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showInkAnnotation="0" codeName="ThisWorkbook" defaultThemeVersion="124226"/>
  <bookViews>
    <workbookView xWindow="0" yWindow="4905" windowWidth="19200" windowHeight="3270" tabRatio="738" firstSheet="9" activeTab="15"/>
  </bookViews>
  <sheets>
    <sheet name="#ofPAFs" sheetId="5" state="hidden" r:id="rId1"/>
    <sheet name="isf.COMPO" sheetId="6" state="hidden" r:id="rId2"/>
    <sheet name="GAPS" sheetId="7" state="hidden" r:id="rId3"/>
    <sheet name="LEGAL" sheetId="8" state="hidden" r:id="rId4"/>
    <sheet name="ISFs" sheetId="9" state="hidden" r:id="rId5"/>
    <sheet name="Sheet2" sheetId="13" state="hidden" r:id="rId6"/>
    <sheet name="LEGAL.DRAFT" sheetId="18" state="hidden" r:id="rId7"/>
    <sheet name="ISF.DRAFT" sheetId="19" state="hidden" r:id="rId8"/>
    <sheet name="remove" sheetId="25" state="hidden" r:id="rId9"/>
    <sheet name="Draft.RAP" sheetId="33" r:id="rId10"/>
    <sheet name="table4.1" sheetId="27" r:id="rId11"/>
    <sheet name="table4.3" sheetId="29" r:id="rId12"/>
    <sheet name="table4.4" sheetId="31" r:id="rId13"/>
    <sheet name="table4.5" sheetId="28" r:id="rId14"/>
    <sheet name="HH.names" sheetId="26" r:id="rId15"/>
    <sheet name="SurveyDATA" sheetId="1" r:id="rId16"/>
    <sheet name="VALUE" sheetId="30" r:id="rId17"/>
    <sheet name="Sheet1" sheetId="32" r:id="rId18"/>
  </sheets>
  <externalReferences>
    <externalReference r:id="rId19"/>
  </externalReferences>
  <definedNames>
    <definedName name="_xlnm._FilterDatabase" localSheetId="9" hidden="1">Draft.RAP!$AT$3:$AT$61</definedName>
    <definedName name="_xlnm._FilterDatabase" localSheetId="14" hidden="1">HH.names!$A$1:$DW$6137</definedName>
    <definedName name="_xlnm._FilterDatabase" localSheetId="17" hidden="1">Sheet1!$M$2:$N$4803</definedName>
    <definedName name="_xlnm._FilterDatabase" localSheetId="5" hidden="1">Sheet2!$A$2:$J$499</definedName>
    <definedName name="_xlnm._FilterDatabase" localSheetId="15" hidden="1">SurveyDATA!$A$4:$SC$832</definedName>
    <definedName name="_Toc286689155" localSheetId="9">Draft.RAP!#REF!</definedName>
    <definedName name="_Toc391057975" localSheetId="6">LEGAL.DRAFT!$A$129</definedName>
    <definedName name="_Toc391057976" localSheetId="7">ISF.DRAFT!$A$150</definedName>
    <definedName name="_Toc391057984" localSheetId="12">table4.4!$A$35</definedName>
    <definedName name="_Toc391057988" localSheetId="11">table4.5!$A$3</definedName>
    <definedName name="_Toc391057995" localSheetId="7">ISF.DRAFT!$P$54</definedName>
    <definedName name="_Toc427444208" localSheetId="6">LEGAL.DRAFT!$A$4</definedName>
    <definedName name="_Toc427444209" localSheetId="6">LEGAL.DRAFT!$A$20</definedName>
    <definedName name="_Toc427444210" localSheetId="6">LEGAL.DRAFT!$A$79</definedName>
    <definedName name="_Toc427444211" localSheetId="7">ISF.DRAFT!$A$95</definedName>
    <definedName name="_Toc427444212" localSheetId="6">LEGAL.DRAFT!$A$112</definedName>
    <definedName name="_Toc427444215" localSheetId="7">ISF.DRAFT!$A$167</definedName>
    <definedName name="_Toc427444216" localSheetId="7">ISF.DRAFT!$A$194</definedName>
    <definedName name="_Toc427444217" localSheetId="6">LEGAL.DRAFT!$A$185</definedName>
    <definedName name="_Toc427444218" localSheetId="7">ISF.DRAFT!$A$228</definedName>
    <definedName name="_Toc427444220" localSheetId="6">LEGAL.DRAFT!$A$233</definedName>
    <definedName name="_Toc427444221" localSheetId="6">LEGAL.DRAFT!$P$4</definedName>
    <definedName name="_Toc427444222" localSheetId="6">LEGAL.DRAFT!$P$19</definedName>
    <definedName name="_Toc427444225" localSheetId="16">VALUE!$Q$2</definedName>
    <definedName name="_Toc427444227" localSheetId="7">ISF.DRAFT!$P$4</definedName>
    <definedName name="_Toc427444228" localSheetId="7">ISF.DRAFT!$P$19</definedName>
    <definedName name="_Toc427444229" localSheetId="7">ISF.DRAFT!$P$35</definedName>
    <definedName name="_Toc427444231" localSheetId="7">ISF.DRAFT!$P$70</definedName>
  </definedNames>
  <calcPr calcId="124519" calcMode="manual"/>
</workbook>
</file>

<file path=xl/calcChain.xml><?xml version="1.0" encoding="utf-8"?>
<calcChain xmlns="http://schemas.openxmlformats.org/spreadsheetml/2006/main">
  <c r="B17" i="32"/>
  <c r="B16"/>
  <c r="B15"/>
  <c r="B14"/>
  <c r="B13"/>
  <c r="B12"/>
  <c r="B11"/>
  <c r="B10"/>
  <c r="B9"/>
  <c r="B8"/>
  <c r="B7"/>
  <c r="B6"/>
  <c r="B5"/>
  <c r="I161" i="30"/>
  <c r="H161"/>
  <c r="G161"/>
  <c r="F161"/>
  <c r="E161"/>
  <c r="D161"/>
  <c r="C161"/>
  <c r="B161"/>
  <c r="I160"/>
  <c r="H160"/>
  <c r="G160"/>
  <c r="F160"/>
  <c r="E160"/>
  <c r="D160"/>
  <c r="C160"/>
  <c r="B160"/>
  <c r="I159"/>
  <c r="H159"/>
  <c r="G159"/>
  <c r="F159"/>
  <c r="E159"/>
  <c r="D159"/>
  <c r="C159"/>
  <c r="B159"/>
  <c r="I158"/>
  <c r="H158"/>
  <c r="G158"/>
  <c r="F158"/>
  <c r="E158"/>
  <c r="D158"/>
  <c r="C158"/>
  <c r="B158"/>
  <c r="I157"/>
  <c r="H157"/>
  <c r="G157"/>
  <c r="F157"/>
  <c r="E157"/>
  <c r="D157"/>
  <c r="C157"/>
  <c r="B157"/>
  <c r="I156"/>
  <c r="H156"/>
  <c r="G156"/>
  <c r="F156"/>
  <c r="E156"/>
  <c r="D156"/>
  <c r="C156"/>
  <c r="B156"/>
  <c r="I155"/>
  <c r="H155"/>
  <c r="G155"/>
  <c r="F155"/>
  <c r="E155"/>
  <c r="D155"/>
  <c r="C155"/>
  <c r="B155"/>
  <c r="I154"/>
  <c r="H154"/>
  <c r="G154"/>
  <c r="F154"/>
  <c r="E154"/>
  <c r="D154"/>
  <c r="C154"/>
  <c r="B154"/>
  <c r="I153"/>
  <c r="H153"/>
  <c r="G153"/>
  <c r="F153"/>
  <c r="E153"/>
  <c r="D153"/>
  <c r="C153"/>
  <c r="B153"/>
  <c r="B162" s="1"/>
  <c r="IB835" i="1"/>
  <c r="MC831"/>
  <c r="LY831"/>
  <c r="LT831"/>
  <c r="KM831"/>
  <c r="KL831"/>
  <c r="JW831"/>
  <c r="JV831"/>
  <c r="IB831"/>
  <c r="MC830"/>
  <c r="LY830"/>
  <c r="LT830"/>
  <c r="KM830"/>
  <c r="KL830"/>
  <c r="JW830"/>
  <c r="JV830"/>
  <c r="IB830"/>
  <c r="J830"/>
  <c r="MY829"/>
  <c r="MS829"/>
  <c r="MK829"/>
  <c r="MG829" s="1"/>
  <c r="MD829"/>
  <c r="MC829"/>
  <c r="LY829"/>
  <c r="LT829"/>
  <c r="LO829"/>
  <c r="LN829"/>
  <c r="KK829"/>
  <c r="KJ829"/>
  <c r="JU829"/>
  <c r="JT829"/>
  <c r="IB829"/>
  <c r="J829"/>
  <c r="MC828"/>
  <c r="LY828"/>
  <c r="LT828"/>
  <c r="KM828"/>
  <c r="KL828"/>
  <c r="JW828"/>
  <c r="JV828"/>
  <c r="IB828"/>
  <c r="JW829" l="1"/>
  <c r="KM829"/>
  <c r="JV829"/>
  <c r="KL829"/>
  <c r="J161" i="30"/>
  <c r="J153"/>
  <c r="J154"/>
  <c r="J155"/>
  <c r="J156"/>
  <c r="J157"/>
  <c r="J158"/>
  <c r="J159"/>
  <c r="J160"/>
  <c r="BR828" i="1"/>
  <c r="AN828"/>
  <c r="MC827"/>
  <c r="LY827"/>
  <c r="LT827"/>
  <c r="KM827"/>
  <c r="KL827"/>
  <c r="JW827"/>
  <c r="JV827"/>
  <c r="IB827"/>
  <c r="MC826"/>
  <c r="LY826"/>
  <c r="LT826"/>
  <c r="KM826"/>
  <c r="KL826"/>
  <c r="JW826"/>
  <c r="JV826"/>
  <c r="IB826"/>
  <c r="MC825"/>
  <c r="LY825"/>
  <c r="LT825"/>
  <c r="KM825"/>
  <c r="KL825"/>
  <c r="JW825"/>
  <c r="JV825"/>
  <c r="IB825"/>
  <c r="MC824"/>
  <c r="LY824"/>
  <c r="LT824"/>
  <c r="KM824"/>
  <c r="KL824"/>
  <c r="JW824"/>
  <c r="JV824"/>
  <c r="IB824"/>
  <c r="BR824"/>
  <c r="AN824"/>
  <c r="MY823"/>
  <c r="MG823"/>
  <c r="MC823"/>
  <c r="LY823"/>
  <c r="BR823"/>
  <c r="MY822"/>
  <c r="ML822"/>
  <c r="MI822"/>
  <c r="MG822"/>
  <c r="MC822" s="1"/>
  <c r="LZ822"/>
  <c r="LY822"/>
  <c r="LT822"/>
  <c r="LO822"/>
  <c r="LN822"/>
  <c r="KK822"/>
  <c r="KJ822"/>
  <c r="JU822"/>
  <c r="JT822"/>
  <c r="IB822"/>
  <c r="BR822"/>
  <c r="AN822"/>
  <c r="RF821"/>
  <c r="MY821" s="1"/>
  <c r="MI821"/>
  <c r="MG821"/>
  <c r="MC821"/>
  <c r="LY821"/>
  <c r="LO821"/>
  <c r="LN821"/>
  <c r="KK821"/>
  <c r="KJ821"/>
  <c r="JU821"/>
  <c r="JT821"/>
  <c r="BR821"/>
  <c r="AN821"/>
  <c r="MC820"/>
  <c r="LY820"/>
  <c r="LT820"/>
  <c r="KM820"/>
  <c r="KL820"/>
  <c r="JW820"/>
  <c r="JV820"/>
  <c r="IB820"/>
  <c r="BR820"/>
  <c r="AN820"/>
  <c r="MY819"/>
  <c r="MG819"/>
  <c r="MC819"/>
  <c r="LY819"/>
  <c r="AN819"/>
  <c r="MY818"/>
  <c r="MG818"/>
  <c r="MC818"/>
  <c r="LY818"/>
  <c r="LT818"/>
  <c r="LO818"/>
  <c r="LN818"/>
  <c r="KK818"/>
  <c r="KJ818"/>
  <c r="JU818"/>
  <c r="JT818"/>
  <c r="IB818"/>
  <c r="J818"/>
  <c r="MY817"/>
  <c r="MG817"/>
  <c r="MC817"/>
  <c r="LY817"/>
  <c r="LT817"/>
  <c r="LO817"/>
  <c r="LN817"/>
  <c r="KK817"/>
  <c r="KJ817"/>
  <c r="JU817"/>
  <c r="JT817"/>
  <c r="IB817"/>
  <c r="MY816"/>
  <c r="MK816"/>
  <c r="MJ816"/>
  <c r="MI816"/>
  <c r="MG816" s="1"/>
  <c r="MD816"/>
  <c r="MC816"/>
  <c r="LZ816"/>
  <c r="LY816"/>
  <c r="LT816"/>
  <c r="LO816"/>
  <c r="LN816"/>
  <c r="KK816"/>
  <c r="KJ816"/>
  <c r="JU816"/>
  <c r="JT816"/>
  <c r="IB816"/>
  <c r="BR816"/>
  <c r="AN816"/>
  <c r="MY815"/>
  <c r="MG815"/>
  <c r="MC815"/>
  <c r="LY815"/>
  <c r="LO815"/>
  <c r="LN815"/>
  <c r="KK815"/>
  <c r="KJ815"/>
  <c r="JU815"/>
  <c r="JT815"/>
  <c r="BR815"/>
  <c r="AN815"/>
  <c r="MY814"/>
  <c r="MG814"/>
  <c r="MC814"/>
  <c r="LY814"/>
  <c r="MY813" s="1"/>
  <c r="MK813"/>
  <c r="MG813"/>
  <c r="MD813"/>
  <c r="MC813"/>
  <c r="LY813"/>
  <c r="LO813"/>
  <c r="LN813"/>
  <c r="KK813"/>
  <c r="KJ813"/>
  <c r="JU813"/>
  <c r="JT813"/>
  <c r="BR813"/>
  <c r="BG813"/>
  <c r="AN813"/>
  <c r="MC812"/>
  <c r="LY812"/>
  <c r="LT812"/>
  <c r="KM812"/>
  <c r="KL812"/>
  <c r="JW812"/>
  <c r="JV812"/>
  <c r="IB812"/>
  <c r="MY811" s="1"/>
  <c r="MQ811"/>
  <c r="MI811"/>
  <c r="MG811"/>
  <c r="MC811"/>
  <c r="LY811"/>
  <c r="LT811"/>
  <c r="LO811"/>
  <c r="LN811"/>
  <c r="KK811"/>
  <c r="KJ811"/>
  <c r="JU811"/>
  <c r="JT811"/>
  <c r="IB811"/>
  <c r="GG811"/>
  <c r="BR811"/>
  <c r="AN811"/>
  <c r="MY810"/>
  <c r="MG810"/>
  <c r="MC810"/>
  <c r="LY810"/>
  <c r="J810"/>
  <c r="MY809"/>
  <c r="MG809"/>
  <c r="MC809"/>
  <c r="LY809"/>
  <c r="MY808" s="1"/>
  <c r="MI808"/>
  <c r="MG808"/>
  <c r="MF808"/>
  <c r="MC808" s="1"/>
  <c r="LZ808"/>
  <c r="LY808"/>
  <c r="LO808"/>
  <c r="LN808"/>
  <c r="KK808"/>
  <c r="KJ808"/>
  <c r="JU808"/>
  <c r="JT808"/>
  <c r="GG808"/>
  <c r="BR808"/>
  <c r="AN808"/>
  <c r="MY807"/>
  <c r="MG807"/>
  <c r="MC807"/>
  <c r="LY807"/>
  <c r="MY806" s="1"/>
  <c r="MI806"/>
  <c r="MG806"/>
  <c r="MC806" s="1"/>
  <c r="LZ806"/>
  <c r="LY806"/>
  <c r="LO806"/>
  <c r="LN806"/>
  <c r="KK806"/>
  <c r="KJ806"/>
  <c r="JU806"/>
  <c r="JT806"/>
  <c r="BR806"/>
  <c r="AN806"/>
  <c r="MY805"/>
  <c r="MG805"/>
  <c r="MC805"/>
  <c r="LY805"/>
  <c r="J805"/>
  <c r="MY804"/>
  <c r="MG804"/>
  <c r="MC804"/>
  <c r="LY804"/>
  <c r="LT804"/>
  <c r="LO804"/>
  <c r="LN804"/>
  <c r="KK804"/>
  <c r="KJ804"/>
  <c r="JU804"/>
  <c r="JT804"/>
  <c r="IB804"/>
  <c r="GN804"/>
  <c r="GG804"/>
  <c r="BR804"/>
  <c r="AN804"/>
  <c r="MY803"/>
  <c r="MM803"/>
  <c r="MJ803"/>
  <c r="MI803"/>
  <c r="MG803" s="1"/>
  <c r="MD803"/>
  <c r="MC803" s="1"/>
  <c r="LZ803"/>
  <c r="LY803"/>
  <c r="LT803"/>
  <c r="LO803"/>
  <c r="LN803"/>
  <c r="KK803"/>
  <c r="KJ803"/>
  <c r="JU803"/>
  <c r="JT803"/>
  <c r="IB803"/>
  <c r="BR803"/>
  <c r="BG803"/>
  <c r="AN803"/>
  <c r="MY802"/>
  <c r="MG802"/>
  <c r="MC802"/>
  <c r="LY802"/>
  <c r="LT802"/>
  <c r="LO802"/>
  <c r="LN802"/>
  <c r="KK802"/>
  <c r="KJ802"/>
  <c r="JU802"/>
  <c r="JT802"/>
  <c r="IB802"/>
  <c r="MY801"/>
  <c r="MJ801"/>
  <c r="MI801"/>
  <c r="MG801"/>
  <c r="MC801" s="1"/>
  <c r="LZ801"/>
  <c r="LY801"/>
  <c r="LT801"/>
  <c r="LO801"/>
  <c r="LN801"/>
  <c r="KK801"/>
  <c r="KJ801"/>
  <c r="JU801"/>
  <c r="JT801"/>
  <c r="IB801"/>
  <c r="MY800"/>
  <c r="MG800" s="1"/>
  <c r="MF800"/>
  <c r="MC800"/>
  <c r="LY800"/>
  <c r="LT800"/>
  <c r="LO800"/>
  <c r="LN800"/>
  <c r="KK800"/>
  <c r="KJ800"/>
  <c r="JU800"/>
  <c r="JT800"/>
  <c r="IB800"/>
  <c r="BR800"/>
  <c r="AN800"/>
  <c r="MY799" s="1"/>
  <c r="MJ799"/>
  <c r="MI799"/>
  <c r="MG799" s="1"/>
  <c r="MF799"/>
  <c r="MC799"/>
  <c r="LY799"/>
  <c r="LT799"/>
  <c r="LO799"/>
  <c r="LN799"/>
  <c r="KK799"/>
  <c r="KJ799"/>
  <c r="JU799"/>
  <c r="JT799"/>
  <c r="IB799"/>
  <c r="BR799"/>
  <c r="MY798" s="1"/>
  <c r="MM798"/>
  <c r="MJ798"/>
  <c r="MI798"/>
  <c r="MG798"/>
  <c r="MF798"/>
  <c r="MD798"/>
  <c r="MC798"/>
  <c r="LY798"/>
  <c r="LT798"/>
  <c r="LO798"/>
  <c r="LN798"/>
  <c r="KK798"/>
  <c r="KJ798"/>
  <c r="JU798"/>
  <c r="JT798"/>
  <c r="IB798"/>
  <c r="BR798"/>
  <c r="MY797"/>
  <c r="MG797" s="1"/>
  <c r="MD797"/>
  <c r="MC797" s="1"/>
  <c r="LZ797"/>
  <c r="LY797"/>
  <c r="LT797"/>
  <c r="LO797"/>
  <c r="LN797"/>
  <c r="KK797"/>
  <c r="KJ797"/>
  <c r="JU797"/>
  <c r="JT797"/>
  <c r="IB797"/>
  <c r="GN797"/>
  <c r="BR797"/>
  <c r="MY796"/>
  <c r="MG796" s="1"/>
  <c r="MD796"/>
  <c r="MC796"/>
  <c r="LZ796"/>
  <c r="LY796"/>
  <c r="LT796"/>
  <c r="LO796"/>
  <c r="LN796"/>
  <c r="KK796"/>
  <c r="KJ796"/>
  <c r="JU796"/>
  <c r="JT796"/>
  <c r="IB796"/>
  <c r="BR796"/>
  <c r="MY795"/>
  <c r="MK795"/>
  <c r="MJ795"/>
  <c r="MI795"/>
  <c r="MG795" s="1"/>
  <c r="MD795"/>
  <c r="MC795" s="1"/>
  <c r="LZ795"/>
  <c r="LY795"/>
  <c r="LT795"/>
  <c r="LO795"/>
  <c r="LN795"/>
  <c r="KK795"/>
  <c r="KJ795"/>
  <c r="JU795"/>
  <c r="JT795"/>
  <c r="IB795"/>
  <c r="BR795"/>
  <c r="MY794"/>
  <c r="MJ794"/>
  <c r="MI794"/>
  <c r="MG794" s="1"/>
  <c r="MF794"/>
  <c r="MC794" s="1"/>
  <c r="LZ794"/>
  <c r="LY794"/>
  <c r="LT794"/>
  <c r="LO794"/>
  <c r="LN794"/>
  <c r="KK794"/>
  <c r="KJ794"/>
  <c r="JU794"/>
  <c r="JT794"/>
  <c r="IB794"/>
  <c r="BR794"/>
  <c r="MY793"/>
  <c r="MX793"/>
  <c r="MR793"/>
  <c r="MO793"/>
  <c r="MJ793"/>
  <c r="MI793"/>
  <c r="MG793" s="1"/>
  <c r="MF793"/>
  <c r="MD793"/>
  <c r="MC793" s="1"/>
  <c r="LZ793"/>
  <c r="LY793"/>
  <c r="LT793"/>
  <c r="LO793"/>
  <c r="LN793"/>
  <c r="KK793"/>
  <c r="KJ793"/>
  <c r="JU793"/>
  <c r="JT793"/>
  <c r="IB793"/>
  <c r="BR793"/>
  <c r="MY792"/>
  <c r="MG792" s="1"/>
  <c r="MD792"/>
  <c r="MC792"/>
  <c r="LY792"/>
  <c r="LT792"/>
  <c r="LO792"/>
  <c r="LN792"/>
  <c r="KK792"/>
  <c r="KJ792"/>
  <c r="JU792"/>
  <c r="JT792"/>
  <c r="IB792"/>
  <c r="GN792"/>
  <c r="BR792"/>
  <c r="MY791" s="1"/>
  <c r="MS791"/>
  <c r="MK791"/>
  <c r="MG791"/>
  <c r="MC791"/>
  <c r="LY791"/>
  <c r="LT791"/>
  <c r="LO791"/>
  <c r="LN791"/>
  <c r="KK791"/>
  <c r="KJ791"/>
  <c r="JU791"/>
  <c r="JT791"/>
  <c r="IB791"/>
  <c r="CA791"/>
  <c r="BR791"/>
  <c r="AN791"/>
  <c r="MY790"/>
  <c r="MN790"/>
  <c r="MG790"/>
  <c r="MC790"/>
  <c r="LY790"/>
  <c r="LT790"/>
  <c r="LO790"/>
  <c r="LN790"/>
  <c r="KK790"/>
  <c r="KJ790"/>
  <c r="JU790"/>
  <c r="JT790"/>
  <c r="IB790"/>
  <c r="J790"/>
  <c r="MY789"/>
  <c r="MS789"/>
  <c r="MK789"/>
  <c r="MG789"/>
  <c r="MC789"/>
  <c r="LY789"/>
  <c r="LT789"/>
  <c r="LO789"/>
  <c r="LN789"/>
  <c r="KK789"/>
  <c r="KJ789"/>
  <c r="JU789"/>
  <c r="JT789"/>
  <c r="IB789"/>
  <c r="J789"/>
  <c r="MY788"/>
  <c r="MJ788"/>
  <c r="MI788"/>
  <c r="MG788" s="1"/>
  <c r="MF788"/>
  <c r="MC788"/>
  <c r="LZ788"/>
  <c r="LY788"/>
  <c r="LO788"/>
  <c r="LN788"/>
  <c r="KK788"/>
  <c r="KJ788"/>
  <c r="JU788"/>
  <c r="JT788"/>
  <c r="BR788"/>
  <c r="AN788"/>
  <c r="MY787"/>
  <c r="MM787"/>
  <c r="MK787"/>
  <c r="MJ787"/>
  <c r="MG787" s="1"/>
  <c r="MD787"/>
  <c r="MC787" s="1"/>
  <c r="LZ787"/>
  <c r="LY787"/>
  <c r="LT787"/>
  <c r="LO787"/>
  <c r="LN787"/>
  <c r="KK787"/>
  <c r="KJ787"/>
  <c r="JU787"/>
  <c r="JT787"/>
  <c r="IB787"/>
  <c r="BR787"/>
  <c r="AN787"/>
  <c r="MY786"/>
  <c r="MG786"/>
  <c r="MC786"/>
  <c r="LY786"/>
  <c r="LT786"/>
  <c r="LO786"/>
  <c r="LN786"/>
  <c r="KK786"/>
  <c r="KJ786"/>
  <c r="JU786"/>
  <c r="JT786"/>
  <c r="IB786"/>
  <c r="BR786"/>
  <c r="AN786"/>
  <c r="MY785"/>
  <c r="MK785"/>
  <c r="MG785"/>
  <c r="MC785"/>
  <c r="LY785"/>
  <c r="LT785"/>
  <c r="LO785"/>
  <c r="LN785"/>
  <c r="KK785"/>
  <c r="KJ785"/>
  <c r="JU785"/>
  <c r="JT785"/>
  <c r="IB785"/>
  <c r="J785"/>
  <c r="MY784" s="1"/>
  <c r="MS784"/>
  <c r="MK784"/>
  <c r="MJ784"/>
  <c r="MI784"/>
  <c r="MG784" s="1"/>
  <c r="MF784"/>
  <c r="MC784"/>
  <c r="LY784"/>
  <c r="LT784"/>
  <c r="LO784"/>
  <c r="LN784"/>
  <c r="KK784"/>
  <c r="KJ784"/>
  <c r="JU784"/>
  <c r="JT784"/>
  <c r="IB784"/>
  <c r="BR784"/>
  <c r="AN784"/>
  <c r="MY783"/>
  <c r="MG783"/>
  <c r="MC783"/>
  <c r="LY783"/>
  <c r="AN783"/>
  <c r="MY782"/>
  <c r="MG782"/>
  <c r="MC782"/>
  <c r="LY782"/>
  <c r="AN782"/>
  <c r="MY781"/>
  <c r="MG781"/>
  <c r="MC781"/>
  <c r="LY781"/>
  <c r="AN781"/>
  <c r="MY780"/>
  <c r="MG780"/>
  <c r="MC780"/>
  <c r="LY780"/>
  <c r="LT780"/>
  <c r="LO780"/>
  <c r="LN780"/>
  <c r="KK780"/>
  <c r="KJ780"/>
  <c r="JU780"/>
  <c r="JT780"/>
  <c r="IB780"/>
  <c r="BR780"/>
  <c r="AN780"/>
  <c r="MC779"/>
  <c r="LY779"/>
  <c r="LT779"/>
  <c r="KM779"/>
  <c r="KL779"/>
  <c r="JW779"/>
  <c r="JV779"/>
  <c r="IB779"/>
  <c r="BR779"/>
  <c r="MY778"/>
  <c r="MG778"/>
  <c r="MC778"/>
  <c r="LY778"/>
  <c r="AN778"/>
  <c r="MY777"/>
  <c r="MG777"/>
  <c r="MC777"/>
  <c r="LY777"/>
  <c r="AN777"/>
  <c r="MY776"/>
  <c r="MG776"/>
  <c r="MC776"/>
  <c r="LY776"/>
  <c r="AN776"/>
  <c r="MY775"/>
  <c r="MG775"/>
  <c r="MC775"/>
  <c r="LY775"/>
  <c r="AN775"/>
  <c r="MY774"/>
  <c r="MG774"/>
  <c r="MC774"/>
  <c r="LY774"/>
  <c r="LT774"/>
  <c r="LO774"/>
  <c r="LN774"/>
  <c r="KK774"/>
  <c r="KJ774"/>
  <c r="JU774"/>
  <c r="JT774"/>
  <c r="IB774"/>
  <c r="BR774"/>
  <c r="AN774"/>
  <c r="MY773"/>
  <c r="MG773" s="1"/>
  <c r="MD773"/>
  <c r="MC773"/>
  <c r="LY773"/>
  <c r="LT773"/>
  <c r="LO773"/>
  <c r="LN773"/>
  <c r="KK773"/>
  <c r="KJ773"/>
  <c r="JU773"/>
  <c r="JT773"/>
  <c r="IB773"/>
  <c r="BR773"/>
  <c r="AN773"/>
  <c r="MY772"/>
  <c r="MG772"/>
  <c r="MC772"/>
  <c r="LY772"/>
  <c r="LT772"/>
  <c r="LO772"/>
  <c r="LN772"/>
  <c r="KK772"/>
  <c r="KJ772"/>
  <c r="JU772"/>
  <c r="JT772"/>
  <c r="IB772"/>
  <c r="BR772"/>
  <c r="AN772"/>
  <c r="MY771"/>
  <c r="MG771"/>
  <c r="MC771"/>
  <c r="LY771"/>
  <c r="AN771"/>
  <c r="MY770"/>
  <c r="MG770"/>
  <c r="MC770"/>
  <c r="LY770"/>
  <c r="AN770"/>
  <c r="MY769" s="1"/>
  <c r="MI769"/>
  <c r="MG769"/>
  <c r="MC769"/>
  <c r="LY769"/>
  <c r="LO769"/>
  <c r="LN769"/>
  <c r="KK769"/>
  <c r="KJ769"/>
  <c r="JU769"/>
  <c r="JT769"/>
  <c r="BR769"/>
  <c r="AN769"/>
  <c r="MY768"/>
  <c r="MG768"/>
  <c r="MD768"/>
  <c r="MC768"/>
  <c r="LZ768"/>
  <c r="LY768"/>
  <c r="LT768"/>
  <c r="LO768"/>
  <c r="LN768"/>
  <c r="KK768"/>
  <c r="KJ768"/>
  <c r="JU768"/>
  <c r="JT768"/>
  <c r="IB768"/>
  <c r="BR768"/>
  <c r="AN768"/>
  <c r="MY767"/>
  <c r="MG767"/>
  <c r="MC767"/>
  <c r="LY767"/>
  <c r="LT767"/>
  <c r="LO767"/>
  <c r="LN767"/>
  <c r="KK767"/>
  <c r="KJ767"/>
  <c r="JU767"/>
  <c r="JT767"/>
  <c r="IB767"/>
  <c r="BR767"/>
  <c r="MY766"/>
  <c r="MG766"/>
  <c r="MC766"/>
  <c r="LY766"/>
  <c r="LT766"/>
  <c r="LO766"/>
  <c r="LN766"/>
  <c r="KK766"/>
  <c r="KJ766"/>
  <c r="JU766"/>
  <c r="JT766"/>
  <c r="IB766"/>
  <c r="MY765"/>
  <c r="MG765"/>
  <c r="MC765"/>
  <c r="LY765"/>
  <c r="LT765"/>
  <c r="LO765"/>
  <c r="LN765"/>
  <c r="KK765"/>
  <c r="KJ765"/>
  <c r="JU765"/>
  <c r="JT765"/>
  <c r="IB765"/>
  <c r="J765"/>
  <c r="MC764"/>
  <c r="LY764"/>
  <c r="LT764"/>
  <c r="LO764"/>
  <c r="LN764"/>
  <c r="KK764"/>
  <c r="KJ764"/>
  <c r="JU764"/>
  <c r="JT764"/>
  <c r="IB764"/>
  <c r="J764"/>
  <c r="MY763" s="1"/>
  <c r="MK763"/>
  <c r="MG763"/>
  <c r="MC763"/>
  <c r="LY763"/>
  <c r="LT763"/>
  <c r="LO763"/>
  <c r="LN763"/>
  <c r="KK763"/>
  <c r="KJ763"/>
  <c r="JU763"/>
  <c r="JT763"/>
  <c r="IB763"/>
  <c r="BR763"/>
  <c r="AN763"/>
  <c r="J763"/>
  <c r="MY762"/>
  <c r="MG762"/>
  <c r="MC762"/>
  <c r="LY762"/>
  <c r="LT762"/>
  <c r="LO762"/>
  <c r="LN762"/>
  <c r="KK762"/>
  <c r="KJ762"/>
  <c r="JU762"/>
  <c r="JT762"/>
  <c r="IB762"/>
  <c r="BR762"/>
  <c r="AN762"/>
  <c r="MY761"/>
  <c r="MG761"/>
  <c r="MC761"/>
  <c r="LY761"/>
  <c r="LT761"/>
  <c r="LO761"/>
  <c r="LN761"/>
  <c r="KK761"/>
  <c r="KJ761"/>
  <c r="JU761"/>
  <c r="JT761"/>
  <c r="IB761"/>
  <c r="GN761"/>
  <c r="BR761"/>
  <c r="AN761"/>
  <c r="RF760"/>
  <c r="MY760"/>
  <c r="MG760"/>
  <c r="MC760"/>
  <c r="LY760"/>
  <c r="LT760"/>
  <c r="LO760"/>
  <c r="LN760"/>
  <c r="KK760"/>
  <c r="KJ760"/>
  <c r="JU760"/>
  <c r="JT760"/>
  <c r="IB760"/>
  <c r="GN760"/>
  <c r="BR760"/>
  <c r="AN760"/>
  <c r="MY759"/>
  <c r="MG759"/>
  <c r="MC759"/>
  <c r="LY759"/>
  <c r="AN759"/>
  <c r="MY758"/>
  <c r="MG758"/>
  <c r="MC758"/>
  <c r="LY758"/>
  <c r="BR758"/>
  <c r="AN758"/>
  <c r="MY757"/>
  <c r="MG757"/>
  <c r="MC757"/>
  <c r="LY757"/>
  <c r="BR757"/>
  <c r="AN757"/>
  <c r="MY756"/>
  <c r="MG756"/>
  <c r="MC756"/>
  <c r="LY756"/>
  <c r="BR756"/>
  <c r="AN756"/>
  <c r="MY755"/>
  <c r="MG755"/>
  <c r="MC755"/>
  <c r="LY755"/>
  <c r="BR755"/>
  <c r="AN755"/>
  <c r="MY754"/>
  <c r="MG754"/>
  <c r="MC754"/>
  <c r="LY754"/>
  <c r="BR754"/>
  <c r="AN754"/>
  <c r="MY753"/>
  <c r="MG753"/>
  <c r="MC753"/>
  <c r="LY753"/>
  <c r="BR753"/>
  <c r="AN753"/>
  <c r="MY752"/>
  <c r="MG752"/>
  <c r="MC752"/>
  <c r="LY752"/>
  <c r="BR752"/>
  <c r="AN752"/>
  <c r="MC751"/>
  <c r="LY751"/>
  <c r="LT751"/>
  <c r="KM751"/>
  <c r="KL751"/>
  <c r="JW751"/>
  <c r="JV751"/>
  <c r="IB751"/>
  <c r="BR751"/>
  <c r="AN751"/>
  <c r="MY750"/>
  <c r="MG750"/>
  <c r="MC750"/>
  <c r="LY750"/>
  <c r="LT750"/>
  <c r="LO750"/>
  <c r="LN750"/>
  <c r="KK750"/>
  <c r="KJ750"/>
  <c r="JU750"/>
  <c r="JT750"/>
  <c r="IB750"/>
  <c r="BR750"/>
  <c r="AN750"/>
  <c r="MY749"/>
  <c r="MG749"/>
  <c r="MC749"/>
  <c r="LY749"/>
  <c r="MY748"/>
  <c r="MK748"/>
  <c r="MJ748"/>
  <c r="MI748"/>
  <c r="MG748"/>
  <c r="MC748"/>
  <c r="LY748"/>
  <c r="LT748"/>
  <c r="LO748"/>
  <c r="LN748"/>
  <c r="KK748"/>
  <c r="KJ748"/>
  <c r="JU748"/>
  <c r="JT748"/>
  <c r="IB748"/>
  <c r="BR748"/>
  <c r="AN748"/>
  <c r="MY747" s="1"/>
  <c r="MJ747"/>
  <c r="MI747"/>
  <c r="MG747"/>
  <c r="MC747" s="1"/>
  <c r="LZ747"/>
  <c r="LY747"/>
  <c r="LT747"/>
  <c r="LO747"/>
  <c r="LN747"/>
  <c r="KK747"/>
  <c r="KJ747"/>
  <c r="JU747"/>
  <c r="JT747"/>
  <c r="IB747"/>
  <c r="BR747"/>
  <c r="AN747"/>
  <c r="MY746"/>
  <c r="MG746"/>
  <c r="MC746"/>
  <c r="LY746"/>
  <c r="LT746"/>
  <c r="LO746"/>
  <c r="LN746"/>
  <c r="KK746"/>
  <c r="KJ746"/>
  <c r="JU746"/>
  <c r="JT746"/>
  <c r="IB746"/>
  <c r="BR746"/>
  <c r="AN746"/>
  <c r="MY745"/>
  <c r="MG745"/>
  <c r="MC745" s="1"/>
  <c r="LZ745"/>
  <c r="LY745"/>
  <c r="LT745"/>
  <c r="LO745"/>
  <c r="LN745"/>
  <c r="KK745"/>
  <c r="KJ745"/>
  <c r="JU745"/>
  <c r="JT745"/>
  <c r="IB745"/>
  <c r="BR745"/>
  <c r="AN745"/>
  <c r="MY744"/>
  <c r="MM744"/>
  <c r="MJ744"/>
  <c r="MI744"/>
  <c r="MG744" s="1"/>
  <c r="MD744"/>
  <c r="MC744"/>
  <c r="LZ744"/>
  <c r="LY744"/>
  <c r="LT744"/>
  <c r="LO744"/>
  <c r="LN744"/>
  <c r="KK744"/>
  <c r="KJ744"/>
  <c r="JU744"/>
  <c r="JT744"/>
  <c r="IB744"/>
  <c r="BR744"/>
  <c r="AN744"/>
  <c r="MY743" s="1"/>
  <c r="MI743"/>
  <c r="MG743" s="1"/>
  <c r="MD743"/>
  <c r="MC743" s="1"/>
  <c r="LZ743"/>
  <c r="LY743"/>
  <c r="LO743"/>
  <c r="LN743"/>
  <c r="KK743"/>
  <c r="KJ743"/>
  <c r="JU743"/>
  <c r="JT743"/>
  <c r="MY742"/>
  <c r="MG742"/>
  <c r="ME742"/>
  <c r="MC742"/>
  <c r="LY742"/>
  <c r="LO742"/>
  <c r="LN742"/>
  <c r="KK742"/>
  <c r="KJ742"/>
  <c r="JU742"/>
  <c r="JT742"/>
  <c r="MY741"/>
  <c r="MG741" s="1"/>
  <c r="MD741"/>
  <c r="MC741" s="1"/>
  <c r="LZ741"/>
  <c r="LY741"/>
  <c r="LO741"/>
  <c r="LN741"/>
  <c r="KK741"/>
  <c r="KJ741"/>
  <c r="JU741"/>
  <c r="JT741"/>
  <c r="GG741"/>
  <c r="BR741"/>
  <c r="AN741"/>
  <c r="MY740"/>
  <c r="MG740"/>
  <c r="MC740"/>
  <c r="LY740"/>
  <c r="MY739"/>
  <c r="MG739" s="1"/>
  <c r="MD739"/>
  <c r="MC739"/>
  <c r="LY739"/>
  <c r="LO739"/>
  <c r="LN739"/>
  <c r="KK739"/>
  <c r="KJ739"/>
  <c r="JU739"/>
  <c r="JT739"/>
  <c r="J739"/>
  <c r="MY738"/>
  <c r="MG738"/>
  <c r="MC738"/>
  <c r="LY738"/>
  <c r="GG738"/>
  <c r="BR738"/>
  <c r="AN738"/>
  <c r="MY737" s="1"/>
  <c r="MK737"/>
  <c r="MG737" s="1"/>
  <c r="MD737"/>
  <c r="MC737" s="1"/>
  <c r="LZ737"/>
  <c r="LY737"/>
  <c r="LT737"/>
  <c r="LO737"/>
  <c r="LN737"/>
  <c r="KK737"/>
  <c r="KJ737"/>
  <c r="JU737"/>
  <c r="JT737"/>
  <c r="IB737"/>
  <c r="BR737"/>
  <c r="AN737"/>
  <c r="MY736"/>
  <c r="MG736"/>
  <c r="MC736"/>
  <c r="LY736"/>
  <c r="BR736"/>
  <c r="MY735"/>
  <c r="MG735"/>
  <c r="MC735"/>
  <c r="LY735"/>
  <c r="AN735"/>
  <c r="MY734"/>
  <c r="MK734"/>
  <c r="MG734"/>
  <c r="MC734"/>
  <c r="LY734"/>
  <c r="LT734"/>
  <c r="LO734"/>
  <c r="LN734"/>
  <c r="KK734"/>
  <c r="KJ734"/>
  <c r="JU734"/>
  <c r="JT734"/>
  <c r="IB734"/>
  <c r="MY733"/>
  <c r="MG733"/>
  <c r="MC733"/>
  <c r="LY733"/>
  <c r="LT733"/>
  <c r="LO733"/>
  <c r="LN733"/>
  <c r="KK733"/>
  <c r="KJ733"/>
  <c r="JU733"/>
  <c r="JT733"/>
  <c r="IB733"/>
  <c r="MY732"/>
  <c r="MG732" s="1"/>
  <c r="ME732"/>
  <c r="MC732"/>
  <c r="LY732"/>
  <c r="LT732"/>
  <c r="LO732"/>
  <c r="LN732"/>
  <c r="KK732"/>
  <c r="KJ732"/>
  <c r="JU732"/>
  <c r="JT732"/>
  <c r="IB732"/>
  <c r="MC731"/>
  <c r="LY731"/>
  <c r="LT731"/>
  <c r="KM731"/>
  <c r="KL731"/>
  <c r="JW731"/>
  <c r="JV731"/>
  <c r="IB731"/>
  <c r="GG731"/>
  <c r="BR731"/>
  <c r="BG731"/>
  <c r="BF731"/>
  <c r="AN731"/>
  <c r="MY730"/>
  <c r="MG730"/>
  <c r="MC730"/>
  <c r="LY730"/>
  <c r="AN730"/>
  <c r="MY729"/>
  <c r="MG729"/>
  <c r="MC729"/>
  <c r="LY729"/>
  <c r="AN729"/>
  <c r="MY728"/>
  <c r="MG728"/>
  <c r="MC728"/>
  <c r="LY728"/>
  <c r="AN728"/>
  <c r="MY727"/>
  <c r="MG727"/>
  <c r="MC727"/>
  <c r="LY727"/>
  <c r="AN727"/>
  <c r="MY726"/>
  <c r="MG726"/>
  <c r="MC726"/>
  <c r="LY726"/>
  <c r="AN726"/>
  <c r="MY725"/>
  <c r="MG725" s="1"/>
  <c r="MD725"/>
  <c r="MC725"/>
  <c r="LY725"/>
  <c r="LT725"/>
  <c r="LO725"/>
  <c r="LN725"/>
  <c r="KK725"/>
  <c r="KJ725"/>
  <c r="JU725"/>
  <c r="JT725"/>
  <c r="IB725"/>
  <c r="BR725"/>
  <c r="AN725"/>
  <c r="MY724"/>
  <c r="ML724"/>
  <c r="MI724"/>
  <c r="MC724"/>
  <c r="LY724"/>
  <c r="LT724"/>
  <c r="LO724"/>
  <c r="LN724"/>
  <c r="KK724"/>
  <c r="KJ724"/>
  <c r="JU724"/>
  <c r="JT724"/>
  <c r="IB724"/>
  <c r="BR724"/>
  <c r="AN724"/>
  <c r="MY723"/>
  <c r="MG723"/>
  <c r="MF723"/>
  <c r="MD723"/>
  <c r="MC723"/>
  <c r="MB723"/>
  <c r="LZ723"/>
  <c r="LY723"/>
  <c r="LT723"/>
  <c r="LO723"/>
  <c r="LN723"/>
  <c r="KK723"/>
  <c r="KJ723"/>
  <c r="JU723"/>
  <c r="JT723"/>
  <c r="IB723"/>
  <c r="BR723"/>
  <c r="AN723"/>
  <c r="MY722"/>
  <c r="MG722"/>
  <c r="MC722"/>
  <c r="LY722"/>
  <c r="LT722"/>
  <c r="LO722"/>
  <c r="LN722"/>
  <c r="KK722"/>
  <c r="KJ722"/>
  <c r="JU722"/>
  <c r="JT722"/>
  <c r="IB722"/>
  <c r="BR722"/>
  <c r="AN722"/>
  <c r="MY721"/>
  <c r="MG721"/>
  <c r="MC721"/>
  <c r="LY721"/>
  <c r="LO721"/>
  <c r="LN721"/>
  <c r="KK721"/>
  <c r="KJ721"/>
  <c r="JU721"/>
  <c r="JT721"/>
  <c r="GN721"/>
  <c r="BR721"/>
  <c r="MY720" s="1"/>
  <c r="MJ720"/>
  <c r="MI720"/>
  <c r="MG720" s="1"/>
  <c r="MD720"/>
  <c r="MC720" s="1"/>
  <c r="LZ720"/>
  <c r="LY720"/>
  <c r="LO720"/>
  <c r="LN720"/>
  <c r="KK720"/>
  <c r="KJ720"/>
  <c r="JU720"/>
  <c r="JT720"/>
  <c r="BR720"/>
  <c r="AN720"/>
  <c r="MY719"/>
  <c r="MG719"/>
  <c r="MC719"/>
  <c r="LY719"/>
  <c r="LO719"/>
  <c r="LN719"/>
  <c r="KK719"/>
  <c r="KJ719"/>
  <c r="JU719"/>
  <c r="JT719"/>
  <c r="BR719"/>
  <c r="AN719"/>
  <c r="MC718"/>
  <c r="LY718"/>
  <c r="LT718"/>
  <c r="KM718"/>
  <c r="KL718"/>
  <c r="JW718"/>
  <c r="JV718"/>
  <c r="IB718"/>
  <c r="MY717"/>
  <c r="MG717" s="1"/>
  <c r="MD717"/>
  <c r="MC717" s="1"/>
  <c r="LZ717"/>
  <c r="LY717"/>
  <c r="LT717"/>
  <c r="LO717"/>
  <c r="LN717"/>
  <c r="KK717"/>
  <c r="KJ717"/>
  <c r="JU717"/>
  <c r="JT717"/>
  <c r="IB717"/>
  <c r="BR717"/>
  <c r="AN717"/>
  <c r="MY716" s="1"/>
  <c r="MJ716"/>
  <c r="MI716"/>
  <c r="MG716" s="1"/>
  <c r="MD716"/>
  <c r="MC716" s="1"/>
  <c r="LZ716"/>
  <c r="LY716"/>
  <c r="LT716"/>
  <c r="LO716"/>
  <c r="LN716"/>
  <c r="KK716"/>
  <c r="KJ716"/>
  <c r="JU716"/>
  <c r="JT716"/>
  <c r="IB716"/>
  <c r="BR716"/>
  <c r="AN716"/>
  <c r="MC715"/>
  <c r="LY715"/>
  <c r="LT715"/>
  <c r="KM715"/>
  <c r="KL715"/>
  <c r="JW715"/>
  <c r="JV715"/>
  <c r="IB715"/>
  <c r="BR715"/>
  <c r="AN715"/>
  <c r="MY714"/>
  <c r="MO714"/>
  <c r="MM714"/>
  <c r="MJ714"/>
  <c r="MI714"/>
  <c r="MG714"/>
  <c r="MC714"/>
  <c r="LY714"/>
  <c r="LT714"/>
  <c r="LO714"/>
  <c r="LN714"/>
  <c r="KK714"/>
  <c r="KJ714"/>
  <c r="JU714"/>
  <c r="JT714"/>
  <c r="IB714"/>
  <c r="BR714"/>
  <c r="AN714"/>
  <c r="MY713"/>
  <c r="MG713" s="1"/>
  <c r="MD713"/>
  <c r="MC713"/>
  <c r="LY713"/>
  <c r="LO713"/>
  <c r="LN713"/>
  <c r="KK713"/>
  <c r="KJ713"/>
  <c r="JU713"/>
  <c r="JT713"/>
  <c r="BR713"/>
  <c r="AN713"/>
  <c r="MY712"/>
  <c r="MG712"/>
  <c r="MC712"/>
  <c r="LY712"/>
  <c r="LT712"/>
  <c r="LO712"/>
  <c r="LN712"/>
  <c r="KK712"/>
  <c r="KJ712"/>
  <c r="JU712"/>
  <c r="JT712"/>
  <c r="IB712"/>
  <c r="MY711"/>
  <c r="MS711"/>
  <c r="MM711"/>
  <c r="MK711"/>
  <c r="MG711" s="1"/>
  <c r="MF711"/>
  <c r="MC711"/>
  <c r="LY711"/>
  <c r="LT711"/>
  <c r="LO711"/>
  <c r="LN711"/>
  <c r="KK711"/>
  <c r="KJ711"/>
  <c r="JU711"/>
  <c r="JT711"/>
  <c r="IB711"/>
  <c r="BR711"/>
  <c r="AN711"/>
  <c r="MY710"/>
  <c r="MG710"/>
  <c r="MC710"/>
  <c r="LY710"/>
  <c r="LT710"/>
  <c r="LO710"/>
  <c r="LN710"/>
  <c r="KK710"/>
  <c r="KJ710"/>
  <c r="JU710"/>
  <c r="JT710"/>
  <c r="IB710"/>
  <c r="BR710"/>
  <c r="AN710"/>
  <c r="MY709" s="1"/>
  <c r="MI709"/>
  <c r="MG709"/>
  <c r="MC709"/>
  <c r="LY709"/>
  <c r="LT709"/>
  <c r="LO709"/>
  <c r="LN709"/>
  <c r="KK709"/>
  <c r="KJ709"/>
  <c r="JU709"/>
  <c r="JT709"/>
  <c r="IB709"/>
  <c r="BR709"/>
  <c r="AN709"/>
  <c r="MY708"/>
  <c r="MR708"/>
  <c r="MQ708"/>
  <c r="MJ708"/>
  <c r="MI708"/>
  <c r="MG708" s="1"/>
  <c r="MD708"/>
  <c r="MC708" s="1"/>
  <c r="MB708"/>
  <c r="LY708"/>
  <c r="LT708"/>
  <c r="LO708"/>
  <c r="LN708"/>
  <c r="KK708"/>
  <c r="KJ708"/>
  <c r="JU708"/>
  <c r="JT708"/>
  <c r="IB708"/>
  <c r="BR708"/>
  <c r="AN708"/>
  <c r="MY707"/>
  <c r="MG707"/>
  <c r="MC707"/>
  <c r="LY707"/>
  <c r="LT707"/>
  <c r="LO707"/>
  <c r="LN707"/>
  <c r="KK707"/>
  <c r="KJ707"/>
  <c r="JU707"/>
  <c r="JT707"/>
  <c r="IB707"/>
  <c r="MY706"/>
  <c r="MR706"/>
  <c r="MQ706"/>
  <c r="MO706"/>
  <c r="MM706"/>
  <c r="MI706"/>
  <c r="MG706" s="1"/>
  <c r="MD706"/>
  <c r="MC706"/>
  <c r="LY706"/>
  <c r="LT706"/>
  <c r="LO706"/>
  <c r="LN706"/>
  <c r="KK706"/>
  <c r="KJ706"/>
  <c r="JU706"/>
  <c r="JT706"/>
  <c r="IB706"/>
  <c r="MY705"/>
  <c r="MR705"/>
  <c r="MQ705"/>
  <c r="MO705"/>
  <c r="MM705"/>
  <c r="MI705"/>
  <c r="MG705" s="1"/>
  <c r="MD705"/>
  <c r="MC705" s="1"/>
  <c r="LZ705"/>
  <c r="LY705"/>
  <c r="LO705"/>
  <c r="LN705"/>
  <c r="KK705"/>
  <c r="KJ705"/>
  <c r="JU705"/>
  <c r="JT705"/>
  <c r="BR705"/>
  <c r="AN705"/>
  <c r="MY704"/>
  <c r="MG704" s="1"/>
  <c r="MF704"/>
  <c r="MC704" s="1"/>
  <c r="MB704"/>
  <c r="LY704"/>
  <c r="LT704"/>
  <c r="LO704"/>
  <c r="LN704"/>
  <c r="KK704"/>
  <c r="KJ704"/>
  <c r="JU704"/>
  <c r="JT704"/>
  <c r="IB704"/>
  <c r="BR704"/>
  <c r="AN704"/>
  <c r="MY703" s="1"/>
  <c r="MI703"/>
  <c r="MG703"/>
  <c r="MF703"/>
  <c r="MC703"/>
  <c r="LY703"/>
  <c r="LO703"/>
  <c r="LN703"/>
  <c r="KK703"/>
  <c r="KJ703"/>
  <c r="JU703"/>
  <c r="JT703"/>
  <c r="BR703"/>
  <c r="AN703"/>
  <c r="MY702"/>
  <c r="MO702"/>
  <c r="MI702"/>
  <c r="MG702"/>
  <c r="MC702"/>
  <c r="LY702"/>
  <c r="LO702"/>
  <c r="LN702"/>
  <c r="KK702"/>
  <c r="KJ702"/>
  <c r="JU702"/>
  <c r="JT702"/>
  <c r="BR702"/>
  <c r="AN702"/>
  <c r="MY701" s="1"/>
  <c r="MQ701"/>
  <c r="MJ701"/>
  <c r="MI701"/>
  <c r="MG701" s="1"/>
  <c r="MF701"/>
  <c r="MC701"/>
  <c r="LY701"/>
  <c r="LO701"/>
  <c r="LN701"/>
  <c r="KK701"/>
  <c r="KJ701"/>
  <c r="JU701"/>
  <c r="JT701"/>
  <c r="MY700"/>
  <c r="MG700"/>
  <c r="MC700"/>
  <c r="LY700"/>
  <c r="MY699"/>
  <c r="MG699"/>
  <c r="MC699"/>
  <c r="LY699"/>
  <c r="LO699"/>
  <c r="LN699"/>
  <c r="KK699"/>
  <c r="KJ699"/>
  <c r="JU699"/>
  <c r="JT699"/>
  <c r="MY698"/>
  <c r="MG698"/>
  <c r="MC698"/>
  <c r="LY698"/>
  <c r="LO698"/>
  <c r="LN698"/>
  <c r="KK698"/>
  <c r="KJ698"/>
  <c r="JU698"/>
  <c r="JT698"/>
  <c r="MY697"/>
  <c r="ML697"/>
  <c r="MI697"/>
  <c r="MG697"/>
  <c r="MC697"/>
  <c r="LY697"/>
  <c r="LO697"/>
  <c r="LN697"/>
  <c r="KK697"/>
  <c r="KJ697"/>
  <c r="JU697"/>
  <c r="JT697"/>
  <c r="BR697"/>
  <c r="AN697"/>
  <c r="MY696"/>
  <c r="MG696" s="1"/>
  <c r="MD696"/>
  <c r="MC696"/>
  <c r="LY696"/>
  <c r="LO696"/>
  <c r="LN696"/>
  <c r="KK696"/>
  <c r="KJ696"/>
  <c r="JU696"/>
  <c r="JT696"/>
  <c r="BR696"/>
  <c r="AN696"/>
  <c r="MC695"/>
  <c r="LY695"/>
  <c r="LT695"/>
  <c r="KM695"/>
  <c r="KL695"/>
  <c r="JW695"/>
  <c r="JV695"/>
  <c r="IB695"/>
  <c r="BR695"/>
  <c r="AN695"/>
  <c r="MY694"/>
  <c r="MG694" s="1"/>
  <c r="MD694"/>
  <c r="MC694"/>
  <c r="LY694"/>
  <c r="LT694"/>
  <c r="LO694"/>
  <c r="LN694"/>
  <c r="KK694"/>
  <c r="KJ694"/>
  <c r="JU694"/>
  <c r="JT694"/>
  <c r="IB694"/>
  <c r="BR694"/>
  <c r="AN694"/>
  <c r="MY693"/>
  <c r="MG693"/>
  <c r="MC693"/>
  <c r="LY693"/>
  <c r="AN693"/>
  <c r="MY692"/>
  <c r="MG692"/>
  <c r="MC692"/>
  <c r="LY692"/>
  <c r="LT692"/>
  <c r="LO692"/>
  <c r="LN692"/>
  <c r="KK692"/>
  <c r="KJ692"/>
  <c r="JU692"/>
  <c r="JT692"/>
  <c r="IB692"/>
  <c r="MY691"/>
  <c r="MG691" s="1"/>
  <c r="MF691"/>
  <c r="MC691"/>
  <c r="LY691"/>
  <c r="LT691"/>
  <c r="LO691"/>
  <c r="LN691"/>
  <c r="KK691"/>
  <c r="KJ691"/>
  <c r="JU691"/>
  <c r="JT691"/>
  <c r="IB691"/>
  <c r="BR691"/>
  <c r="AN691"/>
  <c r="MY690"/>
  <c r="MG690" s="1"/>
  <c r="MF690"/>
  <c r="MC690"/>
  <c r="LY690"/>
  <c r="LT690"/>
  <c r="LO690"/>
  <c r="LN690"/>
  <c r="KK690"/>
  <c r="KJ690"/>
  <c r="JU690"/>
  <c r="JT690"/>
  <c r="IB690"/>
  <c r="BR690"/>
  <c r="AN690"/>
  <c r="MY689"/>
  <c r="MG689"/>
  <c r="MC689"/>
  <c r="LY689"/>
  <c r="AN689"/>
  <c r="MY688" s="1"/>
  <c r="MI688"/>
  <c r="MG688"/>
  <c r="MD688"/>
  <c r="MC688" s="1"/>
  <c r="LZ688"/>
  <c r="LY688"/>
  <c r="LT688"/>
  <c r="LO688"/>
  <c r="LN688"/>
  <c r="KK688"/>
  <c r="KJ688"/>
  <c r="JU688"/>
  <c r="JT688"/>
  <c r="IB688"/>
  <c r="BR688"/>
  <c r="AN688"/>
  <c r="MY687"/>
  <c r="MG687"/>
  <c r="MC687"/>
  <c r="LY687"/>
  <c r="AN687"/>
  <c r="MY686"/>
  <c r="MG686" s="1"/>
  <c r="MF686"/>
  <c r="MC686"/>
  <c r="LY686"/>
  <c r="LT686"/>
  <c r="LO686"/>
  <c r="LN686"/>
  <c r="KK686"/>
  <c r="KJ686"/>
  <c r="JU686"/>
  <c r="JT686"/>
  <c r="IB686"/>
  <c r="BR686"/>
  <c r="AN686"/>
  <c r="MY685"/>
  <c r="MG685"/>
  <c r="MC685"/>
  <c r="LY685"/>
  <c r="AN685"/>
  <c r="MY684"/>
  <c r="MG684"/>
  <c r="MC684"/>
  <c r="LY684"/>
  <c r="BR684"/>
  <c r="AN684"/>
  <c r="MY683"/>
  <c r="MG683"/>
  <c r="MC683"/>
  <c r="LY683"/>
  <c r="AN683"/>
  <c r="MY682"/>
  <c r="MG682" s="1"/>
  <c r="MF682"/>
  <c r="MC682"/>
  <c r="LY682"/>
  <c r="LT682"/>
  <c r="LO682"/>
  <c r="LN682"/>
  <c r="KK682"/>
  <c r="KJ682"/>
  <c r="JU682"/>
  <c r="JT682"/>
  <c r="IB682"/>
  <c r="BR682"/>
  <c r="AN682"/>
  <c r="MY681"/>
  <c r="MG681"/>
  <c r="MC681"/>
  <c r="LY681"/>
  <c r="LT681"/>
  <c r="LO681"/>
  <c r="LN681"/>
  <c r="KK681"/>
  <c r="KJ681"/>
  <c r="JU681"/>
  <c r="JT681"/>
  <c r="IB681"/>
  <c r="BR681"/>
  <c r="AN681"/>
  <c r="MY680"/>
  <c r="MG680"/>
  <c r="MC680"/>
  <c r="LY680"/>
  <c r="AN680"/>
  <c r="MY679"/>
  <c r="MG679"/>
  <c r="MC679"/>
  <c r="LY679"/>
  <c r="DW679"/>
  <c r="AN679"/>
  <c r="MY678"/>
  <c r="MG678"/>
  <c r="MC678"/>
  <c r="LY678"/>
  <c r="AN678"/>
  <c r="MY677"/>
  <c r="MG677"/>
  <c r="MC677"/>
  <c r="LY677"/>
  <c r="AN677"/>
  <c r="MY676"/>
  <c r="MG676"/>
  <c r="MC676"/>
  <c r="LY676"/>
  <c r="AN676"/>
  <c r="MY675"/>
  <c r="MG675"/>
  <c r="MC675"/>
  <c r="LY675"/>
  <c r="AN675"/>
  <c r="MY674"/>
  <c r="MG674"/>
  <c r="MC674"/>
  <c r="LY674"/>
  <c r="AN674"/>
  <c r="MY673"/>
  <c r="MG673"/>
  <c r="MC673"/>
  <c r="LY673"/>
  <c r="AN673"/>
  <c r="MY672"/>
  <c r="MG672"/>
  <c r="MC672"/>
  <c r="LY672"/>
  <c r="AN672"/>
  <c r="MY671"/>
  <c r="MG671"/>
  <c r="MC671"/>
  <c r="LY671"/>
  <c r="AN671"/>
  <c r="MY670"/>
  <c r="MG670"/>
  <c r="MC670"/>
  <c r="LY670"/>
  <c r="AN670"/>
  <c r="MY669"/>
  <c r="MG669"/>
  <c r="MC669"/>
  <c r="LY669"/>
  <c r="AN669"/>
  <c r="MY668"/>
  <c r="MG668"/>
  <c r="MC668"/>
  <c r="LY668"/>
  <c r="BR668"/>
  <c r="MY667"/>
  <c r="MI667"/>
  <c r="MG667"/>
  <c r="MC667"/>
  <c r="LY667"/>
  <c r="LT667"/>
  <c r="LO667"/>
  <c r="LN667"/>
  <c r="KK667"/>
  <c r="KJ667"/>
  <c r="JU667"/>
  <c r="JT667"/>
  <c r="IB667"/>
  <c r="BR667"/>
  <c r="AN667"/>
  <c r="MY666"/>
  <c r="MG666"/>
  <c r="MC666"/>
  <c r="LY666"/>
  <c r="AN666"/>
  <c r="MY665"/>
  <c r="MG665"/>
  <c r="MC665"/>
  <c r="LY665"/>
  <c r="LT665"/>
  <c r="LO665"/>
  <c r="LN665"/>
  <c r="KK665"/>
  <c r="KJ665"/>
  <c r="JU665"/>
  <c r="JT665"/>
  <c r="IB665"/>
  <c r="BR665"/>
  <c r="AN665"/>
  <c r="MY664"/>
  <c r="MG664"/>
  <c r="MC664"/>
  <c r="LY664"/>
  <c r="MY663"/>
  <c r="MG663"/>
  <c r="MC663"/>
  <c r="LY663"/>
  <c r="LO663"/>
  <c r="LN663"/>
  <c r="KK663"/>
  <c r="KJ663"/>
  <c r="JU663"/>
  <c r="JT663"/>
  <c r="MY662"/>
  <c r="MG662"/>
  <c r="MC662"/>
  <c r="LY662"/>
  <c r="BR662"/>
  <c r="AN662"/>
  <c r="MY661" s="1"/>
  <c r="MQ661"/>
  <c r="MM661"/>
  <c r="MI661"/>
  <c r="MG661"/>
  <c r="MC661"/>
  <c r="LY661"/>
  <c r="LO661"/>
  <c r="LN661"/>
  <c r="KK661"/>
  <c r="KJ661"/>
  <c r="JU661"/>
  <c r="JT661"/>
  <c r="JD661"/>
  <c r="BR661"/>
  <c r="AN661"/>
  <c r="MY660"/>
  <c r="MG660"/>
  <c r="MC660"/>
  <c r="LY660"/>
  <c r="BR660"/>
  <c r="MY659"/>
  <c r="MG659"/>
  <c r="MC659"/>
  <c r="LY659"/>
  <c r="BR659"/>
  <c r="AN659"/>
  <c r="MY658"/>
  <c r="MG658"/>
  <c r="MC658"/>
  <c r="LY658"/>
  <c r="LO658"/>
  <c r="LN658"/>
  <c r="KK658"/>
  <c r="KJ658"/>
  <c r="JU658"/>
  <c r="JT658"/>
  <c r="MY657"/>
  <c r="MG657"/>
  <c r="MC657"/>
  <c r="LY657"/>
  <c r="BR657"/>
  <c r="AN657"/>
  <c r="MY656" s="1"/>
  <c r="MI656"/>
  <c r="MG656"/>
  <c r="MC656"/>
  <c r="LY656"/>
  <c r="LO656"/>
  <c r="LN656"/>
  <c r="KK656"/>
  <c r="KJ656"/>
  <c r="JU656"/>
  <c r="JT656"/>
  <c r="BR656"/>
  <c r="AN656"/>
  <c r="NI655"/>
  <c r="MY655" s="1"/>
  <c r="MJ655"/>
  <c r="MI655"/>
  <c r="MG655" s="1"/>
  <c r="MD655"/>
  <c r="MC655"/>
  <c r="LY655"/>
  <c r="LT655"/>
  <c r="LO655"/>
  <c r="LN655"/>
  <c r="KK655"/>
  <c r="KJ655"/>
  <c r="JU655"/>
  <c r="JT655"/>
  <c r="IB655"/>
  <c r="BR655"/>
  <c r="AN655"/>
  <c r="MY654"/>
  <c r="MG654"/>
  <c r="MC654"/>
  <c r="LY654"/>
  <c r="MY653"/>
  <c r="MG653"/>
  <c r="MC653"/>
  <c r="LY653"/>
  <c r="MY652"/>
  <c r="MG652"/>
  <c r="MC652"/>
  <c r="LY652"/>
  <c r="BR652"/>
  <c r="AN652"/>
  <c r="MY651" s="1"/>
  <c r="MJ651"/>
  <c r="MG651"/>
  <c r="MC651" s="1"/>
  <c r="LZ651"/>
  <c r="LY651"/>
  <c r="LT651"/>
  <c r="LO651"/>
  <c r="LN651"/>
  <c r="KK651"/>
  <c r="KJ651"/>
  <c r="JU651"/>
  <c r="JT651"/>
  <c r="IB651"/>
  <c r="RF650"/>
  <c r="MY650"/>
  <c r="MG650"/>
  <c r="MC650"/>
  <c r="LY650"/>
  <c r="LT650"/>
  <c r="LO650"/>
  <c r="LN650"/>
  <c r="KK650"/>
  <c r="KJ650"/>
  <c r="JU650"/>
  <c r="JT650"/>
  <c r="IB650"/>
  <c r="MY649"/>
  <c r="MO649"/>
  <c r="MM649"/>
  <c r="MK649"/>
  <c r="MJ649"/>
  <c r="MI649"/>
  <c r="MG649" s="1"/>
  <c r="ME649"/>
  <c r="MC649"/>
  <c r="LY649"/>
  <c r="LT649"/>
  <c r="LO649"/>
  <c r="LN649"/>
  <c r="KK649"/>
  <c r="KJ649"/>
  <c r="JU649"/>
  <c r="JT649"/>
  <c r="IB649"/>
  <c r="BR649"/>
  <c r="AN649"/>
  <c r="MY648"/>
  <c r="MG648"/>
  <c r="MC648"/>
  <c r="LY648"/>
  <c r="LT648"/>
  <c r="LO648"/>
  <c r="LN648"/>
  <c r="KK648"/>
  <c r="KJ648"/>
  <c r="JU648"/>
  <c r="JT648"/>
  <c r="IB648"/>
  <c r="BR648"/>
  <c r="AN648"/>
  <c r="MY647"/>
  <c r="MG647"/>
  <c r="MC647"/>
  <c r="LY647"/>
  <c r="FD647"/>
  <c r="AN647"/>
  <c r="MY646"/>
  <c r="MG646"/>
  <c r="MC646"/>
  <c r="LY646"/>
  <c r="AN646"/>
  <c r="MY645"/>
  <c r="MG645"/>
  <c r="MC645"/>
  <c r="LY645"/>
  <c r="AN645"/>
  <c r="MY644" s="1"/>
  <c r="MR644"/>
  <c r="MQ644"/>
  <c r="MK644"/>
  <c r="MJ644"/>
  <c r="MI644"/>
  <c r="MG644"/>
  <c r="MC644" s="1"/>
  <c r="LZ644"/>
  <c r="LY644"/>
  <c r="LT644"/>
  <c r="LO644"/>
  <c r="LN644"/>
  <c r="KK644"/>
  <c r="KJ644"/>
  <c r="JU644"/>
  <c r="JT644"/>
  <c r="IB644"/>
  <c r="BR644"/>
  <c r="AN644"/>
  <c r="MY643"/>
  <c r="MM643"/>
  <c r="MJ643"/>
  <c r="MI643"/>
  <c r="MG643" s="1"/>
  <c r="MD643"/>
  <c r="MC643" s="1"/>
  <c r="LZ643"/>
  <c r="LY643"/>
  <c r="LT643"/>
  <c r="LO643"/>
  <c r="LN643"/>
  <c r="KK643"/>
  <c r="KJ643"/>
  <c r="JU643"/>
  <c r="JT643"/>
  <c r="IB643"/>
  <c r="BR643"/>
  <c r="AN643"/>
  <c r="MY642"/>
  <c r="MG642"/>
  <c r="MC642"/>
  <c r="LY642"/>
  <c r="AN642"/>
  <c r="MY641"/>
  <c r="MG641"/>
  <c r="MC641"/>
  <c r="LY641"/>
  <c r="MY640"/>
  <c r="MG640"/>
  <c r="MC640"/>
  <c r="LY640"/>
  <c r="CU640"/>
  <c r="MY639"/>
  <c r="MG639"/>
  <c r="MC639"/>
  <c r="LY639"/>
  <c r="AN639"/>
  <c r="MY638"/>
  <c r="MG638"/>
  <c r="MC638"/>
  <c r="LY638"/>
  <c r="CU638"/>
  <c r="AN638"/>
  <c r="MY637"/>
  <c r="MG637"/>
  <c r="MC637"/>
  <c r="LY637"/>
  <c r="AN637"/>
  <c r="MY636"/>
  <c r="MG636"/>
  <c r="MC636"/>
  <c r="LY636"/>
  <c r="AN636"/>
  <c r="MY635"/>
  <c r="MG635"/>
  <c r="MC635"/>
  <c r="LY635"/>
  <c r="AN635"/>
  <c r="MY634"/>
  <c r="MG634"/>
  <c r="MC634"/>
  <c r="LY634"/>
  <c r="AN634"/>
  <c r="MY633"/>
  <c r="MG633"/>
  <c r="MC633"/>
  <c r="LY633"/>
  <c r="AN633"/>
  <c r="MY632"/>
  <c r="MG632"/>
  <c r="MC632" s="1"/>
  <c r="LZ632"/>
  <c r="LY632"/>
  <c r="LT632"/>
  <c r="LO632"/>
  <c r="LN632"/>
  <c r="KK632"/>
  <c r="KJ632"/>
  <c r="JU632"/>
  <c r="JT632"/>
  <c r="IB632"/>
  <c r="GD632"/>
  <c r="BR632"/>
  <c r="AN632"/>
  <c r="MY631"/>
  <c r="MG631"/>
  <c r="MC631"/>
  <c r="LY631"/>
  <c r="LT631"/>
  <c r="LO631"/>
  <c r="LN631"/>
  <c r="KK631"/>
  <c r="KJ631"/>
  <c r="JU631"/>
  <c r="JT631"/>
  <c r="IB631"/>
  <c r="AN631"/>
  <c r="MY630"/>
  <c r="MG630"/>
  <c r="MC630"/>
  <c r="LY630"/>
  <c r="LT630"/>
  <c r="LO630"/>
  <c r="LN630"/>
  <c r="KK630"/>
  <c r="KJ630"/>
  <c r="JU630"/>
  <c r="JT630"/>
  <c r="IB630"/>
  <c r="BR630"/>
  <c r="AN630"/>
  <c r="MY629" s="1"/>
  <c r="MK629"/>
  <c r="MG629" s="1"/>
  <c r="MF629"/>
  <c r="MC629"/>
  <c r="LY629"/>
  <c r="LT629"/>
  <c r="LO629"/>
  <c r="LN629"/>
  <c r="KK629"/>
  <c r="KJ629"/>
  <c r="JU629"/>
  <c r="JT629"/>
  <c r="IB629"/>
  <c r="BR629"/>
  <c r="AN629"/>
  <c r="MC628"/>
  <c r="LY628"/>
  <c r="LT628"/>
  <c r="KM628"/>
  <c r="KL628"/>
  <c r="JW628"/>
  <c r="JV628"/>
  <c r="IB628"/>
  <c r="BR628"/>
  <c r="AN628"/>
  <c r="MY627"/>
  <c r="MG627" s="1"/>
  <c r="MD627"/>
  <c r="MC627" s="1"/>
  <c r="LZ627"/>
  <c r="LY627"/>
  <c r="LT627"/>
  <c r="LO627"/>
  <c r="LN627"/>
  <c r="KK627"/>
  <c r="KJ627"/>
  <c r="JU627"/>
  <c r="JT627"/>
  <c r="IB627"/>
  <c r="BR627"/>
  <c r="AN627"/>
  <c r="MY626"/>
  <c r="MG626"/>
  <c r="MC626" s="1"/>
  <c r="LZ626"/>
  <c r="LY626"/>
  <c r="LT626"/>
  <c r="LO626"/>
  <c r="LN626"/>
  <c r="KK626"/>
  <c r="KJ626"/>
  <c r="JU626"/>
  <c r="JT626"/>
  <c r="IB626"/>
  <c r="AN626"/>
  <c r="MY625"/>
  <c r="MO625"/>
  <c r="MM625"/>
  <c r="ML625"/>
  <c r="MK625"/>
  <c r="MJ625"/>
  <c r="MI625"/>
  <c r="MG625" s="1"/>
  <c r="MD625"/>
  <c r="MC625" s="1"/>
  <c r="LZ625"/>
  <c r="LY625"/>
  <c r="LT625"/>
  <c r="LO625"/>
  <c r="LN625"/>
  <c r="KK625"/>
  <c r="KJ625"/>
  <c r="JU625"/>
  <c r="JT625"/>
  <c r="IB625"/>
  <c r="BR625"/>
  <c r="AN625"/>
  <c r="MY624"/>
  <c r="MG624"/>
  <c r="MC624"/>
  <c r="LY624"/>
  <c r="BR624"/>
  <c r="AN624"/>
  <c r="MY623" s="1"/>
  <c r="MK623"/>
  <c r="MG623"/>
  <c r="MC623"/>
  <c r="LY623"/>
  <c r="LT623"/>
  <c r="LO623"/>
  <c r="LN623"/>
  <c r="KK623"/>
  <c r="KJ623"/>
  <c r="JU623"/>
  <c r="JT623"/>
  <c r="IB623"/>
  <c r="BR623"/>
  <c r="AN623"/>
  <c r="MY622"/>
  <c r="ML622"/>
  <c r="MJ622"/>
  <c r="MG622"/>
  <c r="MF622"/>
  <c r="MC622"/>
  <c r="MB622"/>
  <c r="LY622"/>
  <c r="LT622"/>
  <c r="LO622"/>
  <c r="LN622"/>
  <c r="KK622"/>
  <c r="KJ622"/>
  <c r="JU622"/>
  <c r="JT622"/>
  <c r="IB622"/>
  <c r="BR622"/>
  <c r="AN622"/>
  <c r="MY621"/>
  <c r="MG621"/>
  <c r="MC621"/>
  <c r="LY621"/>
  <c r="AN621"/>
  <c r="MY620"/>
  <c r="MG620"/>
  <c r="MC620"/>
  <c r="LY620"/>
  <c r="BR620"/>
  <c r="AN620"/>
  <c r="RF619"/>
  <c r="MY619" s="1"/>
  <c r="MK619"/>
  <c r="MG619"/>
  <c r="MD619"/>
  <c r="MC619" s="1"/>
  <c r="LZ619"/>
  <c r="LY619"/>
  <c r="LT619"/>
  <c r="LO619"/>
  <c r="LN619"/>
  <c r="KK619"/>
  <c r="KJ619"/>
  <c r="JU619"/>
  <c r="JT619"/>
  <c r="IB619"/>
  <c r="BR619"/>
  <c r="AN619"/>
  <c r="MY618"/>
  <c r="MO618"/>
  <c r="MM618"/>
  <c r="MI618"/>
  <c r="MG618"/>
  <c r="MF618"/>
  <c r="MD618"/>
  <c r="MC618"/>
  <c r="LY618"/>
  <c r="LT618"/>
  <c r="LO618"/>
  <c r="LN618"/>
  <c r="KK618"/>
  <c r="KJ618"/>
  <c r="JU618"/>
  <c r="JT618"/>
  <c r="IB618"/>
  <c r="BR618"/>
  <c r="AN618"/>
  <c r="MY617"/>
  <c r="MG617"/>
  <c r="MC617"/>
  <c r="LY617"/>
  <c r="GG617"/>
  <c r="AN617"/>
  <c r="MY616"/>
  <c r="MG616"/>
  <c r="MC616"/>
  <c r="LY616"/>
  <c r="AN616"/>
  <c r="MY615"/>
  <c r="MG615"/>
  <c r="MC615"/>
  <c r="LY615"/>
  <c r="AN615"/>
  <c r="MY614"/>
  <c r="MG614"/>
  <c r="MC614"/>
  <c r="LY614"/>
  <c r="LT614"/>
  <c r="LO614"/>
  <c r="LN614"/>
  <c r="KK614"/>
  <c r="KJ614"/>
  <c r="JU614"/>
  <c r="JT614"/>
  <c r="IB614"/>
  <c r="BR614"/>
  <c r="AN614"/>
  <c r="MY613"/>
  <c r="MG613"/>
  <c r="MC613"/>
  <c r="LY613"/>
  <c r="MY612"/>
  <c r="MP612"/>
  <c r="MM612"/>
  <c r="MJ612"/>
  <c r="MG612" s="1"/>
  <c r="MD612"/>
  <c r="MC612" s="1"/>
  <c r="LZ612"/>
  <c r="LY612"/>
  <c r="LT612"/>
  <c r="LO612"/>
  <c r="LN612"/>
  <c r="KK612"/>
  <c r="KJ612"/>
  <c r="JU612"/>
  <c r="JT612"/>
  <c r="IB612"/>
  <c r="BR612"/>
  <c r="AN612"/>
  <c r="RF611"/>
  <c r="MY611" s="1"/>
  <c r="MS611"/>
  <c r="MG611"/>
  <c r="MC611"/>
  <c r="LY611"/>
  <c r="LT611"/>
  <c r="LO611"/>
  <c r="LN611"/>
  <c r="KK611"/>
  <c r="KJ611"/>
  <c r="JU611"/>
  <c r="JT611"/>
  <c r="IB611"/>
  <c r="BW611"/>
  <c r="BR611"/>
  <c r="AN611"/>
  <c r="MY610"/>
  <c r="MG610"/>
  <c r="MC610"/>
  <c r="LY610"/>
  <c r="LT610"/>
  <c r="LO610"/>
  <c r="LN610"/>
  <c r="KK610"/>
  <c r="KJ610"/>
  <c r="JU610"/>
  <c r="JT610"/>
  <c r="IB610"/>
  <c r="BR610"/>
  <c r="AN610"/>
  <c r="R610"/>
  <c r="J610"/>
  <c r="MY609"/>
  <c r="MC609"/>
  <c r="LY609"/>
  <c r="LT609"/>
  <c r="LO609"/>
  <c r="LN609"/>
  <c r="KK609"/>
  <c r="KJ609"/>
  <c r="JU609"/>
  <c r="JT609"/>
  <c r="IB609"/>
  <c r="BR609"/>
  <c r="AN609"/>
  <c r="MG608"/>
  <c r="MC608" s="1"/>
  <c r="LZ608"/>
  <c r="LY608"/>
  <c r="LT608"/>
  <c r="LO608"/>
  <c r="LN608"/>
  <c r="KK608"/>
  <c r="KJ608"/>
  <c r="JU608"/>
  <c r="JT608"/>
  <c r="IB608"/>
  <c r="BR608"/>
  <c r="AN608"/>
  <c r="RF607"/>
  <c r="MY607"/>
  <c r="MG607"/>
  <c r="MC607"/>
  <c r="LY607"/>
  <c r="LT607"/>
  <c r="LO607"/>
  <c r="LN607"/>
  <c r="KK607"/>
  <c r="KJ607"/>
  <c r="JU607"/>
  <c r="JT607"/>
  <c r="IB607"/>
  <c r="BR607"/>
  <c r="AN607"/>
  <c r="MY606"/>
  <c r="MG606"/>
  <c r="MC606"/>
  <c r="LY606"/>
  <c r="BR606"/>
  <c r="AN606"/>
  <c r="MY605"/>
  <c r="MG605"/>
  <c r="MC605"/>
  <c r="LY605"/>
  <c r="LO605"/>
  <c r="LN605"/>
  <c r="KK605"/>
  <c r="KJ605"/>
  <c r="JU605"/>
  <c r="JT605"/>
  <c r="BR605"/>
  <c r="AN605"/>
  <c r="MY604"/>
  <c r="MG604"/>
  <c r="MC604"/>
  <c r="LY604"/>
  <c r="MY603"/>
  <c r="MG603"/>
  <c r="MC603"/>
  <c r="LY603"/>
  <c r="MY602" s="1"/>
  <c r="MO602"/>
  <c r="MK602"/>
  <c r="MJ602"/>
  <c r="MI602"/>
  <c r="MG602" s="1"/>
  <c r="MD602"/>
  <c r="MC602"/>
  <c r="LY602"/>
  <c r="LT602"/>
  <c r="LO602"/>
  <c r="LN602"/>
  <c r="KK602"/>
  <c r="KJ602"/>
  <c r="JU602"/>
  <c r="JT602"/>
  <c r="IB602"/>
  <c r="BR602"/>
  <c r="AN602"/>
  <c r="MC601"/>
  <c r="LY601"/>
  <c r="LT601"/>
  <c r="KM601"/>
  <c r="KL601"/>
  <c r="JW601"/>
  <c r="JV601"/>
  <c r="IB601"/>
  <c r="BR601"/>
  <c r="AN601"/>
  <c r="MY600"/>
  <c r="MG600" s="1"/>
  <c r="MF600"/>
  <c r="MC600"/>
  <c r="LY600"/>
  <c r="LT600"/>
  <c r="LO600"/>
  <c r="LN600"/>
  <c r="KK600"/>
  <c r="KJ600"/>
  <c r="JU600"/>
  <c r="JT600"/>
  <c r="IB600"/>
  <c r="MY599"/>
  <c r="MG599" s="1"/>
  <c r="MD599"/>
  <c r="MC599"/>
  <c r="LY599"/>
  <c r="LT599"/>
  <c r="LO599"/>
  <c r="LN599"/>
  <c r="KK599"/>
  <c r="KJ599"/>
  <c r="JU599"/>
  <c r="JT599"/>
  <c r="IB599"/>
  <c r="MY598" s="1"/>
  <c r="MJ598"/>
  <c r="MG598" s="1"/>
  <c r="MF598"/>
  <c r="MC598"/>
  <c r="LY598"/>
  <c r="LT598"/>
  <c r="LO598"/>
  <c r="LN598"/>
  <c r="KK598"/>
  <c r="KJ598"/>
  <c r="JU598"/>
  <c r="JT598"/>
  <c r="IB598"/>
  <c r="MC597"/>
  <c r="LY597"/>
  <c r="LT597"/>
  <c r="KM597"/>
  <c r="KL597"/>
  <c r="JW597"/>
  <c r="JV597"/>
  <c r="IB597"/>
  <c r="BR597"/>
  <c r="AN597"/>
  <c r="MY596"/>
  <c r="MJ596"/>
  <c r="MI596"/>
  <c r="MG596"/>
  <c r="MC596"/>
  <c r="LY596"/>
  <c r="LT596"/>
  <c r="LO596"/>
  <c r="LN596"/>
  <c r="KK596"/>
  <c r="KJ596"/>
  <c r="JU596"/>
  <c r="JT596"/>
  <c r="IB596"/>
  <c r="BR596"/>
  <c r="AN596"/>
  <c r="MY595"/>
  <c r="MG595"/>
  <c r="MC595"/>
  <c r="LY595"/>
  <c r="BR595"/>
  <c r="AN595"/>
  <c r="RF594"/>
  <c r="MY594"/>
  <c r="MG594" s="1"/>
  <c r="MD594"/>
  <c r="MC594" s="1"/>
  <c r="LZ594"/>
  <c r="LY594"/>
  <c r="LO594"/>
  <c r="LN594"/>
  <c r="KK594"/>
  <c r="KJ594"/>
  <c r="JU594"/>
  <c r="JT594"/>
  <c r="BR594"/>
  <c r="AN594"/>
  <c r="MY593"/>
  <c r="MK593"/>
  <c r="MJ593"/>
  <c r="MI593"/>
  <c r="MG593" s="1"/>
  <c r="MF593"/>
  <c r="MC593" s="1"/>
  <c r="MB593"/>
  <c r="LY593"/>
  <c r="LT593"/>
  <c r="LO593"/>
  <c r="LN593"/>
  <c r="KK593"/>
  <c r="KJ593"/>
  <c r="JU593"/>
  <c r="JT593"/>
  <c r="IB593"/>
  <c r="BR593"/>
  <c r="MY592"/>
  <c r="MG592"/>
  <c r="MC592"/>
  <c r="LY592"/>
  <c r="LO592"/>
  <c r="LN592"/>
  <c r="KK592"/>
  <c r="KJ592"/>
  <c r="JU592"/>
  <c r="JT592"/>
  <c r="BR592"/>
  <c r="MY591"/>
  <c r="MJ591"/>
  <c r="MI591"/>
  <c r="MG591" s="1"/>
  <c r="MF591"/>
  <c r="MC591" s="1"/>
  <c r="MB591"/>
  <c r="LY591"/>
  <c r="LT591"/>
  <c r="LO591"/>
  <c r="LN591"/>
  <c r="KK591"/>
  <c r="KJ591"/>
  <c r="JU591"/>
  <c r="JT591"/>
  <c r="IB591"/>
  <c r="BR591"/>
  <c r="AN591"/>
  <c r="RF590"/>
  <c r="MY590" s="1"/>
  <c r="MI590"/>
  <c r="MG590" s="1"/>
  <c r="MD590"/>
  <c r="MC590" s="1"/>
  <c r="LZ590"/>
  <c r="LY590"/>
  <c r="LT590"/>
  <c r="LO590"/>
  <c r="LN590"/>
  <c r="KK590"/>
  <c r="KJ590"/>
  <c r="JU590"/>
  <c r="JT590"/>
  <c r="IB590"/>
  <c r="BR590"/>
  <c r="AN590"/>
  <c r="MY589"/>
  <c r="MJ589"/>
  <c r="MI589"/>
  <c r="MG589"/>
  <c r="MC589" s="1"/>
  <c r="LZ589"/>
  <c r="LY589"/>
  <c r="LO589"/>
  <c r="LN589"/>
  <c r="KK589"/>
  <c r="KJ589"/>
  <c r="JU589"/>
  <c r="JT589"/>
  <c r="BR589"/>
  <c r="AN589"/>
  <c r="MY588"/>
  <c r="MG588"/>
  <c r="MC588"/>
  <c r="LY588"/>
  <c r="MY587"/>
  <c r="MG587"/>
  <c r="MC587"/>
  <c r="LY587"/>
  <c r="MY586"/>
  <c r="MG586"/>
  <c r="MC586"/>
  <c r="LY586"/>
  <c r="MY585"/>
  <c r="MG585"/>
  <c r="MC585"/>
  <c r="LY585"/>
  <c r="MY584"/>
  <c r="MG584"/>
  <c r="MC584"/>
  <c r="LY584"/>
  <c r="MY583"/>
  <c r="MG583"/>
  <c r="MC583"/>
  <c r="LY583"/>
  <c r="LT583"/>
  <c r="LO583"/>
  <c r="LN583"/>
  <c r="KK583"/>
  <c r="KJ583"/>
  <c r="JU583"/>
  <c r="JT583"/>
  <c r="IB583"/>
  <c r="MY582"/>
  <c r="MG582"/>
  <c r="MC582"/>
  <c r="LY582"/>
  <c r="MY581" s="1"/>
  <c r="MI581"/>
  <c r="MG581" s="1"/>
  <c r="MF581"/>
  <c r="MD581"/>
  <c r="MC581"/>
  <c r="LY581"/>
  <c r="LO581"/>
  <c r="LN581"/>
  <c r="KK581"/>
  <c r="KJ581"/>
  <c r="JU581"/>
  <c r="JT581"/>
  <c r="MY580" s="1"/>
  <c r="MI580"/>
  <c r="MG580" s="1"/>
  <c r="MF580"/>
  <c r="MD580"/>
  <c r="MC580" s="1"/>
  <c r="MB580"/>
  <c r="LY580"/>
  <c r="LO580"/>
  <c r="LN580"/>
  <c r="KK580"/>
  <c r="KJ580"/>
  <c r="JU580"/>
  <c r="JT580"/>
  <c r="MY579"/>
  <c r="MG579"/>
  <c r="MC579"/>
  <c r="LY579"/>
  <c r="BR579"/>
  <c r="MY578"/>
  <c r="MG578"/>
  <c r="MC578"/>
  <c r="LY578"/>
  <c r="AN578"/>
  <c r="MY577"/>
  <c r="MM577"/>
  <c r="MJ577"/>
  <c r="MI577"/>
  <c r="MG577" s="1"/>
  <c r="MD577"/>
  <c r="MC577" s="1"/>
  <c r="LZ577"/>
  <c r="LY577"/>
  <c r="LO577"/>
  <c r="LN577"/>
  <c r="KK577"/>
  <c r="KJ577"/>
  <c r="JU577"/>
  <c r="JT577"/>
  <c r="AN577"/>
  <c r="MY576" s="1"/>
  <c r="MS576"/>
  <c r="MG576" s="1"/>
  <c r="MD576"/>
  <c r="MC576" s="1"/>
  <c r="LZ576"/>
  <c r="LY576"/>
  <c r="LO576"/>
  <c r="LN576"/>
  <c r="KK576"/>
  <c r="KJ576"/>
  <c r="JU576"/>
  <c r="JT576"/>
  <c r="MY575"/>
  <c r="MS575"/>
  <c r="MQ575"/>
  <c r="MO575"/>
  <c r="MM575"/>
  <c r="ML575"/>
  <c r="MJ575"/>
  <c r="MI575"/>
  <c r="MG575" s="1"/>
  <c r="MD575"/>
  <c r="MC575"/>
  <c r="LY575"/>
  <c r="LO575"/>
  <c r="LN575"/>
  <c r="KK575"/>
  <c r="KJ575"/>
  <c r="JU575"/>
  <c r="JT575"/>
  <c r="MY574"/>
  <c r="MG574"/>
  <c r="MC574"/>
  <c r="LY574"/>
  <c r="LO574"/>
  <c r="LN574"/>
  <c r="KK574"/>
  <c r="KJ574"/>
  <c r="JU574"/>
  <c r="JT574"/>
  <c r="BR574"/>
  <c r="AN574"/>
  <c r="MY573"/>
  <c r="MG573"/>
  <c r="MC573"/>
  <c r="LY573"/>
  <c r="LT573"/>
  <c r="LO573"/>
  <c r="LN573"/>
  <c r="KK573"/>
  <c r="KJ573"/>
  <c r="JU573"/>
  <c r="JT573"/>
  <c r="JH573"/>
  <c r="IB573"/>
  <c r="BR573"/>
  <c r="AN573"/>
  <c r="MY572"/>
  <c r="MG572"/>
  <c r="MC572"/>
  <c r="LY572"/>
  <c r="LO572"/>
  <c r="LN572"/>
  <c r="KK572"/>
  <c r="KJ572"/>
  <c r="JU572"/>
  <c r="JT572"/>
  <c r="GG572"/>
  <c r="BR572"/>
  <c r="AN572"/>
  <c r="MY571"/>
  <c r="MG571"/>
  <c r="MC571"/>
  <c r="LY571"/>
  <c r="MY570"/>
  <c r="MR570"/>
  <c r="MO570"/>
  <c r="MM570"/>
  <c r="MK570"/>
  <c r="MJ570"/>
  <c r="MI570"/>
  <c r="MG570"/>
  <c r="MC570"/>
  <c r="LY570"/>
  <c r="LO570"/>
  <c r="LN570"/>
  <c r="KK570"/>
  <c r="KJ570"/>
  <c r="JU570"/>
  <c r="JT570"/>
  <c r="MY569"/>
  <c r="MO569"/>
  <c r="MM569"/>
  <c r="ML569"/>
  <c r="MK569"/>
  <c r="MJ569"/>
  <c r="MI569"/>
  <c r="MG569"/>
  <c r="MC569" s="1"/>
  <c r="LZ569"/>
  <c r="LY569"/>
  <c r="LO569"/>
  <c r="LN569"/>
  <c r="KK569"/>
  <c r="KJ569"/>
  <c r="JU569"/>
  <c r="JT569"/>
  <c r="MY568"/>
  <c r="MO568"/>
  <c r="MI568"/>
  <c r="MG568" s="1"/>
  <c r="MD568"/>
  <c r="MC568"/>
  <c r="LY568"/>
  <c r="LO568"/>
  <c r="LN568"/>
  <c r="KK568"/>
  <c r="KJ568"/>
  <c r="JU568"/>
  <c r="JT568"/>
  <c r="MY567"/>
  <c r="MG567"/>
  <c r="MF567"/>
  <c r="MD567"/>
  <c r="MC567"/>
  <c r="LY567"/>
  <c r="LO567"/>
  <c r="LN567"/>
  <c r="KK567"/>
  <c r="KJ567"/>
  <c r="JU567"/>
  <c r="JT567"/>
  <c r="BR567"/>
  <c r="AN567"/>
  <c r="MY566"/>
  <c r="MG566" s="1"/>
  <c r="MD566"/>
  <c r="MC566"/>
  <c r="LY566"/>
  <c r="LO566"/>
  <c r="LN566"/>
  <c r="KK566"/>
  <c r="KJ566"/>
  <c r="JU566"/>
  <c r="JT566"/>
  <c r="MY565"/>
  <c r="MG565"/>
  <c r="MC565"/>
  <c r="LY565"/>
  <c r="JH565"/>
  <c r="IM565"/>
  <c r="MY564"/>
  <c r="MG564"/>
  <c r="MC564"/>
  <c r="LY564"/>
  <c r="LT564"/>
  <c r="LO564"/>
  <c r="LN564"/>
  <c r="KK564"/>
  <c r="KJ564"/>
  <c r="JU564"/>
  <c r="JT564"/>
  <c r="IB564"/>
  <c r="BR564"/>
  <c r="AN564"/>
  <c r="MY563"/>
  <c r="MG563"/>
  <c r="MC563"/>
  <c r="LY563"/>
  <c r="LO563"/>
  <c r="LN563"/>
  <c r="KK563"/>
  <c r="KJ563"/>
  <c r="JU563"/>
  <c r="JT563"/>
  <c r="MY562"/>
  <c r="MG562" s="1"/>
  <c r="MD562"/>
  <c r="MC562"/>
  <c r="LY562"/>
  <c r="LT562"/>
  <c r="LO562"/>
  <c r="LN562"/>
  <c r="KK562"/>
  <c r="KJ562"/>
  <c r="JU562"/>
  <c r="JT562"/>
  <c r="IB562"/>
  <c r="MY561"/>
  <c r="MG561"/>
  <c r="MC561"/>
  <c r="LY561"/>
  <c r="LO561"/>
  <c r="LN561"/>
  <c r="KK561"/>
  <c r="KJ561"/>
  <c r="JU561"/>
  <c r="JT561"/>
  <c r="BR561"/>
  <c r="AN561"/>
  <c r="MY560"/>
  <c r="MC560"/>
  <c r="LY560"/>
  <c r="LT560"/>
  <c r="LO560"/>
  <c r="LN560"/>
  <c r="KK560"/>
  <c r="KJ560"/>
  <c r="JU560"/>
  <c r="JT560"/>
  <c r="IB560"/>
  <c r="BR560"/>
  <c r="AN560"/>
  <c r="MY559"/>
  <c r="MG559"/>
  <c r="MC559"/>
  <c r="LY559"/>
  <c r="BR559"/>
  <c r="BG559"/>
  <c r="AN559"/>
  <c r="MY558" s="1"/>
  <c r="MK558"/>
  <c r="MG558" s="1"/>
  <c r="MD558"/>
  <c r="MC558"/>
  <c r="LY558"/>
  <c r="LT558"/>
  <c r="LO558"/>
  <c r="LN558"/>
  <c r="KK558"/>
  <c r="KJ558"/>
  <c r="JU558"/>
  <c r="JT558"/>
  <c r="IB558"/>
  <c r="BR558"/>
  <c r="AN558"/>
  <c r="RF557"/>
  <c r="MY557" s="1"/>
  <c r="MM557"/>
  <c r="MG557"/>
  <c r="MC557"/>
  <c r="LY557"/>
  <c r="LT557"/>
  <c r="LO557"/>
  <c r="LN557"/>
  <c r="KK557"/>
  <c r="KJ557"/>
  <c r="JU557"/>
  <c r="JT557"/>
  <c r="IB557"/>
  <c r="BR557"/>
  <c r="MY556"/>
  <c r="MG556"/>
  <c r="MC556"/>
  <c r="LY556"/>
  <c r="JH556"/>
  <c r="MY555"/>
  <c r="MG555"/>
  <c r="MC555"/>
  <c r="LY555"/>
  <c r="BR555"/>
  <c r="AN555"/>
  <c r="RF554"/>
  <c r="MY554" s="1"/>
  <c r="MS554"/>
  <c r="MG554"/>
  <c r="MC554"/>
  <c r="LY554"/>
  <c r="LO554"/>
  <c r="LN554"/>
  <c r="KK554"/>
  <c r="KJ554"/>
  <c r="JU554"/>
  <c r="JT554"/>
  <c r="RF553"/>
  <c r="MY553"/>
  <c r="MG553"/>
  <c r="MD553"/>
  <c r="MC553" s="1"/>
  <c r="LZ553"/>
  <c r="LY553"/>
  <c r="LO553"/>
  <c r="LN553"/>
  <c r="KK553"/>
  <c r="KJ553"/>
  <c r="JU553"/>
  <c r="JT553"/>
  <c r="BR553"/>
  <c r="AN553"/>
  <c r="MY552"/>
  <c r="MG552"/>
  <c r="MC552"/>
  <c r="LY552"/>
  <c r="LT552"/>
  <c r="LO552"/>
  <c r="LN552"/>
  <c r="KK552"/>
  <c r="KJ552"/>
  <c r="JU552"/>
  <c r="JT552"/>
  <c r="IB552"/>
  <c r="BR552"/>
  <c r="AN552"/>
  <c r="MY551"/>
  <c r="MG551"/>
  <c r="MC551"/>
  <c r="LY551"/>
  <c r="LT551"/>
  <c r="LO551"/>
  <c r="LN551"/>
  <c r="KK551"/>
  <c r="KJ551"/>
  <c r="JU551"/>
  <c r="JT551"/>
  <c r="IB551"/>
  <c r="BR551"/>
  <c r="AN551"/>
  <c r="MY550"/>
  <c r="MG550"/>
  <c r="MC550"/>
  <c r="LY550"/>
  <c r="LT550"/>
  <c r="LO550"/>
  <c r="LN550"/>
  <c r="KK550"/>
  <c r="KJ550"/>
  <c r="JU550"/>
  <c r="JT550"/>
  <c r="IB550"/>
  <c r="GN550"/>
  <c r="BR550"/>
  <c r="AN550"/>
  <c r="MY549"/>
  <c r="MG549"/>
  <c r="MC549"/>
  <c r="LY549"/>
  <c r="LT549"/>
  <c r="LO549"/>
  <c r="LN549"/>
  <c r="KK549"/>
  <c r="KJ549"/>
  <c r="JU549"/>
  <c r="JT549"/>
  <c r="IB549"/>
  <c r="GN549"/>
  <c r="BR549"/>
  <c r="MY548"/>
  <c r="MG548"/>
  <c r="MC548"/>
  <c r="LY548"/>
  <c r="LT548"/>
  <c r="LO548"/>
  <c r="LN548"/>
  <c r="KK548"/>
  <c r="KJ548"/>
  <c r="JU548"/>
  <c r="JT548"/>
  <c r="IB548"/>
  <c r="BR548"/>
  <c r="AN548"/>
  <c r="MY547"/>
  <c r="MG547"/>
  <c r="MC547"/>
  <c r="LZ547"/>
  <c r="LY547"/>
  <c r="LO547"/>
  <c r="LN547"/>
  <c r="KK547"/>
  <c r="KJ547"/>
  <c r="JU547"/>
  <c r="JT547"/>
  <c r="BR547"/>
  <c r="AN547"/>
  <c r="MY546"/>
  <c r="MG546"/>
  <c r="MC546"/>
  <c r="LY546"/>
  <c r="LO546"/>
  <c r="LN546"/>
  <c r="KK546"/>
  <c r="KJ546"/>
  <c r="JU546"/>
  <c r="JT546"/>
  <c r="MY545"/>
  <c r="MG545"/>
  <c r="MC545"/>
  <c r="LY545"/>
  <c r="LO545"/>
  <c r="LN545"/>
  <c r="KK545"/>
  <c r="KJ545"/>
  <c r="JU545"/>
  <c r="JT545"/>
  <c r="JH545"/>
  <c r="BR545"/>
  <c r="MY544"/>
  <c r="MG544" s="1"/>
  <c r="MF544"/>
  <c r="MC544"/>
  <c r="LY544"/>
  <c r="LO544"/>
  <c r="LN544"/>
  <c r="KK544"/>
  <c r="KJ544"/>
  <c r="JU544"/>
  <c r="JT544"/>
  <c r="JD544"/>
  <c r="AN544"/>
  <c r="MY543"/>
  <c r="MG543" s="1"/>
  <c r="MD543"/>
  <c r="MC543" s="1"/>
  <c r="LZ543"/>
  <c r="LY543"/>
  <c r="LO543"/>
  <c r="LN543"/>
  <c r="KK543"/>
  <c r="KJ543"/>
  <c r="JU543"/>
  <c r="JT543"/>
  <c r="BR543"/>
  <c r="AN543"/>
  <c r="MG542" s="1"/>
  <c r="MD542"/>
  <c r="MC542"/>
  <c r="LY542"/>
  <c r="LT542"/>
  <c r="LO542"/>
  <c r="LN542"/>
  <c r="KK542"/>
  <c r="KJ542"/>
  <c r="JU542"/>
  <c r="JT542"/>
  <c r="IB542"/>
  <c r="BR542"/>
  <c r="AN542"/>
  <c r="RF541"/>
  <c r="MY541"/>
  <c r="MC541"/>
  <c r="LY541"/>
  <c r="LT541"/>
  <c r="LO541"/>
  <c r="LN541"/>
  <c r="KK541"/>
  <c r="KJ541"/>
  <c r="JU541"/>
  <c r="JT541"/>
  <c r="IB541"/>
  <c r="BR541"/>
  <c r="AN541"/>
  <c r="MY540"/>
  <c r="MG540"/>
  <c r="MC540" s="1"/>
  <c r="LZ540"/>
  <c r="LY540"/>
  <c r="LT540"/>
  <c r="LO540"/>
  <c r="LN540"/>
  <c r="KK540"/>
  <c r="KJ540"/>
  <c r="JU540"/>
  <c r="JT540"/>
  <c r="IB540"/>
  <c r="BR540"/>
  <c r="AN540"/>
  <c r="MY539"/>
  <c r="MG539"/>
  <c r="MD539"/>
  <c r="MC539"/>
  <c r="LY539"/>
  <c r="LO539"/>
  <c r="LN539"/>
  <c r="KK539"/>
  <c r="KJ539"/>
  <c r="JU539"/>
  <c r="JT539"/>
  <c r="BR539"/>
  <c r="AN539"/>
  <c r="MY538"/>
  <c r="MG538" s="1"/>
  <c r="MD538"/>
  <c r="MC538"/>
  <c r="LZ538"/>
  <c r="LY538"/>
  <c r="LO538"/>
  <c r="LN538"/>
  <c r="KK538"/>
  <c r="KJ538"/>
  <c r="JU538"/>
  <c r="JT538"/>
  <c r="BR538"/>
  <c r="AN538"/>
  <c r="MY537"/>
  <c r="MG537"/>
  <c r="MF537"/>
  <c r="MD537"/>
  <c r="MC537"/>
  <c r="LZ537"/>
  <c r="LY537"/>
  <c r="LT537"/>
  <c r="LO537"/>
  <c r="LN537"/>
  <c r="KK537"/>
  <c r="KJ537"/>
  <c r="JU537"/>
  <c r="JT537"/>
  <c r="IB537"/>
  <c r="BR537"/>
  <c r="AN537"/>
  <c r="MC536"/>
  <c r="LY536"/>
  <c r="LT536"/>
  <c r="KM536"/>
  <c r="KL536"/>
  <c r="JW536"/>
  <c r="JV536"/>
  <c r="IB536"/>
  <c r="BR536"/>
  <c r="AN536"/>
  <c r="MY535" s="1"/>
  <c r="ML535"/>
  <c r="MK535"/>
  <c r="MG535"/>
  <c r="MC535"/>
  <c r="LY535"/>
  <c r="LT535"/>
  <c r="LO535"/>
  <c r="LN535"/>
  <c r="KK535"/>
  <c r="KJ535"/>
  <c r="JU535"/>
  <c r="JT535"/>
  <c r="IB535"/>
  <c r="BR535"/>
  <c r="AN535"/>
  <c r="MY534"/>
  <c r="MG534"/>
  <c r="MC534"/>
  <c r="LY534"/>
  <c r="MY533"/>
  <c r="MG533"/>
  <c r="MC533"/>
  <c r="LY533"/>
  <c r="GG533"/>
  <c r="BR533"/>
  <c r="AN533"/>
  <c r="MY532"/>
  <c r="MG532"/>
  <c r="MC532"/>
  <c r="LY532"/>
  <c r="LT532"/>
  <c r="LO532"/>
  <c r="LN532"/>
  <c r="KK532"/>
  <c r="KJ532"/>
  <c r="JU532"/>
  <c r="JT532"/>
  <c r="IB532"/>
  <c r="BR532"/>
  <c r="AN532"/>
  <c r="MY531"/>
  <c r="MG531"/>
  <c r="MC531"/>
  <c r="LY531"/>
  <c r="LO531"/>
  <c r="LN531"/>
  <c r="KK531"/>
  <c r="KJ531"/>
  <c r="JU531"/>
  <c r="JT531"/>
  <c r="MY530"/>
  <c r="MG530"/>
  <c r="MC530"/>
  <c r="LY530"/>
  <c r="BR530"/>
  <c r="AN530"/>
  <c r="RF529"/>
  <c r="MY529"/>
  <c r="MG529"/>
  <c r="MC529" s="1"/>
  <c r="LZ529"/>
  <c r="LY529"/>
  <c r="LO529"/>
  <c r="LN529"/>
  <c r="KK529"/>
  <c r="KJ529"/>
  <c r="JU529"/>
  <c r="JT529"/>
  <c r="MY528"/>
  <c r="MG528"/>
  <c r="MC528"/>
  <c r="LY528"/>
  <c r="LO528"/>
  <c r="LN528"/>
  <c r="KK528"/>
  <c r="KJ528"/>
  <c r="JU528"/>
  <c r="JT528"/>
  <c r="BR528"/>
  <c r="AN528"/>
  <c r="MY527"/>
  <c r="MG527" s="1"/>
  <c r="MD527"/>
  <c r="MC527" s="1"/>
  <c r="LZ527"/>
  <c r="LY527"/>
  <c r="LT527"/>
  <c r="LO527"/>
  <c r="LN527"/>
  <c r="KK527"/>
  <c r="KJ527"/>
  <c r="JU527"/>
  <c r="JT527"/>
  <c r="IB527"/>
  <c r="BR527"/>
  <c r="MY526"/>
  <c r="MG526"/>
  <c r="MC526"/>
  <c r="LY526"/>
  <c r="LO526"/>
  <c r="LN526"/>
  <c r="KK526"/>
  <c r="KJ526"/>
  <c r="JU526"/>
  <c r="JT526"/>
  <c r="GG526"/>
  <c r="BR526"/>
  <c r="MY525"/>
  <c r="MG525"/>
  <c r="MC525"/>
  <c r="LY525"/>
  <c r="LO525"/>
  <c r="LN525"/>
  <c r="KK525"/>
  <c r="KJ525"/>
  <c r="JU525"/>
  <c r="JT525"/>
  <c r="BR525"/>
  <c r="AN525"/>
  <c r="MY524"/>
  <c r="MG524"/>
  <c r="MC524"/>
  <c r="LY524"/>
  <c r="LT524"/>
  <c r="LO524"/>
  <c r="LN524"/>
  <c r="KK524"/>
  <c r="KJ524"/>
  <c r="JU524"/>
  <c r="JT524"/>
  <c r="IB524"/>
  <c r="MY523"/>
  <c r="MG523"/>
  <c r="MC523"/>
  <c r="LY523"/>
  <c r="LO523"/>
  <c r="LN523"/>
  <c r="KK523"/>
  <c r="KJ523"/>
  <c r="JU523"/>
  <c r="JT523"/>
  <c r="BR523"/>
  <c r="AN523"/>
  <c r="MY522"/>
  <c r="MG522"/>
  <c r="MC522"/>
  <c r="LY522"/>
  <c r="MY521"/>
  <c r="MG521"/>
  <c r="MC521"/>
  <c r="LY521"/>
  <c r="LT521"/>
  <c r="LO521"/>
  <c r="LN521"/>
  <c r="KK521"/>
  <c r="KJ521"/>
  <c r="JU521"/>
  <c r="JT521"/>
  <c r="IB521"/>
  <c r="BR521"/>
  <c r="MY520"/>
  <c r="MG520"/>
  <c r="MC520"/>
  <c r="LY520"/>
  <c r="LT520"/>
  <c r="LO520"/>
  <c r="LN520"/>
  <c r="KK520"/>
  <c r="KJ520"/>
  <c r="JU520"/>
  <c r="JT520"/>
  <c r="IB520"/>
  <c r="BR520"/>
  <c r="MC519"/>
  <c r="LY519"/>
  <c r="LT519"/>
  <c r="LO519"/>
  <c r="LN519"/>
  <c r="KK519"/>
  <c r="KJ519"/>
  <c r="JU519"/>
  <c r="JT519"/>
  <c r="IB519"/>
  <c r="BR519"/>
  <c r="AN519"/>
  <c r="MC518"/>
  <c r="LY518"/>
  <c r="LT518"/>
  <c r="KM518"/>
  <c r="KL518"/>
  <c r="JW518"/>
  <c r="JV518"/>
  <c r="IB518"/>
  <c r="BR518"/>
  <c r="AN518"/>
  <c r="MY517"/>
  <c r="MG517" s="1"/>
  <c r="MD517"/>
  <c r="MC517" s="1"/>
  <c r="LZ517"/>
  <c r="LY517"/>
  <c r="LO517"/>
  <c r="LN517"/>
  <c r="KK517"/>
  <c r="KJ517"/>
  <c r="JU517"/>
  <c r="JT517"/>
  <c r="GN517"/>
  <c r="BR517"/>
  <c r="AN517"/>
  <c r="J517"/>
  <c r="MY516"/>
  <c r="MG516"/>
  <c r="MC516"/>
  <c r="LY516"/>
  <c r="LO516"/>
  <c r="LN516"/>
  <c r="KK516"/>
  <c r="KJ516"/>
  <c r="JU516"/>
  <c r="JT516"/>
  <c r="BR516"/>
  <c r="AN516"/>
  <c r="MY515"/>
  <c r="MG515"/>
  <c r="MC515"/>
  <c r="LY515"/>
  <c r="BR515"/>
  <c r="AN515"/>
  <c r="MY514" s="1"/>
  <c r="MK514"/>
  <c r="MG514"/>
  <c r="MC514"/>
  <c r="LY514"/>
  <c r="LT514"/>
  <c r="LO514"/>
  <c r="LN514"/>
  <c r="KK514"/>
  <c r="KJ514"/>
  <c r="JU514"/>
  <c r="JT514"/>
  <c r="IB514"/>
  <c r="MY513" s="1"/>
  <c r="MK513"/>
  <c r="MG513"/>
  <c r="MC513"/>
  <c r="LY513"/>
  <c r="LT513"/>
  <c r="LO513"/>
  <c r="LN513"/>
  <c r="KK513"/>
  <c r="KJ513"/>
  <c r="JU513"/>
  <c r="JT513"/>
  <c r="IB513"/>
  <c r="BR513"/>
  <c r="AN513"/>
  <c r="MY512" s="1"/>
  <c r="MK512"/>
  <c r="MG512"/>
  <c r="MC512"/>
  <c r="LY512"/>
  <c r="LT512"/>
  <c r="LO512"/>
  <c r="LN512"/>
  <c r="KK512"/>
  <c r="KJ512"/>
  <c r="JU512"/>
  <c r="JT512"/>
  <c r="IB512"/>
  <c r="BR512"/>
  <c r="AN512"/>
  <c r="J512"/>
  <c r="RF511"/>
  <c r="MY511"/>
  <c r="MK511"/>
  <c r="MI511"/>
  <c r="MG511"/>
  <c r="MF511"/>
  <c r="MD511"/>
  <c r="MC511" s="1"/>
  <c r="LZ511"/>
  <c r="LY511"/>
  <c r="LT511"/>
  <c r="LO511"/>
  <c r="LN511"/>
  <c r="KK511"/>
  <c r="KJ511"/>
  <c r="JU511"/>
  <c r="JT511"/>
  <c r="IB511"/>
  <c r="BR511"/>
  <c r="AN511"/>
  <c r="MC510"/>
  <c r="LY510"/>
  <c r="LT510"/>
  <c r="KM510"/>
  <c r="KL510"/>
  <c r="JW510"/>
  <c r="JV510"/>
  <c r="IB510"/>
  <c r="BR510"/>
  <c r="AN510"/>
  <c r="MY509"/>
  <c r="MG509"/>
  <c r="MC509"/>
  <c r="LY509"/>
  <c r="LT509"/>
  <c r="LO509"/>
  <c r="LN509"/>
  <c r="KK509"/>
  <c r="KJ509"/>
  <c r="JU509"/>
  <c r="JT509"/>
  <c r="IB509"/>
  <c r="J509"/>
  <c r="MY508"/>
  <c r="MG508" s="1"/>
  <c r="MD508"/>
  <c r="MC508"/>
  <c r="LY508"/>
  <c r="LT508"/>
  <c r="LO508"/>
  <c r="LN508"/>
  <c r="KK508"/>
  <c r="KJ508"/>
  <c r="JU508"/>
  <c r="JT508"/>
  <c r="IB508"/>
  <c r="BR508"/>
  <c r="AN508"/>
  <c r="MY507"/>
  <c r="MG507"/>
  <c r="MC507"/>
  <c r="LY507"/>
  <c r="LT507"/>
  <c r="LO507"/>
  <c r="LN507"/>
  <c r="KK507"/>
  <c r="KJ507"/>
  <c r="JU507"/>
  <c r="JT507"/>
  <c r="IB507"/>
  <c r="BR507"/>
  <c r="AN507"/>
  <c r="MY506"/>
  <c r="MG506"/>
  <c r="MC506"/>
  <c r="LY506"/>
  <c r="LT506"/>
  <c r="LO506"/>
  <c r="LN506"/>
  <c r="KK506"/>
  <c r="KJ506"/>
  <c r="JU506"/>
  <c r="JT506"/>
  <c r="IB506"/>
  <c r="BR506"/>
  <c r="AN506"/>
  <c r="MY505"/>
  <c r="MG505" s="1"/>
  <c r="MD505"/>
  <c r="MC505" s="1"/>
  <c r="LZ505"/>
  <c r="LY505"/>
  <c r="LT505"/>
  <c r="LO505"/>
  <c r="LN505"/>
  <c r="KK505"/>
  <c r="KJ505"/>
  <c r="JU505"/>
  <c r="JT505"/>
  <c r="IB505"/>
  <c r="GN505"/>
  <c r="BR505"/>
  <c r="AN505"/>
  <c r="J505"/>
  <c r="MY504"/>
  <c r="MG504"/>
  <c r="MC504"/>
  <c r="LY504"/>
  <c r="LT504"/>
  <c r="LO504"/>
  <c r="LN504"/>
  <c r="KK504"/>
  <c r="KJ504"/>
  <c r="JU504"/>
  <c r="JT504"/>
  <c r="IB504"/>
  <c r="BR504"/>
  <c r="AN504"/>
  <c r="J504"/>
  <c r="MY503"/>
  <c r="MG503"/>
  <c r="MC503"/>
  <c r="LY503"/>
  <c r="LT503"/>
  <c r="LO503"/>
  <c r="LN503"/>
  <c r="KK503"/>
  <c r="KJ503"/>
  <c r="JU503"/>
  <c r="JT503"/>
  <c r="IB503"/>
  <c r="BR503"/>
  <c r="AN503"/>
  <c r="J503"/>
  <c r="MY502"/>
  <c r="MG502"/>
  <c r="MC502"/>
  <c r="LY502"/>
  <c r="LT502"/>
  <c r="LO502"/>
  <c r="LN502"/>
  <c r="KK502"/>
  <c r="KJ502"/>
  <c r="JU502"/>
  <c r="JT502"/>
  <c r="IB502"/>
  <c r="BR502"/>
  <c r="AN502"/>
  <c r="J502"/>
  <c r="MY501"/>
  <c r="MG501"/>
  <c r="MC501"/>
  <c r="LY501"/>
  <c r="LT501"/>
  <c r="LO501"/>
  <c r="LN501"/>
  <c r="KK501"/>
  <c r="KJ501"/>
  <c r="JU501"/>
  <c r="JT501"/>
  <c r="IB501"/>
  <c r="BR501"/>
  <c r="AN501"/>
  <c r="J501"/>
  <c r="MY500"/>
  <c r="MG500" s="1"/>
  <c r="MF500"/>
  <c r="MC500" s="1"/>
  <c r="MB500"/>
  <c r="LY500"/>
  <c r="LT500"/>
  <c r="LO500"/>
  <c r="LN500"/>
  <c r="KK500"/>
  <c r="KJ500"/>
  <c r="JU500"/>
  <c r="JT500"/>
  <c r="IB500"/>
  <c r="GN500"/>
  <c r="BR500"/>
  <c r="AN500"/>
  <c r="J500"/>
  <c r="MY499"/>
  <c r="MG499" s="1"/>
  <c r="MF499"/>
  <c r="MC499"/>
  <c r="LY499"/>
  <c r="LT499"/>
  <c r="LO499"/>
  <c r="LN499"/>
  <c r="KK499"/>
  <c r="KJ499"/>
  <c r="JU499"/>
  <c r="JT499"/>
  <c r="IB499"/>
  <c r="BR499"/>
  <c r="AN499"/>
  <c r="J499"/>
  <c r="MY498"/>
  <c r="MG498" s="1"/>
  <c r="MF498"/>
  <c r="MC498"/>
  <c r="LY498"/>
  <c r="LO498"/>
  <c r="LN498"/>
  <c r="KK498"/>
  <c r="KJ498"/>
  <c r="JU498"/>
  <c r="JT498"/>
  <c r="BR498"/>
  <c r="MY497"/>
  <c r="MG497"/>
  <c r="MC497"/>
  <c r="LY497"/>
  <c r="LO497"/>
  <c r="LN497"/>
  <c r="KK497"/>
  <c r="KJ497"/>
  <c r="JU497"/>
  <c r="JT497"/>
  <c r="BR497"/>
  <c r="AN497"/>
  <c r="J497"/>
  <c r="MY496"/>
  <c r="MG496"/>
  <c r="MC496"/>
  <c r="LY496"/>
  <c r="BR496"/>
  <c r="J496"/>
  <c r="MY495"/>
  <c r="MG495" s="1"/>
  <c r="MD495"/>
  <c r="MC495"/>
  <c r="LY495"/>
  <c r="LO495"/>
  <c r="LN495"/>
  <c r="JU495"/>
  <c r="JT495"/>
  <c r="MY494"/>
  <c r="MG494"/>
  <c r="MC494"/>
  <c r="LY494"/>
  <c r="BR494"/>
  <c r="MY493"/>
  <c r="MG493"/>
  <c r="MC493"/>
  <c r="LY493"/>
  <c r="MY492"/>
  <c r="MG492"/>
  <c r="MC492"/>
  <c r="LY492"/>
  <c r="BR492"/>
  <c r="BG492"/>
  <c r="MY491"/>
  <c r="MG491"/>
  <c r="MC491"/>
  <c r="LY491"/>
  <c r="AN491"/>
  <c r="MY490"/>
  <c r="MG490"/>
  <c r="MC490"/>
  <c r="LY490"/>
  <c r="AN490"/>
  <c r="J490"/>
  <c r="MY489"/>
  <c r="MG489" s="1"/>
  <c r="MD489"/>
  <c r="MC489"/>
  <c r="LZ489"/>
  <c r="LY489"/>
  <c r="LT489"/>
  <c r="LO489"/>
  <c r="LN489"/>
  <c r="KK489"/>
  <c r="KJ489"/>
  <c r="JU489"/>
  <c r="JT489"/>
  <c r="IB489"/>
  <c r="BR489"/>
  <c r="AN489"/>
  <c r="MY488"/>
  <c r="MG488"/>
  <c r="MC488"/>
  <c r="LY488"/>
  <c r="BR488"/>
  <c r="AN488"/>
  <c r="MY487"/>
  <c r="MG487"/>
  <c r="MC487"/>
  <c r="LY487"/>
  <c r="LT487"/>
  <c r="LO487"/>
  <c r="LN487"/>
  <c r="KK487"/>
  <c r="KJ487"/>
  <c r="JU487"/>
  <c r="JT487"/>
  <c r="IB487"/>
  <c r="BR487"/>
  <c r="AN487"/>
  <c r="MY486"/>
  <c r="MG486"/>
  <c r="MC486"/>
  <c r="LY486"/>
  <c r="LT486"/>
  <c r="LO486"/>
  <c r="LN486"/>
  <c r="KK486"/>
  <c r="KJ486"/>
  <c r="JU486"/>
  <c r="JT486"/>
  <c r="IB486"/>
  <c r="BR486"/>
  <c r="AN486"/>
  <c r="MY485"/>
  <c r="MG485"/>
  <c r="MC485"/>
  <c r="LY485"/>
  <c r="LT485"/>
  <c r="LO485"/>
  <c r="LN485"/>
  <c r="KK485"/>
  <c r="KJ485"/>
  <c r="JU485"/>
  <c r="JT485"/>
  <c r="IB485"/>
  <c r="BR485"/>
  <c r="AN485"/>
  <c r="MY484"/>
  <c r="MG484"/>
  <c r="MC484"/>
  <c r="LY484"/>
  <c r="LT484"/>
  <c r="LO484"/>
  <c r="LN484"/>
  <c r="KK484"/>
  <c r="KJ484"/>
  <c r="JU484"/>
  <c r="JT484"/>
  <c r="IB484"/>
  <c r="BR484"/>
  <c r="AN484"/>
  <c r="MY483"/>
  <c r="MG483"/>
  <c r="MC483"/>
  <c r="LY483"/>
  <c r="AN483"/>
  <c r="MY482"/>
  <c r="MG482"/>
  <c r="MC482"/>
  <c r="LY482"/>
  <c r="LT482"/>
  <c r="LO482"/>
  <c r="LN482"/>
  <c r="KK482"/>
  <c r="KJ482"/>
  <c r="JU482"/>
  <c r="JT482"/>
  <c r="IB482"/>
  <c r="BR482"/>
  <c r="AN482"/>
  <c r="MY481"/>
  <c r="MG481"/>
  <c r="MC481"/>
  <c r="LY481"/>
  <c r="LT481"/>
  <c r="LO481"/>
  <c r="LN481"/>
  <c r="KK481"/>
  <c r="KJ481"/>
  <c r="JU481"/>
  <c r="JT481"/>
  <c r="IB481"/>
  <c r="BR481"/>
  <c r="AN481"/>
  <c r="MY480"/>
  <c r="MG480"/>
  <c r="MC480"/>
  <c r="LY480"/>
  <c r="LT480"/>
  <c r="LO480"/>
  <c r="LN480"/>
  <c r="KK480"/>
  <c r="KJ480"/>
  <c r="JU480"/>
  <c r="JT480"/>
  <c r="IB480"/>
  <c r="BR480"/>
  <c r="AN480"/>
  <c r="MY479"/>
  <c r="MG479" s="1"/>
  <c r="MD479"/>
  <c r="MC479" s="1"/>
  <c r="LZ479"/>
  <c r="LY479"/>
  <c r="LT479"/>
  <c r="LO479"/>
  <c r="LN479"/>
  <c r="KK479"/>
  <c r="KJ479"/>
  <c r="JU479"/>
  <c r="JT479"/>
  <c r="IB479"/>
  <c r="BR479"/>
  <c r="MY478"/>
  <c r="MG478"/>
  <c r="MC478"/>
  <c r="LY478"/>
  <c r="BR478"/>
  <c r="AN478"/>
  <c r="MY477"/>
  <c r="MG477"/>
  <c r="MF477"/>
  <c r="MC477" s="1"/>
  <c r="LZ477"/>
  <c r="LY477"/>
  <c r="LT477"/>
  <c r="LO477"/>
  <c r="LN477"/>
  <c r="KK477"/>
  <c r="KJ477"/>
  <c r="JU477"/>
  <c r="JT477"/>
  <c r="IB477"/>
  <c r="BR477"/>
  <c r="AN477"/>
  <c r="MY476"/>
  <c r="MG476"/>
  <c r="MC476"/>
  <c r="LY476"/>
  <c r="LT476"/>
  <c r="LO476"/>
  <c r="LN476"/>
  <c r="KK476"/>
  <c r="KJ476"/>
  <c r="JU476"/>
  <c r="JT476"/>
  <c r="IB476"/>
  <c r="BR476"/>
  <c r="AN476"/>
  <c r="MY475"/>
  <c r="MG475"/>
  <c r="MC475"/>
  <c r="LZ475"/>
  <c r="LY475"/>
  <c r="LT475"/>
  <c r="LO475"/>
  <c r="LN475"/>
  <c r="KK475"/>
  <c r="KJ475"/>
  <c r="JU475"/>
  <c r="JT475"/>
  <c r="IB475"/>
  <c r="BR475"/>
  <c r="AN475"/>
  <c r="MY474"/>
  <c r="MG474"/>
  <c r="MC474"/>
  <c r="LY474"/>
  <c r="LT474"/>
  <c r="LO474"/>
  <c r="LN474"/>
  <c r="KK474"/>
  <c r="KJ474"/>
  <c r="JU474"/>
  <c r="JT474"/>
  <c r="IB474"/>
  <c r="BR474"/>
  <c r="AN474"/>
  <c r="MY473"/>
  <c r="MG473" s="1"/>
  <c r="MD473"/>
  <c r="MC473" s="1"/>
  <c r="LZ473"/>
  <c r="LY473"/>
  <c r="LT473"/>
  <c r="LO473"/>
  <c r="LN473"/>
  <c r="KK473"/>
  <c r="KJ473"/>
  <c r="JU473"/>
  <c r="JT473"/>
  <c r="IB473"/>
  <c r="BR473"/>
  <c r="AN473"/>
  <c r="MY472"/>
  <c r="MG472"/>
  <c r="MC472"/>
  <c r="LY472"/>
  <c r="AN472"/>
  <c r="MY471"/>
  <c r="MG471"/>
  <c r="MC471" s="1"/>
  <c r="LZ471"/>
  <c r="LY471"/>
  <c r="LT471"/>
  <c r="LO471"/>
  <c r="LN471"/>
  <c r="KK471"/>
  <c r="KJ471"/>
  <c r="JU471"/>
  <c r="JT471"/>
  <c r="IB471"/>
  <c r="BR471"/>
  <c r="AN471"/>
  <c r="MY470"/>
  <c r="MG470" s="1"/>
  <c r="MF470"/>
  <c r="MC470" s="1"/>
  <c r="MB470"/>
  <c r="LY470"/>
  <c r="LT470"/>
  <c r="LO470"/>
  <c r="LN470"/>
  <c r="KK470"/>
  <c r="KJ470"/>
  <c r="JU470"/>
  <c r="JT470"/>
  <c r="IB470"/>
  <c r="BR470" s="1"/>
  <c r="BQ470"/>
  <c r="AN470" s="1"/>
  <c r="AM470"/>
  <c r="MY469"/>
  <c r="MG469"/>
  <c r="MC469"/>
  <c r="LY469"/>
  <c r="AN469"/>
  <c r="MY468"/>
  <c r="MQ468"/>
  <c r="MJ468"/>
  <c r="MI468"/>
  <c r="MG468" s="1"/>
  <c r="MD468"/>
  <c r="MC468"/>
  <c r="LY468"/>
  <c r="LO468"/>
  <c r="LN468"/>
  <c r="KK468"/>
  <c r="KJ468"/>
  <c r="JU468"/>
  <c r="JT468"/>
  <c r="AN468"/>
  <c r="MY467" s="1"/>
  <c r="MK467"/>
  <c r="MG467" s="1"/>
  <c r="MF467"/>
  <c r="MC467" s="1"/>
  <c r="MB467"/>
  <c r="LY467"/>
  <c r="LO467"/>
  <c r="LN467"/>
  <c r="KK467"/>
  <c r="KJ467"/>
  <c r="JU467"/>
  <c r="JT467"/>
  <c r="AN467"/>
  <c r="MY466" s="1"/>
  <c r="MK466"/>
  <c r="MJ466"/>
  <c r="MI466"/>
  <c r="MG466" s="1"/>
  <c r="MD466"/>
  <c r="MC466" s="1"/>
  <c r="LZ466"/>
  <c r="LY466"/>
  <c r="LO466"/>
  <c r="LN466"/>
  <c r="KK466"/>
  <c r="KJ466"/>
  <c r="JU466"/>
  <c r="JT466"/>
  <c r="AN466"/>
  <c r="MY465"/>
  <c r="MG465"/>
  <c r="MC465"/>
  <c r="LY465"/>
  <c r="LO465"/>
  <c r="LN465"/>
  <c r="KK465"/>
  <c r="KJ465"/>
  <c r="JU465"/>
  <c r="JT465"/>
  <c r="AN465"/>
  <c r="MY464"/>
  <c r="MG464"/>
  <c r="MC464"/>
  <c r="LY464"/>
  <c r="LO464"/>
  <c r="LN464"/>
  <c r="KK464"/>
  <c r="KJ464"/>
  <c r="JU464"/>
  <c r="JT464"/>
  <c r="AN464"/>
  <c r="MY463"/>
  <c r="MG463"/>
  <c r="MC463"/>
  <c r="LY463"/>
  <c r="AN463"/>
  <c r="MY462"/>
  <c r="MG462"/>
  <c r="MC462"/>
  <c r="LY462"/>
  <c r="AN462"/>
  <c r="MY461"/>
  <c r="MG461"/>
  <c r="MC461"/>
  <c r="LY461"/>
  <c r="AN461"/>
  <c r="MY460"/>
  <c r="MG460"/>
  <c r="MC460"/>
  <c r="LY460"/>
  <c r="AN460"/>
  <c r="MY459"/>
  <c r="MG459"/>
  <c r="MC459"/>
  <c r="LY459"/>
  <c r="MY458"/>
  <c r="MG458" s="1"/>
  <c r="MD458"/>
  <c r="MC458"/>
  <c r="LY458"/>
  <c r="LO458"/>
  <c r="LN458"/>
  <c r="KK458"/>
  <c r="KJ458"/>
  <c r="JU458"/>
  <c r="JT458"/>
  <c r="AN458"/>
  <c r="MY457" s="1"/>
  <c r="MI457"/>
  <c r="MG457" s="1"/>
  <c r="ME457"/>
  <c r="MC457"/>
  <c r="LY457"/>
  <c r="LO457"/>
  <c r="LN457"/>
  <c r="KK457"/>
  <c r="KJ457"/>
  <c r="JU457"/>
  <c r="JT457"/>
  <c r="AN457"/>
  <c r="MY456"/>
  <c r="MG456"/>
  <c r="MC456"/>
  <c r="LY456"/>
  <c r="AN456"/>
  <c r="MY455"/>
  <c r="MX455"/>
  <c r="MJ455"/>
  <c r="MI455"/>
  <c r="MG455"/>
  <c r="MC455"/>
  <c r="LY455"/>
  <c r="LO455"/>
  <c r="LN455"/>
  <c r="KK455"/>
  <c r="KJ455"/>
  <c r="JU455"/>
  <c r="JT455"/>
  <c r="AN455"/>
  <c r="MY454"/>
  <c r="MG454"/>
  <c r="MC454"/>
  <c r="LY454"/>
  <c r="MY453"/>
  <c r="MG453"/>
  <c r="MC453" s="1"/>
  <c r="LZ453"/>
  <c r="LY453"/>
  <c r="LO453"/>
  <c r="LN453"/>
  <c r="JU453"/>
  <c r="JT453"/>
  <c r="AN453"/>
  <c r="MY452"/>
  <c r="MG452"/>
  <c r="MC452"/>
  <c r="LY452"/>
  <c r="LO452"/>
  <c r="LN452"/>
  <c r="KK452"/>
  <c r="KJ452"/>
  <c r="JU452"/>
  <c r="JT452"/>
  <c r="AN452"/>
  <c r="MY451"/>
  <c r="MG451" s="1"/>
  <c r="MD451"/>
  <c r="MC451" s="1"/>
  <c r="LZ451"/>
  <c r="LY451"/>
  <c r="KK451"/>
  <c r="KJ451"/>
  <c r="JU451"/>
  <c r="JT451"/>
  <c r="DE451"/>
  <c r="AN451"/>
  <c r="MY450"/>
  <c r="MG450"/>
  <c r="MC450"/>
  <c r="LY450"/>
  <c r="BR450"/>
  <c r="AN450"/>
  <c r="MY449"/>
  <c r="MG449"/>
  <c r="MC449"/>
  <c r="LY449"/>
  <c r="MY448" s="1"/>
  <c r="MS448"/>
  <c r="MG448" s="1"/>
  <c r="MF448"/>
  <c r="MC448"/>
  <c r="LY448"/>
  <c r="LO448"/>
  <c r="LN448"/>
  <c r="KK448"/>
  <c r="KJ448"/>
  <c r="JU448"/>
  <c r="JT448"/>
  <c r="BR448"/>
  <c r="AN448"/>
  <c r="MY447"/>
  <c r="MG447" s="1"/>
  <c r="MD447"/>
  <c r="MC447" s="1"/>
  <c r="LZ447"/>
  <c r="LY447"/>
  <c r="LT447"/>
  <c r="LO447"/>
  <c r="LN447"/>
  <c r="KK447"/>
  <c r="KJ447"/>
  <c r="JU447"/>
  <c r="JT447"/>
  <c r="IB447"/>
  <c r="BR447"/>
  <c r="AN447"/>
  <c r="MY446" s="1"/>
  <c r="MK446"/>
  <c r="MG446" s="1"/>
  <c r="MF446"/>
  <c r="MC446"/>
  <c r="LY446"/>
  <c r="LT446"/>
  <c r="LO446"/>
  <c r="LN446"/>
  <c r="KK446"/>
  <c r="KJ446"/>
  <c r="JU446"/>
  <c r="JT446"/>
  <c r="IB446"/>
  <c r="BR446"/>
  <c r="MY445"/>
  <c r="MG445"/>
  <c r="MC445"/>
  <c r="LY445"/>
  <c r="LT445"/>
  <c r="LO445"/>
  <c r="LN445"/>
  <c r="KK445"/>
  <c r="KJ445"/>
  <c r="JU445"/>
  <c r="JT445"/>
  <c r="IB445"/>
  <c r="MY444"/>
  <c r="MG444"/>
  <c r="MC444"/>
  <c r="LY444"/>
  <c r="LT444"/>
  <c r="LO444"/>
  <c r="LN444"/>
  <c r="KK444"/>
  <c r="KJ444"/>
  <c r="JU444"/>
  <c r="JT444"/>
  <c r="IB444"/>
  <c r="BR444"/>
  <c r="AN444"/>
  <c r="MY443"/>
  <c r="MG443"/>
  <c r="MC443"/>
  <c r="LY443"/>
  <c r="LT443"/>
  <c r="LO443"/>
  <c r="LN443"/>
  <c r="KK443"/>
  <c r="KJ443"/>
  <c r="JU443"/>
  <c r="JT443"/>
  <c r="IB443"/>
  <c r="BW443"/>
  <c r="BR443"/>
  <c r="AN443"/>
  <c r="MY442"/>
  <c r="MG442"/>
  <c r="MC442"/>
  <c r="LY442"/>
  <c r="LT442"/>
  <c r="LO442"/>
  <c r="LN442"/>
  <c r="KK442"/>
  <c r="KJ442"/>
  <c r="JU442"/>
  <c r="JT442"/>
  <c r="IB442"/>
  <c r="BR442"/>
  <c r="AN442"/>
  <c r="MY441"/>
  <c r="MG441" s="1"/>
  <c r="MF441"/>
  <c r="MD441"/>
  <c r="MC441" s="1"/>
  <c r="LZ441"/>
  <c r="LY441"/>
  <c r="LT441"/>
  <c r="LO441"/>
  <c r="LN441"/>
  <c r="KK441"/>
  <c r="KJ441"/>
  <c r="JU441"/>
  <c r="JT441"/>
  <c r="IB441"/>
  <c r="BR441"/>
  <c r="AN441"/>
  <c r="MY440"/>
  <c r="MG440"/>
  <c r="MC440"/>
  <c r="LY440"/>
  <c r="LT440"/>
  <c r="LO440"/>
  <c r="LN440"/>
  <c r="KK440"/>
  <c r="KJ440"/>
  <c r="JU440"/>
  <c r="JT440"/>
  <c r="IB440"/>
  <c r="BR440"/>
  <c r="AN440"/>
  <c r="MC439"/>
  <c r="LY439"/>
  <c r="LT439"/>
  <c r="KM439"/>
  <c r="KL439"/>
  <c r="JW439"/>
  <c r="JV439"/>
  <c r="IB439"/>
  <c r="MY438"/>
  <c r="MG438" s="1"/>
  <c r="MD438"/>
  <c r="MC438"/>
  <c r="LY438"/>
  <c r="LT438"/>
  <c r="LO438"/>
  <c r="LN438"/>
  <c r="KK438"/>
  <c r="KJ438"/>
  <c r="JU438"/>
  <c r="JT438"/>
  <c r="IB438"/>
  <c r="BR438"/>
  <c r="AN438"/>
  <c r="MY437"/>
  <c r="MG437" s="1"/>
  <c r="MF437"/>
  <c r="MC437"/>
  <c r="LY437"/>
  <c r="LT437"/>
  <c r="LO437"/>
  <c r="LN437"/>
  <c r="KK437"/>
  <c r="KJ437"/>
  <c r="JU437"/>
  <c r="JT437"/>
  <c r="IB437"/>
  <c r="BR437"/>
  <c r="AN437"/>
  <c r="MY436"/>
  <c r="MG436"/>
  <c r="MC436"/>
  <c r="LY436"/>
  <c r="LT436"/>
  <c r="LO436"/>
  <c r="LN436"/>
  <c r="KK436"/>
  <c r="KJ436"/>
  <c r="JU436"/>
  <c r="JT436"/>
  <c r="IB436"/>
  <c r="GN436"/>
  <c r="MY435"/>
  <c r="MG435"/>
  <c r="MC435"/>
  <c r="LY435"/>
  <c r="LT435"/>
  <c r="LO435"/>
  <c r="LN435"/>
  <c r="KK435"/>
  <c r="KJ435"/>
  <c r="JU435"/>
  <c r="JT435"/>
  <c r="IB435"/>
  <c r="BR435"/>
  <c r="AN435"/>
  <c r="MC434"/>
  <c r="LY434"/>
  <c r="LT434"/>
  <c r="LO434"/>
  <c r="LN434"/>
  <c r="KK434"/>
  <c r="KJ434"/>
  <c r="JU434"/>
  <c r="JT434"/>
  <c r="IB434"/>
  <c r="MC433"/>
  <c r="LY433"/>
  <c r="LT433"/>
  <c r="LO433"/>
  <c r="LN433"/>
  <c r="KK433"/>
  <c r="KJ433"/>
  <c r="JU433"/>
  <c r="JT433"/>
  <c r="IB433"/>
  <c r="MC432"/>
  <c r="LY432"/>
  <c r="LT432"/>
  <c r="LO432"/>
  <c r="LN432"/>
  <c r="KK432"/>
  <c r="KJ432"/>
  <c r="JU432"/>
  <c r="JT432"/>
  <c r="IB432"/>
  <c r="MC431"/>
  <c r="LY431"/>
  <c r="LT431"/>
  <c r="LO431"/>
  <c r="LN431"/>
  <c r="KK431"/>
  <c r="KJ431"/>
  <c r="JU431"/>
  <c r="JT431"/>
  <c r="IB431"/>
  <c r="MY430"/>
  <c r="MG430"/>
  <c r="MC430"/>
  <c r="LY430"/>
  <c r="LT430"/>
  <c r="LO430"/>
  <c r="LN430"/>
  <c r="KK430"/>
  <c r="KJ430"/>
  <c r="JU430"/>
  <c r="JT430"/>
  <c r="IB430"/>
  <c r="GG430"/>
  <c r="BR430"/>
  <c r="AN430"/>
  <c r="MY429"/>
  <c r="MG429"/>
  <c r="MC429"/>
  <c r="LY429"/>
  <c r="LT429"/>
  <c r="LO429"/>
  <c r="LN429"/>
  <c r="KK429"/>
  <c r="KJ429"/>
  <c r="JU429"/>
  <c r="JT429"/>
  <c r="IB429"/>
  <c r="GN429"/>
  <c r="MY428"/>
  <c r="MG428"/>
  <c r="MC428"/>
  <c r="LY428"/>
  <c r="LT428"/>
  <c r="LO428"/>
  <c r="LN428"/>
  <c r="KK428"/>
  <c r="KJ428"/>
  <c r="JU428"/>
  <c r="JT428"/>
  <c r="IB428"/>
  <c r="BR428"/>
  <c r="AN428"/>
  <c r="MY427"/>
  <c r="MG427"/>
  <c r="MC427"/>
  <c r="LY427"/>
  <c r="LT427"/>
  <c r="LO427"/>
  <c r="LN427"/>
  <c r="KK427"/>
  <c r="KJ427"/>
  <c r="JU427"/>
  <c r="JT427"/>
  <c r="IB427"/>
  <c r="BR427"/>
  <c r="AN427"/>
  <c r="MY426" s="1"/>
  <c r="MK426"/>
  <c r="MG426"/>
  <c r="MC426"/>
  <c r="LY426"/>
  <c r="LT426"/>
  <c r="LO426"/>
  <c r="LN426"/>
  <c r="KK426"/>
  <c r="KJ426"/>
  <c r="JU426"/>
  <c r="JT426"/>
  <c r="IB426"/>
  <c r="MC425"/>
  <c r="LY425"/>
  <c r="LT425"/>
  <c r="KM425"/>
  <c r="KL425"/>
  <c r="JW425"/>
  <c r="JV425"/>
  <c r="IB425"/>
  <c r="BR425"/>
  <c r="AN425"/>
  <c r="MY424"/>
  <c r="MG424"/>
  <c r="MC424"/>
  <c r="LY424"/>
  <c r="MY423"/>
  <c r="MG423" s="1"/>
  <c r="MF423"/>
  <c r="MC423"/>
  <c r="LY423"/>
  <c r="LT423"/>
  <c r="LO423"/>
  <c r="LN423"/>
  <c r="KK423"/>
  <c r="KJ423"/>
  <c r="JU423"/>
  <c r="JT423"/>
  <c r="IB423"/>
  <c r="BR423"/>
  <c r="AN423"/>
  <c r="MY422"/>
  <c r="MG422"/>
  <c r="MC422"/>
  <c r="LY422"/>
  <c r="BR422"/>
  <c r="AN422"/>
  <c r="MY421"/>
  <c r="MG421"/>
  <c r="MC421"/>
  <c r="LY421"/>
  <c r="AN421"/>
  <c r="MY420"/>
  <c r="MG420"/>
  <c r="MC420"/>
  <c r="LY420"/>
  <c r="BR420"/>
  <c r="AN420"/>
  <c r="MY419"/>
  <c r="MG419"/>
  <c r="MC419"/>
  <c r="LY419"/>
  <c r="BR419"/>
  <c r="AN419"/>
  <c r="MY418"/>
  <c r="MG418"/>
  <c r="MC418"/>
  <c r="LY418"/>
  <c r="BR418"/>
  <c r="AN418"/>
  <c r="MY417"/>
  <c r="MG417"/>
  <c r="MC417"/>
  <c r="LY417"/>
  <c r="IB417"/>
  <c r="MY416"/>
  <c r="MG416"/>
  <c r="MC416"/>
  <c r="LY416"/>
  <c r="IB416"/>
  <c r="MY415"/>
  <c r="MG415"/>
  <c r="MC415"/>
  <c r="LY415"/>
  <c r="IB415"/>
  <c r="MY414"/>
  <c r="MG414"/>
  <c r="MC414"/>
  <c r="LY414"/>
  <c r="IB414"/>
  <c r="MY413"/>
  <c r="MG413"/>
  <c r="MC413"/>
  <c r="LY413"/>
  <c r="LT413"/>
  <c r="LO413"/>
  <c r="LN413"/>
  <c r="KK413"/>
  <c r="KJ413"/>
  <c r="JU413"/>
  <c r="JT413"/>
  <c r="IB413"/>
  <c r="MY412"/>
  <c r="MG412"/>
  <c r="MC412"/>
  <c r="LY412"/>
  <c r="LT412"/>
  <c r="LO412"/>
  <c r="LN412"/>
  <c r="KK412"/>
  <c r="KJ412"/>
  <c r="JU412"/>
  <c r="JT412"/>
  <c r="IB412"/>
  <c r="BR412"/>
  <c r="MY411"/>
  <c r="MG411"/>
  <c r="MC411"/>
  <c r="LY411"/>
  <c r="LT411"/>
  <c r="LO411"/>
  <c r="LN411"/>
  <c r="KK411"/>
  <c r="KJ411"/>
  <c r="JU411"/>
  <c r="JT411"/>
  <c r="IB411"/>
  <c r="BR411"/>
  <c r="AN411"/>
  <c r="MY410"/>
  <c r="MG410"/>
  <c r="MC410"/>
  <c r="LY410"/>
  <c r="IB410"/>
  <c r="MY409"/>
  <c r="MG409"/>
  <c r="MC409"/>
  <c r="LY409"/>
  <c r="LT409"/>
  <c r="LO409"/>
  <c r="LN409"/>
  <c r="KK409"/>
  <c r="KJ409"/>
  <c r="JU409"/>
  <c r="JT409"/>
  <c r="IB409"/>
  <c r="MY408"/>
  <c r="MG408"/>
  <c r="MC408"/>
  <c r="LY408"/>
  <c r="IB408"/>
  <c r="MY407"/>
  <c r="MG407"/>
  <c r="MC407"/>
  <c r="LY407"/>
  <c r="LT407"/>
  <c r="LO407"/>
  <c r="LN407"/>
  <c r="KK407"/>
  <c r="KJ407"/>
  <c r="JU407"/>
  <c r="JT407"/>
  <c r="IB407"/>
  <c r="MY406"/>
  <c r="MG406"/>
  <c r="MC406"/>
  <c r="LY406"/>
  <c r="LT406"/>
  <c r="LO406"/>
  <c r="LN406"/>
  <c r="KK406"/>
  <c r="KJ406"/>
  <c r="JU406"/>
  <c r="JT406"/>
  <c r="IB406"/>
  <c r="BR406"/>
  <c r="MY405"/>
  <c r="MG405" s="1"/>
  <c r="MD405"/>
  <c r="MC405"/>
  <c r="LY405"/>
  <c r="LT405"/>
  <c r="LO405"/>
  <c r="LN405"/>
  <c r="KK405"/>
  <c r="KJ405"/>
  <c r="JU405"/>
  <c r="JT405"/>
  <c r="IB405"/>
  <c r="BR405"/>
  <c r="MY404"/>
  <c r="MG404"/>
  <c r="MC404"/>
  <c r="LY404"/>
  <c r="IB404"/>
  <c r="AN404"/>
  <c r="MY403"/>
  <c r="MG403"/>
  <c r="MC403"/>
  <c r="LY403"/>
  <c r="IB403"/>
  <c r="MY402"/>
  <c r="MG402"/>
  <c r="MC402"/>
  <c r="LY402"/>
  <c r="KK402"/>
  <c r="KJ402"/>
  <c r="JU402"/>
  <c r="JT402"/>
  <c r="IB402"/>
  <c r="MY401"/>
  <c r="MG401"/>
  <c r="MC401"/>
  <c r="LY401"/>
  <c r="IB401"/>
  <c r="MY400"/>
  <c r="MG400"/>
  <c r="MC400"/>
  <c r="LY400"/>
  <c r="IB400"/>
  <c r="MY399"/>
  <c r="MG399"/>
  <c r="MC399"/>
  <c r="LY399"/>
  <c r="IB399"/>
  <c r="MY398"/>
  <c r="MG398"/>
  <c r="MC398"/>
  <c r="LY398"/>
  <c r="IB398"/>
  <c r="MY397"/>
  <c r="MG397"/>
  <c r="MC397"/>
  <c r="LY397"/>
  <c r="IB397"/>
  <c r="BR397"/>
  <c r="MY396"/>
  <c r="MG396" s="1"/>
  <c r="MD396"/>
  <c r="MC396"/>
  <c r="LZ396"/>
  <c r="LY396"/>
  <c r="LT396"/>
  <c r="LO396"/>
  <c r="LN396"/>
  <c r="KK396"/>
  <c r="KJ396"/>
  <c r="JU396"/>
  <c r="JT396"/>
  <c r="IB396"/>
  <c r="MY395"/>
  <c r="MG395"/>
  <c r="MC395"/>
  <c r="LY395"/>
  <c r="LT395"/>
  <c r="LO395"/>
  <c r="LN395"/>
  <c r="KK395"/>
  <c r="KJ395"/>
  <c r="JU395"/>
  <c r="JT395"/>
  <c r="IB395"/>
  <c r="BR395"/>
  <c r="MY394"/>
  <c r="MG394"/>
  <c r="MC394"/>
  <c r="LY394"/>
  <c r="IB394"/>
  <c r="MY393"/>
  <c r="MG393"/>
  <c r="MC393"/>
  <c r="LY393"/>
  <c r="IB393"/>
  <c r="MY392"/>
  <c r="MG392"/>
  <c r="MC392"/>
  <c r="LY392"/>
  <c r="IB392"/>
  <c r="MY391"/>
  <c r="MG391"/>
  <c r="MC391"/>
  <c r="LY391"/>
  <c r="IB391"/>
  <c r="MY390"/>
  <c r="MG390"/>
  <c r="MC390"/>
  <c r="LY390"/>
  <c r="IB390"/>
  <c r="MY389"/>
  <c r="MG389"/>
  <c r="MC389"/>
  <c r="LY389"/>
  <c r="IB389"/>
  <c r="GG389" s="1"/>
  <c r="GF389"/>
  <c r="MY388"/>
  <c r="MG388"/>
  <c r="MC388"/>
  <c r="LY388"/>
  <c r="IB388"/>
  <c r="MY387"/>
  <c r="MG387"/>
  <c r="MC387"/>
  <c r="LY387"/>
  <c r="IB387"/>
  <c r="MY386"/>
  <c r="MG386"/>
  <c r="MC386"/>
  <c r="LY386"/>
  <c r="IB386"/>
  <c r="MY385"/>
  <c r="MG385"/>
  <c r="MC385"/>
  <c r="LY385"/>
  <c r="IB385"/>
  <c r="BR385"/>
  <c r="MY384"/>
  <c r="MG384"/>
  <c r="MC384"/>
  <c r="LY384"/>
  <c r="IB384"/>
  <c r="MY383"/>
  <c r="MG383"/>
  <c r="MC383"/>
  <c r="LY383"/>
  <c r="LT383"/>
  <c r="LO383"/>
  <c r="LN383"/>
  <c r="KK383"/>
  <c r="KJ383"/>
  <c r="JU383"/>
  <c r="JT383"/>
  <c r="IB383"/>
  <c r="MY382"/>
  <c r="MG382"/>
  <c r="MC382"/>
  <c r="LY382"/>
  <c r="IB382"/>
  <c r="MY381"/>
  <c r="MG381"/>
  <c r="MC381"/>
  <c r="LY381"/>
  <c r="IB381"/>
  <c r="BR381"/>
  <c r="MY380"/>
  <c r="MG380"/>
  <c r="MC380"/>
  <c r="LY380"/>
  <c r="IB380"/>
  <c r="MY379"/>
  <c r="MG379"/>
  <c r="MC379"/>
  <c r="LY379"/>
  <c r="IB379"/>
  <c r="MY378"/>
  <c r="MG378"/>
  <c r="MC378"/>
  <c r="LY378"/>
  <c r="IB378"/>
  <c r="MY377"/>
  <c r="MG377"/>
  <c r="MC377"/>
  <c r="LY377"/>
  <c r="IB377"/>
  <c r="MY376"/>
  <c r="MG376" s="1"/>
  <c r="MD376"/>
  <c r="MC376" s="1"/>
  <c r="LZ376"/>
  <c r="LY376"/>
  <c r="LT376"/>
  <c r="LO376"/>
  <c r="LN376"/>
  <c r="KK376"/>
  <c r="KJ376"/>
  <c r="JU376"/>
  <c r="JT376"/>
  <c r="IB376"/>
  <c r="MY375"/>
  <c r="MG375"/>
  <c r="MC375"/>
  <c r="LY375"/>
  <c r="IB375"/>
  <c r="BR375"/>
  <c r="MY374"/>
  <c r="MG374"/>
  <c r="MC374"/>
  <c r="LY374"/>
  <c r="IB374"/>
  <c r="BR374"/>
  <c r="MY373"/>
  <c r="MG373"/>
  <c r="MC373"/>
  <c r="LY373"/>
  <c r="LT373"/>
  <c r="LO373"/>
  <c r="LN373"/>
  <c r="KK373"/>
  <c r="KJ373"/>
  <c r="JU373"/>
  <c r="JT373"/>
  <c r="IB373"/>
  <c r="MY372"/>
  <c r="MG372"/>
  <c r="MC372"/>
  <c r="LY372"/>
  <c r="IB372"/>
  <c r="BR372"/>
  <c r="MY371"/>
  <c r="MG371"/>
  <c r="MC371"/>
  <c r="LY371"/>
  <c r="IB371"/>
  <c r="MY370"/>
  <c r="MG370"/>
  <c r="MC370"/>
  <c r="LY370"/>
  <c r="IB370"/>
  <c r="MY369"/>
  <c r="MG369"/>
  <c r="MC369"/>
  <c r="LY369"/>
  <c r="IB369"/>
  <c r="MY368"/>
  <c r="MG368"/>
  <c r="MC368"/>
  <c r="LY368"/>
  <c r="KK368"/>
  <c r="KJ368"/>
  <c r="JU368"/>
  <c r="JT368"/>
  <c r="IB368"/>
  <c r="GG368"/>
  <c r="BG368"/>
  <c r="MY367"/>
  <c r="MG367"/>
  <c r="MC367"/>
  <c r="LY367"/>
  <c r="LT367"/>
  <c r="LO367"/>
  <c r="LN367"/>
  <c r="KK367"/>
  <c r="KJ367"/>
  <c r="JU367"/>
  <c r="JT367"/>
  <c r="IB367"/>
  <c r="BR367"/>
  <c r="MY366"/>
  <c r="MG366"/>
  <c r="MC366"/>
  <c r="LY366"/>
  <c r="IB366"/>
  <c r="MY365"/>
  <c r="MG365"/>
  <c r="MC365"/>
  <c r="LY365"/>
  <c r="IB365"/>
  <c r="MY364"/>
  <c r="MG364"/>
  <c r="MC364"/>
  <c r="LY364"/>
  <c r="LO364"/>
  <c r="LN364"/>
  <c r="KK364"/>
  <c r="KJ364"/>
  <c r="JU364"/>
  <c r="JT364"/>
  <c r="IB364"/>
  <c r="BR364"/>
  <c r="MY363"/>
  <c r="MG363"/>
  <c r="MC363"/>
  <c r="LY363"/>
  <c r="LT363"/>
  <c r="LO363"/>
  <c r="LN363"/>
  <c r="KK363"/>
  <c r="KJ363"/>
  <c r="JU363"/>
  <c r="JT363"/>
  <c r="IB363"/>
  <c r="MY362"/>
  <c r="MG362"/>
  <c r="MC362"/>
  <c r="LY362"/>
  <c r="IB362"/>
  <c r="BR362"/>
  <c r="MY361"/>
  <c r="MG361"/>
  <c r="MC361"/>
  <c r="LY361"/>
  <c r="IB361"/>
  <c r="MY360"/>
  <c r="MG360"/>
  <c r="MC360"/>
  <c r="LY360"/>
  <c r="IB360"/>
  <c r="GG360"/>
  <c r="MY359"/>
  <c r="MG359"/>
  <c r="MC359"/>
  <c r="LY359"/>
  <c r="KK359"/>
  <c r="KJ359"/>
  <c r="JU359"/>
  <c r="JT359"/>
  <c r="IB359"/>
  <c r="MY358"/>
  <c r="MG358"/>
  <c r="MC358"/>
  <c r="LY358"/>
  <c r="IB358"/>
  <c r="BR358"/>
  <c r="MY357"/>
  <c r="MG357"/>
  <c r="MC357"/>
  <c r="LY357"/>
  <c r="IB357"/>
  <c r="MY356"/>
  <c r="MG356"/>
  <c r="MC356"/>
  <c r="LY356"/>
  <c r="IB356"/>
  <c r="MY355"/>
  <c r="MG355"/>
  <c r="MC355"/>
  <c r="LY355"/>
  <c r="IB355"/>
  <c r="GG355" s="1"/>
  <c r="GF355"/>
  <c r="MY354"/>
  <c r="MG354"/>
  <c r="MC354"/>
  <c r="LY354"/>
  <c r="IB354"/>
  <c r="GG354"/>
  <c r="MY353"/>
  <c r="MG353"/>
  <c r="MC353"/>
  <c r="LY353"/>
  <c r="IB353"/>
  <c r="MY352"/>
  <c r="MG352"/>
  <c r="MC352"/>
  <c r="LY352"/>
  <c r="IB352"/>
  <c r="MY351"/>
  <c r="MG351"/>
  <c r="MC351"/>
  <c r="LY351"/>
  <c r="JD351"/>
  <c r="IB351"/>
  <c r="GG351" s="1"/>
  <c r="GF351"/>
  <c r="MY350"/>
  <c r="MG350"/>
  <c r="MC350"/>
  <c r="LY350"/>
  <c r="IB350"/>
  <c r="MY349"/>
  <c r="MG349"/>
  <c r="MC349"/>
  <c r="LY349"/>
  <c r="IB349"/>
  <c r="MY348"/>
  <c r="MG348"/>
  <c r="MC348"/>
  <c r="LY348"/>
  <c r="IB348"/>
  <c r="BR348"/>
  <c r="MY347"/>
  <c r="MG347"/>
  <c r="MC347"/>
  <c r="LY347"/>
  <c r="LT347"/>
  <c r="LO347"/>
  <c r="LN347"/>
  <c r="KK347"/>
  <c r="KJ347"/>
  <c r="JU347"/>
  <c r="JT347"/>
  <c r="IB347"/>
  <c r="GG347"/>
  <c r="BR347"/>
  <c r="BG347"/>
  <c r="MY346"/>
  <c r="MG346"/>
  <c r="MC346"/>
  <c r="LY346"/>
  <c r="IB346"/>
  <c r="MY345"/>
  <c r="MG345"/>
  <c r="MC345"/>
  <c r="LY345"/>
  <c r="IB345"/>
  <c r="MY344"/>
  <c r="MG344"/>
  <c r="MC344"/>
  <c r="LY344"/>
  <c r="IB344"/>
  <c r="MY343"/>
  <c r="MG343"/>
  <c r="MC343"/>
  <c r="LY343"/>
  <c r="IB343"/>
  <c r="GG343"/>
  <c r="BR343"/>
  <c r="MY342"/>
  <c r="MG342"/>
  <c r="MC342"/>
  <c r="LY342"/>
  <c r="IB342"/>
  <c r="BR342"/>
  <c r="MY341"/>
  <c r="MG341"/>
  <c r="MC341"/>
  <c r="LY341"/>
  <c r="IB341"/>
  <c r="RF340"/>
  <c r="MY340"/>
  <c r="MG340"/>
  <c r="MC340"/>
  <c r="LY340"/>
  <c r="LO340"/>
  <c r="LN340"/>
  <c r="KK340"/>
  <c r="KJ340"/>
  <c r="JU340"/>
  <c r="JT340"/>
  <c r="IB340"/>
  <c r="BR340"/>
  <c r="MY339"/>
  <c r="MG339"/>
  <c r="MC339"/>
  <c r="LY339"/>
  <c r="IB339"/>
  <c r="MY338"/>
  <c r="MG338"/>
  <c r="MC338"/>
  <c r="LY338"/>
  <c r="IB338"/>
  <c r="MY337"/>
  <c r="MG337"/>
  <c r="MC337"/>
  <c r="LY337"/>
  <c r="IB337"/>
  <c r="BR337"/>
  <c r="MY336"/>
  <c r="MG336"/>
  <c r="MC336"/>
  <c r="LY336"/>
  <c r="IB336"/>
  <c r="MY335"/>
  <c r="MG335"/>
  <c r="MC335"/>
  <c r="LY335"/>
  <c r="IB335"/>
  <c r="BR335"/>
  <c r="MY334"/>
  <c r="MG334"/>
  <c r="MC334"/>
  <c r="LY334"/>
  <c r="IB334"/>
  <c r="MY333"/>
  <c r="MG333"/>
  <c r="MC333"/>
  <c r="LY333"/>
  <c r="IB333"/>
  <c r="BR333"/>
  <c r="MY332"/>
  <c r="MG332"/>
  <c r="MC332"/>
  <c r="LY332"/>
  <c r="JU332"/>
  <c r="JT332"/>
  <c r="IB332"/>
  <c r="AN332"/>
  <c r="MY331"/>
  <c r="MG331"/>
  <c r="MC331"/>
  <c r="LY331"/>
  <c r="IB331"/>
  <c r="MY330"/>
  <c r="MG330"/>
  <c r="MC330"/>
  <c r="LY330"/>
  <c r="IB330"/>
  <c r="BR330"/>
  <c r="MY329"/>
  <c r="MG329"/>
  <c r="MC329"/>
  <c r="LY329"/>
  <c r="LO329"/>
  <c r="LN329"/>
  <c r="KK329"/>
  <c r="KJ329"/>
  <c r="JU329"/>
  <c r="JT329"/>
  <c r="IB329"/>
  <c r="MY328"/>
  <c r="MG328"/>
  <c r="MC328"/>
  <c r="LY328"/>
  <c r="IB328"/>
  <c r="BR328"/>
  <c r="MY327"/>
  <c r="MG327"/>
  <c r="MC327"/>
  <c r="LY327"/>
  <c r="IB327"/>
  <c r="MY326"/>
  <c r="MG326"/>
  <c r="MC326"/>
  <c r="LY326"/>
  <c r="IB326"/>
  <c r="MY325"/>
  <c r="MG325"/>
  <c r="MC325"/>
  <c r="LY325"/>
  <c r="IB325"/>
  <c r="MY324"/>
  <c r="MG324"/>
  <c r="MC324"/>
  <c r="LY324"/>
  <c r="IB324"/>
  <c r="BR324"/>
  <c r="MY323"/>
  <c r="MG323"/>
  <c r="MC323"/>
  <c r="LY323"/>
  <c r="IB323"/>
  <c r="MY322"/>
  <c r="MG322"/>
  <c r="MC322"/>
  <c r="LY322"/>
  <c r="KK322"/>
  <c r="KJ322"/>
  <c r="JU322"/>
  <c r="JT322"/>
  <c r="IB322"/>
  <c r="GG322"/>
  <c r="MY321"/>
  <c r="MG321"/>
  <c r="MC321"/>
  <c r="LY321"/>
  <c r="IB321"/>
  <c r="BR321"/>
  <c r="MY320"/>
  <c r="MG320" s="1"/>
  <c r="MD320"/>
  <c r="MC320"/>
  <c r="LY320"/>
  <c r="LT320"/>
  <c r="LO320"/>
  <c r="LN320"/>
  <c r="KK320"/>
  <c r="KJ320"/>
  <c r="JU320"/>
  <c r="JT320"/>
  <c r="IB320"/>
  <c r="BR320"/>
  <c r="MY319"/>
  <c r="MG319" s="1"/>
  <c r="MD319"/>
  <c r="MC319"/>
  <c r="LY319"/>
  <c r="LT319"/>
  <c r="LO319"/>
  <c r="LN319"/>
  <c r="KK319"/>
  <c r="KJ319"/>
  <c r="JU319"/>
  <c r="JT319"/>
  <c r="IB319"/>
  <c r="BR319"/>
  <c r="MY318"/>
  <c r="MG318"/>
  <c r="MC318"/>
  <c r="LY318"/>
  <c r="LT318"/>
  <c r="LO318"/>
  <c r="LN318"/>
  <c r="KK318"/>
  <c r="KJ318"/>
  <c r="JU318"/>
  <c r="JT318"/>
  <c r="IB318"/>
  <c r="GN318"/>
  <c r="BR318"/>
  <c r="RF317"/>
  <c r="MY317"/>
  <c r="MG317"/>
  <c r="MC317"/>
  <c r="LY317"/>
  <c r="IB317"/>
  <c r="MY316"/>
  <c r="MG316"/>
  <c r="MC316"/>
  <c r="LY316"/>
  <c r="IB316"/>
  <c r="BR316"/>
  <c r="MY315"/>
  <c r="MG315"/>
  <c r="MC315"/>
  <c r="LY315"/>
  <c r="IB315"/>
  <c r="MY314"/>
  <c r="MG314"/>
  <c r="MC314"/>
  <c r="LY314"/>
  <c r="IB314"/>
  <c r="BR314"/>
  <c r="MY313"/>
  <c r="MG313"/>
  <c r="MC313"/>
  <c r="LY313"/>
  <c r="IB313"/>
  <c r="DW313"/>
  <c r="MY312"/>
  <c r="MG312"/>
  <c r="MC312"/>
  <c r="LY312"/>
  <c r="IB312"/>
  <c r="AN312"/>
  <c r="MY311"/>
  <c r="MG311"/>
  <c r="MC311"/>
  <c r="LY311"/>
  <c r="IB311"/>
  <c r="MY310"/>
  <c r="MG310"/>
  <c r="MC310"/>
  <c r="LY310"/>
  <c r="IB310"/>
  <c r="GG310"/>
  <c r="MY309"/>
  <c r="MG309"/>
  <c r="MC309"/>
  <c r="LY309"/>
  <c r="IB309"/>
  <c r="MY308"/>
  <c r="MG308"/>
  <c r="MC308"/>
  <c r="LY308"/>
  <c r="IB308"/>
  <c r="MY307"/>
  <c r="MG307"/>
  <c r="MC307"/>
  <c r="LY307"/>
  <c r="IB307"/>
  <c r="GG307"/>
  <c r="BG307"/>
  <c r="MY306"/>
  <c r="MG306" s="1"/>
  <c r="MF306"/>
  <c r="MC306"/>
  <c r="LY306"/>
  <c r="LT306"/>
  <c r="LO306"/>
  <c r="LN306"/>
  <c r="KK306"/>
  <c r="KJ306"/>
  <c r="JU306"/>
  <c r="JT306"/>
  <c r="IB306"/>
  <c r="BR306"/>
  <c r="MY305"/>
  <c r="MG305"/>
  <c r="MC305"/>
  <c r="LY305"/>
  <c r="IB305"/>
  <c r="RF304"/>
  <c r="MY304"/>
  <c r="MG304"/>
  <c r="MC304"/>
  <c r="LY304"/>
  <c r="LT304"/>
  <c r="LO304"/>
  <c r="LN304"/>
  <c r="KK304"/>
  <c r="KJ304"/>
  <c r="JU304"/>
  <c r="JT304"/>
  <c r="IB304"/>
  <c r="BR304"/>
  <c r="MY303"/>
  <c r="MG303"/>
  <c r="MC303"/>
  <c r="LY303"/>
  <c r="IB303"/>
  <c r="MY302"/>
  <c r="MG302"/>
  <c r="MC302"/>
  <c r="LY302"/>
  <c r="IB302"/>
  <c r="BR302"/>
  <c r="AN302"/>
  <c r="MY301"/>
  <c r="MG301"/>
  <c r="MC301"/>
  <c r="LY301"/>
  <c r="IB301"/>
  <c r="MY300"/>
  <c r="MG300"/>
  <c r="MC300"/>
  <c r="LY300"/>
  <c r="BR300"/>
  <c r="MY299"/>
  <c r="MG299"/>
  <c r="MC299"/>
  <c r="LY299"/>
  <c r="IB299"/>
  <c r="LT298"/>
  <c r="KM298"/>
  <c r="KL298"/>
  <c r="JI298"/>
  <c r="IB298"/>
  <c r="MY297"/>
  <c r="MG297"/>
  <c r="MC297"/>
  <c r="LY297"/>
  <c r="LT297"/>
  <c r="LO297"/>
  <c r="LN297"/>
  <c r="KK297"/>
  <c r="KJ297"/>
  <c r="JU297"/>
  <c r="JT297"/>
  <c r="IB297"/>
  <c r="BR297"/>
  <c r="RF296"/>
  <c r="MY296"/>
  <c r="MG296"/>
  <c r="MC296"/>
  <c r="LY296"/>
  <c r="LT296"/>
  <c r="LO296"/>
  <c r="LN296"/>
  <c r="KK296"/>
  <c r="KJ296"/>
  <c r="JU296"/>
  <c r="JT296"/>
  <c r="IB296"/>
  <c r="BR296"/>
  <c r="MY295"/>
  <c r="MG295"/>
  <c r="MC295"/>
  <c r="LY295"/>
  <c r="LT295"/>
  <c r="LO295"/>
  <c r="LN295"/>
  <c r="KK295"/>
  <c r="KJ295"/>
  <c r="JU295"/>
  <c r="JT295"/>
  <c r="IB295"/>
  <c r="BR295"/>
  <c r="RF294"/>
  <c r="MY294"/>
  <c r="MG294" s="1"/>
  <c r="MD294"/>
  <c r="MC294"/>
  <c r="LY294"/>
  <c r="LT294"/>
  <c r="LO294"/>
  <c r="LN294"/>
  <c r="KK294"/>
  <c r="KJ294"/>
  <c r="JU294"/>
  <c r="JT294"/>
  <c r="IB294"/>
  <c r="BR294"/>
  <c r="RF293"/>
  <c r="MY293"/>
  <c r="MG293" s="1"/>
  <c r="MD293"/>
  <c r="MC293" s="1"/>
  <c r="LZ293"/>
  <c r="LY293"/>
  <c r="LT293"/>
  <c r="LO293"/>
  <c r="LN293"/>
  <c r="KK293"/>
  <c r="KJ293"/>
  <c r="JU293"/>
  <c r="JT293"/>
  <c r="IB293"/>
  <c r="BR293"/>
  <c r="MY292"/>
  <c r="MG292" s="1"/>
  <c r="MD292"/>
  <c r="MC292" s="1"/>
  <c r="LZ292"/>
  <c r="LY292"/>
  <c r="LT292"/>
  <c r="LO292"/>
  <c r="LN292"/>
  <c r="KK292"/>
  <c r="KJ292"/>
  <c r="JU292"/>
  <c r="JT292"/>
  <c r="IB292"/>
  <c r="BR292"/>
  <c r="MC291"/>
  <c r="LY291"/>
  <c r="LT291"/>
  <c r="LO291"/>
  <c r="LN291"/>
  <c r="KK291"/>
  <c r="KJ291"/>
  <c r="JU291"/>
  <c r="JT291"/>
  <c r="IB291"/>
  <c r="FO291"/>
  <c r="FN291"/>
  <c r="MY290"/>
  <c r="MG290"/>
  <c r="MC290"/>
  <c r="LY290"/>
  <c r="LT290"/>
  <c r="LO290"/>
  <c r="LN290"/>
  <c r="KK290"/>
  <c r="KJ290"/>
  <c r="JU290"/>
  <c r="JT290"/>
  <c r="IB290"/>
  <c r="BR290"/>
  <c r="MC289"/>
  <c r="LY289"/>
  <c r="LT289"/>
  <c r="KM289"/>
  <c r="KL289"/>
  <c r="JW289"/>
  <c r="JV289"/>
  <c r="JI289"/>
  <c r="IB289"/>
  <c r="MY288"/>
  <c r="MG288" s="1"/>
  <c r="MD288"/>
  <c r="MC288" s="1"/>
  <c r="LZ288"/>
  <c r="LY288"/>
  <c r="LT288"/>
  <c r="LO288"/>
  <c r="LN288"/>
  <c r="KK288"/>
  <c r="KJ288"/>
  <c r="JU288"/>
  <c r="JT288"/>
  <c r="IB288"/>
  <c r="MY287"/>
  <c r="MG287"/>
  <c r="MD287"/>
  <c r="MC287" s="1"/>
  <c r="LZ287"/>
  <c r="LY287"/>
  <c r="LT287"/>
  <c r="LO287"/>
  <c r="LN287"/>
  <c r="KK287"/>
  <c r="KJ287"/>
  <c r="JU287"/>
  <c r="JT287"/>
  <c r="IB287"/>
  <c r="MY286"/>
  <c r="MG286" s="1"/>
  <c r="MF286"/>
  <c r="MC286" s="1"/>
  <c r="LZ286"/>
  <c r="LY286"/>
  <c r="LT286"/>
  <c r="LO286"/>
  <c r="LN286"/>
  <c r="KK286"/>
  <c r="KJ286"/>
  <c r="JU286"/>
  <c r="JT286"/>
  <c r="IB286"/>
  <c r="GG286"/>
  <c r="BR286"/>
  <c r="MY285" s="1"/>
  <c r="MK285"/>
  <c r="MG285"/>
  <c r="MC285"/>
  <c r="LY285"/>
  <c r="LT285"/>
  <c r="LO285"/>
  <c r="LN285"/>
  <c r="KK285"/>
  <c r="KJ285"/>
  <c r="JU285"/>
  <c r="JT285"/>
  <c r="IB285"/>
  <c r="BR285"/>
  <c r="MY284"/>
  <c r="MG284" s="1"/>
  <c r="MD284"/>
  <c r="MC284"/>
  <c r="LZ284"/>
  <c r="LY284"/>
  <c r="LT284"/>
  <c r="LO284"/>
  <c r="LN284"/>
  <c r="KK284"/>
  <c r="KJ284"/>
  <c r="JU284"/>
  <c r="JT284"/>
  <c r="IB284"/>
  <c r="BR284"/>
  <c r="RF283"/>
  <c r="MY283"/>
  <c r="MR283"/>
  <c r="MQ283"/>
  <c r="ML283"/>
  <c r="MJ283"/>
  <c r="MI283"/>
  <c r="MG283"/>
  <c r="MC283" s="1"/>
  <c r="LZ283"/>
  <c r="LY283"/>
  <c r="LT283"/>
  <c r="LO283"/>
  <c r="LN283"/>
  <c r="KK283"/>
  <c r="KJ283"/>
  <c r="JU283"/>
  <c r="JT283"/>
  <c r="IB283"/>
  <c r="BR283"/>
  <c r="RF282"/>
  <c r="MC282"/>
  <c r="LY282"/>
  <c r="LT282"/>
  <c r="LO282"/>
  <c r="LN282"/>
  <c r="KK282"/>
  <c r="KJ282"/>
  <c r="JU282"/>
  <c r="JT282"/>
  <c r="IB282"/>
  <c r="MY281"/>
  <c r="MG281" s="1"/>
  <c r="MD281"/>
  <c r="MC281"/>
  <c r="LY281"/>
  <c r="LT281"/>
  <c r="LO281"/>
  <c r="LN281"/>
  <c r="KK281"/>
  <c r="KJ281"/>
  <c r="JU281"/>
  <c r="JT281"/>
  <c r="IB281"/>
  <c r="GG281"/>
  <c r="BR281"/>
  <c r="MY280" s="1"/>
  <c r="MO280"/>
  <c r="MI280"/>
  <c r="MG280" s="1"/>
  <c r="ME280"/>
  <c r="MC280"/>
  <c r="LY280"/>
  <c r="LT280"/>
  <c r="LO280"/>
  <c r="LN280"/>
  <c r="KK280"/>
  <c r="KJ280"/>
  <c r="JU280"/>
  <c r="JT280"/>
  <c r="IB280"/>
  <c r="MC279"/>
  <c r="LY279"/>
  <c r="LT279"/>
  <c r="LO279"/>
  <c r="LN279"/>
  <c r="KK279"/>
  <c r="KJ279"/>
  <c r="JU279"/>
  <c r="JT279"/>
  <c r="IB279"/>
  <c r="FN279"/>
  <c r="BR279"/>
  <c r="MY278"/>
  <c r="MG278"/>
  <c r="MC278"/>
  <c r="LY278"/>
  <c r="LT278"/>
  <c r="LO278"/>
  <c r="LN278"/>
  <c r="KK278"/>
  <c r="KJ278"/>
  <c r="JU278"/>
  <c r="JT278"/>
  <c r="IB278"/>
  <c r="MY277"/>
  <c r="MG277"/>
  <c r="MC277"/>
  <c r="LY277"/>
  <c r="LT277"/>
  <c r="LO277"/>
  <c r="LN277"/>
  <c r="KK277"/>
  <c r="KJ277"/>
  <c r="JU277"/>
  <c r="JT277"/>
  <c r="IB277"/>
  <c r="BR277"/>
  <c r="MY276"/>
  <c r="MG276" s="1"/>
  <c r="MF276"/>
  <c r="MC276"/>
  <c r="LY276"/>
  <c r="LT276"/>
  <c r="LO276"/>
  <c r="LN276"/>
  <c r="KK276"/>
  <c r="KJ276"/>
  <c r="JU276"/>
  <c r="JT276"/>
  <c r="IB276"/>
  <c r="BR276"/>
  <c r="MY275"/>
  <c r="MG275"/>
  <c r="MC275"/>
  <c r="LY275"/>
  <c r="LT275"/>
  <c r="LO275"/>
  <c r="LN275"/>
  <c r="KK275"/>
  <c r="KJ275"/>
  <c r="JU275"/>
  <c r="JT275"/>
  <c r="IB275"/>
  <c r="BR275"/>
  <c r="MY274"/>
  <c r="MG274"/>
  <c r="MC274" s="1"/>
  <c r="LZ274"/>
  <c r="LY274"/>
  <c r="LT274"/>
  <c r="LO274"/>
  <c r="LN274"/>
  <c r="KK274"/>
  <c r="KJ274"/>
  <c r="JU274"/>
  <c r="JT274"/>
  <c r="IB274"/>
  <c r="BR274"/>
  <c r="MY273"/>
  <c r="MG273"/>
  <c r="MC273"/>
  <c r="LY273"/>
  <c r="LT273"/>
  <c r="LO273"/>
  <c r="LN273"/>
  <c r="KK273"/>
  <c r="KJ273"/>
  <c r="JU273"/>
  <c r="JT273"/>
  <c r="IB273"/>
  <c r="BR273"/>
  <c r="MY272"/>
  <c r="MG272" s="1"/>
  <c r="MD272"/>
  <c r="MC272" s="1"/>
  <c r="LZ272"/>
  <c r="LY272"/>
  <c r="LT272"/>
  <c r="LO272"/>
  <c r="LN272"/>
  <c r="KK272"/>
  <c r="KJ272"/>
  <c r="JU272"/>
  <c r="JT272"/>
  <c r="IB272"/>
  <c r="BR272"/>
  <c r="MY271" s="1"/>
  <c r="MM271"/>
  <c r="MK271"/>
  <c r="MJ271"/>
  <c r="MI271"/>
  <c r="MG271" s="1"/>
  <c r="MD271"/>
  <c r="MC271"/>
  <c r="LY271"/>
  <c r="LT271"/>
  <c r="LO271"/>
  <c r="LN271"/>
  <c r="KK271"/>
  <c r="KJ271"/>
  <c r="JU271"/>
  <c r="JT271"/>
  <c r="IB271"/>
  <c r="BR271"/>
  <c r="MY270" s="1"/>
  <c r="MK270"/>
  <c r="MG270"/>
  <c r="MC270"/>
  <c r="LY270"/>
  <c r="LT270"/>
  <c r="LO270"/>
  <c r="LN270"/>
  <c r="KK270"/>
  <c r="KJ270"/>
  <c r="JU270"/>
  <c r="JT270"/>
  <c r="IB270"/>
  <c r="BR270"/>
  <c r="RF269"/>
  <c r="MY269"/>
  <c r="MS269"/>
  <c r="MO269"/>
  <c r="MJ269"/>
  <c r="MG269"/>
  <c r="MC269" s="1"/>
  <c r="LZ269"/>
  <c r="LY269"/>
  <c r="LT269"/>
  <c r="LO269"/>
  <c r="LN269"/>
  <c r="KK269"/>
  <c r="KJ269"/>
  <c r="JU269"/>
  <c r="JT269"/>
  <c r="IB269"/>
  <c r="MY268"/>
  <c r="MQ268"/>
  <c r="MK268"/>
  <c r="MJ268"/>
  <c r="MI268"/>
  <c r="MG268" s="1"/>
  <c r="MD268"/>
  <c r="MC268" s="1"/>
  <c r="LZ268"/>
  <c r="LY268"/>
  <c r="LT268"/>
  <c r="LO268"/>
  <c r="LN268"/>
  <c r="KK268"/>
  <c r="KJ268"/>
  <c r="JU268"/>
  <c r="JT268"/>
  <c r="IB268"/>
  <c r="MY267"/>
  <c r="MG267"/>
  <c r="MC267"/>
  <c r="LY267"/>
  <c r="LT267"/>
  <c r="LO267"/>
  <c r="LN267"/>
  <c r="KK267"/>
  <c r="KJ267"/>
  <c r="JU267"/>
  <c r="JT267"/>
  <c r="IB267"/>
  <c r="BR267"/>
  <c r="MC266"/>
  <c r="LY266"/>
  <c r="LT266"/>
  <c r="LO266"/>
  <c r="LN266"/>
  <c r="KK266"/>
  <c r="KJ266"/>
  <c r="JU266"/>
  <c r="JT266"/>
  <c r="IB266"/>
  <c r="FO266"/>
  <c r="FN266"/>
  <c r="RF265"/>
  <c r="MY265"/>
  <c r="MG265"/>
  <c r="MC265"/>
  <c r="LY265"/>
  <c r="LT265"/>
  <c r="LO265"/>
  <c r="LN265"/>
  <c r="KK265"/>
  <c r="KJ265"/>
  <c r="JU265"/>
  <c r="JT265"/>
  <c r="IB265"/>
  <c r="FO265"/>
  <c r="FN265"/>
  <c r="MC264"/>
  <c r="LY264"/>
  <c r="LT264"/>
  <c r="KM264"/>
  <c r="KL264"/>
  <c r="JW264"/>
  <c r="JV264"/>
  <c r="JI264"/>
  <c r="IB264"/>
  <c r="FO264"/>
  <c r="FN264"/>
  <c r="RF263"/>
  <c r="MY263"/>
  <c r="MG263"/>
  <c r="MC263"/>
  <c r="LY263"/>
  <c r="LT263"/>
  <c r="LO263"/>
  <c r="LN263"/>
  <c r="KK263"/>
  <c r="KJ263"/>
  <c r="JU263"/>
  <c r="JT263"/>
  <c r="IB263"/>
  <c r="MY262"/>
  <c r="MK262"/>
  <c r="MI262"/>
  <c r="MG262" s="1"/>
  <c r="MF262"/>
  <c r="MC262" s="1"/>
  <c r="LZ262"/>
  <c r="LY262"/>
  <c r="LT262"/>
  <c r="LO262"/>
  <c r="LN262"/>
  <c r="KK262"/>
  <c r="KJ262"/>
  <c r="JU262"/>
  <c r="JT262"/>
  <c r="IB262"/>
  <c r="BR262"/>
  <c r="MC261"/>
  <c r="LY261"/>
  <c r="LT261"/>
  <c r="KM261"/>
  <c r="KL261"/>
  <c r="JW261"/>
  <c r="JV261"/>
  <c r="JI261"/>
  <c r="IB261"/>
  <c r="BR261"/>
  <c r="MY260"/>
  <c r="MG260"/>
  <c r="MC260"/>
  <c r="LY260"/>
  <c r="IB260"/>
  <c r="BR260"/>
  <c r="MY259"/>
  <c r="MG259"/>
  <c r="MC259"/>
  <c r="LY259"/>
  <c r="IB259"/>
  <c r="GG259"/>
  <c r="BR259"/>
  <c r="AL259"/>
  <c r="MY258"/>
  <c r="MG258"/>
  <c r="MC258"/>
  <c r="LY258"/>
  <c r="IB258"/>
  <c r="MY257"/>
  <c r="MG257"/>
  <c r="MC257"/>
  <c r="LY257"/>
  <c r="IB257"/>
  <c r="RF256"/>
  <c r="MY256"/>
  <c r="MG256" s="1"/>
  <c r="MD256"/>
  <c r="MC256"/>
  <c r="LY256"/>
  <c r="LO256"/>
  <c r="LN256"/>
  <c r="KK256"/>
  <c r="KJ256"/>
  <c r="JU256"/>
  <c r="JT256"/>
  <c r="IB256"/>
  <c r="MY255"/>
  <c r="MG255"/>
  <c r="MC255"/>
  <c r="LY255"/>
  <c r="BR255"/>
  <c r="AN255"/>
  <c r="MY254"/>
  <c r="MG254"/>
  <c r="MC254"/>
  <c r="LY254"/>
  <c r="MY253"/>
  <c r="MG253"/>
  <c r="MC253"/>
  <c r="LY253"/>
  <c r="MY252"/>
  <c r="MG252"/>
  <c r="MC252"/>
  <c r="LY252"/>
  <c r="MY251"/>
  <c r="MG251"/>
  <c r="MC251"/>
  <c r="LY251"/>
  <c r="MY250"/>
  <c r="MG250"/>
  <c r="MC250"/>
  <c r="LY250"/>
  <c r="MY249"/>
  <c r="MG249"/>
  <c r="MC249"/>
  <c r="LY249"/>
  <c r="MY248"/>
  <c r="MG248"/>
  <c r="MC248"/>
  <c r="LY248"/>
  <c r="IB248"/>
  <c r="BR248"/>
  <c r="MY247"/>
  <c r="MG247"/>
  <c r="MC247"/>
  <c r="LY247"/>
  <c r="BR247"/>
  <c r="BQ247"/>
  <c r="BP247"/>
  <c r="MY246"/>
  <c r="MG246"/>
  <c r="MC246"/>
  <c r="LY246"/>
  <c r="BR246"/>
  <c r="BQ246"/>
  <c r="BP246"/>
  <c r="MY245"/>
  <c r="MG245"/>
  <c r="MC245"/>
  <c r="LY245"/>
  <c r="BR245"/>
  <c r="BQ245"/>
  <c r="BP245"/>
  <c r="MY244"/>
  <c r="MG244"/>
  <c r="MC244"/>
  <c r="LY244"/>
  <c r="BR244"/>
  <c r="BQ244"/>
  <c r="BP244"/>
  <c r="MY243"/>
  <c r="MG243"/>
  <c r="MC243"/>
  <c r="LY243"/>
  <c r="BR243"/>
  <c r="BQ243"/>
  <c r="BP243"/>
  <c r="MY242"/>
  <c r="MG242"/>
  <c r="MC242"/>
  <c r="LY242"/>
  <c r="BR242"/>
  <c r="BQ242"/>
  <c r="BP242"/>
  <c r="MY241"/>
  <c r="MG241"/>
  <c r="MC241"/>
  <c r="LY241"/>
  <c r="BR241"/>
  <c r="BQ241"/>
  <c r="BP241"/>
  <c r="MY240"/>
  <c r="MG240"/>
  <c r="MC240"/>
  <c r="LY240"/>
  <c r="IB240"/>
  <c r="BR240"/>
  <c r="BQ240"/>
  <c r="BP240"/>
  <c r="MY239" s="1"/>
  <c r="MT239"/>
  <c r="MR239"/>
  <c r="ML239"/>
  <c r="MJ239"/>
  <c r="MI239"/>
  <c r="MG239" s="1"/>
  <c r="MD239"/>
  <c r="MC239" s="1"/>
  <c r="LZ239"/>
  <c r="LY239"/>
  <c r="LT239"/>
  <c r="LO239"/>
  <c r="LN239"/>
  <c r="KK239"/>
  <c r="KJ239"/>
  <c r="JU239"/>
  <c r="JT239"/>
  <c r="IB239"/>
  <c r="BR239"/>
  <c r="MY238"/>
  <c r="MG238"/>
  <c r="MC238"/>
  <c r="LY238"/>
  <c r="LT238"/>
  <c r="LO238"/>
  <c r="LN238"/>
  <c r="KK238"/>
  <c r="KJ238"/>
  <c r="JU238"/>
  <c r="JT238"/>
  <c r="IB238"/>
  <c r="BR238"/>
  <c r="MY237"/>
  <c r="MG237" s="1"/>
  <c r="MD237"/>
  <c r="MC237"/>
  <c r="LY237"/>
  <c r="LT237"/>
  <c r="LO237"/>
  <c r="LN237"/>
  <c r="KK237"/>
  <c r="KJ237"/>
  <c r="JU237"/>
  <c r="JT237"/>
  <c r="IB237"/>
  <c r="MY236"/>
  <c r="MG236"/>
  <c r="MC236"/>
  <c r="LY236"/>
  <c r="LT236"/>
  <c r="LO236"/>
  <c r="LN236"/>
  <c r="KK236"/>
  <c r="KJ236"/>
  <c r="JU236"/>
  <c r="JT236"/>
  <c r="IB236"/>
  <c r="BR236"/>
  <c r="MY235" s="1"/>
  <c r="MO235"/>
  <c r="MK235"/>
  <c r="MJ235"/>
  <c r="MG235"/>
  <c r="MC235"/>
  <c r="LY235"/>
  <c r="LT235"/>
  <c r="LO235"/>
  <c r="LN235"/>
  <c r="KK235"/>
  <c r="KJ235"/>
  <c r="JU235"/>
  <c r="JT235"/>
  <c r="IB235"/>
  <c r="BR235"/>
  <c r="MY234" s="1"/>
  <c r="MK234"/>
  <c r="MG234"/>
  <c r="MD234"/>
  <c r="MC234"/>
  <c r="LY234"/>
  <c r="LT234"/>
  <c r="LO234"/>
  <c r="LN234"/>
  <c r="KK234"/>
  <c r="KJ234"/>
  <c r="JU234"/>
  <c r="JT234"/>
  <c r="IB234"/>
  <c r="BR234"/>
  <c r="MY233"/>
  <c r="MG233" s="1"/>
  <c r="MF233"/>
  <c r="MC233"/>
  <c r="LY233"/>
  <c r="LT233"/>
  <c r="LO233"/>
  <c r="LN233"/>
  <c r="KK233"/>
  <c r="KJ233"/>
  <c r="JU233"/>
  <c r="JT233"/>
  <c r="IB233"/>
  <c r="BR233"/>
  <c r="MY232"/>
  <c r="MG232" s="1"/>
  <c r="MF232"/>
  <c r="MC232"/>
  <c r="LY232"/>
  <c r="LT232"/>
  <c r="LO232"/>
  <c r="LN232"/>
  <c r="KK232"/>
  <c r="KJ232"/>
  <c r="JU232"/>
  <c r="JT232"/>
  <c r="IB232"/>
  <c r="BR232"/>
  <c r="MY231"/>
  <c r="MK231"/>
  <c r="MI231"/>
  <c r="MG231" s="1"/>
  <c r="MD231"/>
  <c r="MC231"/>
  <c r="LY231"/>
  <c r="LT231"/>
  <c r="LO231"/>
  <c r="LN231"/>
  <c r="KK231"/>
  <c r="KJ231"/>
  <c r="JU231"/>
  <c r="JT231"/>
  <c r="IB231"/>
  <c r="BR231"/>
  <c r="MY230"/>
  <c r="MG230" s="1"/>
  <c r="MD230"/>
  <c r="MC230"/>
  <c r="LY230"/>
  <c r="LT230"/>
  <c r="LO230"/>
  <c r="LN230"/>
  <c r="KK230"/>
  <c r="KJ230"/>
  <c r="JU230"/>
  <c r="JT230"/>
  <c r="IB230"/>
  <c r="BR230"/>
  <c r="MY229" s="1"/>
  <c r="MK229"/>
  <c r="MG229" s="1"/>
  <c r="MF229"/>
  <c r="MD229"/>
  <c r="MC229" s="1"/>
  <c r="LZ229"/>
  <c r="LY229"/>
  <c r="LT229"/>
  <c r="LO229"/>
  <c r="LN229"/>
  <c r="KK229"/>
  <c r="KJ229"/>
  <c r="JU229"/>
  <c r="JT229"/>
  <c r="IB229"/>
  <c r="BR229"/>
  <c r="MY228"/>
  <c r="MG228" s="1"/>
  <c r="MD228"/>
  <c r="MC228"/>
  <c r="LY228"/>
  <c r="LT228"/>
  <c r="LO228"/>
  <c r="LN228"/>
  <c r="KK228"/>
  <c r="KJ228"/>
  <c r="JU228"/>
  <c r="JT228"/>
  <c r="IB228"/>
  <c r="BR228"/>
  <c r="MY227"/>
  <c r="MG227" s="1"/>
  <c r="MD227"/>
  <c r="MC227"/>
  <c r="LY227"/>
  <c r="LT227"/>
  <c r="LO227"/>
  <c r="LN227"/>
  <c r="KK227"/>
  <c r="KJ227"/>
  <c r="JU227"/>
  <c r="JT227"/>
  <c r="IB227"/>
  <c r="BR227"/>
  <c r="MY226"/>
  <c r="MG226" s="1"/>
  <c r="MF226"/>
  <c r="MC226"/>
  <c r="MB226"/>
  <c r="LY226"/>
  <c r="LT226"/>
  <c r="LO226"/>
  <c r="LN226"/>
  <c r="KK226"/>
  <c r="KJ226"/>
  <c r="JU226"/>
  <c r="JT226"/>
  <c r="IB226"/>
  <c r="BR226"/>
  <c r="MY225" s="1"/>
  <c r="MI225"/>
  <c r="MG225" s="1"/>
  <c r="MF225"/>
  <c r="MC225"/>
  <c r="LY225"/>
  <c r="LT225"/>
  <c r="LO225"/>
  <c r="LN225"/>
  <c r="KK225"/>
  <c r="KJ225"/>
  <c r="JU225"/>
  <c r="JT225"/>
  <c r="IB225"/>
  <c r="BR225"/>
  <c r="MY224"/>
  <c r="MG224"/>
  <c r="MC224"/>
  <c r="LY224"/>
  <c r="LT224"/>
  <c r="LO224"/>
  <c r="LN224"/>
  <c r="KK224"/>
  <c r="KJ224"/>
  <c r="JU224"/>
  <c r="JT224"/>
  <c r="IB224"/>
  <c r="BR224" s="1"/>
  <c r="BP224"/>
  <c r="AN224"/>
  <c r="MY223"/>
  <c r="MG223"/>
  <c r="MC223"/>
  <c r="LY223"/>
  <c r="LT223"/>
  <c r="LO223"/>
  <c r="LN223"/>
  <c r="KK223"/>
  <c r="KJ223"/>
  <c r="JU223"/>
  <c r="JT223"/>
  <c r="IB223"/>
  <c r="BR223"/>
  <c r="AN223"/>
  <c r="MC222"/>
  <c r="LY222"/>
  <c r="LT222"/>
  <c r="KM222"/>
  <c r="KL222"/>
  <c r="JW222"/>
  <c r="JV222"/>
  <c r="JI222"/>
  <c r="IB222"/>
  <c r="BR222"/>
  <c r="AN222"/>
  <c r="MY221"/>
  <c r="MG221"/>
  <c r="MC221"/>
  <c r="LY221"/>
  <c r="LT221"/>
  <c r="LO221"/>
  <c r="LN221"/>
  <c r="KK221"/>
  <c r="KJ221"/>
  <c r="JU221"/>
  <c r="JT221"/>
  <c r="IB221"/>
  <c r="BR221"/>
  <c r="AN221"/>
  <c r="MY220"/>
  <c r="MG220"/>
  <c r="MC220"/>
  <c r="LY220"/>
  <c r="DW220"/>
  <c r="AN220"/>
  <c r="MY219"/>
  <c r="MG219"/>
  <c r="MC219"/>
  <c r="LY219"/>
  <c r="AN219"/>
  <c r="MY218"/>
  <c r="MG218"/>
  <c r="MC218"/>
  <c r="LY218"/>
  <c r="MY217"/>
  <c r="MG217"/>
  <c r="MC217"/>
  <c r="LY217"/>
  <c r="MY216"/>
  <c r="MG216"/>
  <c r="MC216"/>
  <c r="LY216"/>
  <c r="LO216"/>
  <c r="LN216"/>
  <c r="KK216"/>
  <c r="KJ216"/>
  <c r="JU216"/>
  <c r="JT216"/>
  <c r="MY215"/>
  <c r="MG215"/>
  <c r="MC215"/>
  <c r="LY215"/>
  <c r="LO215"/>
  <c r="LN215"/>
  <c r="KK215"/>
  <c r="KJ215"/>
  <c r="JU215"/>
  <c r="JT215"/>
  <c r="MY214"/>
  <c r="MG214"/>
  <c r="MC214"/>
  <c r="LY214"/>
  <c r="BR214"/>
  <c r="MY213"/>
  <c r="MG213"/>
  <c r="MC213"/>
  <c r="LY213"/>
  <c r="LT213"/>
  <c r="LO213"/>
  <c r="LN213"/>
  <c r="KK213"/>
  <c r="KJ213"/>
  <c r="JU213"/>
  <c r="JT213"/>
  <c r="IB213"/>
  <c r="MY212" s="1"/>
  <c r="MJ212"/>
  <c r="MI212"/>
  <c r="MG212"/>
  <c r="ME212"/>
  <c r="MD212"/>
  <c r="MC212"/>
  <c r="LY212"/>
  <c r="LT212"/>
  <c r="LO212"/>
  <c r="LN212"/>
  <c r="KK212"/>
  <c r="KJ212"/>
  <c r="JU212"/>
  <c r="JT212"/>
  <c r="IB212"/>
  <c r="MY211"/>
  <c r="MG211"/>
  <c r="MC211"/>
  <c r="LY211"/>
  <c r="BR211"/>
  <c r="MY210"/>
  <c r="MG210"/>
  <c r="MC210"/>
  <c r="LY210"/>
  <c r="BR210"/>
  <c r="AN210"/>
  <c r="MY209"/>
  <c r="MG209"/>
  <c r="MC209"/>
  <c r="LY209"/>
  <c r="LT209"/>
  <c r="LO209"/>
  <c r="LN209"/>
  <c r="KK209"/>
  <c r="KJ209"/>
  <c r="JU209"/>
  <c r="JT209"/>
  <c r="IB209"/>
  <c r="BR209"/>
  <c r="MY208"/>
  <c r="MG208" s="1"/>
  <c r="MD208"/>
  <c r="MC208"/>
  <c r="LY208"/>
  <c r="LT208"/>
  <c r="LO208"/>
  <c r="LN208"/>
  <c r="KK208"/>
  <c r="KJ208"/>
  <c r="JU208"/>
  <c r="JT208"/>
  <c r="IB208"/>
  <c r="BR208"/>
  <c r="MY207"/>
  <c r="MS207"/>
  <c r="MK207"/>
  <c r="MG207"/>
  <c r="MC207"/>
  <c r="LY207"/>
  <c r="LT207"/>
  <c r="LO207"/>
  <c r="LN207"/>
  <c r="KK207"/>
  <c r="KJ207"/>
  <c r="JU207"/>
  <c r="JT207"/>
  <c r="IB207"/>
  <c r="BR207"/>
  <c r="AM207"/>
  <c r="RF206"/>
  <c r="MY206"/>
  <c r="MG206"/>
  <c r="MC206"/>
  <c r="LY206"/>
  <c r="LT206"/>
  <c r="LO206"/>
  <c r="LN206"/>
  <c r="KK206"/>
  <c r="KJ206"/>
  <c r="JU206"/>
  <c r="JT206"/>
  <c r="IB206"/>
  <c r="BR206"/>
  <c r="MY205"/>
  <c r="MG205"/>
  <c r="MC205"/>
  <c r="LY205"/>
  <c r="LT205"/>
  <c r="LO205"/>
  <c r="LN205"/>
  <c r="KK205"/>
  <c r="KJ205"/>
  <c r="JU205"/>
  <c r="JT205"/>
  <c r="IB205"/>
  <c r="MY204"/>
  <c r="MG204"/>
  <c r="MC204"/>
  <c r="LY204"/>
  <c r="LT204"/>
  <c r="LO204"/>
  <c r="LN204"/>
  <c r="KK204"/>
  <c r="KJ204"/>
  <c r="JU204"/>
  <c r="JT204"/>
  <c r="IB204"/>
  <c r="MY203" s="1"/>
  <c r="MM203"/>
  <c r="MG203"/>
  <c r="MC203"/>
  <c r="LY203"/>
  <c r="LT203"/>
  <c r="LO203"/>
  <c r="LN203"/>
  <c r="KK203"/>
  <c r="KJ203"/>
  <c r="JU203"/>
  <c r="JT203"/>
  <c r="IB203"/>
  <c r="BR203"/>
  <c r="MY202"/>
  <c r="MG202"/>
  <c r="MC202"/>
  <c r="LY202"/>
  <c r="LT202"/>
  <c r="LO202"/>
  <c r="LN202"/>
  <c r="KK202"/>
  <c r="KJ202"/>
  <c r="JU202"/>
  <c r="JT202"/>
  <c r="IB202"/>
  <c r="BW202"/>
  <c r="BR202"/>
  <c r="MY201"/>
  <c r="MG201"/>
  <c r="MC201"/>
  <c r="LY201"/>
  <c r="MY200"/>
  <c r="MG200"/>
  <c r="MC200"/>
  <c r="LY200"/>
  <c r="LT200"/>
  <c r="LO200"/>
  <c r="LN200"/>
  <c r="KK200"/>
  <c r="KJ200"/>
  <c r="JU200"/>
  <c r="JT200"/>
  <c r="IB200"/>
  <c r="BR200"/>
  <c r="AN200"/>
  <c r="MY199"/>
  <c r="MS199"/>
  <c r="MK199"/>
  <c r="MG199"/>
  <c r="MC199"/>
  <c r="LY199"/>
  <c r="LO199"/>
  <c r="LN199"/>
  <c r="KK199"/>
  <c r="KJ199"/>
  <c r="JU199"/>
  <c r="JT199"/>
  <c r="MY198"/>
  <c r="MO198"/>
  <c r="MK198"/>
  <c r="MG198"/>
  <c r="MC198"/>
  <c r="LY198"/>
  <c r="LO198"/>
  <c r="LN198"/>
  <c r="KK198"/>
  <c r="KJ198"/>
  <c r="JU198"/>
  <c r="JT198"/>
  <c r="MY197"/>
  <c r="MG197"/>
  <c r="MC197"/>
  <c r="LY197"/>
  <c r="LO197"/>
  <c r="LN197"/>
  <c r="KK197"/>
  <c r="KJ197"/>
  <c r="JU197"/>
  <c r="JT197"/>
  <c r="BR197"/>
  <c r="AN197"/>
  <c r="MY196"/>
  <c r="MG196"/>
  <c r="MC196"/>
  <c r="LY196"/>
  <c r="LT196"/>
  <c r="LO196"/>
  <c r="LN196"/>
  <c r="KK196"/>
  <c r="KJ196"/>
  <c r="JU196"/>
  <c r="JT196"/>
  <c r="IB196"/>
  <c r="BR196"/>
  <c r="RF195"/>
  <c r="MY195"/>
  <c r="MG195"/>
  <c r="MC195"/>
  <c r="LY195"/>
  <c r="LO195"/>
  <c r="LN195"/>
  <c r="KK195"/>
  <c r="KJ195"/>
  <c r="JU195"/>
  <c r="JT195"/>
  <c r="MY194"/>
  <c r="MG194"/>
  <c r="MC194"/>
  <c r="LY194"/>
  <c r="BR194"/>
  <c r="AN194"/>
  <c r="MY193"/>
  <c r="MG193"/>
  <c r="MC193"/>
  <c r="LY193"/>
  <c r="LO193"/>
  <c r="LN193"/>
  <c r="KK193"/>
  <c r="KJ193"/>
  <c r="JU193"/>
  <c r="JT193"/>
  <c r="BR193"/>
  <c r="AN193"/>
  <c r="MY192"/>
  <c r="MG192"/>
  <c r="MC192"/>
  <c r="LY192"/>
  <c r="LO192"/>
  <c r="LN192"/>
  <c r="KK192"/>
  <c r="KJ192"/>
  <c r="JU192"/>
  <c r="JT192"/>
  <c r="BR192"/>
  <c r="AN192"/>
  <c r="MY191"/>
  <c r="MG191"/>
  <c r="MC191"/>
  <c r="LY191"/>
  <c r="LO191"/>
  <c r="LN191"/>
  <c r="KK191"/>
  <c r="KJ191"/>
  <c r="JU191"/>
  <c r="JT191"/>
  <c r="BR191"/>
  <c r="MY190"/>
  <c r="MG190"/>
  <c r="MC190"/>
  <c r="LY190"/>
  <c r="LO190"/>
  <c r="LN190"/>
  <c r="KK190"/>
  <c r="KJ190"/>
  <c r="JU190"/>
  <c r="JT190"/>
  <c r="MY189"/>
  <c r="MG189"/>
  <c r="MC189"/>
  <c r="LY189"/>
  <c r="LO189"/>
  <c r="LN189"/>
  <c r="KK189"/>
  <c r="KJ189"/>
  <c r="JU189"/>
  <c r="JT189"/>
  <c r="MY188"/>
  <c r="MG188"/>
  <c r="MC188"/>
  <c r="LY188"/>
  <c r="BR188"/>
  <c r="AN188"/>
  <c r="MY187"/>
  <c r="MG187"/>
  <c r="MC187"/>
  <c r="LY187"/>
  <c r="LT187"/>
  <c r="LO187"/>
  <c r="LN187"/>
  <c r="KK187"/>
  <c r="KJ187"/>
  <c r="JU187"/>
  <c r="JT187"/>
  <c r="IB187"/>
  <c r="BR187"/>
  <c r="MY186"/>
  <c r="MG186"/>
  <c r="MC186"/>
  <c r="LY186"/>
  <c r="AN186"/>
  <c r="MY185" s="1"/>
  <c r="MK185"/>
  <c r="MG185"/>
  <c r="MC185"/>
  <c r="LY185"/>
  <c r="LT185"/>
  <c r="LO185"/>
  <c r="LN185"/>
  <c r="KK185"/>
  <c r="KJ185"/>
  <c r="JU185"/>
  <c r="JT185"/>
  <c r="IB185"/>
  <c r="BR185"/>
  <c r="AN185"/>
  <c r="RF184"/>
  <c r="MY184"/>
  <c r="MG184"/>
  <c r="MC184"/>
  <c r="LY184"/>
  <c r="LO184"/>
  <c r="LN184"/>
  <c r="KK184"/>
  <c r="KJ184"/>
  <c r="JU184"/>
  <c r="JT184"/>
  <c r="RF183"/>
  <c r="MY183" s="1"/>
  <c r="MK183"/>
  <c r="MG183"/>
  <c r="MC183"/>
  <c r="LY183"/>
  <c r="LO183"/>
  <c r="LN183"/>
  <c r="KK183"/>
  <c r="KJ183"/>
  <c r="JU183"/>
  <c r="JT183"/>
  <c r="RF182"/>
  <c r="MY182"/>
  <c r="MG182" s="1"/>
  <c r="MD182"/>
  <c r="MC182"/>
  <c r="LY182"/>
  <c r="LT182"/>
  <c r="LO182"/>
  <c r="LN182"/>
  <c r="KK182"/>
  <c r="KJ182"/>
  <c r="JU182"/>
  <c r="JT182"/>
  <c r="IB182"/>
  <c r="BW182"/>
  <c r="BR182"/>
  <c r="AN182"/>
  <c r="MY181"/>
  <c r="MG181"/>
  <c r="MC181"/>
  <c r="LY181"/>
  <c r="LO181"/>
  <c r="LN181"/>
  <c r="KK181"/>
  <c r="KJ181"/>
  <c r="JU181"/>
  <c r="JT181"/>
  <c r="MY180"/>
  <c r="MG180"/>
  <c r="MC180"/>
  <c r="LY180"/>
  <c r="LO180"/>
  <c r="LN180"/>
  <c r="KK180"/>
  <c r="KJ180"/>
  <c r="JU180"/>
  <c r="JT180"/>
  <c r="MY179"/>
  <c r="MG179"/>
  <c r="MC179"/>
  <c r="LY179"/>
  <c r="LT179"/>
  <c r="LO179"/>
  <c r="LN179"/>
  <c r="KK179"/>
  <c r="KJ179"/>
  <c r="JU179"/>
  <c r="JT179"/>
  <c r="IB179"/>
  <c r="BR179"/>
  <c r="AN179"/>
  <c r="MY178"/>
  <c r="MG178"/>
  <c r="MC178"/>
  <c r="LY178"/>
  <c r="LT178"/>
  <c r="LO178"/>
  <c r="LN178"/>
  <c r="KK178"/>
  <c r="KJ178"/>
  <c r="JU178"/>
  <c r="JT178"/>
  <c r="IB178"/>
  <c r="BR178"/>
  <c r="AN178"/>
  <c r="RF177"/>
  <c r="MY177"/>
  <c r="MG177"/>
  <c r="MC177"/>
  <c r="LY177"/>
  <c r="LO177"/>
  <c r="LN177"/>
  <c r="KK177"/>
  <c r="KJ177"/>
  <c r="JU177"/>
  <c r="JT177"/>
  <c r="BR177"/>
  <c r="MY176"/>
  <c r="MG176"/>
  <c r="MC176"/>
  <c r="LY176"/>
  <c r="BR176"/>
  <c r="AN176"/>
  <c r="MY175"/>
  <c r="MG175"/>
  <c r="MC175"/>
  <c r="LY175"/>
  <c r="LO175"/>
  <c r="LN175"/>
  <c r="KK175"/>
  <c r="KJ175"/>
  <c r="JU175"/>
  <c r="JT175"/>
  <c r="RF174"/>
  <c r="MY174"/>
  <c r="MG174"/>
  <c r="MC174"/>
  <c r="LY174"/>
  <c r="LO174"/>
  <c r="LN174"/>
  <c r="KK174"/>
  <c r="KJ174"/>
  <c r="JU174"/>
  <c r="JT174"/>
  <c r="RF173"/>
  <c r="MY173"/>
  <c r="MG173"/>
  <c r="MC173"/>
  <c r="LY173"/>
  <c r="LO173"/>
  <c r="LN173"/>
  <c r="KK173"/>
  <c r="KJ173"/>
  <c r="JU173"/>
  <c r="JT173"/>
  <c r="RF172"/>
  <c r="MY172"/>
  <c r="MG172"/>
  <c r="MC172"/>
  <c r="LY172"/>
  <c r="LO172"/>
  <c r="LN172"/>
  <c r="KK172"/>
  <c r="KJ172"/>
  <c r="JU172"/>
  <c r="JT172"/>
  <c r="MY171"/>
  <c r="MI171"/>
  <c r="MG171"/>
  <c r="MC171"/>
  <c r="LY171"/>
  <c r="LO171"/>
  <c r="LN171"/>
  <c r="KK171"/>
  <c r="KJ171"/>
  <c r="JU171"/>
  <c r="JT171"/>
  <c r="RF170"/>
  <c r="MY170"/>
  <c r="MG170"/>
  <c r="MC170"/>
  <c r="LY170"/>
  <c r="LO170"/>
  <c r="LN170"/>
  <c r="KK170"/>
  <c r="KJ170"/>
  <c r="JU170"/>
  <c r="JT170"/>
  <c r="MY169"/>
  <c r="MG169"/>
  <c r="MC169"/>
  <c r="LY169"/>
  <c r="LO169"/>
  <c r="LN169"/>
  <c r="KK169"/>
  <c r="KJ169"/>
  <c r="JU169"/>
  <c r="JT169"/>
  <c r="BR169"/>
  <c r="AN169"/>
  <c r="MY168"/>
  <c r="MG168"/>
  <c r="MC168"/>
  <c r="LY168"/>
  <c r="LT168"/>
  <c r="LO168"/>
  <c r="LN168"/>
  <c r="KK168"/>
  <c r="KJ168"/>
  <c r="JU168"/>
  <c r="JT168"/>
  <c r="IB168"/>
  <c r="MY167"/>
  <c r="MG167"/>
  <c r="MC167"/>
  <c r="LY167"/>
  <c r="LT167"/>
  <c r="LO167"/>
  <c r="LN167"/>
  <c r="KK167"/>
  <c r="KJ167"/>
  <c r="JU167"/>
  <c r="JT167"/>
  <c r="IB167"/>
  <c r="BR167"/>
  <c r="AN167"/>
  <c r="MY166"/>
  <c r="MG166"/>
  <c r="MC166"/>
  <c r="LY166"/>
  <c r="MY165"/>
  <c r="MG165"/>
  <c r="MC165"/>
  <c r="LY165"/>
  <c r="MY164"/>
  <c r="MG164"/>
  <c r="MC164"/>
  <c r="LY164"/>
  <c r="MY163"/>
  <c r="MG163"/>
  <c r="MC163"/>
  <c r="LY163"/>
  <c r="MY162"/>
  <c r="MG162"/>
  <c r="MC162"/>
  <c r="LY162"/>
  <c r="MY161"/>
  <c r="MG161"/>
  <c r="MC161"/>
  <c r="LY161"/>
  <c r="MY160"/>
  <c r="MG160"/>
  <c r="MC160"/>
  <c r="LY160"/>
  <c r="AN160"/>
  <c r="MY159"/>
  <c r="MG159"/>
  <c r="MC159"/>
  <c r="LY159"/>
  <c r="LT159"/>
  <c r="LO159"/>
  <c r="LN159"/>
  <c r="KK159"/>
  <c r="KJ159"/>
  <c r="JU159"/>
  <c r="JT159"/>
  <c r="IB159"/>
  <c r="BR159"/>
  <c r="AN159"/>
  <c r="MY158"/>
  <c r="MG158"/>
  <c r="MC158"/>
  <c r="LY158"/>
  <c r="LO158"/>
  <c r="LN158"/>
  <c r="KK158"/>
  <c r="KJ158"/>
  <c r="JU158"/>
  <c r="JT158"/>
  <c r="MY157"/>
  <c r="MG157" s="1"/>
  <c r="MD157"/>
  <c r="MC157"/>
  <c r="LY157"/>
  <c r="LO157"/>
  <c r="LN157"/>
  <c r="KK157"/>
  <c r="KJ157"/>
  <c r="JU157"/>
  <c r="JT157"/>
  <c r="MY156"/>
  <c r="MG156"/>
  <c r="MD156"/>
  <c r="MC156"/>
  <c r="LY156"/>
  <c r="LO156"/>
  <c r="LN156"/>
  <c r="KK156"/>
  <c r="KJ156"/>
  <c r="JU156"/>
  <c r="JT156"/>
  <c r="MY155"/>
  <c r="MG155"/>
  <c r="MC155"/>
  <c r="LY155"/>
  <c r="MY154"/>
  <c r="MJ154"/>
  <c r="MG154"/>
  <c r="MC154" s="1"/>
  <c r="LZ154"/>
  <c r="LY154"/>
  <c r="LO154"/>
  <c r="LN154"/>
  <c r="KK154"/>
  <c r="KJ154"/>
  <c r="JU154"/>
  <c r="JT154"/>
  <c r="MY153"/>
  <c r="MG153"/>
  <c r="MC153"/>
  <c r="LY153"/>
  <c r="BR153"/>
  <c r="AN153"/>
  <c r="MY152"/>
  <c r="MG152"/>
  <c r="MC152"/>
  <c r="LY152"/>
  <c r="MY151"/>
  <c r="MG151"/>
  <c r="MC151"/>
  <c r="LY151"/>
  <c r="LO151"/>
  <c r="LN151"/>
  <c r="KK151"/>
  <c r="KJ151"/>
  <c r="JU151"/>
  <c r="JT151"/>
  <c r="MY150" s="1"/>
  <c r="MJ150"/>
  <c r="MG150"/>
  <c r="MC150" s="1"/>
  <c r="LZ150"/>
  <c r="LY150"/>
  <c r="LO150"/>
  <c r="LN150"/>
  <c r="KK150"/>
  <c r="KJ150"/>
  <c r="JU150"/>
  <c r="JT150"/>
  <c r="MY149"/>
  <c r="MG149"/>
  <c r="MC149"/>
  <c r="LY149"/>
  <c r="BR149"/>
  <c r="AN149"/>
  <c r="MY148"/>
  <c r="MG148"/>
  <c r="MC148"/>
  <c r="LY148"/>
  <c r="BR148"/>
  <c r="MY147"/>
  <c r="MG147"/>
  <c r="MC147"/>
  <c r="LY147"/>
  <c r="BR147"/>
  <c r="AN147"/>
  <c r="MY146"/>
  <c r="MG146"/>
  <c r="MC146"/>
  <c r="LY146"/>
  <c r="BR146"/>
  <c r="AN146"/>
  <c r="MY145"/>
  <c r="MG145"/>
  <c r="MC145"/>
  <c r="LY145"/>
  <c r="BR145"/>
  <c r="AN145"/>
  <c r="MY144"/>
  <c r="MG144"/>
  <c r="MC144"/>
  <c r="LY144"/>
  <c r="BR144"/>
  <c r="MY143"/>
  <c r="MG143"/>
  <c r="MC143"/>
  <c r="LY143"/>
  <c r="DW143"/>
  <c r="AN143"/>
  <c r="MY142"/>
  <c r="MG142"/>
  <c r="MC142"/>
  <c r="LY142"/>
  <c r="BR142"/>
  <c r="AN142"/>
  <c r="MY141"/>
  <c r="MG141"/>
  <c r="MC141"/>
  <c r="LY141"/>
  <c r="MY140"/>
  <c r="MG140"/>
  <c r="MC140"/>
  <c r="LY140"/>
  <c r="MY139"/>
  <c r="MG139"/>
  <c r="MC139"/>
  <c r="LY139"/>
  <c r="FN139"/>
  <c r="MY138"/>
  <c r="MG138"/>
  <c r="MC138"/>
  <c r="LY138"/>
  <c r="BR138"/>
  <c r="AN138"/>
  <c r="MY137"/>
  <c r="MG137"/>
  <c r="MC137"/>
  <c r="LY137"/>
  <c r="MY136"/>
  <c r="MG136"/>
  <c r="MC136"/>
  <c r="LY136"/>
  <c r="MY135"/>
  <c r="MG135"/>
  <c r="MC135"/>
  <c r="LY135"/>
  <c r="MY134"/>
  <c r="MG134"/>
  <c r="MC134"/>
  <c r="LY134"/>
  <c r="BR134"/>
  <c r="AN134"/>
  <c r="RF133"/>
  <c r="MY133"/>
  <c r="MG133"/>
  <c r="MC133"/>
  <c r="LY133"/>
  <c r="BR133"/>
  <c r="AN133"/>
  <c r="MY132"/>
  <c r="MG132"/>
  <c r="MC132"/>
  <c r="LY132"/>
  <c r="MY131"/>
  <c r="MG131"/>
  <c r="MC131"/>
  <c r="LY131"/>
  <c r="MY130"/>
  <c r="MG130"/>
  <c r="MC130"/>
  <c r="LY130"/>
  <c r="MY129"/>
  <c r="MG129"/>
  <c r="MC129"/>
  <c r="LY129"/>
  <c r="JD129"/>
  <c r="RF128"/>
  <c r="MY128"/>
  <c r="MG128"/>
  <c r="MC128"/>
  <c r="LY128"/>
  <c r="LT128"/>
  <c r="LO128"/>
  <c r="LN128"/>
  <c r="KK128"/>
  <c r="KJ128"/>
  <c r="JU128"/>
  <c r="JT128"/>
  <c r="IB128"/>
  <c r="GG128"/>
  <c r="BR128"/>
  <c r="AN128"/>
  <c r="MY127"/>
  <c r="MG127"/>
  <c r="MC127"/>
  <c r="LY127"/>
  <c r="MY126"/>
  <c r="MG126"/>
  <c r="MC126"/>
  <c r="LY126"/>
  <c r="MY125"/>
  <c r="MG125"/>
  <c r="MC125"/>
  <c r="LY125"/>
  <c r="MY124"/>
  <c r="MG124"/>
  <c r="MC124"/>
  <c r="LY124"/>
  <c r="LO124"/>
  <c r="LN124"/>
  <c r="KK124"/>
  <c r="KJ124"/>
  <c r="JU124"/>
  <c r="JT124"/>
  <c r="MY123" s="1"/>
  <c r="MK123"/>
  <c r="MG123"/>
  <c r="MC123"/>
  <c r="LY123"/>
  <c r="LO123"/>
  <c r="LN123"/>
  <c r="KK123"/>
  <c r="KJ123"/>
  <c r="JU123"/>
  <c r="JT123"/>
  <c r="BR123"/>
  <c r="RF122"/>
  <c r="MY122"/>
  <c r="MG122"/>
  <c r="MC122"/>
  <c r="LY122"/>
  <c r="LO122"/>
  <c r="LN122"/>
  <c r="KK122"/>
  <c r="KJ122"/>
  <c r="JU122"/>
  <c r="JT122"/>
  <c r="MY121"/>
  <c r="MG121"/>
  <c r="MC121"/>
  <c r="LY121"/>
  <c r="LO121"/>
  <c r="LN121"/>
  <c r="KK121"/>
  <c r="KJ121"/>
  <c r="JU121"/>
  <c r="JT121"/>
  <c r="MY120"/>
  <c r="MQ120"/>
  <c r="MJ120"/>
  <c r="MI120"/>
  <c r="MG120"/>
  <c r="MC120"/>
  <c r="LY120"/>
  <c r="LT120"/>
  <c r="LO120"/>
  <c r="LN120"/>
  <c r="KK120"/>
  <c r="KJ120"/>
  <c r="JU120"/>
  <c r="JT120"/>
  <c r="IB120"/>
  <c r="MY119"/>
  <c r="MG119"/>
  <c r="MC119"/>
  <c r="LY119"/>
  <c r="BR119"/>
  <c r="MY118"/>
  <c r="MG118"/>
  <c r="MC118"/>
  <c r="LY118"/>
  <c r="LO118"/>
  <c r="LN118"/>
  <c r="KK118"/>
  <c r="KJ118"/>
  <c r="JU118"/>
  <c r="JT118"/>
  <c r="CU118"/>
  <c r="BR118"/>
  <c r="MY117"/>
  <c r="MM117"/>
  <c r="MK117"/>
  <c r="MJ117"/>
  <c r="MI117"/>
  <c r="MG117"/>
  <c r="MC117"/>
  <c r="LY117"/>
  <c r="LO117"/>
  <c r="LN117"/>
  <c r="KK117"/>
  <c r="KJ117"/>
  <c r="JU117"/>
  <c r="JT117"/>
  <c r="AN117"/>
  <c r="MY116"/>
  <c r="MR116"/>
  <c r="MO116"/>
  <c r="MJ116"/>
  <c r="MI116"/>
  <c r="MG116"/>
  <c r="MC116"/>
  <c r="LY116"/>
  <c r="LO116"/>
  <c r="LN116"/>
  <c r="KK116"/>
  <c r="KJ116"/>
  <c r="JU116"/>
  <c r="JT116"/>
  <c r="MY115"/>
  <c r="MG115"/>
  <c r="MC115"/>
  <c r="LY115"/>
  <c r="BR115"/>
  <c r="AN115"/>
  <c r="MY114"/>
  <c r="MG114"/>
  <c r="MC114"/>
  <c r="LY114"/>
  <c r="AN114"/>
  <c r="MY113"/>
  <c r="MG113"/>
  <c r="MC113"/>
  <c r="LY113"/>
  <c r="LO113"/>
  <c r="LN113"/>
  <c r="KK113"/>
  <c r="KJ113"/>
  <c r="JU113"/>
  <c r="JT113"/>
  <c r="MY112"/>
  <c r="MO112"/>
  <c r="MK112"/>
  <c r="MI112"/>
  <c r="MG112"/>
  <c r="MC112"/>
  <c r="LY112"/>
  <c r="LO112"/>
  <c r="LN112"/>
  <c r="KK112"/>
  <c r="KJ112"/>
  <c r="JU112"/>
  <c r="JT112"/>
  <c r="BR112"/>
  <c r="AN112"/>
  <c r="MY111"/>
  <c r="ML111"/>
  <c r="MI111"/>
  <c r="MG111"/>
  <c r="MC111"/>
  <c r="LY111"/>
  <c r="LT111"/>
  <c r="LO111"/>
  <c r="LN111"/>
  <c r="KK111"/>
  <c r="KJ111"/>
  <c r="JU111"/>
  <c r="JT111"/>
  <c r="IB111"/>
  <c r="BR111"/>
  <c r="AN111"/>
  <c r="MY110"/>
  <c r="MM110"/>
  <c r="MJ110"/>
  <c r="MI110"/>
  <c r="MG110" s="1"/>
  <c r="MD110"/>
  <c r="MC110" s="1"/>
  <c r="LZ110"/>
  <c r="LY110"/>
  <c r="LO110"/>
  <c r="LN110"/>
  <c r="KK110"/>
  <c r="KJ110"/>
  <c r="JU110"/>
  <c r="JT110"/>
  <c r="MY109"/>
  <c r="MG109"/>
  <c r="MC109"/>
  <c r="LY109"/>
  <c r="LO109"/>
  <c r="LN109"/>
  <c r="KK109"/>
  <c r="KJ109"/>
  <c r="JU109"/>
  <c r="JT109"/>
  <c r="CU109"/>
  <c r="BR109"/>
  <c r="AN109"/>
  <c r="MY108"/>
  <c r="MG108"/>
  <c r="MC108"/>
  <c r="LY108"/>
  <c r="BR108"/>
  <c r="MY107"/>
  <c r="MS107"/>
  <c r="MG107"/>
  <c r="MC107"/>
  <c r="LY107"/>
  <c r="LT107"/>
  <c r="LO107"/>
  <c r="LN107"/>
  <c r="KK107"/>
  <c r="KJ107"/>
  <c r="JU107"/>
  <c r="JT107"/>
  <c r="IB107"/>
  <c r="MY106"/>
  <c r="MG106"/>
  <c r="MC106"/>
  <c r="LY106"/>
  <c r="LT106"/>
  <c r="LO106"/>
  <c r="LN106"/>
  <c r="KK106"/>
  <c r="KJ106"/>
  <c r="KL793" l="1"/>
  <c r="KM794"/>
  <c r="KM799"/>
  <c r="KM803"/>
  <c r="JI434"/>
  <c r="JW612"/>
  <c r="JV614"/>
  <c r="KL623"/>
  <c r="KL625"/>
  <c r="KM626"/>
  <c r="KL631"/>
  <c r="JV722"/>
  <c r="KM413"/>
  <c r="KM435"/>
  <c r="KL436"/>
  <c r="JV437"/>
  <c r="JV438"/>
  <c r="KL441"/>
  <c r="KM442"/>
  <c r="KM470"/>
  <c r="JW552"/>
  <c r="JW562"/>
  <c r="KL772"/>
  <c r="KM786"/>
  <c r="JW787"/>
  <c r="KM787"/>
  <c r="KM793"/>
  <c r="JW796"/>
  <c r="JW798"/>
  <c r="JW800"/>
  <c r="JW801"/>
  <c r="KM802"/>
  <c r="JV818"/>
  <c r="KL818"/>
  <c r="JW479"/>
  <c r="JW481"/>
  <c r="JV484"/>
  <c r="KL484"/>
  <c r="JI168"/>
  <c r="KM484"/>
  <c r="JW485"/>
  <c r="KM485"/>
  <c r="JV629"/>
  <c r="KL629"/>
  <c r="JW631"/>
  <c r="KM651"/>
  <c r="JW723"/>
  <c r="KL732"/>
  <c r="KL733"/>
  <c r="JV734"/>
  <c r="JW761"/>
  <c r="KM762"/>
  <c r="KM764"/>
  <c r="KM772"/>
  <c r="JI293"/>
  <c r="KM363"/>
  <c r="KM405"/>
  <c r="JW409"/>
  <c r="KL506"/>
  <c r="JW811"/>
  <c r="KM818"/>
  <c r="JV187"/>
  <c r="KL213"/>
  <c r="KM223"/>
  <c r="JW235"/>
  <c r="KL236"/>
  <c r="KL237"/>
  <c r="KL263"/>
  <c r="JW411"/>
  <c r="KM489"/>
  <c r="KM499"/>
  <c r="KM500"/>
  <c r="JV512"/>
  <c r="JV551"/>
  <c r="KL551"/>
  <c r="KM607"/>
  <c r="JV822"/>
  <c r="KL822"/>
  <c r="KM159"/>
  <c r="KM187"/>
  <c r="KM221"/>
  <c r="KM225"/>
  <c r="KL226"/>
  <c r="KL229"/>
  <c r="JW236"/>
  <c r="KM272"/>
  <c r="KL273"/>
  <c r="JV275"/>
  <c r="KL275"/>
  <c r="KM276"/>
  <c r="JV279"/>
  <c r="KL279"/>
  <c r="KL280"/>
  <c r="KM281"/>
  <c r="KM282"/>
  <c r="KL285"/>
  <c r="KM293"/>
  <c r="JV306"/>
  <c r="KM411"/>
  <c r="JV430"/>
  <c r="KL442"/>
  <c r="KM443"/>
  <c r="JV480"/>
  <c r="JV485"/>
  <c r="JW486"/>
  <c r="KM487"/>
  <c r="KL499"/>
  <c r="JV506"/>
  <c r="KM557"/>
  <c r="JV558"/>
  <c r="KL573"/>
  <c r="JW583"/>
  <c r="JW607"/>
  <c r="JW608"/>
  <c r="KM608"/>
  <c r="JV609"/>
  <c r="JW632"/>
  <c r="KL648"/>
  <c r="KM691"/>
  <c r="JW709"/>
  <c r="JW734"/>
  <c r="JV737"/>
  <c r="KL737"/>
  <c r="JV811"/>
  <c r="KM817"/>
  <c r="KL282"/>
  <c r="KM284"/>
  <c r="KL291"/>
  <c r="KM347"/>
  <c r="JW423"/>
  <c r="KM564"/>
  <c r="KM593"/>
  <c r="KM596"/>
  <c r="KM598"/>
  <c r="KM600"/>
  <c r="JV610"/>
  <c r="KL610"/>
  <c r="KL612"/>
  <c r="JV619"/>
  <c r="KM623"/>
  <c r="KM665"/>
  <c r="KM681"/>
  <c r="JW682"/>
  <c r="KM686"/>
  <c r="JV690"/>
  <c r="KL709"/>
  <c r="JV711"/>
  <c r="KM737"/>
  <c r="KM744"/>
  <c r="JW746"/>
  <c r="KM747"/>
  <c r="KM760"/>
  <c r="KL761"/>
  <c r="JV767"/>
  <c r="JV772"/>
  <c r="JW773"/>
  <c r="KM774"/>
  <c r="KM784"/>
  <c r="KM785"/>
  <c r="JV786"/>
  <c r="KL786"/>
  <c r="JV793"/>
  <c r="JW818"/>
  <c r="JI205"/>
  <c r="JI272"/>
  <c r="JI429"/>
  <c r="JI319"/>
  <c r="KL187"/>
  <c r="KM227"/>
  <c r="JW229"/>
  <c r="KL231"/>
  <c r="JV292"/>
  <c r="JI318"/>
  <c r="KM319"/>
  <c r="JW347"/>
  <c r="KM367"/>
  <c r="KM373"/>
  <c r="JI383"/>
  <c r="KL395"/>
  <c r="KM409"/>
  <c r="KL412"/>
  <c r="JW427"/>
  <c r="KL429"/>
  <c r="KM430"/>
  <c r="KL443"/>
  <c r="JW470"/>
  <c r="JI473"/>
  <c r="KL487"/>
  <c r="JW499"/>
  <c r="JW500"/>
  <c r="KL502"/>
  <c r="KM503"/>
  <c r="JV505"/>
  <c r="KM511"/>
  <c r="JI514"/>
  <c r="JV521"/>
  <c r="KL521"/>
  <c r="JV524"/>
  <c r="KM527"/>
  <c r="KL532"/>
  <c r="JV537"/>
  <c r="JW540"/>
  <c r="KM558"/>
  <c r="KL560"/>
  <c r="KM583"/>
  <c r="KL596"/>
  <c r="KL599"/>
  <c r="KL619"/>
  <c r="JV631"/>
  <c r="KM644"/>
  <c r="KL650"/>
  <c r="JW651"/>
  <c r="JV655"/>
  <c r="KL686"/>
  <c r="KM688"/>
  <c r="KL711"/>
  <c r="KM712"/>
  <c r="JW716"/>
  <c r="JV744"/>
  <c r="JW745"/>
  <c r="KM746"/>
  <c r="KL762"/>
  <c r="KL790"/>
  <c r="KL794"/>
  <c r="KM800"/>
  <c r="JI227"/>
  <c r="JI503"/>
  <c r="JI509"/>
  <c r="JI644"/>
  <c r="JI667"/>
  <c r="KM111"/>
  <c r="KL120"/>
  <c r="JV128"/>
  <c r="JV167"/>
  <c r="KL178"/>
  <c r="JW182"/>
  <c r="JV185"/>
  <c r="KL196"/>
  <c r="JV200"/>
  <c r="KL202"/>
  <c r="JW203"/>
  <c r="JW204"/>
  <c r="KL208"/>
  <c r="JW209"/>
  <c r="KL212"/>
  <c r="JW221"/>
  <c r="KL232"/>
  <c r="JW233"/>
  <c r="JV234"/>
  <c r="KL234"/>
  <c r="KL294"/>
  <c r="KL306"/>
  <c r="KL319"/>
  <c r="JW363"/>
  <c r="KL373"/>
  <c r="KL376"/>
  <c r="KM383"/>
  <c r="JW395"/>
  <c r="JI405"/>
  <c r="KL431"/>
  <c r="KL433"/>
  <c r="JW443"/>
  <c r="KL471"/>
  <c r="KM473"/>
  <c r="KM475"/>
  <c r="JV476"/>
  <c r="KL477"/>
  <c r="JW487"/>
  <c r="JW489"/>
  <c r="JV501"/>
  <c r="JW506"/>
  <c r="KL509"/>
  <c r="KM519"/>
  <c r="KM524"/>
  <c r="KL527"/>
  <c r="KM537"/>
  <c r="KM550"/>
  <c r="JW551"/>
  <c r="KL552"/>
  <c r="JW557"/>
  <c r="JW564"/>
  <c r="JW600"/>
  <c r="JV623"/>
  <c r="KL627"/>
  <c r="KM655"/>
  <c r="JW665"/>
  <c r="KL690"/>
  <c r="JV691"/>
  <c r="JV708"/>
  <c r="JV709"/>
  <c r="KL712"/>
  <c r="JV716"/>
  <c r="KL716"/>
  <c r="JW717"/>
  <c r="KM723"/>
  <c r="JV732"/>
  <c r="JV760"/>
  <c r="JW762"/>
  <c r="KM768"/>
  <c r="KL795"/>
  <c r="KL796"/>
  <c r="JW799"/>
  <c r="JV802"/>
  <c r="JV803"/>
  <c r="JW804"/>
  <c r="JV816"/>
  <c r="JV817"/>
  <c r="KL111"/>
  <c r="KL168"/>
  <c r="JW178"/>
  <c r="KM179"/>
  <c r="JV182"/>
  <c r="JW187"/>
  <c r="KL221"/>
  <c r="KL227"/>
  <c r="JV229"/>
  <c r="KL230"/>
  <c r="KM238"/>
  <c r="KL239"/>
  <c r="KL265"/>
  <c r="KM266"/>
  <c r="JV268"/>
  <c r="KL268"/>
  <c r="JV274"/>
  <c r="KM275"/>
  <c r="JW276"/>
  <c r="JV277"/>
  <c r="JV285"/>
  <c r="JW286"/>
  <c r="JW294"/>
  <c r="KL296"/>
  <c r="JI297"/>
  <c r="JW319"/>
  <c r="JV411"/>
  <c r="JW429"/>
  <c r="KM432"/>
  <c r="JW433"/>
  <c r="KL434"/>
  <c r="JW436"/>
  <c r="KL444"/>
  <c r="KL445"/>
  <c r="KM447"/>
  <c r="KM479"/>
  <c r="KM481"/>
  <c r="JV489"/>
  <c r="JV500"/>
  <c r="KM506"/>
  <c r="JV507"/>
  <c r="JW509"/>
  <c r="JW512"/>
  <c r="KL512"/>
  <c r="KM520"/>
  <c r="KL537"/>
  <c r="KL540"/>
  <c r="JI541"/>
  <c r="KL542"/>
  <c r="KL548"/>
  <c r="KM551"/>
  <c r="JI552"/>
  <c r="JV564"/>
  <c r="JV583"/>
  <c r="KM590"/>
  <c r="JW598"/>
  <c r="KM602"/>
  <c r="KM610"/>
  <c r="KM611"/>
  <c r="JV612"/>
  <c r="JW618"/>
  <c r="JW622"/>
  <c r="JV627"/>
  <c r="KM631"/>
  <c r="KL644"/>
  <c r="JW650"/>
  <c r="JV665"/>
  <c r="KM667"/>
  <c r="KL692"/>
  <c r="KM694"/>
  <c r="KL704"/>
  <c r="KM709"/>
  <c r="JV710"/>
  <c r="JV717"/>
  <c r="JW722"/>
  <c r="KL722"/>
  <c r="JV745"/>
  <c r="KL745"/>
  <c r="JV764"/>
  <c r="JV765"/>
  <c r="JV766"/>
  <c r="JW791"/>
  <c r="JW793"/>
  <c r="JI794"/>
  <c r="KL799"/>
  <c r="KL159"/>
  <c r="KM202"/>
  <c r="KL203"/>
  <c r="KL204"/>
  <c r="KM208"/>
  <c r="JW225"/>
  <c r="KM229"/>
  <c r="JI230"/>
  <c r="JV231"/>
  <c r="JV232"/>
  <c r="KL233"/>
  <c r="KM269"/>
  <c r="KL270"/>
  <c r="JW272"/>
  <c r="KM278"/>
  <c r="JW279"/>
  <c r="JV287"/>
  <c r="KL287"/>
  <c r="KM288"/>
  <c r="JW290"/>
  <c r="JI296"/>
  <c r="KM297"/>
  <c r="KL304"/>
  <c r="JW367"/>
  <c r="JW407"/>
  <c r="JV409"/>
  <c r="KL411"/>
  <c r="JV433"/>
  <c r="JW434"/>
  <c r="JV436"/>
  <c r="JV446"/>
  <c r="KL447"/>
  <c r="KL474"/>
  <c r="KM477"/>
  <c r="JV482"/>
  <c r="KL489"/>
  <c r="KL500"/>
  <c r="JW514"/>
  <c r="JW519"/>
  <c r="JW521"/>
  <c r="KM532"/>
  <c r="KM541"/>
  <c r="JW548"/>
  <c r="KM549"/>
  <c r="JW558"/>
  <c r="KL590"/>
  <c r="JW593"/>
  <c r="KM599"/>
  <c r="KL602"/>
  <c r="KM612"/>
  <c r="JW619"/>
  <c r="KM627"/>
  <c r="KM630"/>
  <c r="KL632"/>
  <c r="JW644"/>
  <c r="KM648"/>
  <c r="JW655"/>
  <c r="KL667"/>
  <c r="JW681"/>
  <c r="KL682"/>
  <c r="JW690"/>
  <c r="KL694"/>
  <c r="JW704"/>
  <c r="KM707"/>
  <c r="JW711"/>
  <c r="KL724"/>
  <c r="JW732"/>
  <c r="JV733"/>
  <c r="KL734"/>
  <c r="JW747"/>
  <c r="JW750"/>
  <c r="KM765"/>
  <c r="KL767"/>
  <c r="JV768"/>
  <c r="KL773"/>
  <c r="JV774"/>
  <c r="JW780"/>
  <c r="JV784"/>
  <c r="JV785"/>
  <c r="JW786"/>
  <c r="JW795"/>
  <c r="KM796"/>
  <c r="JV801"/>
  <c r="KL409"/>
  <c r="KM433"/>
  <c r="KM436"/>
  <c r="JV443"/>
  <c r="JV487"/>
  <c r="JV499"/>
  <c r="KM619"/>
  <c r="JW623"/>
  <c r="JW629"/>
  <c r="KM690"/>
  <c r="KM711"/>
  <c r="KM733"/>
  <c r="JV762"/>
  <c r="JW772"/>
  <c r="KM801"/>
  <c r="KL811"/>
  <c r="JW120"/>
  <c r="JW128"/>
  <c r="KM106"/>
  <c r="KM107"/>
  <c r="JW111"/>
  <c r="KL128"/>
  <c r="JW159"/>
  <c r="JW167"/>
  <c r="KM178"/>
  <c r="KL182"/>
  <c r="JW185"/>
  <c r="KL200"/>
  <c r="KM203"/>
  <c r="KM204"/>
  <c r="KM205"/>
  <c r="KL206"/>
  <c r="KM207"/>
  <c r="JV208"/>
  <c r="KM212"/>
  <c r="KM213"/>
  <c r="JV221"/>
  <c r="KM228"/>
  <c r="KM230"/>
  <c r="KM233"/>
  <c r="KM271"/>
  <c r="KL274"/>
  <c r="JW277"/>
  <c r="KL277"/>
  <c r="KM280"/>
  <c r="JV282"/>
  <c r="KM283"/>
  <c r="KL286"/>
  <c r="KM296"/>
  <c r="KM304"/>
  <c r="JV319"/>
  <c r="JW320"/>
  <c r="KL363"/>
  <c r="JV373"/>
  <c r="KM395"/>
  <c r="KL396"/>
  <c r="JW405"/>
  <c r="JV413"/>
  <c r="KL423"/>
  <c r="JW430"/>
  <c r="KM431"/>
  <c r="JV432"/>
  <c r="JV435"/>
  <c r="JW440"/>
  <c r="KM441"/>
  <c r="JV442"/>
  <c r="KM444"/>
  <c r="KM445"/>
  <c r="KL446"/>
  <c r="JV447"/>
  <c r="KM474"/>
  <c r="KL476"/>
  <c r="JV477"/>
  <c r="JW482"/>
  <c r="KL482"/>
  <c r="JW484"/>
  <c r="KL501"/>
  <c r="KM502"/>
  <c r="JW504"/>
  <c r="JW505"/>
  <c r="JW507"/>
  <c r="JV511"/>
  <c r="KM513"/>
  <c r="JV520"/>
  <c r="JW537"/>
  <c r="KM540"/>
  <c r="KM542"/>
  <c r="KM548"/>
  <c r="JV549"/>
  <c r="JV550"/>
  <c r="KL557"/>
  <c r="KM560"/>
  <c r="KL562"/>
  <c r="KM573"/>
  <c r="JV596"/>
  <c r="JV599"/>
  <c r="JV602"/>
  <c r="KL607"/>
  <c r="JW627"/>
  <c r="JV643"/>
  <c r="JV644"/>
  <c r="KL651"/>
  <c r="JV686"/>
  <c r="KM692"/>
  <c r="JV694"/>
  <c r="KM704"/>
  <c r="JW706"/>
  <c r="JV707"/>
  <c r="JW708"/>
  <c r="JW710"/>
  <c r="JV712"/>
  <c r="KL714"/>
  <c r="KL717"/>
  <c r="JW733"/>
  <c r="JW744"/>
  <c r="KL746"/>
  <c r="KM748"/>
  <c r="JW760"/>
  <c r="KM761"/>
  <c r="KL763"/>
  <c r="JW764"/>
  <c r="KM767"/>
  <c r="KL787"/>
  <c r="KM790"/>
  <c r="JW794"/>
  <c r="KM797"/>
  <c r="KM798"/>
  <c r="JV799"/>
  <c r="KL800"/>
  <c r="JW802"/>
  <c r="KM816"/>
  <c r="JW822"/>
  <c r="JV213"/>
  <c r="JV226"/>
  <c r="JI229"/>
  <c r="JV239"/>
  <c r="JV263"/>
  <c r="JV291"/>
  <c r="JV304"/>
  <c r="JI396"/>
  <c r="JI409"/>
  <c r="JI411"/>
  <c r="JV431"/>
  <c r="JI535"/>
  <c r="JV560"/>
  <c r="JW573"/>
  <c r="JW590"/>
  <c r="KL591"/>
  <c r="JW596"/>
  <c r="JW599"/>
  <c r="JW602"/>
  <c r="JV608"/>
  <c r="KL611"/>
  <c r="KL622"/>
  <c r="JI649"/>
  <c r="JW667"/>
  <c r="JW686"/>
  <c r="JW688"/>
  <c r="JI690"/>
  <c r="KM766"/>
  <c r="JV773"/>
  <c r="KL774"/>
  <c r="JV787"/>
  <c r="JV789"/>
  <c r="JW790"/>
  <c r="KM795"/>
  <c r="JV107"/>
  <c r="KM120"/>
  <c r="JW168"/>
  <c r="KM168"/>
  <c r="JV178"/>
  <c r="KL179"/>
  <c r="JW196"/>
  <c r="KM196"/>
  <c r="JW202"/>
  <c r="JV203"/>
  <c r="JV204"/>
  <c r="KM206"/>
  <c r="JV207"/>
  <c r="KM209"/>
  <c r="JW213"/>
  <c r="JV224"/>
  <c r="KL224"/>
  <c r="JV227"/>
  <c r="JV230"/>
  <c r="JV235"/>
  <c r="KM235"/>
  <c r="JV237"/>
  <c r="KL238"/>
  <c r="KM262"/>
  <c r="JW265"/>
  <c r="KL266"/>
  <c r="KM267"/>
  <c r="JW270"/>
  <c r="KL272"/>
  <c r="JI274"/>
  <c r="KM274"/>
  <c r="KM287"/>
  <c r="KL292"/>
  <c r="KL295"/>
  <c r="JV296"/>
  <c r="JW318"/>
  <c r="KL320"/>
  <c r="JW376"/>
  <c r="KL383"/>
  <c r="JV395"/>
  <c r="KM396"/>
  <c r="JW412"/>
  <c r="JW413"/>
  <c r="KM423"/>
  <c r="KL427"/>
  <c r="JW431"/>
  <c r="JW435"/>
  <c r="KM437"/>
  <c r="JW438"/>
  <c r="KL438"/>
  <c r="KL440"/>
  <c r="KM446"/>
  <c r="JW447"/>
  <c r="JW471"/>
  <c r="KL473"/>
  <c r="JV474"/>
  <c r="KL475"/>
  <c r="KM476"/>
  <c r="JW477"/>
  <c r="JW480"/>
  <c r="KL480"/>
  <c r="KM501"/>
  <c r="JW511"/>
  <c r="KM512"/>
  <c r="JV513"/>
  <c r="KL514"/>
  <c r="JW520"/>
  <c r="KL524"/>
  <c r="JW527"/>
  <c r="JV532"/>
  <c r="KM535"/>
  <c r="KL541"/>
  <c r="JV542"/>
  <c r="JV548"/>
  <c r="JW549"/>
  <c r="JW560"/>
  <c r="KM562"/>
  <c r="JV573"/>
  <c r="JW591"/>
  <c r="JW609"/>
  <c r="KL609"/>
  <c r="JW610"/>
  <c r="JW614"/>
  <c r="KL614"/>
  <c r="KL618"/>
  <c r="KM625"/>
  <c r="JV626"/>
  <c r="KM629"/>
  <c r="JV630"/>
  <c r="JW643"/>
  <c r="JW648"/>
  <c r="KM649"/>
  <c r="JV688"/>
  <c r="JW691"/>
  <c r="JV704"/>
  <c r="KL706"/>
  <c r="JW707"/>
  <c r="KM714"/>
  <c r="JW724"/>
  <c r="KM732"/>
  <c r="KM734"/>
  <c r="JW737"/>
  <c r="KM745"/>
  <c r="JV747"/>
  <c r="JV748"/>
  <c r="KL750"/>
  <c r="KM763"/>
  <c r="JW767"/>
  <c r="KM773"/>
  <c r="KM789"/>
  <c r="JV790"/>
  <c r="JI792"/>
  <c r="JV794"/>
  <c r="JV796"/>
  <c r="JV797"/>
  <c r="KL798"/>
  <c r="KL803"/>
  <c r="KM811"/>
  <c r="JI818"/>
  <c r="JI611"/>
  <c r="JV611"/>
  <c r="KL791"/>
  <c r="JV791"/>
  <c r="KL804"/>
  <c r="JV804"/>
  <c r="JV225"/>
  <c r="JI225"/>
  <c r="JI236"/>
  <c r="JV236"/>
  <c r="JI265"/>
  <c r="JV265"/>
  <c r="JI270"/>
  <c r="JV270"/>
  <c r="JI286"/>
  <c r="JV286"/>
  <c r="KL406"/>
  <c r="JV406"/>
  <c r="KL428"/>
  <c r="JV428"/>
  <c r="KL508"/>
  <c r="JV508"/>
  <c r="JV519"/>
  <c r="JI519"/>
  <c r="KL106"/>
  <c r="KL107"/>
  <c r="JV111"/>
  <c r="KM128"/>
  <c r="JV159"/>
  <c r="KM167"/>
  <c r="JW179"/>
  <c r="KM185"/>
  <c r="KL205"/>
  <c r="JW206"/>
  <c r="JV209"/>
  <c r="JV212"/>
  <c r="JW227"/>
  <c r="JV233"/>
  <c r="JW266"/>
  <c r="KL267"/>
  <c r="JV273"/>
  <c r="JW275"/>
  <c r="JW280"/>
  <c r="KL281"/>
  <c r="JW293"/>
  <c r="JV295"/>
  <c r="KL347"/>
  <c r="KM429"/>
  <c r="KM434"/>
  <c r="JI440"/>
  <c r="JW501"/>
  <c r="KM509"/>
  <c r="KM552"/>
  <c r="JI618"/>
  <c r="KM622"/>
  <c r="KM632"/>
  <c r="KM650"/>
  <c r="JV276"/>
  <c r="JI276"/>
  <c r="JV527"/>
  <c r="JI527"/>
  <c r="JV648"/>
  <c r="JI648"/>
  <c r="JI266"/>
  <c r="JV266"/>
  <c r="JI280"/>
  <c r="JV280"/>
  <c r="JW306"/>
  <c r="JI306"/>
  <c r="JV367"/>
  <c r="JI367"/>
  <c r="KL426"/>
  <c r="JV426"/>
  <c r="JI714"/>
  <c r="JV714"/>
  <c r="JI763"/>
  <c r="JV763"/>
  <c r="KL167"/>
  <c r="JV179"/>
  <c r="KL185"/>
  <c r="JW200"/>
  <c r="JV205"/>
  <c r="JW207"/>
  <c r="JW228"/>
  <c r="JW230"/>
  <c r="JI233"/>
  <c r="KM236"/>
  <c r="JW238"/>
  <c r="KM265"/>
  <c r="JW267"/>
  <c r="JW268"/>
  <c r="KM270"/>
  <c r="KM273"/>
  <c r="JW274"/>
  <c r="JW281"/>
  <c r="JW282"/>
  <c r="KM286"/>
  <c r="JW288"/>
  <c r="KM295"/>
  <c r="JW296"/>
  <c r="KM427"/>
  <c r="KM440"/>
  <c r="JW444"/>
  <c r="JW445"/>
  <c r="JW474"/>
  <c r="KM514"/>
  <c r="KL519"/>
  <c r="JW532"/>
  <c r="JW542"/>
  <c r="JV593"/>
  <c r="JV598"/>
  <c r="JV600"/>
  <c r="KM618"/>
  <c r="KL655"/>
  <c r="JV681"/>
  <c r="KM750"/>
  <c r="JW792"/>
  <c r="KL801"/>
  <c r="JV347"/>
  <c r="JI347"/>
  <c r="JV238"/>
  <c r="JI238"/>
  <c r="JI267"/>
  <c r="JV267"/>
  <c r="JI281"/>
  <c r="JV281"/>
  <c r="JV288"/>
  <c r="JI288"/>
  <c r="JW304"/>
  <c r="JI304"/>
  <c r="JV363"/>
  <c r="JI363"/>
  <c r="JV444"/>
  <c r="JI444"/>
  <c r="JV607"/>
  <c r="JI607"/>
  <c r="KL725"/>
  <c r="JV725"/>
  <c r="JV746"/>
  <c r="JI746"/>
  <c r="KL780"/>
  <c r="JV780"/>
  <c r="JV800"/>
  <c r="JI800"/>
  <c r="JW107"/>
  <c r="JV120"/>
  <c r="JV168"/>
  <c r="KM182"/>
  <c r="JV196"/>
  <c r="KM200"/>
  <c r="JV202"/>
  <c r="JI221"/>
  <c r="JI235"/>
  <c r="KL235"/>
  <c r="KM306"/>
  <c r="KL367"/>
  <c r="JI445"/>
  <c r="JV557"/>
  <c r="KL593"/>
  <c r="KL598"/>
  <c r="KL600"/>
  <c r="JV651"/>
  <c r="KL681"/>
  <c r="JW712"/>
  <c r="KM717"/>
  <c r="JW223"/>
  <c r="KL225"/>
  <c r="KL228"/>
  <c r="JW262"/>
  <c r="JW271"/>
  <c r="JV272"/>
  <c r="JW278"/>
  <c r="JW284"/>
  <c r="KL290"/>
  <c r="KM291"/>
  <c r="KL293"/>
  <c r="KM294"/>
  <c r="JW295"/>
  <c r="JW297"/>
  <c r="KL318"/>
  <c r="KM320"/>
  <c r="JW373"/>
  <c r="KM376"/>
  <c r="KL405"/>
  <c r="KM406"/>
  <c r="KL407"/>
  <c r="KM412"/>
  <c r="JV423"/>
  <c r="KM426"/>
  <c r="JV427"/>
  <c r="KM428"/>
  <c r="JV429"/>
  <c r="JI431"/>
  <c r="JW432"/>
  <c r="JV434"/>
  <c r="JW437"/>
  <c r="JV440"/>
  <c r="JV441"/>
  <c r="JW442"/>
  <c r="JV445"/>
  <c r="JW446"/>
  <c r="KL470"/>
  <c r="KM471"/>
  <c r="JV475"/>
  <c r="JW476"/>
  <c r="KL479"/>
  <c r="KL481"/>
  <c r="KL486"/>
  <c r="JV502"/>
  <c r="JW503"/>
  <c r="KL504"/>
  <c r="KL505"/>
  <c r="KL507"/>
  <c r="KM508"/>
  <c r="JV509"/>
  <c r="JI512"/>
  <c r="JW513"/>
  <c r="JV514"/>
  <c r="JW524"/>
  <c r="JW535"/>
  <c r="JI537"/>
  <c r="JV540"/>
  <c r="JW550"/>
  <c r="JV552"/>
  <c r="JV562"/>
  <c r="JV590"/>
  <c r="KM591"/>
  <c r="JW611"/>
  <c r="JV618"/>
  <c r="JV622"/>
  <c r="JV625"/>
  <c r="JW626"/>
  <c r="JW630"/>
  <c r="JI631"/>
  <c r="JV632"/>
  <c r="KL643"/>
  <c r="JW649"/>
  <c r="JV650"/>
  <c r="JV667"/>
  <c r="KM682"/>
  <c r="JV692"/>
  <c r="JW694"/>
  <c r="KM706"/>
  <c r="KL708"/>
  <c r="KL710"/>
  <c r="JW714"/>
  <c r="KL723"/>
  <c r="KM724"/>
  <c r="KM725"/>
  <c r="JI732"/>
  <c r="JW748"/>
  <c r="JV750"/>
  <c r="JV761"/>
  <c r="JW763"/>
  <c r="JW765"/>
  <c r="JW766"/>
  <c r="JI767"/>
  <c r="JW768"/>
  <c r="JW774"/>
  <c r="JI780"/>
  <c r="KM780"/>
  <c r="JW784"/>
  <c r="JW785"/>
  <c r="JW789"/>
  <c r="JV792"/>
  <c r="KM792"/>
  <c r="JV795"/>
  <c r="JW797"/>
  <c r="JV798"/>
  <c r="JW803"/>
  <c r="JI804"/>
  <c r="KM804"/>
  <c r="JW817"/>
  <c r="JI407"/>
  <c r="JI486"/>
  <c r="JI504"/>
  <c r="JI610"/>
  <c r="JW269"/>
  <c r="KL276"/>
  <c r="JW283"/>
  <c r="KL288"/>
  <c r="KM290"/>
  <c r="JV293"/>
  <c r="JI294"/>
  <c r="KL297"/>
  <c r="KM318"/>
  <c r="JI320"/>
  <c r="JI376"/>
  <c r="JW383"/>
  <c r="JW396"/>
  <c r="JV405"/>
  <c r="JW406"/>
  <c r="KM407"/>
  <c r="JI412"/>
  <c r="JI413"/>
  <c r="KL413"/>
  <c r="JW426"/>
  <c r="JW428"/>
  <c r="JI430"/>
  <c r="KL430"/>
  <c r="KL432"/>
  <c r="KL435"/>
  <c r="KL437"/>
  <c r="KM438"/>
  <c r="JW441"/>
  <c r="JV470"/>
  <c r="JI471"/>
  <c r="JW473"/>
  <c r="JW475"/>
  <c r="JV479"/>
  <c r="KM480"/>
  <c r="JV481"/>
  <c r="KM482"/>
  <c r="KL485"/>
  <c r="KM486"/>
  <c r="JW502"/>
  <c r="KL503"/>
  <c r="KM504"/>
  <c r="KM505"/>
  <c r="KM507"/>
  <c r="JW508"/>
  <c r="KL511"/>
  <c r="KL513"/>
  <c r="KL520"/>
  <c r="KM521"/>
  <c r="KL535"/>
  <c r="JW541"/>
  <c r="KL549"/>
  <c r="KL550"/>
  <c r="KL558"/>
  <c r="KL564"/>
  <c r="JI583"/>
  <c r="KL583"/>
  <c r="JV591"/>
  <c r="KL608"/>
  <c r="JI609"/>
  <c r="KM609"/>
  <c r="KM614"/>
  <c r="JW625"/>
  <c r="KL626"/>
  <c r="KL630"/>
  <c r="KM643"/>
  <c r="KL649"/>
  <c r="JI665"/>
  <c r="KL665"/>
  <c r="JV682"/>
  <c r="KL688"/>
  <c r="KL691"/>
  <c r="JW692"/>
  <c r="JV706"/>
  <c r="KL707"/>
  <c r="KM708"/>
  <c r="KM710"/>
  <c r="KM716"/>
  <c r="KM722"/>
  <c r="JV723"/>
  <c r="JV724"/>
  <c r="JW725"/>
  <c r="KL744"/>
  <c r="JI747"/>
  <c r="KL747"/>
  <c r="KL748"/>
  <c r="KL760"/>
  <c r="KL764"/>
  <c r="KL765"/>
  <c r="KL766"/>
  <c r="KL768"/>
  <c r="KL784"/>
  <c r="KL785"/>
  <c r="KL789"/>
  <c r="KL797"/>
  <c r="JI802"/>
  <c r="KL802"/>
  <c r="KL817"/>
  <c r="JW224"/>
  <c r="JI224"/>
  <c r="JI228"/>
  <c r="JV228"/>
  <c r="JW231"/>
  <c r="JI231"/>
  <c r="JW234"/>
  <c r="JI234"/>
  <c r="JW239"/>
  <c r="JI239"/>
  <c r="JW263"/>
  <c r="JI263"/>
  <c r="JW285"/>
  <c r="JI285"/>
  <c r="JI290"/>
  <c r="JV290"/>
  <c r="JW292"/>
  <c r="JI292"/>
  <c r="JW205"/>
  <c r="KM232"/>
  <c r="KM237"/>
  <c r="JI268"/>
  <c r="KM268"/>
  <c r="KL269"/>
  <c r="JI275"/>
  <c r="JI282"/>
  <c r="KL283"/>
  <c r="JW226"/>
  <c r="JI226"/>
  <c r="JW291"/>
  <c r="JI291"/>
  <c r="JI128"/>
  <c r="JI207"/>
  <c r="KL207"/>
  <c r="KL209"/>
  <c r="KL223"/>
  <c r="KM224"/>
  <c r="KM231"/>
  <c r="KM234"/>
  <c r="KM239"/>
  <c r="KL262"/>
  <c r="KM263"/>
  <c r="KL271"/>
  <c r="JI277"/>
  <c r="KM277"/>
  <c r="KL278"/>
  <c r="JI279"/>
  <c r="KM279"/>
  <c r="KL284"/>
  <c r="KM285"/>
  <c r="KM292"/>
  <c r="JI269"/>
  <c r="JV269"/>
  <c r="JW273"/>
  <c r="JI273"/>
  <c r="JI283"/>
  <c r="JV283"/>
  <c r="JV206"/>
  <c r="JW208"/>
  <c r="JW212"/>
  <c r="KM226"/>
  <c r="JI223"/>
  <c r="JV223"/>
  <c r="JW232"/>
  <c r="JI232"/>
  <c r="JW237"/>
  <c r="JI237"/>
  <c r="JI262"/>
  <c r="JV262"/>
  <c r="JI271"/>
  <c r="JV271"/>
  <c r="JI278"/>
  <c r="JV278"/>
  <c r="JI284"/>
  <c r="JV284"/>
  <c r="JW287"/>
  <c r="JI287"/>
  <c r="JV294"/>
  <c r="JI295"/>
  <c r="JV297"/>
  <c r="JV318"/>
  <c r="JV320"/>
  <c r="JI373"/>
  <c r="JV376"/>
  <c r="JV383"/>
  <c r="JI395"/>
  <c r="JV396"/>
  <c r="JI406"/>
  <c r="JV407"/>
  <c r="JV412"/>
  <c r="JI438"/>
  <c r="JV471"/>
  <c r="JV473"/>
  <c r="JI484"/>
  <c r="JV486"/>
  <c r="JV503"/>
  <c r="JV504"/>
  <c r="JI508"/>
  <c r="JI521"/>
  <c r="JV535"/>
  <c r="JV541"/>
  <c r="JI548"/>
  <c r="JI625"/>
  <c r="JI626"/>
  <c r="JV649"/>
  <c r="KL816"/>
  <c r="KM822"/>
  <c r="JI764"/>
  <c r="JI773"/>
  <c r="KL792"/>
  <c r="JI708"/>
  <c r="JI724"/>
  <c r="LP796"/>
  <c r="JW816"/>
  <c r="JI722"/>
  <c r="KM791"/>
  <c r="JU106"/>
  <c r="JW106" s="1"/>
  <c r="JT106"/>
  <c r="JV106" s="1"/>
  <c r="IB106"/>
  <c r="MY105"/>
  <c r="MG105"/>
  <c r="MC105"/>
  <c r="LY105"/>
  <c r="LT105"/>
  <c r="LO105"/>
  <c r="LN105"/>
  <c r="KK105"/>
  <c r="KJ105"/>
  <c r="JU105"/>
  <c r="JT105"/>
  <c r="IB105"/>
  <c r="BR105"/>
  <c r="AN105"/>
  <c r="MY104"/>
  <c r="MG104"/>
  <c r="MC104"/>
  <c r="LY104"/>
  <c r="LO104"/>
  <c r="LN104"/>
  <c r="KK104"/>
  <c r="KJ104"/>
  <c r="JU104"/>
  <c r="JT104"/>
  <c r="AN104"/>
  <c r="MY103" s="1"/>
  <c r="MS103"/>
  <c r="ML103"/>
  <c r="MK103"/>
  <c r="MG103"/>
  <c r="MC103"/>
  <c r="LY103"/>
  <c r="LT103"/>
  <c r="LO103"/>
  <c r="LN103"/>
  <c r="KK103"/>
  <c r="KJ103"/>
  <c r="JU103"/>
  <c r="JT103"/>
  <c r="IB103"/>
  <c r="BR103"/>
  <c r="AN103"/>
  <c r="AN102"/>
  <c r="KK99"/>
  <c r="KJ99"/>
  <c r="JU99"/>
  <c r="JT99"/>
  <c r="KK98"/>
  <c r="KJ98"/>
  <c r="JU98"/>
  <c r="JT98"/>
  <c r="MY96"/>
  <c r="MG96"/>
  <c r="MC96"/>
  <c r="LY96"/>
  <c r="MY95"/>
  <c r="MG95"/>
  <c r="MC95"/>
  <c r="LY95"/>
  <c r="MY94"/>
  <c r="MG94"/>
  <c r="MC94"/>
  <c r="LY94"/>
  <c r="MY93"/>
  <c r="MG93"/>
  <c r="MC93"/>
  <c r="LY93"/>
  <c r="AL93"/>
  <c r="MY92"/>
  <c r="MG92"/>
  <c r="MC92"/>
  <c r="LY92"/>
  <c r="BR92"/>
  <c r="MY91"/>
  <c r="MG91"/>
  <c r="MC91"/>
  <c r="LY91"/>
  <c r="AN91"/>
  <c r="MY90"/>
  <c r="MG90"/>
  <c r="MC90"/>
  <c r="LY90"/>
  <c r="AN90"/>
  <c r="MY89"/>
  <c r="MG89"/>
  <c r="MC89"/>
  <c r="LY89"/>
  <c r="CU89"/>
  <c r="BR89"/>
  <c r="AN89"/>
  <c r="RF88"/>
  <c r="MY88" s="1"/>
  <c r="MQ88"/>
  <c r="MM88"/>
  <c r="MC88"/>
  <c r="LY88"/>
  <c r="LT88"/>
  <c r="LO88"/>
  <c r="LN88"/>
  <c r="KK88"/>
  <c r="KJ88"/>
  <c r="JU88"/>
  <c r="JT88"/>
  <c r="IB88"/>
  <c r="BR88"/>
  <c r="MY86"/>
  <c r="MG86"/>
  <c r="MC86"/>
  <c r="LY86"/>
  <c r="BR86"/>
  <c r="AN86"/>
  <c r="MY85"/>
  <c r="MG85"/>
  <c r="MC85"/>
  <c r="LY85"/>
  <c r="BR85"/>
  <c r="RF84"/>
  <c r="MY84"/>
  <c r="MG84"/>
  <c r="MC84"/>
  <c r="LY84"/>
  <c r="LO84"/>
  <c r="LN84"/>
  <c r="KK84"/>
  <c r="KJ84"/>
  <c r="JU84"/>
  <c r="JT84"/>
  <c r="MY83"/>
  <c r="MG83"/>
  <c r="MC83"/>
  <c r="LY83"/>
  <c r="BR83"/>
  <c r="AN83"/>
  <c r="MY82" s="1"/>
  <c r="MI82"/>
  <c r="MG82"/>
  <c r="MC82" s="1"/>
  <c r="MB82"/>
  <c r="LY82"/>
  <c r="LT82"/>
  <c r="LO82"/>
  <c r="LN82"/>
  <c r="KK82"/>
  <c r="KJ82"/>
  <c r="JU82"/>
  <c r="JT82"/>
  <c r="IB82"/>
  <c r="BR82"/>
  <c r="MY81"/>
  <c r="MG81"/>
  <c r="MC81"/>
  <c r="LY81"/>
  <c r="AN81" s="1"/>
  <c r="AM81"/>
  <c r="MY80"/>
  <c r="MG80"/>
  <c r="MC80"/>
  <c r="LY80"/>
  <c r="BR80"/>
  <c r="MY79"/>
  <c r="MG79"/>
  <c r="MC79"/>
  <c r="LY79"/>
  <c r="BR79"/>
  <c r="MY78"/>
  <c r="MG78"/>
  <c r="MC78"/>
  <c r="LY78"/>
  <c r="BR78"/>
  <c r="AN78"/>
  <c r="BR77"/>
  <c r="MY76"/>
  <c r="MG76"/>
  <c r="MC76"/>
  <c r="LY76"/>
  <c r="BR76"/>
  <c r="MY75"/>
  <c r="MG75"/>
  <c r="MC75"/>
  <c r="LY75"/>
  <c r="AN75"/>
  <c r="MY74"/>
  <c r="MG74"/>
  <c r="MC74"/>
  <c r="LY74"/>
  <c r="LT74"/>
  <c r="LO74"/>
  <c r="LN74"/>
  <c r="KK74"/>
  <c r="KJ74"/>
  <c r="JU74"/>
  <c r="JT74"/>
  <c r="IB74"/>
  <c r="BR74"/>
  <c r="MY73"/>
  <c r="MG73"/>
  <c r="MC73"/>
  <c r="LY73"/>
  <c r="AN73"/>
  <c r="MY72"/>
  <c r="MG72"/>
  <c r="MC72"/>
  <c r="LY72"/>
  <c r="BR72"/>
  <c r="AN72"/>
  <c r="MY71"/>
  <c r="MG71"/>
  <c r="MC71"/>
  <c r="LY71"/>
  <c r="AN71"/>
  <c r="MY70"/>
  <c r="MG70"/>
  <c r="MC70"/>
  <c r="LY70"/>
  <c r="LT70"/>
  <c r="LO70"/>
  <c r="LN70"/>
  <c r="KK70"/>
  <c r="KJ70"/>
  <c r="JU70"/>
  <c r="JT70"/>
  <c r="IB70"/>
  <c r="BR70"/>
  <c r="AN70"/>
  <c r="MY69"/>
  <c r="MG69"/>
  <c r="MC69"/>
  <c r="LY69"/>
  <c r="LT69"/>
  <c r="LO69"/>
  <c r="LN69"/>
  <c r="KK69"/>
  <c r="KJ69"/>
  <c r="JU69"/>
  <c r="JT69"/>
  <c r="IB69"/>
  <c r="BR69"/>
  <c r="AN69"/>
  <c r="MY68"/>
  <c r="MG68"/>
  <c r="MC68"/>
  <c r="LY68"/>
  <c r="LT68"/>
  <c r="LO68"/>
  <c r="LN68"/>
  <c r="KK68"/>
  <c r="KJ68"/>
  <c r="JU68"/>
  <c r="JT68"/>
  <c r="IB68"/>
  <c r="BR68"/>
  <c r="AN68"/>
  <c r="MY67"/>
  <c r="MG67"/>
  <c r="MC67"/>
  <c r="LY67"/>
  <c r="BR67"/>
  <c r="AN67"/>
  <c r="MY66"/>
  <c r="MG66"/>
  <c r="MC66"/>
  <c r="LY66"/>
  <c r="BR66"/>
  <c r="AN66"/>
  <c r="MY65"/>
  <c r="MG65"/>
  <c r="MC65"/>
  <c r="LY65"/>
  <c r="BR65"/>
  <c r="AN65"/>
  <c r="MY64"/>
  <c r="MG64"/>
  <c r="MC64"/>
  <c r="LY64"/>
  <c r="MY63"/>
  <c r="MG63"/>
  <c r="MC63"/>
  <c r="LY63"/>
  <c r="BR63"/>
  <c r="AN63"/>
  <c r="MY62"/>
  <c r="MG62"/>
  <c r="MC62"/>
  <c r="LY62"/>
  <c r="AN62"/>
  <c r="MY61"/>
  <c r="MG61"/>
  <c r="MC61"/>
  <c r="LY61"/>
  <c r="AN61"/>
  <c r="MY60"/>
  <c r="MG60"/>
  <c r="MC60"/>
  <c r="LY60"/>
  <c r="BR60"/>
  <c r="AN60"/>
  <c r="MY59"/>
  <c r="MG59"/>
  <c r="MC59"/>
  <c r="LY59"/>
  <c r="BR59"/>
  <c r="AN59"/>
  <c r="R59"/>
  <c r="MY58"/>
  <c r="MG58"/>
  <c r="MC58"/>
  <c r="LY58"/>
  <c r="BR58"/>
  <c r="MY57"/>
  <c r="MG57"/>
  <c r="MC57"/>
  <c r="LY57"/>
  <c r="BR57"/>
  <c r="MY56"/>
  <c r="MG56"/>
  <c r="MC56"/>
  <c r="LY56"/>
  <c r="MY55"/>
  <c r="MG55"/>
  <c r="MC55"/>
  <c r="LY55"/>
  <c r="BR55"/>
  <c r="MY54"/>
  <c r="MG54"/>
  <c r="MC54"/>
  <c r="LY54"/>
  <c r="BR54"/>
  <c r="MY53"/>
  <c r="MG53"/>
  <c r="MC53"/>
  <c r="LY53"/>
  <c r="AN53"/>
  <c r="MY52"/>
  <c r="MG52"/>
  <c r="MC52"/>
  <c r="LY52"/>
  <c r="BR52"/>
  <c r="MY51"/>
  <c r="MG51"/>
  <c r="MC51"/>
  <c r="LY51"/>
  <c r="AN51"/>
  <c r="MY50"/>
  <c r="MG50"/>
  <c r="MC50"/>
  <c r="LY50"/>
  <c r="BR50"/>
  <c r="MY49"/>
  <c r="MG49"/>
  <c r="MC49"/>
  <c r="LY49"/>
  <c r="AN49"/>
  <c r="MY48"/>
  <c r="MG48"/>
  <c r="MC48"/>
  <c r="LY48"/>
  <c r="BR48"/>
  <c r="MY47"/>
  <c r="MG47"/>
  <c r="MC47"/>
  <c r="LY47"/>
  <c r="BR47"/>
  <c r="MY46"/>
  <c r="MG46"/>
  <c r="MC46"/>
  <c r="LY46"/>
  <c r="AN46"/>
  <c r="MY45"/>
  <c r="MG45"/>
  <c r="MC45"/>
  <c r="LY45"/>
  <c r="MY44"/>
  <c r="MG44"/>
  <c r="MC44"/>
  <c r="LY44"/>
  <c r="BR44"/>
  <c r="MY43"/>
  <c r="MG43"/>
  <c r="MC43"/>
  <c r="LY43"/>
  <c r="BR43"/>
  <c r="MY42"/>
  <c r="MG42"/>
  <c r="MF42"/>
  <c r="MD42"/>
  <c r="MC42"/>
  <c r="MB42"/>
  <c r="LZ42"/>
  <c r="LY42"/>
  <c r="LT42"/>
  <c r="LO42"/>
  <c r="LN42"/>
  <c r="KK42"/>
  <c r="KJ42"/>
  <c r="JU42"/>
  <c r="JT42"/>
  <c r="IB42"/>
  <c r="MY41"/>
  <c r="MG41"/>
  <c r="MC41"/>
  <c r="LY41"/>
  <c r="BR41"/>
  <c r="AN41"/>
  <c r="MY40"/>
  <c r="MG40"/>
  <c r="MC40"/>
  <c r="LY40"/>
  <c r="BR40"/>
  <c r="AN40"/>
  <c r="MY39"/>
  <c r="MG39"/>
  <c r="MC39"/>
  <c r="LY39"/>
  <c r="AN39"/>
  <c r="MY38"/>
  <c r="MG38"/>
  <c r="MC38"/>
  <c r="LY38"/>
  <c r="AN38"/>
  <c r="MY37"/>
  <c r="MG37"/>
  <c r="MC37"/>
  <c r="LY37"/>
  <c r="BR37"/>
  <c r="MY36"/>
  <c r="MG36"/>
  <c r="MC36"/>
  <c r="LY36"/>
  <c r="MY35"/>
  <c r="MG35"/>
  <c r="MC35"/>
  <c r="LY35"/>
  <c r="BR35"/>
  <c r="AN35"/>
  <c r="RI34"/>
  <c r="MY34" s="1"/>
  <c r="MQ34"/>
  <c r="MG34" s="1"/>
  <c r="MD34"/>
  <c r="MC34"/>
  <c r="LY34"/>
  <c r="LO34"/>
  <c r="LN34"/>
  <c r="KK34"/>
  <c r="KJ34"/>
  <c r="JU34"/>
  <c r="JT34"/>
  <c r="MY33"/>
  <c r="MG33"/>
  <c r="MC33"/>
  <c r="LY33"/>
  <c r="BR33"/>
  <c r="MY32"/>
  <c r="MG32"/>
  <c r="MC32"/>
  <c r="LY32"/>
  <c r="BR32"/>
  <c r="MY31" s="1"/>
  <c r="MK31"/>
  <c r="MI31"/>
  <c r="MG31" s="1"/>
  <c r="MD31"/>
  <c r="MC31" s="1"/>
  <c r="LZ31"/>
  <c r="LY31"/>
  <c r="LT31"/>
  <c r="LO31"/>
  <c r="LN31"/>
  <c r="KK31"/>
  <c r="KJ31"/>
  <c r="JU31"/>
  <c r="JT31"/>
  <c r="IB31"/>
  <c r="BR31"/>
  <c r="AN31"/>
  <c r="MY30"/>
  <c r="MG30"/>
  <c r="MC30"/>
  <c r="LY30"/>
  <c r="BR30"/>
  <c r="MY29"/>
  <c r="MG29"/>
  <c r="MC29"/>
  <c r="LY29"/>
  <c r="MY28"/>
  <c r="MG28"/>
  <c r="MC28"/>
  <c r="LY28"/>
  <c r="BR28"/>
  <c r="MY27"/>
  <c r="MG27"/>
  <c r="MC27"/>
  <c r="LY27"/>
  <c r="LO27"/>
  <c r="LN27"/>
  <c r="KK27"/>
  <c r="KJ27"/>
  <c r="JU27"/>
  <c r="JT27"/>
  <c r="CU27"/>
  <c r="BR27"/>
  <c r="AN27"/>
  <c r="MY26"/>
  <c r="MG26"/>
  <c r="MC26"/>
  <c r="LY26"/>
  <c r="MY25"/>
  <c r="MG25"/>
  <c r="MC25"/>
  <c r="LY25"/>
  <c r="BR25"/>
  <c r="MY24"/>
  <c r="MG24"/>
  <c r="MC24"/>
  <c r="LY24"/>
  <c r="BR24"/>
  <c r="AN24"/>
  <c r="MY23"/>
  <c r="MG23"/>
  <c r="MC23"/>
  <c r="LY23"/>
  <c r="AN23"/>
  <c r="MY22"/>
  <c r="MG22"/>
  <c r="MC22"/>
  <c r="LY22"/>
  <c r="BR22"/>
  <c r="AN22"/>
  <c r="MY21"/>
  <c r="MG21"/>
  <c r="MC21"/>
  <c r="LY21"/>
  <c r="AN21"/>
  <c r="MY20"/>
  <c r="MJ20"/>
  <c r="MI20"/>
  <c r="MG20"/>
  <c r="MC20"/>
  <c r="LY20"/>
  <c r="LT20"/>
  <c r="LO20"/>
  <c r="LN20"/>
  <c r="KK20"/>
  <c r="KJ20"/>
  <c r="JU20"/>
  <c r="JT20"/>
  <c r="IB20"/>
  <c r="BR20"/>
  <c r="AN20"/>
  <c r="MY19"/>
  <c r="ML19"/>
  <c r="MK19"/>
  <c r="MJ19"/>
  <c r="MI19"/>
  <c r="MG19"/>
  <c r="MC19"/>
  <c r="LY19"/>
  <c r="LT19"/>
  <c r="LO19"/>
  <c r="LN19"/>
  <c r="KK19"/>
  <c r="KJ19"/>
  <c r="JU19"/>
  <c r="JT19"/>
  <c r="IB19"/>
  <c r="MY18"/>
  <c r="MG18"/>
  <c r="MC18"/>
  <c r="LY18"/>
  <c r="AN18"/>
  <c r="MY17"/>
  <c r="MG17"/>
  <c r="MC17"/>
  <c r="LY17"/>
  <c r="AN17"/>
  <c r="MY16"/>
  <c r="MG16"/>
  <c r="MC16"/>
  <c r="LY16"/>
  <c r="LT16"/>
  <c r="LO16"/>
  <c r="LN16"/>
  <c r="KK16"/>
  <c r="KJ16"/>
  <c r="JU16"/>
  <c r="JT16"/>
  <c r="IB16"/>
  <c r="BR16"/>
  <c r="AN16"/>
  <c r="MY15" s="1"/>
  <c r="MM15"/>
  <c r="MG15"/>
  <c r="MC15"/>
  <c r="LY15"/>
  <c r="LO15"/>
  <c r="LN15"/>
  <c r="KK15"/>
  <c r="KJ15"/>
  <c r="JU15"/>
  <c r="JT15"/>
  <c r="BR15"/>
  <c r="AN15"/>
  <c r="MY14"/>
  <c r="MG14"/>
  <c r="MC14"/>
  <c r="LY14"/>
  <c r="BR14"/>
  <c r="MY13"/>
  <c r="MG13"/>
  <c r="MC13"/>
  <c r="LY13"/>
  <c r="AN13"/>
  <c r="RH12"/>
  <c r="RF12"/>
  <c r="MY12"/>
  <c r="MQ12"/>
  <c r="MI12"/>
  <c r="MG12"/>
  <c r="MC12" s="1"/>
  <c r="LZ12"/>
  <c r="LY12"/>
  <c r="LO12"/>
  <c r="LN12"/>
  <c r="KK12"/>
  <c r="KJ12"/>
  <c r="JU12"/>
  <c r="JT12"/>
  <c r="BR12"/>
  <c r="AN12"/>
  <c r="MY11"/>
  <c r="MG11"/>
  <c r="MC11"/>
  <c r="LY11"/>
  <c r="AN11"/>
  <c r="MY10"/>
  <c r="MG10"/>
  <c r="MC10"/>
  <c r="LY10"/>
  <c r="GG10"/>
  <c r="BR10"/>
  <c r="AN10"/>
  <c r="RF9"/>
  <c r="MY9"/>
  <c r="MG9"/>
  <c r="MC9"/>
  <c r="LY9"/>
  <c r="BR9"/>
  <c r="RF8"/>
  <c r="MY8"/>
  <c r="MG8"/>
  <c r="MC8"/>
  <c r="LY8"/>
  <c r="AN8"/>
  <c r="MC7"/>
  <c r="LY7"/>
  <c r="LT7"/>
  <c r="KM7"/>
  <c r="KL7"/>
  <c r="JW7"/>
  <c r="JV7"/>
  <c r="IB7"/>
  <c r="BR7"/>
  <c r="MY6"/>
  <c r="MG6"/>
  <c r="MC6"/>
  <c r="LY6"/>
  <c r="BR6"/>
  <c r="AN6"/>
  <c r="MY5"/>
  <c r="MG5"/>
  <c r="MC5"/>
  <c r="LY5"/>
  <c r="AN4"/>
  <c r="M5089" i="26"/>
  <c r="DM5088"/>
  <c r="DL5088"/>
  <c r="DK5088"/>
  <c r="DJ5088"/>
  <c r="DI5088"/>
  <c r="DH5088"/>
  <c r="DG5088"/>
  <c r="DF5088"/>
  <c r="DE5088"/>
  <c r="DD5088"/>
  <c r="DC5088"/>
  <c r="DB5088"/>
  <c r="DA5088"/>
  <c r="CZ5088"/>
  <c r="CY5088"/>
  <c r="CX5088"/>
  <c r="CW5088"/>
  <c r="CV5088"/>
  <c r="CU5088"/>
  <c r="CT5088"/>
  <c r="CS5088"/>
  <c r="CR5088"/>
  <c r="CQ5088"/>
  <c r="CP5088"/>
  <c r="CO5088"/>
  <c r="CN5088"/>
  <c r="CM5088"/>
  <c r="CL5088"/>
  <c r="CK5088"/>
  <c r="CJ5088"/>
  <c r="CI5088"/>
  <c r="CH5088"/>
  <c r="CG5088"/>
  <c r="CF5088"/>
  <c r="CE5088"/>
  <c r="CD5088"/>
  <c r="CC5088"/>
  <c r="CB5088"/>
  <c r="CA5088"/>
  <c r="BZ5088"/>
  <c r="BY5088"/>
  <c r="BX5088"/>
  <c r="BW5088"/>
  <c r="BV5088"/>
  <c r="BU5088"/>
  <c r="BT5088"/>
  <c r="BS5088"/>
  <c r="BR5088"/>
  <c r="BQ5088"/>
  <c r="BP5088"/>
  <c r="BO5088"/>
  <c r="BN5088"/>
  <c r="BM5088"/>
  <c r="BL5088"/>
  <c r="BK5088"/>
  <c r="BJ5088"/>
  <c r="BI5088"/>
  <c r="BH5088"/>
  <c r="BG5088"/>
  <c r="BF5088"/>
  <c r="BE5088"/>
  <c r="BD5088"/>
  <c r="BC5088"/>
  <c r="BB5088"/>
  <c r="BA5088"/>
  <c r="AZ5088"/>
  <c r="AY5088"/>
  <c r="AX5088"/>
  <c r="AW5088"/>
  <c r="AV5088"/>
  <c r="AU5088"/>
  <c r="AT5088"/>
  <c r="AS5088"/>
  <c r="AR5088"/>
  <c r="AQ5088"/>
  <c r="M5088"/>
  <c r="X5087"/>
  <c r="M5087"/>
  <c r="X5086"/>
  <c r="M5086"/>
  <c r="X5085"/>
  <c r="M5085"/>
  <c r="X5084"/>
  <c r="M5084"/>
  <c r="X5083"/>
  <c r="M5083"/>
  <c r="X5082"/>
  <c r="M5082"/>
  <c r="X5081"/>
  <c r="M5081"/>
  <c r="X5080"/>
  <c r="M5080"/>
  <c r="X5079"/>
  <c r="M5079"/>
  <c r="X5078"/>
  <c r="M5078"/>
  <c r="X5077"/>
  <c r="M5077"/>
  <c r="X5076"/>
  <c r="M5076"/>
  <c r="X5075"/>
  <c r="M5075"/>
  <c r="X5074"/>
  <c r="M5074"/>
  <c r="X5073"/>
  <c r="M5073"/>
  <c r="X5072"/>
  <c r="M5072"/>
  <c r="X5071"/>
  <c r="M5071"/>
  <c r="X5070"/>
  <c r="M5070"/>
  <c r="X5069"/>
  <c r="M5069"/>
  <c r="X5068"/>
  <c r="M5068"/>
  <c r="X5067"/>
  <c r="M5067"/>
  <c r="X5066"/>
  <c r="M5066"/>
  <c r="X5065"/>
  <c r="M5065"/>
  <c r="X5064"/>
  <c r="M5064"/>
  <c r="X5063"/>
  <c r="M5063"/>
  <c r="X5062"/>
  <c r="M5062"/>
  <c r="X5061"/>
  <c r="M5061"/>
  <c r="X5060"/>
  <c r="M5060"/>
  <c r="X5059"/>
  <c r="M5059"/>
  <c r="X5058"/>
  <c r="M5058"/>
  <c r="X5057"/>
  <c r="M5057"/>
  <c r="X5056"/>
  <c r="M5056"/>
  <c r="X5055"/>
  <c r="M5055"/>
  <c r="X5054"/>
  <c r="M5054"/>
  <c r="X5053"/>
  <c r="M5053"/>
  <c r="X5052"/>
  <c r="M5052"/>
  <c r="X5051"/>
  <c r="M5051"/>
  <c r="X5050"/>
  <c r="M5050"/>
  <c r="X5049"/>
  <c r="M5049"/>
  <c r="X5048"/>
  <c r="M5048"/>
  <c r="X5047"/>
  <c r="M5047"/>
  <c r="X5046"/>
  <c r="M5046"/>
  <c r="X5045"/>
  <c r="M5045"/>
  <c r="X5044"/>
  <c r="M5044"/>
  <c r="X5043"/>
  <c r="M5043"/>
  <c r="X5042"/>
  <c r="M5042"/>
  <c r="X5041"/>
  <c r="M5041"/>
  <c r="X5040"/>
  <c r="M5040"/>
  <c r="X5039"/>
  <c r="M5039"/>
  <c r="X5038"/>
  <c r="M5038"/>
  <c r="X5037"/>
  <c r="M5037"/>
  <c r="X5036"/>
  <c r="M5036"/>
  <c r="X5035"/>
  <c r="M5035"/>
  <c r="X5034"/>
  <c r="M5034"/>
  <c r="X5033"/>
  <c r="M5033"/>
  <c r="X5032"/>
  <c r="M5032"/>
  <c r="X5031"/>
  <c r="M5031"/>
  <c r="X5030"/>
  <c r="M5030"/>
  <c r="X5029"/>
  <c r="M5029"/>
  <c r="X5028"/>
  <c r="M5028"/>
  <c r="X5027"/>
  <c r="M5027"/>
  <c r="X5026"/>
  <c r="M5026"/>
  <c r="X5025"/>
  <c r="M5025"/>
  <c r="X5024"/>
  <c r="M5024"/>
  <c r="X5023"/>
  <c r="M5023"/>
  <c r="X5022"/>
  <c r="M5022"/>
  <c r="X5021"/>
  <c r="M5021"/>
  <c r="X5020"/>
  <c r="M5020"/>
  <c r="X5019"/>
  <c r="M5019"/>
  <c r="X5018"/>
  <c r="M5018"/>
  <c r="X5017"/>
  <c r="M5017"/>
  <c r="X5016"/>
  <c r="M5016"/>
  <c r="X5015"/>
  <c r="M5015"/>
  <c r="X5014"/>
  <c r="M5014"/>
  <c r="X5013"/>
  <c r="M5013"/>
  <c r="X5012"/>
  <c r="M5012"/>
  <c r="X5011"/>
  <c r="M5011"/>
  <c r="X5010"/>
  <c r="M5010"/>
  <c r="X5009"/>
  <c r="M5009"/>
  <c r="X5008"/>
  <c r="M5008"/>
  <c r="X5007"/>
  <c r="M5007"/>
  <c r="X5006"/>
  <c r="M5006"/>
  <c r="X5005"/>
  <c r="M5005"/>
  <c r="X5004"/>
  <c r="M5004"/>
  <c r="X5003"/>
  <c r="M5003"/>
  <c r="X5002"/>
  <c r="M5002"/>
  <c r="X5001"/>
  <c r="M5001"/>
  <c r="X5000"/>
  <c r="M5000"/>
  <c r="X4999"/>
  <c r="M4999"/>
  <c r="X4998"/>
  <c r="M4998"/>
  <c r="X4997"/>
  <c r="M4997"/>
  <c r="X4996"/>
  <c r="M4996"/>
  <c r="X4995"/>
  <c r="M4995"/>
  <c r="X4994"/>
  <c r="M4994"/>
  <c r="X4993"/>
  <c r="M4993"/>
  <c r="X4992"/>
  <c r="M4992"/>
  <c r="X4991"/>
  <c r="M4991"/>
  <c r="X4990"/>
  <c r="M4990"/>
  <c r="X4989"/>
  <c r="M4989"/>
  <c r="X4988"/>
  <c r="M4988"/>
  <c r="X4987"/>
  <c r="M4987"/>
  <c r="X4986"/>
  <c r="M4986"/>
  <c r="X4985"/>
  <c r="M4985"/>
  <c r="X4984"/>
  <c r="M4984"/>
  <c r="X4983"/>
  <c r="M4983"/>
  <c r="X4982"/>
  <c r="M4982"/>
  <c r="X4981"/>
  <c r="M4981"/>
  <c r="X4980"/>
  <c r="M4980"/>
  <c r="X4979"/>
  <c r="M4979"/>
  <c r="X4978"/>
  <c r="M4978"/>
  <c r="X4977"/>
  <c r="M4977"/>
  <c r="X4976"/>
  <c r="M4976"/>
  <c r="X4975"/>
  <c r="M4975"/>
  <c r="X4974"/>
  <c r="M4974"/>
  <c r="X4973"/>
  <c r="M4973"/>
  <c r="X4972"/>
  <c r="M4972"/>
  <c r="X4971"/>
  <c r="M4971"/>
  <c r="X4970"/>
  <c r="M4970"/>
  <c r="X4969"/>
  <c r="M4969"/>
  <c r="X4968"/>
  <c r="M4968"/>
  <c r="X4967"/>
  <c r="M4967"/>
  <c r="X4966"/>
  <c r="M4966"/>
  <c r="X4965"/>
  <c r="M4965"/>
  <c r="X4964"/>
  <c r="M4964"/>
  <c r="X4963"/>
  <c r="M4963"/>
  <c r="X4962"/>
  <c r="M4962"/>
  <c r="X4961"/>
  <c r="M4961"/>
  <c r="X4960"/>
  <c r="M4960"/>
  <c r="X4959"/>
  <c r="M4959"/>
  <c r="X4958"/>
  <c r="M4958"/>
  <c r="X4957"/>
  <c r="M4957"/>
  <c r="X4956"/>
  <c r="M4956"/>
  <c r="X4955"/>
  <c r="M4955"/>
  <c r="X4954"/>
  <c r="M4954"/>
  <c r="X4953"/>
  <c r="M4953"/>
  <c r="X4952"/>
  <c r="M4952"/>
  <c r="X4951"/>
  <c r="M4951"/>
  <c r="X4950"/>
  <c r="M4950"/>
  <c r="X4949"/>
  <c r="M4949"/>
  <c r="X4948"/>
  <c r="M4948"/>
  <c r="X4947"/>
  <c r="M4947"/>
  <c r="X4946"/>
  <c r="M4946"/>
  <c r="X4945"/>
  <c r="M4945"/>
  <c r="X4944"/>
  <c r="M4944"/>
  <c r="X4943"/>
  <c r="M4943"/>
  <c r="X4942"/>
  <c r="M4942"/>
  <c r="X4941"/>
  <c r="M4941"/>
  <c r="X4940"/>
  <c r="M4940"/>
  <c r="X4939"/>
  <c r="M4939"/>
  <c r="X4938"/>
  <c r="M4938"/>
  <c r="X4937"/>
  <c r="M4937"/>
  <c r="X4936"/>
  <c r="M4936"/>
  <c r="X4935"/>
  <c r="M4935"/>
  <c r="X4934"/>
  <c r="M4934"/>
  <c r="X4933"/>
  <c r="M4933"/>
  <c r="X4932"/>
  <c r="M4932"/>
  <c r="X4931"/>
  <c r="M4931"/>
  <c r="X4930"/>
  <c r="M4930"/>
  <c r="X4929"/>
  <c r="M4929"/>
  <c r="X4928"/>
  <c r="M4928"/>
  <c r="X4927"/>
  <c r="M4927"/>
  <c r="X4926"/>
  <c r="M4926"/>
  <c r="X4925"/>
  <c r="M4925"/>
  <c r="X4924"/>
  <c r="M4924"/>
  <c r="X4923"/>
  <c r="M4923"/>
  <c r="X4922"/>
  <c r="M4922"/>
  <c r="X4921"/>
  <c r="M4921"/>
  <c r="X4920"/>
  <c r="M4920"/>
  <c r="X4919"/>
  <c r="M4919"/>
  <c r="X4918"/>
  <c r="M4918"/>
  <c r="X4917"/>
  <c r="M4917"/>
  <c r="X4916"/>
  <c r="M4916"/>
  <c r="X4915"/>
  <c r="M4915"/>
  <c r="X4914"/>
  <c r="M4914"/>
  <c r="X4913"/>
  <c r="M4913"/>
  <c r="X4912"/>
  <c r="M4912"/>
  <c r="X4911"/>
  <c r="M4911"/>
  <c r="X4910"/>
  <c r="M4910"/>
  <c r="X4909"/>
  <c r="M4909"/>
  <c r="X4908"/>
  <c r="M4908"/>
  <c r="X4907"/>
  <c r="M4907"/>
  <c r="X4906"/>
  <c r="M4906"/>
  <c r="X4905"/>
  <c r="M4905"/>
  <c r="X4904"/>
  <c r="M4904"/>
  <c r="X4903"/>
  <c r="M4903"/>
  <c r="X4902"/>
  <c r="M4902"/>
  <c r="X4901"/>
  <c r="M4901"/>
  <c r="X4900"/>
  <c r="M4900"/>
  <c r="X4899"/>
  <c r="M4899"/>
  <c r="X4898"/>
  <c r="M4898"/>
  <c r="X4897"/>
  <c r="M4897"/>
  <c r="X4896"/>
  <c r="M4896"/>
  <c r="X4895"/>
  <c r="M4895"/>
  <c r="X4894"/>
  <c r="M4894"/>
  <c r="X4893"/>
  <c r="M4893"/>
  <c r="X4892"/>
  <c r="M4892"/>
  <c r="X4891"/>
  <c r="M4891"/>
  <c r="X4890"/>
  <c r="M4890"/>
  <c r="X4889"/>
  <c r="M4889"/>
  <c r="X4888"/>
  <c r="M4888"/>
  <c r="X4887"/>
  <c r="M4887"/>
  <c r="X4886"/>
  <c r="M4886"/>
  <c r="X4885"/>
  <c r="M4885"/>
  <c r="X4884"/>
  <c r="M4884"/>
  <c r="X4883"/>
  <c r="M4883"/>
  <c r="X4882"/>
  <c r="M4882"/>
  <c r="X4881"/>
  <c r="M4881"/>
  <c r="X4880"/>
  <c r="M4880"/>
  <c r="X4879"/>
  <c r="M4879"/>
  <c r="X4878"/>
  <c r="M4878"/>
  <c r="X4877"/>
  <c r="M4877"/>
  <c r="X4876"/>
  <c r="M4876"/>
  <c r="X4875"/>
  <c r="M4875"/>
  <c r="X4874"/>
  <c r="M4874"/>
  <c r="X4873"/>
  <c r="M4873"/>
  <c r="X4872"/>
  <c r="M4872"/>
  <c r="X4871"/>
  <c r="M4871"/>
  <c r="X4870"/>
  <c r="M4870"/>
  <c r="X4869"/>
  <c r="M4869"/>
  <c r="X4868"/>
  <c r="M4868"/>
  <c r="X4867"/>
  <c r="M4867"/>
  <c r="X4866"/>
  <c r="M4866"/>
  <c r="X4865"/>
  <c r="M4865"/>
  <c r="X4864"/>
  <c r="M4864"/>
  <c r="X4863"/>
  <c r="M4863"/>
  <c r="X4862"/>
  <c r="M4862"/>
  <c r="X4861"/>
  <c r="M4861"/>
  <c r="X4860"/>
  <c r="M4860"/>
  <c r="X4859"/>
  <c r="M4859"/>
  <c r="X4858"/>
  <c r="M4858"/>
  <c r="X4857"/>
  <c r="M4857"/>
  <c r="X4856"/>
  <c r="M4856"/>
  <c r="X4855"/>
  <c r="M4855"/>
  <c r="X4854"/>
  <c r="M4854"/>
  <c r="X4853"/>
  <c r="M4853"/>
  <c r="X4852"/>
  <c r="M4852"/>
  <c r="X4851"/>
  <c r="M4851"/>
  <c r="X4850"/>
  <c r="M4850"/>
  <c r="X4849"/>
  <c r="M4849"/>
  <c r="X4848"/>
  <c r="M4848"/>
  <c r="X4847"/>
  <c r="M4847"/>
  <c r="X4846"/>
  <c r="M4846"/>
  <c r="X4845"/>
  <c r="M4845"/>
  <c r="X4844"/>
  <c r="M4844"/>
  <c r="X4843"/>
  <c r="M4843"/>
  <c r="X4842"/>
  <c r="M4842"/>
  <c r="X4841"/>
  <c r="M4841"/>
  <c r="X4840"/>
  <c r="M4840"/>
  <c r="X4839"/>
  <c r="M4839"/>
  <c r="X4838"/>
  <c r="M4838"/>
  <c r="X4837"/>
  <c r="M4837"/>
  <c r="X4836"/>
  <c r="M4836"/>
  <c r="X4835"/>
  <c r="M4835"/>
  <c r="X4834"/>
  <c r="M4834"/>
  <c r="X4833"/>
  <c r="M4833"/>
  <c r="X4832"/>
  <c r="M4832"/>
  <c r="X4831"/>
  <c r="M4831"/>
  <c r="X4830"/>
  <c r="M4830"/>
  <c r="X4829"/>
  <c r="M4829"/>
  <c r="X4828"/>
  <c r="M4828"/>
  <c r="X4827"/>
  <c r="M4827"/>
  <c r="X4826"/>
  <c r="M4826"/>
  <c r="X4825"/>
  <c r="M4825"/>
  <c r="X4824"/>
  <c r="M4824"/>
  <c r="X4823"/>
  <c r="M4823"/>
  <c r="X4822"/>
  <c r="M4822"/>
  <c r="X4821"/>
  <c r="M4821"/>
  <c r="X4820"/>
  <c r="M4820"/>
  <c r="X4819"/>
  <c r="M4819"/>
  <c r="X4818"/>
  <c r="M4818"/>
  <c r="X4817"/>
  <c r="M4817"/>
  <c r="X4816"/>
  <c r="M4816"/>
  <c r="X4815"/>
  <c r="M4815"/>
  <c r="X4814"/>
  <c r="M4814"/>
  <c r="X4813"/>
  <c r="M4813"/>
  <c r="X4812"/>
  <c r="M4812"/>
  <c r="X4811"/>
  <c r="M4811"/>
  <c r="X4810"/>
  <c r="M4810"/>
  <c r="X4809"/>
  <c r="M4809"/>
  <c r="X4808"/>
  <c r="M4808"/>
  <c r="X4807"/>
  <c r="M4807"/>
  <c r="X4806"/>
  <c r="M4806"/>
  <c r="X4805"/>
  <c r="M4805"/>
  <c r="X4804"/>
  <c r="M4804"/>
  <c r="X4803"/>
  <c r="M4803"/>
  <c r="X4802"/>
  <c r="M4802"/>
  <c r="X4801"/>
  <c r="M4801"/>
  <c r="X4800"/>
  <c r="M4800"/>
  <c r="X4799"/>
  <c r="M4799"/>
  <c r="X4798"/>
  <c r="M4798"/>
  <c r="X4797"/>
  <c r="M4797"/>
  <c r="X4796"/>
  <c r="M4796"/>
  <c r="X4795"/>
  <c r="M4795"/>
  <c r="X4794"/>
  <c r="M4794"/>
  <c r="X4793"/>
  <c r="M4793"/>
  <c r="X4792"/>
  <c r="M4792"/>
  <c r="X4791"/>
  <c r="M4791"/>
  <c r="X4790"/>
  <c r="M4790"/>
  <c r="X4789"/>
  <c r="M4789"/>
  <c r="X4788"/>
  <c r="M4788"/>
  <c r="X4787"/>
  <c r="M4787"/>
  <c r="X4786"/>
  <c r="M4786"/>
  <c r="X4785"/>
  <c r="M4785"/>
  <c r="X4784"/>
  <c r="M4784"/>
  <c r="X4783"/>
  <c r="M4783"/>
  <c r="X4782"/>
  <c r="M4782"/>
  <c r="X4781"/>
  <c r="M4781"/>
  <c r="X4780"/>
  <c r="M4780"/>
  <c r="X4779"/>
  <c r="M4779"/>
  <c r="X4778"/>
  <c r="M4778"/>
  <c r="X4777"/>
  <c r="M4777"/>
  <c r="X4776"/>
  <c r="M4776"/>
  <c r="X4775"/>
  <c r="M4775"/>
  <c r="X4774"/>
  <c r="M4774"/>
  <c r="X4773"/>
  <c r="M4773"/>
  <c r="X4772"/>
  <c r="M4772"/>
  <c r="X4771"/>
  <c r="M4771"/>
  <c r="X4770"/>
  <c r="M4770"/>
  <c r="X4769"/>
  <c r="M4769"/>
  <c r="X4768"/>
  <c r="M4768"/>
  <c r="X4767"/>
  <c r="M4767"/>
  <c r="X4766"/>
  <c r="M4766"/>
  <c r="X4765"/>
  <c r="M4765"/>
  <c r="X4764"/>
  <c r="M4764"/>
  <c r="X4763"/>
  <c r="M4763"/>
  <c r="X4762"/>
  <c r="M4762"/>
  <c r="X4761"/>
  <c r="M4761"/>
  <c r="X4760"/>
  <c r="M4760"/>
  <c r="X4759"/>
  <c r="M4759"/>
  <c r="X4758"/>
  <c r="M4758"/>
  <c r="X4757"/>
  <c r="M4757"/>
  <c r="X4756"/>
  <c r="M4756"/>
  <c r="X4755"/>
  <c r="M4755"/>
  <c r="X4754"/>
  <c r="M4754"/>
  <c r="X4753"/>
  <c r="M4753"/>
  <c r="X4752"/>
  <c r="M4752"/>
  <c r="X4751"/>
  <c r="M4751"/>
  <c r="X4750"/>
  <c r="M4750"/>
  <c r="X4749"/>
  <c r="M4749"/>
  <c r="X4748"/>
  <c r="M4748"/>
  <c r="X4747"/>
  <c r="M4747"/>
  <c r="X4746"/>
  <c r="M4746"/>
  <c r="X4745"/>
  <c r="M4745"/>
  <c r="X4744"/>
  <c r="M4744"/>
  <c r="X4743"/>
  <c r="M4743"/>
  <c r="X4742"/>
  <c r="M4742"/>
  <c r="X4741"/>
  <c r="M4741"/>
  <c r="X4740"/>
  <c r="M4740"/>
  <c r="X4739"/>
  <c r="M4739"/>
  <c r="X4738"/>
  <c r="M4738"/>
  <c r="X4737"/>
  <c r="M4737"/>
  <c r="X4736"/>
  <c r="M4736"/>
  <c r="X4735"/>
  <c r="M4735"/>
  <c r="X4734"/>
  <c r="M4734"/>
  <c r="X4733"/>
  <c r="M4733"/>
  <c r="X4732"/>
  <c r="M4732"/>
  <c r="X4731"/>
  <c r="M4731"/>
  <c r="X4730"/>
  <c r="M4730"/>
  <c r="X4729"/>
  <c r="M4729"/>
  <c r="X4728"/>
  <c r="M4728"/>
  <c r="X4727"/>
  <c r="M4727"/>
  <c r="X4726"/>
  <c r="M4726"/>
  <c r="X4725"/>
  <c r="M4725"/>
  <c r="X4724"/>
  <c r="M4724"/>
  <c r="X4723"/>
  <c r="M4723"/>
  <c r="X4722"/>
  <c r="M4722"/>
  <c r="X4721"/>
  <c r="M4721"/>
  <c r="X4720"/>
  <c r="M4720"/>
  <c r="X4719"/>
  <c r="M4719"/>
  <c r="X4718"/>
  <c r="M4718"/>
  <c r="X4717"/>
  <c r="M4717"/>
  <c r="X4716"/>
  <c r="M4716"/>
  <c r="X4715"/>
  <c r="M4715"/>
  <c r="X4714"/>
  <c r="M4714"/>
  <c r="X4713"/>
  <c r="M4713"/>
  <c r="X4712"/>
  <c r="M4712"/>
  <c r="X4711"/>
  <c r="M4711"/>
  <c r="X4710"/>
  <c r="M4710"/>
  <c r="X4709"/>
  <c r="M4709"/>
  <c r="X4708"/>
  <c r="M4708"/>
  <c r="X4707"/>
  <c r="M4707"/>
  <c r="X4706"/>
  <c r="M4706"/>
  <c r="X4705"/>
  <c r="M4705"/>
  <c r="X4704"/>
  <c r="M4704"/>
  <c r="X4703"/>
  <c r="M4703"/>
  <c r="X4702"/>
  <c r="M4702"/>
  <c r="X4701"/>
  <c r="M4701"/>
  <c r="X4700"/>
  <c r="M4700"/>
  <c r="X4699"/>
  <c r="M4699"/>
  <c r="X4698"/>
  <c r="M4698"/>
  <c r="X4697"/>
  <c r="M4697"/>
  <c r="X4696"/>
  <c r="M4696"/>
  <c r="X4695"/>
  <c r="M4695"/>
  <c r="X4694"/>
  <c r="M4694"/>
  <c r="X4693"/>
  <c r="M4693"/>
  <c r="X4692"/>
  <c r="M4692"/>
  <c r="X4691"/>
  <c r="M4691"/>
  <c r="X4690"/>
  <c r="M4690"/>
  <c r="X4689"/>
  <c r="M4689"/>
  <c r="X4688"/>
  <c r="M4688"/>
  <c r="X4687"/>
  <c r="M4687"/>
  <c r="X4686"/>
  <c r="M4686"/>
  <c r="X4685"/>
  <c r="M4685"/>
  <c r="X4684"/>
  <c r="M4684"/>
  <c r="X4683"/>
  <c r="M4683"/>
  <c r="X4682"/>
  <c r="M4682"/>
  <c r="X4681"/>
  <c r="M4681"/>
  <c r="X4680"/>
  <c r="M4680"/>
  <c r="X4679"/>
  <c r="M4679"/>
  <c r="X4678"/>
  <c r="M4678"/>
  <c r="X4677"/>
  <c r="M4677"/>
  <c r="X4676"/>
  <c r="M4676"/>
  <c r="X4675"/>
  <c r="M4675"/>
  <c r="X4674"/>
  <c r="M4674"/>
  <c r="X4673"/>
  <c r="M4673"/>
  <c r="X4672"/>
  <c r="M4672"/>
  <c r="X4671"/>
  <c r="M4671"/>
  <c r="X4670"/>
  <c r="M4670"/>
  <c r="X4669"/>
  <c r="M4669"/>
  <c r="X4668"/>
  <c r="M4668"/>
  <c r="X4667"/>
  <c r="M4667"/>
  <c r="X4666"/>
  <c r="M4666"/>
  <c r="X4665"/>
  <c r="M4665"/>
  <c r="X4664"/>
  <c r="M4664"/>
  <c r="X4663"/>
  <c r="M4663"/>
  <c r="X4662"/>
  <c r="M4662"/>
  <c r="X4661"/>
  <c r="M4661"/>
  <c r="X4660"/>
  <c r="M4660"/>
  <c r="X4659"/>
  <c r="M4659"/>
  <c r="X4658"/>
  <c r="M4658"/>
  <c r="X4657"/>
  <c r="M4657"/>
  <c r="X4656"/>
  <c r="M4656"/>
  <c r="X4655"/>
  <c r="M4655"/>
  <c r="X4654"/>
  <c r="M4654"/>
  <c r="X4653"/>
  <c r="M4653"/>
  <c r="X4652"/>
  <c r="M4652"/>
  <c r="X4651"/>
  <c r="M4651"/>
  <c r="X4650"/>
  <c r="M4650"/>
  <c r="X4649"/>
  <c r="M4649"/>
  <c r="X4648"/>
  <c r="M4648"/>
  <c r="X4647"/>
  <c r="M4647"/>
  <c r="X4646"/>
  <c r="M4646"/>
  <c r="X4645"/>
  <c r="M4645"/>
  <c r="X4644"/>
  <c r="M4644"/>
  <c r="X4643"/>
  <c r="M4643"/>
  <c r="X4642"/>
  <c r="M4642"/>
  <c r="X4641"/>
  <c r="M4641"/>
  <c r="X4640"/>
  <c r="M4640"/>
  <c r="X4639"/>
  <c r="M4639"/>
  <c r="X4638"/>
  <c r="M4638"/>
  <c r="X4637"/>
  <c r="M4637"/>
  <c r="X4636"/>
  <c r="M4636"/>
  <c r="X4635"/>
  <c r="M4635"/>
  <c r="X4634"/>
  <c r="M4634"/>
  <c r="X4633"/>
  <c r="M4633"/>
  <c r="X4632"/>
  <c r="M4632"/>
  <c r="X4631"/>
  <c r="M4631"/>
  <c r="X4630"/>
  <c r="M4630"/>
  <c r="X4629"/>
  <c r="M4629"/>
  <c r="X4628"/>
  <c r="M4628"/>
  <c r="X4627"/>
  <c r="M4627"/>
  <c r="X4626"/>
  <c r="M4626"/>
  <c r="X4625"/>
  <c r="M4625"/>
  <c r="X4624"/>
  <c r="M4624"/>
  <c r="X4623"/>
  <c r="M4623"/>
  <c r="X4622"/>
  <c r="M4622"/>
  <c r="X4621"/>
  <c r="M4621"/>
  <c r="X4620"/>
  <c r="M4620"/>
  <c r="X4619"/>
  <c r="M4619"/>
  <c r="X4618"/>
  <c r="M4618"/>
  <c r="X4617"/>
  <c r="M4617"/>
  <c r="X4616"/>
  <c r="M4616"/>
  <c r="X4615"/>
  <c r="M4615"/>
  <c r="X4614"/>
  <c r="M4614"/>
  <c r="X4613"/>
  <c r="M4613"/>
  <c r="X4612"/>
  <c r="M4612"/>
  <c r="X4611"/>
  <c r="M4611"/>
  <c r="X4610"/>
  <c r="M4610"/>
  <c r="X4609"/>
  <c r="M4609"/>
  <c r="X4608"/>
  <c r="M4608"/>
  <c r="X4607"/>
  <c r="M4607"/>
  <c r="X4606"/>
  <c r="M4606"/>
  <c r="X4605"/>
  <c r="M4605"/>
  <c r="X4604"/>
  <c r="M4604"/>
  <c r="X4603"/>
  <c r="M4603"/>
  <c r="X4602"/>
  <c r="M4602"/>
  <c r="X4601"/>
  <c r="M4601"/>
  <c r="X4600"/>
  <c r="M4600"/>
  <c r="X4599"/>
  <c r="M4599"/>
  <c r="X4598"/>
  <c r="M4598"/>
  <c r="X4597"/>
  <c r="M4597"/>
  <c r="X4596"/>
  <c r="M4596"/>
  <c r="X4595"/>
  <c r="M4595"/>
  <c r="X4594"/>
  <c r="M4594"/>
  <c r="X4593"/>
  <c r="M4593"/>
  <c r="X4592"/>
  <c r="M4592"/>
  <c r="X4591"/>
  <c r="M4591"/>
  <c r="X4590"/>
  <c r="M4590"/>
  <c r="X4589"/>
  <c r="M4589"/>
  <c r="X4588"/>
  <c r="M4588"/>
  <c r="X4587"/>
  <c r="M4587"/>
  <c r="X4586"/>
  <c r="M4586"/>
  <c r="X4585"/>
  <c r="M4585"/>
  <c r="X4584"/>
  <c r="M4584"/>
  <c r="X4583"/>
  <c r="M4583"/>
  <c r="X4582"/>
  <c r="M4582"/>
  <c r="X4581"/>
  <c r="M4581"/>
  <c r="X4580"/>
  <c r="M4580"/>
  <c r="X4579"/>
  <c r="M4579"/>
  <c r="X4578"/>
  <c r="M4578"/>
  <c r="X4577"/>
  <c r="M4577"/>
  <c r="X4576"/>
  <c r="M4576"/>
  <c r="X4575"/>
  <c r="M4575"/>
  <c r="X4574"/>
  <c r="M4574"/>
  <c r="X4573"/>
  <c r="M4573"/>
  <c r="X4572"/>
  <c r="M4572"/>
  <c r="X4571"/>
  <c r="M4571"/>
  <c r="X4570"/>
  <c r="M4570"/>
  <c r="X4569"/>
  <c r="M4569"/>
  <c r="X4568"/>
  <c r="M4568"/>
  <c r="X4567"/>
  <c r="M4567"/>
  <c r="X4566"/>
  <c r="M4566"/>
  <c r="X4565"/>
  <c r="M4565"/>
  <c r="X4564"/>
  <c r="M4564"/>
  <c r="X4563"/>
  <c r="M4563"/>
  <c r="X4562"/>
  <c r="M4562"/>
  <c r="X4561"/>
  <c r="M4561"/>
  <c r="X4560"/>
  <c r="M4560"/>
  <c r="X4559"/>
  <c r="M4559"/>
  <c r="X4558"/>
  <c r="M4558"/>
  <c r="X4557"/>
  <c r="M4557"/>
  <c r="X4556"/>
  <c r="M4556"/>
  <c r="X4555"/>
  <c r="M4555"/>
  <c r="X4554"/>
  <c r="M4554"/>
  <c r="X4553"/>
  <c r="M4553"/>
  <c r="X4552"/>
  <c r="M4552"/>
  <c r="X4551"/>
  <c r="M4551"/>
  <c r="X4550"/>
  <c r="M4550"/>
  <c r="X4549"/>
  <c r="M4549"/>
  <c r="X4548"/>
  <c r="M4548"/>
  <c r="X4547"/>
  <c r="M4547"/>
  <c r="X4546"/>
  <c r="M4546"/>
  <c r="X4545"/>
  <c r="M4545"/>
  <c r="X4544"/>
  <c r="M4544"/>
  <c r="X4543"/>
  <c r="M4543"/>
  <c r="X4542"/>
  <c r="M4542"/>
  <c r="X4541"/>
  <c r="M4541"/>
  <c r="X4540"/>
  <c r="M4540"/>
  <c r="X4539"/>
  <c r="M4539"/>
  <c r="X4538"/>
  <c r="M4538"/>
  <c r="X4537"/>
  <c r="M4537"/>
  <c r="X4536"/>
  <c r="M4536"/>
  <c r="X4535"/>
  <c r="M4535"/>
  <c r="X4534"/>
  <c r="M4534"/>
  <c r="X4533"/>
  <c r="M4533"/>
  <c r="X4532"/>
  <c r="M4532"/>
  <c r="X4531"/>
  <c r="M4531"/>
  <c r="X4530"/>
  <c r="M4530"/>
  <c r="X4529"/>
  <c r="M4529"/>
  <c r="X4528"/>
  <c r="M4528"/>
  <c r="X4527"/>
  <c r="M4527"/>
  <c r="X4526"/>
  <c r="M4526"/>
  <c r="X4525"/>
  <c r="M4525"/>
  <c r="X4524"/>
  <c r="M4524"/>
  <c r="X4523"/>
  <c r="M4523"/>
  <c r="X4522"/>
  <c r="M4522"/>
  <c r="X4521"/>
  <c r="M4521"/>
  <c r="X4520"/>
  <c r="M4520"/>
  <c r="X4519"/>
  <c r="M4519"/>
  <c r="X4518"/>
  <c r="M4518"/>
  <c r="X4517"/>
  <c r="M4517"/>
  <c r="X4516"/>
  <c r="M4516"/>
  <c r="X4515"/>
  <c r="M4515"/>
  <c r="X4514"/>
  <c r="M4514"/>
  <c r="X4513"/>
  <c r="M4513"/>
  <c r="X4512"/>
  <c r="M4512"/>
  <c r="X4511"/>
  <c r="M4511"/>
  <c r="X4510"/>
  <c r="M4510"/>
  <c r="X4509"/>
  <c r="M4509"/>
  <c r="X4508"/>
  <c r="M4508"/>
  <c r="X4507"/>
  <c r="M4507"/>
  <c r="X4506"/>
  <c r="M4506"/>
  <c r="X4505"/>
  <c r="M4505"/>
  <c r="X4504"/>
  <c r="M4504"/>
  <c r="X4503"/>
  <c r="M4503"/>
  <c r="X4502"/>
  <c r="M4502"/>
  <c r="X4501"/>
  <c r="M4501"/>
  <c r="X4500"/>
  <c r="M4500"/>
  <c r="X4499"/>
  <c r="M4499"/>
  <c r="X4498"/>
  <c r="M4498"/>
  <c r="X4497"/>
  <c r="M4497"/>
  <c r="X4496"/>
  <c r="M4496"/>
  <c r="X4495"/>
  <c r="M4495"/>
  <c r="X4494"/>
  <c r="M4494"/>
  <c r="X4493"/>
  <c r="M4493"/>
  <c r="X4492"/>
  <c r="M4492"/>
  <c r="X4491"/>
  <c r="M4491"/>
  <c r="X4490"/>
  <c r="M4490"/>
  <c r="X4489"/>
  <c r="M4489"/>
  <c r="X4488"/>
  <c r="M4488"/>
  <c r="X4487"/>
  <c r="M4487"/>
  <c r="X4486"/>
  <c r="M4486"/>
  <c r="X4485"/>
  <c r="M4485"/>
  <c r="X4484"/>
  <c r="M4484"/>
  <c r="X4483"/>
  <c r="M4483"/>
  <c r="X4482"/>
  <c r="M4482"/>
  <c r="X4481"/>
  <c r="M4481"/>
  <c r="X4480"/>
  <c r="M4480"/>
  <c r="X4479"/>
  <c r="M4479"/>
  <c r="X4478"/>
  <c r="M4478"/>
  <c r="X4477"/>
  <c r="M4477"/>
  <c r="X4476"/>
  <c r="M4476"/>
  <c r="X4475"/>
  <c r="M4475"/>
  <c r="X4474"/>
  <c r="M4474"/>
  <c r="X4473"/>
  <c r="M4473"/>
  <c r="X4472"/>
  <c r="M4472"/>
  <c r="X4471"/>
  <c r="M4471"/>
  <c r="X4470"/>
  <c r="M4470"/>
  <c r="X4469"/>
  <c r="M4469"/>
  <c r="X4468"/>
  <c r="M4468"/>
  <c r="X4467"/>
  <c r="M4467"/>
  <c r="X4466"/>
  <c r="M4466"/>
  <c r="X4465"/>
  <c r="M4465"/>
  <c r="X4464"/>
  <c r="M4464"/>
  <c r="X4463"/>
  <c r="M4463"/>
  <c r="X4462"/>
  <c r="M4462"/>
  <c r="X4461"/>
  <c r="M4461"/>
  <c r="X4460"/>
  <c r="M4460"/>
  <c r="X4459"/>
  <c r="M4459"/>
  <c r="X4458"/>
  <c r="M4458"/>
  <c r="X4457"/>
  <c r="M4457"/>
  <c r="X4456"/>
  <c r="M4456"/>
  <c r="X4455"/>
  <c r="M4455"/>
  <c r="X4454"/>
  <c r="M4454"/>
  <c r="X4453"/>
  <c r="M4453"/>
  <c r="X4452"/>
  <c r="M4452"/>
  <c r="X4451"/>
  <c r="M4451"/>
  <c r="X4450"/>
  <c r="M4450"/>
  <c r="X4449"/>
  <c r="M4449"/>
  <c r="X4448"/>
  <c r="M4448"/>
  <c r="X4447"/>
  <c r="M4447"/>
  <c r="X4446"/>
  <c r="M4446"/>
  <c r="X4445"/>
  <c r="M4445"/>
  <c r="X4444"/>
  <c r="M4444"/>
  <c r="X4443"/>
  <c r="M4443"/>
  <c r="X4442"/>
  <c r="M4442"/>
  <c r="X4441"/>
  <c r="M4441"/>
  <c r="X4440"/>
  <c r="M4440"/>
  <c r="X4439"/>
  <c r="M4439"/>
  <c r="X4438"/>
  <c r="M4438"/>
  <c r="X4437"/>
  <c r="M4437"/>
  <c r="X4436"/>
  <c r="M4436"/>
  <c r="X4435"/>
  <c r="M4435"/>
  <c r="X4434"/>
  <c r="M4434"/>
  <c r="X4433"/>
  <c r="M4433"/>
  <c r="X4432"/>
  <c r="M4432"/>
  <c r="X4431"/>
  <c r="M4431"/>
  <c r="X4430"/>
  <c r="M4430"/>
  <c r="X4429"/>
  <c r="M4429"/>
  <c r="X4428"/>
  <c r="M4428"/>
  <c r="X4427"/>
  <c r="M4427"/>
  <c r="X4426"/>
  <c r="M4426"/>
  <c r="X4425"/>
  <c r="M4425"/>
  <c r="X4424"/>
  <c r="M4424"/>
  <c r="X4423"/>
  <c r="M4423"/>
  <c r="X4422"/>
  <c r="M4422"/>
  <c r="X4421"/>
  <c r="M4421"/>
  <c r="X4420"/>
  <c r="M4420"/>
  <c r="X4419"/>
  <c r="M4419"/>
  <c r="X4418"/>
  <c r="M4418"/>
  <c r="X4417"/>
  <c r="M4417"/>
  <c r="X4416"/>
  <c r="M4416"/>
  <c r="X4415"/>
  <c r="M4415"/>
  <c r="X4414"/>
  <c r="M4414"/>
  <c r="X4413"/>
  <c r="M4413"/>
  <c r="X4412"/>
  <c r="M4412"/>
  <c r="X4411"/>
  <c r="M4411"/>
  <c r="X4410"/>
  <c r="M4410"/>
  <c r="X4409"/>
  <c r="M4409"/>
  <c r="X4408"/>
  <c r="M4408"/>
  <c r="X4407"/>
  <c r="M4407"/>
  <c r="X4406"/>
  <c r="M4406"/>
  <c r="X4405"/>
  <c r="M4405"/>
  <c r="X4404"/>
  <c r="M4404"/>
  <c r="X4403"/>
  <c r="M4403"/>
  <c r="X4402"/>
  <c r="M4402"/>
  <c r="X4401"/>
  <c r="M4401"/>
  <c r="X4400"/>
  <c r="M4400"/>
  <c r="X4399"/>
  <c r="M4399"/>
  <c r="X4398"/>
  <c r="M4398"/>
  <c r="X4397"/>
  <c r="M4397"/>
  <c r="X4396"/>
  <c r="M4396"/>
  <c r="X4395"/>
  <c r="M4395"/>
  <c r="X4394"/>
  <c r="M4394"/>
  <c r="X4393"/>
  <c r="M4393"/>
  <c r="X4392"/>
  <c r="M4392"/>
  <c r="X4391"/>
  <c r="M4391"/>
  <c r="X4390"/>
  <c r="M4390"/>
  <c r="X4389"/>
  <c r="M4389"/>
  <c r="X4388"/>
  <c r="M4388"/>
  <c r="X4387"/>
  <c r="M4387"/>
  <c r="X4386"/>
  <c r="M4386"/>
  <c r="X4385"/>
  <c r="M4385"/>
  <c r="X4384"/>
  <c r="M4384"/>
  <c r="X4383"/>
  <c r="M4383"/>
  <c r="X4382"/>
  <c r="M4382"/>
  <c r="X4381"/>
  <c r="M4381"/>
  <c r="X4380"/>
  <c r="M4380"/>
  <c r="X4379"/>
  <c r="M4379"/>
  <c r="X4378"/>
  <c r="M4378"/>
  <c r="X4377"/>
  <c r="M4377"/>
  <c r="X4376"/>
  <c r="M4376"/>
  <c r="X4375"/>
  <c r="M4375"/>
  <c r="X4374"/>
  <c r="M4374"/>
  <c r="X4373"/>
  <c r="M4373"/>
  <c r="X4372"/>
  <c r="M4372"/>
  <c r="X4371"/>
  <c r="M4371"/>
  <c r="X4370"/>
  <c r="M4370"/>
  <c r="X4369"/>
  <c r="M4369"/>
  <c r="X4368"/>
  <c r="M4368"/>
  <c r="X4367"/>
  <c r="M4367"/>
  <c r="X4366"/>
  <c r="M4366"/>
  <c r="X4365"/>
  <c r="M4365"/>
  <c r="X4364"/>
  <c r="M4364"/>
  <c r="X4363"/>
  <c r="M4363"/>
  <c r="X4362"/>
  <c r="M4362"/>
  <c r="X4361"/>
  <c r="M4361"/>
  <c r="X4360"/>
  <c r="M4360"/>
  <c r="X4359"/>
  <c r="M4359"/>
  <c r="X4358"/>
  <c r="M4358"/>
  <c r="X4357"/>
  <c r="M4357"/>
  <c r="X4356"/>
  <c r="M4356"/>
  <c r="X4355"/>
  <c r="M4355"/>
  <c r="X4354"/>
  <c r="M4354"/>
  <c r="X4353"/>
  <c r="M4353"/>
  <c r="X4352"/>
  <c r="M4352"/>
  <c r="X4351"/>
  <c r="M4351"/>
  <c r="X4350"/>
  <c r="M4350"/>
  <c r="X4349"/>
  <c r="M4349"/>
  <c r="X4348"/>
  <c r="M4348"/>
  <c r="X4347"/>
  <c r="M4347"/>
  <c r="X4346"/>
  <c r="M4346"/>
  <c r="X4345"/>
  <c r="M4345"/>
  <c r="X4344"/>
  <c r="M4344"/>
  <c r="X4343"/>
  <c r="M4343"/>
  <c r="X4342"/>
  <c r="M4342"/>
  <c r="X4341"/>
  <c r="M4341"/>
  <c r="X4340"/>
  <c r="M4340"/>
  <c r="X4339"/>
  <c r="M4339"/>
  <c r="X4338"/>
  <c r="M4338"/>
  <c r="X4337"/>
  <c r="M4337"/>
  <c r="X4336"/>
  <c r="M4336"/>
  <c r="X4335"/>
  <c r="M4335"/>
  <c r="X4334"/>
  <c r="M4334"/>
  <c r="X4333"/>
  <c r="M4333"/>
  <c r="X4332"/>
  <c r="M4332"/>
  <c r="X4331"/>
  <c r="M4331"/>
  <c r="X4330"/>
  <c r="M4330"/>
  <c r="X4329"/>
  <c r="M4329"/>
  <c r="X4328"/>
  <c r="M4328"/>
  <c r="X4327"/>
  <c r="M4327"/>
  <c r="X4326"/>
  <c r="M4326"/>
  <c r="X4325"/>
  <c r="M4325"/>
  <c r="X4324"/>
  <c r="M4324"/>
  <c r="X4323"/>
  <c r="M4323"/>
  <c r="X4322"/>
  <c r="M4322"/>
  <c r="X4321"/>
  <c r="M4321"/>
  <c r="X4320"/>
  <c r="M4320"/>
  <c r="X4319"/>
  <c r="M4319"/>
  <c r="X4318"/>
  <c r="M4318"/>
  <c r="X4317"/>
  <c r="M4317"/>
  <c r="X4316"/>
  <c r="M4316"/>
  <c r="X4315"/>
  <c r="M4315"/>
  <c r="X4314"/>
  <c r="M4314"/>
  <c r="X4313"/>
  <c r="M4313"/>
  <c r="X4312"/>
  <c r="M4312"/>
  <c r="X4311"/>
  <c r="M4311"/>
  <c r="X4310"/>
  <c r="M4310"/>
  <c r="X4309"/>
  <c r="M4309"/>
  <c r="X4308"/>
  <c r="M4308"/>
  <c r="X4307"/>
  <c r="M4307"/>
  <c r="X4306"/>
  <c r="M4306"/>
  <c r="X4305"/>
  <c r="M4305"/>
  <c r="X4304"/>
  <c r="M4304"/>
  <c r="X4303"/>
  <c r="M4303"/>
  <c r="X4302"/>
  <c r="M4302"/>
  <c r="X4301"/>
  <c r="M4301"/>
  <c r="X4300"/>
  <c r="M4300"/>
  <c r="X4299"/>
  <c r="M4299"/>
  <c r="X4298"/>
  <c r="M4298"/>
  <c r="X4297"/>
  <c r="M4297"/>
  <c r="X4296"/>
  <c r="M4296"/>
  <c r="X4295"/>
  <c r="M4295"/>
  <c r="X4294"/>
  <c r="M4294"/>
  <c r="X4293"/>
  <c r="M4293"/>
  <c r="X4292"/>
  <c r="M4292"/>
  <c r="X4291"/>
  <c r="M4291"/>
  <c r="X4290"/>
  <c r="M4290"/>
  <c r="X4289"/>
  <c r="M4289"/>
  <c r="X4288"/>
  <c r="M4288"/>
  <c r="X4287"/>
  <c r="M4287"/>
  <c r="X4286"/>
  <c r="M4286"/>
  <c r="X4285"/>
  <c r="M4285"/>
  <c r="X4284"/>
  <c r="M4284"/>
  <c r="X4283"/>
  <c r="M4283"/>
  <c r="X4282"/>
  <c r="M4282"/>
  <c r="X4281"/>
  <c r="M4281"/>
  <c r="X4280"/>
  <c r="M4280"/>
  <c r="X4279"/>
  <c r="M4279"/>
  <c r="X4278"/>
  <c r="M4278"/>
  <c r="X4277"/>
  <c r="M4277"/>
  <c r="X4276"/>
  <c r="M4276"/>
  <c r="X4275"/>
  <c r="M4275"/>
  <c r="X4274"/>
  <c r="M4274"/>
  <c r="X4273"/>
  <c r="M4273"/>
  <c r="X4272"/>
  <c r="M4272"/>
  <c r="X4271"/>
  <c r="M4271"/>
  <c r="X4270"/>
  <c r="M4270"/>
  <c r="X4269"/>
  <c r="M4269"/>
  <c r="X4268"/>
  <c r="M4268"/>
  <c r="X4267"/>
  <c r="M4267"/>
  <c r="X4266"/>
  <c r="M4266"/>
  <c r="X4265"/>
  <c r="M4265"/>
  <c r="X4264"/>
  <c r="M4264"/>
  <c r="X4263"/>
  <c r="M4263"/>
  <c r="X4262"/>
  <c r="M4262"/>
  <c r="X4261"/>
  <c r="M4261"/>
  <c r="X4260"/>
  <c r="M4260"/>
  <c r="X4259"/>
  <c r="M4259"/>
  <c r="X4258"/>
  <c r="M4258"/>
  <c r="X4257"/>
  <c r="M4257"/>
  <c r="X4256"/>
  <c r="M4256"/>
  <c r="X4255"/>
  <c r="M4255"/>
  <c r="X4254"/>
  <c r="M4254"/>
  <c r="X4253"/>
  <c r="M4253"/>
  <c r="X4252"/>
  <c r="M4252"/>
  <c r="X4251"/>
  <c r="M4251"/>
  <c r="X4250"/>
  <c r="M4250"/>
  <c r="X4249"/>
  <c r="M4249"/>
  <c r="X4248"/>
  <c r="M4248"/>
  <c r="X4247"/>
  <c r="M4247"/>
  <c r="X4246"/>
  <c r="M4246"/>
  <c r="X4245"/>
  <c r="M4245"/>
  <c r="X4244"/>
  <c r="M4244"/>
  <c r="X4243"/>
  <c r="M4243"/>
  <c r="X4242"/>
  <c r="M4242"/>
  <c r="X4241"/>
  <c r="M4241"/>
  <c r="X4240"/>
  <c r="M4240"/>
  <c r="X4239"/>
  <c r="M4239"/>
  <c r="X4238"/>
  <c r="M4238"/>
  <c r="X4237"/>
  <c r="M4237"/>
  <c r="X4236"/>
  <c r="M4236"/>
  <c r="X4235"/>
  <c r="M4235"/>
  <c r="X4234"/>
  <c r="M4234"/>
  <c r="X4233"/>
  <c r="M4233"/>
  <c r="X4232"/>
  <c r="M4232"/>
  <c r="X4231"/>
  <c r="M4231"/>
  <c r="X4230"/>
  <c r="M4230"/>
  <c r="X4229"/>
  <c r="M4229"/>
  <c r="X4228"/>
  <c r="M4228"/>
  <c r="X4227"/>
  <c r="M4227"/>
  <c r="X4226"/>
  <c r="M4226"/>
  <c r="X4225"/>
  <c r="M4225"/>
  <c r="X4224"/>
  <c r="M4224"/>
  <c r="X4223"/>
  <c r="M4223"/>
  <c r="X4222"/>
  <c r="M4222"/>
  <c r="X4221"/>
  <c r="M4221"/>
  <c r="X4220"/>
  <c r="M4220"/>
  <c r="X4219"/>
  <c r="M4219"/>
  <c r="X4218"/>
  <c r="M4218"/>
  <c r="X4217"/>
  <c r="M4217"/>
  <c r="X4216"/>
  <c r="M4216"/>
  <c r="X4215"/>
  <c r="M4215"/>
  <c r="X4214"/>
  <c r="M4214"/>
  <c r="X4213"/>
  <c r="M4213"/>
  <c r="X4212"/>
  <c r="M4212"/>
  <c r="X4211"/>
  <c r="M4211"/>
  <c r="X4210"/>
  <c r="M4210"/>
  <c r="X4209"/>
  <c r="M4209"/>
  <c r="X4208"/>
  <c r="M4208"/>
  <c r="X4207"/>
  <c r="M4207"/>
  <c r="X4206"/>
  <c r="M4206"/>
  <c r="X4205"/>
  <c r="M4205"/>
  <c r="X4204"/>
  <c r="M4204"/>
  <c r="X4203"/>
  <c r="M4203"/>
  <c r="X4202"/>
  <c r="M4202"/>
  <c r="X4201"/>
  <c r="M4201"/>
  <c r="X4200"/>
  <c r="M4200"/>
  <c r="X4199"/>
  <c r="M4199"/>
  <c r="X4198"/>
  <c r="M4198"/>
  <c r="X4197"/>
  <c r="M4197"/>
  <c r="X4196"/>
  <c r="M4196"/>
  <c r="X4195"/>
  <c r="M4195"/>
  <c r="X4194"/>
  <c r="M4194"/>
  <c r="X4193"/>
  <c r="M4193"/>
  <c r="X4192"/>
  <c r="M4192"/>
  <c r="X4191"/>
  <c r="M4191"/>
  <c r="X4190"/>
  <c r="M4190"/>
  <c r="X4189"/>
  <c r="M4189"/>
  <c r="X4188"/>
  <c r="M4188"/>
  <c r="X4187"/>
  <c r="M4187"/>
  <c r="X4186"/>
  <c r="M4186"/>
  <c r="X4185"/>
  <c r="M4185"/>
  <c r="X4184"/>
  <c r="M4184"/>
  <c r="X4183"/>
  <c r="M4183"/>
  <c r="X4182"/>
  <c r="M4182"/>
  <c r="X4181"/>
  <c r="M4181"/>
  <c r="X4180"/>
  <c r="M4180"/>
  <c r="X4179"/>
  <c r="M4179"/>
  <c r="X4178"/>
  <c r="M4178"/>
  <c r="X4177"/>
  <c r="M4177"/>
  <c r="X4176"/>
  <c r="M4176"/>
  <c r="X4175"/>
  <c r="M4175"/>
  <c r="X4174"/>
  <c r="M4174"/>
  <c r="X4173"/>
  <c r="M4173"/>
  <c r="X4172"/>
  <c r="M4172"/>
  <c r="X4171"/>
  <c r="M4171"/>
  <c r="X4170"/>
  <c r="M4170"/>
  <c r="X4169"/>
  <c r="M4169"/>
  <c r="X4168"/>
  <c r="M4168"/>
  <c r="X4167"/>
  <c r="M4167"/>
  <c r="X4166"/>
  <c r="M4166"/>
  <c r="X4165"/>
  <c r="M4165"/>
  <c r="X4164"/>
  <c r="M4164"/>
  <c r="X4163"/>
  <c r="M4163"/>
  <c r="X4162"/>
  <c r="M4162"/>
  <c r="X4161"/>
  <c r="M4161"/>
  <c r="X4160"/>
  <c r="M4160"/>
  <c r="X4159"/>
  <c r="M4159"/>
  <c r="X4158"/>
  <c r="M4158"/>
  <c r="X4157"/>
  <c r="M4157"/>
  <c r="X4156"/>
  <c r="M4156"/>
  <c r="X4155"/>
  <c r="M4155"/>
  <c r="X4154"/>
  <c r="M4154"/>
  <c r="X4153"/>
  <c r="M4153"/>
  <c r="X4152"/>
  <c r="M4152"/>
  <c r="X4151"/>
  <c r="M4151"/>
  <c r="X4150"/>
  <c r="M4150"/>
  <c r="X4149"/>
  <c r="M4149"/>
  <c r="X4148"/>
  <c r="M4148"/>
  <c r="X4147"/>
  <c r="M4147"/>
  <c r="X4146"/>
  <c r="M4146"/>
  <c r="X4145"/>
  <c r="M4145"/>
  <c r="X4144"/>
  <c r="M4144"/>
  <c r="X4143"/>
  <c r="M4143"/>
  <c r="X4142"/>
  <c r="M4142"/>
  <c r="X4141"/>
  <c r="M4141"/>
  <c r="X4140"/>
  <c r="M4140"/>
  <c r="X4139"/>
  <c r="M4139"/>
  <c r="X4138"/>
  <c r="M4138"/>
  <c r="X4137"/>
  <c r="M4137"/>
  <c r="X4136"/>
  <c r="M4136"/>
  <c r="X4135"/>
  <c r="M4135"/>
  <c r="X4134"/>
  <c r="M4134"/>
  <c r="X4133"/>
  <c r="M4133"/>
  <c r="X4132"/>
  <c r="M4132"/>
  <c r="X4131"/>
  <c r="M4131"/>
  <c r="X4130"/>
  <c r="M4130"/>
  <c r="X4129"/>
  <c r="M4129"/>
  <c r="X4128"/>
  <c r="M4128"/>
  <c r="X4127"/>
  <c r="M4127"/>
  <c r="X4126"/>
  <c r="M4126"/>
  <c r="X4125"/>
  <c r="M4125"/>
  <c r="X4124"/>
  <c r="M4124"/>
  <c r="X4123"/>
  <c r="M4123"/>
  <c r="X4122"/>
  <c r="M4122"/>
  <c r="X4121"/>
  <c r="M4121"/>
  <c r="X4120"/>
  <c r="M4120"/>
  <c r="X4119"/>
  <c r="M4119"/>
  <c r="X4118"/>
  <c r="M4118"/>
  <c r="X4117"/>
  <c r="M4117"/>
  <c r="X4116"/>
  <c r="M4116"/>
  <c r="X4115"/>
  <c r="M4115"/>
  <c r="X4114"/>
  <c r="M4114"/>
  <c r="X4113"/>
  <c r="M4113"/>
  <c r="X4112"/>
  <c r="M4112"/>
  <c r="X4111"/>
  <c r="M4111"/>
  <c r="X4110"/>
  <c r="M4110"/>
  <c r="X4109"/>
  <c r="M4109"/>
  <c r="X4108"/>
  <c r="M4108"/>
  <c r="X4107"/>
  <c r="M4107"/>
  <c r="X4106"/>
  <c r="M4106"/>
  <c r="X4105"/>
  <c r="M4105"/>
  <c r="X4104"/>
  <c r="M4104"/>
  <c r="X4103"/>
  <c r="M4103"/>
  <c r="X4102"/>
  <c r="M4102"/>
  <c r="X4101"/>
  <c r="M4101"/>
  <c r="X4100"/>
  <c r="M4100"/>
  <c r="X4099"/>
  <c r="M4099"/>
  <c r="X4098"/>
  <c r="M4098"/>
  <c r="X4097"/>
  <c r="M4097"/>
  <c r="X4096"/>
  <c r="M4096"/>
  <c r="X4095"/>
  <c r="M4095"/>
  <c r="X4094"/>
  <c r="M4094"/>
  <c r="X4093"/>
  <c r="M4093"/>
  <c r="X4092"/>
  <c r="M4092"/>
  <c r="X4091"/>
  <c r="M4091"/>
  <c r="X4090"/>
  <c r="M4090"/>
  <c r="X4089"/>
  <c r="M4089"/>
  <c r="X4088"/>
  <c r="M4088"/>
  <c r="X4087"/>
  <c r="M4087"/>
  <c r="X4086"/>
  <c r="M4086"/>
  <c r="X4085"/>
  <c r="M4085"/>
  <c r="X4084"/>
  <c r="M4084"/>
  <c r="X4083"/>
  <c r="M4083"/>
  <c r="X4082"/>
  <c r="M4082"/>
  <c r="X4081"/>
  <c r="M4081"/>
  <c r="X4080"/>
  <c r="M4080"/>
  <c r="X4079"/>
  <c r="M4079"/>
  <c r="X4078"/>
  <c r="M4078"/>
  <c r="X4077"/>
  <c r="M4077"/>
  <c r="X4076"/>
  <c r="M4076"/>
  <c r="X4075"/>
  <c r="M4075"/>
  <c r="X4074"/>
  <c r="M4074"/>
  <c r="X4073"/>
  <c r="M4073"/>
  <c r="X4072"/>
  <c r="M4072"/>
  <c r="X4071"/>
  <c r="M4071"/>
  <c r="X4070"/>
  <c r="M4070"/>
  <c r="X4069"/>
  <c r="M4069"/>
  <c r="X4068"/>
  <c r="M4068"/>
  <c r="X4067"/>
  <c r="M4067"/>
  <c r="X4066"/>
  <c r="M4066"/>
  <c r="X4065"/>
  <c r="M4065"/>
  <c r="X4064"/>
  <c r="M4064"/>
  <c r="X4063"/>
  <c r="M4063"/>
  <c r="X4062"/>
  <c r="M4062"/>
  <c r="X4061"/>
  <c r="M4061"/>
  <c r="X4060"/>
  <c r="M4060"/>
  <c r="X4059"/>
  <c r="M4059"/>
  <c r="X4058"/>
  <c r="M4058"/>
  <c r="X4057"/>
  <c r="M4057"/>
  <c r="X4056"/>
  <c r="M4056"/>
  <c r="X4055"/>
  <c r="M4055"/>
  <c r="X4054"/>
  <c r="M4054"/>
  <c r="X4053"/>
  <c r="M4053"/>
  <c r="X4052"/>
  <c r="M4052"/>
  <c r="X4051"/>
  <c r="M4051"/>
  <c r="X4050"/>
  <c r="M4050"/>
  <c r="X4049"/>
  <c r="M4049"/>
  <c r="X4048"/>
  <c r="M4048"/>
  <c r="X4047"/>
  <c r="M4047"/>
  <c r="X4046"/>
  <c r="M4046"/>
  <c r="X4045"/>
  <c r="M4045"/>
  <c r="X4044"/>
  <c r="M4044"/>
  <c r="X4043"/>
  <c r="M4043"/>
  <c r="X4042"/>
  <c r="M4042"/>
  <c r="X4041"/>
  <c r="M4041"/>
  <c r="X4040"/>
  <c r="M4040"/>
  <c r="X4039"/>
  <c r="M4039"/>
  <c r="X4038"/>
  <c r="M4038"/>
  <c r="X4037"/>
  <c r="M4037"/>
  <c r="X4036"/>
  <c r="M4036"/>
  <c r="X4035"/>
  <c r="M4035"/>
  <c r="X4034"/>
  <c r="M4034"/>
  <c r="X4033"/>
  <c r="M4033"/>
  <c r="X4032"/>
  <c r="M4032"/>
  <c r="X4031"/>
  <c r="M4031"/>
  <c r="X4030"/>
  <c r="M4030"/>
  <c r="X4029"/>
  <c r="M4029"/>
  <c r="X4028"/>
  <c r="M4028"/>
  <c r="X4027"/>
  <c r="M4027"/>
  <c r="X4026"/>
  <c r="M4026"/>
  <c r="X4025"/>
  <c r="M4025"/>
  <c r="X4024"/>
  <c r="M4024"/>
  <c r="X4023"/>
  <c r="M4023"/>
  <c r="X4022"/>
  <c r="M4022"/>
  <c r="X4021"/>
  <c r="M4021"/>
  <c r="X4020"/>
  <c r="M4020"/>
  <c r="X4019"/>
  <c r="M4019"/>
  <c r="X4018"/>
  <c r="M4018"/>
  <c r="X4017"/>
  <c r="M4017"/>
  <c r="X4016"/>
  <c r="M4016"/>
  <c r="X4015"/>
  <c r="M4015"/>
  <c r="X4014"/>
  <c r="M4014"/>
  <c r="X4013"/>
  <c r="M4013"/>
  <c r="X4012"/>
  <c r="M4012"/>
  <c r="X4011"/>
  <c r="M4011"/>
  <c r="X4010"/>
  <c r="M4010"/>
  <c r="X4009"/>
  <c r="M4009"/>
  <c r="X4008"/>
  <c r="M4008"/>
  <c r="X4007"/>
  <c r="M4007"/>
  <c r="X4006"/>
  <c r="M4006"/>
  <c r="X4005"/>
  <c r="M4005"/>
  <c r="X4004"/>
  <c r="M4004"/>
  <c r="X4003"/>
  <c r="M4003"/>
  <c r="X4002"/>
  <c r="M4002"/>
  <c r="X4001"/>
  <c r="M4001"/>
  <c r="X4000"/>
  <c r="M4000"/>
  <c r="X3999"/>
  <c r="M3999"/>
  <c r="X3998"/>
  <c r="M3998"/>
  <c r="X3997"/>
  <c r="M3997"/>
  <c r="X3996"/>
  <c r="M3996"/>
  <c r="X3995"/>
  <c r="M3995"/>
  <c r="X3994"/>
  <c r="M3994"/>
  <c r="X3993"/>
  <c r="M3993"/>
  <c r="X3992"/>
  <c r="M3992"/>
  <c r="X3991"/>
  <c r="M3991"/>
  <c r="X3990"/>
  <c r="M3990"/>
  <c r="X3989"/>
  <c r="M3989"/>
  <c r="X3988"/>
  <c r="M3988"/>
  <c r="X3987"/>
  <c r="M3987"/>
  <c r="X3986"/>
  <c r="M3986"/>
  <c r="X3985"/>
  <c r="M3985"/>
  <c r="X3984"/>
  <c r="M3984"/>
  <c r="X3983"/>
  <c r="M3983"/>
  <c r="X3982"/>
  <c r="M3982"/>
  <c r="X3981"/>
  <c r="M3981"/>
  <c r="X3980"/>
  <c r="M3980"/>
  <c r="X3979"/>
  <c r="M3979"/>
  <c r="X3978"/>
  <c r="M3978"/>
  <c r="X3977"/>
  <c r="M3977"/>
  <c r="X3976"/>
  <c r="M3976"/>
  <c r="X3975"/>
  <c r="M3975"/>
  <c r="X3974"/>
  <c r="M3974"/>
  <c r="X3973"/>
  <c r="M3973"/>
  <c r="X3972"/>
  <c r="M3972"/>
  <c r="X3971"/>
  <c r="M3971"/>
  <c r="X3970"/>
  <c r="M3970"/>
  <c r="X3969"/>
  <c r="M3969"/>
  <c r="X3968"/>
  <c r="M3968"/>
  <c r="X3967"/>
  <c r="M3967"/>
  <c r="X3966"/>
  <c r="M3966"/>
  <c r="X3965"/>
  <c r="M3965"/>
  <c r="X3964"/>
  <c r="M3964"/>
  <c r="X3963"/>
  <c r="M3963"/>
  <c r="X3962"/>
  <c r="M3962"/>
  <c r="X3961"/>
  <c r="M3961"/>
  <c r="X3960"/>
  <c r="M3960"/>
  <c r="X3959"/>
  <c r="M3959"/>
  <c r="X3958"/>
  <c r="M3958"/>
  <c r="X3957"/>
  <c r="M3957"/>
  <c r="X3956"/>
  <c r="M3956"/>
  <c r="X3955"/>
  <c r="M3955"/>
  <c r="X3954"/>
  <c r="M3954"/>
  <c r="X3953"/>
  <c r="M3953"/>
  <c r="X3952"/>
  <c r="M3952"/>
  <c r="X3951"/>
  <c r="M3951"/>
  <c r="X3950"/>
  <c r="M3950"/>
  <c r="X3949"/>
  <c r="M3949"/>
  <c r="X3948"/>
  <c r="M3948"/>
  <c r="X3947"/>
  <c r="M3947"/>
  <c r="X3946"/>
  <c r="M3946"/>
  <c r="X3945"/>
  <c r="M3945"/>
  <c r="X3944"/>
  <c r="M3944"/>
  <c r="X3943"/>
  <c r="M3943"/>
  <c r="X3942"/>
  <c r="M3942"/>
  <c r="X3941"/>
  <c r="M3941"/>
  <c r="X3940"/>
  <c r="M3940"/>
  <c r="X3939"/>
  <c r="M3939"/>
  <c r="X3938"/>
  <c r="M3938"/>
  <c r="X3937"/>
  <c r="M3937"/>
  <c r="X3936"/>
  <c r="M3936"/>
  <c r="X3935"/>
  <c r="M3935"/>
  <c r="X3934"/>
  <c r="M3934"/>
  <c r="X3933"/>
  <c r="M3933"/>
  <c r="X3932"/>
  <c r="M3932"/>
  <c r="X3931"/>
  <c r="M3931"/>
  <c r="X3930"/>
  <c r="M3930"/>
  <c r="X3929"/>
  <c r="M3929"/>
  <c r="X3928"/>
  <c r="M3928"/>
  <c r="X3927"/>
  <c r="M3927"/>
  <c r="X3926"/>
  <c r="M3926"/>
  <c r="X3925"/>
  <c r="M3925"/>
  <c r="X3924"/>
  <c r="M3924"/>
  <c r="X3923"/>
  <c r="M3923"/>
  <c r="X3922"/>
  <c r="M3922"/>
  <c r="X3921"/>
  <c r="M3921"/>
  <c r="X3920"/>
  <c r="M3920"/>
  <c r="X3919"/>
  <c r="M3919"/>
  <c r="X3918"/>
  <c r="M3918"/>
  <c r="X3917"/>
  <c r="M3917"/>
  <c r="X3916"/>
  <c r="M3916"/>
  <c r="X3915"/>
  <c r="M3915"/>
  <c r="X3914"/>
  <c r="M3914"/>
  <c r="X3913"/>
  <c r="M3913"/>
  <c r="X3912"/>
  <c r="M3912"/>
  <c r="X3911"/>
  <c r="M3911"/>
  <c r="X3910"/>
  <c r="M3910"/>
  <c r="X3909"/>
  <c r="M3909"/>
  <c r="X3908"/>
  <c r="M3908"/>
  <c r="X3907"/>
  <c r="M3907"/>
  <c r="X3906"/>
  <c r="M3906"/>
  <c r="X3905"/>
  <c r="M3905"/>
  <c r="X3904"/>
  <c r="M3904"/>
  <c r="X3903"/>
  <c r="M3903"/>
  <c r="X3902"/>
  <c r="M3902"/>
  <c r="X3901"/>
  <c r="M3901"/>
  <c r="X3900"/>
  <c r="M3900"/>
  <c r="X3899"/>
  <c r="M3899"/>
  <c r="X3898"/>
  <c r="M3898"/>
  <c r="X3897"/>
  <c r="M3897"/>
  <c r="X3896"/>
  <c r="M3896"/>
  <c r="X3895"/>
  <c r="M3895"/>
  <c r="X3894"/>
  <c r="M3894"/>
  <c r="X3893"/>
  <c r="M3893"/>
  <c r="X3892"/>
  <c r="M3892"/>
  <c r="X3891"/>
  <c r="M3891"/>
  <c r="X3890"/>
  <c r="M3890"/>
  <c r="X3889"/>
  <c r="M3889"/>
  <c r="X3888"/>
  <c r="M3888"/>
  <c r="X3887"/>
  <c r="M3887"/>
  <c r="X3886"/>
  <c r="M3886"/>
  <c r="X3885"/>
  <c r="M3885"/>
  <c r="X3884"/>
  <c r="M3884"/>
  <c r="X3883"/>
  <c r="M3883"/>
  <c r="X3882"/>
  <c r="M3882"/>
  <c r="X3881"/>
  <c r="M3881"/>
  <c r="X3880"/>
  <c r="M3880"/>
  <c r="X3879"/>
  <c r="M3879"/>
  <c r="X3878"/>
  <c r="M3878"/>
  <c r="X3877"/>
  <c r="M3877"/>
  <c r="X3876"/>
  <c r="M3876"/>
  <c r="X3875"/>
  <c r="M3875"/>
  <c r="X3874"/>
  <c r="M3874"/>
  <c r="X3873"/>
  <c r="M3873"/>
  <c r="X3872"/>
  <c r="M3872"/>
  <c r="X3871"/>
  <c r="M3871"/>
  <c r="X3870"/>
  <c r="M3870"/>
  <c r="X3869"/>
  <c r="M3869"/>
  <c r="X3868"/>
  <c r="M3868"/>
  <c r="X3867"/>
  <c r="M3867"/>
  <c r="X3866"/>
  <c r="M3866"/>
  <c r="X3865"/>
  <c r="M3865"/>
  <c r="X3864"/>
  <c r="M3864"/>
  <c r="X3863"/>
  <c r="M3863"/>
  <c r="X3862"/>
  <c r="M3862"/>
  <c r="X3861"/>
  <c r="M3861"/>
  <c r="X3860"/>
  <c r="M3860"/>
  <c r="X3859"/>
  <c r="M3859"/>
  <c r="X3858"/>
  <c r="M3858"/>
  <c r="X3857"/>
  <c r="M3857"/>
  <c r="X3856"/>
  <c r="M3856"/>
  <c r="X3855"/>
  <c r="M3855"/>
  <c r="X3854"/>
  <c r="M3854"/>
  <c r="X3853"/>
  <c r="M3853"/>
  <c r="X3852"/>
  <c r="M3852"/>
  <c r="X3851"/>
  <c r="M3851"/>
  <c r="X3850"/>
  <c r="M3850"/>
  <c r="X3849"/>
  <c r="M3849"/>
  <c r="X3848"/>
  <c r="M3848"/>
  <c r="X3847"/>
  <c r="M3847"/>
  <c r="X3846"/>
  <c r="M3846"/>
  <c r="X3845"/>
  <c r="M3845"/>
  <c r="X3844"/>
  <c r="M3844"/>
  <c r="X3843"/>
  <c r="M3843"/>
  <c r="X3842"/>
  <c r="M3842"/>
  <c r="X3841"/>
  <c r="M3841"/>
  <c r="X3840"/>
  <c r="M3840"/>
  <c r="X3839"/>
  <c r="M3839"/>
  <c r="X3838"/>
  <c r="M3838"/>
  <c r="X3837"/>
  <c r="M3837"/>
  <c r="X3836"/>
  <c r="M3836"/>
  <c r="X3835"/>
  <c r="M3835"/>
  <c r="X3834"/>
  <c r="M3834"/>
  <c r="X3833"/>
  <c r="M3833"/>
  <c r="X3832"/>
  <c r="M3832"/>
  <c r="X3831"/>
  <c r="M3831"/>
  <c r="X3830"/>
  <c r="M3830"/>
  <c r="X3829"/>
  <c r="M3829"/>
  <c r="X3828"/>
  <c r="M3828"/>
  <c r="X3827"/>
  <c r="M3827"/>
  <c r="X3826"/>
  <c r="M3826"/>
  <c r="X3825"/>
  <c r="M3825"/>
  <c r="X3824"/>
  <c r="M3824"/>
  <c r="X3823"/>
  <c r="M3823"/>
  <c r="X3822"/>
  <c r="M3822"/>
  <c r="X3821"/>
  <c r="M3821"/>
  <c r="X3820"/>
  <c r="M3820"/>
  <c r="X3819"/>
  <c r="M3819"/>
  <c r="X3818"/>
  <c r="M3818"/>
  <c r="X3817"/>
  <c r="M3817"/>
  <c r="X3816"/>
  <c r="M3816"/>
  <c r="X3815"/>
  <c r="M3815"/>
  <c r="X3814"/>
  <c r="M3814"/>
  <c r="X3813"/>
  <c r="M3813"/>
  <c r="X3812"/>
  <c r="M3812"/>
  <c r="X3811"/>
  <c r="M3811"/>
  <c r="X3810"/>
  <c r="M3810"/>
  <c r="X3809"/>
  <c r="M3809"/>
  <c r="X3808"/>
  <c r="M3808"/>
  <c r="X3807"/>
  <c r="M3807"/>
  <c r="X3806"/>
  <c r="M3806"/>
  <c r="X3805"/>
  <c r="M3805"/>
  <c r="X3804"/>
  <c r="M3804"/>
  <c r="X3803"/>
  <c r="M3803"/>
  <c r="X3802"/>
  <c r="M3802"/>
  <c r="X3801"/>
  <c r="M3801"/>
  <c r="X3800"/>
  <c r="M3800"/>
  <c r="X3799"/>
  <c r="M3799"/>
  <c r="X3798"/>
  <c r="M3798"/>
  <c r="X3797"/>
  <c r="M3797"/>
  <c r="X3796"/>
  <c r="M3796"/>
  <c r="X3795"/>
  <c r="M3795"/>
  <c r="X3794"/>
  <c r="M3794"/>
  <c r="X3793"/>
  <c r="M3793"/>
  <c r="X3792"/>
  <c r="M3792"/>
  <c r="X3791"/>
  <c r="M3791"/>
  <c r="X3790"/>
  <c r="M3790"/>
  <c r="X3789"/>
  <c r="M3789"/>
  <c r="X3788"/>
  <c r="M3788"/>
  <c r="X3787"/>
  <c r="M3787"/>
  <c r="X3786"/>
  <c r="M3786"/>
  <c r="X3785"/>
  <c r="M3785"/>
  <c r="X3784"/>
  <c r="M3784"/>
  <c r="X3783"/>
  <c r="M3783"/>
  <c r="X3782"/>
  <c r="M3782"/>
  <c r="X3781"/>
  <c r="M3781"/>
  <c r="X3780"/>
  <c r="M3780"/>
  <c r="X3779"/>
  <c r="M3779"/>
  <c r="X3778"/>
  <c r="M3778"/>
  <c r="X3777"/>
  <c r="M3777"/>
  <c r="X3776"/>
  <c r="M3776"/>
  <c r="X3775"/>
  <c r="M3775"/>
  <c r="X3774"/>
  <c r="M3774"/>
  <c r="X3773"/>
  <c r="M3773"/>
  <c r="X3772"/>
  <c r="M3772"/>
  <c r="X3771"/>
  <c r="M3771"/>
  <c r="X3770"/>
  <c r="M3770"/>
  <c r="X3769"/>
  <c r="M3769"/>
  <c r="X3768"/>
  <c r="M3768"/>
  <c r="X3767"/>
  <c r="M3767"/>
  <c r="X3766"/>
  <c r="M3766"/>
  <c r="X3765"/>
  <c r="M3765"/>
  <c r="X3764"/>
  <c r="M3764"/>
  <c r="X3763"/>
  <c r="M3763"/>
  <c r="X3762"/>
  <c r="M3762"/>
  <c r="X3761"/>
  <c r="M3761"/>
  <c r="X3760"/>
  <c r="M3760"/>
  <c r="X3759"/>
  <c r="M3759"/>
  <c r="X3758"/>
  <c r="M3758"/>
  <c r="X3757"/>
  <c r="M3757"/>
  <c r="X3756"/>
  <c r="M3756"/>
  <c r="X3755"/>
  <c r="M3755"/>
  <c r="X3754"/>
  <c r="M3754"/>
  <c r="X3753"/>
  <c r="M3753"/>
  <c r="X3752"/>
  <c r="M3752"/>
  <c r="X3751"/>
  <c r="M3751"/>
  <c r="X3750"/>
  <c r="M3750"/>
  <c r="X3749"/>
  <c r="M3749"/>
  <c r="X3748"/>
  <c r="M3748"/>
  <c r="X3747"/>
  <c r="M3747"/>
  <c r="X3746"/>
  <c r="M3746"/>
  <c r="X3745"/>
  <c r="M3745"/>
  <c r="X3744"/>
  <c r="M3744"/>
  <c r="X3743"/>
  <c r="M3743"/>
  <c r="X3742"/>
  <c r="M3742"/>
  <c r="X3741"/>
  <c r="M3741"/>
  <c r="X3740"/>
  <c r="M3740"/>
  <c r="X3739"/>
  <c r="M3739"/>
  <c r="X3738"/>
  <c r="M3738"/>
  <c r="X3737"/>
  <c r="M3737"/>
  <c r="X3736"/>
  <c r="M3736"/>
  <c r="X3735"/>
  <c r="M3735"/>
  <c r="X3734"/>
  <c r="M3734"/>
  <c r="X3733"/>
  <c r="M3733"/>
  <c r="X3732"/>
  <c r="M3732"/>
  <c r="X3731"/>
  <c r="M3731"/>
  <c r="X3730"/>
  <c r="M3730"/>
  <c r="X3729"/>
  <c r="M3729"/>
  <c r="X3728"/>
  <c r="M3728"/>
  <c r="X3727"/>
  <c r="M3727"/>
  <c r="X3726"/>
  <c r="M3726"/>
  <c r="X3725"/>
  <c r="M3725"/>
  <c r="X3724"/>
  <c r="M3724"/>
  <c r="X3723"/>
  <c r="M3723"/>
  <c r="X3722"/>
  <c r="M3722"/>
  <c r="X3721"/>
  <c r="M3721"/>
  <c r="X3720"/>
  <c r="M3720"/>
  <c r="X3719"/>
  <c r="M3719"/>
  <c r="X3718"/>
  <c r="M3718"/>
  <c r="X3717"/>
  <c r="M3717"/>
  <c r="X3716"/>
  <c r="M3716"/>
  <c r="X3715"/>
  <c r="M3715"/>
  <c r="X3714"/>
  <c r="M3714"/>
  <c r="X3713"/>
  <c r="M3713"/>
  <c r="X3712"/>
  <c r="M3712"/>
  <c r="X3711"/>
  <c r="M3711"/>
  <c r="X3710"/>
  <c r="M3710"/>
  <c r="X3709"/>
  <c r="M3709"/>
  <c r="X3708"/>
  <c r="M3708"/>
  <c r="X3707"/>
  <c r="M3707"/>
  <c r="X3706"/>
  <c r="M3706"/>
  <c r="X3705"/>
  <c r="M3705"/>
  <c r="X3704"/>
  <c r="M3704"/>
  <c r="X3703"/>
  <c r="M3703"/>
  <c r="X3702"/>
  <c r="M3702"/>
  <c r="X3701"/>
  <c r="M3701"/>
  <c r="X3700"/>
  <c r="M3700"/>
  <c r="X3699"/>
  <c r="M3699"/>
  <c r="X3698"/>
  <c r="M3698"/>
  <c r="X3697"/>
  <c r="M3697"/>
  <c r="X3696"/>
  <c r="M3696"/>
  <c r="X3695"/>
  <c r="M3695"/>
  <c r="X3694"/>
  <c r="M3694"/>
  <c r="X3693"/>
  <c r="M3693"/>
  <c r="X3692"/>
  <c r="M3692"/>
  <c r="X3691"/>
  <c r="M3691"/>
  <c r="X3690"/>
  <c r="M3690"/>
  <c r="X3689"/>
  <c r="M3689"/>
  <c r="X3688"/>
  <c r="M3688"/>
  <c r="X3687"/>
  <c r="M3687"/>
  <c r="X3686"/>
  <c r="M3686"/>
  <c r="X3685"/>
  <c r="M3685"/>
  <c r="X3684"/>
  <c r="M3684"/>
  <c r="X3683"/>
  <c r="M3683"/>
  <c r="X3682"/>
  <c r="M3682"/>
  <c r="X3681"/>
  <c r="M3681"/>
  <c r="X3680"/>
  <c r="M3680"/>
  <c r="X3679"/>
  <c r="M3679"/>
  <c r="X3678"/>
  <c r="M3678"/>
  <c r="X3677"/>
  <c r="M3677"/>
  <c r="X3676"/>
  <c r="M3676"/>
  <c r="X3675"/>
  <c r="M3675"/>
  <c r="X3674"/>
  <c r="M3674"/>
  <c r="X3673"/>
  <c r="M3673"/>
  <c r="X3672"/>
  <c r="M3672"/>
  <c r="X3671"/>
  <c r="M3671"/>
  <c r="X3670"/>
  <c r="M3670"/>
  <c r="X3669"/>
  <c r="M3669"/>
  <c r="X3668"/>
  <c r="M3668"/>
  <c r="X3667"/>
  <c r="M3667"/>
  <c r="X3666"/>
  <c r="M3666"/>
  <c r="X3665"/>
  <c r="M3665"/>
  <c r="X3664"/>
  <c r="M3664"/>
  <c r="X3663"/>
  <c r="M3663"/>
  <c r="X3662"/>
  <c r="M3662"/>
  <c r="X3661"/>
  <c r="M3661"/>
  <c r="X3660"/>
  <c r="M3660"/>
  <c r="X3659"/>
  <c r="M3659"/>
  <c r="X3658"/>
  <c r="M3658"/>
  <c r="X3657"/>
  <c r="M3657"/>
  <c r="X3656"/>
  <c r="M3656"/>
  <c r="X3655"/>
  <c r="M3655"/>
  <c r="X3654"/>
  <c r="M3654"/>
  <c r="X3653"/>
  <c r="M3653"/>
  <c r="X3652"/>
  <c r="M3652"/>
  <c r="X3651"/>
  <c r="M3651"/>
  <c r="X3650"/>
  <c r="M3650"/>
  <c r="X3649"/>
  <c r="M3649"/>
  <c r="X3648"/>
  <c r="M3648"/>
  <c r="X3647"/>
  <c r="M3647"/>
  <c r="X3646"/>
  <c r="M3646"/>
  <c r="X3645"/>
  <c r="M3645"/>
  <c r="X3644"/>
  <c r="M3644"/>
  <c r="X3643"/>
  <c r="M3643"/>
  <c r="X3642"/>
  <c r="M3642"/>
  <c r="X3641"/>
  <c r="M3641"/>
  <c r="X3640"/>
  <c r="M3640"/>
  <c r="X3639"/>
  <c r="M3639"/>
  <c r="X3638"/>
  <c r="M3638"/>
  <c r="X3637"/>
  <c r="M3637"/>
  <c r="X3636"/>
  <c r="M3636"/>
  <c r="X3635"/>
  <c r="M3635"/>
  <c r="X3634"/>
  <c r="M3634"/>
  <c r="X3633"/>
  <c r="M3633"/>
  <c r="X3632"/>
  <c r="M3632"/>
  <c r="X3631"/>
  <c r="M3631"/>
  <c r="X3630"/>
  <c r="M3630"/>
  <c r="X3629"/>
  <c r="M3629"/>
  <c r="X3628"/>
  <c r="M3628"/>
  <c r="X3627"/>
  <c r="M3627"/>
  <c r="X3626"/>
  <c r="M3626"/>
  <c r="X3625"/>
  <c r="M3625"/>
  <c r="X3624"/>
  <c r="M3624"/>
  <c r="X3623"/>
  <c r="M3623"/>
  <c r="X3622"/>
  <c r="M3622"/>
  <c r="X3621"/>
  <c r="M3621"/>
  <c r="X3620"/>
  <c r="M3620"/>
  <c r="X3619"/>
  <c r="M3619"/>
  <c r="X3618"/>
  <c r="M3618"/>
  <c r="X3617"/>
  <c r="M3617"/>
  <c r="X3616"/>
  <c r="M3616"/>
  <c r="X3615"/>
  <c r="M3615"/>
  <c r="X3614"/>
  <c r="M3614"/>
  <c r="X3613"/>
  <c r="M3613"/>
  <c r="X3612"/>
  <c r="M3612"/>
  <c r="X3611"/>
  <c r="M3611"/>
  <c r="X3610"/>
  <c r="M3610"/>
  <c r="X3609"/>
  <c r="M3609"/>
  <c r="X3608"/>
  <c r="M3608"/>
  <c r="X3607"/>
  <c r="M3607"/>
  <c r="X3606"/>
  <c r="M3606"/>
  <c r="X3605"/>
  <c r="M3605"/>
  <c r="X3604"/>
  <c r="M3604"/>
  <c r="X3603"/>
  <c r="M3603"/>
  <c r="X3602"/>
  <c r="M3602"/>
  <c r="X3601"/>
  <c r="M3601"/>
  <c r="X3600"/>
  <c r="M3600"/>
  <c r="X3599"/>
  <c r="M3599"/>
  <c r="X3598"/>
  <c r="M3598"/>
  <c r="X3597"/>
  <c r="M3597"/>
  <c r="X3596"/>
  <c r="M3596"/>
  <c r="X3595"/>
  <c r="M3595"/>
  <c r="X3594"/>
  <c r="M3594"/>
  <c r="X3593"/>
  <c r="M3593"/>
  <c r="X3592"/>
  <c r="M3592"/>
  <c r="X3591"/>
  <c r="M3591"/>
  <c r="X3590"/>
  <c r="M3590"/>
  <c r="X3589"/>
  <c r="M3589"/>
  <c r="X3588"/>
  <c r="M3588"/>
  <c r="X3587"/>
  <c r="M3587"/>
  <c r="X3586"/>
  <c r="M3586"/>
  <c r="X3585"/>
  <c r="M3585"/>
  <c r="X3584"/>
  <c r="M3584"/>
  <c r="X3583"/>
  <c r="M3583"/>
  <c r="X3582"/>
  <c r="M3582"/>
  <c r="X3581"/>
  <c r="M3581"/>
  <c r="X3580"/>
  <c r="M3580"/>
  <c r="X3579"/>
  <c r="M3579"/>
  <c r="X3578"/>
  <c r="M3578"/>
  <c r="X3577"/>
  <c r="M3577"/>
  <c r="X3576"/>
  <c r="M3576"/>
  <c r="X3575"/>
  <c r="M3575"/>
  <c r="X3574"/>
  <c r="M3574"/>
  <c r="X3573"/>
  <c r="M3573"/>
  <c r="X3572"/>
  <c r="M3572"/>
  <c r="X3571"/>
  <c r="M3571"/>
  <c r="X3570"/>
  <c r="M3570"/>
  <c r="X3569"/>
  <c r="M3569"/>
  <c r="X3568"/>
  <c r="M3568"/>
  <c r="X3567"/>
  <c r="M3567"/>
  <c r="X3566"/>
  <c r="M3566"/>
  <c r="X3565"/>
  <c r="M3565"/>
  <c r="X3564"/>
  <c r="M3564"/>
  <c r="X3563"/>
  <c r="M3563"/>
  <c r="X3562"/>
  <c r="M3562"/>
  <c r="X3561"/>
  <c r="M3561"/>
  <c r="X3560"/>
  <c r="M3560"/>
  <c r="X3559"/>
  <c r="M3559"/>
  <c r="X3558"/>
  <c r="M3558"/>
  <c r="X3557"/>
  <c r="M3557"/>
  <c r="X3556"/>
  <c r="M3556"/>
  <c r="X3555"/>
  <c r="M3555"/>
  <c r="X3554"/>
  <c r="M3554"/>
  <c r="X3553"/>
  <c r="M3553"/>
  <c r="X3552"/>
  <c r="M3552"/>
  <c r="X3551"/>
  <c r="M3551"/>
  <c r="X3550"/>
  <c r="M3550"/>
  <c r="X3549"/>
  <c r="M3549"/>
  <c r="X3548"/>
  <c r="M3548"/>
  <c r="X3547"/>
  <c r="M3547"/>
  <c r="X3546"/>
  <c r="M3546"/>
  <c r="X3545"/>
  <c r="M3545"/>
  <c r="X3544"/>
  <c r="M3544"/>
  <c r="X3543"/>
  <c r="M3543"/>
  <c r="X3542"/>
  <c r="M3542"/>
  <c r="X3541"/>
  <c r="M3541"/>
  <c r="X3540"/>
  <c r="M3540"/>
  <c r="X3539"/>
  <c r="M3539"/>
  <c r="X3538"/>
  <c r="M3538"/>
  <c r="X3537"/>
  <c r="M3537"/>
  <c r="X3536"/>
  <c r="M3536"/>
  <c r="X3535"/>
  <c r="M3535"/>
  <c r="X3534"/>
  <c r="M3534"/>
  <c r="X3533"/>
  <c r="M3533"/>
  <c r="X3532"/>
  <c r="M3532"/>
  <c r="X3531"/>
  <c r="M3531"/>
  <c r="X3530"/>
  <c r="M3530"/>
  <c r="X3529"/>
  <c r="M3529"/>
  <c r="X3528"/>
  <c r="M3528"/>
  <c r="X3527"/>
  <c r="M3527"/>
  <c r="X3526"/>
  <c r="M3526"/>
  <c r="X3525"/>
  <c r="M3525"/>
  <c r="X3524"/>
  <c r="M3524"/>
  <c r="X3523"/>
  <c r="M3523"/>
  <c r="X3522"/>
  <c r="M3522"/>
  <c r="X3521"/>
  <c r="M3521"/>
  <c r="X3520"/>
  <c r="M3520"/>
  <c r="X3519"/>
  <c r="M3519"/>
  <c r="X3518"/>
  <c r="M3518"/>
  <c r="X3517"/>
  <c r="M3517"/>
  <c r="X3516"/>
  <c r="M3516"/>
  <c r="X3515"/>
  <c r="M3515"/>
  <c r="X3514"/>
  <c r="M3514"/>
  <c r="X3513"/>
  <c r="M3513"/>
  <c r="X3512"/>
  <c r="M3512"/>
  <c r="X3511"/>
  <c r="M3511"/>
  <c r="X3510"/>
  <c r="M3510"/>
  <c r="X3509"/>
  <c r="M3509"/>
  <c r="X3508"/>
  <c r="M3508"/>
  <c r="X3507"/>
  <c r="M3507"/>
  <c r="X3506"/>
  <c r="M3506"/>
  <c r="X3505"/>
  <c r="M3505"/>
  <c r="X3504"/>
  <c r="M3504"/>
  <c r="X3503"/>
  <c r="M3503"/>
  <c r="X3502"/>
  <c r="M3502"/>
  <c r="X3501"/>
  <c r="M3501"/>
  <c r="X3500"/>
  <c r="M3500"/>
  <c r="X3499"/>
  <c r="M3499"/>
  <c r="X3498"/>
  <c r="M3498"/>
  <c r="X3497"/>
  <c r="M3497"/>
  <c r="X3496"/>
  <c r="M3496"/>
  <c r="X3495"/>
  <c r="M3495"/>
  <c r="X3494"/>
  <c r="M3494"/>
  <c r="X3493"/>
  <c r="M3493"/>
  <c r="X3492"/>
  <c r="M3492"/>
  <c r="X3491"/>
  <c r="M3491"/>
  <c r="X3490"/>
  <c r="M3490"/>
  <c r="X3489"/>
  <c r="M3489"/>
  <c r="X3488"/>
  <c r="M3488"/>
  <c r="X3487"/>
  <c r="M3487"/>
  <c r="X3486"/>
  <c r="M3486"/>
  <c r="X3485"/>
  <c r="M3485"/>
  <c r="X3484"/>
  <c r="M3484"/>
  <c r="X3483"/>
  <c r="M3483"/>
  <c r="X3482"/>
  <c r="M3482"/>
  <c r="X3481"/>
  <c r="M3481"/>
  <c r="X3480"/>
  <c r="M3480"/>
  <c r="X3479"/>
  <c r="M3479"/>
  <c r="X3478"/>
  <c r="M3478"/>
  <c r="X3477"/>
  <c r="M3477"/>
  <c r="X3476"/>
  <c r="M3476"/>
  <c r="X3475"/>
  <c r="M3475"/>
  <c r="X3474"/>
  <c r="M3474"/>
  <c r="X3473"/>
  <c r="M3473"/>
  <c r="X3472"/>
  <c r="M3472"/>
  <c r="X3471"/>
  <c r="M3471"/>
  <c r="X3470"/>
  <c r="M3470"/>
  <c r="X3469"/>
  <c r="M3469"/>
  <c r="X3468"/>
  <c r="M3468"/>
  <c r="X3467"/>
  <c r="M3467"/>
  <c r="X3466"/>
  <c r="M3466"/>
  <c r="X3465"/>
  <c r="M3465"/>
  <c r="X3464"/>
  <c r="M3464"/>
  <c r="X3463"/>
  <c r="M3463"/>
  <c r="X3462"/>
  <c r="M3462"/>
  <c r="X3461"/>
  <c r="M3461"/>
  <c r="X3460"/>
  <c r="M3460"/>
  <c r="X3459"/>
  <c r="M3459"/>
  <c r="X3458"/>
  <c r="M3458"/>
  <c r="X3457"/>
  <c r="M3457"/>
  <c r="X3456"/>
  <c r="M3456"/>
  <c r="X3455"/>
  <c r="M3455"/>
  <c r="X3454"/>
  <c r="M3454"/>
  <c r="X3453"/>
  <c r="M3453"/>
  <c r="X3452"/>
  <c r="M3452"/>
  <c r="X3451"/>
  <c r="M3451"/>
  <c r="X3450"/>
  <c r="M3450"/>
  <c r="X3449"/>
  <c r="M3449"/>
  <c r="X3448"/>
  <c r="M3448"/>
  <c r="X3447"/>
  <c r="M3447"/>
  <c r="X3446"/>
  <c r="M3446"/>
  <c r="X3445"/>
  <c r="M3445"/>
  <c r="X3444"/>
  <c r="M3444"/>
  <c r="X3443"/>
  <c r="M3443"/>
  <c r="X3442"/>
  <c r="M3442"/>
  <c r="X3441"/>
  <c r="M3441"/>
  <c r="X3440"/>
  <c r="M3440"/>
  <c r="X3439"/>
  <c r="M3439"/>
  <c r="X3438"/>
  <c r="M3438"/>
  <c r="X3437"/>
  <c r="M3437"/>
  <c r="X3436"/>
  <c r="M3436"/>
  <c r="X3435"/>
  <c r="M3435"/>
  <c r="X3434"/>
  <c r="M3434"/>
  <c r="X3433"/>
  <c r="M3433"/>
  <c r="X3432"/>
  <c r="M3432"/>
  <c r="X3431"/>
  <c r="M3431"/>
  <c r="X3430"/>
  <c r="M3430"/>
  <c r="X3429"/>
  <c r="M3429"/>
  <c r="X3428"/>
  <c r="M3428"/>
  <c r="X3427"/>
  <c r="M3427"/>
  <c r="X3426"/>
  <c r="M3426"/>
  <c r="X3425"/>
  <c r="M3425"/>
  <c r="X3424"/>
  <c r="M3424"/>
  <c r="X3423"/>
  <c r="M3423"/>
  <c r="X3422"/>
  <c r="M3422"/>
  <c r="X3421"/>
  <c r="M3421"/>
  <c r="X3420"/>
  <c r="M3420"/>
  <c r="X3419"/>
  <c r="M3419"/>
  <c r="X3418"/>
  <c r="M3418"/>
  <c r="X3417"/>
  <c r="M3417"/>
  <c r="X3416"/>
  <c r="M3416"/>
  <c r="X3415"/>
  <c r="M3415"/>
  <c r="X3414"/>
  <c r="M3414"/>
  <c r="X3413"/>
  <c r="M3413"/>
  <c r="X3412"/>
  <c r="M3412"/>
  <c r="X3411"/>
  <c r="M3411"/>
  <c r="X3410"/>
  <c r="M3410"/>
  <c r="X3409"/>
  <c r="M3409"/>
  <c r="X3408"/>
  <c r="M3408"/>
  <c r="X3407"/>
  <c r="M3407"/>
  <c r="X3406"/>
  <c r="M3406"/>
  <c r="X3405"/>
  <c r="M3405"/>
  <c r="X3404"/>
  <c r="M3404"/>
  <c r="X3403"/>
  <c r="M3403"/>
  <c r="X3402"/>
  <c r="M3402"/>
  <c r="X3401"/>
  <c r="M3401"/>
  <c r="X3400"/>
  <c r="M3400"/>
  <c r="X3399"/>
  <c r="M3399"/>
  <c r="X3398"/>
  <c r="M3398"/>
  <c r="X3397"/>
  <c r="M3397"/>
  <c r="X3396"/>
  <c r="M3396"/>
  <c r="X3395"/>
  <c r="M3395"/>
  <c r="X3394"/>
  <c r="M3394"/>
  <c r="X3393"/>
  <c r="M3393"/>
  <c r="X3392"/>
  <c r="M3392"/>
  <c r="X3391"/>
  <c r="M3391"/>
  <c r="X3390"/>
  <c r="M3390"/>
  <c r="X3389"/>
  <c r="M3389"/>
  <c r="X3388"/>
  <c r="M3388"/>
  <c r="X3387"/>
  <c r="M3387"/>
  <c r="X3386"/>
  <c r="M3386"/>
  <c r="X3385"/>
  <c r="M3385"/>
  <c r="X3384"/>
  <c r="M3384"/>
  <c r="X3383"/>
  <c r="M3383"/>
  <c r="X3382"/>
  <c r="M3382"/>
  <c r="X3381"/>
  <c r="M3381"/>
  <c r="X3380"/>
  <c r="M3380"/>
  <c r="X3379"/>
  <c r="M3379"/>
  <c r="X3378"/>
  <c r="M3378"/>
  <c r="X3377"/>
  <c r="M3377"/>
  <c r="X3376"/>
  <c r="M3376"/>
  <c r="X3375"/>
  <c r="M3375"/>
  <c r="X3374"/>
  <c r="M3374"/>
  <c r="X3373"/>
  <c r="M3373"/>
  <c r="X3372"/>
  <c r="M3372"/>
  <c r="X3371"/>
  <c r="M3371"/>
  <c r="X3370"/>
  <c r="M3370"/>
  <c r="X3369"/>
  <c r="M3369"/>
  <c r="X3368"/>
  <c r="M3368"/>
  <c r="X3367"/>
  <c r="M3367"/>
  <c r="X3366"/>
  <c r="M3366"/>
  <c r="X3365"/>
  <c r="M3365"/>
  <c r="X3364"/>
  <c r="M3364"/>
  <c r="X3363"/>
  <c r="M3363"/>
  <c r="X3362"/>
  <c r="M3362"/>
  <c r="X3361"/>
  <c r="M3361"/>
  <c r="X3360"/>
  <c r="M3360"/>
  <c r="X3359"/>
  <c r="M3359"/>
  <c r="X3358"/>
  <c r="M3358"/>
  <c r="X3357"/>
  <c r="M3357"/>
  <c r="X3356"/>
  <c r="M3356"/>
  <c r="X3355"/>
  <c r="M3355"/>
  <c r="X3354"/>
  <c r="M3354"/>
  <c r="X3353"/>
  <c r="M3353"/>
  <c r="X3352"/>
  <c r="M3352"/>
  <c r="X3351"/>
  <c r="M3351"/>
  <c r="X3350"/>
  <c r="M3350"/>
  <c r="X3349"/>
  <c r="M3349"/>
  <c r="X3348"/>
  <c r="M3348"/>
  <c r="X3347"/>
  <c r="M3347"/>
  <c r="X3346"/>
  <c r="M3346"/>
  <c r="X3345"/>
  <c r="M3345"/>
  <c r="X3344"/>
  <c r="M3344"/>
  <c r="X3343"/>
  <c r="M3343"/>
  <c r="X3342"/>
  <c r="M3342"/>
  <c r="X3341"/>
  <c r="M3341"/>
  <c r="X3340"/>
  <c r="M3340"/>
  <c r="X3339"/>
  <c r="M3339"/>
  <c r="X3338"/>
  <c r="M3338"/>
  <c r="X3337"/>
  <c r="M3337"/>
  <c r="X3336"/>
  <c r="M3336"/>
  <c r="X3335"/>
  <c r="M3335"/>
  <c r="X3334"/>
  <c r="M3334"/>
  <c r="X3333"/>
  <c r="M3333"/>
  <c r="X3332"/>
  <c r="M3332"/>
  <c r="X3331"/>
  <c r="M3331"/>
  <c r="X3330"/>
  <c r="M3330"/>
  <c r="X3329"/>
  <c r="M3329"/>
  <c r="X3328"/>
  <c r="M3328"/>
  <c r="X3327"/>
  <c r="M3327"/>
  <c r="X3326"/>
  <c r="M3326"/>
  <c r="X3325"/>
  <c r="M3325"/>
  <c r="X3324"/>
  <c r="M3324"/>
  <c r="X3323"/>
  <c r="M3323"/>
  <c r="X3322"/>
  <c r="M3322"/>
  <c r="X3321"/>
  <c r="M3321"/>
  <c r="X3320"/>
  <c r="M3320"/>
  <c r="X3319"/>
  <c r="M3319"/>
  <c r="X3318"/>
  <c r="M3318"/>
  <c r="X3317"/>
  <c r="M3317"/>
  <c r="X3316"/>
  <c r="M3316"/>
  <c r="X3315"/>
  <c r="M3315"/>
  <c r="X3314"/>
  <c r="M3314"/>
  <c r="X3313"/>
  <c r="M3313"/>
  <c r="X3312"/>
  <c r="M3312"/>
  <c r="X3311"/>
  <c r="M3311"/>
  <c r="X3310"/>
  <c r="M3310"/>
  <c r="X3309"/>
  <c r="M3309"/>
  <c r="X3308"/>
  <c r="M3308"/>
  <c r="X3307"/>
  <c r="M3307"/>
  <c r="X3306"/>
  <c r="M3306"/>
  <c r="X3305"/>
  <c r="M3305"/>
  <c r="X3304"/>
  <c r="M3304"/>
  <c r="X3303"/>
  <c r="M3303"/>
  <c r="X3302"/>
  <c r="M3302"/>
  <c r="X3301"/>
  <c r="M3301"/>
  <c r="X3300"/>
  <c r="M3300"/>
  <c r="X3299"/>
  <c r="M3299"/>
  <c r="X3298"/>
  <c r="M3298"/>
  <c r="X3297"/>
  <c r="M3297"/>
  <c r="X3296"/>
  <c r="M3296"/>
  <c r="X3295"/>
  <c r="M3295"/>
  <c r="X3294"/>
  <c r="M3294"/>
  <c r="X3293"/>
  <c r="M3293"/>
  <c r="X3292"/>
  <c r="M3292"/>
  <c r="X3291"/>
  <c r="M3291"/>
  <c r="X3290"/>
  <c r="M3290"/>
  <c r="X3289"/>
  <c r="M3289"/>
  <c r="X3288"/>
  <c r="M3288"/>
  <c r="X3287"/>
  <c r="M3287"/>
  <c r="X3286"/>
  <c r="M3286"/>
  <c r="X3285"/>
  <c r="M3285"/>
  <c r="X3284"/>
  <c r="M3284"/>
  <c r="X3283"/>
  <c r="M3283"/>
  <c r="X3282"/>
  <c r="M3282"/>
  <c r="X3281"/>
  <c r="M3281"/>
  <c r="X3280"/>
  <c r="M3280"/>
  <c r="X3279"/>
  <c r="M3279"/>
  <c r="X3278"/>
  <c r="M3278"/>
  <c r="X3277"/>
  <c r="M3277"/>
  <c r="X3276"/>
  <c r="M3276"/>
  <c r="X3275"/>
  <c r="M3275"/>
  <c r="X3274"/>
  <c r="M3274"/>
  <c r="X3273"/>
  <c r="M3273"/>
  <c r="X3272"/>
  <c r="M3272"/>
  <c r="X3271"/>
  <c r="M3271"/>
  <c r="X3270"/>
  <c r="M3270"/>
  <c r="X3269"/>
  <c r="M3269"/>
  <c r="X3268"/>
  <c r="M3268"/>
  <c r="X3267"/>
  <c r="M3267"/>
  <c r="X3266"/>
  <c r="M3266"/>
  <c r="X3265"/>
  <c r="M3265"/>
  <c r="X3264"/>
  <c r="M3264"/>
  <c r="X3263"/>
  <c r="M3263"/>
  <c r="X3262"/>
  <c r="M3262"/>
  <c r="X3261"/>
  <c r="M3261"/>
  <c r="X3260"/>
  <c r="M3260"/>
  <c r="X3259"/>
  <c r="M3259"/>
  <c r="X3258"/>
  <c r="M3258"/>
  <c r="X3257"/>
  <c r="M3257"/>
  <c r="X3256"/>
  <c r="M3256"/>
  <c r="X3255"/>
  <c r="M3255"/>
  <c r="X3254"/>
  <c r="M3254"/>
  <c r="X3253"/>
  <c r="M3253"/>
  <c r="X3252"/>
  <c r="M3252"/>
  <c r="X3251"/>
  <c r="M3251"/>
  <c r="X3250"/>
  <c r="M3250"/>
  <c r="X3249"/>
  <c r="M3249"/>
  <c r="X3248"/>
  <c r="M3248"/>
  <c r="X3247"/>
  <c r="M3247"/>
  <c r="X3246"/>
  <c r="M3246"/>
  <c r="X3245"/>
  <c r="M3245"/>
  <c r="X3244"/>
  <c r="M3244"/>
  <c r="X3243"/>
  <c r="M3243"/>
  <c r="X3242"/>
  <c r="M3242"/>
  <c r="X3241"/>
  <c r="M3241"/>
  <c r="X3240"/>
  <c r="M3240"/>
  <c r="X3239"/>
  <c r="M3239"/>
  <c r="X3238"/>
  <c r="M3238"/>
  <c r="X3237"/>
  <c r="M3237"/>
  <c r="X3236"/>
  <c r="M3236"/>
  <c r="X3235"/>
  <c r="M3235"/>
  <c r="X3234"/>
  <c r="M3234"/>
  <c r="X3233"/>
  <c r="M3233"/>
  <c r="X3232"/>
  <c r="M3232"/>
  <c r="X3231"/>
  <c r="M3231"/>
  <c r="X3230"/>
  <c r="M3230"/>
  <c r="X3229"/>
  <c r="M3229"/>
  <c r="X3228"/>
  <c r="M3228"/>
  <c r="X3227"/>
  <c r="M3227"/>
  <c r="X3226"/>
  <c r="M3226"/>
  <c r="X3225"/>
  <c r="M3225"/>
  <c r="X3224"/>
  <c r="M3224"/>
  <c r="X3223"/>
  <c r="M3223"/>
  <c r="X3222"/>
  <c r="M3222"/>
  <c r="X3221"/>
  <c r="M3221"/>
  <c r="X3220"/>
  <c r="M3220"/>
  <c r="X3219"/>
  <c r="M3219"/>
  <c r="X3218"/>
  <c r="M3218"/>
  <c r="X3217"/>
  <c r="M3217"/>
  <c r="X3216"/>
  <c r="M3216"/>
  <c r="X3215"/>
  <c r="M3215"/>
  <c r="X3214"/>
  <c r="M3214"/>
  <c r="X3213"/>
  <c r="M3213"/>
  <c r="X3212"/>
  <c r="M3212"/>
  <c r="X3211"/>
  <c r="M3211"/>
  <c r="X3210"/>
  <c r="M3210"/>
  <c r="X3209"/>
  <c r="M3209"/>
  <c r="X3208"/>
  <c r="M3208"/>
  <c r="X3207"/>
  <c r="M3207"/>
  <c r="X3206"/>
  <c r="M3206"/>
  <c r="X3205"/>
  <c r="M3205"/>
  <c r="X3204"/>
  <c r="M3204"/>
  <c r="X3203"/>
  <c r="M3203"/>
  <c r="X3202"/>
  <c r="M3202"/>
  <c r="X3201"/>
  <c r="M3201"/>
  <c r="X3200"/>
  <c r="M3200"/>
  <c r="X3199"/>
  <c r="M3199"/>
  <c r="X3198"/>
  <c r="M3198"/>
  <c r="X3197"/>
  <c r="M3197"/>
  <c r="X3196"/>
  <c r="M3196"/>
  <c r="X3195"/>
  <c r="M3195"/>
  <c r="X3194"/>
  <c r="M3194"/>
  <c r="X3193"/>
  <c r="M3193"/>
  <c r="X3192"/>
  <c r="M3192"/>
  <c r="X3191"/>
  <c r="M3191"/>
  <c r="X3190"/>
  <c r="M3190"/>
  <c r="X3189"/>
  <c r="M3189"/>
  <c r="X3188"/>
  <c r="M3188"/>
  <c r="X3187"/>
  <c r="M3187"/>
  <c r="X3186"/>
  <c r="M3186"/>
  <c r="X3185"/>
  <c r="M3185"/>
  <c r="X3184"/>
  <c r="M3184"/>
  <c r="X3183"/>
  <c r="M3183"/>
  <c r="X3182"/>
  <c r="M3182"/>
  <c r="X3181"/>
  <c r="M3181"/>
  <c r="X3180"/>
  <c r="M3180"/>
  <c r="X3179"/>
  <c r="M3179"/>
  <c r="X3178"/>
  <c r="M3178"/>
  <c r="X3177"/>
  <c r="M3177"/>
  <c r="X3176"/>
  <c r="M3176"/>
  <c r="X3175"/>
  <c r="M3175"/>
  <c r="X3174"/>
  <c r="M3174"/>
  <c r="X3173"/>
  <c r="M3173"/>
  <c r="X3172"/>
  <c r="M3172"/>
  <c r="X3171"/>
  <c r="M3171"/>
  <c r="X3170"/>
  <c r="M3170"/>
  <c r="X3169"/>
  <c r="M3169"/>
  <c r="X3168"/>
  <c r="M3168"/>
  <c r="X3167"/>
  <c r="M3167"/>
  <c r="X3166"/>
  <c r="M3166"/>
  <c r="X3165"/>
  <c r="M3165"/>
  <c r="X3164"/>
  <c r="M3164"/>
  <c r="X3163"/>
  <c r="M3163"/>
  <c r="X3162"/>
  <c r="M3162"/>
  <c r="X3161"/>
  <c r="M3161"/>
  <c r="X3160"/>
  <c r="M3160"/>
  <c r="X3159"/>
  <c r="M3159"/>
  <c r="X3158"/>
  <c r="M3158"/>
  <c r="X3157"/>
  <c r="M3157"/>
  <c r="X3156"/>
  <c r="M3156"/>
  <c r="X3155"/>
  <c r="M3155"/>
  <c r="X3154"/>
  <c r="M3154"/>
  <c r="X3153"/>
  <c r="M3153"/>
  <c r="X3152"/>
  <c r="M3152"/>
  <c r="X3151"/>
  <c r="M3151"/>
  <c r="X3150"/>
  <c r="M3150"/>
  <c r="X3149"/>
  <c r="M3149"/>
  <c r="X3148"/>
  <c r="M3148"/>
  <c r="X3147"/>
  <c r="M3147"/>
  <c r="X3146"/>
  <c r="M3146"/>
  <c r="X3145"/>
  <c r="M3145"/>
  <c r="X3144"/>
  <c r="M3144"/>
  <c r="X3143"/>
  <c r="M3143"/>
  <c r="X3142"/>
  <c r="M3142"/>
  <c r="X3141"/>
  <c r="M3141"/>
  <c r="X3140"/>
  <c r="M3140"/>
  <c r="X3139"/>
  <c r="M3139"/>
  <c r="X3138"/>
  <c r="M3138"/>
  <c r="X3137"/>
  <c r="M3137"/>
  <c r="X3136"/>
  <c r="M3136"/>
  <c r="X3135"/>
  <c r="M3135"/>
  <c r="X3134"/>
  <c r="M3134"/>
  <c r="X3133"/>
  <c r="M3133"/>
  <c r="X3132"/>
  <c r="M3132"/>
  <c r="X3131"/>
  <c r="M3131"/>
  <c r="X3130"/>
  <c r="M3130"/>
  <c r="X3129"/>
  <c r="M3129"/>
  <c r="X3128"/>
  <c r="M3128"/>
  <c r="X3127"/>
  <c r="M3127"/>
  <c r="X3126"/>
  <c r="M3126"/>
  <c r="X3125"/>
  <c r="M3125"/>
  <c r="X3124"/>
  <c r="M3124"/>
  <c r="X3123"/>
  <c r="M3123"/>
  <c r="X3122"/>
  <c r="M3122"/>
  <c r="X3121"/>
  <c r="M3121"/>
  <c r="X3120"/>
  <c r="M3120"/>
  <c r="X3119"/>
  <c r="M3119"/>
  <c r="X3118"/>
  <c r="M3118"/>
  <c r="X3117"/>
  <c r="M3117"/>
  <c r="X3116"/>
  <c r="M3116"/>
  <c r="X3115"/>
  <c r="M3115"/>
  <c r="X3114"/>
  <c r="M3114"/>
  <c r="X3113"/>
  <c r="M3113"/>
  <c r="X3112"/>
  <c r="M3112"/>
  <c r="X3111"/>
  <c r="M3111"/>
  <c r="X3110"/>
  <c r="M3110"/>
  <c r="X3109"/>
  <c r="M3109"/>
  <c r="X3108"/>
  <c r="M3108"/>
  <c r="X3107"/>
  <c r="M3107"/>
  <c r="X3106"/>
  <c r="M3106"/>
  <c r="X3105"/>
  <c r="M3105"/>
  <c r="X3104"/>
  <c r="M3104"/>
  <c r="X3103"/>
  <c r="M3103"/>
  <c r="X3102"/>
  <c r="M3102"/>
  <c r="X3101"/>
  <c r="M3101"/>
  <c r="X3100"/>
  <c r="M3100"/>
  <c r="X3099"/>
  <c r="M3099"/>
  <c r="X3098"/>
  <c r="M3098"/>
  <c r="X3097"/>
  <c r="M3097"/>
  <c r="X3096"/>
  <c r="M3096"/>
  <c r="X3095"/>
  <c r="M3095"/>
  <c r="X3094"/>
  <c r="M3094"/>
  <c r="X3093"/>
  <c r="M3093"/>
  <c r="X3092"/>
  <c r="M3092"/>
  <c r="X3091"/>
  <c r="M3091"/>
  <c r="X3090"/>
  <c r="M3090"/>
  <c r="X3089"/>
  <c r="M3089"/>
  <c r="X3088"/>
  <c r="M3088"/>
  <c r="X3087"/>
  <c r="M3087"/>
  <c r="X3086"/>
  <c r="M3086"/>
  <c r="X3085"/>
  <c r="M3085"/>
  <c r="X3084"/>
  <c r="M3084"/>
  <c r="X3083"/>
  <c r="M3083"/>
  <c r="X3082"/>
  <c r="M3082"/>
  <c r="X3081"/>
  <c r="M3081"/>
  <c r="X3080"/>
  <c r="M3080"/>
  <c r="X3079"/>
  <c r="M3079"/>
  <c r="X3078"/>
  <c r="M3078"/>
  <c r="X3077"/>
  <c r="M3077"/>
  <c r="X3076"/>
  <c r="M3076"/>
  <c r="X3075"/>
  <c r="M3075"/>
  <c r="X3074"/>
  <c r="M3074"/>
  <c r="X3073"/>
  <c r="M3073"/>
  <c r="X3072"/>
  <c r="M3072"/>
  <c r="X3071"/>
  <c r="M3071"/>
  <c r="X3070"/>
  <c r="M3070"/>
  <c r="X3069"/>
  <c r="M3069"/>
  <c r="X3068"/>
  <c r="M3068"/>
  <c r="X3067"/>
  <c r="M3067"/>
  <c r="X3066"/>
  <c r="M3066"/>
  <c r="X3065"/>
  <c r="M3065"/>
  <c r="X3064"/>
  <c r="M3064"/>
  <c r="X3063"/>
  <c r="M3063"/>
  <c r="X3062"/>
  <c r="M3062"/>
  <c r="X3061"/>
  <c r="M3061"/>
  <c r="X3060"/>
  <c r="M3060"/>
  <c r="X3059"/>
  <c r="M3059"/>
  <c r="X3058"/>
  <c r="M3058"/>
  <c r="X3057"/>
  <c r="M3057"/>
  <c r="X3056"/>
  <c r="M3056"/>
  <c r="X3055"/>
  <c r="M3055"/>
  <c r="X3054"/>
  <c r="M3054"/>
  <c r="X3053"/>
  <c r="M3053"/>
  <c r="X3052"/>
  <c r="M3052"/>
  <c r="X3051"/>
  <c r="M3051"/>
  <c r="X3050"/>
  <c r="M3050"/>
  <c r="X3049"/>
  <c r="M3049"/>
  <c r="X3048"/>
  <c r="M3048"/>
  <c r="X3047"/>
  <c r="M3047"/>
  <c r="X3046"/>
  <c r="M3046"/>
  <c r="X3045"/>
  <c r="M3045"/>
  <c r="X3044"/>
  <c r="M3044"/>
  <c r="X3043"/>
  <c r="M3043"/>
  <c r="X3042"/>
  <c r="M3042"/>
  <c r="X3041"/>
  <c r="M3041"/>
  <c r="X3040"/>
  <c r="M3040"/>
  <c r="X3039"/>
  <c r="M3039"/>
  <c r="X3038"/>
  <c r="M3038"/>
  <c r="X3037"/>
  <c r="M3037"/>
  <c r="X3036"/>
  <c r="M3036"/>
  <c r="X3035"/>
  <c r="M3035"/>
  <c r="X3034"/>
  <c r="M3034"/>
  <c r="X3033"/>
  <c r="M3033"/>
  <c r="X3032"/>
  <c r="M3032"/>
  <c r="X3031"/>
  <c r="M3031"/>
  <c r="X3030"/>
  <c r="M3030"/>
  <c r="X3029"/>
  <c r="M3029"/>
  <c r="X3028"/>
  <c r="M3028"/>
  <c r="X3027"/>
  <c r="M3027"/>
  <c r="X3026"/>
  <c r="M3026"/>
  <c r="X3025"/>
  <c r="M3025"/>
  <c r="X3024"/>
  <c r="M3024"/>
  <c r="X3023"/>
  <c r="M3023"/>
  <c r="X3022"/>
  <c r="M3022"/>
  <c r="X3021"/>
  <c r="M3021"/>
  <c r="X3020"/>
  <c r="M3020"/>
  <c r="X3019"/>
  <c r="M3019"/>
  <c r="X3018"/>
  <c r="M3018"/>
  <c r="X3017"/>
  <c r="M3017"/>
  <c r="X3016"/>
  <c r="M3016"/>
  <c r="X3015"/>
  <c r="M3015"/>
  <c r="X3014"/>
  <c r="M3014"/>
  <c r="X3013"/>
  <c r="M3013"/>
  <c r="X3012"/>
  <c r="M3012"/>
  <c r="X3011"/>
  <c r="M3011"/>
  <c r="X3010"/>
  <c r="M3010"/>
  <c r="X3009"/>
  <c r="M3009"/>
  <c r="X3008"/>
  <c r="M3008"/>
  <c r="X3007"/>
  <c r="M3007"/>
  <c r="X3006"/>
  <c r="M3006"/>
  <c r="X3005"/>
  <c r="M3005"/>
  <c r="X3004"/>
  <c r="M3004"/>
  <c r="X3003"/>
  <c r="M3003"/>
  <c r="X3002"/>
  <c r="M3002"/>
  <c r="X3001"/>
  <c r="M3001"/>
  <c r="X3000"/>
  <c r="M3000"/>
  <c r="X2999"/>
  <c r="M2999"/>
  <c r="X2998"/>
  <c r="M2998"/>
  <c r="X2997"/>
  <c r="M2997"/>
  <c r="X2996"/>
  <c r="M2996"/>
  <c r="X2995"/>
  <c r="M2995"/>
  <c r="X2994"/>
  <c r="M2994"/>
  <c r="X2993"/>
  <c r="M2993"/>
  <c r="X2992"/>
  <c r="M2992"/>
  <c r="X2991"/>
  <c r="M2991"/>
  <c r="X2990"/>
  <c r="M2990"/>
  <c r="X2989"/>
  <c r="M2989"/>
  <c r="X2988"/>
  <c r="M2988"/>
  <c r="X2987"/>
  <c r="M2987"/>
  <c r="X2986"/>
  <c r="M2986"/>
  <c r="X2985"/>
  <c r="M2985"/>
  <c r="X2984"/>
  <c r="M2984"/>
  <c r="X2983"/>
  <c r="M2983"/>
  <c r="X2982"/>
  <c r="M2982"/>
  <c r="X2981"/>
  <c r="M2981"/>
  <c r="X2980"/>
  <c r="M2980"/>
  <c r="X2979"/>
  <c r="M2979"/>
  <c r="X2978"/>
  <c r="M2978"/>
  <c r="X2977"/>
  <c r="M2977"/>
  <c r="X2976"/>
  <c r="M2976"/>
  <c r="X2975"/>
  <c r="M2975"/>
  <c r="X2974"/>
  <c r="M2974"/>
  <c r="X2973"/>
  <c r="M2973"/>
  <c r="X2972"/>
  <c r="M2972"/>
  <c r="X2971"/>
  <c r="M2971"/>
  <c r="X2970"/>
  <c r="M2970"/>
  <c r="X2969"/>
  <c r="M2969"/>
  <c r="X2968"/>
  <c r="M2968"/>
  <c r="X2967"/>
  <c r="M2967"/>
  <c r="X2966"/>
  <c r="M2966"/>
  <c r="X2965"/>
  <c r="M2965"/>
  <c r="X2964"/>
  <c r="M2964"/>
  <c r="X2963"/>
  <c r="M2963"/>
  <c r="X2962"/>
  <c r="M2962"/>
  <c r="X2961"/>
  <c r="M2961"/>
  <c r="X2960"/>
  <c r="M2960"/>
  <c r="X2959"/>
  <c r="M2959"/>
  <c r="X2958"/>
  <c r="M2958"/>
  <c r="X2957"/>
  <c r="M2957"/>
  <c r="X2956"/>
  <c r="M2956"/>
  <c r="X2955"/>
  <c r="M2955"/>
  <c r="X2954"/>
  <c r="M2954"/>
  <c r="X2953"/>
  <c r="M2953"/>
  <c r="X2952"/>
  <c r="M2952"/>
  <c r="X2951"/>
  <c r="M2951"/>
  <c r="X2950"/>
  <c r="M2950"/>
  <c r="X2949"/>
  <c r="M2949"/>
  <c r="X2948"/>
  <c r="M2948"/>
  <c r="X2947"/>
  <c r="M2947"/>
  <c r="X2946"/>
  <c r="M2946"/>
  <c r="X2945"/>
  <c r="M2945"/>
  <c r="X2944"/>
  <c r="M2944"/>
  <c r="X2943"/>
  <c r="M2943"/>
  <c r="X2942"/>
  <c r="M2942"/>
  <c r="X2941"/>
  <c r="M2941"/>
  <c r="X2940"/>
  <c r="M2940"/>
  <c r="X2939"/>
  <c r="M2939"/>
  <c r="X2938"/>
  <c r="M2938"/>
  <c r="X2937"/>
  <c r="M2937"/>
  <c r="X2936"/>
  <c r="M2936"/>
  <c r="X2935"/>
  <c r="M2935"/>
  <c r="X2934"/>
  <c r="M2934"/>
  <c r="X2933"/>
  <c r="M2933"/>
  <c r="X2932"/>
  <c r="M2932"/>
  <c r="X2931"/>
  <c r="M2931"/>
  <c r="X2930"/>
  <c r="M2930"/>
  <c r="X2929"/>
  <c r="M2929"/>
  <c r="X2928"/>
  <c r="M2928"/>
  <c r="X2927"/>
  <c r="M2927"/>
  <c r="X2926"/>
  <c r="M2926"/>
  <c r="X2925"/>
  <c r="M2925"/>
  <c r="X2924"/>
  <c r="M2924"/>
  <c r="X2923"/>
  <c r="M2923"/>
  <c r="X2922"/>
  <c r="M2922"/>
  <c r="X2921"/>
  <c r="M2921"/>
  <c r="X2920"/>
  <c r="M2920"/>
  <c r="X2919"/>
  <c r="M2919"/>
  <c r="X2918"/>
  <c r="M2918"/>
  <c r="X2917"/>
  <c r="M2917"/>
  <c r="X2916"/>
  <c r="M2916"/>
  <c r="X2915"/>
  <c r="M2915"/>
  <c r="X2914"/>
  <c r="M2914"/>
  <c r="X2913"/>
  <c r="M2913"/>
  <c r="X2912"/>
  <c r="M2912"/>
  <c r="X2911"/>
  <c r="M2911"/>
  <c r="X2910"/>
  <c r="M2910"/>
  <c r="X2909"/>
  <c r="M2909"/>
  <c r="X2908"/>
  <c r="M2908"/>
  <c r="X2907"/>
  <c r="M2907"/>
  <c r="X2906"/>
  <c r="M2906"/>
  <c r="X2905"/>
  <c r="M2905"/>
  <c r="X2904"/>
  <c r="M2904"/>
  <c r="X2903"/>
  <c r="M2903"/>
  <c r="X2902"/>
  <c r="M2902"/>
  <c r="X2901"/>
  <c r="M2901"/>
  <c r="X2900"/>
  <c r="M2900"/>
  <c r="X2899"/>
  <c r="M2899"/>
  <c r="X2898"/>
  <c r="M2898"/>
  <c r="X2897"/>
  <c r="M2897"/>
  <c r="X2896"/>
  <c r="M2896"/>
  <c r="X2895"/>
  <c r="M2895"/>
  <c r="X2894"/>
  <c r="M2894"/>
  <c r="X2893"/>
  <c r="M2893"/>
  <c r="X2892"/>
  <c r="M2892"/>
  <c r="X2891"/>
  <c r="M2891"/>
  <c r="X2890"/>
  <c r="M2890"/>
  <c r="X2889"/>
  <c r="M2889"/>
  <c r="X2888"/>
  <c r="M2888"/>
  <c r="X2887"/>
  <c r="M2887"/>
  <c r="X2886"/>
  <c r="M2886"/>
  <c r="X2885"/>
  <c r="M2885"/>
  <c r="X2884"/>
  <c r="M2884"/>
  <c r="X2883"/>
  <c r="M2883"/>
  <c r="X2882"/>
  <c r="M2882"/>
  <c r="X2881"/>
  <c r="M2881"/>
  <c r="X2880"/>
  <c r="M2880"/>
  <c r="X2879"/>
  <c r="M2879"/>
  <c r="X2878"/>
  <c r="M2878"/>
  <c r="X2877"/>
  <c r="M2877"/>
  <c r="X2876"/>
  <c r="M2876"/>
  <c r="X2875"/>
  <c r="M2875"/>
  <c r="X2874"/>
  <c r="M2874"/>
  <c r="X2873"/>
  <c r="M2873"/>
  <c r="X2872"/>
  <c r="M2872"/>
  <c r="X2871"/>
  <c r="M2871"/>
  <c r="X2870"/>
  <c r="M2870"/>
  <c r="X2869"/>
  <c r="M2869"/>
  <c r="X2868"/>
  <c r="M2868"/>
  <c r="X2867"/>
  <c r="M2867"/>
  <c r="X2866"/>
  <c r="M2866"/>
  <c r="X2865"/>
  <c r="M2865"/>
  <c r="X2864"/>
  <c r="M2864"/>
  <c r="X2863"/>
  <c r="M2863"/>
  <c r="X2862"/>
  <c r="M2862"/>
  <c r="X2861"/>
  <c r="M2861"/>
  <c r="X2860"/>
  <c r="M2860"/>
  <c r="X2859"/>
  <c r="M2859"/>
  <c r="X2858"/>
  <c r="M2858"/>
  <c r="X2857"/>
  <c r="M2857"/>
  <c r="X2856"/>
  <c r="M2856"/>
  <c r="X2855"/>
  <c r="M2855"/>
  <c r="X2854"/>
  <c r="M2854"/>
  <c r="X2853"/>
  <c r="M2853"/>
  <c r="X2852"/>
  <c r="M2852"/>
  <c r="X2851"/>
  <c r="M2851"/>
  <c r="X2850"/>
  <c r="M2850"/>
  <c r="X2849"/>
  <c r="M2849"/>
  <c r="X2848"/>
  <c r="M2848"/>
  <c r="X2847"/>
  <c r="M2847"/>
  <c r="X2846"/>
  <c r="M2846"/>
  <c r="X2845"/>
  <c r="M2845"/>
  <c r="X2844"/>
  <c r="M2844"/>
  <c r="X2843"/>
  <c r="M2843"/>
  <c r="X2842"/>
  <c r="M2842"/>
  <c r="X2841"/>
  <c r="M2841"/>
  <c r="X2840"/>
  <c r="M2840"/>
  <c r="X2839"/>
  <c r="M2839"/>
  <c r="X2838"/>
  <c r="M2838"/>
  <c r="X2837"/>
  <c r="M2837"/>
  <c r="X2836"/>
  <c r="M2836"/>
  <c r="X2835"/>
  <c r="M2835"/>
  <c r="X2834"/>
  <c r="M2834"/>
  <c r="X2833"/>
  <c r="M2833"/>
  <c r="X2832"/>
  <c r="M2832"/>
  <c r="X2831"/>
  <c r="M2831"/>
  <c r="X2830"/>
  <c r="M2830"/>
  <c r="X2829"/>
  <c r="M2829"/>
  <c r="X2828"/>
  <c r="M2828"/>
  <c r="X2827"/>
  <c r="M2827"/>
  <c r="X2826"/>
  <c r="M2826"/>
  <c r="X2825"/>
  <c r="M2825"/>
  <c r="X2824"/>
  <c r="M2824"/>
  <c r="X2823"/>
  <c r="M2823"/>
  <c r="X2822"/>
  <c r="M2822"/>
  <c r="X2821"/>
  <c r="M2821"/>
  <c r="X2820"/>
  <c r="M2820"/>
  <c r="X2819"/>
  <c r="M2819"/>
  <c r="X2818"/>
  <c r="M2818"/>
  <c r="X2817"/>
  <c r="M2817"/>
  <c r="X2816"/>
  <c r="M2816"/>
  <c r="X2815"/>
  <c r="M2815"/>
  <c r="X2814"/>
  <c r="M2814"/>
  <c r="X2813"/>
  <c r="M2813"/>
  <c r="X2812"/>
  <c r="M2812"/>
  <c r="X2811"/>
  <c r="M2811"/>
  <c r="X2810"/>
  <c r="M2810"/>
  <c r="X2809"/>
  <c r="M2809"/>
  <c r="X2808"/>
  <c r="M2808"/>
  <c r="X2807"/>
  <c r="M2807"/>
  <c r="X2806"/>
  <c r="M2806"/>
  <c r="X2805"/>
  <c r="M2805"/>
  <c r="X2804"/>
  <c r="M2804"/>
  <c r="X2803"/>
  <c r="M2803"/>
  <c r="X2802"/>
  <c r="M2802"/>
  <c r="X2801"/>
  <c r="M2801"/>
  <c r="X2800"/>
  <c r="M2800"/>
  <c r="X2799"/>
  <c r="M2799"/>
  <c r="X2798"/>
  <c r="M2798"/>
  <c r="X2797"/>
  <c r="M2797"/>
  <c r="X2796"/>
  <c r="M2796"/>
  <c r="X2795"/>
  <c r="M2795"/>
  <c r="X2794"/>
  <c r="M2794"/>
  <c r="X2793"/>
  <c r="M2793"/>
  <c r="X2792"/>
  <c r="M2792"/>
  <c r="X2791"/>
  <c r="M2791"/>
  <c r="X2790"/>
  <c r="M2790"/>
  <c r="X2789"/>
  <c r="M2789"/>
  <c r="X2788"/>
  <c r="M2788"/>
  <c r="X2787"/>
  <c r="M2787"/>
  <c r="X2786"/>
  <c r="M2786"/>
  <c r="X2785"/>
  <c r="M2785"/>
  <c r="X2784"/>
  <c r="M2784"/>
  <c r="X2783"/>
  <c r="M2783"/>
  <c r="X2782"/>
  <c r="M2782"/>
  <c r="X2781"/>
  <c r="M2781"/>
  <c r="X2780"/>
  <c r="M2780"/>
  <c r="X2779"/>
  <c r="M2779"/>
  <c r="X2778"/>
  <c r="M2778"/>
  <c r="X2777"/>
  <c r="M2777"/>
  <c r="X2776"/>
  <c r="M2776"/>
  <c r="X2775"/>
  <c r="M2775"/>
  <c r="X2774"/>
  <c r="M2774"/>
  <c r="X2773"/>
  <c r="M2773"/>
  <c r="X2772"/>
  <c r="M2772"/>
  <c r="X2771"/>
  <c r="M2771"/>
  <c r="X2770"/>
  <c r="M2770"/>
  <c r="X2769"/>
  <c r="M2769"/>
  <c r="X2768"/>
  <c r="M2768"/>
  <c r="X2767"/>
  <c r="M2767"/>
  <c r="X2766"/>
  <c r="M2766"/>
  <c r="X2765"/>
  <c r="M2765"/>
  <c r="X2764"/>
  <c r="M2764"/>
  <c r="X2763"/>
  <c r="M2763"/>
  <c r="X2762"/>
  <c r="M2762"/>
  <c r="X2761"/>
  <c r="M2761"/>
  <c r="X2760"/>
  <c r="M2760"/>
  <c r="X2759"/>
  <c r="M2759"/>
  <c r="X2758"/>
  <c r="M2758"/>
  <c r="X2757"/>
  <c r="M2757"/>
  <c r="X2756"/>
  <c r="M2756"/>
  <c r="X2755"/>
  <c r="M2755"/>
  <c r="X2754"/>
  <c r="M2754"/>
  <c r="X2753"/>
  <c r="M2753"/>
  <c r="X2752"/>
  <c r="M2752"/>
  <c r="X2751"/>
  <c r="M2751"/>
  <c r="X2750"/>
  <c r="M2750"/>
  <c r="X2749"/>
  <c r="M2749"/>
  <c r="X2748"/>
  <c r="M2748"/>
  <c r="X2747"/>
  <c r="M2747"/>
  <c r="X2746"/>
  <c r="M2746"/>
  <c r="X2745"/>
  <c r="M2745"/>
  <c r="X2744"/>
  <c r="M2744"/>
  <c r="X2743"/>
  <c r="M2743"/>
  <c r="X2742"/>
  <c r="M2742"/>
  <c r="X2741"/>
  <c r="M2741"/>
  <c r="X2740"/>
  <c r="M2740"/>
  <c r="X2739"/>
  <c r="M2739"/>
  <c r="X2738"/>
  <c r="M2738"/>
  <c r="X2737"/>
  <c r="M2737"/>
  <c r="X2736"/>
  <c r="M2736"/>
  <c r="X2735"/>
  <c r="M2735"/>
  <c r="X2734"/>
  <c r="M2734"/>
  <c r="X2733"/>
  <c r="M2733"/>
  <c r="X2732"/>
  <c r="M2732"/>
  <c r="X2731"/>
  <c r="M2731"/>
  <c r="X2730"/>
  <c r="M2730"/>
  <c r="X2729"/>
  <c r="M2729"/>
  <c r="X2728"/>
  <c r="M2728"/>
  <c r="X2727"/>
  <c r="M2727"/>
  <c r="X2726"/>
  <c r="M2726"/>
  <c r="X2725"/>
  <c r="M2725"/>
  <c r="X2724"/>
  <c r="M2724"/>
  <c r="X2723"/>
  <c r="M2723"/>
  <c r="X2722"/>
  <c r="M2722"/>
  <c r="X2721"/>
  <c r="M2721"/>
  <c r="X2720"/>
  <c r="M2720"/>
  <c r="X2719"/>
  <c r="M2719"/>
  <c r="X2718"/>
  <c r="M2718"/>
  <c r="X2717"/>
  <c r="M2717"/>
  <c r="X2716"/>
  <c r="M2716"/>
  <c r="X2715"/>
  <c r="M2715"/>
  <c r="X2714"/>
  <c r="M2714"/>
  <c r="X2713"/>
  <c r="M2713"/>
  <c r="X2712"/>
  <c r="M2712"/>
  <c r="X2711"/>
  <c r="M2711"/>
  <c r="X2710"/>
  <c r="M2710"/>
  <c r="X2709"/>
  <c r="M2709"/>
  <c r="X2708"/>
  <c r="M2708"/>
  <c r="X2707"/>
  <c r="M2707"/>
  <c r="X2706"/>
  <c r="M2706"/>
  <c r="X2705"/>
  <c r="M2705"/>
  <c r="X2704"/>
  <c r="M2704"/>
  <c r="X2703"/>
  <c r="M2703"/>
  <c r="X2702"/>
  <c r="M2702"/>
  <c r="X2701"/>
  <c r="M2701"/>
  <c r="X2700"/>
  <c r="M2700"/>
  <c r="X2699"/>
  <c r="M2699"/>
  <c r="X2698"/>
  <c r="M2698"/>
  <c r="X2697"/>
  <c r="M2697"/>
  <c r="X2696"/>
  <c r="M2696"/>
  <c r="X2695"/>
  <c r="M2695"/>
  <c r="X2694"/>
  <c r="M2694"/>
  <c r="X2693"/>
  <c r="M2693"/>
  <c r="X2692"/>
  <c r="M2692"/>
  <c r="AG2691"/>
  <c r="X2691"/>
  <c r="M2691"/>
  <c r="AG2690"/>
  <c r="X2690"/>
  <c r="M2690"/>
  <c r="AG2689"/>
  <c r="X2689"/>
  <c r="M2689"/>
  <c r="AG2688"/>
  <c r="X2688"/>
  <c r="M2688"/>
  <c r="AG2687"/>
  <c r="X2687"/>
  <c r="M2687"/>
  <c r="AG2686"/>
  <c r="X2686"/>
  <c r="M2686"/>
  <c r="AG2685"/>
  <c r="X2685"/>
  <c r="M2685"/>
  <c r="AG2684"/>
  <c r="X2684"/>
  <c r="M2684"/>
  <c r="AG2683"/>
  <c r="X2683"/>
  <c r="M2683"/>
  <c r="AG2682"/>
  <c r="X2682"/>
  <c r="M2682"/>
  <c r="AG2681"/>
  <c r="X2681"/>
  <c r="M2681"/>
  <c r="AG2680"/>
  <c r="X2680"/>
  <c r="M2680"/>
  <c r="AG2679"/>
  <c r="X2679"/>
  <c r="M2679"/>
  <c r="AG2678"/>
  <c r="X2678"/>
  <c r="M2678"/>
  <c r="AG2677"/>
  <c r="X2677"/>
  <c r="M2677"/>
  <c r="AG2676"/>
  <c r="X2676"/>
  <c r="M2676"/>
  <c r="AG2675"/>
  <c r="X2675"/>
  <c r="M2675"/>
  <c r="AG2674"/>
  <c r="X2674"/>
  <c r="M2674"/>
  <c r="AG2673"/>
  <c r="X2673"/>
  <c r="M2673"/>
  <c r="AG2672"/>
  <c r="X2672"/>
  <c r="M2672"/>
  <c r="AG2671"/>
  <c r="X2671"/>
  <c r="M2671"/>
  <c r="AG2670"/>
  <c r="X2670"/>
  <c r="M2670"/>
  <c r="AG2669"/>
  <c r="X2669"/>
  <c r="M2669"/>
  <c r="AG2668"/>
  <c r="X2668"/>
  <c r="M2668"/>
  <c r="AG2667"/>
  <c r="X2667"/>
  <c r="M2667"/>
  <c r="AG2666"/>
  <c r="X2666"/>
  <c r="M2666"/>
  <c r="AG2665"/>
  <c r="X2665"/>
  <c r="M2665"/>
  <c r="AG2664"/>
  <c r="X2664"/>
  <c r="M2664"/>
  <c r="AG2663"/>
  <c r="X2663"/>
  <c r="M2663"/>
  <c r="AG2662"/>
  <c r="X2662"/>
  <c r="M2662"/>
  <c r="AG2661"/>
  <c r="X2661"/>
  <c r="M2661"/>
  <c r="AG2660"/>
  <c r="X2660"/>
  <c r="M2660"/>
  <c r="AG2659"/>
  <c r="X2659"/>
  <c r="M2659"/>
  <c r="AG2658"/>
  <c r="X2658"/>
  <c r="M2658"/>
  <c r="AG2657"/>
  <c r="X2657"/>
  <c r="M2657"/>
  <c r="AG2656"/>
  <c r="X2656"/>
  <c r="M2656"/>
  <c r="AG2655"/>
  <c r="X2655"/>
  <c r="M2655"/>
  <c r="AG2654"/>
  <c r="X2654"/>
  <c r="M2654"/>
  <c r="AG2653"/>
  <c r="X2653"/>
  <c r="M2653"/>
  <c r="AG2652"/>
  <c r="X2652"/>
  <c r="M2652"/>
  <c r="AG2651"/>
  <c r="X2651"/>
  <c r="M2651"/>
  <c r="AG2650"/>
  <c r="X2650"/>
  <c r="M2650"/>
  <c r="AG2649"/>
  <c r="X2649"/>
  <c r="M2649"/>
  <c r="AG2648"/>
  <c r="X2648"/>
  <c r="M2648"/>
  <c r="AG2647"/>
  <c r="X2647"/>
  <c r="M2647"/>
  <c r="AG2646"/>
  <c r="X2646"/>
  <c r="M2646"/>
  <c r="AG2645"/>
  <c r="X2645"/>
  <c r="M2645"/>
  <c r="AG2644"/>
  <c r="X2644"/>
  <c r="M2644"/>
  <c r="AG2643"/>
  <c r="X2643"/>
  <c r="M2643"/>
  <c r="AG2642"/>
  <c r="X2642"/>
  <c r="M2642"/>
  <c r="AG2641"/>
  <c r="X2641"/>
  <c r="M2641"/>
  <c r="AG2640"/>
  <c r="X2640"/>
  <c r="M2640"/>
  <c r="AG2639"/>
  <c r="X2639"/>
  <c r="M2639"/>
  <c r="AG2638"/>
  <c r="X2638"/>
  <c r="M2638"/>
  <c r="AG2637"/>
  <c r="X2637"/>
  <c r="M2637"/>
  <c r="AG2636"/>
  <c r="X2636"/>
  <c r="M2636"/>
  <c r="AG2635"/>
  <c r="X2635"/>
  <c r="M2635"/>
  <c r="AG2634"/>
  <c r="X2634"/>
  <c r="M2634"/>
  <c r="AG2633"/>
  <c r="X2633"/>
  <c r="M2633"/>
  <c r="AG2632"/>
  <c r="X2632"/>
  <c r="M2632"/>
  <c r="AG2631"/>
  <c r="X2631"/>
  <c r="M2631"/>
  <c r="AG2630"/>
  <c r="X2630"/>
  <c r="M2630"/>
  <c r="AG2629"/>
  <c r="X2629"/>
  <c r="M2629"/>
  <c r="AG2628"/>
  <c r="X2628"/>
  <c r="M2628"/>
  <c r="AG2627"/>
  <c r="X2627"/>
  <c r="M2627"/>
  <c r="AG2626"/>
  <c r="X2626"/>
  <c r="M2626"/>
  <c r="AG2625"/>
  <c r="X2625"/>
  <c r="M2625"/>
  <c r="AG2624"/>
  <c r="X2624"/>
  <c r="M2624"/>
  <c r="AG2623"/>
  <c r="X2623"/>
  <c r="M2623"/>
  <c r="AG2622"/>
  <c r="X2622"/>
  <c r="M2622"/>
  <c r="AG2621"/>
  <c r="X2621"/>
  <c r="M2621"/>
  <c r="AG2620"/>
  <c r="X2620"/>
  <c r="M2620"/>
  <c r="AG2619"/>
  <c r="X2619"/>
  <c r="M2619"/>
  <c r="AG2618"/>
  <c r="X2618"/>
  <c r="M2618"/>
  <c r="AG2617"/>
  <c r="X2617"/>
  <c r="M2617"/>
  <c r="AG2616"/>
  <c r="X2616"/>
  <c r="M2616"/>
  <c r="AG2615"/>
  <c r="X2615"/>
  <c r="M2615"/>
  <c r="AG2614"/>
  <c r="X2614"/>
  <c r="M2614"/>
  <c r="AG2613"/>
  <c r="X2613"/>
  <c r="M2613"/>
  <c r="AG2612"/>
  <c r="X2612"/>
  <c r="M2612"/>
  <c r="AG2611"/>
  <c r="X2611"/>
  <c r="M2611"/>
  <c r="AG2610"/>
  <c r="X2610"/>
  <c r="M2610"/>
  <c r="AG2609"/>
  <c r="X2609"/>
  <c r="M2609"/>
  <c r="AG2608"/>
  <c r="X2608"/>
  <c r="M2608"/>
  <c r="AG2607"/>
  <c r="X2607"/>
  <c r="M2607"/>
  <c r="AG2606"/>
  <c r="X2606"/>
  <c r="M2606"/>
  <c r="AG2605"/>
  <c r="X2605"/>
  <c r="M2605"/>
  <c r="AG2604"/>
  <c r="X2604"/>
  <c r="M2604"/>
  <c r="AG2603"/>
  <c r="X2603"/>
  <c r="M2603"/>
  <c r="AG2602"/>
  <c r="X2602"/>
  <c r="M2602"/>
  <c r="AG2601"/>
  <c r="X2601"/>
  <c r="M2601"/>
  <c r="AG2600"/>
  <c r="X2600"/>
  <c r="M2600"/>
  <c r="AG2599"/>
  <c r="X2599"/>
  <c r="M2599"/>
  <c r="AG2598"/>
  <c r="X2598"/>
  <c r="M2598"/>
  <c r="AG2597"/>
  <c r="X2597"/>
  <c r="M2597"/>
  <c r="AG2596"/>
  <c r="X2596"/>
  <c r="M2596"/>
  <c r="AG2595"/>
  <c r="X2595"/>
  <c r="M2595"/>
  <c r="AG2594"/>
  <c r="X2594"/>
  <c r="M2594"/>
  <c r="AG2593"/>
  <c r="X2593"/>
  <c r="M2593"/>
  <c r="AG2592"/>
  <c r="X2592"/>
  <c r="M2592"/>
  <c r="AG2591"/>
  <c r="X2591"/>
  <c r="M2591"/>
  <c r="AG2590"/>
  <c r="X2590"/>
  <c r="M2590"/>
  <c r="AG2589"/>
  <c r="X2589"/>
  <c r="M2589"/>
  <c r="AG2588"/>
  <c r="X2588"/>
  <c r="M2588"/>
  <c r="AG2587"/>
  <c r="X2587"/>
  <c r="M2587"/>
  <c r="AG2586"/>
  <c r="X2586"/>
  <c r="M2586"/>
  <c r="AG2585"/>
  <c r="X2585"/>
  <c r="M2585"/>
  <c r="AG2584"/>
  <c r="X2584"/>
  <c r="M2584"/>
  <c r="AG2583"/>
  <c r="X2583"/>
  <c r="M2583"/>
  <c r="AG2582"/>
  <c r="X2582"/>
  <c r="M2582"/>
  <c r="AG2581"/>
  <c r="X2581"/>
  <c r="M2581"/>
  <c r="AG2580"/>
  <c r="X2580"/>
  <c r="M2580"/>
  <c r="AG2579"/>
  <c r="X2579"/>
  <c r="M2579"/>
  <c r="AG2578"/>
  <c r="X2578"/>
  <c r="M2578"/>
  <c r="AG2577"/>
  <c r="X2577"/>
  <c r="M2577"/>
  <c r="AG2576"/>
  <c r="X2576"/>
  <c r="M2576"/>
  <c r="AG2575"/>
  <c r="X2575"/>
  <c r="M2575"/>
  <c r="AG2574"/>
  <c r="X2574"/>
  <c r="M2574"/>
  <c r="AG2573"/>
  <c r="X2573"/>
  <c r="M2573"/>
  <c r="AG2572"/>
  <c r="X2572"/>
  <c r="M2572"/>
  <c r="AG2571"/>
  <c r="X2571"/>
  <c r="M2571"/>
  <c r="AG2570"/>
  <c r="X2570"/>
  <c r="M2570"/>
  <c r="AG2569"/>
  <c r="X2569"/>
  <c r="M2569"/>
  <c r="AG2568"/>
  <c r="X2568"/>
  <c r="M2568"/>
  <c r="AG2567"/>
  <c r="X2567"/>
  <c r="M2567"/>
  <c r="AG2566"/>
  <c r="X2566"/>
  <c r="M2566"/>
  <c r="AG2565"/>
  <c r="X2565"/>
  <c r="M2565"/>
  <c r="AG2564"/>
  <c r="X2564"/>
  <c r="M2564"/>
  <c r="AG2563"/>
  <c r="X2563"/>
  <c r="M2563"/>
  <c r="AG2562"/>
  <c r="X2562"/>
  <c r="M2562"/>
  <c r="AG2561"/>
  <c r="X2561"/>
  <c r="M2561"/>
  <c r="AG2560"/>
  <c r="X2560"/>
  <c r="M2560"/>
  <c r="AG2559"/>
  <c r="X2559"/>
  <c r="M2559"/>
  <c r="AG2558"/>
  <c r="X2558"/>
  <c r="M2558"/>
  <c r="AG2557"/>
  <c r="X2557"/>
  <c r="M2557"/>
  <c r="AG2556"/>
  <c r="X2556"/>
  <c r="M2556"/>
  <c r="AG2555"/>
  <c r="X2555"/>
  <c r="M2555"/>
  <c r="AG2554"/>
  <c r="X2554"/>
  <c r="M2554"/>
  <c r="AG2553"/>
  <c r="X2553"/>
  <c r="M2553"/>
  <c r="AG2552"/>
  <c r="X2552"/>
  <c r="M2552"/>
  <c r="AG2551"/>
  <c r="X2551"/>
  <c r="M2551"/>
  <c r="AG2550"/>
  <c r="X2550"/>
  <c r="M2550"/>
  <c r="AG2549"/>
  <c r="X2549"/>
  <c r="M2549"/>
  <c r="AG2548"/>
  <c r="X2548"/>
  <c r="M2548"/>
  <c r="AG2547"/>
  <c r="X2547"/>
  <c r="M2547"/>
  <c r="AG2546"/>
  <c r="X2546"/>
  <c r="M2546"/>
  <c r="AG2545"/>
  <c r="X2545"/>
  <c r="M2545"/>
  <c r="AG2544"/>
  <c r="X2544"/>
  <c r="M2544"/>
  <c r="AG2543"/>
  <c r="X2543"/>
  <c r="M2543"/>
  <c r="AG2542"/>
  <c r="X2542"/>
  <c r="M2542"/>
  <c r="AG2541"/>
  <c r="X2541"/>
  <c r="M2541"/>
  <c r="AG2540"/>
  <c r="X2540"/>
  <c r="M2540"/>
  <c r="AG2539"/>
  <c r="X2539"/>
  <c r="M2539"/>
  <c r="AG2538"/>
  <c r="X2538"/>
  <c r="M2538"/>
  <c r="AG2537"/>
  <c r="X2537"/>
  <c r="M2537"/>
  <c r="AG2536"/>
  <c r="X2536"/>
  <c r="M2536"/>
  <c r="AG2535"/>
  <c r="X2535"/>
  <c r="M2535"/>
  <c r="AG2534"/>
  <c r="X2534"/>
  <c r="M2534"/>
  <c r="AG2533"/>
  <c r="X2533"/>
  <c r="M2533"/>
  <c r="AG2532"/>
  <c r="X2532"/>
  <c r="M2532"/>
  <c r="AG2531"/>
  <c r="X2531"/>
  <c r="M2531"/>
  <c r="AG2530"/>
  <c r="X2530"/>
  <c r="M2530"/>
  <c r="AG2529"/>
  <c r="X2529"/>
  <c r="M2529"/>
  <c r="AG2528"/>
  <c r="X2528"/>
  <c r="M2528"/>
  <c r="AG2527"/>
  <c r="X2527"/>
  <c r="M2527"/>
  <c r="AG2526"/>
  <c r="X2526"/>
  <c r="M2526"/>
  <c r="AG2525"/>
  <c r="X2525"/>
  <c r="M2525"/>
  <c r="AG2524"/>
  <c r="X2524"/>
  <c r="M2524"/>
  <c r="AG2523"/>
  <c r="X2523"/>
  <c r="M2523"/>
  <c r="AG2522"/>
  <c r="X2522"/>
  <c r="M2522"/>
  <c r="AG2521"/>
  <c r="X2521"/>
  <c r="M2521"/>
  <c r="AG2520"/>
  <c r="X2520"/>
  <c r="M2520"/>
  <c r="AG2519"/>
  <c r="X2519"/>
  <c r="M2519"/>
  <c r="AG2518"/>
  <c r="X2518"/>
  <c r="M2518"/>
  <c r="AG2517"/>
  <c r="X2517"/>
  <c r="M2517"/>
  <c r="AG2516"/>
  <c r="X2516"/>
  <c r="M2516"/>
  <c r="AG2515"/>
  <c r="X2515"/>
  <c r="M2515"/>
  <c r="AG2514"/>
  <c r="X2514"/>
  <c r="M2514"/>
  <c r="AG2513"/>
  <c r="X2513"/>
  <c r="M2513"/>
  <c r="AG2512"/>
  <c r="X2512"/>
  <c r="M2512"/>
  <c r="AG2511"/>
  <c r="X2511"/>
  <c r="M2511"/>
  <c r="AG2510"/>
  <c r="X2510"/>
  <c r="M2510"/>
  <c r="AG2509"/>
  <c r="X2509"/>
  <c r="M2509"/>
  <c r="AG2508"/>
  <c r="X2508"/>
  <c r="M2508"/>
  <c r="AG2507"/>
  <c r="X2507"/>
  <c r="M2507"/>
  <c r="AG2506"/>
  <c r="X2506"/>
  <c r="M2506"/>
  <c r="AG2505"/>
  <c r="X2505"/>
  <c r="M2505"/>
  <c r="AG2504"/>
  <c r="X2504"/>
  <c r="M2504"/>
  <c r="AG2503"/>
  <c r="X2503"/>
  <c r="M2503"/>
  <c r="AG2502"/>
  <c r="X2502"/>
  <c r="M2502"/>
  <c r="AG2501"/>
  <c r="X2501"/>
  <c r="M2501"/>
  <c r="AG2500"/>
  <c r="X2500"/>
  <c r="M2500"/>
  <c r="AG2499"/>
  <c r="X2499"/>
  <c r="M2499"/>
  <c r="AG2498"/>
  <c r="X2498"/>
  <c r="M2498"/>
  <c r="AG2497"/>
  <c r="X2497"/>
  <c r="M2497"/>
  <c r="AG2496"/>
  <c r="X2496"/>
  <c r="M2496"/>
  <c r="AG2495"/>
  <c r="X2495"/>
  <c r="M2495"/>
  <c r="AG2494"/>
  <c r="X2494"/>
  <c r="M2494"/>
  <c r="AG2493"/>
  <c r="X2493"/>
  <c r="M2493"/>
  <c r="AG2492"/>
  <c r="X2492"/>
  <c r="M2492"/>
  <c r="AG2491"/>
  <c r="X2491"/>
  <c r="M2491"/>
  <c r="AG2490"/>
  <c r="X2490"/>
  <c r="M2490"/>
  <c r="AG2489"/>
  <c r="X2489"/>
  <c r="M2489"/>
  <c r="AG2488"/>
  <c r="X2488"/>
  <c r="M2488"/>
  <c r="AG2487"/>
  <c r="X2487"/>
  <c r="M2487"/>
  <c r="AG2486"/>
  <c r="X2486"/>
  <c r="M2486"/>
  <c r="AG2485"/>
  <c r="X2485"/>
  <c r="M2485"/>
  <c r="AG2484"/>
  <c r="X2484"/>
  <c r="M2484"/>
  <c r="AG2483"/>
  <c r="X2483"/>
  <c r="M2483"/>
  <c r="AG2482"/>
  <c r="X2482"/>
  <c r="M2482"/>
  <c r="AG2481"/>
  <c r="X2481"/>
  <c r="M2481"/>
  <c r="AG2480"/>
  <c r="X2480"/>
  <c r="M2480"/>
  <c r="AG2479"/>
  <c r="X2479"/>
  <c r="M2479"/>
  <c r="AG2478"/>
  <c r="X2478"/>
  <c r="M2478"/>
  <c r="AG2477"/>
  <c r="X2477"/>
  <c r="M2477"/>
  <c r="AG2476"/>
  <c r="X2476"/>
  <c r="M2476"/>
  <c r="AG2475"/>
  <c r="X2475"/>
  <c r="M2475"/>
  <c r="AG2474"/>
  <c r="X2474"/>
  <c r="M2474"/>
  <c r="AG2473"/>
  <c r="X2473"/>
  <c r="M2473"/>
  <c r="AG2472"/>
  <c r="X2472"/>
  <c r="M2472"/>
  <c r="AG2471"/>
  <c r="X2471"/>
  <c r="M2471"/>
  <c r="AG2470"/>
  <c r="X2470"/>
  <c r="M2470"/>
  <c r="AG2469"/>
  <c r="X2469"/>
  <c r="M2469"/>
  <c r="AG2468"/>
  <c r="X2468"/>
  <c r="M2468"/>
  <c r="AG2467"/>
  <c r="X2467"/>
  <c r="M2467"/>
  <c r="AG2466"/>
  <c r="X2466"/>
  <c r="M2466"/>
  <c r="AG2465"/>
  <c r="X2465"/>
  <c r="M2465"/>
  <c r="AG2464"/>
  <c r="X2464"/>
  <c r="M2464"/>
  <c r="AG2463"/>
  <c r="X2463"/>
  <c r="M2463"/>
  <c r="AG2462"/>
  <c r="X2462"/>
  <c r="M2462"/>
  <c r="AG2461"/>
  <c r="X2461"/>
  <c r="M2461"/>
  <c r="AG2460"/>
  <c r="X2460"/>
  <c r="M2460"/>
  <c r="AG2459"/>
  <c r="X2459"/>
  <c r="M2459"/>
  <c r="AG2458"/>
  <c r="X2458"/>
  <c r="M2458"/>
  <c r="AG2457"/>
  <c r="X2457"/>
  <c r="M2457"/>
  <c r="AG2456"/>
  <c r="X2456"/>
  <c r="M2456"/>
  <c r="AG2455"/>
  <c r="X2455"/>
  <c r="M2455"/>
  <c r="AG2454"/>
  <c r="X2454"/>
  <c r="M2454"/>
  <c r="AG2453"/>
  <c r="X2453"/>
  <c r="M2453"/>
  <c r="AG2452"/>
  <c r="X2452"/>
  <c r="M2452"/>
  <c r="AG2451"/>
  <c r="X2451"/>
  <c r="M2451"/>
  <c r="AG2450"/>
  <c r="X2450"/>
  <c r="M2450"/>
  <c r="AG2449"/>
  <c r="X2449"/>
  <c r="M2449"/>
  <c r="AG2448"/>
  <c r="X2448"/>
  <c r="M2448"/>
  <c r="AG2447"/>
  <c r="X2447"/>
  <c r="M2447"/>
  <c r="AG2446"/>
  <c r="X2446"/>
  <c r="M2446"/>
  <c r="AG2445"/>
  <c r="X2445"/>
  <c r="M2445"/>
  <c r="AG2444"/>
  <c r="X2444"/>
  <c r="M2444"/>
  <c r="AG2443"/>
  <c r="X2443"/>
  <c r="M2443"/>
  <c r="AG2442"/>
  <c r="X2442"/>
  <c r="M2442"/>
  <c r="AG2441"/>
  <c r="X2441"/>
  <c r="M2441"/>
  <c r="AG2440"/>
  <c r="X2440"/>
  <c r="M2440"/>
  <c r="AG2439"/>
  <c r="X2439"/>
  <c r="M2439"/>
  <c r="AG2438"/>
  <c r="X2438"/>
  <c r="M2438"/>
  <c r="AG2437"/>
  <c r="X2437"/>
  <c r="M2437"/>
  <c r="AG2436"/>
  <c r="X2436"/>
  <c r="M2436"/>
  <c r="AG2435"/>
  <c r="X2435"/>
  <c r="M2435"/>
  <c r="AG2434"/>
  <c r="X2434"/>
  <c r="M2434"/>
  <c r="AG2433"/>
  <c r="X2433"/>
  <c r="M2433"/>
  <c r="AG2432"/>
  <c r="X2432"/>
  <c r="M2432"/>
  <c r="AG2431"/>
  <c r="X2431"/>
  <c r="M2431"/>
  <c r="AG2430"/>
  <c r="X2430"/>
  <c r="M2430"/>
  <c r="AG2429"/>
  <c r="X2429"/>
  <c r="M2429"/>
  <c r="AG2428"/>
  <c r="X2428"/>
  <c r="M2428"/>
  <c r="AG2427"/>
  <c r="X2427"/>
  <c r="M2427"/>
  <c r="AG2426"/>
  <c r="X2426"/>
  <c r="M2426"/>
  <c r="AG2425"/>
  <c r="X2425"/>
  <c r="M2425"/>
  <c r="AG2424"/>
  <c r="X2424"/>
  <c r="M2424"/>
  <c r="AG2423"/>
  <c r="X2423"/>
  <c r="M2423"/>
  <c r="AG2422"/>
  <c r="X2422"/>
  <c r="M2422"/>
  <c r="AG2421"/>
  <c r="X2421"/>
  <c r="M2421"/>
  <c r="AG2420"/>
  <c r="X2420"/>
  <c r="M2420"/>
  <c r="AG2419"/>
  <c r="X2419"/>
  <c r="M2419"/>
  <c r="AG2418"/>
  <c r="X2418"/>
  <c r="M2418"/>
  <c r="AG2417"/>
  <c r="X2417"/>
  <c r="M2417"/>
  <c r="AG2416"/>
  <c r="X2416"/>
  <c r="M2416"/>
  <c r="AG2415"/>
  <c r="X2415"/>
  <c r="M2415"/>
  <c r="AG2414"/>
  <c r="X2414"/>
  <c r="M2414"/>
  <c r="AG2413"/>
  <c r="X2413"/>
  <c r="M2413"/>
  <c r="AG2412"/>
  <c r="X2412"/>
  <c r="M2412"/>
  <c r="AG2411"/>
  <c r="X2411"/>
  <c r="M2411"/>
  <c r="AG2410"/>
  <c r="X2410"/>
  <c r="M2410"/>
  <c r="AG2409"/>
  <c r="X2409"/>
  <c r="M2409"/>
  <c r="AG2408"/>
  <c r="X2408"/>
  <c r="M2408"/>
  <c r="AG2407"/>
  <c r="X2407"/>
  <c r="M2407"/>
  <c r="AG2406"/>
  <c r="X2406"/>
  <c r="M2406"/>
  <c r="AG2405"/>
  <c r="X2405"/>
  <c r="M2405"/>
  <c r="AG2404"/>
  <c r="X2404"/>
  <c r="M2404"/>
  <c r="AG2403"/>
  <c r="X2403"/>
  <c r="M2403"/>
  <c r="AG2402"/>
  <c r="X2402"/>
  <c r="M2402"/>
  <c r="AG2401"/>
  <c r="X2401"/>
  <c r="M2401"/>
  <c r="AG2400"/>
  <c r="X2400"/>
  <c r="M2400"/>
  <c r="AG2399"/>
  <c r="X2399"/>
  <c r="M2399"/>
  <c r="AG2398"/>
  <c r="X2398"/>
  <c r="M2398"/>
  <c r="AG2397"/>
  <c r="X2397"/>
  <c r="M2397"/>
  <c r="AG2396"/>
  <c r="X2396"/>
  <c r="M2396"/>
  <c r="AG2395"/>
  <c r="X2395"/>
  <c r="M2395"/>
  <c r="AG2394"/>
  <c r="X2394"/>
  <c r="M2394"/>
  <c r="AG2393"/>
  <c r="X2393"/>
  <c r="M2393"/>
  <c r="AG2392"/>
  <c r="X2392"/>
  <c r="M2392"/>
  <c r="AG2391"/>
  <c r="X2391"/>
  <c r="M2391"/>
  <c r="AG2390"/>
  <c r="X2390"/>
  <c r="M2390"/>
  <c r="AG2389"/>
  <c r="X2389"/>
  <c r="M2389"/>
  <c r="AG2388"/>
  <c r="X2388"/>
  <c r="M2388"/>
  <c r="AG2387"/>
  <c r="X2387"/>
  <c r="M2387"/>
  <c r="AG2386"/>
  <c r="X2386"/>
  <c r="M2386"/>
  <c r="AG2385"/>
  <c r="X2385"/>
  <c r="M2385"/>
  <c r="AG2384"/>
  <c r="X2384"/>
  <c r="M2384"/>
  <c r="AG2383"/>
  <c r="X2383"/>
  <c r="M2383"/>
  <c r="AG2382"/>
  <c r="X2382"/>
  <c r="M2382"/>
  <c r="AG2381"/>
  <c r="X2381"/>
  <c r="M2381"/>
  <c r="AG2380"/>
  <c r="X2380"/>
  <c r="M2380"/>
  <c r="AG2379"/>
  <c r="X2379"/>
  <c r="M2379"/>
  <c r="AG2378"/>
  <c r="X2378"/>
  <c r="M2378"/>
  <c r="AG2377"/>
  <c r="X2377"/>
  <c r="M2377"/>
  <c r="AG2376"/>
  <c r="X2376"/>
  <c r="M2376"/>
  <c r="AG2375"/>
  <c r="X2375"/>
  <c r="M2375"/>
  <c r="AG2374"/>
  <c r="X2374"/>
  <c r="M2374"/>
  <c r="AG2373"/>
  <c r="X2373"/>
  <c r="M2373"/>
  <c r="AG2372"/>
  <c r="X2372"/>
  <c r="M2372"/>
  <c r="AG2371"/>
  <c r="X2371"/>
  <c r="M2371"/>
  <c r="AG2370"/>
  <c r="X2370"/>
  <c r="M2370"/>
  <c r="AG2369"/>
  <c r="X2369"/>
  <c r="M2369"/>
  <c r="AG2368"/>
  <c r="X2368"/>
  <c r="M2368"/>
  <c r="AG2367"/>
  <c r="X2367"/>
  <c r="M2367"/>
  <c r="AG2366"/>
  <c r="X2366"/>
  <c r="M2366"/>
  <c r="AG2365"/>
  <c r="X2365"/>
  <c r="M2365"/>
  <c r="AG2364"/>
  <c r="X2364"/>
  <c r="M2364"/>
  <c r="AG2363"/>
  <c r="X2363"/>
  <c r="M2363"/>
  <c r="AG2362"/>
  <c r="X2362"/>
  <c r="M2362"/>
  <c r="AG2361"/>
  <c r="X2361"/>
  <c r="M2361"/>
  <c r="AG2360"/>
  <c r="X2360"/>
  <c r="M2360"/>
  <c r="AG2359"/>
  <c r="X2359"/>
  <c r="M2359"/>
  <c r="AG2358"/>
  <c r="X2358"/>
  <c r="M2358"/>
  <c r="AG2357"/>
  <c r="X2357"/>
  <c r="M2357"/>
  <c r="AG2356"/>
  <c r="X2356"/>
  <c r="M2356"/>
  <c r="AG2355"/>
  <c r="X2355"/>
  <c r="M2355"/>
  <c r="AG2354"/>
  <c r="X2354"/>
  <c r="M2354"/>
  <c r="AG2353"/>
  <c r="X2353"/>
  <c r="M2353"/>
  <c r="AG2352"/>
  <c r="X2352"/>
  <c r="M2352"/>
  <c r="AG2351"/>
  <c r="X2351"/>
  <c r="M2351"/>
  <c r="AG2350"/>
  <c r="X2350"/>
  <c r="M2350"/>
  <c r="AG2349"/>
  <c r="X2349"/>
  <c r="M2349"/>
  <c r="AG2348"/>
  <c r="X2348"/>
  <c r="M2348"/>
  <c r="AG2347"/>
  <c r="X2347"/>
  <c r="M2347"/>
  <c r="AG2346"/>
  <c r="X2346"/>
  <c r="M2346"/>
  <c r="AG2345"/>
  <c r="X2345"/>
  <c r="M2345"/>
  <c r="AG2344"/>
  <c r="X2344"/>
  <c r="M2344"/>
  <c r="AG2343"/>
  <c r="X2343"/>
  <c r="M2343"/>
  <c r="AG2342"/>
  <c r="X2342"/>
  <c r="M2342"/>
  <c r="AG2341"/>
  <c r="X2341"/>
  <c r="M2341"/>
  <c r="AG2340"/>
  <c r="X2340"/>
  <c r="M2340"/>
  <c r="AG2339"/>
  <c r="X2339"/>
  <c r="M2339"/>
  <c r="AG2338"/>
  <c r="X2338"/>
  <c r="M2338"/>
  <c r="AG2337"/>
  <c r="X2337"/>
  <c r="M2337"/>
  <c r="AG2336"/>
  <c r="X2336"/>
  <c r="M2336"/>
  <c r="AG2335"/>
  <c r="X2335"/>
  <c r="M2335"/>
  <c r="AG2334"/>
  <c r="X2334"/>
  <c r="M2334"/>
  <c r="AG2333"/>
  <c r="X2333"/>
  <c r="M2333"/>
  <c r="AG2332"/>
  <c r="X2332"/>
  <c r="M2332"/>
  <c r="AG2331"/>
  <c r="X2331"/>
  <c r="M2331"/>
  <c r="AG2330"/>
  <c r="X2330"/>
  <c r="M2330"/>
  <c r="AG2329"/>
  <c r="X2329"/>
  <c r="M2329"/>
  <c r="AG2328"/>
  <c r="X2328"/>
  <c r="M2328"/>
  <c r="AG2327"/>
  <c r="X2327"/>
  <c r="M2327"/>
  <c r="AG2326"/>
  <c r="X2326"/>
  <c r="M2326"/>
  <c r="AG2325"/>
  <c r="X2325"/>
  <c r="M2325"/>
  <c r="AG2324"/>
  <c r="X2324"/>
  <c r="M2324"/>
  <c r="AG2323"/>
  <c r="X2323"/>
  <c r="M2323"/>
  <c r="AG2322"/>
  <c r="X2322"/>
  <c r="M2322"/>
  <c r="AG2321"/>
  <c r="X2321"/>
  <c r="M2321"/>
  <c r="AG2320"/>
  <c r="X2320"/>
  <c r="M2320"/>
  <c r="AG2319"/>
  <c r="X2319"/>
  <c r="M2319"/>
  <c r="AG2318"/>
  <c r="X2318"/>
  <c r="M2318"/>
  <c r="AG2317"/>
  <c r="X2317"/>
  <c r="M2317"/>
  <c r="AG2316"/>
  <c r="X2316"/>
  <c r="M2316"/>
  <c r="AG2315"/>
  <c r="X2315"/>
  <c r="AG2314"/>
  <c r="X2314"/>
  <c r="M2314"/>
  <c r="AG2313"/>
  <c r="X2313"/>
  <c r="M2313"/>
  <c r="AG2312"/>
  <c r="X2312"/>
  <c r="M2312"/>
  <c r="AG2311"/>
  <c r="X2311"/>
  <c r="M2311"/>
  <c r="AG2310"/>
  <c r="X2310"/>
  <c r="M2310"/>
  <c r="AG2309"/>
  <c r="X2309"/>
  <c r="M2309"/>
  <c r="AG2308"/>
  <c r="X2308"/>
  <c r="M2308"/>
  <c r="AG2307"/>
  <c r="X2307"/>
  <c r="M2307"/>
  <c r="AG2306"/>
  <c r="X2306"/>
  <c r="M2306"/>
  <c r="AG2305"/>
  <c r="X2305"/>
  <c r="M2305"/>
  <c r="AG2304"/>
  <c r="X2304"/>
  <c r="M2304"/>
  <c r="AG2303"/>
  <c r="X2303"/>
  <c r="M2303"/>
  <c r="AG2302"/>
  <c r="X2302"/>
  <c r="M2302"/>
  <c r="AG2301"/>
  <c r="X2301"/>
  <c r="M2301"/>
  <c r="AG2300"/>
  <c r="X2300"/>
  <c r="M2300"/>
  <c r="AG2299"/>
  <c r="X2299"/>
  <c r="M2299"/>
  <c r="AG2298"/>
  <c r="X2298"/>
  <c r="M2298"/>
  <c r="AG2297"/>
  <c r="X2297"/>
  <c r="M2297"/>
  <c r="AG2296"/>
  <c r="X2296"/>
  <c r="M2296"/>
  <c r="AG2295"/>
  <c r="X2295"/>
  <c r="M2295"/>
  <c r="AG2294"/>
  <c r="AB2294"/>
  <c r="X2294"/>
  <c r="V2294"/>
  <c r="M2294"/>
  <c r="AG2293"/>
  <c r="X2293"/>
  <c r="M2293"/>
  <c r="AG2292"/>
  <c r="X2292"/>
  <c r="M2292"/>
  <c r="AG2291"/>
  <c r="X2291"/>
  <c r="AG2290"/>
  <c r="AG2289"/>
  <c r="AG2288"/>
  <c r="AG2287"/>
  <c r="AG2286"/>
  <c r="AG2285"/>
  <c r="M2285"/>
  <c r="AG2284"/>
  <c r="AB2284" s="1"/>
  <c r="X2284"/>
  <c r="V2284"/>
  <c r="M2284"/>
  <c r="AG2283"/>
  <c r="X2283"/>
  <c r="M2283"/>
  <c r="AG2282"/>
  <c r="X2282"/>
  <c r="M2282"/>
  <c r="AG2281"/>
  <c r="Y2281"/>
  <c r="X2281"/>
  <c r="M2281"/>
  <c r="AG2280"/>
  <c r="X2280"/>
  <c r="M2280"/>
  <c r="AG2279"/>
  <c r="AB2279"/>
  <c r="X2279"/>
  <c r="V2279"/>
  <c r="M2279"/>
  <c r="AG2278"/>
  <c r="X2278"/>
  <c r="M2278"/>
  <c r="AG2277"/>
  <c r="AB2277"/>
  <c r="X2277"/>
  <c r="V2277"/>
  <c r="M2277"/>
  <c r="AG2276"/>
  <c r="X2276"/>
  <c r="M2276"/>
  <c r="AG2275"/>
  <c r="AB2275"/>
  <c r="X2275"/>
  <c r="V2275"/>
  <c r="M2275"/>
  <c r="AG2274"/>
  <c r="X2274"/>
  <c r="M2274"/>
  <c r="AG2273"/>
  <c r="X2273"/>
  <c r="M2273"/>
  <c r="AG2272"/>
  <c r="X2272"/>
  <c r="M2272"/>
  <c r="AG2271"/>
  <c r="X2271"/>
  <c r="M2271"/>
  <c r="AG2270"/>
  <c r="AB2270" s="1"/>
  <c r="X2270"/>
  <c r="V2270"/>
  <c r="M2270"/>
  <c r="AG2269"/>
  <c r="X2269"/>
  <c r="M2269"/>
  <c r="AG2268"/>
  <c r="Y2268"/>
  <c r="X2268"/>
  <c r="M2268"/>
  <c r="AG2267"/>
  <c r="Y2267"/>
  <c r="X2267"/>
  <c r="M2267"/>
  <c r="AG2266"/>
  <c r="X2266"/>
  <c r="M2266"/>
  <c r="AG2265"/>
  <c r="X2265"/>
  <c r="M2265"/>
  <c r="AG2264"/>
  <c r="AB2264"/>
  <c r="X2264"/>
  <c r="V2264"/>
  <c r="M2264"/>
  <c r="AG2263"/>
  <c r="X2263"/>
  <c r="M2263"/>
  <c r="AB2262"/>
  <c r="X2262"/>
  <c r="V2262"/>
  <c r="M2262"/>
  <c r="X2261"/>
  <c r="M2261"/>
  <c r="X2260"/>
  <c r="M2260"/>
  <c r="X2259"/>
  <c r="M2259"/>
  <c r="X2258"/>
  <c r="M2258"/>
  <c r="X2257"/>
  <c r="M2257"/>
  <c r="X2256"/>
  <c r="M2256"/>
  <c r="X2255"/>
  <c r="M2255"/>
  <c r="X2254"/>
  <c r="M2254"/>
  <c r="AG2253"/>
  <c r="X2253"/>
  <c r="M2253"/>
  <c r="AG2252"/>
  <c r="X2252"/>
  <c r="M2252"/>
  <c r="AG2251"/>
  <c r="AB2251"/>
  <c r="X2251"/>
  <c r="V2251"/>
  <c r="M2251"/>
  <c r="AG2250"/>
  <c r="X2250"/>
  <c r="M2250"/>
  <c r="AG2249"/>
  <c r="X2249"/>
  <c r="M2249"/>
  <c r="AG2248"/>
  <c r="AB2248"/>
  <c r="X2248"/>
  <c r="V2248"/>
  <c r="M2248"/>
  <c r="AG2247"/>
  <c r="X2247"/>
  <c r="M2247"/>
  <c r="AG2246"/>
  <c r="Y2246"/>
  <c r="X2246"/>
  <c r="M2246"/>
  <c r="AG2245"/>
  <c r="X2245"/>
  <c r="S2245"/>
  <c r="M2245"/>
  <c r="AG2244"/>
  <c r="X2244"/>
  <c r="M2244"/>
  <c r="AG2243"/>
  <c r="X2243"/>
  <c r="M2243"/>
  <c r="AG2242"/>
  <c r="X2242"/>
  <c r="M2242"/>
  <c r="AG2241"/>
  <c r="AB2241" s="1"/>
  <c r="X2241"/>
  <c r="V2241"/>
  <c r="M2241"/>
  <c r="AG2240"/>
  <c r="X2240"/>
  <c r="M2240"/>
  <c r="AG2239"/>
  <c r="X2239"/>
  <c r="M2239"/>
  <c r="AG2238"/>
  <c r="Y2238"/>
  <c r="X2238"/>
  <c r="M2238"/>
  <c r="AG2237"/>
  <c r="X2237"/>
  <c r="M2237"/>
  <c r="AG2236"/>
  <c r="X2236"/>
  <c r="M2236"/>
  <c r="AG2235"/>
  <c r="X2235"/>
  <c r="M2235"/>
  <c r="AG2234"/>
  <c r="AB2234"/>
  <c r="X2234"/>
  <c r="V2234"/>
  <c r="M2234"/>
  <c r="AG2233"/>
  <c r="X2233"/>
  <c r="M2233"/>
  <c r="AG2232"/>
  <c r="AB2232" s="1"/>
  <c r="X2232"/>
  <c r="V2232"/>
  <c r="M2232"/>
  <c r="AG2231"/>
  <c r="X2231"/>
  <c r="M2231"/>
  <c r="AG2230"/>
  <c r="Y2230"/>
  <c r="X2230"/>
  <c r="M2230"/>
  <c r="AG2229"/>
  <c r="X2229"/>
  <c r="M2229"/>
  <c r="AG2228"/>
  <c r="Y2228"/>
  <c r="X2228"/>
  <c r="M2228"/>
  <c r="AG2227"/>
  <c r="X2227"/>
  <c r="M2227"/>
  <c r="AG2226"/>
  <c r="X2226"/>
  <c r="M2226"/>
  <c r="AG2225"/>
  <c r="AB2225"/>
  <c r="X2225"/>
  <c r="V2225"/>
  <c r="M2225"/>
  <c r="AG2224"/>
  <c r="AB2224" s="1"/>
  <c r="X2224"/>
  <c r="V2224"/>
  <c r="M2224"/>
  <c r="AG2223"/>
  <c r="X2223"/>
  <c r="M2223"/>
  <c r="AG2222"/>
  <c r="Y2222"/>
  <c r="X2222"/>
  <c r="M2222"/>
  <c r="AG2221"/>
  <c r="AB2221"/>
  <c r="X2221"/>
  <c r="V2221" s="1"/>
  <c r="M2221"/>
  <c r="AG2220"/>
  <c r="X2220"/>
  <c r="M2220"/>
  <c r="AG2219"/>
  <c r="AB2219"/>
  <c r="X2219"/>
  <c r="V2219" s="1"/>
  <c r="U2219"/>
  <c r="M2219"/>
  <c r="AG2218"/>
  <c r="X2218"/>
  <c r="M2218"/>
  <c r="AG2217"/>
  <c r="X2217"/>
  <c r="M2217"/>
  <c r="AG2216"/>
  <c r="X2216"/>
  <c r="M2216"/>
  <c r="AG2215"/>
  <c r="X2215"/>
  <c r="M2215"/>
  <c r="AG2214"/>
  <c r="X2214"/>
  <c r="V2214"/>
  <c r="S2214"/>
  <c r="M2214"/>
  <c r="AG2213"/>
  <c r="X2213"/>
  <c r="M2213"/>
  <c r="AG2212"/>
  <c r="X2212"/>
  <c r="M2212"/>
  <c r="AG2211"/>
  <c r="X2211"/>
  <c r="M2211"/>
  <c r="AG2210"/>
  <c r="X2210"/>
  <c r="M2210"/>
  <c r="AG2209"/>
  <c r="X2209"/>
  <c r="M2209"/>
  <c r="AG2208"/>
  <c r="X2208"/>
  <c r="M2208"/>
  <c r="AG2207"/>
  <c r="X2207"/>
  <c r="S2207"/>
  <c r="M2207"/>
  <c r="AG2206"/>
  <c r="AB2206"/>
  <c r="X2206"/>
  <c r="V2206"/>
  <c r="S2206"/>
  <c r="M2206"/>
  <c r="AG2205"/>
  <c r="X2205"/>
  <c r="M2205"/>
  <c r="AG2204"/>
  <c r="X2204"/>
  <c r="M2204"/>
  <c r="AG2203"/>
  <c r="X2203"/>
  <c r="M2203"/>
  <c r="AG2202"/>
  <c r="X2202"/>
  <c r="M2202"/>
  <c r="AG2201"/>
  <c r="X2201"/>
  <c r="M2201"/>
  <c r="AG2200"/>
  <c r="X2200"/>
  <c r="M2200"/>
  <c r="AG2199"/>
  <c r="X2199"/>
  <c r="M2199"/>
  <c r="AG2198"/>
  <c r="AB2198" s="1"/>
  <c r="X2198"/>
  <c r="V2198"/>
  <c r="M2198"/>
  <c r="AG2197"/>
  <c r="X2197"/>
  <c r="M2197"/>
  <c r="AG2196"/>
  <c r="X2196"/>
  <c r="M2196"/>
  <c r="AG2195"/>
  <c r="Y2195"/>
  <c r="X2195"/>
  <c r="M2195"/>
  <c r="AG2194"/>
  <c r="AB2194"/>
  <c r="X2194"/>
  <c r="V2194" s="1"/>
  <c r="M2194"/>
  <c r="AG2193"/>
  <c r="X2193"/>
  <c r="M2193"/>
  <c r="AG2192"/>
  <c r="X2192"/>
  <c r="M2192"/>
  <c r="AG2191"/>
  <c r="X2191"/>
  <c r="M2191"/>
  <c r="AG2190"/>
  <c r="X2190"/>
  <c r="M2190"/>
  <c r="AG2189"/>
  <c r="Y2189"/>
  <c r="X2189"/>
  <c r="M2189"/>
  <c r="AG2188"/>
  <c r="AB2188" s="1"/>
  <c r="Y2188"/>
  <c r="X2188"/>
  <c r="V2188"/>
  <c r="S2188"/>
  <c r="M2188"/>
  <c r="AG2187"/>
  <c r="X2187"/>
  <c r="S2187"/>
  <c r="M2187"/>
  <c r="AG2186"/>
  <c r="AB2186"/>
  <c r="Y2186"/>
  <c r="X2186"/>
  <c r="V2186" s="1"/>
  <c r="M2186"/>
  <c r="AG2185"/>
  <c r="X2185"/>
  <c r="S2185"/>
  <c r="M2185"/>
  <c r="AG2184"/>
  <c r="AB2184"/>
  <c r="X2184"/>
  <c r="V2184"/>
  <c r="S2184"/>
  <c r="M2184"/>
  <c r="AG2183"/>
  <c r="X2183"/>
  <c r="M2183"/>
  <c r="AG2182"/>
  <c r="AB2182"/>
  <c r="X2182"/>
  <c r="V2182"/>
  <c r="M2182"/>
  <c r="AG2181"/>
  <c r="X2181"/>
  <c r="M2181"/>
  <c r="AG2180"/>
  <c r="X2180"/>
  <c r="M2180"/>
  <c r="AG2179"/>
  <c r="X2179"/>
  <c r="M2179"/>
  <c r="I2179"/>
  <c r="AG2178"/>
  <c r="M2178"/>
  <c r="AG2177"/>
  <c r="X2177"/>
  <c r="M2177"/>
  <c r="AG2176"/>
  <c r="X2176"/>
  <c r="M2176"/>
  <c r="AG2175"/>
  <c r="X2175"/>
  <c r="M2175"/>
  <c r="AG2174"/>
  <c r="AB2174"/>
  <c r="X2174"/>
  <c r="V2174"/>
  <c r="M2174"/>
  <c r="AG2173"/>
  <c r="X2173"/>
  <c r="M2173"/>
  <c r="AG2172"/>
  <c r="X2172"/>
  <c r="M2172"/>
  <c r="AG2171"/>
  <c r="X2171"/>
  <c r="M2171"/>
  <c r="AG2170"/>
  <c r="X2170"/>
  <c r="M2170"/>
  <c r="AG2169"/>
  <c r="X2169"/>
  <c r="M2169"/>
  <c r="AG2168"/>
  <c r="AB2168"/>
  <c r="X2168"/>
  <c r="V2168"/>
  <c r="M2168"/>
  <c r="AG2167"/>
  <c r="X2167"/>
  <c r="M2167"/>
  <c r="AG2166"/>
  <c r="X2166"/>
  <c r="M2166"/>
  <c r="AG2165"/>
  <c r="X2165"/>
  <c r="M2165"/>
  <c r="AG2164"/>
  <c r="X2164"/>
  <c r="M2164"/>
  <c r="AG2163"/>
  <c r="X2163"/>
  <c r="V2163" s="1"/>
  <c r="M2163"/>
  <c r="AG2162"/>
  <c r="X2162"/>
  <c r="U2162"/>
  <c r="M2162"/>
  <c r="AG2161"/>
  <c r="X2161"/>
  <c r="M2161"/>
  <c r="AG2160"/>
  <c r="AB2160" s="1"/>
  <c r="X2160"/>
  <c r="V2160"/>
  <c r="M2160"/>
  <c r="AG2159"/>
  <c r="Y2159"/>
  <c r="X2159"/>
  <c r="M2159"/>
  <c r="AG2158"/>
  <c r="X2158"/>
  <c r="M2158"/>
  <c r="AG2157"/>
  <c r="Y2157"/>
  <c r="X2157"/>
  <c r="M2157"/>
  <c r="AG2156"/>
  <c r="X2156"/>
  <c r="S2156"/>
  <c r="M2156"/>
  <c r="AG2155"/>
  <c r="X2155"/>
  <c r="M2155"/>
  <c r="AG2154"/>
  <c r="X2154"/>
  <c r="M2154"/>
  <c r="AG2153"/>
  <c r="AB2153"/>
  <c r="X2153"/>
  <c r="V2153"/>
  <c r="M2153"/>
  <c r="AG2152"/>
  <c r="X2152"/>
  <c r="M2152"/>
  <c r="AG2151"/>
  <c r="X2151"/>
  <c r="M2151"/>
  <c r="AG2150"/>
  <c r="X2150"/>
  <c r="M2150"/>
  <c r="AG2149"/>
  <c r="AB2149"/>
  <c r="X2149"/>
  <c r="V2149"/>
  <c r="M2149"/>
  <c r="AG2148"/>
  <c r="X2148"/>
  <c r="M2148"/>
  <c r="AG2147"/>
  <c r="X2147"/>
  <c r="M2147"/>
  <c r="AG2146"/>
  <c r="X2146"/>
  <c r="M2146"/>
  <c r="AG2145"/>
  <c r="X2145"/>
  <c r="M2145"/>
  <c r="AG2144"/>
  <c r="AB2144"/>
  <c r="X2144"/>
  <c r="V2144" s="1"/>
  <c r="M2144"/>
  <c r="AG2143"/>
  <c r="X2143"/>
  <c r="M2143"/>
  <c r="AG2142"/>
  <c r="X2142"/>
  <c r="M2142"/>
  <c r="AG2141"/>
  <c r="X2141"/>
  <c r="M2141"/>
  <c r="AG2140"/>
  <c r="X2140"/>
  <c r="M2140"/>
  <c r="AG2139"/>
  <c r="X2139"/>
  <c r="U2139"/>
  <c r="M2139"/>
  <c r="AG2138"/>
  <c r="AB2138"/>
  <c r="X2138"/>
  <c r="V2138"/>
  <c r="M2138"/>
  <c r="AG2137"/>
  <c r="X2137"/>
  <c r="M2137"/>
  <c r="AG2136"/>
  <c r="X2136"/>
  <c r="M2136"/>
  <c r="AG2135"/>
  <c r="AB2135" s="1"/>
  <c r="X2135"/>
  <c r="V2135"/>
  <c r="M2135"/>
  <c r="AG2134"/>
  <c r="X2134"/>
  <c r="M2134"/>
  <c r="AG2133"/>
  <c r="X2133"/>
  <c r="M2133"/>
  <c r="AG2132"/>
  <c r="X2132"/>
  <c r="M2132"/>
  <c r="AG2131"/>
  <c r="X2131"/>
  <c r="M2131"/>
  <c r="AG2130"/>
  <c r="X2130"/>
  <c r="M2130"/>
  <c r="AG2129"/>
  <c r="Y2129"/>
  <c r="X2129"/>
  <c r="M2129"/>
  <c r="AG2128"/>
  <c r="AB2128" s="1"/>
  <c r="X2128"/>
  <c r="V2128"/>
  <c r="M2128"/>
  <c r="AG2127"/>
  <c r="Z2127"/>
  <c r="X2127"/>
  <c r="M2127"/>
  <c r="AG2126"/>
  <c r="AB2126"/>
  <c r="X2126"/>
  <c r="V2126"/>
  <c r="M2126"/>
  <c r="AG2125"/>
  <c r="X2125"/>
  <c r="M2125"/>
  <c r="AG2124"/>
  <c r="X2124"/>
  <c r="M2124"/>
  <c r="AG2123"/>
  <c r="X2123"/>
  <c r="M2123"/>
  <c r="AG2122"/>
  <c r="X2122"/>
  <c r="M2122"/>
  <c r="AG2121"/>
  <c r="X2121"/>
  <c r="M2121"/>
  <c r="AG2120"/>
  <c r="X2120"/>
  <c r="M2120"/>
  <c r="AG2119"/>
  <c r="X2119"/>
  <c r="M2119"/>
  <c r="AG2118"/>
  <c r="AB2118"/>
  <c r="X2118"/>
  <c r="V2118"/>
  <c r="M2118"/>
  <c r="AG2117"/>
  <c r="X2117"/>
  <c r="M2117"/>
  <c r="AG2116"/>
  <c r="X2116"/>
  <c r="M2116"/>
  <c r="AG2115"/>
  <c r="X2115"/>
  <c r="M2115"/>
  <c r="AG2114"/>
  <c r="AB2114"/>
  <c r="X2114"/>
  <c r="V2114"/>
  <c r="M2114"/>
  <c r="AG2113"/>
  <c r="X2113"/>
  <c r="M2113"/>
  <c r="AG2112"/>
  <c r="X2112"/>
  <c r="M2112"/>
  <c r="AG2111"/>
  <c r="X2111"/>
  <c r="M2111"/>
  <c r="AG2110"/>
  <c r="AB2110"/>
  <c r="X2110"/>
  <c r="V2110"/>
  <c r="M2110"/>
  <c r="AG2109"/>
  <c r="X2109"/>
  <c r="M2109"/>
  <c r="AG2108"/>
  <c r="AB2108" s="1"/>
  <c r="X2108"/>
  <c r="V2108" s="1"/>
  <c r="M2108"/>
  <c r="AG2107"/>
  <c r="X2107"/>
  <c r="M2107"/>
  <c r="AG2106"/>
  <c r="X2106"/>
  <c r="M2106"/>
  <c r="AG2105"/>
  <c r="X2105"/>
  <c r="M2105"/>
  <c r="AG2104"/>
  <c r="X2104"/>
  <c r="M2104"/>
  <c r="AG2103"/>
  <c r="Y2103"/>
  <c r="X2103"/>
  <c r="M2103"/>
  <c r="AG2102"/>
  <c r="Y2102"/>
  <c r="X2102"/>
  <c r="S2102"/>
  <c r="M2102"/>
  <c r="AG2101"/>
  <c r="Y2101"/>
  <c r="X2101"/>
  <c r="M2101"/>
  <c r="AG2100"/>
  <c r="X2100"/>
  <c r="M2100"/>
  <c r="AG2099"/>
  <c r="Y2099"/>
  <c r="X2099"/>
  <c r="M2099"/>
  <c r="AG2098"/>
  <c r="AB2098"/>
  <c r="X2098"/>
  <c r="V2098"/>
  <c r="M2098"/>
  <c r="AG2097"/>
  <c r="X2097"/>
  <c r="M2097"/>
  <c r="AG2096"/>
  <c r="X2096"/>
  <c r="M2096"/>
  <c r="AG2095"/>
  <c r="X2095"/>
  <c r="M2095"/>
  <c r="AG2094"/>
  <c r="X2094"/>
  <c r="M2094"/>
  <c r="AG2093"/>
  <c r="X2093"/>
  <c r="M2093"/>
  <c r="AG2092"/>
  <c r="AB2092"/>
  <c r="X2092"/>
  <c r="V2092"/>
  <c r="M2092"/>
  <c r="AG2091"/>
  <c r="X2091"/>
  <c r="M2091"/>
  <c r="AG2090"/>
  <c r="X2090"/>
  <c r="M2090"/>
  <c r="AG2089"/>
  <c r="X2089"/>
  <c r="M2089"/>
  <c r="AG2088"/>
  <c r="X2088"/>
  <c r="M2088"/>
  <c r="AG2087"/>
  <c r="X2087"/>
  <c r="M2087"/>
  <c r="AG2086"/>
  <c r="AB2086"/>
  <c r="X2086"/>
  <c r="V2086"/>
  <c r="M2086"/>
  <c r="AG2085"/>
  <c r="X2085"/>
  <c r="M2085"/>
  <c r="AG2084"/>
  <c r="X2084"/>
  <c r="M2084"/>
  <c r="AG2083"/>
  <c r="X2083"/>
  <c r="M2083"/>
  <c r="AG2082"/>
  <c r="X2082"/>
  <c r="M2082"/>
  <c r="AG2081"/>
  <c r="AB2081"/>
  <c r="X2081"/>
  <c r="V2081"/>
  <c r="M2081"/>
  <c r="AG2080"/>
  <c r="X2080"/>
  <c r="M2080"/>
  <c r="AG2079"/>
  <c r="AB2079"/>
  <c r="X2079"/>
  <c r="V2079"/>
  <c r="M2079"/>
  <c r="AG2078"/>
  <c r="X2078"/>
  <c r="M2078"/>
  <c r="AG2077"/>
  <c r="X2077"/>
  <c r="M2077"/>
  <c r="AG2076"/>
  <c r="AB2076"/>
  <c r="X2076"/>
  <c r="V2076"/>
  <c r="M2076"/>
  <c r="AG2075"/>
  <c r="X2075"/>
  <c r="M2075"/>
  <c r="AG2074"/>
  <c r="X2074"/>
  <c r="M2074"/>
  <c r="AG2073"/>
  <c r="X2073"/>
  <c r="M2073"/>
  <c r="AG2072"/>
  <c r="X2072"/>
  <c r="M2072"/>
  <c r="AG2071"/>
  <c r="AB2071"/>
  <c r="X2071"/>
  <c r="V2071"/>
  <c r="M2071"/>
  <c r="AG2070"/>
  <c r="X2070"/>
  <c r="M2070"/>
  <c r="AG2069"/>
  <c r="X2069"/>
  <c r="M2069"/>
  <c r="AG2068"/>
  <c r="AB2068"/>
  <c r="X2068"/>
  <c r="V2068"/>
  <c r="M2068"/>
  <c r="AG2067"/>
  <c r="X2067"/>
  <c r="M2067"/>
  <c r="AG2066"/>
  <c r="X2066"/>
  <c r="M2066"/>
  <c r="AG2065"/>
  <c r="X2065"/>
  <c r="M2065"/>
  <c r="AG2064"/>
  <c r="X2064"/>
  <c r="M2064"/>
  <c r="AG2063"/>
  <c r="X2063"/>
  <c r="M2063"/>
  <c r="AG2062"/>
  <c r="X2062"/>
  <c r="M2062"/>
  <c r="AG2061"/>
  <c r="X2061"/>
  <c r="M2061"/>
  <c r="AG2060"/>
  <c r="AB2060" s="1"/>
  <c r="X2060"/>
  <c r="V2060"/>
  <c r="M2060"/>
  <c r="AG2059"/>
  <c r="X2059"/>
  <c r="M2059"/>
  <c r="AG2058"/>
  <c r="Y2058"/>
  <c r="X2058"/>
  <c r="M2058"/>
  <c r="AG2057"/>
  <c r="Y2057"/>
  <c r="X2057"/>
  <c r="M2057"/>
  <c r="AG2056"/>
  <c r="AB2056" s="1"/>
  <c r="Y2056"/>
  <c r="X2056"/>
  <c r="V2056"/>
  <c r="M2056"/>
  <c r="AG2055"/>
  <c r="X2055"/>
  <c r="M2055"/>
  <c r="AG2054"/>
  <c r="AB2054"/>
  <c r="X2054"/>
  <c r="V2054"/>
  <c r="M2054"/>
  <c r="AG2053"/>
  <c r="X2053"/>
  <c r="M2053"/>
  <c r="AG2052"/>
  <c r="X2052"/>
  <c r="M2052"/>
  <c r="AG2051"/>
  <c r="X2051"/>
  <c r="M2051"/>
  <c r="AG2050"/>
  <c r="X2050"/>
  <c r="V2050"/>
  <c r="M2050"/>
  <c r="AG2049"/>
  <c r="X2049"/>
  <c r="M2049"/>
  <c r="AG2048"/>
  <c r="X2048"/>
  <c r="M2048"/>
  <c r="AG2047"/>
  <c r="X2047"/>
  <c r="M2047"/>
  <c r="AG2046"/>
  <c r="X2046"/>
  <c r="M2046"/>
  <c r="AG2045"/>
  <c r="X2045"/>
  <c r="M2045"/>
  <c r="AG2044"/>
  <c r="AB2044" s="1"/>
  <c r="X2044"/>
  <c r="V2044" s="1"/>
  <c r="M2044"/>
  <c r="AG2043"/>
  <c r="Y2043"/>
  <c r="X2043"/>
  <c r="M2043"/>
  <c r="I2043"/>
  <c r="AG2042"/>
  <c r="X2042"/>
  <c r="S2042"/>
  <c r="M2042"/>
  <c r="AG2041"/>
  <c r="X2041"/>
  <c r="M2041"/>
  <c r="AG2040"/>
  <c r="X2040"/>
  <c r="M2040"/>
  <c r="AG2039"/>
  <c r="X2039"/>
  <c r="M2039"/>
  <c r="AG2038"/>
  <c r="X2038"/>
  <c r="M2038"/>
  <c r="AG2037"/>
  <c r="AB2037" s="1"/>
  <c r="X2037"/>
  <c r="V2037" s="1"/>
  <c r="M2037"/>
  <c r="AG2036"/>
  <c r="X2036"/>
  <c r="M2036"/>
  <c r="AG2035"/>
  <c r="X2035"/>
  <c r="S2035"/>
  <c r="M2035"/>
  <c r="AG2034"/>
  <c r="X2034"/>
  <c r="M2034"/>
  <c r="AG2033"/>
  <c r="X2033"/>
  <c r="M2033"/>
  <c r="AG2032"/>
  <c r="X2032"/>
  <c r="M2032"/>
  <c r="AG2031"/>
  <c r="X2031"/>
  <c r="M2031"/>
  <c r="AG2030"/>
  <c r="Y2030"/>
  <c r="X2030"/>
  <c r="M2030"/>
  <c r="AG2029"/>
  <c r="AB2029"/>
  <c r="X2029"/>
  <c r="V2029"/>
  <c r="M2029"/>
  <c r="AG2028"/>
  <c r="X2028"/>
  <c r="T2028"/>
  <c r="M2028"/>
  <c r="I2028"/>
  <c r="AG2027"/>
  <c r="AB2027"/>
  <c r="X2027"/>
  <c r="V2027"/>
  <c r="M2027"/>
  <c r="AG2026"/>
  <c r="X2026"/>
  <c r="M2026"/>
  <c r="AG2025"/>
  <c r="X2025"/>
  <c r="M2025"/>
  <c r="AG2024"/>
  <c r="X2024"/>
  <c r="M2024"/>
  <c r="AG2023"/>
  <c r="X2023"/>
  <c r="M2023"/>
  <c r="AG2022"/>
  <c r="X2022"/>
  <c r="M2022"/>
  <c r="AG2021"/>
  <c r="X2021"/>
  <c r="M2021"/>
  <c r="AG2020"/>
  <c r="X2020"/>
  <c r="M2020"/>
  <c r="AG2019"/>
  <c r="X2019"/>
  <c r="M2019"/>
  <c r="AG2018"/>
  <c r="X2018"/>
  <c r="M2018"/>
  <c r="AG2017"/>
  <c r="AB2017"/>
  <c r="X2017"/>
  <c r="V2017" s="1"/>
  <c r="M2017"/>
  <c r="AG2016"/>
  <c r="X2016"/>
  <c r="U2016"/>
  <c r="M2016"/>
  <c r="AG2015"/>
  <c r="AB2015"/>
  <c r="X2015"/>
  <c r="V2015"/>
  <c r="AG2014"/>
  <c r="X2014"/>
  <c r="M2014"/>
  <c r="AG2013"/>
  <c r="AB2013" s="1"/>
  <c r="X2013"/>
  <c r="V2013"/>
  <c r="M2013"/>
  <c r="AG2012"/>
  <c r="X2012"/>
  <c r="M2012"/>
  <c r="AG2011"/>
  <c r="Y2011"/>
  <c r="X2011"/>
  <c r="M2011"/>
  <c r="AG2010"/>
  <c r="X2010"/>
  <c r="S2010"/>
  <c r="M2010"/>
  <c r="AG2009"/>
  <c r="X2009"/>
  <c r="M2009"/>
  <c r="AG2008"/>
  <c r="AB2008"/>
  <c r="X2008"/>
  <c r="V2008"/>
  <c r="M2008"/>
  <c r="AB2007"/>
  <c r="X2007"/>
  <c r="V2007"/>
  <c r="M2007"/>
  <c r="X2006"/>
  <c r="M2006"/>
  <c r="X2005"/>
  <c r="M2005"/>
  <c r="X2004"/>
  <c r="M2004"/>
  <c r="X2003"/>
  <c r="M2003"/>
  <c r="X2002"/>
  <c r="M2002"/>
  <c r="AG2001"/>
  <c r="X2001"/>
  <c r="M2001"/>
  <c r="AG2000"/>
  <c r="X2000"/>
  <c r="M2000"/>
  <c r="AG1999"/>
  <c r="X1999"/>
  <c r="M1999"/>
  <c r="AG1998"/>
  <c r="X1998"/>
  <c r="M1998"/>
  <c r="AG1997"/>
  <c r="X1997"/>
  <c r="M1997"/>
  <c r="AG1996"/>
  <c r="X1996"/>
  <c r="M1996"/>
  <c r="AG1995"/>
  <c r="X1995"/>
  <c r="M1995"/>
  <c r="AG1994"/>
  <c r="X1994"/>
  <c r="M1994"/>
  <c r="AG1993"/>
  <c r="X1993"/>
  <c r="M1993"/>
  <c r="AG1992"/>
  <c r="X1992"/>
  <c r="M1992"/>
  <c r="AG1991"/>
  <c r="AB1991"/>
  <c r="X1991"/>
  <c r="V1991"/>
  <c r="M1991"/>
  <c r="AG1990"/>
  <c r="X1990"/>
  <c r="M1990"/>
  <c r="AG1989"/>
  <c r="X1989"/>
  <c r="M1989"/>
  <c r="AG1988"/>
  <c r="X1988"/>
  <c r="M1988"/>
  <c r="AG1987"/>
  <c r="X1987"/>
  <c r="M1987"/>
  <c r="AG1986"/>
  <c r="X1986"/>
  <c r="M1986"/>
  <c r="AG1985"/>
  <c r="X1985"/>
  <c r="M1985"/>
  <c r="AG1984"/>
  <c r="X1984"/>
  <c r="M1984"/>
  <c r="AG1983"/>
  <c r="X1983"/>
  <c r="M1983"/>
  <c r="AG1982"/>
  <c r="X1982"/>
  <c r="M1982"/>
  <c r="AG1981"/>
  <c r="X1981"/>
  <c r="M1981"/>
  <c r="AG1980"/>
  <c r="X1980"/>
  <c r="M1980"/>
  <c r="AG1979"/>
  <c r="X1979"/>
  <c r="M1979"/>
  <c r="AG1978"/>
  <c r="X1978"/>
  <c r="M1978"/>
  <c r="AB1977"/>
  <c r="X1977"/>
  <c r="V1977"/>
  <c r="M1977"/>
  <c r="X1976"/>
  <c r="M1976"/>
  <c r="X1975"/>
  <c r="M1975"/>
  <c r="X1974"/>
  <c r="M1974"/>
  <c r="X1973"/>
  <c r="M1973"/>
  <c r="Y1972"/>
  <c r="X1972"/>
  <c r="M1972"/>
  <c r="AG1971"/>
  <c r="AB1971"/>
  <c r="X1971"/>
  <c r="M1971"/>
  <c r="AG1970"/>
  <c r="X1970"/>
  <c r="M1970"/>
  <c r="AG1969"/>
  <c r="AB1969"/>
  <c r="X1969"/>
  <c r="V1969"/>
  <c r="M1969"/>
  <c r="AG1968"/>
  <c r="X1968"/>
  <c r="M1968"/>
  <c r="AG1967"/>
  <c r="Y1967"/>
  <c r="X1967"/>
  <c r="M1967"/>
  <c r="AG1966"/>
  <c r="X1966"/>
  <c r="M1966"/>
  <c r="AG1965"/>
  <c r="X1965"/>
  <c r="M1965"/>
  <c r="AG1964"/>
  <c r="AA1964"/>
  <c r="X1964"/>
  <c r="M1964"/>
  <c r="AG1963"/>
  <c r="Y1963"/>
  <c r="X1963"/>
  <c r="M1963"/>
  <c r="AG1962"/>
  <c r="Y1962"/>
  <c r="X1962"/>
  <c r="S1962"/>
  <c r="M1962"/>
  <c r="AG1961"/>
  <c r="X1961"/>
  <c r="M1961"/>
  <c r="AG1960"/>
  <c r="X1960"/>
  <c r="M1960"/>
  <c r="AG1959"/>
  <c r="AA1959"/>
  <c r="X1959"/>
  <c r="S1959"/>
  <c r="M1959"/>
  <c r="AG1958"/>
  <c r="AB1958"/>
  <c r="X1958"/>
  <c r="V1958"/>
  <c r="M1958"/>
  <c r="AG1957"/>
  <c r="X1957"/>
  <c r="M1957"/>
  <c r="AG1956"/>
  <c r="AB1956"/>
  <c r="Y1956"/>
  <c r="X1956"/>
  <c r="V1956"/>
  <c r="M1956"/>
  <c r="AG1955"/>
  <c r="AB1955" s="1"/>
  <c r="X1955"/>
  <c r="V1955"/>
  <c r="M1955"/>
  <c r="AG1954"/>
  <c r="X1954"/>
  <c r="M1954"/>
  <c r="AG1953"/>
  <c r="Y1953"/>
  <c r="X1953"/>
  <c r="M1953"/>
  <c r="AG1952"/>
  <c r="Y1952"/>
  <c r="X1952"/>
  <c r="M1952"/>
  <c r="AG1951"/>
  <c r="X1951"/>
  <c r="M1951"/>
  <c r="AG1950"/>
  <c r="AB1950"/>
  <c r="X1950"/>
  <c r="V1950"/>
  <c r="M1950"/>
  <c r="AG1949"/>
  <c r="X1949"/>
  <c r="M1949"/>
  <c r="AG1948"/>
  <c r="X1948"/>
  <c r="M1948"/>
  <c r="AG1947"/>
  <c r="X1947"/>
  <c r="M1947"/>
  <c r="AB1946"/>
  <c r="X1946"/>
  <c r="V1946"/>
  <c r="M1946"/>
  <c r="X1945"/>
  <c r="M1945"/>
  <c r="X1944"/>
  <c r="M1944"/>
  <c r="X1943"/>
  <c r="M1943"/>
  <c r="X1942"/>
  <c r="M1942"/>
  <c r="X1941"/>
  <c r="M1941"/>
  <c r="I1941"/>
  <c r="AG1940"/>
  <c r="X1940"/>
  <c r="M1940"/>
  <c r="AG1939"/>
  <c r="X1939"/>
  <c r="M1939"/>
  <c r="AG1938"/>
  <c r="X1938"/>
  <c r="M1938"/>
  <c r="AG1937"/>
  <c r="X1937"/>
  <c r="M1937"/>
  <c r="AG1936"/>
  <c r="X1936"/>
  <c r="M1936"/>
  <c r="AG1935"/>
  <c r="AB1935" s="1"/>
  <c r="X1935"/>
  <c r="V1935"/>
  <c r="M1935"/>
  <c r="AG1934"/>
  <c r="Y1934"/>
  <c r="X1934"/>
  <c r="S1934"/>
  <c r="M1934"/>
  <c r="AG1933"/>
  <c r="X1933"/>
  <c r="S1933"/>
  <c r="M1933"/>
  <c r="AG1932"/>
  <c r="X1932"/>
  <c r="M1932"/>
  <c r="AG1931"/>
  <c r="X1931"/>
  <c r="M1931"/>
  <c r="AG1930"/>
  <c r="X1930"/>
  <c r="S1930"/>
  <c r="M1930"/>
  <c r="AG1929"/>
  <c r="Y1929"/>
  <c r="X1929"/>
  <c r="M1929"/>
  <c r="AG1928"/>
  <c r="X1928"/>
  <c r="S1928"/>
  <c r="M1928"/>
  <c r="AG1927"/>
  <c r="Y1927"/>
  <c r="X1927"/>
  <c r="M1927"/>
  <c r="AG1926"/>
  <c r="X1926"/>
  <c r="M1926"/>
  <c r="AG1925"/>
  <c r="X1925"/>
  <c r="AG1924"/>
  <c r="M1924"/>
  <c r="AG1923"/>
  <c r="AB1923"/>
  <c r="X1923"/>
  <c r="V1923"/>
  <c r="M1923"/>
  <c r="AG1922"/>
  <c r="X1922"/>
  <c r="M1922"/>
  <c r="AG1921"/>
  <c r="X1921"/>
  <c r="M1921"/>
  <c r="AG1920"/>
  <c r="X1920"/>
  <c r="V1920"/>
  <c r="M1920"/>
  <c r="AG1919"/>
  <c r="X1919"/>
  <c r="M1919"/>
  <c r="AG1918"/>
  <c r="X1918"/>
  <c r="M1918"/>
  <c r="AG1917"/>
  <c r="Z1917"/>
  <c r="X1917"/>
  <c r="M1917"/>
  <c r="AG1916"/>
  <c r="AB1916"/>
  <c r="X1916"/>
  <c r="V1916"/>
  <c r="M1916"/>
  <c r="AG1915"/>
  <c r="X1915"/>
  <c r="M1915"/>
  <c r="AG1914"/>
  <c r="X1914"/>
  <c r="M1914"/>
  <c r="AG1913"/>
  <c r="X1913"/>
  <c r="M1913"/>
  <c r="AG1912"/>
  <c r="X1912"/>
  <c r="M1912"/>
  <c r="AG1911"/>
  <c r="X1911"/>
  <c r="M1911"/>
  <c r="AB1910"/>
  <c r="X1910"/>
  <c r="V1910"/>
  <c r="M1910"/>
  <c r="X1909"/>
  <c r="M1909"/>
  <c r="X1908"/>
  <c r="M1908"/>
  <c r="AG1907"/>
  <c r="AB1907"/>
  <c r="X1907"/>
  <c r="V1907" s="1"/>
  <c r="M1907"/>
  <c r="AG1906"/>
  <c r="AB1906"/>
  <c r="X1906"/>
  <c r="V1906"/>
  <c r="U1906"/>
  <c r="M1906"/>
  <c r="AG1905"/>
  <c r="X1905"/>
  <c r="M1905"/>
  <c r="AG1904"/>
  <c r="X1904"/>
  <c r="M1904"/>
  <c r="AG1903"/>
  <c r="X1903"/>
  <c r="M1903"/>
  <c r="AG1902"/>
  <c r="X1902"/>
  <c r="M1902"/>
  <c r="AG1901"/>
  <c r="X1901"/>
  <c r="M1901"/>
  <c r="AG1900"/>
  <c r="AB1900"/>
  <c r="X1900"/>
  <c r="V1900"/>
  <c r="M1900"/>
  <c r="AG1899"/>
  <c r="X1899"/>
  <c r="M1899"/>
  <c r="AG1898"/>
  <c r="X1898"/>
  <c r="M1898"/>
  <c r="AG1897"/>
  <c r="X1897"/>
  <c r="M1897"/>
  <c r="AG1896"/>
  <c r="AB1896" s="1"/>
  <c r="Y1896"/>
  <c r="X1896"/>
  <c r="V1896"/>
  <c r="M1896"/>
  <c r="AG1895"/>
  <c r="X1895"/>
  <c r="M1895"/>
  <c r="AG1894"/>
  <c r="AB1894"/>
  <c r="X1894"/>
  <c r="V1894"/>
  <c r="S1894"/>
  <c r="M1894"/>
  <c r="AG1893"/>
  <c r="X1893"/>
  <c r="M1893"/>
  <c r="AG1892"/>
  <c r="X1892"/>
  <c r="M1892"/>
  <c r="AG1891"/>
  <c r="X1891"/>
  <c r="M1891"/>
  <c r="AG1890"/>
  <c r="AB1890"/>
  <c r="X1890"/>
  <c r="V1890"/>
  <c r="M1890"/>
  <c r="AG1889"/>
  <c r="X1889"/>
  <c r="S1889"/>
  <c r="M1889"/>
  <c r="AG1888"/>
  <c r="X1888"/>
  <c r="M1888"/>
  <c r="AG1887"/>
  <c r="X1887"/>
  <c r="M1887"/>
  <c r="AG1886"/>
  <c r="X1886"/>
  <c r="M1886"/>
  <c r="AG1885"/>
  <c r="X1885"/>
  <c r="M1885"/>
  <c r="AG1884"/>
  <c r="X1884"/>
  <c r="M1884"/>
  <c r="AG1883"/>
  <c r="X1883"/>
  <c r="M1883"/>
  <c r="AG1882"/>
  <c r="X1882"/>
  <c r="M1882"/>
  <c r="AG1881"/>
  <c r="AB1881"/>
  <c r="Y1881"/>
  <c r="X1881"/>
  <c r="V1881" s="1"/>
  <c r="M1881"/>
  <c r="AG1880"/>
  <c r="X1880"/>
  <c r="S1880"/>
  <c r="M1880"/>
  <c r="AG1879"/>
  <c r="X1879"/>
  <c r="M1879"/>
  <c r="AG1878"/>
  <c r="X1878"/>
  <c r="M1878"/>
  <c r="AG1877"/>
  <c r="AB1877"/>
  <c r="X1877"/>
  <c r="V1877"/>
  <c r="M1877"/>
  <c r="AG1876"/>
  <c r="X1876"/>
  <c r="M1876"/>
  <c r="AG1875"/>
  <c r="X1875"/>
  <c r="M1875"/>
  <c r="AG1874"/>
  <c r="X1874"/>
  <c r="M1874"/>
  <c r="AG1873"/>
  <c r="AB1873"/>
  <c r="X1873"/>
  <c r="V1873"/>
  <c r="M1873"/>
  <c r="AG1872"/>
  <c r="X1872"/>
  <c r="M1872"/>
  <c r="AG1871"/>
  <c r="X1871"/>
  <c r="M1871"/>
  <c r="AG1870"/>
  <c r="X1870"/>
  <c r="M1870"/>
  <c r="AG1869"/>
  <c r="X1869"/>
  <c r="M1869"/>
  <c r="AG1868"/>
  <c r="AB1868"/>
  <c r="X1868"/>
  <c r="V1868"/>
  <c r="M1868"/>
  <c r="AG1867"/>
  <c r="X1867"/>
  <c r="M1867"/>
  <c r="AB1866"/>
  <c r="X1866"/>
  <c r="V1866"/>
  <c r="M1866"/>
  <c r="X1865"/>
  <c r="M1865"/>
  <c r="X1864"/>
  <c r="M1864"/>
  <c r="AG1863"/>
  <c r="X1863"/>
  <c r="M1863"/>
  <c r="I1863"/>
  <c r="AB1862"/>
  <c r="X1862"/>
  <c r="V1862"/>
  <c r="M1862"/>
  <c r="X1861"/>
  <c r="M1861"/>
  <c r="X1860"/>
  <c r="M1860"/>
  <c r="X1859"/>
  <c r="M1859"/>
  <c r="AB1858"/>
  <c r="X1858"/>
  <c r="V1858"/>
  <c r="M1858"/>
  <c r="X1857"/>
  <c r="M1857"/>
  <c r="X1856"/>
  <c r="M1856"/>
  <c r="X1855"/>
  <c r="M1855"/>
  <c r="X1854"/>
  <c r="M1854"/>
  <c r="AG1853"/>
  <c r="AB1853"/>
  <c r="X1853"/>
  <c r="V1853"/>
  <c r="M1853"/>
  <c r="AG1852"/>
  <c r="AB1852"/>
  <c r="X1852"/>
  <c r="V1852" s="1"/>
  <c r="M1852"/>
  <c r="AG1851"/>
  <c r="X1851"/>
  <c r="M1851"/>
  <c r="AG1850"/>
  <c r="X1850"/>
  <c r="M1850"/>
  <c r="AG1849"/>
  <c r="X1849"/>
  <c r="M1849"/>
  <c r="AG1848"/>
  <c r="X1848"/>
  <c r="S1848"/>
  <c r="AG1847"/>
  <c r="X1847"/>
  <c r="X1845"/>
  <c r="AG1844"/>
  <c r="X1844"/>
  <c r="M1839"/>
  <c r="AB1838"/>
  <c r="X1838"/>
  <c r="V1838"/>
  <c r="M1838"/>
  <c r="Y1837"/>
  <c r="X1837"/>
  <c r="M1837"/>
  <c r="X1836"/>
  <c r="M1836"/>
  <c r="X1835"/>
  <c r="M1835"/>
  <c r="X1834"/>
  <c r="M1834"/>
  <c r="AG1833"/>
  <c r="AB1833"/>
  <c r="X1833"/>
  <c r="V1833"/>
  <c r="M1833"/>
  <c r="AG1832"/>
  <c r="X1832"/>
  <c r="M1832"/>
  <c r="AG1831"/>
  <c r="X1831"/>
  <c r="M1831"/>
  <c r="AG1830"/>
  <c r="X1830"/>
  <c r="M1830"/>
  <c r="AG1829"/>
  <c r="X1829"/>
  <c r="M1829"/>
  <c r="AB1828"/>
  <c r="X1828"/>
  <c r="V1828"/>
  <c r="M1828"/>
  <c r="X1827"/>
  <c r="M1827"/>
  <c r="X1826"/>
  <c r="M1826"/>
  <c r="X1825"/>
  <c r="M1825"/>
  <c r="X1824"/>
  <c r="M1824"/>
  <c r="X1823"/>
  <c r="M1823"/>
  <c r="AB1822"/>
  <c r="V1822"/>
  <c r="M1822"/>
  <c r="X1821"/>
  <c r="M1821"/>
  <c r="AG1820"/>
  <c r="X1820"/>
  <c r="M1820"/>
  <c r="I1820"/>
  <c r="AB1819"/>
  <c r="X1819"/>
  <c r="V1819"/>
  <c r="M1819"/>
  <c r="X1818"/>
  <c r="M1818"/>
  <c r="X1817"/>
  <c r="M1817"/>
  <c r="X1816"/>
  <c r="M1816"/>
  <c r="X1815"/>
  <c r="M1815"/>
  <c r="X1814"/>
  <c r="M1814"/>
  <c r="X1813"/>
  <c r="M1813"/>
  <c r="X1812"/>
  <c r="M1812"/>
  <c r="X1811"/>
  <c r="M1811"/>
  <c r="X1810"/>
  <c r="M1810"/>
  <c r="X1809"/>
  <c r="M1809"/>
  <c r="X1808"/>
  <c r="M1808"/>
  <c r="AG1807"/>
  <c r="AB1807"/>
  <c r="X1807"/>
  <c r="V1807"/>
  <c r="M1807"/>
  <c r="AG1806"/>
  <c r="X1806"/>
  <c r="M1806"/>
  <c r="AG1805"/>
  <c r="X1805"/>
  <c r="M1805"/>
  <c r="AG1804"/>
  <c r="X1804"/>
  <c r="M1804"/>
  <c r="AG1803"/>
  <c r="X1803"/>
  <c r="M1803"/>
  <c r="AG1802"/>
  <c r="X1802"/>
  <c r="M1802"/>
  <c r="AG1801"/>
  <c r="X1801"/>
  <c r="U1801"/>
  <c r="M1801"/>
  <c r="AG1800"/>
  <c r="AB1800"/>
  <c r="X1800"/>
  <c r="V1800"/>
  <c r="M1800"/>
  <c r="AG1799"/>
  <c r="X1799"/>
  <c r="M1799"/>
  <c r="AG1798"/>
  <c r="X1798"/>
  <c r="M1798"/>
  <c r="AG1797"/>
  <c r="X1797"/>
  <c r="M1797"/>
  <c r="AG1796"/>
  <c r="X1796"/>
  <c r="M1796"/>
  <c r="AG1795"/>
  <c r="AB1795"/>
  <c r="X1795"/>
  <c r="V1795"/>
  <c r="M1795"/>
  <c r="AG1794"/>
  <c r="X1794"/>
  <c r="M1794"/>
  <c r="AG1793"/>
  <c r="X1793"/>
  <c r="M1793"/>
  <c r="AG1792"/>
  <c r="X1792"/>
  <c r="M1792"/>
  <c r="AG1791"/>
  <c r="X1791"/>
  <c r="M1791"/>
  <c r="AG1790"/>
  <c r="AB1790"/>
  <c r="X1790"/>
  <c r="V1790"/>
  <c r="M1790"/>
  <c r="AG1789"/>
  <c r="AB1789"/>
  <c r="X1789"/>
  <c r="V1789"/>
  <c r="M1789"/>
  <c r="AG1788"/>
  <c r="X1788"/>
  <c r="M1788"/>
  <c r="AG1787"/>
  <c r="X1787"/>
  <c r="M1787"/>
  <c r="AG1786"/>
  <c r="AB1786"/>
  <c r="X1786"/>
  <c r="V1786"/>
  <c r="M1786"/>
  <c r="AG1785"/>
  <c r="X1785"/>
  <c r="M1785"/>
  <c r="AG1784"/>
  <c r="X1784"/>
  <c r="M1784"/>
  <c r="AG1783"/>
  <c r="X1783"/>
  <c r="M1783"/>
  <c r="AG1782"/>
  <c r="AB1782"/>
  <c r="X1782"/>
  <c r="V1782"/>
  <c r="M1782"/>
  <c r="AG1781"/>
  <c r="X1781"/>
  <c r="M1781"/>
  <c r="AG1780"/>
  <c r="X1780"/>
  <c r="M1780"/>
  <c r="AG1779"/>
  <c r="X1779"/>
  <c r="M1779"/>
  <c r="AG1778"/>
  <c r="AB1778"/>
  <c r="X1778"/>
  <c r="V1778"/>
  <c r="M1778"/>
  <c r="AG1777"/>
  <c r="X1777"/>
  <c r="M1777"/>
  <c r="AG1776"/>
  <c r="X1776"/>
  <c r="M1776"/>
  <c r="AG1775"/>
  <c r="X1775"/>
  <c r="M1775"/>
  <c r="AG1774"/>
  <c r="AB1774"/>
  <c r="X1774"/>
  <c r="V1774" s="1"/>
  <c r="M1774"/>
  <c r="AG1773"/>
  <c r="X1773"/>
  <c r="M1773"/>
  <c r="AG1772"/>
  <c r="X1772"/>
  <c r="M1772"/>
  <c r="AG1771"/>
  <c r="X1771"/>
  <c r="S1771"/>
  <c r="M1771"/>
  <c r="AG1770"/>
  <c r="X1770"/>
  <c r="M1770"/>
  <c r="AG1769"/>
  <c r="X1769"/>
  <c r="M1769"/>
  <c r="AG1768"/>
  <c r="AB1768"/>
  <c r="X1768"/>
  <c r="V1768"/>
  <c r="M1768"/>
  <c r="AG1767"/>
  <c r="X1767"/>
  <c r="M1767"/>
  <c r="AG1766"/>
  <c r="X1766"/>
  <c r="M1766"/>
  <c r="AG1765"/>
  <c r="X1765"/>
  <c r="M1765"/>
  <c r="AG1764"/>
  <c r="X1764"/>
  <c r="M1764"/>
  <c r="AG1763"/>
  <c r="Y1763"/>
  <c r="X1763"/>
  <c r="M1763"/>
  <c r="AG1762"/>
  <c r="X1762"/>
  <c r="V1762"/>
  <c r="M1762"/>
  <c r="AG1761"/>
  <c r="AB1761"/>
  <c r="X1761"/>
  <c r="V1761" s="1"/>
  <c r="M1761"/>
  <c r="AG1760"/>
  <c r="X1760"/>
  <c r="M1760"/>
  <c r="AG1759"/>
  <c r="X1759"/>
  <c r="M1759"/>
  <c r="AG1758"/>
  <c r="AB1758"/>
  <c r="X1758"/>
  <c r="V1758" s="1"/>
  <c r="S1758"/>
  <c r="M1758"/>
  <c r="AG1757"/>
  <c r="X1757"/>
  <c r="M1757"/>
  <c r="AG1756"/>
  <c r="AB1756" s="1"/>
  <c r="X1756"/>
  <c r="V1756" s="1"/>
  <c r="S1756"/>
  <c r="M1756"/>
  <c r="AG1755"/>
  <c r="Y1755"/>
  <c r="X1755"/>
  <c r="M1755"/>
  <c r="AG1754"/>
  <c r="Y1754"/>
  <c r="X1754"/>
  <c r="M1754"/>
  <c r="AG1753"/>
  <c r="AB1753"/>
  <c r="X1753"/>
  <c r="V1753" s="1"/>
  <c r="S1753"/>
  <c r="M1753"/>
  <c r="AG1752"/>
  <c r="X1752"/>
  <c r="M1752"/>
  <c r="AG1751"/>
  <c r="X1751"/>
  <c r="M1751"/>
  <c r="AG1750"/>
  <c r="X1750"/>
  <c r="M1750"/>
  <c r="AG1749"/>
  <c r="X1749"/>
  <c r="M1749"/>
  <c r="AG1748"/>
  <c r="Y1748"/>
  <c r="X1748"/>
  <c r="M1748"/>
  <c r="X1747"/>
  <c r="V1747"/>
  <c r="S1747"/>
  <c r="M1747"/>
  <c r="AB1746"/>
  <c r="X1746"/>
  <c r="V1746"/>
  <c r="M1746"/>
  <c r="X1745"/>
  <c r="M1745"/>
  <c r="X1744"/>
  <c r="M1744"/>
  <c r="X1743"/>
  <c r="M1743"/>
  <c r="X1742"/>
  <c r="M1742"/>
  <c r="X1741"/>
  <c r="M1741"/>
  <c r="AB1740"/>
  <c r="X1740"/>
  <c r="V1740"/>
  <c r="M1740"/>
  <c r="X1739"/>
  <c r="M1739"/>
  <c r="X1738"/>
  <c r="M1738"/>
  <c r="X1737"/>
  <c r="M1737"/>
  <c r="AB1736"/>
  <c r="X1736"/>
  <c r="V1736"/>
  <c r="M1736"/>
  <c r="X1735"/>
  <c r="M1735"/>
  <c r="X1734"/>
  <c r="M1734"/>
  <c r="AB1733"/>
  <c r="X1733"/>
  <c r="V1733"/>
  <c r="M1733"/>
  <c r="X1732"/>
  <c r="M1732"/>
  <c r="X1731"/>
  <c r="M1731"/>
  <c r="X1730"/>
  <c r="M1730"/>
  <c r="AG1729"/>
  <c r="X1729"/>
  <c r="M1729"/>
  <c r="AG1728"/>
  <c r="X1728"/>
  <c r="M1728"/>
  <c r="AG1727"/>
  <c r="X1727"/>
  <c r="M1727"/>
  <c r="I1727"/>
  <c r="AG1726"/>
  <c r="AB1726"/>
  <c r="X1726"/>
  <c r="AB1747" s="1"/>
  <c r="V1726"/>
  <c r="M1726"/>
  <c r="AG1725"/>
  <c r="X1725"/>
  <c r="M1725"/>
  <c r="I1725"/>
  <c r="AG1724"/>
  <c r="X1724"/>
  <c r="M1724"/>
  <c r="AG1723"/>
  <c r="X1723"/>
  <c r="M1723"/>
  <c r="AG1722"/>
  <c r="X1722"/>
  <c r="M1722"/>
  <c r="AG1721"/>
  <c r="X1721"/>
  <c r="M1721"/>
  <c r="AG1720"/>
  <c r="AB1720"/>
  <c r="X1720"/>
  <c r="V1720"/>
  <c r="M1720"/>
  <c r="AG1719"/>
  <c r="X1719"/>
  <c r="M1719"/>
  <c r="AG1718"/>
  <c r="X1718"/>
  <c r="M1718"/>
  <c r="AG1717"/>
  <c r="AB1717" s="1"/>
  <c r="X1717"/>
  <c r="V1717" s="1"/>
  <c r="M1717"/>
  <c r="AG1716"/>
  <c r="Y1716"/>
  <c r="X1716"/>
  <c r="M1716"/>
  <c r="AG1715"/>
  <c r="AB1715"/>
  <c r="X1715"/>
  <c r="V1715"/>
  <c r="S1715"/>
  <c r="M1715"/>
  <c r="AG1714"/>
  <c r="X1714"/>
  <c r="M1714"/>
  <c r="AG1713"/>
  <c r="X1713"/>
  <c r="M1713"/>
  <c r="AG1712"/>
  <c r="X1712"/>
  <c r="M1712"/>
  <c r="AG1711"/>
  <c r="AB1711"/>
  <c r="X1711"/>
  <c r="V1711"/>
  <c r="M1711"/>
  <c r="AG1710"/>
  <c r="X1710"/>
  <c r="M1710"/>
  <c r="AG1709"/>
  <c r="X1709"/>
  <c r="M1709"/>
  <c r="AG1708"/>
  <c r="X1708"/>
  <c r="M1708"/>
  <c r="AG1707"/>
  <c r="X1707"/>
  <c r="M1707"/>
  <c r="AG1706"/>
  <c r="X1706"/>
  <c r="M1706"/>
  <c r="AG1705"/>
  <c r="X1705"/>
  <c r="M1705"/>
  <c r="AG1704"/>
  <c r="X1704"/>
  <c r="M1704"/>
  <c r="AG1703"/>
  <c r="AB1703"/>
  <c r="X1703"/>
  <c r="V1703"/>
  <c r="M1703"/>
  <c r="AG1702"/>
  <c r="X1702"/>
  <c r="M1702"/>
  <c r="AG1701"/>
  <c r="X1701"/>
  <c r="M1701"/>
  <c r="AG1700"/>
  <c r="X1700"/>
  <c r="M1700"/>
  <c r="AG1699"/>
  <c r="X1699"/>
  <c r="M1699"/>
  <c r="AG1698"/>
  <c r="X1698"/>
  <c r="M1698"/>
  <c r="AG1697"/>
  <c r="AB1697"/>
  <c r="X1697"/>
  <c r="V1697" s="1"/>
  <c r="M1697"/>
  <c r="AG1696"/>
  <c r="X1696"/>
  <c r="M1696"/>
  <c r="AG1695"/>
  <c r="X1695"/>
  <c r="M1695"/>
  <c r="AG1694"/>
  <c r="X1694"/>
  <c r="U1694"/>
  <c r="M1694"/>
  <c r="AG1693"/>
  <c r="X1693"/>
  <c r="M1693"/>
  <c r="AG1692"/>
  <c r="X1692"/>
  <c r="M1692"/>
  <c r="AG1691"/>
  <c r="X1691"/>
  <c r="M1691"/>
  <c r="AG1690"/>
  <c r="X1690"/>
  <c r="M1690"/>
  <c r="AG1689"/>
  <c r="X1689"/>
  <c r="M1689"/>
  <c r="AB1688"/>
  <c r="X1688"/>
  <c r="V1688"/>
  <c r="M1688"/>
  <c r="X1687"/>
  <c r="M1687"/>
  <c r="X1686"/>
  <c r="M1686"/>
  <c r="X1685"/>
  <c r="M1685"/>
  <c r="X1684"/>
  <c r="M1684"/>
  <c r="AG1683"/>
  <c r="AB1683" s="1"/>
  <c r="X1683"/>
  <c r="V1683" s="1"/>
  <c r="M1683"/>
  <c r="AG1682"/>
  <c r="X1682"/>
  <c r="M1682"/>
  <c r="AG1681"/>
  <c r="X1681"/>
  <c r="M1681"/>
  <c r="AG1680"/>
  <c r="X1680"/>
  <c r="M1680"/>
  <c r="AG1679"/>
  <c r="X1679"/>
  <c r="M1679"/>
  <c r="AG1678"/>
  <c r="Y1678"/>
  <c r="X1678"/>
  <c r="S1678"/>
  <c r="M1678"/>
  <c r="AG1677"/>
  <c r="AB1677"/>
  <c r="X1677"/>
  <c r="V1677"/>
  <c r="S1677"/>
  <c r="M1677"/>
  <c r="AG1676"/>
  <c r="X1676"/>
  <c r="M1676"/>
  <c r="AG1675"/>
  <c r="AB1675"/>
  <c r="X1675"/>
  <c r="V1675"/>
  <c r="M1675"/>
  <c r="AG1674"/>
  <c r="X1674"/>
  <c r="M1674"/>
  <c r="AG1673"/>
  <c r="X1673"/>
  <c r="M1673"/>
  <c r="AG1672"/>
  <c r="AB1672"/>
  <c r="X1672"/>
  <c r="V1672"/>
  <c r="M1672"/>
  <c r="AG1671"/>
  <c r="X1671"/>
  <c r="M1671"/>
  <c r="AG1670"/>
  <c r="AB1670" s="1"/>
  <c r="X1670"/>
  <c r="V1670"/>
  <c r="M1670"/>
  <c r="AG1669"/>
  <c r="X1669"/>
  <c r="M1669"/>
  <c r="AG1668"/>
  <c r="X1668"/>
  <c r="M1668"/>
  <c r="AG1667"/>
  <c r="Y1667"/>
  <c r="X1667"/>
  <c r="M1667"/>
  <c r="AG1666"/>
  <c r="AB1666"/>
  <c r="X1666"/>
  <c r="V1666"/>
  <c r="M1666"/>
  <c r="AG1665"/>
  <c r="AB1665"/>
  <c r="X1665"/>
  <c r="V1665"/>
  <c r="M1665"/>
  <c r="AG1664"/>
  <c r="X1664"/>
  <c r="M1664"/>
  <c r="AG1663"/>
  <c r="X1663"/>
  <c r="M1663"/>
  <c r="AG1662"/>
  <c r="AB1662"/>
  <c r="X1662"/>
  <c r="V1662" s="1"/>
  <c r="M1662"/>
  <c r="AG1661"/>
  <c r="X1661"/>
  <c r="M1661"/>
  <c r="AG1660"/>
  <c r="X1660"/>
  <c r="M1660"/>
  <c r="AG1659"/>
  <c r="X1659"/>
  <c r="M1659"/>
  <c r="AG1658"/>
  <c r="X1658"/>
  <c r="M1658"/>
  <c r="AG1657"/>
  <c r="X1657"/>
  <c r="M1657"/>
  <c r="AG1656"/>
  <c r="X1656"/>
  <c r="S1656"/>
  <c r="M1656"/>
  <c r="AG1655"/>
  <c r="AB1655"/>
  <c r="X1655"/>
  <c r="V1655" s="1"/>
  <c r="M1655"/>
  <c r="AG1654"/>
  <c r="X1654"/>
  <c r="M1654"/>
  <c r="AG1653"/>
  <c r="X1653"/>
  <c r="M1653"/>
  <c r="AG1652"/>
  <c r="X1652"/>
  <c r="S1652"/>
  <c r="M1652"/>
  <c r="AG1651"/>
  <c r="AB1651"/>
  <c r="X1651"/>
  <c r="V1651"/>
  <c r="M1651"/>
  <c r="AG1650"/>
  <c r="X1650"/>
  <c r="M1650"/>
  <c r="AG1649"/>
  <c r="X1649"/>
  <c r="M1649"/>
  <c r="AG1648"/>
  <c r="X1648"/>
  <c r="M1648"/>
  <c r="AG1647"/>
  <c r="X1647"/>
  <c r="M1647"/>
  <c r="AG1646"/>
  <c r="AB1646"/>
  <c r="X1646"/>
  <c r="V1646"/>
  <c r="S1646"/>
  <c r="M1646"/>
  <c r="AG1645"/>
  <c r="AB1645"/>
  <c r="X1645"/>
  <c r="V1645"/>
  <c r="M1645"/>
  <c r="AG1644"/>
  <c r="X1644"/>
  <c r="M1644"/>
  <c r="AG1643"/>
  <c r="X1643"/>
  <c r="M1643"/>
  <c r="AG1642"/>
  <c r="X1642"/>
  <c r="M1642"/>
  <c r="AG1641"/>
  <c r="AB1641"/>
  <c r="X1641"/>
  <c r="V1641"/>
  <c r="M1641"/>
  <c r="AG1640"/>
  <c r="X1640"/>
  <c r="M1640"/>
  <c r="AG1639"/>
  <c r="X1639"/>
  <c r="M1639"/>
  <c r="AG1638"/>
  <c r="X1638"/>
  <c r="M1638"/>
  <c r="AG1637"/>
  <c r="X1637"/>
  <c r="M1637"/>
  <c r="AG1636"/>
  <c r="X1636"/>
  <c r="M1636"/>
  <c r="AG1635"/>
  <c r="X1635"/>
  <c r="M1635"/>
  <c r="AG1634"/>
  <c r="X1634"/>
  <c r="M1634"/>
  <c r="AG1633"/>
  <c r="X1633"/>
  <c r="M1633"/>
  <c r="AG1632"/>
  <c r="X1632"/>
  <c r="M1632"/>
  <c r="AG1631"/>
  <c r="X1631"/>
  <c r="M1631"/>
  <c r="AG1630"/>
  <c r="X1630"/>
  <c r="M1630"/>
  <c r="AG1629"/>
  <c r="X1629"/>
  <c r="M1629"/>
  <c r="AG1628"/>
  <c r="X1628"/>
  <c r="M1628"/>
  <c r="AG1627"/>
  <c r="X1627"/>
  <c r="M1627"/>
  <c r="AG1626"/>
  <c r="X1626"/>
  <c r="M1626"/>
  <c r="AG1625"/>
  <c r="X1625"/>
  <c r="M1625"/>
  <c r="AG1624"/>
  <c r="AB1624" s="1"/>
  <c r="X1624"/>
  <c r="V1624" s="1"/>
  <c r="M1624"/>
  <c r="AG1623"/>
  <c r="X1623"/>
  <c r="M1623"/>
  <c r="AG1622"/>
  <c r="X1622"/>
  <c r="M1622"/>
  <c r="AG1621"/>
  <c r="X1621"/>
  <c r="M1621"/>
  <c r="AG1620"/>
  <c r="X1620"/>
  <c r="M1620"/>
  <c r="AG1619"/>
  <c r="AA1619"/>
  <c r="X1619"/>
  <c r="U1619"/>
  <c r="M1619"/>
  <c r="AG1618"/>
  <c r="X1618"/>
  <c r="M1618"/>
  <c r="AG1617"/>
  <c r="AB1617"/>
  <c r="X1617"/>
  <c r="V1617"/>
  <c r="M1617"/>
  <c r="AG1616"/>
  <c r="X1616"/>
  <c r="M1616"/>
  <c r="AG1615"/>
  <c r="X1615"/>
  <c r="M1615"/>
  <c r="AG1614"/>
  <c r="X1614"/>
  <c r="M1614"/>
  <c r="AG1613"/>
  <c r="X1613"/>
  <c r="M1613"/>
  <c r="AG1612"/>
  <c r="X1612"/>
  <c r="M1612"/>
  <c r="AG1611"/>
  <c r="X1611"/>
  <c r="M1611"/>
  <c r="AG1610"/>
  <c r="AB1610"/>
  <c r="X1610"/>
  <c r="V1610" s="1"/>
  <c r="M1610"/>
  <c r="AG1609"/>
  <c r="X1609"/>
  <c r="M1609"/>
  <c r="AG1608"/>
  <c r="X1608"/>
  <c r="M1608"/>
  <c r="AG1607"/>
  <c r="X1607"/>
  <c r="M1607"/>
  <c r="AG1606"/>
  <c r="X1606"/>
  <c r="M1606"/>
  <c r="AG1605"/>
  <c r="AA1605"/>
  <c r="X1605"/>
  <c r="U1605"/>
  <c r="M1605"/>
  <c r="AG1604"/>
  <c r="AB1604" s="1"/>
  <c r="X1604"/>
  <c r="V1604" s="1"/>
  <c r="M1604"/>
  <c r="AG1603"/>
  <c r="X1603"/>
  <c r="M1603"/>
  <c r="AG1602"/>
  <c r="Y1602"/>
  <c r="X1602"/>
  <c r="S1602"/>
  <c r="M1602"/>
  <c r="AG1601"/>
  <c r="AB1601" s="1"/>
  <c r="X1601"/>
  <c r="V1601"/>
  <c r="M1601"/>
  <c r="AG1600"/>
  <c r="Y1600"/>
  <c r="X1600"/>
  <c r="M1600"/>
  <c r="AG1599"/>
  <c r="X1599"/>
  <c r="M1599"/>
  <c r="AG1598"/>
  <c r="AB1598"/>
  <c r="X1598"/>
  <c r="V1598"/>
  <c r="M1598"/>
  <c r="AG1597"/>
  <c r="X1597"/>
  <c r="M1597"/>
  <c r="AG1596"/>
  <c r="X1596"/>
  <c r="V1596" s="1"/>
  <c r="M1596"/>
  <c r="AG1595"/>
  <c r="X1595"/>
  <c r="U1595"/>
  <c r="M1595"/>
  <c r="AG1594"/>
  <c r="X1594"/>
  <c r="S1594"/>
  <c r="M1594"/>
  <c r="AG1593"/>
  <c r="AB1593" s="1"/>
  <c r="X1593"/>
  <c r="V1593" s="1"/>
  <c r="M1593"/>
  <c r="AG1592"/>
  <c r="X1592"/>
  <c r="S1592"/>
  <c r="M1592"/>
  <c r="AG1591"/>
  <c r="AA1591"/>
  <c r="X1591"/>
  <c r="M1591"/>
  <c r="AG1590"/>
  <c r="AB1590"/>
  <c r="X1590"/>
  <c r="V1590"/>
  <c r="S1590"/>
  <c r="M1590"/>
  <c r="AG1589"/>
  <c r="X1589"/>
  <c r="M1589"/>
  <c r="AG1588"/>
  <c r="X1588"/>
  <c r="M1588"/>
  <c r="AG1587"/>
  <c r="X1587"/>
  <c r="M1587"/>
  <c r="AG1586"/>
  <c r="X1586"/>
  <c r="M1586"/>
  <c r="AG1585"/>
  <c r="X1585"/>
  <c r="M1585"/>
  <c r="AG1584"/>
  <c r="AB1584" s="1"/>
  <c r="Y1584"/>
  <c r="X1584"/>
  <c r="V1584" s="1"/>
  <c r="S1584"/>
  <c r="M1584"/>
  <c r="AG1583"/>
  <c r="X1583"/>
  <c r="M1583"/>
  <c r="AG1582"/>
  <c r="Y1582"/>
  <c r="X1582"/>
  <c r="M1582"/>
  <c r="AG1581"/>
  <c r="X1581"/>
  <c r="M1581"/>
  <c r="AG1580"/>
  <c r="X1580"/>
  <c r="M1580"/>
  <c r="AG1579"/>
  <c r="X1579"/>
  <c r="M1579"/>
  <c r="AG1578"/>
  <c r="X1578"/>
  <c r="M1578"/>
  <c r="AG1577"/>
  <c r="X1577"/>
  <c r="M1577"/>
  <c r="AG1576"/>
  <c r="Y1576"/>
  <c r="X1576"/>
  <c r="M1576"/>
  <c r="AG1575"/>
  <c r="AB1575"/>
  <c r="X1575"/>
  <c r="V1575" s="1"/>
  <c r="M1575"/>
  <c r="AG1574"/>
  <c r="X1574"/>
  <c r="M1574"/>
  <c r="AG1573"/>
  <c r="X1573"/>
  <c r="M1573"/>
  <c r="AG1572"/>
  <c r="Y1572"/>
  <c r="X1572"/>
  <c r="S1572"/>
  <c r="M1572"/>
  <c r="I1572"/>
  <c r="AG1571"/>
  <c r="X1571"/>
  <c r="V1571" s="1"/>
  <c r="M1571"/>
  <c r="AG1570"/>
  <c r="X1570"/>
  <c r="M1570"/>
  <c r="AG1569"/>
  <c r="X1569"/>
  <c r="M1569"/>
  <c r="AG1568"/>
  <c r="X1568"/>
  <c r="M1568"/>
  <c r="AG1567"/>
  <c r="X1567"/>
  <c r="S1567"/>
  <c r="M1567"/>
  <c r="AG1566"/>
  <c r="AB1566"/>
  <c r="X1566"/>
  <c r="V1566"/>
  <c r="M1566"/>
  <c r="AG1565"/>
  <c r="X1565"/>
  <c r="M1565"/>
  <c r="AG1564"/>
  <c r="X1564"/>
  <c r="M1564"/>
  <c r="AG1563"/>
  <c r="X1563"/>
  <c r="M1563"/>
  <c r="AG1562"/>
  <c r="X1562"/>
  <c r="M1562"/>
  <c r="AG1561"/>
  <c r="X1561"/>
  <c r="M1561"/>
  <c r="AG1560"/>
  <c r="AB1560"/>
  <c r="X1560"/>
  <c r="V1560"/>
  <c r="AG1559"/>
  <c r="X1559"/>
  <c r="M1559"/>
  <c r="AG1558"/>
  <c r="X1558"/>
  <c r="M1558"/>
  <c r="AG1557"/>
  <c r="X1557"/>
  <c r="M1557"/>
  <c r="AG1556"/>
  <c r="X1556"/>
  <c r="M1556"/>
  <c r="AG1555"/>
  <c r="X1555"/>
  <c r="M1555"/>
  <c r="AG1554"/>
  <c r="X1554"/>
  <c r="M1554"/>
  <c r="AG1553"/>
  <c r="X1553"/>
  <c r="M1553"/>
  <c r="AG1552"/>
  <c r="AB1552"/>
  <c r="X1552"/>
  <c r="V1552"/>
  <c r="M1552"/>
  <c r="AG1551"/>
  <c r="X1551"/>
  <c r="M1551"/>
  <c r="AG1550"/>
  <c r="AB1550"/>
  <c r="X1550"/>
  <c r="V1550"/>
  <c r="M1550"/>
  <c r="AG1549"/>
  <c r="X1549"/>
  <c r="M1549"/>
  <c r="AG1548"/>
  <c r="X1548"/>
  <c r="M1548"/>
  <c r="AG1547"/>
  <c r="X1547"/>
  <c r="M1547"/>
  <c r="AG1546"/>
  <c r="AB1546"/>
  <c r="X1546"/>
  <c r="V1546"/>
  <c r="M1546"/>
  <c r="AG1545"/>
  <c r="X1545"/>
  <c r="M1545"/>
  <c r="AG1544"/>
  <c r="X1544"/>
  <c r="M1544"/>
  <c r="AG1543"/>
  <c r="X1543"/>
  <c r="M1543"/>
  <c r="AG1542"/>
  <c r="AB1542"/>
  <c r="X1542"/>
  <c r="V1542" s="1"/>
  <c r="M1542"/>
  <c r="AG1541"/>
  <c r="X1541"/>
  <c r="M1541"/>
  <c r="AG1540"/>
  <c r="X1540"/>
  <c r="M1540"/>
  <c r="AG1539"/>
  <c r="X1539"/>
  <c r="S1539"/>
  <c r="M1539"/>
  <c r="AG1538"/>
  <c r="X1538"/>
  <c r="M1538"/>
  <c r="AG1537"/>
  <c r="X1537"/>
  <c r="M1537"/>
  <c r="AG1536"/>
  <c r="X1536"/>
  <c r="M1536"/>
  <c r="AG1535"/>
  <c r="X1535"/>
  <c r="M1535"/>
  <c r="AG1534"/>
  <c r="AB1534"/>
  <c r="X1534"/>
  <c r="V1534"/>
  <c r="S1534"/>
  <c r="M1534"/>
  <c r="AG1533"/>
  <c r="X1533"/>
  <c r="M1533"/>
  <c r="AG1532"/>
  <c r="X1532"/>
  <c r="M1532"/>
  <c r="AG1531"/>
  <c r="X1531"/>
  <c r="M1531"/>
  <c r="AG1530"/>
  <c r="X1530"/>
  <c r="M1530"/>
  <c r="AG1529"/>
  <c r="X1529"/>
  <c r="M1529"/>
  <c r="AG1528"/>
  <c r="X1528"/>
  <c r="M1528"/>
  <c r="AG1527"/>
  <c r="AB1527"/>
  <c r="X1527"/>
  <c r="V1527"/>
  <c r="M1527"/>
  <c r="AG1526"/>
  <c r="X1526"/>
  <c r="M1526"/>
  <c r="AG1525"/>
  <c r="X1525"/>
  <c r="M1525"/>
  <c r="AG1524"/>
  <c r="X1524"/>
  <c r="M1524"/>
  <c r="AG1523"/>
  <c r="AB1523"/>
  <c r="X1523"/>
  <c r="V1523"/>
  <c r="M1523"/>
  <c r="AG1522"/>
  <c r="X1522"/>
  <c r="M1522"/>
  <c r="AG1521"/>
  <c r="X1521"/>
  <c r="M1521"/>
  <c r="AG1520"/>
  <c r="X1520"/>
  <c r="M1520"/>
  <c r="AG1519"/>
  <c r="X1519"/>
  <c r="M1519"/>
  <c r="AG1518"/>
  <c r="X1518"/>
  <c r="M1518"/>
  <c r="AG1517"/>
  <c r="X1517"/>
  <c r="M1517"/>
  <c r="AG1516"/>
  <c r="X1516"/>
  <c r="M1516"/>
  <c r="AG1515"/>
  <c r="X1515"/>
  <c r="M1515"/>
  <c r="AG1514"/>
  <c r="X1514"/>
  <c r="M1514"/>
  <c r="AG1513"/>
  <c r="X1513"/>
  <c r="M1513"/>
  <c r="AG1512"/>
  <c r="X1512"/>
  <c r="M1512"/>
  <c r="AG1511"/>
  <c r="X1511"/>
  <c r="M1511"/>
  <c r="AG1510"/>
  <c r="AB1510"/>
  <c r="X1510"/>
  <c r="V1510"/>
  <c r="M1510"/>
  <c r="AG1509"/>
  <c r="X1509"/>
  <c r="M1509"/>
  <c r="AG1508"/>
  <c r="AB1508"/>
  <c r="X1508"/>
  <c r="V1508"/>
  <c r="M1508"/>
  <c r="AG1507"/>
  <c r="X1507"/>
  <c r="M1507"/>
  <c r="AG1506"/>
  <c r="X1506"/>
  <c r="M1506"/>
  <c r="AG1505"/>
  <c r="X1505"/>
  <c r="M1505"/>
  <c r="AG1504"/>
  <c r="X1504"/>
  <c r="M1504"/>
  <c r="AG1503"/>
  <c r="X1503"/>
  <c r="M1503"/>
  <c r="AG1502"/>
  <c r="X1502"/>
  <c r="M1502"/>
  <c r="AG1501"/>
  <c r="AB1501"/>
  <c r="X1501"/>
  <c r="V1501"/>
  <c r="M1501"/>
  <c r="AG1500"/>
  <c r="X1500"/>
  <c r="M1500"/>
  <c r="AG1499"/>
  <c r="X1499"/>
  <c r="M1499"/>
  <c r="AG1498"/>
  <c r="X1498"/>
  <c r="M1498"/>
  <c r="AG1497"/>
  <c r="X1497"/>
  <c r="M1497"/>
  <c r="AG1496"/>
  <c r="AB1496"/>
  <c r="X1496"/>
  <c r="V1496"/>
  <c r="M1496"/>
  <c r="AG1495"/>
  <c r="X1495"/>
  <c r="M1495"/>
  <c r="AG1494"/>
  <c r="X1494"/>
  <c r="M1494"/>
  <c r="AG1493"/>
  <c r="X1493"/>
  <c r="M1493"/>
  <c r="AG1492"/>
  <c r="X1492"/>
  <c r="M1492"/>
  <c r="AG1491"/>
  <c r="X1491"/>
  <c r="M1491"/>
  <c r="AG1490"/>
  <c r="AB1490"/>
  <c r="X1490"/>
  <c r="V1490"/>
  <c r="M1490"/>
  <c r="I1490"/>
  <c r="AG1489"/>
  <c r="X1489"/>
  <c r="M1489"/>
  <c r="AG1488"/>
  <c r="X1488"/>
  <c r="M1488"/>
  <c r="AG1487"/>
  <c r="AB1487"/>
  <c r="X1487"/>
  <c r="V1487"/>
  <c r="M1487"/>
  <c r="AG1486"/>
  <c r="X1486"/>
  <c r="M1486"/>
  <c r="AG1485"/>
  <c r="X1485"/>
  <c r="M1485"/>
  <c r="AG1484"/>
  <c r="X1484"/>
  <c r="M1484"/>
  <c r="AG1483"/>
  <c r="X1483"/>
  <c r="M1483"/>
  <c r="AG1482"/>
  <c r="X1482"/>
  <c r="M1482"/>
  <c r="AG1481"/>
  <c r="X1481"/>
  <c r="M1481"/>
  <c r="AG1480"/>
  <c r="X1480"/>
  <c r="M1480"/>
  <c r="AG1479"/>
  <c r="X1479"/>
  <c r="M1479"/>
  <c r="AG1478"/>
  <c r="X1478"/>
  <c r="M1478"/>
  <c r="AG1477"/>
  <c r="X1477"/>
  <c r="M1477"/>
  <c r="AG1476"/>
  <c r="X1476"/>
  <c r="M1476"/>
  <c r="AG1475"/>
  <c r="AB1475"/>
  <c r="X1475"/>
  <c r="V1475"/>
  <c r="M1475"/>
  <c r="AG1474"/>
  <c r="X1474"/>
  <c r="M1474"/>
  <c r="AG1473"/>
  <c r="X1473"/>
  <c r="M1473"/>
  <c r="AG1472"/>
  <c r="AB1472"/>
  <c r="X1472"/>
  <c r="V1472"/>
  <c r="M1472"/>
  <c r="I1472"/>
  <c r="AG1471"/>
  <c r="X1471"/>
  <c r="M1471"/>
  <c r="AG1470"/>
  <c r="X1470"/>
  <c r="M1470"/>
  <c r="AG1469"/>
  <c r="X1469"/>
  <c r="M1469"/>
  <c r="AG1468"/>
  <c r="X1468"/>
  <c r="M1468"/>
  <c r="AG1467"/>
  <c r="AB1467"/>
  <c r="X1467"/>
  <c r="V1467"/>
  <c r="M1467"/>
  <c r="AG1466"/>
  <c r="X1466"/>
  <c r="M1466"/>
  <c r="AG1465"/>
  <c r="X1465"/>
  <c r="M1465"/>
  <c r="AG1464"/>
  <c r="X1464"/>
  <c r="M1464"/>
  <c r="AG1463"/>
  <c r="X1463"/>
  <c r="M1463"/>
  <c r="AG1462"/>
  <c r="AB1462"/>
  <c r="X1462"/>
  <c r="V1462"/>
  <c r="M1462"/>
  <c r="AG1461"/>
  <c r="X1461"/>
  <c r="M1461"/>
  <c r="AG1460"/>
  <c r="X1460"/>
  <c r="M1460"/>
  <c r="AG1459"/>
  <c r="X1459"/>
  <c r="M1459"/>
  <c r="AG1458"/>
  <c r="X1458"/>
  <c r="M1458"/>
  <c r="AG1457"/>
  <c r="AB1457"/>
  <c r="X1457"/>
  <c r="V1457"/>
  <c r="M1457"/>
  <c r="AG1456"/>
  <c r="X1456"/>
  <c r="M1456"/>
  <c r="AG1455"/>
  <c r="AB1455" s="1"/>
  <c r="X1455"/>
  <c r="V1455"/>
  <c r="M1455"/>
  <c r="AG1454"/>
  <c r="Y1454"/>
  <c r="X1454"/>
  <c r="M1454"/>
  <c r="AG1453"/>
  <c r="X1453"/>
  <c r="M1453"/>
  <c r="AG1452"/>
  <c r="AB1452"/>
  <c r="X1452"/>
  <c r="V1452"/>
  <c r="M1452"/>
  <c r="AG1451"/>
  <c r="X1451"/>
  <c r="M1451"/>
  <c r="AB1450"/>
  <c r="V1450"/>
  <c r="M1450"/>
  <c r="M1449"/>
  <c r="AG1448"/>
  <c r="X1448"/>
  <c r="M1448"/>
  <c r="AG1447"/>
  <c r="X1447"/>
  <c r="M1447"/>
  <c r="AG1446"/>
  <c r="X1446"/>
  <c r="M1446"/>
  <c r="AG1445"/>
  <c r="AB1445"/>
  <c r="X1445"/>
  <c r="V1445"/>
  <c r="M1445"/>
  <c r="AG1444"/>
  <c r="X1444"/>
  <c r="M1444"/>
  <c r="AG1443"/>
  <c r="X1443"/>
  <c r="M1443"/>
  <c r="AG1442"/>
  <c r="X1442"/>
  <c r="M1442"/>
  <c r="AG1441"/>
  <c r="AB1441"/>
  <c r="X1441"/>
  <c r="V1441"/>
  <c r="M1441"/>
  <c r="AG1440"/>
  <c r="X1440"/>
  <c r="M1440"/>
  <c r="AG1439"/>
  <c r="X1439"/>
  <c r="M1439"/>
  <c r="AG1438"/>
  <c r="X1438"/>
  <c r="M1438"/>
  <c r="AG1437"/>
  <c r="X1437"/>
  <c r="M1437"/>
  <c r="AG1436"/>
  <c r="AB1436"/>
  <c r="X1436"/>
  <c r="V1436"/>
  <c r="M1436"/>
  <c r="AG1435"/>
  <c r="X1435"/>
  <c r="M1435"/>
  <c r="AG1434"/>
  <c r="X1434"/>
  <c r="S1434"/>
  <c r="M1434"/>
  <c r="AG1433"/>
  <c r="X1433"/>
  <c r="S1433"/>
  <c r="M1433"/>
  <c r="AG1432"/>
  <c r="X1432"/>
  <c r="M1432"/>
  <c r="AG1431"/>
  <c r="X1431"/>
  <c r="S1431"/>
  <c r="M1431"/>
  <c r="AG1430"/>
  <c r="X1430"/>
  <c r="M1430"/>
  <c r="AG1429"/>
  <c r="X1429"/>
  <c r="M1429"/>
  <c r="AG1428"/>
  <c r="AB1428" s="1"/>
  <c r="X1428"/>
  <c r="V1428"/>
  <c r="M1428"/>
  <c r="AG1427"/>
  <c r="Y1427"/>
  <c r="X1427"/>
  <c r="M1427"/>
  <c r="AG1426"/>
  <c r="X1426"/>
  <c r="M1426"/>
  <c r="AG1425"/>
  <c r="X1425"/>
  <c r="M1425"/>
  <c r="AG1424"/>
  <c r="X1424"/>
  <c r="M1424"/>
  <c r="AG1423"/>
  <c r="AB1423"/>
  <c r="X1423"/>
  <c r="V1423" s="1"/>
  <c r="M1423"/>
  <c r="AG1422"/>
  <c r="AB1422"/>
  <c r="V1422"/>
  <c r="S1422"/>
  <c r="M1422"/>
  <c r="AG1421"/>
  <c r="M1421"/>
  <c r="AG1420"/>
  <c r="M1420"/>
  <c r="AG1419"/>
  <c r="M1419"/>
  <c r="AG1418"/>
  <c r="M1418"/>
  <c r="AG1417"/>
  <c r="M1417"/>
  <c r="AG1416"/>
  <c r="M1416"/>
  <c r="AG1415"/>
  <c r="M1415"/>
  <c r="AG1414"/>
  <c r="M1414"/>
  <c r="AG1413"/>
  <c r="M1413"/>
  <c r="AG1412"/>
  <c r="M1412"/>
  <c r="AG1411"/>
  <c r="AB1411"/>
  <c r="X1411"/>
  <c r="V1411" s="1"/>
  <c r="M1411"/>
  <c r="AG1410"/>
  <c r="X1410"/>
  <c r="M1410"/>
  <c r="AG1409"/>
  <c r="X1409"/>
  <c r="M1409"/>
  <c r="AG1408"/>
  <c r="X1408"/>
  <c r="S1408"/>
  <c r="M1408"/>
  <c r="AG1407"/>
  <c r="X1407"/>
  <c r="M1407"/>
  <c r="AG1406"/>
  <c r="X1406"/>
  <c r="S1406"/>
  <c r="M1406"/>
  <c r="AG1405"/>
  <c r="X1405"/>
  <c r="M1405"/>
  <c r="AG1404"/>
  <c r="AB1404" s="1"/>
  <c r="AA1404"/>
  <c r="X1404"/>
  <c r="V1404"/>
  <c r="S1404"/>
  <c r="M1404"/>
  <c r="AG1403"/>
  <c r="Y1403"/>
  <c r="X1403"/>
  <c r="U1403"/>
  <c r="M1403"/>
  <c r="AG1402"/>
  <c r="AB1402"/>
  <c r="X1402"/>
  <c r="V1402"/>
  <c r="S1402"/>
  <c r="M1402"/>
  <c r="AG1401"/>
  <c r="X1401"/>
  <c r="M1401"/>
  <c r="AG1400"/>
  <c r="X1400"/>
  <c r="M1400"/>
  <c r="AG1399"/>
  <c r="X1399"/>
  <c r="M1399"/>
  <c r="AG1398"/>
  <c r="X1398"/>
  <c r="M1398"/>
  <c r="AG1397"/>
  <c r="AG1396"/>
  <c r="AB1396"/>
  <c r="X1396"/>
  <c r="V1396"/>
  <c r="M1396"/>
  <c r="AG1395"/>
  <c r="X1395"/>
  <c r="M1395"/>
  <c r="AG1394"/>
  <c r="X1394"/>
  <c r="M1394"/>
  <c r="AG1393"/>
  <c r="X1393"/>
  <c r="M1393"/>
  <c r="AG1392"/>
  <c r="X1392"/>
  <c r="M1392"/>
  <c r="AG1391"/>
  <c r="AB1391"/>
  <c r="X1391"/>
  <c r="V1391"/>
  <c r="M1391"/>
  <c r="AG1390"/>
  <c r="X1390"/>
  <c r="M1390"/>
  <c r="AG1389"/>
  <c r="X1389"/>
  <c r="M1389"/>
  <c r="AG1388"/>
  <c r="X1388"/>
  <c r="M1388"/>
  <c r="AG1387"/>
  <c r="X1387"/>
  <c r="M1387"/>
  <c r="AG1386"/>
  <c r="X1386"/>
  <c r="M1386"/>
  <c r="AG1385"/>
  <c r="X1385"/>
  <c r="M1385"/>
  <c r="AG1384"/>
  <c r="X1384"/>
  <c r="M1384"/>
  <c r="AG1383"/>
  <c r="AB1383"/>
  <c r="Y1383"/>
  <c r="X1383"/>
  <c r="V1383"/>
  <c r="M1383"/>
  <c r="AG1382"/>
  <c r="AB1382"/>
  <c r="X1382"/>
  <c r="V1382"/>
  <c r="M1382"/>
  <c r="AG1381"/>
  <c r="X1381"/>
  <c r="M1381"/>
  <c r="AG1380"/>
  <c r="AB1380"/>
  <c r="X1380"/>
  <c r="V1380"/>
  <c r="M1380"/>
  <c r="AG1379"/>
  <c r="X1379"/>
  <c r="M1379"/>
  <c r="AG1378"/>
  <c r="X1378"/>
  <c r="M1378"/>
  <c r="AG1377"/>
  <c r="X1377"/>
  <c r="M1377"/>
  <c r="AG1376"/>
  <c r="X1376"/>
  <c r="M1376"/>
  <c r="AG1375"/>
  <c r="AB1375"/>
  <c r="X1375"/>
  <c r="V1375"/>
  <c r="M1375"/>
  <c r="AG1374"/>
  <c r="X1374"/>
  <c r="M1374"/>
  <c r="AG1373"/>
  <c r="X1373"/>
  <c r="M1373"/>
  <c r="AG1372"/>
  <c r="X1372"/>
  <c r="M1372"/>
  <c r="AG1371"/>
  <c r="X1371"/>
  <c r="M1371"/>
  <c r="AG1370"/>
  <c r="X1370"/>
  <c r="M1370"/>
  <c r="AG1369"/>
  <c r="AB1369"/>
  <c r="X1369"/>
  <c r="V1369"/>
  <c r="M1369"/>
  <c r="AG1368"/>
  <c r="X1368"/>
  <c r="M1368"/>
  <c r="AG1367"/>
  <c r="X1367"/>
  <c r="M1367"/>
  <c r="AG1366"/>
  <c r="X1366"/>
  <c r="M1366"/>
  <c r="AG1365"/>
  <c r="AB1365"/>
  <c r="X1365"/>
  <c r="V1365"/>
  <c r="M1365"/>
  <c r="AG1364"/>
  <c r="X1364"/>
  <c r="M1364"/>
  <c r="AG1363"/>
  <c r="X1363"/>
  <c r="M1363"/>
  <c r="AG1362"/>
  <c r="X1362"/>
  <c r="M1362"/>
  <c r="AG1361"/>
  <c r="X1361"/>
  <c r="M1361"/>
  <c r="AG1360"/>
  <c r="AB1360"/>
  <c r="X1360"/>
  <c r="V1360"/>
  <c r="M1360"/>
  <c r="AG1359"/>
  <c r="X1359"/>
  <c r="M1359"/>
  <c r="AG1358"/>
  <c r="X1358"/>
  <c r="M1358"/>
  <c r="AG1357"/>
  <c r="AB1357"/>
  <c r="X1357"/>
  <c r="V1357"/>
  <c r="M1357"/>
  <c r="AG1356"/>
  <c r="X1356"/>
  <c r="M1356"/>
  <c r="AG1355"/>
  <c r="AB1355"/>
  <c r="X1355"/>
  <c r="V1355"/>
  <c r="M1355"/>
  <c r="AG1354"/>
  <c r="X1354"/>
  <c r="M1354"/>
  <c r="AG1353"/>
  <c r="X1353"/>
  <c r="M1353"/>
  <c r="AG1352"/>
  <c r="X1352"/>
  <c r="M1352"/>
  <c r="AG1351"/>
  <c r="AB1351"/>
  <c r="X1351"/>
  <c r="V1351" s="1"/>
  <c r="M1351"/>
  <c r="AG1350"/>
  <c r="X1350"/>
  <c r="M1350"/>
  <c r="AG1349"/>
  <c r="Y1349"/>
  <c r="X1349"/>
  <c r="M1349"/>
  <c r="AG1348"/>
  <c r="X1348"/>
  <c r="S1348"/>
  <c r="M1348"/>
  <c r="AG1347"/>
  <c r="X1347"/>
  <c r="M1347"/>
  <c r="AG1346"/>
  <c r="X1346"/>
  <c r="M1346"/>
  <c r="AG1345"/>
  <c r="Y1345"/>
  <c r="X1345"/>
  <c r="M1345"/>
  <c r="AG1344"/>
  <c r="Y1344"/>
  <c r="X1344"/>
  <c r="M1344"/>
  <c r="AG1343"/>
  <c r="X1343"/>
  <c r="S1343"/>
  <c r="M1343"/>
  <c r="AG1342"/>
  <c r="X1342"/>
  <c r="M1342"/>
  <c r="AG1341"/>
  <c r="X1341"/>
  <c r="M1341"/>
  <c r="AG1340"/>
  <c r="X1340"/>
  <c r="M1340"/>
  <c r="AG1339"/>
  <c r="X1339"/>
  <c r="M1339"/>
  <c r="AG1338"/>
  <c r="X1338"/>
  <c r="M1338"/>
  <c r="AG1337"/>
  <c r="AB1337"/>
  <c r="X1337"/>
  <c r="V1337"/>
  <c r="M1337"/>
  <c r="AG1336"/>
  <c r="AB1336"/>
  <c r="X1336"/>
  <c r="V1336"/>
  <c r="M1336"/>
  <c r="AG1335"/>
  <c r="X1335"/>
  <c r="M1335"/>
  <c r="AG1334"/>
  <c r="X1334"/>
  <c r="M1334"/>
  <c r="AG1333"/>
  <c r="AB1333"/>
  <c r="X1333"/>
  <c r="V1333"/>
  <c r="M1333"/>
  <c r="AG1332"/>
  <c r="X1332"/>
  <c r="M1332"/>
  <c r="AG1331"/>
  <c r="X1331"/>
  <c r="M1331"/>
  <c r="AG1330"/>
  <c r="X1330"/>
  <c r="M1330"/>
  <c r="AG1329"/>
  <c r="X1329"/>
  <c r="M1329"/>
  <c r="AG1328"/>
  <c r="X1328"/>
  <c r="M1328"/>
  <c r="AG1327"/>
  <c r="X1327"/>
  <c r="M1327"/>
  <c r="AG1326"/>
  <c r="X1326"/>
  <c r="M1326"/>
  <c r="AG1325"/>
  <c r="X1325"/>
  <c r="M1325"/>
  <c r="AG1324"/>
  <c r="AB1324"/>
  <c r="X1324"/>
  <c r="V1324"/>
  <c r="M1324"/>
  <c r="I1324"/>
  <c r="AG1323"/>
  <c r="X1323"/>
  <c r="M1323"/>
  <c r="AG1322"/>
  <c r="X1322"/>
  <c r="M1322"/>
  <c r="AG1321"/>
  <c r="X1321"/>
  <c r="M1321"/>
  <c r="AG1320"/>
  <c r="AB1320" s="1"/>
  <c r="X1320"/>
  <c r="V1320"/>
  <c r="M1320"/>
  <c r="AG1319"/>
  <c r="X1319"/>
  <c r="M1319"/>
  <c r="AG1318"/>
  <c r="X1318"/>
  <c r="M1318"/>
  <c r="AG1317"/>
  <c r="X1317"/>
  <c r="M1317"/>
  <c r="AG1316"/>
  <c r="X1316"/>
  <c r="U1316"/>
  <c r="M1316"/>
  <c r="AG1315"/>
  <c r="X1315"/>
  <c r="M1315"/>
  <c r="AG1314"/>
  <c r="Y1314"/>
  <c r="X1314"/>
  <c r="M1314"/>
  <c r="AG1313"/>
  <c r="AB1313"/>
  <c r="X1313"/>
  <c r="V1313"/>
  <c r="S1313"/>
  <c r="M1313"/>
  <c r="AG1312"/>
  <c r="X1312"/>
  <c r="M1312"/>
  <c r="AG1311"/>
  <c r="X1311"/>
  <c r="M1311"/>
  <c r="AG1310"/>
  <c r="X1310"/>
  <c r="M1310"/>
  <c r="AG1309"/>
  <c r="X1309"/>
  <c r="M1309"/>
  <c r="AG1308"/>
  <c r="AB1308"/>
  <c r="X1308"/>
  <c r="V1308"/>
  <c r="M1308"/>
  <c r="AG1307"/>
  <c r="X1307"/>
  <c r="M1307"/>
  <c r="AG1306"/>
  <c r="X1306"/>
  <c r="M1306"/>
  <c r="AG1305"/>
  <c r="X1305"/>
  <c r="M1305"/>
  <c r="AG1304"/>
  <c r="AB1304" s="1"/>
  <c r="X1304"/>
  <c r="V1304"/>
  <c r="M1304"/>
  <c r="AG1303"/>
  <c r="Y1303"/>
  <c r="X1303"/>
  <c r="M1303"/>
  <c r="AG1302"/>
  <c r="AB1302"/>
  <c r="X1302"/>
  <c r="V1302"/>
  <c r="M1302"/>
  <c r="I1302"/>
  <c r="AG1301"/>
  <c r="X1301"/>
  <c r="M1301"/>
  <c r="AG1300"/>
  <c r="X1300"/>
  <c r="M1300"/>
  <c r="AG1299"/>
  <c r="AB1299"/>
  <c r="X1299"/>
  <c r="V1299"/>
  <c r="M1299"/>
  <c r="AG1298"/>
  <c r="X1298"/>
  <c r="M1298"/>
  <c r="AG1297"/>
  <c r="X1297"/>
  <c r="M1297"/>
  <c r="AG1296"/>
  <c r="X1296"/>
  <c r="M1296"/>
  <c r="AG1295"/>
  <c r="X1295"/>
  <c r="M1295"/>
  <c r="AG1294"/>
  <c r="X1294"/>
  <c r="M1294"/>
  <c r="AG1293"/>
  <c r="X1293"/>
  <c r="M1293"/>
  <c r="AG1292"/>
  <c r="X1292"/>
  <c r="M1292"/>
  <c r="AG1291"/>
  <c r="X1291"/>
  <c r="M1291"/>
  <c r="AG1290"/>
  <c r="X1290"/>
  <c r="M1290"/>
  <c r="AG1289"/>
  <c r="X1289"/>
  <c r="M1289"/>
  <c r="AG1288"/>
  <c r="X1288"/>
  <c r="M1288"/>
  <c r="AG1287"/>
  <c r="X1287"/>
  <c r="M1287"/>
  <c r="AG1286"/>
  <c r="AB1286"/>
  <c r="X1286"/>
  <c r="V1286"/>
  <c r="M1286"/>
  <c r="AG1285"/>
  <c r="X1285"/>
  <c r="M1285"/>
  <c r="AG1284"/>
  <c r="X1284"/>
  <c r="M1284"/>
  <c r="AG1283"/>
  <c r="X1283"/>
  <c r="M1283"/>
  <c r="AG1282"/>
  <c r="AB1282"/>
  <c r="X1282"/>
  <c r="V1282"/>
  <c r="M1282"/>
  <c r="AG1281"/>
  <c r="X1281"/>
  <c r="M1281"/>
  <c r="AG1280"/>
  <c r="X1280"/>
  <c r="M1280"/>
  <c r="AG1279"/>
  <c r="X1279"/>
  <c r="M1279"/>
  <c r="AG1278"/>
  <c r="AB1278"/>
  <c r="X1278"/>
  <c r="V1278"/>
  <c r="M1278"/>
  <c r="AG1277"/>
  <c r="X1277"/>
  <c r="M1277"/>
  <c r="AG1276"/>
  <c r="X1276"/>
  <c r="M1276"/>
  <c r="AG1275"/>
  <c r="X1275"/>
  <c r="M1275"/>
  <c r="AG1274"/>
  <c r="X1274"/>
  <c r="M1274"/>
  <c r="AG1273"/>
  <c r="X1273"/>
  <c r="M1273"/>
  <c r="AG1272"/>
  <c r="AB1272"/>
  <c r="X1272"/>
  <c r="V1272"/>
  <c r="M1272"/>
  <c r="AG1271"/>
  <c r="AB1271"/>
  <c r="X1271"/>
  <c r="V1271"/>
  <c r="M1271"/>
  <c r="AG1270"/>
  <c r="X1270"/>
  <c r="M1270"/>
  <c r="AG1269"/>
  <c r="X1269"/>
  <c r="M1269"/>
  <c r="AG1268"/>
  <c r="X1268"/>
  <c r="M1268"/>
  <c r="AG1267"/>
  <c r="X1267"/>
  <c r="M1267"/>
  <c r="AG1266"/>
  <c r="X1266"/>
  <c r="M1266"/>
  <c r="AG1265"/>
  <c r="X1265"/>
  <c r="M1265"/>
  <c r="AG1264"/>
  <c r="X1264"/>
  <c r="M1264"/>
  <c r="AG1263"/>
  <c r="X1263"/>
  <c r="V1263"/>
  <c r="M1263"/>
  <c r="AG1262"/>
  <c r="X1262"/>
  <c r="M1262"/>
  <c r="AG1261"/>
  <c r="X1261"/>
  <c r="M1261"/>
  <c r="AG1260"/>
  <c r="AB1260"/>
  <c r="X1260"/>
  <c r="V1260"/>
  <c r="M1260"/>
  <c r="AG1259"/>
  <c r="X1259"/>
  <c r="M1259"/>
  <c r="AG1258"/>
  <c r="X1258"/>
  <c r="M1258"/>
  <c r="AG1257"/>
  <c r="X1257"/>
  <c r="M1257"/>
  <c r="AG1256"/>
  <c r="AB1256"/>
  <c r="X1256"/>
  <c r="V1256"/>
  <c r="M1256"/>
  <c r="AG1255"/>
  <c r="X1255"/>
  <c r="M1255"/>
  <c r="AG1254"/>
  <c r="X1254"/>
  <c r="M1254"/>
  <c r="AG1253"/>
  <c r="X1253"/>
  <c r="M1253"/>
  <c r="AG1252"/>
  <c r="X1252"/>
  <c r="M1252"/>
  <c r="AG1251"/>
  <c r="X1251"/>
  <c r="M1251"/>
  <c r="AG1250"/>
  <c r="X1250"/>
  <c r="M1250"/>
  <c r="AG1249"/>
  <c r="X1249"/>
  <c r="M1249"/>
  <c r="AG1248"/>
  <c r="X1248"/>
  <c r="M1248"/>
  <c r="AG1247"/>
  <c r="X1247"/>
  <c r="M1247"/>
  <c r="AG1246"/>
  <c r="X1246"/>
  <c r="M1246"/>
  <c r="AG1245"/>
  <c r="X1245"/>
  <c r="M1245"/>
  <c r="AG1244"/>
  <c r="X1244"/>
  <c r="M1244"/>
  <c r="AG1243"/>
  <c r="X1243"/>
  <c r="M1243"/>
  <c r="AG1242"/>
  <c r="X1242"/>
  <c r="M1242"/>
  <c r="AG1241"/>
  <c r="AB1241"/>
  <c r="X1241"/>
  <c r="V1241"/>
  <c r="M1241"/>
  <c r="AG1240"/>
  <c r="X1240"/>
  <c r="M1240"/>
  <c r="AG1239"/>
  <c r="X1239"/>
  <c r="M1239"/>
  <c r="AG1238"/>
  <c r="X1238"/>
  <c r="M1238"/>
  <c r="AG1237"/>
  <c r="X1237"/>
  <c r="M1237"/>
  <c r="AG1236"/>
  <c r="AB1236"/>
  <c r="X1236"/>
  <c r="V1236"/>
  <c r="M1236"/>
  <c r="AG1235"/>
  <c r="X1235"/>
  <c r="M1235"/>
  <c r="AG1234"/>
  <c r="AB1234"/>
  <c r="X1234"/>
  <c r="V1234"/>
  <c r="M1234"/>
  <c r="AG1233"/>
  <c r="X1233"/>
  <c r="M1233"/>
  <c r="AG1232"/>
  <c r="X1232"/>
  <c r="M1232"/>
  <c r="AG1231"/>
  <c r="X1231"/>
  <c r="M1231"/>
  <c r="AG1230"/>
  <c r="X1230"/>
  <c r="M1230"/>
  <c r="AG1229"/>
  <c r="X1229"/>
  <c r="M1229"/>
  <c r="AG1228"/>
  <c r="X1228"/>
  <c r="M1228"/>
  <c r="AG1227"/>
  <c r="AB1227"/>
  <c r="X1227"/>
  <c r="V1227"/>
  <c r="M1227"/>
  <c r="AG1226"/>
  <c r="X1226"/>
  <c r="M1226"/>
  <c r="AG1225"/>
  <c r="X1225"/>
  <c r="M1225"/>
  <c r="AG1224"/>
  <c r="AB1224"/>
  <c r="X1224"/>
  <c r="V1224"/>
  <c r="M1224"/>
  <c r="AG1223"/>
  <c r="X1223"/>
  <c r="M1223"/>
  <c r="AG1222"/>
  <c r="X1222"/>
  <c r="M1222"/>
  <c r="AG1221"/>
  <c r="X1221"/>
  <c r="M1221"/>
  <c r="V1220"/>
  <c r="M1220"/>
  <c r="M1219"/>
  <c r="M1218"/>
  <c r="M1217"/>
  <c r="M1216"/>
  <c r="AG1215"/>
  <c r="X1215"/>
  <c r="V1215"/>
  <c r="M1215"/>
  <c r="AG1214"/>
  <c r="AB1214"/>
  <c r="X1214"/>
  <c r="V1214"/>
  <c r="M1214"/>
  <c r="AG1213"/>
  <c r="X1213"/>
  <c r="M1213"/>
  <c r="AG1212"/>
  <c r="X1212"/>
  <c r="M1212"/>
  <c r="AG1211"/>
  <c r="X1211"/>
  <c r="M1211"/>
  <c r="AG1210"/>
  <c r="X1210"/>
  <c r="AG1209"/>
  <c r="AB1209"/>
  <c r="X1209"/>
  <c r="V1209"/>
  <c r="M1209"/>
  <c r="AG1208"/>
  <c r="X1208"/>
  <c r="M1208"/>
  <c r="AG1207"/>
  <c r="X1207"/>
  <c r="M1207"/>
  <c r="AG1206"/>
  <c r="X1206"/>
  <c r="M1206"/>
  <c r="AG1205"/>
  <c r="X1205"/>
  <c r="M1205"/>
  <c r="AG1204"/>
  <c r="X1204"/>
  <c r="M1204"/>
  <c r="AG1203"/>
  <c r="X1203"/>
  <c r="M1203"/>
  <c r="AG1202"/>
  <c r="X1202"/>
  <c r="M1202"/>
  <c r="AG1201"/>
  <c r="X1201"/>
  <c r="M1201"/>
  <c r="AG1200"/>
  <c r="X1200"/>
  <c r="M1200"/>
  <c r="AG1199"/>
  <c r="X1199"/>
  <c r="AB1198"/>
  <c r="X1198"/>
  <c r="V1198"/>
  <c r="S1198"/>
  <c r="M1198"/>
  <c r="X1196"/>
  <c r="M1196"/>
  <c r="X1195"/>
  <c r="M1195"/>
  <c r="X1194"/>
  <c r="M1194"/>
  <c r="X1193"/>
  <c r="M1193"/>
  <c r="AG1192"/>
  <c r="AB1192" s="1"/>
  <c r="X1192"/>
  <c r="V1192"/>
  <c r="M1192"/>
  <c r="AG1191"/>
  <c r="X1191"/>
  <c r="M1191"/>
  <c r="AG1190"/>
  <c r="X1190"/>
  <c r="M1190"/>
  <c r="AG1189"/>
  <c r="X1189"/>
  <c r="M1189"/>
  <c r="AG1188"/>
  <c r="X1188"/>
  <c r="M1188"/>
  <c r="AG1187"/>
  <c r="X1187"/>
  <c r="M1187"/>
  <c r="AG1186"/>
  <c r="X1186"/>
  <c r="M1186"/>
  <c r="AG1185"/>
  <c r="X1185"/>
  <c r="M1185"/>
  <c r="AG1184"/>
  <c r="X1184"/>
  <c r="M1184"/>
  <c r="AG1183"/>
  <c r="X1183"/>
  <c r="M1183"/>
  <c r="AG1182"/>
  <c r="X1182"/>
  <c r="M1182"/>
  <c r="AG1181"/>
  <c r="Y1181"/>
  <c r="X1181"/>
  <c r="M1181"/>
  <c r="AG1180"/>
  <c r="X1180"/>
  <c r="M1180"/>
  <c r="AG1179"/>
  <c r="AB1179"/>
  <c r="X1179"/>
  <c r="V1179"/>
  <c r="M1179"/>
  <c r="AG1178"/>
  <c r="X1178"/>
  <c r="M1178"/>
  <c r="AG1177"/>
  <c r="X1177"/>
  <c r="M1177"/>
  <c r="AG1176"/>
  <c r="X1176"/>
  <c r="M1176"/>
  <c r="AG1175"/>
  <c r="X1175"/>
  <c r="U1175"/>
  <c r="M1175"/>
  <c r="AG1174"/>
  <c r="X1174"/>
  <c r="M1174"/>
  <c r="AG1173"/>
  <c r="X1173"/>
  <c r="M1173"/>
  <c r="AG1172"/>
  <c r="AB1172" s="1"/>
  <c r="X1172"/>
  <c r="V1172"/>
  <c r="M1172"/>
  <c r="AG1171"/>
  <c r="X1171"/>
  <c r="M1171"/>
  <c r="AG1170"/>
  <c r="Y1170"/>
  <c r="X1170"/>
  <c r="M1170"/>
  <c r="AG1169"/>
  <c r="AB1169"/>
  <c r="X1169"/>
  <c r="V1169"/>
  <c r="M1169"/>
  <c r="AG1168"/>
  <c r="X1168"/>
  <c r="M1168"/>
  <c r="AG1167"/>
  <c r="X1167"/>
  <c r="M1167"/>
  <c r="AG1166"/>
  <c r="X1166"/>
  <c r="M1166"/>
  <c r="AG1165"/>
  <c r="AB1165" s="1"/>
  <c r="X1165"/>
  <c r="V1165" s="1"/>
  <c r="M1165"/>
  <c r="AG1164"/>
  <c r="X1164"/>
  <c r="M1164"/>
  <c r="AG1163"/>
  <c r="X1163"/>
  <c r="S1163"/>
  <c r="M1163"/>
  <c r="AG1162"/>
  <c r="Y1162"/>
  <c r="X1162"/>
  <c r="M1162"/>
  <c r="AG1161"/>
  <c r="AB1161" s="1"/>
  <c r="X1161"/>
  <c r="V1161"/>
  <c r="M1161"/>
  <c r="AG1160"/>
  <c r="Y1160"/>
  <c r="X1160"/>
  <c r="M1160"/>
  <c r="AG1159"/>
  <c r="X1159"/>
  <c r="M1159"/>
  <c r="AG1158"/>
  <c r="AB1158"/>
  <c r="X1158"/>
  <c r="V1158"/>
  <c r="M1158"/>
  <c r="AG1157"/>
  <c r="X1157"/>
  <c r="M1157"/>
  <c r="AG1156"/>
  <c r="X1156"/>
  <c r="M1156"/>
  <c r="I1156"/>
  <c r="AG1155"/>
  <c r="X1155"/>
  <c r="M1155"/>
  <c r="AG1154"/>
  <c r="X1154"/>
  <c r="M1154"/>
  <c r="AG1153"/>
  <c r="X1153"/>
  <c r="M1153"/>
  <c r="AG1152"/>
  <c r="X1152"/>
  <c r="M1152"/>
  <c r="AG1151"/>
  <c r="X1151"/>
  <c r="M1151"/>
  <c r="AG1150"/>
  <c r="X1150"/>
  <c r="M1150"/>
  <c r="AG1149"/>
  <c r="X1149"/>
  <c r="M1149"/>
  <c r="AG1148"/>
  <c r="X1148"/>
  <c r="M1148"/>
  <c r="AG1147"/>
  <c r="AB1147"/>
  <c r="X1147"/>
  <c r="V1147" s="1"/>
  <c r="S1147"/>
  <c r="M1147"/>
  <c r="AG1146"/>
  <c r="X1146"/>
  <c r="M1146"/>
  <c r="AG1145"/>
  <c r="X1145"/>
  <c r="M1145"/>
  <c r="AG1144"/>
  <c r="AB1144"/>
  <c r="X1144"/>
  <c r="V1144"/>
  <c r="M1144"/>
  <c r="AG1143"/>
  <c r="AA1143"/>
  <c r="X1143"/>
  <c r="M1143"/>
  <c r="AG1142"/>
  <c r="X1142"/>
  <c r="M1142"/>
  <c r="AG1141"/>
  <c r="X1141"/>
  <c r="M1141"/>
  <c r="AG1140"/>
  <c r="AB1140" s="1"/>
  <c r="X1140"/>
  <c r="V1140" s="1"/>
  <c r="M1140"/>
  <c r="AG1139"/>
  <c r="X1139"/>
  <c r="M1139"/>
  <c r="I1139"/>
  <c r="AG1138"/>
  <c r="Y1138"/>
  <c r="X1138"/>
  <c r="M1138"/>
  <c r="AG1137"/>
  <c r="Y1137"/>
  <c r="X1137"/>
  <c r="M1137"/>
  <c r="AG1136"/>
  <c r="Y1136"/>
  <c r="X1136"/>
  <c r="M1136"/>
  <c r="AG1135"/>
  <c r="X1135"/>
  <c r="M1135"/>
  <c r="AG1134"/>
  <c r="Y1134"/>
  <c r="X1134"/>
  <c r="S1134"/>
  <c r="M1134"/>
  <c r="AG1133"/>
  <c r="AB1133"/>
  <c r="X1133"/>
  <c r="V1133"/>
  <c r="M1133"/>
  <c r="AG1132"/>
  <c r="X1132"/>
  <c r="M1132"/>
  <c r="AG1131"/>
  <c r="X1131"/>
  <c r="M1131"/>
  <c r="AG1130"/>
  <c r="X1130"/>
  <c r="M1130"/>
  <c r="AG1129"/>
  <c r="AB1129"/>
  <c r="X1129"/>
  <c r="V1129" s="1"/>
  <c r="M1129"/>
  <c r="AG1128"/>
  <c r="X1128"/>
  <c r="S1128"/>
  <c r="M1128"/>
  <c r="AG1127"/>
  <c r="AB1127"/>
  <c r="X1127"/>
  <c r="V1127" s="1"/>
  <c r="M1127"/>
  <c r="AG1126"/>
  <c r="X1126"/>
  <c r="M1126"/>
  <c r="AG1125"/>
  <c r="X1125"/>
  <c r="S1125"/>
  <c r="M1125"/>
  <c r="AG1124"/>
  <c r="M1124"/>
  <c r="AG1123"/>
  <c r="AG1122"/>
  <c r="AB1122"/>
  <c r="X1122"/>
  <c r="V1122"/>
  <c r="AG1121"/>
  <c r="X1121"/>
  <c r="M1121"/>
  <c r="AG1120"/>
  <c r="X1120"/>
  <c r="M1120"/>
  <c r="AG1119"/>
  <c r="X1119"/>
  <c r="M1119"/>
  <c r="AG1118"/>
  <c r="X1118"/>
  <c r="M1118"/>
  <c r="AG1117"/>
  <c r="X1117"/>
  <c r="M1117"/>
  <c r="AG1116"/>
  <c r="X1116"/>
  <c r="M1116"/>
  <c r="AG1115"/>
  <c r="AB1115"/>
  <c r="X1115"/>
  <c r="V1115"/>
  <c r="M1115"/>
  <c r="AG1114"/>
  <c r="X1114"/>
  <c r="M1114"/>
  <c r="AG1113"/>
  <c r="X1113"/>
  <c r="M1113"/>
  <c r="AG1112"/>
  <c r="X1112"/>
  <c r="M1112"/>
  <c r="AG1111"/>
  <c r="X1111"/>
  <c r="M1111"/>
  <c r="AG1110"/>
  <c r="X1110"/>
  <c r="M1110"/>
  <c r="AG1109"/>
  <c r="X1109"/>
  <c r="M1109"/>
  <c r="AG1108"/>
  <c r="X1108"/>
  <c r="M1108"/>
  <c r="AG1107"/>
  <c r="X1107"/>
  <c r="M1107"/>
  <c r="AG1106"/>
  <c r="AB1106"/>
  <c r="X1106"/>
  <c r="V1106"/>
  <c r="M1106"/>
  <c r="AG1105"/>
  <c r="X1105"/>
  <c r="M1105"/>
  <c r="AG1104"/>
  <c r="X1104"/>
  <c r="M1104"/>
  <c r="AG1103"/>
  <c r="X1103"/>
  <c r="M1103"/>
  <c r="AG1102"/>
  <c r="X1102"/>
  <c r="M1102"/>
  <c r="AG1101"/>
  <c r="X1101"/>
  <c r="M1101"/>
  <c r="AG1100"/>
  <c r="X1100"/>
  <c r="M1100"/>
  <c r="AG1099"/>
  <c r="X1099"/>
  <c r="M1099"/>
  <c r="AG1098"/>
  <c r="X1098"/>
  <c r="M1098"/>
  <c r="AG1097"/>
  <c r="X1097"/>
  <c r="M1097"/>
  <c r="AG1096"/>
  <c r="X1096"/>
  <c r="M1096"/>
  <c r="AB1095"/>
  <c r="X1095"/>
  <c r="V1095"/>
  <c r="X1094"/>
  <c r="M1094"/>
  <c r="X1093"/>
  <c r="M1093"/>
  <c r="X1092"/>
  <c r="M1092"/>
  <c r="X1091"/>
  <c r="U1091"/>
  <c r="M1091"/>
  <c r="X1090"/>
  <c r="M1090"/>
  <c r="X1089"/>
  <c r="U1089"/>
  <c r="M1089"/>
  <c r="AB1088"/>
  <c r="X1088"/>
  <c r="V1088"/>
  <c r="M1088"/>
  <c r="X1087"/>
  <c r="M1087"/>
  <c r="X1086"/>
  <c r="M1086"/>
  <c r="X1085"/>
  <c r="M1085"/>
  <c r="X1084"/>
  <c r="M1084"/>
  <c r="AG1083"/>
  <c r="X1083"/>
  <c r="M1083"/>
  <c r="AG1082"/>
  <c r="X1082"/>
  <c r="M1082"/>
  <c r="AG1081"/>
  <c r="AB1081"/>
  <c r="X1081"/>
  <c r="V1081"/>
  <c r="M1081"/>
  <c r="AG1080"/>
  <c r="X1080"/>
  <c r="M1080"/>
  <c r="AG1079"/>
  <c r="X1079"/>
  <c r="M1079"/>
  <c r="AG1078"/>
  <c r="X1078"/>
  <c r="M1078"/>
  <c r="AG1077"/>
  <c r="X1077"/>
  <c r="M1077"/>
  <c r="AG1076"/>
  <c r="X1076"/>
  <c r="M1076"/>
  <c r="I1076"/>
  <c r="AG1075"/>
  <c r="X1075"/>
  <c r="M1075"/>
  <c r="AG1074"/>
  <c r="X1074"/>
  <c r="M1074"/>
  <c r="AG1073"/>
  <c r="X1073"/>
  <c r="M1073"/>
  <c r="AG1072"/>
  <c r="X1072"/>
  <c r="M1072"/>
  <c r="AG1071"/>
  <c r="X1071"/>
  <c r="M1071"/>
  <c r="AG1070"/>
  <c r="X1070"/>
  <c r="M1070"/>
  <c r="AG1069"/>
  <c r="X1069"/>
  <c r="M1069"/>
  <c r="AG1068"/>
  <c r="AB1068"/>
  <c r="X1068"/>
  <c r="V1068"/>
  <c r="M1068"/>
  <c r="AG1067"/>
  <c r="X1067"/>
  <c r="M1067"/>
  <c r="AG1066"/>
  <c r="X1066"/>
  <c r="M1066"/>
  <c r="AG1065"/>
  <c r="X1065"/>
  <c r="M1065"/>
  <c r="AG1064"/>
  <c r="X1064"/>
  <c r="M1064"/>
  <c r="AG1063"/>
  <c r="X1063"/>
  <c r="M1063"/>
  <c r="AG1062"/>
  <c r="AB1062"/>
  <c r="X1062"/>
  <c r="M1062"/>
  <c r="AG1061"/>
  <c r="AB1061"/>
  <c r="X1061"/>
  <c r="V1061"/>
  <c r="M1061"/>
  <c r="AG1060"/>
  <c r="X1060"/>
  <c r="M1060"/>
  <c r="AG1059"/>
  <c r="AB1059"/>
  <c r="X1059"/>
  <c r="V1059"/>
  <c r="M1059"/>
  <c r="AG1058"/>
  <c r="X1058"/>
  <c r="M1058"/>
  <c r="AG1057"/>
  <c r="AB1057"/>
  <c r="X1057"/>
  <c r="V1057"/>
  <c r="M1057"/>
  <c r="AG1056"/>
  <c r="X1056"/>
  <c r="M1056"/>
  <c r="AG1055"/>
  <c r="X1055"/>
  <c r="M1055"/>
  <c r="AG1054"/>
  <c r="X1054"/>
  <c r="M1054"/>
  <c r="AG1053"/>
  <c r="X1053"/>
  <c r="M1053"/>
  <c r="AG1052"/>
  <c r="X1052"/>
  <c r="M1052"/>
  <c r="AG1051"/>
  <c r="X1051"/>
  <c r="M1051"/>
  <c r="AG1050"/>
  <c r="X1050"/>
  <c r="M1050"/>
  <c r="AG1049"/>
  <c r="X1049"/>
  <c r="M1049"/>
  <c r="AG1048"/>
  <c r="AB1048"/>
  <c r="X1048"/>
  <c r="V1048"/>
  <c r="M1048"/>
  <c r="AG1047"/>
  <c r="X1047"/>
  <c r="M1047"/>
  <c r="AG1046"/>
  <c r="X1046"/>
  <c r="M1046"/>
  <c r="AG1045"/>
  <c r="X1045"/>
  <c r="M1045"/>
  <c r="AG1044"/>
  <c r="AB1044"/>
  <c r="X1044"/>
  <c r="V1044"/>
  <c r="M1044"/>
  <c r="AG1043"/>
  <c r="X1043"/>
  <c r="M1043"/>
  <c r="AG1042"/>
  <c r="X1042"/>
  <c r="M1042"/>
  <c r="AG1041"/>
  <c r="X1041"/>
  <c r="M1041"/>
  <c r="AG1040"/>
  <c r="X1040"/>
  <c r="M1040"/>
  <c r="AG1039"/>
  <c r="X1039"/>
  <c r="M1039"/>
  <c r="AG1038"/>
  <c r="X1038"/>
  <c r="M1038"/>
  <c r="I1038"/>
  <c r="AG1037"/>
  <c r="X1037"/>
  <c r="M1037"/>
  <c r="AG1036"/>
  <c r="X1036"/>
  <c r="M1036"/>
  <c r="AG1035"/>
  <c r="X1035"/>
  <c r="M1035"/>
  <c r="AG1034"/>
  <c r="X1034"/>
  <c r="M1034"/>
  <c r="AG1033"/>
  <c r="AB1033"/>
  <c r="X1033"/>
  <c r="V1033"/>
  <c r="M1033"/>
  <c r="AG1032"/>
  <c r="AB1032"/>
  <c r="X1032"/>
  <c r="V1032"/>
  <c r="M1032"/>
  <c r="AG1031"/>
  <c r="X1031"/>
  <c r="M1031"/>
  <c r="AG1030"/>
  <c r="AB1030"/>
  <c r="X1030"/>
  <c r="V1030"/>
  <c r="M1030"/>
  <c r="AG1029"/>
  <c r="X1029"/>
  <c r="M1029"/>
  <c r="AG1028"/>
  <c r="X1028"/>
  <c r="M1028"/>
  <c r="AG1027"/>
  <c r="X1027"/>
  <c r="M1027"/>
  <c r="AG1026"/>
  <c r="X1026"/>
  <c r="M1026"/>
  <c r="AG1025"/>
  <c r="X1025"/>
  <c r="M1025"/>
  <c r="AG1024"/>
  <c r="X1024"/>
  <c r="M1024"/>
  <c r="AG1023"/>
  <c r="X1023"/>
  <c r="M1023"/>
  <c r="AG1022"/>
  <c r="X1022"/>
  <c r="M1022"/>
  <c r="AG1021"/>
  <c r="X1021"/>
  <c r="M1021"/>
  <c r="AG1020"/>
  <c r="X1020"/>
  <c r="M1020"/>
  <c r="AG1019"/>
  <c r="AB1019"/>
  <c r="X1019"/>
  <c r="V1019"/>
  <c r="M1019"/>
  <c r="AG1018"/>
  <c r="X1018"/>
  <c r="M1018"/>
  <c r="AG1017"/>
  <c r="X1017"/>
  <c r="M1017"/>
  <c r="AG1016"/>
  <c r="X1016"/>
  <c r="M1016"/>
  <c r="AG1015"/>
  <c r="X1015"/>
  <c r="M1015"/>
  <c r="AG1014"/>
  <c r="X1014"/>
  <c r="M1014"/>
  <c r="AG1013"/>
  <c r="X1013"/>
  <c r="V1013"/>
  <c r="M1013"/>
  <c r="AG1012"/>
  <c r="AB1012"/>
  <c r="X1012"/>
  <c r="V1012"/>
  <c r="M1012"/>
  <c r="AG1011"/>
  <c r="X1011"/>
  <c r="M1011"/>
  <c r="AG1010"/>
  <c r="X1010"/>
  <c r="M1010"/>
  <c r="AG1009"/>
  <c r="X1009"/>
  <c r="M1009"/>
  <c r="AG1008"/>
  <c r="AB1920" l="1"/>
  <c r="JV31" i="1"/>
  <c r="JV82"/>
  <c r="JW20"/>
  <c r="JW68"/>
  <c r="KM68"/>
  <c r="KM69"/>
  <c r="JV74"/>
  <c r="JV88"/>
  <c r="KL88"/>
  <c r="KL105"/>
  <c r="KL82"/>
  <c r="JW88"/>
  <c r="JV16"/>
  <c r="KL16"/>
  <c r="JW82"/>
  <c r="JV103"/>
  <c r="JW105"/>
  <c r="KM16"/>
  <c r="JW19"/>
  <c r="JW31"/>
  <c r="KL42"/>
  <c r="KL70"/>
  <c r="JW42"/>
  <c r="JV19"/>
  <c r="KM20"/>
  <c r="JV42"/>
  <c r="KM74"/>
  <c r="KM103"/>
  <c r="JV105"/>
  <c r="KL31"/>
  <c r="KM70"/>
  <c r="KM82"/>
  <c r="KM19"/>
  <c r="KL69"/>
  <c r="JV70"/>
  <c r="KL103"/>
  <c r="KL19"/>
  <c r="JW74"/>
  <c r="JW103"/>
  <c r="JW16"/>
  <c r="KM42"/>
  <c r="KM105"/>
  <c r="JI16"/>
  <c r="JI19"/>
  <c r="JW69"/>
  <c r="KM88"/>
  <c r="JV20"/>
  <c r="KM31"/>
  <c r="JV68"/>
  <c r="JV69"/>
  <c r="KL74"/>
  <c r="KL20"/>
  <c r="KL68"/>
  <c r="JW70"/>
  <c r="JI74"/>
  <c r="JI69"/>
  <c r="JI70"/>
  <c r="X1008" i="26"/>
  <c r="AB1013" s="1"/>
  <c r="V1008"/>
  <c r="M1008"/>
  <c r="I1008"/>
  <c r="AG1007"/>
  <c r="X1007"/>
  <c r="M1007"/>
  <c r="AG1006"/>
  <c r="X1006"/>
  <c r="AB1008" s="1"/>
  <c r="M1006"/>
  <c r="AG1005"/>
  <c r="AB1005"/>
  <c r="X1005"/>
  <c r="V1005"/>
  <c r="M1005"/>
  <c r="I1005"/>
  <c r="AG1004"/>
  <c r="X1004"/>
  <c r="M1004"/>
  <c r="AG1003"/>
  <c r="X1003"/>
  <c r="M1003"/>
  <c r="AG1002"/>
  <c r="X1002"/>
  <c r="M1002"/>
  <c r="AG1001"/>
  <c r="X1001"/>
  <c r="M1001"/>
  <c r="AG1000"/>
  <c r="AB1000"/>
  <c r="X1000"/>
  <c r="V1000"/>
  <c r="M1000"/>
  <c r="AG999"/>
  <c r="X999"/>
  <c r="M999"/>
  <c r="AG998"/>
  <c r="X998"/>
  <c r="M998"/>
  <c r="AG997"/>
  <c r="X997"/>
  <c r="M997"/>
  <c r="AG996"/>
  <c r="X996"/>
  <c r="M996"/>
  <c r="AG995"/>
  <c r="X995"/>
  <c r="M995"/>
  <c r="AG994"/>
  <c r="AB994"/>
  <c r="X994"/>
  <c r="V994"/>
  <c r="M994"/>
  <c r="AG993"/>
  <c r="X993"/>
  <c r="M993"/>
  <c r="AG992"/>
  <c r="AG991"/>
  <c r="AB991"/>
  <c r="X991"/>
  <c r="V991" s="1"/>
  <c r="M991"/>
  <c r="AG990"/>
  <c r="X990"/>
  <c r="M990"/>
  <c r="AG989"/>
  <c r="X989"/>
  <c r="M989"/>
  <c r="AG988"/>
  <c r="X988"/>
  <c r="U988"/>
  <c r="M988"/>
  <c r="AG987"/>
  <c r="X987"/>
  <c r="M987"/>
  <c r="AG986"/>
  <c r="X986"/>
  <c r="M986"/>
  <c r="AG985"/>
  <c r="X985"/>
  <c r="M985"/>
  <c r="AG984"/>
  <c r="X984"/>
  <c r="M984"/>
  <c r="AG983"/>
  <c r="X983"/>
  <c r="M983"/>
  <c r="AG982"/>
  <c r="X982"/>
  <c r="M982"/>
  <c r="AG981"/>
  <c r="X981"/>
  <c r="M981"/>
  <c r="AG980"/>
  <c r="X980"/>
  <c r="M980"/>
  <c r="AG979"/>
  <c r="X979"/>
  <c r="M979"/>
  <c r="AG978"/>
  <c r="X978"/>
  <c r="M978"/>
  <c r="AG977"/>
  <c r="X977"/>
  <c r="M977"/>
  <c r="AG976"/>
  <c r="X976"/>
  <c r="M976"/>
  <c r="AG975"/>
  <c r="X975"/>
  <c r="M975"/>
  <c r="AG974"/>
  <c r="X974"/>
  <c r="M974"/>
  <c r="AG973"/>
  <c r="X973"/>
  <c r="M973"/>
  <c r="AG972"/>
  <c r="X972"/>
  <c r="M972"/>
  <c r="AG971"/>
  <c r="X971"/>
  <c r="M971"/>
  <c r="AG970"/>
  <c r="X970"/>
  <c r="M970"/>
  <c r="AG969"/>
  <c r="X969"/>
  <c r="M969"/>
  <c r="AB968"/>
  <c r="X968"/>
  <c r="V968"/>
  <c r="M968"/>
  <c r="X967"/>
  <c r="M967"/>
  <c r="X966"/>
  <c r="M966"/>
  <c r="AG963"/>
  <c r="X963"/>
  <c r="M963"/>
  <c r="AG962"/>
  <c r="X962"/>
  <c r="M962"/>
  <c r="AG961"/>
  <c r="X961"/>
  <c r="M961"/>
  <c r="AG960"/>
  <c r="X960"/>
  <c r="M960"/>
  <c r="AG959"/>
  <c r="AB959"/>
  <c r="X959"/>
  <c r="V959"/>
  <c r="M959"/>
  <c r="AG958"/>
  <c r="X958"/>
  <c r="M958"/>
  <c r="AG957"/>
  <c r="X957"/>
  <c r="M957"/>
  <c r="AG956"/>
  <c r="X956"/>
  <c r="M956"/>
  <c r="AG955"/>
  <c r="X955"/>
  <c r="M955"/>
  <c r="AG954"/>
  <c r="X954"/>
  <c r="M954"/>
  <c r="AG953"/>
  <c r="X953"/>
  <c r="M953"/>
  <c r="AG952"/>
  <c r="X952"/>
  <c r="M952"/>
  <c r="AG951"/>
  <c r="X951"/>
  <c r="M951"/>
  <c r="AG950"/>
  <c r="X950"/>
  <c r="M950"/>
  <c r="AG949"/>
  <c r="M949"/>
  <c r="AG948"/>
  <c r="M948"/>
  <c r="AG947"/>
  <c r="M947"/>
  <c r="AG946"/>
  <c r="M946"/>
  <c r="AG945"/>
  <c r="X945"/>
  <c r="M945"/>
  <c r="AG944"/>
  <c r="X944"/>
  <c r="M944"/>
  <c r="AG943"/>
  <c r="X943"/>
  <c r="M943"/>
  <c r="AG942"/>
  <c r="X942"/>
  <c r="M942"/>
  <c r="AG941"/>
  <c r="X941"/>
  <c r="U941"/>
  <c r="M941"/>
  <c r="AG940"/>
  <c r="X940"/>
  <c r="M940"/>
  <c r="AG939"/>
  <c r="X939"/>
  <c r="M939"/>
  <c r="AG938"/>
  <c r="X938"/>
  <c r="M938"/>
  <c r="AG937"/>
  <c r="X937"/>
  <c r="M937"/>
  <c r="AG936"/>
  <c r="X936"/>
  <c r="M936"/>
  <c r="AG935"/>
  <c r="X935"/>
  <c r="M935"/>
  <c r="AG934"/>
  <c r="X934"/>
  <c r="M934"/>
  <c r="AG933"/>
  <c r="X933"/>
  <c r="M933"/>
  <c r="AG932"/>
  <c r="X932"/>
  <c r="M932"/>
  <c r="AG931"/>
  <c r="AG930"/>
  <c r="AG929"/>
  <c r="AG928"/>
  <c r="AG927"/>
  <c r="AG926"/>
  <c r="AG925"/>
  <c r="AG924"/>
  <c r="X924"/>
  <c r="M924"/>
  <c r="AG923"/>
  <c r="X923"/>
  <c r="M923"/>
  <c r="AG922"/>
  <c r="AG921"/>
  <c r="AG920"/>
  <c r="X920"/>
  <c r="M920"/>
  <c r="AG919"/>
  <c r="X919"/>
  <c r="M919"/>
  <c r="AG918"/>
  <c r="X918"/>
  <c r="M918"/>
  <c r="AG917"/>
  <c r="X917"/>
  <c r="M917"/>
  <c r="AG916"/>
  <c r="X916"/>
  <c r="M916"/>
  <c r="I916"/>
  <c r="AG915"/>
  <c r="X915"/>
  <c r="M915"/>
  <c r="AG914"/>
  <c r="X914"/>
  <c r="M914"/>
  <c r="AG913"/>
  <c r="X913"/>
  <c r="M913"/>
  <c r="AG912"/>
  <c r="X912"/>
  <c r="M912"/>
  <c r="AG911"/>
  <c r="X911"/>
  <c r="M911"/>
  <c r="AG910"/>
  <c r="X910"/>
  <c r="M910"/>
  <c r="AG909"/>
  <c r="X909"/>
  <c r="M909"/>
  <c r="AG908"/>
  <c r="X908"/>
  <c r="M908"/>
  <c r="AG907"/>
  <c r="X907"/>
  <c r="M907"/>
  <c r="AG906"/>
  <c r="X906"/>
  <c r="M906"/>
  <c r="AG905"/>
  <c r="X905"/>
  <c r="M905"/>
  <c r="AG904"/>
  <c r="X904"/>
  <c r="M904"/>
  <c r="AG903"/>
  <c r="X903"/>
  <c r="M903"/>
  <c r="AG902"/>
  <c r="X902"/>
  <c r="M902"/>
  <c r="AG901"/>
  <c r="AG900"/>
  <c r="AG899"/>
  <c r="AG898"/>
  <c r="AG897"/>
  <c r="AG896"/>
  <c r="X896"/>
  <c r="M896"/>
  <c r="AG895"/>
  <c r="X895"/>
  <c r="M895"/>
  <c r="AG894"/>
  <c r="X894"/>
  <c r="M894"/>
  <c r="AG893"/>
  <c r="X893"/>
  <c r="M893"/>
  <c r="AG892"/>
  <c r="X892"/>
  <c r="M892"/>
  <c r="AG891"/>
  <c r="AG890"/>
  <c r="AG889"/>
  <c r="AG888"/>
  <c r="X888"/>
  <c r="M888"/>
  <c r="AG887"/>
  <c r="X887"/>
  <c r="M887"/>
  <c r="AG886"/>
  <c r="X886"/>
  <c r="M886"/>
  <c r="AG885"/>
  <c r="X885"/>
  <c r="M885"/>
  <c r="AG884"/>
  <c r="X884"/>
  <c r="M884"/>
  <c r="AG883"/>
  <c r="X883"/>
  <c r="M883"/>
  <c r="AG882"/>
  <c r="X882"/>
  <c r="M882"/>
  <c r="AG881"/>
  <c r="X881"/>
  <c r="M881"/>
  <c r="AG880"/>
  <c r="X880"/>
  <c r="M880"/>
  <c r="AG879"/>
  <c r="X879"/>
  <c r="M879"/>
  <c r="AG878"/>
  <c r="X878"/>
  <c r="M878"/>
  <c r="AG877"/>
  <c r="X877"/>
  <c r="M877"/>
  <c r="AG876"/>
  <c r="X876"/>
  <c r="M876"/>
  <c r="AG875"/>
  <c r="X875"/>
  <c r="M875"/>
  <c r="AG874"/>
  <c r="X874"/>
  <c r="M874"/>
  <c r="AG873"/>
  <c r="X873"/>
  <c r="M873"/>
  <c r="AG872"/>
  <c r="X872"/>
  <c r="M872"/>
  <c r="AG871"/>
  <c r="X871"/>
  <c r="M871"/>
  <c r="AG870"/>
  <c r="X870"/>
  <c r="M870"/>
  <c r="AG869"/>
  <c r="X869"/>
  <c r="M869"/>
  <c r="AG868"/>
  <c r="X868"/>
  <c r="M868"/>
  <c r="AG867"/>
  <c r="X867"/>
  <c r="M867"/>
  <c r="AG866"/>
  <c r="X866"/>
  <c r="M866"/>
  <c r="AG865"/>
  <c r="X865"/>
  <c r="M865"/>
  <c r="AG864"/>
  <c r="X864"/>
  <c r="M864"/>
  <c r="AG863"/>
  <c r="X863"/>
  <c r="M863"/>
  <c r="AG862"/>
  <c r="X862"/>
  <c r="M862"/>
  <c r="AG861"/>
  <c r="X861"/>
  <c r="M861"/>
  <c r="AG860"/>
  <c r="X860"/>
  <c r="M860"/>
  <c r="AG859"/>
  <c r="AG858"/>
  <c r="X858"/>
  <c r="M858"/>
  <c r="AG857"/>
  <c r="X857"/>
  <c r="M857"/>
  <c r="AG856"/>
  <c r="X856"/>
  <c r="M856"/>
  <c r="AG855"/>
  <c r="X855"/>
  <c r="M855"/>
  <c r="AG854"/>
  <c r="X854"/>
  <c r="M854"/>
  <c r="AG853"/>
  <c r="X853"/>
  <c r="M853"/>
  <c r="AG852"/>
  <c r="X852"/>
  <c r="M852"/>
  <c r="AG851"/>
  <c r="X851"/>
  <c r="M851"/>
  <c r="AG850"/>
  <c r="X850"/>
  <c r="M850"/>
  <c r="AG849"/>
  <c r="AB849"/>
  <c r="X849"/>
  <c r="V849"/>
  <c r="M849"/>
  <c r="AG848"/>
  <c r="X848"/>
  <c r="M848"/>
  <c r="AG847"/>
  <c r="X847"/>
  <c r="M847"/>
  <c r="AG846"/>
  <c r="X846"/>
  <c r="M846"/>
  <c r="AG845"/>
  <c r="X845"/>
  <c r="M845"/>
  <c r="AG844"/>
  <c r="X844"/>
  <c r="M844"/>
  <c r="AG843"/>
  <c r="X843"/>
  <c r="M843"/>
  <c r="AG842"/>
  <c r="X842"/>
  <c r="M842"/>
  <c r="AG841"/>
  <c r="X841"/>
  <c r="M841"/>
  <c r="AG840"/>
  <c r="X840"/>
  <c r="M840"/>
  <c r="AG839"/>
  <c r="X839"/>
  <c r="M839"/>
  <c r="AG838"/>
  <c r="X838"/>
  <c r="M838"/>
  <c r="AG837"/>
  <c r="X837"/>
  <c r="M837"/>
  <c r="AG836"/>
  <c r="X836"/>
  <c r="M836"/>
  <c r="AG835"/>
  <c r="X835"/>
  <c r="M835"/>
  <c r="AG834"/>
  <c r="X834"/>
  <c r="M834"/>
  <c r="AG833"/>
  <c r="X833"/>
  <c r="M833"/>
  <c r="AG832"/>
  <c r="X832"/>
  <c r="M832"/>
  <c r="AG831"/>
  <c r="X831"/>
  <c r="M831"/>
  <c r="AG830"/>
  <c r="X830"/>
  <c r="M830"/>
  <c r="AG829"/>
  <c r="X829"/>
  <c r="M829"/>
  <c r="AG828"/>
  <c r="X828"/>
  <c r="M828"/>
  <c r="AG827"/>
  <c r="X827"/>
  <c r="M827"/>
  <c r="AG826"/>
  <c r="X826"/>
  <c r="M826"/>
  <c r="AG825"/>
  <c r="X825"/>
  <c r="M825"/>
  <c r="AG824"/>
  <c r="X824"/>
  <c r="M824"/>
  <c r="AG823"/>
  <c r="X823"/>
  <c r="M823"/>
  <c r="AG822"/>
  <c r="X822"/>
  <c r="M822"/>
  <c r="AG821"/>
  <c r="X821"/>
  <c r="M821"/>
  <c r="AG820"/>
  <c r="X820"/>
  <c r="M820"/>
  <c r="AG819"/>
  <c r="X819"/>
  <c r="M819"/>
  <c r="AG818"/>
  <c r="X818"/>
  <c r="M818"/>
  <c r="AG817"/>
  <c r="X817"/>
  <c r="M817"/>
  <c r="AG816"/>
  <c r="X816"/>
  <c r="M816"/>
  <c r="AG815"/>
  <c r="X815"/>
  <c r="M815"/>
  <c r="AG814"/>
  <c r="X814"/>
  <c r="M814"/>
  <c r="AG813"/>
  <c r="X813"/>
  <c r="M813"/>
  <c r="AG812"/>
  <c r="AG811"/>
  <c r="AG810"/>
  <c r="AG809"/>
  <c r="X809"/>
  <c r="M809"/>
  <c r="AG808"/>
  <c r="X808"/>
  <c r="M808"/>
  <c r="AG807"/>
  <c r="X807"/>
  <c r="M807"/>
  <c r="AG806"/>
  <c r="X806"/>
  <c r="M806"/>
  <c r="AG805"/>
  <c r="X805"/>
  <c r="M805"/>
  <c r="AG804"/>
  <c r="X804"/>
  <c r="M804"/>
  <c r="AG803"/>
  <c r="AB803"/>
  <c r="X803"/>
  <c r="V803" s="1"/>
  <c r="M803"/>
  <c r="AG802"/>
  <c r="X802"/>
  <c r="M802"/>
  <c r="AG801"/>
  <c r="X801"/>
  <c r="M801"/>
  <c r="AG800"/>
  <c r="X800"/>
  <c r="M800"/>
  <c r="AG799"/>
  <c r="X799"/>
  <c r="M799"/>
  <c r="AG798"/>
  <c r="X798"/>
  <c r="M798"/>
  <c r="AG797"/>
  <c r="X797"/>
  <c r="M797"/>
  <c r="AG796"/>
  <c r="X796"/>
  <c r="M796"/>
  <c r="AG795"/>
  <c r="X795"/>
  <c r="M795"/>
  <c r="AG794"/>
  <c r="X794"/>
  <c r="U794"/>
  <c r="M794"/>
  <c r="AG793"/>
  <c r="X793"/>
  <c r="M793"/>
  <c r="AG792"/>
  <c r="AB792"/>
  <c r="X792"/>
  <c r="V792" s="1"/>
  <c r="S792"/>
  <c r="M792"/>
  <c r="AG791"/>
  <c r="X791"/>
  <c r="S791"/>
  <c r="M791"/>
  <c r="AG790"/>
  <c r="X790"/>
  <c r="M790"/>
  <c r="AG789"/>
  <c r="X789"/>
  <c r="M789"/>
  <c r="AG788"/>
  <c r="X788"/>
  <c r="M788"/>
  <c r="AG787"/>
  <c r="AB787"/>
  <c r="X787"/>
  <c r="V787"/>
  <c r="M787"/>
  <c r="AG786"/>
  <c r="X786"/>
  <c r="M786"/>
  <c r="AG785"/>
  <c r="X785"/>
  <c r="M785"/>
  <c r="AG784"/>
  <c r="X784"/>
  <c r="M784"/>
  <c r="AG783"/>
  <c r="X783"/>
  <c r="M783"/>
  <c r="AG782"/>
  <c r="X782"/>
  <c r="M782"/>
  <c r="AG781"/>
  <c r="X781"/>
  <c r="M781"/>
  <c r="AG780"/>
  <c r="X780"/>
  <c r="M780"/>
  <c r="AG779"/>
  <c r="X779"/>
  <c r="M779"/>
  <c r="AG778"/>
  <c r="AB778"/>
  <c r="X778"/>
  <c r="V778"/>
  <c r="M778"/>
  <c r="AG777"/>
  <c r="X777"/>
  <c r="M777"/>
  <c r="AG776"/>
  <c r="X776"/>
  <c r="M776"/>
  <c r="AG775"/>
  <c r="X775"/>
  <c r="V775" s="1"/>
  <c r="M775"/>
  <c r="AG774"/>
  <c r="X774"/>
  <c r="M774"/>
  <c r="AG773"/>
  <c r="X773"/>
  <c r="M773"/>
  <c r="AG772"/>
  <c r="X772"/>
  <c r="M772"/>
  <c r="AG771"/>
  <c r="X771"/>
  <c r="M771"/>
  <c r="AG770"/>
  <c r="X770"/>
  <c r="M770"/>
  <c r="AG769"/>
  <c r="X769"/>
  <c r="M769"/>
  <c r="AG768"/>
  <c r="X768"/>
  <c r="M768"/>
  <c r="AG767"/>
  <c r="X767"/>
  <c r="M767"/>
  <c r="AG766"/>
  <c r="X766"/>
  <c r="M766"/>
  <c r="AG765"/>
  <c r="X765"/>
  <c r="M765"/>
  <c r="AG764"/>
  <c r="X764"/>
  <c r="M764"/>
  <c r="AG763"/>
  <c r="X763"/>
  <c r="M763"/>
  <c r="AG762"/>
  <c r="X762"/>
  <c r="M762"/>
  <c r="AG761"/>
  <c r="X761"/>
  <c r="M761"/>
  <c r="AG760"/>
  <c r="Y760"/>
  <c r="X760"/>
  <c r="M760"/>
  <c r="AG759"/>
  <c r="X759"/>
  <c r="M759"/>
  <c r="AG758"/>
  <c r="X758"/>
  <c r="M758"/>
  <c r="AG757"/>
  <c r="X757"/>
  <c r="M757"/>
  <c r="AG756"/>
  <c r="X756"/>
  <c r="M756"/>
  <c r="AG755"/>
  <c r="X755"/>
  <c r="M755"/>
  <c r="AG754"/>
  <c r="X754"/>
  <c r="M754"/>
  <c r="AG753"/>
  <c r="X753"/>
  <c r="M753"/>
  <c r="AG752"/>
  <c r="X752"/>
  <c r="M752"/>
  <c r="AG751"/>
  <c r="X751"/>
  <c r="M751"/>
  <c r="AG750"/>
  <c r="X750"/>
  <c r="M750"/>
  <c r="AG749"/>
  <c r="X749"/>
  <c r="M749"/>
  <c r="AG748"/>
  <c r="AB748"/>
  <c r="Y748"/>
  <c r="X748"/>
  <c r="M748"/>
  <c r="AG747"/>
  <c r="X747"/>
  <c r="M747"/>
  <c r="AG746"/>
  <c r="X746"/>
  <c r="M746"/>
  <c r="AG745"/>
  <c r="X745"/>
  <c r="M745"/>
  <c r="AG744"/>
  <c r="X744"/>
  <c r="M744"/>
  <c r="AG743"/>
  <c r="X743"/>
  <c r="M743"/>
  <c r="AG742"/>
  <c r="X742"/>
  <c r="M742"/>
  <c r="AG741"/>
  <c r="X741"/>
  <c r="M741"/>
  <c r="AG740"/>
  <c r="X740"/>
  <c r="M740"/>
  <c r="AG739"/>
  <c r="X739"/>
  <c r="M739"/>
  <c r="AG738"/>
  <c r="X738"/>
  <c r="M738"/>
  <c r="I738"/>
  <c r="AG737"/>
  <c r="X737"/>
  <c r="M737"/>
  <c r="AG736"/>
  <c r="X736"/>
  <c r="M736"/>
  <c r="AG735"/>
  <c r="X735"/>
  <c r="M735"/>
  <c r="AG734"/>
  <c r="X734"/>
  <c r="M734"/>
  <c r="AG733"/>
  <c r="Y733"/>
  <c r="X733"/>
  <c r="S733"/>
  <c r="M733"/>
  <c r="AG732"/>
  <c r="X732"/>
  <c r="M732"/>
  <c r="AG731"/>
  <c r="X731"/>
  <c r="M731"/>
  <c r="AG730"/>
  <c r="X730"/>
  <c r="M730"/>
  <c r="AG729"/>
  <c r="X729"/>
  <c r="M729"/>
  <c r="AG728"/>
  <c r="X728"/>
  <c r="M728"/>
  <c r="AG727"/>
  <c r="X727"/>
  <c r="M727"/>
  <c r="AG726"/>
  <c r="X726"/>
  <c r="M726"/>
  <c r="AG725"/>
  <c r="X725"/>
  <c r="M725"/>
  <c r="AG724"/>
  <c r="X724"/>
  <c r="M724"/>
  <c r="AG723"/>
  <c r="X723"/>
  <c r="M723"/>
  <c r="AG722"/>
  <c r="X722"/>
  <c r="M722"/>
  <c r="AG721"/>
  <c r="X721"/>
  <c r="M721"/>
  <c r="AG720"/>
  <c r="X720"/>
  <c r="M720"/>
  <c r="AG719"/>
  <c r="X719"/>
  <c r="M719"/>
  <c r="AG718"/>
  <c r="X718"/>
  <c r="M718"/>
  <c r="AB717" s="1"/>
  <c r="X717"/>
  <c r="V717"/>
  <c r="M717"/>
  <c r="X716"/>
  <c r="M716"/>
  <c r="X715"/>
  <c r="M715"/>
  <c r="AG714"/>
  <c r="X714"/>
  <c r="M714"/>
  <c r="AG713"/>
  <c r="Y713"/>
  <c r="X713"/>
  <c r="M713"/>
  <c r="AG712"/>
  <c r="X712"/>
  <c r="M712"/>
  <c r="AG711"/>
  <c r="X711"/>
  <c r="S711"/>
  <c r="M711"/>
  <c r="AG710"/>
  <c r="M710"/>
  <c r="AG709"/>
  <c r="M709"/>
  <c r="AG708"/>
  <c r="M708"/>
  <c r="AG707"/>
  <c r="X707"/>
  <c r="V707"/>
  <c r="M707"/>
  <c r="AG706"/>
  <c r="X706"/>
  <c r="M706"/>
  <c r="AG705"/>
  <c r="X705"/>
  <c r="M705"/>
  <c r="I705"/>
  <c r="AG704"/>
  <c r="X704"/>
  <c r="M704"/>
  <c r="AG703"/>
  <c r="X703"/>
  <c r="M703"/>
  <c r="AG702"/>
  <c r="AB702"/>
  <c r="X702"/>
  <c r="V702" s="1"/>
  <c r="M702"/>
  <c r="AG701"/>
  <c r="X701"/>
  <c r="M701"/>
  <c r="AG700"/>
  <c r="X700"/>
  <c r="S700"/>
  <c r="M700"/>
  <c r="AG699"/>
  <c r="X699"/>
  <c r="M699"/>
  <c r="AG698"/>
  <c r="X698"/>
  <c r="M698"/>
  <c r="AG697"/>
  <c r="X697"/>
  <c r="M697"/>
  <c r="AG696"/>
  <c r="X696"/>
  <c r="M696"/>
  <c r="AG695"/>
  <c r="X695"/>
  <c r="M695"/>
  <c r="AG694"/>
  <c r="X694"/>
  <c r="M694"/>
  <c r="AG693"/>
  <c r="X693"/>
  <c r="M693"/>
  <c r="AG692"/>
  <c r="X692"/>
  <c r="M692"/>
  <c r="AG691"/>
  <c r="X691"/>
  <c r="M691"/>
  <c r="AG690"/>
  <c r="X690"/>
  <c r="M690"/>
  <c r="AG689"/>
  <c r="X689"/>
  <c r="M689"/>
  <c r="AG688"/>
  <c r="X688"/>
  <c r="M688"/>
  <c r="AG687"/>
  <c r="X687"/>
  <c r="M687"/>
  <c r="AG686"/>
  <c r="X686"/>
  <c r="M686"/>
  <c r="AG685"/>
  <c r="X685"/>
  <c r="M685"/>
  <c r="AG684"/>
  <c r="X684"/>
  <c r="M684"/>
  <c r="AG683"/>
  <c r="X683"/>
  <c r="M683"/>
  <c r="AG682"/>
  <c r="X682"/>
  <c r="M682"/>
  <c r="AG681"/>
  <c r="X681"/>
  <c r="M681"/>
  <c r="AG680"/>
  <c r="X680"/>
  <c r="S680"/>
  <c r="M680"/>
  <c r="AG679"/>
  <c r="X679"/>
  <c r="M679"/>
  <c r="AG678"/>
  <c r="X678"/>
  <c r="M678"/>
  <c r="AG677"/>
  <c r="X677"/>
  <c r="M677"/>
  <c r="AG676"/>
  <c r="X676"/>
  <c r="M676"/>
  <c r="AG675"/>
  <c r="X675"/>
  <c r="M675"/>
  <c r="AG674"/>
  <c r="X674"/>
  <c r="M674"/>
  <c r="AG673"/>
  <c r="X673"/>
  <c r="M673"/>
  <c r="AG672"/>
  <c r="X672"/>
  <c r="V672"/>
  <c r="M672"/>
  <c r="AG671"/>
  <c r="X671"/>
  <c r="M671"/>
  <c r="AG670"/>
  <c r="X670"/>
  <c r="M670"/>
  <c r="AG669"/>
  <c r="X669"/>
  <c r="M669"/>
  <c r="AG668"/>
  <c r="X668"/>
  <c r="M668"/>
  <c r="AG667"/>
  <c r="X667"/>
  <c r="M667"/>
  <c r="AG666"/>
  <c r="X666"/>
  <c r="M666"/>
  <c r="AG665"/>
  <c r="X665"/>
  <c r="M665"/>
  <c r="AG664"/>
  <c r="X664"/>
  <c r="M664"/>
  <c r="AG663"/>
  <c r="X663"/>
  <c r="V663"/>
  <c r="M663"/>
  <c r="AG662"/>
  <c r="X662"/>
  <c r="M662"/>
  <c r="AG661"/>
  <c r="X661"/>
  <c r="M661"/>
  <c r="AG660"/>
  <c r="X660"/>
  <c r="M660"/>
  <c r="AG659"/>
  <c r="AB659"/>
  <c r="X659"/>
  <c r="V659"/>
  <c r="M659"/>
  <c r="AG658"/>
  <c r="X658"/>
  <c r="M658"/>
  <c r="I658"/>
  <c r="AG657"/>
  <c r="X657"/>
  <c r="M657"/>
  <c r="AG656"/>
  <c r="X656"/>
  <c r="M656"/>
  <c r="AG655"/>
  <c r="X655"/>
  <c r="M655"/>
  <c r="AG654"/>
  <c r="X654"/>
  <c r="M654"/>
  <c r="AG653"/>
  <c r="X653"/>
  <c r="M653"/>
  <c r="AG652"/>
  <c r="X652"/>
  <c r="M652"/>
  <c r="AG651"/>
  <c r="X651"/>
  <c r="M651"/>
  <c r="AG650"/>
  <c r="X650"/>
  <c r="M650"/>
  <c r="AG649"/>
  <c r="X649"/>
  <c r="M649"/>
  <c r="AG648"/>
  <c r="X648"/>
  <c r="M648"/>
  <c r="AG647"/>
  <c r="AB647"/>
  <c r="X647"/>
  <c r="S647"/>
  <c r="M647"/>
  <c r="AG646"/>
  <c r="X646"/>
  <c r="M646"/>
  <c r="AG645"/>
  <c r="X645"/>
  <c r="M645"/>
  <c r="AB644" s="1"/>
  <c r="Y644"/>
  <c r="X644"/>
  <c r="V644"/>
  <c r="M644"/>
  <c r="AB643"/>
  <c r="X643"/>
  <c r="V643" s="1"/>
  <c r="M643"/>
  <c r="Y642"/>
  <c r="X642"/>
  <c r="S642"/>
  <c r="M642"/>
  <c r="AB641"/>
  <c r="X641"/>
  <c r="V641"/>
  <c r="M641"/>
  <c r="AG640"/>
  <c r="X640"/>
  <c r="M640"/>
  <c r="AG639"/>
  <c r="X639"/>
  <c r="M639"/>
  <c r="AG638"/>
  <c r="X638"/>
  <c r="M638"/>
  <c r="AG637"/>
  <c r="X637"/>
  <c r="M637"/>
  <c r="AG636"/>
  <c r="X636"/>
  <c r="M636"/>
  <c r="AG635"/>
  <c r="X635"/>
  <c r="M635"/>
  <c r="AG634"/>
  <c r="AG633"/>
  <c r="AG632"/>
  <c r="AG631"/>
  <c r="AG630"/>
  <c r="X630"/>
  <c r="V630"/>
  <c r="M630"/>
  <c r="AG629"/>
  <c r="X629"/>
  <c r="M629"/>
  <c r="AG628"/>
  <c r="AG627"/>
  <c r="AN626"/>
  <c r="AG626"/>
  <c r="X626"/>
  <c r="M626"/>
  <c r="AN625"/>
  <c r="AG625"/>
  <c r="X625"/>
  <c r="M625"/>
  <c r="AN624"/>
  <c r="AG624"/>
  <c r="X624"/>
  <c r="M624"/>
  <c r="AN623"/>
  <c r="AG623"/>
  <c r="X623"/>
  <c r="M623"/>
  <c r="AN622"/>
  <c r="AG622"/>
  <c r="X622"/>
  <c r="M622"/>
  <c r="AN621"/>
  <c r="AG621"/>
  <c r="X621"/>
  <c r="M621"/>
  <c r="AN620"/>
  <c r="AG620"/>
  <c r="X620"/>
  <c r="M620"/>
  <c r="AN619"/>
  <c r="AG619"/>
  <c r="X619"/>
  <c r="M619"/>
  <c r="AN618"/>
  <c r="AG618"/>
  <c r="X618"/>
  <c r="M618"/>
  <c r="AN617"/>
  <c r="AG617"/>
  <c r="X617"/>
  <c r="M617"/>
  <c r="AN616"/>
  <c r="AG616"/>
  <c r="X616"/>
  <c r="M616"/>
  <c r="AN615"/>
  <c r="AG615"/>
  <c r="X615"/>
  <c r="M615"/>
  <c r="AG614"/>
  <c r="X614"/>
  <c r="M614"/>
  <c r="AG613"/>
  <c r="X613"/>
  <c r="M613"/>
  <c r="AG612"/>
  <c r="X612"/>
  <c r="M612"/>
  <c r="AG611"/>
  <c r="X611"/>
  <c r="M611"/>
  <c r="AG610"/>
  <c r="AB610"/>
  <c r="X610"/>
  <c r="V610"/>
  <c r="M610"/>
  <c r="AG609"/>
  <c r="X609"/>
  <c r="M609"/>
  <c r="AG608"/>
  <c r="X608"/>
  <c r="M608"/>
  <c r="AG607"/>
  <c r="X607"/>
  <c r="M607"/>
  <c r="AG606"/>
  <c r="X606"/>
  <c r="M606"/>
  <c r="AG605"/>
  <c r="X605"/>
  <c r="M605"/>
  <c r="AG604"/>
  <c r="X604"/>
  <c r="M604"/>
  <c r="AB603"/>
  <c r="Y603"/>
  <c r="X603"/>
  <c r="V603" s="1"/>
  <c r="S603"/>
  <c r="M603"/>
  <c r="X602"/>
  <c r="M602"/>
  <c r="AG601"/>
  <c r="AB601"/>
  <c r="X601"/>
  <c r="V601" s="1"/>
  <c r="M601"/>
  <c r="AG600"/>
  <c r="X600"/>
  <c r="M600"/>
  <c r="AG599"/>
  <c r="X599"/>
  <c r="U599"/>
  <c r="M599"/>
  <c r="AG598"/>
  <c r="AB598"/>
  <c r="X598"/>
  <c r="V598"/>
  <c r="M598"/>
  <c r="AG597"/>
  <c r="X597"/>
  <c r="M597"/>
  <c r="AG596"/>
  <c r="X596"/>
  <c r="M596"/>
  <c r="AG595"/>
  <c r="X595"/>
  <c r="M595"/>
  <c r="AG594"/>
  <c r="AB594"/>
  <c r="X594"/>
  <c r="V594" s="1"/>
  <c r="M594"/>
  <c r="AG593"/>
  <c r="X593"/>
  <c r="M593"/>
  <c r="AG592"/>
  <c r="X592"/>
  <c r="M592"/>
  <c r="AG591"/>
  <c r="X591"/>
  <c r="S591"/>
  <c r="M591"/>
  <c r="AG590"/>
  <c r="AB590"/>
  <c r="X590"/>
  <c r="V590"/>
  <c r="M590"/>
  <c r="AG589"/>
  <c r="X589"/>
  <c r="M589"/>
  <c r="AG588"/>
  <c r="X588"/>
  <c r="S588"/>
  <c r="M588"/>
  <c r="AG587"/>
  <c r="X587"/>
  <c r="S587"/>
  <c r="M587"/>
  <c r="AG586"/>
  <c r="AB586"/>
  <c r="X586"/>
  <c r="V586"/>
  <c r="M586"/>
  <c r="AG585"/>
  <c r="X585"/>
  <c r="M585"/>
  <c r="AG584"/>
  <c r="X584"/>
  <c r="M584"/>
  <c r="AG583"/>
  <c r="X583"/>
  <c r="M583"/>
  <c r="AG582"/>
  <c r="X582"/>
  <c r="M582"/>
  <c r="AG581"/>
  <c r="AB581"/>
  <c r="X581"/>
  <c r="V581"/>
  <c r="M581"/>
  <c r="AG580"/>
  <c r="X580"/>
  <c r="M580"/>
  <c r="AG579"/>
  <c r="X579"/>
  <c r="M579"/>
  <c r="AG578"/>
  <c r="X578"/>
  <c r="M578"/>
  <c r="AG577"/>
  <c r="AB577"/>
  <c r="X577"/>
  <c r="V577" s="1"/>
  <c r="M577"/>
  <c r="AG576"/>
  <c r="X576"/>
  <c r="M576"/>
  <c r="AG575"/>
  <c r="X575"/>
  <c r="U575"/>
  <c r="M575"/>
  <c r="AG574"/>
  <c r="AB574"/>
  <c r="X574"/>
  <c r="V574" s="1"/>
  <c r="M574"/>
  <c r="AG573"/>
  <c r="X573"/>
  <c r="M573"/>
  <c r="AG572"/>
  <c r="X572"/>
  <c r="M572"/>
  <c r="AG571"/>
  <c r="X571"/>
  <c r="U571"/>
  <c r="M571"/>
  <c r="AG570"/>
  <c r="AB570"/>
  <c r="X570"/>
  <c r="V570"/>
  <c r="M570"/>
  <c r="AG569"/>
  <c r="X569"/>
  <c r="M569"/>
  <c r="AG568"/>
  <c r="X568"/>
  <c r="M568"/>
  <c r="AG567"/>
  <c r="X567"/>
  <c r="M567"/>
  <c r="AG566"/>
  <c r="X566"/>
  <c r="M566"/>
  <c r="AG565"/>
  <c r="X565"/>
  <c r="M565"/>
  <c r="AG564"/>
  <c r="AB564"/>
  <c r="X564"/>
  <c r="V564"/>
  <c r="M564"/>
  <c r="AG563"/>
  <c r="X563"/>
  <c r="M563"/>
  <c r="AG562"/>
  <c r="X562"/>
  <c r="M562"/>
  <c r="AG561"/>
  <c r="X561"/>
  <c r="M561"/>
  <c r="AG560"/>
  <c r="X560"/>
  <c r="M560"/>
  <c r="AG559"/>
  <c r="X559"/>
  <c r="M559"/>
  <c r="AG558"/>
  <c r="X558"/>
  <c r="M558"/>
  <c r="AG557"/>
  <c r="X557"/>
  <c r="M557"/>
  <c r="AG556"/>
  <c r="X556"/>
  <c r="M556"/>
  <c r="AG555"/>
  <c r="X555"/>
  <c r="U555"/>
  <c r="M555"/>
  <c r="AG554"/>
  <c r="X554"/>
  <c r="U554"/>
  <c r="M554"/>
  <c r="AG553"/>
  <c r="AB553"/>
  <c r="X553"/>
  <c r="V553"/>
  <c r="M553"/>
  <c r="AG552"/>
  <c r="X552"/>
  <c r="M552"/>
  <c r="AG551"/>
  <c r="X551"/>
  <c r="M551"/>
  <c r="AG550"/>
  <c r="X550"/>
  <c r="M550"/>
  <c r="AG549"/>
  <c r="X549"/>
  <c r="M549"/>
  <c r="AG548"/>
  <c r="X548"/>
  <c r="M548"/>
  <c r="AG547"/>
  <c r="X547"/>
  <c r="M547"/>
  <c r="AG546"/>
  <c r="AB546"/>
  <c r="X546"/>
  <c r="V546"/>
  <c r="M546"/>
  <c r="AG545"/>
  <c r="X545"/>
  <c r="M545"/>
  <c r="AG544"/>
  <c r="X544"/>
  <c r="M544"/>
  <c r="AG543"/>
  <c r="X543"/>
  <c r="M543"/>
  <c r="AG542"/>
  <c r="X542"/>
  <c r="M542"/>
  <c r="AG541"/>
  <c r="X541"/>
  <c r="M541"/>
  <c r="AG540"/>
  <c r="AB540"/>
  <c r="X540"/>
  <c r="V540"/>
  <c r="M540"/>
  <c r="AG539"/>
  <c r="X539"/>
  <c r="M539"/>
  <c r="AG538"/>
  <c r="AB538"/>
  <c r="X538"/>
  <c r="V538" s="1"/>
  <c r="U538"/>
  <c r="M538"/>
  <c r="AG537"/>
  <c r="AB537"/>
  <c r="X537"/>
  <c r="V537"/>
  <c r="M537"/>
  <c r="AG536"/>
  <c r="AB536"/>
  <c r="X536"/>
  <c r="V536"/>
  <c r="M536"/>
  <c r="AG535"/>
  <c r="X535"/>
  <c r="M535"/>
  <c r="AG534"/>
  <c r="X534"/>
  <c r="M534"/>
  <c r="AG533"/>
  <c r="X533"/>
  <c r="M533"/>
  <c r="AG532"/>
  <c r="X532"/>
  <c r="M532"/>
  <c r="AG531"/>
  <c r="X531"/>
  <c r="M531"/>
  <c r="AG530"/>
  <c r="X530"/>
  <c r="M530"/>
  <c r="AG529"/>
  <c r="X529"/>
  <c r="M529"/>
  <c r="AG528"/>
  <c r="X528"/>
  <c r="M528"/>
  <c r="AG527"/>
  <c r="X527"/>
  <c r="M527"/>
  <c r="AG526"/>
  <c r="AB526"/>
  <c r="X526"/>
  <c r="V526"/>
  <c r="M526"/>
  <c r="AG525"/>
  <c r="X525"/>
  <c r="M525"/>
  <c r="AG524"/>
  <c r="X524"/>
  <c r="M524"/>
  <c r="AG523"/>
  <c r="X523"/>
  <c r="M523"/>
  <c r="AG522"/>
  <c r="X522"/>
  <c r="M522"/>
  <c r="AG521"/>
  <c r="X521"/>
  <c r="M521"/>
  <c r="AG520"/>
  <c r="X520"/>
  <c r="M520"/>
  <c r="AB519"/>
  <c r="X519"/>
  <c r="V519"/>
  <c r="M519"/>
  <c r="X518"/>
  <c r="M518"/>
  <c r="X517"/>
  <c r="M517"/>
  <c r="X516"/>
  <c r="M516"/>
  <c r="X515"/>
  <c r="M515"/>
  <c r="AB514"/>
  <c r="X514"/>
  <c r="V514"/>
  <c r="M514"/>
  <c r="Y513"/>
  <c r="X513"/>
  <c r="M513"/>
  <c r="X512"/>
  <c r="M512"/>
  <c r="X511"/>
  <c r="M511"/>
  <c r="X510"/>
  <c r="M510"/>
  <c r="X509"/>
  <c r="M509"/>
  <c r="Y508"/>
  <c r="X508"/>
  <c r="M508"/>
  <c r="AB507" s="1"/>
  <c r="X507"/>
  <c r="V507"/>
  <c r="M507"/>
  <c r="X506"/>
  <c r="M506"/>
  <c r="X505"/>
  <c r="M505"/>
  <c r="X504"/>
  <c r="M504"/>
  <c r="Y503"/>
  <c r="X503"/>
  <c r="M503"/>
  <c r="AB502"/>
  <c r="X502"/>
  <c r="V502" s="1"/>
  <c r="M502"/>
  <c r="X501"/>
  <c r="M501"/>
  <c r="X500"/>
  <c r="T500"/>
  <c r="M500"/>
  <c r="X499"/>
  <c r="M499"/>
  <c r="AG498"/>
  <c r="AB498"/>
  <c r="X498"/>
  <c r="V498"/>
  <c r="M498"/>
  <c r="AG497"/>
  <c r="X497"/>
  <c r="M497"/>
  <c r="AG496"/>
  <c r="X496"/>
  <c r="M496"/>
  <c r="AG495"/>
  <c r="X495"/>
  <c r="M495"/>
  <c r="AG494"/>
  <c r="X494"/>
  <c r="M494"/>
  <c r="AG493"/>
  <c r="AB493"/>
  <c r="X493"/>
  <c r="V493"/>
  <c r="M493"/>
  <c r="AG492"/>
  <c r="X492"/>
  <c r="M492"/>
  <c r="AG491"/>
  <c r="X491"/>
  <c r="M491"/>
  <c r="AG490"/>
  <c r="X490"/>
  <c r="M490"/>
  <c r="AG489"/>
  <c r="AB489"/>
  <c r="X489"/>
  <c r="V489"/>
  <c r="M489"/>
  <c r="AG488"/>
  <c r="X488"/>
  <c r="M488"/>
  <c r="AG487"/>
  <c r="X487"/>
  <c r="M487"/>
  <c r="AG486"/>
  <c r="X486"/>
  <c r="M486"/>
  <c r="AG485"/>
  <c r="AB485"/>
  <c r="X485"/>
  <c r="V485"/>
  <c r="M485"/>
  <c r="AG484"/>
  <c r="X484"/>
  <c r="M484"/>
  <c r="AG483"/>
  <c r="X483"/>
  <c r="M483"/>
  <c r="AG482"/>
  <c r="X482"/>
  <c r="M482"/>
  <c r="AG481"/>
  <c r="X481"/>
  <c r="M481"/>
  <c r="AG480"/>
  <c r="X480"/>
  <c r="M480"/>
  <c r="AG479"/>
  <c r="X479"/>
  <c r="M479"/>
  <c r="AG478"/>
  <c r="X478"/>
  <c r="M478"/>
  <c r="AG477"/>
  <c r="X477"/>
  <c r="M477"/>
  <c r="AG476"/>
  <c r="AB476"/>
  <c r="X476"/>
  <c r="V476"/>
  <c r="M476"/>
  <c r="AG475"/>
  <c r="X475"/>
  <c r="M475"/>
  <c r="AG474"/>
  <c r="X474"/>
  <c r="M474"/>
  <c r="AG473"/>
  <c r="X473"/>
  <c r="M473"/>
  <c r="AG472"/>
  <c r="AB472"/>
  <c r="X472"/>
  <c r="V472"/>
  <c r="M472"/>
  <c r="AG471"/>
  <c r="AB471"/>
  <c r="X471"/>
  <c r="V471"/>
  <c r="M471"/>
  <c r="AG470"/>
  <c r="X470"/>
  <c r="M470"/>
  <c r="AG469"/>
  <c r="AB469"/>
  <c r="X469"/>
  <c r="V469" s="1"/>
  <c r="M469"/>
  <c r="AG468"/>
  <c r="X468"/>
  <c r="M468"/>
  <c r="AG467"/>
  <c r="X467"/>
  <c r="M467"/>
  <c r="AG466"/>
  <c r="X466"/>
  <c r="U466"/>
  <c r="M466"/>
  <c r="AG465"/>
  <c r="AB465"/>
  <c r="X465"/>
  <c r="V465"/>
  <c r="M465"/>
  <c r="AG464"/>
  <c r="X464"/>
  <c r="M464"/>
  <c r="AG463"/>
  <c r="X463"/>
  <c r="M463"/>
  <c r="AG462"/>
  <c r="AB462"/>
  <c r="X462"/>
  <c r="V462" s="1"/>
  <c r="M462"/>
  <c r="AG461"/>
  <c r="X461"/>
  <c r="M461"/>
  <c r="AG460"/>
  <c r="X460"/>
  <c r="M460"/>
  <c r="AG459"/>
  <c r="X459"/>
  <c r="M459"/>
  <c r="AG458"/>
  <c r="X458"/>
  <c r="M458"/>
  <c r="AG457"/>
  <c r="X457"/>
  <c r="S457"/>
  <c r="M457"/>
  <c r="AG456"/>
  <c r="AB456"/>
  <c r="X456"/>
  <c r="V456" s="1"/>
  <c r="M456"/>
  <c r="I456"/>
  <c r="AG455"/>
  <c r="X455"/>
  <c r="M455"/>
  <c r="AG454"/>
  <c r="X454"/>
  <c r="M454"/>
  <c r="AG453"/>
  <c r="X453"/>
  <c r="M453"/>
  <c r="AG452"/>
  <c r="X452"/>
  <c r="M452"/>
  <c r="AG451"/>
  <c r="X451"/>
  <c r="M451"/>
  <c r="AG450"/>
  <c r="X450"/>
  <c r="U450"/>
  <c r="M450"/>
  <c r="AG449"/>
  <c r="AB449"/>
  <c r="X449"/>
  <c r="V449" s="1"/>
  <c r="M449"/>
  <c r="AG448"/>
  <c r="X448"/>
  <c r="S448"/>
  <c r="M448"/>
  <c r="AG447"/>
  <c r="X447"/>
  <c r="S447"/>
  <c r="M447"/>
  <c r="AG446"/>
  <c r="AB446"/>
  <c r="X446"/>
  <c r="V446"/>
  <c r="M446"/>
  <c r="AG445"/>
  <c r="X445"/>
  <c r="M445"/>
  <c r="AG444"/>
  <c r="X444"/>
  <c r="M444"/>
  <c r="AG443"/>
  <c r="X443"/>
  <c r="M443"/>
  <c r="AG442"/>
  <c r="X442"/>
  <c r="M442"/>
  <c r="AG441"/>
  <c r="AB441"/>
  <c r="X441"/>
  <c r="V441"/>
  <c r="M441"/>
  <c r="AG440"/>
  <c r="X440"/>
  <c r="M440"/>
  <c r="AG439"/>
  <c r="X439"/>
  <c r="M439"/>
  <c r="AG438"/>
  <c r="X438"/>
  <c r="M438"/>
  <c r="AG437"/>
  <c r="X437"/>
  <c r="M437"/>
  <c r="AG436"/>
  <c r="X436"/>
  <c r="M436"/>
  <c r="AG435"/>
  <c r="X435"/>
  <c r="M435"/>
  <c r="AG434"/>
  <c r="X434"/>
  <c r="M434"/>
  <c r="AG433"/>
  <c r="AB433"/>
  <c r="X433"/>
  <c r="V433"/>
  <c r="M433"/>
  <c r="AG432"/>
  <c r="X432"/>
  <c r="M432"/>
  <c r="AG431"/>
  <c r="X431"/>
  <c r="M431"/>
  <c r="AG430"/>
  <c r="AB430"/>
  <c r="X430"/>
  <c r="V430"/>
  <c r="M430"/>
  <c r="AG429"/>
  <c r="X429"/>
  <c r="M429"/>
  <c r="AG428"/>
  <c r="X428"/>
  <c r="M428"/>
  <c r="AG427"/>
  <c r="X427"/>
  <c r="M427"/>
  <c r="AG426"/>
  <c r="X426"/>
  <c r="M426"/>
  <c r="AG425"/>
  <c r="AB425"/>
  <c r="X425"/>
  <c r="V425"/>
  <c r="M425"/>
  <c r="AG424"/>
  <c r="X424"/>
  <c r="M424"/>
  <c r="AG423"/>
  <c r="X423"/>
  <c r="M423"/>
  <c r="AG422"/>
  <c r="X422"/>
  <c r="M422"/>
  <c r="AG421"/>
  <c r="AB421"/>
  <c r="X421"/>
  <c r="V421"/>
  <c r="M421"/>
  <c r="AG420"/>
  <c r="X420"/>
  <c r="M420"/>
  <c r="AG419"/>
  <c r="X419"/>
  <c r="M419"/>
  <c r="AG418"/>
  <c r="AB418"/>
  <c r="X418"/>
  <c r="V418"/>
  <c r="M418"/>
  <c r="AG417"/>
  <c r="X417"/>
  <c r="M417"/>
  <c r="AG416"/>
  <c r="AB416"/>
  <c r="X416"/>
  <c r="V416"/>
  <c r="M416"/>
  <c r="AG415"/>
  <c r="X415"/>
  <c r="M415"/>
  <c r="AG414"/>
  <c r="AB414"/>
  <c r="X414"/>
  <c r="V414"/>
  <c r="M414"/>
  <c r="AG413"/>
  <c r="X413"/>
  <c r="M413"/>
  <c r="AG412"/>
  <c r="X412"/>
  <c r="M412"/>
  <c r="AG411"/>
  <c r="X411"/>
  <c r="M411"/>
  <c r="AG410"/>
  <c r="X410"/>
  <c r="M410"/>
  <c r="AG409"/>
  <c r="X409"/>
  <c r="M409"/>
  <c r="AG408"/>
  <c r="AB408"/>
  <c r="X408"/>
  <c r="V408"/>
  <c r="M408"/>
  <c r="AG407"/>
  <c r="X407"/>
  <c r="M407"/>
  <c r="AG406"/>
  <c r="X406"/>
  <c r="M406"/>
  <c r="AG405"/>
  <c r="X405"/>
  <c r="M405"/>
  <c r="AG404"/>
  <c r="X404"/>
  <c r="M404"/>
  <c r="AG403"/>
  <c r="X403"/>
  <c r="M403"/>
  <c r="AG402"/>
  <c r="X402"/>
  <c r="M402"/>
  <c r="AG401"/>
  <c r="AB401"/>
  <c r="X401"/>
  <c r="V401"/>
  <c r="M401"/>
  <c r="AG400"/>
  <c r="X400"/>
  <c r="M400"/>
  <c r="AG399"/>
  <c r="X399"/>
  <c r="M399"/>
  <c r="AG398"/>
  <c r="AB398"/>
  <c r="X398"/>
  <c r="V398"/>
  <c r="M398"/>
  <c r="AG397"/>
  <c r="X397"/>
  <c r="M397"/>
  <c r="AG396"/>
  <c r="X396"/>
  <c r="M396"/>
  <c r="AG395"/>
  <c r="X395"/>
  <c r="M395"/>
  <c r="AG394"/>
  <c r="X394"/>
  <c r="M394"/>
  <c r="AG393"/>
  <c r="X393"/>
  <c r="U393"/>
  <c r="M393"/>
  <c r="AG392"/>
  <c r="X392"/>
  <c r="U392"/>
  <c r="M392"/>
  <c r="AG391"/>
  <c r="AB391"/>
  <c r="X391"/>
  <c r="V391" s="1"/>
  <c r="M391"/>
  <c r="AG390"/>
  <c r="X390"/>
  <c r="M390"/>
  <c r="AG389"/>
  <c r="X389"/>
  <c r="M389"/>
  <c r="AG388"/>
  <c r="X388"/>
  <c r="U388"/>
  <c r="M388"/>
  <c r="AG387"/>
  <c r="AB387"/>
  <c r="X387"/>
  <c r="V387"/>
  <c r="M387"/>
  <c r="AG386"/>
  <c r="X386"/>
  <c r="M386"/>
  <c r="AG385"/>
  <c r="X385"/>
  <c r="M385"/>
  <c r="AG384"/>
  <c r="X384"/>
  <c r="M384"/>
  <c r="AG383"/>
  <c r="X383"/>
  <c r="M383"/>
  <c r="AG382"/>
  <c r="AB382"/>
  <c r="X382"/>
  <c r="V382"/>
  <c r="M382"/>
  <c r="AG381"/>
  <c r="X381"/>
  <c r="M381"/>
  <c r="AG380"/>
  <c r="X380"/>
  <c r="S380"/>
  <c r="M380"/>
  <c r="AG379"/>
  <c r="X379"/>
  <c r="M379"/>
  <c r="AG378"/>
  <c r="X378"/>
  <c r="M378"/>
  <c r="AG377"/>
  <c r="AB377"/>
  <c r="X377"/>
  <c r="V377"/>
  <c r="M377"/>
  <c r="AG376"/>
  <c r="X376"/>
  <c r="M376"/>
  <c r="AG375"/>
  <c r="X375"/>
  <c r="M375"/>
  <c r="AG374"/>
  <c r="X374"/>
  <c r="M374"/>
  <c r="AG373"/>
  <c r="X373"/>
  <c r="M373"/>
  <c r="AG372"/>
  <c r="AB372"/>
  <c r="X372"/>
  <c r="V372"/>
  <c r="M372"/>
  <c r="AG371"/>
  <c r="X371"/>
  <c r="M371"/>
  <c r="AG370"/>
  <c r="X370"/>
  <c r="M370"/>
  <c r="AG369"/>
  <c r="X369"/>
  <c r="M369"/>
  <c r="AG368"/>
  <c r="X368"/>
  <c r="M368"/>
  <c r="AG367"/>
  <c r="X367"/>
  <c r="M367"/>
  <c r="AG366"/>
  <c r="X366"/>
  <c r="M366"/>
  <c r="AG365"/>
  <c r="AB365"/>
  <c r="X365"/>
  <c r="V365" s="1"/>
  <c r="M365"/>
  <c r="AG364"/>
  <c r="X364"/>
  <c r="M364"/>
  <c r="AG363"/>
  <c r="X363"/>
  <c r="M363"/>
  <c r="AG362"/>
  <c r="X362"/>
  <c r="U362"/>
  <c r="M362"/>
  <c r="AG361"/>
  <c r="AB361"/>
  <c r="X361"/>
  <c r="V361"/>
  <c r="M361"/>
  <c r="AG360"/>
  <c r="X360"/>
  <c r="M360"/>
  <c r="AG359"/>
  <c r="X359"/>
  <c r="M359"/>
  <c r="AG358"/>
  <c r="X358"/>
  <c r="M358"/>
  <c r="AG357"/>
  <c r="X357"/>
  <c r="M357"/>
  <c r="AG356"/>
  <c r="X356"/>
  <c r="M356"/>
  <c r="AG355"/>
  <c r="X355"/>
  <c r="M355"/>
  <c r="AG354"/>
  <c r="X354"/>
  <c r="M354"/>
  <c r="AG353"/>
  <c r="X353"/>
  <c r="M353"/>
  <c r="AG352"/>
  <c r="X352"/>
  <c r="M352"/>
  <c r="AG351"/>
  <c r="X351"/>
  <c r="M351"/>
  <c r="AG350"/>
  <c r="AB350"/>
  <c r="X350"/>
  <c r="V350"/>
  <c r="M350"/>
  <c r="AG349"/>
  <c r="X349"/>
  <c r="M349"/>
  <c r="AG348"/>
  <c r="X348"/>
  <c r="M348"/>
  <c r="AG347"/>
  <c r="X347"/>
  <c r="M347"/>
  <c r="AG346"/>
  <c r="AB346"/>
  <c r="X346"/>
  <c r="V346"/>
  <c r="M346"/>
  <c r="AG345"/>
  <c r="X345"/>
  <c r="M345"/>
  <c r="AG344"/>
  <c r="X344"/>
  <c r="M344"/>
  <c r="AG343"/>
  <c r="X343"/>
  <c r="M343"/>
  <c r="AG342"/>
  <c r="X342"/>
  <c r="M342"/>
  <c r="AG341"/>
  <c r="AB341"/>
  <c r="X341"/>
  <c r="V341"/>
  <c r="M341"/>
  <c r="AG340"/>
  <c r="X340"/>
  <c r="M340"/>
  <c r="AG339"/>
  <c r="X339"/>
  <c r="M339"/>
  <c r="AG338"/>
  <c r="X338"/>
  <c r="M338"/>
  <c r="AG337"/>
  <c r="X337"/>
  <c r="M337"/>
  <c r="AG336"/>
  <c r="X336"/>
  <c r="M336"/>
  <c r="AG335"/>
  <c r="X335"/>
  <c r="M335"/>
  <c r="AG334"/>
  <c r="X334"/>
  <c r="M334"/>
  <c r="AG333"/>
  <c r="X333"/>
  <c r="M333"/>
  <c r="AG332"/>
  <c r="X332"/>
  <c r="M332"/>
  <c r="AG331"/>
  <c r="X331"/>
  <c r="M331"/>
  <c r="AG330"/>
  <c r="AB330"/>
  <c r="X330"/>
  <c r="V330"/>
  <c r="M330"/>
  <c r="AG329"/>
  <c r="X329"/>
  <c r="M329"/>
  <c r="AG328"/>
  <c r="X328"/>
  <c r="M328"/>
  <c r="AG327"/>
  <c r="X327"/>
  <c r="M327"/>
  <c r="AG326"/>
  <c r="X326"/>
  <c r="M326"/>
  <c r="AG325"/>
  <c r="X325"/>
  <c r="M325"/>
  <c r="AG324"/>
  <c r="X324"/>
  <c r="M324"/>
  <c r="AG323"/>
  <c r="AB323"/>
  <c r="X323"/>
  <c r="V323"/>
  <c r="M323"/>
  <c r="AG322"/>
  <c r="X322"/>
  <c r="M322"/>
  <c r="AG321"/>
  <c r="X321"/>
  <c r="M321"/>
  <c r="AG320"/>
  <c r="X320"/>
  <c r="M320"/>
  <c r="AG319"/>
  <c r="X319"/>
  <c r="M319"/>
  <c r="AG318"/>
  <c r="X318"/>
  <c r="M318"/>
  <c r="AG317"/>
  <c r="M317"/>
  <c r="AG316"/>
  <c r="X316"/>
  <c r="M316"/>
  <c r="AG315"/>
  <c r="AB315"/>
  <c r="X315"/>
  <c r="V315"/>
  <c r="M315"/>
  <c r="AG314"/>
  <c r="X314"/>
  <c r="M314"/>
  <c r="AG313"/>
  <c r="X313"/>
  <c r="M313"/>
  <c r="AG312"/>
  <c r="X312"/>
  <c r="M312"/>
  <c r="AG311"/>
  <c r="M311"/>
  <c r="AG310"/>
  <c r="AB310"/>
  <c r="X310"/>
  <c r="V310" s="1"/>
  <c r="M310"/>
  <c r="AG309"/>
  <c r="X309"/>
  <c r="M309"/>
  <c r="AG308"/>
  <c r="X308"/>
  <c r="M308"/>
  <c r="AG307"/>
  <c r="X307"/>
  <c r="M307"/>
  <c r="AG306"/>
  <c r="X306"/>
  <c r="M306"/>
  <c r="AG305"/>
  <c r="X305"/>
  <c r="T305"/>
  <c r="M305"/>
  <c r="AG304"/>
  <c r="AB304"/>
  <c r="X304"/>
  <c r="V304"/>
  <c r="M304"/>
  <c r="AG303"/>
  <c r="X303"/>
  <c r="M303"/>
  <c r="AG302"/>
  <c r="X302"/>
  <c r="M302"/>
  <c r="AG301"/>
  <c r="AB301"/>
  <c r="X301"/>
  <c r="V301"/>
  <c r="M301"/>
  <c r="AG300"/>
  <c r="X300"/>
  <c r="M300"/>
  <c r="AG299"/>
  <c r="X299"/>
  <c r="M299"/>
  <c r="AG298"/>
  <c r="X298"/>
  <c r="M298"/>
  <c r="AG297"/>
  <c r="X297"/>
  <c r="M297"/>
  <c r="AG296"/>
  <c r="X296"/>
  <c r="M296"/>
  <c r="AB295" s="1"/>
  <c r="X295"/>
  <c r="V295" s="1"/>
  <c r="M295"/>
  <c r="X294"/>
  <c r="M294"/>
  <c r="Y293"/>
  <c r="X293"/>
  <c r="M293"/>
  <c r="X292"/>
  <c r="U292"/>
  <c r="M292"/>
  <c r="AB291" s="1"/>
  <c r="X291"/>
  <c r="V291"/>
  <c r="M291"/>
  <c r="X290"/>
  <c r="M290"/>
  <c r="X289"/>
  <c r="M289"/>
  <c r="X288"/>
  <c r="M288"/>
  <c r="X287"/>
  <c r="M287"/>
  <c r="X286"/>
  <c r="M286"/>
  <c r="Y285"/>
  <c r="X285"/>
  <c r="M285"/>
  <c r="AG284"/>
  <c r="AB284"/>
  <c r="X284"/>
  <c r="V284"/>
  <c r="M284"/>
  <c r="AG283"/>
  <c r="X283"/>
  <c r="M283"/>
  <c r="AG282"/>
  <c r="AB282"/>
  <c r="X282"/>
  <c r="V282"/>
  <c r="M282"/>
  <c r="AG281"/>
  <c r="X281"/>
  <c r="M281"/>
  <c r="AG280"/>
  <c r="X280"/>
  <c r="M280"/>
  <c r="AG279"/>
  <c r="X279"/>
  <c r="M279"/>
  <c r="AG278"/>
  <c r="X278"/>
  <c r="M278"/>
  <c r="AN277"/>
  <c r="AG277"/>
  <c r="AB277"/>
  <c r="X277"/>
  <c r="V277"/>
  <c r="M277"/>
  <c r="AN276"/>
  <c r="AG276"/>
  <c r="X276"/>
  <c r="M276"/>
  <c r="AN275"/>
  <c r="AG275"/>
  <c r="X275"/>
  <c r="M275"/>
  <c r="AG274"/>
  <c r="AB274"/>
  <c r="X274"/>
  <c r="V274"/>
  <c r="M274"/>
  <c r="AG273"/>
  <c r="X273"/>
  <c r="M273"/>
  <c r="AN272"/>
  <c r="AG272"/>
  <c r="AB272"/>
  <c r="X272"/>
  <c r="V272"/>
  <c r="M272"/>
  <c r="AN271"/>
  <c r="AG271"/>
  <c r="X271"/>
  <c r="M271"/>
  <c r="AN270"/>
  <c r="AG270"/>
  <c r="X270"/>
  <c r="M270"/>
  <c r="AN269"/>
  <c r="AG269"/>
  <c r="X269"/>
  <c r="M269"/>
  <c r="AG268"/>
  <c r="AB268"/>
  <c r="X268"/>
  <c r="V268"/>
  <c r="M268"/>
  <c r="AG267"/>
  <c r="X267"/>
  <c r="M267"/>
  <c r="AG266"/>
  <c r="X266"/>
  <c r="M266"/>
  <c r="AG265"/>
  <c r="X265"/>
  <c r="V265"/>
  <c r="M265"/>
  <c r="AG264"/>
  <c r="X264"/>
  <c r="M264"/>
  <c r="AG263"/>
  <c r="X263"/>
  <c r="M263"/>
  <c r="AG262"/>
  <c r="X262"/>
  <c r="M262"/>
  <c r="AG261"/>
  <c r="X261"/>
  <c r="M261"/>
  <c r="AG260"/>
  <c r="X260"/>
  <c r="M260"/>
  <c r="AG259"/>
  <c r="AB259"/>
  <c r="X259"/>
  <c r="V259"/>
  <c r="M259"/>
  <c r="AG258"/>
  <c r="X258"/>
  <c r="M258"/>
  <c r="AG257"/>
  <c r="X257"/>
  <c r="M257"/>
  <c r="AG256"/>
  <c r="AB256"/>
  <c r="X256"/>
  <c r="V256"/>
  <c r="M256"/>
  <c r="AG255"/>
  <c r="X255"/>
  <c r="M255"/>
  <c r="AG254"/>
  <c r="X254"/>
  <c r="M254"/>
  <c r="AG253"/>
  <c r="AB253"/>
  <c r="X253"/>
  <c r="V253"/>
  <c r="M253"/>
  <c r="AG252"/>
  <c r="AB252"/>
  <c r="X252"/>
  <c r="V252"/>
  <c r="M252"/>
  <c r="AG251"/>
  <c r="X251"/>
  <c r="M251"/>
  <c r="AG250"/>
  <c r="X250"/>
  <c r="M250"/>
  <c r="AG249"/>
  <c r="X249"/>
  <c r="M249"/>
  <c r="AG248"/>
  <c r="AB248"/>
  <c r="X248"/>
  <c r="V248" s="1"/>
  <c r="M248"/>
  <c r="AG247"/>
  <c r="X247"/>
  <c r="M247"/>
  <c r="AG246"/>
  <c r="X246"/>
  <c r="M246"/>
  <c r="AG245"/>
  <c r="X245"/>
  <c r="M245"/>
  <c r="AG244"/>
  <c r="X244"/>
  <c r="S244"/>
  <c r="M244"/>
  <c r="AG243"/>
  <c r="AB243"/>
  <c r="X243"/>
  <c r="V243"/>
  <c r="M243"/>
  <c r="AG242"/>
  <c r="X242"/>
  <c r="M242"/>
  <c r="AG241"/>
  <c r="AB241"/>
  <c r="X241"/>
  <c r="V241"/>
  <c r="M241"/>
  <c r="AG240"/>
  <c r="X240"/>
  <c r="M240"/>
  <c r="AG239"/>
  <c r="X239"/>
  <c r="M239"/>
  <c r="AG238"/>
  <c r="X238"/>
  <c r="M238"/>
  <c r="AG237"/>
  <c r="AB237"/>
  <c r="X237"/>
  <c r="V237" s="1"/>
  <c r="M237"/>
  <c r="AG236"/>
  <c r="X236"/>
  <c r="M236"/>
  <c r="AG235"/>
  <c r="X235"/>
  <c r="M235"/>
  <c r="AG234"/>
  <c r="X234"/>
  <c r="S234"/>
  <c r="M234"/>
  <c r="AG233"/>
  <c r="AB233"/>
  <c r="X233"/>
  <c r="V233" s="1"/>
  <c r="M233"/>
  <c r="AG232"/>
  <c r="X232"/>
  <c r="M232"/>
  <c r="AG231"/>
  <c r="X231"/>
  <c r="M231"/>
  <c r="AG230"/>
  <c r="X230"/>
  <c r="M230"/>
  <c r="AG229"/>
  <c r="X229"/>
  <c r="M229"/>
  <c r="AG228"/>
  <c r="X228"/>
  <c r="T228"/>
  <c r="M228"/>
  <c r="AG227"/>
  <c r="AB227"/>
  <c r="X227"/>
  <c r="V227"/>
  <c r="M227"/>
  <c r="AG226"/>
  <c r="X226"/>
  <c r="M226"/>
  <c r="AG225"/>
  <c r="X225"/>
  <c r="M225"/>
  <c r="AG224"/>
  <c r="AB224"/>
  <c r="X224"/>
  <c r="V224"/>
  <c r="M224"/>
  <c r="AG223"/>
  <c r="X223"/>
  <c r="M223"/>
  <c r="AG222"/>
  <c r="X222"/>
  <c r="M222"/>
  <c r="AG221"/>
  <c r="X221"/>
  <c r="M221"/>
  <c r="AG220"/>
  <c r="X220"/>
  <c r="M220"/>
  <c r="AG219"/>
  <c r="AB219"/>
  <c r="X219"/>
  <c r="V219"/>
  <c r="M219"/>
  <c r="AG218"/>
  <c r="X218"/>
  <c r="M218"/>
  <c r="AG217"/>
  <c r="X217"/>
  <c r="M217"/>
  <c r="AG216"/>
  <c r="X216"/>
  <c r="M216"/>
  <c r="AG215"/>
  <c r="X215"/>
  <c r="M215"/>
  <c r="AG214"/>
  <c r="X214"/>
  <c r="M214"/>
  <c r="AG213"/>
  <c r="X213"/>
  <c r="M213"/>
  <c r="AG212"/>
  <c r="X212"/>
  <c r="M212"/>
  <c r="AG211"/>
  <c r="AB211"/>
  <c r="X211"/>
  <c r="V211" s="1"/>
  <c r="M211"/>
  <c r="AG210"/>
  <c r="X210"/>
  <c r="M210"/>
  <c r="AG209"/>
  <c r="X209"/>
  <c r="M209"/>
  <c r="AG208"/>
  <c r="X208"/>
  <c r="M208"/>
  <c r="AG207"/>
  <c r="X207"/>
  <c r="M207"/>
  <c r="AG206"/>
  <c r="X206"/>
  <c r="S206"/>
  <c r="M206"/>
  <c r="AG205"/>
  <c r="AB205"/>
  <c r="X205"/>
  <c r="V205" s="1"/>
  <c r="M205"/>
  <c r="AG204"/>
  <c r="X204"/>
  <c r="M204"/>
  <c r="AG203"/>
  <c r="X203"/>
  <c r="M203"/>
  <c r="AG202"/>
  <c r="X202"/>
  <c r="U202"/>
  <c r="M202"/>
  <c r="AG201"/>
  <c r="AB201"/>
  <c r="X201"/>
  <c r="V201"/>
  <c r="M201"/>
  <c r="AG200"/>
  <c r="X200"/>
  <c r="M200"/>
  <c r="AG199"/>
  <c r="X199"/>
  <c r="M199"/>
  <c r="AG198"/>
  <c r="X198"/>
  <c r="M198"/>
  <c r="AG197"/>
  <c r="X197"/>
  <c r="M197"/>
  <c r="AG196"/>
  <c r="AB196"/>
  <c r="X196"/>
  <c r="V196"/>
  <c r="M196"/>
  <c r="AG195"/>
  <c r="X195"/>
  <c r="M195"/>
  <c r="AG194"/>
  <c r="X194"/>
  <c r="M194"/>
  <c r="AG193"/>
  <c r="X193"/>
  <c r="M193"/>
  <c r="AG192"/>
  <c r="X192"/>
  <c r="M192"/>
  <c r="AG191"/>
  <c r="X191"/>
  <c r="M191"/>
  <c r="AG190"/>
  <c r="X190"/>
  <c r="M190"/>
  <c r="AG189"/>
  <c r="X189"/>
  <c r="M189"/>
  <c r="AG188"/>
  <c r="X188"/>
  <c r="M188"/>
  <c r="AG187"/>
  <c r="AB187"/>
  <c r="X187"/>
  <c r="V187"/>
  <c r="M187"/>
  <c r="AG186"/>
  <c r="AB186"/>
  <c r="X186"/>
  <c r="V186"/>
  <c r="M186"/>
  <c r="AG185"/>
  <c r="X185"/>
  <c r="M185"/>
  <c r="AG184"/>
  <c r="X184"/>
  <c r="M184"/>
  <c r="AG183"/>
  <c r="X183"/>
  <c r="M183"/>
  <c r="AG182"/>
  <c r="AB182"/>
  <c r="X182"/>
  <c r="V182"/>
  <c r="M182"/>
  <c r="AG181"/>
  <c r="X181"/>
  <c r="M181"/>
  <c r="AG180"/>
  <c r="X180"/>
  <c r="M180"/>
  <c r="AG179"/>
  <c r="AB179"/>
  <c r="X179"/>
  <c r="V179"/>
  <c r="M179"/>
  <c r="AG178"/>
  <c r="X178"/>
  <c r="M178"/>
  <c r="AG177"/>
  <c r="X177"/>
  <c r="M177"/>
  <c r="AG176"/>
  <c r="X176"/>
  <c r="M176"/>
  <c r="AG175"/>
  <c r="AB175"/>
  <c r="X175"/>
  <c r="V175"/>
  <c r="M175"/>
  <c r="AG174"/>
  <c r="X174"/>
  <c r="M174"/>
  <c r="AG173"/>
  <c r="X173"/>
  <c r="M173"/>
  <c r="AG172"/>
  <c r="AB172"/>
  <c r="X172"/>
  <c r="V172"/>
  <c r="M172"/>
  <c r="AG171"/>
  <c r="X171"/>
  <c r="M171"/>
  <c r="AG170"/>
  <c r="X170"/>
  <c r="M170"/>
  <c r="AG169"/>
  <c r="AB169"/>
  <c r="X169"/>
  <c r="V169"/>
  <c r="M169"/>
  <c r="AG168"/>
  <c r="X168"/>
  <c r="M168"/>
  <c r="AG167"/>
  <c r="X167"/>
  <c r="M167"/>
  <c r="AG166"/>
  <c r="X166"/>
  <c r="M166"/>
  <c r="AG165"/>
  <c r="AB165"/>
  <c r="X165"/>
  <c r="V165"/>
  <c r="M165"/>
  <c r="AG164"/>
  <c r="X164"/>
  <c r="M164"/>
  <c r="AG163"/>
  <c r="X163"/>
  <c r="M163"/>
  <c r="AG162"/>
  <c r="X162"/>
  <c r="M162"/>
  <c r="AG161"/>
  <c r="X161"/>
  <c r="M161"/>
  <c r="AG160"/>
  <c r="X160"/>
  <c r="M160"/>
  <c r="AG159"/>
  <c r="X159"/>
  <c r="M159"/>
  <c r="AG158"/>
  <c r="AB158"/>
  <c r="X158"/>
  <c r="V158"/>
  <c r="M158"/>
  <c r="AG157"/>
  <c r="X157"/>
  <c r="M157"/>
  <c r="AG156"/>
  <c r="AB156"/>
  <c r="X156"/>
  <c r="V156"/>
  <c r="M156"/>
  <c r="AG155"/>
  <c r="X155"/>
  <c r="M155"/>
  <c r="AG154"/>
  <c r="X154"/>
  <c r="M154"/>
  <c r="AG153"/>
  <c r="X153"/>
  <c r="M153"/>
  <c r="AG152"/>
  <c r="AB152"/>
  <c r="X152"/>
  <c r="V152"/>
  <c r="M152"/>
  <c r="AG151"/>
  <c r="X151"/>
  <c r="M151"/>
  <c r="AG150"/>
  <c r="X150"/>
  <c r="M150"/>
  <c r="AG149"/>
  <c r="X149"/>
  <c r="M149"/>
  <c r="AG148"/>
  <c r="X148"/>
  <c r="M148"/>
  <c r="AG147"/>
  <c r="AB147"/>
  <c r="X147"/>
  <c r="V147"/>
  <c r="M147"/>
  <c r="AG146"/>
  <c r="X146"/>
  <c r="M146"/>
  <c r="AG145"/>
  <c r="X145"/>
  <c r="M145"/>
  <c r="AG144"/>
  <c r="X144"/>
  <c r="M144"/>
  <c r="AG143"/>
  <c r="X143"/>
  <c r="M143"/>
  <c r="AG142"/>
  <c r="X142"/>
  <c r="M142"/>
  <c r="AG141"/>
  <c r="X141"/>
  <c r="M141"/>
  <c r="AG140"/>
  <c r="X140"/>
  <c r="M140"/>
  <c r="AG139"/>
  <c r="X139"/>
  <c r="M139"/>
  <c r="AG138"/>
  <c r="AG137"/>
  <c r="AG136"/>
  <c r="AG135"/>
  <c r="AG134"/>
  <c r="AB134"/>
  <c r="X134"/>
  <c r="V134"/>
  <c r="M134"/>
  <c r="AG133"/>
  <c r="X133"/>
  <c r="M133"/>
  <c r="AG132"/>
  <c r="X132"/>
  <c r="M132"/>
  <c r="AG131"/>
  <c r="X131"/>
  <c r="M131"/>
  <c r="AG130"/>
  <c r="X130"/>
  <c r="M130"/>
  <c r="AG129"/>
  <c r="X129"/>
  <c r="M129"/>
  <c r="AG128"/>
  <c r="AB128"/>
  <c r="X128"/>
  <c r="V128" s="1"/>
  <c r="U128"/>
  <c r="M128"/>
  <c r="AG127"/>
  <c r="X127"/>
  <c r="T127"/>
  <c r="M127"/>
  <c r="AG126"/>
  <c r="X126"/>
  <c r="M126"/>
  <c r="AG125"/>
  <c r="AB125"/>
  <c r="X125"/>
  <c r="V125"/>
  <c r="M125"/>
  <c r="AG124"/>
  <c r="AB124"/>
  <c r="X124"/>
  <c r="V124"/>
  <c r="S124"/>
  <c r="M124"/>
  <c r="AG123"/>
  <c r="M123"/>
  <c r="AG122"/>
  <c r="X122"/>
  <c r="U122"/>
  <c r="M122"/>
  <c r="AG121"/>
  <c r="AG120"/>
  <c r="AB120"/>
  <c r="X120"/>
  <c r="V120"/>
  <c r="M120"/>
  <c r="AG119"/>
  <c r="X119"/>
  <c r="M119"/>
  <c r="AG118"/>
  <c r="X118"/>
  <c r="M118"/>
  <c r="AG117"/>
  <c r="X117"/>
  <c r="M117"/>
  <c r="AG116"/>
  <c r="AB116"/>
  <c r="X116"/>
  <c r="V116"/>
  <c r="M116"/>
  <c r="AG115"/>
  <c r="X115"/>
  <c r="M115"/>
  <c r="AG114"/>
  <c r="AB114"/>
  <c r="X114"/>
  <c r="V114"/>
  <c r="M114"/>
  <c r="AG113"/>
  <c r="X113"/>
  <c r="M113"/>
  <c r="AG112"/>
  <c r="X112"/>
  <c r="M112"/>
  <c r="AG111"/>
  <c r="X111"/>
  <c r="M111"/>
  <c r="AG110"/>
  <c r="X110"/>
  <c r="M110"/>
  <c r="AG109"/>
  <c r="X109"/>
  <c r="M109"/>
  <c r="AG108"/>
  <c r="X108"/>
  <c r="M108"/>
  <c r="AG107"/>
  <c r="X107"/>
  <c r="M107"/>
  <c r="AG106"/>
  <c r="AB106"/>
  <c r="X106"/>
  <c r="V106"/>
  <c r="M106"/>
  <c r="AG105"/>
  <c r="X105"/>
  <c r="M105"/>
  <c r="AG104"/>
  <c r="AB104"/>
  <c r="X104"/>
  <c r="V104"/>
  <c r="M104"/>
  <c r="AG103"/>
  <c r="AB103"/>
  <c r="X103"/>
  <c r="V103"/>
  <c r="M103"/>
  <c r="AG102"/>
  <c r="X102"/>
  <c r="M102"/>
  <c r="AG101"/>
  <c r="X101"/>
  <c r="M101"/>
  <c r="AG100"/>
  <c r="X100"/>
  <c r="M100"/>
  <c r="AG99"/>
  <c r="X99"/>
  <c r="M99"/>
  <c r="AG98"/>
  <c r="AB98"/>
  <c r="X98"/>
  <c r="V98"/>
  <c r="M98"/>
  <c r="AG97"/>
  <c r="X97"/>
  <c r="M97"/>
  <c r="AG96"/>
  <c r="X96"/>
  <c r="M96"/>
  <c r="AG95"/>
  <c r="AB95"/>
  <c r="X95"/>
  <c r="V95" s="1"/>
  <c r="M95"/>
  <c r="AG94"/>
  <c r="X94"/>
  <c r="M94"/>
  <c r="AG93"/>
  <c r="X93"/>
  <c r="M93"/>
  <c r="AG92"/>
  <c r="X92"/>
  <c r="M92"/>
  <c r="AG91"/>
  <c r="X91"/>
  <c r="S91"/>
  <c r="M91"/>
  <c r="AG90"/>
  <c r="AB90"/>
  <c r="X90"/>
  <c r="V90"/>
  <c r="M90"/>
  <c r="AG89"/>
  <c r="X89"/>
  <c r="M89"/>
  <c r="AB88"/>
  <c r="X88"/>
  <c r="V88"/>
  <c r="M88"/>
  <c r="X87"/>
  <c r="M87"/>
  <c r="X86"/>
  <c r="M86"/>
  <c r="X85"/>
  <c r="M85"/>
  <c r="X84"/>
  <c r="M84"/>
  <c r="AG83"/>
  <c r="AB83"/>
  <c r="X83"/>
  <c r="V83"/>
  <c r="M83"/>
  <c r="AG82"/>
  <c r="X82"/>
  <c r="M82"/>
  <c r="AG81"/>
  <c r="AB81"/>
  <c r="X81"/>
  <c r="V81"/>
  <c r="M81"/>
  <c r="AG80"/>
  <c r="X80"/>
  <c r="M80"/>
  <c r="AG79"/>
  <c r="AB79"/>
  <c r="X79"/>
  <c r="V79"/>
  <c r="M79"/>
  <c r="AG78"/>
  <c r="X78"/>
  <c r="M78"/>
  <c r="AG77"/>
  <c r="X77"/>
  <c r="M77"/>
  <c r="AG76"/>
  <c r="X76"/>
  <c r="M76"/>
  <c r="AN75"/>
  <c r="AG75"/>
  <c r="X75"/>
  <c r="M75"/>
  <c r="AG74"/>
  <c r="AB74"/>
  <c r="X74"/>
  <c r="V74"/>
  <c r="M74"/>
  <c r="AG73"/>
  <c r="X73"/>
  <c r="M73"/>
  <c r="AG72"/>
  <c r="X72"/>
  <c r="M72"/>
  <c r="AG71"/>
  <c r="X71"/>
  <c r="M71"/>
  <c r="AG70"/>
  <c r="X70"/>
  <c r="M70"/>
  <c r="AG69"/>
  <c r="X69"/>
  <c r="M69"/>
  <c r="AG68"/>
  <c r="AB68"/>
  <c r="X68"/>
  <c r="V68"/>
  <c r="M68"/>
  <c r="AG67"/>
  <c r="X67"/>
  <c r="M67"/>
  <c r="AG66"/>
  <c r="AB66"/>
  <c r="X66"/>
  <c r="V66"/>
  <c r="M66"/>
  <c r="AG65"/>
  <c r="X65"/>
  <c r="M65"/>
  <c r="AG64"/>
  <c r="X64"/>
  <c r="M64"/>
  <c r="AG63"/>
  <c r="X63"/>
  <c r="M63"/>
  <c r="AG62"/>
  <c r="X62"/>
  <c r="M62"/>
  <c r="AG61"/>
  <c r="X61"/>
  <c r="M61"/>
  <c r="AG60"/>
  <c r="X60"/>
  <c r="U60"/>
  <c r="M60"/>
  <c r="AG59"/>
  <c r="X59"/>
  <c r="M59"/>
  <c r="AG58"/>
  <c r="AB58"/>
  <c r="X58"/>
  <c r="V58" s="1"/>
  <c r="M58"/>
  <c r="AG57"/>
  <c r="X57"/>
  <c r="M57"/>
  <c r="AG56"/>
  <c r="X56"/>
  <c r="M56"/>
  <c r="AG55"/>
  <c r="X55"/>
  <c r="M55"/>
  <c r="AG54"/>
  <c r="X54"/>
  <c r="U54"/>
  <c r="M54"/>
  <c r="AG53"/>
  <c r="AG52"/>
  <c r="AG51"/>
  <c r="M51"/>
  <c r="AG50"/>
  <c r="M50"/>
  <c r="AG49"/>
  <c r="M49"/>
  <c r="AG48"/>
  <c r="M48"/>
  <c r="AG47"/>
  <c r="M47"/>
  <c r="AG46"/>
  <c r="M46"/>
  <c r="AG45"/>
  <c r="M45"/>
  <c r="AG44"/>
  <c r="X44"/>
  <c r="M44"/>
  <c r="AG43"/>
  <c r="X43"/>
  <c r="M43"/>
  <c r="AG42"/>
  <c r="X42"/>
  <c r="M42"/>
  <c r="AB41"/>
  <c r="X41"/>
  <c r="V41"/>
  <c r="M41"/>
  <c r="X40"/>
  <c r="M40"/>
  <c r="X39"/>
  <c r="M39"/>
  <c r="X38"/>
  <c r="M38"/>
  <c r="AG37"/>
  <c r="AB37"/>
  <c r="X37"/>
  <c r="V37"/>
  <c r="M37"/>
  <c r="AG36"/>
  <c r="X36"/>
  <c r="M36"/>
  <c r="AG35"/>
  <c r="X35"/>
  <c r="M35"/>
  <c r="AN34"/>
  <c r="AG34"/>
  <c r="AB34"/>
  <c r="X34"/>
  <c r="V34"/>
  <c r="M34"/>
  <c r="AN33"/>
  <c r="AG33"/>
  <c r="X33"/>
  <c r="M33"/>
  <c r="AG32"/>
  <c r="AB32"/>
  <c r="X32"/>
  <c r="V32"/>
  <c r="M32"/>
  <c r="AG31"/>
  <c r="X31"/>
  <c r="M31"/>
  <c r="AG30"/>
  <c r="X30"/>
  <c r="M30"/>
  <c r="AG29"/>
  <c r="X29"/>
  <c r="M29"/>
  <c r="AG28"/>
  <c r="X28"/>
  <c r="M28"/>
  <c r="AG27"/>
  <c r="X27"/>
  <c r="M27"/>
  <c r="AG26"/>
  <c r="X26"/>
  <c r="M26"/>
  <c r="AG25"/>
  <c r="X25"/>
  <c r="M25"/>
  <c r="AG24"/>
  <c r="X24"/>
  <c r="M24"/>
  <c r="AG23"/>
  <c r="X23"/>
  <c r="M23"/>
  <c r="AG22"/>
  <c r="X22"/>
  <c r="M22"/>
  <c r="AG21"/>
  <c r="AB21"/>
  <c r="X21"/>
  <c r="V21"/>
  <c r="M21"/>
  <c r="AG20"/>
  <c r="X20"/>
  <c r="M20"/>
  <c r="AG19"/>
  <c r="AB19"/>
  <c r="X19"/>
  <c r="V19"/>
  <c r="M19"/>
  <c r="AG18"/>
  <c r="X18"/>
  <c r="M18"/>
  <c r="AG17"/>
  <c r="X17"/>
  <c r="M17"/>
  <c r="AG16"/>
  <c r="X16"/>
  <c r="M16"/>
  <c r="AG15"/>
  <c r="X15"/>
  <c r="M15"/>
  <c r="AG14"/>
  <c r="X14"/>
  <c r="M14"/>
  <c r="AG13"/>
  <c r="AB13"/>
  <c r="X13"/>
  <c r="V13"/>
  <c r="M13"/>
  <c r="AG12"/>
  <c r="AB12"/>
  <c r="X12"/>
  <c r="V12"/>
  <c r="M12"/>
  <c r="AG11"/>
  <c r="X11"/>
  <c r="M11"/>
  <c r="AG10"/>
  <c r="X10"/>
  <c r="M10"/>
  <c r="AG9"/>
  <c r="X9"/>
  <c r="M9"/>
  <c r="AG8"/>
  <c r="X8"/>
  <c r="M8"/>
  <c r="AG7"/>
  <c r="AB7" s="1"/>
  <c r="X7"/>
  <c r="V7"/>
  <c r="M7"/>
  <c r="I7"/>
  <c r="AG6"/>
  <c r="X6"/>
  <c r="M6"/>
  <c r="AG5"/>
  <c r="X5"/>
  <c r="M5"/>
  <c r="X4"/>
  <c r="M4"/>
  <c r="Y3"/>
  <c r="X3"/>
  <c r="M3"/>
  <c r="AG2"/>
  <c r="X2"/>
  <c r="M2"/>
  <c r="F92" i="28"/>
  <c r="D92"/>
  <c r="B92"/>
  <c r="F91"/>
  <c r="D91"/>
  <c r="B91"/>
  <c r="F90"/>
  <c r="D90"/>
  <c r="B90"/>
  <c r="F89"/>
  <c r="D89"/>
  <c r="B89"/>
  <c r="F88"/>
  <c r="D88"/>
  <c r="B88"/>
  <c r="H88" s="1"/>
  <c r="F87"/>
  <c r="D87"/>
  <c r="B87"/>
  <c r="F86"/>
  <c r="D86"/>
  <c r="B86"/>
  <c r="F85"/>
  <c r="D85"/>
  <c r="B85"/>
  <c r="F84"/>
  <c r="D84"/>
  <c r="B84"/>
  <c r="I76"/>
  <c r="H76"/>
  <c r="G76"/>
  <c r="F76"/>
  <c r="E76"/>
  <c r="D76"/>
  <c r="C76"/>
  <c r="B76"/>
  <c r="I75"/>
  <c r="H75"/>
  <c r="G75"/>
  <c r="F75"/>
  <c r="E75"/>
  <c r="D75"/>
  <c r="C75"/>
  <c r="B75"/>
  <c r="I74"/>
  <c r="H74"/>
  <c r="G74"/>
  <c r="F74"/>
  <c r="E74"/>
  <c r="D74"/>
  <c r="C74"/>
  <c r="B74"/>
  <c r="I73"/>
  <c r="H73"/>
  <c r="G73"/>
  <c r="F73"/>
  <c r="E73"/>
  <c r="D73"/>
  <c r="C73"/>
  <c r="B73"/>
  <c r="I72"/>
  <c r="H72"/>
  <c r="G72"/>
  <c r="F72"/>
  <c r="E72"/>
  <c r="D72"/>
  <c r="C72"/>
  <c r="B72"/>
  <c r="I71"/>
  <c r="H71"/>
  <c r="G71"/>
  <c r="F71"/>
  <c r="E71"/>
  <c r="D71"/>
  <c r="C71"/>
  <c r="B71"/>
  <c r="I70"/>
  <c r="H70"/>
  <c r="G70"/>
  <c r="F70"/>
  <c r="E70"/>
  <c r="D70"/>
  <c r="C70"/>
  <c r="B70"/>
  <c r="I69"/>
  <c r="H69"/>
  <c r="G69"/>
  <c r="F69"/>
  <c r="E69"/>
  <c r="D69"/>
  <c r="C69"/>
  <c r="B69"/>
  <c r="I68"/>
  <c r="H68"/>
  <c r="G68"/>
  <c r="F68"/>
  <c r="E68"/>
  <c r="D68"/>
  <c r="C68"/>
  <c r="B68"/>
  <c r="H61"/>
  <c r="G61"/>
  <c r="F61"/>
  <c r="E61"/>
  <c r="D61"/>
  <c r="C61"/>
  <c r="B61"/>
  <c r="H60"/>
  <c r="G60"/>
  <c r="F60"/>
  <c r="E60"/>
  <c r="D60"/>
  <c r="C60"/>
  <c r="B60"/>
  <c r="H59"/>
  <c r="G59"/>
  <c r="F59"/>
  <c r="E59"/>
  <c r="D59"/>
  <c r="C59"/>
  <c r="B59"/>
  <c r="H58"/>
  <c r="G58"/>
  <c r="F58"/>
  <c r="E58"/>
  <c r="D58"/>
  <c r="C58"/>
  <c r="B58"/>
  <c r="H57"/>
  <c r="G57"/>
  <c r="F57"/>
  <c r="E57"/>
  <c r="D57"/>
  <c r="C57"/>
  <c r="B57"/>
  <c r="H56"/>
  <c r="G56"/>
  <c r="F56"/>
  <c r="E56"/>
  <c r="D56"/>
  <c r="C56"/>
  <c r="B56"/>
  <c r="H55"/>
  <c r="G55"/>
  <c r="F55"/>
  <c r="E55"/>
  <c r="D55"/>
  <c r="C55"/>
  <c r="B55"/>
  <c r="H54"/>
  <c r="G54"/>
  <c r="F54"/>
  <c r="E54"/>
  <c r="D54"/>
  <c r="C54"/>
  <c r="B54"/>
  <c r="H53"/>
  <c r="G53"/>
  <c r="F53"/>
  <c r="E53"/>
  <c r="D53"/>
  <c r="C53"/>
  <c r="B53"/>
  <c r="I53" s="1"/>
  <c r="F44"/>
  <c r="D44"/>
  <c r="B44"/>
  <c r="F43"/>
  <c r="D43"/>
  <c r="B43"/>
  <c r="F42"/>
  <c r="I54" l="1"/>
  <c r="I58"/>
  <c r="J69"/>
  <c r="J70"/>
  <c r="J71"/>
  <c r="J72"/>
  <c r="J73"/>
  <c r="J74"/>
  <c r="J75"/>
  <c r="I55"/>
  <c r="I59"/>
  <c r="J68"/>
  <c r="I56"/>
  <c r="I60"/>
  <c r="I57"/>
  <c r="B93"/>
  <c r="C91" s="1"/>
  <c r="D42"/>
  <c r="B42"/>
  <c r="F41"/>
  <c r="D41"/>
  <c r="B41"/>
  <c r="F40"/>
  <c r="D40"/>
  <c r="B40"/>
  <c r="F39"/>
  <c r="D39"/>
  <c r="B39"/>
  <c r="F38"/>
  <c r="D38"/>
  <c r="B38"/>
  <c r="F37"/>
  <c r="D37"/>
  <c r="B37"/>
  <c r="F36"/>
  <c r="D36"/>
  <c r="B36"/>
  <c r="F29"/>
  <c r="D29"/>
  <c r="B29"/>
  <c r="F28"/>
  <c r="D28"/>
  <c r="B28"/>
  <c r="F27"/>
  <c r="D27"/>
  <c r="B27"/>
  <c r="F26"/>
  <c r="D26"/>
  <c r="B26"/>
  <c r="F25"/>
  <c r="D25"/>
  <c r="B25"/>
  <c r="F24"/>
  <c r="D24"/>
  <c r="B24"/>
  <c r="F23"/>
  <c r="D23"/>
  <c r="B23"/>
  <c r="F22"/>
  <c r="D22"/>
  <c r="B22"/>
  <c r="F21"/>
  <c r="H21" s="1"/>
  <c r="D21"/>
  <c r="B21"/>
  <c r="D14"/>
  <c r="B14"/>
  <c r="D13"/>
  <c r="B13"/>
  <c r="D12"/>
  <c r="B12"/>
  <c r="D11"/>
  <c r="B11"/>
  <c r="D10"/>
  <c r="B10"/>
  <c r="D9"/>
  <c r="B9"/>
  <c r="D8"/>
  <c r="B8"/>
  <c r="D7"/>
  <c r="B7"/>
  <c r="D6"/>
  <c r="B6"/>
  <c r="E45" i="31"/>
  <c r="D45"/>
  <c r="C45"/>
  <c r="B45"/>
  <c r="E44"/>
  <c r="D44"/>
  <c r="C44"/>
  <c r="B44"/>
  <c r="E43"/>
  <c r="D43"/>
  <c r="C43"/>
  <c r="B43"/>
  <c r="E42"/>
  <c r="D42"/>
  <c r="C42"/>
  <c r="B42"/>
  <c r="E41"/>
  <c r="D41"/>
  <c r="C41"/>
  <c r="B41"/>
  <c r="E40"/>
  <c r="D40"/>
  <c r="C40"/>
  <c r="B40"/>
  <c r="E39"/>
  <c r="D39"/>
  <c r="C39"/>
  <c r="B39"/>
  <c r="E38"/>
  <c r="D38"/>
  <c r="C38"/>
  <c r="B38"/>
  <c r="E37"/>
  <c r="E46" s="1"/>
  <c r="D37"/>
  <c r="C37"/>
  <c r="C46" s="1"/>
  <c r="B37"/>
  <c r="F31"/>
  <c r="E31"/>
  <c r="D31"/>
  <c r="C31"/>
  <c r="B31"/>
  <c r="F30"/>
  <c r="E30"/>
  <c r="D30"/>
  <c r="C30"/>
  <c r="B30"/>
  <c r="F29"/>
  <c r="E29"/>
  <c r="D29"/>
  <c r="C29"/>
  <c r="B29"/>
  <c r="F28"/>
  <c r="E28"/>
  <c r="D28"/>
  <c r="C28"/>
  <c r="B28"/>
  <c r="G28" s="1"/>
  <c r="F27"/>
  <c r="E27"/>
  <c r="D27"/>
  <c r="C27"/>
  <c r="B27"/>
  <c r="F26"/>
  <c r="E26"/>
  <c r="D26"/>
  <c r="C26"/>
  <c r="B26"/>
  <c r="F25"/>
  <c r="E25"/>
  <c r="D25"/>
  <c r="C25"/>
  <c r="B25"/>
  <c r="G25" s="1"/>
  <c r="F24"/>
  <c r="E24"/>
  <c r="D24"/>
  <c r="C24"/>
  <c r="B24"/>
  <c r="G24" s="1"/>
  <c r="F23"/>
  <c r="E23"/>
  <c r="D23"/>
  <c r="D32" s="1"/>
  <c r="C23"/>
  <c r="B23"/>
  <c r="D13"/>
  <c r="C13"/>
  <c r="B13"/>
  <c r="D12"/>
  <c r="C12"/>
  <c r="B12"/>
  <c r="D11"/>
  <c r="C11"/>
  <c r="B11"/>
  <c r="D10"/>
  <c r="C10"/>
  <c r="B10"/>
  <c r="D9"/>
  <c r="C9"/>
  <c r="B9"/>
  <c r="D8"/>
  <c r="C8"/>
  <c r="B8"/>
  <c r="D7"/>
  <c r="C7"/>
  <c r="B7"/>
  <c r="D6"/>
  <c r="C6"/>
  <c r="B6"/>
  <c r="D5"/>
  <c r="C5"/>
  <c r="B5"/>
  <c r="E5" s="1"/>
  <c r="C213" i="29"/>
  <c r="B213"/>
  <c r="K201"/>
  <c r="J201"/>
  <c r="J196"/>
  <c r="H196"/>
  <c r="F196"/>
  <c r="D196"/>
  <c r="B196"/>
  <c r="J195"/>
  <c r="H195"/>
  <c r="F195"/>
  <c r="D195"/>
  <c r="B195"/>
  <c r="J194"/>
  <c r="H194"/>
  <c r="F194"/>
  <c r="D194"/>
  <c r="B194"/>
  <c r="J193"/>
  <c r="H193"/>
  <c r="F193"/>
  <c r="D193"/>
  <c r="B193"/>
  <c r="J192"/>
  <c r="H192"/>
  <c r="F192"/>
  <c r="D192"/>
  <c r="B192"/>
  <c r="J191"/>
  <c r="H191"/>
  <c r="F191"/>
  <c r="D191"/>
  <c r="B191"/>
  <c r="J190"/>
  <c r="H190"/>
  <c r="F190"/>
  <c r="D190"/>
  <c r="B190"/>
  <c r="J189"/>
  <c r="H189"/>
  <c r="F189"/>
  <c r="D189"/>
  <c r="B189"/>
  <c r="J188"/>
  <c r="H188"/>
  <c r="F188"/>
  <c r="D188"/>
  <c r="B188"/>
  <c r="J180"/>
  <c r="H180"/>
  <c r="F180"/>
  <c r="D180"/>
  <c r="B180"/>
  <c r="J179"/>
  <c r="H179"/>
  <c r="F179"/>
  <c r="D179"/>
  <c r="B179"/>
  <c r="J178"/>
  <c r="H178"/>
  <c r="F178"/>
  <c r="D178"/>
  <c r="B178"/>
  <c r="J177"/>
  <c r="H177"/>
  <c r="F177"/>
  <c r="D177"/>
  <c r="B177"/>
  <c r="J176"/>
  <c r="H176"/>
  <c r="F176"/>
  <c r="D176"/>
  <c r="B176"/>
  <c r="J175"/>
  <c r="H175"/>
  <c r="F175"/>
  <c r="D175"/>
  <c r="B175"/>
  <c r="J174"/>
  <c r="H174"/>
  <c r="F174"/>
  <c r="D174"/>
  <c r="B174"/>
  <c r="J173"/>
  <c r="H173"/>
  <c r="F173"/>
  <c r="D173"/>
  <c r="B173"/>
  <c r="J172"/>
  <c r="H172"/>
  <c r="F172"/>
  <c r="D172"/>
  <c r="B172"/>
  <c r="G163"/>
  <c r="F163"/>
  <c r="E163"/>
  <c r="D163"/>
  <c r="C163"/>
  <c r="B163"/>
  <c r="G162"/>
  <c r="F162"/>
  <c r="E162"/>
  <c r="D162"/>
  <c r="C162"/>
  <c r="B162"/>
  <c r="G161"/>
  <c r="F161"/>
  <c r="E161"/>
  <c r="D161"/>
  <c r="C161"/>
  <c r="B161"/>
  <c r="G160"/>
  <c r="F160"/>
  <c r="E160"/>
  <c r="D160"/>
  <c r="C160"/>
  <c r="B160"/>
  <c r="G159"/>
  <c r="F159"/>
  <c r="E159"/>
  <c r="D159"/>
  <c r="C159"/>
  <c r="B159"/>
  <c r="G158"/>
  <c r="F158"/>
  <c r="E158"/>
  <c r="D158"/>
  <c r="C158"/>
  <c r="B158"/>
  <c r="G157"/>
  <c r="F157"/>
  <c r="E157"/>
  <c r="D157"/>
  <c r="C157"/>
  <c r="B157"/>
  <c r="G156"/>
  <c r="F156"/>
  <c r="E156"/>
  <c r="D156"/>
  <c r="C156"/>
  <c r="B156"/>
  <c r="G155"/>
  <c r="F155"/>
  <c r="E155"/>
  <c r="D155"/>
  <c r="C155"/>
  <c r="B155"/>
  <c r="I148"/>
  <c r="H148"/>
  <c r="G148"/>
  <c r="F148"/>
  <c r="E148"/>
  <c r="D148"/>
  <c r="C148"/>
  <c r="B148"/>
  <c r="I147"/>
  <c r="H147"/>
  <c r="G147"/>
  <c r="F147"/>
  <c r="E147"/>
  <c r="D147"/>
  <c r="C147"/>
  <c r="B147"/>
  <c r="I146"/>
  <c r="H146"/>
  <c r="G146"/>
  <c r="F146"/>
  <c r="E146"/>
  <c r="D146"/>
  <c r="C146"/>
  <c r="B146"/>
  <c r="I145"/>
  <c r="H145"/>
  <c r="G145"/>
  <c r="F145"/>
  <c r="E145"/>
  <c r="D145"/>
  <c r="C145"/>
  <c r="B145"/>
  <c r="I144"/>
  <c r="H144"/>
  <c r="G144"/>
  <c r="F144"/>
  <c r="E144"/>
  <c r="D144"/>
  <c r="C144"/>
  <c r="B144"/>
  <c r="I143"/>
  <c r="H143"/>
  <c r="G143"/>
  <c r="F143"/>
  <c r="E143"/>
  <c r="D143"/>
  <c r="C143"/>
  <c r="B143"/>
  <c r="I142"/>
  <c r="H142"/>
  <c r="G142"/>
  <c r="F142"/>
  <c r="E142"/>
  <c r="D142"/>
  <c r="C142"/>
  <c r="B142"/>
  <c r="I141"/>
  <c r="H141"/>
  <c r="G141"/>
  <c r="F141"/>
  <c r="E141"/>
  <c r="D141"/>
  <c r="C141"/>
  <c r="B141"/>
  <c r="I140"/>
  <c r="H140"/>
  <c r="G140"/>
  <c r="F140"/>
  <c r="E140"/>
  <c r="D140"/>
  <c r="C140"/>
  <c r="B140"/>
  <c r="B133"/>
  <c r="B132"/>
  <c r="B131"/>
  <c r="E130" s="1"/>
  <c r="B130"/>
  <c r="B129"/>
  <c r="B128"/>
  <c r="B127"/>
  <c r="E126" s="1"/>
  <c r="B126"/>
  <c r="B125"/>
  <c r="B124"/>
  <c r="B123"/>
  <c r="B122"/>
  <c r="C121"/>
  <c r="B121"/>
  <c r="E121" s="1"/>
  <c r="G116"/>
  <c r="F115"/>
  <c r="E115"/>
  <c r="D115"/>
  <c r="C115"/>
  <c r="B115"/>
  <c r="F114"/>
  <c r="E114"/>
  <c r="D114"/>
  <c r="C114"/>
  <c r="B114"/>
  <c r="F113"/>
  <c r="E113"/>
  <c r="D113"/>
  <c r="C113"/>
  <c r="B113"/>
  <c r="F112"/>
  <c r="E112"/>
  <c r="D112"/>
  <c r="C112"/>
  <c r="B112"/>
  <c r="F111"/>
  <c r="E111"/>
  <c r="D111"/>
  <c r="C111"/>
  <c r="B111"/>
  <c r="F110"/>
  <c r="E110"/>
  <c r="D110"/>
  <c r="C110"/>
  <c r="B110"/>
  <c r="F109"/>
  <c r="E109"/>
  <c r="D109"/>
  <c r="C109"/>
  <c r="B109"/>
  <c r="H109" s="1"/>
  <c r="F108"/>
  <c r="E108"/>
  <c r="D108"/>
  <c r="C108"/>
  <c r="B108"/>
  <c r="H108" s="1"/>
  <c r="F107"/>
  <c r="E107"/>
  <c r="D107"/>
  <c r="C107"/>
  <c r="B107"/>
  <c r="B116" s="1"/>
  <c r="F100"/>
  <c r="D100"/>
  <c r="B100"/>
  <c r="F99"/>
  <c r="D99"/>
  <c r="B99"/>
  <c r="F98"/>
  <c r="D98"/>
  <c r="B98"/>
  <c r="F97"/>
  <c r="D97"/>
  <c r="B97"/>
  <c r="F96"/>
  <c r="D96"/>
  <c r="B96"/>
  <c r="F95"/>
  <c r="D95"/>
  <c r="B95"/>
  <c r="F94"/>
  <c r="D94"/>
  <c r="B94"/>
  <c r="F93"/>
  <c r="D93"/>
  <c r="B93"/>
  <c r="F91"/>
  <c r="D91"/>
  <c r="B91"/>
  <c r="F90"/>
  <c r="D90"/>
  <c r="B90"/>
  <c r="F89"/>
  <c r="D89"/>
  <c r="B89"/>
  <c r="F87"/>
  <c r="D87"/>
  <c r="B87"/>
  <c r="F86"/>
  <c r="D86"/>
  <c r="B86"/>
  <c r="F85"/>
  <c r="D85"/>
  <c r="B85"/>
  <c r="H76"/>
  <c r="G76"/>
  <c r="F76"/>
  <c r="E76"/>
  <c r="D76"/>
  <c r="C76"/>
  <c r="B76"/>
  <c r="H75"/>
  <c r="G75"/>
  <c r="F75"/>
  <c r="E75"/>
  <c r="D75"/>
  <c r="C75"/>
  <c r="B75"/>
  <c r="H74"/>
  <c r="G74"/>
  <c r="F74"/>
  <c r="E74"/>
  <c r="D74"/>
  <c r="C74"/>
  <c r="B74"/>
  <c r="H73"/>
  <c r="G73"/>
  <c r="F73"/>
  <c r="E73"/>
  <c r="D73"/>
  <c r="C73"/>
  <c r="B73"/>
  <c r="H72"/>
  <c r="G72"/>
  <c r="F72"/>
  <c r="E72"/>
  <c r="D72"/>
  <c r="C72"/>
  <c r="B72"/>
  <c r="H71"/>
  <c r="G71"/>
  <c r="F71"/>
  <c r="E71"/>
  <c r="D71"/>
  <c r="C71"/>
  <c r="B71"/>
  <c r="H70"/>
  <c r="G70"/>
  <c r="F70"/>
  <c r="E70"/>
  <c r="D70"/>
  <c r="C70"/>
  <c r="B70"/>
  <c r="H69"/>
  <c r="G69"/>
  <c r="F69"/>
  <c r="E69"/>
  <c r="D69"/>
  <c r="C69"/>
  <c r="B69"/>
  <c r="H68"/>
  <c r="G68"/>
  <c r="F68"/>
  <c r="E68"/>
  <c r="D68"/>
  <c r="C68"/>
  <c r="B68"/>
  <c r="I68" s="1"/>
  <c r="M61"/>
  <c r="L60"/>
  <c r="K60"/>
  <c r="J60"/>
  <c r="I60"/>
  <c r="H60"/>
  <c r="G60"/>
  <c r="F60"/>
  <c r="E60"/>
  <c r="D60"/>
  <c r="C60"/>
  <c r="B60"/>
  <c r="L59"/>
  <c r="K59"/>
  <c r="J59"/>
  <c r="I59"/>
  <c r="H59"/>
  <c r="G59"/>
  <c r="F59"/>
  <c r="E59"/>
  <c r="D59"/>
  <c r="C59"/>
  <c r="B59"/>
  <c r="L58"/>
  <c r="K58"/>
  <c r="J58"/>
  <c r="I58"/>
  <c r="H58"/>
  <c r="G58"/>
  <c r="F58"/>
  <c r="E58"/>
  <c r="D58"/>
  <c r="C58"/>
  <c r="B58"/>
  <c r="L57"/>
  <c r="K57"/>
  <c r="J57"/>
  <c r="I57"/>
  <c r="H57"/>
  <c r="G57"/>
  <c r="F57"/>
  <c r="E57"/>
  <c r="D57"/>
  <c r="C57"/>
  <c r="B57"/>
  <c r="L56"/>
  <c r="K56"/>
  <c r="J56"/>
  <c r="I56"/>
  <c r="H56"/>
  <c r="G56"/>
  <c r="F56"/>
  <c r="E56"/>
  <c r="D56"/>
  <c r="C56"/>
  <c r="B56"/>
  <c r="L55"/>
  <c r="K55"/>
  <c r="J55"/>
  <c r="I55"/>
  <c r="H55"/>
  <c r="G55"/>
  <c r="F55"/>
  <c r="E55"/>
  <c r="D55"/>
  <c r="C55"/>
  <c r="B55"/>
  <c r="L54"/>
  <c r="K54"/>
  <c r="J54"/>
  <c r="I54"/>
  <c r="H54"/>
  <c r="G54"/>
  <c r="F54"/>
  <c r="E54"/>
  <c r="D54"/>
  <c r="C54"/>
  <c r="B54"/>
  <c r="L53"/>
  <c r="K53"/>
  <c r="J53"/>
  <c r="I53"/>
  <c r="H53"/>
  <c r="G53"/>
  <c r="F53"/>
  <c r="E53"/>
  <c r="D53"/>
  <c r="C53"/>
  <c r="B53"/>
  <c r="L52"/>
  <c r="K52"/>
  <c r="J52"/>
  <c r="I52"/>
  <c r="H52"/>
  <c r="G52"/>
  <c r="F52"/>
  <c r="E52"/>
  <c r="D52"/>
  <c r="C52"/>
  <c r="B52"/>
  <c r="G44"/>
  <c r="F44"/>
  <c r="E44"/>
  <c r="D44"/>
  <c r="C44"/>
  <c r="B44"/>
  <c r="G43"/>
  <c r="F43"/>
  <c r="E43"/>
  <c r="D43"/>
  <c r="C43"/>
  <c r="B43"/>
  <c r="G42"/>
  <c r="F42"/>
  <c r="E42"/>
  <c r="D42"/>
  <c r="C42"/>
  <c r="B42"/>
  <c r="G41"/>
  <c r="F41"/>
  <c r="E41"/>
  <c r="D41"/>
  <c r="C41"/>
  <c r="B41"/>
  <c r="G40"/>
  <c r="F40"/>
  <c r="E40"/>
  <c r="D40"/>
  <c r="C40"/>
  <c r="B40"/>
  <c r="G39"/>
  <c r="F39"/>
  <c r="E39"/>
  <c r="D39"/>
  <c r="C39"/>
  <c r="B39"/>
  <c r="G38"/>
  <c r="F38"/>
  <c r="E38"/>
  <c r="D38"/>
  <c r="C38"/>
  <c r="B38"/>
  <c r="G37"/>
  <c r="F37"/>
  <c r="E37"/>
  <c r="D37"/>
  <c r="C37"/>
  <c r="B37"/>
  <c r="G36"/>
  <c r="F36"/>
  <c r="E36"/>
  <c r="D36"/>
  <c r="C36"/>
  <c r="B36"/>
  <c r="T30"/>
  <c r="S30"/>
  <c r="R30"/>
  <c r="Q30"/>
  <c r="T29"/>
  <c r="S29"/>
  <c r="R29"/>
  <c r="Q29"/>
  <c r="F29"/>
  <c r="E29"/>
  <c r="D29"/>
  <c r="C29"/>
  <c r="B29"/>
  <c r="G29" s="1"/>
  <c r="T28"/>
  <c r="S28"/>
  <c r="R28"/>
  <c r="Q28"/>
  <c r="U28" s="1"/>
  <c r="F28"/>
  <c r="E28"/>
  <c r="D28"/>
  <c r="C28"/>
  <c r="B28"/>
  <c r="T27"/>
  <c r="S27"/>
  <c r="R27"/>
  <c r="Q27"/>
  <c r="F27"/>
  <c r="E27"/>
  <c r="D27"/>
  <c r="C27"/>
  <c r="B27"/>
  <c r="T26"/>
  <c r="S26"/>
  <c r="R26"/>
  <c r="Q26"/>
  <c r="F26"/>
  <c r="E26"/>
  <c r="D26"/>
  <c r="C26"/>
  <c r="B26"/>
  <c r="T25"/>
  <c r="S25"/>
  <c r="R25"/>
  <c r="Q25"/>
  <c r="U25" s="1"/>
  <c r="F25"/>
  <c r="E25"/>
  <c r="D25"/>
  <c r="C25"/>
  <c r="B25"/>
  <c r="T24"/>
  <c r="S24"/>
  <c r="R24"/>
  <c r="Q24"/>
  <c r="F24"/>
  <c r="E24"/>
  <c r="D24"/>
  <c r="C24"/>
  <c r="B24"/>
  <c r="T23"/>
  <c r="S23"/>
  <c r="R23"/>
  <c r="Q23"/>
  <c r="F23"/>
  <c r="E23"/>
  <c r="D23"/>
  <c r="C23"/>
  <c r="B23"/>
  <c r="T22"/>
  <c r="T31" s="1"/>
  <c r="S22"/>
  <c r="R22"/>
  <c r="Q22"/>
  <c r="Q31" s="1"/>
  <c r="F22"/>
  <c r="E22"/>
  <c r="D22"/>
  <c r="C22"/>
  <c r="B22"/>
  <c r="F21"/>
  <c r="E21"/>
  <c r="D21"/>
  <c r="C21"/>
  <c r="B21"/>
  <c r="G21" s="1"/>
  <c r="Q13"/>
  <c r="P13"/>
  <c r="C13"/>
  <c r="B13"/>
  <c r="Q12"/>
  <c r="P12"/>
  <c r="R12" s="1"/>
  <c r="C12"/>
  <c r="B12"/>
  <c r="Q11"/>
  <c r="P11"/>
  <c r="C11"/>
  <c r="B11"/>
  <c r="Q10"/>
  <c r="P10"/>
  <c r="C10"/>
  <c r="B10"/>
  <c r="Y9"/>
  <c r="Q9"/>
  <c r="P9"/>
  <c r="C9"/>
  <c r="B9"/>
  <c r="Q8"/>
  <c r="P8"/>
  <c r="C8"/>
  <c r="B8"/>
  <c r="R7"/>
  <c r="Q7"/>
  <c r="P7"/>
  <c r="C7"/>
  <c r="B7"/>
  <c r="R6" s="1"/>
  <c r="Q6"/>
  <c r="P6"/>
  <c r="C6"/>
  <c r="B6"/>
  <c r="AA5"/>
  <c r="Z5"/>
  <c r="Y5"/>
  <c r="Q5"/>
  <c r="P5"/>
  <c r="R5" s="1"/>
  <c r="C5"/>
  <c r="B5"/>
  <c r="B14" s="1"/>
  <c r="R13" s="1"/>
  <c r="Y4"/>
  <c r="Y3"/>
  <c r="AQ63" i="27"/>
  <c r="AP63"/>
  <c r="R8" i="29" l="1"/>
  <c r="R9"/>
  <c r="S31"/>
  <c r="R31" s="1"/>
  <c r="U24"/>
  <c r="U27"/>
  <c r="U23"/>
  <c r="U26"/>
  <c r="R10"/>
  <c r="R11"/>
  <c r="U22"/>
  <c r="U31" s="1"/>
  <c r="C32" i="31"/>
  <c r="E128" i="29"/>
  <c r="E132"/>
  <c r="G23" i="31"/>
  <c r="F32"/>
  <c r="G27"/>
  <c r="G31"/>
  <c r="E123" i="29"/>
  <c r="E32" i="31"/>
  <c r="G26"/>
  <c r="G32" s="1"/>
  <c r="G30"/>
  <c r="G29"/>
  <c r="D5" i="29"/>
  <c r="D7"/>
  <c r="D6"/>
  <c r="D46" i="31"/>
  <c r="H23" i="28"/>
  <c r="H27"/>
  <c r="L189" i="29"/>
  <c r="L193"/>
  <c r="H25" i="28"/>
  <c r="C89"/>
  <c r="H110" i="29"/>
  <c r="H114"/>
  <c r="E124"/>
  <c r="E127"/>
  <c r="E131"/>
  <c r="L175"/>
  <c r="L179"/>
  <c r="B32" i="31"/>
  <c r="E122" i="29"/>
  <c r="E125"/>
  <c r="E129"/>
  <c r="E133"/>
  <c r="D10"/>
  <c r="D11"/>
  <c r="D12"/>
  <c r="H115"/>
  <c r="E7" i="31"/>
  <c r="E11"/>
  <c r="C84" i="28"/>
  <c r="D8" i="29"/>
  <c r="D9"/>
  <c r="L177"/>
  <c r="C88" i="28"/>
  <c r="G22" i="29"/>
  <c r="L191"/>
  <c r="E9" i="31"/>
  <c r="B46"/>
  <c r="F45" s="1"/>
  <c r="D45" i="28"/>
  <c r="E40" s="1"/>
  <c r="G23" i="29"/>
  <c r="G26"/>
  <c r="H37"/>
  <c r="H39"/>
  <c r="H41"/>
  <c r="H43"/>
  <c r="N55"/>
  <c r="N59"/>
  <c r="L61"/>
  <c r="I69"/>
  <c r="I73"/>
  <c r="H111"/>
  <c r="B14" i="31"/>
  <c r="F40"/>
  <c r="F41"/>
  <c r="F42"/>
  <c r="F43"/>
  <c r="F44"/>
  <c r="B30" i="28"/>
  <c r="C24" s="1"/>
  <c r="H30"/>
  <c r="B45"/>
  <c r="C40" s="1"/>
  <c r="D13" i="29"/>
  <c r="N52"/>
  <c r="N56"/>
  <c r="B61"/>
  <c r="I70"/>
  <c r="I74"/>
  <c r="J140"/>
  <c r="J141"/>
  <c r="J142"/>
  <c r="J143"/>
  <c r="J144"/>
  <c r="J145"/>
  <c r="J146"/>
  <c r="J147"/>
  <c r="B149"/>
  <c r="H156"/>
  <c r="H158"/>
  <c r="H160"/>
  <c r="H162"/>
  <c r="L174"/>
  <c r="L176"/>
  <c r="L178"/>
  <c r="J181"/>
  <c r="E6" i="31"/>
  <c r="E10"/>
  <c r="F38"/>
  <c r="F39"/>
  <c r="C87" i="28"/>
  <c r="G25" i="29"/>
  <c r="G28"/>
  <c r="H36"/>
  <c r="H38"/>
  <c r="H40"/>
  <c r="H42"/>
  <c r="B45"/>
  <c r="H44" s="1"/>
  <c r="N53"/>
  <c r="N57"/>
  <c r="I71"/>
  <c r="I75"/>
  <c r="H85"/>
  <c r="H107"/>
  <c r="H113"/>
  <c r="L172"/>
  <c r="L188"/>
  <c r="L190"/>
  <c r="L192"/>
  <c r="J197"/>
  <c r="K189" s="1"/>
  <c r="F37" i="31"/>
  <c r="F46" s="1"/>
  <c r="F6" i="28"/>
  <c r="C22"/>
  <c r="H22"/>
  <c r="H24"/>
  <c r="H26"/>
  <c r="H28"/>
  <c r="C90"/>
  <c r="C85"/>
  <c r="F45"/>
  <c r="G24" i="29"/>
  <c r="G27"/>
  <c r="G30"/>
  <c r="F30" s="1"/>
  <c r="N54"/>
  <c r="N58"/>
  <c r="I72"/>
  <c r="B77"/>
  <c r="H112"/>
  <c r="F116"/>
  <c r="H155"/>
  <c r="H157"/>
  <c r="H159"/>
  <c r="H161"/>
  <c r="B164"/>
  <c r="L173"/>
  <c r="L194"/>
  <c r="E8" i="31"/>
  <c r="E12"/>
  <c r="C86" i="28"/>
  <c r="C92"/>
  <c r="BB62" i="27"/>
  <c r="BA62"/>
  <c r="AQ62"/>
  <c r="AP62"/>
  <c r="AZ61"/>
  <c r="AY61"/>
  <c r="AX61"/>
  <c r="AW61"/>
  <c r="AO61"/>
  <c r="AN61"/>
  <c r="AM61"/>
  <c r="AL61"/>
  <c r="AK61"/>
  <c r="AJ61"/>
  <c r="AI61"/>
  <c r="AH61"/>
  <c r="AG61"/>
  <c r="AF61"/>
  <c r="AE61"/>
  <c r="AD61"/>
  <c r="AC61"/>
  <c r="AB61"/>
  <c r="AZ60"/>
  <c r="AY60"/>
  <c r="AX60"/>
  <c r="AW60"/>
  <c r="AO60"/>
  <c r="AN60"/>
  <c r="AM60"/>
  <c r="AL60"/>
  <c r="AK60"/>
  <c r="AJ60"/>
  <c r="AI60"/>
  <c r="AH60"/>
  <c r="AG60"/>
  <c r="AF60"/>
  <c r="AE60"/>
  <c r="AD60"/>
  <c r="AC60"/>
  <c r="AB60"/>
  <c r="AZ59"/>
  <c r="AY59"/>
  <c r="AX59"/>
  <c r="AW59"/>
  <c r="AO59"/>
  <c r="AN59"/>
  <c r="AM59"/>
  <c r="AL59"/>
  <c r="AK59"/>
  <c r="AJ59"/>
  <c r="AI59"/>
  <c r="AH59"/>
  <c r="AG59"/>
  <c r="AF59"/>
  <c r="AE59"/>
  <c r="AD59"/>
  <c r="AC59"/>
  <c r="AB59"/>
  <c r="AZ58"/>
  <c r="AY58"/>
  <c r="AX58"/>
  <c r="AW58"/>
  <c r="AO58"/>
  <c r="AN58"/>
  <c r="AM58"/>
  <c r="AL58"/>
  <c r="AK58"/>
  <c r="AJ58"/>
  <c r="AI58"/>
  <c r="AH58"/>
  <c r="AG58"/>
  <c r="AF58"/>
  <c r="AE58"/>
  <c r="AD58"/>
  <c r="AC58"/>
  <c r="AB58"/>
  <c r="AZ57"/>
  <c r="AY57"/>
  <c r="AX57"/>
  <c r="AW57"/>
  <c r="AO57"/>
  <c r="AN57"/>
  <c r="AM57"/>
  <c r="AL57"/>
  <c r="AK57"/>
  <c r="AJ57"/>
  <c r="AI57"/>
  <c r="AH57"/>
  <c r="AG57"/>
  <c r="AF57"/>
  <c r="AE57"/>
  <c r="AD57"/>
  <c r="AC57"/>
  <c r="AB57"/>
  <c r="AZ56"/>
  <c r="AY56"/>
  <c r="AX56"/>
  <c r="AW56"/>
  <c r="AO56"/>
  <c r="AN56"/>
  <c r="AM56"/>
  <c r="AL56"/>
  <c r="AK56"/>
  <c r="AJ56"/>
  <c r="AI56"/>
  <c r="AH56"/>
  <c r="AG56"/>
  <c r="AF56"/>
  <c r="AE56"/>
  <c r="AD56"/>
  <c r="AC56"/>
  <c r="AB56"/>
  <c r="AZ55"/>
  <c r="AY55"/>
  <c r="AX55"/>
  <c r="AW55"/>
  <c r="AO55"/>
  <c r="AN55"/>
  <c r="AM55"/>
  <c r="AL55"/>
  <c r="AK55"/>
  <c r="AJ55"/>
  <c r="AI55"/>
  <c r="AH55"/>
  <c r="AG55"/>
  <c r="AF55"/>
  <c r="AE55"/>
  <c r="AD55"/>
  <c r="AC55"/>
  <c r="AB55"/>
  <c r="AZ54"/>
  <c r="AY54"/>
  <c r="AX54"/>
  <c r="AW54"/>
  <c r="AO54"/>
  <c r="AN54"/>
  <c r="AM54"/>
  <c r="AL54"/>
  <c r="AK54"/>
  <c r="AJ54"/>
  <c r="AI54"/>
  <c r="AH54"/>
  <c r="AG54"/>
  <c r="AF54"/>
  <c r="AE54"/>
  <c r="AD54"/>
  <c r="AC54"/>
  <c r="AB54"/>
  <c r="AZ53"/>
  <c r="AY53"/>
  <c r="AX53"/>
  <c r="AW53"/>
  <c r="AO53"/>
  <c r="AN53" s="1"/>
  <c r="AM53"/>
  <c r="AL53"/>
  <c r="AK53"/>
  <c r="AJ53"/>
  <c r="AI53"/>
  <c r="AH53"/>
  <c r="AG53"/>
  <c r="AF53"/>
  <c r="AE53"/>
  <c r="AD53"/>
  <c r="AC53"/>
  <c r="AB53"/>
  <c r="AZ52"/>
  <c r="AY52"/>
  <c r="AX52"/>
  <c r="AW52"/>
  <c r="AO52"/>
  <c r="AN52"/>
  <c r="AM52"/>
  <c r="AL52"/>
  <c r="AK52"/>
  <c r="AJ52"/>
  <c r="AI52"/>
  <c r="AH52"/>
  <c r="AG52"/>
  <c r="AF52"/>
  <c r="AE52"/>
  <c r="AD52"/>
  <c r="AC52"/>
  <c r="AB52"/>
  <c r="AZ51"/>
  <c r="AY51"/>
  <c r="AX51"/>
  <c r="AW51"/>
  <c r="AO51"/>
  <c r="AN51"/>
  <c r="AM51"/>
  <c r="AL51"/>
  <c r="AK51"/>
  <c r="AJ51"/>
  <c r="AI51"/>
  <c r="AH51"/>
  <c r="AG51"/>
  <c r="AF51"/>
  <c r="AE51"/>
  <c r="AD51"/>
  <c r="AC51"/>
  <c r="AB51"/>
  <c r="AZ50"/>
  <c r="AY50"/>
  <c r="AX50"/>
  <c r="AW50"/>
  <c r="AO50"/>
  <c r="AN50"/>
  <c r="AM50"/>
  <c r="AL50"/>
  <c r="AK50"/>
  <c r="AJ50"/>
  <c r="AI50"/>
  <c r="AH50"/>
  <c r="AG50"/>
  <c r="AF50"/>
  <c r="AE50"/>
  <c r="AD50"/>
  <c r="AC50"/>
  <c r="AB50"/>
  <c r="AZ49"/>
  <c r="AY49"/>
  <c r="AX49"/>
  <c r="AW49"/>
  <c r="AO49"/>
  <c r="AN49"/>
  <c r="AM49"/>
  <c r="AL49"/>
  <c r="AK49"/>
  <c r="AJ49"/>
  <c r="AI49"/>
  <c r="AH49"/>
  <c r="AG49"/>
  <c r="AF49"/>
  <c r="AE49"/>
  <c r="AD49"/>
  <c r="AC49"/>
  <c r="AB49"/>
  <c r="AZ48"/>
  <c r="AY48"/>
  <c r="AX48"/>
  <c r="AW48"/>
  <c r="AO48"/>
  <c r="AN48"/>
  <c r="AM48"/>
  <c r="AL48"/>
  <c r="AK48"/>
  <c r="AJ48"/>
  <c r="AI48"/>
  <c r="AH48"/>
  <c r="AG48"/>
  <c r="AF48"/>
  <c r="AE48"/>
  <c r="AD48"/>
  <c r="AC48"/>
  <c r="AB48"/>
  <c r="AZ47"/>
  <c r="AY47"/>
  <c r="AX47"/>
  <c r="AW47"/>
  <c r="AO47"/>
  <c r="AN47"/>
  <c r="AM47"/>
  <c r="AL47"/>
  <c r="AK47"/>
  <c r="AJ47"/>
  <c r="AI47"/>
  <c r="AH47"/>
  <c r="AG47"/>
  <c r="AF47"/>
  <c r="AE47"/>
  <c r="AD47"/>
  <c r="AC47"/>
  <c r="AB47"/>
  <c r="AZ46"/>
  <c r="AY46"/>
  <c r="AX46"/>
  <c r="AW46"/>
  <c r="AO46"/>
  <c r="AN46"/>
  <c r="AM46"/>
  <c r="AL46"/>
  <c r="AK46"/>
  <c r="AJ46"/>
  <c r="AI46"/>
  <c r="AH46"/>
  <c r="AG46"/>
  <c r="AF46"/>
  <c r="AE46"/>
  <c r="AD46"/>
  <c r="AC46"/>
  <c r="AB46"/>
  <c r="BB45"/>
  <c r="BA45"/>
  <c r="AQ45"/>
  <c r="AP45"/>
  <c r="AZ44"/>
  <c r="AY44"/>
  <c r="AX44"/>
  <c r="AW44"/>
  <c r="AO44"/>
  <c r="AN44"/>
  <c r="AM44"/>
  <c r="AL44"/>
  <c r="AK44"/>
  <c r="AJ44"/>
  <c r="AI44"/>
  <c r="AH44"/>
  <c r="AG44"/>
  <c r="AF44"/>
  <c r="AE44"/>
  <c r="AD44"/>
  <c r="AC44"/>
  <c r="AB44"/>
  <c r="AZ43"/>
  <c r="AY43"/>
  <c r="AX43"/>
  <c r="AW43"/>
  <c r="AO43"/>
  <c r="AN43"/>
  <c r="AM43"/>
  <c r="AL43"/>
  <c r="AK43"/>
  <c r="AJ43"/>
  <c r="AI43"/>
  <c r="AH43"/>
  <c r="AG43"/>
  <c r="AF43"/>
  <c r="AE43"/>
  <c r="AD43"/>
  <c r="AC43"/>
  <c r="AB43"/>
  <c r="AZ42"/>
  <c r="AY42"/>
  <c r="AX42"/>
  <c r="AW42"/>
  <c r="AO42"/>
  <c r="AN42"/>
  <c r="AM42"/>
  <c r="AL42"/>
  <c r="AK42"/>
  <c r="AJ42"/>
  <c r="AI42"/>
  <c r="AH42"/>
  <c r="AG42"/>
  <c r="AF42"/>
  <c r="AE42"/>
  <c r="AD42"/>
  <c r="AC42"/>
  <c r="AB42"/>
  <c r="AZ41"/>
  <c r="AY41"/>
  <c r="AX41"/>
  <c r="AW41"/>
  <c r="AO41"/>
  <c r="AN41"/>
  <c r="AM41"/>
  <c r="AL41"/>
  <c r="AK41"/>
  <c r="AJ41"/>
  <c r="AI41"/>
  <c r="AH41"/>
  <c r="AG41"/>
  <c r="AF41"/>
  <c r="AE41"/>
  <c r="AD41"/>
  <c r="AC41"/>
  <c r="AB41"/>
  <c r="AZ40"/>
  <c r="AY40"/>
  <c r="AX40"/>
  <c r="AW40"/>
  <c r="AO40"/>
  <c r="AN40"/>
  <c r="AM40"/>
  <c r="AL40"/>
  <c r="AK40"/>
  <c r="AJ40"/>
  <c r="AI40"/>
  <c r="AH40"/>
  <c r="AG40"/>
  <c r="AF40"/>
  <c r="AE40"/>
  <c r="AD40"/>
  <c r="AC40"/>
  <c r="AB40"/>
  <c r="AZ39"/>
  <c r="AY39"/>
  <c r="AX39"/>
  <c r="AW39"/>
  <c r="AO39"/>
  <c r="AN39"/>
  <c r="AM39"/>
  <c r="AL39"/>
  <c r="AK39"/>
  <c r="AJ39"/>
  <c r="AI39"/>
  <c r="AH39"/>
  <c r="AG39"/>
  <c r="AF39"/>
  <c r="AE39"/>
  <c r="AD39"/>
  <c r="AC39"/>
  <c r="AB39"/>
  <c r="AZ38"/>
  <c r="AY38"/>
  <c r="AX38"/>
  <c r="AW38"/>
  <c r="AO38"/>
  <c r="AN38"/>
  <c r="AM38"/>
  <c r="AL38"/>
  <c r="AK38"/>
  <c r="AJ38"/>
  <c r="AI38"/>
  <c r="AH38"/>
  <c r="AG38"/>
  <c r="AF38"/>
  <c r="AE38"/>
  <c r="AD38"/>
  <c r="AC38"/>
  <c r="AB38"/>
  <c r="AZ37"/>
  <c r="AY37"/>
  <c r="AX37"/>
  <c r="AW37"/>
  <c r="AO37"/>
  <c r="AN37" s="1"/>
  <c r="AM37"/>
  <c r="AL37"/>
  <c r="AK37"/>
  <c r="AJ37"/>
  <c r="AI37"/>
  <c r="AH37"/>
  <c r="AG37"/>
  <c r="AF37"/>
  <c r="AE37"/>
  <c r="AD37"/>
  <c r="AC37"/>
  <c r="AB37"/>
  <c r="AZ36"/>
  <c r="AY36"/>
  <c r="AX36"/>
  <c r="AW36"/>
  <c r="AO36"/>
  <c r="AN36"/>
  <c r="AM36"/>
  <c r="AL36"/>
  <c r="AK36"/>
  <c r="AJ36"/>
  <c r="AI36"/>
  <c r="AH36"/>
  <c r="AG36"/>
  <c r="AF36"/>
  <c r="AE36"/>
  <c r="AD36"/>
  <c r="AC36"/>
  <c r="AB36"/>
  <c r="BB35"/>
  <c r="BA35"/>
  <c r="AQ35"/>
  <c r="AP35"/>
  <c r="AZ34"/>
  <c r="AY34"/>
  <c r="AX34"/>
  <c r="AW34"/>
  <c r="AO34"/>
  <c r="AN34"/>
  <c r="AM34"/>
  <c r="AL34"/>
  <c r="AK34"/>
  <c r="AJ34"/>
  <c r="AI34"/>
  <c r="AH34"/>
  <c r="AG34"/>
  <c r="AF34"/>
  <c r="AE34"/>
  <c r="AD34"/>
  <c r="AC34"/>
  <c r="AB34"/>
  <c r="AZ33"/>
  <c r="AY33"/>
  <c r="AX33"/>
  <c r="AW33"/>
  <c r="AO33"/>
  <c r="AN33"/>
  <c r="AM33"/>
  <c r="AL33"/>
  <c r="AK33"/>
  <c r="AJ33"/>
  <c r="AI33"/>
  <c r="AH33"/>
  <c r="AG33"/>
  <c r="AF33"/>
  <c r="AE33"/>
  <c r="AD33"/>
  <c r="AC33"/>
  <c r="AB33"/>
  <c r="AZ32"/>
  <c r="AY32"/>
  <c r="AX32"/>
  <c r="AW32"/>
  <c r="AO32"/>
  <c r="AN32"/>
  <c r="AM32"/>
  <c r="AL32"/>
  <c r="AK32"/>
  <c r="AJ32"/>
  <c r="AI32"/>
  <c r="AH32"/>
  <c r="AG32"/>
  <c r="AF32"/>
  <c r="AE32"/>
  <c r="AD32"/>
  <c r="AC32"/>
  <c r="AB32"/>
  <c r="BB31"/>
  <c r="BA31"/>
  <c r="AQ31"/>
  <c r="AP31"/>
  <c r="AZ30"/>
  <c r="AY30"/>
  <c r="AX30"/>
  <c r="AW30"/>
  <c r="AO30"/>
  <c r="AN30"/>
  <c r="AM30"/>
  <c r="AL30"/>
  <c r="AK30"/>
  <c r="AJ30"/>
  <c r="AI30"/>
  <c r="AH30"/>
  <c r="AG30"/>
  <c r="AF30"/>
  <c r="AE30"/>
  <c r="AD30"/>
  <c r="AC30"/>
  <c r="AB30"/>
  <c r="AZ29"/>
  <c r="AY29"/>
  <c r="AX29"/>
  <c r="AW29"/>
  <c r="AO29"/>
  <c r="AN29"/>
  <c r="AM29"/>
  <c r="AL29"/>
  <c r="AK29"/>
  <c r="AJ29"/>
  <c r="AI29"/>
  <c r="AH29"/>
  <c r="AG29"/>
  <c r="AF29"/>
  <c r="AE29"/>
  <c r="AD29"/>
  <c r="AC29"/>
  <c r="AB29"/>
  <c r="AZ28"/>
  <c r="AY28"/>
  <c r="AX28"/>
  <c r="AW28"/>
  <c r="AO28"/>
  <c r="AN28"/>
  <c r="AM28"/>
  <c r="AL28"/>
  <c r="AK28"/>
  <c r="AJ28"/>
  <c r="AI28"/>
  <c r="AH28"/>
  <c r="AG28"/>
  <c r="AF28"/>
  <c r="AE28"/>
  <c r="AD28"/>
  <c r="AC28"/>
  <c r="AB28"/>
  <c r="AZ27"/>
  <c r="AY27"/>
  <c r="AX27"/>
  <c r="AW27"/>
  <c r="AO27"/>
  <c r="AN27"/>
  <c r="AM27"/>
  <c r="AL27"/>
  <c r="AK27"/>
  <c r="AJ27"/>
  <c r="AI27"/>
  <c r="AH27"/>
  <c r="AG27"/>
  <c r="AF27"/>
  <c r="AE27"/>
  <c r="AD27"/>
  <c r="AC27"/>
  <c r="AB27"/>
  <c r="BB26"/>
  <c r="BA26"/>
  <c r="AQ26"/>
  <c r="AP26"/>
  <c r="AZ25"/>
  <c r="AY25"/>
  <c r="AX25"/>
  <c r="AW25"/>
  <c r="AO25"/>
  <c r="AN25"/>
  <c r="AM25"/>
  <c r="AL25"/>
  <c r="AK25"/>
  <c r="AJ25"/>
  <c r="AI25"/>
  <c r="AH25"/>
  <c r="AG25"/>
  <c r="AF25"/>
  <c r="AE25"/>
  <c r="AD25"/>
  <c r="AC25"/>
  <c r="AB25"/>
  <c r="AZ24"/>
  <c r="AY24"/>
  <c r="AX24"/>
  <c r="AW24"/>
  <c r="AO24"/>
  <c r="AN24"/>
  <c r="AM24"/>
  <c r="AL24"/>
  <c r="AK24"/>
  <c r="AJ24"/>
  <c r="AI24"/>
  <c r="AH24"/>
  <c r="AG24"/>
  <c r="AF24"/>
  <c r="AE24"/>
  <c r="AD24"/>
  <c r="AC24"/>
  <c r="AB24"/>
  <c r="AZ23"/>
  <c r="AY23"/>
  <c r="AX23"/>
  <c r="AW23"/>
  <c r="AO23"/>
  <c r="AN23"/>
  <c r="AM23"/>
  <c r="AL23"/>
  <c r="AK23"/>
  <c r="AJ23"/>
  <c r="AI23"/>
  <c r="AH23"/>
  <c r="AG23"/>
  <c r="AF23"/>
  <c r="AE23"/>
  <c r="AD23"/>
  <c r="AC23"/>
  <c r="AB23"/>
  <c r="BB22"/>
  <c r="BA22"/>
  <c r="AQ22"/>
  <c r="AP22"/>
  <c r="AZ21"/>
  <c r="AY21"/>
  <c r="AX21"/>
  <c r="AW21"/>
  <c r="AO21"/>
  <c r="AN21"/>
  <c r="AM21"/>
  <c r="AL21"/>
  <c r="AK21"/>
  <c r="AJ21"/>
  <c r="AI21"/>
  <c r="AH21"/>
  <c r="AG21"/>
  <c r="AF21"/>
  <c r="AE21"/>
  <c r="AD21"/>
  <c r="AC21"/>
  <c r="AB21"/>
  <c r="AZ20"/>
  <c r="AY20"/>
  <c r="AX20"/>
  <c r="AW20"/>
  <c r="AO20"/>
  <c r="AN20"/>
  <c r="AM20"/>
  <c r="AL20"/>
  <c r="AK20"/>
  <c r="AJ20"/>
  <c r="AI20"/>
  <c r="AH20"/>
  <c r="AG20"/>
  <c r="AF20"/>
  <c r="AE20"/>
  <c r="AD20"/>
  <c r="AC20"/>
  <c r="AB20"/>
  <c r="AZ19"/>
  <c r="AY19"/>
  <c r="AX19"/>
  <c r="AW19"/>
  <c r="AO19"/>
  <c r="AN19"/>
  <c r="AM19"/>
  <c r="AL19"/>
  <c r="AK19"/>
  <c r="AJ19"/>
  <c r="AI19"/>
  <c r="AH19"/>
  <c r="AG19"/>
  <c r="AF19"/>
  <c r="AE19"/>
  <c r="AD19"/>
  <c r="AC19"/>
  <c r="AB19"/>
  <c r="X19"/>
  <c r="T19"/>
  <c r="S19"/>
  <c r="AQ18"/>
  <c r="AP18"/>
  <c r="X18"/>
  <c r="U18"/>
  <c r="AZ17"/>
  <c r="AY17"/>
  <c r="AX17"/>
  <c r="AW17"/>
  <c r="AO17"/>
  <c r="AO18" s="1"/>
  <c r="AN17"/>
  <c r="AN18" s="1"/>
  <c r="AM17"/>
  <c r="AM18" s="1"/>
  <c r="AL17"/>
  <c r="AL18" s="1"/>
  <c r="AK17"/>
  <c r="AJ17"/>
  <c r="AI17"/>
  <c r="AH17"/>
  <c r="AG17"/>
  <c r="AF17"/>
  <c r="AE17"/>
  <c r="AD17"/>
  <c r="AC17"/>
  <c r="AB17"/>
  <c r="X17"/>
  <c r="U17"/>
  <c r="AQ16"/>
  <c r="AP16"/>
  <c r="W16"/>
  <c r="V16"/>
  <c r="T16"/>
  <c r="S16"/>
  <c r="AZ15"/>
  <c r="AY15"/>
  <c r="AX15"/>
  <c r="AW15"/>
  <c r="AO15"/>
  <c r="AN15"/>
  <c r="AM15"/>
  <c r="AL15"/>
  <c r="AK15"/>
  <c r="AJ15"/>
  <c r="AI15"/>
  <c r="AH15"/>
  <c r="AG15"/>
  <c r="AF15"/>
  <c r="AE15"/>
  <c r="AD15"/>
  <c r="AC15"/>
  <c r="AB15"/>
  <c r="X15"/>
  <c r="S15"/>
  <c r="U15" s="1"/>
  <c r="AZ14"/>
  <c r="AY14"/>
  <c r="AX14"/>
  <c r="AW14"/>
  <c r="AO14"/>
  <c r="AN14"/>
  <c r="AM14"/>
  <c r="AL14"/>
  <c r="AK14"/>
  <c r="AJ14"/>
  <c r="AI14"/>
  <c r="AH14"/>
  <c r="AG14"/>
  <c r="AF14"/>
  <c r="AE14"/>
  <c r="AD14"/>
  <c r="AC14"/>
  <c r="AB14"/>
  <c r="W14"/>
  <c r="V14"/>
  <c r="X14" s="1"/>
  <c r="T14"/>
  <c r="S14"/>
  <c r="N14"/>
  <c r="AZ13"/>
  <c r="AY13"/>
  <c r="AX13"/>
  <c r="AW13"/>
  <c r="AO13"/>
  <c r="AN13"/>
  <c r="AM13"/>
  <c r="AL13"/>
  <c r="AK13"/>
  <c r="AJ13"/>
  <c r="AI13"/>
  <c r="AH13"/>
  <c r="AG13"/>
  <c r="AF13"/>
  <c r="AE13"/>
  <c r="AD13"/>
  <c r="AC13"/>
  <c r="AB13"/>
  <c r="W13"/>
  <c r="V13"/>
  <c r="X13" s="1"/>
  <c r="T13"/>
  <c r="S13"/>
  <c r="P13"/>
  <c r="AZ12"/>
  <c r="AY12"/>
  <c r="AX12"/>
  <c r="AW12"/>
  <c r="AO12"/>
  <c r="AN12"/>
  <c r="AM12"/>
  <c r="AL12"/>
  <c r="AK12"/>
  <c r="AJ12"/>
  <c r="AI12"/>
  <c r="AH12"/>
  <c r="AG12"/>
  <c r="AF12"/>
  <c r="AE12"/>
  <c r="AD12"/>
  <c r="AC12"/>
  <c r="AB12"/>
  <c r="W12"/>
  <c r="W20" s="1"/>
  <c r="V12"/>
  <c r="X12" s="1"/>
  <c r="T12"/>
  <c r="S12"/>
  <c r="P12"/>
  <c r="AQ11"/>
  <c r="AP11"/>
  <c r="P11"/>
  <c r="AZ10"/>
  <c r="AY10"/>
  <c r="AX10"/>
  <c r="AW10"/>
  <c r="AO10"/>
  <c r="AN10"/>
  <c r="AM10"/>
  <c r="AL10"/>
  <c r="AK10"/>
  <c r="AJ10"/>
  <c r="AI10"/>
  <c r="AH10"/>
  <c r="AG10"/>
  <c r="AF10"/>
  <c r="AE10"/>
  <c r="AD10"/>
  <c r="AC10"/>
  <c r="AB10"/>
  <c r="P10"/>
  <c r="AZ9"/>
  <c r="AY9"/>
  <c r="AX9"/>
  <c r="AW9"/>
  <c r="AO9"/>
  <c r="AN9"/>
  <c r="AM9"/>
  <c r="AL9"/>
  <c r="AK9"/>
  <c r="AJ9"/>
  <c r="AI9"/>
  <c r="AH9"/>
  <c r="AG9"/>
  <c r="AF9"/>
  <c r="AE9"/>
  <c r="AD9"/>
  <c r="AC9"/>
  <c r="AB9"/>
  <c r="W9"/>
  <c r="V9"/>
  <c r="X9" s="1"/>
  <c r="T9"/>
  <c r="S9"/>
  <c r="P9"/>
  <c r="AZ8"/>
  <c r="AY8"/>
  <c r="AX8"/>
  <c r="AW8"/>
  <c r="AO8"/>
  <c r="AN8"/>
  <c r="AM8"/>
  <c r="AL8"/>
  <c r="AK8"/>
  <c r="AJ8"/>
  <c r="AI8"/>
  <c r="AH8"/>
  <c r="AG8"/>
  <c r="AF8"/>
  <c r="AE8"/>
  <c r="AD8"/>
  <c r="AC8"/>
  <c r="AB8"/>
  <c r="W8"/>
  <c r="V8"/>
  <c r="X8" s="1"/>
  <c r="T8"/>
  <c r="S8"/>
  <c r="P8"/>
  <c r="BB7"/>
  <c r="BA7"/>
  <c r="AZ7"/>
  <c r="AY7"/>
  <c r="AX7"/>
  <c r="AW7"/>
  <c r="AO7"/>
  <c r="AN7"/>
  <c r="AM7"/>
  <c r="AL7"/>
  <c r="AK7"/>
  <c r="AJ7"/>
  <c r="AI7"/>
  <c r="AH7"/>
  <c r="AG7"/>
  <c r="AF7"/>
  <c r="AE7"/>
  <c r="AD7"/>
  <c r="AC7"/>
  <c r="AB7"/>
  <c r="W7"/>
  <c r="W10" s="1"/>
  <c r="V7"/>
  <c r="V10" s="1"/>
  <c r="T7"/>
  <c r="S7"/>
  <c r="P7"/>
  <c r="P6"/>
  <c r="P5"/>
  <c r="AK58" i="33"/>
  <c r="AJ58"/>
  <c r="AE58"/>
  <c r="AD58"/>
  <c r="AY57"/>
  <c r="AX57"/>
  <c r="AM57"/>
  <c r="AL57"/>
  <c r="AN57" s="1"/>
  <c r="AI57"/>
  <c r="AH57"/>
  <c r="AG57"/>
  <c r="AF57"/>
  <c r="AC57"/>
  <c r="AB57"/>
  <c r="AA57"/>
  <c r="Z57"/>
  <c r="Y57"/>
  <c r="X57"/>
  <c r="W57"/>
  <c r="V57"/>
  <c r="AW56"/>
  <c r="AV56"/>
  <c r="AU56"/>
  <c r="BA56" s="1"/>
  <c r="AT56"/>
  <c r="AM56"/>
  <c r="AL56"/>
  <c r="AI56"/>
  <c r="AH56"/>
  <c r="AG56"/>
  <c r="AF56"/>
  <c r="AC56"/>
  <c r="AB56"/>
  <c r="AA56"/>
  <c r="Z56"/>
  <c r="Y56"/>
  <c r="X56"/>
  <c r="W56"/>
  <c r="V56"/>
  <c r="AW55"/>
  <c r="AV55"/>
  <c r="AU55"/>
  <c r="AT55"/>
  <c r="AO55" s="1"/>
  <c r="AM55"/>
  <c r="AL55"/>
  <c r="AI55"/>
  <c r="AH55"/>
  <c r="AG55"/>
  <c r="AF55"/>
  <c r="AC55"/>
  <c r="AB55"/>
  <c r="AA55"/>
  <c r="Z55"/>
  <c r="Y55"/>
  <c r="X55"/>
  <c r="W55"/>
  <c r="V55"/>
  <c r="AW54"/>
  <c r="AV54"/>
  <c r="AU54"/>
  <c r="AT54"/>
  <c r="AM54"/>
  <c r="AL54"/>
  <c r="AI54"/>
  <c r="AH54"/>
  <c r="AG54"/>
  <c r="AF54"/>
  <c r="AC54"/>
  <c r="AB54"/>
  <c r="AA54"/>
  <c r="Z54"/>
  <c r="Y54"/>
  <c r="X54"/>
  <c r="W54"/>
  <c r="V54"/>
  <c r="AW53"/>
  <c r="AV53"/>
  <c r="AU53"/>
  <c r="AT53"/>
  <c r="AO53" s="1"/>
  <c r="AM53"/>
  <c r="AL53"/>
  <c r="AI53"/>
  <c r="AH53"/>
  <c r="AG53"/>
  <c r="AF53"/>
  <c r="AC53"/>
  <c r="AB53"/>
  <c r="AA53"/>
  <c r="Z53"/>
  <c r="Y53"/>
  <c r="X53"/>
  <c r="W53"/>
  <c r="V53"/>
  <c r="AW52"/>
  <c r="AV52"/>
  <c r="AU52"/>
  <c r="AT52"/>
  <c r="AM52"/>
  <c r="AL52"/>
  <c r="AI52"/>
  <c r="AH52"/>
  <c r="AG52"/>
  <c r="AF52"/>
  <c r="AC52"/>
  <c r="AB52"/>
  <c r="AA52"/>
  <c r="Z52"/>
  <c r="Y52"/>
  <c r="X52"/>
  <c r="W52"/>
  <c r="V52"/>
  <c r="AW51"/>
  <c r="AV51"/>
  <c r="AU51"/>
  <c r="AT51"/>
  <c r="AO51" s="1"/>
  <c r="AM51"/>
  <c r="AL51"/>
  <c r="AI51"/>
  <c r="AH51"/>
  <c r="AG51"/>
  <c r="AF51"/>
  <c r="AC51"/>
  <c r="AB51"/>
  <c r="AA51"/>
  <c r="Z51"/>
  <c r="Y51"/>
  <c r="X51"/>
  <c r="W51"/>
  <c r="V51"/>
  <c r="AW50"/>
  <c r="AV50"/>
  <c r="AU50"/>
  <c r="AT50"/>
  <c r="AM50"/>
  <c r="AL50"/>
  <c r="AI50"/>
  <c r="AH50"/>
  <c r="AG50"/>
  <c r="AF50"/>
  <c r="AC50"/>
  <c r="AB50"/>
  <c r="AA50"/>
  <c r="Z50"/>
  <c r="Y50"/>
  <c r="X50"/>
  <c r="W50"/>
  <c r="V50"/>
  <c r="AW49"/>
  <c r="AV49"/>
  <c r="AU49"/>
  <c r="AT49"/>
  <c r="AO49" s="1"/>
  <c r="AM49"/>
  <c r="AL49"/>
  <c r="AI49"/>
  <c r="AH49"/>
  <c r="AG49"/>
  <c r="AF49"/>
  <c r="AC49"/>
  <c r="AB49"/>
  <c r="AA49"/>
  <c r="Z49"/>
  <c r="Y49"/>
  <c r="X49"/>
  <c r="W49"/>
  <c r="V49"/>
  <c r="AW48"/>
  <c r="AV48"/>
  <c r="AU48"/>
  <c r="AT48"/>
  <c r="AM48"/>
  <c r="AL48"/>
  <c r="AI48"/>
  <c r="AH48"/>
  <c r="AG48"/>
  <c r="AF48"/>
  <c r="AC48"/>
  <c r="AB48"/>
  <c r="AA48"/>
  <c r="Z48"/>
  <c r="Y48"/>
  <c r="X48"/>
  <c r="W48"/>
  <c r="V48"/>
  <c r="AW47"/>
  <c r="AV47"/>
  <c r="AU47"/>
  <c r="AT47"/>
  <c r="AO47" s="1"/>
  <c r="AM47"/>
  <c r="AL47"/>
  <c r="AI47"/>
  <c r="AH47"/>
  <c r="AG47"/>
  <c r="AF47"/>
  <c r="AC47"/>
  <c r="AB47"/>
  <c r="AA47"/>
  <c r="Z47"/>
  <c r="Y47"/>
  <c r="X47"/>
  <c r="W47"/>
  <c r="V47"/>
  <c r="AW46"/>
  <c r="AV46"/>
  <c r="AU46"/>
  <c r="AT46"/>
  <c r="AM46"/>
  <c r="AL46"/>
  <c r="AI46"/>
  <c r="AH46"/>
  <c r="AG46"/>
  <c r="AF46"/>
  <c r="AC46"/>
  <c r="AB46"/>
  <c r="AA46"/>
  <c r="Z46"/>
  <c r="Y46"/>
  <c r="X46"/>
  <c r="W46"/>
  <c r="V46"/>
  <c r="AW45"/>
  <c r="AV45"/>
  <c r="AU45"/>
  <c r="AT45"/>
  <c r="AO45" s="1"/>
  <c r="AM45"/>
  <c r="AL45"/>
  <c r="AI45"/>
  <c r="AH45"/>
  <c r="AG45"/>
  <c r="AF45"/>
  <c r="AC45"/>
  <c r="AB45"/>
  <c r="AA45"/>
  <c r="Z45"/>
  <c r="Y45"/>
  <c r="X45"/>
  <c r="W45"/>
  <c r="V45"/>
  <c r="AW44"/>
  <c r="AV44"/>
  <c r="AU44"/>
  <c r="AT44"/>
  <c r="AM44"/>
  <c r="AL44"/>
  <c r="AI44"/>
  <c r="AH44"/>
  <c r="AG44"/>
  <c r="AF44"/>
  <c r="AC44"/>
  <c r="AB44"/>
  <c r="AA44"/>
  <c r="Z44"/>
  <c r="Y44"/>
  <c r="X44"/>
  <c r="W44"/>
  <c r="V44"/>
  <c r="AW43"/>
  <c r="AV43"/>
  <c r="AU43"/>
  <c r="AT43"/>
  <c r="AM43"/>
  <c r="AO43" s="1"/>
  <c r="AL43"/>
  <c r="AL58" s="1"/>
  <c r="AI43"/>
  <c r="AH43"/>
  <c r="AG43"/>
  <c r="AF43"/>
  <c r="AC43"/>
  <c r="AB43"/>
  <c r="AA43"/>
  <c r="AA58" s="1"/>
  <c r="Z58" s="1"/>
  <c r="Y58" s="1"/>
  <c r="X58" s="1"/>
  <c r="Z43"/>
  <c r="Y43"/>
  <c r="X43"/>
  <c r="W43"/>
  <c r="V43"/>
  <c r="AW42"/>
  <c r="AV42"/>
  <c r="AU42"/>
  <c r="AU57" s="1"/>
  <c r="AT57" s="1"/>
  <c r="AO57" s="1"/>
  <c r="AT42"/>
  <c r="AK42"/>
  <c r="AJ42"/>
  <c r="AE42"/>
  <c r="AD42"/>
  <c r="AY41"/>
  <c r="AX41"/>
  <c r="AT41"/>
  <c r="AM41"/>
  <c r="AL41"/>
  <c r="AI41"/>
  <c r="AH41"/>
  <c r="AG41"/>
  <c r="AF41"/>
  <c r="AC41"/>
  <c r="AB41"/>
  <c r="AA41"/>
  <c r="Z41"/>
  <c r="Y41"/>
  <c r="X41"/>
  <c r="W41"/>
  <c r="V41"/>
  <c r="AW40"/>
  <c r="AV40"/>
  <c r="AU40"/>
  <c r="AT40"/>
  <c r="AO40" s="1"/>
  <c r="AM40"/>
  <c r="AL40"/>
  <c r="AI40"/>
  <c r="AH40"/>
  <c r="AG40"/>
  <c r="AF40"/>
  <c r="AC40"/>
  <c r="AB40"/>
  <c r="AA40"/>
  <c r="Z40"/>
  <c r="Y40"/>
  <c r="X40"/>
  <c r="W40"/>
  <c r="V40"/>
  <c r="AW39"/>
  <c r="AV39"/>
  <c r="AU39"/>
  <c r="AT39"/>
  <c r="AM39"/>
  <c r="AL39"/>
  <c r="AI39"/>
  <c r="AH39"/>
  <c r="AG39"/>
  <c r="AF39"/>
  <c r="AC39"/>
  <c r="AB39"/>
  <c r="AA39"/>
  <c r="Z39"/>
  <c r="Y39"/>
  <c r="X39"/>
  <c r="W39"/>
  <c r="V39"/>
  <c r="O39"/>
  <c r="AW38"/>
  <c r="AV38"/>
  <c r="AU38"/>
  <c r="AT38"/>
  <c r="AM38"/>
  <c r="AL38"/>
  <c r="AI38"/>
  <c r="AH38"/>
  <c r="AG38"/>
  <c r="AF38"/>
  <c r="AC38"/>
  <c r="AB38"/>
  <c r="AA38"/>
  <c r="Z38"/>
  <c r="Y38"/>
  <c r="X38"/>
  <c r="W38"/>
  <c r="V38"/>
  <c r="O38" s="1"/>
  <c r="M38"/>
  <c r="AW37"/>
  <c r="AV37"/>
  <c r="AU37"/>
  <c r="AT37"/>
  <c r="AM37"/>
  <c r="AL37"/>
  <c r="AI37"/>
  <c r="AH37"/>
  <c r="AG37"/>
  <c r="AF37"/>
  <c r="AC37"/>
  <c r="AB37"/>
  <c r="AA37"/>
  <c r="Z37"/>
  <c r="Y37"/>
  <c r="X37"/>
  <c r="W37"/>
  <c r="V37"/>
  <c r="O37"/>
  <c r="AW36"/>
  <c r="AV36"/>
  <c r="AU36"/>
  <c r="AT36"/>
  <c r="AO36" s="1"/>
  <c r="AN36" s="1"/>
  <c r="AM36"/>
  <c r="AL36"/>
  <c r="AI36"/>
  <c r="AH36"/>
  <c r="AG36"/>
  <c r="AF36"/>
  <c r="AC36"/>
  <c r="AB36"/>
  <c r="AA36"/>
  <c r="Z36"/>
  <c r="Y36"/>
  <c r="X36"/>
  <c r="W36"/>
  <c r="V36"/>
  <c r="O36"/>
  <c r="BA35" s="1"/>
  <c r="AW35"/>
  <c r="AV35"/>
  <c r="AU35"/>
  <c r="AT35"/>
  <c r="AO35" s="1"/>
  <c r="AN35" s="1"/>
  <c r="AM35"/>
  <c r="AL35"/>
  <c r="AI35"/>
  <c r="AH35"/>
  <c r="AG35"/>
  <c r="AF35"/>
  <c r="AC35"/>
  <c r="AB35"/>
  <c r="AA35"/>
  <c r="Z35"/>
  <c r="Y35"/>
  <c r="X35"/>
  <c r="W35"/>
  <c r="V35"/>
  <c r="M35"/>
  <c r="AW34"/>
  <c r="AV34"/>
  <c r="AU34"/>
  <c r="AT34"/>
  <c r="AO34"/>
  <c r="AN34"/>
  <c r="AM34"/>
  <c r="AL34"/>
  <c r="AL42" s="1"/>
  <c r="AI34"/>
  <c r="AH34"/>
  <c r="AG34"/>
  <c r="AG42" s="1"/>
  <c r="AF42" s="1"/>
  <c r="AF34"/>
  <c r="AC34"/>
  <c r="AB34"/>
  <c r="AA34"/>
  <c r="Z34"/>
  <c r="Y34"/>
  <c r="X34"/>
  <c r="W34"/>
  <c r="V34"/>
  <c r="N34"/>
  <c r="M34"/>
  <c r="AW33"/>
  <c r="AV33"/>
  <c r="AU33"/>
  <c r="BA33" s="1"/>
  <c r="AZ33" s="1"/>
  <c r="AT33"/>
  <c r="AK33"/>
  <c r="AJ33"/>
  <c r="AE33"/>
  <c r="AD33"/>
  <c r="N33"/>
  <c r="M33"/>
  <c r="AY32"/>
  <c r="AX32"/>
  <c r="AM32"/>
  <c r="AL32"/>
  <c r="AI32"/>
  <c r="AH32"/>
  <c r="AG32"/>
  <c r="AF32"/>
  <c r="AC32"/>
  <c r="AB32"/>
  <c r="AA32"/>
  <c r="Z32"/>
  <c r="Y32"/>
  <c r="X32"/>
  <c r="W32"/>
  <c r="V32"/>
  <c r="N32"/>
  <c r="M32"/>
  <c r="O32" s="1"/>
  <c r="AW31"/>
  <c r="AV31"/>
  <c r="AU31"/>
  <c r="AT31"/>
  <c r="AM31"/>
  <c r="AL31"/>
  <c r="AI31"/>
  <c r="AH31"/>
  <c r="AG31"/>
  <c r="AF31"/>
  <c r="AC31"/>
  <c r="AB31"/>
  <c r="AA31"/>
  <c r="Z31"/>
  <c r="Y31"/>
  <c r="X31"/>
  <c r="W31"/>
  <c r="V31"/>
  <c r="AW30"/>
  <c r="AV30"/>
  <c r="AU30"/>
  <c r="AT30"/>
  <c r="AM30"/>
  <c r="AM33" s="1"/>
  <c r="AL30"/>
  <c r="AL33" s="1"/>
  <c r="AI30"/>
  <c r="AH30"/>
  <c r="AG30"/>
  <c r="AF30"/>
  <c r="AC30"/>
  <c r="AB30"/>
  <c r="AA30"/>
  <c r="Z30"/>
  <c r="Y30"/>
  <c r="X30"/>
  <c r="W30"/>
  <c r="V30"/>
  <c r="AW29"/>
  <c r="AV29"/>
  <c r="AU29"/>
  <c r="BA29" s="1"/>
  <c r="AT29"/>
  <c r="AK29"/>
  <c r="AJ29"/>
  <c r="AE29"/>
  <c r="AD29"/>
  <c r="AC29" s="1"/>
  <c r="N29"/>
  <c r="M29"/>
  <c r="AY28"/>
  <c r="AX28"/>
  <c r="AW28" s="1"/>
  <c r="AM28"/>
  <c r="AL28"/>
  <c r="AI28"/>
  <c r="AH28"/>
  <c r="AG28"/>
  <c r="AF28"/>
  <c r="AC28"/>
  <c r="AB28"/>
  <c r="AA28"/>
  <c r="Z28"/>
  <c r="Y28"/>
  <c r="X28"/>
  <c r="W28"/>
  <c r="V28"/>
  <c r="N28"/>
  <c r="M28"/>
  <c r="AW27"/>
  <c r="AV27"/>
  <c r="AU27"/>
  <c r="AT27"/>
  <c r="AO27" s="1"/>
  <c r="AM27"/>
  <c r="AL27"/>
  <c r="AN27" s="1"/>
  <c r="AI27"/>
  <c r="AH27"/>
  <c r="AG27"/>
  <c r="AF27"/>
  <c r="AC27"/>
  <c r="AB27"/>
  <c r="AA27"/>
  <c r="Z27"/>
  <c r="Y27"/>
  <c r="X27"/>
  <c r="W27"/>
  <c r="V27"/>
  <c r="R27" s="1"/>
  <c r="Q27"/>
  <c r="P27"/>
  <c r="N27"/>
  <c r="N30" s="1"/>
  <c r="M27"/>
  <c r="O27" s="1"/>
  <c r="AW26"/>
  <c r="AV26"/>
  <c r="AU26"/>
  <c r="AT26"/>
  <c r="AM26"/>
  <c r="AO26" s="1"/>
  <c r="AN26" s="1"/>
  <c r="AL26"/>
  <c r="AL29" s="1"/>
  <c r="AI26"/>
  <c r="AH26"/>
  <c r="AH29" s="1"/>
  <c r="AG29" s="1"/>
  <c r="AF29" s="1"/>
  <c r="AG26"/>
  <c r="AF26"/>
  <c r="AC26"/>
  <c r="AB26"/>
  <c r="AB29" s="1"/>
  <c r="AA29" s="1"/>
  <c r="AA26"/>
  <c r="Z26"/>
  <c r="Y26"/>
  <c r="X26"/>
  <c r="W26"/>
  <c r="V26"/>
  <c r="AW25"/>
  <c r="AV25"/>
  <c r="AU25"/>
  <c r="BA25" s="1"/>
  <c r="AT25"/>
  <c r="AL25"/>
  <c r="AK25"/>
  <c r="AJ25"/>
  <c r="AE25"/>
  <c r="AD25"/>
  <c r="AY24"/>
  <c r="AX24"/>
  <c r="AM24"/>
  <c r="AL24"/>
  <c r="AI24"/>
  <c r="AH24"/>
  <c r="AG24"/>
  <c r="AF24"/>
  <c r="AC24"/>
  <c r="AB24"/>
  <c r="AA24"/>
  <c r="Z24"/>
  <c r="Y24"/>
  <c r="X24"/>
  <c r="W24"/>
  <c r="V24"/>
  <c r="AW23"/>
  <c r="AV23"/>
  <c r="AU23"/>
  <c r="AT23"/>
  <c r="AM23"/>
  <c r="AL23"/>
  <c r="AI23"/>
  <c r="AH23"/>
  <c r="AG23"/>
  <c r="AF23"/>
  <c r="AC23"/>
  <c r="AB23"/>
  <c r="AA23"/>
  <c r="Z23"/>
  <c r="Y23"/>
  <c r="X23"/>
  <c r="W23"/>
  <c r="V23"/>
  <c r="AW22"/>
  <c r="AV22"/>
  <c r="AU22"/>
  <c r="AT22"/>
  <c r="AM22"/>
  <c r="AM25" s="1"/>
  <c r="AL22"/>
  <c r="AI22"/>
  <c r="AH22"/>
  <c r="AG22"/>
  <c r="AF22"/>
  <c r="AC22"/>
  <c r="AB22"/>
  <c r="AA22"/>
  <c r="Z22"/>
  <c r="Y22"/>
  <c r="X22"/>
  <c r="W22"/>
  <c r="V22"/>
  <c r="AW21"/>
  <c r="AV21"/>
  <c r="AU21"/>
  <c r="AU24" s="1"/>
  <c r="AT21"/>
  <c r="AK21"/>
  <c r="AJ21"/>
  <c r="AE21"/>
  <c r="AD21"/>
  <c r="AY20"/>
  <c r="AX20"/>
  <c r="AM20"/>
  <c r="AL20"/>
  <c r="AI20"/>
  <c r="AH20"/>
  <c r="AG20"/>
  <c r="AF20"/>
  <c r="AC20"/>
  <c r="AB20"/>
  <c r="AA20"/>
  <c r="Z20"/>
  <c r="Y20"/>
  <c r="X20"/>
  <c r="W20"/>
  <c r="V20"/>
  <c r="AW19"/>
  <c r="AV19"/>
  <c r="AU19"/>
  <c r="AT19"/>
  <c r="AM19"/>
  <c r="AL19"/>
  <c r="AI19"/>
  <c r="AH19"/>
  <c r="AG19"/>
  <c r="AF19"/>
  <c r="AC19"/>
  <c r="AB19"/>
  <c r="AA19"/>
  <c r="Z19"/>
  <c r="Y19"/>
  <c r="X19"/>
  <c r="W19"/>
  <c r="V19"/>
  <c r="Q19"/>
  <c r="P19"/>
  <c r="R19" s="1"/>
  <c r="N19"/>
  <c r="M19"/>
  <c r="O19" s="1"/>
  <c r="AW18"/>
  <c r="AV18"/>
  <c r="AU18"/>
  <c r="BA18" s="1"/>
  <c r="AZ18" s="1"/>
  <c r="AT18"/>
  <c r="AM18"/>
  <c r="AM21" s="1"/>
  <c r="AL18"/>
  <c r="AL21" s="1"/>
  <c r="AI18"/>
  <c r="AH18"/>
  <c r="AG18"/>
  <c r="AF18"/>
  <c r="AC18"/>
  <c r="AB18"/>
  <c r="AA18"/>
  <c r="Z18"/>
  <c r="Y18"/>
  <c r="Y21" s="1"/>
  <c r="X21" s="1"/>
  <c r="W21" s="1"/>
  <c r="X18"/>
  <c r="W18"/>
  <c r="V18"/>
  <c r="R18" s="1"/>
  <c r="Q18"/>
  <c r="P18"/>
  <c r="N18"/>
  <c r="M18"/>
  <c r="AW17"/>
  <c r="AW20" s="1"/>
  <c r="AV20" s="1"/>
  <c r="AU20" s="1"/>
  <c r="AV17"/>
  <c r="AU17"/>
  <c r="BA17" s="1"/>
  <c r="AT17"/>
  <c r="AK17"/>
  <c r="AJ17"/>
  <c r="AE17"/>
  <c r="AD17"/>
  <c r="R17"/>
  <c r="O17" s="1"/>
  <c r="M17"/>
  <c r="AM16"/>
  <c r="AO16" s="1"/>
  <c r="AL16"/>
  <c r="AN16" s="1"/>
  <c r="AI16"/>
  <c r="AH16"/>
  <c r="AG16"/>
  <c r="AF16"/>
  <c r="AC16"/>
  <c r="AB16"/>
  <c r="AB17" s="1"/>
  <c r="AA16"/>
  <c r="Z16"/>
  <c r="Y16"/>
  <c r="X16"/>
  <c r="X17" s="1"/>
  <c r="W16"/>
  <c r="V16"/>
  <c r="Q16"/>
  <c r="P16"/>
  <c r="N16"/>
  <c r="M16"/>
  <c r="AW15"/>
  <c r="AV15"/>
  <c r="AU15"/>
  <c r="AT15"/>
  <c r="AL15"/>
  <c r="AK15"/>
  <c r="AJ15"/>
  <c r="AE15"/>
  <c r="AD15"/>
  <c r="Q15"/>
  <c r="P15"/>
  <c r="N15"/>
  <c r="M15"/>
  <c r="AM14"/>
  <c r="AL14"/>
  <c r="AI14"/>
  <c r="AH14"/>
  <c r="AG14"/>
  <c r="AF14"/>
  <c r="AC14"/>
  <c r="AB14"/>
  <c r="AA14"/>
  <c r="Z14"/>
  <c r="Y14"/>
  <c r="X14"/>
  <c r="W14"/>
  <c r="V14"/>
  <c r="R14"/>
  <c r="P14"/>
  <c r="M14"/>
  <c r="M20" s="1"/>
  <c r="BA19" s="1"/>
  <c r="AZ19" s="1"/>
  <c r="AW13"/>
  <c r="AV13"/>
  <c r="AU13"/>
  <c r="BA13" s="1"/>
  <c r="AT13"/>
  <c r="AZ13" s="1"/>
  <c r="AN13"/>
  <c r="AM13"/>
  <c r="AO13" s="1"/>
  <c r="AL13"/>
  <c r="AI13"/>
  <c r="AH13"/>
  <c r="AG13"/>
  <c r="AF13"/>
  <c r="AC13"/>
  <c r="AC15" s="1"/>
  <c r="AB13"/>
  <c r="AA13"/>
  <c r="Z13"/>
  <c r="Y13"/>
  <c r="X13"/>
  <c r="W13"/>
  <c r="V13"/>
  <c r="BA12"/>
  <c r="AW12"/>
  <c r="AV12"/>
  <c r="AU12"/>
  <c r="AU14" s="1"/>
  <c r="AT12"/>
  <c r="AL12"/>
  <c r="AK12"/>
  <c r="AJ12"/>
  <c r="AF12"/>
  <c r="AE12"/>
  <c r="AD12"/>
  <c r="AY11"/>
  <c r="AX11"/>
  <c r="AW11" s="1"/>
  <c r="AC11"/>
  <c r="AB11"/>
  <c r="AA11"/>
  <c r="Z11"/>
  <c r="Y11"/>
  <c r="X11"/>
  <c r="W11"/>
  <c r="V11"/>
  <c r="R11" s="1"/>
  <c r="Q11"/>
  <c r="P11"/>
  <c r="N11"/>
  <c r="M11"/>
  <c r="BA10" s="1"/>
  <c r="AW10"/>
  <c r="AV10"/>
  <c r="AU10"/>
  <c r="AT10"/>
  <c r="AO10" s="1"/>
  <c r="AN10" s="1"/>
  <c r="AM10"/>
  <c r="AL10"/>
  <c r="AI10"/>
  <c r="AH10"/>
  <c r="AG10"/>
  <c r="AF10"/>
  <c r="AC10"/>
  <c r="AB10"/>
  <c r="AA10"/>
  <c r="Z10"/>
  <c r="Y10"/>
  <c r="X10"/>
  <c r="W10"/>
  <c r="V10"/>
  <c r="Q10"/>
  <c r="P10"/>
  <c r="O10" s="1"/>
  <c r="N10"/>
  <c r="M10"/>
  <c r="AW9"/>
  <c r="AV9"/>
  <c r="AU9"/>
  <c r="AT9"/>
  <c r="AM9"/>
  <c r="AL9"/>
  <c r="AI9"/>
  <c r="AH9"/>
  <c r="AG9"/>
  <c r="AF9"/>
  <c r="AC9"/>
  <c r="AB9"/>
  <c r="AA9"/>
  <c r="Z9"/>
  <c r="Y9"/>
  <c r="X9"/>
  <c r="W9"/>
  <c r="V9"/>
  <c r="R9" s="1"/>
  <c r="Q9"/>
  <c r="P9"/>
  <c r="N9"/>
  <c r="M9"/>
  <c r="AW8"/>
  <c r="AV8"/>
  <c r="AU8"/>
  <c r="BA8" s="1"/>
  <c r="AT8"/>
  <c r="AZ8" s="1"/>
  <c r="AN8"/>
  <c r="AM8"/>
  <c r="AO8" s="1"/>
  <c r="AL8"/>
  <c r="AI8"/>
  <c r="AH8"/>
  <c r="AG8"/>
  <c r="AF8"/>
  <c r="AC8"/>
  <c r="AB8"/>
  <c r="AA8"/>
  <c r="AA12" s="1"/>
  <c r="Z8"/>
  <c r="Y8"/>
  <c r="X8"/>
  <c r="W8"/>
  <c r="V8"/>
  <c r="Q8"/>
  <c r="P8"/>
  <c r="O8" s="1"/>
  <c r="N8"/>
  <c r="M8"/>
  <c r="M12" s="1"/>
  <c r="BA11" s="1"/>
  <c r="J236" i="25"/>
  <c r="J235"/>
  <c r="J234"/>
  <c r="J233"/>
  <c r="J232"/>
  <c r="J231"/>
  <c r="J230"/>
  <c r="J229"/>
  <c r="J228"/>
  <c r="J227"/>
  <c r="J226"/>
  <c r="J225"/>
  <c r="J224"/>
  <c r="F223"/>
  <c r="F222"/>
  <c r="F221"/>
  <c r="F220"/>
  <c r="J219"/>
  <c r="J218"/>
  <c r="J217"/>
  <c r="IV216"/>
  <c r="IU216"/>
  <c r="IT216"/>
  <c r="IS216"/>
  <c r="IR216"/>
  <c r="IQ216"/>
  <c r="IP216"/>
  <c r="IO216"/>
  <c r="IN216"/>
  <c r="IM216"/>
  <c r="IL216"/>
  <c r="IK216"/>
  <c r="IJ216"/>
  <c r="II216"/>
  <c r="IH216"/>
  <c r="IG216"/>
  <c r="IF216"/>
  <c r="IE216"/>
  <c r="ID216"/>
  <c r="IC216"/>
  <c r="IB216"/>
  <c r="IA216"/>
  <c r="HZ216"/>
  <c r="HY216"/>
  <c r="HX216"/>
  <c r="HW216"/>
  <c r="HV216"/>
  <c r="HU216"/>
  <c r="HT216"/>
  <c r="HS216"/>
  <c r="HR216"/>
  <c r="HQ216"/>
  <c r="HP216"/>
  <c r="HO216"/>
  <c r="HN216"/>
  <c r="HM216"/>
  <c r="HL216"/>
  <c r="HK216"/>
  <c r="HJ216"/>
  <c r="HI216"/>
  <c r="HH216"/>
  <c r="HG216"/>
  <c r="HF216"/>
  <c r="HE216"/>
  <c r="HD216"/>
  <c r="HC216"/>
  <c r="HB216"/>
  <c r="HA216"/>
  <c r="GZ216"/>
  <c r="GY216"/>
  <c r="GX216"/>
  <c r="GW216"/>
  <c r="GV216"/>
  <c r="GU216"/>
  <c r="GT216"/>
  <c r="GS216"/>
  <c r="GR216"/>
  <c r="GQ216"/>
  <c r="GP216"/>
  <c r="GO216"/>
  <c r="GN216"/>
  <c r="GM216"/>
  <c r="GL216"/>
  <c r="GK216"/>
  <c r="GJ216"/>
  <c r="GI216"/>
  <c r="GH216"/>
  <c r="GG216"/>
  <c r="GF216"/>
  <c r="GE216"/>
  <c r="GD216"/>
  <c r="GC216"/>
  <c r="GB216"/>
  <c r="GA216"/>
  <c r="FZ216"/>
  <c r="FY216"/>
  <c r="FX216"/>
  <c r="FW216"/>
  <c r="FV216"/>
  <c r="FU216"/>
  <c r="FT216"/>
  <c r="FS216"/>
  <c r="FR216"/>
  <c r="FQ216"/>
  <c r="FP216"/>
  <c r="FO216"/>
  <c r="FN216"/>
  <c r="FM216"/>
  <c r="FL216"/>
  <c r="FK216"/>
  <c r="FJ216"/>
  <c r="FI216"/>
  <c r="FH216"/>
  <c r="FG216"/>
  <c r="FF216"/>
  <c r="FE216"/>
  <c r="FD216"/>
  <c r="FC216"/>
  <c r="FB216"/>
  <c r="FA216"/>
  <c r="EZ216"/>
  <c r="EY216"/>
  <c r="EX216"/>
  <c r="EW216"/>
  <c r="EV216"/>
  <c r="EU216"/>
  <c r="ET216"/>
  <c r="ES216"/>
  <c r="ER216"/>
  <c r="EQ216"/>
  <c r="EP216"/>
  <c r="EO216"/>
  <c r="EN216"/>
  <c r="EM216"/>
  <c r="EL216"/>
  <c r="EK216"/>
  <c r="EJ216"/>
  <c r="EI216"/>
  <c r="EH216"/>
  <c r="EG216"/>
  <c r="EF216"/>
  <c r="EE216"/>
  <c r="ED216"/>
  <c r="EC216"/>
  <c r="EB216"/>
  <c r="EA216"/>
  <c r="DZ216"/>
  <c r="DY216"/>
  <c r="DX216"/>
  <c r="DW216"/>
  <c r="DV216"/>
  <c r="DU216" s="1"/>
  <c r="DT216"/>
  <c r="DS216"/>
  <c r="DR216"/>
  <c r="DQ216"/>
  <c r="DP216"/>
  <c r="DO216"/>
  <c r="DN216"/>
  <c r="DM216"/>
  <c r="DL216"/>
  <c r="DK216"/>
  <c r="DJ216"/>
  <c r="DI216"/>
  <c r="DH216"/>
  <c r="DG216"/>
  <c r="DF216"/>
  <c r="DE216"/>
  <c r="DD216"/>
  <c r="DC216"/>
  <c r="DB216"/>
  <c r="DA216"/>
  <c r="CZ216"/>
  <c r="CY216"/>
  <c r="CX216"/>
  <c r="CW216"/>
  <c r="CV216"/>
  <c r="CU216"/>
  <c r="CT216"/>
  <c r="CS216"/>
  <c r="CR216"/>
  <c r="CQ216"/>
  <c r="CP216"/>
  <c r="CO216"/>
  <c r="CN216"/>
  <c r="CM216"/>
  <c r="CL216"/>
  <c r="CK216"/>
  <c r="CJ216"/>
  <c r="CI216"/>
  <c r="CH216"/>
  <c r="CG216"/>
  <c r="CF216"/>
  <c r="CE216"/>
  <c r="CD216"/>
  <c r="CC216"/>
  <c r="CB216"/>
  <c r="CA216"/>
  <c r="BZ216"/>
  <c r="BY216" s="1"/>
  <c r="BX216"/>
  <c r="BW216"/>
  <c r="BV216"/>
  <c r="BU216"/>
  <c r="BT216"/>
  <c r="BS216"/>
  <c r="BR216"/>
  <c r="BQ216"/>
  <c r="BP216"/>
  <c r="BO216"/>
  <c r="BN216"/>
  <c r="BM216"/>
  <c r="BL216"/>
  <c r="BK216"/>
  <c r="BJ216"/>
  <c r="BI216"/>
  <c r="BH216"/>
  <c r="BG216"/>
  <c r="BF216"/>
  <c r="BE216" s="1"/>
  <c r="BD216" s="1"/>
  <c r="BC216"/>
  <c r="BB216"/>
  <c r="BA216"/>
  <c r="AZ216"/>
  <c r="AY216"/>
  <c r="AX216"/>
  <c r="AW216"/>
  <c r="AV216"/>
  <c r="AU216"/>
  <c r="AT216"/>
  <c r="AS216"/>
  <c r="AR216"/>
  <c r="AQ216"/>
  <c r="AP216"/>
  <c r="AO216"/>
  <c r="AN216"/>
  <c r="AM216"/>
  <c r="AL216"/>
  <c r="AK216"/>
  <c r="AJ216"/>
  <c r="AI216"/>
  <c r="AH216"/>
  <c r="AG216"/>
  <c r="AF216"/>
  <c r="AE216"/>
  <c r="AD216"/>
  <c r="AC216"/>
  <c r="AB216"/>
  <c r="AA216"/>
  <c r="Z216"/>
  <c r="Y216"/>
  <c r="X216"/>
  <c r="W216"/>
  <c r="V216"/>
  <c r="U216"/>
  <c r="T216"/>
  <c r="S216"/>
  <c r="R216"/>
  <c r="Q216"/>
  <c r="P216"/>
  <c r="O216"/>
  <c r="M216"/>
  <c r="L216"/>
  <c r="K216"/>
  <c r="J216"/>
  <c r="I216"/>
  <c r="H216"/>
  <c r="G216"/>
  <c r="F216"/>
  <c r="E216"/>
  <c r="D216"/>
  <c r="C216"/>
  <c r="J215"/>
  <c r="J214"/>
  <c r="J213"/>
  <c r="J212"/>
  <c r="J211"/>
  <c r="J210"/>
  <c r="J209"/>
  <c r="J208"/>
  <c r="F207"/>
  <c r="F206"/>
  <c r="F205"/>
  <c r="F204"/>
  <c r="J203"/>
  <c r="J202"/>
  <c r="J201"/>
  <c r="IV200"/>
  <c r="IU200"/>
  <c r="IT200"/>
  <c r="IS200"/>
  <c r="IR200"/>
  <c r="IQ200"/>
  <c r="IP200"/>
  <c r="IO200"/>
  <c r="IN200"/>
  <c r="IM200"/>
  <c r="IL200"/>
  <c r="IK200"/>
  <c r="IJ200"/>
  <c r="II200"/>
  <c r="IH200"/>
  <c r="IG200"/>
  <c r="IF200"/>
  <c r="IE200"/>
  <c r="ID200"/>
  <c r="IC200"/>
  <c r="IB200"/>
  <c r="IA200"/>
  <c r="HZ200"/>
  <c r="HY200"/>
  <c r="HX200"/>
  <c r="HW200"/>
  <c r="HV200"/>
  <c r="HU200"/>
  <c r="HT200"/>
  <c r="HS200"/>
  <c r="HR200"/>
  <c r="HQ200"/>
  <c r="HP200"/>
  <c r="HO200"/>
  <c r="HN200"/>
  <c r="HM200"/>
  <c r="HL200"/>
  <c r="HK200"/>
  <c r="HJ200"/>
  <c r="HI200"/>
  <c r="HH200"/>
  <c r="HG200"/>
  <c r="HF200"/>
  <c r="HE200"/>
  <c r="HD200"/>
  <c r="HC200"/>
  <c r="HB200"/>
  <c r="HA200"/>
  <c r="GZ200"/>
  <c r="GY200"/>
  <c r="GX200"/>
  <c r="GW200"/>
  <c r="GV200"/>
  <c r="GU200"/>
  <c r="GT200"/>
  <c r="GS200"/>
  <c r="GR200"/>
  <c r="GQ200"/>
  <c r="GP200"/>
  <c r="GO200"/>
  <c r="GN200"/>
  <c r="GM200"/>
  <c r="GL200"/>
  <c r="GK200"/>
  <c r="GJ200"/>
  <c r="GI200"/>
  <c r="GH200"/>
  <c r="GG200"/>
  <c r="GF200"/>
  <c r="GE200"/>
  <c r="GD200"/>
  <c r="GC200"/>
  <c r="GB200"/>
  <c r="GA200"/>
  <c r="FZ200"/>
  <c r="FY200"/>
  <c r="FX200"/>
  <c r="FW200"/>
  <c r="FV200"/>
  <c r="FU200"/>
  <c r="FT200" s="1"/>
  <c r="FS200"/>
  <c r="FR200"/>
  <c r="FQ200"/>
  <c r="FP200"/>
  <c r="FO200"/>
  <c r="FN200"/>
  <c r="FM200"/>
  <c r="FL200"/>
  <c r="FK200"/>
  <c r="FJ200"/>
  <c r="FI200"/>
  <c r="FH200"/>
  <c r="FG200"/>
  <c r="FF200"/>
  <c r="FE200"/>
  <c r="FD200"/>
  <c r="FC200"/>
  <c r="FB200"/>
  <c r="FA200"/>
  <c r="EZ200"/>
  <c r="EY200"/>
  <c r="EX200"/>
  <c r="EW200"/>
  <c r="EV200"/>
  <c r="EU200"/>
  <c r="ET200" s="1"/>
  <c r="ES200"/>
  <c r="ER200"/>
  <c r="EQ200"/>
  <c r="EP200"/>
  <c r="EO200"/>
  <c r="EN200"/>
  <c r="EM200"/>
  <c r="EL200"/>
  <c r="EK200"/>
  <c r="EJ200"/>
  <c r="EI200"/>
  <c r="EH200"/>
  <c r="EG200"/>
  <c r="EF200"/>
  <c r="EE200"/>
  <c r="ED200"/>
  <c r="EC200"/>
  <c r="EB200"/>
  <c r="EA200"/>
  <c r="DZ200"/>
  <c r="DY200"/>
  <c r="DX200"/>
  <c r="DW200"/>
  <c r="DV200"/>
  <c r="DU200"/>
  <c r="DT200"/>
  <c r="DS200"/>
  <c r="DR200"/>
  <c r="DQ200"/>
  <c r="DP200"/>
  <c r="DO200"/>
  <c r="DN200"/>
  <c r="DM200"/>
  <c r="DL200"/>
  <c r="DK200"/>
  <c r="DJ200"/>
  <c r="DI200"/>
  <c r="DH200"/>
  <c r="DG200"/>
  <c r="DF200"/>
  <c r="DE200"/>
  <c r="DD200"/>
  <c r="DC200" s="1"/>
  <c r="DB200"/>
  <c r="DA200"/>
  <c r="CZ200"/>
  <c r="CY200"/>
  <c r="CX200"/>
  <c r="CW200"/>
  <c r="CV200"/>
  <c r="CU200"/>
  <c r="CT200"/>
  <c r="CS200"/>
  <c r="CR200"/>
  <c r="CQ200"/>
  <c r="CP200"/>
  <c r="CO200"/>
  <c r="CN200"/>
  <c r="CM200"/>
  <c r="CL200"/>
  <c r="CK200"/>
  <c r="CJ200"/>
  <c r="CI200"/>
  <c r="CH200"/>
  <c r="CG200"/>
  <c r="CF200"/>
  <c r="CE200"/>
  <c r="CD200"/>
  <c r="CC200"/>
  <c r="CB200"/>
  <c r="CA200"/>
  <c r="BZ200"/>
  <c r="BY200"/>
  <c r="BX200"/>
  <c r="BW200"/>
  <c r="BV200"/>
  <c r="BU200"/>
  <c r="BT200"/>
  <c r="BS200"/>
  <c r="BR200"/>
  <c r="BQ200"/>
  <c r="BP200"/>
  <c r="BO200"/>
  <c r="BN200"/>
  <c r="BM200"/>
  <c r="BL200"/>
  <c r="BK200"/>
  <c r="BJ200"/>
  <c r="BI200"/>
  <c r="BH200"/>
  <c r="BG200"/>
  <c r="BF200"/>
  <c r="BE200" s="1"/>
  <c r="BD200"/>
  <c r="BC200"/>
  <c r="BB200"/>
  <c r="BA200"/>
  <c r="AX200"/>
  <c r="AW200"/>
  <c r="AV200"/>
  <c r="AU200"/>
  <c r="AT200"/>
  <c r="AS200"/>
  <c r="AR200"/>
  <c r="AQ200"/>
  <c r="AM200"/>
  <c r="AL200"/>
  <c r="AK200"/>
  <c r="AJ200"/>
  <c r="AI200"/>
  <c r="AH200"/>
  <c r="AG200"/>
  <c r="AF200"/>
  <c r="AE200"/>
  <c r="AD200"/>
  <c r="AC200"/>
  <c r="AB200"/>
  <c r="AA200"/>
  <c r="Z200"/>
  <c r="Y200"/>
  <c r="X200"/>
  <c r="W200"/>
  <c r="V200"/>
  <c r="U200"/>
  <c r="S200"/>
  <c r="R200" s="1"/>
  <c r="Q200"/>
  <c r="P200"/>
  <c r="O200"/>
  <c r="M200"/>
  <c r="L200"/>
  <c r="K200"/>
  <c r="J200"/>
  <c r="I200"/>
  <c r="H200"/>
  <c r="G200"/>
  <c r="F200"/>
  <c r="E200"/>
  <c r="D200"/>
  <c r="C200"/>
  <c r="F190"/>
  <c r="F189"/>
  <c r="F188"/>
  <c r="F187"/>
  <c r="IV184"/>
  <c r="IU184"/>
  <c r="IT184"/>
  <c r="IS184"/>
  <c r="IR184"/>
  <c r="IQ184"/>
  <c r="IP184"/>
  <c r="IO184"/>
  <c r="IN184"/>
  <c r="IM184"/>
  <c r="IL184"/>
  <c r="IK184"/>
  <c r="IJ184"/>
  <c r="II184"/>
  <c r="IH184"/>
  <c r="IG184"/>
  <c r="IF184"/>
  <c r="IE184"/>
  <c r="ID184"/>
  <c r="IC184"/>
  <c r="IB184"/>
  <c r="IA184"/>
  <c r="HZ184"/>
  <c r="HY184"/>
  <c r="HX184"/>
  <c r="HW184"/>
  <c r="HV184"/>
  <c r="HU184"/>
  <c r="HT184"/>
  <c r="HS184"/>
  <c r="HR184"/>
  <c r="HQ184"/>
  <c r="HP184"/>
  <c r="HO184"/>
  <c r="HN184"/>
  <c r="HM184"/>
  <c r="HL184"/>
  <c r="HK184"/>
  <c r="HJ184"/>
  <c r="HI184"/>
  <c r="HH184"/>
  <c r="HG184"/>
  <c r="HF184"/>
  <c r="HE184"/>
  <c r="HD184"/>
  <c r="HC184"/>
  <c r="HB184"/>
  <c r="HA184"/>
  <c r="GZ184"/>
  <c r="GY184"/>
  <c r="GX184"/>
  <c r="GW184"/>
  <c r="GV184"/>
  <c r="GU184"/>
  <c r="GT184"/>
  <c r="GS184"/>
  <c r="GR184"/>
  <c r="GQ184"/>
  <c r="GP184"/>
  <c r="GO184"/>
  <c r="GN184"/>
  <c r="GM184"/>
  <c r="GL184"/>
  <c r="GK184"/>
  <c r="GJ184"/>
  <c r="GI184"/>
  <c r="GH184"/>
  <c r="GG184"/>
  <c r="GF184"/>
  <c r="GE184"/>
  <c r="GD184" s="1"/>
  <c r="GC184"/>
  <c r="GB184"/>
  <c r="GA184"/>
  <c r="FZ184"/>
  <c r="FY184"/>
  <c r="FX184"/>
  <c r="FW184"/>
  <c r="FV184"/>
  <c r="FU184"/>
  <c r="FT184"/>
  <c r="FS184"/>
  <c r="FR184"/>
  <c r="FQ184"/>
  <c r="FP184"/>
  <c r="FO184"/>
  <c r="FN184"/>
  <c r="FM184"/>
  <c r="FL184"/>
  <c r="FK184"/>
  <c r="FJ184"/>
  <c r="FI184"/>
  <c r="FH184"/>
  <c r="FG184"/>
  <c r="FF184"/>
  <c r="FE184"/>
  <c r="FD184"/>
  <c r="FC184"/>
  <c r="FB184"/>
  <c r="FA184"/>
  <c r="EZ184"/>
  <c r="EY184"/>
  <c r="EX184"/>
  <c r="EW184"/>
  <c r="EV184"/>
  <c r="EU184"/>
  <c r="ET184"/>
  <c r="ES184"/>
  <c r="ER184"/>
  <c r="EQ184"/>
  <c r="EP184"/>
  <c r="EO184"/>
  <c r="EN184"/>
  <c r="EM184"/>
  <c r="EL184"/>
  <c r="EK184"/>
  <c r="EJ184"/>
  <c r="EI184"/>
  <c r="EH184"/>
  <c r="EG184"/>
  <c r="EF184"/>
  <c r="EE184"/>
  <c r="ED184"/>
  <c r="EC184"/>
  <c r="EB184"/>
  <c r="EA184"/>
  <c r="DZ184"/>
  <c r="DY184"/>
  <c r="DX184"/>
  <c r="DW184"/>
  <c r="DV184"/>
  <c r="DU184" s="1"/>
  <c r="DT184"/>
  <c r="DS184"/>
  <c r="DR184"/>
  <c r="DQ184"/>
  <c r="DP184"/>
  <c r="DO184"/>
  <c r="DN184"/>
  <c r="DM184"/>
  <c r="DL184"/>
  <c r="DK184"/>
  <c r="DJ184"/>
  <c r="DI184"/>
  <c r="DH184"/>
  <c r="DG184"/>
  <c r="DF184"/>
  <c r="DE184"/>
  <c r="DD184"/>
  <c r="DC184"/>
  <c r="DB184"/>
  <c r="DA184"/>
  <c r="CZ184"/>
  <c r="CY184"/>
  <c r="CX184"/>
  <c r="CW184"/>
  <c r="CV184"/>
  <c r="CU184"/>
  <c r="CT184"/>
  <c r="CS184"/>
  <c r="CR184"/>
  <c r="CQ184"/>
  <c r="CP184"/>
  <c r="CO184"/>
  <c r="CN184"/>
  <c r="CM184"/>
  <c r="CL184"/>
  <c r="CK184"/>
  <c r="CJ184"/>
  <c r="CI184"/>
  <c r="CH184"/>
  <c r="CG184"/>
  <c r="CF184"/>
  <c r="CE184"/>
  <c r="CD184"/>
  <c r="CC184"/>
  <c r="CB184"/>
  <c r="CA184"/>
  <c r="BZ184"/>
  <c r="BY184"/>
  <c r="BX184"/>
  <c r="BW184"/>
  <c r="BV184"/>
  <c r="BU184"/>
  <c r="BT184"/>
  <c r="BS184"/>
  <c r="BR184"/>
  <c r="BQ184"/>
  <c r="BP184"/>
  <c r="BO184"/>
  <c r="BN184"/>
  <c r="BM184"/>
  <c r="BL184"/>
  <c r="BK184"/>
  <c r="BJ184"/>
  <c r="BI184"/>
  <c r="BH184"/>
  <c r="BG184"/>
  <c r="BF184"/>
  <c r="BE184"/>
  <c r="BD184"/>
  <c r="BC184"/>
  <c r="BB184"/>
  <c r="BA184"/>
  <c r="AZ184"/>
  <c r="AY184"/>
  <c r="AX184"/>
  <c r="AW184"/>
  <c r="AV184"/>
  <c r="AU184"/>
  <c r="AT184"/>
  <c r="AS184"/>
  <c r="AR184"/>
  <c r="AQ184"/>
  <c r="AP184"/>
  <c r="AO184"/>
  <c r="AN184"/>
  <c r="AM184"/>
  <c r="AL184"/>
  <c r="AK184"/>
  <c r="AJ184"/>
  <c r="AI184"/>
  <c r="AH184"/>
  <c r="AG184"/>
  <c r="AF184"/>
  <c r="AE184"/>
  <c r="AD184"/>
  <c r="AC184"/>
  <c r="AB184"/>
  <c r="AA184"/>
  <c r="Z184"/>
  <c r="Y184"/>
  <c r="X184"/>
  <c r="W184"/>
  <c r="V184"/>
  <c r="U184"/>
  <c r="T184"/>
  <c r="S184"/>
  <c r="R184"/>
  <c r="Q184"/>
  <c r="P184"/>
  <c r="O184"/>
  <c r="N184"/>
  <c r="M184"/>
  <c r="L184"/>
  <c r="K184"/>
  <c r="J184"/>
  <c r="I184"/>
  <c r="H184"/>
  <c r="G184"/>
  <c r="F184"/>
  <c r="E184"/>
  <c r="D184"/>
  <c r="J183"/>
  <c r="J182"/>
  <c r="J181"/>
  <c r="J180"/>
  <c r="J179"/>
  <c r="J178"/>
  <c r="J177"/>
  <c r="J176"/>
  <c r="J175"/>
  <c r="J174"/>
  <c r="J173"/>
  <c r="J172"/>
  <c r="J171"/>
  <c r="J170"/>
  <c r="J169"/>
  <c r="IV168"/>
  <c r="IU168"/>
  <c r="IT168"/>
  <c r="IS168"/>
  <c r="IR168"/>
  <c r="IQ168"/>
  <c r="IP168"/>
  <c r="IO168"/>
  <c r="IN168"/>
  <c r="IM168"/>
  <c r="IL168"/>
  <c r="IK168"/>
  <c r="IJ168"/>
  <c r="II168"/>
  <c r="IH168"/>
  <c r="IG168"/>
  <c r="IF168"/>
  <c r="IE168"/>
  <c r="ID168"/>
  <c r="IC168"/>
  <c r="IB168"/>
  <c r="IA168"/>
  <c r="HZ168"/>
  <c r="HY168"/>
  <c r="HX168"/>
  <c r="HW168"/>
  <c r="HV168"/>
  <c r="HU168"/>
  <c r="HT168"/>
  <c r="HS168"/>
  <c r="HR168"/>
  <c r="HQ168"/>
  <c r="HP168"/>
  <c r="HO168"/>
  <c r="HN168"/>
  <c r="HM168"/>
  <c r="HL168"/>
  <c r="HK168"/>
  <c r="HJ168"/>
  <c r="HI168"/>
  <c r="HH168"/>
  <c r="HG168"/>
  <c r="HF168"/>
  <c r="HE168"/>
  <c r="HD168"/>
  <c r="HC168"/>
  <c r="HB168"/>
  <c r="HA168"/>
  <c r="GZ168"/>
  <c r="GY168"/>
  <c r="GX168"/>
  <c r="GW168"/>
  <c r="GV168"/>
  <c r="GU168"/>
  <c r="GT168"/>
  <c r="GS168"/>
  <c r="GR168"/>
  <c r="GQ168"/>
  <c r="GP168"/>
  <c r="GO168"/>
  <c r="GN168"/>
  <c r="GM168"/>
  <c r="GL168"/>
  <c r="GK168"/>
  <c r="GJ168"/>
  <c r="GI168"/>
  <c r="GH168"/>
  <c r="GG168"/>
  <c r="GF168"/>
  <c r="GE168"/>
  <c r="GD168"/>
  <c r="GC168"/>
  <c r="GB168"/>
  <c r="GA168"/>
  <c r="FZ168"/>
  <c r="FY168"/>
  <c r="FX168"/>
  <c r="FW168"/>
  <c r="FV168"/>
  <c r="FU168"/>
  <c r="FT168"/>
  <c r="FS168"/>
  <c r="FR168"/>
  <c r="FQ168"/>
  <c r="FP168"/>
  <c r="FO168"/>
  <c r="FN168"/>
  <c r="FM168"/>
  <c r="FL168"/>
  <c r="FK168"/>
  <c r="FJ168"/>
  <c r="FI168"/>
  <c r="FH168"/>
  <c r="FG168"/>
  <c r="FF168"/>
  <c r="FE168"/>
  <c r="FD168" s="1"/>
  <c r="FC168"/>
  <c r="FB168"/>
  <c r="FA168"/>
  <c r="EZ168"/>
  <c r="EY168"/>
  <c r="EX168"/>
  <c r="EW168"/>
  <c r="EV168"/>
  <c r="EU168"/>
  <c r="ET168"/>
  <c r="ES168"/>
  <c r="ER168"/>
  <c r="EQ168"/>
  <c r="EP168"/>
  <c r="EO168"/>
  <c r="EN168"/>
  <c r="EM168"/>
  <c r="EL168"/>
  <c r="EK168"/>
  <c r="EJ168"/>
  <c r="EI168"/>
  <c r="EH168"/>
  <c r="EG168"/>
  <c r="EF168"/>
  <c r="EE168"/>
  <c r="ED168"/>
  <c r="EC168"/>
  <c r="EB168"/>
  <c r="EA168"/>
  <c r="DZ168"/>
  <c r="DY168"/>
  <c r="DX168"/>
  <c r="DW168"/>
  <c r="DV168"/>
  <c r="DU168" s="1"/>
  <c r="DT168"/>
  <c r="DS168"/>
  <c r="DR168"/>
  <c r="DQ168"/>
  <c r="DP168"/>
  <c r="DO168"/>
  <c r="DN168"/>
  <c r="DM168"/>
  <c r="DL168"/>
  <c r="DK168"/>
  <c r="DJ168"/>
  <c r="DI168"/>
  <c r="DH168"/>
  <c r="DG168"/>
  <c r="DF168"/>
  <c r="DE168"/>
  <c r="DD168"/>
  <c r="DC168"/>
  <c r="DB168"/>
  <c r="DA168"/>
  <c r="CZ168"/>
  <c r="CY168"/>
  <c r="CX168"/>
  <c r="CW168"/>
  <c r="CV168"/>
  <c r="CU168"/>
  <c r="CT168"/>
  <c r="CS168"/>
  <c r="CR168"/>
  <c r="CQ168"/>
  <c r="CP168"/>
  <c r="CO168"/>
  <c r="CN168"/>
  <c r="CM168"/>
  <c r="CL168"/>
  <c r="CK168"/>
  <c r="CJ168"/>
  <c r="CI168"/>
  <c r="CH168"/>
  <c r="CG168"/>
  <c r="CF168"/>
  <c r="CE168"/>
  <c r="CD168"/>
  <c r="CC168"/>
  <c r="CB168"/>
  <c r="CA168"/>
  <c r="BZ168"/>
  <c r="BY168"/>
  <c r="BX168"/>
  <c r="BW168"/>
  <c r="BV168"/>
  <c r="BU168"/>
  <c r="BT168"/>
  <c r="BS168"/>
  <c r="BR168"/>
  <c r="BQ168"/>
  <c r="BP168"/>
  <c r="BO168"/>
  <c r="BN168"/>
  <c r="BM168"/>
  <c r="BL168"/>
  <c r="BK168"/>
  <c r="BJ168"/>
  <c r="BI168"/>
  <c r="BH168"/>
  <c r="BG168"/>
  <c r="BF168"/>
  <c r="BE168"/>
  <c r="BD168"/>
  <c r="BC168"/>
  <c r="BB168"/>
  <c r="BA168"/>
  <c r="AZ168"/>
  <c r="AY168"/>
  <c r="AX168"/>
  <c r="AW168"/>
  <c r="AV168"/>
  <c r="AU168"/>
  <c r="AT168"/>
  <c r="AS168"/>
  <c r="AR168"/>
  <c r="AQ168"/>
  <c r="AP168"/>
  <c r="AO168"/>
  <c r="AN168"/>
  <c r="AM168"/>
  <c r="AL168"/>
  <c r="AK168"/>
  <c r="AJ168"/>
  <c r="AI168"/>
  <c r="AH168"/>
  <c r="AG168"/>
  <c r="AF168"/>
  <c r="AE168"/>
  <c r="AD168"/>
  <c r="AC168"/>
  <c r="AB168"/>
  <c r="AA168"/>
  <c r="Z168"/>
  <c r="Y168"/>
  <c r="X168"/>
  <c r="W168"/>
  <c r="V168"/>
  <c r="U168"/>
  <c r="T168"/>
  <c r="S168"/>
  <c r="R168"/>
  <c r="Q168"/>
  <c r="P168"/>
  <c r="O168"/>
  <c r="M168"/>
  <c r="L168"/>
  <c r="K168"/>
  <c r="J168"/>
  <c r="I168"/>
  <c r="H168"/>
  <c r="G168"/>
  <c r="F168"/>
  <c r="E168"/>
  <c r="D168"/>
  <c r="C168"/>
  <c r="J167"/>
  <c r="J166"/>
  <c r="J165"/>
  <c r="J164"/>
  <c r="J163"/>
  <c r="J162"/>
  <c r="J161"/>
  <c r="J160"/>
  <c r="J159"/>
  <c r="J158"/>
  <c r="J157"/>
  <c r="J153"/>
  <c r="IV152"/>
  <c r="IU152"/>
  <c r="IT152"/>
  <c r="IS152"/>
  <c r="IR152"/>
  <c r="IQ152"/>
  <c r="IP152"/>
  <c r="IO152"/>
  <c r="IN152"/>
  <c r="IM152"/>
  <c r="IL152"/>
  <c r="IK152"/>
  <c r="IJ152"/>
  <c r="II152"/>
  <c r="IH152"/>
  <c r="IG152"/>
  <c r="IF152"/>
  <c r="IE152"/>
  <c r="ID152"/>
  <c r="IC152"/>
  <c r="IB152"/>
  <c r="IA152"/>
  <c r="HZ152"/>
  <c r="HY152"/>
  <c r="HX152"/>
  <c r="HW152"/>
  <c r="HV152"/>
  <c r="HU152"/>
  <c r="HT152"/>
  <c r="HS152"/>
  <c r="HR152"/>
  <c r="HQ152"/>
  <c r="HP152"/>
  <c r="HO152"/>
  <c r="HN152"/>
  <c r="HM152"/>
  <c r="HL152"/>
  <c r="HK152"/>
  <c r="HJ152"/>
  <c r="HI152"/>
  <c r="HH152"/>
  <c r="HG152"/>
  <c r="HF152"/>
  <c r="HE152"/>
  <c r="HD152"/>
  <c r="HC152"/>
  <c r="HB152"/>
  <c r="HA152"/>
  <c r="GZ152"/>
  <c r="GY152"/>
  <c r="GX152"/>
  <c r="GW152"/>
  <c r="GV152"/>
  <c r="GU152"/>
  <c r="GT152"/>
  <c r="GS152"/>
  <c r="GR152"/>
  <c r="GQ152"/>
  <c r="GP152"/>
  <c r="GO152"/>
  <c r="GN152"/>
  <c r="GM152"/>
  <c r="GL152"/>
  <c r="GK152"/>
  <c r="GJ152"/>
  <c r="GI152"/>
  <c r="GH152"/>
  <c r="GG152"/>
  <c r="GF152"/>
  <c r="GE152"/>
  <c r="GD152"/>
  <c r="GC152"/>
  <c r="GB152"/>
  <c r="GA152"/>
  <c r="FZ152"/>
  <c r="FY152"/>
  <c r="FX152"/>
  <c r="FW152" s="1"/>
  <c r="FV152"/>
  <c r="FU152"/>
  <c r="FT152"/>
  <c r="FS152"/>
  <c r="FR152"/>
  <c r="FQ152"/>
  <c r="FP152"/>
  <c r="FO152"/>
  <c r="FN152"/>
  <c r="FM152"/>
  <c r="FL152"/>
  <c r="FK152"/>
  <c r="FJ152"/>
  <c r="FI152"/>
  <c r="FH152"/>
  <c r="FG152"/>
  <c r="FF152"/>
  <c r="FE152"/>
  <c r="FD152"/>
  <c r="FC152"/>
  <c r="FB152"/>
  <c r="FA152"/>
  <c r="EZ152"/>
  <c r="EY152"/>
  <c r="EX152"/>
  <c r="EW152"/>
  <c r="EV152"/>
  <c r="EU152"/>
  <c r="ET152"/>
  <c r="ES152"/>
  <c r="ER152"/>
  <c r="EQ152"/>
  <c r="EP152"/>
  <c r="EO152"/>
  <c r="EN152"/>
  <c r="EM152"/>
  <c r="EL152"/>
  <c r="EK152"/>
  <c r="EJ152"/>
  <c r="EI152"/>
  <c r="EH152"/>
  <c r="EG152"/>
  <c r="EF152"/>
  <c r="EE152"/>
  <c r="ED152"/>
  <c r="EC152"/>
  <c r="EB152"/>
  <c r="EA152"/>
  <c r="DZ152"/>
  <c r="DY152"/>
  <c r="DX152"/>
  <c r="DW152"/>
  <c r="DV152"/>
  <c r="DU152"/>
  <c r="DT152"/>
  <c r="DS152"/>
  <c r="DR152"/>
  <c r="DQ152"/>
  <c r="DP152"/>
  <c r="DO152"/>
  <c r="DN152"/>
  <c r="DM152"/>
  <c r="DL152"/>
  <c r="DK152"/>
  <c r="DJ152"/>
  <c r="DI152"/>
  <c r="DH152"/>
  <c r="DG152"/>
  <c r="DF152"/>
  <c r="DE152"/>
  <c r="DD152"/>
  <c r="DC152"/>
  <c r="DB152"/>
  <c r="DA152"/>
  <c r="CZ152"/>
  <c r="CY152"/>
  <c r="CX152"/>
  <c r="CW152"/>
  <c r="CV152"/>
  <c r="CU152"/>
  <c r="CT152"/>
  <c r="CS152"/>
  <c r="CR152"/>
  <c r="CQ152"/>
  <c r="CP152"/>
  <c r="CO152"/>
  <c r="CN152"/>
  <c r="CM152"/>
  <c r="CL152"/>
  <c r="CK152"/>
  <c r="CJ152"/>
  <c r="CI152"/>
  <c r="CH152"/>
  <c r="CG152"/>
  <c r="CF152"/>
  <c r="CE152"/>
  <c r="CD152"/>
  <c r="CC152"/>
  <c r="CB152"/>
  <c r="CA152"/>
  <c r="BY152"/>
  <c r="BX152"/>
  <c r="BW152"/>
  <c r="BV152"/>
  <c r="BU152"/>
  <c r="BT152"/>
  <c r="BS152"/>
  <c r="BR152"/>
  <c r="BQ152"/>
  <c r="BP152"/>
  <c r="BO152"/>
  <c r="BN152"/>
  <c r="BM152"/>
  <c r="BL152"/>
  <c r="BK152"/>
  <c r="BJ152"/>
  <c r="BI152"/>
  <c r="BH152"/>
  <c r="BG152"/>
  <c r="BF152"/>
  <c r="BE152"/>
  <c r="BD152"/>
  <c r="BC152"/>
  <c r="BB152"/>
  <c r="BA152"/>
  <c r="AZ152"/>
  <c r="AY152"/>
  <c r="AX152"/>
  <c r="AW152"/>
  <c r="AV152"/>
  <c r="AU152"/>
  <c r="AT152"/>
  <c r="AS152"/>
  <c r="AR152"/>
  <c r="AQ152"/>
  <c r="AP152"/>
  <c r="AO152"/>
  <c r="AN152"/>
  <c r="AM152"/>
  <c r="AL152"/>
  <c r="AK152"/>
  <c r="AJ152"/>
  <c r="AI152"/>
  <c r="AH152"/>
  <c r="AG152"/>
  <c r="AF152"/>
  <c r="AE152"/>
  <c r="AD152"/>
  <c r="AC152"/>
  <c r="AB152"/>
  <c r="AA152"/>
  <c r="Z152"/>
  <c r="Y152"/>
  <c r="X152"/>
  <c r="W152"/>
  <c r="V152"/>
  <c r="U152"/>
  <c r="T152"/>
  <c r="S152"/>
  <c r="R152"/>
  <c r="Q152"/>
  <c r="P152"/>
  <c r="O152"/>
  <c r="M152"/>
  <c r="L152"/>
  <c r="K152"/>
  <c r="J152"/>
  <c r="I152"/>
  <c r="H152"/>
  <c r="G152"/>
  <c r="F152"/>
  <c r="E152"/>
  <c r="D152"/>
  <c r="C152"/>
  <c r="J151"/>
  <c r="J150"/>
  <c r="J149"/>
  <c r="J148"/>
  <c r="J147"/>
  <c r="J146"/>
  <c r="J145"/>
  <c r="J143"/>
  <c r="J142"/>
  <c r="J141"/>
  <c r="J140"/>
  <c r="J139"/>
  <c r="J138"/>
  <c r="J137"/>
  <c r="IV136"/>
  <c r="IU136"/>
  <c r="IT136"/>
  <c r="IS136"/>
  <c r="IR136"/>
  <c r="IQ136"/>
  <c r="IP136"/>
  <c r="IO136"/>
  <c r="IN136"/>
  <c r="IM136"/>
  <c r="IL136"/>
  <c r="IK136"/>
  <c r="IJ136"/>
  <c r="II136"/>
  <c r="IH136"/>
  <c r="IG136"/>
  <c r="IF136"/>
  <c r="IE136"/>
  <c r="ID136"/>
  <c r="IC136"/>
  <c r="IB136"/>
  <c r="IA136"/>
  <c r="HZ136"/>
  <c r="HY136"/>
  <c r="HX136"/>
  <c r="HW136"/>
  <c r="HV136"/>
  <c r="HU136"/>
  <c r="HT136"/>
  <c r="HS136"/>
  <c r="HR136" s="1"/>
  <c r="HQ136"/>
  <c r="HP136"/>
  <c r="HO136"/>
  <c r="HN136"/>
  <c r="HM136"/>
  <c r="HL136"/>
  <c r="HK136"/>
  <c r="HJ136"/>
  <c r="HI136"/>
  <c r="HH136"/>
  <c r="HG136"/>
  <c r="HF136"/>
  <c r="HE136"/>
  <c r="HD136"/>
  <c r="HC136"/>
  <c r="HB136"/>
  <c r="HA136"/>
  <c r="GZ136"/>
  <c r="GY136"/>
  <c r="GX136"/>
  <c r="GW136"/>
  <c r="GV136"/>
  <c r="GU136"/>
  <c r="GT136"/>
  <c r="GS136"/>
  <c r="GR136"/>
  <c r="GQ136"/>
  <c r="GP136"/>
  <c r="GO136"/>
  <c r="GN136"/>
  <c r="GM136"/>
  <c r="GL136"/>
  <c r="GK136"/>
  <c r="GJ136"/>
  <c r="GI136"/>
  <c r="GH136"/>
  <c r="GG136"/>
  <c r="GF136"/>
  <c r="GE136"/>
  <c r="GD136"/>
  <c r="GC136"/>
  <c r="GB136"/>
  <c r="GA136"/>
  <c r="FZ136"/>
  <c r="FY136"/>
  <c r="FX136"/>
  <c r="FW136"/>
  <c r="FV136"/>
  <c r="FU136"/>
  <c r="FT136"/>
  <c r="FS136"/>
  <c r="FR136"/>
  <c r="FQ136"/>
  <c r="FP136"/>
  <c r="FO136"/>
  <c r="FN136"/>
  <c r="FM136"/>
  <c r="FL136"/>
  <c r="FK136"/>
  <c r="FJ136"/>
  <c r="FI136"/>
  <c r="FH136"/>
  <c r="FG136"/>
  <c r="FF136"/>
  <c r="FE136"/>
  <c r="FD136"/>
  <c r="FC136"/>
  <c r="FB136"/>
  <c r="FA136"/>
  <c r="EZ136"/>
  <c r="EY136"/>
  <c r="EX136"/>
  <c r="EW136"/>
  <c r="EV136"/>
  <c r="EU136"/>
  <c r="ET136"/>
  <c r="ES136"/>
  <c r="ER136"/>
  <c r="EQ136"/>
  <c r="EP136"/>
  <c r="EO136"/>
  <c r="EN136"/>
  <c r="EM136"/>
  <c r="EL136"/>
  <c r="EK136"/>
  <c r="EJ136"/>
  <c r="EI136"/>
  <c r="EH136"/>
  <c r="EG136"/>
  <c r="EF136"/>
  <c r="EE136"/>
  <c r="ED136"/>
  <c r="EC136"/>
  <c r="EB136"/>
  <c r="EA136"/>
  <c r="DZ136"/>
  <c r="DY136"/>
  <c r="DX136"/>
  <c r="DW136"/>
  <c r="DV136"/>
  <c r="DU136"/>
  <c r="DT136"/>
  <c r="DS136"/>
  <c r="DR136"/>
  <c r="DQ136"/>
  <c r="DP136"/>
  <c r="DO136"/>
  <c r="DN136"/>
  <c r="DM136"/>
  <c r="DL136"/>
  <c r="DK136"/>
  <c r="DJ136"/>
  <c r="DI136"/>
  <c r="DH136"/>
  <c r="DG136"/>
  <c r="DF136"/>
  <c r="DE136"/>
  <c r="DD136"/>
  <c r="DC136"/>
  <c r="DB136"/>
  <c r="DA136"/>
  <c r="CZ136"/>
  <c r="CY136"/>
  <c r="CX136"/>
  <c r="CW136"/>
  <c r="CV136"/>
  <c r="CU136"/>
  <c r="CT136"/>
  <c r="CS136"/>
  <c r="CR136"/>
  <c r="CQ136"/>
  <c r="CP136"/>
  <c r="CO136"/>
  <c r="CN136"/>
  <c r="CM136"/>
  <c r="CL136"/>
  <c r="CK136"/>
  <c r="CJ136"/>
  <c r="CI136"/>
  <c r="CH136"/>
  <c r="CG136"/>
  <c r="CF136"/>
  <c r="CE136"/>
  <c r="CD136"/>
  <c r="CC136"/>
  <c r="CB136"/>
  <c r="CA136"/>
  <c r="BY136"/>
  <c r="BX136"/>
  <c r="BW136"/>
  <c r="BV136"/>
  <c r="BU136"/>
  <c r="BT136"/>
  <c r="BS136"/>
  <c r="BR136"/>
  <c r="BQ136"/>
  <c r="BP136"/>
  <c r="BO136"/>
  <c r="BN136"/>
  <c r="BM136"/>
  <c r="BL136"/>
  <c r="BK136"/>
  <c r="BJ136"/>
  <c r="BI136"/>
  <c r="BH136"/>
  <c r="BG136"/>
  <c r="BF136"/>
  <c r="BE136"/>
  <c r="BD136"/>
  <c r="BC136"/>
  <c r="BB136"/>
  <c r="BA136"/>
  <c r="AZ136"/>
  <c r="AY136"/>
  <c r="AX136"/>
  <c r="AW136"/>
  <c r="AV136"/>
  <c r="AU136"/>
  <c r="AT136"/>
  <c r="AS136"/>
  <c r="AR136"/>
  <c r="AQ136"/>
  <c r="AP136"/>
  <c r="AO136"/>
  <c r="AN136"/>
  <c r="AM136"/>
  <c r="AL136"/>
  <c r="AK136"/>
  <c r="AJ136"/>
  <c r="AI136"/>
  <c r="AH136"/>
  <c r="AG136"/>
  <c r="AF136"/>
  <c r="AE136"/>
  <c r="AD136"/>
  <c r="AC136"/>
  <c r="AB136"/>
  <c r="AA136"/>
  <c r="Z136"/>
  <c r="Y136"/>
  <c r="X136"/>
  <c r="W136"/>
  <c r="V136"/>
  <c r="U136"/>
  <c r="T136"/>
  <c r="S136"/>
  <c r="P136"/>
  <c r="O136"/>
  <c r="M136"/>
  <c r="L136"/>
  <c r="K136"/>
  <c r="J136"/>
  <c r="I136"/>
  <c r="H136"/>
  <c r="G136"/>
  <c r="F136"/>
  <c r="E136"/>
  <c r="D136"/>
  <c r="C136"/>
  <c r="J135"/>
  <c r="J134"/>
  <c r="J133"/>
  <c r="J132"/>
  <c r="J131"/>
  <c r="J130"/>
  <c r="J129"/>
  <c r="J128"/>
  <c r="J127"/>
  <c r="J126"/>
  <c r="J125"/>
  <c r="J124"/>
  <c r="J123"/>
  <c r="J122"/>
  <c r="J121"/>
  <c r="IV120"/>
  <c r="IU120"/>
  <c r="IT120"/>
  <c r="IS120"/>
  <c r="IR120"/>
  <c r="IQ120"/>
  <c r="IP120"/>
  <c r="IO120"/>
  <c r="IN120"/>
  <c r="IM120"/>
  <c r="IL120"/>
  <c r="IK120"/>
  <c r="IJ120"/>
  <c r="II120"/>
  <c r="IH120"/>
  <c r="IG120"/>
  <c r="IF120"/>
  <c r="IE120"/>
  <c r="ID120"/>
  <c r="IC120"/>
  <c r="IB120"/>
  <c r="IA120"/>
  <c r="HZ120"/>
  <c r="HY120"/>
  <c r="HX120"/>
  <c r="HW120"/>
  <c r="HV120"/>
  <c r="HU120"/>
  <c r="HT120"/>
  <c r="HS120"/>
  <c r="HR120"/>
  <c r="HQ120"/>
  <c r="HP120"/>
  <c r="HO120"/>
  <c r="HN120"/>
  <c r="HM120"/>
  <c r="HL120"/>
  <c r="HK120"/>
  <c r="HJ120"/>
  <c r="HI120"/>
  <c r="HH120"/>
  <c r="HG120"/>
  <c r="HF120"/>
  <c r="HE120"/>
  <c r="HD120"/>
  <c r="HC120"/>
  <c r="HB120"/>
  <c r="HA120"/>
  <c r="GZ120"/>
  <c r="GY120"/>
  <c r="GX120"/>
  <c r="GW120"/>
  <c r="GV120"/>
  <c r="GU120"/>
  <c r="GT120"/>
  <c r="GS120"/>
  <c r="GR120"/>
  <c r="GQ120"/>
  <c r="GP120"/>
  <c r="GO120"/>
  <c r="GN120"/>
  <c r="GM120"/>
  <c r="GL120"/>
  <c r="GK120"/>
  <c r="GJ120"/>
  <c r="GI120"/>
  <c r="GH120"/>
  <c r="GG120"/>
  <c r="GF120"/>
  <c r="GE120"/>
  <c r="GD120"/>
  <c r="GC120"/>
  <c r="GB120"/>
  <c r="GA120"/>
  <c r="FZ120"/>
  <c r="FY120"/>
  <c r="FX120"/>
  <c r="FW120"/>
  <c r="FV120"/>
  <c r="FU120"/>
  <c r="FT120"/>
  <c r="FS120"/>
  <c r="FR120"/>
  <c r="FQ120"/>
  <c r="FP120"/>
  <c r="FO120"/>
  <c r="FN120"/>
  <c r="FM120"/>
  <c r="FL120"/>
  <c r="FK120"/>
  <c r="FJ120"/>
  <c r="FI120"/>
  <c r="FH120"/>
  <c r="FG120"/>
  <c r="FF120"/>
  <c r="FE120"/>
  <c r="FD120"/>
  <c r="FC120"/>
  <c r="FB120"/>
  <c r="FA120"/>
  <c r="EZ120"/>
  <c r="EY120"/>
  <c r="EX120"/>
  <c r="EW120"/>
  <c r="EV120"/>
  <c r="EU120"/>
  <c r="ET120"/>
  <c r="ES120"/>
  <c r="ER120"/>
  <c r="EQ120"/>
  <c r="EP120"/>
  <c r="EO120"/>
  <c r="EN120"/>
  <c r="EM120"/>
  <c r="EL120"/>
  <c r="EK120"/>
  <c r="EJ120"/>
  <c r="EI120"/>
  <c r="EH120"/>
  <c r="EG120"/>
  <c r="EF120"/>
  <c r="EE120"/>
  <c r="ED120"/>
  <c r="EC120"/>
  <c r="EB120"/>
  <c r="EA120"/>
  <c r="DZ120"/>
  <c r="DY120"/>
  <c r="DX120"/>
  <c r="DW120"/>
  <c r="DV120"/>
  <c r="DU120"/>
  <c r="DT120"/>
  <c r="DS120"/>
  <c r="DR120"/>
  <c r="DQ120"/>
  <c r="DP120"/>
  <c r="DO120"/>
  <c r="DN120"/>
  <c r="DM120"/>
  <c r="DL120"/>
  <c r="DK120"/>
  <c r="DJ120"/>
  <c r="DI120"/>
  <c r="DH120"/>
  <c r="DG120"/>
  <c r="DF120"/>
  <c r="DE120"/>
  <c r="DD120"/>
  <c r="DC120"/>
  <c r="DB120"/>
  <c r="DA120"/>
  <c r="CZ120"/>
  <c r="CY120"/>
  <c r="CX120"/>
  <c r="CW120"/>
  <c r="CV120"/>
  <c r="CU120"/>
  <c r="CT120"/>
  <c r="CS120"/>
  <c r="CR120"/>
  <c r="CQ120"/>
  <c r="CP120"/>
  <c r="CO120"/>
  <c r="CN120"/>
  <c r="CM120"/>
  <c r="CL120"/>
  <c r="CK120"/>
  <c r="CJ120"/>
  <c r="CI120"/>
  <c r="CH120"/>
  <c r="CG120"/>
  <c r="CF120"/>
  <c r="CE120"/>
  <c r="CD120"/>
  <c r="CC120"/>
  <c r="CB120"/>
  <c r="CA120"/>
  <c r="BY120"/>
  <c r="BX120"/>
  <c r="BW120"/>
  <c r="BV120"/>
  <c r="BU120"/>
  <c r="BT120"/>
  <c r="BS120"/>
  <c r="BR120"/>
  <c r="BQ120"/>
  <c r="BP120"/>
  <c r="BO120"/>
  <c r="BN120"/>
  <c r="BM120"/>
  <c r="BL120"/>
  <c r="BK120"/>
  <c r="BJ120"/>
  <c r="BI120"/>
  <c r="BH120"/>
  <c r="BG120"/>
  <c r="BF120"/>
  <c r="BE120"/>
  <c r="BD120"/>
  <c r="BC120"/>
  <c r="BB120"/>
  <c r="BA120"/>
  <c r="AZ120"/>
  <c r="AY120"/>
  <c r="AX120"/>
  <c r="AW120"/>
  <c r="AV120"/>
  <c r="AU120"/>
  <c r="AT120"/>
  <c r="AS120"/>
  <c r="AR120"/>
  <c r="AQ120"/>
  <c r="AP120"/>
  <c r="AO120"/>
  <c r="AN120"/>
  <c r="AM120"/>
  <c r="AL120"/>
  <c r="AK120"/>
  <c r="AJ120"/>
  <c r="AI120"/>
  <c r="AH120"/>
  <c r="AG120"/>
  <c r="AF120"/>
  <c r="AE120"/>
  <c r="AD120"/>
  <c r="AC120"/>
  <c r="AB120"/>
  <c r="AA120"/>
  <c r="Z120"/>
  <c r="Y120"/>
  <c r="X120"/>
  <c r="W120"/>
  <c r="V120"/>
  <c r="U120"/>
  <c r="T120"/>
  <c r="S120"/>
  <c r="R120"/>
  <c r="Q120"/>
  <c r="P120"/>
  <c r="O120"/>
  <c r="N120"/>
  <c r="M120"/>
  <c r="L120"/>
  <c r="K120"/>
  <c r="J120"/>
  <c r="I120"/>
  <c r="H120"/>
  <c r="G120"/>
  <c r="F120"/>
  <c r="E120"/>
  <c r="D120"/>
  <c r="C120"/>
  <c r="J119"/>
  <c r="J118"/>
  <c r="J117"/>
  <c r="J116"/>
  <c r="J115"/>
  <c r="J114"/>
  <c r="J113"/>
  <c r="J112"/>
  <c r="J111"/>
  <c r="J110"/>
  <c r="J109"/>
  <c r="J108"/>
  <c r="J107"/>
  <c r="J106"/>
  <c r="J105"/>
  <c r="IV104"/>
  <c r="IU104"/>
  <c r="IT104"/>
  <c r="IS104"/>
  <c r="IR104"/>
  <c r="IQ104"/>
  <c r="IP104"/>
  <c r="IO104"/>
  <c r="IN104"/>
  <c r="IM104"/>
  <c r="IL104"/>
  <c r="IK104"/>
  <c r="IJ104"/>
  <c r="II104"/>
  <c r="IH104"/>
  <c r="IG104"/>
  <c r="IF104"/>
  <c r="IE104"/>
  <c r="ID104"/>
  <c r="IC104"/>
  <c r="IB104"/>
  <c r="IA104"/>
  <c r="HZ104"/>
  <c r="HY104"/>
  <c r="HX104"/>
  <c r="HW104"/>
  <c r="HV104"/>
  <c r="HU104"/>
  <c r="HT104"/>
  <c r="HS104"/>
  <c r="HR104"/>
  <c r="HQ104"/>
  <c r="HP104"/>
  <c r="HO104"/>
  <c r="HN104"/>
  <c r="HM104"/>
  <c r="HL104"/>
  <c r="HK104"/>
  <c r="HJ104"/>
  <c r="HI104"/>
  <c r="HH104"/>
  <c r="HG104"/>
  <c r="HF104"/>
  <c r="HE104"/>
  <c r="HD104"/>
  <c r="HC104"/>
  <c r="HB104"/>
  <c r="HA104"/>
  <c r="GZ104"/>
  <c r="GY104"/>
  <c r="GX104"/>
  <c r="GW104"/>
  <c r="GV104"/>
  <c r="GU104"/>
  <c r="GT104"/>
  <c r="GS104"/>
  <c r="GR104"/>
  <c r="GQ104"/>
  <c r="GP104"/>
  <c r="GO104"/>
  <c r="GN104"/>
  <c r="GM104"/>
  <c r="GL104"/>
  <c r="GK104"/>
  <c r="GJ104"/>
  <c r="GI104"/>
  <c r="GH104"/>
  <c r="GG104"/>
  <c r="GF104"/>
  <c r="GE104"/>
  <c r="GD104"/>
  <c r="GC104"/>
  <c r="GB104"/>
  <c r="GA104"/>
  <c r="FZ104"/>
  <c r="FY104"/>
  <c r="FX104"/>
  <c r="FW104"/>
  <c r="FV104"/>
  <c r="FU104"/>
  <c r="FT104"/>
  <c r="FS104"/>
  <c r="FR104"/>
  <c r="FQ104"/>
  <c r="FP104"/>
  <c r="FO104"/>
  <c r="FN104"/>
  <c r="FM104"/>
  <c r="FL104"/>
  <c r="FK104"/>
  <c r="FJ104"/>
  <c r="FI104"/>
  <c r="FH104"/>
  <c r="FG104"/>
  <c r="FF104"/>
  <c r="FE104"/>
  <c r="FD104"/>
  <c r="FC104"/>
  <c r="FB104"/>
  <c r="FA104"/>
  <c r="EZ104"/>
  <c r="EY104"/>
  <c r="EX104"/>
  <c r="EW104"/>
  <c r="EV104"/>
  <c r="EU104"/>
  <c r="ET104"/>
  <c r="ES104"/>
  <c r="ER104"/>
  <c r="EQ104"/>
  <c r="EP104"/>
  <c r="EO104"/>
  <c r="EN104"/>
  <c r="EM104"/>
  <c r="EL104"/>
  <c r="EK104"/>
  <c r="EJ104"/>
  <c r="EI104"/>
  <c r="EH104"/>
  <c r="EG104"/>
  <c r="EF104"/>
  <c r="EE104"/>
  <c r="ED104"/>
  <c r="EC104"/>
  <c r="EB104"/>
  <c r="EA104"/>
  <c r="DZ104"/>
  <c r="DY104"/>
  <c r="DX104"/>
  <c r="DW104"/>
  <c r="DV104"/>
  <c r="DU104"/>
  <c r="DT104"/>
  <c r="DS104"/>
  <c r="DR104"/>
  <c r="DQ104"/>
  <c r="DP104"/>
  <c r="DO104"/>
  <c r="DN104"/>
  <c r="DM104"/>
  <c r="DL104"/>
  <c r="DK104"/>
  <c r="DJ104"/>
  <c r="DI104"/>
  <c r="DH104"/>
  <c r="DG104"/>
  <c r="DF104"/>
  <c r="DE104"/>
  <c r="DD104"/>
  <c r="DC104"/>
  <c r="DB104"/>
  <c r="DA104"/>
  <c r="CZ104"/>
  <c r="CY104"/>
  <c r="CX104"/>
  <c r="CW104"/>
  <c r="CV104"/>
  <c r="CU104"/>
  <c r="CT104"/>
  <c r="CS104"/>
  <c r="CR104"/>
  <c r="CQ104"/>
  <c r="CP104"/>
  <c r="CO104"/>
  <c r="CN104"/>
  <c r="CM104"/>
  <c r="CL104"/>
  <c r="CK104"/>
  <c r="CJ104"/>
  <c r="CI104"/>
  <c r="CH104"/>
  <c r="CG104"/>
  <c r="CF104"/>
  <c r="CE104"/>
  <c r="CD104"/>
  <c r="CC104"/>
  <c r="CB104"/>
  <c r="CA104"/>
  <c r="BY104"/>
  <c r="BX104"/>
  <c r="BW104"/>
  <c r="BV104"/>
  <c r="BU104"/>
  <c r="BT104"/>
  <c r="BS104"/>
  <c r="BR104"/>
  <c r="BQ104"/>
  <c r="BP104"/>
  <c r="BO104"/>
  <c r="BN104"/>
  <c r="BM104"/>
  <c r="BL104"/>
  <c r="BK104"/>
  <c r="BJ104"/>
  <c r="BI104"/>
  <c r="BH104"/>
  <c r="BG104"/>
  <c r="BF104"/>
  <c r="BE104"/>
  <c r="BD104"/>
  <c r="BC104"/>
  <c r="BB104"/>
  <c r="BA104"/>
  <c r="AZ104"/>
  <c r="AY104"/>
  <c r="AX104"/>
  <c r="AW104"/>
  <c r="AV104"/>
  <c r="AU104"/>
  <c r="AT104"/>
  <c r="AS104"/>
  <c r="AR104"/>
  <c r="AQ104"/>
  <c r="AP104"/>
  <c r="AO104"/>
  <c r="AN104"/>
  <c r="AM104"/>
  <c r="AL104"/>
  <c r="AK104"/>
  <c r="AJ104"/>
  <c r="AI104"/>
  <c r="AH104"/>
  <c r="AG104"/>
  <c r="AF104"/>
  <c r="AE104"/>
  <c r="AD104"/>
  <c r="AC104"/>
  <c r="AB104"/>
  <c r="AA104"/>
  <c r="Z104"/>
  <c r="Y104"/>
  <c r="X104"/>
  <c r="W104"/>
  <c r="V104"/>
  <c r="U104"/>
  <c r="T104"/>
  <c r="S104"/>
  <c r="R104"/>
  <c r="Q104"/>
  <c r="P104"/>
  <c r="O104"/>
  <c r="N104"/>
  <c r="M104"/>
  <c r="L104"/>
  <c r="K104"/>
  <c r="J104"/>
  <c r="I104"/>
  <c r="H104"/>
  <c r="G104"/>
  <c r="F104"/>
  <c r="E104"/>
  <c r="D104"/>
  <c r="C104"/>
  <c r="J103"/>
  <c r="J102"/>
  <c r="J101"/>
  <c r="J100"/>
  <c r="J99"/>
  <c r="J98"/>
  <c r="J97"/>
  <c r="J95" s="1"/>
  <c r="F95"/>
  <c r="J94" s="1"/>
  <c r="F94"/>
  <c r="F93"/>
  <c r="F92"/>
  <c r="J91"/>
  <c r="J90"/>
  <c r="J89"/>
  <c r="IV88"/>
  <c r="IU88"/>
  <c r="IT88"/>
  <c r="IS88"/>
  <c r="IR88"/>
  <c r="IQ88"/>
  <c r="IP88"/>
  <c r="IO88"/>
  <c r="IN88"/>
  <c r="IM88"/>
  <c r="IL88"/>
  <c r="IK88"/>
  <c r="IJ88"/>
  <c r="II88"/>
  <c r="IH88"/>
  <c r="IG88"/>
  <c r="IF88"/>
  <c r="IE88"/>
  <c r="ID88"/>
  <c r="IC88"/>
  <c r="IB88"/>
  <c r="IA88"/>
  <c r="HZ88"/>
  <c r="HY88"/>
  <c r="HX88"/>
  <c r="HW88"/>
  <c r="HV88"/>
  <c r="HU88"/>
  <c r="HT88"/>
  <c r="HS88"/>
  <c r="HR88"/>
  <c r="HQ88"/>
  <c r="HP88"/>
  <c r="HO88"/>
  <c r="HN88"/>
  <c r="HM88"/>
  <c r="HL88"/>
  <c r="HK88"/>
  <c r="HJ88"/>
  <c r="HI88"/>
  <c r="HH88"/>
  <c r="HG88"/>
  <c r="HF88"/>
  <c r="HE88"/>
  <c r="HD88"/>
  <c r="HC88"/>
  <c r="HB88"/>
  <c r="HA88"/>
  <c r="GZ88"/>
  <c r="GY88"/>
  <c r="GX88"/>
  <c r="GW88"/>
  <c r="GV88"/>
  <c r="GU88"/>
  <c r="GT88"/>
  <c r="GS88"/>
  <c r="GR88"/>
  <c r="GQ88"/>
  <c r="GP88"/>
  <c r="GO88"/>
  <c r="GN88"/>
  <c r="GM88"/>
  <c r="GL88"/>
  <c r="GK88"/>
  <c r="GJ88"/>
  <c r="GI88"/>
  <c r="GH88"/>
  <c r="GG88"/>
  <c r="GF88"/>
  <c r="GE88"/>
  <c r="GD88"/>
  <c r="GC88"/>
  <c r="GB88"/>
  <c r="GA88"/>
  <c r="FZ88"/>
  <c r="FY88"/>
  <c r="FX88"/>
  <c r="FW88"/>
  <c r="FV88"/>
  <c r="FU88"/>
  <c r="FT88"/>
  <c r="FS88"/>
  <c r="FR88"/>
  <c r="FQ88"/>
  <c r="FP88"/>
  <c r="FO88"/>
  <c r="FN88"/>
  <c r="FM88"/>
  <c r="FL88"/>
  <c r="FK88"/>
  <c r="FJ88"/>
  <c r="FI88"/>
  <c r="FH88"/>
  <c r="FG88"/>
  <c r="FF88"/>
  <c r="FE88"/>
  <c r="FD88"/>
  <c r="FC88"/>
  <c r="FB88"/>
  <c r="FA88"/>
  <c r="EZ88"/>
  <c r="EY88"/>
  <c r="EX88"/>
  <c r="EW88"/>
  <c r="EV88"/>
  <c r="EU88"/>
  <c r="ET88"/>
  <c r="ES88"/>
  <c r="ER88"/>
  <c r="EQ88"/>
  <c r="EP88"/>
  <c r="EO88"/>
  <c r="EN88"/>
  <c r="EM88"/>
  <c r="EL88"/>
  <c r="EK88"/>
  <c r="EJ88"/>
  <c r="EI88"/>
  <c r="EH88"/>
  <c r="EG88"/>
  <c r="EF88"/>
  <c r="EE88"/>
  <c r="ED88"/>
  <c r="EC88"/>
  <c r="EB88"/>
  <c r="EA88"/>
  <c r="DZ88"/>
  <c r="DY88"/>
  <c r="DX88"/>
  <c r="DW88"/>
  <c r="DV88"/>
  <c r="DU88"/>
  <c r="DT88"/>
  <c r="DS88"/>
  <c r="DR88"/>
  <c r="DQ88"/>
  <c r="DP88"/>
  <c r="DO88"/>
  <c r="DN88"/>
  <c r="DM88"/>
  <c r="DL88"/>
  <c r="DK88"/>
  <c r="DJ88"/>
  <c r="DI88"/>
  <c r="DH88"/>
  <c r="DG88"/>
  <c r="DF88"/>
  <c r="DE88"/>
  <c r="DD88"/>
  <c r="DC88"/>
  <c r="DB88"/>
  <c r="DA88"/>
  <c r="CZ88"/>
  <c r="CY88"/>
  <c r="CX88"/>
  <c r="CW88"/>
  <c r="CV88"/>
  <c r="CU88"/>
  <c r="CT88"/>
  <c r="CS88"/>
  <c r="CR88"/>
  <c r="CQ88"/>
  <c r="CP88"/>
  <c r="CO88"/>
  <c r="CN88"/>
  <c r="CM88"/>
  <c r="CL88"/>
  <c r="CK88"/>
  <c r="CJ88"/>
  <c r="CI88"/>
  <c r="CH88"/>
  <c r="CG88"/>
  <c r="CF88"/>
  <c r="CE88"/>
  <c r="CD88"/>
  <c r="CC88"/>
  <c r="CB88"/>
  <c r="CA88"/>
  <c r="BY88"/>
  <c r="BX88"/>
  <c r="BW88"/>
  <c r="BV88"/>
  <c r="BU88"/>
  <c r="BT88"/>
  <c r="BS88"/>
  <c r="BR88"/>
  <c r="BQ88"/>
  <c r="BP88"/>
  <c r="BO88"/>
  <c r="BN88"/>
  <c r="BM88"/>
  <c r="BL88"/>
  <c r="BK88"/>
  <c r="BJ88"/>
  <c r="BI88"/>
  <c r="BH88"/>
  <c r="BG88"/>
  <c r="BF88"/>
  <c r="BE88"/>
  <c r="BD88"/>
  <c r="BC88"/>
  <c r="BB88"/>
  <c r="BA88"/>
  <c r="AZ88"/>
  <c r="AY88"/>
  <c r="AX88"/>
  <c r="AW88"/>
  <c r="AV88"/>
  <c r="AU88"/>
  <c r="AT88"/>
  <c r="AS88"/>
  <c r="AR88"/>
  <c r="AQ88"/>
  <c r="AP88"/>
  <c r="AO88"/>
  <c r="AN88"/>
  <c r="AM88"/>
  <c r="AL88"/>
  <c r="AK88"/>
  <c r="AJ88"/>
  <c r="AI88"/>
  <c r="AH88"/>
  <c r="AG88"/>
  <c r="AF88"/>
  <c r="AE88"/>
  <c r="AD88"/>
  <c r="AC88"/>
  <c r="AB88"/>
  <c r="AA88"/>
  <c r="Z88"/>
  <c r="Y88"/>
  <c r="X88"/>
  <c r="W88"/>
  <c r="V88"/>
  <c r="U88"/>
  <c r="T88"/>
  <c r="S88"/>
  <c r="P88"/>
  <c r="O88"/>
  <c r="M88"/>
  <c r="L88"/>
  <c r="K88"/>
  <c r="J88"/>
  <c r="I88"/>
  <c r="H88"/>
  <c r="G88"/>
  <c r="F88"/>
  <c r="E88"/>
  <c r="D88"/>
  <c r="C88"/>
  <c r="J85"/>
  <c r="BP83"/>
  <c r="AL83"/>
  <c r="BP82"/>
  <c r="AL82"/>
  <c r="FW81"/>
  <c r="BP81"/>
  <c r="AL81"/>
  <c r="BP78"/>
  <c r="AL78"/>
  <c r="D76"/>
  <c r="D75"/>
  <c r="D74"/>
  <c r="D73"/>
  <c r="D72"/>
  <c r="D71"/>
  <c r="D70"/>
  <c r="D69"/>
  <c r="D68"/>
  <c r="D67"/>
  <c r="D66"/>
  <c r="D65"/>
  <c r="D64"/>
  <c r="D63"/>
  <c r="D62"/>
  <c r="BP61"/>
  <c r="AL61"/>
  <c r="FW60"/>
  <c r="BP60"/>
  <c r="BP58"/>
  <c r="AL58"/>
  <c r="J58"/>
  <c r="FW55"/>
  <c r="BP55"/>
  <c r="AL55"/>
  <c r="J55"/>
  <c r="FW54"/>
  <c r="BP54"/>
  <c r="AL54"/>
  <c r="FW52"/>
  <c r="BP52"/>
  <c r="AL52"/>
  <c r="FW51"/>
  <c r="D49"/>
  <c r="D48"/>
  <c r="D47"/>
  <c r="D46"/>
  <c r="D45"/>
  <c r="D44"/>
  <c r="D43"/>
  <c r="D42"/>
  <c r="D41"/>
  <c r="BP36"/>
  <c r="BP34"/>
  <c r="BP33"/>
  <c r="BP31"/>
  <c r="GD30"/>
  <c r="BP30"/>
  <c r="FW29"/>
  <c r="BP29"/>
  <c r="BP27"/>
  <c r="BP26"/>
  <c r="D23"/>
  <c r="D22"/>
  <c r="D21"/>
  <c r="D20"/>
  <c r="FW18"/>
  <c r="D16"/>
  <c r="D15"/>
  <c r="D14"/>
  <c r="J13"/>
  <c r="DC10"/>
  <c r="AL10"/>
  <c r="AK10"/>
  <c r="AJ10"/>
  <c r="J9"/>
  <c r="J8"/>
  <c r="D6"/>
  <c r="D5"/>
  <c r="D4"/>
  <c r="J3"/>
  <c r="J240" i="19"/>
  <c r="H240"/>
  <c r="F240"/>
  <c r="D240"/>
  <c r="B240"/>
  <c r="J239"/>
  <c r="H239"/>
  <c r="F239"/>
  <c r="D239"/>
  <c r="B239"/>
  <c r="J238"/>
  <c r="H238"/>
  <c r="F238"/>
  <c r="D238"/>
  <c r="B238"/>
  <c r="J237"/>
  <c r="H237"/>
  <c r="F237"/>
  <c r="D237"/>
  <c r="B237"/>
  <c r="L237" s="1"/>
  <c r="J236"/>
  <c r="H236"/>
  <c r="F236"/>
  <c r="D236"/>
  <c r="B236"/>
  <c r="J235"/>
  <c r="H235"/>
  <c r="F235"/>
  <c r="D235"/>
  <c r="B235"/>
  <c r="J234"/>
  <c r="H234"/>
  <c r="F234"/>
  <c r="D234"/>
  <c r="B234"/>
  <c r="J233"/>
  <c r="H233"/>
  <c r="F233"/>
  <c r="D233"/>
  <c r="B233"/>
  <c r="J232"/>
  <c r="H232"/>
  <c r="H241" s="1"/>
  <c r="I240" s="1"/>
  <c r="F232"/>
  <c r="F241" s="1"/>
  <c r="D232"/>
  <c r="B232"/>
  <c r="F223"/>
  <c r="E223"/>
  <c r="D223"/>
  <c r="C223"/>
  <c r="B223"/>
  <c r="F222"/>
  <c r="E222"/>
  <c r="D222"/>
  <c r="C222"/>
  <c r="B222"/>
  <c r="F221"/>
  <c r="E221"/>
  <c r="D221"/>
  <c r="C221"/>
  <c r="B221"/>
  <c r="F220"/>
  <c r="E220"/>
  <c r="D220"/>
  <c r="C220"/>
  <c r="B220"/>
  <c r="F219"/>
  <c r="E219"/>
  <c r="D219"/>
  <c r="C219"/>
  <c r="B219"/>
  <c r="F218"/>
  <c r="E218"/>
  <c r="D218"/>
  <c r="C218"/>
  <c r="B218"/>
  <c r="F217"/>
  <c r="E217"/>
  <c r="D217"/>
  <c r="C217"/>
  <c r="B217"/>
  <c r="F216"/>
  <c r="E216"/>
  <c r="D216"/>
  <c r="C216"/>
  <c r="B216"/>
  <c r="F215"/>
  <c r="E215"/>
  <c r="D215"/>
  <c r="C215"/>
  <c r="B215"/>
  <c r="H207"/>
  <c r="G207"/>
  <c r="F207"/>
  <c r="E207"/>
  <c r="D207"/>
  <c r="C207"/>
  <c r="B207"/>
  <c r="H206"/>
  <c r="G206"/>
  <c r="F206"/>
  <c r="E206"/>
  <c r="D206"/>
  <c r="C206"/>
  <c r="B206"/>
  <c r="H205"/>
  <c r="G205"/>
  <c r="F205"/>
  <c r="E205"/>
  <c r="D205"/>
  <c r="C205"/>
  <c r="B205"/>
  <c r="H204"/>
  <c r="G204"/>
  <c r="F204"/>
  <c r="E204"/>
  <c r="D204"/>
  <c r="C204"/>
  <c r="B204"/>
  <c r="H203"/>
  <c r="G203"/>
  <c r="F203"/>
  <c r="E203"/>
  <c r="D203"/>
  <c r="C203"/>
  <c r="B203"/>
  <c r="H202"/>
  <c r="G202"/>
  <c r="F202"/>
  <c r="E202"/>
  <c r="D202"/>
  <c r="C202"/>
  <c r="B202"/>
  <c r="H201"/>
  <c r="G201"/>
  <c r="F201"/>
  <c r="E201"/>
  <c r="D201"/>
  <c r="C201"/>
  <c r="B201"/>
  <c r="H200"/>
  <c r="G200"/>
  <c r="F200"/>
  <c r="E200"/>
  <c r="D200"/>
  <c r="C200"/>
  <c r="B200"/>
  <c r="I200" s="1"/>
  <c r="H199"/>
  <c r="G199"/>
  <c r="F199"/>
  <c r="E199"/>
  <c r="D199"/>
  <c r="C199"/>
  <c r="B199"/>
  <c r="B208" s="1"/>
  <c r="F191"/>
  <c r="E191"/>
  <c r="D191"/>
  <c r="C191"/>
  <c r="B191"/>
  <c r="F190"/>
  <c r="F189"/>
  <c r="F188"/>
  <c r="F187"/>
  <c r="F186"/>
  <c r="F185"/>
  <c r="F184"/>
  <c r="F183"/>
  <c r="F182"/>
  <c r="F181"/>
  <c r="F180"/>
  <c r="F179"/>
  <c r="F178"/>
  <c r="F177"/>
  <c r="F176"/>
  <c r="F175"/>
  <c r="F174"/>
  <c r="F173"/>
  <c r="F172"/>
  <c r="F171"/>
  <c r="F170"/>
  <c r="G163"/>
  <c r="G162"/>
  <c r="F162"/>
  <c r="E162"/>
  <c r="D162"/>
  <c r="C162"/>
  <c r="B162"/>
  <c r="G161"/>
  <c r="F161"/>
  <c r="E161"/>
  <c r="D161"/>
  <c r="C161"/>
  <c r="B161"/>
  <c r="G160"/>
  <c r="F160"/>
  <c r="E160"/>
  <c r="D160"/>
  <c r="C160"/>
  <c r="B160"/>
  <c r="G159"/>
  <c r="F159"/>
  <c r="E159"/>
  <c r="D159"/>
  <c r="C159"/>
  <c r="B159"/>
  <c r="G158"/>
  <c r="F158"/>
  <c r="E158"/>
  <c r="D158"/>
  <c r="C158"/>
  <c r="B158"/>
  <c r="G157"/>
  <c r="F157"/>
  <c r="E157"/>
  <c r="D157"/>
  <c r="C157"/>
  <c r="B157"/>
  <c r="G156"/>
  <c r="F156"/>
  <c r="E156"/>
  <c r="D156"/>
  <c r="C156"/>
  <c r="B156"/>
  <c r="G155"/>
  <c r="F155"/>
  <c r="E155"/>
  <c r="D155"/>
  <c r="C155"/>
  <c r="B155"/>
  <c r="G154"/>
  <c r="F154"/>
  <c r="E154"/>
  <c r="D154"/>
  <c r="C154"/>
  <c r="B154"/>
  <c r="H154" s="1"/>
  <c r="D146"/>
  <c r="B146"/>
  <c r="D145"/>
  <c r="B145"/>
  <c r="D144"/>
  <c r="B144"/>
  <c r="D143"/>
  <c r="B143"/>
  <c r="D142"/>
  <c r="B142"/>
  <c r="D141"/>
  <c r="B141"/>
  <c r="D140"/>
  <c r="B140"/>
  <c r="D139"/>
  <c r="B139"/>
  <c r="D138"/>
  <c r="B138"/>
  <c r="D137"/>
  <c r="B137"/>
  <c r="D136"/>
  <c r="B136"/>
  <c r="D135"/>
  <c r="B135"/>
  <c r="D134"/>
  <c r="B134"/>
  <c r="D133"/>
  <c r="B133"/>
  <c r="D124"/>
  <c r="C124"/>
  <c r="B124"/>
  <c r="D123"/>
  <c r="C123"/>
  <c r="B123"/>
  <c r="D122"/>
  <c r="C122"/>
  <c r="B122"/>
  <c r="D121"/>
  <c r="C121"/>
  <c r="B121"/>
  <c r="D120"/>
  <c r="C120"/>
  <c r="B120"/>
  <c r="D119"/>
  <c r="C119"/>
  <c r="B119"/>
  <c r="D118"/>
  <c r="C118"/>
  <c r="B118"/>
  <c r="D117"/>
  <c r="C117"/>
  <c r="B117"/>
  <c r="D116"/>
  <c r="C116"/>
  <c r="B116"/>
  <c r="E107"/>
  <c r="D107"/>
  <c r="C107"/>
  <c r="B107"/>
  <c r="E106"/>
  <c r="D106"/>
  <c r="C106"/>
  <c r="B106"/>
  <c r="E105"/>
  <c r="D105"/>
  <c r="C105"/>
  <c r="B105"/>
  <c r="E104"/>
  <c r="D104"/>
  <c r="C104"/>
  <c r="B104"/>
  <c r="E103"/>
  <c r="D103"/>
  <c r="C103"/>
  <c r="B103"/>
  <c r="E102"/>
  <c r="D102"/>
  <c r="C102"/>
  <c r="B102"/>
  <c r="E101"/>
  <c r="D101"/>
  <c r="C101"/>
  <c r="B101"/>
  <c r="E100"/>
  <c r="D100"/>
  <c r="C100"/>
  <c r="B100"/>
  <c r="E99"/>
  <c r="D99"/>
  <c r="C99"/>
  <c r="B99"/>
  <c r="F90"/>
  <c r="E90"/>
  <c r="D90"/>
  <c r="C90"/>
  <c r="B90"/>
  <c r="F89"/>
  <c r="E89"/>
  <c r="D89"/>
  <c r="C89"/>
  <c r="B89"/>
  <c r="F88"/>
  <c r="E88"/>
  <c r="D88"/>
  <c r="C88"/>
  <c r="B88"/>
  <c r="F87"/>
  <c r="E87"/>
  <c r="D87"/>
  <c r="C87"/>
  <c r="B87"/>
  <c r="F86"/>
  <c r="E86"/>
  <c r="D86"/>
  <c r="C86"/>
  <c r="B86"/>
  <c r="F85"/>
  <c r="E85"/>
  <c r="D85"/>
  <c r="C85"/>
  <c r="B85"/>
  <c r="F84"/>
  <c r="E84"/>
  <c r="D84"/>
  <c r="C84"/>
  <c r="B84"/>
  <c r="W83"/>
  <c r="U83"/>
  <c r="S83"/>
  <c r="Q83"/>
  <c r="F83"/>
  <c r="E83"/>
  <c r="D83"/>
  <c r="C83"/>
  <c r="B83"/>
  <c r="W82"/>
  <c r="U82"/>
  <c r="S82"/>
  <c r="Q82"/>
  <c r="F82"/>
  <c r="E82"/>
  <c r="D82"/>
  <c r="C82"/>
  <c r="B82"/>
  <c r="G82" s="1"/>
  <c r="W81"/>
  <c r="U81"/>
  <c r="S81"/>
  <c r="Q81"/>
  <c r="W80"/>
  <c r="U80"/>
  <c r="S80"/>
  <c r="Q80"/>
  <c r="W79"/>
  <c r="U79"/>
  <c r="S79"/>
  <c r="Q79"/>
  <c r="W78"/>
  <c r="U78"/>
  <c r="S78"/>
  <c r="Q78"/>
  <c r="W77"/>
  <c r="U77"/>
  <c r="S77"/>
  <c r="Q77"/>
  <c r="W76"/>
  <c r="U76"/>
  <c r="S76"/>
  <c r="Q76"/>
  <c r="W75"/>
  <c r="U75"/>
  <c r="S75"/>
  <c r="Q75"/>
  <c r="Q84" s="1"/>
  <c r="G73"/>
  <c r="F73"/>
  <c r="E73"/>
  <c r="D73"/>
  <c r="C73"/>
  <c r="G72"/>
  <c r="F72"/>
  <c r="E72"/>
  <c r="D72"/>
  <c r="C72"/>
  <c r="G71"/>
  <c r="F71"/>
  <c r="E71"/>
  <c r="D71"/>
  <c r="C71"/>
  <c r="G70"/>
  <c r="F70"/>
  <c r="E70"/>
  <c r="D70"/>
  <c r="C70"/>
  <c r="G69"/>
  <c r="F69"/>
  <c r="E69"/>
  <c r="D69"/>
  <c r="C69"/>
  <c r="G68"/>
  <c r="F68"/>
  <c r="E68"/>
  <c r="D68"/>
  <c r="C68"/>
  <c r="G67"/>
  <c r="F67"/>
  <c r="E67"/>
  <c r="D67"/>
  <c r="C67"/>
  <c r="G66"/>
  <c r="F66"/>
  <c r="E66"/>
  <c r="D66"/>
  <c r="C66"/>
  <c r="Y65"/>
  <c r="X65"/>
  <c r="W65"/>
  <c r="V65"/>
  <c r="U65"/>
  <c r="T65"/>
  <c r="S65"/>
  <c r="R65"/>
  <c r="Q65"/>
  <c r="G65"/>
  <c r="F65"/>
  <c r="E65"/>
  <c r="D65"/>
  <c r="C65"/>
  <c r="Y64"/>
  <c r="X64"/>
  <c r="W64"/>
  <c r="V64"/>
  <c r="U64"/>
  <c r="T64"/>
  <c r="S64"/>
  <c r="R64"/>
  <c r="Q64"/>
  <c r="G64"/>
  <c r="F64"/>
  <c r="E64"/>
  <c r="D64"/>
  <c r="C64"/>
  <c r="Y63"/>
  <c r="X63"/>
  <c r="W63"/>
  <c r="V63"/>
  <c r="U63"/>
  <c r="T63"/>
  <c r="S63"/>
  <c r="R63"/>
  <c r="Q63"/>
  <c r="G63"/>
  <c r="F63"/>
  <c r="E63"/>
  <c r="D63"/>
  <c r="C63"/>
  <c r="Y62"/>
  <c r="X62"/>
  <c r="W62"/>
  <c r="V62"/>
  <c r="U62"/>
  <c r="T62"/>
  <c r="S62"/>
  <c r="R62"/>
  <c r="Q62"/>
  <c r="G62"/>
  <c r="F62"/>
  <c r="E62"/>
  <c r="D62"/>
  <c r="C62"/>
  <c r="Y61"/>
  <c r="X61"/>
  <c r="W61"/>
  <c r="V61"/>
  <c r="U61"/>
  <c r="T61"/>
  <c r="S61"/>
  <c r="R61"/>
  <c r="Q61"/>
  <c r="G61"/>
  <c r="F61"/>
  <c r="E61"/>
  <c r="D61"/>
  <c r="C61"/>
  <c r="Y60"/>
  <c r="X60"/>
  <c r="W60"/>
  <c r="V60"/>
  <c r="U60"/>
  <c r="T60"/>
  <c r="S60"/>
  <c r="R60"/>
  <c r="Q60"/>
  <c r="G60"/>
  <c r="F60"/>
  <c r="E60"/>
  <c r="D60"/>
  <c r="C60"/>
  <c r="Y59"/>
  <c r="X59"/>
  <c r="W59"/>
  <c r="V59"/>
  <c r="U59"/>
  <c r="T59"/>
  <c r="S59"/>
  <c r="R59"/>
  <c r="Q59"/>
  <c r="G59"/>
  <c r="F59"/>
  <c r="E59"/>
  <c r="D59"/>
  <c r="C59"/>
  <c r="H59" s="1"/>
  <c r="Y58"/>
  <c r="X58"/>
  <c r="W58"/>
  <c r="V58"/>
  <c r="U58"/>
  <c r="T58"/>
  <c r="S58"/>
  <c r="R58"/>
  <c r="Q58"/>
  <c r="Y57"/>
  <c r="X57"/>
  <c r="W57"/>
  <c r="V57"/>
  <c r="U57"/>
  <c r="U66" s="1"/>
  <c r="T57"/>
  <c r="S57"/>
  <c r="R57"/>
  <c r="Q57"/>
  <c r="G57"/>
  <c r="F57"/>
  <c r="E57"/>
  <c r="D57"/>
  <c r="C57"/>
  <c r="G56"/>
  <c r="F56"/>
  <c r="E56"/>
  <c r="D56"/>
  <c r="C56"/>
  <c r="G55"/>
  <c r="F55"/>
  <c r="E55"/>
  <c r="D55"/>
  <c r="C55"/>
  <c r="G54"/>
  <c r="F54"/>
  <c r="E54"/>
  <c r="D54"/>
  <c r="C54"/>
  <c r="G53"/>
  <c r="F53"/>
  <c r="E53"/>
  <c r="D53"/>
  <c r="C53"/>
  <c r="G52"/>
  <c r="F52"/>
  <c r="E52"/>
  <c r="D52"/>
  <c r="C52"/>
  <c r="G51"/>
  <c r="F51"/>
  <c r="E51"/>
  <c r="D51"/>
  <c r="C51"/>
  <c r="G50"/>
  <c r="F50"/>
  <c r="E50"/>
  <c r="D50"/>
  <c r="C50"/>
  <c r="V49"/>
  <c r="U49"/>
  <c r="T49"/>
  <c r="S49"/>
  <c r="R49"/>
  <c r="Q49"/>
  <c r="V48"/>
  <c r="U48"/>
  <c r="T48"/>
  <c r="S48"/>
  <c r="R48"/>
  <c r="Q48"/>
  <c r="G48"/>
  <c r="F48"/>
  <c r="E48"/>
  <c r="D48"/>
  <c r="C48"/>
  <c r="V47"/>
  <c r="U47"/>
  <c r="T47"/>
  <c r="S47"/>
  <c r="R47"/>
  <c r="Q47"/>
  <c r="G47"/>
  <c r="F47"/>
  <c r="E47"/>
  <c r="D47"/>
  <c r="C47"/>
  <c r="V46"/>
  <c r="U46"/>
  <c r="T46"/>
  <c r="S46"/>
  <c r="R46"/>
  <c r="Q46"/>
  <c r="G46"/>
  <c r="F46"/>
  <c r="E46"/>
  <c r="D46"/>
  <c r="C46"/>
  <c r="V45"/>
  <c r="U45"/>
  <c r="T45"/>
  <c r="S45"/>
  <c r="R45"/>
  <c r="Q45"/>
  <c r="V44"/>
  <c r="U44"/>
  <c r="T44"/>
  <c r="S44"/>
  <c r="R44"/>
  <c r="Q44"/>
  <c r="G44"/>
  <c r="F44"/>
  <c r="E44"/>
  <c r="D44"/>
  <c r="C44"/>
  <c r="V43"/>
  <c r="U43"/>
  <c r="T43"/>
  <c r="S43"/>
  <c r="R43"/>
  <c r="Q43"/>
  <c r="G43"/>
  <c r="F43"/>
  <c r="E43"/>
  <c r="D43"/>
  <c r="C43"/>
  <c r="V42"/>
  <c r="U42"/>
  <c r="T42"/>
  <c r="S42"/>
  <c r="R42"/>
  <c r="Q42"/>
  <c r="G42"/>
  <c r="F42"/>
  <c r="E42"/>
  <c r="D42"/>
  <c r="C42"/>
  <c r="H42" s="1"/>
  <c r="V41"/>
  <c r="U41"/>
  <c r="T41"/>
  <c r="S41"/>
  <c r="R41"/>
  <c r="Q41"/>
  <c r="W41" s="1"/>
  <c r="G40"/>
  <c r="F40"/>
  <c r="E40"/>
  <c r="D40"/>
  <c r="C40"/>
  <c r="G39"/>
  <c r="F39"/>
  <c r="E39"/>
  <c r="D39"/>
  <c r="C39"/>
  <c r="G38"/>
  <c r="F38"/>
  <c r="F41" s="1"/>
  <c r="E38"/>
  <c r="D38"/>
  <c r="C38"/>
  <c r="G36"/>
  <c r="F36"/>
  <c r="E36"/>
  <c r="D36"/>
  <c r="C36"/>
  <c r="G35"/>
  <c r="F35"/>
  <c r="E35"/>
  <c r="D35"/>
  <c r="C35"/>
  <c r="G34"/>
  <c r="F34"/>
  <c r="E34"/>
  <c r="D34"/>
  <c r="C34"/>
  <c r="G32"/>
  <c r="F32"/>
  <c r="E32"/>
  <c r="D32"/>
  <c r="C32"/>
  <c r="H32" s="1"/>
  <c r="W31"/>
  <c r="U31"/>
  <c r="S31"/>
  <c r="Q31"/>
  <c r="W30"/>
  <c r="U30"/>
  <c r="S30"/>
  <c r="Q30"/>
  <c r="G30"/>
  <c r="F30"/>
  <c r="E30"/>
  <c r="D30"/>
  <c r="C30"/>
  <c r="W29"/>
  <c r="U29"/>
  <c r="S29"/>
  <c r="Q29"/>
  <c r="G29"/>
  <c r="F29"/>
  <c r="E29"/>
  <c r="D29"/>
  <c r="C29"/>
  <c r="C31" s="1"/>
  <c r="W28"/>
  <c r="U28"/>
  <c r="S28"/>
  <c r="Q28"/>
  <c r="W27"/>
  <c r="U27"/>
  <c r="S27"/>
  <c r="Q27"/>
  <c r="G27"/>
  <c r="F27"/>
  <c r="E27"/>
  <c r="D27"/>
  <c r="C27"/>
  <c r="W26"/>
  <c r="U26"/>
  <c r="S26"/>
  <c r="Q26"/>
  <c r="G26"/>
  <c r="F26"/>
  <c r="E26"/>
  <c r="D26"/>
  <c r="C26"/>
  <c r="W25"/>
  <c r="U25"/>
  <c r="S25"/>
  <c r="Q25"/>
  <c r="G25"/>
  <c r="F25"/>
  <c r="E25"/>
  <c r="D25"/>
  <c r="C25"/>
  <c r="H25" s="1"/>
  <c r="W24"/>
  <c r="U24"/>
  <c r="S24"/>
  <c r="Q24"/>
  <c r="W23"/>
  <c r="U23"/>
  <c r="S23"/>
  <c r="S32" s="1"/>
  <c r="Q23"/>
  <c r="U15"/>
  <c r="W15" s="1"/>
  <c r="S15"/>
  <c r="Q15"/>
  <c r="C15"/>
  <c r="B15"/>
  <c r="U14"/>
  <c r="S14"/>
  <c r="Q14"/>
  <c r="C14"/>
  <c r="B14"/>
  <c r="U13"/>
  <c r="S13"/>
  <c r="Q13"/>
  <c r="C13"/>
  <c r="B13"/>
  <c r="U12"/>
  <c r="S12"/>
  <c r="Q12"/>
  <c r="C12"/>
  <c r="B12"/>
  <c r="U11"/>
  <c r="S11"/>
  <c r="Q11"/>
  <c r="C11"/>
  <c r="B11"/>
  <c r="U10"/>
  <c r="S10"/>
  <c r="Q10"/>
  <c r="C10"/>
  <c r="B10"/>
  <c r="U9"/>
  <c r="S9"/>
  <c r="Q9"/>
  <c r="C9"/>
  <c r="B9"/>
  <c r="U8"/>
  <c r="S8"/>
  <c r="Q8"/>
  <c r="C8"/>
  <c r="B8"/>
  <c r="D8" s="1"/>
  <c r="U7"/>
  <c r="S7"/>
  <c r="Q7"/>
  <c r="C7"/>
  <c r="B7"/>
  <c r="D7" s="1"/>
  <c r="B2"/>
  <c r="J229" i="18"/>
  <c r="H229"/>
  <c r="F229"/>
  <c r="D229"/>
  <c r="B229"/>
  <c r="L229" s="1"/>
  <c r="J228"/>
  <c r="H228"/>
  <c r="F228"/>
  <c r="D228"/>
  <c r="B228"/>
  <c r="J227"/>
  <c r="H227"/>
  <c r="F227"/>
  <c r="D227"/>
  <c r="B227"/>
  <c r="J226"/>
  <c r="H226"/>
  <c r="F226"/>
  <c r="D226"/>
  <c r="B226"/>
  <c r="J225"/>
  <c r="H225"/>
  <c r="F225"/>
  <c r="D225"/>
  <c r="B225"/>
  <c r="J224"/>
  <c r="H224"/>
  <c r="F224"/>
  <c r="D224"/>
  <c r="B224"/>
  <c r="J223"/>
  <c r="H223"/>
  <c r="F223"/>
  <c r="D223"/>
  <c r="B223"/>
  <c r="L223" s="1"/>
  <c r="J222"/>
  <c r="H222"/>
  <c r="F222"/>
  <c r="D222"/>
  <c r="B222"/>
  <c r="J221"/>
  <c r="H221"/>
  <c r="F221"/>
  <c r="D221"/>
  <c r="B221"/>
  <c r="L221" s="1"/>
  <c r="J213"/>
  <c r="H213"/>
  <c r="F213"/>
  <c r="D213"/>
  <c r="B213"/>
  <c r="J212"/>
  <c r="H212"/>
  <c r="F212"/>
  <c r="D212"/>
  <c r="B212"/>
  <c r="J211"/>
  <c r="H211"/>
  <c r="F211"/>
  <c r="D211"/>
  <c r="B211"/>
  <c r="J210"/>
  <c r="H210"/>
  <c r="F210"/>
  <c r="D210"/>
  <c r="B210"/>
  <c r="J209"/>
  <c r="H209"/>
  <c r="F209"/>
  <c r="D209"/>
  <c r="B209"/>
  <c r="J208"/>
  <c r="H208"/>
  <c r="F208"/>
  <c r="D208"/>
  <c r="B208"/>
  <c r="J207"/>
  <c r="H207"/>
  <c r="F207"/>
  <c r="D207"/>
  <c r="B207"/>
  <c r="J206"/>
  <c r="H206"/>
  <c r="F206"/>
  <c r="D206"/>
  <c r="B206"/>
  <c r="J205"/>
  <c r="H205"/>
  <c r="F205"/>
  <c r="D205"/>
  <c r="B205"/>
  <c r="F196"/>
  <c r="E196"/>
  <c r="D196"/>
  <c r="C196"/>
  <c r="B196"/>
  <c r="F195"/>
  <c r="E195"/>
  <c r="D195"/>
  <c r="C195"/>
  <c r="B195"/>
  <c r="F194"/>
  <c r="E194"/>
  <c r="D194"/>
  <c r="C194"/>
  <c r="B194"/>
  <c r="F193"/>
  <c r="E193"/>
  <c r="D193"/>
  <c r="C193"/>
  <c r="B193"/>
  <c r="F192"/>
  <c r="E192"/>
  <c r="D192"/>
  <c r="C192"/>
  <c r="B192"/>
  <c r="F191"/>
  <c r="E191"/>
  <c r="D191"/>
  <c r="C191"/>
  <c r="B191"/>
  <c r="F190"/>
  <c r="E190"/>
  <c r="D190"/>
  <c r="C190"/>
  <c r="B190"/>
  <c r="F189"/>
  <c r="E189"/>
  <c r="D189"/>
  <c r="C189"/>
  <c r="B189"/>
  <c r="F188"/>
  <c r="E188"/>
  <c r="D188"/>
  <c r="C188"/>
  <c r="B188"/>
  <c r="G188" s="1"/>
  <c r="H180"/>
  <c r="G180"/>
  <c r="F180"/>
  <c r="E180"/>
  <c r="D180"/>
  <c r="C180"/>
  <c r="B180"/>
  <c r="H179"/>
  <c r="G179"/>
  <c r="F179"/>
  <c r="E179"/>
  <c r="D179"/>
  <c r="C179"/>
  <c r="B179"/>
  <c r="H178"/>
  <c r="G178"/>
  <c r="F178"/>
  <c r="E178"/>
  <c r="D178"/>
  <c r="C178"/>
  <c r="B178"/>
  <c r="H177"/>
  <c r="G177"/>
  <c r="F177"/>
  <c r="E177"/>
  <c r="D177"/>
  <c r="C177"/>
  <c r="B177"/>
  <c r="H176"/>
  <c r="G176"/>
  <c r="F176"/>
  <c r="E176"/>
  <c r="D176"/>
  <c r="C176"/>
  <c r="B176"/>
  <c r="H175"/>
  <c r="G175"/>
  <c r="F175"/>
  <c r="E175"/>
  <c r="D175"/>
  <c r="C175"/>
  <c r="B175"/>
  <c r="H174"/>
  <c r="G174"/>
  <c r="F174"/>
  <c r="E174"/>
  <c r="D174"/>
  <c r="C174"/>
  <c r="B174"/>
  <c r="H173"/>
  <c r="G173"/>
  <c r="F173"/>
  <c r="E173"/>
  <c r="D173"/>
  <c r="C173"/>
  <c r="B173"/>
  <c r="H172"/>
  <c r="G172"/>
  <c r="F172"/>
  <c r="E172"/>
  <c r="D172"/>
  <c r="D181" s="1"/>
  <c r="C172"/>
  <c r="B172"/>
  <c r="G163"/>
  <c r="G162"/>
  <c r="F162"/>
  <c r="E162"/>
  <c r="D162"/>
  <c r="C162"/>
  <c r="B162"/>
  <c r="G161"/>
  <c r="F161"/>
  <c r="E161"/>
  <c r="D161"/>
  <c r="C161"/>
  <c r="B161"/>
  <c r="G160"/>
  <c r="F160"/>
  <c r="E160"/>
  <c r="D160"/>
  <c r="C160"/>
  <c r="B160"/>
  <c r="G159"/>
  <c r="F159"/>
  <c r="E159"/>
  <c r="D159"/>
  <c r="C159"/>
  <c r="B159"/>
  <c r="G158"/>
  <c r="F158"/>
  <c r="E158"/>
  <c r="D158"/>
  <c r="C158"/>
  <c r="B158"/>
  <c r="G157"/>
  <c r="F157"/>
  <c r="E157"/>
  <c r="D157"/>
  <c r="C157"/>
  <c r="B157"/>
  <c r="G156"/>
  <c r="F156"/>
  <c r="E156"/>
  <c r="D156"/>
  <c r="C156"/>
  <c r="B156"/>
  <c r="G155"/>
  <c r="F155"/>
  <c r="E155"/>
  <c r="D155"/>
  <c r="C155"/>
  <c r="B155"/>
  <c r="G154"/>
  <c r="F154"/>
  <c r="E154"/>
  <c r="D154"/>
  <c r="C154"/>
  <c r="B154"/>
  <c r="B163" s="1"/>
  <c r="H162" s="1"/>
  <c r="D146"/>
  <c r="B146"/>
  <c r="D145"/>
  <c r="B145"/>
  <c r="D144"/>
  <c r="B144"/>
  <c r="D143"/>
  <c r="B143"/>
  <c r="D142"/>
  <c r="B142"/>
  <c r="D141"/>
  <c r="B141"/>
  <c r="D140"/>
  <c r="B140"/>
  <c r="D139"/>
  <c r="B139"/>
  <c r="D138"/>
  <c r="B138"/>
  <c r="D137"/>
  <c r="B137"/>
  <c r="D136"/>
  <c r="B136"/>
  <c r="D135"/>
  <c r="B135"/>
  <c r="D134"/>
  <c r="B134"/>
  <c r="D133"/>
  <c r="B133"/>
  <c r="D124"/>
  <c r="C124"/>
  <c r="B124"/>
  <c r="D123"/>
  <c r="C123"/>
  <c r="B123"/>
  <c r="D122"/>
  <c r="C122"/>
  <c r="B122"/>
  <c r="D121"/>
  <c r="C121"/>
  <c r="B121"/>
  <c r="D120"/>
  <c r="C120"/>
  <c r="B120"/>
  <c r="D119"/>
  <c r="C119"/>
  <c r="B119"/>
  <c r="D118"/>
  <c r="C118"/>
  <c r="B118"/>
  <c r="D117"/>
  <c r="C117"/>
  <c r="B117"/>
  <c r="D116"/>
  <c r="C116"/>
  <c r="B116"/>
  <c r="E116" s="1"/>
  <c r="E107"/>
  <c r="D107"/>
  <c r="C107"/>
  <c r="B107"/>
  <c r="E106"/>
  <c r="D106"/>
  <c r="C106"/>
  <c r="B106"/>
  <c r="E105"/>
  <c r="D105"/>
  <c r="C105"/>
  <c r="B105"/>
  <c r="E104"/>
  <c r="D104"/>
  <c r="C104"/>
  <c r="B104"/>
  <c r="E103"/>
  <c r="D103"/>
  <c r="C103"/>
  <c r="B103"/>
  <c r="E102"/>
  <c r="D102"/>
  <c r="C102"/>
  <c r="B102"/>
  <c r="E101"/>
  <c r="D101"/>
  <c r="C101"/>
  <c r="B101"/>
  <c r="E100"/>
  <c r="D100"/>
  <c r="C100"/>
  <c r="B100"/>
  <c r="E99"/>
  <c r="D99"/>
  <c r="C99"/>
  <c r="B99"/>
  <c r="F90"/>
  <c r="E90"/>
  <c r="D90"/>
  <c r="C90"/>
  <c r="B90"/>
  <c r="F89"/>
  <c r="E89"/>
  <c r="D89"/>
  <c r="C89"/>
  <c r="B89"/>
  <c r="F88"/>
  <c r="E88"/>
  <c r="D88"/>
  <c r="C88"/>
  <c r="B88"/>
  <c r="F87"/>
  <c r="E87"/>
  <c r="D87"/>
  <c r="C87"/>
  <c r="B87"/>
  <c r="F86"/>
  <c r="E86"/>
  <c r="D86"/>
  <c r="C86"/>
  <c r="B86"/>
  <c r="F85"/>
  <c r="E85"/>
  <c r="D85"/>
  <c r="C85"/>
  <c r="B85"/>
  <c r="F84"/>
  <c r="E84"/>
  <c r="D84"/>
  <c r="C84"/>
  <c r="B84"/>
  <c r="F83"/>
  <c r="E83"/>
  <c r="D83"/>
  <c r="C83"/>
  <c r="B83"/>
  <c r="F82"/>
  <c r="E82"/>
  <c r="D82"/>
  <c r="C82"/>
  <c r="B82"/>
  <c r="G73"/>
  <c r="F73"/>
  <c r="E73"/>
  <c r="D73"/>
  <c r="C73"/>
  <c r="G72"/>
  <c r="F72"/>
  <c r="E72"/>
  <c r="D72"/>
  <c r="C72"/>
  <c r="G71"/>
  <c r="F71"/>
  <c r="E71"/>
  <c r="D71"/>
  <c r="C71"/>
  <c r="G70"/>
  <c r="F70"/>
  <c r="E70"/>
  <c r="D70"/>
  <c r="C70"/>
  <c r="G69"/>
  <c r="F69"/>
  <c r="E69"/>
  <c r="D69"/>
  <c r="C69"/>
  <c r="G68"/>
  <c r="F68"/>
  <c r="E68"/>
  <c r="D68"/>
  <c r="C68"/>
  <c r="G67"/>
  <c r="F67"/>
  <c r="E67"/>
  <c r="D67"/>
  <c r="C67"/>
  <c r="G66"/>
  <c r="F66"/>
  <c r="E66"/>
  <c r="D66"/>
  <c r="C66"/>
  <c r="G65"/>
  <c r="F65"/>
  <c r="E65"/>
  <c r="D65"/>
  <c r="C65"/>
  <c r="G64"/>
  <c r="F64"/>
  <c r="E64"/>
  <c r="D64"/>
  <c r="C64"/>
  <c r="G63"/>
  <c r="F63"/>
  <c r="E63"/>
  <c r="D63"/>
  <c r="C63"/>
  <c r="G62"/>
  <c r="F62"/>
  <c r="E62"/>
  <c r="D62"/>
  <c r="C62"/>
  <c r="G61"/>
  <c r="F61"/>
  <c r="E61"/>
  <c r="D61"/>
  <c r="C61"/>
  <c r="G60"/>
  <c r="F60"/>
  <c r="E60"/>
  <c r="D60"/>
  <c r="C60"/>
  <c r="G59"/>
  <c r="F59"/>
  <c r="E59"/>
  <c r="D59"/>
  <c r="C59"/>
  <c r="G57"/>
  <c r="F57"/>
  <c r="E57"/>
  <c r="D57"/>
  <c r="C57"/>
  <c r="G56"/>
  <c r="F56"/>
  <c r="E56"/>
  <c r="D56"/>
  <c r="C56"/>
  <c r="G55"/>
  <c r="F55"/>
  <c r="E55"/>
  <c r="D55"/>
  <c r="C55"/>
  <c r="G54"/>
  <c r="F54"/>
  <c r="E54"/>
  <c r="D54"/>
  <c r="C54"/>
  <c r="G53"/>
  <c r="F53"/>
  <c r="E53"/>
  <c r="D53"/>
  <c r="C53"/>
  <c r="G52"/>
  <c r="F52"/>
  <c r="E52"/>
  <c r="D52"/>
  <c r="C52"/>
  <c r="G51"/>
  <c r="F51"/>
  <c r="E51"/>
  <c r="D51"/>
  <c r="C51"/>
  <c r="G50"/>
  <c r="F50"/>
  <c r="E50"/>
  <c r="D50"/>
  <c r="C50"/>
  <c r="H50" s="1"/>
  <c r="G48"/>
  <c r="F48"/>
  <c r="E48"/>
  <c r="D48"/>
  <c r="C48"/>
  <c r="G47"/>
  <c r="F47"/>
  <c r="E47"/>
  <c r="D47"/>
  <c r="C47"/>
  <c r="G46"/>
  <c r="F46"/>
  <c r="E46"/>
  <c r="D46"/>
  <c r="C46"/>
  <c r="H46" s="1"/>
  <c r="G44"/>
  <c r="F44"/>
  <c r="E44"/>
  <c r="D44"/>
  <c r="C44"/>
  <c r="G43"/>
  <c r="F43"/>
  <c r="E43"/>
  <c r="D43"/>
  <c r="C43"/>
  <c r="G42"/>
  <c r="F42"/>
  <c r="E42"/>
  <c r="D42"/>
  <c r="C42"/>
  <c r="G40"/>
  <c r="F40"/>
  <c r="E40"/>
  <c r="D40"/>
  <c r="C40"/>
  <c r="G39"/>
  <c r="F39"/>
  <c r="E39"/>
  <c r="D39"/>
  <c r="C39"/>
  <c r="G38"/>
  <c r="F38"/>
  <c r="E38"/>
  <c r="D38"/>
  <c r="C38"/>
  <c r="G36"/>
  <c r="F36"/>
  <c r="E36"/>
  <c r="D36"/>
  <c r="C36"/>
  <c r="G35"/>
  <c r="F35"/>
  <c r="E35"/>
  <c r="D35"/>
  <c r="C35"/>
  <c r="G34"/>
  <c r="F34"/>
  <c r="E34"/>
  <c r="D34"/>
  <c r="C34"/>
  <c r="G32"/>
  <c r="F32"/>
  <c r="E32"/>
  <c r="D32"/>
  <c r="C32"/>
  <c r="V31"/>
  <c r="U31"/>
  <c r="T31"/>
  <c r="S31"/>
  <c r="R31"/>
  <c r="Q31"/>
  <c r="V30"/>
  <c r="U30"/>
  <c r="T30"/>
  <c r="S30"/>
  <c r="R30"/>
  <c r="Q30"/>
  <c r="G30"/>
  <c r="F30"/>
  <c r="E30"/>
  <c r="D30"/>
  <c r="C30"/>
  <c r="V29"/>
  <c r="U29"/>
  <c r="T29"/>
  <c r="S29"/>
  <c r="R29"/>
  <c r="Q29"/>
  <c r="G29"/>
  <c r="F29"/>
  <c r="E29"/>
  <c r="D29"/>
  <c r="C29"/>
  <c r="V28"/>
  <c r="U28"/>
  <c r="T28"/>
  <c r="S28"/>
  <c r="R28"/>
  <c r="Q28"/>
  <c r="V27"/>
  <c r="U27"/>
  <c r="T27"/>
  <c r="S27"/>
  <c r="R27"/>
  <c r="Q27"/>
  <c r="G27"/>
  <c r="F27"/>
  <c r="E27"/>
  <c r="D27"/>
  <c r="C27"/>
  <c r="V26"/>
  <c r="U26"/>
  <c r="T26"/>
  <c r="S26"/>
  <c r="R26"/>
  <c r="Q26"/>
  <c r="G26"/>
  <c r="F26"/>
  <c r="E26"/>
  <c r="D26"/>
  <c r="C26"/>
  <c r="V25"/>
  <c r="U25"/>
  <c r="T25"/>
  <c r="S25"/>
  <c r="R25"/>
  <c r="Q25"/>
  <c r="G25"/>
  <c r="F25"/>
  <c r="E25"/>
  <c r="D25"/>
  <c r="C25"/>
  <c r="V24"/>
  <c r="U24"/>
  <c r="T24"/>
  <c r="S24"/>
  <c r="R24"/>
  <c r="Q24"/>
  <c r="V23"/>
  <c r="U23"/>
  <c r="T23"/>
  <c r="S23"/>
  <c r="R23"/>
  <c r="Q23"/>
  <c r="C15"/>
  <c r="B15"/>
  <c r="R14"/>
  <c r="Q14"/>
  <c r="C14"/>
  <c r="B14"/>
  <c r="R13"/>
  <c r="Q13"/>
  <c r="C13"/>
  <c r="B13"/>
  <c r="R12"/>
  <c r="Q12"/>
  <c r="C12"/>
  <c r="B12"/>
  <c r="R11"/>
  <c r="Q11"/>
  <c r="C11"/>
  <c r="B11"/>
  <c r="R10"/>
  <c r="Q10"/>
  <c r="C10"/>
  <c r="B10"/>
  <c r="R9"/>
  <c r="Q9"/>
  <c r="C9"/>
  <c r="B9"/>
  <c r="R8"/>
  <c r="Q8"/>
  <c r="C8"/>
  <c r="B8"/>
  <c r="R7"/>
  <c r="Q7"/>
  <c r="C7"/>
  <c r="B7"/>
  <c r="B16" s="1"/>
  <c r="R6"/>
  <c r="Q6"/>
  <c r="Q15" s="1"/>
  <c r="B2"/>
  <c r="G499" i="13"/>
  <c r="G498"/>
  <c r="G497"/>
  <c r="G496"/>
  <c r="G495"/>
  <c r="G494"/>
  <c r="G493"/>
  <c r="G492"/>
  <c r="G491"/>
  <c r="G490"/>
  <c r="G489"/>
  <c r="G488"/>
  <c r="G487"/>
  <c r="G486"/>
  <c r="G485"/>
  <c r="G484"/>
  <c r="G483"/>
  <c r="G482"/>
  <c r="G481"/>
  <c r="G480"/>
  <c r="G479"/>
  <c r="G478"/>
  <c r="G477"/>
  <c r="G476"/>
  <c r="G475"/>
  <c r="G474"/>
  <c r="G473"/>
  <c r="G472"/>
  <c r="G471"/>
  <c r="G470"/>
  <c r="G469"/>
  <c r="G468"/>
  <c r="G467"/>
  <c r="G466"/>
  <c r="G465"/>
  <c r="G464"/>
  <c r="G463"/>
  <c r="G462"/>
  <c r="G461"/>
  <c r="G460"/>
  <c r="G459"/>
  <c r="G458"/>
  <c r="G457"/>
  <c r="G456"/>
  <c r="G455"/>
  <c r="G454"/>
  <c r="G453"/>
  <c r="G452"/>
  <c r="G451"/>
  <c r="G450"/>
  <c r="G449"/>
  <c r="G448"/>
  <c r="G447"/>
  <c r="G446"/>
  <c r="G445"/>
  <c r="G444"/>
  <c r="G443"/>
  <c r="G442"/>
  <c r="G441"/>
  <c r="G440"/>
  <c r="G439"/>
  <c r="G438"/>
  <c r="G437"/>
  <c r="G436"/>
  <c r="G435"/>
  <c r="G434"/>
  <c r="G433"/>
  <c r="G432"/>
  <c r="G431"/>
  <c r="G430"/>
  <c r="G429"/>
  <c r="H428"/>
  <c r="G428"/>
  <c r="H427"/>
  <c r="G427"/>
  <c r="H426"/>
  <c r="G426"/>
  <c r="J425"/>
  <c r="H425"/>
  <c r="G425"/>
  <c r="J424"/>
  <c r="H424"/>
  <c r="G424"/>
  <c r="J423"/>
  <c r="H423"/>
  <c r="G423"/>
  <c r="J422"/>
  <c r="H422"/>
  <c r="G422"/>
  <c r="J421"/>
  <c r="H421"/>
  <c r="G421"/>
  <c r="J420"/>
  <c r="H420"/>
  <c r="G420"/>
  <c r="J419"/>
  <c r="H419"/>
  <c r="G419"/>
  <c r="J418"/>
  <c r="H418"/>
  <c r="G418"/>
  <c r="J417"/>
  <c r="H417"/>
  <c r="G417"/>
  <c r="J416"/>
  <c r="H416"/>
  <c r="G416"/>
  <c r="J415"/>
  <c r="H415"/>
  <c r="G415"/>
  <c r="J414"/>
  <c r="H414"/>
  <c r="G414"/>
  <c r="J413"/>
  <c r="H413"/>
  <c r="G413"/>
  <c r="J412"/>
  <c r="H412"/>
  <c r="G412"/>
  <c r="J411"/>
  <c r="H411"/>
  <c r="G411"/>
  <c r="J410"/>
  <c r="H410"/>
  <c r="G410"/>
  <c r="J409"/>
  <c r="H409"/>
  <c r="G409"/>
  <c r="J408"/>
  <c r="H408"/>
  <c r="G408"/>
  <c r="J407"/>
  <c r="H407"/>
  <c r="G407"/>
  <c r="J406"/>
  <c r="H406"/>
  <c r="G406"/>
  <c r="J405"/>
  <c r="H405"/>
  <c r="G405"/>
  <c r="J404"/>
  <c r="H404"/>
  <c r="G404"/>
  <c r="J403"/>
  <c r="H403"/>
  <c r="G403"/>
  <c r="J402"/>
  <c r="H402"/>
  <c r="G402"/>
  <c r="J401"/>
  <c r="H401"/>
  <c r="G401"/>
  <c r="J400"/>
  <c r="H400"/>
  <c r="G400"/>
  <c r="J399"/>
  <c r="H399"/>
  <c r="G399"/>
  <c r="J398"/>
  <c r="H398"/>
  <c r="G398"/>
  <c r="J397"/>
  <c r="H397"/>
  <c r="G397"/>
  <c r="J396"/>
  <c r="H396"/>
  <c r="G396"/>
  <c r="J395"/>
  <c r="H395"/>
  <c r="G395"/>
  <c r="J394"/>
  <c r="H394"/>
  <c r="G394"/>
  <c r="J393"/>
  <c r="H393"/>
  <c r="G393"/>
  <c r="J392"/>
  <c r="H392"/>
  <c r="G392"/>
  <c r="J391"/>
  <c r="H391"/>
  <c r="G391"/>
  <c r="J390"/>
  <c r="H390"/>
  <c r="G390"/>
  <c r="J389"/>
  <c r="H389"/>
  <c r="G389"/>
  <c r="J388"/>
  <c r="H388"/>
  <c r="G388"/>
  <c r="J387"/>
  <c r="H387"/>
  <c r="G387"/>
  <c r="J386"/>
  <c r="H386"/>
  <c r="G386"/>
  <c r="J385"/>
  <c r="H385"/>
  <c r="G385"/>
  <c r="J384"/>
  <c r="H384"/>
  <c r="G384"/>
  <c r="J383"/>
  <c r="H383"/>
  <c r="G383"/>
  <c r="J382"/>
  <c r="H382"/>
  <c r="G382"/>
  <c r="J381"/>
  <c r="H381"/>
  <c r="G381"/>
  <c r="J380"/>
  <c r="H380"/>
  <c r="G380"/>
  <c r="J379"/>
  <c r="H379"/>
  <c r="G379"/>
  <c r="J378"/>
  <c r="H378"/>
  <c r="G378"/>
  <c r="J377"/>
  <c r="H377"/>
  <c r="G377"/>
  <c r="J376"/>
  <c r="H376"/>
  <c r="G376"/>
  <c r="J375"/>
  <c r="H375"/>
  <c r="G375"/>
  <c r="J374"/>
  <c r="H374"/>
  <c r="G374"/>
  <c r="J373"/>
  <c r="H373"/>
  <c r="G373"/>
  <c r="J372"/>
  <c r="H372"/>
  <c r="G372"/>
  <c r="J371"/>
  <c r="H371"/>
  <c r="G371"/>
  <c r="J370"/>
  <c r="H370"/>
  <c r="G370"/>
  <c r="J369"/>
  <c r="H369"/>
  <c r="G369"/>
  <c r="J368"/>
  <c r="H368"/>
  <c r="G368"/>
  <c r="J367"/>
  <c r="H367"/>
  <c r="G367"/>
  <c r="J366"/>
  <c r="H366"/>
  <c r="G366"/>
  <c r="J365"/>
  <c r="H365"/>
  <c r="G365"/>
  <c r="J364"/>
  <c r="H364"/>
  <c r="G364"/>
  <c r="J363"/>
  <c r="H363"/>
  <c r="G363"/>
  <c r="J362"/>
  <c r="H362"/>
  <c r="G362"/>
  <c r="J361"/>
  <c r="H361"/>
  <c r="G361"/>
  <c r="E361"/>
  <c r="D361"/>
  <c r="B361"/>
  <c r="J360"/>
  <c r="H360"/>
  <c r="G360"/>
  <c r="E360"/>
  <c r="D360"/>
  <c r="B360"/>
  <c r="J359"/>
  <c r="H359"/>
  <c r="G359"/>
  <c r="E359"/>
  <c r="D359"/>
  <c r="B359"/>
  <c r="J358"/>
  <c r="H358"/>
  <c r="G358"/>
  <c r="E358"/>
  <c r="D358"/>
  <c r="B358"/>
  <c r="J357"/>
  <c r="H357"/>
  <c r="G357"/>
  <c r="E357"/>
  <c r="D357"/>
  <c r="B357"/>
  <c r="J356"/>
  <c r="H356"/>
  <c r="G356"/>
  <c r="E356"/>
  <c r="D356"/>
  <c r="B356"/>
  <c r="J355"/>
  <c r="H355"/>
  <c r="G355"/>
  <c r="E355"/>
  <c r="D355"/>
  <c r="B355"/>
  <c r="J354"/>
  <c r="H354"/>
  <c r="G354"/>
  <c r="E354"/>
  <c r="D354"/>
  <c r="B354"/>
  <c r="J353"/>
  <c r="H353"/>
  <c r="G353"/>
  <c r="E353"/>
  <c r="D353"/>
  <c r="B353"/>
  <c r="J352"/>
  <c r="H352"/>
  <c r="G352"/>
  <c r="E352"/>
  <c r="D352"/>
  <c r="B352"/>
  <c r="J351"/>
  <c r="H351"/>
  <c r="G351"/>
  <c r="E351"/>
  <c r="D351"/>
  <c r="B351"/>
  <c r="J350"/>
  <c r="H350"/>
  <c r="G350"/>
  <c r="E350"/>
  <c r="D350"/>
  <c r="B350"/>
  <c r="J349"/>
  <c r="H349"/>
  <c r="G349"/>
  <c r="E349"/>
  <c r="D349"/>
  <c r="B349"/>
  <c r="J348"/>
  <c r="H348"/>
  <c r="G348"/>
  <c r="E348"/>
  <c r="D348"/>
  <c r="B348"/>
  <c r="J347"/>
  <c r="H347"/>
  <c r="G347"/>
  <c r="E347"/>
  <c r="D347"/>
  <c r="B347"/>
  <c r="J346"/>
  <c r="H346"/>
  <c r="G346"/>
  <c r="E346"/>
  <c r="D346"/>
  <c r="B346"/>
  <c r="J345"/>
  <c r="H345"/>
  <c r="G345"/>
  <c r="E345"/>
  <c r="D345"/>
  <c r="B345"/>
  <c r="J344"/>
  <c r="H344"/>
  <c r="G344"/>
  <c r="E344"/>
  <c r="D344"/>
  <c r="B344"/>
  <c r="J343"/>
  <c r="H343"/>
  <c r="G343"/>
  <c r="E343"/>
  <c r="D343"/>
  <c r="B343"/>
  <c r="J342"/>
  <c r="H342"/>
  <c r="G342"/>
  <c r="E342"/>
  <c r="D342"/>
  <c r="B342"/>
  <c r="J341"/>
  <c r="H341"/>
  <c r="G341"/>
  <c r="E341"/>
  <c r="D341"/>
  <c r="B341"/>
  <c r="J340"/>
  <c r="H340"/>
  <c r="G340"/>
  <c r="E340"/>
  <c r="D340"/>
  <c r="B340"/>
  <c r="J339"/>
  <c r="H339"/>
  <c r="G339"/>
  <c r="E339"/>
  <c r="D339"/>
  <c r="B339"/>
  <c r="J338"/>
  <c r="H338"/>
  <c r="G338"/>
  <c r="E338"/>
  <c r="D338"/>
  <c r="B338"/>
  <c r="J337"/>
  <c r="H337"/>
  <c r="G337"/>
  <c r="E337"/>
  <c r="D337"/>
  <c r="B337"/>
  <c r="J336"/>
  <c r="H336"/>
  <c r="G336"/>
  <c r="E336"/>
  <c r="D336"/>
  <c r="B336"/>
  <c r="J335"/>
  <c r="H335"/>
  <c r="G335"/>
  <c r="E335"/>
  <c r="D335"/>
  <c r="B335"/>
  <c r="J334"/>
  <c r="H334"/>
  <c r="G334"/>
  <c r="E334"/>
  <c r="D334"/>
  <c r="B334"/>
  <c r="J333"/>
  <c r="H333"/>
  <c r="G333"/>
  <c r="E333"/>
  <c r="D333"/>
  <c r="B333"/>
  <c r="J332"/>
  <c r="H332"/>
  <c r="G332"/>
  <c r="E332"/>
  <c r="D332"/>
  <c r="B332"/>
  <c r="J331"/>
  <c r="H331"/>
  <c r="G331"/>
  <c r="E331"/>
  <c r="D331"/>
  <c r="B331"/>
  <c r="J330"/>
  <c r="H330"/>
  <c r="G330"/>
  <c r="E330"/>
  <c r="D330"/>
  <c r="B330"/>
  <c r="J329"/>
  <c r="H329"/>
  <c r="G329"/>
  <c r="E329"/>
  <c r="D329"/>
  <c r="B329"/>
  <c r="J328"/>
  <c r="H328"/>
  <c r="G328"/>
  <c r="E328"/>
  <c r="D328"/>
  <c r="B328"/>
  <c r="J327"/>
  <c r="H327"/>
  <c r="G327"/>
  <c r="E327"/>
  <c r="D327"/>
  <c r="B327"/>
  <c r="J326"/>
  <c r="H326"/>
  <c r="G326"/>
  <c r="E326"/>
  <c r="D326"/>
  <c r="B326"/>
  <c r="J325"/>
  <c r="H325"/>
  <c r="G325"/>
  <c r="E325"/>
  <c r="D325"/>
  <c r="B325"/>
  <c r="J324"/>
  <c r="H324"/>
  <c r="G324"/>
  <c r="E324"/>
  <c r="D324"/>
  <c r="B324"/>
  <c r="J323"/>
  <c r="H323"/>
  <c r="G323"/>
  <c r="E323"/>
  <c r="D323"/>
  <c r="B323"/>
  <c r="J322"/>
  <c r="H322"/>
  <c r="G322"/>
  <c r="E322"/>
  <c r="D322"/>
  <c r="B322"/>
  <c r="J321"/>
  <c r="H321"/>
  <c r="G321"/>
  <c r="E321"/>
  <c r="D321"/>
  <c r="B321"/>
  <c r="J320"/>
  <c r="H320"/>
  <c r="G320"/>
  <c r="E320"/>
  <c r="D320"/>
  <c r="B320"/>
  <c r="J319"/>
  <c r="H319"/>
  <c r="G319"/>
  <c r="E319"/>
  <c r="D319"/>
  <c r="B319"/>
  <c r="J318"/>
  <c r="H318"/>
  <c r="G318"/>
  <c r="E318"/>
  <c r="D318"/>
  <c r="B318"/>
  <c r="J317"/>
  <c r="H317"/>
  <c r="G317"/>
  <c r="E317"/>
  <c r="D317"/>
  <c r="B317"/>
  <c r="J316"/>
  <c r="H316"/>
  <c r="G316"/>
  <c r="E316"/>
  <c r="D316"/>
  <c r="B316"/>
  <c r="J315"/>
  <c r="H315"/>
  <c r="G315"/>
  <c r="E315"/>
  <c r="D315"/>
  <c r="B315"/>
  <c r="J314"/>
  <c r="H314"/>
  <c r="G314"/>
  <c r="E314"/>
  <c r="D314"/>
  <c r="B314"/>
  <c r="J313"/>
  <c r="H313"/>
  <c r="G313"/>
  <c r="E313"/>
  <c r="D313"/>
  <c r="B313"/>
  <c r="J312"/>
  <c r="H312"/>
  <c r="G312"/>
  <c r="E312"/>
  <c r="D312"/>
  <c r="B312"/>
  <c r="J311"/>
  <c r="H311"/>
  <c r="G311"/>
  <c r="E311"/>
  <c r="D311"/>
  <c r="B311"/>
  <c r="J310"/>
  <c r="H310"/>
  <c r="G310"/>
  <c r="E310"/>
  <c r="D310"/>
  <c r="B310"/>
  <c r="J309"/>
  <c r="H309"/>
  <c r="G309"/>
  <c r="E309"/>
  <c r="D309"/>
  <c r="B309"/>
  <c r="J308"/>
  <c r="H308"/>
  <c r="G308"/>
  <c r="E308"/>
  <c r="D308"/>
  <c r="B308"/>
  <c r="J307"/>
  <c r="H307"/>
  <c r="G307"/>
  <c r="E307"/>
  <c r="D307"/>
  <c r="B307"/>
  <c r="J306"/>
  <c r="H306"/>
  <c r="G306"/>
  <c r="E306"/>
  <c r="D306"/>
  <c r="B306"/>
  <c r="J305"/>
  <c r="H305"/>
  <c r="G305"/>
  <c r="E305"/>
  <c r="D305"/>
  <c r="B305"/>
  <c r="J304"/>
  <c r="H304"/>
  <c r="G304"/>
  <c r="E304"/>
  <c r="D304"/>
  <c r="B304"/>
  <c r="J303"/>
  <c r="H303"/>
  <c r="G303"/>
  <c r="E303"/>
  <c r="D303"/>
  <c r="B303"/>
  <c r="J302"/>
  <c r="H302"/>
  <c r="G302"/>
  <c r="E302"/>
  <c r="D302"/>
  <c r="B302"/>
  <c r="J301"/>
  <c r="H301"/>
  <c r="G301"/>
  <c r="E301"/>
  <c r="D301"/>
  <c r="B301"/>
  <c r="J300"/>
  <c r="H300"/>
  <c r="G300"/>
  <c r="E300"/>
  <c r="D300"/>
  <c r="B300"/>
  <c r="J299"/>
  <c r="H299"/>
  <c r="G299"/>
  <c r="E299"/>
  <c r="D299"/>
  <c r="B299"/>
  <c r="J298"/>
  <c r="H298"/>
  <c r="G298"/>
  <c r="E298"/>
  <c r="D298"/>
  <c r="B298"/>
  <c r="J297"/>
  <c r="H297"/>
  <c r="G297"/>
  <c r="E297"/>
  <c r="D297"/>
  <c r="B297"/>
  <c r="J296"/>
  <c r="H296"/>
  <c r="G296"/>
  <c r="E296"/>
  <c r="D296"/>
  <c r="B296"/>
  <c r="J295"/>
  <c r="H295"/>
  <c r="G295"/>
  <c r="E295"/>
  <c r="D295"/>
  <c r="B295"/>
  <c r="J294"/>
  <c r="H294"/>
  <c r="G294"/>
  <c r="E294"/>
  <c r="D294"/>
  <c r="B294"/>
  <c r="J293"/>
  <c r="H293"/>
  <c r="G293"/>
  <c r="E293"/>
  <c r="D293"/>
  <c r="B293"/>
  <c r="J292"/>
  <c r="H292"/>
  <c r="G292"/>
  <c r="E292"/>
  <c r="D292"/>
  <c r="B292"/>
  <c r="J291"/>
  <c r="H291"/>
  <c r="G291"/>
  <c r="E291"/>
  <c r="D291"/>
  <c r="B291"/>
  <c r="J290"/>
  <c r="H290"/>
  <c r="G290"/>
  <c r="E290"/>
  <c r="D290"/>
  <c r="B290"/>
  <c r="J289"/>
  <c r="H289"/>
  <c r="G289"/>
  <c r="E289"/>
  <c r="D289"/>
  <c r="B289"/>
  <c r="J288"/>
  <c r="H288"/>
  <c r="G288"/>
  <c r="E288"/>
  <c r="D288"/>
  <c r="B288"/>
  <c r="J287"/>
  <c r="H287"/>
  <c r="G287"/>
  <c r="E287"/>
  <c r="D287"/>
  <c r="B287"/>
  <c r="J286"/>
  <c r="H286"/>
  <c r="G286"/>
  <c r="E286"/>
  <c r="D286"/>
  <c r="B286"/>
  <c r="J285"/>
  <c r="H285"/>
  <c r="G285"/>
  <c r="E285"/>
  <c r="D285"/>
  <c r="B285"/>
  <c r="J284"/>
  <c r="H284"/>
  <c r="G284"/>
  <c r="E284"/>
  <c r="D284"/>
  <c r="B284"/>
  <c r="J283"/>
  <c r="H283"/>
  <c r="G283"/>
  <c r="E283"/>
  <c r="D283"/>
  <c r="B283"/>
  <c r="J282"/>
  <c r="H282"/>
  <c r="G282"/>
  <c r="E282"/>
  <c r="D282"/>
  <c r="B282"/>
  <c r="J281"/>
  <c r="H281"/>
  <c r="G281"/>
  <c r="E281"/>
  <c r="D281"/>
  <c r="B281"/>
  <c r="J280"/>
  <c r="H280"/>
  <c r="G280"/>
  <c r="E280"/>
  <c r="D280"/>
  <c r="B280"/>
  <c r="J279"/>
  <c r="H279"/>
  <c r="G279"/>
  <c r="E279"/>
  <c r="D279"/>
  <c r="B279"/>
  <c r="J278"/>
  <c r="H278"/>
  <c r="G278"/>
  <c r="E278"/>
  <c r="D278"/>
  <c r="B278"/>
  <c r="J277"/>
  <c r="H277"/>
  <c r="G277"/>
  <c r="E277"/>
  <c r="D277"/>
  <c r="B277"/>
  <c r="J276"/>
  <c r="H276"/>
  <c r="G276"/>
  <c r="E276"/>
  <c r="D276"/>
  <c r="B276"/>
  <c r="J275"/>
  <c r="H275"/>
  <c r="G275"/>
  <c r="E275"/>
  <c r="D275"/>
  <c r="B275"/>
  <c r="J274"/>
  <c r="H274"/>
  <c r="G274"/>
  <c r="E274"/>
  <c r="D274"/>
  <c r="B274"/>
  <c r="J273"/>
  <c r="H273"/>
  <c r="G273"/>
  <c r="E273"/>
  <c r="D273"/>
  <c r="B273"/>
  <c r="J272"/>
  <c r="H272"/>
  <c r="G272"/>
  <c r="E272"/>
  <c r="D272"/>
  <c r="B272"/>
  <c r="J271"/>
  <c r="H271"/>
  <c r="G271"/>
  <c r="E271"/>
  <c r="D271"/>
  <c r="B271"/>
  <c r="J270"/>
  <c r="H270"/>
  <c r="G270"/>
  <c r="E270"/>
  <c r="D270"/>
  <c r="B270"/>
  <c r="J269"/>
  <c r="H269"/>
  <c r="G269"/>
  <c r="E269"/>
  <c r="D269"/>
  <c r="B269"/>
  <c r="J268"/>
  <c r="H268"/>
  <c r="G268"/>
  <c r="E268"/>
  <c r="D268"/>
  <c r="B268"/>
  <c r="J267"/>
  <c r="H267"/>
  <c r="G267"/>
  <c r="E267"/>
  <c r="D267"/>
  <c r="B267"/>
  <c r="J266"/>
  <c r="H266"/>
  <c r="G266"/>
  <c r="E266"/>
  <c r="D266"/>
  <c r="B266"/>
  <c r="J265"/>
  <c r="H265"/>
  <c r="G265"/>
  <c r="E265"/>
  <c r="D265"/>
  <c r="B265"/>
  <c r="J264"/>
  <c r="H264"/>
  <c r="G264"/>
  <c r="E264"/>
  <c r="D264"/>
  <c r="B264"/>
  <c r="J263"/>
  <c r="H263"/>
  <c r="G263"/>
  <c r="E263"/>
  <c r="D263"/>
  <c r="B263"/>
  <c r="J262"/>
  <c r="H262"/>
  <c r="G262"/>
  <c r="E262"/>
  <c r="D262"/>
  <c r="B262"/>
  <c r="J261"/>
  <c r="H261"/>
  <c r="G261"/>
  <c r="E261"/>
  <c r="D261"/>
  <c r="B261"/>
  <c r="J260"/>
  <c r="H260"/>
  <c r="G260"/>
  <c r="E260"/>
  <c r="D260"/>
  <c r="B260"/>
  <c r="J259"/>
  <c r="H259"/>
  <c r="G259"/>
  <c r="E259"/>
  <c r="D259"/>
  <c r="B259"/>
  <c r="J258"/>
  <c r="H258"/>
  <c r="G258"/>
  <c r="E258"/>
  <c r="D258"/>
  <c r="B258"/>
  <c r="J257"/>
  <c r="H257"/>
  <c r="G257"/>
  <c r="E257"/>
  <c r="D257"/>
  <c r="B257"/>
  <c r="J256"/>
  <c r="H256"/>
  <c r="G256"/>
  <c r="E256"/>
  <c r="D256"/>
  <c r="B256"/>
  <c r="J255"/>
  <c r="H255"/>
  <c r="G255"/>
  <c r="E255"/>
  <c r="D255"/>
  <c r="B255"/>
  <c r="J254"/>
  <c r="H254"/>
  <c r="G254"/>
  <c r="E254"/>
  <c r="D254"/>
  <c r="B254"/>
  <c r="J253"/>
  <c r="H253"/>
  <c r="G253"/>
  <c r="E253"/>
  <c r="D253"/>
  <c r="B253"/>
  <c r="J252"/>
  <c r="H252"/>
  <c r="G252"/>
  <c r="E252"/>
  <c r="D252"/>
  <c r="B252"/>
  <c r="J251"/>
  <c r="H251"/>
  <c r="G251"/>
  <c r="E251"/>
  <c r="D251"/>
  <c r="B251"/>
  <c r="J250"/>
  <c r="H250"/>
  <c r="G250"/>
  <c r="E250"/>
  <c r="D250"/>
  <c r="B250"/>
  <c r="J249"/>
  <c r="H249"/>
  <c r="G249"/>
  <c r="E249"/>
  <c r="D249"/>
  <c r="B249"/>
  <c r="J248"/>
  <c r="H248"/>
  <c r="G248"/>
  <c r="E248"/>
  <c r="D248"/>
  <c r="B248"/>
  <c r="J247"/>
  <c r="H247"/>
  <c r="G247"/>
  <c r="E247"/>
  <c r="D247"/>
  <c r="B247"/>
  <c r="J246"/>
  <c r="H246"/>
  <c r="G246"/>
  <c r="E246"/>
  <c r="D246"/>
  <c r="B246"/>
  <c r="J245"/>
  <c r="H245"/>
  <c r="G245"/>
  <c r="E245"/>
  <c r="D245"/>
  <c r="B245"/>
  <c r="J244"/>
  <c r="H244"/>
  <c r="G244"/>
  <c r="E244"/>
  <c r="D244"/>
  <c r="B244"/>
  <c r="J243"/>
  <c r="H243"/>
  <c r="G243"/>
  <c r="E243"/>
  <c r="D243"/>
  <c r="B243"/>
  <c r="J242"/>
  <c r="H242"/>
  <c r="G242"/>
  <c r="E242"/>
  <c r="D242"/>
  <c r="B242"/>
  <c r="J241"/>
  <c r="H241"/>
  <c r="G241"/>
  <c r="E241"/>
  <c r="D241"/>
  <c r="B241"/>
  <c r="J240"/>
  <c r="H240"/>
  <c r="G240"/>
  <c r="E240"/>
  <c r="D240"/>
  <c r="B240"/>
  <c r="J239"/>
  <c r="H239"/>
  <c r="G239"/>
  <c r="E239"/>
  <c r="D239"/>
  <c r="B239"/>
  <c r="J238"/>
  <c r="H238"/>
  <c r="G238"/>
  <c r="E238"/>
  <c r="D238"/>
  <c r="B238"/>
  <c r="J237"/>
  <c r="H237"/>
  <c r="G237"/>
  <c r="E237"/>
  <c r="D237"/>
  <c r="B237"/>
  <c r="J236"/>
  <c r="H236"/>
  <c r="G236"/>
  <c r="E236"/>
  <c r="D236"/>
  <c r="B236"/>
  <c r="J235"/>
  <c r="H235"/>
  <c r="G235"/>
  <c r="E235"/>
  <c r="D235"/>
  <c r="B235"/>
  <c r="J234"/>
  <c r="H234"/>
  <c r="G234"/>
  <c r="E234"/>
  <c r="D234"/>
  <c r="B234"/>
  <c r="J233"/>
  <c r="H233"/>
  <c r="G233"/>
  <c r="E233"/>
  <c r="D233"/>
  <c r="B233"/>
  <c r="J232"/>
  <c r="H232"/>
  <c r="G232"/>
  <c r="E232"/>
  <c r="D232"/>
  <c r="B232"/>
  <c r="J231"/>
  <c r="H231"/>
  <c r="G231"/>
  <c r="E231"/>
  <c r="D231"/>
  <c r="B231"/>
  <c r="J230"/>
  <c r="H230"/>
  <c r="G230"/>
  <c r="E230"/>
  <c r="D230"/>
  <c r="B230"/>
  <c r="J229"/>
  <c r="H229"/>
  <c r="G229"/>
  <c r="E229"/>
  <c r="D229"/>
  <c r="B229"/>
  <c r="J228"/>
  <c r="H228"/>
  <c r="G228"/>
  <c r="E228"/>
  <c r="D228"/>
  <c r="B228"/>
  <c r="J227"/>
  <c r="H227"/>
  <c r="G227"/>
  <c r="E227"/>
  <c r="D227"/>
  <c r="B227"/>
  <c r="J226"/>
  <c r="H226"/>
  <c r="G226"/>
  <c r="E226"/>
  <c r="D226"/>
  <c r="B226"/>
  <c r="J225"/>
  <c r="H225"/>
  <c r="G225"/>
  <c r="E225"/>
  <c r="D225"/>
  <c r="B225"/>
  <c r="J224"/>
  <c r="H224"/>
  <c r="G224"/>
  <c r="E224"/>
  <c r="D224"/>
  <c r="B224"/>
  <c r="J223"/>
  <c r="H223"/>
  <c r="G223"/>
  <c r="E223"/>
  <c r="D223"/>
  <c r="B223"/>
  <c r="J222"/>
  <c r="H222"/>
  <c r="G222"/>
  <c r="E222"/>
  <c r="D222"/>
  <c r="B222"/>
  <c r="J221"/>
  <c r="H221"/>
  <c r="G221"/>
  <c r="E221"/>
  <c r="D221"/>
  <c r="B221"/>
  <c r="J220"/>
  <c r="H220"/>
  <c r="G220"/>
  <c r="E220"/>
  <c r="D220"/>
  <c r="B220"/>
  <c r="J219"/>
  <c r="H219"/>
  <c r="G219"/>
  <c r="E219"/>
  <c r="D219"/>
  <c r="B219"/>
  <c r="J218"/>
  <c r="H218"/>
  <c r="G218"/>
  <c r="E218"/>
  <c r="D218"/>
  <c r="B218"/>
  <c r="J217"/>
  <c r="H217"/>
  <c r="G217"/>
  <c r="E217"/>
  <c r="D217"/>
  <c r="B217"/>
  <c r="J216"/>
  <c r="H216"/>
  <c r="G216"/>
  <c r="E216"/>
  <c r="D216"/>
  <c r="B216"/>
  <c r="J215"/>
  <c r="H215"/>
  <c r="G215"/>
  <c r="E215"/>
  <c r="D215"/>
  <c r="B215"/>
  <c r="J214"/>
  <c r="H214"/>
  <c r="G214"/>
  <c r="E214"/>
  <c r="D214"/>
  <c r="B214"/>
  <c r="J213"/>
  <c r="H213"/>
  <c r="G213"/>
  <c r="E213"/>
  <c r="D213"/>
  <c r="B213"/>
  <c r="J212"/>
  <c r="H212"/>
  <c r="G212"/>
  <c r="E212"/>
  <c r="D212"/>
  <c r="B212"/>
  <c r="J211"/>
  <c r="H211"/>
  <c r="G211"/>
  <c r="E211"/>
  <c r="D211"/>
  <c r="B211"/>
  <c r="J210"/>
  <c r="H210"/>
  <c r="G210"/>
  <c r="E210"/>
  <c r="D210"/>
  <c r="B210"/>
  <c r="J209"/>
  <c r="H209"/>
  <c r="G209"/>
  <c r="E209"/>
  <c r="D209"/>
  <c r="B209"/>
  <c r="J208"/>
  <c r="H208"/>
  <c r="G208"/>
  <c r="E208"/>
  <c r="D208"/>
  <c r="B208"/>
  <c r="J207"/>
  <c r="H207"/>
  <c r="G207"/>
  <c r="E207"/>
  <c r="D207"/>
  <c r="B207"/>
  <c r="J206"/>
  <c r="H206"/>
  <c r="G206"/>
  <c r="E206"/>
  <c r="D206"/>
  <c r="B206"/>
  <c r="J205"/>
  <c r="H205"/>
  <c r="G205"/>
  <c r="E205"/>
  <c r="D205"/>
  <c r="B205"/>
  <c r="J204"/>
  <c r="H204"/>
  <c r="G204"/>
  <c r="E204"/>
  <c r="D204"/>
  <c r="B204"/>
  <c r="J203"/>
  <c r="H203"/>
  <c r="G203"/>
  <c r="E203"/>
  <c r="D203"/>
  <c r="B203"/>
  <c r="J202"/>
  <c r="H202"/>
  <c r="G202"/>
  <c r="E202"/>
  <c r="D202"/>
  <c r="B202"/>
  <c r="J201"/>
  <c r="H201"/>
  <c r="G201"/>
  <c r="E201"/>
  <c r="D201"/>
  <c r="B201"/>
  <c r="J200"/>
  <c r="H200"/>
  <c r="G200"/>
  <c r="E200"/>
  <c r="D200"/>
  <c r="B200"/>
  <c r="J199"/>
  <c r="H199"/>
  <c r="G199"/>
  <c r="E199"/>
  <c r="D199"/>
  <c r="B199"/>
  <c r="J198"/>
  <c r="H198"/>
  <c r="G198"/>
  <c r="E198"/>
  <c r="D198"/>
  <c r="B198"/>
  <c r="J197"/>
  <c r="H197"/>
  <c r="G197"/>
  <c r="E197"/>
  <c r="D197"/>
  <c r="B197"/>
  <c r="J196"/>
  <c r="H196"/>
  <c r="G196"/>
  <c r="E196"/>
  <c r="D196"/>
  <c r="B196"/>
  <c r="J195"/>
  <c r="H195"/>
  <c r="G195"/>
  <c r="E195"/>
  <c r="D195"/>
  <c r="B195"/>
  <c r="J194"/>
  <c r="H194"/>
  <c r="G194"/>
  <c r="E194"/>
  <c r="D194"/>
  <c r="B194"/>
  <c r="J193"/>
  <c r="H193"/>
  <c r="G193"/>
  <c r="E193"/>
  <c r="D193"/>
  <c r="B193"/>
  <c r="J192"/>
  <c r="H192"/>
  <c r="G192"/>
  <c r="E192"/>
  <c r="D192"/>
  <c r="B192"/>
  <c r="J191"/>
  <c r="H191"/>
  <c r="G191"/>
  <c r="E191"/>
  <c r="D191"/>
  <c r="B191"/>
  <c r="J190"/>
  <c r="H190"/>
  <c r="G190"/>
  <c r="E190"/>
  <c r="D190"/>
  <c r="B190"/>
  <c r="J189"/>
  <c r="H189"/>
  <c r="G189"/>
  <c r="E189"/>
  <c r="D189"/>
  <c r="B189"/>
  <c r="J188"/>
  <c r="H188"/>
  <c r="G188"/>
  <c r="E188"/>
  <c r="D188"/>
  <c r="B188"/>
  <c r="J187"/>
  <c r="H187"/>
  <c r="G187"/>
  <c r="E187"/>
  <c r="D187"/>
  <c r="B187"/>
  <c r="J186"/>
  <c r="H186"/>
  <c r="G186"/>
  <c r="E186"/>
  <c r="D186"/>
  <c r="B186"/>
  <c r="J185"/>
  <c r="H185"/>
  <c r="G185"/>
  <c r="E185"/>
  <c r="D185"/>
  <c r="B185"/>
  <c r="J184"/>
  <c r="H184"/>
  <c r="G184"/>
  <c r="E184"/>
  <c r="D184"/>
  <c r="B184"/>
  <c r="J183"/>
  <c r="H183"/>
  <c r="G183"/>
  <c r="E183"/>
  <c r="D183"/>
  <c r="B183"/>
  <c r="J182"/>
  <c r="H182"/>
  <c r="G182"/>
  <c r="E182"/>
  <c r="D182"/>
  <c r="B182"/>
  <c r="J181"/>
  <c r="H181"/>
  <c r="G181"/>
  <c r="E181"/>
  <c r="D181"/>
  <c r="B181"/>
  <c r="J180"/>
  <c r="H180"/>
  <c r="G180"/>
  <c r="E180"/>
  <c r="D180"/>
  <c r="B180"/>
  <c r="J179"/>
  <c r="H179"/>
  <c r="G179"/>
  <c r="E179"/>
  <c r="D179"/>
  <c r="B179"/>
  <c r="J178"/>
  <c r="H178"/>
  <c r="G178"/>
  <c r="E178"/>
  <c r="D178"/>
  <c r="B178"/>
  <c r="J177"/>
  <c r="H177"/>
  <c r="G177"/>
  <c r="E177"/>
  <c r="D177"/>
  <c r="B177"/>
  <c r="J176"/>
  <c r="H176"/>
  <c r="G176"/>
  <c r="E176"/>
  <c r="D176"/>
  <c r="B176"/>
  <c r="J175"/>
  <c r="H175"/>
  <c r="G175"/>
  <c r="E175"/>
  <c r="D175"/>
  <c r="B175"/>
  <c r="J174"/>
  <c r="H174"/>
  <c r="G174"/>
  <c r="E174"/>
  <c r="D174"/>
  <c r="B174"/>
  <c r="J173"/>
  <c r="H173"/>
  <c r="G173"/>
  <c r="E173"/>
  <c r="D173"/>
  <c r="B173"/>
  <c r="J172"/>
  <c r="H172"/>
  <c r="G172"/>
  <c r="E172"/>
  <c r="D172"/>
  <c r="B172"/>
  <c r="J171"/>
  <c r="H171"/>
  <c r="G171"/>
  <c r="E171"/>
  <c r="D171"/>
  <c r="B171"/>
  <c r="J170"/>
  <c r="H170"/>
  <c r="G170"/>
  <c r="E170"/>
  <c r="D170"/>
  <c r="B170"/>
  <c r="J169"/>
  <c r="H169"/>
  <c r="G169"/>
  <c r="E169"/>
  <c r="D169"/>
  <c r="B169"/>
  <c r="J168"/>
  <c r="H168"/>
  <c r="G168"/>
  <c r="E168"/>
  <c r="D168"/>
  <c r="B168"/>
  <c r="J167"/>
  <c r="H167"/>
  <c r="G167"/>
  <c r="E167"/>
  <c r="D167"/>
  <c r="B167"/>
  <c r="J166"/>
  <c r="H166"/>
  <c r="G166"/>
  <c r="E166"/>
  <c r="D166"/>
  <c r="B166"/>
  <c r="J165"/>
  <c r="H165"/>
  <c r="G165"/>
  <c r="E165"/>
  <c r="D165"/>
  <c r="B165"/>
  <c r="J164"/>
  <c r="H164"/>
  <c r="G164"/>
  <c r="E164"/>
  <c r="D164"/>
  <c r="B164"/>
  <c r="J163"/>
  <c r="H163"/>
  <c r="G163"/>
  <c r="E163"/>
  <c r="D163"/>
  <c r="B163"/>
  <c r="J162"/>
  <c r="H162"/>
  <c r="G162"/>
  <c r="E162"/>
  <c r="D162"/>
  <c r="B162"/>
  <c r="J161"/>
  <c r="H161"/>
  <c r="G161"/>
  <c r="E161"/>
  <c r="D161"/>
  <c r="B161"/>
  <c r="J160"/>
  <c r="H160"/>
  <c r="G160"/>
  <c r="E160"/>
  <c r="D160"/>
  <c r="B160"/>
  <c r="J159"/>
  <c r="H159"/>
  <c r="G159"/>
  <c r="E159"/>
  <c r="D159"/>
  <c r="B159"/>
  <c r="J158"/>
  <c r="H158"/>
  <c r="G158"/>
  <c r="E158"/>
  <c r="D158"/>
  <c r="B158"/>
  <c r="J157"/>
  <c r="H157"/>
  <c r="G157"/>
  <c r="E157"/>
  <c r="D157"/>
  <c r="B157"/>
  <c r="J156"/>
  <c r="H156"/>
  <c r="G156"/>
  <c r="E156"/>
  <c r="D156"/>
  <c r="B156"/>
  <c r="J155"/>
  <c r="H155"/>
  <c r="G155"/>
  <c r="E155"/>
  <c r="D155"/>
  <c r="B155"/>
  <c r="J154"/>
  <c r="H154"/>
  <c r="G154"/>
  <c r="E154"/>
  <c r="D154"/>
  <c r="B154"/>
  <c r="J153"/>
  <c r="H153"/>
  <c r="G153"/>
  <c r="E153"/>
  <c r="D153"/>
  <c r="B153"/>
  <c r="J152"/>
  <c r="H152"/>
  <c r="G152"/>
  <c r="E152"/>
  <c r="D152"/>
  <c r="B152"/>
  <c r="J151"/>
  <c r="H151"/>
  <c r="G151"/>
  <c r="E151"/>
  <c r="D151"/>
  <c r="B151"/>
  <c r="J150"/>
  <c r="H150"/>
  <c r="G150"/>
  <c r="E150"/>
  <c r="D150"/>
  <c r="B150"/>
  <c r="J149"/>
  <c r="H149"/>
  <c r="G149"/>
  <c r="E149"/>
  <c r="D149"/>
  <c r="B149"/>
  <c r="J148"/>
  <c r="H148"/>
  <c r="G148"/>
  <c r="E148"/>
  <c r="D148"/>
  <c r="B148"/>
  <c r="J147"/>
  <c r="H147"/>
  <c r="G147"/>
  <c r="E147"/>
  <c r="D147"/>
  <c r="B147"/>
  <c r="J146"/>
  <c r="H146"/>
  <c r="G146"/>
  <c r="E146"/>
  <c r="D146"/>
  <c r="B146"/>
  <c r="J145"/>
  <c r="H145"/>
  <c r="G145"/>
  <c r="E145"/>
  <c r="D145"/>
  <c r="B145"/>
  <c r="J144"/>
  <c r="H144"/>
  <c r="G144"/>
  <c r="E144"/>
  <c r="D144"/>
  <c r="B144"/>
  <c r="J143"/>
  <c r="H143"/>
  <c r="G143"/>
  <c r="E143"/>
  <c r="D143"/>
  <c r="B143"/>
  <c r="J142"/>
  <c r="H142"/>
  <c r="G142"/>
  <c r="E142"/>
  <c r="D142"/>
  <c r="B142"/>
  <c r="J141"/>
  <c r="H141"/>
  <c r="G141"/>
  <c r="E141"/>
  <c r="D141"/>
  <c r="B141"/>
  <c r="J140"/>
  <c r="H140"/>
  <c r="G140"/>
  <c r="E140"/>
  <c r="D140"/>
  <c r="B140"/>
  <c r="J139"/>
  <c r="H139"/>
  <c r="G139"/>
  <c r="E139"/>
  <c r="D139"/>
  <c r="B139"/>
  <c r="J138"/>
  <c r="H138"/>
  <c r="G138"/>
  <c r="E138"/>
  <c r="D138"/>
  <c r="B138"/>
  <c r="J137"/>
  <c r="H137"/>
  <c r="G137"/>
  <c r="E137"/>
  <c r="D137"/>
  <c r="B137"/>
  <c r="J136"/>
  <c r="H136"/>
  <c r="G136"/>
  <c r="E136"/>
  <c r="D136"/>
  <c r="B136"/>
  <c r="J135"/>
  <c r="H135"/>
  <c r="G135"/>
  <c r="E135"/>
  <c r="D135"/>
  <c r="B135"/>
  <c r="J134"/>
  <c r="H134"/>
  <c r="G134"/>
  <c r="E134"/>
  <c r="D134"/>
  <c r="B134"/>
  <c r="J133"/>
  <c r="H133"/>
  <c r="G133"/>
  <c r="E133"/>
  <c r="D133"/>
  <c r="B133"/>
  <c r="J132"/>
  <c r="H132"/>
  <c r="G132"/>
  <c r="E132"/>
  <c r="D132"/>
  <c r="B132"/>
  <c r="J131"/>
  <c r="H131"/>
  <c r="G131"/>
  <c r="E131"/>
  <c r="D131"/>
  <c r="B131"/>
  <c r="J130"/>
  <c r="H130"/>
  <c r="G130"/>
  <c r="E130"/>
  <c r="D130"/>
  <c r="B130"/>
  <c r="J129"/>
  <c r="H129"/>
  <c r="G129"/>
  <c r="E129"/>
  <c r="D129"/>
  <c r="B129"/>
  <c r="J128"/>
  <c r="H128"/>
  <c r="G128"/>
  <c r="E128"/>
  <c r="D128"/>
  <c r="B128"/>
  <c r="J127"/>
  <c r="H127"/>
  <c r="G127"/>
  <c r="E127"/>
  <c r="D127"/>
  <c r="B127"/>
  <c r="J126"/>
  <c r="H126"/>
  <c r="G126"/>
  <c r="E126"/>
  <c r="D126"/>
  <c r="B126"/>
  <c r="J125"/>
  <c r="H125"/>
  <c r="G125"/>
  <c r="E125"/>
  <c r="D125"/>
  <c r="B125"/>
  <c r="J124"/>
  <c r="H124"/>
  <c r="G124"/>
  <c r="E124"/>
  <c r="D124"/>
  <c r="B124"/>
  <c r="J123"/>
  <c r="H123"/>
  <c r="G123"/>
  <c r="E123"/>
  <c r="D123"/>
  <c r="B123"/>
  <c r="J122"/>
  <c r="H122"/>
  <c r="G122"/>
  <c r="E122"/>
  <c r="D122"/>
  <c r="B122"/>
  <c r="J121"/>
  <c r="H121"/>
  <c r="G121"/>
  <c r="E121"/>
  <c r="D121"/>
  <c r="B121"/>
  <c r="J120"/>
  <c r="H120"/>
  <c r="G120"/>
  <c r="E120"/>
  <c r="D120"/>
  <c r="B120"/>
  <c r="J119"/>
  <c r="H119"/>
  <c r="G119"/>
  <c r="E119"/>
  <c r="D119"/>
  <c r="B119"/>
  <c r="J118"/>
  <c r="H118"/>
  <c r="G118"/>
  <c r="E118"/>
  <c r="D118"/>
  <c r="B118"/>
  <c r="J117"/>
  <c r="H117"/>
  <c r="G117"/>
  <c r="E117"/>
  <c r="D117"/>
  <c r="B117"/>
  <c r="J116"/>
  <c r="H116"/>
  <c r="G116"/>
  <c r="E116"/>
  <c r="D116"/>
  <c r="B116"/>
  <c r="J115"/>
  <c r="H115"/>
  <c r="G115"/>
  <c r="E115"/>
  <c r="D115"/>
  <c r="B115"/>
  <c r="J114"/>
  <c r="H114"/>
  <c r="G114"/>
  <c r="E114"/>
  <c r="D114"/>
  <c r="B114"/>
  <c r="J113"/>
  <c r="H113"/>
  <c r="G113"/>
  <c r="E113"/>
  <c r="D113"/>
  <c r="B113"/>
  <c r="J112"/>
  <c r="H112"/>
  <c r="G112"/>
  <c r="E112"/>
  <c r="D112"/>
  <c r="B112"/>
  <c r="J111"/>
  <c r="H111"/>
  <c r="G111"/>
  <c r="E111"/>
  <c r="D111"/>
  <c r="B111"/>
  <c r="J110"/>
  <c r="H110"/>
  <c r="G110"/>
  <c r="E110"/>
  <c r="D110"/>
  <c r="B110"/>
  <c r="J109"/>
  <c r="H109"/>
  <c r="G109"/>
  <c r="E109"/>
  <c r="D109"/>
  <c r="B109"/>
  <c r="J108"/>
  <c r="H108"/>
  <c r="G108"/>
  <c r="E108"/>
  <c r="D108"/>
  <c r="B108"/>
  <c r="J107"/>
  <c r="H107"/>
  <c r="G107"/>
  <c r="E107"/>
  <c r="D107"/>
  <c r="B107"/>
  <c r="J106"/>
  <c r="H106"/>
  <c r="G106"/>
  <c r="E106"/>
  <c r="D106"/>
  <c r="B106"/>
  <c r="J105"/>
  <c r="H105"/>
  <c r="G105"/>
  <c r="E105"/>
  <c r="D105"/>
  <c r="B105"/>
  <c r="J104"/>
  <c r="H104"/>
  <c r="G104"/>
  <c r="E104"/>
  <c r="D104"/>
  <c r="B104"/>
  <c r="J103"/>
  <c r="H103"/>
  <c r="G103"/>
  <c r="E103"/>
  <c r="D103"/>
  <c r="B103"/>
  <c r="J102"/>
  <c r="H102"/>
  <c r="G102"/>
  <c r="E102"/>
  <c r="D102"/>
  <c r="B102"/>
  <c r="J101"/>
  <c r="H101"/>
  <c r="G101"/>
  <c r="E101"/>
  <c r="D101"/>
  <c r="B101"/>
  <c r="J100"/>
  <c r="H100"/>
  <c r="G100"/>
  <c r="E100"/>
  <c r="D100"/>
  <c r="B100"/>
  <c r="J99"/>
  <c r="H99"/>
  <c r="G99"/>
  <c r="E99"/>
  <c r="D99"/>
  <c r="B99"/>
  <c r="J98"/>
  <c r="H98"/>
  <c r="G98"/>
  <c r="E98"/>
  <c r="D98"/>
  <c r="B98"/>
  <c r="J97"/>
  <c r="H97"/>
  <c r="G97"/>
  <c r="E97"/>
  <c r="D97"/>
  <c r="B97"/>
  <c r="J96"/>
  <c r="H96"/>
  <c r="G96"/>
  <c r="E96"/>
  <c r="D96"/>
  <c r="B96"/>
  <c r="J95"/>
  <c r="H95"/>
  <c r="G95"/>
  <c r="E95"/>
  <c r="D95"/>
  <c r="B95"/>
  <c r="J94"/>
  <c r="H94"/>
  <c r="G94"/>
  <c r="E94"/>
  <c r="D94"/>
  <c r="B94"/>
  <c r="J93"/>
  <c r="H93"/>
  <c r="G93"/>
  <c r="E93"/>
  <c r="D93"/>
  <c r="B93"/>
  <c r="J92"/>
  <c r="H92"/>
  <c r="G92"/>
  <c r="E92"/>
  <c r="D92"/>
  <c r="B92"/>
  <c r="J91"/>
  <c r="H91"/>
  <c r="G91"/>
  <c r="E91"/>
  <c r="D91"/>
  <c r="B91"/>
  <c r="J90"/>
  <c r="H90"/>
  <c r="G90"/>
  <c r="E90"/>
  <c r="D90"/>
  <c r="B90"/>
  <c r="J89"/>
  <c r="H89"/>
  <c r="G89"/>
  <c r="E89"/>
  <c r="D89"/>
  <c r="B89"/>
  <c r="J88"/>
  <c r="H88"/>
  <c r="G88"/>
  <c r="E88"/>
  <c r="D88"/>
  <c r="B88"/>
  <c r="J87"/>
  <c r="H87"/>
  <c r="G87"/>
  <c r="E87"/>
  <c r="D87"/>
  <c r="B87"/>
  <c r="J86"/>
  <c r="H86"/>
  <c r="G86"/>
  <c r="E86"/>
  <c r="D86"/>
  <c r="B86"/>
  <c r="J85"/>
  <c r="H85"/>
  <c r="G85"/>
  <c r="E85"/>
  <c r="D85"/>
  <c r="B85"/>
  <c r="J84"/>
  <c r="H84"/>
  <c r="G84"/>
  <c r="E84"/>
  <c r="D84"/>
  <c r="B84"/>
  <c r="J83"/>
  <c r="H83"/>
  <c r="G83"/>
  <c r="E83"/>
  <c r="D83"/>
  <c r="B83"/>
  <c r="J82"/>
  <c r="H82"/>
  <c r="G82"/>
  <c r="E82"/>
  <c r="D82"/>
  <c r="B82"/>
  <c r="J81"/>
  <c r="H81"/>
  <c r="G81"/>
  <c r="E81"/>
  <c r="D81"/>
  <c r="B81"/>
  <c r="J80"/>
  <c r="H80"/>
  <c r="G80"/>
  <c r="E80"/>
  <c r="D80"/>
  <c r="B80"/>
  <c r="J79"/>
  <c r="H79"/>
  <c r="G79"/>
  <c r="E79"/>
  <c r="D79"/>
  <c r="B79"/>
  <c r="J78"/>
  <c r="H78"/>
  <c r="G78"/>
  <c r="E78"/>
  <c r="D78"/>
  <c r="B78"/>
  <c r="J77"/>
  <c r="H77"/>
  <c r="G77"/>
  <c r="E77"/>
  <c r="D77"/>
  <c r="B77"/>
  <c r="J76"/>
  <c r="H76"/>
  <c r="G76"/>
  <c r="E76"/>
  <c r="D76"/>
  <c r="B76"/>
  <c r="J75"/>
  <c r="H75"/>
  <c r="G75"/>
  <c r="E75"/>
  <c r="D75"/>
  <c r="B75"/>
  <c r="J74"/>
  <c r="H74"/>
  <c r="G74"/>
  <c r="E74"/>
  <c r="D74"/>
  <c r="B74"/>
  <c r="J73"/>
  <c r="H73"/>
  <c r="G73"/>
  <c r="E73"/>
  <c r="D73"/>
  <c r="B73"/>
  <c r="J72"/>
  <c r="H72"/>
  <c r="G72"/>
  <c r="E72"/>
  <c r="D72"/>
  <c r="B72"/>
  <c r="J71"/>
  <c r="H71"/>
  <c r="G71"/>
  <c r="E71"/>
  <c r="D71"/>
  <c r="B71"/>
  <c r="J70"/>
  <c r="H70"/>
  <c r="G70"/>
  <c r="E70"/>
  <c r="D70"/>
  <c r="B70"/>
  <c r="J69"/>
  <c r="H69"/>
  <c r="G69"/>
  <c r="E69"/>
  <c r="D69"/>
  <c r="B69"/>
  <c r="J68"/>
  <c r="H68"/>
  <c r="G68"/>
  <c r="E68"/>
  <c r="D68"/>
  <c r="B68"/>
  <c r="J67"/>
  <c r="H67"/>
  <c r="G67"/>
  <c r="E67"/>
  <c r="D67"/>
  <c r="B67"/>
  <c r="J66"/>
  <c r="H66"/>
  <c r="G66"/>
  <c r="E66"/>
  <c r="D66"/>
  <c r="B66"/>
  <c r="J65"/>
  <c r="H65"/>
  <c r="G65"/>
  <c r="E65"/>
  <c r="D65"/>
  <c r="B65"/>
  <c r="J64"/>
  <c r="H64"/>
  <c r="G64"/>
  <c r="E64"/>
  <c r="D64"/>
  <c r="B64"/>
  <c r="J63"/>
  <c r="H63"/>
  <c r="G63"/>
  <c r="E63"/>
  <c r="D63"/>
  <c r="B63"/>
  <c r="J62"/>
  <c r="H62"/>
  <c r="G62"/>
  <c r="E62"/>
  <c r="D62"/>
  <c r="B62"/>
  <c r="J61"/>
  <c r="H61"/>
  <c r="G61"/>
  <c r="E61"/>
  <c r="D61"/>
  <c r="B61"/>
  <c r="J60"/>
  <c r="H60"/>
  <c r="G60"/>
  <c r="E60"/>
  <c r="D60"/>
  <c r="B60"/>
  <c r="J59"/>
  <c r="H59"/>
  <c r="G59"/>
  <c r="E59"/>
  <c r="D59"/>
  <c r="B59"/>
  <c r="J58"/>
  <c r="H58"/>
  <c r="G58"/>
  <c r="E58"/>
  <c r="D58"/>
  <c r="B58"/>
  <c r="J57"/>
  <c r="H57"/>
  <c r="G57"/>
  <c r="E57"/>
  <c r="D57"/>
  <c r="B57"/>
  <c r="J56"/>
  <c r="H56"/>
  <c r="G56"/>
  <c r="E56"/>
  <c r="D56"/>
  <c r="B56"/>
  <c r="J55"/>
  <c r="H55"/>
  <c r="G55"/>
  <c r="E55"/>
  <c r="D55"/>
  <c r="B55"/>
  <c r="J54"/>
  <c r="H54"/>
  <c r="G54"/>
  <c r="E54"/>
  <c r="D54"/>
  <c r="B54"/>
  <c r="J53"/>
  <c r="H53"/>
  <c r="G53"/>
  <c r="E53"/>
  <c r="D53"/>
  <c r="B53"/>
  <c r="J52"/>
  <c r="H52"/>
  <c r="G52"/>
  <c r="E52"/>
  <c r="D52"/>
  <c r="B52"/>
  <c r="J51"/>
  <c r="H51"/>
  <c r="G51"/>
  <c r="E51"/>
  <c r="D51"/>
  <c r="B51"/>
  <c r="J50"/>
  <c r="H50"/>
  <c r="G50"/>
  <c r="E50"/>
  <c r="D50"/>
  <c r="B50"/>
  <c r="J49"/>
  <c r="H49"/>
  <c r="G49"/>
  <c r="E49"/>
  <c r="D49"/>
  <c r="B49"/>
  <c r="J48"/>
  <c r="H48"/>
  <c r="G48"/>
  <c r="E48"/>
  <c r="D48"/>
  <c r="B48"/>
  <c r="J47"/>
  <c r="H47"/>
  <c r="G47"/>
  <c r="E47"/>
  <c r="D47"/>
  <c r="B47"/>
  <c r="J46"/>
  <c r="H46"/>
  <c r="G46"/>
  <c r="E46"/>
  <c r="D46"/>
  <c r="B46"/>
  <c r="J45"/>
  <c r="H45"/>
  <c r="G45"/>
  <c r="E45"/>
  <c r="D45"/>
  <c r="B45"/>
  <c r="J44"/>
  <c r="H44"/>
  <c r="G44"/>
  <c r="E44"/>
  <c r="D44"/>
  <c r="B44"/>
  <c r="J43"/>
  <c r="H43"/>
  <c r="G43"/>
  <c r="E43"/>
  <c r="D43"/>
  <c r="B43"/>
  <c r="J42"/>
  <c r="H42"/>
  <c r="G42"/>
  <c r="E42"/>
  <c r="D42"/>
  <c r="B42"/>
  <c r="J41"/>
  <c r="H41"/>
  <c r="G41"/>
  <c r="E41"/>
  <c r="D41"/>
  <c r="B41"/>
  <c r="J40"/>
  <c r="H40"/>
  <c r="G40"/>
  <c r="E40"/>
  <c r="D40"/>
  <c r="B40"/>
  <c r="J39"/>
  <c r="H39"/>
  <c r="G39"/>
  <c r="E39"/>
  <c r="D39"/>
  <c r="B39"/>
  <c r="J38"/>
  <c r="H38"/>
  <c r="G38"/>
  <c r="E38"/>
  <c r="D38"/>
  <c r="B38"/>
  <c r="J37"/>
  <c r="H37"/>
  <c r="G37"/>
  <c r="E37"/>
  <c r="D37"/>
  <c r="B37"/>
  <c r="J36"/>
  <c r="H36"/>
  <c r="G36"/>
  <c r="E36"/>
  <c r="D36"/>
  <c r="B36"/>
  <c r="J35"/>
  <c r="H35"/>
  <c r="G35"/>
  <c r="E35"/>
  <c r="D35"/>
  <c r="B35"/>
  <c r="J34"/>
  <c r="H34"/>
  <c r="G34"/>
  <c r="E34"/>
  <c r="D34"/>
  <c r="B34"/>
  <c r="J33"/>
  <c r="H33"/>
  <c r="G33"/>
  <c r="E33"/>
  <c r="D33"/>
  <c r="B33"/>
  <c r="J32"/>
  <c r="H32"/>
  <c r="G32"/>
  <c r="E32"/>
  <c r="D32"/>
  <c r="B32"/>
  <c r="J31"/>
  <c r="H31"/>
  <c r="G31"/>
  <c r="E31"/>
  <c r="D31"/>
  <c r="B31"/>
  <c r="J30"/>
  <c r="H30"/>
  <c r="G30"/>
  <c r="E30"/>
  <c r="D30"/>
  <c r="B30"/>
  <c r="J29"/>
  <c r="H29"/>
  <c r="G29"/>
  <c r="E29"/>
  <c r="D29"/>
  <c r="B29"/>
  <c r="J28"/>
  <c r="H28"/>
  <c r="G28"/>
  <c r="E28"/>
  <c r="D28"/>
  <c r="B28"/>
  <c r="J27"/>
  <c r="H27"/>
  <c r="G27"/>
  <c r="E27"/>
  <c r="D27"/>
  <c r="B27"/>
  <c r="J26"/>
  <c r="H26"/>
  <c r="G26"/>
  <c r="E26"/>
  <c r="D26"/>
  <c r="B26"/>
  <c r="J25"/>
  <c r="H25"/>
  <c r="G25"/>
  <c r="E25"/>
  <c r="D25"/>
  <c r="B25"/>
  <c r="J24"/>
  <c r="H24"/>
  <c r="G24"/>
  <c r="E24"/>
  <c r="D24"/>
  <c r="B24"/>
  <c r="J23"/>
  <c r="H23"/>
  <c r="G23"/>
  <c r="E23"/>
  <c r="D23"/>
  <c r="B23"/>
  <c r="J22"/>
  <c r="H22"/>
  <c r="G22"/>
  <c r="E22"/>
  <c r="D22"/>
  <c r="B22"/>
  <c r="J21"/>
  <c r="H21"/>
  <c r="G21"/>
  <c r="E21"/>
  <c r="D21"/>
  <c r="B21"/>
  <c r="J20"/>
  <c r="H20"/>
  <c r="G20"/>
  <c r="E20"/>
  <c r="D20"/>
  <c r="B20"/>
  <c r="J19"/>
  <c r="H19"/>
  <c r="G19"/>
  <c r="E19"/>
  <c r="D19"/>
  <c r="B19"/>
  <c r="J18"/>
  <c r="H18"/>
  <c r="G18"/>
  <c r="E18"/>
  <c r="D18"/>
  <c r="B18"/>
  <c r="J17"/>
  <c r="H17"/>
  <c r="G17"/>
  <c r="E17"/>
  <c r="D17"/>
  <c r="B17"/>
  <c r="J16"/>
  <c r="H16"/>
  <c r="G16"/>
  <c r="E16"/>
  <c r="D16"/>
  <c r="B16"/>
  <c r="J15"/>
  <c r="H15"/>
  <c r="G15"/>
  <c r="E15"/>
  <c r="D15"/>
  <c r="B15"/>
  <c r="J14"/>
  <c r="H14"/>
  <c r="G14"/>
  <c r="E14"/>
  <c r="D14"/>
  <c r="B14"/>
  <c r="J13"/>
  <c r="H13"/>
  <c r="G13"/>
  <c r="E13"/>
  <c r="D13"/>
  <c r="B13"/>
  <c r="J12"/>
  <c r="H12"/>
  <c r="G12"/>
  <c r="E12"/>
  <c r="D12"/>
  <c r="B12"/>
  <c r="J11"/>
  <c r="H11"/>
  <c r="G11"/>
  <c r="E11"/>
  <c r="D11"/>
  <c r="B11"/>
  <c r="J10"/>
  <c r="H10"/>
  <c r="G10"/>
  <c r="E10"/>
  <c r="D10"/>
  <c r="B10"/>
  <c r="J9"/>
  <c r="H9"/>
  <c r="G9"/>
  <c r="E9"/>
  <c r="D9"/>
  <c r="B9"/>
  <c r="J8"/>
  <c r="H8"/>
  <c r="G8"/>
  <c r="E8"/>
  <c r="D8"/>
  <c r="B8"/>
  <c r="J7"/>
  <c r="H7"/>
  <c r="G7"/>
  <c r="E7"/>
  <c r="D7"/>
  <c r="B7"/>
  <c r="J6"/>
  <c r="H6"/>
  <c r="G6"/>
  <c r="E6"/>
  <c r="D6"/>
  <c r="B6"/>
  <c r="J5"/>
  <c r="H5"/>
  <c r="G5"/>
  <c r="E5"/>
  <c r="D5"/>
  <c r="B5"/>
  <c r="J4"/>
  <c r="H4"/>
  <c r="G4"/>
  <c r="E4"/>
  <c r="D4"/>
  <c r="B4"/>
  <c r="J3"/>
  <c r="H3"/>
  <c r="G3"/>
  <c r="E3"/>
  <c r="D3"/>
  <c r="B3"/>
  <c r="M7" i="9"/>
  <c r="M7" i="8"/>
  <c r="K44" i="6"/>
  <c r="J44"/>
  <c r="I44"/>
  <c r="H44"/>
  <c r="G44"/>
  <c r="F44"/>
  <c r="E44"/>
  <c r="D44"/>
  <c r="C44"/>
  <c r="K43"/>
  <c r="J43"/>
  <c r="I43"/>
  <c r="H43"/>
  <c r="G43"/>
  <c r="F43"/>
  <c r="E43"/>
  <c r="D43"/>
  <c r="C43"/>
  <c r="K42"/>
  <c r="J42"/>
  <c r="I42"/>
  <c r="H42"/>
  <c r="G42"/>
  <c r="F42"/>
  <c r="E42"/>
  <c r="D42"/>
  <c r="C42"/>
  <c r="K41"/>
  <c r="J41"/>
  <c r="I41"/>
  <c r="H41"/>
  <c r="G41"/>
  <c r="F41"/>
  <c r="E41"/>
  <c r="D41"/>
  <c r="C41"/>
  <c r="K40"/>
  <c r="J40"/>
  <c r="I40"/>
  <c r="H40"/>
  <c r="G40"/>
  <c r="F40"/>
  <c r="E40"/>
  <c r="D40"/>
  <c r="C40"/>
  <c r="K39"/>
  <c r="J39"/>
  <c r="I39"/>
  <c r="H39"/>
  <c r="G39"/>
  <c r="F39"/>
  <c r="E39"/>
  <c r="D39"/>
  <c r="C39"/>
  <c r="K38"/>
  <c r="J38"/>
  <c r="I38"/>
  <c r="H38"/>
  <c r="G38"/>
  <c r="F38"/>
  <c r="E38"/>
  <c r="D38"/>
  <c r="C38"/>
  <c r="K37"/>
  <c r="J37"/>
  <c r="I37"/>
  <c r="H37"/>
  <c r="G37"/>
  <c r="F37"/>
  <c r="E37"/>
  <c r="D37"/>
  <c r="C37"/>
  <c r="K36"/>
  <c r="J36"/>
  <c r="I36"/>
  <c r="H36"/>
  <c r="G36"/>
  <c r="F36"/>
  <c r="E36"/>
  <c r="D36"/>
  <c r="C36"/>
  <c r="K35"/>
  <c r="J35"/>
  <c r="I35"/>
  <c r="H35"/>
  <c r="G35"/>
  <c r="F35"/>
  <c r="E35"/>
  <c r="D35"/>
  <c r="C35"/>
  <c r="K34"/>
  <c r="J34"/>
  <c r="I34"/>
  <c r="H34"/>
  <c r="G34"/>
  <c r="F34"/>
  <c r="E34"/>
  <c r="D34"/>
  <c r="C34"/>
  <c r="K33"/>
  <c r="J33"/>
  <c r="I33"/>
  <c r="H33"/>
  <c r="G33"/>
  <c r="F33"/>
  <c r="E33"/>
  <c r="D33"/>
  <c r="C33"/>
  <c r="K32"/>
  <c r="J32"/>
  <c r="I32"/>
  <c r="H32"/>
  <c r="G32"/>
  <c r="F32"/>
  <c r="E32"/>
  <c r="D32"/>
  <c r="C32"/>
  <c r="K31"/>
  <c r="J31"/>
  <c r="I31"/>
  <c r="H31"/>
  <c r="G31"/>
  <c r="F31"/>
  <c r="E31"/>
  <c r="D31"/>
  <c r="C31"/>
  <c r="K30"/>
  <c r="J30"/>
  <c r="I30"/>
  <c r="H30"/>
  <c r="G30"/>
  <c r="F30"/>
  <c r="E30"/>
  <c r="D30"/>
  <c r="C30"/>
  <c r="G29"/>
  <c r="F29"/>
  <c r="E29"/>
  <c r="D29"/>
  <c r="C29"/>
  <c r="G28"/>
  <c r="F28"/>
  <c r="E28"/>
  <c r="D28"/>
  <c r="C28"/>
  <c r="G27"/>
  <c r="F27"/>
  <c r="E27"/>
  <c r="D27"/>
  <c r="C27"/>
  <c r="G26"/>
  <c r="F26"/>
  <c r="E26"/>
  <c r="D26"/>
  <c r="C26"/>
  <c r="G25"/>
  <c r="F25"/>
  <c r="E25"/>
  <c r="D25"/>
  <c r="C25"/>
  <c r="G24"/>
  <c r="F24"/>
  <c r="E24"/>
  <c r="D24"/>
  <c r="C24"/>
  <c r="G23"/>
  <c r="F23"/>
  <c r="E23"/>
  <c r="D23"/>
  <c r="C23"/>
  <c r="G22"/>
  <c r="F22"/>
  <c r="E22"/>
  <c r="D22"/>
  <c r="C22"/>
  <c r="F21"/>
  <c r="E21"/>
  <c r="D21"/>
  <c r="C21"/>
  <c r="F20"/>
  <c r="E20"/>
  <c r="D20"/>
  <c r="C20"/>
  <c r="F19"/>
  <c r="E19"/>
  <c r="D19"/>
  <c r="C19"/>
  <c r="F17"/>
  <c r="E17"/>
  <c r="D17"/>
  <c r="C17"/>
  <c r="F15"/>
  <c r="E15"/>
  <c r="D15"/>
  <c r="C15"/>
  <c r="F14"/>
  <c r="E14"/>
  <c r="D14"/>
  <c r="C14"/>
  <c r="F13"/>
  <c r="E13"/>
  <c r="D13"/>
  <c r="C13"/>
  <c r="I44" i="5"/>
  <c r="G44"/>
  <c r="F44"/>
  <c r="D44"/>
  <c r="C44"/>
  <c r="I43"/>
  <c r="G43"/>
  <c r="F43"/>
  <c r="D43"/>
  <c r="C43"/>
  <c r="I42"/>
  <c r="G42"/>
  <c r="F42"/>
  <c r="D42"/>
  <c r="C42"/>
  <c r="I41"/>
  <c r="G41"/>
  <c r="F41"/>
  <c r="D41"/>
  <c r="C41"/>
  <c r="I40"/>
  <c r="G40"/>
  <c r="F40"/>
  <c r="D40"/>
  <c r="C40"/>
  <c r="I39"/>
  <c r="G39"/>
  <c r="F39"/>
  <c r="D39"/>
  <c r="C39"/>
  <c r="I38"/>
  <c r="G38"/>
  <c r="F38"/>
  <c r="D38"/>
  <c r="C38"/>
  <c r="I37"/>
  <c r="G37"/>
  <c r="F37"/>
  <c r="D37"/>
  <c r="C37"/>
  <c r="I36"/>
  <c r="G36"/>
  <c r="F36"/>
  <c r="D36"/>
  <c r="C36"/>
  <c r="I35"/>
  <c r="G35"/>
  <c r="F35"/>
  <c r="D35"/>
  <c r="C35"/>
  <c r="I34"/>
  <c r="G34"/>
  <c r="F34"/>
  <c r="D34"/>
  <c r="C34"/>
  <c r="I33"/>
  <c r="G33"/>
  <c r="F33"/>
  <c r="D33"/>
  <c r="C33"/>
  <c r="I32"/>
  <c r="G32"/>
  <c r="F32"/>
  <c r="D32"/>
  <c r="C32"/>
  <c r="I31"/>
  <c r="G31"/>
  <c r="F31"/>
  <c r="D31"/>
  <c r="C31"/>
  <c r="I30"/>
  <c r="G30"/>
  <c r="F30"/>
  <c r="D30"/>
  <c r="C30"/>
  <c r="I29"/>
  <c r="H29"/>
  <c r="G29"/>
  <c r="F29"/>
  <c r="E29"/>
  <c r="D29"/>
  <c r="C29"/>
  <c r="I28"/>
  <c r="H28"/>
  <c r="G28"/>
  <c r="F28"/>
  <c r="E28"/>
  <c r="D28"/>
  <c r="C28"/>
  <c r="I27"/>
  <c r="H27"/>
  <c r="G27"/>
  <c r="F27"/>
  <c r="E27"/>
  <c r="D27"/>
  <c r="C27"/>
  <c r="I26"/>
  <c r="H26"/>
  <c r="G26"/>
  <c r="F26"/>
  <c r="E26"/>
  <c r="D26"/>
  <c r="C26"/>
  <c r="I25"/>
  <c r="H25"/>
  <c r="G25"/>
  <c r="F25"/>
  <c r="E25"/>
  <c r="D25"/>
  <c r="C25"/>
  <c r="I24"/>
  <c r="H24"/>
  <c r="G24"/>
  <c r="F24"/>
  <c r="E24"/>
  <c r="D24"/>
  <c r="C24"/>
  <c r="I23"/>
  <c r="H23"/>
  <c r="G23"/>
  <c r="F23"/>
  <c r="E23"/>
  <c r="D23"/>
  <c r="C23"/>
  <c r="I22"/>
  <c r="H22"/>
  <c r="G22"/>
  <c r="F22"/>
  <c r="E22"/>
  <c r="D22"/>
  <c r="C22"/>
  <c r="I21"/>
  <c r="H21"/>
  <c r="G21"/>
  <c r="F21"/>
  <c r="E21"/>
  <c r="D21"/>
  <c r="C21"/>
  <c r="I20"/>
  <c r="H20"/>
  <c r="G20"/>
  <c r="F20"/>
  <c r="E20"/>
  <c r="D20"/>
  <c r="C20"/>
  <c r="I19"/>
  <c r="H19"/>
  <c r="G19"/>
  <c r="F19"/>
  <c r="E19"/>
  <c r="D19"/>
  <c r="C19"/>
  <c r="I18"/>
  <c r="H18"/>
  <c r="G18"/>
  <c r="F18"/>
  <c r="E18"/>
  <c r="D18"/>
  <c r="C18"/>
  <c r="I17"/>
  <c r="H17"/>
  <c r="G17"/>
  <c r="F17"/>
  <c r="E17"/>
  <c r="D17"/>
  <c r="C17"/>
  <c r="I16"/>
  <c r="H16"/>
  <c r="G16"/>
  <c r="F16"/>
  <c r="E16"/>
  <c r="D16"/>
  <c r="C16"/>
  <c r="I15"/>
  <c r="G15"/>
  <c r="F15"/>
  <c r="D15"/>
  <c r="C15"/>
  <c r="I14"/>
  <c r="G14"/>
  <c r="F14"/>
  <c r="D14"/>
  <c r="C14"/>
  <c r="I13"/>
  <c r="G13"/>
  <c r="F13"/>
  <c r="D13"/>
  <c r="C13"/>
  <c r="I12"/>
  <c r="I11"/>
  <c r="I10"/>
  <c r="I9"/>
  <c r="I8"/>
  <c r="I7"/>
  <c r="I6"/>
  <c r="I5"/>
  <c r="I4"/>
  <c r="AT20" i="33" l="1"/>
  <c r="AO20" s="1"/>
  <c r="AN20" s="1"/>
  <c r="V21"/>
  <c r="AI21"/>
  <c r="AH21" s="1"/>
  <c r="AG21" s="1"/>
  <c r="AD59"/>
  <c r="AI15"/>
  <c r="W58"/>
  <c r="V58" s="1"/>
  <c r="AC12"/>
  <c r="AI17"/>
  <c r="BA21"/>
  <c r="BA22"/>
  <c r="AO30"/>
  <c r="AO33" s="1"/>
  <c r="BA30"/>
  <c r="AN40"/>
  <c r="AK59"/>
  <c r="BA43"/>
  <c r="AN45"/>
  <c r="BA45"/>
  <c r="AN47"/>
  <c r="BA47"/>
  <c r="AN49"/>
  <c r="BA49"/>
  <c r="AN51"/>
  <c r="BA51"/>
  <c r="AN53"/>
  <c r="BA53"/>
  <c r="AN55"/>
  <c r="BA55"/>
  <c r="AW57"/>
  <c r="AI58"/>
  <c r="AH58" s="1"/>
  <c r="AG58" s="1"/>
  <c r="AZ11"/>
  <c r="BA14"/>
  <c r="O16"/>
  <c r="W17"/>
  <c r="V17" s="1"/>
  <c r="AA17"/>
  <c r="Z17" s="1"/>
  <c r="Y17" s="1"/>
  <c r="AO19"/>
  <c r="AN19" s="1"/>
  <c r="R20"/>
  <c r="Q20" s="1"/>
  <c r="P20" s="1"/>
  <c r="AO22"/>
  <c r="AN22" s="1"/>
  <c r="M30"/>
  <c r="AN30"/>
  <c r="AW32"/>
  <c r="BA34"/>
  <c r="AZ56"/>
  <c r="AE59"/>
  <c r="V59"/>
  <c r="R8"/>
  <c r="AZ12"/>
  <c r="AZ14" s="1"/>
  <c r="AY14" s="1"/>
  <c r="AX14" s="1"/>
  <c r="AW14" s="1"/>
  <c r="O14"/>
  <c r="O15"/>
  <c r="O28"/>
  <c r="BA28"/>
  <c r="O30"/>
  <c r="BA32"/>
  <c r="AI33"/>
  <c r="AH33" s="1"/>
  <c r="AG33" s="1"/>
  <c r="AF33" s="1"/>
  <c r="O34"/>
  <c r="AZ34"/>
  <c r="AO38"/>
  <c r="AN38" s="1"/>
  <c r="AZ38"/>
  <c r="AO39"/>
  <c r="AN39" s="1"/>
  <c r="O40"/>
  <c r="N40" s="1"/>
  <c r="M40" s="1"/>
  <c r="BA39" s="1"/>
  <c r="AZ39" s="1"/>
  <c r="AO41"/>
  <c r="AN41" s="1"/>
  <c r="AZ10"/>
  <c r="AV11"/>
  <c r="AU11" s="1"/>
  <c r="AT11" s="1"/>
  <c r="AT14" s="1"/>
  <c r="AO14" s="1"/>
  <c r="AN14" s="1"/>
  <c r="AB15"/>
  <c r="AA15" s="1"/>
  <c r="Z15" s="1"/>
  <c r="Y15" s="1"/>
  <c r="X15" s="1"/>
  <c r="W15" s="1"/>
  <c r="V15" s="1"/>
  <c r="R15" s="1"/>
  <c r="AH17"/>
  <c r="AG17" s="1"/>
  <c r="AF17" s="1"/>
  <c r="O20"/>
  <c r="N20" s="1"/>
  <c r="AF21"/>
  <c r="AZ21"/>
  <c r="AZ22"/>
  <c r="AT24"/>
  <c r="AO24" s="1"/>
  <c r="AN24" s="1"/>
  <c r="AC25"/>
  <c r="AB25" s="1"/>
  <c r="AA25" s="1"/>
  <c r="Z25" s="1"/>
  <c r="Y25" s="1"/>
  <c r="X25" s="1"/>
  <c r="W25" s="1"/>
  <c r="V25" s="1"/>
  <c r="BA24" s="1"/>
  <c r="AZ24" s="1"/>
  <c r="AZ30"/>
  <c r="AZ35"/>
  <c r="AC42"/>
  <c r="AB42" s="1"/>
  <c r="AA42" s="1"/>
  <c r="Z42" s="1"/>
  <c r="Y42" s="1"/>
  <c r="X42" s="1"/>
  <c r="W42" s="1"/>
  <c r="V42" s="1"/>
  <c r="BA41" s="1"/>
  <c r="AZ41" s="1"/>
  <c r="AZ43"/>
  <c r="AZ45"/>
  <c r="AZ47"/>
  <c r="AZ49"/>
  <c r="AZ51"/>
  <c r="AZ53"/>
  <c r="AZ55"/>
  <c r="AF58"/>
  <c r="AH15"/>
  <c r="AG15" s="1"/>
  <c r="AF15" s="1"/>
  <c r="BA26"/>
  <c r="AZ26" s="1"/>
  <c r="BA27"/>
  <c r="AZ27" s="1"/>
  <c r="AV28"/>
  <c r="AU28" s="1"/>
  <c r="AT28" s="1"/>
  <c r="AO28" s="1"/>
  <c r="AN28" s="1"/>
  <c r="Z29"/>
  <c r="Y29" s="1"/>
  <c r="X29" s="1"/>
  <c r="W29" s="1"/>
  <c r="V29" s="1"/>
  <c r="O29" s="1"/>
  <c r="AI29"/>
  <c r="AV32"/>
  <c r="AU32" s="1"/>
  <c r="AT32" s="1"/>
  <c r="AO32" s="1"/>
  <c r="AN32" s="1"/>
  <c r="AC33"/>
  <c r="AB33" s="1"/>
  <c r="AA33" s="1"/>
  <c r="Z33" s="1"/>
  <c r="Y33" s="1"/>
  <c r="X33" s="1"/>
  <c r="W33" s="1"/>
  <c r="V33" s="1"/>
  <c r="O33" s="1"/>
  <c r="BA36"/>
  <c r="AZ36" s="1"/>
  <c r="M41"/>
  <c r="BA40" s="1"/>
  <c r="AZ40" s="1"/>
  <c r="AI42"/>
  <c r="AH42" s="1"/>
  <c r="BA42"/>
  <c r="BA57" s="1"/>
  <c r="AV57"/>
  <c r="AJ59"/>
  <c r="AI59" s="1"/>
  <c r="AH59" s="1"/>
  <c r="AG59" s="1"/>
  <c r="AF59" s="1"/>
  <c r="O9"/>
  <c r="AO9"/>
  <c r="AN9" s="1"/>
  <c r="BA9"/>
  <c r="AZ9" s="1"/>
  <c r="R10"/>
  <c r="O11"/>
  <c r="AI12"/>
  <c r="AH12" s="1"/>
  <c r="AG12" s="1"/>
  <c r="AO15"/>
  <c r="AN15" s="1"/>
  <c r="AM15" s="1"/>
  <c r="BA15"/>
  <c r="AZ15" s="1"/>
  <c r="R16"/>
  <c r="AC17"/>
  <c r="AO17"/>
  <c r="AN17" s="1"/>
  <c r="AM17" s="1"/>
  <c r="AL17" s="1"/>
  <c r="AZ17"/>
  <c r="O18"/>
  <c r="AO18"/>
  <c r="AN18" s="1"/>
  <c r="AC21"/>
  <c r="AB21" s="1"/>
  <c r="AA21" s="1"/>
  <c r="Z21" s="1"/>
  <c r="AO23"/>
  <c r="AN23" s="1"/>
  <c r="BA23"/>
  <c r="AZ23" s="1"/>
  <c r="AW24"/>
  <c r="AV24" s="1"/>
  <c r="AI25"/>
  <c r="AH25" s="1"/>
  <c r="AG25" s="1"/>
  <c r="AF25" s="1"/>
  <c r="AO25"/>
  <c r="AN25" s="1"/>
  <c r="AZ25"/>
  <c r="AO29"/>
  <c r="AN29" s="1"/>
  <c r="AM29" s="1"/>
  <c r="AZ29"/>
  <c r="AO31"/>
  <c r="AN31" s="1"/>
  <c r="BA31"/>
  <c r="AZ31" s="1"/>
  <c r="O35"/>
  <c r="AO37"/>
  <c r="AN37" s="1"/>
  <c r="BA37"/>
  <c r="AZ37" s="1"/>
  <c r="BA38"/>
  <c r="AW41"/>
  <c r="AV41" s="1"/>
  <c r="AU41" s="1"/>
  <c r="AO42"/>
  <c r="AN42" s="1"/>
  <c r="AM42" s="1"/>
  <c r="AZ42"/>
  <c r="AN43"/>
  <c r="AO44"/>
  <c r="AN44" s="1"/>
  <c r="BA44"/>
  <c r="AZ44" s="1"/>
  <c r="AO46"/>
  <c r="AN46" s="1"/>
  <c r="BA46"/>
  <c r="AZ46" s="1"/>
  <c r="AO48"/>
  <c r="AN48" s="1"/>
  <c r="BA48"/>
  <c r="AZ48" s="1"/>
  <c r="AO50"/>
  <c r="AN50" s="1"/>
  <c r="BA50"/>
  <c r="AZ50" s="1"/>
  <c r="AO52"/>
  <c r="AN52" s="1"/>
  <c r="BA52"/>
  <c r="AZ52" s="1"/>
  <c r="AO54"/>
  <c r="AN54" s="1"/>
  <c r="BA54"/>
  <c r="AZ54" s="1"/>
  <c r="AO56"/>
  <c r="AN56" s="1"/>
  <c r="AC58"/>
  <c r="AB58" s="1"/>
  <c r="W11" i="19"/>
  <c r="C26" i="28"/>
  <c r="AE11" i="27"/>
  <c r="AX11"/>
  <c r="AB35"/>
  <c r="AF35"/>
  <c r="AJ35"/>
  <c r="AN35"/>
  <c r="BD41"/>
  <c r="BD43"/>
  <c r="AC62"/>
  <c r="AG62"/>
  <c r="AK62"/>
  <c r="BD52"/>
  <c r="E119" i="18"/>
  <c r="E123"/>
  <c r="AB11" i="27"/>
  <c r="AF11"/>
  <c r="AN11"/>
  <c r="U12"/>
  <c r="AE35"/>
  <c r="AI35"/>
  <c r="AM35"/>
  <c r="T27" i="19"/>
  <c r="AM11" i="27"/>
  <c r="D14" i="19"/>
  <c r="J207" i="25"/>
  <c r="J223"/>
  <c r="AG16" i="27"/>
  <c r="AK16"/>
  <c r="BD48"/>
  <c r="BD50"/>
  <c r="BC61"/>
  <c r="BD33"/>
  <c r="AK35"/>
  <c r="E119" i="19"/>
  <c r="E123"/>
  <c r="U7" i="27"/>
  <c r="U13"/>
  <c r="L210" i="18"/>
  <c r="T24" i="19"/>
  <c r="T29"/>
  <c r="H70"/>
  <c r="L238"/>
  <c r="AD45" i="27"/>
  <c r="AH45"/>
  <c r="AL45"/>
  <c r="D13" i="19"/>
  <c r="AC11" i="27"/>
  <c r="AG11"/>
  <c r="AK11"/>
  <c r="AO11"/>
  <c r="BD8"/>
  <c r="BD10"/>
  <c r="AJ16"/>
  <c r="AH16"/>
  <c r="U16"/>
  <c r="H34" i="18"/>
  <c r="T31" i="19"/>
  <c r="G86"/>
  <c r="G219"/>
  <c r="AD22" i="27"/>
  <c r="AW22"/>
  <c r="V20"/>
  <c r="BD21"/>
  <c r="AE26"/>
  <c r="AI26"/>
  <c r="BD24"/>
  <c r="AK31"/>
  <c r="AO31"/>
  <c r="AZ31"/>
  <c r="BD37"/>
  <c r="BC39"/>
  <c r="BC43"/>
  <c r="BC44"/>
  <c r="AD62"/>
  <c r="AH62"/>
  <c r="AL62"/>
  <c r="BC53"/>
  <c r="BD55"/>
  <c r="BD57"/>
  <c r="BD59"/>
  <c r="BD61"/>
  <c r="E36" i="28"/>
  <c r="AD16" i="27"/>
  <c r="BC24"/>
  <c r="BC25"/>
  <c r="AF31"/>
  <c r="AN31"/>
  <c r="AR28"/>
  <c r="AW45"/>
  <c r="AR37"/>
  <c r="AS40"/>
  <c r="AS44"/>
  <c r="K194" i="29"/>
  <c r="C36" i="28"/>
  <c r="D15" i="18"/>
  <c r="W25"/>
  <c r="H27"/>
  <c r="H30"/>
  <c r="H52"/>
  <c r="H56"/>
  <c r="E117"/>
  <c r="E121"/>
  <c r="L208"/>
  <c r="L212"/>
  <c r="W9" i="19"/>
  <c r="T28"/>
  <c r="E41"/>
  <c r="D41" s="1"/>
  <c r="W43"/>
  <c r="W46"/>
  <c r="H48"/>
  <c r="G88"/>
  <c r="E117"/>
  <c r="E121"/>
  <c r="G217"/>
  <c r="G221"/>
  <c r="G239"/>
  <c r="I235"/>
  <c r="D7" i="25"/>
  <c r="J93"/>
  <c r="AD11" i="27"/>
  <c r="BD9"/>
  <c r="BD14"/>
  <c r="BC15"/>
  <c r="AB22"/>
  <c r="AF22"/>
  <c r="AJ22"/>
  <c r="AC22"/>
  <c r="AE22"/>
  <c r="AE31"/>
  <c r="AI31"/>
  <c r="BD28"/>
  <c r="BD30"/>
  <c r="AO35"/>
  <c r="BD40"/>
  <c r="W29" i="18"/>
  <c r="F163"/>
  <c r="W47" i="19"/>
  <c r="H68"/>
  <c r="H72"/>
  <c r="D24" i="25"/>
  <c r="J92"/>
  <c r="J205"/>
  <c r="J221"/>
  <c r="X7" i="27"/>
  <c r="X10" s="1"/>
  <c r="AW11"/>
  <c r="AW16" s="1"/>
  <c r="AD35"/>
  <c r="AS41"/>
  <c r="AS46"/>
  <c r="R75" i="19"/>
  <c r="R77"/>
  <c r="R76"/>
  <c r="R79"/>
  <c r="AS15" i="27"/>
  <c r="AS23"/>
  <c r="AR30"/>
  <c r="AR34"/>
  <c r="AS38"/>
  <c r="AR47"/>
  <c r="AR48"/>
  <c r="AR49"/>
  <c r="AR50"/>
  <c r="AR51"/>
  <c r="AR52"/>
  <c r="AR53"/>
  <c r="AS61"/>
  <c r="AC16"/>
  <c r="AS12"/>
  <c r="AR19"/>
  <c r="AS21"/>
  <c r="AR29"/>
  <c r="AR33"/>
  <c r="H53" i="18"/>
  <c r="H62"/>
  <c r="H66"/>
  <c r="H70"/>
  <c r="G86"/>
  <c r="I179"/>
  <c r="G191"/>
  <c r="G195"/>
  <c r="H52" i="19"/>
  <c r="H56"/>
  <c r="I201"/>
  <c r="I205"/>
  <c r="I234"/>
  <c r="D50" i="25"/>
  <c r="AO12" i="33"/>
  <c r="AR7" i="27"/>
  <c r="U8"/>
  <c r="AS8"/>
  <c r="U14"/>
  <c r="AR14"/>
  <c r="AR15"/>
  <c r="X16"/>
  <c r="AK18"/>
  <c r="AJ18" s="1"/>
  <c r="AI18" s="1"/>
  <c r="AI22"/>
  <c r="AM22"/>
  <c r="AX22"/>
  <c r="AY22"/>
  <c r="AB26"/>
  <c r="AF26"/>
  <c r="AJ26"/>
  <c r="AN26"/>
  <c r="AS25"/>
  <c r="AS27"/>
  <c r="AS28"/>
  <c r="AS29"/>
  <c r="AS30"/>
  <c r="AS32"/>
  <c r="AS33"/>
  <c r="AC45"/>
  <c r="AG45"/>
  <c r="AK45"/>
  <c r="AO45"/>
  <c r="AS42"/>
  <c r="AS43"/>
  <c r="AO62"/>
  <c r="AZ62"/>
  <c r="AR59"/>
  <c r="AR61"/>
  <c r="C28" i="28"/>
  <c r="AS13" i="27"/>
  <c r="S7" i="18"/>
  <c r="S9"/>
  <c r="S12"/>
  <c r="S14"/>
  <c r="BC10" i="27"/>
  <c r="AS24"/>
  <c r="BC28"/>
  <c r="AW35"/>
  <c r="AF45"/>
  <c r="AN45"/>
  <c r="BD39"/>
  <c r="AR42"/>
  <c r="AR43"/>
  <c r="AB62"/>
  <c r="AF62"/>
  <c r="AJ62"/>
  <c r="AN62"/>
  <c r="AY62"/>
  <c r="BC48"/>
  <c r="BC49"/>
  <c r="BC50"/>
  <c r="BC51"/>
  <c r="BC52"/>
  <c r="BD54"/>
  <c r="BD56"/>
  <c r="BD58"/>
  <c r="AS59"/>
  <c r="BD60"/>
  <c r="R78" i="19"/>
  <c r="AJ11" i="27"/>
  <c r="AI11" s="1"/>
  <c r="AH11" s="1"/>
  <c r="S6" i="18"/>
  <c r="S15" s="1"/>
  <c r="R15" s="1"/>
  <c r="R16" s="1"/>
  <c r="Q16" s="1"/>
  <c r="S8"/>
  <c r="S10"/>
  <c r="S11"/>
  <c r="S13"/>
  <c r="Y66" i="19"/>
  <c r="H156"/>
  <c r="H158"/>
  <c r="H160"/>
  <c r="G237"/>
  <c r="D77" i="25"/>
  <c r="AR8" i="27"/>
  <c r="AR9"/>
  <c r="AR10"/>
  <c r="S20"/>
  <c r="BD13"/>
  <c r="AM16"/>
  <c r="BD15"/>
  <c r="AS20"/>
  <c r="AC26"/>
  <c r="AG26"/>
  <c r="AK26"/>
  <c r="AZ26"/>
  <c r="BD25"/>
  <c r="AR25"/>
  <c r="AD31"/>
  <c r="AH31"/>
  <c r="AL31"/>
  <c r="BC29"/>
  <c r="BC30"/>
  <c r="AL35"/>
  <c r="BC34"/>
  <c r="AB45"/>
  <c r="AJ45"/>
  <c r="W24" i="18"/>
  <c r="H26"/>
  <c r="H43"/>
  <c r="H60"/>
  <c r="H64"/>
  <c r="H68"/>
  <c r="H72"/>
  <c r="G84"/>
  <c r="G88"/>
  <c r="H154"/>
  <c r="H156"/>
  <c r="H158"/>
  <c r="H160"/>
  <c r="C181"/>
  <c r="I177"/>
  <c r="G189"/>
  <c r="G193"/>
  <c r="D15" i="19"/>
  <c r="H39"/>
  <c r="H44"/>
  <c r="W50"/>
  <c r="H54"/>
  <c r="R80"/>
  <c r="I203"/>
  <c r="D17" i="25"/>
  <c r="J156"/>
  <c r="BC7" i="27"/>
  <c r="BD7"/>
  <c r="AL16"/>
  <c r="BC13"/>
  <c r="BC14"/>
  <c r="AK22"/>
  <c r="AS19"/>
  <c r="AZ22"/>
  <c r="AH22"/>
  <c r="AG22" s="1"/>
  <c r="AL22"/>
  <c r="BC21"/>
  <c r="AR21"/>
  <c r="AR23"/>
  <c r="AY26"/>
  <c r="AD26"/>
  <c r="AH26"/>
  <c r="AL26"/>
  <c r="AC31"/>
  <c r="AG31"/>
  <c r="BD29"/>
  <c r="AM31"/>
  <c r="AC35"/>
  <c r="AG35"/>
  <c r="BD34"/>
  <c r="AS34"/>
  <c r="AE45"/>
  <c r="AI45"/>
  <c r="AM45"/>
  <c r="AX45"/>
  <c r="BD38"/>
  <c r="AR38"/>
  <c r="AR39"/>
  <c r="BD42"/>
  <c r="BD44"/>
  <c r="AI62"/>
  <c r="AM62"/>
  <c r="BD47"/>
  <c r="AS47"/>
  <c r="AS48"/>
  <c r="BD49"/>
  <c r="AS49"/>
  <c r="AS50"/>
  <c r="BD51"/>
  <c r="AS51"/>
  <c r="AS52"/>
  <c r="BD53"/>
  <c r="BC60"/>
  <c r="C37" i="28"/>
  <c r="I207" i="19"/>
  <c r="W28" i="18"/>
  <c r="C31"/>
  <c r="W30" s="1"/>
  <c r="W31"/>
  <c r="H32"/>
  <c r="C45"/>
  <c r="H44" s="1"/>
  <c r="L227"/>
  <c r="D10" i="19"/>
  <c r="Y23"/>
  <c r="H34"/>
  <c r="W49"/>
  <c r="H50"/>
  <c r="J214" i="18"/>
  <c r="Y25" i="19"/>
  <c r="AH18" i="27"/>
  <c r="AG18" s="1"/>
  <c r="AF18" s="1"/>
  <c r="AE18" s="1"/>
  <c r="AD18" s="1"/>
  <c r="AC18" s="1"/>
  <c r="AB18" s="1"/>
  <c r="AR17"/>
  <c r="G82" i="18"/>
  <c r="B181"/>
  <c r="L226"/>
  <c r="D9" i="19"/>
  <c r="C41"/>
  <c r="H40" s="1"/>
  <c r="G84"/>
  <c r="H35" i="18"/>
  <c r="W10" i="19"/>
  <c r="T66"/>
  <c r="G232"/>
  <c r="G241" s="1"/>
  <c r="I233"/>
  <c r="G234"/>
  <c r="I238"/>
  <c r="J155" i="25"/>
  <c r="J154" s="1"/>
  <c r="Z12" i="33"/>
  <c r="Y12" s="1"/>
  <c r="X12" s="1"/>
  <c r="W12" s="1"/>
  <c r="V12" s="1"/>
  <c r="R12" s="1"/>
  <c r="Q12" s="1"/>
  <c r="P12" s="1"/>
  <c r="O12" s="1"/>
  <c r="N12" s="1"/>
  <c r="AB12"/>
  <c r="AS7" i="27"/>
  <c r="U9"/>
  <c r="AR13"/>
  <c r="I174" i="18"/>
  <c r="I175"/>
  <c r="L225"/>
  <c r="D12" i="19"/>
  <c r="R83"/>
  <c r="G215"/>
  <c r="L234"/>
  <c r="L235"/>
  <c r="L236"/>
  <c r="AN16" i="27"/>
  <c r="AR12"/>
  <c r="E163" i="18"/>
  <c r="G233" i="19"/>
  <c r="AS10" i="27"/>
  <c r="T20"/>
  <c r="AB16"/>
  <c r="AF16"/>
  <c r="AS14"/>
  <c r="C37" i="18"/>
  <c r="H36" s="1"/>
  <c r="I172"/>
  <c r="L205"/>
  <c r="L224"/>
  <c r="L228"/>
  <c r="D11" i="19"/>
  <c r="W45"/>
  <c r="H46"/>
  <c r="B125"/>
  <c r="E124" s="1"/>
  <c r="L233"/>
  <c r="Y59" i="33"/>
  <c r="AE62" i="27"/>
  <c r="W23" i="18"/>
  <c r="H25"/>
  <c r="C28"/>
  <c r="W27" s="1"/>
  <c r="H29"/>
  <c r="H38"/>
  <c r="H42"/>
  <c r="H54"/>
  <c r="H59"/>
  <c r="W7" i="19"/>
  <c r="T25"/>
  <c r="T26"/>
  <c r="T30"/>
  <c r="W42"/>
  <c r="V50"/>
  <c r="X66"/>
  <c r="R81"/>
  <c r="R82"/>
  <c r="I232"/>
  <c r="I237"/>
  <c r="G238"/>
  <c r="I239"/>
  <c r="G240"/>
  <c r="AN12" i="33"/>
  <c r="AM12" s="1"/>
  <c r="T10" i="27"/>
  <c r="BC9"/>
  <c r="BC8"/>
  <c r="AS9"/>
  <c r="AE16"/>
  <c r="AI16"/>
  <c r="E30" i="29"/>
  <c r="F31"/>
  <c r="K180"/>
  <c r="K178"/>
  <c r="K176"/>
  <c r="K174"/>
  <c r="L181"/>
  <c r="K179"/>
  <c r="K177"/>
  <c r="K175"/>
  <c r="K173"/>
  <c r="H29" i="28"/>
  <c r="C30"/>
  <c r="C29"/>
  <c r="S10" i="27"/>
  <c r="AL11"/>
  <c r="AO16"/>
  <c r="U19"/>
  <c r="X20"/>
  <c r="BC20"/>
  <c r="AO22"/>
  <c r="AN22" s="1"/>
  <c r="AX26"/>
  <c r="AR27"/>
  <c r="AR32"/>
  <c r="BC33"/>
  <c r="BC42"/>
  <c r="AZ45"/>
  <c r="AY45" s="1"/>
  <c r="AS53"/>
  <c r="AS54"/>
  <c r="AR54" s="1"/>
  <c r="BC54"/>
  <c r="AS55"/>
  <c r="AR55" s="1"/>
  <c r="BC55"/>
  <c r="AS56"/>
  <c r="AR56" s="1"/>
  <c r="BC56"/>
  <c r="AS57"/>
  <c r="AR57" s="1"/>
  <c r="BC57"/>
  <c r="AS58"/>
  <c r="AR58" s="1"/>
  <c r="BC58"/>
  <c r="AX62"/>
  <c r="C23" i="28"/>
  <c r="E116" i="29"/>
  <c r="I76"/>
  <c r="G43" i="28"/>
  <c r="G42"/>
  <c r="G39"/>
  <c r="G44"/>
  <c r="E43"/>
  <c r="E44"/>
  <c r="E37"/>
  <c r="H61" i="18"/>
  <c r="H65"/>
  <c r="H69"/>
  <c r="G85"/>
  <c r="G89"/>
  <c r="E118"/>
  <c r="E122"/>
  <c r="I176"/>
  <c r="G190"/>
  <c r="G194"/>
  <c r="L206"/>
  <c r="H27" i="19"/>
  <c r="Y27"/>
  <c r="H29"/>
  <c r="H31"/>
  <c r="G31" s="1"/>
  <c r="F31" s="1"/>
  <c r="E31" s="1"/>
  <c r="D31" s="1"/>
  <c r="Y31"/>
  <c r="H35"/>
  <c r="H53"/>
  <c r="H57"/>
  <c r="H61"/>
  <c r="H63"/>
  <c r="H65"/>
  <c r="H71"/>
  <c r="G83"/>
  <c r="G85"/>
  <c r="G89"/>
  <c r="E118"/>
  <c r="E122"/>
  <c r="F163"/>
  <c r="I199"/>
  <c r="I204"/>
  <c r="G216"/>
  <c r="G220"/>
  <c r="G235"/>
  <c r="J206" i="25"/>
  <c r="J222"/>
  <c r="AS17" i="27"/>
  <c r="AM26"/>
  <c r="AS36"/>
  <c r="AS37"/>
  <c r="BC37"/>
  <c r="AW62"/>
  <c r="E38" i="28"/>
  <c r="K196" i="29"/>
  <c r="K192"/>
  <c r="K188"/>
  <c r="E41" i="28"/>
  <c r="G41"/>
  <c r="C25"/>
  <c r="K190" i="29"/>
  <c r="G36" i="28"/>
  <c r="K191" i="29"/>
  <c r="H163"/>
  <c r="F15" i="28"/>
  <c r="G6" s="1"/>
  <c r="C44"/>
  <c r="C42"/>
  <c r="C39"/>
  <c r="C43"/>
  <c r="E13" i="31"/>
  <c r="AR20" i="27"/>
  <c r="AR24"/>
  <c r="AB31"/>
  <c r="AJ31"/>
  <c r="AY31"/>
  <c r="AX31" s="1"/>
  <c r="AH35"/>
  <c r="AR36"/>
  <c r="AS39"/>
  <c r="AR40"/>
  <c r="BC40"/>
  <c r="AR41"/>
  <c r="BC41"/>
  <c r="AR44"/>
  <c r="AR46"/>
  <c r="BC47"/>
  <c r="BC59"/>
  <c r="AS60"/>
  <c r="AR60" s="1"/>
  <c r="C41" i="28"/>
  <c r="C21"/>
  <c r="C38"/>
  <c r="K195" i="29"/>
  <c r="L197"/>
  <c r="K197" s="1"/>
  <c r="J148"/>
  <c r="N60"/>
  <c r="K61"/>
  <c r="D7" i="18"/>
  <c r="D16" s="1"/>
  <c r="D8"/>
  <c r="D9"/>
  <c r="D10"/>
  <c r="D11"/>
  <c r="D12"/>
  <c r="D13"/>
  <c r="D14"/>
  <c r="W26"/>
  <c r="H39"/>
  <c r="H47"/>
  <c r="H51"/>
  <c r="H55"/>
  <c r="H63"/>
  <c r="H67"/>
  <c r="H71"/>
  <c r="G83"/>
  <c r="G87"/>
  <c r="F99"/>
  <c r="F100"/>
  <c r="F101"/>
  <c r="F102"/>
  <c r="F103"/>
  <c r="F104"/>
  <c r="F105"/>
  <c r="F106"/>
  <c r="B108"/>
  <c r="E120"/>
  <c r="H155"/>
  <c r="H157"/>
  <c r="H159"/>
  <c r="H161"/>
  <c r="I173"/>
  <c r="I178"/>
  <c r="G192"/>
  <c r="L207"/>
  <c r="L209"/>
  <c r="L211"/>
  <c r="B214"/>
  <c r="C205" s="1"/>
  <c r="L222"/>
  <c r="W8" i="19"/>
  <c r="W12"/>
  <c r="W13"/>
  <c r="W14"/>
  <c r="T23"/>
  <c r="H26"/>
  <c r="H30"/>
  <c r="H38"/>
  <c r="H43"/>
  <c r="H47"/>
  <c r="H55"/>
  <c r="H60"/>
  <c r="H62"/>
  <c r="H64"/>
  <c r="H69"/>
  <c r="G87"/>
  <c r="F99"/>
  <c r="F100"/>
  <c r="F101"/>
  <c r="F102"/>
  <c r="F103"/>
  <c r="F104"/>
  <c r="F105"/>
  <c r="F106"/>
  <c r="B108"/>
  <c r="E116"/>
  <c r="E120"/>
  <c r="H155"/>
  <c r="H157"/>
  <c r="H159"/>
  <c r="H161"/>
  <c r="I202"/>
  <c r="I206"/>
  <c r="G218"/>
  <c r="G222"/>
  <c r="L232"/>
  <c r="L239"/>
  <c r="J204" i="25"/>
  <c r="E217"/>
  <c r="J220"/>
  <c r="BD20" i="27"/>
  <c r="AO26"/>
  <c r="AZ35"/>
  <c r="AY35" s="1"/>
  <c r="AX35" s="1"/>
  <c r="BD36" s="1"/>
  <c r="BC38"/>
  <c r="E42" i="28"/>
  <c r="C27"/>
  <c r="G38"/>
  <c r="K193" i="29"/>
  <c r="G37" i="28"/>
  <c r="E39"/>
  <c r="K172" i="29"/>
  <c r="R21" i="33" l="1"/>
  <c r="Q21" s="1"/>
  <c r="P21" s="1"/>
  <c r="AN33"/>
  <c r="AZ28"/>
  <c r="AV14"/>
  <c r="BA16"/>
  <c r="AZ16" s="1"/>
  <c r="AY16" s="1"/>
  <c r="AO21"/>
  <c r="AN21" s="1"/>
  <c r="BA58"/>
  <c r="O21"/>
  <c r="N21" s="1"/>
  <c r="M21" s="1"/>
  <c r="BA20" s="1"/>
  <c r="AZ20" s="1"/>
  <c r="AZ57"/>
  <c r="AZ32"/>
  <c r="AC59"/>
  <c r="AB59" s="1"/>
  <c r="AA59" s="1"/>
  <c r="BD11" i="27"/>
  <c r="AS22"/>
  <c r="AI63"/>
  <c r="AD63"/>
  <c r="BD46"/>
  <c r="BC46" s="1"/>
  <c r="AS16"/>
  <c r="H31" i="18"/>
  <c r="G31" s="1"/>
  <c r="F31" s="1"/>
  <c r="E31" s="1"/>
  <c r="D31" s="1"/>
  <c r="AO63" i="27"/>
  <c r="AH63"/>
  <c r="U10"/>
  <c r="AG63"/>
  <c r="BD62"/>
  <c r="AF63"/>
  <c r="AC63"/>
  <c r="U20"/>
  <c r="AS26"/>
  <c r="H41" i="19"/>
  <c r="G41" s="1"/>
  <c r="K206" i="18"/>
  <c r="AR35" i="27"/>
  <c r="AR16"/>
  <c r="H45" i="18"/>
  <c r="G45" s="1"/>
  <c r="F45" s="1"/>
  <c r="E45" s="1"/>
  <c r="D45" s="1"/>
  <c r="AR22" i="27"/>
  <c r="AB63"/>
  <c r="AN63"/>
  <c r="H28" i="18"/>
  <c r="G28" s="1"/>
  <c r="F28" s="1"/>
  <c r="E28" s="1"/>
  <c r="D28" s="1"/>
  <c r="AJ63" i="27"/>
  <c r="AR31"/>
  <c r="S21"/>
  <c r="AK63"/>
  <c r="AS62"/>
  <c r="BC62"/>
  <c r="AS35"/>
  <c r="AS31"/>
  <c r="BD23"/>
  <c r="AM63"/>
  <c r="AL63" s="1"/>
  <c r="BC11"/>
  <c r="BB11" s="1"/>
  <c r="BA11" s="1"/>
  <c r="AZ11" s="1"/>
  <c r="BD12" s="1"/>
  <c r="AR11"/>
  <c r="C16" i="18"/>
  <c r="C17" s="1"/>
  <c r="B17"/>
  <c r="D17" s="1"/>
  <c r="AY11" i="27"/>
  <c r="AW31"/>
  <c r="BC32" s="1"/>
  <c r="BD32"/>
  <c r="BD35" s="1"/>
  <c r="E163" i="19"/>
  <c r="AW26" i="27"/>
  <c r="BC27" s="1"/>
  <c r="BC31" s="1"/>
  <c r="BD27"/>
  <c r="BD31" s="1"/>
  <c r="U50" i="19"/>
  <c r="V51"/>
  <c r="S66"/>
  <c r="C206" i="18"/>
  <c r="BC36" i="27"/>
  <c r="BC45" s="1"/>
  <c r="BD45"/>
  <c r="J61" i="29"/>
  <c r="K181"/>
  <c r="N195"/>
  <c r="L195" s="1"/>
  <c r="W66" i="19"/>
  <c r="I180" i="18"/>
  <c r="K212"/>
  <c r="K210"/>
  <c r="K208"/>
  <c r="K213"/>
  <c r="K211"/>
  <c r="K207"/>
  <c r="AS45" i="27"/>
  <c r="AE63"/>
  <c r="AS11"/>
  <c r="H37" i="18"/>
  <c r="G37" s="1"/>
  <c r="F37" s="1"/>
  <c r="E37" s="1"/>
  <c r="D37" s="1"/>
  <c r="F107" i="19"/>
  <c r="AR62" i="27"/>
  <c r="AR26"/>
  <c r="L213" i="18"/>
  <c r="L214"/>
  <c r="C212"/>
  <c r="C210"/>
  <c r="C208"/>
  <c r="C213"/>
  <c r="C211"/>
  <c r="C209"/>
  <c r="C207"/>
  <c r="F107"/>
  <c r="D116" i="29"/>
  <c r="D30"/>
  <c r="E31"/>
  <c r="X59" i="33"/>
  <c r="Y60"/>
  <c r="D163" i="18"/>
  <c r="C163" s="1"/>
  <c r="Y32" i="19"/>
  <c r="T32" s="1"/>
  <c r="AR45" i="27"/>
  <c r="K205" i="18"/>
  <c r="Z59" i="33" l="1"/>
  <c r="Z60" s="1"/>
  <c r="AA60"/>
  <c r="AZ58"/>
  <c r="AX16"/>
  <c r="AW16" s="1"/>
  <c r="AV16" s="1"/>
  <c r="AU16" s="1"/>
  <c r="AT16" s="1"/>
  <c r="AY58"/>
  <c r="AX58" s="1"/>
  <c r="AW58" s="1"/>
  <c r="BC12" i="27"/>
  <c r="BC16" s="1"/>
  <c r="BB16" s="1"/>
  <c r="BA16" s="1"/>
  <c r="BD16"/>
  <c r="Z27" i="19"/>
  <c r="Z31"/>
  <c r="BC23" i="27"/>
  <c r="BC26" s="1"/>
  <c r="BD26"/>
  <c r="K214" i="18"/>
  <c r="C30" i="29"/>
  <c r="D31"/>
  <c r="V66" i="19"/>
  <c r="W59" i="33"/>
  <c r="W60" s="1"/>
  <c r="V60" s="1"/>
  <c r="X60"/>
  <c r="C116" i="29"/>
  <c r="T50" i="19"/>
  <c r="U51"/>
  <c r="D163"/>
  <c r="C163" s="1"/>
  <c r="Z25"/>
  <c r="I61" i="29"/>
  <c r="Z23" i="19"/>
  <c r="R66"/>
  <c r="BC35" i="27"/>
  <c r="AV58" i="33" l="1"/>
  <c r="AW59"/>
  <c r="B163" i="19"/>
  <c r="H61" i="29"/>
  <c r="Q66" i="19"/>
  <c r="R67" s="1"/>
  <c r="Q67" s="1"/>
  <c r="H67" s="1"/>
  <c r="S50"/>
  <c r="T51"/>
  <c r="B30" i="29"/>
  <c r="C31"/>
  <c r="AZ16" i="27"/>
  <c r="BA18"/>
  <c r="AU58" i="33" l="1"/>
  <c r="AT58" s="1"/>
  <c r="AO58" s="1"/>
  <c r="AN58" s="1"/>
  <c r="AM58" s="1"/>
  <c r="AV59"/>
  <c r="V67" i="19"/>
  <c r="H162"/>
  <c r="H163"/>
  <c r="B164" s="1"/>
  <c r="H164" s="1"/>
  <c r="AY16" i="27"/>
  <c r="AZ18"/>
  <c r="AZ63" s="1"/>
  <c r="G61" i="29"/>
  <c r="R50" i="19"/>
  <c r="S51"/>
  <c r="U29" i="29"/>
  <c r="B31"/>
  <c r="H66" i="19"/>
  <c r="Y67"/>
  <c r="U67"/>
  <c r="T67"/>
  <c r="X67"/>
  <c r="S67"/>
  <c r="W67"/>
  <c r="AU59" i="33" l="1"/>
  <c r="AT59" s="1"/>
  <c r="AO59" s="1"/>
  <c r="AN59" s="1"/>
  <c r="AM59" s="1"/>
  <c r="AL59" s="1"/>
  <c r="U30" i="29"/>
  <c r="G31"/>
  <c r="G164" i="19"/>
  <c r="F164"/>
  <c r="E164"/>
  <c r="D164" s="1"/>
  <c r="C164"/>
  <c r="F61" i="29"/>
  <c r="Q50" i="19"/>
  <c r="Q51" s="1"/>
  <c r="H51" s="1"/>
  <c r="R51"/>
  <c r="W51" s="1"/>
  <c r="AX16" i="27"/>
  <c r="AY18"/>
  <c r="AY63" s="1"/>
  <c r="BC17"/>
  <c r="BD17" l="1"/>
  <c r="BD18" s="1"/>
  <c r="BC18" s="1"/>
  <c r="BB18" s="1"/>
  <c r="BB63" s="1"/>
  <c r="BA63" s="1"/>
  <c r="AX18"/>
  <c r="E61" i="29"/>
  <c r="D61" l="1"/>
  <c r="AW18" i="27"/>
  <c r="BD19"/>
  <c r="BD22" s="1"/>
  <c r="AX63"/>
  <c r="C61" i="29" l="1"/>
  <c r="AS18" i="27"/>
  <c r="BC19"/>
  <c r="BC22" s="1"/>
  <c r="BC63" s="1"/>
  <c r="AW63"/>
  <c r="BD63"/>
  <c r="AR18" l="1"/>
  <c r="AS63"/>
  <c r="F108" i="19"/>
  <c r="B109" s="1"/>
  <c r="F109" s="1"/>
  <c r="E108"/>
  <c r="F108" i="18"/>
  <c r="B109" s="1"/>
  <c r="F109" s="1"/>
  <c r="E108"/>
  <c r="H214"/>
  <c r="I205" s="1"/>
  <c r="I214" s="1"/>
  <c r="H101" i="29"/>
  <c r="H164"/>
  <c r="B165" s="1"/>
  <c r="H165" s="1"/>
  <c r="G164"/>
  <c r="I181" i="18"/>
  <c r="B182" s="1"/>
  <c r="I182" s="1"/>
  <c r="D147" i="19"/>
  <c r="E133" s="1"/>
  <c r="E147" s="1"/>
  <c r="I208"/>
  <c r="B209" s="1"/>
  <c r="I209" s="1"/>
  <c r="C41" i="18"/>
  <c r="H41" s="1"/>
  <c r="G41"/>
  <c r="F41"/>
  <c r="E41"/>
  <c r="D41"/>
  <c r="H40"/>
  <c r="B91" i="19"/>
  <c r="G91" s="1"/>
  <c r="E14" i="31"/>
  <c r="B15" s="1"/>
  <c r="E15" s="1"/>
  <c r="D14"/>
  <c r="B224" i="19"/>
  <c r="G224"/>
  <c r="F224"/>
  <c r="C33" i="18"/>
  <c r="H33" s="1"/>
  <c r="G33"/>
  <c r="F33"/>
  <c r="E33"/>
  <c r="D33"/>
  <c r="W32"/>
  <c r="V32"/>
  <c r="U32"/>
  <c r="T32"/>
  <c r="S32"/>
  <c r="R32"/>
  <c r="Q32"/>
  <c r="C49" i="19"/>
  <c r="H49" s="1"/>
  <c r="G49"/>
  <c r="F49"/>
  <c r="E49"/>
  <c r="D49"/>
  <c r="W48"/>
  <c r="C58"/>
  <c r="H58" s="1"/>
  <c r="G58"/>
  <c r="F58"/>
  <c r="E58"/>
  <c r="D58"/>
  <c r="C33"/>
  <c r="H33" s="1"/>
  <c r="G33"/>
  <c r="F33"/>
  <c r="E33"/>
  <c r="D33"/>
  <c r="Q32"/>
  <c r="R32" s="1"/>
  <c r="Z32" s="1"/>
  <c r="H208"/>
  <c r="D147" i="18"/>
  <c r="E133" s="1"/>
  <c r="E147" s="1"/>
  <c r="B91"/>
  <c r="G91" s="1"/>
  <c r="J149" i="29"/>
  <c r="B150" s="1"/>
  <c r="J150" s="1"/>
  <c r="I149"/>
  <c r="C74" i="19"/>
  <c r="C75" s="1"/>
  <c r="I77" i="29"/>
  <c r="B78" s="1"/>
  <c r="I78" s="1"/>
  <c r="H77"/>
  <c r="D241" i="19"/>
  <c r="E232" s="1"/>
  <c r="E241" s="1"/>
  <c r="C49" i="18"/>
  <c r="H49" s="1"/>
  <c r="G49"/>
  <c r="F49"/>
  <c r="E49"/>
  <c r="D49"/>
  <c r="H48"/>
  <c r="C58"/>
  <c r="H58" s="1"/>
  <c r="G58"/>
  <c r="F58"/>
  <c r="E58"/>
  <c r="D58"/>
  <c r="H57"/>
  <c r="B16" i="19"/>
  <c r="D16"/>
  <c r="W16"/>
  <c r="C28"/>
  <c r="H28" s="1"/>
  <c r="G28"/>
  <c r="F28"/>
  <c r="E28"/>
  <c r="D28"/>
  <c r="B197" i="18"/>
  <c r="G197"/>
  <c r="F197"/>
  <c r="H36" i="28"/>
  <c r="H45" s="1"/>
  <c r="V21" i="27"/>
  <c r="X21" s="1"/>
  <c r="W21"/>
  <c r="T21"/>
  <c r="U21" s="1"/>
  <c r="D182" i="18"/>
  <c r="H181"/>
  <c r="E125" i="19"/>
  <c r="B126" s="1"/>
  <c r="E126" s="1"/>
  <c r="D125"/>
  <c r="H163" i="18"/>
  <c r="B164" s="1"/>
  <c r="H164" s="1"/>
  <c r="B147" i="19"/>
  <c r="C133" s="1"/>
  <c r="C147" s="1"/>
  <c r="C45"/>
  <c r="H45" s="1"/>
  <c r="G45"/>
  <c r="F45"/>
  <c r="E45"/>
  <c r="D45"/>
  <c r="W44"/>
  <c r="C37"/>
  <c r="H37" s="1"/>
  <c r="G37"/>
  <c r="F37"/>
  <c r="E37"/>
  <c r="D37"/>
  <c r="H36"/>
  <c r="C74" i="18"/>
  <c r="C75" s="1"/>
  <c r="H75" s="1"/>
  <c r="F91"/>
  <c r="D108"/>
  <c r="B147"/>
  <c r="C135" s="1"/>
  <c r="E74" i="19"/>
  <c r="E75" s="1"/>
  <c r="D74"/>
  <c r="D75" s="1"/>
  <c r="D108"/>
  <c r="C108"/>
  <c r="C125"/>
  <c r="E208"/>
  <c r="D208"/>
  <c r="D224"/>
  <c r="C224"/>
  <c r="G181" i="18"/>
  <c r="E197"/>
  <c r="Y75" i="19"/>
  <c r="C208"/>
  <c r="G223"/>
  <c r="F74" i="18"/>
  <c r="F75" s="1"/>
  <c r="E74"/>
  <c r="E75" s="1"/>
  <c r="E91"/>
  <c r="D125"/>
  <c r="B125"/>
  <c r="C125"/>
  <c r="F181"/>
  <c r="E181"/>
  <c r="D197"/>
  <c r="C197"/>
  <c r="D230"/>
  <c r="E228" s="1"/>
  <c r="B230"/>
  <c r="C221" s="1"/>
  <c r="C230" s="1"/>
  <c r="H230"/>
  <c r="I228" s="1"/>
  <c r="F230"/>
  <c r="G221" s="1"/>
  <c r="G230" s="1"/>
  <c r="J230"/>
  <c r="K224" s="1"/>
  <c r="S16" i="19"/>
  <c r="T10" s="1"/>
  <c r="Q16"/>
  <c r="Y78"/>
  <c r="F91"/>
  <c r="E91"/>
  <c r="D74" i="18"/>
  <c r="D75" s="1"/>
  <c r="D91"/>
  <c r="C91"/>
  <c r="F214"/>
  <c r="G207" s="1"/>
  <c r="D214"/>
  <c r="E206" s="1"/>
  <c r="C214"/>
  <c r="C16" i="19"/>
  <c r="W32"/>
  <c r="X28" s="1"/>
  <c r="G74"/>
  <c r="G75" s="1"/>
  <c r="F74"/>
  <c r="F75" s="1"/>
  <c r="Y76"/>
  <c r="W84"/>
  <c r="X75" s="1"/>
  <c r="S84"/>
  <c r="T80" s="1"/>
  <c r="Y81"/>
  <c r="Y83"/>
  <c r="D91"/>
  <c r="C91"/>
  <c r="G208"/>
  <c r="F208"/>
  <c r="E224"/>
  <c r="B241"/>
  <c r="C232" s="1"/>
  <c r="C241" s="1"/>
  <c r="J241"/>
  <c r="K237" s="1"/>
  <c r="I241"/>
  <c r="B15" i="28"/>
  <c r="C15" s="1"/>
  <c r="G15" s="1"/>
  <c r="D14" i="29"/>
  <c r="B15" s="1"/>
  <c r="D15" s="1"/>
  <c r="R14"/>
  <c r="Q14"/>
  <c r="P14"/>
  <c r="C14"/>
  <c r="C15" s="1"/>
  <c r="H45"/>
  <c r="B46" s="1"/>
  <c r="H46" s="1"/>
  <c r="G45"/>
  <c r="G74" i="18"/>
  <c r="G75" s="1"/>
  <c r="H73"/>
  <c r="C108"/>
  <c r="E124"/>
  <c r="U16" i="19"/>
  <c r="V11" s="1"/>
  <c r="Y24"/>
  <c r="Z24" s="1"/>
  <c r="Y29"/>
  <c r="Z29" s="1"/>
  <c r="Y77"/>
  <c r="U84"/>
  <c r="V78" s="1"/>
  <c r="H116" i="29"/>
  <c r="D117" s="1"/>
  <c r="G90" i="18"/>
  <c r="G196"/>
  <c r="C225"/>
  <c r="Y26" i="19"/>
  <c r="Z26" s="1"/>
  <c r="Y28"/>
  <c r="Z28" s="1"/>
  <c r="Y30"/>
  <c r="Z30" s="1"/>
  <c r="U32"/>
  <c r="V25" s="1"/>
  <c r="H73"/>
  <c r="Y79"/>
  <c r="Y80"/>
  <c r="Y82"/>
  <c r="G90"/>
  <c r="L240"/>
  <c r="H41" i="28"/>
  <c r="N61" i="29"/>
  <c r="B62" s="1"/>
  <c r="N62" s="1"/>
  <c r="F13" i="28"/>
  <c r="G13" s="1"/>
  <c r="D45" i="29"/>
  <c r="C45"/>
  <c r="D77"/>
  <c r="C77"/>
  <c r="H89"/>
  <c r="H94"/>
  <c r="H98"/>
  <c r="F149"/>
  <c r="E149"/>
  <c r="D164"/>
  <c r="C164"/>
  <c r="F7" i="28"/>
  <c r="G7" s="1"/>
  <c r="F11"/>
  <c r="G11" s="1"/>
  <c r="H39"/>
  <c r="F45" i="29"/>
  <c r="G77"/>
  <c r="H90"/>
  <c r="H95"/>
  <c r="D149"/>
  <c r="F164"/>
  <c r="D197"/>
  <c r="E193" s="1"/>
  <c r="F10" i="28"/>
  <c r="G10" s="1"/>
  <c r="D30"/>
  <c r="E27" s="1"/>
  <c r="B62"/>
  <c r="I62"/>
  <c r="H62"/>
  <c r="B77"/>
  <c r="J77"/>
  <c r="I77"/>
  <c r="E45" i="29"/>
  <c r="F77"/>
  <c r="E77"/>
  <c r="H86"/>
  <c r="H91"/>
  <c r="H96"/>
  <c r="H99"/>
  <c r="B101"/>
  <c r="C93" s="1"/>
  <c r="C149"/>
  <c r="H149"/>
  <c r="E164"/>
  <c r="D181"/>
  <c r="E172" s="1"/>
  <c r="B181"/>
  <c r="C172" s="1"/>
  <c r="L180"/>
  <c r="H181"/>
  <c r="I174" s="1"/>
  <c r="F197"/>
  <c r="G191" s="1"/>
  <c r="B197"/>
  <c r="C196" s="1"/>
  <c r="L196"/>
  <c r="C14" i="31"/>
  <c r="F9" i="28"/>
  <c r="G9" s="1"/>
  <c r="D15"/>
  <c r="E11" s="1"/>
  <c r="F14"/>
  <c r="G14" s="1"/>
  <c r="F30"/>
  <c r="G24" s="1"/>
  <c r="H37"/>
  <c r="H40"/>
  <c r="G40"/>
  <c r="H87" i="29"/>
  <c r="H93"/>
  <c r="F101"/>
  <c r="G93" s="1"/>
  <c r="H97"/>
  <c r="D101"/>
  <c r="E95" s="1"/>
  <c r="H100"/>
  <c r="G149"/>
  <c r="F181"/>
  <c r="G173" s="1"/>
  <c r="H197"/>
  <c r="I194" s="1"/>
  <c r="F8" i="28"/>
  <c r="G8" s="1"/>
  <c r="F12"/>
  <c r="G12" s="1"/>
  <c r="H38"/>
  <c r="E62"/>
  <c r="D62"/>
  <c r="J76"/>
  <c r="F77"/>
  <c r="E77"/>
  <c r="H85"/>
  <c r="H84"/>
  <c r="H93" s="1"/>
  <c r="H92"/>
  <c r="H42"/>
  <c r="C62"/>
  <c r="D77"/>
  <c r="H77"/>
  <c r="H86"/>
  <c r="H89"/>
  <c r="H43"/>
  <c r="G62"/>
  <c r="C77"/>
  <c r="C78" s="1"/>
  <c r="G77"/>
  <c r="H87"/>
  <c r="I87" s="1"/>
  <c r="F93"/>
  <c r="G88" s="1"/>
  <c r="H90"/>
  <c r="D93"/>
  <c r="E90" s="1"/>
  <c r="H44"/>
  <c r="I61"/>
  <c r="F62"/>
  <c r="H91"/>
  <c r="J162" i="30"/>
  <c r="B163" s="1"/>
  <c r="J163" s="1"/>
  <c r="I162"/>
  <c r="F162"/>
  <c r="E162"/>
  <c r="C162"/>
  <c r="C163" s="1"/>
  <c r="G162"/>
  <c r="D162"/>
  <c r="H162"/>
  <c r="Q15" i="29" l="1"/>
  <c r="P15" s="1"/>
  <c r="L62"/>
  <c r="F182" i="18"/>
  <c r="E141"/>
  <c r="C109" i="19"/>
  <c r="E145" i="18"/>
  <c r="E135" i="19"/>
  <c r="I87" i="29"/>
  <c r="E137" i="18"/>
  <c r="E136" i="19"/>
  <c r="C223" i="18"/>
  <c r="E142" i="19"/>
  <c r="R16"/>
  <c r="R28"/>
  <c r="E237"/>
  <c r="E239"/>
  <c r="R29"/>
  <c r="E63" i="28"/>
  <c r="E91"/>
  <c r="C17" i="19"/>
  <c r="F78" i="28"/>
  <c r="R23" i="19"/>
  <c r="H74" i="18"/>
  <c r="C198"/>
  <c r="F198"/>
  <c r="G163" i="30"/>
  <c r="I163"/>
  <c r="R27" i="19"/>
  <c r="G222" i="18"/>
  <c r="E86" i="28"/>
  <c r="I39"/>
  <c r="R31" i="19"/>
  <c r="I207" i="18"/>
  <c r="C126" i="19"/>
  <c r="I90" i="28"/>
  <c r="I37"/>
  <c r="C7"/>
  <c r="E235" i="19"/>
  <c r="I213" i="18"/>
  <c r="I208"/>
  <c r="G182"/>
  <c r="I89" i="28"/>
  <c r="I40"/>
  <c r="C10"/>
  <c r="H63"/>
  <c r="I41"/>
  <c r="E238" i="19"/>
  <c r="E234"/>
  <c r="I210" i="18"/>
  <c r="D109" i="19"/>
  <c r="G178" i="29"/>
  <c r="E15" i="28"/>
  <c r="D164" i="18"/>
  <c r="E233" i="19"/>
  <c r="I211" i="18"/>
  <c r="I206"/>
  <c r="E182"/>
  <c r="E198"/>
  <c r="D126" i="19"/>
  <c r="G211" i="18"/>
  <c r="E84" i="28"/>
  <c r="E14"/>
  <c r="V14" i="19"/>
  <c r="G212" i="18"/>
  <c r="F76"/>
  <c r="C8" i="28"/>
  <c r="C6"/>
  <c r="T77" i="19"/>
  <c r="D92" i="18"/>
  <c r="I223"/>
  <c r="G150" i="29"/>
  <c r="C12" i="28"/>
  <c r="C9"/>
  <c r="C11"/>
  <c r="E194" i="29"/>
  <c r="R26" i="19"/>
  <c r="R25"/>
  <c r="E222" i="18"/>
  <c r="H209" i="19"/>
  <c r="I44" i="28"/>
  <c r="E89"/>
  <c r="D78"/>
  <c r="C14"/>
  <c r="C13"/>
  <c r="V13" i="19"/>
  <c r="E240"/>
  <c r="E236"/>
  <c r="R30"/>
  <c r="R24"/>
  <c r="R11"/>
  <c r="I212" i="18"/>
  <c r="T13" i="19"/>
  <c r="G227" i="18"/>
  <c r="D198"/>
  <c r="E109" i="19"/>
  <c r="D163" i="30"/>
  <c r="F163"/>
  <c r="E90" i="29"/>
  <c r="E10" i="28"/>
  <c r="E9"/>
  <c r="E13"/>
  <c r="C173" i="29"/>
  <c r="C97"/>
  <c r="I91"/>
  <c r="L230" i="18"/>
  <c r="C224"/>
  <c r="C229"/>
  <c r="V82" i="19"/>
  <c r="V83"/>
  <c r="T83"/>
  <c r="G228" i="18"/>
  <c r="E146"/>
  <c r="E142"/>
  <c r="E138"/>
  <c r="E134"/>
  <c r="E141" i="19"/>
  <c r="E134"/>
  <c r="E140"/>
  <c r="V80"/>
  <c r="H163" i="30"/>
  <c r="E163"/>
  <c r="E91" i="29"/>
  <c r="E8" i="28"/>
  <c r="E6"/>
  <c r="I181" i="29"/>
  <c r="C181"/>
  <c r="C94"/>
  <c r="I96"/>
  <c r="C228" i="18"/>
  <c r="C227"/>
  <c r="V81" i="19"/>
  <c r="V10"/>
  <c r="T79"/>
  <c r="G224" i="18"/>
  <c r="E143"/>
  <c r="E139"/>
  <c r="E135"/>
  <c r="E146" i="19"/>
  <c r="E139"/>
  <c r="E145"/>
  <c r="E98" i="29"/>
  <c r="E12" i="28"/>
  <c r="E7"/>
  <c r="C176" i="29"/>
  <c r="E117"/>
  <c r="I99"/>
  <c r="H74" i="19"/>
  <c r="C222" i="18"/>
  <c r="C226"/>
  <c r="V77" i="19"/>
  <c r="T76"/>
  <c r="E144" i="18"/>
  <c r="E140"/>
  <c r="E136"/>
  <c r="C225" i="19"/>
  <c r="E138"/>
  <c r="E144"/>
  <c r="E137"/>
  <c r="E143"/>
  <c r="I178" i="29"/>
  <c r="V15" i="19"/>
  <c r="V7"/>
  <c r="G177" i="29"/>
  <c r="I177"/>
  <c r="E188"/>
  <c r="C192"/>
  <c r="I179"/>
  <c r="G63" i="28"/>
  <c r="E197" i="29"/>
  <c r="D63" i="28"/>
  <c r="C150" i="29"/>
  <c r="F46"/>
  <c r="C46"/>
  <c r="C165"/>
  <c r="D78"/>
  <c r="D62"/>
  <c r="F209" i="19"/>
  <c r="V76"/>
  <c r="G213" i="18"/>
  <c r="T14" i="19"/>
  <c r="T8"/>
  <c r="C62" i="29"/>
  <c r="C63" i="28"/>
  <c r="G62" i="29"/>
  <c r="D46"/>
  <c r="T15" i="19"/>
  <c r="T9"/>
  <c r="F63" i="28"/>
  <c r="C188" i="29"/>
  <c r="C179"/>
  <c r="E165"/>
  <c r="G78" i="28"/>
  <c r="G165" i="29"/>
  <c r="G78"/>
  <c r="K62"/>
  <c r="G205" i="18"/>
  <c r="G214" s="1"/>
  <c r="T11" i="19"/>
  <c r="G226" i="18"/>
  <c r="I224"/>
  <c r="C135" i="19"/>
  <c r="I78" i="28"/>
  <c r="E78"/>
  <c r="E96" i="29"/>
  <c r="E93"/>
  <c r="E97"/>
  <c r="G99"/>
  <c r="I175"/>
  <c r="C180"/>
  <c r="C175"/>
  <c r="E176"/>
  <c r="F117"/>
  <c r="C98"/>
  <c r="C91"/>
  <c r="C96"/>
  <c r="E21" i="28"/>
  <c r="E195" i="29"/>
  <c r="F150"/>
  <c r="C78"/>
  <c r="H62"/>
  <c r="C236" i="19"/>
  <c r="B117" i="29"/>
  <c r="H117" s="1"/>
  <c r="V16" i="19"/>
  <c r="V12"/>
  <c r="G209"/>
  <c r="T82"/>
  <c r="R14"/>
  <c r="T16"/>
  <c r="T7"/>
  <c r="T12"/>
  <c r="G223" i="18"/>
  <c r="G229"/>
  <c r="I222"/>
  <c r="C209" i="19"/>
  <c r="E209"/>
  <c r="C141" i="18"/>
  <c r="C145" i="19"/>
  <c r="C140"/>
  <c r="H78" i="28"/>
  <c r="E99" i="29"/>
  <c r="E85"/>
  <c r="E87"/>
  <c r="G94"/>
  <c r="E30" i="28"/>
  <c r="D15" i="31"/>
  <c r="E175" i="29"/>
  <c r="F165"/>
  <c r="G117"/>
  <c r="C117"/>
  <c r="C90"/>
  <c r="C86"/>
  <c r="F78"/>
  <c r="E25" i="28"/>
  <c r="E150" i="29"/>
  <c r="H78"/>
  <c r="C237" i="19"/>
  <c r="D209"/>
  <c r="C137"/>
  <c r="C141"/>
  <c r="H150" i="29"/>
  <c r="E94"/>
  <c r="E86"/>
  <c r="E89"/>
  <c r="C15" i="31"/>
  <c r="D150" i="29"/>
  <c r="C89"/>
  <c r="C85"/>
  <c r="E78"/>
  <c r="E28" i="28"/>
  <c r="D165" i="29"/>
  <c r="L241" i="19"/>
  <c r="C143"/>
  <c r="E85" i="28"/>
  <c r="E87"/>
  <c r="G90"/>
  <c r="G22"/>
  <c r="E225" i="19"/>
  <c r="E92" i="28"/>
  <c r="E88"/>
  <c r="G91"/>
  <c r="G176" i="29"/>
  <c r="G95"/>
  <c r="G27" i="28"/>
  <c r="G190" i="29"/>
  <c r="B78" i="28"/>
  <c r="J78" s="1"/>
  <c r="E192" i="29"/>
  <c r="E191"/>
  <c r="M62"/>
  <c r="I62"/>
  <c r="E62"/>
  <c r="X78" i="19"/>
  <c r="G208" i="18"/>
  <c r="G206"/>
  <c r="G195" i="29"/>
  <c r="I176"/>
  <c r="B63" i="28"/>
  <c r="I63" s="1"/>
  <c r="E190" i="29"/>
  <c r="E189"/>
  <c r="J62"/>
  <c r="F62"/>
  <c r="K240" i="19"/>
  <c r="X79"/>
  <c r="G210" i="18"/>
  <c r="B198"/>
  <c r="G198" s="1"/>
  <c r="B17" i="19"/>
  <c r="D17" s="1"/>
  <c r="I150" i="29"/>
  <c r="C101"/>
  <c r="C76" i="18"/>
  <c r="H76" s="1"/>
  <c r="G76"/>
  <c r="G89" i="28"/>
  <c r="G92"/>
  <c r="G86"/>
  <c r="I193" i="29"/>
  <c r="I100"/>
  <c r="I93"/>
  <c r="G192"/>
  <c r="G188"/>
  <c r="I86"/>
  <c r="G46"/>
  <c r="I89"/>
  <c r="C239" i="19"/>
  <c r="C235"/>
  <c r="V31"/>
  <c r="F164" i="18"/>
  <c r="D109"/>
  <c r="X77" i="19"/>
  <c r="X81"/>
  <c r="X76"/>
  <c r="X26"/>
  <c r="X24"/>
  <c r="X25"/>
  <c r="R15"/>
  <c r="R9"/>
  <c r="R8"/>
  <c r="E208" i="18"/>
  <c r="K221"/>
  <c r="K230" s="1"/>
  <c r="E224"/>
  <c r="D225" i="19"/>
  <c r="C144" i="18"/>
  <c r="C136"/>
  <c r="I85" i="29"/>
  <c r="I101" s="1"/>
  <c r="AR63" i="27"/>
  <c r="X32" i="19"/>
  <c r="K223" i="18"/>
  <c r="G87" i="28"/>
  <c r="G85"/>
  <c r="I92"/>
  <c r="I190" i="29"/>
  <c r="E101"/>
  <c r="I97"/>
  <c r="E46"/>
  <c r="C195"/>
  <c r="C191"/>
  <c r="G193"/>
  <c r="G196"/>
  <c r="I180"/>
  <c r="I173"/>
  <c r="C178"/>
  <c r="C177"/>
  <c r="C174"/>
  <c r="C87"/>
  <c r="E23" i="28"/>
  <c r="E24"/>
  <c r="I90" i="29"/>
  <c r="I94"/>
  <c r="C238" i="19"/>
  <c r="C233"/>
  <c r="V29"/>
  <c r="G164" i="18"/>
  <c r="C164"/>
  <c r="C109"/>
  <c r="K235" i="19"/>
  <c r="F225"/>
  <c r="D92"/>
  <c r="X80"/>
  <c r="X83"/>
  <c r="X30"/>
  <c r="X27"/>
  <c r="X29"/>
  <c r="R12"/>
  <c r="R7"/>
  <c r="E209" i="18"/>
  <c r="F92" i="19"/>
  <c r="K226" i="18"/>
  <c r="E221"/>
  <c r="E230" s="1"/>
  <c r="E76"/>
  <c r="C145"/>
  <c r="C137"/>
  <c r="E109"/>
  <c r="X23" i="19"/>
  <c r="D76" i="18"/>
  <c r="G84" i="28"/>
  <c r="G180" i="29"/>
  <c r="G175"/>
  <c r="C189"/>
  <c r="G197"/>
  <c r="G189"/>
  <c r="I172"/>
  <c r="E22" i="28"/>
  <c r="E26"/>
  <c r="E196" i="29"/>
  <c r="I95"/>
  <c r="I98"/>
  <c r="C240" i="19"/>
  <c r="C234"/>
  <c r="E164" i="18"/>
  <c r="K232" i="19"/>
  <c r="K241" s="1"/>
  <c r="X82"/>
  <c r="X31"/>
  <c r="R13"/>
  <c r="R10"/>
  <c r="E211" i="18"/>
  <c r="K222"/>
  <c r="I227"/>
  <c r="E223"/>
  <c r="H182"/>
  <c r="C140"/>
  <c r="C182"/>
  <c r="B225" i="19"/>
  <c r="G225" s="1"/>
  <c r="B92"/>
  <c r="G92" s="1"/>
  <c r="E92"/>
  <c r="C92"/>
  <c r="C93" i="28"/>
  <c r="I85"/>
  <c r="I86"/>
  <c r="E93"/>
  <c r="I91"/>
  <c r="G93"/>
  <c r="I93"/>
  <c r="I84"/>
  <c r="I88"/>
  <c r="B92" i="18"/>
  <c r="G92" s="1"/>
  <c r="F92"/>
  <c r="C92"/>
  <c r="E92"/>
  <c r="E45" i="28"/>
  <c r="I36"/>
  <c r="I38"/>
  <c r="I42"/>
  <c r="I43"/>
  <c r="C45"/>
  <c r="I45" s="1"/>
  <c r="G45"/>
  <c r="I197" i="29"/>
  <c r="I191"/>
  <c r="I196"/>
  <c r="G179"/>
  <c r="G172"/>
  <c r="G91"/>
  <c r="G101"/>
  <c r="G87"/>
  <c r="G85"/>
  <c r="G30" i="28"/>
  <c r="G28"/>
  <c r="G23"/>
  <c r="C190" i="29"/>
  <c r="C194"/>
  <c r="E179"/>
  <c r="E180"/>
  <c r="E173"/>
  <c r="C100"/>
  <c r="C95"/>
  <c r="C99"/>
  <c r="V32" i="19"/>
  <c r="V26"/>
  <c r="V24"/>
  <c r="V8"/>
  <c r="V9"/>
  <c r="K239"/>
  <c r="K233"/>
  <c r="T75"/>
  <c r="T81"/>
  <c r="I192" i="29"/>
  <c r="I188"/>
  <c r="G181"/>
  <c r="G174"/>
  <c r="E100"/>
  <c r="G96"/>
  <c r="G89"/>
  <c r="G86"/>
  <c r="G100"/>
  <c r="G26" i="28"/>
  <c r="G21"/>
  <c r="C197" i="29"/>
  <c r="C193"/>
  <c r="G194"/>
  <c r="E181"/>
  <c r="E174"/>
  <c r="E29" i="28"/>
  <c r="V30" i="19"/>
  <c r="V27"/>
  <c r="V79"/>
  <c r="V75"/>
  <c r="K238"/>
  <c r="K234"/>
  <c r="T78"/>
  <c r="E210" i="18"/>
  <c r="E205"/>
  <c r="E214" s="1"/>
  <c r="E229"/>
  <c r="Y84" i="19"/>
  <c r="C133" i="18"/>
  <c r="C147" s="1"/>
  <c r="E213"/>
  <c r="E212"/>
  <c r="K229"/>
  <c r="K227"/>
  <c r="I221"/>
  <c r="I230" s="1"/>
  <c r="I229"/>
  <c r="E227"/>
  <c r="E225"/>
  <c r="C146"/>
  <c r="C142"/>
  <c r="C138"/>
  <c r="C134"/>
  <c r="C146" i="19"/>
  <c r="C144"/>
  <c r="C142"/>
  <c r="C139"/>
  <c r="H75"/>
  <c r="G76" s="1"/>
  <c r="I195" i="29"/>
  <c r="I189"/>
  <c r="G98"/>
  <c r="G90"/>
  <c r="G97"/>
  <c r="G29" i="28"/>
  <c r="G25"/>
  <c r="E177" i="29"/>
  <c r="E178"/>
  <c r="V28" i="19"/>
  <c r="V23"/>
  <c r="E207" i="18"/>
  <c r="K228"/>
  <c r="I226"/>
  <c r="E226"/>
  <c r="C143"/>
  <c r="C139"/>
  <c r="C138" i="19"/>
  <c r="C136"/>
  <c r="C134"/>
  <c r="Z84" l="1"/>
  <c r="X84"/>
  <c r="V84"/>
  <c r="R84"/>
  <c r="Z82"/>
  <c r="C76"/>
  <c r="H76" s="1"/>
  <c r="Z79"/>
  <c r="Z81"/>
  <c r="Z76"/>
  <c r="Z83"/>
  <c r="F76"/>
  <c r="D76"/>
  <c r="Z75"/>
  <c r="Z78"/>
  <c r="E76"/>
  <c r="T84"/>
  <c r="Z80"/>
  <c r="Z77"/>
  <c r="K236" l="1"/>
  <c r="G225" i="18"/>
  <c r="G209"/>
  <c r="K209"/>
  <c r="G236" i="19"/>
  <c r="I225" i="18"/>
  <c r="C184" i="25"/>
  <c r="I236" i="19"/>
  <c r="K225" i="18"/>
  <c r="D126"/>
  <c r="C126"/>
  <c r="E125"/>
  <c r="B126"/>
  <c r="I209"/>
</calcChain>
</file>

<file path=xl/comments1.xml><?xml version="1.0" encoding="utf-8"?>
<comments xmlns="http://schemas.openxmlformats.org/spreadsheetml/2006/main">
  <authors>
    <author>Encoder'S Note:</author>
    <author>Robert</author>
    <author>Rex Simbajon</author>
  </authors>
  <commentList>
    <comment ref="B694" authorId="0">
      <text>
        <r>
          <rPr>
            <b/>
            <sz val="9"/>
            <color indexed="81"/>
            <rFont val="Tahoma"/>
            <family val="2"/>
          </rPr>
          <t>Encoder'S Note::</t>
        </r>
        <r>
          <rPr>
            <sz val="9"/>
            <color indexed="81"/>
            <rFont val="Tahoma"/>
            <family val="2"/>
          </rPr>
          <t xml:space="preserve">
</t>
        </r>
        <r>
          <rPr>
            <b/>
            <sz val="9"/>
            <color indexed="81"/>
            <rFont val="Tahoma"/>
            <family val="2"/>
          </rPr>
          <t xml:space="preserve">SES NO DATA
</t>
        </r>
      </text>
    </comment>
    <comment ref="B699" authorId="0">
      <text>
        <r>
          <rPr>
            <b/>
            <sz val="9"/>
            <color indexed="81"/>
            <rFont val="Tahoma"/>
            <family val="2"/>
          </rPr>
          <t>Encoder'S Note::</t>
        </r>
        <r>
          <rPr>
            <sz val="9"/>
            <color indexed="81"/>
            <rFont val="Tahoma"/>
            <family val="2"/>
          </rPr>
          <t xml:space="preserve">
</t>
        </r>
        <r>
          <rPr>
            <b/>
            <sz val="9"/>
            <color indexed="81"/>
            <rFont val="Tahoma"/>
            <family val="2"/>
          </rPr>
          <t xml:space="preserve">INCOMPLETE SES </t>
        </r>
      </text>
    </comment>
    <comment ref="B752" authorId="0">
      <text>
        <r>
          <rPr>
            <b/>
            <sz val="9"/>
            <color indexed="81"/>
            <rFont val="Tahoma"/>
            <family val="2"/>
          </rPr>
          <t>Encoder'S Note::</t>
        </r>
        <r>
          <rPr>
            <sz val="9"/>
            <color indexed="81"/>
            <rFont val="Tahoma"/>
            <family val="2"/>
          </rPr>
          <t xml:space="preserve">
</t>
        </r>
        <r>
          <rPr>
            <b/>
            <sz val="9"/>
            <color indexed="81"/>
            <rFont val="Tahoma"/>
            <family val="2"/>
          </rPr>
          <t>NO SES DATA</t>
        </r>
      </text>
    </comment>
    <comment ref="B1031" authorId="0">
      <text>
        <r>
          <rPr>
            <b/>
            <sz val="9"/>
            <color indexed="81"/>
            <rFont val="Tahoma"/>
            <family val="2"/>
          </rPr>
          <t>Encoder'S Note::</t>
        </r>
        <r>
          <rPr>
            <sz val="9"/>
            <color indexed="81"/>
            <rFont val="Tahoma"/>
            <family val="2"/>
          </rPr>
          <t xml:space="preserve">
Some Member don’t have an AGE 
MPF:
Include in  the No answer</t>
        </r>
      </text>
    </comment>
    <comment ref="B1062" authorId="1">
      <text>
        <r>
          <rPr>
            <b/>
            <sz val="9"/>
            <color indexed="81"/>
            <rFont val="Tahoma"/>
            <family val="2"/>
          </rPr>
          <t>Molin: ISF Renter but the owner do not reside in the structure affected</t>
        </r>
        <r>
          <rPr>
            <sz val="9"/>
            <color indexed="81"/>
            <rFont val="Tahoma"/>
            <family val="2"/>
          </rPr>
          <t xml:space="preserve">
</t>
        </r>
      </text>
    </comment>
    <comment ref="B1198" authorId="0">
      <text>
        <r>
          <rPr>
            <b/>
            <sz val="9"/>
            <color indexed="81"/>
            <rFont val="Tahoma"/>
            <family val="2"/>
          </rPr>
          <t>Encoder'S Note::</t>
        </r>
        <r>
          <rPr>
            <sz val="9"/>
            <color indexed="81"/>
            <rFont val="Tahoma"/>
            <family val="2"/>
          </rPr>
          <t xml:space="preserve">
</t>
        </r>
        <r>
          <rPr>
            <b/>
            <sz val="9"/>
            <color indexed="81"/>
            <rFont val="Tahoma"/>
            <family val="2"/>
          </rPr>
          <t>UNKNOWN EDUCATIONAL ATTAINMENT (oscar)
MPF: 
respondent do not know.  Include in the "no answer"</t>
        </r>
      </text>
    </comment>
    <comment ref="B1216" authorId="1">
      <text>
        <r>
          <rPr>
            <b/>
            <sz val="9"/>
            <color indexed="81"/>
            <rFont val="Tahoma"/>
            <family val="2"/>
          </rPr>
          <t>MPF: no SES</t>
        </r>
        <r>
          <rPr>
            <sz val="9"/>
            <color indexed="81"/>
            <rFont val="Tahoma"/>
            <family val="2"/>
          </rPr>
          <t xml:space="preserve">
</t>
        </r>
      </text>
    </comment>
    <comment ref="B1229" authorId="1">
      <text>
        <r>
          <rPr>
            <b/>
            <sz val="9"/>
            <color indexed="81"/>
            <rFont val="Tahoma"/>
            <family val="2"/>
          </rPr>
          <t>MPF: Inc D4</t>
        </r>
        <r>
          <rPr>
            <sz val="9"/>
            <color indexed="81"/>
            <rFont val="Tahoma"/>
            <family val="2"/>
          </rPr>
          <t xml:space="preserve">
</t>
        </r>
      </text>
    </comment>
    <comment ref="B1243" authorId="0">
      <text>
        <r>
          <rPr>
            <b/>
            <sz val="9"/>
            <color indexed="81"/>
            <rFont val="Tahoma"/>
            <family val="2"/>
          </rPr>
          <t xml:space="preserve">Encoder'S Note::
total Area=???
AFFTED AREA=???? 
Pls Verify
</t>
        </r>
      </text>
    </comment>
    <comment ref="C1351" authorId="0">
      <text>
        <r>
          <rPr>
            <b/>
            <sz val="9"/>
            <color indexed="81"/>
            <rFont val="Tahoma"/>
            <family val="2"/>
          </rPr>
          <t>Encoder'S Note::</t>
        </r>
        <r>
          <rPr>
            <sz val="9"/>
            <color indexed="81"/>
            <rFont val="Tahoma"/>
            <family val="2"/>
          </rPr>
          <t xml:space="preserve">
NO RELOCATION PACKAGE OPTION</t>
        </r>
      </text>
    </comment>
    <comment ref="B1353" authorId="2">
      <text>
        <r>
          <rPr>
            <sz val="9"/>
            <color indexed="81"/>
            <rFont val="Tahoma"/>
            <family val="2"/>
          </rPr>
          <t xml:space="preserve">ISF absentee owner (Rowena Castro)
new owner Renter Jonathan Udan no  SES and D4
</t>
        </r>
      </text>
    </comment>
    <comment ref="B1368" authorId="0">
      <text>
        <r>
          <rPr>
            <b/>
            <sz val="9"/>
            <color indexed="81"/>
            <rFont val="Tahoma"/>
            <family val="2"/>
          </rPr>
          <t>Encoder'S Note::</t>
        </r>
        <r>
          <rPr>
            <sz val="9"/>
            <color indexed="81"/>
            <rFont val="Tahoma"/>
            <family val="2"/>
          </rPr>
          <t xml:space="preserve">
NO RELOCATION PACKAGE OPTION</t>
        </r>
      </text>
    </comment>
    <comment ref="B1434" authorId="0">
      <text>
        <r>
          <rPr>
            <b/>
            <sz val="9"/>
            <color indexed="81"/>
            <rFont val="Tahoma"/>
            <family val="2"/>
          </rPr>
          <t>Encoder'S Note::</t>
        </r>
        <r>
          <rPr>
            <sz val="9"/>
            <color indexed="81"/>
            <rFont val="Tahoma"/>
            <family val="2"/>
          </rPr>
          <t xml:space="preserve">
</t>
        </r>
        <r>
          <rPr>
            <b/>
            <sz val="9"/>
            <color indexed="81"/>
            <rFont val="Tahoma"/>
            <family val="2"/>
          </rPr>
          <t xml:space="preserve">VERIFY&gt;&gt;&gt;&gt;&gt;SES DETAILS
</t>
        </r>
      </text>
    </comment>
    <comment ref="B1475" authorId="0">
      <text>
        <r>
          <rPr>
            <b/>
            <sz val="9"/>
            <color indexed="81"/>
            <rFont val="Tahoma"/>
            <family val="2"/>
          </rPr>
          <t>Encoder'S Note::</t>
        </r>
        <r>
          <rPr>
            <sz val="9"/>
            <color indexed="81"/>
            <rFont val="Tahoma"/>
            <family val="2"/>
          </rPr>
          <t xml:space="preserve">
</t>
        </r>
        <r>
          <rPr>
            <b/>
            <sz val="9"/>
            <color indexed="81"/>
            <rFont val="Tahoma"/>
            <family val="2"/>
          </rPr>
          <t>SES DETAILS NOT ENCODED</t>
        </r>
      </text>
    </comment>
    <comment ref="B1493" authorId="2">
      <text>
        <r>
          <rPr>
            <b/>
            <sz val="9"/>
            <color indexed="81"/>
            <rFont val="Tahoma"/>
            <family val="2"/>
          </rPr>
          <t>Simbajon:
NO SES info but w/person need asstnce</t>
        </r>
        <r>
          <rPr>
            <sz val="9"/>
            <color indexed="81"/>
            <rFont val="Tahoma"/>
            <family val="2"/>
          </rPr>
          <t xml:space="preserve">
</t>
        </r>
      </text>
    </comment>
    <comment ref="B1504" authorId="0">
      <text>
        <r>
          <rPr>
            <b/>
            <sz val="9"/>
            <color indexed="81"/>
            <rFont val="Tahoma"/>
            <family val="2"/>
          </rPr>
          <t>Encoder'S Note::</t>
        </r>
        <r>
          <rPr>
            <sz val="9"/>
            <color indexed="81"/>
            <rFont val="Tahoma"/>
            <family val="2"/>
          </rPr>
          <t xml:space="preserve">
</t>
        </r>
        <r>
          <rPr>
            <b/>
            <sz val="9"/>
            <color indexed="81"/>
            <rFont val="Tahoma"/>
            <family val="2"/>
          </rPr>
          <t xml:space="preserve">NO &gt;&gt;&gt;&gt;
SES DETAILS </t>
        </r>
      </text>
    </comment>
    <comment ref="B1530" authorId="0">
      <text>
        <r>
          <rPr>
            <b/>
            <sz val="9"/>
            <color indexed="81"/>
            <rFont val="Tahoma"/>
            <family val="2"/>
          </rPr>
          <t xml:space="preserve">Encoder'S Note::
</t>
        </r>
        <r>
          <rPr>
            <sz val="9"/>
            <color indexed="81"/>
            <rFont val="Tahoma"/>
            <family val="2"/>
          </rPr>
          <t xml:space="preserve">
wrong CP num…...</t>
        </r>
      </text>
    </comment>
    <comment ref="B1589" authorId="0">
      <text>
        <r>
          <rPr>
            <b/>
            <sz val="9"/>
            <color indexed="81"/>
            <rFont val="Tahoma"/>
            <family val="2"/>
          </rPr>
          <t>Encoder'S Note::</t>
        </r>
        <r>
          <rPr>
            <sz val="9"/>
            <color indexed="81"/>
            <rFont val="Tahoma"/>
            <family val="2"/>
          </rPr>
          <t xml:space="preserve">
</t>
        </r>
        <r>
          <rPr>
            <b/>
            <sz val="9"/>
            <color indexed="81"/>
            <rFont val="Tahoma"/>
            <family val="2"/>
          </rPr>
          <t>FENCE DETAILS VERIFY</t>
        </r>
      </text>
    </comment>
    <comment ref="B1605" authorId="0">
      <text>
        <r>
          <rPr>
            <b/>
            <sz val="9"/>
            <color indexed="81"/>
            <rFont val="Tahoma"/>
            <family val="2"/>
          </rPr>
          <t>Encoder'S Note::</t>
        </r>
        <r>
          <rPr>
            <sz val="9"/>
            <color indexed="81"/>
            <rFont val="Tahoma"/>
            <family val="2"/>
          </rPr>
          <t xml:space="preserve">
</t>
        </r>
        <r>
          <rPr>
            <b/>
            <sz val="9"/>
            <color indexed="81"/>
            <rFont val="Tahoma"/>
            <family val="2"/>
          </rPr>
          <t>FENCE DETAILS VERIFY</t>
        </r>
      </text>
    </comment>
    <comment ref="B1826" authorId="0">
      <text>
        <r>
          <rPr>
            <b/>
            <sz val="9"/>
            <color indexed="81"/>
            <rFont val="Tahoma"/>
            <family val="2"/>
          </rPr>
          <t>Encoder'S Note::</t>
        </r>
        <r>
          <rPr>
            <sz val="9"/>
            <color indexed="81"/>
            <rFont val="Tahoma"/>
            <family val="2"/>
          </rPr>
          <t xml:space="preserve">
</t>
        </r>
        <r>
          <rPr>
            <b/>
            <sz val="9"/>
            <color indexed="81"/>
            <rFont val="Tahoma"/>
            <family val="2"/>
          </rPr>
          <t xml:space="preserve">NO SES DETAILS
NO CIBEs DETAIL as Commercial
</t>
        </r>
      </text>
    </comment>
    <comment ref="B1832" authorId="2">
      <text>
        <r>
          <rPr>
            <b/>
            <sz val="9"/>
            <color indexed="81"/>
            <rFont val="Tahoma"/>
            <family val="2"/>
          </rPr>
          <t>Simbajon:
PLS VERIFY Structure.NUMBER CA or MN</t>
        </r>
        <r>
          <rPr>
            <sz val="9"/>
            <color indexed="81"/>
            <rFont val="Tahoma"/>
            <family val="2"/>
          </rPr>
          <t xml:space="preserve">
ADDRESS not the same</t>
        </r>
      </text>
    </comment>
    <comment ref="B1842" authorId="0">
      <text>
        <r>
          <rPr>
            <b/>
            <sz val="9"/>
            <color indexed="81"/>
            <rFont val="Tahoma"/>
            <family val="2"/>
          </rPr>
          <t>Encoder'S Note::
ACQUIRED RIGHTS&gt;&gt;&gt;???
NO DOCs
SENIOR AGE VERIFY
NO SES DATA</t>
        </r>
      </text>
    </comment>
    <comment ref="B1910" authorId="0">
      <text>
        <r>
          <rPr>
            <b/>
            <sz val="9"/>
            <color indexed="81"/>
            <rFont val="Tahoma"/>
            <family val="2"/>
          </rPr>
          <t>Encoder'S Note::</t>
        </r>
        <r>
          <rPr>
            <sz val="9"/>
            <color indexed="81"/>
            <rFont val="Tahoma"/>
            <family val="2"/>
          </rPr>
          <t xml:space="preserve">
</t>
        </r>
        <r>
          <rPr>
            <b/>
            <sz val="9"/>
            <color indexed="81"/>
            <rFont val="Tahoma"/>
            <family val="2"/>
          </rPr>
          <t>VERIFY &gt;&gt;&gt; COORDINATES</t>
        </r>
      </text>
    </comment>
    <comment ref="B1911" authorId="2">
      <text>
        <r>
          <rPr>
            <b/>
            <sz val="9"/>
            <color indexed="81"/>
            <rFont val="Tahoma"/>
            <family val="2"/>
          </rPr>
          <t>Simbajon:
senior person info incomplete
NO SES</t>
        </r>
        <r>
          <rPr>
            <sz val="9"/>
            <color indexed="81"/>
            <rFont val="Tahoma"/>
            <family val="2"/>
          </rPr>
          <t xml:space="preserve">
</t>
        </r>
      </text>
    </comment>
    <comment ref="B1920" authorId="0">
      <text>
        <r>
          <rPr>
            <b/>
            <sz val="9"/>
            <color indexed="81"/>
            <rFont val="Tahoma"/>
            <family val="2"/>
          </rPr>
          <t>Encoder'S Note::</t>
        </r>
        <r>
          <rPr>
            <sz val="9"/>
            <color indexed="81"/>
            <rFont val="Tahoma"/>
            <family val="2"/>
          </rPr>
          <t xml:space="preserve">
</t>
        </r>
        <r>
          <rPr>
            <b/>
            <sz val="9"/>
            <color indexed="81"/>
            <rFont val="Tahoma"/>
            <family val="2"/>
          </rPr>
          <t>NAME NG RENTER ?????
wala</t>
        </r>
      </text>
    </comment>
    <comment ref="B1940" authorId="0">
      <text>
        <r>
          <rPr>
            <b/>
            <sz val="9"/>
            <color indexed="81"/>
            <rFont val="Tahoma"/>
            <family val="2"/>
          </rPr>
          <t>Encoder'S Note::</t>
        </r>
        <r>
          <rPr>
            <sz val="9"/>
            <color indexed="81"/>
            <rFont val="Tahoma"/>
            <family val="2"/>
          </rPr>
          <t xml:space="preserve">
</t>
        </r>
        <r>
          <rPr>
            <b/>
            <sz val="9"/>
            <color indexed="81"/>
            <rFont val="Tahoma"/>
            <family val="2"/>
          </rPr>
          <t>MAY OCCUPANT BA??
BLANK FORM</t>
        </r>
      </text>
    </comment>
    <comment ref="D2013" authorId="0">
      <text>
        <r>
          <rPr>
            <b/>
            <sz val="9"/>
            <color indexed="81"/>
            <rFont val="Tahoma"/>
            <family val="2"/>
          </rPr>
          <t>Encoder'S Note::</t>
        </r>
        <r>
          <rPr>
            <sz val="9"/>
            <color indexed="81"/>
            <rFont val="Tahoma"/>
            <family val="2"/>
          </rPr>
          <t xml:space="preserve">
</t>
        </r>
        <r>
          <rPr>
            <b/>
            <sz val="9"/>
            <color indexed="81"/>
            <rFont val="Tahoma"/>
            <family val="2"/>
          </rPr>
          <t>LAND DOC form NOTES</t>
        </r>
      </text>
    </comment>
    <comment ref="B2065" authorId="0">
      <text>
        <r>
          <rPr>
            <b/>
            <sz val="9"/>
            <color indexed="81"/>
            <rFont val="Tahoma"/>
            <family val="2"/>
          </rPr>
          <t>Encoder'S Note::</t>
        </r>
        <r>
          <rPr>
            <sz val="9"/>
            <color indexed="81"/>
            <rFont val="Tahoma"/>
            <family val="2"/>
          </rPr>
          <t xml:space="preserve">
</t>
        </r>
        <r>
          <rPr>
            <b/>
            <sz val="9"/>
            <color indexed="81"/>
            <rFont val="Tahoma"/>
            <family val="2"/>
          </rPr>
          <t xml:space="preserve">NO DETAILS &gt;&gt;&gt; NO DATA
</t>
        </r>
      </text>
    </comment>
    <comment ref="B2072" authorId="0">
      <text>
        <r>
          <rPr>
            <b/>
            <sz val="9"/>
            <color indexed="81"/>
            <rFont val="Tahoma"/>
            <family val="2"/>
          </rPr>
          <t>Encoder'S Note::</t>
        </r>
        <r>
          <rPr>
            <sz val="9"/>
            <color indexed="81"/>
            <rFont val="Tahoma"/>
            <family val="2"/>
          </rPr>
          <t xml:space="preserve">
VERIFY </t>
        </r>
        <r>
          <rPr>
            <b/>
            <sz val="9"/>
            <color indexed="81"/>
            <rFont val="Tahoma"/>
            <family val="2"/>
          </rPr>
          <t>SES DATA</t>
        </r>
      </text>
    </comment>
    <comment ref="B2080" authorId="0">
      <text>
        <r>
          <rPr>
            <b/>
            <sz val="9"/>
            <color indexed="81"/>
            <rFont val="Tahoma"/>
            <family val="2"/>
          </rPr>
          <t>Encoder'S Note::</t>
        </r>
        <r>
          <rPr>
            <sz val="9"/>
            <color indexed="81"/>
            <rFont val="Tahoma"/>
            <family val="2"/>
          </rPr>
          <t xml:space="preserve">
</t>
        </r>
        <r>
          <rPr>
            <b/>
            <sz val="9"/>
            <color indexed="81"/>
            <rFont val="Tahoma"/>
            <family val="2"/>
          </rPr>
          <t>SES DATA VERIFY??
Income ….</t>
        </r>
      </text>
    </comment>
    <comment ref="D2080" authorId="0">
      <text>
        <r>
          <rPr>
            <b/>
            <sz val="9"/>
            <color indexed="81"/>
            <rFont val="Tahoma"/>
            <family val="2"/>
          </rPr>
          <t>Encoder'S Note::</t>
        </r>
        <r>
          <rPr>
            <sz val="9"/>
            <color indexed="81"/>
            <rFont val="Tahoma"/>
            <family val="2"/>
          </rPr>
          <t xml:space="preserve">
</t>
        </r>
        <r>
          <rPr>
            <b/>
            <sz val="9"/>
            <color indexed="81"/>
            <rFont val="Tahoma"/>
            <family val="2"/>
          </rPr>
          <t>SES DATA VERIFY??
Income ….</t>
        </r>
      </text>
    </comment>
    <comment ref="B2085" authorId="2">
      <text>
        <r>
          <rPr>
            <b/>
            <sz val="9"/>
            <color indexed="81"/>
            <rFont val="Tahoma"/>
            <family val="2"/>
          </rPr>
          <t>Simbajon:
NO SES ???</t>
        </r>
        <r>
          <rPr>
            <sz val="9"/>
            <color indexed="81"/>
            <rFont val="Tahoma"/>
            <family val="2"/>
          </rPr>
          <t xml:space="preserve">
</t>
        </r>
      </text>
    </comment>
    <comment ref="B2092" authorId="0">
      <text>
        <r>
          <rPr>
            <b/>
            <sz val="9"/>
            <color indexed="81"/>
            <rFont val="Tahoma"/>
            <family val="2"/>
          </rPr>
          <t>Encoder'S Note::</t>
        </r>
        <r>
          <rPr>
            <sz val="9"/>
            <color indexed="81"/>
            <rFont val="Tahoma"/>
            <family val="2"/>
          </rPr>
          <t xml:space="preserve">
</t>
        </r>
        <r>
          <rPr>
            <b/>
            <sz val="9"/>
            <color indexed="81"/>
            <rFont val="Tahoma"/>
            <family val="2"/>
          </rPr>
          <t>SES DATA VERIFY</t>
        </r>
      </text>
    </comment>
    <comment ref="B2096" authorId="0">
      <text>
        <r>
          <rPr>
            <b/>
            <sz val="9"/>
            <color indexed="81"/>
            <rFont val="Tahoma"/>
            <family val="2"/>
          </rPr>
          <t>Encoder'S Note::</t>
        </r>
        <r>
          <rPr>
            <sz val="9"/>
            <color indexed="81"/>
            <rFont val="Tahoma"/>
            <family val="2"/>
          </rPr>
          <t xml:space="preserve">
</t>
        </r>
        <r>
          <rPr>
            <b/>
            <sz val="9"/>
            <color indexed="81"/>
            <rFont val="Tahoma"/>
            <family val="2"/>
          </rPr>
          <t>SES DATA VERIFY</t>
        </r>
      </text>
    </comment>
    <comment ref="D2096" authorId="0">
      <text>
        <r>
          <rPr>
            <b/>
            <sz val="9"/>
            <color indexed="81"/>
            <rFont val="Tahoma"/>
            <family val="2"/>
          </rPr>
          <t>Encoder'S Note::</t>
        </r>
        <r>
          <rPr>
            <sz val="9"/>
            <color indexed="81"/>
            <rFont val="Tahoma"/>
            <family val="2"/>
          </rPr>
          <t xml:space="preserve">
</t>
        </r>
        <r>
          <rPr>
            <b/>
            <sz val="9"/>
            <color indexed="81"/>
            <rFont val="Tahoma"/>
            <family val="2"/>
          </rPr>
          <t>SES DATA VERIFY</t>
        </r>
      </text>
    </comment>
    <comment ref="B2133" authorId="0">
      <text>
        <r>
          <rPr>
            <b/>
            <sz val="9"/>
            <color indexed="81"/>
            <rFont val="Tahoma"/>
            <family val="2"/>
          </rPr>
          <t>Encoder'S Note::
DATA VERIFY…..
NO DETAILS</t>
        </r>
      </text>
    </comment>
    <comment ref="B2142" authorId="0">
      <text>
        <r>
          <rPr>
            <b/>
            <sz val="9"/>
            <color indexed="81"/>
            <rFont val="Tahoma"/>
            <family val="2"/>
          </rPr>
          <t>Encoder'S Note::</t>
        </r>
        <r>
          <rPr>
            <sz val="9"/>
            <color indexed="81"/>
            <rFont val="Tahoma"/>
            <family val="2"/>
          </rPr>
          <t xml:space="preserve">
</t>
        </r>
        <r>
          <rPr>
            <b/>
            <sz val="9"/>
            <color indexed="81"/>
            <rFont val="Tahoma"/>
            <family val="2"/>
          </rPr>
          <t>LAND PRIVATE BY WHO????</t>
        </r>
      </text>
    </comment>
    <comment ref="B2178" authorId="0">
      <text>
        <r>
          <rPr>
            <b/>
            <sz val="9"/>
            <color indexed="81"/>
            <rFont val="Tahoma"/>
            <family val="2"/>
          </rPr>
          <t>Encoder'S Note::</t>
        </r>
        <r>
          <rPr>
            <sz val="9"/>
            <color indexed="81"/>
            <rFont val="Tahoma"/>
            <family val="2"/>
          </rPr>
          <t xml:space="preserve">
</t>
        </r>
        <r>
          <rPr>
            <b/>
            <sz val="9"/>
            <color indexed="81"/>
            <rFont val="Tahoma"/>
            <family val="2"/>
          </rPr>
          <t xml:space="preserve">INCOME DATA UNCLEAR
</t>
        </r>
      </text>
    </comment>
    <comment ref="D2178" authorId="0">
      <text>
        <r>
          <rPr>
            <b/>
            <sz val="9"/>
            <color indexed="81"/>
            <rFont val="Tahoma"/>
            <family val="2"/>
          </rPr>
          <t>Encoder'S Note::</t>
        </r>
        <r>
          <rPr>
            <sz val="9"/>
            <color indexed="81"/>
            <rFont val="Tahoma"/>
            <family val="2"/>
          </rPr>
          <t xml:space="preserve">
</t>
        </r>
        <r>
          <rPr>
            <b/>
            <sz val="9"/>
            <color indexed="81"/>
            <rFont val="Tahoma"/>
            <family val="2"/>
          </rPr>
          <t>VERIFY INCOME DETAILS</t>
        </r>
      </text>
    </comment>
    <comment ref="B2274" authorId="2">
      <text>
        <r>
          <rPr>
            <b/>
            <sz val="9"/>
            <color indexed="81"/>
            <rFont val="Tahoma"/>
            <family val="2"/>
          </rPr>
          <t>Simbajon:
STRUCture OWNER&gt;???</t>
        </r>
        <r>
          <rPr>
            <sz val="9"/>
            <color indexed="81"/>
            <rFont val="Tahoma"/>
            <family val="2"/>
          </rPr>
          <t xml:space="preserve">
Arragement INFO ..????
Person need ASSISTANCE ???? WHY??</t>
        </r>
      </text>
    </comment>
    <comment ref="D2288" authorId="0">
      <text>
        <r>
          <rPr>
            <b/>
            <sz val="9"/>
            <color indexed="81"/>
            <rFont val="Tahoma"/>
            <family val="2"/>
          </rPr>
          <t>Encoder'S Note::</t>
        </r>
        <r>
          <rPr>
            <sz val="9"/>
            <color indexed="81"/>
            <rFont val="Tahoma"/>
            <family val="2"/>
          </rPr>
          <t xml:space="preserve">
</t>
        </r>
        <r>
          <rPr>
            <b/>
            <sz val="9"/>
            <color indexed="81"/>
            <rFont val="Tahoma"/>
            <family val="2"/>
          </rPr>
          <t>LAND REL&gt;&gt;&gt;INCOMPLETE
NO SES
NO RELOC
RENTER???</t>
        </r>
      </text>
    </comment>
    <comment ref="B2292" authorId="0">
      <text>
        <r>
          <rPr>
            <b/>
            <sz val="9"/>
            <color indexed="81"/>
            <rFont val="Tahoma"/>
            <family val="2"/>
          </rPr>
          <t>Encoder'S Note::</t>
        </r>
        <r>
          <rPr>
            <sz val="9"/>
            <color indexed="81"/>
            <rFont val="Tahoma"/>
            <family val="2"/>
          </rPr>
          <t xml:space="preserve">
</t>
        </r>
        <r>
          <rPr>
            <b/>
            <sz val="9"/>
            <color indexed="81"/>
            <rFont val="Tahoma"/>
            <family val="2"/>
          </rPr>
          <t xml:space="preserve">WITH RENTERS?
OWNER DITO B NAKATIRA SA STRUCTURE???
</t>
        </r>
      </text>
    </comment>
    <comment ref="D2292" authorId="0">
      <text>
        <r>
          <rPr>
            <b/>
            <sz val="9"/>
            <color indexed="81"/>
            <rFont val="Tahoma"/>
            <family val="2"/>
          </rPr>
          <t>Encoder'S Note::</t>
        </r>
        <r>
          <rPr>
            <sz val="9"/>
            <color indexed="81"/>
            <rFont val="Tahoma"/>
            <family val="2"/>
          </rPr>
          <t xml:space="preserve">
</t>
        </r>
        <r>
          <rPr>
            <b/>
            <sz val="9"/>
            <color indexed="81"/>
            <rFont val="Tahoma"/>
            <family val="2"/>
          </rPr>
          <t xml:space="preserve">INCOMPLETE DETAILS FOR RENTER &gt;&gt;&gt;&gt;&gt;&gt;
with person with assistance
</t>
        </r>
      </text>
    </comment>
    <comment ref="B2295" authorId="2">
      <text>
        <r>
          <rPr>
            <b/>
            <sz val="9"/>
            <color indexed="81"/>
            <rFont val="Tahoma"/>
            <family val="2"/>
          </rPr>
          <t>Simbajon:</t>
        </r>
        <r>
          <rPr>
            <sz val="9"/>
            <color indexed="81"/>
            <rFont val="Tahoma"/>
            <family val="2"/>
          </rPr>
          <t xml:space="preserve">
TO BE BACK as noted
</t>
        </r>
      </text>
    </comment>
    <comment ref="B2296" authorId="0">
      <text>
        <r>
          <rPr>
            <b/>
            <sz val="9"/>
            <color indexed="81"/>
            <rFont val="Tahoma"/>
            <family val="2"/>
          </rPr>
          <t>Encoder'S Note::</t>
        </r>
        <r>
          <rPr>
            <sz val="9"/>
            <color indexed="81"/>
            <rFont val="Tahoma"/>
            <family val="2"/>
          </rPr>
          <t xml:space="preserve">
</t>
        </r>
        <r>
          <rPr>
            <b/>
            <sz val="9"/>
            <color indexed="81"/>
            <rFont val="Tahoma"/>
            <family val="2"/>
          </rPr>
          <t xml:space="preserve">NO SES DATA
</t>
        </r>
      </text>
    </comment>
  </commentList>
</comments>
</file>

<file path=xl/comments2.xml><?xml version="1.0" encoding="utf-8"?>
<comments xmlns="http://schemas.openxmlformats.org/spreadsheetml/2006/main">
  <authors>
    <author>Encoder'S Note:</author>
    <author>Robert</author>
    <author>Rex Simbajon</author>
  </authors>
  <commentList>
    <comment ref="B13" authorId="0">
      <text>
        <r>
          <rPr>
            <b/>
            <sz val="9"/>
            <color indexed="81"/>
            <rFont val="Tahoma"/>
            <family val="2"/>
          </rPr>
          <t>Encoder'S Note::</t>
        </r>
        <r>
          <rPr>
            <sz val="9"/>
            <color indexed="81"/>
            <rFont val="Tahoma"/>
            <family val="2"/>
          </rPr>
          <t xml:space="preserve">
SES DEtTails
</t>
        </r>
      </text>
    </comment>
    <comment ref="B14" authorId="0">
      <text>
        <r>
          <rPr>
            <b/>
            <sz val="9"/>
            <color indexed="81"/>
            <rFont val="Tahoma"/>
            <family val="2"/>
          </rPr>
          <t>Encoder'S Note::</t>
        </r>
        <r>
          <rPr>
            <sz val="9"/>
            <color indexed="81"/>
            <rFont val="Tahoma"/>
            <family val="2"/>
          </rPr>
          <t xml:space="preserve">
SES DEtTails
</t>
        </r>
      </text>
    </comment>
    <comment ref="B279" authorId="0">
      <text>
        <r>
          <rPr>
            <b/>
            <sz val="9"/>
            <color indexed="81"/>
            <rFont val="Tahoma"/>
            <family val="2"/>
          </rPr>
          <t>Encoder'S Note::</t>
        </r>
        <r>
          <rPr>
            <sz val="9"/>
            <color indexed="81"/>
            <rFont val="Tahoma"/>
            <family val="2"/>
          </rPr>
          <t xml:space="preserve">
</t>
        </r>
        <r>
          <rPr>
            <b/>
            <sz val="9"/>
            <color indexed="81"/>
            <rFont val="Tahoma"/>
            <family val="2"/>
          </rPr>
          <t xml:space="preserve">SES NO DATA
</t>
        </r>
      </text>
    </comment>
    <comment ref="B280" authorId="0">
      <text>
        <r>
          <rPr>
            <b/>
            <sz val="9"/>
            <color indexed="81"/>
            <rFont val="Tahoma"/>
            <family val="2"/>
          </rPr>
          <t>Encoder'S Note::</t>
        </r>
        <r>
          <rPr>
            <sz val="9"/>
            <color indexed="81"/>
            <rFont val="Tahoma"/>
            <family val="2"/>
          </rPr>
          <t xml:space="preserve">
</t>
        </r>
        <r>
          <rPr>
            <b/>
            <sz val="9"/>
            <color indexed="81"/>
            <rFont val="Tahoma"/>
            <family val="2"/>
          </rPr>
          <t xml:space="preserve">INCOMPLETE SES </t>
        </r>
      </text>
    </comment>
    <comment ref="B291" authorId="0">
      <text>
        <r>
          <rPr>
            <b/>
            <sz val="9"/>
            <color indexed="81"/>
            <rFont val="Tahoma"/>
            <family val="2"/>
          </rPr>
          <t>Encoder'S Note::</t>
        </r>
        <r>
          <rPr>
            <sz val="9"/>
            <color indexed="81"/>
            <rFont val="Tahoma"/>
            <family val="2"/>
          </rPr>
          <t xml:space="preserve">
</t>
        </r>
        <r>
          <rPr>
            <b/>
            <sz val="9"/>
            <color indexed="81"/>
            <rFont val="Tahoma"/>
            <family val="2"/>
          </rPr>
          <t>NO SES DATA</t>
        </r>
      </text>
    </comment>
    <comment ref="B299" authorId="0">
      <text>
        <r>
          <rPr>
            <b/>
            <sz val="9"/>
            <color indexed="81"/>
            <rFont val="Tahoma"/>
            <family val="2"/>
          </rPr>
          <t>Encoder'S Note::</t>
        </r>
        <r>
          <rPr>
            <sz val="9"/>
            <color indexed="81"/>
            <rFont val="Tahoma"/>
            <family val="2"/>
          </rPr>
          <t xml:space="preserve">
</t>
        </r>
        <r>
          <rPr>
            <b/>
            <sz val="9"/>
            <color indexed="81"/>
            <rFont val="Tahoma"/>
            <family val="2"/>
          </rPr>
          <t xml:space="preserve">NO SES DATA
</t>
        </r>
      </text>
    </comment>
    <comment ref="B300" authorId="0">
      <text>
        <r>
          <rPr>
            <b/>
            <sz val="9"/>
            <color indexed="81"/>
            <rFont val="Tahoma"/>
            <family val="2"/>
          </rPr>
          <t>Encoder'S Note::</t>
        </r>
        <r>
          <rPr>
            <sz val="9"/>
            <color indexed="81"/>
            <rFont val="Tahoma"/>
            <family val="2"/>
          </rPr>
          <t xml:space="preserve">
</t>
        </r>
        <r>
          <rPr>
            <b/>
            <sz val="9"/>
            <color indexed="81"/>
            <rFont val="Tahoma"/>
            <family val="2"/>
          </rPr>
          <t>NO SES DATA</t>
        </r>
      </text>
    </comment>
    <comment ref="B321" authorId="0">
      <text>
        <r>
          <rPr>
            <b/>
            <sz val="9"/>
            <color indexed="81"/>
            <rFont val="Tahoma"/>
            <family val="2"/>
          </rPr>
          <t>Encoder'S Note::</t>
        </r>
        <r>
          <rPr>
            <sz val="9"/>
            <color indexed="81"/>
            <rFont val="Tahoma"/>
            <family val="2"/>
          </rPr>
          <t xml:space="preserve">
</t>
        </r>
        <r>
          <rPr>
            <b/>
            <sz val="9"/>
            <color indexed="81"/>
            <rFont val="Tahoma"/>
            <family val="2"/>
          </rPr>
          <t xml:space="preserve">NO SES DETAILS
LEGAL STRUCTURE
</t>
        </r>
      </text>
    </comment>
    <comment ref="B328" authorId="0">
      <text>
        <r>
          <rPr>
            <b/>
            <sz val="9"/>
            <color indexed="81"/>
            <rFont val="Tahoma"/>
            <family val="2"/>
          </rPr>
          <t>Encoder'S Note::</t>
        </r>
        <r>
          <rPr>
            <sz val="9"/>
            <color indexed="81"/>
            <rFont val="Tahoma"/>
            <family val="2"/>
          </rPr>
          <t xml:space="preserve">
</t>
        </r>
        <r>
          <rPr>
            <b/>
            <sz val="9"/>
            <color indexed="81"/>
            <rFont val="Tahoma"/>
            <family val="2"/>
          </rPr>
          <t>SES DATA MISSING</t>
        </r>
      </text>
    </comment>
    <comment ref="B330" authorId="0">
      <text>
        <r>
          <rPr>
            <b/>
            <sz val="9"/>
            <color indexed="81"/>
            <rFont val="Tahoma"/>
            <family val="2"/>
          </rPr>
          <t>Encoder'S Note::</t>
        </r>
        <r>
          <rPr>
            <sz val="9"/>
            <color indexed="81"/>
            <rFont val="Tahoma"/>
            <family val="2"/>
          </rPr>
          <t xml:space="preserve">
</t>
        </r>
        <r>
          <rPr>
            <b/>
            <sz val="9"/>
            <color indexed="81"/>
            <rFont val="Tahoma"/>
            <family val="2"/>
          </rPr>
          <t xml:space="preserve">SES DATA MISSING
</t>
        </r>
      </text>
    </comment>
    <comment ref="B342" authorId="0">
      <text>
        <r>
          <rPr>
            <b/>
            <sz val="9"/>
            <color indexed="81"/>
            <rFont val="Tahoma"/>
            <family val="2"/>
          </rPr>
          <t>Encoder'S Note::</t>
        </r>
        <r>
          <rPr>
            <sz val="9"/>
            <color indexed="81"/>
            <rFont val="Tahoma"/>
            <family val="2"/>
          </rPr>
          <t xml:space="preserve">
</t>
        </r>
        <r>
          <rPr>
            <b/>
            <sz val="9"/>
            <color indexed="81"/>
            <rFont val="Tahoma"/>
            <family val="2"/>
          </rPr>
          <t>NO SES DETAILS</t>
        </r>
      </text>
    </comment>
    <comment ref="B438" authorId="0">
      <text>
        <r>
          <rPr>
            <b/>
            <sz val="9"/>
            <color indexed="81"/>
            <rFont val="Tahoma"/>
            <family val="2"/>
          </rPr>
          <t>Encoder'S Note::</t>
        </r>
        <r>
          <rPr>
            <sz val="9"/>
            <color indexed="81"/>
            <rFont val="Tahoma"/>
            <family val="2"/>
          </rPr>
          <t xml:space="preserve">
Some Member don’t have an AGE 
MPF:
Include in  the No answer</t>
        </r>
      </text>
    </comment>
    <comment ref="B446" authorId="1">
      <text>
        <r>
          <rPr>
            <b/>
            <sz val="9"/>
            <color indexed="81"/>
            <rFont val="Tahoma"/>
            <family val="2"/>
          </rPr>
          <t>Molin: ISF Renter but the owner do not reside in the structure affected</t>
        </r>
        <r>
          <rPr>
            <sz val="9"/>
            <color indexed="81"/>
            <rFont val="Tahoma"/>
            <family val="2"/>
          </rPr>
          <t xml:space="preserve">
</t>
        </r>
      </text>
    </comment>
    <comment ref="B450" authorId="2">
      <text>
        <r>
          <rPr>
            <b/>
            <sz val="9"/>
            <color indexed="81"/>
            <rFont val="Tahoma"/>
            <family val="2"/>
          </rPr>
          <t xml:space="preserve">Simbajon:
Main Structure have title but auxiliary affected is within PNR land
</t>
        </r>
        <r>
          <rPr>
            <sz val="9"/>
            <color indexed="81"/>
            <rFont val="Tahoma"/>
            <family val="2"/>
          </rPr>
          <t xml:space="preserve">
</t>
        </r>
      </text>
    </comment>
    <comment ref="B451" authorId="2">
      <text>
        <r>
          <rPr>
            <b/>
            <sz val="9"/>
            <color indexed="81"/>
            <rFont val="Tahoma"/>
            <family val="2"/>
          </rPr>
          <t>Simbajon:</t>
        </r>
        <r>
          <rPr>
            <sz val="9"/>
            <color indexed="81"/>
            <rFont val="Tahoma"/>
            <family val="2"/>
          </rPr>
          <t xml:space="preserve">
clarify  easting coordinates
</t>
        </r>
        <r>
          <rPr>
            <b/>
            <sz val="9"/>
            <color indexed="81"/>
            <rFont val="Tahoma"/>
            <family val="2"/>
          </rPr>
          <t>SES DETAILS INCOMPLETE
VERIFY HOUSEHOLDS DETAILS</t>
        </r>
      </text>
    </comment>
    <comment ref="B456" authorId="0">
      <text>
        <r>
          <rPr>
            <b/>
            <sz val="9"/>
            <color indexed="81"/>
            <rFont val="Tahoma"/>
            <family val="2"/>
          </rPr>
          <t>Encoder'S Note::</t>
        </r>
        <r>
          <rPr>
            <sz val="9"/>
            <color indexed="81"/>
            <rFont val="Tahoma"/>
            <family val="2"/>
          </rPr>
          <t xml:space="preserve">
</t>
        </r>
        <r>
          <rPr>
            <b/>
            <sz val="9"/>
            <color indexed="81"/>
            <rFont val="Tahoma"/>
            <family val="2"/>
          </rPr>
          <t>SES DATA NOT CLEAR</t>
        </r>
      </text>
    </comment>
    <comment ref="B460" authorId="1">
      <text>
        <r>
          <rPr>
            <b/>
            <sz val="9"/>
            <color indexed="81"/>
            <rFont val="Tahoma"/>
            <family val="2"/>
          </rPr>
          <t>MPF: Inc B</t>
        </r>
        <r>
          <rPr>
            <sz val="9"/>
            <color indexed="81"/>
            <rFont val="Tahoma"/>
            <family val="2"/>
          </rPr>
          <t xml:space="preserve">
</t>
        </r>
      </text>
    </comment>
    <comment ref="B468" authorId="1">
      <text>
        <r>
          <rPr>
            <b/>
            <sz val="9"/>
            <color indexed="81"/>
            <rFont val="Tahoma"/>
            <family val="2"/>
          </rPr>
          <t>MPF: affected extension only within   PNR land but main structure was leased fr private land owner</t>
        </r>
        <r>
          <rPr>
            <sz val="9"/>
            <color indexed="81"/>
            <rFont val="Tahoma"/>
            <family val="2"/>
          </rPr>
          <t xml:space="preserve">
</t>
        </r>
      </text>
    </comment>
    <comment ref="B469" authorId="1">
      <text>
        <r>
          <rPr>
            <b/>
            <sz val="9"/>
            <color indexed="81"/>
            <rFont val="Tahoma"/>
            <family val="2"/>
          </rPr>
          <t>MPF: Inc B</t>
        </r>
        <r>
          <rPr>
            <sz val="9"/>
            <color indexed="81"/>
            <rFont val="Tahoma"/>
            <family val="2"/>
          </rPr>
          <t xml:space="preserve">
</t>
        </r>
      </text>
    </comment>
    <comment ref="B478" authorId="1">
      <text>
        <r>
          <rPr>
            <b/>
            <sz val="9"/>
            <color indexed="81"/>
            <rFont val="Tahoma"/>
            <family val="2"/>
          </rPr>
          <t>MPF: ND = Non-dwelling</t>
        </r>
        <r>
          <rPr>
            <sz val="9"/>
            <color indexed="81"/>
            <rFont val="Tahoma"/>
            <family val="2"/>
          </rPr>
          <t xml:space="preserve">
</t>
        </r>
      </text>
    </comment>
    <comment ref="B479" authorId="0">
      <text>
        <r>
          <rPr>
            <b/>
            <sz val="9"/>
            <color indexed="81"/>
            <rFont val="Tahoma"/>
            <family val="2"/>
          </rPr>
          <t>Encoder'S Note::</t>
        </r>
        <r>
          <rPr>
            <sz val="9"/>
            <color indexed="81"/>
            <rFont val="Tahoma"/>
            <family val="2"/>
          </rPr>
          <t xml:space="preserve">
</t>
        </r>
        <r>
          <rPr>
            <b/>
            <sz val="9"/>
            <color indexed="81"/>
            <rFont val="Tahoma"/>
            <family val="2"/>
          </rPr>
          <t>UNKNOWN EDUCATIONAL ATTAINMENT (oscar)
MPF: 
respondent do not know.  Include in the "no answer"</t>
        </r>
      </text>
    </comment>
    <comment ref="B481" authorId="1">
      <text>
        <r>
          <rPr>
            <b/>
            <sz val="9"/>
            <color indexed="81"/>
            <rFont val="Tahoma"/>
            <family val="2"/>
          </rPr>
          <t>MPF: no SES</t>
        </r>
        <r>
          <rPr>
            <sz val="9"/>
            <color indexed="81"/>
            <rFont val="Tahoma"/>
            <family val="2"/>
          </rPr>
          <t xml:space="preserve">
</t>
        </r>
      </text>
    </comment>
    <comment ref="B483" authorId="0">
      <text>
        <r>
          <rPr>
            <b/>
            <sz val="9"/>
            <color indexed="81"/>
            <rFont val="Tahoma"/>
            <family val="2"/>
          </rPr>
          <t>MPF::</t>
        </r>
        <r>
          <rPr>
            <sz val="9"/>
            <color indexed="81"/>
            <rFont val="Tahoma"/>
            <family val="2"/>
          </rPr>
          <t xml:space="preserve">
</t>
        </r>
        <r>
          <rPr>
            <b/>
            <sz val="9"/>
            <color indexed="81"/>
            <rFont val="Tahoma"/>
            <family val="2"/>
          </rPr>
          <t xml:space="preserve">ISF real owner absentee, the renter will be the new owner
Inc. B and F
</t>
        </r>
      </text>
    </comment>
    <comment ref="B485" authorId="1">
      <text>
        <r>
          <rPr>
            <b/>
            <sz val="9"/>
            <color indexed="81"/>
            <rFont val="Tahoma"/>
            <family val="2"/>
          </rPr>
          <t>MPF: Inc D4</t>
        </r>
        <r>
          <rPr>
            <sz val="9"/>
            <color indexed="81"/>
            <rFont val="Tahoma"/>
            <family val="2"/>
          </rPr>
          <t xml:space="preserve">
</t>
        </r>
      </text>
    </comment>
    <comment ref="B489" authorId="0">
      <text>
        <r>
          <rPr>
            <b/>
            <sz val="9"/>
            <color indexed="81"/>
            <rFont val="Tahoma"/>
            <family val="2"/>
          </rPr>
          <t xml:space="preserve">Encoder'S Note::
total Area=???
AFFTED AREA=???? 
Pls Verify
</t>
        </r>
      </text>
    </comment>
    <comment ref="B490" authorId="1">
      <text>
        <r>
          <rPr>
            <b/>
            <sz val="9"/>
            <color indexed="81"/>
            <rFont val="Tahoma"/>
            <family val="2"/>
          </rPr>
          <t xml:space="preserve">MPF: Inc B and F
</t>
        </r>
        <r>
          <rPr>
            <sz val="9"/>
            <color indexed="81"/>
            <rFont val="Tahoma"/>
            <family val="2"/>
          </rPr>
          <t xml:space="preserve">
</t>
        </r>
      </text>
    </comment>
    <comment ref="B493" authorId="2">
      <text>
        <r>
          <rPr>
            <b/>
            <sz val="9"/>
            <color indexed="81"/>
            <rFont val="Tahoma"/>
            <family val="2"/>
          </rPr>
          <t>Simbajon:
spesifically what kind of business ?</t>
        </r>
        <r>
          <rPr>
            <sz val="9"/>
            <color indexed="81"/>
            <rFont val="Tahoma"/>
            <family val="2"/>
          </rPr>
          <t xml:space="preserve">
</t>
        </r>
      </text>
    </comment>
    <comment ref="B496" authorId="1">
      <text>
        <r>
          <rPr>
            <b/>
            <sz val="9"/>
            <color indexed="81"/>
            <rFont val="Tahoma"/>
            <family val="2"/>
          </rPr>
          <t>MPF: NO = no occupant</t>
        </r>
        <r>
          <rPr>
            <sz val="9"/>
            <color indexed="81"/>
            <rFont val="Tahoma"/>
            <family val="2"/>
          </rPr>
          <t xml:space="preserve">
</t>
        </r>
      </text>
    </comment>
    <comment ref="GH504" authorId="1">
      <text>
        <r>
          <rPr>
            <b/>
            <sz val="9"/>
            <color indexed="81"/>
            <rFont val="Tahoma"/>
            <family val="2"/>
          </rPr>
          <t>Robert:</t>
        </r>
        <r>
          <rPr>
            <sz val="9"/>
            <color indexed="81"/>
            <rFont val="Tahoma"/>
            <family val="2"/>
          </rPr>
          <t xml:space="preserve">
COMMERCIAL AREA </t>
        </r>
      </text>
    </comment>
    <comment ref="B518" authorId="2">
      <text>
        <r>
          <rPr>
            <sz val="9"/>
            <color indexed="81"/>
            <rFont val="Tahoma"/>
            <family val="2"/>
          </rPr>
          <t xml:space="preserve">ISF absentee owner (Rowena Castro)
new owner Renter Jonathan Udan no  SES and D4
</t>
        </r>
      </text>
    </comment>
    <comment ref="B522" authorId="1">
      <text>
        <r>
          <rPr>
            <b/>
            <sz val="9"/>
            <color indexed="81"/>
            <rFont val="Tahoma"/>
            <family val="2"/>
          </rPr>
          <t>MPF: owner of the faucet CMP claimant</t>
        </r>
        <r>
          <rPr>
            <sz val="9"/>
            <color indexed="81"/>
            <rFont val="Tahoma"/>
            <family val="2"/>
          </rPr>
          <t xml:space="preserve">
</t>
        </r>
      </text>
    </comment>
    <comment ref="B525" authorId="0">
      <text>
        <r>
          <rPr>
            <b/>
            <sz val="9"/>
            <color indexed="81"/>
            <rFont val="Tahoma"/>
            <family val="2"/>
          </rPr>
          <t>Encoder'S Note::</t>
        </r>
        <r>
          <rPr>
            <sz val="9"/>
            <color indexed="81"/>
            <rFont val="Tahoma"/>
            <family val="2"/>
          </rPr>
          <t xml:space="preserve">
NO RELOCATION PACKAGE OPTION</t>
        </r>
      </text>
    </comment>
    <comment ref="B531" authorId="0">
      <text>
        <r>
          <rPr>
            <b/>
            <sz val="9"/>
            <color indexed="81"/>
            <rFont val="Tahoma"/>
            <family val="2"/>
          </rPr>
          <t>Encoder'S Note::</t>
        </r>
        <r>
          <rPr>
            <sz val="9"/>
            <color indexed="81"/>
            <rFont val="Tahoma"/>
            <family val="2"/>
          </rPr>
          <t xml:space="preserve">
VULNERABILITY
</t>
        </r>
      </text>
    </comment>
    <comment ref="B542" authorId="0">
      <text>
        <r>
          <rPr>
            <b/>
            <sz val="9"/>
            <color indexed="81"/>
            <rFont val="Tahoma"/>
            <family val="2"/>
          </rPr>
          <t>Encoder'S Note::</t>
        </r>
        <r>
          <rPr>
            <sz val="9"/>
            <color indexed="81"/>
            <rFont val="Tahoma"/>
            <family val="2"/>
          </rPr>
          <t xml:space="preserve">
</t>
        </r>
        <r>
          <rPr>
            <b/>
            <sz val="9"/>
            <color indexed="81"/>
            <rFont val="Tahoma"/>
            <family val="2"/>
          </rPr>
          <t xml:space="preserve">VERIFY&gt;&gt;&gt;&gt;&gt;SES DETAILS
</t>
        </r>
      </text>
    </comment>
    <comment ref="B552" authorId="0">
      <text>
        <r>
          <rPr>
            <b/>
            <sz val="9"/>
            <color indexed="81"/>
            <rFont val="Tahoma"/>
            <family val="2"/>
          </rPr>
          <t>Encoder'S Note::</t>
        </r>
        <r>
          <rPr>
            <sz val="9"/>
            <color indexed="81"/>
            <rFont val="Tahoma"/>
            <family val="2"/>
          </rPr>
          <t xml:space="preserve">
</t>
        </r>
        <r>
          <rPr>
            <b/>
            <sz val="9"/>
            <color indexed="81"/>
            <rFont val="Tahoma"/>
            <family val="2"/>
          </rPr>
          <t>SES DETAILS NOT ENCODED</t>
        </r>
      </text>
    </comment>
    <comment ref="B555" authorId="0">
      <text>
        <r>
          <rPr>
            <b/>
            <sz val="9"/>
            <color indexed="81"/>
            <rFont val="Tahoma"/>
            <family val="2"/>
          </rPr>
          <t>Encoder'S Note::</t>
        </r>
        <r>
          <rPr>
            <sz val="9"/>
            <color indexed="81"/>
            <rFont val="Tahoma"/>
            <family val="2"/>
          </rPr>
          <t xml:space="preserve">
</t>
        </r>
      </text>
    </comment>
    <comment ref="B557" authorId="2">
      <text>
        <r>
          <rPr>
            <b/>
            <sz val="9"/>
            <color indexed="81"/>
            <rFont val="Tahoma"/>
            <family val="2"/>
          </rPr>
          <t>Simbajon:
NO SES info but w/person need asstnce</t>
        </r>
        <r>
          <rPr>
            <sz val="9"/>
            <color indexed="81"/>
            <rFont val="Tahoma"/>
            <family val="2"/>
          </rPr>
          <t xml:space="preserve">
</t>
        </r>
      </text>
    </comment>
    <comment ref="B560" authorId="0">
      <text>
        <r>
          <rPr>
            <b/>
            <sz val="9"/>
            <color indexed="81"/>
            <rFont val="Tahoma"/>
            <family val="2"/>
          </rPr>
          <t>Encoder'S Note::</t>
        </r>
        <r>
          <rPr>
            <sz val="9"/>
            <color indexed="81"/>
            <rFont val="Tahoma"/>
            <family val="2"/>
          </rPr>
          <t xml:space="preserve">
</t>
        </r>
        <r>
          <rPr>
            <b/>
            <sz val="9"/>
            <color indexed="81"/>
            <rFont val="Tahoma"/>
            <family val="2"/>
          </rPr>
          <t xml:space="preserve">NO &gt;&gt;&gt;&gt;
SES DETAILS </t>
        </r>
      </text>
    </comment>
    <comment ref="B561" authorId="0">
      <text>
        <r>
          <rPr>
            <b/>
            <sz val="9"/>
            <color indexed="81"/>
            <rFont val="Tahoma"/>
            <family val="2"/>
          </rPr>
          <t>Encoder'S Note::</t>
        </r>
        <r>
          <rPr>
            <sz val="9"/>
            <color indexed="81"/>
            <rFont val="Tahoma"/>
            <family val="2"/>
          </rPr>
          <t xml:space="preserve">
</t>
        </r>
        <r>
          <rPr>
            <b/>
            <sz val="9"/>
            <color indexed="81"/>
            <rFont val="Tahoma"/>
            <family val="2"/>
          </rPr>
          <t xml:space="preserve"> EXPENSES DDETAILS unCLEAR&gt;&gt;&gt;&gt;&gt;</t>
        </r>
      </text>
    </comment>
    <comment ref="B563" authorId="0">
      <text>
        <r>
          <rPr>
            <b/>
            <sz val="9"/>
            <color indexed="81"/>
            <rFont val="Tahoma"/>
            <family val="2"/>
          </rPr>
          <t>Encoder'S Note::
EXPENSES&gt;&gt;&gt;&gt;&gt;&gt;
VERIFY</t>
        </r>
      </text>
    </comment>
    <comment ref="B564" authorId="0">
      <text>
        <r>
          <rPr>
            <b/>
            <sz val="9"/>
            <color indexed="81"/>
            <rFont val="Tahoma"/>
            <family val="2"/>
          </rPr>
          <t xml:space="preserve">Encoder'S Note::
</t>
        </r>
        <r>
          <rPr>
            <sz val="9"/>
            <color indexed="81"/>
            <rFont val="Tahoma"/>
            <family val="2"/>
          </rPr>
          <t xml:space="preserve">
wrong CP num…...</t>
        </r>
      </text>
    </comment>
    <comment ref="B565" authorId="2">
      <text>
        <r>
          <rPr>
            <b/>
            <sz val="9"/>
            <color indexed="81"/>
            <rFont val="Tahoma"/>
            <family val="2"/>
          </rPr>
          <t>Simbajon:</t>
        </r>
        <r>
          <rPr>
            <sz val="9"/>
            <color indexed="81"/>
            <rFont val="Tahoma"/>
            <family val="2"/>
          </rPr>
          <t xml:space="preserve">
&gt;60 person ?
NO SES info</t>
        </r>
      </text>
    </comment>
    <comment ref="B569" authorId="2">
      <text>
        <r>
          <rPr>
            <b/>
            <sz val="9"/>
            <color indexed="81"/>
            <rFont val="Tahoma"/>
            <family val="2"/>
          </rPr>
          <t>Simbajon:</t>
        </r>
        <r>
          <rPr>
            <sz val="9"/>
            <color indexed="81"/>
            <rFont val="Tahoma"/>
            <family val="2"/>
          </rPr>
          <t xml:space="preserve">
&gt;60 person not included as HH member</t>
        </r>
      </text>
    </comment>
    <comment ref="B578" authorId="0">
      <text>
        <r>
          <rPr>
            <b/>
            <sz val="9"/>
            <color indexed="81"/>
            <rFont val="Tahoma"/>
            <family val="2"/>
          </rPr>
          <t>Encoder'S Note::</t>
        </r>
        <r>
          <rPr>
            <sz val="9"/>
            <color indexed="81"/>
            <rFont val="Tahoma"/>
            <family val="2"/>
          </rPr>
          <t xml:space="preserve">
</t>
        </r>
        <r>
          <rPr>
            <b/>
            <sz val="9"/>
            <color indexed="81"/>
            <rFont val="Tahoma"/>
            <family val="2"/>
          </rPr>
          <t>NO SES DATA</t>
        </r>
      </text>
    </comment>
    <comment ref="B588" authorId="2">
      <text>
        <r>
          <rPr>
            <b/>
            <sz val="9"/>
            <color indexed="81"/>
            <rFont val="Tahoma"/>
            <family val="2"/>
          </rPr>
          <t>Simbajon:
NO SES (INFO)</t>
        </r>
        <r>
          <rPr>
            <sz val="9"/>
            <color indexed="81"/>
            <rFont val="Tahoma"/>
            <family val="2"/>
          </rPr>
          <t xml:space="preserve">
</t>
        </r>
      </text>
    </comment>
    <comment ref="B590" authorId="0">
      <text>
        <r>
          <rPr>
            <b/>
            <sz val="9"/>
            <color indexed="81"/>
            <rFont val="Tahoma"/>
            <family val="2"/>
          </rPr>
          <t>Encoder'S Note::</t>
        </r>
        <r>
          <rPr>
            <sz val="9"/>
            <color indexed="81"/>
            <rFont val="Tahoma"/>
            <family val="2"/>
          </rPr>
          <t xml:space="preserve">
</t>
        </r>
        <r>
          <rPr>
            <b/>
            <sz val="9"/>
            <color indexed="81"/>
            <rFont val="Tahoma"/>
            <family val="2"/>
          </rPr>
          <t>FENCE DETAILS VERIFY</t>
        </r>
      </text>
    </comment>
    <comment ref="B595" authorId="1">
      <text>
        <r>
          <rPr>
            <b/>
            <sz val="9"/>
            <color indexed="81"/>
            <rFont val="Tahoma"/>
            <family val="2"/>
          </rPr>
          <t>MPF: no occupant</t>
        </r>
        <r>
          <rPr>
            <sz val="9"/>
            <color indexed="81"/>
            <rFont val="Tahoma"/>
            <family val="2"/>
          </rPr>
          <t xml:space="preserve">
</t>
        </r>
      </text>
    </comment>
    <comment ref="B636" authorId="0">
      <text>
        <r>
          <rPr>
            <b/>
            <sz val="9"/>
            <color indexed="81"/>
            <rFont val="Tahoma"/>
            <family val="2"/>
          </rPr>
          <t>Encoder'S Note::</t>
        </r>
        <r>
          <rPr>
            <sz val="9"/>
            <color indexed="81"/>
            <rFont val="Tahoma"/>
            <family val="2"/>
          </rPr>
          <t xml:space="preserve">
</t>
        </r>
        <r>
          <rPr>
            <b/>
            <sz val="9"/>
            <color indexed="81"/>
            <rFont val="Tahoma"/>
            <family val="2"/>
          </rPr>
          <t>STATIONING VERIFY</t>
        </r>
      </text>
    </comment>
    <comment ref="B644" authorId="0">
      <text>
        <r>
          <rPr>
            <b/>
            <sz val="9"/>
            <color indexed="81"/>
            <rFont val="Tahoma"/>
            <family val="2"/>
          </rPr>
          <t>Encoder'S Note::</t>
        </r>
        <r>
          <rPr>
            <sz val="9"/>
            <color indexed="81"/>
            <rFont val="Tahoma"/>
            <family val="2"/>
          </rPr>
          <t xml:space="preserve">
</t>
        </r>
        <r>
          <rPr>
            <b/>
            <sz val="9"/>
            <color indexed="81"/>
            <rFont val="Tahoma"/>
            <family val="2"/>
          </rPr>
          <t xml:space="preserve">EXPENSES DETAILS VERIFY
</t>
        </r>
      </text>
    </comment>
    <comment ref="B652" authorId="0">
      <text>
        <r>
          <rPr>
            <b/>
            <sz val="9"/>
            <color indexed="81"/>
            <rFont val="Tahoma"/>
            <family val="2"/>
          </rPr>
          <t>Encoder'S Note::</t>
        </r>
        <r>
          <rPr>
            <sz val="9"/>
            <color indexed="81"/>
            <rFont val="Tahoma"/>
            <family val="2"/>
          </rPr>
          <t xml:space="preserve">
</t>
        </r>
        <r>
          <rPr>
            <b/>
            <sz val="9"/>
            <color indexed="81"/>
            <rFont val="Tahoma"/>
            <family val="2"/>
          </rPr>
          <t>RESPONDENT INFO MISSING
LAND IMPACT VERIFY</t>
        </r>
      </text>
    </comment>
    <comment ref="B654" authorId="0">
      <text>
        <r>
          <rPr>
            <b/>
            <sz val="9"/>
            <color indexed="81"/>
            <rFont val="Tahoma"/>
            <family val="2"/>
          </rPr>
          <t>Encoder'S Note::</t>
        </r>
        <r>
          <rPr>
            <sz val="9"/>
            <color indexed="81"/>
            <rFont val="Tahoma"/>
            <family val="2"/>
          </rPr>
          <t xml:space="preserve">
</t>
        </r>
        <r>
          <rPr>
            <b/>
            <sz val="9"/>
            <color indexed="81"/>
            <rFont val="Tahoma"/>
            <family val="2"/>
          </rPr>
          <t>CHAINAGE DETAILS VERIFY ….</t>
        </r>
      </text>
    </comment>
    <comment ref="B656" authorId="0">
      <text>
        <r>
          <rPr>
            <b/>
            <sz val="9"/>
            <color indexed="81"/>
            <rFont val="Tahoma"/>
            <family val="2"/>
          </rPr>
          <t>Encoder'S Note::</t>
        </r>
        <r>
          <rPr>
            <sz val="9"/>
            <color indexed="81"/>
            <rFont val="Tahoma"/>
            <family val="2"/>
          </rPr>
          <t xml:space="preserve">
</t>
        </r>
        <r>
          <rPr>
            <b/>
            <sz val="9"/>
            <color indexed="81"/>
            <rFont val="Tahoma"/>
            <family val="2"/>
          </rPr>
          <t>PERSON WITH ASSISTANCE
NAME and DISABILITY ????
STATIONING VERIFY ???</t>
        </r>
      </text>
    </comment>
    <comment ref="B658" authorId="0">
      <text>
        <r>
          <rPr>
            <b/>
            <sz val="9"/>
            <color indexed="81"/>
            <rFont val="Tahoma"/>
            <family val="2"/>
          </rPr>
          <t xml:space="preserve">Encoder'S Note::
NO C DETAILS
INC D DETAILS
</t>
        </r>
      </text>
    </comment>
    <comment ref="B659" authorId="0">
      <text>
        <r>
          <rPr>
            <b/>
            <sz val="9"/>
            <color indexed="81"/>
            <rFont val="Tahoma"/>
            <family val="2"/>
          </rPr>
          <t>Encoder'S Note::</t>
        </r>
        <r>
          <rPr>
            <sz val="9"/>
            <color indexed="81"/>
            <rFont val="Tahoma"/>
            <family val="2"/>
          </rPr>
          <t xml:space="preserve">
</t>
        </r>
        <r>
          <rPr>
            <b/>
            <sz val="9"/>
            <color indexed="81"/>
            <rFont val="Tahoma"/>
            <family val="2"/>
          </rPr>
          <t xml:space="preserve">EASTING VERIFY ??????
</t>
        </r>
      </text>
    </comment>
    <comment ref="B660" authorId="0">
      <text>
        <r>
          <rPr>
            <b/>
            <sz val="9"/>
            <color indexed="81"/>
            <rFont val="Tahoma"/>
            <family val="2"/>
          </rPr>
          <t>Encoder'S Note::</t>
        </r>
        <r>
          <rPr>
            <sz val="9"/>
            <color indexed="81"/>
            <rFont val="Tahoma"/>
            <family val="2"/>
          </rPr>
          <t xml:space="preserve">
</t>
        </r>
        <r>
          <rPr>
            <b/>
            <sz val="9"/>
            <color indexed="81"/>
            <rFont val="Tahoma"/>
            <family val="2"/>
          </rPr>
          <t>NO SES DETAILS
is OCCUPANT??????</t>
        </r>
      </text>
    </comment>
    <comment ref="B679" authorId="0">
      <text>
        <r>
          <rPr>
            <b/>
            <sz val="9"/>
            <color indexed="81"/>
            <rFont val="Tahoma"/>
            <family val="2"/>
          </rPr>
          <t>Encoder'S Note::</t>
        </r>
        <r>
          <rPr>
            <sz val="9"/>
            <color indexed="81"/>
            <rFont val="Tahoma"/>
            <family val="2"/>
          </rPr>
          <t xml:space="preserve">
</t>
        </r>
        <r>
          <rPr>
            <b/>
            <sz val="9"/>
            <color indexed="81"/>
            <rFont val="Tahoma"/>
            <family val="2"/>
          </rPr>
          <t>PRIVATE ?????</t>
        </r>
      </text>
    </comment>
    <comment ref="B680" authorId="0">
      <text>
        <r>
          <rPr>
            <b/>
            <sz val="9"/>
            <color indexed="81"/>
            <rFont val="Tahoma"/>
            <family val="2"/>
          </rPr>
          <t>Encoder'S Note::</t>
        </r>
        <r>
          <rPr>
            <sz val="9"/>
            <color indexed="81"/>
            <rFont val="Tahoma"/>
            <family val="2"/>
          </rPr>
          <t xml:space="preserve">
</t>
        </r>
        <r>
          <rPr>
            <b/>
            <sz val="9"/>
            <color indexed="81"/>
            <rFont val="Tahoma"/>
            <family val="2"/>
          </rPr>
          <t xml:space="preserve">CONTACT NUNM &gt;&gt;&gt; VERIFY
</t>
        </r>
      </text>
    </comment>
    <comment ref="B691" authorId="0">
      <text>
        <r>
          <rPr>
            <b/>
            <sz val="9"/>
            <color indexed="81"/>
            <rFont val="Tahoma"/>
            <family val="2"/>
          </rPr>
          <t>Encoder'S Note::</t>
        </r>
        <r>
          <rPr>
            <sz val="9"/>
            <color indexed="81"/>
            <rFont val="Tahoma"/>
            <family val="2"/>
          </rPr>
          <t xml:space="preserve">
</t>
        </r>
        <r>
          <rPr>
            <b/>
            <sz val="9"/>
            <color indexed="81"/>
            <rFont val="Tahoma"/>
            <family val="2"/>
          </rPr>
          <t xml:space="preserve">NO SES DETAILS
NO CIBEs DETAIL as Commercial
</t>
        </r>
      </text>
    </comment>
    <comment ref="B692" authorId="2">
      <text>
        <r>
          <rPr>
            <b/>
            <sz val="9"/>
            <color indexed="81"/>
            <rFont val="Tahoma"/>
            <family val="2"/>
          </rPr>
          <t>Simbajon:
PLS VERIFY Structure.NUMBER CA or MN</t>
        </r>
        <r>
          <rPr>
            <sz val="9"/>
            <color indexed="81"/>
            <rFont val="Tahoma"/>
            <family val="2"/>
          </rPr>
          <t xml:space="preserve">
ADDRESS not the same</t>
        </r>
      </text>
    </comment>
    <comment ref="B694" authorId="0">
      <text>
        <r>
          <rPr>
            <b/>
            <sz val="9"/>
            <color indexed="81"/>
            <rFont val="Tahoma"/>
            <family val="2"/>
          </rPr>
          <t>Encoder'S Note::
ACQUIRED RIGHTS&gt;&gt;&gt;???
NO DOCs
SENIOR AGE VERIFY
NO SES DATA</t>
        </r>
      </text>
    </comment>
    <comment ref="B696" authorId="0">
      <text>
        <r>
          <rPr>
            <b/>
            <sz val="9"/>
            <color indexed="81"/>
            <rFont val="Tahoma"/>
            <family val="2"/>
          </rPr>
          <t>Encoder'S Note::</t>
        </r>
        <r>
          <rPr>
            <sz val="9"/>
            <color indexed="81"/>
            <rFont val="Tahoma"/>
            <family val="2"/>
          </rPr>
          <t xml:space="preserve">
</t>
        </r>
        <r>
          <rPr>
            <b/>
            <sz val="9"/>
            <color indexed="81"/>
            <rFont val="Tahoma"/>
            <family val="2"/>
          </rPr>
          <t>INCOMPLETE SES PORTION DETAILS…..</t>
        </r>
      </text>
    </comment>
    <comment ref="B697" authorId="0">
      <text>
        <r>
          <rPr>
            <b/>
            <sz val="9"/>
            <color indexed="81"/>
            <rFont val="Tahoma"/>
            <family val="2"/>
          </rPr>
          <t>Encoder'S Note::</t>
        </r>
        <r>
          <rPr>
            <sz val="9"/>
            <color indexed="81"/>
            <rFont val="Tahoma"/>
            <family val="2"/>
          </rPr>
          <t xml:space="preserve">
</t>
        </r>
        <r>
          <rPr>
            <b/>
            <sz val="9"/>
            <color indexed="81"/>
            <rFont val="Tahoma"/>
            <family val="2"/>
          </rPr>
          <t xml:space="preserve">RENTAL SHARES &gt;&gt; ????
NO DATA
</t>
        </r>
      </text>
    </comment>
    <comment ref="B699" authorId="0">
      <text>
        <r>
          <rPr>
            <b/>
            <sz val="9"/>
            <color indexed="81"/>
            <rFont val="Tahoma"/>
            <family val="2"/>
          </rPr>
          <t>Encoder'S Note::</t>
        </r>
        <r>
          <rPr>
            <sz val="9"/>
            <color indexed="81"/>
            <rFont val="Tahoma"/>
            <family val="2"/>
          </rPr>
          <t xml:space="preserve">
</t>
        </r>
        <r>
          <rPr>
            <b/>
            <sz val="9"/>
            <color indexed="81"/>
            <rFont val="Tahoma"/>
            <family val="2"/>
          </rPr>
          <t>STRUCTURE ARRANGEMENT DETAILS INCOMPLETE
???
VERIFY</t>
        </r>
      </text>
    </comment>
    <comment ref="B700" authorId="2">
      <text>
        <r>
          <rPr>
            <b/>
            <sz val="9"/>
            <color indexed="81"/>
            <rFont val="Tahoma"/>
            <family val="2"/>
          </rPr>
          <t>Simbajon:
FORMS BLANK</t>
        </r>
      </text>
    </comment>
    <comment ref="B705" authorId="0">
      <text>
        <r>
          <rPr>
            <b/>
            <sz val="9"/>
            <color indexed="81"/>
            <rFont val="Tahoma"/>
            <family val="2"/>
          </rPr>
          <t>Encoder'S Note::</t>
        </r>
        <r>
          <rPr>
            <sz val="9"/>
            <color indexed="81"/>
            <rFont val="Tahoma"/>
            <family val="2"/>
          </rPr>
          <t xml:space="preserve">
</t>
        </r>
        <r>
          <rPr>
            <b/>
            <sz val="9"/>
            <color indexed="81"/>
            <rFont val="Tahoma"/>
            <family val="2"/>
          </rPr>
          <t>RELOCATION PACKAGE
&gt;&gt;&gt;&gt; VERIFY</t>
        </r>
      </text>
    </comment>
    <comment ref="B711" authorId="0">
      <text>
        <r>
          <rPr>
            <b/>
            <sz val="9"/>
            <color indexed="81"/>
            <rFont val="Tahoma"/>
            <family val="2"/>
          </rPr>
          <t>Encoder'S Note::</t>
        </r>
        <r>
          <rPr>
            <sz val="9"/>
            <color indexed="81"/>
            <rFont val="Tahoma"/>
            <family val="2"/>
          </rPr>
          <t xml:space="preserve">
</t>
        </r>
        <r>
          <rPr>
            <b/>
            <sz val="9"/>
            <color indexed="81"/>
            <rFont val="Tahoma"/>
            <family val="2"/>
          </rPr>
          <t>VERIFY &gt;&gt;&gt; COORDINATES</t>
        </r>
      </text>
    </comment>
    <comment ref="B712" authorId="2">
      <text>
        <r>
          <rPr>
            <b/>
            <sz val="9"/>
            <color indexed="81"/>
            <rFont val="Tahoma"/>
            <family val="2"/>
          </rPr>
          <t>Simbajon:
senior person info incomplete
NO SES</t>
        </r>
        <r>
          <rPr>
            <sz val="9"/>
            <color indexed="81"/>
            <rFont val="Tahoma"/>
            <family val="2"/>
          </rPr>
          <t xml:space="preserve">
</t>
        </r>
      </text>
    </comment>
    <comment ref="B714" authorId="0">
      <text>
        <r>
          <rPr>
            <b/>
            <sz val="9"/>
            <color indexed="81"/>
            <rFont val="Tahoma"/>
            <family val="2"/>
          </rPr>
          <t>Encoder'S Note::</t>
        </r>
        <r>
          <rPr>
            <sz val="9"/>
            <color indexed="81"/>
            <rFont val="Tahoma"/>
            <family val="2"/>
          </rPr>
          <t xml:space="preserve">
</t>
        </r>
        <r>
          <rPr>
            <b/>
            <sz val="9"/>
            <color indexed="81"/>
            <rFont val="Tahoma"/>
            <family val="2"/>
          </rPr>
          <t>NAME NG RENTER ?????
wala</t>
        </r>
      </text>
    </comment>
    <comment ref="B718" authorId="0">
      <text>
        <r>
          <rPr>
            <b/>
            <sz val="9"/>
            <color indexed="81"/>
            <rFont val="Tahoma"/>
            <family val="2"/>
          </rPr>
          <t>Encoder'S Note::</t>
        </r>
        <r>
          <rPr>
            <sz val="9"/>
            <color indexed="81"/>
            <rFont val="Tahoma"/>
            <family val="2"/>
          </rPr>
          <t xml:space="preserve">
</t>
        </r>
        <r>
          <rPr>
            <b/>
            <sz val="9"/>
            <color indexed="81"/>
            <rFont val="Tahoma"/>
            <family val="2"/>
          </rPr>
          <t>MAY OCCUPANT BA??
BLANK FORM</t>
        </r>
      </text>
    </comment>
    <comment ref="B721" authorId="0">
      <text>
        <r>
          <rPr>
            <b/>
            <sz val="9"/>
            <color indexed="81"/>
            <rFont val="Tahoma"/>
            <family val="2"/>
          </rPr>
          <t>Encoder'S Note::</t>
        </r>
        <r>
          <rPr>
            <sz val="9"/>
            <color indexed="81"/>
            <rFont val="Tahoma"/>
            <family val="2"/>
          </rPr>
          <t xml:space="preserve">
</t>
        </r>
        <r>
          <rPr>
            <b/>
            <sz val="9"/>
            <color indexed="81"/>
            <rFont val="Tahoma"/>
            <family val="2"/>
          </rPr>
          <t>CHARLES FER?????
BUKOD AND BAHAY????</t>
        </r>
      </text>
    </comment>
    <comment ref="B735" authorId="0">
      <text>
        <r>
          <rPr>
            <b/>
            <sz val="9"/>
            <color indexed="81"/>
            <rFont val="Tahoma"/>
            <family val="2"/>
          </rPr>
          <t>Encoder'S Note::</t>
        </r>
        <r>
          <rPr>
            <sz val="9"/>
            <color indexed="81"/>
            <rFont val="Tahoma"/>
            <family val="2"/>
          </rPr>
          <t xml:space="preserve">
</t>
        </r>
        <r>
          <rPr>
            <b/>
            <sz val="9"/>
            <color indexed="81"/>
            <rFont val="Tahoma"/>
            <family val="2"/>
          </rPr>
          <t>LAND DOCS orm NOTES</t>
        </r>
      </text>
    </comment>
    <comment ref="B741" authorId="0">
      <text>
        <r>
          <rPr>
            <b/>
            <sz val="9"/>
            <color indexed="81"/>
            <rFont val="Tahoma"/>
            <family val="2"/>
          </rPr>
          <t>Encoder'S Note::</t>
        </r>
        <r>
          <rPr>
            <sz val="9"/>
            <color indexed="81"/>
            <rFont val="Tahoma"/>
            <family val="2"/>
          </rPr>
          <t xml:space="preserve">
LAND DOCS as </t>
        </r>
        <r>
          <rPr>
            <b/>
            <sz val="9"/>
            <color indexed="81"/>
            <rFont val="Tahoma"/>
            <family val="2"/>
          </rPr>
          <t>NOTED
YOLANDA NEED ASSITT reason????</t>
        </r>
      </text>
    </comment>
    <comment ref="B751" authorId="0">
      <text>
        <r>
          <rPr>
            <b/>
            <sz val="9"/>
            <color indexed="81"/>
            <rFont val="Tahoma"/>
            <family val="2"/>
          </rPr>
          <t>Encoder'S Note::</t>
        </r>
        <r>
          <rPr>
            <sz val="9"/>
            <color indexed="81"/>
            <rFont val="Tahoma"/>
            <family val="2"/>
          </rPr>
          <t xml:space="preserve">
</t>
        </r>
        <r>
          <rPr>
            <b/>
            <sz val="9"/>
            <color indexed="81"/>
            <rFont val="Tahoma"/>
            <family val="2"/>
          </rPr>
          <t xml:space="preserve">NO DETAILS &gt;&gt;&gt; NO DATA
</t>
        </r>
      </text>
    </comment>
    <comment ref="B752" authorId="0">
      <text>
        <r>
          <rPr>
            <b/>
            <sz val="9"/>
            <color indexed="81"/>
            <rFont val="Tahoma"/>
            <family val="2"/>
          </rPr>
          <t>Encoder'S Note::</t>
        </r>
        <r>
          <rPr>
            <sz val="9"/>
            <color indexed="81"/>
            <rFont val="Tahoma"/>
            <family val="2"/>
          </rPr>
          <t xml:space="preserve">
</t>
        </r>
        <r>
          <rPr>
            <b/>
            <sz val="9"/>
            <color indexed="81"/>
            <rFont val="Tahoma"/>
            <family val="2"/>
          </rPr>
          <t xml:space="preserve">NO DATA INPUTS
</t>
        </r>
      </text>
    </comment>
    <comment ref="B760" authorId="0">
      <text>
        <r>
          <rPr>
            <b/>
            <sz val="9"/>
            <color indexed="81"/>
            <rFont val="Tahoma"/>
            <family val="2"/>
          </rPr>
          <t>Encoder'S Note::</t>
        </r>
        <r>
          <rPr>
            <sz val="9"/>
            <color indexed="81"/>
            <rFont val="Tahoma"/>
            <family val="2"/>
          </rPr>
          <t xml:space="preserve">
VERIFY </t>
        </r>
        <r>
          <rPr>
            <b/>
            <sz val="9"/>
            <color indexed="81"/>
            <rFont val="Tahoma"/>
            <family val="2"/>
          </rPr>
          <t>SES DATA</t>
        </r>
      </text>
    </comment>
    <comment ref="B762" authorId="0">
      <text>
        <r>
          <rPr>
            <b/>
            <sz val="9"/>
            <color indexed="81"/>
            <rFont val="Tahoma"/>
            <family val="2"/>
          </rPr>
          <t>Encoder'S Note::</t>
        </r>
        <r>
          <rPr>
            <sz val="9"/>
            <color indexed="81"/>
            <rFont val="Tahoma"/>
            <family val="2"/>
          </rPr>
          <t xml:space="preserve">
</t>
        </r>
        <r>
          <rPr>
            <b/>
            <sz val="9"/>
            <color indexed="81"/>
            <rFont val="Tahoma"/>
            <family val="2"/>
          </rPr>
          <t>SES DATA VERIFY??
Income ….</t>
        </r>
      </text>
    </comment>
    <comment ref="B764" authorId="2">
      <text>
        <r>
          <rPr>
            <b/>
            <sz val="9"/>
            <color indexed="81"/>
            <rFont val="Tahoma"/>
            <family val="2"/>
          </rPr>
          <t>Simbajon:
NO SES ???</t>
        </r>
        <r>
          <rPr>
            <sz val="9"/>
            <color indexed="81"/>
            <rFont val="Tahoma"/>
            <family val="2"/>
          </rPr>
          <t xml:space="preserve">
</t>
        </r>
      </text>
    </comment>
    <comment ref="B767" authorId="0">
      <text>
        <r>
          <rPr>
            <b/>
            <sz val="9"/>
            <color indexed="81"/>
            <rFont val="Tahoma"/>
            <family val="2"/>
          </rPr>
          <t>Encoder'S Note::</t>
        </r>
        <r>
          <rPr>
            <sz val="9"/>
            <color indexed="81"/>
            <rFont val="Tahoma"/>
            <family val="2"/>
          </rPr>
          <t xml:space="preserve">
</t>
        </r>
        <r>
          <rPr>
            <b/>
            <sz val="9"/>
            <color indexed="81"/>
            <rFont val="Tahoma"/>
            <family val="2"/>
          </rPr>
          <t>SES DATA VERIFY</t>
        </r>
      </text>
    </comment>
    <comment ref="B779" authorId="0">
      <text>
        <r>
          <rPr>
            <b/>
            <sz val="9"/>
            <color indexed="81"/>
            <rFont val="Tahoma"/>
            <family val="2"/>
          </rPr>
          <t>Encoder'S Note::
DATA VERIFY…..
NO DETAILS</t>
        </r>
      </text>
    </comment>
    <comment ref="B784" authorId="0">
      <text>
        <r>
          <rPr>
            <b/>
            <sz val="9"/>
            <color indexed="81"/>
            <rFont val="Tahoma"/>
            <family val="2"/>
          </rPr>
          <t>Encoder'S Note::</t>
        </r>
        <r>
          <rPr>
            <sz val="9"/>
            <color indexed="81"/>
            <rFont val="Tahoma"/>
            <family val="2"/>
          </rPr>
          <t xml:space="preserve">
</t>
        </r>
        <r>
          <rPr>
            <b/>
            <sz val="9"/>
            <color indexed="81"/>
            <rFont val="Tahoma"/>
            <family val="2"/>
          </rPr>
          <t>LAND PRIVATE BY WHO????</t>
        </r>
      </text>
    </comment>
    <comment ref="B791" authorId="0">
      <text>
        <r>
          <rPr>
            <b/>
            <sz val="9"/>
            <color indexed="81"/>
            <rFont val="Tahoma"/>
            <family val="2"/>
          </rPr>
          <t>Encoder'S Note::</t>
        </r>
        <r>
          <rPr>
            <sz val="9"/>
            <color indexed="81"/>
            <rFont val="Tahoma"/>
            <family val="2"/>
          </rPr>
          <t xml:space="preserve">
</t>
        </r>
        <r>
          <rPr>
            <b/>
            <sz val="9"/>
            <color indexed="81"/>
            <rFont val="Tahoma"/>
            <family val="2"/>
          </rPr>
          <t xml:space="preserve">INCOME DATA UNCLEAR
</t>
        </r>
      </text>
    </comment>
    <comment ref="B809" authorId="2">
      <text>
        <r>
          <rPr>
            <b/>
            <sz val="9"/>
            <color indexed="81"/>
            <rFont val="Tahoma"/>
            <family val="2"/>
          </rPr>
          <t>Simbajon:
CONTACT NUM PLS&gt;VERIFY</t>
        </r>
        <r>
          <rPr>
            <sz val="9"/>
            <color indexed="81"/>
            <rFont val="Tahoma"/>
            <family val="2"/>
          </rPr>
          <t xml:space="preserve">
STRU&gt;OWNER ???who
PERSON ABOVE 60 verify??</t>
        </r>
      </text>
    </comment>
    <comment ref="B814" authorId="0">
      <text>
        <r>
          <rPr>
            <b/>
            <sz val="9"/>
            <color indexed="81"/>
            <rFont val="Tahoma"/>
            <family val="2"/>
          </rPr>
          <t>Encoder'S Note::</t>
        </r>
        <r>
          <rPr>
            <sz val="9"/>
            <color indexed="81"/>
            <rFont val="Tahoma"/>
            <family val="2"/>
          </rPr>
          <t xml:space="preserve">
</t>
        </r>
        <r>
          <rPr>
            <b/>
            <sz val="9"/>
            <color indexed="81"/>
            <rFont val="Tahoma"/>
            <family val="2"/>
          </rPr>
          <t xml:space="preserve">NO SES DATA
</t>
        </r>
      </text>
    </comment>
    <comment ref="B817" authorId="2">
      <text>
        <r>
          <rPr>
            <b/>
            <sz val="9"/>
            <color indexed="81"/>
            <rFont val="Tahoma"/>
            <family val="2"/>
          </rPr>
          <t>Simbajon:
STRUCture OWNER&gt;???</t>
        </r>
        <r>
          <rPr>
            <sz val="9"/>
            <color indexed="81"/>
            <rFont val="Tahoma"/>
            <family val="2"/>
          </rPr>
          <t xml:space="preserve">
Arragement INFO ..????
Person need ASSISTANCE ???? WHY??</t>
        </r>
      </text>
    </comment>
    <comment ref="B823" authorId="0">
      <text>
        <r>
          <rPr>
            <b/>
            <sz val="9"/>
            <color indexed="81"/>
            <rFont val="Tahoma"/>
            <family val="2"/>
          </rPr>
          <t>Encoder'S Note::</t>
        </r>
        <r>
          <rPr>
            <sz val="9"/>
            <color indexed="81"/>
            <rFont val="Tahoma"/>
            <family val="2"/>
          </rPr>
          <t xml:space="preserve">
</t>
        </r>
        <r>
          <rPr>
            <b/>
            <sz val="9"/>
            <color indexed="81"/>
            <rFont val="Tahoma"/>
            <family val="2"/>
          </rPr>
          <t>LAND REL&gt;&gt;&gt;INCOMPLETE
NO SES
NO RELOC
RENTER???</t>
        </r>
      </text>
    </comment>
    <comment ref="B828" authorId="0">
      <text>
        <r>
          <rPr>
            <b/>
            <sz val="9"/>
            <color indexed="81"/>
            <rFont val="Tahoma"/>
            <family val="2"/>
          </rPr>
          <t>Encoder'S Note::</t>
        </r>
        <r>
          <rPr>
            <sz val="9"/>
            <color indexed="81"/>
            <rFont val="Tahoma"/>
            <family val="2"/>
          </rPr>
          <t xml:space="preserve">
</t>
        </r>
        <r>
          <rPr>
            <b/>
            <sz val="9"/>
            <color indexed="81"/>
            <rFont val="Tahoma"/>
            <family val="2"/>
          </rPr>
          <t xml:space="preserve">WITH RENTERS?
OWNER DITO B NAKATIRA SA STRUCTURE???
</t>
        </r>
      </text>
    </comment>
    <comment ref="B830" authorId="2">
      <text>
        <r>
          <rPr>
            <b/>
            <sz val="9"/>
            <color indexed="81"/>
            <rFont val="Tahoma"/>
            <family val="2"/>
          </rPr>
          <t>Simbajon:</t>
        </r>
        <r>
          <rPr>
            <sz val="9"/>
            <color indexed="81"/>
            <rFont val="Tahoma"/>
            <family val="2"/>
          </rPr>
          <t xml:space="preserve">
TO BE BACK as noted
</t>
        </r>
      </text>
    </comment>
    <comment ref="B831" authorId="0">
      <text>
        <r>
          <rPr>
            <b/>
            <sz val="9"/>
            <color indexed="81"/>
            <rFont val="Tahoma"/>
            <family val="2"/>
          </rPr>
          <t>Encoder'S Note::</t>
        </r>
        <r>
          <rPr>
            <sz val="9"/>
            <color indexed="81"/>
            <rFont val="Tahoma"/>
            <family val="2"/>
          </rPr>
          <t xml:space="preserve">
</t>
        </r>
        <r>
          <rPr>
            <b/>
            <sz val="9"/>
            <color indexed="81"/>
            <rFont val="Tahoma"/>
            <family val="2"/>
          </rPr>
          <t xml:space="preserve">NO SES DATA
</t>
        </r>
      </text>
    </comment>
  </commentList>
</comments>
</file>

<file path=xl/sharedStrings.xml><?xml version="1.0" encoding="utf-8"?>
<sst xmlns="http://schemas.openxmlformats.org/spreadsheetml/2006/main" count="67541" uniqueCount="14276">
  <si>
    <t xml:space="preserve"> Name of DMS Respondent</t>
  </si>
  <si>
    <t>Address</t>
  </si>
  <si>
    <t>Position in HH</t>
  </si>
  <si>
    <t xml:space="preserve"> Gender</t>
  </si>
  <si>
    <t>Contact #</t>
  </si>
  <si>
    <t xml:space="preserve"> HH Head</t>
  </si>
  <si>
    <t>Northing</t>
  </si>
  <si>
    <t xml:space="preserve"> Easting</t>
  </si>
  <si>
    <t>MC-001</t>
  </si>
  <si>
    <t>Engr. Arnaldo Tuazon</t>
  </si>
  <si>
    <t>Male</t>
  </si>
  <si>
    <t>0906-492-1609</t>
  </si>
  <si>
    <t>MC-005</t>
  </si>
  <si>
    <t>Salvador, Danilo Antonio</t>
  </si>
  <si>
    <t>0942-034-4129</t>
  </si>
  <si>
    <t>MC-006</t>
  </si>
  <si>
    <t>Marcos, Maria Crisostomo (sister)</t>
  </si>
  <si>
    <t>Sister of Structure Owner</t>
  </si>
  <si>
    <t>Female</t>
  </si>
  <si>
    <t>MC-007</t>
  </si>
  <si>
    <t>Spouse</t>
  </si>
  <si>
    <t>0943-700-9729</t>
  </si>
  <si>
    <t>Cruz, Noel Parong</t>
  </si>
  <si>
    <t>MC-008</t>
  </si>
  <si>
    <t xml:space="preserve"> Capitol Viewpark, Bulihan Malolos City</t>
  </si>
  <si>
    <t>MC-008A</t>
  </si>
  <si>
    <t>MC-009</t>
  </si>
  <si>
    <t>29 Diamond st., CVP Subd. Bulihan Malolos City</t>
  </si>
  <si>
    <t>Head</t>
  </si>
  <si>
    <t>0915-219-2137</t>
  </si>
  <si>
    <t>MC-010</t>
  </si>
  <si>
    <t>Cristobal, Jocelyn Polintan</t>
  </si>
  <si>
    <t>31 Diamond st., CVP Subd., Bulihan Bulacan</t>
  </si>
  <si>
    <t>0922-832-7065</t>
  </si>
  <si>
    <t>Cristobal, Andrew Gatmaitan</t>
  </si>
  <si>
    <t>MC-011</t>
  </si>
  <si>
    <t>32 Diamond st., CVP Subd., Bulihan Bulacan</t>
  </si>
  <si>
    <t>MC-012</t>
  </si>
  <si>
    <t>Onglao, Ferdinand Quiazon</t>
  </si>
  <si>
    <t>MC-013</t>
  </si>
  <si>
    <t>Santos, Tom Jerico David</t>
  </si>
  <si>
    <t>743 PNR st., Bulihan Malolos Bulacan</t>
  </si>
  <si>
    <t>Son</t>
  </si>
  <si>
    <t>MC-014</t>
  </si>
  <si>
    <t>Marcos, Maria Crisostomo</t>
  </si>
  <si>
    <t>23 Granet st., CVP subd., Bulihan Malolos</t>
  </si>
  <si>
    <t>MC-014A</t>
  </si>
  <si>
    <t>MC-015</t>
  </si>
  <si>
    <t>MC-016</t>
  </si>
  <si>
    <t>Cruz, Honorata Dela Cruz</t>
  </si>
  <si>
    <t>5029-C Hagonoy, San Pablo Malolos</t>
  </si>
  <si>
    <t>0922-440-5959</t>
  </si>
  <si>
    <t>Cruz, Marciano Lumage</t>
  </si>
  <si>
    <t>GG-001</t>
  </si>
  <si>
    <t>Magdaraog, Cristelena Villarosa</t>
  </si>
  <si>
    <t>Ugong, Tuktukan, Guiguinto,Bulacan</t>
  </si>
  <si>
    <t>14° 50' 4.5"</t>
  </si>
  <si>
    <t>120° 53' 55.4"</t>
  </si>
  <si>
    <t>KM 10+450</t>
  </si>
  <si>
    <t>0916-191-5499</t>
  </si>
  <si>
    <t>GG-001B</t>
  </si>
  <si>
    <t>GG-002</t>
  </si>
  <si>
    <t>Lobetaña, Natividad Masarque</t>
  </si>
  <si>
    <t>GG-002A</t>
  </si>
  <si>
    <t>0930-304-5985</t>
  </si>
  <si>
    <t>Lobetaña, Benjamin Ancero</t>
  </si>
  <si>
    <t>GG-003</t>
  </si>
  <si>
    <t>(INCHEM)</t>
  </si>
  <si>
    <t>KM 10+450 to 000</t>
  </si>
  <si>
    <t>GG-004</t>
  </si>
  <si>
    <t>GG-005</t>
  </si>
  <si>
    <t>GG-006</t>
  </si>
  <si>
    <t>Dela Cruz, Eleanor Dela Cruz</t>
  </si>
  <si>
    <t>0929-383-8184</t>
  </si>
  <si>
    <t>Dela Cruz, Manuel Mendoza</t>
  </si>
  <si>
    <t>GG-007</t>
  </si>
  <si>
    <t>GG-008</t>
  </si>
  <si>
    <t>14° 50' 19.7"</t>
  </si>
  <si>
    <t>120° 52' 00.6"</t>
  </si>
  <si>
    <t>KM 7+000</t>
  </si>
  <si>
    <t>Castro, Gilbert Macatangay</t>
  </si>
  <si>
    <t>GG-010</t>
  </si>
  <si>
    <t>14° 50' 22.7"</t>
  </si>
  <si>
    <t>120° 51' 53.4"</t>
  </si>
  <si>
    <t>KM 6+750</t>
  </si>
  <si>
    <t>GG-011</t>
  </si>
  <si>
    <t>Lapuz, Antonio Libingting</t>
  </si>
  <si>
    <t>HACC, Tabang, Guiguinto</t>
  </si>
  <si>
    <t>GG-012</t>
  </si>
  <si>
    <t>Robles, Raymundo Marcelino</t>
  </si>
  <si>
    <t>599 Tabang, Guiguinto Bulacan</t>
  </si>
  <si>
    <t>0922-820-9615</t>
  </si>
  <si>
    <t>GG-013</t>
  </si>
  <si>
    <t>Robles, Romana Marelino</t>
  </si>
  <si>
    <t>Tabang Guiguinto Bulacan</t>
  </si>
  <si>
    <t>049-690-2267</t>
  </si>
  <si>
    <t>GG-014</t>
  </si>
  <si>
    <t>Geronimo, Cecilia A.</t>
  </si>
  <si>
    <t>0868 Tabang, Guiguinto</t>
  </si>
  <si>
    <t>GG-015</t>
  </si>
  <si>
    <t>Angeles, Virginia Ramos</t>
  </si>
  <si>
    <t>0869 Tabang Guiguinto Bulacan</t>
  </si>
  <si>
    <t>GG-016</t>
  </si>
  <si>
    <t>Angeles, Aida Cervantes</t>
  </si>
  <si>
    <t>0870 Tabang Guiguinto Bulacan</t>
  </si>
  <si>
    <t>0943-337-6624</t>
  </si>
  <si>
    <t>Angeles, Jenna Cervantes</t>
  </si>
  <si>
    <t>Mercado, Rolando Estrella</t>
  </si>
  <si>
    <t>BA-001</t>
  </si>
  <si>
    <t>Regalario, Ramon Bersabe</t>
  </si>
  <si>
    <t xml:space="preserve"> </t>
  </si>
  <si>
    <t>14° 50' 3.9"</t>
  </si>
  <si>
    <t>120° 53' 56.0"</t>
  </si>
  <si>
    <t>BA-002</t>
  </si>
  <si>
    <t>(Balagtas Estates Subd. c/o Citihomes Realty)</t>
  </si>
  <si>
    <t>BA-003</t>
  </si>
  <si>
    <t>Galvez, Consolacion Vergara</t>
  </si>
  <si>
    <t>1072 Riles, Burol First, Balagtas Bulacan</t>
  </si>
  <si>
    <t>0915-236-7292</t>
  </si>
  <si>
    <t>Galvez, Angelito Colegado</t>
  </si>
  <si>
    <t>14° 49' 53.4"</t>
  </si>
  <si>
    <t>120° 54' 8.0"</t>
  </si>
  <si>
    <t>KM 11+200</t>
  </si>
  <si>
    <t>BA-004</t>
  </si>
  <si>
    <t>BA-004B</t>
  </si>
  <si>
    <t>BO-001</t>
  </si>
  <si>
    <t>BO-002</t>
  </si>
  <si>
    <t>KM 16+000</t>
  </si>
  <si>
    <t>BO-002A</t>
  </si>
  <si>
    <t>BO-003</t>
  </si>
  <si>
    <t>Santiago, Francisco Ramirez</t>
  </si>
  <si>
    <t>006 Lolomboy-Bundukan Rd., Bundukan, Bocaue, Bulacan</t>
  </si>
  <si>
    <t>0922-820-9535</t>
  </si>
  <si>
    <t>MA-002</t>
  </si>
  <si>
    <t>Victorina street, Abangan Norte, Marilao</t>
  </si>
  <si>
    <t>120° 56' 32.3"</t>
  </si>
  <si>
    <t>KM 18+400</t>
  </si>
  <si>
    <t>MA-003</t>
  </si>
  <si>
    <t>14° 46' 46.8"</t>
  </si>
  <si>
    <t>MA-003A</t>
  </si>
  <si>
    <t>MA-004</t>
  </si>
  <si>
    <t>Fariñas, Rodolfo Elmido</t>
  </si>
  <si>
    <t>MA-004A</t>
  </si>
  <si>
    <t>MA-004B</t>
  </si>
  <si>
    <t>MA-005</t>
  </si>
  <si>
    <t>MA-005A</t>
  </si>
  <si>
    <t>MA-005B</t>
  </si>
  <si>
    <t>MA-006</t>
  </si>
  <si>
    <t>MA-007</t>
  </si>
  <si>
    <t>Santos, Rosalia Insilada</t>
  </si>
  <si>
    <t>Lemon,Tomas Jr. Solomon</t>
  </si>
  <si>
    <t>MA-007A</t>
  </si>
  <si>
    <t>MA-007B</t>
  </si>
  <si>
    <t>MA-008</t>
  </si>
  <si>
    <t>Villamar, Felipe Francisco</t>
  </si>
  <si>
    <t>M. Santiago st., Saog Marilao Bulacan</t>
  </si>
  <si>
    <t>Brgy. Captain</t>
  </si>
  <si>
    <t>MA-009</t>
  </si>
  <si>
    <t>Montañez, Alicia Villanueva</t>
  </si>
  <si>
    <t>0932-642-2427</t>
  </si>
  <si>
    <t>Oscar Gonzales (original title name), Lucita Ponce Villanueva</t>
  </si>
  <si>
    <t>14° 45' 40.8"</t>
  </si>
  <si>
    <t>120° 57' 05.3"</t>
  </si>
  <si>
    <t>MA-009A</t>
  </si>
  <si>
    <t>Villanueva, Lorna Castillo</t>
  </si>
  <si>
    <t>Villanueva, Edwin Ponce</t>
  </si>
  <si>
    <t>MA-010</t>
  </si>
  <si>
    <t>Guinto, Lauro Ponce</t>
  </si>
  <si>
    <t>0926-529-5708</t>
  </si>
  <si>
    <t>14° 45' 40.9"</t>
  </si>
  <si>
    <t>MA-010A</t>
  </si>
  <si>
    <t>MA-011</t>
  </si>
  <si>
    <t>Polintan, Noli Guevarra</t>
  </si>
  <si>
    <t>003 Daang Bakal st., Saog Marilao</t>
  </si>
  <si>
    <t>14° 45' 41.0"</t>
  </si>
  <si>
    <t>MA-011A</t>
  </si>
  <si>
    <t>MA-012</t>
  </si>
  <si>
    <t>Carilla, Natividad Servano</t>
  </si>
  <si>
    <t>Daang Bakal st., Saog Marilao</t>
  </si>
  <si>
    <t>Ocenak, Ellie Papiona</t>
  </si>
  <si>
    <t>120° 57' 05.03"</t>
  </si>
  <si>
    <t>KM 20+700</t>
  </si>
  <si>
    <t>MA 013</t>
  </si>
  <si>
    <t>001 Daang Bakal St., Saog Marilao</t>
  </si>
  <si>
    <t>MA-013A</t>
  </si>
  <si>
    <t>Lyzel Consulta</t>
  </si>
  <si>
    <t>Rosende, Ma. Teresa Mendoza</t>
  </si>
  <si>
    <t>Daang Bakal St., Saog Marilao Bulacan</t>
  </si>
  <si>
    <t>0999-436-3666</t>
  </si>
  <si>
    <t>Rosende, Rene Lanzarote</t>
  </si>
  <si>
    <t>MA-015</t>
  </si>
  <si>
    <t>Mendoza, Arthur Adorable</t>
  </si>
  <si>
    <t>35 Daang Bakal St., Saog Marilao</t>
  </si>
  <si>
    <t>Mendoza, Adriano Nieva</t>
  </si>
  <si>
    <t>MA-016</t>
  </si>
  <si>
    <t>Felipe , Margariuta Geromino</t>
  </si>
  <si>
    <t>20 Daang Bakal, Lias rd., Saog Marilao</t>
  </si>
  <si>
    <t>MA-016A</t>
  </si>
  <si>
    <t>Monilla, Elmer Gapuz</t>
  </si>
  <si>
    <t>MA-016A1</t>
  </si>
  <si>
    <t>MA-016A2</t>
  </si>
  <si>
    <t>MA-016B</t>
  </si>
  <si>
    <t>Paz, Gelaine Jimenez</t>
  </si>
  <si>
    <t>23 Daang Bakal st., Saog Marilao Bulacan</t>
  </si>
  <si>
    <t>0927-313-9704</t>
  </si>
  <si>
    <t>Paz, Gelane Jimenez</t>
  </si>
  <si>
    <t>MA-016B-1</t>
  </si>
  <si>
    <t>MA-017</t>
  </si>
  <si>
    <t>Mendoza, Perlita Rosende</t>
  </si>
  <si>
    <t>2 Lias Road, Saog Marilao Bulacan</t>
  </si>
  <si>
    <t>Daughter</t>
  </si>
  <si>
    <t>14° 45' 39.7"</t>
  </si>
  <si>
    <t>120° 57' 06.03"</t>
  </si>
  <si>
    <t>MA-017A</t>
  </si>
  <si>
    <t>Mendoza, Reynaldo Nieva</t>
  </si>
  <si>
    <t>MA-017B</t>
  </si>
  <si>
    <t>Directo, Danny Sevillena</t>
  </si>
  <si>
    <t>Lot 1. Blk. 53 Onyx st., Sta. Lucia Vill. Ph.5, Punturin Val. City</t>
  </si>
  <si>
    <t>MA-017C</t>
  </si>
  <si>
    <t>MA-017D</t>
  </si>
  <si>
    <t>MA-018</t>
  </si>
  <si>
    <t>Enriquez, Salvacion Morillo</t>
  </si>
  <si>
    <t>500 St.Martin St., Ibayo, Marilao</t>
  </si>
  <si>
    <t>Parent of Land Owner and Structure Owner</t>
  </si>
  <si>
    <t>Enriquez, Virgilio Dela Cruz</t>
  </si>
  <si>
    <t>14° 45' 20.6"</t>
  </si>
  <si>
    <t>120° 57' 12.3"</t>
  </si>
  <si>
    <t>MA-018A</t>
  </si>
  <si>
    <t>MA-019</t>
  </si>
  <si>
    <t>MY-001</t>
  </si>
  <si>
    <t>Espiritu, Leopoldo Tondo</t>
  </si>
  <si>
    <t>14° 44' 57.3"</t>
  </si>
  <si>
    <t>120° 57' 25.5"</t>
  </si>
  <si>
    <t>MY-002</t>
  </si>
  <si>
    <t>San Pedro Subd., Tugatog, Meycauayan</t>
  </si>
  <si>
    <t>c/o Talusig Criselda</t>
  </si>
  <si>
    <t>Brgy. Kagawad</t>
  </si>
  <si>
    <t>0925-821-8854</t>
  </si>
  <si>
    <t>14° 43' 47.8"</t>
  </si>
  <si>
    <t>120° 57' 46.5"</t>
  </si>
  <si>
    <t>KM 24+350 to 380</t>
  </si>
  <si>
    <t>MY-005</t>
  </si>
  <si>
    <t>MY-006</t>
  </si>
  <si>
    <t>Lanoso, Lenora Mangawan</t>
  </si>
  <si>
    <t>Sibling of Head</t>
  </si>
  <si>
    <t>0916-824-1428</t>
  </si>
  <si>
    <t>Lanoso, Jayson Abela</t>
  </si>
  <si>
    <t>MY-007</t>
  </si>
  <si>
    <t>14° 43' 52.3"</t>
  </si>
  <si>
    <t>120° 57' 47.0"</t>
  </si>
  <si>
    <t>KM 24+250</t>
  </si>
  <si>
    <t>MY-008</t>
  </si>
  <si>
    <t>KM 24+400 to 460</t>
  </si>
  <si>
    <t>MY-009</t>
  </si>
  <si>
    <t>Lamug, Jonathan Maquerra</t>
  </si>
  <si>
    <t>14° 43' 27.4"</t>
  </si>
  <si>
    <t>MY-009A</t>
  </si>
  <si>
    <t>MY-010</t>
  </si>
  <si>
    <t>De Guzman, Robert Funa</t>
  </si>
  <si>
    <t>120° 57' 40.6"</t>
  </si>
  <si>
    <t>MY-010-A</t>
  </si>
  <si>
    <t>Geronimo, Leonilo Poliarpio</t>
  </si>
  <si>
    <t>MY-010-B</t>
  </si>
  <si>
    <t>Ramirez, Angelito Bugoy</t>
  </si>
  <si>
    <t>0997-278-1905</t>
  </si>
  <si>
    <t>MY-010-C</t>
  </si>
  <si>
    <t>MY-010-D</t>
  </si>
  <si>
    <t>Veruem, Evelyn</t>
  </si>
  <si>
    <t>Veruem, Manuel Matias</t>
  </si>
  <si>
    <t>MY-010-E</t>
  </si>
  <si>
    <t>Roxas, Cynthia Silverio</t>
  </si>
  <si>
    <t>MY-010-F</t>
  </si>
  <si>
    <t>Guiambangan, Marco Abdullah</t>
  </si>
  <si>
    <t>0926-192-4008</t>
  </si>
  <si>
    <t>MY-011</t>
  </si>
  <si>
    <t>Atienza, Lanie Dellota</t>
  </si>
  <si>
    <t>678 Mulawin St.,Bancal, Meycauayan</t>
  </si>
  <si>
    <t>0975-155-3927</t>
  </si>
  <si>
    <t>Atienza, Oliver Dellota</t>
  </si>
  <si>
    <t>120° 57' 40.9"</t>
  </si>
  <si>
    <t>MY-012</t>
  </si>
  <si>
    <t>Dellota, Lydia Olivares</t>
  </si>
  <si>
    <t>Dellota, Imelda Olivares</t>
  </si>
  <si>
    <t>14° 43' 28.6"</t>
  </si>
  <si>
    <t>MY-013</t>
  </si>
  <si>
    <t>Olivares, Rogelio Ramos</t>
  </si>
  <si>
    <t>0923-146-6173</t>
  </si>
  <si>
    <t>Olivares, Flora Ramos</t>
  </si>
  <si>
    <t>MY-013A</t>
  </si>
  <si>
    <t>MY-013B</t>
  </si>
  <si>
    <t>MY-014</t>
  </si>
  <si>
    <t>683 Mulawin St., Bancal Meycauyan Bulacan</t>
  </si>
  <si>
    <t>0997-650-2010</t>
  </si>
  <si>
    <t>120° 57' 40.2"</t>
  </si>
  <si>
    <t>MY-014A</t>
  </si>
  <si>
    <t>MY-014B</t>
  </si>
  <si>
    <t>MY-015</t>
  </si>
  <si>
    <t>Santos, Rosita (NSO) Lucita (original), Soriano</t>
  </si>
  <si>
    <t>0916-976-0083</t>
  </si>
  <si>
    <t>Santos, Rosita S.</t>
  </si>
  <si>
    <t>14° 43' 28.0"</t>
  </si>
  <si>
    <t>MY-016</t>
  </si>
  <si>
    <t>Ramos, Pedro Santos Jr</t>
  </si>
  <si>
    <t>0923-112-8137</t>
  </si>
  <si>
    <t>Pedro S. Ramos Jr</t>
  </si>
  <si>
    <t>120° 57' 40.0"</t>
  </si>
  <si>
    <t>MY-016A</t>
  </si>
  <si>
    <t>MY-017</t>
  </si>
  <si>
    <t>Garcia, Sonny Bernardino</t>
  </si>
  <si>
    <t>674 Mulawin st., Bancal ext., Meycauyan</t>
  </si>
  <si>
    <t>0936-215-2375</t>
  </si>
  <si>
    <t>14° 43' 27.9"</t>
  </si>
  <si>
    <t>120° 57' 41.0"</t>
  </si>
  <si>
    <t>MY-017A</t>
  </si>
  <si>
    <t>MY-018</t>
  </si>
  <si>
    <t>14° 43' 27.6"</t>
  </si>
  <si>
    <t>MY-019</t>
  </si>
  <si>
    <t>Nueva, Rommel Bernardino</t>
  </si>
  <si>
    <t>0975-751-4229</t>
  </si>
  <si>
    <t>120° 57' 41.05"</t>
  </si>
  <si>
    <t>MY-020</t>
  </si>
  <si>
    <t>Nueva, Susana Bernardino</t>
  </si>
  <si>
    <t>14° 43' 27.3"</t>
  </si>
  <si>
    <t>120° 57' 41.07"</t>
  </si>
  <si>
    <t>MY-021</t>
  </si>
  <si>
    <t>Diaz, Marissa Bustamante</t>
  </si>
  <si>
    <t>MY-021A</t>
  </si>
  <si>
    <t>0939-314-2064</t>
  </si>
  <si>
    <t>14° 43' 27.0"</t>
  </si>
  <si>
    <t>MY-021B</t>
  </si>
  <si>
    <t>Diaz, Edwin Guerero</t>
  </si>
  <si>
    <t>0906-605-3101</t>
  </si>
  <si>
    <t>KM 24+995</t>
  </si>
  <si>
    <t>MY-022</t>
  </si>
  <si>
    <t>Sarmiento, Edna Margallo</t>
  </si>
  <si>
    <t>687 Mulawin st., Bancal ext., Meycauyan Bulacan</t>
  </si>
  <si>
    <t>0948-983-1730</t>
  </si>
  <si>
    <t>MY-022A</t>
  </si>
  <si>
    <t>MY-022B</t>
  </si>
  <si>
    <t>MY-023</t>
  </si>
  <si>
    <t>Lacsina, Melani Carasco</t>
  </si>
  <si>
    <t>689 Mulawin st., Bancal ext., Meycauyan</t>
  </si>
  <si>
    <t>0922-796-5437</t>
  </si>
  <si>
    <t>Lacsina, Rodel Felonia</t>
  </si>
  <si>
    <t>14° 43' 26.8"</t>
  </si>
  <si>
    <t>KM 24+985</t>
  </si>
  <si>
    <t>MY-024</t>
  </si>
  <si>
    <t>Birung, Erlinda Co</t>
  </si>
  <si>
    <t>14° 43' 26.0"</t>
  </si>
  <si>
    <t>MY-024A</t>
  </si>
  <si>
    <t>Garcia, Remedios</t>
  </si>
  <si>
    <t>MY-024B</t>
  </si>
  <si>
    <t>MY-024C</t>
  </si>
  <si>
    <t>MY-025</t>
  </si>
  <si>
    <t>Castro, Corazon Aguilar</t>
  </si>
  <si>
    <t>14° 43' 25.7"</t>
  </si>
  <si>
    <t>120° 57' 41.2"</t>
  </si>
  <si>
    <t>KM 24+970</t>
  </si>
  <si>
    <t>MY-026</t>
  </si>
  <si>
    <t>Servallos, Albert Berdida</t>
  </si>
  <si>
    <t>0930-146-5098</t>
  </si>
  <si>
    <t>Servallas, Albert Berdida</t>
  </si>
  <si>
    <t>KM 24+960</t>
  </si>
  <si>
    <t>MY-027</t>
  </si>
  <si>
    <t>Cruz, Emmanuel Vicente</t>
  </si>
  <si>
    <t>0977-253-1053</t>
  </si>
  <si>
    <t>MY-028</t>
  </si>
  <si>
    <t>Dela Cruz, Roque</t>
  </si>
  <si>
    <t>0956-421-5178</t>
  </si>
  <si>
    <t>MY-029</t>
  </si>
  <si>
    <t>Lorenzo, Fernando Roselen</t>
  </si>
  <si>
    <t>VC-001</t>
  </si>
  <si>
    <t>VC-002</t>
  </si>
  <si>
    <t>VC-003</t>
  </si>
  <si>
    <t>14° 43' 07.3"</t>
  </si>
  <si>
    <t>120° 57' 38.9"</t>
  </si>
  <si>
    <t>VC-004</t>
  </si>
  <si>
    <t>Malanday Valenzuela City</t>
  </si>
  <si>
    <t>VC-005</t>
  </si>
  <si>
    <t>Roselio, Sebastian Esmeralda</t>
  </si>
  <si>
    <t>Malanday (Bukirin) Valenzuela City</t>
  </si>
  <si>
    <t>VC-006</t>
  </si>
  <si>
    <t>Roselio, Raul Dazo</t>
  </si>
  <si>
    <t>0950-593-3001</t>
  </si>
  <si>
    <t>VC-007</t>
  </si>
  <si>
    <t>Cainoy, Carlo Ven Soralta</t>
  </si>
  <si>
    <t>Husband</t>
  </si>
  <si>
    <t>0916-861-5725</t>
  </si>
  <si>
    <t>Cainoy, Marissa Balanon</t>
  </si>
  <si>
    <t>VC-008</t>
  </si>
  <si>
    <t>Cabayao, Marlon Cainoy</t>
  </si>
  <si>
    <t>VC-009</t>
  </si>
  <si>
    <t>Quillosa, Mauricio Daradl Jr.</t>
  </si>
  <si>
    <t>0939-832-9478</t>
  </si>
  <si>
    <t>VC-010</t>
  </si>
  <si>
    <t>Balanon, Rosita Montejo</t>
  </si>
  <si>
    <t>VC-011</t>
  </si>
  <si>
    <t>Valiente, Jennilyn Cerico</t>
  </si>
  <si>
    <t>Prieto, Danilo Chavit</t>
  </si>
  <si>
    <t>14° 43' 04.9"</t>
  </si>
  <si>
    <t>120° 57' 38.7"</t>
  </si>
  <si>
    <t>VC-012</t>
  </si>
  <si>
    <t>Balanon, Jedalyn Montejo</t>
  </si>
  <si>
    <t>VC-013</t>
  </si>
  <si>
    <t>Albino, Oliver Espanilla</t>
  </si>
  <si>
    <t>VC-014</t>
  </si>
  <si>
    <t>Suringa, Roseline Pascua</t>
  </si>
  <si>
    <t>Lao, Jordon Manapat</t>
  </si>
  <si>
    <t>VC-015</t>
  </si>
  <si>
    <t>Cruz, Jackielyn Ventanilla</t>
  </si>
  <si>
    <t>VC-016</t>
  </si>
  <si>
    <t>Sinanggote, Rosemarie Magdangal</t>
  </si>
  <si>
    <t>Alnas, Melanio</t>
  </si>
  <si>
    <t>VC-017</t>
  </si>
  <si>
    <t>Barroga, Romeo Tenorio</t>
  </si>
  <si>
    <t>ACA Rd. Malanday Valenzuela City</t>
  </si>
  <si>
    <t>0905-902-5411 / 0975-133-6235</t>
  </si>
  <si>
    <t>14° 43' 07.5"</t>
  </si>
  <si>
    <t>VC-018</t>
  </si>
  <si>
    <t>Villanroque, Hernani Cuaterno</t>
  </si>
  <si>
    <t>ACA NFA, Malanday Valenzuela City</t>
  </si>
  <si>
    <t>14° 43' 06.0"</t>
  </si>
  <si>
    <t>VC-019</t>
  </si>
  <si>
    <t>NLRC (North Luzon Railway Corp)</t>
  </si>
  <si>
    <t>14° 43' 17.1"</t>
  </si>
  <si>
    <t>120° 57' 39.3"</t>
  </si>
  <si>
    <t>VC-020</t>
  </si>
  <si>
    <t>NFA</t>
  </si>
  <si>
    <t>14° 43' 18.0"</t>
  </si>
  <si>
    <t>120° 57' 36.2"</t>
  </si>
  <si>
    <t>VC-021</t>
  </si>
  <si>
    <t>Diones, Ramil Quitlong</t>
  </si>
  <si>
    <t>14° 42' 00"</t>
  </si>
  <si>
    <t>120° 57' 00"</t>
  </si>
  <si>
    <t>VC-022</t>
  </si>
  <si>
    <t>Alcantara, Luz Sta. Ana</t>
  </si>
  <si>
    <t>VC-023</t>
  </si>
  <si>
    <t>VC-024</t>
  </si>
  <si>
    <t xml:space="preserve">Velardo, Rosario Baltao </t>
  </si>
  <si>
    <t>Vicente C. Velardo</t>
  </si>
  <si>
    <t>VC-025</t>
  </si>
  <si>
    <t>Villazor, Ronald Villanueva</t>
  </si>
  <si>
    <t>Commercial Owner</t>
  </si>
  <si>
    <t>VC-026</t>
  </si>
  <si>
    <t>VC-027</t>
  </si>
  <si>
    <t>San Diego, Carolina Garcia</t>
  </si>
  <si>
    <t>B72 Daang Bakal, Malinta Valenzuela City</t>
  </si>
  <si>
    <t>VC-028</t>
  </si>
  <si>
    <t>VC-029</t>
  </si>
  <si>
    <t>Santos, Lilac Balajadia</t>
  </si>
  <si>
    <t>B70 San Isidro St, Malinta Valenzuela City</t>
  </si>
  <si>
    <t>Niece</t>
  </si>
  <si>
    <t>VC-030</t>
  </si>
  <si>
    <t>0935-107-7077</t>
  </si>
  <si>
    <t>VC-031</t>
  </si>
  <si>
    <t>Balajadia, Elizabeth De Castro</t>
  </si>
  <si>
    <t>0915-610-0490</t>
  </si>
  <si>
    <t>VC-032</t>
  </si>
  <si>
    <t>Mother of the Owner</t>
  </si>
  <si>
    <t>VC-033</t>
  </si>
  <si>
    <t>Veroy, Mhariz Villanueva</t>
  </si>
  <si>
    <t>0946-495-3142</t>
  </si>
  <si>
    <t>Putian, Crisvie Cordizar</t>
  </si>
  <si>
    <t>VC-034</t>
  </si>
  <si>
    <t>Veroy, Jhessy Anne Dabu</t>
  </si>
  <si>
    <t>0929-276-9435</t>
  </si>
  <si>
    <t>Rommel V. Veroy</t>
  </si>
  <si>
    <t>VC -035</t>
  </si>
  <si>
    <t>Rado, Alvin Villanueva</t>
  </si>
  <si>
    <t>VC-036</t>
  </si>
  <si>
    <t>Balajadia, Edna Alcairo</t>
  </si>
  <si>
    <t>VC-037</t>
  </si>
  <si>
    <t>Peru, Emcee Morales</t>
  </si>
  <si>
    <t>Peru, Adrian Tambong</t>
  </si>
  <si>
    <t>VC-038</t>
  </si>
  <si>
    <t>0912-993-4373</t>
  </si>
  <si>
    <t>Balajadia, Jonel Alcazar</t>
  </si>
  <si>
    <t>VC-039</t>
  </si>
  <si>
    <t>Owner</t>
  </si>
  <si>
    <t>VC-040</t>
  </si>
  <si>
    <t>Zorilla, Nomer Espiritu</t>
  </si>
  <si>
    <t>0932-196-0100</t>
  </si>
  <si>
    <t>VC-041</t>
  </si>
  <si>
    <t>Licaros, Mary Jane Sanchez</t>
  </si>
  <si>
    <t>326 Mc Arthur Hi-Way, Malinta, Valenzuela City</t>
  </si>
  <si>
    <t>Pineda, Ronaldo Dionisa</t>
  </si>
  <si>
    <t>VC-042</t>
  </si>
  <si>
    <t>Tan, Rosalina Batoon</t>
  </si>
  <si>
    <t>CANNOT BE LOCATED</t>
  </si>
  <si>
    <t>VC-043</t>
  </si>
  <si>
    <t>Morales,Michelle Mendoza</t>
  </si>
  <si>
    <t>Cristal, Dindo Avenido</t>
  </si>
  <si>
    <t>VC-044</t>
  </si>
  <si>
    <t>Pante, Janine Villas</t>
  </si>
  <si>
    <t>Manarang, Edgardo Trinidad</t>
  </si>
  <si>
    <t>VC-045</t>
  </si>
  <si>
    <t>Flores, Rossel Geraban</t>
  </si>
  <si>
    <t>Alamo, Renan Aringo</t>
  </si>
  <si>
    <t>VC-046</t>
  </si>
  <si>
    <t>Mateo, Istanislao Perdin</t>
  </si>
  <si>
    <t>332 Mc Arthur Hi-Way, Malinta, Valenzuela City</t>
  </si>
  <si>
    <t>VC-047</t>
  </si>
  <si>
    <t>Doma, Joy Ann Salonga</t>
  </si>
  <si>
    <t>Bito, Jerald James Samberi</t>
  </si>
  <si>
    <t>VC-048</t>
  </si>
  <si>
    <t>Doma, Estella Vargas</t>
  </si>
  <si>
    <t>Doma, Jose Nolasco</t>
  </si>
  <si>
    <t>VC-050</t>
  </si>
  <si>
    <t>118 Cortez St. Malinta, Valenzuela City</t>
  </si>
  <si>
    <t>Brother in law</t>
  </si>
  <si>
    <t>VC-051</t>
  </si>
  <si>
    <t>105 Cortez St. Malinta, Valenzuela City</t>
  </si>
  <si>
    <t>0948-649-6810</t>
  </si>
  <si>
    <t>Visperas, Reynaldo Castillo</t>
  </si>
  <si>
    <t>VC-052</t>
  </si>
  <si>
    <t>Visperas, Dolores De Leon</t>
  </si>
  <si>
    <t>VC-053</t>
  </si>
  <si>
    <t>Soan, Reynaldo Barrantes</t>
  </si>
  <si>
    <t>104 Cortez St. Malinta, Valenzuela City</t>
  </si>
  <si>
    <t>443-3690</t>
  </si>
  <si>
    <t>VC-054</t>
  </si>
  <si>
    <t>Lipao, Divina Merjudio</t>
  </si>
  <si>
    <t>149 A. Tongco St. Malinta, Valenzuela City</t>
  </si>
  <si>
    <t>Lipao, Sixtor Barredo</t>
  </si>
  <si>
    <t>VC-055</t>
  </si>
  <si>
    <t>Agulto, Divina Merjudio</t>
  </si>
  <si>
    <t>Agulto, Mario Lahom</t>
  </si>
  <si>
    <t>VC-056</t>
  </si>
  <si>
    <t>148 A. Tongco St. Malinta, Valenzuela City</t>
  </si>
  <si>
    <t>0923-417-6181</t>
  </si>
  <si>
    <t>Parungao, Renato Sulit</t>
  </si>
  <si>
    <t>VC-057</t>
  </si>
  <si>
    <t>181 A. Caco St. Malinta, Valenzuela City</t>
  </si>
  <si>
    <t>0920-442-0572</t>
  </si>
  <si>
    <t>Cunanan, Leonides Gonzales</t>
  </si>
  <si>
    <t>VC-057A</t>
  </si>
  <si>
    <t>VC-058</t>
  </si>
  <si>
    <t>175 A. Caco St. Malinta, Valenzuela City</t>
  </si>
  <si>
    <t>0908-610-8632</t>
  </si>
  <si>
    <t>VC-059</t>
  </si>
  <si>
    <t>Sacdalan, Leni Santuyo</t>
  </si>
  <si>
    <t>174 A. Caco St. Malinta, Valenzuela City</t>
  </si>
  <si>
    <t>Calara, Eleazar Santuyo</t>
  </si>
  <si>
    <t>VC-060</t>
  </si>
  <si>
    <t>847 A. De Castro St. Malinta, Valenzuela City</t>
  </si>
  <si>
    <t>0926-703-8312</t>
  </si>
  <si>
    <t>VC-061</t>
  </si>
  <si>
    <t>Aspiras, Gerry Reyes</t>
  </si>
  <si>
    <t>0907-141-6515</t>
  </si>
  <si>
    <t>VC-062</t>
  </si>
  <si>
    <t>Brother of owner</t>
  </si>
  <si>
    <t>VC-063</t>
  </si>
  <si>
    <t>Salazar, Remboc Rodriguez</t>
  </si>
  <si>
    <t>177 A. Caco St. Malinta, Valenzuela City</t>
  </si>
  <si>
    <t>VC-064</t>
  </si>
  <si>
    <t>228 A. Santos St. Malinta Velenzuela City</t>
  </si>
  <si>
    <t>VC-065</t>
  </si>
  <si>
    <t>Verdon, Conchita David</t>
  </si>
  <si>
    <t>229 A. Santos St. Malinta Velenzuela City</t>
  </si>
  <si>
    <t>0905-312-5699</t>
  </si>
  <si>
    <t>VC-066</t>
  </si>
  <si>
    <t>Asaytono, Cefora Flores</t>
  </si>
  <si>
    <t xml:space="preserve"> A. Santos St. Malinta Velenzuela City</t>
  </si>
  <si>
    <t>0935-870-4292</t>
  </si>
  <si>
    <t>VC-067</t>
  </si>
  <si>
    <t>Morada, Ricky Bedico</t>
  </si>
  <si>
    <t>232 A. Santos St. Malinta Velenzuela City</t>
  </si>
  <si>
    <t>0907-800-7317</t>
  </si>
  <si>
    <t>VC-068</t>
  </si>
  <si>
    <t>233 A. Santos St. Malinta Velenzuela City</t>
  </si>
  <si>
    <t>0905-678-8202</t>
  </si>
  <si>
    <t>VC-069</t>
  </si>
  <si>
    <t>VC-070</t>
  </si>
  <si>
    <t>Buenaventura, Esabela Suba</t>
  </si>
  <si>
    <t>236 A. Santos St. Malinta Velenzuela City</t>
  </si>
  <si>
    <t>VC-071</t>
  </si>
  <si>
    <t>852 A. De Castro St. Malinta, Valenzuela City</t>
  </si>
  <si>
    <t>0947-363-5574</t>
  </si>
  <si>
    <t>Noveda, Nelita Siverio</t>
  </si>
  <si>
    <t>854 A. De Castro St. Malinta, Valenzuela City</t>
  </si>
  <si>
    <t>Noveda, Benjamin</t>
  </si>
  <si>
    <t>VC-073</t>
  </si>
  <si>
    <t>856 A. De Castro St. Malinta, Valenzuela City</t>
  </si>
  <si>
    <t>Versosa, Alfred Scott</t>
  </si>
  <si>
    <t>VC-074</t>
  </si>
  <si>
    <t>Villanueva, Ma. Luisa Cayco</t>
  </si>
  <si>
    <t>237 A. Santos St. Malinta Velenzuela City</t>
  </si>
  <si>
    <t>Sister in law</t>
  </si>
  <si>
    <t>0942-732-3965</t>
  </si>
  <si>
    <t>VC-075</t>
  </si>
  <si>
    <t>Solomon, Mercydita, Baltazr</t>
  </si>
  <si>
    <t>0923-286-5036</t>
  </si>
  <si>
    <t>Solomon, Reynaldo</t>
  </si>
  <si>
    <t>VC-076</t>
  </si>
  <si>
    <t>Fabroa, Hermie</t>
  </si>
  <si>
    <t>Tangke St. Malinta Velenzuela City</t>
  </si>
  <si>
    <t>Property Guard</t>
  </si>
  <si>
    <t>VC-077</t>
  </si>
  <si>
    <t>Caidic, Alvin</t>
  </si>
  <si>
    <t>270 Tangke St. Malinta Velenzuela City</t>
  </si>
  <si>
    <t>Property Administrator</t>
  </si>
  <si>
    <t>0942-034-4797</t>
  </si>
  <si>
    <t>VC-078</t>
  </si>
  <si>
    <t>De Leon, Librada Pena</t>
  </si>
  <si>
    <t>547 Dulong Tangke St. Malinta Valenzuela City</t>
  </si>
  <si>
    <t>VC-079</t>
  </si>
  <si>
    <t xml:space="preserve">Sister </t>
  </si>
  <si>
    <t>VC-080</t>
  </si>
  <si>
    <t>Sarmiento, Romar Francia</t>
  </si>
  <si>
    <t>545 Dulong Tangke St. Malinta Valenzuela City</t>
  </si>
  <si>
    <t>VC-081</t>
  </si>
  <si>
    <t>Villanueva, Ronalyn Banlad</t>
  </si>
  <si>
    <t>Abalos, Zaldy C</t>
  </si>
  <si>
    <t>VC-082</t>
  </si>
  <si>
    <t>Villanueva, Emily Almazan</t>
  </si>
  <si>
    <t>VC-083</t>
  </si>
  <si>
    <t>Tubal, Gracelda Burgos</t>
  </si>
  <si>
    <t>536 Dulong Tangke St. Malinta Valenzuela City</t>
  </si>
  <si>
    <t>Neighbor</t>
  </si>
  <si>
    <t>0939-296-7995</t>
  </si>
  <si>
    <t>VC-084</t>
  </si>
  <si>
    <t>Badilla, Johnamarry Balong</t>
  </si>
  <si>
    <t>576 Dulong Tangke St. Malinta Valenzuela City</t>
  </si>
  <si>
    <t>Patillano, Nathaniel Villa</t>
  </si>
  <si>
    <t>VC-085</t>
  </si>
  <si>
    <t>Manabo, Garry Ong</t>
  </si>
  <si>
    <t>VC-086</t>
  </si>
  <si>
    <t>Barcelon, Rebecca Diteral</t>
  </si>
  <si>
    <t>577 Dulong Tangke St. Malinta Valenzuela City</t>
  </si>
  <si>
    <t>VC-087</t>
  </si>
  <si>
    <t>Manabo, Jasper Buendia</t>
  </si>
  <si>
    <t>Manabo, Aida Buendia</t>
  </si>
  <si>
    <t>VC-088</t>
  </si>
  <si>
    <t>579 Dulong Tangke St. Malinta Valenzuela City</t>
  </si>
  <si>
    <t>Espora, Robert Palada</t>
  </si>
  <si>
    <t>VC-089</t>
  </si>
  <si>
    <t>VC-090</t>
  </si>
  <si>
    <t>San Miguel, Geraldine Dela Cruz</t>
  </si>
  <si>
    <t>583 Dulong Tangke St. Malinta Valenzuela City</t>
  </si>
  <si>
    <t>San Miguel, Artemio Jr.</t>
  </si>
  <si>
    <t>VC-091</t>
  </si>
  <si>
    <t>Fernandez, Carlos Flor</t>
  </si>
  <si>
    <t>VC-092</t>
  </si>
  <si>
    <t>Guillermo Manabo</t>
  </si>
  <si>
    <t>VC-093</t>
  </si>
  <si>
    <t>VC-094</t>
  </si>
  <si>
    <t>VC-095</t>
  </si>
  <si>
    <t>VC-096</t>
  </si>
  <si>
    <t>De Leon, Marita Gabatbat</t>
  </si>
  <si>
    <t>590 Dulong Tangke St. Malinta Valenzuela City</t>
  </si>
  <si>
    <t>De Leon Nestor</t>
  </si>
  <si>
    <t>VC-097</t>
  </si>
  <si>
    <t>Nabol, Emily Gregorio</t>
  </si>
  <si>
    <t>589 Dulong Tangke St. Malinta Valenzuela City</t>
  </si>
  <si>
    <t>Nabol, Iven Pauya</t>
  </si>
  <si>
    <t>VC-098</t>
  </si>
  <si>
    <t>Tomaquin, Barbara Valladolid</t>
  </si>
  <si>
    <t>0942-991-3379</t>
  </si>
  <si>
    <t>Tomaquin, Joel</t>
  </si>
  <si>
    <t>VC-099</t>
  </si>
  <si>
    <t>Salonga, Adoracion Estaquio</t>
  </si>
  <si>
    <t>525 Dulong Tangke St. Malinta Valenzuela City</t>
  </si>
  <si>
    <t>0932-247-9990</t>
  </si>
  <si>
    <t>Salonga, Virgilio</t>
  </si>
  <si>
    <t>VC-100</t>
  </si>
  <si>
    <t>VC-101</t>
  </si>
  <si>
    <t xml:space="preserve">Manabo, Guillermo </t>
  </si>
  <si>
    <t>VC-102</t>
  </si>
  <si>
    <t>Lausa, Manolito Librado</t>
  </si>
  <si>
    <t>0949-357-9779</t>
  </si>
  <si>
    <t>VC-103</t>
  </si>
  <si>
    <t>VC-104</t>
  </si>
  <si>
    <t>VC-105</t>
  </si>
  <si>
    <t>Cabigas, Francisca Cruz</t>
  </si>
  <si>
    <t>592 Dulong Tangke St. Malinta Valenzuela City</t>
  </si>
  <si>
    <t>Cabigas, Victor Ascuncion</t>
  </si>
  <si>
    <t>VC-106</t>
  </si>
  <si>
    <t>Lugo, Ferdinand Tumamao</t>
  </si>
  <si>
    <t>570 Dulong Tangke St. Malinta Valenzuela City</t>
  </si>
  <si>
    <t>0926-674-6075</t>
  </si>
  <si>
    <t>VC-107</t>
  </si>
  <si>
    <t xml:space="preserve"> Dulong Tangke St. Malinta Valenzuela City</t>
  </si>
  <si>
    <t>VC-108</t>
  </si>
  <si>
    <t>Binlayo, Bryan Boholano</t>
  </si>
  <si>
    <t>595 Dulong Tangke St. Malinta Valenzuela City</t>
  </si>
  <si>
    <t>VC-109</t>
  </si>
  <si>
    <t>VC-110</t>
  </si>
  <si>
    <t>Binlayo, Araceli Boholano</t>
  </si>
  <si>
    <t>VC-111</t>
  </si>
  <si>
    <t>Wire Rope - Conc Fence Corp of the Philippines</t>
  </si>
  <si>
    <t>VC-112</t>
  </si>
  <si>
    <t>Coordinates</t>
  </si>
  <si>
    <t>Stationing</t>
  </si>
  <si>
    <t>L/R</t>
  </si>
  <si>
    <t>Family Head</t>
  </si>
  <si>
    <t>Birthdate</t>
  </si>
  <si>
    <t>Age</t>
  </si>
  <si>
    <t>Gender</t>
  </si>
  <si>
    <t>Civil Status</t>
  </si>
  <si>
    <t>Religion</t>
  </si>
  <si>
    <t>Ethnicity</t>
  </si>
  <si>
    <t xml:space="preserve">Length of stay </t>
  </si>
  <si>
    <t>Economic</t>
  </si>
  <si>
    <t>Social</t>
  </si>
  <si>
    <t>Others</t>
  </si>
  <si>
    <t>Former place</t>
  </si>
  <si>
    <t>Cristobal, Andrew G.</t>
  </si>
  <si>
    <t>Married</t>
  </si>
  <si>
    <t>Roman Catholic</t>
  </si>
  <si>
    <t>Tagalog</t>
  </si>
  <si>
    <t>More than 15 years</t>
  </si>
  <si>
    <t>Family ties</t>
  </si>
  <si>
    <t>Same Brgy</t>
  </si>
  <si>
    <t>Santos, Josefa D.</t>
  </si>
  <si>
    <t>0977-436-4467</t>
  </si>
  <si>
    <t>743 PNR st., Bulihan Malolos</t>
  </si>
  <si>
    <t>Got married</t>
  </si>
  <si>
    <t>Marcos, Maria C.</t>
  </si>
  <si>
    <t>0916-267-5585</t>
  </si>
  <si>
    <t>Widow</t>
  </si>
  <si>
    <t>23 Garnet st., CVP Subd. Bulihan Malolos Bulacan</t>
  </si>
  <si>
    <t>Bautista, Jafer Tomaliwan</t>
  </si>
  <si>
    <t>Live-in</t>
  </si>
  <si>
    <t>Ilocano</t>
  </si>
  <si>
    <t>Proximity to livelihood</t>
  </si>
  <si>
    <t>De Vera, Angel C.</t>
  </si>
  <si>
    <t>PNR Compound Baranggay Catmon</t>
  </si>
  <si>
    <t>CAMACOP</t>
  </si>
  <si>
    <t>Cruz, Marciano L.</t>
  </si>
  <si>
    <t>Avila, Jean Tobias</t>
  </si>
  <si>
    <t>0942-448-8953</t>
  </si>
  <si>
    <t>Protestant</t>
  </si>
  <si>
    <t>Cebuano</t>
  </si>
  <si>
    <t>Same Brgy.</t>
  </si>
  <si>
    <t>Magdaraog,Billy Mercado</t>
  </si>
  <si>
    <t>0932-463-6659</t>
  </si>
  <si>
    <t>Ugong, Guiguinto,Bulacan</t>
  </si>
  <si>
    <t>Davaoeno</t>
  </si>
  <si>
    <t>Zarate, Miguel M.</t>
  </si>
  <si>
    <t>Waray</t>
  </si>
  <si>
    <t>Less than One year</t>
  </si>
  <si>
    <t>Sanchez, Aliza Masarque</t>
  </si>
  <si>
    <t>0997-125-4801</t>
  </si>
  <si>
    <t>Ugong Tiaong, Guiguinto Bulacan</t>
  </si>
  <si>
    <t>10-15 years</t>
  </si>
  <si>
    <t>Livelihood</t>
  </si>
  <si>
    <t>same city</t>
  </si>
  <si>
    <t>Lobetaña, Benjamin A.</t>
  </si>
  <si>
    <t>Bisaya</t>
  </si>
  <si>
    <t>Balagtas, Bulacan</t>
  </si>
  <si>
    <t>Robles, Romana Marcelino</t>
  </si>
  <si>
    <t>690-2267</t>
  </si>
  <si>
    <t>Tabang, Guiguinto Bulacan</t>
  </si>
  <si>
    <t>Cruz, Renan Ecobia</t>
  </si>
  <si>
    <t>0943-130-7530</t>
  </si>
  <si>
    <t>Proximity ti livelihood</t>
  </si>
  <si>
    <t>Regalario, Ramon B.</t>
  </si>
  <si>
    <t>0906-680-6949</t>
  </si>
  <si>
    <t>Borol I, Balagtas Bulacan</t>
  </si>
  <si>
    <t>Bicolano</t>
  </si>
  <si>
    <t>same brgy</t>
  </si>
  <si>
    <t>Galvez, Consolacion V.</t>
  </si>
  <si>
    <t>more than 15 years</t>
  </si>
  <si>
    <t>Wawa st., Balagtas Bulacan</t>
  </si>
  <si>
    <t>Mejos Sr., Ruben A.</t>
  </si>
  <si>
    <t>0926-360-5279</t>
  </si>
  <si>
    <t>Daang Bakal, Igolot Bocaue</t>
  </si>
  <si>
    <t>Ramirez, Felicima Ilano</t>
  </si>
  <si>
    <t>Single</t>
  </si>
  <si>
    <t>Bulakenya</t>
  </si>
  <si>
    <t>Family Ties</t>
  </si>
  <si>
    <t>Bocaue</t>
  </si>
  <si>
    <t>0929-265-8639</t>
  </si>
  <si>
    <t>Rodel Obias</t>
  </si>
  <si>
    <t>Santos, Rosalia I.</t>
  </si>
  <si>
    <t>0922-218-5557</t>
  </si>
  <si>
    <t>594 Vcitorina st., Abangan Norte, Marilao Bulacan</t>
  </si>
  <si>
    <t>Rent free</t>
  </si>
  <si>
    <t>Valenzuela</t>
  </si>
  <si>
    <t>Single Parent</t>
  </si>
  <si>
    <t>0925-375-7530</t>
  </si>
  <si>
    <t>Ilonggo</t>
  </si>
  <si>
    <t>0933-514-6219</t>
  </si>
  <si>
    <t>Separated</t>
  </si>
  <si>
    <t>Victorina st. Abangan Norte Marilao Bulacan</t>
  </si>
  <si>
    <t>Tuazon, Luzviminda D.</t>
  </si>
  <si>
    <t>0910-683-7892</t>
  </si>
  <si>
    <t>Aklan</t>
  </si>
  <si>
    <t>Inselada, Samuel C.</t>
  </si>
  <si>
    <t>Proximity to livelihood, Affordable rental fee</t>
  </si>
  <si>
    <t>Near school</t>
  </si>
  <si>
    <t>Guinto, Lauro P.</t>
  </si>
  <si>
    <t>004 Daang Bakal st., Saog Marilao Bulacan</t>
  </si>
  <si>
    <t>INC</t>
  </si>
  <si>
    <t>Castor, Levy Poitan</t>
  </si>
  <si>
    <t>0926-318-3181</t>
  </si>
  <si>
    <t>Purchased</t>
  </si>
  <si>
    <t>0935-089-2988</t>
  </si>
  <si>
    <t>Same City</t>
  </si>
  <si>
    <t>Miramvil, Rizalto Narvaes</t>
  </si>
  <si>
    <t>0933-332-6977</t>
  </si>
  <si>
    <t>001 Daang Bakal St., Saog Marilao Bulacan</t>
  </si>
  <si>
    <t>Rosende, Rene L.</t>
  </si>
  <si>
    <t>Villa Roma Phase 2, Saog Marilao Bulacan</t>
  </si>
  <si>
    <t>Same Address</t>
  </si>
  <si>
    <t>0917-434-1911</t>
  </si>
  <si>
    <t>Monilla, Elmer G.</t>
  </si>
  <si>
    <t>23 Daang Bakal, Daang Bakal st., Saog Marilao Bulacan</t>
  </si>
  <si>
    <t>Paz, Abegail D.</t>
  </si>
  <si>
    <t>0977-253-2462</t>
  </si>
  <si>
    <t>Daang Bakal, Saog</t>
  </si>
  <si>
    <t>Domingo, Lina F.</t>
  </si>
  <si>
    <t>0975-608-4569</t>
  </si>
  <si>
    <t>Daang Bakal st., Lias rd. Saog</t>
  </si>
  <si>
    <t>less than one year</t>
  </si>
  <si>
    <t>Affordable rental fee</t>
  </si>
  <si>
    <t>Northville 4 (old) Block 20, Lot 14, Barma, Marilao Bulacan</t>
  </si>
  <si>
    <t>Bulakeño</t>
  </si>
  <si>
    <t>0949-160-3648</t>
  </si>
  <si>
    <t>Samie City</t>
  </si>
  <si>
    <t>Enriquez, Salvacion E.</t>
  </si>
  <si>
    <t>St. Martin st., Ibayo Marilao Bulacan</t>
  </si>
  <si>
    <t>Lamug, Jonathan M.</t>
  </si>
  <si>
    <t>0942-369-1938</t>
  </si>
  <si>
    <t>674 Main Road, Bancal Meycauyan Bulacan</t>
  </si>
  <si>
    <t>Santos, Ann Margaret L.</t>
  </si>
  <si>
    <t>0906-267-9980</t>
  </si>
  <si>
    <t>674 Mulawin, Bancal</t>
  </si>
  <si>
    <t>De Guzman, Corazon De Ramos</t>
  </si>
  <si>
    <t>0935-484-6143 / 0997-641-8110</t>
  </si>
  <si>
    <t>579 Mc Arthur Hi-way Bancal Meycauyan</t>
  </si>
  <si>
    <t>Leonilo P. Geronimo</t>
  </si>
  <si>
    <t>0935-499-1768 / 0935-479-0152</t>
  </si>
  <si>
    <t>667 Mulawini st., Bancal ext.,</t>
  </si>
  <si>
    <t>Ramirez, AngelitoBugoy</t>
  </si>
  <si>
    <t>-</t>
  </si>
  <si>
    <t>0947-278-1905</t>
  </si>
  <si>
    <t>Proximity to ivellihood</t>
  </si>
  <si>
    <t>Funa, Robert De Guzman</t>
  </si>
  <si>
    <t>0926-754-9258</t>
  </si>
  <si>
    <t>667 Mulawini st., Bancal ext., Meycauyan Bulacan</t>
  </si>
  <si>
    <t>Veruen, Manuel Matias</t>
  </si>
  <si>
    <t>0936-783-8351</t>
  </si>
  <si>
    <t>0932-551-7537</t>
  </si>
  <si>
    <t>Islam</t>
  </si>
  <si>
    <t>Dellota, Lanie Olivares</t>
  </si>
  <si>
    <t>678 Mulawin st., Bancal Ext.</t>
  </si>
  <si>
    <t>678 Mulawin Ext., Bancal Ext Meycauyan Bulacan</t>
  </si>
  <si>
    <t>De Llota, Imelda Olivares</t>
  </si>
  <si>
    <t>0926-807-7148</t>
  </si>
  <si>
    <t>Born Again Christian</t>
  </si>
  <si>
    <t>673 Mulawin st., Bancal Ext. Meycauyan</t>
  </si>
  <si>
    <t>683 Mulawin st., Bancal Ext. Meycauyan</t>
  </si>
  <si>
    <t>Inherited</t>
  </si>
  <si>
    <t>Olivares, Romeo Ramos</t>
  </si>
  <si>
    <t>0997-629-6974</t>
  </si>
  <si>
    <t>rent free</t>
  </si>
  <si>
    <t>Ramos, Enrico Concepcion</t>
  </si>
  <si>
    <t>Inherited Land</t>
  </si>
  <si>
    <t>Ramos, Ramil C.</t>
  </si>
  <si>
    <t>0997-552-4365</t>
  </si>
  <si>
    <t>Ramos, Lauro C.</t>
  </si>
  <si>
    <t>0950-446-5716</t>
  </si>
  <si>
    <t>Santos, Lucita S.</t>
  </si>
  <si>
    <t>694 Mulawin St., Bancal Ext., Meycauyan Bulacan</t>
  </si>
  <si>
    <t>Tagalog, Kapampangan</t>
  </si>
  <si>
    <t>Purchased (mother-in-law)</t>
  </si>
  <si>
    <t>670 (683) Mulawin St., Bancal Ext</t>
  </si>
  <si>
    <t>Tagalog, English</t>
  </si>
  <si>
    <t>Bernardino, Ronnie Herbieto</t>
  </si>
  <si>
    <t>0975-157-7833</t>
  </si>
  <si>
    <t>Jingco, Rosallie Antonio</t>
  </si>
  <si>
    <t>Tabanao, Delberto Batomalaki</t>
  </si>
  <si>
    <t>687 Mulawin st., Bancal ext., Meycauyan</t>
  </si>
  <si>
    <t>Santo Niño, Bulacan</t>
  </si>
  <si>
    <t>Diaz, Edwin G.</t>
  </si>
  <si>
    <t>0906-605-3191</t>
  </si>
  <si>
    <t>Sarmiento, Heneroso</t>
  </si>
  <si>
    <t>Batomalaki, Crisanto Dionaldo</t>
  </si>
  <si>
    <t>0933-913-0373</t>
  </si>
  <si>
    <t>Affordable Rental Fee</t>
  </si>
  <si>
    <t>Danao, Pio M.</t>
  </si>
  <si>
    <t>0949-371-2686</t>
  </si>
  <si>
    <t>Masbate</t>
  </si>
  <si>
    <t xml:space="preserve">Lacsina, Melanie </t>
  </si>
  <si>
    <t>Sta.Mesa, Manila</t>
  </si>
  <si>
    <t>0975-429-1570</t>
  </si>
  <si>
    <t>864 Mulawin st., Bancal Ext</t>
  </si>
  <si>
    <t>Verbal Agreement</t>
  </si>
  <si>
    <t>Valenzuela City</t>
  </si>
  <si>
    <t>Co, Maria Ada</t>
  </si>
  <si>
    <t>0936-215-2356</t>
  </si>
  <si>
    <t>684 Mulawin st., Bancal Ext., Meycauyan Bulacan</t>
  </si>
  <si>
    <t>Miracle Crusade</t>
  </si>
  <si>
    <t>(Owner were deceased)</t>
  </si>
  <si>
    <t>Co, Remedios Ada</t>
  </si>
  <si>
    <t>0928-834-1795</t>
  </si>
  <si>
    <t>Do not want to relocate</t>
  </si>
  <si>
    <t>Co, Pepito General</t>
  </si>
  <si>
    <t>0928-834-1795 / 0935-589-0967</t>
  </si>
  <si>
    <t>684 Mulawin St.. Bancal</t>
  </si>
  <si>
    <t>Tagalog/Cebuano</t>
  </si>
  <si>
    <t>Leyte</t>
  </si>
  <si>
    <t>Cruz, Emmanuel v.</t>
  </si>
  <si>
    <t>Bancal Ext., Meycauyan Bulacan</t>
  </si>
  <si>
    <t>Dela Cruz, Roque P.</t>
  </si>
  <si>
    <t>Samar</t>
  </si>
  <si>
    <t>Lorenzo, Fernando R.</t>
  </si>
  <si>
    <t>Metro Manila</t>
  </si>
  <si>
    <t>No other place to go</t>
  </si>
  <si>
    <t>Sebastian, Roselio E.</t>
  </si>
  <si>
    <t>Tacloban, Leyte</t>
  </si>
  <si>
    <t>Tagalog, Waray</t>
  </si>
  <si>
    <t>Near work</t>
  </si>
  <si>
    <t xml:space="preserve">Cainoy, Carlo Ven S. </t>
  </si>
  <si>
    <t>ACA Cmpd., Bukid Malanday</t>
  </si>
  <si>
    <t>Cabayao, Marlon C.</t>
  </si>
  <si>
    <t>0909-786-3682</t>
  </si>
  <si>
    <t>Quillosa, Mauricio Daradal</t>
  </si>
  <si>
    <t>Proximity to livelihood, Rrent free</t>
  </si>
  <si>
    <t>Verbal agreement to be the caretaker for the fish</t>
  </si>
  <si>
    <t>Artajo, Exequiel Arrogante</t>
  </si>
  <si>
    <t>ACA Cmpd., Bukirin Malanday Valenzuela City</t>
  </si>
  <si>
    <t>Tagalog, Cebuano</t>
  </si>
  <si>
    <t>0933-467-0268</t>
  </si>
  <si>
    <t>Proximity to livelihood, Rent free</t>
  </si>
  <si>
    <t>Bales, Abner Dela Cruz</t>
  </si>
  <si>
    <t>0948-209-4032</t>
  </si>
  <si>
    <t>ACA Cmpd. Malanday Valenuela</t>
  </si>
  <si>
    <t>Esponilla, Oliver Albino</t>
  </si>
  <si>
    <t>0949-874-1351</t>
  </si>
  <si>
    <t>ACA Cmpd., Malanday Valenuela City</t>
  </si>
  <si>
    <t>0946-476-4451</t>
  </si>
  <si>
    <t>Viente Reales, Malanday Valenzuela City</t>
  </si>
  <si>
    <t>Realino, Romeo De Sabayla</t>
  </si>
  <si>
    <t>0943-351-1204</t>
  </si>
  <si>
    <t>ACA Compd., Malanday Valenzuela City</t>
  </si>
  <si>
    <t>Got Married</t>
  </si>
  <si>
    <t>Alnas, Melanio De Guzman</t>
  </si>
  <si>
    <t>0912-646-8961</t>
  </si>
  <si>
    <t>Sinanggote, Rolando Sasing</t>
  </si>
  <si>
    <t>Barroga, Romeo T.</t>
  </si>
  <si>
    <t>ACA rd. Malanday Valenuela City</t>
  </si>
  <si>
    <t>269 Mc Arthur Hi-way Mainta VC</t>
  </si>
  <si>
    <t>Mahilom, Erlinda L.</t>
  </si>
  <si>
    <t>0930-105-7566</t>
  </si>
  <si>
    <t>72 Daang Oldog, Malinta V.C.</t>
  </si>
  <si>
    <t>Tagalog, Visaya</t>
  </si>
  <si>
    <t>Proximity to livelihood, Affordable Rental fee</t>
  </si>
  <si>
    <t>Llantos, Lolita Docena</t>
  </si>
  <si>
    <t>0939-831-7192</t>
  </si>
  <si>
    <t>4-5 years</t>
  </si>
  <si>
    <t>Catbalogan, Samar</t>
  </si>
  <si>
    <t>Fernandez, Susana Caceres</t>
  </si>
  <si>
    <t>Olanggo, Ricky Paloma</t>
  </si>
  <si>
    <t>0922-405-9180</t>
  </si>
  <si>
    <t>326 San Isidro Labrado Malinta</t>
  </si>
  <si>
    <t>Rowel Gualba Mabuti</t>
  </si>
  <si>
    <t>(CANNOT BE LOCATED)</t>
  </si>
  <si>
    <t>Satoquia, Isagani Santos</t>
  </si>
  <si>
    <t>0930-518-6647</t>
  </si>
  <si>
    <t>B70 San Isidro St., Malinta V.C.</t>
  </si>
  <si>
    <t>Caloocan City</t>
  </si>
  <si>
    <t>Santos, Ryan Martinez</t>
  </si>
  <si>
    <t>355-9307</t>
  </si>
  <si>
    <t>Mendoza, Eden Balavadia</t>
  </si>
  <si>
    <t>0917-810-9457</t>
  </si>
  <si>
    <t>San Isidro Labrador Parish, Malinta V.C.</t>
  </si>
  <si>
    <t>Since Birth</t>
  </si>
  <si>
    <t>Balajadia, Edelizar D.</t>
  </si>
  <si>
    <t>0936-170-8354</t>
  </si>
  <si>
    <t>Veroy, Bernardo Villanueva</t>
  </si>
  <si>
    <t>326 McArthur Hi-way</t>
  </si>
  <si>
    <t>Malinta V.C.</t>
  </si>
  <si>
    <t>Veroy, Rommel V.</t>
  </si>
  <si>
    <t>0908-160-9830</t>
  </si>
  <si>
    <t>Rado, Alvin V.</t>
  </si>
  <si>
    <t>0909-861--1874</t>
  </si>
  <si>
    <t>326 McArthur Hi-way Malinta V.C.</t>
  </si>
  <si>
    <t>Balajadia, Edna A.</t>
  </si>
  <si>
    <t>432-2686</t>
  </si>
  <si>
    <t>Paguel, Hitler B.</t>
  </si>
  <si>
    <t>0932-529-2113</t>
  </si>
  <si>
    <t>0928-713-41-22</t>
  </si>
  <si>
    <t>326 Mc Arthur Hi way Malinta Valenzuela City</t>
  </si>
  <si>
    <t>Balajadia, Jonel A.</t>
  </si>
  <si>
    <t>0930-610-57-97</t>
  </si>
  <si>
    <t>Since birth</t>
  </si>
  <si>
    <t>roman Catholic</t>
  </si>
  <si>
    <t>Licarus, Mary Jane Sanchez</t>
  </si>
  <si>
    <t>0930-680-8644</t>
  </si>
  <si>
    <t>Proximity to Livelihood</t>
  </si>
  <si>
    <t>Ilocos</t>
  </si>
  <si>
    <t>Ponce, Jeffrey Patriarca</t>
  </si>
  <si>
    <t>0948-840-2665</t>
  </si>
  <si>
    <t>Corpuz, Ronalyn Somera</t>
  </si>
  <si>
    <t>0955-350-5202</t>
  </si>
  <si>
    <t>#3 Salud Balubaran Malinta V.C.</t>
  </si>
  <si>
    <t>Morales, Michelle Mendoza</t>
  </si>
  <si>
    <t>0907-038-1410</t>
  </si>
  <si>
    <t>326 McArhur hi-way Malinta V.C.</t>
  </si>
  <si>
    <t>Pante, Teresa V.</t>
  </si>
  <si>
    <t>0930-005-2354</t>
  </si>
  <si>
    <t>Capiz</t>
  </si>
  <si>
    <t>0942-020-0993</t>
  </si>
  <si>
    <t>Near School</t>
  </si>
  <si>
    <t>Mateo, Estanislao P.</t>
  </si>
  <si>
    <t>0926-005-3240</t>
  </si>
  <si>
    <t>Bulacan</t>
  </si>
  <si>
    <t>Bito, Jerald James S.</t>
  </si>
  <si>
    <t>Since Birth (Respondent)</t>
  </si>
  <si>
    <t>Doma, Estela Vargas</t>
  </si>
  <si>
    <t>0923-929-7199</t>
  </si>
  <si>
    <t>326 McArthur hi-way Malinta V.C.</t>
  </si>
  <si>
    <t>Makati</t>
  </si>
  <si>
    <t>291-3455</t>
  </si>
  <si>
    <t>118 Cortez St., Malinta V.C.</t>
  </si>
  <si>
    <t>Due to Poverty</t>
  </si>
  <si>
    <t>104 Cortez St., Malinta V.C.</t>
  </si>
  <si>
    <t>Family ties, Near school</t>
  </si>
  <si>
    <t>Manila</t>
  </si>
  <si>
    <t>Agulto Jr., Mario Lajan</t>
  </si>
  <si>
    <t>149-A Tongko St., Malinta V.C.</t>
  </si>
  <si>
    <t>Abala, Celestino C.</t>
  </si>
  <si>
    <t>847 E. De Castro st., Malinta V.C.</t>
  </si>
  <si>
    <t>Less Flood</t>
  </si>
  <si>
    <t>Tano, Teresita Dimaano</t>
  </si>
  <si>
    <t>35 Flaviano st., Karuhatan Malinta</t>
  </si>
  <si>
    <t>Less Space</t>
  </si>
  <si>
    <t>0907-141-6553</t>
  </si>
  <si>
    <t>847 A. De Castro st., Malinta V.C.</t>
  </si>
  <si>
    <t>Eugenio, Gilda</t>
  </si>
  <si>
    <t>0925-347-8882</t>
  </si>
  <si>
    <t>Born Here</t>
  </si>
  <si>
    <t>Edith Verdon Miranda</t>
  </si>
  <si>
    <t>Asaytono, Andres tampos</t>
  </si>
  <si>
    <t>Tagalog, Bicolano</t>
  </si>
  <si>
    <t>Velasquez, Rosalie Tamsi</t>
  </si>
  <si>
    <t xml:space="preserve">Tonod, Manila </t>
  </si>
  <si>
    <t>Versosa, Arturo S.</t>
  </si>
  <si>
    <t>De Leon, Librada</t>
  </si>
  <si>
    <t>0946-177-1698</t>
  </si>
  <si>
    <t>547 dulong Tangke, Malinta V.C.</t>
  </si>
  <si>
    <t>Bania, Tomas Ariola Jr</t>
  </si>
  <si>
    <t>(Refuse to Interview)</t>
  </si>
  <si>
    <t>Manabo, Garry O.</t>
  </si>
  <si>
    <t>0948-841-26-05</t>
  </si>
  <si>
    <t>from Laguna husband is born here</t>
  </si>
  <si>
    <t>Manabo, Aida B.</t>
  </si>
  <si>
    <t>Sumayang, Daniel Caputol</t>
  </si>
  <si>
    <t>0950-614-1051</t>
  </si>
  <si>
    <t>576 Dulong Tangke, Malinta V.C.</t>
  </si>
  <si>
    <t>Cebuano, Bisaya</t>
  </si>
  <si>
    <t>Tandang Sora, Quezon City</t>
  </si>
  <si>
    <t>Dela Cruz, Gema Biger</t>
  </si>
  <si>
    <t>0908-117-5543</t>
  </si>
  <si>
    <t>Fernandez, Carlos F</t>
  </si>
  <si>
    <t>Born Again</t>
  </si>
  <si>
    <t>Tagalog, Bisaya</t>
  </si>
  <si>
    <t>Sarruca, Andre Marian</t>
  </si>
  <si>
    <t>0923-843-0033</t>
  </si>
  <si>
    <t>Atienza, Alfie Aseron</t>
  </si>
  <si>
    <t>Nabol, Efren P.</t>
  </si>
  <si>
    <t>Nabol, Emily G.</t>
  </si>
  <si>
    <t>0905-228-3368</t>
  </si>
  <si>
    <t>Tomaquin, Barbara V.</t>
  </si>
  <si>
    <t>Proximity to ivelihood</t>
  </si>
  <si>
    <t>545 Dulong Tangke, Malinta V.C.</t>
  </si>
  <si>
    <t>0905-186-6500</t>
  </si>
  <si>
    <t>592 Dulong Tangke, Malinta V.C.</t>
  </si>
  <si>
    <t>Ilocano, Ibanag</t>
  </si>
  <si>
    <t>Rent Free</t>
  </si>
  <si>
    <t>570 Dulong Tangke Malinta V.C.</t>
  </si>
  <si>
    <t>Acquired Rights</t>
  </si>
  <si>
    <t>Malabon City</t>
  </si>
  <si>
    <t>Tagalog, Bicolano, Bisaya</t>
  </si>
  <si>
    <t>0921-771-8867</t>
  </si>
  <si>
    <t>Tagalo, Bicolano</t>
  </si>
  <si>
    <t>Mandaluyong City</t>
  </si>
  <si>
    <t>Ogsila, Rodolfo Didalgo</t>
  </si>
  <si>
    <t>0906-744-7929</t>
  </si>
  <si>
    <t>Enriquez, Vonn Ogsila</t>
  </si>
  <si>
    <t>0975-674-8181</t>
  </si>
  <si>
    <t>259 Dalandanan V.C.</t>
  </si>
  <si>
    <t>Enriquez, Aaron O.</t>
  </si>
  <si>
    <t>0923-499-5454</t>
  </si>
  <si>
    <t>259 McArthur Hi-way Dalandanan V.C.</t>
  </si>
  <si>
    <t>B.     HOUSEHOLD DEMOGRAPHIC INFORMATION</t>
  </si>
  <si>
    <t>Ownership</t>
  </si>
  <si>
    <t>Use</t>
  </si>
  <si>
    <t>Gov agency</t>
  </si>
  <si>
    <t>Type of DP</t>
  </si>
  <si>
    <t>Total area (sqm)</t>
  </si>
  <si>
    <t>Affected area (sqm)</t>
  </si>
  <si>
    <t>Impact</t>
  </si>
  <si>
    <t>Private</t>
  </si>
  <si>
    <t>Residential</t>
  </si>
  <si>
    <t>Land Owner</t>
  </si>
  <si>
    <t>&lt; than 10%</t>
  </si>
  <si>
    <t>Public</t>
  </si>
  <si>
    <t>Commercial</t>
  </si>
  <si>
    <t>ISF</t>
  </si>
  <si>
    <t>Entire land (WSI)</t>
  </si>
  <si>
    <t>Capitol View Park Subd. Developer</t>
  </si>
  <si>
    <t xml:space="preserve">Vicente Edgardo Cruz /Eduviges Cruz </t>
  </si>
  <si>
    <t>&gt; than 50%</t>
  </si>
  <si>
    <t>c/o Heidi Danao/Romulo Danao Jr.</t>
  </si>
  <si>
    <t>Heidi Danao/Romulo Danao Jr.</t>
  </si>
  <si>
    <t>Joselito Mercado Dela Cruz</t>
  </si>
  <si>
    <t>10% &lt; than 20%</t>
  </si>
  <si>
    <t>Andrew and Jocelyn Cristobal</t>
  </si>
  <si>
    <t>Eduardo and Elenita Inosanto</t>
  </si>
  <si>
    <t>Santiago Culalia Onglao</t>
  </si>
  <si>
    <t>Entire land</t>
  </si>
  <si>
    <t xml:space="preserve">Celedonio Cruz Dela Cruz Sr. </t>
  </si>
  <si>
    <t>Baby Jean Avila</t>
  </si>
  <si>
    <t>Land Rights holder</t>
  </si>
  <si>
    <t>Residential/Rights</t>
  </si>
  <si>
    <t>Aliza Masarque Sanchez</t>
  </si>
  <si>
    <t>Industrial</t>
  </si>
  <si>
    <t>Institutional</t>
  </si>
  <si>
    <t>NIA</t>
  </si>
  <si>
    <t>Entire Land</t>
  </si>
  <si>
    <t>Yongden Technology Corp. c/o Lauro Sy</t>
  </si>
  <si>
    <t>TESDA/Bulacan Provincial Government</t>
  </si>
  <si>
    <t>TESDA</t>
  </si>
  <si>
    <t>Romana M. Robles</t>
  </si>
  <si>
    <t>Apolinario Jacob Robles and Romana M. Robles</t>
  </si>
  <si>
    <t>Priscila Almajose</t>
  </si>
  <si>
    <t>Balagtas Estates Subdivision c/o Citihomes Realty</t>
  </si>
  <si>
    <t>Nicanor Galvez Family</t>
  </si>
  <si>
    <t>Residential/Commercial</t>
  </si>
  <si>
    <t>ROW (PNR)</t>
  </si>
  <si>
    <t>Inez Ilano Ramirez (deceased)</t>
  </si>
  <si>
    <t>Aurora Reyes</t>
  </si>
  <si>
    <t>Lot (nakasangla 40 sqm)</t>
  </si>
  <si>
    <t>40 (nakasanla)</t>
  </si>
  <si>
    <t>PNR</t>
  </si>
  <si>
    <t>LGU</t>
  </si>
  <si>
    <t>Oscar Gonzalez /Lucita Ponce Villanueva</t>
  </si>
  <si>
    <t xml:space="preserve">Oscar Gonzales /Marcelino Guinto </t>
  </si>
  <si>
    <t>Arnel Castor (deceased)</t>
  </si>
  <si>
    <t>Dory Pagayon</t>
  </si>
  <si>
    <t>Land Rights</t>
  </si>
  <si>
    <t>Vivian Enriquez Sakurai</t>
  </si>
  <si>
    <t>SM Prime Holdings</t>
  </si>
  <si>
    <t>Julito Mangawan Lanoso</t>
  </si>
  <si>
    <t>Jose F. Lamug</t>
  </si>
  <si>
    <t>Corazon De Guzman</t>
  </si>
  <si>
    <t>20% &lt; than 50%</t>
  </si>
  <si>
    <t>Godofredo A. Dellota and Marilou Dellota</t>
  </si>
  <si>
    <t>Flora R. Olivares</t>
  </si>
  <si>
    <t xml:space="preserve">Reyvillo Salvador Santos /Rosita Santos </t>
  </si>
  <si>
    <t>Pedro A. Ramos Sr</t>
  </si>
  <si>
    <t>Armando Bernardino</t>
  </si>
  <si>
    <t>Margarita Malto Bernardino</t>
  </si>
  <si>
    <t>Joselito Santos (deceased)</t>
  </si>
  <si>
    <t>Generoso Arcilla Sarmiento</t>
  </si>
  <si>
    <t>Raymundo Felipe Lacsina and Aida Felonia Lacsina</t>
  </si>
  <si>
    <t>Andres Aguilar</t>
  </si>
  <si>
    <t>Ramil Q. Diones/Evangelina A. Diones</t>
  </si>
  <si>
    <t>Agrifino S. Alcantara/Luz S.A Alcantara</t>
  </si>
  <si>
    <t>Ricardo Sayo Sta. Ana/Corazon Del Mundo Sta. Ana</t>
  </si>
  <si>
    <t>Rosario B. Velardo</t>
  </si>
  <si>
    <t xml:space="preserve">Ronald V. Villazor/Ma. Lourdes C. Villazor </t>
  </si>
  <si>
    <t>Public/Government</t>
  </si>
  <si>
    <t>Reynaldo/Dolores Visperas</t>
  </si>
  <si>
    <t>Erico Barrantes Soan</t>
  </si>
  <si>
    <t>Divina/Mario Agulto</t>
  </si>
  <si>
    <t>Renato Parungao/Rosalina/Alfredo Parungao</t>
  </si>
  <si>
    <t>Nenita Caco</t>
  </si>
  <si>
    <t>Norma Salazar</t>
  </si>
  <si>
    <t>Alejandro /Virginia Salazar</t>
  </si>
  <si>
    <t>Cynthia Gugulan</t>
  </si>
  <si>
    <t>Herminia San Juan</t>
  </si>
  <si>
    <t>Rhoderic S. Quebral</t>
  </si>
  <si>
    <t>Rodolfo Ramirez</t>
  </si>
  <si>
    <t>Conrado Yamson</t>
  </si>
  <si>
    <t>Antonio Buenaventura</t>
  </si>
  <si>
    <t>Benjamin/Nelita Noveda</t>
  </si>
  <si>
    <t>Arturo Versoza</t>
  </si>
  <si>
    <t>Albert Dy</t>
  </si>
  <si>
    <t>George Ng</t>
  </si>
  <si>
    <t>Librada De Leon</t>
  </si>
  <si>
    <t>Teofilo De Leon</t>
  </si>
  <si>
    <t>Gloria Carpio Baguinang</t>
  </si>
  <si>
    <t>Josephine Bangug</t>
  </si>
  <si>
    <t>Guillermo Manabo/Imelda Manabo</t>
  </si>
  <si>
    <t>Aida Manabo</t>
  </si>
  <si>
    <t>Narcisa M. Dela Rosa/Rodolfo Dela Rosa</t>
  </si>
  <si>
    <t>Nestor/Marita De Leon</t>
  </si>
  <si>
    <t>Efren Paloma Nabol</t>
  </si>
  <si>
    <t>Joel Tomaquin</t>
  </si>
  <si>
    <t>Virgilio/Adoracion Salonga</t>
  </si>
  <si>
    <t>Cynthia Dee/Juanito Dee</t>
  </si>
  <si>
    <t>Cristino/Eliza Dela Cruz</t>
  </si>
  <si>
    <t>Purificacion Enrile</t>
  </si>
  <si>
    <t>A.     RESPONDENT INFORMATION</t>
  </si>
  <si>
    <t>C.     AFFECTED LAND OCCUPANTS</t>
  </si>
  <si>
    <t xml:space="preserve">Document </t>
  </si>
  <si>
    <t>Title</t>
  </si>
  <si>
    <t>Real Estate Tax</t>
  </si>
  <si>
    <t>Deed/ mortgage</t>
  </si>
  <si>
    <t>Baranggay Residency Certificate</t>
  </si>
  <si>
    <t>Lease Contract</t>
  </si>
  <si>
    <t>How</t>
  </si>
  <si>
    <t>Tenant/lessees</t>
  </si>
  <si>
    <t>Y</t>
  </si>
  <si>
    <t>x</t>
  </si>
  <si>
    <t>Inherit</t>
  </si>
  <si>
    <t>Purchase</t>
  </si>
  <si>
    <t>Given</t>
  </si>
  <si>
    <t>No idea</t>
  </si>
  <si>
    <t xml:space="preserve">Inherited </t>
  </si>
  <si>
    <t>No</t>
  </si>
  <si>
    <t>Allocated by Government</t>
  </si>
  <si>
    <t>On Process</t>
  </si>
  <si>
    <t>No Idea</t>
  </si>
  <si>
    <t>Purchased/Inherited</t>
  </si>
  <si>
    <t>Monthly</t>
  </si>
  <si>
    <t>Annual</t>
  </si>
  <si>
    <t>Rent/Share</t>
  </si>
  <si>
    <t>C1.     LAND RELATION</t>
  </si>
  <si>
    <t>First Preference</t>
  </si>
  <si>
    <t>Second Preference</t>
  </si>
  <si>
    <t>Livelihood Assistance</t>
  </si>
  <si>
    <t xml:space="preserve">  </t>
  </si>
  <si>
    <t>Balik Probinsya</t>
  </si>
  <si>
    <t>Land Plan</t>
  </si>
  <si>
    <t>Type</t>
  </si>
  <si>
    <t>Structure Owner</t>
  </si>
  <si>
    <t># storey</t>
  </si>
  <si>
    <t>Floor area (sqm)</t>
  </si>
  <si>
    <t>Affected Area (sqm)</t>
  </si>
  <si>
    <t>Type/Make</t>
  </si>
  <si>
    <t>Trusses</t>
  </si>
  <si>
    <t>Roofing</t>
  </si>
  <si>
    <t>Year</t>
  </si>
  <si>
    <t>R</t>
  </si>
  <si>
    <t>Two storey</t>
  </si>
  <si>
    <t>Concrete</t>
  </si>
  <si>
    <t>Steel</t>
  </si>
  <si>
    <t>&lt; than 20%</t>
  </si>
  <si>
    <t>Pre-painted color roof</t>
  </si>
  <si>
    <t>Danilo A. Salvador and Roger Ypanto</t>
  </si>
  <si>
    <t>Structure owner</t>
  </si>
  <si>
    <t>One/Bungalow</t>
  </si>
  <si>
    <t>GI</t>
  </si>
  <si>
    <t>Remedios Bernardo/Rommel Bernardo (son)</t>
  </si>
  <si>
    <t>Wood</t>
  </si>
  <si>
    <t>Jerico B. Cruz</t>
  </si>
  <si>
    <t>Heide Danao/Romeo Danao</t>
  </si>
  <si>
    <t>Two Storey</t>
  </si>
  <si>
    <t xml:space="preserve">Concrete </t>
  </si>
  <si>
    <t>Maria C. Marcos</t>
  </si>
  <si>
    <t>Shed/Garage type</t>
  </si>
  <si>
    <t>Structure Renter</t>
  </si>
  <si>
    <t>Entire Structure</t>
  </si>
  <si>
    <t>Honorata Dela Cruz Cruz</t>
  </si>
  <si>
    <t xml:space="preserve">One/Bungalow </t>
  </si>
  <si>
    <t>Commercial Tenant</t>
  </si>
  <si>
    <t>Coco Lumber, Wood</t>
  </si>
  <si>
    <t>Pre-Painted Color Roof</t>
  </si>
  <si>
    <t>Caretaker</t>
  </si>
  <si>
    <t>Bamboo/Coco lumber</t>
  </si>
  <si>
    <t>Wood with light materials</t>
  </si>
  <si>
    <t>Aliza M. Sanchez</t>
  </si>
  <si>
    <t>Coco lumber</t>
  </si>
  <si>
    <t>Entire structure</t>
  </si>
  <si>
    <t>International Chemical Industries (INCHEM)</t>
  </si>
  <si>
    <t>Vicente P. Dinglasan</t>
  </si>
  <si>
    <t>TESDA c/o Gilbert M. Castro</t>
  </si>
  <si>
    <t>Institutional Occupant</t>
  </si>
  <si>
    <t>HIYAS Agro-Commodities Center (HACC)/ Bulacan Provincial Government</t>
  </si>
  <si>
    <t>Raymundo M. Robles</t>
  </si>
  <si>
    <t>Three Storey</t>
  </si>
  <si>
    <t>Virginia R. Angeles</t>
  </si>
  <si>
    <t>Aida C. Angeles and Geronimo R. Angeles</t>
  </si>
  <si>
    <t>Ramon B. Regalario</t>
  </si>
  <si>
    <t>Angelito Galvez</t>
  </si>
  <si>
    <t>Perla Francisco</t>
  </si>
  <si>
    <t>wood</t>
  </si>
  <si>
    <t>Ruben A. Mejos Sr.</t>
  </si>
  <si>
    <t>Light materials</t>
  </si>
  <si>
    <t xml:space="preserve"> Bamboo/Coco lumber with CHB</t>
  </si>
  <si>
    <t>GI, sawali sidings</t>
  </si>
  <si>
    <t>Inez I. Ramirez</t>
  </si>
  <si>
    <t>Jaime S. Calipay</t>
  </si>
  <si>
    <t>Wood, Coco Lumber</t>
  </si>
  <si>
    <t>Fariñas, Rodolfo Elmido/ Aubrey F. De Real</t>
  </si>
  <si>
    <t>Coco lumber, Wood</t>
  </si>
  <si>
    <t>Remnants</t>
  </si>
  <si>
    <t>Nenita S. Calipay</t>
  </si>
  <si>
    <t>Ramon D. Calipay Jr</t>
  </si>
  <si>
    <t>Rey F. Alagos</t>
  </si>
  <si>
    <t>Rosalia I. Santos</t>
  </si>
  <si>
    <t>Alicia V. Montañez</t>
  </si>
  <si>
    <t>Edwin P. Villanueva</t>
  </si>
  <si>
    <t>Lauro P.Guinto</t>
  </si>
  <si>
    <t>Sharer</t>
  </si>
  <si>
    <t>Wood, Concrete Slab</t>
  </si>
  <si>
    <t>Nipa/GI, Concrete slab</t>
  </si>
  <si>
    <t>Clarita Villaflores</t>
  </si>
  <si>
    <t>Manuel Nieva Mendoza</t>
  </si>
  <si>
    <t>Wood, Steel</t>
  </si>
  <si>
    <t>Co-owner</t>
  </si>
  <si>
    <t>Renter</t>
  </si>
  <si>
    <t>Reynaldo N. Mendoza</t>
  </si>
  <si>
    <t>Coco Lumber</t>
  </si>
  <si>
    <t>Vivian E. Sakurai</t>
  </si>
  <si>
    <t>GI, Rib-type</t>
  </si>
  <si>
    <t>SM Prime Holdings Inc</t>
  </si>
  <si>
    <t>UPCI c/o Pastora Leonora Corpuz</t>
  </si>
  <si>
    <t>PNB</t>
  </si>
  <si>
    <t>Jonathan M. Lamug</t>
  </si>
  <si>
    <t>Lanie D. Atienza/ Oliver D. Atienza</t>
  </si>
  <si>
    <t>Marilou Dellota</t>
  </si>
  <si>
    <t>Enrico C. Ramos</t>
  </si>
  <si>
    <t>Rosita S. Santos</t>
  </si>
  <si>
    <t>Rommel B. Nueva</t>
  </si>
  <si>
    <t>Joselito Santos and Amparo Santos</t>
  </si>
  <si>
    <t>1960's</t>
  </si>
  <si>
    <t>Generoso and Silvina Sarmiento</t>
  </si>
  <si>
    <t>Rodel F. Lacsina</t>
  </si>
  <si>
    <t>Concrete slab</t>
  </si>
  <si>
    <t>Jenoveva Co (deceased)</t>
  </si>
  <si>
    <t>Light Materials</t>
  </si>
  <si>
    <t>Corazon A. Castro</t>
  </si>
  <si>
    <t>Albert P. Servallos</t>
  </si>
  <si>
    <t>Emmanuel Cruz</t>
  </si>
  <si>
    <t>Roque Pagulas Dela Cruz</t>
  </si>
  <si>
    <t>Fernando R. Lorenzo</t>
  </si>
  <si>
    <t>Berto S. Sarabillo</t>
  </si>
  <si>
    <t>Split Level</t>
  </si>
  <si>
    <t>Shanty/Makeshift</t>
  </si>
  <si>
    <t>Remnants and tarpauline</t>
  </si>
  <si>
    <t>Sebastian E. Roselio</t>
  </si>
  <si>
    <t>Raul D. Roselio</t>
  </si>
  <si>
    <t>Carlo Ven &amp; Marissa S. Cainoy</t>
  </si>
  <si>
    <t>Marlon C. Cabayao</t>
  </si>
  <si>
    <t>Mauricio D. Quillosa Jr</t>
  </si>
  <si>
    <t>Rosita Balanon and Exequiel Artajo</t>
  </si>
  <si>
    <t>Danilo C. Prieto</t>
  </si>
  <si>
    <t>Jedalyn M. Balanon</t>
  </si>
  <si>
    <t>Jordon M. Lao and Roseine P. Suringa</t>
  </si>
  <si>
    <t>Melanio D.G. Alnas</t>
  </si>
  <si>
    <t>Pre-painted color roof, tarpaulin</t>
  </si>
  <si>
    <t>Romeo T. Barroga</t>
  </si>
  <si>
    <t>Hernani C. Villanroque</t>
  </si>
  <si>
    <t>Remnants, GI</t>
  </si>
  <si>
    <t>NLRC</t>
  </si>
  <si>
    <t>Metro Transport Office - NFA</t>
  </si>
  <si>
    <t>ABSENTEE</t>
  </si>
  <si>
    <t>One / Bungalow</t>
  </si>
  <si>
    <t>Erlinda Mahilom</t>
  </si>
  <si>
    <t>Semi-Concrete</t>
  </si>
  <si>
    <t>Coco lumber/Wood</t>
  </si>
  <si>
    <t>Eden B. Mendoza</t>
  </si>
  <si>
    <t>Rommel/Jhessy Anne Veroy</t>
  </si>
  <si>
    <t>Edna A. Balajadia</t>
  </si>
  <si>
    <t>Adrian/Emcee Peru</t>
  </si>
  <si>
    <t>Jonel Balajadia/Myrna Arca</t>
  </si>
  <si>
    <t>Nomer E. Zorilla</t>
  </si>
  <si>
    <t>Dindo Avenido Cristal/Michelle M. Morales</t>
  </si>
  <si>
    <t>GI/Remnants</t>
  </si>
  <si>
    <t>Edgardo Manarang/Janine V. Pante/Teresa V. Pante</t>
  </si>
  <si>
    <t>Renan Alamo/Rossel Flores</t>
  </si>
  <si>
    <t>Estanislao P. Mateo</t>
  </si>
  <si>
    <t>Estela/Jose Doma</t>
  </si>
  <si>
    <t>Jovita Hernandez/Baloloy Rindado</t>
  </si>
  <si>
    <t>Cocolumber</t>
  </si>
  <si>
    <t>Reynaldo/Dolores Visperas/ Rhina De Leon Visperas</t>
  </si>
  <si>
    <t>Reynaldo Soan</t>
  </si>
  <si>
    <t>Divina/Sixtor Lipao</t>
  </si>
  <si>
    <t>Renato Parungao</t>
  </si>
  <si>
    <t>Nenita Caco/ Benilda/Leonides Cunanan</t>
  </si>
  <si>
    <t>Marcelina Pacheco/ Benedicto Pacheco</t>
  </si>
  <si>
    <t>Gerry Aspiras/Lolita Aspiras</t>
  </si>
  <si>
    <t>Wood/Bamboo/Coco lumber</t>
  </si>
  <si>
    <t>Milagrosa Noveda</t>
  </si>
  <si>
    <t>Alfredo/Arturo Versoza</t>
  </si>
  <si>
    <t>Conc. Slab</t>
  </si>
  <si>
    <t>Iven/Emily Nabol</t>
  </si>
  <si>
    <t>Roof slab finish</t>
  </si>
  <si>
    <t>Manolito/Zenaida Lausa</t>
  </si>
  <si>
    <t xml:space="preserve">Wood </t>
  </si>
  <si>
    <t>Wood w/ Light materials</t>
  </si>
  <si>
    <t>GI/ Remnants</t>
  </si>
  <si>
    <t>Ferdinand Lugo/Maricar Pamotillo</t>
  </si>
  <si>
    <t>Bryan Binlayo/Gloria Rivera</t>
  </si>
  <si>
    <t>Araceli/Mechael Binlayo</t>
  </si>
  <si>
    <t>Reasons for Moving</t>
  </si>
  <si>
    <t>Kind of Document</t>
  </si>
  <si>
    <t>D.     MAIN STRUCTURE OCCUPANT</t>
  </si>
  <si>
    <t>C2.     Agri Land Loss Option</t>
  </si>
  <si>
    <t xml:space="preserve">d1A (FENCE) </t>
  </si>
  <si>
    <t>d1B (GATE)</t>
  </si>
  <si>
    <t>d1C (POST)</t>
  </si>
  <si>
    <t>d1D (WATER WEEL)</t>
  </si>
  <si>
    <t>d1E (PIG PEN)</t>
  </si>
  <si>
    <t>d1F (CHICKEN CAGE)</t>
  </si>
  <si>
    <t>d1G (BASKETBALL COURT)</t>
  </si>
  <si>
    <t>d1H (PEDESTRIAN/ BRIDGE PATHWAY/ OVERPASS)</t>
  </si>
  <si>
    <t>d1I (TRANSPORT TERMINAL)</t>
  </si>
  <si>
    <t>d1J (WAITING SHED)</t>
  </si>
  <si>
    <t>O  T  H  E  R    S  T  R  U  C  T  U  R  E  S</t>
  </si>
  <si>
    <t>Cost</t>
  </si>
  <si>
    <t>If no, why?</t>
  </si>
  <si>
    <t>Height (m)</t>
  </si>
  <si>
    <t>Length (m)</t>
  </si>
  <si>
    <t># of Posts</t>
  </si>
  <si>
    <t>Dimension</t>
  </si>
  <si>
    <t>impact</t>
  </si>
  <si>
    <t>Well Cost</t>
  </si>
  <si>
    <t>Pump Cost</t>
  </si>
  <si>
    <t>Depth (m)</t>
  </si>
  <si>
    <t>Diameter (inch)</t>
  </si>
  <si>
    <t># of Pipes</t>
  </si>
  <si>
    <t>Other Details</t>
  </si>
  <si>
    <t>Income</t>
  </si>
  <si>
    <t>Features</t>
  </si>
  <si>
    <t>Area (sqm)</t>
  </si>
  <si>
    <t>Compartments</t>
  </si>
  <si>
    <t>Half/Full</t>
  </si>
  <si>
    <t>Steel grills/Angle Steel bars on CHB/concrete, 4 x 1.5 m CHB/ no plaster</t>
  </si>
  <si>
    <t>6x1.5mH CHB</t>
  </si>
  <si>
    <t>yes</t>
  </si>
  <si>
    <t>Deep (drilled) well w/ Jetmatic</t>
  </si>
  <si>
    <t xml:space="preserve"> not specified with 2'' diameter</t>
  </si>
  <si>
    <t>Remedios Bernardo</t>
  </si>
  <si>
    <t>Concrete wall</t>
  </si>
  <si>
    <t>1x3.5 m</t>
  </si>
  <si>
    <t>Plaster fin (inside) no plaster outside</t>
  </si>
  <si>
    <t>Jerico Cruz</t>
  </si>
  <si>
    <t>4x1.5mH CHB, Plastered on one side/ no plaster</t>
  </si>
  <si>
    <t>12"x12"x1.5mH</t>
  </si>
  <si>
    <t>GI Steel/ Steel plate/ framing</t>
  </si>
  <si>
    <t>12"x12"x1.5mh</t>
  </si>
  <si>
    <t>Jocelyn P. Cristobal</t>
  </si>
  <si>
    <t>6x1.5mH CHB, Plastered on one side/ no plaster</t>
  </si>
  <si>
    <t>12"x12"x3.0H</t>
  </si>
  <si>
    <t>Barbed/Hog Wire, CHB not plastered</t>
  </si>
  <si>
    <t>12"x12"x2.5mH</t>
  </si>
  <si>
    <t>Jean Avila</t>
  </si>
  <si>
    <t>100/kg live weight not on a regular basis</t>
  </si>
  <si>
    <t>Concrete (Flooring)</t>
  </si>
  <si>
    <t>GI roofing and wood framing post</t>
  </si>
  <si>
    <t>2.90 &amp; 3.92</t>
  </si>
  <si>
    <t>CHB no plaster</t>
  </si>
  <si>
    <t>10"x10"x4mH</t>
  </si>
  <si>
    <t>Barbed wire</t>
  </si>
  <si>
    <t>6x2.8mH CHB, Plastered on one side</t>
  </si>
  <si>
    <t>12"x12"x1.2m</t>
  </si>
  <si>
    <t>No plaster both side</t>
  </si>
  <si>
    <t>12"x12"x1.8mh</t>
  </si>
  <si>
    <t>Adobe fence</t>
  </si>
  <si>
    <t>Concrete, Adobe</t>
  </si>
  <si>
    <t>Adobe fence /no plaster</t>
  </si>
  <si>
    <t>10"x10"x2.8</t>
  </si>
  <si>
    <t>Balagtas Estates Subdivision c/o CITIHOMES REALTY</t>
  </si>
  <si>
    <t>4x2.65mH CHB No Plaster</t>
  </si>
  <si>
    <t>12" x 12"x2.65mh</t>
  </si>
  <si>
    <t>Angelito C. Galvez</t>
  </si>
  <si>
    <t>Concrete Slab with 3" thickness</t>
  </si>
  <si>
    <t>12"x12"x1"mh</t>
  </si>
  <si>
    <t>Cyclone Wire with CHBs</t>
  </si>
  <si>
    <t>GI Pipes w/ 2" dia.</t>
  </si>
  <si>
    <t>&lt;than 20%</t>
  </si>
  <si>
    <t>Yes</t>
  </si>
  <si>
    <t>Deep (drilled) well with Jetmatic Pump</t>
  </si>
  <si>
    <t>pipes of 2"dia</t>
  </si>
  <si>
    <t>Well with 1'x1'x1' Concrete pedestal</t>
  </si>
  <si>
    <t>2.5 pcs of 2.5"dia</t>
  </si>
  <si>
    <t>Adriano N. Mendoza</t>
  </si>
  <si>
    <t>Toilet and Bath</t>
  </si>
  <si>
    <t>Salvacion Enriquez</t>
  </si>
  <si>
    <t>6"x2.0mH CHB, Plastered on both side</t>
  </si>
  <si>
    <t>2.0m x 4.0m</t>
  </si>
  <si>
    <t>12"x12"x2.0mH</t>
  </si>
  <si>
    <t>SM Prime Holdings Inc.</t>
  </si>
  <si>
    <t>Cyclone wire with CHB, Steel grills/Angle Steel Bars on CHB/Concrete, No plaster</t>
  </si>
  <si>
    <t>14"x12"x4.0m</t>
  </si>
  <si>
    <t>Concrete pedestrian with 2 concrete stairs</t>
  </si>
  <si>
    <t>Steel/Concrete</t>
  </si>
  <si>
    <t xml:space="preserve">SM Prime Holdings Inc. </t>
  </si>
  <si>
    <t>Elevated Bridge Steel Structure (WxL:0.4mx17.0m)</t>
  </si>
  <si>
    <t>Concrete stairs - 5 steps (WxLxT:1.5mx2.0mx12")</t>
  </si>
  <si>
    <t>CHB/concrete (no plaster)</t>
  </si>
  <si>
    <t>12"x12"x3.0mH</t>
  </si>
  <si>
    <t>Concrete (5.0sqm)</t>
  </si>
  <si>
    <t>GI roof, tile floor</t>
  </si>
  <si>
    <t>Comfort room</t>
  </si>
  <si>
    <t>Open Half court</t>
  </si>
  <si>
    <t>Floor slab (10mx15mx3"THK)</t>
  </si>
  <si>
    <t>Semi Room finish</t>
  </si>
  <si>
    <t>Adobe Blocks</t>
  </si>
  <si>
    <t>Steel Grills/steel angle bars</t>
  </si>
  <si>
    <t>0.36m x 0.36m x 2.3m</t>
  </si>
  <si>
    <t>Open Verand</t>
  </si>
  <si>
    <t>Ro Fin. Floor Slab</t>
  </si>
  <si>
    <t>FA:14.0-sqm</t>
  </si>
  <si>
    <t>Concrete, CHB</t>
  </si>
  <si>
    <t>12"x6"x2.2mh</t>
  </si>
  <si>
    <t>2.0 x 6.0m CHB, No Plaster</t>
  </si>
  <si>
    <t>Sebastian E.Roselio</t>
  </si>
  <si>
    <t>Wood and Plywood</t>
  </si>
  <si>
    <t>Wood/Plywood (Cocks House)</t>
  </si>
  <si>
    <t>10,000-12,000 per months</t>
  </si>
  <si>
    <t>Cement flooring</t>
  </si>
  <si>
    <t>GI Roofing &amp; Wood framing post</t>
  </si>
  <si>
    <t>Romeo Realino</t>
  </si>
  <si>
    <t>Wooden with Remnants</t>
  </si>
  <si>
    <t>Chicken Wire and mesh</t>
  </si>
  <si>
    <t>Wooden</t>
  </si>
  <si>
    <t>Chicken wire, Mesh and Tarpaulin materials</t>
  </si>
  <si>
    <t xml:space="preserve"> Duck Cages</t>
  </si>
  <si>
    <t>Rolando Sinanggote</t>
  </si>
  <si>
    <t>Wood with tarpaulin</t>
  </si>
  <si>
    <t>Chicken wire</t>
  </si>
  <si>
    <t>GI pipes (2"dia) frame, Pre-paunted GI roof</t>
  </si>
  <si>
    <t>Steel Gate</t>
  </si>
  <si>
    <t>16"x16"x2.8</t>
  </si>
  <si>
    <t>North Luzon Railways Corp. (NLCR)</t>
  </si>
  <si>
    <t>2-Conc. Structure</t>
  </si>
  <si>
    <t>Powerhouse</t>
  </si>
  <si>
    <t>24.7 sqm (area)</t>
  </si>
  <si>
    <t>GI Sheet / Steel Plate</t>
  </si>
  <si>
    <t>Adobe</t>
  </si>
  <si>
    <t>9sqm; 18sqm</t>
  </si>
  <si>
    <t>6x1.5CHB</t>
  </si>
  <si>
    <t>1x11.2m</t>
  </si>
  <si>
    <t>Steel Grills</t>
  </si>
  <si>
    <t>CR</t>
  </si>
  <si>
    <t>2.40sqm</t>
  </si>
  <si>
    <t>20%&lt; than 50%</t>
  </si>
  <si>
    <t>Concrete entrance/slab stairs</t>
  </si>
  <si>
    <t>3.4sqm/2x15m</t>
  </si>
  <si>
    <t>Steel grills / steel angle bars</t>
  </si>
  <si>
    <t>6 CHB Painted</t>
  </si>
  <si>
    <t>10x10x2.2m</t>
  </si>
  <si>
    <t>Nelita Noveda</t>
  </si>
  <si>
    <t>6 CHB 3 No plaster</t>
  </si>
  <si>
    <t>10x10x2.8m</t>
  </si>
  <si>
    <t xml:space="preserve">Conc, Painted w/ grills </t>
  </si>
  <si>
    <t>Conc, Painted w/ grills corr gi roof 3sqm</t>
  </si>
  <si>
    <t>Emelita Bonabon</t>
  </si>
  <si>
    <t>6x1.5mH CHB, no plaster</t>
  </si>
  <si>
    <t>Conc plastered/ RO finish corr. gi roof ro fin flr slab</t>
  </si>
  <si>
    <t xml:space="preserve">10x10x40m conc beam/ 6CHB w/ adobe </t>
  </si>
  <si>
    <t>Concrete 12x12x5m</t>
  </si>
  <si>
    <t>Adobe Below</t>
  </si>
  <si>
    <t>10x10x1.5-13pcs/ 12x12x2.3-5pcs</t>
  </si>
  <si>
    <t>Steel Grills 7x0.5m</t>
  </si>
  <si>
    <t>Steel Grills 0.9x2.3</t>
  </si>
  <si>
    <t>Concrete 10x10x2m</t>
  </si>
  <si>
    <t>Barbed Wire 5 lines 10m</t>
  </si>
  <si>
    <t>4x4x1m</t>
  </si>
  <si>
    <t>Jennifer Wakiri</t>
  </si>
  <si>
    <t xml:space="preserve">6 CHB 2.6 plastered on one side </t>
  </si>
  <si>
    <t>Pressure Tank</t>
  </si>
  <si>
    <t>3x5 steel stand 0.6x0.6x0.7m</t>
  </si>
  <si>
    <t>Gloria Baguinang</t>
  </si>
  <si>
    <t>6CHB 1.3 no plaster</t>
  </si>
  <si>
    <t>Conc slab ro finish 15.5sqm</t>
  </si>
  <si>
    <t>CHB plastered on both sides</t>
  </si>
  <si>
    <t>Gerald Ong Manabo</t>
  </si>
  <si>
    <t>CR/Fire wall</t>
  </si>
  <si>
    <t>Tile Floor Slab/Conc Plaster fin Painted</t>
  </si>
  <si>
    <t>Cr - 2.25sqm firewall - 6.1sqm slab - 10sqm</t>
  </si>
  <si>
    <t>Mounted Stainless Steel</t>
  </si>
  <si>
    <t>6CHB 5.8 plastered on one side</t>
  </si>
  <si>
    <t>Steel grills 1.4x1.4m</t>
  </si>
  <si>
    <t>12x12x4.5 fin painted</t>
  </si>
  <si>
    <t>Geraldine Dela Cruz</t>
  </si>
  <si>
    <t>2m/1.1m</t>
  </si>
  <si>
    <t xml:space="preserve">6" CHB no plaster </t>
  </si>
  <si>
    <t>6x1.65 NP (BS)</t>
  </si>
  <si>
    <t>GI Sheet 2.5x2.5 pipe frame</t>
  </si>
  <si>
    <t>Deep Drilled well with electric</t>
  </si>
  <si>
    <t>Water tank 750 gal w/ 1.2x1.2x3.5mh tower</t>
  </si>
  <si>
    <t xml:space="preserve">Conc Pavement/Conc post </t>
  </si>
  <si>
    <t>Slab 27sqm/ 2 pcs fin painted 6x12 in x 2.4m</t>
  </si>
  <si>
    <t>Garry Manabo</t>
  </si>
  <si>
    <t>RO fin flr slab</t>
  </si>
  <si>
    <t xml:space="preserve">GI roofing and wood framing </t>
  </si>
  <si>
    <t>1.5x7m</t>
  </si>
  <si>
    <t>Conc GI roof ro fin wood coco trusses 3sqm</t>
  </si>
  <si>
    <t>no plaster chb</t>
  </si>
  <si>
    <t>RO fin conc slab 12sqm/ Bronze glass windows, steel casement windows, decorations steel handrail.</t>
  </si>
  <si>
    <t>Plaster fin painted walls in/out. Steel encasement glass jalousy windows with iron grills</t>
  </si>
  <si>
    <t>Details of Posts: KM 29 +050-100 12x12 3.18mx126.3m-plaster fin in/out KM 29 +100-200 12x12 2.512m KM 29 +200-250 12x12 3.5mx80m Plaster finish KM 29 +250-1.00mHx13m plaster fin painted inside</t>
  </si>
  <si>
    <t>Status</t>
  </si>
  <si>
    <t># of Occupants</t>
  </si>
  <si>
    <t>Name of structure owner</t>
  </si>
  <si>
    <t>Contact number</t>
  </si>
  <si>
    <t>Rental</t>
  </si>
  <si>
    <t>Water</t>
  </si>
  <si>
    <t>Electric</t>
  </si>
  <si>
    <t>Structural viability</t>
  </si>
  <si>
    <t>Displacement</t>
  </si>
  <si>
    <t>Viable</t>
  </si>
  <si>
    <t>Stay</t>
  </si>
  <si>
    <t>Nonviable</t>
  </si>
  <si>
    <t>Ugong Tiaong, Guiguinto, Bulacan</t>
  </si>
  <si>
    <t>none</t>
  </si>
  <si>
    <t>Northville 6-A, Santol, Balagtas Bulacan</t>
  </si>
  <si>
    <t>Romana Robles</t>
  </si>
  <si>
    <t>Rosalinda Delos Santos</t>
  </si>
  <si>
    <t>Victorina st., Abangan Norte Marilao</t>
  </si>
  <si>
    <t>Rodolfo E. Fariñas</t>
  </si>
  <si>
    <t>Nenita Calipay</t>
  </si>
  <si>
    <t>Rey Alagos</t>
  </si>
  <si>
    <t>Lucita Ponce Villanueva</t>
  </si>
  <si>
    <t>Saog Marilao Bulacan</t>
  </si>
  <si>
    <t>Levy Castor</t>
  </si>
  <si>
    <t>06 Hyacith st., Fausta Village Abangan Sur</t>
  </si>
  <si>
    <t>Manuel Mendoza</t>
  </si>
  <si>
    <t>23 (3) Daang Bakal, Saog Marilao</t>
  </si>
  <si>
    <t>Lamug, Jonathan</t>
  </si>
  <si>
    <t>674 Main Road Bancal ext.</t>
  </si>
  <si>
    <t>0935-484-6143</t>
  </si>
  <si>
    <t>Enrico Ramos</t>
  </si>
  <si>
    <t>Rosita Santos</t>
  </si>
  <si>
    <t>Pedro Ramos Jr.</t>
  </si>
  <si>
    <t>Armando Bernardino (Uncle), Lolita Bernardino (Mother-deceased)</t>
  </si>
  <si>
    <t>0906-494-7466</t>
  </si>
  <si>
    <t>Parañaque City</t>
  </si>
  <si>
    <t>Armando Bernardino (uncle)</t>
  </si>
  <si>
    <t>Generoso A. Sarmiento</t>
  </si>
  <si>
    <t>687 Mulawin st., Bancal Ext., Meycauyan Bulacan</t>
  </si>
  <si>
    <t>Albert Servallos</t>
  </si>
  <si>
    <t>Roque Dela Cruz</t>
  </si>
  <si>
    <t>Exequiel Artajo and Rosita Balanon</t>
  </si>
  <si>
    <t>Aka Cmpd. Malanday</t>
  </si>
  <si>
    <t>Armando and Leonida Lao</t>
  </si>
  <si>
    <t>Can stay</t>
  </si>
  <si>
    <t>Emcee Peru</t>
  </si>
  <si>
    <t>0930-610-5797</t>
  </si>
  <si>
    <t>326 McArcthur Hi-way V.C.</t>
  </si>
  <si>
    <t>Michelle Mendoza Morales</t>
  </si>
  <si>
    <t>Reynaldo &amp; Dolores De Leon Visperas</t>
  </si>
  <si>
    <t>105 Cortez St., Malinta V.C.</t>
  </si>
  <si>
    <t>Can Stay</t>
  </si>
  <si>
    <t>Nancy Parungao</t>
  </si>
  <si>
    <t>0949-793-5041</t>
  </si>
  <si>
    <t>0933-276-2088</t>
  </si>
  <si>
    <t>177 A. Caco st., Malinta V.C.</t>
  </si>
  <si>
    <t>0933-589-5378</t>
  </si>
  <si>
    <t>Lubak, Malinta V.C.</t>
  </si>
  <si>
    <t>Gina Aspiras</t>
  </si>
  <si>
    <t>0932-498-0503</t>
  </si>
  <si>
    <t>Herminia V. San Juan</t>
  </si>
  <si>
    <t>229 A. Santos st., Malinta V.C.</t>
  </si>
  <si>
    <t>0942-028-1565</t>
  </si>
  <si>
    <t>Brgy. Morong</t>
  </si>
  <si>
    <t>Ma. Teresa Ramirez</t>
  </si>
  <si>
    <t>233 A. Santos st., Malinta V.C.</t>
  </si>
  <si>
    <t>Leonila Cayco Tanig</t>
  </si>
  <si>
    <t>0920-522-5244</t>
  </si>
  <si>
    <t xml:space="preserve">237 A. Santos st., </t>
  </si>
  <si>
    <t>Need Displacement</t>
  </si>
  <si>
    <t>Librada P. De Leon</t>
  </si>
  <si>
    <t>547 Dulong Tangke, Malinta V.C.</t>
  </si>
  <si>
    <t>Jennifer Iwakiri</t>
  </si>
  <si>
    <t>Lubac, E, De Castro Malinta V.C.</t>
  </si>
  <si>
    <t>0927-292-2271</t>
  </si>
  <si>
    <t>#35 Flavviano st., Karuhatan V.C.</t>
  </si>
  <si>
    <t>0939-776-8506</t>
  </si>
  <si>
    <t>Narcissa Del Rosario</t>
  </si>
  <si>
    <t>Adoracion E. Salonga</t>
  </si>
  <si>
    <t>525 Dulong Tangke, Malinta V.C.</t>
  </si>
  <si>
    <t>Cynthia Dee</t>
  </si>
  <si>
    <t>Cynthia &amp; Juanito Dee</t>
  </si>
  <si>
    <t>241-5715</t>
  </si>
  <si>
    <t>718 Camba st., Binondo Manila</t>
  </si>
  <si>
    <t>Arnold</t>
  </si>
  <si>
    <t>D2.     RESIDENTIAL STRUCTURE ARRANGEMENTS</t>
  </si>
  <si>
    <t>if NOT, the Structure Owner</t>
  </si>
  <si>
    <t>Valid document</t>
  </si>
  <si>
    <t>If yes, what kind</t>
  </si>
  <si>
    <t>how</t>
  </si>
  <si>
    <t>whose name</t>
  </si>
  <si>
    <t>When</t>
  </si>
  <si>
    <t>Tenants/ lessees</t>
  </si>
  <si>
    <t>Tax</t>
  </si>
  <si>
    <t>Contract</t>
  </si>
  <si>
    <t>Building permit</t>
  </si>
  <si>
    <t>Construction permit</t>
  </si>
  <si>
    <t>SPA</t>
  </si>
  <si>
    <t>Business Permit from the barangay</t>
  </si>
  <si>
    <t>Allocated by government</t>
  </si>
  <si>
    <t>Danilo Salvador</t>
  </si>
  <si>
    <t>Constucted</t>
  </si>
  <si>
    <t>Eduviges and Vicente Cruz</t>
  </si>
  <si>
    <t>No answer</t>
  </si>
  <si>
    <t>Heidi/Husband</t>
  </si>
  <si>
    <t>Renovated</t>
  </si>
  <si>
    <t>Joselito Mercado dela Cruz/Belen Dela Cruz</t>
  </si>
  <si>
    <t>no</t>
  </si>
  <si>
    <t>Elenita and Eduardo Inosanto</t>
  </si>
  <si>
    <t>Celedonio Dela Cruz Sr</t>
  </si>
  <si>
    <t>No document</t>
  </si>
  <si>
    <t>Engr. Raymundo Robles</t>
  </si>
  <si>
    <t>(cant remember)</t>
  </si>
  <si>
    <t>Dionisio Dela Cruz and Virginia R. Angeles</t>
  </si>
  <si>
    <t>Aida Angeles</t>
  </si>
  <si>
    <t>Nicanor Galves</t>
  </si>
  <si>
    <t>cannot remember</t>
  </si>
  <si>
    <t>Ines Ilano Ramirez</t>
  </si>
  <si>
    <t>May-2011</t>
  </si>
  <si>
    <t>Sept 22,2014</t>
  </si>
  <si>
    <t>Oscar Gonzales</t>
  </si>
  <si>
    <t>may-1982</t>
  </si>
  <si>
    <t xml:space="preserve"> no</t>
  </si>
  <si>
    <t>Oscar Gonzales (not yet transfer)</t>
  </si>
  <si>
    <t>not remember</t>
  </si>
  <si>
    <t>2014 (not sure)</t>
  </si>
  <si>
    <t>Reynaldo Mendoza</t>
  </si>
  <si>
    <t>dec-2014</t>
  </si>
  <si>
    <t>Carlos Montalban</t>
  </si>
  <si>
    <t>1970-2002</t>
  </si>
  <si>
    <t>Purchased/Constructed</t>
  </si>
  <si>
    <t>SM Prime Holdings Inc. and PNR Signatory</t>
  </si>
  <si>
    <t>Jesus Christ the Savior Fellowship</t>
  </si>
  <si>
    <t>Jane P. Bonilla</t>
  </si>
  <si>
    <t>Julito Lanoso</t>
  </si>
  <si>
    <t>Aug-2016</t>
  </si>
  <si>
    <t>Marilou De Llota</t>
  </si>
  <si>
    <t>Sept-2005</t>
  </si>
  <si>
    <t>Flora And Rolando Olivares Sr.</t>
  </si>
  <si>
    <t>Perfecto Auro Ramos</t>
  </si>
  <si>
    <t>paid for the construction</t>
  </si>
  <si>
    <t>Lolita Bernardino (deceased)</t>
  </si>
  <si>
    <t>Margarita Bernardino</t>
  </si>
  <si>
    <t>Constructed</t>
  </si>
  <si>
    <t>Aida F. Lacsina</t>
  </si>
  <si>
    <t>Corazon and Joaquin Castro</t>
  </si>
  <si>
    <t>Feb-1988</t>
  </si>
  <si>
    <t>Puring Diaz (Land Owner)</t>
  </si>
  <si>
    <t>On Proccess</t>
  </si>
  <si>
    <t>From: Luisito Cortez</t>
  </si>
  <si>
    <t>Jessica Mangaba</t>
  </si>
  <si>
    <t>2015 or 2016</t>
  </si>
  <si>
    <t>Nenit Caco</t>
  </si>
  <si>
    <t>Maria Delia I. Caco and Antonio S. Caco</t>
  </si>
  <si>
    <t>Cipriano &amp; Aurora Pacheco</t>
  </si>
  <si>
    <t>Flora Aspiras</t>
  </si>
  <si>
    <t>Alejandro &amp; Virginia Salazar</t>
  </si>
  <si>
    <t>Rodolfo L. Ramirez</t>
  </si>
  <si>
    <t>Condrado Yamson</t>
  </si>
  <si>
    <t>Benjamin Noveda</t>
  </si>
  <si>
    <t>Jose B. Cayco</t>
  </si>
  <si>
    <t>1978/1979</t>
  </si>
  <si>
    <t>Purchased/Renovated</t>
  </si>
  <si>
    <t>Gerald Manabo</t>
  </si>
  <si>
    <t>Inherited/constructed</t>
  </si>
  <si>
    <t>Purchased/ constructed</t>
  </si>
  <si>
    <t>Danilo  and Aida Manabo</t>
  </si>
  <si>
    <t>Narcissa Dela Cruz Del Rosario</t>
  </si>
  <si>
    <t>Nestor &amp; Marita De Leon</t>
  </si>
  <si>
    <t>Efren Nabol</t>
  </si>
  <si>
    <t>Joel V. Tomaquin</t>
  </si>
  <si>
    <t>Dec-2012</t>
  </si>
  <si>
    <t>Adoracion &amp; Virgilio Salonga</t>
  </si>
  <si>
    <t>D3.     ALL STRUCTURE OWNERS</t>
  </si>
  <si>
    <t>What option</t>
  </si>
  <si>
    <t>Reason</t>
  </si>
  <si>
    <t>Suggestion</t>
  </si>
  <si>
    <t>Transpo fr chosen site to present employment</t>
  </si>
  <si>
    <t>Source of info of the new relocation site?</t>
  </si>
  <si>
    <t>Near to original residence</t>
  </si>
  <si>
    <t>Near to sources of livelihood/ jobs</t>
  </si>
  <si>
    <t>Near to health and school facilities</t>
  </si>
  <si>
    <t xml:space="preserve"> Accessible to markets</t>
  </si>
  <si>
    <t xml:space="preserve"> Accessible to transportation</t>
  </si>
  <si>
    <t>To still acquire 4Ps benefits</t>
  </si>
  <si>
    <t xml:space="preserve"> Others, pls. specify</t>
  </si>
  <si>
    <t>Willingness to pay monthly amortization</t>
  </si>
  <si>
    <t>Health center</t>
  </si>
  <si>
    <t>Private clinic</t>
  </si>
  <si>
    <t>Government hospital</t>
  </si>
  <si>
    <t>Police outpost</t>
  </si>
  <si>
    <t>Livelihood center</t>
  </si>
  <si>
    <t>Market</t>
  </si>
  <si>
    <t>School</t>
  </si>
  <si>
    <t>Barangay Hall</t>
  </si>
  <si>
    <t>Others, Specify</t>
  </si>
  <si>
    <t>Previous relocation experience</t>
  </si>
  <si>
    <t>Balik probinsiya program?</t>
  </si>
  <si>
    <t>1st Priority</t>
  </si>
  <si>
    <t>2nd Priority</t>
  </si>
  <si>
    <t>Relocation</t>
  </si>
  <si>
    <t>Near to work</t>
  </si>
  <si>
    <t>PNR Compound</t>
  </si>
  <si>
    <t>Muhon, Malolos Bulacan</t>
  </si>
  <si>
    <t>within LGU</t>
  </si>
  <si>
    <t>Residential land</t>
  </si>
  <si>
    <t>San Jose Del Monte heights (Brgy. Muzon, San Jose Del Monte Bbulaccan)</t>
  </si>
  <si>
    <t>Refuse</t>
  </si>
  <si>
    <t>To acquire another house for son</t>
  </si>
  <si>
    <t>Northville 5, Baranggay Batia, Bocaue Bulacan</t>
  </si>
  <si>
    <t>Northville 5, Brgy. Batia, Bocaue, Bulacan</t>
  </si>
  <si>
    <t>Daang Riles Igolot</t>
  </si>
  <si>
    <t>Northville 5</t>
  </si>
  <si>
    <t>Residential land, House</t>
  </si>
  <si>
    <t>Pandi Residence (Brgy. Mapulang Lupa, Pandi Bulacan)</t>
  </si>
  <si>
    <t>Northville 5, Brgy Batia, Bocaue Bulacan</t>
  </si>
  <si>
    <t>Bocaue Bulacan</t>
  </si>
  <si>
    <t>Luma, De Gato Marilao</t>
  </si>
  <si>
    <t>Near to work and school</t>
  </si>
  <si>
    <t>Livelihood reason</t>
  </si>
  <si>
    <t>For livelohood purposes</t>
  </si>
  <si>
    <t>Want to stay on previous land</t>
  </si>
  <si>
    <t>Business purpose</t>
  </si>
  <si>
    <t>Better Livelihood, ahihirapan sa anak (impluwensya)</t>
  </si>
  <si>
    <t>Pauwi ng probinsya</t>
  </si>
  <si>
    <t>Famili ties</t>
  </si>
  <si>
    <t>no idea</t>
  </si>
  <si>
    <t>possibly cannot pay without work</t>
  </si>
  <si>
    <t>San Jose Del Monte Heights (Brgy. Muzon, San Jose Del Monte, Bulacan)</t>
  </si>
  <si>
    <t>San Jose Del Monte Tower Ville</t>
  </si>
  <si>
    <t>Relatives</t>
  </si>
  <si>
    <t>Can't afford</t>
  </si>
  <si>
    <t>Near to work and acquisition of viable house</t>
  </si>
  <si>
    <t>Old age</t>
  </si>
  <si>
    <t xml:space="preserve">Relocation </t>
  </si>
  <si>
    <t>To continue livestock business</t>
  </si>
  <si>
    <t>walang pambayad</t>
  </si>
  <si>
    <t>Cash Compensation</t>
  </si>
  <si>
    <t>Own House and Clean</t>
  </si>
  <si>
    <t>Northville 7, Brgy. Malis, Guiguinto, Bulacan</t>
  </si>
  <si>
    <t>Near Relatives</t>
  </si>
  <si>
    <t>want to Own a house</t>
  </si>
  <si>
    <t>to Own a house</t>
  </si>
  <si>
    <t>Northville 5, Brgy. Batia, Bocaue Bulacan</t>
  </si>
  <si>
    <t>None</t>
  </si>
  <si>
    <t>D4.     RELOCATION PACKAGE OPTION FOR ISFs with SEVERE RESSTTLEMENT IMPACTS (more than 20% impacts on structure)</t>
  </si>
  <si>
    <t>D5.     PREVIOUS RELOCATION EXPERIENCE</t>
  </si>
  <si>
    <t>Relocation Site</t>
  </si>
  <si>
    <t>Place before Relocaion</t>
  </si>
  <si>
    <t>Where did you settle?</t>
  </si>
  <si>
    <t>Where did you live before relocation?</t>
  </si>
  <si>
    <t>Trees (FB)</t>
  </si>
  <si>
    <t>Trees (Timber/non-FB)</t>
  </si>
  <si>
    <t>Plants/ cash crops</t>
  </si>
  <si>
    <t>E1 crops/ trees affected area (sqm)</t>
  </si>
  <si>
    <t>E1 crops/ trees number in affected area</t>
  </si>
  <si>
    <t>E1 crops/ trees number of cropping/yr</t>
  </si>
  <si>
    <t>E1 crops/ trees production per cropping</t>
  </si>
  <si>
    <t>E1 crops/ trees income per cropping</t>
  </si>
  <si>
    <t>E1 crops/ trees maturity of crop at inventory</t>
  </si>
  <si>
    <t>E1 crops/ trees crop production last 5 years</t>
  </si>
  <si>
    <t>E.     CROPS AND TREES</t>
  </si>
  <si>
    <t>&lt;10,000/mo</t>
  </si>
  <si>
    <t>HH headed by women</t>
  </si>
  <si>
    <t>Person &gt; 60 yrs</t>
  </si>
  <si>
    <t>Special assistance</t>
  </si>
  <si>
    <t>y</t>
  </si>
  <si>
    <t>F.     SOCIAL VULNERABILITY</t>
  </si>
  <si>
    <t>Respondent's name</t>
  </si>
  <si>
    <t>Position</t>
  </si>
  <si>
    <t xml:space="preserve"> Address</t>
  </si>
  <si>
    <t>Name of establishment</t>
  </si>
  <si>
    <t>Nature of business</t>
  </si>
  <si>
    <t>Owner of  structure</t>
  </si>
  <si>
    <t xml:space="preserve"> Year constructed</t>
  </si>
  <si>
    <t>Name of business owner</t>
  </si>
  <si>
    <t xml:space="preserve"> Birthdate</t>
  </si>
  <si>
    <t>Status of  occupant</t>
  </si>
  <si>
    <t xml:space="preserve"> Type of business </t>
  </si>
  <si>
    <t>Years in operation</t>
  </si>
  <si>
    <t>Landline</t>
  </si>
  <si>
    <t>Specific business</t>
  </si>
  <si>
    <t>with license</t>
  </si>
  <si>
    <t>without license</t>
  </si>
  <si>
    <t>Roger Junk Shop</t>
  </si>
  <si>
    <t>Partnership</t>
  </si>
  <si>
    <t>Salvador, Danilo A.</t>
  </si>
  <si>
    <t>Junk Shop</t>
  </si>
  <si>
    <t>5-10 years</t>
  </si>
  <si>
    <t>Micro</t>
  </si>
  <si>
    <t>Heidi Danao</t>
  </si>
  <si>
    <t>Apartment</t>
  </si>
  <si>
    <t>More than 10 years</t>
  </si>
  <si>
    <t>DTI</t>
  </si>
  <si>
    <t>044-791-1506</t>
  </si>
  <si>
    <t>Small</t>
  </si>
  <si>
    <t>23 Garnet st., CVP Subd., Bulihan Malolos</t>
  </si>
  <si>
    <t>Single Proprietorship</t>
  </si>
  <si>
    <t>Maria Marcos</t>
  </si>
  <si>
    <t>Non-enterprise</t>
  </si>
  <si>
    <t>Dela Cruz, Lucio Ramos</t>
  </si>
  <si>
    <t>Lotto Outlet</t>
  </si>
  <si>
    <t>Lucio R. Dela Cruz</t>
  </si>
  <si>
    <t>Lottery</t>
  </si>
  <si>
    <t>PCSO</t>
  </si>
  <si>
    <t>Backyard Piggery</t>
  </si>
  <si>
    <t>Employee/caretaker</t>
  </si>
  <si>
    <t>Sari-Sari Store</t>
  </si>
  <si>
    <t>Land Lessee</t>
  </si>
  <si>
    <t>Agri-business</t>
  </si>
  <si>
    <t>Up to Php 3,000,000</t>
  </si>
  <si>
    <t>0943-608-4168</t>
  </si>
  <si>
    <t>Partner</t>
  </si>
  <si>
    <t>Home Business</t>
  </si>
  <si>
    <t>Pork meat delivery</t>
  </si>
  <si>
    <t>Mario C. Bagsic</t>
  </si>
  <si>
    <t>Bakery</t>
  </si>
  <si>
    <t>0926-397-4097</t>
  </si>
  <si>
    <t>Sari-sari Store</t>
  </si>
  <si>
    <t>0922-494-9910</t>
  </si>
  <si>
    <t>Mejos Sr.,Ruben Acibar</t>
  </si>
  <si>
    <t>Partner/share</t>
  </si>
  <si>
    <t>GLK Fireworks</t>
  </si>
  <si>
    <t>Mejos Sr., Ruben</t>
  </si>
  <si>
    <t>Firecrackers making</t>
  </si>
  <si>
    <t xml:space="preserve">Manufacturing </t>
  </si>
  <si>
    <t>3-4 years</t>
  </si>
  <si>
    <t>Php 15,000,001 - Php 100,000,000</t>
  </si>
  <si>
    <t>Victorina st., Abangan Norte Marilao, Bulacan</t>
  </si>
  <si>
    <t>Santos Rosalia I.</t>
  </si>
  <si>
    <t>Gov. Elected Officer</t>
  </si>
  <si>
    <t>Barangay Health Center of Saog</t>
  </si>
  <si>
    <t>Barangay LGU of Saog</t>
  </si>
  <si>
    <t>Institutiona occupant</t>
  </si>
  <si>
    <t>Domingo, Lina Fernando</t>
  </si>
  <si>
    <t>Daang Bakal Lias rd., Saog Marilao Bulacan</t>
  </si>
  <si>
    <t>Lina F. Domingo</t>
  </si>
  <si>
    <t>Sari-sari store</t>
  </si>
  <si>
    <t>Commercial and residential unit apartment</t>
  </si>
  <si>
    <t>Commercial Space for rent</t>
  </si>
  <si>
    <t>2-3 years</t>
  </si>
  <si>
    <t>Double D's Homemaid Siopoa Factory</t>
  </si>
  <si>
    <t>Danny S. Directo</t>
  </si>
  <si>
    <t>Siopao business</t>
  </si>
  <si>
    <t>990-0508</t>
  </si>
  <si>
    <t>0932-452-5955</t>
  </si>
  <si>
    <t>Guadalupe, Michael San Pedro</t>
  </si>
  <si>
    <t>500 St. Martin Subd., Ibayo Marilao Bulacan</t>
  </si>
  <si>
    <t>Kalawang's Chibugan</t>
  </si>
  <si>
    <t>1974/oct-2016</t>
  </si>
  <si>
    <t>Michael S. Guadalupe</t>
  </si>
  <si>
    <t>Eatery/Carinderia</t>
  </si>
  <si>
    <t>0935-337-0499</t>
  </si>
  <si>
    <t>Fiesta, Christian Don Mendoza</t>
  </si>
  <si>
    <t>Asst. Mall Manager</t>
  </si>
  <si>
    <t>Marilao Plaza, Mabel Comp. Brgy. Ibayo, Marilao</t>
  </si>
  <si>
    <t>SM Marilao</t>
  </si>
  <si>
    <t>Corporation</t>
  </si>
  <si>
    <t>Commercial Establishment</t>
  </si>
  <si>
    <t>Large</t>
  </si>
  <si>
    <t>Above Php 100,000,000</t>
  </si>
  <si>
    <t>Espiritu, Leopoldo T.</t>
  </si>
  <si>
    <t>007 Sliera st., Pandayan, Meycauyan City Bulacan</t>
  </si>
  <si>
    <t>Jesus Christ the Savior Fellowship UPCI Pandayan</t>
  </si>
  <si>
    <t>Church</t>
  </si>
  <si>
    <t>Securities and Exchange Commission</t>
  </si>
  <si>
    <t>De Guzman, Corazon D.</t>
  </si>
  <si>
    <t>1970's</t>
  </si>
  <si>
    <t>Barangay LGU of Bancal</t>
  </si>
  <si>
    <t>Diaz, Edwin Guevarro</t>
  </si>
  <si>
    <t>Edwin's Sari-Sari Store</t>
  </si>
  <si>
    <t>Joselito Santos</t>
  </si>
  <si>
    <t>Edwin G. Diaz</t>
  </si>
  <si>
    <t>Trading/retailing</t>
  </si>
  <si>
    <t>Barangay LGU of Tugatog</t>
  </si>
  <si>
    <t>1-2 years</t>
  </si>
  <si>
    <t>Sarmiento Edna Margallo</t>
  </si>
  <si>
    <t>Daughter of business owner</t>
  </si>
  <si>
    <t>687 Mulawin St., Bancal Ext., Meycauayan</t>
  </si>
  <si>
    <t>Heneroso Sarmiento</t>
  </si>
  <si>
    <t>Erlinda Birung</t>
  </si>
  <si>
    <t>Dela Cruz, Emelita Mendoza</t>
  </si>
  <si>
    <t>Sigle Proprietorship</t>
  </si>
  <si>
    <t>Emelita Dela Cruz</t>
  </si>
  <si>
    <t>Sari-sari-store</t>
  </si>
  <si>
    <t>Rodrigo Manangan</t>
  </si>
  <si>
    <t>Transport</t>
  </si>
  <si>
    <t>Mauricio Quillosa</t>
  </si>
  <si>
    <t>Romeo Barroga</t>
  </si>
  <si>
    <t>Velardo, Rosario Baltao</t>
  </si>
  <si>
    <t>263 McArthur Hi-way Dalandanan Val. City</t>
  </si>
  <si>
    <t>3 - 4 years</t>
  </si>
  <si>
    <t>Mahilom, Erlinda Llanto</t>
  </si>
  <si>
    <t>5 - 10 years</t>
  </si>
  <si>
    <t>Employee</t>
  </si>
  <si>
    <t>Bernardo V. Veroy</t>
  </si>
  <si>
    <t>Sari-Sari store</t>
  </si>
  <si>
    <t>Less Than 1 year</t>
  </si>
  <si>
    <t>Veroy, Bernadette V.</t>
  </si>
  <si>
    <t>Pure. Emcee Morales</t>
  </si>
  <si>
    <t>Offered for rent</t>
  </si>
  <si>
    <t>Peru, Emcee M.</t>
  </si>
  <si>
    <t>0928-713-4122</t>
  </si>
  <si>
    <t>Isidro Balajadia</t>
  </si>
  <si>
    <t>Rosalina Tan</t>
  </si>
  <si>
    <t>Pante, Teresa/Pante, Janine Varlas</t>
  </si>
  <si>
    <t>Janine Pante</t>
  </si>
  <si>
    <t>Consumer Store</t>
  </si>
  <si>
    <t>1 - 2 years</t>
  </si>
  <si>
    <t>149-A Tongco St., Malinta V.C.</t>
  </si>
  <si>
    <t>"Agulto" Sari-Sari Store</t>
  </si>
  <si>
    <t>Divina M. Agulto</t>
  </si>
  <si>
    <t>Cunanan, Benilda Gruta</t>
  </si>
  <si>
    <t>181-A Caco St., Malinta V.C.</t>
  </si>
  <si>
    <t>Benilda G. Cunanan</t>
  </si>
  <si>
    <t>Teresita D. Tano</t>
  </si>
  <si>
    <t>Tano, Teresita D.</t>
  </si>
  <si>
    <t>0995-984-2224</t>
  </si>
  <si>
    <t>Gugulan, Nieva David</t>
  </si>
  <si>
    <t>228 A. Santos st., Malinta V.C.</t>
  </si>
  <si>
    <t>Nieva Gugulan</t>
  </si>
  <si>
    <t>Noveda, Nelita Silverio</t>
  </si>
  <si>
    <t>De Leon, Librada Peña</t>
  </si>
  <si>
    <t>Manabo, Guillermo Dela Cruz</t>
  </si>
  <si>
    <t>Manager</t>
  </si>
  <si>
    <t>576 Dulong Tangke, Mallinta V.C.</t>
  </si>
  <si>
    <t>Aida's apartment</t>
  </si>
  <si>
    <t>Del Rosario, Narcissa Dela Cruz</t>
  </si>
  <si>
    <t>579 Dulong Tangke Malinta V.C.</t>
  </si>
  <si>
    <t>Manabo, Gerry Ong</t>
  </si>
  <si>
    <t>Gerry Manabo</t>
  </si>
  <si>
    <t>Tomaquin, Barbara</t>
  </si>
  <si>
    <t>Barbara Tomaquin</t>
  </si>
  <si>
    <t>1--2 years</t>
  </si>
  <si>
    <t>Salonga, Adoracion Eustagio</t>
  </si>
  <si>
    <t>Concepcion, George Soan</t>
  </si>
  <si>
    <t>George Concepcion</t>
  </si>
  <si>
    <t>Less than 1 year</t>
  </si>
  <si>
    <t>Salvacion S. Pasion</t>
  </si>
  <si>
    <t>Araceli Binlayo</t>
  </si>
  <si>
    <t>H.     COMMERCIAL, INDUSTRIAL/INSTITUTIONAL AND BUSINESS STRUCTURES</t>
  </si>
  <si>
    <t>H2.     INFORMATION ABOUT THE BUSINESS/ENTERPRISE</t>
  </si>
  <si>
    <t>H1.     INFORMATION OF RESPONDENT</t>
  </si>
  <si>
    <t>Total</t>
  </si>
  <si>
    <t>No Schooling</t>
  </si>
  <si>
    <t>Elementary Graduate</t>
  </si>
  <si>
    <t>Vocational Graduate</t>
  </si>
  <si>
    <t>Formal Business</t>
  </si>
  <si>
    <t>Informal Business</t>
  </si>
  <si>
    <t>Permanent</t>
  </si>
  <si>
    <t>Contractual</t>
  </si>
  <si>
    <t>Andrew Cristobal</t>
  </si>
  <si>
    <t>Josefa D. Santos</t>
  </si>
  <si>
    <t>Jafer Bautista</t>
  </si>
  <si>
    <t>Angel C. De Vera</t>
  </si>
  <si>
    <t>Jean T. Avila</t>
  </si>
  <si>
    <t>Billy M. Magdaraog</t>
  </si>
  <si>
    <t>Miguel M. Zarate</t>
  </si>
  <si>
    <t>live-in</t>
  </si>
  <si>
    <t>Renan E. Cruz</t>
  </si>
  <si>
    <t>married</t>
  </si>
  <si>
    <t>Ruben Mejos Sr.</t>
  </si>
  <si>
    <t>Bartolome R. Castelo</t>
  </si>
  <si>
    <t>Allan Roy B. Dongon</t>
  </si>
  <si>
    <t>Oliver Pamittan</t>
  </si>
  <si>
    <t>Single parent</t>
  </si>
  <si>
    <t>Luzviminda D. Tuazon</t>
  </si>
  <si>
    <t>Lauro P. Guinto</t>
  </si>
  <si>
    <t>Noli Polintan</t>
  </si>
  <si>
    <t>Rene L. Rosende</t>
  </si>
  <si>
    <t>Rodrigo Geronimo</t>
  </si>
  <si>
    <t>Gelaine Paz</t>
  </si>
  <si>
    <t>Angelito Ramirez</t>
  </si>
  <si>
    <t>Robert Funa</t>
  </si>
  <si>
    <t>Manuel Veruen</t>
  </si>
  <si>
    <t>Cynthia Roxas</t>
  </si>
  <si>
    <t>Lanie Dellota</t>
  </si>
  <si>
    <t>Imelda Dellota</t>
  </si>
  <si>
    <t>Flora Olivares</t>
  </si>
  <si>
    <t>Romeo Olivares</t>
  </si>
  <si>
    <t>Lauro Ramos</t>
  </si>
  <si>
    <t>Lucita Santos</t>
  </si>
  <si>
    <t>Sonny Garcia</t>
  </si>
  <si>
    <t>Rosallie Jingco</t>
  </si>
  <si>
    <t>Edna Sarmiento</t>
  </si>
  <si>
    <t>Crisanto D. Batomalaki</t>
  </si>
  <si>
    <t>Maria Co</t>
  </si>
  <si>
    <t>Rebecca Garga</t>
  </si>
  <si>
    <t>Pepito G. Co</t>
  </si>
  <si>
    <t>Jeramaine Patricio</t>
  </si>
  <si>
    <t>Fernando Lorenzo</t>
  </si>
  <si>
    <t>Roselio E. Sebastian</t>
  </si>
  <si>
    <t>Carlo Ven S. Cainoy</t>
  </si>
  <si>
    <t>Exequiel Artajo</t>
  </si>
  <si>
    <t>Danilo Prieto</t>
  </si>
  <si>
    <t>Abner Bales</t>
  </si>
  <si>
    <t>Oliver Albino Esponilla</t>
  </si>
  <si>
    <t>Jordon Lao</t>
  </si>
  <si>
    <t>Melanio Alnas</t>
  </si>
  <si>
    <t>Ramil Q. Diones</t>
  </si>
  <si>
    <t>Lolita D. Llantos</t>
  </si>
  <si>
    <t>Ricky P. Olanggo</t>
  </si>
  <si>
    <t>Isagani S. Satoquia</t>
  </si>
  <si>
    <t>Ryan Reynald Santos</t>
  </si>
  <si>
    <t>Eden Balajadia Mendoza</t>
  </si>
  <si>
    <t>Edelizar D. Balajada</t>
  </si>
  <si>
    <t>Alvin V. Rado</t>
  </si>
  <si>
    <t>Edna Balajada</t>
  </si>
  <si>
    <t>Hitler Paguel</t>
  </si>
  <si>
    <t>Adrian T. Peru</t>
  </si>
  <si>
    <t>Jonel A. Balajadia</t>
  </si>
  <si>
    <t>Nomer Zorilla</t>
  </si>
  <si>
    <t>Mary Jane Sanchez Licarus</t>
  </si>
  <si>
    <t>Jeffrey Ponce</t>
  </si>
  <si>
    <t>Ronalyn S. Corpuz</t>
  </si>
  <si>
    <t>Teresa V. Pante</t>
  </si>
  <si>
    <t>Renan Aringo Alamo</t>
  </si>
  <si>
    <t>Estanislao Mateo</t>
  </si>
  <si>
    <t>Jerald James Bito</t>
  </si>
  <si>
    <t>Estela Vargas Doma</t>
  </si>
  <si>
    <t xml:space="preserve"> Serafin Bie</t>
  </si>
  <si>
    <t>Mario L. Agullto</t>
  </si>
  <si>
    <t>Celestino Abala</t>
  </si>
  <si>
    <t>Teresita Tano</t>
  </si>
  <si>
    <t>Gerry R. Aspiras</t>
  </si>
  <si>
    <t>Amadu Eugenio</t>
  </si>
  <si>
    <t>Andres Asaytono</t>
  </si>
  <si>
    <t>Arturo Versosa</t>
  </si>
  <si>
    <t>Tomas Ariola Bania Jr</t>
  </si>
  <si>
    <t>Daniel Sumayang Caputol</t>
  </si>
  <si>
    <t>Carlos Fernandez</t>
  </si>
  <si>
    <t>Grace Comedia Espinosa</t>
  </si>
  <si>
    <t>Alfie Atienza</t>
  </si>
  <si>
    <t>Iven Nabol</t>
  </si>
  <si>
    <t>Marice Pilapil De Real</t>
  </si>
  <si>
    <t>Manolito L. Lausa</t>
  </si>
  <si>
    <t>Sammy Pasion</t>
  </si>
  <si>
    <t>Benson Cabigas</t>
  </si>
  <si>
    <t>Ferdinand Lugo</t>
  </si>
  <si>
    <t>Bryan Binlayo</t>
  </si>
  <si>
    <t>Josefino De Jesus</t>
  </si>
  <si>
    <t>Rodolfo Ogsila</t>
  </si>
  <si>
    <t>Vonn Ogsila Enriquez</t>
  </si>
  <si>
    <t>Elementary Level</t>
  </si>
  <si>
    <t>High School Level</t>
  </si>
  <si>
    <t>College Level</t>
  </si>
  <si>
    <t>Vocational Level</t>
  </si>
  <si>
    <t>Skills</t>
  </si>
  <si>
    <t>Transportation</t>
  </si>
  <si>
    <t>N/A</t>
  </si>
  <si>
    <t>Cash compensation</t>
  </si>
  <si>
    <t>Business capital/funds</t>
  </si>
  <si>
    <t>Business Capital/Funds</t>
  </si>
  <si>
    <t>a</t>
  </si>
  <si>
    <t>b</t>
  </si>
  <si>
    <t>c</t>
  </si>
  <si>
    <t>Danilo A. Salvador</t>
  </si>
  <si>
    <t>Tom Jerico D. Santos</t>
  </si>
  <si>
    <t>Cristelena Magdaraog</t>
  </si>
  <si>
    <t>Manuel Dela Cruz</t>
  </si>
  <si>
    <t>Jessa Cruz</t>
  </si>
  <si>
    <t>Rolando E. Mercado</t>
  </si>
  <si>
    <t>Consolacion V. Galvez</t>
  </si>
  <si>
    <t>Cresencia B. Bagsic</t>
  </si>
  <si>
    <t>June R. Sator</t>
  </si>
  <si>
    <t>Ma. Teresa M. Rosende</t>
  </si>
  <si>
    <t>Arthur A. Mendoza</t>
  </si>
  <si>
    <t>Abegail Paz</t>
  </si>
  <si>
    <t>Danny Directo</t>
  </si>
  <si>
    <t>Michael Guadalupe</t>
  </si>
  <si>
    <t>Ann Margaret L. Santos</t>
  </si>
  <si>
    <t>Evelyn Veruen</t>
  </si>
  <si>
    <t>Lolita Ramos</t>
  </si>
  <si>
    <t>Pio Danao</t>
  </si>
  <si>
    <t>Melanie Lacsina</t>
  </si>
  <si>
    <t>Bernadette Castro</t>
  </si>
  <si>
    <t>Rafael Rosillo</t>
  </si>
  <si>
    <t>Carlo Ven Cainoy</t>
  </si>
  <si>
    <t>Jedalyn Balanon</t>
  </si>
  <si>
    <t>Roseline Suringa</t>
  </si>
  <si>
    <t>Jackielyn Cruz</t>
  </si>
  <si>
    <t>Rita Bayon-on Cabral</t>
  </si>
  <si>
    <t>Ederliza B. Santos</t>
  </si>
  <si>
    <t>Elizabeth De Castro Balajadia</t>
  </si>
  <si>
    <t>Jhessy Anne Veroy</t>
  </si>
  <si>
    <t>Marycris C. Liquigan</t>
  </si>
  <si>
    <t>Teofilo V. Dimalanta</t>
  </si>
  <si>
    <t>Emcee Morales Peru</t>
  </si>
  <si>
    <t>Michelle M. Morales</t>
  </si>
  <si>
    <t>Rossel Geraban Flores</t>
  </si>
  <si>
    <t>Joy Ann S. Doma</t>
  </si>
  <si>
    <t>Amelita Salonga Doma</t>
  </si>
  <si>
    <t>Estor David</t>
  </si>
  <si>
    <t>Cefora Asaytono</t>
  </si>
  <si>
    <t>Ladylyn Generol</t>
  </si>
  <si>
    <t>Ronalyn Villanueva</t>
  </si>
  <si>
    <t>Marjorie P. So</t>
  </si>
  <si>
    <t>Jessica Fernandez</t>
  </si>
  <si>
    <t>Erlinda Corduwa</t>
  </si>
  <si>
    <t>Pederos Baterna</t>
  </si>
  <si>
    <t>Dela Torre, Jenny May R.</t>
  </si>
  <si>
    <t>Nestor Sabaco De Leon</t>
  </si>
  <si>
    <t>Emily Nabol</t>
  </si>
  <si>
    <t>Gloria Rivera</t>
  </si>
  <si>
    <t>Informal Income</t>
  </si>
  <si>
    <t>Contact Number</t>
  </si>
  <si>
    <t>Driving</t>
  </si>
  <si>
    <t>Construction Worker</t>
  </si>
  <si>
    <t>Sewing</t>
  </si>
  <si>
    <t>Cashier</t>
  </si>
  <si>
    <t>Aircon Technician</t>
  </si>
  <si>
    <t>PVC Operator</t>
  </si>
  <si>
    <t>Fruit Vendor</t>
  </si>
  <si>
    <t>Fish Pond</t>
  </si>
  <si>
    <t>Fish Vendor</t>
  </si>
  <si>
    <t>Tailoring</t>
  </si>
  <si>
    <t>Buy and Sell</t>
  </si>
  <si>
    <t>Construction</t>
  </si>
  <si>
    <t>LEGAL</t>
  </si>
  <si>
    <t>OFW</t>
  </si>
  <si>
    <t>Thannie Jeruz Santos</t>
  </si>
  <si>
    <t>Seaman</t>
  </si>
  <si>
    <t>Unemployed</t>
  </si>
  <si>
    <t>Driver</t>
  </si>
  <si>
    <t>Laborer</t>
  </si>
  <si>
    <t>Farming</t>
  </si>
  <si>
    <t>Domestic Helper</t>
  </si>
  <si>
    <t>Pension</t>
  </si>
  <si>
    <t>0905-203-8733</t>
  </si>
  <si>
    <t>Tricycle Driver</t>
  </si>
  <si>
    <t>BO-001A</t>
  </si>
  <si>
    <t>Welder</t>
  </si>
  <si>
    <t>Helper</t>
  </si>
  <si>
    <t>Machinist</t>
  </si>
  <si>
    <t>Factory Worker</t>
  </si>
  <si>
    <t>Teacher</t>
  </si>
  <si>
    <t>MY-012A</t>
  </si>
  <si>
    <t>Electrician</t>
  </si>
  <si>
    <t>Call Center Agent</t>
  </si>
  <si>
    <t>Sales Agent</t>
  </si>
  <si>
    <t>Rogelin Andapat</t>
  </si>
  <si>
    <t>Painter</t>
  </si>
  <si>
    <t>Utility</t>
  </si>
  <si>
    <t>Jeepney Driver</t>
  </si>
  <si>
    <t>Laundry</t>
  </si>
  <si>
    <t>Nurse</t>
  </si>
  <si>
    <t>Bernadette V. Veroy</t>
  </si>
  <si>
    <t>Mechanic Helper</t>
  </si>
  <si>
    <t>Secretary</t>
  </si>
  <si>
    <t>Construction Laborer</t>
  </si>
  <si>
    <t>Sack Sewing</t>
  </si>
  <si>
    <t>Hermalyn E. Cabais</t>
  </si>
  <si>
    <t>Cook</t>
  </si>
  <si>
    <t>Ballot Vendor</t>
  </si>
  <si>
    <t>IT expert</t>
  </si>
  <si>
    <t>Maintenance</t>
  </si>
  <si>
    <t>Judith</t>
  </si>
  <si>
    <t>Victor Asuncion Cabigas</t>
  </si>
  <si>
    <t>Bamboo</t>
  </si>
  <si>
    <t>CA-001</t>
  </si>
  <si>
    <t>Oñias, Rolando Lumibao</t>
  </si>
  <si>
    <t>14° 39' 11.5"</t>
  </si>
  <si>
    <t>120° 28' 27.5"</t>
  </si>
  <si>
    <t>Warehouse type</t>
  </si>
  <si>
    <t>Willlingness</t>
  </si>
  <si>
    <t>How much</t>
  </si>
  <si>
    <t>current price</t>
  </si>
  <si>
    <t>PNR RSM Caloocan Workshop</t>
  </si>
  <si>
    <t>C. Apostol St. Cor. M. Hizon St., Caloocan City</t>
  </si>
  <si>
    <t>PNR Workshop</t>
  </si>
  <si>
    <t>More than 10 Years</t>
  </si>
  <si>
    <t>CA-002</t>
  </si>
  <si>
    <t>120° 58' 28.2"</t>
  </si>
  <si>
    <t>no roof</t>
  </si>
  <si>
    <t>no trusses</t>
  </si>
  <si>
    <t>Train Foreman Caloocan Workshop</t>
  </si>
  <si>
    <t>Foundry Shop</t>
  </si>
  <si>
    <t>CA-003</t>
  </si>
  <si>
    <t>120° 58' 28.8"</t>
  </si>
  <si>
    <t>MNTC</t>
  </si>
  <si>
    <t>MNTC Office</t>
  </si>
  <si>
    <t>CA-004</t>
  </si>
  <si>
    <t>14° 39' 05.3"</t>
  </si>
  <si>
    <t>14° 39' 05.8"</t>
  </si>
  <si>
    <t>14° 39' 07.7"</t>
  </si>
  <si>
    <t>120° 58' 29.7"</t>
  </si>
  <si>
    <t>KM 33+050 to KM 33+100</t>
  </si>
  <si>
    <t>4x1.5 CHB Plastered on side w/ GI Sheet Upper</t>
  </si>
  <si>
    <t>Cocrete</t>
  </si>
  <si>
    <t>PNR Booth/Station</t>
  </si>
  <si>
    <t>Area=255sqm, with 20% affected area</t>
  </si>
  <si>
    <t>Guard House/Ticketing Booth</t>
  </si>
  <si>
    <t>CA-005</t>
  </si>
  <si>
    <t>0906-972-2222</t>
  </si>
  <si>
    <t>14° 39' 04.3"</t>
  </si>
  <si>
    <t>120° 58' 29.2"</t>
  </si>
  <si>
    <t>c/o Brgy. Capt. Enrique G. Santos Jr</t>
  </si>
  <si>
    <t>Municipality of Caloocan</t>
  </si>
  <si>
    <t>Delos Trinos, Maria Catherine Almecion</t>
  </si>
  <si>
    <t>Employee (Brgy. Treasurer)</t>
  </si>
  <si>
    <t>19 P. Burgos St., Brgy 15 Caloocan City</t>
  </si>
  <si>
    <t>Brgy. Hall of Barangay 15</t>
  </si>
  <si>
    <t>Brgy. LGU of Barangay 15</t>
  </si>
  <si>
    <t>CA-006</t>
  </si>
  <si>
    <t>Salazar, Alberto Marasigan</t>
  </si>
  <si>
    <t>Delos Trinos, Maria Catherine Almencion</t>
  </si>
  <si>
    <t>0197 P. Burgos St., Brgy 15, Caloocan City</t>
  </si>
  <si>
    <t>14° 39' 10.3"</t>
  </si>
  <si>
    <t>120° 58' 24.0"</t>
  </si>
  <si>
    <t>Salazar, Alberto</t>
  </si>
  <si>
    <t>Alberto Marasigan Salazar</t>
  </si>
  <si>
    <t>Unassured Relocation</t>
  </si>
  <si>
    <t>PNR (NHA)</t>
  </si>
  <si>
    <t>Other Brgy, (near Brgy.15)</t>
  </si>
  <si>
    <t>Outside LGU but within Metro Manila</t>
  </si>
  <si>
    <t>Any real property owned</t>
  </si>
  <si>
    <t xml:space="preserve">Location </t>
  </si>
  <si>
    <t>Type of Land</t>
  </si>
  <si>
    <t xml:space="preserve">Most desired basic services/facilities in reloc site. </t>
  </si>
  <si>
    <t>In choosing relocation site, what are the most important factors you will consider?</t>
  </si>
  <si>
    <t>Preferred Relocation</t>
  </si>
  <si>
    <t>0197 P. Burgos st., Brgy.15 Caloocan City</t>
  </si>
  <si>
    <t>ABET Canteen</t>
  </si>
  <si>
    <t>Alberto M. Salazar</t>
  </si>
  <si>
    <t>Gaces, Katherine Mary Balanueg</t>
  </si>
  <si>
    <t>TR. Hog and Meat Dealer</t>
  </si>
  <si>
    <t>Romeo Voces</t>
  </si>
  <si>
    <t>CA-007</t>
  </si>
  <si>
    <t>Aguildo, Aurora Sabanal</t>
  </si>
  <si>
    <t>10th Ave. Daang Bakal, Caloocan City</t>
  </si>
  <si>
    <t>351-6507</t>
  </si>
  <si>
    <t>14° 39' 09.8"</t>
  </si>
  <si>
    <t>120° 58' 24.6"</t>
  </si>
  <si>
    <t>Aguildo, Aurora</t>
  </si>
  <si>
    <t>Coron, Palawan</t>
  </si>
  <si>
    <t>Archimedes Inalisan Mendez</t>
  </si>
  <si>
    <t>10th Ave. Daang Bakal Caloocan City</t>
  </si>
  <si>
    <t>CA-008</t>
  </si>
  <si>
    <t>Chavez, Jessie Cunanan</t>
  </si>
  <si>
    <t>10th Ave. Daang Bakal,Brgy.15  Caloocan City</t>
  </si>
  <si>
    <t>120° 58' 29.6"</t>
  </si>
  <si>
    <t>Chavez, Jessie</t>
  </si>
  <si>
    <t>Jessie Chavez</t>
  </si>
  <si>
    <t>Bamboo/ Coco lumber</t>
  </si>
  <si>
    <t>Pandi Residences (Brgy. Mapulang Lupa, Pandi, Bulacan)</t>
  </si>
  <si>
    <t>CA-009</t>
  </si>
  <si>
    <t>Badal, Manuel Mahilon</t>
  </si>
  <si>
    <t>Kosca, John Ray Beunaflor</t>
  </si>
  <si>
    <t>198 Daang Bakal, Brgy.15 Caloocan City</t>
  </si>
  <si>
    <t>14° 39' 04.5"</t>
  </si>
  <si>
    <t>Kosca, John Ray</t>
  </si>
  <si>
    <t>John Ray Kosca</t>
  </si>
  <si>
    <t>Wilfredo Kosca</t>
  </si>
  <si>
    <t>for Ease of Access on work</t>
  </si>
  <si>
    <t>Disiplina Village (Brgy Bignay, Valenzuela City)</t>
  </si>
  <si>
    <t>it depends on monthly amortization</t>
  </si>
  <si>
    <t>Saballero, Jessa Solainne Kosca</t>
  </si>
  <si>
    <t>Saballero, Jessa Solainne</t>
  </si>
  <si>
    <t>0909-753-2177</t>
  </si>
  <si>
    <t>if RELOCATION</t>
  </si>
  <si>
    <t>Preferred Province</t>
  </si>
  <si>
    <t>In City</t>
  </si>
  <si>
    <t>CA-010</t>
  </si>
  <si>
    <t>for Livelihood</t>
  </si>
  <si>
    <t>Badal, Roberto Mahilom</t>
  </si>
  <si>
    <t>198 Daang Bakal, P. Burgos St., Caloocan City</t>
  </si>
  <si>
    <t>14° 39' 03.7"</t>
  </si>
  <si>
    <t>KM 33+100 to KM 33+150</t>
  </si>
  <si>
    <t>Badal, Roberto</t>
  </si>
  <si>
    <t>Roberto Badal</t>
  </si>
  <si>
    <t>Puchased</t>
  </si>
  <si>
    <t>Relocation sites are to far from livelihood</t>
  </si>
  <si>
    <t>Roberto M. Badal</t>
  </si>
  <si>
    <t>Badal, Manuel Mahilom</t>
  </si>
  <si>
    <t>198 Daang Bakal, P. Burgos St., Brgy.15 Caloocan City</t>
  </si>
  <si>
    <t>Brother</t>
  </si>
  <si>
    <t>0936-867-8843</t>
  </si>
  <si>
    <t>Badal, Manuel</t>
  </si>
  <si>
    <t>Business Licence Information</t>
  </si>
  <si>
    <t>Merado, Rose Badal</t>
  </si>
  <si>
    <t>Sister</t>
  </si>
  <si>
    <t>Mercado, Rose</t>
  </si>
  <si>
    <t>Mobile</t>
  </si>
  <si>
    <t>Badal, Imelda Mahilom</t>
  </si>
  <si>
    <t>Badal, Antonio</t>
  </si>
  <si>
    <t>0910-978-1278</t>
  </si>
  <si>
    <t>CA-011</t>
  </si>
  <si>
    <t>200 P. Burgos St., 10th Ave. Caloocan City</t>
  </si>
  <si>
    <t>0936-818-6540</t>
  </si>
  <si>
    <t>De Paz, Raul Sr.</t>
  </si>
  <si>
    <t>Raul De Paz Sr.</t>
  </si>
  <si>
    <t>from: Tony Apog/Apo</t>
  </si>
  <si>
    <t>for Ease Access</t>
  </si>
  <si>
    <t>Bagumbong, Caloocan City</t>
  </si>
  <si>
    <t>Friends/Previous Neighbor</t>
  </si>
  <si>
    <t>De Paz, Emma Moquia</t>
  </si>
  <si>
    <t>Emma De Paz</t>
  </si>
  <si>
    <t>De Paz, Aileen Moquia</t>
  </si>
  <si>
    <t>De Paz, Aileen</t>
  </si>
  <si>
    <t>Aileen De Paz</t>
  </si>
  <si>
    <t>CA-012</t>
  </si>
  <si>
    <t>Dela Cruz, Ricardo Alvarez</t>
  </si>
  <si>
    <t>201 Daang Bakal, P. Burgos St., 10th Ave. Caloocan City</t>
  </si>
  <si>
    <t>0947-308-5269</t>
  </si>
  <si>
    <t>14° 39' 03.2"</t>
  </si>
  <si>
    <t>Dela Cruz, Ricardo</t>
  </si>
  <si>
    <t>Ricardo Dela Cruz</t>
  </si>
  <si>
    <t>CA-013</t>
  </si>
  <si>
    <t>Bucsit, Risavilinda Serencio</t>
  </si>
  <si>
    <t>203 Daang Bakal, 10th Ave. Caloocan City</t>
  </si>
  <si>
    <t>120° 58' 29.8"</t>
  </si>
  <si>
    <t>L</t>
  </si>
  <si>
    <t>KM 33+200 to KM 33+250</t>
  </si>
  <si>
    <t>Bucsit, Rosavilinda</t>
  </si>
  <si>
    <t>0949-619-0267</t>
  </si>
  <si>
    <t>Rosavilinda Bucsit</t>
  </si>
  <si>
    <t>Cavite</t>
  </si>
  <si>
    <t>Relocatio with Business</t>
  </si>
  <si>
    <t>Buscit, Rosavilinda Serencio</t>
  </si>
  <si>
    <t>203 Daang Bakal 10th Ave. Caloocan City</t>
  </si>
  <si>
    <t>Rosavilinda S. Bucsit</t>
  </si>
  <si>
    <t>Natividad, Mar Abolan</t>
  </si>
  <si>
    <t>0930-480-1562</t>
  </si>
  <si>
    <t>Natividad, Mar</t>
  </si>
  <si>
    <t>203 P. Burgos St., 10th Ave. Caloocan City</t>
  </si>
  <si>
    <t>CA-014</t>
  </si>
  <si>
    <t>Salazar, Louiess Franz Garcia</t>
  </si>
  <si>
    <t>203 Daang Bakal, Brgy.15 Caloocan City</t>
  </si>
  <si>
    <t>0999-808-9797</t>
  </si>
  <si>
    <t>Salazar, Louisse Franz Garcia</t>
  </si>
  <si>
    <t>14° 39' 03.3"</t>
  </si>
  <si>
    <t>Salazar, Louisse Franz</t>
  </si>
  <si>
    <t>Louisse Franz Salazar/Ferdinand Marasigan Salazar</t>
  </si>
  <si>
    <t>CA-015</t>
  </si>
  <si>
    <t>Resurrecion, Maria Evelyn Daloya</t>
  </si>
  <si>
    <t>203 Daang Bakal, P. Burgos St., Brgy.15 Caloocan City</t>
  </si>
  <si>
    <t>0975-357-7116</t>
  </si>
  <si>
    <t>14° 39' 02.8"</t>
  </si>
  <si>
    <t>120° 58' 29.4"</t>
  </si>
  <si>
    <t>Resurrecion, Maria Evelyn</t>
  </si>
  <si>
    <t>Maria Evelyn Ressurecion</t>
  </si>
  <si>
    <t>Tarpauline</t>
  </si>
  <si>
    <t>Brgy.63 P. Burgos St., Caloocan City</t>
  </si>
  <si>
    <t>CA-016</t>
  </si>
  <si>
    <t>Astibe, Osmundo Lordan</t>
  </si>
  <si>
    <t>14 P.Burgos St., 10th Ave. Caloocan City</t>
  </si>
  <si>
    <t>0933-416-3841</t>
  </si>
  <si>
    <t>Astibe, Osmundo</t>
  </si>
  <si>
    <t>Osmundo L. Astibe</t>
  </si>
  <si>
    <t>14 P. Burgos St., 10th Ave. Caloocan</t>
  </si>
  <si>
    <t>Osmundo Astibe</t>
  </si>
  <si>
    <t>CA-017</t>
  </si>
  <si>
    <t>Arias, Reynaldo Cabuenas</t>
  </si>
  <si>
    <t>172 Daang Bakal Caloocan City</t>
  </si>
  <si>
    <t>09048-844-2060</t>
  </si>
  <si>
    <t>14° 39' 02.6"</t>
  </si>
  <si>
    <t>Arias, Reynaldo</t>
  </si>
  <si>
    <t>Nueva Ecija</t>
  </si>
  <si>
    <t>Reynaldo C. Arias</t>
  </si>
  <si>
    <t>Trapal</t>
  </si>
  <si>
    <t>Reynaldo Arias</t>
  </si>
  <si>
    <t>T.A.=2.054; Aff.A=.0.78</t>
  </si>
  <si>
    <t>Have Present Relocation</t>
  </si>
  <si>
    <t>Brgy.15 Caloocan City</t>
  </si>
  <si>
    <t>Gemma Arias</t>
  </si>
  <si>
    <t>CA-018</t>
  </si>
  <si>
    <t>Saluta, Romeo Sorrosa</t>
  </si>
  <si>
    <t>211 Daang Bakal, 10th Ave. Caloocan City</t>
  </si>
  <si>
    <t>0905-286-7960</t>
  </si>
  <si>
    <t>14° 39' 02.4"</t>
  </si>
  <si>
    <t>120° 58' 29.9"</t>
  </si>
  <si>
    <t>Saluta, Romeo</t>
  </si>
  <si>
    <t>Panggalatok</t>
  </si>
  <si>
    <t>Romeo Saluta</t>
  </si>
  <si>
    <t>211 Daang Bakal P. Burgos St., 10th Ave. Caloocan City</t>
  </si>
  <si>
    <t>Saluta, Romeo S.</t>
  </si>
  <si>
    <t>Saluta, Jerome</t>
  </si>
  <si>
    <t>211 Daang Bakal, 10th Ave. Brgy.15 Caloocan City</t>
  </si>
  <si>
    <t>Romeo Sorrosa Saluta</t>
  </si>
  <si>
    <t>April Jenny Rotairo</t>
  </si>
  <si>
    <t>CA-019</t>
  </si>
  <si>
    <t>Dominguez, Mirafe Bolima</t>
  </si>
  <si>
    <t>134  Daang Bakal, 10th Ave. Brgy.15 Caloocan City</t>
  </si>
  <si>
    <t>Dominguez, Mirafe</t>
  </si>
  <si>
    <t>Mirafe B. Dominguez</t>
  </si>
  <si>
    <t>0949-303-7724</t>
  </si>
  <si>
    <t>Rodelio Ronquillo Dalistan</t>
  </si>
  <si>
    <t>Dominguez, Mirafe Bolime</t>
  </si>
  <si>
    <t>134 P. Burgos St., 10th Ave. Brgy.15 Caloocan City</t>
  </si>
  <si>
    <t>Aparment</t>
  </si>
  <si>
    <t>Dominguez, Mirafe B.</t>
  </si>
  <si>
    <t>Dalistan, Rodelio</t>
  </si>
  <si>
    <t>134 P. Burgos St., Brgy.15 Caloocan City</t>
  </si>
  <si>
    <t>Rodelio Dalistan</t>
  </si>
  <si>
    <t>134 P. Burgos St., 10th Ave. Caloocan City</t>
  </si>
  <si>
    <t>CA-020</t>
  </si>
  <si>
    <t>Fajardo, Ailyn Andrade</t>
  </si>
  <si>
    <t>100 F. Sanchez St., Brgy.15 Caloocan City</t>
  </si>
  <si>
    <t>Fajardo, Anthony Cantaleo</t>
  </si>
  <si>
    <t>14° 39' 07.4"</t>
  </si>
  <si>
    <t>120° 55' 25.2"</t>
  </si>
  <si>
    <t>Fajardo, Anthony</t>
  </si>
  <si>
    <t>Felly Albino/ Ailyn Andrade Fajardo</t>
  </si>
  <si>
    <t>San Jose Del Monte Heights (Brgy. Muzon, SJDM, Bulacan)</t>
  </si>
  <si>
    <t>Owned  idea and research</t>
  </si>
  <si>
    <t>Owned idea and research</t>
  </si>
  <si>
    <t>CA-021</t>
  </si>
  <si>
    <t>Gilbert B. Hernandez</t>
  </si>
  <si>
    <t>Saluta, Romeo Sorossa</t>
  </si>
  <si>
    <t>Romeo S. Saluta</t>
  </si>
  <si>
    <t>Hernandez, Gilbert Balanay</t>
  </si>
  <si>
    <t>0935-288-9147</t>
  </si>
  <si>
    <t>Hernandez, Gilbert</t>
  </si>
  <si>
    <t>CA-022</t>
  </si>
  <si>
    <t>Dimalanta, Edwin Guevarra</t>
  </si>
  <si>
    <t>0999-933-9879</t>
  </si>
  <si>
    <t>14° 39' 07.1"</t>
  </si>
  <si>
    <t>KM 33+150 to KM 33+200</t>
  </si>
  <si>
    <t>Dimalanta, Edwin</t>
  </si>
  <si>
    <t>Edwin &amp; Edgar G. Dimalanta</t>
  </si>
  <si>
    <t>Edwin G. Dimalanta</t>
  </si>
  <si>
    <t>Edwin Dimalanta</t>
  </si>
  <si>
    <t>T.A=33sqm; Aff.A=33sqm (Open Space), T.A=9sqm; Aff.A=9sqm (Stair)</t>
  </si>
  <si>
    <t>Dr. Edgardo C. Dimlanta</t>
  </si>
  <si>
    <t>Cardona, Salvador Alban</t>
  </si>
  <si>
    <t>14° 39' 00"</t>
  </si>
  <si>
    <t>120° 98' 30.2"</t>
  </si>
  <si>
    <t>120° 38' 25.1"</t>
  </si>
  <si>
    <t>CA-023</t>
  </si>
  <si>
    <t>CA-024</t>
  </si>
  <si>
    <t>Oliva, Fannie</t>
  </si>
  <si>
    <t>Oliva, Fannie Ambito</t>
  </si>
  <si>
    <t>59 acab St., Caloocan City</t>
  </si>
  <si>
    <t>0922-227-5790</t>
  </si>
  <si>
    <t>14° 39' 00.5"</t>
  </si>
  <si>
    <t>120° 58' 25.4"</t>
  </si>
  <si>
    <t>CA-025</t>
  </si>
  <si>
    <t>Silva, Micardo Mendoza</t>
  </si>
  <si>
    <t>CA-026</t>
  </si>
  <si>
    <t>Astorga, Renalyn Macaraeg</t>
  </si>
  <si>
    <t>170 Daann Bakal, Brgy.15 Caloocan City</t>
  </si>
  <si>
    <t>T.A=1.45sqm; Aff.A=1.45sqm</t>
  </si>
  <si>
    <t>Brgy.63 Caloocan City</t>
  </si>
  <si>
    <t>Renalyn Astorga</t>
  </si>
  <si>
    <t>the Owner offered space for rent, Renter</t>
  </si>
  <si>
    <t>0946-268-4604</t>
  </si>
  <si>
    <t>CA-027</t>
  </si>
  <si>
    <t>Ramos, Marlon Jose Elasigue</t>
  </si>
  <si>
    <t>16 Daann Bakal Caloocan City</t>
  </si>
  <si>
    <t>14° 38' 58.9"</t>
  </si>
  <si>
    <t>120° 58' 26.9"</t>
  </si>
  <si>
    <t>KM 33+400 to KM 33+450</t>
  </si>
  <si>
    <t>Ramos, Marlon Jose</t>
  </si>
  <si>
    <t>Maria Asuncion Lizardo Ramos</t>
  </si>
  <si>
    <t>Bamboo/ Wood</t>
  </si>
  <si>
    <t>3"x2"</t>
  </si>
  <si>
    <t>Marlon Jose Ramos</t>
  </si>
  <si>
    <t>CA-028</t>
  </si>
  <si>
    <t>Soriano, Allan Medina</t>
  </si>
  <si>
    <t>226 Don Antonio St., Brgy.17 Caloocan City</t>
  </si>
  <si>
    <t>14° 38' 53.3"</t>
  </si>
  <si>
    <t>120° 58' 32.8"</t>
  </si>
  <si>
    <t>Soriano, Allan</t>
  </si>
  <si>
    <t>0917-303-4650</t>
  </si>
  <si>
    <t>Allan Medina Soriano</t>
  </si>
  <si>
    <t>4x1.5mCHB, Plastered on One side/no palster</t>
  </si>
  <si>
    <t>GI Sheet/ Steel Plate/ Framing</t>
  </si>
  <si>
    <t>CA-029</t>
  </si>
  <si>
    <t>Lalu, Eduardo Menor</t>
  </si>
  <si>
    <t>158 Don Antonio St., Brgy.17 Caloocan City</t>
  </si>
  <si>
    <t>Lalu, Eduardo</t>
  </si>
  <si>
    <t>Edgardo Menor Lalu</t>
  </si>
  <si>
    <t>GI sheet</t>
  </si>
  <si>
    <t>2x2</t>
  </si>
  <si>
    <t>CA-030</t>
  </si>
  <si>
    <t>222 Don Antonio St., Brgy.17 Zone 2 Caloocan City</t>
  </si>
  <si>
    <t>14° 38' 57.8"</t>
  </si>
  <si>
    <t>120° 58' 27.1"</t>
  </si>
  <si>
    <t>Condrado Cruz Limos</t>
  </si>
  <si>
    <t>Limos, Condrado Cruz</t>
  </si>
  <si>
    <t>Limos, Condrado</t>
  </si>
  <si>
    <t>CA-031</t>
  </si>
  <si>
    <t>Pellas, Joseph Villegas</t>
  </si>
  <si>
    <t>14° 38' 50.9"</t>
  </si>
  <si>
    <t>120° 58' 32.3"</t>
  </si>
  <si>
    <t>KM 33+450 to KM 33+500</t>
  </si>
  <si>
    <t>CA-032</t>
  </si>
  <si>
    <t>Gatardo, Joselyn Intal</t>
  </si>
  <si>
    <t>33 Don Antonio St., Brgy.17 Zone 2 Caloocan City</t>
  </si>
  <si>
    <t>0922-356-6508</t>
  </si>
  <si>
    <t>14° 38' 48.8"</t>
  </si>
  <si>
    <t>120° 58' 32.6"</t>
  </si>
  <si>
    <t>KM 33+550 to KM 33+600</t>
  </si>
  <si>
    <t>Gatardo, Jocelyn</t>
  </si>
  <si>
    <t>Gatardo, Jocelyn Intal</t>
  </si>
  <si>
    <t>Kapampangan</t>
  </si>
  <si>
    <t>Extension (Brgy.19) Access Block</t>
  </si>
  <si>
    <t>T.A=6.27sqm</t>
  </si>
  <si>
    <t>CA-033</t>
  </si>
  <si>
    <t>Pagdanganan, Virgina Alcantara</t>
  </si>
  <si>
    <t>33 Don Antonio St., Brgy.19 Zone 2 Caloocan City</t>
  </si>
  <si>
    <t>KM 33+500 to KM 33+550</t>
  </si>
  <si>
    <t>Barbed/ Hog wire</t>
  </si>
  <si>
    <t>CA-034</t>
  </si>
  <si>
    <t>CA-037</t>
  </si>
  <si>
    <t>CA-035</t>
  </si>
  <si>
    <t>(Eddie Fajardo @ Brgy.Hall 56)</t>
  </si>
  <si>
    <t>(Mr. Paed) cannot be located</t>
  </si>
  <si>
    <t>CA-036</t>
  </si>
  <si>
    <t>Intal, Romanica Gaddy</t>
  </si>
  <si>
    <t>33 Daang Bakal Don Antonio St., Brgy.19 Zone 2 Caloocan City</t>
  </si>
  <si>
    <t>14° 38' 54.7"</t>
  </si>
  <si>
    <t>120° 58' 27.7"</t>
  </si>
  <si>
    <t>KM 33+600 to KM 33+650</t>
  </si>
  <si>
    <t>Intal, Romarica</t>
  </si>
  <si>
    <t>Intal, Romarica Gaddy</t>
  </si>
  <si>
    <t>0906-531-8517</t>
  </si>
  <si>
    <t>T.A=13.125; Aff.A=3.525</t>
  </si>
  <si>
    <t>H=0.63m</t>
  </si>
  <si>
    <t>CA-038</t>
  </si>
  <si>
    <t>Apacible, Nestor</t>
  </si>
  <si>
    <t>392 Don Antonio St., Brgy.19 Caloocan City</t>
  </si>
  <si>
    <t>14° 38' 53.9"</t>
  </si>
  <si>
    <t>120° 58' 27.5"</t>
  </si>
  <si>
    <t>T.A=5.117; Aff.A=2.25</t>
  </si>
  <si>
    <t>44% of Ext structure only</t>
  </si>
  <si>
    <t>Danilo Apacible</t>
  </si>
  <si>
    <t>Unknown</t>
  </si>
  <si>
    <t>CA-039</t>
  </si>
  <si>
    <t>Apacible, Nelia Dy</t>
  </si>
  <si>
    <t>102 Don Antonio St., Brgy.19 Caloocan City</t>
  </si>
  <si>
    <t>14° 38' 48.3"</t>
  </si>
  <si>
    <t>120° 58' 32.9"</t>
  </si>
  <si>
    <t>Apacible, Nelia</t>
  </si>
  <si>
    <t>0935-612-2348</t>
  </si>
  <si>
    <t>Nelia Apacible(67)</t>
  </si>
  <si>
    <t>Nelia Apacible (High Blood, daibetes)</t>
  </si>
  <si>
    <t>CA-040</t>
  </si>
  <si>
    <t>Gadi, Benigno Jr Limos</t>
  </si>
  <si>
    <t>0912-245-9257</t>
  </si>
  <si>
    <t>Gadi, Benigno Jr</t>
  </si>
  <si>
    <t>Aff.A=22.617</t>
  </si>
  <si>
    <t>Father/Mother</t>
  </si>
  <si>
    <t>Melinda Z. Marzan</t>
  </si>
  <si>
    <t>CA-041</t>
  </si>
  <si>
    <t>Macaspac, Mamerto Viray</t>
  </si>
  <si>
    <t>610 Don Antonio St., Brgy.19 Caloocan City</t>
  </si>
  <si>
    <t>120° 58' 32.4"</t>
  </si>
  <si>
    <t>Singe Proprietorship</t>
  </si>
  <si>
    <t>CA-042</t>
  </si>
  <si>
    <t>Rasona, Meriam Oyao</t>
  </si>
  <si>
    <t>0906-799-2650</t>
  </si>
  <si>
    <t>Dagoc, Efren Oyao</t>
  </si>
  <si>
    <t>14° 38' 47.9"</t>
  </si>
  <si>
    <t>120° 58' 33.0"</t>
  </si>
  <si>
    <t>Dagoc, Efren</t>
  </si>
  <si>
    <t>Meriam O. Rasona</t>
  </si>
  <si>
    <t>One/ Bungalow</t>
  </si>
  <si>
    <t>CA-043</t>
  </si>
  <si>
    <t>Martin, Carmelita Marcosa</t>
  </si>
  <si>
    <t>0947-213-9908</t>
  </si>
  <si>
    <t>14° 38' 47.6"</t>
  </si>
  <si>
    <t>Martin, Carmelita</t>
  </si>
  <si>
    <t>Carmelita Martin</t>
  </si>
  <si>
    <t>CA-044</t>
  </si>
  <si>
    <t>Marzan, Melinda Jalata</t>
  </si>
  <si>
    <t>14° 38' 33.4"</t>
  </si>
  <si>
    <t>120° 58' 27.8"</t>
  </si>
  <si>
    <t>Marzan, Melinda J</t>
  </si>
  <si>
    <t>A.T=6.00sqm; Aff.A=6sqm</t>
  </si>
  <si>
    <t>CA-045</t>
  </si>
  <si>
    <t>Martin, Carmina Marcosa</t>
  </si>
  <si>
    <t>120° 58' 33.2"</t>
  </si>
  <si>
    <t>Owned Idea and research</t>
  </si>
  <si>
    <t>Carmina Martin</t>
  </si>
  <si>
    <t>CA-046</t>
  </si>
  <si>
    <t>Bautista, Charmaine Paguio</t>
  </si>
  <si>
    <t>Eulogio, Moises</t>
  </si>
  <si>
    <t>14° 38' 47.5"</t>
  </si>
  <si>
    <t>Moises Eulogio</t>
  </si>
  <si>
    <t>Marites Eulogio (?)</t>
  </si>
  <si>
    <t>CA-047</t>
  </si>
  <si>
    <t>Eulogio, Marites Garlan</t>
  </si>
  <si>
    <t>Tarlac, Arturo Cika</t>
  </si>
  <si>
    <t>Tarlac, Arturo</t>
  </si>
  <si>
    <t>Arturo Tarlac</t>
  </si>
  <si>
    <t>New to location</t>
  </si>
  <si>
    <t>CA-048</t>
  </si>
  <si>
    <t>Rendon, Rosana Salvidar</t>
  </si>
  <si>
    <t>Rendon, Rowel Maloloy-on</t>
  </si>
  <si>
    <t>120° 58' 33.1"</t>
  </si>
  <si>
    <t>Rendon, Rowel</t>
  </si>
  <si>
    <t>0927-716-6654</t>
  </si>
  <si>
    <t>Rowel Rendon</t>
  </si>
  <si>
    <t>NorthVille 5, NortheV ille 7, Pandi residence, SJDM Heihts</t>
  </si>
  <si>
    <t>CA-049</t>
  </si>
  <si>
    <t>Bautista, Cherrylyn Paguio</t>
  </si>
  <si>
    <t>Apacible, Virgilio Gadi</t>
  </si>
  <si>
    <t>0942-030-4500</t>
  </si>
  <si>
    <t>14° 38' 47.7"</t>
  </si>
  <si>
    <t>Apacible, Virgilio</t>
  </si>
  <si>
    <t>Virgilio Apacible</t>
  </si>
  <si>
    <t>NorthVille 7, Brgy. Malis, Guiguinto Bulacan</t>
  </si>
  <si>
    <t>Torneros, Jenelyn Garde</t>
  </si>
  <si>
    <t>Torneros, Oscar Lobo</t>
  </si>
  <si>
    <t>14° 38' 47.1"</t>
  </si>
  <si>
    <t>Jenelyn Torneros</t>
  </si>
  <si>
    <t>0907-614-2023</t>
  </si>
  <si>
    <t>Torneros, Oscar</t>
  </si>
  <si>
    <t>Francis Torneros</t>
  </si>
  <si>
    <t>CA-102</t>
  </si>
  <si>
    <t>Cruz, Anselmo Palisoc</t>
  </si>
  <si>
    <t>14° 38' 42.1"</t>
  </si>
  <si>
    <t>120° 58' 30.2"</t>
  </si>
  <si>
    <t>KM 33+950 to KM 34+000</t>
  </si>
  <si>
    <t>Cruz, Anselmo</t>
  </si>
  <si>
    <t>Anselmo P. Cruz</t>
  </si>
  <si>
    <t>Anselmo Cruz</t>
  </si>
  <si>
    <t>CA-103</t>
  </si>
  <si>
    <t>990-5525</t>
  </si>
  <si>
    <t>Mangubat, Fernando</t>
  </si>
  <si>
    <t>Capital for Business</t>
  </si>
  <si>
    <t>122 Laon Laan St., Brgy.25 Caloocan City</t>
  </si>
  <si>
    <t>Teresa's Canteen</t>
  </si>
  <si>
    <t>Fernando Mangubat</t>
  </si>
  <si>
    <t>Home/Small-scale Industry</t>
  </si>
  <si>
    <t>Resurreccion, Ryan Pangan</t>
  </si>
  <si>
    <t>122 Laon Laan St., Brgy.25 Sampalukan Caloocan City</t>
  </si>
  <si>
    <t>Resurreccion, ryan Pangan</t>
  </si>
  <si>
    <t>14° 38' 41.5"</t>
  </si>
  <si>
    <t>120° 58' 30.4"</t>
  </si>
  <si>
    <t>Resurreccion, Ryan</t>
  </si>
  <si>
    <t>Ryan Resurreccion</t>
  </si>
  <si>
    <t>Tegula/ Concrete Slab</t>
  </si>
  <si>
    <t>No Idea (misplace)</t>
  </si>
  <si>
    <t>Food Eatery</t>
  </si>
  <si>
    <t>Canteen/Eatery</t>
  </si>
  <si>
    <t>0949-724-9115</t>
  </si>
  <si>
    <t>122 Laon Laan St., Brgy.21 Caloocan City</t>
  </si>
  <si>
    <t>Mangubat, Ricardo</t>
  </si>
  <si>
    <t>Eatery</t>
  </si>
  <si>
    <t>Ricardo Magubat</t>
  </si>
  <si>
    <t>CA-104</t>
  </si>
  <si>
    <t>Ablen, Loreto Brocoy</t>
  </si>
  <si>
    <t>450 Laon Laan St., Brgy.25 Caloocan City</t>
  </si>
  <si>
    <t>Ablen, Iluminado Ofredo</t>
  </si>
  <si>
    <t>14° 38' 41.7"</t>
  </si>
  <si>
    <t>120° 58' 31/0"</t>
  </si>
  <si>
    <t>Ablen, Iluminado</t>
  </si>
  <si>
    <t>Iluminado Ofred Ablen</t>
  </si>
  <si>
    <t>Construted</t>
  </si>
  <si>
    <t>CA-105</t>
  </si>
  <si>
    <t>0999-679-9306</t>
  </si>
  <si>
    <t>14° 38' 41.3"</t>
  </si>
  <si>
    <t>120° 58' 30.8"</t>
  </si>
  <si>
    <t>Don’t know</t>
  </si>
  <si>
    <t>Sambayon, Anna Rose Viovicente</t>
  </si>
  <si>
    <t>Sambayon, Anna Rose</t>
  </si>
  <si>
    <t>Anna Rose Viovicente Sambayon</t>
  </si>
  <si>
    <t>CA-106</t>
  </si>
  <si>
    <t>Carelo, Joven Almonte</t>
  </si>
  <si>
    <t>0933-356-6012</t>
  </si>
  <si>
    <t>Orbito, Aurea Reynante</t>
  </si>
  <si>
    <t>14° 38' 40.5"</t>
  </si>
  <si>
    <t>120° 58' 30.3"</t>
  </si>
  <si>
    <t>Orito, Aurea</t>
  </si>
  <si>
    <t>Aurea Orito</t>
  </si>
  <si>
    <t>In city</t>
  </si>
  <si>
    <t>Near livelihood</t>
  </si>
  <si>
    <t>Government Agency and/or LGU</t>
  </si>
  <si>
    <t>Joven Carelo</t>
  </si>
  <si>
    <t>CA-107</t>
  </si>
  <si>
    <t>Siongco, Lenny Navarro</t>
  </si>
  <si>
    <t>0909-638-7263</t>
  </si>
  <si>
    <t>14° 38' 41.0"</t>
  </si>
  <si>
    <t>120° 58' 30.6"</t>
  </si>
  <si>
    <t>Siongco, Lenny</t>
  </si>
  <si>
    <t>Lenny Navarro Siongco</t>
  </si>
  <si>
    <t>Don’t Know</t>
  </si>
  <si>
    <t>Owned Idea and Research</t>
  </si>
  <si>
    <t>Lenny N. Siongco</t>
  </si>
  <si>
    <t>CA-108</t>
  </si>
  <si>
    <t>Saludaga, Evangeline Aldare</t>
  </si>
  <si>
    <t>0907-711-4564</t>
  </si>
  <si>
    <t>Navarro, Edison Maglani</t>
  </si>
  <si>
    <t>14° 38' 40.8"</t>
  </si>
  <si>
    <t>120° 58' 30.5"</t>
  </si>
  <si>
    <t>Navarro, Edison</t>
  </si>
  <si>
    <t>Edison Maglagni Navarro</t>
  </si>
  <si>
    <t>(No Capacity)</t>
  </si>
  <si>
    <t>CA-101</t>
  </si>
  <si>
    <t>Cruz, Victoria</t>
  </si>
  <si>
    <t>0917-256-7402</t>
  </si>
  <si>
    <t>Cruz, Arnold Palisok</t>
  </si>
  <si>
    <t>Cruz, Arnold</t>
  </si>
  <si>
    <t>Arnolfo Palisoc Cruz</t>
  </si>
  <si>
    <t>CA-109</t>
  </si>
  <si>
    <t>Uy, Terrence</t>
  </si>
  <si>
    <t>Uy, Terrence Ramos</t>
  </si>
  <si>
    <t>0907-646-3896</t>
  </si>
  <si>
    <t>Terrence Ramos Uy</t>
  </si>
  <si>
    <t>Sites near Livelihood</t>
  </si>
  <si>
    <t>Siongco, Jennifer Navarro</t>
  </si>
  <si>
    <t>Jenny's Store</t>
  </si>
  <si>
    <t>Jennifer Siongco</t>
  </si>
  <si>
    <t>Terrence Uy</t>
  </si>
  <si>
    <t>CA-110</t>
  </si>
  <si>
    <t>Antipala, Luisa Diamsim</t>
  </si>
  <si>
    <t>16 Laon Laan St., Brgy.25 Caloocan City</t>
  </si>
  <si>
    <t>351-7142</t>
  </si>
  <si>
    <t>120° 58' 31.3"</t>
  </si>
  <si>
    <t>Antipala, Luisa</t>
  </si>
  <si>
    <t>Luissa Diamsim Antipala</t>
  </si>
  <si>
    <t>4x1.5mH, Plastered on both sides</t>
  </si>
  <si>
    <t>0935-665-0317</t>
  </si>
  <si>
    <t>Enardecido, Jessica Porazo</t>
  </si>
  <si>
    <t>Enardecido, Junjun</t>
  </si>
  <si>
    <t>Enardecido, Junjun Encontro</t>
  </si>
  <si>
    <t>cebuano</t>
  </si>
  <si>
    <t>Luisa Diamsim Antipala</t>
  </si>
  <si>
    <t>CA-111A</t>
  </si>
  <si>
    <t>493 C. Namie St., Brgy.25 Caloocan City</t>
  </si>
  <si>
    <t>Limbunting, Dixter Hao</t>
  </si>
  <si>
    <t>14° 38' 40.3"</t>
  </si>
  <si>
    <t>Limbunting, Dixter</t>
  </si>
  <si>
    <t>Dixter Hao Limbunting</t>
  </si>
  <si>
    <t>Limbumting, Dixter Hao</t>
  </si>
  <si>
    <t>CRIZFAT Furniture</t>
  </si>
  <si>
    <t>Dixter Limbunting</t>
  </si>
  <si>
    <t>Riza Capin</t>
  </si>
  <si>
    <t>Dixter H. Limbunting</t>
  </si>
  <si>
    <t>Capin, Ma. Nelly</t>
  </si>
  <si>
    <t>Family Business</t>
  </si>
  <si>
    <t>Nelly Capin</t>
  </si>
  <si>
    <t>Accnt. Sheryl Vergil De Dios CPA</t>
  </si>
  <si>
    <t>CA-111B</t>
  </si>
  <si>
    <t>Japsay, Aileen Basilio</t>
  </si>
  <si>
    <t>0907-111-5671</t>
  </si>
  <si>
    <t>Limbunting, Christian Hao</t>
  </si>
  <si>
    <t>14° 38' 40.6"</t>
  </si>
  <si>
    <t>Limbunting, Christian</t>
  </si>
  <si>
    <t>Aileen B. Japsay</t>
  </si>
  <si>
    <t>if YES,</t>
  </si>
  <si>
    <t>CA-121A</t>
  </si>
  <si>
    <t>Carpio, Robert Alcid</t>
  </si>
  <si>
    <t>443 C. Namie St., Brgy.25 Caloocan City</t>
  </si>
  <si>
    <t>0919-812-2887</t>
  </si>
  <si>
    <t>Carpio, Robert</t>
  </si>
  <si>
    <t>Leonardo Mabalot Carpio</t>
  </si>
  <si>
    <t>Leonardo Carpio</t>
  </si>
  <si>
    <t>Robert A. Carpio</t>
  </si>
  <si>
    <t>Carpio, Katrina Alcid</t>
  </si>
  <si>
    <t>0916-242-8020</t>
  </si>
  <si>
    <t>Busante, Gaylord</t>
  </si>
  <si>
    <t>0909-854-3201</t>
  </si>
  <si>
    <t>Arevalo, Josephine</t>
  </si>
  <si>
    <t>Roger Carpio</t>
  </si>
  <si>
    <t>Josephine Arevalo</t>
  </si>
  <si>
    <t>443 C. Namie St., 4th Ave. Brgy.25 Caloocan City</t>
  </si>
  <si>
    <t>0950-264-8960</t>
  </si>
  <si>
    <t>Four Storey</t>
  </si>
  <si>
    <t>443 C. Namie St., 4TH Ave. Brgy.25 Caloocan City</t>
  </si>
  <si>
    <t>CA-123</t>
  </si>
  <si>
    <t>Santos Jr, Angel Macaraeg</t>
  </si>
  <si>
    <t>0930-996-4002</t>
  </si>
  <si>
    <t>De Guzman, Roger</t>
  </si>
  <si>
    <t>De Guzman, Wowie Viaculado</t>
  </si>
  <si>
    <t>0907-115-6629</t>
  </si>
  <si>
    <t>De Guzman, Wowie</t>
  </si>
  <si>
    <t>oct 9,1996</t>
  </si>
  <si>
    <t>Wowie De Guzman</t>
  </si>
  <si>
    <t>Santos, Winnie Macaraig</t>
  </si>
  <si>
    <t>0949-857-4320</t>
  </si>
  <si>
    <t>Grecia, Ramil Gorero</t>
  </si>
  <si>
    <t>Grecia, Ramil</t>
  </si>
  <si>
    <t>Santos, Angel Macaraeg</t>
  </si>
  <si>
    <t>Santos Jr, Angel</t>
  </si>
  <si>
    <t>Macaraeg, Rodolfo Santos</t>
  </si>
  <si>
    <t>0929-313-0143</t>
  </si>
  <si>
    <t>Macaraeg, Rodolfo</t>
  </si>
  <si>
    <t>(Cannot be located) Daniel De Guzman</t>
  </si>
  <si>
    <t>Santos, Rogelio Macaraeg</t>
  </si>
  <si>
    <t>Santos, Rogelio</t>
  </si>
  <si>
    <t>CA-116</t>
  </si>
  <si>
    <t>Diamsin, Manuel Valencia</t>
  </si>
  <si>
    <t>467 C. Namie St., Brgy.25 Caloocan City</t>
  </si>
  <si>
    <t>Diamsin, Manuel</t>
  </si>
  <si>
    <t>Manuel Diamsin</t>
  </si>
  <si>
    <t>Jojo's Furnitures</t>
  </si>
  <si>
    <t>Biscarra, Candido Gonzales</t>
  </si>
  <si>
    <t>Biscarra, Candido</t>
  </si>
  <si>
    <t>Biscara, Cadido</t>
  </si>
  <si>
    <t>467 C. Namie st., Caloocan City</t>
  </si>
  <si>
    <t>CA-117</t>
  </si>
  <si>
    <t>100 C. Namie St., Brgy.25 Caloocan City</t>
  </si>
  <si>
    <t>0935-199-9988</t>
  </si>
  <si>
    <t>Sangcap III, Antonio Tamon</t>
  </si>
  <si>
    <t>Mercado, Ann Judith Sangcap</t>
  </si>
  <si>
    <t>Mercado, Ann Juneth</t>
  </si>
  <si>
    <t>Mercado, Ann Juneth Sangcap</t>
  </si>
  <si>
    <t>0915-460-6219</t>
  </si>
  <si>
    <t>Nenita SangCap</t>
  </si>
  <si>
    <t>Nenita A. Sangcap</t>
  </si>
  <si>
    <t>Sangcap, Anthony Greg Adbiento</t>
  </si>
  <si>
    <t>Sangcap Store</t>
  </si>
  <si>
    <t>Anthony Greg A. Sangap</t>
  </si>
  <si>
    <t>1-4 years</t>
  </si>
  <si>
    <t>0916-754-0098</t>
  </si>
  <si>
    <t>CA-052</t>
  </si>
  <si>
    <t>CA-054</t>
  </si>
  <si>
    <t>14° 38' 52.7"</t>
  </si>
  <si>
    <t>120° 58' 27.9"</t>
  </si>
  <si>
    <t>Oscar Torneros</t>
  </si>
  <si>
    <t>Wood w/Light Materials</t>
  </si>
  <si>
    <t>Renato Sia (cannot be located)</t>
  </si>
  <si>
    <t>CA-062</t>
  </si>
  <si>
    <t>Dizon, Nikka Jane Cruz</t>
  </si>
  <si>
    <t>0936-410-3787</t>
  </si>
  <si>
    <t>Dizon, Edison Verizon</t>
  </si>
  <si>
    <t>14° 38' 51.2"</t>
  </si>
  <si>
    <t>120° 58' 28.3"</t>
  </si>
  <si>
    <t>KM 33+680 to KM 33+700</t>
  </si>
  <si>
    <t>Dizon, Edison</t>
  </si>
  <si>
    <t>Edison V. Dizon</t>
  </si>
  <si>
    <t>Relative Employee</t>
  </si>
  <si>
    <t>(Brgy. Permit)</t>
  </si>
  <si>
    <t>Nikka Jane Dizon</t>
  </si>
  <si>
    <t>CA-073</t>
  </si>
  <si>
    <t>Tarlac, Priscilla Recto</t>
  </si>
  <si>
    <t>14° 38' 49.0"</t>
  </si>
  <si>
    <t>120° 58' 29.0"</t>
  </si>
  <si>
    <t>KM 33+700 to KM 33+750</t>
  </si>
  <si>
    <t>83 Don Benito St., Brgy.21 Caloocan City</t>
  </si>
  <si>
    <t>CA-077</t>
  </si>
  <si>
    <t>Torres, Oscar Miranda</t>
  </si>
  <si>
    <t>KM 33+750 to KM 33+800</t>
  </si>
  <si>
    <t>Torres, Oscar</t>
  </si>
  <si>
    <t>0975-875-1794</t>
  </si>
  <si>
    <t>Vincent Solomon</t>
  </si>
  <si>
    <t>Light Meterials</t>
  </si>
  <si>
    <t>CA-079</t>
  </si>
  <si>
    <t>Ajero, Evangeline Carel</t>
  </si>
  <si>
    <t>128 San Benito St., Brgy.21 Caloocan City</t>
  </si>
  <si>
    <t>0942-269-1419</t>
  </si>
  <si>
    <t>14° 38' 48.5"</t>
  </si>
  <si>
    <t>120° 58' 29.1"</t>
  </si>
  <si>
    <t>Evangeline Ajero</t>
  </si>
  <si>
    <t>CA-080</t>
  </si>
  <si>
    <t>De Jesus, Concepcion Doringo</t>
  </si>
  <si>
    <t>De Jesus Jr, Leonardo Oliveros</t>
  </si>
  <si>
    <t>De Jesus, Leonardo</t>
  </si>
  <si>
    <t>0910-443-7288</t>
  </si>
  <si>
    <t>Restituto De Jesus</t>
  </si>
  <si>
    <t>BASECO Cmpd. Balut, Tondo Manila</t>
  </si>
  <si>
    <t>CA-082</t>
  </si>
  <si>
    <t>Bernardino Jr, Eduardo Tuazon</t>
  </si>
  <si>
    <t>Block 72, Lot 32 Northwill 28 Bagumbong Caloocan City</t>
  </si>
  <si>
    <t>0926-832-1344</t>
  </si>
  <si>
    <t>Bernardino Jr, Eduardo</t>
  </si>
  <si>
    <t>Bagungbong, Caloocan City</t>
  </si>
  <si>
    <t>1 (no name)</t>
  </si>
  <si>
    <t>CA-085</t>
  </si>
  <si>
    <t>Udan, Jonathan Cesista</t>
  </si>
  <si>
    <t>Udan, Jonathan</t>
  </si>
  <si>
    <t>CA-091</t>
  </si>
  <si>
    <t>Ico, Alexander Ortega</t>
  </si>
  <si>
    <t>301  San Benito St., Brgy.21 Caloocan City</t>
  </si>
  <si>
    <t>Ico, Alexandre Ortega</t>
  </si>
  <si>
    <t>Rent of the Furniture Shop</t>
  </si>
  <si>
    <t>Alexander Ortega Ico</t>
  </si>
  <si>
    <t>Ico, Alexander O.</t>
  </si>
  <si>
    <t>0919-539-2050</t>
  </si>
  <si>
    <t>Rental Area for Furniture Shop</t>
  </si>
  <si>
    <t>Asset Number</t>
  </si>
  <si>
    <t>Jessa Solainne Sabellero</t>
  </si>
  <si>
    <t>Delivery Helper</t>
  </si>
  <si>
    <t>200 P. Burgos St., Brgy.15 10th Ave. Caloocan City</t>
  </si>
  <si>
    <t>Vendor</t>
  </si>
  <si>
    <t>Jerome Saluta</t>
  </si>
  <si>
    <t>Seperated</t>
  </si>
  <si>
    <t>Canteen Owner</t>
  </si>
  <si>
    <t>Cloth Washer</t>
  </si>
  <si>
    <t>Ricardo Mangubat</t>
  </si>
  <si>
    <t>Eatery/Canteen</t>
  </si>
  <si>
    <t>Mangubat, Ricardo Beaño</t>
  </si>
  <si>
    <t>Bocaue, Bulacan</t>
  </si>
  <si>
    <t>Candido Biscarra</t>
  </si>
  <si>
    <t>Furniture Carpenter</t>
  </si>
  <si>
    <t>Not Declared</t>
  </si>
  <si>
    <t>Sangcap III, Antonio</t>
  </si>
  <si>
    <t>Merchandiser</t>
  </si>
  <si>
    <t>Anthony Greg Sangcap</t>
  </si>
  <si>
    <t>Robert Carpio</t>
  </si>
  <si>
    <t>Upholstery Worker</t>
  </si>
  <si>
    <t>Gaylord Busante</t>
  </si>
  <si>
    <t>Garments Worker</t>
  </si>
  <si>
    <t>CA-132</t>
  </si>
  <si>
    <t>Pelegrino, Laren Gatinao</t>
  </si>
  <si>
    <t>25 C. Namie St., Brgy.25 Caloocan City</t>
  </si>
  <si>
    <t>0915-8842159</t>
  </si>
  <si>
    <t>Pelegrino, Laren</t>
  </si>
  <si>
    <t>CA-133</t>
  </si>
  <si>
    <t>Saoquillo, Reynalyn De Guzman</t>
  </si>
  <si>
    <t>27 C. Namie St., Brgy.25 Caloocan City</t>
  </si>
  <si>
    <t>0926-359-2124</t>
  </si>
  <si>
    <t>Saoquillo, Reynelyn</t>
  </si>
  <si>
    <t>Cesar Gamboa</t>
  </si>
  <si>
    <t>0942-611-6242</t>
  </si>
  <si>
    <t>27 C. Namie St., 4TH Ave. Caloocan City</t>
  </si>
  <si>
    <t>CA-134</t>
  </si>
  <si>
    <t>0999-443-7992</t>
  </si>
  <si>
    <t>Soria, Maricar Noda</t>
  </si>
  <si>
    <t>Soria, Maria Noda</t>
  </si>
  <si>
    <t>Soria, Maricar</t>
  </si>
  <si>
    <t>0942-865-6482</t>
  </si>
  <si>
    <t>Mambog, Malolos Bulacan</t>
  </si>
  <si>
    <t>Bilinggan, Josephine Balangas</t>
  </si>
  <si>
    <t>Garbo, Lino Torla</t>
  </si>
  <si>
    <t>Garbo, Lino</t>
  </si>
  <si>
    <t>CA-144</t>
  </si>
  <si>
    <t>0908-513-2118</t>
  </si>
  <si>
    <t>Serafin V. Vacaro</t>
  </si>
  <si>
    <t>Serafin / Zenaida Vacaro</t>
  </si>
  <si>
    <t>CA-162B</t>
  </si>
  <si>
    <t>Vacaro, Serafin Verde</t>
  </si>
  <si>
    <t>Paguirigan, Jalain Juliano</t>
  </si>
  <si>
    <t>14° 41" 19.7</t>
  </si>
  <si>
    <t>120° 58.04' 2"</t>
  </si>
  <si>
    <t>Tagalog, Palaweña</t>
  </si>
  <si>
    <t>Cabañero, Jeffrey Madrigaljehos</t>
  </si>
  <si>
    <t>Cabañero, Jeffrey</t>
  </si>
  <si>
    <t>Jeffrey Cabañero</t>
  </si>
  <si>
    <t>503 Doña Rita St., Brgy.19 Caloocan City</t>
  </si>
  <si>
    <t>212 Doña Rita St., Caloocan City</t>
  </si>
  <si>
    <t>Mangubat, Fernando Beaño</t>
  </si>
  <si>
    <t>Mangubat, Fernando Bueño</t>
  </si>
  <si>
    <t>Capin, Ma. Nelly Espiña</t>
  </si>
  <si>
    <t>Capin, Nelly Espeña</t>
  </si>
  <si>
    <t>Arevalo, Josephine Abendaño</t>
  </si>
  <si>
    <t>Campaña, Leticia Briones</t>
  </si>
  <si>
    <t>Campaña, Leticia</t>
  </si>
  <si>
    <t>Leticia Campaña</t>
  </si>
  <si>
    <t>161 Doña Casimiro St., Maypajo Caloocan City</t>
  </si>
  <si>
    <t>0919-873-9657</t>
  </si>
  <si>
    <t>Paguirigan, Jalain</t>
  </si>
  <si>
    <t>ROW(PNR)</t>
  </si>
  <si>
    <t>Residential/Industrial</t>
  </si>
  <si>
    <t>Vivian Pacardo</t>
  </si>
  <si>
    <t>Jalain Paguirigan</t>
  </si>
  <si>
    <t>Marketing Assistant</t>
  </si>
  <si>
    <t>CA-162C</t>
  </si>
  <si>
    <t>Paguirigan, John Juliano</t>
  </si>
  <si>
    <t>161 Interior 10 Mariano St., Maypajo Caloocan City</t>
  </si>
  <si>
    <t>Father</t>
  </si>
  <si>
    <t>Sylvestre, Diane Paguirigan</t>
  </si>
  <si>
    <t>Sylvestre, Diane</t>
  </si>
  <si>
    <t>0955-568-2298</t>
  </si>
  <si>
    <t>CA-164</t>
  </si>
  <si>
    <t>14° 38' 14.9"</t>
  </si>
  <si>
    <t>120° 58' 31.0"</t>
  </si>
  <si>
    <t>4x1.5 CHB, Plastered on one side/no plaster</t>
  </si>
  <si>
    <t>CA-167</t>
  </si>
  <si>
    <t>Joaquin, Carlos Macalino</t>
  </si>
  <si>
    <t>88 Guido II, Maypajo St., Brgy.33 Caloocan City</t>
  </si>
  <si>
    <t>0999-844-0333</t>
  </si>
  <si>
    <t>Joaquin, Carlos</t>
  </si>
  <si>
    <t>Acquired Rigths</t>
  </si>
  <si>
    <t>Carlos Joaquin</t>
  </si>
  <si>
    <t>MN-003</t>
  </si>
  <si>
    <t>KM 34+??? to KM 34+???</t>
  </si>
  <si>
    <t>Kakilala, Virginia Briones</t>
  </si>
  <si>
    <t>764 Guido I St., Juan Luna, Brgy.184 Tondo Manila</t>
  </si>
  <si>
    <t>0930-338-6141</t>
  </si>
  <si>
    <t>Kakilala, Rodel Toletino</t>
  </si>
  <si>
    <t>Tolentino, Rodel</t>
  </si>
  <si>
    <t>Racquel Tolentino Kakilala</t>
  </si>
  <si>
    <t>Raquel Kakilala</t>
  </si>
  <si>
    <t>Virgi's Store</t>
  </si>
  <si>
    <t>Virginia Kakilala</t>
  </si>
  <si>
    <t>MN-030</t>
  </si>
  <si>
    <t>2033 Daang Bakal St., Brgy.159 Zone 14 Caloocan City</t>
  </si>
  <si>
    <t>244-2389</t>
  </si>
  <si>
    <t>Reyes, Rosalie</t>
  </si>
  <si>
    <t>Rosalie Reyes</t>
  </si>
  <si>
    <t>Taymi Jr, Jesus Durero</t>
  </si>
  <si>
    <t>MN-032</t>
  </si>
  <si>
    <t>120° 58' 23.4"</t>
  </si>
  <si>
    <t>KM 36+600 to KM 36+650</t>
  </si>
  <si>
    <t>Rusteca Garcia Mallari</t>
  </si>
  <si>
    <t>Concrete, (CHB walls) Plastered one side</t>
  </si>
  <si>
    <t>T.A=2.25sqm; Aff.A=2.25sqm</t>
  </si>
  <si>
    <t>Rusteca Mallari</t>
  </si>
  <si>
    <t>Eric Zaragoza</t>
  </si>
  <si>
    <t>Andres, Carolina Teodoro</t>
  </si>
  <si>
    <t>0925-312-0617</t>
  </si>
  <si>
    <t>120° 58' 23.8"</t>
  </si>
  <si>
    <t>Henry Pineda</t>
  </si>
  <si>
    <t>Kind of Struture</t>
  </si>
  <si>
    <t>Cocks House</t>
  </si>
  <si>
    <t xml:space="preserve">Roselio, Sebastian Esmeralda </t>
  </si>
  <si>
    <t>Walkway</t>
  </si>
  <si>
    <t>Extension</t>
  </si>
  <si>
    <t>Path Way</t>
  </si>
  <si>
    <t>Extended Commercial Area</t>
  </si>
  <si>
    <t>Melinda Marzan</t>
  </si>
  <si>
    <t>Nestor Apacile</t>
  </si>
  <si>
    <t>Jocelyn Intal Gastardo</t>
  </si>
  <si>
    <t>Romarica Intal</t>
  </si>
  <si>
    <t>Comfort Room</t>
  </si>
  <si>
    <t>CHB wall platered one side</t>
  </si>
  <si>
    <t>MN-035</t>
  </si>
  <si>
    <t>Babiano, Regina Jean Bakano</t>
  </si>
  <si>
    <t>2019 Daang Bakal Dagupan ext., Brgy.159 Zone 14 Caloocan City</t>
  </si>
  <si>
    <t>0927-663-5320</t>
  </si>
  <si>
    <t>Babiano, Regina Jean</t>
  </si>
  <si>
    <t>Pascua, Karen Formentera</t>
  </si>
  <si>
    <t>2019 Daang Bakal Brgy.159 Zone 14 Caloocan City</t>
  </si>
  <si>
    <t>0977-669-2899</t>
  </si>
  <si>
    <t>Pascua, Raymark Andrade</t>
  </si>
  <si>
    <t>Karen Pascua</t>
  </si>
  <si>
    <t>MN-036</t>
  </si>
  <si>
    <t>MN-040</t>
  </si>
  <si>
    <t>Suck, Farida Panantaon</t>
  </si>
  <si>
    <t>1999 Daang Bakal Brgy.159 Zone 14 Caloocan City</t>
  </si>
  <si>
    <t>0949-768-1854</t>
  </si>
  <si>
    <t>Suck, Farida</t>
  </si>
  <si>
    <t>Farida Suck</t>
  </si>
  <si>
    <t>MN-040A</t>
  </si>
  <si>
    <t>Evangelista, Carolyn Sales</t>
  </si>
  <si>
    <t>1999 Daang Bakal Dagupan ext., Tayuman Brgy.159 Zone 14 Caloocan City</t>
  </si>
  <si>
    <t>Evangelista, Carolyn</t>
  </si>
  <si>
    <t>Crew</t>
  </si>
  <si>
    <t>MN-044</t>
  </si>
  <si>
    <t>1993 Daang Bakal Brgy.159 Zone 14 Caloocan City</t>
  </si>
  <si>
    <t>Centeno, Cherry Amor</t>
  </si>
  <si>
    <t>0943-521-8033</t>
  </si>
  <si>
    <t>Stella Addun</t>
  </si>
  <si>
    <t>1 (?)</t>
  </si>
  <si>
    <t>Mangculintas, Mac Jay Centeno</t>
  </si>
  <si>
    <t>MN-046</t>
  </si>
  <si>
    <t>Manuel, Dorothy Ballesteros</t>
  </si>
  <si>
    <t>2033 Daang Bakal St., Brgy.159 Zone 14 Tondo Manila</t>
  </si>
  <si>
    <t>2023 Daang Bakal Brgy.159 Zone 14 Tondo Manila</t>
  </si>
  <si>
    <t>2019 Daang Bakal Dagupan ext., Brgy.159 Zone 14 Tondo Manila</t>
  </si>
  <si>
    <t>2019 Daang Bakal Brgy.159 Zone 14 Tondo Manila</t>
  </si>
  <si>
    <t>1999 Daang Bakal Brgy.159 Zone 14 Tondo Manila</t>
  </si>
  <si>
    <t>1999 Daang Bakal Dagupan ext., Tayuman Brgy.159 Zone 14 Tondo Manila</t>
  </si>
  <si>
    <t>1993 Daang Bakal Brgy.159 Zone 14 Tondo Manila</t>
  </si>
  <si>
    <t>Mother</t>
  </si>
  <si>
    <t>120° 58' 22.9"</t>
  </si>
  <si>
    <t>Marianne Manuel</t>
  </si>
  <si>
    <t>MN-047</t>
  </si>
  <si>
    <t>Mortel, Jinel Miane</t>
  </si>
  <si>
    <t>1989-B Daang Bakal Brgy.159 Zone 14 Tondo Manila</t>
  </si>
  <si>
    <t>1989 Daang Bakal Brgy.159 Tayuman, Tondo Manila</t>
  </si>
  <si>
    <t>0917-739-2067</t>
  </si>
  <si>
    <t>Mortel, Jinel</t>
  </si>
  <si>
    <t>Marilou Sta. Ana</t>
  </si>
  <si>
    <t>MN-058</t>
  </si>
  <si>
    <t>1951 Daang Bakal Brgy.159 Tondo Manila</t>
  </si>
  <si>
    <t>14° 37' 11.8"</t>
  </si>
  <si>
    <t>120° 58' 23.3"</t>
  </si>
  <si>
    <t>KM 36+750 to KM 36+800</t>
  </si>
  <si>
    <t>KM 36+650 to KM 36+700</t>
  </si>
  <si>
    <t>MN-061</t>
  </si>
  <si>
    <t>Labaniego, Mar Jhun Moreno</t>
  </si>
  <si>
    <t>1943 Daang Bakal Brgy.159 Tayuman, Tondo Manila</t>
  </si>
  <si>
    <t>Orea, Candy</t>
  </si>
  <si>
    <t>14° 37' 11.2"</t>
  </si>
  <si>
    <t>120° 58' 22.7"</t>
  </si>
  <si>
    <t>0975-466-5249</t>
  </si>
  <si>
    <t>Redentor Salud Guevarra</t>
  </si>
  <si>
    <t>1943 Daang Bakal Brgy.159, Tondo Manila</t>
  </si>
  <si>
    <t>De Lara, Herminia Relano</t>
  </si>
  <si>
    <t>0912-115-0849</t>
  </si>
  <si>
    <t>De Lara, Herminia</t>
  </si>
  <si>
    <t>0922-554-6465</t>
  </si>
  <si>
    <t>De Lara, Rowena Relano</t>
  </si>
  <si>
    <t>0930-643-6506</t>
  </si>
  <si>
    <t>De Lara, Rowena</t>
  </si>
  <si>
    <t>Redentor Guevarra</t>
  </si>
  <si>
    <t>Shoe Repair</t>
  </si>
  <si>
    <t>MN-063</t>
  </si>
  <si>
    <t>Margarita Flores</t>
  </si>
  <si>
    <t>0943-394-9097</t>
  </si>
  <si>
    <t>1933 Daang Bakal Brgy.159, Tayuman Tondo Manila</t>
  </si>
  <si>
    <t>Romeo Factor</t>
  </si>
  <si>
    <t>MN-065</t>
  </si>
  <si>
    <t>Endulos, Catherine Yu</t>
  </si>
  <si>
    <t>1913 Daang Bakal Brgy.159 Tayuman, Tondo Manila</t>
  </si>
  <si>
    <t>Endulas, Ignacio L.</t>
  </si>
  <si>
    <t>Endulas, Ignacio</t>
  </si>
  <si>
    <t>0933-927-1664</t>
  </si>
  <si>
    <t>Dimalanta, Delia Trajano</t>
  </si>
  <si>
    <t>1913 Daang Bakal Brgy.156 Tayuman, Tondo Manila</t>
  </si>
  <si>
    <t>1913 Dagupan ext., Brgy.156 Tayuman, Tondo Manila</t>
  </si>
  <si>
    <t>0915-638-9009</t>
  </si>
  <si>
    <t>Dimalanta, Delia</t>
  </si>
  <si>
    <t>Delia Dimalanta</t>
  </si>
  <si>
    <t>MN-066</t>
  </si>
  <si>
    <t>0977-017-3839</t>
  </si>
  <si>
    <t>Overjas, John Ferson Tuesca</t>
  </si>
  <si>
    <t>Ovejos, John Ferson</t>
  </si>
  <si>
    <t>John Ferson T. Ovejas</t>
  </si>
  <si>
    <t>MN-086</t>
  </si>
  <si>
    <t>3192 Int.26, Pilar St., Brgy.199 Tondo Manila</t>
  </si>
  <si>
    <t>0920-495-0122</t>
  </si>
  <si>
    <t>Francisco, Reneboy</t>
  </si>
  <si>
    <t>Florcepida Francisco</t>
  </si>
  <si>
    <t>Reneboy Francisco</t>
  </si>
  <si>
    <t>Manalang, Rogelio Reyes</t>
  </si>
  <si>
    <t>3192 Int.32, Pilar St., Brgy.199 Tondo Manila</t>
  </si>
  <si>
    <t>Manalang, Rogelio</t>
  </si>
  <si>
    <t>Edencio Padayaw</t>
  </si>
  <si>
    <t>Jacinto, Evelyn Francisco</t>
  </si>
  <si>
    <t>3192 Int.29, Pilar St., Brgy.199 Tondo Manila</t>
  </si>
  <si>
    <t>0908-296-6700</t>
  </si>
  <si>
    <t>Jacinto, Evelyn</t>
  </si>
  <si>
    <t>Near Livelihood</t>
  </si>
  <si>
    <t>Evelyn Jacinto</t>
  </si>
  <si>
    <t>MN-088</t>
  </si>
  <si>
    <t>KM 35+000 to KM 35+050</t>
  </si>
  <si>
    <t>Anastacio Saguit</t>
  </si>
  <si>
    <t>Land Caretaker</t>
  </si>
  <si>
    <t>Annaliza Faustino</t>
  </si>
  <si>
    <t>Amelia Buenaventura</t>
  </si>
  <si>
    <t>MN-097A</t>
  </si>
  <si>
    <t>MN-097B</t>
  </si>
  <si>
    <t>MN-103</t>
  </si>
  <si>
    <t>Donguines, Gerbeth Ravina</t>
  </si>
  <si>
    <t>2978 Dagupan ext., Brgy.184 Gagalangin Tondo Manila</t>
  </si>
  <si>
    <t>0921-382-3758</t>
  </si>
  <si>
    <t>Donguines, Gerbeth</t>
  </si>
  <si>
    <t>Gerbeth Donguines</t>
  </si>
  <si>
    <t>MN-106</t>
  </si>
  <si>
    <t>Sta. Juana, Alvin De Leon</t>
  </si>
  <si>
    <t>3046 Dagupan ext., Brgy.184 Gagalangin Tondo Manila</t>
  </si>
  <si>
    <t>0907-293-5878</t>
  </si>
  <si>
    <t>Sta. Juana, Alvin</t>
  </si>
  <si>
    <t>Co-Owner</t>
  </si>
  <si>
    <t>Aurela Sta. Juana</t>
  </si>
  <si>
    <t>Alvin Sta. Juana</t>
  </si>
  <si>
    <t>Sta. Juana Jr, Liberato Aransanso</t>
  </si>
  <si>
    <t>Sta. Juana Jr, Liberato</t>
  </si>
  <si>
    <t>Liberato Sta. Juana</t>
  </si>
  <si>
    <t>MN-108</t>
  </si>
  <si>
    <t>3038 Dagupan ext., Brgy.184 Gagalangin Tondo Manila</t>
  </si>
  <si>
    <t>De Vera, Peregrina Bandong</t>
  </si>
  <si>
    <t>0932-006-3914</t>
  </si>
  <si>
    <t>De Vera Jr, Teodorico</t>
  </si>
  <si>
    <t>Family ties, Got Married</t>
  </si>
  <si>
    <t>Clarita R. De Vera</t>
  </si>
  <si>
    <t>Teodorico De Vera Jr</t>
  </si>
  <si>
    <t>Ronaldo De Vera</t>
  </si>
  <si>
    <t>Stockman</t>
  </si>
  <si>
    <t>De Vera, Clarita</t>
  </si>
  <si>
    <t>De Vera, Ronaldo Roaquin</t>
  </si>
  <si>
    <t>De Vera Jr, Teodorico Roaquin</t>
  </si>
  <si>
    <t>MN-110</t>
  </si>
  <si>
    <t>Pronto, Zyra Capor</t>
  </si>
  <si>
    <t>3054 Dagupan ext., Brgy.184 Gagalangin Tondo Manila</t>
  </si>
  <si>
    <t>0921-379-9271</t>
  </si>
  <si>
    <t>14° 38' 12.0"</t>
  </si>
  <si>
    <t>120° 58' 30.1"</t>
  </si>
  <si>
    <t>KM 34+900 to KM 34+950</t>
  </si>
  <si>
    <t>Pronto, Zyra</t>
  </si>
  <si>
    <t>Ramil Cabeltis</t>
  </si>
  <si>
    <t>0997-278-0731</t>
  </si>
  <si>
    <t>3054 Dagupan ext.,  Gagalangin Tondo Manila</t>
  </si>
  <si>
    <t>MN-112</t>
  </si>
  <si>
    <t>Deodora, David Labao</t>
  </si>
  <si>
    <t>3022 Dagupan ext., Brgy.184 Gagalangin Tondo Manila</t>
  </si>
  <si>
    <t>Deodora, Francis</t>
  </si>
  <si>
    <t>Deodora, Francis Pulapo</t>
  </si>
  <si>
    <t>Aguilar, Marife Naelga</t>
  </si>
  <si>
    <t>0932-636-7464</t>
  </si>
  <si>
    <t>Baldomero, William</t>
  </si>
  <si>
    <t>0932-636-7464/ 0977-494-5617</t>
  </si>
  <si>
    <t>Eloisa Tamayo</t>
  </si>
  <si>
    <t>MN-113</t>
  </si>
  <si>
    <t>Villanueva, Gina Pepito</t>
  </si>
  <si>
    <t>3810 Dagupan ext., Brgy.184 Gagalangin Tondo Manila</t>
  </si>
  <si>
    <t>0919-267-8495</t>
  </si>
  <si>
    <t>Cogay, Joselito</t>
  </si>
  <si>
    <t>3022 Dagupan ext., Brgy.184 Gagalanign Tondo Manila</t>
  </si>
  <si>
    <t>3810 Dagupan ext., Brgy.184 Gagalanign Tondo Manila</t>
  </si>
  <si>
    <t>MN-114</t>
  </si>
  <si>
    <t>Bulaon, Janine Samson</t>
  </si>
  <si>
    <t>3014 Dagupan ext., Brgy.184 Zone.16 Gagalangin Tondo Manila</t>
  </si>
  <si>
    <t>0942-179-9491</t>
  </si>
  <si>
    <t>Valencia, Marlon</t>
  </si>
  <si>
    <t>Cogay, Joselito Crio</t>
  </si>
  <si>
    <t>Valencia, Marlon Ilahi</t>
  </si>
  <si>
    <t>0942-574-9319</t>
  </si>
  <si>
    <t>Ernesto Lu</t>
  </si>
  <si>
    <t>256-6284</t>
  </si>
  <si>
    <t>3014 Dagupan ext., Brgy.184 Gagalanign Tondo Manila</t>
  </si>
  <si>
    <t>MN-116</t>
  </si>
  <si>
    <t>Meneses, Edward Rita</t>
  </si>
  <si>
    <t>3004 Dagupan ext., Brgy.184 Gagalangin Tondo Manila</t>
  </si>
  <si>
    <t>0949-921-7783</t>
  </si>
  <si>
    <t>Meneses, Danilo Salazar</t>
  </si>
  <si>
    <t>Meneses, Danilo</t>
  </si>
  <si>
    <t>Manotoc Land</t>
  </si>
  <si>
    <t>Danilo Meneses</t>
  </si>
  <si>
    <t>Meneses, Lucia Elatico</t>
  </si>
  <si>
    <t>0967-374-7461</t>
  </si>
  <si>
    <t>Meneses, Lucia</t>
  </si>
  <si>
    <t>Cesar Meneses</t>
  </si>
  <si>
    <t>Lucia Meneses</t>
  </si>
  <si>
    <t>Jayson Vicente</t>
  </si>
  <si>
    <t>Police</t>
  </si>
  <si>
    <t>Sales Lady</t>
  </si>
  <si>
    <t>MN-122</t>
  </si>
  <si>
    <t>Vicente, Jayson Gallegar</t>
  </si>
  <si>
    <t>2982 Dagupan ext., Brgy.184 Gagalangin Tondo Manila</t>
  </si>
  <si>
    <t>0920-211-8085</t>
  </si>
  <si>
    <t>Vicente, Jayson</t>
  </si>
  <si>
    <t>Sites are to far from livelihood</t>
  </si>
  <si>
    <t>Lopez, Edgar Joaquin</t>
  </si>
  <si>
    <t>Caranto, Joel Agas</t>
  </si>
  <si>
    <t>Caranto, Jacquel</t>
  </si>
  <si>
    <t>0935-241-6952</t>
  </si>
  <si>
    <t>0908-549-9704</t>
  </si>
  <si>
    <t>0909-802-4105</t>
  </si>
  <si>
    <t>Daughter in law</t>
  </si>
  <si>
    <t>Dela Cruz, Suelyn Brigildo</t>
  </si>
  <si>
    <t>0923-223-6926</t>
  </si>
  <si>
    <t>14° 38' 47.3"</t>
  </si>
  <si>
    <t>120° 58' 33.01"</t>
  </si>
  <si>
    <t>Dela Cruz, Alfredo</t>
  </si>
  <si>
    <t>Renting</t>
  </si>
  <si>
    <t>Corazon Patriarca Dela Cruz</t>
  </si>
  <si>
    <t>CA-060</t>
  </si>
  <si>
    <t>Velasco, Arjean Lomotoc</t>
  </si>
  <si>
    <t>212 Doña Rita St., Brgy.19 Caloocan City</t>
  </si>
  <si>
    <t>0950-552-5505</t>
  </si>
  <si>
    <t>Velasco, Edwardo Capalad</t>
  </si>
  <si>
    <t>14° 38' 51.3"</t>
  </si>
  <si>
    <t>120° 58' 28.5"</t>
  </si>
  <si>
    <t>Velasco, Edwardo</t>
  </si>
  <si>
    <t>0923-356-2877</t>
  </si>
  <si>
    <t>Edwardo Capalad Velasco</t>
  </si>
  <si>
    <t>San Jose Del Monte Heights, (Brgy. Muzon, SJDM, Bulacan)</t>
  </si>
  <si>
    <t>Edward Velasco</t>
  </si>
  <si>
    <t>Foreman</t>
  </si>
  <si>
    <t>Encoder</t>
  </si>
  <si>
    <t>CA-061</t>
  </si>
  <si>
    <t>Velasco, Noel Capalad</t>
  </si>
  <si>
    <t>KM 33+650 to KM 33+700</t>
  </si>
  <si>
    <t>120° 58' 29.5"</t>
  </si>
  <si>
    <t>Macario Capalad</t>
  </si>
  <si>
    <t>Noel Velasco</t>
  </si>
  <si>
    <t>Garage Type Extension</t>
  </si>
  <si>
    <t>A.T=15.47; Aff.T=6.5</t>
  </si>
  <si>
    <t>212 Doña Rita St.,Brgy.19  Caloocan City</t>
  </si>
  <si>
    <t>Bernabe, Ronnie Venzon</t>
  </si>
  <si>
    <t>0932-659-0408</t>
  </si>
  <si>
    <t>120° 58' 28.9"</t>
  </si>
  <si>
    <t>Bernabe, Ronnie</t>
  </si>
  <si>
    <t>Arayat, Pampnga</t>
  </si>
  <si>
    <t>Renato Sia</t>
  </si>
  <si>
    <t>Lessee</t>
  </si>
  <si>
    <t>Ronnie Bernabe</t>
  </si>
  <si>
    <t>Bernabe, Ronnie Verizon</t>
  </si>
  <si>
    <t>CA-063</t>
  </si>
  <si>
    <t>Del Monte, Michael Tedranes</t>
  </si>
  <si>
    <t>214 Doña Rita St., Brgy.19 Caloocan City</t>
  </si>
  <si>
    <t>0910-948-9733</t>
  </si>
  <si>
    <t>Del Monte, Rosita Tedranes</t>
  </si>
  <si>
    <t>14° 38' 50.2"</t>
  </si>
  <si>
    <t>Del Monte, Rosita</t>
  </si>
  <si>
    <t>Mark James Sayson</t>
  </si>
  <si>
    <t>CA-064</t>
  </si>
  <si>
    <t>Sayson, Gerardo Ramirez</t>
  </si>
  <si>
    <t>0919-615-3051</t>
  </si>
  <si>
    <t>14° 38' 50.8"</t>
  </si>
  <si>
    <t>120° 58' 28.11"</t>
  </si>
  <si>
    <t>Gerardo Sayson</t>
  </si>
  <si>
    <t>(Abandoned Sttructure)</t>
  </si>
  <si>
    <t>Brgy.19 Daang Bakal Caloocan City</t>
  </si>
  <si>
    <t>CA-065</t>
  </si>
  <si>
    <t>Silvederio, Vilmo Ramirez</t>
  </si>
  <si>
    <t>0977709-3571</t>
  </si>
  <si>
    <t>14° 38' 50.5"</t>
  </si>
  <si>
    <t>Silvederio, Vilmo</t>
  </si>
  <si>
    <t>Bamboo/Wood</t>
  </si>
  <si>
    <t>2"x3"</t>
  </si>
  <si>
    <t>Vilmo Silvederio</t>
  </si>
  <si>
    <t>Vilmo R. Silvederio</t>
  </si>
  <si>
    <t>CA-066</t>
  </si>
  <si>
    <t>Silvederio, Ofelia Ramirez</t>
  </si>
  <si>
    <t>Silvederio, Anastacio Acanto</t>
  </si>
  <si>
    <t>14° 38' 50.1"</t>
  </si>
  <si>
    <t>Silvederio, Anastacio</t>
  </si>
  <si>
    <t>Ofelia Silvederio</t>
  </si>
  <si>
    <t>Pensioner</t>
  </si>
  <si>
    <t>Messenger</t>
  </si>
  <si>
    <t>Joan's Store</t>
  </si>
  <si>
    <t>0909-031-6541</t>
  </si>
  <si>
    <t>CA-067</t>
  </si>
  <si>
    <t>Dizon, Ronnie De Leon</t>
  </si>
  <si>
    <t>0975-142-7524</t>
  </si>
  <si>
    <t>14° 38' 50.0"</t>
  </si>
  <si>
    <t>Dizon, Ronnie</t>
  </si>
  <si>
    <t>Ronnie Dizon</t>
  </si>
  <si>
    <t>1"x2" Bamboo/ Wood</t>
  </si>
  <si>
    <t>1"x2"</t>
  </si>
  <si>
    <t>2"x2"</t>
  </si>
  <si>
    <t>EntireStructure</t>
  </si>
  <si>
    <t>Carpenter</t>
  </si>
  <si>
    <t>0936-894-1732</t>
  </si>
  <si>
    <t>14° 38' 49.8"</t>
  </si>
  <si>
    <t>Lorente, Helena</t>
  </si>
  <si>
    <t>Lorente, Helena Bayana</t>
  </si>
  <si>
    <t>Helena/Jeffrie Lorente</t>
  </si>
  <si>
    <t>CA-068</t>
  </si>
  <si>
    <t>Helena Lorente</t>
  </si>
  <si>
    <t>CA-069</t>
  </si>
  <si>
    <t>Cardona, Jackielou Letada</t>
  </si>
  <si>
    <t>14° 38' 49.6"</t>
  </si>
  <si>
    <t>Cardona, Jackielou</t>
  </si>
  <si>
    <t>Jackielou Letada Cardona</t>
  </si>
  <si>
    <t>Jackielou Cardona</t>
  </si>
  <si>
    <t>CA-070</t>
  </si>
  <si>
    <t>Ahyong, Richard Guevarra</t>
  </si>
  <si>
    <t>0946-414-4108</t>
  </si>
  <si>
    <t>14° 38' 49.7"</t>
  </si>
  <si>
    <t>Ahyong, Richard Christian</t>
  </si>
  <si>
    <t>Richard Christian Ahyong</t>
  </si>
  <si>
    <t>Maid</t>
  </si>
  <si>
    <t>0947-515-0973</t>
  </si>
  <si>
    <t>Priscilla Recto Tarlac</t>
  </si>
  <si>
    <t>Joephine Baustista</t>
  </si>
  <si>
    <t>Commercial Area</t>
  </si>
  <si>
    <t>A.T=4.42sqm</t>
  </si>
  <si>
    <t>Priscilla R. Tarlac</t>
  </si>
  <si>
    <t>Tarlac, Priscilla</t>
  </si>
  <si>
    <t>CA-075</t>
  </si>
  <si>
    <t>Alapide, Maria None</t>
  </si>
  <si>
    <t>0935-922-9372</t>
  </si>
  <si>
    <t>Ricafort, John Rogel</t>
  </si>
  <si>
    <t>14° 38' 49.1"</t>
  </si>
  <si>
    <t>120° 58' 29.3"</t>
  </si>
  <si>
    <t>John Rogel Ricafort</t>
  </si>
  <si>
    <t>Don't Know</t>
  </si>
  <si>
    <t>Aircon Installer</t>
  </si>
  <si>
    <t>Ajero, Evangeline</t>
  </si>
  <si>
    <t>Tagalog, Ilocana</t>
  </si>
  <si>
    <t>Evangeline C. Ajero</t>
  </si>
  <si>
    <t>Evangeline c. Ajero</t>
  </si>
  <si>
    <t>CA-084</t>
  </si>
  <si>
    <t>Jose, Mercedes Perez</t>
  </si>
  <si>
    <t>0921-594-6363</t>
  </si>
  <si>
    <t>14° 38' 45.9"</t>
  </si>
  <si>
    <t>KM 33+800 to KM 33+850</t>
  </si>
  <si>
    <t>Jose, Mercedes</t>
  </si>
  <si>
    <t>Mercedes Jose</t>
  </si>
  <si>
    <t>??</t>
  </si>
  <si>
    <t>Jose, Rowena Castro</t>
  </si>
  <si>
    <t>0995-895-4621</t>
  </si>
  <si>
    <t>Rowen C. Jose</t>
  </si>
  <si>
    <t>Fair compensation</t>
  </si>
  <si>
    <t>186 don Benito St., Brgy.19 Caloocan City</t>
  </si>
  <si>
    <t>Rowena C. Jose</t>
  </si>
  <si>
    <t>Jose, Rowena C.</t>
  </si>
  <si>
    <t>CA-086C</t>
  </si>
  <si>
    <t>Dumalag, Kristine Marie Flores</t>
  </si>
  <si>
    <t>0905-816-9760</t>
  </si>
  <si>
    <t>Dumalag, Joel Tumnob</t>
  </si>
  <si>
    <t>14° 38' 46.0"</t>
  </si>
  <si>
    <t>Dumalag, Joel</t>
  </si>
  <si>
    <t>Kristine Marie T. Dumalag</t>
  </si>
  <si>
    <t>Joel Dumalag</t>
  </si>
  <si>
    <t>Kristine Marie Dumalag</t>
  </si>
  <si>
    <t>CA-086D</t>
  </si>
  <si>
    <t>Jose, Andrea Liberan</t>
  </si>
  <si>
    <t>0919-458-1484</t>
  </si>
  <si>
    <t>1"</t>
  </si>
  <si>
    <t>Jose's Family</t>
  </si>
  <si>
    <t>CA-087B</t>
  </si>
  <si>
    <t>Abellana, Reynaldo</t>
  </si>
  <si>
    <t>Abellana, Reynaldo Jose</t>
  </si>
  <si>
    <t>132 San Benito St., Brgy.21 Caloocan City</t>
  </si>
  <si>
    <t>0908-585-7879</t>
  </si>
  <si>
    <t>14° 38' 45.7"</t>
  </si>
  <si>
    <t>KM 33+850 to KM 33+900</t>
  </si>
  <si>
    <t>Reynaldo Abellana</t>
  </si>
  <si>
    <t>10th Ave. Daang Bakal, Brgy.15 Caloocan City</t>
  </si>
  <si>
    <t>Aurora Aguido</t>
  </si>
  <si>
    <t>Lack of Money</t>
  </si>
  <si>
    <t>Louisse Franz Salazar</t>
  </si>
  <si>
    <t>211 daang Bakal 10th Ave. Brgy.15 Caloocan City</t>
  </si>
  <si>
    <t>211 Daang Bakal P. Burgos St., 10th Ave. Brgy.15 Caloocan City</t>
  </si>
  <si>
    <t>Astorga, Renalyn</t>
  </si>
  <si>
    <t>Renalyn Macaraeg Astorga</t>
  </si>
  <si>
    <t>Brgy.19 Caloocan City</t>
  </si>
  <si>
    <t>16 Daang Bakal Brgy.17 Caloocan City</t>
  </si>
  <si>
    <t>235-2456</t>
  </si>
  <si>
    <t>Business Owner</t>
  </si>
  <si>
    <t>Edwardo M. Lalu</t>
  </si>
  <si>
    <t>John Rey Kosca</t>
  </si>
  <si>
    <t>Food Business</t>
  </si>
  <si>
    <t>Maria Evelyn Resurreccion</t>
  </si>
  <si>
    <t>Arias, Gemma Cabuenas</t>
  </si>
  <si>
    <t>Shanty</t>
  </si>
  <si>
    <t>CA-051</t>
  </si>
  <si>
    <t>Ponseca, Mac Gary Palma</t>
  </si>
  <si>
    <t>Ponseca, Mac Gary</t>
  </si>
  <si>
    <t>Mac Gary Ponseca</t>
  </si>
  <si>
    <t>Rivera, Cristine Estrada</t>
  </si>
  <si>
    <t>Verlin Apacible</t>
  </si>
  <si>
    <t>Trolly Driver</t>
  </si>
  <si>
    <t>CA-053</t>
  </si>
  <si>
    <t>Ponseca, Princess Palma</t>
  </si>
  <si>
    <t>0909-509-8425</t>
  </si>
  <si>
    <t>Apacible, Verlin Garlan</t>
  </si>
  <si>
    <t>14° 38' 52.8"</t>
  </si>
  <si>
    <t>Apacible, Verlin</t>
  </si>
  <si>
    <t>Lundag, Dorothy Recudo</t>
  </si>
  <si>
    <t>0929-524-4997</t>
  </si>
  <si>
    <t>Bayani Lundag</t>
  </si>
  <si>
    <t>`12</t>
  </si>
  <si>
    <t>3"x3"</t>
  </si>
  <si>
    <t>(ACCESS BLOCK)</t>
  </si>
  <si>
    <t>CA-055</t>
  </si>
  <si>
    <t>Masallo, Dionisio Sagabaen</t>
  </si>
  <si>
    <t>577 Doña Rita St., Brgy.19 Caloocan City</t>
  </si>
  <si>
    <t>0929-324-3453</t>
  </si>
  <si>
    <t>Masallo, Segunda Cardina</t>
  </si>
  <si>
    <t>14° 38' 52.1"</t>
  </si>
  <si>
    <t>Masallo, Segunda</t>
  </si>
  <si>
    <t>Segunda Masallo</t>
  </si>
  <si>
    <t>Concrete/  GI sheet</t>
  </si>
  <si>
    <t>Screen Wire</t>
  </si>
  <si>
    <t>Dionisio Masallo</t>
  </si>
  <si>
    <t>CA-056</t>
  </si>
  <si>
    <t>Francisco Tabuac</t>
  </si>
  <si>
    <t>Driver, Sewing</t>
  </si>
  <si>
    <t>CA-057</t>
  </si>
  <si>
    <t>Tabuac, Francisco Macasusi</t>
  </si>
  <si>
    <t>0923-574-7104</t>
  </si>
  <si>
    <t>14° 38' 51.9"</t>
  </si>
  <si>
    <t>120° 58' 28.1"</t>
  </si>
  <si>
    <t>Tabuac,Francisco</t>
  </si>
  <si>
    <t>Rosalie Basa</t>
  </si>
  <si>
    <t>Generalo, Roselyn</t>
  </si>
  <si>
    <t>0935-241-1422</t>
  </si>
  <si>
    <t>14° 38' 51.8"</t>
  </si>
  <si>
    <t>120° 58' 28.2`"</t>
  </si>
  <si>
    <t>Roselyn C. Generalo</t>
  </si>
  <si>
    <t>Roselyn's Sari-Sari Store</t>
  </si>
  <si>
    <t>Roselyn Generalo</t>
  </si>
  <si>
    <t>CA-058</t>
  </si>
  <si>
    <t>Junk Recycler</t>
  </si>
  <si>
    <t>Gaddi, Rodrigo Cardona</t>
  </si>
  <si>
    <t>0947-587-1736</t>
  </si>
  <si>
    <t>14° 38' 51.6"</t>
  </si>
  <si>
    <t>120° 58' 28.3`"</t>
  </si>
  <si>
    <t>Gaddi, Rodrigo</t>
  </si>
  <si>
    <t>Rodrigo Gaddi</t>
  </si>
  <si>
    <t>Any relocation</t>
  </si>
  <si>
    <t>CA-059</t>
  </si>
  <si>
    <t>Arevano, Nelia Basa</t>
  </si>
  <si>
    <t>112 Doña Rita St., Brgy.19 Caloocan City</t>
  </si>
  <si>
    <t>14° 38' 51.4"</t>
  </si>
  <si>
    <t>Arevano, Nelia</t>
  </si>
  <si>
    <t>Mariano Basa</t>
  </si>
  <si>
    <t>Nelia Arevano</t>
  </si>
  <si>
    <t>Sayson, Mark James Villamante</t>
  </si>
  <si>
    <t>214 Doña Rita St., Caloocan City</t>
  </si>
  <si>
    <t>House for rent</t>
  </si>
  <si>
    <t>Sayson, Mark James V.</t>
  </si>
  <si>
    <t>CA-071</t>
  </si>
  <si>
    <t>Morilla, Ana Estribor</t>
  </si>
  <si>
    <t>0948-798-4739</t>
  </si>
  <si>
    <t>Morilla, Ana</t>
  </si>
  <si>
    <t>Ana E.Morilla</t>
  </si>
  <si>
    <t>Ana Morilla</t>
  </si>
  <si>
    <t>Sewer/seamstress</t>
  </si>
  <si>
    <t>CA-072</t>
  </si>
  <si>
    <t>Aserios, Andres Montalana</t>
  </si>
  <si>
    <t>0916-381-2659</t>
  </si>
  <si>
    <t>14° 38' 49.4"</t>
  </si>
  <si>
    <t>Aserios, Andres</t>
  </si>
  <si>
    <t>Andres Montalana Aserios</t>
  </si>
  <si>
    <t>Andres Aserios</t>
  </si>
  <si>
    <t>Extension Type (Commenrcial)</t>
  </si>
  <si>
    <t>2015 (Renovation)</t>
  </si>
  <si>
    <t>Can Stay (Commercial Area/Entire Structure)</t>
  </si>
  <si>
    <t>CA-074</t>
  </si>
  <si>
    <t>Jason Unat</t>
  </si>
  <si>
    <t>Flores, Sheryl Maun</t>
  </si>
  <si>
    <t>Brgy.21 Caloocan City</t>
  </si>
  <si>
    <t>Unat, Jason Moldez</t>
  </si>
  <si>
    <t>14° 38' 48.9"</t>
  </si>
  <si>
    <t>Unat, Jason</t>
  </si>
  <si>
    <t>Jaosn Moldez Unat</t>
  </si>
  <si>
    <t>CA-076</t>
  </si>
  <si>
    <t>Ricafort, Angelita Modesto</t>
  </si>
  <si>
    <t>0975-523-2973</t>
  </si>
  <si>
    <t>Ricafort, Rogelio Tinus</t>
  </si>
  <si>
    <t>KM 33+750 to KM 33+8000</t>
  </si>
  <si>
    <t>Ricafort, Rogelio</t>
  </si>
  <si>
    <t>Rogelio Ricafort</t>
  </si>
  <si>
    <t>Angelica Ricafort</t>
  </si>
  <si>
    <t>Ricafort, Angelica Modesto</t>
  </si>
  <si>
    <t>0935-302-6728</t>
  </si>
  <si>
    <t>Ricafort, Angelica</t>
  </si>
  <si>
    <t>Angelita/Rogelio Ricafort</t>
  </si>
  <si>
    <t>Kitchen Area</t>
  </si>
  <si>
    <t>4"Hollow Blocks, 2"x2"Wood</t>
  </si>
  <si>
    <t>Garage Type (Plywood, GI Sheet)</t>
  </si>
  <si>
    <t>Unknown Relocation site</t>
  </si>
  <si>
    <t>Solomon, Vincent Modesto</t>
  </si>
  <si>
    <t>0908-769-7515</t>
  </si>
  <si>
    <t>14° 38' 48.4"</t>
  </si>
  <si>
    <t>120° 58' 28.6"</t>
  </si>
  <si>
    <t>Solomon, Vincent</t>
  </si>
  <si>
    <t>124 Don Benito St., Brgy.21 Caloocan City</t>
  </si>
  <si>
    <t>124 Don Benito St., Brgy.21 Zone.2 Caloocan City</t>
  </si>
  <si>
    <t>Vincent M. Solomon</t>
  </si>
  <si>
    <t>Solomon, Vincent M.</t>
  </si>
  <si>
    <t>Apartment Owner</t>
  </si>
  <si>
    <t>CA-078</t>
  </si>
  <si>
    <t>Jeffrey Carel</t>
  </si>
  <si>
    <t>Office Employee</t>
  </si>
  <si>
    <t xml:space="preserve">Carel, Jeffrey </t>
  </si>
  <si>
    <t>0997-413-2002</t>
  </si>
  <si>
    <t>Carel, Jeffrey</t>
  </si>
  <si>
    <t>Naga, Benjamin</t>
  </si>
  <si>
    <t>Naga, Benjamin Castro</t>
  </si>
  <si>
    <t>87 Don Benito St., Brgy.21 Caloocan City</t>
  </si>
  <si>
    <t>88 Don Benito St., Brgy.21 Caloocan City</t>
  </si>
  <si>
    <t>128 Don Benito St., Brgy.21 Caloocan City</t>
  </si>
  <si>
    <t>119 Don Benito St., Brgy.21 Caloocan City</t>
  </si>
  <si>
    <t>186 Don Benito St., Brgy.21 Caloocan City</t>
  </si>
  <si>
    <t>130  Don Benito St., Brgy.21 Caloocan City</t>
  </si>
  <si>
    <t>132 Don Benito St., Brgy.21 Caloocan City</t>
  </si>
  <si>
    <t>301  Don Benito St., Brgy.21 Caloocan City</t>
  </si>
  <si>
    <t>121 Laon Laan St., Brgy.21 Caloocan City</t>
  </si>
  <si>
    <t>14° 38' 48.2"</t>
  </si>
  <si>
    <t>2"x4"</t>
  </si>
  <si>
    <t>Benjamin Naga Jr</t>
  </si>
  <si>
    <t>CA-081</t>
  </si>
  <si>
    <t>Evangelista, Antonio Sanglay</t>
  </si>
  <si>
    <t>Evangelista, Antonio</t>
  </si>
  <si>
    <t>Antonio Evangelista</t>
  </si>
  <si>
    <t>Main Road</t>
  </si>
  <si>
    <t>Taxi Driver</t>
  </si>
  <si>
    <t>Parra, Nestor Babila</t>
  </si>
  <si>
    <t>Don Benito St., Brgy.21 Caloocan City</t>
  </si>
  <si>
    <t>0912-300-9652</t>
  </si>
  <si>
    <t>14° 38' 46.9</t>
  </si>
  <si>
    <t>Michael Bernardino</t>
  </si>
  <si>
    <t>Brgy.171 Bagumbong Caloocan City</t>
  </si>
  <si>
    <t>Nestor Vulcanizing Shop</t>
  </si>
  <si>
    <t>Nestor Babila Parra</t>
  </si>
  <si>
    <t>Vulcanizing Shop</t>
  </si>
  <si>
    <t>No Answer</t>
  </si>
  <si>
    <t>CA-083</t>
  </si>
  <si>
    <t>Magtalas, Carlito Favor</t>
  </si>
  <si>
    <t>183 Don Benito St., Brgy.21 Caloocan City</t>
  </si>
  <si>
    <t>288-3742</t>
  </si>
  <si>
    <t>14° 38' 46.43"</t>
  </si>
  <si>
    <t>Magtalas, Carlito</t>
  </si>
  <si>
    <t>Carlito Magtalas Favor</t>
  </si>
  <si>
    <t>Acquired ffrom LGU</t>
  </si>
  <si>
    <t>CA-086A</t>
  </si>
  <si>
    <t>Santiago, Corazon Jose</t>
  </si>
  <si>
    <t>130 Don Benito St., Brgy.21 Caloocan City</t>
  </si>
  <si>
    <t>285-5971</t>
  </si>
  <si>
    <t>Corazon J. Santiago</t>
  </si>
  <si>
    <t>Proximity to livelihood and to own a House</t>
  </si>
  <si>
    <t>Undecided</t>
  </si>
  <si>
    <t>Corazon Santiago</t>
  </si>
  <si>
    <t>CA-086B</t>
  </si>
  <si>
    <t>Castro, Eloisa Jose</t>
  </si>
  <si>
    <t>0918-360-9473</t>
  </si>
  <si>
    <t>Eloisa Jose Castro</t>
  </si>
  <si>
    <t>CA-087A</t>
  </si>
  <si>
    <t>Abellana, Alisha</t>
  </si>
  <si>
    <t>Heard</t>
  </si>
  <si>
    <t>Abellana, Alicia Buan</t>
  </si>
  <si>
    <t>Alicia B. Abellana</t>
  </si>
  <si>
    <t>CA-088</t>
  </si>
  <si>
    <t>Remedios Manansala</t>
  </si>
  <si>
    <t>Rustan's Employee</t>
  </si>
  <si>
    <t>Manansala, Remedios Mendoza</t>
  </si>
  <si>
    <t>287-1495</t>
  </si>
  <si>
    <t>14° 38' 45.5"</t>
  </si>
  <si>
    <t>Manansala, Remedios</t>
  </si>
  <si>
    <t>Remedios Mendoza Manansala</t>
  </si>
  <si>
    <t>GI Sheet</t>
  </si>
  <si>
    <t>CA-089A</t>
  </si>
  <si>
    <t>376 Don Benito St., Brgy.21 Zone.2 Caloocan City</t>
  </si>
  <si>
    <t>0977-196-2590</t>
  </si>
  <si>
    <t>Pascual, Mario Wy</t>
  </si>
  <si>
    <t>14° 38' 45.0"</t>
  </si>
  <si>
    <t>Pascual, Mario</t>
  </si>
  <si>
    <t>Vicente G. Pascual</t>
  </si>
  <si>
    <t>Bamboo/ Wood, Remnants</t>
  </si>
  <si>
    <t>Brgy.21 Zone.2 Caloocan City</t>
  </si>
  <si>
    <t>Mario Wy Pascual</t>
  </si>
  <si>
    <t>CA-089B</t>
  </si>
  <si>
    <t>Pascual, Vicente Gregorio</t>
  </si>
  <si>
    <t>0908-149-7022</t>
  </si>
  <si>
    <t>14° 38' 44.7"</t>
  </si>
  <si>
    <t>120° 58' 20.8"</t>
  </si>
  <si>
    <t>Pascual, Vicente</t>
  </si>
  <si>
    <t>376  San Benito St., Brgy.21 Caloocan City</t>
  </si>
  <si>
    <t>Vicente Pascual</t>
  </si>
  <si>
    <t>Apartment (Owner)</t>
  </si>
  <si>
    <t>CA-090</t>
  </si>
  <si>
    <t>Gloria Espino</t>
  </si>
  <si>
    <t>Microentrepreneur</t>
  </si>
  <si>
    <t>Espino, Gloria Bongad</t>
  </si>
  <si>
    <t>375 Don Benito St., Brgy.21 Caloocan City</t>
  </si>
  <si>
    <t>0922-377-8255</t>
  </si>
  <si>
    <t>14° 38' 44.6"</t>
  </si>
  <si>
    <t>120° 58' 30.0"</t>
  </si>
  <si>
    <t>Espino, Gloria</t>
  </si>
  <si>
    <t>Gloria Bungad Espino</t>
  </si>
  <si>
    <t>Not Sure</t>
  </si>
  <si>
    <t>Espino, Gloria Bungad</t>
  </si>
  <si>
    <t>375  San Benito St., Brgy.21 Caloocan City</t>
  </si>
  <si>
    <t>Three Sister</t>
  </si>
  <si>
    <t>Domagsang, Marie Jannette Bungad</t>
  </si>
  <si>
    <t>0919-575-0672</t>
  </si>
  <si>
    <t>Domagsang, Marie Jannette</t>
  </si>
  <si>
    <t>Christian</t>
  </si>
  <si>
    <t>Andalino Bungad</t>
  </si>
  <si>
    <t>Andalino Linsin Bungad</t>
  </si>
  <si>
    <t>Marie Jannette Domagsang</t>
  </si>
  <si>
    <t>Teacher, Furniture Shop (Owner)</t>
  </si>
  <si>
    <t>Domagsang, Marie Jannette Buungada</t>
  </si>
  <si>
    <t>Marie Jannette's Furniture Shop</t>
  </si>
  <si>
    <t>Offered for Rent</t>
  </si>
  <si>
    <t>Manufacturing</t>
  </si>
  <si>
    <t>Dela Cruz, Gerry Paraon</t>
  </si>
  <si>
    <t>301 Don Benito St., Brgy.21 Caloocan City</t>
  </si>
  <si>
    <t>0999-361-1670</t>
  </si>
  <si>
    <t>14° 38' 44.3"</t>
  </si>
  <si>
    <t>Dela Cruz , Gerry</t>
  </si>
  <si>
    <t>Gerry P. Dela Cruz/ Alexander Ico</t>
  </si>
  <si>
    <t>Gerry Dela Cruz</t>
  </si>
  <si>
    <t>CA-092</t>
  </si>
  <si>
    <t>De Leon, Romeo Jr Moronia</t>
  </si>
  <si>
    <t>300 Don Benito St., Brgy.21 Caloocan City</t>
  </si>
  <si>
    <t>14° 38' 44.0"</t>
  </si>
  <si>
    <t>De Leon, Romeo</t>
  </si>
  <si>
    <t>Romeo Moronia De Leon Jr</t>
  </si>
  <si>
    <t>Romeo De Leon Jr</t>
  </si>
  <si>
    <t>Teresita Bolima</t>
  </si>
  <si>
    <t>Anthony  Fajardo</t>
  </si>
  <si>
    <t>Salvador A. Cardona</t>
  </si>
  <si>
    <t>Fannie Oliva</t>
  </si>
  <si>
    <t>Nestor Apacible</t>
  </si>
  <si>
    <t>Self-employed</t>
  </si>
  <si>
    <t>Benigno L. Gadi</t>
  </si>
  <si>
    <t>Efren Dagok</t>
  </si>
  <si>
    <t>Arturo Eulogio</t>
  </si>
  <si>
    <t>Rowel Rendo</t>
  </si>
  <si>
    <t>CA-050B</t>
  </si>
  <si>
    <t>4"x4"</t>
  </si>
  <si>
    <t>Unknown Location</t>
  </si>
  <si>
    <t>CA-093</t>
  </si>
  <si>
    <t>Ico, Ofelia Ochoa</t>
  </si>
  <si>
    <t>281-7729</t>
  </si>
  <si>
    <t>KM 33+900 to KM 33+950</t>
  </si>
  <si>
    <t>Ico, Ofelia</t>
  </si>
  <si>
    <t>Ofelia Ochoa Ico</t>
  </si>
  <si>
    <t>300  San Benito St., Brgy.21 Caloocan City</t>
  </si>
  <si>
    <t>Ofelia Ico</t>
  </si>
  <si>
    <t>CA-094</t>
  </si>
  <si>
    <t>Norberte, Rodelyn Ortiz</t>
  </si>
  <si>
    <t>116 Don Benito St., Brgy.21 Caloocan City</t>
  </si>
  <si>
    <t>0926-410-9158</t>
  </si>
  <si>
    <t>14° 38' 43.2"</t>
  </si>
  <si>
    <t>Norberte, Rodelyn</t>
  </si>
  <si>
    <t>No oher place to go</t>
  </si>
  <si>
    <t>4.1.5mH CHB, Plastered on one side/no plaster</t>
  </si>
  <si>
    <t>Rodelyn Norberte</t>
  </si>
  <si>
    <t>Direct Seller</t>
  </si>
  <si>
    <t>CA-095</t>
  </si>
  <si>
    <t>Velasco, Ryan Guerra</t>
  </si>
  <si>
    <t>162 Interior 19 Don Benito St., Brgy.21 Caloocan City</t>
  </si>
  <si>
    <t>0920-842-9840</t>
  </si>
  <si>
    <t>14° 38' 43.0"</t>
  </si>
  <si>
    <t>Velasco, Ryan</t>
  </si>
  <si>
    <t>Jocelyn Lukas</t>
  </si>
  <si>
    <t>Constructed (Under Construction)</t>
  </si>
  <si>
    <t>Jocelyn Lucas</t>
  </si>
  <si>
    <t>CA-096</t>
  </si>
  <si>
    <t>Cabel, Danilo Limpin</t>
  </si>
  <si>
    <t>117 Interior 19 Laon Laan St., Brgy.21 Caloocan City</t>
  </si>
  <si>
    <t>0946-262-3182</t>
  </si>
  <si>
    <t>14° 38' 43.4"</t>
  </si>
  <si>
    <t>Furniture Worker</t>
  </si>
  <si>
    <t>Danilo Cabael</t>
  </si>
  <si>
    <t>Cabel, Danilo</t>
  </si>
  <si>
    <t>Danilo Limpin Cabael</t>
  </si>
  <si>
    <t>CA-097</t>
  </si>
  <si>
    <t>Limpin, Vergilio Pasakyal</t>
  </si>
  <si>
    <t>0946-262-3184</t>
  </si>
  <si>
    <t>Limpin, Vergilio</t>
  </si>
  <si>
    <t>Dating Daan</t>
  </si>
  <si>
    <t>Romnick Sanorho Hernandez</t>
  </si>
  <si>
    <t>Near Original Residence</t>
  </si>
  <si>
    <t>CA-098</t>
  </si>
  <si>
    <t>Victoria L. Dioquino</t>
  </si>
  <si>
    <t>Dioquino, Victoria Limppin</t>
  </si>
  <si>
    <t>14° 38' 42.9"</t>
  </si>
  <si>
    <t>0907-393-3573</t>
  </si>
  <si>
    <t>Dioquino, Victoria</t>
  </si>
  <si>
    <t>Celso Aran Limpin</t>
  </si>
  <si>
    <t>CA-099</t>
  </si>
  <si>
    <t>Limpin, Merlyn Velasco</t>
  </si>
  <si>
    <t>0949-344-7489</t>
  </si>
  <si>
    <t>14° 38' 42.8"</t>
  </si>
  <si>
    <t>Limpin, Merlyn</t>
  </si>
  <si>
    <t>Merly Velasco Limpin</t>
  </si>
  <si>
    <t>Merly Velasco</t>
  </si>
  <si>
    <t>CA-100</t>
  </si>
  <si>
    <t>Manzo, Amelia Cruz</t>
  </si>
  <si>
    <t>121 Laon Laan St., Brgy.21 Zone.2 Caloocan City</t>
  </si>
  <si>
    <t>294-22-72</t>
  </si>
  <si>
    <t>14° 38' 42.5"</t>
  </si>
  <si>
    <t>Manzo, Amelia</t>
  </si>
  <si>
    <t>Amelia Cruz Manzo</t>
  </si>
  <si>
    <t>Steel Grill</t>
  </si>
  <si>
    <t>Amelia C. Manzo</t>
  </si>
  <si>
    <t>Faucet, Electric Post</t>
  </si>
  <si>
    <t>Support form Children</t>
  </si>
  <si>
    <t>Amelia Manzo</t>
  </si>
  <si>
    <t>Arnold Cruz</t>
  </si>
  <si>
    <t>Victoria Cruz</t>
  </si>
  <si>
    <t>CA-103B</t>
  </si>
  <si>
    <t>Food Vendor</t>
  </si>
  <si>
    <t>CA-103C</t>
  </si>
  <si>
    <t>Fe B. Ablen</t>
  </si>
  <si>
    <t>Illuminado Ablen</t>
  </si>
  <si>
    <t>Ana Rose Sambayon</t>
  </si>
  <si>
    <t>Edison Navarro</t>
  </si>
  <si>
    <t>Luisa Antipala</t>
  </si>
  <si>
    <t>Junjun Enardencio</t>
  </si>
  <si>
    <t>Caretaker, Delivery Helper</t>
  </si>
  <si>
    <t>Christian S. Limbunting</t>
  </si>
  <si>
    <t>Company Driver</t>
  </si>
  <si>
    <t>CA-112</t>
  </si>
  <si>
    <t>494 C. Namie St., Brgy.25 Caloocan City</t>
  </si>
  <si>
    <t>0926-261-8141</t>
  </si>
  <si>
    <t>14° 38' 40.1"</t>
  </si>
  <si>
    <t>KM 34+100 to KM 34+150</t>
  </si>
  <si>
    <r>
      <t>Dindo M. Dela Pe</t>
    </r>
    <r>
      <rPr>
        <sz val="10"/>
        <color indexed="8"/>
        <rFont val="Calibri"/>
        <family val="2"/>
      </rPr>
      <t>ña</t>
    </r>
  </si>
  <si>
    <t>CA-113</t>
  </si>
  <si>
    <t>Mendoza, Jeffrey Oliver</t>
  </si>
  <si>
    <t>491 C. Namie St., Brgy.25 Caloocan City</t>
  </si>
  <si>
    <t>0918-500-7051</t>
  </si>
  <si>
    <t>14° 38' 39.9"</t>
  </si>
  <si>
    <t>Jeffrey Oliver Cuaresma Mendoza/Rodringo Lapita Cuaresma</t>
  </si>
  <si>
    <t>Mendoza, Jeffrey Oliver Cuaresma</t>
  </si>
  <si>
    <t>493, C. Namie St., 4th Ave., Caloocan City</t>
  </si>
  <si>
    <t>Jeffrey Oliver Mendoza</t>
  </si>
  <si>
    <t>CA-114</t>
  </si>
  <si>
    <t>Topang, Charito Sibal</t>
  </si>
  <si>
    <t>492 C. Namie St., Brgy.25 Caloocan City</t>
  </si>
  <si>
    <t>14° 38' 39.8"</t>
  </si>
  <si>
    <t>Topang, Charito</t>
  </si>
  <si>
    <t>Charito Sibal Topang</t>
  </si>
  <si>
    <t>Purchased, Renovated</t>
  </si>
  <si>
    <t>Unknown Site</t>
  </si>
  <si>
    <t>Charito Topang</t>
  </si>
  <si>
    <t>CA-115B</t>
  </si>
  <si>
    <t>Fernando Balagot</t>
  </si>
  <si>
    <t>Balagot, Fernando Rivera</t>
  </si>
  <si>
    <t>51-A C. Namie St., Brgy.25 Caloocan City</t>
  </si>
  <si>
    <t>14° 38' 40.0"</t>
  </si>
  <si>
    <t>Balagot, Fernando</t>
  </si>
  <si>
    <t>CA-115A</t>
  </si>
  <si>
    <t>Balagot, Brian Bambalan</t>
  </si>
  <si>
    <t>Balagot, Brian</t>
  </si>
  <si>
    <t>Condrado Rivera Balagot/ Brian Rambalan Balagot</t>
  </si>
  <si>
    <t>Ease Access to livelihood</t>
  </si>
  <si>
    <t>Brian Balagot</t>
  </si>
  <si>
    <t>CA-115C</t>
  </si>
  <si>
    <t>Balagot, April Poblete</t>
  </si>
  <si>
    <t>471 C. Namie St., Brgy.25 Caloocan City</t>
  </si>
  <si>
    <t>0999-970-9574</t>
  </si>
  <si>
    <t>Balagot, Mark Anthony Galupe</t>
  </si>
  <si>
    <t>Balagot, Mark Anthony</t>
  </si>
  <si>
    <t>April P. Balagot</t>
  </si>
  <si>
    <t>Do Not Know</t>
  </si>
  <si>
    <t>Mark Anthony Balagot</t>
  </si>
  <si>
    <t>Lourdes V. Diamsin</t>
  </si>
  <si>
    <t>Marilou V. Diamsin</t>
  </si>
  <si>
    <t>Diamsin, Marilou Valencia</t>
  </si>
  <si>
    <t>52 C. Namie St., Brgy.25 Caloocan City</t>
  </si>
  <si>
    <t>0997-993-384</t>
  </si>
  <si>
    <t>Diamsin, Lourdes Valencia</t>
  </si>
  <si>
    <t>Diamsin, Lourdes</t>
  </si>
  <si>
    <t>Lourdes Valencia Diamsin</t>
  </si>
  <si>
    <t>Evangeline Valencia Diamsin</t>
  </si>
  <si>
    <t>Sangcap, Nenita Adbiento</t>
  </si>
  <si>
    <t>14° 38' 39.1"</t>
  </si>
  <si>
    <t>KM 34+100 to KM 34+050</t>
  </si>
  <si>
    <t>KM 34+050 to KM 34+100</t>
  </si>
  <si>
    <t>Sangcap, Antonio</t>
  </si>
  <si>
    <t>Nenita A. Sancap &amp; Antonio T. Sangcap</t>
  </si>
  <si>
    <t>Steel Grill/ Steel angle Bar</t>
  </si>
  <si>
    <t>Wooden with concrete flooring</t>
  </si>
  <si>
    <t>Renovation</t>
  </si>
  <si>
    <t>Nenita Sangcap</t>
  </si>
  <si>
    <t>CA-118</t>
  </si>
  <si>
    <t>Peter Pong (Cannot be Located)</t>
  </si>
  <si>
    <t>CA-119</t>
  </si>
  <si>
    <t>Morales, Eduardo Francisco</t>
  </si>
  <si>
    <t>14° 38' 38.4"</t>
  </si>
  <si>
    <t>Morales, Eduardo</t>
  </si>
  <si>
    <t>Eduardo Francisco Morales</t>
  </si>
  <si>
    <t>Eduardo F. Morales</t>
  </si>
  <si>
    <t>Gargage Type</t>
  </si>
  <si>
    <t>A.T=32sqm; Aff.A=4.8sqm</t>
  </si>
  <si>
    <t>Albina Francisco Morales</t>
  </si>
  <si>
    <t>Near Family but Business might stop due to location</t>
  </si>
  <si>
    <t>Eduardo Morales</t>
  </si>
  <si>
    <t>CA-120</t>
  </si>
  <si>
    <t>445 C. Namie St., Brgy.25 Caloocan City</t>
  </si>
  <si>
    <t>0946-589-7840</t>
  </si>
  <si>
    <t>14° 38' 38.6"</t>
  </si>
  <si>
    <t>120° 58' 31.2"</t>
  </si>
  <si>
    <t>Drice, Erven</t>
  </si>
  <si>
    <t>Drice, Erven Barrera</t>
  </si>
  <si>
    <t>Erven Barrera Drice</t>
  </si>
  <si>
    <t>Erven B. Drice</t>
  </si>
  <si>
    <t>Plywood</t>
  </si>
  <si>
    <t>Erven's Furniture Making and Carpentry</t>
  </si>
  <si>
    <t>Servicing Contracting</t>
  </si>
  <si>
    <t>Carpio, Leonardo Mabalot</t>
  </si>
  <si>
    <t>443-C C. Namie St., Brgy.25 Caloocan City</t>
  </si>
  <si>
    <t>0919-830-7247</t>
  </si>
  <si>
    <t>14° 38' 38.2"</t>
  </si>
  <si>
    <t>120° 58' 31.7"</t>
  </si>
  <si>
    <t>Carpio, Leonardo</t>
  </si>
  <si>
    <t>CA-121B</t>
  </si>
  <si>
    <t>Carpio, Perlita Raquino</t>
  </si>
  <si>
    <t>14° 38' 38.1"</t>
  </si>
  <si>
    <t>120° 58' 31.5"</t>
  </si>
  <si>
    <t>Carpio, Perlita</t>
  </si>
  <si>
    <t>Can Stay (ACCESS BLOCK)</t>
  </si>
  <si>
    <t>Generoso Carpio</t>
  </si>
  <si>
    <t>Perlita Carpio</t>
  </si>
  <si>
    <t>CA-122</t>
  </si>
  <si>
    <t>Arceo, Marlon Cuerpo</t>
  </si>
  <si>
    <t>0916-1660798</t>
  </si>
  <si>
    <t>14° 38' 37.8"</t>
  </si>
  <si>
    <t>120° 58' 31.1"</t>
  </si>
  <si>
    <t>Arceo, Marlon</t>
  </si>
  <si>
    <t>Marlon Cuerpo Arceo</t>
  </si>
  <si>
    <t>Extension Area (Sari-sari Store)</t>
  </si>
  <si>
    <t>GI Roof, Wood with Concrete (Flooring)</t>
  </si>
  <si>
    <t>4pcs:2"x4" Psot</t>
  </si>
  <si>
    <t>A.T=3sqm</t>
  </si>
  <si>
    <t>Condrado Limos</t>
  </si>
  <si>
    <t>CA-138B</t>
  </si>
  <si>
    <t>Lambungan, Herminio Atchiles</t>
  </si>
  <si>
    <t>28 C. Namie St. Laon Laan, Brgy.25 Caloocan City</t>
  </si>
  <si>
    <t>0922-799-9286</t>
  </si>
  <si>
    <t>14° 38' 36.6"</t>
  </si>
  <si>
    <t>Lambungan, Herminio</t>
  </si>
  <si>
    <t>Catalina Atchiles Lambungan</t>
  </si>
  <si>
    <t>Herminio A. Lambungan</t>
  </si>
  <si>
    <t>CA-139</t>
  </si>
  <si>
    <t>Lambungan, Francis Atchiles</t>
  </si>
  <si>
    <t>14° 38' 35.7"</t>
  </si>
  <si>
    <t>120° 58' 31.4"</t>
  </si>
  <si>
    <t>KM 34+150 to KM 34+200</t>
  </si>
  <si>
    <t>Lambungan, Francis</t>
  </si>
  <si>
    <t>Francis Atchiles Lambungan</t>
  </si>
  <si>
    <t>NorthVille 2B</t>
  </si>
  <si>
    <t>Poultry Business</t>
  </si>
  <si>
    <t>Francis A. Lambungan</t>
  </si>
  <si>
    <t>450 Laon Laan St., 4th Ave. Caloocan City</t>
  </si>
  <si>
    <t>Carpio, Regidor Mabalot</t>
  </si>
  <si>
    <t>14° 38' 37.9"</t>
  </si>
  <si>
    <t>120° 58' 30.9"</t>
  </si>
  <si>
    <t>Apartment House</t>
  </si>
  <si>
    <t>Carpio, Roger M.</t>
  </si>
  <si>
    <t>CA-124</t>
  </si>
  <si>
    <t>Dela Cruz, Jose Estanislao</t>
  </si>
  <si>
    <t>441 C. Namie St., Brgy.25 Caloocan City</t>
  </si>
  <si>
    <t>0975-044-5106</t>
  </si>
  <si>
    <t>120° 58' 30.7"</t>
  </si>
  <si>
    <t>Dela Cruz, Jose</t>
  </si>
  <si>
    <t>Jose Estanislao Dela Cruz</t>
  </si>
  <si>
    <t>Jose Dela Cruz</t>
  </si>
  <si>
    <t>CA-125</t>
  </si>
  <si>
    <t>Reginald Dela Cruz</t>
  </si>
  <si>
    <t>Dela Cruz, Reginald Cantina</t>
  </si>
  <si>
    <t>0997-179-0258</t>
  </si>
  <si>
    <t>14° 38' 37.7"</t>
  </si>
  <si>
    <t>Dela Cruz, Reginald</t>
  </si>
  <si>
    <t>Tagalog, Ilonggo</t>
  </si>
  <si>
    <t>(Province)</t>
  </si>
  <si>
    <t>Reginald Cantina Dela Cruz</t>
  </si>
  <si>
    <t>Extension (Garage Type)</t>
  </si>
  <si>
    <t>L=5mx1.5m</t>
  </si>
  <si>
    <t>Post:5pcs of 2"x4"</t>
  </si>
  <si>
    <t>CA-126</t>
  </si>
  <si>
    <t>Genon, Jocelyn Dinglasa</t>
  </si>
  <si>
    <t>0932-736-1193</t>
  </si>
  <si>
    <t>14° 38' 37.6"</t>
  </si>
  <si>
    <t>Genon, Jocelyn</t>
  </si>
  <si>
    <t>Jocelyn Genon</t>
  </si>
  <si>
    <t>CA-127</t>
  </si>
  <si>
    <t>Ferdinand Francisco</t>
  </si>
  <si>
    <t>Rosario Dela Cruz</t>
  </si>
  <si>
    <t>Gas Technician</t>
  </si>
  <si>
    <t>Gabriel, Marie May Dela Cruz</t>
  </si>
  <si>
    <t>0929-126-8215</t>
  </si>
  <si>
    <t>Francisco, Ferdinand Landero</t>
  </si>
  <si>
    <t>Francisco, Ferdinand</t>
  </si>
  <si>
    <t>0956-889-9344</t>
  </si>
  <si>
    <t>Rosario Estanislao Dela Cruz</t>
  </si>
  <si>
    <t>Property Owner</t>
  </si>
  <si>
    <t>CA-128</t>
  </si>
  <si>
    <t>Hagos, Adrian Mendonez</t>
  </si>
  <si>
    <t>441 A. Namie St., Brgy.25 Caloocan City</t>
  </si>
  <si>
    <t>0942-527-7421/ 0995-431-2924</t>
  </si>
  <si>
    <t>14° 38' 37.3"</t>
  </si>
  <si>
    <t>Hagos, Adrian</t>
  </si>
  <si>
    <t>Adrian Mendonez Hagos</t>
  </si>
  <si>
    <t>Hagos Furniture</t>
  </si>
  <si>
    <t>Adrian Hagos</t>
  </si>
  <si>
    <t>DTI Permit/ Brgy. Permit</t>
  </si>
  <si>
    <t>CA-129</t>
  </si>
  <si>
    <t>Carceller, Cayetano Sagayno</t>
  </si>
  <si>
    <t>24 Interior.6 C. Namie St., Brgy.25 Caloocan City</t>
  </si>
  <si>
    <t>0946-631-9226</t>
  </si>
  <si>
    <t>14° 38' 37.0"</t>
  </si>
  <si>
    <t>Carceller, Cayetano</t>
  </si>
  <si>
    <t>Cayetano Sagayno Carceller</t>
  </si>
  <si>
    <t>Cayetano Carceller</t>
  </si>
  <si>
    <t>Wood:6-pcs of 2"x2", GI Sheet:3-pcs</t>
  </si>
  <si>
    <t>Renocated</t>
  </si>
  <si>
    <t>CA-130</t>
  </si>
  <si>
    <t>Reyes, Joena May Dela Cruz</t>
  </si>
  <si>
    <t>21 C. Namie St., Brgy.25 Caloocan City</t>
  </si>
  <si>
    <t>GrandDaughter</t>
  </si>
  <si>
    <t>0929-785-8430</t>
  </si>
  <si>
    <t>Fuller, Vergelio Lata</t>
  </si>
  <si>
    <t>Natividad Sumira Cruz</t>
  </si>
  <si>
    <t>United State</t>
  </si>
  <si>
    <t>CA-131</t>
  </si>
  <si>
    <t>Deep (drilled)well with Jetmatic Pump</t>
  </si>
  <si>
    <r>
      <t>Teodulo Acompa</t>
    </r>
    <r>
      <rPr>
        <sz val="10"/>
        <color indexed="8"/>
        <rFont val="Calibri"/>
        <family val="2"/>
      </rPr>
      <t>ñado</t>
    </r>
  </si>
  <si>
    <t>Concrete Floor</t>
  </si>
  <si>
    <t>Gamboa, Cesar Paraiso</t>
  </si>
  <si>
    <t>Ereneo Paraiso Gamboa</t>
  </si>
  <si>
    <t>14° 38' 36.4"</t>
  </si>
  <si>
    <t>Gamboa, Cesar</t>
  </si>
  <si>
    <t>Ereneo Paraiso Gamboa &amp; Cesar Gamboa</t>
  </si>
  <si>
    <t>Ereneo P. Gamboa &amp; Cesar Gamboa</t>
  </si>
  <si>
    <t>CA-135</t>
  </si>
  <si>
    <t>Helen Gamboa</t>
  </si>
  <si>
    <t>Gamboa, Helen Paraiso</t>
  </si>
  <si>
    <t>27 C. Namie St., Laon Laan Brgy.25 Caloocan City</t>
  </si>
  <si>
    <t>0919-200-3187</t>
  </si>
  <si>
    <t>14° 38' 37.1"</t>
  </si>
  <si>
    <t>120° 58' 31.6"</t>
  </si>
  <si>
    <t>Gamboa, Helen</t>
  </si>
  <si>
    <t>Ronald Paraiso Gamboa</t>
  </si>
  <si>
    <t>Ronald P. Gamboa</t>
  </si>
  <si>
    <t>CA-136</t>
  </si>
  <si>
    <t>Maramba, Margarita</t>
  </si>
  <si>
    <t>Margarita Gamboa Maramba</t>
  </si>
  <si>
    <t>Margarita G. Maramba</t>
  </si>
  <si>
    <t>27-C C. Namei St., Laon Laan Brgy.25 Caloocan City</t>
  </si>
  <si>
    <t>CA-137</t>
  </si>
  <si>
    <t>Jhundel B. Colonia</t>
  </si>
  <si>
    <t>Colonia, Jhundel Bravo</t>
  </si>
  <si>
    <t>137 C. Namie St., Brgy.21 Caloocan City</t>
  </si>
  <si>
    <t>0946-897-7947</t>
  </si>
  <si>
    <t>14° 38' 36.0"</t>
  </si>
  <si>
    <t>120° 58' 31.8"</t>
  </si>
  <si>
    <t>Colonia, Jhundel</t>
  </si>
  <si>
    <t>Jhundel Bravo Colonia</t>
  </si>
  <si>
    <t>CA-138A</t>
  </si>
  <si>
    <t>28 C. Namie St., Brgy.25 Caloocan City</t>
  </si>
  <si>
    <t>0928-692-8309</t>
  </si>
  <si>
    <t>Lambungan,Gerardo Atchilles</t>
  </si>
  <si>
    <t>Lambungan, Gerardo</t>
  </si>
  <si>
    <t>Gerardo Atchiles Lambungan</t>
  </si>
  <si>
    <t>Gerardo Lambungan</t>
  </si>
  <si>
    <t>Nicolas,Editha Lambungan</t>
  </si>
  <si>
    <t>CA-140</t>
  </si>
  <si>
    <t>Elnar, Arlo Virador</t>
  </si>
  <si>
    <t>28 C. Namie St. Brgy.25 Caloocan City</t>
  </si>
  <si>
    <t>0939-206-4462</t>
  </si>
  <si>
    <t>14° 38' 35.9"</t>
  </si>
  <si>
    <t>Elnar, Arlo</t>
  </si>
  <si>
    <t>Luciano Era Elnar &amp; Arlu Virador Elnar</t>
  </si>
  <si>
    <t>Inheriteed</t>
  </si>
  <si>
    <t>From: Father</t>
  </si>
  <si>
    <t>Arlo Elnar</t>
  </si>
  <si>
    <t>CA-141</t>
  </si>
  <si>
    <t>Julie Ann Ocenar</t>
  </si>
  <si>
    <t>Ocenar, Julie Ann Abainza</t>
  </si>
  <si>
    <t>107 C. Namie St. Brgy.25 Caloocan City</t>
  </si>
  <si>
    <t>Ocenar, Julie Ann</t>
  </si>
  <si>
    <t>Julie Ann Abainza Ocenar</t>
  </si>
  <si>
    <t>Brgy.25 Caloocan City</t>
  </si>
  <si>
    <t>Residential Land</t>
  </si>
  <si>
    <t>CA-142</t>
  </si>
  <si>
    <t>(Fidelity Steel Company)</t>
  </si>
  <si>
    <t>CA-143</t>
  </si>
  <si>
    <t>Cayetano, Reynante Tordesillas</t>
  </si>
  <si>
    <t>47 Magtanggol St., Brgy.29 Caloocan City</t>
  </si>
  <si>
    <t>14° 38' 33.2"</t>
  </si>
  <si>
    <t>CA-145</t>
  </si>
  <si>
    <t>David, Florita Bantulan</t>
  </si>
  <si>
    <t>65 Magtanggol St., Brgy.29 Caloocan City</t>
  </si>
  <si>
    <t>David, Matthew Lacorte</t>
  </si>
  <si>
    <t>14° 38' 32.8"</t>
  </si>
  <si>
    <t>120° 58' 32.1"</t>
  </si>
  <si>
    <t>David, Matthew</t>
  </si>
  <si>
    <t>236-9428</t>
  </si>
  <si>
    <t>Tomas David/Eufenio Lacorte David</t>
  </si>
  <si>
    <t>Matthew David</t>
  </si>
  <si>
    <t>if RENTER, How much are your?</t>
  </si>
  <si>
    <t>From: Parents</t>
  </si>
  <si>
    <t>Florita David</t>
  </si>
  <si>
    <t>CA-146</t>
  </si>
  <si>
    <t>57 Magtanggol St., Brgy.29 Caloocan City</t>
  </si>
  <si>
    <t>0920-615-3057</t>
  </si>
  <si>
    <t>Robles Jr, Salvador</t>
  </si>
  <si>
    <t>120° 58' 32.2"</t>
  </si>
  <si>
    <t>0948-325-1957</t>
  </si>
  <si>
    <t>Salvador L. Robles Jr</t>
  </si>
  <si>
    <t>Salvador Robles Jr</t>
  </si>
  <si>
    <t>Robles, Grace Felicidad Peralta</t>
  </si>
  <si>
    <t>CA-147</t>
  </si>
  <si>
    <t>Nadorata, John Ray De Guzman</t>
  </si>
  <si>
    <t>Brgy.29 Caloocan City</t>
  </si>
  <si>
    <t>14° 38' 32.2"</t>
  </si>
  <si>
    <t>Full Court</t>
  </si>
  <si>
    <t>Open Court</t>
  </si>
  <si>
    <t>4" Slab thickness</t>
  </si>
  <si>
    <t>Playground</t>
  </si>
  <si>
    <t>2" Slab thickness</t>
  </si>
  <si>
    <t>Brgy.Captain</t>
  </si>
  <si>
    <t>CA-148</t>
  </si>
  <si>
    <t>Basketball Court Brgy.29 Caloocan City</t>
  </si>
  <si>
    <t>14° 38' 31.5"</t>
  </si>
  <si>
    <t>0932-478-2992</t>
  </si>
  <si>
    <t>Basketball Court</t>
  </si>
  <si>
    <t>John Ray Nadorata</t>
  </si>
  <si>
    <t>CA-149</t>
  </si>
  <si>
    <t>203 Magtanggol St., Brgy.29 Caloocan City</t>
  </si>
  <si>
    <t>0909-088-9971</t>
  </si>
  <si>
    <t>14° 38' 30.1"</t>
  </si>
  <si>
    <t>Cabangon, Jose Danilo</t>
  </si>
  <si>
    <t>Open Space</t>
  </si>
  <si>
    <t>Jose Danilo E. Cabangon</t>
  </si>
  <si>
    <t>Extension (Garage Type)/ Open Space</t>
  </si>
  <si>
    <t>Open Space:2" Concrete slab</t>
  </si>
  <si>
    <t>Extended Space:A.T=6sqm; Open Space:A.T=17.125sqm</t>
  </si>
  <si>
    <t>CA-150</t>
  </si>
  <si>
    <t>Rimorin, Carlos Cabangon</t>
  </si>
  <si>
    <t>202 Magtanggol St., Brgy.29 Caloocan City</t>
  </si>
  <si>
    <t>0915-932-7452</t>
  </si>
  <si>
    <t>14° 38' 30.0"</t>
  </si>
  <si>
    <t>120° 58' 32.5"</t>
  </si>
  <si>
    <t>Carlos C. Rimonin</t>
  </si>
  <si>
    <t>Carlos Rimorin</t>
  </si>
  <si>
    <t>CA-151</t>
  </si>
  <si>
    <t>14° 38' 27.0"</t>
  </si>
  <si>
    <t>CA-152</t>
  </si>
  <si>
    <t>Cervantes, Cecilia Tiongson</t>
  </si>
  <si>
    <t>0907-138-8665/ 0997-625-0856</t>
  </si>
  <si>
    <t>14° 38' 25.7"</t>
  </si>
  <si>
    <t>120° 58' 32.7"</t>
  </si>
  <si>
    <t>Alfred Guareno Picazo</t>
  </si>
  <si>
    <t>CA-153</t>
  </si>
  <si>
    <t>Delgado, Cesar Malasarte</t>
  </si>
  <si>
    <t>27 L. Lupa May pajo Brgy.32 Caloocan City</t>
  </si>
  <si>
    <t>313 L. Lupa May pajo Brgy.32 Caloocan City</t>
  </si>
  <si>
    <t>14° 38' 24.3"</t>
  </si>
  <si>
    <t>KM 34+500 to KM 34+550</t>
  </si>
  <si>
    <t>Feizardo H. Delgado</t>
  </si>
  <si>
    <t>CA-154</t>
  </si>
  <si>
    <t>Monilar, Andrew Araneta</t>
  </si>
  <si>
    <t>30 L. Lupa Brgy.32 Caloocan City</t>
  </si>
  <si>
    <t>0907-705-2934</t>
  </si>
  <si>
    <t>14° 38' 23.7"</t>
  </si>
  <si>
    <t>Andrew Araneta Monilar</t>
  </si>
  <si>
    <t>5-pcs GI</t>
  </si>
  <si>
    <t>CA-155</t>
  </si>
  <si>
    <t>Valentine, Pepito Datu</t>
  </si>
  <si>
    <t>0939-191-1842</t>
  </si>
  <si>
    <t>14° 38' 18.7"</t>
  </si>
  <si>
    <t>KM 34+650 to KM 34+700</t>
  </si>
  <si>
    <t>Half Court</t>
  </si>
  <si>
    <t>3" Slab thickness</t>
  </si>
  <si>
    <t>CA-156</t>
  </si>
  <si>
    <t>Rance, Rosalinda Calasin</t>
  </si>
  <si>
    <t>1036 Interior 14 A. Mabini St., May Pajo Caloocan City</t>
  </si>
  <si>
    <t>0930-122-0443</t>
  </si>
  <si>
    <t>Cangmaong, Sonny Villamor</t>
  </si>
  <si>
    <t>14° 38' 18.4"</t>
  </si>
  <si>
    <t>Cangmaong, Sonny</t>
  </si>
  <si>
    <t>Sonny Cangmaong</t>
  </si>
  <si>
    <t>Rosalinda Rance</t>
  </si>
  <si>
    <t>CA-157</t>
  </si>
  <si>
    <t>Ricardo Lopez  Jr</t>
  </si>
  <si>
    <t>CA-158</t>
  </si>
  <si>
    <t>Lopez Jr, Ricardo Ramirez</t>
  </si>
  <si>
    <t>0930-344-3094</t>
  </si>
  <si>
    <t>Lopez Jr, Ricardo</t>
  </si>
  <si>
    <t>Mesina Jr, Roy Bernardo</t>
  </si>
  <si>
    <t>0998-981-7574</t>
  </si>
  <si>
    <t>14° 38' 17.7"</t>
  </si>
  <si>
    <t>KM 34+750 to KM 34+800</t>
  </si>
  <si>
    <t>A.T=22sqm; Aff.A=16sqm</t>
  </si>
  <si>
    <t>CA-159</t>
  </si>
  <si>
    <t>Lomocso, Edalgo Bandolon</t>
  </si>
  <si>
    <t>0927-890-7482</t>
  </si>
  <si>
    <t>14° 38' 17.8"</t>
  </si>
  <si>
    <t>Edalgo Bandolon Lomocso</t>
  </si>
  <si>
    <t>3-pcs GI</t>
  </si>
  <si>
    <t>A.T=19.8sqm; Aff.A=14.4sqm</t>
  </si>
  <si>
    <t>CA-160</t>
  </si>
  <si>
    <t>Lopez, Arnlyn Larrain</t>
  </si>
  <si>
    <t>1036 Interior 10 A. Mabini St., May Pajo Brgy.33 Caloocan City</t>
  </si>
  <si>
    <t>0907-370-3043</t>
  </si>
  <si>
    <t>14° 38' 17.2"</t>
  </si>
  <si>
    <t>Lopez , Arnold</t>
  </si>
  <si>
    <t>Extension (Shed)</t>
  </si>
  <si>
    <t>GI Sheet:5-pcs, Post:2-pcs of 2"x3"</t>
  </si>
  <si>
    <t>7-pcs of 2"x2"</t>
  </si>
  <si>
    <t>A.T=7.56sqm, Aff.T=4.59sqm</t>
  </si>
  <si>
    <t>CA-161</t>
  </si>
  <si>
    <t>Sollano, Ronaldo Cuerdo</t>
  </si>
  <si>
    <t>172 Interior.9 Doña Casimiro St., Maypajo Caloocan City</t>
  </si>
  <si>
    <t>1036 Interior.10 A. Mabini St., May Pajo Brgy.33 Caloocan City</t>
  </si>
  <si>
    <t>1036 Interior.6 A. Mabini St., May Pajo Brgy.33 Caloocan City</t>
  </si>
  <si>
    <t>1024 Interior.22 A. Mabini St., May Pajo Brgy.33 Caloocan City</t>
  </si>
  <si>
    <t>0922-705-9755</t>
  </si>
  <si>
    <t>Lopez, Arnold Flores</t>
  </si>
  <si>
    <t>14° 38' 16.5"</t>
  </si>
  <si>
    <t>Sollano, Reynalyn</t>
  </si>
  <si>
    <t>0916-926-7580</t>
  </si>
  <si>
    <t>Reynalyn Del Rosario Sollano</t>
  </si>
  <si>
    <t>Bamboo/ Coco Lumber, Wood</t>
  </si>
  <si>
    <t>Net</t>
  </si>
  <si>
    <t>Bamboo/ Wood, Screen wire</t>
  </si>
  <si>
    <t>Reynalyn Sollano</t>
  </si>
  <si>
    <t>Sollano, Reynalyn D.</t>
  </si>
  <si>
    <t>CA-162A</t>
  </si>
  <si>
    <t>Juanito Pacardo Jr</t>
  </si>
  <si>
    <t>Pacardo, Vivian Paguirigan</t>
  </si>
  <si>
    <t>1024 Interior.10 Mariano St., Brgy.33 Zone.3 Caloocan City</t>
  </si>
  <si>
    <t>0939-198-6856</t>
  </si>
  <si>
    <t>Pacardo Jr, Juanito Lara</t>
  </si>
  <si>
    <t>14° 38' 15.9"</t>
  </si>
  <si>
    <t>Pacardo Jr, Juanito</t>
  </si>
  <si>
    <t>Vivian Paguira Pacardo</t>
  </si>
  <si>
    <t>Electric &amp; Water Supply</t>
  </si>
  <si>
    <t>CA-163</t>
  </si>
  <si>
    <t>14° 38' 15.4"</t>
  </si>
  <si>
    <t>Reoncio Alba Maravilla</t>
  </si>
  <si>
    <t>Concrete Table</t>
  </si>
  <si>
    <t>A.T=4sqm; Aff.A=4sqm</t>
  </si>
  <si>
    <t>CA-165</t>
  </si>
  <si>
    <t>Manese, Dante Vicente</t>
  </si>
  <si>
    <t>88-B Guido 2, Brgy.33 Caloocan City</t>
  </si>
  <si>
    <t>0927-392-3464</t>
  </si>
  <si>
    <t>14° 38' 14.7"</t>
  </si>
  <si>
    <t>KM 34+800 to KM 34+850</t>
  </si>
  <si>
    <t>Manese, Dante</t>
  </si>
  <si>
    <t>Dante Vicente Manese</t>
  </si>
  <si>
    <t>Dante Manese</t>
  </si>
  <si>
    <t>CA-166</t>
  </si>
  <si>
    <t>Ernesto Dimla</t>
  </si>
  <si>
    <t>Dimla, Ernesto  Aniciete</t>
  </si>
  <si>
    <t>122 Guido 2, Brgy.33 Zone.3 Caloocan City</t>
  </si>
  <si>
    <t>236-9526</t>
  </si>
  <si>
    <t>14° 38' 13.9"</t>
  </si>
  <si>
    <t>Dimla, Ernesto</t>
  </si>
  <si>
    <t>Jose Dukot Dimla</t>
  </si>
  <si>
    <t>Ernesto Aniciete Dimla</t>
  </si>
  <si>
    <t>Garage</t>
  </si>
  <si>
    <t>A.T=9sqm; Aff.A=9sqm</t>
  </si>
  <si>
    <t>Fence:GI Sheet:6-pcs, Post:4-pcs of 2"x4", Roof:GI 3-pcs, Truss:7-pcs wood</t>
  </si>
  <si>
    <t>88-B Guido II, Brgy.33 Caloocan City</t>
  </si>
  <si>
    <t>122 Guido II, Brgy.33 Zone.3 Caloocan City</t>
  </si>
  <si>
    <t>14° 38' 14.4"</t>
  </si>
  <si>
    <t>Joanquin, Adela</t>
  </si>
  <si>
    <t>Adela Macalino Joaquin</t>
  </si>
  <si>
    <t>CA-168</t>
  </si>
  <si>
    <t>Joaquin, Carlos Marcelino</t>
  </si>
  <si>
    <t>14° 38' 14.6"</t>
  </si>
  <si>
    <t>ISF-Occupant</t>
  </si>
  <si>
    <t>LEGAL-Occupant</t>
  </si>
  <si>
    <t>MAIN FORMS</t>
  </si>
  <si>
    <t>ISF-CIBEs</t>
  </si>
  <si>
    <t>LEGAL-CIBEs</t>
  </si>
  <si>
    <t>Scraper, Barker, Apartment (Owner)</t>
  </si>
  <si>
    <t>Pension, Apartment (Owner)</t>
  </si>
  <si>
    <t>LEGAL-Renter</t>
  </si>
  <si>
    <t>w/Dwelling</t>
  </si>
  <si>
    <t>MN-001</t>
  </si>
  <si>
    <t>Reniedo, Nenita Beltran</t>
  </si>
  <si>
    <t>133 Guido 1, Brggy.184 Gagalangin Tondo Manila</t>
  </si>
  <si>
    <t>14° 38' 13.3"</t>
  </si>
  <si>
    <t>Reniedo, Nenita</t>
  </si>
  <si>
    <t>Francisca Reniedo Ganitnit</t>
  </si>
  <si>
    <t>Nenita Beltran Reniedo</t>
  </si>
  <si>
    <t>MN-002</t>
  </si>
  <si>
    <t>Ganitnit,Francisca Reniedo</t>
  </si>
  <si>
    <t>133 Guido 1, Brgy.184 Gagalangin Tondo Manila</t>
  </si>
  <si>
    <t>0928-008-1178</t>
  </si>
  <si>
    <t>Ganitnit, Francisca</t>
  </si>
  <si>
    <t>Ganitnit, Francisca Reniedo</t>
  </si>
  <si>
    <t>Francisca Reniedo Permia</t>
  </si>
  <si>
    <t>if the price is right</t>
  </si>
  <si>
    <t>14° 38' 13.2"</t>
  </si>
  <si>
    <t>764 Guido I St., Brgy.184 Gagalangin Tondo Manila</t>
  </si>
  <si>
    <t>Francisca's Store</t>
  </si>
  <si>
    <t>Francisca Ganitnit</t>
  </si>
  <si>
    <t>may 10,1953</t>
  </si>
  <si>
    <t>Palmon,Lilia Kakilala</t>
  </si>
  <si>
    <t>764 Guido 1, Juan Luna Brgy.184 Tondo Manila</t>
  </si>
  <si>
    <t>0919-984-9176</t>
  </si>
  <si>
    <t>KM 34+850 to KM 34+900</t>
  </si>
  <si>
    <t>Palmon, Lilia</t>
  </si>
  <si>
    <t>Raquel Toletino Kakilala</t>
  </si>
  <si>
    <t>Refused</t>
  </si>
  <si>
    <t>MN-004</t>
  </si>
  <si>
    <t>Moreno, Vicky Mendigoren</t>
  </si>
  <si>
    <t>766 Guido I, Juan Luna, Brgy.184 Tondo Manila</t>
  </si>
  <si>
    <t>0930-151-0786</t>
  </si>
  <si>
    <t>14° 38' 12.4"</t>
  </si>
  <si>
    <t>Moreno, Vicky</t>
  </si>
  <si>
    <t>Awardee</t>
  </si>
  <si>
    <t>Francisco Madarang Moreno</t>
  </si>
  <si>
    <t>Vicky Mendigoren Moreno</t>
  </si>
  <si>
    <t>Vicky Moreno</t>
  </si>
  <si>
    <t>UBER Driver</t>
  </si>
  <si>
    <t>MN-005</t>
  </si>
  <si>
    <t>Boholano, Isidro Jr Villrando</t>
  </si>
  <si>
    <t>0907-563-1925</t>
  </si>
  <si>
    <t>14° 37' 59.8"</t>
  </si>
  <si>
    <t>KM 35+250 to KM 35+300</t>
  </si>
  <si>
    <t>Isidro Villaraldo Boholano Jr</t>
  </si>
  <si>
    <t>Boholano, Isidro Jr Villranbo</t>
  </si>
  <si>
    <t>MN-006</t>
  </si>
  <si>
    <t>TOTAL</t>
  </si>
  <si>
    <t>House fof Rent</t>
  </si>
  <si>
    <t>Improvements</t>
  </si>
  <si>
    <t>0977-709-3571</t>
  </si>
  <si>
    <t>Reynaldo Barrantes Soan</t>
  </si>
  <si>
    <t>Improvemnets</t>
  </si>
  <si>
    <t>Balonzo, Romeo Macaaspac</t>
  </si>
  <si>
    <t>742 Benito St., Brgy.185 Zone.16 Gagalangin Tondo Manila</t>
  </si>
  <si>
    <t>14° 37' 53.2"</t>
  </si>
  <si>
    <t>Balonzo, Romeo</t>
  </si>
  <si>
    <t>Romeo Macaspac Balonzo</t>
  </si>
  <si>
    <t>Need a house and a decent place to live</t>
  </si>
  <si>
    <t>No job at possible site</t>
  </si>
  <si>
    <t>Romeo Balonzo</t>
  </si>
  <si>
    <t>Scrap Collector</t>
  </si>
  <si>
    <t>MN-007</t>
  </si>
  <si>
    <t>KM 35+400 to KM 35+450</t>
  </si>
  <si>
    <t>14° 37' 44.1"</t>
  </si>
  <si>
    <t>120° 58' 27.2"</t>
  </si>
  <si>
    <t>KM 35+750 to KM 35+850</t>
  </si>
  <si>
    <t>MN-008</t>
  </si>
  <si>
    <t>Taguinod, Adeltrudis Antiporda</t>
  </si>
  <si>
    <t>2686 Dagupan Ext., Brgy.164 Zone.14 Tondo Manila</t>
  </si>
  <si>
    <t>14° 37' 39.8"</t>
  </si>
  <si>
    <t>120° 58' 26.7"</t>
  </si>
  <si>
    <t>KM 35+800 to KM 35+850</t>
  </si>
  <si>
    <t>Taguinod, Adeltrudis</t>
  </si>
  <si>
    <t>Adeltrudis Antiporda Taguinod</t>
  </si>
  <si>
    <t>MN-009</t>
  </si>
  <si>
    <t>Camus, Mario Lito Tolentino</t>
  </si>
  <si>
    <t>2686 Dagupan Ext., Brgy.165 Zone.14 Tondo Manila</t>
  </si>
  <si>
    <t>14° 37' 39.7"</t>
  </si>
  <si>
    <t>120° 58' 26.2"</t>
  </si>
  <si>
    <t>Mario Lito T. Camus</t>
  </si>
  <si>
    <t>Coconut Leaves</t>
  </si>
  <si>
    <t>MN-010</t>
  </si>
  <si>
    <t>Flores, Teresa Calledo</t>
  </si>
  <si>
    <t>0935-133-0925</t>
  </si>
  <si>
    <t>14° 37' 38.6"</t>
  </si>
  <si>
    <t>120° 58' 26.8"</t>
  </si>
  <si>
    <t>Terso Solangon Flores</t>
  </si>
  <si>
    <t>MN-011</t>
  </si>
  <si>
    <t>Aquino, Imee Cabanting</t>
  </si>
  <si>
    <t>256-3426</t>
  </si>
  <si>
    <t>Gayona, Domingo Lapuersa</t>
  </si>
  <si>
    <t>14° 37' 37.6"</t>
  </si>
  <si>
    <t>120° 58' 26.3"</t>
  </si>
  <si>
    <t>KM 35+950 to KM 36+000</t>
  </si>
  <si>
    <t>Imee Cabanting Aquino</t>
  </si>
  <si>
    <t>Entire Strcuture</t>
  </si>
  <si>
    <t>MN-012</t>
  </si>
  <si>
    <t>Villalon, Salvador Apelado</t>
  </si>
  <si>
    <t>14° 37' 36.8"</t>
  </si>
  <si>
    <t>120° 58' 25.9"</t>
  </si>
  <si>
    <t>Salvador A. Villalon</t>
  </si>
  <si>
    <t>MN-013</t>
  </si>
  <si>
    <t>Joseph Delfin Evangelista</t>
  </si>
  <si>
    <t>2630 Dagupan Ext., Brgy.164 Tondo Manila</t>
  </si>
  <si>
    <t>254-4691</t>
  </si>
  <si>
    <t>14° 37' 36.4"</t>
  </si>
  <si>
    <t>120° 58' 26.0"</t>
  </si>
  <si>
    <t>KM 36+000 to KM 36+050</t>
  </si>
  <si>
    <t>Delfin Evangelista Joseph</t>
  </si>
  <si>
    <t>MN-014</t>
  </si>
  <si>
    <t>Laurenciano, Elenette Hao</t>
  </si>
  <si>
    <t>2629 Dagupan Ext., Brgy.164 Zone.14 Tondo Manila</t>
  </si>
  <si>
    <t>0995-004-1589</t>
  </si>
  <si>
    <t>Laurencio, Warren Ordiano</t>
  </si>
  <si>
    <t>14° 37' 36.1"</t>
  </si>
  <si>
    <t>120° 58' 25.8"</t>
  </si>
  <si>
    <t>Elenette Hao Laurencio</t>
  </si>
  <si>
    <t>MN-015</t>
  </si>
  <si>
    <t>De Leon, Nestor Salao</t>
  </si>
  <si>
    <t>2626 Dagupan Ext., Brgy.164 Zone.14 Tondo Manila</t>
  </si>
  <si>
    <t>14° 37' 36.0"</t>
  </si>
  <si>
    <t>Nestor Salao De Leon</t>
  </si>
  <si>
    <t>Plywood/ GI</t>
  </si>
  <si>
    <t>MN-016</t>
  </si>
  <si>
    <t>De Leon, Rolando Talao</t>
  </si>
  <si>
    <t>2626 Dagupan Ext., Brgy.164 Tondo Manila</t>
  </si>
  <si>
    <t>14° 37' 35.4"</t>
  </si>
  <si>
    <t>at 50%</t>
  </si>
  <si>
    <t>Rolando Talao De Leon</t>
  </si>
  <si>
    <t>Screen/Spring of bed</t>
  </si>
  <si>
    <t>MN-017</t>
  </si>
  <si>
    <t>Salgado, Armando Narvaez</t>
  </si>
  <si>
    <t>2624 Dagupan Ext., Brgy.164 Tondo Manila</t>
  </si>
  <si>
    <t>14° 37' 34.8"</t>
  </si>
  <si>
    <t>120° 58' 25.6"</t>
  </si>
  <si>
    <t>Armando Narvaez Salagado</t>
  </si>
  <si>
    <t>Concrete Floor (Open Sapce)</t>
  </si>
  <si>
    <t>Concrete Slab : 2"x2"</t>
  </si>
  <si>
    <t>A.T=16sqm, Aff.A=8sqm</t>
  </si>
  <si>
    <t>MN-018</t>
  </si>
  <si>
    <t>14° 37' 25.2"</t>
  </si>
  <si>
    <t>120° 58' 24.5"</t>
  </si>
  <si>
    <t>KM 36+300 to KM 36+350</t>
  </si>
  <si>
    <t>(BASKETBALL COURT)</t>
  </si>
  <si>
    <t>Brgy.152 Manila</t>
  </si>
  <si>
    <t>MN-019</t>
  </si>
  <si>
    <t>Banzil, Elvira Montero</t>
  </si>
  <si>
    <t>723-D Interior.24 Ma. Guzon, Brgy.152 Tondo Manila</t>
  </si>
  <si>
    <t>14° 37' 24.3"</t>
  </si>
  <si>
    <t>120° 58' 24.4"</t>
  </si>
  <si>
    <t>MN-020</t>
  </si>
  <si>
    <t>Manonog, Elsa Piamonte</t>
  </si>
  <si>
    <t>2093 Dagupan Ext., Brgy.155 Tondo Manila</t>
  </si>
  <si>
    <t>0907-473-7475</t>
  </si>
  <si>
    <t>Manonog, David Allanes</t>
  </si>
  <si>
    <t>14° 37' 21.0"</t>
  </si>
  <si>
    <t>KM 36+450 to KM 36+500</t>
  </si>
  <si>
    <t>Maonog, David</t>
  </si>
  <si>
    <t>Marikina City</t>
  </si>
  <si>
    <t>David Allanes Manonog</t>
  </si>
  <si>
    <t>Marilao, Bulacan</t>
  </si>
  <si>
    <t>David Manonog</t>
  </si>
  <si>
    <t>Elsa Manonog</t>
  </si>
  <si>
    <t>MN-021</t>
  </si>
  <si>
    <t>Danilo Punla</t>
  </si>
  <si>
    <t>Juvy Punla</t>
  </si>
  <si>
    <t>Punla, Juvy Navalta</t>
  </si>
  <si>
    <t>0912-041-8595</t>
  </si>
  <si>
    <t>14° 37' 20.9"</t>
  </si>
  <si>
    <t>Punla, Danilo</t>
  </si>
  <si>
    <t>MN-022</t>
  </si>
  <si>
    <t>Rivera, Edna Sanchez</t>
  </si>
  <si>
    <t>2087 Dagupan Ext., Brgy.155 Tondo Manila</t>
  </si>
  <si>
    <t>Rivera,  Marcus Mariro</t>
  </si>
  <si>
    <t>Edna Sanchez Mariro</t>
  </si>
  <si>
    <t>MN-023</t>
  </si>
  <si>
    <t>14° 37' 20.5"</t>
  </si>
  <si>
    <t>120° 58' 23.9"</t>
  </si>
  <si>
    <t>MN-024</t>
  </si>
  <si>
    <t>Pangilinan, Lolita Manlangit</t>
  </si>
  <si>
    <t>2069 Daang Bakal Dagupan Ext., Brgy.155 Tondo Manila</t>
  </si>
  <si>
    <t>0908-303-6082</t>
  </si>
  <si>
    <t>14° 37' 19.6"</t>
  </si>
  <si>
    <t>Lolita Manlangit Pangilinan</t>
  </si>
  <si>
    <t>Post:4-pcs of 2"x4", w/ Plywood:4-pcs</t>
  </si>
  <si>
    <t>A.T=6sqm, Aff.A=3sqm</t>
  </si>
  <si>
    <t>MN-025</t>
  </si>
  <si>
    <t>Miranda, Marcela Codera</t>
  </si>
  <si>
    <t>2069 Daang Bakal Brgy.155 Tondo Manila</t>
  </si>
  <si>
    <t>14° 37' 19.4"</t>
  </si>
  <si>
    <t>Miranda, Marcela</t>
  </si>
  <si>
    <t>Marcela Codera Miranda</t>
  </si>
  <si>
    <t>NGO/POs</t>
  </si>
  <si>
    <t>NGO/POs, Neighbors</t>
  </si>
  <si>
    <t>Marcela Miranda</t>
  </si>
  <si>
    <t>Driver, Laborer</t>
  </si>
  <si>
    <t>MN-026</t>
  </si>
  <si>
    <t>Galsim, Joe Allen Bautista</t>
  </si>
  <si>
    <t>2047 Dagupan Ext., Brgy.159 Zone.14 Tondo Manila</t>
  </si>
  <si>
    <t>0936-996-0622</t>
  </si>
  <si>
    <t>14° 37' 17.9"</t>
  </si>
  <si>
    <t>120° 58' 23.7"</t>
  </si>
  <si>
    <t>KM 36+550 to KM 36+600</t>
  </si>
  <si>
    <t>KM 36+500 to KM 36+550</t>
  </si>
  <si>
    <t>Rosalina Bautista Galsim</t>
  </si>
  <si>
    <t>Extension:A.T=14.4sqm, Aff.A=0.6sqm with &lt; tha 20% Impact</t>
  </si>
  <si>
    <t>Comfort Room:A.T=2.4sqm, Aff.A=2.4sqm with 100% Impact</t>
  </si>
  <si>
    <t>Confort Room:Wall:3-pcs Plywood, Post:6-pcs of 2"x2" wood</t>
  </si>
  <si>
    <t>MN-027</t>
  </si>
  <si>
    <t>Alvarez, Rowena Misajon</t>
  </si>
  <si>
    <t>2045 Dagupan Ext., Brgy.159 Zone.14 Tondo Manila</t>
  </si>
  <si>
    <t>899-8922</t>
  </si>
  <si>
    <t>14° 37' 17.7"</t>
  </si>
  <si>
    <t>Rowena Misajon Alvarez</t>
  </si>
  <si>
    <t>Rowena Alvrarez</t>
  </si>
  <si>
    <t>MN-028</t>
  </si>
  <si>
    <t>Agnas, Leonila Balala</t>
  </si>
  <si>
    <t>2029 Dagupan Ext., Brgy.159 Tondo Manila</t>
  </si>
  <si>
    <t>14° 37' 16.8"</t>
  </si>
  <si>
    <t>Leonila Balala Agnas</t>
  </si>
  <si>
    <t>A.T=4.5sqm, Aff.A=4.5sqm</t>
  </si>
  <si>
    <t>POST:4-pcs of 2"x3", ROOF:3-pcs Pre-Painted GI Roof</t>
  </si>
  <si>
    <t>MN-029</t>
  </si>
  <si>
    <t>2035 Dagupan Ext., Brgy.159 Tondo Manila</t>
  </si>
  <si>
    <t>0907-218-2734</t>
  </si>
  <si>
    <t>14° 37' 17.0"</t>
  </si>
  <si>
    <t>Estuaria, Rosario</t>
  </si>
  <si>
    <t>Estuaria, Rosario Patio</t>
  </si>
  <si>
    <t>Esturia, Rosario Patio</t>
  </si>
  <si>
    <t>Rosaria, Patio Estuaria</t>
  </si>
  <si>
    <t>Reyes, Romeo Ampere</t>
  </si>
  <si>
    <t>2033 Daang Bakal St., Brgy.159 Zone.14 Tondo Manila</t>
  </si>
  <si>
    <t>14° 37' 16.7"</t>
  </si>
  <si>
    <t>120° 58' 23.5"</t>
  </si>
  <si>
    <t>Romeo Ampere Reyes</t>
  </si>
  <si>
    <t>Romeo Reyes</t>
  </si>
  <si>
    <t>MN-031</t>
  </si>
  <si>
    <t>2027 Daang Bakal Brgy.159 Zone.14 Tayuman Tondo Manila</t>
  </si>
  <si>
    <t>0932-135-5884</t>
  </si>
  <si>
    <t>120° 58' 23.6"</t>
  </si>
  <si>
    <t>Querubin, Rossano Sarabia</t>
  </si>
  <si>
    <t>Rossano Sarabia Querubin</t>
  </si>
  <si>
    <t>2023 Daang Bakal Brgy.159 Zone.14 Tondo Manila</t>
  </si>
  <si>
    <t>0910-095-4254</t>
  </si>
  <si>
    <t>14° 37' 16.3"</t>
  </si>
  <si>
    <t>Mallari, Rusteca</t>
  </si>
  <si>
    <t>MA-033</t>
  </si>
  <si>
    <t>MN-034</t>
  </si>
  <si>
    <t>Pineda, Ricardo Garcia</t>
  </si>
  <si>
    <t>0921-461-2257</t>
  </si>
  <si>
    <t>14° 37' 16.1"</t>
  </si>
  <si>
    <t>14° 37' 16.2"</t>
  </si>
  <si>
    <t>Pineda, Ricardo</t>
  </si>
  <si>
    <t>Ricardo Garcia Pineda</t>
  </si>
  <si>
    <t>Tolentino, Leonila Dela Cruz</t>
  </si>
  <si>
    <t>256-3909</t>
  </si>
  <si>
    <t>120° 58' 22.4"</t>
  </si>
  <si>
    <t>Tolentino, Leoniila</t>
  </si>
  <si>
    <t>Leonida Dela Cruz Tolentino</t>
  </si>
  <si>
    <t>Leonila Tolentino</t>
  </si>
  <si>
    <t>0946-462-9438</t>
  </si>
  <si>
    <t>Tagle, Lucera Taladro</t>
  </si>
  <si>
    <t>2011 Dagupan ext., St., Brgy.159 Zone 14 District 2 Tondo Manila</t>
  </si>
  <si>
    <t>0946-694--2081</t>
  </si>
  <si>
    <t>14° 37' 15.7"</t>
  </si>
  <si>
    <t>Tagle, Lucera</t>
  </si>
  <si>
    <t>Aklanon</t>
  </si>
  <si>
    <t>Kalibo, Aklan</t>
  </si>
  <si>
    <t>Lucera Taladro Tagle</t>
  </si>
  <si>
    <t>Lucera Tagle</t>
  </si>
  <si>
    <t>MN-037</t>
  </si>
  <si>
    <t>MN-038</t>
  </si>
  <si>
    <t>Lagman, Raquel Trajano</t>
  </si>
  <si>
    <t>2005 Daang Bakal Brgy.159 Zone.14 Tondo Manila</t>
  </si>
  <si>
    <t>2011 Dagupan ext., St., Brgy.159 Zone.14 District 2 Tondo Manila</t>
  </si>
  <si>
    <t>2015 Dagupan ext., St., Brgy.159 Zone.14 District 2 Tondo Manila</t>
  </si>
  <si>
    <t>2015 Daang Bakal Brgy.159 Zone.14 Tondo Manila</t>
  </si>
  <si>
    <t>255-8240</t>
  </si>
  <si>
    <t>14° 37' 15.3"</t>
  </si>
  <si>
    <t>Lagman, Raquel</t>
  </si>
  <si>
    <t>Certificate of LOT award</t>
  </si>
  <si>
    <t>Awarded</t>
  </si>
  <si>
    <t>Raquel Trajano Lagman</t>
  </si>
  <si>
    <t>Entire Sructure</t>
  </si>
  <si>
    <t>Remnants/Plywood</t>
  </si>
  <si>
    <t>Raquel Lagman</t>
  </si>
  <si>
    <t>MN-039</t>
  </si>
  <si>
    <t>Noel Quimoyog</t>
  </si>
  <si>
    <t>Quimoyog, Noel Gamao</t>
  </si>
  <si>
    <t>1999A Daang Bakal Brgy.159 Tayuman Tondo Manila</t>
  </si>
  <si>
    <t>14° 37' 14.9"</t>
  </si>
  <si>
    <t>120° 58' 23.0"</t>
  </si>
  <si>
    <t>Quimoyog, Noel</t>
  </si>
  <si>
    <t>Noel Gamao Quimoyog</t>
  </si>
  <si>
    <t>Domingo, Corazon Evangelista</t>
  </si>
  <si>
    <t>1999 Daang Bakal Brgy.159 Zone,14 Tondo Manila</t>
  </si>
  <si>
    <t>0949-910-5182</t>
  </si>
  <si>
    <t>14° 37' 15.0"</t>
  </si>
  <si>
    <t>Domingo, Corazon</t>
  </si>
  <si>
    <t>Corazon Evangelista Domingo</t>
  </si>
  <si>
    <t>Corazon Domingo</t>
  </si>
  <si>
    <t>Barangay Tanod</t>
  </si>
  <si>
    <t>MN-041</t>
  </si>
  <si>
    <t>Marcelo Paras</t>
  </si>
  <si>
    <t>Aguas, Janine Rosario Escalada</t>
  </si>
  <si>
    <t>0935-601-2302</t>
  </si>
  <si>
    <t>Paras, Marcelo</t>
  </si>
  <si>
    <t>Marcelo Salis Paras</t>
  </si>
  <si>
    <t>Lavarias,Rhainier Angelo Figueroa</t>
  </si>
  <si>
    <t>516-7822</t>
  </si>
  <si>
    <t>14° 37' 14.7"</t>
  </si>
  <si>
    <t>Lavarias, Rhainier Angelo</t>
  </si>
  <si>
    <t>Rhainier Angelo Figueroa Lavarias</t>
  </si>
  <si>
    <t>Rhainier Angelo Lavarias</t>
  </si>
  <si>
    <t>AGENCY</t>
  </si>
  <si>
    <t>Computer Shop (Owner)</t>
  </si>
  <si>
    <t>MN-042</t>
  </si>
  <si>
    <t>MN-043</t>
  </si>
  <si>
    <t>Trixie Guianan</t>
  </si>
  <si>
    <t>Lavarias, Reynaldo Requiz</t>
  </si>
  <si>
    <t>1997 Daang Bakal Dagupan Ext., Brgy.159 Zone 14 Tondo Manila</t>
  </si>
  <si>
    <t>Guinan, Trixie Lavarias</t>
  </si>
  <si>
    <t>14° 37' 14.6"</t>
  </si>
  <si>
    <t>Lavarias, Trixie</t>
  </si>
  <si>
    <t>Trixie Lavarias Guianan</t>
  </si>
  <si>
    <t>WALL:Plywood w/CHB one side plastered</t>
  </si>
  <si>
    <t>A.T=1.2sqm, Aff.A=1.2sqm</t>
  </si>
  <si>
    <t>Addun, Estella Escoto</t>
  </si>
  <si>
    <t>1997 Daang Bakal Brgy.159 Tayuman Tondo Manila</t>
  </si>
  <si>
    <t>Addun, Estella</t>
  </si>
  <si>
    <t>Estella Addun</t>
  </si>
  <si>
    <t>1993 Daang Bakal Brgy.159 Tayuman Tondo Manila</t>
  </si>
  <si>
    <t>Vendor, Apartment (Owner)</t>
  </si>
  <si>
    <t>MN-045</t>
  </si>
  <si>
    <t>MEMBER</t>
  </si>
  <si>
    <t>MN-048</t>
  </si>
  <si>
    <t>Shop Laborer</t>
  </si>
  <si>
    <t>Accountant</t>
  </si>
  <si>
    <t>Marilyn Singalawa</t>
  </si>
  <si>
    <t>Escoto, Ligaya Mauyao</t>
  </si>
  <si>
    <t>244-3885</t>
  </si>
  <si>
    <t>14° 37' 14.5"</t>
  </si>
  <si>
    <t>Escoto, Ligaya</t>
  </si>
  <si>
    <t>Ligaya Mauyao Escoto</t>
  </si>
  <si>
    <t>0933-403-6204</t>
  </si>
  <si>
    <t>14° 37' 14.4"</t>
  </si>
  <si>
    <t>Singalawa, Marilyn</t>
  </si>
  <si>
    <t>Tagalog, Pangalatok</t>
  </si>
  <si>
    <t>Marilyn Manuel Sinaglawa</t>
  </si>
  <si>
    <t>Singalawa, Marilyn Manuel</t>
  </si>
  <si>
    <t>Less than one year</t>
  </si>
  <si>
    <t>Evangelista, Rizalina Ballesteros</t>
  </si>
  <si>
    <t>0975-666-6824</t>
  </si>
  <si>
    <t>Sta. Ana, Marilou Ballesteros</t>
  </si>
  <si>
    <t>Sta. Ana, Marilou</t>
  </si>
  <si>
    <t>0977-829-4580</t>
  </si>
  <si>
    <t>Affordable Rent fee</t>
  </si>
  <si>
    <t>Marilou Ballesteros Sta. Ana</t>
  </si>
  <si>
    <t>Evangelista, Rizalina Ballsteros</t>
  </si>
  <si>
    <t>Sta. Ana, Marilou B.</t>
  </si>
  <si>
    <t>Cayabyab, Herminio Aquino</t>
  </si>
  <si>
    <t>1985 Daang Bakal Brgy.159 Tayuman, Tondo Manila</t>
  </si>
  <si>
    <t>0936-393-4481</t>
  </si>
  <si>
    <t>14° 37' 14.0"</t>
  </si>
  <si>
    <t>Cayabyab, Herminio</t>
  </si>
  <si>
    <t>Herminio Aquino Cayabyab</t>
  </si>
  <si>
    <t>A.T=0.9sqm; Aff.A=0.9sqm</t>
  </si>
  <si>
    <t>Herminio Cayabyab</t>
  </si>
  <si>
    <t>MN-049A</t>
  </si>
  <si>
    <t>1979 Daang Bakal Brgy.159 Tayuman, Tondo Manila</t>
  </si>
  <si>
    <t>0942-079-939</t>
  </si>
  <si>
    <t>Tantay, Robin Rey Lopez</t>
  </si>
  <si>
    <t>14° 37' 13.8"</t>
  </si>
  <si>
    <t>KM 36+700 to KM 36+750</t>
  </si>
  <si>
    <t>Tantay, Robin Rey</t>
  </si>
  <si>
    <t>Robin Rey Lopez Tantay</t>
  </si>
  <si>
    <t>Robin Rey Tantay</t>
  </si>
  <si>
    <t>Food Keeper</t>
  </si>
  <si>
    <t>Nica S. Freman</t>
  </si>
  <si>
    <t>Freman, Nica Sangcano</t>
  </si>
  <si>
    <t>MN-049B</t>
  </si>
  <si>
    <t>MN-050</t>
  </si>
  <si>
    <t>Sergote, Jesus Inasoria</t>
  </si>
  <si>
    <t>0997-178-9661</t>
  </si>
  <si>
    <t>14° 37' 14.2"</t>
  </si>
  <si>
    <t>120° 58' 22.8"</t>
  </si>
  <si>
    <t>Sergote, Jesus</t>
  </si>
  <si>
    <t>Pangasinan</t>
  </si>
  <si>
    <t>Jesus Inasoria Sergote</t>
  </si>
  <si>
    <t>Bank Collector</t>
  </si>
  <si>
    <t>1975 Daang Bakal Brgy.159 Tayuman, Tondo Manila</t>
  </si>
  <si>
    <t>0920-250-7452</t>
  </si>
  <si>
    <t>14° 37' 13.5"</t>
  </si>
  <si>
    <t>Timbang, Fernando</t>
  </si>
  <si>
    <t>Fernando Facondo Timbang</t>
  </si>
  <si>
    <t>Cash for Affected Structure</t>
  </si>
  <si>
    <t>Fernando Timbang</t>
  </si>
  <si>
    <t>MN-051B</t>
  </si>
  <si>
    <t>0912-297-1274</t>
  </si>
  <si>
    <t>14° 37' 13.6"</t>
  </si>
  <si>
    <t>Timbang, Charles Fer</t>
  </si>
  <si>
    <t>Tagaog</t>
  </si>
  <si>
    <t>Charles Fer Timbang</t>
  </si>
  <si>
    <t>MN-052</t>
  </si>
  <si>
    <t>Aurelia Ramirez</t>
  </si>
  <si>
    <t>Ramirez, Aurelia Lazaro</t>
  </si>
  <si>
    <t>1971 Daang Bakal Brgy.159 Zone.15 Tayuman Tondo Manila</t>
  </si>
  <si>
    <t>0932-705-3992</t>
  </si>
  <si>
    <t>14° 37' 13.0"</t>
  </si>
  <si>
    <t>120° 58' 23.2"</t>
  </si>
  <si>
    <t>Ramirez, Aurelia</t>
  </si>
  <si>
    <t>Aurelia Lazaro Ramirez</t>
  </si>
  <si>
    <t>MN-053</t>
  </si>
  <si>
    <t>1971 Daang Bakal Brgy.159 Zone.14 Tayuman Tondo Manila</t>
  </si>
  <si>
    <t>1967 Daang Bakal Brgy.159 Zone.14 Tayuman Tondo Manila</t>
  </si>
  <si>
    <t>0935-448-8187</t>
  </si>
  <si>
    <t>Ticar, Mercilita</t>
  </si>
  <si>
    <t>A.T=6sqm, Aff.A=6sqm</t>
  </si>
  <si>
    <t>Rice Producer</t>
  </si>
  <si>
    <t>MN-054</t>
  </si>
  <si>
    <t>Ticar, Rodolfo Del Pilar</t>
  </si>
  <si>
    <t>1967 Daang Bakal Brgy.159 Tayuman Tondo Manila</t>
  </si>
  <si>
    <t>253-2150</t>
  </si>
  <si>
    <t>14° 37' 12.8"</t>
  </si>
  <si>
    <t>Ticar, Rodolfo</t>
  </si>
  <si>
    <t>Rodolfo Del Pilar Ticar</t>
  </si>
  <si>
    <t>Rodolfo Ticar</t>
  </si>
  <si>
    <t>MN-055</t>
  </si>
  <si>
    <t>Baltazar, Milagros Quintans</t>
  </si>
  <si>
    <t>1963 Daang Bakal Brgy.159 Tayuman Tondo Manila</t>
  </si>
  <si>
    <t>518-0802/ 0933-108-8847</t>
  </si>
  <si>
    <t>Baltazar, Loreto</t>
  </si>
  <si>
    <t>Milagros Quintans Baltazar</t>
  </si>
  <si>
    <t>A.T=1.44sqm, Aff.A=1.44sqm</t>
  </si>
  <si>
    <t>PLYWOOD:2-pcs w/ 2m screen wire, WALL:4-pcs of 2"x2"</t>
  </si>
  <si>
    <t>Baltazar,Milagros Quintans</t>
  </si>
  <si>
    <t>Merly's Sari-sari Store</t>
  </si>
  <si>
    <t>Milagros Baltazar</t>
  </si>
  <si>
    <t>518-0802</t>
  </si>
  <si>
    <t>Loreto Baltazar</t>
  </si>
  <si>
    <t>MN-056</t>
  </si>
  <si>
    <t>Santos, Aira Bersamina</t>
  </si>
  <si>
    <t>1962 Daang Bakal Brgy.159 Tayuman Tondo Manila</t>
  </si>
  <si>
    <t>244-8024</t>
  </si>
  <si>
    <t>Santos, Soledad Bersamina</t>
  </si>
  <si>
    <t>Soledad Bersamina Santos</t>
  </si>
  <si>
    <t>FLOOR: Concrete, WALL:CHB not platered both sides</t>
  </si>
  <si>
    <t>A.T=5sqm, Aff.A=5sqm</t>
  </si>
  <si>
    <t>MN-057</t>
  </si>
  <si>
    <t>Nartea, Marita Dela Paz</t>
  </si>
  <si>
    <t>1959 Daang Bakal Brgy.159 Tayuman Tondo Manila</t>
  </si>
  <si>
    <t>0910-684-4781</t>
  </si>
  <si>
    <t>14° 37' 12.4"</t>
  </si>
  <si>
    <t>120° 58' 22.6"</t>
  </si>
  <si>
    <t>Marita Dela Paz</t>
  </si>
  <si>
    <t>Extension (Open Space)</t>
  </si>
  <si>
    <t>FLOOR:Concrete Slab of 2" thick</t>
  </si>
  <si>
    <t>WOOD:5-pcs of 2x8</t>
  </si>
  <si>
    <t>A.T=12sqm, Aff.A=15sqm</t>
  </si>
  <si>
    <t>Madriaga, Reverie Rose</t>
  </si>
  <si>
    <t>1951 Daang Bakal Brgy.159 Tayuman Tondo Manila</t>
  </si>
  <si>
    <t>Ubusan, Roseanna Macatngay</t>
  </si>
  <si>
    <t>14° 37' 12.1"</t>
  </si>
  <si>
    <t>Roseanna Macatangay Ubusan</t>
  </si>
  <si>
    <t>A.T=3sqm, Aff.A=3sqm</t>
  </si>
  <si>
    <t>WOOD:16-pcs of 2"x3"</t>
  </si>
  <si>
    <t>MN-059</t>
  </si>
  <si>
    <t>Austria, Encarnacion Laluan</t>
  </si>
  <si>
    <t>742-7510</t>
  </si>
  <si>
    <t>Encarnacion Laluan Austria</t>
  </si>
  <si>
    <t>FLOOR:Concrete slab w/ 2"thick, WALL:CHB pastered both side 3-pcs of 2"x3", 6-pcs of 2"x2", 2-pcs of 1"x2", and 3-pcs GI Shhet</t>
  </si>
  <si>
    <t>Guevarra, Redentor Salud</t>
  </si>
  <si>
    <t>1943 Daang Bakal Brgy.159 Tondo Manila</t>
  </si>
  <si>
    <t>Guevarra, Redentor</t>
  </si>
  <si>
    <t>Guevarra, Rredentor Salud</t>
  </si>
  <si>
    <t>MN-060</t>
  </si>
  <si>
    <t>Villareal, Mercedes Ignacio</t>
  </si>
  <si>
    <t>1947 Daang Bakal Brgy.159 Tondo Manila</t>
  </si>
  <si>
    <t>254-5433</t>
  </si>
  <si>
    <t>14° 37' 11.5"</t>
  </si>
  <si>
    <t>120° 58' 22.5"</t>
  </si>
  <si>
    <t>Mercedes Ignacio Villareal</t>
  </si>
  <si>
    <t>Steel Grills/Angle Bars on CHB/Concrete</t>
  </si>
  <si>
    <t>Stee Grills/ Steel Angle Bars</t>
  </si>
  <si>
    <t>A.T=8sqm, Aff.A=8sqm</t>
  </si>
  <si>
    <t>FLOOR:Concrete w/ 2"thick</t>
  </si>
  <si>
    <t>Steel Grills on CHB Concrete:1mx16m (HxL)</t>
  </si>
  <si>
    <t>whose NAME</t>
  </si>
  <si>
    <t>Ricardo San Juan Villareal</t>
  </si>
  <si>
    <t>MN-075</t>
  </si>
  <si>
    <t>MN-076</t>
  </si>
  <si>
    <t>KM 36+850 to KM 36+900</t>
  </si>
  <si>
    <t>14° 36' 59.3"</t>
  </si>
  <si>
    <t>120° 58' 19.5"</t>
  </si>
  <si>
    <t>MN-077</t>
  </si>
  <si>
    <t>MN-078</t>
  </si>
  <si>
    <t>MN-079</t>
  </si>
  <si>
    <t>MN-080</t>
  </si>
  <si>
    <t>MN-081</t>
  </si>
  <si>
    <t>MN-082</t>
  </si>
  <si>
    <t>MN-083</t>
  </si>
  <si>
    <t>(PARKING LOT - TUTUBAN PRIME STATION)</t>
  </si>
  <si>
    <t>MN-089</t>
  </si>
  <si>
    <t>Ortega, Marcelino Aluarte</t>
  </si>
  <si>
    <t>3192 Pilar St., Brgy.199 Tondo Manila</t>
  </si>
  <si>
    <t>14° 38' 10.4"</t>
  </si>
  <si>
    <t>Deep (drilled) wel with Jetmatic Pump</t>
  </si>
  <si>
    <t>MN-090</t>
  </si>
  <si>
    <t>Asis, Alex Magoncia</t>
  </si>
  <si>
    <t>230-2499</t>
  </si>
  <si>
    <t>Jose Magoncia Asis</t>
  </si>
  <si>
    <t>4x1.5 CHB no plaster</t>
  </si>
  <si>
    <t>Plywood Gate</t>
  </si>
  <si>
    <t>Permission Letter</t>
  </si>
  <si>
    <t>MN-109</t>
  </si>
  <si>
    <t>Macapagal,Michael Rapis</t>
  </si>
  <si>
    <t>3034 Dagupan ext., Brgy.184 Tondo Manila</t>
  </si>
  <si>
    <t>0998-479-8822</t>
  </si>
  <si>
    <t>Macapagal, Michael Rapis</t>
  </si>
  <si>
    <t>14° 38' 10.6"</t>
  </si>
  <si>
    <t>Macapagal, Michael</t>
  </si>
  <si>
    <t>Michael Rapis Macapagal</t>
  </si>
  <si>
    <t>Consruction</t>
  </si>
  <si>
    <t>Eduardo Angeles</t>
  </si>
  <si>
    <t>Michael Macapagal</t>
  </si>
  <si>
    <t>Lu, Ernesto Abarquez</t>
  </si>
  <si>
    <t>3814 Dagupan ext., Brgy.184 Gagalangin Tondo Manila</t>
  </si>
  <si>
    <t>14° 38' 09.7"</t>
  </si>
  <si>
    <t>KM 34+950 to KM 35+000</t>
  </si>
  <si>
    <t>Lu, Ernesto</t>
  </si>
  <si>
    <t>Evelyn Abarquez &amp; Ernesto Abarquez Lu</t>
  </si>
  <si>
    <t>Ernesto Abarquez Lu</t>
  </si>
  <si>
    <t>Structure serve primary source of income</t>
  </si>
  <si>
    <t>WALL:CHB w/ 2.1mH</t>
  </si>
  <si>
    <t>2-Compartments No Plaster both Side</t>
  </si>
  <si>
    <t>A.T=4.16sqm, Aff.A=4.16sqm</t>
  </si>
  <si>
    <t>Ernesto A. Lu</t>
  </si>
  <si>
    <t>MN-062</t>
  </si>
  <si>
    <t>Flores, Aurora Salud</t>
  </si>
  <si>
    <t>1937 Daang Bakal Brgy.159 Zone.14 Tayuman, Tondo Manila</t>
  </si>
  <si>
    <t>0917-485-7032</t>
  </si>
  <si>
    <t>120° 58' 22.2"</t>
  </si>
  <si>
    <t>Aurora Salud Flores</t>
  </si>
  <si>
    <t>Steel Grills/Angle Steel Bars on CHB/Concrete</t>
  </si>
  <si>
    <t>Steel Grills/Steel Angle Bar</t>
  </si>
  <si>
    <t>Steel Pipe of 2"x4" with Concrete</t>
  </si>
  <si>
    <t>Milagros Flores Domingo</t>
  </si>
  <si>
    <t>Garda, Maria Nila Mendoza</t>
  </si>
  <si>
    <t>1937 Daang Bakal Brgy.159 Tayuman, Tondo Manila</t>
  </si>
  <si>
    <t>0919-281-5077</t>
  </si>
  <si>
    <t>Flores, Margarita Lara</t>
  </si>
  <si>
    <t>14° 37' 10.7"</t>
  </si>
  <si>
    <t>120° 58' 22.1"</t>
  </si>
  <si>
    <t>Flores, Margarita</t>
  </si>
  <si>
    <t>0943-394-9092</t>
  </si>
  <si>
    <t>Margarita Lara Fores</t>
  </si>
  <si>
    <t>Margarita Lara Flores</t>
  </si>
  <si>
    <t>MN-064</t>
  </si>
  <si>
    <t>Halili, Johnbert Arsolon</t>
  </si>
  <si>
    <t>1929 Daang Bakal Brgy.156 Tayuman, Tondo Manila</t>
  </si>
  <si>
    <t>0906-375-4152</t>
  </si>
  <si>
    <t>120° 58' 22.3"</t>
  </si>
  <si>
    <t>KM 36+800 to KM 36+850</t>
  </si>
  <si>
    <t>Halili, Johnbert</t>
  </si>
  <si>
    <t>Johnbert Arsolon Halili</t>
  </si>
  <si>
    <t>For house repair</t>
  </si>
  <si>
    <t>Johnbert Halili</t>
  </si>
  <si>
    <t>Sevilla Jr. Nelson Agustin</t>
  </si>
  <si>
    <t>Fernandez, Teresita Dimalanta</t>
  </si>
  <si>
    <t>14° 37' 09.8"</t>
  </si>
  <si>
    <t>Fernandez, Teresita</t>
  </si>
  <si>
    <t>Nelson Agustin Sevilla Jr</t>
  </si>
  <si>
    <t>Nelson Sevilla Jr</t>
  </si>
  <si>
    <t>Open Area</t>
  </si>
  <si>
    <t>A.T=16sqm, Aff.A=16sqm</t>
  </si>
  <si>
    <t>Teresita Dimanlanta Fernandez</t>
  </si>
  <si>
    <t>Sevilla Jr.Nelson Agustin</t>
  </si>
  <si>
    <t>Ocampo, Yolanda Evangelista</t>
  </si>
  <si>
    <t>1913 Dagupan Ext., Brgy.156 Tayuman, Tondo Manila</t>
  </si>
  <si>
    <t>0932-205-8678</t>
  </si>
  <si>
    <t>Ocampo, Efren Dela Cruz</t>
  </si>
  <si>
    <t>14° 37' 09.4"</t>
  </si>
  <si>
    <t>Ocampo, Efren</t>
  </si>
  <si>
    <t>Efren Dela Cruz Ocampo</t>
  </si>
  <si>
    <t>Dagupan Ext., Brgy.150 Tayuman Tondo Manila</t>
  </si>
  <si>
    <t>Efren D.C. Ocampo</t>
  </si>
  <si>
    <t>Efren Ocampo</t>
  </si>
  <si>
    <t>Ground Crew</t>
  </si>
  <si>
    <t>MN-067</t>
  </si>
  <si>
    <t>14° 37' 09.5"</t>
  </si>
  <si>
    <t>Sevilla, Nelson Jr</t>
  </si>
  <si>
    <t>Open Area (2-Area)</t>
  </si>
  <si>
    <t>FLOOR:Concrete 6"thickness</t>
  </si>
  <si>
    <t>A.T=16ssqm, Aff.A=16sqm</t>
  </si>
  <si>
    <t>NBI Agent, Apartment (Owner)</t>
  </si>
  <si>
    <t>MN-068</t>
  </si>
  <si>
    <t>Roxas, Teresita Mesa</t>
  </si>
  <si>
    <t>1915 Daang Bakal Brgy.156 Tayuman, Tondo Manila</t>
  </si>
  <si>
    <t>0926-988-5588</t>
  </si>
  <si>
    <t>Roxas, Teresita</t>
  </si>
  <si>
    <t>Teresita Mesa Roxas</t>
  </si>
  <si>
    <t>Near Original Province</t>
  </si>
  <si>
    <t>Teresita Roxas</t>
  </si>
  <si>
    <t>MN-069</t>
  </si>
  <si>
    <t>Uson, Ramon Mendoza</t>
  </si>
  <si>
    <t>523-1329 / 0915-783-9880</t>
  </si>
  <si>
    <t>14° 37' 09.1"</t>
  </si>
  <si>
    <t>Uson, Ramon</t>
  </si>
  <si>
    <t>Ramon Mendoza Uson</t>
  </si>
  <si>
    <t>Ramon Uson</t>
  </si>
  <si>
    <t>Admin</t>
  </si>
  <si>
    <t>MN-070</t>
  </si>
  <si>
    <t>Holgado, Lilia Torres</t>
  </si>
  <si>
    <t>1909 Daang Bakal Brgy.156 Tayuman, Tondo Manila</t>
  </si>
  <si>
    <t>935-85454</t>
  </si>
  <si>
    <t>14° 37' 09.2"</t>
  </si>
  <si>
    <t>Holgado, Lilia</t>
  </si>
  <si>
    <t>Sta. Mesa, Manila</t>
  </si>
  <si>
    <t>Lilia Torres Holgado</t>
  </si>
  <si>
    <t>Entire Sttructure</t>
  </si>
  <si>
    <t>FLOOR:Concrete slab w/ 2"thick</t>
  </si>
  <si>
    <t>A.T=4sqm, Aff.A=2sqm</t>
  </si>
  <si>
    <t>Lilia Holgado</t>
  </si>
  <si>
    <t>HR Personelle</t>
  </si>
  <si>
    <t>MN-071</t>
  </si>
  <si>
    <t>Guevarra, Efren Herrera</t>
  </si>
  <si>
    <t>1905 Daang Bakal Brgy.156 Zone.14 Tayuman, Tondo Manila</t>
  </si>
  <si>
    <t>253-3607</t>
  </si>
  <si>
    <t>14° 37' 08.7"</t>
  </si>
  <si>
    <t>Guevarra, Efren</t>
  </si>
  <si>
    <t>Efren Herrera Guevarra</t>
  </si>
  <si>
    <t>Proximity to work</t>
  </si>
  <si>
    <t>Efren Guevarra</t>
  </si>
  <si>
    <t>MN-072</t>
  </si>
  <si>
    <t>14° 37' 08.4"</t>
  </si>
  <si>
    <t>Guevarra, Eleazar</t>
  </si>
  <si>
    <t>0927-860-9272</t>
  </si>
  <si>
    <t>Eleazar Guevarra</t>
  </si>
  <si>
    <t>MN-073</t>
  </si>
  <si>
    <t>(CONTRERAS REY PAZ)</t>
  </si>
  <si>
    <t>MN-074</t>
  </si>
  <si>
    <t>Marzalado, Maria Paz Glem</t>
  </si>
  <si>
    <t>1901 Daang Bakal Brgy.156 Tayuman, Tondo Manila</t>
  </si>
  <si>
    <t>14° 37' 07.6"</t>
  </si>
  <si>
    <t>Marzalado, Maria Paz</t>
  </si>
  <si>
    <t>Maria Paz Galero Marzalado</t>
  </si>
  <si>
    <t>Near Livellihood</t>
  </si>
  <si>
    <t>Sta. Maria, Bulacan</t>
  </si>
  <si>
    <t>Relative</t>
  </si>
  <si>
    <t>Maria Paz Marzalado</t>
  </si>
  <si>
    <t>MN-084</t>
  </si>
  <si>
    <t>Remodaro, Reya Yabut</t>
  </si>
  <si>
    <t>3192 Interior.42 Pilar St., Brgy.199 Zone.18 Tondo Manila</t>
  </si>
  <si>
    <t>0907-198-9455</t>
  </si>
  <si>
    <t>Villanueva, Roberto Yabut</t>
  </si>
  <si>
    <t>Pilar Hermosa Homeowner Association</t>
  </si>
  <si>
    <t>Elizabeth Yabut Remodaro</t>
  </si>
  <si>
    <t>Roberto Villanueva</t>
  </si>
  <si>
    <t>MN-085</t>
  </si>
  <si>
    <t>Segundino Yabut Jr</t>
  </si>
  <si>
    <t>0907-332-2095</t>
  </si>
  <si>
    <t>14° 38' 11.6"</t>
  </si>
  <si>
    <t>14° 38' 11.5"</t>
  </si>
  <si>
    <t>Villanueva, Roberto</t>
  </si>
  <si>
    <t>Segundino Dimalanta Yabut jr</t>
  </si>
  <si>
    <t>A.T=4sqm,Aff.T=4sqm</t>
  </si>
  <si>
    <t>Francisco Jr, Santos Dimatanggal</t>
  </si>
  <si>
    <t>3192 Interior.44 Pilar St., Brgy.199 Zone.18 Manuguit Tondo Manila</t>
  </si>
  <si>
    <t>0920-822-5228</t>
  </si>
  <si>
    <t>Francisco Jr, Santos</t>
  </si>
  <si>
    <t>Borneo DeLos Santos Francisco</t>
  </si>
  <si>
    <t>Borneo Delos Santos Francisco</t>
  </si>
  <si>
    <t>Santos Franciisco Jr</t>
  </si>
  <si>
    <t>Santos Francisco Jr</t>
  </si>
  <si>
    <t>Edencio Francisco</t>
  </si>
  <si>
    <t>Francisco, Santos Dimatanggal</t>
  </si>
  <si>
    <t>3192 Interior.44 Pilar St., Brgy.199 ManuguitTondo Manila</t>
  </si>
  <si>
    <t>Francisco, Edencio Angeles</t>
  </si>
  <si>
    <t>Francisco, Edencio</t>
  </si>
  <si>
    <t>0975-886-7058</t>
  </si>
  <si>
    <t>Edencio Francisco Jacinto</t>
  </si>
  <si>
    <t>Extension Structure</t>
  </si>
  <si>
    <t>Francisco, Reneboy Magbanua</t>
  </si>
  <si>
    <t>Devilla, Emelen Angeles</t>
  </si>
  <si>
    <t>3192 Interior.32 Pilar St., Brgy.199 Tondo Manila</t>
  </si>
  <si>
    <t>3192 Interior.44 Pilar St., Brgy.199 Manuguit Tondo Manila</t>
  </si>
  <si>
    <t>0933-910-0159</t>
  </si>
  <si>
    <t>Devilla, Emelen Aneles</t>
  </si>
  <si>
    <t>14° 38' 11.4"</t>
  </si>
  <si>
    <t>Devilla, Emelen</t>
  </si>
  <si>
    <t>Borneo DeLos Santos Francisco (+)</t>
  </si>
  <si>
    <t>Efren Solana Angeles (+)</t>
  </si>
  <si>
    <t>Wanted Relocation</t>
  </si>
  <si>
    <t>Emelen Devilla</t>
  </si>
  <si>
    <t>MN-087</t>
  </si>
  <si>
    <t>Poblete, Eduardo Baoc</t>
  </si>
  <si>
    <t>3192 Interior.31 Pilar St., Brgy.199 Zone.18 Tondo Manila</t>
  </si>
  <si>
    <t>0997-648-7039</t>
  </si>
  <si>
    <t>14° 38' 10.8"</t>
  </si>
  <si>
    <t>Poblete, Eduardo</t>
  </si>
  <si>
    <t>Teofila Etang Baoc (+) / Eduardo Baoc Poblete</t>
  </si>
  <si>
    <t>Langkiwa, Laguna</t>
  </si>
  <si>
    <t>Eduardo Poblete</t>
  </si>
  <si>
    <t>Buenaventura, Angelito Calara</t>
  </si>
  <si>
    <t>3192 Interior.29 Pilar St., Brgy.199 Tondo Manila</t>
  </si>
  <si>
    <t>0999-170-3772</t>
  </si>
  <si>
    <t>14° 38' 10.7"</t>
  </si>
  <si>
    <t>Buenaventura, Angelito</t>
  </si>
  <si>
    <t>Angelito Buenaventura</t>
  </si>
  <si>
    <t>Angelito Calara Buenaventura</t>
  </si>
  <si>
    <t>Manalo, Elvira Borbe</t>
  </si>
  <si>
    <t>MN-091</t>
  </si>
  <si>
    <t>3192 Interio.24 Pilar St., Brgy.199 Tondo Manila</t>
  </si>
  <si>
    <t>237-5584</t>
  </si>
  <si>
    <t>14° 38' 09.4"</t>
  </si>
  <si>
    <t>KM 35+050 to KM 35+100</t>
  </si>
  <si>
    <t>Manalo, Elvira</t>
  </si>
  <si>
    <t>Elvira Bordo Manalo</t>
  </si>
  <si>
    <t>Elvira Manalo</t>
  </si>
  <si>
    <t>MN-092</t>
  </si>
  <si>
    <t>MN-093</t>
  </si>
  <si>
    <t>Jose Ruel Jornales</t>
  </si>
  <si>
    <t>Gravoso, Jocelyn Rodilla</t>
  </si>
  <si>
    <t>3192 Interior.24 Pilar St., Brgy.199 Tondo Manila</t>
  </si>
  <si>
    <t>3192 Interior.21 Pilar St., Brgy.199 Zone.18 Tondo Manila</t>
  </si>
  <si>
    <t>3165 Interior.31 Pilar St., Brgy.199 Tondo Manila</t>
  </si>
  <si>
    <t>0947-848-5850</t>
  </si>
  <si>
    <t>14° 38' 08.9"</t>
  </si>
  <si>
    <t>KM 35+100 to KM 35+150</t>
  </si>
  <si>
    <t>Gravoso, Jocelyn</t>
  </si>
  <si>
    <t>Jocelyn Rodilla Gravoso</t>
  </si>
  <si>
    <t>Mila Bugnot Mendiola</t>
  </si>
  <si>
    <t>Laguna</t>
  </si>
  <si>
    <t>Unknow Site</t>
  </si>
  <si>
    <t>Jocelyn Gravoso</t>
  </si>
  <si>
    <t>980 Q. Hermosa St., Brgy.199 Tondo Manila</t>
  </si>
  <si>
    <t>0947-827-9027</t>
  </si>
  <si>
    <t>14° 38' 08.1"</t>
  </si>
  <si>
    <t>Jornales, Jose Ruel</t>
  </si>
  <si>
    <t>Pipe</t>
  </si>
  <si>
    <t>MN-094</t>
  </si>
  <si>
    <t>Vicente, Edelberto Jornales</t>
  </si>
  <si>
    <t>3147 Interior.12 Pilar St., Brgy.199 Tondo Manila</t>
  </si>
  <si>
    <t>742-2379</t>
  </si>
  <si>
    <t>14° 38' 07.6"</t>
  </si>
  <si>
    <t>Edelberto Jornales Vicente</t>
  </si>
  <si>
    <t>FLOOR:Concrete Slab w/ 2"thick</t>
  </si>
  <si>
    <t>A.T=32sqm, Aff.A=32sqm</t>
  </si>
  <si>
    <t>MN-095</t>
  </si>
  <si>
    <t>Villaroman, George Talavera</t>
  </si>
  <si>
    <t>3165 Interior.12 Pilar St., Brgy.199 Tondo Manila</t>
  </si>
  <si>
    <t>0949-954-7560</t>
  </si>
  <si>
    <t>14° 38' 08.8"</t>
  </si>
  <si>
    <t>George Talavera Villaroman</t>
  </si>
  <si>
    <t>MN-096</t>
  </si>
  <si>
    <t>3165 Interior.16 Pilar St., Brgy.199 Tondo Manila</t>
  </si>
  <si>
    <t>0999-520-4527</t>
  </si>
  <si>
    <t>Yusi, Edgar Tirona</t>
  </si>
  <si>
    <t>Edgar Tirona Yusi</t>
  </si>
  <si>
    <t>Recycle Cans</t>
  </si>
  <si>
    <t>MN-097</t>
  </si>
  <si>
    <t>Pacampara, Lilibeth Maestre</t>
  </si>
  <si>
    <t>61 Daang Bakal Brgy.199 Tondo Manila</t>
  </si>
  <si>
    <t>0939-270-3542</t>
  </si>
  <si>
    <t>Pacampara, Ronnie Elizalde</t>
  </si>
  <si>
    <t>14° 38' 08.4"</t>
  </si>
  <si>
    <t>Ronnie Elizalde Pacampara</t>
  </si>
  <si>
    <t>MN-098</t>
  </si>
  <si>
    <t>MN-099</t>
  </si>
  <si>
    <t>Angeles, Antonio Pinto</t>
  </si>
  <si>
    <t>3192 Interior.22, Pilar St., Brgy.199 Manuguit Tondo Manila</t>
  </si>
  <si>
    <t>0922-419-7600</t>
  </si>
  <si>
    <t>Angeles, Antonio</t>
  </si>
  <si>
    <t>Antonio Pinto Angeles</t>
  </si>
  <si>
    <t>Antonio Angeles</t>
  </si>
  <si>
    <t>MN-100</t>
  </si>
  <si>
    <t>3192 Interior.20, Pilar St., Brgy.199 Manuguit Tondo Manila</t>
  </si>
  <si>
    <t>0920-203-4340</t>
  </si>
  <si>
    <t>Chicken Cage</t>
  </si>
  <si>
    <t>Concrete w/ 3-pcs CHB</t>
  </si>
  <si>
    <t>A.T=1.65sqm, Aff.A=1.65sqm</t>
  </si>
  <si>
    <t>MN-101</t>
  </si>
  <si>
    <t>Jacinto, Vicente Espinilla</t>
  </si>
  <si>
    <t>14° 38' 10.9"</t>
  </si>
  <si>
    <t>14° 38' 09.2"</t>
  </si>
  <si>
    <t>Vicente Espinilla Jacinto</t>
  </si>
  <si>
    <t>Steel Grills/Steel Angle Bars</t>
  </si>
  <si>
    <t>MN-102</t>
  </si>
  <si>
    <t>Aluarte, Alejandro Dela Cruz</t>
  </si>
  <si>
    <t>14° 38' 09.5"</t>
  </si>
  <si>
    <t>MN-104</t>
  </si>
  <si>
    <t>MN-105</t>
  </si>
  <si>
    <t>Dennis Ravina</t>
  </si>
  <si>
    <t>Maria Edelmina Ravina</t>
  </si>
  <si>
    <t>Carmina Miguel</t>
  </si>
  <si>
    <t>Adelaida Ramos</t>
  </si>
  <si>
    <t>Constancio Sta. Juana</t>
  </si>
  <si>
    <t>MN-107A</t>
  </si>
  <si>
    <t>Joyce Anne Antenor</t>
  </si>
  <si>
    <t>MN-107B</t>
  </si>
  <si>
    <t>Ernesto Parungao</t>
  </si>
  <si>
    <t>MN-107D</t>
  </si>
  <si>
    <t>Corazon Tiongson</t>
  </si>
  <si>
    <t>MN-107E</t>
  </si>
  <si>
    <t>Ariel Lorenzo</t>
  </si>
  <si>
    <t>MN-107F</t>
  </si>
  <si>
    <t>Jonel Encarnacion</t>
  </si>
  <si>
    <t>Christina Parungao</t>
  </si>
  <si>
    <t>Ceferino Alejandro</t>
  </si>
  <si>
    <t>MN-107G</t>
  </si>
  <si>
    <t>Roberto Heran</t>
  </si>
  <si>
    <t>Lorna Heran</t>
  </si>
  <si>
    <t>MN-107H</t>
  </si>
  <si>
    <t>Reynaldo Parungao</t>
  </si>
  <si>
    <t>Aurora Parungao</t>
  </si>
  <si>
    <t>MN-107I</t>
  </si>
  <si>
    <t>Josefino Parungao</t>
  </si>
  <si>
    <t>Rider Techinician</t>
  </si>
  <si>
    <t>Ravina, Maria Edelmina Gimenes</t>
  </si>
  <si>
    <t>2978 Dagupan Ext., Brgy.184 Gagalangin Tondo Manila</t>
  </si>
  <si>
    <t>0932-205-5748</t>
  </si>
  <si>
    <t>Ravina, Dennis Adrigado</t>
  </si>
  <si>
    <t>Ravina, Dennis</t>
  </si>
  <si>
    <t>Miguel, Carmina Batardo</t>
  </si>
  <si>
    <t>3165 Interior.18 Pilar St., Brgy.199 Tondo Manila</t>
  </si>
  <si>
    <t>0919-363-1343</t>
  </si>
  <si>
    <t>Miguel, Carmina</t>
  </si>
  <si>
    <t>Miguel, Carmina Butardo</t>
  </si>
  <si>
    <t>Assistant Accountant</t>
  </si>
  <si>
    <t>Ramos, Adelaida</t>
  </si>
  <si>
    <t>3050 Dagupan Ext., Brgy.184 Zone.16 Gagalangin Tondo Manila</t>
  </si>
  <si>
    <t>0907-800-6488</t>
  </si>
  <si>
    <t>Ramos, Adelaida Tariman</t>
  </si>
  <si>
    <t>14° 38' 11.7"</t>
  </si>
  <si>
    <t>Adelaida Tariman Ramos</t>
  </si>
  <si>
    <t>Sta. Juana, Constacio Anching</t>
  </si>
  <si>
    <t>3046 Dagupan Ext., Brgy.184 Gagalangin Tondo Manila</t>
  </si>
  <si>
    <t>0922-357-4637</t>
  </si>
  <si>
    <t>Sta. Juana, Constancio</t>
  </si>
  <si>
    <t>Constancio Anching Sta. Juana</t>
  </si>
  <si>
    <t>House Maid,4P's Beneficiaries</t>
  </si>
  <si>
    <t>Artenor, Joyce Anne Parungao</t>
  </si>
  <si>
    <t>3042 Dagupan ext., Brgy.184 Tondo Manila</t>
  </si>
  <si>
    <t>0932-9716374</t>
  </si>
  <si>
    <t>Antenor, Joyce Anne</t>
  </si>
  <si>
    <t>Joyce Anne Parungao Antenor</t>
  </si>
  <si>
    <t>Parungao, Ernesto Mendrea</t>
  </si>
  <si>
    <t>3042 Dagupan ext., Brgy.184 Gagalangin Tondo Manila</t>
  </si>
  <si>
    <t>0923-130-5111</t>
  </si>
  <si>
    <t>Parungao, Ernesto</t>
  </si>
  <si>
    <t>Ernesto Mendoza Parungao</t>
  </si>
  <si>
    <t>Tiongson, Corazon Parungao</t>
  </si>
  <si>
    <t>Tiongson, Corazon</t>
  </si>
  <si>
    <t>Lorenzo, Amelia Parungao</t>
  </si>
  <si>
    <t>0907-287-1833</t>
  </si>
  <si>
    <t>Lorenzo, Ariel dela Cruz</t>
  </si>
  <si>
    <t>Lorenzo, Ariel</t>
  </si>
  <si>
    <t>Ariel Dela Cruz Lorenzo</t>
  </si>
  <si>
    <t>Encarnacion, Jonel Parungao</t>
  </si>
  <si>
    <t>0907-967-7255</t>
  </si>
  <si>
    <t>Encarnacion, Jonel</t>
  </si>
  <si>
    <t>Jonel Parungao</t>
  </si>
  <si>
    <t>Alejandro, Ceferino Parungao</t>
  </si>
  <si>
    <t>Parungao, Christina Galenato</t>
  </si>
  <si>
    <t>Parungao, Christina</t>
  </si>
  <si>
    <t>Christina Galenato Parungao</t>
  </si>
  <si>
    <t>Heran, Lorna Parungao</t>
  </si>
  <si>
    <t>0909-937-7322</t>
  </si>
  <si>
    <t>Heran, Roberto Gingco</t>
  </si>
  <si>
    <t>Heran, Roberto</t>
  </si>
  <si>
    <t>Lorna Parungao Heran</t>
  </si>
  <si>
    <t>Parungao, Aurora Valdez</t>
  </si>
  <si>
    <t>0921-269-3000</t>
  </si>
  <si>
    <t>Parungao, Reynaldo</t>
  </si>
  <si>
    <t>Parungao, Reynaldo Galinato</t>
  </si>
  <si>
    <t>Reynaldo Galinato Parungao</t>
  </si>
  <si>
    <t>Parungao, Josefino Mendoza</t>
  </si>
  <si>
    <t>0907-989-7671</t>
  </si>
  <si>
    <t>Parungao, Josefino</t>
  </si>
  <si>
    <t>Josefino Mendoza Parungao</t>
  </si>
  <si>
    <t>Gi</t>
  </si>
  <si>
    <t>0929-764-6339</t>
  </si>
  <si>
    <t>de Vera, Clarita Raquin</t>
  </si>
  <si>
    <t>14° 38' 11.0"</t>
  </si>
  <si>
    <t>de Vera, Roaquin</t>
  </si>
  <si>
    <t>0926-764-6339</t>
  </si>
  <si>
    <t>Clarita Roaquin de Vera</t>
  </si>
  <si>
    <t>Clarita de Vera</t>
  </si>
  <si>
    <t>Cabeltis Ramil ramos</t>
  </si>
  <si>
    <t>Cabeltis, Ramil</t>
  </si>
  <si>
    <t>Raul Adrales Cabeltes / Ramil Ramos Cabeltes</t>
  </si>
  <si>
    <t>Bldg.30 Balut Tondo</t>
  </si>
  <si>
    <t>Owned Idea and Research/Neighbor</t>
  </si>
  <si>
    <t>Singe</t>
  </si>
  <si>
    <t>Cabeltis, Ramil Ramos</t>
  </si>
  <si>
    <t>Laborer, Apartment (Owner)</t>
  </si>
  <si>
    <t>MN-111A</t>
  </si>
  <si>
    <t>Mendoza, Florentina Menesis</t>
  </si>
  <si>
    <t>3026 Dagupan ext., Brgy.184 Gagalangin Tondo Manila</t>
  </si>
  <si>
    <t>0915-782-8053</t>
  </si>
  <si>
    <t>14° 38' 10.2"</t>
  </si>
  <si>
    <t>Mendoza, Florentina</t>
  </si>
  <si>
    <t>Florentina Menesis Mendoza</t>
  </si>
  <si>
    <t>Florentina Mendoza</t>
  </si>
  <si>
    <t>Data Analyst</t>
  </si>
  <si>
    <t>MN-111B</t>
  </si>
  <si>
    <t>Bulaon, Amalia Matchitar</t>
  </si>
  <si>
    <t>0949-304-1650</t>
  </si>
  <si>
    <t>Amalia Machitar Bulaon</t>
  </si>
  <si>
    <t>CHB Concrete Wall</t>
  </si>
  <si>
    <t>A.T=2.25sqm, Aff.A=2.25sqm</t>
  </si>
  <si>
    <t>Tamayo, Eloisa, Samonte</t>
  </si>
  <si>
    <t>0949-300-5330</t>
  </si>
  <si>
    <t>Tamayo, Omari Manansala</t>
  </si>
  <si>
    <t>Tamayo, Omari</t>
  </si>
  <si>
    <t>Eloisa Samonte Tamayo</t>
  </si>
  <si>
    <t>Tamayo, Eloisa Samonte</t>
  </si>
  <si>
    <t>Eloisa S. Tamayo</t>
  </si>
  <si>
    <t>Omar Tamayo</t>
  </si>
  <si>
    <t>Ponce, Anxencia Granados</t>
  </si>
  <si>
    <t>14° 38' 09.8"</t>
  </si>
  <si>
    <t>Ponce, Anxencia</t>
  </si>
  <si>
    <t>proximity to livelihood</t>
  </si>
  <si>
    <t>Auxencia Granados Ponce</t>
  </si>
  <si>
    <t>Ponce, Anxecia Granados</t>
  </si>
  <si>
    <t>Anxencia G. Ponce</t>
  </si>
  <si>
    <t>Anxencia Ponce</t>
  </si>
  <si>
    <t>MN-115</t>
  </si>
  <si>
    <t>Garcia, Africa Turla</t>
  </si>
  <si>
    <t>516-4036</t>
  </si>
  <si>
    <t>Garcia, Africa</t>
  </si>
  <si>
    <t>Mercilina Hipolito Gracia (Sister-in-Law)</t>
  </si>
  <si>
    <t>Africa Turla Garcia</t>
  </si>
  <si>
    <t>WALL:CHB w/ 2mH</t>
  </si>
  <si>
    <t>2-Compartments</t>
  </si>
  <si>
    <t>A.T=4sqm, Aff.A=4sqm</t>
  </si>
  <si>
    <t>Africa Garcia</t>
  </si>
  <si>
    <t>Party Needs Business</t>
  </si>
  <si>
    <t>Meneses, Cesar Salazar</t>
  </si>
  <si>
    <t>Meneses, Cesar</t>
  </si>
  <si>
    <t>From: Gleceria Salazar Meneses</t>
  </si>
  <si>
    <t>MN-117</t>
  </si>
  <si>
    <t>Dimanlig, Cecilia Culandia</t>
  </si>
  <si>
    <t>0927-927-0034</t>
  </si>
  <si>
    <t>14° 38' 09.3"</t>
  </si>
  <si>
    <t>Cecilia Culandina Dimanlig</t>
  </si>
  <si>
    <t>4x1.5CHB no plaster</t>
  </si>
  <si>
    <t>Extension &amp; Comfort Room</t>
  </si>
  <si>
    <t>C.R:WALL:CHB Platered both side w/ 2.5mH</t>
  </si>
  <si>
    <t>EXTENSION:GI Sheet:8-pcs, WOOD: 4-pcs of 2"x3" and 10-pcs of 2"x2"</t>
  </si>
  <si>
    <t>MN-118</t>
  </si>
  <si>
    <t>Santos, Adrian Perez</t>
  </si>
  <si>
    <t>255-9163</t>
  </si>
  <si>
    <t>14° 38' 08.7"</t>
  </si>
  <si>
    <t>Adrian Perez Santos</t>
  </si>
  <si>
    <t>Remegio Perez Santos</t>
  </si>
  <si>
    <t>MN-119</t>
  </si>
  <si>
    <t>2994 Dagupan ext., Brgy.184 Gagalangin Tondo Manila</t>
  </si>
  <si>
    <t>353-4920</t>
  </si>
  <si>
    <t>Porquez, Arsenia Cruz</t>
  </si>
  <si>
    <t>14° 38' 08.2"</t>
  </si>
  <si>
    <t>Cruz, Julieta Reyes</t>
  </si>
  <si>
    <t>Cruz, Christopher Reyes</t>
  </si>
  <si>
    <t>Cruz, Christopher</t>
  </si>
  <si>
    <t>Arsenia Cruz Perez</t>
  </si>
  <si>
    <t>Christopher Cruz</t>
  </si>
  <si>
    <t>MN-120</t>
  </si>
  <si>
    <t>Nenita Gimenez</t>
  </si>
  <si>
    <t>Gimenez, Nenita Caparaz</t>
  </si>
  <si>
    <t>2990 Dagupan ext., Brgy.184 Gagalangin Tondo Manila</t>
  </si>
  <si>
    <t>0923-471-2011</t>
  </si>
  <si>
    <t>14° 38' 08.3"</t>
  </si>
  <si>
    <t>Gimenez, Nenita</t>
  </si>
  <si>
    <t>Don’t want to go anywhere</t>
  </si>
  <si>
    <t>MN-121</t>
  </si>
  <si>
    <t>Marco, Norma Soriaga</t>
  </si>
  <si>
    <t>2980 Dagupan ext., Brgy.184 Gagalangin Tondo Manila</t>
  </si>
  <si>
    <t>0907-666-8195</t>
  </si>
  <si>
    <t>14° 38' 07.7"</t>
  </si>
  <si>
    <t>Elvira Cierra Datur</t>
  </si>
  <si>
    <t>Nenita Caparaz Gimenez</t>
  </si>
  <si>
    <t>Carertaker</t>
  </si>
  <si>
    <t>0929-393-8371</t>
  </si>
  <si>
    <t>MN-120B</t>
  </si>
  <si>
    <t>Gimenez, Nicanor Legaspe</t>
  </si>
  <si>
    <t>0999-850-7130</t>
  </si>
  <si>
    <t>Nicanor Legaspe Gimenez</t>
  </si>
  <si>
    <t>WALL:CHB plastered</t>
  </si>
  <si>
    <t>A.T=6.25sqm, Aff.A=3sqm</t>
  </si>
  <si>
    <t>Fatalla, Josephine Vicente</t>
  </si>
  <si>
    <t>0997-379-3388</t>
  </si>
  <si>
    <t>14° 38' 07.5"</t>
  </si>
  <si>
    <t>Fatalla, Josephine</t>
  </si>
  <si>
    <t>Josephine Fatalla</t>
  </si>
  <si>
    <t>City Hall</t>
  </si>
  <si>
    <t>2982 Dagupan Ext., Brgy.184 Gagalangin Tondo Manila</t>
  </si>
  <si>
    <t>2994 Dagupan Ext., Brgy.184 Gagalangin Tondo Manila</t>
  </si>
  <si>
    <t>2990 Dagupan Ext., Brgy.184 Gagalangin Tondo Manila</t>
  </si>
  <si>
    <t>2996 Dagupan Ext., Brgy.184 Gagalangin Tondo Manila</t>
  </si>
  <si>
    <t>3002 Dagupan Ext., Brgy.184 Gagalangin Tondo Manila</t>
  </si>
  <si>
    <t>3004 Dagupan Ext., Brgy.184 Gagalangin Tondo Manila</t>
  </si>
  <si>
    <t>3810 Dagupan Ext., Brgy.184 Gagalangin Tondo Manila</t>
  </si>
  <si>
    <t>3014 Dagupan Ext., Brgy.184 Zone.16 Gagalangin Tondo Manila</t>
  </si>
  <si>
    <t>3814 Dagupan Ext., Brgy.184 Gagalangin Tondo Manila</t>
  </si>
  <si>
    <t>3022 Dagupan Ext., Brgy.184 Gagalangin Tondo Manila</t>
  </si>
  <si>
    <t>3054 Dagupan Ext., Brgy.184 Gagalangin Tondo Manila</t>
  </si>
  <si>
    <t>3026 Dagupan Ext., Brgy.184 Gagalangin Tondo Manila</t>
  </si>
  <si>
    <t>3038 Dagupan Ext., Brgy.184 Gagalangin Tondo Manila</t>
  </si>
  <si>
    <t>3034 Dagupan Ext., Brgy.184 Tondo Manila</t>
  </si>
  <si>
    <t>3042 Dagupan Ext., Brgy.184 Tondo Manila</t>
  </si>
  <si>
    <t>3042 Dagupan Ext., Brgy.184 Gagalangin Tondo Manila</t>
  </si>
  <si>
    <t>if, MEMBER of any Association</t>
  </si>
  <si>
    <t>Last Payment (YEAR)</t>
  </si>
  <si>
    <t>any PAYMENT done?</t>
  </si>
  <si>
    <t>Butaw (Ass'n)</t>
  </si>
  <si>
    <t>Vendor, Pension</t>
  </si>
  <si>
    <t>236-2725</t>
  </si>
  <si>
    <t>668-9811</t>
  </si>
  <si>
    <t>285-7496</t>
  </si>
  <si>
    <t>0919-338-2106</t>
  </si>
  <si>
    <t>0906-575-0117</t>
  </si>
  <si>
    <t>0935-612-2348/0906-973-2097</t>
  </si>
  <si>
    <t>CIBEs Total</t>
  </si>
  <si>
    <t>Natividad Fernando (+)</t>
  </si>
  <si>
    <t>Resdential</t>
  </si>
  <si>
    <t>(Former Tire Rim/Magwheels Factory)</t>
  </si>
  <si>
    <t>CMC:4"Slab thicknes</t>
  </si>
  <si>
    <t>Perfecto Auro Ramos (+)</t>
  </si>
  <si>
    <t>794-4014</t>
  </si>
  <si>
    <t>044-796-3830</t>
  </si>
  <si>
    <t>244-8652</t>
  </si>
  <si>
    <t>0930-580-5344</t>
  </si>
  <si>
    <t>523-1329</t>
  </si>
  <si>
    <t>524-1927</t>
  </si>
  <si>
    <t xml:space="preserve"> 0933-108-8847</t>
  </si>
  <si>
    <t>0916-383-3843</t>
  </si>
  <si>
    <t>0915-783-9880</t>
  </si>
  <si>
    <t>935-8545</t>
  </si>
  <si>
    <t>044-795-7571</t>
  </si>
  <si>
    <t>0905-228-5580</t>
  </si>
  <si>
    <t>0915-884-2159</t>
  </si>
  <si>
    <t>0906-376-9326</t>
  </si>
  <si>
    <t>0906-238-9526</t>
  </si>
  <si>
    <t>794-9153</t>
  </si>
  <si>
    <t>0946-936-669</t>
  </si>
  <si>
    <t>0927-831-1191</t>
  </si>
  <si>
    <t>355-4963</t>
  </si>
  <si>
    <t>0912-476-5133</t>
  </si>
  <si>
    <t>294-7743</t>
  </si>
  <si>
    <t>0975-472-1836/0926-703-8312</t>
  </si>
  <si>
    <t>0995-984-2224/0933-589-5328</t>
  </si>
  <si>
    <t>0942-527-7421/0995-431-2924</t>
  </si>
  <si>
    <t>Number of PAFs</t>
  </si>
  <si>
    <t>Municipality/City</t>
  </si>
  <si>
    <t>Barangay</t>
  </si>
  <si>
    <t>Legal</t>
  </si>
  <si>
    <t>Number of forms</t>
  </si>
  <si>
    <t>Main structure</t>
  </si>
  <si>
    <t>Auxiliary</t>
  </si>
  <si>
    <t>Lot only</t>
  </si>
  <si>
    <t>CALOOCAN</t>
  </si>
  <si>
    <t>Composition of ISF</t>
  </si>
  <si>
    <t>STA</t>
  </si>
  <si>
    <t>ZHA</t>
  </si>
  <si>
    <t>DGHA</t>
  </si>
  <si>
    <t>PHHA</t>
  </si>
  <si>
    <t>DEHA</t>
  </si>
  <si>
    <t>Main Stucture</t>
  </si>
  <si>
    <t>DMS and SES data gaps</t>
  </si>
  <si>
    <t>Structure/ Asset Number</t>
  </si>
  <si>
    <t>Please check within the database yung data entry ng land owner and structure ha.  kapag magkaiba ang HH magkahiwalay na row dapat sila.  for example sa MC-007 dalawang row yun kasi magkaiba sila ng HH although mag tatay yung land owner and structure owner.  Same with MC-009 and so on... Sa MY 023, kung mapansin mo isang row entry lanf yan kasi yung land owner and structure owner nasa iisang HH lang.  kaya isang form and isang data entry lang yan.  actually dun sa mga nagawa mo na, need lang natin i arrange yung data entry basta magkaiba ng HH yung land owner and structure.  kailangan ko lang din magdagdag ng additional form to correct yung mistakes na nagawa from interview.  </t>
  </si>
  <si>
    <t>MALOLOS</t>
  </si>
  <si>
    <t>Tikay</t>
  </si>
  <si>
    <t>Bulihan</t>
  </si>
  <si>
    <t>San Pablo</t>
  </si>
  <si>
    <t>GUIGUINTO</t>
  </si>
  <si>
    <t>Tuktukan</t>
  </si>
  <si>
    <t>Tabang</t>
  </si>
  <si>
    <t>BALAGTAS</t>
  </si>
  <si>
    <t>BOCAUE</t>
  </si>
  <si>
    <t>Taal</t>
  </si>
  <si>
    <t>Igolot</t>
  </si>
  <si>
    <t>Bundukan</t>
  </si>
  <si>
    <t>MARILAO</t>
  </si>
  <si>
    <t>070 Hyacith st., Fausta Village Abangan Sur</t>
  </si>
  <si>
    <t>Abangan Norte</t>
  </si>
  <si>
    <t>Saog</t>
  </si>
  <si>
    <t>Bancal</t>
  </si>
  <si>
    <t>VALENZUELA</t>
  </si>
  <si>
    <t>Malanday</t>
  </si>
  <si>
    <t>Malinta</t>
  </si>
  <si>
    <t>Brgy.15</t>
  </si>
  <si>
    <t>Brgy.19</t>
  </si>
  <si>
    <t>Brgy.17</t>
  </si>
  <si>
    <t>Brgy.21</t>
  </si>
  <si>
    <t>Brgy.25</t>
  </si>
  <si>
    <t>Brgy.29</t>
  </si>
  <si>
    <t>Brgy.32</t>
  </si>
  <si>
    <t>Brgy.33</t>
  </si>
  <si>
    <r>
      <t xml:space="preserve">172 Interior.9 Doña Casimiro St., Maypajo Caloocan City </t>
    </r>
    <r>
      <rPr>
        <sz val="10"/>
        <color indexed="10"/>
        <rFont val="Calibri"/>
        <family val="2"/>
      </rPr>
      <t>Brgy.33</t>
    </r>
  </si>
  <si>
    <t>MANILA</t>
  </si>
  <si>
    <t>Brgy.164</t>
  </si>
  <si>
    <t>Brgy.165</t>
  </si>
  <si>
    <t>Brgy.184</t>
  </si>
  <si>
    <t>Brgy.185</t>
  </si>
  <si>
    <t>Brgy.152</t>
  </si>
  <si>
    <t>Brgy.155</t>
  </si>
  <si>
    <t>Brgy.159</t>
  </si>
  <si>
    <t>Brgy.199</t>
  </si>
  <si>
    <t>Burol I</t>
  </si>
  <si>
    <t>1072 Riles, Burol I, Balagtas Bulacan</t>
  </si>
  <si>
    <t>Brgy.156</t>
  </si>
  <si>
    <t>MEYCAUAYAN</t>
  </si>
  <si>
    <t>Alocated by the Government</t>
  </si>
  <si>
    <t>503 San Pedro st., Tuktukan Guiguinto Bulacan</t>
  </si>
  <si>
    <t>Unidentified Brgy</t>
  </si>
  <si>
    <t>PART 2. SOCIO-ECONOMIC SURVEY</t>
  </si>
  <si>
    <t>G. HOUSEHOLDS INFORMATION</t>
  </si>
  <si>
    <t>H. SOCIAL VULNERABILITY</t>
  </si>
  <si>
    <t>I. SOCIO-ECONOMIC QUESTIONS FORAFFECTED LANDS</t>
  </si>
  <si>
    <t>J. RESIDENTIAL STRUCTURE ARRANGEMENTS</t>
  </si>
  <si>
    <t>K. SOCIO-ECONOMIC QUESTION FOE SELECTED HOUSHOLDS</t>
  </si>
  <si>
    <t>L. HEALTH CONDITIONS</t>
  </si>
  <si>
    <t>M. FLOODING</t>
  </si>
  <si>
    <t>Tabulation for LEGAL PAFs</t>
  </si>
  <si>
    <t>TOTAL LEGAL PAFs</t>
  </si>
  <si>
    <t>Tabulation for ISF PAFs</t>
  </si>
  <si>
    <t>TOTAL ISF PAFs</t>
  </si>
  <si>
    <t>Half</t>
  </si>
  <si>
    <t>326 San Isidro Labrador Malinta</t>
  </si>
  <si>
    <t>ACA Cmpd.Bukid Malanday Valenzuela</t>
  </si>
  <si>
    <t>ACA, Malanday, Valenzuela City</t>
  </si>
  <si>
    <t>Jenoveva Co (+)</t>
  </si>
  <si>
    <t xml:space="preserve">684 Mulawin St., Bancal Ext., Meycauayan Bulacan </t>
  </si>
  <si>
    <t>864 Mulawin st. Bancal Ext., Meycauayan</t>
  </si>
  <si>
    <t>684 Mulawin st., Bancal Ext., Meycauayan Bulacan</t>
  </si>
  <si>
    <t>684 Mulawin St., Bancal Ext., Meycauayan Bulacan</t>
  </si>
  <si>
    <t>684 Mulwin st., Bancal ext., Meycauayan Bulacan</t>
  </si>
  <si>
    <t>007 Soliera St., Pandayan, Meycauayan Bulacan</t>
  </si>
  <si>
    <t>228 Rosales st., Tugatog, Meycauayan</t>
  </si>
  <si>
    <t>667 Mulawin st., Bancal ext., Meycauayan</t>
  </si>
  <si>
    <t>678 Mulawin st., Bancal ext., Meycauayan</t>
  </si>
  <si>
    <t>670 Mulawin st., Bancal Ext. Meycauayan</t>
  </si>
  <si>
    <t>674 Mulawin st., Bancal ext., Meycauayan</t>
  </si>
  <si>
    <t>687 Mulawin st., Purok Tugatog Meycauayan Bulacan</t>
  </si>
  <si>
    <t>687 Mulawin st., Bancal ext., Meycauayan Bulacan</t>
  </si>
  <si>
    <t>689 Mulawin st., Bancal ext., Meycauayan</t>
  </si>
  <si>
    <t>PMDI</t>
  </si>
  <si>
    <t>North Madison Place Subd. c/o  (PMDI)</t>
  </si>
  <si>
    <t>North Madison Place Subdivision, Mc. Arthur Highway, Tikay, Malolos City</t>
  </si>
  <si>
    <t>Tikay, Mc Arthur Highway, Malolos Bulacan</t>
  </si>
  <si>
    <t>Capitol View Park, Barangay Bulihan, Malolos City</t>
  </si>
  <si>
    <t>Land Dweller</t>
  </si>
  <si>
    <t>Noel Parong Cruz</t>
  </si>
  <si>
    <t>Diamond St., Capitol View Park Subd., Barangay Bulihan, Malolos City</t>
  </si>
  <si>
    <t>Cruz, Jerico Bernardo</t>
  </si>
  <si>
    <t>Romulo Danao Jr.</t>
  </si>
  <si>
    <t>Capitol View Park Subd., Barangay Bulihan, Malolos City</t>
  </si>
  <si>
    <t>Dela Cruz, Joselito Mercado</t>
  </si>
  <si>
    <t>MC-013A</t>
  </si>
  <si>
    <t>MC-016A</t>
  </si>
  <si>
    <t>Inosanto, Eduardo Varilla</t>
  </si>
  <si>
    <t>Sapphire st., CVP Subd. Bulacan Bulihan</t>
  </si>
  <si>
    <t>Toribio Santos</t>
  </si>
  <si>
    <t xml:space="preserve">Constructed </t>
  </si>
  <si>
    <t>Reantaso, Rose Repaso</t>
  </si>
  <si>
    <t xml:space="preserve">Sta. 05+ 700 </t>
  </si>
  <si>
    <t>Sta. 05 + 850</t>
  </si>
  <si>
    <t>Sta. 04 + 950</t>
  </si>
  <si>
    <t>Sta. 00+ 000</t>
  </si>
  <si>
    <t>Sta. 00 + 650</t>
  </si>
  <si>
    <t>Sta. 00 + 000</t>
  </si>
  <si>
    <t>Sta. 00 + 100</t>
  </si>
  <si>
    <t>Sta. 04 + 500</t>
  </si>
  <si>
    <t>Barangay Tuktukan, Guiguinto Bulacan</t>
  </si>
  <si>
    <t>GG-009B</t>
  </si>
  <si>
    <t>GG-009C</t>
  </si>
  <si>
    <t>GG-009A</t>
  </si>
  <si>
    <r>
      <t>N 14</t>
    </r>
    <r>
      <rPr>
        <sz val="10"/>
        <color indexed="10"/>
        <rFont val="Calibri"/>
        <family val="2"/>
      </rPr>
      <t>°</t>
    </r>
    <r>
      <rPr>
        <sz val="10"/>
        <color indexed="10"/>
        <rFont val="Calibri"/>
        <family val="2"/>
      </rPr>
      <t xml:space="preserve"> 26' 21.9"</t>
    </r>
  </si>
  <si>
    <r>
      <t>E 120</t>
    </r>
    <r>
      <rPr>
        <sz val="10"/>
        <color indexed="10"/>
        <rFont val="Calibri"/>
        <family val="2"/>
      </rPr>
      <t>°</t>
    </r>
    <r>
      <rPr>
        <sz val="10"/>
        <color indexed="10"/>
        <rFont val="Calibri"/>
        <family val="2"/>
      </rPr>
      <t xml:space="preserve"> 54' 28.0"</t>
    </r>
  </si>
  <si>
    <t>TO</t>
  </si>
  <si>
    <t>FROM</t>
  </si>
  <si>
    <t>Tuktukan, Guiguinto,Bulacan</t>
  </si>
  <si>
    <t>GG-018</t>
  </si>
  <si>
    <t>GG-019</t>
  </si>
  <si>
    <t>Burol I, Balagtas Bulacan</t>
  </si>
  <si>
    <t>674 Bancal Ext., Meycauayan Bulacan</t>
  </si>
  <si>
    <t>Ibayo</t>
  </si>
  <si>
    <t>within the Brgy</t>
  </si>
  <si>
    <t>Construction Worker, Livestock</t>
  </si>
  <si>
    <t>Ibayo, Marilao</t>
  </si>
  <si>
    <t>Caloocan</t>
  </si>
  <si>
    <t>Guiguinto</t>
  </si>
  <si>
    <t>Marilao</t>
  </si>
  <si>
    <t>Meycauayan</t>
  </si>
  <si>
    <t>Tugatog</t>
  </si>
  <si>
    <t>Apartment (For Rent)</t>
  </si>
  <si>
    <t>Room for Rent</t>
  </si>
  <si>
    <t>6 - 14</t>
  </si>
  <si>
    <t>15 - 30</t>
  </si>
  <si>
    <t>above 60</t>
  </si>
  <si>
    <t>FEMALE</t>
  </si>
  <si>
    <t>MALE</t>
  </si>
  <si>
    <r>
      <t>Jeffrey Caba</t>
    </r>
    <r>
      <rPr>
        <sz val="10"/>
        <color indexed="8"/>
        <rFont val="Calibri"/>
        <family val="2"/>
      </rPr>
      <t>ñero</t>
    </r>
  </si>
  <si>
    <t>VC-056-LSOA</t>
  </si>
  <si>
    <t>Renato Sulit Parungao</t>
  </si>
  <si>
    <t>Renato Parunago</t>
  </si>
  <si>
    <t>Dula, Joner Pagaduan</t>
  </si>
  <si>
    <t>Caco, Nenita H.</t>
  </si>
  <si>
    <t>Brgy. Malinta</t>
  </si>
  <si>
    <t>158 A. Caco St., Malinta Valenzuela City</t>
  </si>
  <si>
    <t>Maria Delia A. Caco</t>
  </si>
  <si>
    <t>Caco, Maria Delia A.</t>
  </si>
  <si>
    <t>Donated by: Coun. Ramon L. Encarnacion</t>
  </si>
  <si>
    <t>Pacheco, Benedicto Maniego</t>
  </si>
  <si>
    <t>Pacheco, Bendicto Maniego</t>
  </si>
  <si>
    <t>Cipriano Pacheco/Aurora Pacheco (+)</t>
  </si>
  <si>
    <t>VC-058-LSOO</t>
  </si>
  <si>
    <t>Abala Jr, Celestino Carupo</t>
  </si>
  <si>
    <t>VC-061-ISF-SOO</t>
  </si>
  <si>
    <t>Alejandro/ Virginia Salazar</t>
  </si>
  <si>
    <t>VC-064-LSBO</t>
  </si>
  <si>
    <t>02-277-7553</t>
  </si>
  <si>
    <t>Gugulan, Cynthia D.</t>
  </si>
  <si>
    <t>David, Estor Samson</t>
  </si>
  <si>
    <t>Nucum, Erinda Verdon</t>
  </si>
  <si>
    <t>Nucum, Jose Rivera</t>
  </si>
  <si>
    <t>Verdon, Bella Roque</t>
  </si>
  <si>
    <t>Miranda, Edith Verdon</t>
  </si>
  <si>
    <t>VC-066-R</t>
  </si>
  <si>
    <t>Rhoderick Salazar Quebral</t>
  </si>
  <si>
    <t>Rhoderick Quebral</t>
  </si>
  <si>
    <t>Ramirez, Rodlofo Limusnero</t>
  </si>
  <si>
    <t>Ramirez, Rodolfo</t>
  </si>
  <si>
    <t>Matsushima, Ma. Terresa Ramirez</t>
  </si>
  <si>
    <t>Matsushima, Jun Ramirez</t>
  </si>
  <si>
    <t>Ma. Teresa Ramirez Matsushima</t>
  </si>
  <si>
    <t>0919-886-7660</t>
  </si>
  <si>
    <t>Yamson, Conrado Domingo</t>
  </si>
  <si>
    <t>Can't Remember</t>
  </si>
  <si>
    <t>Cyclone wire w/ 4.5x3mH CHB</t>
  </si>
  <si>
    <t>Barbed Wire  8m x 4-lines</t>
  </si>
  <si>
    <t>2674 Dagupan Ext., Brgy.165 Zone.14 Tondo Manila</t>
  </si>
  <si>
    <t>(at Bank)</t>
  </si>
  <si>
    <t>Versoza, Arturo Scott</t>
  </si>
  <si>
    <t>0920-471-4145 / 0999-842-6271</t>
  </si>
  <si>
    <t>Borre Versoza</t>
  </si>
  <si>
    <t>6x2.1 CHB/RO Finish</t>
  </si>
  <si>
    <t>RO Finish</t>
  </si>
  <si>
    <t>Alfredo B. Verzosa</t>
  </si>
  <si>
    <t>T &amp; B</t>
  </si>
  <si>
    <t>Jose Bartolome Cayco (+)</t>
  </si>
  <si>
    <t>VC-074-SO</t>
  </si>
  <si>
    <t>Cayco, Teresita Villagracia</t>
  </si>
  <si>
    <t>Emelita Cayco Bonabon</t>
  </si>
  <si>
    <t>VC-078-LSBO</t>
  </si>
  <si>
    <t>VC-078-R</t>
  </si>
  <si>
    <t>Bania Jr, Tomas Ariola</t>
  </si>
  <si>
    <t>KM 28+850</t>
  </si>
  <si>
    <t>Torres, Merlita</t>
  </si>
  <si>
    <t xml:space="preserve">Generol, Ladylyn </t>
  </si>
  <si>
    <t>12x12x2.6 painted RO finish</t>
  </si>
  <si>
    <t>Jennifer C. Iwakiri</t>
  </si>
  <si>
    <t>Jennifer C Iwakiri</t>
  </si>
  <si>
    <t>Baguinang, Anthony Carpio</t>
  </si>
  <si>
    <t>VC-083-R</t>
  </si>
  <si>
    <t>CA-010-R3</t>
  </si>
  <si>
    <t>CA-010-R4</t>
  </si>
  <si>
    <t>Ricardo Sayo Sta. Ana</t>
  </si>
  <si>
    <t>Hernan Sualog Lopez</t>
  </si>
  <si>
    <t>Ronald V. Villazor</t>
  </si>
  <si>
    <t>0917-315-9401 / 0998-570-4546</t>
  </si>
  <si>
    <t>Marabe, Joselito Villacarlos</t>
  </si>
  <si>
    <t>KM 27+650</t>
  </si>
  <si>
    <t>Marabe, Joselito</t>
  </si>
  <si>
    <t>Cirilo Vicencia Selerio Jr</t>
  </si>
  <si>
    <t>Cirilo Vicencio Selerio Jr</t>
  </si>
  <si>
    <t>0912-489-6050</t>
  </si>
  <si>
    <t>Mahilom, Erlinda</t>
  </si>
  <si>
    <t>14° 41' 54.6"</t>
  </si>
  <si>
    <t>120° 57' 47.5"</t>
  </si>
  <si>
    <t>KM 27+950</t>
  </si>
  <si>
    <t>KM 28+200</t>
  </si>
  <si>
    <t>VC-027-R1</t>
  </si>
  <si>
    <t>VC-027-R2</t>
  </si>
  <si>
    <t>VC-027-R3</t>
  </si>
  <si>
    <t>VC-027-R4</t>
  </si>
  <si>
    <t>STRUCTURE OWNER</t>
  </si>
  <si>
    <t>LAND OWNER</t>
  </si>
  <si>
    <t>Llantos, Loita Docena</t>
  </si>
  <si>
    <t>Mabuti, Rowel Gualba</t>
  </si>
  <si>
    <t>Edzel De Castro Balajadia</t>
  </si>
  <si>
    <t>Macau</t>
  </si>
  <si>
    <t>Paying for Rights</t>
  </si>
  <si>
    <t>Edelizar De Castro Balajadia</t>
  </si>
  <si>
    <t>VC-033-ISF-SO</t>
  </si>
  <si>
    <t>Bernardo Veroy</t>
  </si>
  <si>
    <t>VC-034-ISF-SO</t>
  </si>
  <si>
    <t>Bernardino V. Veroy</t>
  </si>
  <si>
    <t>Alvin Villanueva Rado</t>
  </si>
  <si>
    <t>VC-035-ISF-SO</t>
  </si>
  <si>
    <t>326 Mc Arthur Hi-way Malinta V.C.</t>
  </si>
  <si>
    <t>VC-036-ISF-SO1</t>
  </si>
  <si>
    <t>Paquel, Hitler Balajadia</t>
  </si>
  <si>
    <t>326 Mc Arthur Hi-Way, Malinta Valenzuela City</t>
  </si>
  <si>
    <t>Mary Cris Corbilla Liquigan, Teofilo Dimalanta</t>
  </si>
  <si>
    <t>Liquigan, Marycris Corbilla</t>
  </si>
  <si>
    <t>Liquigan, Marycris</t>
  </si>
  <si>
    <t>0909-608-8351 / 0956-905-1622</t>
  </si>
  <si>
    <t>Dimalanta, Teofilo Valderama</t>
  </si>
  <si>
    <t>0921-896-3875</t>
  </si>
  <si>
    <t>Dimalanta, Teofilo</t>
  </si>
  <si>
    <t>Casople, Joey De Guzman</t>
  </si>
  <si>
    <t>Balajadia Sr, Jorge Alcario</t>
  </si>
  <si>
    <t>Balajadia, Jorge Alcairo</t>
  </si>
  <si>
    <t>Joey D.G. Casople</t>
  </si>
  <si>
    <t>VC-038-R</t>
  </si>
  <si>
    <t>VC-039-R</t>
  </si>
  <si>
    <t>Licarus, Laila Balajadia</t>
  </si>
  <si>
    <t>Sister in Law</t>
  </si>
  <si>
    <t>Tan, Julia Mae Batoon</t>
  </si>
  <si>
    <t>Ponce, Jeffrey</t>
  </si>
  <si>
    <t>Rosalina B. Tan</t>
  </si>
  <si>
    <t>Corpuz, Ronalyn</t>
  </si>
  <si>
    <t>Michelle Morales</t>
  </si>
  <si>
    <t>Morales, Michelle M.</t>
  </si>
  <si>
    <t>Cabais, Hermalyn Enem</t>
  </si>
  <si>
    <t>0903-005-2354</t>
  </si>
  <si>
    <t>0948-899-9373</t>
  </si>
  <si>
    <t>Doma, Amelita Salonga</t>
  </si>
  <si>
    <t>0930-197-0873</t>
  </si>
  <si>
    <t>Ameilta S. Doma</t>
  </si>
  <si>
    <t>PNR 50%</t>
  </si>
  <si>
    <t>0932-156-1214</t>
  </si>
  <si>
    <t>VC-048-ISF-SO</t>
  </si>
  <si>
    <t>Pedro Doma 50%</t>
  </si>
  <si>
    <t>Pedro Doma (+) 50% c/o Tita Nenen</t>
  </si>
  <si>
    <t>10x10x1.2</t>
  </si>
  <si>
    <t>D.     AUXILIARY STRUCTURE</t>
  </si>
  <si>
    <t>Dimesion (m)</t>
  </si>
  <si>
    <t>1.5x0.8mH</t>
  </si>
  <si>
    <t>3x2mH</t>
  </si>
  <si>
    <t>6x2.4mH</t>
  </si>
  <si>
    <t>2x1mH</t>
  </si>
  <si>
    <t>2.2x1mH</t>
  </si>
  <si>
    <t>3.5sqm</t>
  </si>
  <si>
    <t>Fences, Gates, Posts Auxiliaries</t>
  </si>
  <si>
    <t>2.5m/3m</t>
  </si>
  <si>
    <t>12x12</t>
  </si>
  <si>
    <t>1.35x2.5</t>
  </si>
  <si>
    <t>Steel grills</t>
  </si>
  <si>
    <t>Bie Sr, Serafin Sandejas</t>
  </si>
  <si>
    <t>Bie Sr, Serafin S.</t>
  </si>
  <si>
    <t>From: Luisitio Corpus</t>
  </si>
  <si>
    <t>Store (non-operational)</t>
  </si>
  <si>
    <t>GI roof, fin walls inside no plaster ; kitchen with Tiled Counter Top</t>
  </si>
  <si>
    <t>Simbulan, Eduardo</t>
  </si>
  <si>
    <t>Gerard Manabo</t>
  </si>
  <si>
    <t>0948-841-2605</t>
  </si>
  <si>
    <t>Manabo, Jeffrey</t>
  </si>
  <si>
    <t>Del Rosario, Rodolfo Dela Cruz</t>
  </si>
  <si>
    <t>8-sqm</t>
  </si>
  <si>
    <t>Narcissa D. Del Rosario</t>
  </si>
  <si>
    <t>Espora, Robert</t>
  </si>
  <si>
    <t>BS # C-23075</t>
  </si>
  <si>
    <t>Pertez, Luzviminda Lucas</t>
  </si>
  <si>
    <t>Pertez, Luzviminda</t>
  </si>
  <si>
    <t>Mendoza, Ronald</t>
  </si>
  <si>
    <t>581 Dulong Tangke St. Malinta Valenzuela City</t>
  </si>
  <si>
    <t>VC-089-R</t>
  </si>
  <si>
    <t>576 Dulong Tangke Malinta V.C.</t>
  </si>
  <si>
    <t>Balmoria, Marjorie Grana</t>
  </si>
  <si>
    <t>Caputol, Daniel Sumayang</t>
  </si>
  <si>
    <t>0.8x2.0</t>
  </si>
  <si>
    <t>FLOOR:Conrete Slab, GI Roof,</t>
  </si>
  <si>
    <t>Water Sealed</t>
  </si>
  <si>
    <t>VC-091-R</t>
  </si>
  <si>
    <t>10x12x2</t>
  </si>
  <si>
    <t>0906-455-9469</t>
  </si>
  <si>
    <t>VC-092-R1</t>
  </si>
  <si>
    <t>Corduwa, Erlinda</t>
  </si>
  <si>
    <t>Mother in Law of HH</t>
  </si>
  <si>
    <t>Sarruca, Andre Marion</t>
  </si>
  <si>
    <t>Gatchalian, Romeo</t>
  </si>
  <si>
    <t>VC-092A</t>
  </si>
  <si>
    <t>From: Faustino Dela Cruz</t>
  </si>
  <si>
    <t>Espinosa, Mary Ann Tuyay</t>
  </si>
  <si>
    <t>Espinosa, Grace Comedia</t>
  </si>
  <si>
    <t>VC-093-R1</t>
  </si>
  <si>
    <t>0930-755-7886</t>
  </si>
  <si>
    <t>VC-093-R2</t>
  </si>
  <si>
    <t>0999-164-2810</t>
  </si>
  <si>
    <t>0915-533-8260</t>
  </si>
  <si>
    <t>Manabo, Gerry</t>
  </si>
  <si>
    <t>Dela Torre, Jonathan</t>
  </si>
  <si>
    <t>VC-095-R1</t>
  </si>
  <si>
    <t>Villa, Telly Pacaco</t>
  </si>
  <si>
    <t>0908-609-8200</t>
  </si>
  <si>
    <t>Monghit, Joseph</t>
  </si>
  <si>
    <t>VC-095-R2</t>
  </si>
  <si>
    <t>Ecarma, Ma. Fatima Llenos</t>
  </si>
  <si>
    <t>0909-029-3897</t>
  </si>
  <si>
    <t>Ecarma, Gladwin Villanueva</t>
  </si>
  <si>
    <t>VC-095-R3</t>
  </si>
  <si>
    <t>Kabashima,Wilma Hoyla</t>
  </si>
  <si>
    <t>Kabashima, Robin Jose Pakit</t>
  </si>
  <si>
    <t>0936-658-65-08</t>
  </si>
  <si>
    <t>De Leon, Nestor</t>
  </si>
  <si>
    <t>0905-443-930</t>
  </si>
  <si>
    <t>VC-097-SO</t>
  </si>
  <si>
    <t>0905-228-3308</t>
  </si>
  <si>
    <t>VC-098-LSOB</t>
  </si>
  <si>
    <t>VC-099-LSB</t>
  </si>
  <si>
    <t>Salonga, Adoracion</t>
  </si>
  <si>
    <t>de Real, Maricel Pilapil</t>
  </si>
  <si>
    <t>de Real, Joel Osa</t>
  </si>
  <si>
    <t>de Real, Joel</t>
  </si>
  <si>
    <t>VC-099-R</t>
  </si>
  <si>
    <t>Ernesto De Leon Eustagio</t>
  </si>
  <si>
    <t>0996-991-1740</t>
  </si>
  <si>
    <t>VC-100-R2</t>
  </si>
  <si>
    <t>Salonga, Efrelyn Durana</t>
  </si>
  <si>
    <t>Salonga, Rogelio Cristobal</t>
  </si>
  <si>
    <t>VC-100-R3</t>
  </si>
  <si>
    <t>Concepcion, Jaycie Jane Mansal</t>
  </si>
  <si>
    <t>361-8020</t>
  </si>
  <si>
    <t>0922-233-5072 / 0975-338-7615</t>
  </si>
  <si>
    <t>Concepcion, Jaycie Jane</t>
  </si>
  <si>
    <t>VC-100-R1</t>
  </si>
  <si>
    <t>Beldosola, Marilyn Salang</t>
  </si>
  <si>
    <t>0943-611-3146</t>
  </si>
  <si>
    <t>Beldosola, Edwin Sibonet</t>
  </si>
  <si>
    <t>Beldosola, Edwin</t>
  </si>
  <si>
    <t>Comfort, Safety</t>
  </si>
  <si>
    <t>Edwin Beldodola</t>
  </si>
  <si>
    <t>VC-104-ISF-SO</t>
  </si>
  <si>
    <t>0912-614-6664</t>
  </si>
  <si>
    <t>0923-304-0984</t>
  </si>
  <si>
    <t>KM 29+050</t>
  </si>
  <si>
    <t>KM 29+100</t>
  </si>
  <si>
    <t>KM 29+200</t>
  </si>
  <si>
    <t>KM 29+2000</t>
  </si>
  <si>
    <t>KM 29+250</t>
  </si>
  <si>
    <t>6mH CHB Plastered on Both sides</t>
  </si>
  <si>
    <t>6mH CHB Plaster Finish</t>
  </si>
  <si>
    <t>6mH CHB Plaster Finish in/out</t>
  </si>
  <si>
    <t>6mH CHB Plaster Finish Painted Inside</t>
  </si>
  <si>
    <t xml:space="preserve"> Dennis Adrigado Ravina/Gerbeth Ravina Donguines </t>
  </si>
  <si>
    <t>MN-107C</t>
  </si>
  <si>
    <t>De Vera, Clarita Roaquin</t>
  </si>
  <si>
    <t>Danilo Legaspe Gimenez/ Nicanor Legaspe Gimenez</t>
  </si>
  <si>
    <t>Cesar Legaspi Vicente (+)/ c/o Josephine V. Fatalla</t>
  </si>
  <si>
    <t>Cesar Legaspi Vicente (+) c/o Fatalla, Josephine Vicente</t>
  </si>
  <si>
    <t>Alberto Cardona (+) m/to Amparo Kakilala c/o Raquel Kakilala</t>
  </si>
  <si>
    <t>Alberto and Amparo Kakilala</t>
  </si>
  <si>
    <t>120° 58' 20.2"</t>
  </si>
  <si>
    <t>Juanito Roan</t>
  </si>
  <si>
    <t>Split level</t>
  </si>
  <si>
    <t>KM 37+100 to KM 37+200</t>
  </si>
  <si>
    <t>14° 36' 56.3"</t>
  </si>
  <si>
    <t>120° 58' 19.3"</t>
  </si>
  <si>
    <t>KM 37+300 to KM 37+350</t>
  </si>
  <si>
    <t>14° 36' 56.0"</t>
  </si>
  <si>
    <t>120° 58' 19.4"</t>
  </si>
  <si>
    <t>KM 37+350 to KM 37+400</t>
  </si>
  <si>
    <t>14° 36' 53.1"</t>
  </si>
  <si>
    <t>120° 58' 18.5"</t>
  </si>
  <si>
    <t>14° 36' 47.6"</t>
  </si>
  <si>
    <t>120° 58' 16.6"</t>
  </si>
  <si>
    <t>KM 37+500 to KM 37+550</t>
  </si>
  <si>
    <t>120° 58' 16.7"</t>
  </si>
  <si>
    <t>KM 37+550 to KM 37+600</t>
  </si>
  <si>
    <t>Land owner</t>
  </si>
  <si>
    <t>concrete</t>
  </si>
  <si>
    <t>steel</t>
  </si>
  <si>
    <t>Four storey</t>
  </si>
  <si>
    <t>Tegula/concrete</t>
  </si>
  <si>
    <t>14° 36' 43.3"</t>
  </si>
  <si>
    <t>Tutuban Prime Volunteer Association</t>
  </si>
  <si>
    <t>TPI/Ayala</t>
  </si>
  <si>
    <t>Parking lot</t>
  </si>
  <si>
    <t>A.T=4020sqm,Aff.T=4020sqm</t>
  </si>
  <si>
    <t>0949-304-2886</t>
  </si>
  <si>
    <t>Rotairo, April Jenny</t>
  </si>
  <si>
    <t>Maravilla, Reoncio Alba</t>
  </si>
  <si>
    <t>KM 34+ 800 to KM 34+ 850</t>
  </si>
  <si>
    <t>Dimla, Ernesto Aniciete</t>
  </si>
  <si>
    <t>KM 34 + 800 to KM 34 + 850</t>
  </si>
  <si>
    <t>988 Murong St., Brgy.186, Tondo Manila</t>
  </si>
  <si>
    <t>Brgy.204, Tondo Manila</t>
  </si>
  <si>
    <t>Brgy.155, Tondo, Manila</t>
  </si>
  <si>
    <t>Brgy.159, Dagupan Ext., Tondo, Manila</t>
  </si>
  <si>
    <t>Brgy.156, Tayuman, Tondo, Manila</t>
  </si>
  <si>
    <t>Brgy.53, Tayuman, Tondo, Manila</t>
  </si>
  <si>
    <t>Brgy.50, Tayuman, Tondo, Manila</t>
  </si>
  <si>
    <t>Brgy.51, Tayuman, Tondo, Manila</t>
  </si>
  <si>
    <t>Brgy.200</t>
  </si>
  <si>
    <t>Brgy.204</t>
  </si>
  <si>
    <t>Brgy.50</t>
  </si>
  <si>
    <t>Brgy.51</t>
  </si>
  <si>
    <t>Brgy.53</t>
  </si>
  <si>
    <t>Brgy.186</t>
  </si>
  <si>
    <t>MN-033</t>
  </si>
  <si>
    <t>%</t>
  </si>
  <si>
    <t>Extent of Impact</t>
  </si>
  <si>
    <t>Aux/Structure</t>
  </si>
  <si>
    <t>Extension (Garage Type) and Comfort Room</t>
  </si>
  <si>
    <t>Comfor Room</t>
  </si>
  <si>
    <t>Extension (Store)</t>
  </si>
  <si>
    <t>Extension (Terrace)</t>
  </si>
  <si>
    <t>Yabut Jr, Segundino Dimalanta</t>
  </si>
  <si>
    <t>Yabut Jr., Segundino</t>
  </si>
  <si>
    <t>Yabut Jr., Segundino Dimalanta</t>
  </si>
  <si>
    <t>596 San Francisco St. Malinta Valenzuela Ciy</t>
  </si>
  <si>
    <t>Dulong Tangke, Malinta Valenzuela City</t>
  </si>
  <si>
    <t>Veinte Reales</t>
  </si>
  <si>
    <t>Dalandanan</t>
  </si>
  <si>
    <t>269 Mc Arthur Hi-Way, Dalandanan, Valenzuela City</t>
  </si>
  <si>
    <t>261 Mc Arthur Hi-Way, Dalandanan, Valenzuela City</t>
  </si>
  <si>
    <t>Quillosa, Mauricio Daradal Jr.</t>
  </si>
  <si>
    <t>Brgy.09</t>
  </si>
  <si>
    <t>198 Daang Bakal, P. Burgos St., Brgy.15, Caloocan City</t>
  </si>
  <si>
    <t>GRAND TOTAL</t>
  </si>
  <si>
    <t xml:space="preserve">Structure Owner </t>
  </si>
  <si>
    <t>Churing's Store</t>
  </si>
  <si>
    <t>Flora Ramos Olivares</t>
  </si>
  <si>
    <t>Ramos, Lauro Concepcion</t>
  </si>
  <si>
    <t>Ramos, Encrico Concepcion</t>
  </si>
  <si>
    <t>Ramos, Ramil Conccepcion</t>
  </si>
  <si>
    <t>Danao, Pio</t>
  </si>
  <si>
    <t>Andapat, Rogelin</t>
  </si>
  <si>
    <t>CA-007-R</t>
  </si>
  <si>
    <t>First,Middle,Surname)</t>
  </si>
  <si>
    <t>Arnold F. Lopez</t>
  </si>
  <si>
    <t>Corazon Parungao</t>
  </si>
  <si>
    <t>Carmina Batardo Miguel</t>
  </si>
  <si>
    <t>BRGY.17, Caloocan City</t>
  </si>
  <si>
    <t>59 Acab St., BRGY.17 Caloocan City</t>
  </si>
  <si>
    <t>BRGY.25, Caloocan City</t>
  </si>
  <si>
    <t>27-B C. Namie St., 4th.ave Brgy.25 Caloocan City</t>
  </si>
  <si>
    <t>137 C. Namie St., Brgy.25 Caloocan City</t>
  </si>
  <si>
    <t>BRGY.33, Caloocan City</t>
  </si>
  <si>
    <t>0197 P. Burgos St., Brgy.15, Caloocan City</t>
  </si>
  <si>
    <t>19 P. Burgos St. Brgy.15 Caloocan City</t>
  </si>
  <si>
    <t>Malanday, Valenzuela City</t>
  </si>
  <si>
    <t>Balagtas</t>
  </si>
  <si>
    <t>Malolos</t>
  </si>
  <si>
    <t>Pandayan</t>
  </si>
  <si>
    <t>LGU Brgy.33 (Youth Association)</t>
  </si>
  <si>
    <t>Can Stay (Access Block)</t>
  </si>
  <si>
    <t>Ermelita Sari-Sari Store</t>
  </si>
  <si>
    <t>Gerry's Store</t>
  </si>
  <si>
    <t>CRUZ, ARNOLFO</t>
  </si>
  <si>
    <t>ARNOLFO PALISOC CRUZ</t>
  </si>
  <si>
    <t>ARNOLFO CRUZ</t>
  </si>
  <si>
    <t>DIMAANDAL, VICTORIA</t>
  </si>
  <si>
    <t>VICTORIA DIMAYUGA DIMAANDAL</t>
  </si>
  <si>
    <t>VICTORIA DIMAANDAL</t>
  </si>
  <si>
    <t>CRUZ, VERA</t>
  </si>
  <si>
    <t>VERA DIMAANDAL CRUZ</t>
  </si>
  <si>
    <t>VERA CRUZ</t>
  </si>
  <si>
    <t>DEL MUNDO, GINA</t>
  </si>
  <si>
    <t>GINA AGLIPAY DEL MUNDO</t>
  </si>
  <si>
    <t>GINA DEL MUNDO</t>
  </si>
  <si>
    <t>CRUZ, ANSELMO</t>
  </si>
  <si>
    <t>ANSELMO PALISOC CRUZ</t>
  </si>
  <si>
    <t>ANSELMO CRUZ</t>
  </si>
  <si>
    <t>SANTOS, OFELIA</t>
  </si>
  <si>
    <t>OFELIA MANIO SANTOS</t>
  </si>
  <si>
    <t>OFELIA SANTOS</t>
  </si>
  <si>
    <t>RAMOS, JOEL</t>
  </si>
  <si>
    <t>JOEL MALIA RAMOS</t>
  </si>
  <si>
    <t>JOEL RAMOS</t>
  </si>
  <si>
    <t>CRUZ, ANTONETTE</t>
  </si>
  <si>
    <t>ANTONETTE SANTOS CRUZ</t>
  </si>
  <si>
    <t>ANTONETTE CRUZ</t>
  </si>
  <si>
    <t>CRUZ, ADELINA</t>
  </si>
  <si>
    <t>ADELINA DOMINGO CRUZ</t>
  </si>
  <si>
    <t>ADELINA CRUZ</t>
  </si>
  <si>
    <t>CRUZ, GLORIA</t>
  </si>
  <si>
    <t>GLORIA ESTEBAN CRUZ</t>
  </si>
  <si>
    <t>GLORIA CRUZ</t>
  </si>
  <si>
    <t>FUENTES, YOLANDA</t>
  </si>
  <si>
    <t>YOLANDA CRUZ FUENTES</t>
  </si>
  <si>
    <t>YOLANDA FUENTES</t>
  </si>
  <si>
    <t>GARDE, RICARDO</t>
  </si>
  <si>
    <t>RICARDO GARCIA GARDE</t>
  </si>
  <si>
    <t>RICARDO GARDE</t>
  </si>
  <si>
    <t>SOLANO, MILAGROS</t>
  </si>
  <si>
    <t>MILAGROS TROPA SOLANO</t>
  </si>
  <si>
    <t>MILAGROS SOLANO</t>
  </si>
  <si>
    <t>BEANO, ISABEL</t>
  </si>
  <si>
    <t>ISABEL DEL ROSARIO BEANO</t>
  </si>
  <si>
    <t>ISABEL BEANO</t>
  </si>
  <si>
    <t>VOLANTE, EMILIO</t>
  </si>
  <si>
    <t>EMILIO BLANQUISCO VOLANTE</t>
  </si>
  <si>
    <t>EMILIO VOLANTE</t>
  </si>
  <si>
    <t>MARCELO, MARINA</t>
  </si>
  <si>
    <t>MARINA DEL ROSARIO MARCELO</t>
  </si>
  <si>
    <t>MARINA MARCELO</t>
  </si>
  <si>
    <t>NAVAL, MARCELO</t>
  </si>
  <si>
    <t>MARCELO POLICARPIO NAVAL</t>
  </si>
  <si>
    <t>MARCELO NAVAL</t>
  </si>
  <si>
    <t>MARCELO, CORAZON</t>
  </si>
  <si>
    <t>CORAZON DE GUZMAN MARCELO</t>
  </si>
  <si>
    <t>CORAZON MARCELO</t>
  </si>
  <si>
    <t>NAVAL, LORNA</t>
  </si>
  <si>
    <t>LORNA MARCELO NAVAL</t>
  </si>
  <si>
    <t>LORNA NAVAL</t>
  </si>
  <si>
    <t/>
  </si>
  <si>
    <t>VALASCO, RYAN JAY</t>
  </si>
  <si>
    <t>RYAN JAY GUERRA VALASCO</t>
  </si>
  <si>
    <t>RYAN JAY VALASCO</t>
  </si>
  <si>
    <t>TABACONG, MIRIAM</t>
  </si>
  <si>
    <t>MIRIAM PETALLAR TABACONG</t>
  </si>
  <si>
    <t>MIRIAM TABACONG</t>
  </si>
  <si>
    <t>LUNTAO, EDWIN</t>
  </si>
  <si>
    <t>EDWIN TANVERIDO LUNTAO</t>
  </si>
  <si>
    <t>EDWIN LUNTAO</t>
  </si>
  <si>
    <t>HANDIG, RIZALINE</t>
  </si>
  <si>
    <t>RIZALINE VELASCO HANDIG</t>
  </si>
  <si>
    <t>RIZALINE HANDIG</t>
  </si>
  <si>
    <t>GUILAS, FLORO</t>
  </si>
  <si>
    <t>FLORO SANTOS GUILAS</t>
  </si>
  <si>
    <t>FLORO GUILAS</t>
  </si>
  <si>
    <t>MARCELO, RODALYN</t>
  </si>
  <si>
    <t>RODALYN VELASCO MARCELO</t>
  </si>
  <si>
    <t>RODALYN MARCELO</t>
  </si>
  <si>
    <t>LIMPIN, CESO</t>
  </si>
  <si>
    <t>CESO ARAN LIMPIN</t>
  </si>
  <si>
    <t>CESO LIMPIN</t>
  </si>
  <si>
    <t>PASAQUIAN, ANTHONIA</t>
  </si>
  <si>
    <t>ANTHONIA BALDIVIA PASAQUIAN</t>
  </si>
  <si>
    <t>ANTHONIA PASAQUIAN</t>
  </si>
  <si>
    <t>LUCAS, BABY</t>
  </si>
  <si>
    <t>BABY NORBERTO LUCAS</t>
  </si>
  <si>
    <t>BABY LUCAS</t>
  </si>
  <si>
    <t>NORBERTE, RICARDO</t>
  </si>
  <si>
    <t>RICARDO SAMSON NORBERTE</t>
  </si>
  <si>
    <t>RICARDO NORBERTE</t>
  </si>
  <si>
    <t>BEANO, ISABELITA</t>
  </si>
  <si>
    <t>ISABELITA DEL ROSARIO BEANO</t>
  </si>
  <si>
    <t>ISABELITA BEANO</t>
  </si>
  <si>
    <t>NORBERTE, ARTEMIO</t>
  </si>
  <si>
    <t>ARTEMIO LAPUE NORBERTE</t>
  </si>
  <si>
    <t>ARTEMIO NORBERTE</t>
  </si>
  <si>
    <t>NORBERTE, VICTORIA</t>
  </si>
  <si>
    <t>VICTORIA FERNANDO NORBERTE</t>
  </si>
  <si>
    <t>VICTORIA NORBERTE</t>
  </si>
  <si>
    <t>VALERA, RODOLFO</t>
  </si>
  <si>
    <t>RODOLFO PONDOC VALERA</t>
  </si>
  <si>
    <t>RODOLFO VALERA</t>
  </si>
  <si>
    <t>MARCELO, MILAGROS</t>
  </si>
  <si>
    <t>MILAGROS DE GUZMAN MARCELO</t>
  </si>
  <si>
    <t>MILAGROS MARCELO</t>
  </si>
  <si>
    <t>ANGAY, REYNALDO</t>
  </si>
  <si>
    <t>REYNALDO GANOD ANGAY</t>
  </si>
  <si>
    <t>REYNALDO ANGAY</t>
  </si>
  <si>
    <t>ENCINARES, CARMELITA</t>
  </si>
  <si>
    <t>CARMELITA BACUNAWA ENCINARES</t>
  </si>
  <si>
    <t>CARMELITA ENCINARES</t>
  </si>
  <si>
    <t>ZAMORA, MARITES</t>
  </si>
  <si>
    <t>MARITES LOZANO ZAMORA</t>
  </si>
  <si>
    <t>MARITES ZAMORA</t>
  </si>
  <si>
    <t>GALANG, LIGAYA</t>
  </si>
  <si>
    <t>LIGAYA PASCUAL GALANG</t>
  </si>
  <si>
    <t>LIGAYA GALANG</t>
  </si>
  <si>
    <t>LOZANO, CHRISTOPHER</t>
  </si>
  <si>
    <t>CHRISTOPHER CAMPOSANO LOZANO</t>
  </si>
  <si>
    <t>CHRISTOPHER LOZANO</t>
  </si>
  <si>
    <t>, GANOD</t>
  </si>
  <si>
    <t xml:space="preserve">GANOD  </t>
  </si>
  <si>
    <t xml:space="preserve">GANOD </t>
  </si>
  <si>
    <t>CASTRO, BRENDA</t>
  </si>
  <si>
    <t>BRENDA CARSON CASTRO</t>
  </si>
  <si>
    <t>BRENDA CASTRO</t>
  </si>
  <si>
    <t>HABIL, NENA</t>
  </si>
  <si>
    <t>NENA GARIDAN HABIL</t>
  </si>
  <si>
    <t>NENA HABIL</t>
  </si>
  <si>
    <t>HABIL JR., JULIAN</t>
  </si>
  <si>
    <t>JULIAN GARIDAN HABIL JR.</t>
  </si>
  <si>
    <t>JULIAN HABIL JR.</t>
  </si>
  <si>
    <t>HABIL, ERNESTO</t>
  </si>
  <si>
    <t>ERNESTO GARIDAN HABIL</t>
  </si>
  <si>
    <t>ERNESTO HABIL</t>
  </si>
  <si>
    <t>ROBLES, JOESIELYN</t>
  </si>
  <si>
    <t>JOESIELYN PULA ROBLES</t>
  </si>
  <si>
    <t>JOESIELYN ROBLES</t>
  </si>
  <si>
    <t>HAGOS, FERNANDO</t>
  </si>
  <si>
    <t>FERNANDO ROSAS HAGOS</t>
  </si>
  <si>
    <t>FERNANDO HAGOS</t>
  </si>
  <si>
    <t>HABIL, MELINDA</t>
  </si>
  <si>
    <t>MELINDA GARIDAN HABIL</t>
  </si>
  <si>
    <t>MELINDA HABIL</t>
  </si>
  <si>
    <t>HABIL, NORBERTO</t>
  </si>
  <si>
    <t>NORBERTO GARIDAN HABIL</t>
  </si>
  <si>
    <t>NORBERTO HABIL</t>
  </si>
  <si>
    <t>HABIL, JESSIE</t>
  </si>
  <si>
    <t>JESSIE GARIDAN HABIL</t>
  </si>
  <si>
    <t>JESSIE HABIL</t>
  </si>
  <si>
    <t>OLIVEROS, JOYCE</t>
  </si>
  <si>
    <t>JOYCE  OLIVEROS</t>
  </si>
  <si>
    <t>JOYCE OLIVEROS</t>
  </si>
  <si>
    <t>ALVAREZ, LORETO</t>
  </si>
  <si>
    <t>LORETO ARSEMIO ALVAREZ</t>
  </si>
  <si>
    <t>LORETO ALVAREZ</t>
  </si>
  <si>
    <t>LLERA, ROGELIA</t>
  </si>
  <si>
    <t>ROGELIA CABREJAS LLERA</t>
  </si>
  <si>
    <t>ROGELIA LLERA</t>
  </si>
  <si>
    <t>ALVAREZ, NOEL</t>
  </si>
  <si>
    <t>NOEL LLERA ALVAREZ</t>
  </si>
  <si>
    <t>NOEL ALVAREZ</t>
  </si>
  <si>
    <t>CASTRO, RODORA</t>
  </si>
  <si>
    <t>RODORA FAMOSO CASTRO</t>
  </si>
  <si>
    <t>RODORA CASTRO</t>
  </si>
  <si>
    <t>CASTRO, WILFREDO</t>
  </si>
  <si>
    <t>WILFREDO FAMOSO CASTRO</t>
  </si>
  <si>
    <t>WILFREDO CASTRO</t>
  </si>
  <si>
    <t>CRISOSTOMO, ZENAIDA</t>
  </si>
  <si>
    <t>ZENAIDA  CRISOSTOMO</t>
  </si>
  <si>
    <t>ZENAIDA CRISOSTOMO</t>
  </si>
  <si>
    <t>BASA, ANTONIO</t>
  </si>
  <si>
    <t>ANTONIO NICOLAS BASA</t>
  </si>
  <si>
    <t>ANTONIO BASA</t>
  </si>
  <si>
    <t>CASTRO, AMELIA</t>
  </si>
  <si>
    <t>AMELIA MENDOZA CASTRO</t>
  </si>
  <si>
    <t>AMELIA CASTRO</t>
  </si>
  <si>
    <t>PACHECO, NOLITO</t>
  </si>
  <si>
    <t>NOLITO PALMA PACHECO</t>
  </si>
  <si>
    <t>NOLITO PACHECO</t>
  </si>
  <si>
    <t>BUZON, ANTONIO</t>
  </si>
  <si>
    <t>ANTONIO MARCELO BUZON</t>
  </si>
  <si>
    <t>ANTONIO BUZON</t>
  </si>
  <si>
    <t>ICO, ELVIRA</t>
  </si>
  <si>
    <t>ELVIRA DANIAS ICO</t>
  </si>
  <si>
    <t>ELVIRA ICO</t>
  </si>
  <si>
    <t>ICO, OFELIA</t>
  </si>
  <si>
    <t>OFELIA OCHOA ICO</t>
  </si>
  <si>
    <t>OFELIA ICO</t>
  </si>
  <si>
    <t>ICO, HILMINEGILDO</t>
  </si>
  <si>
    <t>HILMINEGILDO ESCARCHA ICO</t>
  </si>
  <si>
    <t>HILMINEGILDO ICO</t>
  </si>
  <si>
    <t>ESMILO, FELIX</t>
  </si>
  <si>
    <t>FELIX MACAWILI ESMILO</t>
  </si>
  <si>
    <t>FELIX ESMILO</t>
  </si>
  <si>
    <t>ICO, CARMENSITA</t>
  </si>
  <si>
    <t>CARMENSITA DANAS ICO</t>
  </si>
  <si>
    <t>CARMENSITA ICO</t>
  </si>
  <si>
    <t>PABUSTAN, ERMEL</t>
  </si>
  <si>
    <t>ERMEL ICO PABUSTAN</t>
  </si>
  <si>
    <t>ERMEL PABUSTAN</t>
  </si>
  <si>
    <t>GREGORIO, OLIVER</t>
  </si>
  <si>
    <t>OLIVER GARCIA GREGORIO</t>
  </si>
  <si>
    <t>OLIVER GREGORIO</t>
  </si>
  <si>
    <t>BARACENA, BENEDICTO</t>
  </si>
  <si>
    <t>BENEDICTO ELOPRE BARACENA</t>
  </si>
  <si>
    <t>BENEDICTO BARACENA</t>
  </si>
  <si>
    <t>ANTONIA, JOSEPHINE</t>
  </si>
  <si>
    <t>JOSEPHINE SEBESTIAN ANTONIA</t>
  </si>
  <si>
    <t>JOSEPHINE ANTONIA</t>
  </si>
  <si>
    <t>DELA CRUZ, GERWIN</t>
  </si>
  <si>
    <t>GERWIN DIMAYUGA DELA CRUZ</t>
  </si>
  <si>
    <t>GERWIN DELA CRUZ</t>
  </si>
  <si>
    <t>BERNABAT, ROSALIM</t>
  </si>
  <si>
    <t>ROSALIM HAUSAYAN BERNABAT</t>
  </si>
  <si>
    <t>ROSALIM BERNABAT</t>
  </si>
  <si>
    <t>PITA, PRUDENCIO</t>
  </si>
  <si>
    <t>PRUDENCIO SANTOS PITA</t>
  </si>
  <si>
    <t>PRUDENCIO PITA</t>
  </si>
  <si>
    <t>OPENA, ELIZABETH</t>
  </si>
  <si>
    <t>ELIZABETH JOSE OPENA</t>
  </si>
  <si>
    <t>ELIZABETH OPENA</t>
  </si>
  <si>
    <t>PITA, EDGARDO</t>
  </si>
  <si>
    <t>EDGARDO OPENA PITA</t>
  </si>
  <si>
    <t>EDGARDO PITA</t>
  </si>
  <si>
    <t>RICARDO, JOAN</t>
  </si>
  <si>
    <t>JOAN BULENSALIDA RICARDO</t>
  </si>
  <si>
    <t>JOAN RICARDO</t>
  </si>
  <si>
    <t>PITRA JR., PORCISO</t>
  </si>
  <si>
    <t>PORCISO SANTOS PITRA JR.</t>
  </si>
  <si>
    <t>PORCISO PITRA JR.</t>
  </si>
  <si>
    <t>DELA CRUZ, REGINA</t>
  </si>
  <si>
    <t>REGINA LUYAN DELA CRUZ</t>
  </si>
  <si>
    <t>REGINA DELA CRUZ</t>
  </si>
  <si>
    <t>BELTRAN, JOSE</t>
  </si>
  <si>
    <t>JOSE SANTOS BELTRAN</t>
  </si>
  <si>
    <t>JOSE BELTRAN</t>
  </si>
  <si>
    <t>CALMA, EVELYN</t>
  </si>
  <si>
    <t>EVELYN FUENTES CALMA</t>
  </si>
  <si>
    <t>EVELYN CALMA</t>
  </si>
  <si>
    <t>CASTRO, FERDINAND</t>
  </si>
  <si>
    <t>FERDINAND RUIZ CASTRO</t>
  </si>
  <si>
    <t>FERDINAND CASTRO</t>
  </si>
  <si>
    <t>LOZANO, MARIETTA</t>
  </si>
  <si>
    <t>MARIETTA CAMPOSANO LOZANO</t>
  </si>
  <si>
    <t>MARIETTA LOZANO</t>
  </si>
  <si>
    <t>OLIVEROS, VALENTIN</t>
  </si>
  <si>
    <t>VALENTIN BAZAR OLIVEROS</t>
  </si>
  <si>
    <t>VALENTIN OLIVEROS</t>
  </si>
  <si>
    <t>BELTRAN, JULIE ANN</t>
  </si>
  <si>
    <t>JULIE ANN CALMA BELTRAN</t>
  </si>
  <si>
    <t>JULIE ANN BELTRAN</t>
  </si>
  <si>
    <t>SANTOS, FELIX</t>
  </si>
  <si>
    <t>FELIX JACINTO SANTOS</t>
  </si>
  <si>
    <t>FELIX SANTOS</t>
  </si>
  <si>
    <t>MESIRALI, TERESITA</t>
  </si>
  <si>
    <t>TERESITA  MESIRALI</t>
  </si>
  <si>
    <t>TERESITA MESIRALI</t>
  </si>
  <si>
    <t>MESIAS, RANELY</t>
  </si>
  <si>
    <t>RANELY MASIRALI MESIAS</t>
  </si>
  <si>
    <t>RANELY MESIAS</t>
  </si>
  <si>
    <t>JARAMILLA, JENNIFER</t>
  </si>
  <si>
    <t>JENNIFER URBANA JARAMILLA</t>
  </si>
  <si>
    <t>JENNIFER JARAMILLA</t>
  </si>
  <si>
    <t>SANTOS, JEFFERSON</t>
  </si>
  <si>
    <t>JEFFERSON DELA CRUZ SANTOS</t>
  </si>
  <si>
    <t>JEFFERSON SANTOS</t>
  </si>
  <si>
    <t>ALMOETE, CANDIDA</t>
  </si>
  <si>
    <t>CANDIDA ALAWIG ALMOETE</t>
  </si>
  <si>
    <t>CANDIDA ALMOETE</t>
  </si>
  <si>
    <t>MENDOZA, RAMON</t>
  </si>
  <si>
    <t>RAMON SANTOS MENDOZA</t>
  </si>
  <si>
    <t>RAMON MENDOZA</t>
  </si>
  <si>
    <t>LIBIRAN, LUCITA</t>
  </si>
  <si>
    <t>LUCITA EVANGELISTA LIBIRAN</t>
  </si>
  <si>
    <t>LUCITA LIBIRAN</t>
  </si>
  <si>
    <t>CRISOSTOMO JR., AQUINO</t>
  </si>
  <si>
    <t>AQUINO BALONDO CRISOSTOMO JR.</t>
  </si>
  <si>
    <t>AQUINO CRISOSTOMO JR.</t>
  </si>
  <si>
    <t>DELA CRUZ, PASTORA</t>
  </si>
  <si>
    <t>PASTORA MORALES DELA CRUZ</t>
  </si>
  <si>
    <t>PASTORA DELA CRUZ</t>
  </si>
  <si>
    <t>AQUINO DELA CRUZ CRISOSTOMO JR.</t>
  </si>
  <si>
    <t>DAVID, VIVIEN</t>
  </si>
  <si>
    <t>VIVIEN SOLETA DAVID</t>
  </si>
  <si>
    <t>VIVIEN DAVID</t>
  </si>
  <si>
    <t>MANILA, NESTOR</t>
  </si>
  <si>
    <t>NESTOR CRISOSTOMO MANILA</t>
  </si>
  <si>
    <t>NESTOR MANILA</t>
  </si>
  <si>
    <t>APILO, MA. LOURDES</t>
  </si>
  <si>
    <t>MA. LOURDES CRISOSTOMO APILO</t>
  </si>
  <si>
    <t>MA. LOURDES APILO</t>
  </si>
  <si>
    <t>MANZO, TRISTAN</t>
  </si>
  <si>
    <t>TRISTAN GALANG MANZO</t>
  </si>
  <si>
    <t>TRISTAN MANZO</t>
  </si>
  <si>
    <t>PADAPAT, NINO JOSEPH</t>
  </si>
  <si>
    <t>NINO JOSEPH REYES PADAPAT</t>
  </si>
  <si>
    <t>NINO JOSEPH PADAPAT</t>
  </si>
  <si>
    <t>LIBIRAN, SHERILYN</t>
  </si>
  <si>
    <t>SHERILYN CRUZ LIBIRAN</t>
  </si>
  <si>
    <t>SHERILYN LIBIRAN</t>
  </si>
  <si>
    <t>CRISOSTOMO , FLORENCIA</t>
  </si>
  <si>
    <t xml:space="preserve">FLORENCIA GREGORIO CRISOSTOMO </t>
  </si>
  <si>
    <t xml:space="preserve">FLORENCIA CRISOSTOMO </t>
  </si>
  <si>
    <t>OPENA, EVELYN</t>
  </si>
  <si>
    <t>EVELYN JOSE OPENA</t>
  </si>
  <si>
    <t>EVELYN OPENA</t>
  </si>
  <si>
    <t>GONZALES, LOBY</t>
  </si>
  <si>
    <t>LOBY OPENA GONZALES</t>
  </si>
  <si>
    <t>LOBY GONZALES</t>
  </si>
  <si>
    <t>CRISOSTOMO, ROMEO</t>
  </si>
  <si>
    <t>ROMEO ALMONTE CRISOSTOMO</t>
  </si>
  <si>
    <t>ROMEO CRISOSTOMO</t>
  </si>
  <si>
    <t>PANAMBO, MYRNA</t>
  </si>
  <si>
    <t>MYRNA BOTOR PANAMBO</t>
  </si>
  <si>
    <t>MYRNA PANAMBO</t>
  </si>
  <si>
    <t>CRISOSTOMO, ERNESTO</t>
  </si>
  <si>
    <t>ERNESTO ALMONTE CRISOSTOMO</t>
  </si>
  <si>
    <t>ERNESTO CRISOSTOMO</t>
  </si>
  <si>
    <t>MAGTABOG, CORAZON</t>
  </si>
  <si>
    <t>CORAZON GERONIMO MAGTABOG</t>
  </si>
  <si>
    <t>CORAZON MAGTABOG</t>
  </si>
  <si>
    <t>TABABA, EVELYN</t>
  </si>
  <si>
    <t>EVELYN CRISOSTOMO TABABA</t>
  </si>
  <si>
    <t>EVELYN TABABA</t>
  </si>
  <si>
    <t>TABABA, ARTURO</t>
  </si>
  <si>
    <t>ARTURO LANUZA TABABA</t>
  </si>
  <si>
    <t>ARTURO TABABA</t>
  </si>
  <si>
    <t>SORIANO, LEONCIO</t>
  </si>
  <si>
    <t>LEONCIO MAGGAY SORIANO</t>
  </si>
  <si>
    <t>LEONCIO SORIANO</t>
  </si>
  <si>
    <t>OLIVEROS, ROSARIO</t>
  </si>
  <si>
    <t>ROSARIO ANTONIO OLIVEROS</t>
  </si>
  <si>
    <t>ROSARIO OLIVEROS</t>
  </si>
  <si>
    <t>OLIVEROS, RICARDO</t>
  </si>
  <si>
    <t>RICARDO ANTONIO OLIVEROS</t>
  </si>
  <si>
    <t>RICARDO OLIVEROS</t>
  </si>
  <si>
    <t>BAZAR, FLORDELIZA</t>
  </si>
  <si>
    <t>FLORDELIZA TABAYAG BAZAR</t>
  </si>
  <si>
    <t>FLORDELIZA BAZAR</t>
  </si>
  <si>
    <t>DAQUIOAG, CARMIELITA</t>
  </si>
  <si>
    <t>CARMIELITA OLIVEROS DAQUIOAG</t>
  </si>
  <si>
    <t>CARMIELITA DAQUIOAG</t>
  </si>
  <si>
    <t>ANTONIO, ANTONIA</t>
  </si>
  <si>
    <t>ANTONIA GONZALES ANTONIO</t>
  </si>
  <si>
    <t>ANTONIA ANTONIO</t>
  </si>
  <si>
    <t>CONCORDIA, VIVIANA</t>
  </si>
  <si>
    <t>VIVIANA ANTONIO CONCORDIA</t>
  </si>
  <si>
    <t>VIVIANA CONCORDIA</t>
  </si>
  <si>
    <t>LIBIRAN, ROMEO</t>
  </si>
  <si>
    <t>ROMEO EVANGELISTA LIBIRAN</t>
  </si>
  <si>
    <t>ROMEO LIBIRAN</t>
  </si>
  <si>
    <t>BALUYOT, LUZ</t>
  </si>
  <si>
    <t>LUZ RODRIGUEZ BALUYOT</t>
  </si>
  <si>
    <t>LUZ BALUYOT</t>
  </si>
  <si>
    <t>AGBUYA, JOHNNY</t>
  </si>
  <si>
    <t>JOHNNY AGUSTIN AGBUYA</t>
  </si>
  <si>
    <t>JOHNNY AGBUYA</t>
  </si>
  <si>
    <t>DEL ROSARIO, JOSEPHINE</t>
  </si>
  <si>
    <t>JOSEPHINE PANER DEL ROSARIO</t>
  </si>
  <si>
    <t>JOSEPHINE DEL ROSARIO</t>
  </si>
  <si>
    <t>CRISOSTOMO, RAQUEL</t>
  </si>
  <si>
    <t>RAQUEL GREGORIO CRISOSTOMO</t>
  </si>
  <si>
    <t>RAQUEL CRISOSTOMO</t>
  </si>
  <si>
    <t>APILO, PRISCILLA</t>
  </si>
  <si>
    <t>PRISCILLA CRISOSTOMO APILO</t>
  </si>
  <si>
    <t>PRISCILLA APILO</t>
  </si>
  <si>
    <t>ORPILLA, BERNARDO</t>
  </si>
  <si>
    <t>BERNARDO RICLAR ORPILLA</t>
  </si>
  <si>
    <t>BERNARDO ORPILLA</t>
  </si>
  <si>
    <t>ROBOSA, WILMA</t>
  </si>
  <si>
    <t>WILMA RACAL ROBOSA</t>
  </si>
  <si>
    <t>WILMA ROBOSA</t>
  </si>
  <si>
    <t>FLORES, BERTING</t>
  </si>
  <si>
    <t>BERTING  FLORES</t>
  </si>
  <si>
    <t>BERTING FLORES</t>
  </si>
  <si>
    <t>ORPILLA, PRINCES</t>
  </si>
  <si>
    <t>PRINCES NOBOJA ORPILLA</t>
  </si>
  <si>
    <t>PRINCES ORPILLA</t>
  </si>
  <si>
    <t>NOGOY, FEDERICO</t>
  </si>
  <si>
    <t>FEDERICO VALENCIA NOGOY</t>
  </si>
  <si>
    <t>FEDERICO NOGOY</t>
  </si>
  <si>
    <t>AMPIOCO, CLARITA</t>
  </si>
  <si>
    <t>CLARITA MANALO AMPIOCO</t>
  </si>
  <si>
    <t>CLARITA AMPIOCO</t>
  </si>
  <si>
    <t>AMPIOCO, MARIO</t>
  </si>
  <si>
    <t>MARIO MANALO AMPIOCO</t>
  </si>
  <si>
    <t>MARIO AMPIOCO</t>
  </si>
  <si>
    <t>DAVID, LOURDES</t>
  </si>
  <si>
    <t>LOURDES ARCEO DAVID</t>
  </si>
  <si>
    <t>LOURDES DAVID</t>
  </si>
  <si>
    <t>BALAYAN, RONALD</t>
  </si>
  <si>
    <t>RONALD  BALAYAN</t>
  </si>
  <si>
    <t>RONALD BALAYAN</t>
  </si>
  <si>
    <t>AMPIOCO, MARVIC</t>
  </si>
  <si>
    <t>MARVIC DAVID AMPIOCO</t>
  </si>
  <si>
    <t>MARVIC AMPIOCO</t>
  </si>
  <si>
    <t>AMPIOCO, MANUEL</t>
  </si>
  <si>
    <t>MANUEL DAVID AMPIOCO</t>
  </si>
  <si>
    <t>MANUEL AMPIOCO</t>
  </si>
  <si>
    <t>GUILLAN, LORNA</t>
  </si>
  <si>
    <t>LORNA TOLENTINO GUILLAN</t>
  </si>
  <si>
    <t>LORNA GUILLAN</t>
  </si>
  <si>
    <t>PANLILIO, JOSELITO</t>
  </si>
  <si>
    <t>JOSELITO ROXAS PANLILIO</t>
  </si>
  <si>
    <t>JOSELITO PANLILIO</t>
  </si>
  <si>
    <t>SOBRE MONTE, AIDA</t>
  </si>
  <si>
    <t>AIDA  SOBRE MONTE</t>
  </si>
  <si>
    <t>AIDA SOBRE MONTE</t>
  </si>
  <si>
    <t>DE GUZMAN, JOEL</t>
  </si>
  <si>
    <t>JOEL RICAFORT DE GUZMAN</t>
  </si>
  <si>
    <t>JOEL DE GUZMAN</t>
  </si>
  <si>
    <t>PASCUAL, ESTER</t>
  </si>
  <si>
    <t>ESTER SANTOS PASCUAL</t>
  </si>
  <si>
    <t>ESTER PASCUAL</t>
  </si>
  <si>
    <t>SANTIAGO, ALFREDO</t>
  </si>
  <si>
    <t>ALFREDO SILVA SANTIAGO</t>
  </si>
  <si>
    <t>ALFREDO SANTIAGO</t>
  </si>
  <si>
    <t>JOSE, CORAZON</t>
  </si>
  <si>
    <t>CORAZON BUAM JOSE</t>
  </si>
  <si>
    <t>CORAZON JOSE</t>
  </si>
  <si>
    <t>GONZALES, CHRISTOPHER</t>
  </si>
  <si>
    <t>CHRISTOPHER ESTEBAN GONZALES</t>
  </si>
  <si>
    <t>CHRISTOPHER GONZALES</t>
  </si>
  <si>
    <t>JOSE, BABY RUTH</t>
  </si>
  <si>
    <t>BABY RUTH  JOSE</t>
  </si>
  <si>
    <t>BABY RUTH JOSE</t>
  </si>
  <si>
    <t>JOSE, RICARDO</t>
  </si>
  <si>
    <t>RICARDO REDABLADO JOSE</t>
  </si>
  <si>
    <t>RICARDO JOSE</t>
  </si>
  <si>
    <t>CASTRO, ROWENA</t>
  </si>
  <si>
    <t>ROWENA SOLOMON CASTRO</t>
  </si>
  <si>
    <t>ROWENA CASTRO</t>
  </si>
  <si>
    <t>JOSE, ALFONSO</t>
  </si>
  <si>
    <t>ALFONSO PEREZ JOSE</t>
  </si>
  <si>
    <t>ALFONSO JOSE</t>
  </si>
  <si>
    <t>LIBIRAN, ANDREA</t>
  </si>
  <si>
    <t>ANDREA EVANGELISTA LIBIRAN</t>
  </si>
  <si>
    <t>ANDREA LIBIRAN</t>
  </si>
  <si>
    <t>SAN MIGUEL, SHIRLEY</t>
  </si>
  <si>
    <t>SHIRLEY FERNANDEZ SAN MIGUEL</t>
  </si>
  <si>
    <t>SHIRLEY SAN MIGUEL</t>
  </si>
  <si>
    <t>BERNABE, PACITA</t>
  </si>
  <si>
    <t>PACITA CRUZ BERNABE</t>
  </si>
  <si>
    <t>PACITA BERNABE</t>
  </si>
  <si>
    <t>MEDCANO, ROSANA</t>
  </si>
  <si>
    <t>ROSANA BERNABE MEDCANO</t>
  </si>
  <si>
    <t>ROSANA MEDCANO</t>
  </si>
  <si>
    <t>CRUZ, CARLITO</t>
  </si>
  <si>
    <t>CARLITO BASILIA CRUZ</t>
  </si>
  <si>
    <t>CARLITO CRUZ</t>
  </si>
  <si>
    <t>CRUZ, CARLO</t>
  </si>
  <si>
    <t>CARLO DELA CRUZ CRUZ</t>
  </si>
  <si>
    <t>CARLO CRUZ</t>
  </si>
  <si>
    <t>BELTRAN, MATEO</t>
  </si>
  <si>
    <t>MATEO SANTOS BELTRAN</t>
  </si>
  <si>
    <t>MATEO BELTRAN</t>
  </si>
  <si>
    <t>FLORES, CHRISTINA</t>
  </si>
  <si>
    <t>CHRISTINA JOSE FLORES</t>
  </si>
  <si>
    <t>CHRISTINA FLORES</t>
  </si>
  <si>
    <t>JOSE, TEODORO</t>
  </si>
  <si>
    <t>TEODORO PEREZ JOSE</t>
  </si>
  <si>
    <t>TEODORO JOSE</t>
  </si>
  <si>
    <t>BUAN, ANGELINA</t>
  </si>
  <si>
    <t>ANGELINA DE LEON BUAN</t>
  </si>
  <si>
    <t>ANGELINA BUAN</t>
  </si>
  <si>
    <t>MANANSALA, RODEO</t>
  </si>
  <si>
    <t>RODEO DE LEON MANANSALA</t>
  </si>
  <si>
    <t>RODEO MANANSALA</t>
  </si>
  <si>
    <t>MENDOZA, REMEDIOS</t>
  </si>
  <si>
    <t>REMEDIOS SANTOS MENDOZA</t>
  </si>
  <si>
    <t>REMEDIOS MENDOZA</t>
  </si>
  <si>
    <t>PASCUAL, VICENTE</t>
  </si>
  <si>
    <t>VICENTE GUEGORIO PASCUAL</t>
  </si>
  <si>
    <t>VICENTE PASCUAL</t>
  </si>
  <si>
    <t>WY, MARCELINA</t>
  </si>
  <si>
    <t>MARCELINA DE GUZMAN WY</t>
  </si>
  <si>
    <t>MARCELINA WY</t>
  </si>
  <si>
    <t>BUNGAD, ANDALUCIO</t>
  </si>
  <si>
    <t>ANDALUCIO LIMPIN BUNGAD</t>
  </si>
  <si>
    <t>ANDALUCIO BUNGAD</t>
  </si>
  <si>
    <t>FAVOR, LITO</t>
  </si>
  <si>
    <t>LITO MAGTALAS FAVOR</t>
  </si>
  <si>
    <t>LITO FAVOR</t>
  </si>
  <si>
    <t>IGNACIO, CECILIA</t>
  </si>
  <si>
    <t>CECILIA PASCUAL IGNACIO</t>
  </si>
  <si>
    <t>CECILIA IGNACIO</t>
  </si>
  <si>
    <t>SANTIAGO, ROGER</t>
  </si>
  <si>
    <t>ROGER SILVA SANTIAGO</t>
  </si>
  <si>
    <t>ROGER SANTIAGO</t>
  </si>
  <si>
    <t>MANZO, LEE RONSTADT</t>
  </si>
  <si>
    <t>LEE RONSTADT DEL ROSARIO MANZO</t>
  </si>
  <si>
    <t>LEE RONSTADT MANZO</t>
  </si>
  <si>
    <t>MAPUE, JOEL</t>
  </si>
  <si>
    <t>JOEL CASTRO MAPUE</t>
  </si>
  <si>
    <t>JOEL MAPUE</t>
  </si>
  <si>
    <t>ANTONIO, VIRGILIO</t>
  </si>
  <si>
    <t>VIRGILIO CAPUDAY ANTONIO</t>
  </si>
  <si>
    <t>VIRGILIO ANTONIO</t>
  </si>
  <si>
    <t>ANTONIO, ROSE MARIE</t>
  </si>
  <si>
    <t>ROSE MARIE DELA CRUZ ANTONIO</t>
  </si>
  <si>
    <t>ROSE MARIE ANTONIO</t>
  </si>
  <si>
    <t>DEL MUNDO, ERNESTO</t>
  </si>
  <si>
    <t>ERNESTO JUAT DEL MUNDO</t>
  </si>
  <si>
    <t>ERNESTO DEL MUNDO</t>
  </si>
  <si>
    <t>FELIPE, IMELDA</t>
  </si>
  <si>
    <t>IMELDA QUIROZ FELIPE</t>
  </si>
  <si>
    <t>IMELDA FELIPE</t>
  </si>
  <si>
    <t>RACELIS, EMILIA</t>
  </si>
  <si>
    <t>EMILIA FAUSTINO RACELIS</t>
  </si>
  <si>
    <t>EMILIA RACELIS</t>
  </si>
  <si>
    <t>RACELIS, CRISENCIO</t>
  </si>
  <si>
    <t>CRISENCIO FAUSTINO RACELIS</t>
  </si>
  <si>
    <t>CRISENCIO RACELIS</t>
  </si>
  <si>
    <t>ARUGAY, SERAPIO</t>
  </si>
  <si>
    <t>SERAPIO SIBAL ARUGAY</t>
  </si>
  <si>
    <t>SERAPIO ARUGAY</t>
  </si>
  <si>
    <t>ANTONIO, CARMEN</t>
  </si>
  <si>
    <t>CARMEN EVANGELISTA ANTONIO</t>
  </si>
  <si>
    <t>CARMEN ANTONIO</t>
  </si>
  <si>
    <t>ESCALANTE, ROSITA</t>
  </si>
  <si>
    <t>ROSITA SINFAEGO ESCALANTE</t>
  </si>
  <si>
    <t>ROSITA ESCALANTE</t>
  </si>
  <si>
    <t>GOMEZ, LESTER</t>
  </si>
  <si>
    <t>LESTER ESCALANTE GOMEZ</t>
  </si>
  <si>
    <t>LESTER GOMEZ</t>
  </si>
  <si>
    <t>BALAO, PERLA</t>
  </si>
  <si>
    <t>PERLA CACANILAO BALAO</t>
  </si>
  <si>
    <t>PERLA BALAO</t>
  </si>
  <si>
    <t>BALAO, JERMY</t>
  </si>
  <si>
    <t>JERMY  BALAO</t>
  </si>
  <si>
    <t>JERMY BALAO</t>
  </si>
  <si>
    <t>ANTIPALA, ROSARIO</t>
  </si>
  <si>
    <t>ROSARIO CASTRO ANTIPALA</t>
  </si>
  <si>
    <t>ROSARIO ANTIPALA</t>
  </si>
  <si>
    <t>ANTIPALA, RAMER</t>
  </si>
  <si>
    <t>RAMER CASTRO ANTIPALA</t>
  </si>
  <si>
    <t>RAMER ANTIPALA</t>
  </si>
  <si>
    <t>DE GUZMAN, JOCELYN</t>
  </si>
  <si>
    <t>JOCELYN PASCUAL DE GUZMAN</t>
  </si>
  <si>
    <t>JOCELYN DE GUZMAN</t>
  </si>
  <si>
    <t>ANTIPALA, ROMANITO</t>
  </si>
  <si>
    <t>ROMANITO CASTRO ANTIPALA</t>
  </si>
  <si>
    <t>ROMANITO ANTIPALA</t>
  </si>
  <si>
    <t>BASLA, ROWENA</t>
  </si>
  <si>
    <t>ROWENA CASTRO BASLA</t>
  </si>
  <si>
    <t>ROWENA BASLA</t>
  </si>
  <si>
    <t>MAPUE, EDNARDO</t>
  </si>
  <si>
    <t>EDNARDO LANGIT MAPUE</t>
  </si>
  <si>
    <t>EDNARDO MAPUE</t>
  </si>
  <si>
    <t>CASTRO, ELIZABETH</t>
  </si>
  <si>
    <t>ELIZABETH RUIZ CASTRO</t>
  </si>
  <si>
    <t>ELIZABETH CASTRO</t>
  </si>
  <si>
    <t>SANDEL, MATEO</t>
  </si>
  <si>
    <t>MATEO BERNARDINO SANDEL</t>
  </si>
  <si>
    <t>MATEO SANDEL</t>
  </si>
  <si>
    <t>SANDEL, IMELDA</t>
  </si>
  <si>
    <t>IMELDA CASTRO SANDEL</t>
  </si>
  <si>
    <t>IMELDA SANDEL</t>
  </si>
  <si>
    <t>CASTRO, GENARO</t>
  </si>
  <si>
    <t>GENARO RUIZ CASTRO</t>
  </si>
  <si>
    <t>GENARO CASTRO</t>
  </si>
  <si>
    <t>GONZALEZ, GEMMA</t>
  </si>
  <si>
    <t>GEMMA AGUILAR GONZALEZ</t>
  </si>
  <si>
    <t>GEMMA GONZALEZ</t>
  </si>
  <si>
    <t>CASTRO, JEFFERSON</t>
  </si>
  <si>
    <t>JEFFERSON GONZALES CASTRO</t>
  </si>
  <si>
    <t>JEFFERSON CASTRO</t>
  </si>
  <si>
    <t>MATIAS, ANGELA</t>
  </si>
  <si>
    <t>ANGELA DOMINGO MATIAS</t>
  </si>
  <si>
    <t>ANGELA MATIAS</t>
  </si>
  <si>
    <t>CASTRO, JOBET</t>
  </si>
  <si>
    <t>JOBET GONZALES CASTRO</t>
  </si>
  <si>
    <t>JOBET CASTRO</t>
  </si>
  <si>
    <t>BASELAN, LAUNEZA</t>
  </si>
  <si>
    <t>LAUNEZA  BASELAN</t>
  </si>
  <si>
    <t>LAUNEZA BASELAN</t>
  </si>
  <si>
    <t>CASTRO, GIFORD</t>
  </si>
  <si>
    <t>GIFORD GONZALES CASTRO</t>
  </si>
  <si>
    <t>GIFORD CASTRO</t>
  </si>
  <si>
    <t>GALANG, STEPHANIE</t>
  </si>
  <si>
    <t>STEPHANIE GUETA GALANG</t>
  </si>
  <si>
    <t>STEPHANIE GALANG</t>
  </si>
  <si>
    <t>CASTRO SR., FRED</t>
  </si>
  <si>
    <t>FRED RUIZ CASTRO SR.</t>
  </si>
  <si>
    <t>FRED CASTRO SR.</t>
  </si>
  <si>
    <t>OCTAVIO, GERALDO</t>
  </si>
  <si>
    <t>GERALDO DE GUZMAN OCTAVIO</t>
  </si>
  <si>
    <t>GERALDO OCTAVIO</t>
  </si>
  <si>
    <t>MAPUE, ELEANOR</t>
  </si>
  <si>
    <t>ELEANOR TABIAN MAPUE</t>
  </si>
  <si>
    <t>ELEANOR MAPUE</t>
  </si>
  <si>
    <t>OCHOA, ROSARIO</t>
  </si>
  <si>
    <t>ROSARIO QUIROS OCHOA</t>
  </si>
  <si>
    <t>ROSARIO OCHOA</t>
  </si>
  <si>
    <t>OCAMPO, JOSE RICARDO</t>
  </si>
  <si>
    <t>JOSE RICARDO SANTOS OCAMPO</t>
  </si>
  <si>
    <t>JOSE RICARDO OCAMPO</t>
  </si>
  <si>
    <t>OCHOA, ELIZA</t>
  </si>
  <si>
    <t>ELIZA QUIROS OCHOA</t>
  </si>
  <si>
    <t>ELIZA OCHOA</t>
  </si>
  <si>
    <t>CAPATI, ENRIQUE</t>
  </si>
  <si>
    <t>ENRIQUE VALDRES CAPATI</t>
  </si>
  <si>
    <t>ENRIQUE CAPATI</t>
  </si>
  <si>
    <t>VALERA, ROSERELLE</t>
  </si>
  <si>
    <t>ROSERELLE MARCELO VALERA</t>
  </si>
  <si>
    <t>ROSERELLE VALERA</t>
  </si>
  <si>
    <t>CAPATI, JESUS</t>
  </si>
  <si>
    <t>JESUS VALDRES CAPATI</t>
  </si>
  <si>
    <t>JESUS CAPATI</t>
  </si>
  <si>
    <t>YABOT, JOANA</t>
  </si>
  <si>
    <t>JOANA  YABOT</t>
  </si>
  <si>
    <t>JOANA YABOT</t>
  </si>
  <si>
    <t>CAPATI, ANGELITO</t>
  </si>
  <si>
    <t>ANGELITO VALDRES CAPATI</t>
  </si>
  <si>
    <t>ANGELITO CAPATI</t>
  </si>
  <si>
    <t xml:space="preserve">SARLINA, </t>
  </si>
  <si>
    <t xml:space="preserve">  SARLINA</t>
  </si>
  <si>
    <t xml:space="preserve"> SARLINA</t>
  </si>
  <si>
    <t>NORBERTE JR., ARTEMIIO</t>
  </si>
  <si>
    <t>ARTEMIIO FERNANDO NORBERTE JR.</t>
  </si>
  <si>
    <t>ARTEMIIO NORBERTE JR.</t>
  </si>
  <si>
    <t>MANCELIA, MA. CECILIA</t>
  </si>
  <si>
    <t>MA. CECILIA GAMO MANCELIA</t>
  </si>
  <si>
    <t>MA. CECILIA MANCELIA</t>
  </si>
  <si>
    <t>LACAP, RODOLFO</t>
  </si>
  <si>
    <t>RODOLFO CRUZ LACAP</t>
  </si>
  <si>
    <t>RODOLFO LACAP</t>
  </si>
  <si>
    <t>VOUNG, MELINDA</t>
  </si>
  <si>
    <t>MELINDA VILLANUEVA VOUNG</t>
  </si>
  <si>
    <t>MELINDA VOUNG</t>
  </si>
  <si>
    <t>BANICO, BONIFACIO</t>
  </si>
  <si>
    <t>BONIFACIO BARRESO BANICO</t>
  </si>
  <si>
    <t>BONIFACIO BANICO</t>
  </si>
  <si>
    <t>MENDOZA, MARIA</t>
  </si>
  <si>
    <t>MARIA TOBIAS MENDOZA</t>
  </si>
  <si>
    <t>MARIA MENDOZA</t>
  </si>
  <si>
    <t>REYES, DANILO</t>
  </si>
  <si>
    <t>DANILO  REYES</t>
  </si>
  <si>
    <t>DANILO REYES</t>
  </si>
  <si>
    <t>MARTOS, AVELINA</t>
  </si>
  <si>
    <t>AVELINA BOTIAL MARTOS</t>
  </si>
  <si>
    <t>AVELINA MARTOS</t>
  </si>
  <si>
    <t>DELA CRUZ, NARCISO</t>
  </si>
  <si>
    <t>NARCISO ROXAS DELA CRUZ</t>
  </si>
  <si>
    <t>NARCISO DELA CRUZ</t>
  </si>
  <si>
    <t>GUEVARRA, GINA</t>
  </si>
  <si>
    <t>GINA MELGA GUEVARRA</t>
  </si>
  <si>
    <t>GINA GUEVARRA</t>
  </si>
  <si>
    <t>DELA CRUZ, VIRGILIO</t>
  </si>
  <si>
    <t>VIRGILIO ROXAS DELA CRUZ</t>
  </si>
  <si>
    <t>VIRGILIO DELA CRUZ</t>
  </si>
  <si>
    <t>DELA CRUZ, LEONARDO</t>
  </si>
  <si>
    <t>LEONARDO ROXAS DELA CRUZ</t>
  </si>
  <si>
    <t>LEONARDO DELA CRUZ</t>
  </si>
  <si>
    <t>DEMAYUGA, LORENZA</t>
  </si>
  <si>
    <t>LORENZA REYES DEMAYUGA</t>
  </si>
  <si>
    <t>LORENZA DEMAYUGA</t>
  </si>
  <si>
    <t>DELA CRUZ, FELICIANA</t>
  </si>
  <si>
    <t>FELICIANA ROXAS DELA CRUZ</t>
  </si>
  <si>
    <t>FELICIANA DELA CRUZ</t>
  </si>
  <si>
    <t>ANTONIO, IRENEO</t>
  </si>
  <si>
    <t>IRENEO EVANGELISTA ANTONIO</t>
  </si>
  <si>
    <t>IRENEO ANTONIO</t>
  </si>
  <si>
    <t>CAPUDOY, GREGARIA</t>
  </si>
  <si>
    <t>GREGARIA  CAPUDOY</t>
  </si>
  <si>
    <t>GREGARIA CAPUDOY</t>
  </si>
  <si>
    <t>GALLARDO, JESUS</t>
  </si>
  <si>
    <t>JESUS MACALALAG GALLARDO</t>
  </si>
  <si>
    <t>JESUS GALLARDO</t>
  </si>
  <si>
    <t>SANIANO, TERESITA</t>
  </si>
  <si>
    <t>TERESITA FORMARAN SANIANO</t>
  </si>
  <si>
    <t>TERESITA SANIANO</t>
  </si>
  <si>
    <t>BUZON, ROMUALDO</t>
  </si>
  <si>
    <t>ROMUALDO MARCELO BUZON</t>
  </si>
  <si>
    <t>ROMUALDO BUZON</t>
  </si>
  <si>
    <t>BUZON, REBECCA</t>
  </si>
  <si>
    <t>REBECCA WALICAN BUZON</t>
  </si>
  <si>
    <t>REBECCA BUZON</t>
  </si>
  <si>
    <t>MEDRANO, WILFREDO</t>
  </si>
  <si>
    <t>WILFREDO  MEDRANO</t>
  </si>
  <si>
    <t>WILFREDO MEDRANO</t>
  </si>
  <si>
    <t>BERNABE, ROSANNA</t>
  </si>
  <si>
    <t>ROSANNA CRUZ BERNABE</t>
  </si>
  <si>
    <t>ROSANNA BERNABE</t>
  </si>
  <si>
    <t>MEDRANO, ROSANA</t>
  </si>
  <si>
    <t>ROSANA BERNABE MEDRANO</t>
  </si>
  <si>
    <t>ROSANA MEDRANO</t>
  </si>
  <si>
    <t>MAPUE, NOEL</t>
  </si>
  <si>
    <t>NOEL FERNANDO MAPUE</t>
  </si>
  <si>
    <t>NOEL MAPUE</t>
  </si>
  <si>
    <t>CASTRO, JULIETA</t>
  </si>
  <si>
    <t>JULIETA RUIZ CASTRO</t>
  </si>
  <si>
    <t>JULIETA CASTRO</t>
  </si>
  <si>
    <t>SANDEL, FORTUNATO</t>
  </si>
  <si>
    <t>FORTUNATO BERNARDINO SANDEL</t>
  </si>
  <si>
    <t>FORTUNATO SANDEL</t>
  </si>
  <si>
    <t>CRUZ, ERLINDA</t>
  </si>
  <si>
    <t>ERLINDA MANGALINDAN CRUZ</t>
  </si>
  <si>
    <t>ERLINDA CRUZ</t>
  </si>
  <si>
    <t>MARQUEZ, MELANIE</t>
  </si>
  <si>
    <t>MELANIE CRUZ MARQUEZ</t>
  </si>
  <si>
    <t>MELANIE MARQUEZ</t>
  </si>
  <si>
    <t>CRUZ SR., ANTONIO</t>
  </si>
  <si>
    <t>ANTONIO MANALINDAN CRUZ SR.</t>
  </si>
  <si>
    <t>ANTONIO CRUZ SR.</t>
  </si>
  <si>
    <t>PACIA, LUCIA</t>
  </si>
  <si>
    <t>LUCIA  PACIA</t>
  </si>
  <si>
    <t>LUCIA PACIA</t>
  </si>
  <si>
    <t>ESTRADA, JOSEPH</t>
  </si>
  <si>
    <t>JOSEPH SORIANO ESTRADA</t>
  </si>
  <si>
    <t>JOSEPH ESTRADA</t>
  </si>
  <si>
    <t>CRUZ, JENNIFER</t>
  </si>
  <si>
    <t>JENNIFER PACIA CRUZ</t>
  </si>
  <si>
    <t>JENNIFER CRUZ</t>
  </si>
  <si>
    <t>OSMENA, CARMELITA</t>
  </si>
  <si>
    <t>CARMELITA APILO OSMENA</t>
  </si>
  <si>
    <t>CARMELITA OSMENA</t>
  </si>
  <si>
    <t>MAPANAN, RICHARD</t>
  </si>
  <si>
    <t>RICHARD  MAPANAN</t>
  </si>
  <si>
    <t>RICHARD MAPANAN</t>
  </si>
  <si>
    <t>OSMENA, RIZALINA</t>
  </si>
  <si>
    <t>RIZALINA APILO OSMENA</t>
  </si>
  <si>
    <t>RIZALINA OSMENA</t>
  </si>
  <si>
    <t>APILO, BRIGIDA</t>
  </si>
  <si>
    <t>BRIGIDA VILLANUEVA APILO</t>
  </si>
  <si>
    <t>BRIGIDA APILO</t>
  </si>
  <si>
    <t>DE JESUS, ANTONIO</t>
  </si>
  <si>
    <t>ANTONIO LIBIRAN DE JESUS</t>
  </si>
  <si>
    <t>ANTONIO DE JESUS</t>
  </si>
  <si>
    <t>RACELIS, ARLENE</t>
  </si>
  <si>
    <t>ARLENE BOTIAL RACELIS</t>
  </si>
  <si>
    <t>ARLENE RACELIS</t>
  </si>
  <si>
    <t>MENDOZA, ROMEDIOS</t>
  </si>
  <si>
    <t>ROMEDIOS SANTOS MENDOZA</t>
  </si>
  <si>
    <t>ROMEDIOS MENDOZA</t>
  </si>
  <si>
    <t>SUAREZ, ADELAIDA</t>
  </si>
  <si>
    <t>ADELAIDA  SUAREZ</t>
  </si>
  <si>
    <t>ADELAIDA SUAREZ</t>
  </si>
  <si>
    <t>BADE, DELIA</t>
  </si>
  <si>
    <t>DELIA BISANA BADE</t>
  </si>
  <si>
    <t>DELIA BADE</t>
  </si>
  <si>
    <t>SUAREZ, ADELFA</t>
  </si>
  <si>
    <t>ADELFA BADE SUAREZ</t>
  </si>
  <si>
    <t>ADELFA SUAREZ</t>
  </si>
  <si>
    <t>BADE, JOEY</t>
  </si>
  <si>
    <t>JOEY  BADE</t>
  </si>
  <si>
    <t>JOEY BADE</t>
  </si>
  <si>
    <t>DELANTAR, CORAZON</t>
  </si>
  <si>
    <t>CORAZON DELA CRUZ DELANTAR</t>
  </si>
  <si>
    <t>CORAZON DELANTAR</t>
  </si>
  <si>
    <t>FRANCISCO, FRANCISCO</t>
  </si>
  <si>
    <t>FRANCISCO SARMIENTO FRANCISCO</t>
  </si>
  <si>
    <t>FRANCISCO FRANCISCO</t>
  </si>
  <si>
    <t>TAN, NELSON</t>
  </si>
  <si>
    <t>NELSON FRANCISCO TAN</t>
  </si>
  <si>
    <t>NELSON TAN</t>
  </si>
  <si>
    <t>TAN, NOLI</t>
  </si>
  <si>
    <t>NOLI FRANCISCO TAN</t>
  </si>
  <si>
    <t>NOLI TAN</t>
  </si>
  <si>
    <t>MALGUSTO, IRENE</t>
  </si>
  <si>
    <t>IRENE VILLASIS MALGUSTO</t>
  </si>
  <si>
    <t>IRENE MALGUSTO</t>
  </si>
  <si>
    <t>FRANCISCO, ELVIRA</t>
  </si>
  <si>
    <t>ELVIRA SARMIENTO FRANCISCO</t>
  </si>
  <si>
    <t>ELVIRA FRANCISCO</t>
  </si>
  <si>
    <t>LIBIRAN JR., EDUARDO</t>
  </si>
  <si>
    <t>EDUARDO DELA CRUZ LIBIRAN JR.</t>
  </si>
  <si>
    <t>EDUARDO LIBIRAN JR.</t>
  </si>
  <si>
    <t>CAPILI, EMELIA</t>
  </si>
  <si>
    <t>EMELIA LOBRIN CAPILI</t>
  </si>
  <si>
    <t>EMELIA CAPILI</t>
  </si>
  <si>
    <t>GALURA, EMMANUEL</t>
  </si>
  <si>
    <t>EMMANUEL GASACAO GALURA</t>
  </si>
  <si>
    <t>EMMANUEL GALURA</t>
  </si>
  <si>
    <t>CAPILI, SHIRLY</t>
  </si>
  <si>
    <t>SHIRLY LUBRIL CAPILI</t>
  </si>
  <si>
    <t>SHIRLY CAPILI</t>
  </si>
  <si>
    <t>JARILLA, JAIME</t>
  </si>
  <si>
    <t>JAIME ALCANTARA JARILLA</t>
  </si>
  <si>
    <t>JAIME JARILLA</t>
  </si>
  <si>
    <t>CAPILI, AGNES</t>
  </si>
  <si>
    <t>AGNES LIBRIN CAPILI</t>
  </si>
  <si>
    <t>AGNES CAPILI</t>
  </si>
  <si>
    <t>TADEO, AVELINO</t>
  </si>
  <si>
    <t>AVELINO CENTINO TADEO</t>
  </si>
  <si>
    <t>AVELINO TADEO</t>
  </si>
  <si>
    <t>PAULINO, LETICIA</t>
  </si>
  <si>
    <t>LETICIA LUBRING PAULINO</t>
  </si>
  <si>
    <t>LETICIA PAULINO</t>
  </si>
  <si>
    <t>PAULINO, VIRGINIA</t>
  </si>
  <si>
    <t>VIRGINIA MARTIN PAULINO</t>
  </si>
  <si>
    <t>VIRGINIA PAULINO</t>
  </si>
  <si>
    <t>PAULINO, ROSANA</t>
  </si>
  <si>
    <t>ROSANA MARTIN PAULINO</t>
  </si>
  <si>
    <t>ROSANA PAULINO</t>
  </si>
  <si>
    <t>CANTILLO, FLORINA</t>
  </si>
  <si>
    <t>FLORINA ESPINOSA CANTILLO</t>
  </si>
  <si>
    <t>FLORINA CANTILLO</t>
  </si>
  <si>
    <t>PAULINO, EDGAR</t>
  </si>
  <si>
    <t>EDGAR MARTIN PAULINO</t>
  </si>
  <si>
    <t>EDGAR PAULINO</t>
  </si>
  <si>
    <t>LAXAMANA, VIOLETA</t>
  </si>
  <si>
    <t>VIOLETA LUMANLAN LAXAMANA</t>
  </si>
  <si>
    <t>VIOLETA LAXAMANA</t>
  </si>
  <si>
    <t>SALVADOR, MARIO</t>
  </si>
  <si>
    <t>MARIO ROSARIO SALVADOR</t>
  </si>
  <si>
    <t>MARIO SALVADOR</t>
  </si>
  <si>
    <t xml:space="preserve">PAULINO, </t>
  </si>
  <si>
    <t xml:space="preserve">  PAULINO</t>
  </si>
  <si>
    <t xml:space="preserve"> PAULINO</t>
  </si>
  <si>
    <t xml:space="preserve">ICO, </t>
  </si>
  <si>
    <t xml:space="preserve">  ICO</t>
  </si>
  <si>
    <t xml:space="preserve"> ICO</t>
  </si>
  <si>
    <t xml:space="preserve">DIONISIO, </t>
  </si>
  <si>
    <t xml:space="preserve">  DIONISIO</t>
  </si>
  <si>
    <t xml:space="preserve"> DIONISIO</t>
  </si>
  <si>
    <t xml:space="preserve">SAN MIGUEL, </t>
  </si>
  <si>
    <t xml:space="preserve">  SAN MIGUEL</t>
  </si>
  <si>
    <t xml:space="preserve"> SAN MIGUEL</t>
  </si>
  <si>
    <t xml:space="preserve">NORBERTE, </t>
  </si>
  <si>
    <t xml:space="preserve">  NORBERTE</t>
  </si>
  <si>
    <t xml:space="preserve"> NORBERTE</t>
  </si>
  <si>
    <t xml:space="preserve">FERNANDO, </t>
  </si>
  <si>
    <t xml:space="preserve">  FERNANDO</t>
  </si>
  <si>
    <t xml:space="preserve"> FERNANDO</t>
  </si>
  <si>
    <t xml:space="preserve">QUIROS, </t>
  </si>
  <si>
    <t xml:space="preserve">  QUIROS</t>
  </si>
  <si>
    <t xml:space="preserve"> QUIROS</t>
  </si>
  <si>
    <t xml:space="preserve">CRUZ, </t>
  </si>
  <si>
    <t xml:space="preserve">  CRUZ</t>
  </si>
  <si>
    <t xml:space="preserve"> CRUZ</t>
  </si>
  <si>
    <t xml:space="preserve">ARCILLA, </t>
  </si>
  <si>
    <t xml:space="preserve">  ARCILLA</t>
  </si>
  <si>
    <t xml:space="preserve"> ARCILLA</t>
  </si>
  <si>
    <t xml:space="preserve">VIILANUEVA, </t>
  </si>
  <si>
    <t xml:space="preserve">  VIILANUEVA</t>
  </si>
  <si>
    <t xml:space="preserve"> VIILANUEVA</t>
  </si>
  <si>
    <t xml:space="preserve">PUNO, </t>
  </si>
  <si>
    <t xml:space="preserve">  PUNO</t>
  </si>
  <si>
    <t xml:space="preserve"> PUNO</t>
  </si>
  <si>
    <t xml:space="preserve">ABAD, </t>
  </si>
  <si>
    <t xml:space="preserve">  ABAD</t>
  </si>
  <si>
    <t xml:space="preserve"> ABAD</t>
  </si>
  <si>
    <t xml:space="preserve">PASCUAL, </t>
  </si>
  <si>
    <t xml:space="preserve">  PASCUAL</t>
  </si>
  <si>
    <t xml:space="preserve"> PASCUAL</t>
  </si>
  <si>
    <t xml:space="preserve">NARVASA, </t>
  </si>
  <si>
    <t xml:space="preserve">  NARVASA</t>
  </si>
  <si>
    <t xml:space="preserve"> NARVASA</t>
  </si>
  <si>
    <t xml:space="preserve">CASTRO, </t>
  </si>
  <si>
    <t xml:space="preserve">  CASTRO</t>
  </si>
  <si>
    <t xml:space="preserve"> CASTRO</t>
  </si>
  <si>
    <t xml:space="preserve">DELA CRUZ, </t>
  </si>
  <si>
    <t xml:space="preserve">  DELA CRUZ</t>
  </si>
  <si>
    <t xml:space="preserve"> DELA CRUZ</t>
  </si>
  <si>
    <t xml:space="preserve">DELA JR., </t>
  </si>
  <si>
    <t xml:space="preserve">  DELA JR.</t>
  </si>
  <si>
    <t xml:space="preserve"> DELA JR.</t>
  </si>
  <si>
    <t xml:space="preserve">MENDEZ, </t>
  </si>
  <si>
    <t xml:space="preserve">  MENDEZ</t>
  </si>
  <si>
    <t xml:space="preserve"> MENDEZ</t>
  </si>
  <si>
    <t xml:space="preserve">DELA CRUZ JR., </t>
  </si>
  <si>
    <t xml:space="preserve">  DELA CRUZ JR.</t>
  </si>
  <si>
    <t xml:space="preserve"> DELA CRUZ JR.</t>
  </si>
  <si>
    <t xml:space="preserve">SANTOS, </t>
  </si>
  <si>
    <t xml:space="preserve">  SANTOS</t>
  </si>
  <si>
    <t xml:space="preserve"> SANTOS</t>
  </si>
  <si>
    <t xml:space="preserve">DE GUZMAN, </t>
  </si>
  <si>
    <t xml:space="preserve">  DE GUZMAN</t>
  </si>
  <si>
    <t xml:space="preserve"> DE GUZMAN</t>
  </si>
  <si>
    <t xml:space="preserve">SARSA, </t>
  </si>
  <si>
    <t xml:space="preserve">  SARSA</t>
  </si>
  <si>
    <t xml:space="preserve"> SARSA</t>
  </si>
  <si>
    <t xml:space="preserve">OLIMBA, </t>
  </si>
  <si>
    <t xml:space="preserve">  OLIMBA</t>
  </si>
  <si>
    <t xml:space="preserve"> OLIMBA</t>
  </si>
  <si>
    <t>LEDDA, RESTITUTO</t>
  </si>
  <si>
    <t>RESTITUTO SAGAYNO LEDDA</t>
  </si>
  <si>
    <t>RESTITUTO LEDDA</t>
  </si>
  <si>
    <t>PARAISO, MARIA</t>
  </si>
  <si>
    <t>MARIA BAUTISTA PARAISO</t>
  </si>
  <si>
    <t>MARIA PARAISO</t>
  </si>
  <si>
    <t>LUCES, JAMILLI</t>
  </si>
  <si>
    <t>JAMILLI  LUCES</t>
  </si>
  <si>
    <t>JAMILLI LUCES</t>
  </si>
  <si>
    <t>TOH, TERESITA</t>
  </si>
  <si>
    <t>TERESITA GOHAN TOH</t>
  </si>
  <si>
    <t>TERESITA TOH</t>
  </si>
  <si>
    <t>ACOMPANIADO, TEODOLO</t>
  </si>
  <si>
    <t>TEODOLO CARILLO ACOMPANIADO</t>
  </si>
  <si>
    <t>TEODOLO ACOMPANIADO</t>
  </si>
  <si>
    <t>MAURICIO, LIDIA</t>
  </si>
  <si>
    <t>LIDIA IBATADOS MAURICIO</t>
  </si>
  <si>
    <t>LIDIA MAURICIO</t>
  </si>
  <si>
    <t>FACISTOL, APRONIAN</t>
  </si>
  <si>
    <t>APRONIAN FABALLA FACISTOL</t>
  </si>
  <si>
    <t>APRONIAN FACISTOL</t>
  </si>
  <si>
    <t>RABINO, LOURDES</t>
  </si>
  <si>
    <t>LOURDES  RABINO</t>
  </si>
  <si>
    <t>LOURDES RABINO</t>
  </si>
  <si>
    <t>RESAYO, JOSE</t>
  </si>
  <si>
    <t>JOSE RAMIREZ RESAYO</t>
  </si>
  <si>
    <t>JOSE RESAYO</t>
  </si>
  <si>
    <t>CRUZ, ANTONIO</t>
  </si>
  <si>
    <t>ANTONIO BAUTISTA CRUZ</t>
  </si>
  <si>
    <t>ANTONIO CRUZ</t>
  </si>
  <si>
    <t>PINULAN, NATIVIDAD</t>
  </si>
  <si>
    <t>NATIVIDAD TAPIA PINULAN</t>
  </si>
  <si>
    <t>NATIVIDAD PINULAN</t>
  </si>
  <si>
    <t>CAREALLER, CAYETANO</t>
  </si>
  <si>
    <t>CAYETANO SAGAYNO CAREALLER</t>
  </si>
  <si>
    <t>CAYETANO CAREALLER</t>
  </si>
  <si>
    <t>FULLERO, VIRGILIO</t>
  </si>
  <si>
    <t>VIRGILIO LATA FULLERO</t>
  </si>
  <si>
    <t>VIRGILIO FULLERO</t>
  </si>
  <si>
    <t>SOMERA, MA. LUISA</t>
  </si>
  <si>
    <t>MA. LUISA BANIG SOMERA</t>
  </si>
  <si>
    <t>MA. LUISA SOMERA</t>
  </si>
  <si>
    <t xml:space="preserve">FULLERO, EDWIN </t>
  </si>
  <si>
    <t>EDWIN  SOMERA FULLERO</t>
  </si>
  <si>
    <t>EDWIN  FULLERO</t>
  </si>
  <si>
    <t>MARISSA, VILLANUEVA</t>
  </si>
  <si>
    <t>VILLANUEVA RETAGA MARISSA</t>
  </si>
  <si>
    <t>VILLANUEVA MARISSA</t>
  </si>
  <si>
    <t>LIM, NAPOLEON</t>
  </si>
  <si>
    <t>NAPOLEON PEREZ LIM</t>
  </si>
  <si>
    <t>NAPOLEON LIM</t>
  </si>
  <si>
    <t>VILLARUEL, BEATRIZ</t>
  </si>
  <si>
    <t>BEATRIZ  VILLARUEL</t>
  </si>
  <si>
    <t>BEATRIZ VILLARUEL</t>
  </si>
  <si>
    <t>CLEOFE, ELISEA</t>
  </si>
  <si>
    <t>ELISEA PUNSALAN CLEOFE</t>
  </si>
  <si>
    <t>ELISEA CLEOFE</t>
  </si>
  <si>
    <t>FRANCISCO, MICHAEL</t>
  </si>
  <si>
    <t>MICHAEL  FRANCISCO</t>
  </si>
  <si>
    <t>MICHAEL FRANCISCO</t>
  </si>
  <si>
    <t>CLEOFE, DELFA</t>
  </si>
  <si>
    <t>DELFA CLEOFE CLEOFE</t>
  </si>
  <si>
    <t>DELFA CLEOFE</t>
  </si>
  <si>
    <t>TAN, LUCKY</t>
  </si>
  <si>
    <t>LUCKY CLEOFE TAN</t>
  </si>
  <si>
    <t>LUCKY TAN</t>
  </si>
  <si>
    <t>NARCE, JORDAN</t>
  </si>
  <si>
    <t>JORDAN ABUAN NARCE</t>
  </si>
  <si>
    <t>JORDAN NARCE</t>
  </si>
  <si>
    <t>CLEOFE, APRIL ANNE</t>
  </si>
  <si>
    <t>APRIL ANNE CATRIZ CLEOFE</t>
  </si>
  <si>
    <t>APRIL ANNE CLEOFE</t>
  </si>
  <si>
    <t>PIRING, FERDINAND</t>
  </si>
  <si>
    <t>FERDINAND CLEOFE PIRING</t>
  </si>
  <si>
    <t>FERDINAND PIRING</t>
  </si>
  <si>
    <t xml:space="preserve">CANICOSA, IRMA </t>
  </si>
  <si>
    <t>IRMA  LORENZO CANICOSA</t>
  </si>
  <si>
    <t>IRMA  CANICOSA</t>
  </si>
  <si>
    <t>ESTOESTA, EDWARD</t>
  </si>
  <si>
    <t>EDWARD CARSON ESTOESTA</t>
  </si>
  <si>
    <t>EDWARD ESTOESTA</t>
  </si>
  <si>
    <t>PIRING, GLORIA</t>
  </si>
  <si>
    <t>GLORIA CLEOFE PIRING</t>
  </si>
  <si>
    <t>GLORIA PIRING</t>
  </si>
  <si>
    <t>HAGOS, ANTONIO</t>
  </si>
  <si>
    <t>ANTONIO SARCIA HAGOS</t>
  </si>
  <si>
    <t>ANTONIO HAGOS</t>
  </si>
  <si>
    <t>MENDONEZ, ANGELITA</t>
  </si>
  <si>
    <t>ANGELITA HABIL MENDONEZ</t>
  </si>
  <si>
    <t>ANGELITA MENDONEZ</t>
  </si>
  <si>
    <t>DELA CRUZ, JOSEPH CHRISTIAN</t>
  </si>
  <si>
    <t>JOSEPH CHRISTIAN CANTINA DELA CRUZ</t>
  </si>
  <si>
    <t>JOSEPH CHRISTIAN DELA CRUZ</t>
  </si>
  <si>
    <t>OCAMPO, ERLINDA</t>
  </si>
  <si>
    <t>ERLINDA FRANCISCO OCAMPO</t>
  </si>
  <si>
    <t>ERLINDA OCAMPO</t>
  </si>
  <si>
    <t>DELA CRUZ, JOSE</t>
  </si>
  <si>
    <t>JOSE ESTANISLAO DELA CRUZ</t>
  </si>
  <si>
    <t>JOSE DELA CRUZ</t>
  </si>
  <si>
    <t>MERCADO, MA. CORAZON</t>
  </si>
  <si>
    <t>MA. CORAZON GONZALES MERCADO</t>
  </si>
  <si>
    <t>MA. CORAZON MERCADO</t>
  </si>
  <si>
    <t>DELA CRUZ, ROSARIO</t>
  </si>
  <si>
    <t>ROSARIO ESTANISLAO DELA CRUZ</t>
  </si>
  <si>
    <t>ROSARIO DELA CRUZ</t>
  </si>
  <si>
    <t>ABRIGO SR., ABELARDO</t>
  </si>
  <si>
    <t>ABELARDO BANGAYAN ABRIGO SR.</t>
  </si>
  <si>
    <t>ABELARDO ABRIGO SR.</t>
  </si>
  <si>
    <t>ABRIGO SR., VIRGINIA</t>
  </si>
  <si>
    <t>VIRGINIA ALEONSO ABRIGO SR.</t>
  </si>
  <si>
    <t>VIRGINIA ABRIGO SR.</t>
  </si>
  <si>
    <t>ABEJERO, TEODORO</t>
  </si>
  <si>
    <t>TEODORO CREDO ABEJERO</t>
  </si>
  <si>
    <t>TEODORO ABEJERO</t>
  </si>
  <si>
    <t>ALFONSO, JOSEFINA</t>
  </si>
  <si>
    <t>JOSEFINA TOH ALFONSO</t>
  </si>
  <si>
    <t>JOSEFINA ALFONSO</t>
  </si>
  <si>
    <t>ABRIGO, ALDRIN</t>
  </si>
  <si>
    <t>ALDRIN ALFONSO ABRIGO</t>
  </si>
  <si>
    <t>ALDRIN ABRIGO</t>
  </si>
  <si>
    <t>CASIHAN, LEAH</t>
  </si>
  <si>
    <t>LEAH LEGASPI CASIHAN</t>
  </si>
  <si>
    <t>LEAH CASIHAN</t>
  </si>
  <si>
    <t>ABRIGO, ARVIN</t>
  </si>
  <si>
    <t>ARVIN ALFONSO ABRIGO</t>
  </si>
  <si>
    <t>ARVIN ABRIGO</t>
  </si>
  <si>
    <t>CLEOFE, JESUS</t>
  </si>
  <si>
    <t>JESUS AGUAS CLEOFE</t>
  </si>
  <si>
    <t>JESUS CLEOFE</t>
  </si>
  <si>
    <t>BONIFACIO, CARMELITA</t>
  </si>
  <si>
    <t>CARMELITA TALUSAN BONIFACIO</t>
  </si>
  <si>
    <t>CARMELITA BONIFACIO</t>
  </si>
  <si>
    <t>GELIDO, J-R</t>
  </si>
  <si>
    <t>J-R BONIFACIO GELIDO</t>
  </si>
  <si>
    <t>J-R GELIDO</t>
  </si>
  <si>
    <t>GELIDO, JESALEM</t>
  </si>
  <si>
    <t>JESALEM ALAYON GELIDO</t>
  </si>
  <si>
    <t>JESALEM GELIDO</t>
  </si>
  <si>
    <t>HH</t>
  </si>
  <si>
    <t>LO</t>
  </si>
  <si>
    <t>SO</t>
  </si>
  <si>
    <t>so</t>
  </si>
  <si>
    <t>names</t>
  </si>
  <si>
    <t>CRUZ, ARNOLFO PALISOC</t>
  </si>
  <si>
    <t>DIMAANDAL, VICTORIA DIMAYUGA</t>
  </si>
  <si>
    <t>CRUZ, VERA DIMAANDAL</t>
  </si>
  <si>
    <t>DEL MUNDO, GINA AGLIPAY</t>
  </si>
  <si>
    <t>CRUZ, ANSELMO PALISOC</t>
  </si>
  <si>
    <t>SANTOS, OFELIA MANIO</t>
  </si>
  <si>
    <t>RAMOS, JOEL MALIA</t>
  </si>
  <si>
    <t>CRUZ, ANTONETTE SANTOS</t>
  </si>
  <si>
    <t>CRUZ, ADELINA DOMINGO</t>
  </si>
  <si>
    <t>CRUZ, GLORIA ESTEBAN</t>
  </si>
  <si>
    <t>FUENTES, YOLANDA CRUZ</t>
  </si>
  <si>
    <t>GARDE, RICARDO GARCIA</t>
  </si>
  <si>
    <t>SOLANO, MILAGROS TROPA</t>
  </si>
  <si>
    <t>BEANO, ISABEL DEL ROSARIO</t>
  </si>
  <si>
    <t>VOLANTE, EMILIO BLANQUISCO</t>
  </si>
  <si>
    <t>MARCELO, MARINA DEL ROSARIO</t>
  </si>
  <si>
    <t>NAVAL, MARCELO POLICARPIO</t>
  </si>
  <si>
    <t>MARCELO, CORAZON DE GUZMAN</t>
  </si>
  <si>
    <t>NAVAL, LORNA MARCELO</t>
  </si>
  <si>
    <t>VALASCO, RYAN JAY GUERRA</t>
  </si>
  <si>
    <t>TABACONG, MIRIAM PETALLAR</t>
  </si>
  <si>
    <t>LUNTAO, EDWIN TANVERIDO</t>
  </si>
  <si>
    <t>HANDIG, RIZALINE VELASCO</t>
  </si>
  <si>
    <t>GUILAS, FLORO SANTOS</t>
  </si>
  <si>
    <t>MARCELO, RODALYN VELASCO</t>
  </si>
  <si>
    <t>LIMPIN, CESO ARAN</t>
  </si>
  <si>
    <t>PASAQUIAN, ANTHONIA BALDIVIA</t>
  </si>
  <si>
    <t>LUCAS, BABY NORBERTO</t>
  </si>
  <si>
    <t>NORBERTE, RICARDO SAMSON</t>
  </si>
  <si>
    <t>BEANO, ISABELITA DEL ROSARIO</t>
  </si>
  <si>
    <t>NORBERTE, ARTEMIO LAPUE</t>
  </si>
  <si>
    <t>NORBERTE, VICTORIA FERNANDO</t>
  </si>
  <si>
    <t>VALERA, RODOLFO PONDOC</t>
  </si>
  <si>
    <t>MARCELO, MILAGROS DE GUZMAN</t>
  </si>
  <si>
    <t>ANGAY, REYNALDO GANOD</t>
  </si>
  <si>
    <t>ENCINARES, CARMELITA BACUNAWA</t>
  </si>
  <si>
    <t>ZAMORA, MARITES LOZANO</t>
  </si>
  <si>
    <t>GALANG, LIGAYA PASCUAL</t>
  </si>
  <si>
    <t>LOZANO, CHRISTOPHER CAMPOSANO</t>
  </si>
  <si>
    <t xml:space="preserve">, GANOD </t>
  </si>
  <si>
    <t>CASTRO, BRENDA CARSON</t>
  </si>
  <si>
    <t>HABIL, NENA GARIDAN</t>
  </si>
  <si>
    <t>HABIL JR., JULIAN GARIDAN</t>
  </si>
  <si>
    <t>HABIL, ERNESTO GARIDAN</t>
  </si>
  <si>
    <t>ROBLES, JOESIELYN PULA</t>
  </si>
  <si>
    <t>HAGOS, FERNANDO ROSAS</t>
  </si>
  <si>
    <t>HABIL, MELINDA GARIDAN</t>
  </si>
  <si>
    <t>HABIL, NORBERTO GARIDAN</t>
  </si>
  <si>
    <t>HABIL, JESSIE GARIDAN</t>
  </si>
  <si>
    <t xml:space="preserve">OLIVEROS, JOYCE </t>
  </si>
  <si>
    <t>ALVAREZ, LORETO ARSEMIO</t>
  </si>
  <si>
    <t>LLERA, ROGELIA CABREJAS</t>
  </si>
  <si>
    <t>ALVAREZ, NOEL LLERA</t>
  </si>
  <si>
    <t>CASTRO, RODORA FAMOSO</t>
  </si>
  <si>
    <t>CASTRO, WILFREDO FAMOSO</t>
  </si>
  <si>
    <t xml:space="preserve">CRISOSTOMO, ZENAIDA </t>
  </si>
  <si>
    <t>BASA, ANTONIO NICOLAS</t>
  </si>
  <si>
    <t>CASTRO, AMELIA MENDOZA</t>
  </si>
  <si>
    <t>PACHECO, NOLITO PALMA</t>
  </si>
  <si>
    <t>BUZON, ANTONIO MARCELO</t>
  </si>
  <si>
    <t>ICO, ELVIRA DANIAS</t>
  </si>
  <si>
    <t>ICO, OFELIA OCHOA</t>
  </si>
  <si>
    <t>ICO, HILMINEGILDO ESCARCHA</t>
  </si>
  <si>
    <t>ESMILO, FELIX MACAWILI</t>
  </si>
  <si>
    <t>ICO, CARMENSITA DANAS</t>
  </si>
  <si>
    <t>PABUSTAN, ERMEL ICO</t>
  </si>
  <si>
    <t>GREGORIO, OLIVER GARCIA</t>
  </si>
  <si>
    <t>BARACENA, BENEDICTO ELOPRE</t>
  </si>
  <si>
    <t>ANTONIA, JOSEPHINE SEBESTIAN</t>
  </si>
  <si>
    <t>DELA CRUZ, GERWIN DIMAYUGA</t>
  </si>
  <si>
    <t>BERNABAT, ROSALIM HAUSAYAN</t>
  </si>
  <si>
    <t>PITA, PRUDENCIO SANTOS</t>
  </si>
  <si>
    <t>OPENA, ELIZABETH JOSE</t>
  </si>
  <si>
    <t>PITA, EDGARDO OPENA</t>
  </si>
  <si>
    <t>RICARDO, JOAN BULENSALIDA</t>
  </si>
  <si>
    <t>PITRA JR., PORCISO SANTOS</t>
  </si>
  <si>
    <t>DELA CRUZ, REGINA LUYAN</t>
  </si>
  <si>
    <t>BELTRAN, JOSE SANTOS</t>
  </si>
  <si>
    <t>CALMA, EVELYN FUENTES</t>
  </si>
  <si>
    <t>CASTRO, FERDINAND RUIZ</t>
  </si>
  <si>
    <t>LOZANO, MARIETTA CAMPOSANO</t>
  </si>
  <si>
    <t>OLIVEROS, VALENTIN BAZAR</t>
  </si>
  <si>
    <t>BELTRAN, JULIE ANN CALMA</t>
  </si>
  <si>
    <t>SANTOS, FELIX JACINTO</t>
  </si>
  <si>
    <t xml:space="preserve">MESIRALI, TERESITA </t>
  </si>
  <si>
    <t>MESIAS, RANELY MASIRALI</t>
  </si>
  <si>
    <t>JARAMILLA, JENNIFER URBANA</t>
  </si>
  <si>
    <t>SANTOS, JEFFERSON DELA CRUZ</t>
  </si>
  <si>
    <t>ALMOETE, CANDIDA ALAWIG</t>
  </si>
  <si>
    <t>MENDOZA, RAMON SANTOS</t>
  </si>
  <si>
    <t>LIBIRAN, LUCITA EVANGELISTA</t>
  </si>
  <si>
    <t>CRISOSTOMO JR., AQUINO BALONDO</t>
  </si>
  <si>
    <t>DELA CRUZ, PASTORA MORALES</t>
  </si>
  <si>
    <t>CRISOSTOMO JR., AQUINO DELA CRUZ</t>
  </si>
  <si>
    <t>DAVID, VIVIEN SOLETA</t>
  </si>
  <si>
    <t>MANILA, NESTOR CRISOSTOMO</t>
  </si>
  <si>
    <t>APILO, MA. LOURDES CRISOSTOMO</t>
  </si>
  <si>
    <t>MANZO, TRISTAN GALANG</t>
  </si>
  <si>
    <t>PADAPAT, NINO JOSEPH REYES</t>
  </si>
  <si>
    <t>LIBIRAN, SHERILYN CRUZ</t>
  </si>
  <si>
    <t>CRISOSTOMO , FLORENCIA GREGORIO</t>
  </si>
  <si>
    <t>OPENA, EVELYN JOSE</t>
  </si>
  <si>
    <t>GONZALES, LOBY OPENA</t>
  </si>
  <si>
    <t>CRISOSTOMO, ROMEO ALMONTE</t>
  </si>
  <si>
    <t>PANAMBO, MYRNA BOTOR</t>
  </si>
  <si>
    <t>CRISOSTOMO, ERNESTO ALMONTE</t>
  </si>
  <si>
    <t>MAGTABOG, CORAZON GERONIMO</t>
  </si>
  <si>
    <t>TABABA, EVELYN CRISOSTOMO</t>
  </si>
  <si>
    <t>TABABA, ARTURO LANUZA</t>
  </si>
  <si>
    <t>SORIANO, LEONCIO MAGGAY</t>
  </si>
  <si>
    <t>OLIVEROS, ROSARIO ANTONIO</t>
  </si>
  <si>
    <t>OLIVEROS, RICARDO ANTONIO</t>
  </si>
  <si>
    <t>BAZAR, FLORDELIZA TABAYAG</t>
  </si>
  <si>
    <t>DAQUIOAG, CARMIELITA OLIVEROS</t>
  </si>
  <si>
    <t>ANTONIO, ANTONIA GONZALES</t>
  </si>
  <si>
    <t>CONCORDIA, VIVIANA ANTONIO</t>
  </si>
  <si>
    <t>LIBIRAN, ROMEO EVANGELISTA</t>
  </si>
  <si>
    <t>BALUYOT, LUZ RODRIGUEZ</t>
  </si>
  <si>
    <t>AGBUYA, JOHNNY AGUSTIN</t>
  </si>
  <si>
    <t>DEL ROSARIO, JOSEPHINE PANER</t>
  </si>
  <si>
    <t>CRISOSTOMO, RAQUEL GREGORIO</t>
  </si>
  <si>
    <t>APILO, PRISCILLA CRISOSTOMO</t>
  </si>
  <si>
    <t>ORPILLA, BERNARDO RICLAR</t>
  </si>
  <si>
    <t>ROBOSA, WILMA RACAL</t>
  </si>
  <si>
    <t xml:space="preserve">FLORES, BERTING </t>
  </si>
  <si>
    <t>ORPILLA, PRINCES NOBOJA</t>
  </si>
  <si>
    <t>NOGOY, FEDERICO VALENCIA</t>
  </si>
  <si>
    <t>AMPIOCO, CLARITA MANALO</t>
  </si>
  <si>
    <t>AMPIOCO, MARIO MANALO</t>
  </si>
  <si>
    <t>DAVID, LOURDES ARCEO</t>
  </si>
  <si>
    <t xml:space="preserve">BALAYAN, RONALD </t>
  </si>
  <si>
    <t>AMPIOCO, MARVIC DAVID</t>
  </si>
  <si>
    <t>AMPIOCO, MANUEL DAVID</t>
  </si>
  <si>
    <t>GUILLAN, LORNA TOLENTINO</t>
  </si>
  <si>
    <t>PANLILIO, JOSELITO ROXAS</t>
  </si>
  <si>
    <t xml:space="preserve">SOBRE MONTE, AIDA </t>
  </si>
  <si>
    <t>DE GUZMAN, JOEL RICAFORT</t>
  </si>
  <si>
    <t>PASCUAL, ESTER SANTOS</t>
  </si>
  <si>
    <t>SANTIAGO, ALFREDO SILVA</t>
  </si>
  <si>
    <t>JOSE, CORAZON BUAM</t>
  </si>
  <si>
    <t>GONZALES, CHRISTOPHER ESTEBAN</t>
  </si>
  <si>
    <t xml:space="preserve">JOSE, BABY RUTH </t>
  </si>
  <si>
    <t>JOSE, RICARDO REDABLADO</t>
  </si>
  <si>
    <t>CASTRO, ROWENA SOLOMON</t>
  </si>
  <si>
    <t>JOSE, ALFONSO PEREZ</t>
  </si>
  <si>
    <t>LIBIRAN, ANDREA EVANGELISTA</t>
  </si>
  <si>
    <t>SAN MIGUEL, SHIRLEY FERNANDEZ</t>
  </si>
  <si>
    <t>BERNABE, PACITA CRUZ</t>
  </si>
  <si>
    <t>MEDCANO, ROSANA BERNABE</t>
  </si>
  <si>
    <t>CRUZ, CARLITO BASILIA</t>
  </si>
  <si>
    <t>CRUZ, CARLO DELA CRUZ</t>
  </si>
  <si>
    <t>BELTRAN, MATEO SANTOS</t>
  </si>
  <si>
    <t>FLORES, CHRISTINA JOSE</t>
  </si>
  <si>
    <t>JOSE, TEODORO PEREZ</t>
  </si>
  <si>
    <t>BUAN, ANGELINA DE LEON</t>
  </si>
  <si>
    <t>MANANSALA, RODEO DE LEON</t>
  </si>
  <si>
    <t>MENDOZA, REMEDIOS SANTOS</t>
  </si>
  <si>
    <t>PASCUAL, VICENTE GUEGORIO</t>
  </si>
  <si>
    <t>WY, MARCELINA DE GUZMAN</t>
  </si>
  <si>
    <t>BUNGAD, ANDALUCIO LIMPIN</t>
  </si>
  <si>
    <t>FAVOR, LITO MAGTALAS</t>
  </si>
  <si>
    <t>IGNACIO, CECILIA PASCUAL</t>
  </si>
  <si>
    <t>SANTIAGO, ROGER SILVA</t>
  </si>
  <si>
    <t>MANZO, LEE RONSTADT DEL ROSARIO</t>
  </si>
  <si>
    <t>MAPUE, JOEL CASTRO</t>
  </si>
  <si>
    <t>ANTONIO, VIRGILIO CAPUDAY</t>
  </si>
  <si>
    <t>ANTONIO, ROSE MARIE DELA CRUZ</t>
  </si>
  <si>
    <t>DEL MUNDO, ERNESTO JUAT</t>
  </si>
  <si>
    <t>FELIPE, IMELDA QUIROZ</t>
  </si>
  <si>
    <t>RACELIS, EMILIA FAUSTINO</t>
  </si>
  <si>
    <t>RACELIS, CRISENCIO FAUSTINO</t>
  </si>
  <si>
    <t>ARUGAY, SERAPIO SIBAL</t>
  </si>
  <si>
    <t>ANTONIO, CARMEN EVANGELISTA</t>
  </si>
  <si>
    <t>ESCALANTE, ROSITA SINFAEGO</t>
  </si>
  <si>
    <t>GOMEZ, LESTER ESCALANTE</t>
  </si>
  <si>
    <t>BALAO, PERLA CACANILAO</t>
  </si>
  <si>
    <t xml:space="preserve">BALAO, JERMY </t>
  </si>
  <si>
    <t>ANTIPALA, ROSARIO CASTRO</t>
  </si>
  <si>
    <t>ANTIPALA, RAMER CASTRO</t>
  </si>
  <si>
    <t>DE GUZMAN, JOCELYN PASCUAL</t>
  </si>
  <si>
    <t>ANTIPALA, ROMANITO CASTRO</t>
  </si>
  <si>
    <t>BASLA, ROWENA CASTRO</t>
  </si>
  <si>
    <t>MAPUE, EDNARDO LANGIT</t>
  </si>
  <si>
    <t>CASTRO, ELIZABETH RUIZ</t>
  </si>
  <si>
    <t>SANDEL, MATEO BERNARDINO</t>
  </si>
  <si>
    <t>SANDEL, IMELDA CASTRO</t>
  </si>
  <si>
    <t>CASTRO, GENARO RUIZ</t>
  </si>
  <si>
    <t>GONZALEZ, GEMMA AGUILAR</t>
  </si>
  <si>
    <t>CASTRO, JEFFERSON GONZALES</t>
  </si>
  <si>
    <t>MATIAS, ANGELA DOMINGO</t>
  </si>
  <si>
    <t>CASTRO, JOBET GONZALES</t>
  </si>
  <si>
    <t xml:space="preserve">BASELAN, LAUNEZA </t>
  </si>
  <si>
    <t>CASTRO, GIFORD GONZALES</t>
  </si>
  <si>
    <t>GALANG, STEPHANIE GUETA</t>
  </si>
  <si>
    <t>CASTRO SR., FRED RUIZ</t>
  </si>
  <si>
    <t>OCTAVIO, GERALDO DE GUZMAN</t>
  </si>
  <si>
    <t>MAPUE, ELEANOR TABIAN</t>
  </si>
  <si>
    <t>OCHOA, ROSARIO QUIROS</t>
  </si>
  <si>
    <t>OCAMPO, JOSE RICARDO SANTOS</t>
  </si>
  <si>
    <t>OCHOA, ELIZA QUIROS</t>
  </si>
  <si>
    <t>CAPATI, ENRIQUE VALDRES</t>
  </si>
  <si>
    <t>VALERA, ROSERELLE MARCELO</t>
  </si>
  <si>
    <t>CAPATI, JESUS VALDRES</t>
  </si>
  <si>
    <t xml:space="preserve">YABOT, JOANA </t>
  </si>
  <si>
    <t>CAPATI, ANGELITO VALDRES</t>
  </si>
  <si>
    <t xml:space="preserve">SARLINA,  </t>
  </si>
  <si>
    <t>NORBERTE JR., ARTEMIIO FERNANDO</t>
  </si>
  <si>
    <t>MANCELIA, MA. CECILIA GAMO</t>
  </si>
  <si>
    <t>LACAP, RODOLFO CRUZ</t>
  </si>
  <si>
    <t>VOUNG, MELINDA VILLANUEVA</t>
  </si>
  <si>
    <t>BANICO, BONIFACIO BARRESO</t>
  </si>
  <si>
    <t>MENDOZA, MARIA TOBIAS</t>
  </si>
  <si>
    <t xml:space="preserve">REYES, DANILO </t>
  </si>
  <si>
    <t>MARTOS, AVELINA BOTIAL</t>
  </si>
  <si>
    <t>DELA CRUZ, NARCISO ROXAS</t>
  </si>
  <si>
    <t>GUEVARRA, GINA MELGA</t>
  </si>
  <si>
    <t>DELA CRUZ, VIRGILIO ROXAS</t>
  </si>
  <si>
    <t>DELA CRUZ, LEONARDO ROXAS</t>
  </si>
  <si>
    <t>DEMAYUGA, LORENZA REYES</t>
  </si>
  <si>
    <t>DELA CRUZ, FELICIANA ROXAS</t>
  </si>
  <si>
    <t>ANTONIO, IRENEO EVANGELISTA</t>
  </si>
  <si>
    <t xml:space="preserve">CAPUDOY, GREGARIA </t>
  </si>
  <si>
    <t>GALLARDO, JESUS MACALALAG</t>
  </si>
  <si>
    <t>SANIANO, TERESITA FORMARAN</t>
  </si>
  <si>
    <t>BUZON, ROMUALDO MARCELO</t>
  </si>
  <si>
    <t>BUZON, REBECCA WALICAN</t>
  </si>
  <si>
    <t xml:space="preserve">MEDRANO, WILFREDO </t>
  </si>
  <si>
    <t>BERNABE, ROSANNA CRUZ</t>
  </si>
  <si>
    <t>MEDRANO, ROSANA BERNABE</t>
  </si>
  <si>
    <t>MAPUE, NOEL FERNANDO</t>
  </si>
  <si>
    <t>CASTRO, JULIETA RUIZ</t>
  </si>
  <si>
    <t>SANDEL, FORTUNATO BERNARDINO</t>
  </si>
  <si>
    <t>CRUZ, ERLINDA MANGALINDAN</t>
  </si>
  <si>
    <t>MARQUEZ, MELANIE CRUZ</t>
  </si>
  <si>
    <t>CRUZ SR., ANTONIO MANALINDAN</t>
  </si>
  <si>
    <t xml:space="preserve">PACIA, LUCIA </t>
  </si>
  <si>
    <t>ESTRADA, JOSEPH SORIANO</t>
  </si>
  <si>
    <t>CRUZ, JENNIFER PACIA</t>
  </si>
  <si>
    <t>OSMENA, CARMELITA APILO</t>
  </si>
  <si>
    <t xml:space="preserve">MAPANAN, RICHARD </t>
  </si>
  <si>
    <t>OSMENA, RIZALINA APILO</t>
  </si>
  <si>
    <t>APILO, BRIGIDA VILLANUEVA</t>
  </si>
  <si>
    <t>DE JESUS, ANTONIO LIBIRAN</t>
  </si>
  <si>
    <t>RACELIS, ARLENE BOTIAL</t>
  </si>
  <si>
    <t>MENDOZA, ROMEDIOS SANTOS</t>
  </si>
  <si>
    <t xml:space="preserve">SUAREZ, ADELAIDA </t>
  </si>
  <si>
    <t>BADE, DELIA BISANA</t>
  </si>
  <si>
    <t>SUAREZ, ADELFA BADE</t>
  </si>
  <si>
    <t xml:space="preserve">BADE, JOEY </t>
  </si>
  <si>
    <t>DELANTAR, CORAZON DELA CRUZ</t>
  </si>
  <si>
    <t>FRANCISCO, FRANCISCO SARMIENTO</t>
  </si>
  <si>
    <t>TAN, NELSON FRANCISCO</t>
  </si>
  <si>
    <t>TAN, NOLI FRANCISCO</t>
  </si>
  <si>
    <t>MALGUSTO, IRENE VILLASIS</t>
  </si>
  <si>
    <t>FRANCISCO, ELVIRA SARMIENTO</t>
  </si>
  <si>
    <t>LIBIRAN JR., EDUARDO DELA CRUZ</t>
  </si>
  <si>
    <t>CAPILI, EMELIA LOBRIN</t>
  </si>
  <si>
    <t>GALURA, EMMANUEL GASACAO</t>
  </si>
  <si>
    <t>CAPILI, SHIRLY LUBRIL</t>
  </si>
  <si>
    <t>JARILLA, JAIME ALCANTARA</t>
  </si>
  <si>
    <t>CAPILI, AGNES LIBRIN</t>
  </si>
  <si>
    <t>TADEO, AVELINO CENTINO</t>
  </si>
  <si>
    <t>PAULINO, LETICIA LUBRING</t>
  </si>
  <si>
    <t>PAULINO, VIRGINIA MARTIN</t>
  </si>
  <si>
    <t>PAULINO, ROSANA MARTIN</t>
  </si>
  <si>
    <t>CANTILLO, FLORINA ESPINOSA</t>
  </si>
  <si>
    <t>PAULINO, EDGAR MARTIN</t>
  </si>
  <si>
    <t>LAXAMANA, VIOLETA LUMANLAN</t>
  </si>
  <si>
    <t>SALVADOR, MARIO ROSARIO</t>
  </si>
  <si>
    <t xml:space="preserve">PAULINO,  </t>
  </si>
  <si>
    <t xml:space="preserve">ICO,  </t>
  </si>
  <si>
    <t xml:space="preserve">DIONISIO,  </t>
  </si>
  <si>
    <t xml:space="preserve">SAN MIGUEL,  </t>
  </si>
  <si>
    <t xml:space="preserve">NORBERTE,  </t>
  </si>
  <si>
    <t xml:space="preserve">FERNANDO,  </t>
  </si>
  <si>
    <t xml:space="preserve">QUIROS,  </t>
  </si>
  <si>
    <t xml:space="preserve">CRUZ,  </t>
  </si>
  <si>
    <t xml:space="preserve">ARCILLA,  </t>
  </si>
  <si>
    <t xml:space="preserve">VIILANUEVA,  </t>
  </si>
  <si>
    <t xml:space="preserve">PUNO,  </t>
  </si>
  <si>
    <t xml:space="preserve">ABAD,  </t>
  </si>
  <si>
    <t xml:space="preserve">PASCUAL,  </t>
  </si>
  <si>
    <t xml:space="preserve">NARVASA,  </t>
  </si>
  <si>
    <t xml:space="preserve">CASTRO,  </t>
  </si>
  <si>
    <t xml:space="preserve">DELA CRUZ,  </t>
  </si>
  <si>
    <t xml:space="preserve">DELA JR.,  </t>
  </si>
  <si>
    <t xml:space="preserve">MENDEZ,  </t>
  </si>
  <si>
    <t xml:space="preserve">DELA CRUZ JR.,  </t>
  </si>
  <si>
    <t xml:space="preserve">SANTOS,  </t>
  </si>
  <si>
    <t xml:space="preserve">DE GUZMAN,  </t>
  </si>
  <si>
    <t xml:space="preserve">SARSA,  </t>
  </si>
  <si>
    <t xml:space="preserve">OLIMBA,  </t>
  </si>
  <si>
    <t>LEDDA, RESTITUTO SAGAYNO</t>
  </si>
  <si>
    <t>PARAISO, MARIA BAUTISTA</t>
  </si>
  <si>
    <t xml:space="preserve">LUCES, JAMILLI </t>
  </si>
  <si>
    <t>TOH, TERESITA GOHAN</t>
  </si>
  <si>
    <t>ACOMPANIADO, TEODOLO CARILLO</t>
  </si>
  <si>
    <t>MAURICIO, LIDIA IBATADOS</t>
  </si>
  <si>
    <t>FACISTOL, APRONIAN FABALLA</t>
  </si>
  <si>
    <t xml:space="preserve">RABINO, LOURDES </t>
  </si>
  <si>
    <t>RESAYO, JOSE RAMIREZ</t>
  </si>
  <si>
    <t>CRUZ, ANTONIO BAUTISTA</t>
  </si>
  <si>
    <t>PINULAN, NATIVIDAD TAPIA</t>
  </si>
  <si>
    <t>CAREALLER, CAYETANO SAGAYNO</t>
  </si>
  <si>
    <t>FULLERO, VIRGILIO LATA</t>
  </si>
  <si>
    <t>SOMERA, MA. LUISA BANIG</t>
  </si>
  <si>
    <t>FULLERO, EDWIN  SOMERA</t>
  </si>
  <si>
    <t>MARISSA, VILLANUEVA RETAGA</t>
  </si>
  <si>
    <t>LIM, NAPOLEON PEREZ</t>
  </si>
  <si>
    <t xml:space="preserve">VILLARUEL, BEATRIZ </t>
  </si>
  <si>
    <t>CLEOFE, ELISEA PUNSALAN</t>
  </si>
  <si>
    <t xml:space="preserve">FRANCISCO, MICHAEL </t>
  </si>
  <si>
    <t>CLEOFE, DELFA CLEOFE</t>
  </si>
  <si>
    <t>TAN, LUCKY CLEOFE</t>
  </si>
  <si>
    <t>NARCE, JORDAN ABUAN</t>
  </si>
  <si>
    <t>CLEOFE, APRIL ANNE CATRIZ</t>
  </si>
  <si>
    <t>PIRING, FERDINAND CLEOFE</t>
  </si>
  <si>
    <t>CANICOSA, IRMA  LORENZO</t>
  </si>
  <si>
    <t>ESTOESTA, EDWARD CARSON</t>
  </si>
  <si>
    <t>PIRING, GLORIA CLEOFE</t>
  </si>
  <si>
    <t>HAGOS, ANTONIO SARCIA</t>
  </si>
  <si>
    <t>MENDONEZ, ANGELITA HABIL</t>
  </si>
  <si>
    <t>DELA CRUZ, JOSEPH CHRISTIAN CANTINA</t>
  </si>
  <si>
    <t>OCAMPO, ERLINDA FRANCISCO</t>
  </si>
  <si>
    <t>DELA CRUZ, JOSE ESTANISLAO</t>
  </si>
  <si>
    <t>MERCADO, MA. CORAZON GONZALES</t>
  </si>
  <si>
    <t>DELA CRUZ, ROSARIO ESTANISLAO</t>
  </si>
  <si>
    <t>ABRIGO SR., ABELARDO BANGAYAN</t>
  </si>
  <si>
    <t>ABRIGO SR., VIRGINIA ALEONSO</t>
  </si>
  <si>
    <t>ABEJERO, TEODORO CREDO</t>
  </si>
  <si>
    <t>ALFONSO, JOSEFINA TOH</t>
  </si>
  <si>
    <t>ABRIGO, ALDRIN ALFONSO</t>
  </si>
  <si>
    <t>CASIHAN, LEAH LEGASPI</t>
  </si>
  <si>
    <t>ABRIGO, ARVIN ALFONSO</t>
  </si>
  <si>
    <t>CLEOFE, JESUS AGUAS</t>
  </si>
  <si>
    <t>BONIFACIO, CARMELITA TALUSAN</t>
  </si>
  <si>
    <t>GELIDO, J-R BONIFACIO</t>
  </si>
  <si>
    <t>GELIDO, JESALEM ALAYON</t>
  </si>
  <si>
    <t>res</t>
  </si>
  <si>
    <t>Santiago, Alfredo Silva</t>
  </si>
  <si>
    <t>Santiago, Alfredo</t>
  </si>
  <si>
    <t>Castro, Eloisa</t>
  </si>
  <si>
    <t>Municipalities and Cities</t>
  </si>
  <si>
    <t>Affected Brgys</t>
  </si>
  <si>
    <t>Sub Total</t>
  </si>
  <si>
    <t>Real Tax</t>
  </si>
  <si>
    <t>Real  Tax</t>
  </si>
  <si>
    <t>Stopped</t>
  </si>
  <si>
    <t xml:space="preserve">Cong. </t>
  </si>
  <si>
    <t>MN-051A</t>
  </si>
  <si>
    <t>Ricardo Pineda</t>
  </si>
  <si>
    <t>Pilar Hermosa Homeowner Association (PHHA)</t>
  </si>
  <si>
    <t>Dulong Gagalangin Homeowners Ass. (DGHA)</t>
  </si>
  <si>
    <t>TUTUBAN Station</t>
  </si>
  <si>
    <t>Under Construction (Structure)</t>
  </si>
  <si>
    <t>PNR (MOTORCAR COMECS)</t>
  </si>
  <si>
    <t>PNR (Tower)</t>
  </si>
  <si>
    <t>PNR (Storage Area)</t>
  </si>
  <si>
    <t>Oliver Allano, Esponilla</t>
  </si>
  <si>
    <t>Pineda, Henry</t>
  </si>
  <si>
    <t>Real Tax (CTHall)</t>
  </si>
  <si>
    <t>-1+750</t>
  </si>
  <si>
    <t>-1+700</t>
  </si>
  <si>
    <t>Mejos Sr, Ruben Acibar</t>
  </si>
  <si>
    <t>Igolot Riles</t>
  </si>
  <si>
    <t>Cecilia, Joseph</t>
  </si>
  <si>
    <t>-1+800</t>
  </si>
  <si>
    <t>Brgy.159, Daan Bakal, Tayuman Manila</t>
  </si>
  <si>
    <t>Timbang, Fernando Facondo</t>
  </si>
  <si>
    <t>-1+850</t>
  </si>
  <si>
    <t>960 Sna Agustin St., Tuktukan Guinguinto Bulacan</t>
  </si>
  <si>
    <t>Percentage</t>
  </si>
  <si>
    <t>32 Diamond st., CVP Subd., Bulihan Malolos Bulacan</t>
  </si>
  <si>
    <t>23 Granet st., CVP subd., Bulihan Malolos Bulacan</t>
  </si>
  <si>
    <t>5029-C Hagonoy, San Pablo Malolos Bulacan</t>
  </si>
  <si>
    <t>Center Administrator - Regional Training Center, TESDA Tabang , Guiguinto, Bulacan</t>
  </si>
  <si>
    <t>684 Mulawin st., Bancal ext., Meycauayan</t>
  </si>
  <si>
    <t>326 San Isidro Labrador Malinta Valenzuela</t>
  </si>
  <si>
    <t>#3 Salud Balubaran Malinta Valenzuela</t>
  </si>
  <si>
    <t xml:space="preserve">Table 4.3‑1 Affected population by Gender </t>
  </si>
  <si>
    <t>LEGAL PAF  :</t>
  </si>
  <si>
    <t xml:space="preserve">Table 4.3‑2  Size of Household </t>
  </si>
  <si>
    <t>Range of household number</t>
  </si>
  <si>
    <t xml:space="preserve"> 1-2</t>
  </si>
  <si>
    <t xml:space="preserve"> 3-4</t>
  </si>
  <si>
    <t xml:space="preserve"> 5-6 </t>
  </si>
  <si>
    <t xml:space="preserve"> 7-8</t>
  </si>
  <si>
    <t>&gt;8</t>
  </si>
  <si>
    <t>Malanday (Depot)</t>
  </si>
  <si>
    <t xml:space="preserve">Table 4.3‑3  Affected Population by Age </t>
  </si>
  <si>
    <t>0-5</t>
  </si>
  <si>
    <t>31-60</t>
  </si>
  <si>
    <t xml:space="preserve">Table 4.3‑4  Education Attainment of Household Members </t>
  </si>
  <si>
    <t>Pre-Elementary</t>
  </si>
  <si>
    <t>Elementary</t>
  </si>
  <si>
    <t>High School</t>
  </si>
  <si>
    <t>College</t>
  </si>
  <si>
    <t>Graduate</t>
  </si>
  <si>
    <t>&lt; 1 Year</t>
  </si>
  <si>
    <t>&gt; 10 Years</t>
  </si>
  <si>
    <t xml:space="preserve">Table 4.3‑5  Length of Stay in Present Place </t>
  </si>
  <si>
    <t>3-6 yrs</t>
  </si>
  <si>
    <t>1-3 yrs</t>
  </si>
  <si>
    <t>6-10 yrs</t>
  </si>
  <si>
    <t>&lt; 10 yrs</t>
  </si>
  <si>
    <t>&gt; 1 Yr and</t>
  </si>
  <si>
    <t>Table 4.3‑6  Reason for Establishing Residence in Present Place</t>
  </si>
  <si>
    <t>Reasons</t>
  </si>
  <si>
    <t>CIBEs</t>
  </si>
  <si>
    <t>Number</t>
  </si>
  <si>
    <t>Acquired Right</t>
  </si>
  <si>
    <t>No Other Place To Go</t>
  </si>
  <si>
    <t>Inheritance/Residence Since Birth</t>
  </si>
  <si>
    <t>Acquired Rights/birth</t>
  </si>
  <si>
    <t>Comfort</t>
  </si>
  <si>
    <t>Knew the Owner</t>
  </si>
  <si>
    <t>Table 4.3‑7  Employment Status and Source of Income</t>
  </si>
  <si>
    <t>Employed</t>
  </si>
  <si>
    <t>Business/Self-employed</t>
  </si>
  <si>
    <t>Temporary</t>
  </si>
  <si>
    <t>Formal</t>
  </si>
  <si>
    <t>Informal</t>
  </si>
  <si>
    <t xml:space="preserve">Table 4.3‑8  Primary Occupation </t>
  </si>
  <si>
    <t>Type of Occupation</t>
  </si>
  <si>
    <t>Wife</t>
  </si>
  <si>
    <t>Members</t>
  </si>
  <si>
    <t xml:space="preserve">Total </t>
  </si>
  <si>
    <t>Percentage (%)</t>
  </si>
  <si>
    <t>Engineer</t>
  </si>
  <si>
    <t>Working Abroad</t>
  </si>
  <si>
    <t>Carpenter/Labor</t>
  </si>
  <si>
    <t>Agricultural worker</t>
  </si>
  <si>
    <t>Restaurant Crew</t>
  </si>
  <si>
    <t>Barber</t>
  </si>
  <si>
    <t>Sewer/Embroidery</t>
  </si>
  <si>
    <t>Garbage Collector</t>
  </si>
  <si>
    <t>Factory Workers</t>
  </si>
  <si>
    <t xml:space="preserve">Table 4.3‑9  Monthly Income of Household </t>
  </si>
  <si>
    <t>&lt;5,000</t>
  </si>
  <si>
    <t>5,001-</t>
  </si>
  <si>
    <t>10.001-15,000</t>
  </si>
  <si>
    <t>15,001-20000</t>
  </si>
  <si>
    <t>20,001-30,000</t>
  </si>
  <si>
    <t>30,001-50,000</t>
  </si>
  <si>
    <t>&gt;50,001</t>
  </si>
  <si>
    <t>Combined HH Income Range (PhP)</t>
  </si>
  <si>
    <t>&lt; 3,000</t>
  </si>
  <si>
    <t>3,000-5,000</t>
  </si>
  <si>
    <t>5,000-10,000</t>
  </si>
  <si>
    <t>10,000-30,000</t>
  </si>
  <si>
    <t>&gt;30,000</t>
  </si>
  <si>
    <t xml:space="preserve">Table 4.3‑10  Monthly Expenditure of Household </t>
  </si>
  <si>
    <t>Table 4.3‑11  Place of Employment of Male Household Head</t>
  </si>
  <si>
    <t>Within same barangay</t>
  </si>
  <si>
    <t>Within same municipality or city</t>
  </si>
  <si>
    <t>Within the same province</t>
  </si>
  <si>
    <t>Other provinces</t>
  </si>
  <si>
    <t>Pensioner or Supported by children</t>
  </si>
  <si>
    <t>Table 4.3‑11  Place of Employment of FEMALE Household Head</t>
  </si>
  <si>
    <t>Table 4.3‑11  Place of Employment of MALE Household Head</t>
  </si>
  <si>
    <t>Table 4.3‑13  Average Daily Commutation Cost (PhP)</t>
  </si>
  <si>
    <t>Male Household Head</t>
  </si>
  <si>
    <t>Average</t>
  </si>
  <si>
    <t>Bocuae</t>
  </si>
  <si>
    <t>Household Head</t>
  </si>
  <si>
    <t xml:space="preserve">Table 4.4‑1  Gender of Household Heads </t>
  </si>
  <si>
    <t>Cities/ Municipalities</t>
  </si>
  <si>
    <r>
      <t>Poor</t>
    </r>
    <r>
      <rPr>
        <b/>
        <vertAlign val="superscript"/>
        <sz val="11"/>
        <color indexed="8"/>
        <rFont val="Calibri"/>
        <family val="2"/>
      </rPr>
      <t>*1</t>
    </r>
  </si>
  <si>
    <r>
      <t>Elderly</t>
    </r>
    <r>
      <rPr>
        <b/>
        <vertAlign val="superscript"/>
        <sz val="11"/>
        <color indexed="8"/>
        <rFont val="Calibri"/>
        <family val="2"/>
      </rPr>
      <t>*2</t>
    </r>
  </si>
  <si>
    <r>
      <t>Women-headed households</t>
    </r>
    <r>
      <rPr>
        <b/>
        <vertAlign val="superscript"/>
        <sz val="11"/>
        <color indexed="8"/>
        <rFont val="Calibri"/>
        <family val="2"/>
      </rPr>
      <t>*3</t>
    </r>
  </si>
  <si>
    <r>
      <t xml:space="preserve">Persons who need special assistance </t>
    </r>
    <r>
      <rPr>
        <b/>
        <vertAlign val="superscript"/>
        <sz val="11"/>
        <color indexed="8"/>
        <rFont val="Calibri"/>
        <family val="2"/>
      </rPr>
      <t>*4</t>
    </r>
  </si>
  <si>
    <t>Meycauyan</t>
  </si>
  <si>
    <t>Population</t>
  </si>
  <si>
    <r>
      <t>Rochelle Acu</t>
    </r>
    <r>
      <rPr>
        <sz val="10"/>
        <rFont val="Calibri"/>
        <family val="2"/>
      </rPr>
      <t>ña</t>
    </r>
  </si>
  <si>
    <t>Malis, Brgy.Tabang Bulacan</t>
  </si>
  <si>
    <t>Antonio Lapuz</t>
  </si>
  <si>
    <t>*1 HHs with less than 10000 Income</t>
  </si>
  <si>
    <t>Structure Number</t>
  </si>
  <si>
    <t>Househead</t>
  </si>
  <si>
    <t>Mothly Income</t>
  </si>
  <si>
    <t>Source of income</t>
  </si>
  <si>
    <t>Cities/Municipality</t>
  </si>
  <si>
    <t xml:space="preserve">Table 4.4‑3  Vulnerable Groups </t>
  </si>
  <si>
    <t xml:space="preserve">Table 4.5‑4  Preference for Relocation Package or Cash Compensation </t>
  </si>
  <si>
    <t>Relocation Package</t>
  </si>
  <si>
    <t>Northville VIII, Bancal Matimbo Malolos</t>
  </si>
  <si>
    <t>Dalistan, Rodelio Ronquillo</t>
  </si>
  <si>
    <t>NorthVille2B, Bagumbong</t>
  </si>
  <si>
    <t>Brgy.64 Emission</t>
  </si>
  <si>
    <t xml:space="preserve">Table 4.5‑5  Preference for Possible Relocation Site </t>
  </si>
  <si>
    <t>Specific Place</t>
  </si>
  <si>
    <t>Within City</t>
  </si>
  <si>
    <t>ISF PAF  :</t>
  </si>
  <si>
    <t xml:space="preserve">Table 4.5‑6  Factors Considered in Choosing Relocation Sites </t>
  </si>
  <si>
    <t>current area</t>
  </si>
  <si>
    <t>of residence</t>
  </si>
  <si>
    <t xml:space="preserve">current Job / </t>
  </si>
  <si>
    <t>Proximity to</t>
  </si>
  <si>
    <t>priximity to</t>
  </si>
  <si>
    <t>basic social</t>
  </si>
  <si>
    <t>services</t>
  </si>
  <si>
    <t>Access and</t>
  </si>
  <si>
    <t>place</t>
  </si>
  <si>
    <t>Proximity</t>
  </si>
  <si>
    <t>to market</t>
  </si>
  <si>
    <t>proximity to</t>
  </si>
  <si>
    <t>mode of</t>
  </si>
  <si>
    <t>Source of</t>
  </si>
  <si>
    <t>Still</t>
  </si>
  <si>
    <t>acquire 4P's</t>
  </si>
  <si>
    <t>Benefits</t>
  </si>
  <si>
    <t>Table 4.5‑7  Most Desired Services and Facilities in Relocation Site</t>
  </si>
  <si>
    <t>Health Centre</t>
  </si>
  <si>
    <t>Private Clinic</t>
  </si>
  <si>
    <t>Public Hospital</t>
  </si>
  <si>
    <t>Police Outpost</t>
  </si>
  <si>
    <t>Livelihood Centre</t>
  </si>
  <si>
    <t>Percentage %</t>
  </si>
  <si>
    <t>Municipalities/Cities</t>
  </si>
  <si>
    <t>Brgy. Hall</t>
  </si>
  <si>
    <t xml:space="preserve">Table 4.5‑8  Livelihood Rehabilitation Measures </t>
  </si>
  <si>
    <t>Job Employment</t>
  </si>
  <si>
    <t>Livelihood Program</t>
  </si>
  <si>
    <t>CA-009-ISF-SH</t>
  </si>
  <si>
    <t>CA-098-ISF-SOO</t>
  </si>
  <si>
    <t>CA-141-ISF-SOO</t>
  </si>
  <si>
    <t>CA-140-ISF-SOO</t>
  </si>
  <si>
    <t>CA-139-ISF-SOO</t>
  </si>
  <si>
    <t>CA-137-ISF-SOO</t>
  </si>
  <si>
    <t>CA-124-ISF-SOO</t>
  </si>
  <si>
    <t>CA-126-ISF-SOO</t>
  </si>
  <si>
    <t>CA-112-ISF-SOO</t>
  </si>
  <si>
    <t>CA-114-ISF-SOO</t>
  </si>
  <si>
    <t>CA-115A-ISF-SOO</t>
  </si>
  <si>
    <t>CA-115B-ISF-SOO</t>
  </si>
  <si>
    <t>CA-145-ISF-SOO</t>
  </si>
  <si>
    <t>CA-157-ISF-SOO</t>
  </si>
  <si>
    <t>CA-156-ISF-SOO</t>
  </si>
  <si>
    <t>CA-165-ISF-SOO</t>
  </si>
  <si>
    <t>Lundag, Bayani</t>
  </si>
  <si>
    <t>Mirafe B. Dominguez (ABSENTEE)</t>
  </si>
  <si>
    <t>Savador Alban Cardona</t>
  </si>
  <si>
    <t>Salvador Alban Cardona</t>
  </si>
  <si>
    <t>Wooden, No concrete flooring and Nipa/ligth materials roof &amp; framing posts</t>
  </si>
  <si>
    <t>Fannie Ambito Oliva</t>
  </si>
  <si>
    <t>Nicardo Mendoza Silva</t>
  </si>
  <si>
    <t>CMP</t>
  </si>
  <si>
    <t>legal</t>
  </si>
  <si>
    <t>MC-012-LO</t>
  </si>
  <si>
    <t>isf</t>
  </si>
  <si>
    <t>MC-016A-SO</t>
  </si>
  <si>
    <t>MN-001-LD-SOO</t>
  </si>
  <si>
    <t>MN-002-LO-SOOB</t>
  </si>
  <si>
    <t>MN-003-LSOA</t>
  </si>
  <si>
    <t>MN-003-LD-COO</t>
  </si>
  <si>
    <t>MN-003-LD-COOB</t>
  </si>
  <si>
    <t>MN-004-LXSOO</t>
  </si>
  <si>
    <t>MN-005-ISF-SBX</t>
  </si>
  <si>
    <t>MN-018-SX</t>
  </si>
  <si>
    <t>MN-019-ISF-SX</t>
  </si>
  <si>
    <t>MN-027-ISF-SBOO</t>
  </si>
  <si>
    <t>MN-032-SXO</t>
  </si>
  <si>
    <t>MN-035-SBOO</t>
  </si>
  <si>
    <t>MN-035-R1</t>
  </si>
  <si>
    <t>MN-035-R2</t>
  </si>
  <si>
    <t>MN-035-R3</t>
  </si>
  <si>
    <t>MN-044-R</t>
  </si>
  <si>
    <t>MN-046-ISF-SBOO</t>
  </si>
  <si>
    <t>MN-047-R</t>
  </si>
  <si>
    <t>MN-048-ISF-SXOO</t>
  </si>
  <si>
    <t>MN-049B-ISF-S-A</t>
  </si>
  <si>
    <t>MN-052-ISF-SBOO</t>
  </si>
  <si>
    <t>MN-054-ISF-SO</t>
  </si>
  <si>
    <t>MN-055-ISF-SBXOO</t>
  </si>
  <si>
    <t>MN-061-R1</t>
  </si>
  <si>
    <t>MN-064-ISF-SO</t>
  </si>
  <si>
    <t>MN-065-SB</t>
  </si>
  <si>
    <t>MN-065-O2</t>
  </si>
  <si>
    <t>MN-065-R</t>
  </si>
  <si>
    <t>MN-066-SBOO</t>
  </si>
  <si>
    <t>MN-066-R1</t>
  </si>
  <si>
    <t>MN-068-ISF-SO</t>
  </si>
  <si>
    <t>MN-075-S-A</t>
  </si>
  <si>
    <t>MN-077-LO-SO</t>
  </si>
  <si>
    <t>MN-078-LO-SO</t>
  </si>
  <si>
    <t>MN-079-LO-SO</t>
  </si>
  <si>
    <t>MN-080-LO-SO</t>
  </si>
  <si>
    <t>MN-081-LO-SO</t>
  </si>
  <si>
    <t>MN-082-LD-SO</t>
  </si>
  <si>
    <t>MN-086-R</t>
  </si>
  <si>
    <t>MN-088-SOO</t>
  </si>
  <si>
    <t>MN-091-ISF-SOO</t>
  </si>
  <si>
    <t>MN-099-ISF-SXO</t>
  </si>
  <si>
    <t>MN-103-SOO</t>
  </si>
  <si>
    <t>MN-103-COO</t>
  </si>
  <si>
    <t>MN-104-ISF-SBOO</t>
  </si>
  <si>
    <t>MN-105-SOO</t>
  </si>
  <si>
    <t>MN-106-SOO</t>
  </si>
  <si>
    <t>MN-106-COO</t>
  </si>
  <si>
    <t>MN-107A-SOO</t>
  </si>
  <si>
    <t>MN-107B-SOO</t>
  </si>
  <si>
    <t>MN-107C-SOO</t>
  </si>
  <si>
    <t>MN-107D-SOO</t>
  </si>
  <si>
    <t>MN-107E-SOO</t>
  </si>
  <si>
    <t>MN-107F-SOO</t>
  </si>
  <si>
    <t>MN-107I-SOO</t>
  </si>
  <si>
    <t>MN-108-SOO</t>
  </si>
  <si>
    <t>MN-108-SH</t>
  </si>
  <si>
    <t>MN-109-SOO</t>
  </si>
  <si>
    <t>MN-110-SOOB</t>
  </si>
  <si>
    <t>MN-110-R</t>
  </si>
  <si>
    <t>MN-111A-SOO</t>
  </si>
  <si>
    <t>MN-112-SOOB</t>
  </si>
  <si>
    <t>MN-112-R</t>
  </si>
  <si>
    <t>MN-113-SOOB</t>
  </si>
  <si>
    <t>MN-113-R</t>
  </si>
  <si>
    <t>MN-114-LL-SBX</t>
  </si>
  <si>
    <t>MN-114-R</t>
  </si>
  <si>
    <t>MN-116-SOO</t>
  </si>
  <si>
    <t>MN-116-SH</t>
  </si>
  <si>
    <t>MN-117-SXO</t>
  </si>
  <si>
    <t>MN-118-SOO</t>
  </si>
  <si>
    <t>MN-119-SOO</t>
  </si>
  <si>
    <t>MN-120A-SOO</t>
  </si>
  <si>
    <t>MN-120B-SXOO</t>
  </si>
  <si>
    <t>MN-122-SOOB</t>
  </si>
  <si>
    <t>MN-122-SH</t>
  </si>
  <si>
    <t>MN-122-R</t>
  </si>
  <si>
    <t>CA-013-R</t>
  </si>
  <si>
    <t>CA-077-R</t>
  </si>
  <si>
    <t>CA-110-ISF-SXO</t>
  </si>
  <si>
    <t>CA-111B-SO2</t>
  </si>
  <si>
    <t>CA-123-R1</t>
  </si>
  <si>
    <t>CA-123-R2</t>
  </si>
  <si>
    <t>CA-123-R4</t>
  </si>
  <si>
    <t>CA-123-R5</t>
  </si>
  <si>
    <t>CA-123-R6</t>
  </si>
  <si>
    <t>CA-123-R7</t>
  </si>
  <si>
    <t>CA-123-R8</t>
  </si>
  <si>
    <t>CA-123-R9</t>
  </si>
  <si>
    <t>CA-134-R1</t>
  </si>
  <si>
    <t>CA-134-R2</t>
  </si>
  <si>
    <t>MA-013A-CT</t>
  </si>
  <si>
    <t>MA-016A-CT</t>
  </si>
  <si>
    <t>MA-016A-COO</t>
  </si>
  <si>
    <t>MA-016B-R</t>
  </si>
  <si>
    <t>MY-009-LSXOO</t>
  </si>
  <si>
    <t>MY-010-LSBOA</t>
  </si>
  <si>
    <t>MY-010A-R1</t>
  </si>
  <si>
    <t>MY-010B-R2</t>
  </si>
  <si>
    <t>MY-010C-R3</t>
  </si>
  <si>
    <t>MY-010D-R4</t>
  </si>
  <si>
    <t>MY-010E-R5</t>
  </si>
  <si>
    <t>MY-010F-R6</t>
  </si>
  <si>
    <t>MY-012A-COO</t>
  </si>
  <si>
    <t>MY-013-COO</t>
  </si>
  <si>
    <t>MY-013B-COO</t>
  </si>
  <si>
    <t>MY-014-LSOO</t>
  </si>
  <si>
    <t>MY-014A-SH</t>
  </si>
  <si>
    <t>MY-014B-SH</t>
  </si>
  <si>
    <t>MY-015-LSOO</t>
  </si>
  <si>
    <t>MY-016-LD-SOO</t>
  </si>
  <si>
    <t>MY-017-LD-COO</t>
  </si>
  <si>
    <t>MY-017A-LD-COO</t>
  </si>
  <si>
    <t>MY-018-LD-COO</t>
  </si>
  <si>
    <t>MY-021A-R1</t>
  </si>
  <si>
    <t>MY-024-ISF-SBOO</t>
  </si>
  <si>
    <t>MY-026-ISF-SOO</t>
  </si>
  <si>
    <t>MY-027-ISF-SOO</t>
  </si>
  <si>
    <t>VC-054-LD-SXO</t>
  </si>
  <si>
    <t>VC-057-RBO</t>
  </si>
  <si>
    <t>VC-067-R</t>
  </si>
  <si>
    <t>VC-075-R</t>
  </si>
  <si>
    <t>VC-080-R1</t>
  </si>
  <si>
    <t>VC-080-R2</t>
  </si>
  <si>
    <t>VC-081-R1</t>
  </si>
  <si>
    <t>VC-084-R</t>
  </si>
  <si>
    <t>VC-091-LSXB</t>
  </si>
  <si>
    <t>VC-092-R2</t>
  </si>
  <si>
    <t>VC-094-R1</t>
  </si>
  <si>
    <t>VC-094-R2</t>
  </si>
  <si>
    <t>MA-007-ISF-SBOO</t>
  </si>
  <si>
    <t>NonviaBle</t>
  </si>
  <si>
    <t>MN-007-B</t>
  </si>
  <si>
    <t>VC-036-ISF-SH</t>
  </si>
  <si>
    <t>GG-009A-LO-SXO</t>
  </si>
  <si>
    <t>GG-009C-LO-SO</t>
  </si>
  <si>
    <t>GG-011-ISF-SXOO</t>
  </si>
  <si>
    <t>GG-012-LD-SOA</t>
  </si>
  <si>
    <t>GG-013-LO-SBOA</t>
  </si>
  <si>
    <t>GG-015-LO-SOO</t>
  </si>
  <si>
    <t>GG-016-LD-SOO</t>
  </si>
  <si>
    <t>BO-002-ISF-SBOO</t>
  </si>
  <si>
    <t>MC-007-LD-SXOO</t>
  </si>
  <si>
    <t>MC-008-LO-SOO</t>
  </si>
  <si>
    <t>MC-010-LO-SXOO</t>
  </si>
  <si>
    <t>MC-011-LO-SXOO</t>
  </si>
  <si>
    <t>MC-015-ISF-SOO</t>
  </si>
  <si>
    <t>MC-016-LO-SOO</t>
  </si>
  <si>
    <t>MA-007-R1</t>
  </si>
  <si>
    <t>MA-007-R2</t>
  </si>
  <si>
    <t>MA-011-CT</t>
  </si>
  <si>
    <t>MA-015-LD-SXOO</t>
  </si>
  <si>
    <t>MA-016-LD-SBOO</t>
  </si>
  <si>
    <t>MA-017A-LD-COO</t>
  </si>
  <si>
    <t>MA-017B-CR</t>
  </si>
  <si>
    <t>MA-017C-CR</t>
  </si>
  <si>
    <t>MA-017D-CR</t>
  </si>
  <si>
    <t>MA-018-CR</t>
  </si>
  <si>
    <t>MA-019-LL-SXO</t>
  </si>
  <si>
    <t>MY-001-ISF-SXO</t>
  </si>
  <si>
    <t>MY-019-LD-SOO</t>
  </si>
  <si>
    <t>MY-022-R</t>
  </si>
  <si>
    <t>MY-024A-COO</t>
  </si>
  <si>
    <t>MY-024B-COO</t>
  </si>
  <si>
    <t>MY-024C-COO</t>
  </si>
  <si>
    <t>MY-029-ISF-BOO</t>
  </si>
  <si>
    <t>VC-005-ISF-SOO</t>
  </si>
  <si>
    <t>VC-006-ISF-SOO</t>
  </si>
  <si>
    <t>VC-007-ISF-SOO</t>
  </si>
  <si>
    <t>VC-008-ISF-SOO</t>
  </si>
  <si>
    <t>VC-009-ISF-SBOO</t>
  </si>
  <si>
    <t>VC-010-ISF-SOO</t>
  </si>
  <si>
    <t>VC-011-ISF-SOO</t>
  </si>
  <si>
    <t>VC-012-ISF-SOO</t>
  </si>
  <si>
    <t>VC-014-ISF-SOO</t>
  </si>
  <si>
    <t>VC-015-ISF-SOO</t>
  </si>
  <si>
    <t>VC-016-ISF-SOO</t>
  </si>
  <si>
    <t>VC-016-SH</t>
  </si>
  <si>
    <t>VC-013-ISF-SOO</t>
  </si>
  <si>
    <t>VC-017-ISF-SOO</t>
  </si>
  <si>
    <t>VC-018-ISF-SOO</t>
  </si>
  <si>
    <t>VC-019-SXB</t>
  </si>
  <si>
    <t>VC-020-LO-SOA</t>
  </si>
  <si>
    <t>VC-021-LO-SOO</t>
  </si>
  <si>
    <t>VC-022-LO-SBOO</t>
  </si>
  <si>
    <t>VC-023-LSOA</t>
  </si>
  <si>
    <t>VC-025-LSBOA</t>
  </si>
  <si>
    <t>VC-O27-ISF-SBOO</t>
  </si>
  <si>
    <t>VC-030-ISF-SOO</t>
  </si>
  <si>
    <t>VC-029-ISF-SOO</t>
  </si>
  <si>
    <t>VC-031-ISF-SOO</t>
  </si>
  <si>
    <t>VC-032-ISF-SOO</t>
  </si>
  <si>
    <t>VC-038-SOO</t>
  </si>
  <si>
    <t>VC-040-ISF-SOO</t>
  </si>
  <si>
    <t>VC-041-ISF-SOO</t>
  </si>
  <si>
    <t>VC-042-ISF-SBOO</t>
  </si>
  <si>
    <t>VC-042-R</t>
  </si>
  <si>
    <t>VC-042-ISF-COO</t>
  </si>
  <si>
    <t>VC-044-ISF-SBOO</t>
  </si>
  <si>
    <t>VC-045-ISF-SOO</t>
  </si>
  <si>
    <t>VC-046-ISF-SOO</t>
  </si>
  <si>
    <t>VC-050-ISF-SOO</t>
  </si>
  <si>
    <t>VC-052-LD-SOO</t>
  </si>
  <si>
    <t>VC-053A-CT</t>
  </si>
  <si>
    <t>VC-056-R</t>
  </si>
  <si>
    <t>VC-057-LSBOA</t>
  </si>
  <si>
    <t>VC-057A-LOA</t>
  </si>
  <si>
    <t>VC-057A-SOA</t>
  </si>
  <si>
    <t>VC-058-LD-COO</t>
  </si>
  <si>
    <t>VC-059-LSBOA</t>
  </si>
  <si>
    <t>VC-059-R</t>
  </si>
  <si>
    <t>VC-062-ISF-SOO</t>
  </si>
  <si>
    <t>VC-064-R</t>
  </si>
  <si>
    <t>VC-065-LO-SOO</t>
  </si>
  <si>
    <t>VC-066-LSBOA</t>
  </si>
  <si>
    <t>VC-068-LO-SH</t>
  </si>
  <si>
    <t>VC-068-LD-SOO</t>
  </si>
  <si>
    <t>VC-068-LD-SH</t>
  </si>
  <si>
    <t>VC-069-LO-SOO</t>
  </si>
  <si>
    <t>VC-070-LO-SXOA</t>
  </si>
  <si>
    <t>VC-078-SO</t>
  </si>
  <si>
    <t>VC-080-LSBOA</t>
  </si>
  <si>
    <t>VC-081-SBOA</t>
  </si>
  <si>
    <t>VC-081-CT</t>
  </si>
  <si>
    <t>VC-084-LSBOA</t>
  </si>
  <si>
    <t>VC-085-LSBOA</t>
  </si>
  <si>
    <t>VC-085-SHBO</t>
  </si>
  <si>
    <t>VC-086A-LSBOA</t>
  </si>
  <si>
    <t>VC-086-SH</t>
  </si>
  <si>
    <t>VC-086-R</t>
  </si>
  <si>
    <t>VC-087-LSOO</t>
  </si>
  <si>
    <t>VC-088-LSBOA</t>
  </si>
  <si>
    <t>VC-088-R1</t>
  </si>
  <si>
    <t>VC-088-R2</t>
  </si>
  <si>
    <t>VC-088-R3</t>
  </si>
  <si>
    <t>VC-089-LSBOA</t>
  </si>
  <si>
    <t>VC-093-R3</t>
  </si>
  <si>
    <t>VC-094-LSBOA</t>
  </si>
  <si>
    <t>VC-094-LD-SHBO</t>
  </si>
  <si>
    <t>VC-095-LSBOA</t>
  </si>
  <si>
    <t>VC-096-LSOO</t>
  </si>
  <si>
    <t>VC-097-LOA</t>
  </si>
  <si>
    <t>VC-099-COO</t>
  </si>
  <si>
    <t>VC-100-LSBOA</t>
  </si>
  <si>
    <t>VC-102-ISF-SOO</t>
  </si>
  <si>
    <t>VC-105-ISF-SOO</t>
  </si>
  <si>
    <t>VC-106-ISF-SOO</t>
  </si>
  <si>
    <t>VC-108-ISF-SOO</t>
  </si>
  <si>
    <t>VC-110-ISF-SOO</t>
  </si>
  <si>
    <t>VC-111-LSXOA</t>
  </si>
  <si>
    <t>VC-111-SXO</t>
  </si>
  <si>
    <t>VC-075-LSBOA</t>
  </si>
  <si>
    <t>CA-001-LSO</t>
  </si>
  <si>
    <t>CA-007-ISF-SOO</t>
  </si>
  <si>
    <t>CA-008-ISF-SOO</t>
  </si>
  <si>
    <t>CA-009-ISF-SOO</t>
  </si>
  <si>
    <t>CA-010-ISF-SOO</t>
  </si>
  <si>
    <t>CA-010-R1BO</t>
  </si>
  <si>
    <t>CA-010-R2BO</t>
  </si>
  <si>
    <t>CA-011-ISF-SHBO</t>
  </si>
  <si>
    <t>CA-015-ISF-SOO</t>
  </si>
  <si>
    <t>CA-016-ISF-SOO</t>
  </si>
  <si>
    <t>CA-018-ISF-SOO</t>
  </si>
  <si>
    <t>CA-018-ISF-COO</t>
  </si>
  <si>
    <t>CA-020-ISF-SOO</t>
  </si>
  <si>
    <t>CA-021-CR</t>
  </si>
  <si>
    <t>CA-045-ISF-SOO</t>
  </si>
  <si>
    <t>CA-046-ISF-SOO</t>
  </si>
  <si>
    <t>CA-047-ISF-SOO</t>
  </si>
  <si>
    <t>CA-048-ISF-SOO</t>
  </si>
  <si>
    <t>CA-049-ISF-SOO</t>
  </si>
  <si>
    <t>CA-062-LOA</t>
  </si>
  <si>
    <t>CA-068-ISF-SOO</t>
  </si>
  <si>
    <t>CA-069-ISF-SOO</t>
  </si>
  <si>
    <t>CA-070-ISF-SOO</t>
  </si>
  <si>
    <t>CA-071-ISF-SOO</t>
  </si>
  <si>
    <t>CA-074-ISF-SOO</t>
  </si>
  <si>
    <t>CA-075-ISF-SOO</t>
  </si>
  <si>
    <t>CA-076-ISF-SOO</t>
  </si>
  <si>
    <t>CA-078-ISF-SOO</t>
  </si>
  <si>
    <t>CA-083-ISF-SOO</t>
  </si>
  <si>
    <t>CA-084-ISF-SOO</t>
  </si>
  <si>
    <t>CA-086A-ISF-SOO</t>
  </si>
  <si>
    <t>CA-089B-ISF-SOO</t>
  </si>
  <si>
    <t>CA-090-ISF-SOO</t>
  </si>
  <si>
    <t>CA-090-RBO</t>
  </si>
  <si>
    <t>CA-092-ISF-SOO</t>
  </si>
  <si>
    <t>CA-099-ISF-SOO</t>
  </si>
  <si>
    <t>CA-101-ISF-SOO</t>
  </si>
  <si>
    <t>CA-102-ISF-SOO</t>
  </si>
  <si>
    <t>CA-104-ISF-SOO</t>
  </si>
  <si>
    <t>CA-105-ISF-SOO</t>
  </si>
  <si>
    <t>CA-106-ISF-SOO</t>
  </si>
  <si>
    <t>CA-107-ISF-SOO</t>
  </si>
  <si>
    <t>CA-108-ISF-SOO</t>
  </si>
  <si>
    <t>CA-093-R</t>
  </si>
  <si>
    <t>CA-115C-ISF-SH</t>
  </si>
  <si>
    <t>CA-117-ISF-SHBO</t>
  </si>
  <si>
    <t>CA-121A-ISF-SOO</t>
  </si>
  <si>
    <t>Jocelyn Dinglas Genon</t>
  </si>
  <si>
    <t>CA-128-ISF-SOO</t>
  </si>
  <si>
    <t>CA-127-ISF-SOO</t>
  </si>
  <si>
    <t>CA-138A-ISF-SOO</t>
  </si>
  <si>
    <t>CA-138B-ISF-COO</t>
  </si>
  <si>
    <t>CA-146-ISF-SOO</t>
  </si>
  <si>
    <t>CA-162A-ISF-SOO</t>
  </si>
  <si>
    <t>CA-162B-SH</t>
  </si>
  <si>
    <t>CA-162C-SH</t>
  </si>
  <si>
    <t>CA-164-SXO</t>
  </si>
  <si>
    <t>CA-167-LSOA</t>
  </si>
  <si>
    <t>CA-167-LD-SH</t>
  </si>
  <si>
    <t>CA-168-LSOO</t>
  </si>
  <si>
    <t>CA-002-LXO</t>
  </si>
  <si>
    <t>CA-004-LXO</t>
  </si>
  <si>
    <t>CA-006-ISF-SOOB</t>
  </si>
  <si>
    <t>CA-006-ISF-CR</t>
  </si>
  <si>
    <t>CA-011-ISF-SOOB</t>
  </si>
  <si>
    <t>CA-012-ISF-SOOB</t>
  </si>
  <si>
    <t>CA-013-ISF-SOOB</t>
  </si>
  <si>
    <t>CA-014-ISF-SO(ND)</t>
  </si>
  <si>
    <t xml:space="preserve">CA-019-ISF-SOO (R) </t>
  </si>
  <si>
    <t>CA-021-ISF-SO(ND)</t>
  </si>
  <si>
    <t>CA-023-ISF-XO</t>
  </si>
  <si>
    <t>CA-024-ISF-XO</t>
  </si>
  <si>
    <t>CA-025-ISF-XO</t>
  </si>
  <si>
    <t>Commercial renter</t>
  </si>
  <si>
    <t>CA-027-ISF-XO</t>
  </si>
  <si>
    <t>CA-028-ISF-XO</t>
  </si>
  <si>
    <t>CA-029-ISF-XO</t>
  </si>
  <si>
    <t>CA-031-ISF-XO</t>
  </si>
  <si>
    <t>CA-032-ISF-XO</t>
  </si>
  <si>
    <t>(Refused the inetrview)</t>
  </si>
  <si>
    <t>CA-033-ISF-XO</t>
  </si>
  <si>
    <t>CA-034-ISF-XO</t>
  </si>
  <si>
    <t>CA-035-ISF-XO</t>
  </si>
  <si>
    <t>CA-036-ISF-XO</t>
  </si>
  <si>
    <t>CA-037-ISF-XO</t>
  </si>
  <si>
    <t>CA-038-ISF-XO</t>
  </si>
  <si>
    <t>CA-040-ISF-XOB</t>
  </si>
  <si>
    <t>CA-039-ISF-XO</t>
  </si>
  <si>
    <t>CA-043-ISF-SOO</t>
  </si>
  <si>
    <t>CA-044-ISF-XO</t>
  </si>
  <si>
    <t>CA-042-ISF-SOO</t>
  </si>
  <si>
    <t>CA-050B-ISF-SOOB</t>
  </si>
  <si>
    <t>CA-051-ISF-SOO</t>
  </si>
  <si>
    <t>CA-053-ISF-SOO</t>
  </si>
  <si>
    <t>CA-060-ISF-SOO</t>
  </si>
  <si>
    <t xml:space="preserve">CA-052-ISF-SOO (R) </t>
  </si>
  <si>
    <t>Suelyn Dela Cruz</t>
  </si>
  <si>
    <t>CA-055-ISF-SOO</t>
  </si>
  <si>
    <t>Bayani Lundag (A)</t>
  </si>
  <si>
    <t xml:space="preserve">CA-056-ISF-SOO (R) </t>
  </si>
  <si>
    <t>CA-057-ISF-SOO</t>
  </si>
  <si>
    <t>CA-058-ISF-SOO</t>
  </si>
  <si>
    <t>CA-059-LO-SOO</t>
  </si>
  <si>
    <t>CA-061-LO-XOB</t>
  </si>
  <si>
    <t>CA-062-LL-SOOB</t>
  </si>
  <si>
    <t>CA-062-RBO</t>
  </si>
  <si>
    <t>CA-065-ISF-SOO</t>
  </si>
  <si>
    <t>CA-066-ISF-SOOB</t>
  </si>
  <si>
    <t>CA-067-ISF-SOO</t>
  </si>
  <si>
    <t>CA-072-ISF-SOOB</t>
  </si>
  <si>
    <t>CA-073-ISF-SOO</t>
  </si>
  <si>
    <t>CA-079-ISF-SOO</t>
  </si>
  <si>
    <t>CA-100-ISF-SOO</t>
  </si>
  <si>
    <t>CA-103-ISF-SHB</t>
  </si>
  <si>
    <t>CA-103B-ISF-SOOB</t>
  </si>
  <si>
    <t>CA-103C-ISF-SHB</t>
  </si>
  <si>
    <t>CA-110-ISF-CT</t>
  </si>
  <si>
    <t>CA-091-ISF-SOBA</t>
  </si>
  <si>
    <t>CA-095-ISF-SO (ND)</t>
  </si>
  <si>
    <t>CA-081-ISF-SOO</t>
  </si>
  <si>
    <t>CA-082-SOOB (CR)</t>
  </si>
  <si>
    <t>CA-085-ISF-SOO</t>
  </si>
  <si>
    <t>CA-086B-ISF-COO</t>
  </si>
  <si>
    <t>CA-086C-ISF-COO</t>
  </si>
  <si>
    <t>CA-086D-ISF-XO</t>
  </si>
  <si>
    <t>CA-087B-COO</t>
  </si>
  <si>
    <t>CA-087A-SOO</t>
  </si>
  <si>
    <t>CA-088-ISF-SOO</t>
  </si>
  <si>
    <t>CA-089A-ISF-SOO</t>
  </si>
  <si>
    <t>CA-093-ISF-SOBA</t>
  </si>
  <si>
    <t>CA-096-ISF-SOO</t>
  </si>
  <si>
    <t>CA-097-ISF-SOO</t>
  </si>
  <si>
    <t>CA-111A-SOBA</t>
  </si>
  <si>
    <t>CA-113-ISF-SOA</t>
  </si>
  <si>
    <t xml:space="preserve">CA-133-ISF-SOO (R) </t>
  </si>
  <si>
    <t>CA-116-ISF-SOOB</t>
  </si>
  <si>
    <t>CA-116-ISF-BO</t>
  </si>
  <si>
    <t>CA-116-ISF-SH</t>
  </si>
  <si>
    <t>CA-117-ISF-SOOB</t>
  </si>
  <si>
    <t>CA-117-ISF-SH</t>
  </si>
  <si>
    <t>CA-118-XO</t>
  </si>
  <si>
    <t>CA-119-SOOB</t>
  </si>
  <si>
    <t>CA-120-ISF-SOOB</t>
  </si>
  <si>
    <t>CA-121A-ISF-COO</t>
  </si>
  <si>
    <t>CA-121B-ISF-SOO</t>
  </si>
  <si>
    <t>CA-122-ISF-XO</t>
  </si>
  <si>
    <t>CA-123-R3</t>
  </si>
  <si>
    <t>CA-125-ISF-SOO</t>
  </si>
  <si>
    <t>CA-129-ISF-SOO</t>
  </si>
  <si>
    <t>CA-131-ISF-SOOB</t>
  </si>
  <si>
    <t xml:space="preserve">CA-132-ISF-COO (R) </t>
  </si>
  <si>
    <t>CA-144-ISF-XO</t>
  </si>
  <si>
    <t>CA-143-ISF-XO</t>
  </si>
  <si>
    <t>CA-150-ISF-XO</t>
  </si>
  <si>
    <t>CA-151-ISF-XO</t>
  </si>
  <si>
    <t>CA-152-ISF-XO</t>
  </si>
  <si>
    <t>CA-153-ISF-XO</t>
  </si>
  <si>
    <t>CA-154-ISF-XO</t>
  </si>
  <si>
    <t>CA-155-ISF-XO</t>
  </si>
  <si>
    <t>CA-158-ISF-XO</t>
  </si>
  <si>
    <t>CA-159-ISF-XO</t>
  </si>
  <si>
    <t>CA-160-ISF-XO</t>
  </si>
  <si>
    <t>172, Dona Casimiro St., Maypajo, Brgy 33, Caloocan City</t>
  </si>
  <si>
    <t>Sollano, Reynalyn Del Rosario</t>
  </si>
  <si>
    <t>Brgy 33, Caloocan City</t>
  </si>
  <si>
    <t>net</t>
  </si>
  <si>
    <t>screen</t>
  </si>
  <si>
    <t>CA-161-ISF-SOOB</t>
  </si>
  <si>
    <t>CA-163-ISF-SOB</t>
  </si>
  <si>
    <t>CA-163-R</t>
  </si>
  <si>
    <t>CA-166-XO</t>
  </si>
  <si>
    <t>Brgy. 33, Caloocan City</t>
  </si>
  <si>
    <t>CA-017-ISF-SOO</t>
  </si>
  <si>
    <t>CA-026-ISF-XOB (ND)</t>
  </si>
  <si>
    <t>Brgy. 17, Caloocan City</t>
  </si>
  <si>
    <t>Acab St., Brgy.17, Caloocan City</t>
  </si>
  <si>
    <t>Silva, Nicandro Mendoza</t>
  </si>
  <si>
    <t>Brgy 17, Caloocan City</t>
  </si>
  <si>
    <t>170 Daang Bakal, Brgy.15 Caloocan City</t>
  </si>
  <si>
    <t>RobertoM. Badal</t>
  </si>
  <si>
    <t>14° 39' 02.2"</t>
  </si>
  <si>
    <t>0906-467-7731</t>
  </si>
  <si>
    <t>c/oRamil Pagdanganan</t>
  </si>
  <si>
    <t>do not know</t>
  </si>
  <si>
    <t>De Vera Reynaldo</t>
  </si>
  <si>
    <t>14° 38' 54.2"</t>
  </si>
  <si>
    <t>14° 38' 55.3"</t>
  </si>
  <si>
    <t>14° 38' 54.8"</t>
  </si>
  <si>
    <t>Pagdanganan, Virginia</t>
  </si>
  <si>
    <t>573-3698</t>
  </si>
  <si>
    <t xml:space="preserve">Married </t>
  </si>
  <si>
    <t>Brgy.19, Caloocan</t>
  </si>
  <si>
    <t>De Vera, Reynaldo</t>
  </si>
  <si>
    <t>CA-041-ISF-XOB</t>
  </si>
  <si>
    <t>Ronnie D. Dizon</t>
  </si>
  <si>
    <t>Corrogated GI sheet</t>
  </si>
  <si>
    <t>Velasco, Noel</t>
  </si>
  <si>
    <t>CA-063-LD-SOBA</t>
  </si>
  <si>
    <t>Sayson Mark James</t>
  </si>
  <si>
    <t>Emiterio Blazo Ramirez</t>
  </si>
  <si>
    <t>214, Dona Rita St., Brgy 19, Caloocan City</t>
  </si>
  <si>
    <t xml:space="preserve">CA-054-ISF-XO (R) </t>
  </si>
  <si>
    <t>Dorothy Lundag</t>
  </si>
  <si>
    <t>Francisco M. Tabuac</t>
  </si>
  <si>
    <t>CA-063-RB</t>
  </si>
  <si>
    <t>CA-064-ISF-SO (NO)</t>
  </si>
  <si>
    <t>CA-050A-ISF-SOB (ND)</t>
  </si>
  <si>
    <t xml:space="preserve">CA-050A </t>
  </si>
  <si>
    <t>KM 33+750 to KM 33+500</t>
  </si>
  <si>
    <t>Jonathan C. Udan</t>
  </si>
  <si>
    <t>CA-091-ISF-COOB</t>
  </si>
  <si>
    <t>Alexander O. Ico</t>
  </si>
  <si>
    <t>Furniture Shop space rental</t>
  </si>
  <si>
    <t>Furniture shop space renter</t>
  </si>
  <si>
    <t>Furniture manufacturing</t>
  </si>
  <si>
    <t>14° 38' 42.7"</t>
  </si>
  <si>
    <t>sharer</t>
  </si>
  <si>
    <t>14° 38' 36.9"</t>
  </si>
  <si>
    <t>14° 38' 36.2"</t>
  </si>
  <si>
    <t>CA-109-ISF-SOOB</t>
  </si>
  <si>
    <t>CA-111A-CR</t>
  </si>
  <si>
    <t>Dela Paz, Juanita Gagani</t>
  </si>
  <si>
    <t>0919-420-2572</t>
  </si>
  <si>
    <t>Dela Paz, Junita</t>
  </si>
  <si>
    <t>Affordable Rent free</t>
  </si>
  <si>
    <t>Pelegrino, Laren Gatinao (Co-Owner)</t>
  </si>
  <si>
    <t>WALL:GI-5pcs, POST:Wood-4pcs of 2"x2", FLOOR:Concrete of 2" thick</t>
  </si>
  <si>
    <t>Juanita Dela Paz</t>
  </si>
  <si>
    <t>Panoy, Maribeth Pardola</t>
  </si>
  <si>
    <t>Panoy Jr, Benjamin</t>
  </si>
  <si>
    <t>Benjamin Panoy Jr</t>
  </si>
  <si>
    <t>Maribeth Panoy</t>
  </si>
  <si>
    <t>0929-217-2546</t>
  </si>
  <si>
    <t>Carceller, Rizaldy Abordo</t>
  </si>
  <si>
    <t>Carceller, Rizaldy</t>
  </si>
  <si>
    <t>Rizaldy Carceller</t>
  </si>
  <si>
    <t>Waiter, Dishwasher</t>
  </si>
  <si>
    <t>MN-107G-ISF-SOO</t>
  </si>
  <si>
    <t>MN-107H-ISF-SOO</t>
  </si>
  <si>
    <t>Nativdad Sumira Cruz/Joena May Dela Cruz Reyes (Absentee)</t>
  </si>
  <si>
    <t>Leticia M. Llandoc (Absentee)</t>
  </si>
  <si>
    <t>Cesar Gamboa (Absentee)</t>
  </si>
  <si>
    <t>Lucia Maca Manotoc (Absentee)</t>
  </si>
  <si>
    <t>CA-130-CMP-SOA (NO)</t>
  </si>
  <si>
    <t>CA-135-CMP-SOA</t>
  </si>
  <si>
    <t>CA-136-CMP-SOA</t>
  </si>
  <si>
    <t>CA-134-CMP-SBOO</t>
  </si>
  <si>
    <t>694 Mulawin St., Bancal Extension Meycauayan Bulacan</t>
  </si>
  <si>
    <t>670 (683) Mulawin St. Bancal Ext., Meycauayan Bulacan</t>
  </si>
  <si>
    <t xml:space="preserve">684 Mulawin St., Bancal Ext., Meycauayan Bulcan </t>
  </si>
  <si>
    <t>200 P. Burgos St., 10th Ave. Caloocan City Brgy.15</t>
  </si>
  <si>
    <t>201 Daang Bakal, P. Burgos St., 10th Ave. Caloocan City Brgy.15</t>
  </si>
  <si>
    <t>203 Daang Bakal, 10th Ave. Caloocan City Brgy.15</t>
  </si>
  <si>
    <t>14 P.Burgos St., 10th Ave. Caloocan City Brgy.15</t>
  </si>
  <si>
    <t>172 Daang Bakal Caloocan City Brgy.15</t>
  </si>
  <si>
    <t>220 Esguerra St., BRGY.15 Caloocan City</t>
  </si>
  <si>
    <t>450 Laon Laan St., 4th Ave. Caloocan City Brgy.25</t>
  </si>
  <si>
    <t>1036 Interior A. Mabini St., May Pajo Caloocan City Brgy.33</t>
  </si>
  <si>
    <t>1036 Interior 14 A. Mabini St., May Pajo Caloocan City Brgy.33</t>
  </si>
  <si>
    <t>1036 Interior.14 A. Mabini St., May Pajo Caloocan City Brgy.33</t>
  </si>
  <si>
    <t>161 Doña Casimiro St., Maypajo Caloocan City Brgy.33</t>
  </si>
  <si>
    <t>161 Interior 10 Mariano St., Maypajo Caloocan City Brgy.33</t>
  </si>
  <si>
    <t>31 Diamond st., CVP Subd., Bulihan Bulacan Malolos</t>
  </si>
  <si>
    <t>Sapphire st., CVP Subd. Bulihan Malolos Bulacan</t>
  </si>
  <si>
    <t xml:space="preserve">MC-014-ISF-SOO (R) </t>
  </si>
  <si>
    <t>MC-016A-BOA</t>
  </si>
  <si>
    <t>Magdaraog, Desiree Villarosa</t>
  </si>
  <si>
    <t>Cruz, Jessa</t>
  </si>
  <si>
    <t>GG-017</t>
  </si>
  <si>
    <t>BA-001-LL-SBOA</t>
  </si>
  <si>
    <t>Castor, Levy</t>
  </si>
  <si>
    <t>Villaflores, Helen Consulta</t>
  </si>
  <si>
    <t>Villaflores, Clarita Montaos</t>
  </si>
  <si>
    <t>MA-008-SO</t>
  </si>
  <si>
    <t>MA-013-LSOA</t>
  </si>
  <si>
    <t>MA-011-LSOA</t>
  </si>
  <si>
    <t>MA-012-LXOA</t>
  </si>
  <si>
    <t>MA-018-LSBOO</t>
  </si>
  <si>
    <t xml:space="preserve"> Luis Mendoza and Flotilda Mendoza</t>
  </si>
  <si>
    <t>MA-014</t>
  </si>
  <si>
    <t>MY-006-LXO</t>
  </si>
  <si>
    <t>MY-008-LXO</t>
  </si>
  <si>
    <t>MY-005-LXO</t>
  </si>
  <si>
    <t>MY-013A-LSOO</t>
  </si>
  <si>
    <t>MY-016-LOA</t>
  </si>
  <si>
    <t>MY-009-COO</t>
  </si>
  <si>
    <t>MY-012-LSOA</t>
  </si>
  <si>
    <t>MY-017-LSOA</t>
  </si>
  <si>
    <t>MY-020-LSOO</t>
  </si>
  <si>
    <t>MY-021B-R2BOO</t>
  </si>
  <si>
    <t>MY-022-LSBOO</t>
  </si>
  <si>
    <t>MY-023-LSOO</t>
  </si>
  <si>
    <t>MY-025-LXO</t>
  </si>
  <si>
    <t>MY-028-ISF-SOO</t>
  </si>
  <si>
    <t>MY-011-LD-SOO</t>
  </si>
  <si>
    <t>VC-024-LSBOO</t>
  </si>
  <si>
    <t>VC-037-COO</t>
  </si>
  <si>
    <t>VC-092-SBOA</t>
  </si>
  <si>
    <t>VC-072</t>
  </si>
  <si>
    <t>VC-053-LSOA</t>
  </si>
  <si>
    <t>Enrico B. Soan</t>
  </si>
  <si>
    <t xml:space="preserve">Clara Dela Cruz </t>
  </si>
  <si>
    <t>VC-051-LSOO</t>
  </si>
  <si>
    <t>VC-055-LSXBOO</t>
  </si>
  <si>
    <t>VC-053-SOO</t>
  </si>
  <si>
    <t>VC-063-LO-XO</t>
  </si>
  <si>
    <t>VC-065-COO</t>
  </si>
  <si>
    <t>VC-073-LO-XO</t>
  </si>
  <si>
    <t>VC-073-LD-XO</t>
  </si>
  <si>
    <t>VC-076-LXOA</t>
  </si>
  <si>
    <t>VC-077-LXOA</t>
  </si>
  <si>
    <t>VC-079-LXO</t>
  </si>
  <si>
    <t>VC-082-LXO</t>
  </si>
  <si>
    <t>VC-090-LXO</t>
  </si>
  <si>
    <t>VC-092A-LD-XBOA</t>
  </si>
  <si>
    <t>VC-093-LSBOA</t>
  </si>
  <si>
    <t xml:space="preserve">CA-147-SO </t>
  </si>
  <si>
    <t xml:space="preserve">CA-148-SO </t>
  </si>
  <si>
    <t>CA-005-LSO</t>
  </si>
  <si>
    <t>CA-094-ISF-XO</t>
  </si>
  <si>
    <t>CA-142-XO (refuse interview)</t>
  </si>
  <si>
    <t>MN-006-ISF-SOO</t>
  </si>
  <si>
    <t>MN-008-ISF-XO</t>
  </si>
  <si>
    <t>MN-009-ISF-XO</t>
  </si>
  <si>
    <t>MN-010-ISF-XO</t>
  </si>
  <si>
    <t>MN-011-ISF-XO</t>
  </si>
  <si>
    <t>MN-012-ISF-XO</t>
  </si>
  <si>
    <t>MN-013-ISF-XO</t>
  </si>
  <si>
    <t>MN-014-ISF-XO</t>
  </si>
  <si>
    <t>MN-015-ISF-XO</t>
  </si>
  <si>
    <t>MN-016-ISF-XO</t>
  </si>
  <si>
    <t>MN-017-ISF-XO</t>
  </si>
  <si>
    <t>MN-020-ISF-SOO</t>
  </si>
  <si>
    <t>MN-021-ISF-SOO</t>
  </si>
  <si>
    <t>MN-022-ISF-XO</t>
  </si>
  <si>
    <t>MN-023-SO</t>
  </si>
  <si>
    <t>MN-024-ISF-XO</t>
  </si>
  <si>
    <t>MN-025-ISF-SOO</t>
  </si>
  <si>
    <t>MN-026-ISF-XO</t>
  </si>
  <si>
    <t>MN-028-XO</t>
  </si>
  <si>
    <t>MN-029-ISF-SOO</t>
  </si>
  <si>
    <t>MN-030-ISF-SOO</t>
  </si>
  <si>
    <t>MN-031-ISF-XO</t>
  </si>
  <si>
    <t>MN-034-SOO</t>
  </si>
  <si>
    <t>MN-037-SOO</t>
  </si>
  <si>
    <t>MN-038-SXOO</t>
  </si>
  <si>
    <t>MN-039-ISF-SOO</t>
  </si>
  <si>
    <t>MN-040-ISF-SH</t>
  </si>
  <si>
    <t>MN-040A-ISF-COO</t>
  </si>
  <si>
    <t>MN-041-ISF-SOO</t>
  </si>
  <si>
    <t>MN-042-ISF-SOO</t>
  </si>
  <si>
    <t>MN-043-ISF-SXOO</t>
  </si>
  <si>
    <t>MN-044-ISF-SOO</t>
  </si>
  <si>
    <t>MN-045-ISF-SOO</t>
  </si>
  <si>
    <t>MN-049A-ISF-SOO</t>
  </si>
  <si>
    <t>MN-050-ISF-SOO</t>
  </si>
  <si>
    <t>MN-051A-ISF-SOO</t>
  </si>
  <si>
    <t>MN-051B-SOO</t>
  </si>
  <si>
    <t>MN-053-ISF-SXOO</t>
  </si>
  <si>
    <t>MN-115-SXOO</t>
  </si>
  <si>
    <t>MN-111B-XO</t>
  </si>
  <si>
    <t>MN-101-ISF-XO</t>
  </si>
  <si>
    <t>MN-102-ISF-XO</t>
  </si>
  <si>
    <t>MN-100-XO</t>
  </si>
  <si>
    <t>MN-095-ISF-XO</t>
  </si>
  <si>
    <t>MN-094-ISF-XO</t>
  </si>
  <si>
    <t>MN-092-ISF-SXOO</t>
  </si>
  <si>
    <t>MN-093-ISF-SXOO</t>
  </si>
  <si>
    <t>MN-090-ISF-XO</t>
  </si>
  <si>
    <t>MN-089-ISF-XO</t>
  </si>
  <si>
    <t>MN-086-ISF-SOO</t>
  </si>
  <si>
    <t>MN-086-ISF-SH</t>
  </si>
  <si>
    <t>MN-086-ISF-COOB</t>
  </si>
  <si>
    <t>MN-086-ISF-COO</t>
  </si>
  <si>
    <t>MN-087-SOO</t>
  </si>
  <si>
    <t>MN-084-ISF-SOO</t>
  </si>
  <si>
    <t>MN-085-ISF-SXOO</t>
  </si>
  <si>
    <t>MN-083-LL-XO</t>
  </si>
  <si>
    <t>MN-076-LO-SO</t>
  </si>
  <si>
    <t>MN-074-ISF-SOO</t>
  </si>
  <si>
    <t>MN-69-ISF-SOO</t>
  </si>
  <si>
    <t>MN-070-ISF-SOO</t>
  </si>
  <si>
    <t>MN-071-ISF-SXOO</t>
  </si>
  <si>
    <t>MN-033-ISF-SXOO</t>
  </si>
  <si>
    <t>MN-056-ISF-XO</t>
  </si>
  <si>
    <t>MN-057-ISF-XO</t>
  </si>
  <si>
    <t>MN-058-ISF-XO</t>
  </si>
  <si>
    <t>MN-059-ISF-XO</t>
  </si>
  <si>
    <t>MN-060-XO</t>
  </si>
  <si>
    <t>MN-062-XO</t>
  </si>
  <si>
    <t>MN-067-ISF-XO</t>
  </si>
  <si>
    <t>MN-061-SBO</t>
  </si>
  <si>
    <t>MN-061-R3</t>
  </si>
  <si>
    <t>MN-061-R2</t>
  </si>
  <si>
    <t>MN-098-ISF-SO-A (refuse interview)</t>
  </si>
  <si>
    <t>MN-072-SOO</t>
  </si>
  <si>
    <t>MN-073-S-A no dms  cannot locate</t>
  </si>
  <si>
    <t>(JUANITO ROAN) cannot locate</t>
  </si>
  <si>
    <t>MN-030-ISF-SH</t>
  </si>
  <si>
    <t>Provincial Government of Bulacan</t>
  </si>
  <si>
    <t xml:space="preserve">MY-021-LSBOA </t>
  </si>
  <si>
    <t>inc in 221</t>
  </si>
  <si>
    <t>inc in 222</t>
  </si>
  <si>
    <t>inc. in 226</t>
  </si>
  <si>
    <t>inc in 228</t>
  </si>
  <si>
    <t>inc in 231</t>
  </si>
  <si>
    <t>inc in 233</t>
  </si>
  <si>
    <t>inc in 235</t>
  </si>
  <si>
    <t>inc in 237</t>
  </si>
  <si>
    <t>inc in 243</t>
  </si>
  <si>
    <t>inc in 245</t>
  </si>
  <si>
    <t>inc in 249</t>
  </si>
  <si>
    <t>inc in 253</t>
  </si>
  <si>
    <t>inc in 259</t>
  </si>
  <si>
    <t>inc in 261</t>
  </si>
  <si>
    <t>inc in 263</t>
  </si>
  <si>
    <t>inc in 268</t>
  </si>
  <si>
    <t>inc in 272</t>
  </si>
  <si>
    <t>inc in 279</t>
  </si>
  <si>
    <t>inc in 281</t>
  </si>
  <si>
    <t>inc in 285</t>
  </si>
  <si>
    <t>inc in 289</t>
  </si>
  <si>
    <t>inc in 296</t>
  </si>
  <si>
    <t>inc in 302</t>
  </si>
  <si>
    <t>inc in 306</t>
  </si>
  <si>
    <t>inc in 310</t>
  </si>
  <si>
    <t>inc in 318</t>
  </si>
  <si>
    <t>inc in 321</t>
  </si>
  <si>
    <t>inc in 335</t>
  </si>
  <si>
    <t>inc in 344</t>
  </si>
  <si>
    <t>CA-022-ISF-SXOO</t>
  </si>
  <si>
    <t>inc in 629</t>
  </si>
  <si>
    <t>inc in 735</t>
  </si>
  <si>
    <t>Mixed use</t>
  </si>
  <si>
    <t>d1K ( STORAGE AREA)</t>
  </si>
  <si>
    <t>Barangay Saog LGU</t>
  </si>
  <si>
    <t xml:space="preserve">Adriano N. Mendoza </t>
  </si>
  <si>
    <t>Institutional occupant</t>
  </si>
  <si>
    <t>c/o Natividad S. Carilla</t>
  </si>
  <si>
    <t>Jonathan Lamug</t>
  </si>
  <si>
    <t>c/o Brgy. Tugatog</t>
  </si>
  <si>
    <t>Road access</t>
  </si>
  <si>
    <t>5 m wide road access</t>
  </si>
  <si>
    <t>Road(~3"-4" thick);</t>
  </si>
  <si>
    <t>Maria Delia A. Caco donated by Coun. Encarnacion</t>
  </si>
  <si>
    <t>Guillermo D. Manabo and Imelda Ong Manabo</t>
  </si>
  <si>
    <t>Maria Cecilia C. Sabanal and Baby Boy Sabanal</t>
  </si>
  <si>
    <t>Benzon C. Cabigas</t>
  </si>
  <si>
    <t>Oliver E. Albino</t>
  </si>
  <si>
    <t>Tater</t>
  </si>
  <si>
    <r>
      <t>Dindo. Malig-on Dela Pe</t>
    </r>
    <r>
      <rPr>
        <sz val="10"/>
        <rFont val="Calibri"/>
        <family val="2"/>
      </rPr>
      <t>ñ</t>
    </r>
    <r>
      <rPr>
        <sz val="8"/>
        <rFont val="Calibri"/>
        <family val="2"/>
      </rPr>
      <t>a</t>
    </r>
  </si>
  <si>
    <r>
      <t>Teodulo Carillo Acompa</t>
    </r>
    <r>
      <rPr>
        <sz val="10"/>
        <rFont val="Calibri"/>
        <family val="2"/>
      </rPr>
      <t>ñado</t>
    </r>
  </si>
  <si>
    <t>Mixed Use</t>
  </si>
  <si>
    <t>Brgy. 152 LGU</t>
  </si>
  <si>
    <r>
      <t>Danilo Dela Pe</t>
    </r>
    <r>
      <rPr>
        <sz val="10"/>
        <rFont val="Calibri"/>
        <family val="2"/>
      </rPr>
      <t>ña Punla</t>
    </r>
  </si>
  <si>
    <r>
      <t>Mercelita Mu</t>
    </r>
    <r>
      <rPr>
        <sz val="10"/>
        <rFont val="Calibri"/>
        <family val="2"/>
      </rPr>
      <t>ñoz Ticar</t>
    </r>
  </si>
  <si>
    <r>
      <t>Jose Ruel Sacapa</t>
    </r>
    <r>
      <rPr>
        <sz val="10"/>
        <rFont val="Calibri"/>
        <family val="2"/>
      </rPr>
      <t>ño Jornales</t>
    </r>
  </si>
  <si>
    <t>Yongden Technology Corporation</t>
  </si>
  <si>
    <t>Semi-permanent</t>
  </si>
  <si>
    <t>Semi-Permanent</t>
  </si>
  <si>
    <t>Three storey</t>
  </si>
  <si>
    <t>Bamboo, coco lumber</t>
  </si>
  <si>
    <t>Ines Castelo</t>
  </si>
  <si>
    <t>Barangay Health Center</t>
  </si>
  <si>
    <t>Shopping mall</t>
  </si>
  <si>
    <t>Daycare center</t>
  </si>
  <si>
    <t>Barangay Hall of 15</t>
  </si>
  <si>
    <t>Fish pond Stall</t>
  </si>
  <si>
    <t>Business space rental</t>
  </si>
  <si>
    <t xml:space="preserve">Apartment </t>
  </si>
  <si>
    <t>Junkshop</t>
  </si>
  <si>
    <t>Lotto outlet</t>
  </si>
  <si>
    <t>Industrial establishment</t>
  </si>
  <si>
    <t>Overseas Worker</t>
  </si>
  <si>
    <t>SPOUSE</t>
  </si>
  <si>
    <t>BIRTHDATE</t>
  </si>
  <si>
    <t>Siobal, Rizza Mae C</t>
  </si>
  <si>
    <t>type of DP</t>
  </si>
  <si>
    <t>Names of HH Members</t>
  </si>
  <si>
    <t>Educational Attainment</t>
  </si>
  <si>
    <t>Earning HH Member</t>
  </si>
  <si>
    <t>Specific Job</t>
  </si>
  <si>
    <t>Employee Income</t>
  </si>
  <si>
    <t>Business Income</t>
  </si>
  <si>
    <t>Combined TOTAL HH Income</t>
  </si>
  <si>
    <t>Address/ Place of Employment or Business</t>
  </si>
  <si>
    <t>Combined Transportation Expense</t>
  </si>
  <si>
    <t>60 yrs Old and Above</t>
  </si>
  <si>
    <t>Special Assistance</t>
  </si>
  <si>
    <t>Person who need assitance</t>
  </si>
  <si>
    <t>Name Tenant/Lessee</t>
  </si>
  <si>
    <t>J2.3 Employee Name</t>
  </si>
  <si>
    <t>J2.3 Employment status</t>
  </si>
  <si>
    <t>J2.3 Contact number</t>
  </si>
  <si>
    <t>J2.3 Monthly salary</t>
  </si>
  <si>
    <t>Names of Tenants/ lessees</t>
  </si>
  <si>
    <t>Welding</t>
  </si>
  <si>
    <t>Masonry</t>
  </si>
  <si>
    <t>Plumbing</t>
  </si>
  <si>
    <t>Pipe Fitting</t>
  </si>
  <si>
    <t>Carpentry</t>
  </si>
  <si>
    <t>Computer Operator</t>
  </si>
  <si>
    <t>Heavy Equipment Operaator</t>
  </si>
  <si>
    <t>Electricial</t>
  </si>
  <si>
    <t>Automotive</t>
  </si>
  <si>
    <t>Painting</t>
  </si>
  <si>
    <t>Agribusiness Worker</t>
  </si>
  <si>
    <t>Security Guard</t>
  </si>
  <si>
    <t>Technical writing</t>
  </si>
  <si>
    <t>Fashion Accessories</t>
  </si>
  <si>
    <t>Wrecker</t>
  </si>
  <si>
    <t>Electronics</t>
  </si>
  <si>
    <t>Sale Lady</t>
  </si>
  <si>
    <t>Computer Related</t>
  </si>
  <si>
    <t>Company Worker/ Business Adm</t>
  </si>
  <si>
    <t>Bank Teller</t>
  </si>
  <si>
    <t>Physical Therapist</t>
  </si>
  <si>
    <t>Dress Making</t>
  </si>
  <si>
    <t>Cooking</t>
  </si>
  <si>
    <t>Vegetable Production</t>
  </si>
  <si>
    <t>Poultry &amp; Livestock</t>
  </si>
  <si>
    <t>Fruit Processing</t>
  </si>
  <si>
    <t>Meat Processing</t>
  </si>
  <si>
    <t>Fish/Meat Vendor</t>
  </si>
  <si>
    <t>Cakes &amp; Pastries</t>
  </si>
  <si>
    <t>Bakeshop</t>
  </si>
  <si>
    <t>Food Catering</t>
  </si>
  <si>
    <t>Canteen/Restaurant</t>
  </si>
  <si>
    <t>Native Cakes</t>
  </si>
  <si>
    <t>Ukay-ukay</t>
  </si>
  <si>
    <t>Bamboo Craft</t>
  </si>
  <si>
    <t>Health and Social Services</t>
  </si>
  <si>
    <t>Recycling Paper</t>
  </si>
  <si>
    <t>Massage/Spa Therapy</t>
  </si>
  <si>
    <t>Beauty Care</t>
  </si>
  <si>
    <t>Herbal Processing</t>
  </si>
  <si>
    <t>Garment</t>
  </si>
  <si>
    <t>Dressmaking/Sewing/Seamstress</t>
  </si>
  <si>
    <t>Laundry Shop</t>
  </si>
  <si>
    <t>Vulcanizing &amp; Carwash</t>
  </si>
  <si>
    <t>Vending</t>
  </si>
  <si>
    <t>Furniture Making</t>
  </si>
  <si>
    <t>Welding/ Tinsmith</t>
  </si>
  <si>
    <t>Computer Shop</t>
  </si>
  <si>
    <t>Beauty Parlor/Barber Shop</t>
  </si>
  <si>
    <t>Rice Store</t>
  </si>
  <si>
    <t>Ricemills</t>
  </si>
  <si>
    <t>Delivery Services</t>
  </si>
  <si>
    <t>Paint Shop</t>
  </si>
  <si>
    <t>Aircon Repair Shop</t>
  </si>
  <si>
    <t>Fireworks Shop</t>
  </si>
  <si>
    <t>Soft Drinks Shop</t>
  </si>
  <si>
    <t>Tricycle Renting</t>
  </si>
  <si>
    <t>Adress/Place of Employement or Business</t>
  </si>
  <si>
    <t>EDUCATIONAL ATTAINMENT</t>
  </si>
  <si>
    <t>Person need Assistance</t>
  </si>
  <si>
    <t>Pensioner/ Support from children</t>
  </si>
  <si>
    <t>Mental disabilities or PWD</t>
  </si>
  <si>
    <t>Architecture</t>
  </si>
  <si>
    <t>head</t>
  </si>
  <si>
    <t>Architechtural</t>
  </si>
  <si>
    <t>Pre-school</t>
  </si>
  <si>
    <t>Assistance to walk</t>
  </si>
  <si>
    <t>Jocelyn Cristobal G.</t>
  </si>
  <si>
    <t>Dentist</t>
  </si>
  <si>
    <t>Dentistry</t>
  </si>
  <si>
    <t>within the Municipality/City</t>
  </si>
  <si>
    <t>Special Medical Care</t>
  </si>
  <si>
    <t>Alyssa Joyce Cristobal</t>
  </si>
  <si>
    <t>within the Province</t>
  </si>
  <si>
    <t>Serious Illness</t>
  </si>
  <si>
    <t>Andrie Michael Cristobal G.</t>
  </si>
  <si>
    <t>Other Province</t>
  </si>
  <si>
    <t>Difficulties in Communication</t>
  </si>
  <si>
    <t>Anicia Doctoma</t>
  </si>
  <si>
    <t>High School Graduate</t>
  </si>
  <si>
    <t>Leonida Onglao</t>
  </si>
  <si>
    <t>OWWA employee</t>
  </si>
  <si>
    <t>College Graduate or Higher</t>
  </si>
  <si>
    <t>Toribio S. Santos</t>
  </si>
  <si>
    <t>San Miguel employee</t>
  </si>
  <si>
    <t>Thannie Erika Santos</t>
  </si>
  <si>
    <t>Not In School Age</t>
  </si>
  <si>
    <t>Jhoanna Marie Santos</t>
  </si>
  <si>
    <t>Utility man (employee)</t>
  </si>
  <si>
    <t>Rose Repaso Reantaso</t>
  </si>
  <si>
    <t>Tutor (Teacher)</t>
  </si>
  <si>
    <t>Teaching</t>
  </si>
  <si>
    <t>Elina J. De Vera</t>
  </si>
  <si>
    <t>Alvin J. De Vera</t>
  </si>
  <si>
    <t>Maricel De Vera</t>
  </si>
  <si>
    <t>Gabriel De Vera</t>
  </si>
  <si>
    <t>Athan De Vera</t>
  </si>
  <si>
    <t>Aileen Pinto</t>
  </si>
  <si>
    <t>Joseph Pinto</t>
  </si>
  <si>
    <t>Dicer</t>
  </si>
  <si>
    <t>Althea Pinto</t>
  </si>
  <si>
    <t>Anica Pinto</t>
  </si>
  <si>
    <t>Jayson Pinto</t>
  </si>
  <si>
    <t>Call Center Agent, Racal Motor employee</t>
  </si>
  <si>
    <t>Fatima Salomon</t>
  </si>
  <si>
    <t>Regular</t>
  </si>
  <si>
    <t>Crystaline Gatus</t>
  </si>
  <si>
    <t>MC-018</t>
  </si>
  <si>
    <t>Manuelito David</t>
  </si>
  <si>
    <t>Manuelito David (70)</t>
  </si>
  <si>
    <t>Robita David</t>
  </si>
  <si>
    <t>Robita David (70)</t>
  </si>
  <si>
    <t>Dennis David</t>
  </si>
  <si>
    <t>Armorer, Security Investigation</t>
  </si>
  <si>
    <t>Member</t>
  </si>
  <si>
    <t>MC-022-LDSBO</t>
  </si>
  <si>
    <t>MC-022</t>
  </si>
  <si>
    <t>Gerard</t>
  </si>
  <si>
    <t>MC-022-R</t>
  </si>
  <si>
    <t>MC-028</t>
  </si>
  <si>
    <t>Enrique Bagtas</t>
  </si>
  <si>
    <t>Gloria Bagtas</t>
  </si>
  <si>
    <t>Catherine Bagtas</t>
  </si>
  <si>
    <t>Marco Polo Bagtas</t>
  </si>
  <si>
    <t>Eldrin Bagtas</t>
  </si>
  <si>
    <t>Danica Bagtas</t>
  </si>
  <si>
    <t>Marl Rendell Bagtas</t>
  </si>
  <si>
    <t>Novie Bagtas</t>
  </si>
  <si>
    <t>Hannah Ley Cruz</t>
  </si>
  <si>
    <t>Hans Michael Bagtas</t>
  </si>
  <si>
    <t>Hans Maco Bagtas</t>
  </si>
  <si>
    <t>Market Vendor, Piggery and Laborer</t>
  </si>
  <si>
    <t>Romeo T. Avila</t>
  </si>
  <si>
    <t>Jestoni T. Avila</t>
  </si>
  <si>
    <t>Lyca Jene T. Avila</t>
  </si>
  <si>
    <t>Ashly Mae T. Avila</t>
  </si>
  <si>
    <t>Ashly Mae T. Avila (Weak Heart)</t>
  </si>
  <si>
    <t>GG-001A</t>
  </si>
  <si>
    <t>Machine Operator (worker)</t>
  </si>
  <si>
    <t>Machine Operator</t>
  </si>
  <si>
    <t>CristelenaV. Magdaraog</t>
  </si>
  <si>
    <t>Lavandera, Piggery</t>
  </si>
  <si>
    <t>Lavandera/Backyard Piggery</t>
  </si>
  <si>
    <t>Nicole Villarosa</t>
  </si>
  <si>
    <t>Jerome V. Magdaraog</t>
  </si>
  <si>
    <t>Akhixia M. Magdaraog</t>
  </si>
  <si>
    <t>Deliver Helper Employee</t>
  </si>
  <si>
    <t>Electronics/electrical</t>
  </si>
  <si>
    <t>Deserie V. Magdaraog</t>
  </si>
  <si>
    <t>Sewing (Mat)</t>
  </si>
  <si>
    <t>Aliza M. Sanchez (61)</t>
  </si>
  <si>
    <t>Abel M. Sanchez</t>
  </si>
  <si>
    <t>Ricemill Laborer</t>
  </si>
  <si>
    <t>Natividad</t>
  </si>
  <si>
    <t>Natividad Lobetaña</t>
  </si>
  <si>
    <t>Sewing, Sari Sari Store</t>
  </si>
  <si>
    <t>Vina Lobetaña</t>
  </si>
  <si>
    <t>Maria Lobetaña</t>
  </si>
  <si>
    <t>Valerie Lobetaña</t>
  </si>
  <si>
    <t>Vanessa Lobetaña</t>
  </si>
  <si>
    <t>Farmer</t>
  </si>
  <si>
    <t>Vicente P. Dinglasan (67)</t>
  </si>
  <si>
    <t>Dodong Geronimo</t>
  </si>
  <si>
    <t>Seasonal</t>
  </si>
  <si>
    <t>spouse (no info)</t>
  </si>
  <si>
    <t>Reginal Dinglasan</t>
  </si>
  <si>
    <t>Jonathan Dinglasan</t>
  </si>
  <si>
    <t>Judielyn Dinglasan</t>
  </si>
  <si>
    <t>Romeo E. Mercado</t>
  </si>
  <si>
    <t>no info</t>
  </si>
  <si>
    <t>Adelina Mercado</t>
  </si>
  <si>
    <t>Eleanor Dela Cruz</t>
  </si>
  <si>
    <t>Romana M. Robles (79)</t>
  </si>
  <si>
    <t>Apollo M Robles</t>
  </si>
  <si>
    <t>Baranggay Captain</t>
  </si>
  <si>
    <t>Buy and sell products</t>
  </si>
  <si>
    <t>GG-013A</t>
  </si>
  <si>
    <t>Driving, Automotive</t>
  </si>
  <si>
    <t>Drivng, Automotive</t>
  </si>
  <si>
    <t>Elizier Cruz</t>
  </si>
  <si>
    <t>Rhaine Cruz</t>
  </si>
  <si>
    <t>Elija Cruz</t>
  </si>
  <si>
    <t>Marissa Villacorta Angeles</t>
  </si>
  <si>
    <t>Robinel Villacorta Angeles</t>
  </si>
  <si>
    <t>Office Staff (NLEX employee)</t>
  </si>
  <si>
    <t>Cooking /Baking</t>
  </si>
  <si>
    <t>Jerica Angeles</t>
  </si>
  <si>
    <t>Kaizer Daniel Maamo</t>
  </si>
  <si>
    <t>Ryan Eloriaga</t>
  </si>
  <si>
    <t>Office Staff (MERALCO)</t>
  </si>
  <si>
    <t>L-GG-017</t>
  </si>
  <si>
    <t>0920-256-0729</t>
  </si>
  <si>
    <t>Mercedes Aquino</t>
  </si>
  <si>
    <t>Angelito Colegado Galvez</t>
  </si>
  <si>
    <t>Angelito Colegado Galvez (72)</t>
  </si>
  <si>
    <t>Buy and Sell, Piggery</t>
  </si>
  <si>
    <t>Arturo Galvez</t>
  </si>
  <si>
    <t>Bernadette Galvez</t>
  </si>
  <si>
    <t>Christian V. Galvez</t>
  </si>
  <si>
    <t>Dominick V. Galvez</t>
  </si>
  <si>
    <t>Aaron Pascual Calimlim</t>
  </si>
  <si>
    <t>Queen Roan G. Pascual</t>
  </si>
  <si>
    <t>Francisco Delos Santos</t>
  </si>
  <si>
    <t>Cresencia Bagsic</t>
  </si>
  <si>
    <t>15,000-20,000 (both owner)</t>
  </si>
  <si>
    <t>Jacinto Rodriguez Jr.</t>
  </si>
  <si>
    <t>0936-478-5136</t>
  </si>
  <si>
    <t>Jerome B. Bagsic</t>
  </si>
  <si>
    <t>Partime Instructor</t>
  </si>
  <si>
    <t>Computer related</t>
  </si>
  <si>
    <t>Abegail B. Bagsic</t>
  </si>
  <si>
    <t>BO-001.1</t>
  </si>
  <si>
    <t>Aron Pura (Polio-2)</t>
  </si>
  <si>
    <t>Rudy Francisco</t>
  </si>
  <si>
    <t>Cooking/Baking, Agricultural skills</t>
  </si>
  <si>
    <t>Teresita Falconi</t>
  </si>
  <si>
    <t>Teresita Falconi (84)</t>
  </si>
  <si>
    <t>Melinda Francisco</t>
  </si>
  <si>
    <t>Owner/ Regular</t>
  </si>
  <si>
    <t>Emelita Mejos</t>
  </si>
  <si>
    <t>Fireworks Laborer</t>
  </si>
  <si>
    <t>Jefferson Mejos</t>
  </si>
  <si>
    <t>Fireworks Technician</t>
  </si>
  <si>
    <t>Felisima I.Ramirez</t>
  </si>
  <si>
    <t>Apartment (owner)</t>
  </si>
  <si>
    <t>Felisima I.Ramirez (94)</t>
  </si>
  <si>
    <t>Gemma Cabungan</t>
  </si>
  <si>
    <t>Caregiver</t>
  </si>
  <si>
    <t>Care giving</t>
  </si>
  <si>
    <t>Jenny Amarilla</t>
  </si>
  <si>
    <t>Marnie De Vera</t>
  </si>
  <si>
    <t>Junior/Senior High School</t>
  </si>
  <si>
    <t>Khalil Gonzales</t>
  </si>
  <si>
    <t>John Warner C. Reyes</t>
  </si>
  <si>
    <r>
      <t>Rodolfo Fari</t>
    </r>
    <r>
      <rPr>
        <sz val="10"/>
        <color indexed="8"/>
        <rFont val="Calibri"/>
        <family val="2"/>
      </rPr>
      <t>ñas</t>
    </r>
  </si>
  <si>
    <t>Truck Driver</t>
  </si>
  <si>
    <t>Driving, Automotive, Elctronics/electrical</t>
  </si>
  <si>
    <t>Laurie Villegas</t>
  </si>
  <si>
    <t>Jaime Calipay Jr.</t>
  </si>
  <si>
    <t>Leonardo Calipay</t>
  </si>
  <si>
    <t>Judy Ann Calipay</t>
  </si>
  <si>
    <t>Nicole Calipay</t>
  </si>
  <si>
    <t>Jerald Calipay</t>
  </si>
  <si>
    <t>Jerome Calipay</t>
  </si>
  <si>
    <t>Nikko Calipay</t>
  </si>
  <si>
    <t>1wk</t>
  </si>
  <si>
    <t>ZESTO Laborer</t>
  </si>
  <si>
    <t>House Rental</t>
  </si>
  <si>
    <t>Ines C. Castelo</t>
  </si>
  <si>
    <t>Angel Joy Castelo</t>
  </si>
  <si>
    <t>Allysa Joy Castelo</t>
  </si>
  <si>
    <t>Welder (employee)</t>
  </si>
  <si>
    <t>Welding, Airconditioning/refrigeration</t>
  </si>
  <si>
    <t>Rey Obias</t>
  </si>
  <si>
    <t>Michelle Obias</t>
  </si>
  <si>
    <t>Jose Obias</t>
  </si>
  <si>
    <t>Brgy.Kagawad (Government)</t>
  </si>
  <si>
    <t>Cooking/baking</t>
  </si>
  <si>
    <t>Amy A. Fariñas</t>
  </si>
  <si>
    <t>Scrap agent</t>
  </si>
  <si>
    <t>Vilma M. relos</t>
  </si>
  <si>
    <t>Manicure/Pedicure</t>
  </si>
  <si>
    <t>Manicure</t>
  </si>
  <si>
    <t>John Dongon</t>
  </si>
  <si>
    <t>Joel Dongon</t>
  </si>
  <si>
    <t>Jun Dongon</t>
  </si>
  <si>
    <t>John Paul Dongon</t>
  </si>
  <si>
    <t>Jerome Dongon</t>
  </si>
  <si>
    <t>Bendehador Helper (labor)</t>
  </si>
  <si>
    <t>Jenny Samarinta</t>
  </si>
  <si>
    <t>Shane Pamittan</t>
  </si>
  <si>
    <t>Samantha Pamittan</t>
  </si>
  <si>
    <t>Sari-Sari Store (owner)</t>
  </si>
  <si>
    <t>John Lester Santos</t>
  </si>
  <si>
    <t>Anita Salasar</t>
  </si>
  <si>
    <t>John Carlo Paglinawan (pamangkin)</t>
  </si>
  <si>
    <t>Store Helper (labor)</t>
  </si>
  <si>
    <t>driver, construction</t>
  </si>
  <si>
    <t>Jennylyn Borjo</t>
  </si>
  <si>
    <t>Labandera</t>
  </si>
  <si>
    <t>Jean Rachel Calipay</t>
  </si>
  <si>
    <t>Ramon a. Calipay Sr.</t>
  </si>
  <si>
    <t>Ramon a. Calipay Sr. (81)</t>
  </si>
  <si>
    <t>Anita D. Calipay</t>
  </si>
  <si>
    <t>Store Helper</t>
  </si>
  <si>
    <t>Anita D. Calipay (69)</t>
  </si>
  <si>
    <t>Brenda Paglinawan</t>
  </si>
  <si>
    <t>Nancy Jean Paglinawan</t>
  </si>
  <si>
    <t>Family Driver</t>
  </si>
  <si>
    <t>Ma. Rian Rose Alagos</t>
  </si>
  <si>
    <t>House Maid, Ironing (Labor)</t>
  </si>
  <si>
    <t>Cooking/baking, Tailoring, dress making, sewing</t>
  </si>
  <si>
    <t>Tomas Lemon Jr.</t>
  </si>
  <si>
    <t>Electronics/electrical, Automotive</t>
  </si>
  <si>
    <t>James Lemon</t>
  </si>
  <si>
    <t>Princess Lyn Lemon</t>
  </si>
  <si>
    <t>Yaya/House Maid</t>
  </si>
  <si>
    <t>Samuel Inselada</t>
  </si>
  <si>
    <t>Mega Foundation Employee</t>
  </si>
  <si>
    <t>Electronics/electrical, Grinder, Wrecker</t>
  </si>
  <si>
    <t>Cheryl Miones</t>
  </si>
  <si>
    <t>Justine Inselada</t>
  </si>
  <si>
    <t>Jacquelyn Inselada</t>
  </si>
  <si>
    <t>Jaypee Inselada</t>
  </si>
  <si>
    <t>Jasmine Inselada</t>
  </si>
  <si>
    <t>Jamaica Inselada</t>
  </si>
  <si>
    <t>Jazel Inselada</t>
  </si>
  <si>
    <t>Jellian Inselada</t>
  </si>
  <si>
    <t>Rosemary Castro</t>
  </si>
  <si>
    <t>Midwife</t>
  </si>
  <si>
    <t>0906-447-6253</t>
  </si>
  <si>
    <t>Estrelita Dela Torre</t>
  </si>
  <si>
    <t>BHW</t>
  </si>
  <si>
    <t>0932-924-0788</t>
  </si>
  <si>
    <t>Aprillyn Elizan</t>
  </si>
  <si>
    <t>0977-460-8175</t>
  </si>
  <si>
    <t>Helen Rose Villamar</t>
  </si>
  <si>
    <t>0923-530-4832</t>
  </si>
  <si>
    <t>Joanna Marie Laguisma</t>
  </si>
  <si>
    <t>0935-542-8915</t>
  </si>
  <si>
    <t>Widwo</t>
  </si>
  <si>
    <t>Avon, Manicure, 4P's</t>
  </si>
  <si>
    <t>Cooking/Baking</t>
  </si>
  <si>
    <t>Paul John Villanueva</t>
  </si>
  <si>
    <t>Marielle Ann Villanueva</t>
  </si>
  <si>
    <t>Margareth Villanueva</t>
  </si>
  <si>
    <t>Goldsmith</t>
  </si>
  <si>
    <t>Lorna C. Villanueva</t>
  </si>
  <si>
    <t>4-piece member</t>
  </si>
  <si>
    <t>Mark Erwin C. Villanueva</t>
  </si>
  <si>
    <t>Lorenz C. Villanueva</t>
  </si>
  <si>
    <t>Joseph C. Villanueva</t>
  </si>
  <si>
    <t>Owen C. Villanueva</t>
  </si>
  <si>
    <t>Rosie B. Guinto</t>
  </si>
  <si>
    <t>Jeneline B. Guinto</t>
  </si>
  <si>
    <t>Jhezrrielle B. Guinto</t>
  </si>
  <si>
    <t>Jan Nickolie Guinto</t>
  </si>
  <si>
    <t>Roxcie Alrraine Gasis</t>
  </si>
  <si>
    <t>Judith B. Guinto</t>
  </si>
  <si>
    <t>Jommel B. Guinto</t>
  </si>
  <si>
    <t>Stonesetter (Jewelry Employee)</t>
  </si>
  <si>
    <t>Judeline Sator</t>
  </si>
  <si>
    <t>Jeska Claire Sator</t>
  </si>
  <si>
    <t>Service Crew</t>
  </si>
  <si>
    <t>Jayzter Kyle Sator</t>
  </si>
  <si>
    <t>Jarrel Kane Sator</t>
  </si>
  <si>
    <t>Administration Aid</t>
  </si>
  <si>
    <t>Computer Related, Clerical Related</t>
  </si>
  <si>
    <t>Jasper Castor</t>
  </si>
  <si>
    <t>Graphic Artist</t>
  </si>
  <si>
    <t>Jana Castor</t>
  </si>
  <si>
    <t>Account Analyst</t>
  </si>
  <si>
    <t>Taxi (driving)</t>
  </si>
  <si>
    <t>Rachel Polintan</t>
  </si>
  <si>
    <t>Flora Polintan</t>
  </si>
  <si>
    <t>Flora Polintan (80)</t>
  </si>
  <si>
    <t>Jose Luis Polintan</t>
  </si>
  <si>
    <t>Jose Angelo Polintan</t>
  </si>
  <si>
    <t>Angela Luis Polintan</t>
  </si>
  <si>
    <t>6 months</t>
  </si>
  <si>
    <t>Rizalto Miramvil</t>
  </si>
  <si>
    <t>Tailor (sewing)</t>
  </si>
  <si>
    <t>Eloisa Consulta</t>
  </si>
  <si>
    <t>Nicole Consulta</t>
  </si>
  <si>
    <t>L-MA-014</t>
  </si>
  <si>
    <t>Puto Maker (Baker)</t>
  </si>
  <si>
    <t>Puto Maker</t>
  </si>
  <si>
    <t>Jeffrey M. Rosende</t>
  </si>
  <si>
    <t>Jennlyn M. Rosende</t>
  </si>
  <si>
    <t>Wood Crafting</t>
  </si>
  <si>
    <t>Adriano N. Mendoza (64)</t>
  </si>
  <si>
    <t>Adriano N. Mendoza (Deaf)</t>
  </si>
  <si>
    <t>Free Lance Photographer</t>
  </si>
  <si>
    <t>Elmer G. Monilla</t>
  </si>
  <si>
    <t>Pacific Concrete Employee</t>
  </si>
  <si>
    <t>Technical Electrical</t>
  </si>
  <si>
    <t>Margaruita G. Felipe</t>
  </si>
  <si>
    <t>John Benidick Felipe</t>
  </si>
  <si>
    <t>Mary Joy Felipe</t>
  </si>
  <si>
    <t>ABS-CBN Employee</t>
  </si>
  <si>
    <t>Cristopher Felipe</t>
  </si>
  <si>
    <t>Jolibee Crew</t>
  </si>
  <si>
    <t>MA-016-A1</t>
  </si>
  <si>
    <t>Businesman employee</t>
  </si>
  <si>
    <t>Athelete, Driving</t>
  </si>
  <si>
    <t>Xiane Louise Geronimo</t>
  </si>
  <si>
    <t>Eldridge Giehl Geronimo</t>
  </si>
  <si>
    <t>MA-016-A2</t>
  </si>
  <si>
    <t>Tailoring, Dress making, Sewing</t>
  </si>
  <si>
    <t>Regular/ Owner</t>
  </si>
  <si>
    <t>Online Business (micro)</t>
  </si>
  <si>
    <t>Alice Nepuscua</t>
  </si>
  <si>
    <t>Sale Lady (SM)</t>
  </si>
  <si>
    <t>Jane Montimor</t>
  </si>
  <si>
    <t>Reynaldo N. Mendoza (60)</t>
  </si>
  <si>
    <t>Teresita R. Mendoza</t>
  </si>
  <si>
    <t>Jhon Andrei Mendoza</t>
  </si>
  <si>
    <t>Perlita R. Mendoza</t>
  </si>
  <si>
    <t>Armando R. Mendoza</t>
  </si>
  <si>
    <t>Reynante R. Mendoza</t>
  </si>
  <si>
    <t>Raymond R. Mendoza</t>
  </si>
  <si>
    <t>Arlene R. Mendoza</t>
  </si>
  <si>
    <t>Arnold R. Mendoza</t>
  </si>
  <si>
    <t>Baranggay Staff</t>
  </si>
  <si>
    <t>John Andrei R. Mendoza</t>
  </si>
  <si>
    <t>Mark Raymar M. Mendoza</t>
  </si>
  <si>
    <t>Reiterence M. Mendoza</t>
  </si>
  <si>
    <t>Madelyn Bon A.</t>
  </si>
  <si>
    <t>0910-682-9161</t>
  </si>
  <si>
    <t>Ray Anne B. Mendones</t>
  </si>
  <si>
    <t>0907-268-7298</t>
  </si>
  <si>
    <t>Naneth Pabor</t>
  </si>
  <si>
    <t>0916-889-3732</t>
  </si>
  <si>
    <t>Jones Pabor</t>
  </si>
  <si>
    <t xml:space="preserve">Virgilio Enriquez </t>
  </si>
  <si>
    <t>Ronel  Javier</t>
  </si>
  <si>
    <t>0975-382-4174</t>
  </si>
  <si>
    <t>Rosel Alimorong</t>
  </si>
  <si>
    <t>Espiritu, Leopoldo</t>
  </si>
  <si>
    <t>Regular, Caretaker</t>
  </si>
  <si>
    <t>Stephanie Bonilla</t>
  </si>
  <si>
    <t>Archie TsangzhengChu</t>
  </si>
  <si>
    <t>Christian Talon</t>
  </si>
  <si>
    <t>Lanoso, Jason</t>
  </si>
  <si>
    <t>Lenora M. Lanoso</t>
  </si>
  <si>
    <t>JJ Summit Employee</t>
  </si>
  <si>
    <t>Basic Electronics</t>
  </si>
  <si>
    <t>Emerlinda Lamug</t>
  </si>
  <si>
    <t>NLRC Employee</t>
  </si>
  <si>
    <t>Cheska Lamug</t>
  </si>
  <si>
    <t>Thea Lamug</t>
  </si>
  <si>
    <t>Nathan Lamug</t>
  </si>
  <si>
    <t>Alecsa Lamug</t>
  </si>
  <si>
    <t>St. Mary's College Employee</t>
  </si>
  <si>
    <t>Computer related, Driving</t>
  </si>
  <si>
    <t>Nicole Ann L. Santos</t>
  </si>
  <si>
    <t>Kirk Ivan L. Santos</t>
  </si>
  <si>
    <t>Sigle</t>
  </si>
  <si>
    <t>Corazon D.R. De Guzman</t>
  </si>
  <si>
    <t>Geronimo, Leonilo</t>
  </si>
  <si>
    <t>0935-479-0152</t>
  </si>
  <si>
    <t>Teresita Luna</t>
  </si>
  <si>
    <t>Angelika De Ramos</t>
  </si>
  <si>
    <t>Ramirez, Angelito</t>
  </si>
  <si>
    <t>0947-278--1905</t>
  </si>
  <si>
    <t>Funa, Robert</t>
  </si>
  <si>
    <t>0926-754-9254</t>
  </si>
  <si>
    <t>Veruen, Manuel</t>
  </si>
  <si>
    <t>Guiambangan,Marco</t>
  </si>
  <si>
    <t>Roxas, Cynthia</t>
  </si>
  <si>
    <t>MY-010A</t>
  </si>
  <si>
    <t>Leonnilo P. Geronimo</t>
  </si>
  <si>
    <t>Marlon Geronimo</t>
  </si>
  <si>
    <t>Bernadette Geronimo</t>
  </si>
  <si>
    <t>Virginia Geronimo</t>
  </si>
  <si>
    <t>Janine Geronimo</t>
  </si>
  <si>
    <t>MY-10B</t>
  </si>
  <si>
    <t>Scrap Collector (aide</t>
  </si>
  <si>
    <t>Abegail Ramirez</t>
  </si>
  <si>
    <t>Angeline Ramirez</t>
  </si>
  <si>
    <t>Shane Ramirez</t>
  </si>
  <si>
    <t>Construction worker</t>
  </si>
  <si>
    <t>Anthony Ramirez</t>
  </si>
  <si>
    <t>Antonio Ramirez</t>
  </si>
  <si>
    <t>Luz Dela Cruz</t>
  </si>
  <si>
    <t>(labanadera)</t>
  </si>
  <si>
    <t>Angelo Ramirez</t>
  </si>
  <si>
    <t>(nagwawalis sa jeep)</t>
  </si>
  <si>
    <t>MY-10C</t>
  </si>
  <si>
    <t>Bet Taker (Cock Pit Arena) Employee</t>
  </si>
  <si>
    <t>Conztruction works</t>
  </si>
  <si>
    <t>Paz Dela Cruz</t>
  </si>
  <si>
    <t>Jayvee Dela Cruz</t>
  </si>
  <si>
    <t>Tina Ramirez</t>
  </si>
  <si>
    <t>Dolores Dela Cruz</t>
  </si>
  <si>
    <t>Rose Atienco</t>
  </si>
  <si>
    <t>Crystal Atienco</t>
  </si>
  <si>
    <t>MY-010D</t>
  </si>
  <si>
    <t>Construction employee</t>
  </si>
  <si>
    <t>Renelyn Verunque</t>
  </si>
  <si>
    <t>Waitress</t>
  </si>
  <si>
    <t>Rex Veruen</t>
  </si>
  <si>
    <t>Marilyn Veruen</t>
  </si>
  <si>
    <t>Mande Veruen</t>
  </si>
  <si>
    <t>Ma. Erica Veruen</t>
  </si>
  <si>
    <t>Sales lady</t>
  </si>
  <si>
    <t>Manuelito Veruen</t>
  </si>
  <si>
    <t>Renz Veruen</t>
  </si>
  <si>
    <t>Exiel Matthew Veunque</t>
  </si>
  <si>
    <t>Scarlet Veruen</t>
  </si>
  <si>
    <t>MY-10E</t>
  </si>
  <si>
    <t>GRO employee</t>
  </si>
  <si>
    <t>Jolan Silverio</t>
  </si>
  <si>
    <t>Xian J Silverio</t>
  </si>
  <si>
    <t>Alfredo Dionisio</t>
  </si>
  <si>
    <t>(sabong sustento)</t>
  </si>
  <si>
    <t>MY-10F</t>
  </si>
  <si>
    <t>Marco Guiambangan</t>
  </si>
  <si>
    <t>Asliya Guiambangan</t>
  </si>
  <si>
    <t>Sittie Althea Guiambangan</t>
  </si>
  <si>
    <t>Numpay Malidac</t>
  </si>
  <si>
    <t>Lanie De Llota</t>
  </si>
  <si>
    <t>cooking/baking,Caregiving</t>
  </si>
  <si>
    <t>Annalyn Atienza</t>
  </si>
  <si>
    <t>cooking/baking, tailoring,dressmaking,sewing</t>
  </si>
  <si>
    <t>Marilyn Atienza</t>
  </si>
  <si>
    <t>OFW (Qatar)</t>
  </si>
  <si>
    <t>cooking/baking</t>
  </si>
  <si>
    <t>Jobell Atienza</t>
  </si>
  <si>
    <t>teaching</t>
  </si>
  <si>
    <t>Oliver Atienza</t>
  </si>
  <si>
    <t>Mechandiser (employee)</t>
  </si>
  <si>
    <t>electronics/electrical</t>
  </si>
  <si>
    <t>Maybilyn Atienza</t>
  </si>
  <si>
    <t>Bank Employee</t>
  </si>
  <si>
    <t>computer related, clerical related, accounting</t>
  </si>
  <si>
    <t>Arjay Atienza</t>
  </si>
  <si>
    <t>Allysa May Atienza</t>
  </si>
  <si>
    <t>Mary Ann Atienza</t>
  </si>
  <si>
    <t>Xyrille Atienza</t>
  </si>
  <si>
    <t>6 mos.</t>
  </si>
  <si>
    <t>Xhia Atienza</t>
  </si>
  <si>
    <t>Lydia De Llota</t>
  </si>
  <si>
    <t>Rica Mae De Llota</t>
  </si>
  <si>
    <t>Rhyan De Llota</t>
  </si>
  <si>
    <t>Caregiver (Canada)</t>
  </si>
  <si>
    <t>Caregiving</t>
  </si>
  <si>
    <t>Medical Support (Marilou De Llota)</t>
  </si>
  <si>
    <t>Dennis Dellota Fernando</t>
  </si>
  <si>
    <t>NFA Worker</t>
  </si>
  <si>
    <t>Angelo Chavez</t>
  </si>
  <si>
    <t>Angelika Chavez</t>
  </si>
  <si>
    <t>Akira Chavez</t>
  </si>
  <si>
    <t>Dionisio Dellota Fernando</t>
  </si>
  <si>
    <t>Maintenancce</t>
  </si>
  <si>
    <t>Rogelio R. Oivares</t>
  </si>
  <si>
    <t>Government (On call)-base on availability</t>
  </si>
  <si>
    <t>Perlita Evangelista Dela Cruz</t>
  </si>
  <si>
    <t>Robin Olivares</t>
  </si>
  <si>
    <t>John Paul Olivares</t>
  </si>
  <si>
    <t>Melvin Olivares</t>
  </si>
  <si>
    <t>Rolando Olivares Jr</t>
  </si>
  <si>
    <t>Jayson Olivares</t>
  </si>
  <si>
    <t>SM Employee (Helper)</t>
  </si>
  <si>
    <t>Baker</t>
  </si>
  <si>
    <t>Joy Olivares</t>
  </si>
  <si>
    <t>Rodolfo Olivares</t>
  </si>
  <si>
    <t>Karen Ramos</t>
  </si>
  <si>
    <t>Rosemarie Ramos</t>
  </si>
  <si>
    <t>Factory Worker (ECO Pabrika)</t>
  </si>
  <si>
    <t>Romeo Olivares Jr</t>
  </si>
  <si>
    <t>Russel Olivares</t>
  </si>
  <si>
    <t>Trike (Sidecar Bike)1,Construction Worker3, Cooking4</t>
  </si>
  <si>
    <t>Christopher Ramos</t>
  </si>
  <si>
    <t>Christopher Ramos (Brain Illness)</t>
  </si>
  <si>
    <t>Ma. Cecilia Ramos</t>
  </si>
  <si>
    <t>House Maid, Loading Business</t>
  </si>
  <si>
    <t>Kyele Damaso</t>
  </si>
  <si>
    <t>Ramil Ramos</t>
  </si>
  <si>
    <t>Trike (Sidecar Bike driving), STL</t>
  </si>
  <si>
    <t>Labandera, Caretaker</t>
  </si>
  <si>
    <t>Jomari Ramos</t>
  </si>
  <si>
    <t>Joana Ramos</t>
  </si>
  <si>
    <t>Mellissa Ramos</t>
  </si>
  <si>
    <t>Angeline Ramos</t>
  </si>
  <si>
    <t>Wendell Ramos</t>
  </si>
  <si>
    <t xml:space="preserve">Hair Fashion </t>
  </si>
  <si>
    <t>Sherly Cavinta</t>
  </si>
  <si>
    <t>Cloths Washer</t>
  </si>
  <si>
    <t>Kirstine Cervantes</t>
  </si>
  <si>
    <t>Gabriel Angelo Santos</t>
  </si>
  <si>
    <t>Christian Joseph Santos</t>
  </si>
  <si>
    <t>Salesman (agent), Tricycle Driver</t>
  </si>
  <si>
    <t>Sales Talk</t>
  </si>
  <si>
    <t>Maria Nikka Santos</t>
  </si>
  <si>
    <t>Costumer Relation Employee</t>
  </si>
  <si>
    <t>Anamariel Santos</t>
  </si>
  <si>
    <t>Sales Service</t>
  </si>
  <si>
    <t>Athena Shaine Santos</t>
  </si>
  <si>
    <t>Gabriel Angelo Santos Jr</t>
  </si>
  <si>
    <t>Pedro S. Santos Jr</t>
  </si>
  <si>
    <t>Helen Q. Ramos</t>
  </si>
  <si>
    <t>Arwen Faye Ramos</t>
  </si>
  <si>
    <t>Jacob North Ramos</t>
  </si>
  <si>
    <t>Leo Ramos</t>
  </si>
  <si>
    <t>Corazon Ramos</t>
  </si>
  <si>
    <t>(nag paplantsa ng balat), Painter</t>
  </si>
  <si>
    <t>c (painting)</t>
  </si>
  <si>
    <t>Malou Villacampa</t>
  </si>
  <si>
    <t>Ronnie H. Bernardino</t>
  </si>
  <si>
    <t>(nag paplantsa ng balat) (laborer)</t>
  </si>
  <si>
    <t>Celine Dionisio</t>
  </si>
  <si>
    <t>FemalE</t>
  </si>
  <si>
    <t>Clinic Assistant, Support (Alvin Jingco)</t>
  </si>
  <si>
    <t>Fritz Jerald Jingco</t>
  </si>
  <si>
    <t>grade 9</t>
  </si>
  <si>
    <t>John Arvie Jingco</t>
  </si>
  <si>
    <t>grade 5</t>
  </si>
  <si>
    <t>Rommel Nueva</t>
  </si>
  <si>
    <t>Marlyn Nueva</t>
  </si>
  <si>
    <t>Puregold employee</t>
  </si>
  <si>
    <t>Rein Enzo Nueva</t>
  </si>
  <si>
    <t>Ash Raven Nueva</t>
  </si>
  <si>
    <t>Susana Nueva</t>
  </si>
  <si>
    <t>Pension and Pension (Husband)</t>
  </si>
  <si>
    <t>Ryan Nueva</t>
  </si>
  <si>
    <t>Michelle Nueva</t>
  </si>
  <si>
    <t>Cloey Nueva</t>
  </si>
  <si>
    <t>Delberto Tabanao</t>
  </si>
  <si>
    <t>Mechanic</t>
  </si>
  <si>
    <t>Alfredo Santos</t>
  </si>
  <si>
    <t>Joey Tabanao</t>
  </si>
  <si>
    <t>Mechanic (free lance)</t>
  </si>
  <si>
    <t>Marissa P. Diaz</t>
  </si>
  <si>
    <t>Christine Lara Diaz</t>
  </si>
  <si>
    <t>Rolly Bustamante</t>
  </si>
  <si>
    <t>Lina Anos</t>
  </si>
  <si>
    <t>Renz Lian Bustamante</t>
  </si>
  <si>
    <t>John Dave Bustamante</t>
  </si>
  <si>
    <t>Jurose Bustamante</t>
  </si>
  <si>
    <t>Heneroso Sarmieento</t>
  </si>
  <si>
    <t>Crisanto Batomalaki</t>
  </si>
  <si>
    <t>Silvina Sarmiento</t>
  </si>
  <si>
    <t>Ida Sarmiento Saldan</t>
  </si>
  <si>
    <t>Joey Eda Sarmiento</t>
  </si>
  <si>
    <t>Factory Worker (CDO)</t>
  </si>
  <si>
    <t>Factory Worker (IQ Packaging)</t>
  </si>
  <si>
    <t>Janet Batomalaki</t>
  </si>
  <si>
    <t>Pio Danao Sr</t>
  </si>
  <si>
    <t>Construction worker, Side Car Boy and Fish Vendor</t>
  </si>
  <si>
    <t>Pio Danao Sr (68)</t>
  </si>
  <si>
    <t>Pio Danao Jr</t>
  </si>
  <si>
    <t>Ehna Discaya</t>
  </si>
  <si>
    <t>Jimuel Danao</t>
  </si>
  <si>
    <t>Jhared Danao</t>
  </si>
  <si>
    <t>Elaine Danao</t>
  </si>
  <si>
    <t>Xavier Danao</t>
  </si>
  <si>
    <t>Rodel Lacsina</t>
  </si>
  <si>
    <t>Store Manager (micro)</t>
  </si>
  <si>
    <t>Isabela Nicole Lacsina</t>
  </si>
  <si>
    <t>Kyle Lucas Lacsina</t>
  </si>
  <si>
    <t>Mile Alonso Lacsina</t>
  </si>
  <si>
    <t>Aida Felona Lacsina</t>
  </si>
  <si>
    <t>Aida Felona Lacsina (60)</t>
  </si>
  <si>
    <t>Erlinda Birung (60)</t>
  </si>
  <si>
    <t>Jose Birung</t>
  </si>
  <si>
    <t>Jose Birung (67)</t>
  </si>
  <si>
    <t>Jose Birung (Bed Ridden)</t>
  </si>
  <si>
    <t>Wlson Birung</t>
  </si>
  <si>
    <t>Sewing, Suppport (from. Ricardo)</t>
  </si>
  <si>
    <t>Ricardo Co Jr</t>
  </si>
  <si>
    <t>Siello Mae Co</t>
  </si>
  <si>
    <t>Ricky Co</t>
  </si>
  <si>
    <t>Remedios Co</t>
  </si>
  <si>
    <t>Remedios Co (Blind)</t>
  </si>
  <si>
    <t>Machine operator (Factory Worker)</t>
  </si>
  <si>
    <t>Pepito G. Co (62)</t>
  </si>
  <si>
    <t>Corazon Castro</t>
  </si>
  <si>
    <t>Corazon Castro (76)</t>
  </si>
  <si>
    <t>Joselito Castro</t>
  </si>
  <si>
    <t>Alexender Castro</t>
  </si>
  <si>
    <t>Maintenace Operator</t>
  </si>
  <si>
    <t>Production Worker</t>
  </si>
  <si>
    <t>Worker</t>
  </si>
  <si>
    <t>Antonio Servallos Sr</t>
  </si>
  <si>
    <t>Antonio Servallos Sr (60)</t>
  </si>
  <si>
    <t>Leonisa Servallos</t>
  </si>
  <si>
    <t>Aldrin Servallos</t>
  </si>
  <si>
    <t>Antonio Servalos Jr</t>
  </si>
  <si>
    <t>Alfredo Servallos</t>
  </si>
  <si>
    <t>Alvin Servallos</t>
  </si>
  <si>
    <t>Ann Jacu</t>
  </si>
  <si>
    <t>Mary Grace Cruz</t>
  </si>
  <si>
    <t>Secretary (Elite Lumber Employee)</t>
  </si>
  <si>
    <t>Emmanuel Jade Cruz</t>
  </si>
  <si>
    <t>Empress Jam Cruz</t>
  </si>
  <si>
    <t>Utility (NFA) employee</t>
  </si>
  <si>
    <t>Cunsumer Store</t>
  </si>
  <si>
    <t>Jaymart Dela Cruz</t>
  </si>
  <si>
    <t>Justin Dela Cruz</t>
  </si>
  <si>
    <t>Rice Store Helper</t>
  </si>
  <si>
    <t>Fernando Lorenzo (63)</t>
  </si>
  <si>
    <t>Jason Lorenzo</t>
  </si>
  <si>
    <t>Dona Lorenzo</t>
  </si>
  <si>
    <t>Son Jay Lorenzo</t>
  </si>
  <si>
    <t>Jera Lorenzo</t>
  </si>
  <si>
    <t>Meat Slaughter laborer</t>
  </si>
  <si>
    <t>Isabel Sarabillo</t>
  </si>
  <si>
    <t>Albert Sarabillo</t>
  </si>
  <si>
    <t>Alben Sarabillo</t>
  </si>
  <si>
    <t>Michael Sarabillo</t>
  </si>
  <si>
    <t>Bernadette Sarabillo</t>
  </si>
  <si>
    <t>JR Sarabillo</t>
  </si>
  <si>
    <t>Jamella Manganan</t>
  </si>
  <si>
    <t>Luzviminda Manangan</t>
  </si>
  <si>
    <t xml:space="preserve">Jenny Rose Manangan </t>
  </si>
  <si>
    <t>Jennelyn Manganan</t>
  </si>
  <si>
    <t>(no info)</t>
  </si>
  <si>
    <t>John Paul Manganan</t>
  </si>
  <si>
    <t>Jessica Manganan</t>
  </si>
  <si>
    <t>Jovelyn Manganan</t>
  </si>
  <si>
    <t>Julia Manganan</t>
  </si>
  <si>
    <t>John Maynard Manganan</t>
  </si>
  <si>
    <t>Rosillo P. Rafael</t>
  </si>
  <si>
    <t>Vehicle Painter</t>
  </si>
  <si>
    <t>Painter, Car Painter</t>
  </si>
  <si>
    <t>Backyard (Cock House for rent), Haircut (micro)</t>
  </si>
  <si>
    <t>Hair cutting</t>
  </si>
  <si>
    <t>Raul Roselio</t>
  </si>
  <si>
    <t>Laborer (NFA), Pedicab Driver</t>
  </si>
  <si>
    <t>Rosalina Dela Cruz</t>
  </si>
  <si>
    <t>Marrisa Balanon</t>
  </si>
  <si>
    <t>Dress Making, Sealer Operator</t>
  </si>
  <si>
    <t>Pauleen Balanon</t>
  </si>
  <si>
    <t>John Phillip Balanon</t>
  </si>
  <si>
    <t>CJ Cainoy</t>
  </si>
  <si>
    <t>Princess Ann Cainoy</t>
  </si>
  <si>
    <t>Marlon Cabayao</t>
  </si>
  <si>
    <t>Constructio Works</t>
  </si>
  <si>
    <t>John Marwin Cabayao (Genital Problem)</t>
  </si>
  <si>
    <t>Marissa Quillosa</t>
  </si>
  <si>
    <t>Marian Richelle Quillossa</t>
  </si>
  <si>
    <t>John Marwin Cabayao</t>
  </si>
  <si>
    <t>Jomari Quillosa</t>
  </si>
  <si>
    <t>Mary Jane Cabayao</t>
  </si>
  <si>
    <t>Felipe Cabayao</t>
  </si>
  <si>
    <t>Mauricio Quillosa (68)</t>
  </si>
  <si>
    <t>Herminia Quillosa</t>
  </si>
  <si>
    <t>Renato Quillosa</t>
  </si>
  <si>
    <t>Nenita Ayuban</t>
  </si>
  <si>
    <t>Raniel Quillosa</t>
  </si>
  <si>
    <t>Rain Quillosa</t>
  </si>
  <si>
    <t>Cristal Quillosa</t>
  </si>
  <si>
    <t>Michael Quillosa</t>
  </si>
  <si>
    <t>Emelia Quillosa</t>
  </si>
  <si>
    <t>Justine Lee Quillosa</t>
  </si>
  <si>
    <t>Jordan Lee Antipas</t>
  </si>
  <si>
    <t>Exequiel Artejo</t>
  </si>
  <si>
    <t>Helper (NFA)</t>
  </si>
  <si>
    <t>Exequiel Artejo (62)</t>
  </si>
  <si>
    <t>Rosita Balanon</t>
  </si>
  <si>
    <t>Avon (Commission) and Avon (Direct Sell)</t>
  </si>
  <si>
    <t>Manicure/Padicure</t>
  </si>
  <si>
    <t>Reynaldo Balanon</t>
  </si>
  <si>
    <t>John Redel Balanon</t>
  </si>
  <si>
    <t>Factory worker</t>
  </si>
  <si>
    <t>Alexzndra Balanon</t>
  </si>
  <si>
    <t>Ma. Cristel Balanon</t>
  </si>
  <si>
    <t>Helper (Rice), Pedicab driver and Farming</t>
  </si>
  <si>
    <t>Forklift Operator/Heavy equipment operator</t>
  </si>
  <si>
    <t>Jennelyn Valiente</t>
  </si>
  <si>
    <t>Biogreen Company (helper)</t>
  </si>
  <si>
    <t>Jenica Prieto</t>
  </si>
  <si>
    <t>Daniel Prieto</t>
  </si>
  <si>
    <t>Pedicab Driver, Carton Deliver (Helper)</t>
  </si>
  <si>
    <t>Alexa Janine Bales</t>
  </si>
  <si>
    <t>Deliver Helper (Rice) and Fish Vendor</t>
  </si>
  <si>
    <t>Motorcycle Driver, Painter</t>
  </si>
  <si>
    <t>May Mona Salasa</t>
  </si>
  <si>
    <t>Oliver Esponilla Jr</t>
  </si>
  <si>
    <t>Royhida Balimbingan</t>
  </si>
  <si>
    <t>Electrician (on-call)</t>
  </si>
  <si>
    <t>Sewer</t>
  </si>
  <si>
    <t>Kyle Yael Lao</t>
  </si>
  <si>
    <t>Leticia Suringa</t>
  </si>
  <si>
    <t>Rogelio Suringa</t>
  </si>
  <si>
    <t>Construction Worker, Rice (Helper)</t>
  </si>
  <si>
    <t>Carpentry, Helper</t>
  </si>
  <si>
    <t>Dish Washer (Canteen), Cloth Washer</t>
  </si>
  <si>
    <t>Jake Estrabela</t>
  </si>
  <si>
    <t>Jack Estrabela</t>
  </si>
  <si>
    <t>Construction work</t>
  </si>
  <si>
    <t>Rosemarie Sinanggote</t>
  </si>
  <si>
    <t>Charlie Ivan Alnas</t>
  </si>
  <si>
    <t>Christopher John Alnas</t>
  </si>
  <si>
    <t>VC-016A</t>
  </si>
  <si>
    <t>Masonry, NFA (Informal Worker)</t>
  </si>
  <si>
    <t>Richard Sinanggote</t>
  </si>
  <si>
    <t>Store Attendant</t>
  </si>
  <si>
    <t>Rosario Sinanggote</t>
  </si>
  <si>
    <t>Rose Ann Sinanggote</t>
  </si>
  <si>
    <t>Construction Worker, Farming</t>
  </si>
  <si>
    <t>(refuse to answer)</t>
  </si>
  <si>
    <t>Rachel Barroga</t>
  </si>
  <si>
    <t>Sale Agent / Fireworks</t>
  </si>
  <si>
    <t>Ramil Diones (60)</t>
  </si>
  <si>
    <t>Jam Angeli A. Diones</t>
  </si>
  <si>
    <t>Evangelina Alcantara Diones</t>
  </si>
  <si>
    <t>Jill Christine Alimbuyao</t>
  </si>
  <si>
    <t>Jojo Arellano Alimbuyao</t>
  </si>
  <si>
    <t>John Christian A. Diones</t>
  </si>
  <si>
    <t>Jericho James A. Diones</t>
  </si>
  <si>
    <t>Order Administration</t>
  </si>
  <si>
    <t>Ricardo S. Sta. Ana (74)</t>
  </si>
  <si>
    <t>Corazon Del Mundo Sta. Ana (75)</t>
  </si>
  <si>
    <t>Rosario B. Velardo (62)</t>
  </si>
  <si>
    <t>Nica Padilla Samson</t>
  </si>
  <si>
    <t>0935-810-4290</t>
  </si>
  <si>
    <t>Nelyn Ellis Devio</t>
  </si>
  <si>
    <t>0930-940-8090</t>
  </si>
  <si>
    <t>Maricris Balbuena Damasco</t>
  </si>
  <si>
    <t>0906-651-6482</t>
  </si>
  <si>
    <t>Creziel Morgano Pauste</t>
  </si>
  <si>
    <t>0930-562-5173</t>
  </si>
  <si>
    <t>Eunice Catubay Nagal</t>
  </si>
  <si>
    <t>0907-947-9672</t>
  </si>
  <si>
    <t>Marites Santos Isla</t>
  </si>
  <si>
    <t>0977-783-2159</t>
  </si>
  <si>
    <t>Marcelino Maclang Jumaquio</t>
  </si>
  <si>
    <t>0917-542-3265</t>
  </si>
  <si>
    <t>Jeffrine B. Misa</t>
  </si>
  <si>
    <t>0942-561-7465</t>
  </si>
  <si>
    <t>Sienna B. Toribio</t>
  </si>
  <si>
    <t>0975-857-1281</t>
  </si>
  <si>
    <t>Anne Rose E. Chin</t>
  </si>
  <si>
    <t>0932-857-1281</t>
  </si>
  <si>
    <t>Jeden O. Viton</t>
  </si>
  <si>
    <t>0905-816-8573</t>
  </si>
  <si>
    <t>0923-894-7473</t>
  </si>
  <si>
    <t>VC-026-ISF-SOO</t>
  </si>
  <si>
    <t>Joselito Marabe</t>
  </si>
  <si>
    <t>Novie Grace G. Pautining</t>
  </si>
  <si>
    <t>ISF-SO-VC-027</t>
  </si>
  <si>
    <t>R1-VC-027</t>
  </si>
  <si>
    <t>Lolita D. Llantos (67)</t>
  </si>
  <si>
    <t>R3-VC-027</t>
  </si>
  <si>
    <t>Carpentry, Masonry</t>
  </si>
  <si>
    <t>Gelyn Estreller Fabrigar</t>
  </si>
  <si>
    <t>Stephanie Olanggo</t>
  </si>
  <si>
    <t>R4-VC-027</t>
  </si>
  <si>
    <t>Mila Rosadiño Dela Cruz</t>
  </si>
  <si>
    <t>Mark Uy Mabuti</t>
  </si>
  <si>
    <t>ISF-SO-VC-029</t>
  </si>
  <si>
    <t>Massager (micro)</t>
  </si>
  <si>
    <t>Manghihilot</t>
  </si>
  <si>
    <t>Isagani S. Satoquia (62)</t>
  </si>
  <si>
    <t>Gerardo S. Satoquia</t>
  </si>
  <si>
    <t>(Labandero)</t>
  </si>
  <si>
    <t>Labandero</t>
  </si>
  <si>
    <t>O-VC-030</t>
  </si>
  <si>
    <t>Kurt Ryan B. Santos</t>
  </si>
  <si>
    <t>Charizee B. Santos</t>
  </si>
  <si>
    <t>Jose Raylac B. Sangos</t>
  </si>
  <si>
    <t>ISF-SO-VC-031</t>
  </si>
  <si>
    <t>Online Casino Dealer</t>
  </si>
  <si>
    <t>Edison De Castro Balajadia</t>
  </si>
  <si>
    <t>Joel De Castro Balajadia</t>
  </si>
  <si>
    <t>Josefina De Castro Balajadia</t>
  </si>
  <si>
    <t>Elaiza Leanne B. Mendoza</t>
  </si>
  <si>
    <t>Alessandra B. Mendoza</t>
  </si>
  <si>
    <t>Larry Ajman Trajano Mendoza</t>
  </si>
  <si>
    <t>Sales Supervisor</t>
  </si>
  <si>
    <t>ISF-SO-VC-032</t>
  </si>
  <si>
    <t>Jacqui Magno</t>
  </si>
  <si>
    <t>Jesnazareth Balajada</t>
  </si>
  <si>
    <t>Ryza Jadel Balajada</t>
  </si>
  <si>
    <t>ISF-SO-VC-033</t>
  </si>
  <si>
    <t>Bernardo Villanueva Veroy</t>
  </si>
  <si>
    <t>Fartory worker</t>
  </si>
  <si>
    <t>Melody Tongco Veroy</t>
  </si>
  <si>
    <t>Wyna Mae T. Veroy</t>
  </si>
  <si>
    <t>Factory worker, Sari-Sari Store</t>
  </si>
  <si>
    <t>Cristine Anne V. Nuguit</t>
  </si>
  <si>
    <t>Krisette Kaore V. Veroy</t>
  </si>
  <si>
    <t>Mhariz V. Veroy</t>
  </si>
  <si>
    <t>Crisvie Cordizal Putian</t>
  </si>
  <si>
    <t>Computer Related, Driver</t>
  </si>
  <si>
    <t>Mharvie V. Veroy</t>
  </si>
  <si>
    <t>ISF-SO-VC-034</t>
  </si>
  <si>
    <t>Jhezshmielle Veroy</t>
  </si>
  <si>
    <t>ISF-SO-VC-035</t>
  </si>
  <si>
    <t>VC-035</t>
  </si>
  <si>
    <t>Jackylyne S. Licaros</t>
  </si>
  <si>
    <t>4P's</t>
  </si>
  <si>
    <t>Aljake Rado</t>
  </si>
  <si>
    <t>Aldrich Jaz Rado</t>
  </si>
  <si>
    <t>Ruben Sambulan Adrias</t>
  </si>
  <si>
    <t>Contract Base</t>
  </si>
  <si>
    <t>Angle V. Rado</t>
  </si>
  <si>
    <t>Christian Adrias</t>
  </si>
  <si>
    <t>Andrew Adrias</t>
  </si>
  <si>
    <t>Igan Adrias</t>
  </si>
  <si>
    <t>ISF-SO1-VC-036</t>
  </si>
  <si>
    <t>Edna Balajadia</t>
  </si>
  <si>
    <t>Reynan Balajadia</t>
  </si>
  <si>
    <t>Shela Manangun</t>
  </si>
  <si>
    <t>Rocky Pagel</t>
  </si>
  <si>
    <t>Gina De Castro</t>
  </si>
  <si>
    <t>Reynaldo Pagel</t>
  </si>
  <si>
    <t>ISF-O2-VC-036</t>
  </si>
  <si>
    <t>Jean Simera Barbosa</t>
  </si>
  <si>
    <t>Bhelamair Paguel</t>
  </si>
  <si>
    <t>VC-037-ISF-SOOB</t>
  </si>
  <si>
    <t>Adrian Tambong Peru</t>
  </si>
  <si>
    <t>Helper/Laborer</t>
  </si>
  <si>
    <t>Emcee M. Peru (Orthopedic Disability)</t>
  </si>
  <si>
    <t>Mary Cris Corbilla Liquigan</t>
  </si>
  <si>
    <t>Home/Small Scale Industry</t>
  </si>
  <si>
    <t>Teofilo Dimalanta</t>
  </si>
  <si>
    <t>Andrey Morales Peru</t>
  </si>
  <si>
    <t>"Maring"</t>
  </si>
  <si>
    <t>VC-037-R1</t>
  </si>
  <si>
    <t>1st Child</t>
  </si>
  <si>
    <t>2nd Child</t>
  </si>
  <si>
    <t>3rd Child</t>
  </si>
  <si>
    <t>4th Child</t>
  </si>
  <si>
    <t>VC-037-R2</t>
  </si>
  <si>
    <t>VC-038-ISF-SOOB</t>
  </si>
  <si>
    <t>Jeorge Balajadia Sr. (-)</t>
  </si>
  <si>
    <t>Joey Guzman</t>
  </si>
  <si>
    <t>Myrna Arca</t>
  </si>
  <si>
    <t>Cristel Jasibis (live-in)</t>
  </si>
  <si>
    <t>Precious Jonela Balajadia</t>
  </si>
  <si>
    <t>Jeorge Balajadia Jr.</t>
  </si>
  <si>
    <t>Jeorge Balajadia Sr.</t>
  </si>
  <si>
    <t>Cristel Acibes</t>
  </si>
  <si>
    <t>Cristine Joy Casople</t>
  </si>
  <si>
    <t>VC-039-ISF-SOB</t>
  </si>
  <si>
    <t>Jacquilyn Borcelis</t>
  </si>
  <si>
    <t>VC-040-ISF-SO</t>
  </si>
  <si>
    <t>Josefina Licarus</t>
  </si>
  <si>
    <t>Lorena B. Licarus</t>
  </si>
  <si>
    <t>Nelson Fabiola</t>
  </si>
  <si>
    <t>Leila Licarus</t>
  </si>
  <si>
    <t>Loreine Zorilla</t>
  </si>
  <si>
    <t>Nash Zorilla</t>
  </si>
  <si>
    <t>Noah Zorilla</t>
  </si>
  <si>
    <t>Trisha Mae Zorilla</t>
  </si>
  <si>
    <t>Aron Zorilla</t>
  </si>
  <si>
    <t>Ivan Zorilla</t>
  </si>
  <si>
    <t>VC-041-ISF-SO</t>
  </si>
  <si>
    <t>Ronald Dionosa Pineda</t>
  </si>
  <si>
    <t>Helper/Driving</t>
  </si>
  <si>
    <t>Rica Mae l. Pineda</t>
  </si>
  <si>
    <t>VC-042-ISF-SOB</t>
  </si>
  <si>
    <t>Apartment (Owner), Benefits</t>
  </si>
  <si>
    <t>Maria Criselda Tan</t>
  </si>
  <si>
    <t>Office staff</t>
  </si>
  <si>
    <t>VC-042-ISF-O2</t>
  </si>
  <si>
    <t>Julia May Tan</t>
  </si>
  <si>
    <t>Support form Father</t>
  </si>
  <si>
    <t>Martin Lance Tan</t>
  </si>
  <si>
    <t>Justin Kurt Tan</t>
  </si>
  <si>
    <t>Clyde Tan (Slow Learner)</t>
  </si>
  <si>
    <t>Clyde Tan</t>
  </si>
  <si>
    <t>Alexa Mae Tan</t>
  </si>
  <si>
    <t>VC-042-RO3</t>
  </si>
  <si>
    <t>Dante Abuela Corpuz</t>
  </si>
  <si>
    <t>Helper Printing</t>
  </si>
  <si>
    <t>Raplh Randal S. Corpuz</t>
  </si>
  <si>
    <t>Bryan Jake S. Corpuz</t>
  </si>
  <si>
    <t>Althea S. Corpuz</t>
  </si>
  <si>
    <t>VC-043-ISF-SOB</t>
  </si>
  <si>
    <t>John Mark Labao</t>
  </si>
  <si>
    <t>Mariel Morales Cristel</t>
  </si>
  <si>
    <t>Matthew M. Cristel</t>
  </si>
  <si>
    <t>Mary Chanel M. Cristel</t>
  </si>
  <si>
    <t>VC-043-RO3</t>
  </si>
  <si>
    <t>VC-044-ISF-SOB</t>
  </si>
  <si>
    <t>Vegetable Vendor</t>
  </si>
  <si>
    <t>Jereza Bangayan</t>
  </si>
  <si>
    <t>Jea Bangayan</t>
  </si>
  <si>
    <t>Jivan Bangayan</t>
  </si>
  <si>
    <t>Krystal Jade Betchong</t>
  </si>
  <si>
    <t>Jericho Bangayan</t>
  </si>
  <si>
    <t>Store (Employee)</t>
  </si>
  <si>
    <t>Edgardo Manalang</t>
  </si>
  <si>
    <t>Driver (Jeepney)</t>
  </si>
  <si>
    <t>Jamaica Jade Manalang</t>
  </si>
  <si>
    <t>VC-045-ISF-SO</t>
  </si>
  <si>
    <t>Princess Barbie F. Alamo</t>
  </si>
  <si>
    <t>Reina Jewel F. Alamo</t>
  </si>
  <si>
    <t>Prince Rainer f. Alamo</t>
  </si>
  <si>
    <t>Asuncion G. Flores</t>
  </si>
  <si>
    <t>Asuncion G. Flores (73)</t>
  </si>
  <si>
    <t>Edwin G. Flores</t>
  </si>
  <si>
    <t>Vendor/Helper</t>
  </si>
  <si>
    <t>VC-046-ISF-SO</t>
  </si>
  <si>
    <t>Edgar G. Flores</t>
  </si>
  <si>
    <t>Estanislao Mateo (79)</t>
  </si>
  <si>
    <t>Estanislao Mateo (Senior)</t>
  </si>
  <si>
    <t>Julyana Mateo</t>
  </si>
  <si>
    <t>Julyana Mateo (75)</t>
  </si>
  <si>
    <t>Julyana Mateo (Senior)</t>
  </si>
  <si>
    <t>Maria Corazon Mateo</t>
  </si>
  <si>
    <t>VC-047-ISF-O</t>
  </si>
  <si>
    <t>Jerald James Bito Jr</t>
  </si>
  <si>
    <t>VC-048-LSO</t>
  </si>
  <si>
    <t>Ambrosia Pante Vargas (85)</t>
  </si>
  <si>
    <t>Jose Nolasco Cabral Doma</t>
  </si>
  <si>
    <t>Ambrosia Pante Vargas</t>
  </si>
  <si>
    <t>ISF-VC-050</t>
  </si>
  <si>
    <t>Serafin Bie</t>
  </si>
  <si>
    <t>Steelman, Driving</t>
  </si>
  <si>
    <t>Serafin Bie (68)</t>
  </si>
  <si>
    <t>Names (Heart Desease)</t>
  </si>
  <si>
    <t>Rosalie Guache</t>
  </si>
  <si>
    <t>Cyril Rosa Guache</t>
  </si>
  <si>
    <t>Laundry Washing</t>
  </si>
  <si>
    <t>cannot identify</t>
  </si>
  <si>
    <t>Joshua Guache</t>
  </si>
  <si>
    <t>Trish An Guache</t>
  </si>
  <si>
    <t>John Paul Guache</t>
  </si>
  <si>
    <t>Cherry Ann Guache</t>
  </si>
  <si>
    <t>Cherry Lyn Guache</t>
  </si>
  <si>
    <t>Serafin Guache Jr</t>
  </si>
  <si>
    <t>ISF-VC-053</t>
  </si>
  <si>
    <t>Marivic Soan</t>
  </si>
  <si>
    <t>Roxanne May Tiu</t>
  </si>
  <si>
    <t>Christian Tiu</t>
  </si>
  <si>
    <t>Marine Engineer</t>
  </si>
  <si>
    <t>Revie Soan</t>
  </si>
  <si>
    <t>VC-055-LO-SXBOO</t>
  </si>
  <si>
    <t>Mario L. Agulto Jr</t>
  </si>
  <si>
    <t>Welder Laborer</t>
  </si>
  <si>
    <t>Edna C. Agulto (63)</t>
  </si>
  <si>
    <t>Divinia M. Agulto</t>
  </si>
  <si>
    <t>Sari-sari Store, Avon Dealer</t>
  </si>
  <si>
    <t>Gloria L. Agulto (83)</t>
  </si>
  <si>
    <t>Felisa L. Agulto</t>
  </si>
  <si>
    <t>Receptionist</t>
  </si>
  <si>
    <t>Felismo L. Agulto</t>
  </si>
  <si>
    <t>Marcy Anfel L. Agulto</t>
  </si>
  <si>
    <t>Computer related, Cooking/Baking</t>
  </si>
  <si>
    <t>Mark Dave M. Agulto</t>
  </si>
  <si>
    <t>Billy Joey M. Agulto</t>
  </si>
  <si>
    <t>Edna C. Agulto</t>
  </si>
  <si>
    <t>Gloria L. Agulto</t>
  </si>
  <si>
    <t>John Lawrence  Muraga</t>
  </si>
  <si>
    <t>John Christian Muraga</t>
  </si>
  <si>
    <t>Jean Blanco</t>
  </si>
  <si>
    <t>VC-056-LD-R</t>
  </si>
  <si>
    <t>Joner Pagaduan Dula</t>
  </si>
  <si>
    <t>Jean Dome Blanco</t>
  </si>
  <si>
    <t>VC-057-LSBO-A</t>
  </si>
  <si>
    <t>Nenita H. Cacu</t>
  </si>
  <si>
    <t>Nenita Caco (69)</t>
  </si>
  <si>
    <t>Leonidas Cunanan</t>
  </si>
  <si>
    <t>Benedicto A. Pacheco (63)</t>
  </si>
  <si>
    <t>Benedicto A. Pacheco (No Feet)</t>
  </si>
  <si>
    <t>Marcelina M. Pacheco (60)</t>
  </si>
  <si>
    <t>VC-059-SR</t>
  </si>
  <si>
    <t>Eleazar Y. Calara</t>
  </si>
  <si>
    <t>Len S. Scadalan</t>
  </si>
  <si>
    <t>Ron Elly Calara</t>
  </si>
  <si>
    <t>VC-060-ISF-SBO-A</t>
  </si>
  <si>
    <t>Roberto Tano Sr</t>
  </si>
  <si>
    <t>Richard Tano</t>
  </si>
  <si>
    <t>Electrical</t>
  </si>
  <si>
    <t>Roberto Tano Jr</t>
  </si>
  <si>
    <t>Air coonditioning/refrigeration</t>
  </si>
  <si>
    <t>Raymond Tano</t>
  </si>
  <si>
    <t>Rochelle Tano</t>
  </si>
  <si>
    <t>Anthony Tano</t>
  </si>
  <si>
    <t>Rehan Tano</t>
  </si>
  <si>
    <t>VC-060-SR</t>
  </si>
  <si>
    <t>Tailoring, Sewing</t>
  </si>
  <si>
    <t>Vicenta Cafino</t>
  </si>
  <si>
    <t>Lolita Aspiras (Hearing Problem)</t>
  </si>
  <si>
    <t>Lolita L. Aspiras</t>
  </si>
  <si>
    <t>House keeper</t>
  </si>
  <si>
    <t>Laundry, Cooking</t>
  </si>
  <si>
    <t>Kevin L. Aspiras</t>
  </si>
  <si>
    <t>Joven L. Aspiras</t>
  </si>
  <si>
    <t>Janitor</t>
  </si>
  <si>
    <t>Janitorial</t>
  </si>
  <si>
    <t>VC-062-ISF-O</t>
  </si>
  <si>
    <t>Gilda  Eugenio</t>
  </si>
  <si>
    <t>Nieva Gugulan (70)</t>
  </si>
  <si>
    <t>VC-065-LSOO</t>
  </si>
  <si>
    <t>Jose Rivera Nucum (64)</t>
  </si>
  <si>
    <t>Herminia V. San Juan (Cannot walk &amp; Deft)</t>
  </si>
  <si>
    <t>Herminia V. San Juan (87)</t>
  </si>
  <si>
    <t>VC-065-LD-COO</t>
  </si>
  <si>
    <t>Conchita D. Verdom (62)</t>
  </si>
  <si>
    <t>VC-065-LD-COO2</t>
  </si>
  <si>
    <t>Bella Roque Verdom( (61)</t>
  </si>
  <si>
    <t>Dante Silva Verdom (62)</t>
  </si>
  <si>
    <t>Utility employee</t>
  </si>
  <si>
    <t>Ana Marie Grace Asaytono</t>
  </si>
  <si>
    <t>Carl Andrei F. Asaytono</t>
  </si>
  <si>
    <t>LSO-VC-069</t>
  </si>
  <si>
    <t>Condrado Yamson (age?)</t>
  </si>
  <si>
    <t>Condrado Yamson (Senior)</t>
  </si>
  <si>
    <t>LSO-VC-072</t>
  </si>
  <si>
    <t>Nelita S. Noveda (Limpuma Cancer)</t>
  </si>
  <si>
    <t>LS-VC-073</t>
  </si>
  <si>
    <t>(Support from Sibling)</t>
  </si>
  <si>
    <t>Arturo Versosa (Heart Illness)</t>
  </si>
  <si>
    <t>Sharon Versosa</t>
  </si>
  <si>
    <t>Jaymart Fabila</t>
  </si>
  <si>
    <t>A-LSB-VC-074</t>
  </si>
  <si>
    <t>Mercydita Solomon</t>
  </si>
  <si>
    <t>LS-BO-VC-078</t>
  </si>
  <si>
    <t>(Support from children)</t>
  </si>
  <si>
    <t>Librada De Leon (78)</t>
  </si>
  <si>
    <t>Tomas Aariola Bania Jr</t>
  </si>
  <si>
    <t>Jacquelene De Leon</t>
  </si>
  <si>
    <t>Xerox Attendant (employee)</t>
  </si>
  <si>
    <t>Jayson Abdul</t>
  </si>
  <si>
    <t>Nathalie Ashley De Leon</t>
  </si>
  <si>
    <t>Justin Abdul</t>
  </si>
  <si>
    <t>Lance Jared Bania (G6PD)</t>
  </si>
  <si>
    <t>Rynie Villa Elizalde</t>
  </si>
  <si>
    <t>Kid 1</t>
  </si>
  <si>
    <t>Kid 2</t>
  </si>
  <si>
    <t>Lance Jared Bania</t>
  </si>
  <si>
    <t>18-days</t>
  </si>
  <si>
    <t>VC-080-LSBO-A</t>
  </si>
  <si>
    <t>Jenny Madela</t>
  </si>
  <si>
    <t>VC-081-LSBO-A</t>
  </si>
  <si>
    <t>Zaldy Villanueva</t>
  </si>
  <si>
    <t>(Adapated son)</t>
  </si>
  <si>
    <t>VC-084-LSB</t>
  </si>
  <si>
    <t>Guillermo Dela Cruz Manabo (??)</t>
  </si>
  <si>
    <t>Joanna Marie Badilla</t>
  </si>
  <si>
    <t>Imelda ong Manabo (66)</t>
  </si>
  <si>
    <t>VC-085-OBO</t>
  </si>
  <si>
    <t>Garry O. Manabo</t>
  </si>
  <si>
    <t>Sari-sari Store Owner</t>
  </si>
  <si>
    <t>Graziel T. Manabo (PWD &amp; Visual)</t>
  </si>
  <si>
    <t>Maricel Manabo</t>
  </si>
  <si>
    <t>Graziel Manabo</t>
  </si>
  <si>
    <t>Gabriel Manabo</t>
  </si>
  <si>
    <t>VC-086A-LSOB</t>
  </si>
  <si>
    <t>VC-086A</t>
  </si>
  <si>
    <t>Dante Manabo</t>
  </si>
  <si>
    <t>VC-087-LSO</t>
  </si>
  <si>
    <t>Jeffrey Manabo</t>
  </si>
  <si>
    <t>Irene Manabo</t>
  </si>
  <si>
    <t>Dennis Manabo</t>
  </si>
  <si>
    <t>Jasper Manabo</t>
  </si>
  <si>
    <t>Julliane Manabo</t>
  </si>
  <si>
    <t>VC-088-LSOB</t>
  </si>
  <si>
    <t>Rodolfo Del Rosario (75)</t>
  </si>
  <si>
    <t>Narcissa Del Rosario (67)</t>
  </si>
  <si>
    <t>Maintenance (Electrical) Employee</t>
  </si>
  <si>
    <t>Marjorie G. Balmoria</t>
  </si>
  <si>
    <t>Mariel Faith B. Caputol</t>
  </si>
  <si>
    <t>VC-091-R1</t>
  </si>
  <si>
    <t>Machinist employee</t>
  </si>
  <si>
    <t>Jaimaca Jane Fernandez</t>
  </si>
  <si>
    <t>John Carlo Fernandez</t>
  </si>
  <si>
    <t>Andrie Marian Sarruca</t>
  </si>
  <si>
    <t>Mafie Corduwa Sarruca</t>
  </si>
  <si>
    <t>VC-093-LSB</t>
  </si>
  <si>
    <t>Mary Ann Espinosa and Family</t>
  </si>
  <si>
    <t>Alfie Atienza and Family</t>
  </si>
  <si>
    <t>Ruel Cornelio and Family</t>
  </si>
  <si>
    <t>Mary Ann Tuyay Espinosa</t>
  </si>
  <si>
    <t>Adriana Atienza</t>
  </si>
  <si>
    <t>VC-094-LSB</t>
  </si>
  <si>
    <t>Jonathan Dela Torrre and Family</t>
  </si>
  <si>
    <t>Richard Domosmog and Famliy</t>
  </si>
  <si>
    <t>VC-095-LSB</t>
  </si>
  <si>
    <t>Telly Monghit and Family</t>
  </si>
  <si>
    <t>Fatima Ecarma and Family</t>
  </si>
  <si>
    <t>Robin Jose Pakit Kabashima</t>
  </si>
  <si>
    <t>Telly Pacaco Villa</t>
  </si>
  <si>
    <t>Joseph Monghit</t>
  </si>
  <si>
    <t>RVC-095-R2</t>
  </si>
  <si>
    <t>Gladwin Villannueva Ecarma</t>
  </si>
  <si>
    <t>Ma. Fatima Llegos Ecarma</t>
  </si>
  <si>
    <t>Wilma Hoyla Kabashima</t>
  </si>
  <si>
    <t>VC-096-LSO</t>
  </si>
  <si>
    <t>Michael G. De Leon (Autistic)</t>
  </si>
  <si>
    <t>Marita Gabatbat De Leon</t>
  </si>
  <si>
    <t>Michael Gabatbat De Leon</t>
  </si>
  <si>
    <t>VC-097-LO</t>
  </si>
  <si>
    <t>Efren P. Nabol</t>
  </si>
  <si>
    <t>Efren P. Nabol (60)</t>
  </si>
  <si>
    <t>Ezekiel Ivan Nabol</t>
  </si>
  <si>
    <t>Eisha Yvonne Nabol</t>
  </si>
  <si>
    <t>Judith Tomaquin</t>
  </si>
  <si>
    <t>Joan Tomaquin</t>
  </si>
  <si>
    <t>de Real, Maricel Pilapil and Family</t>
  </si>
  <si>
    <t>Joel Osa De Real</t>
  </si>
  <si>
    <t>VC-099-O</t>
  </si>
  <si>
    <t>Ernesto Eustagio</t>
  </si>
  <si>
    <t>Ernesto Eustagio (80)</t>
  </si>
  <si>
    <t>Elmer Eustagio (PWD)</t>
  </si>
  <si>
    <t>Marina Dela Cruz</t>
  </si>
  <si>
    <t>Marina Dela Cruz (79)</t>
  </si>
  <si>
    <t>Elmer Eustagio</t>
  </si>
  <si>
    <t>VC-100-LSB-A</t>
  </si>
  <si>
    <t>George Soan and Family</t>
  </si>
  <si>
    <t>Efrelyn Salonga and Family</t>
  </si>
  <si>
    <t>Jaycee Jane and Family</t>
  </si>
  <si>
    <t>Rogelio Cristobal Salonga</t>
  </si>
  <si>
    <t>Efrelyn Durana Salonga</t>
  </si>
  <si>
    <t>Jaycie Jane Concepcion</t>
  </si>
  <si>
    <t>VC-102-ISF-SO</t>
  </si>
  <si>
    <t>Factory operator Worker</t>
  </si>
  <si>
    <t>Extruder operator</t>
  </si>
  <si>
    <t>Geromina R. Tubel (65)</t>
  </si>
  <si>
    <t>Zenaida L Lausa</t>
  </si>
  <si>
    <t>Althea Khrisha Lausa</t>
  </si>
  <si>
    <t>Rhind Cidrick Lausa</t>
  </si>
  <si>
    <t>Jerry R. Abrigondo</t>
  </si>
  <si>
    <t>Security guard</t>
  </si>
  <si>
    <t>Geronima R. Tubel</t>
  </si>
  <si>
    <t>VC-103-ISF-SBOO</t>
  </si>
  <si>
    <t>Tailoring, Farming</t>
  </si>
  <si>
    <t>Salvacion S. Pasion (68)</t>
  </si>
  <si>
    <t>Marilyn Beldosola</t>
  </si>
  <si>
    <t>0943-611-3141</t>
  </si>
  <si>
    <t>Prudencio P. Pasion</t>
  </si>
  <si>
    <t>Prudencio Pasion (81)</t>
  </si>
  <si>
    <t>Edwin Bedosola</t>
  </si>
  <si>
    <t>Leah S. Pasion</t>
  </si>
  <si>
    <t>Cedric S. Pasion</t>
  </si>
  <si>
    <t>IT specialist</t>
  </si>
  <si>
    <t>VC-103-R</t>
  </si>
  <si>
    <t>Edwin Beldosola</t>
  </si>
  <si>
    <t>Emma Grace Beldosola</t>
  </si>
  <si>
    <t>Eman Beldosola</t>
  </si>
  <si>
    <t>Elyza Mae Beldosola</t>
  </si>
  <si>
    <t>Joana B. Pasion</t>
  </si>
  <si>
    <t>Rose Angelic B. Pasion</t>
  </si>
  <si>
    <t>Josa Mea B, Pasion</t>
  </si>
  <si>
    <t>Angelo B. Pasion</t>
  </si>
  <si>
    <t>Alvan B. Pasion</t>
  </si>
  <si>
    <t>Jasmine B, Pasion</t>
  </si>
  <si>
    <t>VC-105-ISF-SO</t>
  </si>
  <si>
    <t>Francisca Cabigas</t>
  </si>
  <si>
    <t>Remittance</t>
  </si>
  <si>
    <t>Francisca Cabigas (67)</t>
  </si>
  <si>
    <t>Francisca Cabigas (Pilay)</t>
  </si>
  <si>
    <t>Victor Asuncion Cabigas (76)</t>
  </si>
  <si>
    <t>Victor Asuncion Cabigas (Liver Illness)</t>
  </si>
  <si>
    <t>Bernardo Cabigas</t>
  </si>
  <si>
    <t>VC-105-ISF-O</t>
  </si>
  <si>
    <t>Masonry laborer</t>
  </si>
  <si>
    <t>A-ISF-S-VC-106</t>
  </si>
  <si>
    <t>Driving, Electrician</t>
  </si>
  <si>
    <t>Maricar Pamotillo</t>
  </si>
  <si>
    <t>Angielyn Marieh Lugo</t>
  </si>
  <si>
    <t>ISF-SO-VC-108</t>
  </si>
  <si>
    <t>Apholstery Maker employee</t>
  </si>
  <si>
    <t>Ofelia Rivera</t>
  </si>
  <si>
    <t>Aldrich Binlayo</t>
  </si>
  <si>
    <t>ISF-SO-VC-109</t>
  </si>
  <si>
    <t>Lina Guerero (61)</t>
  </si>
  <si>
    <t>Jeralyn De Jesus</t>
  </si>
  <si>
    <t>Joylyn De Jesus</t>
  </si>
  <si>
    <t>Jansen Kevin De Jesus</t>
  </si>
  <si>
    <t>Lina Guerero</t>
  </si>
  <si>
    <t>SO-VC-110</t>
  </si>
  <si>
    <t>Sari-sari Store owner</t>
  </si>
  <si>
    <t>Araceli Binlayo (64)</t>
  </si>
  <si>
    <t>Araceli Binlayo (Maintenace Medicine)</t>
  </si>
  <si>
    <t>Evelyn Miranda</t>
  </si>
  <si>
    <t>ISF-SO-VC-112-(1)</t>
  </si>
  <si>
    <t>Pension,Consumer Store (Owner)</t>
  </si>
  <si>
    <t>Rodolfo Ogsila (75)</t>
  </si>
  <si>
    <t>Zenaida Ilagan Reyes</t>
  </si>
  <si>
    <t>Zenaida Ilagan Reyes (61)</t>
  </si>
  <si>
    <t>VC-112-(2)</t>
  </si>
  <si>
    <t>Annie Pascual Rivera</t>
  </si>
  <si>
    <t>Jennie Rose Pascual Rivera</t>
  </si>
  <si>
    <t>Online Selling</t>
  </si>
  <si>
    <t>VC-112-(3)</t>
  </si>
  <si>
    <t>Aaron O. Enirquez</t>
  </si>
  <si>
    <t>Barbe-Q</t>
  </si>
  <si>
    <t>Cooking/Baking, Care Giving</t>
  </si>
  <si>
    <t>Erika Joice Cruz Icara</t>
  </si>
  <si>
    <t>Zabrina Icaro Enriquez</t>
  </si>
  <si>
    <t>RB-CA-007</t>
  </si>
  <si>
    <t>Marie Grace Dacullos</t>
  </si>
  <si>
    <t>ISF-SOB-CA-006</t>
  </si>
  <si>
    <t>Canteen Owner, Rent from Store</t>
  </si>
  <si>
    <t>Aida T. Asperilla</t>
  </si>
  <si>
    <t>Jenny T. Salazar</t>
  </si>
  <si>
    <t>San Jordan A. Salazar</t>
  </si>
  <si>
    <t>Katherine Mary</t>
  </si>
  <si>
    <t>ISF-SO-CA-008</t>
  </si>
  <si>
    <t>Jay ar Chavez</t>
  </si>
  <si>
    <t>Jerald Chavez</t>
  </si>
  <si>
    <t>Jessica Chavez</t>
  </si>
  <si>
    <t>Jinalyn Chavez</t>
  </si>
  <si>
    <t>Jina Chavez</t>
  </si>
  <si>
    <t>ISF-SO1-CA-009</t>
  </si>
  <si>
    <t>John Rey Koosca</t>
  </si>
  <si>
    <t>Brigitte Mamaril</t>
  </si>
  <si>
    <t>Jayen Gabriel Kosca</t>
  </si>
  <si>
    <t>Brillana Ashley Kosca</t>
  </si>
  <si>
    <t>Jazz Kosca</t>
  </si>
  <si>
    <t>ISF-O2-CA-009</t>
  </si>
  <si>
    <t>Ely Saballero</t>
  </si>
  <si>
    <t>Eliah Jeleyn Saballero</t>
  </si>
  <si>
    <t>ISF-SO-CA-010</t>
  </si>
  <si>
    <t>Fish Vendor, Apartment</t>
  </si>
  <si>
    <t>Roberto M. Badal (Medica Care)</t>
  </si>
  <si>
    <t>Rolando Badal</t>
  </si>
  <si>
    <t>0921-517-2092</t>
  </si>
  <si>
    <t>Rose B. Mercado</t>
  </si>
  <si>
    <t>Rose B. Mercado (??)</t>
  </si>
  <si>
    <t>Mamel Badal</t>
  </si>
  <si>
    <t>Antonio Badal</t>
  </si>
  <si>
    <t>Imelda Badal</t>
  </si>
  <si>
    <t>ISF-O2B-CA-011</t>
  </si>
  <si>
    <t>ISF-SO-CA-011</t>
  </si>
  <si>
    <t>Raul De Paz Sr  (No Vision)</t>
  </si>
  <si>
    <t xml:space="preserve">Joey De Paz  </t>
  </si>
  <si>
    <t>Raul De Paz Jr</t>
  </si>
  <si>
    <t>Annalyn De Paz</t>
  </si>
  <si>
    <t>Annaliza De Paz</t>
  </si>
  <si>
    <t>Raul De Paz Sr</t>
  </si>
  <si>
    <t>ISF-SOB-CA-012</t>
  </si>
  <si>
    <t>Boy Vinuya</t>
  </si>
  <si>
    <t>Eugenia Dela Cruz</t>
  </si>
  <si>
    <t>Frederick Dela Cruz</t>
  </si>
  <si>
    <t>Vendor, Driver</t>
  </si>
  <si>
    <t>Marera L. Dela Cruz</t>
  </si>
  <si>
    <t>Russel John Dela Cruz</t>
  </si>
  <si>
    <t>John Marick Dela Cruz</t>
  </si>
  <si>
    <t>John Adrian Dela Cruz</t>
  </si>
  <si>
    <t>John Derick Dela Cruz</t>
  </si>
  <si>
    <t>James Louie Gutierrez</t>
  </si>
  <si>
    <t>Regina Gutierrez</t>
  </si>
  <si>
    <t>Jennelyn Allysa Gutierrez</t>
  </si>
  <si>
    <t>ISF-SO3-CA-013</t>
  </si>
  <si>
    <t>Vendor, Maid</t>
  </si>
  <si>
    <t>Alejandro S. Bucsit</t>
  </si>
  <si>
    <t>Non-CA-014</t>
  </si>
  <si>
    <t>Driver (UBER)</t>
  </si>
  <si>
    <t>ISF-SO-CA-015</t>
  </si>
  <si>
    <t>Justine Resurreccion (Blue baby)</t>
  </si>
  <si>
    <t>Kayin Job Resurreccion</t>
  </si>
  <si>
    <t>Rafael D. Resurreccion</t>
  </si>
  <si>
    <t>Construction Helper</t>
  </si>
  <si>
    <t>Rodalyn Rivera</t>
  </si>
  <si>
    <t>Vincent Resurreccion</t>
  </si>
  <si>
    <t>Jessa D. Resurreccion</t>
  </si>
  <si>
    <t>Jimuel Resurreccion</t>
  </si>
  <si>
    <t>Bryant Resurreccion</t>
  </si>
  <si>
    <t>Billiards Spotter</t>
  </si>
  <si>
    <t>Rowena Resurreccion</t>
  </si>
  <si>
    <t>Princess Resurreccion</t>
  </si>
  <si>
    <t>Justine Resurreccion</t>
  </si>
  <si>
    <t>ISF-SO-CA-016</t>
  </si>
  <si>
    <t>Osmundo Astibe (71)</t>
  </si>
  <si>
    <t>Wenetieda Astibe</t>
  </si>
  <si>
    <t>Wenetieda Astibe (68)</t>
  </si>
  <si>
    <t>Micheal Astibe</t>
  </si>
  <si>
    <t>Wilma Astibe</t>
  </si>
  <si>
    <t>ISF-SO-CA-017</t>
  </si>
  <si>
    <t>Reynaldo Arias (Assistant to Walk)</t>
  </si>
  <si>
    <t>Regine Arias</t>
  </si>
  <si>
    <t>Gemmarly Arias</t>
  </si>
  <si>
    <t>Reynaldo Arias Jr</t>
  </si>
  <si>
    <t>Sunshine Arias</t>
  </si>
  <si>
    <t>Anna Arias</t>
  </si>
  <si>
    <t>Alexa Monique Arias</t>
  </si>
  <si>
    <t>Alexander Arias</t>
  </si>
  <si>
    <t>ISF-SO1-CA-018</t>
  </si>
  <si>
    <t>Romeo Saluta (62)</t>
  </si>
  <si>
    <t>Virginia Saluta</t>
  </si>
  <si>
    <t>Virginia Saluta (68)</t>
  </si>
  <si>
    <t>ISF-SO2-CA-018</t>
  </si>
  <si>
    <t>A-ISF-SO-CA-019</t>
  </si>
  <si>
    <t>Merafi Dominguez</t>
  </si>
  <si>
    <t>Mary Joy Dominguez</t>
  </si>
  <si>
    <t>Maricris Dominguez</t>
  </si>
  <si>
    <t xml:space="preserve">Mary Rose Dominguez </t>
  </si>
  <si>
    <t>Marites Dominguez</t>
  </si>
  <si>
    <t>Anthony Dominguez</t>
  </si>
  <si>
    <t>CA-019 -R</t>
  </si>
  <si>
    <t>Cutter laborer</t>
  </si>
  <si>
    <t>Alicia Dalistan</t>
  </si>
  <si>
    <t>Elizabeth Montemajor</t>
  </si>
  <si>
    <t>Ricky Montemajor</t>
  </si>
  <si>
    <t>Rose Marie Dalistan</t>
  </si>
  <si>
    <t>Edgar Daep</t>
  </si>
  <si>
    <t>Marisa Dalistan</t>
  </si>
  <si>
    <t>Princess Dalistan</t>
  </si>
  <si>
    <t>John Rhyzell Montemajor</t>
  </si>
  <si>
    <t>Rodell Dalistan</t>
  </si>
  <si>
    <t>Mariel Dalistan</t>
  </si>
  <si>
    <t>Monica Junio</t>
  </si>
  <si>
    <t>William Junio</t>
  </si>
  <si>
    <t>Myralyn Fajardo</t>
  </si>
  <si>
    <t>Allyson Mae Fajardo</t>
  </si>
  <si>
    <t>Romeo,  Saluta</t>
  </si>
  <si>
    <t>Romeo, Saluta (62)</t>
  </si>
  <si>
    <t>Jenny Saluta</t>
  </si>
  <si>
    <t>Karl Saluta</t>
  </si>
  <si>
    <t>Carly Saluta</t>
  </si>
  <si>
    <t>LSO-CA-022</t>
  </si>
  <si>
    <t>Edgardo Dimalanta (69)</t>
  </si>
  <si>
    <t>ISF-I-CA-023</t>
  </si>
  <si>
    <t>Salvador Cardona (66)</t>
  </si>
  <si>
    <t>Carina L. Cardona</t>
  </si>
  <si>
    <t>Melanie C. Ramirez</t>
  </si>
  <si>
    <t>Noel Ramirez</t>
  </si>
  <si>
    <t>Aries Cardona</t>
  </si>
  <si>
    <t>Max H. Cardona</t>
  </si>
  <si>
    <t>Alvin Cardona</t>
  </si>
  <si>
    <t>Ariel Cardona</t>
  </si>
  <si>
    <t>Mylae Abellana</t>
  </si>
  <si>
    <t>Melissa C. Baustista</t>
  </si>
  <si>
    <t>Motor Parts Store Staff</t>
  </si>
  <si>
    <t>ISF-I-CA-024</t>
  </si>
  <si>
    <t>Jesse Oliva</t>
  </si>
  <si>
    <t>Jessica Oliva</t>
  </si>
  <si>
    <t>Marvin Oliva</t>
  </si>
  <si>
    <t>Nida Oliva</t>
  </si>
  <si>
    <t>Rose Oliva</t>
  </si>
  <si>
    <t>Ardel Oliva</t>
  </si>
  <si>
    <t>Irish Oliva</t>
  </si>
  <si>
    <t>Nicole Oliva</t>
  </si>
  <si>
    <t>R-CA-021</t>
  </si>
  <si>
    <t>Ligay B. Hernandez (63)</t>
  </si>
  <si>
    <t>Ligaya B. Hernandez (Asthma)</t>
  </si>
  <si>
    <t>I-CA-027</t>
  </si>
  <si>
    <t>Marlon Jose Ramos (62)</t>
  </si>
  <si>
    <t>Marlon Jose Ramos (Medical Care)</t>
  </si>
  <si>
    <t>Maria Assuncion Ramos</t>
  </si>
  <si>
    <t>Maria Assuncion Ramos (60)</t>
  </si>
  <si>
    <t>Ted Alvarro Ramos</t>
  </si>
  <si>
    <t>Maerose Prizzi Maria Ramos</t>
  </si>
  <si>
    <t>Jhade Malthea Nathaniel Ramos</t>
  </si>
  <si>
    <t>Mary Jaeddalyn Ramos</t>
  </si>
  <si>
    <t>I-CA-028</t>
  </si>
  <si>
    <t>Herminia Buenafe (66)</t>
  </si>
  <si>
    <t>Lian Ynna Soriano (Cancer)</t>
  </si>
  <si>
    <t>I-CA029</t>
  </si>
  <si>
    <t>Gilda Gregorio Pablo</t>
  </si>
  <si>
    <t>Estephanie Lalu</t>
  </si>
  <si>
    <t>I-CA-30</t>
  </si>
  <si>
    <t>Condrado Limos (72)</t>
  </si>
  <si>
    <t>Condrado (Medical Care)</t>
  </si>
  <si>
    <t>Yolanda Limos</t>
  </si>
  <si>
    <t>Yolanda Limos (63)</t>
  </si>
  <si>
    <t>I-CA-036</t>
  </si>
  <si>
    <t>Romarica Intal (65)</t>
  </si>
  <si>
    <t>Dolores Intal</t>
  </si>
  <si>
    <t>Dolores Intal (62)</t>
  </si>
  <si>
    <t>Daisy Intal</t>
  </si>
  <si>
    <t>Sabrina Intal</t>
  </si>
  <si>
    <t>I-S-CA-038</t>
  </si>
  <si>
    <t>Joseline Apacible</t>
  </si>
  <si>
    <t>Shiela Joy Apacible</t>
  </si>
  <si>
    <t>Jeno Jerisano</t>
  </si>
  <si>
    <t>Lovely Lyn Apacible</t>
  </si>
  <si>
    <t>Sofia Tamara</t>
  </si>
  <si>
    <t>George Timothy Tamara</t>
  </si>
  <si>
    <t>I-S-CA-039</t>
  </si>
  <si>
    <t>Nelia Dy Apacible</t>
  </si>
  <si>
    <t>Nelia Dy Apacible (67)</t>
  </si>
  <si>
    <t>Nelia Dy Apacible (High Blood/ Diabetes)</t>
  </si>
  <si>
    <t>Charlene Mae Gerona</t>
  </si>
  <si>
    <t>Dylan Macaspac</t>
  </si>
  <si>
    <t>Runelio Apacible</t>
  </si>
  <si>
    <t>LR-SOB-CA-040</t>
  </si>
  <si>
    <t>Nole M. Gadi</t>
  </si>
  <si>
    <t>ISF-SO-CA-042</t>
  </si>
  <si>
    <t>Mariam Rosana</t>
  </si>
  <si>
    <t>Gasscera Dagok</t>
  </si>
  <si>
    <t>Gian Dagok</t>
  </si>
  <si>
    <t>Jaenelle Manes</t>
  </si>
  <si>
    <t>Mary Jane Rosana</t>
  </si>
  <si>
    <t>Jullian Manes</t>
  </si>
  <si>
    <t xml:space="preserve">Rici Genosas </t>
  </si>
  <si>
    <t>Michael Salaspi</t>
  </si>
  <si>
    <t>Rhesia Mae Salaspi</t>
  </si>
  <si>
    <t>Rommik Crugia</t>
  </si>
  <si>
    <t>Erick Escorido</t>
  </si>
  <si>
    <t>ISF-SO-CA-043</t>
  </si>
  <si>
    <t>Carmelita Martin (61)</t>
  </si>
  <si>
    <t>Harold Martin</t>
  </si>
  <si>
    <t>Container Van Checker (employee)</t>
  </si>
  <si>
    <t>Carmela Martin</t>
  </si>
  <si>
    <t>ISF-SO-CA-045</t>
  </si>
  <si>
    <t>Ayesha Martin</t>
  </si>
  <si>
    <t>ISF-SO-CA-046</t>
  </si>
  <si>
    <t>Charmaine Bautista</t>
  </si>
  <si>
    <t>Juho B. Eulogio</t>
  </si>
  <si>
    <t>Jacob B. Eulogio</t>
  </si>
  <si>
    <t>ISF-SO-CA-047</t>
  </si>
  <si>
    <t>Marites Eulogio</t>
  </si>
  <si>
    <t>Mark Eulogio</t>
  </si>
  <si>
    <t>ISF-SO-CA-048</t>
  </si>
  <si>
    <t>Rowel Rendor</t>
  </si>
  <si>
    <t>Rosana Rendor</t>
  </si>
  <si>
    <t>Janice Salvador</t>
  </si>
  <si>
    <t>Kriistelle Ian Rendor</t>
  </si>
  <si>
    <t>Kristoffer Ian Rendor</t>
  </si>
  <si>
    <t xml:space="preserve">Kris Ivan Rendor  </t>
  </si>
  <si>
    <t>Joan Salvador Viray</t>
  </si>
  <si>
    <t>ISF-SO-CA-049</t>
  </si>
  <si>
    <t>Virgilio Apacible (61)</t>
  </si>
  <si>
    <t>Abigail Apacible</t>
  </si>
  <si>
    <t>Rosita Garland (72)</t>
  </si>
  <si>
    <t>Rosalinda Apacble</t>
  </si>
  <si>
    <t>Verlyn Apacible</t>
  </si>
  <si>
    <t>Princess Ponseca</t>
  </si>
  <si>
    <t>Elden John Apacible</t>
  </si>
  <si>
    <t>Samantha Nicole Apacible</t>
  </si>
  <si>
    <t>Rosita Garland</t>
  </si>
  <si>
    <t>Prince Andrei Apacible</t>
  </si>
  <si>
    <t>Kenneth Apacible</t>
  </si>
  <si>
    <t>Bottle Washer</t>
  </si>
  <si>
    <t>Cherrylyn Bautista</t>
  </si>
  <si>
    <t>Kensue Apacible</t>
  </si>
  <si>
    <t>Marlyn Apacible</t>
  </si>
  <si>
    <t>Christina Torneros</t>
  </si>
  <si>
    <t>Marlon Torneros</t>
  </si>
  <si>
    <t>Maricel Torneros</t>
  </si>
  <si>
    <t>Mary Grace Torneros</t>
  </si>
  <si>
    <t>House Keeping</t>
  </si>
  <si>
    <t>ISF-SO-CA-050B</t>
  </si>
  <si>
    <t>Can not Remember</t>
  </si>
  <si>
    <t>Jose Torneros</t>
  </si>
  <si>
    <t>Milagros Rivera</t>
  </si>
  <si>
    <t>Jayson Ian Celestial</t>
  </si>
  <si>
    <t>Marc Archie Torneros</t>
  </si>
  <si>
    <t>Francis Adrian Torneros</t>
  </si>
  <si>
    <t>Thea Celestial</t>
  </si>
  <si>
    <t>Louella Celestial</t>
  </si>
  <si>
    <t>Criestina Torneros</t>
  </si>
  <si>
    <t>Mary Grace Celestial</t>
  </si>
  <si>
    <t>ISF-SO-CA-051</t>
  </si>
  <si>
    <t>Christine Rivera</t>
  </si>
  <si>
    <t>Crizary Ponseca</t>
  </si>
  <si>
    <t>Cholo Ponseca</t>
  </si>
  <si>
    <t>O-CA-052</t>
  </si>
  <si>
    <t>Corazon Paguiran Patriarca</t>
  </si>
  <si>
    <t>Corazon Paguirigan (65)</t>
  </si>
  <si>
    <t>R-CA-052</t>
  </si>
  <si>
    <t>Allysa Dela Cruz (Intestinal Infection)</t>
  </si>
  <si>
    <t>ISF-SO-CA-053</t>
  </si>
  <si>
    <t>Live in</t>
  </si>
  <si>
    <t>ISF-SO-CA-055</t>
  </si>
  <si>
    <t>Masallo Segunda</t>
  </si>
  <si>
    <t>Masallo Segunda (82)</t>
  </si>
  <si>
    <t>Lynn dayle</t>
  </si>
  <si>
    <t>R-CA-056</t>
  </si>
  <si>
    <t>Lory Jane Tabuac</t>
  </si>
  <si>
    <t>Syra Jane Tabuac</t>
  </si>
  <si>
    <t>John Carlo Tabuac</t>
  </si>
  <si>
    <t>Rianna Jane Tabuac</t>
  </si>
  <si>
    <t>John Cedrick Tabuac</t>
  </si>
  <si>
    <t>John Francis Tabuac</t>
  </si>
  <si>
    <t>ISF-SBO-CA-057</t>
  </si>
  <si>
    <t>Roselyn Genaralo</t>
  </si>
  <si>
    <t>Alvin Generalo</t>
  </si>
  <si>
    <t>Lavatory Repair Man</t>
  </si>
  <si>
    <t>ISF-SO-CA-058</t>
  </si>
  <si>
    <t>Rodigo Gaddi</t>
  </si>
  <si>
    <t>Mary Jane Soriano</t>
  </si>
  <si>
    <t>Rogean Gaddi</t>
  </si>
  <si>
    <t>Jan Gaddi</t>
  </si>
  <si>
    <t>John Gaddi</t>
  </si>
  <si>
    <t>ISF-SO-CA-060</t>
  </si>
  <si>
    <t>Edwardo Velasco</t>
  </si>
  <si>
    <t>Arsenia Velasco</t>
  </si>
  <si>
    <t>Ara Velasco</t>
  </si>
  <si>
    <t>Administration Staff</t>
  </si>
  <si>
    <t>Timothy James Cha</t>
  </si>
  <si>
    <t>Smart Distributor</t>
  </si>
  <si>
    <t>Acayal Jenina Cha</t>
  </si>
  <si>
    <t>Ardie Velasco</t>
  </si>
  <si>
    <t>Installer</t>
  </si>
  <si>
    <t>Jerus Amiel Velasco</t>
  </si>
  <si>
    <t>Arcan Velasco</t>
  </si>
  <si>
    <t>Bernardo Sison</t>
  </si>
  <si>
    <t>Isra Keirah Sison</t>
  </si>
  <si>
    <t>Janine Velasco</t>
  </si>
  <si>
    <t>Jomar Velasco</t>
  </si>
  <si>
    <t>Elijah Zabrielle Velasco</t>
  </si>
  <si>
    <t>Jonalyn Velasco</t>
  </si>
  <si>
    <t>Gheyenne</t>
  </si>
  <si>
    <t>RB-CA-062</t>
  </si>
  <si>
    <t>(support for education)</t>
  </si>
  <si>
    <t>ISF-SOB-CA-66</t>
  </si>
  <si>
    <t>Microentreprenuer (Store)</t>
  </si>
  <si>
    <t>Ofelia Silvederio (75)</t>
  </si>
  <si>
    <t>Anastacio Silvederio (Lack of Potassium)</t>
  </si>
  <si>
    <t>Anastacio Silvederio</t>
  </si>
  <si>
    <t>Anastacio Silvederio (77)</t>
  </si>
  <si>
    <t>Mark James V. Sayson</t>
  </si>
  <si>
    <t>ISF-SO-CA-067</t>
  </si>
  <si>
    <t>Maria Christina Dizon</t>
  </si>
  <si>
    <t>Red Denmark Dizon</t>
  </si>
  <si>
    <t>ISF-SO-CA-068</t>
  </si>
  <si>
    <t>Helena Lorente (69)</t>
  </si>
  <si>
    <t>Ronald Lorente</t>
  </si>
  <si>
    <t>Arjay Lorente</t>
  </si>
  <si>
    <t>Jerome Lorente</t>
  </si>
  <si>
    <t>Ceegee Lorente</t>
  </si>
  <si>
    <t>Jeffrei Lorente</t>
  </si>
  <si>
    <t>Isang Lorente</t>
  </si>
  <si>
    <t>Abujing Lorente</t>
  </si>
  <si>
    <t>ISF-SO-CA-069</t>
  </si>
  <si>
    <t>Sales Lady employee</t>
  </si>
  <si>
    <t>ISF-SO-CA-070</t>
  </si>
  <si>
    <t>Jennifer Ahyong</t>
  </si>
  <si>
    <t>Christian Gonzaga</t>
  </si>
  <si>
    <t>Christine Ahyong</t>
  </si>
  <si>
    <t>Chris Arian Ahyong</t>
  </si>
  <si>
    <t>Charice Ahyong</t>
  </si>
  <si>
    <t>ISF-SO-CA-071</t>
  </si>
  <si>
    <t>Excavilla Estribor (Assistance to Walk)</t>
  </si>
  <si>
    <t>Joshua Allan Morilla</t>
  </si>
  <si>
    <t>Michelle Morilla</t>
  </si>
  <si>
    <t>Excavilla Estribor</t>
  </si>
  <si>
    <t>ISF-SOB-CA-072</t>
  </si>
  <si>
    <t>Ma. Lourdes Botial</t>
  </si>
  <si>
    <t>Ma. Andrea Botial</t>
  </si>
  <si>
    <t>Merry Joan Botial</t>
  </si>
  <si>
    <t>ISF-SO-CA-073</t>
  </si>
  <si>
    <t>Prisella R. Tarlac (77)</t>
  </si>
  <si>
    <t>Josephine T. Bautista</t>
  </si>
  <si>
    <t>Gloria Tarlac</t>
  </si>
  <si>
    <t>Micheal C. Ignacio</t>
  </si>
  <si>
    <t>Furniture Maker</t>
  </si>
  <si>
    <t>Charles Gene Tarlac</t>
  </si>
  <si>
    <t>Mikaela Rain T. Ignacio</t>
  </si>
  <si>
    <t>Elizabeth T. Bobal</t>
  </si>
  <si>
    <t>Danross T. Baustista</t>
  </si>
  <si>
    <t>Maria Alapide</t>
  </si>
  <si>
    <t>Aiden Gray Ricafort</t>
  </si>
  <si>
    <t>Priscilla Tarlac (77)</t>
  </si>
  <si>
    <t>Priscilla Tarlac (Walking assistance)</t>
  </si>
  <si>
    <t>ISF-SO-CA-074</t>
  </si>
  <si>
    <t>Shery Flores</t>
  </si>
  <si>
    <t>John Carl Unat</t>
  </si>
  <si>
    <t>Jheryl Unat</t>
  </si>
  <si>
    <t>Rhian Rose Unat</t>
  </si>
  <si>
    <t>Angelita Ricafort</t>
  </si>
  <si>
    <t>ISF-O2-CA-076</t>
  </si>
  <si>
    <t>Miguel Ricafort</t>
  </si>
  <si>
    <t>Angel Clareese Villa Ricafort</t>
  </si>
  <si>
    <t>Empress Gabriel Ricafort</t>
  </si>
  <si>
    <t>ISF-SO-CA-077</t>
  </si>
  <si>
    <t>Owner Apartment</t>
  </si>
  <si>
    <t>Nenita Borinaga</t>
  </si>
  <si>
    <t>Rodalyn Solomon</t>
  </si>
  <si>
    <t>Oscar Miranda Cortes</t>
  </si>
  <si>
    <t>Verginia Solomon</t>
  </si>
  <si>
    <t>Vermalyn Solomon</t>
  </si>
  <si>
    <t>Kenneth Solomon</t>
  </si>
  <si>
    <t>ISF-SO-CA-078</t>
  </si>
  <si>
    <t>Maricel Paraz Rinamonte</t>
  </si>
  <si>
    <t>Rizza Mae Siobal</t>
  </si>
  <si>
    <t>Roberto Bravo</t>
  </si>
  <si>
    <t>Rose Anne Siobal</t>
  </si>
  <si>
    <t>Renniel Siobal</t>
  </si>
  <si>
    <t>Ryzza Siobal</t>
  </si>
  <si>
    <t>ISF-O-CA-079</t>
  </si>
  <si>
    <t>Ronald Ajero</t>
  </si>
  <si>
    <t>Princess Sophia Ajero</t>
  </si>
  <si>
    <t>Jessa Mae Ajero</t>
  </si>
  <si>
    <t>ISF-SO1-CA-080</t>
  </si>
  <si>
    <t>Rosalie Naga</t>
  </si>
  <si>
    <t>Kevi Basti Naga</t>
  </si>
  <si>
    <t>Benjamin Naga III</t>
  </si>
  <si>
    <t>Roy Benjie Naga</t>
  </si>
  <si>
    <t>Ashlie Naga</t>
  </si>
  <si>
    <t>Baby Rose Naga</t>
  </si>
  <si>
    <t>Jasmine Naga</t>
  </si>
  <si>
    <t>Roy Min Naga</t>
  </si>
  <si>
    <t>ISF-A-S-CA-080</t>
  </si>
  <si>
    <t>Concepcion (?) and Leonardo Jr (66) De Jesus</t>
  </si>
  <si>
    <t>Abegail De Jesus (?)</t>
  </si>
  <si>
    <t>ISF-SO-CA-081</t>
  </si>
  <si>
    <t>Jennifer Bautista</t>
  </si>
  <si>
    <t>ISF-A-S-CA-082</t>
  </si>
  <si>
    <t>Driver, House for Rent</t>
  </si>
  <si>
    <t>ISF-SO-CA-083</t>
  </si>
  <si>
    <t>Carlito Magtalaas Favor</t>
  </si>
  <si>
    <t>Refused to Answer</t>
  </si>
  <si>
    <t>Cecilla M. Favor</t>
  </si>
  <si>
    <t>Cecilla T.Favor</t>
  </si>
  <si>
    <t>Mana Liezel Favor</t>
  </si>
  <si>
    <t>Mana Lusia Caria Favor</t>
  </si>
  <si>
    <t>Casino (Midas Hotel)</t>
  </si>
  <si>
    <t>ISF-SO-CA-084</t>
  </si>
  <si>
    <t>Buy and Sell (micro)</t>
  </si>
  <si>
    <t>Mercedes Jose (65)</t>
  </si>
  <si>
    <t>Mercedes Jose (Arthritis)</t>
  </si>
  <si>
    <t>Severino Jose</t>
  </si>
  <si>
    <t>Severino Jose (67)</t>
  </si>
  <si>
    <t>Severino Jose (Blind one-eye)</t>
  </si>
  <si>
    <t>Severino Jose Jr</t>
  </si>
  <si>
    <t>Traffic Enforcer</t>
  </si>
  <si>
    <t>Cherie S. Jose</t>
  </si>
  <si>
    <t>Julius Cesar Jose</t>
  </si>
  <si>
    <t>Jillian Celine Jose</t>
  </si>
  <si>
    <t>Joselito Jose</t>
  </si>
  <si>
    <t>Furniture Varnisher</t>
  </si>
  <si>
    <t>Marijo Jose</t>
  </si>
  <si>
    <t>Lady Sophia Ann Jose</t>
  </si>
  <si>
    <t>ISF-SO1-CA-086A</t>
  </si>
  <si>
    <t>Alfredo Santiago (63)</t>
  </si>
  <si>
    <t>Alfredo Santiago (Assistance to Work)</t>
  </si>
  <si>
    <t>Alfredo Santiago</t>
  </si>
  <si>
    <t>ISF-SO2-CA-086B</t>
  </si>
  <si>
    <t>Mary Grace Natividad</t>
  </si>
  <si>
    <t>Secretary (Employee)</t>
  </si>
  <si>
    <t>ISF-SO3-CA-086C</t>
  </si>
  <si>
    <t>I-S-CA-086D</t>
  </si>
  <si>
    <t>Andrea Jose (86)</t>
  </si>
  <si>
    <t>ISF-SO-CA-087A</t>
  </si>
  <si>
    <t>Seamstress (sewing)</t>
  </si>
  <si>
    <t>Ernesto O. Abellana</t>
  </si>
  <si>
    <t>Apholstery Maker</t>
  </si>
  <si>
    <t>ISF-SO-CA-087B</t>
  </si>
  <si>
    <t>Marjorie Abellana</t>
  </si>
  <si>
    <t>John Paul Abellana</t>
  </si>
  <si>
    <t>John Skie Abellana</t>
  </si>
  <si>
    <t>Janica Abellana</t>
  </si>
  <si>
    <t>ISF-SO-CA-088</t>
  </si>
  <si>
    <t>Remedios Manansala (84)</t>
  </si>
  <si>
    <t>Remedios Manansala (Colon Canser)</t>
  </si>
  <si>
    <t>Rommel Manansala</t>
  </si>
  <si>
    <t>Minda Manansala (62)</t>
  </si>
  <si>
    <t>Minda Mendoza</t>
  </si>
  <si>
    <t>Christopher Elon</t>
  </si>
  <si>
    <t>ISF-SO1-CA-089A</t>
  </si>
  <si>
    <t>Lanie Bandol Pascual</t>
  </si>
  <si>
    <t>Annabel Pascual</t>
  </si>
  <si>
    <t>Mechanical Engineer</t>
  </si>
  <si>
    <t>Cindy Pascual</t>
  </si>
  <si>
    <t>Computer Science</t>
  </si>
  <si>
    <t>Mariane Pascual</t>
  </si>
  <si>
    <t>Jasmine Pascual</t>
  </si>
  <si>
    <t>ISF-SO2-CA-089B</t>
  </si>
  <si>
    <t>Apartment owner</t>
  </si>
  <si>
    <t>Vicente Pascual (84)</t>
  </si>
  <si>
    <t>Marcelina Pascual</t>
  </si>
  <si>
    <t>Marcelina Pascual (84)</t>
  </si>
  <si>
    <t>Rubiel Pascual</t>
  </si>
  <si>
    <t>Renalyn Pascual</t>
  </si>
  <si>
    <t>Robin Pascual</t>
  </si>
  <si>
    <t>ISF-SO1B-CA-090</t>
  </si>
  <si>
    <t>Gloria Espino (Myoma)</t>
  </si>
  <si>
    <t>Eduard Espino</t>
  </si>
  <si>
    <t>R-BO-CA-090</t>
  </si>
  <si>
    <t>Marie Jannette Domagsang (Nueoborial/Complex Partial Cysts)</t>
  </si>
  <si>
    <t>John-john</t>
  </si>
  <si>
    <t>Jun-jun</t>
  </si>
  <si>
    <t>Joel</t>
  </si>
  <si>
    <t>R-SOB-CA-091</t>
  </si>
  <si>
    <t>Furniture Shop</t>
  </si>
  <si>
    <t>Amado Ochoa (??)</t>
  </si>
  <si>
    <t>Mario Dela Cruz (??)</t>
  </si>
  <si>
    <t>Christopher Gil Salagisag</t>
  </si>
  <si>
    <t>Edwin Esmillo</t>
  </si>
  <si>
    <t>Virgilio Dela Cruz</t>
  </si>
  <si>
    <t>Mario Dela Cruz</t>
  </si>
  <si>
    <t>Amado Oerba</t>
  </si>
  <si>
    <t>Carlo Esmillo</t>
  </si>
  <si>
    <t>Jerwin Del Cruz</t>
  </si>
  <si>
    <t>ISF-SO-CA-092</t>
  </si>
  <si>
    <t>Gadget Store Seller (employee)</t>
  </si>
  <si>
    <t>Ana Lisa De Leon</t>
  </si>
  <si>
    <t>John Ronsard De Leon</t>
  </si>
  <si>
    <t>Jullina De Leon</t>
  </si>
  <si>
    <t>Josh Matthew De Leon</t>
  </si>
  <si>
    <t>ISF-A-SB-CA-093</t>
  </si>
  <si>
    <t>Ronald Estrologo</t>
  </si>
  <si>
    <t>ISF-SO-CA-094</t>
  </si>
  <si>
    <t>Cleante Norberte</t>
  </si>
  <si>
    <t>BPSO</t>
  </si>
  <si>
    <t>Patricia Norberte</t>
  </si>
  <si>
    <t>Paulyn Norberte</t>
  </si>
  <si>
    <t>Patricia Paul Norberte</t>
  </si>
  <si>
    <t>ISF-SO-CA-096</t>
  </si>
  <si>
    <t>Teresita Cabael</t>
  </si>
  <si>
    <t>ISF-SO-CA-097</t>
  </si>
  <si>
    <t>Vergillio Limpin</t>
  </si>
  <si>
    <t>Rosalinda Limpin</t>
  </si>
  <si>
    <t>Angelito Limpin</t>
  </si>
  <si>
    <t>Angela Limpin</t>
  </si>
  <si>
    <t>Danilo Limpin</t>
  </si>
  <si>
    <t>Edwin Limpin</t>
  </si>
  <si>
    <t>Fernando Limpin</t>
  </si>
  <si>
    <t>ISF-SO-CA-098</t>
  </si>
  <si>
    <t>Celso Dioquino (81)</t>
  </si>
  <si>
    <t>Celso Dioquino (Medical Care)</t>
  </si>
  <si>
    <t>Celso Dioquino</t>
  </si>
  <si>
    <t>Antonia Limpin (75)</t>
  </si>
  <si>
    <t>Antonia Limpin (Medical Care)</t>
  </si>
  <si>
    <t>Antonia Limpin</t>
  </si>
  <si>
    <t>Maricris Dioquino</t>
  </si>
  <si>
    <t>Marivic Dioquino</t>
  </si>
  <si>
    <t>Marie France Dioquino</t>
  </si>
  <si>
    <t>Emmanuel De Leon</t>
  </si>
  <si>
    <t>Richard Fibre</t>
  </si>
  <si>
    <t>Lance Aaron Dioquino</t>
  </si>
  <si>
    <t>Alfredo Dioquino Jr</t>
  </si>
  <si>
    <t>Freddi-vic Dioquino</t>
  </si>
  <si>
    <t>Romnick Limpin</t>
  </si>
  <si>
    <t>ISF-SO-CA-099</t>
  </si>
  <si>
    <t>Jonalyn Limpin</t>
  </si>
  <si>
    <t>Pol Cedrick Limpin</t>
  </si>
  <si>
    <t>Arjay Malsi</t>
  </si>
  <si>
    <t>Sharmaine Lyhn Malsi</t>
  </si>
  <si>
    <t>ISF-SO-CA-100</t>
  </si>
  <si>
    <t>Support form Childrren</t>
  </si>
  <si>
    <t>Alicia Cruz</t>
  </si>
  <si>
    <t>Bibleo Manzo</t>
  </si>
  <si>
    <t>ISF-SO-CA-101</t>
  </si>
  <si>
    <t>Arnold Cruz (63)</t>
  </si>
  <si>
    <t>Victoria Cruz (63)</t>
  </si>
  <si>
    <t>Vera Arvi Cruz</t>
  </si>
  <si>
    <t>Gina Cruz</t>
  </si>
  <si>
    <t>Arebela Cruz</t>
  </si>
  <si>
    <t>ISF-SO-CA-102</t>
  </si>
  <si>
    <t>Antonette Ramos</t>
  </si>
  <si>
    <t>Annabelle Cruz</t>
  </si>
  <si>
    <t>Joel Ramos</t>
  </si>
  <si>
    <t>Aquala Ramos</t>
  </si>
  <si>
    <t>ISF-O-CA-103</t>
  </si>
  <si>
    <t>Fernando Mangubat (Broken Leg)</t>
  </si>
  <si>
    <t>Teresa Mangubat</t>
  </si>
  <si>
    <t>Raegan Mangubat</t>
  </si>
  <si>
    <t>Photo booth operator</t>
  </si>
  <si>
    <t>Anthea Mangubat</t>
  </si>
  <si>
    <t>ISF-SOB-CA-103B</t>
  </si>
  <si>
    <t>Christopher Gutierrez</t>
  </si>
  <si>
    <t>Rachelle Resurreccion</t>
  </si>
  <si>
    <t>Ejie Quiambao</t>
  </si>
  <si>
    <t>Shaira Resurreccion</t>
  </si>
  <si>
    <t>ISF-O-CA-103C</t>
  </si>
  <si>
    <t>Ricardo Mangubat (67)</t>
  </si>
  <si>
    <t>Ricardo Mangubat (Heart Desease)</t>
  </si>
  <si>
    <t>Imelda S. Mangubat</t>
  </si>
  <si>
    <t>Imelda Mangubat (65)</t>
  </si>
  <si>
    <t>SO-CA-104</t>
  </si>
  <si>
    <t>Illuminado Ablen (66)</t>
  </si>
  <si>
    <t>Illuminado Ablen (Diabetic)</t>
  </si>
  <si>
    <t>Fe B. Ablen (61)</t>
  </si>
  <si>
    <t>Fe B. Ablen (High Blood)</t>
  </si>
  <si>
    <t>Loreto Brocoy</t>
  </si>
  <si>
    <t>ISF-SO-CA-105</t>
  </si>
  <si>
    <t>Angelo Sambayon</t>
  </si>
  <si>
    <t>ISF-SO-CA-106</t>
  </si>
  <si>
    <t>Aurea Orito (74)</t>
  </si>
  <si>
    <t>Joven Carelo (Broken Leg)</t>
  </si>
  <si>
    <t>Aurea Orito (Stroke)</t>
  </si>
  <si>
    <t>Rosemarie  Andaya</t>
  </si>
  <si>
    <t>Joana Rose Carelo</t>
  </si>
  <si>
    <t>Jenmark Carelo</t>
  </si>
  <si>
    <t>ISF-SO-CA-107</t>
  </si>
  <si>
    <t>Lenny Siongco</t>
  </si>
  <si>
    <t>Salon employee, Cloth Washer (laundry)</t>
  </si>
  <si>
    <t>John Lester Siongco (Congenital Heart desease)</t>
  </si>
  <si>
    <t>Lennard N. Siongco</t>
  </si>
  <si>
    <t>Joseph Jay Pasig</t>
  </si>
  <si>
    <t>Julia Kc Pasig</t>
  </si>
  <si>
    <t>John Lester Siongco</t>
  </si>
  <si>
    <t>ISF-SO-CA-108</t>
  </si>
  <si>
    <t>Niel Navarro (Lung Desease)</t>
  </si>
  <si>
    <t>Evangeline Saludag</t>
  </si>
  <si>
    <t>Mark Ivan Baliwag</t>
  </si>
  <si>
    <t>Rongei Navarro</t>
  </si>
  <si>
    <t>Niel Navarro</t>
  </si>
  <si>
    <t>ISF-SOB-CA-109</t>
  </si>
  <si>
    <t>Carpenter Laborer</t>
  </si>
  <si>
    <t>Princess Mikey Siongco</t>
  </si>
  <si>
    <t>I-SO-CA-110</t>
  </si>
  <si>
    <t>Luisa Antipala (77)</t>
  </si>
  <si>
    <t>Luisa Antipala (High Blood)</t>
  </si>
  <si>
    <t>Roderick Antipala</t>
  </si>
  <si>
    <t>Computer Technician</t>
  </si>
  <si>
    <t>Anita Enriques (63)</t>
  </si>
  <si>
    <t>Myra Sabando</t>
  </si>
  <si>
    <t>Shane Eldrick Antipala</t>
  </si>
  <si>
    <t>Samara Sydie Antipala</t>
  </si>
  <si>
    <t>Edna A. Gonzales</t>
  </si>
  <si>
    <t>Aristotle Gonzales</t>
  </si>
  <si>
    <t>Aaron Joseph Gonzales</t>
  </si>
  <si>
    <t>Arwen Joy Gonzales</t>
  </si>
  <si>
    <t>Anita Enriques</t>
  </si>
  <si>
    <t>John Olyver Diamaro</t>
  </si>
  <si>
    <t xml:space="preserve">Julie Saquillo </t>
  </si>
  <si>
    <t>O2-CA-110</t>
  </si>
  <si>
    <t>Jessica Enardencio</t>
  </si>
  <si>
    <t>Chelsy Faith Enardencio</t>
  </si>
  <si>
    <t>SO2-CA-111B</t>
  </si>
  <si>
    <t>Conmpany Driver</t>
  </si>
  <si>
    <t>Christian Limbunting II (Pancreas Illness)</t>
  </si>
  <si>
    <t>Jeremy Limbunting</t>
  </si>
  <si>
    <t>Chanel Limbunting</t>
  </si>
  <si>
    <t>Christian Limbunting II</t>
  </si>
  <si>
    <t>Charles Limbunting</t>
  </si>
  <si>
    <t>ISF-SO-CA-112</t>
  </si>
  <si>
    <t>Maricel Rumagna</t>
  </si>
  <si>
    <t>Ronald Dela Peña</t>
  </si>
  <si>
    <t>Furniture Maker (Helper)</t>
  </si>
  <si>
    <t>Roman Dela Peña</t>
  </si>
  <si>
    <t>Dindo Dela Peña Jr</t>
  </si>
  <si>
    <t>ISF-SO-CA-114</t>
  </si>
  <si>
    <t>Shop Helper</t>
  </si>
  <si>
    <t>Rigor Viray (60)</t>
  </si>
  <si>
    <t>Rigor Viray</t>
  </si>
  <si>
    <t>John Christian Viray</t>
  </si>
  <si>
    <t>Ryan Joseph Viray</t>
  </si>
  <si>
    <t>Richard Topang</t>
  </si>
  <si>
    <t>Renz John Viray</t>
  </si>
  <si>
    <t>Ray Viray</t>
  </si>
  <si>
    <t>ISF-CA-115A</t>
  </si>
  <si>
    <t>Mely Balagot</t>
  </si>
  <si>
    <t>ISF-SO-CA-115B</t>
  </si>
  <si>
    <t>Alex N. Maceda</t>
  </si>
  <si>
    <t>Michelle Balagot</t>
  </si>
  <si>
    <t>Aizel Maceda</t>
  </si>
  <si>
    <t>Mia Ashley Maceda</t>
  </si>
  <si>
    <t>Paul Carlo Turla</t>
  </si>
  <si>
    <t>Maricar Balagot</t>
  </si>
  <si>
    <t>Carmela Turla</t>
  </si>
  <si>
    <t>Carla Mea Turla</t>
  </si>
  <si>
    <t>May Balagot</t>
  </si>
  <si>
    <t>Miguel Balagot</t>
  </si>
  <si>
    <t>Miko Balagot</t>
  </si>
  <si>
    <t>Mika Balagot</t>
  </si>
  <si>
    <t>ISF-SO-CA-115C</t>
  </si>
  <si>
    <t>Aira Balagot</t>
  </si>
  <si>
    <t>Mark Daryl Balagot</t>
  </si>
  <si>
    <t>ISF-SOB-CA-116</t>
  </si>
  <si>
    <t>Lourdes V. Diamsin (74)</t>
  </si>
  <si>
    <t>Lourdes V. Diamsin (Diabetic)</t>
  </si>
  <si>
    <t>Sari-sari Store (owner)</t>
  </si>
  <si>
    <t>Evangelie V. Diamsin</t>
  </si>
  <si>
    <t>Anne Ringbly D. Monares</t>
  </si>
  <si>
    <t>Mark Aaron D. Monares</t>
  </si>
  <si>
    <t>Joyce V. Diamsin</t>
  </si>
  <si>
    <t>Nicole Louis Diamsin</t>
  </si>
  <si>
    <t>O2-CA-116</t>
  </si>
  <si>
    <t>Editha Biscarra</t>
  </si>
  <si>
    <t>John Kenneth Biscarra</t>
  </si>
  <si>
    <t>Chef</t>
  </si>
  <si>
    <t>John Cedrick Biscarra</t>
  </si>
  <si>
    <t>Eunice Jane Biscarra</t>
  </si>
  <si>
    <t>Mark Joemar Alvarez</t>
  </si>
  <si>
    <t>Kiel Kiefered Alvarez</t>
  </si>
  <si>
    <t>Keira Kaishie Alvarez</t>
  </si>
  <si>
    <t>ISF--SOB-CA-117</t>
  </si>
  <si>
    <t>Antonio Sangcap</t>
  </si>
  <si>
    <t>Brgy. Kagawad, Apartment</t>
  </si>
  <si>
    <t>Antonio Sangcap (60)</t>
  </si>
  <si>
    <t>Andrew James Sangcap</t>
  </si>
  <si>
    <t>Car Sales Agent</t>
  </si>
  <si>
    <t>Joana Balbalosa</t>
  </si>
  <si>
    <t>ISF-O4B-CA-117</t>
  </si>
  <si>
    <t>Crycill Rio Sangcap</t>
  </si>
  <si>
    <t>Mark Stephen Sangcap</t>
  </si>
  <si>
    <t>Hailley Anne Sangccap</t>
  </si>
  <si>
    <t>SOB-CA-119</t>
  </si>
  <si>
    <t>Employee, Land Renting Business</t>
  </si>
  <si>
    <t>Paul Moses Morales</t>
  </si>
  <si>
    <t>LR-SO2B-CA-120</t>
  </si>
  <si>
    <t>Erven B. Drice (60)</t>
  </si>
  <si>
    <t>Ian F. Aravelles</t>
  </si>
  <si>
    <t>0932-382-0365</t>
  </si>
  <si>
    <t>Rodolfo S. Macaraes</t>
  </si>
  <si>
    <t>Daniel De Guzman</t>
  </si>
  <si>
    <t>Joshua D. Reyes</t>
  </si>
  <si>
    <t>Victor A. Arquelles</t>
  </si>
  <si>
    <t>Richard A. Drice</t>
  </si>
  <si>
    <t>Robert A. Drice</t>
  </si>
  <si>
    <t>ISF-SOB-CA-121A</t>
  </si>
  <si>
    <t>Leonardo Carpio (62)</t>
  </si>
  <si>
    <t>Josephine Carpio (Unable to walk Since Birth)</t>
  </si>
  <si>
    <t>Erlinda Carpio</t>
  </si>
  <si>
    <t>Josephine Carpio</t>
  </si>
  <si>
    <t>Micheal Carpio</t>
  </si>
  <si>
    <t>Cyrin Carpio</t>
  </si>
  <si>
    <t>Charles Michael Carpio</t>
  </si>
  <si>
    <t>O3-CA-121A</t>
  </si>
  <si>
    <t>Marilou Carpio</t>
  </si>
  <si>
    <t>Jobert Carpio</t>
  </si>
  <si>
    <t>Lance Jacob Carpio</t>
  </si>
  <si>
    <t>Railey Carpio</t>
  </si>
  <si>
    <t>O2-CA-121A</t>
  </si>
  <si>
    <t>Information Technology</t>
  </si>
  <si>
    <t>Katrina Alena Carpio</t>
  </si>
  <si>
    <t>Lord Kendrick Dastan Busante</t>
  </si>
  <si>
    <t>Lord Katleb Elijah Busante</t>
  </si>
  <si>
    <t>ISF-SO-CA-121B</t>
  </si>
  <si>
    <t>Generoso Carpio Jr</t>
  </si>
  <si>
    <t>Neneng Dolete Carpio</t>
  </si>
  <si>
    <t>Yuan Irish Carpio</t>
  </si>
  <si>
    <t>Quinne Ann Carpio</t>
  </si>
  <si>
    <t>Ricardo Javiera</t>
  </si>
  <si>
    <t>Hannah Javiera</t>
  </si>
  <si>
    <t>Michelle Carpio</t>
  </si>
  <si>
    <t>CA-123-CMP-SBOO</t>
  </si>
  <si>
    <t>Roger Carpio (64)</t>
  </si>
  <si>
    <t>Emerita Carpio</t>
  </si>
  <si>
    <t>Emily Carpio</t>
  </si>
  <si>
    <t>Eleanor Carpio</t>
  </si>
  <si>
    <t>Alfredo Carpio</t>
  </si>
  <si>
    <t>Jobel Carpio</t>
  </si>
  <si>
    <t>R1-CA-123</t>
  </si>
  <si>
    <t>Cloth Washer, 4P's member</t>
  </si>
  <si>
    <t>Brian Arevalo</t>
  </si>
  <si>
    <t>Kristine Arevalo</t>
  </si>
  <si>
    <t>R2-CA-123</t>
  </si>
  <si>
    <r>
      <t>Leticia Campa</t>
    </r>
    <r>
      <rPr>
        <sz val="10"/>
        <color indexed="8"/>
        <rFont val="Calibri"/>
        <family val="2"/>
      </rPr>
      <t>ña</t>
    </r>
  </si>
  <si>
    <t>Renante Vicente Rivera</t>
  </si>
  <si>
    <t>Raphael Vicente Rivera</t>
  </si>
  <si>
    <t>Brother in Law</t>
  </si>
  <si>
    <t>R4-CA-123</t>
  </si>
  <si>
    <t>Jelly Ann Teves</t>
  </si>
  <si>
    <t>Factory Worker (Repacker)</t>
  </si>
  <si>
    <t>R9-CA-123</t>
  </si>
  <si>
    <t>Rogelio M. Santos (Genital Illness)</t>
  </si>
  <si>
    <t>ISF-SO-CA-124</t>
  </si>
  <si>
    <t>Cristy Cristo</t>
  </si>
  <si>
    <t>ISF-SO-CA-125</t>
  </si>
  <si>
    <t>Jackielyn Minal</t>
  </si>
  <si>
    <t>Haiden Jade Dela Cruz</t>
  </si>
  <si>
    <t>ISF-SO-CA-126</t>
  </si>
  <si>
    <t>Native Cake Baker (Puto)</t>
  </si>
  <si>
    <t>Gogie G. Espinosa</t>
  </si>
  <si>
    <t>Jan Cassey Molon</t>
  </si>
  <si>
    <t>Jan Cassey Molon (Blind)</t>
  </si>
  <si>
    <t>Mary Margarette Molon</t>
  </si>
  <si>
    <t>Davidson Oreo (Enlarge Heart)</t>
  </si>
  <si>
    <t>Henry Aiken Molon</t>
  </si>
  <si>
    <t>Davidson Oreo</t>
  </si>
  <si>
    <t>ISF-SO-CA-127</t>
  </si>
  <si>
    <t>Marie May Gabriel</t>
  </si>
  <si>
    <t>Francenne Gabriel</t>
  </si>
  <si>
    <t>Maxene Francisco</t>
  </si>
  <si>
    <t>Neo Ace Francisco</t>
  </si>
  <si>
    <t>Paul Ares Francisco</t>
  </si>
  <si>
    <t>ISF-SO-CA-128</t>
  </si>
  <si>
    <t>Upholstery  Owner</t>
  </si>
  <si>
    <t>Rhodora Reyes Payne</t>
  </si>
  <si>
    <t>Aeron Poul N. Hagos</t>
  </si>
  <si>
    <t>Ashely Hagos</t>
  </si>
  <si>
    <t>Asheron Hagos</t>
  </si>
  <si>
    <t>Precious Rhoan Hagos</t>
  </si>
  <si>
    <t>Ace Noah Hagos</t>
  </si>
  <si>
    <t>ISF-SO-CA-129</t>
  </si>
  <si>
    <t>Cayetano Carceller (80)</t>
  </si>
  <si>
    <t>Dolores Magsumbol</t>
  </si>
  <si>
    <t>Mary Jean Eden</t>
  </si>
  <si>
    <t>Rizaldo Carceller</t>
  </si>
  <si>
    <t>Bonifacio Carceller</t>
  </si>
  <si>
    <t>Roberto Carceller</t>
  </si>
  <si>
    <t>Joel C. Funes</t>
  </si>
  <si>
    <t>Supervisor</t>
  </si>
  <si>
    <t>Maregae Carceller</t>
  </si>
  <si>
    <t>Alyzza Marie Eden</t>
  </si>
  <si>
    <t>Mark Anthony Eden</t>
  </si>
  <si>
    <t>Aliona Jean Eden</t>
  </si>
  <si>
    <t>Chimi Joyce Hagdon</t>
  </si>
  <si>
    <t>Zachari Benedict Eden</t>
  </si>
  <si>
    <t>Alexander Cae Eden</t>
  </si>
  <si>
    <t>Marwin Magsumbol</t>
  </si>
  <si>
    <t>Sebastian Joaquin Magsumbol</t>
  </si>
  <si>
    <t>Adelle Reyna Magsumbol</t>
  </si>
  <si>
    <t>Waiter</t>
  </si>
  <si>
    <t>ISF-SO-CA-131</t>
  </si>
  <si>
    <r>
      <t>Teodulo Acompa</t>
    </r>
    <r>
      <rPr>
        <sz val="10"/>
        <color indexed="8"/>
        <rFont val="Calibri"/>
        <family val="2"/>
      </rPr>
      <t>ñado (72)</t>
    </r>
  </si>
  <si>
    <t>Lydia Acompañado</t>
  </si>
  <si>
    <t>Lydia Acompañado (72)</t>
  </si>
  <si>
    <t>Elisa Acompañado</t>
  </si>
  <si>
    <t>Ruben Acompañado</t>
  </si>
  <si>
    <t>Medical Representative</t>
  </si>
  <si>
    <t>CA-132-ISF-COO2</t>
  </si>
  <si>
    <t>Juanita Dela Paz (60)</t>
  </si>
  <si>
    <t>CA-132-ISF-COO3</t>
  </si>
  <si>
    <t>I.T.</t>
  </si>
  <si>
    <t>Marbin Panoy</t>
  </si>
  <si>
    <t>Marinila Panoy</t>
  </si>
  <si>
    <t>Joana Panoy</t>
  </si>
  <si>
    <t>CA-132-COO</t>
  </si>
  <si>
    <t>Margy Carceller</t>
  </si>
  <si>
    <t>Jomari Carceller</t>
  </si>
  <si>
    <t>Mark Vincent Carceller</t>
  </si>
  <si>
    <t>A-ISF-SB-CA-133</t>
  </si>
  <si>
    <t>Reynalyn De Guzman Saoquillo</t>
  </si>
  <si>
    <t>ISF-SOB-CA-134</t>
  </si>
  <si>
    <t>Construction Worker, Apartment (Owner)</t>
  </si>
  <si>
    <t>Dina Roda Gamboa (71)</t>
  </si>
  <si>
    <t>Maria Noda Soria</t>
  </si>
  <si>
    <t>Emily Gamboa</t>
  </si>
  <si>
    <t>Josephine Balangas Bilinggan</t>
  </si>
  <si>
    <t>Dina Roda Gamboa</t>
  </si>
  <si>
    <t>Carl Gamboa</t>
  </si>
  <si>
    <t>Rhian Gamboa</t>
  </si>
  <si>
    <t>Clarynne Gamboa</t>
  </si>
  <si>
    <t>R1-CA-134</t>
  </si>
  <si>
    <t>Shanine Sora (Difficulty in communication)</t>
  </si>
  <si>
    <t>ISF-SO-CA-135</t>
  </si>
  <si>
    <t>Aaron Paul Gamboa</t>
  </si>
  <si>
    <t>ISF-SO-CA-137</t>
  </si>
  <si>
    <t>Jhunddel B. Colonia</t>
  </si>
  <si>
    <t>ISF-SO-CA-138A</t>
  </si>
  <si>
    <t>Geraldo Lambungan</t>
  </si>
  <si>
    <t>Marissa Lambungan</t>
  </si>
  <si>
    <t>Jerome Lambungan</t>
  </si>
  <si>
    <t>Justine Dapne Lambungan</t>
  </si>
  <si>
    <t>ISF-CA-138B</t>
  </si>
  <si>
    <t>Catalina Lambungan</t>
  </si>
  <si>
    <t>ISF-SO-CA-139</t>
  </si>
  <si>
    <t>Francis Lamungan</t>
  </si>
  <si>
    <t>Jenny Cabalquinto</t>
  </si>
  <si>
    <t>Fatima Cabutin</t>
  </si>
  <si>
    <t>ISF-SO-CA-140</t>
  </si>
  <si>
    <t>Janet Sidayan</t>
  </si>
  <si>
    <t>ISF-CA-141</t>
  </si>
  <si>
    <t>Ronaldo Ocenar</t>
  </si>
  <si>
    <t>Mary Rose Ocenar</t>
  </si>
  <si>
    <t>Mark Ocenar</t>
  </si>
  <si>
    <t>Phea Mae Ocenar</t>
  </si>
  <si>
    <t>Princess Ann O. Nime</t>
  </si>
  <si>
    <t>I-CA-144</t>
  </si>
  <si>
    <t>Roseta Clemente</t>
  </si>
  <si>
    <t>Christian Manlalang</t>
  </si>
  <si>
    <t>Mary Ann Espilidon</t>
  </si>
  <si>
    <t>Kendrick Tan</t>
  </si>
  <si>
    <t>Cyrus Santos</t>
  </si>
  <si>
    <t>ISF-SO-CA-145</t>
  </si>
  <si>
    <t>Coordinator employee</t>
  </si>
  <si>
    <t>Jacqueline David</t>
  </si>
  <si>
    <t>Lorraine Joyce David</t>
  </si>
  <si>
    <t>ISF-SO-CA-146</t>
  </si>
  <si>
    <t>Grace Felicidad P. Robles</t>
  </si>
  <si>
    <t>John Carlo Robles</t>
  </si>
  <si>
    <t>Checker</t>
  </si>
  <si>
    <t>Norgie E. Peralta</t>
  </si>
  <si>
    <t>Giean Gabrielle Robles</t>
  </si>
  <si>
    <t>Carla Jane Robles</t>
  </si>
  <si>
    <t>CA-148.1-ISF-SOO</t>
  </si>
  <si>
    <t>CA-148.1</t>
  </si>
  <si>
    <t>Ryan Sadiaza</t>
  </si>
  <si>
    <t>Norida Roxas</t>
  </si>
  <si>
    <t>Rhianna Sadiaza</t>
  </si>
  <si>
    <t>Kate Sadiaza</t>
  </si>
  <si>
    <t>Jenny Mapagdalita</t>
  </si>
  <si>
    <t>Richard Roxas</t>
  </si>
  <si>
    <t>member</t>
  </si>
  <si>
    <t>Ricardo Roxas</t>
  </si>
  <si>
    <t>Normita Roxas</t>
  </si>
  <si>
    <t>CA-148.2-SOO</t>
  </si>
  <si>
    <t>CA-148.2</t>
  </si>
  <si>
    <t>Joel Rimorin</t>
  </si>
  <si>
    <t>Erinda Rimorin</t>
  </si>
  <si>
    <t>Alyssa Andrie Rimorin</t>
  </si>
  <si>
    <t>Justin Rimorin</t>
  </si>
  <si>
    <t>CA-148.4-SOO</t>
  </si>
  <si>
    <t>CA-148.4</t>
  </si>
  <si>
    <t>Arcadio F. Centino Jr</t>
  </si>
  <si>
    <t>Parish Bishop</t>
  </si>
  <si>
    <t>Arcadio F. Centino Jr (60)</t>
  </si>
  <si>
    <t>Arcadio F. Centino Jr (Liver Cyst)</t>
  </si>
  <si>
    <t>Meralda Macaluwa</t>
  </si>
  <si>
    <t>CA-148.4-SH</t>
  </si>
  <si>
    <t>Jumer Jose Alinea</t>
  </si>
  <si>
    <t>Sales Associate</t>
  </si>
  <si>
    <t>Rosal Alinea</t>
  </si>
  <si>
    <t>Chloe Ainea</t>
  </si>
  <si>
    <t>CA-148.5</t>
  </si>
  <si>
    <t>CA-148.5-R</t>
  </si>
  <si>
    <t>Famore Andaya</t>
  </si>
  <si>
    <t>Cellphone Technician</t>
  </si>
  <si>
    <t>Roxane Jolampong</t>
  </si>
  <si>
    <t>Jed Andaya</t>
  </si>
  <si>
    <t>May Celestine Andaya</t>
  </si>
  <si>
    <t>Rose ann Jolampong</t>
  </si>
  <si>
    <t>Maria Faith Marcelino</t>
  </si>
  <si>
    <t>CA-148.7-ISF-SOO</t>
  </si>
  <si>
    <t>CA-148.7</t>
  </si>
  <si>
    <t>Francisco Arellano</t>
  </si>
  <si>
    <t>Francisco Arellano (69)</t>
  </si>
  <si>
    <t>Angelina Jarloc (Fracture Leg)</t>
  </si>
  <si>
    <t>Fe Jarloc</t>
  </si>
  <si>
    <t>Angelina Jarloc (71)</t>
  </si>
  <si>
    <t>Angelina Jarloc</t>
  </si>
  <si>
    <t>Fe Jarloc (68)</t>
  </si>
  <si>
    <t>Florencio Arellano Jr</t>
  </si>
  <si>
    <t>Phone Technician</t>
  </si>
  <si>
    <t>Analyn Arellano</t>
  </si>
  <si>
    <t>Free Lancer, Direct selling</t>
  </si>
  <si>
    <t>Bob Koser Jose</t>
  </si>
  <si>
    <t>Sarah Jose</t>
  </si>
  <si>
    <t>ISF-SO-CA-156</t>
  </si>
  <si>
    <t>Rosalinda Rance (Tubercolosis)</t>
  </si>
  <si>
    <t>Rhea Cangmaong</t>
  </si>
  <si>
    <t>Irish Rance</t>
  </si>
  <si>
    <t>Razon Cangmaong</t>
  </si>
  <si>
    <t>Reniel Cangmaong</t>
  </si>
  <si>
    <t>ISF-SO-CA-157</t>
  </si>
  <si>
    <t>Ricardo Lopez Jr</t>
  </si>
  <si>
    <t>Emelyn Gargoles</t>
  </si>
  <si>
    <t>Czarina Kate Lopez</t>
  </si>
  <si>
    <t>ISF-A-SB-CA-161</t>
  </si>
  <si>
    <t>RTW, Poutry Business</t>
  </si>
  <si>
    <t>Summer Kiezer Sollano</t>
  </si>
  <si>
    <t>ISF-SO1-CA-162A</t>
  </si>
  <si>
    <t>Vhia Joy Pacardo</t>
  </si>
  <si>
    <t>ISF-O2-CA-162B</t>
  </si>
  <si>
    <t>ISF-O2-CA-162C</t>
  </si>
  <si>
    <t>Dianne Sylvestre</t>
  </si>
  <si>
    <t>Nicolae Sylvestre</t>
  </si>
  <si>
    <t>King Ckairou Paguirigan</t>
  </si>
  <si>
    <t>Kevin Leo Paguirigan</t>
  </si>
  <si>
    <t>Yancy Jay Paguirigan</t>
  </si>
  <si>
    <t>Juan Miguel Paguirigan</t>
  </si>
  <si>
    <t>ISF-SO-CA-165</t>
  </si>
  <si>
    <t>Dante Manese (64)</t>
  </si>
  <si>
    <t>Dante Manese (PWD)</t>
  </si>
  <si>
    <t>Ma. Cleofas Manese</t>
  </si>
  <si>
    <t>Jamil E. Manese</t>
  </si>
  <si>
    <t>Jeffrey E. Manese</t>
  </si>
  <si>
    <t>Jerico E. Manese</t>
  </si>
  <si>
    <t>Raymond E. Manese</t>
  </si>
  <si>
    <t>SO-CA-166</t>
  </si>
  <si>
    <t>(retired)</t>
  </si>
  <si>
    <t>Ernesto Dimla (70)</t>
  </si>
  <si>
    <t>Teresita o. Dimla</t>
  </si>
  <si>
    <t>Teresita o. Dimla (69)</t>
  </si>
  <si>
    <t>O-CA-167</t>
  </si>
  <si>
    <t>SSS Pensioner</t>
  </si>
  <si>
    <t>Carlos Joaquin (63)</t>
  </si>
  <si>
    <t>Gloria Joaquin</t>
  </si>
  <si>
    <t>Optomistrist, Dove's for Sale</t>
  </si>
  <si>
    <t>Gloria Joaquin (68)</t>
  </si>
  <si>
    <t>LSB-SO-MN-002</t>
  </si>
  <si>
    <t>Sari-sari Store (Owner)</t>
  </si>
  <si>
    <t>Francisca Ganitnit (63)</t>
  </si>
  <si>
    <t>Ray Ganitnit</t>
  </si>
  <si>
    <t>Mark Anthony Ganitnit</t>
  </si>
  <si>
    <t>Rea Ganitnit</t>
  </si>
  <si>
    <t>LS-O2-MN-003</t>
  </si>
  <si>
    <t>Lila Palmon</t>
  </si>
  <si>
    <t>Pension, Remittance</t>
  </si>
  <si>
    <t>Victorino Palmon</t>
  </si>
  <si>
    <t>Roderick Palmon</t>
  </si>
  <si>
    <t>Catherine Palmon</t>
  </si>
  <si>
    <t>Reufsed to Declare</t>
  </si>
  <si>
    <t>LSO-MN-004</t>
  </si>
  <si>
    <t>Roby Carabeo</t>
  </si>
  <si>
    <t>Eivory Carabeo</t>
  </si>
  <si>
    <t>ISF-SO-MN-006</t>
  </si>
  <si>
    <t>ISF-SO-MN-020</t>
  </si>
  <si>
    <t>David Simeon Manonog</t>
  </si>
  <si>
    <t>Darwin Manonog</t>
  </si>
  <si>
    <t>Erich Cake Manonog</t>
  </si>
  <si>
    <t>ISF-SO-MN-021</t>
  </si>
  <si>
    <t>Rogelio Punla</t>
  </si>
  <si>
    <t>Jessalyn Punla</t>
  </si>
  <si>
    <t>John Joel Punla</t>
  </si>
  <si>
    <t>ISF-SO-MN-025</t>
  </si>
  <si>
    <t>Aldrin Valerio</t>
  </si>
  <si>
    <t>Merry Jane Gapos</t>
  </si>
  <si>
    <t>Micheal Gapos</t>
  </si>
  <si>
    <t>Joyce Manon-og</t>
  </si>
  <si>
    <t>Jillian Valerio</t>
  </si>
  <si>
    <t>ISF-S-MN-029</t>
  </si>
  <si>
    <t>Rosario P. Estuaria (68)</t>
  </si>
  <si>
    <t>MN-030-SO</t>
  </si>
  <si>
    <t>Editha Reyes (71)</t>
  </si>
  <si>
    <t>Editha Reyes</t>
  </si>
  <si>
    <t>O2-MN-030</t>
  </si>
  <si>
    <t>spouse</t>
  </si>
  <si>
    <t>Jesus Tayme Jr</t>
  </si>
  <si>
    <t>Jackielyn Reyes</t>
  </si>
  <si>
    <t>Jorielle Tayme</t>
  </si>
  <si>
    <t>Jaypee Tayme</t>
  </si>
  <si>
    <t>SO-MN-032</t>
  </si>
  <si>
    <t>Rusteca Mallari (60)</t>
  </si>
  <si>
    <t>Pepito Mallari (??)</t>
  </si>
  <si>
    <t>O-MN-032</t>
  </si>
  <si>
    <t>Crossing Keeper (PNR) employee</t>
  </si>
  <si>
    <t>Rica Patricia Zaragoza</t>
  </si>
  <si>
    <t>Machine Parts Seller (employee)</t>
  </si>
  <si>
    <t>Curt Jheric Zaragoza</t>
  </si>
  <si>
    <t>Rafael Zaragoza</t>
  </si>
  <si>
    <t>Jhared Ken Zaragoza</t>
  </si>
  <si>
    <t>SO-MN-035</t>
  </si>
  <si>
    <t>Leonila Tolentino (90)</t>
  </si>
  <si>
    <t>R1-MN-036</t>
  </si>
  <si>
    <t>SO-MN-037</t>
  </si>
  <si>
    <t>Lucera Tagle (85)</t>
  </si>
  <si>
    <t>Lucera Tagle (Weak Heart)</t>
  </si>
  <si>
    <t>Ronaldo Tagle Dela Cruz</t>
  </si>
  <si>
    <t>I-SO-MN-038</t>
  </si>
  <si>
    <t>Tailoring (sewing)</t>
  </si>
  <si>
    <t>Antonio Lagman (66)</t>
  </si>
  <si>
    <t>Antonio Lagman</t>
  </si>
  <si>
    <t>Donney Lagman</t>
  </si>
  <si>
    <t>Tailoring, Make-up Artist</t>
  </si>
  <si>
    <t>Leonard Castillo</t>
  </si>
  <si>
    <t>Jepril Calonzo</t>
  </si>
  <si>
    <t>ISF-SO-MN-039</t>
  </si>
  <si>
    <t>Francelor Quimoyog (60)</t>
  </si>
  <si>
    <t>Francelor Quimoyog</t>
  </si>
  <si>
    <t>Cigarette Vendor</t>
  </si>
  <si>
    <t>Agrecelli Quimoyog (80)</t>
  </si>
  <si>
    <t>Agrecelli Quimoyog</t>
  </si>
  <si>
    <t>Noel Quimoyog Jr</t>
  </si>
  <si>
    <t>SO-MN-040</t>
  </si>
  <si>
    <t>Barangay Tanod (honorarium)</t>
  </si>
  <si>
    <t>Jay Nicole Suck</t>
  </si>
  <si>
    <t>Hannah Mae Panantaon</t>
  </si>
  <si>
    <t>Eduardo P. Victoria</t>
  </si>
  <si>
    <t>ISF-O2-MN-040</t>
  </si>
  <si>
    <t>Harold Van Panantaon</t>
  </si>
  <si>
    <t>Jesus Suck Jr</t>
  </si>
  <si>
    <t>Jade Louisse P. Suck</t>
  </si>
  <si>
    <t>Jonard P. Suck</t>
  </si>
  <si>
    <t>Jayden P. Suck</t>
  </si>
  <si>
    <t>Coleen P. Suck</t>
  </si>
  <si>
    <t>Jesus A. Suck</t>
  </si>
  <si>
    <t>ISF-MN-040A</t>
  </si>
  <si>
    <t>Carolyn Evagelista</t>
  </si>
  <si>
    <t>Rolniel Evangelista</t>
  </si>
  <si>
    <t>Shaira Evangelista</t>
  </si>
  <si>
    <t>Wilfredo Evangelista</t>
  </si>
  <si>
    <t>ISF-SO-MN-041</t>
  </si>
  <si>
    <t>Janine Rosario Aguas</t>
  </si>
  <si>
    <t>Stylist</t>
  </si>
  <si>
    <t>ISF-SO-MN-042</t>
  </si>
  <si>
    <t>Rhien's Computer Shop (Owner)</t>
  </si>
  <si>
    <t>Ace F. Lavarias</t>
  </si>
  <si>
    <t>Allyana Leim F. Lavarias</t>
  </si>
  <si>
    <t>Rose Marie F. Lavarias</t>
  </si>
  <si>
    <t>ISF-SOB-MN-043</t>
  </si>
  <si>
    <t>Reynaldo Lavarias (65)</t>
  </si>
  <si>
    <t>Savanna Guianan</t>
  </si>
  <si>
    <t>Milagros Lavarias (62)</t>
  </si>
  <si>
    <t>Isabela Guianan</t>
  </si>
  <si>
    <t>Reynaldo Lavarias</t>
  </si>
  <si>
    <t>Milagros Lavarias</t>
  </si>
  <si>
    <t>Riginal Guianan</t>
  </si>
  <si>
    <t>A-ISF-SO-MN-044</t>
  </si>
  <si>
    <t>ISF-SO-MN-045</t>
  </si>
  <si>
    <t>Ligatya Escota</t>
  </si>
  <si>
    <t>Ligatya Escota (75)</t>
  </si>
  <si>
    <t>Manuel Caures</t>
  </si>
  <si>
    <t>Manuel Caures (72)</t>
  </si>
  <si>
    <t>Vivian Caures</t>
  </si>
  <si>
    <t>Mary Jane Caures</t>
  </si>
  <si>
    <t>Patrica Mercado</t>
  </si>
  <si>
    <t>Mark Jovi Pangilinan</t>
  </si>
  <si>
    <t>IT/Robinson</t>
  </si>
  <si>
    <t>ISF-SOB-MN-046</t>
  </si>
  <si>
    <t>Dorothy Manuel (Diabetes, High Blood)</t>
  </si>
  <si>
    <t>Dorothy Manuel</t>
  </si>
  <si>
    <t>Shermie Nicole Singalawa</t>
  </si>
  <si>
    <t>Bradley Singalawa</t>
  </si>
  <si>
    <t>SO2-MN-046</t>
  </si>
  <si>
    <t>Danella Quin Manuel</t>
  </si>
  <si>
    <t>Daniel Quin Manuel</t>
  </si>
  <si>
    <t>A-SB-MN-047</t>
  </si>
  <si>
    <t>Jinel Miane Mortel</t>
  </si>
  <si>
    <t>ISF-SO-MN-048</t>
  </si>
  <si>
    <t>Hermino Cayabyab</t>
  </si>
  <si>
    <t>Hermino Cayabyab (75)</t>
  </si>
  <si>
    <t>Desiree Napicos</t>
  </si>
  <si>
    <t>Lelia Cayabyab</t>
  </si>
  <si>
    <t>Yakult Distributer</t>
  </si>
  <si>
    <t>AizelPatingo</t>
  </si>
  <si>
    <t>Joey Cayabayab</t>
  </si>
  <si>
    <t>Jeffren Cayabyab</t>
  </si>
  <si>
    <t>Elmer Cayabyab</t>
  </si>
  <si>
    <t>SideCar Driver</t>
  </si>
  <si>
    <t>John Leo Patingo</t>
  </si>
  <si>
    <t xml:space="preserve">Joy C. Napicos </t>
  </si>
  <si>
    <t>Lenon Palisay</t>
  </si>
  <si>
    <t>NTPB</t>
  </si>
  <si>
    <t>Arthur Napicos</t>
  </si>
  <si>
    <t>ISF-SO-MN-049A</t>
  </si>
  <si>
    <t>Robin Ray Tantay</t>
  </si>
  <si>
    <t>Roniel Tantay</t>
  </si>
  <si>
    <t>Canteen Helper</t>
  </si>
  <si>
    <t>Rommel Tantay</t>
  </si>
  <si>
    <t>Caitleen Tantay</t>
  </si>
  <si>
    <t>ISF-SO-MN-050</t>
  </si>
  <si>
    <t>Jesus I Sergote</t>
  </si>
  <si>
    <t>Juanita Inasoria</t>
  </si>
  <si>
    <t>Juanita Inasoria (74)</t>
  </si>
  <si>
    <t>John Jerome Sergote</t>
  </si>
  <si>
    <t>Genesis Sergote</t>
  </si>
  <si>
    <t>ISF-SO-MN-051</t>
  </si>
  <si>
    <t>MN-051</t>
  </si>
  <si>
    <t>Carl Juno P. Timbang</t>
  </si>
  <si>
    <t>Policemen</t>
  </si>
  <si>
    <t>Charlotte P. Timbang</t>
  </si>
  <si>
    <t>Buy and Sell (RTW)</t>
  </si>
  <si>
    <t>Christine Joy P. Timbang</t>
  </si>
  <si>
    <t>Dominga M. Timbang</t>
  </si>
  <si>
    <t>SO2-MN-051B</t>
  </si>
  <si>
    <t>Charles Fer P. Timbang</t>
  </si>
  <si>
    <t>Bank Encoder/ Messenger</t>
  </si>
  <si>
    <t>ISF-SOB-MN-052</t>
  </si>
  <si>
    <t>Aurelia Ramirez (70)</t>
  </si>
  <si>
    <t>Joselito Ramirez</t>
  </si>
  <si>
    <t>Joselito Ramirez (80)</t>
  </si>
  <si>
    <t>ISF-SO-MN-053</t>
  </si>
  <si>
    <t>Mercelita Ticar</t>
  </si>
  <si>
    <r>
      <t>Salvacion T. Mu</t>
    </r>
    <r>
      <rPr>
        <sz val="10"/>
        <color indexed="8"/>
        <rFont val="Calibri"/>
        <family val="2"/>
      </rPr>
      <t>ñoz (77)</t>
    </r>
  </si>
  <si>
    <t>Kristina Isabel Ticar</t>
  </si>
  <si>
    <t>Assistant Dentist</t>
  </si>
  <si>
    <t>Alyanna Nicole Ticar</t>
  </si>
  <si>
    <t>Jhoey Ann Ticar</t>
  </si>
  <si>
    <t>Lilibeth D.G. Aquino</t>
  </si>
  <si>
    <t>Angelo Krissan Ticar</t>
  </si>
  <si>
    <t>Online Business</t>
  </si>
  <si>
    <t>Aubrey Jean Pablo</t>
  </si>
  <si>
    <t>Lyle Perzelas P. Ticar</t>
  </si>
  <si>
    <t>Zyrlen Hermione P. Ticar</t>
  </si>
  <si>
    <t>Maryleen Asuniio</t>
  </si>
  <si>
    <r>
      <t>Salvacion T. Mu</t>
    </r>
    <r>
      <rPr>
        <sz val="10"/>
        <color indexed="8"/>
        <rFont val="Calibri"/>
        <family val="2"/>
      </rPr>
      <t>ñoz</t>
    </r>
  </si>
  <si>
    <t>ISF-SO-MN-054</t>
  </si>
  <si>
    <t>NO INCOME</t>
  </si>
  <si>
    <t>Flor Ticar</t>
  </si>
  <si>
    <t>MN-054-R</t>
  </si>
  <si>
    <t>Construction workers</t>
  </si>
  <si>
    <t>Jeffrey Lundag</t>
  </si>
  <si>
    <t>Angelica Lundag</t>
  </si>
  <si>
    <t>Jason Lundag</t>
  </si>
  <si>
    <t>Jessica Lundag</t>
  </si>
  <si>
    <t>ISF-SB-MN-055</t>
  </si>
  <si>
    <t>Aircon Tecinician, Aircon Techinician (Home Base)</t>
  </si>
  <si>
    <t>Rondolph Baltazar</t>
  </si>
  <si>
    <t>Maria Loreta Baltazar</t>
  </si>
  <si>
    <t>John Lor Baltazar</t>
  </si>
  <si>
    <t>Maria Glaiza Baltazar</t>
  </si>
  <si>
    <t>Ralph Coretz Baltazar</t>
  </si>
  <si>
    <t>Efren Quintans</t>
  </si>
  <si>
    <t>Jose Quintans</t>
  </si>
  <si>
    <t>Catering</t>
  </si>
  <si>
    <t>Joyce Quintans</t>
  </si>
  <si>
    <t>Mateo Quintans</t>
  </si>
  <si>
    <t>Jaime Quintans Jr</t>
  </si>
  <si>
    <t>Regina Quintans</t>
  </si>
  <si>
    <t>Athena Quintans</t>
  </si>
  <si>
    <t>I-S-MN-057</t>
  </si>
  <si>
    <t>Cesar Nartea (??)</t>
  </si>
  <si>
    <t>Marlon Nartea (Epilepsy)</t>
  </si>
  <si>
    <t>B-MN-058</t>
  </si>
  <si>
    <t>Rowell Macatangal</t>
  </si>
  <si>
    <t>I-MN-059</t>
  </si>
  <si>
    <t>Encarnacion Austria (??)</t>
  </si>
  <si>
    <t>Ferdinand Austria (Lung Deasesa)</t>
  </si>
  <si>
    <t>I-MN-060</t>
  </si>
  <si>
    <t>Mercedes Villareal (??)</t>
  </si>
  <si>
    <t>SOB-MN-061</t>
  </si>
  <si>
    <t>Rowena DeLara</t>
  </si>
  <si>
    <t>Candy Orea</t>
  </si>
  <si>
    <t>R2-MN-061</t>
  </si>
  <si>
    <t>Santos Borigas (Path Desease)</t>
  </si>
  <si>
    <t>R1-MN-061</t>
  </si>
  <si>
    <t>Rowena deLara</t>
  </si>
  <si>
    <t>Remigio deLara (Assistance to walk)</t>
  </si>
  <si>
    <t>Remigio deLara</t>
  </si>
  <si>
    <t>Raymark deLara</t>
  </si>
  <si>
    <t>Harold deLara</t>
  </si>
  <si>
    <t>I-MN-062</t>
  </si>
  <si>
    <t>Aurora Flores (??)</t>
  </si>
  <si>
    <t>A-S-MN-063</t>
  </si>
  <si>
    <t>Maria Nila Mendoza (65)</t>
  </si>
  <si>
    <t>R1-MN-063</t>
  </si>
  <si>
    <t>Jovelyn Factor</t>
  </si>
  <si>
    <t>Not Known</t>
  </si>
  <si>
    <t>Emmanuel Factor</t>
  </si>
  <si>
    <t>ISF-SO-MN-064</t>
  </si>
  <si>
    <t>GRAB Driver</t>
  </si>
  <si>
    <t>Arnold Macale</t>
  </si>
  <si>
    <t>Parking Attendant</t>
  </si>
  <si>
    <t>MN-064-SBO</t>
  </si>
  <si>
    <t>Catherine Yu Endulos</t>
  </si>
  <si>
    <t>MN-065-SO</t>
  </si>
  <si>
    <t>Delia Dimalanta (77)</t>
  </si>
  <si>
    <t>SOB-MN-066</t>
  </si>
  <si>
    <t>Efren Ocampo (72)</t>
  </si>
  <si>
    <t>Yolanda Ocampo (??)</t>
  </si>
  <si>
    <t>Lor-ann Estola Raveño</t>
  </si>
  <si>
    <t>Yolanda Ocampo</t>
  </si>
  <si>
    <t>Yolanda Ocampo (63)</t>
  </si>
  <si>
    <t>Mary Grace Tuazon</t>
  </si>
  <si>
    <t>Broker</t>
  </si>
  <si>
    <t>Alexander Ocampo</t>
  </si>
  <si>
    <t>Christian Anthony Ocampo</t>
  </si>
  <si>
    <t>Arbie Marie Ocampo</t>
  </si>
  <si>
    <t>Aira Mae Tuazon</t>
  </si>
  <si>
    <t>Christian Ocampo</t>
  </si>
  <si>
    <t>Karen Ocampo</t>
  </si>
  <si>
    <t>Rhianon Ocampo</t>
  </si>
  <si>
    <t>R1-MN-066</t>
  </si>
  <si>
    <r>
      <t>Lor-ann E. Rave</t>
    </r>
    <r>
      <rPr>
        <sz val="10"/>
        <color indexed="8"/>
        <rFont val="Calibri"/>
        <family val="2"/>
      </rPr>
      <t>ñ</t>
    </r>
    <r>
      <rPr>
        <sz val="10"/>
        <color indexed="8"/>
        <rFont val="Calibri"/>
        <family val="2"/>
      </rPr>
      <t>o</t>
    </r>
  </si>
  <si>
    <t>Beef and Travi's (on Market)</t>
  </si>
  <si>
    <t>ISF-SO-MN-067</t>
  </si>
  <si>
    <t>Rose Marie Sevilla</t>
  </si>
  <si>
    <t>Luzviminda Agustin</t>
  </si>
  <si>
    <t>Ma. Lourdes Sevilla</t>
  </si>
  <si>
    <t>John Miles Raven Sevilla</t>
  </si>
  <si>
    <t>Ken Russel Sevilla</t>
  </si>
  <si>
    <t>Kurt Janiel Sevilla</t>
  </si>
  <si>
    <t>Sherwin Agustin</t>
  </si>
  <si>
    <t>SO-MN-068</t>
  </si>
  <si>
    <t>Archie Roxas (Need Medical Care)</t>
  </si>
  <si>
    <t>Ailyn Roxas</t>
  </si>
  <si>
    <t>Sean Arvie Roxas</t>
  </si>
  <si>
    <t>Sean Allne Roxas</t>
  </si>
  <si>
    <t>Paulo Roxas</t>
  </si>
  <si>
    <t>Archie Roxas</t>
  </si>
  <si>
    <t>Sales Clerk</t>
  </si>
  <si>
    <t>Analyn Roxas</t>
  </si>
  <si>
    <t>ISF-SO-MN-069</t>
  </si>
  <si>
    <t>Ramon Uson (65)</t>
  </si>
  <si>
    <t>Remedios Uson</t>
  </si>
  <si>
    <t>Remedios Uson (63)</t>
  </si>
  <si>
    <t>Donabelle Uson Ramos</t>
  </si>
  <si>
    <t>Monica Uson</t>
  </si>
  <si>
    <t>Alyanabelle Uson Ramos</t>
  </si>
  <si>
    <t>John Allan Uson Ramos</t>
  </si>
  <si>
    <t>ISF-SO-MN-070</t>
  </si>
  <si>
    <t>Lilia Holgado (65)</t>
  </si>
  <si>
    <t>Lilia Holgado (Diabetic, Stroke)</t>
  </si>
  <si>
    <t>Alisa Holgado</t>
  </si>
  <si>
    <t>Aldrian Holgado</t>
  </si>
  <si>
    <t>Adrian Marice Holgado</t>
  </si>
  <si>
    <t>ISF-SO-MN-071</t>
  </si>
  <si>
    <t>Efren Guevarra (66)</t>
  </si>
  <si>
    <t>Estrella Guevarra</t>
  </si>
  <si>
    <t>Gas Station Employee</t>
  </si>
  <si>
    <t>Estrella Guevarra (69)</t>
  </si>
  <si>
    <t>Merlyn Guevarra</t>
  </si>
  <si>
    <t>Eyad Guevarra</t>
  </si>
  <si>
    <t>Elia Guevarra</t>
  </si>
  <si>
    <t>ISF-SO-MN-074</t>
  </si>
  <si>
    <t>Sidewalk Vendor</t>
  </si>
  <si>
    <t>Maria Paz Marzalado (75)</t>
  </si>
  <si>
    <t>Neil John Marzalado</t>
  </si>
  <si>
    <t>Jaime Galero</t>
  </si>
  <si>
    <t>Joe Kim Marzalado</t>
  </si>
  <si>
    <t>Kyrie Marzalado</t>
  </si>
  <si>
    <t>Andre Marzalado</t>
  </si>
  <si>
    <t>Jamaica Marzalado</t>
  </si>
  <si>
    <t>Evangeline Marzalado</t>
  </si>
  <si>
    <t>ISF-SO-MN-084</t>
  </si>
  <si>
    <t>Rogelio Yabut Remodaro</t>
  </si>
  <si>
    <t>Reya Remodaro</t>
  </si>
  <si>
    <t>ISF-SO-MN-085</t>
  </si>
  <si>
    <t>Jason Yabut</t>
  </si>
  <si>
    <t>Joshua Yabut</t>
  </si>
  <si>
    <t>Jerico Yabut</t>
  </si>
  <si>
    <t>Jomari Yabut</t>
  </si>
  <si>
    <t>ISF-O-MN-086</t>
  </si>
  <si>
    <t>Mercedes Francisco (60)</t>
  </si>
  <si>
    <t>Wilfredo Francisco</t>
  </si>
  <si>
    <t>Water Delivery</t>
  </si>
  <si>
    <t>Mercedes Francisco</t>
  </si>
  <si>
    <t>ISF-O2-MN-086</t>
  </si>
  <si>
    <t>Josephine Cabang</t>
  </si>
  <si>
    <t>R2B-MN-086</t>
  </si>
  <si>
    <t>Rogelio R Manalang</t>
  </si>
  <si>
    <t>ISF-O3-MN-086</t>
  </si>
  <si>
    <t>Edencio Jacinto</t>
  </si>
  <si>
    <t>Edencio Jacinto Jr</t>
  </si>
  <si>
    <t>Erickson Jacinto</t>
  </si>
  <si>
    <t>ISF-SBO4-MN-086</t>
  </si>
  <si>
    <t>Vicky Francisco</t>
  </si>
  <si>
    <t>Dean Dela Cruz</t>
  </si>
  <si>
    <t>Emmanuel Dela Cruz</t>
  </si>
  <si>
    <t>Mark Dhen Francisco</t>
  </si>
  <si>
    <t>Jhuana Francisco</t>
  </si>
  <si>
    <t>Ebert Angeles</t>
  </si>
  <si>
    <t>Erika Joy Angeles</t>
  </si>
  <si>
    <t>Elena Angeles</t>
  </si>
  <si>
    <t>Edna Devilla</t>
  </si>
  <si>
    <t>Rheya Jean Mesias</t>
  </si>
  <si>
    <t>SO-MN-087</t>
  </si>
  <si>
    <t>Corazon Poblete</t>
  </si>
  <si>
    <t>Ed Ryan Poblete</t>
  </si>
  <si>
    <t>Barangay Worker</t>
  </si>
  <si>
    <t>Ed Rhea Poblete</t>
  </si>
  <si>
    <t>Eduardo Poblete Jr.</t>
  </si>
  <si>
    <t>Salesman</t>
  </si>
  <si>
    <t>Edison Poblete</t>
  </si>
  <si>
    <t>Eduard Poblete</t>
  </si>
  <si>
    <t>Aia Jhayed Dalupere</t>
  </si>
  <si>
    <t>Bien Clarence Poblete</t>
  </si>
  <si>
    <t>Bien Ethan Poblete</t>
  </si>
  <si>
    <t>O2-MN-088</t>
  </si>
  <si>
    <t>Anastacio Saguit (60)</t>
  </si>
  <si>
    <t>Anastacio Saguit (Heart Illness)</t>
  </si>
  <si>
    <t>Emelie Saguit</t>
  </si>
  <si>
    <t>MicroEntreprenuer (occasionally)</t>
  </si>
  <si>
    <t>O3-MN-088</t>
  </si>
  <si>
    <t>Cloth Washer, 4p's Beneficiary</t>
  </si>
  <si>
    <t>Paulyn Ann Faustino</t>
  </si>
  <si>
    <t>Teller</t>
  </si>
  <si>
    <t>Jerico Faustino</t>
  </si>
  <si>
    <t>Nicka Faustino</t>
  </si>
  <si>
    <t>O4-MN-088</t>
  </si>
  <si>
    <t>Amelia Buenaventura (82)</t>
  </si>
  <si>
    <t>Lyana Mae Buenaventura (Asthma)</t>
  </si>
  <si>
    <t>Amalia Gregorio</t>
  </si>
  <si>
    <t>I.T. Expert</t>
  </si>
  <si>
    <t>Lyana Mae Beunaventura</t>
  </si>
  <si>
    <t>Jamie Gregorio</t>
  </si>
  <si>
    <t>Staff</t>
  </si>
  <si>
    <t>ISF-SO-MN-091</t>
  </si>
  <si>
    <t>Vendor, Sari-sari Store</t>
  </si>
  <si>
    <t>Jessie Manalo (60)</t>
  </si>
  <si>
    <t>Rolando Culabason</t>
  </si>
  <si>
    <t>Moving seller</t>
  </si>
  <si>
    <t>Adelina Culabason</t>
  </si>
  <si>
    <t>Rienna Culabason</t>
  </si>
  <si>
    <t>Ronaldo Culabason</t>
  </si>
  <si>
    <t>Jessie Manalo</t>
  </si>
  <si>
    <t>Mary Mae Manalo</t>
  </si>
  <si>
    <t>Igi Manalo</t>
  </si>
  <si>
    <t>ISF-SO-MN-092</t>
  </si>
  <si>
    <t>Rodell B. Mendiola</t>
  </si>
  <si>
    <t>ISF-SO-MN-093</t>
  </si>
  <si>
    <t>On-call Construction worker</t>
  </si>
  <si>
    <t>Aileen Puso</t>
  </si>
  <si>
    <t>Ravee Jornales</t>
  </si>
  <si>
    <t>John Russel Jornales</t>
  </si>
  <si>
    <t>Alec Kassandra Jornales</t>
  </si>
  <si>
    <t>Angeline Jornales</t>
  </si>
  <si>
    <t>Ruel Jornales</t>
  </si>
  <si>
    <t>ISF-SO-MN-099</t>
  </si>
  <si>
    <t>Jasmine Arceo</t>
  </si>
  <si>
    <t>Hannah Nicole Arceo</t>
  </si>
  <si>
    <t>ISF-SO-MN-103</t>
  </si>
  <si>
    <t>Elvira Ravina (61)</t>
  </si>
  <si>
    <t>Frozen Food Business</t>
  </si>
  <si>
    <t>Dheniel Clyde Ravina</t>
  </si>
  <si>
    <t>Francheska Denise Ravina</t>
  </si>
  <si>
    <t>Dexel Andrei Ravina</t>
  </si>
  <si>
    <t>Elvira Ravina</t>
  </si>
  <si>
    <t>ISF-O2-MN-103</t>
  </si>
  <si>
    <t>Mary Ann Vidal (Heart failure)</t>
  </si>
  <si>
    <t>Mary Ann Vidal</t>
  </si>
  <si>
    <t>Gerry Mae Vidal</t>
  </si>
  <si>
    <t>June Mark Dinguines</t>
  </si>
  <si>
    <r>
      <t>Rafael I</t>
    </r>
    <r>
      <rPr>
        <sz val="10"/>
        <color indexed="8"/>
        <rFont val="Calibri"/>
        <family val="2"/>
      </rPr>
      <t>ñigo Donguines</t>
    </r>
  </si>
  <si>
    <t>ISF-SOB-MN-104</t>
  </si>
  <si>
    <t>Johnny Abeho</t>
  </si>
  <si>
    <t>Carla Jane Abeho</t>
  </si>
  <si>
    <t>John Carlo Abeho</t>
  </si>
  <si>
    <t>ISF-SO-MN-105</t>
  </si>
  <si>
    <t>Adelaida Ramos (71)</t>
  </si>
  <si>
    <t>Adelaida Ramos (??)</t>
  </si>
  <si>
    <t>Richard Ramos</t>
  </si>
  <si>
    <t>Rick Mark Ramos</t>
  </si>
  <si>
    <t>Rick Marcus Ramos</t>
  </si>
  <si>
    <t>Aloha Ramos</t>
  </si>
  <si>
    <t>Danilyn R. Manalil</t>
  </si>
  <si>
    <t>Abigail R. Manalil</t>
  </si>
  <si>
    <t>ISF-SO-MN-106</t>
  </si>
  <si>
    <t>Rogelio Sta. Juana (64)</t>
  </si>
  <si>
    <t>Rogelio Sta. Juana (Assistance to walk)</t>
  </si>
  <si>
    <t>Ronen Sta. Juana</t>
  </si>
  <si>
    <t>Rogelio Sta. Juana</t>
  </si>
  <si>
    <t>ISF-O2-MN-106</t>
  </si>
  <si>
    <t>Marilan Sagum</t>
  </si>
  <si>
    <t>Dylan Sta. Juana</t>
  </si>
  <si>
    <t>Marvin Sta. Juana</t>
  </si>
  <si>
    <t>Rizable Sta. Juana</t>
  </si>
  <si>
    <t>male</t>
  </si>
  <si>
    <t>ISF-O3-MN-106</t>
  </si>
  <si>
    <t>Josephine Sta. Juana</t>
  </si>
  <si>
    <t>Michael Sta. Juana</t>
  </si>
  <si>
    <t>Angelo Sta. Juana</t>
  </si>
  <si>
    <t>Aldrin Sta. Juana</t>
  </si>
  <si>
    <t>Mica Sta. Juana</t>
  </si>
  <si>
    <t>ISF-SO-MN-107A</t>
  </si>
  <si>
    <t>John Kevin Rubio</t>
  </si>
  <si>
    <t>Bet dealer</t>
  </si>
  <si>
    <t>Khaycee Joyce Rubio</t>
  </si>
  <si>
    <t>Khatherine Joyce Rubio</t>
  </si>
  <si>
    <t>Marites Parungao</t>
  </si>
  <si>
    <t>John Jeffrey Antenor</t>
  </si>
  <si>
    <t>Kristine Joyce Antenor</t>
  </si>
  <si>
    <t>Jeffrey Antenor Jr.</t>
  </si>
  <si>
    <t>ISF-SO-MN-107B</t>
  </si>
  <si>
    <t>Sweeper</t>
  </si>
  <si>
    <t>Ma. Concepcion De Jose</t>
  </si>
  <si>
    <t>Sweeper, 4P's</t>
  </si>
  <si>
    <t>ISF-SO-MN-107D</t>
  </si>
  <si>
    <t>Corazon Tiongson (67)</t>
  </si>
  <si>
    <t>Corazon Tiongson (Diabetic)</t>
  </si>
  <si>
    <t>Michael Tiongson</t>
  </si>
  <si>
    <t>Michael Tiongson (Hit with Bullet)</t>
  </si>
  <si>
    <t>ISF-SO-MN-107E</t>
  </si>
  <si>
    <t>Anelia Lorenzo</t>
  </si>
  <si>
    <t>Street Sweeper</t>
  </si>
  <si>
    <t>Arnie Lorenzo</t>
  </si>
  <si>
    <t>Aries Lorenzo</t>
  </si>
  <si>
    <t>Ariel Lorenzo Jr.</t>
  </si>
  <si>
    <t>Lyka Rose Parungao</t>
  </si>
  <si>
    <t>Jomari Encarnacion</t>
  </si>
  <si>
    <t>ISF-SO2-MN-107F</t>
  </si>
  <si>
    <t>Dishwasher</t>
  </si>
  <si>
    <t>Carlo Alejandro</t>
  </si>
  <si>
    <t>Ericka Alejandro</t>
  </si>
  <si>
    <t>ISF-O-MN-107G</t>
  </si>
  <si>
    <t>LG Payot (??)</t>
  </si>
  <si>
    <t>Lorena Heran</t>
  </si>
  <si>
    <t>John Robert Heran</t>
  </si>
  <si>
    <t>Liza Heran</t>
  </si>
  <si>
    <t>LG Payot</t>
  </si>
  <si>
    <t>John Wing Payot</t>
  </si>
  <si>
    <t>ISF-SO-MN-107H</t>
  </si>
  <si>
    <t>Rachell Parungao (??)</t>
  </si>
  <si>
    <t>Street Vendor, 4P's Beneficiaries</t>
  </si>
  <si>
    <t>Angelo Parungao</t>
  </si>
  <si>
    <t>Adrian Parungao</t>
  </si>
  <si>
    <t>Rachell Parungao</t>
  </si>
  <si>
    <t>Reynaldo Parungao Jr.</t>
  </si>
  <si>
    <t>Dearin Parungao</t>
  </si>
  <si>
    <t>Erwin Mendoza</t>
  </si>
  <si>
    <t>ISF-SO-MN-107I</t>
  </si>
  <si>
    <t>Pedicab Driver</t>
  </si>
  <si>
    <t>Josefino Parungao (69)</t>
  </si>
  <si>
    <t>Luningning Aubra</t>
  </si>
  <si>
    <t>4P's Beneficiaries</t>
  </si>
  <si>
    <t>Ryan Jose Parungao</t>
  </si>
  <si>
    <t>Justine Jose Parungao</t>
  </si>
  <si>
    <t>Jasmine Parungao</t>
  </si>
  <si>
    <t>ISF-SO-MN-108</t>
  </si>
  <si>
    <t>Clarita de Vera (67)</t>
  </si>
  <si>
    <t>Oscar Barrozo</t>
  </si>
  <si>
    <t>ISF-O2-MN-108</t>
  </si>
  <si>
    <t>Peregrina De Vera</t>
  </si>
  <si>
    <t>Jeric Brian De Vera</t>
  </si>
  <si>
    <t>ISF-O3-MN-108</t>
  </si>
  <si>
    <t>SO-MN-109</t>
  </si>
  <si>
    <t>Maria Victoria Macapagal</t>
  </si>
  <si>
    <t>Michael Macapagal Jr</t>
  </si>
  <si>
    <t>???</t>
  </si>
  <si>
    <t>Gloria Macapagal</t>
  </si>
  <si>
    <t>Michelle M. Ignacio</t>
  </si>
  <si>
    <t>Teaher</t>
  </si>
  <si>
    <t>Lorenz Ignacio</t>
  </si>
  <si>
    <t>Tana Ignacio</t>
  </si>
  <si>
    <t>ISF-SOB-MN-110</t>
  </si>
  <si>
    <t>Zyra  Capor Pronto</t>
  </si>
  <si>
    <t>Hanin Abdul Carim</t>
  </si>
  <si>
    <t>ISF-SO-MN-111A</t>
  </si>
  <si>
    <t>Florentina Mendoza (68)</t>
  </si>
  <si>
    <t>Florentina Mendoza (Assistance to Walk)</t>
  </si>
  <si>
    <t>Baby Ruth Mendoza</t>
  </si>
  <si>
    <t>Marilyn Mendoza</t>
  </si>
  <si>
    <t>Ernesto Mendoza Jr</t>
  </si>
  <si>
    <t>Techinician on LRT</t>
  </si>
  <si>
    <t>Miley Cae Mendoza</t>
  </si>
  <si>
    <t>Amalia Bulaon</t>
  </si>
  <si>
    <t>Aubrey Bulaon</t>
  </si>
  <si>
    <t>ISF-SOB-MN-112</t>
  </si>
  <si>
    <t>Marife Aguilar</t>
  </si>
  <si>
    <t>Francis Deodora</t>
  </si>
  <si>
    <t>Mark Luis Tamayo</t>
  </si>
  <si>
    <t>Maiu Tamayo</t>
  </si>
  <si>
    <t>Jessa Marie Tamayo</t>
  </si>
  <si>
    <t>Sales Staff</t>
  </si>
  <si>
    <t>Mario Tamayo</t>
  </si>
  <si>
    <t>Marcus Tamayo</t>
  </si>
  <si>
    <t>R2-MN-112</t>
  </si>
  <si>
    <t xml:space="preserve"> Francis Deodora (70)</t>
  </si>
  <si>
    <t>Florencia Deodora (Stroke)</t>
  </si>
  <si>
    <t>Florencia Deodora (?)</t>
  </si>
  <si>
    <t>ISF-SO-MN-113</t>
  </si>
  <si>
    <t>MN-0113</t>
  </si>
  <si>
    <t>Apartment ( Owner)</t>
  </si>
  <si>
    <t>Anxencia Ponce (88)</t>
  </si>
  <si>
    <t>Anxencia Ponce (Stroke-Medical Care)</t>
  </si>
  <si>
    <t>SB-MN-114</t>
  </si>
  <si>
    <t>Enfemia Lu Alfon (80)</t>
  </si>
  <si>
    <t>Ernesto Lu (Assistancce to walk)</t>
  </si>
  <si>
    <t>Marlon Valencio</t>
  </si>
  <si>
    <t>Marlon Ilahi Valencia</t>
  </si>
  <si>
    <t>Jennie Samson Bulaon</t>
  </si>
  <si>
    <t>L-SO-MN-115</t>
  </si>
  <si>
    <t>Africa Garcia (79)</t>
  </si>
  <si>
    <t>Erlina Garcia</t>
  </si>
  <si>
    <t>ISF-SO-MN-116</t>
  </si>
  <si>
    <t>Videoke for rent</t>
  </si>
  <si>
    <t>Gina Meneses</t>
  </si>
  <si>
    <t>Gemma Meneses</t>
  </si>
  <si>
    <t>Arnold Meneses</t>
  </si>
  <si>
    <t>Jesus Meneses</t>
  </si>
  <si>
    <t>Sheena Meneses</t>
  </si>
  <si>
    <t>O3-MN-116</t>
  </si>
  <si>
    <t>Danilo Meneses (63)</t>
  </si>
  <si>
    <t>Lymuel Meneses (?)</t>
  </si>
  <si>
    <t>Edward Meneses</t>
  </si>
  <si>
    <t>Lilia Meneses (62)</t>
  </si>
  <si>
    <t>Lymuel Meneses</t>
  </si>
  <si>
    <t>Daniel Meneses</t>
  </si>
  <si>
    <t>Lilia Meneses</t>
  </si>
  <si>
    <t>O2-MN-116</t>
  </si>
  <si>
    <t>John Christopher Meneses</t>
  </si>
  <si>
    <t>ISF-O-MN0119</t>
  </si>
  <si>
    <t>Eatery/Cateen</t>
  </si>
  <si>
    <t>Christopher Cruz (Meningitis, Ephelepsy)</t>
  </si>
  <si>
    <t>Suzette Cruz</t>
  </si>
  <si>
    <t>ISF-SO-MN-120</t>
  </si>
  <si>
    <t>Nenita Gimenez (Chronic Luekemia)</t>
  </si>
  <si>
    <t>Russel Gimenez</t>
  </si>
  <si>
    <t>Rommel Gimenez</t>
  </si>
  <si>
    <t>Delivery Employee</t>
  </si>
  <si>
    <t>Rhaziel Dane Gimenez</t>
  </si>
  <si>
    <t>Rhaiven James Gimenez</t>
  </si>
  <si>
    <t>ISF-SO2-MN-120B</t>
  </si>
  <si>
    <t>MN-102B</t>
  </si>
  <si>
    <t>Eliser Calanol Gimenez</t>
  </si>
  <si>
    <t>Imelda Sumacre Gimenez</t>
  </si>
  <si>
    <t>A-SB-MN-121</t>
  </si>
  <si>
    <t>Nancy Bongobra</t>
  </si>
  <si>
    <t>Tes Laso</t>
  </si>
  <si>
    <t>ISF-SB-MN-122</t>
  </si>
  <si>
    <t>Josephine Fatalla (Mild Stroke)</t>
  </si>
  <si>
    <t>Jack</t>
  </si>
  <si>
    <t>Edgar</t>
  </si>
  <si>
    <t>ISF-O-MN-122</t>
  </si>
  <si>
    <t>Carol Vicente</t>
  </si>
  <si>
    <t>Prince Jayrol Vicente</t>
  </si>
  <si>
    <t>Josie Mendoza</t>
  </si>
  <si>
    <t>TABLE 1. Affected Cities and Municipalities and Corresponding Barangays</t>
  </si>
  <si>
    <t>Malabon</t>
  </si>
  <si>
    <t>Catmon</t>
  </si>
  <si>
    <t>Cities and Municipalities</t>
  </si>
  <si>
    <t>Barangays</t>
  </si>
  <si>
    <t>Sta. Cruz</t>
  </si>
  <si>
    <t>Malhacan</t>
  </si>
  <si>
    <t>Poblacion</t>
  </si>
  <si>
    <t>14° 38' 34.4"</t>
  </si>
  <si>
    <t>0915-536-3499</t>
  </si>
  <si>
    <t>Marlene Dela Cruz</t>
  </si>
  <si>
    <t>MC-015.1</t>
  </si>
  <si>
    <t>OLD PNR</t>
  </si>
  <si>
    <t>Old PR Compound Catmon Malolos Bulacan</t>
  </si>
  <si>
    <t>14° 51' 15.2"</t>
  </si>
  <si>
    <t>120° 48' 50.2"</t>
  </si>
  <si>
    <t>KM 34+250</t>
  </si>
  <si>
    <t>KM 34+300</t>
  </si>
  <si>
    <t>ROOF: GI, TRUSS: Lumber, WALL: CHB</t>
  </si>
  <si>
    <t>Area=15.84sqm, Aff=15.84sqm</t>
  </si>
  <si>
    <t>MC-017</t>
  </si>
  <si>
    <t>Rivera, John Credo</t>
  </si>
  <si>
    <t>89 Brgy. Catmon Malolos Bulacan</t>
  </si>
  <si>
    <t>Nephew</t>
  </si>
  <si>
    <t>0956-940-3349</t>
  </si>
  <si>
    <t>KM 33+900</t>
  </si>
  <si>
    <t>KM 33+950</t>
  </si>
  <si>
    <t>Manuelito Varilla David</t>
  </si>
  <si>
    <t>Racquel David Rivera (Absentee)</t>
  </si>
  <si>
    <t>GI, Pre-Painted Color Roof</t>
  </si>
  <si>
    <t>Racquel David Rivera</t>
  </si>
  <si>
    <t>Steel Grills/Steel angle bars</t>
  </si>
  <si>
    <t>Wooden, no concrete flooring</t>
  </si>
  <si>
    <t>Nipa/light materials and framig posts</t>
  </si>
  <si>
    <t>AREA: 1.82 0f 4 Compartments, and 3.22 of 8 Compartments</t>
  </si>
  <si>
    <t>Water Tank</t>
  </si>
  <si>
    <t>Rivera, John</t>
  </si>
  <si>
    <t>MC-018-LSO</t>
  </si>
  <si>
    <t>David, Manuelito Varilla</t>
  </si>
  <si>
    <t>17 Paseo Del Congreso Catmon Malolos</t>
  </si>
  <si>
    <t>760-4480</t>
  </si>
  <si>
    <t>0920-271-3248</t>
  </si>
  <si>
    <t>KM 34+000</t>
  </si>
  <si>
    <t>David, Manuelito</t>
  </si>
  <si>
    <t>Manuelito V. David</t>
  </si>
  <si>
    <t>Deep (drilled) well w/ electric motor driven pump</t>
  </si>
  <si>
    <t>MC-019</t>
  </si>
  <si>
    <t>Rentals</t>
  </si>
  <si>
    <t>Brgy and business Permit</t>
  </si>
  <si>
    <t>MC-019-RB</t>
  </si>
  <si>
    <t>Santos, Jane Domingo</t>
  </si>
  <si>
    <t>Malanggam Catmon Malolos Bulacan</t>
  </si>
  <si>
    <t>0933-053-6865</t>
  </si>
  <si>
    <t>Malanggam Malolos Bulacan</t>
  </si>
  <si>
    <t>Pocholo's Mini Mart</t>
  </si>
  <si>
    <t>Abel Sandoval</t>
  </si>
  <si>
    <t>Mini Mart</t>
  </si>
  <si>
    <t>Brgy. Permit and BIR</t>
  </si>
  <si>
    <t>MC-020</t>
  </si>
  <si>
    <t>Bautista, Dolores Tenorio</t>
  </si>
  <si>
    <t>84 Catmon Malolos Bulacan</t>
  </si>
  <si>
    <t>0927-284-2711</t>
  </si>
  <si>
    <t>Baustista, Lorenzo Lopez</t>
  </si>
  <si>
    <t>Baustista, Lorenzo</t>
  </si>
  <si>
    <t>Bautista, Dolores</t>
  </si>
  <si>
    <t>Catmon Malolos Bulacan</t>
  </si>
  <si>
    <t>Julian Tenorio (+)</t>
  </si>
  <si>
    <t>Dolores Bautista</t>
  </si>
  <si>
    <t>Wood/Steel</t>
  </si>
  <si>
    <t>Steel Grills/Angle Steel Bars on CHB and plastered on one side</t>
  </si>
  <si>
    <t>Kitchen/Laundry</t>
  </si>
  <si>
    <t>ROOF: GI of 3-pcs, TRUSS: Wood of 2"x3" of 3-pcs, Steel of 1-pc</t>
  </si>
  <si>
    <t>Dolores (?), Lorenzo(?)</t>
  </si>
  <si>
    <t>MC-021</t>
  </si>
  <si>
    <t>Tenorio, Virginia Avergonzado</t>
  </si>
  <si>
    <t>0943-059-8132</t>
  </si>
  <si>
    <t>KM 33+850</t>
  </si>
  <si>
    <t>Virginia Avergonzado Tenorio</t>
  </si>
  <si>
    <t>Semi-concrete</t>
  </si>
  <si>
    <t>Virgie's Sari-Sari Store</t>
  </si>
  <si>
    <t>Virginia Tenorio</t>
  </si>
  <si>
    <t>Store</t>
  </si>
  <si>
    <t>0923-302-6669</t>
  </si>
  <si>
    <t>Tenorio, Liberty Escarsa</t>
  </si>
  <si>
    <t>Liberty Escarsa Tenorio (Absentee)</t>
  </si>
  <si>
    <t>Villanueva, Mylene Amante</t>
  </si>
  <si>
    <t>84 Looban Catmon Malolos Bulacan</t>
  </si>
  <si>
    <t>0923-466-4502</t>
  </si>
  <si>
    <t>Vergara, Jerrald Hinelo</t>
  </si>
  <si>
    <t>0933-334-0838</t>
  </si>
  <si>
    <t>Mylene Villanueva</t>
  </si>
  <si>
    <t>Roman Cathoic</t>
  </si>
  <si>
    <t>MC-023</t>
  </si>
  <si>
    <t>De Ocera, Erlinda Apostol</t>
  </si>
  <si>
    <t>Catmon, Malolos Bulacan</t>
  </si>
  <si>
    <t>0997-651-5188</t>
  </si>
  <si>
    <t>Piscasio, Alfredo Sanchez</t>
  </si>
  <si>
    <t>KM 33+800</t>
  </si>
  <si>
    <t>Reynaldo Clemente</t>
  </si>
  <si>
    <t>Reynaldo Clemente (Absentee)</t>
  </si>
  <si>
    <t>MC-023-R</t>
  </si>
  <si>
    <t>Piscaso, Alfredo</t>
  </si>
  <si>
    <t>Brgy, Catmon Malolos Bulacan</t>
  </si>
  <si>
    <t>MC-024-SO</t>
  </si>
  <si>
    <t>MC-024</t>
  </si>
  <si>
    <t>Caluag, Jose Clemente</t>
  </si>
  <si>
    <t>Caluag, Jose</t>
  </si>
  <si>
    <t>Jose Caluag</t>
  </si>
  <si>
    <t>Jose(63)</t>
  </si>
  <si>
    <t>MC-025</t>
  </si>
  <si>
    <t>Nialla, Benita Abuan</t>
  </si>
  <si>
    <t>Mother in Law</t>
  </si>
  <si>
    <t>0915-459-7524</t>
  </si>
  <si>
    <t>Nialla, Angellito Sales</t>
  </si>
  <si>
    <t>Nialla, Angelito</t>
  </si>
  <si>
    <t>ROW (Road)</t>
  </si>
  <si>
    <t>Concrete and Steel</t>
  </si>
  <si>
    <t>GI:-10-pcs, Steel Bar:5-pcs, Round bar:5-pcs</t>
  </si>
  <si>
    <t>Benita(?), Angelito(?)</t>
  </si>
  <si>
    <t>MC-026</t>
  </si>
  <si>
    <t>Lopez, Ma. Rosanna Nialla</t>
  </si>
  <si>
    <t>Lopez, Danilo Macatunao</t>
  </si>
  <si>
    <t>Lopez, Danilo</t>
  </si>
  <si>
    <t>Lopez, Ma Roxanna Nialla</t>
  </si>
  <si>
    <t>Tagalog, Ilocano</t>
  </si>
  <si>
    <t>Ma. Rosanna N. Lopez</t>
  </si>
  <si>
    <t>MA. Rosanna Lopez</t>
  </si>
  <si>
    <t>Wood, Coco Lumbeer and Round Bar</t>
  </si>
  <si>
    <t>GI:11-pcs, WOOD:3"x3" 2-pcs, Coco Lumber:2"x3"-4-pcs, Round Bar</t>
  </si>
  <si>
    <t>MC-027</t>
  </si>
  <si>
    <t>Bagtas, Gloria Santos</t>
  </si>
  <si>
    <t>77 Catmon, Malolos Bulacan</t>
  </si>
  <si>
    <t>0927-370-5447</t>
  </si>
  <si>
    <t>Bagtas, Enrique Castillo</t>
  </si>
  <si>
    <t>Gloria Santos Bagtas</t>
  </si>
  <si>
    <t>Joaquin Lagman</t>
  </si>
  <si>
    <t>4x1.5mH CHB, Plastered on one side</t>
  </si>
  <si>
    <t>77 Catmon Malolos Bulacan</t>
  </si>
  <si>
    <t>Gloria Sari-Sari Store</t>
  </si>
  <si>
    <t>(Brgy.Permit)</t>
  </si>
  <si>
    <t>Bagtas, Enrique</t>
  </si>
  <si>
    <t>Myra  Bagtas</t>
  </si>
  <si>
    <t>Myra Bagtas</t>
  </si>
  <si>
    <t>MC-028-R</t>
  </si>
  <si>
    <t>Pruchased</t>
  </si>
  <si>
    <t>MC-029</t>
  </si>
  <si>
    <t>Maximo Morauto Pallen (Absentee)</t>
  </si>
  <si>
    <t>MC-030</t>
  </si>
  <si>
    <t>Avila, Victoria Boncac</t>
  </si>
  <si>
    <t>0917-119-7036</t>
  </si>
  <si>
    <t>Woodd</t>
  </si>
  <si>
    <t>legal-L</t>
  </si>
  <si>
    <t>MC-031</t>
  </si>
  <si>
    <t>Natividad, Lydia Sampana</t>
  </si>
  <si>
    <t>71 Catmon Malolos Bulacan</t>
  </si>
  <si>
    <t>0942-004-1264</t>
  </si>
  <si>
    <t>KM 33+750</t>
  </si>
  <si>
    <t>Virginia Natividad Alibango</t>
  </si>
  <si>
    <t>Virginia Alibango</t>
  </si>
  <si>
    <t>Natividad, Lydia</t>
  </si>
  <si>
    <t>Emergency</t>
  </si>
  <si>
    <t>Lydia Sampana Natividad</t>
  </si>
  <si>
    <t>Lydia Natividad (82)</t>
  </si>
  <si>
    <t>Natividad, Lydia S.</t>
  </si>
  <si>
    <t>Lydia Natividad</t>
  </si>
  <si>
    <t>MC-032</t>
  </si>
  <si>
    <t>Capili, Lolito Sunga</t>
  </si>
  <si>
    <t>Brgy. Catmon Malolos Bulacan</t>
  </si>
  <si>
    <t>0907-369-6811</t>
  </si>
  <si>
    <t>0907-369-6841</t>
  </si>
  <si>
    <t>Capili, Evelyn</t>
  </si>
  <si>
    <t>Pampanga</t>
  </si>
  <si>
    <t>Lolito Capili</t>
  </si>
  <si>
    <t>Bamboo/CocoLumber</t>
  </si>
  <si>
    <t>olito Capili</t>
  </si>
  <si>
    <t>Lilito Capili (61)</t>
  </si>
  <si>
    <t>MC-033</t>
  </si>
  <si>
    <t>Gansan, Conchita Macaron</t>
  </si>
  <si>
    <t>0906-854-7877</t>
  </si>
  <si>
    <t>Pagaduan, Lito Pedrona</t>
  </si>
  <si>
    <t>Pagaduan,Lito Pedrona</t>
  </si>
  <si>
    <t>Cagayan De Oro</t>
  </si>
  <si>
    <t>Rent to Own</t>
  </si>
  <si>
    <t>Lito Pagaduan</t>
  </si>
  <si>
    <t>MC-034-SO</t>
  </si>
  <si>
    <t>MC-034</t>
  </si>
  <si>
    <t>Lappay, Arturo Acorda</t>
  </si>
  <si>
    <t>0933-079-0441</t>
  </si>
  <si>
    <t>Lappay, Arturo</t>
  </si>
  <si>
    <t>Lappay, Irene</t>
  </si>
  <si>
    <t>Arturo Lappay</t>
  </si>
  <si>
    <t>MC-035</t>
  </si>
  <si>
    <t>David, Agusto Santos</t>
  </si>
  <si>
    <t>0918-654-7863</t>
  </si>
  <si>
    <t>Gabihan, Marita</t>
  </si>
  <si>
    <t>Lubao, Pampanga</t>
  </si>
  <si>
    <t>Agusto Santos David</t>
  </si>
  <si>
    <t>Agusto David</t>
  </si>
  <si>
    <t>Agusto (78)</t>
  </si>
  <si>
    <t>MC-036</t>
  </si>
  <si>
    <t>Laroza, Evelyn Mangandi</t>
  </si>
  <si>
    <t>0933-330-1991</t>
  </si>
  <si>
    <t>Laroza, Carlito Pascual</t>
  </si>
  <si>
    <t>Laroza, Carlito</t>
  </si>
  <si>
    <t>MC-037</t>
  </si>
  <si>
    <t>Gabejan, Romeo Jabon</t>
  </si>
  <si>
    <t>Valenzuela St., Catmon Malolos Bulacan</t>
  </si>
  <si>
    <t>0947-576-7124</t>
  </si>
  <si>
    <t>Josefa Roxas/Joaquin Lagman</t>
  </si>
  <si>
    <t>MC-038</t>
  </si>
  <si>
    <t>Jalos, Remedios None</t>
  </si>
  <si>
    <t>0932-544-4921</t>
  </si>
  <si>
    <t>Jalos, Eumarvin Mathew</t>
  </si>
  <si>
    <t>Jalos, Eumarvin</t>
  </si>
  <si>
    <t>0932-544-4981</t>
  </si>
  <si>
    <t>MC-039</t>
  </si>
  <si>
    <t>Milante, Irene Nasarionda</t>
  </si>
  <si>
    <t>0943-847-3475</t>
  </si>
  <si>
    <t>Caluag, Renante Ddela Torre</t>
  </si>
  <si>
    <t>Caluag, Renante</t>
  </si>
  <si>
    <t>Milante, Irene</t>
  </si>
  <si>
    <t>Bamboo/Coco Lumber</t>
  </si>
  <si>
    <t>MC-040</t>
  </si>
  <si>
    <t>Lagman, Gracia Mateo</t>
  </si>
  <si>
    <t>27 Paseo Del Congres Catmon Malolos Bulacan</t>
  </si>
  <si>
    <t>791-6015</t>
  </si>
  <si>
    <t>Lagman, Joaquin Roxas</t>
  </si>
  <si>
    <t>Lagman, Joaquin</t>
  </si>
  <si>
    <t>Gracia Mateo Lagman</t>
  </si>
  <si>
    <t>Cycone wire with 4x.5mH CHB, Plastered n both side</t>
  </si>
  <si>
    <t>MC-041</t>
  </si>
  <si>
    <t>Lopez, Ma. Regina Rivera</t>
  </si>
  <si>
    <t>I Amethyst St., Capitol Vieew Park Subd Malolos Bulacan</t>
  </si>
  <si>
    <t>0917-812-2635</t>
  </si>
  <si>
    <t>Lopez, Orlando Herrera</t>
  </si>
  <si>
    <t>KM 34+600</t>
  </si>
  <si>
    <t>KM 34+650</t>
  </si>
  <si>
    <t>Pawa, Suresh Kumar</t>
  </si>
  <si>
    <t>Ma. Feliza Rivera</t>
  </si>
  <si>
    <t>MC-043</t>
  </si>
  <si>
    <t>I Amethyst St., Capitol View Park Bulihan Malolos Bulacan</t>
  </si>
  <si>
    <t>Emmanuel Rivera</t>
  </si>
  <si>
    <t>Cyclone Wire</t>
  </si>
  <si>
    <t>MC-044</t>
  </si>
  <si>
    <t>Ma. Theresa Rivera</t>
  </si>
  <si>
    <t>4x1.5mH CHB, Platered on One side/no plaster</t>
  </si>
  <si>
    <t>MC-009.1</t>
  </si>
  <si>
    <t>Dela Cruz, Belen Mercado</t>
  </si>
  <si>
    <t>KM 34+400</t>
  </si>
  <si>
    <t>KM 34+450</t>
  </si>
  <si>
    <t>Dela Cruz, Christine Gadrino</t>
  </si>
  <si>
    <t>Wood/Good Lumber</t>
  </si>
  <si>
    <t>Joselito Dela Cruz</t>
  </si>
  <si>
    <t>Bedspace Renting</t>
  </si>
  <si>
    <t>Christine Gadrino Dela Cruz</t>
  </si>
  <si>
    <t>Belen Dela Cruz</t>
  </si>
  <si>
    <t>Maureen Batumbakal</t>
  </si>
  <si>
    <t>Sophia Batumbakal</t>
  </si>
  <si>
    <t>Belen Dela Cruz (80)</t>
  </si>
  <si>
    <t>Total Area (sqm)</t>
  </si>
  <si>
    <t>WALL: Concrete CHB, :TRUSS: Good Lumber, ROOF: GI</t>
  </si>
  <si>
    <t>MC-009.1-LSOO</t>
  </si>
  <si>
    <t>MC-009-LD-SOO</t>
  </si>
  <si>
    <t>0.8"x1.2"</t>
  </si>
  <si>
    <t>0922-636-5801</t>
  </si>
  <si>
    <t>Inosanto, Elenita</t>
  </si>
  <si>
    <t>0.8"x1.1"</t>
  </si>
  <si>
    <t>2012 Garnet St., CVP, Bulihan, Malolos Bulacan</t>
  </si>
  <si>
    <t>Pinto, Ailene De Vera</t>
  </si>
  <si>
    <t>0936-119-5241</t>
  </si>
  <si>
    <t>Pinto, Joseph Ulep</t>
  </si>
  <si>
    <t>14° 51' 15.8"</t>
  </si>
  <si>
    <t>120° 48' 49.6"</t>
  </si>
  <si>
    <t>KM 34+4500</t>
  </si>
  <si>
    <t>Jeffrey Ponce (VC-042)</t>
  </si>
  <si>
    <t>Corazon Paguirigan</t>
  </si>
  <si>
    <t xml:space="preserve">Ervin Drice </t>
  </si>
  <si>
    <t>Flotareo Alvarez</t>
  </si>
  <si>
    <t>Rosario Estuaria</t>
  </si>
  <si>
    <t>Pepito Mallari</t>
  </si>
  <si>
    <t>Rosalie Reyes (MN-030-ISF-SH)</t>
  </si>
  <si>
    <t>Sonny Obligado</t>
  </si>
  <si>
    <t>Marianne Manuel (MN-046-SOO)</t>
  </si>
  <si>
    <t>Evelyn Jacinto (MN-086)</t>
  </si>
  <si>
    <t>Danilo Meneses (MN-116)</t>
  </si>
  <si>
    <t>Benjamin Lobetaña</t>
  </si>
  <si>
    <t>Jenna Angeles</t>
  </si>
  <si>
    <r>
      <t>Rochelle Acu</t>
    </r>
    <r>
      <rPr>
        <sz val="10"/>
        <color indexed="8"/>
        <rFont val="Calibri"/>
        <family val="2"/>
      </rPr>
      <t>ña</t>
    </r>
  </si>
  <si>
    <t>JM Acuña</t>
  </si>
  <si>
    <t>Thridy Acuña</t>
  </si>
  <si>
    <t>Antonio  Acuña</t>
  </si>
  <si>
    <t>single</t>
  </si>
  <si>
    <t>Antonio Lapuz (60)</t>
  </si>
  <si>
    <r>
      <t xml:space="preserve">Mercelita </t>
    </r>
    <r>
      <rPr>
        <sz val="10"/>
        <color indexed="8"/>
        <rFont val="Calibri"/>
        <family val="2"/>
      </rPr>
      <t>Ticar</t>
    </r>
  </si>
  <si>
    <t>Jomel Manon-og</t>
  </si>
  <si>
    <t>Rowena Alvarez</t>
  </si>
  <si>
    <t>Joanna Rose  Alvarez</t>
  </si>
  <si>
    <t>Mary Ruth  Alvarez</t>
  </si>
  <si>
    <t>Flordliza  Alvarez</t>
  </si>
  <si>
    <t>Emanue Misajol</t>
  </si>
  <si>
    <t>Angelika  Alvarez</t>
  </si>
  <si>
    <t>Joshua  Alvarez</t>
  </si>
  <si>
    <t>Lovely Cyril  Alvarez</t>
  </si>
  <si>
    <t>Blessy Joy  Alvarez</t>
  </si>
  <si>
    <t>MJ  Alvarez</t>
  </si>
  <si>
    <t>Thalia Francesca Lim</t>
  </si>
  <si>
    <t>Singer</t>
  </si>
  <si>
    <t>Ass.Def</t>
  </si>
  <si>
    <t>Rosette Estuaria</t>
  </si>
  <si>
    <t>Rowena Estuaria</t>
  </si>
  <si>
    <t>Rental and Pension</t>
  </si>
  <si>
    <t>Mercedes Perez Jose</t>
  </si>
  <si>
    <t>Secretary  (employee)</t>
  </si>
  <si>
    <t>Electrician  (employee)</t>
  </si>
  <si>
    <t>Foreman (employee)</t>
  </si>
  <si>
    <t>Carpenter (employee)</t>
  </si>
  <si>
    <t>Furniture Maker (micro)</t>
  </si>
  <si>
    <t>Toyota Sales (employee)</t>
  </si>
  <si>
    <t>Accountant (employee)</t>
  </si>
  <si>
    <t>Sales Lady (employee)</t>
  </si>
  <si>
    <t>Direct Seller (micro)</t>
  </si>
  <si>
    <t>Printing Operator  (employee)</t>
  </si>
  <si>
    <t>NO</t>
  </si>
  <si>
    <t>Benjamin Panoy Jr (CA-032)</t>
  </si>
  <si>
    <t>Operator</t>
  </si>
  <si>
    <t>Jalain Paguirigan (CA-162B)</t>
  </si>
  <si>
    <t>Sammy Pasion (VC-014)</t>
  </si>
  <si>
    <t>Yolanda Obligado</t>
  </si>
  <si>
    <t>Cryle Rose Obligado</t>
  </si>
  <si>
    <t>Ken John Obligado</t>
  </si>
  <si>
    <t>Brgy. Chairman, Room for Rent (Owner)</t>
  </si>
  <si>
    <t>Yolanda Obligado (62)</t>
  </si>
  <si>
    <t>MN-036-CTBO</t>
  </si>
  <si>
    <t>Maningding, Arthur Eusebio</t>
  </si>
  <si>
    <t>14° 37' 15.8"</t>
  </si>
  <si>
    <t>120° 58' 23.1"</t>
  </si>
  <si>
    <t>Maningding, Arthur</t>
  </si>
  <si>
    <t>Bayani Talastasin Maningding (ABSENTEE)</t>
  </si>
  <si>
    <t>Bayani Maningding</t>
  </si>
  <si>
    <t>ISF-SO-MN-107C</t>
  </si>
  <si>
    <t>14° 49' 52.2"</t>
  </si>
  <si>
    <t>120° 53' 24.9"</t>
  </si>
  <si>
    <t>KM 25+400</t>
  </si>
  <si>
    <t>KM 25+450</t>
  </si>
  <si>
    <t>Manuel/Eleanor Dela Cruz</t>
  </si>
  <si>
    <t>Coco umber</t>
  </si>
  <si>
    <t>MY-030-B</t>
  </si>
  <si>
    <t>MY-030</t>
  </si>
  <si>
    <t>Sta. Cruz Malhacan Meycauayan Bulacan</t>
  </si>
  <si>
    <t>14° 43' 19.5"</t>
  </si>
  <si>
    <t>KM 12+100</t>
  </si>
  <si>
    <t>KM 12+150</t>
  </si>
  <si>
    <t>120° 57' 47.9"</t>
  </si>
  <si>
    <t>VC-105.1</t>
  </si>
  <si>
    <t>Bereber, Erlinda Lumio</t>
  </si>
  <si>
    <t>A-7 Terras Cmpd., Karuhatan Valenzuela City</t>
  </si>
  <si>
    <t>0947-580-2427</t>
  </si>
  <si>
    <t>Bereber, Alfonso Alba</t>
  </si>
  <si>
    <t>14° 47' 10.6"</t>
  </si>
  <si>
    <t>120° 58' 06.3"</t>
  </si>
  <si>
    <t>Alfonso Bereber</t>
  </si>
  <si>
    <t>&gt; than 20%</t>
  </si>
  <si>
    <t>ROOF: GI of 5-pcs, TRUSS:2"x3" of 12-pcs</t>
  </si>
  <si>
    <t>&lt; than 50%</t>
  </si>
  <si>
    <t>MC-015.2</t>
  </si>
  <si>
    <t>Old PNR, Cmpd., Brgy. Catmon Malolos Bulacan</t>
  </si>
  <si>
    <t>14° 51' 14.7"</t>
  </si>
  <si>
    <t>120° 48' 50.9"</t>
  </si>
  <si>
    <t>MC-015.3</t>
  </si>
  <si>
    <t>(OLD PNR)</t>
  </si>
  <si>
    <t>14° 51' 13.9"</t>
  </si>
  <si>
    <t>120° 48' 15.3"</t>
  </si>
  <si>
    <t>KM 34+200</t>
  </si>
  <si>
    <t>Fabiala, Pedro</t>
  </si>
  <si>
    <t>Fabiala, Pedro Epino</t>
  </si>
  <si>
    <t>0955-540-2903</t>
  </si>
  <si>
    <t>Pedro Fabiala</t>
  </si>
  <si>
    <t>Proximity to School</t>
  </si>
  <si>
    <t>Own Idea</t>
  </si>
  <si>
    <t>Laila Licaros</t>
  </si>
  <si>
    <t xml:space="preserve">Trisha Mae Fabiala </t>
  </si>
  <si>
    <t>Aaron Fabiala</t>
  </si>
  <si>
    <t>Ivan Fabiala</t>
  </si>
  <si>
    <t>Cortan, Sonny Cabagnan</t>
  </si>
  <si>
    <t>San Isidro, Malinta Valenzuela City</t>
  </si>
  <si>
    <t>0907-488-7958</t>
  </si>
  <si>
    <t>Cortan, Sonny</t>
  </si>
  <si>
    <t>Bambang, Caloocan</t>
  </si>
  <si>
    <t>Flor Pamatian</t>
  </si>
  <si>
    <t>Sunny Cortan</t>
  </si>
  <si>
    <t>VC-028-ISF-R</t>
  </si>
  <si>
    <t>VC-028-ISF-R2</t>
  </si>
  <si>
    <t>72 San Isidro, Malinta Valenzuela City</t>
  </si>
  <si>
    <t>0930-886-4090</t>
  </si>
  <si>
    <t>Proximity to livelihood, Affordable Rental Fee</t>
  </si>
  <si>
    <t>Michael Dela Cruz</t>
  </si>
  <si>
    <t>Owned Idea</t>
  </si>
  <si>
    <t>Jocelyn Leon</t>
  </si>
  <si>
    <t>Leon, Jocelyn Alonan</t>
  </si>
  <si>
    <t>Villanroque, Hernani</t>
  </si>
  <si>
    <t>0946-494-97-27</t>
  </si>
  <si>
    <t>Hernani Villanroque</t>
  </si>
  <si>
    <t>Jimmy Villanroque</t>
  </si>
  <si>
    <t>Hernani Villanroque (66)</t>
  </si>
  <si>
    <t>VC-028-ISF-CO</t>
  </si>
  <si>
    <t>Casipong, Helberto Nacua</t>
  </si>
  <si>
    <t>Casipong, Helberto</t>
  </si>
  <si>
    <t>0920-560-2719</t>
  </si>
  <si>
    <t>Illongo</t>
  </si>
  <si>
    <t>TABLE 2. Comparison on the Number of Affected Barangay</t>
  </si>
  <si>
    <t>LGUs</t>
  </si>
  <si>
    <t>2015 Alignment</t>
  </si>
  <si>
    <t>2017 Alignment</t>
  </si>
  <si>
    <t>Differrence</t>
  </si>
  <si>
    <t>KM 0+702</t>
  </si>
  <si>
    <t>KM 0+800</t>
  </si>
  <si>
    <t>Fidelity Steel Company</t>
  </si>
  <si>
    <t>4x1.5mH CHB, Plastered on one side/no plastered</t>
  </si>
  <si>
    <t>172 Mabini St., Maypajo Caloocan City</t>
  </si>
  <si>
    <t>CA-42.1-ISF-SBOO</t>
  </si>
  <si>
    <t>CA-142.1</t>
  </si>
  <si>
    <t>Baldoz, Myleen Ramil</t>
  </si>
  <si>
    <t>435 C. Namie St., Brgy.25 Caloocan City</t>
  </si>
  <si>
    <t>0936-676-132</t>
  </si>
  <si>
    <t>Lerio, Restie Valderamas</t>
  </si>
  <si>
    <t>14° 38' 28.5"</t>
  </si>
  <si>
    <t>120° 58' 36.9"</t>
  </si>
  <si>
    <t>KM 0+700</t>
  </si>
  <si>
    <t>KM 0+750</t>
  </si>
  <si>
    <t>Lerio, Reste</t>
  </si>
  <si>
    <t>Balduz, Meleen Ramil</t>
  </si>
  <si>
    <t>Reste Lerio</t>
  </si>
  <si>
    <t>Retse Lerio</t>
  </si>
  <si>
    <t>Bamboo/wood</t>
  </si>
  <si>
    <t>For Renewaland Construction of House</t>
  </si>
  <si>
    <t>435C.Nmie St., Brgy.25 Caloocan City</t>
  </si>
  <si>
    <t>Myleen Baldoz</t>
  </si>
  <si>
    <t>Sari-Sari Store/Canteen</t>
  </si>
  <si>
    <t>Restie Lerio</t>
  </si>
  <si>
    <t>CA-142.2-ISF-SXO</t>
  </si>
  <si>
    <t>CA-142.2</t>
  </si>
  <si>
    <t>14° 38' 28.7"</t>
  </si>
  <si>
    <t>120° 58' 36.6"</t>
  </si>
  <si>
    <t>KM 0+650</t>
  </si>
  <si>
    <t>Marilou Aguilar</t>
  </si>
  <si>
    <t>Cayetano, Liwayway Tordesillas</t>
  </si>
  <si>
    <t>Cayetano, Reynante</t>
  </si>
  <si>
    <t>0927-254-2901</t>
  </si>
  <si>
    <t>Private/ROW(PNR)</t>
  </si>
  <si>
    <t>Reynante Cayetano</t>
  </si>
  <si>
    <t>39 Magtanggol St., Brgy.29 Zone.3 Caloocan City</t>
  </si>
  <si>
    <t>14° 38' 27.6"</t>
  </si>
  <si>
    <t>120° 58' 36.8"</t>
  </si>
  <si>
    <t>Vacaro, Serafin</t>
  </si>
  <si>
    <t>Barbed/Hog wire</t>
  </si>
  <si>
    <t>Stair and Open space</t>
  </si>
  <si>
    <t>STAIR: Good Lumber and GI Sheet, OPEN SPACE: Concrete floor</t>
  </si>
  <si>
    <t>David, Florita Batulan</t>
  </si>
  <si>
    <t>Barangay 29 (LGU)</t>
  </si>
  <si>
    <t>Brgy.29 (LGU)</t>
  </si>
  <si>
    <t>Area=64-sqm, Aff=64-sqm</t>
  </si>
  <si>
    <t>KM 0+600</t>
  </si>
  <si>
    <t>Open</t>
  </si>
  <si>
    <t>4" slab Thickness</t>
  </si>
  <si>
    <t>Sadiaza, Ryan Seguis</t>
  </si>
  <si>
    <t>227 Magtanggol St., Brgy.29 Caloocan City</t>
  </si>
  <si>
    <t>120° 58' 37.3"</t>
  </si>
  <si>
    <t>Sadiaza, Ryan</t>
  </si>
  <si>
    <t>0919-329-1588</t>
  </si>
  <si>
    <t>Roxas, Norida</t>
  </si>
  <si>
    <t>6-10 years</t>
  </si>
  <si>
    <t>Ryan Seguis Sadiaza</t>
  </si>
  <si>
    <t>Don’t Remember</t>
  </si>
  <si>
    <t>CA-148.2-ISF-SOO</t>
  </si>
  <si>
    <t>Rimorin, Erlinda Enriquez</t>
  </si>
  <si>
    <t>174 Magtanggol St., Brgy.29 Maypajo Caloocan City</t>
  </si>
  <si>
    <t>Rimorin, Joel Buado</t>
  </si>
  <si>
    <t>14° 38' 26.4"</t>
  </si>
  <si>
    <t>Rimorin, Joel</t>
  </si>
  <si>
    <t>0905-227-4760</t>
  </si>
  <si>
    <t>20%  &lt; than 50%</t>
  </si>
  <si>
    <t>Joel Buado Rimorin</t>
  </si>
  <si>
    <t>Rights</t>
  </si>
  <si>
    <t>Wanted by her Mother in law</t>
  </si>
  <si>
    <t>CA-148.3-ISF-SOO</t>
  </si>
  <si>
    <t>CA-148.3</t>
  </si>
  <si>
    <t>Centino Jr, Arcadio Flamiano</t>
  </si>
  <si>
    <t>173 Magtanggol St., Brgy.29 Maypajo Caloocan City</t>
  </si>
  <si>
    <t>Caretaker/Bishop</t>
  </si>
  <si>
    <t>14° 38' 25.3"</t>
  </si>
  <si>
    <t>120° 58' 37.4"</t>
  </si>
  <si>
    <t>CHAPEL c/o Arcadio F. Centeno Jr</t>
  </si>
  <si>
    <t>One/bungalow</t>
  </si>
  <si>
    <t>Donated/Constructed</t>
  </si>
  <si>
    <t>Spiritual Filipino Catholic Church</t>
  </si>
  <si>
    <t>Centino, Arcadio Flamiano</t>
  </si>
  <si>
    <t>CA-148.4-ISF-SOO</t>
  </si>
  <si>
    <t>Macaluwa, Meralda Cayamba</t>
  </si>
  <si>
    <t>0928-679-5822</t>
  </si>
  <si>
    <t>14° 38' 25.10"</t>
  </si>
  <si>
    <t>Centino Jr, Arcadio</t>
  </si>
  <si>
    <t>0920-871-6458</t>
  </si>
  <si>
    <t xml:space="preserve">More than 15 </t>
  </si>
  <si>
    <t>Arcadio Centino Flamino Jr</t>
  </si>
  <si>
    <t>No Proper House</t>
  </si>
  <si>
    <t>CA-148.4-ISF-SH</t>
  </si>
  <si>
    <t>Alinea, Rosal Dela Cruz</t>
  </si>
  <si>
    <t>0922-967-9083</t>
  </si>
  <si>
    <t>Alinea, Jumer Jose Dela Cruz</t>
  </si>
  <si>
    <t>Alinea, Jumer Jose</t>
  </si>
  <si>
    <t>173 Magtanggol St., Brgy.29 Caloocan City</t>
  </si>
  <si>
    <t>287-9758</t>
  </si>
  <si>
    <t>14° 38' 25.9"</t>
  </si>
  <si>
    <t>120° 58' 37.6"</t>
  </si>
  <si>
    <t>Andaya, Famore Delgado</t>
  </si>
  <si>
    <t>0917-404-2980</t>
  </si>
  <si>
    <t>Andaya, Famore</t>
  </si>
  <si>
    <t>Jolampong, Roxane</t>
  </si>
  <si>
    <t>1-3 rys</t>
  </si>
  <si>
    <t>Jovel Rimorin</t>
  </si>
  <si>
    <t>To Own a House</t>
  </si>
  <si>
    <t>CA-148.6-ISF-SXA</t>
  </si>
  <si>
    <t>CA-148.6</t>
  </si>
  <si>
    <t>148 A. Mabini St., Brgy.29 Caloocan City</t>
  </si>
  <si>
    <t>Celestino, Nyraida Cascano</t>
  </si>
  <si>
    <t>14° 38' 25.0"</t>
  </si>
  <si>
    <t>Nyraida Lascano Celestino</t>
  </si>
  <si>
    <t>John Ray De Guzman</t>
  </si>
  <si>
    <t>Nyraida Lascano Celestino (Absentee)</t>
  </si>
  <si>
    <t>0919-287-4561</t>
  </si>
  <si>
    <t>Masmbong, Quezon City</t>
  </si>
  <si>
    <t>Arellano, Francisco Donque</t>
  </si>
  <si>
    <t>204 Magtanggol St., Brgy.29 Caloocan City</t>
  </si>
  <si>
    <t>0949-860-5453</t>
  </si>
  <si>
    <t>Arelln, Francisco Donque</t>
  </si>
  <si>
    <t>14° 38' 24.7"</t>
  </si>
  <si>
    <t>Arellano, Francisco</t>
  </si>
  <si>
    <t>0949-869-5453</t>
  </si>
  <si>
    <t>Jarloc, Marie Fe Cilao</t>
  </si>
  <si>
    <t>Francisco D. Arellano</t>
  </si>
  <si>
    <t>Barbed/Hog Wire</t>
  </si>
  <si>
    <t>Cabangon, Jose Danilo Edic</t>
  </si>
  <si>
    <t>KM 0+550</t>
  </si>
  <si>
    <t>CA-149-ISF-SH</t>
  </si>
  <si>
    <t>Rosaroso, Maricar Labitoria</t>
  </si>
  <si>
    <t>205 Magtanggol St., Brgy.29 Caloocan City</t>
  </si>
  <si>
    <t>Regachuelo, Joseph Relucio</t>
  </si>
  <si>
    <t>Regachuelo, Joseph</t>
  </si>
  <si>
    <t>Rimorin, Lolita Buado</t>
  </si>
  <si>
    <t>Rimorin, Carlos</t>
  </si>
  <si>
    <t>WALL:GI sheet, POST:2"x2"</t>
  </si>
  <si>
    <t>A.T=11.44sqm; Aff.A=11.44sqm</t>
  </si>
  <si>
    <t>Lolita Rimorin</t>
  </si>
  <si>
    <t>CA-150.1-ISF-SXO</t>
  </si>
  <si>
    <t>CA-150.1</t>
  </si>
  <si>
    <t>Arelano, Darwin Del Rosario</t>
  </si>
  <si>
    <t>Magtanggol St., Brgy.29 Caloocan City</t>
  </si>
  <si>
    <t>Arellano, Ramon Dunque</t>
  </si>
  <si>
    <t>14° 38' 24.2"</t>
  </si>
  <si>
    <t>120° 58' 37.5"</t>
  </si>
  <si>
    <t>Arellano, Darwin</t>
  </si>
  <si>
    <t>Darwin Arellano</t>
  </si>
  <si>
    <t>Bamboo/wood and Marine Plywood</t>
  </si>
  <si>
    <t>Steel Farme with GI Sheet of 6-pcs</t>
  </si>
  <si>
    <t>Area=11.4sqm, Aff=9.69sqm</t>
  </si>
  <si>
    <t>CA-150.2-ISF-SXO</t>
  </si>
  <si>
    <t>CA-150.2</t>
  </si>
  <si>
    <t>Purqued, Sonia Bautista</t>
  </si>
  <si>
    <t>Purqued, Henry Bautista</t>
  </si>
  <si>
    <t>14° 38' 24.1"</t>
  </si>
  <si>
    <t>Purqued, Henry</t>
  </si>
  <si>
    <t>0939-556-4050</t>
  </si>
  <si>
    <t>Sonia Bautista Purqued</t>
  </si>
  <si>
    <t>WALL:GI sheet of 8-pcs, POST:Wood of 2"x3" of 4-pcs</t>
  </si>
  <si>
    <t>Area=12.88sqm, Aff=11.76sqm</t>
  </si>
  <si>
    <t>CA-150.3-ISF-SXO</t>
  </si>
  <si>
    <t>CA-150.3</t>
  </si>
  <si>
    <t>Magdahong, Ernesto Benedicto</t>
  </si>
  <si>
    <t>252 L. Lupa St., Brgy.32 Maypajo Caloocan City</t>
  </si>
  <si>
    <t>285-4962</t>
  </si>
  <si>
    <t>14° 38' 24.4"</t>
  </si>
  <si>
    <t>Magdahong, Ernesto</t>
  </si>
  <si>
    <t>252 L. Luna St., Brgy.32 Maypajo Caloocan City</t>
  </si>
  <si>
    <t>Ernesto B. Magdahong</t>
  </si>
  <si>
    <t>FLOOR: Concrete of 0.10m Thick</t>
  </si>
  <si>
    <t>Area=23.29sqm, Aff=11.645sqm</t>
  </si>
  <si>
    <t>Concepcion Jr, Almario Agapito</t>
  </si>
  <si>
    <t>319 L. Lupa Brgy.32 May pajo Caloocan City</t>
  </si>
  <si>
    <t>KM 0+450</t>
  </si>
  <si>
    <t>KM 0+500</t>
  </si>
  <si>
    <t>Concepcion Jr, Almario</t>
  </si>
  <si>
    <t>319 L. Lupa Brgy.32 Maypajo Caloocan City</t>
  </si>
  <si>
    <t>Almario A. Concepcion Jr</t>
  </si>
  <si>
    <t>CA-151.1-ISF-SXO</t>
  </si>
  <si>
    <t>CA-151.1</t>
  </si>
  <si>
    <t>Sarte, Prescellano Intong</t>
  </si>
  <si>
    <t>309 L. Lupa Brgy.32 May pajo Caloocan City</t>
  </si>
  <si>
    <t>0942-028-8801</t>
  </si>
  <si>
    <t>14° 38' 21.0"</t>
  </si>
  <si>
    <t>120° 58' 37.8"</t>
  </si>
  <si>
    <t>Sarte, Precellano</t>
  </si>
  <si>
    <t>Sarte, Madlyn Advincula</t>
  </si>
  <si>
    <t>Prescellano Intong Sarte</t>
  </si>
  <si>
    <t>Steel Matic</t>
  </si>
  <si>
    <t>Blue Rail Gaming Station</t>
  </si>
  <si>
    <t>Michael Maestre</t>
  </si>
  <si>
    <t>Compuetr Shop</t>
  </si>
  <si>
    <t>DTI and Brgy. Permit</t>
  </si>
  <si>
    <t>CA-151.2-ISF-SXO</t>
  </si>
  <si>
    <t>CA-151.2</t>
  </si>
  <si>
    <t>313 L. Lupa Brgy.32 May pajo Caloocan City</t>
  </si>
  <si>
    <t>0915-392-5860</t>
  </si>
  <si>
    <t>14° 38' 20.5"</t>
  </si>
  <si>
    <t>Cervantes, Cecilia</t>
  </si>
  <si>
    <t>Cecilia T. Cervantes</t>
  </si>
  <si>
    <t>Cecilia Cervantes (62)</t>
  </si>
  <si>
    <t>Delgado, Cesar</t>
  </si>
  <si>
    <t>0939-806-4491</t>
  </si>
  <si>
    <t>Delgado, Alice Mntejo</t>
  </si>
  <si>
    <t>Drice, Elizbeth</t>
  </si>
  <si>
    <t>Elizabeth Drice</t>
  </si>
  <si>
    <t>Robert Drice</t>
  </si>
  <si>
    <t>Christopher Motrenez</t>
  </si>
  <si>
    <t>to Own a House</t>
  </si>
  <si>
    <t>Family tie</t>
  </si>
  <si>
    <t>Helberto Casipong</t>
  </si>
  <si>
    <t>Helen Pamatian (ABSENTEE)</t>
  </si>
  <si>
    <t>Frederick Naguret</t>
  </si>
  <si>
    <t>VC-103-ISF-SOO</t>
  </si>
  <si>
    <t>Melanio D. Agnas</t>
  </si>
  <si>
    <t>Balanan, Rosita</t>
  </si>
  <si>
    <t>Cabigas, Francisca</t>
  </si>
  <si>
    <t>Cabigas, Victor Asuncion</t>
  </si>
  <si>
    <t>Purification Enrile</t>
  </si>
  <si>
    <t>Victor Cabigas</t>
  </si>
  <si>
    <t>VC-107-ISF-SOO</t>
  </si>
  <si>
    <t>Duzon, Norberto Arre</t>
  </si>
  <si>
    <t>0942-605-3808</t>
  </si>
  <si>
    <t>Duzon, Norberto</t>
  </si>
  <si>
    <t>Lugo, Ferdinand</t>
  </si>
  <si>
    <t>Badilla, Consolacion F</t>
  </si>
  <si>
    <t>Affordable Retal Fee</t>
  </si>
  <si>
    <t>Ronald Abas (ABSENTEE)</t>
  </si>
  <si>
    <t>KM 2+050</t>
  </si>
  <si>
    <t>KM 2+150</t>
  </si>
  <si>
    <t>Pre-painted Color Roof</t>
  </si>
  <si>
    <t>CA-003-LL-SO-Inst</t>
  </si>
  <si>
    <t>Martinez, Renato</t>
  </si>
  <si>
    <t>One Storey</t>
  </si>
  <si>
    <t>KM 1+850</t>
  </si>
  <si>
    <t>KM 1+950</t>
  </si>
  <si>
    <t>14 P. Burgis St.,10th Ave. Daang Bakal, Brgy.15 Caloocan City</t>
  </si>
  <si>
    <t>Sayson, Mak James Villamante</t>
  </si>
  <si>
    <t>PNR (Sub-STATION)</t>
  </si>
  <si>
    <t>Joselito Crioz Cogay</t>
  </si>
  <si>
    <t>Eupheria Lu Alfonso</t>
  </si>
  <si>
    <t>Imelda Lu</t>
  </si>
  <si>
    <t>Elesio Lu</t>
  </si>
  <si>
    <t>Evelyn Lu</t>
  </si>
  <si>
    <t>Elizabeth Lu</t>
  </si>
  <si>
    <t>Jesus Alfonso</t>
  </si>
  <si>
    <t>Joan Alfonso</t>
  </si>
  <si>
    <t>Phillip Alfonso</t>
  </si>
  <si>
    <t>Josephina Lu</t>
  </si>
  <si>
    <t>Bulaon, Jennie Samson</t>
  </si>
  <si>
    <t>Suzette Cruz (Hearing Problem)</t>
  </si>
  <si>
    <t>MN-120A</t>
  </si>
  <si>
    <t>Alvarez,Flotarco</t>
  </si>
  <si>
    <t>Reyes, Romeo</t>
  </si>
  <si>
    <t>244-2529</t>
  </si>
  <si>
    <t>Claypee Taymi</t>
  </si>
  <si>
    <t>Jorelle Taymi</t>
  </si>
  <si>
    <t>KM 36+600</t>
  </si>
  <si>
    <t>KM 36+650</t>
  </si>
  <si>
    <t>Enrique Reyes</t>
  </si>
  <si>
    <t>Rowena Reyes</t>
  </si>
  <si>
    <t>Erjohn Reyes</t>
  </si>
  <si>
    <t>Jonalyn Reyes</t>
  </si>
  <si>
    <t>Erjordan Reyes</t>
  </si>
  <si>
    <t>Regina Jean Babiano</t>
  </si>
  <si>
    <t>MN-035-R</t>
  </si>
  <si>
    <t>Rialyn Babiano</t>
  </si>
  <si>
    <t>Royce Jean Babiano</t>
  </si>
  <si>
    <t>Rejienald Babiano</t>
  </si>
  <si>
    <t>Ashley Mae Babiano</t>
  </si>
  <si>
    <t>Raymart Pascua</t>
  </si>
  <si>
    <t>Krishanelle Pascua</t>
  </si>
  <si>
    <t>Kleah Pascua</t>
  </si>
  <si>
    <t>NorthVille 7, Brgy.Malis, Guiguinto Bulacan</t>
  </si>
  <si>
    <t>Unknown site</t>
  </si>
  <si>
    <t>MN-040-ISF-SOO</t>
  </si>
  <si>
    <t>Lavarias, Rhainier Angelo Figueroa</t>
  </si>
  <si>
    <t>Rhainier's Computer Shop</t>
  </si>
  <si>
    <t>Cherry Amor Centeno</t>
  </si>
  <si>
    <t>ISF-SO-MN-044</t>
  </si>
  <si>
    <t>Miguel Sampaga</t>
  </si>
  <si>
    <t>Mac Jay Magkulintas</t>
  </si>
  <si>
    <t>Emily Figueroa</t>
  </si>
  <si>
    <t>Jennalyn  Figueroa</t>
  </si>
  <si>
    <t>Jamie  Figueroa</t>
  </si>
  <si>
    <t>Joyce Ann  Figueroa</t>
  </si>
  <si>
    <t>Janina  Figueroa</t>
  </si>
  <si>
    <t>Darryl Figueroa</t>
  </si>
  <si>
    <t>Rental Technician</t>
  </si>
  <si>
    <t>Nartea, Marita</t>
  </si>
  <si>
    <t>MN-063-SOO</t>
  </si>
  <si>
    <t>Garcia, Maria Nila Mendoza</t>
  </si>
  <si>
    <t>0919-291-5077</t>
  </si>
  <si>
    <t>KM -1+900</t>
  </si>
  <si>
    <t>KM -1+850</t>
  </si>
  <si>
    <t>Dela Cruz, Alfredo Espiritu</t>
  </si>
  <si>
    <t>CA-080-ISF-SOO(CT)</t>
  </si>
  <si>
    <t>Corazon Santiago/Alfredo Santiago</t>
  </si>
  <si>
    <t>CA-149-ISF-SXOO</t>
  </si>
  <si>
    <r>
      <t>Mantilla, Dante Qui</t>
    </r>
    <r>
      <rPr>
        <sz val="10"/>
        <rFont val="Calibri"/>
        <family val="2"/>
      </rPr>
      <t>ñones (TUTUBAN PRIME ASSOCIATION)</t>
    </r>
  </si>
  <si>
    <t>KM -2+750</t>
  </si>
  <si>
    <t>KM -2+700</t>
  </si>
  <si>
    <t>Cyclone wire w/CHB with 4x1.5mH Plastered on both sides</t>
  </si>
  <si>
    <t>Steel Grills/steel angle bar</t>
  </si>
  <si>
    <t>Metal</t>
  </si>
  <si>
    <t>KM -2+893</t>
  </si>
  <si>
    <t>Norberto Duzon</t>
  </si>
  <si>
    <t>VC-107-R</t>
  </si>
  <si>
    <t>Consolacion F. Badilla</t>
  </si>
  <si>
    <t>Norman Duzon</t>
  </si>
  <si>
    <t>Helper on Chruch</t>
  </si>
  <si>
    <t>Near Family Location</t>
  </si>
  <si>
    <t>Own Idea, LGU</t>
  </si>
  <si>
    <t>Cafino, Vicenta</t>
  </si>
  <si>
    <t>Teresita Dimaano Tano (ABSENTEE)</t>
  </si>
  <si>
    <t>want a peaceful place</t>
  </si>
  <si>
    <t>VC-060-SOO ( R )</t>
  </si>
  <si>
    <t>VC-106.1A</t>
  </si>
  <si>
    <t>VC-106.1D</t>
  </si>
  <si>
    <t>Lumio, Mabini Bisnon</t>
  </si>
  <si>
    <t>A-9 Terias Cmpd., Karuhatan Valenzuela City</t>
  </si>
  <si>
    <t>283-7776</t>
  </si>
  <si>
    <t>KM 5+900</t>
  </si>
  <si>
    <t>KM 5+950</t>
  </si>
  <si>
    <t>Lumio, Mabini</t>
  </si>
  <si>
    <t>Richard Dalen</t>
  </si>
  <si>
    <t>Jocelyn Dalen</t>
  </si>
  <si>
    <t>Angeles Tobias (72)</t>
  </si>
  <si>
    <t>Luz Sta. Ana Alcantara (??)</t>
  </si>
  <si>
    <t>Isidro L. Balajadia (ABSENTEE)</t>
  </si>
  <si>
    <t>Saccura, Mafie</t>
  </si>
  <si>
    <t>So, Marjorie Pajanonot</t>
  </si>
  <si>
    <t>So, Marjorie</t>
  </si>
  <si>
    <t>0935-503-8007</t>
  </si>
  <si>
    <t xml:space="preserve">Proximity to </t>
  </si>
  <si>
    <t>Manabo, Gerard Ong</t>
  </si>
  <si>
    <t>Manabo, Guillermo</t>
  </si>
  <si>
    <t>Manobo, Imelda Ong</t>
  </si>
  <si>
    <t>Espora, Cristine Florentino</t>
  </si>
  <si>
    <t>Manabo, Garry</t>
  </si>
  <si>
    <t>291-2768</t>
  </si>
  <si>
    <t>Espinosa, Grace</t>
  </si>
  <si>
    <t>0930-733-7886</t>
  </si>
  <si>
    <t>Batterna, Pederose Liba</t>
  </si>
  <si>
    <t>Atienza, Alfie</t>
  </si>
  <si>
    <t>Domosmog, Richard Ordeneza</t>
  </si>
  <si>
    <t>Domosmog, Richard Orddeneza</t>
  </si>
  <si>
    <t>0997-418-3339</t>
  </si>
  <si>
    <t>Domosmog, Cathy</t>
  </si>
  <si>
    <t>Ecarma, Gladwin</t>
  </si>
  <si>
    <t>Kabashima, Robin Jose</t>
  </si>
  <si>
    <t>0999-332-6536</t>
  </si>
  <si>
    <t>Kabashima, Wilma Hoyla</t>
  </si>
  <si>
    <t>0921-775-7633</t>
  </si>
  <si>
    <t>De Real, Maricel Pilapil</t>
  </si>
  <si>
    <t>No Other Place to go</t>
  </si>
  <si>
    <t>Concepcion, Mercelita Dinola</t>
  </si>
  <si>
    <t>Rivera, Gloria</t>
  </si>
  <si>
    <t>14° 49' 38.0"</t>
  </si>
  <si>
    <t>120° 54' 14.1"</t>
  </si>
  <si>
    <t>KM 23+850</t>
  </si>
  <si>
    <t>KM 23+900</t>
  </si>
  <si>
    <t>Leon, Jocelyn</t>
  </si>
  <si>
    <t>BA-005</t>
  </si>
  <si>
    <t>14° 49' 30.9"</t>
  </si>
  <si>
    <t>120° 54' 21.6"</t>
  </si>
  <si>
    <t>PNR (Heritage)</t>
  </si>
  <si>
    <t>14° 49' 48.1"</t>
  </si>
  <si>
    <t>120° 55' 02.3"</t>
  </si>
  <si>
    <t>KM 26+150</t>
  </si>
  <si>
    <t>KM 26+200</t>
  </si>
  <si>
    <t>GG-000.1</t>
  </si>
  <si>
    <t>Poblacion, Guiguinto Bulacan</t>
  </si>
  <si>
    <t>VC-021.1</t>
  </si>
  <si>
    <t>617 Km.17 Mc Arthur Hi-way Malanday Valenzuela City</t>
  </si>
  <si>
    <t>GG-000.2</t>
  </si>
  <si>
    <t>PNR (Gard House)</t>
  </si>
  <si>
    <t>14° 49' 48.6"</t>
  </si>
  <si>
    <t>120° 52' 44.9"</t>
  </si>
  <si>
    <t>KM 26+650</t>
  </si>
  <si>
    <t>KM 26+700</t>
  </si>
  <si>
    <t>GG-007.1</t>
  </si>
  <si>
    <t>GG-007.1-LL-SOO</t>
  </si>
  <si>
    <r>
      <t>Pabelo</t>
    </r>
    <r>
      <rPr>
        <sz val="10"/>
        <rFont val="Calibri"/>
        <family val="2"/>
      </rPr>
      <t>ña, Angel Vivas</t>
    </r>
  </si>
  <si>
    <t>Brgy. Maunlad Sta. Cruz Guiguinto Bulacan</t>
  </si>
  <si>
    <t>0936-862-9366 / 0922-919-6424</t>
  </si>
  <si>
    <t>14° 50' 05.8"</t>
  </si>
  <si>
    <t>120° 52' 06.3"</t>
  </si>
  <si>
    <t>KM 28+800</t>
  </si>
  <si>
    <r>
      <t>Pabilo</t>
    </r>
    <r>
      <rPr>
        <sz val="10"/>
        <rFont val="Calibri"/>
        <family val="2"/>
      </rPr>
      <t>ña, Rosa</t>
    </r>
  </si>
  <si>
    <r>
      <t>Pabilo</t>
    </r>
    <r>
      <rPr>
        <sz val="10"/>
        <rFont val="Calibri"/>
        <family val="2"/>
      </rPr>
      <t>ña, Angel Vivas</t>
    </r>
  </si>
  <si>
    <t>Brgy. Maunlad Sta. Cruz, Guiguinto Bulacan</t>
  </si>
  <si>
    <r>
      <t>Angel Pabilo</t>
    </r>
    <r>
      <rPr>
        <sz val="10"/>
        <rFont val="Calibri"/>
        <family val="2"/>
      </rPr>
      <t>ña</t>
    </r>
  </si>
  <si>
    <t>,may 21, 1968</t>
  </si>
  <si>
    <t>Garden Plants</t>
  </si>
  <si>
    <t>14° 50' 09.1"</t>
  </si>
  <si>
    <t>120° 51' 55.3"</t>
  </si>
  <si>
    <t>KM 28+300</t>
  </si>
  <si>
    <t>KM 28+350</t>
  </si>
  <si>
    <t>BA-005-SB</t>
  </si>
  <si>
    <t>PNR (OFFICE)</t>
  </si>
  <si>
    <t>Burol I Balagtas Bulacan</t>
  </si>
  <si>
    <t>KM 23+500</t>
  </si>
  <si>
    <t>KM 23+550</t>
  </si>
  <si>
    <t>MY-007.1</t>
  </si>
  <si>
    <t>0999-6500-300</t>
  </si>
  <si>
    <t>0918-406-2267</t>
  </si>
  <si>
    <t>2996 Dagupan ext., Brgy.184 Gagalangin Tondo Manila</t>
  </si>
  <si>
    <t>Flores Angelita Sabando</t>
  </si>
  <si>
    <t>2986 Dagupan ext., Brgy.184 Gagalangin Tondo Manila</t>
  </si>
  <si>
    <t>0975-575-3279</t>
  </si>
  <si>
    <t>Alejandro Jay-ar Martin</t>
  </si>
  <si>
    <t>0956-694-2833</t>
  </si>
  <si>
    <t>Flores Angelita Sabando (live-in)</t>
  </si>
  <si>
    <t>3-6 years</t>
  </si>
  <si>
    <t>MN-121-COO (CT)</t>
  </si>
  <si>
    <t xml:space="preserve">MN-121-COO (R1) </t>
  </si>
  <si>
    <t xml:space="preserve">MN-121-COO (R2) </t>
  </si>
  <si>
    <t>MN-121-COO (R3)</t>
  </si>
  <si>
    <t>MN-086A</t>
  </si>
  <si>
    <t>Yolly Aldana</t>
  </si>
  <si>
    <t>remnants</t>
  </si>
  <si>
    <t>Luz S.  Alcantara</t>
  </si>
  <si>
    <t xml:space="preserve">Angel Castro De Vera/Joseph Pinto </t>
  </si>
  <si>
    <t>PNR Meycauayan Old Station</t>
  </si>
  <si>
    <t>MY-007.2</t>
  </si>
  <si>
    <t>MY-007.3</t>
  </si>
  <si>
    <t>MY-007.4</t>
  </si>
  <si>
    <t>MY-007.6</t>
  </si>
  <si>
    <t>MY-008.1</t>
  </si>
  <si>
    <t>MY-008.2</t>
  </si>
  <si>
    <t>MY-008.3</t>
  </si>
  <si>
    <t>MY-008.4</t>
  </si>
  <si>
    <t>MY-008.5</t>
  </si>
  <si>
    <t>MY-008.6</t>
  </si>
  <si>
    <t>MY-006.1</t>
  </si>
  <si>
    <t>MY-006.2</t>
  </si>
  <si>
    <t>MY-006.3</t>
  </si>
  <si>
    <t>MY-031</t>
  </si>
  <si>
    <t>MY-032</t>
  </si>
  <si>
    <t>MY-033</t>
  </si>
  <si>
    <t>MY-034</t>
  </si>
  <si>
    <t>MY-035</t>
  </si>
  <si>
    <t>MY-007.7</t>
  </si>
  <si>
    <t>Old PNR station</t>
  </si>
  <si>
    <t>VC-026-ISF-SOO (CT)</t>
  </si>
  <si>
    <t xml:space="preserve">VC-039-ISF-SOO (R) </t>
  </si>
  <si>
    <t>Emcee Peru/Cabais Hermalyn Enem</t>
  </si>
  <si>
    <t>VC-043-ISF-COO (CT)</t>
  </si>
  <si>
    <t xml:space="preserve">VC-043-COO (R) </t>
  </si>
  <si>
    <t>Jovita Hernandez/Baloloy Rindado (CBL)</t>
  </si>
  <si>
    <t>Serafin Bie Sandejas</t>
  </si>
  <si>
    <t>VC-056-COBOA (CBL)</t>
  </si>
  <si>
    <t xml:space="preserve">Celestino Abala Jr. </t>
  </si>
  <si>
    <t>Jose Bartolome Cayco (+) c/o Teresita Cayco</t>
  </si>
  <si>
    <t>VC-083-LSBOA (CBL)</t>
  </si>
  <si>
    <t>VC-101-LOA (CBL)</t>
  </si>
  <si>
    <t>Hilberto Casipong</t>
  </si>
  <si>
    <t>Marycris C. Liqugan/ Teofilo Dimalanta</t>
  </si>
  <si>
    <t>STAFF HOUSE</t>
  </si>
  <si>
    <t>VC-019A</t>
  </si>
  <si>
    <t>MAIN OFFICE</t>
  </si>
  <si>
    <t>BIG WAREHOUSE</t>
  </si>
  <si>
    <t>SMALL WAREHOUSE</t>
  </si>
  <si>
    <t>MAINTENANCE SHOP</t>
  </si>
  <si>
    <t>GUARDHOUSE</t>
  </si>
  <si>
    <t>STAFF HOUSE AT THE BACK</t>
  </si>
  <si>
    <t>VC-019B</t>
  </si>
  <si>
    <t>VC-019C</t>
  </si>
  <si>
    <t>VC-019D</t>
  </si>
  <si>
    <t>VC-019E</t>
  </si>
  <si>
    <t>VC-019F</t>
  </si>
  <si>
    <t>VC-019G</t>
  </si>
  <si>
    <t>CANTEEN</t>
  </si>
  <si>
    <t>GAZEBO</t>
  </si>
  <si>
    <t>BASKETBALL COURT</t>
  </si>
  <si>
    <t>GARAGE</t>
  </si>
  <si>
    <t>POWER TANK</t>
  </si>
  <si>
    <t>VC-020A</t>
  </si>
  <si>
    <t>VC-020B</t>
  </si>
  <si>
    <t>VC-020C</t>
  </si>
  <si>
    <t>VC-020D</t>
  </si>
  <si>
    <t>VC-020E</t>
  </si>
  <si>
    <t>VC-020F</t>
  </si>
  <si>
    <t>dotrREQUEST</t>
  </si>
  <si>
    <t>VC-067-SBOA</t>
  </si>
  <si>
    <t>14° 41' 28.2"</t>
  </si>
  <si>
    <t>120° 57' 56.2"</t>
  </si>
  <si>
    <t>14° 41' 28.8"</t>
  </si>
  <si>
    <t>120° 57' 56.3"</t>
  </si>
  <si>
    <t>4-6</t>
  </si>
  <si>
    <t>7-9</t>
  </si>
  <si>
    <t>&gt;9</t>
  </si>
  <si>
    <t>Ronaldo Dionisia/Mary Jane Licaros</t>
  </si>
  <si>
    <t>legal daw</t>
  </si>
  <si>
    <t>CMP claimant</t>
  </si>
  <si>
    <t>P</t>
  </si>
  <si>
    <t>Brgy.51 Tayuman Tondo Manila</t>
  </si>
  <si>
    <t xml:space="preserve">2646 Dagupan Ext., Brgy 165 Tondo Manila </t>
  </si>
  <si>
    <t>2650 Dagupan Ext., Brgy.165 Zone.14 Tondo Manila</t>
  </si>
  <si>
    <t>C.Apostol St., cor. M.Hizon St., BRGY.09, Caloocan City</t>
  </si>
  <si>
    <t>MC-009-LOA</t>
  </si>
  <si>
    <t>Batongbakal, Marlene</t>
  </si>
  <si>
    <t>MC-020-LD-SXOO</t>
  </si>
  <si>
    <t>MC-023-LO-SBOA</t>
  </si>
  <si>
    <t>77, Brgy Catmon, Malolos City Bulacan</t>
  </si>
  <si>
    <t>MC-028-LL-SOA</t>
  </si>
  <si>
    <t>MC-029-LSOA (NO)</t>
  </si>
  <si>
    <t>Avila, Victoria Bongcac</t>
  </si>
  <si>
    <t>MC-030-SOA</t>
  </si>
  <si>
    <t>MC-030-SH</t>
  </si>
  <si>
    <t>MC-031-LOA</t>
  </si>
  <si>
    <t>MC-031-LD-SXOO</t>
  </si>
  <si>
    <t>MC-032-LD-SXOO</t>
  </si>
  <si>
    <t>MC-033-LOA</t>
  </si>
  <si>
    <t>Josefa Roxas (+) c/o Joaquin Lagman</t>
  </si>
  <si>
    <t>MC-033-SOO</t>
  </si>
  <si>
    <t>MC-034-LOA</t>
  </si>
  <si>
    <t>MC-042</t>
  </si>
  <si>
    <t>MC-035-LL-SOO</t>
  </si>
  <si>
    <t>MC-036-LL-SOO</t>
  </si>
  <si>
    <t>MC-038-LL-SOO</t>
  </si>
  <si>
    <t>MC-039-LL-SOO</t>
  </si>
  <si>
    <t>MC-041-LO-SOO</t>
  </si>
  <si>
    <t>MC-043-LO-XO</t>
  </si>
  <si>
    <t>MC-042-LO-SOA</t>
  </si>
  <si>
    <t>MC-044-LO-XO</t>
  </si>
  <si>
    <t>MC-045-LO-SXO</t>
  </si>
  <si>
    <t>MC-045</t>
  </si>
  <si>
    <t>De Leon Edmir Pulumbarit</t>
  </si>
  <si>
    <t>De Leon Mirriam Pulumbarit</t>
  </si>
  <si>
    <t>Mirriam P. De Leon</t>
  </si>
  <si>
    <t>MC-046-LSOA</t>
  </si>
  <si>
    <t>MC-046</t>
  </si>
  <si>
    <t>Refuse the DMS and SES</t>
  </si>
  <si>
    <t>MC-047-LO-SXOO</t>
  </si>
  <si>
    <t>MC-047</t>
  </si>
  <si>
    <t>Alongalay, Rodolfo Nobles</t>
  </si>
  <si>
    <t>Alongalay, Renato Nobles</t>
  </si>
  <si>
    <t>Renato Alongalay</t>
  </si>
  <si>
    <t>MC-001-LO-XO</t>
  </si>
  <si>
    <t>MC-005-SXBO</t>
  </si>
  <si>
    <t>MC-006-SOO</t>
  </si>
  <si>
    <t>MC-007-LOA</t>
  </si>
  <si>
    <t>MC-017-SOA</t>
  </si>
  <si>
    <t>GG-001A-ISF-SOO (CT)</t>
  </si>
  <si>
    <t>MC-015.2-LSO</t>
  </si>
  <si>
    <t>GG-002-ISF-SBOO (CT)</t>
  </si>
  <si>
    <t>GG-003-LO-XO</t>
  </si>
  <si>
    <t>September 14,1979</t>
  </si>
  <si>
    <t>0977-059-8016</t>
  </si>
  <si>
    <t>Julito M. Lanoso</t>
  </si>
  <si>
    <t>MY-006.1-LSO</t>
  </si>
  <si>
    <t>MY-006.1-R1</t>
  </si>
  <si>
    <t>MY-006.1-R2</t>
  </si>
  <si>
    <t>MY-006.1-R3</t>
  </si>
  <si>
    <t>Galibo, Mary Jane Abungan</t>
  </si>
  <si>
    <t>Dizon, Joseph Fuentes</t>
  </si>
  <si>
    <r>
      <t>Igonia</t>
    </r>
    <r>
      <rPr>
        <sz val="10"/>
        <rFont val="Calibri"/>
        <family val="2"/>
      </rPr>
      <t>, Vive Jane</t>
    </r>
  </si>
  <si>
    <t>Rosales St., Tugatog Meycauayan Bulacan</t>
  </si>
  <si>
    <t>0975-730-3642</t>
  </si>
  <si>
    <t>Gallego Jr, Melven</t>
  </si>
  <si>
    <t>120° 57' 50.1"</t>
  </si>
  <si>
    <t>KM 10+350</t>
  </si>
  <si>
    <t>KM 10+400</t>
  </si>
  <si>
    <t>Melven Gallego Sr</t>
  </si>
  <si>
    <t>Melven Gallego Jr</t>
  </si>
  <si>
    <t>0910-655-7427</t>
  </si>
  <si>
    <t>Dizon, Joseph</t>
  </si>
  <si>
    <t>Taduran, Alma</t>
  </si>
  <si>
    <t>0946-483-5901</t>
  </si>
  <si>
    <r>
      <t>Igo</t>
    </r>
    <r>
      <rPr>
        <sz val="10"/>
        <rFont val="Calibri"/>
        <family val="2"/>
      </rPr>
      <t>ña, Vive Jane</t>
    </r>
  </si>
  <si>
    <r>
      <t>Igo</t>
    </r>
    <r>
      <rPr>
        <sz val="10"/>
        <rFont val="Calibri"/>
        <family val="2"/>
      </rPr>
      <t>ña, Rico</t>
    </r>
  </si>
  <si>
    <r>
      <t>Zu</t>
    </r>
    <r>
      <rPr>
        <sz val="10"/>
        <rFont val="Calibri"/>
        <family val="2"/>
      </rPr>
      <t>ñiga, Reymond Baylosis</t>
    </r>
  </si>
  <si>
    <r>
      <t>Zu</t>
    </r>
    <r>
      <rPr>
        <sz val="10"/>
        <rFont val="Calibri"/>
        <family val="2"/>
      </rPr>
      <t>ñiga, Reymond</t>
    </r>
  </si>
  <si>
    <t>0975-730-3640</t>
  </si>
  <si>
    <t>Extenstion</t>
  </si>
  <si>
    <t>POST:2-Concrete of 0.3x0.3x4, Concrete Floor</t>
  </si>
  <si>
    <t>20-2"x2"x12, 8-pcs of 2"x4"x24'</t>
  </si>
  <si>
    <t>Area=25sqm, Aff25sqm</t>
  </si>
  <si>
    <t>0922-318-3808</t>
  </si>
  <si>
    <t>4 Mocking Bird St., Saint Francis Pandayan Meyc Bulacan</t>
  </si>
  <si>
    <t>120° 57' 50.7"</t>
  </si>
  <si>
    <t>MY-006.2-R1</t>
  </si>
  <si>
    <t>Aguto, Ma. Theresa Pontanilla</t>
  </si>
  <si>
    <t>288 Rosales St., Tugatog Meycauayan Bulacan</t>
  </si>
  <si>
    <t>0916-908-0435</t>
  </si>
  <si>
    <t>Agulto, Ma. Theresa Pontanilla</t>
  </si>
  <si>
    <t>Ma. Theresa Agulto</t>
  </si>
  <si>
    <t>Family ties, Near School</t>
  </si>
  <si>
    <t>MY-006.2-R2</t>
  </si>
  <si>
    <t>Aguto, Irene Garcia</t>
  </si>
  <si>
    <t>0955-098-5573</t>
  </si>
  <si>
    <t>Agulto, Sinclair Balentong</t>
  </si>
  <si>
    <t>MY-006.2-R3</t>
  </si>
  <si>
    <t>Lorejo, Ananbelle Bijar</t>
  </si>
  <si>
    <t>0923-595-5111</t>
  </si>
  <si>
    <t>Gumela, Julieto Tantoy</t>
  </si>
  <si>
    <t>Gumela, Julieto</t>
  </si>
  <si>
    <t>Lorejo, Annabelle</t>
  </si>
  <si>
    <t>Bernel, Reynaldo Magalona</t>
  </si>
  <si>
    <t>156 San Pedro Tugatog Meycauayan Bulacan</t>
  </si>
  <si>
    <t>14° 43' 38.5"</t>
  </si>
  <si>
    <t>120° 57' 53.2"</t>
  </si>
  <si>
    <t>KM 10+650</t>
  </si>
  <si>
    <t>KM 10+700</t>
  </si>
  <si>
    <t>0943-390-5710</t>
  </si>
  <si>
    <t>Same Barangay</t>
  </si>
  <si>
    <t>Antonio Bernel</t>
  </si>
  <si>
    <t>Lumbrera, Rafael Valencia</t>
  </si>
  <si>
    <t>130 San Pedro Tugatog Meycauayan Bulacan</t>
  </si>
  <si>
    <t>14° 43' 37.8"</t>
  </si>
  <si>
    <t>120° 57' 52.9"</t>
  </si>
  <si>
    <t>KM 10+750</t>
  </si>
  <si>
    <t>Lumbrero, Rafael</t>
  </si>
  <si>
    <t>0932-887-0168</t>
  </si>
  <si>
    <t>Pemanent</t>
  </si>
  <si>
    <t>Leonardo, Herminia Milan</t>
  </si>
  <si>
    <t>San Pedro Tugatog Meycauayan Bulacan</t>
  </si>
  <si>
    <t>0923-527-5074</t>
  </si>
  <si>
    <t>Isabel San Pedro (Donated )</t>
  </si>
  <si>
    <t>San Pedro Health Center</t>
  </si>
  <si>
    <t>Diana Jr, Fernando Moya</t>
  </si>
  <si>
    <t>159 San Padro Subd Tugatog Meycauayan Bulacan</t>
  </si>
  <si>
    <t>0906-567-4366 / 0998-793-8659</t>
  </si>
  <si>
    <t>14° 43' 37.3"</t>
  </si>
  <si>
    <t>120° 57' 52.4"</t>
  </si>
  <si>
    <t>KM 10+550</t>
  </si>
  <si>
    <t>KM 10+600</t>
  </si>
  <si>
    <t>Diana, Fernando</t>
  </si>
  <si>
    <t>Cristina Diana Galit</t>
  </si>
  <si>
    <t>MY-007.5-SO</t>
  </si>
  <si>
    <t>MY-007.5B</t>
  </si>
  <si>
    <t>Diana, Christopher Moya</t>
  </si>
  <si>
    <t>Diana, Christopher</t>
  </si>
  <si>
    <t>0922-555-1806 / 0917-672-3457</t>
  </si>
  <si>
    <t>Christina Diana</t>
  </si>
  <si>
    <t>Nipa/GI</t>
  </si>
  <si>
    <t>14° 43' 36.3"</t>
  </si>
  <si>
    <t>Kotake, Mary Rose Pilonggo</t>
  </si>
  <si>
    <t>MY-007.6-R1</t>
  </si>
  <si>
    <t>Domingo, Elsa Sangcap</t>
  </si>
  <si>
    <t>Live-in Partner</t>
  </si>
  <si>
    <t>0942-030-397</t>
  </si>
  <si>
    <t>Luteria, Jose Sanio Abocot</t>
  </si>
  <si>
    <t>14° 43' 36.2"</t>
  </si>
  <si>
    <t>120° 57' 52.6"</t>
  </si>
  <si>
    <t>0942-030-3917</t>
  </si>
  <si>
    <t>Proximity to Livelihod</t>
  </si>
  <si>
    <t>Marie Rose P. Kotake</t>
  </si>
  <si>
    <t>Marie Rose Kotake</t>
  </si>
  <si>
    <t>MY-007.6 R2</t>
  </si>
  <si>
    <t>Salazar, Dominador Jr. Belarmino</t>
  </si>
  <si>
    <t>0956-144-5821</t>
  </si>
  <si>
    <t>120° 57' 52.8"</t>
  </si>
  <si>
    <t>More than 15 yrs</t>
  </si>
  <si>
    <t>MY-007.6 R3</t>
  </si>
  <si>
    <t>Odon, Dedgenes Pen</t>
  </si>
  <si>
    <t>093-738-200</t>
  </si>
  <si>
    <t>14° 43' 36.6"</t>
  </si>
  <si>
    <t>120° 57' 52.5"</t>
  </si>
  <si>
    <t>04/06/977</t>
  </si>
  <si>
    <t>Ma. Ana Roc Odon</t>
  </si>
  <si>
    <t>0936-515-1202</t>
  </si>
  <si>
    <t>Publico, Rustico Papa</t>
  </si>
  <si>
    <t>14° 43' 36.8"</t>
  </si>
  <si>
    <t>120° 57' 52.1"</t>
  </si>
  <si>
    <t>Boyet</t>
  </si>
  <si>
    <t>Luteria, Ma. Alona Abolot</t>
  </si>
  <si>
    <t>0932-795-5135</t>
  </si>
  <si>
    <t>14° 43' 36.5"</t>
  </si>
  <si>
    <t>10/03/969</t>
  </si>
  <si>
    <t>Dalino Baguio</t>
  </si>
  <si>
    <t>Saluysoy, Meycauayan Bulacan</t>
  </si>
  <si>
    <t>156 San Pedro Subd. Tugatog Bulacan</t>
  </si>
  <si>
    <t>Rustico Publico</t>
  </si>
  <si>
    <t>Retail</t>
  </si>
  <si>
    <t>2-3 yrs</t>
  </si>
  <si>
    <t>MY-006.2-LSBOA</t>
  </si>
  <si>
    <t>Eustagio Santa Cruz (ABSENTEE)</t>
  </si>
  <si>
    <t>120° 57' 39.1"</t>
  </si>
  <si>
    <t>KM 12+050</t>
  </si>
  <si>
    <t>MY-031-R1</t>
  </si>
  <si>
    <t>Aquilo, Jhay-R Moteclaro</t>
  </si>
  <si>
    <t>1 LGP Sta. Cruz Malhacan Meycauayan Bulacan</t>
  </si>
  <si>
    <t>0975-608-2844</t>
  </si>
  <si>
    <t>Aquilo, Jolito Aguio</t>
  </si>
  <si>
    <t>Aquilo, Jolito</t>
  </si>
  <si>
    <t>0916-1162-6618</t>
  </si>
  <si>
    <t>Aquilo, Marlou</t>
  </si>
  <si>
    <t>1 LGP Sta. Cruz Malhacan Malhacan Meycauayan Bulacan</t>
  </si>
  <si>
    <t>Roman Caholic</t>
  </si>
  <si>
    <t>MY-031-R2</t>
  </si>
  <si>
    <t>Quine, Imelda Tavermin</t>
  </si>
  <si>
    <t>28 Malhacan Meycauayan Bulacan</t>
  </si>
  <si>
    <t>0935-457-3439</t>
  </si>
  <si>
    <t>Quine, Christopher Malana</t>
  </si>
  <si>
    <t>MY-032-R1</t>
  </si>
  <si>
    <t>Castro, Anna Liza Danao</t>
  </si>
  <si>
    <t>14 Malhacan Meycauayan Bulacan</t>
  </si>
  <si>
    <t>0906-711-2663</t>
  </si>
  <si>
    <t>Castro, Ernesto</t>
  </si>
  <si>
    <t>07/26/1957</t>
  </si>
  <si>
    <t>Castro, Susana</t>
  </si>
  <si>
    <t>MY-032-R2</t>
  </si>
  <si>
    <t>Dumalay, Chris Villanueva</t>
  </si>
  <si>
    <t>16 VER Apartment Santa Cruz Meycauayan Bulacan</t>
  </si>
  <si>
    <t>Brither</t>
  </si>
  <si>
    <t>0906-726-3529</t>
  </si>
  <si>
    <t>Abuso, Reinier</t>
  </si>
  <si>
    <t>14° 44' 20.4"</t>
  </si>
  <si>
    <t>120° 57' 39.5"</t>
  </si>
  <si>
    <t>08/16/1976</t>
  </si>
  <si>
    <t>Liezel abuzo</t>
  </si>
  <si>
    <t>10-15 yrs</t>
  </si>
  <si>
    <t>Wod</t>
  </si>
  <si>
    <t>Crieta, Ojie</t>
  </si>
  <si>
    <t>VER Apartment Sta. Cruz, Malhacan Meycauayan Bulacan</t>
  </si>
  <si>
    <t>14° 44' 20.7"</t>
  </si>
  <si>
    <t>Valenzuela, Michael Cobatcha</t>
  </si>
  <si>
    <t>LGP Sta. Cruz Compound Malhacan Bulacan</t>
  </si>
  <si>
    <t>14° 44' 21.1"</t>
  </si>
  <si>
    <t>SM Corporation</t>
  </si>
  <si>
    <t>4x.5mH CHB, Plastered on both side</t>
  </si>
  <si>
    <t>MY-035-SB</t>
  </si>
  <si>
    <t>Malhacan Meycauayan Bulacan</t>
  </si>
  <si>
    <t>14° 44' 19.4"</t>
  </si>
  <si>
    <t>Brgy. Malhacan (LGU)</t>
  </si>
  <si>
    <t>Half court</t>
  </si>
  <si>
    <t>4" slab thickness</t>
  </si>
  <si>
    <t>Eustagio Santa Cruz</t>
  </si>
  <si>
    <t>Estaquio Sta. Cruz</t>
  </si>
  <si>
    <t>Aguilo, Jhay-r Monteclaro</t>
  </si>
  <si>
    <t>Eustgaio Santa Cruz</t>
  </si>
  <si>
    <t>Marilou Aquilo</t>
  </si>
  <si>
    <t>Store, Computer Shop and Eatery</t>
  </si>
  <si>
    <t>Ernesto Castro</t>
  </si>
  <si>
    <t>Reinier Abuzo</t>
  </si>
  <si>
    <t>Cannot be located</t>
  </si>
  <si>
    <t>Aboy Rolando</t>
  </si>
  <si>
    <t>0.2m x 0.2m</t>
  </si>
  <si>
    <t>MY-007.8</t>
  </si>
  <si>
    <t>MY-007.8-R</t>
  </si>
  <si>
    <t>1-3 years</t>
  </si>
  <si>
    <t>Wood W/light materials</t>
  </si>
  <si>
    <t>Non-viable</t>
  </si>
  <si>
    <t>MY-007.7-R5</t>
  </si>
  <si>
    <t>MY-007.7-LSBOA</t>
  </si>
  <si>
    <t>MY-007.7-R2</t>
  </si>
  <si>
    <t>MY-007.7-R3</t>
  </si>
  <si>
    <t>MY-007.7-R4</t>
  </si>
  <si>
    <t>Picardal, Felix Irinco</t>
  </si>
  <si>
    <t>Publico, Mariano Papa</t>
  </si>
  <si>
    <t>Manalastas, Rosen Narciso</t>
  </si>
  <si>
    <t>Odon, Rosita Gula</t>
  </si>
  <si>
    <t>Luteria, Ma. Alona Abucot</t>
  </si>
  <si>
    <t>Grandfather</t>
  </si>
  <si>
    <t>0939-373-2856</t>
  </si>
  <si>
    <t>0922-403-382</t>
  </si>
  <si>
    <t>Gesto, Clarence Picardal</t>
  </si>
  <si>
    <t>Odon, Jose Lastra</t>
  </si>
  <si>
    <t>14° 43' 37"</t>
  </si>
  <si>
    <t>Gesto, Clarence P.</t>
  </si>
  <si>
    <t>August 30,1990</t>
  </si>
  <si>
    <t>0922-792-3149</t>
  </si>
  <si>
    <t>3-6yrs</t>
  </si>
  <si>
    <t>SameCity</t>
  </si>
  <si>
    <t>0922-403-3821</t>
  </si>
  <si>
    <t>Land Lesse</t>
  </si>
  <si>
    <t>14° 43' 11.6"</t>
  </si>
  <si>
    <t>120° 57' 46.4"</t>
  </si>
  <si>
    <t>KM9+850</t>
  </si>
  <si>
    <t>KM9+900</t>
  </si>
  <si>
    <t>14° 43' 12.7"</t>
  </si>
  <si>
    <t>120° 57' 86.7"</t>
  </si>
  <si>
    <t>KM 9+ 850</t>
  </si>
  <si>
    <t>KM 9+900</t>
  </si>
  <si>
    <t>14° 43' 13.3"</t>
  </si>
  <si>
    <t>120° 57' 46.6"</t>
  </si>
  <si>
    <t>120° 57' 46.7"</t>
  </si>
  <si>
    <t>KM 9+950</t>
  </si>
  <si>
    <t>14° 43' 14.1"</t>
  </si>
  <si>
    <t>120° 57' 46.9"</t>
  </si>
  <si>
    <t>14° 43' 14.11"</t>
  </si>
  <si>
    <t>MY-032-SBOA</t>
  </si>
  <si>
    <t>Jolito Aquilo</t>
  </si>
  <si>
    <t>Christopher Quine</t>
  </si>
  <si>
    <t>Quine, Christopher</t>
  </si>
  <si>
    <t>Quine, Imelda</t>
  </si>
  <si>
    <t>MY-031-LSBOA</t>
  </si>
  <si>
    <t>Jhay-r Aquilo</t>
  </si>
  <si>
    <t>Ariane Aquilo</t>
  </si>
  <si>
    <t>Traffic Officer</t>
  </si>
  <si>
    <t>Sari-Sari Store, Computer Shop and (Goat-Livestock)</t>
  </si>
  <si>
    <t>Imelda Quine</t>
  </si>
  <si>
    <t>Charle Dave Quine</t>
  </si>
  <si>
    <t>Crizzer John Quine</t>
  </si>
  <si>
    <t>Mark Christian Quine</t>
  </si>
  <si>
    <t>Eustaguio Sta. Cruz</t>
  </si>
  <si>
    <t>Steel Grills/ Steel Angle Bars</t>
  </si>
  <si>
    <t>1 x 1.2</t>
  </si>
  <si>
    <t>0.2 x 0.3</t>
  </si>
  <si>
    <t>Firewall and Comfort Room</t>
  </si>
  <si>
    <t>Concrete CHB walls/platered both sides</t>
  </si>
  <si>
    <t>14° 44' 20.0"</t>
  </si>
  <si>
    <t>120° 57' 39.7"</t>
  </si>
  <si>
    <t>Susana Castro</t>
  </si>
  <si>
    <t>Lea Castro</t>
  </si>
  <si>
    <t>Mary Joy Castro</t>
  </si>
  <si>
    <t>Anna Liza Castro</t>
  </si>
  <si>
    <t>Jasmine Allison Castro</t>
  </si>
  <si>
    <t>Raymond Castro</t>
  </si>
  <si>
    <t>Beautician</t>
  </si>
  <si>
    <t>MY-033-SBOA</t>
  </si>
  <si>
    <t>MY-033-R1</t>
  </si>
  <si>
    <t>Liezel Abuzo</t>
  </si>
  <si>
    <t>Princess Abuzo</t>
  </si>
  <si>
    <t>Chris Villanueva</t>
  </si>
  <si>
    <t>John Rainzel Abuzo</t>
  </si>
  <si>
    <t>0.2 x 0.2</t>
  </si>
  <si>
    <t>MY-034-LXO</t>
  </si>
  <si>
    <t>REFUSED TO INTERVIEW</t>
  </si>
  <si>
    <t>PLAZA COURT</t>
  </si>
  <si>
    <t>Rimo Soriente</t>
  </si>
  <si>
    <t>Brgy. Tugatog Meycauayan Bulacan</t>
  </si>
  <si>
    <t>Rimo Soriente (SHIEDEL ENTERPRISE)</t>
  </si>
  <si>
    <t>Stockroom</t>
  </si>
  <si>
    <t>ROOF: GI sheet, WALL:GI sheet, corrugated</t>
  </si>
  <si>
    <t>Area=11.925sqm,Aff=7.148</t>
  </si>
  <si>
    <t>Vaible</t>
  </si>
  <si>
    <t>VC-001-ISF-SOO</t>
  </si>
  <si>
    <t>Sarabillo, Isabel Bangonan</t>
  </si>
  <si>
    <t>ACA Cmpd., Malanday Valenzuela</t>
  </si>
  <si>
    <t>0906-755-8120</t>
  </si>
  <si>
    <t>Sarabillo, Berto</t>
  </si>
  <si>
    <t>14° 43' 08.6"</t>
  </si>
  <si>
    <t>120° 57' 41.8"</t>
  </si>
  <si>
    <t>KM 25+000</t>
  </si>
  <si>
    <t>Sarabillo, Berto Sabillano</t>
  </si>
  <si>
    <t>Verbal Agreement (Relative)</t>
  </si>
  <si>
    <t>Light MaterialS</t>
  </si>
  <si>
    <t>VC-002-ISF-SOO</t>
  </si>
  <si>
    <t>Gardo Jepollo (ABSENTEE)</t>
  </si>
  <si>
    <t>VC-003-ISF-SOO</t>
  </si>
  <si>
    <t>Manangan, Rodrigo castro</t>
  </si>
  <si>
    <t>ACA rd., Malanday Valenzuela</t>
  </si>
  <si>
    <t>Manangan, Rodrigo Castro</t>
  </si>
  <si>
    <t>0926-116-4405</t>
  </si>
  <si>
    <t>Rodrigo Castro Manangan</t>
  </si>
  <si>
    <t>Remnants and GI</t>
  </si>
  <si>
    <t>ACA cmpd., Bukirin Malanday Valenzuela City</t>
  </si>
  <si>
    <t>Vegetable plantation</t>
  </si>
  <si>
    <t>Agri-business, Vegetable Vendor</t>
  </si>
  <si>
    <t>VC-004-ISF-SOO</t>
  </si>
  <si>
    <t>Rosillo, Rafael Dazo</t>
  </si>
  <si>
    <t>Roselio, Rafael Dazo</t>
  </si>
  <si>
    <t>Rafael Roselio</t>
  </si>
  <si>
    <t xml:space="preserve">Bulacan Provincial Government </t>
  </si>
  <si>
    <t>Joselito/ Belen Mercado Dela Cruz</t>
  </si>
  <si>
    <t>Josefa and Toribio Santos</t>
  </si>
  <si>
    <t>GG-000.1-LO-SO</t>
  </si>
  <si>
    <t>GG-000.2-LO-SO</t>
  </si>
  <si>
    <t>GG-001-ISF-SXOO (CT)</t>
  </si>
  <si>
    <t xml:space="preserve"> International Chemical Industries (INCHEM)</t>
  </si>
  <si>
    <t>GG-007.1-LOA</t>
  </si>
  <si>
    <t>0922-918-4281</t>
  </si>
  <si>
    <t>Anita Patalunan Jose</t>
  </si>
  <si>
    <t>GG-008-SO</t>
  </si>
  <si>
    <t>GG-009B-SO</t>
  </si>
  <si>
    <t>GG-014-LD-XO</t>
  </si>
  <si>
    <t>Type of Loss</t>
  </si>
  <si>
    <t>Number of Affected Population</t>
  </si>
  <si>
    <t>ISFs</t>
  </si>
  <si>
    <t>Required for displacement</t>
  </si>
  <si>
    <r>
      <t>CIBEs</t>
    </r>
    <r>
      <rPr>
        <vertAlign val="superscript"/>
        <sz val="10"/>
        <color indexed="8"/>
        <rFont val="Garamond"/>
        <family val="1"/>
      </rPr>
      <t>*3</t>
    </r>
  </si>
  <si>
    <t>Subtotal</t>
  </si>
  <si>
    <t>Not required for displacement</t>
  </si>
  <si>
    <r>
      <t>CIBEs</t>
    </r>
    <r>
      <rPr>
        <vertAlign val="superscript"/>
        <sz val="10"/>
        <color indexed="8"/>
        <rFont val="Garamond"/>
        <family val="1"/>
      </rPr>
      <t>*1</t>
    </r>
  </si>
  <si>
    <t>Land owners5</t>
  </si>
  <si>
    <t xml:space="preserve">Tenant famers/renters </t>
  </si>
  <si>
    <t>Wage earners (Employees of CIBEs)</t>
  </si>
  <si>
    <t>Absentee Structure Owner</t>
  </si>
  <si>
    <t>TABLE 2. Number of PAFs</t>
  </si>
  <si>
    <t>REMOVED</t>
  </si>
  <si>
    <t>(Residential)</t>
  </si>
  <si>
    <t>Renters</t>
  </si>
  <si>
    <t>Storage Area</t>
  </si>
  <si>
    <t>WALL:Concrete CHB, ROOF: Corrugated GI</t>
  </si>
  <si>
    <t>Area=10.8sqm, Aff=0.8sqm</t>
  </si>
  <si>
    <t>GI/Tegula Concrete Slab</t>
  </si>
  <si>
    <t>GG-015.1</t>
  </si>
  <si>
    <t>Maling, Ricardo Morong</t>
  </si>
  <si>
    <t>805 3rd St., Masagana Hms PH3 Tabang Guiguinto Bulacan</t>
  </si>
  <si>
    <t>795-5057</t>
  </si>
  <si>
    <t>0922-780-2727</t>
  </si>
  <si>
    <t>14° 49' 59.7"</t>
  </si>
  <si>
    <t>120° 51' 18.4""</t>
  </si>
  <si>
    <t>KM 27+500</t>
  </si>
  <si>
    <t>KM 27+550</t>
  </si>
  <si>
    <t>Gloria, Maling</t>
  </si>
  <si>
    <t>Ricardo&amp; Gloria Salvador Maling</t>
  </si>
  <si>
    <t>Ricardo Maling</t>
  </si>
  <si>
    <t>4x1.5mH CHB,Plestered on one side/no plaster</t>
  </si>
  <si>
    <t>Deep (drilled) well w/ electric motor-drive</t>
  </si>
  <si>
    <t>GG-015.2</t>
  </si>
  <si>
    <t>David, Loida Superable</t>
  </si>
  <si>
    <t>804 Masagana Hms PH3 Tabang Guiguinto Bulacan</t>
  </si>
  <si>
    <t>KM 27+450</t>
  </si>
  <si>
    <t>Morato, Norbeto</t>
  </si>
  <si>
    <t>Anselma &amp; Norberto Morato</t>
  </si>
  <si>
    <t>Norberto Morato</t>
  </si>
  <si>
    <t>Norberto &amp; Anselma Morato</t>
  </si>
  <si>
    <t>GG-015.3</t>
  </si>
  <si>
    <t>Gonzales, Mamerto Guinto</t>
  </si>
  <si>
    <t>769 2nd St., Masagana Hms PH3 Tabang Guiguinto Bulacan</t>
  </si>
  <si>
    <t>Homeowner's President</t>
  </si>
  <si>
    <t>0925-553-5611</t>
  </si>
  <si>
    <t>Masagana Homes Subd</t>
  </si>
  <si>
    <t>Allocated by LGU</t>
  </si>
  <si>
    <t>GG-015.3-LO-SOO</t>
  </si>
  <si>
    <t>Lacuna, Milagros Alejandro</t>
  </si>
  <si>
    <t>Masagana Hms PH3 Tabang Guiguinto Bulacan</t>
  </si>
  <si>
    <t>SPPC-President</t>
  </si>
  <si>
    <t>0922-671-9287</t>
  </si>
  <si>
    <t>14° 49' 60.0"</t>
  </si>
  <si>
    <t>120° 52' 16.4""</t>
  </si>
  <si>
    <t>Masagana Homes (Masagana Homeowner's Association)</t>
  </si>
  <si>
    <t xml:space="preserve">Pre-Painted Color Roof </t>
  </si>
  <si>
    <t>Verbal Contract/Agreement</t>
  </si>
  <si>
    <t>Donated</t>
  </si>
  <si>
    <t>Our Lady of Fatima Parish</t>
  </si>
  <si>
    <t>Eustagio Sta. Cruz (ABSENTEE)</t>
  </si>
  <si>
    <t>MC-008A-LO-XO</t>
  </si>
  <si>
    <t>Jose Sanio Lutenia</t>
  </si>
  <si>
    <t>Dominador Salazar</t>
  </si>
  <si>
    <t>Salazar, Dominador</t>
  </si>
  <si>
    <t>Elsa Domingo</t>
  </si>
  <si>
    <t>Lance Justine Lutenia</t>
  </si>
  <si>
    <r>
      <t>Jsel Lute</t>
    </r>
    <r>
      <rPr>
        <sz val="10"/>
        <rFont val="Calibri"/>
        <family val="2"/>
      </rPr>
      <t>nia</t>
    </r>
  </si>
  <si>
    <t>Neny Salazar</t>
  </si>
  <si>
    <t>John Khylie Salazar</t>
  </si>
  <si>
    <t>NO SOURCE of INCOME</t>
  </si>
  <si>
    <t>legal-co</t>
  </si>
  <si>
    <t>isf-co</t>
  </si>
  <si>
    <t>legal-x</t>
  </si>
  <si>
    <t>isf-sh</t>
  </si>
  <si>
    <t>isf-abs</t>
  </si>
  <si>
    <t>VC-047-ISF-SOO</t>
  </si>
  <si>
    <t>MN-096-CMP-XO</t>
  </si>
  <si>
    <t>MN-097-CMP-XO</t>
  </si>
  <si>
    <t>Anthony Fajardo</t>
  </si>
  <si>
    <t>Ailyn Fajardo</t>
  </si>
  <si>
    <t>Rhain Christian Fajardo</t>
  </si>
  <si>
    <t>Christopher Gabriel Fajardo</t>
  </si>
  <si>
    <t>Charles Joseph Fajardo</t>
  </si>
  <si>
    <t>Saluta, Virginia</t>
  </si>
  <si>
    <t>PNR (Stockroom)</t>
  </si>
  <si>
    <t>Area=13.802ssqm, Aff=3.834sqm</t>
  </si>
  <si>
    <t>WALL:Concrete, TRUSS:wood, ROOF:Corrugated GI sheet</t>
  </si>
  <si>
    <t>CA-030-ISF-SXO</t>
  </si>
  <si>
    <t>CA-123-CMP-SBOA</t>
  </si>
  <si>
    <t>MY-007.7-R1A</t>
  </si>
  <si>
    <t>8 legal</t>
  </si>
  <si>
    <t>13 legal</t>
  </si>
  <si>
    <t>24 legal</t>
  </si>
  <si>
    <t>27 legal</t>
  </si>
  <si>
    <t>MC-021-LO-SOO</t>
  </si>
  <si>
    <t>31 Legal</t>
  </si>
  <si>
    <t>35 legal</t>
  </si>
  <si>
    <t>43 legal</t>
  </si>
  <si>
    <t>46 legal</t>
  </si>
  <si>
    <t>49 legal</t>
  </si>
  <si>
    <t>51 legal</t>
  </si>
  <si>
    <t>53 legal</t>
  </si>
  <si>
    <t>Entire</t>
  </si>
  <si>
    <t>C</t>
  </si>
  <si>
    <t>73 legal</t>
  </si>
  <si>
    <t>75 legal</t>
  </si>
  <si>
    <t>77 legal</t>
  </si>
  <si>
    <t>82 legal</t>
  </si>
  <si>
    <t>MC-015.3-LXO</t>
  </si>
  <si>
    <t>MC-015.1-LXO</t>
  </si>
  <si>
    <t>MC-013-LO-XO</t>
  </si>
  <si>
    <t>MC-019-SBOA</t>
  </si>
  <si>
    <t>MC-022-LD-SBOO</t>
  </si>
  <si>
    <t>MC-025-XO</t>
  </si>
  <si>
    <t>MC-026-XO</t>
  </si>
  <si>
    <t>MC-027-LO-SBOA</t>
  </si>
  <si>
    <t>MC-040-LXO</t>
  </si>
  <si>
    <t>GG-013-R</t>
  </si>
  <si>
    <t>Dionisio Dela Cruz Angeles (+) and Viriginia Angeles</t>
  </si>
  <si>
    <t>86 legal</t>
  </si>
  <si>
    <t>93 legal</t>
  </si>
  <si>
    <t>no DMS data c/o RLF</t>
  </si>
  <si>
    <t>GG-015.2-LO-XO</t>
  </si>
  <si>
    <t>GG-017-LOA</t>
  </si>
  <si>
    <t>GG-017-LL</t>
  </si>
  <si>
    <t>GG-015.1-LO-SXOO</t>
  </si>
  <si>
    <t>Ambrosio Galvez</t>
  </si>
  <si>
    <t>BA-002-LO-XOA</t>
  </si>
  <si>
    <t>GG-010-LO-XO</t>
  </si>
  <si>
    <t>97 legal</t>
  </si>
  <si>
    <t>BO-003-LO-XO</t>
  </si>
  <si>
    <t>112 legal</t>
  </si>
  <si>
    <t>115 legal</t>
  </si>
  <si>
    <t>119 legal</t>
  </si>
  <si>
    <t xml:space="preserve">123 legal </t>
  </si>
  <si>
    <t>128 legal</t>
  </si>
  <si>
    <t>MA-009-LO-SOO</t>
  </si>
  <si>
    <t>MA-009A-LO-COO</t>
  </si>
  <si>
    <t>MA-010-LO-SOO</t>
  </si>
  <si>
    <t>MA-014-LO</t>
  </si>
  <si>
    <t>MA-017-LD-SBOA</t>
  </si>
  <si>
    <t>R/C</t>
  </si>
  <si>
    <t>Raymond Sta. Ana</t>
  </si>
  <si>
    <t>Refuse DMS</t>
  </si>
  <si>
    <t>Rafael V. Lumbrera</t>
  </si>
  <si>
    <t>MY-006.3-LO-SBO</t>
  </si>
  <si>
    <t>MY-007-LO-XO</t>
  </si>
  <si>
    <t>MY-007.1-LO-SO</t>
  </si>
  <si>
    <t>MY-007.2-LO-SO</t>
  </si>
  <si>
    <t>MY-007.3-LO-SO</t>
  </si>
  <si>
    <t>MY-007.4-LO-SO</t>
  </si>
  <si>
    <t>MY-007.6-LSOA</t>
  </si>
  <si>
    <t>134 legal</t>
  </si>
  <si>
    <t>138 legal</t>
  </si>
  <si>
    <t>147 legal</t>
  </si>
  <si>
    <t>149 legal</t>
  </si>
  <si>
    <t>153 Legal</t>
  </si>
  <si>
    <t>169 legal-r</t>
  </si>
  <si>
    <t>176 legal-co</t>
  </si>
  <si>
    <t>179 legal-co</t>
  </si>
  <si>
    <t>182 legal-sh</t>
  </si>
  <si>
    <t>186 legal</t>
  </si>
  <si>
    <t>188 legal-co</t>
  </si>
  <si>
    <t>192 legal</t>
  </si>
  <si>
    <t>194 legal-r</t>
  </si>
  <si>
    <t>197 legal-r</t>
  </si>
  <si>
    <t>202 isf-co</t>
  </si>
  <si>
    <t>213 legal-r</t>
  </si>
  <si>
    <t>213 legal</t>
  </si>
  <si>
    <t>160 legal</t>
  </si>
  <si>
    <t>isf-r</t>
  </si>
  <si>
    <t>VC-105.1-ISF-XO</t>
  </si>
  <si>
    <t>VC-106.1-ISF-XO</t>
  </si>
  <si>
    <t>R/I</t>
  </si>
  <si>
    <t>41 legal-r</t>
  </si>
  <si>
    <t>104 isf-r</t>
  </si>
  <si>
    <t>legal-r</t>
  </si>
  <si>
    <t>lega</t>
  </si>
  <si>
    <t>legal-sh</t>
  </si>
  <si>
    <t>dweling structure</t>
  </si>
  <si>
    <t>TOTAL NUMBER of PAFs  :</t>
  </si>
  <si>
    <t>LEGAL PAFs</t>
  </si>
  <si>
    <t>ISF PAFs</t>
  </si>
  <si>
    <t>TOTAL PAFs</t>
  </si>
  <si>
    <t>TOTAL AFFECTED POPULATION</t>
  </si>
  <si>
    <t>dwelling</t>
  </si>
  <si>
    <t xml:space="preserve">Table 4.4 Vulnerable Groups </t>
  </si>
  <si>
    <t xml:space="preserve"> 0-3</t>
  </si>
  <si>
    <t>31-59</t>
  </si>
  <si>
    <t>60 ABOVE</t>
  </si>
  <si>
    <t>REVISED CO HORTS</t>
  </si>
  <si>
    <t>Pre-</t>
  </si>
  <si>
    <t>Vocational</t>
  </si>
  <si>
    <t>Not in</t>
  </si>
  <si>
    <t>Schooling</t>
  </si>
  <si>
    <t>Level</t>
  </si>
  <si>
    <t>School Age</t>
  </si>
  <si>
    <t>Taxi (owner)</t>
  </si>
  <si>
    <t>Tailor</t>
  </si>
  <si>
    <t>Businesman</t>
  </si>
  <si>
    <t>Less than</t>
  </si>
  <si>
    <t>&gt;1 to</t>
  </si>
  <si>
    <t>&gt;3 to</t>
  </si>
  <si>
    <t>&gt;6 to</t>
  </si>
  <si>
    <t>&gt;10 to</t>
  </si>
  <si>
    <t>More than</t>
  </si>
  <si>
    <t>1 year</t>
  </si>
  <si>
    <t>&lt;3 years</t>
  </si>
  <si>
    <t>&lt;6 years</t>
  </si>
  <si>
    <t>&lt;10 years</t>
  </si>
  <si>
    <t>&lt;15 years</t>
  </si>
  <si>
    <t>15 years</t>
  </si>
  <si>
    <t>Entreprenuer</t>
  </si>
  <si>
    <t>5,000 -10,000</t>
  </si>
  <si>
    <t>10,001-15,000</t>
  </si>
  <si>
    <t>Overseas worker</t>
  </si>
  <si>
    <t>Table 4.3‑12  Place of Employment of FEMALE Household Head</t>
  </si>
  <si>
    <t>Table 4.5‑3  Willingness of Relocation</t>
  </si>
  <si>
    <r>
      <t>Cristine May Caba</t>
    </r>
    <r>
      <rPr>
        <sz val="10"/>
        <color indexed="8"/>
        <rFont val="Calibri"/>
        <family val="2"/>
      </rPr>
      <t>ñero</t>
    </r>
  </si>
  <si>
    <t>CA-050A</t>
  </si>
  <si>
    <t>Marjhun Labaniego</t>
  </si>
  <si>
    <t>Therapist</t>
  </si>
  <si>
    <t>Angeline Orea</t>
  </si>
  <si>
    <t>Lovely Orea</t>
  </si>
  <si>
    <t>Ma. Angela Labaniego</t>
  </si>
  <si>
    <t>Ma. Angelica Labaniego</t>
  </si>
  <si>
    <t>CA-150-ISF-X</t>
  </si>
  <si>
    <t>Kenneth Magnifico</t>
  </si>
  <si>
    <t>Raymart</t>
  </si>
  <si>
    <t>Jhomari Nacor</t>
  </si>
  <si>
    <t>Rochelle Boado</t>
  </si>
  <si>
    <t>John Albert Genesi</t>
  </si>
  <si>
    <t>Salesman (Employee)</t>
  </si>
  <si>
    <t>Foreman (Employee)</t>
  </si>
  <si>
    <t>Rosa Pamela Mallari</t>
  </si>
  <si>
    <t>Rizza Divine Mallari</t>
  </si>
  <si>
    <t>Rinate Mallari</t>
  </si>
  <si>
    <t>Raymond Paul Mallari</t>
  </si>
  <si>
    <t>Mallari, Rusteca Garcia</t>
  </si>
  <si>
    <t>Joseph Regachuelo</t>
  </si>
  <si>
    <t>Maricar Regachuelo</t>
  </si>
  <si>
    <t>Elsa Regachuelo</t>
  </si>
  <si>
    <t>Laundry Washer</t>
  </si>
  <si>
    <t>R2-VC-027</t>
  </si>
  <si>
    <t>MC-037-LL</t>
  </si>
  <si>
    <t>GG-008A</t>
  </si>
  <si>
    <t>GG-008A-SO</t>
  </si>
  <si>
    <t>Capitol View Park Bulihan Malolos Bulacan</t>
  </si>
  <si>
    <t>Tuktukan Guiguinto Bulacan</t>
  </si>
  <si>
    <t>Alfredo Dela Cruz</t>
  </si>
  <si>
    <t>Allysa</t>
  </si>
  <si>
    <t>Aishereth</t>
  </si>
  <si>
    <t>Alliane</t>
  </si>
  <si>
    <t>Aldher</t>
  </si>
  <si>
    <t>Edgar Joaquin Lopez</t>
  </si>
  <si>
    <t>683 Mulawin St., Bancal Meycauayan Bulacan</t>
  </si>
  <si>
    <t>Dalandanan, Valenzuela City</t>
  </si>
  <si>
    <t>Tenorio, Virginia A</t>
  </si>
  <si>
    <t>Brgy.200, Pilar St., Tondo, Manila</t>
  </si>
  <si>
    <t>60 above</t>
  </si>
  <si>
    <t>Answer</t>
  </si>
  <si>
    <t>Refuse to</t>
  </si>
  <si>
    <t xml:space="preserve">MC-014A-ISF-SOO (R) </t>
  </si>
  <si>
    <t>Arnita Publico</t>
  </si>
  <si>
    <t>Johnloyd Publico</t>
  </si>
  <si>
    <t>Jane Irish Publico</t>
  </si>
  <si>
    <t>Store Keeper</t>
  </si>
  <si>
    <t>ca_014</t>
  </si>
  <si>
    <t>4 x 1.5mH CHB</t>
  </si>
  <si>
    <t>BA-001-LBOA</t>
  </si>
  <si>
    <t>Agricultural</t>
  </si>
  <si>
    <t>BA-001-R</t>
  </si>
  <si>
    <t>Regala, Fred Coyba</t>
  </si>
  <si>
    <t>0901-0361-224</t>
  </si>
  <si>
    <t>Ramon Regalario</t>
  </si>
  <si>
    <t>10% &lt; than 50%</t>
  </si>
  <si>
    <t>target:322</t>
  </si>
  <si>
    <t>Household</t>
  </si>
  <si>
    <t>Other</t>
  </si>
  <si>
    <t>factors</t>
  </si>
  <si>
    <t>Economic reason</t>
  </si>
  <si>
    <t>Social Reason</t>
  </si>
  <si>
    <t>Other Reason</t>
  </si>
  <si>
    <t>VC-093-R4</t>
  </si>
  <si>
    <t>Jose Danilo Cabangon</t>
  </si>
  <si>
    <t>Anone Rainier Cabangon</t>
  </si>
  <si>
    <t>Mary Giovany Cabangon</t>
  </si>
  <si>
    <r>
      <t>Xavier Ni</t>
    </r>
    <r>
      <rPr>
        <sz val="10"/>
        <color indexed="8"/>
        <rFont val="Calibri"/>
        <family val="2"/>
      </rPr>
      <t>ño Baldoz</t>
    </r>
  </si>
  <si>
    <t>Angeline Lerio</t>
  </si>
  <si>
    <t>Kristelle Mye Baldoz</t>
  </si>
  <si>
    <t>Sari-Sari Store / Canteen</t>
  </si>
  <si>
    <t>Proximity to Livelihood and Family ties</t>
  </si>
  <si>
    <t>Pandi Residence</t>
  </si>
  <si>
    <t>Elsa Reclucio Regachuelo (66)</t>
  </si>
  <si>
    <t xml:space="preserve">Table 4.4‑2  Persons Who Need Special Assistance </t>
  </si>
  <si>
    <t>Physical &amp; Mental Disabilities</t>
  </si>
  <si>
    <t>Need Assistance to Walk</t>
  </si>
  <si>
    <t>Need Special Medicare</t>
  </si>
  <si>
    <t>Seriously Ill</t>
  </si>
  <si>
    <t>Table 4.4‑3  Vulnerable Groups</t>
  </si>
  <si>
    <t>City/ Municipality</t>
  </si>
  <si>
    <t>ISF-SO-CA-075</t>
  </si>
  <si>
    <t>ISF-OB-CA-075</t>
  </si>
  <si>
    <t>CA-050A-ISF-SBOO</t>
  </si>
  <si>
    <t>Footnote:</t>
  </si>
  <si>
    <t>GG-007-LO-XO</t>
  </si>
  <si>
    <t>Sales/Vending;</t>
  </si>
  <si>
    <t xml:space="preserve">Construction; </t>
  </si>
  <si>
    <t>Manufacturing;</t>
  </si>
  <si>
    <t>Personal Services (physical therapist, beautician, etc.);</t>
  </si>
  <si>
    <t>Driver  (PUJ/Bus/Tricycle);</t>
  </si>
  <si>
    <t>Kasambahay (e.g., general househelper, yaya, cook, gardener, laundry person);</t>
  </si>
  <si>
    <t>Professional</t>
  </si>
  <si>
    <t>Worker/Empployee</t>
  </si>
  <si>
    <t>6 / 9</t>
  </si>
  <si>
    <t>3</t>
  </si>
  <si>
    <t>3 / 12</t>
  </si>
  <si>
    <t>9 / 6</t>
  </si>
  <si>
    <t>9 / 6 / 12</t>
  </si>
  <si>
    <t>9 / 2</t>
  </si>
  <si>
    <t>5</t>
  </si>
  <si>
    <t>3 / 9</t>
  </si>
  <si>
    <t>7</t>
  </si>
  <si>
    <t>6</t>
  </si>
  <si>
    <t>9</t>
  </si>
  <si>
    <t>8</t>
  </si>
  <si>
    <t>10</t>
  </si>
  <si>
    <t>4</t>
  </si>
  <si>
    <t>12</t>
  </si>
  <si>
    <t>13</t>
  </si>
  <si>
    <t>13 / 10</t>
  </si>
  <si>
    <t>Pensioner/support</t>
  </si>
  <si>
    <t>2 / 10</t>
  </si>
  <si>
    <t>2</t>
  </si>
  <si>
    <t>2 / 7</t>
  </si>
  <si>
    <t>1</t>
  </si>
  <si>
    <t>9 / 10</t>
  </si>
  <si>
    <t>2 / 13</t>
  </si>
  <si>
    <t>10 / 13</t>
  </si>
  <si>
    <t>11</t>
  </si>
  <si>
    <t>2 /10</t>
  </si>
  <si>
    <t>7 / 13</t>
  </si>
  <si>
    <t>3 / 10</t>
  </si>
  <si>
    <t>Honorarium (Brgy. Kagawad, Government employee, Sweeper)</t>
  </si>
  <si>
    <t>v</t>
  </si>
  <si>
    <t>6 / 9 / 10</t>
  </si>
  <si>
    <t>4 / 13</t>
  </si>
  <si>
    <t>010</t>
  </si>
  <si>
    <t>BO-001.1-SXO</t>
  </si>
  <si>
    <t>Parungao, Ronel Pura</t>
  </si>
  <si>
    <t>Pinagsilaban St., Brgy.Taal Bocaue Bulacan</t>
  </si>
  <si>
    <t>0907-574-4868</t>
  </si>
  <si>
    <t>14° 48' 38.2"</t>
  </si>
  <si>
    <t>120° 55' 18.5"</t>
  </si>
  <si>
    <t>KM 20+200</t>
  </si>
  <si>
    <t>KM 20+250</t>
  </si>
  <si>
    <t>Parungao, Ronel P.</t>
  </si>
  <si>
    <t>Baby Jean Ramirez</t>
  </si>
  <si>
    <t>4x1.5mH CHB, Palstered on one side</t>
  </si>
  <si>
    <t>Steel grills/Steel Angle bars</t>
  </si>
  <si>
    <t>n=number of person</t>
  </si>
  <si>
    <t>Table 4.1‑1  Affected Cities and Municipalities and Corresponding Barangays by NSCR Project</t>
  </si>
  <si>
    <t xml:space="preserve">Table 4.1‑2  Number of PAFs </t>
  </si>
  <si>
    <t>Table 4.1‑4 ISFs by LGUs</t>
  </si>
  <si>
    <t>Table 4.1‑3  Legal PAFs by LGUs</t>
  </si>
  <si>
    <t>Structure owners (Residential)</t>
  </si>
  <si>
    <t>Structure owners (CIBEs)</t>
  </si>
  <si>
    <t>Structure owners (Institutional)</t>
  </si>
  <si>
    <t>Land</t>
  </si>
  <si>
    <t>Commercial Stall Tenants</t>
  </si>
  <si>
    <t>Vendors</t>
  </si>
  <si>
    <t>Workers</t>
  </si>
  <si>
    <t>Total PAFs</t>
  </si>
  <si>
    <r>
      <t>Legal</t>
    </r>
    <r>
      <rPr>
        <sz val="11"/>
        <color indexed="8"/>
        <rFont val="Calibri"/>
        <family val="2"/>
      </rPr>
      <t>¹</t>
    </r>
  </si>
  <si>
    <r>
      <t>ISFs</t>
    </r>
    <r>
      <rPr>
        <sz val="11"/>
        <color indexed="8"/>
        <rFont val="Calibri"/>
        <family val="2"/>
      </rPr>
      <t>²</t>
    </r>
  </si>
  <si>
    <r>
      <t>ISF</t>
    </r>
    <r>
      <rPr>
        <sz val="11"/>
        <color indexed="8"/>
        <rFont val="Calibri"/>
        <family val="2"/>
      </rPr>
      <t>²</t>
    </r>
  </si>
  <si>
    <t>Owners*3</t>
  </si>
  <si>
    <t>(Employees of CIBEs)</t>
  </si>
  <si>
    <t>Malanday (Depot area)</t>
  </si>
  <si>
    <r>
      <t>Stay</t>
    </r>
    <r>
      <rPr>
        <sz val="11"/>
        <color indexed="8"/>
        <rFont val="Calibri"/>
        <family val="2"/>
      </rPr>
      <t>¹</t>
    </r>
  </si>
  <si>
    <r>
      <t>Move</t>
    </r>
    <r>
      <rPr>
        <sz val="11"/>
        <color indexed="8"/>
        <rFont val="Calibri"/>
        <family val="2"/>
      </rPr>
      <t>²</t>
    </r>
  </si>
  <si>
    <r>
      <t>Stay</t>
    </r>
    <r>
      <rPr>
        <b/>
        <vertAlign val="superscript"/>
        <sz val="9"/>
        <color indexed="8"/>
        <rFont val="Times New Roman"/>
        <family val="1"/>
      </rPr>
      <t>1</t>
    </r>
  </si>
  <si>
    <r>
      <t>Move</t>
    </r>
    <r>
      <rPr>
        <b/>
        <vertAlign val="superscript"/>
        <sz val="9"/>
        <color indexed="8"/>
        <rFont val="Times New Roman"/>
        <family val="1"/>
      </rPr>
      <t>2</t>
    </r>
  </si>
  <si>
    <t>SanPablo</t>
  </si>
  <si>
    <t>Renters (Residential)</t>
  </si>
  <si>
    <t>Land owners*4</t>
  </si>
  <si>
    <t>Workers (Employees of CIBEs)</t>
  </si>
  <si>
    <t>Number of Affected PAPs</t>
  </si>
  <si>
    <r>
      <t>Legal</t>
    </r>
    <r>
      <rPr>
        <b/>
        <vertAlign val="superscript"/>
        <sz val="10"/>
        <color indexed="8"/>
        <rFont val="Garamond"/>
        <family val="1"/>
      </rPr>
      <t>1</t>
    </r>
  </si>
  <si>
    <r>
      <t>ISFs</t>
    </r>
    <r>
      <rPr>
        <b/>
        <vertAlign val="superscript"/>
        <sz val="10"/>
        <color indexed="8"/>
        <rFont val="Garamond"/>
        <family val="1"/>
      </rPr>
      <t>2</t>
    </r>
  </si>
  <si>
    <r>
      <t xml:space="preserve">Mixed use </t>
    </r>
    <r>
      <rPr>
        <vertAlign val="superscript"/>
        <sz val="10"/>
        <color indexed="8"/>
        <rFont val="Garamond"/>
        <family val="1"/>
      </rPr>
      <t>4</t>
    </r>
  </si>
  <si>
    <r>
      <t>Stay</t>
    </r>
    <r>
      <rPr>
        <sz val="11"/>
        <rFont val="Calibri"/>
        <family val="2"/>
      </rPr>
      <t>¹</t>
    </r>
  </si>
  <si>
    <r>
      <t>Move</t>
    </r>
    <r>
      <rPr>
        <sz val="11"/>
        <rFont val="Calibri"/>
        <family val="2"/>
      </rPr>
      <t>²</t>
    </r>
  </si>
  <si>
    <t>VC-072-LO-SBOO</t>
  </si>
  <si>
    <t>VC-071-LD-SXOO</t>
  </si>
  <si>
    <t>14° 41' 24.8"</t>
  </si>
  <si>
    <t>120° 57' 58.4"</t>
  </si>
  <si>
    <t>KM 6+350</t>
  </si>
  <si>
    <t>KM 6+400</t>
  </si>
  <si>
    <t>VC-071-LOA</t>
  </si>
  <si>
    <t>No SOURCE</t>
  </si>
  <si>
    <t>of Income</t>
  </si>
  <si>
    <t>No Income</t>
  </si>
  <si>
    <t>MC-021-LD-SOO</t>
  </si>
  <si>
    <t>Conrad Tenorio</t>
  </si>
  <si>
    <t>Herlie Tenorio</t>
  </si>
  <si>
    <t>Caralo Tenorio</t>
  </si>
  <si>
    <t>Factory Related</t>
  </si>
  <si>
    <t>CA-009-O2</t>
  </si>
  <si>
    <t>Burol 1st</t>
  </si>
  <si>
    <t>Igulot</t>
  </si>
  <si>
    <t>Barangay 9</t>
  </si>
  <si>
    <t>Barangay 15</t>
  </si>
  <si>
    <t>Barangay 17</t>
  </si>
  <si>
    <t>Barangay 19</t>
  </si>
  <si>
    <t>Barangay 21</t>
  </si>
  <si>
    <t>Barangay 25</t>
  </si>
  <si>
    <t>Barangay 29</t>
  </si>
  <si>
    <t>Barangay 32</t>
  </si>
  <si>
    <t>Barangay 33</t>
  </si>
  <si>
    <t>Barangay 184</t>
  </si>
  <si>
    <t>Barangay 186</t>
  </si>
  <si>
    <t>Barangay 185</t>
  </si>
  <si>
    <t>Barangay 204</t>
  </si>
  <si>
    <t>Barangay 165</t>
  </si>
  <si>
    <t>Barangay 164</t>
  </si>
  <si>
    <t>Barangay 152</t>
  </si>
  <si>
    <t>Barangay 155</t>
  </si>
  <si>
    <t>Barangay 159</t>
  </si>
  <si>
    <t>Barangay 156</t>
  </si>
  <si>
    <t>Barangay 53</t>
  </si>
  <si>
    <t>Barangay 50</t>
  </si>
  <si>
    <t>Barangay 51</t>
  </si>
  <si>
    <t>Barangay 48</t>
  </si>
  <si>
    <t>Barangay 199</t>
  </si>
  <si>
    <t>Barangay 200</t>
  </si>
  <si>
    <t>Igulot Riles, Bocaue</t>
  </si>
  <si>
    <t>Structure owners (Mixed Use)</t>
  </si>
  <si>
    <t>Institutional/Industrial</t>
  </si>
  <si>
    <t>Table 4.5‑2  Acceptance of the NSCR Project</t>
  </si>
  <si>
    <r>
      <t>Poor</t>
    </r>
    <r>
      <rPr>
        <b/>
        <vertAlign val="superscript"/>
        <sz val="12"/>
        <color indexed="8"/>
        <rFont val="Times New Roman"/>
        <family val="1"/>
      </rPr>
      <t>*1</t>
    </r>
  </si>
  <si>
    <r>
      <t>Women-headed households</t>
    </r>
    <r>
      <rPr>
        <b/>
        <vertAlign val="superscript"/>
        <sz val="12"/>
        <color indexed="8"/>
        <rFont val="Times New Roman"/>
        <family val="1"/>
      </rPr>
      <t>*3</t>
    </r>
  </si>
  <si>
    <r>
      <t>Elderly</t>
    </r>
    <r>
      <rPr>
        <b/>
        <vertAlign val="superscript"/>
        <sz val="12"/>
        <color indexed="8"/>
        <rFont val="Times New Roman"/>
        <family val="1"/>
      </rPr>
      <t>*2</t>
    </r>
  </si>
  <si>
    <r>
      <t xml:space="preserve">Persons who need special assistance </t>
    </r>
    <r>
      <rPr>
        <b/>
        <vertAlign val="superscript"/>
        <sz val="12"/>
        <color indexed="8"/>
        <rFont val="Times New Roman"/>
        <family val="1"/>
      </rPr>
      <t>*4</t>
    </r>
  </si>
  <si>
    <r>
      <t>OTHERS</t>
    </r>
    <r>
      <rPr>
        <b/>
        <sz val="12"/>
        <color indexed="8"/>
        <rFont val="Calibri"/>
        <family val="2"/>
      </rPr>
      <t>¹</t>
    </r>
  </si>
  <si>
    <t>OTHERS¹</t>
  </si>
  <si>
    <t>Poor*1</t>
  </si>
  <si>
    <t>Elderly*2</t>
  </si>
  <si>
    <t>Women-headed households*3</t>
  </si>
  <si>
    <t>Persons who need special assistance *4</t>
  </si>
  <si>
    <t>1 - Households with Income not more than 10,000</t>
  </si>
  <si>
    <t>2 - Elderly are household member with age 60 and above</t>
  </si>
  <si>
    <t>3 - Families headed by Women</t>
  </si>
  <si>
    <t>4 - Households member that needs assistance and care</t>
  </si>
  <si>
    <t>Stay¹</t>
  </si>
  <si>
    <t>Move²</t>
  </si>
  <si>
    <r>
      <t>CIBEs</t>
    </r>
    <r>
      <rPr>
        <vertAlign val="superscript"/>
        <sz val="10"/>
        <color indexed="8"/>
        <rFont val="Times New Roman"/>
        <family val="1"/>
      </rPr>
      <t>*3</t>
    </r>
  </si>
  <si>
    <r>
      <t>Mixed use</t>
    </r>
    <r>
      <rPr>
        <vertAlign val="superscript"/>
        <sz val="10"/>
        <color indexed="8"/>
        <rFont val="Times New Roman"/>
        <family val="1"/>
      </rPr>
      <t>4</t>
    </r>
  </si>
  <si>
    <r>
      <t>CIBEs</t>
    </r>
    <r>
      <rPr>
        <vertAlign val="superscript"/>
        <sz val="10"/>
        <color indexed="8"/>
        <rFont val="Times New Roman"/>
        <family val="1"/>
      </rPr>
      <t>*1</t>
    </r>
  </si>
  <si>
    <r>
      <t>Legal</t>
    </r>
    <r>
      <rPr>
        <b/>
        <vertAlign val="superscript"/>
        <sz val="10"/>
        <color indexed="8"/>
        <rFont val="Times New Roman"/>
        <family val="1"/>
      </rPr>
      <t>1</t>
    </r>
  </si>
  <si>
    <r>
      <t>ISFs</t>
    </r>
    <r>
      <rPr>
        <b/>
        <vertAlign val="superscript"/>
        <sz val="10"/>
        <color indexed="8"/>
        <rFont val="Times New Roman"/>
        <family val="1"/>
      </rPr>
      <t>2</t>
    </r>
  </si>
  <si>
    <r>
      <t>Stay</t>
    </r>
    <r>
      <rPr>
        <b/>
        <vertAlign val="superscript"/>
        <sz val="10"/>
        <color indexed="8"/>
        <rFont val="Times New Roman"/>
        <family val="1"/>
      </rPr>
      <t>1</t>
    </r>
  </si>
  <si>
    <r>
      <t>Move</t>
    </r>
    <r>
      <rPr>
        <b/>
        <vertAlign val="superscript"/>
        <sz val="10"/>
        <color indexed="8"/>
        <rFont val="Times New Roman"/>
        <family val="1"/>
      </rPr>
      <t>2</t>
    </r>
  </si>
  <si>
    <t>(Residential)+BA134</t>
  </si>
  <si>
    <t>GG-006-ISF-SXO</t>
  </si>
  <si>
    <t>GG-0015.3-LSOA</t>
  </si>
  <si>
    <t>Alicia V. Montañez/Edwin P. Villanueva</t>
  </si>
  <si>
    <t>Christopher M.Diana</t>
  </si>
  <si>
    <t>Marilou Dellota Olivares/ Lydia O. Dellota</t>
  </si>
  <si>
    <t>Imelda Dellota Olivares/ Marilou Dellota</t>
  </si>
  <si>
    <t>20% &lt; than 20%</t>
  </si>
  <si>
    <t>20% &lt; than  50%</t>
  </si>
  <si>
    <t>Santos, Ryan Lilac</t>
  </si>
  <si>
    <t>Jerald James Bito/ Joy Ann Doma</t>
  </si>
  <si>
    <t>Mercado Rolando Estrella</t>
  </si>
  <si>
    <t>Cora Gohiting/ Dionisio Cenon Santos</t>
  </si>
  <si>
    <t>Catalina Ramirez</t>
  </si>
  <si>
    <t>VC-050-ISF-COO</t>
  </si>
  <si>
    <t>Classification</t>
  </si>
  <si>
    <t>Capitalization</t>
  </si>
  <si>
    <t>Employees</t>
  </si>
  <si>
    <t>Average monthly net income</t>
  </si>
  <si>
    <t>Up toPhp 3,000,000</t>
  </si>
  <si>
    <t>0918-921-0722</t>
  </si>
  <si>
    <t>Php 3,000,001 - Php 15,000,000</t>
  </si>
  <si>
    <t>796-2251</t>
  </si>
  <si>
    <t>10-99 employees</t>
  </si>
  <si>
    <t>up to Php 3,000,000</t>
  </si>
  <si>
    <t>0927-737-5447</t>
  </si>
  <si>
    <t>micro</t>
  </si>
  <si>
    <t>0936-862-9366</t>
  </si>
  <si>
    <t>0926-560-5279</t>
  </si>
  <si>
    <t>up to 3,000,000</t>
  </si>
  <si>
    <t>Medium</t>
  </si>
  <si>
    <t>815-8913</t>
  </si>
  <si>
    <t>0917-552-5002</t>
  </si>
  <si>
    <t>1-9 employees</t>
  </si>
  <si>
    <t>Php 3,000,001-15,000,000</t>
  </si>
  <si>
    <t>0907-127-4495</t>
  </si>
  <si>
    <t>Php 15,000,001-100,000,000</t>
  </si>
  <si>
    <t>0912-428-2749</t>
  </si>
  <si>
    <t>Php 5,000</t>
  </si>
  <si>
    <t>277-7553</t>
  </si>
  <si>
    <t>0927-588-6587 (Reynald Gugulan)</t>
  </si>
  <si>
    <t>291-2663</t>
  </si>
  <si>
    <t>0916-841-6652</t>
  </si>
  <si>
    <t xml:space="preserve">Micro </t>
  </si>
  <si>
    <t>0941-619-0269</t>
  </si>
  <si>
    <t>0923-437-9143</t>
  </si>
  <si>
    <t>0921-300-9852</t>
  </si>
  <si>
    <t>0922-379-8255</t>
  </si>
  <si>
    <t>Not stated</t>
  </si>
  <si>
    <t>0907-463-3896</t>
  </si>
  <si>
    <t>287-1667</t>
  </si>
  <si>
    <t>1-9 Employees</t>
  </si>
  <si>
    <t>0942-488-9661</t>
  </si>
  <si>
    <t>0942-527-5742</t>
  </si>
  <si>
    <t>Smal</t>
  </si>
  <si>
    <t>0917-919-3317</t>
  </si>
  <si>
    <t>0928-081-1178</t>
  </si>
  <si>
    <t>0953-108-8847</t>
  </si>
  <si>
    <t>0995-525-0616</t>
  </si>
  <si>
    <t>0975-886-7088</t>
  </si>
  <si>
    <t>Miccro</t>
  </si>
  <si>
    <t>I.     SOCIO-ECONOMIC SURVEY (SES)</t>
  </si>
  <si>
    <t>I2.     SOURCES OF HOUSEHOLDS INCOME</t>
  </si>
  <si>
    <t>I3.     HOUSEHOlDS EXPENSES</t>
  </si>
  <si>
    <t>J.     HOUSEHOLD UTILITIES</t>
  </si>
  <si>
    <t>K.     HOUSEHOLD ASSETS</t>
  </si>
  <si>
    <t>L.     FEMALE PARTICIPATION IN DECISION MAKING</t>
  </si>
  <si>
    <t>M.     INCOME AND LIVELIHOOD SUPPORT ASSISTANCE</t>
  </si>
  <si>
    <t>TRAINING PREFERENCE</t>
  </si>
  <si>
    <t>N.     HEALTH CONDITION</t>
  </si>
  <si>
    <t>O.     F  L  O  O  D  I  N  G</t>
  </si>
  <si>
    <t>E  M  P  L  O  Y  E  E  S</t>
  </si>
  <si>
    <t>I1. COMPOSITION OF HOUSEHOLDS MEMBERS</t>
  </si>
  <si>
    <t>Working Age</t>
  </si>
  <si>
    <t>AGE CoHORTS</t>
  </si>
  <si>
    <t>Pre-School</t>
  </si>
  <si>
    <t>High School Grduate</t>
  </si>
  <si>
    <t>College Graduate</t>
  </si>
  <si>
    <t>Not in School Age</t>
  </si>
  <si>
    <t>other</t>
  </si>
  <si>
    <t>No of Earning  HH Member</t>
  </si>
  <si>
    <t>Source of Income</t>
  </si>
  <si>
    <t>Employment Status</t>
  </si>
  <si>
    <t>Address/ place of Employment or Business (HEAD)</t>
  </si>
  <si>
    <t xml:space="preserve"> Combined Transportation Expense</t>
  </si>
  <si>
    <t>Total Transportation expenses</t>
  </si>
  <si>
    <t>Compbined Monthly Household Income</t>
  </si>
  <si>
    <t>Total HH Income</t>
  </si>
  <si>
    <t>Primary Occupation</t>
  </si>
  <si>
    <t xml:space="preserve">Willingness to pursue training </t>
  </si>
  <si>
    <t>if YES, what problems?</t>
  </si>
  <si>
    <t>Support in order for other members</t>
  </si>
  <si>
    <t>Support in order for you to attend training</t>
  </si>
  <si>
    <t>Conditions experienced for the last years</t>
  </si>
  <si>
    <t>N  A  M  E  S</t>
  </si>
  <si>
    <t>Name</t>
  </si>
  <si>
    <t>Employment status</t>
  </si>
  <si>
    <t xml:space="preserve"> Monthly salary</t>
  </si>
  <si>
    <t>No. of HH members (LINK)</t>
  </si>
  <si>
    <t>Households Head</t>
  </si>
  <si>
    <t>Below 15 Yrs</t>
  </si>
  <si>
    <t>15 yrs - 64 yrs</t>
  </si>
  <si>
    <t>Above 64 yrs</t>
  </si>
  <si>
    <t>0 - 5</t>
  </si>
  <si>
    <t>31 - 59</t>
  </si>
  <si>
    <t>60 Above</t>
  </si>
  <si>
    <t>OTHER</t>
  </si>
  <si>
    <t>Civil Status of HH Head</t>
  </si>
  <si>
    <t>Civil Status of HH Members</t>
  </si>
  <si>
    <t>Extra</t>
  </si>
  <si>
    <t xml:space="preserve"> Food</t>
  </si>
  <si>
    <t xml:space="preserve"> Clothing</t>
  </si>
  <si>
    <t xml:space="preserve"> Health</t>
  </si>
  <si>
    <t xml:space="preserve"> Education</t>
  </si>
  <si>
    <t xml:space="preserve"> Rental/ Amortization</t>
  </si>
  <si>
    <t>Communication</t>
  </si>
  <si>
    <t xml:space="preserve"> Electricity</t>
  </si>
  <si>
    <t>Cooking Fuel</t>
  </si>
  <si>
    <t xml:space="preserve"> Recreation</t>
  </si>
  <si>
    <t>Internet</t>
  </si>
  <si>
    <t>Diapers</t>
  </si>
  <si>
    <t>Milk</t>
  </si>
  <si>
    <t>Land Payments</t>
  </si>
  <si>
    <t>others</t>
  </si>
  <si>
    <t>TOTAL Monthly Expenses</t>
  </si>
  <si>
    <t>Source of lighting</t>
  </si>
  <si>
    <t>Fuel for cooking</t>
  </si>
  <si>
    <t>Water Supply</t>
  </si>
  <si>
    <t>Sanitation Facility (Toilet)</t>
  </si>
  <si>
    <t>Financial matters</t>
  </si>
  <si>
    <t>Education of child</t>
  </si>
  <si>
    <t>Health care of child</t>
  </si>
  <si>
    <t>Purchase of Assets</t>
  </si>
  <si>
    <t>Day to day activities</t>
  </si>
  <si>
    <t>Social functions and marriages</t>
  </si>
  <si>
    <t>If ever you would lose your job because of the NSCR Project what sort of livelihood assistance would suit for your needs?</t>
  </si>
  <si>
    <t>Inventory of Skills (LINK)</t>
  </si>
  <si>
    <t>K4.1.1 Top 3 Constraints</t>
  </si>
  <si>
    <t>Business/ Livelihood Program (LINK)</t>
  </si>
  <si>
    <t>K4.1.2 Top 3 Constraints</t>
  </si>
  <si>
    <t>Allowance</t>
  </si>
  <si>
    <t xml:space="preserve">Literacy Training </t>
  </si>
  <si>
    <t>Family support</t>
  </si>
  <si>
    <t>Clothing</t>
  </si>
  <si>
    <t>Personality Development</t>
  </si>
  <si>
    <t>Training Tools</t>
  </si>
  <si>
    <t>Accommodation</t>
  </si>
  <si>
    <t>HIV/AIDS</t>
  </si>
  <si>
    <t xml:space="preserve"> Malaria</t>
  </si>
  <si>
    <t>Dengue</t>
  </si>
  <si>
    <t>Typhoid Fever</t>
  </si>
  <si>
    <t>Diarrhea</t>
  </si>
  <si>
    <t>Skin Disease</t>
  </si>
  <si>
    <t>Pneumonia</t>
  </si>
  <si>
    <t>Flu</t>
  </si>
  <si>
    <t>Asthma</t>
  </si>
  <si>
    <t>High Blood/Hyper Tension</t>
  </si>
  <si>
    <t>Heart Illness</t>
  </si>
  <si>
    <t>Weak lung</t>
  </si>
  <si>
    <t>Appendix</t>
  </si>
  <si>
    <t>Tuberculsis</t>
  </si>
  <si>
    <t>Fever</t>
  </si>
  <si>
    <t>Cough</t>
  </si>
  <si>
    <t>Colds</t>
  </si>
  <si>
    <t>Kidney Illness</t>
  </si>
  <si>
    <t>UTI</t>
  </si>
  <si>
    <t>Vertigo</t>
  </si>
  <si>
    <t>Ulcer</t>
  </si>
  <si>
    <t>Lung Illness</t>
  </si>
  <si>
    <t>Brain Illness</t>
  </si>
  <si>
    <t>Blind/ Eye Ilness</t>
  </si>
  <si>
    <t>Low Blood</t>
  </si>
  <si>
    <t>Mild Stroke/Stroke</t>
  </si>
  <si>
    <t>Heart Attack</t>
  </si>
  <si>
    <t>Arthritis</t>
  </si>
  <si>
    <t>Anemic</t>
  </si>
  <si>
    <t>Diabetes</t>
  </si>
  <si>
    <t>Meningitis</t>
  </si>
  <si>
    <t>Hepatitis</t>
  </si>
  <si>
    <t>Body Ache</t>
  </si>
  <si>
    <t>Mild Injury</t>
  </si>
  <si>
    <t>Goiter</t>
  </si>
  <si>
    <t>Mental Illness</t>
  </si>
  <si>
    <t>Cyst/Cancer</t>
  </si>
  <si>
    <t>PWD</t>
  </si>
  <si>
    <t>Myoma</t>
  </si>
  <si>
    <t>Goot/Uric Acid</t>
  </si>
  <si>
    <t>Cholesterol</t>
  </si>
  <si>
    <t>Hearing Disabilities</t>
  </si>
  <si>
    <t>Eye Disabilties</t>
  </si>
  <si>
    <t>Animal Bite</t>
  </si>
  <si>
    <t>Liver Illness</t>
  </si>
  <si>
    <t>Chicken Pox</t>
  </si>
  <si>
    <t>Measles</t>
  </si>
  <si>
    <t>Thyroid Illness</t>
  </si>
  <si>
    <t>Allergy</t>
  </si>
  <si>
    <t>Flooding in the last 5 years?</t>
  </si>
  <si>
    <t xml:space="preserve"> When deepest flooding </t>
  </si>
  <si>
    <t>Particular typhoon?</t>
  </si>
  <si>
    <t xml:space="preserve"> How many times </t>
  </si>
  <si>
    <t>Maximum height  (meters)</t>
  </si>
  <si>
    <t>Where is the  location of flooding? (street/road)</t>
  </si>
  <si>
    <t>how much damage caused by flood? (Php)</t>
  </si>
  <si>
    <t>How long  to subside? (HR)</t>
  </si>
  <si>
    <t>Respondent</t>
  </si>
  <si>
    <t>SES Team</t>
  </si>
  <si>
    <t>Date Interviewed</t>
  </si>
  <si>
    <t>DMS Team</t>
  </si>
  <si>
    <t>LOOKUP VALUES</t>
  </si>
  <si>
    <t>Business owner</t>
  </si>
  <si>
    <t>Tricycle</t>
  </si>
  <si>
    <t>Motorcycle</t>
  </si>
  <si>
    <t>Computer</t>
  </si>
  <si>
    <t>Electric fan</t>
  </si>
  <si>
    <t>Television</t>
  </si>
  <si>
    <t>Radio</t>
  </si>
  <si>
    <t>Music component</t>
  </si>
  <si>
    <t>Amplifier</t>
  </si>
  <si>
    <t>Refregirator</t>
  </si>
  <si>
    <t>Stove</t>
  </si>
  <si>
    <t>Superkalan</t>
  </si>
  <si>
    <t>Portable/DVD</t>
  </si>
  <si>
    <t>Car</t>
  </si>
  <si>
    <t>Gadget</t>
  </si>
  <si>
    <t>Tryke/Bike</t>
  </si>
  <si>
    <t>Rice Cooker</t>
  </si>
  <si>
    <t>Jeepney</t>
  </si>
  <si>
    <t>Water Purifier</t>
  </si>
  <si>
    <t>Aircon</t>
  </si>
  <si>
    <t>Washing Machine</t>
  </si>
  <si>
    <t>Sewing Machine</t>
  </si>
  <si>
    <t>1st</t>
  </si>
  <si>
    <t>2nd</t>
  </si>
  <si>
    <t>3rd</t>
  </si>
  <si>
    <t>category</t>
  </si>
  <si>
    <t>sampling</t>
  </si>
  <si>
    <t>Place Address of Source of Income</t>
  </si>
  <si>
    <t>Compensation for loss business capitals/funds</t>
  </si>
  <si>
    <t>Yearly every rainy season</t>
  </si>
  <si>
    <t>front of the house</t>
  </si>
  <si>
    <t>24 hrs</t>
  </si>
  <si>
    <t>Marlyn C. Manicao</t>
  </si>
  <si>
    <t>within the BRGY</t>
  </si>
  <si>
    <t>within the MUNICIPALITY</t>
  </si>
  <si>
    <t>Habagat</t>
  </si>
  <si>
    <t>Twice</t>
  </si>
  <si>
    <t>inside the house</t>
  </si>
  <si>
    <t>72 hrs</t>
  </si>
  <si>
    <t>Noel P. Cruz</t>
  </si>
  <si>
    <t>Amalia Ortula</t>
  </si>
  <si>
    <t>within the PROVINCE</t>
  </si>
  <si>
    <t>Jerico B. Cruz/ Noel Cruz</t>
  </si>
  <si>
    <t>OTHER Province</t>
  </si>
  <si>
    <t>every rainfall</t>
  </si>
  <si>
    <t>More than Thrice</t>
  </si>
  <si>
    <t>along the street</t>
  </si>
  <si>
    <t>1 week</t>
  </si>
  <si>
    <t>OVERSEAS Worker</t>
  </si>
  <si>
    <t>Dela Cruz, Joselito M.</t>
  </si>
  <si>
    <t xml:space="preserve">Owned Electric </t>
  </si>
  <si>
    <t>LPG</t>
  </si>
  <si>
    <t>Local Water District</t>
  </si>
  <si>
    <t>Personal water sealed flush (inside)</t>
  </si>
  <si>
    <t>Once</t>
  </si>
  <si>
    <t>Joselito M. Dela Cruz</t>
  </si>
  <si>
    <t>Christina Rivera</t>
  </si>
  <si>
    <t>Engr. Alvin S. Grafil</t>
  </si>
  <si>
    <t>Marlene Dela Cruz Batong Bakal</t>
  </si>
  <si>
    <t>Nerissa Dizon</t>
  </si>
  <si>
    <t>Architect</t>
  </si>
  <si>
    <t>Electricity and LPG</t>
  </si>
  <si>
    <t>Maynilad/ Manila Water</t>
  </si>
  <si>
    <t>street</t>
  </si>
  <si>
    <t>Dr. Jocelyn P. Cristobal</t>
  </si>
  <si>
    <t>Eduardo Inosanto</t>
  </si>
  <si>
    <t>LTO Employee</t>
  </si>
  <si>
    <t>Elenita P. Inosanto</t>
  </si>
  <si>
    <t>front of house</t>
  </si>
  <si>
    <t>Cherrylyn and Ferdinand T. Onglao</t>
  </si>
  <si>
    <t>Marlyn G. Manicad</t>
  </si>
  <si>
    <t>Utility Staff</t>
  </si>
  <si>
    <t>Personal water sealed flush (outside)</t>
  </si>
  <si>
    <t>48 hrs</t>
  </si>
  <si>
    <t>Rose Reantaso</t>
  </si>
  <si>
    <t>Kaith Apple Perlita</t>
  </si>
  <si>
    <t>Tutor</t>
  </si>
  <si>
    <t>LPG and Charcoal</t>
  </si>
  <si>
    <t>Honorata D. L. Cruz</t>
  </si>
  <si>
    <t>Deep well</t>
  </si>
  <si>
    <t>Business Capital/funds</t>
  </si>
  <si>
    <t>Gall Bladder</t>
  </si>
  <si>
    <t>Ondoy</t>
  </si>
  <si>
    <t>Road</t>
  </si>
  <si>
    <t>Engr. Avin S. Grafil</t>
  </si>
  <si>
    <t>Sandoval, Abel</t>
  </si>
  <si>
    <t>Jane D. Santos</t>
  </si>
  <si>
    <t>John Lenon C. Rivera</t>
  </si>
  <si>
    <t>Carmela Borja</t>
  </si>
  <si>
    <t>Tenorio, Virginia A.</t>
  </si>
  <si>
    <t>Jerrald Vergara</t>
  </si>
  <si>
    <t>Brgy. Kagawad, Tricycle Driver</t>
  </si>
  <si>
    <t>HABAGAT</t>
  </si>
  <si>
    <t>Street</t>
  </si>
  <si>
    <t>Erlinda De Ocera</t>
  </si>
  <si>
    <t>Engr. Ralph Agustus Senobio</t>
  </si>
  <si>
    <t>Bagtas, Gloria S</t>
  </si>
  <si>
    <t>Cristina Rivera</t>
  </si>
  <si>
    <t>OFW, Baking/Cooking, Care Giving</t>
  </si>
  <si>
    <t>Bulacan Water Distrcit</t>
  </si>
  <si>
    <t>Heavy Rain</t>
  </si>
  <si>
    <t>Nerissa Joy Dizon</t>
  </si>
  <si>
    <t>Lolita Capili</t>
  </si>
  <si>
    <t>Conchita M. Gansan</t>
  </si>
  <si>
    <t>Augusto S. David</t>
  </si>
  <si>
    <t>Evelyn M. Laroza</t>
  </si>
  <si>
    <t>Romeo Gabejan</t>
  </si>
  <si>
    <t>Remedios Galos</t>
  </si>
  <si>
    <t>Irene Milante</t>
  </si>
  <si>
    <t>Ma. Regina Lopez</t>
  </si>
  <si>
    <t>Factory Worker, Personal Laundry</t>
  </si>
  <si>
    <t>Charcoal</t>
  </si>
  <si>
    <t>Livelihood programs</t>
  </si>
  <si>
    <t>Laborer, Sewing (Mat)</t>
  </si>
  <si>
    <t>Gaas/kerosene</t>
  </si>
  <si>
    <t>NAWASA</t>
  </si>
  <si>
    <t>Deserie Magdaraog</t>
  </si>
  <si>
    <t>(signed)</t>
  </si>
  <si>
    <t>Natividad Lobetaña Masarque</t>
  </si>
  <si>
    <t>Rice Mill Laborer, Sewing</t>
  </si>
  <si>
    <t>Solar</t>
  </si>
  <si>
    <t>Busness capital/funds</t>
  </si>
  <si>
    <t>lack of skills</t>
  </si>
  <si>
    <t>old age</t>
  </si>
  <si>
    <t>lack of finances</t>
  </si>
  <si>
    <t>Transportation expenses</t>
  </si>
  <si>
    <t>Taking care on family member (esp. if sick)</t>
  </si>
  <si>
    <t>Transportation Budget</t>
  </si>
  <si>
    <t>Materials in training</t>
  </si>
  <si>
    <t>along road</t>
  </si>
  <si>
    <t>3 Hrs</t>
  </si>
  <si>
    <t>Natividad Lobetana</t>
  </si>
  <si>
    <t>Molinda P. Francisco</t>
  </si>
  <si>
    <t>Kaith Apple Peralta</t>
  </si>
  <si>
    <r>
      <t>Pabilo</t>
    </r>
    <r>
      <rPr>
        <sz val="10"/>
        <rFont val="Calibri"/>
        <family val="2"/>
      </rPr>
      <t>ña, Angel V.</t>
    </r>
  </si>
  <si>
    <t>Ronnie</t>
  </si>
  <si>
    <t>Angel Pabiloña Jr</t>
  </si>
  <si>
    <t>Garden Plant (Entrprenuer)</t>
  </si>
  <si>
    <t>Sharing (Neighbor)</t>
  </si>
  <si>
    <r>
      <t>Angel V. Pabil</t>
    </r>
    <r>
      <rPr>
        <sz val="10"/>
        <rFont val="Calibri"/>
        <family val="2"/>
      </rPr>
      <t>ña</t>
    </r>
  </si>
  <si>
    <t xml:space="preserve">Michael </t>
  </si>
  <si>
    <t>Engr. Rahlp Augustus</t>
  </si>
  <si>
    <t>GG-006-ISF-SO</t>
  </si>
  <si>
    <t>Liive-in</t>
  </si>
  <si>
    <t>Cook (Canteen)</t>
  </si>
  <si>
    <t>Robles, Romana M.</t>
  </si>
  <si>
    <t>More than thrice</t>
  </si>
  <si>
    <t>1 hr</t>
  </si>
  <si>
    <t>GG-013-LO-SXBOA</t>
  </si>
  <si>
    <t xml:space="preserve">REFUSED TO BE INTERVIEWED </t>
  </si>
  <si>
    <t>Jenna C. Angeles</t>
  </si>
  <si>
    <t>Deep well/NAWASA/Water refill</t>
  </si>
  <si>
    <t>Every Rainfall</t>
  </si>
  <si>
    <t>outside the house</t>
  </si>
  <si>
    <t>Aida C. Angeles</t>
  </si>
  <si>
    <t>Loida S. David</t>
  </si>
  <si>
    <t>Mamerto Gonzales</t>
  </si>
  <si>
    <t>Milagros A. Lacuna</t>
  </si>
  <si>
    <t>yearly</t>
  </si>
  <si>
    <t>Rainy season</t>
  </si>
  <si>
    <t>Rice field</t>
  </si>
  <si>
    <t>GG-0015.3-LOA</t>
  </si>
  <si>
    <t>Ma. Mariquita S. Ariola</t>
  </si>
  <si>
    <t>sharing</t>
  </si>
  <si>
    <t>1 (sira)</t>
  </si>
  <si>
    <t>Business Capital/ Funds</t>
  </si>
  <si>
    <t>Difficulty of finding new place for business</t>
  </si>
  <si>
    <t>Significant distance to residence</t>
  </si>
  <si>
    <t>Schedule</t>
  </si>
  <si>
    <t>Possible loss of existing income</t>
  </si>
  <si>
    <t>Lack of finances</t>
  </si>
  <si>
    <t>Thrice</t>
  </si>
  <si>
    <t>1 m</t>
  </si>
  <si>
    <t>Felicisima Ramirez</t>
  </si>
  <si>
    <t xml:space="preserve">Francisco Santiago </t>
  </si>
  <si>
    <t xml:space="preserve">Marnellyn </t>
  </si>
  <si>
    <t>BO-000.1</t>
  </si>
  <si>
    <t>Rosali I. Santos</t>
  </si>
  <si>
    <t>Separated/live with new</t>
  </si>
  <si>
    <t>House Maid, Driver</t>
  </si>
  <si>
    <t>Rechargable battery</t>
  </si>
  <si>
    <t>Common water sealed flush</t>
  </si>
  <si>
    <t>Difficulty of re establishing business</t>
  </si>
  <si>
    <t>Lack of skills</t>
  </si>
  <si>
    <t>along the road</t>
  </si>
  <si>
    <t>Camilo O. Santor</t>
  </si>
  <si>
    <t>Luzvimminda D. Tuazon</t>
  </si>
  <si>
    <t>Ma. Mariquita Ariola</t>
  </si>
  <si>
    <t>Samuel Insalada</t>
  </si>
  <si>
    <t>Water refill</t>
  </si>
  <si>
    <t>Job/employment</t>
  </si>
  <si>
    <t>Cheryl S. Miones</t>
  </si>
  <si>
    <t>M.Leonardo</t>
  </si>
  <si>
    <t>Felipe F. Villamar</t>
  </si>
  <si>
    <t>Leonora D. Leonen</t>
  </si>
  <si>
    <t>Manicurist, Avon, 4P's  and SM Employee</t>
  </si>
  <si>
    <t xml:space="preserve">owned Electric </t>
  </si>
  <si>
    <t>Deep Well</t>
  </si>
  <si>
    <t>HH responsibilities</t>
  </si>
  <si>
    <t>Financial</t>
  </si>
  <si>
    <t>Health Condition</t>
  </si>
  <si>
    <t>Transportation allowance</t>
  </si>
  <si>
    <t>Camilo O.santor</t>
  </si>
  <si>
    <t>Goldsmith, 4P's</t>
  </si>
  <si>
    <t>Open pit</t>
  </si>
  <si>
    <t>Lorna P. Villanueva</t>
  </si>
  <si>
    <t>Wilma C. Barazon</t>
  </si>
  <si>
    <t>Water Refill</t>
  </si>
  <si>
    <t>along the hi-way</t>
  </si>
  <si>
    <t>Jennifer Y. Bongcalos</t>
  </si>
  <si>
    <t>Sharing</t>
  </si>
  <si>
    <t>in front of house</t>
  </si>
  <si>
    <t>Rea Erika Leaño</t>
  </si>
  <si>
    <t>110 legal</t>
  </si>
  <si>
    <t>MA-010A-SH</t>
  </si>
  <si>
    <t>Rizalto N. Miramvil</t>
  </si>
  <si>
    <t>Mendoza, Adriano N.</t>
  </si>
  <si>
    <t>Shallow Well</t>
  </si>
  <si>
    <t>Lack of capital</t>
  </si>
  <si>
    <t>Taking care of sick father</t>
  </si>
  <si>
    <t>Need to take care of sick father</t>
  </si>
  <si>
    <t>time and schedules</t>
  </si>
  <si>
    <t>allowance</t>
  </si>
  <si>
    <t>REFUSED TO BE INTERVIEWED</t>
  </si>
  <si>
    <t>limited physical abilities</t>
  </si>
  <si>
    <t>HH tasks as mother</t>
  </si>
  <si>
    <t>Margarita G. Felipe</t>
  </si>
  <si>
    <t>Mendoza, Reynaldo N.</t>
  </si>
  <si>
    <t>Limited skills</t>
  </si>
  <si>
    <t>Limited physical ability</t>
  </si>
  <si>
    <t>food allowance</t>
  </si>
  <si>
    <t>entire road</t>
  </si>
  <si>
    <t>Perlita Mendoza</t>
  </si>
  <si>
    <t>Difficulty of finding new space and location</t>
  </si>
  <si>
    <t>Loss of customer</t>
  </si>
  <si>
    <t>difficulty of putting up business and loss of regular customer</t>
  </si>
  <si>
    <t>less than 1</t>
  </si>
  <si>
    <t>Virgilio Enriquez</t>
  </si>
  <si>
    <t>along the  hi-way</t>
  </si>
  <si>
    <t>Salvacion M. Enriquez</t>
  </si>
  <si>
    <t>Camilo O. Sator</t>
  </si>
  <si>
    <t>Guadalupe, Michael S.P.</t>
  </si>
  <si>
    <t>Loss of regular customer</t>
  </si>
  <si>
    <t>Difficulty of finding new space for business</t>
  </si>
  <si>
    <t>Limited business skills</t>
  </si>
  <si>
    <t>schedule</t>
  </si>
  <si>
    <t>transportation allowance</t>
  </si>
  <si>
    <t>Christian Don M. Fiesta</t>
  </si>
  <si>
    <t>More than Thirce</t>
  </si>
  <si>
    <t>outside the church</t>
  </si>
  <si>
    <t>Leopoldo T. Espiritu</t>
  </si>
  <si>
    <t>Lenora Lanoso</t>
  </si>
  <si>
    <t>Lilibeth B. Enem</t>
  </si>
  <si>
    <t>Per</t>
  </si>
  <si>
    <t>Elsa S. Domingo</t>
  </si>
  <si>
    <t>Clarence Gesto</t>
  </si>
  <si>
    <t>Welding, Call Center</t>
  </si>
  <si>
    <t>Rosen Manalastas</t>
  </si>
  <si>
    <t>Tailoring, Cashier (Employee)</t>
  </si>
  <si>
    <t>Jose Odon</t>
  </si>
  <si>
    <t>Sharing (Sub-meter)</t>
  </si>
  <si>
    <t>Rosita odon</t>
  </si>
  <si>
    <t xml:space="preserve"> Ma. Alona Luteria</t>
  </si>
  <si>
    <t>Publico, Rustico P.</t>
  </si>
  <si>
    <t>Vendor and Store Keeper</t>
  </si>
  <si>
    <t>Mgas</t>
  </si>
  <si>
    <t>Business capital/Funds</t>
  </si>
  <si>
    <t>Rustico P. Publico</t>
  </si>
  <si>
    <t>2009, 2012</t>
  </si>
  <si>
    <t>Ondoy, Habagat</t>
  </si>
  <si>
    <t>Corazon D. De Guzman</t>
  </si>
  <si>
    <t>Due to illness</t>
  </si>
  <si>
    <t>Health issues</t>
  </si>
  <si>
    <t>Physical limitations (old age)</t>
  </si>
  <si>
    <t>Health assistance and maintenance</t>
  </si>
  <si>
    <t>Leonilo Geronimo</t>
  </si>
  <si>
    <t>Kerosene</t>
  </si>
  <si>
    <t>Job/Employment, Business capital/funds</t>
  </si>
  <si>
    <t>Age limit</t>
  </si>
  <si>
    <t>Conflicts on schedule</t>
  </si>
  <si>
    <t>Lack of budget</t>
  </si>
  <si>
    <t>Support for food</t>
  </si>
  <si>
    <t>Financial support</t>
  </si>
  <si>
    <t>Roberto D.G. Funa</t>
  </si>
  <si>
    <t>Tropical Depression</t>
  </si>
  <si>
    <t>Marco Abdullah Guiambangan</t>
  </si>
  <si>
    <t>Job/Employment, Business Capital/funds</t>
  </si>
  <si>
    <t>Lack of educational atainments</t>
  </si>
  <si>
    <t>Schedule on work conflict</t>
  </si>
  <si>
    <t>Alowance</t>
  </si>
  <si>
    <t>Imelda O Dellota</t>
  </si>
  <si>
    <t>Lackof skills</t>
  </si>
  <si>
    <t>Lani O. Dellota</t>
  </si>
  <si>
    <t xml:space="preserve">old age </t>
  </si>
  <si>
    <t>nag aalaga ng bata</t>
  </si>
  <si>
    <t>Nawasa</t>
  </si>
  <si>
    <t>Rogelio R. Olivares</t>
  </si>
  <si>
    <t>Yolanda</t>
  </si>
  <si>
    <t>Ramil C. Ramos</t>
  </si>
  <si>
    <t>Lauro C. Ramos</t>
  </si>
  <si>
    <t>Sonny B. Garcia</t>
  </si>
  <si>
    <t>Ronnie H. Berbardino</t>
  </si>
  <si>
    <t>Ronnie Bernardino</t>
  </si>
  <si>
    <t>Along the street</t>
  </si>
  <si>
    <t>Nueva, Susana</t>
  </si>
  <si>
    <t>Schedule and time</t>
  </si>
  <si>
    <t>Physical Limitation</t>
  </si>
  <si>
    <t>Allowances</t>
  </si>
  <si>
    <t>Transportation sevice</t>
  </si>
  <si>
    <t>Training tools</t>
  </si>
  <si>
    <t>Susanna Nueva</t>
  </si>
  <si>
    <t>Nueva, Rommel</t>
  </si>
  <si>
    <t>Delberto, Tabanaw</t>
  </si>
  <si>
    <t>Inside the house</t>
  </si>
  <si>
    <t>Marissa Diaz</t>
  </si>
  <si>
    <t>5-days</t>
  </si>
  <si>
    <t>Edwin Diaz</t>
  </si>
  <si>
    <t>Sarmiento Heneroso</t>
  </si>
  <si>
    <t>Limited space to put up again the business</t>
  </si>
  <si>
    <t>Hard to relocate</t>
  </si>
  <si>
    <t>Pio M. Danao</t>
  </si>
  <si>
    <t>Business/capital funds</t>
  </si>
  <si>
    <t>Lack of educational attainment</t>
  </si>
  <si>
    <t>Job/Employment</t>
  </si>
  <si>
    <t>Supporting family member</t>
  </si>
  <si>
    <t>Possible loss of extra income</t>
  </si>
  <si>
    <t>Allowancce</t>
  </si>
  <si>
    <t>Pepito Co</t>
  </si>
  <si>
    <t>Shallow well/ Water Refill</t>
  </si>
  <si>
    <t>Emmanuel V. Cruz</t>
  </si>
  <si>
    <t>Difficulty of finding new location for existing business</t>
  </si>
  <si>
    <t>children was schooling</t>
  </si>
  <si>
    <t>Allowance in food and transportation</t>
  </si>
  <si>
    <t>Lilibeth Enem</t>
  </si>
  <si>
    <t>Fernando Lorenzo/Adora Lingahan</t>
  </si>
  <si>
    <t>Traffic Official</t>
  </si>
  <si>
    <t>Personal water sealed flush(inside)</t>
  </si>
  <si>
    <t>Jhay-R Aquilo</t>
  </si>
  <si>
    <t>4-days</t>
  </si>
  <si>
    <t>Imelda T. Quine</t>
  </si>
  <si>
    <t>Michael Balisacan</t>
  </si>
  <si>
    <t>Painter/Beautician/Factory Worker</t>
  </si>
  <si>
    <t>Shelane</t>
  </si>
  <si>
    <t>Inside house</t>
  </si>
  <si>
    <t>Analiza Castro</t>
  </si>
  <si>
    <t>Empoyee and OFW</t>
  </si>
  <si>
    <t>Christopher Dumalay</t>
  </si>
  <si>
    <t>Slaugtherer</t>
  </si>
  <si>
    <t>Isabel B. Sarabillo</t>
  </si>
  <si>
    <t>Manangan, Rodrigo C.</t>
  </si>
  <si>
    <t>Rodrigo C. Manangan</t>
  </si>
  <si>
    <t>Livelihood program</t>
  </si>
  <si>
    <t>Lack of education</t>
  </si>
  <si>
    <t>Lack of stable source/ Loss of Customer</t>
  </si>
  <si>
    <t>Food  allowance</t>
  </si>
  <si>
    <t>Free Training</t>
  </si>
  <si>
    <t>2-weeks</t>
  </si>
  <si>
    <t>Rafael D. Rosillo</t>
  </si>
  <si>
    <t>1- 2 weeks</t>
  </si>
  <si>
    <t>Haircut, Rooster House Renting</t>
  </si>
  <si>
    <t>Lack of educational attainments</t>
  </si>
  <si>
    <t>Physical limitations</t>
  </si>
  <si>
    <t>Roselio Sebastian</t>
  </si>
  <si>
    <t>NFA Helper, Sidecar</t>
  </si>
  <si>
    <t>Lack of Materials</t>
  </si>
  <si>
    <t>Lack of Capital</t>
  </si>
  <si>
    <t>If got sick</t>
  </si>
  <si>
    <t>Physical limitation</t>
  </si>
  <si>
    <t>Allowance Food</t>
  </si>
  <si>
    <t xml:space="preserve">1 week </t>
  </si>
  <si>
    <t>Raul D. Rosillo</t>
  </si>
  <si>
    <t>NFA Helper, Dress Making</t>
  </si>
  <si>
    <t>Wood and Charcoal</t>
  </si>
  <si>
    <t>Lack of financial assistance</t>
  </si>
  <si>
    <t>Taking care of children</t>
  </si>
  <si>
    <t>Food support</t>
  </si>
  <si>
    <t>Financial Needs</t>
  </si>
  <si>
    <t>Work</t>
  </si>
  <si>
    <t>days and months</t>
  </si>
  <si>
    <t>Wood and LPG</t>
  </si>
  <si>
    <t>Job/Employment/ Businesscapital/funds</t>
  </si>
  <si>
    <t>No place for farming</t>
  </si>
  <si>
    <t>Taking care of the children</t>
  </si>
  <si>
    <t>Possible loss of income</t>
  </si>
  <si>
    <t>Time and schedule</t>
  </si>
  <si>
    <t>Tranportation expenses</t>
  </si>
  <si>
    <t xml:space="preserve"> -</t>
  </si>
  <si>
    <t>Farming, Labor</t>
  </si>
  <si>
    <t>Mauricio D. Quillosa Jr.</t>
  </si>
  <si>
    <t>Balik Probinsya Expenses</t>
  </si>
  <si>
    <t>inside compd.</t>
  </si>
  <si>
    <t>1 week or more</t>
  </si>
  <si>
    <t>Heavy Equipment Operator</t>
  </si>
  <si>
    <t>limited space for taniman</t>
  </si>
  <si>
    <t>Loss of income</t>
  </si>
  <si>
    <t>Lack of transportation allowance</t>
  </si>
  <si>
    <t>May have higher income</t>
  </si>
  <si>
    <t>Health problems</t>
  </si>
  <si>
    <t>Fare</t>
  </si>
  <si>
    <t>Bought Nawasa, Deep well</t>
  </si>
  <si>
    <t>May absent</t>
  </si>
  <si>
    <t>Food Allowance</t>
  </si>
  <si>
    <t>Transport Service</t>
  </si>
  <si>
    <t>oustide the house</t>
  </si>
  <si>
    <t>Oliver A. Esponilla</t>
  </si>
  <si>
    <t>1-3 weeks</t>
  </si>
  <si>
    <t>Carpentry, Labor</t>
  </si>
  <si>
    <t>Gaas and flashlight</t>
  </si>
  <si>
    <t>1-2 weeks</t>
  </si>
  <si>
    <t>Public toilet</t>
  </si>
  <si>
    <t xml:space="preserve">Rosemarie Sinaggote </t>
  </si>
  <si>
    <t>Construction Worker, Vendor</t>
  </si>
  <si>
    <t>Farming, Construction Worker</t>
  </si>
  <si>
    <t>Gas/kerosene</t>
  </si>
  <si>
    <t>Names!E719</t>
  </si>
  <si>
    <t>Sales Agent (Employee)</t>
  </si>
  <si>
    <t>Owned electric meter</t>
  </si>
  <si>
    <t>Maynilad/Manila Water</t>
  </si>
  <si>
    <t>2-3 days</t>
  </si>
  <si>
    <t>Ruby D.Retome</t>
  </si>
  <si>
    <t>Luz S. Alcantara</t>
  </si>
  <si>
    <t>Dexer B. Foneleza</t>
  </si>
  <si>
    <t>Rosario Baltao Velardo</t>
  </si>
  <si>
    <t>Joselito Villacarlos Marabe</t>
  </si>
  <si>
    <t>BLANK</t>
  </si>
  <si>
    <t>Cash compensation/ Balik Probinsya</t>
  </si>
  <si>
    <t>Lolita D. Llanos</t>
  </si>
  <si>
    <t>Ruby D. Retome</t>
  </si>
  <si>
    <t>Susana C. Fernandez</t>
  </si>
  <si>
    <t>Capentry, Masonry</t>
  </si>
  <si>
    <t>Business capital/Funds, Balik Probinsya</t>
  </si>
  <si>
    <t>No capital</t>
  </si>
  <si>
    <t>Manpower</t>
  </si>
  <si>
    <t>Tools</t>
  </si>
  <si>
    <t>Transportation Expenses</t>
  </si>
  <si>
    <t>Time/Schedule</t>
  </si>
  <si>
    <t>Transportation Allowance</t>
  </si>
  <si>
    <t>Ricky Paloma Olanggo</t>
  </si>
  <si>
    <t>Mabuti, Rowel G.</t>
  </si>
  <si>
    <t>Sonny Cortan</t>
  </si>
  <si>
    <t>Deliver Helper</t>
  </si>
  <si>
    <t>Sharing (neighbor)</t>
  </si>
  <si>
    <t>Hening</t>
  </si>
  <si>
    <t>inside the House</t>
  </si>
  <si>
    <t>Sharing (J)</t>
  </si>
  <si>
    <t>Massage Therapist</t>
  </si>
  <si>
    <t>Masontry</t>
  </si>
  <si>
    <t>Dexler B. Forneloza</t>
  </si>
  <si>
    <t>Onlie Casino Dealer</t>
  </si>
  <si>
    <t>30 minutes</t>
  </si>
  <si>
    <t>Jaqui Magno</t>
  </si>
  <si>
    <t>Bernardo Villarnueva Veroy</t>
  </si>
  <si>
    <t>2012/2013</t>
  </si>
  <si>
    <t>Mhariz Villanueva Veroy</t>
  </si>
  <si>
    <t>Construction Helper, 4p's Beneficiary</t>
  </si>
  <si>
    <t>(Nakikiigib)</t>
  </si>
  <si>
    <t>Jackylyne S. Licarus</t>
  </si>
  <si>
    <t>Secretary (Funeral Service)</t>
  </si>
  <si>
    <t>Edna A. Balajada</t>
  </si>
  <si>
    <t>Employee, Apartment (Owner)</t>
  </si>
  <si>
    <t>Lack of Skills</t>
  </si>
  <si>
    <t>Lack of Finances</t>
  </si>
  <si>
    <t>Heavy rains</t>
  </si>
  <si>
    <t>Joey De Guzman Casople</t>
  </si>
  <si>
    <t>Laila Licarus</t>
  </si>
  <si>
    <t>Lorena Licarus</t>
  </si>
  <si>
    <t>Helper, Driver</t>
  </si>
  <si>
    <t>Mary Jane S. Licarus</t>
  </si>
  <si>
    <t>Tan, Rosalina B.</t>
  </si>
  <si>
    <t>Julia Mae Tan</t>
  </si>
  <si>
    <t>Hermalyn Enem Cabais</t>
  </si>
  <si>
    <t>Vegetable Vendor, Jeepney Driver</t>
  </si>
  <si>
    <t>Maricel Mateo</t>
  </si>
  <si>
    <t>Construstion Worker</t>
  </si>
  <si>
    <t>Public Toilet (Market)</t>
  </si>
  <si>
    <t>Old Age</t>
  </si>
  <si>
    <t>Health Issue</t>
  </si>
  <si>
    <t>Food Expenses</t>
  </si>
  <si>
    <t>Serafin S. Bie</t>
  </si>
  <si>
    <t>Dolores V. De Leon</t>
  </si>
  <si>
    <t>Reynaldo A. Visperas</t>
  </si>
  <si>
    <t>Eduardo Simbulan</t>
  </si>
  <si>
    <t>Reynaldo B. Soan</t>
  </si>
  <si>
    <t>Divinia M. Lipao</t>
  </si>
  <si>
    <t>Agulto, Divina M.</t>
  </si>
  <si>
    <t>Welder Laborer, Sari-Sari Store</t>
  </si>
  <si>
    <t>Divina Agulto</t>
  </si>
  <si>
    <t>Parungao, Nancy S.</t>
  </si>
  <si>
    <t>Renato S. Parungao</t>
  </si>
  <si>
    <t>Joner Dula</t>
  </si>
  <si>
    <t>Joner P. Dula</t>
  </si>
  <si>
    <t>Nenita H. Caco</t>
  </si>
  <si>
    <t>Cunanan, Benilda G.</t>
  </si>
  <si>
    <t>Benilda Cunanan</t>
  </si>
  <si>
    <t>Maria Delia I. Caco</t>
  </si>
  <si>
    <t>Benedicto Pacheco</t>
  </si>
  <si>
    <t>Pedring</t>
  </si>
  <si>
    <t>Leny Sacdalan</t>
  </si>
  <si>
    <t>Wood, Charcoal</t>
  </si>
  <si>
    <t>Celestino C. Abala</t>
  </si>
  <si>
    <t>LPG, Kerosene</t>
  </si>
  <si>
    <t>Location</t>
  </si>
  <si>
    <t>Place of training</t>
  </si>
  <si>
    <t>Gilda Eugenio</t>
  </si>
  <si>
    <t>Virginia R. Salazar</t>
  </si>
  <si>
    <t>Gugulan, Nieva</t>
  </si>
  <si>
    <t>Nieva D. Gugulan</t>
  </si>
  <si>
    <t>(signature)</t>
  </si>
  <si>
    <t>Erlinda V. Nucum</t>
  </si>
  <si>
    <t>Conchita D. Verdom</t>
  </si>
  <si>
    <t>Bella R. Verdon</t>
  </si>
  <si>
    <t>Edith Veerdon Miranda</t>
  </si>
  <si>
    <t>Edith V. Miranda</t>
  </si>
  <si>
    <t>Quebral, Rhoderick S.</t>
  </si>
  <si>
    <t>Rosalie T. Asaytono</t>
  </si>
  <si>
    <t>Ma. Teresa S. Ramirez</t>
  </si>
  <si>
    <t>Ma. Teresa S. Ramirez-Matsushima</t>
  </si>
  <si>
    <t>Rosalina s. Buenaventura</t>
  </si>
  <si>
    <t>Nelita S. Noveda</t>
  </si>
  <si>
    <t>VC-071-LO-SBOO</t>
  </si>
  <si>
    <t>Inside the House</t>
  </si>
  <si>
    <t>Arturo S. Versosa</t>
  </si>
  <si>
    <t>VC-072-LOA</t>
  </si>
  <si>
    <t>VC-072-LD-SXOO</t>
  </si>
  <si>
    <t>Teresita Villanueva Cayco</t>
  </si>
  <si>
    <t>Teresita V. Cayco</t>
  </si>
  <si>
    <t>Ma. Luisa Cayco Villanueva</t>
  </si>
  <si>
    <t>Mercydita B. Solomon</t>
  </si>
  <si>
    <t>Pension and Driver</t>
  </si>
  <si>
    <t>No Time</t>
  </si>
  <si>
    <t>Iwakiri, Jennifer C.</t>
  </si>
  <si>
    <t>Jerry I. Madela</t>
  </si>
  <si>
    <t>Merlita Torres</t>
  </si>
  <si>
    <t>Gloria Baginang</t>
  </si>
  <si>
    <t>Marjorie Pajanonot So</t>
  </si>
  <si>
    <t>Jounamarry Badilla</t>
  </si>
  <si>
    <t>Rebecca D. Barcelon</t>
  </si>
  <si>
    <t>Adelaida Manabo</t>
  </si>
  <si>
    <t>Rodolfo Del Rosario</t>
  </si>
  <si>
    <t>Narcissa D.C. Del Rosario</t>
  </si>
  <si>
    <t>Cresthene Espora</t>
  </si>
  <si>
    <t>Luzviminda L. Pertez</t>
  </si>
  <si>
    <t>Ronald Mendoza</t>
  </si>
  <si>
    <t>Marjorie Grana Balmoria</t>
  </si>
  <si>
    <t>Gema Dela Cruz</t>
  </si>
  <si>
    <t>Andre Marian Sarruca</t>
  </si>
  <si>
    <t>Romeo F. Gatchalian</t>
  </si>
  <si>
    <t>Mary Ann Espinosa</t>
  </si>
  <si>
    <t>( Jonathan Dela Torre )</t>
  </si>
  <si>
    <t>( Cathy Domosmog )</t>
  </si>
  <si>
    <t>Richard O. Domosmog</t>
  </si>
  <si>
    <t>( Telly Monghit )</t>
  </si>
  <si>
    <t>Telly Villa</t>
  </si>
  <si>
    <t>( Fatima Ecarma )</t>
  </si>
  <si>
    <t>Ma. Fatima Ecarma</t>
  </si>
  <si>
    <t>Wilma H. Kabashima</t>
  </si>
  <si>
    <t>Tricycle driver</t>
  </si>
  <si>
    <t>Barbara Toamquin</t>
  </si>
  <si>
    <t>Salonga, Adoracion E.</t>
  </si>
  <si>
    <t>Adoracion Salonga</t>
  </si>
  <si>
    <t>Concepcion, George S.</t>
  </si>
  <si>
    <t>George S. Concepcion</t>
  </si>
  <si>
    <t>Rogelio Salonga</t>
  </si>
  <si>
    <t>Efrelyn D. Salonga</t>
  </si>
  <si>
    <t>Jaycie Concepcion</t>
  </si>
  <si>
    <t>Factory WorKer</t>
  </si>
  <si>
    <t>Marilyn salang Beldosola</t>
  </si>
  <si>
    <t>Remiitance and Factory Workers</t>
  </si>
  <si>
    <t>Francisca Cruz Cabigas</t>
  </si>
  <si>
    <t>Personal water sealed flush (inside the house)</t>
  </si>
  <si>
    <t>Financial Assistance (in Applying for job)</t>
  </si>
  <si>
    <t>Age Limit</t>
  </si>
  <si>
    <t>Skill Limited</t>
  </si>
  <si>
    <t>Lack of Tools</t>
  </si>
  <si>
    <t>Location for Busness</t>
  </si>
  <si>
    <t>Invitation for Training</t>
  </si>
  <si>
    <t>Ferdinand Lugo Tamamao</t>
  </si>
  <si>
    <t>Helper on Church and Store</t>
  </si>
  <si>
    <t>Time</t>
  </si>
  <si>
    <t>Pedring, HABAGAT</t>
  </si>
  <si>
    <t>Livie-in</t>
  </si>
  <si>
    <t>Upsholtery</t>
  </si>
  <si>
    <t>Wood, LPG, Charcoal</t>
  </si>
  <si>
    <t>Rolando L. Oñias</t>
  </si>
  <si>
    <t>(date only)</t>
  </si>
  <si>
    <t>(Forgot to sign)</t>
  </si>
  <si>
    <t>Maria Catherine A. Delos Trinos</t>
  </si>
  <si>
    <t>Salazar, Alberto S</t>
  </si>
  <si>
    <t>Owner of Canteen</t>
  </si>
  <si>
    <t>Alberto Salazar</t>
  </si>
  <si>
    <t>John David Cordero</t>
  </si>
  <si>
    <t>Katherine Mary B. Gaces</t>
  </si>
  <si>
    <t>Archimedes Brazil</t>
  </si>
  <si>
    <t>Space for Business</t>
  </si>
  <si>
    <t>Money</t>
  </si>
  <si>
    <t>Aurora Aguildo</t>
  </si>
  <si>
    <t>Michael T. Baliscan</t>
  </si>
  <si>
    <t>Public Toilet</t>
  </si>
  <si>
    <t>Darwin S. Pajar</t>
  </si>
  <si>
    <t>Other Business</t>
  </si>
  <si>
    <t>Compensation</t>
  </si>
  <si>
    <t>Jessa Solainne K. Saballero</t>
  </si>
  <si>
    <t>Elijah Santos</t>
  </si>
  <si>
    <t>Badal, Roberto M.</t>
  </si>
  <si>
    <t>Kerosene (gaas)</t>
  </si>
  <si>
    <t>Manuel Badal</t>
  </si>
  <si>
    <t>Manuel M. Badal</t>
  </si>
  <si>
    <t>Rose Badal Mercado</t>
  </si>
  <si>
    <t>Imelda Mahilom Badal</t>
  </si>
  <si>
    <t>Food</t>
  </si>
  <si>
    <t>De Paz, Aileen M.</t>
  </si>
  <si>
    <t>Livelihood Programs</t>
  </si>
  <si>
    <t>Aileen M. De Paz</t>
  </si>
  <si>
    <t>Ricardo A. Dela Cruz</t>
  </si>
  <si>
    <t>Business Capital/Funds, Livelihood Programs</t>
  </si>
  <si>
    <t>Unskilled</t>
  </si>
  <si>
    <t>Security</t>
  </si>
  <si>
    <t>Training Materials</t>
  </si>
  <si>
    <t>Mar Natividad</t>
  </si>
  <si>
    <t>Driver (Uber)</t>
  </si>
  <si>
    <t>Franz Louisse Salazar</t>
  </si>
  <si>
    <t>Kerosene, Charcoal</t>
  </si>
  <si>
    <t>Maria Evelyn D. Resurrecion</t>
  </si>
  <si>
    <t>Osmundo Lordan Astibe</t>
  </si>
  <si>
    <t>Unwillingness</t>
  </si>
  <si>
    <t>Family Support</t>
  </si>
  <si>
    <t>Age Discrepancy</t>
  </si>
  <si>
    <t>Recent</t>
  </si>
  <si>
    <t>Lando</t>
  </si>
  <si>
    <t>Mayniad/Manila Water</t>
  </si>
  <si>
    <t>Cutter, Cook</t>
  </si>
  <si>
    <t>Electricity</t>
  </si>
  <si>
    <t>Time for work</t>
  </si>
  <si>
    <t>Duties and Responsibility</t>
  </si>
  <si>
    <t>Food and Transportation</t>
  </si>
  <si>
    <t>LPA</t>
  </si>
  <si>
    <t>10-days</t>
  </si>
  <si>
    <t>Ailyn A. Fajardo</t>
  </si>
  <si>
    <t>Sari-sari store and Tricycle Driver</t>
  </si>
  <si>
    <t>Gilbert Hernandez</t>
  </si>
  <si>
    <t>Glenda</t>
  </si>
  <si>
    <t>Salvador Cardona</t>
  </si>
  <si>
    <t xml:space="preserve">                                                                             </t>
  </si>
  <si>
    <t>Fannie A. Oliva</t>
  </si>
  <si>
    <t>Micandro Silva</t>
  </si>
  <si>
    <t>Tonsilitis</t>
  </si>
  <si>
    <t>Nicardro M. Silva</t>
  </si>
  <si>
    <t>Astorga, Renalyn M.</t>
  </si>
  <si>
    <t>Personal water sealed (inside the house)</t>
  </si>
  <si>
    <t>Allan Soriano</t>
  </si>
  <si>
    <t>Gilda Gregorio Paldo</t>
  </si>
  <si>
    <t>Condrado C. Limos</t>
  </si>
  <si>
    <t>Joseph Pellas (refused to sign)</t>
  </si>
  <si>
    <t>Virginia A. Pagdanganan</t>
  </si>
  <si>
    <t>Romarico G. Intal</t>
  </si>
  <si>
    <t>Retired</t>
  </si>
  <si>
    <t>Raul Gastardo</t>
  </si>
  <si>
    <t>Maynilad</t>
  </si>
  <si>
    <t>Personal water sealed(inside the house/family used)</t>
  </si>
  <si>
    <t>infront of the house</t>
  </si>
  <si>
    <t>Jocelyn I. Gastardo</t>
  </si>
  <si>
    <t>Heavy Rains</t>
  </si>
  <si>
    <t>Jocelyn Apacible</t>
  </si>
  <si>
    <t>Outside the house</t>
  </si>
  <si>
    <t>Nelia Apacible</t>
  </si>
  <si>
    <t>Mamerto Macaspac</t>
  </si>
  <si>
    <t>Meriam Rason</t>
  </si>
  <si>
    <t>Personal water sealed (outside the house)</t>
  </si>
  <si>
    <t>Trainning Tools</t>
  </si>
  <si>
    <t>Charmaine P. Baustista</t>
  </si>
  <si>
    <t>Marites Garlan</t>
  </si>
  <si>
    <t>Securit Guard</t>
  </si>
  <si>
    <t>Rosana Rendon</t>
  </si>
  <si>
    <t>Cherrylyn P. Bautista</t>
  </si>
  <si>
    <t>Torneros, Jenelyn O.</t>
  </si>
  <si>
    <t>Cristine Rivera</t>
  </si>
  <si>
    <t>Ondoy, Yolanda</t>
  </si>
  <si>
    <t>inc in 399</t>
  </si>
  <si>
    <t>Wood, Kerosene</t>
  </si>
  <si>
    <t>Princess P. Ponseca</t>
  </si>
  <si>
    <t>Dorothy P. Lundag (NO SIGNATURE)</t>
  </si>
  <si>
    <t>LPG, Charcoal</t>
  </si>
  <si>
    <t>Garments</t>
  </si>
  <si>
    <t>Welding Shop</t>
  </si>
  <si>
    <t>Tools for training</t>
  </si>
  <si>
    <t>Nelia B. Arevano</t>
  </si>
  <si>
    <t>Arjean Velasco</t>
  </si>
  <si>
    <t>Bernabe, Ronnie V.</t>
  </si>
  <si>
    <t>Dizon, Edison V.</t>
  </si>
  <si>
    <t>(eduation support)</t>
  </si>
  <si>
    <t>inc in 412</t>
  </si>
  <si>
    <t>Rosita Del Monte</t>
  </si>
  <si>
    <t>Mario</t>
  </si>
  <si>
    <t>Micheal Del Monte</t>
  </si>
  <si>
    <t>Gerardo Ramirez</t>
  </si>
  <si>
    <t>inc in 418</t>
  </si>
  <si>
    <t>Microentrprenuer</t>
  </si>
  <si>
    <t>Inside of the house</t>
  </si>
  <si>
    <t>Silvedrio, Ofelia R.</t>
  </si>
  <si>
    <t>Ofellia Silvederio</t>
  </si>
  <si>
    <t>In front of the House</t>
  </si>
  <si>
    <t>Open Pit</t>
  </si>
  <si>
    <t>1-week</t>
  </si>
  <si>
    <t>lPG</t>
  </si>
  <si>
    <t>Fatigues</t>
  </si>
  <si>
    <t>Jackielou L. Cardona</t>
  </si>
  <si>
    <t>Richard Christian G. Ahyong</t>
  </si>
  <si>
    <t>Ana E. Morilla</t>
  </si>
  <si>
    <t>Aserios, Andres M.</t>
  </si>
  <si>
    <t>Foods</t>
  </si>
  <si>
    <t>Glenda, Ondoy</t>
  </si>
  <si>
    <t>Prescilla Tarlac</t>
  </si>
  <si>
    <t>Gas/Kerosene, Rechargable battery, LPG, Oil</t>
  </si>
  <si>
    <t>Sheryl M. Flores</t>
  </si>
  <si>
    <t>Mari Alapide</t>
  </si>
  <si>
    <t>Painter, Carpenter, Electrician</t>
  </si>
  <si>
    <t>Angeita Ricafort</t>
  </si>
  <si>
    <t>Oscar Torres</t>
  </si>
  <si>
    <t>Parra, Nestor B.</t>
  </si>
  <si>
    <t>Nestor Parra</t>
  </si>
  <si>
    <t>Carlito M. Favor</t>
  </si>
  <si>
    <t>Flooding</t>
  </si>
  <si>
    <t>Physical Condition</t>
  </si>
  <si>
    <t>Time Management</t>
  </si>
  <si>
    <t>Finacial</t>
  </si>
  <si>
    <t>Accomodation</t>
  </si>
  <si>
    <t>Dizzyness</t>
  </si>
  <si>
    <t>As long as railway have water</t>
  </si>
  <si>
    <t>Mercedes P. Jose</t>
  </si>
  <si>
    <t>Jonathan Cesista Udan</t>
  </si>
  <si>
    <t>Jonathan Udan</t>
  </si>
  <si>
    <t>Walking Assistance</t>
  </si>
  <si>
    <t>Corazon Jose Santiago</t>
  </si>
  <si>
    <t>Eloisa Castro</t>
  </si>
  <si>
    <t>Andrea Jose</t>
  </si>
  <si>
    <t>Seamstress</t>
  </si>
  <si>
    <t>Alicia J. Abellana</t>
  </si>
  <si>
    <t>Reynaldo J. Abellana</t>
  </si>
  <si>
    <t>inc in 441</t>
  </si>
  <si>
    <t>Remedios M. Manansala</t>
  </si>
  <si>
    <t>Pascual, Vicente G.</t>
  </si>
  <si>
    <t>Mario Pascual</t>
  </si>
  <si>
    <t>Espino, Gloria B.</t>
  </si>
  <si>
    <t>Domagsang, Marie Jannette B.</t>
  </si>
  <si>
    <t>Electricity, LPG</t>
  </si>
  <si>
    <t>Marie Jannette Donmagsang</t>
  </si>
  <si>
    <t>Dela Cruz, Gerry P.</t>
  </si>
  <si>
    <t>Furniture Shop (Owner)</t>
  </si>
  <si>
    <t>inc in 450</t>
  </si>
  <si>
    <t>Gadget Store Seller</t>
  </si>
  <si>
    <t>inc in 452</t>
  </si>
  <si>
    <t>Rodelyn O. Norberte</t>
  </si>
  <si>
    <t>Ryan Velasco</t>
  </si>
  <si>
    <t>inc in 455</t>
  </si>
  <si>
    <t>Gas, Kerosene</t>
  </si>
  <si>
    <t>Vergilio Limpin</t>
  </si>
  <si>
    <t>Distant form work Place</t>
  </si>
  <si>
    <t>Location of Training</t>
  </si>
  <si>
    <t>Assets</t>
  </si>
  <si>
    <t>Virgilio P. Limpin</t>
  </si>
  <si>
    <t>Victoria Dioquino</t>
  </si>
  <si>
    <t>Outside</t>
  </si>
  <si>
    <t>Merlyn V. Limpin</t>
  </si>
  <si>
    <t>Support from Children</t>
  </si>
  <si>
    <t>Refused to answer</t>
  </si>
  <si>
    <t>Fernando B.. Mangubat</t>
  </si>
  <si>
    <t>Resurreccion, Ryan P.</t>
  </si>
  <si>
    <t>Food Vendor (Owner)</t>
  </si>
  <si>
    <t>Ryan P. Resurreccion</t>
  </si>
  <si>
    <t>Mangubat, Ricardo B.</t>
  </si>
  <si>
    <t>Outside the House</t>
  </si>
  <si>
    <t>Loreto Ablen</t>
  </si>
  <si>
    <t>inc in 466</t>
  </si>
  <si>
    <t>Anna Rose Sambayon</t>
  </si>
  <si>
    <t>Salon employee, Cloth Washer</t>
  </si>
  <si>
    <t>Darwin S. Pajor</t>
  </si>
  <si>
    <t>Evangeline A. Saludaga</t>
  </si>
  <si>
    <t>Siongco, Jennifer N.</t>
  </si>
  <si>
    <t>Gall Badder Illness</t>
  </si>
  <si>
    <t>Luissa D. Antipala</t>
  </si>
  <si>
    <t>Jessica P. Enardecido</t>
  </si>
  <si>
    <t>Limbunting, Dixter H.</t>
  </si>
  <si>
    <t>Capin, Nelly E.</t>
  </si>
  <si>
    <t>Ma. Nelly E. Capin</t>
  </si>
  <si>
    <t>inc in 475</t>
  </si>
  <si>
    <t>Dindo M. Dela Peña</t>
  </si>
  <si>
    <t>Furniture Maker Helper</t>
  </si>
  <si>
    <t>inc in 477</t>
  </si>
  <si>
    <t>Fernando R. Balagot</t>
  </si>
  <si>
    <t>April Balagot</t>
  </si>
  <si>
    <t>Diamsin, Evangeline V.</t>
  </si>
  <si>
    <t>Lourdez V. Diamsin</t>
  </si>
  <si>
    <t>Diamsin, Manuel V.</t>
  </si>
  <si>
    <t>Manuel V. Diamsin Jr</t>
  </si>
  <si>
    <t>inc in 483</t>
  </si>
  <si>
    <t>Damaging the Furniture Equipment</t>
  </si>
  <si>
    <t>Editha D. Biscarra</t>
  </si>
  <si>
    <t>Kagawad, Apartment, Piggery</t>
  </si>
  <si>
    <t>inc in 486</t>
  </si>
  <si>
    <t>Antonio Sangcap III</t>
  </si>
  <si>
    <t>Ann Juneth Mercado</t>
  </si>
  <si>
    <t>Bank Officer</t>
  </si>
  <si>
    <t>Ann Juneth S. Merado</t>
  </si>
  <si>
    <t>Sangcap, Anthony Greg A.</t>
  </si>
  <si>
    <t>Capital</t>
  </si>
  <si>
    <t>Anthony Greg A. Sangcap</t>
  </si>
  <si>
    <t>inc in 489</t>
  </si>
  <si>
    <t>(Blank)</t>
  </si>
  <si>
    <t>Employee, Renting Business</t>
  </si>
  <si>
    <t>Drice, Erven B.</t>
  </si>
  <si>
    <t>Ervin Drice</t>
  </si>
  <si>
    <t>Sharing (neghbor)</t>
  </si>
  <si>
    <t>Location of Business</t>
  </si>
  <si>
    <t>HABAGAT/Ondoy</t>
  </si>
  <si>
    <t>Katrina A. Carpio</t>
  </si>
  <si>
    <t>inc in 496</t>
  </si>
  <si>
    <t>Marlon Arceo</t>
  </si>
  <si>
    <t>Every Rain</t>
  </si>
  <si>
    <t>Leticia B. Campaña</t>
  </si>
  <si>
    <t>Angel M. Santos Jr</t>
  </si>
  <si>
    <t>inc in 501</t>
  </si>
  <si>
    <t>Winnie S. Santos</t>
  </si>
  <si>
    <t>Rodolfo S. Macaraeg</t>
  </si>
  <si>
    <t>Capital/Fund</t>
  </si>
  <si>
    <t>Health</t>
  </si>
  <si>
    <t>Rogelio M. Santos</t>
  </si>
  <si>
    <t>Jose E. Dela Cruz</t>
  </si>
  <si>
    <t>Reginald C. Dela Cruz</t>
  </si>
  <si>
    <t>Native Cake Maker (Puto)</t>
  </si>
  <si>
    <t>Marie May C. Gabriel</t>
  </si>
  <si>
    <t>Hagos, Adrian M.</t>
  </si>
  <si>
    <t>Upholstery</t>
  </si>
  <si>
    <t>Adrian M. Hagos</t>
  </si>
  <si>
    <t>LPG, Wood, Charcoal</t>
  </si>
  <si>
    <t>(NO OCCUPANT)</t>
  </si>
  <si>
    <t>Joena May C. Reyes</t>
  </si>
  <si>
    <t>Teodulo Acompañado</t>
  </si>
  <si>
    <t>Money/Capital</t>
  </si>
  <si>
    <t>Laren Gatinao Pelegrino</t>
  </si>
  <si>
    <t>Laren G. Pelegrino</t>
  </si>
  <si>
    <t>Juanita Dela Cruz</t>
  </si>
  <si>
    <t>Chirstina Rivera</t>
  </si>
  <si>
    <t>Every Year</t>
  </si>
  <si>
    <t>Reynalyn Saoquillo</t>
  </si>
  <si>
    <t>Gamboa, Cesar P.</t>
  </si>
  <si>
    <t>Construction Worker, Apartment Owner</t>
  </si>
  <si>
    <t>Cesar P. Gamboa</t>
  </si>
  <si>
    <t>Josephine Bilinggan</t>
  </si>
  <si>
    <t>Maricar N. Soria</t>
  </si>
  <si>
    <t>LPG, Wood</t>
  </si>
  <si>
    <t>Helen P. Gamboa</t>
  </si>
  <si>
    <t>inc in 524</t>
  </si>
  <si>
    <t>Editha Nicolas</t>
  </si>
  <si>
    <t>Francisco Lambungan</t>
  </si>
  <si>
    <t>inc in 530</t>
  </si>
  <si>
    <t>Julie Ann A. Ocenar</t>
  </si>
  <si>
    <t>Factory Worker, Entreprenuer</t>
  </si>
  <si>
    <t>Sharing (Sub-Meter)</t>
  </si>
  <si>
    <t>Yearly</t>
  </si>
  <si>
    <t>Ralph Augustus B. Senobio</t>
  </si>
  <si>
    <t>Engr. Alvin Grafil</t>
  </si>
  <si>
    <t>Liwayway Cayetano</t>
  </si>
  <si>
    <t>Engr. Ralph Augustus B. Senobio</t>
  </si>
  <si>
    <t>Serafin Vacaro</t>
  </si>
  <si>
    <t>Coordinator, Sari-Sari Store</t>
  </si>
  <si>
    <t>Printing Operator</t>
  </si>
  <si>
    <t>Monsoon Rains</t>
  </si>
  <si>
    <t>Grace Feicidad P. Robles</t>
  </si>
  <si>
    <t>John Ray D.G.Nadorata</t>
  </si>
  <si>
    <t>Ryan S. Sadiaza</t>
  </si>
  <si>
    <t>Erlinda Rimorin</t>
  </si>
  <si>
    <t>Arcadio Centeno Jr</t>
  </si>
  <si>
    <t>Arcadio Centin Jr</t>
  </si>
  <si>
    <t>Yolanda, Falcon</t>
  </si>
  <si>
    <t>Sale Associate</t>
  </si>
  <si>
    <t>is-sh</t>
  </si>
  <si>
    <t>Famore Anday</t>
  </si>
  <si>
    <t>Myranda Cascan Celestino</t>
  </si>
  <si>
    <t>John Rey Nadorata</t>
  </si>
  <si>
    <t>Jose Danilo Edic Cabangon</t>
  </si>
  <si>
    <t>Sharing (Submeter)</t>
  </si>
  <si>
    <t>Joseph Relucio Regachuelo</t>
  </si>
  <si>
    <t>Painter, Ssales Clerk</t>
  </si>
  <si>
    <t>Maricar L. Rosario</t>
  </si>
  <si>
    <t>Carlos Cabangon Rimorin</t>
  </si>
  <si>
    <t>Foreman, Salesman</t>
  </si>
  <si>
    <t>Sonia Purqued</t>
  </si>
  <si>
    <t>Almario Concepcion</t>
  </si>
  <si>
    <t>Maestre, Michael H.</t>
  </si>
  <si>
    <t>Prescellano Sarte</t>
  </si>
  <si>
    <t>Cecilia C. Tiongson</t>
  </si>
  <si>
    <t>Cesar M. Delgado</t>
  </si>
  <si>
    <t>Andrew A. Monilar</t>
  </si>
  <si>
    <t>Pepito D. Valentin</t>
  </si>
  <si>
    <t>Covered pit (Antipolo)</t>
  </si>
  <si>
    <t>Ricardo R. Lopez Jr</t>
  </si>
  <si>
    <t>Roy B. Mesina Jr</t>
  </si>
  <si>
    <t>Edalgo B. Lomocso</t>
  </si>
  <si>
    <t>Arnlyn L. Lopez</t>
  </si>
  <si>
    <t>Reynalyn D. Sollano</t>
  </si>
  <si>
    <t>Poulty farming</t>
  </si>
  <si>
    <t>Ronaldo C. Sollano</t>
  </si>
  <si>
    <t>Vivian P. Pacardo</t>
  </si>
  <si>
    <t>Dianne Paguirigan</t>
  </si>
  <si>
    <t>John J. Paguirigan</t>
  </si>
  <si>
    <t>Maynilad/ Manila Water, Sharing (Neighbor)</t>
  </si>
  <si>
    <t>Every year</t>
  </si>
  <si>
    <t>weeks</t>
  </si>
  <si>
    <t>Dante V. Manese</t>
  </si>
  <si>
    <t>inc in 558</t>
  </si>
  <si>
    <t>Ernesto A. Dimla</t>
  </si>
  <si>
    <t>Carlo Joaquin</t>
  </si>
  <si>
    <t>SSS Pension</t>
  </si>
  <si>
    <t>Ondoy, HABAGAT</t>
  </si>
  <si>
    <t>inside house</t>
  </si>
  <si>
    <t>lost of business</t>
  </si>
  <si>
    <t>Nenita B. Reniedo</t>
  </si>
  <si>
    <t>inc in 563</t>
  </si>
  <si>
    <t>Ganitnit, Francisca R.</t>
  </si>
  <si>
    <t>Lilia Palmon</t>
  </si>
  <si>
    <t>Pension, Remmitance</t>
  </si>
  <si>
    <t>Kakilala, Virginia B.</t>
  </si>
  <si>
    <t>Virginia B. kakilala</t>
  </si>
  <si>
    <t>Ineng</t>
  </si>
  <si>
    <t>Vicky M. Moreno</t>
  </si>
  <si>
    <t>(FORGOT TO SIGN)</t>
  </si>
  <si>
    <t>inc in 568</t>
  </si>
  <si>
    <t>Lack of Skill</t>
  </si>
  <si>
    <t>Knowledge</t>
  </si>
  <si>
    <t>Romeo M. Balonzo</t>
  </si>
  <si>
    <t>Adeltrudis A. Taguinod</t>
  </si>
  <si>
    <t>Teresa C. Flores</t>
  </si>
  <si>
    <t>Imee C. Aquino</t>
  </si>
  <si>
    <t>Delfin Joseph</t>
  </si>
  <si>
    <t>Elenette H. Laurencio</t>
  </si>
  <si>
    <t>Nestor De Leon</t>
  </si>
  <si>
    <t>Rolando T. De Leon</t>
  </si>
  <si>
    <t>Armando N. Salgado</t>
  </si>
  <si>
    <t>NO INFO</t>
  </si>
  <si>
    <t>Elvira M. Banzil</t>
  </si>
  <si>
    <t>Expenses</t>
  </si>
  <si>
    <t>Wood, LPG</t>
  </si>
  <si>
    <t>Edna Rivera</t>
  </si>
  <si>
    <t>Lolita Pangilinan</t>
  </si>
  <si>
    <t>Alvin S. Grafil</t>
  </si>
  <si>
    <t>Responisibility</t>
  </si>
  <si>
    <t>Joe Allen B. Galsim</t>
  </si>
  <si>
    <t>Alvarez, Rowena M.</t>
  </si>
  <si>
    <t>Seaman, Sari-Sari Store</t>
  </si>
  <si>
    <t>Rowena M. Alvarez</t>
  </si>
  <si>
    <t>Leonila B. Agnas</t>
  </si>
  <si>
    <t>Insidde the House</t>
  </si>
  <si>
    <t>Rosario Estauria</t>
  </si>
  <si>
    <t>Jesus D. Tayme Jr</t>
  </si>
  <si>
    <t>Rossano Querubin</t>
  </si>
  <si>
    <t>Mechandiser, Baker</t>
  </si>
  <si>
    <t>Carolina Andres</t>
  </si>
  <si>
    <t>Kagawad</t>
  </si>
  <si>
    <t>Ricardo G. Pineda</t>
  </si>
  <si>
    <t>Tolentino, Leonila D.C.</t>
  </si>
  <si>
    <t>Regina Jean B. Babiano</t>
  </si>
  <si>
    <t>inc in 605</t>
  </si>
  <si>
    <t>Maingding, Bayani T.</t>
  </si>
  <si>
    <t>Arthur Maningding</t>
  </si>
  <si>
    <t>Personal water sealed (INside the house)</t>
  </si>
  <si>
    <t>Brgy. Tanod</t>
  </si>
  <si>
    <t>16*30</t>
  </si>
  <si>
    <t>Sharing (Neighbor), Water Refill</t>
  </si>
  <si>
    <t>Job/Employment, Business Capital/Funds</t>
  </si>
  <si>
    <t>Corazon E. Domingo</t>
  </si>
  <si>
    <t>Farida P. Suck</t>
  </si>
  <si>
    <t>Carolyn Evangelista</t>
  </si>
  <si>
    <t>Lack of Confidence</t>
  </si>
  <si>
    <t>Responsibility</t>
  </si>
  <si>
    <t>Carolyn S. Evangelista</t>
  </si>
  <si>
    <t>Janine Rosario E. Aguas</t>
  </si>
  <si>
    <t>Lavarias, Rhainier Angelo F.</t>
  </si>
  <si>
    <t>Rhainier Angelo F. Lavarias</t>
  </si>
  <si>
    <t>Reynaldo R. Lavarias</t>
  </si>
  <si>
    <t>Addun, Estella E.</t>
  </si>
  <si>
    <t>Mc Jay C. Mangculintas</t>
  </si>
  <si>
    <t>Ligaya Escoto</t>
  </si>
  <si>
    <t>Ligaya M. Escoto</t>
  </si>
  <si>
    <t>Singalawa, Marilyn M.</t>
  </si>
  <si>
    <t>Call Center Agent, Apartment (Owner)</t>
  </si>
  <si>
    <t>Scoliosis</t>
  </si>
  <si>
    <t>Manuel Dorothy Ballesteros</t>
  </si>
  <si>
    <t>Jinel M. Mortel</t>
  </si>
  <si>
    <t>Herminio A. Cayabyab</t>
  </si>
  <si>
    <t>Headache</t>
  </si>
  <si>
    <t>Jesus I. Sergote</t>
  </si>
  <si>
    <t>Jesus Sergote</t>
  </si>
  <si>
    <t>RTW</t>
  </si>
  <si>
    <t>Kerosene, LPG</t>
  </si>
  <si>
    <t>maynilad/ Manila Water</t>
  </si>
  <si>
    <t>Dominga P. Timbang</t>
  </si>
  <si>
    <t>Ramirez, Aurelia L.</t>
  </si>
  <si>
    <t>Funds</t>
  </si>
  <si>
    <t>Aurelia L. Ramirez</t>
  </si>
  <si>
    <t>Meercilita Ticar</t>
  </si>
  <si>
    <t>Mercelita M. Ticar</t>
  </si>
  <si>
    <t>Baltazar, Milagros Q.</t>
  </si>
  <si>
    <t>Milagros Q. Baltazar</t>
  </si>
  <si>
    <t>Aira B. Santos</t>
  </si>
  <si>
    <t>Marita R. Nartea</t>
  </si>
  <si>
    <t>Encarnacion L. Austria</t>
  </si>
  <si>
    <t>Mercedes I. Villareal</t>
  </si>
  <si>
    <t>Guevarra, Redentor S.</t>
  </si>
  <si>
    <t>Redentor S. Guevarra</t>
  </si>
  <si>
    <t>Mar Jhun M. Labaniego</t>
  </si>
  <si>
    <t>Herminia De Lara</t>
  </si>
  <si>
    <t>Common Water Sealed Flush</t>
  </si>
  <si>
    <t>Herminia R. De Lara</t>
  </si>
  <si>
    <t>Rowena De Lara</t>
  </si>
  <si>
    <t>Maria Nila Mendoza</t>
  </si>
  <si>
    <t>Sevilla Jr, Nelson A.</t>
  </si>
  <si>
    <t>Bought</t>
  </si>
  <si>
    <t>Catherine Endulas</t>
  </si>
  <si>
    <t>Ocampo, Efren D.L.</t>
  </si>
  <si>
    <t>Yolanda E. Ocampo</t>
  </si>
  <si>
    <t>inc in 648</t>
  </si>
  <si>
    <t>Beef and Travi's Market</t>
  </si>
  <si>
    <t>Unknown Sickness</t>
  </si>
  <si>
    <t>Teresita M. Roxas</t>
  </si>
  <si>
    <t>inc in 651</t>
  </si>
  <si>
    <t>Lilia T. Holgado</t>
  </si>
  <si>
    <t>Gas Statio Employee</t>
  </si>
  <si>
    <t>Efren H. Guevarra</t>
  </si>
  <si>
    <t>Refuse to sign</t>
  </si>
  <si>
    <t>Reya Y. Remadaro</t>
  </si>
  <si>
    <t>Reneboy M. Francisco</t>
  </si>
  <si>
    <t>Rogelio Manalang</t>
  </si>
  <si>
    <t>Lack of Knowledge</t>
  </si>
  <si>
    <t>Rogelio R. Manalang</t>
  </si>
  <si>
    <t>Reponsibility</t>
  </si>
  <si>
    <t>Evelyn F. Jacinto</t>
  </si>
  <si>
    <t>Francisco, Edencio D.</t>
  </si>
  <si>
    <t>Eduardo B. Poblete</t>
  </si>
  <si>
    <t>Ondot</t>
  </si>
  <si>
    <t>Angelito C. Beunaventura</t>
  </si>
  <si>
    <t>Marcelino A. Ortega</t>
  </si>
  <si>
    <t>(BLANK)</t>
  </si>
  <si>
    <t>Alex M. Asis</t>
  </si>
  <si>
    <t>Vendor, Sari-Sari Store</t>
  </si>
  <si>
    <t>Jocelyn R. Gravoso</t>
  </si>
  <si>
    <t>Construction Worker (On-Call)</t>
  </si>
  <si>
    <t>Edelberto Vicente</t>
  </si>
  <si>
    <t>George T. Villaroman</t>
  </si>
  <si>
    <t>Edgar T. Yusi</t>
  </si>
  <si>
    <t>Lilibeth M. Pacampara</t>
  </si>
  <si>
    <t>Antonio P. Angeles</t>
  </si>
  <si>
    <t>Vicente Jacinto</t>
  </si>
  <si>
    <t>Alejandro Aluarte</t>
  </si>
  <si>
    <t>Miguel, Carmina B.</t>
  </si>
  <si>
    <t>Carmina B. Miguel</t>
  </si>
  <si>
    <t>2008/ 2011</t>
  </si>
  <si>
    <t>Liberato A. Sta. Juana Jr</t>
  </si>
  <si>
    <t>lea-co</t>
  </si>
  <si>
    <t>Sweeper, 4P's Beneficiaries</t>
  </si>
  <si>
    <t>Jonel P. encarnacion</t>
  </si>
  <si>
    <t>Construction Worker, 4P's Beneficiaries</t>
  </si>
  <si>
    <t>Amelia P. Lorenzo</t>
  </si>
  <si>
    <t>Carpenter, 4P's Beneficiaries</t>
  </si>
  <si>
    <t>Pedicab Driver, 4P's Beneficiaries</t>
  </si>
  <si>
    <t>Joefino Parungao</t>
  </si>
  <si>
    <t>Peregrina B. De Vera</t>
  </si>
  <si>
    <t>Ronald De Vera</t>
  </si>
  <si>
    <t>Cabeltes, Ramil R.</t>
  </si>
  <si>
    <t>Zyra C. Pronto</t>
  </si>
  <si>
    <t>Florentina M. Mendoza</t>
  </si>
  <si>
    <t>Tamayo, Eloisa S.</t>
  </si>
  <si>
    <t>Family Responsibility</t>
  </si>
  <si>
    <t>David Deodora</t>
  </si>
  <si>
    <t>inc in 719</t>
  </si>
  <si>
    <t>Marife N . Aguilar</t>
  </si>
  <si>
    <t>Ponce, Anxencia G.</t>
  </si>
  <si>
    <t>inc in 721</t>
  </si>
  <si>
    <t>Joselito Crio Cogay</t>
  </si>
  <si>
    <t>Gina P. Villanueva</t>
  </si>
  <si>
    <t>Messenger, Factory Worker</t>
  </si>
  <si>
    <t>HABAGAT, Yolanda</t>
  </si>
  <si>
    <t>Jennie S. Bulaon</t>
  </si>
  <si>
    <t>Videoke Rental</t>
  </si>
  <si>
    <t>Every Typhoon</t>
  </si>
  <si>
    <t>inc in 726</t>
  </si>
  <si>
    <t>Edward R. Meneses</t>
  </si>
  <si>
    <t>Cecilia C. Dimanlig</t>
  </si>
  <si>
    <t>Adrian P. Santos</t>
  </si>
  <si>
    <t>Julieta R. Cruz</t>
  </si>
  <si>
    <t>Direct Selling</t>
  </si>
  <si>
    <t>Every Heavy Rains</t>
  </si>
  <si>
    <t>Nicanor L. Gimenez</t>
  </si>
  <si>
    <t>Norma Marco</t>
  </si>
  <si>
    <t>Fatalla, Josephine V.</t>
  </si>
  <si>
    <t>Josephine Vicente Fatalla</t>
  </si>
  <si>
    <t>Jayson G. Vicente</t>
  </si>
  <si>
    <t>Jacquel Caranto</t>
  </si>
  <si>
    <t>Joel Caranto</t>
  </si>
  <si>
    <t>Baloloy Rindado</t>
  </si>
  <si>
    <t>Pandi Residences</t>
  </si>
  <si>
    <t>not sure</t>
  </si>
  <si>
    <t xml:space="preserve">CA-085-ISF-SOO (R) </t>
  </si>
  <si>
    <r>
      <t>Carla Grace Cana</t>
    </r>
    <r>
      <rPr>
        <sz val="10"/>
        <rFont val="Calibri"/>
        <family val="2"/>
      </rPr>
      <t>ña</t>
    </r>
  </si>
  <si>
    <r>
      <t>Generalo, Roselyn Ca</t>
    </r>
    <r>
      <rPr>
        <sz val="10"/>
        <rFont val="Calibri"/>
        <family val="2"/>
      </rPr>
      <t>ñ</t>
    </r>
    <r>
      <rPr>
        <sz val="8"/>
        <rFont val="Calibri"/>
        <family val="2"/>
      </rPr>
      <t>asao</t>
    </r>
  </si>
  <si>
    <r>
      <t>214 Do</t>
    </r>
    <r>
      <rPr>
        <sz val="10"/>
        <rFont val="Calibri"/>
        <family val="2"/>
      </rPr>
      <t>ñ</t>
    </r>
    <r>
      <rPr>
        <sz val="8"/>
        <rFont val="Calibri"/>
        <family val="2"/>
      </rPr>
      <t>a Rita St., Brgy.19 Caloocan City</t>
    </r>
  </si>
  <si>
    <r>
      <t xml:space="preserve">1" </t>
    </r>
    <r>
      <rPr>
        <sz val="10"/>
        <rFont val="Calibri"/>
        <family val="2"/>
      </rPr>
      <t>Ø Pipe of 4m, Concrete Post</t>
    </r>
  </si>
  <si>
    <r>
      <t>Dindo Dela Pe</t>
    </r>
    <r>
      <rPr>
        <sz val="10"/>
        <rFont val="Calibri"/>
        <family val="2"/>
      </rPr>
      <t>ña</t>
    </r>
  </si>
  <si>
    <r>
      <t>Acompa</t>
    </r>
    <r>
      <rPr>
        <sz val="10"/>
        <rFont val="Calibri"/>
        <family val="2"/>
      </rPr>
      <t>ñado, Teodulo Carillo</t>
    </r>
  </si>
  <si>
    <r>
      <t>Teodulo Acompa</t>
    </r>
    <r>
      <rPr>
        <sz val="10"/>
        <rFont val="Calibri"/>
        <family val="2"/>
      </rPr>
      <t>ñado</t>
    </r>
  </si>
  <si>
    <r>
      <t>Acompa</t>
    </r>
    <r>
      <rPr>
        <sz val="10"/>
        <rFont val="Calibri"/>
        <family val="2"/>
      </rPr>
      <t>ñado, Teodulo C.</t>
    </r>
  </si>
  <si>
    <r>
      <t>Lor-ann Rave</t>
    </r>
    <r>
      <rPr>
        <sz val="10"/>
        <rFont val="Calibri"/>
        <family val="2"/>
      </rPr>
      <t>ñ</t>
    </r>
    <r>
      <rPr>
        <sz val="10"/>
        <rFont val="Calibri"/>
        <family val="2"/>
        <scheme val="minor"/>
      </rPr>
      <t>o</t>
    </r>
  </si>
  <si>
    <r>
      <t>N 14</t>
    </r>
    <r>
      <rPr>
        <sz val="10"/>
        <rFont val="Calibri"/>
        <family val="2"/>
      </rPr>
      <t>° 50' 20.4"</t>
    </r>
  </si>
  <si>
    <r>
      <t>E 120</t>
    </r>
    <r>
      <rPr>
        <sz val="10"/>
        <rFont val="Calibri"/>
        <family val="2"/>
      </rPr>
      <t xml:space="preserve">° 51' 29.3" </t>
    </r>
  </si>
  <si>
    <r>
      <t>N 14</t>
    </r>
    <r>
      <rPr>
        <sz val="10"/>
        <rFont val="Calibri"/>
        <family val="2"/>
      </rPr>
      <t>° 50' 27.2"</t>
    </r>
  </si>
  <si>
    <r>
      <t>E 120</t>
    </r>
    <r>
      <rPr>
        <sz val="10"/>
        <rFont val="Calibri"/>
        <family val="2"/>
      </rPr>
      <t xml:space="preserve">° 51' 03.22" </t>
    </r>
  </si>
  <si>
    <r>
      <t>14</t>
    </r>
    <r>
      <rPr>
        <sz val="10"/>
        <rFont val="Calibri"/>
        <family val="2"/>
      </rPr>
      <t>° 51' 17.8"</t>
    </r>
  </si>
  <si>
    <r>
      <t>120</t>
    </r>
    <r>
      <rPr>
        <sz val="10"/>
        <rFont val="Calibri"/>
        <family val="2"/>
      </rPr>
      <t>° 48' 47.7"</t>
    </r>
  </si>
  <si>
    <r>
      <t>14</t>
    </r>
    <r>
      <rPr>
        <sz val="10"/>
        <rFont val="Calibri"/>
        <family val="2"/>
      </rPr>
      <t>° 51' 17.82"</t>
    </r>
  </si>
  <si>
    <r>
      <t>120</t>
    </r>
    <r>
      <rPr>
        <sz val="10"/>
        <rFont val="Calibri"/>
        <family val="2"/>
      </rPr>
      <t>° 48' 47.6"</t>
    </r>
  </si>
  <si>
    <r>
      <t>14</t>
    </r>
    <r>
      <rPr>
        <sz val="10"/>
        <rFont val="Calibri"/>
        <family val="2"/>
      </rPr>
      <t>° 51' 18.24"</t>
    </r>
  </si>
  <si>
    <r>
      <t>120</t>
    </r>
    <r>
      <rPr>
        <sz val="10"/>
        <rFont val="Calibri"/>
        <family val="2"/>
      </rPr>
      <t>° 48' 46.56"</t>
    </r>
  </si>
  <si>
    <r>
      <t>N 14</t>
    </r>
    <r>
      <rPr>
        <sz val="10"/>
        <rFont val="Calibri"/>
        <family val="2"/>
      </rPr>
      <t>° 50' 29.8"</t>
    </r>
  </si>
  <si>
    <r>
      <t>E 120</t>
    </r>
    <r>
      <rPr>
        <sz val="10"/>
        <rFont val="Calibri"/>
        <family val="2"/>
      </rPr>
      <t>° 50' 48.9"</t>
    </r>
  </si>
  <si>
    <r>
      <t>14</t>
    </r>
    <r>
      <rPr>
        <sz val="10"/>
        <rFont val="Calibri"/>
        <family val="2"/>
      </rPr>
      <t>° 51' 06.9"</t>
    </r>
  </si>
  <si>
    <r>
      <t>120</t>
    </r>
    <r>
      <rPr>
        <sz val="10"/>
        <rFont val="Calibri"/>
        <family val="2"/>
      </rPr>
      <t>° 48' 58.2"</t>
    </r>
  </si>
  <si>
    <r>
      <t>14</t>
    </r>
    <r>
      <rPr>
        <sz val="10"/>
        <rFont val="Calibri"/>
        <family val="2"/>
      </rPr>
      <t>° 51' 07.4"</t>
    </r>
  </si>
  <si>
    <r>
      <t>120</t>
    </r>
    <r>
      <rPr>
        <sz val="10"/>
        <rFont val="Calibri"/>
        <family val="2"/>
      </rPr>
      <t>° 48' 57.4"</t>
    </r>
  </si>
  <si>
    <r>
      <t>14</t>
    </r>
    <r>
      <rPr>
        <sz val="10"/>
        <rFont val="Calibri"/>
        <family val="2"/>
      </rPr>
      <t>° 51' 07.6"</t>
    </r>
  </si>
  <si>
    <r>
      <t>120</t>
    </r>
    <r>
      <rPr>
        <sz val="10"/>
        <rFont val="Calibri"/>
        <family val="2"/>
      </rPr>
      <t>° 48' 57.1"</t>
    </r>
  </si>
  <si>
    <r>
      <t>120</t>
    </r>
    <r>
      <rPr>
        <sz val="10"/>
        <rFont val="Calibri"/>
        <family val="2"/>
      </rPr>
      <t>° 48' 59.0"</t>
    </r>
  </si>
  <si>
    <r>
      <t>14</t>
    </r>
    <r>
      <rPr>
        <sz val="10"/>
        <rFont val="Calibri"/>
        <family val="2"/>
      </rPr>
      <t>° 51' 05.6"</t>
    </r>
  </si>
  <si>
    <r>
      <t>120</t>
    </r>
    <r>
      <rPr>
        <sz val="10"/>
        <rFont val="Calibri"/>
        <family val="2"/>
      </rPr>
      <t>° 49' 00.6"</t>
    </r>
  </si>
  <si>
    <r>
      <t>14</t>
    </r>
    <r>
      <rPr>
        <sz val="10"/>
        <rFont val="Calibri"/>
        <family val="2"/>
      </rPr>
      <t>° 51' 05.1"</t>
    </r>
  </si>
  <si>
    <r>
      <t>120</t>
    </r>
    <r>
      <rPr>
        <sz val="10"/>
        <rFont val="Calibri"/>
        <family val="2"/>
      </rPr>
      <t>° 49' 00.1"</t>
    </r>
  </si>
  <si>
    <r>
      <t>14</t>
    </r>
    <r>
      <rPr>
        <sz val="10"/>
        <rFont val="Calibri"/>
        <family val="2"/>
      </rPr>
      <t>° 51' 05.7"</t>
    </r>
  </si>
  <si>
    <r>
      <t>120</t>
    </r>
    <r>
      <rPr>
        <sz val="10"/>
        <rFont val="Calibri"/>
        <family val="2"/>
      </rPr>
      <t>° 49' 01.3"</t>
    </r>
  </si>
  <si>
    <r>
      <t>120</t>
    </r>
    <r>
      <rPr>
        <sz val="10"/>
        <rFont val="Calibri"/>
        <family val="2"/>
      </rPr>
      <t>° 49' 00.8"</t>
    </r>
  </si>
  <si>
    <r>
      <t>14</t>
    </r>
    <r>
      <rPr>
        <sz val="10"/>
        <rFont val="Calibri"/>
        <family val="2"/>
      </rPr>
      <t>° 51' 05.3"</t>
    </r>
  </si>
  <si>
    <r>
      <t>14</t>
    </r>
    <r>
      <rPr>
        <sz val="10"/>
        <rFont val="Calibri"/>
        <family val="2"/>
      </rPr>
      <t>° 51' 05.2"</t>
    </r>
  </si>
  <si>
    <r>
      <t>120</t>
    </r>
    <r>
      <rPr>
        <sz val="10"/>
        <rFont val="Calibri"/>
        <family val="2"/>
      </rPr>
      <t>° 49' 00.5"</t>
    </r>
  </si>
  <si>
    <r>
      <t>14</t>
    </r>
    <r>
      <rPr>
        <sz val="10"/>
        <rFont val="Calibri"/>
        <family val="2"/>
      </rPr>
      <t>° 51' 05.0"</t>
    </r>
  </si>
  <si>
    <r>
      <t>120</t>
    </r>
    <r>
      <rPr>
        <sz val="10"/>
        <rFont val="Calibri"/>
        <family val="2"/>
      </rPr>
      <t>° 49' 01.6"</t>
    </r>
  </si>
  <si>
    <r>
      <t>120</t>
    </r>
    <r>
      <rPr>
        <sz val="10"/>
        <rFont val="Calibri"/>
        <family val="2"/>
      </rPr>
      <t>° 49' 01.9"</t>
    </r>
  </si>
  <si>
    <r>
      <t>14</t>
    </r>
    <r>
      <rPr>
        <sz val="10"/>
        <rFont val="Calibri"/>
        <family val="2"/>
      </rPr>
      <t>° 51' 04.7"</t>
    </r>
  </si>
  <si>
    <r>
      <t>120</t>
    </r>
    <r>
      <rPr>
        <sz val="10"/>
        <rFont val="Calibri"/>
        <family val="2"/>
      </rPr>
      <t>° 49' 02.2"</t>
    </r>
  </si>
  <si>
    <r>
      <t>120</t>
    </r>
    <r>
      <rPr>
        <sz val="10"/>
        <rFont val="Calibri"/>
        <family val="2"/>
      </rPr>
      <t>° 49' 02.4"</t>
    </r>
  </si>
  <si>
    <r>
      <t>120</t>
    </r>
    <r>
      <rPr>
        <sz val="10"/>
        <rFont val="Calibri"/>
        <family val="2"/>
      </rPr>
      <t>° 49' 02.5"</t>
    </r>
  </si>
  <si>
    <r>
      <t>14</t>
    </r>
    <r>
      <rPr>
        <sz val="10"/>
        <rFont val="Calibri"/>
        <family val="2"/>
      </rPr>
      <t>° 51' 04.4"</t>
    </r>
  </si>
  <si>
    <r>
      <t>120</t>
    </r>
    <r>
      <rPr>
        <sz val="10"/>
        <rFont val="Calibri"/>
        <family val="2"/>
      </rPr>
      <t>° 49' 02.6"</t>
    </r>
  </si>
  <si>
    <r>
      <t>14</t>
    </r>
    <r>
      <rPr>
        <sz val="10"/>
        <rFont val="Calibri"/>
        <family val="2"/>
      </rPr>
      <t>° 51' 06.1"</t>
    </r>
  </si>
  <si>
    <r>
      <t>120</t>
    </r>
    <r>
      <rPr>
        <sz val="10"/>
        <rFont val="Calibri"/>
        <family val="2"/>
      </rPr>
      <t>° 48' 59.8"</t>
    </r>
  </si>
  <si>
    <r>
      <t>14</t>
    </r>
    <r>
      <rPr>
        <sz val="10"/>
        <rFont val="Calibri"/>
        <family val="2"/>
      </rPr>
      <t>° 51' 04.0"</t>
    </r>
  </si>
  <si>
    <r>
      <t>120</t>
    </r>
    <r>
      <rPr>
        <sz val="10"/>
        <rFont val="Calibri"/>
        <family val="2"/>
      </rPr>
      <t>° 49' 02.9"</t>
    </r>
  </si>
  <si>
    <r>
      <t>120</t>
    </r>
    <r>
      <rPr>
        <sz val="10"/>
        <rFont val="Calibri"/>
        <family val="2"/>
      </rPr>
      <t>° 49' 03.2"</t>
    </r>
  </si>
  <si>
    <r>
      <t>120</t>
    </r>
    <r>
      <rPr>
        <sz val="10"/>
        <rFont val="Calibri"/>
        <family val="2"/>
      </rPr>
      <t>° 49' 03.5"</t>
    </r>
  </si>
  <si>
    <r>
      <t>14</t>
    </r>
    <r>
      <rPr>
        <sz val="10"/>
        <rFont val="Calibri"/>
        <family val="2"/>
      </rPr>
      <t>° 51' 03.7"</t>
    </r>
  </si>
  <si>
    <r>
      <t>120</t>
    </r>
    <r>
      <rPr>
        <sz val="10"/>
        <rFont val="Calibri"/>
        <family val="2"/>
      </rPr>
      <t>° 49' 03.0"</t>
    </r>
  </si>
  <si>
    <r>
      <t>14</t>
    </r>
    <r>
      <rPr>
        <sz val="10"/>
        <rFont val="Calibri"/>
        <family val="2"/>
      </rPr>
      <t>° 51' 03.4"</t>
    </r>
  </si>
  <si>
    <r>
      <t>120</t>
    </r>
    <r>
      <rPr>
        <sz val="10"/>
        <rFont val="Calibri"/>
        <family val="2"/>
      </rPr>
      <t>° 49' 03.6"</t>
    </r>
  </si>
  <si>
    <r>
      <t>14</t>
    </r>
    <r>
      <rPr>
        <sz val="10"/>
        <rFont val="Calibri"/>
        <family val="2"/>
      </rPr>
      <t>° 51' 23.2"</t>
    </r>
  </si>
  <si>
    <r>
      <t>120</t>
    </r>
    <r>
      <rPr>
        <sz val="10"/>
        <rFont val="Calibri"/>
        <family val="2"/>
      </rPr>
      <t>° 48' 43.3"</t>
    </r>
  </si>
  <si>
    <r>
      <t>14</t>
    </r>
    <r>
      <rPr>
        <sz val="10"/>
        <rFont val="Calibri"/>
        <family val="2"/>
      </rPr>
      <t>° 51' 22..4"</t>
    </r>
  </si>
  <si>
    <r>
      <t>120</t>
    </r>
    <r>
      <rPr>
        <sz val="10"/>
        <rFont val="Calibri"/>
        <family val="2"/>
      </rPr>
      <t>° 48' 44.0"</t>
    </r>
  </si>
  <si>
    <r>
      <t>Pabilo</t>
    </r>
    <r>
      <rPr>
        <sz val="10"/>
        <rFont val="Calibri"/>
        <family val="2"/>
      </rPr>
      <t>ña Jr, Angel Vivas</t>
    </r>
  </si>
  <si>
    <r>
      <t xml:space="preserve">326 Mc Arthur Hi-Way, Dalandan, Valenzuela City </t>
    </r>
    <r>
      <rPr>
        <sz val="10"/>
        <rFont val="Calibri"/>
        <family val="2"/>
      </rPr>
      <t>Malanday</t>
    </r>
  </si>
  <si>
    <r>
      <t>Batangge</t>
    </r>
    <r>
      <rPr>
        <sz val="10"/>
        <rFont val="Calibri"/>
        <family val="2"/>
      </rPr>
      <t>ño</t>
    </r>
  </si>
  <si>
    <r>
      <t>Generalo, Roselyn Ca</t>
    </r>
    <r>
      <rPr>
        <sz val="10"/>
        <rFont val="Calibri"/>
        <family val="2"/>
      </rPr>
      <t>ñasao</t>
    </r>
  </si>
  <si>
    <r>
      <t>Dela Pe</t>
    </r>
    <r>
      <rPr>
        <sz val="10"/>
        <rFont val="Calibri"/>
        <family val="2"/>
      </rPr>
      <t>ña, Dindo Malig-on</t>
    </r>
  </si>
  <si>
    <r>
      <t>Dela Pe</t>
    </r>
    <r>
      <rPr>
        <sz val="10"/>
        <rFont val="Calibri"/>
        <family val="2"/>
      </rPr>
      <t>ña, Dindo</t>
    </r>
  </si>
  <si>
    <r>
      <t>14</t>
    </r>
    <r>
      <rPr>
        <sz val="10"/>
        <rFont val="Calibri"/>
        <family val="2"/>
      </rPr>
      <t xml:space="preserve">° </t>
    </r>
    <r>
      <rPr>
        <sz val="11.5"/>
        <rFont val="Calibri"/>
        <family val="2"/>
      </rPr>
      <t>38' 37.9"</t>
    </r>
  </si>
  <si>
    <r>
      <t>Acompa</t>
    </r>
    <r>
      <rPr>
        <sz val="10"/>
        <rFont val="Calibri"/>
        <family val="2"/>
      </rPr>
      <t>ñado, Teodulo</t>
    </r>
  </si>
  <si>
    <r>
      <t>Punla, David Dela Pe</t>
    </r>
    <r>
      <rPr>
        <sz val="10"/>
        <rFont val="Calibri"/>
        <family val="2"/>
      </rPr>
      <t>ña</t>
    </r>
  </si>
  <si>
    <r>
      <t>Timbang, Dominga Peli</t>
    </r>
    <r>
      <rPr>
        <sz val="10"/>
        <rFont val="Calibri"/>
        <family val="2"/>
      </rPr>
      <t>ño</t>
    </r>
  </si>
  <si>
    <r>
      <t>Timbang, Charles Fer Peli</t>
    </r>
    <r>
      <rPr>
        <sz val="10"/>
        <rFont val="Calibri"/>
        <family val="2"/>
      </rPr>
      <t>ño</t>
    </r>
  </si>
  <si>
    <r>
      <t>Ticar, Mercilita Mu</t>
    </r>
    <r>
      <rPr>
        <sz val="10"/>
        <rFont val="Calibri"/>
        <family val="2"/>
      </rPr>
      <t>ñoz</t>
    </r>
  </si>
  <si>
    <r>
      <t>Rave</t>
    </r>
    <r>
      <rPr>
        <sz val="10"/>
        <rFont val="Calibri"/>
        <family val="2"/>
      </rPr>
      <t>ño, Lor-ann Estola</t>
    </r>
  </si>
  <si>
    <r>
      <t>Jornales, Jose Ruel Sarapa</t>
    </r>
    <r>
      <rPr>
        <sz val="10"/>
        <rFont val="Calibri"/>
        <family val="2"/>
      </rPr>
      <t>ño</t>
    </r>
  </si>
  <si>
    <t>based on map</t>
  </si>
  <si>
    <t>remarks</t>
  </si>
  <si>
    <t>ISF-PNR</t>
  </si>
  <si>
    <t>ISF-NSCR</t>
  </si>
  <si>
    <t>ISF-NSCR-PNR</t>
  </si>
  <si>
    <t>pader lang</t>
  </si>
  <si>
    <t>5,29</t>
  </si>
  <si>
    <t>legal (not inc in BOQ)</t>
  </si>
  <si>
    <t xml:space="preserve"> legal</t>
  </si>
  <si>
    <t>31 Legal-r</t>
  </si>
  <si>
    <t>35 legal-r</t>
  </si>
  <si>
    <t>40 legal-r</t>
  </si>
  <si>
    <t>83 legal-r</t>
  </si>
  <si>
    <t>83 legal</t>
  </si>
  <si>
    <t>91 legal</t>
  </si>
  <si>
    <t>97 legal-r</t>
  </si>
  <si>
    <t>105 isf-r</t>
  </si>
  <si>
    <t>109 legal</t>
  </si>
  <si>
    <t>117 legal</t>
  </si>
  <si>
    <t>117 legal-r</t>
  </si>
  <si>
    <t xml:space="preserve">117 legal </t>
  </si>
  <si>
    <t>134 legal-r</t>
  </si>
  <si>
    <t>138 legal-r</t>
  </si>
  <si>
    <t>149 legal-r</t>
  </si>
  <si>
    <t>153 Legal-r</t>
  </si>
  <si>
    <t>167 legal-co</t>
  </si>
  <si>
    <t xml:space="preserve"> legal-co</t>
  </si>
  <si>
    <t>211 legal-r</t>
  </si>
  <si>
    <t>211 legal</t>
  </si>
  <si>
    <t>240 legal</t>
  </si>
  <si>
    <t>248 legal</t>
  </si>
  <si>
    <t>302 legal</t>
  </si>
  <si>
    <t>307 legal</t>
  </si>
  <si>
    <t>307 legal-r</t>
  </si>
  <si>
    <t>310 legal</t>
  </si>
  <si>
    <t>314 legal</t>
  </si>
  <si>
    <t>317 legal-r</t>
  </si>
  <si>
    <t>323 legal-r</t>
  </si>
  <si>
    <t>324 legal</t>
  </si>
  <si>
    <t>328 legal-r</t>
  </si>
  <si>
    <t>330 legal-r</t>
  </si>
  <si>
    <t>332 legal</t>
  </si>
  <si>
    <t>340 legal</t>
  </si>
  <si>
    <t>343 legal</t>
  </si>
  <si>
    <t>347 legal-r</t>
  </si>
  <si>
    <t>347 legal</t>
  </si>
  <si>
    <t>351 legal-r</t>
  </si>
  <si>
    <t>354 legal</t>
  </si>
  <si>
    <t>354 legal-r</t>
  </si>
  <si>
    <t>358 legal-r</t>
  </si>
  <si>
    <t>360 legal-r</t>
  </si>
  <si>
    <t>362 legal-sh</t>
  </si>
  <si>
    <t>364 legal-sh</t>
  </si>
  <si>
    <t>364 legal-r</t>
  </si>
  <si>
    <t>368 legal-r</t>
  </si>
  <si>
    <t>372 legal-r</t>
  </si>
  <si>
    <t>375 legal-r</t>
  </si>
  <si>
    <t>377 legal-r</t>
  </si>
  <si>
    <t>381 legal-r</t>
  </si>
  <si>
    <t>385 legal</t>
  </si>
  <si>
    <t>385 legal-r</t>
  </si>
  <si>
    <t>389 legal-r</t>
  </si>
  <si>
    <t>394 legal</t>
  </si>
  <si>
    <t>397 legal-r</t>
  </si>
  <si>
    <t>397 legal</t>
  </si>
  <si>
    <t>400 legal-r</t>
  </si>
  <si>
    <t>414 legal</t>
  </si>
  <si>
    <t>423 isf</t>
  </si>
  <si>
    <t>425 isf-r</t>
  </si>
  <si>
    <t>428 isf-sh</t>
  </si>
  <si>
    <t>430 isf-r</t>
  </si>
  <si>
    <t>435 isf-sh</t>
  </si>
  <si>
    <t>438 isf-r</t>
  </si>
  <si>
    <t>444 isf-co</t>
  </si>
  <si>
    <t>448 isf</t>
  </si>
  <si>
    <t>478 isf</t>
  </si>
  <si>
    <t>491 legal</t>
  </si>
  <si>
    <t>494 legal-r</t>
  </si>
  <si>
    <t>497 legal</t>
  </si>
  <si>
    <t>519 isf-co</t>
  </si>
  <si>
    <t>523 legal-co</t>
  </si>
  <si>
    <t>526 legal</t>
  </si>
  <si>
    <t>528 legal</t>
  </si>
  <si>
    <t>530 legal</t>
  </si>
  <si>
    <t>533 legal-r</t>
  </si>
  <si>
    <t>544 legal</t>
  </si>
  <si>
    <t>544 legal-sh</t>
  </si>
  <si>
    <t>553 legal</t>
  </si>
  <si>
    <t>556 legal</t>
  </si>
  <si>
    <t>561 legal</t>
  </si>
  <si>
    <t>564 legal</t>
  </si>
  <si>
    <t>567 legal</t>
  </si>
  <si>
    <t>574 legal</t>
  </si>
  <si>
    <t>579 legal-r</t>
  </si>
  <si>
    <t>597 isf-co</t>
  </si>
  <si>
    <t>602 legal-r</t>
  </si>
  <si>
    <t>609 isf</t>
  </si>
  <si>
    <t>625 isf-sh</t>
  </si>
  <si>
    <t>630 isf-sh</t>
  </si>
  <si>
    <t>649 isf-sh</t>
  </si>
  <si>
    <t>652 legal-r</t>
  </si>
  <si>
    <t>657 legal-sh</t>
  </si>
  <si>
    <t>662 legal</t>
  </si>
  <si>
    <t>691 isf-sh</t>
  </si>
  <si>
    <t>697 legal-r</t>
  </si>
  <si>
    <t>711 isf-r</t>
  </si>
  <si>
    <t>717 isf-abs</t>
  </si>
  <si>
    <t>720 legal</t>
  </si>
  <si>
    <t>731 isf-r</t>
  </si>
  <si>
    <t>738 legal</t>
  </si>
  <si>
    <t>738 legal-r</t>
  </si>
  <si>
    <t>741 legal-r</t>
  </si>
  <si>
    <t>762 isf</t>
  </si>
  <si>
    <t>762 isf-r</t>
  </si>
  <si>
    <t>762 isf-sh</t>
  </si>
  <si>
    <t>762 isf-co</t>
  </si>
  <si>
    <t>784 isf-co</t>
  </si>
  <si>
    <t>788 legal-co</t>
  </si>
  <si>
    <t>792 isf</t>
  </si>
  <si>
    <t>800 isf-sh</t>
  </si>
  <si>
    <t>806 legal</t>
  </si>
  <si>
    <t>808 legal-r</t>
  </si>
  <si>
    <t>811 isf-r</t>
  </si>
  <si>
    <t>813 ISF-r</t>
  </si>
  <si>
    <t>816 isf-sh</t>
  </si>
  <si>
    <t>822 legal</t>
  </si>
  <si>
    <t>825 isf-r</t>
  </si>
  <si>
    <t>828 isf-sh</t>
  </si>
  <si>
    <t>828 isf-r</t>
  </si>
  <si>
    <t>Cash Compensation /Balik Probinsya Program</t>
  </si>
  <si>
    <t>CA-014-ISF-SOA(ND)</t>
  </si>
  <si>
    <t>CA-021-ISF-SOA (ND)</t>
  </si>
  <si>
    <t>CA-050A-ISF-SOAB (ND)</t>
  </si>
  <si>
    <t>CA-095-ISF-SOA (ND)</t>
  </si>
  <si>
    <t>CA-111B-CR</t>
  </si>
  <si>
    <t>Rolando Capin</t>
  </si>
  <si>
    <t>Rose Capin</t>
  </si>
  <si>
    <t>Rommel Maniego</t>
  </si>
  <si>
    <t>Ronnie Anday</t>
  </si>
  <si>
    <t>Jay Valdez</t>
  </si>
  <si>
    <t>Jeno Minigo</t>
  </si>
  <si>
    <t>285-5967</t>
  </si>
  <si>
    <t>804 isf-r</t>
  </si>
  <si>
    <t>s</t>
  </si>
  <si>
    <t>I</t>
  </si>
</sst>
</file>

<file path=xl/styles.xml><?xml version="1.0" encoding="utf-8"?>
<styleSheet xmlns="http://schemas.openxmlformats.org/spreadsheetml/2006/main">
  <numFmts count="11">
    <numFmt numFmtId="41" formatCode="_(* #,##0_);_(* \(#,##0\);_(* &quot;-&quot;_);_(@_)"/>
    <numFmt numFmtId="43" formatCode="_(* #,##0.00_);_(* \(#,##0.00\);_(* &quot;-&quot;??_);_(@_)"/>
    <numFmt numFmtId="164" formatCode="[&lt;=9999999]###\-####;\(###\)\ ###\-####"/>
    <numFmt numFmtId="165" formatCode="_(* #,##0.0_);_(* \(#,##0.0\);_(* &quot;-&quot;??_);_(@_)"/>
    <numFmt numFmtId="166" formatCode="0.0"/>
    <numFmt numFmtId="167" formatCode="_(* #,##0_);_(* \(#,##0\);_(* &quot;-&quot;??_);_(@_)"/>
    <numFmt numFmtId="168" formatCode="0.000"/>
    <numFmt numFmtId="169" formatCode="_(* #,##0.000_);_(* \(#,##0.000\);_(* &quot;-&quot;??_);_(@_)"/>
    <numFmt numFmtId="170" formatCode="0.0%"/>
    <numFmt numFmtId="171" formatCode="#,##0.0"/>
    <numFmt numFmtId="172" formatCode="[$-F800]dddd\,\ mmmm\ dd\,\ yyyy"/>
  </numFmts>
  <fonts count="74">
    <font>
      <sz val="11"/>
      <color theme="1"/>
      <name val="Calibri"/>
      <family val="2"/>
      <scheme val="minor"/>
    </font>
    <font>
      <sz val="10"/>
      <name val="Calibri"/>
      <family val="2"/>
    </font>
    <font>
      <sz val="10"/>
      <color indexed="8"/>
      <name val="Calibri"/>
      <family val="2"/>
    </font>
    <font>
      <sz val="10"/>
      <color indexed="10"/>
      <name val="Calibri"/>
      <family val="2"/>
    </font>
    <font>
      <b/>
      <sz val="10"/>
      <name val="Arial Narrow"/>
      <family val="2"/>
    </font>
    <font>
      <sz val="9"/>
      <color indexed="81"/>
      <name val="Tahoma"/>
      <family val="2"/>
    </font>
    <font>
      <b/>
      <sz val="9"/>
      <color indexed="81"/>
      <name val="Tahoma"/>
      <family val="2"/>
    </font>
    <font>
      <b/>
      <vertAlign val="superscript"/>
      <sz val="11"/>
      <color indexed="8"/>
      <name val="Calibri"/>
      <family val="2"/>
    </font>
    <font>
      <sz val="8"/>
      <name val="Calibri"/>
      <family val="2"/>
    </font>
    <font>
      <vertAlign val="superscript"/>
      <sz val="10"/>
      <color indexed="8"/>
      <name val="Garamond"/>
      <family val="1"/>
    </font>
    <font>
      <sz val="11"/>
      <color indexed="8"/>
      <name val="Calibri"/>
      <family val="2"/>
    </font>
    <font>
      <b/>
      <vertAlign val="superscript"/>
      <sz val="9"/>
      <color indexed="8"/>
      <name val="Times New Roman"/>
      <family val="1"/>
    </font>
    <font>
      <b/>
      <vertAlign val="superscript"/>
      <sz val="10"/>
      <color indexed="8"/>
      <name val="Garamond"/>
      <family val="1"/>
    </font>
    <font>
      <sz val="11"/>
      <name val="Calibri"/>
      <family val="2"/>
    </font>
    <font>
      <sz val="10"/>
      <name val="Times New Roman"/>
      <family val="1"/>
    </font>
    <font>
      <b/>
      <vertAlign val="superscript"/>
      <sz val="12"/>
      <color indexed="8"/>
      <name val="Times New Roman"/>
      <family val="1"/>
    </font>
    <font>
      <b/>
      <sz val="12"/>
      <name val="Times New Roman"/>
      <family val="1"/>
    </font>
    <font>
      <sz val="12"/>
      <name val="Times New Roman"/>
      <family val="1"/>
    </font>
    <font>
      <b/>
      <sz val="12"/>
      <color indexed="8"/>
      <name val="Calibri"/>
      <family val="2"/>
    </font>
    <font>
      <vertAlign val="superscript"/>
      <sz val="10"/>
      <color indexed="8"/>
      <name val="Times New Roman"/>
      <family val="1"/>
    </font>
    <font>
      <b/>
      <vertAlign val="superscript"/>
      <sz val="10"/>
      <color indexed="8"/>
      <name val="Times New Roman"/>
      <family val="1"/>
    </font>
    <font>
      <sz val="11"/>
      <color theme="1"/>
      <name val="Calibri"/>
      <family val="2"/>
      <scheme val="minor"/>
    </font>
    <font>
      <u/>
      <sz val="11"/>
      <color theme="10"/>
      <name val="Calibri"/>
      <family val="2"/>
      <scheme val="minor"/>
    </font>
    <font>
      <b/>
      <sz val="10"/>
      <color theme="1"/>
      <name val="Arial Narrow"/>
      <family val="2"/>
    </font>
    <font>
      <sz val="10"/>
      <name val="Calibri"/>
      <family val="2"/>
      <scheme val="minor"/>
    </font>
    <font>
      <sz val="10"/>
      <color theme="1"/>
      <name val="Calibri"/>
      <family val="2"/>
      <scheme val="minor"/>
    </font>
    <font>
      <sz val="10"/>
      <color rgb="FFFF0000"/>
      <name val="Calibri"/>
      <family val="2"/>
      <scheme val="minor"/>
    </font>
    <font>
      <u/>
      <sz val="10"/>
      <name val="Calibri"/>
      <family val="2"/>
      <scheme val="minor"/>
    </font>
    <font>
      <sz val="10"/>
      <color theme="1"/>
      <name val="Arial Narrow"/>
      <family val="2"/>
    </font>
    <font>
      <b/>
      <sz val="10"/>
      <color theme="1"/>
      <name val="Calibri"/>
      <family val="2"/>
      <scheme val="minor"/>
    </font>
    <font>
      <sz val="10"/>
      <color theme="2" tint="-9.9978637043366805E-2"/>
      <name val="Calibri"/>
      <family val="2"/>
      <scheme val="minor"/>
    </font>
    <font>
      <b/>
      <u/>
      <sz val="11"/>
      <color theme="1"/>
      <name val="Calibri"/>
      <family val="2"/>
      <scheme val="minor"/>
    </font>
    <font>
      <b/>
      <sz val="11"/>
      <color theme="1"/>
      <name val="Calibri"/>
      <family val="2"/>
      <scheme val="minor"/>
    </font>
    <font>
      <sz val="10"/>
      <color theme="4"/>
      <name val="Calibri"/>
      <family val="2"/>
      <scheme val="minor"/>
    </font>
    <font>
      <b/>
      <sz val="10"/>
      <color theme="0" tint="-0.249977111117893"/>
      <name val="Arial Narrow"/>
      <family val="2"/>
    </font>
    <font>
      <b/>
      <sz val="10"/>
      <color theme="1"/>
      <name val="Times New Roman"/>
      <family val="1"/>
    </font>
    <font>
      <sz val="10"/>
      <color theme="1"/>
      <name val="Times New Roman"/>
      <family val="1"/>
    </font>
    <font>
      <b/>
      <sz val="11"/>
      <color theme="1"/>
      <name val="Times New Roman"/>
      <family val="1"/>
    </font>
    <font>
      <b/>
      <sz val="11"/>
      <name val="Calibri"/>
      <family val="2"/>
      <scheme val="minor"/>
    </font>
    <font>
      <sz val="11"/>
      <name val="Calibri"/>
      <family val="2"/>
      <scheme val="minor"/>
    </font>
    <font>
      <sz val="10"/>
      <color rgb="FF000000"/>
      <name val="Times New Roman"/>
      <family val="1"/>
    </font>
    <font>
      <b/>
      <sz val="10"/>
      <color rgb="FF000000"/>
      <name val="Times New Roman"/>
      <family val="1"/>
    </font>
    <font>
      <b/>
      <sz val="9"/>
      <color rgb="FF000000"/>
      <name val="Times New Roman"/>
      <family val="1"/>
    </font>
    <font>
      <sz val="11"/>
      <color rgb="FF000000"/>
      <name val="Calibri"/>
      <family val="2"/>
      <scheme val="minor"/>
    </font>
    <font>
      <sz val="10"/>
      <color rgb="FF222222"/>
      <name val="Arial"/>
      <family val="2"/>
    </font>
    <font>
      <sz val="10"/>
      <color theme="3"/>
      <name val="Calibri"/>
      <family val="2"/>
      <scheme val="minor"/>
    </font>
    <font>
      <sz val="10"/>
      <color rgb="FF00B0F0"/>
      <name val="Calibri"/>
      <family val="2"/>
      <scheme val="minor"/>
    </font>
    <font>
      <sz val="10"/>
      <color rgb="FF00B050"/>
      <name val="Calibri"/>
      <family val="2"/>
      <scheme val="minor"/>
    </font>
    <font>
      <sz val="10"/>
      <color theme="0" tint="-0.249977111117893"/>
      <name val="Calibri"/>
      <family val="2"/>
      <scheme val="minor"/>
    </font>
    <font>
      <b/>
      <sz val="10"/>
      <color theme="0" tint="-0.249977111117893"/>
      <name val="Calibri"/>
      <family val="2"/>
      <scheme val="minor"/>
    </font>
    <font>
      <b/>
      <sz val="10"/>
      <color rgb="FFFF0000"/>
      <name val="Arial Narrow"/>
      <family val="2"/>
    </font>
    <font>
      <sz val="10"/>
      <color theme="0" tint="-0.14999847407452621"/>
      <name val="Calibri"/>
      <family val="2"/>
      <scheme val="minor"/>
    </font>
    <font>
      <b/>
      <sz val="10"/>
      <color rgb="FFFF0000"/>
      <name val="Calibri"/>
      <family val="2"/>
      <scheme val="minor"/>
    </font>
    <font>
      <b/>
      <sz val="10"/>
      <name val="Calibri"/>
      <family val="2"/>
      <scheme val="minor"/>
    </font>
    <font>
      <b/>
      <sz val="10"/>
      <color theme="0" tint="-0.14999847407452621"/>
      <name val="Calibri"/>
      <family val="2"/>
      <scheme val="minor"/>
    </font>
    <font>
      <sz val="10"/>
      <color rgb="FFFFFF00"/>
      <name val="Calibri"/>
      <family val="2"/>
      <scheme val="minor"/>
    </font>
    <font>
      <b/>
      <sz val="9"/>
      <color theme="1"/>
      <name val="Times New Roman"/>
      <family val="1"/>
    </font>
    <font>
      <b/>
      <sz val="10"/>
      <color theme="1"/>
      <name val="Garamond"/>
      <family val="1"/>
    </font>
    <font>
      <sz val="10"/>
      <color theme="1"/>
      <name val="Garamond"/>
      <family val="1"/>
    </font>
    <font>
      <sz val="12"/>
      <color theme="1"/>
      <name val="Times New Roman"/>
      <family val="1"/>
    </font>
    <font>
      <b/>
      <sz val="12"/>
      <color theme="1"/>
      <name val="Times New Roman"/>
      <family val="1"/>
    </font>
    <font>
      <sz val="12"/>
      <color rgb="FF000000"/>
      <name val="Times New Roman"/>
      <family val="1"/>
    </font>
    <font>
      <b/>
      <sz val="12"/>
      <color rgb="FF000000"/>
      <name val="Times New Roman"/>
      <family val="1"/>
    </font>
    <font>
      <sz val="12"/>
      <color rgb="FFFF0000"/>
      <name val="Times New Roman"/>
      <family val="1"/>
    </font>
    <font>
      <sz val="12"/>
      <color theme="1"/>
      <name val="Calibri"/>
      <family val="2"/>
      <scheme val="minor"/>
    </font>
    <font>
      <sz val="8"/>
      <color theme="1"/>
      <name val="Calibri"/>
      <family val="2"/>
      <scheme val="minor"/>
    </font>
    <font>
      <sz val="10"/>
      <color theme="0" tint="-0.249977111117893"/>
      <name val="Arial"/>
      <family val="2"/>
    </font>
    <font>
      <b/>
      <u/>
      <sz val="11"/>
      <color theme="10"/>
      <name val="Calibri"/>
      <family val="2"/>
      <scheme val="minor"/>
    </font>
    <font>
      <b/>
      <sz val="12"/>
      <color theme="1"/>
      <name val="Calibri"/>
      <family val="2"/>
      <scheme val="minor"/>
    </font>
    <font>
      <b/>
      <sz val="12"/>
      <name val="Calibri"/>
      <family val="2"/>
      <scheme val="minor"/>
    </font>
    <font>
      <sz val="10"/>
      <name val="Arial Narrow"/>
      <family val="2"/>
    </font>
    <font>
      <b/>
      <u/>
      <sz val="10"/>
      <name val="Calibri"/>
      <family val="2"/>
      <scheme val="minor"/>
    </font>
    <font>
      <sz val="10"/>
      <name val="Arial"/>
      <family val="2"/>
    </font>
    <font>
      <sz val="11.5"/>
      <name val="Calibri"/>
      <family val="2"/>
    </font>
  </fonts>
  <fills count="74">
    <fill>
      <patternFill patternType="none"/>
    </fill>
    <fill>
      <patternFill patternType="gray125"/>
    </fill>
    <fill>
      <patternFill patternType="solid">
        <fgColor rgb="FF00B050"/>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theme="8" tint="-0.249977111117893"/>
        <bgColor indexed="64"/>
      </patternFill>
    </fill>
    <fill>
      <patternFill patternType="solid">
        <fgColor rgb="FFFFC000"/>
        <bgColor indexed="64"/>
      </patternFill>
    </fill>
    <fill>
      <patternFill patternType="solid">
        <fgColor rgb="FF7030A0"/>
        <bgColor indexed="64"/>
      </patternFill>
    </fill>
    <fill>
      <patternFill patternType="solid">
        <fgColor rgb="FFFF33CC"/>
        <bgColor indexed="64"/>
      </patternFill>
    </fill>
    <fill>
      <patternFill patternType="solid">
        <fgColor rgb="FFC9925B"/>
        <bgColor indexed="64"/>
      </patternFill>
    </fill>
    <fill>
      <patternFill patternType="solid">
        <fgColor rgb="FF996633"/>
        <bgColor indexed="64"/>
      </patternFill>
    </fill>
    <fill>
      <patternFill patternType="solid">
        <fgColor theme="7" tint="0.79998168889431442"/>
        <bgColor indexed="64"/>
      </patternFill>
    </fill>
    <fill>
      <patternFill patternType="solid">
        <fgColor theme="6" tint="-0.249977111117893"/>
        <bgColor indexed="64"/>
      </patternFill>
    </fill>
    <fill>
      <patternFill patternType="solid">
        <fgColor rgb="FF3333CC"/>
        <bgColor indexed="64"/>
      </patternFill>
    </fill>
    <fill>
      <patternFill patternType="solid">
        <fgColor rgb="FF7575DD"/>
        <bgColor indexed="64"/>
      </patternFill>
    </fill>
    <fill>
      <patternFill patternType="solid">
        <fgColor rgb="FF92D050"/>
        <bgColor indexed="64"/>
      </patternFill>
    </fill>
    <fill>
      <patternFill patternType="solid">
        <fgColor theme="8" tint="0.39997558519241921"/>
        <bgColor indexed="64"/>
      </patternFill>
    </fill>
    <fill>
      <patternFill patternType="solid">
        <fgColor rgb="FFFFC1E0"/>
        <bgColor indexed="64"/>
      </patternFill>
    </fill>
    <fill>
      <patternFill patternType="solid">
        <fgColor rgb="FF66FFFF"/>
        <bgColor indexed="64"/>
      </patternFill>
    </fill>
    <fill>
      <patternFill patternType="solid">
        <fgColor rgb="FF9148C8"/>
        <bgColor indexed="64"/>
      </patternFill>
    </fill>
    <fill>
      <patternFill patternType="solid">
        <fgColor theme="6" tint="0.39997558519241921"/>
        <bgColor indexed="64"/>
      </patternFill>
    </fill>
    <fill>
      <patternFill patternType="solid">
        <fgColor rgb="FFFF99CC"/>
        <bgColor indexed="64"/>
      </patternFill>
    </fill>
    <fill>
      <patternFill patternType="solid">
        <fgColor theme="2" tint="-0.499984740745262"/>
        <bgColor indexed="64"/>
      </patternFill>
    </fill>
    <fill>
      <patternFill patternType="solid">
        <fgColor rgb="FF9966FF"/>
        <bgColor indexed="64"/>
      </patternFill>
    </fill>
    <fill>
      <patternFill patternType="solid">
        <fgColor theme="8" tint="0.59999389629810485"/>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rgb="FFC00000"/>
        <bgColor indexed="64"/>
      </patternFill>
    </fill>
    <fill>
      <patternFill patternType="solid">
        <fgColor theme="0" tint="-0.499984740745262"/>
        <bgColor indexed="64"/>
      </patternFill>
    </fill>
    <fill>
      <patternFill patternType="solid">
        <fgColor rgb="FF3BFF94"/>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rgb="FFFFDF79"/>
        <bgColor indexed="64"/>
      </patternFill>
    </fill>
    <fill>
      <patternFill patternType="solid">
        <fgColor theme="0"/>
        <bgColor indexed="64"/>
      </patternFill>
    </fill>
    <fill>
      <patternFill patternType="solid">
        <fgColor rgb="FFBFBFBF"/>
        <bgColor indexed="64"/>
      </patternFill>
    </fill>
    <fill>
      <patternFill patternType="solid">
        <fgColor theme="0" tint="-4.9989318521683403E-2"/>
        <bgColor indexed="64"/>
      </patternFill>
    </fill>
    <fill>
      <patternFill patternType="solid">
        <fgColor rgb="FFD9D9D9"/>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rgb="FF99FF99"/>
        <bgColor indexed="64"/>
      </patternFill>
    </fill>
    <fill>
      <patternFill patternType="solid">
        <fgColor rgb="FFCCCC00"/>
        <bgColor indexed="64"/>
      </patternFill>
    </fill>
    <fill>
      <patternFill patternType="solid">
        <fgColor rgb="FFFF0066"/>
        <bgColor indexed="64"/>
      </patternFill>
    </fill>
    <fill>
      <patternFill patternType="solid">
        <fgColor rgb="FF0070C0"/>
        <bgColor indexed="64"/>
      </patternFill>
    </fill>
    <fill>
      <patternFill patternType="solid">
        <fgColor rgb="FFFF6600"/>
        <bgColor indexed="64"/>
      </patternFill>
    </fill>
    <fill>
      <patternFill patternType="solid">
        <fgColor rgb="FFFF5B5B"/>
        <bgColor indexed="64"/>
      </patternFill>
    </fill>
    <fill>
      <patternFill patternType="solid">
        <fgColor rgb="FF00B0F0"/>
        <bgColor indexed="64"/>
      </patternFill>
    </fill>
    <fill>
      <patternFill patternType="solid">
        <fgColor theme="3" tint="0.39997558519241921"/>
        <bgColor indexed="64"/>
      </patternFill>
    </fill>
    <fill>
      <patternFill patternType="solid">
        <fgColor rgb="FFFFFFCC"/>
        <bgColor indexed="64"/>
      </patternFill>
    </fill>
    <fill>
      <patternFill patternType="solid">
        <fgColor rgb="FFFFE697"/>
        <bgColor indexed="64"/>
      </patternFill>
    </fill>
    <fill>
      <patternFill patternType="solid">
        <fgColor rgb="FFFBD4B4"/>
        <bgColor indexed="64"/>
      </patternFill>
    </fill>
    <fill>
      <patternFill patternType="solid">
        <fgColor rgb="FF99FFCC"/>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rgb="FF8B8BFF"/>
        <bgColor indexed="64"/>
      </patternFill>
    </fill>
    <fill>
      <patternFill patternType="solid">
        <fgColor rgb="FFFF7C80"/>
        <bgColor indexed="64"/>
      </patternFill>
    </fill>
    <fill>
      <patternFill patternType="solid">
        <fgColor rgb="FFCC9900"/>
        <bgColor indexed="64"/>
      </patternFill>
    </fill>
    <fill>
      <patternFill patternType="solid">
        <fgColor rgb="FF5D5DFF"/>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FFD85D"/>
        <bgColor indexed="64"/>
      </patternFill>
    </fill>
    <fill>
      <patternFill patternType="solid">
        <fgColor rgb="FF00DE64"/>
        <bgColor indexed="64"/>
      </patternFill>
    </fill>
    <fill>
      <patternFill patternType="solid">
        <fgColor rgb="FF99CC00"/>
        <bgColor indexed="64"/>
      </patternFill>
    </fill>
    <fill>
      <patternFill patternType="solid">
        <fgColor rgb="FFCCECFF"/>
        <bgColor indexed="64"/>
      </patternFill>
    </fill>
    <fill>
      <patternFill patternType="solid">
        <fgColor rgb="FFFFFF99"/>
        <bgColor indexed="64"/>
      </patternFill>
    </fill>
    <fill>
      <patternFill patternType="solid">
        <fgColor rgb="FF66FF33"/>
        <bgColor indexed="64"/>
      </patternFill>
    </fill>
    <fill>
      <patternFill patternType="solid">
        <fgColor rgb="FFEBE600"/>
        <bgColor indexed="64"/>
      </patternFill>
    </fill>
    <fill>
      <patternFill patternType="solid">
        <fgColor rgb="FFFFD85B"/>
        <bgColor indexed="64"/>
      </patternFill>
    </fill>
    <fill>
      <patternFill patternType="solid">
        <fgColor theme="6" tint="0.79998168889431442"/>
        <bgColor indexed="64"/>
      </patternFill>
    </fill>
    <fill>
      <patternFill patternType="solid">
        <fgColor rgb="FFFCF600"/>
        <bgColor indexed="64"/>
      </patternFill>
    </fill>
    <fill>
      <patternFill patternType="solid">
        <fgColor rgb="FFFFCCFF"/>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diagonal/>
    </border>
    <border diagonalDown="1">
      <left style="medium">
        <color indexed="64"/>
      </left>
      <right style="medium">
        <color indexed="64"/>
      </right>
      <top/>
      <bottom style="medium">
        <color indexed="64"/>
      </bottom>
      <diagonal style="thin">
        <color indexed="64"/>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bottom style="thin">
        <color indexed="64"/>
      </bottom>
      <diagonal/>
    </border>
    <border diagonalUp="1">
      <left/>
      <right style="medium">
        <color indexed="64"/>
      </right>
      <top/>
      <bottom style="medium">
        <color indexed="64"/>
      </bottom>
      <diagonal style="thin">
        <color indexed="64"/>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diagonal/>
    </border>
    <border diagonalUp="1">
      <left style="medium">
        <color indexed="64"/>
      </left>
      <right style="medium">
        <color indexed="64"/>
      </right>
      <top style="medium">
        <color indexed="64"/>
      </top>
      <bottom/>
      <diagonal style="thin">
        <color indexed="64"/>
      </diagonal>
    </border>
    <border diagonalUp="1">
      <left style="medium">
        <color indexed="64"/>
      </left>
      <right style="medium">
        <color indexed="64"/>
      </right>
      <top/>
      <bottom style="medium">
        <color indexed="64"/>
      </bottom>
      <diagonal style="thin">
        <color indexed="64"/>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indexed="64"/>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indexed="64"/>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s>
  <cellStyleXfs count="5">
    <xf numFmtId="0" fontId="0" fillId="0" borderId="0"/>
    <xf numFmtId="43" fontId="21" fillId="0" borderId="0" applyFont="0" applyFill="0" applyBorder="0" applyAlignment="0" applyProtection="0"/>
    <xf numFmtId="41" fontId="21" fillId="0" borderId="0" applyFont="0" applyFill="0" applyBorder="0" applyAlignment="0" applyProtection="0"/>
    <xf numFmtId="0" fontId="22" fillId="0" borderId="0" applyNumberFormat="0" applyFill="0" applyBorder="0" applyAlignment="0" applyProtection="0"/>
    <xf numFmtId="9" fontId="21" fillId="0" borderId="0" applyFont="0" applyFill="0" applyBorder="0" applyAlignment="0" applyProtection="0"/>
  </cellStyleXfs>
  <cellXfs count="2335">
    <xf numFmtId="0" fontId="0" fillId="0" borderId="0" xfId="0"/>
    <xf numFmtId="0" fontId="23" fillId="2" borderId="1" xfId="0" applyFont="1" applyFill="1" applyBorder="1" applyAlignment="1">
      <alignment horizontal="center"/>
    </xf>
    <xf numFmtId="0" fontId="23" fillId="2" borderId="1" xfId="0" applyNumberFormat="1" applyFont="1" applyFill="1" applyBorder="1" applyAlignment="1">
      <alignment horizontal="center" vertical="center"/>
    </xf>
    <xf numFmtId="0" fontId="23" fillId="2" borderId="1" xfId="0" applyFont="1" applyFill="1" applyBorder="1" applyAlignment="1">
      <alignment horizontal="center" vertical="center"/>
    </xf>
    <xf numFmtId="0" fontId="24" fillId="0" borderId="0" xfId="0" applyFont="1" applyFill="1" applyAlignment="1">
      <alignment horizontal="center"/>
    </xf>
    <xf numFmtId="0" fontId="24" fillId="0" borderId="0" xfId="0" applyNumberFormat="1" applyFont="1" applyFill="1" applyAlignment="1">
      <alignment horizontal="center" vertical="center"/>
    </xf>
    <xf numFmtId="0" fontId="24" fillId="0" borderId="0" xfId="0" applyFont="1" applyFill="1" applyBorder="1" applyAlignment="1">
      <alignment horizontal="center"/>
    </xf>
    <xf numFmtId="0" fontId="25" fillId="0" borderId="0" xfId="0" applyFont="1" applyAlignment="1">
      <alignment horizontal="center"/>
    </xf>
    <xf numFmtId="0" fontId="25" fillId="0" borderId="0" xfId="0" applyNumberFormat="1" applyFont="1" applyAlignment="1">
      <alignment horizontal="center" vertical="center"/>
    </xf>
    <xf numFmtId="0" fontId="24" fillId="3" borderId="0" xfId="0" applyFont="1" applyFill="1" applyAlignment="1">
      <alignment horizontal="center"/>
    </xf>
    <xf numFmtId="0" fontId="24" fillId="4" borderId="0" xfId="0" applyFont="1" applyFill="1" applyAlignment="1">
      <alignment horizontal="center"/>
    </xf>
    <xf numFmtId="0" fontId="25" fillId="0" borderId="0" xfId="0" applyFont="1"/>
    <xf numFmtId="0" fontId="24" fillId="0" borderId="0" xfId="0" applyFont="1"/>
    <xf numFmtId="0" fontId="24" fillId="5" borderId="0" xfId="0" applyFont="1" applyFill="1" applyAlignment="1">
      <alignment horizontal="center"/>
    </xf>
    <xf numFmtId="0" fontId="24" fillId="0" borderId="0" xfId="0" applyFont="1" applyFill="1" applyAlignment="1">
      <alignment horizontal="center" vertical="center"/>
    </xf>
    <xf numFmtId="0" fontId="24" fillId="6" borderId="0" xfId="0" applyFont="1" applyFill="1" applyAlignment="1">
      <alignment horizontal="center"/>
    </xf>
    <xf numFmtId="0" fontId="26" fillId="0" borderId="0" xfId="0" applyFont="1"/>
    <xf numFmtId="0" fontId="25" fillId="0" borderId="0" xfId="0" applyFont="1" applyFill="1" applyAlignment="1">
      <alignment horizontal="center" vertical="center"/>
    </xf>
    <xf numFmtId="0" fontId="25" fillId="0" borderId="0" xfId="0" applyFont="1" applyAlignment="1">
      <alignment vertical="center"/>
    </xf>
    <xf numFmtId="0" fontId="25" fillId="0" borderId="0" xfId="0" applyFont="1" applyAlignment="1">
      <alignment horizontal="center" vertical="center"/>
    </xf>
    <xf numFmtId="0" fontId="25" fillId="0" borderId="0" xfId="0" applyFont="1" applyFill="1" applyAlignment="1">
      <alignment horizontal="center"/>
    </xf>
    <xf numFmtId="0" fontId="25" fillId="0" borderId="0" xfId="0" applyNumberFormat="1" applyFont="1" applyFill="1" applyAlignment="1">
      <alignment horizontal="center" vertical="center"/>
    </xf>
    <xf numFmtId="1" fontId="23" fillId="7" borderId="1" xfId="0" applyNumberFormat="1" applyFont="1" applyFill="1" applyBorder="1" applyAlignment="1">
      <alignment horizontal="center"/>
    </xf>
    <xf numFmtId="48" fontId="23" fillId="7" borderId="1" xfId="0" applyNumberFormat="1" applyFont="1" applyFill="1" applyBorder="1" applyAlignment="1">
      <alignment horizontal="center"/>
    </xf>
    <xf numFmtId="14" fontId="24" fillId="0" borderId="0" xfId="0" applyNumberFormat="1" applyFont="1" applyFill="1" applyAlignment="1">
      <alignment horizontal="center"/>
    </xf>
    <xf numFmtId="1" fontId="24" fillId="0" borderId="0" xfId="0" applyNumberFormat="1" applyFont="1" applyFill="1" applyAlignment="1">
      <alignment horizontal="center"/>
    </xf>
    <xf numFmtId="164" fontId="24" fillId="0" borderId="0" xfId="0" applyNumberFormat="1" applyFont="1" applyFill="1" applyAlignment="1">
      <alignment horizontal="center"/>
    </xf>
    <xf numFmtId="1" fontId="24" fillId="0" borderId="0" xfId="0" applyNumberFormat="1" applyFont="1" applyFill="1" applyAlignment="1">
      <alignment horizontal="center" vertical="center"/>
    </xf>
    <xf numFmtId="0" fontId="27" fillId="0" borderId="0" xfId="3" applyFont="1" applyFill="1" applyAlignment="1">
      <alignment horizontal="center"/>
    </xf>
    <xf numFmtId="14" fontId="25" fillId="0" borderId="0" xfId="0" applyNumberFormat="1" applyFont="1" applyAlignment="1">
      <alignment horizontal="center"/>
    </xf>
    <xf numFmtId="1" fontId="25" fillId="0" borderId="0" xfId="0" applyNumberFormat="1" applyFont="1" applyAlignment="1">
      <alignment horizontal="center"/>
    </xf>
    <xf numFmtId="48" fontId="25" fillId="0" borderId="0" xfId="0" applyNumberFormat="1" applyFont="1" applyAlignment="1">
      <alignment horizontal="center"/>
    </xf>
    <xf numFmtId="14" fontId="25" fillId="0" borderId="0" xfId="0" applyNumberFormat="1" applyFont="1" applyFill="1" applyAlignment="1">
      <alignment horizontal="center"/>
    </xf>
    <xf numFmtId="1" fontId="25" fillId="0" borderId="0" xfId="0" applyNumberFormat="1" applyFont="1" applyFill="1" applyAlignment="1">
      <alignment horizontal="center"/>
    </xf>
    <xf numFmtId="48" fontId="25" fillId="0" borderId="0" xfId="0" applyNumberFormat="1" applyFont="1" applyFill="1" applyAlignment="1">
      <alignment horizontal="center"/>
    </xf>
    <xf numFmtId="0" fontId="25" fillId="0" borderId="0" xfId="0" applyFont="1" applyFill="1"/>
    <xf numFmtId="2" fontId="24" fillId="0" borderId="0" xfId="0" applyNumberFormat="1" applyFont="1" applyFill="1" applyAlignment="1">
      <alignment horizontal="right"/>
    </xf>
    <xf numFmtId="10" fontId="24" fillId="0" borderId="0" xfId="4" applyNumberFormat="1" applyFont="1" applyFill="1" applyAlignment="1">
      <alignment horizontal="center" vertical="center"/>
    </xf>
    <xf numFmtId="0" fontId="24" fillId="8" borderId="0" xfId="0" applyFont="1" applyFill="1" applyAlignment="1">
      <alignment horizontal="center"/>
    </xf>
    <xf numFmtId="2" fontId="24" fillId="0" borderId="0" xfId="1" applyNumberFormat="1" applyFont="1" applyFill="1" applyAlignment="1">
      <alignment horizontal="right"/>
    </xf>
    <xf numFmtId="10" fontId="24" fillId="0" borderId="0" xfId="4" applyNumberFormat="1" applyFont="1" applyFill="1" applyAlignment="1">
      <alignment horizontal="center"/>
    </xf>
    <xf numFmtId="2" fontId="25" fillId="0" borderId="0" xfId="1" applyNumberFormat="1" applyFont="1" applyAlignment="1">
      <alignment horizontal="right"/>
    </xf>
    <xf numFmtId="10" fontId="24" fillId="0" borderId="0" xfId="4" applyNumberFormat="1" applyFont="1" applyFill="1" applyAlignment="1">
      <alignment horizontal="right"/>
    </xf>
    <xf numFmtId="0" fontId="24" fillId="8" borderId="0" xfId="0" applyFont="1" applyFill="1" applyBorder="1" applyAlignment="1">
      <alignment horizontal="center"/>
    </xf>
    <xf numFmtId="2" fontId="24" fillId="0" borderId="0" xfId="1" applyNumberFormat="1" applyFont="1" applyFill="1" applyAlignment="1">
      <alignment horizontal="right" vertical="center"/>
    </xf>
    <xf numFmtId="2" fontId="24" fillId="0" borderId="0" xfId="0" applyNumberFormat="1" applyFont="1" applyFill="1" applyBorder="1" applyAlignment="1">
      <alignment horizontal="right"/>
    </xf>
    <xf numFmtId="2" fontId="24" fillId="0" borderId="0" xfId="1" applyNumberFormat="1" applyFont="1" applyFill="1" applyBorder="1" applyAlignment="1">
      <alignment horizontal="right"/>
    </xf>
    <xf numFmtId="10" fontId="24" fillId="0" borderId="0" xfId="4" applyNumberFormat="1" applyFont="1" applyFill="1" applyBorder="1" applyAlignment="1">
      <alignment horizontal="center"/>
    </xf>
    <xf numFmtId="2" fontId="25" fillId="0" borderId="0" xfId="0" applyNumberFormat="1" applyFont="1" applyAlignment="1">
      <alignment horizontal="right"/>
    </xf>
    <xf numFmtId="0" fontId="25" fillId="5" borderId="0" xfId="0" applyFont="1" applyFill="1" applyAlignment="1">
      <alignment horizontal="center"/>
    </xf>
    <xf numFmtId="10" fontId="25" fillId="0" borderId="0" xfId="4" applyNumberFormat="1" applyFont="1" applyFill="1" applyAlignment="1">
      <alignment horizontal="center"/>
    </xf>
    <xf numFmtId="10" fontId="25" fillId="0" borderId="0" xfId="4" applyNumberFormat="1" applyFont="1" applyFill="1" applyAlignment="1">
      <alignment horizontal="center" vertical="center"/>
    </xf>
    <xf numFmtId="10" fontId="25" fillId="0" borderId="0" xfId="4" applyNumberFormat="1" applyFont="1" applyAlignment="1">
      <alignment horizontal="center" vertical="center"/>
    </xf>
    <xf numFmtId="0" fontId="23" fillId="9" borderId="1" xfId="0" applyFont="1" applyFill="1" applyBorder="1" applyAlignment="1">
      <alignment horizontal="center" vertical="center"/>
    </xf>
    <xf numFmtId="165" fontId="24" fillId="0" borderId="0" xfId="1" applyNumberFormat="1" applyFont="1" applyFill="1" applyAlignment="1">
      <alignment horizontal="center"/>
    </xf>
    <xf numFmtId="165" fontId="25" fillId="0" borderId="0" xfId="1" applyNumberFormat="1" applyFont="1" applyAlignment="1">
      <alignment horizontal="center"/>
    </xf>
    <xf numFmtId="165" fontId="25" fillId="0" borderId="0" xfId="1" applyNumberFormat="1" applyFont="1" applyFill="1" applyAlignment="1">
      <alignment horizontal="center"/>
    </xf>
    <xf numFmtId="43" fontId="24" fillId="0" borderId="0" xfId="1" applyNumberFormat="1" applyFont="1" applyFill="1" applyAlignment="1">
      <alignment horizontal="right"/>
    </xf>
    <xf numFmtId="43" fontId="25" fillId="0" borderId="0" xfId="1" applyNumberFormat="1" applyFont="1" applyAlignment="1">
      <alignment horizontal="center"/>
    </xf>
    <xf numFmtId="43" fontId="24" fillId="0" borderId="0" xfId="1" applyNumberFormat="1" applyFont="1" applyFill="1" applyAlignment="1">
      <alignment horizontal="center"/>
    </xf>
    <xf numFmtId="43" fontId="24" fillId="0" borderId="0" xfId="1" applyNumberFormat="1" applyFont="1" applyFill="1" applyBorder="1" applyAlignment="1">
      <alignment horizontal="right"/>
    </xf>
    <xf numFmtId="43" fontId="25" fillId="0" borderId="0" xfId="1" applyNumberFormat="1" applyFont="1" applyAlignment="1">
      <alignment horizontal="right"/>
    </xf>
    <xf numFmtId="2" fontId="25" fillId="0" borderId="0" xfId="1" applyNumberFormat="1" applyFont="1" applyFill="1" applyAlignment="1">
      <alignment horizontal="right"/>
    </xf>
    <xf numFmtId="43" fontId="25" fillId="0" borderId="0" xfId="1" applyNumberFormat="1" applyFont="1" applyFill="1" applyAlignment="1">
      <alignment horizontal="right"/>
    </xf>
    <xf numFmtId="165" fontId="24" fillId="0" borderId="0" xfId="1" applyNumberFormat="1" applyFont="1" applyFill="1" applyBorder="1" applyAlignment="1">
      <alignment horizontal="center"/>
    </xf>
    <xf numFmtId="2" fontId="24" fillId="0" borderId="0" xfId="1" applyNumberFormat="1" applyFont="1" applyFill="1" applyAlignment="1">
      <alignment horizontal="center"/>
    </xf>
    <xf numFmtId="43" fontId="24" fillId="0" borderId="0" xfId="1" applyFont="1" applyFill="1" applyAlignment="1">
      <alignment horizontal="center"/>
    </xf>
    <xf numFmtId="2" fontId="24" fillId="0" borderId="0" xfId="1" applyNumberFormat="1" applyFont="1" applyFill="1" applyAlignment="1">
      <alignment horizontal="center" vertical="center"/>
    </xf>
    <xf numFmtId="166" fontId="24" fillId="0" borderId="0" xfId="0" applyNumberFormat="1" applyFont="1" applyFill="1" applyAlignment="1">
      <alignment horizontal="center"/>
    </xf>
    <xf numFmtId="2" fontId="24" fillId="8" borderId="0" xfId="1" applyNumberFormat="1" applyFont="1" applyFill="1" applyAlignment="1">
      <alignment horizontal="center" vertical="center"/>
    </xf>
    <xf numFmtId="166" fontId="24" fillId="8" borderId="0" xfId="0" applyNumberFormat="1" applyFont="1" applyFill="1" applyAlignment="1">
      <alignment horizontal="center"/>
    </xf>
    <xf numFmtId="2" fontId="25" fillId="0" borderId="0" xfId="1" applyNumberFormat="1" applyFont="1" applyAlignment="1">
      <alignment horizontal="center" vertical="center"/>
    </xf>
    <xf numFmtId="2" fontId="25" fillId="0" borderId="0" xfId="0" applyNumberFormat="1" applyFont="1" applyAlignment="1">
      <alignment horizontal="center"/>
    </xf>
    <xf numFmtId="43" fontId="25" fillId="0" borderId="0" xfId="1" applyFont="1" applyAlignment="1">
      <alignment horizontal="center"/>
    </xf>
    <xf numFmtId="2" fontId="25" fillId="0" borderId="0" xfId="1" applyNumberFormat="1" applyFont="1" applyAlignment="1">
      <alignment horizontal="right" vertical="center"/>
    </xf>
    <xf numFmtId="0" fontId="24" fillId="0" borderId="0" xfId="0" applyNumberFormat="1" applyFont="1" applyFill="1" applyAlignment="1">
      <alignment horizontal="center"/>
    </xf>
    <xf numFmtId="0" fontId="27" fillId="0" borderId="0" xfId="0" applyFont="1" applyFill="1" applyAlignment="1">
      <alignment horizontal="center"/>
    </xf>
    <xf numFmtId="0" fontId="25" fillId="0" borderId="0" xfId="0" applyNumberFormat="1" applyFont="1" applyAlignment="1">
      <alignment horizontal="center"/>
    </xf>
    <xf numFmtId="49" fontId="24" fillId="0" borderId="0" xfId="0" applyNumberFormat="1" applyFont="1" applyFill="1" applyAlignment="1">
      <alignment horizontal="center"/>
    </xf>
    <xf numFmtId="0" fontId="25" fillId="0" borderId="0" xfId="0" applyNumberFormat="1" applyFont="1" applyFill="1" applyAlignment="1">
      <alignment horizontal="center"/>
    </xf>
    <xf numFmtId="49" fontId="25" fillId="0" borderId="0" xfId="0" applyNumberFormat="1" applyFont="1" applyAlignment="1">
      <alignment horizontal="center"/>
    </xf>
    <xf numFmtId="0" fontId="23" fillId="10" borderId="1" xfId="0" applyFont="1" applyFill="1" applyBorder="1" applyAlignment="1">
      <alignment horizontal="center" vertical="center"/>
    </xf>
    <xf numFmtId="166" fontId="24" fillId="0" borderId="0" xfId="1" applyNumberFormat="1" applyFont="1" applyFill="1" applyAlignment="1">
      <alignment horizontal="right"/>
    </xf>
    <xf numFmtId="0" fontId="23" fillId="5" borderId="1" xfId="0" applyFont="1" applyFill="1" applyBorder="1" applyAlignment="1">
      <alignment horizontal="center" vertical="top"/>
    </xf>
    <xf numFmtId="15" fontId="24" fillId="0" borderId="0" xfId="0" applyNumberFormat="1" applyFont="1" applyFill="1" applyAlignment="1">
      <alignment horizontal="center"/>
    </xf>
    <xf numFmtId="0" fontId="23" fillId="11" borderId="1" xfId="0" applyFont="1" applyFill="1" applyBorder="1" applyAlignment="1">
      <alignment horizontal="center" vertical="center"/>
    </xf>
    <xf numFmtId="0" fontId="23" fillId="12" borderId="1" xfId="0" applyFont="1" applyFill="1" applyBorder="1" applyAlignment="1">
      <alignment vertical="center" wrapText="1"/>
    </xf>
    <xf numFmtId="0" fontId="26" fillId="0" borderId="0" xfId="0" applyFont="1" applyAlignment="1">
      <alignment horizontal="center"/>
    </xf>
    <xf numFmtId="165" fontId="23" fillId="9" borderId="1" xfId="1" applyNumberFormat="1" applyFont="1" applyFill="1" applyBorder="1" applyAlignment="1">
      <alignment horizontal="center" vertical="center"/>
    </xf>
    <xf numFmtId="0" fontId="28" fillId="0" borderId="0" xfId="0" applyFont="1"/>
    <xf numFmtId="165" fontId="23" fillId="13" borderId="1" xfId="1" applyNumberFormat="1" applyFont="1" applyFill="1" applyBorder="1" applyAlignment="1">
      <alignment horizontal="center" vertical="center" wrapText="1"/>
    </xf>
    <xf numFmtId="0" fontId="23" fillId="10" borderId="2"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0" xfId="0" applyFont="1" applyFill="1" applyBorder="1" applyAlignment="1">
      <alignment horizontal="center"/>
    </xf>
    <xf numFmtId="0" fontId="24" fillId="0" borderId="0" xfId="0" applyFont="1" applyAlignment="1">
      <alignment horizontal="center" vertical="center"/>
    </xf>
    <xf numFmtId="167" fontId="24" fillId="0" borderId="0" xfId="1" applyNumberFormat="1" applyFont="1" applyFill="1" applyAlignment="1">
      <alignment horizontal="center"/>
    </xf>
    <xf numFmtId="167" fontId="24" fillId="0" borderId="0" xfId="1" applyNumberFormat="1" applyFont="1" applyFill="1" applyBorder="1" applyAlignment="1">
      <alignment horizontal="center"/>
    </xf>
    <xf numFmtId="0" fontId="23" fillId="0" borderId="3" xfId="0" applyFont="1" applyBorder="1" applyAlignment="1"/>
    <xf numFmtId="0" fontId="23" fillId="14" borderId="2" xfId="0" applyFont="1" applyFill="1" applyBorder="1" applyAlignment="1">
      <alignment vertical="center"/>
    </xf>
    <xf numFmtId="0" fontId="23" fillId="14" borderId="3" xfId="0" applyFont="1" applyFill="1" applyBorder="1" applyAlignment="1">
      <alignment vertical="center"/>
    </xf>
    <xf numFmtId="10" fontId="23" fillId="14" borderId="3" xfId="4" applyNumberFormat="1" applyFont="1" applyFill="1" applyBorder="1" applyAlignment="1">
      <alignment horizontal="center" vertical="center"/>
    </xf>
    <xf numFmtId="0" fontId="28" fillId="15" borderId="1" xfId="0" applyFont="1" applyFill="1" applyBorder="1" applyAlignment="1">
      <alignment horizontal="center"/>
    </xf>
    <xf numFmtId="43" fontId="23" fillId="15" borderId="1" xfId="1" applyFont="1" applyFill="1" applyBorder="1" applyAlignment="1">
      <alignment horizontal="right" vertical="center"/>
    </xf>
    <xf numFmtId="43" fontId="25" fillId="0" borderId="0" xfId="1" applyFont="1" applyAlignment="1">
      <alignment horizontal="right"/>
    </xf>
    <xf numFmtId="168" fontId="25" fillId="0" borderId="0" xfId="1" applyNumberFormat="1" applyFont="1" applyAlignment="1">
      <alignment horizontal="right" vertical="center"/>
    </xf>
    <xf numFmtId="168" fontId="25" fillId="0" borderId="0" xfId="0" applyNumberFormat="1" applyFont="1" applyAlignment="1">
      <alignment horizontal="right"/>
    </xf>
    <xf numFmtId="165" fontId="23" fillId="14" borderId="3" xfId="1" applyNumberFormat="1" applyFont="1" applyFill="1" applyBorder="1" applyAlignment="1">
      <alignment horizontal="center" vertical="center"/>
    </xf>
    <xf numFmtId="0" fontId="23" fillId="7" borderId="1" xfId="0" applyFont="1" applyFill="1" applyBorder="1" applyAlignment="1">
      <alignment horizontal="center"/>
    </xf>
    <xf numFmtId="0" fontId="23" fillId="0" borderId="1" xfId="0" applyFont="1" applyFill="1" applyBorder="1" applyAlignment="1">
      <alignment horizontal="center" vertical="center" wrapText="1"/>
    </xf>
    <xf numFmtId="0" fontId="23" fillId="0" borderId="1" xfId="0" applyFont="1" applyBorder="1" applyAlignment="1">
      <alignment horizontal="center" vertical="center" wrapText="1"/>
    </xf>
    <xf numFmtId="165" fontId="23" fillId="0" borderId="1" xfId="1" applyNumberFormat="1" applyFont="1" applyBorder="1" applyAlignment="1">
      <alignment horizontal="center" vertical="center" wrapText="1"/>
    </xf>
    <xf numFmtId="2" fontId="24" fillId="0" borderId="0" xfId="0" applyNumberFormat="1" applyFont="1" applyFill="1" applyAlignment="1">
      <alignment horizontal="center"/>
    </xf>
    <xf numFmtId="0" fontId="23" fillId="16" borderId="1" xfId="0" applyFont="1" applyFill="1" applyBorder="1" applyAlignment="1">
      <alignment horizontal="center" vertical="center" wrapText="1"/>
    </xf>
    <xf numFmtId="0" fontId="23" fillId="15" borderId="1" xfId="0" applyFont="1" applyFill="1" applyBorder="1" applyAlignment="1">
      <alignment horizontal="center" vertical="center"/>
    </xf>
    <xf numFmtId="0" fontId="25" fillId="17" borderId="0" xfId="0" applyFont="1" applyFill="1" applyBorder="1" applyAlignment="1">
      <alignment horizontal="center"/>
    </xf>
    <xf numFmtId="0" fontId="24" fillId="0" borderId="0" xfId="0" applyFont="1" applyFill="1" applyBorder="1" applyAlignment="1">
      <alignment horizontal="left" vertical="center"/>
    </xf>
    <xf numFmtId="0" fontId="0" fillId="0" borderId="0" xfId="0" applyAlignment="1">
      <alignment horizontal="center" vertical="center"/>
    </xf>
    <xf numFmtId="0" fontId="25" fillId="0" borderId="0" xfId="0" applyFont="1" applyAlignment="1">
      <alignment horizontal="left" vertical="center"/>
    </xf>
    <xf numFmtId="0" fontId="25" fillId="17" borderId="0" xfId="0" applyFont="1" applyFill="1" applyAlignment="1">
      <alignment horizontal="center"/>
    </xf>
    <xf numFmtId="43" fontId="25" fillId="0" borderId="0" xfId="1" applyFont="1" applyFill="1" applyAlignment="1">
      <alignment horizontal="right"/>
    </xf>
    <xf numFmtId="43" fontId="24" fillId="0" borderId="0" xfId="1" applyFont="1" applyFill="1" applyAlignment="1">
      <alignment horizontal="right" vertical="center" wrapText="1"/>
    </xf>
    <xf numFmtId="43" fontId="24" fillId="0" borderId="0" xfId="1" applyFont="1" applyFill="1" applyAlignment="1">
      <alignment horizontal="right"/>
    </xf>
    <xf numFmtId="43" fontId="25" fillId="0" borderId="0" xfId="1" applyFont="1" applyAlignment="1">
      <alignment horizontal="right" vertical="center" wrapText="1"/>
    </xf>
    <xf numFmtId="43" fontId="24" fillId="0" borderId="0" xfId="1" applyFont="1" applyFill="1" applyAlignment="1">
      <alignment horizontal="right" vertical="center"/>
    </xf>
    <xf numFmtId="43" fontId="24" fillId="0" borderId="0" xfId="1" applyFont="1" applyFill="1" applyBorder="1" applyAlignment="1">
      <alignment horizontal="right"/>
    </xf>
    <xf numFmtId="43" fontId="25" fillId="0" borderId="0" xfId="1" applyFont="1" applyFill="1" applyAlignment="1">
      <alignment horizontal="right" vertical="center" wrapText="1"/>
    </xf>
    <xf numFmtId="0" fontId="24" fillId="0" borderId="0" xfId="0" applyFont="1" applyAlignment="1">
      <alignment horizontal="left" vertical="center"/>
    </xf>
    <xf numFmtId="0" fontId="25" fillId="0" borderId="0" xfId="0" applyFont="1" applyFill="1" applyBorder="1" applyAlignment="1">
      <alignment vertical="center"/>
    </xf>
    <xf numFmtId="165" fontId="23" fillId="19" borderId="5" xfId="1" applyNumberFormat="1" applyFont="1" applyFill="1" applyBorder="1" applyAlignment="1">
      <alignment vertical="center" wrapText="1"/>
    </xf>
    <xf numFmtId="169" fontId="24" fillId="0" borderId="0" xfId="1" applyNumberFormat="1" applyFont="1" applyFill="1" applyAlignment="1">
      <alignment horizontal="center"/>
    </xf>
    <xf numFmtId="169" fontId="25" fillId="0" borderId="0" xfId="1" applyNumberFormat="1" applyFont="1" applyAlignment="1">
      <alignment horizontal="center"/>
    </xf>
    <xf numFmtId="165" fontId="24" fillId="0" borderId="0" xfId="1" applyNumberFormat="1" applyFont="1"/>
    <xf numFmtId="0" fontId="25" fillId="20" borderId="0" xfId="0" applyFont="1" applyFill="1" applyAlignment="1">
      <alignment horizontal="center"/>
    </xf>
    <xf numFmtId="0" fontId="25" fillId="20" borderId="0" xfId="0" applyFont="1" applyFill="1" applyAlignment="1">
      <alignment horizontal="center" vertical="center"/>
    </xf>
    <xf numFmtId="0" fontId="25" fillId="20" borderId="1" xfId="0" applyFont="1" applyFill="1" applyBorder="1" applyAlignment="1">
      <alignment horizontal="center"/>
    </xf>
    <xf numFmtId="0" fontId="25" fillId="0" borderId="6" xfId="0" applyFont="1" applyBorder="1" applyAlignment="1">
      <alignment horizontal="center"/>
    </xf>
    <xf numFmtId="0" fontId="25" fillId="0" borderId="6" xfId="0" applyFont="1" applyBorder="1"/>
    <xf numFmtId="0" fontId="29" fillId="20" borderId="5" xfId="0" applyFont="1" applyFill="1" applyBorder="1" applyAlignment="1">
      <alignment horizontal="center"/>
    </xf>
    <xf numFmtId="0" fontId="25" fillId="20" borderId="6" xfId="0" applyFont="1" applyFill="1" applyBorder="1" applyAlignment="1">
      <alignment horizontal="center" vertical="center"/>
    </xf>
    <xf numFmtId="0" fontId="0" fillId="0" borderId="0" xfId="0" applyFill="1" applyAlignment="1">
      <alignment horizontal="center"/>
    </xf>
    <xf numFmtId="0" fontId="25" fillId="21" borderId="0" xfId="0" applyFont="1" applyFill="1" applyAlignment="1">
      <alignment horizontal="center"/>
    </xf>
    <xf numFmtId="0" fontId="25" fillId="21" borderId="0" xfId="0" applyFont="1" applyFill="1" applyAlignment="1">
      <alignment horizontal="center" vertical="center"/>
    </xf>
    <xf numFmtId="0" fontId="25" fillId="21" borderId="6" xfId="0" applyFont="1" applyFill="1" applyBorder="1" applyAlignment="1">
      <alignment horizontal="center" vertical="center"/>
    </xf>
    <xf numFmtId="0" fontId="29" fillId="21" borderId="5" xfId="0" applyFont="1" applyFill="1" applyBorder="1" applyAlignment="1">
      <alignment horizontal="center"/>
    </xf>
    <xf numFmtId="0" fontId="25" fillId="21" borderId="1" xfId="0" applyFont="1" applyFill="1" applyBorder="1" applyAlignment="1">
      <alignment horizontal="center"/>
    </xf>
    <xf numFmtId="0" fontId="25" fillId="0" borderId="6" xfId="0" applyFont="1" applyFill="1" applyBorder="1" applyAlignment="1">
      <alignment horizontal="center" vertical="center"/>
    </xf>
    <xf numFmtId="0" fontId="25" fillId="0" borderId="6" xfId="0" applyFont="1" applyBorder="1" applyAlignment="1">
      <alignment horizontal="center" vertical="center"/>
    </xf>
    <xf numFmtId="165" fontId="24" fillId="23" borderId="0" xfId="1" applyNumberFormat="1" applyFont="1" applyFill="1" applyAlignment="1">
      <alignment horizontal="center"/>
    </xf>
    <xf numFmtId="0" fontId="24" fillId="21" borderId="0" xfId="0" applyFont="1" applyFill="1" applyAlignment="1">
      <alignment horizontal="center"/>
    </xf>
    <xf numFmtId="0" fontId="25" fillId="24" borderId="0" xfId="0" applyFont="1" applyFill="1" applyAlignment="1">
      <alignment horizontal="center"/>
    </xf>
    <xf numFmtId="0" fontId="29" fillId="24" borderId="5" xfId="0" applyFont="1" applyFill="1" applyBorder="1" applyAlignment="1">
      <alignment horizontal="center"/>
    </xf>
    <xf numFmtId="0" fontId="25" fillId="24" borderId="1" xfId="0" applyFont="1" applyFill="1" applyBorder="1" applyAlignment="1">
      <alignment horizontal="center"/>
    </xf>
    <xf numFmtId="9" fontId="25" fillId="0" borderId="0" xfId="4" applyFont="1" applyAlignment="1">
      <alignment horizontal="center"/>
    </xf>
    <xf numFmtId="0" fontId="23" fillId="7" borderId="1" xfId="0" applyFont="1" applyFill="1" applyBorder="1" applyAlignment="1">
      <alignment horizontal="center"/>
    </xf>
    <xf numFmtId="0" fontId="25" fillId="6" borderId="0" xfId="0" applyFont="1" applyFill="1" applyAlignment="1">
      <alignment horizontal="center"/>
    </xf>
    <xf numFmtId="0" fontId="23" fillId="0" borderId="0" xfId="0" applyFont="1" applyFill="1" applyBorder="1" applyAlignment="1">
      <alignment vertical="center"/>
    </xf>
    <xf numFmtId="0" fontId="23" fillId="6" borderId="4" xfId="0" applyFont="1" applyFill="1" applyBorder="1" applyAlignment="1">
      <alignment horizontal="center" vertical="center" wrapText="1"/>
    </xf>
    <xf numFmtId="0" fontId="23" fillId="25" borderId="7" xfId="0" applyFont="1" applyFill="1" applyBorder="1" applyAlignment="1">
      <alignment horizontal="center" vertical="center"/>
    </xf>
    <xf numFmtId="0" fontId="26" fillId="0" borderId="0" xfId="0" applyFont="1" applyFill="1" applyAlignment="1">
      <alignment horizontal="center"/>
    </xf>
    <xf numFmtId="0" fontId="23" fillId="6" borderId="8" xfId="0" applyFont="1" applyFill="1" applyBorder="1" applyAlignment="1">
      <alignment horizontal="center" vertical="center" wrapText="1"/>
    </xf>
    <xf numFmtId="0" fontId="23" fillId="7" borderId="1" xfId="0" applyFont="1" applyFill="1" applyBorder="1" applyAlignment="1">
      <alignment horizontal="center"/>
    </xf>
    <xf numFmtId="0" fontId="23" fillId="26" borderId="5" xfId="0" applyFont="1" applyFill="1" applyBorder="1" applyAlignment="1">
      <alignment horizontal="center" vertical="center" wrapText="1"/>
    </xf>
    <xf numFmtId="48" fontId="23" fillId="26" borderId="5" xfId="0" applyNumberFormat="1" applyFont="1" applyFill="1" applyBorder="1" applyAlignment="1">
      <alignment horizontal="center" vertical="center" wrapText="1"/>
    </xf>
    <xf numFmtId="164" fontId="24" fillId="5" borderId="0" xfId="0" applyNumberFormat="1" applyFont="1" applyFill="1" applyAlignment="1">
      <alignment horizontal="center"/>
    </xf>
    <xf numFmtId="0" fontId="26" fillId="0" borderId="0" xfId="0" applyFont="1" applyFill="1" applyBorder="1" applyAlignment="1">
      <alignment horizontal="center"/>
    </xf>
    <xf numFmtId="0" fontId="24" fillId="2" borderId="0" xfId="0" applyFont="1" applyFill="1" applyAlignment="1">
      <alignment horizontal="center"/>
    </xf>
    <xf numFmtId="0" fontId="30" fillId="2" borderId="0" xfId="0" applyFont="1" applyFill="1" applyAlignment="1">
      <alignment horizontal="center"/>
    </xf>
    <xf numFmtId="0" fontId="24" fillId="27" borderId="0" xfId="0" applyFont="1" applyFill="1" applyAlignment="1">
      <alignment horizontal="center"/>
    </xf>
    <xf numFmtId="0" fontId="24" fillId="28" borderId="0" xfId="0" applyFont="1" applyFill="1" applyAlignment="1">
      <alignment horizontal="center"/>
    </xf>
    <xf numFmtId="0" fontId="24" fillId="28" borderId="0" xfId="0" applyFont="1" applyFill="1" applyBorder="1" applyAlignment="1">
      <alignment horizontal="center"/>
    </xf>
    <xf numFmtId="0" fontId="24" fillId="29" borderId="0" xfId="0" applyFont="1" applyFill="1" applyAlignment="1">
      <alignment horizontal="center"/>
    </xf>
    <xf numFmtId="0" fontId="24" fillId="30" borderId="0" xfId="0" applyFont="1" applyFill="1" applyAlignment="1">
      <alignment horizontal="center"/>
    </xf>
    <xf numFmtId="0" fontId="25" fillId="30" borderId="6" xfId="0" applyFont="1" applyFill="1" applyBorder="1" applyAlignment="1">
      <alignment horizontal="center" vertical="center"/>
    </xf>
    <xf numFmtId="0" fontId="29" fillId="30" borderId="5" xfId="0" applyFont="1" applyFill="1" applyBorder="1" applyAlignment="1">
      <alignment horizontal="center"/>
    </xf>
    <xf numFmtId="0" fontId="25" fillId="30" borderId="1" xfId="0" applyFont="1" applyFill="1" applyBorder="1" applyAlignment="1">
      <alignment horizontal="center"/>
    </xf>
    <xf numFmtId="0" fontId="29" fillId="2" borderId="5" xfId="0" applyFont="1" applyFill="1" applyBorder="1" applyAlignment="1">
      <alignment horizontal="center"/>
    </xf>
    <xf numFmtId="0" fontId="25" fillId="2" borderId="1" xfId="0" applyFont="1" applyFill="1" applyBorder="1" applyAlignment="1">
      <alignment horizontal="center"/>
    </xf>
    <xf numFmtId="0" fontId="29" fillId="29" borderId="5" xfId="0" applyFont="1" applyFill="1" applyBorder="1" applyAlignment="1">
      <alignment horizontal="center"/>
    </xf>
    <xf numFmtId="0" fontId="25" fillId="29" borderId="1" xfId="0" applyFont="1" applyFill="1" applyBorder="1" applyAlignment="1">
      <alignment horizontal="center"/>
    </xf>
    <xf numFmtId="0" fontId="25" fillId="2" borderId="6" xfId="0" applyFont="1" applyFill="1" applyBorder="1" applyAlignment="1">
      <alignment horizontal="center" vertical="center"/>
    </xf>
    <xf numFmtId="0" fontId="25" fillId="0" borderId="9" xfId="0" applyFont="1" applyFill="1" applyBorder="1" applyAlignment="1">
      <alignment horizontal="center" vertical="center"/>
    </xf>
    <xf numFmtId="0" fontId="25" fillId="29" borderId="9" xfId="0" applyFont="1" applyFill="1" applyBorder="1" applyAlignment="1">
      <alignment horizontal="center" vertical="center"/>
    </xf>
    <xf numFmtId="0" fontId="25" fillId="28" borderId="9" xfId="0" applyFont="1" applyFill="1" applyBorder="1" applyAlignment="1">
      <alignment horizontal="center" vertical="center"/>
    </xf>
    <xf numFmtId="0" fontId="29" fillId="28" borderId="5" xfId="0" applyFont="1" applyFill="1" applyBorder="1" applyAlignment="1">
      <alignment horizontal="center"/>
    </xf>
    <xf numFmtId="0" fontId="25" fillId="28" borderId="1" xfId="0" applyFont="1" applyFill="1" applyBorder="1" applyAlignment="1">
      <alignment horizontal="center"/>
    </xf>
    <xf numFmtId="0" fontId="25" fillId="27" borderId="6" xfId="0" applyFont="1" applyFill="1" applyBorder="1" applyAlignment="1">
      <alignment horizontal="center" vertical="center"/>
    </xf>
    <xf numFmtId="0" fontId="29" fillId="27" borderId="5" xfId="0" applyFont="1" applyFill="1" applyBorder="1" applyAlignment="1">
      <alignment horizontal="center"/>
    </xf>
    <xf numFmtId="0" fontId="25" fillId="27" borderId="1" xfId="0" applyFont="1" applyFill="1" applyBorder="1" applyAlignment="1">
      <alignment horizontal="center"/>
    </xf>
    <xf numFmtId="0" fontId="24" fillId="14" borderId="0" xfId="0" applyFont="1" applyFill="1" applyAlignment="1">
      <alignment horizontal="center"/>
    </xf>
    <xf numFmtId="0" fontId="25" fillId="14" borderId="6" xfId="0" applyFont="1" applyFill="1" applyBorder="1" applyAlignment="1">
      <alignment horizontal="center" vertical="center"/>
    </xf>
    <xf numFmtId="0" fontId="29" fillId="14" borderId="5" xfId="0" applyFont="1" applyFill="1" applyBorder="1" applyAlignment="1">
      <alignment horizontal="center"/>
    </xf>
    <xf numFmtId="0" fontId="25" fillId="14" borderId="1" xfId="0" applyFont="1" applyFill="1" applyBorder="1" applyAlignment="1">
      <alignment horizontal="center"/>
    </xf>
    <xf numFmtId="0" fontId="28" fillId="0" borderId="1" xfId="0" applyFont="1" applyBorder="1" applyAlignment="1">
      <alignment horizontal="center" vertical="center"/>
    </xf>
    <xf numFmtId="0" fontId="25" fillId="0" borderId="10" xfId="0" applyFont="1" applyFill="1" applyBorder="1" applyAlignment="1">
      <alignment horizontal="center" vertical="center"/>
    </xf>
    <xf numFmtId="0" fontId="25" fillId="24" borderId="9" xfId="0" applyFont="1" applyFill="1" applyBorder="1" applyAlignment="1">
      <alignment horizontal="center"/>
    </xf>
    <xf numFmtId="0" fontId="0" fillId="0" borderId="11" xfId="0" applyFont="1" applyBorder="1" applyAlignment="1"/>
    <xf numFmtId="0" fontId="0" fillId="0" borderId="12" xfId="0" applyFont="1" applyBorder="1" applyAlignment="1"/>
    <xf numFmtId="0" fontId="0" fillId="0" borderId="13" xfId="0" applyFont="1" applyBorder="1" applyAlignment="1"/>
    <xf numFmtId="0" fontId="31" fillId="0" borderId="14" xfId="0" applyFont="1" applyBorder="1" applyAlignment="1">
      <alignment horizontal="center" vertical="center"/>
    </xf>
    <xf numFmtId="0" fontId="31" fillId="0" borderId="15" xfId="0" applyFont="1" applyBorder="1" applyAlignment="1">
      <alignment horizontal="center" vertical="center"/>
    </xf>
    <xf numFmtId="0" fontId="0" fillId="0" borderId="16" xfId="0" applyFont="1" applyBorder="1" applyAlignment="1"/>
    <xf numFmtId="0" fontId="31" fillId="0" borderId="17" xfId="0" applyFont="1" applyBorder="1" applyAlignment="1">
      <alignment horizontal="center" vertical="center"/>
    </xf>
    <xf numFmtId="0" fontId="31" fillId="0" borderId="0" xfId="0" applyFont="1" applyBorder="1" applyAlignment="1">
      <alignment horizontal="center" vertical="center"/>
    </xf>
    <xf numFmtId="0" fontId="0" fillId="0" borderId="18" xfId="0" applyFont="1" applyBorder="1" applyAlignment="1"/>
    <xf numFmtId="0" fontId="0" fillId="0" borderId="17" xfId="0" applyFont="1" applyBorder="1" applyAlignment="1"/>
    <xf numFmtId="0" fontId="0" fillId="0" borderId="0" xfId="0" applyFont="1" applyBorder="1" applyAlignment="1"/>
    <xf numFmtId="0" fontId="0" fillId="0" borderId="14" xfId="0" applyFont="1" applyBorder="1" applyAlignment="1"/>
    <xf numFmtId="0" fontId="0" fillId="0" borderId="15" xfId="0" applyFont="1" applyBorder="1" applyAlignment="1"/>
    <xf numFmtId="0" fontId="0" fillId="0" borderId="0" xfId="0" applyFont="1" applyAlignment="1"/>
    <xf numFmtId="0" fontId="0" fillId="6" borderId="19" xfId="0" applyFont="1" applyFill="1" applyBorder="1" applyAlignment="1"/>
    <xf numFmtId="0" fontId="0" fillId="6" borderId="8" xfId="0" applyFont="1" applyFill="1" applyBorder="1" applyAlignment="1"/>
    <xf numFmtId="0" fontId="0" fillId="6" borderId="20" xfId="0" applyFont="1" applyFill="1" applyBorder="1" applyAlignment="1"/>
    <xf numFmtId="0" fontId="0" fillId="6" borderId="21" xfId="0" applyFont="1" applyFill="1" applyBorder="1" applyAlignment="1"/>
    <xf numFmtId="0" fontId="32" fillId="6" borderId="21" xfId="0" applyFont="1" applyFill="1" applyBorder="1" applyAlignment="1">
      <alignment horizontal="center"/>
    </xf>
    <xf numFmtId="0" fontId="32" fillId="0" borderId="20" xfId="0" applyFont="1" applyFill="1" applyBorder="1" applyAlignment="1">
      <alignment horizontal="center"/>
    </xf>
    <xf numFmtId="0" fontId="0" fillId="6" borderId="22" xfId="0" applyFont="1" applyFill="1" applyBorder="1" applyAlignment="1"/>
    <xf numFmtId="0" fontId="0" fillId="6" borderId="23" xfId="0" applyFont="1" applyFill="1" applyBorder="1" applyAlignment="1"/>
    <xf numFmtId="0" fontId="0" fillId="5" borderId="19" xfId="0" applyFont="1" applyFill="1" applyBorder="1" applyAlignment="1"/>
    <xf numFmtId="0" fontId="0" fillId="5" borderId="8" xfId="0" applyFont="1" applyFill="1" applyBorder="1" applyAlignment="1"/>
    <xf numFmtId="0" fontId="0" fillId="5" borderId="20" xfId="0" applyFont="1" applyFill="1" applyBorder="1" applyAlignment="1"/>
    <xf numFmtId="0" fontId="0" fillId="5" borderId="21" xfId="0" applyFont="1" applyFill="1" applyBorder="1" applyAlignment="1"/>
    <xf numFmtId="0" fontId="32" fillId="5" borderId="21" xfId="0" applyFont="1" applyFill="1" applyBorder="1" applyAlignment="1">
      <alignment horizontal="center"/>
    </xf>
    <xf numFmtId="0" fontId="0" fillId="5" borderId="22" xfId="0" applyFont="1" applyFill="1" applyBorder="1" applyAlignment="1"/>
    <xf numFmtId="0" fontId="0" fillId="5" borderId="23" xfId="0" applyFont="1" applyFill="1" applyBorder="1" applyAlignment="1"/>
    <xf numFmtId="0" fontId="0" fillId="2" borderId="0" xfId="0" applyFill="1"/>
    <xf numFmtId="0" fontId="0" fillId="0" borderId="3" xfId="0" applyBorder="1" applyAlignment="1">
      <alignment horizontal="center" vertical="center"/>
    </xf>
    <xf numFmtId="41" fontId="21" fillId="0" borderId="0" xfId="2" applyFont="1" applyFill="1" applyBorder="1" applyAlignment="1">
      <alignment horizontal="center" vertical="center"/>
    </xf>
    <xf numFmtId="0" fontId="25" fillId="5" borderId="6" xfId="0" applyFont="1" applyFill="1" applyBorder="1" applyAlignment="1">
      <alignment horizontal="center"/>
    </xf>
    <xf numFmtId="41" fontId="21" fillId="0" borderId="0" xfId="2" applyFont="1" applyAlignment="1">
      <alignment horizontal="center" vertical="center"/>
    </xf>
    <xf numFmtId="41" fontId="21" fillId="0" borderId="0" xfId="2" applyFont="1" applyBorder="1" applyAlignment="1">
      <alignment horizontal="center" vertical="center"/>
    </xf>
    <xf numFmtId="41" fontId="21" fillId="0" borderId="2" xfId="2" applyFont="1" applyBorder="1" applyAlignment="1">
      <alignment horizontal="center" vertical="center"/>
    </xf>
    <xf numFmtId="2" fontId="24" fillId="0" borderId="0" xfId="0" applyNumberFormat="1" applyFont="1" applyFill="1" applyAlignment="1">
      <alignment horizontal="center"/>
    </xf>
    <xf numFmtId="41" fontId="21" fillId="0" borderId="24" xfId="2" applyFont="1" applyBorder="1" applyAlignment="1">
      <alignment horizontal="center" vertical="center"/>
    </xf>
    <xf numFmtId="41" fontId="21" fillId="0" borderId="17" xfId="2" applyFont="1" applyBorder="1" applyAlignment="1">
      <alignment horizontal="center" vertical="center"/>
    </xf>
    <xf numFmtId="41" fontId="21" fillId="0" borderId="25" xfId="2" applyFont="1" applyBorder="1" applyAlignment="1">
      <alignment horizontal="center" vertical="center"/>
    </xf>
    <xf numFmtId="41" fontId="21" fillId="0" borderId="26" xfId="2" applyFont="1" applyBorder="1" applyAlignment="1">
      <alignment horizontal="center" vertical="center"/>
    </xf>
    <xf numFmtId="0" fontId="0" fillId="0" borderId="27" xfId="0" applyBorder="1" applyAlignment="1">
      <alignment horizontal="center" vertical="center"/>
    </xf>
    <xf numFmtId="0" fontId="23" fillId="31" borderId="1" xfId="0" applyFont="1" applyFill="1" applyBorder="1" applyAlignment="1">
      <alignment horizontal="center" vertical="center" wrapText="1"/>
    </xf>
    <xf numFmtId="0" fontId="23" fillId="7" borderId="1" xfId="0" applyFont="1" applyFill="1" applyBorder="1" applyAlignment="1">
      <alignment horizontal="center"/>
    </xf>
    <xf numFmtId="165" fontId="26" fillId="0" borderId="0" xfId="1" applyNumberFormat="1" applyFont="1" applyFill="1" applyAlignment="1">
      <alignment horizontal="center"/>
    </xf>
    <xf numFmtId="0" fontId="23" fillId="0" borderId="3" xfId="0" applyFont="1" applyBorder="1" applyAlignment="1">
      <alignment horizontal="center"/>
    </xf>
    <xf numFmtId="0" fontId="0" fillId="0" borderId="1" xfId="0" applyBorder="1" applyAlignment="1">
      <alignment horizontal="center" vertical="center"/>
    </xf>
    <xf numFmtId="0" fontId="23" fillId="31" borderId="1" xfId="0" applyNumberFormat="1" applyFont="1" applyFill="1" applyBorder="1" applyAlignment="1">
      <alignment horizontal="center" vertical="center" wrapText="1"/>
    </xf>
    <xf numFmtId="0" fontId="23" fillId="7" borderId="1" xfId="0" applyFont="1" applyFill="1" applyBorder="1" applyAlignment="1">
      <alignment horizontal="center" vertical="center"/>
    </xf>
    <xf numFmtId="1" fontId="21" fillId="0" borderId="1" xfId="2" applyNumberFormat="1" applyFont="1" applyBorder="1" applyAlignment="1">
      <alignment horizontal="center" vertical="center"/>
    </xf>
    <xf numFmtId="0" fontId="25" fillId="5" borderId="6" xfId="0" applyFont="1" applyFill="1"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0" xfId="0" applyBorder="1"/>
    <xf numFmtId="0" fontId="0" fillId="0" borderId="30" xfId="0" applyBorder="1" applyAlignment="1">
      <alignment horizontal="center" vertical="center"/>
    </xf>
    <xf numFmtId="1" fontId="21" fillId="0" borderId="7" xfId="2" applyNumberFormat="1" applyFont="1" applyBorder="1" applyAlignment="1">
      <alignment horizontal="center" vertical="center"/>
    </xf>
    <xf numFmtId="1" fontId="21" fillId="0" borderId="28" xfId="2" applyNumberFormat="1" applyFont="1" applyBorder="1" applyAlignment="1">
      <alignment horizontal="center" vertical="center"/>
    </xf>
    <xf numFmtId="1" fontId="21" fillId="0" borderId="29" xfId="2" applyNumberFormat="1" applyFont="1" applyBorder="1" applyAlignment="1">
      <alignment horizontal="center" vertical="center"/>
    </xf>
    <xf numFmtId="41" fontId="21" fillId="0" borderId="11" xfId="2" applyFont="1" applyBorder="1" applyAlignment="1">
      <alignment horizontal="center" vertical="center"/>
    </xf>
    <xf numFmtId="41" fontId="21" fillId="0" borderId="31" xfId="2" applyFont="1" applyBorder="1" applyAlignment="1">
      <alignment horizontal="center" vertical="center"/>
    </xf>
    <xf numFmtId="1" fontId="21" fillId="0" borderId="32" xfId="2" applyNumberFormat="1" applyFont="1" applyBorder="1" applyAlignment="1">
      <alignment horizontal="center" vertical="center"/>
    </xf>
    <xf numFmtId="1" fontId="21" fillId="0" borderId="33" xfId="2" applyNumberFormat="1" applyFont="1" applyBorder="1" applyAlignment="1">
      <alignment horizontal="center" vertical="center"/>
    </xf>
    <xf numFmtId="1" fontId="21" fillId="0" borderId="34" xfId="2" applyNumberFormat="1" applyFont="1" applyBorder="1" applyAlignment="1">
      <alignment horizontal="center" vertical="center"/>
    </xf>
    <xf numFmtId="1" fontId="32" fillId="0" borderId="35" xfId="2" applyNumberFormat="1" applyFont="1" applyFill="1" applyBorder="1" applyAlignment="1">
      <alignment horizontal="center" vertical="center" wrapText="1"/>
    </xf>
    <xf numFmtId="1" fontId="21" fillId="0" borderId="35" xfId="2" applyNumberFormat="1" applyFont="1" applyBorder="1" applyAlignment="1">
      <alignment horizontal="center" vertical="center"/>
    </xf>
    <xf numFmtId="41" fontId="32" fillId="0" borderId="0" xfId="2" applyFont="1" applyBorder="1" applyAlignment="1">
      <alignment horizontal="center" vertical="center"/>
    </xf>
    <xf numFmtId="1" fontId="21" fillId="0" borderId="0" xfId="2" applyNumberFormat="1" applyFont="1" applyBorder="1" applyAlignment="1">
      <alignment horizontal="center" vertical="center"/>
    </xf>
    <xf numFmtId="1" fontId="32" fillId="0" borderId="0" xfId="2" applyNumberFormat="1" applyFont="1" applyFill="1" applyBorder="1" applyAlignment="1">
      <alignment horizontal="center" vertical="center" wrapText="1"/>
    </xf>
    <xf numFmtId="41" fontId="32" fillId="0" borderId="0" xfId="2" applyFont="1" applyBorder="1" applyAlignment="1">
      <alignment vertical="center"/>
    </xf>
    <xf numFmtId="41" fontId="32" fillId="0" borderId="0" xfId="2" applyFont="1" applyBorder="1" applyAlignment="1">
      <alignment vertical="center" wrapText="1"/>
    </xf>
    <xf numFmtId="41" fontId="32" fillId="0" borderId="0" xfId="2" applyFont="1" applyFill="1" applyBorder="1" applyAlignment="1">
      <alignment vertical="center" wrapText="1"/>
    </xf>
    <xf numFmtId="41" fontId="32" fillId="0" borderId="36" xfId="2" applyFont="1" applyBorder="1" applyAlignment="1">
      <alignment horizontal="center" vertical="center"/>
    </xf>
    <xf numFmtId="41" fontId="32" fillId="0" borderId="37" xfId="2" applyFont="1" applyBorder="1" applyAlignment="1">
      <alignment horizontal="center" vertical="center"/>
    </xf>
    <xf numFmtId="0" fontId="28" fillId="0" borderId="28" xfId="0" applyFont="1" applyBorder="1" applyAlignment="1">
      <alignment horizontal="center" vertical="center"/>
    </xf>
    <xf numFmtId="0" fontId="28" fillId="0" borderId="29" xfId="0" applyFont="1" applyBorder="1" applyAlignment="1">
      <alignment horizontal="center" vertical="center"/>
    </xf>
    <xf numFmtId="0" fontId="0" fillId="0" borderId="38" xfId="0" applyBorder="1" applyAlignment="1">
      <alignment horizontal="center" vertical="center"/>
    </xf>
    <xf numFmtId="0" fontId="0" fillId="0" borderId="0" xfId="0" applyFill="1" applyBorder="1" applyAlignment="1">
      <alignment horizontal="center"/>
    </xf>
    <xf numFmtId="0" fontId="32" fillId="0" borderId="0" xfId="0" applyFont="1" applyFill="1" applyBorder="1" applyAlignment="1">
      <alignment horizontal="center"/>
    </xf>
    <xf numFmtId="0" fontId="28" fillId="0" borderId="27" xfId="0" applyFont="1" applyBorder="1" applyAlignment="1">
      <alignment horizontal="center" vertical="center"/>
    </xf>
    <xf numFmtId="0" fontId="28" fillId="0" borderId="3" xfId="0" applyFont="1" applyBorder="1" applyAlignment="1">
      <alignment horizontal="center" vertical="center"/>
    </xf>
    <xf numFmtId="0" fontId="0" fillId="0" borderId="39" xfId="0" applyBorder="1" applyAlignment="1">
      <alignment horizontal="center" vertical="center"/>
    </xf>
    <xf numFmtId="0" fontId="28" fillId="0" borderId="0" xfId="0" applyFont="1" applyFill="1" applyBorder="1" applyAlignment="1">
      <alignment horizontal="center" vertical="center"/>
    </xf>
    <xf numFmtId="0" fontId="23" fillId="0" borderId="28" xfId="0" applyFont="1" applyBorder="1" applyAlignment="1">
      <alignment horizontal="center"/>
    </xf>
    <xf numFmtId="0" fontId="23" fillId="0" borderId="27" xfId="0" applyFont="1" applyBorder="1" applyAlignment="1">
      <alignment horizontal="center"/>
    </xf>
    <xf numFmtId="0" fontId="29" fillId="0" borderId="17" xfId="0" applyFont="1" applyFill="1" applyBorder="1" applyAlignment="1">
      <alignment vertical="center" wrapText="1"/>
    </xf>
    <xf numFmtId="0" fontId="0" fillId="0" borderId="2" xfId="0" applyFont="1" applyBorder="1" applyAlignment="1">
      <alignment horizontal="center" vertical="center"/>
    </xf>
    <xf numFmtId="0" fontId="0" fillId="0" borderId="0" xfId="0" applyFont="1" applyFill="1" applyBorder="1" applyAlignment="1">
      <alignment horizontal="center"/>
    </xf>
    <xf numFmtId="0" fontId="26" fillId="21" borderId="0" xfId="0" applyFont="1" applyFill="1" applyAlignment="1">
      <alignment horizontal="center"/>
    </xf>
    <xf numFmtId="0" fontId="32" fillId="0" borderId="1" xfId="0" applyFont="1" applyBorder="1" applyAlignment="1">
      <alignment horizontal="center" vertical="center"/>
    </xf>
    <xf numFmtId="0" fontId="0" fillId="0" borderId="1" xfId="0" applyFont="1" applyBorder="1" applyAlignment="1">
      <alignment horizontal="center" vertical="center"/>
    </xf>
    <xf numFmtId="0" fontId="0" fillId="0" borderId="0" xfId="0" applyFont="1" applyAlignment="1">
      <alignment horizontal="center" vertical="center"/>
    </xf>
    <xf numFmtId="0" fontId="0" fillId="0" borderId="0" xfId="0" applyFont="1"/>
    <xf numFmtId="0" fontId="0" fillId="0" borderId="0" xfId="0" applyFont="1" applyFill="1" applyBorder="1" applyAlignment="1">
      <alignment horizontal="center" vertical="center"/>
    </xf>
    <xf numFmtId="0" fontId="24" fillId="0" borderId="0" xfId="0" applyFont="1" applyFill="1" applyAlignment="1">
      <alignment horizontal="left" vertical="center"/>
    </xf>
    <xf numFmtId="0" fontId="25" fillId="0" borderId="9" xfId="0" applyFont="1" applyFill="1" applyBorder="1" applyAlignment="1">
      <alignment horizontal="right" vertical="center"/>
    </xf>
    <xf numFmtId="0" fontId="25" fillId="0" borderId="6" xfId="0" applyFont="1" applyBorder="1" applyAlignment="1">
      <alignment horizontal="right" vertical="center"/>
    </xf>
    <xf numFmtId="0" fontId="25" fillId="0" borderId="6" xfId="0" applyFont="1" applyFill="1" applyBorder="1" applyAlignment="1">
      <alignment horizontal="right" vertical="center"/>
    </xf>
    <xf numFmtId="0" fontId="25" fillId="0" borderId="0" xfId="0" applyFont="1" applyFill="1" applyAlignment="1">
      <alignment horizontal="left" vertical="center"/>
    </xf>
    <xf numFmtId="0" fontId="24" fillId="0" borderId="0" xfId="0" applyFont="1" applyFill="1" applyAlignment="1">
      <alignment horizontal="right"/>
    </xf>
    <xf numFmtId="0" fontId="25" fillId="0" borderId="6" xfId="0" applyFont="1" applyBorder="1" applyAlignment="1">
      <alignment horizontal="right"/>
    </xf>
    <xf numFmtId="0" fontId="24" fillId="0" borderId="0" xfId="0" applyNumberFormat="1" applyFont="1" applyAlignment="1">
      <alignment horizontal="center" vertical="center"/>
    </xf>
    <xf numFmtId="14" fontId="24" fillId="0" borderId="0" xfId="0" applyNumberFormat="1" applyFont="1" applyAlignment="1">
      <alignment horizontal="center"/>
    </xf>
    <xf numFmtId="1" fontId="24" fillId="0" borderId="0" xfId="0" applyNumberFormat="1" applyFont="1" applyAlignment="1">
      <alignment horizontal="center"/>
    </xf>
    <xf numFmtId="48" fontId="24" fillId="0" borderId="0" xfId="0" applyNumberFormat="1" applyFont="1" applyAlignment="1">
      <alignment horizontal="center"/>
    </xf>
    <xf numFmtId="43" fontId="24" fillId="0" borderId="0" xfId="1" applyFont="1" applyAlignment="1">
      <alignment horizontal="right"/>
    </xf>
    <xf numFmtId="2" fontId="24" fillId="0" borderId="0" xfId="0" applyNumberFormat="1" applyFont="1" applyAlignment="1">
      <alignment horizontal="right"/>
    </xf>
    <xf numFmtId="10" fontId="24" fillId="0" borderId="0" xfId="4" applyNumberFormat="1" applyFont="1" applyAlignment="1">
      <alignment horizontal="center"/>
    </xf>
    <xf numFmtId="165" fontId="24" fillId="0" borderId="0" xfId="1" applyNumberFormat="1" applyFont="1" applyAlignment="1">
      <alignment horizontal="center"/>
    </xf>
    <xf numFmtId="167" fontId="24" fillId="0" borderId="0" xfId="1" applyNumberFormat="1" applyFont="1" applyAlignment="1">
      <alignment horizontal="center"/>
    </xf>
    <xf numFmtId="2" fontId="24" fillId="0" borderId="0" xfId="1" applyNumberFormat="1" applyFont="1" applyAlignment="1">
      <alignment horizontal="center" vertical="center"/>
    </xf>
    <xf numFmtId="169" fontId="24" fillId="0" borderId="0" xfId="1" applyNumberFormat="1" applyFont="1" applyAlignment="1">
      <alignment horizontal="center"/>
    </xf>
    <xf numFmtId="43" fontId="24" fillId="0" borderId="0" xfId="1" applyFont="1" applyAlignment="1">
      <alignment horizontal="center"/>
    </xf>
    <xf numFmtId="43" fontId="24" fillId="0" borderId="0" xfId="1" applyNumberFormat="1" applyFont="1" applyAlignment="1">
      <alignment horizontal="center"/>
    </xf>
    <xf numFmtId="0" fontId="24" fillId="0" borderId="0" xfId="0" applyNumberFormat="1" applyFont="1" applyAlignment="1">
      <alignment horizontal="center"/>
    </xf>
    <xf numFmtId="166" fontId="24" fillId="0" borderId="0" xfId="1" applyNumberFormat="1" applyFont="1" applyAlignment="1">
      <alignment horizontal="right"/>
    </xf>
    <xf numFmtId="0" fontId="24" fillId="32" borderId="0" xfId="0" applyFont="1" applyFill="1" applyAlignment="1">
      <alignment horizontal="center"/>
    </xf>
    <xf numFmtId="0" fontId="25" fillId="5" borderId="0" xfId="0" applyFont="1" applyFill="1" applyAlignment="1">
      <alignment horizontal="center" vertical="center"/>
    </xf>
    <xf numFmtId="2" fontId="23" fillId="14" borderId="3" xfId="0" applyNumberFormat="1" applyFont="1" applyFill="1" applyBorder="1" applyAlignment="1">
      <alignment horizontal="right" vertical="center"/>
    </xf>
    <xf numFmtId="2" fontId="23" fillId="14" borderId="3" xfId="1" applyNumberFormat="1" applyFont="1" applyFill="1" applyBorder="1" applyAlignment="1">
      <alignment horizontal="right" vertical="center"/>
    </xf>
    <xf numFmtId="0" fontId="23" fillId="0" borderId="5" xfId="0" applyFont="1" applyBorder="1" applyAlignment="1">
      <alignment horizontal="center" vertical="center" wrapText="1"/>
    </xf>
    <xf numFmtId="0" fontId="23" fillId="0" borderId="22" xfId="0" applyFont="1" applyBorder="1" applyAlignment="1">
      <alignment horizontal="center" vertical="center" wrapText="1"/>
    </xf>
    <xf numFmtId="0" fontId="23" fillId="0" borderId="23" xfId="0" applyFont="1" applyBorder="1" applyAlignment="1">
      <alignment horizontal="center" vertical="center" wrapText="1"/>
    </xf>
    <xf numFmtId="0" fontId="25" fillId="33" borderId="0" xfId="0" applyFont="1" applyFill="1" applyAlignment="1">
      <alignment horizontal="center"/>
    </xf>
    <xf numFmtId="0" fontId="25" fillId="34" borderId="0" xfId="0" applyFont="1" applyFill="1" applyAlignment="1">
      <alignment horizontal="center"/>
    </xf>
    <xf numFmtId="0" fontId="25" fillId="33" borderId="0" xfId="0" applyFont="1" applyFill="1" applyAlignment="1">
      <alignment horizontal="right"/>
    </xf>
    <xf numFmtId="0" fontId="25" fillId="34" borderId="0" xfId="0" applyFont="1" applyFill="1" applyAlignment="1">
      <alignment horizontal="right"/>
    </xf>
    <xf numFmtId="2" fontId="24" fillId="0" borderId="0" xfId="0" applyNumberFormat="1" applyFont="1" applyAlignment="1">
      <alignment horizontal="center"/>
    </xf>
    <xf numFmtId="2" fontId="24" fillId="0" borderId="0" xfId="1" applyNumberFormat="1" applyFont="1" applyAlignment="1">
      <alignment horizontal="right" vertical="center"/>
    </xf>
    <xf numFmtId="0" fontId="24" fillId="35" borderId="0" xfId="0" applyFont="1" applyFill="1" applyAlignment="1">
      <alignment horizontal="center"/>
    </xf>
    <xf numFmtId="0" fontId="25" fillId="6" borderId="0" xfId="0" applyNumberFormat="1" applyFont="1" applyFill="1" applyAlignment="1">
      <alignment horizontal="center" vertical="center"/>
    </xf>
    <xf numFmtId="0" fontId="29" fillId="21" borderId="1" xfId="0" applyFont="1" applyFill="1" applyBorder="1" applyAlignment="1">
      <alignment horizontal="center"/>
    </xf>
    <xf numFmtId="0" fontId="29" fillId="21" borderId="1" xfId="0" applyFont="1" applyFill="1" applyBorder="1" applyAlignment="1">
      <alignment horizontal="right"/>
    </xf>
    <xf numFmtId="0" fontId="24" fillId="6" borderId="0" xfId="0" applyFont="1" applyFill="1" applyAlignment="1">
      <alignment horizontal="center" vertical="center"/>
    </xf>
    <xf numFmtId="0" fontId="24" fillId="6" borderId="0" xfId="0" applyNumberFormat="1" applyFont="1" applyFill="1" applyAlignment="1">
      <alignment horizontal="center" vertical="center"/>
    </xf>
    <xf numFmtId="14" fontId="24" fillId="6" borderId="0" xfId="0" applyNumberFormat="1" applyFont="1" applyFill="1" applyAlignment="1">
      <alignment horizontal="center"/>
    </xf>
    <xf numFmtId="1" fontId="24" fillId="6" borderId="0" xfId="0" applyNumberFormat="1" applyFont="1" applyFill="1" applyAlignment="1">
      <alignment horizontal="center"/>
    </xf>
    <xf numFmtId="164" fontId="24" fillId="6" borderId="0" xfId="0" applyNumberFormat="1" applyFont="1" applyFill="1" applyAlignment="1">
      <alignment horizontal="center"/>
    </xf>
    <xf numFmtId="0" fontId="26" fillId="6" borderId="0" xfId="0" applyFont="1" applyFill="1" applyAlignment="1">
      <alignment horizontal="center"/>
    </xf>
    <xf numFmtId="43" fontId="24" fillId="6" borderId="0" xfId="1" applyFont="1" applyFill="1" applyAlignment="1">
      <alignment horizontal="right"/>
    </xf>
    <xf numFmtId="2" fontId="24" fillId="6" borderId="0" xfId="0" applyNumberFormat="1" applyFont="1" applyFill="1" applyAlignment="1">
      <alignment horizontal="right"/>
    </xf>
    <xf numFmtId="10" fontId="24" fillId="6" borderId="0" xfId="4" applyNumberFormat="1" applyFont="1" applyFill="1" applyAlignment="1">
      <alignment horizontal="center"/>
    </xf>
    <xf numFmtId="165" fontId="24" fillId="6" borderId="0" xfId="1" applyNumberFormat="1" applyFont="1" applyFill="1" applyAlignment="1">
      <alignment horizontal="center"/>
    </xf>
    <xf numFmtId="0" fontId="25" fillId="6" borderId="0" xfId="0" applyFont="1" applyFill="1"/>
    <xf numFmtId="0" fontId="24" fillId="6" borderId="0" xfId="0" applyNumberFormat="1" applyFont="1" applyFill="1" applyAlignment="1">
      <alignment horizontal="center"/>
    </xf>
    <xf numFmtId="166" fontId="24" fillId="6" borderId="0" xfId="1" applyNumberFormat="1" applyFont="1" applyFill="1" applyAlignment="1">
      <alignment horizontal="right"/>
    </xf>
    <xf numFmtId="43" fontId="24" fillId="6" borderId="0" xfId="1" applyFont="1" applyFill="1" applyAlignment="1">
      <alignment horizontal="center"/>
    </xf>
    <xf numFmtId="43" fontId="24" fillId="6" borderId="0" xfId="1" applyNumberFormat="1" applyFont="1" applyFill="1" applyAlignment="1">
      <alignment horizontal="center"/>
    </xf>
    <xf numFmtId="2" fontId="24" fillId="6" borderId="0" xfId="1" applyNumberFormat="1" applyFont="1" applyFill="1" applyAlignment="1">
      <alignment horizontal="center" vertical="center"/>
    </xf>
    <xf numFmtId="0" fontId="25" fillId="6" borderId="0" xfId="0" applyFont="1" applyFill="1" applyAlignment="1">
      <alignment horizontal="center" vertical="center"/>
    </xf>
    <xf numFmtId="14" fontId="25" fillId="6" borderId="0" xfId="0" applyNumberFormat="1" applyFont="1" applyFill="1" applyAlignment="1">
      <alignment horizontal="center"/>
    </xf>
    <xf numFmtId="1" fontId="25" fillId="6" borderId="0" xfId="0" applyNumberFormat="1" applyFont="1" applyFill="1" applyAlignment="1">
      <alignment horizontal="center"/>
    </xf>
    <xf numFmtId="48" fontId="25" fillId="6" borderId="0" xfId="0" applyNumberFormat="1" applyFont="1" applyFill="1" applyAlignment="1">
      <alignment horizontal="center"/>
    </xf>
    <xf numFmtId="43" fontId="25" fillId="6" borderId="0" xfId="1" applyFont="1" applyFill="1" applyAlignment="1">
      <alignment horizontal="right" vertical="center" wrapText="1"/>
    </xf>
    <xf numFmtId="2" fontId="25" fillId="6" borderId="0" xfId="1" applyNumberFormat="1" applyFont="1" applyFill="1" applyAlignment="1">
      <alignment horizontal="right"/>
    </xf>
    <xf numFmtId="10" fontId="25" fillId="6" borderId="0" xfId="4" applyNumberFormat="1" applyFont="1" applyFill="1" applyAlignment="1">
      <alignment horizontal="center" vertical="center"/>
    </xf>
    <xf numFmtId="165" fontId="25" fillId="6" borderId="0" xfId="1" applyNumberFormat="1" applyFont="1" applyFill="1" applyAlignment="1">
      <alignment horizontal="center"/>
    </xf>
    <xf numFmtId="2" fontId="26" fillId="6" borderId="0" xfId="1" applyNumberFormat="1" applyFont="1" applyFill="1" applyAlignment="1">
      <alignment horizontal="right"/>
    </xf>
    <xf numFmtId="2" fontId="26" fillId="6" borderId="0" xfId="0" applyNumberFormat="1" applyFont="1" applyFill="1" applyAlignment="1">
      <alignment horizontal="right"/>
    </xf>
    <xf numFmtId="10" fontId="26" fillId="6" borderId="0" xfId="4" applyNumberFormat="1" applyFont="1" applyFill="1" applyAlignment="1">
      <alignment horizontal="center"/>
    </xf>
    <xf numFmtId="0" fontId="25" fillId="6" borderId="0" xfId="0" applyNumberFormat="1" applyFont="1" applyFill="1" applyAlignment="1">
      <alignment horizontal="center"/>
    </xf>
    <xf numFmtId="43" fontId="25" fillId="6" borderId="0" xfId="1" applyFont="1" applyFill="1" applyAlignment="1">
      <alignment horizontal="right"/>
    </xf>
    <xf numFmtId="43" fontId="25" fillId="6" borderId="0" xfId="1" applyNumberFormat="1" applyFont="1" applyFill="1" applyAlignment="1">
      <alignment horizontal="center"/>
    </xf>
    <xf numFmtId="2" fontId="25" fillId="6" borderId="0" xfId="1" applyNumberFormat="1" applyFont="1" applyFill="1" applyAlignment="1">
      <alignment horizontal="center" vertical="center"/>
    </xf>
    <xf numFmtId="43" fontId="25" fillId="6" borderId="0" xfId="1" applyFont="1" applyFill="1" applyAlignment="1">
      <alignment horizontal="center"/>
    </xf>
    <xf numFmtId="2" fontId="25" fillId="6" borderId="0" xfId="0" applyNumberFormat="1" applyFont="1" applyFill="1" applyAlignment="1">
      <alignment horizontal="right"/>
    </xf>
    <xf numFmtId="10" fontId="25" fillId="6" borderId="0" xfId="4" applyNumberFormat="1" applyFont="1" applyFill="1" applyAlignment="1">
      <alignment horizontal="center"/>
    </xf>
    <xf numFmtId="166" fontId="25" fillId="6" borderId="0" xfId="1" applyNumberFormat="1" applyFont="1" applyFill="1" applyAlignment="1">
      <alignment horizontal="right"/>
    </xf>
    <xf numFmtId="167" fontId="25" fillId="6" borderId="0" xfId="1" applyNumberFormat="1" applyFont="1" applyFill="1" applyAlignment="1">
      <alignment horizontal="center"/>
    </xf>
    <xf numFmtId="43" fontId="26" fillId="6" borderId="0" xfId="1" applyFont="1" applyFill="1" applyAlignment="1">
      <alignment horizontal="right"/>
    </xf>
    <xf numFmtId="165" fontId="26" fillId="6" borderId="0" xfId="1" applyNumberFormat="1" applyFont="1" applyFill="1" applyAlignment="1">
      <alignment horizontal="center"/>
    </xf>
    <xf numFmtId="167" fontId="26" fillId="6" borderId="0" xfId="1" applyNumberFormat="1" applyFont="1" applyFill="1" applyAlignment="1">
      <alignment horizontal="center"/>
    </xf>
    <xf numFmtId="0" fontId="0" fillId="24" borderId="1" xfId="0" applyFill="1" applyBorder="1" applyAlignment="1">
      <alignment horizontal="center" vertical="center"/>
    </xf>
    <xf numFmtId="43" fontId="25" fillId="6" borderId="0" xfId="1" applyNumberFormat="1" applyFont="1" applyFill="1" applyAlignment="1">
      <alignment horizontal="right"/>
    </xf>
    <xf numFmtId="0" fontId="23" fillId="0" borderId="2" xfId="0" applyFont="1" applyBorder="1" applyAlignment="1"/>
    <xf numFmtId="2" fontId="23" fillId="0" borderId="3" xfId="1" applyNumberFormat="1" applyFont="1" applyBorder="1" applyAlignment="1"/>
    <xf numFmtId="2" fontId="23" fillId="0" borderId="3" xfId="0" applyNumberFormat="1" applyFont="1" applyBorder="1" applyAlignment="1"/>
    <xf numFmtId="165" fontId="23" fillId="0" borderId="3" xfId="1" applyNumberFormat="1" applyFont="1" applyBorder="1" applyAlignment="1"/>
    <xf numFmtId="0" fontId="23" fillId="0" borderId="7" xfId="0" applyFont="1" applyBorder="1" applyAlignment="1"/>
    <xf numFmtId="10" fontId="23" fillId="22" borderId="1" xfId="4" applyNumberFormat="1" applyFont="1" applyFill="1" applyBorder="1" applyAlignment="1">
      <alignment horizontal="center" vertical="center" wrapText="1"/>
    </xf>
    <xf numFmtId="10" fontId="23" fillId="14" borderId="1" xfId="4" applyNumberFormat="1" applyFont="1" applyFill="1" applyBorder="1" applyAlignment="1">
      <alignment horizontal="center" vertical="center" wrapText="1"/>
    </xf>
    <xf numFmtId="10" fontId="23" fillId="34" borderId="4" xfId="4" applyNumberFormat="1" applyFont="1" applyFill="1" applyBorder="1" applyAlignment="1">
      <alignment vertical="center" wrapText="1"/>
    </xf>
    <xf numFmtId="0" fontId="28" fillId="8" borderId="0" xfId="0" applyFont="1" applyFill="1"/>
    <xf numFmtId="0" fontId="0" fillId="24" borderId="11" xfId="0" applyFill="1" applyBorder="1" applyAlignment="1">
      <alignment horizontal="center" vertical="center"/>
    </xf>
    <xf numFmtId="0" fontId="0" fillId="24" borderId="33" xfId="0" applyFill="1" applyBorder="1" applyAlignment="1">
      <alignment horizontal="center" vertical="center"/>
    </xf>
    <xf numFmtId="0" fontId="0" fillId="24" borderId="17" xfId="0" applyFill="1" applyBorder="1" applyAlignment="1">
      <alignment horizontal="center" vertical="center"/>
    </xf>
    <xf numFmtId="0" fontId="0" fillId="24" borderId="29" xfId="0" applyFill="1" applyBorder="1" applyAlignment="1">
      <alignment horizontal="center" vertical="center"/>
    </xf>
    <xf numFmtId="0" fontId="0" fillId="24" borderId="14" xfId="0" applyFill="1" applyBorder="1" applyAlignment="1">
      <alignment horizontal="center" vertical="center"/>
    </xf>
    <xf numFmtId="0" fontId="0" fillId="24" borderId="40" xfId="0" applyFill="1" applyBorder="1" applyAlignment="1">
      <alignment horizontal="center" vertical="center"/>
    </xf>
    <xf numFmtId="0" fontId="0" fillId="24" borderId="37" xfId="0" applyFill="1" applyBorder="1" applyAlignment="1">
      <alignment horizontal="center" vertical="center"/>
    </xf>
    <xf numFmtId="2" fontId="23" fillId="0" borderId="41" xfId="1" applyNumberFormat="1" applyFont="1" applyBorder="1" applyAlignment="1">
      <alignment horizontal="center" vertical="center" wrapText="1"/>
    </xf>
    <xf numFmtId="2" fontId="23" fillId="0" borderId="23" xfId="0" applyNumberFormat="1" applyFont="1" applyBorder="1" applyAlignment="1">
      <alignment horizontal="center" vertical="center" wrapText="1"/>
    </xf>
    <xf numFmtId="2" fontId="25" fillId="0" borderId="6" xfId="0" applyNumberFormat="1" applyFont="1" applyFill="1" applyBorder="1" applyAlignment="1">
      <alignment horizontal="center" vertical="center"/>
    </xf>
    <xf numFmtId="0" fontId="23" fillId="0" borderId="10" xfId="0" applyFont="1" applyBorder="1" applyAlignment="1"/>
    <xf numFmtId="0" fontId="25" fillId="24" borderId="0" xfId="0" applyFont="1" applyFill="1" applyAlignment="1">
      <alignment horizontal="center" vertical="center"/>
    </xf>
    <xf numFmtId="0" fontId="25" fillId="24" borderId="0" xfId="0" applyNumberFormat="1" applyFont="1" applyFill="1" applyAlignment="1">
      <alignment horizontal="center" vertical="center"/>
    </xf>
    <xf numFmtId="14" fontId="25" fillId="24" borderId="0" xfId="0" applyNumberFormat="1" applyFont="1" applyFill="1" applyAlignment="1">
      <alignment horizontal="center"/>
    </xf>
    <xf numFmtId="1" fontId="25" fillId="24" borderId="0" xfId="0" applyNumberFormat="1" applyFont="1" applyFill="1" applyAlignment="1">
      <alignment horizontal="center"/>
    </xf>
    <xf numFmtId="48" fontId="25" fillId="24" borderId="0" xfId="0" applyNumberFormat="1" applyFont="1" applyFill="1" applyAlignment="1">
      <alignment horizontal="center"/>
    </xf>
    <xf numFmtId="43" fontId="25" fillId="24" borderId="0" xfId="1" applyFont="1" applyFill="1" applyAlignment="1">
      <alignment horizontal="right" vertical="center" wrapText="1"/>
    </xf>
    <xf numFmtId="2" fontId="25" fillId="24" borderId="0" xfId="1" applyNumberFormat="1" applyFont="1" applyFill="1" applyAlignment="1">
      <alignment horizontal="right"/>
    </xf>
    <xf numFmtId="10" fontId="25" fillId="24" borderId="0" xfId="4" applyNumberFormat="1" applyFont="1" applyFill="1" applyAlignment="1">
      <alignment horizontal="center" vertical="center"/>
    </xf>
    <xf numFmtId="165" fontId="25" fillId="24" borderId="0" xfId="1" applyNumberFormat="1" applyFont="1" applyFill="1" applyAlignment="1">
      <alignment horizontal="center"/>
    </xf>
    <xf numFmtId="43" fontId="25" fillId="24" borderId="0" xfId="1" applyNumberFormat="1" applyFont="1" applyFill="1" applyAlignment="1">
      <alignment horizontal="right"/>
    </xf>
    <xf numFmtId="10" fontId="25" fillId="24" borderId="0" xfId="4" applyNumberFormat="1" applyFont="1" applyFill="1" applyAlignment="1">
      <alignment horizontal="center"/>
    </xf>
    <xf numFmtId="2" fontId="25" fillId="24" borderId="0" xfId="1" applyNumberFormat="1" applyFont="1" applyFill="1" applyAlignment="1">
      <alignment horizontal="center" vertical="center"/>
    </xf>
    <xf numFmtId="2" fontId="25" fillId="24" borderId="0" xfId="0" applyNumberFormat="1" applyFont="1" applyFill="1" applyAlignment="1">
      <alignment horizontal="center"/>
    </xf>
    <xf numFmtId="169" fontId="25" fillId="24" borderId="0" xfId="1" applyNumberFormat="1" applyFont="1" applyFill="1" applyAlignment="1">
      <alignment horizontal="center"/>
    </xf>
    <xf numFmtId="43" fontId="25" fillId="24" borderId="0" xfId="1" applyFont="1" applyFill="1" applyAlignment="1">
      <alignment horizontal="center"/>
    </xf>
    <xf numFmtId="2" fontId="25" fillId="24" borderId="0" xfId="0" applyNumberFormat="1" applyFont="1" applyFill="1" applyAlignment="1">
      <alignment horizontal="right"/>
    </xf>
    <xf numFmtId="2" fontId="25" fillId="24" borderId="0" xfId="1" applyNumberFormat="1" applyFont="1" applyFill="1" applyAlignment="1">
      <alignment horizontal="right" vertical="center"/>
    </xf>
    <xf numFmtId="43" fontId="25" fillId="24" borderId="0" xfId="1" applyNumberFormat="1" applyFont="1" applyFill="1" applyAlignment="1">
      <alignment horizontal="center"/>
    </xf>
    <xf numFmtId="9" fontId="25" fillId="24" borderId="0" xfId="4" applyFont="1" applyFill="1" applyAlignment="1">
      <alignment horizontal="center"/>
    </xf>
    <xf numFmtId="0" fontId="25" fillId="24" borderId="0" xfId="0" applyNumberFormat="1" applyFont="1" applyFill="1" applyAlignment="1">
      <alignment horizontal="center"/>
    </xf>
    <xf numFmtId="43" fontId="25" fillId="24" borderId="0" xfId="1" applyFont="1" applyFill="1" applyAlignment="1">
      <alignment horizontal="right"/>
    </xf>
    <xf numFmtId="0" fontId="24" fillId="24" borderId="0" xfId="0" applyFont="1" applyFill="1" applyAlignment="1">
      <alignment horizontal="center"/>
    </xf>
    <xf numFmtId="0" fontId="25" fillId="24" borderId="0" xfId="0" applyFont="1" applyFill="1" applyAlignment="1">
      <alignment vertical="center"/>
    </xf>
    <xf numFmtId="0" fontId="25" fillId="24" borderId="0" xfId="0" applyFont="1" applyFill="1"/>
    <xf numFmtId="0" fontId="25" fillId="24" borderId="10" xfId="0" applyFont="1" applyFill="1" applyBorder="1" applyAlignment="1">
      <alignment horizontal="center" vertical="center"/>
    </xf>
    <xf numFmtId="0" fontId="29" fillId="24" borderId="1" xfId="0" applyFont="1" applyFill="1" applyBorder="1" applyAlignment="1">
      <alignment horizontal="center"/>
    </xf>
    <xf numFmtId="41" fontId="21" fillId="24" borderId="19" xfId="2" applyFont="1" applyFill="1" applyBorder="1" applyAlignment="1">
      <alignment horizontal="center" vertical="center"/>
    </xf>
    <xf numFmtId="1" fontId="21" fillId="24" borderId="1" xfId="2" applyNumberFormat="1" applyFont="1" applyFill="1" applyBorder="1" applyAlignment="1">
      <alignment horizontal="center" vertical="center"/>
    </xf>
    <xf numFmtId="41" fontId="21" fillId="24" borderId="21" xfId="2" applyFont="1" applyFill="1" applyBorder="1" applyAlignment="1">
      <alignment horizontal="center" vertical="center"/>
    </xf>
    <xf numFmtId="41" fontId="21" fillId="24" borderId="22" xfId="2" applyFont="1" applyFill="1" applyBorder="1" applyAlignment="1">
      <alignment horizontal="center" vertical="center"/>
    </xf>
    <xf numFmtId="1" fontId="21" fillId="24" borderId="35" xfId="2" applyNumberFormat="1" applyFont="1" applyFill="1" applyBorder="1" applyAlignment="1">
      <alignment horizontal="center" vertical="center"/>
    </xf>
    <xf numFmtId="1" fontId="21" fillId="24" borderId="40" xfId="2" applyNumberFormat="1" applyFont="1" applyFill="1" applyBorder="1" applyAlignment="1">
      <alignment horizontal="center" vertical="center"/>
    </xf>
    <xf numFmtId="0" fontId="0" fillId="24" borderId="31" xfId="0" applyFill="1" applyBorder="1" applyAlignment="1">
      <alignment horizontal="center" vertical="center"/>
    </xf>
    <xf numFmtId="0" fontId="0" fillId="24" borderId="2" xfId="0" applyFill="1" applyBorder="1" applyAlignment="1">
      <alignment horizontal="center" vertical="center"/>
    </xf>
    <xf numFmtId="0" fontId="0" fillId="24" borderId="42" xfId="0" applyFill="1" applyBorder="1" applyAlignment="1">
      <alignment horizontal="center" vertical="center"/>
    </xf>
    <xf numFmtId="0" fontId="0" fillId="24" borderId="43" xfId="0" applyFill="1" applyBorder="1" applyAlignment="1">
      <alignment horizontal="center" vertical="center"/>
    </xf>
    <xf numFmtId="0" fontId="0" fillId="24" borderId="27" xfId="0" applyFill="1" applyBorder="1" applyAlignment="1">
      <alignment horizontal="center" vertical="center"/>
    </xf>
    <xf numFmtId="0" fontId="0" fillId="24" borderId="44" xfId="0" applyFill="1" applyBorder="1" applyAlignment="1">
      <alignment horizontal="center" vertical="center"/>
    </xf>
    <xf numFmtId="0" fontId="0" fillId="24" borderId="28" xfId="0" applyFill="1" applyBorder="1" applyAlignment="1">
      <alignment horizontal="center" vertical="center"/>
    </xf>
    <xf numFmtId="0" fontId="0" fillId="24" borderId="36" xfId="0" applyFill="1" applyBorder="1" applyAlignment="1">
      <alignment horizontal="center" vertical="center"/>
    </xf>
    <xf numFmtId="0" fontId="23" fillId="5" borderId="1" xfId="0" applyFont="1" applyFill="1" applyBorder="1" applyAlignment="1"/>
    <xf numFmtId="43" fontId="24" fillId="6" borderId="0" xfId="1" applyNumberFormat="1" applyFont="1" applyFill="1" applyAlignment="1">
      <alignment horizontal="right"/>
    </xf>
    <xf numFmtId="167" fontId="24" fillId="6" borderId="0" xfId="1" applyNumberFormat="1" applyFont="1" applyFill="1" applyAlignment="1">
      <alignment horizontal="center"/>
    </xf>
    <xf numFmtId="166" fontId="24" fillId="6" borderId="0" xfId="0" applyNumberFormat="1" applyFont="1" applyFill="1" applyAlignment="1">
      <alignment horizontal="center"/>
    </xf>
    <xf numFmtId="169" fontId="24" fillId="6" borderId="0" xfId="1" applyNumberFormat="1" applyFont="1" applyFill="1" applyAlignment="1">
      <alignment horizontal="center"/>
    </xf>
    <xf numFmtId="2" fontId="25" fillId="6" borderId="0" xfId="0" applyNumberFormat="1" applyFont="1" applyFill="1" applyAlignment="1">
      <alignment horizontal="center"/>
    </xf>
    <xf numFmtId="169" fontId="25" fillId="6" borderId="0" xfId="1" applyNumberFormat="1" applyFont="1" applyFill="1" applyAlignment="1">
      <alignment horizontal="center"/>
    </xf>
    <xf numFmtId="2" fontId="25" fillId="6" borderId="0" xfId="1" applyNumberFormat="1" applyFont="1" applyFill="1" applyAlignment="1">
      <alignment horizontal="right" vertical="center"/>
    </xf>
    <xf numFmtId="9" fontId="25" fillId="6" borderId="0" xfId="4" applyFont="1" applyFill="1" applyAlignment="1">
      <alignment horizontal="center"/>
    </xf>
    <xf numFmtId="2" fontId="24" fillId="6" borderId="0" xfId="0" applyNumberFormat="1" applyFont="1" applyFill="1" applyAlignment="1">
      <alignment horizontal="center"/>
    </xf>
    <xf numFmtId="1" fontId="25" fillId="0" borderId="6" xfId="0" applyNumberFormat="1" applyFont="1" applyBorder="1" applyAlignment="1">
      <alignment horizontal="center" vertical="center"/>
    </xf>
    <xf numFmtId="0" fontId="25" fillId="2" borderId="0" xfId="0" applyFont="1" applyFill="1" applyAlignment="1">
      <alignment horizontal="center"/>
    </xf>
    <xf numFmtId="0" fontId="0" fillId="2" borderId="38" xfId="0" applyFill="1" applyBorder="1" applyAlignment="1">
      <alignment horizontal="center" vertical="center"/>
    </xf>
    <xf numFmtId="0" fontId="0" fillId="2" borderId="28" xfId="0" applyFill="1" applyBorder="1" applyAlignment="1">
      <alignment horizontal="center" vertical="center"/>
    </xf>
    <xf numFmtId="0" fontId="0" fillId="2" borderId="1" xfId="0" applyFill="1" applyBorder="1" applyAlignment="1">
      <alignment horizontal="center" vertical="center"/>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39" xfId="0" applyFill="1" applyBorder="1" applyAlignment="1">
      <alignment horizontal="center" vertical="center"/>
    </xf>
    <xf numFmtId="41" fontId="21" fillId="2" borderId="24" xfId="2" applyFont="1" applyFill="1" applyBorder="1" applyAlignment="1">
      <alignment horizontal="center" vertical="center"/>
    </xf>
    <xf numFmtId="1" fontId="21" fillId="2" borderId="28" xfId="2" applyNumberFormat="1" applyFont="1" applyFill="1" applyBorder="1" applyAlignment="1">
      <alignment horizontal="center" vertical="center"/>
    </xf>
    <xf numFmtId="1" fontId="21" fillId="2" borderId="29" xfId="2" applyNumberFormat="1" applyFont="1" applyFill="1" applyBorder="1" applyAlignment="1">
      <alignment horizontal="center" vertical="center"/>
    </xf>
    <xf numFmtId="1" fontId="21" fillId="2" borderId="7" xfId="2" applyNumberFormat="1" applyFont="1" applyFill="1" applyBorder="1" applyAlignment="1">
      <alignment horizontal="center" vertical="center"/>
    </xf>
    <xf numFmtId="1" fontId="21" fillId="2" borderId="1" xfId="2" applyNumberFormat="1" applyFont="1" applyFill="1" applyBorder="1" applyAlignment="1">
      <alignment horizontal="center" vertical="center"/>
    </xf>
    <xf numFmtId="41" fontId="21" fillId="2" borderId="17" xfId="2" applyFont="1" applyFill="1" applyBorder="1" applyAlignment="1">
      <alignment horizontal="center" vertical="center"/>
    </xf>
    <xf numFmtId="0" fontId="25" fillId="20" borderId="1" xfId="0" applyFont="1" applyFill="1" applyBorder="1" applyAlignment="1">
      <alignment horizontal="center" vertical="center"/>
    </xf>
    <xf numFmtId="0" fontId="0" fillId="21" borderId="3" xfId="0" applyFill="1" applyBorder="1" applyAlignment="1">
      <alignment horizontal="center" vertical="center"/>
    </xf>
    <xf numFmtId="0" fontId="0" fillId="21" borderId="28" xfId="0" applyFill="1" applyBorder="1" applyAlignment="1">
      <alignment horizontal="center" vertical="center"/>
    </xf>
    <xf numFmtId="0" fontId="0" fillId="21" borderId="1" xfId="0" applyFill="1" applyBorder="1" applyAlignment="1">
      <alignment horizontal="center" vertical="center"/>
    </xf>
    <xf numFmtId="0" fontId="0" fillId="21" borderId="29" xfId="0" applyFill="1" applyBorder="1" applyAlignment="1">
      <alignment horizontal="center" vertical="center"/>
    </xf>
    <xf numFmtId="0" fontId="0" fillId="21" borderId="27" xfId="0" applyFill="1" applyBorder="1" applyAlignment="1">
      <alignment horizontal="center" vertical="center"/>
    </xf>
    <xf numFmtId="0" fontId="0" fillId="21" borderId="45" xfId="0" applyFill="1" applyBorder="1" applyAlignment="1">
      <alignment horizontal="center" vertical="center"/>
    </xf>
    <xf numFmtId="0" fontId="0" fillId="21" borderId="5" xfId="0" applyFill="1" applyBorder="1" applyAlignment="1">
      <alignment horizontal="center" vertical="center"/>
    </xf>
    <xf numFmtId="0" fontId="0" fillId="21" borderId="2" xfId="0" applyFill="1" applyBorder="1" applyAlignment="1">
      <alignment horizontal="center" vertical="center"/>
    </xf>
    <xf numFmtId="41" fontId="21" fillId="21" borderId="24" xfId="2" applyFont="1" applyFill="1" applyBorder="1" applyAlignment="1">
      <alignment horizontal="center" vertical="center"/>
    </xf>
    <xf numFmtId="1" fontId="21" fillId="21" borderId="28" xfId="2" applyNumberFormat="1" applyFont="1" applyFill="1" applyBorder="1" applyAlignment="1">
      <alignment horizontal="center" vertical="center"/>
    </xf>
    <xf numFmtId="1" fontId="21" fillId="21" borderId="29" xfId="2" applyNumberFormat="1" applyFont="1" applyFill="1" applyBorder="1" applyAlignment="1">
      <alignment horizontal="center" vertical="center"/>
    </xf>
    <xf numFmtId="1" fontId="21" fillId="21" borderId="7" xfId="2" applyNumberFormat="1" applyFont="1" applyFill="1" applyBorder="1" applyAlignment="1">
      <alignment horizontal="center" vertical="center"/>
    </xf>
    <xf numFmtId="1" fontId="21" fillId="21" borderId="1" xfId="2" applyNumberFormat="1" applyFont="1" applyFill="1" applyBorder="1" applyAlignment="1">
      <alignment horizontal="center" vertical="center"/>
    </xf>
    <xf numFmtId="41" fontId="21" fillId="21" borderId="17" xfId="2" applyFont="1" applyFill="1" applyBorder="1" applyAlignment="1">
      <alignment horizontal="center" vertical="center"/>
    </xf>
    <xf numFmtId="0" fontId="25" fillId="2" borderId="2" xfId="0" applyFont="1" applyFill="1" applyBorder="1" applyAlignment="1">
      <alignment horizontal="center"/>
    </xf>
    <xf numFmtId="0" fontId="25" fillId="24" borderId="2" xfId="0" applyFont="1" applyFill="1" applyBorder="1" applyAlignment="1">
      <alignment horizontal="center" vertical="center"/>
    </xf>
    <xf numFmtId="1" fontId="21" fillId="24" borderId="7" xfId="2" applyNumberFormat="1" applyFont="1" applyFill="1" applyBorder="1" applyAlignment="1">
      <alignment horizontal="center" vertical="center"/>
    </xf>
    <xf numFmtId="1" fontId="21" fillId="24" borderId="28" xfId="2" applyNumberFormat="1" applyFont="1" applyFill="1" applyBorder="1" applyAlignment="1">
      <alignment horizontal="center" vertical="center"/>
    </xf>
    <xf numFmtId="1" fontId="21" fillId="24" borderId="29" xfId="2" applyNumberFormat="1" applyFont="1" applyFill="1" applyBorder="1" applyAlignment="1">
      <alignment horizontal="center" vertical="center"/>
    </xf>
    <xf numFmtId="1" fontId="21" fillId="24" borderId="36" xfId="2" applyNumberFormat="1" applyFont="1" applyFill="1" applyBorder="1" applyAlignment="1">
      <alignment horizontal="center" vertical="center"/>
    </xf>
    <xf numFmtId="1" fontId="21" fillId="24" borderId="37" xfId="2" applyNumberFormat="1" applyFont="1" applyFill="1" applyBorder="1" applyAlignment="1">
      <alignment horizontal="center" vertical="center"/>
    </xf>
    <xf numFmtId="0" fontId="25" fillId="21" borderId="0" xfId="0" applyNumberFormat="1" applyFont="1" applyFill="1" applyAlignment="1">
      <alignment horizontal="center" vertical="center"/>
    </xf>
    <xf numFmtId="14" fontId="25" fillId="21" borderId="0" xfId="0" applyNumberFormat="1" applyFont="1" applyFill="1" applyAlignment="1">
      <alignment horizontal="center"/>
    </xf>
    <xf numFmtId="1" fontId="25" fillId="21" borderId="0" xfId="0" applyNumberFormat="1" applyFont="1" applyFill="1" applyAlignment="1">
      <alignment horizontal="center"/>
    </xf>
    <xf numFmtId="48" fontId="25" fillId="21" borderId="0" xfId="0" applyNumberFormat="1" applyFont="1" applyFill="1" applyAlignment="1">
      <alignment horizontal="center"/>
    </xf>
    <xf numFmtId="43" fontId="25" fillId="21" borderId="0" xfId="1" applyFont="1" applyFill="1" applyAlignment="1">
      <alignment horizontal="right" vertical="center" wrapText="1"/>
    </xf>
    <xf numFmtId="2" fontId="25" fillId="21" borderId="0" xfId="1" applyNumberFormat="1" applyFont="1" applyFill="1" applyAlignment="1">
      <alignment horizontal="right"/>
    </xf>
    <xf numFmtId="10" fontId="25" fillId="21" borderId="0" xfId="4" applyNumberFormat="1" applyFont="1" applyFill="1" applyAlignment="1">
      <alignment horizontal="center" vertical="center"/>
    </xf>
    <xf numFmtId="165" fontId="25" fillId="21" borderId="0" xfId="1" applyNumberFormat="1" applyFont="1" applyFill="1" applyAlignment="1">
      <alignment horizontal="center"/>
    </xf>
    <xf numFmtId="10" fontId="25" fillId="21" borderId="0" xfId="4" applyNumberFormat="1" applyFont="1" applyFill="1" applyAlignment="1">
      <alignment horizontal="center"/>
    </xf>
    <xf numFmtId="168" fontId="25" fillId="21" borderId="0" xfId="1" applyNumberFormat="1" applyFont="1" applyFill="1" applyAlignment="1">
      <alignment horizontal="right" vertical="center"/>
    </xf>
    <xf numFmtId="168" fontId="25" fillId="21" borderId="0" xfId="0" applyNumberFormat="1" applyFont="1" applyFill="1" applyAlignment="1">
      <alignment horizontal="right"/>
    </xf>
    <xf numFmtId="169" fontId="25" fillId="21" borderId="0" xfId="1" applyNumberFormat="1" applyFont="1" applyFill="1" applyAlignment="1">
      <alignment horizontal="center"/>
    </xf>
    <xf numFmtId="43" fontId="25" fillId="21" borderId="0" xfId="1" applyFont="1" applyFill="1" applyAlignment="1">
      <alignment horizontal="center"/>
    </xf>
    <xf numFmtId="2" fontId="25" fillId="21" borderId="0" xfId="0" applyNumberFormat="1" applyFont="1" applyFill="1" applyAlignment="1">
      <alignment horizontal="right"/>
    </xf>
    <xf numFmtId="2" fontId="25" fillId="21" borderId="0" xfId="1" applyNumberFormat="1" applyFont="1" applyFill="1" applyAlignment="1">
      <alignment horizontal="right" vertical="center"/>
    </xf>
    <xf numFmtId="43" fontId="25" fillId="21" borderId="0" xfId="1" applyNumberFormat="1" applyFont="1" applyFill="1" applyAlignment="1">
      <alignment horizontal="center"/>
    </xf>
    <xf numFmtId="0" fontId="25" fillId="21" borderId="0" xfId="0" applyNumberFormat="1" applyFont="1" applyFill="1" applyAlignment="1">
      <alignment horizontal="center"/>
    </xf>
    <xf numFmtId="43" fontId="25" fillId="21" borderId="0" xfId="1" applyFont="1" applyFill="1" applyAlignment="1">
      <alignment horizontal="right"/>
    </xf>
    <xf numFmtId="0" fontId="25" fillId="21" borderId="0" xfId="0" applyFont="1" applyFill="1"/>
    <xf numFmtId="0" fontId="25" fillId="21" borderId="0" xfId="0" applyFont="1" applyFill="1" applyAlignment="1">
      <alignment vertical="center"/>
    </xf>
    <xf numFmtId="0" fontId="25" fillId="20" borderId="0" xfId="0" applyNumberFormat="1" applyFont="1" applyFill="1" applyAlignment="1">
      <alignment horizontal="center" vertical="center"/>
    </xf>
    <xf numFmtId="14" fontId="25" fillId="20" borderId="0" xfId="0" applyNumberFormat="1" applyFont="1" applyFill="1" applyAlignment="1">
      <alignment horizontal="center"/>
    </xf>
    <xf numFmtId="1" fontId="25" fillId="20" borderId="0" xfId="0" applyNumberFormat="1" applyFont="1" applyFill="1" applyAlignment="1">
      <alignment horizontal="center"/>
    </xf>
    <xf numFmtId="48" fontId="25" fillId="20" borderId="0" xfId="0" applyNumberFormat="1" applyFont="1" applyFill="1" applyAlignment="1">
      <alignment horizontal="center"/>
    </xf>
    <xf numFmtId="43" fontId="25" fillId="20" borderId="0" xfId="1" applyFont="1" applyFill="1" applyAlignment="1">
      <alignment horizontal="right" vertical="center" wrapText="1"/>
    </xf>
    <xf numFmtId="2" fontId="25" fillId="20" borderId="0" xfId="1" applyNumberFormat="1" applyFont="1" applyFill="1" applyAlignment="1">
      <alignment horizontal="right"/>
    </xf>
    <xf numFmtId="10" fontId="25" fillId="20" borderId="0" xfId="4" applyNumberFormat="1" applyFont="1" applyFill="1" applyAlignment="1">
      <alignment horizontal="center" vertical="center"/>
    </xf>
    <xf numFmtId="165" fontId="25" fillId="20" borderId="0" xfId="1" applyNumberFormat="1" applyFont="1" applyFill="1" applyAlignment="1">
      <alignment horizontal="center"/>
    </xf>
    <xf numFmtId="43" fontId="25" fillId="20" borderId="0" xfId="1" applyNumberFormat="1" applyFont="1" applyFill="1" applyAlignment="1">
      <alignment horizontal="right"/>
    </xf>
    <xf numFmtId="10" fontId="25" fillId="20" borderId="0" xfId="4" applyNumberFormat="1" applyFont="1" applyFill="1" applyAlignment="1">
      <alignment horizontal="center"/>
    </xf>
    <xf numFmtId="168" fontId="25" fillId="20" borderId="0" xfId="1" applyNumberFormat="1" applyFont="1" applyFill="1" applyAlignment="1">
      <alignment horizontal="right" vertical="center"/>
    </xf>
    <xf numFmtId="168" fontId="25" fillId="20" borderId="0" xfId="0" applyNumberFormat="1" applyFont="1" applyFill="1" applyAlignment="1">
      <alignment horizontal="right"/>
    </xf>
    <xf numFmtId="169" fontId="25" fillId="20" borderId="0" xfId="1" applyNumberFormat="1" applyFont="1" applyFill="1" applyAlignment="1">
      <alignment horizontal="center"/>
    </xf>
    <xf numFmtId="43" fontId="25" fillId="20" borderId="0" xfId="1" applyFont="1" applyFill="1" applyAlignment="1">
      <alignment horizontal="center"/>
    </xf>
    <xf numFmtId="2" fontId="25" fillId="20" borderId="0" xfId="0" applyNumberFormat="1" applyFont="1" applyFill="1" applyAlignment="1">
      <alignment horizontal="right"/>
    </xf>
    <xf numFmtId="2" fontId="25" fillId="20" borderId="0" xfId="1" applyNumberFormat="1" applyFont="1" applyFill="1" applyAlignment="1">
      <alignment horizontal="right" vertical="center"/>
    </xf>
    <xf numFmtId="43" fontId="25" fillId="20" borderId="0" xfId="1" applyNumberFormat="1" applyFont="1" applyFill="1" applyAlignment="1">
      <alignment horizontal="center"/>
    </xf>
    <xf numFmtId="0" fontId="25" fillId="20" borderId="0" xfId="0" applyNumberFormat="1" applyFont="1" applyFill="1" applyAlignment="1">
      <alignment horizontal="center"/>
    </xf>
    <xf numFmtId="43" fontId="25" fillId="20" borderId="0" xfId="1" applyFont="1" applyFill="1" applyAlignment="1">
      <alignment horizontal="right"/>
    </xf>
    <xf numFmtId="0" fontId="25" fillId="20" borderId="0" xfId="0" applyFont="1" applyFill="1"/>
    <xf numFmtId="0" fontId="25" fillId="20" borderId="0" xfId="0" applyFont="1" applyFill="1" applyBorder="1" applyAlignment="1">
      <alignment horizontal="center" vertical="center"/>
    </xf>
    <xf numFmtId="2" fontId="24" fillId="6" borderId="0" xfId="1" applyNumberFormat="1" applyFont="1" applyFill="1" applyAlignment="1">
      <alignment horizontal="right" vertical="center"/>
    </xf>
    <xf numFmtId="168" fontId="25" fillId="6" borderId="0" xfId="1" applyNumberFormat="1" applyFont="1" applyFill="1" applyAlignment="1">
      <alignment horizontal="right" vertical="center"/>
    </xf>
    <xf numFmtId="168" fontId="25" fillId="6" borderId="0" xfId="0" applyNumberFormat="1" applyFont="1" applyFill="1" applyAlignment="1">
      <alignment horizontal="right"/>
    </xf>
    <xf numFmtId="0" fontId="32" fillId="0" borderId="36" xfId="0" applyFont="1" applyBorder="1" applyAlignment="1">
      <alignment horizontal="right"/>
    </xf>
    <xf numFmtId="0" fontId="34" fillId="33" borderId="4" xfId="0" applyFont="1" applyFill="1" applyBorder="1" applyAlignment="1">
      <alignment horizontal="center" vertical="top" wrapText="1"/>
    </xf>
    <xf numFmtId="0" fontId="4" fillId="33" borderId="5" xfId="0" applyFont="1" applyFill="1" applyBorder="1" applyAlignment="1">
      <alignment horizontal="center" vertical="top" wrapText="1"/>
    </xf>
    <xf numFmtId="0" fontId="0" fillId="20" borderId="39" xfId="0" applyFill="1" applyBorder="1" applyAlignment="1">
      <alignment horizontal="center" vertical="center"/>
    </xf>
    <xf numFmtId="0" fontId="0" fillId="20" borderId="28" xfId="0" applyFill="1" applyBorder="1" applyAlignment="1">
      <alignment horizontal="center" vertical="center"/>
    </xf>
    <xf numFmtId="0" fontId="0" fillId="20" borderId="1" xfId="0" applyFill="1" applyBorder="1" applyAlignment="1">
      <alignment horizontal="center" vertical="center"/>
    </xf>
    <xf numFmtId="0" fontId="0" fillId="20" borderId="29" xfId="0" applyFill="1" applyBorder="1" applyAlignment="1">
      <alignment horizontal="center" vertical="center"/>
    </xf>
    <xf numFmtId="0" fontId="0" fillId="20" borderId="27" xfId="0" applyFill="1" applyBorder="1" applyAlignment="1">
      <alignment horizontal="center" vertical="center"/>
    </xf>
    <xf numFmtId="0" fontId="0" fillId="20" borderId="4" xfId="0" applyFill="1" applyBorder="1" applyAlignment="1">
      <alignment horizontal="center" vertical="center"/>
    </xf>
    <xf numFmtId="0" fontId="0" fillId="20" borderId="46" xfId="0" applyFill="1" applyBorder="1" applyAlignment="1">
      <alignment horizontal="center" vertical="center"/>
    </xf>
    <xf numFmtId="0" fontId="0" fillId="20" borderId="38" xfId="0" applyFill="1" applyBorder="1" applyAlignment="1">
      <alignment horizontal="center" vertical="center"/>
    </xf>
    <xf numFmtId="0" fontId="0" fillId="24" borderId="32" xfId="0" applyFill="1" applyBorder="1" applyAlignment="1">
      <alignment horizontal="center" vertical="center"/>
    </xf>
    <xf numFmtId="0" fontId="0" fillId="24" borderId="35" xfId="0" applyFill="1" applyBorder="1" applyAlignment="1">
      <alignment horizontal="center" vertical="center"/>
    </xf>
    <xf numFmtId="43" fontId="24" fillId="0" borderId="0" xfId="1" applyFont="1" applyAlignment="1">
      <alignment horizontal="right" vertical="center" wrapText="1"/>
    </xf>
    <xf numFmtId="10" fontId="24" fillId="0" borderId="0" xfId="4" applyNumberFormat="1" applyFont="1" applyAlignment="1">
      <alignment horizontal="center" vertical="center"/>
    </xf>
    <xf numFmtId="0" fontId="25" fillId="20" borderId="0" xfId="0" applyFont="1" applyFill="1" applyBorder="1" applyAlignment="1">
      <alignment horizontal="center"/>
    </xf>
    <xf numFmtId="0" fontId="0" fillId="2" borderId="4" xfId="0" applyFill="1" applyBorder="1" applyAlignment="1">
      <alignment horizontal="center"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1" borderId="30" xfId="0" applyFill="1" applyBorder="1" applyAlignment="1">
      <alignment horizontal="center" vertical="center"/>
    </xf>
    <xf numFmtId="0" fontId="0" fillId="21" borderId="48" xfId="0" applyFill="1" applyBorder="1" applyAlignment="1">
      <alignment horizontal="center" vertical="center"/>
    </xf>
    <xf numFmtId="0" fontId="0" fillId="21" borderId="49" xfId="0" applyFill="1" applyBorder="1" applyAlignment="1">
      <alignment horizontal="center" vertical="center"/>
    </xf>
    <xf numFmtId="0" fontId="25" fillId="20" borderId="2" xfId="0" applyFont="1" applyFill="1" applyBorder="1" applyAlignment="1">
      <alignment horizontal="center" vertical="center"/>
    </xf>
    <xf numFmtId="0" fontId="25" fillId="20" borderId="19" xfId="0" applyFont="1" applyFill="1" applyBorder="1" applyAlignment="1">
      <alignment horizontal="center" vertical="center"/>
    </xf>
    <xf numFmtId="0" fontId="0" fillId="30" borderId="4" xfId="0" applyFill="1" applyBorder="1" applyAlignment="1">
      <alignment horizontal="center" vertical="center"/>
    </xf>
    <xf numFmtId="0" fontId="0" fillId="30" borderId="28" xfId="0" applyFill="1" applyBorder="1" applyAlignment="1">
      <alignment horizontal="center" vertical="center"/>
    </xf>
    <xf numFmtId="0" fontId="0" fillId="30" borderId="1" xfId="0" applyFill="1" applyBorder="1" applyAlignment="1">
      <alignment horizontal="center" vertical="center"/>
    </xf>
    <xf numFmtId="0" fontId="0" fillId="30" borderId="29" xfId="0" applyFill="1" applyBorder="1" applyAlignment="1">
      <alignment horizontal="center" vertical="center"/>
    </xf>
    <xf numFmtId="0" fontId="0" fillId="30" borderId="7" xfId="0" applyFill="1" applyBorder="1" applyAlignment="1">
      <alignment horizontal="center" vertical="center"/>
    </xf>
    <xf numFmtId="0" fontId="0" fillId="30" borderId="45" xfId="0" applyFill="1" applyBorder="1"/>
    <xf numFmtId="0" fontId="0" fillId="30" borderId="5" xfId="0" applyFill="1" applyBorder="1"/>
    <xf numFmtId="41" fontId="21" fillId="20" borderId="24" xfId="2" applyFont="1" applyFill="1" applyBorder="1" applyAlignment="1">
      <alignment horizontal="center" vertical="center"/>
    </xf>
    <xf numFmtId="1" fontId="21" fillId="20" borderId="7" xfId="2" applyNumberFormat="1" applyFont="1" applyFill="1" applyBorder="1" applyAlignment="1">
      <alignment horizontal="center" vertical="center"/>
    </xf>
    <xf numFmtId="1" fontId="21" fillId="20" borderId="29" xfId="2" applyNumberFormat="1" applyFont="1" applyFill="1" applyBorder="1" applyAlignment="1">
      <alignment horizontal="center" vertical="center"/>
    </xf>
    <xf numFmtId="1" fontId="21" fillId="20" borderId="28" xfId="2" applyNumberFormat="1" applyFont="1" applyFill="1" applyBorder="1" applyAlignment="1">
      <alignment horizontal="center" vertical="center"/>
    </xf>
    <xf numFmtId="1" fontId="21" fillId="20" borderId="1" xfId="2" applyNumberFormat="1" applyFont="1" applyFill="1" applyBorder="1" applyAlignment="1">
      <alignment horizontal="center" vertical="center"/>
    </xf>
    <xf numFmtId="41" fontId="21" fillId="20" borderId="17" xfId="2" applyFont="1" applyFill="1" applyBorder="1" applyAlignment="1">
      <alignment horizontal="center" vertical="center"/>
    </xf>
    <xf numFmtId="1" fontId="21" fillId="20" borderId="8" xfId="2" applyNumberFormat="1" applyFont="1" applyFill="1" applyBorder="1" applyAlignment="1">
      <alignment horizontal="center" vertical="center"/>
    </xf>
    <xf numFmtId="1" fontId="21" fillId="20" borderId="46" xfId="2" applyNumberFormat="1" applyFont="1" applyFill="1" applyBorder="1" applyAlignment="1">
      <alignment horizontal="center" vertical="center"/>
    </xf>
    <xf numFmtId="1" fontId="21" fillId="20" borderId="38" xfId="2" applyNumberFormat="1" applyFont="1" applyFill="1" applyBorder="1" applyAlignment="1">
      <alignment horizontal="center" vertical="center"/>
    </xf>
    <xf numFmtId="1" fontId="21" fillId="20" borderId="4" xfId="2" applyNumberFormat="1" applyFont="1" applyFill="1" applyBorder="1" applyAlignment="1">
      <alignment horizontal="center" vertical="center"/>
    </xf>
    <xf numFmtId="2" fontId="24" fillId="6" borderId="0" xfId="1" applyNumberFormat="1" applyFont="1" applyFill="1" applyAlignment="1">
      <alignment horizontal="right"/>
    </xf>
    <xf numFmtId="10" fontId="24" fillId="6" borderId="0" xfId="4" applyNumberFormat="1" applyFont="1" applyFill="1" applyAlignment="1">
      <alignment horizontal="center" vertical="center"/>
    </xf>
    <xf numFmtId="0" fontId="24" fillId="6" borderId="0" xfId="0" applyFont="1" applyFill="1" applyBorder="1" applyAlignment="1">
      <alignment horizontal="center"/>
    </xf>
    <xf numFmtId="0" fontId="26" fillId="7" borderId="0" xfId="0" applyFont="1" applyFill="1" applyAlignment="1">
      <alignment horizontal="center"/>
    </xf>
    <xf numFmtId="0" fontId="24" fillId="7" borderId="0" xfId="0" applyFont="1" applyFill="1" applyAlignment="1">
      <alignment horizontal="center"/>
    </xf>
    <xf numFmtId="0" fontId="25" fillId="28" borderId="0" xfId="0" applyFont="1" applyFill="1" applyAlignment="1">
      <alignment horizontal="center" vertical="center"/>
    </xf>
    <xf numFmtId="0" fontId="0" fillId="2" borderId="2" xfId="0" applyFont="1" applyFill="1" applyBorder="1" applyAlignment="1">
      <alignment horizontal="center"/>
    </xf>
    <xf numFmtId="0" fontId="0" fillId="30" borderId="2" xfId="0" applyFill="1" applyBorder="1" applyAlignment="1">
      <alignment horizontal="center"/>
    </xf>
    <xf numFmtId="0" fontId="25" fillId="8" borderId="0" xfId="0" applyFont="1" applyFill="1" applyBorder="1" applyAlignment="1">
      <alignment horizontal="center" vertical="center"/>
    </xf>
    <xf numFmtId="0" fontId="0" fillId="8" borderId="0" xfId="0" applyFont="1" applyFill="1" applyBorder="1" applyAlignment="1">
      <alignment horizontal="center" vertical="center"/>
    </xf>
    <xf numFmtId="1" fontId="21" fillId="0" borderId="0" xfId="2" applyNumberFormat="1" applyFont="1" applyAlignment="1">
      <alignment horizontal="center" vertical="center"/>
    </xf>
    <xf numFmtId="1" fontId="21" fillId="0" borderId="29" xfId="2" applyNumberFormat="1" applyFont="1" applyFill="1" applyBorder="1" applyAlignment="1">
      <alignment horizontal="center" vertical="center"/>
    </xf>
    <xf numFmtId="0" fontId="25" fillId="0" borderId="0" xfId="0" applyFont="1" applyFill="1" applyAlignment="1">
      <alignment horizontal="center"/>
    </xf>
    <xf numFmtId="0" fontId="0" fillId="0" borderId="1" xfId="0" applyBorder="1" applyAlignment="1">
      <alignment horizontal="center"/>
    </xf>
    <xf numFmtId="0" fontId="0" fillId="0" borderId="1" xfId="0" applyBorder="1" applyAlignment="1">
      <alignment horizontal="left"/>
    </xf>
    <xf numFmtId="0" fontId="29" fillId="0" borderId="1" xfId="0" applyFont="1" applyBorder="1" applyAlignment="1">
      <alignment horizontal="right"/>
    </xf>
    <xf numFmtId="0" fontId="32" fillId="0" borderId="1" xfId="0" applyFont="1" applyBorder="1" applyAlignment="1">
      <alignment horizontal="center"/>
    </xf>
    <xf numFmtId="14" fontId="25" fillId="0" borderId="0" xfId="0" applyNumberFormat="1" applyFont="1" applyAlignment="1">
      <alignment horizontal="center" vertical="center"/>
    </xf>
    <xf numFmtId="49" fontId="23" fillId="2" borderId="1" xfId="0" applyNumberFormat="1" applyFont="1" applyFill="1" applyBorder="1" applyAlignment="1">
      <alignment horizontal="center"/>
    </xf>
    <xf numFmtId="49" fontId="23" fillId="31" borderId="1" xfId="0" applyNumberFormat="1" applyFont="1" applyFill="1" applyBorder="1" applyAlignment="1">
      <alignment horizontal="center" vertical="center" wrapText="1"/>
    </xf>
    <xf numFmtId="49" fontId="25" fillId="0" borderId="6" xfId="0" applyNumberFormat="1" applyFont="1" applyFill="1" applyBorder="1" applyAlignment="1">
      <alignment horizontal="center" vertical="center"/>
    </xf>
    <xf numFmtId="49" fontId="25" fillId="24" borderId="0" xfId="0" applyNumberFormat="1" applyFont="1" applyFill="1" applyAlignment="1">
      <alignment horizontal="center"/>
    </xf>
    <xf numFmtId="49" fontId="25" fillId="0" borderId="0" xfId="0" applyNumberFormat="1" applyFont="1" applyFill="1" applyAlignment="1">
      <alignment horizontal="center"/>
    </xf>
    <xf numFmtId="0" fontId="32" fillId="30" borderId="5" xfId="0" applyFont="1" applyFill="1" applyBorder="1" applyAlignment="1">
      <alignment horizontal="center" vertical="center" wrapText="1"/>
    </xf>
    <xf numFmtId="0" fontId="32" fillId="0" borderId="40" xfId="0" applyFont="1" applyBorder="1" applyAlignment="1">
      <alignment horizontal="center" vertical="center"/>
    </xf>
    <xf numFmtId="0" fontId="35" fillId="36" borderId="50" xfId="0" applyFont="1" applyFill="1" applyBorder="1" applyAlignment="1">
      <alignment horizontal="center" vertical="center" wrapText="1"/>
    </xf>
    <xf numFmtId="0" fontId="35" fillId="36" borderId="51" xfId="0" applyFont="1" applyFill="1" applyBorder="1" applyAlignment="1">
      <alignment horizontal="center" vertical="center" wrapText="1"/>
    </xf>
    <xf numFmtId="0" fontId="36" fillId="0" borderId="52" xfId="0" applyFont="1" applyBorder="1" applyAlignment="1">
      <alignment vertical="center" wrapText="1"/>
    </xf>
    <xf numFmtId="0" fontId="36" fillId="0" borderId="16" xfId="0" applyFont="1" applyBorder="1" applyAlignment="1">
      <alignment horizontal="center" vertical="center" wrapText="1"/>
    </xf>
    <xf numFmtId="0" fontId="35" fillId="0" borderId="52" xfId="0" applyFont="1" applyBorder="1" applyAlignment="1">
      <alignment horizontal="center" vertical="center" wrapText="1"/>
    </xf>
    <xf numFmtId="3" fontId="35" fillId="0" borderId="16" xfId="0" applyNumberFormat="1" applyFont="1" applyBorder="1" applyAlignment="1">
      <alignment horizontal="center" vertical="center" wrapText="1"/>
    </xf>
    <xf numFmtId="0" fontId="36" fillId="0" borderId="52" xfId="0" applyFont="1" applyBorder="1" applyAlignment="1">
      <alignment horizontal="center" vertical="center" wrapText="1"/>
    </xf>
    <xf numFmtId="10" fontId="36" fillId="0" borderId="16" xfId="0" applyNumberFormat="1" applyFont="1" applyBorder="1" applyAlignment="1">
      <alignment horizontal="center" vertical="center" wrapText="1"/>
    </xf>
    <xf numFmtId="0" fontId="25" fillId="8" borderId="0" xfId="0" applyFont="1" applyFill="1" applyAlignment="1">
      <alignment horizontal="left" vertical="center"/>
    </xf>
    <xf numFmtId="0" fontId="24" fillId="8" borderId="0" xfId="0" applyFont="1" applyFill="1" applyAlignment="1">
      <alignment horizontal="left" vertical="center"/>
    </xf>
    <xf numFmtId="0" fontId="37" fillId="0" borderId="0" xfId="0" applyFont="1" applyAlignment="1">
      <alignment horizontal="center" vertical="center"/>
    </xf>
    <xf numFmtId="0" fontId="32" fillId="0" borderId="0" xfId="0" applyFont="1" applyAlignment="1">
      <alignment horizontal="right"/>
    </xf>
    <xf numFmtId="10" fontId="35" fillId="0" borderId="16" xfId="0" applyNumberFormat="1" applyFont="1" applyBorder="1" applyAlignment="1">
      <alignment horizontal="center" vertical="center" wrapText="1"/>
    </xf>
    <xf numFmtId="0" fontId="0" fillId="0" borderId="1" xfId="0" applyFont="1" applyFill="1" applyBorder="1" applyAlignment="1">
      <alignment horizontal="center" vertical="center"/>
    </xf>
    <xf numFmtId="0" fontId="32" fillId="0" borderId="1" xfId="0" applyFont="1" applyFill="1" applyBorder="1" applyAlignment="1">
      <alignment horizontal="center" vertical="center"/>
    </xf>
    <xf numFmtId="0" fontId="32" fillId="0" borderId="5" xfId="0" applyFont="1" applyFill="1" applyBorder="1" applyAlignment="1">
      <alignment horizontal="center" vertical="center"/>
    </xf>
    <xf numFmtId="0" fontId="0" fillId="0" borderId="1" xfId="0" applyFont="1" applyFill="1" applyBorder="1" applyAlignment="1">
      <alignment horizontal="left" vertical="center"/>
    </xf>
    <xf numFmtId="0" fontId="0" fillId="0" borderId="1" xfId="0" applyFont="1" applyBorder="1" applyAlignment="1">
      <alignment horizontal="center"/>
    </xf>
    <xf numFmtId="0" fontId="32" fillId="0" borderId="0" xfId="0" applyFont="1" applyFill="1" applyBorder="1" applyAlignment="1">
      <alignment horizontal="center" vertical="center"/>
    </xf>
    <xf numFmtId="10" fontId="32" fillId="0" borderId="0" xfId="4" applyNumberFormat="1" applyFont="1" applyFill="1" applyBorder="1" applyAlignment="1">
      <alignment horizontal="center" vertical="center"/>
    </xf>
    <xf numFmtId="0" fontId="0" fillId="0" borderId="0" xfId="0" applyFont="1" applyFill="1" applyBorder="1" applyAlignment="1"/>
    <xf numFmtId="10" fontId="21" fillId="0" borderId="0" xfId="4" applyNumberFormat="1" applyFont="1" applyFill="1" applyBorder="1" applyAlignment="1">
      <alignment horizontal="center" vertical="center"/>
    </xf>
    <xf numFmtId="0" fontId="0" fillId="0" borderId="0" xfId="0" applyFill="1" applyBorder="1"/>
    <xf numFmtId="0" fontId="0" fillId="0" borderId="0" xfId="0" applyFill="1"/>
    <xf numFmtId="0" fontId="38" fillId="0" borderId="0" xfId="0" applyFont="1" applyFill="1" applyBorder="1" applyAlignment="1">
      <alignment vertical="center" wrapText="1"/>
    </xf>
    <xf numFmtId="0" fontId="32" fillId="0" borderId="0" xfId="0" applyFont="1" applyFill="1" applyBorder="1" applyAlignment="1">
      <alignment vertical="center" wrapText="1"/>
    </xf>
    <xf numFmtId="0" fontId="32" fillId="0" borderId="0" xfId="0" applyFont="1" applyFill="1" applyBorder="1" applyAlignment="1">
      <alignment vertical="center"/>
    </xf>
    <xf numFmtId="10" fontId="32" fillId="0" borderId="0" xfId="4" applyNumberFormat="1" applyFont="1" applyFill="1" applyBorder="1" applyAlignment="1">
      <alignment vertical="center"/>
    </xf>
    <xf numFmtId="0" fontId="38" fillId="0" borderId="1" xfId="0" applyFont="1" applyFill="1" applyBorder="1" applyAlignment="1">
      <alignment vertical="center" wrapText="1"/>
    </xf>
    <xf numFmtId="0" fontId="38" fillId="0" borderId="1" xfId="0" applyFont="1" applyFill="1" applyBorder="1" applyAlignment="1">
      <alignment horizontal="right" vertical="center" wrapText="1"/>
    </xf>
    <xf numFmtId="0" fontId="0" fillId="30" borderId="4" xfId="0" applyFill="1" applyBorder="1"/>
    <xf numFmtId="0" fontId="32" fillId="30" borderId="45" xfId="0" applyFont="1" applyFill="1" applyBorder="1" applyAlignment="1">
      <alignment vertical="center" wrapText="1"/>
    </xf>
    <xf numFmtId="10" fontId="21" fillId="0" borderId="1" xfId="4" applyNumberFormat="1" applyFont="1" applyFill="1" applyBorder="1"/>
    <xf numFmtId="10" fontId="21" fillId="0" borderId="1" xfId="4" applyNumberFormat="1" applyFont="1" applyBorder="1"/>
    <xf numFmtId="10" fontId="32" fillId="0" borderId="5" xfId="4" applyNumberFormat="1" applyFont="1" applyFill="1" applyBorder="1" applyAlignment="1">
      <alignment horizontal="center" vertical="center"/>
    </xf>
    <xf numFmtId="0" fontId="35" fillId="0" borderId="16" xfId="0" applyFont="1" applyBorder="1" applyAlignment="1">
      <alignment horizontal="center" vertical="center" wrapText="1"/>
    </xf>
    <xf numFmtId="49" fontId="35" fillId="36" borderId="51" xfId="0" applyNumberFormat="1" applyFont="1" applyFill="1" applyBorder="1" applyAlignment="1">
      <alignment horizontal="center" vertical="center" wrapText="1"/>
    </xf>
    <xf numFmtId="0" fontId="23" fillId="7" borderId="1" xfId="0" applyFont="1" applyFill="1" applyBorder="1" applyAlignment="1">
      <alignment horizontal="center"/>
    </xf>
    <xf numFmtId="0" fontId="39" fillId="0" borderId="1" xfId="0" applyFont="1" applyFill="1" applyBorder="1" applyAlignment="1">
      <alignment horizontal="right" vertical="center" wrapText="1"/>
    </xf>
    <xf numFmtId="10" fontId="21" fillId="0" borderId="5" xfId="4" applyNumberFormat="1" applyFont="1" applyFill="1" applyBorder="1" applyAlignment="1">
      <alignment horizontal="center" vertical="center"/>
    </xf>
    <xf numFmtId="0" fontId="0" fillId="0" borderId="5" xfId="0" applyFont="1" applyFill="1" applyBorder="1" applyAlignment="1">
      <alignment horizontal="center" vertical="center"/>
    </xf>
    <xf numFmtId="0" fontId="29" fillId="37" borderId="1" xfId="0" applyFont="1" applyFill="1" applyBorder="1" applyAlignment="1">
      <alignment horizontal="right"/>
    </xf>
    <xf numFmtId="0" fontId="32" fillId="37" borderId="1" xfId="0" applyFont="1" applyFill="1" applyBorder="1" applyAlignment="1">
      <alignment horizontal="center"/>
    </xf>
    <xf numFmtId="0" fontId="32" fillId="37" borderId="5" xfId="0" applyFont="1" applyFill="1" applyBorder="1" applyAlignment="1">
      <alignment horizontal="center" vertical="center"/>
    </xf>
    <xf numFmtId="0" fontId="32" fillId="37" borderId="1" xfId="0" applyFont="1" applyFill="1" applyBorder="1" applyAlignment="1">
      <alignment horizontal="center" vertical="center"/>
    </xf>
    <xf numFmtId="10" fontId="35" fillId="0" borderId="16" xfId="4" applyNumberFormat="1" applyFont="1" applyBorder="1" applyAlignment="1">
      <alignment horizontal="center" vertical="center" wrapText="1"/>
    </xf>
    <xf numFmtId="0" fontId="35" fillId="36" borderId="4" xfId="0" applyFont="1" applyFill="1" applyBorder="1" applyAlignment="1">
      <alignment horizontal="center" vertical="center"/>
    </xf>
    <xf numFmtId="0" fontId="35" fillId="36" borderId="5" xfId="0" applyFont="1" applyFill="1" applyBorder="1" applyAlignment="1">
      <alignment horizontal="center" vertical="center"/>
    </xf>
    <xf numFmtId="0" fontId="35" fillId="36" borderId="8" xfId="0" applyFont="1" applyFill="1" applyBorder="1" applyAlignment="1">
      <alignment horizontal="center" vertical="center"/>
    </xf>
    <xf numFmtId="0" fontId="35" fillId="36" borderId="23" xfId="0" applyFont="1" applyFill="1" applyBorder="1" applyAlignment="1">
      <alignment horizontal="center" vertical="center"/>
    </xf>
    <xf numFmtId="0" fontId="35" fillId="36" borderId="23" xfId="0" applyFont="1" applyFill="1" applyBorder="1" applyAlignment="1">
      <alignment horizontal="center" vertical="top"/>
    </xf>
    <xf numFmtId="0" fontId="37" fillId="0" borderId="0" xfId="0" applyFont="1" applyAlignment="1">
      <alignment horizontal="left" vertical="center"/>
    </xf>
    <xf numFmtId="0" fontId="36" fillId="0" borderId="1" xfId="0" applyFont="1" applyBorder="1" applyAlignment="1">
      <alignment vertical="center" wrapText="1"/>
    </xf>
    <xf numFmtId="0" fontId="36" fillId="0" borderId="1" xfId="0" applyFont="1" applyBorder="1" applyAlignment="1">
      <alignment horizontal="center" vertical="center" wrapText="1"/>
    </xf>
    <xf numFmtId="0" fontId="35" fillId="0" borderId="1" xfId="0" applyFont="1" applyBorder="1" applyAlignment="1">
      <alignment horizontal="center" vertical="center" wrapText="1"/>
    </xf>
    <xf numFmtId="10" fontId="35" fillId="0" borderId="1" xfId="0" applyNumberFormat="1" applyFont="1" applyBorder="1" applyAlignment="1">
      <alignment horizontal="center" vertical="center" wrapText="1"/>
    </xf>
    <xf numFmtId="10" fontId="36" fillId="0" borderId="1" xfId="0" applyNumberFormat="1" applyFont="1" applyBorder="1" applyAlignment="1">
      <alignment horizontal="center" vertical="center" wrapText="1"/>
    </xf>
    <xf numFmtId="0" fontId="36" fillId="0" borderId="5" xfId="0" applyFont="1" applyBorder="1" applyAlignment="1">
      <alignment vertical="center" wrapText="1"/>
    </xf>
    <xf numFmtId="0" fontId="36" fillId="0" borderId="5" xfId="0" applyFont="1" applyBorder="1" applyAlignment="1">
      <alignment horizontal="center" vertical="center" wrapText="1"/>
    </xf>
    <xf numFmtId="0" fontId="35" fillId="36" borderId="4" xfId="0" applyFont="1" applyFill="1" applyBorder="1" applyAlignment="1">
      <alignment horizontal="center" vertical="center" wrapText="1"/>
    </xf>
    <xf numFmtId="0" fontId="35" fillId="36" borderId="5" xfId="0" applyFont="1" applyFill="1" applyBorder="1" applyAlignment="1">
      <alignment horizontal="center" vertical="center" wrapText="1"/>
    </xf>
    <xf numFmtId="0" fontId="35" fillId="36" borderId="8" xfId="0" applyFont="1" applyFill="1" applyBorder="1" applyAlignment="1">
      <alignment horizontal="center" vertical="center" wrapText="1"/>
    </xf>
    <xf numFmtId="0" fontId="35" fillId="36" borderId="23" xfId="0" applyFont="1" applyFill="1" applyBorder="1" applyAlignment="1">
      <alignment horizontal="center" vertical="center" wrapText="1"/>
    </xf>
    <xf numFmtId="0" fontId="35" fillId="36" borderId="10" xfId="0" applyFont="1" applyFill="1" applyBorder="1" applyAlignment="1">
      <alignment horizontal="center" vertical="center" wrapText="1"/>
    </xf>
    <xf numFmtId="0" fontId="35" fillId="36" borderId="41" xfId="0" applyFont="1" applyFill="1" applyBorder="1" applyAlignment="1">
      <alignment horizontal="center" vertical="center" wrapText="1"/>
    </xf>
    <xf numFmtId="0" fontId="35" fillId="36" borderId="53" xfId="0" applyFont="1" applyFill="1" applyBorder="1" applyAlignment="1">
      <alignment horizontal="center" vertical="center" wrapText="1"/>
    </xf>
    <xf numFmtId="0" fontId="35" fillId="36" borderId="52" xfId="0" applyFont="1" applyFill="1" applyBorder="1" applyAlignment="1">
      <alignment vertical="center" wrapText="1"/>
    </xf>
    <xf numFmtId="0" fontId="35" fillId="36" borderId="18" xfId="0" applyFont="1" applyFill="1" applyBorder="1" applyAlignment="1">
      <alignment horizontal="center" vertical="center" wrapText="1"/>
    </xf>
    <xf numFmtId="0" fontId="35" fillId="32" borderId="16" xfId="0" applyFont="1" applyFill="1" applyBorder="1" applyAlignment="1">
      <alignment horizontal="center" vertical="center" wrapText="1"/>
    </xf>
    <xf numFmtId="170" fontId="36" fillId="0" borderId="5" xfId="4" applyNumberFormat="1" applyFont="1" applyBorder="1" applyAlignment="1">
      <alignment horizontal="right" vertical="center" wrapText="1"/>
    </xf>
    <xf numFmtId="170" fontId="36" fillId="0" borderId="1" xfId="4" applyNumberFormat="1" applyFont="1" applyBorder="1" applyAlignment="1">
      <alignment horizontal="right" vertical="center" wrapText="1"/>
    </xf>
    <xf numFmtId="0" fontId="36" fillId="0" borderId="45" xfId="0" applyFont="1" applyBorder="1" applyAlignment="1">
      <alignment horizontal="center" vertical="center" wrapText="1"/>
    </xf>
    <xf numFmtId="170" fontId="36" fillId="0" borderId="4" xfId="4" applyNumberFormat="1" applyFont="1" applyBorder="1" applyAlignment="1">
      <alignment horizontal="right" vertical="center" wrapText="1"/>
    </xf>
    <xf numFmtId="0" fontId="36" fillId="0" borderId="4" xfId="0" applyFont="1" applyBorder="1" applyAlignment="1">
      <alignment horizontal="center" vertical="center" wrapText="1"/>
    </xf>
    <xf numFmtId="0" fontId="36" fillId="0" borderId="32" xfId="0" applyFont="1" applyBorder="1" applyAlignment="1">
      <alignment vertical="center" wrapText="1"/>
    </xf>
    <xf numFmtId="0" fontId="36" fillId="0" borderId="35" xfId="0" applyFont="1" applyBorder="1" applyAlignment="1">
      <alignment horizontal="center" vertical="center" wrapText="1"/>
    </xf>
    <xf numFmtId="170" fontId="36" fillId="0" borderId="35" xfId="4" applyNumberFormat="1" applyFont="1" applyBorder="1" applyAlignment="1">
      <alignment horizontal="right" vertical="center" wrapText="1"/>
    </xf>
    <xf numFmtId="170" fontId="36" fillId="0" borderId="33" xfId="4" applyNumberFormat="1" applyFont="1" applyBorder="1" applyAlignment="1">
      <alignment horizontal="right" vertical="center" wrapText="1"/>
    </xf>
    <xf numFmtId="0" fontId="36" fillId="0" borderId="28" xfId="0" applyFont="1" applyBorder="1" applyAlignment="1">
      <alignment vertical="center" wrapText="1"/>
    </xf>
    <xf numFmtId="170" fontId="36" fillId="0" borderId="29" xfId="4" applyNumberFormat="1" applyFont="1" applyBorder="1" applyAlignment="1">
      <alignment horizontal="right" vertical="center" wrapText="1"/>
    </xf>
    <xf numFmtId="0" fontId="36" fillId="0" borderId="36" xfId="0" applyFont="1" applyBorder="1" applyAlignment="1">
      <alignment vertical="center" wrapText="1"/>
    </xf>
    <xf numFmtId="0" fontId="36" fillId="0" borderId="54" xfId="0" applyFont="1" applyBorder="1" applyAlignment="1">
      <alignment horizontal="center" vertical="center" wrapText="1"/>
    </xf>
    <xf numFmtId="170" fontId="36" fillId="0" borderId="40" xfId="4" applyNumberFormat="1" applyFont="1" applyBorder="1" applyAlignment="1">
      <alignment horizontal="right" vertical="center" wrapText="1"/>
    </xf>
    <xf numFmtId="0" fontId="36" fillId="0" borderId="40" xfId="0" applyFont="1" applyBorder="1" applyAlignment="1">
      <alignment horizontal="center" vertical="center" wrapText="1"/>
    </xf>
    <xf numFmtId="170" fontId="36" fillId="0" borderId="37" xfId="4" applyNumberFormat="1" applyFont="1" applyBorder="1" applyAlignment="1">
      <alignment horizontal="right" vertical="center" wrapText="1"/>
    </xf>
    <xf numFmtId="0" fontId="35" fillId="0" borderId="0" xfId="0" applyFont="1" applyFill="1" applyBorder="1" applyAlignment="1">
      <alignment horizontal="center" vertical="center" wrapText="1"/>
    </xf>
    <xf numFmtId="0" fontId="36" fillId="0" borderId="0" xfId="0" applyFont="1" applyFill="1" applyBorder="1" applyAlignment="1">
      <alignment horizontal="center" vertical="center" wrapText="1"/>
    </xf>
    <xf numFmtId="170" fontId="36" fillId="0" borderId="0" xfId="4" applyNumberFormat="1" applyFont="1" applyFill="1" applyBorder="1" applyAlignment="1">
      <alignment horizontal="right" vertical="center" wrapText="1"/>
    </xf>
    <xf numFmtId="0" fontId="36" fillId="0" borderId="30" xfId="0" applyFont="1" applyBorder="1" applyAlignment="1">
      <alignment vertical="center" wrapText="1"/>
    </xf>
    <xf numFmtId="170" fontId="36" fillId="0" borderId="48" xfId="4" applyNumberFormat="1" applyFont="1" applyBorder="1" applyAlignment="1">
      <alignment horizontal="right" vertical="center" wrapText="1"/>
    </xf>
    <xf numFmtId="0" fontId="36" fillId="0" borderId="38" xfId="0" applyFont="1" applyBorder="1" applyAlignment="1">
      <alignment vertical="center" wrapText="1"/>
    </xf>
    <xf numFmtId="170" fontId="36" fillId="0" borderId="46" xfId="4" applyNumberFormat="1" applyFont="1" applyBorder="1" applyAlignment="1">
      <alignment horizontal="right" vertical="center" wrapText="1"/>
    </xf>
    <xf numFmtId="0" fontId="36" fillId="0" borderId="36" xfId="0" applyFont="1" applyBorder="1" applyAlignment="1">
      <alignment horizontal="center" vertical="center" wrapText="1"/>
    </xf>
    <xf numFmtId="0" fontId="35" fillId="36" borderId="77" xfId="0" applyFont="1" applyFill="1" applyBorder="1" applyAlignment="1">
      <alignment horizontal="center" vertical="center" wrapText="1"/>
    </xf>
    <xf numFmtId="0" fontId="36" fillId="0" borderId="78" xfId="0" applyFont="1" applyBorder="1" applyAlignment="1">
      <alignment vertical="center" wrapText="1"/>
    </xf>
    <xf numFmtId="0" fontId="40" fillId="0" borderId="77" xfId="0" applyFont="1" applyBorder="1" applyAlignment="1">
      <alignment horizontal="center" vertical="center" wrapText="1"/>
    </xf>
    <xf numFmtId="0" fontId="35" fillId="0" borderId="78" xfId="0" applyFont="1" applyBorder="1" applyAlignment="1">
      <alignment horizontal="center" vertical="center" wrapText="1"/>
    </xf>
    <xf numFmtId="0" fontId="41" fillId="0" borderId="77" xfId="0" applyFont="1" applyBorder="1" applyAlignment="1">
      <alignment horizontal="center" vertical="center" wrapText="1"/>
    </xf>
    <xf numFmtId="0" fontId="36" fillId="0" borderId="78" xfId="0" applyFont="1" applyBorder="1" applyAlignment="1">
      <alignment horizontal="center" vertical="center" wrapText="1"/>
    </xf>
    <xf numFmtId="10" fontId="40" fillId="0" borderId="77" xfId="0" applyNumberFormat="1" applyFont="1" applyBorder="1" applyAlignment="1">
      <alignment horizontal="center" vertical="center" wrapText="1"/>
    </xf>
    <xf numFmtId="0" fontId="35" fillId="36" borderId="79" xfId="0" applyFont="1" applyFill="1" applyBorder="1" applyAlignment="1">
      <alignment horizontal="center" vertical="center" wrapText="1"/>
    </xf>
    <xf numFmtId="0" fontId="35" fillId="36" borderId="80" xfId="0" applyFont="1" applyFill="1" applyBorder="1" applyAlignment="1">
      <alignment horizontal="center" vertical="center" wrapText="1"/>
    </xf>
    <xf numFmtId="0" fontId="35" fillId="36" borderId="81" xfId="0" applyFont="1" applyFill="1" applyBorder="1" applyAlignment="1">
      <alignment horizontal="center" vertical="center" wrapText="1"/>
    </xf>
    <xf numFmtId="0" fontId="35" fillId="0" borderId="82" xfId="0" applyFont="1" applyBorder="1" applyAlignment="1">
      <alignment horizontal="center" vertical="center" wrapText="1"/>
    </xf>
    <xf numFmtId="10" fontId="35" fillId="0" borderId="82" xfId="4" applyNumberFormat="1" applyFont="1" applyBorder="1" applyAlignment="1">
      <alignment horizontal="center" vertical="center" wrapText="1"/>
    </xf>
    <xf numFmtId="0" fontId="36" fillId="8" borderId="82" xfId="0" applyFont="1" applyFill="1" applyBorder="1" applyAlignment="1">
      <alignment horizontal="center" vertical="center" wrapText="1"/>
    </xf>
    <xf numFmtId="0" fontId="36" fillId="8" borderId="77" xfId="0" applyFont="1" applyFill="1" applyBorder="1" applyAlignment="1">
      <alignment horizontal="center" vertical="center" wrapText="1"/>
    </xf>
    <xf numFmtId="0" fontId="40" fillId="8" borderId="82" xfId="0" applyFont="1" applyFill="1" applyBorder="1" applyAlignment="1">
      <alignment horizontal="center" vertical="center" wrapText="1"/>
    </xf>
    <xf numFmtId="10" fontId="40" fillId="8" borderId="77" xfId="4" applyNumberFormat="1" applyFont="1" applyFill="1" applyBorder="1" applyAlignment="1">
      <alignment horizontal="center" vertical="center" wrapText="1"/>
    </xf>
    <xf numFmtId="3" fontId="35" fillId="36" borderId="16" xfId="0" applyNumberFormat="1" applyFont="1" applyFill="1" applyBorder="1" applyAlignment="1">
      <alignment horizontal="center" vertical="center" wrapText="1"/>
    </xf>
    <xf numFmtId="1" fontId="35" fillId="0" borderId="1" xfId="4" applyNumberFormat="1" applyFont="1" applyBorder="1" applyAlignment="1">
      <alignment horizontal="center" vertical="center" wrapText="1"/>
    </xf>
    <xf numFmtId="0" fontId="35" fillId="38" borderId="53" xfId="0" applyFont="1" applyFill="1" applyBorder="1" applyAlignment="1">
      <alignment horizontal="center" vertical="center" wrapText="1"/>
    </xf>
    <xf numFmtId="0" fontId="36" fillId="38" borderId="16" xfId="0" applyFont="1" applyFill="1" applyBorder="1" applyAlignment="1">
      <alignment horizontal="center" vertical="center" wrapText="1"/>
    </xf>
    <xf numFmtId="0" fontId="40" fillId="0" borderId="52" xfId="0" applyFont="1" applyBorder="1" applyAlignment="1">
      <alignment horizontal="center" vertical="center" wrapText="1"/>
    </xf>
    <xf numFmtId="0" fontId="42" fillId="0" borderId="52" xfId="0" applyFont="1" applyBorder="1" applyAlignment="1">
      <alignment horizontal="right" vertical="center" wrapText="1"/>
    </xf>
    <xf numFmtId="0" fontId="41" fillId="0" borderId="16" xfId="0" applyFont="1" applyBorder="1" applyAlignment="1">
      <alignment horizontal="center" vertical="center" wrapText="1"/>
    </xf>
    <xf numFmtId="170" fontId="36" fillId="0" borderId="16" xfId="4" applyNumberFormat="1" applyFont="1" applyBorder="1" applyAlignment="1">
      <alignment horizontal="center" vertical="center" wrapText="1"/>
    </xf>
    <xf numFmtId="170" fontId="41" fillId="0" borderId="16" xfId="4" applyNumberFormat="1" applyFont="1" applyBorder="1" applyAlignment="1">
      <alignment horizontal="center" vertical="center" wrapText="1"/>
    </xf>
    <xf numFmtId="10" fontId="36" fillId="0" borderId="16" xfId="4" applyNumberFormat="1" applyFont="1" applyBorder="1" applyAlignment="1">
      <alignment horizontal="center" vertical="center" wrapText="1"/>
    </xf>
    <xf numFmtId="0" fontId="40" fillId="0" borderId="16" xfId="0" applyFont="1" applyBorder="1" applyAlignment="1">
      <alignment horizontal="center" vertical="center" wrapText="1"/>
    </xf>
    <xf numFmtId="0" fontId="35" fillId="38" borderId="52" xfId="0" applyFont="1" applyFill="1" applyBorder="1" applyAlignment="1">
      <alignment horizontal="center" vertical="center" wrapText="1"/>
    </xf>
    <xf numFmtId="0" fontId="41" fillId="38" borderId="13" xfId="0" applyFont="1" applyFill="1" applyBorder="1" applyAlignment="1">
      <alignment horizontal="center" vertical="center" wrapText="1"/>
    </xf>
    <xf numFmtId="0" fontId="41" fillId="38" borderId="16" xfId="0" applyFont="1" applyFill="1" applyBorder="1" applyAlignment="1">
      <alignment horizontal="center" vertical="center" wrapText="1"/>
    </xf>
    <xf numFmtId="0" fontId="40" fillId="8" borderId="52" xfId="0" applyFont="1" applyFill="1" applyBorder="1" applyAlignment="1">
      <alignment horizontal="center" vertical="center" wrapText="1"/>
    </xf>
    <xf numFmtId="0" fontId="40" fillId="8" borderId="16" xfId="0" applyFont="1" applyFill="1" applyBorder="1" applyAlignment="1">
      <alignment horizontal="center" vertical="center" wrapText="1"/>
    </xf>
    <xf numFmtId="0" fontId="42" fillId="8" borderId="52" xfId="0" applyFont="1" applyFill="1" applyBorder="1" applyAlignment="1">
      <alignment horizontal="right" vertical="center" wrapText="1"/>
    </xf>
    <xf numFmtId="0" fontId="41" fillId="8" borderId="16" xfId="0" applyFont="1" applyFill="1" applyBorder="1" applyAlignment="1">
      <alignment horizontal="center" vertical="center" wrapText="1"/>
    </xf>
    <xf numFmtId="0" fontId="0" fillId="17" borderId="0" xfId="0" applyFill="1"/>
    <xf numFmtId="0" fontId="24" fillId="17" borderId="0" xfId="0" applyFont="1" applyFill="1" applyAlignment="1">
      <alignment horizontal="center"/>
    </xf>
    <xf numFmtId="0" fontId="29" fillId="17" borderId="0" xfId="0" applyFont="1" applyFill="1" applyBorder="1" applyAlignment="1">
      <alignment horizontal="center" vertical="center"/>
    </xf>
    <xf numFmtId="0" fontId="25" fillId="17" borderId="0" xfId="0" applyFont="1" applyFill="1" applyBorder="1" applyAlignment="1">
      <alignment horizontal="center" vertical="center"/>
    </xf>
    <xf numFmtId="0" fontId="36" fillId="0" borderId="52" xfId="0" applyFont="1" applyBorder="1" applyAlignment="1">
      <alignment horizontal="left" vertical="center" wrapText="1"/>
    </xf>
    <xf numFmtId="0" fontId="35" fillId="0" borderId="52" xfId="0" applyFont="1" applyBorder="1" applyAlignment="1">
      <alignment horizontal="left" vertical="center" wrapText="1"/>
    </xf>
    <xf numFmtId="0" fontId="0" fillId="0" borderId="28" xfId="0" applyFont="1" applyBorder="1" applyAlignment="1"/>
    <xf numFmtId="0" fontId="32" fillId="0" borderId="42" xfId="0" applyFont="1" applyBorder="1" applyAlignment="1">
      <alignment horizontal="center" vertical="center"/>
    </xf>
    <xf numFmtId="0" fontId="0" fillId="39" borderId="30" xfId="0" applyFont="1" applyFill="1" applyBorder="1" applyAlignment="1">
      <alignment horizontal="center" vertical="center"/>
    </xf>
    <xf numFmtId="0" fontId="0" fillId="39" borderId="48" xfId="0" applyFont="1" applyFill="1" applyBorder="1" applyAlignment="1">
      <alignment horizontal="center" vertical="center" wrapText="1"/>
    </xf>
    <xf numFmtId="0" fontId="0" fillId="0" borderId="28" xfId="0" applyFont="1" applyBorder="1" applyAlignment="1">
      <alignment horizontal="center" vertical="center"/>
    </xf>
    <xf numFmtId="0" fontId="0" fillId="39" borderId="29" xfId="0" applyFont="1" applyFill="1" applyBorder="1" applyAlignment="1">
      <alignment horizontal="center" vertical="center"/>
    </xf>
    <xf numFmtId="0" fontId="32" fillId="0" borderId="36" xfId="0" applyFont="1" applyBorder="1" applyAlignment="1">
      <alignment horizontal="center" vertical="center"/>
    </xf>
    <xf numFmtId="0" fontId="32" fillId="39" borderId="37" xfId="0" applyFont="1" applyFill="1" applyBorder="1" applyAlignment="1">
      <alignment horizontal="center" vertical="center"/>
    </xf>
    <xf numFmtId="0" fontId="43" fillId="0" borderId="27" xfId="0" applyFont="1" applyFill="1" applyBorder="1" applyAlignment="1">
      <alignment horizontal="center" vertical="center"/>
    </xf>
    <xf numFmtId="0" fontId="32" fillId="0" borderId="44" xfId="0" applyFont="1" applyBorder="1" applyAlignment="1">
      <alignment horizontal="center" vertical="center"/>
    </xf>
    <xf numFmtId="0" fontId="0" fillId="40" borderId="0" xfId="0" applyFill="1" applyAlignment="1">
      <alignment horizontal="center" vertical="center"/>
    </xf>
    <xf numFmtId="0" fontId="36" fillId="0" borderId="52" xfId="0" applyFont="1" applyBorder="1" applyAlignment="1">
      <alignment horizontal="justify" vertical="center" wrapText="1"/>
    </xf>
    <xf numFmtId="0" fontId="36" fillId="41" borderId="52" xfId="0" applyFont="1" applyFill="1" applyBorder="1" applyAlignment="1">
      <alignment horizontal="justify" vertical="center" wrapText="1"/>
    </xf>
    <xf numFmtId="0" fontId="36" fillId="41" borderId="16" xfId="0" applyFont="1" applyFill="1" applyBorder="1" applyAlignment="1">
      <alignment horizontal="center" vertical="center" wrapText="1"/>
    </xf>
    <xf numFmtId="0" fontId="35" fillId="39" borderId="16" xfId="0" applyFont="1" applyFill="1" applyBorder="1" applyAlignment="1">
      <alignment horizontal="center" vertical="center" wrapText="1"/>
    </xf>
    <xf numFmtId="10" fontId="36" fillId="41" borderId="16" xfId="4" applyNumberFormat="1" applyFont="1" applyFill="1" applyBorder="1" applyAlignment="1">
      <alignment horizontal="center" vertical="center" wrapText="1"/>
    </xf>
    <xf numFmtId="0" fontId="35" fillId="36" borderId="16" xfId="0" applyFont="1" applyFill="1" applyBorder="1" applyAlignment="1">
      <alignment horizontal="center" vertical="center" wrapText="1"/>
    </xf>
    <xf numFmtId="0" fontId="35" fillId="40" borderId="53" xfId="0" applyFont="1" applyFill="1" applyBorder="1" applyAlignment="1">
      <alignment horizontal="center" vertical="top" wrapText="1"/>
    </xf>
    <xf numFmtId="0" fontId="35" fillId="40" borderId="13" xfId="0" applyFont="1" applyFill="1" applyBorder="1" applyAlignment="1">
      <alignment horizontal="center" vertical="top" wrapText="1"/>
    </xf>
    <xf numFmtId="0" fontId="35" fillId="40" borderId="55" xfId="0" applyFont="1" applyFill="1" applyBorder="1" applyAlignment="1">
      <alignment horizontal="center" vertical="top"/>
    </xf>
    <xf numFmtId="0" fontId="35" fillId="40" borderId="18" xfId="0" applyFont="1" applyFill="1" applyBorder="1" applyAlignment="1">
      <alignment horizontal="center" vertical="top" wrapText="1"/>
    </xf>
    <xf numFmtId="0" fontId="35" fillId="40" borderId="18" xfId="0" applyFont="1" applyFill="1" applyBorder="1" applyAlignment="1">
      <alignment horizontal="center" vertical="top"/>
    </xf>
    <xf numFmtId="0" fontId="35" fillId="40" borderId="52" xfId="0" applyFont="1" applyFill="1" applyBorder="1" applyAlignment="1">
      <alignment horizontal="center" vertical="top"/>
    </xf>
    <xf numFmtId="0" fontId="35" fillId="40" borderId="16" xfId="0" applyFont="1" applyFill="1" applyBorder="1" applyAlignment="1">
      <alignment horizontal="center" vertical="top"/>
    </xf>
    <xf numFmtId="10" fontId="40" fillId="0" borderId="16" xfId="4" applyNumberFormat="1" applyFont="1" applyBorder="1" applyAlignment="1">
      <alignment horizontal="center" vertical="center" wrapText="1"/>
    </xf>
    <xf numFmtId="10" fontId="41" fillId="0" borderId="16" xfId="4" applyNumberFormat="1" applyFont="1" applyBorder="1" applyAlignment="1">
      <alignment horizontal="center" vertical="center" wrapText="1"/>
    </xf>
    <xf numFmtId="0" fontId="25" fillId="0" borderId="10" xfId="0" applyFont="1" applyBorder="1"/>
    <xf numFmtId="0" fontId="33" fillId="0" borderId="0" xfId="0" applyFont="1" applyFill="1" applyAlignment="1">
      <alignment horizontal="left" vertical="center"/>
    </xf>
    <xf numFmtId="0" fontId="25" fillId="8" borderId="0" xfId="0" applyFont="1" applyFill="1" applyBorder="1" applyAlignment="1">
      <alignment horizontal="left"/>
    </xf>
    <xf numFmtId="0" fontId="45" fillId="0" borderId="0" xfId="0" applyFont="1" applyFill="1" applyAlignment="1">
      <alignment horizontal="left" vertical="center"/>
    </xf>
    <xf numFmtId="0" fontId="23" fillId="0" borderId="3" xfId="0" applyFont="1" applyFill="1" applyBorder="1" applyAlignment="1">
      <alignment vertical="center"/>
    </xf>
    <xf numFmtId="49" fontId="23" fillId="0" borderId="3" xfId="0" applyNumberFormat="1" applyFont="1" applyFill="1" applyBorder="1" applyAlignment="1">
      <alignment vertical="center"/>
    </xf>
    <xf numFmtId="49" fontId="23" fillId="0" borderId="7" xfId="0" applyNumberFormat="1" applyFont="1" applyFill="1" applyBorder="1" applyAlignment="1">
      <alignment vertical="center"/>
    </xf>
    <xf numFmtId="0" fontId="46" fillId="0" borderId="0" xfId="0" applyFont="1" applyFill="1" applyAlignment="1">
      <alignment horizontal="left" vertical="center"/>
    </xf>
    <xf numFmtId="0" fontId="23" fillId="0" borderId="3" xfId="0" applyFont="1" applyFill="1" applyBorder="1" applyAlignment="1">
      <alignment horizontal="left" vertical="center"/>
    </xf>
    <xf numFmtId="0" fontId="25" fillId="0" borderId="0" xfId="0" applyFont="1" applyFill="1" applyAlignment="1">
      <alignment vertical="center"/>
    </xf>
    <xf numFmtId="0" fontId="46" fillId="0" borderId="0" xfId="0" applyFont="1" applyFill="1" applyAlignment="1">
      <alignment vertical="center"/>
    </xf>
    <xf numFmtId="0" fontId="47" fillId="0" borderId="0" xfId="0" applyFont="1" applyFill="1" applyAlignment="1">
      <alignment vertical="center"/>
    </xf>
    <xf numFmtId="0" fontId="25" fillId="0" borderId="0" xfId="0" applyFont="1" applyFill="1" applyAlignment="1" applyProtection="1">
      <alignment horizontal="center" vertical="center"/>
      <protection locked="0"/>
    </xf>
    <xf numFmtId="0" fontId="23" fillId="0" borderId="1" xfId="0" applyFont="1" applyFill="1" applyBorder="1" applyAlignment="1">
      <alignment horizontal="center" vertical="center"/>
    </xf>
    <xf numFmtId="0" fontId="23" fillId="0" borderId="2" xfId="0" applyFont="1" applyFill="1" applyBorder="1" applyAlignment="1">
      <alignment horizontal="center" vertical="center"/>
    </xf>
    <xf numFmtId="0" fontId="28" fillId="0" borderId="0" xfId="0" applyFont="1" applyFill="1" applyAlignment="1">
      <alignment horizontal="center"/>
    </xf>
    <xf numFmtId="0" fontId="24" fillId="42" borderId="0" xfId="0" applyFont="1" applyFill="1" applyAlignment="1">
      <alignment horizontal="center"/>
    </xf>
    <xf numFmtId="0" fontId="39" fillId="0" borderId="0" xfId="0" applyFont="1" applyFill="1" applyAlignment="1">
      <alignment horizontal="center"/>
    </xf>
    <xf numFmtId="0" fontId="24" fillId="0" borderId="0" xfId="0" applyFont="1" applyFill="1"/>
    <xf numFmtId="0" fontId="47" fillId="0" borderId="0" xfId="0" applyFont="1" applyFill="1" applyAlignment="1">
      <alignment horizontal="left" vertical="center"/>
    </xf>
    <xf numFmtId="0" fontId="29" fillId="5" borderId="15" xfId="0" applyFont="1" applyFill="1" applyBorder="1" applyAlignment="1">
      <alignment horizontal="center" vertical="center"/>
    </xf>
    <xf numFmtId="0" fontId="29" fillId="5" borderId="15" xfId="0" applyFont="1" applyFill="1" applyBorder="1" applyAlignment="1">
      <alignment horizontal="right" vertical="center"/>
    </xf>
    <xf numFmtId="43" fontId="24" fillId="0" borderId="0" xfId="1" applyNumberFormat="1" applyFont="1" applyAlignment="1">
      <alignment horizontal="right"/>
    </xf>
    <xf numFmtId="0" fontId="24" fillId="0" borderId="0" xfId="0" applyFont="1" applyFill="1" applyAlignment="1">
      <alignment horizontal="center"/>
    </xf>
    <xf numFmtId="0" fontId="25" fillId="0" borderId="0" xfId="0" applyFont="1" applyAlignment="1">
      <alignment horizontal="center"/>
    </xf>
    <xf numFmtId="0" fontId="24" fillId="4" borderId="0" xfId="0" applyFont="1" applyFill="1" applyAlignment="1">
      <alignment horizontal="center"/>
    </xf>
    <xf numFmtId="0" fontId="24" fillId="6" borderId="0" xfId="0" applyFont="1" applyFill="1" applyAlignment="1">
      <alignment horizontal="center"/>
    </xf>
    <xf numFmtId="0" fontId="24" fillId="0" borderId="0" xfId="0" applyFont="1" applyAlignment="1">
      <alignment horizontal="center"/>
    </xf>
    <xf numFmtId="0" fontId="25" fillId="0" borderId="0" xfId="0" applyFont="1" applyFill="1" applyAlignment="1">
      <alignment horizontal="center"/>
    </xf>
    <xf numFmtId="2" fontId="24" fillId="0" borderId="0" xfId="0" applyNumberFormat="1" applyFont="1" applyFill="1" applyAlignment="1">
      <alignment horizontal="right"/>
    </xf>
    <xf numFmtId="2" fontId="24" fillId="0" borderId="0" xfId="1" applyNumberFormat="1" applyFont="1" applyFill="1" applyAlignment="1">
      <alignment horizontal="right"/>
    </xf>
    <xf numFmtId="10" fontId="24" fillId="0" borderId="0" xfId="4" applyNumberFormat="1" applyFont="1" applyFill="1" applyAlignment="1">
      <alignment horizontal="center"/>
    </xf>
    <xf numFmtId="165" fontId="24" fillId="0" borderId="0" xfId="1" applyNumberFormat="1" applyFont="1" applyFill="1" applyAlignment="1">
      <alignment horizontal="center"/>
    </xf>
    <xf numFmtId="43" fontId="24" fillId="0" borderId="0" xfId="1" applyNumberFormat="1" applyFont="1" applyFill="1" applyAlignment="1">
      <alignment horizontal="right"/>
    </xf>
    <xf numFmtId="2" fontId="24" fillId="0" borderId="0" xfId="1" applyNumberFormat="1" applyFont="1" applyFill="1" applyAlignment="1">
      <alignment horizontal="center" vertical="center"/>
    </xf>
    <xf numFmtId="166" fontId="24" fillId="0" borderId="0" xfId="0" applyNumberFormat="1" applyFont="1" applyFill="1" applyAlignment="1">
      <alignment horizontal="center"/>
    </xf>
    <xf numFmtId="167" fontId="24" fillId="0" borderId="0" xfId="1" applyNumberFormat="1" applyFont="1" applyFill="1" applyAlignment="1">
      <alignment horizontal="center"/>
    </xf>
    <xf numFmtId="2" fontId="24" fillId="0" borderId="0" xfId="1" applyNumberFormat="1" applyFont="1" applyAlignment="1">
      <alignment horizontal="right"/>
    </xf>
    <xf numFmtId="2" fontId="24" fillId="0" borderId="0" xfId="1" applyNumberFormat="1" applyFont="1" applyAlignment="1">
      <alignment horizontal="right" vertical="center" wrapText="1"/>
    </xf>
    <xf numFmtId="2" fontId="24" fillId="0" borderId="0" xfId="0" applyNumberFormat="1" applyFont="1"/>
    <xf numFmtId="0" fontId="23" fillId="0" borderId="1" xfId="0" applyFont="1" applyFill="1" applyBorder="1" applyAlignment="1">
      <alignment horizontal="center" vertical="center" wrapText="1"/>
    </xf>
    <xf numFmtId="0" fontId="23" fillId="0" borderId="1" xfId="0" applyFont="1" applyFill="1" applyBorder="1" applyAlignment="1">
      <alignment horizontal="center" vertical="center"/>
    </xf>
    <xf numFmtId="0" fontId="23" fillId="26" borderId="1" xfId="0" applyFont="1" applyFill="1" applyBorder="1" applyAlignment="1">
      <alignment horizontal="center" vertical="center" wrapText="1"/>
    </xf>
    <xf numFmtId="0" fontId="23" fillId="7" borderId="1" xfId="0" applyFont="1" applyFill="1" applyBorder="1" applyAlignment="1">
      <alignment horizontal="center"/>
    </xf>
    <xf numFmtId="0" fontId="23" fillId="0" borderId="0" xfId="0" applyFont="1" applyFill="1" applyBorder="1" applyAlignment="1">
      <alignment horizontal="right" vertical="center"/>
    </xf>
    <xf numFmtId="165" fontId="23" fillId="0" borderId="1" xfId="1" applyNumberFormat="1" applyFont="1" applyFill="1" applyBorder="1" applyAlignment="1">
      <alignment horizontal="center" vertical="center" wrapText="1"/>
    </xf>
    <xf numFmtId="165" fontId="23" fillId="5" borderId="1" xfId="1" applyNumberFormat="1" applyFont="1" applyFill="1" applyBorder="1" applyAlignment="1">
      <alignment horizontal="center" vertical="center" wrapText="1"/>
    </xf>
    <xf numFmtId="165" fontId="28" fillId="5" borderId="1" xfId="1" applyNumberFormat="1" applyFont="1" applyFill="1" applyBorder="1" applyAlignment="1">
      <alignment horizontal="center" vertical="center" wrapText="1"/>
    </xf>
    <xf numFmtId="167" fontId="23" fillId="0" borderId="1" xfId="1"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23" fillId="9" borderId="1" xfId="0" applyFont="1" applyFill="1" applyBorder="1" applyAlignment="1">
      <alignment horizontal="center" vertical="center" wrapText="1"/>
    </xf>
    <xf numFmtId="165" fontId="23" fillId="9" borderId="1" xfId="1" applyNumberFormat="1" applyFont="1" applyFill="1" applyBorder="1" applyAlignment="1">
      <alignment horizontal="center" vertical="center" wrapText="1"/>
    </xf>
    <xf numFmtId="0" fontId="4" fillId="43" borderId="1" xfId="0" applyFont="1" applyFill="1" applyBorder="1" applyAlignment="1">
      <alignment horizontal="center" vertical="center"/>
    </xf>
    <xf numFmtId="0" fontId="4" fillId="43" borderId="1" xfId="0" applyFont="1" applyFill="1" applyBorder="1" applyAlignment="1">
      <alignment horizontal="center" vertical="center" wrapText="1"/>
    </xf>
    <xf numFmtId="1" fontId="4" fillId="43" borderId="1" xfId="0" applyNumberFormat="1" applyFont="1" applyFill="1" applyBorder="1" applyAlignment="1">
      <alignment horizontal="center" vertical="center" wrapText="1"/>
    </xf>
    <xf numFmtId="165" fontId="4" fillId="43" borderId="1" xfId="1" applyNumberFormat="1" applyFont="1" applyFill="1" applyBorder="1" applyAlignment="1">
      <alignment horizontal="center" vertical="center" wrapText="1"/>
    </xf>
    <xf numFmtId="0" fontId="23" fillId="44" borderId="1" xfId="0" applyFont="1" applyFill="1" applyBorder="1" applyAlignment="1">
      <alignment horizontal="center" vertical="center" wrapText="1"/>
    </xf>
    <xf numFmtId="165" fontId="23" fillId="44" borderId="1" xfId="1" applyNumberFormat="1" applyFont="1" applyFill="1" applyBorder="1" applyAlignment="1">
      <alignment horizontal="center" vertical="center" wrapText="1"/>
    </xf>
    <xf numFmtId="0" fontId="23" fillId="37" borderId="1" xfId="0" applyFont="1" applyFill="1" applyBorder="1" applyAlignment="1">
      <alignment horizontal="center" vertical="center"/>
    </xf>
    <xf numFmtId="0" fontId="23" fillId="37" borderId="1" xfId="0" applyFont="1" applyFill="1" applyBorder="1" applyAlignment="1">
      <alignment horizontal="center" vertical="center" wrapText="1"/>
    </xf>
    <xf numFmtId="0" fontId="23" fillId="39" borderId="1" xfId="0" applyFont="1" applyFill="1" applyBorder="1" applyAlignment="1">
      <alignment horizontal="center" vertical="center" wrapText="1"/>
    </xf>
    <xf numFmtId="0" fontId="23" fillId="0" borderId="0" xfId="0" applyFont="1" applyFill="1" applyBorder="1" applyAlignment="1">
      <alignment horizontal="center" vertical="center"/>
    </xf>
    <xf numFmtId="0" fontId="50" fillId="0" borderId="0" xfId="0" applyFont="1" applyFill="1" applyBorder="1" applyAlignment="1">
      <alignment horizontal="center" vertical="center" wrapText="1"/>
    </xf>
    <xf numFmtId="0" fontId="29" fillId="0" borderId="0" xfId="0" applyFont="1" applyFill="1" applyBorder="1" applyAlignment="1">
      <alignment horizontal="center" vertical="center"/>
    </xf>
    <xf numFmtId="0" fontId="25" fillId="0" borderId="0" xfId="0" applyFont="1" applyFill="1" applyBorder="1"/>
    <xf numFmtId="0" fontId="25" fillId="6" borderId="0" xfId="0" applyFont="1" applyFill="1" applyBorder="1" applyAlignment="1">
      <alignment horizontal="left"/>
    </xf>
    <xf numFmtId="0" fontId="25" fillId="0" borderId="0" xfId="0" applyFont="1" applyFill="1" applyBorder="1" applyAlignment="1">
      <alignment horizontal="left"/>
    </xf>
    <xf numFmtId="0" fontId="48" fillId="0" borderId="0" xfId="0" applyFont="1" applyFill="1" applyBorder="1" applyAlignment="1">
      <alignment horizontal="center" vertical="center"/>
    </xf>
    <xf numFmtId="1" fontId="25" fillId="0" borderId="0" xfId="1" applyNumberFormat="1" applyFont="1" applyFill="1" applyBorder="1" applyAlignment="1">
      <alignment horizontal="center"/>
    </xf>
    <xf numFmtId="4" fontId="25" fillId="0" borderId="0" xfId="0" applyNumberFormat="1" applyFont="1" applyFill="1" applyBorder="1" applyAlignment="1">
      <alignment horizontal="center" vertical="center"/>
    </xf>
    <xf numFmtId="165" fontId="25" fillId="0" borderId="0" xfId="1" applyNumberFormat="1" applyFont="1" applyFill="1" applyBorder="1"/>
    <xf numFmtId="165" fontId="29" fillId="5" borderId="0" xfId="1" applyNumberFormat="1" applyFont="1" applyFill="1" applyBorder="1"/>
    <xf numFmtId="1" fontId="51" fillId="0" borderId="0" xfId="1" applyNumberFormat="1" applyFont="1" applyFill="1" applyBorder="1" applyAlignment="1">
      <alignment horizontal="center" wrapText="1"/>
    </xf>
    <xf numFmtId="165" fontId="25" fillId="0" borderId="0" xfId="1" applyNumberFormat="1" applyFont="1" applyFill="1" applyBorder="1" applyAlignment="1">
      <alignment horizontal="center"/>
    </xf>
    <xf numFmtId="0" fontId="25" fillId="0" borderId="0" xfId="0" applyFont="1" applyFill="1" applyBorder="1" applyAlignment="1">
      <alignment horizontal="right"/>
    </xf>
    <xf numFmtId="0" fontId="48" fillId="0" borderId="0" xfId="0" applyFont="1" applyFill="1" applyBorder="1" applyAlignment="1">
      <alignment horizontal="center"/>
    </xf>
    <xf numFmtId="1" fontId="25" fillId="0" borderId="0" xfId="0" applyNumberFormat="1" applyFont="1" applyFill="1" applyBorder="1" applyAlignment="1">
      <alignment horizontal="center" vertical="center"/>
    </xf>
    <xf numFmtId="165" fontId="25" fillId="0" borderId="0" xfId="1" applyNumberFormat="1" applyFont="1" applyFill="1" applyBorder="1" applyAlignment="1">
      <alignment horizontal="right"/>
    </xf>
    <xf numFmtId="0" fontId="25" fillId="0" borderId="0" xfId="0" applyFont="1" applyFill="1" applyBorder="1" applyAlignment="1">
      <alignment horizontal="right" vertical="center"/>
    </xf>
    <xf numFmtId="165" fontId="52" fillId="8" borderId="0" xfId="1" applyNumberFormat="1" applyFont="1" applyFill="1" applyBorder="1"/>
    <xf numFmtId="165" fontId="26" fillId="0" borderId="0" xfId="1" applyNumberFormat="1" applyFont="1" applyFill="1" applyBorder="1" applyAlignment="1">
      <alignment horizontal="center"/>
    </xf>
    <xf numFmtId="167" fontId="25" fillId="0" borderId="0" xfId="1" applyNumberFormat="1" applyFont="1" applyFill="1" applyBorder="1" applyAlignment="1">
      <alignment horizontal="right" vertical="center"/>
    </xf>
    <xf numFmtId="0" fontId="29" fillId="0" borderId="0"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26" fillId="0" borderId="0" xfId="0" applyFont="1" applyFill="1" applyBorder="1" applyAlignment="1">
      <alignment horizontal="left"/>
    </xf>
    <xf numFmtId="165" fontId="29" fillId="8" borderId="0" xfId="1" applyNumberFormat="1" applyFont="1" applyFill="1" applyBorder="1"/>
    <xf numFmtId="165" fontId="29" fillId="8" borderId="0" xfId="1" applyNumberFormat="1" applyFont="1" applyFill="1" applyBorder="1" applyAlignment="1">
      <alignment horizontal="right"/>
    </xf>
    <xf numFmtId="165" fontId="29" fillId="45" borderId="0" xfId="1" applyNumberFormat="1" applyFont="1" applyFill="1" applyBorder="1"/>
    <xf numFmtId="0" fontId="25" fillId="0" borderId="0" xfId="0" applyFont="1" applyFill="1" applyBorder="1" applyAlignment="1">
      <alignment horizontal="left" vertical="center"/>
    </xf>
    <xf numFmtId="0" fontId="52" fillId="0" borderId="0" xfId="0" applyFont="1" applyFill="1" applyBorder="1" applyAlignment="1">
      <alignment horizontal="center" vertical="center"/>
    </xf>
    <xf numFmtId="165" fontId="26" fillId="0" borderId="0" xfId="1" applyNumberFormat="1" applyFont="1" applyFill="1" applyBorder="1" applyAlignment="1">
      <alignment horizontal="right"/>
    </xf>
    <xf numFmtId="165" fontId="29" fillId="45" borderId="0" xfId="1" applyNumberFormat="1" applyFont="1" applyFill="1" applyBorder="1" applyAlignment="1">
      <alignment horizontal="right"/>
    </xf>
    <xf numFmtId="0" fontId="26" fillId="0" borderId="0" xfId="0" applyFont="1" applyFill="1" applyBorder="1" applyAlignment="1">
      <alignment horizontal="left" vertical="center"/>
    </xf>
    <xf numFmtId="165" fontId="25" fillId="0" borderId="0" xfId="1" applyNumberFormat="1" applyFont="1" applyFill="1" applyBorder="1" applyAlignment="1">
      <alignment horizontal="center" vertical="center"/>
    </xf>
    <xf numFmtId="165" fontId="29" fillId="45" borderId="0" xfId="1" applyNumberFormat="1" applyFont="1" applyFill="1" applyBorder="1" applyAlignment="1">
      <alignment horizontal="center" vertical="center"/>
    </xf>
    <xf numFmtId="1" fontId="51" fillId="0" borderId="0" xfId="1" applyNumberFormat="1" applyFont="1" applyFill="1" applyBorder="1" applyAlignment="1">
      <alignment horizontal="center" vertical="center" wrapText="1"/>
    </xf>
    <xf numFmtId="165" fontId="25" fillId="0" borderId="0" xfId="1" applyNumberFormat="1" applyFont="1" applyFill="1" applyBorder="1" applyAlignment="1">
      <alignment horizontal="right" vertical="center"/>
    </xf>
    <xf numFmtId="165" fontId="25" fillId="0" borderId="0" xfId="1" applyNumberFormat="1" applyFont="1" applyFill="1" applyBorder="1" applyAlignment="1">
      <alignment horizontal="left" vertical="center"/>
    </xf>
    <xf numFmtId="0" fontId="24" fillId="8" borderId="0" xfId="0" applyFont="1" applyFill="1" applyBorder="1" applyAlignment="1">
      <alignment horizontal="left"/>
    </xf>
    <xf numFmtId="165" fontId="29" fillId="5" borderId="0" xfId="1" applyNumberFormat="1" applyFont="1" applyFill="1" applyBorder="1" applyAlignment="1">
      <alignment horizontal="right"/>
    </xf>
    <xf numFmtId="0" fontId="24" fillId="0" borderId="0" xfId="0" applyFont="1" applyFill="1" applyBorder="1" applyAlignment="1">
      <alignment horizontal="center" vertical="center"/>
    </xf>
    <xf numFmtId="1" fontId="24" fillId="0" borderId="0" xfId="0" applyNumberFormat="1" applyFont="1" applyFill="1" applyBorder="1" applyAlignment="1">
      <alignment horizontal="center" vertical="center"/>
    </xf>
    <xf numFmtId="165" fontId="24" fillId="0" borderId="0" xfId="1" applyNumberFormat="1" applyFont="1" applyFill="1" applyBorder="1" applyAlignment="1">
      <alignment horizontal="right"/>
    </xf>
    <xf numFmtId="0" fontId="24" fillId="0" borderId="0" xfId="0" applyFont="1" applyFill="1" applyBorder="1" applyAlignment="1">
      <alignment horizontal="left"/>
    </xf>
    <xf numFmtId="165" fontId="29" fillId="0" borderId="0" xfId="1" applyNumberFormat="1" applyFont="1" applyFill="1" applyBorder="1" applyAlignment="1">
      <alignment horizontal="right"/>
    </xf>
    <xf numFmtId="165" fontId="25" fillId="0" borderId="0" xfId="1" applyNumberFormat="1" applyFont="1" applyFill="1" applyBorder="1" applyAlignment="1">
      <alignment horizontal="left"/>
    </xf>
    <xf numFmtId="165" fontId="29" fillId="8" borderId="0" xfId="1" applyNumberFormat="1" applyFont="1" applyFill="1" applyBorder="1" applyAlignment="1">
      <alignment horizontal="center" vertical="center"/>
    </xf>
    <xf numFmtId="0" fontId="29" fillId="0" borderId="0" xfId="0" applyFont="1" applyFill="1" applyBorder="1" applyAlignment="1">
      <alignment horizontal="right" vertical="center"/>
    </xf>
    <xf numFmtId="165" fontId="29" fillId="0" borderId="0" xfId="1" applyNumberFormat="1" applyFont="1" applyFill="1" applyBorder="1" applyAlignment="1">
      <alignment horizontal="right" vertical="center"/>
    </xf>
    <xf numFmtId="167" fontId="24" fillId="0" borderId="0" xfId="1" applyNumberFormat="1" applyFont="1" applyFill="1" applyBorder="1" applyAlignment="1">
      <alignment horizontal="right" vertical="center"/>
    </xf>
    <xf numFmtId="0" fontId="24" fillId="0" borderId="0" xfId="0" applyFont="1" applyFill="1" applyBorder="1" applyAlignment="1">
      <alignment horizontal="right"/>
    </xf>
    <xf numFmtId="165" fontId="24" fillId="0" borderId="0" xfId="1" applyNumberFormat="1" applyFont="1" applyFill="1" applyBorder="1" applyAlignment="1">
      <alignment horizontal="left"/>
    </xf>
    <xf numFmtId="165" fontId="53" fillId="45" borderId="0" xfId="1" applyNumberFormat="1" applyFont="1" applyFill="1" applyBorder="1" applyAlignment="1">
      <alignment horizontal="right"/>
    </xf>
    <xf numFmtId="165" fontId="54" fillId="5" borderId="0" xfId="1" applyNumberFormat="1" applyFont="1" applyFill="1" applyBorder="1" applyAlignment="1">
      <alignment horizontal="center" vertical="center"/>
    </xf>
    <xf numFmtId="0" fontId="25" fillId="5" borderId="0" xfId="0" applyFont="1" applyFill="1" applyBorder="1" applyAlignment="1">
      <alignment horizontal="center" vertical="center"/>
    </xf>
    <xf numFmtId="0" fontId="48" fillId="5" borderId="0" xfId="0" applyFont="1" applyFill="1" applyBorder="1" applyAlignment="1">
      <alignment horizontal="center" vertical="center"/>
    </xf>
    <xf numFmtId="1" fontId="25" fillId="5" borderId="0" xfId="1" applyNumberFormat="1" applyFont="1" applyFill="1" applyBorder="1" applyAlignment="1">
      <alignment horizontal="center"/>
    </xf>
    <xf numFmtId="165" fontId="25" fillId="5" borderId="0" xfId="1" applyNumberFormat="1" applyFont="1" applyFill="1" applyBorder="1" applyAlignment="1">
      <alignment horizontal="right"/>
    </xf>
    <xf numFmtId="0" fontId="25" fillId="6" borderId="0" xfId="0" applyFont="1" applyFill="1" applyBorder="1" applyAlignment="1">
      <alignment horizontal="center"/>
    </xf>
    <xf numFmtId="0" fontId="26" fillId="0" borderId="0" xfId="0" applyFont="1" applyFill="1" applyBorder="1" applyAlignment="1">
      <alignment horizontal="center" vertical="center"/>
    </xf>
    <xf numFmtId="1" fontId="26" fillId="0" borderId="0" xfId="0" applyNumberFormat="1" applyFont="1" applyFill="1" applyBorder="1" applyAlignment="1">
      <alignment horizontal="center" vertical="center"/>
    </xf>
    <xf numFmtId="165" fontId="29" fillId="5" borderId="0" xfId="1" applyNumberFormat="1" applyFont="1" applyFill="1" applyBorder="1" applyAlignment="1">
      <alignment horizontal="center" vertical="center"/>
    </xf>
    <xf numFmtId="1" fontId="25" fillId="0" borderId="0" xfId="0" applyNumberFormat="1" applyFont="1" applyFill="1" applyBorder="1" applyAlignment="1">
      <alignment horizontal="right"/>
    </xf>
    <xf numFmtId="167" fontId="25" fillId="0" borderId="0" xfId="1" applyNumberFormat="1" applyFont="1" applyFill="1" applyBorder="1"/>
    <xf numFmtId="0" fontId="49" fillId="0" borderId="0" xfId="0" applyFont="1" applyFill="1" applyBorder="1" applyAlignment="1">
      <alignment horizontal="center" vertical="center"/>
    </xf>
    <xf numFmtId="1" fontId="25" fillId="0" borderId="0" xfId="0" applyNumberFormat="1" applyFont="1" applyFill="1" applyBorder="1"/>
    <xf numFmtId="0" fontId="25" fillId="29" borderId="0" xfId="0" applyFont="1" applyFill="1" applyBorder="1" applyAlignment="1">
      <alignment horizontal="right"/>
    </xf>
    <xf numFmtId="1" fontId="25" fillId="0" borderId="0" xfId="1" applyNumberFormat="1" applyFont="1" applyFill="1" applyBorder="1" applyAlignment="1">
      <alignment horizontal="center" vertical="center"/>
    </xf>
    <xf numFmtId="43" fontId="25" fillId="0" borderId="0" xfId="1" applyFont="1" applyFill="1" applyBorder="1" applyAlignment="1">
      <alignment horizontal="center" vertical="center"/>
    </xf>
    <xf numFmtId="43" fontId="24" fillId="0" borderId="0" xfId="1" applyFont="1" applyFill="1" applyBorder="1" applyAlignment="1">
      <alignment horizontal="center" vertical="center"/>
    </xf>
    <xf numFmtId="165" fontId="29" fillId="0" borderId="0" xfId="1" applyNumberFormat="1" applyFont="1" applyFill="1" applyBorder="1"/>
    <xf numFmtId="0" fontId="24" fillId="0" borderId="0" xfId="0" applyFont="1" applyFill="1" applyBorder="1" applyAlignment="1">
      <alignment horizontal="right" vertical="center"/>
    </xf>
    <xf numFmtId="0" fontId="24" fillId="0" borderId="0" xfId="0" applyFont="1" applyFill="1" applyBorder="1"/>
    <xf numFmtId="165" fontId="24" fillId="0" borderId="0" xfId="1" applyNumberFormat="1" applyFont="1" applyFill="1" applyBorder="1" applyAlignment="1">
      <alignment horizontal="center" vertical="center"/>
    </xf>
    <xf numFmtId="165" fontId="24" fillId="0" borderId="0" xfId="1" applyNumberFormat="1" applyFont="1" applyFill="1" applyBorder="1"/>
    <xf numFmtId="167" fontId="25" fillId="0" borderId="0" xfId="1" applyNumberFormat="1" applyFont="1" applyFill="1" applyBorder="1" applyAlignment="1">
      <alignment horizontal="center"/>
    </xf>
    <xf numFmtId="165" fontId="25" fillId="0" borderId="0" xfId="1" applyNumberFormat="1" applyFont="1" applyFill="1" applyBorder="1" applyAlignment="1">
      <alignment horizontal="left" vertical="center" wrapText="1"/>
    </xf>
    <xf numFmtId="165" fontId="25" fillId="0" borderId="0" xfId="1" applyNumberFormat="1" applyFont="1" applyFill="1" applyBorder="1" applyAlignment="1">
      <alignment horizontal="center" vertical="center" wrapText="1"/>
    </xf>
    <xf numFmtId="167" fontId="25" fillId="0" borderId="0" xfId="1" applyNumberFormat="1" applyFont="1" applyFill="1" applyBorder="1" applyAlignment="1">
      <alignment horizontal="right" vertical="center" wrapText="1"/>
    </xf>
    <xf numFmtId="0" fontId="48" fillId="0" borderId="0" xfId="0" applyFont="1" applyFill="1" applyBorder="1" applyAlignment="1">
      <alignment horizontal="center" vertical="center" wrapText="1"/>
    </xf>
    <xf numFmtId="0" fontId="24" fillId="0" borderId="0" xfId="0" applyFont="1" applyFill="1" applyBorder="1" applyAlignment="1">
      <alignment horizontal="center" vertical="center" wrapText="1"/>
    </xf>
    <xf numFmtId="1" fontId="24" fillId="0" borderId="0" xfId="0" applyNumberFormat="1" applyFont="1" applyFill="1" applyBorder="1" applyAlignment="1">
      <alignment horizontal="center" vertical="center" wrapText="1"/>
    </xf>
    <xf numFmtId="165" fontId="24" fillId="0" borderId="0" xfId="1" applyNumberFormat="1" applyFont="1" applyFill="1" applyBorder="1" applyAlignment="1">
      <alignment horizontal="right" vertical="center" wrapText="1"/>
    </xf>
    <xf numFmtId="0" fontId="25" fillId="0" borderId="0" xfId="0" applyFont="1" applyFill="1" applyBorder="1" applyAlignment="1">
      <alignment horizontal="right" vertical="center" wrapText="1"/>
    </xf>
    <xf numFmtId="165" fontId="25" fillId="0" borderId="0" xfId="1" applyNumberFormat="1" applyFont="1" applyFill="1" applyBorder="1" applyAlignment="1">
      <alignment horizontal="right" vertical="center" wrapText="1"/>
    </xf>
    <xf numFmtId="0" fontId="29" fillId="0" borderId="0" xfId="0" applyFont="1" applyFill="1" applyBorder="1" applyAlignment="1" applyProtection="1">
      <alignment horizontal="center" vertical="center"/>
      <protection locked="0"/>
    </xf>
    <xf numFmtId="0" fontId="25" fillId="0" borderId="0" xfId="0"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center"/>
      <protection locked="0"/>
    </xf>
    <xf numFmtId="0" fontId="48" fillId="0" borderId="0" xfId="0" applyFont="1" applyFill="1" applyBorder="1" applyAlignment="1" applyProtection="1">
      <alignment horizontal="center" vertical="center"/>
      <protection locked="0"/>
    </xf>
    <xf numFmtId="0" fontId="25" fillId="0" borderId="0" xfId="0" applyFont="1" applyFill="1" applyBorder="1" applyAlignment="1" applyProtection="1">
      <alignment horizontal="center" vertical="center" wrapText="1"/>
      <protection locked="0"/>
    </xf>
    <xf numFmtId="165" fontId="25" fillId="0" borderId="0" xfId="1" applyNumberFormat="1" applyFont="1" applyFill="1" applyBorder="1" applyAlignment="1" applyProtection="1">
      <alignment horizontal="left" vertical="center" wrapText="1"/>
      <protection locked="0"/>
    </xf>
    <xf numFmtId="165" fontId="25" fillId="0" borderId="0" xfId="1" applyNumberFormat="1" applyFont="1" applyFill="1" applyBorder="1" applyAlignment="1" applyProtection="1">
      <alignment horizontal="center" vertical="center" wrapText="1"/>
      <protection locked="0"/>
    </xf>
    <xf numFmtId="165" fontId="29" fillId="8" borderId="0" xfId="1" applyNumberFormat="1" applyFont="1" applyFill="1" applyBorder="1" applyAlignment="1" applyProtection="1">
      <alignment horizontal="center" vertical="center" wrapText="1"/>
      <protection locked="0"/>
    </xf>
    <xf numFmtId="1" fontId="51" fillId="0" borderId="0" xfId="1" applyNumberFormat="1" applyFont="1" applyFill="1" applyBorder="1" applyAlignment="1" applyProtection="1">
      <alignment horizontal="center" vertical="center" wrapText="1"/>
      <protection locked="0"/>
    </xf>
    <xf numFmtId="167" fontId="25" fillId="0" borderId="0" xfId="1" applyNumberFormat="1" applyFont="1" applyFill="1" applyBorder="1" applyAlignment="1" applyProtection="1">
      <alignment horizontal="right" vertical="center" wrapText="1"/>
      <protection locked="0"/>
    </xf>
    <xf numFmtId="0" fontId="48" fillId="0" borderId="0" xfId="0" applyFont="1" applyFill="1" applyBorder="1" applyAlignment="1" applyProtection="1">
      <alignment horizontal="center" vertical="center" wrapText="1"/>
      <protection locked="0"/>
    </xf>
    <xf numFmtId="0" fontId="24" fillId="0" borderId="0" xfId="0" applyFont="1" applyFill="1" applyBorder="1" applyAlignment="1" applyProtection="1">
      <alignment horizontal="center" vertical="center"/>
      <protection locked="0"/>
    </xf>
    <xf numFmtId="1" fontId="24" fillId="0" borderId="0" xfId="0" applyNumberFormat="1" applyFont="1" applyFill="1" applyBorder="1" applyAlignment="1" applyProtection="1">
      <alignment horizontal="center" vertical="center" wrapText="1"/>
      <protection locked="0"/>
    </xf>
    <xf numFmtId="165" fontId="24" fillId="0" borderId="0" xfId="1" applyNumberFormat="1" applyFont="1" applyFill="1" applyBorder="1" applyAlignment="1" applyProtection="1">
      <alignment horizontal="right" vertical="center" wrapText="1"/>
      <protection locked="0"/>
    </xf>
    <xf numFmtId="0" fontId="25" fillId="0" borderId="0" xfId="0" applyFont="1" applyFill="1" applyBorder="1" applyAlignment="1" applyProtection="1">
      <alignment horizontal="right" vertical="center"/>
      <protection locked="0"/>
    </xf>
    <xf numFmtId="165" fontId="25" fillId="0" borderId="0" xfId="1" applyNumberFormat="1" applyFont="1" applyFill="1" applyBorder="1" applyAlignment="1" applyProtection="1">
      <alignment horizontal="right" vertical="center"/>
      <protection locked="0"/>
    </xf>
    <xf numFmtId="165" fontId="29" fillId="8" borderId="0" xfId="1" applyNumberFormat="1" applyFont="1" applyFill="1" applyBorder="1" applyAlignment="1">
      <alignment horizontal="center" vertical="center" wrapText="1"/>
    </xf>
    <xf numFmtId="0" fontId="29" fillId="0" borderId="0" xfId="0" applyFont="1" applyFill="1" applyBorder="1"/>
    <xf numFmtId="167" fontId="25" fillId="0" borderId="0" xfId="1" applyNumberFormat="1" applyFont="1" applyFill="1" applyBorder="1" applyAlignment="1">
      <alignment horizontal="right"/>
    </xf>
    <xf numFmtId="171" fontId="25" fillId="0" borderId="0" xfId="0" applyNumberFormat="1" applyFont="1" applyFill="1" applyBorder="1"/>
    <xf numFmtId="171" fontId="25" fillId="0" borderId="0" xfId="0" applyNumberFormat="1" applyFont="1" applyFill="1" applyBorder="1" applyAlignment="1">
      <alignment horizontal="right" vertical="center"/>
    </xf>
    <xf numFmtId="165" fontId="29" fillId="45" borderId="0" xfId="1" applyNumberFormat="1" applyFont="1" applyFill="1" applyBorder="1" applyAlignment="1"/>
    <xf numFmtId="0" fontId="25" fillId="0" borderId="0" xfId="0" applyFont="1" applyFill="1" applyBorder="1" applyAlignment="1"/>
    <xf numFmtId="165" fontId="25" fillId="0" borderId="0" xfId="1" applyNumberFormat="1" applyFont="1" applyFill="1" applyBorder="1" applyAlignment="1"/>
    <xf numFmtId="165" fontId="29" fillId="8" borderId="0" xfId="1" applyNumberFormat="1" applyFont="1" applyFill="1" applyBorder="1" applyAlignment="1"/>
    <xf numFmtId="4" fontId="25" fillId="0" borderId="0" xfId="0" applyNumberFormat="1" applyFont="1" applyFill="1" applyBorder="1"/>
    <xf numFmtId="0" fontId="24" fillId="6" borderId="0" xfId="0" applyFont="1" applyFill="1" applyBorder="1" applyAlignment="1">
      <alignment horizontal="left"/>
    </xf>
    <xf numFmtId="165" fontId="53" fillId="45" borderId="0" xfId="1" applyNumberFormat="1" applyFont="1" applyFill="1" applyBorder="1"/>
    <xf numFmtId="165" fontId="25" fillId="0" borderId="0" xfId="1" applyNumberFormat="1" applyFont="1" applyFill="1" applyBorder="1" applyAlignment="1" applyProtection="1">
      <alignment horizontal="left" vertical="center"/>
      <protection locked="0"/>
    </xf>
    <xf numFmtId="165" fontId="25" fillId="0" borderId="0" xfId="1" applyNumberFormat="1" applyFont="1" applyFill="1" applyBorder="1" applyAlignment="1" applyProtection="1">
      <alignment horizontal="center" vertical="center"/>
      <protection locked="0"/>
    </xf>
    <xf numFmtId="165" fontId="29" fillId="5" borderId="0" xfId="1" applyNumberFormat="1" applyFont="1" applyFill="1" applyBorder="1" applyAlignment="1" applyProtection="1">
      <alignment horizontal="center" vertical="center"/>
      <protection locked="0"/>
    </xf>
    <xf numFmtId="167" fontId="25" fillId="0" borderId="0" xfId="1" applyNumberFormat="1" applyFont="1" applyFill="1" applyBorder="1" applyAlignment="1" applyProtection="1">
      <alignment horizontal="right" vertical="center"/>
      <protection locked="0"/>
    </xf>
    <xf numFmtId="1" fontId="24" fillId="0" borderId="0" xfId="0" applyNumberFormat="1" applyFont="1" applyFill="1" applyBorder="1" applyAlignment="1" applyProtection="1">
      <alignment horizontal="center" vertical="center"/>
      <protection locked="0"/>
    </xf>
    <xf numFmtId="165" fontId="24" fillId="0" borderId="0" xfId="1" applyNumberFormat="1" applyFont="1" applyFill="1" applyBorder="1" applyAlignment="1" applyProtection="1">
      <alignment horizontal="right" vertical="center"/>
      <protection locked="0"/>
    </xf>
    <xf numFmtId="165" fontId="24" fillId="0" borderId="0" xfId="1" applyNumberFormat="1" applyFont="1" applyFill="1" applyBorder="1" applyAlignment="1">
      <alignment horizontal="right" vertical="center"/>
    </xf>
    <xf numFmtId="165" fontId="29" fillId="5" borderId="0" xfId="1" applyNumberFormat="1" applyFont="1" applyFill="1" applyBorder="1" applyAlignment="1"/>
    <xf numFmtId="165" fontId="25" fillId="5" borderId="0" xfId="1" applyNumberFormat="1" applyFont="1" applyFill="1" applyBorder="1" applyAlignment="1">
      <alignment horizontal="center" vertical="center"/>
    </xf>
    <xf numFmtId="0" fontId="29" fillId="0" borderId="0" xfId="0" applyFont="1" applyFill="1" applyAlignment="1">
      <alignment horizontal="center"/>
    </xf>
    <xf numFmtId="1" fontId="51" fillId="5" borderId="0" xfId="1" applyNumberFormat="1" applyFont="1" applyFill="1" applyBorder="1" applyAlignment="1">
      <alignment horizontal="center" wrapText="1"/>
    </xf>
    <xf numFmtId="165" fontId="25" fillId="5" borderId="0" xfId="1" applyNumberFormat="1" applyFont="1" applyFill="1" applyBorder="1" applyAlignment="1">
      <alignment horizontal="center"/>
    </xf>
    <xf numFmtId="0" fontId="25" fillId="6" borderId="0" xfId="0" applyFont="1" applyFill="1" applyBorder="1" applyAlignment="1">
      <alignment horizontal="center" vertical="center"/>
    </xf>
    <xf numFmtId="0" fontId="26" fillId="8" borderId="0" xfId="0" applyFont="1" applyFill="1" applyBorder="1" applyAlignment="1">
      <alignment horizontal="left"/>
    </xf>
    <xf numFmtId="2" fontId="25" fillId="0" borderId="0" xfId="0" applyNumberFormat="1" applyFont="1" applyFill="1" applyBorder="1" applyAlignment="1">
      <alignment horizontal="center" vertical="center"/>
    </xf>
    <xf numFmtId="0" fontId="25" fillId="5" borderId="0" xfId="0" applyFont="1" applyFill="1" applyBorder="1"/>
    <xf numFmtId="4" fontId="25" fillId="5" borderId="0" xfId="0" applyNumberFormat="1" applyFont="1" applyFill="1" applyBorder="1" applyAlignment="1">
      <alignment horizontal="center" vertical="center"/>
    </xf>
    <xf numFmtId="0" fontId="26" fillId="0" borderId="0" xfId="0" applyFont="1" applyFill="1" applyAlignment="1">
      <alignment horizontal="left" vertical="center"/>
    </xf>
    <xf numFmtId="0" fontId="26" fillId="0" borderId="0" xfId="0" applyFont="1" applyAlignment="1">
      <alignment horizontal="left" vertical="center"/>
    </xf>
    <xf numFmtId="0" fontId="25" fillId="21" borderId="0" xfId="0" applyFont="1" applyFill="1" applyBorder="1" applyAlignment="1"/>
    <xf numFmtId="0" fontId="25" fillId="5" borderId="0" xfId="0" applyFont="1" applyFill="1" applyBorder="1" applyAlignment="1">
      <alignment horizontal="right"/>
    </xf>
    <xf numFmtId="0" fontId="25" fillId="5" borderId="0" xfId="0" applyFont="1" applyFill="1" applyBorder="1" applyAlignment="1">
      <alignment horizontal="center"/>
    </xf>
    <xf numFmtId="0" fontId="48" fillId="5" borderId="0" xfId="0" applyFont="1" applyFill="1" applyBorder="1" applyAlignment="1">
      <alignment horizontal="center"/>
    </xf>
    <xf numFmtId="168" fontId="25" fillId="0" borderId="0" xfId="0" applyNumberFormat="1" applyFont="1" applyFill="1" applyBorder="1" applyAlignment="1">
      <alignment horizontal="center" vertical="center"/>
    </xf>
    <xf numFmtId="165" fontId="25" fillId="5" borderId="0" xfId="1" applyNumberFormat="1" applyFont="1" applyFill="1" applyBorder="1"/>
    <xf numFmtId="4" fontId="25" fillId="8" borderId="0" xfId="0" applyNumberFormat="1" applyFont="1" applyFill="1" applyBorder="1" applyAlignment="1">
      <alignment horizontal="center" vertical="center"/>
    </xf>
    <xf numFmtId="0" fontId="24" fillId="5" borderId="0" xfId="0" applyFont="1" applyFill="1" applyBorder="1" applyAlignment="1">
      <alignment horizontal="center" vertical="center"/>
    </xf>
    <xf numFmtId="1" fontId="25" fillId="5" borderId="0" xfId="0" applyNumberFormat="1" applyFont="1" applyFill="1" applyBorder="1" applyAlignment="1">
      <alignment horizontal="right"/>
    </xf>
    <xf numFmtId="0" fontId="29" fillId="5" borderId="0" xfId="0" applyFont="1" applyFill="1" applyBorder="1"/>
    <xf numFmtId="0" fontId="51" fillId="0" borderId="0" xfId="0" applyFont="1" applyFill="1" applyBorder="1" applyAlignment="1">
      <alignment wrapText="1"/>
    </xf>
    <xf numFmtId="0" fontId="29" fillId="0" borderId="0" xfId="0" applyFont="1" applyFill="1" applyAlignment="1">
      <alignment horizontal="center" vertical="center"/>
    </xf>
    <xf numFmtId="165" fontId="25" fillId="6" borderId="0" xfId="1" applyNumberFormat="1" applyFont="1" applyFill="1" applyBorder="1"/>
    <xf numFmtId="165" fontId="29" fillId="46" borderId="0" xfId="1" applyNumberFormat="1" applyFont="1" applyFill="1" applyBorder="1"/>
    <xf numFmtId="165" fontId="25" fillId="46" borderId="0" xfId="1" applyNumberFormat="1" applyFont="1" applyFill="1" applyBorder="1"/>
    <xf numFmtId="165" fontId="25" fillId="8" borderId="0" xfId="1" applyNumberFormat="1" applyFont="1" applyFill="1" applyBorder="1" applyAlignment="1">
      <alignment horizontal="center" vertical="center"/>
    </xf>
    <xf numFmtId="0" fontId="25" fillId="0" borderId="0" xfId="0" applyNumberFormat="1" applyFont="1" applyFill="1" applyBorder="1" applyAlignment="1">
      <alignment horizontal="center" vertical="center"/>
    </xf>
    <xf numFmtId="165" fontId="25" fillId="46" borderId="0" xfId="1" applyNumberFormat="1" applyFont="1" applyFill="1" applyBorder="1" applyAlignment="1">
      <alignment horizontal="center" vertical="center"/>
    </xf>
    <xf numFmtId="165" fontId="25" fillId="8" borderId="0" xfId="1" applyNumberFormat="1" applyFont="1" applyFill="1" applyBorder="1"/>
    <xf numFmtId="0" fontId="29" fillId="0" borderId="0" xfId="0" applyFont="1" applyFill="1" applyBorder="1" applyAlignment="1">
      <alignment horizontal="center"/>
    </xf>
    <xf numFmtId="165" fontId="29" fillId="8" borderId="0" xfId="1" applyNumberFormat="1" applyFont="1" applyFill="1" applyBorder="1" applyAlignment="1">
      <alignment horizontal="center"/>
    </xf>
    <xf numFmtId="1" fontId="25" fillId="0" borderId="0" xfId="0" applyNumberFormat="1" applyFont="1" applyFill="1" applyBorder="1" applyAlignment="1">
      <alignment horizontal="center"/>
    </xf>
    <xf numFmtId="165" fontId="29" fillId="46" borderId="0" xfId="1" applyNumberFormat="1" applyFont="1" applyFill="1" applyBorder="1" applyAlignment="1">
      <alignment horizontal="center"/>
    </xf>
    <xf numFmtId="165" fontId="25" fillId="46" borderId="0" xfId="1" applyNumberFormat="1" applyFont="1" applyFill="1" applyBorder="1" applyAlignment="1">
      <alignment horizontal="center"/>
    </xf>
    <xf numFmtId="165" fontId="29" fillId="5" borderId="0" xfId="1" applyNumberFormat="1" applyFont="1" applyFill="1" applyBorder="1" applyAlignment="1">
      <alignment horizontal="center"/>
    </xf>
    <xf numFmtId="165" fontId="25" fillId="8" borderId="0" xfId="1" applyNumberFormat="1" applyFont="1" applyFill="1" applyBorder="1" applyAlignment="1">
      <alignment horizontal="center"/>
    </xf>
    <xf numFmtId="165" fontId="29" fillId="47" borderId="0" xfId="1" applyNumberFormat="1" applyFont="1" applyFill="1" applyBorder="1"/>
    <xf numFmtId="165" fontId="25" fillId="47" borderId="0" xfId="1" applyNumberFormat="1" applyFont="1" applyFill="1" applyBorder="1"/>
    <xf numFmtId="0" fontId="25" fillId="0" borderId="0" xfId="0" applyFont="1" applyAlignment="1">
      <alignment horizontal="right"/>
    </xf>
    <xf numFmtId="165" fontId="25" fillId="47" borderId="0" xfId="1" applyNumberFormat="1" applyFont="1" applyFill="1" applyBorder="1" applyAlignment="1">
      <alignment horizontal="center" vertical="center"/>
    </xf>
    <xf numFmtId="0" fontId="48" fillId="0" borderId="0" xfId="0" applyFont="1" applyAlignment="1">
      <alignment horizontal="center"/>
    </xf>
    <xf numFmtId="0" fontId="25" fillId="8" borderId="0" xfId="0" applyFont="1" applyFill="1" applyBorder="1" applyAlignment="1">
      <alignment horizontal="left" vertical="center"/>
    </xf>
    <xf numFmtId="0" fontId="24" fillId="8" borderId="0" xfId="0" applyFont="1" applyFill="1" applyBorder="1" applyAlignment="1">
      <alignment horizontal="left" vertical="center"/>
    </xf>
    <xf numFmtId="165" fontId="29" fillId="6" borderId="0" xfId="1" applyNumberFormat="1" applyFont="1" applyFill="1" applyBorder="1"/>
    <xf numFmtId="165" fontId="53" fillId="8" borderId="0" xfId="1" applyNumberFormat="1" applyFont="1" applyFill="1" applyBorder="1"/>
    <xf numFmtId="165" fontId="24" fillId="8" borderId="0" xfId="1" applyNumberFormat="1" applyFont="1" applyFill="1" applyBorder="1"/>
    <xf numFmtId="165" fontId="53" fillId="47" borderId="0" xfId="1" applyNumberFormat="1" applyFont="1" applyFill="1" applyBorder="1"/>
    <xf numFmtId="165" fontId="24" fillId="47" borderId="0" xfId="1" applyNumberFormat="1" applyFont="1" applyFill="1" applyBorder="1"/>
    <xf numFmtId="165" fontId="53" fillId="5" borderId="0" xfId="1" applyNumberFormat="1" applyFont="1" applyFill="1" applyBorder="1"/>
    <xf numFmtId="165" fontId="24" fillId="5" borderId="0" xfId="1" applyNumberFormat="1" applyFont="1" applyFill="1" applyBorder="1"/>
    <xf numFmtId="0" fontId="25" fillId="0" borderId="0" xfId="0" applyFont="1" applyAlignment="1">
      <alignment horizontal="right" vertical="center"/>
    </xf>
    <xf numFmtId="165" fontId="25" fillId="0" borderId="0" xfId="1" applyNumberFormat="1" applyFont="1" applyAlignment="1">
      <alignment horizontal="right" vertical="center"/>
    </xf>
    <xf numFmtId="165" fontId="53" fillId="0" borderId="0" xfId="1" applyNumberFormat="1" applyFont="1" applyFill="1" applyBorder="1"/>
    <xf numFmtId="165" fontId="53" fillId="6" borderId="0" xfId="1" applyNumberFormat="1" applyFont="1" applyFill="1" applyBorder="1"/>
    <xf numFmtId="0" fontId="48" fillId="0" borderId="0" xfId="0" applyFont="1" applyFill="1" applyBorder="1"/>
    <xf numFmtId="165" fontId="25" fillId="48" borderId="0" xfId="1" applyNumberFormat="1" applyFont="1" applyFill="1" applyBorder="1" applyAlignment="1">
      <alignment horizontal="center"/>
    </xf>
    <xf numFmtId="0" fontId="26" fillId="0" borderId="0" xfId="0" applyFont="1" applyFill="1" applyBorder="1"/>
    <xf numFmtId="165" fontId="25" fillId="0" borderId="0" xfId="1" applyNumberFormat="1" applyFont="1" applyAlignment="1">
      <alignment horizontal="right"/>
    </xf>
    <xf numFmtId="1" fontId="48" fillId="0" borderId="0" xfId="0" applyNumberFormat="1" applyFont="1" applyFill="1" applyBorder="1" applyAlignment="1">
      <alignment horizontal="center" vertical="center"/>
    </xf>
    <xf numFmtId="165" fontId="29" fillId="44" borderId="0" xfId="1" applyNumberFormat="1" applyFont="1" applyFill="1" applyBorder="1"/>
    <xf numFmtId="165" fontId="25" fillId="44" borderId="0" xfId="1" applyNumberFormat="1" applyFont="1" applyFill="1" applyBorder="1"/>
    <xf numFmtId="1" fontId="24" fillId="5" borderId="0" xfId="1" applyNumberFormat="1" applyFont="1" applyFill="1" applyBorder="1" applyAlignment="1">
      <alignment horizontal="center"/>
    </xf>
    <xf numFmtId="165" fontId="25" fillId="6" borderId="0" xfId="1" applyNumberFormat="1" applyFont="1" applyFill="1" applyBorder="1" applyAlignment="1">
      <alignment horizontal="center"/>
    </xf>
    <xf numFmtId="0" fontId="29" fillId="29" borderId="0" xfId="0" applyFont="1" applyFill="1" applyBorder="1" applyAlignment="1">
      <alignment horizontal="center" vertical="center"/>
    </xf>
    <xf numFmtId="0" fontId="25" fillId="29" borderId="0" xfId="0" applyFont="1" applyFill="1" applyBorder="1"/>
    <xf numFmtId="0" fontId="25" fillId="29" borderId="0" xfId="0" applyFont="1" applyFill="1" applyBorder="1" applyAlignment="1">
      <alignment horizontal="center"/>
    </xf>
    <xf numFmtId="0" fontId="25" fillId="29" borderId="0" xfId="0" applyFont="1" applyFill="1" applyBorder="1" applyAlignment="1">
      <alignment horizontal="left"/>
    </xf>
    <xf numFmtId="0" fontId="25" fillId="29" borderId="0" xfId="0" applyFont="1" applyFill="1" applyBorder="1" applyAlignment="1">
      <alignment horizontal="center" vertical="center"/>
    </xf>
    <xf numFmtId="0" fontId="48" fillId="29" borderId="0" xfId="0" applyFont="1" applyFill="1" applyBorder="1" applyAlignment="1">
      <alignment horizontal="center" vertical="center"/>
    </xf>
    <xf numFmtId="1" fontId="25" fillId="29" borderId="0" xfId="1" applyNumberFormat="1" applyFont="1" applyFill="1" applyBorder="1" applyAlignment="1">
      <alignment horizontal="center"/>
    </xf>
    <xf numFmtId="4" fontId="25" fillId="29" borderId="0" xfId="0" applyNumberFormat="1" applyFont="1" applyFill="1" applyBorder="1" applyAlignment="1">
      <alignment horizontal="center" vertical="center"/>
    </xf>
    <xf numFmtId="165" fontId="25" fillId="29" borderId="0" xfId="1" applyNumberFormat="1" applyFont="1" applyFill="1" applyBorder="1"/>
    <xf numFmtId="165" fontId="29" fillId="29" borderId="0" xfId="1" applyNumberFormat="1" applyFont="1" applyFill="1" applyBorder="1"/>
    <xf numFmtId="1" fontId="51" fillId="29" borderId="0" xfId="1" applyNumberFormat="1" applyFont="1" applyFill="1" applyBorder="1" applyAlignment="1">
      <alignment horizontal="center" wrapText="1"/>
    </xf>
    <xf numFmtId="165" fontId="25" fillId="29" borderId="0" xfId="1" applyNumberFormat="1" applyFont="1" applyFill="1" applyBorder="1" applyAlignment="1">
      <alignment horizontal="center"/>
    </xf>
    <xf numFmtId="165" fontId="25" fillId="29" borderId="0" xfId="1" applyNumberFormat="1" applyFont="1" applyFill="1" applyBorder="1" applyAlignment="1">
      <alignment horizontal="center" vertical="center"/>
    </xf>
    <xf numFmtId="0" fontId="48" fillId="29" borderId="0" xfId="0" applyFont="1" applyFill="1" applyBorder="1" applyAlignment="1">
      <alignment horizontal="center"/>
    </xf>
    <xf numFmtId="1" fontId="25" fillId="29" borderId="0" xfId="0" applyNumberFormat="1" applyFont="1" applyFill="1" applyBorder="1" applyAlignment="1">
      <alignment horizontal="right"/>
    </xf>
    <xf numFmtId="165" fontId="25" fillId="29" borderId="0" xfId="1" applyNumberFormat="1" applyFont="1" applyFill="1" applyBorder="1" applyAlignment="1">
      <alignment horizontal="right"/>
    </xf>
    <xf numFmtId="0" fontId="25" fillId="29" borderId="0" xfId="0" applyFont="1" applyFill="1" applyBorder="1" applyAlignment="1">
      <alignment horizontal="left" vertical="center"/>
    </xf>
    <xf numFmtId="0" fontId="35" fillId="38" borderId="56" xfId="0" applyFont="1" applyFill="1" applyBorder="1" applyAlignment="1">
      <alignment horizontal="center" vertical="center"/>
    </xf>
    <xf numFmtId="0" fontId="28" fillId="0" borderId="0" xfId="0" applyFont="1" applyFill="1" applyAlignment="1">
      <alignment horizontal="left"/>
    </xf>
    <xf numFmtId="0" fontId="24" fillId="0" borderId="0" xfId="0" applyFont="1" applyFill="1" applyAlignment="1">
      <alignment vertical="center"/>
    </xf>
    <xf numFmtId="0" fontId="25" fillId="0" borderId="0" xfId="0" applyFont="1" applyFill="1" applyAlignment="1">
      <alignment horizontal="left"/>
    </xf>
    <xf numFmtId="0" fontId="24" fillId="0" borderId="0" xfId="0" applyFont="1" applyFill="1" applyAlignment="1">
      <alignment horizontal="left"/>
    </xf>
    <xf numFmtId="0" fontId="46" fillId="0" borderId="0" xfId="0" applyFont="1" applyFill="1" applyAlignment="1">
      <alignment horizontal="left"/>
    </xf>
    <xf numFmtId="0" fontId="29" fillId="0" borderId="15" xfId="0" applyFont="1" applyFill="1" applyBorder="1" applyAlignment="1">
      <alignment horizontal="center" vertical="center"/>
    </xf>
    <xf numFmtId="0" fontId="24" fillId="0" borderId="0" xfId="0" applyNumberFormat="1" applyFont="1" applyFill="1" applyBorder="1" applyAlignment="1">
      <alignment horizontal="center" vertical="center"/>
    </xf>
    <xf numFmtId="0" fontId="25" fillId="0" borderId="0" xfId="0" applyFont="1" applyBorder="1" applyAlignment="1">
      <alignment horizontal="center"/>
    </xf>
    <xf numFmtId="14" fontId="24" fillId="0" borderId="0" xfId="0" applyNumberFormat="1" applyFont="1" applyFill="1" applyBorder="1" applyAlignment="1">
      <alignment horizontal="center"/>
    </xf>
    <xf numFmtId="1" fontId="24" fillId="0" borderId="0" xfId="0" applyNumberFormat="1" applyFont="1" applyFill="1" applyBorder="1" applyAlignment="1">
      <alignment horizontal="center"/>
    </xf>
    <xf numFmtId="164" fontId="24" fillId="0" borderId="0" xfId="0" applyNumberFormat="1" applyFont="1" applyFill="1" applyBorder="1" applyAlignment="1">
      <alignment horizontal="center"/>
    </xf>
    <xf numFmtId="43" fontId="24" fillId="0" borderId="0" xfId="1" applyFont="1" applyFill="1" applyBorder="1" applyAlignment="1">
      <alignment horizontal="right" vertical="center" wrapText="1"/>
    </xf>
    <xf numFmtId="10" fontId="24" fillId="0" borderId="0" xfId="4" applyNumberFormat="1" applyFont="1" applyFill="1" applyBorder="1" applyAlignment="1">
      <alignment horizontal="center" vertical="center"/>
    </xf>
    <xf numFmtId="0" fontId="24" fillId="0" borderId="0" xfId="0" applyFont="1" applyBorder="1" applyAlignment="1">
      <alignment horizontal="center"/>
    </xf>
    <xf numFmtId="0" fontId="25" fillId="0" borderId="0" xfId="0" applyFont="1" applyBorder="1"/>
    <xf numFmtId="2" fontId="24" fillId="0" borderId="0" xfId="0" applyNumberFormat="1" applyFont="1" applyFill="1" applyBorder="1" applyAlignment="1">
      <alignment horizontal="center"/>
    </xf>
    <xf numFmtId="169" fontId="24" fillId="0" borderId="0" xfId="1" applyNumberFormat="1" applyFont="1" applyFill="1" applyBorder="1" applyAlignment="1">
      <alignment horizontal="center"/>
    </xf>
    <xf numFmtId="43" fontId="24" fillId="0" borderId="0" xfId="1" applyNumberFormat="1" applyFont="1" applyFill="1" applyBorder="1" applyAlignment="1">
      <alignment horizontal="center"/>
    </xf>
    <xf numFmtId="43" fontId="24" fillId="0" borderId="0" xfId="1" applyFont="1" applyFill="1" applyBorder="1" applyAlignment="1">
      <alignment horizontal="center"/>
    </xf>
    <xf numFmtId="166" fontId="24" fillId="0" borderId="0" xfId="1" applyNumberFormat="1" applyFont="1" applyFill="1" applyBorder="1" applyAlignment="1">
      <alignment horizontal="right"/>
    </xf>
    <xf numFmtId="2" fontId="24" fillId="0" borderId="0" xfId="1" applyNumberFormat="1" applyFont="1" applyFill="1" applyBorder="1" applyAlignment="1">
      <alignment horizontal="center" vertical="center"/>
    </xf>
    <xf numFmtId="165" fontId="24" fillId="0" borderId="0" xfId="1" applyNumberFormat="1" applyFont="1" applyBorder="1" applyAlignment="1">
      <alignment horizontal="center"/>
    </xf>
    <xf numFmtId="0" fontId="24" fillId="0" borderId="0" xfId="0" applyNumberFormat="1" applyFont="1" applyFill="1" applyBorder="1" applyAlignment="1">
      <alignment horizontal="center"/>
    </xf>
    <xf numFmtId="0" fontId="24" fillId="6" borderId="0" xfId="0" applyFont="1" applyFill="1" applyBorder="1" applyAlignment="1">
      <alignment horizontal="left" vertical="center"/>
    </xf>
    <xf numFmtId="0" fontId="25" fillId="0" borderId="0" xfId="0" applyFont="1" applyBorder="1" applyAlignment="1">
      <alignment horizontal="center" vertical="center"/>
    </xf>
    <xf numFmtId="0" fontId="24" fillId="5" borderId="0" xfId="0" applyFont="1" applyFill="1" applyBorder="1" applyAlignment="1">
      <alignment horizontal="left" vertical="center"/>
    </xf>
    <xf numFmtId="0" fontId="24" fillId="5" borderId="0" xfId="0" applyFont="1" applyFill="1" applyBorder="1" applyAlignment="1">
      <alignment horizontal="center"/>
    </xf>
    <xf numFmtId="43" fontId="24" fillId="0" borderId="0" xfId="1" applyNumberFormat="1" applyFont="1" applyBorder="1" applyAlignment="1">
      <alignment horizontal="right"/>
    </xf>
    <xf numFmtId="165" fontId="24" fillId="23" borderId="0" xfId="1" applyNumberFormat="1" applyFont="1" applyFill="1" applyBorder="1" applyAlignment="1">
      <alignment horizontal="center"/>
    </xf>
    <xf numFmtId="14" fontId="24" fillId="5" borderId="0" xfId="0" applyNumberFormat="1" applyFont="1" applyFill="1" applyBorder="1" applyAlignment="1">
      <alignment horizontal="center"/>
    </xf>
    <xf numFmtId="1" fontId="24" fillId="5" borderId="0" xfId="0" applyNumberFormat="1" applyFont="1" applyFill="1" applyBorder="1" applyAlignment="1">
      <alignment horizontal="center"/>
    </xf>
    <xf numFmtId="164" fontId="24" fillId="5" borderId="0" xfId="0" applyNumberFormat="1" applyFont="1" applyFill="1" applyBorder="1" applyAlignment="1">
      <alignment horizontal="center"/>
    </xf>
    <xf numFmtId="0" fontId="24" fillId="27" borderId="0" xfId="0" applyFont="1" applyFill="1" applyBorder="1" applyAlignment="1">
      <alignment horizontal="center"/>
    </xf>
    <xf numFmtId="0" fontId="24" fillId="29" borderId="0" xfId="0" applyFont="1" applyFill="1" applyBorder="1" applyAlignment="1">
      <alignment horizontal="center"/>
    </xf>
    <xf numFmtId="0" fontId="24" fillId="2" borderId="0" xfId="0" applyFont="1" applyFill="1" applyBorder="1" applyAlignment="1">
      <alignment horizontal="center"/>
    </xf>
    <xf numFmtId="0" fontId="24" fillId="30" borderId="0" xfId="0" applyFont="1" applyFill="1" applyBorder="1" applyAlignment="1">
      <alignment horizontal="center"/>
    </xf>
    <xf numFmtId="0" fontId="24" fillId="21" borderId="0" xfId="0" applyFont="1" applyFill="1" applyBorder="1" applyAlignment="1">
      <alignment horizontal="center"/>
    </xf>
    <xf numFmtId="0" fontId="25" fillId="21" borderId="0" xfId="0" applyFont="1" applyFill="1" applyBorder="1" applyAlignment="1">
      <alignment horizontal="center"/>
    </xf>
    <xf numFmtId="0" fontId="25" fillId="21" borderId="0" xfId="0" applyFont="1" applyFill="1" applyBorder="1" applyAlignment="1">
      <alignment horizontal="center" vertical="center"/>
    </xf>
    <xf numFmtId="0" fontId="25" fillId="24" borderId="0" xfId="0" applyFont="1" applyFill="1" applyBorder="1" applyAlignment="1">
      <alignment horizontal="center"/>
    </xf>
    <xf numFmtId="0" fontId="25" fillId="0" borderId="0" xfId="0" applyFont="1" applyFill="1" applyAlignment="1">
      <alignment horizontal="right" vertical="center"/>
    </xf>
    <xf numFmtId="0" fontId="24" fillId="19" borderId="0" xfId="0" applyFont="1" applyFill="1" applyBorder="1" applyAlignment="1">
      <alignment horizontal="center"/>
    </xf>
    <xf numFmtId="0" fontId="25" fillId="19" borderId="0" xfId="0" applyFont="1" applyFill="1" applyBorder="1" applyAlignment="1">
      <alignment horizontal="center"/>
    </xf>
    <xf numFmtId="0" fontId="25" fillId="19" borderId="0" xfId="0" applyFont="1" applyFill="1" applyBorder="1" applyAlignment="1">
      <alignment horizontal="center" vertical="center"/>
    </xf>
    <xf numFmtId="0" fontId="25" fillId="3" borderId="0" xfId="0" applyFont="1" applyFill="1" applyBorder="1" applyAlignment="1">
      <alignment horizontal="center" vertical="center"/>
    </xf>
    <xf numFmtId="4" fontId="25" fillId="3" borderId="0" xfId="0" applyNumberFormat="1" applyFont="1" applyFill="1" applyBorder="1" applyAlignment="1">
      <alignment horizontal="center" vertical="center"/>
    </xf>
    <xf numFmtId="171" fontId="25" fillId="3" borderId="0" xfId="0" applyNumberFormat="1" applyFont="1" applyFill="1" applyBorder="1" applyAlignment="1">
      <alignment horizontal="center" vertical="center"/>
    </xf>
    <xf numFmtId="0" fontId="25" fillId="45" borderId="0" xfId="0" applyFont="1" applyFill="1" applyBorder="1" applyAlignment="1">
      <alignment horizontal="center" vertical="center"/>
    </xf>
    <xf numFmtId="0" fontId="25" fillId="19" borderId="0" xfId="0" applyFont="1" applyFill="1" applyBorder="1" applyAlignment="1">
      <alignment horizontal="right"/>
    </xf>
    <xf numFmtId="9" fontId="24" fillId="0" borderId="0" xfId="4" applyFont="1" applyAlignment="1">
      <alignment horizontal="center"/>
    </xf>
    <xf numFmtId="0" fontId="25" fillId="28" borderId="0" xfId="0" applyFont="1" applyFill="1" applyBorder="1" applyAlignment="1"/>
    <xf numFmtId="0" fontId="26" fillId="28" borderId="0" xfId="0" applyFont="1" applyFill="1" applyBorder="1" applyAlignment="1"/>
    <xf numFmtId="0" fontId="25" fillId="28" borderId="0" xfId="0" applyFont="1" applyFill="1" applyBorder="1" applyAlignment="1">
      <alignment vertical="center"/>
    </xf>
    <xf numFmtId="0" fontId="25" fillId="27" borderId="0" xfId="0" applyFont="1" applyFill="1" applyBorder="1" applyAlignment="1"/>
    <xf numFmtId="0" fontId="25" fillId="14" borderId="0" xfId="0" applyFont="1" applyFill="1" applyBorder="1" applyAlignment="1"/>
    <xf numFmtId="0" fontId="25" fillId="29" borderId="0" xfId="0" applyFont="1" applyFill="1" applyBorder="1" applyAlignment="1"/>
    <xf numFmtId="0" fontId="25" fillId="2" borderId="0" xfId="0" applyFont="1" applyFill="1" applyBorder="1" applyAlignment="1"/>
    <xf numFmtId="0" fontId="25" fillId="2" borderId="0" xfId="0" applyFont="1" applyFill="1" applyBorder="1" applyAlignment="1">
      <alignment vertical="center"/>
    </xf>
    <xf numFmtId="0" fontId="25" fillId="2" borderId="0" xfId="0" applyFont="1" applyFill="1" applyBorder="1" applyAlignment="1" applyProtection="1">
      <alignment vertical="center"/>
      <protection locked="0"/>
    </xf>
    <xf numFmtId="0" fontId="25" fillId="30" borderId="0" xfId="0" applyFont="1" applyFill="1" applyBorder="1" applyAlignment="1"/>
    <xf numFmtId="0" fontId="24" fillId="30" borderId="0" xfId="0" applyFont="1" applyFill="1" applyBorder="1" applyAlignment="1"/>
    <xf numFmtId="0" fontId="25" fillId="21" borderId="0" xfId="0" applyFont="1" applyFill="1" applyBorder="1" applyAlignment="1">
      <alignment vertical="center"/>
    </xf>
    <xf numFmtId="0" fontId="25" fillId="21" borderId="0" xfId="0" applyFont="1" applyFill="1" applyBorder="1" applyAlignment="1" applyProtection="1">
      <alignment vertical="center"/>
      <protection locked="0"/>
    </xf>
    <xf numFmtId="0" fontId="25" fillId="20" borderId="0" xfId="0" applyFont="1" applyFill="1" applyBorder="1" applyAlignment="1"/>
    <xf numFmtId="0" fontId="25" fillId="20" borderId="0" xfId="0" applyFont="1" applyFill="1" applyAlignment="1">
      <alignment vertical="center"/>
    </xf>
    <xf numFmtId="0" fontId="24" fillId="20" borderId="0" xfId="0" applyFont="1" applyFill="1" applyAlignment="1">
      <alignment vertical="center"/>
    </xf>
    <xf numFmtId="0" fontId="25" fillId="20" borderId="0" xfId="0" applyFont="1" applyFill="1" applyBorder="1" applyAlignment="1">
      <alignment vertical="center"/>
    </xf>
    <xf numFmtId="0" fontId="24" fillId="20" borderId="0" xfId="0" applyFont="1" applyFill="1" applyBorder="1" applyAlignment="1"/>
    <xf numFmtId="0" fontId="25" fillId="24" borderId="0" xfId="0" applyFont="1" applyFill="1" applyBorder="1" applyAlignment="1"/>
    <xf numFmtId="0" fontId="24" fillId="0" borderId="0" xfId="0" applyFont="1" applyFill="1" applyBorder="1" applyAlignment="1"/>
    <xf numFmtId="0" fontId="53" fillId="0" borderId="0" xfId="0" applyFont="1" applyFill="1" applyBorder="1" applyAlignment="1">
      <alignment horizontal="center" vertical="center"/>
    </xf>
    <xf numFmtId="165" fontId="29" fillId="0" borderId="0" xfId="1" applyNumberFormat="1" applyFont="1" applyFill="1" applyBorder="1" applyAlignment="1"/>
    <xf numFmtId="10" fontId="24" fillId="0" borderId="0" xfId="4" applyNumberFormat="1" applyFont="1" applyBorder="1" applyAlignment="1">
      <alignment horizontal="center" vertical="center"/>
    </xf>
    <xf numFmtId="0" fontId="24" fillId="17" borderId="0" xfId="0" applyFont="1" applyFill="1" applyBorder="1" applyAlignment="1">
      <alignment horizontal="right"/>
    </xf>
    <xf numFmtId="0" fontId="24" fillId="17" borderId="0" xfId="0" applyFont="1" applyFill="1" applyBorder="1" applyAlignment="1">
      <alignment horizontal="right" vertical="center"/>
    </xf>
    <xf numFmtId="0" fontId="24" fillId="17" borderId="0" xfId="0" applyFont="1" applyFill="1" applyAlignment="1">
      <alignment vertical="center"/>
    </xf>
    <xf numFmtId="0" fontId="24" fillId="17" borderId="0" xfId="0" applyFont="1" applyFill="1" applyAlignment="1">
      <alignment horizontal="right" vertical="center"/>
    </xf>
    <xf numFmtId="1" fontId="24" fillId="5" borderId="0" xfId="0" applyNumberFormat="1" applyFont="1" applyFill="1" applyAlignment="1">
      <alignment horizontal="center"/>
    </xf>
    <xf numFmtId="14" fontId="23" fillId="7" borderId="1" xfId="0" applyNumberFormat="1" applyFont="1" applyFill="1" applyBorder="1" applyAlignment="1">
      <alignment horizontal="center" vertical="center"/>
    </xf>
    <xf numFmtId="14" fontId="24" fillId="0" borderId="0" xfId="0" applyNumberFormat="1" applyFont="1" applyFill="1" applyAlignment="1">
      <alignment horizontal="center" vertical="center"/>
    </xf>
    <xf numFmtId="14" fontId="24" fillId="0" borderId="0" xfId="0" applyNumberFormat="1" applyFont="1" applyFill="1" applyBorder="1" applyAlignment="1">
      <alignment horizontal="center" vertical="center"/>
    </xf>
    <xf numFmtId="14" fontId="24" fillId="5" borderId="0" xfId="0" applyNumberFormat="1" applyFont="1" applyFill="1" applyBorder="1" applyAlignment="1">
      <alignment horizontal="center" vertical="center"/>
    </xf>
    <xf numFmtId="14" fontId="24" fillId="0" borderId="0" xfId="0" applyNumberFormat="1" applyFont="1" applyAlignment="1">
      <alignment horizontal="center" vertical="center"/>
    </xf>
    <xf numFmtId="0" fontId="23" fillId="0" borderId="3" xfId="0" applyFont="1" applyBorder="1" applyAlignment="1">
      <alignment horizontal="center"/>
    </xf>
    <xf numFmtId="14" fontId="23" fillId="26" borderId="1" xfId="0" applyNumberFormat="1" applyFont="1" applyFill="1" applyBorder="1" applyAlignment="1">
      <alignment horizontal="center" vertical="center" wrapText="1"/>
    </xf>
    <xf numFmtId="14" fontId="23" fillId="7" borderId="1" xfId="0" applyNumberFormat="1" applyFont="1" applyFill="1" applyBorder="1" applyAlignment="1">
      <alignment horizontal="center"/>
    </xf>
    <xf numFmtId="14" fontId="23" fillId="0" borderId="1" xfId="0" applyNumberFormat="1" applyFont="1" applyFill="1" applyBorder="1" applyAlignment="1">
      <alignment horizontal="center" vertical="center" wrapText="1"/>
    </xf>
    <xf numFmtId="0" fontId="25" fillId="6" borderId="0" xfId="0" applyFont="1" applyFill="1" applyAlignment="1">
      <alignment horizontal="left" vertical="center"/>
    </xf>
    <xf numFmtId="0" fontId="55" fillId="48" borderId="0" xfId="0" applyFont="1" applyFill="1" applyAlignment="1">
      <alignment horizontal="right" vertical="center"/>
    </xf>
    <xf numFmtId="0" fontId="55" fillId="48" borderId="0" xfId="0" applyFont="1" applyFill="1" applyAlignment="1">
      <alignment horizontal="left" vertical="center"/>
    </xf>
    <xf numFmtId="0" fontId="33" fillId="6" borderId="0" xfId="0" applyFont="1" applyFill="1" applyAlignment="1">
      <alignment horizontal="left" vertical="center"/>
    </xf>
    <xf numFmtId="0" fontId="25" fillId="6" borderId="0" xfId="0" applyFont="1" applyFill="1" applyAlignment="1">
      <alignment horizontal="right" vertical="center"/>
    </xf>
    <xf numFmtId="0" fontId="25" fillId="8" borderId="0" xfId="0" applyFont="1" applyFill="1" applyAlignment="1">
      <alignment horizontal="center"/>
    </xf>
    <xf numFmtId="0" fontId="46" fillId="8" borderId="0" xfId="0" applyFont="1" applyFill="1" applyAlignment="1">
      <alignment horizontal="left" vertical="center"/>
    </xf>
    <xf numFmtId="0" fontId="25" fillId="8" borderId="0" xfId="0" applyFont="1" applyFill="1"/>
    <xf numFmtId="2" fontId="24" fillId="8" borderId="0" xfId="1" applyNumberFormat="1" applyFont="1" applyFill="1" applyAlignment="1">
      <alignment horizontal="right"/>
    </xf>
    <xf numFmtId="2" fontId="24" fillId="8" borderId="0" xfId="0" applyNumberFormat="1" applyFont="1" applyFill="1" applyAlignment="1">
      <alignment horizontal="right"/>
    </xf>
    <xf numFmtId="10" fontId="24" fillId="8" borderId="0" xfId="4" applyNumberFormat="1" applyFont="1" applyFill="1" applyAlignment="1">
      <alignment horizontal="center"/>
    </xf>
    <xf numFmtId="0" fontId="24" fillId="8" borderId="0" xfId="0" applyFont="1" applyFill="1" applyAlignment="1">
      <alignment horizontal="center" vertical="center"/>
    </xf>
    <xf numFmtId="2" fontId="24" fillId="0" borderId="57" xfId="1" applyNumberFormat="1" applyFont="1" applyBorder="1" applyAlignment="1">
      <alignment horizontal="right"/>
    </xf>
    <xf numFmtId="10" fontId="24" fillId="0" borderId="51" xfId="4" applyNumberFormat="1" applyFont="1" applyFill="1" applyBorder="1" applyAlignment="1">
      <alignment horizontal="center"/>
    </xf>
    <xf numFmtId="2" fontId="24" fillId="0" borderId="58" xfId="0" applyNumberFormat="1" applyFont="1" applyFill="1" applyBorder="1" applyAlignment="1">
      <alignment horizontal="right"/>
    </xf>
    <xf numFmtId="2" fontId="24" fillId="0" borderId="0" xfId="1" applyNumberFormat="1" applyFont="1" applyBorder="1" applyAlignment="1">
      <alignment horizontal="right"/>
    </xf>
    <xf numFmtId="43" fontId="24" fillId="5" borderId="0" xfId="1" applyNumberFormat="1" applyFont="1" applyFill="1" applyAlignment="1">
      <alignment horizontal="right"/>
    </xf>
    <xf numFmtId="43" fontId="24" fillId="5" borderId="0" xfId="1" applyFont="1" applyFill="1" applyAlignment="1">
      <alignment horizontal="center"/>
    </xf>
    <xf numFmtId="2" fontId="24" fillId="5" borderId="0" xfId="1" applyNumberFormat="1" applyFont="1" applyFill="1" applyAlignment="1">
      <alignment horizontal="right"/>
    </xf>
    <xf numFmtId="2" fontId="24" fillId="5" borderId="0" xfId="1" applyNumberFormat="1" applyFont="1" applyFill="1" applyBorder="1" applyAlignment="1">
      <alignment horizontal="right"/>
    </xf>
    <xf numFmtId="2" fontId="24" fillId="5" borderId="0" xfId="1" applyNumberFormat="1" applyFont="1" applyFill="1" applyAlignment="1">
      <alignment horizontal="right" vertical="center"/>
    </xf>
    <xf numFmtId="2" fontId="24" fillId="5" borderId="0" xfId="1" applyNumberFormat="1" applyFont="1" applyFill="1" applyAlignment="1">
      <alignment horizontal="right" vertical="center" wrapText="1"/>
    </xf>
    <xf numFmtId="2" fontId="24" fillId="5" borderId="0" xfId="0" applyNumberFormat="1" applyFont="1" applyFill="1"/>
    <xf numFmtId="43" fontId="24" fillId="5" borderId="0" xfId="1" applyNumberFormat="1" applyFont="1" applyFill="1" applyBorder="1" applyAlignment="1">
      <alignment horizontal="right"/>
    </xf>
    <xf numFmtId="0" fontId="25" fillId="5" borderId="0" xfId="0" applyFont="1" applyFill="1"/>
    <xf numFmtId="0" fontId="24" fillId="5" borderId="0" xfId="0" applyFont="1" applyFill="1" applyAlignment="1">
      <alignment horizontal="center" vertical="center"/>
    </xf>
    <xf numFmtId="0" fontId="24" fillId="5" borderId="0" xfId="0" applyFont="1" applyFill="1" applyBorder="1" applyAlignment="1">
      <alignment vertical="center"/>
    </xf>
    <xf numFmtId="0" fontId="24" fillId="5" borderId="0" xfId="0" applyFont="1" applyFill="1" applyBorder="1" applyAlignment="1">
      <alignment horizontal="left" vertical="center" indent="1"/>
    </xf>
    <xf numFmtId="0" fontId="24" fillId="5" borderId="0" xfId="0" applyFont="1" applyFill="1" applyBorder="1" applyAlignment="1">
      <alignment horizontal="left" vertical="center" indent="2"/>
    </xf>
    <xf numFmtId="0" fontId="24" fillId="0" borderId="0" xfId="0" applyFont="1" applyFill="1" applyAlignment="1">
      <alignment horizontal="left" indent="1"/>
    </xf>
    <xf numFmtId="0" fontId="24" fillId="0" borderId="0" xfId="0" applyFont="1" applyFill="1" applyBorder="1" applyAlignment="1">
      <alignment horizontal="left" vertical="center" indent="1"/>
    </xf>
    <xf numFmtId="0" fontId="24" fillId="0" borderId="0" xfId="0" applyFont="1" applyFill="1" applyAlignment="1">
      <alignment horizontal="left" vertical="center" indent="1"/>
    </xf>
    <xf numFmtId="165" fontId="25" fillId="5" borderId="0" xfId="1" applyNumberFormat="1" applyFont="1" applyFill="1" applyBorder="1" applyAlignment="1">
      <alignment horizontal="left"/>
    </xf>
    <xf numFmtId="2" fontId="24" fillId="0" borderId="0" xfId="1" applyNumberFormat="1" applyFont="1" applyFill="1" applyBorder="1" applyAlignment="1">
      <alignment horizontal="right" vertical="center"/>
    </xf>
    <xf numFmtId="43" fontId="24" fillId="6" borderId="0" xfId="1" applyFont="1" applyFill="1" applyAlignment="1">
      <alignment horizontal="right" vertical="center" wrapText="1"/>
    </xf>
    <xf numFmtId="43" fontId="24" fillId="6" borderId="0" xfId="1" applyFont="1" applyFill="1" applyBorder="1" applyAlignment="1">
      <alignment horizontal="right"/>
    </xf>
    <xf numFmtId="10" fontId="24" fillId="6" borderId="0" xfId="4" applyNumberFormat="1" applyFont="1" applyFill="1" applyBorder="1" applyAlignment="1">
      <alignment horizontal="center"/>
    </xf>
    <xf numFmtId="2" fontId="24" fillId="6" borderId="0" xfId="0" applyNumberFormat="1" applyFont="1" applyFill="1" applyBorder="1" applyAlignment="1">
      <alignment horizontal="right"/>
    </xf>
    <xf numFmtId="0" fontId="24" fillId="6" borderId="0" xfId="0" applyFont="1" applyFill="1" applyAlignment="1">
      <alignment horizontal="left" vertical="center"/>
    </xf>
    <xf numFmtId="2" fontId="24" fillId="17" borderId="0" xfId="0" applyNumberFormat="1" applyFont="1" applyFill="1" applyAlignment="1">
      <alignment horizontal="right"/>
    </xf>
    <xf numFmtId="43" fontId="24" fillId="17" borderId="0" xfId="1" applyFont="1" applyFill="1" applyAlignment="1">
      <alignment horizontal="right"/>
    </xf>
    <xf numFmtId="2" fontId="24" fillId="17" borderId="0" xfId="1" applyNumberFormat="1" applyFont="1" applyFill="1" applyAlignment="1">
      <alignment horizontal="right"/>
    </xf>
    <xf numFmtId="0" fontId="24" fillId="0" borderId="0" xfId="0" applyFont="1" applyFill="1" applyAlignment="1"/>
    <xf numFmtId="2" fontId="24" fillId="0" borderId="0" xfId="0" applyNumberFormat="1" applyFont="1" applyFill="1" applyAlignment="1"/>
    <xf numFmtId="2" fontId="24" fillId="0" borderId="0" xfId="1" applyNumberFormat="1" applyFont="1" applyFill="1" applyAlignment="1"/>
    <xf numFmtId="10" fontId="24" fillId="6" borderId="0" xfId="4" applyNumberFormat="1" applyFont="1" applyFill="1" applyAlignment="1">
      <alignment horizontal="right"/>
    </xf>
    <xf numFmtId="0" fontId="24" fillId="19" borderId="0" xfId="0" applyFont="1" applyFill="1" applyAlignment="1">
      <alignment horizontal="center"/>
    </xf>
    <xf numFmtId="0" fontId="35" fillId="36" borderId="1" xfId="0" applyFont="1" applyFill="1" applyBorder="1" applyAlignment="1">
      <alignment horizontal="center" vertical="center" wrapText="1"/>
    </xf>
    <xf numFmtId="0" fontId="35" fillId="0" borderId="0" xfId="0" applyFont="1" applyFill="1" applyBorder="1" applyAlignment="1">
      <alignment horizontal="right" vertical="center" wrapText="1"/>
    </xf>
    <xf numFmtId="49" fontId="35" fillId="36" borderId="1" xfId="0" applyNumberFormat="1" applyFont="1" applyFill="1" applyBorder="1" applyAlignment="1">
      <alignment horizontal="center" vertical="center" wrapText="1"/>
    </xf>
    <xf numFmtId="0" fontId="35" fillId="32" borderId="8" xfId="0" applyFont="1" applyFill="1" applyBorder="1" applyAlignment="1">
      <alignment horizontal="center" vertical="center"/>
    </xf>
    <xf numFmtId="0" fontId="35" fillId="32" borderId="23" xfId="0" applyFont="1" applyFill="1" applyBorder="1" applyAlignment="1">
      <alignment horizontal="center" vertical="center"/>
    </xf>
    <xf numFmtId="16" fontId="35" fillId="36" borderId="8" xfId="0" applyNumberFormat="1" applyFont="1" applyFill="1" applyBorder="1" applyAlignment="1">
      <alignment horizontal="center" vertical="center" wrapText="1"/>
    </xf>
    <xf numFmtId="0" fontId="40" fillId="0" borderId="5" xfId="0" applyFont="1" applyBorder="1" applyAlignment="1">
      <alignment horizontal="center" vertical="center" wrapText="1"/>
    </xf>
    <xf numFmtId="0" fontId="41" fillId="0" borderId="1" xfId="0" applyFont="1" applyBorder="1" applyAlignment="1">
      <alignment horizontal="center" vertical="center" wrapText="1"/>
    </xf>
    <xf numFmtId="0" fontId="35" fillId="36" borderId="5" xfId="0" applyFont="1" applyFill="1" applyBorder="1" applyAlignment="1">
      <alignment vertical="center" wrapText="1"/>
    </xf>
    <xf numFmtId="0" fontId="40" fillId="0" borderId="1" xfId="0" applyFont="1" applyBorder="1" applyAlignment="1">
      <alignment horizontal="center" vertical="center" wrapText="1"/>
    </xf>
    <xf numFmtId="0" fontId="35" fillId="36" borderId="1" xfId="0" applyFont="1" applyFill="1" applyBorder="1" applyAlignment="1">
      <alignment horizontal="center" vertical="center"/>
    </xf>
    <xf numFmtId="0" fontId="35" fillId="40" borderId="5" xfId="0" applyFont="1" applyFill="1" applyBorder="1" applyAlignment="1">
      <alignment horizontal="center" vertical="center" wrapText="1"/>
    </xf>
    <xf numFmtId="0" fontId="36" fillId="38" borderId="1" xfId="0" applyFont="1" applyFill="1" applyBorder="1" applyAlignment="1">
      <alignment horizontal="center" vertical="center" wrapText="1"/>
    </xf>
    <xf numFmtId="0" fontId="36" fillId="38" borderId="2" xfId="0" applyFont="1" applyFill="1" applyBorder="1" applyAlignment="1">
      <alignment horizontal="center" vertical="center" wrapText="1"/>
    </xf>
    <xf numFmtId="0" fontId="35" fillId="39" borderId="1" xfId="0" applyFont="1" applyFill="1" applyBorder="1" applyAlignment="1">
      <alignment horizontal="center" vertical="center" wrapText="1"/>
    </xf>
    <xf numFmtId="0" fontId="35" fillId="40" borderId="19" xfId="0" applyFont="1" applyFill="1" applyBorder="1" applyAlignment="1">
      <alignment horizontal="center" vertical="top" wrapText="1"/>
    </xf>
    <xf numFmtId="0" fontId="35" fillId="40" borderId="4" xfId="0" applyFont="1" applyFill="1" applyBorder="1" applyAlignment="1">
      <alignment horizontal="center" vertical="top" wrapText="1"/>
    </xf>
    <xf numFmtId="0" fontId="35" fillId="40" borderId="21" xfId="0" applyFont="1" applyFill="1" applyBorder="1" applyAlignment="1">
      <alignment horizontal="center" vertical="top"/>
    </xf>
    <xf numFmtId="0" fontId="35" fillId="40" borderId="21" xfId="0" applyFont="1" applyFill="1" applyBorder="1" applyAlignment="1">
      <alignment horizontal="center" vertical="top" wrapText="1"/>
    </xf>
    <xf numFmtId="0" fontId="35" fillId="40" borderId="45" xfId="0" applyFont="1" applyFill="1" applyBorder="1" applyAlignment="1">
      <alignment horizontal="center" vertical="top"/>
    </xf>
    <xf numFmtId="0" fontId="35" fillId="40" borderId="22" xfId="0" applyFont="1" applyFill="1" applyBorder="1" applyAlignment="1">
      <alignment horizontal="center" vertical="top"/>
    </xf>
    <xf numFmtId="0" fontId="35" fillId="40" borderId="5" xfId="0" applyFont="1" applyFill="1" applyBorder="1" applyAlignment="1">
      <alignment horizontal="center" vertical="top"/>
    </xf>
    <xf numFmtId="0" fontId="25" fillId="48" borderId="0" xfId="0" applyFont="1" applyFill="1" applyAlignment="1">
      <alignment horizontal="center"/>
    </xf>
    <xf numFmtId="0" fontId="25" fillId="48" borderId="0" xfId="0" applyFont="1" applyFill="1" applyAlignment="1">
      <alignment horizontal="left"/>
    </xf>
    <xf numFmtId="0" fontId="25" fillId="48" borderId="0" xfId="0" applyFont="1" applyFill="1" applyAlignment="1">
      <alignment horizontal="center" vertical="center"/>
    </xf>
    <xf numFmtId="0" fontId="25" fillId="48" borderId="0" xfId="0" applyNumberFormat="1" applyFont="1" applyFill="1" applyAlignment="1">
      <alignment horizontal="center" vertical="center"/>
    </xf>
    <xf numFmtId="49" fontId="25" fillId="48" borderId="0" xfId="0" applyNumberFormat="1" applyFont="1" applyFill="1" applyAlignment="1">
      <alignment horizontal="center"/>
    </xf>
    <xf numFmtId="14" fontId="25" fillId="48" borderId="0" xfId="0" applyNumberFormat="1" applyFont="1" applyFill="1" applyAlignment="1">
      <alignment horizontal="center" vertical="center"/>
    </xf>
    <xf numFmtId="1" fontId="25" fillId="48" borderId="0" xfId="0" applyNumberFormat="1" applyFont="1" applyFill="1" applyAlignment="1">
      <alignment horizontal="center"/>
    </xf>
    <xf numFmtId="48" fontId="25" fillId="48" borderId="0" xfId="0" applyNumberFormat="1" applyFont="1" applyFill="1" applyAlignment="1">
      <alignment horizontal="center"/>
    </xf>
    <xf numFmtId="14" fontId="25" fillId="48" borderId="0" xfId="0" applyNumberFormat="1" applyFont="1" applyFill="1" applyAlignment="1">
      <alignment horizontal="center"/>
    </xf>
    <xf numFmtId="43" fontId="25" fillId="48" borderId="0" xfId="1" applyFont="1" applyFill="1" applyAlignment="1">
      <alignment horizontal="right" vertical="center" wrapText="1"/>
    </xf>
    <xf numFmtId="2" fontId="25" fillId="48" borderId="0" xfId="1" applyNumberFormat="1" applyFont="1" applyFill="1" applyAlignment="1">
      <alignment horizontal="right"/>
    </xf>
    <xf numFmtId="10" fontId="25" fillId="48" borderId="0" xfId="4" applyNumberFormat="1" applyFont="1" applyFill="1" applyAlignment="1">
      <alignment horizontal="center" vertical="center"/>
    </xf>
    <xf numFmtId="165" fontId="25" fillId="48" borderId="0" xfId="1" applyNumberFormat="1" applyFont="1" applyFill="1" applyAlignment="1">
      <alignment horizontal="center"/>
    </xf>
    <xf numFmtId="43" fontId="25" fillId="48" borderId="0" xfId="1" applyNumberFormat="1" applyFont="1" applyFill="1" applyAlignment="1">
      <alignment horizontal="right"/>
    </xf>
    <xf numFmtId="10" fontId="25" fillId="48" borderId="0" xfId="4" applyNumberFormat="1" applyFont="1" applyFill="1" applyAlignment="1">
      <alignment horizontal="center"/>
    </xf>
    <xf numFmtId="168" fontId="25" fillId="48" borderId="0" xfId="1" applyNumberFormat="1" applyFont="1" applyFill="1" applyAlignment="1">
      <alignment horizontal="right" vertical="center"/>
    </xf>
    <xf numFmtId="168" fontId="25" fillId="48" borderId="0" xfId="0" applyNumberFormat="1" applyFont="1" applyFill="1" applyAlignment="1">
      <alignment horizontal="right"/>
    </xf>
    <xf numFmtId="169" fontId="25" fillId="48" borderId="0" xfId="1" applyNumberFormat="1" applyFont="1" applyFill="1" applyAlignment="1">
      <alignment horizontal="center"/>
    </xf>
    <xf numFmtId="43" fontId="25" fillId="48" borderId="0" xfId="1" applyFont="1" applyFill="1" applyAlignment="1">
      <alignment horizontal="center"/>
    </xf>
    <xf numFmtId="2" fontId="25" fillId="48" borderId="0" xfId="0" applyNumberFormat="1" applyFont="1" applyFill="1" applyAlignment="1">
      <alignment horizontal="right"/>
    </xf>
    <xf numFmtId="2" fontId="25" fillId="48" borderId="0" xfId="1" applyNumberFormat="1" applyFont="1" applyFill="1" applyAlignment="1">
      <alignment horizontal="right" vertical="center"/>
    </xf>
    <xf numFmtId="43" fontId="25" fillId="48" borderId="0" xfId="1" applyNumberFormat="1" applyFont="1" applyFill="1" applyAlignment="1">
      <alignment horizontal="center"/>
    </xf>
    <xf numFmtId="9" fontId="25" fillId="48" borderId="0" xfId="4" applyFont="1" applyFill="1" applyAlignment="1">
      <alignment horizontal="center"/>
    </xf>
    <xf numFmtId="0" fontId="25" fillId="48" borderId="0" xfId="0" applyNumberFormat="1" applyFont="1" applyFill="1" applyAlignment="1">
      <alignment horizontal="center"/>
    </xf>
    <xf numFmtId="43" fontId="25" fillId="48" borderId="0" xfId="1" applyFont="1" applyFill="1" applyAlignment="1">
      <alignment horizontal="right"/>
    </xf>
    <xf numFmtId="0" fontId="24" fillId="48" borderId="0" xfId="0" applyFont="1" applyFill="1" applyAlignment="1">
      <alignment horizontal="center"/>
    </xf>
    <xf numFmtId="0" fontId="25" fillId="48" borderId="0" xfId="0" applyFont="1" applyFill="1"/>
    <xf numFmtId="0" fontId="23" fillId="0" borderId="0" xfId="0" applyFont="1" applyFill="1" applyBorder="1" applyAlignment="1">
      <alignment horizontal="center" vertical="center"/>
    </xf>
    <xf numFmtId="0" fontId="23" fillId="0" borderId="4" xfId="0" applyFont="1" applyFill="1" applyBorder="1" applyAlignment="1">
      <alignment horizontal="center" vertical="center"/>
    </xf>
    <xf numFmtId="0" fontId="36" fillId="50" borderId="1" xfId="0" applyFont="1" applyFill="1" applyBorder="1" applyAlignment="1">
      <alignment horizontal="center" vertical="center" wrapText="1"/>
    </xf>
    <xf numFmtId="0" fontId="35" fillId="50" borderId="1" xfId="0" applyFont="1" applyFill="1" applyBorder="1" applyAlignment="1">
      <alignment horizontal="right" vertical="center" wrapText="1"/>
    </xf>
    <xf numFmtId="10" fontId="35" fillId="50" borderId="1" xfId="0" applyNumberFormat="1" applyFont="1" applyFill="1" applyBorder="1" applyAlignment="1">
      <alignment horizontal="center" vertical="center" wrapText="1"/>
    </xf>
    <xf numFmtId="1" fontId="25" fillId="5" borderId="0" xfId="0" applyNumberFormat="1" applyFont="1" applyFill="1" applyBorder="1" applyAlignment="1">
      <alignment horizontal="center" vertical="center"/>
    </xf>
    <xf numFmtId="0" fontId="35" fillId="50" borderId="1" xfId="0" applyFont="1" applyFill="1" applyBorder="1" applyAlignment="1">
      <alignment horizontal="center" vertical="center" wrapText="1"/>
    </xf>
    <xf numFmtId="0" fontId="36" fillId="50" borderId="5" xfId="0" applyFont="1" applyFill="1" applyBorder="1" applyAlignment="1">
      <alignment horizontal="center" vertical="center" wrapText="1"/>
    </xf>
    <xf numFmtId="0" fontId="36" fillId="50" borderId="1" xfId="0" applyFont="1" applyFill="1" applyBorder="1" applyAlignment="1">
      <alignment horizontal="right" vertical="center" wrapText="1"/>
    </xf>
    <xf numFmtId="0" fontId="23" fillId="0" borderId="4" xfId="0" applyFont="1" applyFill="1" applyBorder="1" applyAlignment="1">
      <alignment horizontal="center" vertical="center" wrapText="1"/>
    </xf>
    <xf numFmtId="0" fontId="53" fillId="0" borderId="0" xfId="0" applyFont="1" applyFill="1" applyBorder="1" applyAlignment="1">
      <alignment horizontal="center"/>
    </xf>
    <xf numFmtId="0" fontId="24" fillId="30" borderId="0" xfId="0" applyFont="1" applyFill="1" applyAlignment="1">
      <alignment horizontal="left"/>
    </xf>
    <xf numFmtId="0" fontId="35" fillId="0" borderId="0" xfId="0" applyFont="1" applyFill="1" applyBorder="1" applyAlignment="1">
      <alignment horizontal="center" vertical="center" wrapText="1"/>
    </xf>
    <xf numFmtId="0" fontId="35" fillId="36" borderId="7" xfId="0" applyFont="1" applyFill="1" applyBorder="1" applyAlignment="1">
      <alignment horizontal="center" vertical="center" wrapText="1"/>
    </xf>
    <xf numFmtId="0" fontId="35" fillId="36" borderId="1" xfId="0" applyFont="1" applyFill="1" applyBorder="1" applyAlignment="1">
      <alignment horizontal="center" vertical="center" wrapText="1"/>
    </xf>
    <xf numFmtId="0" fontId="23" fillId="50" borderId="1" xfId="0" applyFont="1" applyFill="1" applyBorder="1" applyAlignment="1">
      <alignment horizontal="center" vertical="center" wrapText="1"/>
    </xf>
    <xf numFmtId="0" fontId="40" fillId="40" borderId="5" xfId="0" applyFont="1" applyFill="1" applyBorder="1" applyAlignment="1">
      <alignment horizontal="center" vertical="center" wrapText="1"/>
    </xf>
    <xf numFmtId="0" fontId="0" fillId="0" borderId="1" xfId="0" applyBorder="1"/>
    <xf numFmtId="0" fontId="35" fillId="38" borderId="5" xfId="0" applyFont="1" applyFill="1" applyBorder="1" applyAlignment="1">
      <alignment horizontal="center" vertical="center" wrapText="1"/>
    </xf>
    <xf numFmtId="0" fontId="35" fillId="38" borderId="4" xfId="0" applyFont="1" applyFill="1" applyBorder="1" applyAlignment="1">
      <alignment horizontal="center" vertical="center" wrapText="1"/>
    </xf>
    <xf numFmtId="0" fontId="35" fillId="38" borderId="45" xfId="0" applyFont="1" applyFill="1" applyBorder="1" applyAlignment="1">
      <alignment horizontal="center" vertical="center" wrapText="1"/>
    </xf>
    <xf numFmtId="0" fontId="41" fillId="38" borderId="8" xfId="0" applyFont="1" applyFill="1" applyBorder="1" applyAlignment="1">
      <alignment horizontal="center" vertical="center" wrapText="1"/>
    </xf>
    <xf numFmtId="0" fontId="41" fillId="38" borderId="20" xfId="0" applyFont="1" applyFill="1" applyBorder="1" applyAlignment="1">
      <alignment horizontal="center" vertical="center" wrapText="1"/>
    </xf>
    <xf numFmtId="0" fontId="41" fillId="38" borderId="23" xfId="0" applyFont="1" applyFill="1" applyBorder="1" applyAlignment="1">
      <alignment horizontal="center" vertical="center" wrapText="1"/>
    </xf>
    <xf numFmtId="0" fontId="35" fillId="39" borderId="7" xfId="0" applyFont="1" applyFill="1" applyBorder="1" applyAlignment="1">
      <alignment horizontal="center" vertical="center" wrapText="1"/>
    </xf>
    <xf numFmtId="0" fontId="35" fillId="39" borderId="2" xfId="0" applyFont="1" applyFill="1" applyBorder="1" applyAlignment="1">
      <alignment horizontal="center" vertical="center" wrapText="1"/>
    </xf>
    <xf numFmtId="10" fontId="36" fillId="50" borderId="1" xfId="4" applyNumberFormat="1" applyFont="1" applyFill="1" applyBorder="1" applyAlignment="1">
      <alignment horizontal="center" vertical="center" wrapText="1"/>
    </xf>
    <xf numFmtId="10" fontId="35" fillId="50" borderId="1" xfId="4" applyNumberFormat="1" applyFont="1" applyFill="1" applyBorder="1" applyAlignment="1">
      <alignment horizontal="center" vertical="center" wrapText="1"/>
    </xf>
    <xf numFmtId="0" fontId="23" fillId="50" borderId="1" xfId="0" applyFont="1" applyFill="1" applyBorder="1" applyAlignment="1">
      <alignment horizontal="center" vertical="center"/>
    </xf>
    <xf numFmtId="165" fontId="23" fillId="50" borderId="1" xfId="1" applyNumberFormat="1" applyFont="1" applyFill="1" applyBorder="1" applyAlignment="1">
      <alignment horizontal="center" vertical="center" wrapText="1"/>
    </xf>
    <xf numFmtId="10" fontId="40" fillId="50" borderId="1" xfId="4" applyNumberFormat="1" applyFont="1" applyFill="1" applyBorder="1" applyAlignment="1">
      <alignment horizontal="center" vertical="center" wrapText="1"/>
    </xf>
    <xf numFmtId="10" fontId="41" fillId="50" borderId="1" xfId="4" applyNumberFormat="1" applyFont="1" applyFill="1" applyBorder="1" applyAlignment="1">
      <alignment horizontal="center" vertical="center" wrapText="1"/>
    </xf>
    <xf numFmtId="10" fontId="35" fillId="0" borderId="0" xfId="4" applyNumberFormat="1" applyFont="1" applyFill="1" applyBorder="1" applyAlignment="1">
      <alignment horizontal="center" vertical="center" wrapText="1"/>
    </xf>
    <xf numFmtId="0" fontId="35" fillId="39" borderId="5" xfId="0" applyFont="1" applyFill="1" applyBorder="1" applyAlignment="1">
      <alignment vertical="center" wrapText="1"/>
    </xf>
    <xf numFmtId="0" fontId="40" fillId="39" borderId="35" xfId="0" applyFont="1" applyFill="1" applyBorder="1" applyAlignment="1">
      <alignment horizontal="center" vertical="center" wrapText="1"/>
    </xf>
    <xf numFmtId="10" fontId="40" fillId="39" borderId="35" xfId="0" applyNumberFormat="1" applyFont="1" applyFill="1" applyBorder="1" applyAlignment="1">
      <alignment horizontal="right" vertical="center" wrapText="1"/>
    </xf>
    <xf numFmtId="10" fontId="40" fillId="39" borderId="33" xfId="0" applyNumberFormat="1" applyFont="1" applyFill="1" applyBorder="1" applyAlignment="1">
      <alignment horizontal="right" vertical="center" wrapText="1"/>
    </xf>
    <xf numFmtId="0" fontId="35" fillId="39" borderId="32" xfId="0" applyFont="1" applyFill="1" applyBorder="1" applyAlignment="1">
      <alignment vertical="center" wrapText="1"/>
    </xf>
    <xf numFmtId="0" fontId="40" fillId="39" borderId="5" xfId="0" applyFont="1" applyFill="1" applyBorder="1" applyAlignment="1">
      <alignment horizontal="center" vertical="center" wrapText="1"/>
    </xf>
    <xf numFmtId="10" fontId="40" fillId="39" borderId="5" xfId="0" applyNumberFormat="1" applyFont="1" applyFill="1" applyBorder="1" applyAlignment="1">
      <alignment horizontal="right" vertical="center" wrapText="1"/>
    </xf>
    <xf numFmtId="0" fontId="24" fillId="39" borderId="0" xfId="0" applyFont="1" applyFill="1" applyBorder="1" applyAlignment="1">
      <alignment horizontal="left" vertical="center"/>
    </xf>
    <xf numFmtId="0" fontId="40" fillId="0" borderId="2" xfId="0" applyFont="1" applyBorder="1" applyAlignment="1">
      <alignment horizontal="center" vertical="center" wrapText="1"/>
    </xf>
    <xf numFmtId="0" fontId="41" fillId="0" borderId="1" xfId="0" applyFont="1" applyBorder="1" applyAlignment="1">
      <alignment horizontal="right" vertical="center" wrapText="1"/>
    </xf>
    <xf numFmtId="0" fontId="24" fillId="48" borderId="0" xfId="0" applyFont="1" applyFill="1" applyAlignment="1">
      <alignment horizontal="left" vertical="center"/>
    </xf>
    <xf numFmtId="0" fontId="24" fillId="0" borderId="0" xfId="0" applyFont="1" applyFill="1" applyAlignment="1">
      <alignment horizontal="right" vertical="center"/>
    </xf>
    <xf numFmtId="0" fontId="24" fillId="48" borderId="0" xfId="0" applyFont="1" applyFill="1" applyBorder="1" applyAlignment="1">
      <alignment horizontal="right" vertical="center"/>
    </xf>
    <xf numFmtId="0" fontId="25" fillId="20" borderId="0" xfId="0" applyFont="1" applyFill="1" applyBorder="1" applyAlignment="1">
      <alignment horizontal="left"/>
    </xf>
    <xf numFmtId="0" fontId="35" fillId="0" borderId="1" xfId="0" applyFont="1" applyBorder="1" applyAlignment="1">
      <alignment horizontal="right" vertical="center" wrapText="1"/>
    </xf>
    <xf numFmtId="0" fontId="25" fillId="48" borderId="0" xfId="0" applyFont="1" applyFill="1" applyAlignment="1">
      <alignment horizontal="left" vertical="center"/>
    </xf>
    <xf numFmtId="0" fontId="23" fillId="0" borderId="1" xfId="0" applyFont="1" applyFill="1" applyBorder="1" applyAlignment="1">
      <alignment horizontal="center" vertical="center"/>
    </xf>
    <xf numFmtId="0" fontId="25" fillId="24" borderId="0" xfId="0" applyFont="1" applyFill="1" applyAlignment="1">
      <alignment horizontal="left"/>
    </xf>
    <xf numFmtId="0" fontId="35" fillId="36" borderId="1" xfId="0" applyFont="1" applyFill="1" applyBorder="1" applyAlignment="1">
      <alignment horizontal="center" vertical="center" wrapText="1"/>
    </xf>
    <xf numFmtId="0" fontId="23" fillId="0" borderId="1" xfId="0" applyFont="1" applyFill="1" applyBorder="1" applyAlignment="1">
      <alignment horizontal="center" vertical="center"/>
    </xf>
    <xf numFmtId="4" fontId="25" fillId="6" borderId="0" xfId="0" applyNumberFormat="1" applyFont="1" applyFill="1" applyBorder="1" applyAlignment="1">
      <alignment horizontal="center" vertical="center"/>
    </xf>
    <xf numFmtId="43" fontId="25" fillId="6" borderId="0" xfId="1" applyFont="1" applyFill="1" applyBorder="1" applyAlignment="1">
      <alignment horizontal="center" vertical="center"/>
    </xf>
    <xf numFmtId="0" fontId="24" fillId="6" borderId="0" xfId="0" applyFont="1" applyFill="1" applyBorder="1" applyAlignment="1">
      <alignment horizontal="center" vertical="center"/>
    </xf>
    <xf numFmtId="0" fontId="25" fillId="6" borderId="0" xfId="0" applyFont="1" applyFill="1" applyBorder="1" applyAlignment="1" applyProtection="1">
      <alignment horizontal="center" vertical="center"/>
      <protection locked="0"/>
    </xf>
    <xf numFmtId="49" fontId="0" fillId="0" borderId="0" xfId="0" applyNumberFormat="1" applyAlignment="1">
      <alignment horizontal="center"/>
    </xf>
    <xf numFmtId="171" fontId="25" fillId="0" borderId="0" xfId="0" applyNumberFormat="1" applyFont="1" applyFill="1" applyBorder="1" applyAlignment="1">
      <alignment horizontal="center" vertical="center"/>
    </xf>
    <xf numFmtId="49" fontId="0" fillId="8" borderId="0" xfId="0" applyNumberFormat="1" applyFill="1" applyAlignment="1">
      <alignment horizontal="center"/>
    </xf>
    <xf numFmtId="0" fontId="35" fillId="0" borderId="0" xfId="0" applyFont="1" applyFill="1" applyBorder="1" applyAlignment="1">
      <alignment horizontal="center" vertical="center" wrapText="1"/>
    </xf>
    <xf numFmtId="0" fontId="35" fillId="36" borderId="1" xfId="0" applyFont="1" applyFill="1" applyBorder="1" applyAlignment="1">
      <alignment horizontal="center" vertical="center" wrapText="1"/>
    </xf>
    <xf numFmtId="0" fontId="35" fillId="36" borderId="2" xfId="0" applyFont="1" applyFill="1" applyBorder="1" applyAlignment="1">
      <alignment horizontal="center" vertical="center" wrapText="1"/>
    </xf>
    <xf numFmtId="0" fontId="35" fillId="36" borderId="7" xfId="0" applyFont="1" applyFill="1" applyBorder="1" applyAlignment="1">
      <alignment horizontal="center" vertical="center" wrapText="1"/>
    </xf>
    <xf numFmtId="0" fontId="35" fillId="40" borderId="4" xfId="0" applyFont="1" applyFill="1" applyBorder="1" applyAlignment="1">
      <alignment horizontal="center" vertical="center" wrapText="1"/>
    </xf>
    <xf numFmtId="0" fontId="35" fillId="40" borderId="45" xfId="0" applyFont="1" applyFill="1" applyBorder="1" applyAlignment="1">
      <alignment horizontal="center" vertical="center" wrapText="1"/>
    </xf>
    <xf numFmtId="43" fontId="40" fillId="0" borderId="5" xfId="1" applyNumberFormat="1" applyFont="1" applyBorder="1" applyAlignment="1">
      <alignment horizontal="center" vertical="center" wrapText="1"/>
    </xf>
    <xf numFmtId="43" fontId="40" fillId="0" borderId="1" xfId="1" applyNumberFormat="1" applyFont="1" applyBorder="1" applyAlignment="1">
      <alignment horizontal="center" vertical="center" wrapText="1"/>
    </xf>
    <xf numFmtId="43" fontId="41" fillId="0" borderId="1" xfId="1" applyNumberFormat="1" applyFont="1" applyBorder="1" applyAlignment="1">
      <alignment horizontal="center" vertical="center" wrapText="1"/>
    </xf>
    <xf numFmtId="0" fontId="32" fillId="0" borderId="0" xfId="0" applyFont="1"/>
    <xf numFmtId="0" fontId="0" fillId="0" borderId="0" xfId="0" applyAlignment="1"/>
    <xf numFmtId="0" fontId="0" fillId="0" borderId="0" xfId="0" applyAlignment="1">
      <alignment wrapText="1"/>
    </xf>
    <xf numFmtId="0" fontId="0" fillId="32" borderId="1" xfId="0" applyFill="1" applyBorder="1" applyAlignment="1">
      <alignment horizontal="center"/>
    </xf>
    <xf numFmtId="0" fontId="0" fillId="32" borderId="4" xfId="0" applyFill="1" applyBorder="1" applyAlignment="1">
      <alignment horizontal="center" vertical="center"/>
    </xf>
    <xf numFmtId="0" fontId="0" fillId="30" borderId="1" xfId="0" applyFill="1" applyBorder="1" applyAlignment="1">
      <alignment vertical="center"/>
    </xf>
    <xf numFmtId="0" fontId="0" fillId="30" borderId="46" xfId="0" applyFill="1" applyBorder="1" applyAlignment="1">
      <alignment horizontal="center" vertical="center"/>
    </xf>
    <xf numFmtId="0" fontId="0" fillId="6" borderId="1" xfId="0" applyFill="1" applyBorder="1"/>
    <xf numFmtId="0" fontId="0" fillId="39" borderId="26" xfId="0" applyFill="1" applyBorder="1"/>
    <xf numFmtId="0" fontId="0" fillId="39" borderId="2" xfId="0" applyFill="1" applyBorder="1" applyAlignment="1">
      <alignment horizontal="center" vertical="center"/>
    </xf>
    <xf numFmtId="0" fontId="0" fillId="39" borderId="3" xfId="0" applyFill="1" applyBorder="1" applyAlignment="1">
      <alignment horizontal="center" vertical="center"/>
    </xf>
    <xf numFmtId="0" fontId="0" fillId="39" borderId="27" xfId="0" applyFill="1" applyBorder="1" applyAlignment="1">
      <alignment horizontal="center" vertical="center"/>
    </xf>
    <xf numFmtId="0" fontId="42" fillId="32" borderId="1" xfId="0" applyFont="1" applyFill="1" applyBorder="1" applyAlignment="1">
      <alignment horizontal="center" vertical="center" wrapText="1"/>
    </xf>
    <xf numFmtId="0" fontId="56" fillId="32" borderId="1" xfId="0" applyFont="1" applyFill="1" applyBorder="1" applyAlignment="1">
      <alignment horizontal="center" vertical="center" wrapText="1"/>
    </xf>
    <xf numFmtId="0" fontId="56" fillId="32" borderId="2" xfId="0" applyFont="1" applyFill="1" applyBorder="1" applyAlignment="1">
      <alignment horizontal="center" vertical="center" wrapText="1"/>
    </xf>
    <xf numFmtId="0" fontId="42" fillId="32" borderId="28" xfId="0" applyFont="1" applyFill="1" applyBorder="1" applyAlignment="1">
      <alignment horizontal="center" vertical="center" wrapText="1"/>
    </xf>
    <xf numFmtId="0" fontId="56" fillId="32" borderId="29" xfId="0" applyFont="1" applyFill="1" applyBorder="1" applyAlignment="1">
      <alignment horizontal="center" vertical="center" wrapText="1"/>
    </xf>
    <xf numFmtId="0" fontId="0" fillId="0" borderId="28" xfId="0" applyBorder="1"/>
    <xf numFmtId="0" fontId="0" fillId="50" borderId="5" xfId="0" applyFill="1" applyBorder="1" applyAlignment="1">
      <alignment horizontal="center" vertical="center"/>
    </xf>
    <xf numFmtId="0" fontId="0" fillId="6" borderId="5" xfId="0" applyFill="1" applyBorder="1" applyAlignment="1">
      <alignment horizontal="center" vertical="center"/>
    </xf>
    <xf numFmtId="0" fontId="0" fillId="6" borderId="48" xfId="0" applyFill="1" applyBorder="1" applyAlignment="1">
      <alignment horizontal="center" vertical="center"/>
    </xf>
    <xf numFmtId="0" fontId="0" fillId="34" borderId="1" xfId="0" applyFill="1" applyBorder="1" applyAlignment="1">
      <alignment horizontal="center"/>
    </xf>
    <xf numFmtId="0" fontId="0" fillId="34" borderId="1" xfId="0" applyFill="1" applyBorder="1" applyAlignment="1">
      <alignment horizontal="center" vertical="center"/>
    </xf>
    <xf numFmtId="0" fontId="0" fillId="51" borderId="1" xfId="0" applyFill="1" applyBorder="1" applyAlignment="1">
      <alignment horizontal="center"/>
    </xf>
    <xf numFmtId="0" fontId="32" fillId="34" borderId="1" xfId="0" applyFont="1" applyFill="1" applyBorder="1" applyAlignment="1">
      <alignment horizontal="center"/>
    </xf>
    <xf numFmtId="0" fontId="36" fillId="34" borderId="1" xfId="0" applyFont="1" applyFill="1" applyBorder="1" applyAlignment="1">
      <alignment horizontal="center" vertical="center" wrapText="1"/>
    </xf>
    <xf numFmtId="0" fontId="40" fillId="34" borderId="1" xfId="0" applyFont="1" applyFill="1" applyBorder="1" applyAlignment="1">
      <alignment horizontal="center" vertical="center" wrapText="1"/>
    </xf>
    <xf numFmtId="0" fontId="35" fillId="0" borderId="28" xfId="0" applyFont="1" applyBorder="1" applyAlignment="1">
      <alignment horizontal="center" vertical="center" wrapText="1"/>
    </xf>
    <xf numFmtId="0" fontId="35" fillId="0" borderId="29" xfId="0" applyFont="1" applyBorder="1" applyAlignment="1">
      <alignment horizontal="center" vertical="center" wrapText="1"/>
    </xf>
    <xf numFmtId="0" fontId="0" fillId="50" borderId="1" xfId="0" applyFill="1" applyBorder="1" applyAlignment="1">
      <alignment horizontal="center" vertical="center"/>
    </xf>
    <xf numFmtId="0" fontId="0" fillId="6" borderId="1" xfId="0" applyFill="1" applyBorder="1" applyAlignment="1">
      <alignment horizontal="center" vertical="center"/>
    </xf>
    <xf numFmtId="0" fontId="35" fillId="0" borderId="2" xfId="0" applyFont="1" applyBorder="1" applyAlignment="1">
      <alignment horizontal="center" vertical="center" wrapText="1"/>
    </xf>
    <xf numFmtId="0" fontId="32" fillId="0" borderId="28" xfId="0" applyFont="1" applyBorder="1" applyAlignment="1">
      <alignment horizontal="right"/>
    </xf>
    <xf numFmtId="0" fontId="0" fillId="0" borderId="4" xfId="0" applyBorder="1" applyAlignment="1">
      <alignment horizontal="center" vertical="center"/>
    </xf>
    <xf numFmtId="0" fontId="0" fillId="0" borderId="46" xfId="0" applyBorder="1" applyAlignment="1">
      <alignment horizontal="center" vertical="center"/>
    </xf>
    <xf numFmtId="0" fontId="32" fillId="0" borderId="1" xfId="0" applyFont="1" applyFill="1" applyBorder="1" applyAlignment="1">
      <alignment horizontal="center"/>
    </xf>
    <xf numFmtId="0" fontId="0" fillId="0" borderId="1" xfId="0" applyFont="1" applyBorder="1"/>
    <xf numFmtId="0" fontId="35" fillId="0" borderId="59" xfId="0" applyFont="1" applyBorder="1" applyAlignment="1">
      <alignment horizontal="center" vertical="center" wrapText="1"/>
    </xf>
    <xf numFmtId="0" fontId="0" fillId="50" borderId="0" xfId="0" applyFill="1" applyAlignment="1">
      <alignment horizontal="center"/>
    </xf>
    <xf numFmtId="0" fontId="0" fillId="5" borderId="28" xfId="0" applyFill="1" applyBorder="1"/>
    <xf numFmtId="0" fontId="0" fillId="5" borderId="1" xfId="0" applyFill="1" applyBorder="1" applyAlignment="1">
      <alignment horizontal="center" vertical="center"/>
    </xf>
    <xf numFmtId="0" fontId="0" fillId="5" borderId="0" xfId="0" applyFill="1" applyAlignment="1">
      <alignment horizontal="center"/>
    </xf>
    <xf numFmtId="0" fontId="0" fillId="51" borderId="1" xfId="0" applyFont="1" applyFill="1" applyBorder="1" applyAlignment="1">
      <alignment horizontal="center"/>
    </xf>
    <xf numFmtId="0" fontId="32" fillId="0" borderId="37" xfId="0" applyFont="1" applyBorder="1" applyAlignment="1">
      <alignment horizontal="center" vertical="center"/>
    </xf>
    <xf numFmtId="0" fontId="57" fillId="39" borderId="1" xfId="0" applyFont="1" applyFill="1" applyBorder="1" applyAlignment="1">
      <alignment horizontal="center" vertical="center" wrapText="1"/>
    </xf>
    <xf numFmtId="0" fontId="57" fillId="40" borderId="1" xfId="0" applyFont="1" applyFill="1" applyBorder="1" applyAlignment="1">
      <alignment horizontal="center" vertical="center" wrapText="1"/>
    </xf>
    <xf numFmtId="0" fontId="57" fillId="40" borderId="29" xfId="0" applyFont="1" applyFill="1" applyBorder="1" applyAlignment="1">
      <alignment horizontal="center" vertical="center" wrapText="1"/>
    </xf>
    <xf numFmtId="0" fontId="57" fillId="39" borderId="28" xfId="0" applyFont="1" applyFill="1" applyBorder="1" applyAlignment="1">
      <alignment vertical="center" wrapText="1"/>
    </xf>
    <xf numFmtId="0" fontId="58" fillId="39" borderId="1" xfId="0" applyFont="1" applyFill="1" applyBorder="1" applyAlignment="1">
      <alignment vertical="center" wrapText="1"/>
    </xf>
    <xf numFmtId="0" fontId="58" fillId="6" borderId="1" xfId="0" applyFont="1" applyFill="1" applyBorder="1" applyAlignment="1">
      <alignment vertical="center" wrapText="1"/>
    </xf>
    <xf numFmtId="0" fontId="58" fillId="39" borderId="29" xfId="0" applyFont="1" applyFill="1" applyBorder="1" applyAlignment="1">
      <alignment vertical="center" wrapText="1"/>
    </xf>
    <xf numFmtId="0" fontId="58" fillId="0" borderId="28" xfId="0" applyFont="1" applyBorder="1" applyAlignment="1">
      <alignment vertical="center" wrapText="1"/>
    </xf>
    <xf numFmtId="0" fontId="58" fillId="0" borderId="1" xfId="0" applyFont="1" applyBorder="1" applyAlignment="1">
      <alignment horizontal="center" vertical="center" wrapText="1"/>
    </xf>
    <xf numFmtId="0" fontId="58" fillId="6" borderId="1" xfId="0" applyFont="1" applyFill="1" applyBorder="1" applyAlignment="1">
      <alignment horizontal="center" vertical="center" wrapText="1"/>
    </xf>
    <xf numFmtId="0" fontId="58" fillId="0" borderId="29" xfId="0" applyFont="1" applyBorder="1" applyAlignment="1">
      <alignment horizontal="center" vertical="center" wrapText="1"/>
    </xf>
    <xf numFmtId="0" fontId="0" fillId="0" borderId="1" xfId="0" applyFont="1" applyBorder="1" applyAlignment="1">
      <alignment wrapText="1"/>
    </xf>
    <xf numFmtId="0" fontId="0" fillId="0" borderId="2" xfId="0" applyFont="1" applyBorder="1" applyAlignment="1">
      <alignment wrapText="1"/>
    </xf>
    <xf numFmtId="0" fontId="57" fillId="0" borderId="28" xfId="0" applyFont="1" applyFill="1" applyBorder="1" applyAlignment="1">
      <alignment horizontal="right" vertical="center" wrapText="1"/>
    </xf>
    <xf numFmtId="0" fontId="57" fillId="0" borderId="1" xfId="0" applyFont="1" applyFill="1" applyBorder="1" applyAlignment="1">
      <alignment horizontal="center" vertical="center" wrapText="1"/>
    </xf>
    <xf numFmtId="0" fontId="57" fillId="6" borderId="1" xfId="0" applyFont="1" applyFill="1" applyBorder="1" applyAlignment="1">
      <alignment horizontal="center" vertical="center" wrapText="1"/>
    </xf>
    <xf numFmtId="0" fontId="57" fillId="0" borderId="29" xfId="0" applyFont="1" applyFill="1" applyBorder="1" applyAlignment="1">
      <alignment horizontal="center" vertical="center" wrapText="1"/>
    </xf>
    <xf numFmtId="0" fontId="58" fillId="39" borderId="1" xfId="0" applyFont="1" applyFill="1" applyBorder="1" applyAlignment="1">
      <alignment horizontal="center" vertical="center" wrapText="1"/>
    </xf>
    <xf numFmtId="0" fontId="58" fillId="39" borderId="29" xfId="0" applyFont="1" applyFill="1" applyBorder="1" applyAlignment="1">
      <alignment horizontal="center" vertical="center" wrapText="1"/>
    </xf>
    <xf numFmtId="0" fontId="57" fillId="0" borderId="36" xfId="0" applyFont="1" applyBorder="1" applyAlignment="1">
      <alignment horizontal="right" vertical="center" wrapText="1"/>
    </xf>
    <xf numFmtId="0" fontId="57" fillId="0" borderId="40" xfId="0" applyFont="1" applyBorder="1" applyAlignment="1">
      <alignment horizontal="center" vertical="center" wrapText="1"/>
    </xf>
    <xf numFmtId="0" fontId="58" fillId="0" borderId="40" xfId="0" applyFont="1" applyBorder="1" applyAlignment="1">
      <alignment horizontal="center" vertical="center" wrapText="1"/>
    </xf>
    <xf numFmtId="0" fontId="58" fillId="0" borderId="37" xfId="0" applyFont="1" applyBorder="1" applyAlignment="1">
      <alignment horizontal="center" vertical="center" wrapText="1"/>
    </xf>
    <xf numFmtId="0" fontId="0" fillId="0" borderId="1" xfId="0" applyBorder="1" applyAlignment="1">
      <alignment wrapText="1"/>
    </xf>
    <xf numFmtId="0" fontId="0" fillId="0" borderId="2" xfId="0" applyBorder="1" applyAlignment="1">
      <alignment wrapText="1"/>
    </xf>
    <xf numFmtId="0" fontId="0" fillId="0" borderId="9" xfId="0" applyBorder="1" applyAlignment="1">
      <alignment horizontal="center"/>
    </xf>
    <xf numFmtId="0" fontId="29" fillId="0" borderId="9" xfId="0" applyFont="1" applyBorder="1" applyAlignment="1">
      <alignment horizontal="right"/>
    </xf>
    <xf numFmtId="0" fontId="35" fillId="0" borderId="9" xfId="0" applyFont="1" applyBorder="1" applyAlignment="1">
      <alignment horizontal="center" vertical="center" wrapText="1"/>
    </xf>
    <xf numFmtId="0" fontId="35" fillId="0" borderId="60" xfId="0" applyFont="1" applyBorder="1" applyAlignment="1">
      <alignment horizontal="center" vertical="center" wrapText="1"/>
    </xf>
    <xf numFmtId="0" fontId="35" fillId="0" borderId="61" xfId="0" applyFont="1" applyBorder="1" applyAlignment="1">
      <alignment horizontal="center" vertical="center" wrapText="1"/>
    </xf>
    <xf numFmtId="0" fontId="35" fillId="0" borderId="62" xfId="0" applyFont="1" applyBorder="1" applyAlignment="1">
      <alignment horizontal="center" vertical="center" wrapText="1"/>
    </xf>
    <xf numFmtId="0" fontId="32" fillId="0" borderId="9" xfId="0" applyFont="1" applyBorder="1" applyAlignment="1">
      <alignment horizontal="center"/>
    </xf>
    <xf numFmtId="0" fontId="0" fillId="0" borderId="5" xfId="0" applyBorder="1" applyAlignment="1">
      <alignment horizontal="center"/>
    </xf>
    <xf numFmtId="0" fontId="29" fillId="0" borderId="5" xfId="0" applyFont="1" applyBorder="1" applyAlignment="1">
      <alignment horizontal="right"/>
    </xf>
    <xf numFmtId="0" fontId="35" fillId="0" borderId="5" xfId="0" applyFont="1" applyBorder="1" applyAlignment="1">
      <alignment horizontal="center" vertical="center" wrapText="1"/>
    </xf>
    <xf numFmtId="0" fontId="35" fillId="0" borderId="22" xfId="0" applyFont="1" applyBorder="1" applyAlignment="1">
      <alignment horizontal="center" vertical="center" wrapText="1"/>
    </xf>
    <xf numFmtId="0" fontId="35" fillId="0" borderId="63" xfId="0" applyFont="1" applyBorder="1" applyAlignment="1">
      <alignment horizontal="center" vertical="center" wrapText="1"/>
    </xf>
    <xf numFmtId="0" fontId="35" fillId="0" borderId="64" xfId="0" applyFont="1" applyBorder="1" applyAlignment="1">
      <alignment horizontal="center" vertical="center" wrapText="1"/>
    </xf>
    <xf numFmtId="0" fontId="32" fillId="6" borderId="5" xfId="0" applyFont="1" applyFill="1" applyBorder="1" applyAlignment="1">
      <alignment horizontal="center"/>
    </xf>
    <xf numFmtId="0" fontId="32" fillId="0" borderId="5" xfId="0" applyFont="1" applyBorder="1" applyAlignment="1">
      <alignment horizontal="center"/>
    </xf>
    <xf numFmtId="0" fontId="39" fillId="32" borderId="1" xfId="0" applyFont="1" applyFill="1" applyBorder="1" applyAlignment="1">
      <alignment horizontal="center"/>
    </xf>
    <xf numFmtId="0" fontId="40" fillId="0" borderId="1" xfId="0" applyFont="1" applyFill="1" applyBorder="1" applyAlignment="1">
      <alignment horizontal="center" vertical="center" wrapText="1"/>
    </xf>
    <xf numFmtId="0" fontId="35" fillId="36" borderId="19" xfId="0" applyFont="1" applyFill="1" applyBorder="1" applyAlignment="1">
      <alignment horizontal="center" vertical="center" wrapText="1"/>
    </xf>
    <xf numFmtId="0" fontId="35" fillId="36" borderId="22" xfId="0" applyFont="1" applyFill="1" applyBorder="1" applyAlignment="1">
      <alignment horizontal="center" vertical="center" wrapText="1"/>
    </xf>
    <xf numFmtId="0" fontId="35" fillId="0" borderId="1" xfId="0" applyFont="1" applyFill="1" applyBorder="1" applyAlignment="1">
      <alignment horizontal="right" vertical="center" wrapText="1"/>
    </xf>
    <xf numFmtId="0" fontId="36" fillId="0" borderId="1" xfId="0" applyFont="1" applyFill="1" applyBorder="1" applyAlignment="1">
      <alignment horizontal="center" vertical="center" wrapText="1"/>
    </xf>
    <xf numFmtId="10" fontId="40" fillId="0" borderId="1" xfId="4" applyNumberFormat="1" applyFont="1" applyFill="1" applyBorder="1" applyAlignment="1">
      <alignment horizontal="center" vertical="center" wrapText="1"/>
    </xf>
    <xf numFmtId="0" fontId="24" fillId="0" borderId="0" xfId="0" applyFont="1" applyFill="1" applyBorder="1" applyAlignment="1">
      <alignment horizontal="left" vertical="center" indent="2"/>
    </xf>
    <xf numFmtId="4" fontId="25" fillId="48" borderId="0" xfId="0" applyNumberFormat="1" applyFont="1" applyFill="1" applyBorder="1" applyAlignment="1">
      <alignment horizontal="center" vertical="center"/>
    </xf>
    <xf numFmtId="0" fontId="25" fillId="48" borderId="0" xfId="0" applyFont="1" applyFill="1" applyBorder="1" applyAlignment="1">
      <alignment horizontal="center" vertical="center"/>
    </xf>
    <xf numFmtId="0" fontId="40" fillId="0" borderId="5" xfId="0" applyFont="1" applyFill="1" applyBorder="1" applyAlignment="1">
      <alignment horizontal="center" vertical="center" wrapText="1"/>
    </xf>
    <xf numFmtId="10" fontId="40" fillId="0" borderId="1" xfId="0" applyNumberFormat="1" applyFont="1" applyFill="1" applyBorder="1" applyAlignment="1">
      <alignment horizontal="center" vertical="center" wrapText="1"/>
    </xf>
    <xf numFmtId="0" fontId="41" fillId="0" borderId="1" xfId="0" applyFont="1" applyFill="1" applyBorder="1" applyAlignment="1">
      <alignment horizontal="center" vertical="center" wrapText="1"/>
    </xf>
    <xf numFmtId="10" fontId="41" fillId="0" borderId="1" xfId="0" applyNumberFormat="1" applyFont="1" applyFill="1" applyBorder="1" applyAlignment="1">
      <alignment horizontal="center" vertical="center" wrapText="1"/>
    </xf>
    <xf numFmtId="0" fontId="36" fillId="0" borderId="1" xfId="0" applyFont="1" applyFill="1" applyBorder="1" applyAlignment="1">
      <alignment horizontal="right" vertical="center" wrapText="1"/>
    </xf>
    <xf numFmtId="0" fontId="36" fillId="0" borderId="5" xfId="0" applyFont="1" applyFill="1" applyBorder="1" applyAlignment="1">
      <alignment horizontal="center" vertical="center" wrapText="1"/>
    </xf>
    <xf numFmtId="0" fontId="35" fillId="0" borderId="1" xfId="0" applyFont="1" applyFill="1" applyBorder="1" applyAlignment="1">
      <alignment horizontal="center" vertical="center" wrapText="1"/>
    </xf>
    <xf numFmtId="10" fontId="36" fillId="0" borderId="1" xfId="0" applyNumberFormat="1" applyFont="1" applyFill="1" applyBorder="1" applyAlignment="1">
      <alignment horizontal="center" vertical="center" wrapText="1"/>
    </xf>
    <xf numFmtId="10" fontId="36" fillId="0" borderId="5" xfId="4" applyNumberFormat="1" applyFont="1" applyFill="1" applyBorder="1" applyAlignment="1">
      <alignment horizontal="center" vertical="center" wrapText="1"/>
    </xf>
    <xf numFmtId="3" fontId="35" fillId="0" borderId="1" xfId="0" applyNumberFormat="1" applyFont="1" applyFill="1" applyBorder="1" applyAlignment="1">
      <alignment horizontal="center" vertical="center" wrapText="1"/>
    </xf>
    <xf numFmtId="10" fontId="35" fillId="0" borderId="1" xfId="0" applyNumberFormat="1" applyFont="1" applyFill="1" applyBorder="1" applyAlignment="1">
      <alignment horizontal="center" vertical="center" wrapText="1"/>
    </xf>
    <xf numFmtId="0" fontId="36" fillId="0" borderId="1" xfId="0" applyFont="1" applyFill="1" applyBorder="1" applyAlignment="1">
      <alignment vertical="center" wrapText="1"/>
    </xf>
    <xf numFmtId="10" fontId="40" fillId="0" borderId="1" xfId="0" applyNumberFormat="1" applyFont="1" applyFill="1" applyBorder="1" applyAlignment="1">
      <alignment horizontal="right" vertical="center" wrapText="1"/>
    </xf>
    <xf numFmtId="0" fontId="36" fillId="0" borderId="4" xfId="0" applyFont="1" applyFill="1" applyBorder="1" applyAlignment="1">
      <alignment vertical="center" wrapText="1"/>
    </xf>
    <xf numFmtId="0" fontId="40" fillId="0" borderId="4" xfId="0" applyFont="1" applyFill="1" applyBorder="1" applyAlignment="1">
      <alignment horizontal="center" vertical="center" wrapText="1"/>
    </xf>
    <xf numFmtId="10" fontId="40" fillId="0" borderId="4" xfId="0" applyNumberFormat="1" applyFont="1" applyFill="1" applyBorder="1" applyAlignment="1">
      <alignment horizontal="right" vertical="center" wrapText="1"/>
    </xf>
    <xf numFmtId="0" fontId="36" fillId="0" borderId="28" xfId="0" applyFont="1" applyFill="1" applyBorder="1" applyAlignment="1">
      <alignment vertical="center" wrapText="1"/>
    </xf>
    <xf numFmtId="10" fontId="40" fillId="0" borderId="29" xfId="0" applyNumberFormat="1" applyFont="1" applyFill="1" applyBorder="1" applyAlignment="1">
      <alignment horizontal="right" vertical="center" wrapText="1"/>
    </xf>
    <xf numFmtId="0" fontId="36" fillId="0" borderId="36" xfId="0" applyFont="1" applyFill="1" applyBorder="1" applyAlignment="1">
      <alignment vertical="center" wrapText="1"/>
    </xf>
    <xf numFmtId="0" fontId="40" fillId="0" borderId="40" xfId="0" applyFont="1" applyFill="1" applyBorder="1" applyAlignment="1">
      <alignment horizontal="center" vertical="center" wrapText="1"/>
    </xf>
    <xf numFmtId="10" fontId="40" fillId="0" borderId="40" xfId="0" applyNumberFormat="1" applyFont="1" applyFill="1" applyBorder="1" applyAlignment="1">
      <alignment horizontal="right" vertical="center" wrapText="1"/>
    </xf>
    <xf numFmtId="10" fontId="40" fillId="0" borderId="37" xfId="0" applyNumberFormat="1" applyFont="1" applyFill="1" applyBorder="1" applyAlignment="1">
      <alignment horizontal="right" vertical="center" wrapText="1"/>
    </xf>
    <xf numFmtId="0" fontId="36" fillId="0" borderId="5" xfId="0" applyFont="1" applyFill="1" applyBorder="1" applyAlignment="1">
      <alignment vertical="center" wrapText="1"/>
    </xf>
    <xf numFmtId="10" fontId="40" fillId="0" borderId="5" xfId="0" applyNumberFormat="1" applyFont="1" applyFill="1" applyBorder="1" applyAlignment="1">
      <alignment horizontal="right" vertical="center" wrapText="1"/>
    </xf>
    <xf numFmtId="10" fontId="41" fillId="0" borderId="1" xfId="0" applyNumberFormat="1" applyFont="1" applyFill="1" applyBorder="1" applyAlignment="1">
      <alignment horizontal="right" vertical="center" wrapText="1"/>
    </xf>
    <xf numFmtId="10" fontId="36" fillId="0" borderId="1" xfId="4" applyNumberFormat="1" applyFont="1" applyFill="1" applyBorder="1" applyAlignment="1">
      <alignment horizontal="center" vertical="center" wrapText="1"/>
    </xf>
    <xf numFmtId="10" fontId="35" fillId="0" borderId="1" xfId="4" applyNumberFormat="1" applyFont="1" applyFill="1" applyBorder="1" applyAlignment="1">
      <alignment horizontal="center" vertical="center" wrapText="1"/>
    </xf>
    <xf numFmtId="10" fontId="41" fillId="0" borderId="1" xfId="4" applyNumberFormat="1" applyFont="1" applyFill="1" applyBorder="1" applyAlignment="1">
      <alignment horizontal="center" vertical="center" wrapText="1"/>
    </xf>
    <xf numFmtId="0" fontId="36" fillId="0" borderId="1" xfId="0" applyFont="1" applyBorder="1" applyAlignment="1">
      <alignment horizontal="justify" vertical="center" wrapText="1"/>
    </xf>
    <xf numFmtId="0" fontId="14" fillId="0" borderId="0" xfId="0" applyFont="1" applyFill="1" applyAlignment="1">
      <alignment horizontal="center"/>
    </xf>
    <xf numFmtId="0" fontId="36" fillId="0" borderId="0" xfId="0" applyFont="1"/>
    <xf numFmtId="0" fontId="36" fillId="0" borderId="0" xfId="0" applyFont="1" applyFill="1"/>
    <xf numFmtId="0" fontId="35" fillId="0" borderId="0" xfId="0" applyFont="1" applyAlignment="1">
      <alignment horizontal="left" vertical="center"/>
    </xf>
    <xf numFmtId="0" fontId="35" fillId="30" borderId="19" xfId="0" applyFont="1" applyFill="1" applyBorder="1" applyAlignment="1">
      <alignment horizontal="center" vertical="center" wrapText="1"/>
    </xf>
    <xf numFmtId="0" fontId="35" fillId="30" borderId="2" xfId="0" applyFont="1" applyFill="1" applyBorder="1" applyAlignment="1">
      <alignment vertical="center"/>
    </xf>
    <xf numFmtId="0" fontId="35" fillId="30" borderId="3" xfId="0" applyFont="1" applyFill="1" applyBorder="1" applyAlignment="1">
      <alignment vertical="center"/>
    </xf>
    <xf numFmtId="0" fontId="35" fillId="30" borderId="3" xfId="0" applyFont="1" applyFill="1" applyBorder="1" applyAlignment="1">
      <alignment horizontal="center" vertical="center"/>
    </xf>
    <xf numFmtId="0" fontId="35" fillId="30" borderId="7" xfId="0" applyFont="1" applyFill="1" applyBorder="1" applyAlignment="1">
      <alignment vertical="center"/>
    </xf>
    <xf numFmtId="0" fontId="35" fillId="30" borderId="4" xfId="0" applyFont="1" applyFill="1" applyBorder="1" applyAlignment="1">
      <alignment horizontal="center" vertical="center" wrapText="1"/>
    </xf>
    <xf numFmtId="0" fontId="35" fillId="30" borderId="45" xfId="0" applyFont="1" applyFill="1" applyBorder="1" applyAlignment="1">
      <alignment horizontal="center" vertical="center" wrapText="1"/>
    </xf>
    <xf numFmtId="0" fontId="35" fillId="39" borderId="45" xfId="0" applyFont="1" applyFill="1" applyBorder="1" applyAlignment="1">
      <alignment horizontal="center" vertical="center"/>
    </xf>
    <xf numFmtId="49" fontId="35" fillId="39" borderId="45" xfId="0" applyNumberFormat="1" applyFont="1" applyFill="1" applyBorder="1" applyAlignment="1">
      <alignment horizontal="center" vertical="center"/>
    </xf>
    <xf numFmtId="0" fontId="36" fillId="0" borderId="1" xfId="0" applyFont="1" applyFill="1" applyBorder="1" applyAlignment="1">
      <alignment horizontal="center"/>
    </xf>
    <xf numFmtId="0" fontId="36" fillId="0" borderId="1" xfId="0" applyFont="1" applyFill="1" applyBorder="1" applyAlignment="1">
      <alignment horizontal="center" vertical="center"/>
    </xf>
    <xf numFmtId="0" fontId="35" fillId="0" borderId="1" xfId="0" applyFont="1" applyFill="1" applyBorder="1" applyAlignment="1">
      <alignment horizontal="center"/>
    </xf>
    <xf numFmtId="10" fontId="36" fillId="0" borderId="1" xfId="4" applyNumberFormat="1" applyFont="1" applyFill="1" applyBorder="1" applyAlignment="1">
      <alignment horizontal="center"/>
    </xf>
    <xf numFmtId="10" fontId="36" fillId="0" borderId="1" xfId="4" applyNumberFormat="1" applyFont="1" applyFill="1" applyBorder="1" applyAlignment="1">
      <alignment horizontal="center" vertical="center"/>
    </xf>
    <xf numFmtId="0" fontId="36" fillId="0" borderId="0" xfId="0" applyFont="1" applyFill="1" applyBorder="1"/>
    <xf numFmtId="0" fontId="36" fillId="0" borderId="0" xfId="0" applyFont="1" applyBorder="1"/>
    <xf numFmtId="0" fontId="35" fillId="0" borderId="0" xfId="0" applyFont="1" applyAlignment="1">
      <alignment horizontal="center" vertical="center"/>
    </xf>
    <xf numFmtId="0" fontId="35" fillId="0" borderId="0" xfId="0" applyFont="1" applyBorder="1" applyAlignment="1">
      <alignment horizontal="left" vertical="center"/>
    </xf>
    <xf numFmtId="0" fontId="59" fillId="0" borderId="0" xfId="0" applyFont="1"/>
    <xf numFmtId="0" fontId="59" fillId="0" borderId="0" xfId="0" applyFont="1" applyFill="1"/>
    <xf numFmtId="0" fontId="59" fillId="0" borderId="0" xfId="0" applyFont="1" applyAlignment="1">
      <alignment horizontal="right"/>
    </xf>
    <xf numFmtId="0" fontId="60" fillId="0" borderId="0" xfId="0" applyFont="1" applyAlignment="1">
      <alignment horizontal="left" vertical="center"/>
    </xf>
    <xf numFmtId="0" fontId="60" fillId="0" borderId="0" xfId="0" applyFont="1" applyAlignment="1">
      <alignment horizontal="right"/>
    </xf>
    <xf numFmtId="0" fontId="60" fillId="0" borderId="0" xfId="0" applyFont="1" applyAlignment="1">
      <alignment horizontal="center"/>
    </xf>
    <xf numFmtId="0" fontId="60" fillId="36" borderId="1" xfId="0" applyFont="1" applyFill="1" applyBorder="1" applyAlignment="1">
      <alignment horizontal="center" vertical="center" wrapText="1"/>
    </xf>
    <xf numFmtId="0" fontId="60" fillId="36" borderId="50" xfId="0" applyFont="1" applyFill="1" applyBorder="1" applyAlignment="1">
      <alignment horizontal="center" vertical="center" wrapText="1"/>
    </xf>
    <xf numFmtId="0" fontId="60" fillId="36" borderId="51" xfId="0" applyFont="1" applyFill="1" applyBorder="1" applyAlignment="1">
      <alignment horizontal="center" vertical="center" wrapText="1"/>
    </xf>
    <xf numFmtId="0" fontId="60" fillId="0" borderId="0" xfId="0" applyFont="1" applyFill="1" applyBorder="1" applyAlignment="1">
      <alignment horizontal="right" vertical="center" wrapText="1"/>
    </xf>
    <xf numFmtId="0" fontId="60" fillId="6" borderId="0" xfId="0" applyFont="1" applyFill="1" applyBorder="1" applyAlignment="1">
      <alignment horizontal="right" vertical="center" wrapText="1"/>
    </xf>
    <xf numFmtId="0" fontId="59" fillId="0" borderId="0" xfId="0" applyFont="1" applyAlignment="1">
      <alignment horizontal="center"/>
    </xf>
    <xf numFmtId="0" fontId="59" fillId="6" borderId="0" xfId="0" applyFont="1" applyFill="1" applyAlignment="1">
      <alignment horizontal="center"/>
    </xf>
    <xf numFmtId="0" fontId="59" fillId="0" borderId="1" xfId="0" applyFont="1" applyFill="1" applyBorder="1" applyAlignment="1">
      <alignment horizontal="center" vertical="center" wrapText="1"/>
    </xf>
    <xf numFmtId="0" fontId="59" fillId="0" borderId="52" xfId="0" applyFont="1" applyBorder="1" applyAlignment="1">
      <alignment horizontal="center" vertical="center" wrapText="1"/>
    </xf>
    <xf numFmtId="0" fontId="59" fillId="0" borderId="16" xfId="0" applyFont="1" applyBorder="1" applyAlignment="1">
      <alignment horizontal="center" vertical="center" wrapText="1"/>
    </xf>
    <xf numFmtId="0" fontId="60" fillId="5" borderId="0" xfId="0" applyFont="1" applyFill="1" applyAlignment="1">
      <alignment horizontal="right"/>
    </xf>
    <xf numFmtId="0" fontId="60" fillId="0" borderId="1" xfId="0" applyFont="1" applyFill="1" applyBorder="1" applyAlignment="1">
      <alignment horizontal="right" vertical="center" wrapText="1"/>
    </xf>
    <xf numFmtId="3" fontId="60" fillId="0" borderId="1" xfId="0" applyNumberFormat="1" applyFont="1" applyFill="1" applyBorder="1" applyAlignment="1">
      <alignment horizontal="center" vertical="center" wrapText="1"/>
    </xf>
    <xf numFmtId="0" fontId="60" fillId="0" borderId="52" xfId="0" applyFont="1" applyBorder="1" applyAlignment="1">
      <alignment horizontal="right" vertical="center" wrapText="1"/>
    </xf>
    <xf numFmtId="0" fontId="60" fillId="0" borderId="16" xfId="0" applyFont="1" applyBorder="1" applyAlignment="1">
      <alignment horizontal="center" vertical="center" wrapText="1"/>
    </xf>
    <xf numFmtId="10" fontId="60" fillId="0" borderId="1" xfId="0" applyNumberFormat="1" applyFont="1" applyFill="1" applyBorder="1" applyAlignment="1">
      <alignment horizontal="center" vertical="center" wrapText="1"/>
    </xf>
    <xf numFmtId="0" fontId="59" fillId="0" borderId="52" xfId="0" applyFont="1" applyBorder="1" applyAlignment="1">
      <alignment horizontal="right" vertical="center" wrapText="1"/>
    </xf>
    <xf numFmtId="10" fontId="59" fillId="0" borderId="16" xfId="4" applyNumberFormat="1" applyFont="1" applyBorder="1" applyAlignment="1">
      <alignment horizontal="center" vertical="center" wrapText="1"/>
    </xf>
    <xf numFmtId="0" fontId="60" fillId="30" borderId="19" xfId="0" applyFont="1" applyFill="1" applyBorder="1" applyAlignment="1">
      <alignment horizontal="center" vertical="center" wrapText="1"/>
    </xf>
    <xf numFmtId="0" fontId="60" fillId="30" borderId="2" xfId="0" applyFont="1" applyFill="1" applyBorder="1" applyAlignment="1">
      <alignment vertical="center"/>
    </xf>
    <xf numFmtId="0" fontId="60" fillId="30" borderId="3" xfId="0" applyFont="1" applyFill="1" applyBorder="1" applyAlignment="1">
      <alignment vertical="center"/>
    </xf>
    <xf numFmtId="0" fontId="60" fillId="30" borderId="3" xfId="0" applyFont="1" applyFill="1" applyBorder="1" applyAlignment="1">
      <alignment horizontal="center" vertical="center"/>
    </xf>
    <xf numFmtId="0" fontId="60" fillId="30" borderId="7" xfId="0" applyFont="1" applyFill="1" applyBorder="1" applyAlignment="1">
      <alignment vertical="center"/>
    </xf>
    <xf numFmtId="0" fontId="60" fillId="30" borderId="4" xfId="0" applyFont="1" applyFill="1" applyBorder="1" applyAlignment="1">
      <alignment horizontal="center" vertical="center" wrapText="1"/>
    </xf>
    <xf numFmtId="0" fontId="60" fillId="0" borderId="0" xfId="0" applyFont="1" applyFill="1" applyBorder="1" applyAlignment="1">
      <alignment vertical="center" wrapText="1"/>
    </xf>
    <xf numFmtId="0" fontId="60" fillId="40" borderId="65" xfId="0" applyFont="1" applyFill="1" applyBorder="1" applyAlignment="1">
      <alignment horizontal="center" vertical="center"/>
    </xf>
    <xf numFmtId="0" fontId="60" fillId="40" borderId="66" xfId="0" applyFont="1" applyFill="1" applyBorder="1" applyAlignment="1">
      <alignment horizontal="center" vertical="center"/>
    </xf>
    <xf numFmtId="0" fontId="60" fillId="40" borderId="67" xfId="0" applyFont="1" applyFill="1" applyBorder="1" applyAlignment="1">
      <alignment horizontal="center" vertical="center" wrapText="1"/>
    </xf>
    <xf numFmtId="0" fontId="60" fillId="40" borderId="53" xfId="0" applyFont="1" applyFill="1" applyBorder="1" applyAlignment="1">
      <alignment horizontal="center" vertical="center"/>
    </xf>
    <xf numFmtId="0" fontId="60" fillId="40" borderId="53" xfId="0" applyFont="1" applyFill="1" applyBorder="1" applyAlignment="1">
      <alignment horizontal="center" vertical="center" wrapText="1"/>
    </xf>
    <xf numFmtId="0" fontId="60" fillId="30" borderId="45" xfId="0" applyFont="1" applyFill="1" applyBorder="1" applyAlignment="1">
      <alignment horizontal="center" vertical="center" wrapText="1"/>
    </xf>
    <xf numFmtId="0" fontId="60" fillId="39" borderId="45" xfId="0" applyFont="1" applyFill="1" applyBorder="1" applyAlignment="1">
      <alignment horizontal="center" vertical="center"/>
    </xf>
    <xf numFmtId="49" fontId="60" fillId="39" borderId="45" xfId="0" applyNumberFormat="1" applyFont="1" applyFill="1" applyBorder="1" applyAlignment="1">
      <alignment horizontal="center" vertical="center"/>
    </xf>
    <xf numFmtId="0" fontId="60" fillId="40" borderId="39" xfId="0" applyFont="1" applyFill="1" applyBorder="1" applyAlignment="1">
      <alignment horizontal="center" vertical="center"/>
    </xf>
    <xf numFmtId="0" fontId="60" fillId="40" borderId="45" xfId="0" applyFont="1" applyFill="1" applyBorder="1" applyAlignment="1">
      <alignment horizontal="center" vertical="center"/>
    </xf>
    <xf numFmtId="0" fontId="60" fillId="40" borderId="21" xfId="0" applyFont="1" applyFill="1" applyBorder="1" applyAlignment="1">
      <alignment horizontal="center" vertical="center" wrapText="1"/>
    </xf>
    <xf numFmtId="0" fontId="60" fillId="40" borderId="55" xfId="0" applyFont="1" applyFill="1" applyBorder="1" applyAlignment="1">
      <alignment horizontal="center" vertical="center"/>
    </xf>
    <xf numFmtId="0" fontId="60" fillId="40" borderId="55" xfId="0" applyFont="1" applyFill="1" applyBorder="1" applyAlignment="1">
      <alignment horizontal="center" vertical="center" wrapText="1"/>
    </xf>
    <xf numFmtId="0" fontId="59" fillId="0" borderId="1" xfId="0" applyFont="1" applyFill="1" applyBorder="1" applyAlignment="1">
      <alignment horizontal="center"/>
    </xf>
    <xf numFmtId="0" fontId="59" fillId="0" borderId="1" xfId="0" applyFont="1" applyFill="1" applyBorder="1" applyAlignment="1">
      <alignment horizontal="center" vertical="center"/>
    </xf>
    <xf numFmtId="0" fontId="60" fillId="40" borderId="30" xfId="0" applyFont="1" applyFill="1" applyBorder="1" applyAlignment="1">
      <alignment horizontal="center" vertical="center"/>
    </xf>
    <xf numFmtId="0" fontId="60" fillId="40" borderId="5" xfId="0" applyFont="1" applyFill="1" applyBorder="1" applyAlignment="1">
      <alignment horizontal="center" vertical="center"/>
    </xf>
    <xf numFmtId="0" fontId="60" fillId="40" borderId="22" xfId="0" applyFont="1" applyFill="1" applyBorder="1" applyAlignment="1">
      <alignment horizontal="center" vertical="center" wrapText="1"/>
    </xf>
    <xf numFmtId="0" fontId="60" fillId="40" borderId="68" xfId="0" applyFont="1" applyFill="1" applyBorder="1" applyAlignment="1">
      <alignment horizontal="center" vertical="center"/>
    </xf>
    <xf numFmtId="0" fontId="60" fillId="40" borderId="68" xfId="0" applyFont="1" applyFill="1" applyBorder="1" applyAlignment="1">
      <alignment horizontal="center" vertical="center" wrapText="1"/>
    </xf>
    <xf numFmtId="0" fontId="60" fillId="0" borderId="0" xfId="0" applyFont="1" applyFill="1" applyBorder="1" applyAlignment="1">
      <alignment vertical="center"/>
    </xf>
    <xf numFmtId="10" fontId="60" fillId="0" borderId="0" xfId="4" applyNumberFormat="1" applyFont="1" applyFill="1" applyBorder="1" applyAlignment="1">
      <alignment vertical="center"/>
    </xf>
    <xf numFmtId="0" fontId="59" fillId="0" borderId="28" xfId="0" applyFont="1" applyBorder="1" applyAlignment="1">
      <alignment horizontal="center"/>
    </xf>
    <xf numFmtId="0" fontId="59" fillId="0" borderId="1" xfId="0" applyFont="1" applyBorder="1" applyAlignment="1">
      <alignment horizontal="center" vertical="center"/>
    </xf>
    <xf numFmtId="0" fontId="59" fillId="0" borderId="2" xfId="0" applyFont="1" applyBorder="1" applyAlignment="1">
      <alignment horizontal="center" vertical="center"/>
    </xf>
    <xf numFmtId="0" fontId="59" fillId="0" borderId="28" xfId="0" applyFont="1" applyBorder="1" applyAlignment="1">
      <alignment horizontal="center" vertical="center"/>
    </xf>
    <xf numFmtId="0" fontId="61" fillId="0" borderId="27" xfId="0" applyFont="1" applyFill="1" applyBorder="1" applyAlignment="1">
      <alignment horizontal="center" vertical="center"/>
    </xf>
    <xf numFmtId="0" fontId="60" fillId="0" borderId="0" xfId="0" applyFont="1" applyFill="1" applyBorder="1" applyAlignment="1">
      <alignment horizontal="center" vertical="center"/>
    </xf>
    <xf numFmtId="10" fontId="60" fillId="0" borderId="0" xfId="4" applyNumberFormat="1" applyFont="1" applyFill="1" applyBorder="1" applyAlignment="1">
      <alignment horizontal="center" vertical="center"/>
    </xf>
    <xf numFmtId="0" fontId="60" fillId="0" borderId="1" xfId="0" applyFont="1" applyFill="1" applyBorder="1" applyAlignment="1">
      <alignment horizontal="center"/>
    </xf>
    <xf numFmtId="10" fontId="59" fillId="0" borderId="1" xfId="4" applyNumberFormat="1" applyFont="1" applyFill="1" applyBorder="1" applyAlignment="1">
      <alignment horizontal="center"/>
    </xf>
    <xf numFmtId="10" fontId="59" fillId="0" borderId="1" xfId="4" applyNumberFormat="1" applyFont="1" applyFill="1" applyBorder="1" applyAlignment="1">
      <alignment horizontal="center" vertical="center"/>
    </xf>
    <xf numFmtId="0" fontId="60" fillId="0" borderId="36" xfId="0" applyFont="1" applyBorder="1" applyAlignment="1">
      <alignment horizontal="right"/>
    </xf>
    <xf numFmtId="0" fontId="60" fillId="0" borderId="40" xfId="0" applyFont="1" applyBorder="1" applyAlignment="1">
      <alignment horizontal="center" vertical="center"/>
    </xf>
    <xf numFmtId="0" fontId="60" fillId="0" borderId="42" xfId="0" applyFont="1" applyBorder="1" applyAlignment="1">
      <alignment horizontal="center" vertical="center"/>
    </xf>
    <xf numFmtId="0" fontId="60" fillId="0" borderId="36" xfId="0" applyFont="1" applyBorder="1" applyAlignment="1">
      <alignment horizontal="center" vertical="center"/>
    </xf>
    <xf numFmtId="0" fontId="60" fillId="0" borderId="44" xfId="0" applyFont="1" applyBorder="1" applyAlignment="1">
      <alignment horizontal="center" vertical="center"/>
    </xf>
    <xf numFmtId="0" fontId="16" fillId="0" borderId="0" xfId="0" applyFont="1" applyFill="1" applyBorder="1" applyAlignment="1">
      <alignment vertical="center" wrapText="1"/>
    </xf>
    <xf numFmtId="49" fontId="60" fillId="36" borderId="1" xfId="0" applyNumberFormat="1" applyFont="1" applyFill="1" applyBorder="1" applyAlignment="1">
      <alignment horizontal="center" vertical="center" wrapText="1"/>
    </xf>
    <xf numFmtId="0" fontId="59" fillId="0" borderId="0" xfId="0" applyFont="1" applyFill="1" applyBorder="1" applyAlignment="1"/>
    <xf numFmtId="0" fontId="59" fillId="50" borderId="1" xfId="0" applyFont="1" applyFill="1" applyBorder="1" applyAlignment="1">
      <alignment horizontal="center" vertical="center" wrapText="1"/>
    </xf>
    <xf numFmtId="0" fontId="59" fillId="0" borderId="0" xfId="0" applyFont="1" applyFill="1" applyAlignment="1">
      <alignment horizontal="center" vertical="center"/>
    </xf>
    <xf numFmtId="0" fontId="59" fillId="0" borderId="0" xfId="0" applyFont="1" applyFill="1" applyBorder="1" applyAlignment="1">
      <alignment horizontal="center"/>
    </xf>
    <xf numFmtId="10" fontId="59" fillId="0" borderId="0" xfId="4" applyNumberFormat="1" applyFont="1" applyFill="1" applyBorder="1" applyAlignment="1">
      <alignment horizontal="center" vertical="center"/>
    </xf>
    <xf numFmtId="0" fontId="59" fillId="0" borderId="0" xfId="0" applyFont="1" applyFill="1" applyBorder="1"/>
    <xf numFmtId="0" fontId="60" fillId="50" borderId="1" xfId="0" applyFont="1" applyFill="1" applyBorder="1" applyAlignment="1">
      <alignment horizontal="right" vertical="center" wrapText="1"/>
    </xf>
    <xf numFmtId="0" fontId="60" fillId="50" borderId="1" xfId="0" applyFont="1" applyFill="1" applyBorder="1" applyAlignment="1">
      <alignment horizontal="center" vertical="center" wrapText="1"/>
    </xf>
    <xf numFmtId="10" fontId="59" fillId="50" borderId="1" xfId="0" applyNumberFormat="1" applyFont="1" applyFill="1" applyBorder="1" applyAlignment="1">
      <alignment horizontal="center" vertical="center" wrapText="1"/>
    </xf>
    <xf numFmtId="0" fontId="60" fillId="36" borderId="4" xfId="0" applyFont="1" applyFill="1" applyBorder="1" applyAlignment="1">
      <alignment horizontal="center" vertical="center"/>
    </xf>
    <xf numFmtId="0" fontId="60" fillId="36" borderId="8" xfId="0" applyFont="1" applyFill="1" applyBorder="1" applyAlignment="1">
      <alignment horizontal="center" vertical="center"/>
    </xf>
    <xf numFmtId="0" fontId="60" fillId="32" borderId="8" xfId="0" applyFont="1" applyFill="1" applyBorder="1" applyAlignment="1">
      <alignment horizontal="center" vertical="center"/>
    </xf>
    <xf numFmtId="0" fontId="60" fillId="36" borderId="5" xfId="0" applyFont="1" applyFill="1" applyBorder="1" applyAlignment="1">
      <alignment horizontal="center" vertical="center"/>
    </xf>
    <xf numFmtId="0" fontId="60" fillId="36" borderId="23" xfId="0" applyFont="1" applyFill="1" applyBorder="1" applyAlignment="1">
      <alignment horizontal="center" vertical="center"/>
    </xf>
    <xf numFmtId="0" fontId="60" fillId="36" borderId="23" xfId="0" applyFont="1" applyFill="1" applyBorder="1" applyAlignment="1">
      <alignment horizontal="center" vertical="top"/>
    </xf>
    <xf numFmtId="0" fontId="60" fillId="32" borderId="23" xfId="0" applyFont="1" applyFill="1" applyBorder="1" applyAlignment="1">
      <alignment horizontal="center" vertical="center"/>
    </xf>
    <xf numFmtId="0" fontId="59" fillId="50" borderId="5" xfId="0" applyFont="1" applyFill="1" applyBorder="1" applyAlignment="1">
      <alignment horizontal="center" vertical="center" wrapText="1"/>
    </xf>
    <xf numFmtId="0" fontId="59" fillId="50" borderId="1" xfId="0" applyFont="1" applyFill="1" applyBorder="1" applyAlignment="1">
      <alignment horizontal="right" vertical="center" wrapText="1"/>
    </xf>
    <xf numFmtId="10" fontId="59" fillId="50" borderId="5" xfId="4" applyNumberFormat="1" applyFont="1" applyFill="1" applyBorder="1" applyAlignment="1">
      <alignment horizontal="center" vertical="center" wrapText="1"/>
    </xf>
    <xf numFmtId="0" fontId="60" fillId="36" borderId="4" xfId="0" applyFont="1" applyFill="1" applyBorder="1" applyAlignment="1">
      <alignment horizontal="center" vertical="center" wrapText="1"/>
    </xf>
    <xf numFmtId="0" fontId="60" fillId="36" borderId="8" xfId="0" applyFont="1" applyFill="1" applyBorder="1" applyAlignment="1">
      <alignment horizontal="center" vertical="center" wrapText="1"/>
    </xf>
    <xf numFmtId="16" fontId="60" fillId="36" borderId="8" xfId="0" applyNumberFormat="1" applyFont="1" applyFill="1" applyBorder="1" applyAlignment="1">
      <alignment horizontal="center" vertical="center" wrapText="1"/>
    </xf>
    <xf numFmtId="0" fontId="60" fillId="36" borderId="5" xfId="0" applyFont="1" applyFill="1" applyBorder="1" applyAlignment="1">
      <alignment horizontal="center" vertical="center" wrapText="1"/>
    </xf>
    <xf numFmtId="0" fontId="60" fillId="36" borderId="23" xfId="0" applyFont="1" applyFill="1" applyBorder="1" applyAlignment="1">
      <alignment horizontal="center" vertical="center" wrapText="1"/>
    </xf>
    <xf numFmtId="0" fontId="61" fillId="50" borderId="5" xfId="0" applyFont="1" applyFill="1" applyBorder="1" applyAlignment="1">
      <alignment horizontal="center" vertical="center" wrapText="1"/>
    </xf>
    <xf numFmtId="0" fontId="59" fillId="0" borderId="0" xfId="0" applyFont="1" applyBorder="1"/>
    <xf numFmtId="0" fontId="62" fillId="50" borderId="1" xfId="0" applyFont="1" applyFill="1" applyBorder="1" applyAlignment="1">
      <alignment horizontal="center" vertical="center" wrapText="1"/>
    </xf>
    <xf numFmtId="10" fontId="61" fillId="50" borderId="1" xfId="0" applyNumberFormat="1" applyFont="1" applyFill="1" applyBorder="1" applyAlignment="1">
      <alignment horizontal="center" vertical="center" wrapText="1"/>
    </xf>
    <xf numFmtId="0" fontId="60" fillId="36" borderId="5" xfId="0" applyFont="1" applyFill="1" applyBorder="1" applyAlignment="1">
      <alignment vertical="center" wrapText="1"/>
    </xf>
    <xf numFmtId="0" fontId="60" fillId="39" borderId="7" xfId="0" applyFont="1" applyFill="1" applyBorder="1" applyAlignment="1">
      <alignment horizontal="center" vertical="center" wrapText="1"/>
    </xf>
    <xf numFmtId="0" fontId="60" fillId="39" borderId="1" xfId="0" applyFont="1" applyFill="1" applyBorder="1" applyAlignment="1">
      <alignment horizontal="center" vertical="center" wrapText="1"/>
    </xf>
    <xf numFmtId="0" fontId="60" fillId="39" borderId="5" xfId="0" applyFont="1" applyFill="1" applyBorder="1" applyAlignment="1">
      <alignment vertical="center" wrapText="1"/>
    </xf>
    <xf numFmtId="0" fontId="59" fillId="50" borderId="1" xfId="0" applyFont="1" applyFill="1" applyBorder="1" applyAlignment="1">
      <alignment vertical="center" wrapText="1"/>
    </xf>
    <xf numFmtId="0" fontId="61" fillId="50" borderId="1" xfId="0" applyFont="1" applyFill="1" applyBorder="1" applyAlignment="1">
      <alignment horizontal="center" vertical="center" wrapText="1"/>
    </xf>
    <xf numFmtId="10" fontId="61" fillId="50" borderId="1" xfId="0" applyNumberFormat="1" applyFont="1" applyFill="1" applyBorder="1" applyAlignment="1">
      <alignment horizontal="right" vertical="center" wrapText="1"/>
    </xf>
    <xf numFmtId="0" fontId="59" fillId="50" borderId="4" xfId="0" applyFont="1" applyFill="1" applyBorder="1" applyAlignment="1">
      <alignment vertical="center" wrapText="1"/>
    </xf>
    <xf numFmtId="0" fontId="61" fillId="50" borderId="4" xfId="0" applyFont="1" applyFill="1" applyBorder="1" applyAlignment="1">
      <alignment horizontal="center" vertical="center" wrapText="1"/>
    </xf>
    <xf numFmtId="10" fontId="61" fillId="50" borderId="4" xfId="0" applyNumberFormat="1" applyFont="1" applyFill="1" applyBorder="1" applyAlignment="1">
      <alignment horizontal="right" vertical="center" wrapText="1"/>
    </xf>
    <xf numFmtId="0" fontId="60" fillId="39" borderId="32" xfId="0" applyFont="1" applyFill="1" applyBorder="1" applyAlignment="1">
      <alignment vertical="center" wrapText="1"/>
    </xf>
    <xf numFmtId="0" fontId="61" fillId="39" borderId="35" xfId="0" applyFont="1" applyFill="1" applyBorder="1" applyAlignment="1">
      <alignment horizontal="center" vertical="center" wrapText="1"/>
    </xf>
    <xf numFmtId="10" fontId="61" fillId="39" borderId="35" xfId="0" applyNumberFormat="1" applyFont="1" applyFill="1" applyBorder="1" applyAlignment="1">
      <alignment horizontal="right" vertical="center" wrapText="1"/>
    </xf>
    <xf numFmtId="10" fontId="61" fillId="39" borderId="33" xfId="0" applyNumberFormat="1" applyFont="1" applyFill="1" applyBorder="1" applyAlignment="1">
      <alignment horizontal="right" vertical="center" wrapText="1"/>
    </xf>
    <xf numFmtId="0" fontId="59" fillId="50" borderId="28" xfId="0" applyFont="1" applyFill="1" applyBorder="1" applyAlignment="1">
      <alignment vertical="center" wrapText="1"/>
    </xf>
    <xf numFmtId="10" fontId="61" fillId="50" borderId="29" xfId="0" applyNumberFormat="1" applyFont="1" applyFill="1" applyBorder="1" applyAlignment="1">
      <alignment horizontal="right" vertical="center" wrapText="1"/>
    </xf>
    <xf numFmtId="0" fontId="59" fillId="50" borderId="36" xfId="0" applyFont="1" applyFill="1" applyBorder="1" applyAlignment="1">
      <alignment vertical="center" wrapText="1"/>
    </xf>
    <xf numFmtId="0" fontId="61" fillId="50" borderId="40" xfId="0" applyFont="1" applyFill="1" applyBorder="1" applyAlignment="1">
      <alignment horizontal="center" vertical="center" wrapText="1"/>
    </xf>
    <xf numFmtId="10" fontId="61" fillId="50" borderId="40" xfId="0" applyNumberFormat="1" applyFont="1" applyFill="1" applyBorder="1" applyAlignment="1">
      <alignment horizontal="right" vertical="center" wrapText="1"/>
    </xf>
    <xf numFmtId="10" fontId="61" fillId="50" borderId="37" xfId="0" applyNumberFormat="1" applyFont="1" applyFill="1" applyBorder="1" applyAlignment="1">
      <alignment horizontal="right" vertical="center" wrapText="1"/>
    </xf>
    <xf numFmtId="0" fontId="61" fillId="39" borderId="5" xfId="0" applyFont="1" applyFill="1" applyBorder="1" applyAlignment="1">
      <alignment horizontal="center" vertical="center" wrapText="1"/>
    </xf>
    <xf numFmtId="10" fontId="61" fillId="39" borderId="5" xfId="0" applyNumberFormat="1" applyFont="1" applyFill="1" applyBorder="1" applyAlignment="1">
      <alignment horizontal="right" vertical="center" wrapText="1"/>
    </xf>
    <xf numFmtId="0" fontId="59" fillId="50" borderId="5" xfId="0" applyFont="1" applyFill="1" applyBorder="1" applyAlignment="1">
      <alignment vertical="center" wrapText="1"/>
    </xf>
    <xf numFmtId="10" fontId="61" fillId="50" borderId="5" xfId="0" applyNumberFormat="1" applyFont="1" applyFill="1" applyBorder="1" applyAlignment="1">
      <alignment horizontal="right" vertical="center" wrapText="1"/>
    </xf>
    <xf numFmtId="10" fontId="62" fillId="50" borderId="1" xfId="0" applyNumberFormat="1" applyFont="1" applyFill="1" applyBorder="1" applyAlignment="1">
      <alignment horizontal="right" vertical="center" wrapText="1"/>
    </xf>
    <xf numFmtId="0" fontId="60" fillId="36" borderId="2" xfId="0" applyFont="1" applyFill="1" applyBorder="1" applyAlignment="1">
      <alignment horizontal="center" vertical="center" wrapText="1"/>
    </xf>
    <xf numFmtId="0" fontId="60" fillId="36" borderId="28" xfId="0" applyFont="1" applyFill="1" applyBorder="1" applyAlignment="1">
      <alignment horizontal="center" vertical="center" wrapText="1"/>
    </xf>
    <xf numFmtId="0" fontId="60" fillId="36" borderId="29" xfId="0" applyFont="1" applyFill="1" applyBorder="1" applyAlignment="1">
      <alignment horizontal="center" vertical="center" wrapText="1"/>
    </xf>
    <xf numFmtId="0" fontId="59" fillId="0" borderId="1" xfId="0" applyFont="1" applyBorder="1" applyAlignment="1">
      <alignment horizontal="center" vertical="center" wrapText="1"/>
    </xf>
    <xf numFmtId="0" fontId="61" fillId="0" borderId="1" xfId="0" applyFont="1" applyBorder="1" applyAlignment="1">
      <alignment horizontal="center" vertical="center" wrapText="1"/>
    </xf>
    <xf numFmtId="0" fontId="61" fillId="0" borderId="2" xfId="0" applyFont="1" applyBorder="1" applyAlignment="1">
      <alignment horizontal="center" vertical="center" wrapText="1"/>
    </xf>
    <xf numFmtId="0" fontId="61" fillId="0" borderId="28" xfId="0" applyFont="1" applyBorder="1" applyAlignment="1">
      <alignment horizontal="center" vertical="center" wrapText="1"/>
    </xf>
    <xf numFmtId="0" fontId="61" fillId="0" borderId="29" xfId="0" applyFont="1" applyBorder="1" applyAlignment="1">
      <alignment horizontal="center" vertical="center" wrapText="1"/>
    </xf>
    <xf numFmtId="0" fontId="61" fillId="5" borderId="7" xfId="0" applyFont="1" applyFill="1" applyBorder="1" applyAlignment="1">
      <alignment horizontal="center" vertical="center" wrapText="1"/>
    </xf>
    <xf numFmtId="0" fontId="62" fillId="0" borderId="1" xfId="0" applyFont="1" applyBorder="1" applyAlignment="1">
      <alignment horizontal="right" vertical="center" wrapText="1"/>
    </xf>
    <xf numFmtId="0" fontId="62" fillId="0" borderId="1" xfId="0" applyFont="1" applyBorder="1" applyAlignment="1">
      <alignment horizontal="center" vertical="center" wrapText="1"/>
    </xf>
    <xf numFmtId="0" fontId="62" fillId="0" borderId="2" xfId="0" applyFont="1" applyBorder="1" applyAlignment="1">
      <alignment horizontal="center" vertical="center" wrapText="1"/>
    </xf>
    <xf numFmtId="0" fontId="62" fillId="0" borderId="28" xfId="0" applyFont="1" applyBorder="1" applyAlignment="1">
      <alignment horizontal="center" vertical="center" wrapText="1"/>
    </xf>
    <xf numFmtId="0" fontId="62" fillId="0" borderId="29" xfId="0" applyFont="1" applyBorder="1" applyAlignment="1">
      <alignment horizontal="center" vertical="center" wrapText="1"/>
    </xf>
    <xf numFmtId="0" fontId="62" fillId="0" borderId="7" xfId="0" applyFont="1" applyBorder="1" applyAlignment="1">
      <alignment horizontal="center" vertical="center" wrapText="1"/>
    </xf>
    <xf numFmtId="0" fontId="59" fillId="0" borderId="1" xfId="0" applyFont="1" applyBorder="1" applyAlignment="1">
      <alignment horizontal="right" vertical="center" wrapText="1"/>
    </xf>
    <xf numFmtId="10" fontId="61" fillId="0" borderId="1" xfId="0" applyNumberFormat="1" applyFont="1" applyBorder="1" applyAlignment="1">
      <alignment horizontal="center" vertical="center" wrapText="1"/>
    </xf>
    <xf numFmtId="10" fontId="61" fillId="0" borderId="2" xfId="0" applyNumberFormat="1" applyFont="1" applyBorder="1" applyAlignment="1">
      <alignment horizontal="center" vertical="center" wrapText="1"/>
    </xf>
    <xf numFmtId="10" fontId="61" fillId="0" borderId="36" xfId="0" applyNumberFormat="1" applyFont="1" applyBorder="1" applyAlignment="1">
      <alignment horizontal="center" vertical="center" wrapText="1"/>
    </xf>
    <xf numFmtId="10" fontId="61" fillId="0" borderId="37" xfId="0" applyNumberFormat="1" applyFont="1" applyBorder="1" applyAlignment="1">
      <alignment horizontal="center" vertical="center" wrapText="1"/>
    </xf>
    <xf numFmtId="10" fontId="61" fillId="0" borderId="7" xfId="0" applyNumberFormat="1" applyFont="1" applyBorder="1" applyAlignment="1">
      <alignment horizontal="center" vertical="center" wrapText="1"/>
    </xf>
    <xf numFmtId="0" fontId="59" fillId="8" borderId="0" xfId="0" applyFont="1" applyFill="1"/>
    <xf numFmtId="0" fontId="59" fillId="0" borderId="1" xfId="0" applyFont="1" applyBorder="1"/>
    <xf numFmtId="0" fontId="61" fillId="0" borderId="1" xfId="0" applyFont="1" applyFill="1" applyBorder="1" applyAlignment="1">
      <alignment horizontal="center" vertical="center" wrapText="1"/>
    </xf>
    <xf numFmtId="10" fontId="61" fillId="0" borderId="1" xfId="4" applyNumberFormat="1" applyFont="1" applyFill="1" applyBorder="1" applyAlignment="1">
      <alignment horizontal="center" vertical="center" wrapText="1"/>
    </xf>
    <xf numFmtId="0" fontId="59" fillId="0" borderId="0" xfId="0" applyFont="1" applyFill="1" applyBorder="1" applyAlignment="1">
      <alignment vertical="center" wrapText="1"/>
    </xf>
    <xf numFmtId="0" fontId="59" fillId="0" borderId="0" xfId="0" applyFont="1" applyFill="1" applyBorder="1" applyAlignment="1">
      <alignment horizontal="center" vertical="center" wrapText="1"/>
    </xf>
    <xf numFmtId="0" fontId="61" fillId="0" borderId="0" xfId="0" applyFont="1" applyFill="1" applyBorder="1" applyAlignment="1">
      <alignment horizontal="center" vertical="center" wrapText="1"/>
    </xf>
    <xf numFmtId="10" fontId="61" fillId="0" borderId="0" xfId="4" applyNumberFormat="1" applyFont="1" applyFill="1" applyBorder="1" applyAlignment="1">
      <alignment horizontal="center" vertical="center" wrapText="1"/>
    </xf>
    <xf numFmtId="0" fontId="60" fillId="0" borderId="0" xfId="0" applyFont="1" applyAlignment="1">
      <alignment horizontal="center" vertical="center"/>
    </xf>
    <xf numFmtId="0" fontId="17" fillId="0" borderId="0" xfId="0" applyFont="1" applyFill="1" applyAlignment="1">
      <alignment horizontal="center"/>
    </xf>
    <xf numFmtId="0" fontId="60" fillId="36" borderId="1" xfId="0" applyFont="1" applyFill="1" applyBorder="1" applyAlignment="1">
      <alignment horizontal="center" vertical="center"/>
    </xf>
    <xf numFmtId="0" fontId="60" fillId="36" borderId="19" xfId="0" applyFont="1" applyFill="1" applyBorder="1" applyAlignment="1">
      <alignment horizontal="center" vertical="center" wrapText="1"/>
    </xf>
    <xf numFmtId="0" fontId="60" fillId="36" borderId="22" xfId="0" applyFont="1" applyFill="1" applyBorder="1" applyAlignment="1">
      <alignment horizontal="center" vertical="center" wrapText="1"/>
    </xf>
    <xf numFmtId="0" fontId="63" fillId="0" borderId="0" xfId="0" applyFont="1" applyFill="1" applyAlignment="1">
      <alignment horizontal="center"/>
    </xf>
    <xf numFmtId="0" fontId="60" fillId="40" borderId="4" xfId="0" applyFont="1" applyFill="1" applyBorder="1" applyAlignment="1">
      <alignment horizontal="center" vertical="center" wrapText="1"/>
    </xf>
    <xf numFmtId="0" fontId="60" fillId="40" borderId="45" xfId="0" applyFont="1" applyFill="1" applyBorder="1" applyAlignment="1">
      <alignment horizontal="center" vertical="center" wrapText="1"/>
    </xf>
    <xf numFmtId="0" fontId="60" fillId="40" borderId="5" xfId="0" applyFont="1" applyFill="1" applyBorder="1" applyAlignment="1">
      <alignment horizontal="center" vertical="center" wrapText="1"/>
    </xf>
    <xf numFmtId="0" fontId="59" fillId="38" borderId="1" xfId="0" applyFont="1" applyFill="1" applyBorder="1" applyAlignment="1">
      <alignment horizontal="center" vertical="center" wrapText="1"/>
    </xf>
    <xf numFmtId="0" fontId="59" fillId="38" borderId="2" xfId="0" applyFont="1" applyFill="1" applyBorder="1" applyAlignment="1">
      <alignment horizontal="center" vertical="center" wrapText="1"/>
    </xf>
    <xf numFmtId="0" fontId="61" fillId="40" borderId="5" xfId="0" applyFont="1" applyFill="1" applyBorder="1" applyAlignment="1">
      <alignment horizontal="center" vertical="center" wrapText="1"/>
    </xf>
    <xf numFmtId="0" fontId="62" fillId="50" borderId="1" xfId="0" applyFont="1" applyFill="1" applyBorder="1" applyAlignment="1">
      <alignment horizontal="right" vertical="center" wrapText="1"/>
    </xf>
    <xf numFmtId="10" fontId="62" fillId="50" borderId="1" xfId="0" applyNumberFormat="1" applyFont="1" applyFill="1" applyBorder="1" applyAlignment="1">
      <alignment horizontal="center" vertical="center" wrapText="1"/>
    </xf>
    <xf numFmtId="0" fontId="60" fillId="0" borderId="0" xfId="0" applyFont="1" applyBorder="1" applyAlignment="1">
      <alignment horizontal="left" vertical="center"/>
    </xf>
    <xf numFmtId="0" fontId="60" fillId="38" borderId="4" xfId="0" applyFont="1" applyFill="1" applyBorder="1" applyAlignment="1">
      <alignment horizontal="center" vertical="center" wrapText="1"/>
    </xf>
    <xf numFmtId="0" fontId="62" fillId="38" borderId="8" xfId="0" applyFont="1" applyFill="1" applyBorder="1" applyAlignment="1">
      <alignment horizontal="center" vertical="center" wrapText="1"/>
    </xf>
    <xf numFmtId="165" fontId="59" fillId="0" borderId="0" xfId="1" applyNumberFormat="1" applyFont="1" applyFill="1" applyBorder="1" applyAlignment="1">
      <alignment horizontal="center"/>
    </xf>
    <xf numFmtId="0" fontId="60" fillId="38" borderId="45" xfId="0" applyFont="1" applyFill="1" applyBorder="1" applyAlignment="1">
      <alignment horizontal="center" vertical="center" wrapText="1"/>
    </xf>
    <xf numFmtId="0" fontId="62" fillId="38" borderId="20" xfId="0" applyFont="1" applyFill="1" applyBorder="1" applyAlignment="1">
      <alignment horizontal="center" vertical="center" wrapText="1"/>
    </xf>
    <xf numFmtId="165" fontId="63" fillId="0" borderId="0" xfId="1" applyNumberFormat="1" applyFont="1" applyFill="1" applyBorder="1" applyAlignment="1">
      <alignment horizontal="center"/>
    </xf>
    <xf numFmtId="0" fontId="60" fillId="38" borderId="5" xfId="0" applyFont="1" applyFill="1" applyBorder="1" applyAlignment="1">
      <alignment horizontal="center" vertical="center" wrapText="1"/>
    </xf>
    <xf numFmtId="0" fontId="62" fillId="38" borderId="23" xfId="0" applyFont="1" applyFill="1" applyBorder="1" applyAlignment="1">
      <alignment horizontal="center" vertical="center" wrapText="1"/>
    </xf>
    <xf numFmtId="43" fontId="61" fillId="50" borderId="5" xfId="1" applyNumberFormat="1" applyFont="1" applyFill="1" applyBorder="1" applyAlignment="1">
      <alignment horizontal="center" vertical="center" wrapText="1"/>
    </xf>
    <xf numFmtId="43" fontId="61" fillId="50" borderId="1" xfId="1" applyNumberFormat="1" applyFont="1" applyFill="1" applyBorder="1" applyAlignment="1">
      <alignment horizontal="center" vertical="center" wrapText="1"/>
    </xf>
    <xf numFmtId="43" fontId="62" fillId="50" borderId="1" xfId="1" applyNumberFormat="1" applyFont="1" applyFill="1" applyBorder="1" applyAlignment="1">
      <alignment horizontal="center" vertical="center" wrapText="1"/>
    </xf>
    <xf numFmtId="0" fontId="64" fillId="0" borderId="0" xfId="0" applyFont="1" applyAlignment="1">
      <alignment horizontal="left"/>
    </xf>
    <xf numFmtId="0" fontId="64" fillId="0" borderId="0" xfId="0" applyFont="1"/>
    <xf numFmtId="0" fontId="64" fillId="0" borderId="0" xfId="0" applyFont="1" applyBorder="1"/>
    <xf numFmtId="0" fontId="60" fillId="0" borderId="1" xfId="0" applyFont="1" applyBorder="1" applyAlignment="1">
      <alignment horizontal="right" vertical="center" wrapText="1"/>
    </xf>
    <xf numFmtId="0" fontId="60" fillId="0" borderId="1" xfId="0" applyFont="1" applyBorder="1" applyAlignment="1">
      <alignment horizontal="center" vertical="center" wrapText="1"/>
    </xf>
    <xf numFmtId="0" fontId="36" fillId="0" borderId="0" xfId="0" applyFont="1" applyAlignment="1">
      <alignment horizontal="left"/>
    </xf>
    <xf numFmtId="0" fontId="41" fillId="0" borderId="1" xfId="0" applyFont="1" applyFill="1" applyBorder="1" applyAlignment="1">
      <alignment horizontal="right" vertical="center" wrapText="1"/>
    </xf>
    <xf numFmtId="0" fontId="35" fillId="0" borderId="0" xfId="0" applyFont="1" applyBorder="1" applyAlignment="1">
      <alignment horizontal="center" vertical="center" wrapText="1"/>
    </xf>
    <xf numFmtId="0" fontId="36" fillId="0" borderId="1" xfId="0" applyFont="1" applyBorder="1" applyAlignment="1">
      <alignment horizontal="center" vertical="center"/>
    </xf>
    <xf numFmtId="0" fontId="35" fillId="0" borderId="1" xfId="0" applyFont="1" applyFill="1" applyBorder="1" applyAlignment="1">
      <alignment horizontal="center" vertical="center"/>
    </xf>
    <xf numFmtId="0" fontId="36" fillId="0" borderId="28" xfId="0" applyFont="1" applyBorder="1" applyAlignment="1">
      <alignment vertical="center"/>
    </xf>
    <xf numFmtId="0" fontId="35" fillId="6" borderId="1" xfId="0" applyFont="1" applyFill="1" applyBorder="1" applyAlignment="1">
      <alignment horizontal="center" vertical="center"/>
    </xf>
    <xf numFmtId="0" fontId="35" fillId="39" borderId="28" xfId="0" applyFont="1" applyFill="1" applyBorder="1" applyAlignment="1">
      <alignment horizontal="right" vertical="center"/>
    </xf>
    <xf numFmtId="0" fontId="35" fillId="39" borderId="1" xfId="0" applyFont="1" applyFill="1" applyBorder="1" applyAlignment="1">
      <alignment horizontal="center" vertical="center"/>
    </xf>
    <xf numFmtId="0" fontId="35" fillId="0" borderId="1" xfId="0" applyFont="1" applyBorder="1" applyAlignment="1">
      <alignment horizontal="center" vertical="center"/>
    </xf>
    <xf numFmtId="0" fontId="36" fillId="0" borderId="29" xfId="0" applyFont="1" applyBorder="1" applyAlignment="1">
      <alignment horizontal="center" vertical="center"/>
    </xf>
    <xf numFmtId="0" fontId="35" fillId="0" borderId="36" xfId="0" applyFont="1" applyBorder="1" applyAlignment="1">
      <alignment horizontal="right" vertical="center"/>
    </xf>
    <xf numFmtId="0" fontId="35" fillId="0" borderId="40" xfId="0" applyFont="1" applyBorder="1" applyAlignment="1">
      <alignment horizontal="center" vertical="center"/>
    </xf>
    <xf numFmtId="0" fontId="35" fillId="0" borderId="0" xfId="0" applyFont="1"/>
    <xf numFmtId="0" fontId="36" fillId="0" borderId="0" xfId="0" applyFont="1" applyAlignment="1"/>
    <xf numFmtId="0" fontId="36" fillId="0" borderId="0" xfId="0" applyFont="1" applyAlignment="1">
      <alignment wrapText="1"/>
    </xf>
    <xf numFmtId="0" fontId="35" fillId="40" borderId="1" xfId="0" applyFont="1" applyFill="1" applyBorder="1" applyAlignment="1">
      <alignment horizontal="center" vertical="center"/>
    </xf>
    <xf numFmtId="0" fontId="35" fillId="52" borderId="16" xfId="0" applyFont="1" applyFill="1" applyBorder="1" applyAlignment="1">
      <alignment horizontal="center" vertical="center"/>
    </xf>
    <xf numFmtId="0" fontId="35" fillId="38" borderId="16" xfId="0" applyFont="1" applyFill="1" applyBorder="1" applyAlignment="1">
      <alignment horizontal="center" vertical="center"/>
    </xf>
    <xf numFmtId="0" fontId="35" fillId="32" borderId="1" xfId="0" applyFont="1" applyFill="1" applyBorder="1" applyAlignment="1">
      <alignment horizontal="center" vertical="center"/>
    </xf>
    <xf numFmtId="0" fontId="35" fillId="40" borderId="29" xfId="0" applyFont="1" applyFill="1" applyBorder="1" applyAlignment="1">
      <alignment horizontal="center" vertical="center"/>
    </xf>
    <xf numFmtId="0" fontId="36" fillId="0" borderId="18" xfId="0" applyFont="1" applyFill="1" applyBorder="1" applyAlignment="1">
      <alignment horizontal="center" vertical="center"/>
    </xf>
    <xf numFmtId="0" fontId="35" fillId="0" borderId="28" xfId="0" applyFont="1" applyBorder="1" applyAlignment="1">
      <alignment vertical="center"/>
    </xf>
    <xf numFmtId="0" fontId="36" fillId="32" borderId="1" xfId="0" applyFont="1" applyFill="1" applyBorder="1" applyAlignment="1">
      <alignment horizontal="center"/>
    </xf>
    <xf numFmtId="0" fontId="41" fillId="32" borderId="1" xfId="0" applyFont="1" applyFill="1" applyBorder="1" applyAlignment="1">
      <alignment horizontal="center" vertical="center" wrapText="1"/>
    </xf>
    <xf numFmtId="0" fontId="35" fillId="32" borderId="1" xfId="0" applyFont="1" applyFill="1" applyBorder="1" applyAlignment="1">
      <alignment horizontal="center" vertical="center" wrapText="1"/>
    </xf>
    <xf numFmtId="0" fontId="35" fillId="32" borderId="2" xfId="0" applyFont="1" applyFill="1" applyBorder="1" applyAlignment="1">
      <alignment horizontal="center" vertical="center" wrapText="1"/>
    </xf>
    <xf numFmtId="0" fontId="41" fillId="32" borderId="28" xfId="0" applyFont="1" applyFill="1" applyBorder="1" applyAlignment="1">
      <alignment horizontal="center" vertical="center" wrapText="1"/>
    </xf>
    <xf numFmtId="0" fontId="35" fillId="32" borderId="29" xfId="0" applyFont="1" applyFill="1" applyBorder="1" applyAlignment="1">
      <alignment horizontal="center" vertical="center" wrapText="1"/>
    </xf>
    <xf numFmtId="0" fontId="36" fillId="0" borderId="16" xfId="0" applyFont="1" applyFill="1" applyBorder="1" applyAlignment="1">
      <alignment horizontal="center" vertical="center"/>
    </xf>
    <xf numFmtId="0" fontId="36" fillId="0" borderId="1" xfId="0" applyFont="1" applyFill="1" applyBorder="1"/>
    <xf numFmtId="0" fontId="36" fillId="0" borderId="16" xfId="0" applyFont="1" applyFill="1" applyBorder="1" applyAlignment="1">
      <alignment vertical="center"/>
    </xf>
    <xf numFmtId="0" fontId="36" fillId="0" borderId="16" xfId="0" applyFont="1" applyFill="1" applyBorder="1" applyAlignment="1">
      <alignment horizontal="left" vertical="center"/>
    </xf>
    <xf numFmtId="0" fontId="35" fillId="39" borderId="1" xfId="0" applyFont="1" applyFill="1" applyBorder="1" applyAlignment="1">
      <alignment horizontal="right" vertical="center"/>
    </xf>
    <xf numFmtId="0" fontId="35" fillId="39" borderId="1" xfId="0" applyFont="1" applyFill="1" applyBorder="1" applyAlignment="1">
      <alignment horizontal="center"/>
    </xf>
    <xf numFmtId="0" fontId="36" fillId="0" borderId="69" xfId="0" applyFont="1" applyFill="1" applyBorder="1" applyAlignment="1">
      <alignment horizontal="center" vertical="center"/>
    </xf>
    <xf numFmtId="0" fontId="35" fillId="0" borderId="1" xfId="0" applyFont="1" applyFill="1" applyBorder="1" applyAlignment="1">
      <alignment horizontal="right" vertical="center"/>
    </xf>
    <xf numFmtId="0" fontId="36" fillId="0" borderId="0" xfId="0" applyFont="1" applyFill="1" applyAlignment="1">
      <alignment horizontal="right"/>
    </xf>
    <xf numFmtId="0" fontId="36" fillId="0" borderId="1" xfId="0" applyFont="1" applyBorder="1"/>
    <xf numFmtId="0" fontId="36" fillId="0" borderId="1" xfId="0" applyFont="1" applyBorder="1" applyAlignment="1">
      <alignment wrapText="1"/>
    </xf>
    <xf numFmtId="0" fontId="36" fillId="0" borderId="2" xfId="0" applyFont="1" applyBorder="1" applyAlignment="1">
      <alignment wrapText="1"/>
    </xf>
    <xf numFmtId="0" fontId="36" fillId="0" borderId="1" xfId="0" applyFont="1" applyBorder="1" applyAlignment="1">
      <alignment horizontal="right"/>
    </xf>
    <xf numFmtId="0" fontId="36" fillId="39" borderId="9" xfId="0" applyFont="1" applyFill="1" applyBorder="1" applyAlignment="1">
      <alignment horizontal="center"/>
    </xf>
    <xf numFmtId="0" fontId="35" fillId="39" borderId="9" xfId="0" applyFont="1" applyFill="1" applyBorder="1" applyAlignment="1">
      <alignment horizontal="right" vertical="center"/>
    </xf>
    <xf numFmtId="0" fontId="35" fillId="39" borderId="9" xfId="0" applyFont="1" applyFill="1" applyBorder="1" applyAlignment="1">
      <alignment horizontal="center"/>
    </xf>
    <xf numFmtId="0" fontId="36" fillId="0" borderId="5" xfId="0" applyFont="1" applyBorder="1" applyAlignment="1">
      <alignment horizontal="center" vertical="center"/>
    </xf>
    <xf numFmtId="0" fontId="35" fillId="0" borderId="5" xfId="0" applyFont="1" applyBorder="1" applyAlignment="1">
      <alignment horizontal="right" vertical="center"/>
    </xf>
    <xf numFmtId="0" fontId="35" fillId="0" borderId="5" xfId="0" applyFont="1" applyBorder="1" applyAlignment="1">
      <alignment horizontal="center" vertical="center"/>
    </xf>
    <xf numFmtId="0" fontId="36" fillId="0" borderId="28" xfId="0" applyFont="1" applyBorder="1" applyAlignment="1">
      <alignment horizontal="center" vertical="center" wrapText="1"/>
    </xf>
    <xf numFmtId="0" fontId="36" fillId="0" borderId="29" xfId="0" applyFont="1" applyBorder="1" applyAlignment="1">
      <alignment horizontal="center" vertical="center" wrapText="1"/>
    </xf>
    <xf numFmtId="0" fontId="65" fillId="0" borderId="0" xfId="0" applyFont="1" applyAlignment="1">
      <alignment horizontal="right"/>
    </xf>
    <xf numFmtId="0" fontId="65" fillId="0" borderId="0" xfId="0" applyFont="1"/>
    <xf numFmtId="49" fontId="0" fillId="0" borderId="0" xfId="0" applyNumberFormat="1" applyFill="1" applyAlignment="1">
      <alignment horizontal="center"/>
    </xf>
    <xf numFmtId="0" fontId="25" fillId="21" borderId="0" xfId="0" applyFont="1" applyFill="1" applyBorder="1" applyAlignment="1">
      <alignment horizontal="left"/>
    </xf>
    <xf numFmtId="0" fontId="48" fillId="21" borderId="0" xfId="0" applyFont="1" applyFill="1" applyBorder="1" applyAlignment="1">
      <alignment horizontal="center" vertical="center"/>
    </xf>
    <xf numFmtId="1" fontId="25" fillId="21" borderId="0" xfId="1" applyNumberFormat="1" applyFont="1" applyFill="1" applyBorder="1" applyAlignment="1">
      <alignment horizontal="center"/>
    </xf>
    <xf numFmtId="4" fontId="25" fillId="21" borderId="0" xfId="0" applyNumberFormat="1" applyFont="1" applyFill="1" applyBorder="1" applyAlignment="1">
      <alignment horizontal="center" vertical="center"/>
    </xf>
    <xf numFmtId="49" fontId="0" fillId="21" borderId="0" xfId="0" applyNumberFormat="1" applyFill="1" applyAlignment="1">
      <alignment horizontal="center"/>
    </xf>
    <xf numFmtId="165" fontId="25" fillId="21" borderId="0" xfId="1" applyNumberFormat="1" applyFont="1" applyFill="1" applyBorder="1" applyAlignment="1">
      <alignment horizontal="left"/>
    </xf>
    <xf numFmtId="165" fontId="25" fillId="21" borderId="0" xfId="1" applyNumberFormat="1" applyFont="1" applyFill="1" applyBorder="1" applyAlignment="1">
      <alignment horizontal="right"/>
    </xf>
    <xf numFmtId="165" fontId="25" fillId="21" borderId="0" xfId="1" applyNumberFormat="1" applyFont="1" applyFill="1" applyBorder="1"/>
    <xf numFmtId="0" fontId="25" fillId="21" borderId="0" xfId="0" applyFont="1" applyFill="1" applyBorder="1"/>
    <xf numFmtId="165" fontId="29" fillId="21" borderId="0" xfId="1" applyNumberFormat="1" applyFont="1" applyFill="1" applyBorder="1"/>
    <xf numFmtId="2" fontId="24" fillId="6" borderId="0" xfId="1" applyNumberFormat="1" applyFont="1" applyFill="1" applyBorder="1" applyAlignment="1">
      <alignment horizontal="right"/>
    </xf>
    <xf numFmtId="0" fontId="23" fillId="0" borderId="4" xfId="0" applyFont="1" applyBorder="1" applyAlignment="1">
      <alignment horizontal="center" vertical="center" wrapText="1"/>
    </xf>
    <xf numFmtId="0" fontId="23" fillId="0" borderId="3" xfId="0" applyFont="1" applyBorder="1" applyAlignment="1">
      <alignment horizontal="center"/>
    </xf>
    <xf numFmtId="0" fontId="23" fillId="0" borderId="1" xfId="0" applyFont="1" applyBorder="1" applyAlignment="1">
      <alignment horizontal="center" vertical="center" wrapText="1"/>
    </xf>
    <xf numFmtId="0" fontId="50" fillId="0" borderId="1" xfId="0" applyFont="1" applyBorder="1" applyAlignment="1">
      <alignment horizontal="center" vertical="center" wrapText="1"/>
    </xf>
    <xf numFmtId="0" fontId="23" fillId="26" borderId="1" xfId="0" applyFont="1" applyFill="1" applyBorder="1" applyAlignment="1">
      <alignment horizontal="center" vertical="center" wrapText="1"/>
    </xf>
    <xf numFmtId="0" fontId="23" fillId="12" borderId="4" xfId="0" applyFont="1" applyFill="1" applyBorder="1" applyAlignment="1">
      <alignment horizontal="center" vertical="center" wrapText="1"/>
    </xf>
    <xf numFmtId="3" fontId="24" fillId="0" borderId="0" xfId="0" applyNumberFormat="1" applyFont="1" applyFill="1" applyAlignment="1">
      <alignment horizontal="center"/>
    </xf>
    <xf numFmtId="165" fontId="23" fillId="0" borderId="7" xfId="1" applyNumberFormat="1" applyFont="1" applyBorder="1" applyAlignment="1"/>
    <xf numFmtId="172" fontId="28" fillId="0" borderId="0" xfId="0" applyNumberFormat="1" applyFont="1"/>
    <xf numFmtId="0" fontId="28" fillId="0" borderId="0" xfId="0" applyFont="1" applyAlignment="1">
      <alignment horizontal="center" vertical="center"/>
    </xf>
    <xf numFmtId="0" fontId="28" fillId="0" borderId="0" xfId="0" applyFont="1" applyFill="1"/>
    <xf numFmtId="165" fontId="23" fillId="65" borderId="2" xfId="1" applyNumberFormat="1" applyFont="1" applyFill="1" applyBorder="1" applyAlignment="1">
      <alignment horizontal="center"/>
    </xf>
    <xf numFmtId="0" fontId="4" fillId="0" borderId="3" xfId="0" applyFont="1" applyFill="1" applyBorder="1" applyAlignment="1">
      <alignment horizontal="center"/>
    </xf>
    <xf numFmtId="0" fontId="4" fillId="26" borderId="3" xfId="0" applyFont="1" applyFill="1" applyBorder="1" applyAlignment="1">
      <alignment horizontal="center"/>
    </xf>
    <xf numFmtId="0" fontId="4" fillId="26" borderId="3" xfId="0" applyFont="1" applyFill="1" applyBorder="1" applyAlignment="1"/>
    <xf numFmtId="0" fontId="4" fillId="26" borderId="7" xfId="0" applyFont="1" applyFill="1" applyBorder="1" applyAlignment="1"/>
    <xf numFmtId="0" fontId="23" fillId="18" borderId="10" xfId="0" applyFont="1" applyFill="1" applyBorder="1" applyAlignment="1">
      <alignment horizontal="center"/>
    </xf>
    <xf numFmtId="165" fontId="23" fillId="7" borderId="3" xfId="1" applyNumberFormat="1" applyFont="1" applyFill="1" applyBorder="1" applyAlignment="1">
      <alignment horizontal="center"/>
    </xf>
    <xf numFmtId="165" fontId="50" fillId="17" borderId="1" xfId="1" applyNumberFormat="1" applyFont="1" applyFill="1" applyBorder="1" applyAlignment="1">
      <alignment horizontal="center" vertical="center" wrapText="1"/>
    </xf>
    <xf numFmtId="0" fontId="23" fillId="5" borderId="19" xfId="0" applyFont="1" applyFill="1" applyBorder="1" applyAlignment="1">
      <alignment horizontal="center"/>
    </xf>
    <xf numFmtId="0" fontId="23" fillId="5" borderId="8" xfId="0" applyFont="1" applyFill="1" applyBorder="1" applyAlignment="1">
      <alignment horizontal="center"/>
    </xf>
    <xf numFmtId="0" fontId="4" fillId="5" borderId="1" xfId="0" applyFont="1" applyFill="1" applyBorder="1" applyAlignment="1">
      <alignment horizontal="center" vertical="center" wrapText="1"/>
    </xf>
    <xf numFmtId="0" fontId="23" fillId="17" borderId="5" xfId="0" applyFont="1" applyFill="1" applyBorder="1" applyAlignment="1">
      <alignment horizontal="center" vertical="center" wrapText="1"/>
    </xf>
    <xf numFmtId="0" fontId="23" fillId="67" borderId="5" xfId="0" applyFont="1" applyFill="1" applyBorder="1" applyAlignment="1">
      <alignment horizontal="center" vertical="center" wrapText="1"/>
    </xf>
    <xf numFmtId="0" fontId="23" fillId="5" borderId="5" xfId="0" applyFont="1" applyFill="1" applyBorder="1" applyAlignment="1">
      <alignment horizontal="center" vertical="center" wrapText="1"/>
    </xf>
    <xf numFmtId="0" fontId="50" fillId="17" borderId="1" xfId="0" applyFont="1" applyFill="1" applyBorder="1" applyAlignment="1">
      <alignment horizontal="center" vertical="center" wrapText="1"/>
    </xf>
    <xf numFmtId="0" fontId="23" fillId="6" borderId="1" xfId="0" applyFont="1" applyFill="1" applyBorder="1" applyAlignment="1">
      <alignment horizontal="center" vertical="center" wrapText="1"/>
    </xf>
    <xf numFmtId="0" fontId="28" fillId="0" borderId="0" xfId="0" applyFont="1" applyAlignment="1">
      <alignment horizontal="center"/>
    </xf>
    <xf numFmtId="0" fontId="24" fillId="0" borderId="0" xfId="3" quotePrefix="1" applyFont="1" applyFill="1" applyAlignment="1">
      <alignment horizontal="center"/>
    </xf>
    <xf numFmtId="43" fontId="24" fillId="18" borderId="0" xfId="1" applyFont="1" applyFill="1" applyAlignment="1">
      <alignment horizontal="center"/>
    </xf>
    <xf numFmtId="43" fontId="24" fillId="18" borderId="0" xfId="1" applyNumberFormat="1" applyFont="1" applyFill="1" applyAlignment="1">
      <alignment horizontal="center"/>
    </xf>
    <xf numFmtId="0" fontId="24" fillId="0" borderId="0" xfId="3" applyFont="1" applyFill="1" applyAlignment="1">
      <alignment horizontal="center"/>
    </xf>
    <xf numFmtId="165" fontId="24" fillId="7" borderId="0" xfId="1" applyNumberFormat="1" applyFont="1" applyFill="1" applyAlignment="1">
      <alignment horizontal="center"/>
    </xf>
    <xf numFmtId="172" fontId="24" fillId="0" borderId="0" xfId="0" applyNumberFormat="1" applyFont="1" applyFill="1" applyAlignment="1">
      <alignment horizontal="center"/>
    </xf>
    <xf numFmtId="172" fontId="25" fillId="0" borderId="0" xfId="0" applyNumberFormat="1" applyFont="1"/>
    <xf numFmtId="0" fontId="29" fillId="0" borderId="0" xfId="0" applyFont="1" applyAlignment="1">
      <alignment horizontal="center" vertical="center"/>
    </xf>
    <xf numFmtId="0" fontId="29" fillId="0" borderId="0" xfId="0" applyFont="1" applyAlignment="1">
      <alignment horizontal="center"/>
    </xf>
    <xf numFmtId="0" fontId="27" fillId="0" borderId="0" xfId="0" applyFont="1" applyFill="1" applyBorder="1" applyAlignment="1">
      <alignment horizontal="center"/>
    </xf>
    <xf numFmtId="0" fontId="27" fillId="0" borderId="0" xfId="3" applyFont="1" applyFill="1" applyBorder="1" applyAlignment="1">
      <alignment horizontal="center"/>
    </xf>
    <xf numFmtId="0" fontId="24" fillId="0" borderId="0" xfId="3" quotePrefix="1" applyFont="1" applyFill="1" applyBorder="1" applyAlignment="1">
      <alignment horizontal="center"/>
    </xf>
    <xf numFmtId="0" fontId="24" fillId="0" borderId="0" xfId="3" applyFont="1" applyFill="1" applyBorder="1" applyAlignment="1">
      <alignment horizontal="center"/>
    </xf>
    <xf numFmtId="172" fontId="24" fillId="0" borderId="0" xfId="0" applyNumberFormat="1" applyFont="1" applyFill="1" applyBorder="1" applyAlignment="1">
      <alignment horizontal="center"/>
    </xf>
    <xf numFmtId="0" fontId="27" fillId="5" borderId="0" xfId="3" applyFont="1" applyFill="1" applyBorder="1" applyAlignment="1">
      <alignment horizontal="center"/>
    </xf>
    <xf numFmtId="0" fontId="24" fillId="72" borderId="0" xfId="0" applyFont="1" applyFill="1" applyBorder="1" applyAlignment="1">
      <alignment horizontal="center"/>
    </xf>
    <xf numFmtId="43" fontId="24" fillId="0" borderId="0" xfId="1" applyFont="1" applyFill="1" applyBorder="1" applyAlignment="1"/>
    <xf numFmtId="43" fontId="24" fillId="0" borderId="0" xfId="1" quotePrefix="1" applyFont="1" applyFill="1" applyAlignment="1">
      <alignment horizontal="center"/>
    </xf>
    <xf numFmtId="43" fontId="24" fillId="0" borderId="0" xfId="1" applyFont="1" applyFill="1" applyAlignment="1"/>
    <xf numFmtId="43" fontId="27" fillId="0" borderId="0" xfId="1" applyFont="1" applyFill="1" applyAlignment="1"/>
    <xf numFmtId="0" fontId="24" fillId="14" borderId="0" xfId="0" applyFont="1" applyFill="1" applyBorder="1" applyAlignment="1">
      <alignment horizontal="center"/>
    </xf>
    <xf numFmtId="172" fontId="25" fillId="0" borderId="0" xfId="0" applyNumberFormat="1" applyFont="1" applyBorder="1" applyAlignment="1">
      <alignment horizontal="center" vertical="center"/>
    </xf>
    <xf numFmtId="165" fontId="27" fillId="0" borderId="0" xfId="1" applyNumberFormat="1" applyFont="1" applyFill="1" applyAlignment="1">
      <alignment horizontal="center"/>
    </xf>
    <xf numFmtId="43" fontId="27" fillId="0" borderId="0" xfId="1" applyFont="1" applyFill="1" applyAlignment="1">
      <alignment horizontal="center"/>
    </xf>
    <xf numFmtId="0" fontId="24" fillId="0" borderId="0" xfId="0" quotePrefix="1" applyFont="1" applyFill="1" applyAlignment="1">
      <alignment horizontal="center"/>
    </xf>
    <xf numFmtId="43" fontId="24" fillId="18" borderId="0" xfId="1" applyFont="1" applyFill="1" applyBorder="1" applyAlignment="1">
      <alignment horizontal="center"/>
    </xf>
    <xf numFmtId="43" fontId="24" fillId="18" borderId="0" xfId="1" applyNumberFormat="1" applyFont="1" applyFill="1" applyBorder="1" applyAlignment="1">
      <alignment horizontal="center"/>
    </xf>
    <xf numFmtId="165" fontId="24" fillId="7" borderId="0" xfId="1" applyNumberFormat="1" applyFont="1" applyFill="1" applyBorder="1" applyAlignment="1">
      <alignment horizontal="center"/>
    </xf>
    <xf numFmtId="0" fontId="27" fillId="0" borderId="0" xfId="3" quotePrefix="1" applyFont="1" applyFill="1" applyAlignment="1">
      <alignment horizontal="center"/>
    </xf>
    <xf numFmtId="17" fontId="24" fillId="0" borderId="0" xfId="0" applyNumberFormat="1" applyFont="1" applyFill="1" applyAlignment="1">
      <alignment horizontal="center"/>
    </xf>
    <xf numFmtId="1" fontId="24" fillId="0" borderId="0" xfId="1" applyNumberFormat="1" applyFont="1" applyFill="1" applyAlignment="1">
      <alignment horizontal="center"/>
    </xf>
    <xf numFmtId="43" fontId="24" fillId="0" borderId="0" xfId="1" applyFont="1" applyAlignment="1"/>
    <xf numFmtId="172" fontId="24" fillId="0" borderId="0" xfId="0" applyNumberFormat="1" applyFont="1" applyAlignment="1">
      <alignment horizontal="center"/>
    </xf>
    <xf numFmtId="172" fontId="24" fillId="0" borderId="0" xfId="0" applyNumberFormat="1" applyFont="1"/>
    <xf numFmtId="0" fontId="44" fillId="0" borderId="0" xfId="0" applyFont="1" applyFill="1" applyBorder="1" applyAlignment="1">
      <alignment horizontal="center" vertical="center" wrapText="1"/>
    </xf>
    <xf numFmtId="0" fontId="44" fillId="0" borderId="0" xfId="0" applyFont="1" applyBorder="1" applyAlignment="1">
      <alignment horizontal="center" vertical="center" wrapText="1"/>
    </xf>
    <xf numFmtId="0" fontId="24" fillId="0" borderId="0" xfId="0" applyFont="1" applyBorder="1" applyAlignment="1">
      <alignment horizontal="center" vertical="center"/>
    </xf>
    <xf numFmtId="43" fontId="70" fillId="0" borderId="0" xfId="1" applyFont="1" applyFill="1" applyBorder="1" applyAlignment="1">
      <alignment horizontal="center" vertical="center" wrapText="1"/>
    </xf>
    <xf numFmtId="0" fontId="24" fillId="0" borderId="0" xfId="0" applyFont="1" applyBorder="1"/>
    <xf numFmtId="0" fontId="24" fillId="0" borderId="0" xfId="0" applyNumberFormat="1" applyFont="1" applyBorder="1" applyAlignment="1">
      <alignment horizontal="center"/>
    </xf>
    <xf numFmtId="1" fontId="24" fillId="0" borderId="0" xfId="0" applyNumberFormat="1" applyFont="1" applyBorder="1" applyAlignment="1">
      <alignment horizontal="center"/>
    </xf>
    <xf numFmtId="0" fontId="39" fillId="0" borderId="0" xfId="0" applyFont="1"/>
    <xf numFmtId="43" fontId="39" fillId="0" borderId="0" xfId="1" applyFont="1" applyAlignment="1">
      <alignment horizontal="right"/>
    </xf>
    <xf numFmtId="0" fontId="39" fillId="0" borderId="0" xfId="0" applyFont="1" applyAlignment="1">
      <alignment horizontal="center"/>
    </xf>
    <xf numFmtId="0" fontId="39" fillId="0" borderId="0" xfId="0" applyFont="1" applyBorder="1"/>
    <xf numFmtId="0" fontId="39" fillId="0" borderId="0" xfId="0" applyFont="1" applyBorder="1" applyAlignment="1">
      <alignment horizontal="center"/>
    </xf>
    <xf numFmtId="172" fontId="24" fillId="0" borderId="0" xfId="0" applyNumberFormat="1" applyFont="1" applyBorder="1" applyAlignment="1">
      <alignment horizontal="center" vertical="center"/>
    </xf>
    <xf numFmtId="2" fontId="24" fillId="0" borderId="0" xfId="0" applyNumberFormat="1" applyFont="1" applyBorder="1" applyAlignment="1">
      <alignment horizontal="center"/>
    </xf>
    <xf numFmtId="169" fontId="24" fillId="0" borderId="0" xfId="1" applyNumberFormat="1" applyFont="1"/>
    <xf numFmtId="43" fontId="24" fillId="0" borderId="0" xfId="1" applyNumberFormat="1" applyFont="1"/>
    <xf numFmtId="43" fontId="24" fillId="0" borderId="0" xfId="1" applyFont="1"/>
    <xf numFmtId="0" fontId="24" fillId="6" borderId="0" xfId="0" applyFont="1" applyFill="1"/>
    <xf numFmtId="0" fontId="39" fillId="0" borderId="1" xfId="0" applyFont="1" applyFill="1" applyBorder="1" applyAlignment="1">
      <alignment horizontal="left" vertical="center"/>
    </xf>
    <xf numFmtId="0" fontId="39" fillId="0" borderId="0" xfId="0" applyFont="1" applyFill="1" applyBorder="1" applyAlignment="1">
      <alignment horizontal="left" vertical="center"/>
    </xf>
    <xf numFmtId="0" fontId="24" fillId="0" borderId="0" xfId="0" applyFont="1" applyAlignment="1">
      <alignment vertical="center"/>
    </xf>
    <xf numFmtId="172" fontId="24" fillId="0" borderId="0" xfId="0" applyNumberFormat="1" applyFont="1" applyAlignment="1"/>
    <xf numFmtId="0" fontId="24" fillId="0" borderId="0" xfId="0" applyFont="1" applyAlignment="1">
      <alignment horizontal="left"/>
    </xf>
    <xf numFmtId="43" fontId="24" fillId="8" borderId="0" xfId="1" applyFont="1" applyFill="1" applyAlignment="1">
      <alignment horizontal="right"/>
    </xf>
    <xf numFmtId="165" fontId="24" fillId="8" borderId="0" xfId="1" applyNumberFormat="1" applyFont="1" applyFill="1" applyAlignment="1">
      <alignment horizontal="center"/>
    </xf>
    <xf numFmtId="2" fontId="24" fillId="8" borderId="0" xfId="0" applyNumberFormat="1" applyFont="1" applyFill="1" applyAlignment="1">
      <alignment horizontal="center"/>
    </xf>
    <xf numFmtId="169" fontId="24" fillId="8" borderId="0" xfId="1" applyNumberFormat="1" applyFont="1" applyFill="1" applyAlignment="1">
      <alignment horizontal="center"/>
    </xf>
    <xf numFmtId="43" fontId="24" fillId="8" borderId="0" xfId="1" applyFont="1" applyFill="1" applyAlignment="1">
      <alignment horizontal="center"/>
    </xf>
    <xf numFmtId="2" fontId="24" fillId="8" borderId="0" xfId="1" applyNumberFormat="1" applyFont="1" applyFill="1" applyAlignment="1">
      <alignment horizontal="right" vertical="center"/>
    </xf>
    <xf numFmtId="43" fontId="24" fillId="8" borderId="0" xfId="1" applyNumberFormat="1" applyFont="1" applyFill="1" applyAlignment="1">
      <alignment horizontal="center"/>
    </xf>
    <xf numFmtId="0" fontId="24" fillId="8" borderId="0" xfId="0" applyNumberFormat="1" applyFont="1" applyFill="1" applyAlignment="1">
      <alignment horizontal="center"/>
    </xf>
    <xf numFmtId="1" fontId="24" fillId="8" borderId="0" xfId="0" applyNumberFormat="1" applyFont="1" applyFill="1" applyAlignment="1">
      <alignment horizontal="center"/>
    </xf>
    <xf numFmtId="166" fontId="24" fillId="8" borderId="0" xfId="1" applyNumberFormat="1" applyFont="1" applyFill="1" applyAlignment="1">
      <alignment horizontal="right"/>
    </xf>
    <xf numFmtId="14" fontId="24" fillId="8" borderId="0" xfId="0" applyNumberFormat="1" applyFont="1" applyFill="1" applyAlignment="1">
      <alignment horizontal="center"/>
    </xf>
    <xf numFmtId="0" fontId="71" fillId="8" borderId="0" xfId="3" applyFont="1" applyFill="1" applyAlignment="1">
      <alignment horizontal="center"/>
    </xf>
    <xf numFmtId="0" fontId="27" fillId="8" borderId="0" xfId="3" applyFont="1" applyFill="1" applyAlignment="1">
      <alignment horizontal="center"/>
    </xf>
    <xf numFmtId="172" fontId="24" fillId="8" borderId="0" xfId="0" applyNumberFormat="1" applyFont="1" applyFill="1" applyAlignment="1">
      <alignment horizontal="center"/>
    </xf>
    <xf numFmtId="0" fontId="24" fillId="8" borderId="0" xfId="0" applyFont="1" applyFill="1"/>
    <xf numFmtId="172" fontId="24" fillId="8" borderId="0" xfId="0" applyNumberFormat="1" applyFont="1" applyFill="1"/>
    <xf numFmtId="0" fontId="71" fillId="0" borderId="0" xfId="3" applyFont="1" applyAlignment="1">
      <alignment horizontal="center"/>
    </xf>
    <xf numFmtId="0" fontId="27" fillId="0" borderId="0" xfId="3" applyFont="1" applyAlignment="1">
      <alignment horizontal="center"/>
    </xf>
    <xf numFmtId="168" fontId="24" fillId="0" borderId="0" xfId="1" applyNumberFormat="1" applyFont="1" applyAlignment="1">
      <alignment horizontal="right" vertical="center"/>
    </xf>
    <xf numFmtId="168" fontId="24" fillId="0" borderId="0" xfId="0" applyNumberFormat="1" applyFont="1" applyAlignment="1">
      <alignment horizontal="right"/>
    </xf>
    <xf numFmtId="2" fontId="24" fillId="6" borderId="57" xfId="1" applyNumberFormat="1" applyFont="1" applyFill="1" applyBorder="1" applyAlignment="1">
      <alignment horizontal="right"/>
    </xf>
    <xf numFmtId="2" fontId="24" fillId="6" borderId="58" xfId="1" applyNumberFormat="1" applyFont="1" applyFill="1" applyBorder="1" applyAlignment="1">
      <alignment horizontal="right"/>
    </xf>
    <xf numFmtId="49" fontId="24" fillId="0" borderId="0" xfId="0" applyNumberFormat="1" applyFont="1" applyAlignment="1">
      <alignment horizontal="center"/>
    </xf>
    <xf numFmtId="2" fontId="24" fillId="0" borderId="57" xfId="1" applyNumberFormat="1" applyFont="1" applyFill="1" applyBorder="1" applyAlignment="1">
      <alignment horizontal="right"/>
    </xf>
    <xf numFmtId="2" fontId="24" fillId="0" borderId="0" xfId="0" applyNumberFormat="1" applyFont="1" applyFill="1" applyAlignment="1">
      <alignment horizontal="right" vertical="center"/>
    </xf>
    <xf numFmtId="165" fontId="24" fillId="0" borderId="0" xfId="1" applyNumberFormat="1" applyFont="1" applyFill="1" applyAlignment="1">
      <alignment horizontal="center" vertical="center"/>
    </xf>
    <xf numFmtId="167" fontId="24" fillId="0" borderId="0" xfId="1" applyNumberFormat="1" applyFont="1" applyFill="1" applyAlignment="1">
      <alignment horizontal="center" vertical="center"/>
    </xf>
    <xf numFmtId="2" fontId="24" fillId="0" borderId="0" xfId="0" applyNumberFormat="1" applyFont="1" applyFill="1" applyAlignment="1">
      <alignment horizontal="center" vertical="center"/>
    </xf>
    <xf numFmtId="169" fontId="24" fillId="0" borderId="0" xfId="1" applyNumberFormat="1" applyFont="1" applyFill="1" applyAlignment="1">
      <alignment horizontal="center" vertical="center"/>
    </xf>
    <xf numFmtId="43" fontId="24" fillId="0" borderId="0" xfId="1" applyFont="1" applyFill="1" applyAlignment="1">
      <alignment horizontal="center" vertical="center"/>
    </xf>
    <xf numFmtId="43" fontId="24" fillId="0" borderId="0" xfId="1" applyNumberFormat="1" applyFont="1" applyFill="1" applyAlignment="1">
      <alignment horizontal="center" vertical="center"/>
    </xf>
    <xf numFmtId="166" fontId="24" fillId="0" borderId="0" xfId="1" applyNumberFormat="1" applyFont="1" applyFill="1" applyAlignment="1">
      <alignment horizontal="right" vertical="center"/>
    </xf>
    <xf numFmtId="0" fontId="24" fillId="19" borderId="0" xfId="0" applyFont="1" applyFill="1" applyAlignment="1">
      <alignment horizontal="center" vertical="center"/>
    </xf>
    <xf numFmtId="172" fontId="24" fillId="0" borderId="0" xfId="0" applyNumberFormat="1" applyFont="1" applyFill="1" applyAlignment="1">
      <alignment horizontal="center" vertical="center"/>
    </xf>
    <xf numFmtId="166" fontId="24" fillId="0" borderId="0" xfId="0" applyNumberFormat="1" applyFont="1" applyFill="1" applyAlignment="1">
      <alignment horizontal="center" vertical="center"/>
    </xf>
    <xf numFmtId="43" fontId="24" fillId="0" borderId="0" xfId="1" applyFont="1" applyBorder="1" applyAlignment="1">
      <alignment horizontal="right" vertical="center" wrapText="1"/>
    </xf>
    <xf numFmtId="10" fontId="24" fillId="0" borderId="0" xfId="4" applyNumberFormat="1" applyFont="1" applyBorder="1" applyAlignment="1">
      <alignment horizontal="center"/>
    </xf>
    <xf numFmtId="16" fontId="24" fillId="0" borderId="0" xfId="0" applyNumberFormat="1" applyFont="1" applyAlignment="1">
      <alignment horizontal="center"/>
    </xf>
    <xf numFmtId="0" fontId="72" fillId="0" borderId="0" xfId="0" applyFont="1" applyAlignment="1">
      <alignment vertical="center" wrapText="1"/>
    </xf>
    <xf numFmtId="0" fontId="24" fillId="22" borderId="0" xfId="0" applyFont="1" applyFill="1" applyAlignment="1">
      <alignment horizontal="center"/>
    </xf>
    <xf numFmtId="9" fontId="24" fillId="0" borderId="0" xfId="0" applyNumberFormat="1" applyFont="1" applyFill="1" applyAlignment="1">
      <alignment horizontal="center"/>
    </xf>
    <xf numFmtId="9" fontId="24" fillId="0" borderId="0" xfId="0" applyNumberFormat="1" applyFont="1" applyAlignment="1">
      <alignment horizontal="center"/>
    </xf>
    <xf numFmtId="43" fontId="24" fillId="5" borderId="0" xfId="1" applyFont="1" applyFill="1" applyAlignment="1"/>
    <xf numFmtId="43" fontId="24" fillId="35" borderId="0" xfId="1" applyFont="1" applyFill="1" applyAlignment="1">
      <alignment horizontal="right" vertical="center" wrapText="1"/>
    </xf>
    <xf numFmtId="2" fontId="24" fillId="35" borderId="0" xfId="1" applyNumberFormat="1" applyFont="1" applyFill="1" applyAlignment="1">
      <alignment horizontal="right"/>
    </xf>
    <xf numFmtId="43" fontId="24" fillId="5" borderId="0" xfId="1" applyNumberFormat="1" applyFont="1" applyFill="1" applyAlignment="1">
      <alignment horizontal="center"/>
    </xf>
    <xf numFmtId="0" fontId="24" fillId="39" borderId="0" xfId="0" applyFont="1" applyFill="1" applyAlignment="1">
      <alignment horizontal="center"/>
    </xf>
    <xf numFmtId="165" fontId="24" fillId="5" borderId="0" xfId="1" applyNumberFormat="1" applyFont="1" applyFill="1" applyAlignment="1">
      <alignment horizontal="center"/>
    </xf>
    <xf numFmtId="168" fontId="24" fillId="0" borderId="0" xfId="1" applyNumberFormat="1" applyFont="1" applyFill="1" applyAlignment="1">
      <alignment horizontal="right" vertical="center"/>
    </xf>
    <xf numFmtId="168" fontId="24" fillId="0" borderId="0" xfId="0" applyNumberFormat="1" applyFont="1" applyFill="1" applyAlignment="1">
      <alignment horizontal="right"/>
    </xf>
    <xf numFmtId="165" fontId="24" fillId="35" borderId="0" xfId="1" applyNumberFormat="1" applyFont="1" applyFill="1" applyAlignment="1">
      <alignment horizontal="center"/>
    </xf>
    <xf numFmtId="165" fontId="24" fillId="0" borderId="0" xfId="1" applyNumberFormat="1" applyFont="1" applyAlignment="1">
      <alignment horizontal="left"/>
    </xf>
    <xf numFmtId="168" fontId="24" fillId="6" borderId="0" xfId="1" applyNumberFormat="1" applyFont="1" applyFill="1" applyAlignment="1">
      <alignment horizontal="right" vertical="center"/>
    </xf>
    <xf numFmtId="168" fontId="24" fillId="6" borderId="0" xfId="0" applyNumberFormat="1" applyFont="1" applyFill="1" applyAlignment="1">
      <alignment horizontal="right"/>
    </xf>
    <xf numFmtId="43" fontId="24" fillId="0" borderId="0" xfId="1" applyFont="1" applyFill="1"/>
    <xf numFmtId="43" fontId="24" fillId="5" borderId="0" xfId="1" applyFont="1" applyFill="1" applyAlignment="1">
      <alignment horizontal="right"/>
    </xf>
    <xf numFmtId="172" fontId="24" fillId="0" borderId="0" xfId="0" applyNumberFormat="1" applyFont="1" applyFill="1"/>
    <xf numFmtId="168" fontId="24" fillId="0" borderId="0" xfId="1" applyNumberFormat="1" applyFont="1" applyFill="1" applyBorder="1" applyAlignment="1">
      <alignment horizontal="right" vertical="center"/>
    </xf>
    <xf numFmtId="168" fontId="24" fillId="0" borderId="0" xfId="0" applyNumberFormat="1" applyFont="1" applyFill="1" applyBorder="1" applyAlignment="1">
      <alignment horizontal="right"/>
    </xf>
    <xf numFmtId="2" fontId="24" fillId="0" borderId="0" xfId="1" applyNumberFormat="1" applyFont="1" applyBorder="1" applyAlignment="1">
      <alignment horizontal="center" vertical="center"/>
    </xf>
    <xf numFmtId="172" fontId="24" fillId="0" borderId="0" xfId="0" applyNumberFormat="1" applyFont="1" applyFill="1" applyBorder="1" applyAlignment="1">
      <alignment horizontal="center" vertical="center"/>
    </xf>
    <xf numFmtId="168" fontId="24" fillId="0" borderId="0" xfId="1" applyNumberFormat="1" applyFont="1" applyBorder="1" applyAlignment="1">
      <alignment horizontal="right" vertical="center"/>
    </xf>
    <xf numFmtId="168" fontId="24" fillId="0" borderId="0" xfId="0" applyNumberFormat="1" applyFont="1" applyBorder="1" applyAlignment="1">
      <alignment horizontal="right"/>
    </xf>
    <xf numFmtId="169" fontId="24" fillId="0" borderId="0" xfId="1" applyNumberFormat="1" applyFont="1" applyBorder="1" applyAlignment="1">
      <alignment horizontal="center"/>
    </xf>
    <xf numFmtId="43" fontId="24" fillId="0" borderId="0" xfId="1" applyFont="1" applyBorder="1" applyAlignment="1">
      <alignment horizontal="center"/>
    </xf>
    <xf numFmtId="2" fontId="24" fillId="0" borderId="0" xfId="0" applyNumberFormat="1" applyFont="1" applyBorder="1" applyAlignment="1">
      <alignment horizontal="right"/>
    </xf>
    <xf numFmtId="2" fontId="24" fillId="0" borderId="0" xfId="1" applyNumberFormat="1" applyFont="1" applyBorder="1" applyAlignment="1">
      <alignment horizontal="right" vertical="center"/>
    </xf>
    <xf numFmtId="43" fontId="24" fillId="0" borderId="0" xfId="1" applyNumberFormat="1" applyFont="1" applyBorder="1" applyAlignment="1">
      <alignment horizontal="center"/>
    </xf>
    <xf numFmtId="9" fontId="24" fillId="0" borderId="0" xfId="4" applyFont="1" applyBorder="1" applyAlignment="1">
      <alignment horizontal="center"/>
    </xf>
    <xf numFmtId="43" fontId="24" fillId="0" borderId="0" xfId="1" applyFont="1" applyBorder="1" applyAlignment="1">
      <alignment horizontal="right"/>
    </xf>
    <xf numFmtId="14" fontId="24" fillId="0" borderId="0" xfId="0" applyNumberFormat="1" applyFont="1" applyBorder="1" applyAlignment="1">
      <alignment horizontal="center"/>
    </xf>
    <xf numFmtId="0" fontId="72" fillId="19" borderId="0" xfId="0" applyFont="1" applyFill="1" applyBorder="1" applyAlignment="1">
      <alignment horizontal="center" vertical="center" wrapText="1"/>
    </xf>
    <xf numFmtId="43" fontId="24" fillId="0" borderId="0" xfId="1" applyFont="1" applyBorder="1" applyAlignment="1"/>
    <xf numFmtId="172" fontId="24" fillId="0" borderId="0" xfId="0" applyNumberFormat="1" applyFont="1" applyBorder="1" applyAlignment="1"/>
    <xf numFmtId="0" fontId="72" fillId="0" borderId="0" xfId="0" applyFont="1" applyBorder="1" applyAlignment="1">
      <alignment horizontal="center" vertical="center" wrapText="1"/>
    </xf>
    <xf numFmtId="172" fontId="24" fillId="0" borderId="0" xfId="0" applyNumberFormat="1" applyFont="1" applyBorder="1" applyAlignment="1">
      <alignment horizontal="center"/>
    </xf>
    <xf numFmtId="0" fontId="24" fillId="17" borderId="0" xfId="0" applyFont="1" applyFill="1" applyBorder="1" applyAlignment="1">
      <alignment horizontal="center"/>
    </xf>
    <xf numFmtId="0" fontId="24" fillId="0" borderId="0" xfId="0" applyNumberFormat="1" applyFont="1" applyBorder="1" applyAlignment="1">
      <alignment horizontal="center" vertical="center"/>
    </xf>
    <xf numFmtId="9" fontId="24" fillId="0" borderId="0" xfId="4" applyFont="1" applyFill="1" applyAlignment="1">
      <alignment horizontal="center"/>
    </xf>
    <xf numFmtId="1" fontId="24" fillId="0" borderId="0" xfId="0" applyNumberFormat="1" applyFont="1" applyAlignment="1">
      <alignment horizontal="center" vertical="center"/>
    </xf>
    <xf numFmtId="2" fontId="24" fillId="0" borderId="0" xfId="0" applyNumberFormat="1" applyFont="1" applyAlignment="1">
      <alignment horizontal="center" vertical="center"/>
    </xf>
    <xf numFmtId="0" fontId="24" fillId="8" borderId="0" xfId="0" applyNumberFormat="1" applyFont="1" applyFill="1" applyAlignment="1">
      <alignment horizontal="center" vertical="center"/>
    </xf>
    <xf numFmtId="14" fontId="24" fillId="8" borderId="0" xfId="0" applyNumberFormat="1" applyFont="1" applyFill="1" applyAlignment="1">
      <alignment horizontal="center" vertical="center"/>
    </xf>
    <xf numFmtId="164" fontId="24" fillId="8" borderId="0" xfId="0" applyNumberFormat="1" applyFont="1" applyFill="1" applyAlignment="1">
      <alignment horizontal="center"/>
    </xf>
    <xf numFmtId="164" fontId="24" fillId="0" borderId="0" xfId="0" applyNumberFormat="1" applyFont="1" applyAlignment="1">
      <alignment horizontal="center"/>
    </xf>
    <xf numFmtId="48" fontId="24" fillId="0" borderId="0" xfId="0" applyNumberFormat="1" applyFont="1" applyFill="1" applyAlignment="1">
      <alignment horizontal="center"/>
    </xf>
    <xf numFmtId="14" fontId="24" fillId="5" borderId="0" xfId="0" applyNumberFormat="1" applyFont="1" applyFill="1" applyAlignment="1">
      <alignment horizontal="center" vertical="center"/>
    </xf>
    <xf numFmtId="48" fontId="24" fillId="5" borderId="0" xfId="0" applyNumberFormat="1" applyFont="1" applyFill="1" applyAlignment="1">
      <alignment horizontal="center"/>
    </xf>
    <xf numFmtId="14" fontId="24" fillId="5" borderId="0" xfId="0" applyNumberFormat="1" applyFont="1" applyFill="1" applyAlignment="1">
      <alignment horizontal="center"/>
    </xf>
    <xf numFmtId="0" fontId="24" fillId="20" borderId="0" xfId="0" applyFont="1" applyFill="1" applyAlignment="1">
      <alignment horizontal="center"/>
    </xf>
    <xf numFmtId="48" fontId="24" fillId="0" borderId="0" xfId="0" applyNumberFormat="1" applyFont="1" applyBorder="1" applyAlignment="1">
      <alignment horizontal="center"/>
    </xf>
    <xf numFmtId="0" fontId="24" fillId="5" borderId="0" xfId="0" applyNumberFormat="1" applyFont="1" applyFill="1" applyAlignment="1">
      <alignment horizontal="center" vertical="center"/>
    </xf>
    <xf numFmtId="0" fontId="24" fillId="35" borderId="0" xfId="0" applyNumberFormat="1" applyFont="1" applyFill="1" applyAlignment="1">
      <alignment horizontal="center" vertical="center"/>
    </xf>
    <xf numFmtId="0" fontId="24" fillId="49" borderId="0" xfId="0" applyFont="1" applyFill="1" applyAlignment="1">
      <alignment horizontal="center"/>
    </xf>
    <xf numFmtId="15" fontId="24" fillId="0" borderId="0" xfId="0" applyNumberFormat="1" applyFont="1" applyAlignment="1">
      <alignment horizontal="center"/>
    </xf>
    <xf numFmtId="0" fontId="24" fillId="5" borderId="0" xfId="0" applyNumberFormat="1" applyFont="1" applyFill="1" applyBorder="1" applyAlignment="1">
      <alignment horizontal="center" vertical="center"/>
    </xf>
    <xf numFmtId="14" fontId="24" fillId="0" borderId="0" xfId="0" applyNumberFormat="1" applyFont="1" applyBorder="1" applyAlignment="1">
      <alignment horizontal="center" vertical="center"/>
    </xf>
    <xf numFmtId="0" fontId="24" fillId="35" borderId="0" xfId="0" applyFont="1" applyFill="1" applyBorder="1" applyAlignment="1">
      <alignment horizontal="center"/>
    </xf>
    <xf numFmtId="0" fontId="25" fillId="0" borderId="0" xfId="0" applyFont="1" applyAlignment="1"/>
    <xf numFmtId="0" fontId="24" fillId="49" borderId="0" xfId="0" applyFont="1" applyFill="1" applyBorder="1" applyAlignment="1">
      <alignment horizontal="center"/>
    </xf>
    <xf numFmtId="0" fontId="24" fillId="73" borderId="0" xfId="0" applyFont="1" applyFill="1" applyAlignment="1">
      <alignment horizontal="center"/>
    </xf>
    <xf numFmtId="0" fontId="24" fillId="73" borderId="0" xfId="0" applyFont="1" applyFill="1" applyBorder="1" applyAlignment="1">
      <alignment horizontal="center"/>
    </xf>
    <xf numFmtId="0" fontId="25" fillId="49" borderId="0" xfId="0" applyFont="1" applyFill="1" applyBorder="1" applyAlignment="1">
      <alignment horizontal="center"/>
    </xf>
    <xf numFmtId="0" fontId="29" fillId="49" borderId="0" xfId="0" applyFont="1" applyFill="1" applyBorder="1" applyAlignment="1">
      <alignment horizontal="center" vertical="center"/>
    </xf>
    <xf numFmtId="0" fontId="24" fillId="49" borderId="0" xfId="0" applyFont="1" applyFill="1" applyAlignment="1">
      <alignment horizontal="center" vertical="center"/>
    </xf>
    <xf numFmtId="0" fontId="27" fillId="49" borderId="0" xfId="0" applyFont="1" applyFill="1" applyAlignment="1">
      <alignment horizontal="center"/>
    </xf>
    <xf numFmtId="0" fontId="25" fillId="49" borderId="0" xfId="0" applyFont="1" applyFill="1" applyBorder="1" applyAlignment="1"/>
    <xf numFmtId="0" fontId="23" fillId="0" borderId="65" xfId="0" applyFont="1" applyBorder="1" applyAlignment="1">
      <alignment horizontal="center" vertical="center"/>
    </xf>
    <xf numFmtId="0" fontId="23" fillId="0" borderId="35" xfId="0" applyFont="1" applyBorder="1" applyAlignment="1">
      <alignment horizontal="center" vertical="center"/>
    </xf>
    <xf numFmtId="0" fontId="23" fillId="0" borderId="66" xfId="0" applyFont="1" applyBorder="1" applyAlignment="1">
      <alignment horizontal="center" vertical="center"/>
    </xf>
    <xf numFmtId="0" fontId="23" fillId="0" borderId="33" xfId="0" applyFont="1" applyBorder="1" applyAlignment="1">
      <alignment horizontal="center" vertical="center"/>
    </xf>
    <xf numFmtId="0" fontId="23" fillId="6" borderId="32" xfId="0" applyFont="1" applyFill="1" applyBorder="1" applyAlignment="1">
      <alignment horizontal="center" vertical="center"/>
    </xf>
    <xf numFmtId="0" fontId="23" fillId="6" borderId="35" xfId="0" applyFont="1" applyFill="1" applyBorder="1" applyAlignment="1">
      <alignment horizontal="center" vertical="center"/>
    </xf>
    <xf numFmtId="0" fontId="23" fillId="6" borderId="33" xfId="0" applyFont="1" applyFill="1" applyBorder="1" applyAlignment="1">
      <alignment horizontal="center" vertical="center"/>
    </xf>
    <xf numFmtId="0" fontId="23" fillId="5" borderId="32" xfId="0" applyFont="1" applyFill="1" applyBorder="1" applyAlignment="1">
      <alignment horizontal="center" vertical="center"/>
    </xf>
    <xf numFmtId="0" fontId="23" fillId="5" borderId="35" xfId="0" applyFont="1" applyFill="1" applyBorder="1" applyAlignment="1">
      <alignment horizontal="center" vertical="center"/>
    </xf>
    <xf numFmtId="0" fontId="23" fillId="5" borderId="33" xfId="0" applyFont="1" applyFill="1" applyBorder="1" applyAlignment="1">
      <alignment horizontal="center" vertical="center"/>
    </xf>
    <xf numFmtId="41" fontId="32" fillId="0" borderId="70" xfId="2" applyFont="1" applyBorder="1" applyAlignment="1">
      <alignment horizontal="center" vertical="center"/>
    </xf>
    <xf numFmtId="41" fontId="32" fillId="0" borderId="71" xfId="2" applyFont="1" applyBorder="1" applyAlignment="1">
      <alignment horizontal="center" vertical="center"/>
    </xf>
    <xf numFmtId="41" fontId="32" fillId="0" borderId="12" xfId="2" applyFont="1" applyBorder="1" applyAlignment="1">
      <alignment horizontal="center" vertical="center"/>
    </xf>
    <xf numFmtId="41" fontId="32" fillId="0" borderId="43" xfId="2" applyFont="1" applyBorder="1" applyAlignment="1">
      <alignment horizontal="center" vertical="center"/>
    </xf>
    <xf numFmtId="41" fontId="32" fillId="0" borderId="38" xfId="2" applyFont="1" applyBorder="1" applyAlignment="1">
      <alignment horizontal="center" vertical="center" wrapText="1"/>
    </xf>
    <xf numFmtId="41" fontId="32" fillId="0" borderId="63" xfId="2" applyFont="1" applyBorder="1" applyAlignment="1">
      <alignment horizontal="center" vertical="center" wrapText="1"/>
    </xf>
    <xf numFmtId="41" fontId="32" fillId="0" borderId="19" xfId="2" applyFont="1" applyBorder="1" applyAlignment="1">
      <alignment horizontal="center" vertical="center" wrapText="1"/>
    </xf>
    <xf numFmtId="41" fontId="32" fillId="0" borderId="72" xfId="2" applyFont="1" applyBorder="1" applyAlignment="1">
      <alignment horizontal="center" vertical="center" wrapText="1"/>
    </xf>
    <xf numFmtId="41" fontId="32" fillId="0" borderId="8" xfId="2" applyFont="1" applyFill="1" applyBorder="1" applyAlignment="1">
      <alignment horizontal="center" vertical="center" wrapText="1"/>
    </xf>
    <xf numFmtId="41" fontId="32" fillId="0" borderId="73" xfId="2" applyFont="1" applyFill="1" applyBorder="1" applyAlignment="1">
      <alignment horizontal="center" vertical="center" wrapText="1"/>
    </xf>
    <xf numFmtId="41" fontId="32" fillId="0" borderId="4" xfId="2" applyFont="1" applyFill="1" applyBorder="1" applyAlignment="1">
      <alignment horizontal="center" vertical="center" wrapText="1"/>
    </xf>
    <xf numFmtId="41" fontId="32" fillId="0" borderId="54" xfId="2" applyFont="1" applyFill="1" applyBorder="1" applyAlignment="1">
      <alignment horizontal="center" vertical="center" wrapText="1"/>
    </xf>
    <xf numFmtId="41" fontId="32" fillId="0" borderId="46" xfId="2" applyFont="1" applyFill="1" applyBorder="1" applyAlignment="1">
      <alignment horizontal="center" vertical="center" wrapText="1"/>
    </xf>
    <xf numFmtId="41" fontId="32" fillId="0" borderId="64" xfId="2" applyFont="1" applyFill="1" applyBorder="1" applyAlignment="1">
      <alignment horizontal="center" vertical="center" wrapText="1"/>
    </xf>
    <xf numFmtId="0" fontId="32" fillId="0" borderId="2" xfId="0" applyFont="1" applyBorder="1" applyAlignment="1">
      <alignment horizontal="center" vertical="center"/>
    </xf>
    <xf numFmtId="0" fontId="32" fillId="0" borderId="3" xfId="0" applyFont="1" applyBorder="1" applyAlignment="1">
      <alignment horizontal="center" vertical="center"/>
    </xf>
    <xf numFmtId="0" fontId="32" fillId="0" borderId="7" xfId="0" applyFont="1" applyBorder="1" applyAlignment="1">
      <alignment horizontal="center" vertical="center"/>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13" xfId="0" applyFont="1" applyBorder="1" applyAlignment="1">
      <alignment horizontal="center" vertical="center" wrapText="1"/>
    </xf>
    <xf numFmtId="0" fontId="66" fillId="0" borderId="17"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18" xfId="0" applyFont="1" applyBorder="1" applyAlignment="1">
      <alignment horizontal="center" vertical="center" wrapText="1"/>
    </xf>
    <xf numFmtId="0" fontId="66" fillId="0" borderId="14" xfId="0" applyFont="1" applyBorder="1" applyAlignment="1">
      <alignment horizontal="center" vertical="center" wrapText="1"/>
    </xf>
    <xf numFmtId="0" fontId="66" fillId="0" borderId="15" xfId="0" applyFont="1" applyBorder="1" applyAlignment="1">
      <alignment horizontal="center" vertical="center" wrapText="1"/>
    </xf>
    <xf numFmtId="0" fontId="66" fillId="0" borderId="16" xfId="0" applyFont="1" applyBorder="1" applyAlignment="1">
      <alignment horizontal="center" vertical="center" wrapText="1"/>
    </xf>
    <xf numFmtId="0" fontId="67" fillId="0" borderId="17" xfId="3" applyFont="1" applyBorder="1" applyAlignment="1">
      <alignment horizontal="center"/>
    </xf>
    <xf numFmtId="0" fontId="67" fillId="0" borderId="0" xfId="3" applyFont="1" applyBorder="1" applyAlignment="1">
      <alignment horizontal="center"/>
    </xf>
    <xf numFmtId="0" fontId="67" fillId="0" borderId="18" xfId="3" applyFont="1" applyBorder="1" applyAlignment="1">
      <alignment horizontal="center"/>
    </xf>
    <xf numFmtId="0" fontId="32" fillId="6" borderId="21" xfId="0" applyFont="1" applyFill="1" applyBorder="1" applyAlignment="1">
      <alignment horizontal="center"/>
    </xf>
    <xf numFmtId="0" fontId="32" fillId="6" borderId="20" xfId="0" applyFont="1" applyFill="1" applyBorder="1" applyAlignment="1">
      <alignment horizontal="center"/>
    </xf>
    <xf numFmtId="0" fontId="31" fillId="0" borderId="17" xfId="0" applyFont="1" applyBorder="1" applyAlignment="1">
      <alignment horizontal="center" vertical="center"/>
    </xf>
    <xf numFmtId="0" fontId="31" fillId="0" borderId="0" xfId="0" applyFont="1" applyBorder="1" applyAlignment="1">
      <alignment horizontal="center" vertical="center"/>
    </xf>
    <xf numFmtId="0" fontId="31" fillId="0" borderId="18" xfId="0" applyFont="1" applyBorder="1" applyAlignment="1">
      <alignment horizontal="center" vertical="center"/>
    </xf>
    <xf numFmtId="0" fontId="32" fillId="5" borderId="21" xfId="0" applyFont="1" applyFill="1" applyBorder="1" applyAlignment="1">
      <alignment horizontal="center"/>
    </xf>
    <xf numFmtId="0" fontId="32" fillId="5" borderId="20" xfId="0" applyFont="1" applyFill="1" applyBorder="1" applyAlignment="1">
      <alignment horizontal="center"/>
    </xf>
    <xf numFmtId="0" fontId="35" fillId="36" borderId="83" xfId="0" applyFont="1" applyFill="1" applyBorder="1" applyAlignment="1">
      <alignment horizontal="center" vertical="center" wrapText="1"/>
    </xf>
    <xf numFmtId="0" fontId="35" fillId="36" borderId="78" xfId="0" applyFont="1" applyFill="1" applyBorder="1" applyAlignment="1">
      <alignment horizontal="center" vertical="center" wrapText="1"/>
    </xf>
    <xf numFmtId="0" fontId="35" fillId="36" borderId="84" xfId="0" applyFont="1" applyFill="1" applyBorder="1" applyAlignment="1">
      <alignment horizontal="center" vertical="center" wrapText="1"/>
    </xf>
    <xf numFmtId="0" fontId="35" fillId="36" borderId="85" xfId="0" applyFont="1" applyFill="1" applyBorder="1" applyAlignment="1">
      <alignment horizontal="center" vertical="center" wrapText="1"/>
    </xf>
    <xf numFmtId="0" fontId="35" fillId="36" borderId="81" xfId="0" applyFont="1" applyFill="1" applyBorder="1" applyAlignment="1">
      <alignment horizontal="center" vertical="center" wrapText="1"/>
    </xf>
    <xf numFmtId="0" fontId="32" fillId="30" borderId="1" xfId="0" applyFont="1" applyFill="1" applyBorder="1" applyAlignment="1">
      <alignment horizontal="center" vertical="center" wrapText="1"/>
    </xf>
    <xf numFmtId="0" fontId="32" fillId="30" borderId="1" xfId="0" applyFont="1" applyFill="1" applyBorder="1" applyAlignment="1">
      <alignment horizontal="center" vertical="center"/>
    </xf>
    <xf numFmtId="0" fontId="32" fillId="30" borderId="2" xfId="0" applyFont="1" applyFill="1" applyBorder="1" applyAlignment="1">
      <alignment horizontal="center" vertical="center"/>
    </xf>
    <xf numFmtId="0" fontId="32" fillId="39" borderId="1" xfId="0" applyFont="1" applyFill="1" applyBorder="1" applyAlignment="1">
      <alignment horizontal="center" vertical="center"/>
    </xf>
    <xf numFmtId="0" fontId="35" fillId="36" borderId="57" xfId="0" applyFont="1" applyFill="1" applyBorder="1" applyAlignment="1">
      <alignment horizontal="center" vertical="center" wrapText="1"/>
    </xf>
    <xf numFmtId="0" fontId="35" fillId="36" borderId="51"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32" fillId="39" borderId="2" xfId="0" applyFont="1" applyFill="1" applyBorder="1" applyAlignment="1">
      <alignment horizontal="center" vertical="center"/>
    </xf>
    <xf numFmtId="0" fontId="35" fillId="36" borderId="53" xfId="0" applyFont="1" applyFill="1" applyBorder="1" applyAlignment="1">
      <alignment horizontal="center" vertical="center" wrapText="1"/>
    </xf>
    <xf numFmtId="0" fontId="35" fillId="36" borderId="52" xfId="0" applyFont="1" applyFill="1" applyBorder="1" applyAlignment="1">
      <alignment horizontal="center" vertical="center" wrapText="1"/>
    </xf>
    <xf numFmtId="0" fontId="35" fillId="36" borderId="55" xfId="0" applyFont="1" applyFill="1" applyBorder="1" applyAlignment="1">
      <alignment horizontal="center" vertical="center" wrapText="1"/>
    </xf>
    <xf numFmtId="0" fontId="35" fillId="36" borderId="58" xfId="0" applyFont="1" applyFill="1" applyBorder="1" applyAlignment="1">
      <alignment horizontal="center" vertical="center" wrapText="1"/>
    </xf>
    <xf numFmtId="0" fontId="35" fillId="38" borderId="53" xfId="0" applyFont="1" applyFill="1" applyBorder="1" applyAlignment="1">
      <alignment horizontal="center" vertical="center" wrapText="1"/>
    </xf>
    <xf numFmtId="0" fontId="35" fillId="38" borderId="52" xfId="0" applyFont="1" applyFill="1" applyBorder="1" applyAlignment="1">
      <alignment horizontal="center" vertical="center" wrapText="1"/>
    </xf>
    <xf numFmtId="0" fontId="35" fillId="38" borderId="57" xfId="0" applyFont="1" applyFill="1" applyBorder="1" applyAlignment="1">
      <alignment horizontal="center" vertical="center" wrapText="1"/>
    </xf>
    <xf numFmtId="0" fontId="35" fillId="38" borderId="51" xfId="0" applyFont="1" applyFill="1" applyBorder="1" applyAlignment="1">
      <alignment horizontal="center" vertical="center" wrapText="1"/>
    </xf>
    <xf numFmtId="0" fontId="32" fillId="40" borderId="13" xfId="0" applyFont="1" applyFill="1" applyBorder="1" applyAlignment="1">
      <alignment horizontal="center" vertical="center"/>
    </xf>
    <xf numFmtId="0" fontId="32" fillId="40" borderId="18" xfId="0" applyFont="1" applyFill="1" applyBorder="1" applyAlignment="1">
      <alignment horizontal="center" vertical="center"/>
    </xf>
    <xf numFmtId="0" fontId="32" fillId="40" borderId="49" xfId="0" applyFont="1" applyFill="1" applyBorder="1" applyAlignment="1">
      <alignment horizontal="center" vertical="center"/>
    </xf>
    <xf numFmtId="0" fontId="32" fillId="40" borderId="11" xfId="0" applyFont="1" applyFill="1" applyBorder="1" applyAlignment="1">
      <alignment horizontal="center" vertical="center" wrapText="1"/>
    </xf>
    <xf numFmtId="0" fontId="32" fillId="40" borderId="13" xfId="0" applyFont="1" applyFill="1" applyBorder="1" applyAlignment="1">
      <alignment horizontal="center" vertical="center" wrapText="1"/>
    </xf>
    <xf numFmtId="0" fontId="32" fillId="40" borderId="25" xfId="0" applyFont="1" applyFill="1" applyBorder="1" applyAlignment="1">
      <alignment horizontal="center" vertical="center" wrapText="1"/>
    </xf>
    <xf numFmtId="0" fontId="32" fillId="40" borderId="49" xfId="0" applyFont="1" applyFill="1" applyBorder="1" applyAlignment="1">
      <alignment horizontal="center" vertical="center" wrapText="1"/>
    </xf>
    <xf numFmtId="0" fontId="32" fillId="40" borderId="11" xfId="0" applyFont="1" applyFill="1" applyBorder="1" applyAlignment="1">
      <alignment horizontal="center" vertical="center"/>
    </xf>
    <xf numFmtId="0" fontId="32" fillId="40" borderId="25" xfId="0" applyFont="1" applyFill="1" applyBorder="1" applyAlignment="1">
      <alignment horizontal="center" vertical="center"/>
    </xf>
    <xf numFmtId="0" fontId="32" fillId="40" borderId="65" xfId="0" applyFont="1" applyFill="1" applyBorder="1" applyAlignment="1">
      <alignment horizontal="center" vertical="center"/>
    </xf>
    <xf numFmtId="0" fontId="32" fillId="40" borderId="39" xfId="0" applyFont="1" applyFill="1" applyBorder="1" applyAlignment="1">
      <alignment horizontal="center" vertical="center"/>
    </xf>
    <xf numFmtId="0" fontId="32" fillId="40" borderId="30" xfId="0" applyFont="1" applyFill="1" applyBorder="1" applyAlignment="1">
      <alignment horizontal="center" vertical="center"/>
    </xf>
    <xf numFmtId="0" fontId="32" fillId="40" borderId="66" xfId="0" applyFont="1" applyFill="1" applyBorder="1" applyAlignment="1">
      <alignment horizontal="center" vertical="center"/>
    </xf>
    <xf numFmtId="0" fontId="32" fillId="40" borderId="45" xfId="0" applyFont="1" applyFill="1" applyBorder="1" applyAlignment="1">
      <alignment horizontal="center" vertical="center"/>
    </xf>
    <xf numFmtId="0" fontId="32" fillId="40" borderId="5" xfId="0" applyFont="1" applyFill="1" applyBorder="1" applyAlignment="1">
      <alignment horizontal="center" vertical="center"/>
    </xf>
    <xf numFmtId="0" fontId="32" fillId="40" borderId="67" xfId="0" applyFont="1" applyFill="1" applyBorder="1" applyAlignment="1">
      <alignment horizontal="center" vertical="center" wrapText="1"/>
    </xf>
    <xf numFmtId="0" fontId="32" fillId="40" borderId="21" xfId="0" applyFont="1" applyFill="1" applyBorder="1" applyAlignment="1">
      <alignment horizontal="center" vertical="center" wrapText="1"/>
    </xf>
    <xf numFmtId="0" fontId="32" fillId="40" borderId="22" xfId="0" applyFont="1" applyFill="1" applyBorder="1" applyAlignment="1">
      <alignment horizontal="center" vertical="center" wrapText="1"/>
    </xf>
    <xf numFmtId="0" fontId="32" fillId="30" borderId="3" xfId="0" applyFont="1" applyFill="1" applyBorder="1" applyAlignment="1">
      <alignment horizontal="center" vertical="center"/>
    </xf>
    <xf numFmtId="0" fontId="32" fillId="30" borderId="7" xfId="0" applyFont="1" applyFill="1" applyBorder="1" applyAlignment="1">
      <alignment horizontal="center" vertical="center"/>
    </xf>
    <xf numFmtId="0" fontId="32" fillId="39" borderId="4" xfId="0" applyFont="1" applyFill="1" applyBorder="1" applyAlignment="1">
      <alignment horizontal="center" vertical="center" textRotation="90"/>
    </xf>
    <xf numFmtId="0" fontId="32" fillId="39" borderId="45" xfId="0" applyFont="1" applyFill="1" applyBorder="1" applyAlignment="1">
      <alignment horizontal="center" vertical="center" textRotation="90"/>
    </xf>
    <xf numFmtId="0" fontId="32" fillId="39" borderId="5" xfId="0" applyFont="1" applyFill="1" applyBorder="1" applyAlignment="1">
      <alignment horizontal="center" vertical="center" textRotation="90"/>
    </xf>
    <xf numFmtId="0" fontId="32" fillId="30" borderId="1" xfId="0" applyFont="1" applyFill="1" applyBorder="1" applyAlignment="1">
      <alignment horizontal="center"/>
    </xf>
    <xf numFmtId="0" fontId="0" fillId="30" borderId="65" xfId="0" applyFill="1" applyBorder="1" applyAlignment="1">
      <alignment horizontal="center" vertical="center" wrapText="1"/>
    </xf>
    <xf numFmtId="0" fontId="0" fillId="30" borderId="30" xfId="0" applyFill="1" applyBorder="1" applyAlignment="1">
      <alignment horizontal="center" vertical="center" wrapText="1"/>
    </xf>
    <xf numFmtId="0" fontId="0" fillId="30" borderId="67" xfId="0" applyFill="1" applyBorder="1" applyAlignment="1">
      <alignment horizontal="center"/>
    </xf>
    <xf numFmtId="0" fontId="0" fillId="30" borderId="12" xfId="0" applyFill="1" applyBorder="1" applyAlignment="1">
      <alignment horizontal="center"/>
    </xf>
    <xf numFmtId="0" fontId="0" fillId="30" borderId="74" xfId="0" applyFill="1" applyBorder="1" applyAlignment="1">
      <alignment horizontal="center"/>
    </xf>
    <xf numFmtId="0" fontId="0" fillId="30" borderId="31" xfId="0" applyFill="1" applyBorder="1" applyAlignment="1">
      <alignment horizontal="center"/>
    </xf>
    <xf numFmtId="0" fontId="0" fillId="30" borderId="71" xfId="0" applyFill="1" applyBorder="1" applyAlignment="1">
      <alignment horizontal="center"/>
    </xf>
    <xf numFmtId="0" fontId="0" fillId="30" borderId="43" xfId="0" applyFill="1" applyBorder="1" applyAlignment="1">
      <alignment horizontal="center"/>
    </xf>
    <xf numFmtId="0" fontId="32" fillId="30" borderId="4" xfId="0" applyFont="1" applyFill="1" applyBorder="1" applyAlignment="1">
      <alignment horizontal="center" vertical="center" wrapText="1"/>
    </xf>
    <xf numFmtId="0" fontId="32" fillId="30" borderId="45" xfId="0" applyFont="1" applyFill="1" applyBorder="1" applyAlignment="1">
      <alignment horizontal="center" vertical="center" wrapText="1"/>
    </xf>
    <xf numFmtId="0" fontId="32" fillId="30" borderId="5" xfId="0" applyFont="1" applyFill="1" applyBorder="1" applyAlignment="1">
      <alignment horizontal="center" vertical="center" wrapText="1"/>
    </xf>
    <xf numFmtId="0" fontId="32" fillId="30" borderId="19" xfId="0" applyFont="1" applyFill="1" applyBorder="1" applyAlignment="1">
      <alignment horizontal="center" vertical="center" wrapText="1"/>
    </xf>
    <xf numFmtId="0" fontId="32" fillId="30" borderId="8" xfId="0" applyFont="1" applyFill="1" applyBorder="1" applyAlignment="1">
      <alignment horizontal="center" vertical="center" wrapText="1"/>
    </xf>
    <xf numFmtId="0" fontId="32" fillId="30" borderId="22" xfId="0" applyFont="1" applyFill="1" applyBorder="1" applyAlignment="1">
      <alignment horizontal="center" vertical="center" wrapText="1"/>
    </xf>
    <xf numFmtId="0" fontId="32" fillId="30" borderId="23" xfId="0" applyFont="1" applyFill="1" applyBorder="1" applyAlignment="1">
      <alignment horizontal="center" vertical="center" wrapText="1"/>
    </xf>
    <xf numFmtId="0" fontId="32" fillId="30" borderId="2" xfId="0" applyFont="1" applyFill="1" applyBorder="1" applyAlignment="1">
      <alignment horizontal="center" vertical="center" wrapText="1"/>
    </xf>
    <xf numFmtId="0" fontId="32" fillId="30" borderId="7" xfId="0" applyFont="1" applyFill="1" applyBorder="1" applyAlignment="1">
      <alignment horizontal="center" vertical="center" wrapText="1"/>
    </xf>
    <xf numFmtId="0" fontId="56" fillId="30" borderId="1" xfId="0" applyFont="1" applyFill="1" applyBorder="1" applyAlignment="1">
      <alignment horizontal="center" vertical="center" wrapText="1"/>
    </xf>
    <xf numFmtId="0" fontId="56" fillId="30" borderId="2" xfId="0" applyFont="1" applyFill="1" applyBorder="1" applyAlignment="1">
      <alignment horizontal="center" vertical="center" wrapText="1"/>
    </xf>
    <xf numFmtId="0" fontId="35" fillId="30" borderId="32" xfId="0" applyFont="1" applyFill="1" applyBorder="1" applyAlignment="1">
      <alignment horizontal="center" vertical="center" wrapText="1"/>
    </xf>
    <xf numFmtId="0" fontId="35" fillId="30" borderId="33" xfId="0" applyFont="1" applyFill="1" applyBorder="1" applyAlignment="1">
      <alignment horizontal="center" vertical="center" wrapText="1"/>
    </xf>
    <xf numFmtId="0" fontId="35" fillId="30" borderId="28" xfId="0" applyFont="1" applyFill="1" applyBorder="1" applyAlignment="1">
      <alignment horizontal="center" vertical="center" wrapText="1"/>
    </xf>
    <xf numFmtId="0" fontId="35" fillId="30" borderId="29" xfId="0" applyFont="1" applyFill="1" applyBorder="1" applyAlignment="1">
      <alignment horizontal="center" vertical="center" wrapText="1"/>
    </xf>
    <xf numFmtId="0" fontId="29" fillId="30" borderId="22" xfId="0" applyFont="1" applyFill="1" applyBorder="1" applyAlignment="1">
      <alignment horizontal="center" vertical="center" wrapText="1"/>
    </xf>
    <xf numFmtId="0" fontId="29" fillId="30" borderId="23" xfId="0" applyFont="1" applyFill="1" applyBorder="1" applyAlignment="1">
      <alignment horizontal="center" vertical="center" wrapText="1"/>
    </xf>
    <xf numFmtId="0" fontId="42" fillId="30" borderId="1" xfId="0" applyFont="1" applyFill="1" applyBorder="1" applyAlignment="1">
      <alignment horizontal="center" vertical="center" wrapText="1"/>
    </xf>
    <xf numFmtId="0" fontId="68" fillId="30" borderId="19" xfId="0" applyFont="1" applyFill="1" applyBorder="1" applyAlignment="1">
      <alignment horizontal="center" vertical="center" wrapText="1"/>
    </xf>
    <xf numFmtId="0" fontId="68" fillId="30" borderId="8" xfId="0" applyFont="1" applyFill="1" applyBorder="1" applyAlignment="1">
      <alignment horizontal="center" vertical="center" wrapText="1"/>
    </xf>
    <xf numFmtId="0" fontId="68" fillId="30" borderId="22" xfId="0" applyFont="1" applyFill="1" applyBorder="1" applyAlignment="1">
      <alignment horizontal="center" vertical="center" wrapText="1"/>
    </xf>
    <xf numFmtId="0" fontId="68" fillId="30" borderId="23" xfId="0" applyFont="1" applyFill="1" applyBorder="1" applyAlignment="1">
      <alignment horizontal="center" vertical="center" wrapText="1"/>
    </xf>
    <xf numFmtId="0" fontId="38" fillId="30" borderId="2" xfId="0" applyFont="1" applyFill="1" applyBorder="1" applyAlignment="1">
      <alignment horizontal="center" vertical="center" wrapText="1"/>
    </xf>
    <xf numFmtId="0" fontId="38" fillId="30" borderId="7" xfId="0" applyFont="1" applyFill="1" applyBorder="1" applyAlignment="1">
      <alignment horizontal="center" vertical="center" wrapText="1"/>
    </xf>
    <xf numFmtId="0" fontId="53" fillId="30" borderId="22" xfId="0" applyFont="1" applyFill="1" applyBorder="1" applyAlignment="1">
      <alignment horizontal="center" vertical="center" wrapText="1"/>
    </xf>
    <xf numFmtId="0" fontId="53" fillId="30" borderId="23" xfId="0" applyFont="1" applyFill="1" applyBorder="1" applyAlignment="1">
      <alignment horizontal="center" vertical="center" wrapText="1"/>
    </xf>
    <xf numFmtId="0" fontId="38" fillId="30" borderId="19" xfId="0" applyFont="1" applyFill="1" applyBorder="1" applyAlignment="1">
      <alignment horizontal="center" vertical="center" wrapText="1"/>
    </xf>
    <xf numFmtId="0" fontId="38" fillId="30" borderId="8" xfId="0" applyFont="1" applyFill="1" applyBorder="1" applyAlignment="1">
      <alignment horizontal="center" vertical="center" wrapText="1"/>
    </xf>
    <xf numFmtId="0" fontId="38" fillId="30" borderId="22" xfId="0" applyFont="1" applyFill="1" applyBorder="1" applyAlignment="1">
      <alignment horizontal="center" vertical="center" wrapText="1"/>
    </xf>
    <xf numFmtId="0" fontId="38" fillId="30" borderId="23" xfId="0" applyFont="1" applyFill="1" applyBorder="1" applyAlignment="1">
      <alignment horizontal="center" vertical="center" wrapText="1"/>
    </xf>
    <xf numFmtId="0" fontId="57" fillId="40" borderId="32" xfId="0" applyFont="1" applyFill="1" applyBorder="1" applyAlignment="1">
      <alignment horizontal="center" vertical="center" wrapText="1"/>
    </xf>
    <xf numFmtId="0" fontId="57" fillId="40" borderId="28" xfId="0" applyFont="1" applyFill="1" applyBorder="1" applyAlignment="1">
      <alignment horizontal="center" vertical="center" wrapText="1"/>
    </xf>
    <xf numFmtId="0" fontId="57" fillId="40" borderId="35" xfId="0" applyFont="1" applyFill="1" applyBorder="1" applyAlignment="1">
      <alignment horizontal="center" vertical="center" wrapText="1"/>
    </xf>
    <xf numFmtId="0" fontId="57" fillId="40" borderId="33" xfId="0" applyFont="1" applyFill="1" applyBorder="1" applyAlignment="1">
      <alignment horizontal="center" vertical="center" wrapText="1"/>
    </xf>
    <xf numFmtId="0" fontId="38" fillId="30" borderId="1" xfId="0" applyFont="1" applyFill="1" applyBorder="1" applyAlignment="1">
      <alignment horizontal="center" vertical="center" wrapText="1"/>
    </xf>
    <xf numFmtId="0" fontId="38" fillId="30" borderId="4" xfId="0" applyFont="1" applyFill="1" applyBorder="1" applyAlignment="1">
      <alignment horizontal="center" vertical="center" wrapText="1"/>
    </xf>
    <xf numFmtId="0" fontId="38" fillId="30" borderId="45" xfId="0" applyFont="1" applyFill="1" applyBorder="1" applyAlignment="1">
      <alignment horizontal="center" vertical="center" wrapText="1"/>
    </xf>
    <xf numFmtId="0" fontId="38" fillId="30" borderId="5" xfId="0" applyFont="1" applyFill="1" applyBorder="1" applyAlignment="1">
      <alignment horizontal="center" vertical="center" wrapText="1"/>
    </xf>
    <xf numFmtId="0" fontId="35" fillId="30" borderId="1" xfId="0" applyFont="1" applyFill="1" applyBorder="1" applyAlignment="1">
      <alignment horizontal="center" vertical="center" wrapText="1"/>
    </xf>
    <xf numFmtId="0" fontId="69" fillId="30" borderId="19" xfId="0" applyFont="1" applyFill="1" applyBorder="1" applyAlignment="1">
      <alignment horizontal="center" vertical="center" wrapText="1"/>
    </xf>
    <xf numFmtId="0" fontId="69" fillId="30" borderId="8" xfId="0" applyFont="1" applyFill="1" applyBorder="1" applyAlignment="1">
      <alignment horizontal="center" vertical="center" wrapText="1"/>
    </xf>
    <xf numFmtId="0" fontId="69" fillId="30" borderId="22" xfId="0" applyFont="1" applyFill="1" applyBorder="1" applyAlignment="1">
      <alignment horizontal="center" vertical="center" wrapText="1"/>
    </xf>
    <xf numFmtId="0" fontId="69" fillId="30" borderId="23" xfId="0" applyFont="1" applyFill="1" applyBorder="1" applyAlignment="1">
      <alignment horizontal="center" vertical="center" wrapText="1"/>
    </xf>
    <xf numFmtId="0" fontId="36" fillId="0" borderId="53" xfId="0" applyFont="1" applyFill="1" applyBorder="1" applyAlignment="1">
      <alignment horizontal="center" vertical="center"/>
    </xf>
    <xf numFmtId="0" fontId="36" fillId="0" borderId="52" xfId="0" applyFont="1" applyFill="1" applyBorder="1" applyAlignment="1">
      <alignment horizontal="center" vertical="center"/>
    </xf>
    <xf numFmtId="0" fontId="36" fillId="0" borderId="75" xfId="0" applyFont="1" applyFill="1" applyBorder="1" applyAlignment="1">
      <alignment horizontal="center" vertical="center"/>
    </xf>
    <xf numFmtId="0" fontId="36" fillId="0" borderId="76" xfId="0" applyFont="1" applyFill="1" applyBorder="1" applyAlignment="1">
      <alignment horizontal="center" vertical="center"/>
    </xf>
    <xf numFmtId="0" fontId="35" fillId="40" borderId="35" xfId="0" applyFont="1" applyFill="1" applyBorder="1" applyAlignment="1">
      <alignment horizontal="center" vertical="center"/>
    </xf>
    <xf numFmtId="0" fontId="35" fillId="40" borderId="33" xfId="0" applyFont="1" applyFill="1" applyBorder="1" applyAlignment="1">
      <alignment horizontal="center" vertical="center"/>
    </xf>
    <xf numFmtId="0" fontId="35" fillId="40" borderId="32" xfId="0" applyFont="1" applyFill="1" applyBorder="1" applyAlignment="1">
      <alignment horizontal="center" vertical="center"/>
    </xf>
    <xf numFmtId="0" fontId="35" fillId="40" borderId="28" xfId="0" applyFont="1" applyFill="1" applyBorder="1" applyAlignment="1">
      <alignment horizontal="center" vertical="center"/>
    </xf>
    <xf numFmtId="0" fontId="35" fillId="0" borderId="57" xfId="0" applyFont="1" applyBorder="1" applyAlignment="1">
      <alignment horizontal="center" vertical="center"/>
    </xf>
    <xf numFmtId="0" fontId="35" fillId="0" borderId="58" xfId="0" applyFont="1" applyBorder="1" applyAlignment="1">
      <alignment horizontal="center" vertical="center"/>
    </xf>
    <xf numFmtId="0" fontId="35" fillId="0" borderId="51" xfId="0" applyFont="1" applyBorder="1" applyAlignment="1">
      <alignment horizontal="center" vertical="center"/>
    </xf>
    <xf numFmtId="0" fontId="36" fillId="0" borderId="53" xfId="0" applyFont="1" applyFill="1" applyBorder="1" applyAlignment="1">
      <alignment horizontal="center" vertical="center" textRotation="90"/>
    </xf>
    <xf numFmtId="0" fontId="36" fillId="0" borderId="55" xfId="0" applyFont="1" applyFill="1" applyBorder="1" applyAlignment="1">
      <alignment horizontal="center" vertical="center" textRotation="90"/>
    </xf>
    <xf numFmtId="0" fontId="36" fillId="0" borderId="52" xfId="0" applyFont="1" applyFill="1" applyBorder="1" applyAlignment="1">
      <alignment horizontal="center" vertical="center" textRotation="90"/>
    </xf>
    <xf numFmtId="0" fontId="35" fillId="30" borderId="2" xfId="0" applyFont="1" applyFill="1" applyBorder="1" applyAlignment="1">
      <alignment horizontal="center" vertical="center" wrapText="1"/>
    </xf>
    <xf numFmtId="0" fontId="41" fillId="30" borderId="1" xfId="0" applyFont="1" applyFill="1" applyBorder="1" applyAlignment="1">
      <alignment horizontal="center" vertical="center" wrapText="1"/>
    </xf>
    <xf numFmtId="0" fontId="60" fillId="36" borderId="1" xfId="0" applyFont="1" applyFill="1" applyBorder="1" applyAlignment="1">
      <alignment horizontal="center" vertical="center" wrapText="1"/>
    </xf>
    <xf numFmtId="0" fontId="60" fillId="36" borderId="2" xfId="0" applyFont="1" applyFill="1" applyBorder="1" applyAlignment="1">
      <alignment horizontal="center" vertical="center" wrapText="1"/>
    </xf>
    <xf numFmtId="0" fontId="60" fillId="36" borderId="7" xfId="0" applyFont="1" applyFill="1" applyBorder="1" applyAlignment="1">
      <alignment horizontal="center" vertical="center" wrapText="1"/>
    </xf>
    <xf numFmtId="0" fontId="60" fillId="36" borderId="32" xfId="0" applyFont="1" applyFill="1" applyBorder="1" applyAlignment="1">
      <alignment horizontal="center" vertical="center" wrapText="1"/>
    </xf>
    <xf numFmtId="0" fontId="60" fillId="36" borderId="33" xfId="0" applyFont="1" applyFill="1" applyBorder="1" applyAlignment="1">
      <alignment horizontal="center" vertical="center" wrapText="1"/>
    </xf>
    <xf numFmtId="0" fontId="60" fillId="40" borderId="1" xfId="0" applyFont="1" applyFill="1" applyBorder="1" applyAlignment="1">
      <alignment horizontal="center" vertical="center" wrapText="1"/>
    </xf>
    <xf numFmtId="0" fontId="60" fillId="40" borderId="2" xfId="0" applyFont="1" applyFill="1" applyBorder="1" applyAlignment="1">
      <alignment horizontal="center" vertical="center" wrapText="1"/>
    </xf>
    <xf numFmtId="0" fontId="60" fillId="40" borderId="4" xfId="0" applyFont="1" applyFill="1" applyBorder="1" applyAlignment="1">
      <alignment horizontal="center" vertical="center" wrapText="1"/>
    </xf>
    <xf numFmtId="0" fontId="60" fillId="40" borderId="45" xfId="0" applyFont="1" applyFill="1" applyBorder="1" applyAlignment="1">
      <alignment horizontal="center" vertical="center" wrapText="1"/>
    </xf>
    <xf numFmtId="0" fontId="60" fillId="40" borderId="19" xfId="0" applyFont="1" applyFill="1" applyBorder="1" applyAlignment="1">
      <alignment horizontal="center" vertical="center" wrapText="1"/>
    </xf>
    <xf numFmtId="0" fontId="60" fillId="40" borderId="8" xfId="0" applyFont="1" applyFill="1" applyBorder="1" applyAlignment="1">
      <alignment horizontal="center" vertical="center" wrapText="1"/>
    </xf>
    <xf numFmtId="0" fontId="60" fillId="40" borderId="22" xfId="0" applyFont="1" applyFill="1" applyBorder="1" applyAlignment="1">
      <alignment horizontal="center" vertical="center" wrapText="1"/>
    </xf>
    <xf numFmtId="0" fontId="60" fillId="40" borderId="23" xfId="0" applyFont="1" applyFill="1" applyBorder="1" applyAlignment="1">
      <alignment horizontal="center" vertical="center" wrapText="1"/>
    </xf>
    <xf numFmtId="0" fontId="35" fillId="36" borderId="7" xfId="0" applyFont="1" applyFill="1" applyBorder="1" applyAlignment="1">
      <alignment horizontal="center" vertical="center" wrapText="1"/>
    </xf>
    <xf numFmtId="0" fontId="35" fillId="36" borderId="1" xfId="0" applyFont="1" applyFill="1" applyBorder="1" applyAlignment="1">
      <alignment horizontal="center" vertical="center" wrapText="1"/>
    </xf>
    <xf numFmtId="0" fontId="35" fillId="36" borderId="2" xfId="0" applyFont="1" applyFill="1" applyBorder="1" applyAlignment="1">
      <alignment horizontal="center" vertical="center" wrapText="1"/>
    </xf>
    <xf numFmtId="0" fontId="23" fillId="0" borderId="2" xfId="0" applyFont="1" applyFill="1" applyBorder="1" applyAlignment="1">
      <alignment horizontal="center" vertical="center" wrapText="1"/>
    </xf>
    <xf numFmtId="0" fontId="23" fillId="0" borderId="7" xfId="0" applyFont="1" applyFill="1" applyBorder="1" applyAlignment="1">
      <alignment horizontal="center" vertical="center" wrapText="1"/>
    </xf>
    <xf numFmtId="1" fontId="23" fillId="5" borderId="2" xfId="1" applyNumberFormat="1" applyFont="1" applyFill="1" applyBorder="1" applyAlignment="1">
      <alignment horizontal="center" vertical="center" wrapText="1"/>
    </xf>
    <xf numFmtId="1" fontId="23" fillId="5" borderId="7" xfId="1" applyNumberFormat="1" applyFont="1" applyFill="1" applyBorder="1" applyAlignment="1">
      <alignment horizontal="center" vertical="center" wrapText="1"/>
    </xf>
    <xf numFmtId="0" fontId="28" fillId="0" borderId="0" xfId="0" applyFont="1" applyFill="1" applyBorder="1" applyAlignment="1">
      <alignment horizontal="center" vertical="center" wrapText="1"/>
    </xf>
    <xf numFmtId="0" fontId="23" fillId="0" borderId="0" xfId="0" applyFont="1" applyFill="1" applyBorder="1" applyAlignment="1">
      <alignment horizontal="center" vertical="center" wrapText="1"/>
    </xf>
    <xf numFmtId="0" fontId="23" fillId="0" borderId="0" xfId="0" applyFont="1" applyFill="1" applyBorder="1" applyAlignment="1">
      <alignment horizontal="center" vertical="center"/>
    </xf>
    <xf numFmtId="0" fontId="23" fillId="31" borderId="1" xfId="0" applyFont="1" applyFill="1" applyBorder="1" applyAlignment="1">
      <alignment horizontal="center" vertical="center" wrapText="1"/>
    </xf>
    <xf numFmtId="0" fontId="23" fillId="13" borderId="4" xfId="0" applyFont="1" applyFill="1" applyBorder="1" applyAlignment="1">
      <alignment horizontal="center" vertical="center" wrapText="1"/>
    </xf>
    <xf numFmtId="0" fontId="23" fillId="13" borderId="5" xfId="0" applyFont="1" applyFill="1" applyBorder="1" applyAlignment="1">
      <alignment horizontal="center" vertical="center" wrapText="1"/>
    </xf>
    <xf numFmtId="0" fontId="23" fillId="54" borderId="3" xfId="0" applyFont="1" applyFill="1" applyBorder="1" applyAlignment="1">
      <alignment horizontal="center"/>
    </xf>
    <xf numFmtId="0" fontId="23" fillId="54" borderId="7" xfId="0" applyFont="1" applyFill="1" applyBorder="1" applyAlignment="1">
      <alignment horizontal="center"/>
    </xf>
    <xf numFmtId="43" fontId="23" fillId="0" borderId="5" xfId="1" applyNumberFormat="1" applyFont="1" applyBorder="1" applyAlignment="1">
      <alignment horizontal="center" vertical="center" wrapText="1"/>
    </xf>
    <xf numFmtId="43" fontId="23" fillId="0" borderId="1" xfId="1" applyNumberFormat="1" applyFont="1" applyBorder="1" applyAlignment="1">
      <alignment horizontal="center" vertical="center" wrapText="1"/>
    </xf>
    <xf numFmtId="0" fontId="23" fillId="0" borderId="4" xfId="0" applyFont="1" applyBorder="1" applyAlignment="1">
      <alignment horizontal="center" vertical="center" wrapText="1"/>
    </xf>
    <xf numFmtId="0" fontId="23" fillId="0" borderId="5" xfId="0" applyFont="1" applyBorder="1" applyAlignment="1">
      <alignment horizontal="center" vertical="center" wrapText="1"/>
    </xf>
    <xf numFmtId="165" fontId="23" fillId="0" borderId="4" xfId="1" applyNumberFormat="1" applyFont="1" applyBorder="1" applyAlignment="1">
      <alignment horizontal="center" vertical="center" wrapText="1"/>
    </xf>
    <xf numFmtId="165" fontId="23" fillId="0" borderId="5" xfId="1" applyNumberFormat="1" applyFont="1" applyBorder="1" applyAlignment="1">
      <alignment horizontal="center" vertical="center" wrapText="1"/>
    </xf>
    <xf numFmtId="0" fontId="23" fillId="0" borderId="19" xfId="0" applyFont="1" applyBorder="1" applyAlignment="1">
      <alignment horizontal="center" vertical="center" wrapText="1"/>
    </xf>
    <xf numFmtId="0" fontId="23" fillId="0" borderId="22" xfId="0" applyFont="1" applyBorder="1" applyAlignment="1">
      <alignment horizontal="center" vertical="center" wrapText="1"/>
    </xf>
    <xf numFmtId="0" fontId="23" fillId="32" borderId="1" xfId="0" applyFont="1" applyFill="1" applyBorder="1" applyAlignment="1">
      <alignment horizontal="center" vertical="center" wrapText="1"/>
    </xf>
    <xf numFmtId="0" fontId="23" fillId="33" borderId="1" xfId="0" applyFont="1" applyFill="1" applyBorder="1" applyAlignment="1">
      <alignment horizontal="center" vertical="center" wrapText="1"/>
    </xf>
    <xf numFmtId="0" fontId="23" fillId="22" borderId="4" xfId="0" applyFont="1" applyFill="1" applyBorder="1" applyAlignment="1">
      <alignment horizontal="center" vertical="center" wrapText="1"/>
    </xf>
    <xf numFmtId="0" fontId="23" fillId="22" borderId="5" xfId="0" applyFont="1" applyFill="1" applyBorder="1" applyAlignment="1">
      <alignment horizontal="center" vertical="center" wrapText="1"/>
    </xf>
    <xf numFmtId="0" fontId="23" fillId="0" borderId="1" xfId="0" applyFont="1" applyBorder="1" applyAlignment="1">
      <alignment horizontal="center" vertical="center" wrapText="1"/>
    </xf>
    <xf numFmtId="0" fontId="23" fillId="0" borderId="23" xfId="0" applyFont="1" applyBorder="1" applyAlignment="1">
      <alignment horizontal="center" vertical="center" wrapText="1"/>
    </xf>
    <xf numFmtId="0" fontId="23" fillId="0" borderId="7" xfId="0" applyFont="1" applyBorder="1" applyAlignment="1">
      <alignment horizontal="center" vertical="center" wrapText="1"/>
    </xf>
    <xf numFmtId="2" fontId="23" fillId="33" borderId="4" xfId="1" applyNumberFormat="1" applyFont="1" applyFill="1" applyBorder="1" applyAlignment="1">
      <alignment horizontal="center" vertical="center" wrapText="1"/>
    </xf>
    <xf numFmtId="2" fontId="23" fillId="33" borderId="5" xfId="1" applyNumberFormat="1" applyFont="1" applyFill="1" applyBorder="1" applyAlignment="1">
      <alignment horizontal="center" vertical="center" wrapText="1"/>
    </xf>
    <xf numFmtId="0" fontId="23" fillId="31" borderId="4" xfId="0" applyFont="1" applyFill="1" applyBorder="1" applyAlignment="1">
      <alignment horizontal="center" vertical="center" wrapText="1"/>
    </xf>
    <xf numFmtId="0" fontId="23" fillId="31" borderId="5" xfId="0" applyFont="1" applyFill="1" applyBorder="1" applyAlignment="1">
      <alignment horizontal="center" vertical="center" wrapText="1"/>
    </xf>
    <xf numFmtId="0" fontId="23" fillId="53" borderId="19" xfId="0" applyFont="1" applyFill="1" applyBorder="1" applyAlignment="1">
      <alignment horizontal="center" vertical="center"/>
    </xf>
    <xf numFmtId="0" fontId="23" fillId="53" borderId="10" xfId="0" applyFont="1" applyFill="1" applyBorder="1" applyAlignment="1">
      <alignment horizontal="center" vertical="center"/>
    </xf>
    <xf numFmtId="0" fontId="23" fillId="54" borderId="5" xfId="0" applyFont="1" applyFill="1" applyBorder="1" applyAlignment="1">
      <alignment horizontal="center" vertical="center" wrapText="1"/>
    </xf>
    <xf numFmtId="0" fontId="23" fillId="54" borderId="1" xfId="0" applyFont="1" applyFill="1" applyBorder="1" applyAlignment="1">
      <alignment horizontal="center" vertical="center" wrapText="1"/>
    </xf>
    <xf numFmtId="43" fontId="23" fillId="54" borderId="5" xfId="1" applyFont="1" applyFill="1" applyBorder="1" applyAlignment="1">
      <alignment horizontal="center" vertical="center" wrapText="1"/>
    </xf>
    <xf numFmtId="43" fontId="23" fillId="54" borderId="1" xfId="1" applyFont="1" applyFill="1" applyBorder="1" applyAlignment="1">
      <alignment horizontal="center" vertical="center" wrapText="1"/>
    </xf>
    <xf numFmtId="2" fontId="23" fillId="55" borderId="5" xfId="0" applyNumberFormat="1" applyFont="1" applyFill="1" applyBorder="1" applyAlignment="1">
      <alignment horizontal="center" vertical="center"/>
    </xf>
    <xf numFmtId="0" fontId="23" fillId="55" borderId="5" xfId="0" applyFont="1" applyFill="1" applyBorder="1" applyAlignment="1">
      <alignment horizontal="center" vertical="center"/>
    </xf>
    <xf numFmtId="0" fontId="23" fillId="34" borderId="1" xfId="0" applyFont="1" applyFill="1" applyBorder="1" applyAlignment="1">
      <alignment horizontal="center" vertical="center" wrapText="1"/>
    </xf>
    <xf numFmtId="43" fontId="23" fillId="34" borderId="1" xfId="1" applyFont="1" applyFill="1" applyBorder="1" applyAlignment="1">
      <alignment horizontal="center" vertical="center" wrapText="1"/>
    </xf>
    <xf numFmtId="2" fontId="23" fillId="34" borderId="4" xfId="1" applyNumberFormat="1" applyFont="1" applyFill="1" applyBorder="1" applyAlignment="1">
      <alignment horizontal="center" vertical="center" wrapText="1"/>
    </xf>
    <xf numFmtId="2" fontId="23" fillId="34" borderId="5" xfId="1" applyNumberFormat="1" applyFont="1" applyFill="1" applyBorder="1" applyAlignment="1">
      <alignment horizontal="center" vertical="center" wrapText="1"/>
    </xf>
    <xf numFmtId="0" fontId="23" fillId="33" borderId="4" xfId="0" applyFont="1" applyFill="1" applyBorder="1" applyAlignment="1">
      <alignment horizontal="center" vertical="center" wrapText="1"/>
    </xf>
    <xf numFmtId="0" fontId="23" fillId="33" borderId="5" xfId="0" applyFont="1" applyFill="1" applyBorder="1" applyAlignment="1">
      <alignment horizontal="center" vertical="center" wrapText="1"/>
    </xf>
    <xf numFmtId="2" fontId="23" fillId="0" borderId="45" xfId="0" applyNumberFormat="1" applyFont="1" applyBorder="1" applyAlignment="1">
      <alignment horizontal="center" vertical="center" wrapText="1"/>
    </xf>
    <xf numFmtId="2" fontId="23" fillId="0" borderId="5" xfId="0" applyNumberFormat="1" applyFont="1" applyBorder="1" applyAlignment="1">
      <alignment horizontal="center" vertical="center" wrapText="1"/>
    </xf>
    <xf numFmtId="43" fontId="23" fillId="54" borderId="4" xfId="1" applyFont="1" applyFill="1" applyBorder="1" applyAlignment="1">
      <alignment horizontal="center" vertical="center" wrapText="1"/>
    </xf>
    <xf numFmtId="43" fontId="23" fillId="54" borderId="45" xfId="1" applyFont="1" applyFill="1" applyBorder="1" applyAlignment="1">
      <alignment horizontal="center" vertical="center" wrapText="1"/>
    </xf>
    <xf numFmtId="0" fontId="23" fillId="60" borderId="5" xfId="0" applyFont="1" applyFill="1" applyBorder="1" applyAlignment="1">
      <alignment horizontal="center"/>
    </xf>
    <xf numFmtId="0" fontId="23" fillId="54" borderId="45" xfId="0" applyFont="1" applyFill="1" applyBorder="1" applyAlignment="1">
      <alignment horizontal="center" vertical="center" wrapText="1"/>
    </xf>
    <xf numFmtId="43" fontId="23" fillId="0" borderId="5" xfId="1" applyFont="1" applyBorder="1" applyAlignment="1">
      <alignment horizontal="center" vertical="center" wrapText="1"/>
    </xf>
    <xf numFmtId="43" fontId="23" fillId="0" borderId="1" xfId="1" applyFont="1" applyBorder="1" applyAlignment="1">
      <alignment horizontal="center" vertical="center" wrapText="1"/>
    </xf>
    <xf numFmtId="0" fontId="23" fillId="48" borderId="10" xfId="0" applyFont="1" applyFill="1" applyBorder="1" applyAlignment="1">
      <alignment horizontal="center" vertical="center"/>
    </xf>
    <xf numFmtId="0" fontId="23" fillId="48" borderId="8" xfId="0" applyFont="1" applyFill="1" applyBorder="1" applyAlignment="1">
      <alignment horizontal="center" vertical="center"/>
    </xf>
    <xf numFmtId="0" fontId="23" fillId="8" borderId="10" xfId="0" applyFont="1" applyFill="1" applyBorder="1" applyAlignment="1">
      <alignment horizontal="center" vertical="center"/>
    </xf>
    <xf numFmtId="0" fontId="23" fillId="8" borderId="8" xfId="0" applyFont="1" applyFill="1" applyBorder="1" applyAlignment="1">
      <alignment horizontal="center" vertical="center"/>
    </xf>
    <xf numFmtId="0" fontId="23" fillId="6" borderId="10" xfId="0" applyFont="1" applyFill="1" applyBorder="1" applyAlignment="1">
      <alignment horizontal="center" vertical="center"/>
    </xf>
    <xf numFmtId="0" fontId="23" fillId="6" borderId="8" xfId="0" applyFont="1" applyFill="1" applyBorder="1" applyAlignment="1">
      <alignment horizontal="center" vertical="center"/>
    </xf>
    <xf numFmtId="0" fontId="23" fillId="62" borderId="10" xfId="0" applyFont="1" applyFill="1" applyBorder="1" applyAlignment="1">
      <alignment horizontal="center" vertical="center"/>
    </xf>
    <xf numFmtId="0" fontId="23" fillId="62" borderId="8" xfId="0" applyFont="1" applyFill="1" applyBorder="1" applyAlignment="1">
      <alignment horizontal="center" vertical="center"/>
    </xf>
    <xf numFmtId="165" fontId="23" fillId="0" borderId="1" xfId="1" applyNumberFormat="1" applyFont="1" applyBorder="1" applyAlignment="1">
      <alignment horizontal="center" vertical="center" wrapText="1"/>
    </xf>
    <xf numFmtId="0" fontId="23" fillId="15" borderId="1" xfId="0" applyFont="1" applyFill="1" applyBorder="1" applyAlignment="1">
      <alignment horizontal="center" vertical="center"/>
    </xf>
    <xf numFmtId="0" fontId="23" fillId="19" borderId="45" xfId="0" applyFont="1" applyFill="1" applyBorder="1" applyAlignment="1">
      <alignment horizontal="center" vertical="center" wrapText="1"/>
    </xf>
    <xf numFmtId="0" fontId="23" fillId="19" borderId="5" xfId="0" applyFont="1" applyFill="1" applyBorder="1" applyAlignment="1">
      <alignment horizontal="center" vertical="center" wrapText="1"/>
    </xf>
    <xf numFmtId="0" fontId="23" fillId="32" borderId="45" xfId="0" applyFont="1" applyFill="1" applyBorder="1" applyAlignment="1">
      <alignment horizontal="center" vertical="center" wrapText="1"/>
    </xf>
    <xf numFmtId="0" fontId="23" fillId="32" borderId="5" xfId="0" applyFont="1" applyFill="1" applyBorder="1" applyAlignment="1">
      <alignment horizontal="center" vertical="center" wrapText="1"/>
    </xf>
    <xf numFmtId="0" fontId="23" fillId="23" borderId="19" xfId="0" applyFont="1" applyFill="1" applyBorder="1" applyAlignment="1">
      <alignment horizontal="center"/>
    </xf>
    <xf numFmtId="0" fontId="23" fillId="23" borderId="10" xfId="0" applyFont="1" applyFill="1" applyBorder="1" applyAlignment="1">
      <alignment horizontal="center"/>
    </xf>
    <xf numFmtId="0" fontId="23" fillId="23" borderId="8" xfId="0" applyFont="1" applyFill="1" applyBorder="1" applyAlignment="1">
      <alignment horizontal="center"/>
    </xf>
    <xf numFmtId="0" fontId="23" fillId="0" borderId="45" xfId="0" applyFont="1" applyBorder="1" applyAlignment="1">
      <alignment horizontal="center" vertical="center" wrapText="1"/>
    </xf>
    <xf numFmtId="0" fontId="50" fillId="0" borderId="4" xfId="0" applyFont="1" applyBorder="1" applyAlignment="1">
      <alignment horizontal="center" vertical="center" wrapText="1"/>
    </xf>
    <xf numFmtId="0" fontId="50" fillId="0" borderId="5" xfId="0" applyFont="1" applyBorder="1" applyAlignment="1">
      <alignment horizontal="center" vertical="center" wrapText="1"/>
    </xf>
    <xf numFmtId="0" fontId="50" fillId="0" borderId="10" xfId="0" applyFont="1" applyBorder="1" applyAlignment="1">
      <alignment horizontal="center" vertical="center" wrapText="1"/>
    </xf>
    <xf numFmtId="0" fontId="50" fillId="0" borderId="41" xfId="0" applyFont="1" applyBorder="1" applyAlignment="1">
      <alignment horizontal="center" vertical="center" wrapText="1"/>
    </xf>
    <xf numFmtId="0" fontId="23" fillId="55" borderId="1" xfId="0" applyFont="1" applyFill="1" applyBorder="1" applyAlignment="1">
      <alignment horizontal="center" vertical="center" wrapText="1"/>
    </xf>
    <xf numFmtId="0" fontId="23" fillId="59" borderId="1" xfId="0" applyFont="1" applyFill="1" applyBorder="1" applyAlignment="1">
      <alignment horizontal="center" vertical="center" wrapText="1"/>
    </xf>
    <xf numFmtId="0" fontId="23" fillId="56" borderId="1" xfId="0" applyFont="1" applyFill="1" applyBorder="1" applyAlignment="1">
      <alignment horizontal="center" vertical="center" wrapText="1"/>
    </xf>
    <xf numFmtId="0" fontId="23" fillId="55" borderId="1" xfId="0" applyFont="1" applyFill="1" applyBorder="1" applyAlignment="1">
      <alignment horizontal="center"/>
    </xf>
    <xf numFmtId="0" fontId="23" fillId="16" borderId="1" xfId="0" applyFont="1" applyFill="1" applyBorder="1" applyAlignment="1">
      <alignment horizontal="center" vertical="center" wrapText="1"/>
    </xf>
    <xf numFmtId="165" fontId="23" fillId="57" borderId="1" xfId="1" applyNumberFormat="1" applyFont="1" applyFill="1" applyBorder="1" applyAlignment="1">
      <alignment horizontal="center"/>
    </xf>
    <xf numFmtId="0" fontId="23" fillId="25" borderId="2" xfId="0" applyFont="1" applyFill="1" applyBorder="1" applyAlignment="1">
      <alignment horizontal="center" vertical="center"/>
    </xf>
    <xf numFmtId="0" fontId="23" fillId="25" borderId="3" xfId="0" applyFont="1" applyFill="1" applyBorder="1" applyAlignment="1">
      <alignment horizontal="center" vertical="center"/>
    </xf>
    <xf numFmtId="0" fontId="23" fillId="5" borderId="3" xfId="0" applyFont="1" applyFill="1" applyBorder="1" applyAlignment="1">
      <alignment horizontal="center" vertical="center"/>
    </xf>
    <xf numFmtId="0" fontId="23" fillId="25" borderId="7" xfId="0" applyFont="1" applyFill="1" applyBorder="1" applyAlignment="1">
      <alignment horizontal="center" vertical="center"/>
    </xf>
    <xf numFmtId="0" fontId="23" fillId="25" borderId="4" xfId="0" applyFont="1" applyFill="1" applyBorder="1" applyAlignment="1">
      <alignment horizontal="center" vertical="center" wrapText="1"/>
    </xf>
    <xf numFmtId="0" fontId="23" fillId="25" borderId="5" xfId="0" applyFont="1" applyFill="1" applyBorder="1" applyAlignment="1">
      <alignment horizontal="center" vertical="center" wrapText="1"/>
    </xf>
    <xf numFmtId="0" fontId="23" fillId="26" borderId="1" xfId="0" applyFont="1" applyFill="1" applyBorder="1" applyAlignment="1">
      <alignment horizontal="center" vertical="center" wrapText="1"/>
    </xf>
    <xf numFmtId="0" fontId="23" fillId="18" borderId="1" xfId="0" applyFont="1" applyFill="1" applyBorder="1" applyAlignment="1">
      <alignment horizontal="center" vertical="center" wrapText="1"/>
    </xf>
    <xf numFmtId="0" fontId="23" fillId="13" borderId="1" xfId="0" applyFont="1" applyFill="1" applyBorder="1" applyAlignment="1">
      <alignment horizontal="center" vertical="center" wrapText="1"/>
    </xf>
    <xf numFmtId="0" fontId="23" fillId="34" borderId="4" xfId="0" applyFont="1" applyFill="1" applyBorder="1" applyAlignment="1">
      <alignment horizontal="center" vertical="center" wrapText="1"/>
    </xf>
    <xf numFmtId="0" fontId="23" fillId="34" borderId="5" xfId="0" applyFont="1" applyFill="1" applyBorder="1" applyAlignment="1">
      <alignment horizontal="center" vertical="center" wrapText="1"/>
    </xf>
    <xf numFmtId="0" fontId="23" fillId="8" borderId="2" xfId="0" applyFont="1" applyFill="1" applyBorder="1" applyAlignment="1">
      <alignment horizontal="center"/>
    </xf>
    <xf numFmtId="0" fontId="23" fillId="8" borderId="3" xfId="0" applyFont="1" applyFill="1" applyBorder="1" applyAlignment="1">
      <alignment horizontal="center"/>
    </xf>
    <xf numFmtId="0" fontId="23" fillId="8" borderId="7" xfId="0" applyFont="1" applyFill="1" applyBorder="1" applyAlignment="1">
      <alignment horizontal="center"/>
    </xf>
    <xf numFmtId="0" fontId="23" fillId="7" borderId="1" xfId="0" applyFont="1" applyFill="1" applyBorder="1" applyAlignment="1">
      <alignment horizontal="center"/>
    </xf>
    <xf numFmtId="0" fontId="23" fillId="0" borderId="1" xfId="0" applyNumberFormat="1" applyFont="1" applyFill="1" applyBorder="1" applyAlignment="1">
      <alignment horizontal="center" wrapText="1"/>
    </xf>
    <xf numFmtId="0" fontId="23" fillId="0" borderId="1" xfId="0" applyFont="1" applyFill="1" applyBorder="1" applyAlignment="1">
      <alignment horizontal="center"/>
    </xf>
    <xf numFmtId="1" fontId="23" fillId="26" borderId="1" xfId="0" applyNumberFormat="1" applyFont="1" applyFill="1" applyBorder="1" applyAlignment="1">
      <alignment horizontal="center" vertical="center" wrapText="1"/>
    </xf>
    <xf numFmtId="0" fontId="50" fillId="13" borderId="1" xfId="0" applyFont="1" applyFill="1" applyBorder="1" applyAlignment="1">
      <alignment horizontal="center" vertical="center" wrapText="1"/>
    </xf>
    <xf numFmtId="169" fontId="23" fillId="0" borderId="5" xfId="1" applyNumberFormat="1" applyFont="1" applyBorder="1" applyAlignment="1">
      <alignment horizontal="center" vertical="center" wrapText="1"/>
    </xf>
    <xf numFmtId="169" fontId="23" fillId="0" borderId="1" xfId="1" applyNumberFormat="1" applyFont="1" applyBorder="1" applyAlignment="1">
      <alignment horizontal="center" vertical="center" wrapText="1"/>
    </xf>
    <xf numFmtId="49" fontId="23" fillId="0" borderId="1" xfId="0" applyNumberFormat="1" applyFont="1" applyBorder="1" applyAlignment="1">
      <alignment horizontal="center"/>
    </xf>
    <xf numFmtId="0" fontId="23" fillId="64" borderId="4" xfId="0" applyFont="1" applyFill="1" applyBorder="1" applyAlignment="1">
      <alignment horizontal="center" vertical="center" wrapText="1"/>
    </xf>
    <xf numFmtId="0" fontId="23" fillId="64" borderId="5" xfId="0" applyFont="1" applyFill="1" applyBorder="1" applyAlignment="1">
      <alignment horizontal="center" vertical="center" wrapText="1"/>
    </xf>
    <xf numFmtId="48" fontId="23" fillId="0" borderId="2" xfId="0" applyNumberFormat="1" applyFont="1" applyFill="1" applyBorder="1" applyAlignment="1">
      <alignment horizontal="center" wrapText="1"/>
    </xf>
    <xf numFmtId="48" fontId="23" fillId="0" borderId="7" xfId="0" applyNumberFormat="1" applyFont="1" applyFill="1" applyBorder="1" applyAlignment="1">
      <alignment horizontal="center" wrapText="1"/>
    </xf>
    <xf numFmtId="0" fontId="23" fillId="0" borderId="1" xfId="0" applyFont="1" applyFill="1" applyBorder="1" applyAlignment="1">
      <alignment horizontal="center" vertical="center" wrapText="1"/>
    </xf>
    <xf numFmtId="165" fontId="23" fillId="25" borderId="1" xfId="1" applyNumberFormat="1" applyFont="1" applyFill="1" applyBorder="1" applyAlignment="1">
      <alignment horizontal="center"/>
    </xf>
    <xf numFmtId="0" fontId="23" fillId="5" borderId="1" xfId="0" applyFont="1" applyFill="1" applyBorder="1" applyAlignment="1">
      <alignment horizontal="center"/>
    </xf>
    <xf numFmtId="0" fontId="23" fillId="0" borderId="19" xfId="0" applyFont="1" applyFill="1" applyBorder="1" applyAlignment="1">
      <alignment horizontal="center"/>
    </xf>
    <xf numFmtId="0" fontId="23" fillId="0" borderId="10" xfId="0" applyFont="1" applyFill="1" applyBorder="1" applyAlignment="1">
      <alignment horizontal="center"/>
    </xf>
    <xf numFmtId="2" fontId="23" fillId="0" borderId="10" xfId="0" applyNumberFormat="1" applyFont="1" applyFill="1" applyBorder="1" applyAlignment="1">
      <alignment horizontal="center"/>
    </xf>
    <xf numFmtId="0" fontId="23" fillId="0" borderId="3" xfId="0" applyFont="1" applyFill="1" applyBorder="1" applyAlignment="1">
      <alignment horizontal="center"/>
    </xf>
    <xf numFmtId="0" fontId="23" fillId="0" borderId="7" xfId="0" applyFont="1" applyFill="1" applyBorder="1" applyAlignment="1">
      <alignment horizontal="center"/>
    </xf>
    <xf numFmtId="0" fontId="23" fillId="39" borderId="10" xfId="0" applyFont="1" applyFill="1" applyBorder="1" applyAlignment="1">
      <alignment horizontal="center"/>
    </xf>
    <xf numFmtId="0" fontId="23" fillId="39" borderId="8" xfId="0" applyFont="1" applyFill="1" applyBorder="1" applyAlignment="1">
      <alignment horizontal="center"/>
    </xf>
    <xf numFmtId="0" fontId="23" fillId="30" borderId="10" xfId="0" applyFont="1" applyFill="1" applyBorder="1" applyAlignment="1">
      <alignment horizontal="center"/>
    </xf>
    <xf numFmtId="43" fontId="23" fillId="30" borderId="10" xfId="1" applyFont="1" applyFill="1" applyBorder="1" applyAlignment="1">
      <alignment horizontal="center"/>
    </xf>
    <xf numFmtId="2" fontId="23" fillId="30" borderId="10" xfId="0" applyNumberFormat="1" applyFont="1" applyFill="1" applyBorder="1" applyAlignment="1">
      <alignment horizontal="right"/>
    </xf>
    <xf numFmtId="0" fontId="23" fillId="30" borderId="8" xfId="0" applyFont="1" applyFill="1" applyBorder="1" applyAlignment="1">
      <alignment horizontal="center"/>
    </xf>
    <xf numFmtId="0" fontId="23" fillId="33" borderId="10" xfId="0" applyFont="1" applyFill="1" applyBorder="1" applyAlignment="1">
      <alignment horizontal="center"/>
    </xf>
    <xf numFmtId="2" fontId="23" fillId="33" borderId="10" xfId="1" applyNumberFormat="1" applyFont="1" applyFill="1" applyBorder="1" applyAlignment="1">
      <alignment horizontal="right" vertical="center"/>
    </xf>
    <xf numFmtId="0" fontId="23" fillId="33" borderId="8" xfId="0" applyFont="1" applyFill="1" applyBorder="1" applyAlignment="1">
      <alignment horizontal="center"/>
    </xf>
    <xf numFmtId="0" fontId="23" fillId="61" borderId="19" xfId="0" applyFont="1" applyFill="1" applyBorder="1" applyAlignment="1">
      <alignment horizontal="center" vertical="center"/>
    </xf>
    <xf numFmtId="0" fontId="23" fillId="61" borderId="10" xfId="0" applyFont="1" applyFill="1" applyBorder="1" applyAlignment="1">
      <alignment horizontal="center" vertical="center"/>
    </xf>
    <xf numFmtId="9" fontId="23" fillId="61" borderId="8" xfId="4" applyFont="1" applyFill="1" applyBorder="1" applyAlignment="1">
      <alignment horizontal="center" vertical="center"/>
    </xf>
    <xf numFmtId="0" fontId="23" fillId="22" borderId="5" xfId="0" applyFont="1" applyFill="1" applyBorder="1" applyAlignment="1">
      <alignment horizontal="center"/>
    </xf>
    <xf numFmtId="0" fontId="23" fillId="5" borderId="1" xfId="0" applyFont="1" applyFill="1" applyBorder="1" applyAlignment="1">
      <alignment horizontal="center" vertical="center" wrapText="1"/>
    </xf>
    <xf numFmtId="2" fontId="23" fillId="0" borderId="45" xfId="1" applyNumberFormat="1" applyFont="1" applyBorder="1" applyAlignment="1">
      <alignment horizontal="center" vertical="center" wrapText="1"/>
    </xf>
    <xf numFmtId="2" fontId="23" fillId="0" borderId="5" xfId="1" applyNumberFormat="1" applyFont="1" applyBorder="1" applyAlignment="1">
      <alignment horizontal="center" vertical="center" wrapText="1"/>
    </xf>
    <xf numFmtId="0" fontId="23" fillId="0" borderId="1" xfId="0" applyFont="1" applyFill="1" applyBorder="1" applyAlignment="1">
      <alignment horizontal="center" vertical="center"/>
    </xf>
    <xf numFmtId="0" fontId="23" fillId="0" borderId="4" xfId="0" applyFont="1" applyFill="1" applyBorder="1" applyAlignment="1">
      <alignment horizontal="center" vertical="center"/>
    </xf>
    <xf numFmtId="2" fontId="23" fillId="0" borderId="4" xfId="0" applyNumberFormat="1" applyFont="1" applyFill="1" applyBorder="1" applyAlignment="1">
      <alignment horizontal="center" vertical="center"/>
    </xf>
    <xf numFmtId="0" fontId="23" fillId="10" borderId="10" xfId="0" applyFont="1" applyFill="1" applyBorder="1" applyAlignment="1">
      <alignment horizontal="center" vertical="center"/>
    </xf>
    <xf numFmtId="0" fontId="23" fillId="10" borderId="8" xfId="0" applyFont="1" applyFill="1" applyBorder="1" applyAlignment="1">
      <alignment horizontal="center" vertical="center"/>
    </xf>
    <xf numFmtId="0" fontId="23" fillId="23" borderId="19" xfId="0" applyFont="1" applyFill="1" applyBorder="1" applyAlignment="1">
      <alignment horizontal="center" vertical="center"/>
    </xf>
    <xf numFmtId="2" fontId="23" fillId="23" borderId="10" xfId="0" applyNumberFormat="1" applyFont="1" applyFill="1" applyBorder="1" applyAlignment="1">
      <alignment horizontal="center" vertical="center"/>
    </xf>
    <xf numFmtId="0" fontId="23" fillId="23" borderId="8" xfId="0" applyFont="1" applyFill="1" applyBorder="1" applyAlignment="1">
      <alignment horizontal="center" vertical="center"/>
    </xf>
    <xf numFmtId="0" fontId="23" fillId="19" borderId="4" xfId="0" applyFont="1" applyFill="1" applyBorder="1" applyAlignment="1">
      <alignment horizontal="center" vertical="center" wrapText="1"/>
    </xf>
    <xf numFmtId="0" fontId="23" fillId="19" borderId="19" xfId="0" applyFont="1" applyFill="1" applyBorder="1" applyAlignment="1">
      <alignment horizontal="center" vertical="center" wrapText="1"/>
    </xf>
    <xf numFmtId="0" fontId="23" fillId="19" borderId="22" xfId="0" applyFont="1" applyFill="1" applyBorder="1" applyAlignment="1">
      <alignment horizontal="center" vertical="center" wrapText="1"/>
    </xf>
    <xf numFmtId="2" fontId="23" fillId="19" borderId="45" xfId="0" applyNumberFormat="1" applyFont="1" applyFill="1" applyBorder="1" applyAlignment="1">
      <alignment horizontal="center" vertical="center" wrapText="1"/>
    </xf>
    <xf numFmtId="2" fontId="23" fillId="19" borderId="5" xfId="0" applyNumberFormat="1" applyFont="1" applyFill="1" applyBorder="1" applyAlignment="1">
      <alignment horizontal="center" vertical="center" wrapText="1"/>
    </xf>
    <xf numFmtId="0" fontId="23" fillId="19" borderId="21" xfId="0" applyFont="1" applyFill="1" applyBorder="1" applyAlignment="1">
      <alignment horizontal="center" vertical="center" wrapText="1"/>
    </xf>
    <xf numFmtId="0" fontId="23" fillId="19" borderId="8" xfId="0" applyFont="1" applyFill="1" applyBorder="1" applyAlignment="1">
      <alignment horizontal="center" vertical="center" wrapText="1"/>
    </xf>
    <xf numFmtId="0" fontId="23" fillId="19" borderId="23" xfId="0" applyFont="1" applyFill="1" applyBorder="1" applyAlignment="1">
      <alignment horizontal="center" vertical="center" wrapText="1"/>
    </xf>
    <xf numFmtId="43" fontId="23" fillId="35" borderId="5" xfId="1" applyFont="1" applyFill="1" applyBorder="1" applyAlignment="1">
      <alignment horizontal="center" vertical="center" wrapText="1"/>
    </xf>
    <xf numFmtId="43" fontId="23" fillId="35" borderId="1" xfId="1" applyFont="1" applyFill="1" applyBorder="1" applyAlignment="1">
      <alignment horizontal="center" vertical="center" wrapText="1"/>
    </xf>
    <xf numFmtId="9" fontId="23" fillId="0" borderId="5" xfId="4" applyFont="1" applyBorder="1" applyAlignment="1">
      <alignment horizontal="center" vertical="center" wrapText="1"/>
    </xf>
    <xf numFmtId="9" fontId="23" fillId="0" borderId="1" xfId="4" applyFont="1" applyBorder="1" applyAlignment="1">
      <alignment horizontal="center" vertical="center" wrapText="1"/>
    </xf>
    <xf numFmtId="43" fontId="23" fillId="0" borderId="45" xfId="1" applyFont="1" applyBorder="1" applyAlignment="1">
      <alignment horizontal="center" vertical="center" wrapText="1"/>
    </xf>
    <xf numFmtId="0" fontId="4" fillId="58" borderId="1" xfId="0" applyFont="1" applyFill="1" applyBorder="1" applyAlignment="1">
      <alignment horizontal="center" vertical="center" wrapText="1"/>
    </xf>
    <xf numFmtId="0" fontId="50" fillId="0" borderId="8" xfId="0" applyFont="1" applyBorder="1" applyAlignment="1">
      <alignment horizontal="center" vertical="center" wrapText="1"/>
    </xf>
    <xf numFmtId="0" fontId="50" fillId="0" borderId="23" xfId="0" applyFont="1" applyBorder="1" applyAlignment="1">
      <alignment horizontal="center" vertical="center" wrapText="1"/>
    </xf>
    <xf numFmtId="0" fontId="23" fillId="56" borderId="4" xfId="0" applyFont="1" applyFill="1" applyBorder="1" applyAlignment="1">
      <alignment horizontal="center" vertical="center" wrapText="1"/>
    </xf>
    <xf numFmtId="0" fontId="23" fillId="56" borderId="5" xfId="0" applyFont="1" applyFill="1" applyBorder="1" applyAlignment="1">
      <alignment horizontal="center" vertical="center" wrapText="1"/>
    </xf>
    <xf numFmtId="0" fontId="23" fillId="0" borderId="2" xfId="0" applyFont="1" applyFill="1" applyBorder="1" applyAlignment="1">
      <alignment horizontal="center" vertical="center"/>
    </xf>
    <xf numFmtId="0" fontId="23" fillId="0" borderId="3" xfId="0" applyFont="1" applyFill="1" applyBorder="1" applyAlignment="1">
      <alignment horizontal="center" vertical="center"/>
    </xf>
    <xf numFmtId="43" fontId="23" fillId="0" borderId="3" xfId="1" applyFont="1" applyFill="1" applyBorder="1" applyAlignment="1">
      <alignment horizontal="center" vertical="center"/>
    </xf>
    <xf numFmtId="0" fontId="23" fillId="0" borderId="7" xfId="0" applyFont="1" applyFill="1" applyBorder="1" applyAlignment="1">
      <alignment horizontal="center" vertical="center"/>
    </xf>
    <xf numFmtId="0" fontId="23" fillId="15" borderId="2" xfId="0" applyFont="1" applyFill="1" applyBorder="1" applyAlignment="1">
      <alignment horizontal="center" vertical="center"/>
    </xf>
    <xf numFmtId="0" fontId="23" fillId="57" borderId="1" xfId="0" applyFont="1" applyFill="1" applyBorder="1" applyAlignment="1">
      <alignment horizontal="center" vertical="center" wrapText="1"/>
    </xf>
    <xf numFmtId="0" fontId="23" fillId="0" borderId="1" xfId="0" applyNumberFormat="1" applyFont="1" applyBorder="1" applyAlignment="1">
      <alignment horizontal="center" vertical="center" wrapText="1"/>
    </xf>
    <xf numFmtId="1" fontId="23" fillId="0" borderId="1" xfId="0" applyNumberFormat="1" applyFont="1" applyBorder="1" applyAlignment="1">
      <alignment horizontal="center" vertical="center" wrapText="1"/>
    </xf>
    <xf numFmtId="0" fontId="50" fillId="0" borderId="1" xfId="0" applyFont="1" applyBorder="1" applyAlignment="1">
      <alignment horizontal="center" vertical="center" wrapText="1"/>
    </xf>
    <xf numFmtId="0" fontId="23" fillId="0" borderId="2" xfId="0" applyFont="1" applyFill="1" applyBorder="1" applyAlignment="1">
      <alignment horizontal="center"/>
    </xf>
    <xf numFmtId="0" fontId="23" fillId="63" borderId="2" xfId="0" applyFont="1" applyFill="1" applyBorder="1" applyAlignment="1">
      <alignment horizontal="center"/>
    </xf>
    <xf numFmtId="0" fontId="23" fillId="63" borderId="3" xfId="0" applyFont="1" applyFill="1" applyBorder="1" applyAlignment="1">
      <alignment horizontal="center"/>
    </xf>
    <xf numFmtId="0" fontId="23" fillId="63" borderId="7" xfId="0" applyFont="1" applyFill="1" applyBorder="1" applyAlignment="1">
      <alignment horizontal="center"/>
    </xf>
    <xf numFmtId="0" fontId="23" fillId="6" borderId="4" xfId="0" applyFont="1" applyFill="1" applyBorder="1" applyAlignment="1">
      <alignment horizontal="center" vertical="center" wrapText="1"/>
    </xf>
    <xf numFmtId="0" fontId="23" fillId="6" borderId="5" xfId="0" applyFont="1" applyFill="1" applyBorder="1" applyAlignment="1">
      <alignment horizontal="center" vertical="center" wrapText="1"/>
    </xf>
    <xf numFmtId="0" fontId="23" fillId="0" borderId="3" xfId="0" applyFont="1" applyFill="1" applyBorder="1" applyAlignment="1">
      <alignment horizontal="center" vertical="center" wrapText="1"/>
    </xf>
    <xf numFmtId="0" fontId="23" fillId="0" borderId="1" xfId="0" applyFont="1" applyBorder="1" applyAlignment="1">
      <alignment horizontal="center" vertical="center"/>
    </xf>
    <xf numFmtId="0" fontId="23" fillId="0" borderId="1" xfId="0" applyFont="1" applyBorder="1" applyAlignment="1">
      <alignment horizontal="center"/>
    </xf>
    <xf numFmtId="14" fontId="23" fillId="0" borderId="1" xfId="0" applyNumberFormat="1" applyFont="1" applyBorder="1" applyAlignment="1">
      <alignment horizontal="center"/>
    </xf>
    <xf numFmtId="14" fontId="23" fillId="26" borderId="1" xfId="0" applyNumberFormat="1" applyFont="1" applyFill="1" applyBorder="1" applyAlignment="1">
      <alignment horizontal="center" vertical="center" wrapText="1"/>
    </xf>
    <xf numFmtId="0" fontId="23" fillId="44" borderId="2" xfId="0" applyFont="1" applyFill="1" applyBorder="1" applyAlignment="1">
      <alignment horizontal="center" vertical="center"/>
    </xf>
    <xf numFmtId="0" fontId="23" fillId="44" borderId="3" xfId="0" applyFont="1" applyFill="1" applyBorder="1" applyAlignment="1">
      <alignment horizontal="center" vertical="center"/>
    </xf>
    <xf numFmtId="0" fontId="23" fillId="44" borderId="7" xfId="0" applyFont="1" applyFill="1" applyBorder="1" applyAlignment="1">
      <alignment horizontal="center" vertical="center"/>
    </xf>
    <xf numFmtId="14" fontId="23" fillId="0" borderId="1" xfId="0" applyNumberFormat="1" applyFont="1" applyBorder="1" applyAlignment="1">
      <alignment horizontal="center" vertical="center" wrapText="1"/>
    </xf>
    <xf numFmtId="0" fontId="0" fillId="0" borderId="4" xfId="0" applyBorder="1" applyAlignment="1">
      <alignment horizontal="center" vertical="center" wrapText="1"/>
    </xf>
    <xf numFmtId="0" fontId="0" fillId="0" borderId="45" xfId="0" applyBorder="1" applyAlignment="1">
      <alignment horizontal="center" vertical="center" wrapText="1"/>
    </xf>
    <xf numFmtId="0" fontId="50" fillId="0" borderId="0" xfId="0" applyFont="1" applyBorder="1" applyAlignment="1">
      <alignment horizontal="center" vertical="center"/>
    </xf>
    <xf numFmtId="0" fontId="50" fillId="0" borderId="0" xfId="0" applyFont="1" applyAlignment="1">
      <alignment horizontal="center" vertical="center"/>
    </xf>
    <xf numFmtId="0" fontId="50" fillId="0" borderId="20" xfId="0" applyFont="1" applyBorder="1" applyAlignment="1">
      <alignment horizontal="center" vertical="center"/>
    </xf>
    <xf numFmtId="0" fontId="50" fillId="0" borderId="41" xfId="0" applyFont="1" applyBorder="1" applyAlignment="1">
      <alignment horizontal="center" vertical="center"/>
    </xf>
    <xf numFmtId="0" fontId="50" fillId="0" borderId="23" xfId="0" applyFont="1" applyBorder="1" applyAlignment="1">
      <alignment horizontal="center" vertical="center"/>
    </xf>
    <xf numFmtId="0" fontId="23" fillId="0" borderId="2" xfId="0" applyFont="1" applyBorder="1" applyAlignment="1">
      <alignment horizontal="center"/>
    </xf>
    <xf numFmtId="0" fontId="23" fillId="0" borderId="3" xfId="0" applyFont="1" applyBorder="1" applyAlignment="1">
      <alignment horizontal="center"/>
    </xf>
    <xf numFmtId="0" fontId="23" fillId="0" borderId="1" xfId="0" applyFont="1" applyBorder="1" applyAlignment="1">
      <alignment vertical="center"/>
    </xf>
    <xf numFmtId="0" fontId="34" fillId="0" borderId="3" xfId="0" applyFont="1" applyFill="1" applyBorder="1" applyAlignment="1">
      <alignment horizontal="center"/>
    </xf>
    <xf numFmtId="43" fontId="23" fillId="0" borderId="3" xfId="1" applyFont="1" applyBorder="1" applyAlignment="1">
      <alignment horizontal="right"/>
    </xf>
    <xf numFmtId="43" fontId="23" fillId="0" borderId="3" xfId="1" applyFont="1" applyBorder="1" applyAlignment="1"/>
    <xf numFmtId="0" fontId="23" fillId="0" borderId="7" xfId="0" applyFont="1" applyBorder="1" applyAlignment="1">
      <alignment horizontal="center"/>
    </xf>
    <xf numFmtId="0" fontId="23" fillId="12" borderId="2" xfId="0" applyFont="1" applyFill="1" applyBorder="1" applyAlignment="1">
      <alignment horizontal="center" vertical="center"/>
    </xf>
    <xf numFmtId="0" fontId="23" fillId="12" borderId="3" xfId="0" applyFont="1" applyFill="1" applyBorder="1" applyAlignment="1">
      <alignment horizontal="center" vertical="center"/>
    </xf>
    <xf numFmtId="0" fontId="23" fillId="12" borderId="7" xfId="0" applyFont="1" applyFill="1" applyBorder="1" applyAlignment="1">
      <alignment horizontal="center" vertical="center"/>
    </xf>
    <xf numFmtId="0" fontId="23" fillId="65" borderId="1" xfId="0" applyFont="1" applyFill="1" applyBorder="1" applyAlignment="1">
      <alignment horizontal="center"/>
    </xf>
    <xf numFmtId="165" fontId="23" fillId="65" borderId="1" xfId="1" applyNumberFormat="1" applyFont="1" applyFill="1" applyBorder="1" applyAlignment="1">
      <alignment horizontal="center"/>
    </xf>
    <xf numFmtId="0" fontId="4" fillId="26" borderId="2" xfId="0" applyFont="1" applyFill="1" applyBorder="1" applyAlignment="1">
      <alignment vertical="center"/>
    </xf>
    <xf numFmtId="0" fontId="4" fillId="26" borderId="3" xfId="0" applyFont="1" applyFill="1" applyBorder="1" applyAlignment="1">
      <alignment horizontal="center"/>
    </xf>
    <xf numFmtId="0" fontId="4" fillId="0" borderId="3" xfId="0" applyFont="1" applyFill="1" applyBorder="1" applyAlignment="1">
      <alignment horizontal="center"/>
    </xf>
    <xf numFmtId="0" fontId="23" fillId="6" borderId="1" xfId="0" applyFont="1" applyFill="1" applyBorder="1" applyAlignment="1">
      <alignment horizontal="center"/>
    </xf>
    <xf numFmtId="0" fontId="23" fillId="26" borderId="1" xfId="0" applyFont="1" applyFill="1" applyBorder="1" applyAlignment="1">
      <alignment horizontal="center"/>
    </xf>
    <xf numFmtId="49" fontId="23" fillId="5" borderId="19" xfId="0" applyNumberFormat="1" applyFont="1" applyFill="1" applyBorder="1" applyAlignment="1">
      <alignment horizontal="center"/>
    </xf>
    <xf numFmtId="49" fontId="23" fillId="5" borderId="8" xfId="0" applyNumberFormat="1" applyFont="1" applyFill="1" applyBorder="1" applyAlignment="1">
      <alignment horizontal="center"/>
    </xf>
    <xf numFmtId="0" fontId="23" fillId="5" borderId="19" xfId="0" applyFont="1" applyFill="1" applyBorder="1" applyAlignment="1">
      <alignment horizontal="center"/>
    </xf>
    <xf numFmtId="0" fontId="23" fillId="5" borderId="8" xfId="0" applyFont="1" applyFill="1" applyBorder="1" applyAlignment="1">
      <alignment horizontal="center"/>
    </xf>
    <xf numFmtId="0" fontId="28" fillId="0" borderId="2" xfId="0" applyFont="1" applyBorder="1" applyAlignment="1">
      <alignment horizontal="center"/>
    </xf>
    <xf numFmtId="0" fontId="28" fillId="0" borderId="3" xfId="0" applyFont="1" applyBorder="1" applyAlignment="1">
      <alignment horizontal="center"/>
    </xf>
    <xf numFmtId="0" fontId="28" fillId="0" borderId="7" xfId="0" applyFont="1" applyBorder="1" applyAlignment="1">
      <alignment horizontal="center"/>
    </xf>
    <xf numFmtId="0" fontId="23" fillId="5" borderId="1" xfId="0" applyFont="1" applyFill="1" applyBorder="1" applyAlignment="1">
      <alignment horizontal="center" vertical="center"/>
    </xf>
    <xf numFmtId="0" fontId="23" fillId="14" borderId="4" xfId="0" applyFont="1" applyFill="1" applyBorder="1" applyAlignment="1">
      <alignment horizontal="center" vertical="center" wrapText="1"/>
    </xf>
    <xf numFmtId="0" fontId="23" fillId="14" borderId="45" xfId="0" applyFont="1" applyFill="1" applyBorder="1" applyAlignment="1">
      <alignment horizontal="center" vertical="center" wrapText="1"/>
    </xf>
    <xf numFmtId="0" fontId="23" fillId="14" borderId="5" xfId="0" applyFont="1" applyFill="1" applyBorder="1" applyAlignment="1">
      <alignment horizontal="center" vertical="center" wrapText="1"/>
    </xf>
    <xf numFmtId="0" fontId="23" fillId="67" borderId="2" xfId="0" applyFont="1" applyFill="1" applyBorder="1" applyAlignment="1">
      <alignment horizontal="center" vertical="center"/>
    </xf>
    <xf numFmtId="0" fontId="23" fillId="67" borderId="3" xfId="0" applyFont="1" applyFill="1" applyBorder="1" applyAlignment="1">
      <alignment horizontal="center" vertical="center"/>
    </xf>
    <xf numFmtId="0" fontId="23" fillId="67" borderId="7" xfId="0" applyFont="1" applyFill="1" applyBorder="1" applyAlignment="1">
      <alignment horizontal="center" vertical="center"/>
    </xf>
    <xf numFmtId="165" fontId="23" fillId="7" borderId="4" xfId="1" applyNumberFormat="1" applyFont="1" applyFill="1" applyBorder="1" applyAlignment="1">
      <alignment horizontal="center" vertical="center" wrapText="1"/>
    </xf>
    <xf numFmtId="165" fontId="23" fillId="7" borderId="5" xfId="1" applyNumberFormat="1" applyFont="1" applyFill="1" applyBorder="1" applyAlignment="1">
      <alignment horizontal="center" vertical="center" wrapText="1"/>
    </xf>
    <xf numFmtId="0" fontId="23" fillId="0" borderId="19" xfId="0" applyFont="1" applyFill="1" applyBorder="1" applyAlignment="1">
      <alignment horizontal="center" vertical="center"/>
    </xf>
    <xf numFmtId="0" fontId="23" fillId="0" borderId="10" xfId="0" applyFont="1" applyFill="1" applyBorder="1" applyAlignment="1">
      <alignment horizontal="center" vertical="center"/>
    </xf>
    <xf numFmtId="2" fontId="23" fillId="0" borderId="10" xfId="0" applyNumberFormat="1" applyFont="1" applyFill="1" applyBorder="1" applyAlignment="1">
      <alignment vertical="center"/>
    </xf>
    <xf numFmtId="43" fontId="23" fillId="0" borderId="10" xfId="1" applyFont="1" applyFill="1" applyBorder="1" applyAlignment="1">
      <alignment horizontal="center" vertical="center"/>
    </xf>
    <xf numFmtId="0" fontId="23" fillId="0" borderId="8" xfId="0" applyFont="1" applyFill="1" applyBorder="1" applyAlignment="1">
      <alignment horizontal="center" vertical="center"/>
    </xf>
    <xf numFmtId="0" fontId="23" fillId="0" borderId="19" xfId="0" applyFont="1" applyFill="1" applyBorder="1" applyAlignment="1">
      <alignment vertical="center"/>
    </xf>
    <xf numFmtId="172" fontId="23" fillId="0" borderId="8" xfId="0" applyNumberFormat="1" applyFont="1" applyFill="1" applyBorder="1" applyAlignment="1">
      <alignment vertical="center"/>
    </xf>
    <xf numFmtId="0" fontId="23" fillId="5" borderId="19" xfId="0" applyFont="1" applyFill="1" applyBorder="1" applyAlignment="1">
      <alignment horizontal="center" vertical="center"/>
    </xf>
    <xf numFmtId="0" fontId="23" fillId="5" borderId="8" xfId="0" applyFont="1" applyFill="1" applyBorder="1" applyAlignment="1">
      <alignment horizontal="center" vertical="center"/>
    </xf>
    <xf numFmtId="0" fontId="23" fillId="5" borderId="22" xfId="0" applyFont="1" applyFill="1" applyBorder="1" applyAlignment="1">
      <alignment horizontal="center" vertical="center"/>
    </xf>
    <xf numFmtId="0" fontId="23" fillId="5" borderId="23" xfId="0" applyFont="1" applyFill="1" applyBorder="1" applyAlignment="1">
      <alignment horizontal="center" vertical="center"/>
    </xf>
    <xf numFmtId="0" fontId="23" fillId="18" borderId="4" xfId="0" applyFont="1" applyFill="1" applyBorder="1" applyAlignment="1">
      <alignment horizontal="center" vertical="center" wrapText="1"/>
    </xf>
    <xf numFmtId="0" fontId="23" fillId="18" borderId="45" xfId="0" applyFont="1" applyFill="1" applyBorder="1" applyAlignment="1">
      <alignment horizontal="center" vertical="center" wrapText="1"/>
    </xf>
    <xf numFmtId="0" fontId="23" fillId="18" borderId="5" xfId="0" applyFont="1" applyFill="1" applyBorder="1" applyAlignment="1">
      <alignment horizontal="center" vertical="center" wrapText="1"/>
    </xf>
    <xf numFmtId="0" fontId="23" fillId="18" borderId="2" xfId="0" applyFont="1" applyFill="1" applyBorder="1" applyAlignment="1">
      <alignment horizontal="center"/>
    </xf>
    <xf numFmtId="0" fontId="23" fillId="18" borderId="3" xfId="0" applyFont="1" applyFill="1" applyBorder="1" applyAlignment="1">
      <alignment horizontal="center"/>
    </xf>
    <xf numFmtId="0" fontId="23" fillId="18" borderId="8" xfId="0" applyFont="1" applyFill="1" applyBorder="1" applyAlignment="1">
      <alignment horizontal="center"/>
    </xf>
    <xf numFmtId="0" fontId="23" fillId="18" borderId="7" xfId="0" applyFont="1" applyFill="1" applyBorder="1" applyAlignment="1">
      <alignment horizontal="center"/>
    </xf>
    <xf numFmtId="0" fontId="4" fillId="18" borderId="19" xfId="0" applyFont="1" applyFill="1" applyBorder="1" applyAlignment="1">
      <alignment horizontal="center" vertical="center" wrapText="1"/>
    </xf>
    <xf numFmtId="0" fontId="4" fillId="18" borderId="8" xfId="0" applyFont="1" applyFill="1" applyBorder="1" applyAlignment="1">
      <alignment horizontal="center" vertical="center" wrapText="1"/>
    </xf>
    <xf numFmtId="0" fontId="4" fillId="18" borderId="21" xfId="0" applyFont="1" applyFill="1" applyBorder="1" applyAlignment="1">
      <alignment horizontal="center" vertical="center" wrapText="1"/>
    </xf>
    <xf numFmtId="0" fontId="4" fillId="18" borderId="20" xfId="0" applyFont="1" applyFill="1" applyBorder="1" applyAlignment="1">
      <alignment horizontal="center" vertical="center" wrapText="1"/>
    </xf>
    <xf numFmtId="0" fontId="4" fillId="18" borderId="22" xfId="0" applyFont="1" applyFill="1" applyBorder="1" applyAlignment="1">
      <alignment horizontal="center" vertical="center" wrapText="1"/>
    </xf>
    <xf numFmtId="0" fontId="4" fillId="18" borderId="23" xfId="0" applyFont="1" applyFill="1" applyBorder="1" applyAlignment="1">
      <alignment horizontal="center" vertical="center" wrapText="1"/>
    </xf>
    <xf numFmtId="43" fontId="23" fillId="18" borderId="2" xfId="1" applyFont="1" applyFill="1" applyBorder="1" applyAlignment="1">
      <alignment horizontal="right" vertical="center"/>
    </xf>
    <xf numFmtId="43" fontId="23" fillId="18" borderId="3" xfId="1" applyFont="1" applyFill="1" applyBorder="1" applyAlignment="1">
      <alignment horizontal="center" vertical="center"/>
    </xf>
    <xf numFmtId="43" fontId="50" fillId="18" borderId="4" xfId="1" applyFont="1" applyFill="1" applyBorder="1" applyAlignment="1">
      <alignment horizontal="center" vertical="center" wrapText="1"/>
    </xf>
    <xf numFmtId="43" fontId="50" fillId="18" borderId="45" xfId="1" applyFont="1" applyFill="1" applyBorder="1" applyAlignment="1">
      <alignment horizontal="center" vertical="center" wrapText="1"/>
    </xf>
    <xf numFmtId="43" fontId="50" fillId="18" borderId="5" xfId="1" applyFont="1" applyFill="1" applyBorder="1" applyAlignment="1">
      <alignment horizontal="center" vertical="center" wrapText="1"/>
    </xf>
    <xf numFmtId="0" fontId="50" fillId="61" borderId="1" xfId="0" applyFont="1" applyFill="1" applyBorder="1" applyAlignment="1">
      <alignment horizontal="center" vertical="center" wrapText="1"/>
    </xf>
    <xf numFmtId="0" fontId="4" fillId="61" borderId="1" xfId="0" applyFont="1" applyFill="1" applyBorder="1" applyAlignment="1">
      <alignment horizontal="center" vertical="center" wrapText="1"/>
    </xf>
    <xf numFmtId="43" fontId="50" fillId="0" borderId="19" xfId="1" applyFont="1" applyBorder="1" applyAlignment="1">
      <alignment horizontal="center" vertical="center" wrapText="1"/>
    </xf>
    <xf numFmtId="43" fontId="50" fillId="0" borderId="22" xfId="1" applyFont="1" applyBorder="1" applyAlignment="1">
      <alignment horizontal="center" vertical="center" wrapText="1"/>
    </xf>
    <xf numFmtId="43" fontId="50" fillId="0" borderId="10" xfId="1" applyFont="1" applyBorder="1" applyAlignment="1">
      <alignment horizontal="center" vertical="center" wrapText="1"/>
    </xf>
    <xf numFmtId="43" fontId="50" fillId="0" borderId="41" xfId="1" applyFont="1" applyBorder="1" applyAlignment="1">
      <alignment horizontal="center" vertical="center" wrapText="1"/>
    </xf>
    <xf numFmtId="165" fontId="23" fillId="7" borderId="2" xfId="1" applyNumberFormat="1" applyFont="1" applyFill="1" applyBorder="1" applyAlignment="1">
      <alignment horizontal="center"/>
    </xf>
    <xf numFmtId="165" fontId="23" fillId="7" borderId="3" xfId="1" applyNumberFormat="1" applyFont="1" applyFill="1" applyBorder="1" applyAlignment="1">
      <alignment horizontal="center"/>
    </xf>
    <xf numFmtId="165" fontId="23" fillId="7" borderId="7" xfId="1" applyNumberFormat="1" applyFont="1" applyFill="1" applyBorder="1" applyAlignment="1">
      <alignment horizontal="center"/>
    </xf>
    <xf numFmtId="0" fontId="23" fillId="66" borderId="2" xfId="0" applyFont="1" applyFill="1" applyBorder="1" applyAlignment="1">
      <alignment horizontal="center" vertical="center"/>
    </xf>
    <xf numFmtId="0" fontId="23" fillId="66" borderId="3" xfId="0" applyFont="1" applyFill="1" applyBorder="1" applyAlignment="1">
      <alignment horizontal="center" vertical="center"/>
    </xf>
    <xf numFmtId="0" fontId="23" fillId="66" borderId="7" xfId="0" applyFont="1" applyFill="1" applyBorder="1" applyAlignment="1">
      <alignment horizontal="center" vertical="center"/>
    </xf>
    <xf numFmtId="0" fontId="23" fillId="32" borderId="1" xfId="0" applyFont="1" applyFill="1" applyBorder="1" applyAlignment="1">
      <alignment horizontal="center" vertical="center"/>
    </xf>
    <xf numFmtId="0" fontId="23" fillId="8" borderId="2" xfId="0" applyFont="1" applyFill="1" applyBorder="1" applyAlignment="1">
      <alignment horizontal="center" vertical="center"/>
    </xf>
    <xf numFmtId="0" fontId="23" fillId="8" borderId="3" xfId="0" applyFont="1" applyFill="1" applyBorder="1" applyAlignment="1">
      <alignment horizontal="center" vertical="center"/>
    </xf>
    <xf numFmtId="0" fontId="23" fillId="8" borderId="7" xfId="0" applyFont="1" applyFill="1" applyBorder="1" applyAlignment="1">
      <alignment horizontal="center" vertical="center"/>
    </xf>
    <xf numFmtId="0" fontId="23" fillId="22" borderId="2" xfId="0" applyFont="1" applyFill="1" applyBorder="1" applyAlignment="1">
      <alignment horizontal="center" vertical="center"/>
    </xf>
    <xf numFmtId="0" fontId="23" fillId="22" borderId="3" xfId="0" applyFont="1" applyFill="1" applyBorder="1" applyAlignment="1">
      <alignment horizontal="center" vertical="center"/>
    </xf>
    <xf numFmtId="2" fontId="23" fillId="22" borderId="3" xfId="0" applyNumberFormat="1" applyFont="1" applyFill="1" applyBorder="1" applyAlignment="1">
      <alignment vertical="center"/>
    </xf>
    <xf numFmtId="43" fontId="23" fillId="22" borderId="3" xfId="1" applyFont="1" applyFill="1" applyBorder="1" applyAlignment="1">
      <alignment horizontal="center" vertical="center"/>
    </xf>
    <xf numFmtId="0" fontId="23" fillId="22" borderId="7" xfId="0" applyFont="1" applyFill="1" applyBorder="1" applyAlignment="1">
      <alignment horizontal="center" vertical="center"/>
    </xf>
    <xf numFmtId="0" fontId="23" fillId="68" borderId="2" xfId="0" applyFont="1" applyFill="1" applyBorder="1" applyAlignment="1">
      <alignment horizontal="center" vertical="center"/>
    </xf>
    <xf numFmtId="0" fontId="23" fillId="68" borderId="3" xfId="0" applyFont="1" applyFill="1" applyBorder="1" applyAlignment="1">
      <alignment horizontal="center" vertical="center"/>
    </xf>
    <xf numFmtId="0" fontId="23" fillId="68" borderId="7" xfId="0" applyFont="1" applyFill="1" applyBorder="1" applyAlignment="1">
      <alignment horizontal="center" vertical="center"/>
    </xf>
    <xf numFmtId="0" fontId="23" fillId="11" borderId="2" xfId="0" applyFont="1" applyFill="1" applyBorder="1" applyAlignment="1">
      <alignment horizontal="center" vertical="center"/>
    </xf>
    <xf numFmtId="0" fontId="23" fillId="11" borderId="3" xfId="0" applyFont="1" applyFill="1" applyBorder="1" applyAlignment="1">
      <alignment horizontal="center" vertical="center"/>
    </xf>
    <xf numFmtId="0" fontId="23" fillId="11" borderId="7" xfId="0" applyFont="1" applyFill="1" applyBorder="1" applyAlignment="1">
      <alignment horizontal="center" vertical="center"/>
    </xf>
    <xf numFmtId="165" fontId="22" fillId="0" borderId="1" xfId="3" applyNumberFormat="1" applyBorder="1" applyAlignment="1">
      <alignment horizontal="center" vertical="center" wrapText="1"/>
    </xf>
    <xf numFmtId="165" fontId="50" fillId="0" borderId="1" xfId="1" applyNumberFormat="1" applyFont="1" applyBorder="1" applyAlignment="1">
      <alignment horizontal="center" vertical="center" wrapText="1"/>
    </xf>
    <xf numFmtId="0" fontId="23" fillId="0" borderId="1" xfId="0" applyFont="1" applyBorder="1" applyAlignment="1">
      <alignment vertical="center" wrapText="1"/>
    </xf>
    <xf numFmtId="0" fontId="4" fillId="5" borderId="2" xfId="0" applyFont="1" applyFill="1" applyBorder="1" applyAlignment="1">
      <alignment horizontal="center"/>
    </xf>
    <xf numFmtId="0" fontId="4" fillId="5" borderId="7" xfId="0" applyFont="1" applyFill="1" applyBorder="1" applyAlignment="1">
      <alignment horizontal="center"/>
    </xf>
    <xf numFmtId="49" fontId="23" fillId="69" borderId="19" xfId="0" applyNumberFormat="1" applyFont="1" applyFill="1" applyBorder="1" applyAlignment="1">
      <alignment horizontal="center"/>
    </xf>
    <xf numFmtId="49" fontId="23" fillId="69" borderId="8" xfId="0" applyNumberFormat="1" applyFont="1" applyFill="1" applyBorder="1" applyAlignment="1">
      <alignment horizontal="center"/>
    </xf>
    <xf numFmtId="43" fontId="23" fillId="18" borderId="2" xfId="1" applyFont="1" applyFill="1" applyBorder="1" applyAlignment="1">
      <alignment horizontal="center" vertical="center"/>
    </xf>
    <xf numFmtId="43" fontId="23" fillId="18" borderId="7" xfId="1" applyFont="1" applyFill="1" applyBorder="1" applyAlignment="1">
      <alignment horizontal="center" vertical="center"/>
    </xf>
    <xf numFmtId="43" fontId="50" fillId="18" borderId="8" xfId="1" applyFont="1" applyFill="1" applyBorder="1" applyAlignment="1">
      <alignment horizontal="center" vertical="center" wrapText="1"/>
    </xf>
    <xf numFmtId="43" fontId="50" fillId="18" borderId="20" xfId="1" applyFont="1" applyFill="1" applyBorder="1" applyAlignment="1">
      <alignment horizontal="center" vertical="center" wrapText="1"/>
    </xf>
    <xf numFmtId="43" fontId="50" fillId="18" borderId="23" xfId="1" applyFont="1" applyFill="1" applyBorder="1" applyAlignment="1">
      <alignment horizontal="center" vertical="center" wrapText="1"/>
    </xf>
    <xf numFmtId="0" fontId="50" fillId="18" borderId="4" xfId="0" applyFont="1" applyFill="1" applyBorder="1" applyAlignment="1">
      <alignment horizontal="center" vertical="center" wrapText="1"/>
    </xf>
    <xf numFmtId="0" fontId="50" fillId="18" borderId="45" xfId="0" applyFont="1" applyFill="1" applyBorder="1" applyAlignment="1">
      <alignment horizontal="center" vertical="center" wrapText="1"/>
    </xf>
    <xf numFmtId="0" fontId="50" fillId="18" borderId="5" xfId="0" applyFont="1" applyFill="1" applyBorder="1" applyAlignment="1">
      <alignment horizontal="center" vertical="center" wrapText="1"/>
    </xf>
    <xf numFmtId="0" fontId="50" fillId="6" borderId="1" xfId="0" applyFont="1" applyFill="1" applyBorder="1" applyAlignment="1">
      <alignment horizontal="center" vertical="center" wrapText="1"/>
    </xf>
    <xf numFmtId="43" fontId="50" fillId="0" borderId="8" xfId="1" applyFont="1" applyBorder="1" applyAlignment="1">
      <alignment horizontal="center" vertical="center" wrapText="1"/>
    </xf>
    <xf numFmtId="43" fontId="50" fillId="0" borderId="23" xfId="1" applyFont="1" applyBorder="1" applyAlignment="1">
      <alignment horizontal="center" vertical="center" wrapText="1"/>
    </xf>
    <xf numFmtId="0" fontId="23" fillId="70" borderId="1" xfId="0"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6" borderId="1" xfId="0" applyFont="1" applyFill="1" applyBorder="1" applyAlignment="1">
      <alignment horizontal="center" vertical="center"/>
    </xf>
    <xf numFmtId="0" fontId="23" fillId="6" borderId="1" xfId="0" applyFont="1" applyFill="1" applyBorder="1" applyAlignment="1">
      <alignment horizontal="center" vertical="center" wrapText="1"/>
    </xf>
    <xf numFmtId="0" fontId="23" fillId="14" borderId="1" xfId="0" applyFont="1" applyFill="1" applyBorder="1" applyAlignment="1">
      <alignment horizontal="center" vertical="center"/>
    </xf>
    <xf numFmtId="0" fontId="23" fillId="50" borderId="1" xfId="0" applyFont="1" applyFill="1" applyBorder="1" applyAlignment="1">
      <alignment horizontal="center" vertical="center" wrapText="1"/>
    </xf>
    <xf numFmtId="0" fontId="23" fillId="50" borderId="4" xfId="0" applyFont="1" applyFill="1" applyBorder="1" applyAlignment="1">
      <alignment horizontal="center" vertical="center" wrapText="1"/>
    </xf>
    <xf numFmtId="0" fontId="23" fillId="50" borderId="5" xfId="0" applyFont="1" applyFill="1" applyBorder="1" applyAlignment="1">
      <alignment horizontal="center" vertical="center" wrapText="1"/>
    </xf>
    <xf numFmtId="0" fontId="23" fillId="71" borderId="4" xfId="0" applyFont="1" applyFill="1" applyBorder="1" applyAlignment="1">
      <alignment horizontal="center" vertical="center" wrapText="1"/>
    </xf>
    <xf numFmtId="0" fontId="23" fillId="71" borderId="5" xfId="0" applyFont="1" applyFill="1" applyBorder="1" applyAlignment="1">
      <alignment horizontal="center" vertical="center" wrapText="1"/>
    </xf>
    <xf numFmtId="172" fontId="23" fillId="0" borderId="4" xfId="0" applyNumberFormat="1" applyFont="1" applyBorder="1" applyAlignment="1">
      <alignment horizontal="center" vertical="center" wrapText="1"/>
    </xf>
    <xf numFmtId="172" fontId="23" fillId="0" borderId="5" xfId="0" applyNumberFormat="1" applyFont="1" applyBorder="1" applyAlignment="1">
      <alignment horizontal="center" vertical="center" wrapText="1"/>
    </xf>
    <xf numFmtId="2" fontId="23" fillId="71" borderId="4" xfId="1" applyNumberFormat="1" applyFont="1" applyFill="1" applyBorder="1" applyAlignment="1">
      <alignment horizontal="center" vertical="center" wrapText="1"/>
    </xf>
    <xf numFmtId="2" fontId="23" fillId="71" borderId="5" xfId="1" applyNumberFormat="1" applyFont="1" applyFill="1" applyBorder="1" applyAlignment="1">
      <alignment horizontal="center" vertical="center" wrapText="1"/>
    </xf>
    <xf numFmtId="43" fontId="23" fillId="71" borderId="4" xfId="1" applyFont="1" applyFill="1" applyBorder="1" applyAlignment="1">
      <alignment horizontal="center" vertical="center" wrapText="1"/>
    </xf>
    <xf numFmtId="43" fontId="23" fillId="71" borderId="5" xfId="1" applyFont="1" applyFill="1" applyBorder="1" applyAlignment="1">
      <alignment horizontal="center" vertical="center" wrapText="1"/>
    </xf>
    <xf numFmtId="0" fontId="35" fillId="40" borderId="1" xfId="0" applyFont="1" applyFill="1" applyBorder="1" applyAlignment="1">
      <alignment horizontal="center" vertical="center" wrapText="1"/>
    </xf>
    <xf numFmtId="0" fontId="35" fillId="40" borderId="2" xfId="0" applyFont="1" applyFill="1" applyBorder="1" applyAlignment="1">
      <alignment horizontal="center" vertical="center" wrapText="1"/>
    </xf>
    <xf numFmtId="0" fontId="35" fillId="40" borderId="4" xfId="0" applyFont="1" applyFill="1" applyBorder="1" applyAlignment="1">
      <alignment horizontal="center" vertical="center" wrapText="1"/>
    </xf>
    <xf numFmtId="0" fontId="35" fillId="40" borderId="45" xfId="0" applyFont="1" applyFill="1" applyBorder="1" applyAlignment="1">
      <alignment horizontal="center" vertical="center" wrapText="1"/>
    </xf>
    <xf numFmtId="0" fontId="35" fillId="40" borderId="19" xfId="0" applyFont="1" applyFill="1" applyBorder="1" applyAlignment="1">
      <alignment horizontal="center" vertical="center" wrapText="1"/>
    </xf>
    <xf numFmtId="0" fontId="35" fillId="40" borderId="8" xfId="0" applyFont="1" applyFill="1" applyBorder="1" applyAlignment="1">
      <alignment horizontal="center" vertical="center" wrapText="1"/>
    </xf>
    <xf numFmtId="0" fontId="35" fillId="40" borderId="22" xfId="0" applyFont="1" applyFill="1" applyBorder="1" applyAlignment="1">
      <alignment horizontal="center" vertical="center" wrapText="1"/>
    </xf>
    <xf numFmtId="0" fontId="35" fillId="40" borderId="23" xfId="0" applyFont="1" applyFill="1" applyBorder="1" applyAlignment="1">
      <alignment horizontal="center" vertical="center" wrapText="1"/>
    </xf>
  </cellXfs>
  <cellStyles count="5">
    <cellStyle name="Comma" xfId="1" builtinId="3"/>
    <cellStyle name="Comma [0]" xfId="2" builtinId="6"/>
    <cellStyle name="Hyperlink" xfId="3" builtinId="8"/>
    <cellStyle name="Normal" xfId="0" builtinId="0"/>
    <cellStyle name="Percent" xfId="4" builtinId="5"/>
  </cellStyles>
  <dxfs count="208">
    <dxf>
      <fill>
        <patternFill patternType="solid">
          <fgColor rgb="FFFF0000"/>
          <bgColor rgb="FFFFFFFF"/>
        </patternFill>
      </fill>
    </dxf>
    <dxf>
      <fill>
        <patternFill>
          <fgColor indexed="64"/>
          <bgColor rgb="FFFCEBA2"/>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99FFCC"/>
        </patternFill>
      </fill>
    </dxf>
    <dxf>
      <fill>
        <patternFill>
          <bgColor theme="6" tint="0.59996337778862885"/>
        </patternFill>
      </fill>
    </dxf>
    <dxf>
      <fill>
        <patternFill>
          <bgColor theme="6" tint="-0.24994659260841701"/>
        </patternFill>
      </fill>
    </dxf>
    <dxf>
      <fill>
        <patternFill>
          <bgColor theme="6" tint="-0.24994659260841701"/>
        </patternFill>
      </fill>
    </dxf>
    <dxf>
      <fill>
        <patternFill>
          <bgColor theme="6" tint="0.59996337778862885"/>
        </patternFill>
      </fill>
    </dxf>
    <dxf>
      <fill>
        <patternFill>
          <bgColor theme="6" tint="0.59996337778862885"/>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59996337778862885"/>
        </patternFill>
      </fill>
    </dxf>
    <dxf>
      <fill>
        <patternFill>
          <fgColor indexed="64"/>
          <bgColor rgb="FFFCEBA2"/>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59996337778862885"/>
        </patternFill>
      </fill>
    </dxf>
    <dxf>
      <fill>
        <patternFill>
          <fgColor indexed="64"/>
          <bgColor rgb="FFFCEBA2"/>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6" tint="0.59996337778862885"/>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fgColor indexed="64"/>
          <bgColor rgb="FFFCEBA2"/>
        </patternFill>
      </fill>
    </dxf>
    <dxf>
      <fill>
        <patternFill>
          <bgColor rgb="FFFFFF00"/>
        </patternFill>
      </fill>
    </dxf>
    <dxf>
      <fill>
        <patternFill>
          <bgColor rgb="FFFF0000"/>
        </patternFill>
      </fill>
    </dxf>
    <dxf>
      <fill>
        <patternFill>
          <bgColor rgb="FFE0C1FF"/>
        </patternFill>
      </fill>
    </dxf>
    <dxf>
      <fill>
        <patternFill>
          <bgColor rgb="FF99FFCC"/>
        </patternFill>
      </fill>
    </dxf>
    <dxf>
      <fill>
        <patternFill>
          <bgColor theme="8" tint="0.79998168889431442"/>
        </patternFill>
      </fill>
    </dxf>
    <dxf>
      <fill>
        <patternFill>
          <bgColor theme="6" tint="0.59996337778862885"/>
        </patternFill>
      </fill>
    </dxf>
    <dxf>
      <fill>
        <patternFill>
          <fgColor indexed="64"/>
          <bgColor rgb="FFFCEBA2"/>
        </patternFill>
      </fill>
    </dxf>
    <dxf>
      <fill>
        <patternFill>
          <bgColor rgb="FFFFFF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ont>
        <strike/>
      </font>
    </dxf>
    <dxf>
      <font>
        <strike/>
      </font>
    </dxf>
    <dxf>
      <font>
        <strike/>
      </font>
    </dxf>
    <dxf>
      <fill>
        <patternFill>
          <bgColor rgb="FFFFFF00"/>
        </patternFill>
      </fill>
    </dxf>
    <dxf>
      <fill>
        <patternFill>
          <bgColor rgb="FFFF0000"/>
        </patternFill>
      </fill>
    </dxf>
    <dxf>
      <fill>
        <patternFill>
          <bgColor rgb="FFFF0066"/>
        </patternFill>
      </fill>
    </dxf>
    <dxf>
      <fill>
        <patternFill>
          <bgColor rgb="FFFF0066"/>
        </patternFill>
      </fill>
    </dxf>
    <dxf>
      <fill>
        <patternFill>
          <bgColor rgb="FF7030A0"/>
        </patternFill>
      </fill>
    </dxf>
    <dxf>
      <fill>
        <patternFill>
          <bgColor rgb="FFCCCC00"/>
        </patternFill>
      </fill>
    </dxf>
    <dxf>
      <fill>
        <patternFill>
          <bgColor rgb="FFFF0066"/>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7030A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CCCC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0066"/>
        </patternFill>
      </fill>
    </dxf>
    <dxf>
      <fill>
        <patternFill>
          <bgColor rgb="FFCCCC00"/>
        </patternFill>
      </fill>
    </dxf>
    <dxf>
      <fill>
        <patternFill>
          <bgColor rgb="FFFF0066"/>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FF0000"/>
        </patternFill>
      </fill>
    </dxf>
    <dxf>
      <fill>
        <patternFill>
          <bgColor rgb="FFFFFF00"/>
        </patternFill>
      </fill>
    </dxf>
    <dxf>
      <fill>
        <patternFill>
          <bgColor theme="6" tint="-0.24994659260841701"/>
        </patternFill>
      </fill>
    </dxf>
    <dxf>
      <fill>
        <patternFill>
          <bgColor theme="6" tint="-0.24994659260841701"/>
        </patternFill>
      </fill>
    </dxf>
    <dxf>
      <fill>
        <patternFill>
          <bgColor rgb="FFE0C1FF"/>
        </patternFill>
      </fill>
    </dxf>
    <dxf>
      <fill>
        <patternFill>
          <fgColor indexed="64"/>
          <bgColor rgb="FFFCEBA2"/>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rgb="FFE0C1FF"/>
        </patternFill>
      </fill>
    </dxf>
    <dxf>
      <fill>
        <patternFill>
          <bgColor theme="6" tint="-0.24994659260841701"/>
        </patternFill>
      </fill>
    </dxf>
    <dxf>
      <fill>
        <patternFill>
          <bgColor theme="6" tint="-0.24994659260841701"/>
        </patternFill>
      </fill>
    </dxf>
    <dxf>
      <fill>
        <patternFill>
          <bgColor rgb="FFE0C1FF"/>
        </patternFill>
      </fill>
    </dxf>
    <dxf>
      <fill>
        <patternFill>
          <bgColor theme="6" tint="0.59996337778862885"/>
        </patternFill>
      </fill>
    </dxf>
    <dxf>
      <fill>
        <patternFill>
          <fgColor indexed="64"/>
          <bgColor rgb="FFFCEBA2"/>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8" tint="0.39994506668294322"/>
        </patternFill>
      </fill>
    </dxf>
    <dxf>
      <fill>
        <patternFill>
          <bgColor rgb="FFFFFFFF"/>
        </patternFill>
      </fill>
    </dxf>
    <dxf>
      <fill>
        <patternFill>
          <bgColor rgb="FF66FFFF"/>
        </patternFill>
      </fill>
    </dxf>
  </dxfs>
  <tableStyles count="1" defaultTableStyle="TableStyleMedium2" defaultPivotStyle="PivotStyleLight16">
    <tableStyle name="Table Style 1" pivot="0" count="2">
      <tableStyleElement type="firstRowStripe" dxfId="207"/>
      <tableStyleElement type="secondRowStripe" dxfId="206"/>
    </tableStyle>
  </tableStyles>
  <colors>
    <mruColors>
      <color rgb="FFFFCCFF"/>
      <color rgb="FFFF99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4</xdr:col>
      <xdr:colOff>257175</xdr:colOff>
      <xdr:row>2140</xdr:row>
      <xdr:rowOff>171450</xdr:rowOff>
    </xdr:from>
    <xdr:to>
      <xdr:col>10</xdr:col>
      <xdr:colOff>200025</xdr:colOff>
      <xdr:row>2220</xdr:row>
      <xdr:rowOff>38100</xdr:rowOff>
    </xdr:to>
    <xdr:sp macro="" textlink="">
      <xdr:nvSpPr>
        <xdr:cNvPr id="2" name="TextBox 1"/>
        <xdr:cNvSpPr txBox="1"/>
      </xdr:nvSpPr>
      <xdr:spPr>
        <a:xfrm>
          <a:off x="6896100" y="32937450"/>
          <a:ext cx="4048125" cy="2533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1</a:t>
          </a:r>
          <a:r>
            <a:rPr lang="en-US"/>
            <a:t> </a:t>
          </a:r>
          <a:r>
            <a:rPr lang="en-US" sz="1100" b="0" i="0" u="none" strike="noStrike">
              <a:solidFill>
                <a:schemeClr val="dk1"/>
              </a:solidFill>
              <a:effectLst/>
              <a:latin typeface="+mn-lt"/>
              <a:ea typeface="+mn-ea"/>
              <a:cs typeface="+mn-cs"/>
            </a:rPr>
            <a:t>Professional</a:t>
          </a:r>
        </a:p>
        <a:p>
          <a:r>
            <a:rPr lang="en-US" sz="1100" b="0" i="0" u="none" strike="noStrike">
              <a:solidFill>
                <a:schemeClr val="dk1"/>
              </a:solidFill>
              <a:effectLst/>
              <a:latin typeface="+mn-lt"/>
              <a:ea typeface="+mn-ea"/>
              <a:cs typeface="+mn-cs"/>
            </a:rPr>
            <a:t>2</a:t>
          </a:r>
          <a:r>
            <a:rPr lang="en-US"/>
            <a:t> </a:t>
          </a:r>
          <a:r>
            <a:rPr lang="en-US" sz="1100" b="0" i="0" u="none" strike="noStrike">
              <a:solidFill>
                <a:schemeClr val="dk1"/>
              </a:solidFill>
              <a:effectLst/>
              <a:latin typeface="+mn-lt"/>
              <a:ea typeface="+mn-ea"/>
              <a:cs typeface="+mn-cs"/>
            </a:rPr>
            <a:t>Sales/Vending;</a:t>
          </a:r>
        </a:p>
        <a:p>
          <a:r>
            <a:rPr lang="en-US" sz="1100" b="0" i="0" u="none" strike="noStrike">
              <a:solidFill>
                <a:schemeClr val="dk1"/>
              </a:solidFill>
              <a:effectLst/>
              <a:latin typeface="+mn-lt"/>
              <a:ea typeface="+mn-ea"/>
              <a:cs typeface="+mn-cs"/>
            </a:rPr>
            <a:t>3</a:t>
          </a:r>
          <a:r>
            <a:rPr lang="en-US"/>
            <a:t> </a:t>
          </a:r>
          <a:r>
            <a:rPr lang="en-US" sz="1100" b="0" i="0" u="none" strike="noStrike">
              <a:solidFill>
                <a:schemeClr val="dk1"/>
              </a:solidFill>
              <a:effectLst/>
              <a:latin typeface="+mn-lt"/>
              <a:ea typeface="+mn-ea"/>
              <a:cs typeface="+mn-cs"/>
            </a:rPr>
            <a:t>Construction; </a:t>
          </a:r>
        </a:p>
        <a:p>
          <a:r>
            <a:rPr lang="en-US" sz="1100" b="0" i="0" u="none" strike="noStrike">
              <a:solidFill>
                <a:schemeClr val="dk1"/>
              </a:solidFill>
              <a:effectLst/>
              <a:latin typeface="+mn-lt"/>
              <a:ea typeface="+mn-ea"/>
              <a:cs typeface="+mn-cs"/>
            </a:rPr>
            <a:t>4</a:t>
          </a:r>
          <a:r>
            <a:rPr lang="en-US"/>
            <a:t> </a:t>
          </a:r>
          <a:r>
            <a:rPr lang="en-US" sz="1100" b="0" i="0" u="none" strike="noStrike">
              <a:solidFill>
                <a:schemeClr val="dk1"/>
              </a:solidFill>
              <a:effectLst/>
              <a:latin typeface="+mn-lt"/>
              <a:ea typeface="+mn-ea"/>
              <a:cs typeface="+mn-cs"/>
            </a:rPr>
            <a:t>Manufacturing;</a:t>
          </a:r>
        </a:p>
        <a:p>
          <a:r>
            <a:rPr lang="en-US" sz="1100" b="0" i="0" u="none" strike="noStrike">
              <a:solidFill>
                <a:schemeClr val="dk1"/>
              </a:solidFill>
              <a:effectLst/>
              <a:latin typeface="+mn-lt"/>
              <a:ea typeface="+mn-ea"/>
              <a:cs typeface="+mn-cs"/>
            </a:rPr>
            <a:t>5</a:t>
          </a:r>
          <a:r>
            <a:rPr lang="en-US"/>
            <a:t> </a:t>
          </a:r>
          <a:r>
            <a:rPr lang="en-US" sz="1100" b="0" i="0" u="none" strike="noStrike">
              <a:solidFill>
                <a:schemeClr val="dk1"/>
              </a:solidFill>
              <a:effectLst/>
              <a:latin typeface="+mn-lt"/>
              <a:ea typeface="+mn-ea"/>
              <a:cs typeface="+mn-cs"/>
            </a:rPr>
            <a:t>Personal Services (physical therapist, beautician, etc.);</a:t>
          </a:r>
        </a:p>
        <a:p>
          <a:r>
            <a:rPr lang="en-US" sz="1100" b="0" i="0" u="none" strike="noStrike">
              <a:solidFill>
                <a:schemeClr val="dk1"/>
              </a:solidFill>
              <a:effectLst/>
              <a:latin typeface="+mn-lt"/>
              <a:ea typeface="+mn-ea"/>
              <a:cs typeface="+mn-cs"/>
            </a:rPr>
            <a:t>6</a:t>
          </a:r>
          <a:r>
            <a:rPr lang="en-US"/>
            <a:t> </a:t>
          </a:r>
          <a:r>
            <a:rPr lang="en-US" sz="1100" b="0" i="0" u="none" strike="noStrike">
              <a:solidFill>
                <a:schemeClr val="dk1"/>
              </a:solidFill>
              <a:effectLst/>
              <a:latin typeface="+mn-lt"/>
              <a:ea typeface="+mn-ea"/>
              <a:cs typeface="+mn-cs"/>
            </a:rPr>
            <a:t>Driver  (PUJ/Bus/Tricycle);</a:t>
          </a:r>
        </a:p>
        <a:p>
          <a:r>
            <a:rPr lang="en-US" sz="1100" b="0" i="0" u="none" strike="noStrike">
              <a:solidFill>
                <a:schemeClr val="dk1"/>
              </a:solidFill>
              <a:effectLst/>
              <a:latin typeface="+mn-lt"/>
              <a:ea typeface="+mn-ea"/>
              <a:cs typeface="+mn-cs"/>
            </a:rPr>
            <a:t>7</a:t>
          </a:r>
          <a:r>
            <a:rPr lang="en-US"/>
            <a:t> </a:t>
          </a:r>
          <a:r>
            <a:rPr lang="en-US" sz="1100" b="0" i="0" u="none" strike="noStrike">
              <a:solidFill>
                <a:schemeClr val="dk1"/>
              </a:solidFill>
              <a:effectLst/>
              <a:latin typeface="+mn-lt"/>
              <a:ea typeface="+mn-ea"/>
              <a:cs typeface="+mn-cs"/>
            </a:rPr>
            <a:t>Kasambahay (e.g., general househelper, yaya, cook, gardener, laundry person);</a:t>
          </a:r>
        </a:p>
        <a:p>
          <a:r>
            <a:rPr lang="en-US" sz="1100" b="0" i="0" u="none" strike="noStrike">
              <a:solidFill>
                <a:schemeClr val="dk1"/>
              </a:solidFill>
              <a:effectLst/>
              <a:latin typeface="+mn-lt"/>
              <a:ea typeface="+mn-ea"/>
              <a:cs typeface="+mn-cs"/>
            </a:rPr>
            <a:t>8</a:t>
          </a:r>
          <a:r>
            <a:rPr lang="en-US"/>
            <a:t> </a:t>
          </a:r>
          <a:r>
            <a:rPr lang="en-US" sz="1100" b="0" i="0" u="none" strike="noStrike">
              <a:solidFill>
                <a:schemeClr val="dk1"/>
              </a:solidFill>
              <a:effectLst/>
              <a:latin typeface="+mn-lt"/>
              <a:ea typeface="+mn-ea"/>
              <a:cs typeface="+mn-cs"/>
            </a:rPr>
            <a:t>Overseas worker</a:t>
          </a:r>
        </a:p>
        <a:p>
          <a:r>
            <a:rPr lang="en-US" sz="1100" b="0" i="0" u="none" strike="noStrike">
              <a:solidFill>
                <a:schemeClr val="dk1"/>
              </a:solidFill>
              <a:effectLst/>
              <a:latin typeface="+mn-lt"/>
              <a:ea typeface="+mn-ea"/>
              <a:cs typeface="+mn-cs"/>
            </a:rPr>
            <a:t>9</a:t>
          </a:r>
          <a:r>
            <a:rPr lang="en-US"/>
            <a:t> </a:t>
          </a:r>
          <a:r>
            <a:rPr lang="en-US" sz="1100" b="0" i="0" u="none" strike="noStrike">
              <a:solidFill>
                <a:schemeClr val="dk1"/>
              </a:solidFill>
              <a:effectLst/>
              <a:latin typeface="+mn-lt"/>
              <a:ea typeface="+mn-ea"/>
              <a:cs typeface="+mn-cs"/>
            </a:rPr>
            <a:t>Worker/Empployee</a:t>
          </a:r>
        </a:p>
        <a:p>
          <a:r>
            <a:rPr lang="en-US" sz="1100" b="0" i="0" u="none" strike="noStrike">
              <a:solidFill>
                <a:schemeClr val="dk1"/>
              </a:solidFill>
              <a:effectLst/>
              <a:latin typeface="+mn-lt"/>
              <a:ea typeface="+mn-ea"/>
              <a:cs typeface="+mn-cs"/>
            </a:rPr>
            <a:t>10</a:t>
          </a:r>
          <a:r>
            <a:rPr lang="en-US"/>
            <a:t> </a:t>
          </a:r>
          <a:r>
            <a:rPr lang="en-US" sz="1100" b="0" i="0" u="none" strike="noStrike">
              <a:solidFill>
                <a:schemeClr val="dk1"/>
              </a:solidFill>
              <a:effectLst/>
              <a:latin typeface="+mn-lt"/>
              <a:ea typeface="+mn-ea"/>
              <a:cs typeface="+mn-cs"/>
            </a:rPr>
            <a:t>Entreprenuer</a:t>
          </a:r>
        </a:p>
        <a:p>
          <a:r>
            <a:rPr lang="en-US" sz="1100" b="0" i="0" u="none" strike="noStrike">
              <a:solidFill>
                <a:schemeClr val="dk1"/>
              </a:solidFill>
              <a:effectLst/>
              <a:latin typeface="+mn-lt"/>
              <a:ea typeface="+mn-ea"/>
              <a:cs typeface="+mn-cs"/>
            </a:rPr>
            <a:t>11</a:t>
          </a:r>
          <a:r>
            <a:rPr lang="en-US"/>
            <a:t> </a:t>
          </a:r>
          <a:r>
            <a:rPr lang="en-US" sz="1100" b="0" i="0" u="none" strike="noStrike">
              <a:solidFill>
                <a:schemeClr val="dk1"/>
              </a:solidFill>
              <a:effectLst/>
              <a:latin typeface="+mn-lt"/>
              <a:ea typeface="+mn-ea"/>
              <a:cs typeface="+mn-cs"/>
            </a:rPr>
            <a:t>Honorarium (Brgy. Kagawad, Government employee, Sweeper)</a:t>
          </a:r>
          <a:r>
            <a:rPr lang="en-US"/>
            <a:t> </a:t>
          </a:r>
          <a:r>
            <a:rPr lang="en-US" sz="1100" b="0" i="0" u="none" strike="noStrike">
              <a:solidFill>
                <a:schemeClr val="dk1"/>
              </a:solidFill>
              <a:effectLst/>
              <a:latin typeface="+mn-lt"/>
              <a:ea typeface="+mn-ea"/>
              <a:cs typeface="+mn-cs"/>
            </a:rPr>
            <a:t>12</a:t>
          </a:r>
          <a:r>
            <a:rPr lang="en-US"/>
            <a:t> </a:t>
          </a:r>
          <a:r>
            <a:rPr lang="en-US" sz="1100" b="0" i="0" u="none" strike="noStrike">
              <a:solidFill>
                <a:schemeClr val="dk1"/>
              </a:solidFill>
              <a:effectLst/>
              <a:latin typeface="+mn-lt"/>
              <a:ea typeface="+mn-ea"/>
              <a:cs typeface="+mn-cs"/>
            </a:rPr>
            <a:t>Agricultural</a:t>
          </a:r>
          <a:r>
            <a:rPr lang="en-US"/>
            <a:t> </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13</a:t>
          </a:r>
          <a:r>
            <a:rPr lang="en-US"/>
            <a:t> </a:t>
          </a:r>
          <a:r>
            <a:rPr lang="en-US" sz="1100" b="0" i="0" u="none" strike="noStrike">
              <a:solidFill>
                <a:schemeClr val="dk1"/>
              </a:solidFill>
              <a:effectLst/>
              <a:latin typeface="+mn-lt"/>
              <a:ea typeface="+mn-ea"/>
              <a:cs typeface="+mn-cs"/>
            </a:rPr>
            <a:t>Pensioner/support</a:t>
          </a:r>
          <a:r>
            <a:rPr lang="en-US"/>
            <a:t> </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SCR_data%20C_BAR.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rveyDATA"/>
      <sheetName val="SurveyDATA_1"/>
      <sheetName val="HH.names"/>
      <sheetName val="Trees&amp;Crops"/>
      <sheetName val="CIBEs"/>
      <sheetName val="#ofPAFs"/>
      <sheetName val="isf.COMPO"/>
      <sheetName val="GAPS"/>
      <sheetName val="LEGAL"/>
      <sheetName val="ISFs"/>
      <sheetName val="Draft.RAP"/>
      <sheetName val="Sheet2"/>
      <sheetName val="LEGAL.DRAFT"/>
      <sheetName val="ISF.DRAFT"/>
      <sheetName val="total.PAFs"/>
      <sheetName val="dRap"/>
      <sheetName val="remove"/>
      <sheetName val="old_DOTR"/>
    </sheetNames>
    <sheetDataSet>
      <sheetData sheetId="0">
        <row r="1">
          <cell r="N1" t="str">
            <v>I.     SOCIO-ECONOMIC SURVEY (SES)</v>
          </cell>
          <cell r="AL1">
            <v>0</v>
          </cell>
          <cell r="AT1" t="str">
            <v>C1.     LAND RELATION</v>
          </cell>
          <cell r="BM1">
            <v>0</v>
          </cell>
          <cell r="BN1">
            <v>0</v>
          </cell>
          <cell r="BO1">
            <v>0</v>
          </cell>
          <cell r="FR1">
            <v>0</v>
          </cell>
        </row>
        <row r="2">
          <cell r="AL2">
            <v>0</v>
          </cell>
          <cell r="AT2">
            <v>0</v>
          </cell>
          <cell r="BM2">
            <v>0</v>
          </cell>
          <cell r="BN2">
            <v>0</v>
          </cell>
          <cell r="BO2">
            <v>0</v>
          </cell>
          <cell r="FR2">
            <v>0</v>
          </cell>
        </row>
        <row r="3">
          <cell r="AL3" t="str">
            <v>Type of DP</v>
          </cell>
          <cell r="AT3" t="str">
            <v xml:space="preserve">Document </v>
          </cell>
          <cell r="BM3" t="str">
            <v>First,Middle,Surname)</v>
          </cell>
          <cell r="BN3" t="str">
            <v>Use</v>
          </cell>
          <cell r="BO3" t="str">
            <v>Type of DP</v>
          </cell>
          <cell r="FR3" t="str">
            <v>Displacement</v>
          </cell>
        </row>
        <row r="4">
          <cell r="AL4">
            <v>0</v>
          </cell>
          <cell r="AT4">
            <v>0</v>
          </cell>
          <cell r="BM4" t="str">
            <v xml:space="preserve">Structure Owner </v>
          </cell>
          <cell r="BN4">
            <v>0</v>
          </cell>
          <cell r="BO4">
            <v>0</v>
          </cell>
          <cell r="FR4">
            <v>0</v>
          </cell>
        </row>
        <row r="5">
          <cell r="AL5" t="str">
            <v>Land Owner</v>
          </cell>
          <cell r="AT5">
            <v>0</v>
          </cell>
          <cell r="BM5">
            <v>0</v>
          </cell>
          <cell r="BN5">
            <v>0</v>
          </cell>
          <cell r="BO5">
            <v>0</v>
          </cell>
          <cell r="FR5">
            <v>0</v>
          </cell>
        </row>
        <row r="6">
          <cell r="AL6" t="str">
            <v>ISF</v>
          </cell>
          <cell r="AT6">
            <v>0</v>
          </cell>
          <cell r="BM6" t="str">
            <v>Danilo A. Salvador and Roger Ypanto</v>
          </cell>
          <cell r="BN6" t="str">
            <v>Mixed use</v>
          </cell>
          <cell r="BO6" t="str">
            <v>Structure owner</v>
          </cell>
          <cell r="FR6" t="str">
            <v>Can Stay</v>
          </cell>
        </row>
        <row r="7">
          <cell r="AL7" t="str">
            <v>ISF</v>
          </cell>
          <cell r="AT7">
            <v>0</v>
          </cell>
          <cell r="BM7" t="str">
            <v>Remedios Bernardo/Rommel Bernardo (son)</v>
          </cell>
          <cell r="BN7" t="str">
            <v>Residential</v>
          </cell>
          <cell r="BO7" t="str">
            <v>Structure Owner</v>
          </cell>
          <cell r="FR7">
            <v>0</v>
          </cell>
        </row>
        <row r="8">
          <cell r="AL8" t="str">
            <v>Land Owner</v>
          </cell>
          <cell r="AT8" t="str">
            <v>Y</v>
          </cell>
          <cell r="BM8">
            <v>0</v>
          </cell>
          <cell r="BN8">
            <v>0</v>
          </cell>
          <cell r="BO8">
            <v>0</v>
          </cell>
          <cell r="FR8">
            <v>0</v>
          </cell>
        </row>
        <row r="9">
          <cell r="AL9" t="str">
            <v>Land Dweller</v>
          </cell>
          <cell r="AT9">
            <v>0</v>
          </cell>
          <cell r="BM9" t="str">
            <v>Jerico B. Cruz</v>
          </cell>
          <cell r="BN9" t="str">
            <v>Residential</v>
          </cell>
          <cell r="BO9" t="str">
            <v>Structure Owner</v>
          </cell>
          <cell r="FR9" t="str">
            <v>Need Displacement</v>
          </cell>
        </row>
        <row r="10">
          <cell r="AL10" t="str">
            <v>Land Owner</v>
          </cell>
          <cell r="AT10" t="str">
            <v>Y</v>
          </cell>
          <cell r="BM10" t="str">
            <v>Heide Danao/Romeo Danao</v>
          </cell>
          <cell r="BN10" t="str">
            <v>Residential</v>
          </cell>
          <cell r="BO10" t="str">
            <v>Structure Owner</v>
          </cell>
          <cell r="FR10" t="str">
            <v>Can Stay</v>
          </cell>
        </row>
        <row r="11">
          <cell r="AL11" t="str">
            <v>Land Owner</v>
          </cell>
          <cell r="AT11" t="str">
            <v>Y</v>
          </cell>
          <cell r="BM11" t="str">
            <v>Heide Danao/Romeo Danao</v>
          </cell>
          <cell r="BN11" t="str">
            <v>Residential</v>
          </cell>
          <cell r="BO11" t="str">
            <v>Structure Owner</v>
          </cell>
          <cell r="FR11">
            <v>0</v>
          </cell>
        </row>
        <row r="12">
          <cell r="AL12" t="str">
            <v>Land Owner</v>
          </cell>
          <cell r="AT12" t="str">
            <v>Y</v>
          </cell>
          <cell r="BM12" t="str">
            <v>Belen Mercado Dela Cruz</v>
          </cell>
          <cell r="BN12" t="str">
            <v>Residential</v>
          </cell>
          <cell r="BO12" t="str">
            <v>Structure Owner</v>
          </cell>
          <cell r="FR12" t="str">
            <v>Can Stay</v>
          </cell>
        </row>
        <row r="13">
          <cell r="AL13" t="str">
            <v>Land Owner</v>
          </cell>
          <cell r="AT13" t="str">
            <v>Y</v>
          </cell>
          <cell r="BM13">
            <v>0</v>
          </cell>
          <cell r="BN13">
            <v>0</v>
          </cell>
          <cell r="BO13">
            <v>0</v>
          </cell>
          <cell r="FR13">
            <v>0</v>
          </cell>
        </row>
        <row r="14">
          <cell r="AL14" t="str">
            <v>Land Dweller</v>
          </cell>
          <cell r="AT14">
            <v>0</v>
          </cell>
          <cell r="BM14" t="str">
            <v>Marlene Dela Cruz</v>
          </cell>
          <cell r="BN14" t="str">
            <v>Residential</v>
          </cell>
          <cell r="BO14" t="str">
            <v>Structure Owner</v>
          </cell>
          <cell r="FR14" t="str">
            <v>Need Displacement</v>
          </cell>
        </row>
        <row r="15">
          <cell r="AL15" t="str">
            <v>Land Owner</v>
          </cell>
          <cell r="AT15" t="str">
            <v>Y</v>
          </cell>
          <cell r="BM15" t="str">
            <v>Andrew and Jocelyn Cristobal</v>
          </cell>
          <cell r="BN15" t="str">
            <v>Mixed use</v>
          </cell>
          <cell r="BO15" t="str">
            <v>Structure Owner</v>
          </cell>
          <cell r="FR15" t="str">
            <v>Can Stay</v>
          </cell>
        </row>
        <row r="16">
          <cell r="AL16" t="str">
            <v>Land Owner</v>
          </cell>
          <cell r="AT16" t="str">
            <v>Y</v>
          </cell>
          <cell r="BM16" t="str">
            <v>Eduardo and Elenita Inosanto</v>
          </cell>
          <cell r="BN16" t="str">
            <v>Residential</v>
          </cell>
          <cell r="BO16" t="str">
            <v>Structure Owner</v>
          </cell>
          <cell r="FR16" t="str">
            <v>Need Displacement</v>
          </cell>
        </row>
        <row r="17">
          <cell r="AL17" t="str">
            <v>Land Owner</v>
          </cell>
          <cell r="AT17" t="str">
            <v>Y</v>
          </cell>
          <cell r="BM17">
            <v>0</v>
          </cell>
          <cell r="BN17">
            <v>0</v>
          </cell>
          <cell r="BO17">
            <v>0</v>
          </cell>
          <cell r="FR17">
            <v>0</v>
          </cell>
        </row>
        <row r="18">
          <cell r="AL18" t="str">
            <v>Land Dweller</v>
          </cell>
          <cell r="AT18">
            <v>0</v>
          </cell>
          <cell r="BM18" t="str">
            <v>Thannie Jeruz Santos</v>
          </cell>
          <cell r="BN18" t="str">
            <v>Residential</v>
          </cell>
          <cell r="BO18" t="str">
            <v>Structure Owner</v>
          </cell>
        </row>
        <row r="19">
          <cell r="AL19" t="str">
            <v>ISF</v>
          </cell>
          <cell r="AT19">
            <v>0</v>
          </cell>
          <cell r="BM19" t="str">
            <v>Jafer Bautista</v>
          </cell>
          <cell r="BN19" t="str">
            <v>Residential</v>
          </cell>
          <cell r="BO19" t="str">
            <v>Structure Owner</v>
          </cell>
          <cell r="FR19" t="str">
            <v>Need Displacement</v>
          </cell>
        </row>
        <row r="20">
          <cell r="AL20" t="str">
            <v>ISF</v>
          </cell>
          <cell r="AT20" t="str">
            <v>Y</v>
          </cell>
          <cell r="BM20" t="str">
            <v xml:space="preserve">Angel Castro De Vera/Joseph Pinto </v>
          </cell>
          <cell r="BN20" t="str">
            <v>Residential</v>
          </cell>
          <cell r="BO20" t="str">
            <v>Structure Owner</v>
          </cell>
          <cell r="FR20" t="str">
            <v>Can Stay</v>
          </cell>
        </row>
        <row r="21">
          <cell r="AL21" t="str">
            <v>Land Owner</v>
          </cell>
          <cell r="AT21">
            <v>0</v>
          </cell>
          <cell r="BM21">
            <v>0</v>
          </cell>
          <cell r="BN21">
            <v>0</v>
          </cell>
          <cell r="BO21">
            <v>0</v>
          </cell>
          <cell r="FR21">
            <v>0</v>
          </cell>
        </row>
        <row r="22">
          <cell r="AL22" t="str">
            <v>Land Owner</v>
          </cell>
          <cell r="AT22">
            <v>0</v>
          </cell>
          <cell r="BM22" t="str">
            <v>PNR</v>
          </cell>
          <cell r="BN22" t="str">
            <v>Institutional</v>
          </cell>
          <cell r="BO22" t="str">
            <v>Institutional Occupant</v>
          </cell>
          <cell r="FR22">
            <v>0</v>
          </cell>
        </row>
        <row r="23">
          <cell r="AL23" t="str">
            <v>Land Owner</v>
          </cell>
          <cell r="AT23">
            <v>0</v>
          </cell>
          <cell r="BM23">
            <v>0</v>
          </cell>
          <cell r="BN23">
            <v>0</v>
          </cell>
          <cell r="BO23">
            <v>0</v>
          </cell>
          <cell r="FR23">
            <v>0</v>
          </cell>
        </row>
        <row r="24">
          <cell r="AL24" t="str">
            <v>Land Owner</v>
          </cell>
          <cell r="AT24" t="str">
            <v>Y</v>
          </cell>
          <cell r="BM24" t="str">
            <v>Honorata Dela Cruz Cruz</v>
          </cell>
          <cell r="BN24" t="str">
            <v>Residential</v>
          </cell>
          <cell r="BO24" t="str">
            <v>Structure Owner</v>
          </cell>
          <cell r="FR24" t="str">
            <v>Need Displacement</v>
          </cell>
        </row>
        <row r="25">
          <cell r="AL25" t="str">
            <v>Land Dweller</v>
          </cell>
          <cell r="AT25">
            <v>0</v>
          </cell>
          <cell r="BM25" t="str">
            <v>Honorata Dela Cruz Cruz</v>
          </cell>
          <cell r="BN25" t="str">
            <v>Commercial</v>
          </cell>
          <cell r="BO25" t="str">
            <v>Structure Owner</v>
          </cell>
          <cell r="FR25">
            <v>0</v>
          </cell>
        </row>
        <row r="26">
          <cell r="AL26" t="str">
            <v>Land Dweller</v>
          </cell>
          <cell r="AT26">
            <v>0</v>
          </cell>
          <cell r="BM26">
            <v>0</v>
          </cell>
          <cell r="BN26">
            <v>0</v>
          </cell>
          <cell r="BO26" t="str">
            <v>Commercial Tenant</v>
          </cell>
          <cell r="FR26">
            <v>0</v>
          </cell>
        </row>
        <row r="27">
          <cell r="AL27" t="str">
            <v>Land Owner</v>
          </cell>
          <cell r="AT27" t="str">
            <v>Y</v>
          </cell>
          <cell r="BM27" t="str">
            <v>Manuelito Varilla David</v>
          </cell>
          <cell r="BN27" t="str">
            <v>Residential</v>
          </cell>
          <cell r="BO27" t="str">
            <v>Structure Owner</v>
          </cell>
          <cell r="FR27" t="str">
            <v>Can Stay</v>
          </cell>
        </row>
        <row r="28">
          <cell r="AL28" t="str">
            <v>Land Dweller</v>
          </cell>
          <cell r="AT28">
            <v>0</v>
          </cell>
          <cell r="BM28" t="str">
            <v>Racquel David Rivera (Absentee)</v>
          </cell>
          <cell r="BN28" t="str">
            <v>Residential</v>
          </cell>
          <cell r="BO28" t="str">
            <v>ABSENTEE</v>
          </cell>
          <cell r="FR28">
            <v>0</v>
          </cell>
        </row>
        <row r="29">
          <cell r="AL29" t="str">
            <v>Land Owner</v>
          </cell>
          <cell r="AT29" t="str">
            <v>Y</v>
          </cell>
          <cell r="BM29" t="str">
            <v>Manuelito Varilla David</v>
          </cell>
          <cell r="BN29" t="str">
            <v>Residential</v>
          </cell>
          <cell r="BO29" t="str">
            <v>Structure Owner</v>
          </cell>
          <cell r="FR29" t="str">
            <v>Can Stay</v>
          </cell>
        </row>
        <row r="30">
          <cell r="AL30" t="str">
            <v>Land Lessee</v>
          </cell>
          <cell r="AT30" t="str">
            <v>Y</v>
          </cell>
          <cell r="BM30">
            <v>0</v>
          </cell>
          <cell r="BN30">
            <v>0</v>
          </cell>
          <cell r="BO30" t="str">
            <v>Commercial Tenant</v>
          </cell>
          <cell r="FR30" t="str">
            <v>Need Displacement</v>
          </cell>
        </row>
        <row r="31">
          <cell r="AL31" t="str">
            <v>Dweller</v>
          </cell>
          <cell r="AT31" t="str">
            <v>Y</v>
          </cell>
          <cell r="BM31" t="str">
            <v>Virginia Avergonzado Tenorio</v>
          </cell>
          <cell r="BN31" t="str">
            <v>Residential/Commercial</v>
          </cell>
          <cell r="BO31" t="str">
            <v>Structure Owner</v>
          </cell>
          <cell r="FR31" t="str">
            <v>Need Displacement</v>
          </cell>
        </row>
        <row r="32">
          <cell r="AL32" t="str">
            <v>Dweller</v>
          </cell>
          <cell r="AT32" t="str">
            <v>Y</v>
          </cell>
          <cell r="BM32" t="str">
            <v>Dolores Bautista</v>
          </cell>
          <cell r="BN32" t="str">
            <v>Residential</v>
          </cell>
          <cell r="BO32" t="str">
            <v>Structure Owner</v>
          </cell>
          <cell r="FR32" t="str">
            <v>Can Stay</v>
          </cell>
        </row>
        <row r="33">
          <cell r="AL33" t="str">
            <v>Dweller</v>
          </cell>
          <cell r="AT33" t="str">
            <v>Y</v>
          </cell>
          <cell r="BM33" t="str">
            <v>Liberty Escarsa Tenorio (Absentee)</v>
          </cell>
          <cell r="BN33" t="str">
            <v>ABSENTEE</v>
          </cell>
          <cell r="BO33" t="str">
            <v>Structure Owner</v>
          </cell>
          <cell r="FR33" t="str">
            <v>Need Displacement</v>
          </cell>
        </row>
        <row r="34">
          <cell r="AL34" t="str">
            <v>Dweller</v>
          </cell>
          <cell r="AT34" t="str">
            <v>Y</v>
          </cell>
          <cell r="BM34" t="str">
            <v>Liberty Escarsa Tenorio (Absentee)</v>
          </cell>
          <cell r="BN34" t="str">
            <v>Residential</v>
          </cell>
          <cell r="BO34" t="str">
            <v>Renter</v>
          </cell>
          <cell r="FR34" t="str">
            <v>Need Displacement</v>
          </cell>
        </row>
        <row r="35">
          <cell r="AL35" t="str">
            <v>Dweller</v>
          </cell>
          <cell r="AT35">
            <v>0</v>
          </cell>
          <cell r="BM35" t="str">
            <v>Reynaldo Clemente (Absentee)</v>
          </cell>
          <cell r="BN35" t="str">
            <v>ABSENTEE</v>
          </cell>
          <cell r="BO35" t="str">
            <v>Structure Owner</v>
          </cell>
          <cell r="FR35" t="str">
            <v>Can Stay</v>
          </cell>
        </row>
        <row r="36">
          <cell r="AL36" t="str">
            <v>Dweller</v>
          </cell>
          <cell r="AT36">
            <v>0</v>
          </cell>
          <cell r="BM36" t="str">
            <v>Reynaldo Clemente (Absentee)</v>
          </cell>
          <cell r="BN36" t="str">
            <v>Residential</v>
          </cell>
          <cell r="BO36" t="str">
            <v>Renter</v>
          </cell>
          <cell r="FR36" t="str">
            <v>Can Stay</v>
          </cell>
        </row>
        <row r="37">
          <cell r="AL37" t="str">
            <v>Dweller</v>
          </cell>
          <cell r="AT37">
            <v>0</v>
          </cell>
          <cell r="BM37" t="str">
            <v>Jose Caluag</v>
          </cell>
          <cell r="BN37" t="str">
            <v>Residential/Commercial</v>
          </cell>
          <cell r="BO37" t="str">
            <v>Structure Owner</v>
          </cell>
          <cell r="FR37" t="str">
            <v>Can Stay</v>
          </cell>
        </row>
        <row r="38">
          <cell r="AL38" t="str">
            <v>L-ISF</v>
          </cell>
          <cell r="AT38">
            <v>0</v>
          </cell>
          <cell r="BM38">
            <v>0</v>
          </cell>
          <cell r="BN38">
            <v>0</v>
          </cell>
          <cell r="BO38">
            <v>0</v>
          </cell>
          <cell r="FR38">
            <v>0</v>
          </cell>
        </row>
        <row r="39">
          <cell r="AL39" t="str">
            <v>ISF</v>
          </cell>
          <cell r="AT39">
            <v>0</v>
          </cell>
          <cell r="BM39">
            <v>0</v>
          </cell>
          <cell r="BN39">
            <v>0</v>
          </cell>
          <cell r="BO39">
            <v>0</v>
          </cell>
          <cell r="FR39" t="str">
            <v>Can Stay</v>
          </cell>
        </row>
        <row r="40">
          <cell r="AL40" t="str">
            <v>Land Owner</v>
          </cell>
          <cell r="AT40" t="str">
            <v>Y</v>
          </cell>
          <cell r="BM40" t="str">
            <v>Gloria Santos Bagtas</v>
          </cell>
          <cell r="BN40" t="str">
            <v>Commercial</v>
          </cell>
          <cell r="BO40" t="str">
            <v>Structure Owner</v>
          </cell>
          <cell r="FR40">
            <v>0</v>
          </cell>
        </row>
        <row r="41">
          <cell r="AL41" t="str">
            <v>Dweller</v>
          </cell>
          <cell r="AT41">
            <v>0</v>
          </cell>
          <cell r="BM41" t="str">
            <v>Myra Bagtas</v>
          </cell>
          <cell r="BN41" t="str">
            <v>Commercial</v>
          </cell>
          <cell r="BO41" t="str">
            <v>Structure Owner</v>
          </cell>
          <cell r="FR41">
            <v>0</v>
          </cell>
        </row>
        <row r="42">
          <cell r="AL42" t="str">
            <v>Dweller</v>
          </cell>
          <cell r="AT42" t="str">
            <v>Y</v>
          </cell>
          <cell r="BM42" t="str">
            <v>Myra Bagtas</v>
          </cell>
          <cell r="BN42" t="str">
            <v>Residential</v>
          </cell>
          <cell r="BO42" t="str">
            <v>Renter</v>
          </cell>
          <cell r="FR42" t="str">
            <v>Need Displacement</v>
          </cell>
        </row>
        <row r="43">
          <cell r="AL43" t="str">
            <v>Land Owner</v>
          </cell>
          <cell r="AT43">
            <v>0</v>
          </cell>
          <cell r="BM43" t="str">
            <v>Maximo Morauto Pallen (Absentee)</v>
          </cell>
          <cell r="BN43" t="str">
            <v>Commercial</v>
          </cell>
          <cell r="BO43" t="str">
            <v>Structure Owner</v>
          </cell>
          <cell r="FR43">
            <v>0</v>
          </cell>
        </row>
        <row r="44">
          <cell r="AL44">
            <v>0</v>
          </cell>
          <cell r="AT44">
            <v>0</v>
          </cell>
          <cell r="BM44">
            <v>0</v>
          </cell>
          <cell r="BN44">
            <v>0</v>
          </cell>
          <cell r="BO44">
            <v>0</v>
          </cell>
          <cell r="FR44">
            <v>0</v>
          </cell>
        </row>
        <row r="45">
          <cell r="AL45">
            <v>0</v>
          </cell>
          <cell r="AT45">
            <v>0</v>
          </cell>
          <cell r="BM45" t="str">
            <v>Maximo Morauto Pallen (Absentee)</v>
          </cell>
          <cell r="BN45" t="str">
            <v>Residential</v>
          </cell>
          <cell r="BO45" t="str">
            <v>Structure Occupant</v>
          </cell>
          <cell r="FR45">
            <v>0</v>
          </cell>
        </row>
        <row r="46">
          <cell r="AL46" t="str">
            <v>Land Owner</v>
          </cell>
          <cell r="AT46" t="str">
            <v>Y</v>
          </cell>
          <cell r="BM46">
            <v>0</v>
          </cell>
          <cell r="BN46">
            <v>0</v>
          </cell>
          <cell r="BO46">
            <v>0</v>
          </cell>
          <cell r="FR46">
            <v>0</v>
          </cell>
        </row>
        <row r="47">
          <cell r="AL47" t="str">
            <v>Land Dweller</v>
          </cell>
          <cell r="AT47" t="str">
            <v>Y</v>
          </cell>
          <cell r="BM47" t="str">
            <v>Lydia Sampana Natividad</v>
          </cell>
          <cell r="BN47" t="str">
            <v>Residential</v>
          </cell>
          <cell r="BO47" t="str">
            <v>Structure Owner</v>
          </cell>
          <cell r="FR47" t="str">
            <v>Can Stay</v>
          </cell>
        </row>
        <row r="48">
          <cell r="AL48" t="str">
            <v>Land Dweller</v>
          </cell>
          <cell r="AT48" t="str">
            <v>Y</v>
          </cell>
          <cell r="BM48" t="str">
            <v>Lolito Capili</v>
          </cell>
          <cell r="BN48" t="str">
            <v>Residential</v>
          </cell>
          <cell r="BO48" t="str">
            <v>Structure Owner</v>
          </cell>
          <cell r="FR48" t="str">
            <v>Need Displacement</v>
          </cell>
        </row>
        <row r="49">
          <cell r="AL49" t="str">
            <v>Land Owner</v>
          </cell>
          <cell r="AT49">
            <v>0</v>
          </cell>
          <cell r="BM49">
            <v>0</v>
          </cell>
          <cell r="BN49">
            <v>0</v>
          </cell>
          <cell r="BO49">
            <v>0</v>
          </cell>
          <cell r="FR49">
            <v>0</v>
          </cell>
        </row>
        <row r="50">
          <cell r="AL50" t="str">
            <v>Land Lessee</v>
          </cell>
          <cell r="AT50" t="str">
            <v>Y</v>
          </cell>
          <cell r="BM50" t="str">
            <v>Lito Pagaduan</v>
          </cell>
          <cell r="BN50" t="str">
            <v>Residential</v>
          </cell>
          <cell r="BO50" t="str">
            <v>Structure Owner</v>
          </cell>
          <cell r="FR50" t="str">
            <v>Can Stay</v>
          </cell>
        </row>
        <row r="51">
          <cell r="AL51" t="str">
            <v>Land Owner</v>
          </cell>
          <cell r="AT51" t="str">
            <v>Y</v>
          </cell>
          <cell r="BM51">
            <v>0</v>
          </cell>
          <cell r="BN51">
            <v>0</v>
          </cell>
          <cell r="BO51">
            <v>0</v>
          </cell>
          <cell r="FR51">
            <v>0</v>
          </cell>
        </row>
        <row r="52">
          <cell r="AL52" t="str">
            <v>Dweller</v>
          </cell>
          <cell r="AT52">
            <v>0</v>
          </cell>
          <cell r="BM52" t="str">
            <v>Arturo Lappay</v>
          </cell>
          <cell r="BN52" t="str">
            <v>Residential</v>
          </cell>
          <cell r="BO52" t="str">
            <v>Structure Owner</v>
          </cell>
          <cell r="FR52" t="str">
            <v>Need Displacement</v>
          </cell>
        </row>
        <row r="53">
          <cell r="AL53" t="str">
            <v>Land Owner</v>
          </cell>
          <cell r="AT53" t="str">
            <v>Y</v>
          </cell>
          <cell r="BM53">
            <v>0</v>
          </cell>
          <cell r="BN53" t="str">
            <v>Residential</v>
          </cell>
          <cell r="BO53" t="str">
            <v>Structure Owner</v>
          </cell>
          <cell r="FR53">
            <v>0</v>
          </cell>
        </row>
        <row r="54">
          <cell r="AL54" t="str">
            <v>Lessee</v>
          </cell>
          <cell r="AT54" t="str">
            <v>Y</v>
          </cell>
          <cell r="BM54" t="str">
            <v>Agusto Santos David</v>
          </cell>
          <cell r="BN54" t="str">
            <v>Residential</v>
          </cell>
          <cell r="BO54" t="str">
            <v>Structure Owner</v>
          </cell>
          <cell r="FR54" t="str">
            <v>Need Displacement</v>
          </cell>
        </row>
        <row r="55">
          <cell r="AL55" t="str">
            <v>Lessee</v>
          </cell>
          <cell r="AT55" t="str">
            <v>Y</v>
          </cell>
          <cell r="BM55" t="str">
            <v>Laroza, Carlito Pascual</v>
          </cell>
          <cell r="BN55" t="str">
            <v>Residential</v>
          </cell>
          <cell r="BO55" t="str">
            <v>Structure Owner</v>
          </cell>
          <cell r="FR55">
            <v>0</v>
          </cell>
        </row>
        <row r="56">
          <cell r="AL56" t="str">
            <v>Lessee</v>
          </cell>
          <cell r="AT56" t="str">
            <v>Y</v>
          </cell>
          <cell r="BM56">
            <v>0</v>
          </cell>
          <cell r="BN56">
            <v>0</v>
          </cell>
          <cell r="BO56">
            <v>0</v>
          </cell>
          <cell r="FR56">
            <v>0</v>
          </cell>
        </row>
        <row r="57">
          <cell r="AL57" t="str">
            <v>Lessee</v>
          </cell>
          <cell r="AT57" t="str">
            <v>Y</v>
          </cell>
          <cell r="BM57" t="str">
            <v>Jalos, Eumarvin</v>
          </cell>
          <cell r="BN57" t="str">
            <v>Residential</v>
          </cell>
          <cell r="BO57" t="str">
            <v>Structure Owner</v>
          </cell>
          <cell r="FR57">
            <v>0</v>
          </cell>
        </row>
        <row r="58">
          <cell r="AL58" t="str">
            <v>Lessee</v>
          </cell>
          <cell r="AT58" t="str">
            <v>Y</v>
          </cell>
          <cell r="BM58" t="str">
            <v>Caluag, Renante</v>
          </cell>
          <cell r="BN58" t="str">
            <v>Residential</v>
          </cell>
          <cell r="BO58" t="str">
            <v>Structure Owner</v>
          </cell>
          <cell r="FR58">
            <v>0</v>
          </cell>
        </row>
        <row r="59">
          <cell r="AL59" t="str">
            <v>Land Owner</v>
          </cell>
          <cell r="AT59">
            <v>0</v>
          </cell>
          <cell r="BM59">
            <v>0</v>
          </cell>
          <cell r="BN59">
            <v>0</v>
          </cell>
          <cell r="BO59">
            <v>0</v>
          </cell>
          <cell r="FR59">
            <v>0</v>
          </cell>
        </row>
        <row r="60">
          <cell r="AL60" t="str">
            <v>Land Owner</v>
          </cell>
          <cell r="AT60">
            <v>0</v>
          </cell>
          <cell r="BM60">
            <v>0</v>
          </cell>
          <cell r="BN60">
            <v>0</v>
          </cell>
          <cell r="BO60">
            <v>0</v>
          </cell>
          <cell r="FR60">
            <v>0</v>
          </cell>
        </row>
        <row r="61">
          <cell r="AL61" t="str">
            <v>Land Owner</v>
          </cell>
          <cell r="AT61" t="str">
            <v>Y</v>
          </cell>
          <cell r="BM61">
            <v>0</v>
          </cell>
          <cell r="BN61">
            <v>0</v>
          </cell>
          <cell r="BO61">
            <v>0</v>
          </cell>
          <cell r="FR61">
            <v>0</v>
          </cell>
        </row>
        <row r="62">
          <cell r="AL62" t="str">
            <v>Land Owner</v>
          </cell>
          <cell r="AT62" t="str">
            <v>Y</v>
          </cell>
          <cell r="BM62">
            <v>0</v>
          </cell>
          <cell r="BN62">
            <v>0</v>
          </cell>
          <cell r="BO62">
            <v>0</v>
          </cell>
          <cell r="FR62">
            <v>0</v>
          </cell>
        </row>
        <row r="63">
          <cell r="AL63" t="str">
            <v>Land Owner</v>
          </cell>
          <cell r="AT63" t="str">
            <v>Y</v>
          </cell>
          <cell r="BM63" t="str">
            <v>Mirriam P. De Leon</v>
          </cell>
          <cell r="BN63" t="str">
            <v>Residential</v>
          </cell>
          <cell r="BO63" t="str">
            <v>Structure Owner</v>
          </cell>
          <cell r="FR63">
            <v>0</v>
          </cell>
        </row>
        <row r="64">
          <cell r="AL64" t="str">
            <v>Land Owner</v>
          </cell>
          <cell r="AT64">
            <v>0</v>
          </cell>
          <cell r="BM64">
            <v>0</v>
          </cell>
          <cell r="BN64">
            <v>0</v>
          </cell>
          <cell r="BO64">
            <v>0</v>
          </cell>
          <cell r="FR64">
            <v>0</v>
          </cell>
        </row>
        <row r="65">
          <cell r="AL65" t="str">
            <v>Land Owner</v>
          </cell>
          <cell r="AT65">
            <v>0</v>
          </cell>
          <cell r="BM65" t="str">
            <v>Renato Alongalay</v>
          </cell>
          <cell r="BN65" t="str">
            <v>Residential</v>
          </cell>
          <cell r="BO65" t="str">
            <v>Structure Owner</v>
          </cell>
          <cell r="FR65">
            <v>0</v>
          </cell>
        </row>
        <row r="66">
          <cell r="AL66" t="str">
            <v>Land Owner</v>
          </cell>
          <cell r="AT66">
            <v>0</v>
          </cell>
          <cell r="BM66" t="str">
            <v>PNR</v>
          </cell>
          <cell r="BN66" t="str">
            <v>Institutional</v>
          </cell>
          <cell r="BO66" t="str">
            <v>Structure Owner</v>
          </cell>
          <cell r="FR66">
            <v>0</v>
          </cell>
        </row>
        <row r="67">
          <cell r="AL67" t="str">
            <v>Land Owner</v>
          </cell>
          <cell r="AT67">
            <v>0</v>
          </cell>
          <cell r="BM67" t="str">
            <v>PNR</v>
          </cell>
          <cell r="BN67" t="str">
            <v>Institutional</v>
          </cell>
          <cell r="BO67" t="str">
            <v>Structure Owner</v>
          </cell>
          <cell r="FR67">
            <v>0</v>
          </cell>
        </row>
        <row r="68">
          <cell r="AL68" t="str">
            <v>ISF</v>
          </cell>
          <cell r="AT68">
            <v>0</v>
          </cell>
          <cell r="BM68" t="str">
            <v>Billy M. Magdaraog</v>
          </cell>
          <cell r="BN68" t="str">
            <v>Residential</v>
          </cell>
          <cell r="BO68" t="str">
            <v>Structure Owner</v>
          </cell>
          <cell r="FR68" t="str">
            <v>Need Displacement</v>
          </cell>
        </row>
        <row r="69">
          <cell r="AL69" t="str">
            <v>ISF</v>
          </cell>
          <cell r="AT69">
            <v>0</v>
          </cell>
          <cell r="BM69" t="str">
            <v>Miguel M. Zarate</v>
          </cell>
          <cell r="BN69" t="str">
            <v>Residential</v>
          </cell>
          <cell r="BO69" t="str">
            <v>Structure Owner</v>
          </cell>
          <cell r="FR69" t="str">
            <v>Need Displacement</v>
          </cell>
        </row>
        <row r="70">
          <cell r="AL70" t="str">
            <v>ISF</v>
          </cell>
          <cell r="AT70">
            <v>0</v>
          </cell>
          <cell r="BM70" t="str">
            <v>Lobetaña, Benjamin A.</v>
          </cell>
          <cell r="BN70" t="str">
            <v>Mixed use</v>
          </cell>
          <cell r="BO70" t="str">
            <v>Structure Owner</v>
          </cell>
          <cell r="FR70">
            <v>0</v>
          </cell>
        </row>
        <row r="71">
          <cell r="AL71" t="str">
            <v>Land Owner</v>
          </cell>
          <cell r="AT71">
            <v>0</v>
          </cell>
          <cell r="BM71">
            <v>0</v>
          </cell>
          <cell r="BN71">
            <v>0</v>
          </cell>
          <cell r="BO71">
            <v>0</v>
          </cell>
          <cell r="FR71">
            <v>0</v>
          </cell>
        </row>
        <row r="72">
          <cell r="AL72" t="str">
            <v>ISF</v>
          </cell>
          <cell r="AT72">
            <v>0</v>
          </cell>
          <cell r="BM72" t="str">
            <v>Manuel/Eleanor Dela Cruz</v>
          </cell>
          <cell r="BN72" t="str">
            <v>Commercial</v>
          </cell>
          <cell r="BO72" t="str">
            <v>Structure Owner</v>
          </cell>
          <cell r="FR72" t="str">
            <v>Need Displacement</v>
          </cell>
        </row>
        <row r="73">
          <cell r="AL73" t="str">
            <v>Land Owner</v>
          </cell>
          <cell r="AT73">
            <v>0</v>
          </cell>
          <cell r="BM73" t="str">
            <v>Yongden Technology Corp. c/o Lauro Sy</v>
          </cell>
          <cell r="BN73" t="str">
            <v>Industrial</v>
          </cell>
          <cell r="BO73" t="str">
            <v>Structure Owner</v>
          </cell>
          <cell r="FR73">
            <v>0</v>
          </cell>
        </row>
        <row r="74">
          <cell r="AL74" t="str">
            <v>Land Lessee</v>
          </cell>
          <cell r="AT74">
            <v>0</v>
          </cell>
          <cell r="BM74" t="str">
            <v>Pabeloña, Angel Vivas</v>
          </cell>
          <cell r="BN74" t="str">
            <v>Residential/Agricultural</v>
          </cell>
          <cell r="BO74" t="str">
            <v>Structure Owner</v>
          </cell>
          <cell r="FR74" t="str">
            <v>Need Displacement</v>
          </cell>
        </row>
        <row r="75">
          <cell r="AL75" t="str">
            <v>Land Owner</v>
          </cell>
          <cell r="AT75">
            <v>0</v>
          </cell>
          <cell r="BM75" t="str">
            <v>Yongden Technology Corp. c/o Lauro Sy</v>
          </cell>
          <cell r="BN75" t="str">
            <v>Industrial</v>
          </cell>
          <cell r="BO75" t="str">
            <v>Structure Owner</v>
          </cell>
          <cell r="FR75">
            <v>0</v>
          </cell>
        </row>
        <row r="76">
          <cell r="AL76" t="str">
            <v>Land Owner</v>
          </cell>
          <cell r="AT76">
            <v>0</v>
          </cell>
          <cell r="BM76" t="str">
            <v>TESDA c/o Gilbert M. Castro</v>
          </cell>
          <cell r="BN76" t="str">
            <v>Institutional</v>
          </cell>
          <cell r="BO76" t="str">
            <v>Structure Owner</v>
          </cell>
          <cell r="FR76">
            <v>0</v>
          </cell>
        </row>
        <row r="77">
          <cell r="AL77" t="str">
            <v>Land Owner</v>
          </cell>
          <cell r="AT77">
            <v>0</v>
          </cell>
          <cell r="BM77" t="str">
            <v>TESDA c/o Gilbert M. Castro</v>
          </cell>
          <cell r="BN77" t="str">
            <v>Institutional</v>
          </cell>
          <cell r="BO77" t="str">
            <v>Structure Owner</v>
          </cell>
          <cell r="FR77">
            <v>0</v>
          </cell>
        </row>
        <row r="78">
          <cell r="AL78" t="str">
            <v>Land Owner</v>
          </cell>
          <cell r="AT78">
            <v>0</v>
          </cell>
          <cell r="BM78" t="str">
            <v>TESDA c/o Gilbert M. Castro</v>
          </cell>
          <cell r="BN78" t="str">
            <v>Institutional</v>
          </cell>
          <cell r="BO78" t="str">
            <v>Structure Owner</v>
          </cell>
          <cell r="FR78">
            <v>0</v>
          </cell>
        </row>
        <row r="79">
          <cell r="AL79" t="str">
            <v>Land Owner</v>
          </cell>
          <cell r="AT79">
            <v>0</v>
          </cell>
          <cell r="BM79" t="str">
            <v>HIYAS Agro-Commodities Center (HACC)/ Bulacan Provincial Government</v>
          </cell>
          <cell r="BN79" t="str">
            <v>Institutional</v>
          </cell>
          <cell r="BO79" t="str">
            <v>Structure Owner</v>
          </cell>
          <cell r="FR79">
            <v>0</v>
          </cell>
        </row>
        <row r="80">
          <cell r="AL80" t="str">
            <v>ISF</v>
          </cell>
          <cell r="AT80">
            <v>0</v>
          </cell>
          <cell r="BM80" t="str">
            <v>Lapuz, Antonio Libingting</v>
          </cell>
          <cell r="BN80" t="str">
            <v>Residential</v>
          </cell>
          <cell r="BO80" t="str">
            <v>Structure Owner</v>
          </cell>
          <cell r="FR80" t="str">
            <v>Need Displacement</v>
          </cell>
        </row>
        <row r="81">
          <cell r="AL81" t="str">
            <v>Land Dweller</v>
          </cell>
          <cell r="AT81">
            <v>0</v>
          </cell>
          <cell r="BM81" t="str">
            <v>Raymundo M. Robles</v>
          </cell>
          <cell r="BN81" t="str">
            <v>Residential</v>
          </cell>
          <cell r="BO81" t="str">
            <v>Structure Owner</v>
          </cell>
          <cell r="FR81" t="str">
            <v>Need Displacement</v>
          </cell>
        </row>
        <row r="82">
          <cell r="AL82" t="str">
            <v>Land Dweller</v>
          </cell>
          <cell r="AT82">
            <v>0</v>
          </cell>
          <cell r="BM82" t="str">
            <v>Raymundo M. Robles</v>
          </cell>
          <cell r="BN82" t="str">
            <v>Industrial</v>
          </cell>
          <cell r="BO82" t="str">
            <v>Structure Owner</v>
          </cell>
          <cell r="FR82">
            <v>0</v>
          </cell>
        </row>
        <row r="83">
          <cell r="AL83" t="str">
            <v>Land Owner</v>
          </cell>
          <cell r="AT83" t="str">
            <v>Y</v>
          </cell>
          <cell r="BM83" t="str">
            <v>Romana M. Robles</v>
          </cell>
          <cell r="BN83" t="str">
            <v>Residential</v>
          </cell>
          <cell r="BO83" t="str">
            <v>Structure Owner</v>
          </cell>
          <cell r="FR83" t="str">
            <v>Need Displacement</v>
          </cell>
        </row>
        <row r="84">
          <cell r="AL84" t="str">
            <v>Land Lessee</v>
          </cell>
          <cell r="AT84">
            <v>0</v>
          </cell>
          <cell r="BM84">
            <v>0</v>
          </cell>
          <cell r="BN84">
            <v>0</v>
          </cell>
          <cell r="BO84" t="str">
            <v>Structure Renter</v>
          </cell>
          <cell r="FR84">
            <v>0</v>
          </cell>
        </row>
        <row r="85">
          <cell r="AL85" t="str">
            <v>Land Dweller</v>
          </cell>
          <cell r="AT85">
            <v>0</v>
          </cell>
          <cell r="BM85" t="str">
            <v>Geronimo Cecilia A.</v>
          </cell>
          <cell r="BN85" t="str">
            <v>Residential</v>
          </cell>
          <cell r="BO85" t="str">
            <v>Structure Owner</v>
          </cell>
          <cell r="FR85" t="str">
            <v>Can Stay</v>
          </cell>
        </row>
        <row r="86">
          <cell r="AL86" t="str">
            <v>Land Owner</v>
          </cell>
          <cell r="AT86" t="str">
            <v>Y</v>
          </cell>
          <cell r="BM86" t="str">
            <v>Virginia R. Angeles</v>
          </cell>
          <cell r="BN86" t="str">
            <v>Residential</v>
          </cell>
          <cell r="BO86" t="str">
            <v>Structure Owner</v>
          </cell>
          <cell r="FR86" t="str">
            <v>Need Displacement</v>
          </cell>
        </row>
        <row r="87">
          <cell r="AL87" t="str">
            <v>Land Dweller</v>
          </cell>
          <cell r="AT87">
            <v>0</v>
          </cell>
          <cell r="BM87" t="str">
            <v>Aida C. Angeles and Geronimo R. Angeles</v>
          </cell>
          <cell r="BN87" t="str">
            <v>Residential</v>
          </cell>
          <cell r="BO87" t="str">
            <v>Structure Owner</v>
          </cell>
          <cell r="FR87" t="str">
            <v>Need Displacement</v>
          </cell>
        </row>
        <row r="88">
          <cell r="AL88" t="str">
            <v>Land Owner</v>
          </cell>
          <cell r="AT88" t="str">
            <v>Y</v>
          </cell>
          <cell r="BM88">
            <v>0</v>
          </cell>
          <cell r="BN88">
            <v>0</v>
          </cell>
          <cell r="BO88">
            <v>0</v>
          </cell>
          <cell r="FR88">
            <v>0</v>
          </cell>
        </row>
        <row r="89">
          <cell r="AL89" t="str">
            <v>Land Lessee</v>
          </cell>
          <cell r="AT89">
            <v>0</v>
          </cell>
          <cell r="BM89">
            <v>0</v>
          </cell>
          <cell r="BN89">
            <v>0</v>
          </cell>
          <cell r="BO89">
            <v>0</v>
          </cell>
          <cell r="FR89">
            <v>0</v>
          </cell>
        </row>
        <row r="90">
          <cell r="AL90">
            <v>0</v>
          </cell>
          <cell r="AT90">
            <v>0</v>
          </cell>
          <cell r="BM90">
            <v>0</v>
          </cell>
          <cell r="BN90">
            <v>0</v>
          </cell>
          <cell r="BO90">
            <v>0</v>
          </cell>
          <cell r="FR90">
            <v>0</v>
          </cell>
        </row>
        <row r="91">
          <cell r="AL91">
            <v>0</v>
          </cell>
          <cell r="AT91">
            <v>0</v>
          </cell>
          <cell r="BM91">
            <v>0</v>
          </cell>
          <cell r="BN91">
            <v>0</v>
          </cell>
          <cell r="BO91">
            <v>0</v>
          </cell>
          <cell r="FR91">
            <v>0</v>
          </cell>
        </row>
        <row r="92">
          <cell r="AL92" t="str">
            <v>Land Owner</v>
          </cell>
          <cell r="AT92">
            <v>0</v>
          </cell>
          <cell r="BM92">
            <v>0</v>
          </cell>
          <cell r="BN92">
            <v>0</v>
          </cell>
          <cell r="BO92">
            <v>0</v>
          </cell>
          <cell r="FR92">
            <v>0</v>
          </cell>
        </row>
        <row r="93">
          <cell r="AL93" t="str">
            <v>Land Lessee</v>
          </cell>
          <cell r="AT93" t="str">
            <v/>
          </cell>
          <cell r="BM93" t="str">
            <v>Ramon B. Regalario</v>
          </cell>
          <cell r="BN93" t="str">
            <v>Residential</v>
          </cell>
          <cell r="BO93" t="str">
            <v>Structure Owner</v>
          </cell>
          <cell r="FR93" t="str">
            <v>Need Displacement</v>
          </cell>
        </row>
        <row r="94">
          <cell r="AL94" t="str">
            <v>Land Owner</v>
          </cell>
          <cell r="AT94">
            <v>0</v>
          </cell>
          <cell r="BM94">
            <v>0</v>
          </cell>
          <cell r="BN94">
            <v>0</v>
          </cell>
          <cell r="BO94">
            <v>0</v>
          </cell>
          <cell r="FR94">
            <v>0</v>
          </cell>
        </row>
        <row r="95">
          <cell r="AL95" t="str">
            <v>Land Owner</v>
          </cell>
          <cell r="AT95">
            <v>0</v>
          </cell>
          <cell r="BM95" t="str">
            <v>PNR</v>
          </cell>
          <cell r="BN95" t="str">
            <v>Institutional</v>
          </cell>
          <cell r="BO95" t="str">
            <v>Structure Owner</v>
          </cell>
          <cell r="FR95">
            <v>0</v>
          </cell>
        </row>
        <row r="96">
          <cell r="AL96">
            <v>0</v>
          </cell>
          <cell r="AT96">
            <v>0</v>
          </cell>
          <cell r="BM96">
            <v>0</v>
          </cell>
          <cell r="BN96">
            <v>0</v>
          </cell>
          <cell r="BO96">
            <v>0</v>
          </cell>
          <cell r="FR96">
            <v>0</v>
          </cell>
        </row>
        <row r="97">
          <cell r="AL97" t="str">
            <v>ISF</v>
          </cell>
          <cell r="AT97">
            <v>0</v>
          </cell>
          <cell r="BM97" t="str">
            <v>Ruben A. Mejos Sr.</v>
          </cell>
          <cell r="BN97" t="str">
            <v>Mixed use</v>
          </cell>
          <cell r="BO97" t="str">
            <v>Structure Owner</v>
          </cell>
          <cell r="FR97" t="str">
            <v>Need Displacement</v>
          </cell>
        </row>
        <row r="98">
          <cell r="AL98" t="str">
            <v>Land Owner</v>
          </cell>
          <cell r="AT98" t="str">
            <v>Y</v>
          </cell>
          <cell r="BN98">
            <v>0</v>
          </cell>
          <cell r="BO98">
            <v>0</v>
          </cell>
          <cell r="FR98" t="str">
            <v>Can Stay</v>
          </cell>
        </row>
        <row r="99">
          <cell r="AL99" t="str">
            <v>ISF</v>
          </cell>
          <cell r="AT99">
            <v>0</v>
          </cell>
          <cell r="BM99" t="str">
            <v>Rosalia I. Santos</v>
          </cell>
          <cell r="BN99" t="str">
            <v>Residential</v>
          </cell>
          <cell r="BO99" t="str">
            <v>Structure Owner</v>
          </cell>
          <cell r="FR99" t="str">
            <v>Need Displacement</v>
          </cell>
        </row>
        <row r="100">
          <cell r="AL100" t="str">
            <v>ISF</v>
          </cell>
          <cell r="AT100">
            <v>0</v>
          </cell>
          <cell r="BM100">
            <v>0</v>
          </cell>
          <cell r="BN100">
            <v>0</v>
          </cell>
          <cell r="BO100" t="str">
            <v>Structure Renter</v>
          </cell>
          <cell r="FR100" t="str">
            <v>Need Displacement</v>
          </cell>
        </row>
        <row r="101">
          <cell r="AL101" t="str">
            <v>ISF</v>
          </cell>
          <cell r="AT101">
            <v>0</v>
          </cell>
          <cell r="BM101">
            <v>0</v>
          </cell>
          <cell r="BN101">
            <v>0</v>
          </cell>
          <cell r="BO101" t="str">
            <v>Structure Renter</v>
          </cell>
          <cell r="FR101" t="str">
            <v>Need Displacement</v>
          </cell>
        </row>
        <row r="102">
          <cell r="AL102" t="str">
            <v>ISF</v>
          </cell>
          <cell r="AT102">
            <v>0</v>
          </cell>
          <cell r="BM102" t="str">
            <v>Barangay Saog LGU</v>
          </cell>
          <cell r="BN102" t="str">
            <v>Institutional</v>
          </cell>
          <cell r="BO102" t="str">
            <v>Institutional occupant</v>
          </cell>
          <cell r="FR102">
            <v>0</v>
          </cell>
        </row>
        <row r="103">
          <cell r="AL103" t="str">
            <v>Land Owner</v>
          </cell>
          <cell r="AT103" t="str">
            <v>Y</v>
          </cell>
          <cell r="BM103" t="str">
            <v>Alicia V. Montañez</v>
          </cell>
          <cell r="BN103" t="str">
            <v>Residential</v>
          </cell>
          <cell r="BO103" t="str">
            <v>Structure Owner</v>
          </cell>
          <cell r="FR103" t="str">
            <v>Can Stay</v>
          </cell>
        </row>
        <row r="104">
          <cell r="AL104" t="str">
            <v>Land Dweller</v>
          </cell>
          <cell r="AT104">
            <v>0</v>
          </cell>
          <cell r="BM104" t="str">
            <v>Edwin P. Villanueva</v>
          </cell>
          <cell r="BN104" t="str">
            <v>Residential</v>
          </cell>
          <cell r="BO104" t="str">
            <v>Structure Owner</v>
          </cell>
          <cell r="FR104" t="str">
            <v>Can Stay</v>
          </cell>
        </row>
        <row r="105">
          <cell r="AL105" t="str">
            <v>Land Owner</v>
          </cell>
          <cell r="AT105" t="str">
            <v>Y</v>
          </cell>
          <cell r="BM105" t="str">
            <v>Lauro P.Guinto</v>
          </cell>
          <cell r="BN105" t="str">
            <v>Residential</v>
          </cell>
          <cell r="BO105" t="str">
            <v>Structure Owner</v>
          </cell>
          <cell r="FR105" t="str">
            <v>Can Stay</v>
          </cell>
        </row>
        <row r="106">
          <cell r="AL106" t="str">
            <v>Land Dweller</v>
          </cell>
          <cell r="AT106">
            <v>0</v>
          </cell>
          <cell r="BM106">
            <v>0</v>
          </cell>
          <cell r="BN106">
            <v>0</v>
          </cell>
          <cell r="BO106" t="str">
            <v>Sharer</v>
          </cell>
          <cell r="FR106">
            <v>0</v>
          </cell>
        </row>
        <row r="107">
          <cell r="AL107" t="str">
            <v>Land Owner</v>
          </cell>
          <cell r="AT107" t="str">
            <v>Y</v>
          </cell>
          <cell r="BM107" t="str">
            <v>Levy Castor</v>
          </cell>
          <cell r="BN107" t="str">
            <v>Residential</v>
          </cell>
          <cell r="BO107" t="str">
            <v>Structure Owner</v>
          </cell>
          <cell r="FR107">
            <v>0</v>
          </cell>
        </row>
        <row r="108">
          <cell r="AL108" t="str">
            <v>Land Caretaker</v>
          </cell>
          <cell r="AT108">
            <v>0</v>
          </cell>
          <cell r="BM108">
            <v>0</v>
          </cell>
          <cell r="BN108">
            <v>0</v>
          </cell>
          <cell r="BO108" t="str">
            <v>Caretaker</v>
          </cell>
          <cell r="FR108" t="str">
            <v>Need Displacement</v>
          </cell>
        </row>
        <row r="109">
          <cell r="AL109" t="str">
            <v>Land Owner</v>
          </cell>
          <cell r="AT109">
            <v>0</v>
          </cell>
          <cell r="BM109">
            <v>0</v>
          </cell>
          <cell r="BN109">
            <v>0</v>
          </cell>
          <cell r="BO109">
            <v>0</v>
          </cell>
          <cell r="FR109" t="str">
            <v>Can Stay</v>
          </cell>
        </row>
        <row r="110">
          <cell r="AL110" t="str">
            <v>Land owner</v>
          </cell>
          <cell r="AT110" t="str">
            <v>Y</v>
          </cell>
          <cell r="BM110" t="str">
            <v>Clarita Villaflores</v>
          </cell>
          <cell r="BN110" t="str">
            <v>Residential</v>
          </cell>
          <cell r="BO110" t="str">
            <v>Structure Owner</v>
          </cell>
          <cell r="FR110">
            <v>0</v>
          </cell>
        </row>
        <row r="111">
          <cell r="AL111" t="str">
            <v>Land Caretaker</v>
          </cell>
          <cell r="AT111">
            <v>0</v>
          </cell>
          <cell r="BM111">
            <v>0</v>
          </cell>
          <cell r="BN111">
            <v>0</v>
          </cell>
          <cell r="BO111" t="str">
            <v>Caretaker</v>
          </cell>
          <cell r="FR111">
            <v>0</v>
          </cell>
        </row>
        <row r="112">
          <cell r="AL112" t="str">
            <v>Land Owner</v>
          </cell>
          <cell r="AT112" t="str">
            <v>Y</v>
          </cell>
          <cell r="BM112">
            <v>0</v>
          </cell>
          <cell r="BN112">
            <v>0</v>
          </cell>
          <cell r="BO112">
            <v>0</v>
          </cell>
          <cell r="FR112">
            <v>0</v>
          </cell>
        </row>
        <row r="113">
          <cell r="AL113" t="str">
            <v>Land Dweller</v>
          </cell>
          <cell r="AT113">
            <v>0</v>
          </cell>
          <cell r="BM113" t="str">
            <v xml:space="preserve">Adriano N. Mendoza </v>
          </cell>
          <cell r="BN113" t="str">
            <v>Residential</v>
          </cell>
          <cell r="BO113" t="str">
            <v>Structure Owner</v>
          </cell>
          <cell r="FR113" t="str">
            <v>Need Displacement</v>
          </cell>
        </row>
        <row r="114">
          <cell r="AL114" t="str">
            <v>Land Dweller</v>
          </cell>
          <cell r="AT114">
            <v>0</v>
          </cell>
          <cell r="BM114" t="str">
            <v>Manuel Nieva Mendoza</v>
          </cell>
          <cell r="BN114" t="str">
            <v>Residential</v>
          </cell>
          <cell r="BO114" t="str">
            <v>Structure Owner</v>
          </cell>
          <cell r="FR114" t="str">
            <v>Need Displacement</v>
          </cell>
        </row>
        <row r="115">
          <cell r="AL115" t="str">
            <v>Land Dweller</v>
          </cell>
          <cell r="AT115">
            <v>0</v>
          </cell>
          <cell r="BM115">
            <v>0</v>
          </cell>
          <cell r="BN115">
            <v>0</v>
          </cell>
          <cell r="BO115" t="str">
            <v>Caretaker</v>
          </cell>
          <cell r="FR115">
            <v>0</v>
          </cell>
        </row>
        <row r="116">
          <cell r="AL116" t="str">
            <v>Land Dweller</v>
          </cell>
          <cell r="AT116">
            <v>0</v>
          </cell>
          <cell r="BM116">
            <v>0</v>
          </cell>
          <cell r="BN116">
            <v>0</v>
          </cell>
          <cell r="BO116" t="str">
            <v>Co-owner</v>
          </cell>
          <cell r="FR116">
            <v>0</v>
          </cell>
        </row>
        <row r="117">
          <cell r="AL117" t="str">
            <v>Land Lessee</v>
          </cell>
          <cell r="AT117">
            <v>0</v>
          </cell>
          <cell r="BM117" t="str">
            <v>Manuel Nieva Mendoza</v>
          </cell>
          <cell r="BN117" t="str">
            <v>Residential</v>
          </cell>
          <cell r="BO117" t="str">
            <v>Structure Renter</v>
          </cell>
          <cell r="FR117">
            <v>0</v>
          </cell>
        </row>
        <row r="118">
          <cell r="AL118" t="str">
            <v>Land Dweller</v>
          </cell>
          <cell r="AT118">
            <v>0</v>
          </cell>
          <cell r="BM118" t="str">
            <v>Reynaldo N. Mendoza</v>
          </cell>
          <cell r="BN118" t="str">
            <v>Mixed use</v>
          </cell>
          <cell r="BO118" t="str">
            <v>Structure Owner</v>
          </cell>
          <cell r="FR118" t="str">
            <v>Need Displacement</v>
          </cell>
        </row>
        <row r="119">
          <cell r="AL119" t="str">
            <v>Land Dweller</v>
          </cell>
          <cell r="AT119">
            <v>0</v>
          </cell>
          <cell r="BM119">
            <v>0</v>
          </cell>
          <cell r="BN119">
            <v>0</v>
          </cell>
          <cell r="BO119" t="str">
            <v>Co-owner</v>
          </cell>
          <cell r="FR119">
            <v>0</v>
          </cell>
        </row>
        <row r="120">
          <cell r="AL120" t="str">
            <v>Land Lessee</v>
          </cell>
          <cell r="AT120">
            <v>0</v>
          </cell>
          <cell r="BM120" t="str">
            <v>Reynaldo N. Mendoza</v>
          </cell>
          <cell r="BN120" t="str">
            <v>Mixed use</v>
          </cell>
          <cell r="BO120" t="str">
            <v>Commercial Tenant</v>
          </cell>
          <cell r="FR120">
            <v>0</v>
          </cell>
        </row>
        <row r="121">
          <cell r="AL121" t="str">
            <v>Land Lessee</v>
          </cell>
          <cell r="AT121">
            <v>0</v>
          </cell>
          <cell r="BM121">
            <v>0</v>
          </cell>
          <cell r="BN121">
            <v>0</v>
          </cell>
          <cell r="BO121" t="str">
            <v>Commercial Tenant</v>
          </cell>
          <cell r="FR121">
            <v>0</v>
          </cell>
        </row>
        <row r="122">
          <cell r="AL122" t="str">
            <v>Land Lessee</v>
          </cell>
          <cell r="AT122">
            <v>0</v>
          </cell>
          <cell r="BM122">
            <v>0</v>
          </cell>
          <cell r="BN122">
            <v>0</v>
          </cell>
          <cell r="BO122" t="str">
            <v>Commercial Tenant</v>
          </cell>
          <cell r="FR122">
            <v>0</v>
          </cell>
        </row>
        <row r="123">
          <cell r="AL123" t="str">
            <v>Land Owner</v>
          </cell>
          <cell r="AT123" t="str">
            <v>Y</v>
          </cell>
          <cell r="BM123" t="str">
            <v>Vivian E. Sakurai</v>
          </cell>
          <cell r="BN123" t="str">
            <v>Mixed use</v>
          </cell>
          <cell r="BO123" t="str">
            <v>Structure Owner</v>
          </cell>
          <cell r="FR123" t="str">
            <v>Need Displacement</v>
          </cell>
        </row>
        <row r="124">
          <cell r="AL124" t="str">
            <v>Land Lessee</v>
          </cell>
          <cell r="AT124">
            <v>0</v>
          </cell>
          <cell r="BM124">
            <v>0</v>
          </cell>
          <cell r="BN124">
            <v>0</v>
          </cell>
          <cell r="BO124" t="str">
            <v>Commercial Tenant</v>
          </cell>
          <cell r="FR124">
            <v>0</v>
          </cell>
        </row>
        <row r="125">
          <cell r="AL125" t="str">
            <v>Land Owner</v>
          </cell>
          <cell r="AT125" t="str">
            <v>Y</v>
          </cell>
          <cell r="BM125">
            <v>0</v>
          </cell>
          <cell r="BN125">
            <v>0</v>
          </cell>
          <cell r="BO125">
            <v>0</v>
          </cell>
          <cell r="FR125">
            <v>0</v>
          </cell>
        </row>
        <row r="126">
          <cell r="AL126" t="str">
            <v>ISF</v>
          </cell>
          <cell r="AT126" t="str">
            <v>Y</v>
          </cell>
          <cell r="BM126">
            <v>0</v>
          </cell>
          <cell r="BN126">
            <v>0</v>
          </cell>
          <cell r="BO126">
            <v>0</v>
          </cell>
          <cell r="FR126">
            <v>0</v>
          </cell>
        </row>
        <row r="127">
          <cell r="AL127" t="str">
            <v>Land Owner</v>
          </cell>
          <cell r="AT127">
            <v>0</v>
          </cell>
          <cell r="BM127">
            <v>0</v>
          </cell>
          <cell r="BN127">
            <v>0</v>
          </cell>
          <cell r="BO127">
            <v>0</v>
          </cell>
          <cell r="FR127">
            <v>0</v>
          </cell>
        </row>
        <row r="128">
          <cell r="AL128" t="str">
            <v>Land Owner</v>
          </cell>
          <cell r="AT128" t="str">
            <v>Y</v>
          </cell>
          <cell r="BM128" t="str">
            <v>Julito M. Lanoso</v>
          </cell>
          <cell r="BN128" t="str">
            <v>Residential</v>
          </cell>
          <cell r="BO128" t="str">
            <v>Structure Owner</v>
          </cell>
          <cell r="FR128" t="str">
            <v>Can Stay</v>
          </cell>
        </row>
        <row r="129">
          <cell r="AL129" t="str">
            <v>Land Owner</v>
          </cell>
          <cell r="AT129">
            <v>0</v>
          </cell>
          <cell r="BM129" t="str">
            <v>Melven Gallego Jr</v>
          </cell>
          <cell r="BN129" t="str">
            <v>Residential</v>
          </cell>
          <cell r="BO129" t="str">
            <v>Caretaker</v>
          </cell>
          <cell r="FR129" t="str">
            <v>Need Displacement</v>
          </cell>
        </row>
        <row r="130">
          <cell r="AL130">
            <v>0</v>
          </cell>
          <cell r="AT130">
            <v>0</v>
          </cell>
          <cell r="BM130" t="str">
            <v>Melven Gallego Jr</v>
          </cell>
          <cell r="BN130" t="str">
            <v>Residential</v>
          </cell>
          <cell r="BO130" t="str">
            <v>Structure Renter</v>
          </cell>
          <cell r="FR130" t="str">
            <v>Need Displacement</v>
          </cell>
        </row>
        <row r="131">
          <cell r="AL131" t="str">
            <v>Land Lessee</v>
          </cell>
          <cell r="AT131">
            <v>0</v>
          </cell>
          <cell r="BM131" t="str">
            <v>Melven Gallego Jr</v>
          </cell>
          <cell r="BN131" t="str">
            <v>Residential</v>
          </cell>
          <cell r="BO131" t="str">
            <v>Structure Renter</v>
          </cell>
          <cell r="FR131" t="str">
            <v>Need Displacement</v>
          </cell>
        </row>
        <row r="132">
          <cell r="AL132" t="str">
            <v>Land Lessee</v>
          </cell>
          <cell r="AT132">
            <v>0</v>
          </cell>
          <cell r="BM132" t="str">
            <v>Melven Gallego Jr</v>
          </cell>
          <cell r="BN132" t="str">
            <v>Residential</v>
          </cell>
          <cell r="BO132" t="str">
            <v>Structure Renter</v>
          </cell>
          <cell r="FR132" t="str">
            <v>Need Displacement</v>
          </cell>
        </row>
        <row r="133">
          <cell r="AL133" t="str">
            <v>Land Owner</v>
          </cell>
          <cell r="AT133">
            <v>0</v>
          </cell>
          <cell r="BM133" t="str">
            <v>Melven Gallego Jr</v>
          </cell>
          <cell r="BN133" t="str">
            <v>Residential</v>
          </cell>
          <cell r="BO133" t="str">
            <v>Structure Owner</v>
          </cell>
          <cell r="FR133" t="str">
            <v>Need Displacement</v>
          </cell>
        </row>
        <row r="134">
          <cell r="AL134" t="str">
            <v>Land Lessee</v>
          </cell>
          <cell r="AT134">
            <v>0</v>
          </cell>
          <cell r="BM134" t="str">
            <v>Melven Gallego Jr</v>
          </cell>
          <cell r="BN134" t="str">
            <v>Residential</v>
          </cell>
          <cell r="BO134" t="str">
            <v>Structure Renter</v>
          </cell>
          <cell r="FR134" t="str">
            <v>Need Displacement</v>
          </cell>
        </row>
        <row r="135">
          <cell r="AL135" t="str">
            <v>Land Lessee</v>
          </cell>
          <cell r="AT135">
            <v>0</v>
          </cell>
          <cell r="BM135" t="str">
            <v>Melven Gallego Jr</v>
          </cell>
          <cell r="BN135" t="str">
            <v>Residential</v>
          </cell>
          <cell r="BO135" t="str">
            <v>Structure Renter</v>
          </cell>
          <cell r="FR135" t="str">
            <v>Need Displacement</v>
          </cell>
        </row>
        <row r="136">
          <cell r="AL136" t="str">
            <v>Land Lessee</v>
          </cell>
          <cell r="AT136">
            <v>0</v>
          </cell>
          <cell r="BM136" t="str">
            <v>Melven Gallego Jr</v>
          </cell>
          <cell r="BN136" t="str">
            <v>Residential</v>
          </cell>
          <cell r="BO136" t="str">
            <v>Structure Renter</v>
          </cell>
          <cell r="FR136">
            <v>0</v>
          </cell>
        </row>
        <row r="137">
          <cell r="AL137">
            <v>0</v>
          </cell>
          <cell r="AT137">
            <v>0</v>
          </cell>
          <cell r="BM137">
            <v>0</v>
          </cell>
          <cell r="BN137">
            <v>0</v>
          </cell>
          <cell r="BO137">
            <v>0</v>
          </cell>
          <cell r="FR137">
            <v>0</v>
          </cell>
        </row>
        <row r="138">
          <cell r="AL138" t="str">
            <v>Land Owner</v>
          </cell>
          <cell r="AT138">
            <v>0</v>
          </cell>
          <cell r="BM138">
            <v>0</v>
          </cell>
          <cell r="BN138">
            <v>0</v>
          </cell>
          <cell r="BO138">
            <v>0</v>
          </cell>
          <cell r="FR138">
            <v>0</v>
          </cell>
        </row>
        <row r="139">
          <cell r="AL139" t="str">
            <v>Land Owner</v>
          </cell>
          <cell r="AT139">
            <v>0</v>
          </cell>
          <cell r="BM139">
            <v>0</v>
          </cell>
          <cell r="BN139">
            <v>0</v>
          </cell>
          <cell r="BO139">
            <v>0</v>
          </cell>
          <cell r="FR139">
            <v>0</v>
          </cell>
        </row>
        <row r="140">
          <cell r="AL140">
            <v>0</v>
          </cell>
          <cell r="AT140" t="str">
            <v>Y</v>
          </cell>
          <cell r="BM140" t="str">
            <v>Lumbrera, Rafael Valencia</v>
          </cell>
          <cell r="BN140" t="str">
            <v>Residential</v>
          </cell>
          <cell r="BO140" t="str">
            <v>Structure Owner</v>
          </cell>
          <cell r="FR140">
            <v>0</v>
          </cell>
        </row>
        <row r="141">
          <cell r="AL141" t="str">
            <v>Land Owner</v>
          </cell>
          <cell r="AT141">
            <v>0</v>
          </cell>
          <cell r="BM141" t="str">
            <v>San Pedro Health Center</v>
          </cell>
          <cell r="BN141" t="str">
            <v>Institutitional</v>
          </cell>
          <cell r="BO141" t="str">
            <v>Institutional Occupant</v>
          </cell>
          <cell r="FR141">
            <v>0</v>
          </cell>
        </row>
        <row r="142">
          <cell r="AL142" t="str">
            <v>Land Owner</v>
          </cell>
          <cell r="AT142">
            <v>0</v>
          </cell>
          <cell r="BM142" t="str">
            <v>Cristina Diana Galit</v>
          </cell>
          <cell r="BN142" t="str">
            <v>Residential</v>
          </cell>
          <cell r="BO142" t="str">
            <v>Structure Owner</v>
          </cell>
          <cell r="FR142">
            <v>0</v>
          </cell>
        </row>
        <row r="143">
          <cell r="AL143" t="str">
            <v>Land Owner</v>
          </cell>
          <cell r="AT143" t="str">
            <v>Y</v>
          </cell>
          <cell r="BM143">
            <v>0</v>
          </cell>
          <cell r="BN143">
            <v>0</v>
          </cell>
          <cell r="BO143">
            <v>0</v>
          </cell>
          <cell r="FR143">
            <v>0</v>
          </cell>
        </row>
        <row r="144">
          <cell r="AL144">
            <v>0</v>
          </cell>
          <cell r="AT144">
            <v>0</v>
          </cell>
          <cell r="BM144" t="str">
            <v>Kotake, Mary Rose Pilonggo</v>
          </cell>
          <cell r="BN144" t="str">
            <v>Residential</v>
          </cell>
          <cell r="BO144" t="str">
            <v>Structure Owner</v>
          </cell>
          <cell r="FR144">
            <v>0</v>
          </cell>
        </row>
        <row r="145">
          <cell r="AL145" t="str">
            <v>Land Owner</v>
          </cell>
          <cell r="AT145">
            <v>0</v>
          </cell>
          <cell r="BM145" t="str">
            <v>Marie Rose Kotake</v>
          </cell>
          <cell r="BN145" t="str">
            <v>Residential/Commercial</v>
          </cell>
          <cell r="BO145" t="str">
            <v>structure Renter</v>
          </cell>
          <cell r="FR145" t="str">
            <v>Need Displacement</v>
          </cell>
        </row>
        <row r="146">
          <cell r="AL146" t="str">
            <v>Land Owner</v>
          </cell>
          <cell r="AT146">
            <v>0</v>
          </cell>
          <cell r="BM146" t="str">
            <v>Marie Rose Kotake</v>
          </cell>
          <cell r="BN146" t="str">
            <v>Residential/Commercial</v>
          </cell>
          <cell r="BO146" t="str">
            <v>structure Renter</v>
          </cell>
          <cell r="FR146" t="str">
            <v>Need Displacement</v>
          </cell>
        </row>
        <row r="147">
          <cell r="AL147" t="str">
            <v>Land Owner</v>
          </cell>
          <cell r="AT147">
            <v>0</v>
          </cell>
          <cell r="BM147" t="str">
            <v>Marie Rose Kotake</v>
          </cell>
          <cell r="BN147" t="str">
            <v>Residential</v>
          </cell>
          <cell r="BO147" t="str">
            <v>structure Renter</v>
          </cell>
          <cell r="FR147" t="str">
            <v>Need Displacement</v>
          </cell>
        </row>
        <row r="148">
          <cell r="AL148" t="str">
            <v>Land Owner</v>
          </cell>
          <cell r="AT148">
            <v>0</v>
          </cell>
          <cell r="BM148" t="str">
            <v>Dalino Baguio</v>
          </cell>
          <cell r="BN148" t="str">
            <v>Residential</v>
          </cell>
          <cell r="BO148" t="str">
            <v>Structure Owner</v>
          </cell>
          <cell r="FR148">
            <v>0</v>
          </cell>
        </row>
        <row r="149">
          <cell r="AL149" t="str">
            <v>Land Lesse</v>
          </cell>
          <cell r="AT149">
            <v>0</v>
          </cell>
          <cell r="BM149" t="str">
            <v>Dalino Baguio</v>
          </cell>
          <cell r="BN149" t="str">
            <v>Residential</v>
          </cell>
          <cell r="BO149" t="str">
            <v>Structure Owner</v>
          </cell>
          <cell r="FR149">
            <v>0</v>
          </cell>
        </row>
        <row r="150">
          <cell r="AL150" t="str">
            <v>Land Lesse</v>
          </cell>
          <cell r="AT150">
            <v>0</v>
          </cell>
          <cell r="BM150" t="str">
            <v>Dalino Baguio</v>
          </cell>
          <cell r="BN150" t="str">
            <v>Residential</v>
          </cell>
          <cell r="BO150" t="str">
            <v>structure Renter</v>
          </cell>
          <cell r="FR150">
            <v>0</v>
          </cell>
        </row>
        <row r="151">
          <cell r="AL151" t="str">
            <v>Land Lesse</v>
          </cell>
          <cell r="AT151">
            <v>0</v>
          </cell>
          <cell r="BM151" t="str">
            <v>Dalino Baguio</v>
          </cell>
          <cell r="BN151" t="str">
            <v>Residential</v>
          </cell>
          <cell r="BO151" t="str">
            <v>structure Renter</v>
          </cell>
          <cell r="FR151">
            <v>0</v>
          </cell>
        </row>
        <row r="152">
          <cell r="AL152" t="str">
            <v>Land Lesse</v>
          </cell>
          <cell r="AT152">
            <v>0</v>
          </cell>
          <cell r="BM152" t="str">
            <v>Dalino Baguio</v>
          </cell>
          <cell r="BN152" t="str">
            <v>Residential</v>
          </cell>
          <cell r="BO152" t="str">
            <v>Structure Owner</v>
          </cell>
          <cell r="FR152">
            <v>0</v>
          </cell>
        </row>
        <row r="153">
          <cell r="AL153" t="str">
            <v>Land Lesse</v>
          </cell>
          <cell r="AT153">
            <v>0</v>
          </cell>
          <cell r="BM153" t="str">
            <v>Dalino Baguio</v>
          </cell>
          <cell r="BN153" t="str">
            <v>Residential/Commercial</v>
          </cell>
          <cell r="BO153" t="str">
            <v>structure Renter</v>
          </cell>
          <cell r="FR153" t="str">
            <v>Need Displacement</v>
          </cell>
        </row>
        <row r="154">
          <cell r="AL154" t="str">
            <v>ISF</v>
          </cell>
          <cell r="AT154">
            <v>0</v>
          </cell>
          <cell r="BM154" t="str">
            <v>Publico, Rustico Papa</v>
          </cell>
          <cell r="BN154" t="str">
            <v>Residential/Commercial</v>
          </cell>
          <cell r="BO154" t="str">
            <v>Structure Owner</v>
          </cell>
          <cell r="FR154" t="str">
            <v>Need Displacement</v>
          </cell>
        </row>
        <row r="155">
          <cell r="AL155" t="str">
            <v>Land Owner</v>
          </cell>
          <cell r="AT155">
            <v>0</v>
          </cell>
          <cell r="BM155">
            <v>0</v>
          </cell>
          <cell r="BN155">
            <v>0</v>
          </cell>
          <cell r="BO155">
            <v>0</v>
          </cell>
          <cell r="FR155">
            <v>0</v>
          </cell>
        </row>
        <row r="156">
          <cell r="AL156">
            <v>0</v>
          </cell>
          <cell r="AT156">
            <v>0</v>
          </cell>
          <cell r="BM156">
            <v>0</v>
          </cell>
          <cell r="BN156">
            <v>0</v>
          </cell>
          <cell r="BO156">
            <v>0</v>
          </cell>
          <cell r="FR156">
            <v>0</v>
          </cell>
        </row>
        <row r="157">
          <cell r="AL157">
            <v>0</v>
          </cell>
          <cell r="AT157">
            <v>0</v>
          </cell>
          <cell r="BM157">
            <v>0</v>
          </cell>
          <cell r="BN157">
            <v>0</v>
          </cell>
          <cell r="BO157">
            <v>0</v>
          </cell>
          <cell r="FR157">
            <v>0</v>
          </cell>
        </row>
        <row r="158">
          <cell r="AL158">
            <v>0</v>
          </cell>
          <cell r="AT158">
            <v>0</v>
          </cell>
          <cell r="BM158">
            <v>0</v>
          </cell>
          <cell r="BN158">
            <v>0</v>
          </cell>
          <cell r="BO158">
            <v>0</v>
          </cell>
          <cell r="FR158">
            <v>0</v>
          </cell>
        </row>
        <row r="159">
          <cell r="AL159">
            <v>0</v>
          </cell>
          <cell r="AT159">
            <v>0</v>
          </cell>
          <cell r="BM159">
            <v>0</v>
          </cell>
          <cell r="BN159">
            <v>0</v>
          </cell>
          <cell r="BO159">
            <v>0</v>
          </cell>
          <cell r="FR159">
            <v>0</v>
          </cell>
        </row>
        <row r="160">
          <cell r="AL160">
            <v>0</v>
          </cell>
          <cell r="AT160">
            <v>0</v>
          </cell>
          <cell r="BM160">
            <v>0</v>
          </cell>
          <cell r="BN160">
            <v>0</v>
          </cell>
          <cell r="BO160">
            <v>0</v>
          </cell>
          <cell r="FR160">
            <v>0</v>
          </cell>
        </row>
        <row r="161">
          <cell r="AL161">
            <v>0</v>
          </cell>
          <cell r="AT161">
            <v>0</v>
          </cell>
          <cell r="BM161">
            <v>0</v>
          </cell>
          <cell r="BN161">
            <v>0</v>
          </cell>
          <cell r="BO161">
            <v>0</v>
          </cell>
          <cell r="FR161">
            <v>0</v>
          </cell>
        </row>
        <row r="162">
          <cell r="AL162" t="str">
            <v>Land Owner</v>
          </cell>
          <cell r="AT162" t="str">
            <v>Y</v>
          </cell>
          <cell r="BM162" t="str">
            <v>Jonathan M. Lamug</v>
          </cell>
          <cell r="BN162" t="str">
            <v>Residential</v>
          </cell>
          <cell r="BO162" t="str">
            <v>Structure Owner</v>
          </cell>
          <cell r="FR162" t="str">
            <v>Need Displacement</v>
          </cell>
        </row>
        <row r="163">
          <cell r="AL163" t="str">
            <v>Land Dweller</v>
          </cell>
          <cell r="AT163">
            <v>0</v>
          </cell>
          <cell r="BM163">
            <v>0</v>
          </cell>
          <cell r="BN163">
            <v>0</v>
          </cell>
          <cell r="BO163" t="str">
            <v>Co-owner</v>
          </cell>
          <cell r="FR163">
            <v>0</v>
          </cell>
        </row>
        <row r="164">
          <cell r="AL164" t="str">
            <v>Land Owner</v>
          </cell>
          <cell r="AT164" t="str">
            <v>Y</v>
          </cell>
          <cell r="BM164" t="str">
            <v>Corazon De Guzman</v>
          </cell>
          <cell r="BN164" t="str">
            <v>Residential</v>
          </cell>
          <cell r="BO164" t="str">
            <v>Structure Owner</v>
          </cell>
          <cell r="FR164" t="str">
            <v>Need Displacement</v>
          </cell>
        </row>
        <row r="165">
          <cell r="AL165" t="str">
            <v>Land Lessee</v>
          </cell>
          <cell r="AT165">
            <v>0</v>
          </cell>
          <cell r="BM165">
            <v>0</v>
          </cell>
          <cell r="BN165">
            <v>0</v>
          </cell>
          <cell r="BO165" t="str">
            <v>Structure Renter</v>
          </cell>
          <cell r="FR165" t="str">
            <v>Need Displacement</v>
          </cell>
        </row>
        <row r="166">
          <cell r="AL166" t="str">
            <v>Land Lessee</v>
          </cell>
          <cell r="AT166">
            <v>0</v>
          </cell>
          <cell r="BM166">
            <v>0</v>
          </cell>
          <cell r="BN166">
            <v>0</v>
          </cell>
          <cell r="BO166" t="str">
            <v>Structure Renter</v>
          </cell>
          <cell r="FR166" t="str">
            <v>Need Displacement</v>
          </cell>
        </row>
        <row r="167">
          <cell r="AL167" t="str">
            <v>Land Lessee</v>
          </cell>
          <cell r="AT167">
            <v>0</v>
          </cell>
          <cell r="BM167">
            <v>0</v>
          </cell>
          <cell r="BN167">
            <v>0</v>
          </cell>
          <cell r="BO167" t="str">
            <v>Structure Renter</v>
          </cell>
          <cell r="FR167" t="str">
            <v>Need Displacement</v>
          </cell>
        </row>
        <row r="168">
          <cell r="AL168" t="str">
            <v>Land Lessee</v>
          </cell>
          <cell r="AT168">
            <v>0</v>
          </cell>
          <cell r="BM168">
            <v>0</v>
          </cell>
          <cell r="BN168">
            <v>0</v>
          </cell>
          <cell r="BO168" t="str">
            <v>Structure Renter</v>
          </cell>
          <cell r="FR168" t="str">
            <v>Need Displacement</v>
          </cell>
        </row>
        <row r="169">
          <cell r="AL169" t="str">
            <v>Land Lessee</v>
          </cell>
          <cell r="AT169">
            <v>0</v>
          </cell>
          <cell r="BM169">
            <v>0</v>
          </cell>
          <cell r="BN169">
            <v>0</v>
          </cell>
          <cell r="BO169" t="str">
            <v>Structure Renter</v>
          </cell>
          <cell r="FR169" t="str">
            <v>Need Displacement</v>
          </cell>
        </row>
        <row r="170">
          <cell r="AL170" t="str">
            <v>Land Lessee</v>
          </cell>
          <cell r="AT170">
            <v>0</v>
          </cell>
          <cell r="BM170">
            <v>0</v>
          </cell>
          <cell r="BN170">
            <v>0</v>
          </cell>
          <cell r="BO170" t="str">
            <v>Structure Renter</v>
          </cell>
          <cell r="FR170" t="str">
            <v>Need Displacement</v>
          </cell>
        </row>
        <row r="171">
          <cell r="AL171" t="str">
            <v>Land Owner</v>
          </cell>
          <cell r="AT171" t="str">
            <v>Y</v>
          </cell>
          <cell r="BM171" t="str">
            <v>Marilou Dellota Olivares</v>
          </cell>
          <cell r="BN171" t="str">
            <v>Residential</v>
          </cell>
          <cell r="BO171" t="str">
            <v>Structure Owner</v>
          </cell>
          <cell r="FR171" t="str">
            <v>Need Displacement</v>
          </cell>
        </row>
        <row r="172">
          <cell r="AL172" t="str">
            <v>Land Dweller</v>
          </cell>
          <cell r="AT172">
            <v>0</v>
          </cell>
          <cell r="BM172" t="str">
            <v>Marilou Dellota Olivares</v>
          </cell>
          <cell r="BN172" t="str">
            <v>Residential</v>
          </cell>
          <cell r="BO172" t="str">
            <v>Structure Owner</v>
          </cell>
          <cell r="FR172">
            <v>0</v>
          </cell>
        </row>
        <row r="173">
          <cell r="AL173" t="str">
            <v>Land Dweller</v>
          </cell>
          <cell r="AT173">
            <v>0</v>
          </cell>
          <cell r="BM173" t="str">
            <v>Lanie D. Atienza/ Oliver D. Atienza</v>
          </cell>
          <cell r="BN173" t="str">
            <v>Residential</v>
          </cell>
          <cell r="BO173" t="str">
            <v>Structure Owner</v>
          </cell>
          <cell r="FR173" t="str">
            <v>Need Displacement</v>
          </cell>
        </row>
        <row r="174">
          <cell r="AL174" t="str">
            <v>Land Owner</v>
          </cell>
          <cell r="AT174" t="str">
            <v>Y</v>
          </cell>
          <cell r="BM174" t="str">
            <v>Flora Ramos Olivares</v>
          </cell>
          <cell r="BN174" t="str">
            <v>Residential</v>
          </cell>
          <cell r="BO174" t="str">
            <v>Structure Owner</v>
          </cell>
          <cell r="FR174" t="str">
            <v>Need Displacement</v>
          </cell>
        </row>
        <row r="175">
          <cell r="AL175" t="str">
            <v>Land Dweller</v>
          </cell>
          <cell r="AT175">
            <v>0</v>
          </cell>
          <cell r="BM175">
            <v>0</v>
          </cell>
          <cell r="BN175">
            <v>0</v>
          </cell>
          <cell r="BO175" t="str">
            <v>Co-owner</v>
          </cell>
        </row>
        <row r="176">
          <cell r="AL176" t="str">
            <v>Land Dweller</v>
          </cell>
          <cell r="AT176">
            <v>0</v>
          </cell>
          <cell r="BM176">
            <v>0</v>
          </cell>
          <cell r="BN176">
            <v>0</v>
          </cell>
          <cell r="BO176" t="str">
            <v>Co-owner</v>
          </cell>
          <cell r="FR176">
            <v>0</v>
          </cell>
        </row>
        <row r="177">
          <cell r="AL177" t="str">
            <v>Land Owner</v>
          </cell>
          <cell r="AT177" t="str">
            <v>Y</v>
          </cell>
          <cell r="BM177" t="str">
            <v>Enrico C. Ramos</v>
          </cell>
          <cell r="BN177" t="str">
            <v>Residential</v>
          </cell>
          <cell r="BO177" t="str">
            <v>Structure Owner</v>
          </cell>
          <cell r="FR177" t="str">
            <v>Need Displacement</v>
          </cell>
        </row>
        <row r="178">
          <cell r="AL178" t="str">
            <v>Land Dweller</v>
          </cell>
          <cell r="AT178">
            <v>0</v>
          </cell>
          <cell r="BM178">
            <v>0</v>
          </cell>
          <cell r="BN178">
            <v>0</v>
          </cell>
          <cell r="BO178" t="str">
            <v>Sharer</v>
          </cell>
          <cell r="FR178" t="str">
            <v>Need Displacement</v>
          </cell>
        </row>
        <row r="179">
          <cell r="AL179" t="str">
            <v>Land Dweller</v>
          </cell>
          <cell r="AT179">
            <v>0</v>
          </cell>
          <cell r="BM179">
            <v>0</v>
          </cell>
          <cell r="BN179">
            <v>0</v>
          </cell>
          <cell r="BO179" t="str">
            <v>Sharer</v>
          </cell>
          <cell r="FR179" t="str">
            <v>Need Displacement</v>
          </cell>
        </row>
        <row r="180">
          <cell r="AL180" t="str">
            <v>Land Owner</v>
          </cell>
          <cell r="AT180" t="str">
            <v>Y</v>
          </cell>
          <cell r="BM180" t="str">
            <v>Rosita S. Santos</v>
          </cell>
          <cell r="BN180" t="str">
            <v>Residential</v>
          </cell>
          <cell r="BO180" t="str">
            <v>Structure Owner</v>
          </cell>
          <cell r="FR180" t="str">
            <v>Need Displacement</v>
          </cell>
        </row>
        <row r="181">
          <cell r="AL181" t="str">
            <v>Land Owner</v>
          </cell>
          <cell r="AT181" t="str">
            <v>Y</v>
          </cell>
          <cell r="BM181">
            <v>0</v>
          </cell>
          <cell r="BN181">
            <v>0</v>
          </cell>
          <cell r="BO181">
            <v>0</v>
          </cell>
          <cell r="FR181">
            <v>0</v>
          </cell>
        </row>
        <row r="182">
          <cell r="AL182" t="str">
            <v>Land Dweller</v>
          </cell>
          <cell r="AT182">
            <v>0</v>
          </cell>
          <cell r="BM182" t="str">
            <v>Pedro S. Ramos Jr</v>
          </cell>
          <cell r="BN182" t="str">
            <v>Residential</v>
          </cell>
          <cell r="BO182" t="str">
            <v>Structure Owner</v>
          </cell>
          <cell r="FR182" t="str">
            <v>Need Displacement</v>
          </cell>
        </row>
        <row r="183">
          <cell r="AL183" t="str">
            <v>Land Owner</v>
          </cell>
          <cell r="AT183" t="str">
            <v>Y</v>
          </cell>
          <cell r="BM183">
            <v>0</v>
          </cell>
          <cell r="BN183">
            <v>0</v>
          </cell>
          <cell r="BO183">
            <v>0</v>
          </cell>
          <cell r="FR183">
            <v>0</v>
          </cell>
        </row>
        <row r="184">
          <cell r="AL184" t="str">
            <v>Land Dweller</v>
          </cell>
          <cell r="AT184">
            <v>0</v>
          </cell>
          <cell r="BM184" t="str">
            <v>Armando Bernardino</v>
          </cell>
          <cell r="BN184" t="str">
            <v>Residential</v>
          </cell>
          <cell r="BO184" t="str">
            <v>Co-owner</v>
          </cell>
          <cell r="FR184" t="str">
            <v>Need Displacement</v>
          </cell>
        </row>
        <row r="185">
          <cell r="AL185" t="str">
            <v>Land Dweller</v>
          </cell>
          <cell r="AT185">
            <v>0</v>
          </cell>
          <cell r="BM185">
            <v>0</v>
          </cell>
          <cell r="BN185">
            <v>0</v>
          </cell>
          <cell r="BO185" t="str">
            <v>Co-owner</v>
          </cell>
          <cell r="FR185" t="str">
            <v>Need Displacement</v>
          </cell>
        </row>
        <row r="186">
          <cell r="AL186" t="str">
            <v>Land Dweller</v>
          </cell>
          <cell r="AT186">
            <v>0</v>
          </cell>
          <cell r="BM186" t="str">
            <v>Armando Bernardino</v>
          </cell>
          <cell r="BN186" t="str">
            <v>Residential</v>
          </cell>
          <cell r="BO186" t="str">
            <v>Co-owner</v>
          </cell>
          <cell r="FR186" t="str">
            <v>Need Displacement</v>
          </cell>
        </row>
        <row r="187">
          <cell r="AL187" t="str">
            <v>Land Owner</v>
          </cell>
          <cell r="AT187" t="str">
            <v>Y</v>
          </cell>
          <cell r="BM187" t="str">
            <v>Margarita Malto Bernardino</v>
          </cell>
          <cell r="BN187" t="str">
            <v>Residential</v>
          </cell>
          <cell r="BO187" t="str">
            <v>Structure Owner</v>
          </cell>
          <cell r="FR187" t="str">
            <v>Can Stay</v>
          </cell>
        </row>
        <row r="188">
          <cell r="AL188" t="str">
            <v>Land Dweller</v>
          </cell>
          <cell r="AT188">
            <v>0</v>
          </cell>
          <cell r="BM188" t="str">
            <v>Rommel B. Nueva</v>
          </cell>
          <cell r="BN188" t="str">
            <v>Residential</v>
          </cell>
          <cell r="BO188" t="str">
            <v>Structure Owner</v>
          </cell>
          <cell r="FR188" t="str">
            <v>Can Stay</v>
          </cell>
        </row>
        <row r="189">
          <cell r="AL189" t="str">
            <v>Land Owner</v>
          </cell>
          <cell r="AT189">
            <v>0</v>
          </cell>
          <cell r="BM189" t="str">
            <v>Joselito Santos and Amparo Santos</v>
          </cell>
          <cell r="BN189" t="str">
            <v>Residential</v>
          </cell>
          <cell r="BO189" t="str">
            <v>Structure Owner</v>
          </cell>
          <cell r="FR189">
            <v>0</v>
          </cell>
        </row>
        <row r="190">
          <cell r="AL190" t="str">
            <v>Land Lessee</v>
          </cell>
          <cell r="AT190">
            <v>0</v>
          </cell>
          <cell r="BM190">
            <v>0</v>
          </cell>
          <cell r="BN190">
            <v>0</v>
          </cell>
          <cell r="BO190" t="str">
            <v>Structure Renter</v>
          </cell>
          <cell r="FR190" t="str">
            <v>Need Displacement</v>
          </cell>
        </row>
        <row r="191">
          <cell r="AL191" t="str">
            <v>Land Lessee</v>
          </cell>
          <cell r="AT191">
            <v>0</v>
          </cell>
          <cell r="BM191" t="str">
            <v>Joselito Santos and Amparo Santos</v>
          </cell>
          <cell r="BN191" t="str">
            <v>Mixed use</v>
          </cell>
          <cell r="BO191" t="str">
            <v>Structure Renter</v>
          </cell>
          <cell r="FR191" t="str">
            <v>Need Displacement</v>
          </cell>
        </row>
        <row r="192">
          <cell r="AL192" t="str">
            <v>Land Owner</v>
          </cell>
          <cell r="AT192" t="str">
            <v>Y</v>
          </cell>
          <cell r="BM192" t="str">
            <v>Generoso and Silvina Sarmiento</v>
          </cell>
          <cell r="BN192" t="str">
            <v>Residential</v>
          </cell>
          <cell r="BO192" t="str">
            <v>Structure Owner</v>
          </cell>
          <cell r="FR192" t="str">
            <v>Can Stay</v>
          </cell>
        </row>
        <row r="193">
          <cell r="AL193" t="str">
            <v>Land Lessee</v>
          </cell>
          <cell r="AT193">
            <v>0</v>
          </cell>
          <cell r="BM193">
            <v>0</v>
          </cell>
          <cell r="BN193">
            <v>0</v>
          </cell>
          <cell r="BO193" t="str">
            <v>Structure Renter</v>
          </cell>
          <cell r="FR193" t="str">
            <v>Need Displacement</v>
          </cell>
        </row>
        <row r="194">
          <cell r="AL194" t="str">
            <v>Land Lessee</v>
          </cell>
          <cell r="AT194">
            <v>0</v>
          </cell>
          <cell r="BM194">
            <v>0</v>
          </cell>
          <cell r="BN194">
            <v>0</v>
          </cell>
          <cell r="BO194" t="str">
            <v>Structure Renter</v>
          </cell>
          <cell r="FR194" t="str">
            <v>Need Displacement</v>
          </cell>
        </row>
        <row r="195">
          <cell r="AL195" t="str">
            <v>Land Owner</v>
          </cell>
          <cell r="AT195" t="str">
            <v>Y</v>
          </cell>
          <cell r="BM195" t="str">
            <v>Rodel F. Lacsina</v>
          </cell>
          <cell r="BN195" t="str">
            <v>Residential</v>
          </cell>
          <cell r="BO195" t="str">
            <v>Structure Owner</v>
          </cell>
          <cell r="FR195">
            <v>0</v>
          </cell>
        </row>
        <row r="196">
          <cell r="AL196" t="str">
            <v>Land Owner</v>
          </cell>
          <cell r="AT196" t="str">
            <v>Y</v>
          </cell>
          <cell r="BM196">
            <v>0</v>
          </cell>
          <cell r="BN196">
            <v>0</v>
          </cell>
          <cell r="BO196">
            <v>0</v>
          </cell>
          <cell r="FR196" t="str">
            <v>Can Stay</v>
          </cell>
        </row>
        <row r="197">
          <cell r="AL197" t="str">
            <v>ISF</v>
          </cell>
          <cell r="AT197">
            <v>0</v>
          </cell>
          <cell r="BM197" t="str">
            <v>Jenoveva Co (+)</v>
          </cell>
          <cell r="BN197" t="str">
            <v>Residential</v>
          </cell>
          <cell r="BO197" t="str">
            <v>Structure Owner</v>
          </cell>
          <cell r="FR197" t="str">
            <v>Need Displacement</v>
          </cell>
        </row>
        <row r="198">
          <cell r="AL198" t="str">
            <v>ISF</v>
          </cell>
          <cell r="AT198">
            <v>0</v>
          </cell>
          <cell r="BM198" t="str">
            <v>Jenoveva Co (+)</v>
          </cell>
          <cell r="BN198" t="str">
            <v>Residential</v>
          </cell>
          <cell r="BO198" t="str">
            <v>Structure Owner</v>
          </cell>
          <cell r="FR198">
            <v>0</v>
          </cell>
        </row>
        <row r="199">
          <cell r="AL199" t="str">
            <v>ISF</v>
          </cell>
          <cell r="AT199">
            <v>0</v>
          </cell>
          <cell r="BM199">
            <v>0</v>
          </cell>
          <cell r="BN199">
            <v>0</v>
          </cell>
          <cell r="BO199" t="str">
            <v>Sharer</v>
          </cell>
          <cell r="FR199">
            <v>0</v>
          </cell>
        </row>
        <row r="200">
          <cell r="AL200" t="str">
            <v>ISF</v>
          </cell>
          <cell r="AT200">
            <v>0</v>
          </cell>
          <cell r="BM200">
            <v>0</v>
          </cell>
          <cell r="BN200">
            <v>0</v>
          </cell>
          <cell r="BO200" t="str">
            <v>Sharer</v>
          </cell>
          <cell r="FR200">
            <v>0</v>
          </cell>
        </row>
        <row r="201">
          <cell r="AL201" t="str">
            <v>ISF</v>
          </cell>
          <cell r="AT201">
            <v>0</v>
          </cell>
          <cell r="BM201" t="str">
            <v>Albert P. Servallos</v>
          </cell>
          <cell r="BN201" t="str">
            <v>Residential</v>
          </cell>
          <cell r="BO201" t="str">
            <v>Structure Owner</v>
          </cell>
          <cell r="FR201" t="str">
            <v>Need Displacement</v>
          </cell>
        </row>
        <row r="202">
          <cell r="AL202" t="str">
            <v>ISF</v>
          </cell>
          <cell r="AT202">
            <v>0</v>
          </cell>
          <cell r="BM202" t="str">
            <v>Emmanuel Cruz</v>
          </cell>
          <cell r="BN202" t="str">
            <v>Residential</v>
          </cell>
          <cell r="BO202" t="str">
            <v>Structure Owner</v>
          </cell>
          <cell r="FR202" t="str">
            <v>Need Displacement</v>
          </cell>
        </row>
        <row r="203">
          <cell r="AL203" t="str">
            <v>ISF</v>
          </cell>
          <cell r="AT203">
            <v>0</v>
          </cell>
          <cell r="BM203" t="str">
            <v>Roque Pagulas Dela Cruz</v>
          </cell>
          <cell r="BN203" t="str">
            <v>Mixed use</v>
          </cell>
          <cell r="BO203" t="str">
            <v>Structure Owner</v>
          </cell>
          <cell r="FR203" t="str">
            <v>Can Stay</v>
          </cell>
        </row>
        <row r="204">
          <cell r="AL204" t="str">
            <v>ISF</v>
          </cell>
          <cell r="AT204">
            <v>0</v>
          </cell>
          <cell r="BM204" t="str">
            <v>Fernando R. Lorenzo</v>
          </cell>
          <cell r="BN204" t="str">
            <v>Residential</v>
          </cell>
          <cell r="BO204" t="str">
            <v>Structure Owner</v>
          </cell>
          <cell r="FR204" t="str">
            <v>Can Stay</v>
          </cell>
        </row>
        <row r="205">
          <cell r="AL205">
            <v>0</v>
          </cell>
          <cell r="AT205">
            <v>0</v>
          </cell>
          <cell r="BM205">
            <v>0</v>
          </cell>
          <cell r="BN205">
            <v>0</v>
          </cell>
          <cell r="BO205">
            <v>0</v>
          </cell>
          <cell r="FR205">
            <v>0</v>
          </cell>
        </row>
        <row r="206">
          <cell r="AL206">
            <v>0</v>
          </cell>
          <cell r="AT206">
            <v>0</v>
          </cell>
          <cell r="BM206">
            <v>0</v>
          </cell>
          <cell r="BN206">
            <v>0</v>
          </cell>
          <cell r="BO206">
            <v>0</v>
          </cell>
          <cell r="FR206">
            <v>0</v>
          </cell>
        </row>
        <row r="207">
          <cell r="AL207" t="str">
            <v>Land Owner</v>
          </cell>
          <cell r="AT207">
            <v>0</v>
          </cell>
          <cell r="BM207" t="str">
            <v>PNR Meycauayan Old Station</v>
          </cell>
          <cell r="BN207" t="str">
            <v>Institutional</v>
          </cell>
          <cell r="BO207" t="str">
            <v>Structure Owner</v>
          </cell>
          <cell r="FR207">
            <v>0</v>
          </cell>
        </row>
        <row r="208">
          <cell r="AL208" t="str">
            <v>Land Owner</v>
          </cell>
          <cell r="AT208">
            <v>0</v>
          </cell>
          <cell r="BM208" t="str">
            <v>Eustagio Sta. Cruz</v>
          </cell>
          <cell r="BN208" t="str">
            <v>Residential/Commercial</v>
          </cell>
          <cell r="BO208" t="str">
            <v>Structure Owner</v>
          </cell>
          <cell r="FR208">
            <v>0</v>
          </cell>
        </row>
        <row r="209">
          <cell r="AL209" t="str">
            <v>Land Lessee</v>
          </cell>
          <cell r="AT209">
            <v>0</v>
          </cell>
          <cell r="BM209" t="str">
            <v>Eustagio Sta. Cruz</v>
          </cell>
          <cell r="BN209" t="str">
            <v>Residential/Commercial</v>
          </cell>
          <cell r="BO209" t="str">
            <v>Structure Renter</v>
          </cell>
          <cell r="FR209" t="str">
            <v>Need Displacement</v>
          </cell>
        </row>
        <row r="210">
          <cell r="AL210" t="str">
            <v>Land Lessee</v>
          </cell>
          <cell r="AT210">
            <v>0</v>
          </cell>
          <cell r="BM210" t="str">
            <v>Eustagio Sta. Cruz</v>
          </cell>
          <cell r="BN210" t="str">
            <v>Residential/Commercial</v>
          </cell>
          <cell r="BO210" t="str">
            <v>Structure Renter</v>
          </cell>
          <cell r="FR210" t="str">
            <v>Need Displacement</v>
          </cell>
        </row>
        <row r="211">
          <cell r="AL211">
            <v>0</v>
          </cell>
          <cell r="AT211">
            <v>0</v>
          </cell>
          <cell r="BM211" t="str">
            <v>Eustagio Sta. Cruz</v>
          </cell>
          <cell r="BN211" t="str">
            <v>Residential/Commercial</v>
          </cell>
          <cell r="BO211" t="str">
            <v>Structure Owner</v>
          </cell>
          <cell r="FR211" t="str">
            <v>Can stay</v>
          </cell>
        </row>
        <row r="212">
          <cell r="AL212" t="str">
            <v>Land Lessee</v>
          </cell>
          <cell r="AT212">
            <v>0</v>
          </cell>
          <cell r="BM212" t="str">
            <v>Eustagio Sta. Cruz</v>
          </cell>
          <cell r="BN212" t="str">
            <v>Residential/Commercial</v>
          </cell>
          <cell r="BO212" t="str">
            <v>Structure Renter</v>
          </cell>
          <cell r="FR212" t="str">
            <v>Can stay</v>
          </cell>
        </row>
        <row r="213">
          <cell r="AL213" t="str">
            <v>Land Lessee</v>
          </cell>
          <cell r="AT213">
            <v>0</v>
          </cell>
          <cell r="BM213" t="str">
            <v>Eustagnio Sta. Cruz</v>
          </cell>
          <cell r="BN213" t="str">
            <v>Residential/Commercial</v>
          </cell>
          <cell r="BO213" t="str">
            <v>Structure Renter</v>
          </cell>
          <cell r="FR213" t="str">
            <v>Can stay</v>
          </cell>
        </row>
        <row r="214">
          <cell r="AL214">
            <v>0</v>
          </cell>
          <cell r="AT214">
            <v>0</v>
          </cell>
          <cell r="BM214" t="str">
            <v>Eustagnio Sta. Cruz</v>
          </cell>
          <cell r="BN214" t="str">
            <v>Residential</v>
          </cell>
          <cell r="BO214" t="str">
            <v>Structure Owner</v>
          </cell>
          <cell r="FR214" t="str">
            <v>Can stay</v>
          </cell>
        </row>
        <row r="215">
          <cell r="AL215" t="str">
            <v>Land Lessee</v>
          </cell>
          <cell r="AT215">
            <v>0</v>
          </cell>
          <cell r="BM215" t="str">
            <v>Eustagnio Sta. Cruz</v>
          </cell>
          <cell r="BN215" t="str">
            <v>Residential</v>
          </cell>
          <cell r="BO215" t="str">
            <v>Structure Renter</v>
          </cell>
          <cell r="FR215" t="str">
            <v>Can stay</v>
          </cell>
        </row>
        <row r="216">
          <cell r="AL216" t="str">
            <v>Land Owner</v>
          </cell>
          <cell r="AT216">
            <v>0</v>
          </cell>
          <cell r="BM216">
            <v>0</v>
          </cell>
          <cell r="BN216">
            <v>0</v>
          </cell>
          <cell r="BO216">
            <v>0</v>
          </cell>
          <cell r="FR216" t="str">
            <v>Can stay</v>
          </cell>
        </row>
        <row r="217">
          <cell r="AL217" t="str">
            <v>Land Owner</v>
          </cell>
          <cell r="AT217">
            <v>0</v>
          </cell>
          <cell r="BM217">
            <v>0</v>
          </cell>
          <cell r="BN217">
            <v>0</v>
          </cell>
          <cell r="BO217">
            <v>0</v>
          </cell>
          <cell r="FR217" t="str">
            <v>Need Displacement</v>
          </cell>
        </row>
        <row r="218">
          <cell r="AL218">
            <v>0</v>
          </cell>
          <cell r="AT218">
            <v>0</v>
          </cell>
          <cell r="BM218">
            <v>0</v>
          </cell>
          <cell r="BN218">
            <v>0</v>
          </cell>
          <cell r="BO218">
            <v>0</v>
          </cell>
          <cell r="FR218">
            <v>0</v>
          </cell>
        </row>
        <row r="219">
          <cell r="AL219">
            <v>0</v>
          </cell>
          <cell r="AT219">
            <v>0</v>
          </cell>
          <cell r="BM219">
            <v>0</v>
          </cell>
          <cell r="BN219">
            <v>0</v>
          </cell>
          <cell r="BO219">
            <v>0</v>
          </cell>
          <cell r="FR219">
            <v>0</v>
          </cell>
        </row>
        <row r="220">
          <cell r="AL220">
            <v>0</v>
          </cell>
          <cell r="AT220">
            <v>0</v>
          </cell>
          <cell r="BM220">
            <v>0</v>
          </cell>
          <cell r="BN220">
            <v>0</v>
          </cell>
          <cell r="BO220">
            <v>0</v>
          </cell>
          <cell r="FR220">
            <v>0</v>
          </cell>
        </row>
        <row r="221">
          <cell r="AL221">
            <v>0</v>
          </cell>
          <cell r="AT221">
            <v>0</v>
          </cell>
          <cell r="BM221">
            <v>0</v>
          </cell>
          <cell r="BN221">
            <v>0</v>
          </cell>
          <cell r="BO221">
            <v>0</v>
          </cell>
          <cell r="FR221">
            <v>0</v>
          </cell>
        </row>
        <row r="222">
          <cell r="AL222" t="str">
            <v>ISF</v>
          </cell>
          <cell r="AT222">
            <v>0</v>
          </cell>
          <cell r="BM222" t="str">
            <v>Sebastian E. Roselio</v>
          </cell>
          <cell r="BN222" t="str">
            <v>Residential</v>
          </cell>
          <cell r="BO222" t="str">
            <v>Structure Owner</v>
          </cell>
          <cell r="FR222" t="str">
            <v>Need Displacement</v>
          </cell>
        </row>
        <row r="223">
          <cell r="AL223" t="str">
            <v>ISF</v>
          </cell>
          <cell r="AT223">
            <v>0</v>
          </cell>
          <cell r="BM223" t="str">
            <v>Raul D. Roselio</v>
          </cell>
          <cell r="BN223" t="str">
            <v>Residential</v>
          </cell>
          <cell r="BO223" t="str">
            <v>Structure Owner</v>
          </cell>
          <cell r="FR223" t="str">
            <v>Need Displacement</v>
          </cell>
        </row>
        <row r="224">
          <cell r="AL224" t="str">
            <v>ISF</v>
          </cell>
          <cell r="AT224">
            <v>0</v>
          </cell>
          <cell r="BM224" t="str">
            <v>Carlo Ven &amp; Marissa S. Cainoy</v>
          </cell>
          <cell r="BN224" t="str">
            <v>Residential</v>
          </cell>
          <cell r="BO224" t="str">
            <v>Structure Owner</v>
          </cell>
          <cell r="FR224" t="str">
            <v>Need Displacement</v>
          </cell>
        </row>
        <row r="225">
          <cell r="AL225" t="str">
            <v>ISF</v>
          </cell>
          <cell r="AT225">
            <v>0</v>
          </cell>
          <cell r="BM225" t="str">
            <v>Marlon C. Cabayao</v>
          </cell>
          <cell r="BN225" t="str">
            <v>Residential</v>
          </cell>
          <cell r="BO225" t="str">
            <v>Structure Owner</v>
          </cell>
          <cell r="FR225" t="str">
            <v>Need Displacement</v>
          </cell>
        </row>
        <row r="226">
          <cell r="AL226" t="str">
            <v>ISF</v>
          </cell>
          <cell r="AT226">
            <v>0</v>
          </cell>
          <cell r="BM226" t="str">
            <v>Mauricio D. Quillosa Jr</v>
          </cell>
          <cell r="BN226" t="str">
            <v>Residential</v>
          </cell>
          <cell r="BO226" t="str">
            <v>Structure Owner</v>
          </cell>
          <cell r="FR226" t="str">
            <v>Need Displacement</v>
          </cell>
        </row>
        <row r="227">
          <cell r="AL227" t="str">
            <v>ISF</v>
          </cell>
          <cell r="AT227">
            <v>0</v>
          </cell>
          <cell r="BM227" t="str">
            <v>Rosita Balanon and Exequiel Artajo</v>
          </cell>
          <cell r="BN227" t="str">
            <v>Residential</v>
          </cell>
          <cell r="BO227" t="str">
            <v>Structure Owner</v>
          </cell>
          <cell r="FR227" t="str">
            <v>Need Displacement</v>
          </cell>
        </row>
        <row r="228">
          <cell r="AL228" t="str">
            <v>ISF</v>
          </cell>
          <cell r="AT228">
            <v>0</v>
          </cell>
          <cell r="BM228" t="str">
            <v>Danilo C. Prieto</v>
          </cell>
          <cell r="BN228" t="str">
            <v>Residential</v>
          </cell>
          <cell r="BO228" t="str">
            <v>Structure Owner</v>
          </cell>
          <cell r="FR228" t="str">
            <v>Need Displacement</v>
          </cell>
        </row>
        <row r="229">
          <cell r="AL229" t="str">
            <v>ISF</v>
          </cell>
          <cell r="AT229">
            <v>0</v>
          </cell>
          <cell r="BM229" t="str">
            <v>Jedalyn M. Balanon</v>
          </cell>
          <cell r="BN229" t="str">
            <v>Residential</v>
          </cell>
          <cell r="BO229" t="str">
            <v>Structure Owner</v>
          </cell>
          <cell r="FR229" t="str">
            <v>Need Displacement</v>
          </cell>
        </row>
        <row r="230">
          <cell r="AL230" t="str">
            <v>ISF</v>
          </cell>
          <cell r="AT230">
            <v>0</v>
          </cell>
          <cell r="BM230" t="str">
            <v>Oliver E. Albino</v>
          </cell>
          <cell r="BN230" t="str">
            <v>Residential</v>
          </cell>
          <cell r="BO230" t="str">
            <v>Structure Owner</v>
          </cell>
          <cell r="FR230" t="str">
            <v>Need Displacement</v>
          </cell>
        </row>
        <row r="231">
          <cell r="AL231" t="str">
            <v>ISF</v>
          </cell>
          <cell r="AT231">
            <v>0</v>
          </cell>
          <cell r="BM231" t="str">
            <v>Jordon M. Lao and Roseine P. Suringa</v>
          </cell>
          <cell r="BN231" t="str">
            <v>Residential</v>
          </cell>
          <cell r="BO231" t="str">
            <v>Structure Owner</v>
          </cell>
          <cell r="FR231" t="str">
            <v>Need Displacement</v>
          </cell>
        </row>
        <row r="232">
          <cell r="AL232" t="str">
            <v>ISF</v>
          </cell>
          <cell r="AT232">
            <v>0</v>
          </cell>
          <cell r="BM232" t="str">
            <v>Romeo Realino</v>
          </cell>
          <cell r="BN232" t="str">
            <v>Residential</v>
          </cell>
          <cell r="BO232" t="str">
            <v>Structure Owner</v>
          </cell>
          <cell r="FR232" t="str">
            <v>Need Displacement</v>
          </cell>
        </row>
        <row r="233">
          <cell r="AL233" t="str">
            <v>ISF</v>
          </cell>
          <cell r="AT233">
            <v>0</v>
          </cell>
          <cell r="BM233" t="str">
            <v>Melanio D.G. Alnas</v>
          </cell>
          <cell r="BN233" t="str">
            <v>Residential</v>
          </cell>
          <cell r="BO233" t="str">
            <v>Structure Owner</v>
          </cell>
          <cell r="FR233" t="str">
            <v>Need Displacement</v>
          </cell>
        </row>
        <row r="234">
          <cell r="AL234" t="str">
            <v>ISF</v>
          </cell>
          <cell r="AT234">
            <v>0</v>
          </cell>
          <cell r="BM234">
            <v>0</v>
          </cell>
          <cell r="BN234">
            <v>0</v>
          </cell>
          <cell r="BO234" t="str">
            <v>Sharer</v>
          </cell>
          <cell r="FR234" t="str">
            <v>Need Displacement</v>
          </cell>
        </row>
        <row r="235">
          <cell r="AL235" t="str">
            <v>ISF</v>
          </cell>
          <cell r="AT235">
            <v>0</v>
          </cell>
          <cell r="BM235" t="str">
            <v>Romeo T. Barroga</v>
          </cell>
          <cell r="BN235" t="str">
            <v>Residential</v>
          </cell>
          <cell r="BO235" t="str">
            <v>Structure Owner</v>
          </cell>
          <cell r="FR235" t="str">
            <v>Need Displacement</v>
          </cell>
        </row>
        <row r="236">
          <cell r="AL236" t="str">
            <v>ISF</v>
          </cell>
          <cell r="AT236">
            <v>0</v>
          </cell>
          <cell r="BM236" t="str">
            <v>Hernani C. Villanroque</v>
          </cell>
          <cell r="BN236" t="str">
            <v>Residential</v>
          </cell>
          <cell r="BO236" t="str">
            <v>Structure Owner</v>
          </cell>
          <cell r="FR236" t="str">
            <v>Need Displacement</v>
          </cell>
        </row>
        <row r="237">
          <cell r="AL237" t="str">
            <v>Land Owner</v>
          </cell>
          <cell r="AT237">
            <v>0</v>
          </cell>
          <cell r="BM237" t="str">
            <v>NLRC</v>
          </cell>
          <cell r="BN237" t="str">
            <v>Commercial</v>
          </cell>
          <cell r="BO237" t="str">
            <v>Structure Owner</v>
          </cell>
          <cell r="FR237">
            <v>0</v>
          </cell>
        </row>
        <row r="238">
          <cell r="AL238">
            <v>0</v>
          </cell>
          <cell r="AT238">
            <v>0</v>
          </cell>
          <cell r="BM238">
            <v>0</v>
          </cell>
          <cell r="BN238">
            <v>0</v>
          </cell>
          <cell r="BO238">
            <v>0</v>
          </cell>
          <cell r="FR238">
            <v>0</v>
          </cell>
        </row>
        <row r="239">
          <cell r="AL239">
            <v>0</v>
          </cell>
          <cell r="AT239">
            <v>0</v>
          </cell>
          <cell r="BM239">
            <v>0</v>
          </cell>
          <cell r="BN239">
            <v>0</v>
          </cell>
          <cell r="BO239">
            <v>0</v>
          </cell>
          <cell r="FR239">
            <v>0</v>
          </cell>
        </row>
        <row r="240">
          <cell r="AL240">
            <v>0</v>
          </cell>
          <cell r="AT240">
            <v>0</v>
          </cell>
          <cell r="BM240">
            <v>0</v>
          </cell>
          <cell r="BN240">
            <v>0</v>
          </cell>
          <cell r="BO240">
            <v>0</v>
          </cell>
          <cell r="FR240">
            <v>0</v>
          </cell>
        </row>
        <row r="241">
          <cell r="AL241">
            <v>0</v>
          </cell>
          <cell r="AT241">
            <v>0</v>
          </cell>
          <cell r="BM241">
            <v>0</v>
          </cell>
          <cell r="BN241">
            <v>0</v>
          </cell>
          <cell r="BO241">
            <v>0</v>
          </cell>
          <cell r="FR241">
            <v>0</v>
          </cell>
        </row>
        <row r="242">
          <cell r="AL242">
            <v>0</v>
          </cell>
          <cell r="AT242">
            <v>0</v>
          </cell>
          <cell r="BM242">
            <v>0</v>
          </cell>
          <cell r="BN242">
            <v>0</v>
          </cell>
          <cell r="BO242">
            <v>0</v>
          </cell>
          <cell r="FR242">
            <v>0</v>
          </cell>
        </row>
        <row r="243">
          <cell r="AL243">
            <v>0</v>
          </cell>
          <cell r="AT243">
            <v>0</v>
          </cell>
          <cell r="BM243">
            <v>0</v>
          </cell>
          <cell r="BN243">
            <v>0</v>
          </cell>
          <cell r="BO243">
            <v>0</v>
          </cell>
          <cell r="FR243">
            <v>0</v>
          </cell>
        </row>
        <row r="244">
          <cell r="AL244">
            <v>0</v>
          </cell>
          <cell r="AT244">
            <v>0</v>
          </cell>
          <cell r="BM244">
            <v>0</v>
          </cell>
          <cell r="BN244">
            <v>0</v>
          </cell>
          <cell r="BO244">
            <v>0</v>
          </cell>
          <cell r="FR244">
            <v>0</v>
          </cell>
        </row>
        <row r="245">
          <cell r="AL245" t="str">
            <v>Land Owner</v>
          </cell>
          <cell r="AT245">
            <v>0</v>
          </cell>
          <cell r="BM245" t="str">
            <v>Metro Transport Office - NFA</v>
          </cell>
          <cell r="BN245" t="str">
            <v>Commercial</v>
          </cell>
          <cell r="BO245" t="str">
            <v>Structure Owner</v>
          </cell>
          <cell r="FR245" t="str">
            <v>Need Displacement</v>
          </cell>
        </row>
        <row r="246">
          <cell r="AL246">
            <v>0</v>
          </cell>
          <cell r="AT246">
            <v>0</v>
          </cell>
          <cell r="BM246">
            <v>0</v>
          </cell>
          <cell r="BN246">
            <v>0</v>
          </cell>
          <cell r="BO246">
            <v>0</v>
          </cell>
          <cell r="FR246">
            <v>0</v>
          </cell>
        </row>
        <row r="247">
          <cell r="AL247">
            <v>0</v>
          </cell>
          <cell r="AT247">
            <v>0</v>
          </cell>
          <cell r="BM247">
            <v>0</v>
          </cell>
          <cell r="BN247">
            <v>0</v>
          </cell>
          <cell r="BO247">
            <v>0</v>
          </cell>
          <cell r="FR247">
            <v>0</v>
          </cell>
        </row>
        <row r="248">
          <cell r="AL248">
            <v>0</v>
          </cell>
          <cell r="AT248">
            <v>0</v>
          </cell>
          <cell r="BM248">
            <v>0</v>
          </cell>
          <cell r="BN248">
            <v>0</v>
          </cell>
          <cell r="BO248">
            <v>0</v>
          </cell>
          <cell r="FR248">
            <v>0</v>
          </cell>
        </row>
        <row r="249">
          <cell r="AL249">
            <v>0</v>
          </cell>
          <cell r="AT249">
            <v>0</v>
          </cell>
          <cell r="BM249">
            <v>0</v>
          </cell>
          <cell r="BN249">
            <v>0</v>
          </cell>
          <cell r="BO249">
            <v>0</v>
          </cell>
          <cell r="FR249">
            <v>0</v>
          </cell>
        </row>
        <row r="250">
          <cell r="AL250">
            <v>0</v>
          </cell>
          <cell r="AT250">
            <v>0</v>
          </cell>
          <cell r="BM250">
            <v>0</v>
          </cell>
          <cell r="BN250">
            <v>0</v>
          </cell>
          <cell r="BO250">
            <v>0</v>
          </cell>
          <cell r="FR250">
            <v>0</v>
          </cell>
        </row>
        <row r="251">
          <cell r="AL251">
            <v>0</v>
          </cell>
          <cell r="AT251">
            <v>0</v>
          </cell>
          <cell r="BM251">
            <v>0</v>
          </cell>
          <cell r="BN251">
            <v>0</v>
          </cell>
          <cell r="BO251">
            <v>0</v>
          </cell>
          <cell r="FR251">
            <v>0</v>
          </cell>
        </row>
        <row r="252">
          <cell r="AL252" t="str">
            <v>Land Owner</v>
          </cell>
          <cell r="AT252">
            <v>0</v>
          </cell>
          <cell r="BM252" t="str">
            <v>Old PNR station</v>
          </cell>
          <cell r="BN252" t="str">
            <v>Institutional</v>
          </cell>
          <cell r="BO252" t="str">
            <v>Structure Owner</v>
          </cell>
          <cell r="FR252">
            <v>0</v>
          </cell>
        </row>
        <row r="253">
          <cell r="AL253" t="str">
            <v>Land Owner</v>
          </cell>
          <cell r="AT253" t="str">
            <v>Y</v>
          </cell>
          <cell r="BM253" t="str">
            <v>Ramil Q. Diones/Evangelina A. Diones</v>
          </cell>
          <cell r="BN253" t="str">
            <v>Mixed use</v>
          </cell>
          <cell r="BO253" t="str">
            <v>Structure Owner</v>
          </cell>
        </row>
        <row r="254">
          <cell r="AL254" t="str">
            <v>Land Owner</v>
          </cell>
          <cell r="AT254" t="str">
            <v>Y</v>
          </cell>
          <cell r="BM254" t="str">
            <v>Luz S.  Alcantara</v>
          </cell>
          <cell r="BN254" t="str">
            <v>Mixed use</v>
          </cell>
          <cell r="BO254" t="str">
            <v>Structure Owner</v>
          </cell>
        </row>
        <row r="255">
          <cell r="AL255" t="str">
            <v>Land Owner</v>
          </cell>
          <cell r="AT255" t="str">
            <v>Y</v>
          </cell>
          <cell r="BM255" t="str">
            <v>Ricardo Sayo Sta. Ana</v>
          </cell>
          <cell r="BN255" t="str">
            <v>Residential</v>
          </cell>
          <cell r="BO255" t="str">
            <v>Structure Owner</v>
          </cell>
        </row>
        <row r="256">
          <cell r="AL256" t="str">
            <v>Land Owner</v>
          </cell>
          <cell r="AT256" t="str">
            <v>Y</v>
          </cell>
          <cell r="BM256" t="str">
            <v>Rosario B. Velardo</v>
          </cell>
          <cell r="BN256" t="str">
            <v>Mixed use</v>
          </cell>
          <cell r="BO256" t="str">
            <v>Structure Owner</v>
          </cell>
          <cell r="FR256" t="str">
            <v>Can stay</v>
          </cell>
        </row>
        <row r="257">
          <cell r="AL257" t="str">
            <v>Land Owner</v>
          </cell>
          <cell r="AT257" t="str">
            <v>Y</v>
          </cell>
          <cell r="BM257" t="str">
            <v xml:space="preserve">Ronald V. Villazor/Ma. Lourdes C. Villazor </v>
          </cell>
          <cell r="BN257" t="str">
            <v>Commercial</v>
          </cell>
          <cell r="BO257" t="str">
            <v>Structure Owner</v>
          </cell>
        </row>
        <row r="258">
          <cell r="AL258" t="str">
            <v>ISF</v>
          </cell>
          <cell r="BM258" t="str">
            <v>Cirilo Vicencia Selerio Jr</v>
          </cell>
          <cell r="BN258" t="str">
            <v>Residential</v>
          </cell>
          <cell r="BO258" t="str">
            <v>Structure Owner</v>
          </cell>
        </row>
        <row r="259">
          <cell r="AL259" t="str">
            <v>ISF</v>
          </cell>
          <cell r="BM259" t="str">
            <v>Erlinda Mahilom</v>
          </cell>
          <cell r="BN259" t="str">
            <v>Residential</v>
          </cell>
          <cell r="BO259" t="str">
            <v>Structure Owner</v>
          </cell>
          <cell r="FR259" t="str">
            <v>Need Displacement</v>
          </cell>
        </row>
        <row r="260">
          <cell r="AL260" t="str">
            <v>ISF</v>
          </cell>
          <cell r="BM260">
            <v>0</v>
          </cell>
          <cell r="BN260">
            <v>0</v>
          </cell>
          <cell r="BO260" t="str">
            <v>Structure Renter</v>
          </cell>
          <cell r="FR260" t="str">
            <v>Need Displacement</v>
          </cell>
        </row>
        <row r="261">
          <cell r="AL261" t="str">
            <v>ISF</v>
          </cell>
          <cell r="BM261">
            <v>0</v>
          </cell>
          <cell r="BN261">
            <v>0</v>
          </cell>
          <cell r="BO261" t="str">
            <v>Structure Renter</v>
          </cell>
          <cell r="FR261" t="str">
            <v>Need Displacement</v>
          </cell>
        </row>
        <row r="262">
          <cell r="AL262" t="str">
            <v>ISF</v>
          </cell>
          <cell r="BM262">
            <v>0</v>
          </cell>
          <cell r="BN262">
            <v>0</v>
          </cell>
          <cell r="BO262" t="str">
            <v>Structure Renter</v>
          </cell>
          <cell r="FR262" t="str">
            <v>Need Displacement</v>
          </cell>
        </row>
        <row r="263">
          <cell r="AL263" t="str">
            <v>ISF</v>
          </cell>
          <cell r="BM263">
            <v>0</v>
          </cell>
          <cell r="BN263">
            <v>0</v>
          </cell>
          <cell r="BO263" t="str">
            <v>Structure Renter</v>
          </cell>
          <cell r="FR263" t="str">
            <v>Need Displacement</v>
          </cell>
        </row>
        <row r="264">
          <cell r="AL264" t="str">
            <v>ISF</v>
          </cell>
          <cell r="BM264" t="str">
            <v>Hilberto Casipong</v>
          </cell>
          <cell r="BN264" t="str">
            <v>Residential</v>
          </cell>
          <cell r="BO264" t="str">
            <v>Structure Owner</v>
          </cell>
          <cell r="FR264" t="str">
            <v>Need Displacement</v>
          </cell>
        </row>
        <row r="265">
          <cell r="AL265" t="str">
            <v>ISF</v>
          </cell>
          <cell r="BM265">
            <v>0</v>
          </cell>
          <cell r="BN265">
            <v>0</v>
          </cell>
          <cell r="BO265" t="str">
            <v>Structure Renter</v>
          </cell>
          <cell r="FR265" t="str">
            <v>Need Displacement</v>
          </cell>
        </row>
        <row r="266">
          <cell r="AL266" t="str">
            <v>ISF</v>
          </cell>
          <cell r="BM266">
            <v>0</v>
          </cell>
          <cell r="BN266">
            <v>0</v>
          </cell>
          <cell r="BO266" t="str">
            <v>Structure Renter</v>
          </cell>
          <cell r="FR266" t="str">
            <v>Need Displacement</v>
          </cell>
        </row>
        <row r="267">
          <cell r="AL267" t="str">
            <v>ISF</v>
          </cell>
          <cell r="BM267" t="str">
            <v>Isagani S. Satoquia</v>
          </cell>
          <cell r="BN267" t="str">
            <v>Mixed use</v>
          </cell>
          <cell r="BO267" t="str">
            <v>Structure Owner</v>
          </cell>
          <cell r="FR267" t="str">
            <v>Need Displacement</v>
          </cell>
        </row>
        <row r="268">
          <cell r="AL268" t="str">
            <v>ISF</v>
          </cell>
          <cell r="BM268" t="str">
            <v>Edzel De Castro Balajadia</v>
          </cell>
          <cell r="BN268" t="str">
            <v>Residential</v>
          </cell>
          <cell r="BO268" t="str">
            <v>Caretaker</v>
          </cell>
        </row>
        <row r="269">
          <cell r="AL269" t="str">
            <v>ISF</v>
          </cell>
          <cell r="BM269" t="str">
            <v>Eden B. Mendoza</v>
          </cell>
          <cell r="BN269" t="str">
            <v>Residential</v>
          </cell>
          <cell r="BO269" t="str">
            <v>Structure Owner</v>
          </cell>
          <cell r="FR269" t="str">
            <v>Need Displacement</v>
          </cell>
        </row>
        <row r="270">
          <cell r="AL270" t="str">
            <v>ISF</v>
          </cell>
          <cell r="BM270" t="str">
            <v>Edelizar De Castro Balajadia</v>
          </cell>
          <cell r="BN270" t="str">
            <v>Residential</v>
          </cell>
          <cell r="BO270" t="str">
            <v>Structure Owner</v>
          </cell>
        </row>
        <row r="271">
          <cell r="AL271" t="str">
            <v>ISF</v>
          </cell>
          <cell r="BM271" t="str">
            <v>Bernardo Villanueva Veroy</v>
          </cell>
          <cell r="BN271" t="str">
            <v>Mixed use</v>
          </cell>
          <cell r="BO271" t="str">
            <v>Structure Owner</v>
          </cell>
          <cell r="FR271" t="str">
            <v>Need Displacement</v>
          </cell>
        </row>
        <row r="272">
          <cell r="AL272" t="str">
            <v>ISF</v>
          </cell>
          <cell r="BM272" t="str">
            <v>Rommel/Jhessy Anne Veroy</v>
          </cell>
          <cell r="BN272" t="str">
            <v>Residential</v>
          </cell>
          <cell r="BO272" t="str">
            <v>Structure Owner</v>
          </cell>
          <cell r="FR272" t="str">
            <v>Need Displacement</v>
          </cell>
        </row>
        <row r="273">
          <cell r="AL273" t="str">
            <v>ISF</v>
          </cell>
          <cell r="BM273" t="str">
            <v>Alvin Villanueva Rado</v>
          </cell>
          <cell r="BN273" t="str">
            <v>Residential</v>
          </cell>
          <cell r="BO273" t="str">
            <v>Structure Owner</v>
          </cell>
          <cell r="FR273" t="str">
            <v>Need Displacement</v>
          </cell>
        </row>
        <row r="274">
          <cell r="AL274" t="str">
            <v>ISF</v>
          </cell>
          <cell r="BM274" t="str">
            <v>Edna A. Balajadia</v>
          </cell>
          <cell r="BN274" t="str">
            <v>Residential</v>
          </cell>
          <cell r="BO274" t="str">
            <v>Structure Owner</v>
          </cell>
          <cell r="FR274" t="str">
            <v>Need Displacement</v>
          </cell>
        </row>
        <row r="275">
          <cell r="AL275" t="str">
            <v>ISF</v>
          </cell>
          <cell r="BM275">
            <v>0</v>
          </cell>
          <cell r="BN275">
            <v>0</v>
          </cell>
          <cell r="BO275" t="str">
            <v>Sharer</v>
          </cell>
        </row>
        <row r="276">
          <cell r="AL276" t="str">
            <v>ISF</v>
          </cell>
          <cell r="BM276" t="str">
            <v>Marycris C. Liqugan/ Teofilo Dimalanta</v>
          </cell>
          <cell r="BN276" t="str">
            <v>Residential</v>
          </cell>
          <cell r="BO276" t="str">
            <v>Co-owner</v>
          </cell>
          <cell r="FR276" t="str">
            <v>Need Displacement</v>
          </cell>
        </row>
        <row r="277">
          <cell r="AL277" t="str">
            <v>ISF</v>
          </cell>
          <cell r="BM277">
            <v>0</v>
          </cell>
          <cell r="BN277">
            <v>0</v>
          </cell>
          <cell r="BO277" t="str">
            <v>Co-owner</v>
          </cell>
          <cell r="FR277" t="str">
            <v>Need Displacement</v>
          </cell>
        </row>
        <row r="278">
          <cell r="AL278" t="str">
            <v>ISF</v>
          </cell>
          <cell r="BM278" t="str">
            <v>Jonel Balajadia/Myrna Arca</v>
          </cell>
          <cell r="BN278" t="str">
            <v>Residential</v>
          </cell>
          <cell r="BO278" t="str">
            <v>Structure Owner</v>
          </cell>
          <cell r="FR278" t="str">
            <v>Can Stay</v>
          </cell>
        </row>
        <row r="279">
          <cell r="AL279" t="str">
            <v>ISF</v>
          </cell>
          <cell r="BM279">
            <v>0</v>
          </cell>
          <cell r="BN279">
            <v>0</v>
          </cell>
          <cell r="BO279" t="str">
            <v>Structure Renter</v>
          </cell>
          <cell r="FR279" t="str">
            <v>Need Displacement</v>
          </cell>
        </row>
        <row r="280">
          <cell r="AL280" t="str">
            <v>ISF</v>
          </cell>
          <cell r="AT280">
            <v>0</v>
          </cell>
          <cell r="BM280" t="str">
            <v>Fabiala, Pedro Epino</v>
          </cell>
          <cell r="BN280" t="str">
            <v>Residential</v>
          </cell>
          <cell r="BO280" t="str">
            <v>Structure Owner</v>
          </cell>
          <cell r="FR280" t="str">
            <v>Need Displacement</v>
          </cell>
        </row>
        <row r="281">
          <cell r="AL281" t="str">
            <v>ISF</v>
          </cell>
          <cell r="BM281" t="str">
            <v>Nomer E. Zorilla</v>
          </cell>
          <cell r="BN281" t="str">
            <v>Residential</v>
          </cell>
          <cell r="BO281" t="str">
            <v>Structure Owner</v>
          </cell>
          <cell r="FR281" t="str">
            <v>Need Displacement</v>
          </cell>
        </row>
        <row r="282">
          <cell r="AL282" t="str">
            <v>ISF</v>
          </cell>
          <cell r="BM282" t="str">
            <v>Ronaldo Dionisia/Mary Jane Licaros</v>
          </cell>
          <cell r="BN282" t="str">
            <v>Residential</v>
          </cell>
          <cell r="BO282" t="str">
            <v>Structure Owner</v>
          </cell>
          <cell r="FR282" t="str">
            <v>Need Displacement</v>
          </cell>
        </row>
        <row r="283">
          <cell r="AL283" t="str">
            <v>ISF</v>
          </cell>
          <cell r="BM283" t="str">
            <v>Rosalina Tan</v>
          </cell>
          <cell r="BN283" t="str">
            <v>Residential</v>
          </cell>
          <cell r="BO283" t="str">
            <v>Structure Owner</v>
          </cell>
          <cell r="FR283" t="str">
            <v>Need Displacement</v>
          </cell>
        </row>
        <row r="284">
          <cell r="AL284" t="str">
            <v>ISF</v>
          </cell>
          <cell r="BM284">
            <v>0</v>
          </cell>
          <cell r="BN284">
            <v>0</v>
          </cell>
          <cell r="BO284" t="str">
            <v>Sharer</v>
          </cell>
          <cell r="FR284" t="str">
            <v>Need Displacement</v>
          </cell>
        </row>
        <row r="285">
          <cell r="AL285" t="str">
            <v>ISF</v>
          </cell>
          <cell r="BM285">
            <v>0</v>
          </cell>
          <cell r="BN285">
            <v>0</v>
          </cell>
          <cell r="BO285" t="str">
            <v>Structure Renter</v>
          </cell>
          <cell r="FR285" t="str">
            <v>Need Displacement</v>
          </cell>
        </row>
        <row r="286">
          <cell r="AL286" t="str">
            <v>ISF</v>
          </cell>
          <cell r="BM286">
            <v>0</v>
          </cell>
          <cell r="BN286">
            <v>0</v>
          </cell>
          <cell r="BO286" t="str">
            <v>Structure Renter</v>
          </cell>
        </row>
        <row r="287">
          <cell r="AL287" t="str">
            <v>ISF</v>
          </cell>
          <cell r="BM287" t="str">
            <v>Emcee Peru/Cabais Hermalyn Enem</v>
          </cell>
          <cell r="BN287" t="str">
            <v>Residential</v>
          </cell>
          <cell r="BO287" t="str">
            <v>Caretaker</v>
          </cell>
          <cell r="FR287" t="str">
            <v>Need Displacement</v>
          </cell>
        </row>
        <row r="288">
          <cell r="AL288" t="str">
            <v>ISF</v>
          </cell>
          <cell r="BM288">
            <v>0</v>
          </cell>
          <cell r="BN288">
            <v>0</v>
          </cell>
          <cell r="BO288" t="str">
            <v>Structure Renter</v>
          </cell>
          <cell r="FR288" t="str">
            <v>Need Displacement</v>
          </cell>
        </row>
        <row r="289">
          <cell r="AL289" t="str">
            <v>ISF</v>
          </cell>
          <cell r="BM289" t="str">
            <v>Edgardo Manarang/Janine V. Pante/Teresa V. Pante</v>
          </cell>
          <cell r="BN289" t="str">
            <v>Mixed use</v>
          </cell>
          <cell r="BO289" t="str">
            <v>Structure Owner</v>
          </cell>
          <cell r="FR289" t="str">
            <v>Need Displacement</v>
          </cell>
        </row>
        <row r="290">
          <cell r="AL290" t="str">
            <v>ISF</v>
          </cell>
          <cell r="BM290" t="str">
            <v>Renan Alamo/Rossel Flores</v>
          </cell>
          <cell r="BN290" t="str">
            <v>Residential</v>
          </cell>
          <cell r="BO290" t="str">
            <v>Structure Owner</v>
          </cell>
          <cell r="FR290" t="str">
            <v>Need Displacement</v>
          </cell>
        </row>
        <row r="291">
          <cell r="AL291" t="str">
            <v>ISF</v>
          </cell>
          <cell r="BM291" t="str">
            <v>Estanislao P. Mateo</v>
          </cell>
          <cell r="BN291" t="str">
            <v>Residential</v>
          </cell>
          <cell r="BO291" t="str">
            <v>Structure Owner</v>
          </cell>
          <cell r="FR291" t="str">
            <v>Need Displacement</v>
          </cell>
        </row>
        <row r="292">
          <cell r="AL292" t="str">
            <v>ISF</v>
          </cell>
          <cell r="AT292" t="str">
            <v>Y</v>
          </cell>
          <cell r="BM292" t="str">
            <v>Amelita S. Doma</v>
          </cell>
          <cell r="BN292" t="str">
            <v>Residential</v>
          </cell>
          <cell r="BO292" t="str">
            <v>Structure Owner</v>
          </cell>
        </row>
        <row r="293">
          <cell r="AL293" t="str">
            <v>ISF</v>
          </cell>
          <cell r="BM293" t="str">
            <v>Estela/Jose Doma</v>
          </cell>
          <cell r="BN293" t="str">
            <v>Residential</v>
          </cell>
          <cell r="BO293" t="str">
            <v>Structure Owner</v>
          </cell>
          <cell r="FR293" t="str">
            <v>Need Displacement</v>
          </cell>
        </row>
        <row r="294">
          <cell r="AL294" t="str">
            <v>Land Owner</v>
          </cell>
          <cell r="AT294" t="str">
            <v>Y</v>
          </cell>
          <cell r="BM294">
            <v>0</v>
          </cell>
          <cell r="BN294">
            <v>0</v>
          </cell>
          <cell r="BO294">
            <v>0</v>
          </cell>
          <cell r="FR294">
            <v>0</v>
          </cell>
        </row>
        <row r="295">
          <cell r="AL295" t="str">
            <v>ISF</v>
          </cell>
          <cell r="BM295" t="str">
            <v>Jovita Hernandez/Baloloy Rindado (CBL)</v>
          </cell>
          <cell r="BN295" t="str">
            <v>Residential</v>
          </cell>
          <cell r="BO295" t="str">
            <v>Structure Owner</v>
          </cell>
        </row>
        <row r="296">
          <cell r="AL296" t="str">
            <v>ISF</v>
          </cell>
          <cell r="BM296" t="str">
            <v>Serafin Bie Sandejas</v>
          </cell>
          <cell r="BN296">
            <v>0</v>
          </cell>
          <cell r="BO296" t="str">
            <v>Sharer</v>
          </cell>
        </row>
        <row r="297">
          <cell r="AL297" t="str">
            <v>Land Owner</v>
          </cell>
          <cell r="AT297" t="str">
            <v>Y</v>
          </cell>
          <cell r="BM297" t="str">
            <v>Reynaldo/Dolores Visperas/ Rhina De Leon Visperas</v>
          </cell>
          <cell r="BN297" t="str">
            <v>Residential</v>
          </cell>
          <cell r="BO297" t="str">
            <v>Structure Owner</v>
          </cell>
          <cell r="FR297" t="str">
            <v>Can Stay</v>
          </cell>
        </row>
        <row r="298">
          <cell r="AL298" t="str">
            <v>Land Owner</v>
          </cell>
          <cell r="BM298" t="str">
            <v>Reynaldo/Dolores Visperas/ Rhina De Leon Visperas</v>
          </cell>
          <cell r="BN298" t="str">
            <v>Residential</v>
          </cell>
          <cell r="BO298" t="str">
            <v>Structure Owner</v>
          </cell>
        </row>
        <row r="299">
          <cell r="AL299" t="str">
            <v>Land Dweller</v>
          </cell>
          <cell r="BM299">
            <v>0</v>
          </cell>
          <cell r="BO299" t="str">
            <v>Sharer</v>
          </cell>
          <cell r="FR299" t="str">
            <v>Can Stay</v>
          </cell>
        </row>
        <row r="300">
          <cell r="AL300" t="str">
            <v>Land Owner</v>
          </cell>
          <cell r="BM300" t="str">
            <v>Enrico B. Soan</v>
          </cell>
          <cell r="BN300" t="str">
            <v>Residential</v>
          </cell>
          <cell r="BO300" t="str">
            <v>Structure Owner</v>
          </cell>
        </row>
        <row r="301">
          <cell r="AL301" t="str">
            <v>Land Caretaker</v>
          </cell>
          <cell r="BM301">
            <v>0</v>
          </cell>
          <cell r="BN301">
            <v>0</v>
          </cell>
          <cell r="BO301" t="str">
            <v>Caretaker</v>
          </cell>
          <cell r="FR301" t="str">
            <v>Need Displacement</v>
          </cell>
        </row>
        <row r="302">
          <cell r="AL302" t="str">
            <v>Land Dweller</v>
          </cell>
          <cell r="AT302" t="str">
            <v>Y</v>
          </cell>
          <cell r="BM302" t="str">
            <v>Reynaldo Soan</v>
          </cell>
          <cell r="BN302" t="str">
            <v>Residential</v>
          </cell>
          <cell r="BO302" t="str">
            <v>Structure Owner</v>
          </cell>
        </row>
        <row r="303">
          <cell r="AL303" t="str">
            <v>Land Dweller</v>
          </cell>
          <cell r="BM303" t="str">
            <v>Divina/Sixtor Lipao</v>
          </cell>
          <cell r="BN303" t="str">
            <v>Residential</v>
          </cell>
          <cell r="BO303" t="str">
            <v>Structure Owner</v>
          </cell>
          <cell r="FR303" t="str">
            <v>Can Stay</v>
          </cell>
        </row>
        <row r="304">
          <cell r="AL304" t="str">
            <v>Land Owner</v>
          </cell>
          <cell r="AT304" t="str">
            <v>Y</v>
          </cell>
          <cell r="BM304" t="str">
            <v>Divina/Mario Agulto</v>
          </cell>
          <cell r="BN304" t="str">
            <v>Mixed use</v>
          </cell>
          <cell r="BO304" t="str">
            <v>Structure Owner</v>
          </cell>
          <cell r="FR304" t="str">
            <v>Need Displacement</v>
          </cell>
        </row>
        <row r="305">
          <cell r="AL305" t="str">
            <v>Land Owner</v>
          </cell>
          <cell r="AT305" t="str">
            <v>Y</v>
          </cell>
          <cell r="BM305" t="str">
            <v>Renato Parungao</v>
          </cell>
          <cell r="BN305" t="str">
            <v>Residential</v>
          </cell>
          <cell r="BO305" t="str">
            <v>Structure Owner</v>
          </cell>
          <cell r="FR305" t="str">
            <v>Can Stay</v>
          </cell>
        </row>
        <row r="306">
          <cell r="AL306" t="str">
            <v>Land Dweller</v>
          </cell>
          <cell r="AT306">
            <v>0</v>
          </cell>
          <cell r="BM306">
            <v>0</v>
          </cell>
          <cell r="BN306">
            <v>0</v>
          </cell>
          <cell r="BO306" t="str">
            <v>Sharer</v>
          </cell>
          <cell r="FR306" t="str">
            <v>Can Stay</v>
          </cell>
        </row>
        <row r="307">
          <cell r="AL307" t="str">
            <v>Land Lessee</v>
          </cell>
          <cell r="AT307">
            <v>0</v>
          </cell>
          <cell r="BM307">
            <v>0</v>
          </cell>
          <cell r="BN307">
            <v>0</v>
          </cell>
          <cell r="BO307" t="str">
            <v>Structure Renter</v>
          </cell>
          <cell r="FR307" t="str">
            <v>Can Stay</v>
          </cell>
        </row>
        <row r="308">
          <cell r="AL308" t="str">
            <v>Land Owner</v>
          </cell>
          <cell r="AT308" t="str">
            <v>Y</v>
          </cell>
          <cell r="BM308" t="str">
            <v>Nenita Caco/ Benilda/Leonides Cunanan</v>
          </cell>
          <cell r="BN308" t="str">
            <v>Mixed use</v>
          </cell>
          <cell r="BO308" t="str">
            <v>Structure Owner</v>
          </cell>
        </row>
        <row r="309">
          <cell r="AL309" t="str">
            <v>Land Lessee</v>
          </cell>
          <cell r="BM309">
            <v>0</v>
          </cell>
          <cell r="BN309">
            <v>0</v>
          </cell>
          <cell r="BO309" t="str">
            <v>Commercial Tenant</v>
          </cell>
        </row>
        <row r="310">
          <cell r="AL310" t="str">
            <v>Land Owner</v>
          </cell>
          <cell r="AT310" t="str">
            <v>Y</v>
          </cell>
          <cell r="BM310">
            <v>0</v>
          </cell>
          <cell r="BN310">
            <v>0</v>
          </cell>
          <cell r="BO310">
            <v>0</v>
          </cell>
        </row>
        <row r="311">
          <cell r="AL311" t="str">
            <v>Land Dweller</v>
          </cell>
          <cell r="BM311">
            <v>0</v>
          </cell>
          <cell r="BN311">
            <v>0</v>
          </cell>
          <cell r="BO311">
            <v>0</v>
          </cell>
          <cell r="FR311">
            <v>0</v>
          </cell>
        </row>
        <row r="312">
          <cell r="AL312" t="str">
            <v>Land Owner</v>
          </cell>
          <cell r="AT312" t="str">
            <v>Y</v>
          </cell>
          <cell r="BM312" t="str">
            <v>Marcelina Pacheco/ Benedicto Pacheco</v>
          </cell>
          <cell r="BN312" t="str">
            <v>Residential</v>
          </cell>
          <cell r="BO312" t="str">
            <v>Structure Owner</v>
          </cell>
          <cell r="FR312" t="str">
            <v>Can Stay</v>
          </cell>
        </row>
        <row r="313">
          <cell r="AL313" t="str">
            <v>Land Dweller</v>
          </cell>
          <cell r="BM313">
            <v>0</v>
          </cell>
          <cell r="BN313">
            <v>0</v>
          </cell>
          <cell r="BO313" t="str">
            <v>Sharer</v>
          </cell>
        </row>
        <row r="314">
          <cell r="AL314" t="str">
            <v>Land Owner</v>
          </cell>
          <cell r="BM314" t="str">
            <v>Norma Salazar</v>
          </cell>
          <cell r="BN314" t="str">
            <v>Residential</v>
          </cell>
          <cell r="BO314" t="str">
            <v>Structure Owner</v>
          </cell>
          <cell r="FR314" t="str">
            <v>Need Displacement</v>
          </cell>
        </row>
        <row r="315">
          <cell r="AL315" t="str">
            <v>Land Lessee</v>
          </cell>
          <cell r="BM315">
            <v>0</v>
          </cell>
          <cell r="BN315">
            <v>0</v>
          </cell>
          <cell r="BO315" t="str">
            <v>Structure Renter</v>
          </cell>
          <cell r="FR315" t="str">
            <v>Can Stay</v>
          </cell>
        </row>
        <row r="316">
          <cell r="AL316" t="str">
            <v>ISF</v>
          </cell>
          <cell r="BM316" t="str">
            <v xml:space="preserve">Celestino Abala Jr. </v>
          </cell>
          <cell r="BN316" t="str">
            <v>Residential</v>
          </cell>
          <cell r="BO316" t="str">
            <v>Structure Owner</v>
          </cell>
          <cell r="FR316" t="str">
            <v>Need Displacement</v>
          </cell>
        </row>
        <row r="317">
          <cell r="AL317" t="str">
            <v>ISF</v>
          </cell>
          <cell r="BM317" t="str">
            <v>Gerry Aspiras/Lolita Aspiras</v>
          </cell>
          <cell r="BN317" t="str">
            <v>Residential</v>
          </cell>
          <cell r="BO317" t="str">
            <v>Structure Owner</v>
          </cell>
          <cell r="FR317" t="str">
            <v>Need Displacement</v>
          </cell>
        </row>
        <row r="318">
          <cell r="AL318" t="str">
            <v>ISF</v>
          </cell>
          <cell r="BM318" t="str">
            <v>Gina Aspiras</v>
          </cell>
          <cell r="BN318" t="str">
            <v>Residential</v>
          </cell>
          <cell r="BO318" t="str">
            <v>Structure Owner</v>
          </cell>
        </row>
        <row r="319">
          <cell r="AL319" t="str">
            <v>Land Owner</v>
          </cell>
          <cell r="AT319" t="str">
            <v>Y</v>
          </cell>
          <cell r="BM319">
            <v>0</v>
          </cell>
          <cell r="BN319">
            <v>0</v>
          </cell>
          <cell r="BO319">
            <v>0</v>
          </cell>
        </row>
        <row r="320">
          <cell r="AL320" t="str">
            <v>Land Owner</v>
          </cell>
          <cell r="AT320" t="str">
            <v>Y</v>
          </cell>
          <cell r="BM320" t="str">
            <v>Cynthia Gugulan</v>
          </cell>
          <cell r="BN320" t="str">
            <v>Residential</v>
          </cell>
          <cell r="BO320" t="str">
            <v>Structure Owner</v>
          </cell>
          <cell r="FR320" t="str">
            <v>Need Displacement</v>
          </cell>
        </row>
        <row r="321">
          <cell r="AL321" t="str">
            <v>Land Lessee</v>
          </cell>
          <cell r="BM321">
            <v>0</v>
          </cell>
          <cell r="BN321">
            <v>0</v>
          </cell>
          <cell r="BO321" t="str">
            <v>Structure Renter</v>
          </cell>
          <cell r="FR321" t="str">
            <v>Need Displacement</v>
          </cell>
        </row>
        <row r="322">
          <cell r="AL322" t="str">
            <v>Land Owner</v>
          </cell>
          <cell r="AT322" t="str">
            <v>Y</v>
          </cell>
          <cell r="BM322" t="str">
            <v>Herminia V. San Juan</v>
          </cell>
          <cell r="BN322" t="str">
            <v>Residential</v>
          </cell>
          <cell r="BO322" t="str">
            <v>Structure Owner</v>
          </cell>
          <cell r="FR322" t="str">
            <v>Can Stay</v>
          </cell>
        </row>
        <row r="323">
          <cell r="AL323" t="str">
            <v>Land Dweller</v>
          </cell>
          <cell r="BM323">
            <v>0</v>
          </cell>
          <cell r="BN323">
            <v>0</v>
          </cell>
          <cell r="BO323" t="str">
            <v>Co-owner</v>
          </cell>
          <cell r="FR323" t="str">
            <v>Can Stay</v>
          </cell>
        </row>
        <row r="324">
          <cell r="AL324" t="str">
            <v>Land Dweller</v>
          </cell>
          <cell r="BM324">
            <v>0</v>
          </cell>
          <cell r="BN324">
            <v>0</v>
          </cell>
          <cell r="BO324" t="str">
            <v>Co-owner</v>
          </cell>
          <cell r="FR324" t="str">
            <v>Can Stay</v>
          </cell>
        </row>
        <row r="325">
          <cell r="AL325" t="str">
            <v>Land Dweller</v>
          </cell>
          <cell r="BM325">
            <v>0</v>
          </cell>
          <cell r="BN325">
            <v>0</v>
          </cell>
          <cell r="BO325" t="str">
            <v>Co-owner</v>
          </cell>
          <cell r="FR325" t="str">
            <v>Can Stay</v>
          </cell>
        </row>
        <row r="326">
          <cell r="AL326" t="str">
            <v>Land Owner</v>
          </cell>
          <cell r="BM326" t="str">
            <v>Rhoderic S. Quebral</v>
          </cell>
          <cell r="BN326" t="str">
            <v>Residential</v>
          </cell>
          <cell r="BO326" t="str">
            <v>Structure Owner</v>
          </cell>
        </row>
        <row r="327">
          <cell r="AL327" t="str">
            <v>Land Lessee</v>
          </cell>
          <cell r="BM327">
            <v>0</v>
          </cell>
          <cell r="BN327">
            <v>0</v>
          </cell>
          <cell r="BO327" t="str">
            <v>Structure Renter</v>
          </cell>
          <cell r="FR327" t="str">
            <v>Need Displacement</v>
          </cell>
        </row>
        <row r="328">
          <cell r="AL328" t="str">
            <v>Land Owner</v>
          </cell>
          <cell r="BM328" t="str">
            <v>Rhoderic S. Quebral</v>
          </cell>
          <cell r="BN328" t="str">
            <v>Residential</v>
          </cell>
          <cell r="BO328" t="str">
            <v>Structure Owner</v>
          </cell>
        </row>
        <row r="329">
          <cell r="AL329" t="str">
            <v>Land Lessee</v>
          </cell>
          <cell r="BM329">
            <v>0</v>
          </cell>
          <cell r="BN329">
            <v>0</v>
          </cell>
          <cell r="BO329" t="str">
            <v>Structure Renter</v>
          </cell>
          <cell r="FR329" t="str">
            <v>Can Stay</v>
          </cell>
        </row>
        <row r="330">
          <cell r="AL330" t="str">
            <v>Land Owner</v>
          </cell>
          <cell r="AT330" t="str">
            <v>Y</v>
          </cell>
          <cell r="BM330">
            <v>0</v>
          </cell>
          <cell r="BN330">
            <v>0</v>
          </cell>
          <cell r="BO330" t="str">
            <v>Sharer</v>
          </cell>
          <cell r="FR330" t="str">
            <v>Can Stay</v>
          </cell>
        </row>
        <row r="331">
          <cell r="AL331" t="str">
            <v>Land Dweller</v>
          </cell>
          <cell r="BM331" t="str">
            <v>Ma. Teresa Ramirez Matsushima</v>
          </cell>
          <cell r="BN331" t="str">
            <v>Residential</v>
          </cell>
          <cell r="BO331" t="str">
            <v>Structure Owner</v>
          </cell>
          <cell r="FR331" t="str">
            <v>Can Stay</v>
          </cell>
        </row>
        <row r="332">
          <cell r="AL332" t="str">
            <v>Land Dweller</v>
          </cell>
          <cell r="BM332">
            <v>0</v>
          </cell>
          <cell r="BN332">
            <v>0</v>
          </cell>
          <cell r="BO332" t="str">
            <v>Sharer</v>
          </cell>
          <cell r="FR332" t="str">
            <v>Can Stay</v>
          </cell>
        </row>
        <row r="333">
          <cell r="AL333" t="str">
            <v>Land Owner</v>
          </cell>
          <cell r="AT333" t="str">
            <v>Y</v>
          </cell>
          <cell r="BM333" t="str">
            <v>Conrado Yamson</v>
          </cell>
          <cell r="BN333" t="str">
            <v>Residential</v>
          </cell>
          <cell r="BO333" t="str">
            <v>Structure Owner</v>
          </cell>
          <cell r="FR333" t="str">
            <v>Can Stay</v>
          </cell>
        </row>
        <row r="334">
          <cell r="AL334" t="str">
            <v>Land Owner</v>
          </cell>
          <cell r="AT334" t="str">
            <v>Y</v>
          </cell>
          <cell r="BM334">
            <v>0</v>
          </cell>
          <cell r="BN334">
            <v>0</v>
          </cell>
          <cell r="BO334">
            <v>0</v>
          </cell>
        </row>
        <row r="335">
          <cell r="AL335" t="str">
            <v>Land Owner</v>
          </cell>
          <cell r="AT335" t="str">
            <v>Y</v>
          </cell>
          <cell r="BM335" t="str">
            <v>Benjamin/Nelita Noveda</v>
          </cell>
          <cell r="BN335" t="str">
            <v>Mixed use</v>
          </cell>
          <cell r="BO335" t="str">
            <v>Structure Owner</v>
          </cell>
        </row>
        <row r="336">
          <cell r="AL336" t="str">
            <v>Land Owner</v>
          </cell>
          <cell r="AT336" t="str">
            <v>Y</v>
          </cell>
          <cell r="BM336">
            <v>0</v>
          </cell>
          <cell r="BN336">
            <v>0</v>
          </cell>
          <cell r="BO336">
            <v>0</v>
          </cell>
        </row>
        <row r="337">
          <cell r="AL337" t="str">
            <v>Land Dweller</v>
          </cell>
          <cell r="BM337" t="str">
            <v>Milagrosa Noveda</v>
          </cell>
          <cell r="BN337" t="str">
            <v>Residential</v>
          </cell>
          <cell r="BO337" t="str">
            <v>Structure Owner</v>
          </cell>
        </row>
        <row r="338">
          <cell r="AL338" t="str">
            <v>Land Owner</v>
          </cell>
          <cell r="AT338" t="str">
            <v>Y</v>
          </cell>
          <cell r="BM338" t="str">
            <v>Alfredo/Arturo Versoza</v>
          </cell>
          <cell r="BN338" t="str">
            <v>Residential</v>
          </cell>
          <cell r="BO338" t="str">
            <v>Structure Owner</v>
          </cell>
        </row>
        <row r="339">
          <cell r="AL339" t="str">
            <v>Land Dweller</v>
          </cell>
          <cell r="AT339">
            <v>0</v>
          </cell>
          <cell r="BM339">
            <v>0</v>
          </cell>
          <cell r="BN339">
            <v>0</v>
          </cell>
          <cell r="BO339">
            <v>0</v>
          </cell>
          <cell r="FR339">
            <v>0</v>
          </cell>
        </row>
        <row r="340">
          <cell r="AL340" t="str">
            <v>Land Dweller</v>
          </cell>
          <cell r="BM340" t="str">
            <v>Jose Bartolome Cayco (+) c/o Teresita Cayco</v>
          </cell>
          <cell r="BN340" t="str">
            <v>Residential</v>
          </cell>
          <cell r="BO340" t="str">
            <v>Structure Owner</v>
          </cell>
          <cell r="FR340" t="str">
            <v>Can Stay</v>
          </cell>
        </row>
        <row r="341">
          <cell r="AL341" t="str">
            <v>Land Owner</v>
          </cell>
          <cell r="AT341" t="str">
            <v>Y</v>
          </cell>
          <cell r="BM341" t="str">
            <v>Emelita Cayco Bonabon</v>
          </cell>
          <cell r="BN341" t="str">
            <v>Residential</v>
          </cell>
          <cell r="BO341" t="str">
            <v>Structure Owner</v>
          </cell>
        </row>
        <row r="342">
          <cell r="AL342" t="str">
            <v>Land Lessee</v>
          </cell>
          <cell r="BM342">
            <v>0</v>
          </cell>
          <cell r="BN342">
            <v>0</v>
          </cell>
          <cell r="BO342" t="str">
            <v>Structure Renter</v>
          </cell>
          <cell r="FR342" t="str">
            <v>Need Displacement</v>
          </cell>
        </row>
        <row r="343">
          <cell r="AL343" t="str">
            <v>Land Owner</v>
          </cell>
          <cell r="BM343">
            <v>0</v>
          </cell>
          <cell r="BN343">
            <v>0</v>
          </cell>
          <cell r="BO343">
            <v>0</v>
          </cell>
        </row>
        <row r="344">
          <cell r="AL344" t="str">
            <v>Land Owner</v>
          </cell>
          <cell r="BM344">
            <v>0</v>
          </cell>
          <cell r="BN344">
            <v>0</v>
          </cell>
          <cell r="BO344">
            <v>0</v>
          </cell>
        </row>
        <row r="345">
          <cell r="AL345" t="str">
            <v>Land Owner</v>
          </cell>
          <cell r="AT345" t="str">
            <v>Y</v>
          </cell>
          <cell r="BM345" t="str">
            <v>Librada De Leon</v>
          </cell>
          <cell r="BN345" t="str">
            <v>Residential</v>
          </cell>
          <cell r="BO345" t="str">
            <v>Structure Owner</v>
          </cell>
        </row>
        <row r="346">
          <cell r="AL346" t="str">
            <v>Land Lessee</v>
          </cell>
          <cell r="AT346">
            <v>0</v>
          </cell>
          <cell r="BM346">
            <v>0</v>
          </cell>
          <cell r="BN346">
            <v>0</v>
          </cell>
          <cell r="BO346" t="str">
            <v>Structure Renter</v>
          </cell>
          <cell r="FR346" t="str">
            <v>Need Displacement</v>
          </cell>
        </row>
        <row r="347">
          <cell r="AL347" t="str">
            <v>Land Dweller</v>
          </cell>
          <cell r="BM347">
            <v>0</v>
          </cell>
          <cell r="BN347">
            <v>0</v>
          </cell>
          <cell r="BO347">
            <v>0</v>
          </cell>
        </row>
        <row r="348">
          <cell r="AL348" t="str">
            <v>Land Owner</v>
          </cell>
          <cell r="AT348" t="str">
            <v>Y</v>
          </cell>
          <cell r="BM348">
            <v>0</v>
          </cell>
          <cell r="BN348">
            <v>0</v>
          </cell>
          <cell r="BO348">
            <v>0</v>
          </cell>
        </row>
        <row r="349">
          <cell r="AL349" t="str">
            <v>Land Owner</v>
          </cell>
          <cell r="AT349" t="str">
            <v>Y</v>
          </cell>
          <cell r="BM349" t="str">
            <v>Jennifer C. Iwakiri</v>
          </cell>
          <cell r="BN349" t="str">
            <v>Residential</v>
          </cell>
          <cell r="BO349" t="str">
            <v>Structure Owner</v>
          </cell>
        </row>
        <row r="350">
          <cell r="AL350" t="str">
            <v>Land Lessee</v>
          </cell>
          <cell r="BM350">
            <v>0</v>
          </cell>
          <cell r="BN350">
            <v>0</v>
          </cell>
          <cell r="BO350" t="str">
            <v>Structure Renter</v>
          </cell>
          <cell r="FR350" t="str">
            <v>Need Displacement</v>
          </cell>
        </row>
        <row r="351">
          <cell r="AL351" t="str">
            <v>Land Lessee</v>
          </cell>
          <cell r="BM351">
            <v>0</v>
          </cell>
          <cell r="BN351">
            <v>0</v>
          </cell>
          <cell r="BO351" t="str">
            <v>Structure Renter</v>
          </cell>
          <cell r="FR351" t="str">
            <v>Need Displacement</v>
          </cell>
        </row>
        <row r="352">
          <cell r="AL352" t="str">
            <v>Land Owner</v>
          </cell>
          <cell r="AT352">
            <v>0</v>
          </cell>
          <cell r="BM352" t="str">
            <v>Jennifer C. Iwakiri</v>
          </cell>
          <cell r="BN352" t="str">
            <v>Residential</v>
          </cell>
          <cell r="BO352" t="str">
            <v>Structure Owner</v>
          </cell>
        </row>
        <row r="353">
          <cell r="AL353" t="str">
            <v>Land Caretaker</v>
          </cell>
          <cell r="BM353">
            <v>0</v>
          </cell>
          <cell r="BN353">
            <v>0</v>
          </cell>
          <cell r="BO353" t="str">
            <v>Caretaker</v>
          </cell>
        </row>
        <row r="354">
          <cell r="AL354" t="str">
            <v>Land Lessee</v>
          </cell>
          <cell r="BM354">
            <v>0</v>
          </cell>
          <cell r="BN354">
            <v>0</v>
          </cell>
          <cell r="BO354" t="str">
            <v>Structure Renter</v>
          </cell>
          <cell r="FR354" t="str">
            <v>Need Displacement</v>
          </cell>
        </row>
        <row r="355">
          <cell r="AL355" t="str">
            <v>Land Owner</v>
          </cell>
          <cell r="AT355" t="str">
            <v>Y</v>
          </cell>
          <cell r="BM355">
            <v>0</v>
          </cell>
          <cell r="BN355">
            <v>0</v>
          </cell>
          <cell r="BO355" t="str">
            <v>Structure Renter</v>
          </cell>
        </row>
        <row r="356">
          <cell r="AL356" t="str">
            <v>Land Owner</v>
          </cell>
          <cell r="AT356">
            <v>0</v>
          </cell>
          <cell r="BM356" t="str">
            <v>Josephine Bangug</v>
          </cell>
          <cell r="BN356" t="str">
            <v>Residential</v>
          </cell>
          <cell r="BO356" t="str">
            <v>Structure Owner</v>
          </cell>
          <cell r="FR356">
            <v>0</v>
          </cell>
        </row>
        <row r="357">
          <cell r="AL357" t="str">
            <v>Land Lessee</v>
          </cell>
          <cell r="BM357">
            <v>0</v>
          </cell>
          <cell r="BN357">
            <v>0</v>
          </cell>
          <cell r="BO357" t="str">
            <v>Structure Renter</v>
          </cell>
        </row>
        <row r="358">
          <cell r="AL358" t="str">
            <v>Land Owner</v>
          </cell>
          <cell r="AT358" t="str">
            <v>Y</v>
          </cell>
          <cell r="BM358" t="str">
            <v>Manabo, Gerard Ong</v>
          </cell>
          <cell r="BN358" t="str">
            <v>Residential</v>
          </cell>
          <cell r="BO358" t="str">
            <v>Structure Owner</v>
          </cell>
        </row>
        <row r="359">
          <cell r="AL359" t="str">
            <v>Land Lessee</v>
          </cell>
          <cell r="BM359">
            <v>0</v>
          </cell>
          <cell r="BN359">
            <v>0</v>
          </cell>
          <cell r="BO359" t="str">
            <v>Structure Renter</v>
          </cell>
        </row>
        <row r="360">
          <cell r="AL360" t="str">
            <v>Land Owner</v>
          </cell>
          <cell r="AT360" t="str">
            <v>Y</v>
          </cell>
          <cell r="BM360" t="str">
            <v>Guillermo Manabo/Imelda Manabo</v>
          </cell>
          <cell r="BN360" t="str">
            <v>Mixed use</v>
          </cell>
          <cell r="BO360" t="str">
            <v>Structure Owner</v>
          </cell>
        </row>
        <row r="361">
          <cell r="AL361" t="str">
            <v>Land Dweller</v>
          </cell>
          <cell r="BM361">
            <v>0</v>
          </cell>
          <cell r="BN361">
            <v>0</v>
          </cell>
          <cell r="BO361" t="str">
            <v>Sharer</v>
          </cell>
        </row>
        <row r="362">
          <cell r="AL362" t="str">
            <v>Land Owner</v>
          </cell>
          <cell r="AT362" t="str">
            <v>Y</v>
          </cell>
          <cell r="BM362" t="str">
            <v>Aida Manabo</v>
          </cell>
          <cell r="BN362" t="str">
            <v>Residential</v>
          </cell>
          <cell r="BO362" t="str">
            <v>Structure Owner</v>
          </cell>
        </row>
        <row r="363">
          <cell r="AL363" t="str">
            <v>Land Dweller</v>
          </cell>
          <cell r="BM363">
            <v>0</v>
          </cell>
          <cell r="BN363">
            <v>0</v>
          </cell>
          <cell r="BO363" t="str">
            <v>Caretaker</v>
          </cell>
          <cell r="FR363" t="str">
            <v>Need Displacement</v>
          </cell>
        </row>
        <row r="364">
          <cell r="AL364" t="str">
            <v>Land Lessee</v>
          </cell>
          <cell r="BM364">
            <v>0</v>
          </cell>
          <cell r="BN364">
            <v>0</v>
          </cell>
          <cell r="BO364" t="str">
            <v>Structure Renter</v>
          </cell>
        </row>
        <row r="365">
          <cell r="AL365" t="str">
            <v>Land Owner</v>
          </cell>
          <cell r="AT365" t="str">
            <v>Y</v>
          </cell>
          <cell r="BM365" t="str">
            <v>Aida Manabo</v>
          </cell>
          <cell r="BN365" t="str">
            <v>Residential</v>
          </cell>
          <cell r="BO365" t="str">
            <v>Structure Owner</v>
          </cell>
        </row>
        <row r="366">
          <cell r="AL366" t="str">
            <v>Land Owner</v>
          </cell>
          <cell r="AT366" t="str">
            <v>Y</v>
          </cell>
          <cell r="BM366" t="str">
            <v>Narcisa M. Dela Rosa/Rodolfo Dela Rosa</v>
          </cell>
          <cell r="BN366" t="str">
            <v>Residential</v>
          </cell>
          <cell r="BO366" t="str">
            <v>Structure Owner</v>
          </cell>
        </row>
        <row r="367">
          <cell r="AL367" t="str">
            <v>Land Lessee</v>
          </cell>
          <cell r="BM367">
            <v>0</v>
          </cell>
          <cell r="BN367">
            <v>0</v>
          </cell>
          <cell r="BO367" t="str">
            <v>Structure Renter</v>
          </cell>
          <cell r="FR367" t="str">
            <v>Need Displacement</v>
          </cell>
        </row>
        <row r="368">
          <cell r="AL368" t="str">
            <v>Land Lessee</v>
          </cell>
          <cell r="BM368">
            <v>0</v>
          </cell>
          <cell r="BN368">
            <v>0</v>
          </cell>
          <cell r="BO368" t="str">
            <v>Structure Renter</v>
          </cell>
          <cell r="FR368" t="str">
            <v>Need Displacement</v>
          </cell>
        </row>
        <row r="369">
          <cell r="AL369" t="str">
            <v>Land Lessee</v>
          </cell>
          <cell r="BM369">
            <v>0</v>
          </cell>
          <cell r="BN369">
            <v>0</v>
          </cell>
          <cell r="BO369" t="str">
            <v>Structure Renter</v>
          </cell>
          <cell r="FR369" t="str">
            <v>Can Stay</v>
          </cell>
        </row>
        <row r="370">
          <cell r="AL370" t="str">
            <v>Land Owner</v>
          </cell>
          <cell r="AT370" t="str">
            <v>Y</v>
          </cell>
          <cell r="BM370" t="str">
            <v>Guillermo Manabo</v>
          </cell>
          <cell r="BN370" t="str">
            <v>Residential</v>
          </cell>
          <cell r="BO370" t="str">
            <v>Structure Owner</v>
          </cell>
        </row>
        <row r="371">
          <cell r="AL371" t="str">
            <v>Land Lessee</v>
          </cell>
          <cell r="BM371">
            <v>0</v>
          </cell>
          <cell r="BN371">
            <v>0</v>
          </cell>
          <cell r="BO371" t="str">
            <v>Structure Renter</v>
          </cell>
          <cell r="FR371" t="str">
            <v>Need Displacement</v>
          </cell>
        </row>
        <row r="372">
          <cell r="AL372" t="str">
            <v>Land Owner</v>
          </cell>
          <cell r="AT372" t="str">
            <v>Y</v>
          </cell>
          <cell r="BM372" t="str">
            <v>San Miguel, Geraldine Dela Cruz</v>
          </cell>
          <cell r="BN372" t="str">
            <v>Residential</v>
          </cell>
          <cell r="BO372" t="str">
            <v>Structure Owner</v>
          </cell>
          <cell r="FR372">
            <v>0</v>
          </cell>
        </row>
        <row r="373">
          <cell r="AL373" t="str">
            <v>Land Owner</v>
          </cell>
          <cell r="AT373" t="str">
            <v>Y</v>
          </cell>
          <cell r="BM373" t="str">
            <v>Guillermo Manabo</v>
          </cell>
          <cell r="BN373" t="str">
            <v>Residential</v>
          </cell>
          <cell r="BO373" t="str">
            <v>Structure Owner</v>
          </cell>
        </row>
        <row r="374">
          <cell r="AL374" t="str">
            <v>Land Lessee</v>
          </cell>
          <cell r="BM374">
            <v>0</v>
          </cell>
          <cell r="BN374">
            <v>0</v>
          </cell>
          <cell r="BO374" t="str">
            <v>Structure Renter</v>
          </cell>
          <cell r="FR374" t="str">
            <v>Need Displacement</v>
          </cell>
        </row>
        <row r="375">
          <cell r="AL375" t="str">
            <v>Land Owner</v>
          </cell>
          <cell r="BM375" t="str">
            <v>Guillermo Manabo</v>
          </cell>
          <cell r="BN375" t="str">
            <v>Residential</v>
          </cell>
          <cell r="BO375" t="str">
            <v>Structure Owner</v>
          </cell>
        </row>
        <row r="376">
          <cell r="AL376" t="str">
            <v>Land Lessee</v>
          </cell>
          <cell r="BM376">
            <v>0</v>
          </cell>
          <cell r="BN376">
            <v>0</v>
          </cell>
          <cell r="BO376" t="str">
            <v>Structure Renter</v>
          </cell>
          <cell r="FR376" t="str">
            <v>Need Displacement</v>
          </cell>
        </row>
        <row r="377">
          <cell r="AL377" t="str">
            <v>Land Lessee</v>
          </cell>
          <cell r="BM377">
            <v>0</v>
          </cell>
          <cell r="BN377">
            <v>0</v>
          </cell>
          <cell r="BO377" t="str">
            <v>Structure Renter</v>
          </cell>
        </row>
        <row r="378">
          <cell r="AL378" t="str">
            <v>Land Dweller</v>
          </cell>
          <cell r="BM378">
            <v>0</v>
          </cell>
          <cell r="BN378">
            <v>0</v>
          </cell>
          <cell r="BO378">
            <v>0</v>
          </cell>
        </row>
        <row r="379">
          <cell r="AL379" t="str">
            <v>Land Owner</v>
          </cell>
          <cell r="AT379" t="str">
            <v>Y</v>
          </cell>
          <cell r="BM379" t="str">
            <v>Guillermo Manabo</v>
          </cell>
          <cell r="BN379" t="str">
            <v>Residential</v>
          </cell>
          <cell r="BO379" t="str">
            <v>Structure Owner</v>
          </cell>
        </row>
        <row r="380">
          <cell r="AL380" t="str">
            <v>Land Lessee</v>
          </cell>
          <cell r="BM380">
            <v>0</v>
          </cell>
          <cell r="BN380">
            <v>0</v>
          </cell>
          <cell r="BO380" t="str">
            <v>Structure Renter</v>
          </cell>
          <cell r="FR380" t="str">
            <v>Need Displacement</v>
          </cell>
        </row>
        <row r="381">
          <cell r="AL381" t="str">
            <v>Land Lessee</v>
          </cell>
          <cell r="BM381">
            <v>0</v>
          </cell>
          <cell r="BN381">
            <v>0</v>
          </cell>
          <cell r="BO381" t="str">
            <v>Structure Renter</v>
          </cell>
        </row>
        <row r="382">
          <cell r="AL382" t="str">
            <v>Land Lessee</v>
          </cell>
          <cell r="BM382">
            <v>0</v>
          </cell>
          <cell r="BN382">
            <v>0</v>
          </cell>
          <cell r="BO382" t="str">
            <v>Structure Renter</v>
          </cell>
        </row>
        <row r="383">
          <cell r="AL383" t="str">
            <v>Land Owner</v>
          </cell>
          <cell r="AT383" t="str">
            <v>Y</v>
          </cell>
          <cell r="BM383" t="str">
            <v>Guillermo Manabo</v>
          </cell>
          <cell r="BN383" t="str">
            <v>Mixed use</v>
          </cell>
          <cell r="BO383" t="str">
            <v>Structure Owner</v>
          </cell>
        </row>
        <row r="384">
          <cell r="AL384" t="str">
            <v>Land Dweller</v>
          </cell>
          <cell r="BM384">
            <v>0</v>
          </cell>
          <cell r="BN384">
            <v>0</v>
          </cell>
          <cell r="BO384" t="str">
            <v>Sharer</v>
          </cell>
          <cell r="FR384" t="str">
            <v>Need Displacement</v>
          </cell>
        </row>
        <row r="385">
          <cell r="AL385" t="str">
            <v>Land Lessee</v>
          </cell>
          <cell r="BM385">
            <v>0</v>
          </cell>
          <cell r="BN385">
            <v>0</v>
          </cell>
          <cell r="BO385" t="str">
            <v>Structure Renter</v>
          </cell>
          <cell r="FR385" t="str">
            <v>Need Displacement</v>
          </cell>
        </row>
        <row r="386">
          <cell r="AL386" t="str">
            <v>Land Lessee</v>
          </cell>
          <cell r="BM386">
            <v>0</v>
          </cell>
          <cell r="BN386">
            <v>0</v>
          </cell>
          <cell r="BO386" t="str">
            <v>Structure Renter</v>
          </cell>
          <cell r="FR386" t="str">
            <v>Need Displacement</v>
          </cell>
        </row>
        <row r="387">
          <cell r="AL387" t="str">
            <v>Land Owner</v>
          </cell>
          <cell r="AT387" t="str">
            <v>Y</v>
          </cell>
          <cell r="BM387" t="str">
            <v>Guillermo Manabo</v>
          </cell>
          <cell r="BN387" t="str">
            <v>Residential</v>
          </cell>
          <cell r="BO387" t="str">
            <v>Structure Owner</v>
          </cell>
          <cell r="FR387" t="str">
            <v>Need Displacement</v>
          </cell>
        </row>
        <row r="388">
          <cell r="AL388" t="str">
            <v>Land Lessee</v>
          </cell>
          <cell r="BM388">
            <v>0</v>
          </cell>
          <cell r="BN388">
            <v>0</v>
          </cell>
          <cell r="BO388" t="str">
            <v>Structure Renter</v>
          </cell>
          <cell r="FR388" t="str">
            <v>Need Displacement</v>
          </cell>
        </row>
        <row r="389">
          <cell r="AL389" t="str">
            <v>Land Lessee</v>
          </cell>
          <cell r="BM389">
            <v>0</v>
          </cell>
          <cell r="BN389">
            <v>0</v>
          </cell>
          <cell r="BO389" t="str">
            <v>Structure Renter</v>
          </cell>
          <cell r="FR389" t="str">
            <v>Need Displacement</v>
          </cell>
        </row>
        <row r="390">
          <cell r="AL390" t="str">
            <v>Land Lessee</v>
          </cell>
          <cell r="BM390">
            <v>0</v>
          </cell>
          <cell r="BN390">
            <v>0</v>
          </cell>
          <cell r="BO390" t="str">
            <v>Structure Renter</v>
          </cell>
          <cell r="FR390" t="str">
            <v>Need Displacement</v>
          </cell>
        </row>
        <row r="391">
          <cell r="AL391" t="str">
            <v>Land Owner</v>
          </cell>
          <cell r="AT391" t="str">
            <v>Y</v>
          </cell>
          <cell r="BM391" t="str">
            <v>Nestor/Marita De Leon</v>
          </cell>
          <cell r="BN391" t="str">
            <v>Residential</v>
          </cell>
          <cell r="BO391" t="str">
            <v>Structure Owner</v>
          </cell>
          <cell r="FR391" t="str">
            <v>Can Stay</v>
          </cell>
        </row>
        <row r="392">
          <cell r="AL392" t="str">
            <v>Land Owner</v>
          </cell>
          <cell r="AT392" t="str">
            <v>Y</v>
          </cell>
          <cell r="BM392">
            <v>0</v>
          </cell>
          <cell r="BN392">
            <v>0</v>
          </cell>
          <cell r="BO392">
            <v>0</v>
          </cell>
        </row>
        <row r="393">
          <cell r="AL393" t="str">
            <v>Land Dweller</v>
          </cell>
          <cell r="BM393" t="str">
            <v>Iven/Emily Nabol</v>
          </cell>
          <cell r="BN393" t="str">
            <v>Residential</v>
          </cell>
          <cell r="BO393" t="str">
            <v>Structure Owner</v>
          </cell>
        </row>
        <row r="394">
          <cell r="AL394" t="str">
            <v>Land Owner</v>
          </cell>
          <cell r="AT394" t="str">
            <v>Y</v>
          </cell>
          <cell r="BM394" t="str">
            <v>Joel Tomaquin</v>
          </cell>
          <cell r="BN394" t="str">
            <v>Mixed use</v>
          </cell>
          <cell r="BO394" t="str">
            <v>Structure Owner</v>
          </cell>
        </row>
        <row r="395">
          <cell r="AL395" t="str">
            <v>Land Owner</v>
          </cell>
          <cell r="AT395" t="str">
            <v>Y</v>
          </cell>
          <cell r="BM395" t="str">
            <v>Virgilio/Adoracion Salonga</v>
          </cell>
          <cell r="BN395" t="str">
            <v>Residential</v>
          </cell>
          <cell r="BO395" t="str">
            <v>Structure Owner</v>
          </cell>
        </row>
        <row r="396">
          <cell r="AL396" t="str">
            <v>Land Lessee</v>
          </cell>
          <cell r="BM396">
            <v>0</v>
          </cell>
          <cell r="BN396">
            <v>0</v>
          </cell>
          <cell r="BO396" t="str">
            <v>Structure Renter</v>
          </cell>
          <cell r="FR396" t="str">
            <v>Need Displacement</v>
          </cell>
        </row>
        <row r="397">
          <cell r="AL397" t="str">
            <v>Land Dweller</v>
          </cell>
          <cell r="BM397">
            <v>0</v>
          </cell>
          <cell r="BN397">
            <v>0</v>
          </cell>
          <cell r="BO397" t="str">
            <v>Sharer</v>
          </cell>
          <cell r="FR397" t="str">
            <v>Can Stay</v>
          </cell>
        </row>
        <row r="398">
          <cell r="AL398" t="str">
            <v>Land Owner</v>
          </cell>
          <cell r="AT398" t="str">
            <v>Y</v>
          </cell>
          <cell r="BM398" t="str">
            <v>Cynthia Dee/Juanito Dee</v>
          </cell>
          <cell r="BN398" t="str">
            <v>Residential</v>
          </cell>
          <cell r="BO398" t="str">
            <v>Structure Owner</v>
          </cell>
        </row>
        <row r="399">
          <cell r="AL399" t="str">
            <v>Land Lessee</v>
          </cell>
          <cell r="BM399">
            <v>0</v>
          </cell>
          <cell r="BN399">
            <v>0</v>
          </cell>
          <cell r="BO399" t="str">
            <v>Structure Renter</v>
          </cell>
          <cell r="FR399" t="str">
            <v>Need Displacement</v>
          </cell>
        </row>
        <row r="400">
          <cell r="AL400" t="str">
            <v>Land Lessee</v>
          </cell>
          <cell r="BM400">
            <v>0</v>
          </cell>
          <cell r="BN400">
            <v>0</v>
          </cell>
          <cell r="BO400" t="str">
            <v>Structure Renter</v>
          </cell>
          <cell r="FR400" t="str">
            <v>Need Displacement</v>
          </cell>
        </row>
        <row r="401">
          <cell r="AL401" t="str">
            <v>Land Lessee</v>
          </cell>
          <cell r="BM401">
            <v>0</v>
          </cell>
          <cell r="BN401">
            <v>0</v>
          </cell>
          <cell r="BO401" t="str">
            <v>Structure Renter</v>
          </cell>
          <cell r="FR401" t="str">
            <v>Need Displacement</v>
          </cell>
        </row>
        <row r="402">
          <cell r="AL402" t="str">
            <v>Land Owner</v>
          </cell>
          <cell r="BM402">
            <v>0</v>
          </cell>
          <cell r="BN402">
            <v>0</v>
          </cell>
          <cell r="BO402">
            <v>0</v>
          </cell>
        </row>
        <row r="403">
          <cell r="AL403" t="str">
            <v>ISF</v>
          </cell>
          <cell r="BM403" t="str">
            <v>Manolito/Zenaida Lausa</v>
          </cell>
          <cell r="BN403" t="str">
            <v>Residential</v>
          </cell>
          <cell r="BO403" t="str">
            <v>Structure Owner</v>
          </cell>
        </row>
        <row r="404">
          <cell r="AL404" t="str">
            <v>ISF</v>
          </cell>
          <cell r="BM404" t="str">
            <v>Maria Cecilia C. Sabanal and Baby Boy Sabanal</v>
          </cell>
          <cell r="BN404" t="str">
            <v>Residential</v>
          </cell>
          <cell r="BO404" t="str">
            <v>Structure Owner</v>
          </cell>
          <cell r="FR404" t="str">
            <v>Need Displacement</v>
          </cell>
        </row>
        <row r="405">
          <cell r="AL405" t="str">
            <v>ISF</v>
          </cell>
          <cell r="BM405" t="str">
            <v>Benzon C. Cabigas</v>
          </cell>
          <cell r="BN405" t="str">
            <v>Residential</v>
          </cell>
          <cell r="BO405" t="str">
            <v>Structure Owner</v>
          </cell>
        </row>
        <row r="406">
          <cell r="AL406" t="str">
            <v>ISF</v>
          </cell>
          <cell r="BM406">
            <v>0</v>
          </cell>
          <cell r="BN406">
            <v>0</v>
          </cell>
          <cell r="BO406">
            <v>0</v>
          </cell>
        </row>
        <row r="407">
          <cell r="AL407" t="str">
            <v>ISF</v>
          </cell>
          <cell r="BM407">
            <v>0</v>
          </cell>
          <cell r="BN407">
            <v>0</v>
          </cell>
          <cell r="BO407">
            <v>0</v>
          </cell>
        </row>
        <row r="408">
          <cell r="AL408" t="str">
            <v>ISF</v>
          </cell>
          <cell r="BM408" t="str">
            <v>Ferdinand Lugo/Maricar Pamotillo</v>
          </cell>
          <cell r="BN408" t="str">
            <v>Residential</v>
          </cell>
          <cell r="BO408" t="str">
            <v>Structure Owner</v>
          </cell>
        </row>
        <row r="409">
          <cell r="AL409" t="str">
            <v>ISF</v>
          </cell>
          <cell r="BM409">
            <v>0</v>
          </cell>
          <cell r="BN409">
            <v>0</v>
          </cell>
          <cell r="BO409">
            <v>0</v>
          </cell>
        </row>
        <row r="410">
          <cell r="AL410" t="str">
            <v>ISF</v>
          </cell>
          <cell r="AT410">
            <v>0</v>
          </cell>
          <cell r="BM410" t="str">
            <v>Duzon, Norberto Arre</v>
          </cell>
          <cell r="BN410" t="str">
            <v>Residential</v>
          </cell>
          <cell r="BO410" t="str">
            <v>Structure Owner</v>
          </cell>
          <cell r="FR410" t="str">
            <v>Need Displacement</v>
          </cell>
        </row>
        <row r="411">
          <cell r="AL411" t="str">
            <v>ISF</v>
          </cell>
          <cell r="AT411">
            <v>0</v>
          </cell>
          <cell r="BM411" t="str">
            <v>Bryan Binlayo/Gloria Rivera</v>
          </cell>
          <cell r="BN411" t="str">
            <v>Residential</v>
          </cell>
          <cell r="BO411" t="str">
            <v>Structure Owner</v>
          </cell>
          <cell r="FR411">
            <v>0</v>
          </cell>
        </row>
        <row r="412">
          <cell r="AL412" t="str">
            <v>ISF</v>
          </cell>
          <cell r="AT412">
            <v>0</v>
          </cell>
          <cell r="BM412" t="str">
            <v>Araceli/Mechael Binlayo</v>
          </cell>
          <cell r="BN412" t="str">
            <v>Mixed use</v>
          </cell>
          <cell r="BO412" t="str">
            <v>Structure Owner</v>
          </cell>
          <cell r="FR412">
            <v>0</v>
          </cell>
        </row>
        <row r="413">
          <cell r="AL413" t="str">
            <v>Land Owner</v>
          </cell>
          <cell r="BM413">
            <v>0</v>
          </cell>
          <cell r="BN413">
            <v>0</v>
          </cell>
          <cell r="BO413">
            <v>0</v>
          </cell>
        </row>
        <row r="414">
          <cell r="AL414" t="str">
            <v>Land Owner</v>
          </cell>
          <cell r="BM414">
            <v>0</v>
          </cell>
          <cell r="BN414">
            <v>0</v>
          </cell>
          <cell r="BO414">
            <v>0</v>
          </cell>
        </row>
        <row r="415">
          <cell r="AL415" t="str">
            <v>Land Owner</v>
          </cell>
          <cell r="BM415">
            <v>0</v>
          </cell>
          <cell r="BN415">
            <v>0</v>
          </cell>
          <cell r="BO415">
            <v>0</v>
          </cell>
        </row>
        <row r="416">
          <cell r="AL416" t="str">
            <v>Land Owner</v>
          </cell>
          <cell r="BM416">
            <v>0</v>
          </cell>
          <cell r="BN416">
            <v>0</v>
          </cell>
          <cell r="BO416">
            <v>0</v>
          </cell>
        </row>
        <row r="417">
          <cell r="AL417" t="str">
            <v>Land Owner</v>
          </cell>
          <cell r="AT417">
            <v>0</v>
          </cell>
          <cell r="BM417" t="str">
            <v>PNR</v>
          </cell>
          <cell r="BN417" t="str">
            <v>Industrial</v>
          </cell>
          <cell r="BO417" t="str">
            <v>Structure Owner</v>
          </cell>
          <cell r="FR417" t="str">
            <v>Can stay</v>
          </cell>
        </row>
        <row r="418">
          <cell r="AL418" t="str">
            <v>Land Owner</v>
          </cell>
          <cell r="AT418">
            <v>0</v>
          </cell>
          <cell r="BM418" t="str">
            <v>PNR</v>
          </cell>
          <cell r="BN418" t="str">
            <v>Industrial</v>
          </cell>
          <cell r="BO418" t="str">
            <v>Structure Owner</v>
          </cell>
        </row>
        <row r="419">
          <cell r="AL419" t="str">
            <v>Land Owner</v>
          </cell>
          <cell r="AT419">
            <v>0</v>
          </cell>
          <cell r="BM419" t="str">
            <v>MNTC</v>
          </cell>
          <cell r="BN419" t="str">
            <v>Institutional</v>
          </cell>
          <cell r="BO419" t="str">
            <v>Structure Owner</v>
          </cell>
          <cell r="FR419" t="str">
            <v>Need Displacement</v>
          </cell>
        </row>
        <row r="420">
          <cell r="AL420" t="str">
            <v>Land Owner</v>
          </cell>
          <cell r="AT420">
            <v>0</v>
          </cell>
          <cell r="BM420" t="str">
            <v>PNR</v>
          </cell>
          <cell r="BN420" t="str">
            <v>Institutional</v>
          </cell>
          <cell r="BO420" t="str">
            <v>Structure Owner</v>
          </cell>
          <cell r="FR420" t="str">
            <v>Need Displacement</v>
          </cell>
        </row>
        <row r="421">
          <cell r="AL421" t="str">
            <v>Land Owner</v>
          </cell>
          <cell r="AT421" t="str">
            <v>Y</v>
          </cell>
          <cell r="BM421" t="str">
            <v>c/o Brgy. Capt. Enrique G. Santos Jr</v>
          </cell>
          <cell r="BN421" t="str">
            <v>Institutional</v>
          </cell>
          <cell r="BO421" t="str">
            <v>Institutional Occupant</v>
          </cell>
          <cell r="FR421" t="str">
            <v>Can stay</v>
          </cell>
        </row>
        <row r="422">
          <cell r="AL422" t="str">
            <v>ISF</v>
          </cell>
          <cell r="BM422" t="str">
            <v>Alberto Marasigan Salazar</v>
          </cell>
          <cell r="BN422" t="str">
            <v>Mixed use</v>
          </cell>
          <cell r="BO422" t="str">
            <v>Structure Owner</v>
          </cell>
          <cell r="FR422" t="str">
            <v>Need Displacement</v>
          </cell>
        </row>
        <row r="423">
          <cell r="AL423" t="str">
            <v>ISF</v>
          </cell>
          <cell r="BM423">
            <v>0</v>
          </cell>
          <cell r="BN423">
            <v>0</v>
          </cell>
          <cell r="BO423" t="str">
            <v>Commercial Tenant</v>
          </cell>
          <cell r="FR423" t="str">
            <v>Need Displacement</v>
          </cell>
        </row>
        <row r="424">
          <cell r="AL424" t="str">
            <v>ISF</v>
          </cell>
          <cell r="BM424" t="str">
            <v>Archimedes Inalisan Mendez</v>
          </cell>
          <cell r="BN424" t="str">
            <v>Residential</v>
          </cell>
          <cell r="BO424" t="str">
            <v>Structure Owner</v>
          </cell>
        </row>
        <row r="425">
          <cell r="AL425" t="str">
            <v>ISF</v>
          </cell>
          <cell r="BM425">
            <v>0</v>
          </cell>
          <cell r="BN425">
            <v>0</v>
          </cell>
          <cell r="BO425" t="str">
            <v>Structure Renter</v>
          </cell>
          <cell r="FR425" t="str">
            <v>Need Displacement</v>
          </cell>
        </row>
        <row r="426">
          <cell r="AL426" t="str">
            <v>ISF</v>
          </cell>
          <cell r="BM426" t="str">
            <v>Jessie Chavez</v>
          </cell>
          <cell r="BN426" t="str">
            <v>Residential</v>
          </cell>
          <cell r="BO426" t="str">
            <v>Structure Owner</v>
          </cell>
          <cell r="FR426" t="str">
            <v>Need Displacement</v>
          </cell>
        </row>
        <row r="427">
          <cell r="AL427" t="str">
            <v>ISF</v>
          </cell>
          <cell r="BM427" t="str">
            <v>John Ray Kosca</v>
          </cell>
          <cell r="BN427" t="str">
            <v>Residential</v>
          </cell>
          <cell r="BO427" t="str">
            <v>Structure Owner</v>
          </cell>
          <cell r="FR427" t="str">
            <v>Need Displacement</v>
          </cell>
        </row>
        <row r="428">
          <cell r="AL428" t="str">
            <v>ISF</v>
          </cell>
          <cell r="BM428">
            <v>0</v>
          </cell>
          <cell r="BN428">
            <v>0</v>
          </cell>
          <cell r="BO428" t="str">
            <v>Sharer</v>
          </cell>
          <cell r="FR428" t="str">
            <v>Need Displacement</v>
          </cell>
        </row>
        <row r="429">
          <cell r="AL429" t="str">
            <v>ISF</v>
          </cell>
          <cell r="BM429" t="str">
            <v>Roberto Badal</v>
          </cell>
          <cell r="BN429" t="str">
            <v>Residential</v>
          </cell>
          <cell r="BO429" t="str">
            <v>Structure Owner</v>
          </cell>
          <cell r="FR429" t="str">
            <v>Need Displacement</v>
          </cell>
        </row>
        <row r="430">
          <cell r="AL430" t="str">
            <v>ISF</v>
          </cell>
          <cell r="BM430">
            <v>0</v>
          </cell>
          <cell r="BN430">
            <v>0</v>
          </cell>
          <cell r="BO430" t="str">
            <v>Structure Renter</v>
          </cell>
          <cell r="FR430" t="str">
            <v>Need Displacement</v>
          </cell>
        </row>
        <row r="431">
          <cell r="AL431" t="str">
            <v>ISF</v>
          </cell>
          <cell r="BM431">
            <v>0</v>
          </cell>
          <cell r="BN431">
            <v>0</v>
          </cell>
          <cell r="BO431" t="str">
            <v>Structure Renter</v>
          </cell>
          <cell r="FR431" t="str">
            <v>Need Displacement</v>
          </cell>
        </row>
        <row r="432">
          <cell r="AL432" t="str">
            <v>ISF</v>
          </cell>
          <cell r="BM432">
            <v>0</v>
          </cell>
          <cell r="BN432">
            <v>0</v>
          </cell>
          <cell r="BO432" t="str">
            <v>Structure Renter</v>
          </cell>
          <cell r="FR432" t="str">
            <v>Need Displacement</v>
          </cell>
        </row>
        <row r="433">
          <cell r="AL433" t="str">
            <v>ISF</v>
          </cell>
          <cell r="BM433">
            <v>0</v>
          </cell>
          <cell r="BN433">
            <v>0</v>
          </cell>
          <cell r="BO433" t="str">
            <v>Structure Renter</v>
          </cell>
        </row>
        <row r="434">
          <cell r="AL434" t="str">
            <v>ISF</v>
          </cell>
          <cell r="BM434" t="str">
            <v>Raul De Paz Sr.</v>
          </cell>
          <cell r="BN434" t="str">
            <v>Mixed use</v>
          </cell>
          <cell r="BO434" t="str">
            <v>Structure Owner</v>
          </cell>
          <cell r="FR434" t="str">
            <v>Need Displacement</v>
          </cell>
        </row>
        <row r="435">
          <cell r="AL435" t="str">
            <v>ISF</v>
          </cell>
          <cell r="BM435">
            <v>0</v>
          </cell>
          <cell r="BN435">
            <v>0</v>
          </cell>
          <cell r="BO435" t="str">
            <v>Sharer</v>
          </cell>
          <cell r="FR435" t="str">
            <v>Need Displacement</v>
          </cell>
        </row>
        <row r="436">
          <cell r="AL436" t="str">
            <v>ISF</v>
          </cell>
          <cell r="BM436" t="str">
            <v>Ricardo Dela Cruz</v>
          </cell>
          <cell r="BN436" t="str">
            <v>Mixed use</v>
          </cell>
          <cell r="BO436" t="str">
            <v>Structure Owner</v>
          </cell>
          <cell r="FR436" t="str">
            <v>Need Displacement</v>
          </cell>
        </row>
        <row r="437">
          <cell r="AL437" t="str">
            <v>ISF</v>
          </cell>
          <cell r="BM437" t="str">
            <v>Rosavilinda Bucsit</v>
          </cell>
          <cell r="BN437" t="str">
            <v>Residential</v>
          </cell>
          <cell r="BO437" t="str">
            <v>Structure Owner</v>
          </cell>
          <cell r="FR437" t="str">
            <v>Need Displacement</v>
          </cell>
        </row>
        <row r="438">
          <cell r="AL438" t="str">
            <v>ISF</v>
          </cell>
          <cell r="BM438">
            <v>0</v>
          </cell>
          <cell r="BN438">
            <v>0</v>
          </cell>
          <cell r="BO438" t="str">
            <v>Structure Renter</v>
          </cell>
          <cell r="FR438" t="str">
            <v>Need Displacement</v>
          </cell>
        </row>
        <row r="439">
          <cell r="AL439" t="str">
            <v>ISF</v>
          </cell>
          <cell r="BM439" t="str">
            <v>Louisse Franz Salazar/Ferdinand Marasigan Salazar</v>
          </cell>
          <cell r="BN439" t="str">
            <v>Residential</v>
          </cell>
          <cell r="BO439" t="str">
            <v>Structure Owner</v>
          </cell>
          <cell r="FR439" t="str">
            <v>Need Displacement</v>
          </cell>
        </row>
        <row r="440">
          <cell r="AL440" t="str">
            <v>ISF</v>
          </cell>
          <cell r="BM440" t="str">
            <v>Maria Evelyn Ressurecion</v>
          </cell>
          <cell r="BN440" t="str">
            <v>Residential</v>
          </cell>
          <cell r="BO440" t="str">
            <v>Structure Owner</v>
          </cell>
          <cell r="FR440" t="str">
            <v>Need Displacement</v>
          </cell>
        </row>
        <row r="441">
          <cell r="AL441" t="str">
            <v>ISF</v>
          </cell>
          <cell r="BM441" t="str">
            <v>Osmundo L. Astibe</v>
          </cell>
          <cell r="BN441" t="str">
            <v>Residential</v>
          </cell>
          <cell r="BO441" t="str">
            <v>Structure Owner</v>
          </cell>
          <cell r="FR441" t="str">
            <v>Need Displacement</v>
          </cell>
        </row>
        <row r="442">
          <cell r="AL442" t="str">
            <v>ISF</v>
          </cell>
          <cell r="BM442" t="str">
            <v>Reynaldo C. Arias</v>
          </cell>
          <cell r="BN442" t="str">
            <v>Residential</v>
          </cell>
          <cell r="BO442" t="str">
            <v>Structure Owner</v>
          </cell>
          <cell r="FR442" t="str">
            <v>Need Displacement</v>
          </cell>
        </row>
        <row r="443">
          <cell r="AL443" t="str">
            <v>ISF</v>
          </cell>
          <cell r="BM443" t="str">
            <v>Romeo Saluta</v>
          </cell>
          <cell r="BN443" t="str">
            <v>Residential</v>
          </cell>
          <cell r="BO443" t="str">
            <v>Structure Owner</v>
          </cell>
          <cell r="FR443" t="str">
            <v>Need Displacement</v>
          </cell>
        </row>
        <row r="444">
          <cell r="AL444" t="str">
            <v>ISF</v>
          </cell>
          <cell r="BM444">
            <v>0</v>
          </cell>
          <cell r="BN444">
            <v>0</v>
          </cell>
          <cell r="BO444" t="str">
            <v>Co-Owner</v>
          </cell>
        </row>
        <row r="445">
          <cell r="AL445" t="str">
            <v>ISF</v>
          </cell>
          <cell r="BM445" t="str">
            <v>Rodelio Dalistan</v>
          </cell>
          <cell r="BN445" t="str">
            <v>Residential</v>
          </cell>
          <cell r="BO445" t="str">
            <v>Structure Renter</v>
          </cell>
          <cell r="FR445" t="str">
            <v>Need Displacement</v>
          </cell>
        </row>
        <row r="446">
          <cell r="AL446" t="str">
            <v>ISF</v>
          </cell>
          <cell r="BM446" t="str">
            <v>Felly Albino/ Ailyn Andrade Fajardo</v>
          </cell>
          <cell r="BN446" t="str">
            <v>Residential</v>
          </cell>
          <cell r="BO446" t="str">
            <v>Structure Owner</v>
          </cell>
          <cell r="FR446" t="str">
            <v>Need Displacement</v>
          </cell>
        </row>
        <row r="447">
          <cell r="AL447" t="str">
            <v>ISF</v>
          </cell>
          <cell r="BM447" t="str">
            <v>Romeo S. Saluta</v>
          </cell>
          <cell r="BN447" t="str">
            <v>Commercial</v>
          </cell>
          <cell r="BO447" t="str">
            <v>Structure Owner</v>
          </cell>
        </row>
        <row r="448">
          <cell r="AL448" t="str">
            <v>ISF</v>
          </cell>
          <cell r="BM448">
            <v>0</v>
          </cell>
          <cell r="BN448">
            <v>0</v>
          </cell>
          <cell r="BO448" t="str">
            <v>Commercial Tenant</v>
          </cell>
          <cell r="FR448" t="str">
            <v>Need Displacement</v>
          </cell>
        </row>
        <row r="449">
          <cell r="AL449" t="str">
            <v>ISF</v>
          </cell>
          <cell r="AT449" t="str">
            <v>Y</v>
          </cell>
          <cell r="BM449" t="str">
            <v>Edwin G. Dimalanta</v>
          </cell>
          <cell r="BN449" t="str">
            <v>Residential</v>
          </cell>
          <cell r="BO449" t="str">
            <v>Structure Owner</v>
          </cell>
          <cell r="FR449" t="str">
            <v>Can Stay</v>
          </cell>
        </row>
        <row r="450">
          <cell r="AL450" t="str">
            <v>ISF</v>
          </cell>
          <cell r="BM450">
            <v>0</v>
          </cell>
          <cell r="BN450">
            <v>0</v>
          </cell>
          <cell r="BO450">
            <v>0</v>
          </cell>
        </row>
        <row r="451">
          <cell r="AL451" t="str">
            <v>ISF</v>
          </cell>
          <cell r="BM451">
            <v>0</v>
          </cell>
          <cell r="BN451">
            <v>0</v>
          </cell>
          <cell r="BO451">
            <v>0</v>
          </cell>
        </row>
        <row r="452">
          <cell r="AL452" t="str">
            <v>ISF</v>
          </cell>
          <cell r="BM452">
            <v>0</v>
          </cell>
          <cell r="BN452">
            <v>0</v>
          </cell>
          <cell r="BO452">
            <v>0</v>
          </cell>
        </row>
        <row r="453">
          <cell r="AL453" t="str">
            <v>ISF</v>
          </cell>
          <cell r="BM453">
            <v>0</v>
          </cell>
          <cell r="BN453">
            <v>0</v>
          </cell>
          <cell r="BO453">
            <v>0</v>
          </cell>
        </row>
        <row r="454">
          <cell r="AL454" t="str">
            <v>ISF</v>
          </cell>
          <cell r="AT454" t="str">
            <v>Y</v>
          </cell>
          <cell r="BM454">
            <v>0</v>
          </cell>
          <cell r="BN454">
            <v>0</v>
          </cell>
          <cell r="BO454">
            <v>0</v>
          </cell>
        </row>
        <row r="455">
          <cell r="AL455" t="str">
            <v>ISF</v>
          </cell>
          <cell r="AT455" t="str">
            <v>Y</v>
          </cell>
          <cell r="BM455">
            <v>0</v>
          </cell>
          <cell r="BN455">
            <v>0</v>
          </cell>
          <cell r="BO455">
            <v>0</v>
          </cell>
        </row>
        <row r="456">
          <cell r="AL456" t="str">
            <v>ISF</v>
          </cell>
          <cell r="AT456" t="str">
            <v>Y</v>
          </cell>
          <cell r="BM456">
            <v>0</v>
          </cell>
          <cell r="BN456">
            <v>0</v>
          </cell>
          <cell r="BO456">
            <v>0</v>
          </cell>
        </row>
        <row r="457">
          <cell r="AL457" t="str">
            <v>ISF</v>
          </cell>
          <cell r="AT457" t="str">
            <v>Y</v>
          </cell>
          <cell r="BM457">
            <v>0</v>
          </cell>
          <cell r="BN457">
            <v>0</v>
          </cell>
          <cell r="BO457">
            <v>0</v>
          </cell>
        </row>
        <row r="458">
          <cell r="AL458" t="str">
            <v>ISF</v>
          </cell>
          <cell r="BM458">
            <v>0</v>
          </cell>
          <cell r="BN458">
            <v>0</v>
          </cell>
          <cell r="BO458">
            <v>0</v>
          </cell>
        </row>
        <row r="459">
          <cell r="AL459" t="str">
            <v>ISF</v>
          </cell>
          <cell r="AT459" t="str">
            <v>Y</v>
          </cell>
          <cell r="BM459">
            <v>0</v>
          </cell>
          <cell r="BN459">
            <v>0</v>
          </cell>
          <cell r="BO459">
            <v>0</v>
          </cell>
        </row>
        <row r="460">
          <cell r="AL460" t="str">
            <v>ISF</v>
          </cell>
          <cell r="BM460">
            <v>0</v>
          </cell>
          <cell r="BN460">
            <v>0</v>
          </cell>
          <cell r="BO460">
            <v>0</v>
          </cell>
        </row>
        <row r="461">
          <cell r="AL461" t="str">
            <v>ISF</v>
          </cell>
          <cell r="BM461">
            <v>0</v>
          </cell>
          <cell r="BN461">
            <v>0</v>
          </cell>
          <cell r="BO461">
            <v>0</v>
          </cell>
        </row>
        <row r="462">
          <cell r="AL462" t="str">
            <v>ISF</v>
          </cell>
          <cell r="BM462">
            <v>0</v>
          </cell>
          <cell r="BN462">
            <v>0</v>
          </cell>
          <cell r="BO462">
            <v>0</v>
          </cell>
        </row>
        <row r="463">
          <cell r="AL463" t="str">
            <v>ISF</v>
          </cell>
          <cell r="AT463" t="str">
            <v>Y</v>
          </cell>
          <cell r="BM463">
            <v>0</v>
          </cell>
          <cell r="BN463">
            <v>0</v>
          </cell>
          <cell r="BO463">
            <v>0</v>
          </cell>
          <cell r="FR463" t="str">
            <v>Can stay</v>
          </cell>
        </row>
        <row r="464">
          <cell r="AL464" t="str">
            <v>ISF</v>
          </cell>
          <cell r="AT464" t="str">
            <v>Y</v>
          </cell>
          <cell r="BM464">
            <v>0</v>
          </cell>
          <cell r="BN464">
            <v>0</v>
          </cell>
          <cell r="BO464">
            <v>0</v>
          </cell>
        </row>
        <row r="465">
          <cell r="AL465" t="str">
            <v>ISF</v>
          </cell>
          <cell r="AT465" t="str">
            <v>Y</v>
          </cell>
          <cell r="BM465">
            <v>0</v>
          </cell>
          <cell r="BN465">
            <v>0</v>
          </cell>
          <cell r="BO465">
            <v>0</v>
          </cell>
        </row>
        <row r="466">
          <cell r="AL466" t="str">
            <v>ISF</v>
          </cell>
          <cell r="AT466" t="str">
            <v>Y</v>
          </cell>
          <cell r="BM466">
            <v>0</v>
          </cell>
          <cell r="BN466">
            <v>0</v>
          </cell>
          <cell r="BO466">
            <v>0</v>
          </cell>
        </row>
        <row r="467">
          <cell r="AL467" t="str">
            <v>ISF</v>
          </cell>
          <cell r="BM467">
            <v>0</v>
          </cell>
          <cell r="BN467">
            <v>0</v>
          </cell>
          <cell r="BO467">
            <v>0</v>
          </cell>
        </row>
        <row r="468">
          <cell r="AL468" t="str">
            <v>ISF</v>
          </cell>
          <cell r="BM468">
            <v>0</v>
          </cell>
          <cell r="BN468">
            <v>0</v>
          </cell>
          <cell r="BO468">
            <v>0</v>
          </cell>
        </row>
        <row r="469">
          <cell r="AL469" t="str">
            <v>ISF</v>
          </cell>
          <cell r="BM469" t="str">
            <v>Meriam O. Rasona</v>
          </cell>
          <cell r="BN469" t="str">
            <v>Residential</v>
          </cell>
          <cell r="BO469" t="str">
            <v>Structure Owner</v>
          </cell>
        </row>
        <row r="470">
          <cell r="AL470" t="str">
            <v>ISF</v>
          </cell>
          <cell r="BM470" t="str">
            <v>Carmelita Martin</v>
          </cell>
          <cell r="BN470" t="str">
            <v>Residential</v>
          </cell>
          <cell r="BO470" t="str">
            <v>Structure Owner</v>
          </cell>
          <cell r="FR470" t="str">
            <v>Need Displacement</v>
          </cell>
        </row>
        <row r="471">
          <cell r="AL471" t="str">
            <v>ISF</v>
          </cell>
          <cell r="BM471">
            <v>0</v>
          </cell>
          <cell r="BN471">
            <v>0</v>
          </cell>
          <cell r="BO471">
            <v>0</v>
          </cell>
        </row>
        <row r="472">
          <cell r="AL472" t="str">
            <v>ISF</v>
          </cell>
          <cell r="BM472" t="str">
            <v>Jeffrey Cabañero</v>
          </cell>
          <cell r="BN472" t="str">
            <v>Residential</v>
          </cell>
          <cell r="BO472" t="str">
            <v>Structure Owner</v>
          </cell>
          <cell r="FR472" t="str">
            <v>Need Displacement</v>
          </cell>
        </row>
        <row r="473">
          <cell r="AL473" t="str">
            <v>ISF</v>
          </cell>
          <cell r="BM473" t="str">
            <v>Moises Eulogio</v>
          </cell>
          <cell r="BN473" t="str">
            <v>Residential</v>
          </cell>
          <cell r="BO473" t="str">
            <v>Structure Owner</v>
          </cell>
          <cell r="FR473" t="str">
            <v>Need Displacement</v>
          </cell>
        </row>
        <row r="474">
          <cell r="AL474" t="str">
            <v>ISF</v>
          </cell>
          <cell r="BM474" t="str">
            <v>Arturo Tarlac</v>
          </cell>
          <cell r="BN474" t="str">
            <v>Residential</v>
          </cell>
          <cell r="BO474" t="str">
            <v>Structure Owner</v>
          </cell>
          <cell r="FR474" t="str">
            <v>Need Displacement</v>
          </cell>
        </row>
        <row r="475">
          <cell r="AL475" t="str">
            <v>ISF</v>
          </cell>
          <cell r="BM475" t="str">
            <v>Rowel Rendon</v>
          </cell>
          <cell r="BN475" t="str">
            <v>Residential</v>
          </cell>
          <cell r="BO475" t="str">
            <v>Structure Owner</v>
          </cell>
          <cell r="FR475" t="str">
            <v>Can Stay (ACCESS BLOCK)</v>
          </cell>
        </row>
        <row r="476">
          <cell r="AL476" t="str">
            <v>ISF</v>
          </cell>
          <cell r="BM476" t="str">
            <v>Virgilio Apacible</v>
          </cell>
          <cell r="BN476" t="str">
            <v>Residential</v>
          </cell>
          <cell r="BO476" t="str">
            <v>Structure Owner</v>
          </cell>
          <cell r="FR476" t="str">
            <v>Can Stay (ACCESS BLOCK)</v>
          </cell>
        </row>
        <row r="477">
          <cell r="AL477" t="str">
            <v>ISF</v>
          </cell>
          <cell r="BM477" t="str">
            <v>Oscar Torneros</v>
          </cell>
          <cell r="BN477" t="str">
            <v>Commercial</v>
          </cell>
          <cell r="BO477" t="str">
            <v>Structure Owner</v>
          </cell>
          <cell r="FR477" t="str">
            <v>Need Displacement</v>
          </cell>
        </row>
        <row r="478">
          <cell r="AL478" t="str">
            <v>ISF</v>
          </cell>
          <cell r="BM478" t="str">
            <v>Oscar Torneros</v>
          </cell>
          <cell r="BN478" t="str">
            <v>Residential</v>
          </cell>
          <cell r="BO478" t="str">
            <v>Structure Owner</v>
          </cell>
          <cell r="FR478" t="str">
            <v>Can Stay (ACCESS BLOCK)</v>
          </cell>
        </row>
        <row r="479">
          <cell r="AL479" t="str">
            <v>ISF</v>
          </cell>
          <cell r="BM479" t="str">
            <v>Mac Gary Ponseca</v>
          </cell>
          <cell r="BN479" t="str">
            <v>Residential</v>
          </cell>
          <cell r="BO479" t="str">
            <v>Structure Owner</v>
          </cell>
          <cell r="FR479" t="str">
            <v>Need Displacement</v>
          </cell>
        </row>
        <row r="480">
          <cell r="AL480" t="str">
            <v>ISF</v>
          </cell>
          <cell r="BM480" t="str">
            <v>Corazon Patriarca Dela Cruz</v>
          </cell>
          <cell r="BN480" t="str">
            <v>Residential</v>
          </cell>
          <cell r="BO480" t="str">
            <v>Structure Renter</v>
          </cell>
          <cell r="FR480" t="str">
            <v>Need Displacement</v>
          </cell>
        </row>
        <row r="481">
          <cell r="AL481" t="str">
            <v>ISF</v>
          </cell>
          <cell r="BM481" t="str">
            <v>Verlin Apacible</v>
          </cell>
          <cell r="BN481" t="str">
            <v>Residential</v>
          </cell>
          <cell r="BO481" t="str">
            <v>Structure Owner</v>
          </cell>
          <cell r="FR481" t="str">
            <v>Need Displacement</v>
          </cell>
        </row>
        <row r="482">
          <cell r="AL482" t="str">
            <v>ISF</v>
          </cell>
          <cell r="BM482">
            <v>0</v>
          </cell>
          <cell r="BN482">
            <v>0</v>
          </cell>
          <cell r="BO482">
            <v>0</v>
          </cell>
          <cell r="FR482" t="str">
            <v>(ACCESS BLOCK)</v>
          </cell>
        </row>
        <row r="483">
          <cell r="AL483" t="str">
            <v>ISF</v>
          </cell>
          <cell r="BM483" t="str">
            <v>Segunda Masallo</v>
          </cell>
          <cell r="BN483" t="str">
            <v>Mixed use</v>
          </cell>
          <cell r="BO483" t="str">
            <v>Structure Owner</v>
          </cell>
          <cell r="FR483" t="str">
            <v>Need Displacement</v>
          </cell>
        </row>
        <row r="484">
          <cell r="AL484" t="str">
            <v>ISF</v>
          </cell>
          <cell r="BM484" t="str">
            <v>Tabuac, Francisco Macasusi</v>
          </cell>
          <cell r="BN484" t="str">
            <v>Mixed use</v>
          </cell>
          <cell r="BO484" t="str">
            <v>Structure Owner</v>
          </cell>
          <cell r="FR484" t="str">
            <v>Need Displacement</v>
          </cell>
        </row>
        <row r="485">
          <cell r="AL485" t="str">
            <v>ISF</v>
          </cell>
          <cell r="BM485" t="str">
            <v>Roselyn C. Generalo</v>
          </cell>
          <cell r="BN485" t="str">
            <v>Mixed use</v>
          </cell>
          <cell r="BO485" t="str">
            <v>Structure Owner</v>
          </cell>
          <cell r="FR485" t="str">
            <v>Need Displacement</v>
          </cell>
        </row>
        <row r="486">
          <cell r="AL486" t="str">
            <v>ISF</v>
          </cell>
          <cell r="BM486" t="str">
            <v>Rodrigo Gaddi</v>
          </cell>
          <cell r="BN486" t="str">
            <v>Residential</v>
          </cell>
          <cell r="BO486" t="str">
            <v>Structure Owner</v>
          </cell>
          <cell r="FR486" t="str">
            <v>Need Displacement</v>
          </cell>
        </row>
        <row r="487">
          <cell r="AL487" t="str">
            <v>Land Owner</v>
          </cell>
          <cell r="AT487" t="str">
            <v>Y</v>
          </cell>
          <cell r="BM487" t="str">
            <v>Nelia Arevano</v>
          </cell>
          <cell r="BN487" t="str">
            <v>Residential</v>
          </cell>
          <cell r="BO487" t="str">
            <v>Structure Owner</v>
          </cell>
          <cell r="FR487" t="str">
            <v>Can Stay</v>
          </cell>
        </row>
        <row r="488">
          <cell r="AL488" t="str">
            <v>ISF</v>
          </cell>
          <cell r="BM488" t="str">
            <v>Edwardo Capalad Velasco</v>
          </cell>
          <cell r="BN488" t="str">
            <v>Residential</v>
          </cell>
          <cell r="BO488" t="str">
            <v>Structure Owner</v>
          </cell>
          <cell r="FR488" t="str">
            <v>Need Displacement</v>
          </cell>
        </row>
        <row r="489">
          <cell r="AL489" t="str">
            <v>Land Owner</v>
          </cell>
          <cell r="AT489" t="str">
            <v>Y</v>
          </cell>
          <cell r="BM489">
            <v>0</v>
          </cell>
          <cell r="BN489">
            <v>0</v>
          </cell>
          <cell r="BO489">
            <v>0</v>
          </cell>
        </row>
        <row r="490">
          <cell r="AL490" t="str">
            <v>Land Owner</v>
          </cell>
          <cell r="BM490">
            <v>0</v>
          </cell>
          <cell r="BN490">
            <v>0</v>
          </cell>
          <cell r="BO490">
            <v>0</v>
          </cell>
        </row>
        <row r="491">
          <cell r="AL491" t="str">
            <v>Land Lessee</v>
          </cell>
          <cell r="BM491" t="str">
            <v>Ronnie Bernabe</v>
          </cell>
          <cell r="BN491" t="str">
            <v>Mixed use</v>
          </cell>
          <cell r="BO491" t="str">
            <v>Structure Owner</v>
          </cell>
          <cell r="FR491" t="str">
            <v>Need Displacement</v>
          </cell>
        </row>
        <row r="492">
          <cell r="AL492" t="str">
            <v>Land Lessee</v>
          </cell>
          <cell r="BM492">
            <v>0</v>
          </cell>
          <cell r="BN492">
            <v>0</v>
          </cell>
          <cell r="BO492" t="str">
            <v>Commercial Tenant</v>
          </cell>
        </row>
        <row r="493">
          <cell r="AL493" t="str">
            <v>Land Dweller</v>
          </cell>
          <cell r="AT493" t="str">
            <v>Y</v>
          </cell>
          <cell r="BM493" t="str">
            <v>Mark James Sayson</v>
          </cell>
          <cell r="BN493" t="str">
            <v>Residential</v>
          </cell>
          <cell r="BO493" t="str">
            <v>Structure Owner</v>
          </cell>
        </row>
        <row r="494">
          <cell r="AL494" t="str">
            <v>Land Lessee</v>
          </cell>
          <cell r="BM494">
            <v>0</v>
          </cell>
          <cell r="BN494">
            <v>0</v>
          </cell>
          <cell r="BO494" t="str">
            <v>Structure Renter</v>
          </cell>
          <cell r="FR494" t="str">
            <v>Can Stay</v>
          </cell>
        </row>
        <row r="495">
          <cell r="AL495" t="str">
            <v>Land Dweller</v>
          </cell>
          <cell r="AT495" t="str">
            <v>Y</v>
          </cell>
          <cell r="BM495" t="str">
            <v>Gerardo Sayson</v>
          </cell>
          <cell r="BN495" t="str">
            <v>Residential</v>
          </cell>
          <cell r="BO495" t="str">
            <v>Structure Owner</v>
          </cell>
          <cell r="FR495" t="str">
            <v>Need Displacement</v>
          </cell>
        </row>
        <row r="496">
          <cell r="AL496" t="str">
            <v>Land Owner</v>
          </cell>
          <cell r="AT496" t="str">
            <v>Y</v>
          </cell>
          <cell r="BM496" t="str">
            <v>Vilmo Silvederio</v>
          </cell>
          <cell r="BN496" t="str">
            <v>Residential</v>
          </cell>
          <cell r="BO496" t="str">
            <v>Structure Owner</v>
          </cell>
          <cell r="FR496" t="str">
            <v>Can Stay</v>
          </cell>
        </row>
        <row r="497">
          <cell r="AL497" t="str">
            <v>Land Dweller</v>
          </cell>
          <cell r="AT497" t="str">
            <v>Y</v>
          </cell>
          <cell r="BM497" t="str">
            <v>Ofelia Silvederio</v>
          </cell>
          <cell r="BN497" t="str">
            <v>Mixed use</v>
          </cell>
          <cell r="BO497" t="str">
            <v>Structure Owner</v>
          </cell>
          <cell r="FR497" t="str">
            <v>Can Stay</v>
          </cell>
        </row>
        <row r="498">
          <cell r="AL498" t="str">
            <v>ISF</v>
          </cell>
          <cell r="BM498" t="str">
            <v>Ronnie Dizon</v>
          </cell>
          <cell r="BN498" t="str">
            <v>Residential</v>
          </cell>
          <cell r="BO498" t="str">
            <v>Structure Owner</v>
          </cell>
          <cell r="FR498" t="str">
            <v>Can Stay (ACCESS BLOCK)</v>
          </cell>
        </row>
        <row r="499">
          <cell r="AL499" t="str">
            <v>ISF</v>
          </cell>
          <cell r="BM499" t="str">
            <v>Helena/Jeffrie Lorente</v>
          </cell>
          <cell r="BN499" t="str">
            <v>Residential</v>
          </cell>
          <cell r="BO499" t="str">
            <v>Structure Owner</v>
          </cell>
          <cell r="FR499" t="str">
            <v>Need Displacement</v>
          </cell>
        </row>
        <row r="500">
          <cell r="AL500" t="str">
            <v>ISF</v>
          </cell>
          <cell r="BM500" t="str">
            <v>Jackielou Letada Cardona</v>
          </cell>
          <cell r="BN500" t="str">
            <v>Residential</v>
          </cell>
          <cell r="BO500" t="str">
            <v>Structure Owner</v>
          </cell>
          <cell r="FR500" t="str">
            <v>Need Displacement</v>
          </cell>
        </row>
        <row r="501">
          <cell r="AL501" t="str">
            <v>ISF</v>
          </cell>
          <cell r="BM501" t="str">
            <v>Richard Christian Ahyong</v>
          </cell>
          <cell r="BN501" t="str">
            <v>Residential</v>
          </cell>
          <cell r="BO501" t="str">
            <v>Structure Owner</v>
          </cell>
          <cell r="FR501" t="str">
            <v>Need Displacement</v>
          </cell>
        </row>
        <row r="502">
          <cell r="AL502" t="str">
            <v>ISF</v>
          </cell>
          <cell r="BM502" t="str">
            <v>Ana E.Morilla</v>
          </cell>
          <cell r="BN502" t="str">
            <v>Residential</v>
          </cell>
          <cell r="BO502" t="str">
            <v>Structure Owner</v>
          </cell>
          <cell r="FR502" t="str">
            <v>Can Stay (ACCESS BLOCK)</v>
          </cell>
        </row>
        <row r="503">
          <cell r="AL503" t="str">
            <v>ISF</v>
          </cell>
          <cell r="BM503" t="str">
            <v>Andres Montalana Aserios</v>
          </cell>
          <cell r="BN503" t="str">
            <v>Mixed use</v>
          </cell>
          <cell r="BO503" t="str">
            <v>Structure Owner</v>
          </cell>
          <cell r="FR503" t="str">
            <v>Can Stay (Commercial Area/Entire Structure)</v>
          </cell>
        </row>
        <row r="504">
          <cell r="AL504" t="str">
            <v>ISF</v>
          </cell>
          <cell r="BM504" t="str">
            <v>Priscilla Recto Tarlac</v>
          </cell>
          <cell r="BN504" t="str">
            <v>Mixed use</v>
          </cell>
          <cell r="BO504" t="str">
            <v>Structure Owner</v>
          </cell>
          <cell r="FR504" t="str">
            <v>Need Displacement</v>
          </cell>
        </row>
        <row r="505">
          <cell r="AL505" t="str">
            <v>ISF</v>
          </cell>
          <cell r="BM505" t="str">
            <v>Jaosn Moldez Unat</v>
          </cell>
          <cell r="BN505" t="str">
            <v>Residential</v>
          </cell>
          <cell r="BO505" t="str">
            <v>Structure Owner</v>
          </cell>
          <cell r="FR505" t="str">
            <v>Need Displacement</v>
          </cell>
        </row>
        <row r="506">
          <cell r="AL506" t="str">
            <v>ISF</v>
          </cell>
          <cell r="BM506" t="str">
            <v>John Rogel Ricafort</v>
          </cell>
          <cell r="BN506" t="str">
            <v>Residential</v>
          </cell>
          <cell r="BO506" t="str">
            <v>Structure Owner</v>
          </cell>
          <cell r="FR506" t="str">
            <v>Need Displacement</v>
          </cell>
        </row>
        <row r="507">
          <cell r="AL507" t="str">
            <v>ISF</v>
          </cell>
          <cell r="BM507" t="str">
            <v>Rogelio Ricafort</v>
          </cell>
          <cell r="BN507" t="str">
            <v>Residential</v>
          </cell>
          <cell r="BO507" t="str">
            <v>Structure Owner</v>
          </cell>
          <cell r="FR507" t="str">
            <v>Need Displacement</v>
          </cell>
        </row>
        <row r="508">
          <cell r="AL508" t="str">
            <v>ISF</v>
          </cell>
          <cell r="BM508">
            <v>0</v>
          </cell>
          <cell r="BN508">
            <v>0</v>
          </cell>
          <cell r="BO508" t="str">
            <v>Co-Owner</v>
          </cell>
          <cell r="FR508" t="str">
            <v>Need Displacement</v>
          </cell>
        </row>
        <row r="509">
          <cell r="AL509" t="str">
            <v>ISF</v>
          </cell>
          <cell r="BM509" t="str">
            <v>Solomon, Vincent Modesto</v>
          </cell>
          <cell r="BN509">
            <v>0</v>
          </cell>
          <cell r="BO509">
            <v>0</v>
          </cell>
          <cell r="FR509" t="str">
            <v>Need Displacement</v>
          </cell>
        </row>
        <row r="510">
          <cell r="AL510" t="str">
            <v>ISF</v>
          </cell>
          <cell r="BM510" t="str">
            <v>Torres, Oscar</v>
          </cell>
          <cell r="BN510">
            <v>0</v>
          </cell>
          <cell r="BO510" t="str">
            <v>Structure Renter</v>
          </cell>
          <cell r="FR510" t="str">
            <v>Need Displacement</v>
          </cell>
        </row>
        <row r="511">
          <cell r="AL511" t="str">
            <v>ISF</v>
          </cell>
          <cell r="BM511" t="str">
            <v>Jeffrey Carel</v>
          </cell>
          <cell r="BN511" t="str">
            <v>Residential</v>
          </cell>
          <cell r="BO511" t="str">
            <v>Structure Owner</v>
          </cell>
          <cell r="FR511" t="str">
            <v>Need Displacement</v>
          </cell>
        </row>
        <row r="512">
          <cell r="AL512" t="str">
            <v>ISF</v>
          </cell>
          <cell r="BM512" t="str">
            <v>Evangeline C. Ajero</v>
          </cell>
          <cell r="BN512" t="str">
            <v>Residential</v>
          </cell>
          <cell r="BO512" t="str">
            <v>Structure Owner</v>
          </cell>
          <cell r="FR512" t="str">
            <v>Need Displacement</v>
          </cell>
        </row>
        <row r="513">
          <cell r="AL513" t="str">
            <v>ISF</v>
          </cell>
          <cell r="BM513" t="str">
            <v>Naga, Benjamin Castro</v>
          </cell>
          <cell r="BN513" t="str">
            <v>Residential</v>
          </cell>
          <cell r="BO513" t="str">
            <v>Structure Owner</v>
          </cell>
          <cell r="FR513" t="str">
            <v>Can Stay (ACCESS BLOCK)</v>
          </cell>
        </row>
        <row r="514">
          <cell r="AL514" t="str">
            <v>ISF</v>
          </cell>
          <cell r="BM514" t="str">
            <v>Antonio Evangelista</v>
          </cell>
          <cell r="BN514" t="str">
            <v>Residential</v>
          </cell>
          <cell r="BO514" t="str">
            <v>Structure Owner</v>
          </cell>
          <cell r="FR514" t="str">
            <v>Need Displacement</v>
          </cell>
        </row>
        <row r="515">
          <cell r="AL515" t="str">
            <v>ISF</v>
          </cell>
          <cell r="BM515" t="str">
            <v>Michael Bernardino</v>
          </cell>
          <cell r="BN515" t="str">
            <v>Commercial</v>
          </cell>
          <cell r="BO515" t="str">
            <v>Commercial Tenant</v>
          </cell>
          <cell r="FR515" t="str">
            <v>Need Displacement</v>
          </cell>
        </row>
        <row r="516">
          <cell r="AL516" t="str">
            <v>Land Owner</v>
          </cell>
          <cell r="AT516">
            <v>0</v>
          </cell>
          <cell r="BM516" t="str">
            <v>Carlito Magtalas Favor</v>
          </cell>
          <cell r="BN516" t="str">
            <v>Residential</v>
          </cell>
          <cell r="BO516" t="str">
            <v>Structure Owner</v>
          </cell>
          <cell r="FR516" t="str">
            <v>Can Stay</v>
          </cell>
        </row>
        <row r="517">
          <cell r="AL517" t="str">
            <v>Land Owner</v>
          </cell>
          <cell r="AT517">
            <v>0</v>
          </cell>
          <cell r="BM517" t="str">
            <v>Mercedes Perez Jose</v>
          </cell>
          <cell r="BN517" t="str">
            <v>Residential</v>
          </cell>
          <cell r="BO517" t="str">
            <v>Structure Owner</v>
          </cell>
          <cell r="FR517" t="str">
            <v>Need Displacement</v>
          </cell>
        </row>
        <row r="518">
          <cell r="AL518" t="str">
            <v>ISF</v>
          </cell>
          <cell r="BM518" t="str">
            <v>Jonathan C. Udan</v>
          </cell>
          <cell r="BN518" t="str">
            <v>Residential</v>
          </cell>
          <cell r="BO518" t="str">
            <v>Structure Owner</v>
          </cell>
          <cell r="FR518" t="str">
            <v>Need Displacement</v>
          </cell>
        </row>
        <row r="519">
          <cell r="AL519" t="str">
            <v>ISF</v>
          </cell>
          <cell r="BM519" t="str">
            <v>Corazon Santiago/Alfredo Santiago</v>
          </cell>
          <cell r="BN519" t="str">
            <v>Residential</v>
          </cell>
          <cell r="BO519" t="str">
            <v>Structure Owner</v>
          </cell>
          <cell r="FR519" t="str">
            <v>Need Displacement</v>
          </cell>
        </row>
        <row r="520">
          <cell r="AL520" t="str">
            <v>ISF</v>
          </cell>
          <cell r="AT520">
            <v>0</v>
          </cell>
          <cell r="BM520" t="str">
            <v>Eloisa Jose Castro</v>
          </cell>
          <cell r="BN520" t="str">
            <v>Residential</v>
          </cell>
          <cell r="BO520" t="str">
            <v>Co-Owner</v>
          </cell>
          <cell r="FR520" t="str">
            <v>Need Displacement</v>
          </cell>
        </row>
        <row r="521">
          <cell r="AL521" t="str">
            <v>ISF</v>
          </cell>
          <cell r="AT521">
            <v>0</v>
          </cell>
          <cell r="BM521" t="str">
            <v>Kristine Marie T. Dumalag</v>
          </cell>
          <cell r="BN521" t="str">
            <v>Residential</v>
          </cell>
          <cell r="BO521" t="str">
            <v>Co-Owner</v>
          </cell>
          <cell r="FR521" t="str">
            <v>Need Displacement</v>
          </cell>
        </row>
        <row r="522">
          <cell r="AL522" t="str">
            <v>ISF</v>
          </cell>
          <cell r="BM522">
            <v>0</v>
          </cell>
          <cell r="BN522">
            <v>0</v>
          </cell>
          <cell r="BO522">
            <v>0</v>
          </cell>
        </row>
        <row r="523">
          <cell r="AL523" t="str">
            <v>Land Owner</v>
          </cell>
          <cell r="AT523">
            <v>0</v>
          </cell>
          <cell r="BM523" t="str">
            <v>Alicia B. Abellana</v>
          </cell>
          <cell r="BN523" t="str">
            <v>Residential</v>
          </cell>
          <cell r="BO523" t="str">
            <v>Structure Owner</v>
          </cell>
          <cell r="FR523" t="str">
            <v>Need Displacement</v>
          </cell>
        </row>
        <row r="524">
          <cell r="AL524" t="str">
            <v>Land Dweller</v>
          </cell>
          <cell r="AT524">
            <v>0</v>
          </cell>
          <cell r="BM524">
            <v>0</v>
          </cell>
          <cell r="BN524">
            <v>0</v>
          </cell>
          <cell r="BO524" t="str">
            <v>Co-Owner</v>
          </cell>
          <cell r="FR524" t="str">
            <v>Need Displacement</v>
          </cell>
        </row>
        <row r="525">
          <cell r="AL525" t="str">
            <v>Land Owner</v>
          </cell>
          <cell r="AT525">
            <v>0</v>
          </cell>
          <cell r="BM525" t="str">
            <v>Remedios Mendoza Manansala</v>
          </cell>
          <cell r="BN525" t="str">
            <v>Residential</v>
          </cell>
          <cell r="BO525" t="str">
            <v>Structure Owner</v>
          </cell>
          <cell r="FR525" t="str">
            <v>Need Displacement</v>
          </cell>
        </row>
        <row r="526">
          <cell r="AL526" t="str">
            <v>Land Owner</v>
          </cell>
          <cell r="BM526" t="str">
            <v>Vicente G. Pascual</v>
          </cell>
          <cell r="BN526" t="str">
            <v>Residential</v>
          </cell>
          <cell r="BO526" t="str">
            <v>Structure Owner</v>
          </cell>
          <cell r="FR526" t="str">
            <v>Need Displacement</v>
          </cell>
        </row>
        <row r="527">
          <cell r="AL527" t="str">
            <v>Land Dweller</v>
          </cell>
          <cell r="AT527">
            <v>0</v>
          </cell>
          <cell r="BM527">
            <v>0</v>
          </cell>
          <cell r="BN527" t="str">
            <v>Residential</v>
          </cell>
          <cell r="BO527" t="str">
            <v>Co-Owner</v>
          </cell>
          <cell r="FR527" t="str">
            <v>Need Displacement</v>
          </cell>
        </row>
        <row r="528">
          <cell r="AL528" t="str">
            <v>Land Owner</v>
          </cell>
          <cell r="AT528">
            <v>0</v>
          </cell>
          <cell r="BM528" t="str">
            <v>Gloria Bungad Espino</v>
          </cell>
          <cell r="BN528" t="str">
            <v>Industrial</v>
          </cell>
          <cell r="BO528" t="str">
            <v>Structure Owner</v>
          </cell>
          <cell r="FR528" t="str">
            <v>Need Displacement</v>
          </cell>
        </row>
        <row r="529">
          <cell r="AL529" t="str">
            <v>Land Lessee</v>
          </cell>
          <cell r="AT529">
            <v>0</v>
          </cell>
          <cell r="BM529" t="str">
            <v>Andalino Linsin Bungad</v>
          </cell>
          <cell r="BN529" t="str">
            <v>Commercial</v>
          </cell>
          <cell r="BO529" t="str">
            <v>Commercial Tenant</v>
          </cell>
          <cell r="FR529" t="str">
            <v>Need Displacement</v>
          </cell>
        </row>
        <row r="530">
          <cell r="AL530" t="str">
            <v>Land Owner</v>
          </cell>
          <cell r="AT530">
            <v>0</v>
          </cell>
          <cell r="BM530" t="str">
            <v>Gerry P. Dela Cruz/ Alexander Ico</v>
          </cell>
          <cell r="BN530" t="str">
            <v>Industrial</v>
          </cell>
          <cell r="BO530" t="str">
            <v>Structure Owner</v>
          </cell>
        </row>
        <row r="531">
          <cell r="AL531" t="str">
            <v>Land Dweller</v>
          </cell>
          <cell r="AT531">
            <v>0</v>
          </cell>
          <cell r="BM531">
            <v>0</v>
          </cell>
          <cell r="BN531">
            <v>0</v>
          </cell>
          <cell r="BO531" t="str">
            <v>Co-Owner</v>
          </cell>
          <cell r="FR531" t="str">
            <v>Can Stay (ACCESS BLOCK)</v>
          </cell>
        </row>
        <row r="532">
          <cell r="AL532" t="str">
            <v>ISF</v>
          </cell>
          <cell r="AT532">
            <v>0</v>
          </cell>
          <cell r="BM532" t="str">
            <v>Romeo Moronia De Leon Jr</v>
          </cell>
          <cell r="BN532" t="str">
            <v>Residential</v>
          </cell>
          <cell r="BO532" t="str">
            <v>Structure Owner</v>
          </cell>
          <cell r="FR532" t="str">
            <v>Need Displacement</v>
          </cell>
        </row>
        <row r="533">
          <cell r="AL533" t="str">
            <v>Land Owner</v>
          </cell>
          <cell r="AT533">
            <v>0</v>
          </cell>
          <cell r="BM533" t="str">
            <v>Ofelia Ochoa Ico</v>
          </cell>
          <cell r="BN533" t="str">
            <v>Commercial</v>
          </cell>
          <cell r="BO533" t="str">
            <v>Structure Owner</v>
          </cell>
          <cell r="FR533" t="str">
            <v>Need Displacement</v>
          </cell>
        </row>
        <row r="534">
          <cell r="AL534" t="str">
            <v>Land Lessee</v>
          </cell>
          <cell r="AT534">
            <v>0</v>
          </cell>
          <cell r="BM534">
            <v>0</v>
          </cell>
          <cell r="BN534">
            <v>0</v>
          </cell>
          <cell r="BO534" t="str">
            <v>Structure Renter</v>
          </cell>
        </row>
        <row r="535">
          <cell r="AL535" t="str">
            <v>ISF</v>
          </cell>
          <cell r="AT535">
            <v>0</v>
          </cell>
          <cell r="BM535" t="str">
            <v>Norberte, Rodelyn Ortiz</v>
          </cell>
          <cell r="BN535" t="str">
            <v>Residential</v>
          </cell>
          <cell r="BO535" t="str">
            <v>Structure Owner</v>
          </cell>
          <cell r="FR535" t="str">
            <v>Can Stay</v>
          </cell>
        </row>
        <row r="536">
          <cell r="AL536" t="str">
            <v>ISF</v>
          </cell>
          <cell r="AT536">
            <v>0</v>
          </cell>
          <cell r="BM536" t="str">
            <v>Jocelyn Lukas</v>
          </cell>
          <cell r="BN536" t="str">
            <v>Residential</v>
          </cell>
          <cell r="BO536" t="str">
            <v>Structure Owner</v>
          </cell>
          <cell r="FR536" t="str">
            <v>Can Stay</v>
          </cell>
        </row>
        <row r="537">
          <cell r="AL537" t="str">
            <v>Land Owner</v>
          </cell>
          <cell r="AT537">
            <v>0</v>
          </cell>
          <cell r="BM537" t="str">
            <v>Danilo Limpin Cabael</v>
          </cell>
          <cell r="BN537" t="str">
            <v>Residential</v>
          </cell>
          <cell r="BO537" t="str">
            <v>Structure Owner</v>
          </cell>
          <cell r="FR537" t="str">
            <v>Need Displacement</v>
          </cell>
        </row>
        <row r="538">
          <cell r="AL538" t="str">
            <v>Land Owner</v>
          </cell>
          <cell r="AT538">
            <v>0</v>
          </cell>
          <cell r="BM538" t="str">
            <v>Romnick Sanorho Hernandez</v>
          </cell>
          <cell r="BN538" t="str">
            <v>Residential</v>
          </cell>
          <cell r="BO538" t="str">
            <v>Structure Owner</v>
          </cell>
          <cell r="FR538" t="str">
            <v>Need Displacement</v>
          </cell>
        </row>
        <row r="539">
          <cell r="AL539" t="str">
            <v>Land Owner</v>
          </cell>
          <cell r="AT539">
            <v>0</v>
          </cell>
          <cell r="BM539" t="str">
            <v>Celso Aran Limpin</v>
          </cell>
          <cell r="BN539" t="str">
            <v>Residential</v>
          </cell>
          <cell r="BO539" t="str">
            <v>Structure Owner</v>
          </cell>
          <cell r="FR539" t="str">
            <v>Need Displacement</v>
          </cell>
        </row>
        <row r="540">
          <cell r="AL540" t="str">
            <v>Land Owner</v>
          </cell>
          <cell r="AT540">
            <v>0</v>
          </cell>
          <cell r="BM540" t="str">
            <v>Merly Velasco Limpin</v>
          </cell>
          <cell r="BN540" t="str">
            <v>Residential</v>
          </cell>
          <cell r="BO540" t="str">
            <v>Structure Owner</v>
          </cell>
          <cell r="FR540" t="str">
            <v>Need Displacement</v>
          </cell>
        </row>
        <row r="541">
          <cell r="AL541" t="str">
            <v>ISF</v>
          </cell>
          <cell r="AT541">
            <v>0</v>
          </cell>
          <cell r="BM541" t="str">
            <v>Amelia Cruz Manzo</v>
          </cell>
          <cell r="BN541" t="str">
            <v>Residential</v>
          </cell>
          <cell r="BO541" t="str">
            <v>Structure Owner</v>
          </cell>
          <cell r="FR541" t="str">
            <v>Need Displacement</v>
          </cell>
        </row>
        <row r="542">
          <cell r="AL542" t="str">
            <v>Land Owner</v>
          </cell>
          <cell r="AT542">
            <v>0</v>
          </cell>
          <cell r="BM542" t="str">
            <v>Arnolfo Palisoc Cruz</v>
          </cell>
          <cell r="BN542" t="str">
            <v>Residential</v>
          </cell>
          <cell r="BO542" t="str">
            <v>Structure Owner</v>
          </cell>
          <cell r="FR542" t="str">
            <v>Can Stay</v>
          </cell>
        </row>
        <row r="543">
          <cell r="AL543" t="str">
            <v>Land Owner</v>
          </cell>
          <cell r="AT543">
            <v>0</v>
          </cell>
          <cell r="BM543" t="str">
            <v>Anselmo P. Cruz</v>
          </cell>
          <cell r="BN543" t="str">
            <v>Residential</v>
          </cell>
          <cell r="BO543" t="str">
            <v>Structure Owner</v>
          </cell>
          <cell r="FR543" t="str">
            <v>Can Stay</v>
          </cell>
        </row>
        <row r="544">
          <cell r="AL544" t="str">
            <v>Land Owner</v>
          </cell>
          <cell r="BM544">
            <v>0</v>
          </cell>
          <cell r="BN544">
            <v>0</v>
          </cell>
          <cell r="BO544" t="str">
            <v>Sharer</v>
          </cell>
        </row>
        <row r="545">
          <cell r="AL545" t="str">
            <v>Land Dweller</v>
          </cell>
          <cell r="AT545">
            <v>0</v>
          </cell>
          <cell r="BM545" t="str">
            <v>Ryan Resurreccion</v>
          </cell>
          <cell r="BN545" t="str">
            <v>Residential</v>
          </cell>
          <cell r="BO545" t="str">
            <v>Structure Owner</v>
          </cell>
          <cell r="FR545" t="str">
            <v>Need Displacement</v>
          </cell>
        </row>
        <row r="546">
          <cell r="AL546" t="str">
            <v>Land Dweller</v>
          </cell>
          <cell r="BM546">
            <v>0</v>
          </cell>
          <cell r="BN546">
            <v>0</v>
          </cell>
          <cell r="BO546" t="str">
            <v>Sharer</v>
          </cell>
        </row>
        <row r="547">
          <cell r="AL547" t="str">
            <v>Land Owner</v>
          </cell>
          <cell r="BM547" t="str">
            <v>Iluminado Ofred Ablen</v>
          </cell>
          <cell r="BN547" t="str">
            <v>Residential</v>
          </cell>
          <cell r="BO547" t="str">
            <v>Structure Owner</v>
          </cell>
          <cell r="FR547" t="str">
            <v>Need Displacement</v>
          </cell>
        </row>
        <row r="548">
          <cell r="AL548" t="str">
            <v>ISF</v>
          </cell>
          <cell r="AT548">
            <v>0</v>
          </cell>
          <cell r="BM548" t="str">
            <v>Anna Rose Viovicente Sambayon</v>
          </cell>
          <cell r="BN548" t="str">
            <v>Residential</v>
          </cell>
          <cell r="BO548" t="str">
            <v>Structure Owner</v>
          </cell>
          <cell r="FR548" t="str">
            <v>Need Displacement</v>
          </cell>
        </row>
        <row r="549">
          <cell r="AL549" t="str">
            <v>ISF</v>
          </cell>
          <cell r="BM549" t="str">
            <v>Aurea Orito</v>
          </cell>
          <cell r="BN549" t="str">
            <v>Residential</v>
          </cell>
          <cell r="BO549" t="str">
            <v>Structure Owner</v>
          </cell>
          <cell r="FR549" t="str">
            <v>Need Displacement</v>
          </cell>
        </row>
        <row r="550">
          <cell r="AL550" t="str">
            <v>ISF</v>
          </cell>
          <cell r="BM550" t="str">
            <v>Lenny Navarro Siongco</v>
          </cell>
          <cell r="BN550" t="str">
            <v>Residential</v>
          </cell>
          <cell r="BO550" t="str">
            <v>Structure Owner</v>
          </cell>
          <cell r="FR550" t="str">
            <v>Need Displacement</v>
          </cell>
        </row>
        <row r="551">
          <cell r="AL551" t="str">
            <v>ISF</v>
          </cell>
          <cell r="BM551" t="str">
            <v>Edison Maglagni Navarro</v>
          </cell>
          <cell r="BN551" t="str">
            <v>Residential</v>
          </cell>
          <cell r="BO551" t="str">
            <v>Structure Owner</v>
          </cell>
          <cell r="FR551" t="str">
            <v>Need Displacement</v>
          </cell>
        </row>
        <row r="552">
          <cell r="AL552" t="str">
            <v>ISF</v>
          </cell>
          <cell r="AT552">
            <v>0</v>
          </cell>
          <cell r="BM552" t="str">
            <v>Terrence Ramos Uy</v>
          </cell>
          <cell r="BN552" t="str">
            <v>Mixed use</v>
          </cell>
          <cell r="BO552" t="str">
            <v>Structure Owner</v>
          </cell>
          <cell r="FR552" t="str">
            <v>Need Displacement</v>
          </cell>
        </row>
        <row r="553">
          <cell r="AL553" t="str">
            <v>Land Owner</v>
          </cell>
          <cell r="AT553">
            <v>0</v>
          </cell>
          <cell r="BM553" t="str">
            <v>Luissa Diamsim Antipala</v>
          </cell>
          <cell r="BN553" t="str">
            <v>Residential</v>
          </cell>
          <cell r="BO553" t="str">
            <v>Structure Owner</v>
          </cell>
          <cell r="FR553" t="str">
            <v>Can Stay</v>
          </cell>
        </row>
        <row r="554">
          <cell r="AL554" t="str">
            <v>Land Caretaker</v>
          </cell>
          <cell r="BM554">
            <v>0</v>
          </cell>
          <cell r="BN554">
            <v>0</v>
          </cell>
          <cell r="BO554" t="str">
            <v>Caretaker</v>
          </cell>
          <cell r="FR554" t="str">
            <v>Need Displacement</v>
          </cell>
        </row>
        <row r="555">
          <cell r="AL555" t="str">
            <v>Land Owner</v>
          </cell>
          <cell r="BM555" t="str">
            <v>Dixter Hao Limbunting</v>
          </cell>
          <cell r="BN555" t="str">
            <v>Residential</v>
          </cell>
          <cell r="BO555" t="str">
            <v>Structure Owner</v>
          </cell>
          <cell r="FR555" t="str">
            <v>Need Displacement</v>
          </cell>
        </row>
        <row r="556">
          <cell r="AL556" t="str">
            <v>Land Lessee</v>
          </cell>
          <cell r="BM556">
            <v>0</v>
          </cell>
          <cell r="BN556">
            <v>0</v>
          </cell>
          <cell r="BO556" t="str">
            <v>Commercial Tenant</v>
          </cell>
          <cell r="FR556" t="str">
            <v>Need Displacement</v>
          </cell>
        </row>
        <row r="557">
          <cell r="AL557" t="str">
            <v>Land Dweller</v>
          </cell>
          <cell r="BM557" t="str">
            <v>Japsay, Aileen Basilio</v>
          </cell>
          <cell r="BN557" t="str">
            <v>Residential</v>
          </cell>
          <cell r="BO557" t="str">
            <v>Structure Owner</v>
          </cell>
          <cell r="FR557" t="str">
            <v>Need Displacement</v>
          </cell>
        </row>
        <row r="558">
          <cell r="AL558" t="str">
            <v>ISF</v>
          </cell>
          <cell r="AT558">
            <v>0</v>
          </cell>
          <cell r="BM558" t="str">
            <v>Dindo. Malig-on Dela Peña</v>
          </cell>
          <cell r="BN558" t="str">
            <v>Residential</v>
          </cell>
          <cell r="BO558" t="str">
            <v>Structure Owner</v>
          </cell>
          <cell r="FR558" t="str">
            <v>Need Displacement</v>
          </cell>
        </row>
        <row r="559">
          <cell r="AL559" t="str">
            <v>Land Owner</v>
          </cell>
          <cell r="BM559" t="str">
            <v>Jeffrey Oliver Cuaresma Mendoza/Rodringo Lapita Cuaresma</v>
          </cell>
          <cell r="BN559" t="str">
            <v>Residential</v>
          </cell>
          <cell r="BO559" t="str">
            <v>Structure Owner</v>
          </cell>
          <cell r="FR559" t="str">
            <v>Need Displacement</v>
          </cell>
        </row>
        <row r="560">
          <cell r="AL560" t="str">
            <v>ISF</v>
          </cell>
          <cell r="AT560">
            <v>0</v>
          </cell>
          <cell r="BM560" t="str">
            <v>Charito Sibal Topang</v>
          </cell>
          <cell r="BN560" t="str">
            <v>Residential</v>
          </cell>
          <cell r="BO560" t="str">
            <v>Structure Owner</v>
          </cell>
          <cell r="FR560" t="str">
            <v>Need Displacement</v>
          </cell>
        </row>
        <row r="561">
          <cell r="AL561" t="str">
            <v>Land Owner</v>
          </cell>
          <cell r="AT561">
            <v>0</v>
          </cell>
          <cell r="BM561" t="str">
            <v>Condrado Rivera Balagot/ Brian Rambalan Balagot</v>
          </cell>
          <cell r="BN561" t="str">
            <v>Residential</v>
          </cell>
          <cell r="BO561" t="str">
            <v>Structure Owner</v>
          </cell>
          <cell r="FR561" t="str">
            <v>Need Displacement</v>
          </cell>
        </row>
        <row r="562">
          <cell r="AL562" t="str">
            <v>Land Dweller</v>
          </cell>
          <cell r="BM562">
            <v>0</v>
          </cell>
          <cell r="BN562">
            <v>0</v>
          </cell>
          <cell r="BO562" t="str">
            <v>Structure Owner</v>
          </cell>
          <cell r="FR562" t="str">
            <v>Need Displacement</v>
          </cell>
        </row>
        <row r="563">
          <cell r="AL563" t="str">
            <v>Land Caretaker</v>
          </cell>
          <cell r="BM563">
            <v>0</v>
          </cell>
          <cell r="BN563">
            <v>0</v>
          </cell>
          <cell r="BO563" t="str">
            <v>Caretaker</v>
          </cell>
        </row>
        <row r="564">
          <cell r="AL564" t="str">
            <v>Land Owner</v>
          </cell>
          <cell r="BM564" t="str">
            <v>Lourdes Valencia Diamsin</v>
          </cell>
          <cell r="BN564" t="str">
            <v>Mixed use</v>
          </cell>
          <cell r="BO564" t="str">
            <v>Structure Owner</v>
          </cell>
          <cell r="FR564" t="str">
            <v>Can Stay</v>
          </cell>
        </row>
        <row r="565">
          <cell r="AL565" t="str">
            <v>Land Dweller</v>
          </cell>
          <cell r="BM565">
            <v>0</v>
          </cell>
          <cell r="BN565">
            <v>0</v>
          </cell>
          <cell r="BO565" t="str">
            <v>Structure Owner</v>
          </cell>
        </row>
        <row r="566">
          <cell r="AL566" t="str">
            <v>Land Dweller</v>
          </cell>
          <cell r="BM566">
            <v>0</v>
          </cell>
          <cell r="BN566">
            <v>0</v>
          </cell>
          <cell r="BO566" t="str">
            <v>Sharer</v>
          </cell>
          <cell r="FR566" t="str">
            <v>Need Displacement</v>
          </cell>
        </row>
        <row r="567">
          <cell r="AL567" t="str">
            <v>Land Owner</v>
          </cell>
          <cell r="AT567">
            <v>0</v>
          </cell>
          <cell r="BM567" t="str">
            <v>Nenita A. Sancap &amp; Antonio T. Sangcap</v>
          </cell>
          <cell r="BN567" t="str">
            <v>Mixed use</v>
          </cell>
          <cell r="BO567" t="str">
            <v>Structure Owner</v>
          </cell>
          <cell r="FR567" t="str">
            <v>Can Stay (ACCESS BLOCK)</v>
          </cell>
        </row>
        <row r="568">
          <cell r="AL568" t="str">
            <v>Land Dweller</v>
          </cell>
          <cell r="BM568">
            <v>0</v>
          </cell>
          <cell r="BN568">
            <v>0</v>
          </cell>
          <cell r="BO568" t="str">
            <v>Sharer</v>
          </cell>
        </row>
        <row r="569">
          <cell r="AL569" t="str">
            <v>Land Dweller</v>
          </cell>
          <cell r="BM569">
            <v>0</v>
          </cell>
          <cell r="BN569">
            <v>0</v>
          </cell>
          <cell r="BO569" t="str">
            <v>Sharer</v>
          </cell>
        </row>
        <row r="570">
          <cell r="AL570" t="str">
            <v>Land Dweller</v>
          </cell>
          <cell r="BM570">
            <v>0</v>
          </cell>
          <cell r="BN570">
            <v>0</v>
          </cell>
          <cell r="BO570" t="str">
            <v>Sharer</v>
          </cell>
        </row>
        <row r="571">
          <cell r="AL571" t="str">
            <v>Land Owner</v>
          </cell>
          <cell r="BM571">
            <v>0</v>
          </cell>
          <cell r="BN571">
            <v>0</v>
          </cell>
          <cell r="BO571">
            <v>0</v>
          </cell>
        </row>
        <row r="572">
          <cell r="AL572" t="str">
            <v>Land Owner</v>
          </cell>
          <cell r="AT572">
            <v>0</v>
          </cell>
          <cell r="BM572" t="str">
            <v>Eduardo Francisco Morales</v>
          </cell>
          <cell r="BN572" t="str">
            <v>Industrial</v>
          </cell>
          <cell r="BO572" t="str">
            <v>Structure Owner</v>
          </cell>
          <cell r="FR572" t="str">
            <v>Need Displacement</v>
          </cell>
        </row>
        <row r="573">
          <cell r="AL573" t="str">
            <v>ISF</v>
          </cell>
          <cell r="BM573" t="str">
            <v>Erven Barrera Drice</v>
          </cell>
          <cell r="BN573" t="str">
            <v>Residential</v>
          </cell>
          <cell r="BO573" t="str">
            <v>Structure Owner</v>
          </cell>
          <cell r="FR573" t="str">
            <v>Need Displacement</v>
          </cell>
        </row>
        <row r="574">
          <cell r="AL574" t="str">
            <v>Land Owner</v>
          </cell>
          <cell r="BM574" t="str">
            <v>Leonardo Mabalot Carpio</v>
          </cell>
          <cell r="BN574" t="str">
            <v>Residential</v>
          </cell>
          <cell r="BO574" t="str">
            <v>Structure Owner</v>
          </cell>
          <cell r="FR574" t="str">
            <v>Can Stay</v>
          </cell>
        </row>
        <row r="575">
          <cell r="AL575" t="str">
            <v>Land Dweller</v>
          </cell>
          <cell r="BM575">
            <v>0</v>
          </cell>
          <cell r="BN575">
            <v>0</v>
          </cell>
          <cell r="BO575" t="str">
            <v>Co-Owner</v>
          </cell>
        </row>
        <row r="576">
          <cell r="AL576" t="str">
            <v>Land Dweller</v>
          </cell>
          <cell r="BM576">
            <v>0</v>
          </cell>
          <cell r="BN576">
            <v>0</v>
          </cell>
          <cell r="BO576" t="str">
            <v>Co-Owner</v>
          </cell>
        </row>
        <row r="577">
          <cell r="AL577" t="str">
            <v>Land Dweller</v>
          </cell>
          <cell r="BM577">
            <v>0</v>
          </cell>
          <cell r="BN577">
            <v>0</v>
          </cell>
          <cell r="BO577" t="str">
            <v>Co-Owner</v>
          </cell>
          <cell r="FR577" t="str">
            <v>Can Stay (ACCESS BLOCK)</v>
          </cell>
        </row>
        <row r="578">
          <cell r="AL578" t="str">
            <v>ISF</v>
          </cell>
          <cell r="BM578">
            <v>0</v>
          </cell>
          <cell r="BN578">
            <v>0</v>
          </cell>
          <cell r="BO578">
            <v>0</v>
          </cell>
          <cell r="FR578" t="str">
            <v>Can Stay (ACCESS BLOCK)</v>
          </cell>
        </row>
        <row r="579">
          <cell r="AL579" t="str">
            <v>ISF</v>
          </cell>
          <cell r="BM579" t="str">
            <v>Roger Carpio</v>
          </cell>
          <cell r="BN579" t="str">
            <v>Residential</v>
          </cell>
          <cell r="BO579" t="str">
            <v>Structure Owner</v>
          </cell>
        </row>
        <row r="580">
          <cell r="AL580" t="str">
            <v>Land Lessee</v>
          </cell>
          <cell r="BM580">
            <v>0</v>
          </cell>
          <cell r="BN580">
            <v>0</v>
          </cell>
          <cell r="BO580" t="str">
            <v>Structure Renter</v>
          </cell>
        </row>
        <row r="581">
          <cell r="AL581" t="str">
            <v>Land Lessee</v>
          </cell>
          <cell r="BM581">
            <v>0</v>
          </cell>
          <cell r="BN581">
            <v>0</v>
          </cell>
          <cell r="BO581" t="str">
            <v>Structure Renter</v>
          </cell>
          <cell r="FR581" t="str">
            <v>Need Displacement</v>
          </cell>
        </row>
        <row r="582">
          <cell r="AL582" t="str">
            <v>Land Lessee</v>
          </cell>
          <cell r="BM582">
            <v>0</v>
          </cell>
          <cell r="BN582">
            <v>0</v>
          </cell>
          <cell r="BO582" t="str">
            <v>Structure Renter</v>
          </cell>
        </row>
        <row r="583">
          <cell r="AL583" t="str">
            <v>Land Lessee</v>
          </cell>
          <cell r="BM583">
            <v>0</v>
          </cell>
          <cell r="BN583">
            <v>0</v>
          </cell>
          <cell r="BO583" t="str">
            <v>Structure Renter</v>
          </cell>
        </row>
        <row r="584">
          <cell r="AL584" t="str">
            <v>Land Lessee</v>
          </cell>
          <cell r="BM584">
            <v>0</v>
          </cell>
          <cell r="BN584">
            <v>0</v>
          </cell>
          <cell r="BO584" t="str">
            <v>Structure Renter</v>
          </cell>
        </row>
        <row r="585">
          <cell r="AL585" t="str">
            <v>Land Lessee</v>
          </cell>
          <cell r="BM585">
            <v>0</v>
          </cell>
          <cell r="BN585">
            <v>0</v>
          </cell>
          <cell r="BO585" t="str">
            <v>Structure Renter</v>
          </cell>
        </row>
        <row r="586">
          <cell r="AL586" t="str">
            <v>Land Lessee</v>
          </cell>
          <cell r="BM586">
            <v>0</v>
          </cell>
          <cell r="BN586">
            <v>0</v>
          </cell>
          <cell r="BO586" t="str">
            <v>Structure Renter</v>
          </cell>
          <cell r="FR586" t="str">
            <v>Need Displacement</v>
          </cell>
        </row>
        <row r="587">
          <cell r="AL587" t="str">
            <v>Land Lessee</v>
          </cell>
          <cell r="BM587">
            <v>0</v>
          </cell>
          <cell r="BN587">
            <v>0</v>
          </cell>
          <cell r="BO587" t="str">
            <v>Structure Renter</v>
          </cell>
        </row>
        <row r="588">
          <cell r="AL588" t="str">
            <v>Land Lessee</v>
          </cell>
          <cell r="BM588">
            <v>0</v>
          </cell>
          <cell r="BN588">
            <v>0</v>
          </cell>
          <cell r="BO588" t="str">
            <v>Structure Renter</v>
          </cell>
        </row>
        <row r="589">
          <cell r="AL589" t="str">
            <v>Land Owner</v>
          </cell>
          <cell r="BM589" t="str">
            <v>Jose Estanislao Dela Cruz</v>
          </cell>
          <cell r="BN589" t="str">
            <v>Residential</v>
          </cell>
          <cell r="BO589" t="str">
            <v>Structure Owner</v>
          </cell>
          <cell r="FR589" t="str">
            <v>Need Displacement</v>
          </cell>
        </row>
        <row r="590">
          <cell r="AL590" t="str">
            <v>ISF</v>
          </cell>
          <cell r="AT590">
            <v>0</v>
          </cell>
          <cell r="BM590" t="str">
            <v>Reginald Cantina Dela Cruz</v>
          </cell>
          <cell r="BN590" t="str">
            <v>Residential</v>
          </cell>
          <cell r="BO590" t="str">
            <v>Structure Owner</v>
          </cell>
          <cell r="FR590" t="str">
            <v>Need Displacement</v>
          </cell>
        </row>
        <row r="591">
          <cell r="AL591" t="str">
            <v>ISF</v>
          </cell>
          <cell r="AT591">
            <v>0</v>
          </cell>
          <cell r="BM591" t="str">
            <v>Jocelyn Dinglas Genon</v>
          </cell>
          <cell r="BN591" t="str">
            <v>Residential</v>
          </cell>
          <cell r="BO591" t="str">
            <v>Structure Owner</v>
          </cell>
          <cell r="FR591" t="str">
            <v>Need Displacement</v>
          </cell>
        </row>
        <row r="592">
          <cell r="AL592" t="str">
            <v>Land Owner</v>
          </cell>
          <cell r="AT592">
            <v>0</v>
          </cell>
          <cell r="BM592" t="str">
            <v>Rosario Estanislao Dela Cruz</v>
          </cell>
          <cell r="BN592" t="str">
            <v>Residential</v>
          </cell>
          <cell r="BO592" t="str">
            <v>Structure Owner</v>
          </cell>
          <cell r="FR592" t="str">
            <v>Need Displacement</v>
          </cell>
        </row>
        <row r="593">
          <cell r="AL593" t="str">
            <v>Land Owner</v>
          </cell>
          <cell r="AT593">
            <v>0</v>
          </cell>
          <cell r="BM593" t="str">
            <v>Adrian Mendonez Hagos</v>
          </cell>
          <cell r="BN593" t="str">
            <v>Residential</v>
          </cell>
          <cell r="BO593" t="str">
            <v>Structure Owner</v>
          </cell>
          <cell r="FR593" t="str">
            <v>Need Displacement</v>
          </cell>
        </row>
        <row r="594">
          <cell r="AL594" t="str">
            <v>Land Owner</v>
          </cell>
          <cell r="AT594">
            <v>0</v>
          </cell>
          <cell r="BM594" t="str">
            <v>Cayetano Sagayno Carceller</v>
          </cell>
          <cell r="BN594" t="str">
            <v>Residential</v>
          </cell>
          <cell r="BO594" t="str">
            <v>Structure Owner</v>
          </cell>
          <cell r="FR594" t="str">
            <v>Need Displacement</v>
          </cell>
        </row>
        <row r="595">
          <cell r="AL595" t="str">
            <v>Land Owner</v>
          </cell>
          <cell r="AT595">
            <v>0</v>
          </cell>
          <cell r="BM595" t="str">
            <v>Nativdad Sumira Cruz/Joena May Dela Cruz Reyes (Absentee)</v>
          </cell>
          <cell r="BN595" t="str">
            <v>Residential</v>
          </cell>
          <cell r="BO595" t="str">
            <v>Structure Owner</v>
          </cell>
          <cell r="FR595" t="str">
            <v>Can Stay</v>
          </cell>
        </row>
        <row r="596">
          <cell r="AL596" t="str">
            <v>ISF</v>
          </cell>
          <cell r="AT596">
            <v>0</v>
          </cell>
          <cell r="BM596" t="str">
            <v>Teodulo Carillo Acompañado</v>
          </cell>
          <cell r="BN596" t="str">
            <v>Residential</v>
          </cell>
          <cell r="BO596" t="str">
            <v>Structure Renter</v>
          </cell>
          <cell r="FR596" t="str">
            <v>Need Displacement</v>
          </cell>
        </row>
        <row r="597">
          <cell r="AL597" t="str">
            <v>ISF</v>
          </cell>
          <cell r="AT597">
            <v>0</v>
          </cell>
          <cell r="BM597" t="str">
            <v>Leticia M. Llandoc (Absentee)</v>
          </cell>
          <cell r="BN597" t="str">
            <v>Residential</v>
          </cell>
          <cell r="BO597" t="str">
            <v>Co-Owner</v>
          </cell>
          <cell r="FR597" t="str">
            <v>Can Stay</v>
          </cell>
        </row>
        <row r="598">
          <cell r="AL598" t="str">
            <v>ISF</v>
          </cell>
          <cell r="AT598">
            <v>0</v>
          </cell>
          <cell r="BM598">
            <v>0</v>
          </cell>
          <cell r="BN598">
            <v>0</v>
          </cell>
          <cell r="BO598" t="str">
            <v>Co-Owner</v>
          </cell>
          <cell r="FR598" t="str">
            <v>Can Stay</v>
          </cell>
        </row>
        <row r="599">
          <cell r="AL599" t="str">
            <v>ISF</v>
          </cell>
          <cell r="AT599">
            <v>0</v>
          </cell>
          <cell r="BM599">
            <v>0</v>
          </cell>
          <cell r="BN599">
            <v>0</v>
          </cell>
          <cell r="BO599" t="str">
            <v>Co-Owner</v>
          </cell>
          <cell r="FR599" t="str">
            <v>Can Stay</v>
          </cell>
        </row>
        <row r="600">
          <cell r="AL600" t="str">
            <v>ISF</v>
          </cell>
          <cell r="AT600">
            <v>0</v>
          </cell>
          <cell r="BM600">
            <v>0</v>
          </cell>
          <cell r="BN600">
            <v>0</v>
          </cell>
          <cell r="BO600" t="str">
            <v>Co-Owner</v>
          </cell>
          <cell r="FR600" t="str">
            <v>Can Stay</v>
          </cell>
        </row>
        <row r="601">
          <cell r="AL601" t="str">
            <v>ISF</v>
          </cell>
          <cell r="BM601" t="str">
            <v>Saoquillo, Reynalyn De Guzman</v>
          </cell>
          <cell r="BN601" t="str">
            <v>Residential</v>
          </cell>
          <cell r="BO601" t="str">
            <v>Structure Owner</v>
          </cell>
          <cell r="FR601" t="str">
            <v>Need Displacement</v>
          </cell>
        </row>
        <row r="602">
          <cell r="AL602" t="str">
            <v>Land Owner</v>
          </cell>
          <cell r="AT602">
            <v>0</v>
          </cell>
          <cell r="BM602" t="str">
            <v>Ereneo Paraiso Gamboa &amp; Cesar Gamboa</v>
          </cell>
          <cell r="BN602" t="str">
            <v>Residential</v>
          </cell>
          <cell r="BO602" t="str">
            <v>Co-Owner</v>
          </cell>
          <cell r="FR602" t="str">
            <v>Can Stay</v>
          </cell>
        </row>
        <row r="603">
          <cell r="AL603" t="str">
            <v>Land Lessee</v>
          </cell>
          <cell r="BM603">
            <v>0</v>
          </cell>
          <cell r="BN603">
            <v>0</v>
          </cell>
          <cell r="BO603" t="str">
            <v>Structure Renter</v>
          </cell>
          <cell r="FR603" t="str">
            <v>Can Stay</v>
          </cell>
        </row>
        <row r="604">
          <cell r="AL604" t="str">
            <v>Land Lessee</v>
          </cell>
          <cell r="AT604">
            <v>0</v>
          </cell>
          <cell r="BM604">
            <v>0</v>
          </cell>
          <cell r="BN604">
            <v>0</v>
          </cell>
          <cell r="BO604" t="str">
            <v>Structure Renter</v>
          </cell>
          <cell r="FR604" t="str">
            <v>Can Stay</v>
          </cell>
        </row>
        <row r="605">
          <cell r="AL605" t="str">
            <v>Land Owner</v>
          </cell>
          <cell r="AT605">
            <v>0</v>
          </cell>
          <cell r="BM605" t="str">
            <v>Ronald Paraiso Gamboa</v>
          </cell>
          <cell r="BN605" t="str">
            <v>Residential</v>
          </cell>
          <cell r="BO605" t="str">
            <v>Structure Owner</v>
          </cell>
          <cell r="FR605" t="str">
            <v>Can Stay</v>
          </cell>
        </row>
        <row r="606">
          <cell r="AL606" t="str">
            <v>Land Owner</v>
          </cell>
          <cell r="AT606">
            <v>0</v>
          </cell>
          <cell r="BM606" t="str">
            <v>Margarita Gamboa Maramba</v>
          </cell>
          <cell r="BN606" t="str">
            <v>Residential</v>
          </cell>
          <cell r="BO606" t="str">
            <v>Structure Owner</v>
          </cell>
          <cell r="FR606" t="str">
            <v>Can Stay</v>
          </cell>
        </row>
        <row r="607">
          <cell r="AL607" t="str">
            <v>ISF</v>
          </cell>
          <cell r="BM607" t="str">
            <v>Jhundel Bravo Colonia</v>
          </cell>
          <cell r="BN607" t="str">
            <v>Residential</v>
          </cell>
          <cell r="BO607" t="str">
            <v>Structure Owner</v>
          </cell>
          <cell r="FR607" t="str">
            <v>Need Displacement</v>
          </cell>
        </row>
        <row r="608">
          <cell r="AL608" t="str">
            <v>ISF</v>
          </cell>
          <cell r="BM608" t="str">
            <v>Gerardo Atchiles Lambungan</v>
          </cell>
          <cell r="BN608" t="str">
            <v>Residential</v>
          </cell>
          <cell r="BO608" t="str">
            <v>Structure Owner</v>
          </cell>
          <cell r="FR608" t="str">
            <v>Can Stay</v>
          </cell>
        </row>
        <row r="609">
          <cell r="AL609" t="str">
            <v>ISF</v>
          </cell>
          <cell r="AT609">
            <v>0</v>
          </cell>
          <cell r="BM609" t="str">
            <v>Catalina Atchiles Lambungan</v>
          </cell>
          <cell r="BN609">
            <v>0</v>
          </cell>
          <cell r="BO609">
            <v>0</v>
          </cell>
          <cell r="FR609" t="str">
            <v>Can Stay</v>
          </cell>
        </row>
        <row r="610">
          <cell r="AL610" t="str">
            <v>ISF</v>
          </cell>
          <cell r="AT610">
            <v>0</v>
          </cell>
          <cell r="BM610" t="str">
            <v>Francis Atchiles Lambungan</v>
          </cell>
          <cell r="BN610" t="str">
            <v>Residential</v>
          </cell>
          <cell r="BO610" t="str">
            <v>Structure Owner</v>
          </cell>
          <cell r="FR610" t="str">
            <v>Need Displacement</v>
          </cell>
        </row>
        <row r="611">
          <cell r="AL611" t="str">
            <v>ISF</v>
          </cell>
          <cell r="AT611">
            <v>0</v>
          </cell>
          <cell r="BM611" t="str">
            <v>Luciano Era Elnar &amp; Arlu Virador Elnar</v>
          </cell>
          <cell r="BN611" t="str">
            <v>Residential</v>
          </cell>
          <cell r="BO611" t="str">
            <v>Structure Owner</v>
          </cell>
          <cell r="FR611" t="str">
            <v>Need Displacement</v>
          </cell>
        </row>
        <row r="612">
          <cell r="AL612" t="str">
            <v>ISF</v>
          </cell>
          <cell r="AT612">
            <v>0</v>
          </cell>
          <cell r="BM612" t="str">
            <v>Julie Ann Abainza Ocenar</v>
          </cell>
          <cell r="BN612" t="str">
            <v>Residential</v>
          </cell>
          <cell r="BO612" t="str">
            <v>Structure Owner</v>
          </cell>
          <cell r="FR612" t="str">
            <v>Need Displacement</v>
          </cell>
        </row>
        <row r="613">
          <cell r="AL613">
            <v>0</v>
          </cell>
          <cell r="AT613">
            <v>0</v>
          </cell>
          <cell r="BM613">
            <v>0</v>
          </cell>
          <cell r="BN613">
            <v>0</v>
          </cell>
          <cell r="BO613">
            <v>0</v>
          </cell>
          <cell r="FR613">
            <v>0</v>
          </cell>
        </row>
        <row r="614">
          <cell r="AL614" t="str">
            <v>ISF</v>
          </cell>
          <cell r="AT614">
            <v>0</v>
          </cell>
          <cell r="BM614" t="str">
            <v>Reste Lerio</v>
          </cell>
          <cell r="BN614" t="str">
            <v>Residential</v>
          </cell>
          <cell r="BO614" t="str">
            <v>Structure Owner</v>
          </cell>
          <cell r="FR614" t="str">
            <v>Need Displacement</v>
          </cell>
        </row>
        <row r="615">
          <cell r="AL615" t="str">
            <v>ISF</v>
          </cell>
          <cell r="AT615">
            <v>0</v>
          </cell>
          <cell r="BM615">
            <v>0</v>
          </cell>
          <cell r="BN615">
            <v>0</v>
          </cell>
          <cell r="BO615">
            <v>0</v>
          </cell>
          <cell r="FR615">
            <v>0</v>
          </cell>
        </row>
        <row r="616">
          <cell r="AL616">
            <v>0</v>
          </cell>
          <cell r="AT616">
            <v>0</v>
          </cell>
          <cell r="BM616">
            <v>0</v>
          </cell>
          <cell r="BN616">
            <v>0</v>
          </cell>
          <cell r="BO616">
            <v>0</v>
          </cell>
          <cell r="FR616">
            <v>0</v>
          </cell>
        </row>
        <row r="617">
          <cell r="AL617" t="str">
            <v>Land Owner</v>
          </cell>
          <cell r="AT617" t="str">
            <v>Y</v>
          </cell>
          <cell r="BM617">
            <v>0</v>
          </cell>
          <cell r="BN617">
            <v>0</v>
          </cell>
          <cell r="BO617">
            <v>0</v>
          </cell>
          <cell r="FR617">
            <v>0</v>
          </cell>
        </row>
        <row r="618">
          <cell r="AL618" t="str">
            <v>ISF</v>
          </cell>
          <cell r="AT618">
            <v>0</v>
          </cell>
          <cell r="BM618" t="str">
            <v>Tomas David/Eufenio Lacorte David</v>
          </cell>
          <cell r="BN618" t="str">
            <v>Residential</v>
          </cell>
          <cell r="BO618" t="str">
            <v>Structure Owner</v>
          </cell>
          <cell r="FR618" t="str">
            <v>Need Displacement</v>
          </cell>
        </row>
        <row r="619">
          <cell r="AL619" t="str">
            <v>ISF</v>
          </cell>
          <cell r="AT619">
            <v>0</v>
          </cell>
          <cell r="BM619" t="str">
            <v>Salvador L. Robles Jr</v>
          </cell>
          <cell r="BN619" t="str">
            <v>Residential</v>
          </cell>
          <cell r="BO619" t="str">
            <v>Structure Owner</v>
          </cell>
          <cell r="FR619" t="str">
            <v>Need Displacement</v>
          </cell>
        </row>
        <row r="620">
          <cell r="AL620" t="str">
            <v>ISF</v>
          </cell>
          <cell r="AT620">
            <v>0</v>
          </cell>
          <cell r="BM620" t="str">
            <v>Barangay 29 (LGU)</v>
          </cell>
          <cell r="BN620" t="str">
            <v>Institutional</v>
          </cell>
          <cell r="BO620" t="str">
            <v>Institutional Occupant</v>
          </cell>
          <cell r="FR620" t="str">
            <v>Need Displacement</v>
          </cell>
        </row>
        <row r="621">
          <cell r="AL621" t="str">
            <v>ISF</v>
          </cell>
          <cell r="AT621">
            <v>0</v>
          </cell>
          <cell r="BM621">
            <v>0</v>
          </cell>
          <cell r="BN621">
            <v>0</v>
          </cell>
          <cell r="BO621">
            <v>0</v>
          </cell>
          <cell r="FR621">
            <v>0</v>
          </cell>
        </row>
        <row r="622">
          <cell r="AL622" t="str">
            <v>ISF</v>
          </cell>
          <cell r="AT622">
            <v>0</v>
          </cell>
          <cell r="BM622" t="str">
            <v>Ryan Seguis Sadiaza</v>
          </cell>
          <cell r="BN622" t="str">
            <v>Residential</v>
          </cell>
          <cell r="BO622" t="str">
            <v>Structure Owner</v>
          </cell>
          <cell r="FR622" t="str">
            <v>Need Displacement</v>
          </cell>
        </row>
        <row r="623">
          <cell r="AL623" t="str">
            <v>ISF</v>
          </cell>
          <cell r="AT623">
            <v>0</v>
          </cell>
          <cell r="BM623" t="str">
            <v>Joel Buado Rimorin</v>
          </cell>
          <cell r="BN623" t="str">
            <v>Residential</v>
          </cell>
          <cell r="BO623" t="str">
            <v>Structure Owner</v>
          </cell>
          <cell r="FR623" t="str">
            <v>Need Displacement</v>
          </cell>
        </row>
        <row r="624">
          <cell r="AL624" t="str">
            <v>ISF</v>
          </cell>
          <cell r="AT624">
            <v>0</v>
          </cell>
          <cell r="BM624" t="str">
            <v>CHAPEL c/o Arcadio F. Centeno Jr</v>
          </cell>
          <cell r="BN624" t="str">
            <v>Institutional</v>
          </cell>
          <cell r="BO624" t="str">
            <v>Institutional Occupant</v>
          </cell>
          <cell r="FR624" t="str">
            <v>Need Displacement</v>
          </cell>
        </row>
        <row r="625">
          <cell r="AL625" t="str">
            <v>ISF</v>
          </cell>
          <cell r="AT625">
            <v>0</v>
          </cell>
          <cell r="BM625" t="str">
            <v>Arcadio Centino Flamino Jr</v>
          </cell>
          <cell r="BN625" t="str">
            <v>Residential</v>
          </cell>
          <cell r="BO625" t="str">
            <v>Structure Owner</v>
          </cell>
          <cell r="FR625" t="str">
            <v>Need Displacement</v>
          </cell>
        </row>
        <row r="626">
          <cell r="AL626" t="str">
            <v>ISF</v>
          </cell>
          <cell r="AT626">
            <v>0</v>
          </cell>
          <cell r="BM626">
            <v>0</v>
          </cell>
          <cell r="BN626">
            <v>0</v>
          </cell>
          <cell r="BO626">
            <v>0</v>
          </cell>
          <cell r="FR626" t="str">
            <v>Need Displacement</v>
          </cell>
        </row>
        <row r="627">
          <cell r="AL627" t="str">
            <v>ISF</v>
          </cell>
          <cell r="AT627">
            <v>0</v>
          </cell>
          <cell r="BM627" t="str">
            <v>Andaya, Famore Delgado</v>
          </cell>
          <cell r="BN627" t="str">
            <v>Residential</v>
          </cell>
          <cell r="BO627" t="str">
            <v>Structure Owner</v>
          </cell>
          <cell r="FR627" t="str">
            <v>Need Displacement</v>
          </cell>
        </row>
        <row r="628">
          <cell r="AL628" t="str">
            <v>ISF</v>
          </cell>
          <cell r="AT628">
            <v>0</v>
          </cell>
          <cell r="BM628" t="str">
            <v>Nyraida Lascano Celestino</v>
          </cell>
          <cell r="BN628" t="str">
            <v>Residential</v>
          </cell>
          <cell r="BO628" t="str">
            <v>Structure Owner</v>
          </cell>
          <cell r="FR628" t="str">
            <v>Can Stay</v>
          </cell>
        </row>
        <row r="629">
          <cell r="AL629" t="str">
            <v>ISF</v>
          </cell>
          <cell r="AT629">
            <v>0</v>
          </cell>
          <cell r="BM629" t="str">
            <v>Francisco Arellano</v>
          </cell>
          <cell r="BN629" t="str">
            <v>Residential</v>
          </cell>
          <cell r="BO629" t="str">
            <v>Structure Owner</v>
          </cell>
          <cell r="FR629" t="str">
            <v>Can Stay (ACCESS BLOCK)</v>
          </cell>
        </row>
        <row r="630">
          <cell r="AL630" t="str">
            <v>ISF</v>
          </cell>
          <cell r="AT630">
            <v>0</v>
          </cell>
          <cell r="BM630" t="str">
            <v>Jose Danilo E. Cabangon</v>
          </cell>
          <cell r="BN630" t="str">
            <v>Residential</v>
          </cell>
          <cell r="BO630" t="str">
            <v>Structure Owner</v>
          </cell>
          <cell r="FR630" t="str">
            <v>Can Stay (ACCESS BLOCK)</v>
          </cell>
        </row>
        <row r="631">
          <cell r="AL631" t="str">
            <v>ISF</v>
          </cell>
          <cell r="AT631">
            <v>0</v>
          </cell>
          <cell r="BM631">
            <v>0</v>
          </cell>
          <cell r="BN631">
            <v>0</v>
          </cell>
          <cell r="BO631" t="str">
            <v>Sharer</v>
          </cell>
          <cell r="FR631">
            <v>0</v>
          </cell>
        </row>
        <row r="632">
          <cell r="AL632" t="str">
            <v>ISF</v>
          </cell>
          <cell r="AT632">
            <v>0</v>
          </cell>
          <cell r="BM632" t="str">
            <v>Carlos Rimorin</v>
          </cell>
          <cell r="BN632" t="str">
            <v>Residential</v>
          </cell>
          <cell r="BO632" t="str">
            <v>Structure Owner</v>
          </cell>
          <cell r="FR632">
            <v>0</v>
          </cell>
        </row>
        <row r="633">
          <cell r="AL633" t="str">
            <v>ISF</v>
          </cell>
          <cell r="AT633">
            <v>0</v>
          </cell>
          <cell r="BM633">
            <v>0</v>
          </cell>
          <cell r="BN633">
            <v>0</v>
          </cell>
          <cell r="BO633">
            <v>0</v>
          </cell>
          <cell r="FR633">
            <v>0</v>
          </cell>
        </row>
        <row r="634">
          <cell r="AL634" t="str">
            <v>ISF</v>
          </cell>
          <cell r="AT634">
            <v>0</v>
          </cell>
          <cell r="BM634">
            <v>0</v>
          </cell>
          <cell r="BN634">
            <v>0</v>
          </cell>
          <cell r="BO634">
            <v>0</v>
          </cell>
          <cell r="FR634">
            <v>0</v>
          </cell>
        </row>
        <row r="635">
          <cell r="AL635" t="str">
            <v>ISF</v>
          </cell>
          <cell r="AT635">
            <v>0</v>
          </cell>
          <cell r="BM635">
            <v>0</v>
          </cell>
          <cell r="BN635">
            <v>0</v>
          </cell>
          <cell r="BO635">
            <v>0</v>
          </cell>
          <cell r="FR635">
            <v>0</v>
          </cell>
        </row>
        <row r="636">
          <cell r="AL636" t="str">
            <v>ISF</v>
          </cell>
          <cell r="AT636">
            <v>0</v>
          </cell>
          <cell r="BM636">
            <v>0</v>
          </cell>
          <cell r="BN636">
            <v>0</v>
          </cell>
          <cell r="BO636">
            <v>0</v>
          </cell>
          <cell r="FR636">
            <v>0</v>
          </cell>
        </row>
        <row r="637">
          <cell r="AL637" t="str">
            <v>ISF</v>
          </cell>
          <cell r="AT637">
            <v>0</v>
          </cell>
          <cell r="BM637">
            <v>0</v>
          </cell>
          <cell r="BN637">
            <v>0</v>
          </cell>
          <cell r="BO637">
            <v>0</v>
          </cell>
          <cell r="FR637">
            <v>0</v>
          </cell>
        </row>
        <row r="638">
          <cell r="AL638" t="str">
            <v>ISF</v>
          </cell>
          <cell r="AT638">
            <v>0</v>
          </cell>
          <cell r="BM638">
            <v>0</v>
          </cell>
          <cell r="BN638">
            <v>0</v>
          </cell>
          <cell r="BO638">
            <v>0</v>
          </cell>
          <cell r="FR638">
            <v>0</v>
          </cell>
        </row>
        <row r="639">
          <cell r="AL639" t="str">
            <v>ISF</v>
          </cell>
          <cell r="AT639">
            <v>0</v>
          </cell>
          <cell r="BM639">
            <v>0</v>
          </cell>
          <cell r="BN639">
            <v>0</v>
          </cell>
          <cell r="BO639">
            <v>0</v>
          </cell>
          <cell r="FR639">
            <v>0</v>
          </cell>
        </row>
        <row r="640">
          <cell r="AL640" t="str">
            <v>ISF</v>
          </cell>
          <cell r="AT640">
            <v>0</v>
          </cell>
          <cell r="BM640">
            <v>0</v>
          </cell>
          <cell r="BN640">
            <v>0</v>
          </cell>
          <cell r="BO640">
            <v>0</v>
          </cell>
          <cell r="FR640">
            <v>0</v>
          </cell>
        </row>
        <row r="641">
          <cell r="AL641" t="str">
            <v>ISF</v>
          </cell>
          <cell r="BM641">
            <v>0</v>
          </cell>
          <cell r="BN641">
            <v>0</v>
          </cell>
          <cell r="BO641">
            <v>0</v>
          </cell>
        </row>
        <row r="642">
          <cell r="AL642" t="str">
            <v>ISF</v>
          </cell>
          <cell r="BM642">
            <v>0</v>
          </cell>
          <cell r="BN642">
            <v>0</v>
          </cell>
          <cell r="BO642">
            <v>0</v>
          </cell>
        </row>
        <row r="643">
          <cell r="AL643" t="str">
            <v>ISF</v>
          </cell>
          <cell r="BM643" t="str">
            <v>Sonny Cangmaong</v>
          </cell>
          <cell r="BN643" t="str">
            <v>Residential</v>
          </cell>
          <cell r="BO643" t="str">
            <v>Structure Owner</v>
          </cell>
          <cell r="FR643" t="str">
            <v>Need Displacement</v>
          </cell>
        </row>
        <row r="644">
          <cell r="AL644" t="str">
            <v>ISF</v>
          </cell>
          <cell r="BM644" t="str">
            <v>Lopez Jr, Ricardo</v>
          </cell>
          <cell r="BN644" t="str">
            <v>Residential</v>
          </cell>
          <cell r="BO644" t="str">
            <v>Structure Owner</v>
          </cell>
          <cell r="FR644" t="str">
            <v>Need Displacement</v>
          </cell>
        </row>
        <row r="645">
          <cell r="AL645" t="str">
            <v>ISF</v>
          </cell>
          <cell r="BM645">
            <v>0</v>
          </cell>
          <cell r="BN645">
            <v>0</v>
          </cell>
          <cell r="BO645">
            <v>0</v>
          </cell>
        </row>
        <row r="646">
          <cell r="AL646" t="str">
            <v>ISF</v>
          </cell>
          <cell r="BM646">
            <v>0</v>
          </cell>
          <cell r="BN646">
            <v>0</v>
          </cell>
          <cell r="BO646">
            <v>0</v>
          </cell>
        </row>
        <row r="647">
          <cell r="AL647" t="str">
            <v>ISF</v>
          </cell>
          <cell r="BM647">
            <v>0</v>
          </cell>
          <cell r="BN647">
            <v>0</v>
          </cell>
          <cell r="BO647">
            <v>0</v>
          </cell>
        </row>
        <row r="648">
          <cell r="AL648" t="str">
            <v>ISF</v>
          </cell>
          <cell r="BM648" t="str">
            <v>Reynalyn Del Rosario Sollano</v>
          </cell>
          <cell r="BN648" t="str">
            <v>Residential</v>
          </cell>
          <cell r="BO648" t="str">
            <v>Structure Owner</v>
          </cell>
          <cell r="FR648" t="str">
            <v>Can Stay (ACCESS BLOCK)</v>
          </cell>
        </row>
        <row r="649">
          <cell r="AL649" t="str">
            <v>ISF</v>
          </cell>
          <cell r="BM649" t="str">
            <v>Vivian Paguira Pacardo</v>
          </cell>
          <cell r="BN649" t="str">
            <v>Residential</v>
          </cell>
          <cell r="BO649" t="str">
            <v>Structure Owner</v>
          </cell>
          <cell r="FR649" t="str">
            <v>Can Stay (ACCESS BLOCK)</v>
          </cell>
        </row>
        <row r="650">
          <cell r="AL650" t="str">
            <v>ISF</v>
          </cell>
          <cell r="BM650">
            <v>0</v>
          </cell>
          <cell r="BN650">
            <v>0</v>
          </cell>
          <cell r="BO650" t="str">
            <v>Sharer</v>
          </cell>
          <cell r="FR650" t="str">
            <v>Need Displacement</v>
          </cell>
        </row>
        <row r="651">
          <cell r="AL651" t="str">
            <v>ISF</v>
          </cell>
          <cell r="BM651">
            <v>0</v>
          </cell>
          <cell r="BN651">
            <v>0</v>
          </cell>
          <cell r="BO651" t="str">
            <v>Sharer</v>
          </cell>
          <cell r="FR651" t="str">
            <v>Need Displacement</v>
          </cell>
        </row>
        <row r="652">
          <cell r="AL652" t="str">
            <v>Land Owner</v>
          </cell>
          <cell r="AT652" t="str">
            <v>Y</v>
          </cell>
          <cell r="BM652" t="str">
            <v>Reoncio Alba Maravilla</v>
          </cell>
          <cell r="BN652" t="str">
            <v>Residential</v>
          </cell>
          <cell r="BO652" t="str">
            <v>Structure Owner</v>
          </cell>
          <cell r="FR652" t="str">
            <v>Can Stay</v>
          </cell>
        </row>
        <row r="653">
          <cell r="AL653" t="str">
            <v>Land Lessee</v>
          </cell>
          <cell r="BM653">
            <v>0</v>
          </cell>
          <cell r="BN653">
            <v>0</v>
          </cell>
          <cell r="BO653" t="str">
            <v>Structure Renter</v>
          </cell>
        </row>
        <row r="654">
          <cell r="AL654" t="str">
            <v>ISF</v>
          </cell>
          <cell r="BM654">
            <v>0</v>
          </cell>
          <cell r="BN654">
            <v>0</v>
          </cell>
          <cell r="BO654">
            <v>0</v>
          </cell>
          <cell r="FR654" t="str">
            <v>Need Displacement</v>
          </cell>
        </row>
        <row r="655">
          <cell r="AL655" t="str">
            <v>ISF</v>
          </cell>
          <cell r="BM655" t="str">
            <v>Dante Vicente Manese</v>
          </cell>
          <cell r="BN655" t="str">
            <v>Residential</v>
          </cell>
          <cell r="BO655" t="str">
            <v>Structure Owner</v>
          </cell>
          <cell r="FR655" t="str">
            <v>Need Displacement</v>
          </cell>
        </row>
        <row r="656">
          <cell r="AL656" t="str">
            <v>Land Owner</v>
          </cell>
          <cell r="AT656" t="str">
            <v>Y</v>
          </cell>
          <cell r="BM656" t="str">
            <v>Ernesto Aniciete Dimla</v>
          </cell>
          <cell r="BN656" t="str">
            <v>Residential</v>
          </cell>
          <cell r="BO656" t="str">
            <v>Structure Owner</v>
          </cell>
          <cell r="FR656" t="str">
            <v>Can Stay</v>
          </cell>
        </row>
        <row r="657">
          <cell r="AL657" t="str">
            <v>Land Owner</v>
          </cell>
          <cell r="AT657" t="str">
            <v>Y</v>
          </cell>
          <cell r="BM657" t="str">
            <v>Adela Macalino Joaquin</v>
          </cell>
          <cell r="BN657" t="str">
            <v>Residential</v>
          </cell>
          <cell r="BO657" t="str">
            <v>Structure Owner</v>
          </cell>
          <cell r="FR657" t="str">
            <v>Can Stay (ACCESS BLOCK)</v>
          </cell>
        </row>
        <row r="658">
          <cell r="AL658" t="str">
            <v>Land Dweller</v>
          </cell>
          <cell r="AT658" t="str">
            <v>Y</v>
          </cell>
          <cell r="BM658">
            <v>0</v>
          </cell>
          <cell r="BN658">
            <v>0</v>
          </cell>
          <cell r="BO658" t="str">
            <v>Sharer</v>
          </cell>
          <cell r="FR658" t="str">
            <v>Can Stay (Access Block)</v>
          </cell>
        </row>
        <row r="659">
          <cell r="AL659" t="str">
            <v>Land Owner</v>
          </cell>
          <cell r="AT659" t="str">
            <v>Y</v>
          </cell>
          <cell r="BM659" t="str">
            <v>Adela Macalino Joaquin</v>
          </cell>
          <cell r="BN659" t="str">
            <v>Residential</v>
          </cell>
          <cell r="BO659" t="str">
            <v>Structure Owner</v>
          </cell>
          <cell r="FR659" t="str">
            <v>Can Stay (ACCESS BLOCK)</v>
          </cell>
        </row>
        <row r="660">
          <cell r="AL660" t="str">
            <v>Land Dweller</v>
          </cell>
          <cell r="AT660" t="str">
            <v>Y</v>
          </cell>
          <cell r="BM660" t="str">
            <v>Nenita Beltran Reniedo</v>
          </cell>
          <cell r="BN660" t="str">
            <v>Residential</v>
          </cell>
          <cell r="BO660" t="str">
            <v>Structure Owner</v>
          </cell>
          <cell r="FR660" t="str">
            <v>Need Displacement</v>
          </cell>
        </row>
        <row r="661">
          <cell r="AL661" t="str">
            <v>Land Owner</v>
          </cell>
          <cell r="AT661" t="str">
            <v>Y</v>
          </cell>
          <cell r="BM661" t="str">
            <v>Francisca Reniedo Permia</v>
          </cell>
          <cell r="BN661" t="str">
            <v>Residential</v>
          </cell>
          <cell r="BO661" t="str">
            <v>Structure Owner</v>
          </cell>
          <cell r="FR661" t="str">
            <v>Need Displacement</v>
          </cell>
        </row>
        <row r="662">
          <cell r="AL662" t="str">
            <v>Land Owner</v>
          </cell>
          <cell r="AT662" t="str">
            <v>Y</v>
          </cell>
          <cell r="BM662" t="str">
            <v>Alberto Cardona (+) m/to Amparo Kakilala c/o Raquel Kakilala</v>
          </cell>
          <cell r="BN662" t="str">
            <v>Mixed Use</v>
          </cell>
          <cell r="BO662" t="str">
            <v>Structure Owner</v>
          </cell>
          <cell r="FR662" t="str">
            <v>Need Displacement</v>
          </cell>
        </row>
        <row r="663">
          <cell r="AL663" t="str">
            <v>Land Dweller</v>
          </cell>
          <cell r="BM663">
            <v>0</v>
          </cell>
          <cell r="BN663">
            <v>0</v>
          </cell>
          <cell r="BO663" t="str">
            <v>Co-owner</v>
          </cell>
          <cell r="FR663" t="str">
            <v>Need Displacement</v>
          </cell>
        </row>
        <row r="664">
          <cell r="AL664" t="str">
            <v>Land Dweller</v>
          </cell>
          <cell r="AT664" t="str">
            <v>Y</v>
          </cell>
          <cell r="BM664">
            <v>0</v>
          </cell>
          <cell r="BN664">
            <v>0</v>
          </cell>
          <cell r="BO664" t="str">
            <v>Co-owner</v>
          </cell>
          <cell r="FR664" t="str">
            <v>Need Displacement</v>
          </cell>
        </row>
        <row r="665">
          <cell r="AL665" t="str">
            <v>Land Owner</v>
          </cell>
          <cell r="AT665" t="str">
            <v>Y</v>
          </cell>
          <cell r="BM665" t="str">
            <v>Vicky Mendigoren Moreno</v>
          </cell>
          <cell r="BN665" t="str">
            <v>Residential</v>
          </cell>
          <cell r="BO665" t="str">
            <v>Structure Owner</v>
          </cell>
          <cell r="FR665" t="str">
            <v>Need Displacement</v>
          </cell>
        </row>
        <row r="666">
          <cell r="AL666" t="str">
            <v>ISF</v>
          </cell>
          <cell r="AT666">
            <v>0</v>
          </cell>
          <cell r="BM666">
            <v>0</v>
          </cell>
          <cell r="BN666">
            <v>0</v>
          </cell>
          <cell r="BO666">
            <v>0</v>
          </cell>
        </row>
        <row r="667">
          <cell r="AL667" t="str">
            <v>ISF</v>
          </cell>
          <cell r="AT667">
            <v>0</v>
          </cell>
          <cell r="BM667" t="str">
            <v>Romeo Macaspac Balonzo</v>
          </cell>
          <cell r="BN667" t="str">
            <v>Residential</v>
          </cell>
          <cell r="BO667" t="str">
            <v>Structure Owner</v>
          </cell>
          <cell r="FR667" t="str">
            <v>Need Displacement</v>
          </cell>
        </row>
        <row r="668">
          <cell r="AL668" t="str">
            <v>Land Owner</v>
          </cell>
          <cell r="AT668">
            <v>0</v>
          </cell>
          <cell r="BM668" t="str">
            <v>PNR</v>
          </cell>
          <cell r="BN668" t="str">
            <v>Industrial</v>
          </cell>
          <cell r="BO668" t="str">
            <v>Structure Owner</v>
          </cell>
        </row>
        <row r="669">
          <cell r="AL669" t="str">
            <v>ISF</v>
          </cell>
          <cell r="AT669">
            <v>0</v>
          </cell>
          <cell r="BM669">
            <v>0</v>
          </cell>
          <cell r="BN669">
            <v>0</v>
          </cell>
          <cell r="BO669">
            <v>0</v>
          </cell>
        </row>
        <row r="670">
          <cell r="AL670" t="str">
            <v>ISF</v>
          </cell>
          <cell r="AT670">
            <v>0</v>
          </cell>
          <cell r="BM670">
            <v>0</v>
          </cell>
          <cell r="BN670">
            <v>0</v>
          </cell>
          <cell r="BO670">
            <v>0</v>
          </cell>
        </row>
        <row r="671">
          <cell r="AL671" t="str">
            <v>ISF</v>
          </cell>
          <cell r="AT671">
            <v>0</v>
          </cell>
          <cell r="BM671">
            <v>0</v>
          </cell>
          <cell r="BN671">
            <v>0</v>
          </cell>
          <cell r="BO671">
            <v>0</v>
          </cell>
        </row>
        <row r="672">
          <cell r="AL672" t="str">
            <v>ISF</v>
          </cell>
          <cell r="AT672">
            <v>0</v>
          </cell>
          <cell r="BM672">
            <v>0</v>
          </cell>
          <cell r="BN672">
            <v>0</v>
          </cell>
          <cell r="BO672">
            <v>0</v>
          </cell>
        </row>
        <row r="673">
          <cell r="AL673" t="str">
            <v>ISF</v>
          </cell>
          <cell r="AT673">
            <v>0</v>
          </cell>
          <cell r="BM673">
            <v>0</v>
          </cell>
          <cell r="BN673">
            <v>0</v>
          </cell>
          <cell r="BO673">
            <v>0</v>
          </cell>
        </row>
        <row r="674">
          <cell r="AL674" t="str">
            <v>ISF</v>
          </cell>
          <cell r="AT674">
            <v>0</v>
          </cell>
          <cell r="BM674">
            <v>0</v>
          </cell>
          <cell r="BN674">
            <v>0</v>
          </cell>
          <cell r="BO674">
            <v>0</v>
          </cell>
        </row>
        <row r="675">
          <cell r="AL675" t="str">
            <v>ISF</v>
          </cell>
          <cell r="AT675">
            <v>0</v>
          </cell>
          <cell r="BM675">
            <v>0</v>
          </cell>
          <cell r="BN675">
            <v>0</v>
          </cell>
          <cell r="BO675">
            <v>0</v>
          </cell>
        </row>
        <row r="676">
          <cell r="AL676" t="str">
            <v>ISF</v>
          </cell>
          <cell r="AT676">
            <v>0</v>
          </cell>
          <cell r="BM676">
            <v>0</v>
          </cell>
          <cell r="BN676">
            <v>0</v>
          </cell>
          <cell r="BO676">
            <v>0</v>
          </cell>
        </row>
        <row r="677">
          <cell r="AL677" t="str">
            <v>ISF</v>
          </cell>
          <cell r="AT677">
            <v>0</v>
          </cell>
          <cell r="BM677">
            <v>0</v>
          </cell>
          <cell r="BN677">
            <v>0</v>
          </cell>
          <cell r="BO677">
            <v>0</v>
          </cell>
        </row>
        <row r="678">
          <cell r="AL678" t="str">
            <v>ISF</v>
          </cell>
          <cell r="AT678">
            <v>0</v>
          </cell>
          <cell r="BM678">
            <v>0</v>
          </cell>
          <cell r="BN678">
            <v>0</v>
          </cell>
          <cell r="BO678">
            <v>0</v>
          </cell>
        </row>
        <row r="679">
          <cell r="AL679" t="str">
            <v>Land Dweller</v>
          </cell>
          <cell r="AT679">
            <v>0</v>
          </cell>
          <cell r="BM679">
            <v>0</v>
          </cell>
          <cell r="BN679">
            <v>0</v>
          </cell>
          <cell r="BO679">
            <v>0</v>
          </cell>
        </row>
        <row r="680">
          <cell r="AL680" t="str">
            <v>ISF</v>
          </cell>
          <cell r="AT680">
            <v>0</v>
          </cell>
          <cell r="BM680">
            <v>0</v>
          </cell>
          <cell r="BN680">
            <v>0</v>
          </cell>
          <cell r="BO680">
            <v>0</v>
          </cell>
        </row>
        <row r="681">
          <cell r="AL681" t="str">
            <v>ISF</v>
          </cell>
          <cell r="AT681">
            <v>0</v>
          </cell>
          <cell r="BM681" t="str">
            <v>David Allanes Manonog</v>
          </cell>
          <cell r="BN681" t="str">
            <v>Residential</v>
          </cell>
          <cell r="BO681" t="str">
            <v>Structure Owner</v>
          </cell>
          <cell r="FR681" t="str">
            <v>Can Stay (ACCESS BLOCK)</v>
          </cell>
        </row>
        <row r="682">
          <cell r="AL682" t="str">
            <v>ISF</v>
          </cell>
          <cell r="AT682">
            <v>0</v>
          </cell>
          <cell r="BM682" t="str">
            <v>Danilo Dela Peña Punla</v>
          </cell>
          <cell r="BN682" t="str">
            <v>Residential</v>
          </cell>
          <cell r="BO682" t="str">
            <v>Structure Owner</v>
          </cell>
          <cell r="FR682" t="str">
            <v>Can Stay (ACCESS BLOCK)</v>
          </cell>
        </row>
        <row r="683">
          <cell r="AL683" t="str">
            <v>ISF</v>
          </cell>
          <cell r="AT683">
            <v>0</v>
          </cell>
          <cell r="BM683">
            <v>0</v>
          </cell>
          <cell r="BN683">
            <v>0</v>
          </cell>
          <cell r="BO683">
            <v>0</v>
          </cell>
        </row>
        <row r="684">
          <cell r="AL684" t="str">
            <v>Land Owner</v>
          </cell>
          <cell r="AT684">
            <v>0</v>
          </cell>
          <cell r="BM684" t="str">
            <v>PNR</v>
          </cell>
          <cell r="BN684" t="str">
            <v>Industrial</v>
          </cell>
          <cell r="BO684" t="str">
            <v>Structure Owner</v>
          </cell>
        </row>
        <row r="685">
          <cell r="AL685" t="str">
            <v>ISF</v>
          </cell>
          <cell r="AT685">
            <v>0</v>
          </cell>
          <cell r="BM685">
            <v>0</v>
          </cell>
          <cell r="BN685">
            <v>0</v>
          </cell>
          <cell r="BO685">
            <v>0</v>
          </cell>
        </row>
        <row r="686">
          <cell r="AL686" t="str">
            <v>ISF</v>
          </cell>
          <cell r="AT686">
            <v>0</v>
          </cell>
          <cell r="BM686" t="str">
            <v>Marcela Codera Miranda</v>
          </cell>
          <cell r="BN686" t="str">
            <v>Residential</v>
          </cell>
          <cell r="BO686" t="str">
            <v>Structure Owner</v>
          </cell>
          <cell r="FR686" t="str">
            <v>Can Stay (ACCESS BLOCK)</v>
          </cell>
        </row>
        <row r="687">
          <cell r="AL687" t="str">
            <v>ISF</v>
          </cell>
          <cell r="AT687">
            <v>0</v>
          </cell>
          <cell r="BM687">
            <v>0</v>
          </cell>
          <cell r="BN687">
            <v>0</v>
          </cell>
          <cell r="BO687">
            <v>0</v>
          </cell>
        </row>
        <row r="688">
          <cell r="AL688" t="str">
            <v>ISF</v>
          </cell>
          <cell r="AT688">
            <v>0</v>
          </cell>
          <cell r="BM688" t="str">
            <v>Rowena Misajon Alvarez</v>
          </cell>
          <cell r="BN688" t="str">
            <v>Mixed Use</v>
          </cell>
          <cell r="BO688" t="str">
            <v>Structure Owner</v>
          </cell>
          <cell r="FR688" t="str">
            <v>Can Stay</v>
          </cell>
        </row>
        <row r="689">
          <cell r="AL689" t="str">
            <v>Land Owner</v>
          </cell>
          <cell r="AT689">
            <v>0</v>
          </cell>
          <cell r="BM689">
            <v>0</v>
          </cell>
          <cell r="BN689">
            <v>0</v>
          </cell>
          <cell r="BO689">
            <v>0</v>
          </cell>
          <cell r="FR689" t="str">
            <v>Can Stay</v>
          </cell>
        </row>
        <row r="690">
          <cell r="AL690" t="str">
            <v>ISF</v>
          </cell>
          <cell r="AT690">
            <v>0</v>
          </cell>
          <cell r="BM690" t="str">
            <v>Rosaria, Patio Estuaria</v>
          </cell>
          <cell r="BN690" t="str">
            <v>Residential</v>
          </cell>
          <cell r="BO690" t="str">
            <v>Structure Owner</v>
          </cell>
          <cell r="FR690" t="str">
            <v>Can Stay (ACCESS BLOCK)</v>
          </cell>
        </row>
        <row r="691">
          <cell r="AL691" t="str">
            <v>ISF</v>
          </cell>
          <cell r="AT691">
            <v>0</v>
          </cell>
          <cell r="BM691" t="str">
            <v>Romeo Ampere Reyes</v>
          </cell>
          <cell r="BN691" t="str">
            <v>Mixed Use</v>
          </cell>
          <cell r="BO691" t="str">
            <v>Structure Owner</v>
          </cell>
          <cell r="FR691" t="str">
            <v>Can Stay</v>
          </cell>
        </row>
        <row r="692">
          <cell r="AL692" t="str">
            <v>ISF</v>
          </cell>
          <cell r="BM692" t="str">
            <v>Romeo Ampere Reyes</v>
          </cell>
          <cell r="BN692" t="str">
            <v>Mixed Use</v>
          </cell>
          <cell r="BO692" t="str">
            <v>Sharer</v>
          </cell>
          <cell r="FR692" t="str">
            <v>Can Stay (ACCESS BLOCK)</v>
          </cell>
        </row>
        <row r="693">
          <cell r="AL693" t="str">
            <v>ISF</v>
          </cell>
          <cell r="BM693">
            <v>0</v>
          </cell>
          <cell r="BN693">
            <v>0</v>
          </cell>
          <cell r="BO693">
            <v>0</v>
          </cell>
        </row>
        <row r="694">
          <cell r="AL694" t="str">
            <v>ISF</v>
          </cell>
          <cell r="BM694" t="str">
            <v>Rusteca Garcia Mallari</v>
          </cell>
          <cell r="BN694" t="str">
            <v>Residential</v>
          </cell>
          <cell r="BO694" t="str">
            <v>Structure Owner</v>
          </cell>
          <cell r="FR694" t="str">
            <v>Can Stay</v>
          </cell>
        </row>
        <row r="695">
          <cell r="AL695" t="str">
            <v>ISF</v>
          </cell>
          <cell r="BM695" t="str">
            <v>Henry Pineda</v>
          </cell>
          <cell r="BN695" t="str">
            <v>Residential</v>
          </cell>
          <cell r="BO695" t="str">
            <v>Structure Owner</v>
          </cell>
          <cell r="FR695" t="str">
            <v>Can Stay (ACCESS BLOCK)</v>
          </cell>
        </row>
        <row r="696">
          <cell r="AL696" t="str">
            <v>Land Owner</v>
          </cell>
          <cell r="AT696" t="str">
            <v>Y</v>
          </cell>
          <cell r="BM696" t="str">
            <v>Ricardo Garcia Pineda</v>
          </cell>
          <cell r="BN696" t="str">
            <v>Residential</v>
          </cell>
          <cell r="BO696" t="str">
            <v>Structure Owner</v>
          </cell>
          <cell r="FR696" t="str">
            <v>Can Stay</v>
          </cell>
        </row>
        <row r="697">
          <cell r="AL697" t="str">
            <v>Land Owner</v>
          </cell>
          <cell r="AT697" t="str">
            <v>Y</v>
          </cell>
          <cell r="BM697" t="str">
            <v>Leonida Dela Cruz Tolentino</v>
          </cell>
          <cell r="BN697" t="str">
            <v>Residential</v>
          </cell>
          <cell r="BO697" t="str">
            <v>Structure Owner</v>
          </cell>
          <cell r="FR697" t="str">
            <v>Can Stay</v>
          </cell>
        </row>
        <row r="698">
          <cell r="AL698" t="str">
            <v>Land Lessee</v>
          </cell>
          <cell r="BM698">
            <v>0</v>
          </cell>
          <cell r="BN698">
            <v>0</v>
          </cell>
          <cell r="BO698" t="str">
            <v>Structure Renter</v>
          </cell>
          <cell r="FR698" t="str">
            <v>Need Displacement</v>
          </cell>
        </row>
        <row r="699">
          <cell r="AL699" t="str">
            <v>Land Lessee</v>
          </cell>
          <cell r="BM699">
            <v>0</v>
          </cell>
          <cell r="BN699">
            <v>0</v>
          </cell>
          <cell r="BO699" t="str">
            <v>Structure Renter</v>
          </cell>
          <cell r="FR699" t="str">
            <v>Need Displacement</v>
          </cell>
        </row>
        <row r="700">
          <cell r="AL700" t="str">
            <v>Land Lessee</v>
          </cell>
          <cell r="BM700">
            <v>0</v>
          </cell>
          <cell r="BN700">
            <v>0</v>
          </cell>
          <cell r="BO700" t="str">
            <v>Structure Renter</v>
          </cell>
          <cell r="FR700" t="str">
            <v>Can Stay (ACCESS BLOCK)</v>
          </cell>
        </row>
        <row r="701">
          <cell r="AL701" t="str">
            <v>ISF</v>
          </cell>
          <cell r="AT701">
            <v>0</v>
          </cell>
          <cell r="BM701" t="str">
            <v>Bayani Talastasin Maningding (ABSENTEE)</v>
          </cell>
          <cell r="BN701" t="str">
            <v>Residential</v>
          </cell>
          <cell r="BO701" t="str">
            <v>Structure Owner</v>
          </cell>
          <cell r="FR701" t="str">
            <v>Can Stay</v>
          </cell>
        </row>
        <row r="702">
          <cell r="AL702" t="str">
            <v>Land Owner</v>
          </cell>
          <cell r="AT702" t="str">
            <v>Y</v>
          </cell>
          <cell r="BM702" t="str">
            <v>Lucera Taladro Tagle</v>
          </cell>
          <cell r="BN702" t="str">
            <v>Residential</v>
          </cell>
          <cell r="BO702" t="str">
            <v>Structure Owner</v>
          </cell>
          <cell r="FR702" t="str">
            <v>Can Stay</v>
          </cell>
        </row>
        <row r="703">
          <cell r="AL703" t="str">
            <v>Land Owner</v>
          </cell>
          <cell r="BM703" t="str">
            <v>Raquel Trajano Lagman</v>
          </cell>
          <cell r="BN703" t="str">
            <v>Residential</v>
          </cell>
          <cell r="BO703" t="str">
            <v>Structure Owner</v>
          </cell>
          <cell r="FR703" t="str">
            <v>Can Stay (ACCESS BLOCK)</v>
          </cell>
        </row>
        <row r="704">
          <cell r="AL704" t="str">
            <v>ISF</v>
          </cell>
          <cell r="BM704" t="str">
            <v>Noel Gamao Quimoyog</v>
          </cell>
          <cell r="BN704" t="str">
            <v>Residential</v>
          </cell>
          <cell r="BO704" t="str">
            <v>Structure Owner</v>
          </cell>
          <cell r="FR704" t="str">
            <v>Need Displacement</v>
          </cell>
        </row>
        <row r="705">
          <cell r="AL705" t="str">
            <v>Land Owner</v>
          </cell>
          <cell r="AT705">
            <v>0</v>
          </cell>
          <cell r="BM705" t="str">
            <v>Corazon Evangelista Domingo</v>
          </cell>
          <cell r="BN705" t="str">
            <v>Residential</v>
          </cell>
          <cell r="BO705" t="str">
            <v>Structure Owner</v>
          </cell>
          <cell r="FR705" t="str">
            <v>Can Stay (ACCESS BLOCK)</v>
          </cell>
        </row>
        <row r="706">
          <cell r="AL706" t="str">
            <v>Land Dweller</v>
          </cell>
          <cell r="BM706">
            <v>0</v>
          </cell>
          <cell r="BN706">
            <v>0</v>
          </cell>
          <cell r="BO706" t="str">
            <v>Sharer</v>
          </cell>
          <cell r="FR706" t="str">
            <v>Need Displacement</v>
          </cell>
        </row>
        <row r="707">
          <cell r="AL707" t="str">
            <v>Land Dweller</v>
          </cell>
          <cell r="BM707">
            <v>0</v>
          </cell>
          <cell r="BN707">
            <v>0</v>
          </cell>
          <cell r="BO707" t="str">
            <v>Structure Owner</v>
          </cell>
          <cell r="FR707" t="str">
            <v>Can Stay (ACCESS BLOCK)</v>
          </cell>
        </row>
        <row r="708">
          <cell r="AL708" t="str">
            <v>ISF</v>
          </cell>
          <cell r="BM708" t="str">
            <v>Marcelo Salis Paras</v>
          </cell>
          <cell r="BN708" t="str">
            <v>Residential</v>
          </cell>
          <cell r="BO708" t="str">
            <v>Structure Owner</v>
          </cell>
          <cell r="FR708" t="str">
            <v>Need Displacement</v>
          </cell>
        </row>
        <row r="709">
          <cell r="AL709" t="str">
            <v>ISF</v>
          </cell>
          <cell r="BM709" t="str">
            <v>Rhainier Angelo Figueroa Lavarias</v>
          </cell>
          <cell r="BN709" t="str">
            <v>Mixed Use</v>
          </cell>
          <cell r="BO709" t="str">
            <v>Structure Owner</v>
          </cell>
          <cell r="FR709" t="str">
            <v>Need Displacement</v>
          </cell>
        </row>
        <row r="710">
          <cell r="AL710" t="str">
            <v>ISF</v>
          </cell>
          <cell r="BM710" t="str">
            <v>Trixie Lavarias Guianan</v>
          </cell>
          <cell r="BN710" t="str">
            <v>Residential</v>
          </cell>
          <cell r="BO710" t="str">
            <v>Structure Owner</v>
          </cell>
          <cell r="FR710" t="str">
            <v>Need Displacement</v>
          </cell>
        </row>
        <row r="711">
          <cell r="AL711" t="str">
            <v>ISF</v>
          </cell>
          <cell r="AT711">
            <v>0</v>
          </cell>
          <cell r="BM711" t="str">
            <v>Estella Addun</v>
          </cell>
          <cell r="BN711" t="str">
            <v>Residential</v>
          </cell>
          <cell r="BO711" t="str">
            <v>Structure Owner</v>
          </cell>
          <cell r="FR711" t="str">
            <v>Need Displacement</v>
          </cell>
        </row>
        <row r="712">
          <cell r="AL712" t="str">
            <v>ISF</v>
          </cell>
          <cell r="BM712">
            <v>0</v>
          </cell>
          <cell r="BN712">
            <v>0</v>
          </cell>
          <cell r="BO712" t="str">
            <v>Structure Renter</v>
          </cell>
          <cell r="FR712" t="str">
            <v>Need Displacement</v>
          </cell>
        </row>
        <row r="713">
          <cell r="AL713" t="str">
            <v>Land Owner</v>
          </cell>
          <cell r="BM713" t="str">
            <v>Ligaya Mauyao Escoto</v>
          </cell>
          <cell r="BN713" t="str">
            <v>Residential</v>
          </cell>
          <cell r="BO713" t="str">
            <v>Structure Owner</v>
          </cell>
          <cell r="FR713" t="str">
            <v>Need Displacement</v>
          </cell>
        </row>
        <row r="714">
          <cell r="AL714" t="str">
            <v>ISF</v>
          </cell>
          <cell r="BM714" t="str">
            <v>Marilyn Manuel Sinaglawa</v>
          </cell>
          <cell r="BN714" t="str">
            <v>Residential</v>
          </cell>
          <cell r="BO714" t="str">
            <v>Structure Owner</v>
          </cell>
          <cell r="FR714" t="str">
            <v>Can Stay (ACCESS BLOCK)</v>
          </cell>
        </row>
        <row r="715">
          <cell r="AL715" t="str">
            <v>ISF</v>
          </cell>
          <cell r="BM715" t="str">
            <v>Marilou Ballesteros Sta. Ana</v>
          </cell>
          <cell r="BN715" t="str">
            <v>Residential</v>
          </cell>
          <cell r="BO715" t="str">
            <v>Structure Renter</v>
          </cell>
          <cell r="FR715" t="str">
            <v>Can Stay (ACCESS BLOCK)</v>
          </cell>
        </row>
        <row r="716">
          <cell r="AL716" t="str">
            <v>ISF</v>
          </cell>
          <cell r="BM716" t="str">
            <v>Herminio Aquino Cayabyab</v>
          </cell>
          <cell r="BN716" t="str">
            <v>Residential</v>
          </cell>
          <cell r="BO716" t="str">
            <v>Structure Owner</v>
          </cell>
          <cell r="FR716" t="str">
            <v>Can Stay (ACCESS BLOCK)</v>
          </cell>
        </row>
        <row r="717">
          <cell r="AL717" t="str">
            <v>ISF</v>
          </cell>
          <cell r="BM717" t="str">
            <v>Robin Rey Lopez Tantay</v>
          </cell>
          <cell r="BN717" t="str">
            <v>Residential</v>
          </cell>
          <cell r="BO717" t="str">
            <v>Structure Owner</v>
          </cell>
          <cell r="FR717" t="str">
            <v>Need Displacement</v>
          </cell>
        </row>
        <row r="718">
          <cell r="AL718" t="str">
            <v>ISF</v>
          </cell>
          <cell r="BM718">
            <v>0</v>
          </cell>
          <cell r="BN718">
            <v>0</v>
          </cell>
          <cell r="BO718" t="str">
            <v>Co-owner</v>
          </cell>
          <cell r="FR718" t="str">
            <v>Need Displacement</v>
          </cell>
        </row>
        <row r="719">
          <cell r="AL719" t="str">
            <v>Land Owner</v>
          </cell>
          <cell r="BM719" t="str">
            <v>Jesus Inasoria Sergote</v>
          </cell>
          <cell r="BN719" t="str">
            <v>Residential</v>
          </cell>
          <cell r="BO719" t="str">
            <v>Structure Owner</v>
          </cell>
          <cell r="FR719" t="str">
            <v>Can Stay (ACCESS BLOCK)</v>
          </cell>
        </row>
        <row r="720">
          <cell r="AL720" t="str">
            <v>Land Owner</v>
          </cell>
          <cell r="AT720" t="str">
            <v>Y</v>
          </cell>
          <cell r="BM720" t="str">
            <v>Fernando Facondo Timbang</v>
          </cell>
          <cell r="BN720" t="str">
            <v>Residential</v>
          </cell>
          <cell r="BO720" t="str">
            <v>Structure Owner</v>
          </cell>
          <cell r="FR720" t="str">
            <v>Need Displacement</v>
          </cell>
        </row>
        <row r="721">
          <cell r="AL721" t="str">
            <v>Land Dweller</v>
          </cell>
          <cell r="BM721" t="str">
            <v>Charles Fer Timbang</v>
          </cell>
          <cell r="BN721" t="str">
            <v>Residential</v>
          </cell>
          <cell r="BO721" t="str">
            <v>Co-owner</v>
          </cell>
          <cell r="FR721" t="str">
            <v>Need Displacement</v>
          </cell>
        </row>
        <row r="722">
          <cell r="AL722" t="str">
            <v>ISF</v>
          </cell>
          <cell r="BM722" t="str">
            <v>Aurelia Lazaro Ramirez</v>
          </cell>
          <cell r="BN722" t="str">
            <v>Residential</v>
          </cell>
          <cell r="BO722" t="str">
            <v>Structure Owner</v>
          </cell>
          <cell r="FR722" t="str">
            <v>Need Displacement</v>
          </cell>
        </row>
        <row r="723">
          <cell r="AL723" t="str">
            <v>ISF</v>
          </cell>
          <cell r="BM723" t="str">
            <v>Mercelita Muñoz Ticar</v>
          </cell>
          <cell r="BN723" t="str">
            <v>Residential</v>
          </cell>
          <cell r="BO723" t="str">
            <v>Structure Owner</v>
          </cell>
          <cell r="FR723" t="str">
            <v>Need Displacement</v>
          </cell>
        </row>
        <row r="724">
          <cell r="AL724" t="str">
            <v>ISF</v>
          </cell>
          <cell r="BM724" t="str">
            <v>Rodolfo Del Pilar Ticar</v>
          </cell>
          <cell r="BN724" t="str">
            <v>Residential</v>
          </cell>
          <cell r="BO724" t="str">
            <v>Structure Owner</v>
          </cell>
          <cell r="FR724" t="str">
            <v>Need Displacement</v>
          </cell>
        </row>
        <row r="725">
          <cell r="AL725" t="str">
            <v>ISF</v>
          </cell>
          <cell r="BM725" t="str">
            <v>Milagros Quintans Baltazar</v>
          </cell>
          <cell r="BN725" t="str">
            <v>Residential</v>
          </cell>
          <cell r="BO725" t="str">
            <v>Structure Owner</v>
          </cell>
          <cell r="FR725" t="str">
            <v>Can Stay (ACCESS BLOCK)</v>
          </cell>
        </row>
        <row r="726">
          <cell r="AL726" t="str">
            <v>ISF</v>
          </cell>
          <cell r="BM726">
            <v>0</v>
          </cell>
          <cell r="BN726">
            <v>0</v>
          </cell>
          <cell r="BO726">
            <v>0</v>
          </cell>
        </row>
        <row r="727">
          <cell r="AL727" t="str">
            <v>ISF</v>
          </cell>
          <cell r="BM727">
            <v>0</v>
          </cell>
          <cell r="BN727">
            <v>0</v>
          </cell>
          <cell r="BO727">
            <v>0</v>
          </cell>
        </row>
        <row r="728">
          <cell r="AL728" t="str">
            <v>ISF</v>
          </cell>
          <cell r="BM728">
            <v>0</v>
          </cell>
          <cell r="BN728">
            <v>0</v>
          </cell>
          <cell r="BO728">
            <v>0</v>
          </cell>
          <cell r="FR728" t="str">
            <v>Can Stay (ACCESS BLOCK)</v>
          </cell>
        </row>
        <row r="729">
          <cell r="AL729" t="str">
            <v>Land Owner</v>
          </cell>
          <cell r="AT729" t="str">
            <v>Y</v>
          </cell>
          <cell r="BM729">
            <v>0</v>
          </cell>
          <cell r="BN729">
            <v>0</v>
          </cell>
          <cell r="BO729">
            <v>0</v>
          </cell>
        </row>
        <row r="730">
          <cell r="AL730" t="str">
            <v>Land Owner</v>
          </cell>
          <cell r="AT730" t="str">
            <v>Y</v>
          </cell>
          <cell r="BM730">
            <v>0</v>
          </cell>
          <cell r="BN730">
            <v>0</v>
          </cell>
          <cell r="BO730">
            <v>0</v>
          </cell>
        </row>
        <row r="731">
          <cell r="AL731" t="str">
            <v>ISF</v>
          </cell>
          <cell r="BM731" t="str">
            <v>Redentor Salud Guevarra</v>
          </cell>
          <cell r="BN731" t="str">
            <v>Residential</v>
          </cell>
          <cell r="BO731" t="str">
            <v>Structure Owner</v>
          </cell>
          <cell r="FR731" t="str">
            <v>Can Stay</v>
          </cell>
        </row>
        <row r="732">
          <cell r="AL732" t="str">
            <v>ISF</v>
          </cell>
          <cell r="BM732">
            <v>0</v>
          </cell>
          <cell r="BN732">
            <v>0</v>
          </cell>
          <cell r="BO732" t="str">
            <v>Structure Renter</v>
          </cell>
          <cell r="FR732" t="str">
            <v>Can Stay</v>
          </cell>
        </row>
        <row r="733">
          <cell r="AL733" t="str">
            <v>ISF</v>
          </cell>
          <cell r="BM733">
            <v>0</v>
          </cell>
          <cell r="BN733">
            <v>0</v>
          </cell>
          <cell r="BO733" t="str">
            <v>Structure Renter</v>
          </cell>
          <cell r="FR733" t="str">
            <v>Can Stay</v>
          </cell>
        </row>
        <row r="734">
          <cell r="AL734" t="str">
            <v>ISF</v>
          </cell>
          <cell r="BM734">
            <v>0</v>
          </cell>
          <cell r="BN734">
            <v>0</v>
          </cell>
          <cell r="BO734" t="str">
            <v>Structure Renter</v>
          </cell>
          <cell r="FR734" t="str">
            <v>Need Displacement</v>
          </cell>
        </row>
        <row r="735">
          <cell r="AL735" t="str">
            <v>Land Owner</v>
          </cell>
          <cell r="AT735" t="str">
            <v>Y</v>
          </cell>
          <cell r="BM735">
            <v>0</v>
          </cell>
          <cell r="BN735">
            <v>0</v>
          </cell>
          <cell r="BO735">
            <v>0</v>
          </cell>
        </row>
        <row r="736">
          <cell r="AL736" t="str">
            <v>Land Owner</v>
          </cell>
          <cell r="BM736" t="str">
            <v>Margarita Lara Flores</v>
          </cell>
          <cell r="BN736" t="str">
            <v>Residential</v>
          </cell>
          <cell r="BO736" t="str">
            <v>Structure Owner</v>
          </cell>
        </row>
        <row r="737">
          <cell r="AL737" t="str">
            <v>ISF</v>
          </cell>
          <cell r="BM737" t="str">
            <v>Johnbert Arsolon Halili</v>
          </cell>
          <cell r="BN737" t="str">
            <v>Residential</v>
          </cell>
          <cell r="BO737" t="str">
            <v>Structure Owner</v>
          </cell>
          <cell r="FR737" t="str">
            <v>Need Displacement</v>
          </cell>
        </row>
        <row r="738">
          <cell r="AL738" t="str">
            <v>Land Owner</v>
          </cell>
          <cell r="AT738" t="str">
            <v>Y</v>
          </cell>
          <cell r="BM738" t="str">
            <v>Nelson Agustin Sevilla Jr</v>
          </cell>
          <cell r="BN738" t="str">
            <v>Residential</v>
          </cell>
          <cell r="BO738" t="str">
            <v>Structure Owner</v>
          </cell>
          <cell r="FR738" t="str">
            <v>Can Stay (ACCESS BLOCK)</v>
          </cell>
        </row>
        <row r="739">
          <cell r="AL739" t="str">
            <v>Land Caretaker</v>
          </cell>
          <cell r="BM739">
            <v>0</v>
          </cell>
          <cell r="BN739">
            <v>0</v>
          </cell>
          <cell r="BO739" t="str">
            <v>Caretaker</v>
          </cell>
          <cell r="FR739" t="str">
            <v>Can Stay (ACCESS BLOCK)</v>
          </cell>
        </row>
        <row r="740">
          <cell r="AL740" t="str">
            <v>Land Lessee</v>
          </cell>
          <cell r="BM740">
            <v>0</v>
          </cell>
          <cell r="BN740">
            <v>0</v>
          </cell>
          <cell r="BO740" t="str">
            <v>Structure Renter</v>
          </cell>
          <cell r="FR740" t="str">
            <v>Can Stay (ACCESS BLOCK)</v>
          </cell>
        </row>
        <row r="741">
          <cell r="AL741" t="str">
            <v>Land Owner</v>
          </cell>
          <cell r="AT741" t="str">
            <v>Y</v>
          </cell>
          <cell r="BM741" t="str">
            <v>Efren Dela Cruz Ocampo</v>
          </cell>
          <cell r="BN741" t="str">
            <v>Residential</v>
          </cell>
          <cell r="BO741" t="str">
            <v>Structure Owner</v>
          </cell>
          <cell r="FR741" t="str">
            <v>Can Stay</v>
          </cell>
        </row>
        <row r="742">
          <cell r="AL742" t="str">
            <v>Land Lessee</v>
          </cell>
          <cell r="AT742">
            <v>0</v>
          </cell>
          <cell r="BM742">
            <v>0</v>
          </cell>
          <cell r="BN742">
            <v>0</v>
          </cell>
          <cell r="BO742" t="str">
            <v>Structure Renter</v>
          </cell>
          <cell r="FR742" t="str">
            <v>Can Stay</v>
          </cell>
        </row>
        <row r="743">
          <cell r="AL743" t="str">
            <v>Land Owner</v>
          </cell>
          <cell r="AT743" t="str">
            <v>Y</v>
          </cell>
          <cell r="BM743">
            <v>0</v>
          </cell>
          <cell r="BN743">
            <v>0</v>
          </cell>
          <cell r="BO743">
            <v>0</v>
          </cell>
          <cell r="FR743" t="str">
            <v>Can Stay</v>
          </cell>
        </row>
        <row r="744">
          <cell r="AL744" t="str">
            <v>ISF</v>
          </cell>
          <cell r="BM744" t="str">
            <v>Teresita Mesa Roxas</v>
          </cell>
          <cell r="BN744" t="str">
            <v>Residential</v>
          </cell>
          <cell r="BO744" t="str">
            <v>Structure Owner</v>
          </cell>
          <cell r="FR744" t="str">
            <v>Need Displacement</v>
          </cell>
        </row>
        <row r="745">
          <cell r="AL745" t="str">
            <v>ISF</v>
          </cell>
          <cell r="BM745" t="str">
            <v>Ramon Mendoza Uson</v>
          </cell>
          <cell r="BN745" t="str">
            <v>Residential</v>
          </cell>
          <cell r="BO745" t="str">
            <v>Structure Owner</v>
          </cell>
          <cell r="FR745" t="str">
            <v>Can Stay (ACCESS BLOCK)</v>
          </cell>
        </row>
        <row r="746">
          <cell r="AL746" t="str">
            <v>ISF</v>
          </cell>
          <cell r="BM746" t="str">
            <v>Lilia Torres Holgado</v>
          </cell>
          <cell r="BN746" t="str">
            <v>Residential</v>
          </cell>
          <cell r="BO746" t="str">
            <v>Structure Owner</v>
          </cell>
          <cell r="FR746" t="str">
            <v>Need Displacement</v>
          </cell>
        </row>
        <row r="747">
          <cell r="AL747" t="str">
            <v>ISF</v>
          </cell>
          <cell r="BM747" t="str">
            <v>Efren Herrera Guevarra</v>
          </cell>
          <cell r="BN747" t="str">
            <v>Residential</v>
          </cell>
          <cell r="BO747" t="str">
            <v>Structure Owner</v>
          </cell>
          <cell r="FR747" t="str">
            <v>Need Displacement</v>
          </cell>
        </row>
        <row r="748">
          <cell r="AL748" t="str">
            <v>ISF</v>
          </cell>
          <cell r="BM748" t="str">
            <v>Eleazar Guevarra</v>
          </cell>
          <cell r="BN748" t="str">
            <v>Residential</v>
          </cell>
          <cell r="BO748" t="str">
            <v>Structure Owner</v>
          </cell>
          <cell r="FR748" t="str">
            <v>Can Stay (ACCESS BLOCK)</v>
          </cell>
        </row>
        <row r="749">
          <cell r="AL749" t="str">
            <v>ISF</v>
          </cell>
          <cell r="BM749">
            <v>0</v>
          </cell>
          <cell r="BN749">
            <v>0</v>
          </cell>
          <cell r="BO749">
            <v>0</v>
          </cell>
        </row>
        <row r="750">
          <cell r="AL750" t="str">
            <v>ISF</v>
          </cell>
          <cell r="BM750" t="str">
            <v>Maria Paz Galero Marzalado</v>
          </cell>
          <cell r="BN750" t="str">
            <v>Residential</v>
          </cell>
          <cell r="BO750" t="str">
            <v>Structure Owner</v>
          </cell>
          <cell r="FR750" t="str">
            <v>Need Displacement</v>
          </cell>
        </row>
        <row r="751">
          <cell r="AL751" t="str">
            <v>ISF</v>
          </cell>
          <cell r="BM751" t="str">
            <v>Juanito Roan</v>
          </cell>
          <cell r="BN751" t="str">
            <v>Residential</v>
          </cell>
          <cell r="BO751" t="str">
            <v>Structure Owner</v>
          </cell>
        </row>
        <row r="752">
          <cell r="AL752" t="str">
            <v>Land owner</v>
          </cell>
          <cell r="BM752" t="str">
            <v>PNR</v>
          </cell>
          <cell r="BN752" t="str">
            <v>Industrial</v>
          </cell>
          <cell r="BO752" t="str">
            <v>Structure Owner</v>
          </cell>
        </row>
        <row r="753">
          <cell r="AL753" t="str">
            <v>Land owner</v>
          </cell>
          <cell r="BM753" t="str">
            <v>PNR</v>
          </cell>
          <cell r="BN753" t="str">
            <v>Institutional</v>
          </cell>
          <cell r="BO753" t="str">
            <v>Structure Owner</v>
          </cell>
        </row>
        <row r="754">
          <cell r="AL754" t="str">
            <v>Land owner</v>
          </cell>
          <cell r="BM754" t="str">
            <v>PNR</v>
          </cell>
          <cell r="BN754" t="str">
            <v>Institutional</v>
          </cell>
          <cell r="BO754" t="str">
            <v>Structure Owner</v>
          </cell>
        </row>
        <row r="755">
          <cell r="AL755" t="str">
            <v>Land owner</v>
          </cell>
          <cell r="BM755" t="str">
            <v>PNR</v>
          </cell>
          <cell r="BN755" t="str">
            <v>Institutional</v>
          </cell>
          <cell r="BO755" t="str">
            <v>Structure Owner</v>
          </cell>
        </row>
        <row r="756">
          <cell r="AL756" t="str">
            <v>Land owner</v>
          </cell>
          <cell r="AT756">
            <v>0</v>
          </cell>
          <cell r="BM756" t="str">
            <v>PNR</v>
          </cell>
          <cell r="BN756" t="str">
            <v>Institutional</v>
          </cell>
          <cell r="BO756" t="str">
            <v>Structure Owner</v>
          </cell>
        </row>
        <row r="757">
          <cell r="AL757" t="str">
            <v>Land owner</v>
          </cell>
          <cell r="AT757" t="str">
            <v>Y</v>
          </cell>
          <cell r="BM757" t="str">
            <v>PNR</v>
          </cell>
          <cell r="BN757" t="str">
            <v>Institutional</v>
          </cell>
          <cell r="BO757" t="str">
            <v>Structure Owner</v>
          </cell>
        </row>
        <row r="758">
          <cell r="AL758" t="str">
            <v>Land Dweller</v>
          </cell>
          <cell r="BM758" t="str">
            <v>Tutuban Prime Volunteer Association</v>
          </cell>
          <cell r="BN758" t="str">
            <v>Institutional</v>
          </cell>
          <cell r="BO758" t="str">
            <v>Structure Owner</v>
          </cell>
        </row>
        <row r="759">
          <cell r="AL759" t="str">
            <v>Land Lessee</v>
          </cell>
          <cell r="BM759">
            <v>0</v>
          </cell>
          <cell r="BN759">
            <v>0</v>
          </cell>
          <cell r="BO759">
            <v>0</v>
          </cell>
        </row>
        <row r="760">
          <cell r="AL760" t="str">
            <v>ISF</v>
          </cell>
          <cell r="AT760">
            <v>0</v>
          </cell>
          <cell r="BM760" t="str">
            <v>Elizabeth Yabut Remodaro</v>
          </cell>
          <cell r="BN760" t="str">
            <v>Residential</v>
          </cell>
          <cell r="BO760" t="str">
            <v>Co-owner</v>
          </cell>
          <cell r="FR760" t="str">
            <v>Need Displacement</v>
          </cell>
        </row>
        <row r="761">
          <cell r="AL761" t="str">
            <v>ISF</v>
          </cell>
          <cell r="AT761">
            <v>0</v>
          </cell>
          <cell r="BM761" t="str">
            <v>Segundino Dimalanta Yabut jr</v>
          </cell>
          <cell r="BN761" t="str">
            <v>Residential</v>
          </cell>
          <cell r="BO761" t="str">
            <v>Co-owner</v>
          </cell>
          <cell r="FR761" t="str">
            <v>Need Displacement</v>
          </cell>
        </row>
        <row r="762">
          <cell r="AL762" t="str">
            <v>ISF</v>
          </cell>
          <cell r="BM762" t="str">
            <v>Borneo DeLos Santos Francisco (+)</v>
          </cell>
          <cell r="BN762" t="str">
            <v>Residential</v>
          </cell>
          <cell r="BO762" t="str">
            <v>Structure Owner</v>
          </cell>
          <cell r="FR762" t="str">
            <v>Can Stay</v>
          </cell>
        </row>
        <row r="763">
          <cell r="AL763" t="str">
            <v>ISF</v>
          </cell>
          <cell r="BM763" t="str">
            <v>Florcepida Francisco</v>
          </cell>
          <cell r="BN763" t="str">
            <v>Residential</v>
          </cell>
          <cell r="BO763" t="str">
            <v>Co-owner</v>
          </cell>
          <cell r="FR763" t="str">
            <v>Need Displacement</v>
          </cell>
        </row>
        <row r="764">
          <cell r="AL764" t="str">
            <v>ISF</v>
          </cell>
          <cell r="BM764">
            <v>0</v>
          </cell>
          <cell r="BN764">
            <v>0</v>
          </cell>
          <cell r="BO764" t="str">
            <v>Structure Renter</v>
          </cell>
          <cell r="FR764" t="str">
            <v>Need Displacement</v>
          </cell>
        </row>
        <row r="765">
          <cell r="AL765" t="str">
            <v>ISF</v>
          </cell>
          <cell r="BM765">
            <v>0</v>
          </cell>
          <cell r="BN765">
            <v>0</v>
          </cell>
          <cell r="BO765" t="str">
            <v>Co-owner</v>
          </cell>
          <cell r="FR765" t="str">
            <v>Need Displacement</v>
          </cell>
        </row>
        <row r="766">
          <cell r="AL766" t="str">
            <v>ISF</v>
          </cell>
          <cell r="BM766">
            <v>0</v>
          </cell>
          <cell r="BN766">
            <v>0</v>
          </cell>
          <cell r="BO766" t="str">
            <v>Co-owner</v>
          </cell>
          <cell r="FR766" t="str">
            <v>Need Displacement</v>
          </cell>
        </row>
        <row r="767">
          <cell r="AL767" t="str">
            <v>ISF</v>
          </cell>
          <cell r="BM767" t="str">
            <v>Efren Solana Angeles (+)</v>
          </cell>
          <cell r="BN767" t="str">
            <v>Residential</v>
          </cell>
          <cell r="BO767" t="str">
            <v>Structure Owner</v>
          </cell>
          <cell r="FR767" t="str">
            <v>Need Displacement</v>
          </cell>
        </row>
        <row r="768">
          <cell r="AL768" t="str">
            <v>Land Owner</v>
          </cell>
          <cell r="AT768" t="str">
            <v>Y</v>
          </cell>
          <cell r="BM768" t="str">
            <v>Teofila Etang Baoc (+) / Eduardo Baoc Poblete</v>
          </cell>
          <cell r="BN768" t="str">
            <v>Residential</v>
          </cell>
          <cell r="BO768" t="str">
            <v>Structure Owner</v>
          </cell>
          <cell r="FR768" t="str">
            <v>Need Displacement</v>
          </cell>
        </row>
        <row r="769">
          <cell r="AL769" t="str">
            <v>Land Owner</v>
          </cell>
          <cell r="AT769" t="str">
            <v>Y</v>
          </cell>
          <cell r="BM769" t="str">
            <v>Angelito Calara Buenaventura</v>
          </cell>
          <cell r="BN769" t="str">
            <v>Residential</v>
          </cell>
          <cell r="BO769" t="str">
            <v>Structure Owner</v>
          </cell>
          <cell r="FR769" t="str">
            <v>Can Stay</v>
          </cell>
        </row>
        <row r="770">
          <cell r="AL770" t="str">
            <v>ISF</v>
          </cell>
          <cell r="BM770">
            <v>0</v>
          </cell>
          <cell r="BN770">
            <v>0</v>
          </cell>
          <cell r="BO770">
            <v>0</v>
          </cell>
        </row>
        <row r="771">
          <cell r="AL771" t="str">
            <v>ISF</v>
          </cell>
          <cell r="BM771">
            <v>0</v>
          </cell>
          <cell r="BN771">
            <v>0</v>
          </cell>
          <cell r="BO771">
            <v>0</v>
          </cell>
        </row>
        <row r="772">
          <cell r="AL772" t="str">
            <v>ISF</v>
          </cell>
          <cell r="BM772" t="str">
            <v>Elvira Bordo Manalo</v>
          </cell>
          <cell r="BN772" t="str">
            <v>Residential</v>
          </cell>
          <cell r="BO772" t="str">
            <v>Structure Owner</v>
          </cell>
          <cell r="FR772" t="str">
            <v>Can Stay</v>
          </cell>
        </row>
        <row r="773">
          <cell r="AL773" t="str">
            <v>ISF</v>
          </cell>
          <cell r="BM773" t="str">
            <v>Jocelyn Rodilla Gravoso</v>
          </cell>
          <cell r="BN773" t="str">
            <v>Residential</v>
          </cell>
          <cell r="BO773" t="str">
            <v>Structure Owner</v>
          </cell>
          <cell r="FR773" t="str">
            <v>Need Displacement</v>
          </cell>
        </row>
        <row r="774">
          <cell r="AL774" t="str">
            <v>ISF</v>
          </cell>
          <cell r="BM774" t="str">
            <v>Jose Ruel Sacapaño Jornales</v>
          </cell>
          <cell r="BN774" t="str">
            <v>Residential</v>
          </cell>
          <cell r="BO774" t="str">
            <v>Structure Owner</v>
          </cell>
          <cell r="FR774" t="str">
            <v>Can Stay</v>
          </cell>
        </row>
        <row r="775">
          <cell r="AL775" t="str">
            <v>ISF</v>
          </cell>
          <cell r="BM775">
            <v>0</v>
          </cell>
          <cell r="BN775">
            <v>0</v>
          </cell>
          <cell r="BO775">
            <v>0</v>
          </cell>
        </row>
        <row r="776">
          <cell r="AL776" t="str">
            <v>ISF</v>
          </cell>
          <cell r="BM776">
            <v>0</v>
          </cell>
          <cell r="BN776">
            <v>0</v>
          </cell>
          <cell r="BO776">
            <v>0</v>
          </cell>
        </row>
        <row r="777">
          <cell r="AL777" t="str">
            <v>Land Owner</v>
          </cell>
          <cell r="AT777" t="str">
            <v>Y</v>
          </cell>
          <cell r="BM777">
            <v>0</v>
          </cell>
          <cell r="BN777">
            <v>0</v>
          </cell>
          <cell r="BO777">
            <v>0</v>
          </cell>
        </row>
        <row r="778">
          <cell r="AL778" t="str">
            <v>Land Owner</v>
          </cell>
          <cell r="AT778" t="str">
            <v>Y</v>
          </cell>
          <cell r="BM778">
            <v>0</v>
          </cell>
          <cell r="BN778">
            <v>0</v>
          </cell>
          <cell r="BO778">
            <v>0</v>
          </cell>
        </row>
        <row r="779">
          <cell r="AL779" t="str">
            <v>ISF</v>
          </cell>
          <cell r="BM779" t="str">
            <v>Yolly Aldana</v>
          </cell>
          <cell r="BN779" t="str">
            <v>Residential</v>
          </cell>
          <cell r="BO779" t="str">
            <v>Structure Owner</v>
          </cell>
        </row>
        <row r="780">
          <cell r="AL780" t="str">
            <v>ISF</v>
          </cell>
          <cell r="BM780" t="str">
            <v>Antonio Pinto Angeles</v>
          </cell>
          <cell r="BN780" t="str">
            <v>Residential</v>
          </cell>
          <cell r="BO780" t="str">
            <v>Structure Owner</v>
          </cell>
          <cell r="FR780" t="str">
            <v>Need Displacement</v>
          </cell>
        </row>
        <row r="781">
          <cell r="AL781" t="str">
            <v>ISF</v>
          </cell>
          <cell r="BM781">
            <v>0</v>
          </cell>
          <cell r="BN781">
            <v>0</v>
          </cell>
          <cell r="BO781">
            <v>0</v>
          </cell>
        </row>
        <row r="782">
          <cell r="AL782" t="str">
            <v>ISF</v>
          </cell>
          <cell r="BM782">
            <v>0</v>
          </cell>
          <cell r="BN782">
            <v>0</v>
          </cell>
          <cell r="BO782">
            <v>0</v>
          </cell>
        </row>
        <row r="783">
          <cell r="AL783" t="str">
            <v>ISF</v>
          </cell>
          <cell r="BM783">
            <v>0</v>
          </cell>
          <cell r="BN783">
            <v>0</v>
          </cell>
          <cell r="BO783">
            <v>0</v>
          </cell>
        </row>
        <row r="784">
          <cell r="AL784" t="str">
            <v>ISF</v>
          </cell>
          <cell r="BM784" t="str">
            <v xml:space="preserve"> Dennis Adrigado Ravina/Gerbeth Ravina Donguines </v>
          </cell>
          <cell r="BN784" t="str">
            <v>Residential</v>
          </cell>
          <cell r="BO784" t="str">
            <v>Structure Owner</v>
          </cell>
          <cell r="FR784" t="str">
            <v>Can Stay</v>
          </cell>
        </row>
        <row r="785">
          <cell r="AL785" t="str">
            <v>ISF</v>
          </cell>
          <cell r="BM785">
            <v>0</v>
          </cell>
          <cell r="BN785">
            <v>0</v>
          </cell>
          <cell r="BO785" t="str">
            <v>Co-owner</v>
          </cell>
          <cell r="FR785" t="str">
            <v>Can Stay</v>
          </cell>
        </row>
        <row r="786">
          <cell r="AL786" t="str">
            <v>ISF</v>
          </cell>
          <cell r="BM786" t="str">
            <v>Carmina Batardo Miguel</v>
          </cell>
          <cell r="BN786" t="str">
            <v>Mixed Use</v>
          </cell>
          <cell r="BO786" t="str">
            <v>Structure Owner</v>
          </cell>
          <cell r="FR786" t="str">
            <v>Need Displacement</v>
          </cell>
        </row>
        <row r="787">
          <cell r="AL787" t="str">
            <v>ISF</v>
          </cell>
          <cell r="BM787" t="str">
            <v>Adelaida Tariman Ramos</v>
          </cell>
          <cell r="BN787" t="str">
            <v>Residential</v>
          </cell>
          <cell r="BO787" t="str">
            <v>Structure Owner</v>
          </cell>
          <cell r="FR787" t="str">
            <v>Can Stay</v>
          </cell>
        </row>
        <row r="788">
          <cell r="AL788" t="str">
            <v>Land Owner</v>
          </cell>
          <cell r="AT788" t="str">
            <v>Y</v>
          </cell>
          <cell r="BM788" t="str">
            <v>Constancio Anching Sta. Juana</v>
          </cell>
          <cell r="BN788" t="str">
            <v>Residential</v>
          </cell>
          <cell r="BO788" t="str">
            <v>Structure Owner</v>
          </cell>
          <cell r="FR788" t="str">
            <v>Need Displacement</v>
          </cell>
        </row>
        <row r="789">
          <cell r="AL789" t="str">
            <v>Land Dweller</v>
          </cell>
          <cell r="BM789">
            <v>0</v>
          </cell>
          <cell r="BN789">
            <v>0</v>
          </cell>
          <cell r="BO789" t="str">
            <v>Co-owner</v>
          </cell>
          <cell r="FR789" t="str">
            <v>Need Displacement</v>
          </cell>
        </row>
        <row r="790">
          <cell r="AL790" t="str">
            <v>Land Dweller</v>
          </cell>
          <cell r="BM790">
            <v>0</v>
          </cell>
          <cell r="BN790">
            <v>0</v>
          </cell>
          <cell r="BO790" t="str">
            <v>Co-owner</v>
          </cell>
          <cell r="FR790" t="str">
            <v>Need Displacement</v>
          </cell>
        </row>
        <row r="791">
          <cell r="AL791" t="str">
            <v>ISF</v>
          </cell>
          <cell r="BM791" t="str">
            <v>Joyce Anne Parungao Antenor</v>
          </cell>
          <cell r="BN791" t="str">
            <v>Residential</v>
          </cell>
          <cell r="BO791" t="str">
            <v>Structure Owner</v>
          </cell>
          <cell r="FR791" t="str">
            <v>Need Displacement</v>
          </cell>
        </row>
        <row r="792">
          <cell r="AL792" t="str">
            <v>ISF</v>
          </cell>
          <cell r="AT792">
            <v>0</v>
          </cell>
          <cell r="BM792" t="str">
            <v>Ernesto Mendoza Parungao</v>
          </cell>
          <cell r="BN792" t="str">
            <v>Residential</v>
          </cell>
          <cell r="BO792" t="str">
            <v>Structure Owner</v>
          </cell>
          <cell r="FR792" t="str">
            <v>Need Displacement</v>
          </cell>
        </row>
        <row r="793">
          <cell r="AL793" t="str">
            <v>ISF</v>
          </cell>
          <cell r="AT793">
            <v>0</v>
          </cell>
          <cell r="BM793" t="str">
            <v>Jonel Parungao</v>
          </cell>
          <cell r="BN793" t="str">
            <v>Residential</v>
          </cell>
          <cell r="BO793" t="str">
            <v>Structure Owner</v>
          </cell>
          <cell r="FR793" t="str">
            <v>Need Displacement</v>
          </cell>
        </row>
        <row r="794">
          <cell r="AL794" t="str">
            <v>ISF</v>
          </cell>
          <cell r="BM794" t="str">
            <v>Corazon Parungao</v>
          </cell>
          <cell r="BN794" t="str">
            <v>Residential</v>
          </cell>
          <cell r="BO794" t="str">
            <v>Structure Owner</v>
          </cell>
          <cell r="FR794" t="str">
            <v>Need Displacement</v>
          </cell>
        </row>
        <row r="795">
          <cell r="AL795" t="str">
            <v>ISF</v>
          </cell>
          <cell r="BM795" t="str">
            <v>Ariel Dela Cruz Lorenzo</v>
          </cell>
          <cell r="BN795" t="str">
            <v>Residential</v>
          </cell>
          <cell r="BO795" t="str">
            <v>Structure Owner</v>
          </cell>
          <cell r="FR795" t="str">
            <v>Need Displacement</v>
          </cell>
        </row>
        <row r="796">
          <cell r="AL796" t="str">
            <v>ISF</v>
          </cell>
          <cell r="BM796" t="str">
            <v>Christina Galenato Parungao</v>
          </cell>
          <cell r="BN796" t="str">
            <v>Residential</v>
          </cell>
          <cell r="BO796" t="str">
            <v>Structure Owner</v>
          </cell>
          <cell r="FR796" t="str">
            <v>Need Displacement</v>
          </cell>
        </row>
        <row r="797">
          <cell r="AL797" t="str">
            <v>ISF</v>
          </cell>
          <cell r="BM797" t="str">
            <v>Lorna Parungao Heran</v>
          </cell>
          <cell r="BN797" t="str">
            <v>Residential</v>
          </cell>
          <cell r="BO797" t="str">
            <v>Structure Owner</v>
          </cell>
          <cell r="FR797" t="str">
            <v>Need Displacement</v>
          </cell>
        </row>
        <row r="798">
          <cell r="AL798" t="str">
            <v>ISF</v>
          </cell>
          <cell r="BM798" t="str">
            <v>Reynaldo Galinato Parungao</v>
          </cell>
          <cell r="BN798" t="str">
            <v>Residential</v>
          </cell>
          <cell r="BO798" t="str">
            <v>Structure Owner</v>
          </cell>
          <cell r="FR798" t="str">
            <v>Need Displacement</v>
          </cell>
        </row>
        <row r="799">
          <cell r="AL799" t="str">
            <v>ISF</v>
          </cell>
          <cell r="AT799">
            <v>0</v>
          </cell>
          <cell r="BM799" t="str">
            <v>Josefino Mendoza Parungao</v>
          </cell>
          <cell r="BN799" t="str">
            <v>Residential</v>
          </cell>
          <cell r="BO799" t="str">
            <v>Structure Owner</v>
          </cell>
          <cell r="FR799" t="str">
            <v>Need Displacement</v>
          </cell>
        </row>
        <row r="800">
          <cell r="AL800" t="str">
            <v>ISF</v>
          </cell>
          <cell r="AT800">
            <v>0</v>
          </cell>
          <cell r="BM800" t="str">
            <v>Clarita Roaquin de Vera</v>
          </cell>
          <cell r="BN800" t="str">
            <v>Residential</v>
          </cell>
          <cell r="BO800" t="str">
            <v>Structure Owner</v>
          </cell>
          <cell r="FR800" t="str">
            <v>Can Stay</v>
          </cell>
        </row>
        <row r="801">
          <cell r="AL801" t="str">
            <v>ISF</v>
          </cell>
          <cell r="BM801">
            <v>0</v>
          </cell>
          <cell r="BN801">
            <v>0</v>
          </cell>
          <cell r="BO801" t="str">
            <v>Sharer</v>
          </cell>
          <cell r="FR801" t="str">
            <v>Can Stay</v>
          </cell>
        </row>
        <row r="802">
          <cell r="AL802" t="str">
            <v>ISF</v>
          </cell>
          <cell r="BM802">
            <v>0</v>
          </cell>
          <cell r="BN802">
            <v>0</v>
          </cell>
          <cell r="BO802" t="str">
            <v>Sharer</v>
          </cell>
          <cell r="FR802" t="str">
            <v>Can Stay</v>
          </cell>
        </row>
        <row r="803">
          <cell r="AL803" t="str">
            <v>ISF</v>
          </cell>
          <cell r="BM803" t="str">
            <v>Michael Rapis Macapagal</v>
          </cell>
          <cell r="BN803" t="str">
            <v>Residential</v>
          </cell>
          <cell r="BO803" t="str">
            <v>Structure Owner</v>
          </cell>
          <cell r="FR803" t="str">
            <v>Need Displacement</v>
          </cell>
        </row>
        <row r="804">
          <cell r="AL804" t="str">
            <v>ISF</v>
          </cell>
          <cell r="BM804" t="str">
            <v>Raul Adrales Cabeltes / Ramil Ramos Cabeltes</v>
          </cell>
          <cell r="BN804" t="str">
            <v>Residential</v>
          </cell>
          <cell r="BO804" t="str">
            <v>Structure Owner</v>
          </cell>
          <cell r="FR804" t="str">
            <v>Need Displacement</v>
          </cell>
        </row>
        <row r="805">
          <cell r="AL805" t="str">
            <v>ISF</v>
          </cell>
          <cell r="BM805">
            <v>0</v>
          </cell>
          <cell r="BN805">
            <v>0</v>
          </cell>
          <cell r="BO805" t="str">
            <v>Structure Owner</v>
          </cell>
          <cell r="FR805" t="str">
            <v>Need Displacement</v>
          </cell>
        </row>
        <row r="806">
          <cell r="AL806" t="str">
            <v>Land Owner</v>
          </cell>
          <cell r="AT806">
            <v>0</v>
          </cell>
          <cell r="BM806" t="str">
            <v>Florentina Menesis Mendoza</v>
          </cell>
          <cell r="BN806" t="str">
            <v>Residential</v>
          </cell>
          <cell r="BO806" t="str">
            <v>Structure Owner</v>
          </cell>
          <cell r="FR806" t="str">
            <v>Can Stay</v>
          </cell>
        </row>
        <row r="807">
          <cell r="AL807" t="str">
            <v>Land Dweller</v>
          </cell>
          <cell r="BM807">
            <v>0</v>
          </cell>
          <cell r="BN807">
            <v>0</v>
          </cell>
          <cell r="BO807">
            <v>0</v>
          </cell>
        </row>
        <row r="808">
          <cell r="AL808" t="str">
            <v>Land Owner</v>
          </cell>
          <cell r="AT808">
            <v>0</v>
          </cell>
          <cell r="BM808" t="str">
            <v>Eloisa Samonte Tamayo</v>
          </cell>
          <cell r="BN808" t="str">
            <v>Residential</v>
          </cell>
          <cell r="BO808" t="str">
            <v>Structure Owner</v>
          </cell>
          <cell r="FR808" t="str">
            <v>Can Stay</v>
          </cell>
        </row>
        <row r="809">
          <cell r="AL809" t="str">
            <v>Land Lessee</v>
          </cell>
          <cell r="BM809">
            <v>0</v>
          </cell>
          <cell r="BN809">
            <v>0</v>
          </cell>
          <cell r="BO809" t="str">
            <v>Structure Renter</v>
          </cell>
          <cell r="FR809" t="str">
            <v>Can Stay</v>
          </cell>
        </row>
        <row r="810">
          <cell r="AL810" t="str">
            <v>Land Lessee</v>
          </cell>
          <cell r="BM810">
            <v>0</v>
          </cell>
          <cell r="BN810">
            <v>0</v>
          </cell>
          <cell r="BO810" t="str">
            <v>Structure Renter</v>
          </cell>
          <cell r="FR810" t="str">
            <v>Can Stay</v>
          </cell>
        </row>
        <row r="811">
          <cell r="AL811" t="str">
            <v>ISF</v>
          </cell>
          <cell r="BM811" t="str">
            <v>Auxencia Granados Ponce</v>
          </cell>
          <cell r="BN811" t="str">
            <v>Residential</v>
          </cell>
          <cell r="BO811" t="str">
            <v>Structure Owner</v>
          </cell>
          <cell r="FR811" t="str">
            <v>Can Stay</v>
          </cell>
        </row>
        <row r="812">
          <cell r="AL812" t="str">
            <v>ISF</v>
          </cell>
          <cell r="BM812">
            <v>0</v>
          </cell>
          <cell r="BN812">
            <v>0</v>
          </cell>
          <cell r="BO812" t="str">
            <v>Structure Renter</v>
          </cell>
          <cell r="FR812" t="str">
            <v>Can Stay</v>
          </cell>
        </row>
        <row r="813">
          <cell r="AL813" t="str">
            <v>ISF</v>
          </cell>
          <cell r="AT813" t="str">
            <v>Y</v>
          </cell>
          <cell r="BM813" t="str">
            <v>Ernesto Abarquez Lu</v>
          </cell>
          <cell r="BN813" t="str">
            <v>Residential</v>
          </cell>
          <cell r="BO813" t="str">
            <v>Structure Owner</v>
          </cell>
          <cell r="FR813" t="str">
            <v>Need Displacement</v>
          </cell>
        </row>
        <row r="814">
          <cell r="AL814" t="str">
            <v>ISF</v>
          </cell>
          <cell r="BM814">
            <v>0</v>
          </cell>
          <cell r="BN814">
            <v>0</v>
          </cell>
          <cell r="BO814" t="str">
            <v>Structure Renter</v>
          </cell>
        </row>
        <row r="815">
          <cell r="AL815" t="str">
            <v>ISF</v>
          </cell>
          <cell r="AT815" t="str">
            <v>Y</v>
          </cell>
          <cell r="BM815" t="str">
            <v>Africa Turla Garcia</v>
          </cell>
          <cell r="BN815" t="str">
            <v>Residential</v>
          </cell>
          <cell r="BO815" t="str">
            <v>Structure Owner</v>
          </cell>
          <cell r="FR815" t="str">
            <v>Need Displacement</v>
          </cell>
        </row>
        <row r="816">
          <cell r="AL816" t="str">
            <v>ISF</v>
          </cell>
          <cell r="BM816" t="str">
            <v>Cesar Meneses</v>
          </cell>
          <cell r="BN816" t="str">
            <v>Residential</v>
          </cell>
          <cell r="BO816" t="str">
            <v>Structure Owner</v>
          </cell>
          <cell r="FR816" t="str">
            <v>Can Stay</v>
          </cell>
        </row>
        <row r="817">
          <cell r="AL817" t="str">
            <v>ISF</v>
          </cell>
          <cell r="BM817">
            <v>0</v>
          </cell>
          <cell r="BN817">
            <v>0</v>
          </cell>
          <cell r="BO817" t="str">
            <v>Sharer</v>
          </cell>
          <cell r="FR817" t="str">
            <v>Can Stay</v>
          </cell>
        </row>
        <row r="818">
          <cell r="AL818" t="str">
            <v>ISF</v>
          </cell>
          <cell r="BM818">
            <v>0</v>
          </cell>
          <cell r="BN818">
            <v>0</v>
          </cell>
          <cell r="BO818" t="str">
            <v>Structure Owner</v>
          </cell>
          <cell r="FR818" t="str">
            <v>Can Stay</v>
          </cell>
        </row>
        <row r="819">
          <cell r="AL819" t="str">
            <v>Land Owner</v>
          </cell>
          <cell r="BM819">
            <v>0</v>
          </cell>
          <cell r="BN819">
            <v>0</v>
          </cell>
          <cell r="BO819">
            <v>0</v>
          </cell>
        </row>
        <row r="820">
          <cell r="AL820" t="str">
            <v>ISF</v>
          </cell>
          <cell r="BM820" t="str">
            <v>Adrian Perez Santos</v>
          </cell>
          <cell r="BN820" t="str">
            <v>Residential</v>
          </cell>
          <cell r="BO820" t="str">
            <v>Structure Owner</v>
          </cell>
          <cell r="FR820" t="str">
            <v>Need Displacement</v>
          </cell>
        </row>
        <row r="821">
          <cell r="AL821" t="str">
            <v>Land Owner</v>
          </cell>
          <cell r="BM821" t="str">
            <v>Arsenia Cruz Perez</v>
          </cell>
          <cell r="BN821" t="str">
            <v>Residential</v>
          </cell>
          <cell r="BO821" t="str">
            <v>Structure Owner</v>
          </cell>
          <cell r="FR821" t="str">
            <v>Need Displacement</v>
          </cell>
        </row>
        <row r="822">
          <cell r="AL822" t="str">
            <v>Land Owner</v>
          </cell>
          <cell r="AT822">
            <v>0</v>
          </cell>
          <cell r="BM822" t="str">
            <v>Nenita Caparaz Gimenez</v>
          </cell>
          <cell r="BN822" t="str">
            <v>Residential</v>
          </cell>
          <cell r="BO822" t="str">
            <v>Structure Owner</v>
          </cell>
          <cell r="FR822" t="str">
            <v>Need Displacement</v>
          </cell>
        </row>
        <row r="823">
          <cell r="AL823" t="str">
            <v>Land Dweller</v>
          </cell>
          <cell r="AT823">
            <v>0</v>
          </cell>
          <cell r="BM823" t="str">
            <v>Danilo Legaspe Gimenez/ Nicanor Legaspe Gimenez</v>
          </cell>
          <cell r="BN823" t="str">
            <v>Residential</v>
          </cell>
          <cell r="BO823" t="str">
            <v>Structure Owner</v>
          </cell>
          <cell r="FR823" t="str">
            <v>Can Stay</v>
          </cell>
        </row>
        <row r="824">
          <cell r="AL824" t="str">
            <v>ISF</v>
          </cell>
          <cell r="AT824">
            <v>0</v>
          </cell>
          <cell r="BM824" t="str">
            <v>Marco, Norma Soriaga</v>
          </cell>
          <cell r="BN824" t="str">
            <v>Residential</v>
          </cell>
          <cell r="BO824" t="str">
            <v>Co-owner</v>
          </cell>
          <cell r="FR824" t="str">
            <v>Can Stay</v>
          </cell>
        </row>
        <row r="825">
          <cell r="AL825" t="str">
            <v>ISF</v>
          </cell>
          <cell r="AT825">
            <v>0</v>
          </cell>
          <cell r="BM825">
            <v>0</v>
          </cell>
          <cell r="BN825">
            <v>0</v>
          </cell>
          <cell r="BO825" t="str">
            <v>Co-owner</v>
          </cell>
        </row>
        <row r="826">
          <cell r="AL826" t="str">
            <v>ISF</v>
          </cell>
          <cell r="AT826">
            <v>0</v>
          </cell>
          <cell r="BM826">
            <v>0</v>
          </cell>
          <cell r="BN826">
            <v>0</v>
          </cell>
          <cell r="BO826" t="str">
            <v>Co-owner</v>
          </cell>
        </row>
        <row r="827">
          <cell r="AL827" t="str">
            <v>ISF</v>
          </cell>
          <cell r="AT827">
            <v>0</v>
          </cell>
          <cell r="BM827">
            <v>0</v>
          </cell>
          <cell r="BN827">
            <v>0</v>
          </cell>
          <cell r="BO827" t="str">
            <v>Co-owner</v>
          </cell>
        </row>
        <row r="828">
          <cell r="AL828" t="str">
            <v>ISF</v>
          </cell>
          <cell r="BM828" t="str">
            <v>Cesar Legaspi Vicente (+)/ c/o Josephine V. Fatalla</v>
          </cell>
          <cell r="BN828" t="str">
            <v>Residential</v>
          </cell>
          <cell r="BO828" t="str">
            <v>Structure Owner</v>
          </cell>
          <cell r="FR828" t="str">
            <v>Can Stay</v>
          </cell>
        </row>
        <row r="829">
          <cell r="AL829" t="str">
            <v>ISF</v>
          </cell>
          <cell r="BM829">
            <v>0</v>
          </cell>
          <cell r="BN829">
            <v>0</v>
          </cell>
          <cell r="BO829" t="str">
            <v>Sharer</v>
          </cell>
          <cell r="FR829" t="str">
            <v>Can Stay</v>
          </cell>
        </row>
        <row r="830">
          <cell r="AL830" t="str">
            <v>ISF</v>
          </cell>
          <cell r="BM830">
            <v>0</v>
          </cell>
          <cell r="BN830">
            <v>0</v>
          </cell>
          <cell r="BO830" t="str">
            <v>Structure Renter</v>
          </cell>
          <cell r="FR830" t="str">
            <v>Can Stay</v>
          </cell>
        </row>
        <row r="831">
          <cell r="AL831" t="str">
            <v>ISF</v>
          </cell>
          <cell r="BM831">
            <v>0</v>
          </cell>
          <cell r="BN831">
            <v>0</v>
          </cell>
          <cell r="BO831" t="str">
            <v>Structure Renter</v>
          </cell>
          <cell r="FR831" t="str">
            <v>Can Stay</v>
          </cell>
        </row>
        <row r="832">
          <cell r="AL832">
            <v>740</v>
          </cell>
          <cell r="BM832">
            <v>419</v>
          </cell>
          <cell r="BN832">
            <v>419</v>
          </cell>
          <cell r="BO832">
            <v>601</v>
          </cell>
        </row>
      </sheetData>
      <sheetData sheetId="1">
        <row r="1">
          <cell r="A1" t="str">
            <v>A.     RESPONDENT INFORMATION</v>
          </cell>
          <cell r="E1">
            <v>0</v>
          </cell>
          <cell r="S1">
            <v>0</v>
          </cell>
          <cell r="AK1">
            <v>0</v>
          </cell>
          <cell r="AN1">
            <v>0</v>
          </cell>
          <cell r="AQ1">
            <v>0</v>
          </cell>
          <cell r="AS1" t="str">
            <v>C1.     LAND RELATION</v>
          </cell>
          <cell r="BM1">
            <v>0</v>
          </cell>
          <cell r="BN1">
            <v>0</v>
          </cell>
          <cell r="BR1">
            <v>0</v>
          </cell>
          <cell r="FQ1">
            <v>0</v>
          </cell>
          <cell r="IB1" t="str">
            <v>F.     SOCIAL VULNERABILITY</v>
          </cell>
          <cell r="IC1">
            <v>0</v>
          </cell>
          <cell r="ID1">
            <v>0</v>
          </cell>
          <cell r="IE1">
            <v>0</v>
          </cell>
          <cell r="IP1">
            <v>0</v>
          </cell>
          <cell r="IR1">
            <v>0</v>
          </cell>
          <cell r="IT1">
            <v>0</v>
          </cell>
          <cell r="IU1">
            <v>0</v>
          </cell>
        </row>
        <row r="2">
          <cell r="A2">
            <v>0</v>
          </cell>
          <cell r="E2">
            <v>0</v>
          </cell>
          <cell r="S2">
            <v>0</v>
          </cell>
          <cell r="AK2">
            <v>0</v>
          </cell>
          <cell r="AN2">
            <v>0</v>
          </cell>
          <cell r="AQ2">
            <v>0</v>
          </cell>
          <cell r="AS2">
            <v>0</v>
          </cell>
          <cell r="BM2">
            <v>0</v>
          </cell>
          <cell r="BN2">
            <v>0</v>
          </cell>
          <cell r="BR2">
            <v>0</v>
          </cell>
          <cell r="FQ2">
            <v>0</v>
          </cell>
          <cell r="IB2">
            <v>0</v>
          </cell>
          <cell r="IC2">
            <v>0</v>
          </cell>
          <cell r="ID2">
            <v>0</v>
          </cell>
          <cell r="IE2">
            <v>0</v>
          </cell>
          <cell r="IP2">
            <v>0</v>
          </cell>
          <cell r="IR2">
            <v>0</v>
          </cell>
          <cell r="IT2">
            <v>0</v>
          </cell>
          <cell r="IU2">
            <v>0</v>
          </cell>
        </row>
        <row r="3">
          <cell r="A3">
            <v>0</v>
          </cell>
          <cell r="E3" t="str">
            <v>Address</v>
          </cell>
          <cell r="S3" t="str">
            <v>Gender</v>
          </cell>
          <cell r="AK3" t="str">
            <v>Type of DP</v>
          </cell>
          <cell r="AN3">
            <v>0</v>
          </cell>
          <cell r="AQ3">
            <v>0</v>
          </cell>
          <cell r="AS3" t="str">
            <v xml:space="preserve">Document </v>
          </cell>
          <cell r="BM3" t="str">
            <v>Use</v>
          </cell>
          <cell r="BN3" t="str">
            <v>Informal Income</v>
          </cell>
          <cell r="BR3">
            <v>0</v>
          </cell>
          <cell r="FQ3" t="str">
            <v>Displacement</v>
          </cell>
          <cell r="IB3" t="str">
            <v>&lt;10,000/mo</v>
          </cell>
          <cell r="IC3" t="str">
            <v>HH headed by women</v>
          </cell>
          <cell r="ID3" t="str">
            <v>Person &gt; 60 yrs</v>
          </cell>
          <cell r="IE3" t="str">
            <v>Special assistance</v>
          </cell>
          <cell r="IP3" t="str">
            <v>Status of  occupant</v>
          </cell>
          <cell r="IR3" t="str">
            <v xml:space="preserve"> Type of business </v>
          </cell>
          <cell r="IT3" t="str">
            <v>Business Licence Information</v>
          </cell>
          <cell r="IU3">
            <v>0</v>
          </cell>
        </row>
        <row r="4">
          <cell r="A4">
            <v>0</v>
          </cell>
          <cell r="E4">
            <v>0</v>
          </cell>
          <cell r="S4">
            <v>0</v>
          </cell>
          <cell r="AK4">
            <v>0</v>
          </cell>
          <cell r="AN4" t="str">
            <v>% of total</v>
          </cell>
          <cell r="AQ4" t="str">
            <v>any PAYMENT done?</v>
          </cell>
          <cell r="AS4">
            <v>0</v>
          </cell>
          <cell r="BM4">
            <v>0</v>
          </cell>
          <cell r="BN4">
            <v>0</v>
          </cell>
          <cell r="BR4" t="str">
            <v>%</v>
          </cell>
          <cell r="FQ4">
            <v>0</v>
          </cell>
          <cell r="IB4">
            <v>0</v>
          </cell>
          <cell r="IC4">
            <v>0</v>
          </cell>
          <cell r="ID4">
            <v>0</v>
          </cell>
          <cell r="IE4">
            <v>0</v>
          </cell>
          <cell r="IP4">
            <v>0</v>
          </cell>
          <cell r="IR4">
            <v>0</v>
          </cell>
          <cell r="IT4" t="str">
            <v>with license</v>
          </cell>
          <cell r="IU4" t="str">
            <v>without license</v>
          </cell>
        </row>
        <row r="5">
          <cell r="A5" t="str">
            <v>legal</v>
          </cell>
          <cell r="E5" t="str">
            <v>North Madison Place Subdivision, Mc. Arthur Highway, Tikay, Malolos City</v>
          </cell>
          <cell r="S5">
            <v>0</v>
          </cell>
          <cell r="AK5" t="str">
            <v>Land Owner</v>
          </cell>
          <cell r="AN5">
            <v>0</v>
          </cell>
          <cell r="AQ5">
            <v>0</v>
          </cell>
          <cell r="AS5" t="str">
            <v>Y</v>
          </cell>
          <cell r="BM5">
            <v>0</v>
          </cell>
          <cell r="BN5">
            <v>0</v>
          </cell>
          <cell r="BR5">
            <v>0</v>
          </cell>
          <cell r="FQ5">
            <v>0</v>
          </cell>
          <cell r="IB5">
            <v>0</v>
          </cell>
          <cell r="IC5">
            <v>0</v>
          </cell>
          <cell r="ID5">
            <v>0</v>
          </cell>
          <cell r="IE5">
            <v>0</v>
          </cell>
          <cell r="IP5">
            <v>0</v>
          </cell>
          <cell r="IR5">
            <v>0</v>
          </cell>
          <cell r="IT5">
            <v>0</v>
          </cell>
          <cell r="IU5">
            <v>0</v>
          </cell>
        </row>
        <row r="6">
          <cell r="A6" t="str">
            <v>legal</v>
          </cell>
          <cell r="E6" t="str">
            <v>North Madison Place Subdivision, Mc. Arthur Highway, Tikay, Malolos City</v>
          </cell>
          <cell r="S6">
            <v>0</v>
          </cell>
          <cell r="AK6" t="str">
            <v>Land Owner</v>
          </cell>
          <cell r="AN6">
            <v>8.2380952380952388E-2</v>
          </cell>
          <cell r="AQ6">
            <v>0</v>
          </cell>
          <cell r="AS6" t="str">
            <v>Y</v>
          </cell>
          <cell r="BM6">
            <v>0</v>
          </cell>
          <cell r="BN6">
            <v>0</v>
          </cell>
          <cell r="BR6">
            <v>0</v>
          </cell>
          <cell r="FQ6">
            <v>0</v>
          </cell>
          <cell r="IB6">
            <v>0</v>
          </cell>
          <cell r="IC6">
            <v>0</v>
          </cell>
          <cell r="ID6">
            <v>0</v>
          </cell>
          <cell r="IE6">
            <v>0</v>
          </cell>
          <cell r="IP6">
            <v>0</v>
          </cell>
          <cell r="IR6">
            <v>0</v>
          </cell>
          <cell r="IT6">
            <v>0</v>
          </cell>
          <cell r="IU6">
            <v>0</v>
          </cell>
        </row>
        <row r="7">
          <cell r="A7" t="str">
            <v>legal</v>
          </cell>
          <cell r="E7" t="str">
            <v>North Madison Place Subdivision, Mc. Arthur Highway, Tikay, Malolos City</v>
          </cell>
          <cell r="S7">
            <v>0</v>
          </cell>
          <cell r="AK7" t="str">
            <v>Land Owner</v>
          </cell>
          <cell r="AN7">
            <v>3.125E-2</v>
          </cell>
          <cell r="AQ7">
            <v>0</v>
          </cell>
          <cell r="AS7" t="str">
            <v>Y</v>
          </cell>
          <cell r="BM7">
            <v>0</v>
          </cell>
          <cell r="BN7">
            <v>0</v>
          </cell>
          <cell r="BR7">
            <v>0</v>
          </cell>
          <cell r="FQ7">
            <v>0</v>
          </cell>
          <cell r="IB7">
            <v>0</v>
          </cell>
          <cell r="IC7">
            <v>0</v>
          </cell>
          <cell r="ID7">
            <v>0</v>
          </cell>
          <cell r="IE7">
            <v>0</v>
          </cell>
          <cell r="IP7">
            <v>0</v>
          </cell>
          <cell r="IR7">
            <v>0</v>
          </cell>
          <cell r="IT7">
            <v>0</v>
          </cell>
          <cell r="IU7">
            <v>0</v>
          </cell>
        </row>
        <row r="8">
          <cell r="A8" t="str">
            <v>legal</v>
          </cell>
          <cell r="E8" t="str">
            <v>North Madison Place Subdivision, Mc. Arthur Highway, Tikay, Malolos City</v>
          </cell>
          <cell r="S8">
            <v>0</v>
          </cell>
          <cell r="AK8" t="str">
            <v>Land Owner</v>
          </cell>
          <cell r="AN8">
            <v>9.2783505154639175E-3</v>
          </cell>
          <cell r="AQ8">
            <v>0</v>
          </cell>
          <cell r="AS8" t="str">
            <v>Y</v>
          </cell>
          <cell r="BM8">
            <v>0</v>
          </cell>
          <cell r="BN8">
            <v>0</v>
          </cell>
          <cell r="BR8">
            <v>0</v>
          </cell>
          <cell r="FQ8">
            <v>0</v>
          </cell>
          <cell r="IB8">
            <v>0</v>
          </cell>
          <cell r="IC8">
            <v>0</v>
          </cell>
          <cell r="ID8">
            <v>0</v>
          </cell>
          <cell r="IE8">
            <v>0</v>
          </cell>
          <cell r="IP8">
            <v>0</v>
          </cell>
          <cell r="IR8">
            <v>0</v>
          </cell>
          <cell r="IT8">
            <v>0</v>
          </cell>
          <cell r="IU8">
            <v>0</v>
          </cell>
        </row>
        <row r="9">
          <cell r="A9" t="str">
            <v>legal</v>
          </cell>
          <cell r="E9" t="str">
            <v>North Madison Place Subdivision, Mc. Arthur Highway, Tikay, Malolos City</v>
          </cell>
          <cell r="S9">
            <v>0</v>
          </cell>
          <cell r="AK9" t="str">
            <v>Land Owner</v>
          </cell>
          <cell r="AN9">
            <v>3.3444816053511704E-2</v>
          </cell>
          <cell r="AQ9">
            <v>0</v>
          </cell>
          <cell r="AS9" t="str">
            <v>Y</v>
          </cell>
          <cell r="BM9">
            <v>0</v>
          </cell>
          <cell r="BN9">
            <v>0</v>
          </cell>
          <cell r="BR9">
            <v>0</v>
          </cell>
          <cell r="FQ9">
            <v>0</v>
          </cell>
          <cell r="IB9">
            <v>0</v>
          </cell>
          <cell r="IC9">
            <v>0</v>
          </cell>
          <cell r="ID9">
            <v>0</v>
          </cell>
          <cell r="IE9">
            <v>0</v>
          </cell>
          <cell r="IP9">
            <v>0</v>
          </cell>
          <cell r="IR9">
            <v>0</v>
          </cell>
          <cell r="IT9">
            <v>0</v>
          </cell>
          <cell r="IU9">
            <v>0</v>
          </cell>
        </row>
        <row r="10">
          <cell r="A10" t="str">
            <v>legal</v>
          </cell>
          <cell r="E10" t="str">
            <v>North Madison Place Subdivision, Mc. Arthur Highway, Tikay, Malolos City</v>
          </cell>
          <cell r="S10">
            <v>0</v>
          </cell>
          <cell r="AK10" t="str">
            <v>Land Owner</v>
          </cell>
          <cell r="AN10">
            <v>3.1914893617021274E-2</v>
          </cell>
          <cell r="AQ10">
            <v>0</v>
          </cell>
          <cell r="AS10" t="str">
            <v>Y</v>
          </cell>
          <cell r="BM10" t="str">
            <v>Residential</v>
          </cell>
          <cell r="BN10">
            <v>0</v>
          </cell>
          <cell r="BR10">
            <v>0.42666666666666669</v>
          </cell>
          <cell r="FQ10">
            <v>0</v>
          </cell>
          <cell r="IB10">
            <v>0</v>
          </cell>
          <cell r="IC10">
            <v>0</v>
          </cell>
          <cell r="ID10">
            <v>0</v>
          </cell>
          <cell r="IE10">
            <v>0</v>
          </cell>
          <cell r="IP10">
            <v>0</v>
          </cell>
          <cell r="IR10">
            <v>0</v>
          </cell>
          <cell r="IT10">
            <v>0</v>
          </cell>
          <cell r="IU10">
            <v>0</v>
          </cell>
        </row>
        <row r="11">
          <cell r="A11" t="str">
            <v>legal</v>
          </cell>
          <cell r="E11" t="str">
            <v>North Madison Place Subdivision, Mc. Arthur Highway, Tikay, Malolos City</v>
          </cell>
          <cell r="S11">
            <v>0</v>
          </cell>
          <cell r="AK11" t="str">
            <v>Land Owner</v>
          </cell>
          <cell r="AN11">
            <v>3.2388663967611336E-2</v>
          </cell>
          <cell r="AQ11">
            <v>0</v>
          </cell>
          <cell r="AS11" t="str">
            <v>Y</v>
          </cell>
          <cell r="BM11" t="str">
            <v>Residential</v>
          </cell>
          <cell r="BN11">
            <v>0</v>
          </cell>
          <cell r="BR11">
            <v>6.4285714285714293E-2</v>
          </cell>
          <cell r="FQ11">
            <v>0</v>
          </cell>
          <cell r="IB11">
            <v>0</v>
          </cell>
          <cell r="IC11">
            <v>0</v>
          </cell>
          <cell r="ID11">
            <v>0</v>
          </cell>
          <cell r="IE11">
            <v>0</v>
          </cell>
          <cell r="IP11">
            <v>0</v>
          </cell>
          <cell r="IR11">
            <v>0</v>
          </cell>
          <cell r="IT11">
            <v>0</v>
          </cell>
          <cell r="IU11">
            <v>0</v>
          </cell>
        </row>
        <row r="12">
          <cell r="A12" t="str">
            <v>isf</v>
          </cell>
          <cell r="E12" t="str">
            <v>Tikay, Mc Arthur Highway, Malolos Bulacan</v>
          </cell>
          <cell r="S12">
            <v>0</v>
          </cell>
          <cell r="AK12" t="str">
            <v>ISF</v>
          </cell>
          <cell r="AN12">
            <v>0.22556390977443608</v>
          </cell>
          <cell r="AQ12">
            <v>0</v>
          </cell>
          <cell r="AS12">
            <v>0</v>
          </cell>
          <cell r="BM12" t="str">
            <v>Residential/Commercial</v>
          </cell>
          <cell r="BN12">
            <v>0</v>
          </cell>
          <cell r="BR12">
            <v>0.22556390977443608</v>
          </cell>
          <cell r="FQ12" t="str">
            <v>Can Stay</v>
          </cell>
          <cell r="IB12">
            <v>0</v>
          </cell>
          <cell r="IC12">
            <v>0</v>
          </cell>
          <cell r="ID12">
            <v>0</v>
          </cell>
          <cell r="IE12">
            <v>0</v>
          </cell>
          <cell r="IP12" t="str">
            <v>Owner</v>
          </cell>
          <cell r="IR12" t="str">
            <v>Trading/Retailing</v>
          </cell>
          <cell r="IT12" t="str">
            <v>x</v>
          </cell>
          <cell r="IU12">
            <v>0</v>
          </cell>
        </row>
        <row r="13">
          <cell r="A13" t="str">
            <v>isf</v>
          </cell>
          <cell r="E13" t="str">
            <v>Capitol View Park, Barangay Bulihan, Malolos City</v>
          </cell>
          <cell r="S13">
            <v>0</v>
          </cell>
          <cell r="AK13" t="str">
            <v>ISF</v>
          </cell>
          <cell r="AN13">
            <v>0</v>
          </cell>
          <cell r="AQ13">
            <v>0</v>
          </cell>
          <cell r="AS13">
            <v>0</v>
          </cell>
          <cell r="BM13" t="str">
            <v>Residential</v>
          </cell>
          <cell r="BN13">
            <v>0</v>
          </cell>
          <cell r="BR13">
            <v>0</v>
          </cell>
          <cell r="FQ13">
            <v>0</v>
          </cell>
          <cell r="IB13">
            <v>0</v>
          </cell>
          <cell r="IC13">
            <v>0</v>
          </cell>
          <cell r="ID13">
            <v>0</v>
          </cell>
          <cell r="IE13">
            <v>0</v>
          </cell>
          <cell r="IP13">
            <v>0</v>
          </cell>
          <cell r="IR13">
            <v>0</v>
          </cell>
          <cell r="IT13">
            <v>0</v>
          </cell>
          <cell r="IU13">
            <v>0</v>
          </cell>
        </row>
        <row r="14">
          <cell r="A14" t="str">
            <v>legal-L</v>
          </cell>
          <cell r="E14" t="str">
            <v>Diamond St., Capitol View Park Subd., Barangay Bulihan, Malolos City</v>
          </cell>
          <cell r="S14" t="str">
            <v>Male</v>
          </cell>
          <cell r="AK14" t="str">
            <v>Land Owner</v>
          </cell>
          <cell r="AN14">
            <v>0.66666666666666663</v>
          </cell>
          <cell r="AQ14">
            <v>0</v>
          </cell>
          <cell r="AS14" t="str">
            <v>Y</v>
          </cell>
          <cell r="BM14">
            <v>0</v>
          </cell>
          <cell r="BN14">
            <v>1</v>
          </cell>
          <cell r="BR14">
            <v>0</v>
          </cell>
          <cell r="FQ14">
            <v>0</v>
          </cell>
          <cell r="IB14">
            <v>0</v>
          </cell>
          <cell r="IC14">
            <v>0</v>
          </cell>
          <cell r="ID14">
            <v>0</v>
          </cell>
          <cell r="IE14">
            <v>0</v>
          </cell>
          <cell r="IP14">
            <v>0</v>
          </cell>
          <cell r="IR14">
            <v>0</v>
          </cell>
          <cell r="IT14">
            <v>0</v>
          </cell>
          <cell r="IU14">
            <v>0</v>
          </cell>
        </row>
        <row r="15">
          <cell r="A15" t="str">
            <v>legal</v>
          </cell>
          <cell r="E15" t="str">
            <v>Diamond St., Capitol View Park Subd., Barangay Bulihan, Malolos City</v>
          </cell>
          <cell r="AK15" t="str">
            <v>Land Dweller</v>
          </cell>
          <cell r="AQ15">
            <v>0</v>
          </cell>
          <cell r="BM15" t="str">
            <v>Residential</v>
          </cell>
          <cell r="BN15">
            <v>0</v>
          </cell>
          <cell r="BR15">
            <v>0.32323232323232326</v>
          </cell>
          <cell r="FQ15" t="str">
            <v>Need Displacement</v>
          </cell>
          <cell r="IB15">
            <v>0</v>
          </cell>
          <cell r="IC15">
            <v>0</v>
          </cell>
          <cell r="ID15">
            <v>0</v>
          </cell>
          <cell r="IE15">
            <v>0</v>
          </cell>
          <cell r="IP15">
            <v>0</v>
          </cell>
          <cell r="IR15">
            <v>0</v>
          </cell>
          <cell r="IT15">
            <v>0</v>
          </cell>
          <cell r="IU15">
            <v>0</v>
          </cell>
        </row>
        <row r="16">
          <cell r="A16" t="str">
            <v>legal</v>
          </cell>
          <cell r="E16" t="str">
            <v xml:space="preserve"> Capitol Viewpark, Bulihan Malolos City</v>
          </cell>
          <cell r="S16">
            <v>0</v>
          </cell>
          <cell r="AK16" t="str">
            <v>Land Owner</v>
          </cell>
          <cell r="AN16">
            <v>7.7916666666666662E-2</v>
          </cell>
          <cell r="AQ16">
            <v>0</v>
          </cell>
          <cell r="AS16" t="str">
            <v>Y</v>
          </cell>
          <cell r="BM16" t="str">
            <v>Residential</v>
          </cell>
          <cell r="BN16">
            <v>0</v>
          </cell>
          <cell r="BR16">
            <v>0.16190476190476191</v>
          </cell>
          <cell r="FQ16" t="str">
            <v>Can Stay</v>
          </cell>
          <cell r="IB16" t="str">
            <v>Y</v>
          </cell>
          <cell r="IC16">
            <v>0</v>
          </cell>
          <cell r="ID16">
            <v>0</v>
          </cell>
          <cell r="IE16">
            <v>0</v>
          </cell>
          <cell r="IP16">
            <v>0</v>
          </cell>
          <cell r="IR16">
            <v>0</v>
          </cell>
          <cell r="IT16">
            <v>0</v>
          </cell>
          <cell r="IU16">
            <v>0</v>
          </cell>
        </row>
        <row r="17">
          <cell r="A17" t="str">
            <v>legal</v>
          </cell>
          <cell r="E17" t="str">
            <v xml:space="preserve"> Capitol Viewpark, Bulihan Malolos City</v>
          </cell>
          <cell r="S17">
            <v>0</v>
          </cell>
          <cell r="AK17" t="str">
            <v>Land Owner</v>
          </cell>
          <cell r="AN17">
            <v>2.6249999999999999E-2</v>
          </cell>
          <cell r="AQ17">
            <v>0</v>
          </cell>
          <cell r="AS17" t="str">
            <v>Y</v>
          </cell>
          <cell r="BM17" t="str">
            <v>Residential</v>
          </cell>
          <cell r="BN17">
            <v>0</v>
          </cell>
          <cell r="BR17">
            <v>0</v>
          </cell>
          <cell r="FQ17">
            <v>0</v>
          </cell>
          <cell r="IB17">
            <v>0</v>
          </cell>
          <cell r="IC17">
            <v>0</v>
          </cell>
          <cell r="ID17">
            <v>0</v>
          </cell>
          <cell r="IE17">
            <v>0</v>
          </cell>
          <cell r="IP17">
            <v>0</v>
          </cell>
          <cell r="IR17">
            <v>0</v>
          </cell>
          <cell r="IT17">
            <v>0</v>
          </cell>
          <cell r="IU17">
            <v>0</v>
          </cell>
        </row>
        <row r="18">
          <cell r="A18" t="str">
            <v>legal</v>
          </cell>
          <cell r="E18" t="str">
            <v>29 Diamond st., CVP Subd. Bulihan Malolos City</v>
          </cell>
          <cell r="S18" t="str">
            <v>Male</v>
          </cell>
          <cell r="AK18" t="str">
            <v>Land Owner</v>
          </cell>
          <cell r="AN18">
            <v>7.8333333333333338E-2</v>
          </cell>
          <cell r="AQ18">
            <v>0</v>
          </cell>
          <cell r="AS18" t="str">
            <v>Y</v>
          </cell>
          <cell r="BM18">
            <v>0</v>
          </cell>
          <cell r="BN18">
            <v>0</v>
          </cell>
          <cell r="FQ18">
            <v>0</v>
          </cell>
          <cell r="IB18">
            <v>0</v>
          </cell>
          <cell r="IC18">
            <v>0</v>
          </cell>
          <cell r="ID18">
            <v>0</v>
          </cell>
          <cell r="IE18">
            <v>0</v>
          </cell>
          <cell r="IP18">
            <v>0</v>
          </cell>
          <cell r="IR18">
            <v>0</v>
          </cell>
          <cell r="IT18">
            <v>0</v>
          </cell>
          <cell r="IU18">
            <v>0</v>
          </cell>
        </row>
        <row r="19">
          <cell r="A19" t="str">
            <v>legal</v>
          </cell>
          <cell r="E19" t="str">
            <v>29 Diamond st., CVP Subd. Bulihan Malolos City</v>
          </cell>
          <cell r="S19" t="str">
            <v>Male</v>
          </cell>
          <cell r="AK19" t="str">
            <v>Land Dweller</v>
          </cell>
          <cell r="AN19">
            <v>0</v>
          </cell>
          <cell r="AQ19">
            <v>0</v>
          </cell>
          <cell r="AS19" t="str">
            <v>Y</v>
          </cell>
          <cell r="BM19" t="str">
            <v>Residential</v>
          </cell>
          <cell r="BN19">
            <v>0</v>
          </cell>
          <cell r="BR19">
            <v>8.8974854932301728E-2</v>
          </cell>
          <cell r="FQ19" t="str">
            <v>Need Displacement</v>
          </cell>
          <cell r="IB19">
            <v>0</v>
          </cell>
          <cell r="IC19">
            <v>0</v>
          </cell>
          <cell r="ID19">
            <v>0</v>
          </cell>
          <cell r="IE19">
            <v>0</v>
          </cell>
          <cell r="IP19">
            <v>0</v>
          </cell>
          <cell r="IR19">
            <v>0</v>
          </cell>
          <cell r="IT19">
            <v>0</v>
          </cell>
          <cell r="IU19">
            <v>0</v>
          </cell>
        </row>
        <row r="20">
          <cell r="A20" t="str">
            <v>legal</v>
          </cell>
          <cell r="E20" t="str">
            <v>31 Diamond st., CVP Subd, Malolos Bulihan Bulacan</v>
          </cell>
          <cell r="S20" t="str">
            <v>Male</v>
          </cell>
          <cell r="AK20" t="str">
            <v>Land Owner</v>
          </cell>
          <cell r="AN20">
            <v>0.05</v>
          </cell>
          <cell r="AQ20">
            <v>0</v>
          </cell>
          <cell r="AS20" t="str">
            <v>Y</v>
          </cell>
          <cell r="BM20" t="str">
            <v>Residential</v>
          </cell>
          <cell r="BN20">
            <v>0</v>
          </cell>
          <cell r="BR20">
            <v>9.5000000000000001E-2</v>
          </cell>
          <cell r="FQ20" t="str">
            <v>Can Stay</v>
          </cell>
          <cell r="IB20">
            <v>0</v>
          </cell>
          <cell r="IC20">
            <v>0</v>
          </cell>
          <cell r="ID20">
            <v>0</v>
          </cell>
          <cell r="IE20">
            <v>0</v>
          </cell>
          <cell r="IP20">
            <v>0</v>
          </cell>
          <cell r="IR20">
            <v>0</v>
          </cell>
          <cell r="IT20">
            <v>0</v>
          </cell>
          <cell r="IU20">
            <v>0</v>
          </cell>
        </row>
        <row r="21">
          <cell r="A21" t="str">
            <v>legal</v>
          </cell>
          <cell r="E21" t="str">
            <v>32 Diamond st., CVP Subd., Bulihan Malolos Bulacan</v>
          </cell>
          <cell r="S21" t="str">
            <v>Male</v>
          </cell>
          <cell r="AK21" t="str">
            <v>Land Owner</v>
          </cell>
          <cell r="AN21">
            <v>7.4999999999999997E-2</v>
          </cell>
          <cell r="AQ21">
            <v>0</v>
          </cell>
          <cell r="AS21" t="str">
            <v>Y</v>
          </cell>
          <cell r="BM21" t="str">
            <v>Residential</v>
          </cell>
          <cell r="BN21">
            <v>0</v>
          </cell>
          <cell r="BR21">
            <v>0.15</v>
          </cell>
          <cell r="FQ21" t="str">
            <v>Can Stay</v>
          </cell>
          <cell r="IB21">
            <v>0</v>
          </cell>
          <cell r="IC21">
            <v>0</v>
          </cell>
          <cell r="ID21">
            <v>0</v>
          </cell>
          <cell r="IE21">
            <v>0</v>
          </cell>
          <cell r="IP21">
            <v>0</v>
          </cell>
          <cell r="IR21">
            <v>0</v>
          </cell>
          <cell r="IT21">
            <v>0</v>
          </cell>
          <cell r="IU21">
            <v>0</v>
          </cell>
        </row>
        <row r="22">
          <cell r="A22" t="str">
            <v>legal-L</v>
          </cell>
          <cell r="E22" t="str">
            <v>Sapphire st., CVP Subd. Bulihan Malolos Bulacan</v>
          </cell>
          <cell r="S22">
            <v>0</v>
          </cell>
          <cell r="AK22" t="str">
            <v>Land Owner</v>
          </cell>
          <cell r="AN22">
            <v>9.166666666666666E-2</v>
          </cell>
          <cell r="AQ22">
            <v>0</v>
          </cell>
          <cell r="AS22" t="str">
            <v>Y</v>
          </cell>
          <cell r="BM22">
            <v>0</v>
          </cell>
          <cell r="BN22">
            <v>0</v>
          </cell>
          <cell r="BR22">
            <v>0</v>
          </cell>
          <cell r="FQ22">
            <v>0</v>
          </cell>
          <cell r="IB22">
            <v>0</v>
          </cell>
          <cell r="IC22">
            <v>0</v>
          </cell>
          <cell r="ID22">
            <v>1</v>
          </cell>
          <cell r="IE22">
            <v>0</v>
          </cell>
          <cell r="IP22">
            <v>0</v>
          </cell>
          <cell r="IR22">
            <v>0</v>
          </cell>
          <cell r="IT22">
            <v>0</v>
          </cell>
          <cell r="IU22">
            <v>0</v>
          </cell>
        </row>
        <row r="23">
          <cell r="A23" t="str">
            <v>legal</v>
          </cell>
          <cell r="E23" t="str">
            <v>743 PNR st., Bulihan Malolos Bulacan</v>
          </cell>
          <cell r="S23" t="str">
            <v>Female</v>
          </cell>
          <cell r="AK23" t="str">
            <v>Land Owner</v>
          </cell>
          <cell r="AN23">
            <v>8.0536912751677847E-2</v>
          </cell>
          <cell r="AQ23">
            <v>0</v>
          </cell>
          <cell r="AS23" t="str">
            <v>Y</v>
          </cell>
          <cell r="BM23" t="str">
            <v>Residential</v>
          </cell>
          <cell r="BN23">
            <v>0</v>
          </cell>
          <cell r="BR23">
            <v>0.5</v>
          </cell>
          <cell r="FQ23" t="str">
            <v>Need Displacement</v>
          </cell>
          <cell r="IB23">
            <v>0</v>
          </cell>
          <cell r="IC23" t="str">
            <v>Y</v>
          </cell>
          <cell r="ID23">
            <v>0</v>
          </cell>
          <cell r="IE23">
            <v>0</v>
          </cell>
          <cell r="IP23">
            <v>0</v>
          </cell>
          <cell r="IR23">
            <v>0</v>
          </cell>
          <cell r="IT23">
            <v>0</v>
          </cell>
          <cell r="IU23">
            <v>0</v>
          </cell>
        </row>
        <row r="24">
          <cell r="A24" t="str">
            <v>Absentee</v>
          </cell>
          <cell r="E24" t="str">
            <v>743 PNR st., Bulihan Malolos Bulacan</v>
          </cell>
          <cell r="S24" t="str">
            <v>Female</v>
          </cell>
          <cell r="AK24">
            <v>0</v>
          </cell>
          <cell r="AN24">
            <v>0</v>
          </cell>
          <cell r="AQ24">
            <v>0</v>
          </cell>
          <cell r="AS24">
            <v>0</v>
          </cell>
          <cell r="BM24" t="str">
            <v>Residential</v>
          </cell>
          <cell r="BN24">
            <v>0</v>
          </cell>
          <cell r="BR24">
            <v>0</v>
          </cell>
          <cell r="FQ24" t="str">
            <v>Need Displacement</v>
          </cell>
          <cell r="IB24">
            <v>0</v>
          </cell>
          <cell r="IC24">
            <v>0</v>
          </cell>
          <cell r="ID24">
            <v>0</v>
          </cell>
          <cell r="IE24">
            <v>0</v>
          </cell>
          <cell r="IP24">
            <v>0</v>
          </cell>
          <cell r="IR24">
            <v>0</v>
          </cell>
          <cell r="IT24">
            <v>0</v>
          </cell>
          <cell r="IU24">
            <v>0</v>
          </cell>
        </row>
        <row r="25">
          <cell r="A25" t="str">
            <v>isf</v>
          </cell>
          <cell r="E25" t="str">
            <v>23 Granet st., CVP subd., Bulihan Malolos</v>
          </cell>
          <cell r="S25" t="str">
            <v>Male</v>
          </cell>
          <cell r="AK25" t="str">
            <v>ISF</v>
          </cell>
          <cell r="AN25">
            <v>0</v>
          </cell>
          <cell r="AQ25">
            <v>0</v>
          </cell>
          <cell r="AS25">
            <v>0</v>
          </cell>
          <cell r="BM25" t="str">
            <v>Residential</v>
          </cell>
          <cell r="BN25">
            <v>0</v>
          </cell>
          <cell r="BR25">
            <v>0</v>
          </cell>
          <cell r="FQ25" t="str">
            <v>Need Displacement</v>
          </cell>
          <cell r="IB25">
            <v>0</v>
          </cell>
          <cell r="IC25">
            <v>0</v>
          </cell>
          <cell r="ID25">
            <v>0</v>
          </cell>
          <cell r="IE25">
            <v>0</v>
          </cell>
          <cell r="IP25">
            <v>0</v>
          </cell>
          <cell r="IR25">
            <v>0</v>
          </cell>
          <cell r="IT25">
            <v>0</v>
          </cell>
          <cell r="IU25">
            <v>0</v>
          </cell>
        </row>
        <row r="26">
          <cell r="A26" t="str">
            <v>isf</v>
          </cell>
          <cell r="E26" t="str">
            <v>Garnet St., CVP, Bulihan, Malolos Bulacan</v>
          </cell>
          <cell r="S26" t="str">
            <v>Male</v>
          </cell>
          <cell r="AK26" t="str">
            <v>ISF</v>
          </cell>
          <cell r="AN26">
            <v>1</v>
          </cell>
          <cell r="AQ26">
            <v>0</v>
          </cell>
          <cell r="AS26">
            <v>0</v>
          </cell>
          <cell r="BM26" t="str">
            <v>ABSENTEE</v>
          </cell>
          <cell r="BN26">
            <v>1</v>
          </cell>
          <cell r="BR26">
            <v>0.9</v>
          </cell>
          <cell r="FQ26" t="str">
            <v>Need Displacement</v>
          </cell>
          <cell r="IB26">
            <v>0</v>
          </cell>
          <cell r="IC26">
            <v>0</v>
          </cell>
          <cell r="ID26">
            <v>1</v>
          </cell>
          <cell r="IE26">
            <v>0</v>
          </cell>
          <cell r="IP26">
            <v>0</v>
          </cell>
          <cell r="IR26">
            <v>0</v>
          </cell>
          <cell r="IT26">
            <v>0</v>
          </cell>
          <cell r="IU26">
            <v>0</v>
          </cell>
        </row>
        <row r="27">
          <cell r="A27">
            <v>0</v>
          </cell>
          <cell r="E27" t="str">
            <v>Garnet St., CVP, Bulihan, Malolos Bulacan</v>
          </cell>
          <cell r="S27">
            <v>0</v>
          </cell>
          <cell r="AK27">
            <v>0</v>
          </cell>
          <cell r="AN27">
            <v>0</v>
          </cell>
          <cell r="AQ27">
            <v>0</v>
          </cell>
          <cell r="AS27">
            <v>0</v>
          </cell>
          <cell r="BM27">
            <v>0</v>
          </cell>
          <cell r="BN27">
            <v>0</v>
          </cell>
          <cell r="BR27">
            <v>0</v>
          </cell>
          <cell r="FQ27">
            <v>0</v>
          </cell>
          <cell r="IB27">
            <v>0</v>
          </cell>
          <cell r="IC27">
            <v>0</v>
          </cell>
          <cell r="ID27">
            <v>0</v>
          </cell>
          <cell r="IE27">
            <v>0</v>
          </cell>
          <cell r="IP27">
            <v>0</v>
          </cell>
          <cell r="IR27">
            <v>0</v>
          </cell>
          <cell r="IT27">
            <v>0</v>
          </cell>
          <cell r="IU27">
            <v>0</v>
          </cell>
        </row>
        <row r="28">
          <cell r="A28" t="str">
            <v>legal</v>
          </cell>
          <cell r="E28" t="str">
            <v>Old PR Compound Catmon Malolos Bulacan</v>
          </cell>
          <cell r="S28">
            <v>0</v>
          </cell>
          <cell r="AK28" t="str">
            <v>Land Owner</v>
          </cell>
          <cell r="AN28">
            <v>1</v>
          </cell>
          <cell r="AQ28">
            <v>0</v>
          </cell>
          <cell r="AS28">
            <v>0</v>
          </cell>
          <cell r="BM28">
            <v>0</v>
          </cell>
          <cell r="BN28">
            <v>0</v>
          </cell>
          <cell r="BR28">
            <v>0</v>
          </cell>
          <cell r="FQ28">
            <v>0</v>
          </cell>
          <cell r="IB28">
            <v>0</v>
          </cell>
          <cell r="IC28">
            <v>0</v>
          </cell>
          <cell r="ID28">
            <v>0</v>
          </cell>
          <cell r="IE28">
            <v>0</v>
          </cell>
          <cell r="IP28">
            <v>0</v>
          </cell>
          <cell r="IR28">
            <v>0</v>
          </cell>
          <cell r="IT28">
            <v>0</v>
          </cell>
          <cell r="IU28">
            <v>0</v>
          </cell>
        </row>
        <row r="29">
          <cell r="A29" t="str">
            <v>legal</v>
          </cell>
          <cell r="E29" t="str">
            <v>5029-C Hagonoy, San Pablo Malolos Bulacan</v>
          </cell>
          <cell r="S29" t="str">
            <v>Male</v>
          </cell>
          <cell r="AK29" t="str">
            <v>Land Owner</v>
          </cell>
          <cell r="AN29">
            <v>0.43409344717028714</v>
          </cell>
          <cell r="AQ29">
            <v>0</v>
          </cell>
          <cell r="AS29" t="str">
            <v>Y</v>
          </cell>
          <cell r="BM29" t="str">
            <v>Residential</v>
          </cell>
          <cell r="BN29">
            <v>0</v>
          </cell>
          <cell r="BR29">
            <v>0.77830188679245271</v>
          </cell>
          <cell r="FQ29" t="str">
            <v>Need Displacement</v>
          </cell>
          <cell r="IB29">
            <v>0</v>
          </cell>
          <cell r="IC29">
            <v>0</v>
          </cell>
          <cell r="ID29">
            <v>0</v>
          </cell>
          <cell r="IE29">
            <v>0</v>
          </cell>
          <cell r="IP29">
            <v>0</v>
          </cell>
          <cell r="IR29">
            <v>0</v>
          </cell>
          <cell r="IT29">
            <v>0</v>
          </cell>
          <cell r="IU29">
            <v>0</v>
          </cell>
        </row>
        <row r="30">
          <cell r="A30" t="str">
            <v>legal</v>
          </cell>
          <cell r="E30" t="str">
            <v>5029-C Hagonoy, San Pablo Malolos Bulacan</v>
          </cell>
          <cell r="S30">
            <v>0</v>
          </cell>
          <cell r="AK30" t="str">
            <v>Land Owner</v>
          </cell>
          <cell r="AN30">
            <v>0.43409344717028714</v>
          </cell>
          <cell r="AQ30">
            <v>0</v>
          </cell>
          <cell r="AS30" t="str">
            <v>Y</v>
          </cell>
          <cell r="BM30" t="str">
            <v>Commercial</v>
          </cell>
          <cell r="BN30">
            <v>0</v>
          </cell>
          <cell r="BR30">
            <v>1</v>
          </cell>
          <cell r="FQ30">
            <v>0</v>
          </cell>
          <cell r="IB30">
            <v>0</v>
          </cell>
          <cell r="IC30">
            <v>0</v>
          </cell>
          <cell r="ID30">
            <v>0</v>
          </cell>
          <cell r="IE30">
            <v>0</v>
          </cell>
          <cell r="IP30">
            <v>0</v>
          </cell>
          <cell r="IR30">
            <v>0</v>
          </cell>
          <cell r="IT30">
            <v>0</v>
          </cell>
          <cell r="IU30">
            <v>0</v>
          </cell>
        </row>
        <row r="31">
          <cell r="A31" t="str">
            <v>legal</v>
          </cell>
          <cell r="E31" t="str">
            <v>5029-C Hagonoy, San Pablo Malolos Bulacan</v>
          </cell>
          <cell r="S31">
            <v>0</v>
          </cell>
          <cell r="AK31">
            <v>0</v>
          </cell>
          <cell r="AN31">
            <v>0</v>
          </cell>
          <cell r="AQ31">
            <v>0</v>
          </cell>
          <cell r="AS31" t="str">
            <v>Y</v>
          </cell>
          <cell r="BM31" t="str">
            <v>Gaming/Lottery</v>
          </cell>
          <cell r="BN31">
            <v>0</v>
          </cell>
          <cell r="BR31">
            <v>0</v>
          </cell>
          <cell r="FQ31">
            <v>0</v>
          </cell>
          <cell r="IB31">
            <v>0</v>
          </cell>
          <cell r="IC31">
            <v>0</v>
          </cell>
          <cell r="ID31">
            <v>0</v>
          </cell>
          <cell r="IE31">
            <v>0</v>
          </cell>
          <cell r="IP31" t="str">
            <v>Sharer</v>
          </cell>
          <cell r="IR31" t="str">
            <v>Lotto outlet</v>
          </cell>
          <cell r="IT31" t="str">
            <v>x</v>
          </cell>
          <cell r="IU31">
            <v>0</v>
          </cell>
        </row>
        <row r="32">
          <cell r="A32">
            <v>0</v>
          </cell>
          <cell r="E32" t="str">
            <v>89 Brgy. Catmon Malolos Bulacan</v>
          </cell>
          <cell r="S32">
            <v>0</v>
          </cell>
          <cell r="AK32" t="str">
            <v>Dwelling</v>
          </cell>
          <cell r="AN32">
            <v>0.11097256857855362</v>
          </cell>
          <cell r="AQ32">
            <v>0</v>
          </cell>
          <cell r="AS32">
            <v>0</v>
          </cell>
          <cell r="BM32" t="str">
            <v>Residential</v>
          </cell>
          <cell r="BN32">
            <v>0</v>
          </cell>
          <cell r="BR32">
            <v>0.1705426356589147</v>
          </cell>
          <cell r="FQ32">
            <v>0</v>
          </cell>
          <cell r="IB32">
            <v>0</v>
          </cell>
          <cell r="IC32">
            <v>0</v>
          </cell>
          <cell r="ID32">
            <v>0</v>
          </cell>
          <cell r="IE32">
            <v>0</v>
          </cell>
          <cell r="IP32">
            <v>0</v>
          </cell>
          <cell r="IR32">
            <v>0</v>
          </cell>
          <cell r="IT32">
            <v>0</v>
          </cell>
          <cell r="IU32">
            <v>0</v>
          </cell>
        </row>
        <row r="33">
          <cell r="A33">
            <v>0</v>
          </cell>
          <cell r="E33" t="str">
            <v>89 Brgy. Catmon Malolos Bulacan</v>
          </cell>
          <cell r="S33" t="str">
            <v>Male</v>
          </cell>
          <cell r="AK33" t="str">
            <v>Dwelling</v>
          </cell>
          <cell r="AN33">
            <v>0</v>
          </cell>
          <cell r="AQ33">
            <v>0</v>
          </cell>
          <cell r="AS33">
            <v>0</v>
          </cell>
          <cell r="BM33" t="str">
            <v>Residential</v>
          </cell>
          <cell r="BN33">
            <v>0</v>
          </cell>
          <cell r="BR33">
            <v>0</v>
          </cell>
          <cell r="FQ33" t="str">
            <v>Need Displacement</v>
          </cell>
          <cell r="IB33" t="str">
            <v>Y</v>
          </cell>
          <cell r="IC33">
            <v>0</v>
          </cell>
          <cell r="ID33">
            <v>0</v>
          </cell>
          <cell r="IE33">
            <v>0</v>
          </cell>
          <cell r="IP33">
            <v>0</v>
          </cell>
          <cell r="IR33">
            <v>0</v>
          </cell>
          <cell r="IT33">
            <v>0</v>
          </cell>
          <cell r="IU33">
            <v>0</v>
          </cell>
        </row>
        <row r="34">
          <cell r="A34" t="str">
            <v>legal</v>
          </cell>
          <cell r="E34" t="str">
            <v>17 Paseo Del Congreso Catmon Malolos</v>
          </cell>
          <cell r="S34" t="str">
            <v>Male</v>
          </cell>
          <cell r="AK34" t="str">
            <v>Land Owner</v>
          </cell>
          <cell r="AN34">
            <v>0.13616957605985036</v>
          </cell>
          <cell r="AQ34">
            <v>0</v>
          </cell>
          <cell r="AS34" t="str">
            <v>Y</v>
          </cell>
          <cell r="BM34" t="str">
            <v>Residential</v>
          </cell>
          <cell r="BN34">
            <v>0</v>
          </cell>
          <cell r="BR34">
            <v>0.14671503426037888</v>
          </cell>
          <cell r="FQ34" t="str">
            <v>Can Stay</v>
          </cell>
          <cell r="IB34">
            <v>0</v>
          </cell>
          <cell r="IC34">
            <v>0</v>
          </cell>
          <cell r="ID34">
            <v>2</v>
          </cell>
          <cell r="IE34">
            <v>0</v>
          </cell>
        </row>
        <row r="35">
          <cell r="A35" t="str">
            <v>legal</v>
          </cell>
          <cell r="E35" t="str">
            <v>17 Paseo Del Congreso Catmon Malolos</v>
          </cell>
          <cell r="S35">
            <v>0</v>
          </cell>
          <cell r="AK35" t="str">
            <v>Land Owner</v>
          </cell>
          <cell r="AN35">
            <v>0</v>
          </cell>
          <cell r="AQ35">
            <v>0</v>
          </cell>
          <cell r="AS35" t="str">
            <v>Y</v>
          </cell>
          <cell r="BM35" t="str">
            <v>Residential</v>
          </cell>
          <cell r="BN35">
            <v>0</v>
          </cell>
          <cell r="BR35">
            <v>3.5151958989381178E-2</v>
          </cell>
          <cell r="FQ35" t="str">
            <v>Can Stay</v>
          </cell>
          <cell r="IB35">
            <v>0</v>
          </cell>
          <cell r="IC35">
            <v>0</v>
          </cell>
          <cell r="ID35">
            <v>0</v>
          </cell>
          <cell r="IE35">
            <v>0</v>
          </cell>
          <cell r="IP35" t="str">
            <v>Owner</v>
          </cell>
          <cell r="IR35" t="str">
            <v>Home/Small-scale Industry</v>
          </cell>
          <cell r="IT35" t="str">
            <v>x</v>
          </cell>
          <cell r="IU35">
            <v>0</v>
          </cell>
        </row>
        <row r="36">
          <cell r="A36" t="str">
            <v>Legal</v>
          </cell>
          <cell r="E36" t="str">
            <v>Malanggam Catmon Malolos Bulacan</v>
          </cell>
          <cell r="S36">
            <v>0</v>
          </cell>
          <cell r="AK36" t="str">
            <v>Lessee</v>
          </cell>
          <cell r="AN36">
            <v>0</v>
          </cell>
          <cell r="AQ36">
            <v>0</v>
          </cell>
          <cell r="AS36" t="str">
            <v>Y</v>
          </cell>
          <cell r="BM36" t="str">
            <v>Commercial</v>
          </cell>
          <cell r="BN36">
            <v>0</v>
          </cell>
          <cell r="BR36">
            <v>0.23436426116838488</v>
          </cell>
          <cell r="FQ36" t="str">
            <v>Need Displacement</v>
          </cell>
          <cell r="IB36">
            <v>0</v>
          </cell>
          <cell r="IC36">
            <v>0</v>
          </cell>
          <cell r="ID36">
            <v>0</v>
          </cell>
          <cell r="IE36">
            <v>0</v>
          </cell>
          <cell r="IP36" t="str">
            <v>Renter</v>
          </cell>
          <cell r="IR36" t="str">
            <v>Trading/retailing</v>
          </cell>
          <cell r="IT36" t="str">
            <v>x</v>
          </cell>
          <cell r="IU36">
            <v>0</v>
          </cell>
        </row>
        <row r="37">
          <cell r="A37" t="str">
            <v>Legal</v>
          </cell>
          <cell r="E37" t="str">
            <v>84 Catmon Malolos Bulacan</v>
          </cell>
          <cell r="S37" t="str">
            <v>Male</v>
          </cell>
          <cell r="AK37" t="str">
            <v>Dweller</v>
          </cell>
          <cell r="AN37">
            <v>4.4516129032258066E-2</v>
          </cell>
          <cell r="AQ37">
            <v>0</v>
          </cell>
          <cell r="AS37" t="str">
            <v>Y</v>
          </cell>
          <cell r="BM37" t="str">
            <v>Residential</v>
          </cell>
          <cell r="BN37">
            <v>0</v>
          </cell>
          <cell r="BR37">
            <v>0.11904761904761904</v>
          </cell>
          <cell r="FQ37" t="str">
            <v>Can Stay</v>
          </cell>
          <cell r="IB37" t="str">
            <v>Y</v>
          </cell>
          <cell r="IC37">
            <v>0</v>
          </cell>
          <cell r="ID37" t="str">
            <v>Dolores (?), Lorenzo(?)</v>
          </cell>
          <cell r="IE37">
            <v>0</v>
          </cell>
          <cell r="IP37">
            <v>0</v>
          </cell>
          <cell r="IR37">
            <v>0</v>
          </cell>
          <cell r="IT37">
            <v>0</v>
          </cell>
          <cell r="IU37">
            <v>0</v>
          </cell>
        </row>
        <row r="38">
          <cell r="A38" t="str">
            <v>legal</v>
          </cell>
          <cell r="E38" t="str">
            <v>84 Catmon Malolos Bulacan</v>
          </cell>
          <cell r="S38">
            <v>0</v>
          </cell>
          <cell r="AK38" t="str">
            <v>Dweller</v>
          </cell>
          <cell r="AN38">
            <v>8.7028571428571427E-2</v>
          </cell>
          <cell r="AQ38">
            <v>0</v>
          </cell>
          <cell r="AS38" t="str">
            <v>Y</v>
          </cell>
          <cell r="BM38" t="str">
            <v>Residential/Commercial</v>
          </cell>
          <cell r="BN38">
            <v>0</v>
          </cell>
          <cell r="BR38">
            <v>0.49716001828034212</v>
          </cell>
          <cell r="FQ38" t="str">
            <v>Need Displacement</v>
          </cell>
          <cell r="IB38">
            <v>0</v>
          </cell>
          <cell r="IC38" t="str">
            <v>Y</v>
          </cell>
          <cell r="ID38">
            <v>0</v>
          </cell>
          <cell r="IE38">
            <v>0</v>
          </cell>
          <cell r="IP38" t="str">
            <v>Owner</v>
          </cell>
          <cell r="IR38" t="str">
            <v>Trading/retailing</v>
          </cell>
          <cell r="IT38">
            <v>0</v>
          </cell>
          <cell r="IU38" t="str">
            <v>x</v>
          </cell>
        </row>
        <row r="39">
          <cell r="A39" t="str">
            <v>legal</v>
          </cell>
          <cell r="E39" t="str">
            <v>84 Catmon Malolos Bulacan</v>
          </cell>
          <cell r="S39">
            <v>0</v>
          </cell>
          <cell r="AK39" t="str">
            <v>Dweller</v>
          </cell>
          <cell r="AN39">
            <v>8.1942857142857137E-2</v>
          </cell>
          <cell r="AQ39">
            <v>0</v>
          </cell>
          <cell r="AS39" t="str">
            <v>Y</v>
          </cell>
          <cell r="BM39" t="str">
            <v>ABSENTEE</v>
          </cell>
          <cell r="BN39">
            <v>0</v>
          </cell>
          <cell r="BR39">
            <v>0.49667405764966738</v>
          </cell>
          <cell r="FQ39" t="str">
            <v>Need Displacement</v>
          </cell>
          <cell r="IB39">
            <v>0</v>
          </cell>
          <cell r="IC39">
            <v>0</v>
          </cell>
          <cell r="ID39">
            <v>0</v>
          </cell>
          <cell r="IE39">
            <v>0</v>
          </cell>
          <cell r="IP39">
            <v>0</v>
          </cell>
          <cell r="IR39">
            <v>0</v>
          </cell>
          <cell r="IT39">
            <v>0</v>
          </cell>
          <cell r="IU39">
            <v>0</v>
          </cell>
        </row>
        <row r="40">
          <cell r="A40" t="str">
            <v>legal-r</v>
          </cell>
          <cell r="E40" t="str">
            <v>84 Looban Catmon Malolos Bulacan</v>
          </cell>
          <cell r="S40" t="str">
            <v>Male</v>
          </cell>
          <cell r="AK40" t="str">
            <v>Dweller</v>
          </cell>
          <cell r="AN40">
            <v>8.1942857142857137E-2</v>
          </cell>
          <cell r="AQ40">
            <v>0</v>
          </cell>
          <cell r="AS40" t="str">
            <v>Y</v>
          </cell>
          <cell r="BM40" t="str">
            <v>Residential</v>
          </cell>
          <cell r="BN40">
            <v>0</v>
          </cell>
          <cell r="BR40">
            <v>0.49667405764966738</v>
          </cell>
          <cell r="FQ40" t="str">
            <v>Need Displacement</v>
          </cell>
          <cell r="IB40">
            <v>0</v>
          </cell>
          <cell r="IC40">
            <v>0</v>
          </cell>
          <cell r="ID40">
            <v>0</v>
          </cell>
          <cell r="IE40">
            <v>0</v>
          </cell>
          <cell r="IP40">
            <v>0</v>
          </cell>
          <cell r="IR40">
            <v>0</v>
          </cell>
          <cell r="IT40">
            <v>0</v>
          </cell>
          <cell r="IU40">
            <v>0</v>
          </cell>
        </row>
        <row r="41">
          <cell r="A41" t="str">
            <v>legal</v>
          </cell>
          <cell r="E41" t="str">
            <v>Catmon, Malolos Bulacan</v>
          </cell>
          <cell r="S41">
            <v>0</v>
          </cell>
          <cell r="AK41" t="str">
            <v>Dweller</v>
          </cell>
          <cell r="AN41">
            <v>0.23214285714285715</v>
          </cell>
          <cell r="AQ41">
            <v>0</v>
          </cell>
          <cell r="AS41">
            <v>0</v>
          </cell>
          <cell r="BM41" t="str">
            <v>ABSENTEE</v>
          </cell>
          <cell r="BN41">
            <v>0</v>
          </cell>
          <cell r="BR41">
            <v>0.15476190476190477</v>
          </cell>
          <cell r="FQ41" t="str">
            <v>Can Stay</v>
          </cell>
          <cell r="IB41">
            <v>0</v>
          </cell>
          <cell r="IC41">
            <v>0</v>
          </cell>
          <cell r="ID41">
            <v>0</v>
          </cell>
          <cell r="IE41">
            <v>0</v>
          </cell>
          <cell r="IP41">
            <v>0</v>
          </cell>
          <cell r="IR41">
            <v>0</v>
          </cell>
          <cell r="IT41">
            <v>0</v>
          </cell>
          <cell r="IU41">
            <v>0</v>
          </cell>
        </row>
        <row r="42">
          <cell r="A42" t="str">
            <v>legal</v>
          </cell>
          <cell r="E42" t="str">
            <v>Catmon, Malolos Bulacan</v>
          </cell>
          <cell r="S42" t="str">
            <v>Male</v>
          </cell>
          <cell r="AK42" t="str">
            <v>Dweller</v>
          </cell>
          <cell r="AN42">
            <v>0.23214285714285715</v>
          </cell>
          <cell r="AQ42">
            <v>0</v>
          </cell>
          <cell r="AS42">
            <v>0</v>
          </cell>
          <cell r="BM42" t="str">
            <v>Residential</v>
          </cell>
          <cell r="BN42">
            <v>0</v>
          </cell>
          <cell r="BR42">
            <v>0.15476190476190477</v>
          </cell>
          <cell r="FQ42" t="str">
            <v>Can Stay</v>
          </cell>
          <cell r="IB42">
            <v>0</v>
          </cell>
          <cell r="IC42">
            <v>0</v>
          </cell>
          <cell r="ID42">
            <v>0</v>
          </cell>
          <cell r="IE42">
            <v>0</v>
          </cell>
          <cell r="IP42">
            <v>0</v>
          </cell>
          <cell r="IR42">
            <v>0</v>
          </cell>
          <cell r="IT42">
            <v>0</v>
          </cell>
          <cell r="IU42">
            <v>0</v>
          </cell>
        </row>
        <row r="43">
          <cell r="A43" t="str">
            <v>legal</v>
          </cell>
          <cell r="E43" t="str">
            <v>Catmon, Malolos Bulacan</v>
          </cell>
          <cell r="S43" t="str">
            <v>Male</v>
          </cell>
          <cell r="AK43" t="str">
            <v>Dweller</v>
          </cell>
          <cell r="AN43">
            <v>0</v>
          </cell>
          <cell r="AQ43">
            <v>0</v>
          </cell>
          <cell r="AS43">
            <v>0</v>
          </cell>
          <cell r="BM43" t="str">
            <v>Residential/Commercial</v>
          </cell>
          <cell r="BN43">
            <v>0</v>
          </cell>
          <cell r="BR43">
            <v>9.9999999999999992E-2</v>
          </cell>
          <cell r="FQ43" t="str">
            <v>Can Stay</v>
          </cell>
          <cell r="IB43">
            <v>0</v>
          </cell>
          <cell r="IC43">
            <v>0</v>
          </cell>
          <cell r="ID43" t="str">
            <v>Jose(63)</v>
          </cell>
          <cell r="IE43">
            <v>1</v>
          </cell>
          <cell r="IP43">
            <v>0</v>
          </cell>
          <cell r="IR43">
            <v>0</v>
          </cell>
          <cell r="IT43">
            <v>0</v>
          </cell>
          <cell r="IU43">
            <v>0</v>
          </cell>
        </row>
        <row r="44">
          <cell r="A44" t="str">
            <v>legal</v>
          </cell>
          <cell r="E44" t="str">
            <v>Catmon, Malolos Bulacan</v>
          </cell>
          <cell r="S44" t="str">
            <v>Male</v>
          </cell>
          <cell r="AK44" t="str">
            <v>L-ISF</v>
          </cell>
          <cell r="AN44">
            <v>0</v>
          </cell>
          <cell r="AQ44">
            <v>0</v>
          </cell>
          <cell r="AS44">
            <v>0</v>
          </cell>
          <cell r="BM44">
            <v>0</v>
          </cell>
          <cell r="BN44">
            <v>0</v>
          </cell>
          <cell r="BR44">
            <v>0</v>
          </cell>
          <cell r="FQ44">
            <v>0</v>
          </cell>
          <cell r="IB44">
            <v>0</v>
          </cell>
          <cell r="IC44">
            <v>0</v>
          </cell>
          <cell r="ID44" t="str">
            <v>Benita(?), Angelito(?)</v>
          </cell>
          <cell r="IE44">
            <v>0</v>
          </cell>
          <cell r="IP44">
            <v>0</v>
          </cell>
          <cell r="IR44">
            <v>0</v>
          </cell>
          <cell r="IT44">
            <v>0</v>
          </cell>
          <cell r="IU44">
            <v>0</v>
          </cell>
        </row>
        <row r="45">
          <cell r="A45" t="str">
            <v>legal</v>
          </cell>
          <cell r="E45" t="str">
            <v>Catmon, Malolos Bulacan</v>
          </cell>
          <cell r="S45" t="str">
            <v>Male</v>
          </cell>
          <cell r="AK45" t="str">
            <v>ISF</v>
          </cell>
          <cell r="AN45">
            <v>0</v>
          </cell>
          <cell r="AQ45">
            <v>0</v>
          </cell>
          <cell r="AS45">
            <v>0</v>
          </cell>
          <cell r="BM45">
            <v>0</v>
          </cell>
          <cell r="BN45">
            <v>0</v>
          </cell>
          <cell r="BR45">
            <v>0</v>
          </cell>
          <cell r="FQ45" t="str">
            <v>Can Stay</v>
          </cell>
          <cell r="IB45">
            <v>0</v>
          </cell>
          <cell r="IC45">
            <v>0</v>
          </cell>
          <cell r="ID45">
            <v>0</v>
          </cell>
          <cell r="IE45">
            <v>0</v>
          </cell>
          <cell r="IP45">
            <v>0</v>
          </cell>
          <cell r="IR45">
            <v>0</v>
          </cell>
          <cell r="IT45">
            <v>0</v>
          </cell>
          <cell r="IU45">
            <v>0</v>
          </cell>
        </row>
        <row r="46">
          <cell r="A46" t="str">
            <v>legal</v>
          </cell>
          <cell r="E46" t="str">
            <v>77 Catmon, Malolos Bulacan</v>
          </cell>
          <cell r="S46">
            <v>0</v>
          </cell>
          <cell r="AK46" t="str">
            <v>Land Owner</v>
          </cell>
          <cell r="AN46">
            <v>6.8544600938967137E-2</v>
          </cell>
          <cell r="AQ46">
            <v>0</v>
          </cell>
          <cell r="AS46" t="str">
            <v>Y</v>
          </cell>
          <cell r="BM46" t="str">
            <v>Commercial</v>
          </cell>
          <cell r="BN46">
            <v>0</v>
          </cell>
          <cell r="BR46">
            <v>1</v>
          </cell>
          <cell r="FQ46">
            <v>0</v>
          </cell>
          <cell r="IB46">
            <v>0</v>
          </cell>
          <cell r="IC46">
            <v>0</v>
          </cell>
          <cell r="ID46">
            <v>0</v>
          </cell>
          <cell r="IE46">
            <v>0</v>
          </cell>
          <cell r="IP46" t="str">
            <v>Owner</v>
          </cell>
          <cell r="IR46" t="str">
            <v>Trading/retailing</v>
          </cell>
          <cell r="IT46" t="str">
            <v>x</v>
          </cell>
          <cell r="IU46">
            <v>0</v>
          </cell>
        </row>
        <row r="47">
          <cell r="A47" t="str">
            <v>legal</v>
          </cell>
          <cell r="E47" t="str">
            <v>77 Catmon, Malolos Bulacan</v>
          </cell>
          <cell r="S47">
            <v>0</v>
          </cell>
          <cell r="AK47" t="str">
            <v>Dweller</v>
          </cell>
          <cell r="AN47">
            <v>0.22245305164319248</v>
          </cell>
          <cell r="AQ47">
            <v>0</v>
          </cell>
          <cell r="AS47">
            <v>0</v>
          </cell>
          <cell r="BM47" t="str">
            <v>Commercial</v>
          </cell>
          <cell r="BN47">
            <v>0</v>
          </cell>
          <cell r="BR47">
            <v>0.31280950808847802</v>
          </cell>
          <cell r="FQ47">
            <v>0</v>
          </cell>
          <cell r="IB47">
            <v>0</v>
          </cell>
          <cell r="IC47">
            <v>0</v>
          </cell>
          <cell r="ID47">
            <v>0</v>
          </cell>
          <cell r="IE47">
            <v>0</v>
          </cell>
          <cell r="IP47">
            <v>0</v>
          </cell>
          <cell r="IR47">
            <v>0</v>
          </cell>
          <cell r="IT47">
            <v>0</v>
          </cell>
          <cell r="IU47">
            <v>0</v>
          </cell>
        </row>
        <row r="48">
          <cell r="A48">
            <v>0</v>
          </cell>
          <cell r="E48" t="str">
            <v>77 Catmon, Malolos Bulacan</v>
          </cell>
          <cell r="S48">
            <v>0</v>
          </cell>
          <cell r="AK48" t="str">
            <v>Dweller</v>
          </cell>
          <cell r="AN48">
            <v>0.22245305164319248</v>
          </cell>
          <cell r="AQ48">
            <v>0</v>
          </cell>
          <cell r="AS48" t="str">
            <v>Y</v>
          </cell>
          <cell r="BM48" t="str">
            <v>Residential</v>
          </cell>
          <cell r="BN48">
            <v>1</v>
          </cell>
          <cell r="BR48">
            <v>0.31280950808847802</v>
          </cell>
          <cell r="FQ48" t="str">
            <v>Need Displacement</v>
          </cell>
          <cell r="IB48">
            <v>0</v>
          </cell>
          <cell r="IC48">
            <v>0</v>
          </cell>
          <cell r="ID48">
            <v>0</v>
          </cell>
          <cell r="IE48">
            <v>0</v>
          </cell>
          <cell r="IP48">
            <v>0</v>
          </cell>
          <cell r="IR48">
            <v>0</v>
          </cell>
          <cell r="IT48">
            <v>0</v>
          </cell>
          <cell r="IU48">
            <v>0</v>
          </cell>
        </row>
        <row r="49">
          <cell r="A49">
            <v>0</v>
          </cell>
          <cell r="E49" t="str">
            <v>Catmon, Malolos Bulacan</v>
          </cell>
          <cell r="S49">
            <v>0</v>
          </cell>
          <cell r="AK49" t="str">
            <v>Land Owner</v>
          </cell>
          <cell r="AN49">
            <v>0</v>
          </cell>
          <cell r="AQ49">
            <v>0</v>
          </cell>
          <cell r="AS49">
            <v>0</v>
          </cell>
          <cell r="BM49" t="str">
            <v>Commercial</v>
          </cell>
          <cell r="BN49">
            <v>0</v>
          </cell>
          <cell r="BR49">
            <v>0.27083333333333331</v>
          </cell>
          <cell r="FQ49">
            <v>0</v>
          </cell>
          <cell r="IB49">
            <v>0</v>
          </cell>
          <cell r="IC49">
            <v>0</v>
          </cell>
          <cell r="ID49">
            <v>0</v>
          </cell>
          <cell r="IE49">
            <v>0</v>
          </cell>
          <cell r="IP49">
            <v>0</v>
          </cell>
          <cell r="IR49">
            <v>0</v>
          </cell>
          <cell r="IT49">
            <v>0</v>
          </cell>
          <cell r="IU49">
            <v>0</v>
          </cell>
        </row>
        <row r="50">
          <cell r="A50" t="str">
            <v>legal</v>
          </cell>
          <cell r="E50" t="str">
            <v>Catmon, Malolos Bulacan</v>
          </cell>
          <cell r="S50" t="str">
            <v>Female</v>
          </cell>
          <cell r="AK50">
            <v>0</v>
          </cell>
          <cell r="AN50">
            <v>0</v>
          </cell>
          <cell r="AQ50">
            <v>0</v>
          </cell>
          <cell r="AS50">
            <v>0</v>
          </cell>
          <cell r="BM50" t="str">
            <v>Residential</v>
          </cell>
          <cell r="BN50">
            <v>0</v>
          </cell>
          <cell r="BR50">
            <v>0.27704918032786885</v>
          </cell>
          <cell r="FQ50">
            <v>0</v>
          </cell>
          <cell r="IB50">
            <v>0</v>
          </cell>
          <cell r="IC50">
            <v>0</v>
          </cell>
          <cell r="ID50">
            <v>0</v>
          </cell>
          <cell r="IE50">
            <v>0</v>
          </cell>
          <cell r="IP50">
            <v>0</v>
          </cell>
          <cell r="IR50">
            <v>0</v>
          </cell>
          <cell r="IT50">
            <v>0</v>
          </cell>
          <cell r="IU50">
            <v>0</v>
          </cell>
        </row>
        <row r="51">
          <cell r="A51" t="str">
            <v>legal-L</v>
          </cell>
          <cell r="E51" t="str">
            <v>71 Catmon Malolos Bulacan</v>
          </cell>
          <cell r="S51">
            <v>0</v>
          </cell>
          <cell r="AK51" t="str">
            <v>Land Owner</v>
          </cell>
          <cell r="AN51">
            <v>6.8454545454545462E-2</v>
          </cell>
          <cell r="AQ51">
            <v>0</v>
          </cell>
          <cell r="AS51" t="str">
            <v>Y</v>
          </cell>
          <cell r="BM51">
            <v>0</v>
          </cell>
          <cell r="BN51">
            <v>0</v>
          </cell>
          <cell r="BR51">
            <v>0</v>
          </cell>
          <cell r="FQ51">
            <v>0</v>
          </cell>
          <cell r="IB51">
            <v>0</v>
          </cell>
          <cell r="IC51">
            <v>0</v>
          </cell>
          <cell r="ID51">
            <v>0</v>
          </cell>
          <cell r="IE51">
            <v>0</v>
          </cell>
          <cell r="IP51">
            <v>0</v>
          </cell>
          <cell r="IR51">
            <v>0</v>
          </cell>
          <cell r="IT51">
            <v>0</v>
          </cell>
          <cell r="IU51">
            <v>0</v>
          </cell>
        </row>
        <row r="52">
          <cell r="A52" t="str">
            <v>legal</v>
          </cell>
          <cell r="E52" t="str">
            <v>71 Catmon Malolos Bulacan</v>
          </cell>
          <cell r="S52" t="str">
            <v>Female</v>
          </cell>
          <cell r="AK52" t="str">
            <v>Lessee</v>
          </cell>
          <cell r="AN52">
            <v>0</v>
          </cell>
          <cell r="AQ52">
            <v>0</v>
          </cell>
          <cell r="AS52" t="str">
            <v>Y</v>
          </cell>
          <cell r="BM52" t="str">
            <v>Residential/Commercial</v>
          </cell>
          <cell r="BN52">
            <v>0</v>
          </cell>
          <cell r="BR52">
            <v>0.16886912325285897</v>
          </cell>
          <cell r="FQ52" t="str">
            <v>Can Stay</v>
          </cell>
          <cell r="IB52" t="str">
            <v>Y</v>
          </cell>
          <cell r="IC52" t="str">
            <v>Y</v>
          </cell>
          <cell r="ID52" t="str">
            <v>Lydia Natividad (82)</v>
          </cell>
          <cell r="IE52">
            <v>0</v>
          </cell>
          <cell r="IP52" t="str">
            <v>Owner</v>
          </cell>
          <cell r="IR52" t="str">
            <v>Trading/retailing</v>
          </cell>
          <cell r="IT52">
            <v>0</v>
          </cell>
          <cell r="IU52" t="str">
            <v>x</v>
          </cell>
        </row>
        <row r="53">
          <cell r="A53" t="str">
            <v>legal</v>
          </cell>
          <cell r="E53">
            <v>0</v>
          </cell>
          <cell r="S53">
            <v>0</v>
          </cell>
          <cell r="AK53">
            <v>0</v>
          </cell>
          <cell r="AN53">
            <v>0</v>
          </cell>
          <cell r="AQ53">
            <v>0</v>
          </cell>
          <cell r="AS53">
            <v>0</v>
          </cell>
          <cell r="BM53">
            <v>0</v>
          </cell>
          <cell r="BN53">
            <v>0</v>
          </cell>
          <cell r="BR53">
            <v>0</v>
          </cell>
          <cell r="FQ53">
            <v>0</v>
          </cell>
          <cell r="IB53">
            <v>0</v>
          </cell>
          <cell r="IC53">
            <v>0</v>
          </cell>
          <cell r="ID53">
            <v>0</v>
          </cell>
          <cell r="IE53">
            <v>0</v>
          </cell>
          <cell r="IP53">
            <v>0</v>
          </cell>
          <cell r="IR53">
            <v>0</v>
          </cell>
          <cell r="IT53">
            <v>0</v>
          </cell>
          <cell r="IU53">
            <v>0</v>
          </cell>
        </row>
        <row r="54">
          <cell r="A54" t="str">
            <v>legal</v>
          </cell>
          <cell r="E54" t="str">
            <v>Brgy. Catmon Malolos Bulacan</v>
          </cell>
          <cell r="S54" t="str">
            <v>Male</v>
          </cell>
          <cell r="AK54" t="str">
            <v>Land Owner</v>
          </cell>
          <cell r="AN54">
            <v>8.0363636363636359E-2</v>
          </cell>
          <cell r="AQ54">
            <v>0</v>
          </cell>
          <cell r="AS54" t="str">
            <v>Y</v>
          </cell>
          <cell r="BM54" t="str">
            <v>Residential</v>
          </cell>
          <cell r="BN54">
            <v>0</v>
          </cell>
          <cell r="BR54">
            <v>0.5376344086021505</v>
          </cell>
          <cell r="FQ54" t="str">
            <v>Need Displacement</v>
          </cell>
          <cell r="IB54" t="str">
            <v>Y</v>
          </cell>
          <cell r="IC54">
            <v>0</v>
          </cell>
          <cell r="ID54" t="str">
            <v>Lilito Capili (61)</v>
          </cell>
          <cell r="IE54">
            <v>0</v>
          </cell>
          <cell r="IP54">
            <v>0</v>
          </cell>
          <cell r="IR54">
            <v>0</v>
          </cell>
          <cell r="IT54">
            <v>0</v>
          </cell>
          <cell r="IU54">
            <v>0</v>
          </cell>
        </row>
        <row r="55">
          <cell r="A55" t="str">
            <v>legal</v>
          </cell>
          <cell r="E55" t="str">
            <v>Brgy. Catmon Malolos Bulacan</v>
          </cell>
          <cell r="S55" t="str">
            <v>Male</v>
          </cell>
          <cell r="AK55" t="str">
            <v>Lessee</v>
          </cell>
          <cell r="AN55">
            <v>0.23333333333333334</v>
          </cell>
          <cell r="AQ55">
            <v>0</v>
          </cell>
          <cell r="AS55" t="str">
            <v>Y</v>
          </cell>
          <cell r="BM55" t="str">
            <v>Residential</v>
          </cell>
          <cell r="BN55">
            <v>0</v>
          </cell>
          <cell r="BR55">
            <v>0.18681318681318679</v>
          </cell>
          <cell r="FQ55" t="str">
            <v>Can Stay</v>
          </cell>
          <cell r="IB55">
            <v>0</v>
          </cell>
          <cell r="IC55">
            <v>0</v>
          </cell>
          <cell r="ID55">
            <v>0</v>
          </cell>
          <cell r="IE55">
            <v>0</v>
          </cell>
          <cell r="IP55">
            <v>0</v>
          </cell>
          <cell r="IR55">
            <v>0</v>
          </cell>
          <cell r="IT55">
            <v>0</v>
          </cell>
          <cell r="IU55">
            <v>0</v>
          </cell>
        </row>
        <row r="56">
          <cell r="A56" t="str">
            <v>legal</v>
          </cell>
          <cell r="E56" t="str">
            <v>Brgy. Catmon Malolos Bulacan</v>
          </cell>
          <cell r="S56" t="str">
            <v>Male</v>
          </cell>
          <cell r="AK56" t="str">
            <v>Dweller</v>
          </cell>
          <cell r="AN56">
            <v>0.32916666666666666</v>
          </cell>
          <cell r="AQ56">
            <v>0</v>
          </cell>
          <cell r="AS56">
            <v>0</v>
          </cell>
          <cell r="BM56" t="str">
            <v>Residential</v>
          </cell>
          <cell r="BN56">
            <v>0</v>
          </cell>
          <cell r="BR56">
            <v>0.44871794871794873</v>
          </cell>
          <cell r="FQ56" t="str">
            <v>Need Displacement</v>
          </cell>
          <cell r="IB56">
            <v>0</v>
          </cell>
          <cell r="IC56">
            <v>0</v>
          </cell>
          <cell r="ID56">
            <v>0</v>
          </cell>
          <cell r="IE56">
            <v>0</v>
          </cell>
          <cell r="IP56">
            <v>0</v>
          </cell>
          <cell r="IR56">
            <v>0</v>
          </cell>
          <cell r="IT56">
            <v>0</v>
          </cell>
          <cell r="IU56">
            <v>0</v>
          </cell>
        </row>
        <row r="57">
          <cell r="A57" t="str">
            <v>legal</v>
          </cell>
          <cell r="E57" t="str">
            <v>Catmon Malolos Bulacan</v>
          </cell>
          <cell r="S57" t="str">
            <v>Male</v>
          </cell>
          <cell r="AK57" t="str">
            <v>Lessee</v>
          </cell>
          <cell r="AN57">
            <v>0.43567567567567572</v>
          </cell>
          <cell r="AQ57">
            <v>0</v>
          </cell>
          <cell r="AS57" t="str">
            <v>Y</v>
          </cell>
          <cell r="BM57" t="str">
            <v>Residential</v>
          </cell>
          <cell r="BN57">
            <v>0</v>
          </cell>
          <cell r="BR57">
            <v>0.43567567567567572</v>
          </cell>
          <cell r="FQ57" t="str">
            <v>Need Displacement</v>
          </cell>
          <cell r="IB57" t="str">
            <v>Y</v>
          </cell>
          <cell r="IC57">
            <v>0</v>
          </cell>
          <cell r="ID57" t="str">
            <v>Agusto (78)</v>
          </cell>
          <cell r="IE57">
            <v>0</v>
          </cell>
          <cell r="IP57">
            <v>0</v>
          </cell>
          <cell r="IR57">
            <v>0</v>
          </cell>
          <cell r="IT57">
            <v>0</v>
          </cell>
          <cell r="IU57">
            <v>0</v>
          </cell>
        </row>
        <row r="58">
          <cell r="A58" t="str">
            <v>legal</v>
          </cell>
          <cell r="E58" t="str">
            <v>Catmon Malolos Bulacan</v>
          </cell>
          <cell r="S58" t="str">
            <v>Male</v>
          </cell>
          <cell r="AK58" t="str">
            <v>Lessee</v>
          </cell>
          <cell r="AN58">
            <v>0.29249999999999998</v>
          </cell>
          <cell r="AQ58">
            <v>0</v>
          </cell>
          <cell r="AS58" t="str">
            <v>Y</v>
          </cell>
          <cell r="BM58" t="str">
            <v>Residential</v>
          </cell>
          <cell r="BN58">
            <v>0</v>
          </cell>
          <cell r="BR58">
            <v>0.19451371571072318</v>
          </cell>
          <cell r="FQ58">
            <v>0</v>
          </cell>
          <cell r="IB58">
            <v>0</v>
          </cell>
          <cell r="IC58">
            <v>0</v>
          </cell>
          <cell r="ID58">
            <v>0</v>
          </cell>
          <cell r="IE58">
            <v>0</v>
          </cell>
          <cell r="IP58">
            <v>0</v>
          </cell>
          <cell r="IR58">
            <v>0</v>
          </cell>
          <cell r="IT58">
            <v>0</v>
          </cell>
          <cell r="IU58">
            <v>0</v>
          </cell>
        </row>
        <row r="59">
          <cell r="A59" t="str">
            <v>legal-L</v>
          </cell>
          <cell r="E59" t="str">
            <v>Valenzuela St., Catmon Malolos Bulacan</v>
          </cell>
          <cell r="S59">
            <v>0</v>
          </cell>
          <cell r="AK59" t="str">
            <v>Lessee</v>
          </cell>
          <cell r="AN59">
            <v>0.246</v>
          </cell>
          <cell r="AQ59">
            <v>0</v>
          </cell>
          <cell r="AS59" t="str">
            <v>Y</v>
          </cell>
          <cell r="BM59">
            <v>0</v>
          </cell>
          <cell r="BN59">
            <v>0</v>
          </cell>
          <cell r="BR59">
            <v>0</v>
          </cell>
          <cell r="FQ59">
            <v>0</v>
          </cell>
          <cell r="IB59">
            <v>0</v>
          </cell>
          <cell r="IC59">
            <v>0</v>
          </cell>
          <cell r="ID59">
            <v>0</v>
          </cell>
          <cell r="IE59">
            <v>0</v>
          </cell>
          <cell r="IP59">
            <v>0</v>
          </cell>
          <cell r="IR59">
            <v>0</v>
          </cell>
          <cell r="IT59">
            <v>0</v>
          </cell>
          <cell r="IU59">
            <v>0</v>
          </cell>
        </row>
        <row r="60">
          <cell r="A60" t="str">
            <v>legal</v>
          </cell>
          <cell r="E60" t="str">
            <v>Brgy. Catmon Malolos Bulacan</v>
          </cell>
          <cell r="S60" t="str">
            <v>Male</v>
          </cell>
          <cell r="AK60" t="str">
            <v>Lessee</v>
          </cell>
          <cell r="AN60">
            <v>9.9000000000000005E-2</v>
          </cell>
          <cell r="AQ60">
            <v>0</v>
          </cell>
          <cell r="AS60" t="str">
            <v>Y</v>
          </cell>
          <cell r="BM60" t="str">
            <v>Residential</v>
          </cell>
          <cell r="BN60">
            <v>0</v>
          </cell>
          <cell r="BR60">
            <v>0.14666666666666667</v>
          </cell>
          <cell r="FQ60">
            <v>0</v>
          </cell>
          <cell r="IB60" t="str">
            <v>Y</v>
          </cell>
          <cell r="IC60">
            <v>0</v>
          </cell>
          <cell r="ID60">
            <v>0</v>
          </cell>
          <cell r="IE60">
            <v>0</v>
          </cell>
          <cell r="IP60">
            <v>0</v>
          </cell>
          <cell r="IR60">
            <v>0</v>
          </cell>
          <cell r="IT60">
            <v>0</v>
          </cell>
          <cell r="IU60">
            <v>0</v>
          </cell>
        </row>
        <row r="61">
          <cell r="A61" t="str">
            <v>legal</v>
          </cell>
          <cell r="E61" t="str">
            <v>Brgy. Catmon Malolos Bulacan</v>
          </cell>
          <cell r="S61" t="str">
            <v>Male</v>
          </cell>
          <cell r="AK61" t="str">
            <v>Lessee</v>
          </cell>
          <cell r="AN61">
            <v>0.1885</v>
          </cell>
          <cell r="AQ61">
            <v>0</v>
          </cell>
          <cell r="AS61" t="str">
            <v>Y</v>
          </cell>
          <cell r="BM61" t="str">
            <v>Residential</v>
          </cell>
          <cell r="BN61">
            <v>0</v>
          </cell>
          <cell r="BR61">
            <v>0.41022850924918391</v>
          </cell>
          <cell r="FQ61">
            <v>0</v>
          </cell>
          <cell r="IB61">
            <v>0</v>
          </cell>
          <cell r="IC61">
            <v>0</v>
          </cell>
          <cell r="ID61">
            <v>0</v>
          </cell>
          <cell r="IE61">
            <v>0</v>
          </cell>
          <cell r="IP61">
            <v>0</v>
          </cell>
          <cell r="IR61">
            <v>0</v>
          </cell>
          <cell r="IT61">
            <v>0</v>
          </cell>
          <cell r="IU61">
            <v>0</v>
          </cell>
        </row>
        <row r="62">
          <cell r="A62" t="str">
            <v>legal</v>
          </cell>
          <cell r="E62" t="str">
            <v>27 Paseo Del Congres Catmon Malolos Bulacan</v>
          </cell>
          <cell r="S62" t="str">
            <v>Male</v>
          </cell>
          <cell r="AK62" t="str">
            <v>Lessee</v>
          </cell>
          <cell r="AN62">
            <v>0</v>
          </cell>
          <cell r="AQ62">
            <v>0</v>
          </cell>
          <cell r="AS62" t="str">
            <v>Y</v>
          </cell>
          <cell r="BM62" t="str">
            <v>Residential</v>
          </cell>
          <cell r="BN62">
            <v>0</v>
          </cell>
          <cell r="BR62">
            <v>0</v>
          </cell>
          <cell r="FQ62">
            <v>0</v>
          </cell>
          <cell r="IB62">
            <v>0</v>
          </cell>
          <cell r="IC62">
            <v>0</v>
          </cell>
          <cell r="ID62">
            <v>0</v>
          </cell>
          <cell r="IE62">
            <v>0</v>
          </cell>
          <cell r="IP62">
            <v>0</v>
          </cell>
          <cell r="IR62">
            <v>0</v>
          </cell>
          <cell r="IT62">
            <v>0</v>
          </cell>
          <cell r="IU62">
            <v>0</v>
          </cell>
        </row>
        <row r="63">
          <cell r="A63" t="str">
            <v>legal</v>
          </cell>
          <cell r="E63" t="str">
            <v>I Amethyst St., Capitol Vieew Park Subd Malolos Bulacan</v>
          </cell>
          <cell r="S63" t="str">
            <v>Male</v>
          </cell>
          <cell r="AK63" t="str">
            <v>Land Owner</v>
          </cell>
          <cell r="AN63">
            <v>0</v>
          </cell>
          <cell r="AQ63">
            <v>0</v>
          </cell>
          <cell r="AS63">
            <v>0</v>
          </cell>
          <cell r="BM63">
            <v>0</v>
          </cell>
          <cell r="BN63">
            <v>0</v>
          </cell>
          <cell r="BR63">
            <v>0</v>
          </cell>
          <cell r="FQ63">
            <v>0</v>
          </cell>
          <cell r="IB63">
            <v>0</v>
          </cell>
          <cell r="IC63">
            <v>0</v>
          </cell>
          <cell r="ID63">
            <v>0</v>
          </cell>
          <cell r="IE63">
            <v>0</v>
          </cell>
          <cell r="IP63">
            <v>0</v>
          </cell>
          <cell r="IR63">
            <v>0</v>
          </cell>
          <cell r="IT63">
            <v>0</v>
          </cell>
          <cell r="IU63">
            <v>0</v>
          </cell>
        </row>
        <row r="64">
          <cell r="A64">
            <v>0</v>
          </cell>
          <cell r="E64">
            <v>0</v>
          </cell>
          <cell r="S64">
            <v>0</v>
          </cell>
          <cell r="AK64">
            <v>0</v>
          </cell>
          <cell r="AN64">
            <v>0</v>
          </cell>
          <cell r="AQ64">
            <v>0</v>
          </cell>
          <cell r="AS64">
            <v>0</v>
          </cell>
          <cell r="BM64">
            <v>0</v>
          </cell>
          <cell r="BN64">
            <v>0</v>
          </cell>
          <cell r="BR64">
            <v>0</v>
          </cell>
          <cell r="FQ64">
            <v>0</v>
          </cell>
          <cell r="IB64">
            <v>0</v>
          </cell>
          <cell r="IC64">
            <v>0</v>
          </cell>
          <cell r="ID64">
            <v>0</v>
          </cell>
          <cell r="IE64">
            <v>0</v>
          </cell>
          <cell r="IP64">
            <v>0</v>
          </cell>
          <cell r="IR64">
            <v>0</v>
          </cell>
          <cell r="IT64">
            <v>0</v>
          </cell>
          <cell r="IU64">
            <v>0</v>
          </cell>
        </row>
        <row r="65">
          <cell r="A65">
            <v>0</v>
          </cell>
          <cell r="E65" t="str">
            <v>I Amethyst St., Capitol View Park Bulihan Malolos Bulacan</v>
          </cell>
          <cell r="S65">
            <v>0</v>
          </cell>
          <cell r="AK65" t="str">
            <v>Land Owner</v>
          </cell>
          <cell r="AN65">
            <v>2.8806584362139918E-2</v>
          </cell>
          <cell r="AQ65">
            <v>0</v>
          </cell>
          <cell r="AS65" t="str">
            <v>Y</v>
          </cell>
          <cell r="BM65">
            <v>0</v>
          </cell>
          <cell r="BN65">
            <v>0</v>
          </cell>
          <cell r="BR65">
            <v>0</v>
          </cell>
          <cell r="FQ65">
            <v>0</v>
          </cell>
          <cell r="IB65">
            <v>0</v>
          </cell>
          <cell r="IC65">
            <v>0</v>
          </cell>
          <cell r="ID65">
            <v>0</v>
          </cell>
          <cell r="IE65">
            <v>0</v>
          </cell>
          <cell r="IP65">
            <v>0</v>
          </cell>
          <cell r="IR65">
            <v>0</v>
          </cell>
          <cell r="IT65">
            <v>0</v>
          </cell>
          <cell r="IU65">
            <v>0</v>
          </cell>
        </row>
        <row r="66">
          <cell r="A66">
            <v>0</v>
          </cell>
          <cell r="E66" t="str">
            <v>I Amethyst St., Capitol View Park Bulihan Malolos Bulacan</v>
          </cell>
          <cell r="S66">
            <v>0</v>
          </cell>
          <cell r="AK66" t="str">
            <v>Land Owner</v>
          </cell>
          <cell r="AN66">
            <v>2.575107296137339E-2</v>
          </cell>
          <cell r="AQ66">
            <v>0</v>
          </cell>
          <cell r="AS66" t="str">
            <v>Y</v>
          </cell>
          <cell r="BM66">
            <v>0</v>
          </cell>
          <cell r="BN66">
            <v>0</v>
          </cell>
          <cell r="BR66">
            <v>0</v>
          </cell>
          <cell r="FQ66">
            <v>0</v>
          </cell>
          <cell r="IB66">
            <v>0</v>
          </cell>
          <cell r="IC66">
            <v>0</v>
          </cell>
          <cell r="ID66">
            <v>0</v>
          </cell>
          <cell r="IE66">
            <v>0</v>
          </cell>
          <cell r="IP66">
            <v>0</v>
          </cell>
          <cell r="IR66">
            <v>0</v>
          </cell>
          <cell r="IT66">
            <v>0</v>
          </cell>
          <cell r="IU66">
            <v>0</v>
          </cell>
        </row>
        <row r="67">
          <cell r="A67">
            <v>0</v>
          </cell>
          <cell r="E67">
            <v>0</v>
          </cell>
          <cell r="S67">
            <v>0</v>
          </cell>
          <cell r="AK67">
            <v>0</v>
          </cell>
          <cell r="AN67">
            <v>0</v>
          </cell>
          <cell r="AQ67">
            <v>0</v>
          </cell>
          <cell r="AS67">
            <v>0</v>
          </cell>
          <cell r="BM67">
            <v>0</v>
          </cell>
          <cell r="BN67">
            <v>0</v>
          </cell>
          <cell r="BR67">
            <v>0</v>
          </cell>
          <cell r="FQ67">
            <v>0</v>
          </cell>
          <cell r="IB67">
            <v>0</v>
          </cell>
          <cell r="IC67">
            <v>0</v>
          </cell>
          <cell r="ID67">
            <v>0</v>
          </cell>
          <cell r="IE67">
            <v>0</v>
          </cell>
          <cell r="IP67">
            <v>0</v>
          </cell>
          <cell r="IR67">
            <v>0</v>
          </cell>
          <cell r="IT67">
            <v>0</v>
          </cell>
          <cell r="IU67">
            <v>0</v>
          </cell>
        </row>
        <row r="68">
          <cell r="A68">
            <v>0</v>
          </cell>
          <cell r="E68">
            <v>0</v>
          </cell>
          <cell r="S68">
            <v>0</v>
          </cell>
          <cell r="AK68">
            <v>0</v>
          </cell>
          <cell r="AN68">
            <v>0</v>
          </cell>
          <cell r="AQ68">
            <v>0</v>
          </cell>
          <cell r="AS68">
            <v>0</v>
          </cell>
          <cell r="BM68">
            <v>0</v>
          </cell>
          <cell r="BN68">
            <v>0</v>
          </cell>
          <cell r="BR68">
            <v>0</v>
          </cell>
          <cell r="FQ68">
            <v>0</v>
          </cell>
          <cell r="IB68">
            <v>0</v>
          </cell>
          <cell r="IC68">
            <v>0</v>
          </cell>
          <cell r="ID68">
            <v>0</v>
          </cell>
          <cell r="IE68">
            <v>0</v>
          </cell>
          <cell r="IP68">
            <v>0</v>
          </cell>
          <cell r="IR68">
            <v>0</v>
          </cell>
          <cell r="IT68">
            <v>0</v>
          </cell>
          <cell r="IU68">
            <v>0</v>
          </cell>
        </row>
        <row r="69">
          <cell r="A69">
            <v>0</v>
          </cell>
          <cell r="E69">
            <v>0</v>
          </cell>
          <cell r="S69">
            <v>0</v>
          </cell>
          <cell r="AK69">
            <v>0</v>
          </cell>
          <cell r="AN69">
            <v>0</v>
          </cell>
          <cell r="AQ69">
            <v>0</v>
          </cell>
          <cell r="AS69">
            <v>0</v>
          </cell>
          <cell r="BM69">
            <v>0</v>
          </cell>
          <cell r="BN69">
            <v>0</v>
          </cell>
          <cell r="BR69">
            <v>0</v>
          </cell>
          <cell r="FQ69">
            <v>0</v>
          </cell>
          <cell r="IB69">
            <v>0</v>
          </cell>
          <cell r="IC69">
            <v>0</v>
          </cell>
          <cell r="ID69">
            <v>0</v>
          </cell>
          <cell r="IE69">
            <v>0</v>
          </cell>
          <cell r="IP69">
            <v>0</v>
          </cell>
          <cell r="IR69">
            <v>0</v>
          </cell>
          <cell r="IT69">
            <v>0</v>
          </cell>
          <cell r="IU69">
            <v>0</v>
          </cell>
        </row>
        <row r="70">
          <cell r="A70" t="str">
            <v>legal</v>
          </cell>
          <cell r="E70">
            <v>0</v>
          </cell>
          <cell r="S70">
            <v>0</v>
          </cell>
          <cell r="AK70" t="str">
            <v>Land Owner</v>
          </cell>
          <cell r="AN70">
            <v>0.68685278103982061</v>
          </cell>
          <cell r="AQ70">
            <v>0</v>
          </cell>
          <cell r="AS70">
            <v>0</v>
          </cell>
          <cell r="BM70" t="str">
            <v>Institutional</v>
          </cell>
          <cell r="BN70">
            <v>0</v>
          </cell>
          <cell r="BR70">
            <v>0.68685278103982061</v>
          </cell>
          <cell r="FQ70">
            <v>0</v>
          </cell>
          <cell r="IB70">
            <v>0</v>
          </cell>
          <cell r="IC70">
            <v>0</v>
          </cell>
          <cell r="ID70">
            <v>0</v>
          </cell>
          <cell r="IE70">
            <v>0</v>
          </cell>
          <cell r="IP70">
            <v>0</v>
          </cell>
          <cell r="IR70">
            <v>0</v>
          </cell>
          <cell r="IT70">
            <v>0</v>
          </cell>
          <cell r="IU70">
            <v>0</v>
          </cell>
        </row>
        <row r="71">
          <cell r="A71" t="str">
            <v>ISF-SO</v>
          </cell>
          <cell r="E71" t="str">
            <v>Ugong, Tuktukan, Guiguinto,Bulacan</v>
          </cell>
          <cell r="S71" t="str">
            <v>Male</v>
          </cell>
          <cell r="AK71">
            <v>0</v>
          </cell>
          <cell r="AN71">
            <v>0</v>
          </cell>
          <cell r="AQ71">
            <v>0</v>
          </cell>
          <cell r="AS71">
            <v>0</v>
          </cell>
          <cell r="BM71">
            <v>0</v>
          </cell>
          <cell r="BN71">
            <v>1</v>
          </cell>
          <cell r="BR71">
            <v>1</v>
          </cell>
          <cell r="FQ71" t="str">
            <v>Need Displacement</v>
          </cell>
          <cell r="IB71">
            <v>0</v>
          </cell>
          <cell r="IC71">
            <v>0</v>
          </cell>
          <cell r="ID71">
            <v>1</v>
          </cell>
          <cell r="IE71">
            <v>0</v>
          </cell>
          <cell r="IP71">
            <v>0</v>
          </cell>
          <cell r="IR71">
            <v>0</v>
          </cell>
          <cell r="IT71">
            <v>0</v>
          </cell>
          <cell r="IU71">
            <v>0</v>
          </cell>
        </row>
        <row r="72">
          <cell r="A72" t="str">
            <v>ISF-GG</v>
          </cell>
          <cell r="E72" t="str">
            <v>Ugong, Tuktukan, Guiguinto,Bulacan</v>
          </cell>
          <cell r="S72" t="str">
            <v>Male</v>
          </cell>
          <cell r="AK72">
            <v>0</v>
          </cell>
          <cell r="AN72">
            <v>0</v>
          </cell>
          <cell r="AQ72">
            <v>0</v>
          </cell>
          <cell r="AS72">
            <v>0</v>
          </cell>
          <cell r="BM72" t="str">
            <v>Residential</v>
          </cell>
          <cell r="BN72">
            <v>0</v>
          </cell>
          <cell r="BR72">
            <v>0</v>
          </cell>
          <cell r="FQ72" t="str">
            <v>Need Displacement</v>
          </cell>
          <cell r="IB72">
            <v>0</v>
          </cell>
          <cell r="IC72">
            <v>0</v>
          </cell>
          <cell r="ID72">
            <v>0</v>
          </cell>
          <cell r="IE72">
            <v>0</v>
          </cell>
          <cell r="IP72">
            <v>0</v>
          </cell>
          <cell r="IR72">
            <v>0</v>
          </cell>
          <cell r="IT72">
            <v>0</v>
          </cell>
          <cell r="IU72">
            <v>0</v>
          </cell>
        </row>
        <row r="73">
          <cell r="A73" t="str">
            <v>ISF-GG</v>
          </cell>
          <cell r="E73" t="str">
            <v>Ugong, Tuktukan, Guiguinto,Bulacan</v>
          </cell>
          <cell r="S73" t="str">
            <v>Male</v>
          </cell>
          <cell r="AK73">
            <v>0</v>
          </cell>
          <cell r="AN73">
            <v>0</v>
          </cell>
          <cell r="AQ73">
            <v>0</v>
          </cell>
          <cell r="AS73">
            <v>0</v>
          </cell>
          <cell r="BM73" t="str">
            <v>Residential/Commercial</v>
          </cell>
          <cell r="BN73">
            <v>1</v>
          </cell>
          <cell r="BR73">
            <v>0</v>
          </cell>
          <cell r="FQ73">
            <v>0</v>
          </cell>
          <cell r="IB73">
            <v>0</v>
          </cell>
          <cell r="IC73">
            <v>0</v>
          </cell>
          <cell r="ID73">
            <v>0</v>
          </cell>
          <cell r="IE73">
            <v>0</v>
          </cell>
          <cell r="IP73" t="str">
            <v>Caretaker</v>
          </cell>
          <cell r="IR73" t="str">
            <v>Home/Small-scale Industry</v>
          </cell>
          <cell r="IT73">
            <v>0</v>
          </cell>
          <cell r="IU73" t="str">
            <v>x</v>
          </cell>
        </row>
        <row r="74">
          <cell r="A74" t="str">
            <v>Legal</v>
          </cell>
          <cell r="E74" t="str">
            <v>Tuktukan, Guiguinto,Bulacan</v>
          </cell>
          <cell r="S74">
            <v>0</v>
          </cell>
          <cell r="AK74" t="str">
            <v>Land Owner</v>
          </cell>
          <cell r="AN74">
            <v>5.4501992031872511E-2</v>
          </cell>
          <cell r="AQ74">
            <v>0</v>
          </cell>
          <cell r="AS74">
            <v>0</v>
          </cell>
          <cell r="BM74" t="str">
            <v>Industrial</v>
          </cell>
          <cell r="BN74">
            <v>0</v>
          </cell>
          <cell r="BR74">
            <v>0</v>
          </cell>
          <cell r="FQ74">
            <v>0</v>
          </cell>
          <cell r="IB74">
            <v>0</v>
          </cell>
          <cell r="IC74">
            <v>0</v>
          </cell>
          <cell r="ID74">
            <v>0</v>
          </cell>
          <cell r="IE74">
            <v>0</v>
          </cell>
          <cell r="IP74">
            <v>0</v>
          </cell>
          <cell r="IR74">
            <v>0</v>
          </cell>
          <cell r="IT74">
            <v>0</v>
          </cell>
          <cell r="IU74">
            <v>0</v>
          </cell>
        </row>
        <row r="75">
          <cell r="A75" t="str">
            <v>Legal</v>
          </cell>
          <cell r="E75" t="str">
            <v>508 Tuktukan Guiguinto Bulacan</v>
          </cell>
          <cell r="S75">
            <v>0</v>
          </cell>
          <cell r="AK75" t="str">
            <v>Land Owner</v>
          </cell>
          <cell r="AN75">
            <v>4.2857142857142859E-3</v>
          </cell>
          <cell r="AQ75">
            <v>0</v>
          </cell>
          <cell r="AS75" t="str">
            <v>Y</v>
          </cell>
          <cell r="BM75" t="str">
            <v>Residential</v>
          </cell>
          <cell r="BN75">
            <v>0</v>
          </cell>
          <cell r="BR75">
            <v>1</v>
          </cell>
          <cell r="FQ75" t="str">
            <v>Need Displacement</v>
          </cell>
          <cell r="IB75">
            <v>0</v>
          </cell>
          <cell r="IC75">
            <v>0</v>
          </cell>
          <cell r="ID75" t="str">
            <v>Y</v>
          </cell>
          <cell r="IE75">
            <v>0</v>
          </cell>
          <cell r="IP75" t="str">
            <v>Land Lessee</v>
          </cell>
          <cell r="IR75" t="str">
            <v>Agri-business</v>
          </cell>
          <cell r="IT75">
            <v>0</v>
          </cell>
          <cell r="IU75" t="str">
            <v>x</v>
          </cell>
        </row>
        <row r="76">
          <cell r="A76" t="str">
            <v>legal</v>
          </cell>
          <cell r="E76" t="str">
            <v>508 Tuktukan Guiguinto Bulacan</v>
          </cell>
          <cell r="S76">
            <v>0</v>
          </cell>
          <cell r="AK76">
            <v>0</v>
          </cell>
          <cell r="AN76">
            <v>0</v>
          </cell>
          <cell r="AQ76">
            <v>0</v>
          </cell>
          <cell r="AS76">
            <v>0</v>
          </cell>
          <cell r="BM76">
            <v>0</v>
          </cell>
          <cell r="BN76">
            <v>0</v>
          </cell>
          <cell r="BR76">
            <v>0</v>
          </cell>
          <cell r="FQ76">
            <v>0</v>
          </cell>
          <cell r="IB76">
            <v>0</v>
          </cell>
          <cell r="IC76">
            <v>0</v>
          </cell>
          <cell r="ID76">
            <v>0</v>
          </cell>
          <cell r="IE76">
            <v>0</v>
          </cell>
          <cell r="IP76">
            <v>0</v>
          </cell>
          <cell r="IR76">
            <v>0</v>
          </cell>
          <cell r="IT76">
            <v>0</v>
          </cell>
          <cell r="IU76">
            <v>0</v>
          </cell>
        </row>
        <row r="77">
          <cell r="A77" t="str">
            <v>legal</v>
          </cell>
          <cell r="E77" t="str">
            <v>305 San Pedro St., Tuktukan Guiguinto Bulacan</v>
          </cell>
          <cell r="S77">
            <v>0</v>
          </cell>
          <cell r="AK77" t="str">
            <v>Land Owner</v>
          </cell>
          <cell r="AN77">
            <v>0</v>
          </cell>
          <cell r="AQ77">
            <v>0</v>
          </cell>
          <cell r="AS77" t="str">
            <v>Y</v>
          </cell>
          <cell r="BM77" t="str">
            <v>Agricultural</v>
          </cell>
          <cell r="BN77">
            <v>0</v>
          </cell>
          <cell r="BR77">
            <v>0</v>
          </cell>
          <cell r="FQ77">
            <v>0</v>
          </cell>
          <cell r="IB77" t="str">
            <v>Y</v>
          </cell>
          <cell r="IC77">
            <v>0</v>
          </cell>
          <cell r="ID77" t="str">
            <v>Y</v>
          </cell>
          <cell r="IE77">
            <v>0</v>
          </cell>
          <cell r="IP77">
            <v>0</v>
          </cell>
          <cell r="IR77">
            <v>0</v>
          </cell>
          <cell r="IT77">
            <v>0</v>
          </cell>
          <cell r="IU77">
            <v>0</v>
          </cell>
        </row>
        <row r="78">
          <cell r="A78" t="str">
            <v>isf</v>
          </cell>
          <cell r="E78" t="str">
            <v>960 Sna Agustin St., Tuktukan Guinguinto Bulacan</v>
          </cell>
          <cell r="S78">
            <v>0</v>
          </cell>
          <cell r="AK78" t="str">
            <v>with permission from NIA</v>
          </cell>
          <cell r="AN78">
            <v>0</v>
          </cell>
          <cell r="AQ78">
            <v>0</v>
          </cell>
          <cell r="AS78">
            <v>0</v>
          </cell>
          <cell r="BM78" t="str">
            <v>Commercial</v>
          </cell>
          <cell r="BN78">
            <v>0</v>
          </cell>
          <cell r="BR78">
            <v>1</v>
          </cell>
          <cell r="FQ78" t="str">
            <v>Need Displacement</v>
          </cell>
          <cell r="IB78">
            <v>0</v>
          </cell>
          <cell r="IC78">
            <v>0</v>
          </cell>
          <cell r="ID78" t="str">
            <v>Y</v>
          </cell>
          <cell r="IE78">
            <v>0</v>
          </cell>
          <cell r="IP78">
            <v>0</v>
          </cell>
          <cell r="IR78">
            <v>0</v>
          </cell>
          <cell r="IT78">
            <v>0</v>
          </cell>
          <cell r="IU78">
            <v>0</v>
          </cell>
        </row>
        <row r="79">
          <cell r="A79" t="str">
            <v>Absentee</v>
          </cell>
          <cell r="E79">
            <v>0</v>
          </cell>
          <cell r="S79">
            <v>0</v>
          </cell>
          <cell r="AK79" t="str">
            <v>Land Owner</v>
          </cell>
          <cell r="AN79">
            <v>0</v>
          </cell>
          <cell r="AQ79">
            <v>0</v>
          </cell>
          <cell r="AS79">
            <v>0</v>
          </cell>
          <cell r="BM79" t="str">
            <v>Industrial</v>
          </cell>
          <cell r="BN79">
            <v>0</v>
          </cell>
          <cell r="BR79">
            <v>0</v>
          </cell>
          <cell r="FQ79">
            <v>0</v>
          </cell>
          <cell r="IB79">
            <v>0</v>
          </cell>
          <cell r="IC79">
            <v>0</v>
          </cell>
          <cell r="ID79">
            <v>0</v>
          </cell>
          <cell r="IE79">
            <v>0</v>
          </cell>
          <cell r="IP79">
            <v>0</v>
          </cell>
          <cell r="IR79">
            <v>0</v>
          </cell>
          <cell r="IT79">
            <v>0</v>
          </cell>
          <cell r="IU79">
            <v>0</v>
          </cell>
        </row>
        <row r="80">
          <cell r="A80" t="str">
            <v>Absentee</v>
          </cell>
          <cell r="E80">
            <v>0</v>
          </cell>
          <cell r="S80">
            <v>0</v>
          </cell>
          <cell r="AK80">
            <v>0</v>
          </cell>
          <cell r="AN80">
            <v>0</v>
          </cell>
          <cell r="AQ80">
            <v>0</v>
          </cell>
          <cell r="AS80">
            <v>0</v>
          </cell>
          <cell r="BM80">
            <v>0</v>
          </cell>
          <cell r="BN80">
            <v>0</v>
          </cell>
          <cell r="BR80">
            <v>0</v>
          </cell>
          <cell r="FQ80">
            <v>0</v>
          </cell>
          <cell r="IB80">
            <v>0</v>
          </cell>
          <cell r="IC80">
            <v>0</v>
          </cell>
          <cell r="ID80">
            <v>0</v>
          </cell>
          <cell r="IE80">
            <v>0</v>
          </cell>
          <cell r="IP80">
            <v>0</v>
          </cell>
          <cell r="IR80">
            <v>0</v>
          </cell>
          <cell r="IT80">
            <v>0</v>
          </cell>
          <cell r="IU80">
            <v>0</v>
          </cell>
        </row>
        <row r="81">
          <cell r="A81" t="str">
            <v>Legal</v>
          </cell>
          <cell r="E81" t="str">
            <v>Center Administrator - Regional Training Center, TESDA Tabang , Guiguinto Bulacan</v>
          </cell>
          <cell r="S81">
            <v>0</v>
          </cell>
          <cell r="AK81" t="str">
            <v>Land Owner</v>
          </cell>
          <cell r="AN81">
            <v>2.1999999999999999E-2</v>
          </cell>
          <cell r="AQ81">
            <v>0</v>
          </cell>
          <cell r="AS81" t="str">
            <v>Y</v>
          </cell>
          <cell r="BM81">
            <v>0</v>
          </cell>
          <cell r="BN81">
            <v>0</v>
          </cell>
          <cell r="BR81">
            <v>0.2</v>
          </cell>
          <cell r="FQ81">
            <v>0</v>
          </cell>
          <cell r="IB81">
            <v>0</v>
          </cell>
          <cell r="IC81">
            <v>0</v>
          </cell>
          <cell r="ID81">
            <v>0</v>
          </cell>
          <cell r="IE81">
            <v>0</v>
          </cell>
          <cell r="IP81">
            <v>0</v>
          </cell>
          <cell r="IR81">
            <v>0</v>
          </cell>
          <cell r="IT81">
            <v>0</v>
          </cell>
          <cell r="IU81">
            <v>0</v>
          </cell>
        </row>
        <row r="82">
          <cell r="A82" t="str">
            <v>Legal</v>
          </cell>
          <cell r="E82" t="str">
            <v>Center Administrator - Regional Training Center, TESDA Tabang , Guiguinto Bulacan</v>
          </cell>
          <cell r="S82">
            <v>0</v>
          </cell>
          <cell r="AK82" t="str">
            <v>Land Owner</v>
          </cell>
          <cell r="AN82">
            <v>0</v>
          </cell>
          <cell r="AQ82">
            <v>0</v>
          </cell>
          <cell r="AS82" t="str">
            <v>Y</v>
          </cell>
          <cell r="BM82" t="str">
            <v>Institutional</v>
          </cell>
          <cell r="BN82">
            <v>0</v>
          </cell>
          <cell r="BR82">
            <v>0.35050950350509502</v>
          </cell>
          <cell r="FQ82" t="str">
            <v>Need Displacement</v>
          </cell>
          <cell r="IB82">
            <v>0</v>
          </cell>
          <cell r="IC82">
            <v>0</v>
          </cell>
          <cell r="ID82">
            <v>0</v>
          </cell>
          <cell r="IE82">
            <v>0</v>
          </cell>
          <cell r="IP82">
            <v>0</v>
          </cell>
          <cell r="IR82">
            <v>0</v>
          </cell>
          <cell r="IT82">
            <v>0</v>
          </cell>
          <cell r="IU82">
            <v>0</v>
          </cell>
        </row>
        <row r="83">
          <cell r="A83" t="str">
            <v>Legal</v>
          </cell>
          <cell r="E83" t="str">
            <v>Center Administrator - Regional Training Center, TESDA Tabang , Guiguinto Bulacan</v>
          </cell>
          <cell r="S83">
            <v>0</v>
          </cell>
          <cell r="AK83" t="str">
            <v>Land Owner</v>
          </cell>
          <cell r="AN83">
            <v>0</v>
          </cell>
          <cell r="AQ83">
            <v>0</v>
          </cell>
          <cell r="AS83" t="str">
            <v>Y</v>
          </cell>
          <cell r="BM83" t="str">
            <v>Institutional</v>
          </cell>
          <cell r="BN83">
            <v>0</v>
          </cell>
          <cell r="BR83">
            <v>0.100188679245283</v>
          </cell>
          <cell r="FQ83" t="str">
            <v>Can Stay</v>
          </cell>
          <cell r="IB83">
            <v>0</v>
          </cell>
          <cell r="IC83">
            <v>0</v>
          </cell>
          <cell r="ID83">
            <v>0</v>
          </cell>
          <cell r="IE83">
            <v>0</v>
          </cell>
          <cell r="IP83">
            <v>0</v>
          </cell>
          <cell r="IR83">
            <v>0</v>
          </cell>
          <cell r="IT83">
            <v>0</v>
          </cell>
          <cell r="IU83">
            <v>0</v>
          </cell>
        </row>
        <row r="84">
          <cell r="A84" t="str">
            <v>Legal</v>
          </cell>
          <cell r="E84" t="str">
            <v>HACC, Tabang, Guiguinto</v>
          </cell>
          <cell r="S84">
            <v>0</v>
          </cell>
          <cell r="AK84" t="str">
            <v>Land Owner</v>
          </cell>
          <cell r="AN84">
            <v>0</v>
          </cell>
          <cell r="AQ84">
            <v>0</v>
          </cell>
          <cell r="AS84" t="str">
            <v>Y</v>
          </cell>
          <cell r="BM84" t="str">
            <v>Agricultural/Institutional and abandoned slaughter house complex</v>
          </cell>
          <cell r="BN84">
            <v>0</v>
          </cell>
          <cell r="BR84">
            <v>0</v>
          </cell>
          <cell r="FQ84">
            <v>0</v>
          </cell>
          <cell r="IB84">
            <v>0</v>
          </cell>
          <cell r="IC84">
            <v>0</v>
          </cell>
          <cell r="ID84">
            <v>0</v>
          </cell>
          <cell r="IE84">
            <v>0</v>
          </cell>
          <cell r="IP84">
            <v>0</v>
          </cell>
          <cell r="IR84">
            <v>0</v>
          </cell>
          <cell r="IT84">
            <v>0</v>
          </cell>
          <cell r="IU84">
            <v>0</v>
          </cell>
        </row>
        <row r="85">
          <cell r="A85" t="str">
            <v>Legal</v>
          </cell>
          <cell r="E85" t="str">
            <v>HACC, Tabang, Guiguinto</v>
          </cell>
          <cell r="S85">
            <v>0</v>
          </cell>
          <cell r="AK85" t="str">
            <v>ISF</v>
          </cell>
          <cell r="AN85">
            <v>0</v>
          </cell>
          <cell r="AQ85">
            <v>0</v>
          </cell>
          <cell r="AS85" t="str">
            <v>Y</v>
          </cell>
          <cell r="BM85" t="str">
            <v>Residential</v>
          </cell>
          <cell r="BN85">
            <v>1</v>
          </cell>
          <cell r="BR85">
            <v>1</v>
          </cell>
          <cell r="FQ85" t="str">
            <v>Need Displacement</v>
          </cell>
          <cell r="IB85" t="str">
            <v>Y</v>
          </cell>
          <cell r="IC85">
            <v>0</v>
          </cell>
          <cell r="ID85">
            <v>1</v>
          </cell>
          <cell r="IE85">
            <v>0</v>
          </cell>
          <cell r="IP85">
            <v>0</v>
          </cell>
          <cell r="IR85">
            <v>0</v>
          </cell>
          <cell r="IT85">
            <v>0</v>
          </cell>
          <cell r="IU85">
            <v>0</v>
          </cell>
        </row>
        <row r="86">
          <cell r="A86" t="str">
            <v>legal</v>
          </cell>
          <cell r="E86" t="str">
            <v>599 Tabang, Guiguinto Bulacan</v>
          </cell>
          <cell r="S86">
            <v>0</v>
          </cell>
          <cell r="AK86" t="str">
            <v>Land Owner</v>
          </cell>
          <cell r="AN86">
            <v>0.16922727272727273</v>
          </cell>
          <cell r="AQ86">
            <v>0</v>
          </cell>
          <cell r="AS86" t="str">
            <v>Y</v>
          </cell>
          <cell r="BM86" t="str">
            <v>Residential</v>
          </cell>
          <cell r="BN86">
            <v>0</v>
          </cell>
          <cell r="BR86">
            <v>0.45954016124216185</v>
          </cell>
          <cell r="FQ86" t="str">
            <v>Need Displacement</v>
          </cell>
          <cell r="IB86">
            <v>0</v>
          </cell>
          <cell r="IC86">
            <v>0</v>
          </cell>
          <cell r="ID86">
            <v>0</v>
          </cell>
          <cell r="IE86">
            <v>0</v>
          </cell>
          <cell r="IP86">
            <v>0</v>
          </cell>
          <cell r="IR86">
            <v>0</v>
          </cell>
          <cell r="IT86">
            <v>0</v>
          </cell>
          <cell r="IU86">
            <v>0</v>
          </cell>
        </row>
        <row r="87">
          <cell r="A87" t="str">
            <v>legal</v>
          </cell>
          <cell r="E87" t="str">
            <v>599 Tabang, Guiguinto Bulacan</v>
          </cell>
          <cell r="S87">
            <v>0</v>
          </cell>
          <cell r="AK87" t="str">
            <v>Land Owner</v>
          </cell>
          <cell r="AN87">
            <v>0.10227272727272728</v>
          </cell>
          <cell r="AQ87">
            <v>0</v>
          </cell>
          <cell r="AS87" t="str">
            <v>Y</v>
          </cell>
          <cell r="BM87" t="str">
            <v>Industrial</v>
          </cell>
          <cell r="BN87">
            <v>0</v>
          </cell>
          <cell r="BR87">
            <v>0.66666666666666663</v>
          </cell>
          <cell r="FQ87">
            <v>0</v>
          </cell>
          <cell r="IB87">
            <v>0</v>
          </cell>
          <cell r="IC87">
            <v>0</v>
          </cell>
          <cell r="ID87">
            <v>0</v>
          </cell>
          <cell r="IE87">
            <v>0</v>
          </cell>
          <cell r="IP87" t="str">
            <v>Owner</v>
          </cell>
          <cell r="IR87" t="str">
            <v>Roof Supplier</v>
          </cell>
          <cell r="IT87">
            <v>0</v>
          </cell>
          <cell r="IU87">
            <v>0</v>
          </cell>
        </row>
        <row r="88">
          <cell r="A88" t="str">
            <v>LEGAL-GG</v>
          </cell>
          <cell r="E88" t="str">
            <v>616 Tabang Guiguinto Bulacan</v>
          </cell>
          <cell r="S88" t="str">
            <v>Female</v>
          </cell>
          <cell r="AK88" t="str">
            <v>Land Owner</v>
          </cell>
          <cell r="AN88">
            <v>0.16922727272727273</v>
          </cell>
          <cell r="AQ88">
            <v>0</v>
          </cell>
          <cell r="AS88" t="str">
            <v>Y</v>
          </cell>
          <cell r="BM88" t="str">
            <v>Residential</v>
          </cell>
          <cell r="BN88">
            <v>0</v>
          </cell>
          <cell r="BR88">
            <v>0.12244897959183673</v>
          </cell>
          <cell r="FQ88">
            <v>0</v>
          </cell>
          <cell r="IB88">
            <v>0</v>
          </cell>
          <cell r="IC88">
            <v>0</v>
          </cell>
          <cell r="ID88">
            <v>0</v>
          </cell>
          <cell r="IE88">
            <v>0</v>
          </cell>
          <cell r="IP88" t="str">
            <v>Owner</v>
          </cell>
          <cell r="IR88" t="str">
            <v>Home/Small-scale Industry</v>
          </cell>
          <cell r="IT88">
            <v>0</v>
          </cell>
          <cell r="IU88">
            <v>0</v>
          </cell>
        </row>
        <row r="89">
          <cell r="A89" t="str">
            <v>LEGAL-GG</v>
          </cell>
          <cell r="E89" t="str">
            <v>199 Tabang Guiguinto Bulacan</v>
          </cell>
          <cell r="S89" t="str">
            <v>Male</v>
          </cell>
          <cell r="AK89" t="str">
            <v>Land Owner</v>
          </cell>
          <cell r="AN89">
            <v>0.16922727272727273</v>
          </cell>
          <cell r="AQ89">
            <v>0</v>
          </cell>
          <cell r="AS89" t="str">
            <v>Y</v>
          </cell>
          <cell r="BM89" t="str">
            <v>Residential</v>
          </cell>
          <cell r="BN89">
            <v>0</v>
          </cell>
          <cell r="BR89">
            <v>0.12244897959183673</v>
          </cell>
          <cell r="FQ89" t="str">
            <v>Need Displacement</v>
          </cell>
          <cell r="IB89">
            <v>0</v>
          </cell>
          <cell r="IC89">
            <v>0</v>
          </cell>
          <cell r="ID89">
            <v>0</v>
          </cell>
          <cell r="IE89">
            <v>0</v>
          </cell>
          <cell r="IP89">
            <v>0</v>
          </cell>
          <cell r="IR89">
            <v>0</v>
          </cell>
          <cell r="IT89">
            <v>0</v>
          </cell>
          <cell r="IU89">
            <v>0</v>
          </cell>
        </row>
        <row r="90">
          <cell r="A90" t="str">
            <v>LEGAL-GG</v>
          </cell>
          <cell r="E90" t="str">
            <v>199 Tabang Guiguinto Bulacan</v>
          </cell>
          <cell r="S90" t="str">
            <v>Female</v>
          </cell>
          <cell r="AK90" t="str">
            <v>Land Owner</v>
          </cell>
          <cell r="AN90">
            <v>7.1656050955414011E-2</v>
          </cell>
          <cell r="AQ90">
            <v>0</v>
          </cell>
          <cell r="AS90" t="str">
            <v>Y</v>
          </cell>
          <cell r="BM90" t="str">
            <v>Residential</v>
          </cell>
          <cell r="BN90">
            <v>0</v>
          </cell>
          <cell r="BR90">
            <v>0.7142857142857143</v>
          </cell>
          <cell r="FQ90">
            <v>0</v>
          </cell>
          <cell r="IB90">
            <v>0</v>
          </cell>
          <cell r="IC90" t="str">
            <v>Y</v>
          </cell>
          <cell r="ID90">
            <v>1</v>
          </cell>
          <cell r="IE90">
            <v>0</v>
          </cell>
          <cell r="IP90">
            <v>0</v>
          </cell>
          <cell r="IR90">
            <v>0</v>
          </cell>
          <cell r="IT90">
            <v>0</v>
          </cell>
          <cell r="IU90">
            <v>0</v>
          </cell>
        </row>
        <row r="91">
          <cell r="A91" t="str">
            <v>legal</v>
          </cell>
          <cell r="E91" t="str">
            <v>0868 Libis St., Tabang Guiguinto Bulacan</v>
          </cell>
          <cell r="S91">
            <v>0</v>
          </cell>
          <cell r="AK91" t="str">
            <v>Land Dwelller</v>
          </cell>
          <cell r="AN91">
            <v>1.1918915106695953E-2</v>
          </cell>
          <cell r="AQ91">
            <v>0</v>
          </cell>
          <cell r="AS91">
            <v>0</v>
          </cell>
          <cell r="BM91" t="str">
            <v>Residential</v>
          </cell>
          <cell r="BN91">
            <v>0</v>
          </cell>
          <cell r="BR91">
            <v>0.2</v>
          </cell>
          <cell r="FQ91" t="str">
            <v>Can Stay</v>
          </cell>
          <cell r="IB91">
            <v>0</v>
          </cell>
          <cell r="IC91">
            <v>0</v>
          </cell>
          <cell r="ID91">
            <v>0</v>
          </cell>
          <cell r="IE91">
            <v>0</v>
          </cell>
          <cell r="IP91">
            <v>0</v>
          </cell>
          <cell r="IR91">
            <v>0</v>
          </cell>
          <cell r="IT91">
            <v>0</v>
          </cell>
          <cell r="IU91">
            <v>0</v>
          </cell>
        </row>
        <row r="92">
          <cell r="A92" t="str">
            <v>legal</v>
          </cell>
          <cell r="E92" t="str">
            <v>0869 Tabang Guiguinto Bulacan</v>
          </cell>
          <cell r="S92">
            <v>0</v>
          </cell>
          <cell r="AK92" t="str">
            <v>Land Owner</v>
          </cell>
          <cell r="AN92">
            <v>8.3003952569169967E-2</v>
          </cell>
          <cell r="AQ92">
            <v>0</v>
          </cell>
          <cell r="AS92" t="str">
            <v>Y</v>
          </cell>
          <cell r="BM92" t="str">
            <v>Residential</v>
          </cell>
          <cell r="BN92">
            <v>0</v>
          </cell>
          <cell r="BR92">
            <v>0.19999999999999998</v>
          </cell>
          <cell r="FQ92" t="str">
            <v>Need Displacement</v>
          </cell>
          <cell r="IB92">
            <v>0</v>
          </cell>
          <cell r="IC92" t="str">
            <v>Y</v>
          </cell>
          <cell r="ID92">
            <v>0</v>
          </cell>
          <cell r="IE92" t="str">
            <v>Y</v>
          </cell>
          <cell r="IP92">
            <v>0</v>
          </cell>
          <cell r="IR92">
            <v>0</v>
          </cell>
          <cell r="IT92">
            <v>0</v>
          </cell>
          <cell r="IU92">
            <v>0</v>
          </cell>
        </row>
        <row r="93">
          <cell r="A93" t="str">
            <v>legal</v>
          </cell>
          <cell r="E93" t="str">
            <v>805 3rd St., Masagana Hms. PH3 Tabang Guiguinto Bulacan</v>
          </cell>
          <cell r="S93">
            <v>0</v>
          </cell>
          <cell r="AK93" t="str">
            <v>Land Owner</v>
          </cell>
          <cell r="AN93">
            <v>7.1584699453551906E-2</v>
          </cell>
          <cell r="AQ93">
            <v>0</v>
          </cell>
          <cell r="AS93" t="str">
            <v>Y</v>
          </cell>
          <cell r="BM93" t="str">
            <v>Residential</v>
          </cell>
          <cell r="BN93">
            <v>0</v>
          </cell>
          <cell r="BR93">
            <v>0.15022935779816513</v>
          </cell>
          <cell r="FQ93">
            <v>0</v>
          </cell>
          <cell r="IB93" t="str">
            <v>Y</v>
          </cell>
          <cell r="IC93">
            <v>0</v>
          </cell>
          <cell r="ID93" t="str">
            <v>Ricrado (67), Gloria (62)</v>
          </cell>
          <cell r="IE93">
            <v>0</v>
          </cell>
          <cell r="IP93">
            <v>0</v>
          </cell>
          <cell r="IR93">
            <v>0</v>
          </cell>
          <cell r="IT93">
            <v>0</v>
          </cell>
          <cell r="IU93">
            <v>0</v>
          </cell>
        </row>
        <row r="94">
          <cell r="A94" t="str">
            <v>legal</v>
          </cell>
          <cell r="E94" t="str">
            <v>804 Masaga PH3 Brgy. Tabang Guiguinto Bulacan</v>
          </cell>
          <cell r="S94">
            <v>0</v>
          </cell>
          <cell r="AK94" t="str">
            <v>Caretaker</v>
          </cell>
          <cell r="AN94">
            <v>0</v>
          </cell>
          <cell r="AQ94">
            <v>0</v>
          </cell>
          <cell r="AS94" t="str">
            <v>Y</v>
          </cell>
          <cell r="BM94">
            <v>0</v>
          </cell>
          <cell r="BN94">
            <v>0</v>
          </cell>
          <cell r="BR94">
            <v>0</v>
          </cell>
          <cell r="FQ94">
            <v>0</v>
          </cell>
          <cell r="IB94">
            <v>0</v>
          </cell>
          <cell r="IC94">
            <v>0</v>
          </cell>
          <cell r="ID94">
            <v>0</v>
          </cell>
          <cell r="IE94">
            <v>0</v>
          </cell>
          <cell r="IP94">
            <v>0</v>
          </cell>
          <cell r="IR94">
            <v>0</v>
          </cell>
          <cell r="IT94">
            <v>0</v>
          </cell>
          <cell r="IU94">
            <v>0</v>
          </cell>
        </row>
        <row r="95">
          <cell r="A95" t="str">
            <v>legal</v>
          </cell>
          <cell r="E95" t="str">
            <v>769 2nd St., Masagana Hms. PH3 Tabang Guiguinto Bulacan</v>
          </cell>
          <cell r="S95">
            <v>0</v>
          </cell>
          <cell r="AK95" t="str">
            <v>Land Owner</v>
          </cell>
          <cell r="AN95">
            <v>1.1966302891058779E-2</v>
          </cell>
          <cell r="AQ95">
            <v>0</v>
          </cell>
          <cell r="AS95">
            <v>0</v>
          </cell>
          <cell r="BM95" t="str">
            <v>Institutional</v>
          </cell>
          <cell r="BN95">
            <v>0</v>
          </cell>
          <cell r="IB95">
            <v>0</v>
          </cell>
          <cell r="IC95">
            <v>0</v>
          </cell>
          <cell r="ID95">
            <v>0</v>
          </cell>
          <cell r="IE95">
            <v>0</v>
          </cell>
          <cell r="IP95">
            <v>0</v>
          </cell>
          <cell r="IR95">
            <v>0</v>
          </cell>
          <cell r="IT95">
            <v>0</v>
          </cell>
          <cell r="IU95">
            <v>0</v>
          </cell>
        </row>
        <row r="96">
          <cell r="A96" t="str">
            <v>legal</v>
          </cell>
          <cell r="E96" t="str">
            <v>Masagana PH3 Tabang Guiguinto Bulacan</v>
          </cell>
          <cell r="S96">
            <v>0</v>
          </cell>
          <cell r="AK96" t="str">
            <v>Institutional Occupant</v>
          </cell>
          <cell r="AN96">
            <v>1.1966302891058779E-2</v>
          </cell>
          <cell r="AQ96">
            <v>0</v>
          </cell>
          <cell r="AS96">
            <v>0</v>
          </cell>
          <cell r="BM96" t="str">
            <v>Institutional</v>
          </cell>
          <cell r="BN96">
            <v>0</v>
          </cell>
          <cell r="BR96">
            <v>1.716915047043472E-2</v>
          </cell>
          <cell r="FQ96" t="str">
            <v>Can Stay</v>
          </cell>
          <cell r="IB96">
            <v>0</v>
          </cell>
          <cell r="IC96">
            <v>0</v>
          </cell>
          <cell r="ID96">
            <v>0</v>
          </cell>
          <cell r="IE96">
            <v>0</v>
          </cell>
          <cell r="IP96">
            <v>0</v>
          </cell>
          <cell r="IR96">
            <v>0</v>
          </cell>
          <cell r="IT96">
            <v>0</v>
          </cell>
          <cell r="IU96">
            <v>0</v>
          </cell>
        </row>
        <row r="97">
          <cell r="A97" t="str">
            <v>legal</v>
          </cell>
          <cell r="E97" t="str">
            <v>0870 Tabang Guiguinto Bulacan</v>
          </cell>
          <cell r="S97" t="str">
            <v>Female</v>
          </cell>
          <cell r="AK97" t="str">
            <v>Land Owner</v>
          </cell>
          <cell r="AN97">
            <v>0</v>
          </cell>
          <cell r="AQ97">
            <v>0</v>
          </cell>
          <cell r="AS97" t="str">
            <v>Y</v>
          </cell>
          <cell r="BM97" t="str">
            <v>Residential</v>
          </cell>
          <cell r="BN97">
            <v>0</v>
          </cell>
          <cell r="BR97">
            <v>0.21666666666666667</v>
          </cell>
          <cell r="FQ97" t="str">
            <v>Need Displacement</v>
          </cell>
          <cell r="IB97">
            <v>0</v>
          </cell>
          <cell r="IC97" t="str">
            <v>Y</v>
          </cell>
          <cell r="ID97">
            <v>0</v>
          </cell>
          <cell r="IE97">
            <v>0</v>
          </cell>
          <cell r="IP97">
            <v>0</v>
          </cell>
          <cell r="IR97">
            <v>0</v>
          </cell>
          <cell r="IT97">
            <v>0</v>
          </cell>
          <cell r="IU97">
            <v>0</v>
          </cell>
        </row>
        <row r="98">
          <cell r="A98" t="str">
            <v>LEGAL-GG</v>
          </cell>
          <cell r="E98" t="str">
            <v>503 San Pedro st., Tuktukan Guiguinto Bulacan</v>
          </cell>
          <cell r="S98">
            <v>0</v>
          </cell>
          <cell r="AK98" t="str">
            <v>Farm Tenant</v>
          </cell>
          <cell r="AN98">
            <v>0</v>
          </cell>
          <cell r="AQ98">
            <v>0</v>
          </cell>
          <cell r="AS98" t="str">
            <v>Y</v>
          </cell>
          <cell r="BM98">
            <v>0</v>
          </cell>
          <cell r="BN98">
            <v>0</v>
          </cell>
          <cell r="BR98">
            <v>0</v>
          </cell>
          <cell r="FQ98">
            <v>0</v>
          </cell>
          <cell r="IB98">
            <v>0</v>
          </cell>
          <cell r="IC98">
            <v>0</v>
          </cell>
          <cell r="ID98">
            <v>0</v>
          </cell>
          <cell r="IE98">
            <v>0</v>
          </cell>
          <cell r="IP98" t="str">
            <v>Sharer</v>
          </cell>
          <cell r="IR98" t="str">
            <v>Agri-business</v>
          </cell>
          <cell r="IT98">
            <v>0</v>
          </cell>
          <cell r="IU98">
            <v>0</v>
          </cell>
        </row>
        <row r="99">
          <cell r="A99" t="str">
            <v>no  DMS details</v>
          </cell>
          <cell r="E99">
            <v>0</v>
          </cell>
          <cell r="S99">
            <v>0</v>
          </cell>
          <cell r="AK99">
            <v>0</v>
          </cell>
          <cell r="AN99">
            <v>0</v>
          </cell>
          <cell r="AQ99">
            <v>0</v>
          </cell>
          <cell r="AS99">
            <v>0</v>
          </cell>
          <cell r="BM99">
            <v>0</v>
          </cell>
          <cell r="BN99">
            <v>0</v>
          </cell>
          <cell r="BR99">
            <v>0</v>
          </cell>
          <cell r="FQ99">
            <v>0</v>
          </cell>
          <cell r="IB99">
            <v>0</v>
          </cell>
          <cell r="IC99">
            <v>0</v>
          </cell>
          <cell r="ID99">
            <v>0</v>
          </cell>
          <cell r="IE99">
            <v>0</v>
          </cell>
          <cell r="IP99">
            <v>0</v>
          </cell>
          <cell r="IR99">
            <v>0</v>
          </cell>
          <cell r="IT99">
            <v>0</v>
          </cell>
          <cell r="IU99">
            <v>0</v>
          </cell>
        </row>
        <row r="100">
          <cell r="A100" t="str">
            <v>no  DMS details</v>
          </cell>
          <cell r="E100">
            <v>0</v>
          </cell>
          <cell r="S100">
            <v>0</v>
          </cell>
          <cell r="AK100">
            <v>0</v>
          </cell>
          <cell r="AN100">
            <v>0</v>
          </cell>
          <cell r="AQ100">
            <v>0</v>
          </cell>
          <cell r="AS100">
            <v>0</v>
          </cell>
          <cell r="BM100">
            <v>0</v>
          </cell>
          <cell r="BN100">
            <v>0</v>
          </cell>
          <cell r="BR100">
            <v>0</v>
          </cell>
          <cell r="FQ100">
            <v>0</v>
          </cell>
          <cell r="IB100">
            <v>0</v>
          </cell>
          <cell r="IC100">
            <v>0</v>
          </cell>
          <cell r="ID100">
            <v>0</v>
          </cell>
          <cell r="IE100">
            <v>0</v>
          </cell>
          <cell r="IP100">
            <v>0</v>
          </cell>
          <cell r="IR100">
            <v>0</v>
          </cell>
          <cell r="IT100">
            <v>0</v>
          </cell>
          <cell r="IU100">
            <v>0</v>
          </cell>
        </row>
        <row r="101">
          <cell r="A101" t="str">
            <v>Legal</v>
          </cell>
          <cell r="E101" t="str">
            <v>Burol I, Balagtas Bulacan</v>
          </cell>
          <cell r="S101" t="str">
            <v>Male</v>
          </cell>
          <cell r="AK101" t="str">
            <v>Farm Tenant</v>
          </cell>
          <cell r="AN101">
            <v>0</v>
          </cell>
          <cell r="AQ101">
            <v>0</v>
          </cell>
          <cell r="AS101" t="str">
            <v>Y</v>
          </cell>
          <cell r="BM101" t="str">
            <v>Residential</v>
          </cell>
          <cell r="BN101">
            <v>0</v>
          </cell>
          <cell r="BR101">
            <v>1</v>
          </cell>
          <cell r="FQ101" t="str">
            <v>Need Displacement</v>
          </cell>
          <cell r="IB101" t="str">
            <v>Y</v>
          </cell>
          <cell r="IC101">
            <v>0</v>
          </cell>
          <cell r="ID101">
            <v>0</v>
          </cell>
          <cell r="IE101">
            <v>0</v>
          </cell>
          <cell r="IP101">
            <v>0</v>
          </cell>
          <cell r="IR101">
            <v>0</v>
          </cell>
          <cell r="IT101">
            <v>0</v>
          </cell>
          <cell r="IU101">
            <v>0</v>
          </cell>
        </row>
        <row r="102">
          <cell r="A102" t="str">
            <v>legal</v>
          </cell>
          <cell r="E102" t="str">
            <v>Burol I, Balagtas Bulacan</v>
          </cell>
          <cell r="S102">
            <v>0</v>
          </cell>
          <cell r="AK102" t="str">
            <v>Land Owner</v>
          </cell>
          <cell r="AN102">
            <v>0</v>
          </cell>
          <cell r="AQ102">
            <v>0</v>
          </cell>
          <cell r="AS102" t="str">
            <v>Y</v>
          </cell>
          <cell r="BM102">
            <v>0</v>
          </cell>
          <cell r="BN102">
            <v>0</v>
          </cell>
          <cell r="BR102">
            <v>0</v>
          </cell>
          <cell r="FQ102">
            <v>0</v>
          </cell>
          <cell r="IB102">
            <v>0</v>
          </cell>
          <cell r="IC102">
            <v>0</v>
          </cell>
          <cell r="ID102">
            <v>0</v>
          </cell>
          <cell r="IE102">
            <v>0</v>
          </cell>
          <cell r="IP102">
            <v>0</v>
          </cell>
          <cell r="IR102">
            <v>0</v>
          </cell>
          <cell r="IT102">
            <v>0</v>
          </cell>
          <cell r="IU102">
            <v>0</v>
          </cell>
        </row>
        <row r="103">
          <cell r="A103" t="str">
            <v>legal</v>
          </cell>
          <cell r="E103" t="str">
            <v>1072 Riles, Burol I, Balagtas Bulacan</v>
          </cell>
          <cell r="S103" t="str">
            <v>Female</v>
          </cell>
          <cell r="AK103" t="str">
            <v>Land Owner</v>
          </cell>
          <cell r="AN103">
            <v>0</v>
          </cell>
          <cell r="AQ103">
            <v>0</v>
          </cell>
          <cell r="AS103" t="str">
            <v>Y</v>
          </cell>
          <cell r="BM103" t="str">
            <v>Residential</v>
          </cell>
          <cell r="BN103">
            <v>0</v>
          </cell>
          <cell r="BR103">
            <v>0</v>
          </cell>
          <cell r="FQ103" t="str">
            <v>Can Stay</v>
          </cell>
          <cell r="IB103">
            <v>0</v>
          </cell>
          <cell r="IC103" t="str">
            <v>Y</v>
          </cell>
          <cell r="ID103" t="str">
            <v>Y</v>
          </cell>
          <cell r="IE103">
            <v>0</v>
          </cell>
          <cell r="IP103" t="str">
            <v>Owner</v>
          </cell>
          <cell r="IR103" t="str">
            <v>Agri-business</v>
          </cell>
          <cell r="IT103">
            <v>0</v>
          </cell>
          <cell r="IU103">
            <v>0</v>
          </cell>
        </row>
        <row r="104">
          <cell r="A104" t="str">
            <v>legal</v>
          </cell>
          <cell r="E104" t="str">
            <v>8372 Riles Burol I Balagtas Bulacan</v>
          </cell>
          <cell r="S104">
            <v>0</v>
          </cell>
          <cell r="AK104" t="str">
            <v>Land Owner</v>
          </cell>
          <cell r="AN104">
            <v>0</v>
          </cell>
          <cell r="AQ104">
            <v>0</v>
          </cell>
          <cell r="AS104" t="str">
            <v>Y</v>
          </cell>
          <cell r="BM104" t="str">
            <v>Residential/Commercial</v>
          </cell>
          <cell r="BN104">
            <v>0</v>
          </cell>
          <cell r="BR104">
            <v>0</v>
          </cell>
          <cell r="FQ104" t="str">
            <v>Can Stay</v>
          </cell>
          <cell r="IB104">
            <v>0</v>
          </cell>
          <cell r="IC104">
            <v>0</v>
          </cell>
          <cell r="ID104">
            <v>0</v>
          </cell>
          <cell r="IE104">
            <v>0</v>
          </cell>
          <cell r="IP104" t="str">
            <v>Owner</v>
          </cell>
          <cell r="IR104" t="str">
            <v>Trading/Retailing</v>
          </cell>
          <cell r="IT104">
            <v>0</v>
          </cell>
          <cell r="IU104">
            <v>0</v>
          </cell>
        </row>
        <row r="105">
          <cell r="A105" t="str">
            <v>legal</v>
          </cell>
          <cell r="E105" t="str">
            <v>8372 Riles Burol I Balagtas Bulacan</v>
          </cell>
          <cell r="S105">
            <v>0</v>
          </cell>
          <cell r="AK105">
            <v>0</v>
          </cell>
          <cell r="AN105">
            <v>0</v>
          </cell>
          <cell r="AQ105">
            <v>0</v>
          </cell>
          <cell r="AS105" t="str">
            <v>Y</v>
          </cell>
          <cell r="BM105" t="str">
            <v>Commercial</v>
          </cell>
          <cell r="BN105">
            <v>0</v>
          </cell>
          <cell r="BR105">
            <v>0</v>
          </cell>
          <cell r="FQ105">
            <v>0</v>
          </cell>
          <cell r="IB105">
            <v>0</v>
          </cell>
          <cell r="IC105">
            <v>0</v>
          </cell>
          <cell r="ID105">
            <v>0</v>
          </cell>
          <cell r="IE105">
            <v>0</v>
          </cell>
          <cell r="IP105" t="str">
            <v>Renter</v>
          </cell>
          <cell r="IR105" t="str">
            <v>Trading/Retailing</v>
          </cell>
          <cell r="IT105">
            <v>0</v>
          </cell>
          <cell r="IU105">
            <v>0</v>
          </cell>
        </row>
        <row r="106">
          <cell r="A106">
            <v>0</v>
          </cell>
          <cell r="E106" t="str">
            <v>Pinagsilaban St., Brgy.Taal Bocaue Bulacan</v>
          </cell>
          <cell r="S106" t="str">
            <v>Male</v>
          </cell>
          <cell r="AK106">
            <v>0</v>
          </cell>
          <cell r="AN106">
            <v>1</v>
          </cell>
          <cell r="AQ106">
            <v>0</v>
          </cell>
          <cell r="AS106">
            <v>0</v>
          </cell>
          <cell r="BM106">
            <v>0</v>
          </cell>
          <cell r="BN106">
            <v>0</v>
          </cell>
          <cell r="BR106">
            <v>0</v>
          </cell>
          <cell r="FQ106">
            <v>0</v>
          </cell>
          <cell r="IB106">
            <v>0</v>
          </cell>
          <cell r="IC106">
            <v>0</v>
          </cell>
          <cell r="ID106">
            <v>0</v>
          </cell>
          <cell r="IE106">
            <v>1</v>
          </cell>
          <cell r="IP106">
            <v>0</v>
          </cell>
          <cell r="IR106">
            <v>0</v>
          </cell>
          <cell r="IT106">
            <v>0</v>
          </cell>
          <cell r="IU106">
            <v>0</v>
          </cell>
        </row>
        <row r="107">
          <cell r="A107">
            <v>0</v>
          </cell>
          <cell r="E107" t="str">
            <v>Daang riles,Pinagsalaban, Taal, Bocaue, Bulacan</v>
          </cell>
          <cell r="S107" t="str">
            <v>Male</v>
          </cell>
          <cell r="AK107" t="str">
            <v>Land Owner</v>
          </cell>
          <cell r="AN107">
            <v>5.0420168067226892E-2</v>
          </cell>
          <cell r="AQ107">
            <v>0</v>
          </cell>
          <cell r="AS107" t="str">
            <v>Y</v>
          </cell>
          <cell r="BM107" t="str">
            <v>Residential/Commercial</v>
          </cell>
          <cell r="BN107">
            <v>0</v>
          </cell>
          <cell r="BR107">
            <v>0.17333333333333334</v>
          </cell>
          <cell r="FQ107" t="str">
            <v>Can Stay</v>
          </cell>
          <cell r="IB107">
            <v>0</v>
          </cell>
          <cell r="IC107">
            <v>0</v>
          </cell>
          <cell r="ID107">
            <v>1</v>
          </cell>
          <cell r="IE107">
            <v>0</v>
          </cell>
          <cell r="IP107">
            <v>0</v>
          </cell>
          <cell r="IR107">
            <v>0</v>
          </cell>
          <cell r="IT107">
            <v>0</v>
          </cell>
          <cell r="IU107">
            <v>0</v>
          </cell>
        </row>
        <row r="108">
          <cell r="A108" t="str">
            <v>Legal</v>
          </cell>
          <cell r="E108" t="str">
            <v>Daang riles,Pinagsalaban, Taal, Bocaue, Bulacan</v>
          </cell>
          <cell r="S108">
            <v>0</v>
          </cell>
          <cell r="AK108">
            <v>0</v>
          </cell>
          <cell r="AN108">
            <v>0</v>
          </cell>
          <cell r="AQ108">
            <v>0</v>
          </cell>
          <cell r="AS108">
            <v>0</v>
          </cell>
          <cell r="BM108" t="str">
            <v>Commercial</v>
          </cell>
          <cell r="BN108">
            <v>0</v>
          </cell>
          <cell r="BR108">
            <v>1</v>
          </cell>
          <cell r="FQ108" t="str">
            <v>Need Displacement</v>
          </cell>
          <cell r="IB108">
            <v>0</v>
          </cell>
          <cell r="IC108">
            <v>0</v>
          </cell>
          <cell r="ID108">
            <v>0</v>
          </cell>
          <cell r="IE108">
            <v>0</v>
          </cell>
          <cell r="IP108" t="str">
            <v>Owner</v>
          </cell>
          <cell r="IR108" t="str">
            <v>Traditional Retailing</v>
          </cell>
          <cell r="IT108">
            <v>0</v>
          </cell>
          <cell r="IU108">
            <v>0</v>
          </cell>
        </row>
        <row r="109">
          <cell r="A109" t="str">
            <v>isf</v>
          </cell>
          <cell r="E109" t="str">
            <v>Igolot Riles, Bocaue</v>
          </cell>
          <cell r="S109" t="str">
            <v>Male</v>
          </cell>
          <cell r="AK109" t="str">
            <v>ISF</v>
          </cell>
          <cell r="AN109">
            <v>0</v>
          </cell>
          <cell r="AQ109">
            <v>0</v>
          </cell>
          <cell r="AS109">
            <v>0</v>
          </cell>
          <cell r="BM109" t="str">
            <v>Residential/Commercial</v>
          </cell>
          <cell r="BN109">
            <v>0</v>
          </cell>
          <cell r="BR109">
            <v>1</v>
          </cell>
          <cell r="FQ109" t="str">
            <v>Need Displacement</v>
          </cell>
          <cell r="IB109">
            <v>0</v>
          </cell>
          <cell r="IC109">
            <v>0</v>
          </cell>
          <cell r="ID109">
            <v>0</v>
          </cell>
          <cell r="IE109">
            <v>0</v>
          </cell>
          <cell r="IP109" t="str">
            <v>Owner</v>
          </cell>
          <cell r="IR109" t="str">
            <v xml:space="preserve">Manufacturing </v>
          </cell>
          <cell r="IT109">
            <v>0</v>
          </cell>
          <cell r="IU109">
            <v>0</v>
          </cell>
        </row>
        <row r="110">
          <cell r="A110">
            <v>0</v>
          </cell>
          <cell r="E110" t="str">
            <v>Igolot Riles, Bocaue</v>
          </cell>
          <cell r="S110">
            <v>0</v>
          </cell>
          <cell r="AK110">
            <v>0</v>
          </cell>
          <cell r="AN110">
            <v>0</v>
          </cell>
          <cell r="AQ110">
            <v>0</v>
          </cell>
          <cell r="AS110">
            <v>0</v>
          </cell>
          <cell r="BM110">
            <v>0</v>
          </cell>
          <cell r="BN110">
            <v>0</v>
          </cell>
          <cell r="BR110">
            <v>0</v>
          </cell>
          <cell r="FQ110">
            <v>0</v>
          </cell>
          <cell r="IB110">
            <v>0</v>
          </cell>
          <cell r="IC110">
            <v>0</v>
          </cell>
          <cell r="ID110">
            <v>0</v>
          </cell>
          <cell r="IE110">
            <v>0</v>
          </cell>
          <cell r="IP110">
            <v>0</v>
          </cell>
          <cell r="IR110">
            <v>0</v>
          </cell>
          <cell r="IT110">
            <v>0</v>
          </cell>
          <cell r="IU110">
            <v>0</v>
          </cell>
        </row>
        <row r="111">
          <cell r="A111" t="str">
            <v>Legal</v>
          </cell>
          <cell r="E111" t="str">
            <v>006 Lolomboy-Bundukan Rd., Bundukan, Bocaue, Bulacan</v>
          </cell>
          <cell r="S111" t="str">
            <v>Female</v>
          </cell>
          <cell r="AK111" t="str">
            <v>Land Owner</v>
          </cell>
          <cell r="AN111">
            <v>0.02</v>
          </cell>
          <cell r="AQ111">
            <v>0</v>
          </cell>
          <cell r="AS111" t="str">
            <v>Y</v>
          </cell>
          <cell r="BM111" t="str">
            <v>Residential</v>
          </cell>
          <cell r="BN111">
            <v>0</v>
          </cell>
          <cell r="BR111">
            <v>0</v>
          </cell>
          <cell r="FQ111" t="str">
            <v>Can Stay</v>
          </cell>
          <cell r="IB111">
            <v>0</v>
          </cell>
          <cell r="IC111" t="str">
            <v>Y</v>
          </cell>
          <cell r="ID111" t="str">
            <v>Y</v>
          </cell>
          <cell r="IE111" t="str">
            <v>Y</v>
          </cell>
          <cell r="IP111">
            <v>0</v>
          </cell>
          <cell r="IR111">
            <v>0</v>
          </cell>
          <cell r="IT111">
            <v>0</v>
          </cell>
          <cell r="IU111">
            <v>0</v>
          </cell>
        </row>
        <row r="112">
          <cell r="A112" t="str">
            <v>legal</v>
          </cell>
          <cell r="E112" t="str">
            <v>Abangan Norte, Marilao</v>
          </cell>
          <cell r="S112">
            <v>0</v>
          </cell>
          <cell r="AK112" t="str">
            <v>Land Owner</v>
          </cell>
          <cell r="AN112">
            <v>0</v>
          </cell>
          <cell r="AQ112">
            <v>0</v>
          </cell>
          <cell r="AS112">
            <v>0</v>
          </cell>
          <cell r="BM112" t="str">
            <v>Industrial</v>
          </cell>
          <cell r="BN112">
            <v>0</v>
          </cell>
          <cell r="BR112">
            <v>0</v>
          </cell>
          <cell r="FQ112">
            <v>0</v>
          </cell>
          <cell r="IB112">
            <v>0</v>
          </cell>
          <cell r="IC112">
            <v>0</v>
          </cell>
          <cell r="ID112">
            <v>0</v>
          </cell>
          <cell r="IE112">
            <v>0</v>
          </cell>
          <cell r="IP112">
            <v>0</v>
          </cell>
          <cell r="IR112">
            <v>0</v>
          </cell>
          <cell r="IT112">
            <v>0</v>
          </cell>
          <cell r="IU112">
            <v>0</v>
          </cell>
        </row>
        <row r="113">
          <cell r="A113" t="str">
            <v>Legal</v>
          </cell>
          <cell r="E113" t="str">
            <v>547 Victorina street, Abangan Norte, Marilao</v>
          </cell>
          <cell r="S113">
            <v>0</v>
          </cell>
          <cell r="AK113">
            <v>0</v>
          </cell>
          <cell r="AN113">
            <v>0</v>
          </cell>
          <cell r="AQ113">
            <v>0</v>
          </cell>
          <cell r="AS113" t="str">
            <v>Y</v>
          </cell>
          <cell r="BM113">
            <v>0</v>
          </cell>
          <cell r="BN113">
            <v>0</v>
          </cell>
          <cell r="BR113">
            <v>0</v>
          </cell>
          <cell r="FQ113">
            <v>0</v>
          </cell>
          <cell r="IB113">
            <v>0</v>
          </cell>
          <cell r="IC113">
            <v>0</v>
          </cell>
          <cell r="ID113">
            <v>0</v>
          </cell>
          <cell r="IE113">
            <v>0</v>
          </cell>
          <cell r="IP113">
            <v>0</v>
          </cell>
          <cell r="IR113">
            <v>0</v>
          </cell>
          <cell r="IT113">
            <v>0</v>
          </cell>
          <cell r="IU113">
            <v>0</v>
          </cell>
        </row>
        <row r="114">
          <cell r="A114" t="str">
            <v>Legal</v>
          </cell>
          <cell r="E114" t="str">
            <v>Victorina street, Abangan Norte, Marilao</v>
          </cell>
          <cell r="S114" t="str">
            <v>Male</v>
          </cell>
          <cell r="AK114" t="str">
            <v>ISF</v>
          </cell>
          <cell r="AN114">
            <v>0</v>
          </cell>
          <cell r="AQ114">
            <v>0</v>
          </cell>
          <cell r="AS114" t="str">
            <v>Y</v>
          </cell>
          <cell r="BM114" t="str">
            <v>Residential</v>
          </cell>
          <cell r="BN114">
            <v>0</v>
          </cell>
          <cell r="BR114">
            <v>0.23076923076923078</v>
          </cell>
          <cell r="FQ114" t="str">
            <v>Can Stay</v>
          </cell>
          <cell r="IB114">
            <v>0</v>
          </cell>
          <cell r="IC114">
            <v>0</v>
          </cell>
          <cell r="ID114">
            <v>0</v>
          </cell>
          <cell r="IE114">
            <v>0</v>
          </cell>
          <cell r="IP114">
            <v>0</v>
          </cell>
          <cell r="IR114">
            <v>0</v>
          </cell>
          <cell r="IT114">
            <v>0</v>
          </cell>
          <cell r="IU114">
            <v>0</v>
          </cell>
        </row>
        <row r="115">
          <cell r="A115" t="str">
            <v>Legal</v>
          </cell>
          <cell r="E115" t="str">
            <v>Victorina street, Abangan Norte, Marilao</v>
          </cell>
          <cell r="S115" t="str">
            <v>Male</v>
          </cell>
          <cell r="AK115" t="str">
            <v>Informal Settler Family w/ rent (RLF: not ISF but will verify on the final report)</v>
          </cell>
          <cell r="AN115">
            <v>0</v>
          </cell>
          <cell r="AQ115">
            <v>0</v>
          </cell>
          <cell r="AS115" t="str">
            <v>Y</v>
          </cell>
          <cell r="BM115" t="str">
            <v>Residential</v>
          </cell>
          <cell r="BN115">
            <v>0</v>
          </cell>
          <cell r="BR115">
            <v>0.23076923076923078</v>
          </cell>
          <cell r="FQ115" t="str">
            <v>Can Stay</v>
          </cell>
          <cell r="IB115" t="str">
            <v>Y</v>
          </cell>
          <cell r="IC115">
            <v>0</v>
          </cell>
          <cell r="ID115">
            <v>0</v>
          </cell>
          <cell r="IE115">
            <v>0</v>
          </cell>
          <cell r="IP115">
            <v>0</v>
          </cell>
          <cell r="IR115">
            <v>0</v>
          </cell>
          <cell r="IT115">
            <v>0</v>
          </cell>
          <cell r="IU115">
            <v>0</v>
          </cell>
        </row>
        <row r="116">
          <cell r="A116" t="str">
            <v>Legal</v>
          </cell>
          <cell r="E116" t="str">
            <v>Victorina street, Abangan Norte, Marilao</v>
          </cell>
          <cell r="S116" t="str">
            <v>Male</v>
          </cell>
          <cell r="AK116">
            <v>0</v>
          </cell>
          <cell r="AN116">
            <v>0</v>
          </cell>
          <cell r="AQ116">
            <v>0</v>
          </cell>
          <cell r="AS116">
            <v>0</v>
          </cell>
          <cell r="BM116" t="str">
            <v>Residential</v>
          </cell>
          <cell r="BN116">
            <v>0</v>
          </cell>
          <cell r="BR116">
            <v>0</v>
          </cell>
          <cell r="FQ116">
            <v>0</v>
          </cell>
          <cell r="IB116">
            <v>0</v>
          </cell>
          <cell r="IC116">
            <v>0</v>
          </cell>
          <cell r="ID116">
            <v>0</v>
          </cell>
          <cell r="IE116">
            <v>0</v>
          </cell>
          <cell r="IP116">
            <v>0</v>
          </cell>
          <cell r="IR116">
            <v>0</v>
          </cell>
          <cell r="IT116">
            <v>0</v>
          </cell>
          <cell r="IU116">
            <v>0</v>
          </cell>
        </row>
        <row r="117">
          <cell r="A117" t="str">
            <v>absentee owner</v>
          </cell>
          <cell r="E117" t="str">
            <v>Victorina street, Abangan Norte, Marilao</v>
          </cell>
          <cell r="S117" t="str">
            <v>Male</v>
          </cell>
          <cell r="AK117">
            <v>0</v>
          </cell>
          <cell r="AN117">
            <v>0</v>
          </cell>
          <cell r="AQ117">
            <v>0</v>
          </cell>
          <cell r="AS117">
            <v>0</v>
          </cell>
          <cell r="BM117" t="str">
            <v>Residential</v>
          </cell>
          <cell r="BN117">
            <v>0</v>
          </cell>
          <cell r="BR117">
            <v>0.23076923076923078</v>
          </cell>
          <cell r="FQ117" t="str">
            <v>Need Displacement</v>
          </cell>
          <cell r="IB117">
            <v>0</v>
          </cell>
          <cell r="IC117">
            <v>0</v>
          </cell>
          <cell r="ID117">
            <v>0</v>
          </cell>
          <cell r="IE117">
            <v>0</v>
          </cell>
          <cell r="IP117">
            <v>0</v>
          </cell>
          <cell r="IR117">
            <v>0</v>
          </cell>
          <cell r="IT117">
            <v>0</v>
          </cell>
          <cell r="IU117">
            <v>0</v>
          </cell>
        </row>
        <row r="118">
          <cell r="A118" t="str">
            <v>absentee owner</v>
          </cell>
          <cell r="E118" t="str">
            <v>Victorina street, Abangan Norte, Marilao</v>
          </cell>
          <cell r="S118" t="str">
            <v>Male</v>
          </cell>
          <cell r="AK118">
            <v>0</v>
          </cell>
          <cell r="AN118">
            <v>0</v>
          </cell>
          <cell r="AQ118">
            <v>0</v>
          </cell>
          <cell r="AS118">
            <v>0</v>
          </cell>
          <cell r="BM118" t="str">
            <v>Residential</v>
          </cell>
          <cell r="BN118">
            <v>0</v>
          </cell>
          <cell r="BR118">
            <v>0</v>
          </cell>
          <cell r="FQ118" t="str">
            <v>Can Stay</v>
          </cell>
          <cell r="IB118">
            <v>0</v>
          </cell>
          <cell r="IC118">
            <v>0</v>
          </cell>
          <cell r="ID118">
            <v>0</v>
          </cell>
          <cell r="IE118">
            <v>0</v>
          </cell>
          <cell r="IP118">
            <v>0</v>
          </cell>
          <cell r="IR118">
            <v>0</v>
          </cell>
          <cell r="IT118">
            <v>0</v>
          </cell>
          <cell r="IU118">
            <v>0</v>
          </cell>
        </row>
        <row r="119">
          <cell r="A119" t="str">
            <v>Legal</v>
          </cell>
          <cell r="E119" t="str">
            <v>Victorina street, Abangan Norte, Marilao</v>
          </cell>
          <cell r="S119" t="str">
            <v>Female</v>
          </cell>
          <cell r="AK119" t="str">
            <v xml:space="preserve">Land Renter, land where MA-002, MA-003 and MA-005 were built nakasanla sa structure owner of MA-005 </v>
          </cell>
          <cell r="AN119">
            <v>0</v>
          </cell>
          <cell r="AQ119">
            <v>0</v>
          </cell>
          <cell r="AS119" t="str">
            <v>Y</v>
          </cell>
          <cell r="BM119" t="str">
            <v>Residential/Commercial</v>
          </cell>
          <cell r="BN119">
            <v>0</v>
          </cell>
          <cell r="BR119">
            <v>0.29799999999999999</v>
          </cell>
          <cell r="FQ119" t="str">
            <v>Can Stay</v>
          </cell>
          <cell r="IB119">
            <v>0</v>
          </cell>
          <cell r="IC119" t="str">
            <v>Y</v>
          </cell>
          <cell r="ID119">
            <v>0</v>
          </cell>
          <cell r="IE119">
            <v>0</v>
          </cell>
          <cell r="IP119" t="str">
            <v>Owner</v>
          </cell>
          <cell r="IR119" t="str">
            <v>Home/Small-scale Industry</v>
          </cell>
          <cell r="IT119" t="str">
            <v>x</v>
          </cell>
          <cell r="IU119">
            <v>0</v>
          </cell>
        </row>
        <row r="120">
          <cell r="A120" t="str">
            <v>isf</v>
          </cell>
          <cell r="E120" t="str">
            <v>Victorina street, Abangan Norte, Marilao</v>
          </cell>
          <cell r="S120" t="str">
            <v>Male</v>
          </cell>
          <cell r="AK120">
            <v>0</v>
          </cell>
          <cell r="AN120">
            <v>0</v>
          </cell>
          <cell r="AQ120">
            <v>0</v>
          </cell>
          <cell r="AS120">
            <v>0</v>
          </cell>
          <cell r="BM120" t="str">
            <v>Residential</v>
          </cell>
          <cell r="BN120">
            <v>0</v>
          </cell>
          <cell r="BR120">
            <v>1</v>
          </cell>
          <cell r="FQ120" t="str">
            <v>Need Displacement</v>
          </cell>
          <cell r="IB120" t="str">
            <v>Y</v>
          </cell>
          <cell r="IC120">
            <v>0</v>
          </cell>
          <cell r="ID120">
            <v>0</v>
          </cell>
          <cell r="IE120">
            <v>0</v>
          </cell>
          <cell r="IP120">
            <v>0</v>
          </cell>
          <cell r="IR120">
            <v>0</v>
          </cell>
          <cell r="IT120">
            <v>0</v>
          </cell>
          <cell r="IU120">
            <v>0</v>
          </cell>
        </row>
        <row r="121">
          <cell r="A121" t="str">
            <v>isf</v>
          </cell>
          <cell r="E121" t="str">
            <v>Victorina street, Abangan Norte, Marilao</v>
          </cell>
          <cell r="S121" t="str">
            <v>Male</v>
          </cell>
          <cell r="AK121">
            <v>0</v>
          </cell>
          <cell r="AN121">
            <v>0</v>
          </cell>
          <cell r="AQ121">
            <v>0</v>
          </cell>
          <cell r="AS121">
            <v>0</v>
          </cell>
          <cell r="BM121" t="str">
            <v>Residential</v>
          </cell>
          <cell r="BN121">
            <v>0</v>
          </cell>
          <cell r="BR121">
            <v>0.2</v>
          </cell>
          <cell r="FQ121" t="str">
            <v>Can Stay</v>
          </cell>
          <cell r="IB121" t="str">
            <v>Y</v>
          </cell>
          <cell r="IC121" t="str">
            <v/>
          </cell>
          <cell r="ID121">
            <v>2</v>
          </cell>
          <cell r="IE121">
            <v>0</v>
          </cell>
          <cell r="IP121">
            <v>0</v>
          </cell>
          <cell r="IR121">
            <v>0</v>
          </cell>
          <cell r="IT121">
            <v>0</v>
          </cell>
          <cell r="IU121">
            <v>0</v>
          </cell>
        </row>
        <row r="122">
          <cell r="A122" t="str">
            <v>Legal</v>
          </cell>
          <cell r="E122" t="str">
            <v>Victorina street, Abangan Norte, Marilao</v>
          </cell>
          <cell r="S122">
            <v>0</v>
          </cell>
          <cell r="AK122" t="str">
            <v>Land Owner</v>
          </cell>
          <cell r="AN122">
            <v>0</v>
          </cell>
          <cell r="AQ122">
            <v>0</v>
          </cell>
          <cell r="AS122">
            <v>0</v>
          </cell>
          <cell r="BM122">
            <v>0</v>
          </cell>
          <cell r="BN122">
            <v>0</v>
          </cell>
          <cell r="BR122">
            <v>0</v>
          </cell>
          <cell r="FQ122">
            <v>0</v>
          </cell>
          <cell r="IB122">
            <v>0</v>
          </cell>
          <cell r="IC122">
            <v>0</v>
          </cell>
          <cell r="ID122">
            <v>0</v>
          </cell>
          <cell r="IE122">
            <v>0</v>
          </cell>
          <cell r="IP122">
            <v>0</v>
          </cell>
          <cell r="IR122">
            <v>0</v>
          </cell>
          <cell r="IT122">
            <v>0</v>
          </cell>
          <cell r="IU122">
            <v>0</v>
          </cell>
        </row>
        <row r="123">
          <cell r="A123" t="str">
            <v>legal</v>
          </cell>
          <cell r="E123" t="str">
            <v>Victorina street, Abangan Norte, Marilao</v>
          </cell>
          <cell r="S123" t="str">
            <v>Male</v>
          </cell>
          <cell r="AK123" t="str">
            <v>Land Renter</v>
          </cell>
          <cell r="AN123">
            <v>0</v>
          </cell>
          <cell r="AQ123">
            <v>0</v>
          </cell>
          <cell r="AS123">
            <v>0</v>
          </cell>
          <cell r="BM123" t="str">
            <v>Residential/Commercial</v>
          </cell>
          <cell r="BN123">
            <v>1</v>
          </cell>
          <cell r="BR123">
            <v>0.66666666666666663</v>
          </cell>
          <cell r="FQ123" t="str">
            <v>Can Stay</v>
          </cell>
          <cell r="IB123">
            <v>0</v>
          </cell>
          <cell r="IC123">
            <v>0</v>
          </cell>
          <cell r="ID123">
            <v>0</v>
          </cell>
          <cell r="IE123">
            <v>0</v>
          </cell>
          <cell r="IP123" t="str">
            <v>Owner</v>
          </cell>
          <cell r="IR123" t="str">
            <v>Home/Small-scale Industry</v>
          </cell>
          <cell r="IT123" t="str">
            <v>x</v>
          </cell>
          <cell r="IU123">
            <v>0</v>
          </cell>
        </row>
        <row r="124">
          <cell r="A124" t="str">
            <v>isf</v>
          </cell>
          <cell r="E124" t="str">
            <v>Victorina street, Abangan Norte, Marilao</v>
          </cell>
          <cell r="S124" t="str">
            <v>Female</v>
          </cell>
          <cell r="AK124" t="str">
            <v>ISF</v>
          </cell>
          <cell r="AN124">
            <v>0</v>
          </cell>
          <cell r="AQ124">
            <v>0</v>
          </cell>
          <cell r="AS124">
            <v>0</v>
          </cell>
          <cell r="BM124" t="str">
            <v>Residential</v>
          </cell>
          <cell r="BN124">
            <v>1</v>
          </cell>
          <cell r="BR124">
            <v>1</v>
          </cell>
          <cell r="FQ124" t="str">
            <v>Need Displacement</v>
          </cell>
          <cell r="IB124">
            <v>0</v>
          </cell>
          <cell r="IC124" t="str">
            <v>Y</v>
          </cell>
          <cell r="ID124">
            <v>0</v>
          </cell>
          <cell r="IE124">
            <v>0</v>
          </cell>
          <cell r="IP124" t="str">
            <v>Owner</v>
          </cell>
          <cell r="IR124" t="str">
            <v>Home/Small-scale Industry</v>
          </cell>
          <cell r="IT124">
            <v>0</v>
          </cell>
          <cell r="IU124" t="str">
            <v>x</v>
          </cell>
        </row>
        <row r="125">
          <cell r="A125" t="str">
            <v>legal</v>
          </cell>
          <cell r="E125" t="str">
            <v>Victorina street, Abangan Norte, Marilao</v>
          </cell>
          <cell r="S125" t="str">
            <v>Female</v>
          </cell>
          <cell r="AK125">
            <v>0</v>
          </cell>
          <cell r="AN125">
            <v>0</v>
          </cell>
          <cell r="AQ125">
            <v>0</v>
          </cell>
          <cell r="AS125">
            <v>0</v>
          </cell>
          <cell r="BM125" t="str">
            <v>Residential</v>
          </cell>
          <cell r="BN125">
            <v>0</v>
          </cell>
          <cell r="BR125">
            <v>0</v>
          </cell>
          <cell r="FQ125" t="str">
            <v>Need Displacement</v>
          </cell>
          <cell r="IB125" t="str">
            <v>Y</v>
          </cell>
          <cell r="IC125" t="str">
            <v>Y</v>
          </cell>
          <cell r="ID125">
            <v>0</v>
          </cell>
          <cell r="IE125">
            <v>0</v>
          </cell>
          <cell r="IP125">
            <v>0</v>
          </cell>
          <cell r="IR125">
            <v>0</v>
          </cell>
          <cell r="IT125">
            <v>0</v>
          </cell>
          <cell r="IU125">
            <v>0</v>
          </cell>
        </row>
        <row r="126">
          <cell r="A126" t="str">
            <v>legal</v>
          </cell>
          <cell r="E126" t="str">
            <v>Victorina street, Abangan Norte, Marilao</v>
          </cell>
          <cell r="S126" t="str">
            <v>Male</v>
          </cell>
          <cell r="AK126">
            <v>0</v>
          </cell>
          <cell r="AN126">
            <v>0</v>
          </cell>
          <cell r="AQ126">
            <v>0</v>
          </cell>
          <cell r="AS126">
            <v>0</v>
          </cell>
          <cell r="BM126" t="str">
            <v>Residential</v>
          </cell>
          <cell r="BN126">
            <v>1</v>
          </cell>
          <cell r="BR126">
            <v>0</v>
          </cell>
          <cell r="FQ126" t="str">
            <v>Need Displacement</v>
          </cell>
          <cell r="IB126">
            <v>0</v>
          </cell>
          <cell r="IC126">
            <v>0</v>
          </cell>
          <cell r="ID126">
            <v>0</v>
          </cell>
          <cell r="IE126">
            <v>0</v>
          </cell>
          <cell r="IP126">
            <v>0</v>
          </cell>
          <cell r="IR126">
            <v>0</v>
          </cell>
          <cell r="IT126">
            <v>0</v>
          </cell>
          <cell r="IU126">
            <v>0</v>
          </cell>
        </row>
        <row r="127">
          <cell r="A127" t="str">
            <v>isf</v>
          </cell>
          <cell r="E127" t="str">
            <v>M. Santiago st., Saog Marilao Bulacan</v>
          </cell>
          <cell r="S127">
            <v>0</v>
          </cell>
          <cell r="AK127" t="str">
            <v>LGU</v>
          </cell>
          <cell r="AN127">
            <v>0</v>
          </cell>
          <cell r="AQ127">
            <v>0</v>
          </cell>
          <cell r="AS127">
            <v>0</v>
          </cell>
          <cell r="BM127" t="str">
            <v>Institutional</v>
          </cell>
          <cell r="BN127">
            <v>0</v>
          </cell>
          <cell r="BR127">
            <v>0.6</v>
          </cell>
          <cell r="FQ127" t="str">
            <v>Need Displacement</v>
          </cell>
          <cell r="IB127">
            <v>0</v>
          </cell>
          <cell r="IC127">
            <v>0</v>
          </cell>
          <cell r="ID127">
            <v>0</v>
          </cell>
          <cell r="IE127">
            <v>0</v>
          </cell>
          <cell r="IP127" t="str">
            <v>Institutiona occupant</v>
          </cell>
          <cell r="IR127">
            <v>0</v>
          </cell>
          <cell r="IT127">
            <v>0</v>
          </cell>
          <cell r="IU127">
            <v>0</v>
          </cell>
        </row>
        <row r="128">
          <cell r="A128" t="str">
            <v>legal</v>
          </cell>
          <cell r="E128" t="str">
            <v>004 Daang Bakal st., Saog Marilao Bulacan</v>
          </cell>
          <cell r="S128">
            <v>0</v>
          </cell>
          <cell r="AK128" t="str">
            <v>Land Owner</v>
          </cell>
          <cell r="AN128">
            <v>4.2857142857142858E-2</v>
          </cell>
          <cell r="AQ128">
            <v>0</v>
          </cell>
          <cell r="AS128" t="str">
            <v>Y</v>
          </cell>
          <cell r="BM128" t="str">
            <v>Residential</v>
          </cell>
          <cell r="BN128">
            <v>1</v>
          </cell>
          <cell r="BR128">
            <v>1</v>
          </cell>
          <cell r="FQ128" t="str">
            <v>Need Displacement</v>
          </cell>
          <cell r="IB128">
            <v>0</v>
          </cell>
          <cell r="IC128" t="str">
            <v>Y</v>
          </cell>
          <cell r="ID128">
            <v>0</v>
          </cell>
          <cell r="IE128">
            <v>0</v>
          </cell>
          <cell r="IP128">
            <v>0</v>
          </cell>
          <cell r="IR128">
            <v>0</v>
          </cell>
          <cell r="IT128">
            <v>0</v>
          </cell>
          <cell r="IU128">
            <v>0</v>
          </cell>
        </row>
        <row r="129">
          <cell r="A129" t="str">
            <v>legal</v>
          </cell>
          <cell r="E129" t="str">
            <v>004 A Dang Bakal st. Saog Marilao Bulacan</v>
          </cell>
          <cell r="S129">
            <v>0</v>
          </cell>
          <cell r="AK129" t="str">
            <v>Land Owner</v>
          </cell>
          <cell r="AN129">
            <v>4.2857142857142858E-2</v>
          </cell>
          <cell r="AQ129">
            <v>0</v>
          </cell>
          <cell r="AS129" t="str">
            <v>Y</v>
          </cell>
          <cell r="BM129" t="str">
            <v>Residential</v>
          </cell>
          <cell r="BN129">
            <v>1</v>
          </cell>
          <cell r="BR129">
            <v>8.3333333333333329E-2</v>
          </cell>
          <cell r="FQ129" t="str">
            <v>Can Stay</v>
          </cell>
          <cell r="IB129">
            <v>0</v>
          </cell>
          <cell r="IC129">
            <v>0</v>
          </cell>
          <cell r="ID129">
            <v>0</v>
          </cell>
          <cell r="IE129">
            <v>0</v>
          </cell>
          <cell r="IP129">
            <v>0</v>
          </cell>
          <cell r="IR129">
            <v>0</v>
          </cell>
          <cell r="IT129">
            <v>0</v>
          </cell>
          <cell r="IU129">
            <v>0</v>
          </cell>
        </row>
        <row r="130">
          <cell r="A130" t="str">
            <v>legal</v>
          </cell>
          <cell r="E130" t="str">
            <v>004 Daang Bakal st., Saog Marilao Bulacan</v>
          </cell>
          <cell r="S130" t="str">
            <v>Male</v>
          </cell>
          <cell r="AK130" t="str">
            <v>Land Owner</v>
          </cell>
          <cell r="AN130">
            <v>0.19428571428571428</v>
          </cell>
          <cell r="AQ130">
            <v>0</v>
          </cell>
          <cell r="AS130" t="str">
            <v>Y</v>
          </cell>
          <cell r="BM130" t="str">
            <v>Residential</v>
          </cell>
          <cell r="BN130">
            <v>0</v>
          </cell>
          <cell r="BR130">
            <v>0.12318840579710144</v>
          </cell>
          <cell r="FQ130" t="str">
            <v>Can Stay</v>
          </cell>
          <cell r="IB130">
            <v>0</v>
          </cell>
          <cell r="IC130">
            <v>0</v>
          </cell>
          <cell r="ID130">
            <v>0</v>
          </cell>
          <cell r="IE130">
            <v>0</v>
          </cell>
          <cell r="IP130">
            <v>0</v>
          </cell>
          <cell r="IR130">
            <v>0</v>
          </cell>
          <cell r="IT130">
            <v>0</v>
          </cell>
          <cell r="IU130">
            <v>0</v>
          </cell>
        </row>
        <row r="131">
          <cell r="A131" t="str">
            <v>legal</v>
          </cell>
          <cell r="E131" t="str">
            <v>004 Daang Bakal st., Saog Marilao Bulacan</v>
          </cell>
          <cell r="S131" t="str">
            <v>Male</v>
          </cell>
          <cell r="AK131">
            <v>0</v>
          </cell>
          <cell r="AN131">
            <v>0</v>
          </cell>
          <cell r="AQ131">
            <v>0</v>
          </cell>
          <cell r="AS131">
            <v>0</v>
          </cell>
          <cell r="BM131" t="str">
            <v>Residential</v>
          </cell>
          <cell r="BN131">
            <v>0</v>
          </cell>
          <cell r="BR131">
            <v>0</v>
          </cell>
          <cell r="FQ131">
            <v>0</v>
          </cell>
          <cell r="IB131">
            <v>0</v>
          </cell>
          <cell r="IC131">
            <v>0</v>
          </cell>
          <cell r="ID131">
            <v>0</v>
          </cell>
          <cell r="IE131">
            <v>0</v>
          </cell>
          <cell r="IP131">
            <v>0</v>
          </cell>
          <cell r="IR131">
            <v>0</v>
          </cell>
          <cell r="IT131">
            <v>0</v>
          </cell>
          <cell r="IU131">
            <v>0</v>
          </cell>
        </row>
        <row r="132">
          <cell r="A132" t="str">
            <v>legal</v>
          </cell>
          <cell r="E132" t="str">
            <v>003 Daang Bakal st., Saog Marilao</v>
          </cell>
          <cell r="S132" t="str">
            <v>Female</v>
          </cell>
          <cell r="AK132" t="str">
            <v>Land caretaker with permission</v>
          </cell>
          <cell r="AN132">
            <v>7.857142857142857E-2</v>
          </cell>
          <cell r="AQ132">
            <v>0</v>
          </cell>
          <cell r="AS132" t="str">
            <v>Y</v>
          </cell>
          <cell r="BM132" t="str">
            <v>ABSENTEE</v>
          </cell>
          <cell r="BN132">
            <v>0</v>
          </cell>
          <cell r="BR132">
            <v>0.1</v>
          </cell>
          <cell r="FQ132" t="str">
            <v>Need Displacement</v>
          </cell>
          <cell r="IB132">
            <v>0</v>
          </cell>
          <cell r="IC132" t="str">
            <v>Y</v>
          </cell>
          <cell r="ID132">
            <v>0</v>
          </cell>
          <cell r="IE132">
            <v>0</v>
          </cell>
          <cell r="IP132">
            <v>0</v>
          </cell>
          <cell r="IR132">
            <v>0</v>
          </cell>
          <cell r="IT132">
            <v>0</v>
          </cell>
          <cell r="IU132">
            <v>0</v>
          </cell>
        </row>
        <row r="133">
          <cell r="A133" t="str">
            <v>legal</v>
          </cell>
          <cell r="E133" t="str">
            <v>003 Daang Bakal st., Saog Marilao</v>
          </cell>
          <cell r="S133" t="str">
            <v>Male</v>
          </cell>
          <cell r="AK133">
            <v>0</v>
          </cell>
          <cell r="AN133">
            <v>0</v>
          </cell>
          <cell r="AQ133">
            <v>0</v>
          </cell>
          <cell r="AS133">
            <v>0</v>
          </cell>
          <cell r="BM133" t="str">
            <v>Residential</v>
          </cell>
          <cell r="BN133">
            <v>0</v>
          </cell>
          <cell r="BR133">
            <v>0</v>
          </cell>
          <cell r="FQ133" t="str">
            <v>Need Displacement</v>
          </cell>
          <cell r="IB133">
            <v>0</v>
          </cell>
          <cell r="IC133">
            <v>0</v>
          </cell>
          <cell r="ID133">
            <v>1</v>
          </cell>
          <cell r="IE133">
            <v>0</v>
          </cell>
          <cell r="IP133">
            <v>0</v>
          </cell>
          <cell r="IR133">
            <v>0</v>
          </cell>
          <cell r="IT133">
            <v>0</v>
          </cell>
          <cell r="IU133">
            <v>0</v>
          </cell>
        </row>
        <row r="134">
          <cell r="A134" t="str">
            <v>legal</v>
          </cell>
          <cell r="E134" t="str">
            <v>Daang Bakal st., Saog Marilao</v>
          </cell>
          <cell r="S134">
            <v>0</v>
          </cell>
          <cell r="AK134">
            <v>0</v>
          </cell>
          <cell r="AN134">
            <v>0.15</v>
          </cell>
          <cell r="AQ134">
            <v>0</v>
          </cell>
          <cell r="AS134">
            <v>0</v>
          </cell>
          <cell r="BM134">
            <v>0</v>
          </cell>
          <cell r="BN134">
            <v>0</v>
          </cell>
          <cell r="BR134">
            <v>0</v>
          </cell>
          <cell r="FQ134" t="str">
            <v>Can Stay</v>
          </cell>
          <cell r="IB134">
            <v>0</v>
          </cell>
          <cell r="IC134">
            <v>0</v>
          </cell>
          <cell r="ID134">
            <v>0</v>
          </cell>
          <cell r="IE134">
            <v>0</v>
          </cell>
          <cell r="IP134">
            <v>0</v>
          </cell>
          <cell r="IR134">
            <v>0</v>
          </cell>
          <cell r="IT134">
            <v>0</v>
          </cell>
          <cell r="IU134">
            <v>0</v>
          </cell>
        </row>
        <row r="135">
          <cell r="A135" t="str">
            <v>CBL</v>
          </cell>
          <cell r="E135" t="str">
            <v>001 Daang Bakal St., Saog Marilao</v>
          </cell>
          <cell r="S135">
            <v>0</v>
          </cell>
          <cell r="AK135">
            <v>0</v>
          </cell>
          <cell r="AN135">
            <v>0</v>
          </cell>
          <cell r="AQ135">
            <v>0</v>
          </cell>
          <cell r="AS135">
            <v>0</v>
          </cell>
          <cell r="BM135" t="str">
            <v>Residential</v>
          </cell>
          <cell r="BN135">
            <v>0</v>
          </cell>
          <cell r="BR135">
            <v>0.15</v>
          </cell>
          <cell r="FQ135">
            <v>0</v>
          </cell>
          <cell r="IB135">
            <v>0</v>
          </cell>
          <cell r="IC135">
            <v>0</v>
          </cell>
          <cell r="ID135">
            <v>0</v>
          </cell>
          <cell r="IE135">
            <v>0</v>
          </cell>
          <cell r="IP135">
            <v>0</v>
          </cell>
          <cell r="IR135">
            <v>0</v>
          </cell>
          <cell r="IT135">
            <v>0</v>
          </cell>
          <cell r="IU135">
            <v>0</v>
          </cell>
        </row>
        <row r="136">
          <cell r="A136" t="str">
            <v>legal</v>
          </cell>
          <cell r="E136" t="str">
            <v>001 Daang Bakal St., Saog Marilao</v>
          </cell>
          <cell r="S136" t="str">
            <v>Male</v>
          </cell>
          <cell r="AK136">
            <v>0</v>
          </cell>
          <cell r="AN136">
            <v>0</v>
          </cell>
          <cell r="AQ136">
            <v>0</v>
          </cell>
          <cell r="AS136">
            <v>0</v>
          </cell>
          <cell r="BM136" t="str">
            <v>Residential</v>
          </cell>
          <cell r="BN136">
            <v>0</v>
          </cell>
          <cell r="BR136">
            <v>0</v>
          </cell>
          <cell r="FQ136" t="str">
            <v>Need Displacement</v>
          </cell>
          <cell r="IB136">
            <v>0</v>
          </cell>
          <cell r="IC136">
            <v>0</v>
          </cell>
          <cell r="ID136">
            <v>0</v>
          </cell>
          <cell r="IE136">
            <v>0</v>
          </cell>
          <cell r="IP136">
            <v>0</v>
          </cell>
          <cell r="IR136">
            <v>0</v>
          </cell>
          <cell r="IT136">
            <v>0</v>
          </cell>
          <cell r="IU136">
            <v>0</v>
          </cell>
        </row>
        <row r="137">
          <cell r="A137" t="str">
            <v>Legal</v>
          </cell>
          <cell r="E137" t="str">
            <v>Daang Bakal St., Saog Marilao Bulacan</v>
          </cell>
          <cell r="S137" t="str">
            <v>Male</v>
          </cell>
          <cell r="AK137" t="str">
            <v>Land Owner</v>
          </cell>
          <cell r="AN137">
            <v>1</v>
          </cell>
          <cell r="AQ137">
            <v>0</v>
          </cell>
          <cell r="AS137" t="str">
            <v>Y</v>
          </cell>
          <cell r="BM137">
            <v>0</v>
          </cell>
          <cell r="BN137">
            <v>0</v>
          </cell>
          <cell r="BR137">
            <v>0</v>
          </cell>
          <cell r="FQ137">
            <v>0</v>
          </cell>
          <cell r="IB137">
            <v>0</v>
          </cell>
          <cell r="IC137">
            <v>0</v>
          </cell>
          <cell r="ID137">
            <v>0</v>
          </cell>
          <cell r="IE137">
            <v>0</v>
          </cell>
          <cell r="IP137">
            <v>0</v>
          </cell>
          <cell r="IR137">
            <v>0</v>
          </cell>
          <cell r="IT137">
            <v>0</v>
          </cell>
          <cell r="IU137">
            <v>0</v>
          </cell>
        </row>
        <row r="138">
          <cell r="A138" t="str">
            <v>legal</v>
          </cell>
          <cell r="E138" t="str">
            <v>35 Daang Bakal St., Saog Marilao</v>
          </cell>
          <cell r="S138" t="str">
            <v>Male</v>
          </cell>
          <cell r="AK138" t="str">
            <v>Land Rights Owner</v>
          </cell>
          <cell r="AN138">
            <v>0.1152</v>
          </cell>
          <cell r="AQ138">
            <v>0</v>
          </cell>
          <cell r="AS138">
            <v>0</v>
          </cell>
          <cell r="BM138" t="str">
            <v>Residential</v>
          </cell>
          <cell r="BN138">
            <v>0</v>
          </cell>
          <cell r="BR138">
            <v>1</v>
          </cell>
          <cell r="FQ138" t="str">
            <v>Need Displacement</v>
          </cell>
          <cell r="IB138">
            <v>0</v>
          </cell>
          <cell r="IC138">
            <v>0</v>
          </cell>
          <cell r="ID138" t="str">
            <v>Y</v>
          </cell>
          <cell r="IE138" t="str">
            <v>Y</v>
          </cell>
          <cell r="IP138">
            <v>0</v>
          </cell>
          <cell r="IR138">
            <v>0</v>
          </cell>
          <cell r="IT138">
            <v>0</v>
          </cell>
          <cell r="IU138">
            <v>0</v>
          </cell>
        </row>
        <row r="139">
          <cell r="A139" t="str">
            <v>legal</v>
          </cell>
          <cell r="E139" t="str">
            <v>20 Daang Bakal, Lias rd., Saog Marilao</v>
          </cell>
          <cell r="S139">
            <v>0</v>
          </cell>
          <cell r="AK139" t="str">
            <v>Land Rights</v>
          </cell>
          <cell r="AN139">
            <v>0</v>
          </cell>
          <cell r="AQ139">
            <v>0</v>
          </cell>
          <cell r="AS139">
            <v>0</v>
          </cell>
          <cell r="BM139" t="str">
            <v>Residential</v>
          </cell>
          <cell r="BN139">
            <v>0</v>
          </cell>
          <cell r="BR139">
            <v>1</v>
          </cell>
          <cell r="FQ139" t="str">
            <v>Need Displacement</v>
          </cell>
          <cell r="IB139">
            <v>0</v>
          </cell>
          <cell r="IC139">
            <v>0</v>
          </cell>
          <cell r="ID139">
            <v>0</v>
          </cell>
          <cell r="IE139">
            <v>0</v>
          </cell>
          <cell r="IP139">
            <v>0</v>
          </cell>
          <cell r="IR139">
            <v>0</v>
          </cell>
          <cell r="IT139">
            <v>0</v>
          </cell>
          <cell r="IU139">
            <v>0</v>
          </cell>
        </row>
        <row r="140">
          <cell r="A140" t="str">
            <v>legal</v>
          </cell>
          <cell r="E140" t="str">
            <v>20 Daang Bakal, Lias rd., Saog Marilao</v>
          </cell>
          <cell r="S140" t="str">
            <v>Male</v>
          </cell>
          <cell r="AK140" t="str">
            <v>Land Rights</v>
          </cell>
          <cell r="AN140">
            <v>0</v>
          </cell>
          <cell r="AQ140">
            <v>0</v>
          </cell>
          <cell r="AS140">
            <v>0</v>
          </cell>
          <cell r="BM140" t="str">
            <v>Residential</v>
          </cell>
          <cell r="BN140">
            <v>0</v>
          </cell>
          <cell r="BR140">
            <v>1</v>
          </cell>
          <cell r="FQ140" t="str">
            <v>Need Displacement</v>
          </cell>
          <cell r="IB140">
            <v>0</v>
          </cell>
          <cell r="IC140">
            <v>0</v>
          </cell>
          <cell r="ID140">
            <v>0</v>
          </cell>
          <cell r="IE140">
            <v>0</v>
          </cell>
          <cell r="IP140">
            <v>0</v>
          </cell>
          <cell r="IR140">
            <v>0</v>
          </cell>
          <cell r="IT140">
            <v>0</v>
          </cell>
          <cell r="IU140">
            <v>0</v>
          </cell>
        </row>
        <row r="141">
          <cell r="A141" t="str">
            <v>legal</v>
          </cell>
          <cell r="E141" t="str">
            <v>20 Daang Bakal, Lias rd., Saog Marilao</v>
          </cell>
          <cell r="S141" t="str">
            <v>Female</v>
          </cell>
          <cell r="AK141">
            <v>0</v>
          </cell>
          <cell r="AN141">
            <v>0</v>
          </cell>
          <cell r="AQ141">
            <v>0</v>
          </cell>
          <cell r="AS141">
            <v>0</v>
          </cell>
          <cell r="BM141" t="str">
            <v>Residential</v>
          </cell>
          <cell r="BN141">
            <v>0</v>
          </cell>
          <cell r="BR141">
            <v>0</v>
          </cell>
          <cell r="FQ141">
            <v>0</v>
          </cell>
          <cell r="IB141">
            <v>0</v>
          </cell>
          <cell r="IC141" t="str">
            <v>Y</v>
          </cell>
          <cell r="ID141">
            <v>0</v>
          </cell>
          <cell r="IE141">
            <v>0</v>
          </cell>
          <cell r="IP141">
            <v>0</v>
          </cell>
          <cell r="IR141">
            <v>0</v>
          </cell>
          <cell r="IT141">
            <v>0</v>
          </cell>
          <cell r="IU141">
            <v>0</v>
          </cell>
        </row>
        <row r="142">
          <cell r="A142" t="str">
            <v>legal</v>
          </cell>
          <cell r="E142" t="str">
            <v>23 Daang Bakal st., Saog Marilao Bulacan</v>
          </cell>
          <cell r="S142" t="str">
            <v>Female</v>
          </cell>
          <cell r="AK142">
            <v>0</v>
          </cell>
          <cell r="AN142">
            <v>0</v>
          </cell>
          <cell r="AQ142">
            <v>0</v>
          </cell>
          <cell r="AS142">
            <v>0</v>
          </cell>
          <cell r="BM142" t="str">
            <v>Residential/Commercial</v>
          </cell>
          <cell r="BN142">
            <v>0</v>
          </cell>
          <cell r="BR142">
            <v>1</v>
          </cell>
          <cell r="FQ142" t="str">
            <v>Need Displacement</v>
          </cell>
          <cell r="IB142" t="str">
            <v>Y</v>
          </cell>
          <cell r="IC142" t="str">
            <v>Y</v>
          </cell>
          <cell r="ID142">
            <v>0</v>
          </cell>
          <cell r="IE142">
            <v>0</v>
          </cell>
          <cell r="IP142" t="str">
            <v>Renter</v>
          </cell>
          <cell r="IR142" t="str">
            <v>Home/Small-scale Industry</v>
          </cell>
          <cell r="IT142">
            <v>0</v>
          </cell>
          <cell r="IU142">
            <v>0</v>
          </cell>
        </row>
        <row r="143">
          <cell r="A143" t="str">
            <v>legal</v>
          </cell>
          <cell r="E143" t="str">
            <v>23 Daang Bakal st., Saog Marilao Bulacan</v>
          </cell>
          <cell r="S143">
            <v>0</v>
          </cell>
          <cell r="AK143">
            <v>0</v>
          </cell>
          <cell r="AN143">
            <v>0</v>
          </cell>
          <cell r="AQ143">
            <v>0</v>
          </cell>
          <cell r="AS143">
            <v>0</v>
          </cell>
          <cell r="BM143" t="str">
            <v>Resiential</v>
          </cell>
          <cell r="BN143">
            <v>0</v>
          </cell>
          <cell r="BR143">
            <v>0</v>
          </cell>
          <cell r="FQ143">
            <v>0</v>
          </cell>
          <cell r="IB143">
            <v>0</v>
          </cell>
          <cell r="IC143">
            <v>0</v>
          </cell>
          <cell r="ID143">
            <v>0</v>
          </cell>
          <cell r="IE143">
            <v>0</v>
          </cell>
          <cell r="IP143">
            <v>0</v>
          </cell>
          <cell r="IR143">
            <v>0</v>
          </cell>
          <cell r="IT143">
            <v>0</v>
          </cell>
          <cell r="IU143">
            <v>0</v>
          </cell>
        </row>
        <row r="144">
          <cell r="A144" t="str">
            <v>legal</v>
          </cell>
          <cell r="E144" t="str">
            <v>2 Lias Road, Saog Marilao Bulacan</v>
          </cell>
          <cell r="S144" t="str">
            <v>Male</v>
          </cell>
          <cell r="AK144" t="str">
            <v>Land Owner</v>
          </cell>
          <cell r="AN144">
            <v>1</v>
          </cell>
          <cell r="AQ144">
            <v>0</v>
          </cell>
          <cell r="AS144" t="str">
            <v>Y</v>
          </cell>
          <cell r="BM144" t="str">
            <v>Residential/Commercial</v>
          </cell>
          <cell r="BN144">
            <v>0</v>
          </cell>
          <cell r="BR144">
            <v>1</v>
          </cell>
          <cell r="FQ144" t="str">
            <v>Need Displacement</v>
          </cell>
          <cell r="IB144">
            <v>0</v>
          </cell>
          <cell r="IC144">
            <v>0</v>
          </cell>
          <cell r="ID144">
            <v>1</v>
          </cell>
          <cell r="IE144">
            <v>0</v>
          </cell>
          <cell r="IP144" t="str">
            <v>Owner</v>
          </cell>
          <cell r="IR144" t="str">
            <v>Commercial Space for rent</v>
          </cell>
          <cell r="IT144">
            <v>0</v>
          </cell>
          <cell r="IU144">
            <v>0</v>
          </cell>
        </row>
        <row r="145">
          <cell r="A145" t="str">
            <v>legal</v>
          </cell>
          <cell r="E145" t="str">
            <v>2 Lias Road, Saog Marilao Bulacan</v>
          </cell>
          <cell r="S145" t="str">
            <v>Male</v>
          </cell>
          <cell r="AK145" t="str">
            <v>Dweller</v>
          </cell>
          <cell r="AN145">
            <v>0</v>
          </cell>
          <cell r="AQ145">
            <v>0</v>
          </cell>
          <cell r="AS145" t="str">
            <v>Y</v>
          </cell>
          <cell r="BM145" t="str">
            <v>Residential</v>
          </cell>
          <cell r="BN145">
            <v>0</v>
          </cell>
          <cell r="BR145">
            <v>1</v>
          </cell>
          <cell r="FQ145" t="str">
            <v>Need Displacement</v>
          </cell>
          <cell r="IB145">
            <v>0</v>
          </cell>
          <cell r="IC145">
            <v>0</v>
          </cell>
          <cell r="ID145">
            <v>0</v>
          </cell>
          <cell r="IE145">
            <v>0</v>
          </cell>
          <cell r="IP145">
            <v>0</v>
          </cell>
          <cell r="IR145" t="str">
            <v>Home/Small-scale Industry</v>
          </cell>
          <cell r="IT145">
            <v>0</v>
          </cell>
          <cell r="IU145">
            <v>0</v>
          </cell>
        </row>
        <row r="146">
          <cell r="A146" t="str">
            <v>legal</v>
          </cell>
          <cell r="E146" t="str">
            <v>2 Lias Road, Saog Marilao Bulacan</v>
          </cell>
          <cell r="S146">
            <v>0</v>
          </cell>
          <cell r="AK146" t="str">
            <v>Land Owner</v>
          </cell>
          <cell r="AN146">
            <v>0</v>
          </cell>
          <cell r="AQ146">
            <v>0</v>
          </cell>
          <cell r="AS146" t="str">
            <v>Y</v>
          </cell>
          <cell r="BM146" t="str">
            <v>Commercial</v>
          </cell>
          <cell r="BN146">
            <v>0</v>
          </cell>
          <cell r="BR146">
            <v>1</v>
          </cell>
          <cell r="FQ146">
            <v>0</v>
          </cell>
          <cell r="IB146">
            <v>0</v>
          </cell>
          <cell r="IC146">
            <v>0</v>
          </cell>
          <cell r="ID146">
            <v>0</v>
          </cell>
          <cell r="IE146">
            <v>0</v>
          </cell>
          <cell r="IP146" t="str">
            <v>Renter</v>
          </cell>
          <cell r="IR146" t="str">
            <v>Manufacturing</v>
          </cell>
          <cell r="IT146">
            <v>0</v>
          </cell>
          <cell r="IU146">
            <v>0</v>
          </cell>
        </row>
        <row r="147">
          <cell r="A147" t="str">
            <v>CBL</v>
          </cell>
          <cell r="E147" t="str">
            <v>2 Lias Road, Saog Marilao Bulacan</v>
          </cell>
          <cell r="S147">
            <v>0</v>
          </cell>
          <cell r="AK147" t="str">
            <v>Land Owner</v>
          </cell>
          <cell r="AN147">
            <v>0</v>
          </cell>
          <cell r="AQ147">
            <v>0</v>
          </cell>
          <cell r="AS147" t="str">
            <v>Y</v>
          </cell>
          <cell r="BM147" t="str">
            <v>Commercial</v>
          </cell>
          <cell r="BN147">
            <v>0</v>
          </cell>
          <cell r="BR147">
            <v>1</v>
          </cell>
          <cell r="FQ147">
            <v>0</v>
          </cell>
          <cell r="IB147">
            <v>0</v>
          </cell>
          <cell r="IC147">
            <v>0</v>
          </cell>
          <cell r="ID147">
            <v>0</v>
          </cell>
          <cell r="IE147">
            <v>0</v>
          </cell>
          <cell r="IP147">
            <v>0</v>
          </cell>
          <cell r="IR147">
            <v>0</v>
          </cell>
          <cell r="IT147">
            <v>0</v>
          </cell>
          <cell r="IU147">
            <v>0</v>
          </cell>
        </row>
        <row r="148">
          <cell r="A148" t="str">
            <v>legal</v>
          </cell>
          <cell r="E148" t="str">
            <v>2 Lias Road, Saog Marilao Bulacan</v>
          </cell>
          <cell r="S148">
            <v>0</v>
          </cell>
          <cell r="AK148" t="str">
            <v>Land Owner</v>
          </cell>
          <cell r="AN148">
            <v>0</v>
          </cell>
          <cell r="AQ148">
            <v>0</v>
          </cell>
          <cell r="AS148" t="str">
            <v>Y</v>
          </cell>
          <cell r="BM148" t="str">
            <v>Commercial</v>
          </cell>
          <cell r="BN148">
            <v>0</v>
          </cell>
          <cell r="BR148">
            <v>0</v>
          </cell>
          <cell r="FQ148">
            <v>0</v>
          </cell>
          <cell r="IB148">
            <v>0</v>
          </cell>
          <cell r="IC148">
            <v>0</v>
          </cell>
          <cell r="ID148">
            <v>0</v>
          </cell>
          <cell r="IE148">
            <v>0</v>
          </cell>
          <cell r="IP148">
            <v>0</v>
          </cell>
          <cell r="IR148">
            <v>0</v>
          </cell>
          <cell r="IT148">
            <v>0</v>
          </cell>
          <cell r="IU148">
            <v>0</v>
          </cell>
        </row>
        <row r="149">
          <cell r="A149" t="str">
            <v>legal</v>
          </cell>
          <cell r="E149" t="str">
            <v>500 St.Martin St., Ibayo, Marilao</v>
          </cell>
          <cell r="S149" t="str">
            <v>Female</v>
          </cell>
          <cell r="AK149" t="str">
            <v>Land Owner (parents of land and structure owner)</v>
          </cell>
          <cell r="AN149">
            <v>0.68283582089552242</v>
          </cell>
          <cell r="AQ149">
            <v>0</v>
          </cell>
          <cell r="AS149" t="str">
            <v>Y</v>
          </cell>
          <cell r="BM149" t="str">
            <v>Residential/Commercial</v>
          </cell>
          <cell r="BN149">
            <v>1</v>
          </cell>
          <cell r="BR149">
            <v>0.70114942528735635</v>
          </cell>
          <cell r="FQ149" t="str">
            <v>Need Displacement</v>
          </cell>
          <cell r="IB149" t="str">
            <v>Y</v>
          </cell>
          <cell r="IC149" t="str">
            <v>Y</v>
          </cell>
          <cell r="ID149">
            <v>2</v>
          </cell>
          <cell r="IE149">
            <v>0</v>
          </cell>
          <cell r="IP149">
            <v>0</v>
          </cell>
          <cell r="IR149">
            <v>0</v>
          </cell>
          <cell r="IT149">
            <v>0</v>
          </cell>
          <cell r="IU149">
            <v>0</v>
          </cell>
        </row>
        <row r="150">
          <cell r="A150" t="str">
            <v>legal</v>
          </cell>
          <cell r="E150" t="str">
            <v>500 St.Martin St., Ibayo, Marilao</v>
          </cell>
          <cell r="S150">
            <v>0</v>
          </cell>
          <cell r="AK150">
            <v>0</v>
          </cell>
          <cell r="AN150">
            <v>0</v>
          </cell>
          <cell r="AQ150">
            <v>0</v>
          </cell>
          <cell r="AS150" t="str">
            <v>Y</v>
          </cell>
          <cell r="BM150" t="str">
            <v>Commercial</v>
          </cell>
          <cell r="BN150">
            <v>0</v>
          </cell>
          <cell r="BR150">
            <v>0</v>
          </cell>
          <cell r="FQ150">
            <v>0</v>
          </cell>
          <cell r="IB150">
            <v>0</v>
          </cell>
          <cell r="IC150">
            <v>0</v>
          </cell>
          <cell r="ID150">
            <v>0</v>
          </cell>
          <cell r="IE150">
            <v>0</v>
          </cell>
          <cell r="IP150" t="str">
            <v>Renter</v>
          </cell>
          <cell r="IR150" t="str">
            <v>Home/Small-scale Industry</v>
          </cell>
          <cell r="IT150">
            <v>0</v>
          </cell>
          <cell r="IU150">
            <v>0</v>
          </cell>
        </row>
        <row r="151">
          <cell r="A151" t="str">
            <v>legal</v>
          </cell>
          <cell r="E151" t="str">
            <v>Ibayo, Marilao</v>
          </cell>
          <cell r="S151">
            <v>0</v>
          </cell>
          <cell r="AK151" t="str">
            <v>Land Owner</v>
          </cell>
          <cell r="AN151">
            <v>0</v>
          </cell>
          <cell r="AQ151">
            <v>0</v>
          </cell>
          <cell r="AS151" t="str">
            <v>Y</v>
          </cell>
          <cell r="BM151" t="str">
            <v>Commercial</v>
          </cell>
          <cell r="BN151">
            <v>0</v>
          </cell>
          <cell r="BR151">
            <v>0</v>
          </cell>
          <cell r="FQ151">
            <v>0</v>
          </cell>
          <cell r="IB151">
            <v>0</v>
          </cell>
          <cell r="IC151">
            <v>0</v>
          </cell>
          <cell r="ID151">
            <v>0</v>
          </cell>
          <cell r="IE151">
            <v>0</v>
          </cell>
          <cell r="IP151" t="str">
            <v>Owner</v>
          </cell>
          <cell r="IR151" t="str">
            <v>Commercial Establishment</v>
          </cell>
          <cell r="IT151" t="str">
            <v>x</v>
          </cell>
          <cell r="IU151">
            <v>0</v>
          </cell>
        </row>
        <row r="152">
          <cell r="A152" t="str">
            <v>legal</v>
          </cell>
          <cell r="E152" t="str">
            <v>007 Soliera St., Pandayan, Meycauayan Bulacan</v>
          </cell>
          <cell r="S152">
            <v>0</v>
          </cell>
          <cell r="AK152" t="str">
            <v>Land Owner</v>
          </cell>
          <cell r="AN152">
            <v>0</v>
          </cell>
          <cell r="AQ152">
            <v>0</v>
          </cell>
          <cell r="AS152">
            <v>0</v>
          </cell>
          <cell r="BM152" t="str">
            <v>Institution</v>
          </cell>
          <cell r="BN152">
            <v>0</v>
          </cell>
          <cell r="BR152">
            <v>0</v>
          </cell>
          <cell r="FQ152">
            <v>0</v>
          </cell>
          <cell r="IB152">
            <v>0</v>
          </cell>
          <cell r="IC152">
            <v>0</v>
          </cell>
          <cell r="ID152">
            <v>0</v>
          </cell>
          <cell r="IE152">
            <v>0</v>
          </cell>
          <cell r="IP152" t="str">
            <v>Caretaker</v>
          </cell>
          <cell r="IR152" t="str">
            <v>Church</v>
          </cell>
          <cell r="IT152" t="str">
            <v>x</v>
          </cell>
          <cell r="IU152">
            <v>0</v>
          </cell>
        </row>
        <row r="153">
          <cell r="A153" t="str">
            <v>Legal</v>
          </cell>
          <cell r="E153" t="str">
            <v>171 San Pedro Subd., Tugatog Meycauayan</v>
          </cell>
          <cell r="S153">
            <v>0</v>
          </cell>
          <cell r="AK153" t="str">
            <v>Land Owner</v>
          </cell>
          <cell r="AN153">
            <v>0</v>
          </cell>
          <cell r="AQ153">
            <v>0</v>
          </cell>
          <cell r="AS153" t="str">
            <v>Y</v>
          </cell>
          <cell r="BM153" t="str">
            <v>Residential</v>
          </cell>
          <cell r="BN153">
            <v>0</v>
          </cell>
          <cell r="BR153">
            <v>0</v>
          </cell>
          <cell r="FQ153" t="str">
            <v>Can Stay</v>
          </cell>
          <cell r="IB153">
            <v>0</v>
          </cell>
          <cell r="IC153" t="str">
            <v>Y</v>
          </cell>
          <cell r="ID153">
            <v>0</v>
          </cell>
          <cell r="IE153">
            <v>0</v>
          </cell>
          <cell r="IP153">
            <v>0</v>
          </cell>
          <cell r="IR153">
            <v>0</v>
          </cell>
          <cell r="IT153">
            <v>0</v>
          </cell>
          <cell r="IU153">
            <v>0</v>
          </cell>
        </row>
        <row r="154">
          <cell r="A154" t="str">
            <v>legal</v>
          </cell>
          <cell r="E154" t="str">
            <v>San Pedro Subd., Tugatog, Meycauayan</v>
          </cell>
          <cell r="S154">
            <v>0</v>
          </cell>
          <cell r="AK154">
            <v>0</v>
          </cell>
          <cell r="AN154">
            <v>0</v>
          </cell>
          <cell r="AQ154">
            <v>0</v>
          </cell>
          <cell r="AS154">
            <v>0</v>
          </cell>
          <cell r="BM154" t="str">
            <v>Residential</v>
          </cell>
          <cell r="BN154">
            <v>0</v>
          </cell>
          <cell r="BR154">
            <v>0</v>
          </cell>
          <cell r="FQ154">
            <v>0</v>
          </cell>
          <cell r="IB154">
            <v>0</v>
          </cell>
          <cell r="IC154">
            <v>0</v>
          </cell>
          <cell r="ID154">
            <v>0</v>
          </cell>
          <cell r="IE154">
            <v>0</v>
          </cell>
          <cell r="IP154">
            <v>0</v>
          </cell>
          <cell r="IR154">
            <v>0</v>
          </cell>
          <cell r="IT154">
            <v>0</v>
          </cell>
          <cell r="IU154">
            <v>0</v>
          </cell>
        </row>
        <row r="155">
          <cell r="A155">
            <v>0</v>
          </cell>
          <cell r="E155" t="str">
            <v>Rosales St., Tugatog Meycauayan</v>
          </cell>
          <cell r="S155">
            <v>0</v>
          </cell>
          <cell r="AK155" t="str">
            <v>Land Owner</v>
          </cell>
          <cell r="AN155">
            <v>0</v>
          </cell>
          <cell r="AQ155">
            <v>0</v>
          </cell>
          <cell r="AS155">
            <v>0</v>
          </cell>
          <cell r="BM155">
            <v>0</v>
          </cell>
          <cell r="BN155">
            <v>0</v>
          </cell>
          <cell r="BR155">
            <v>0</v>
          </cell>
          <cell r="FQ155">
            <v>0</v>
          </cell>
          <cell r="IB155">
            <v>0</v>
          </cell>
          <cell r="IC155">
            <v>0</v>
          </cell>
          <cell r="ID155">
            <v>0</v>
          </cell>
          <cell r="IE155">
            <v>0</v>
          </cell>
          <cell r="IP155">
            <v>0</v>
          </cell>
          <cell r="IR155">
            <v>0</v>
          </cell>
          <cell r="IT155">
            <v>0</v>
          </cell>
          <cell r="IU155">
            <v>0</v>
          </cell>
        </row>
        <row r="156">
          <cell r="A156" t="str">
            <v>legal</v>
          </cell>
          <cell r="E156" t="str">
            <v>San Pedro Subd., Tugatog, Meycauayan</v>
          </cell>
          <cell r="S156">
            <v>0</v>
          </cell>
          <cell r="AK156" t="str">
            <v>Land Owner</v>
          </cell>
          <cell r="AN156">
            <v>0</v>
          </cell>
          <cell r="AQ156">
            <v>0</v>
          </cell>
          <cell r="AS156">
            <v>0</v>
          </cell>
          <cell r="BM156" t="str">
            <v>Residential</v>
          </cell>
          <cell r="BN156">
            <v>0</v>
          </cell>
          <cell r="BR156">
            <v>0</v>
          </cell>
          <cell r="FQ156">
            <v>0</v>
          </cell>
          <cell r="IB156">
            <v>0</v>
          </cell>
          <cell r="IC156">
            <v>0</v>
          </cell>
          <cell r="ID156">
            <v>0</v>
          </cell>
          <cell r="IE156">
            <v>0</v>
          </cell>
          <cell r="IP156">
            <v>0</v>
          </cell>
          <cell r="IR156">
            <v>0</v>
          </cell>
          <cell r="IT156">
            <v>0</v>
          </cell>
          <cell r="IU156">
            <v>0</v>
          </cell>
        </row>
        <row r="157">
          <cell r="A157" t="str">
            <v>legal</v>
          </cell>
          <cell r="E157" t="str">
            <v>228 Rosales st., Tugatog, Meycauayan</v>
          </cell>
          <cell r="S157">
            <v>0</v>
          </cell>
          <cell r="AK157" t="str">
            <v>Land Owner</v>
          </cell>
          <cell r="AN157">
            <v>0</v>
          </cell>
          <cell r="AQ157">
            <v>0</v>
          </cell>
          <cell r="AS157" t="str">
            <v>Y</v>
          </cell>
          <cell r="BM157" t="str">
            <v>Residential/Commercial</v>
          </cell>
          <cell r="BN157">
            <v>0</v>
          </cell>
          <cell r="BR157">
            <v>0</v>
          </cell>
          <cell r="FQ157" t="str">
            <v>Can Stay</v>
          </cell>
          <cell r="IB157">
            <v>0</v>
          </cell>
          <cell r="IC157">
            <v>0</v>
          </cell>
          <cell r="ID157">
            <v>0</v>
          </cell>
          <cell r="IE157">
            <v>0</v>
          </cell>
          <cell r="IP157">
            <v>0</v>
          </cell>
          <cell r="IR157">
            <v>0</v>
          </cell>
          <cell r="IT157">
            <v>0</v>
          </cell>
          <cell r="IU157">
            <v>0</v>
          </cell>
        </row>
        <row r="158">
          <cell r="A158">
            <v>0</v>
          </cell>
          <cell r="E158" t="str">
            <v>San Pedro Subd., Tugatog, Meycauayan</v>
          </cell>
          <cell r="S158">
            <v>0</v>
          </cell>
          <cell r="AK158">
            <v>0</v>
          </cell>
          <cell r="AN158">
            <v>0</v>
          </cell>
          <cell r="AQ158">
            <v>0</v>
          </cell>
          <cell r="AS158">
            <v>0</v>
          </cell>
          <cell r="BM158">
            <v>0</v>
          </cell>
          <cell r="BN158">
            <v>0</v>
          </cell>
          <cell r="BR158">
            <v>0</v>
          </cell>
          <cell r="FQ158">
            <v>0</v>
          </cell>
          <cell r="IB158">
            <v>0</v>
          </cell>
          <cell r="IC158">
            <v>0</v>
          </cell>
          <cell r="ID158">
            <v>0</v>
          </cell>
          <cell r="IE158">
            <v>0</v>
          </cell>
          <cell r="IP158">
            <v>0</v>
          </cell>
          <cell r="IR158">
            <v>0</v>
          </cell>
          <cell r="IT158">
            <v>0</v>
          </cell>
          <cell r="IU158">
            <v>0</v>
          </cell>
        </row>
        <row r="159">
          <cell r="A159">
            <v>0</v>
          </cell>
          <cell r="E159" t="str">
            <v>San Pedro Subd., Tugatog, Meycauayan</v>
          </cell>
          <cell r="S159">
            <v>0</v>
          </cell>
          <cell r="AK159">
            <v>0</v>
          </cell>
          <cell r="AN159">
            <v>0</v>
          </cell>
          <cell r="AQ159">
            <v>0</v>
          </cell>
          <cell r="AS159">
            <v>0</v>
          </cell>
          <cell r="BM159">
            <v>0</v>
          </cell>
          <cell r="BN159">
            <v>0</v>
          </cell>
          <cell r="BR159">
            <v>0</v>
          </cell>
          <cell r="FQ159">
            <v>0</v>
          </cell>
          <cell r="IB159">
            <v>0</v>
          </cell>
          <cell r="IC159">
            <v>0</v>
          </cell>
          <cell r="ID159">
            <v>0</v>
          </cell>
          <cell r="IE159">
            <v>0</v>
          </cell>
          <cell r="IP159">
            <v>0</v>
          </cell>
          <cell r="IR159">
            <v>0</v>
          </cell>
          <cell r="IT159">
            <v>0</v>
          </cell>
          <cell r="IU159">
            <v>0</v>
          </cell>
        </row>
        <row r="160">
          <cell r="A160" t="str">
            <v>legal</v>
          </cell>
          <cell r="E160" t="str">
            <v>674 Bancal Ext., Meycauayan Bulacan</v>
          </cell>
          <cell r="S160" t="str">
            <v>Male</v>
          </cell>
          <cell r="AK160" t="str">
            <v>Land Owner</v>
          </cell>
          <cell r="AN160">
            <v>0</v>
          </cell>
          <cell r="AQ160">
            <v>0</v>
          </cell>
          <cell r="AS160" t="str">
            <v>Y</v>
          </cell>
          <cell r="BM160" t="str">
            <v>Residential</v>
          </cell>
          <cell r="BN160">
            <v>0</v>
          </cell>
          <cell r="BR160">
            <v>0.5</v>
          </cell>
          <cell r="FQ160" t="str">
            <v>Need Displacement</v>
          </cell>
          <cell r="IB160">
            <v>0</v>
          </cell>
          <cell r="IC160">
            <v>0</v>
          </cell>
          <cell r="ID160">
            <v>0</v>
          </cell>
          <cell r="IE160">
            <v>0</v>
          </cell>
          <cell r="IP160">
            <v>0</v>
          </cell>
          <cell r="IR160">
            <v>0</v>
          </cell>
          <cell r="IT160">
            <v>0</v>
          </cell>
          <cell r="IU160">
            <v>0</v>
          </cell>
        </row>
        <row r="161">
          <cell r="A161" t="str">
            <v>legal</v>
          </cell>
          <cell r="E161" t="str">
            <v>674 Bancal Ext., Meycauayan Bulacan</v>
          </cell>
          <cell r="S161" t="str">
            <v>Female</v>
          </cell>
          <cell r="AK161">
            <v>0</v>
          </cell>
          <cell r="AN161">
            <v>0</v>
          </cell>
          <cell r="AQ161">
            <v>0</v>
          </cell>
          <cell r="AS161" t="str">
            <v>Y</v>
          </cell>
          <cell r="BM161" t="str">
            <v>Residential</v>
          </cell>
          <cell r="BN161">
            <v>0</v>
          </cell>
          <cell r="BR161">
            <v>0</v>
          </cell>
          <cell r="FQ161">
            <v>0</v>
          </cell>
          <cell r="IB161" t="str">
            <v>Y</v>
          </cell>
          <cell r="IC161" t="str">
            <v>Y</v>
          </cell>
          <cell r="ID161">
            <v>0</v>
          </cell>
          <cell r="IE161">
            <v>0</v>
          </cell>
          <cell r="IP161">
            <v>0</v>
          </cell>
          <cell r="IR161">
            <v>0</v>
          </cell>
          <cell r="IT161">
            <v>0</v>
          </cell>
          <cell r="IU161">
            <v>0</v>
          </cell>
        </row>
        <row r="162">
          <cell r="A162" t="str">
            <v>legal</v>
          </cell>
          <cell r="E162" t="str">
            <v>667 Mulawin st., Bancal ext., Meycauayan</v>
          </cell>
          <cell r="S162" t="str">
            <v>Female</v>
          </cell>
          <cell r="AK162" t="str">
            <v>Land Owner</v>
          </cell>
          <cell r="AN162">
            <v>0</v>
          </cell>
          <cell r="AQ162">
            <v>0</v>
          </cell>
          <cell r="AS162" t="str">
            <v>Y</v>
          </cell>
          <cell r="BM162" t="str">
            <v>Residential</v>
          </cell>
          <cell r="BN162">
            <v>0</v>
          </cell>
          <cell r="BR162">
            <v>0.7142857142857143</v>
          </cell>
          <cell r="FQ162" t="str">
            <v>Need Displacement</v>
          </cell>
          <cell r="IB162">
            <v>0</v>
          </cell>
          <cell r="IC162" t="str">
            <v>Y</v>
          </cell>
          <cell r="ID162">
            <v>1</v>
          </cell>
          <cell r="IE162">
            <v>0</v>
          </cell>
          <cell r="IP162" t="str">
            <v>Owner</v>
          </cell>
          <cell r="IR162" t="str">
            <v>Home/Small-scale Industry</v>
          </cell>
          <cell r="IT162" t="str">
            <v>x</v>
          </cell>
          <cell r="IU162">
            <v>0</v>
          </cell>
        </row>
        <row r="163">
          <cell r="A163" t="str">
            <v>legal</v>
          </cell>
          <cell r="E163" t="str">
            <v>667 Mulawin st., Bancal ext., Meycauayan</v>
          </cell>
          <cell r="S163" t="str">
            <v>Male</v>
          </cell>
          <cell r="AK163" t="str">
            <v>Land Owner</v>
          </cell>
          <cell r="AN163">
            <v>0</v>
          </cell>
          <cell r="AQ163">
            <v>0</v>
          </cell>
          <cell r="AS163" t="str">
            <v>Y</v>
          </cell>
          <cell r="BM163" t="str">
            <v>Residential</v>
          </cell>
          <cell r="BN163">
            <v>0</v>
          </cell>
          <cell r="BR163">
            <v>0</v>
          </cell>
          <cell r="FQ163" t="str">
            <v>Need Displacement</v>
          </cell>
          <cell r="IB163" t="str">
            <v>Y</v>
          </cell>
          <cell r="IC163">
            <v>0</v>
          </cell>
          <cell r="ID163">
            <v>1</v>
          </cell>
          <cell r="IE163">
            <v>1</v>
          </cell>
          <cell r="IP163">
            <v>0</v>
          </cell>
          <cell r="IR163">
            <v>0</v>
          </cell>
          <cell r="IT163">
            <v>0</v>
          </cell>
          <cell r="IU163">
            <v>0</v>
          </cell>
        </row>
        <row r="164">
          <cell r="A164" t="str">
            <v>legal</v>
          </cell>
          <cell r="E164" t="str">
            <v>667 Mulawin st., Bancal ext., Meycauayan</v>
          </cell>
          <cell r="S164" t="str">
            <v>Male</v>
          </cell>
          <cell r="AK164" t="str">
            <v>Land Owner</v>
          </cell>
          <cell r="AN164">
            <v>0</v>
          </cell>
          <cell r="AQ164">
            <v>0</v>
          </cell>
          <cell r="AS164" t="str">
            <v>Y</v>
          </cell>
          <cell r="BM164" t="str">
            <v>Residential</v>
          </cell>
          <cell r="BN164">
            <v>1</v>
          </cell>
          <cell r="BR164">
            <v>0</v>
          </cell>
          <cell r="FQ164" t="str">
            <v>Need Displacement</v>
          </cell>
          <cell r="IB164" t="str">
            <v>Y</v>
          </cell>
          <cell r="IC164">
            <v>0</v>
          </cell>
          <cell r="ID164">
            <v>0</v>
          </cell>
          <cell r="IE164">
            <v>0</v>
          </cell>
          <cell r="IP164">
            <v>0</v>
          </cell>
          <cell r="IR164">
            <v>0</v>
          </cell>
          <cell r="IT164">
            <v>0</v>
          </cell>
          <cell r="IU164">
            <v>0</v>
          </cell>
        </row>
        <row r="165">
          <cell r="A165" t="str">
            <v>legal</v>
          </cell>
          <cell r="E165" t="str">
            <v>667 Mulawin st., Bancal ext., Meycauayan</v>
          </cell>
          <cell r="S165" t="str">
            <v>Male</v>
          </cell>
          <cell r="AK165" t="str">
            <v>Land Owner</v>
          </cell>
          <cell r="AN165">
            <v>0</v>
          </cell>
          <cell r="AQ165">
            <v>0</v>
          </cell>
          <cell r="AS165" t="str">
            <v>Y</v>
          </cell>
          <cell r="BM165" t="str">
            <v>Residential</v>
          </cell>
          <cell r="BN165">
            <v>0</v>
          </cell>
          <cell r="BR165">
            <v>0</v>
          </cell>
          <cell r="FQ165" t="str">
            <v>Need Displacement</v>
          </cell>
          <cell r="IB165">
            <v>0</v>
          </cell>
          <cell r="IC165">
            <v>0</v>
          </cell>
          <cell r="ID165">
            <v>0</v>
          </cell>
          <cell r="IE165">
            <v>0</v>
          </cell>
          <cell r="IP165">
            <v>0</v>
          </cell>
          <cell r="IR165">
            <v>0</v>
          </cell>
          <cell r="IT165">
            <v>0</v>
          </cell>
          <cell r="IU165">
            <v>0</v>
          </cell>
        </row>
        <row r="166">
          <cell r="A166" t="str">
            <v>legal</v>
          </cell>
          <cell r="E166" t="str">
            <v>667 Mulawin st., Bancal ext., Meycauayan</v>
          </cell>
          <cell r="S166" t="str">
            <v>Male</v>
          </cell>
          <cell r="AK166" t="str">
            <v>Land Owner</v>
          </cell>
          <cell r="AN166">
            <v>0</v>
          </cell>
          <cell r="AQ166">
            <v>0</v>
          </cell>
          <cell r="AS166" t="str">
            <v>Y</v>
          </cell>
          <cell r="BM166" t="str">
            <v>Residential</v>
          </cell>
          <cell r="BN166">
            <v>0</v>
          </cell>
          <cell r="BR166">
            <v>0</v>
          </cell>
          <cell r="FQ166" t="str">
            <v>Need Displacement</v>
          </cell>
          <cell r="IB166">
            <v>0</v>
          </cell>
          <cell r="IC166">
            <v>0</v>
          </cell>
          <cell r="ID166">
            <v>0</v>
          </cell>
          <cell r="IE166">
            <v>0</v>
          </cell>
          <cell r="IP166">
            <v>0</v>
          </cell>
          <cell r="IR166">
            <v>0</v>
          </cell>
          <cell r="IT166">
            <v>0</v>
          </cell>
          <cell r="IU166">
            <v>0</v>
          </cell>
        </row>
        <row r="167">
          <cell r="A167" t="str">
            <v>legal</v>
          </cell>
          <cell r="E167" t="str">
            <v>667 Mulawin st., Bancal ext., Meycauayan</v>
          </cell>
          <cell r="S167" t="str">
            <v>Female</v>
          </cell>
          <cell r="AK167" t="str">
            <v>Land Owner</v>
          </cell>
          <cell r="AN167">
            <v>0</v>
          </cell>
          <cell r="AQ167">
            <v>0</v>
          </cell>
          <cell r="AS167" t="str">
            <v>Y</v>
          </cell>
          <cell r="BM167" t="str">
            <v>Residential</v>
          </cell>
          <cell r="BN167">
            <v>0</v>
          </cell>
          <cell r="BR167">
            <v>0</v>
          </cell>
          <cell r="FQ167" t="str">
            <v>Need Displacement</v>
          </cell>
          <cell r="IB167" t="str">
            <v>Y</v>
          </cell>
          <cell r="IC167" t="str">
            <v>Y</v>
          </cell>
          <cell r="ID167">
            <v>0</v>
          </cell>
          <cell r="IE167">
            <v>0</v>
          </cell>
          <cell r="IP167">
            <v>0</v>
          </cell>
          <cell r="IR167">
            <v>0</v>
          </cell>
          <cell r="IT167">
            <v>0</v>
          </cell>
          <cell r="IU167">
            <v>0</v>
          </cell>
        </row>
        <row r="168">
          <cell r="A168" t="str">
            <v>legal</v>
          </cell>
          <cell r="E168" t="str">
            <v>667 Mulawin st., Bancal ext., Meycauayan</v>
          </cell>
          <cell r="S168" t="str">
            <v>Male</v>
          </cell>
          <cell r="AK168" t="str">
            <v>Land Owner</v>
          </cell>
          <cell r="AN168">
            <v>0</v>
          </cell>
          <cell r="AQ168">
            <v>0</v>
          </cell>
          <cell r="AS168" t="str">
            <v>Y</v>
          </cell>
          <cell r="BM168" t="str">
            <v>Residential</v>
          </cell>
          <cell r="BN168">
            <v>0</v>
          </cell>
          <cell r="BR168">
            <v>0</v>
          </cell>
          <cell r="FQ168" t="str">
            <v>Need Displacement</v>
          </cell>
          <cell r="IB168">
            <v>0</v>
          </cell>
          <cell r="IC168">
            <v>0</v>
          </cell>
          <cell r="ID168" t="str">
            <v>Y</v>
          </cell>
          <cell r="IE168">
            <v>0</v>
          </cell>
          <cell r="IP168">
            <v>0</v>
          </cell>
          <cell r="IR168">
            <v>0</v>
          </cell>
          <cell r="IT168">
            <v>0</v>
          </cell>
          <cell r="IU168">
            <v>0</v>
          </cell>
        </row>
        <row r="169">
          <cell r="A169" t="str">
            <v>legal</v>
          </cell>
          <cell r="E169" t="str">
            <v>678 Mulawin St.,Bancal, Meycauayan</v>
          </cell>
          <cell r="S169" t="str">
            <v>Female</v>
          </cell>
          <cell r="AK169" t="str">
            <v>Land Owner</v>
          </cell>
          <cell r="AN169">
            <v>0</v>
          </cell>
          <cell r="AQ169">
            <v>0</v>
          </cell>
          <cell r="AS169" t="str">
            <v>Y</v>
          </cell>
          <cell r="BM169" t="str">
            <v>Residential</v>
          </cell>
          <cell r="BN169">
            <v>0</v>
          </cell>
          <cell r="BR169">
            <v>1</v>
          </cell>
          <cell r="FQ169" t="str">
            <v>Need Displacement</v>
          </cell>
          <cell r="IB169">
            <v>0</v>
          </cell>
          <cell r="IC169" t="str">
            <v>Y</v>
          </cell>
          <cell r="ID169">
            <v>0</v>
          </cell>
          <cell r="IE169">
            <v>0</v>
          </cell>
          <cell r="IP169">
            <v>0</v>
          </cell>
          <cell r="IR169">
            <v>0</v>
          </cell>
          <cell r="IT169">
            <v>0</v>
          </cell>
          <cell r="IU169">
            <v>0</v>
          </cell>
        </row>
        <row r="170">
          <cell r="A170" t="str">
            <v>legal</v>
          </cell>
          <cell r="E170" t="str">
            <v>678 Mulawin st., Bancal ext., Meycauayan</v>
          </cell>
          <cell r="S170" t="str">
            <v>Female</v>
          </cell>
          <cell r="AK170" t="str">
            <v>Land Owner</v>
          </cell>
          <cell r="AN170">
            <v>0</v>
          </cell>
          <cell r="AQ170">
            <v>0</v>
          </cell>
          <cell r="AS170" t="str">
            <v>Y</v>
          </cell>
          <cell r="BM170" t="str">
            <v>Residential</v>
          </cell>
          <cell r="BN170">
            <v>0</v>
          </cell>
          <cell r="BR170">
            <v>1</v>
          </cell>
          <cell r="FQ170" t="str">
            <v>Need Displacement</v>
          </cell>
          <cell r="IB170" t="str">
            <v>Y</v>
          </cell>
          <cell r="IC170" t="str">
            <v>Y</v>
          </cell>
          <cell r="ID170">
            <v>0</v>
          </cell>
          <cell r="IE170">
            <v>0</v>
          </cell>
          <cell r="IP170">
            <v>0</v>
          </cell>
          <cell r="IR170">
            <v>0</v>
          </cell>
          <cell r="IT170">
            <v>0</v>
          </cell>
          <cell r="IU170">
            <v>0</v>
          </cell>
        </row>
        <row r="171">
          <cell r="A171" t="str">
            <v>legal</v>
          </cell>
          <cell r="E171" t="str">
            <v>678 Mulawin st., Bancal ext., Meycauayan</v>
          </cell>
          <cell r="S171" t="str">
            <v>Female</v>
          </cell>
          <cell r="AK171" t="str">
            <v>Land Owner</v>
          </cell>
          <cell r="AN171">
            <v>0</v>
          </cell>
          <cell r="AQ171">
            <v>0</v>
          </cell>
          <cell r="AS171" t="str">
            <v>Y</v>
          </cell>
          <cell r="BM171" t="str">
            <v>Residential</v>
          </cell>
          <cell r="BN171">
            <v>0</v>
          </cell>
          <cell r="BR171">
            <v>0.33333333333333331</v>
          </cell>
          <cell r="FQ171" t="str">
            <v>Need Displacement</v>
          </cell>
          <cell r="IB171">
            <v>0</v>
          </cell>
          <cell r="IC171" t="str">
            <v>Y</v>
          </cell>
          <cell r="ID171">
            <v>0</v>
          </cell>
          <cell r="IE171">
            <v>0</v>
          </cell>
          <cell r="IP171">
            <v>0</v>
          </cell>
          <cell r="IR171">
            <v>0</v>
          </cell>
          <cell r="IT171">
            <v>0</v>
          </cell>
          <cell r="IU171">
            <v>0</v>
          </cell>
        </row>
        <row r="172">
          <cell r="A172" t="str">
            <v>legal</v>
          </cell>
          <cell r="E172" t="str">
            <v>670 Mulawin st., Bancal Ext. Meycauayan</v>
          </cell>
          <cell r="S172" t="str">
            <v>Female</v>
          </cell>
          <cell r="AK172">
            <v>0</v>
          </cell>
          <cell r="AN172">
            <v>0</v>
          </cell>
          <cell r="AQ172">
            <v>0</v>
          </cell>
          <cell r="AS172" t="str">
            <v>Y</v>
          </cell>
          <cell r="BM172" t="str">
            <v>Residential</v>
          </cell>
          <cell r="BN172">
            <v>0</v>
          </cell>
          <cell r="BR172">
            <v>0</v>
          </cell>
          <cell r="FQ172">
            <v>0</v>
          </cell>
          <cell r="IB172">
            <v>0</v>
          </cell>
          <cell r="IC172" t="str">
            <v>Y</v>
          </cell>
          <cell r="ID172" t="str">
            <v>Y</v>
          </cell>
          <cell r="IE172">
            <v>0</v>
          </cell>
          <cell r="IP172">
            <v>0</v>
          </cell>
          <cell r="IR172">
            <v>0</v>
          </cell>
          <cell r="IT172">
            <v>0</v>
          </cell>
          <cell r="IU172">
            <v>0</v>
          </cell>
        </row>
        <row r="173">
          <cell r="A173" t="str">
            <v>legal</v>
          </cell>
          <cell r="E173" t="str">
            <v>670 Mulawin st., Bancal Ext. Meycauayan</v>
          </cell>
          <cell r="S173" t="str">
            <v>Male</v>
          </cell>
          <cell r="AK173" t="str">
            <v>Land Owner</v>
          </cell>
          <cell r="AN173">
            <v>0</v>
          </cell>
          <cell r="AQ173">
            <v>0</v>
          </cell>
          <cell r="AS173" t="str">
            <v>Y</v>
          </cell>
          <cell r="BM173" t="str">
            <v>Residential</v>
          </cell>
          <cell r="BN173">
            <v>0</v>
          </cell>
          <cell r="BR173">
            <v>1</v>
          </cell>
          <cell r="FQ173" t="str">
            <v>Need Displacement</v>
          </cell>
          <cell r="IB173" t="str">
            <v>Y</v>
          </cell>
          <cell r="IC173">
            <v>0</v>
          </cell>
          <cell r="ID173">
            <v>0</v>
          </cell>
          <cell r="IE173">
            <v>0</v>
          </cell>
          <cell r="IP173">
            <v>0</v>
          </cell>
          <cell r="IR173">
            <v>0</v>
          </cell>
          <cell r="IT173">
            <v>0</v>
          </cell>
          <cell r="IU173">
            <v>0</v>
          </cell>
        </row>
        <row r="174">
          <cell r="A174" t="str">
            <v>legal</v>
          </cell>
          <cell r="E174" t="str">
            <v>670 Mulawin st., Bancal Ext. Meycauayan</v>
          </cell>
          <cell r="S174" t="str">
            <v>Male</v>
          </cell>
          <cell r="AK174">
            <v>0</v>
          </cell>
          <cell r="AN174">
            <v>0</v>
          </cell>
          <cell r="AQ174">
            <v>0</v>
          </cell>
          <cell r="AS174">
            <v>0</v>
          </cell>
          <cell r="BM174" t="str">
            <v>Residential</v>
          </cell>
          <cell r="BN174">
            <v>0</v>
          </cell>
          <cell r="BR174">
            <v>0</v>
          </cell>
          <cell r="FQ174">
            <v>0</v>
          </cell>
          <cell r="IB174">
            <v>0</v>
          </cell>
          <cell r="IC174">
            <v>0</v>
          </cell>
          <cell r="ID174">
            <v>0</v>
          </cell>
          <cell r="IE174">
            <v>0</v>
          </cell>
          <cell r="IP174">
            <v>0</v>
          </cell>
          <cell r="IR174">
            <v>0</v>
          </cell>
          <cell r="IT174">
            <v>0</v>
          </cell>
          <cell r="IU174">
            <v>0</v>
          </cell>
        </row>
        <row r="175">
          <cell r="A175" t="str">
            <v>legal</v>
          </cell>
          <cell r="E175" t="str">
            <v>683 Mulawin St., Bancal Meycauyan Bulacan</v>
          </cell>
          <cell r="S175" t="str">
            <v>Male</v>
          </cell>
          <cell r="AK175" t="str">
            <v>Son of Land owner</v>
          </cell>
          <cell r="AN175">
            <v>0</v>
          </cell>
          <cell r="AQ175">
            <v>0</v>
          </cell>
          <cell r="AS175" t="str">
            <v>Y</v>
          </cell>
          <cell r="BM175" t="str">
            <v>Residential</v>
          </cell>
          <cell r="BN175">
            <v>0</v>
          </cell>
          <cell r="BR175">
            <v>1</v>
          </cell>
          <cell r="FQ175" t="str">
            <v>Need Displacement</v>
          </cell>
          <cell r="IB175">
            <v>0</v>
          </cell>
          <cell r="IC175">
            <v>0</v>
          </cell>
          <cell r="ID175">
            <v>0</v>
          </cell>
          <cell r="IE175">
            <v>1</v>
          </cell>
          <cell r="IP175">
            <v>0</v>
          </cell>
          <cell r="IR175">
            <v>0</v>
          </cell>
          <cell r="IT175">
            <v>0</v>
          </cell>
          <cell r="IU175">
            <v>0</v>
          </cell>
        </row>
        <row r="176">
          <cell r="A176" t="str">
            <v>legal</v>
          </cell>
          <cell r="E176" t="str">
            <v>683 Mulawin St., Bancal Meycauyan Bulacan</v>
          </cell>
          <cell r="S176" t="str">
            <v>Male</v>
          </cell>
          <cell r="AK176" t="str">
            <v>Son of Land owner</v>
          </cell>
          <cell r="AN176">
            <v>0</v>
          </cell>
          <cell r="AQ176">
            <v>0</v>
          </cell>
          <cell r="AS176">
            <v>0</v>
          </cell>
          <cell r="BM176" t="str">
            <v>Residential</v>
          </cell>
          <cell r="BN176">
            <v>0</v>
          </cell>
          <cell r="BR176">
            <v>0</v>
          </cell>
          <cell r="FQ176" t="str">
            <v>Need Displacement</v>
          </cell>
          <cell r="IB176">
            <v>0</v>
          </cell>
          <cell r="IC176">
            <v>0</v>
          </cell>
          <cell r="ID176">
            <v>0</v>
          </cell>
          <cell r="IE176">
            <v>0</v>
          </cell>
          <cell r="IP176">
            <v>0</v>
          </cell>
          <cell r="IR176">
            <v>0</v>
          </cell>
          <cell r="IT176">
            <v>0</v>
          </cell>
          <cell r="IU176">
            <v>0</v>
          </cell>
        </row>
        <row r="177">
          <cell r="A177" t="str">
            <v>legal</v>
          </cell>
          <cell r="E177" t="str">
            <v>683 Mulawin St., Bancal Meycauyan Bulacan</v>
          </cell>
          <cell r="S177" t="str">
            <v>Male</v>
          </cell>
          <cell r="AK177" t="str">
            <v>Son of Land owner</v>
          </cell>
          <cell r="AN177">
            <v>0</v>
          </cell>
          <cell r="AQ177">
            <v>0</v>
          </cell>
          <cell r="AS177">
            <v>0</v>
          </cell>
          <cell r="BM177" t="str">
            <v>Residential</v>
          </cell>
          <cell r="BN177">
            <v>1</v>
          </cell>
          <cell r="BR177">
            <v>0</v>
          </cell>
          <cell r="FQ177" t="str">
            <v>Need Displacement</v>
          </cell>
          <cell r="IB177" t="str">
            <v>Y</v>
          </cell>
          <cell r="IC177">
            <v>0</v>
          </cell>
          <cell r="ID177">
            <v>0</v>
          </cell>
          <cell r="IE177">
            <v>0</v>
          </cell>
          <cell r="IP177">
            <v>0</v>
          </cell>
          <cell r="IR177">
            <v>0</v>
          </cell>
          <cell r="IT177">
            <v>0</v>
          </cell>
          <cell r="IU177">
            <v>0</v>
          </cell>
        </row>
        <row r="178">
          <cell r="A178" t="str">
            <v>legal</v>
          </cell>
          <cell r="E178" t="str">
            <v>694 Mulawin St., Bancal Extension Meycauayan Bulacan</v>
          </cell>
          <cell r="S178" t="str">
            <v>Female</v>
          </cell>
          <cell r="AK178" t="str">
            <v>Land Owner</v>
          </cell>
          <cell r="AN178">
            <v>1</v>
          </cell>
          <cell r="AQ178">
            <v>0</v>
          </cell>
          <cell r="AS178" t="str">
            <v>Y</v>
          </cell>
          <cell r="BM178" t="str">
            <v>Residential</v>
          </cell>
          <cell r="BN178">
            <v>0</v>
          </cell>
          <cell r="BR178">
            <v>1</v>
          </cell>
          <cell r="FQ178" t="str">
            <v>Need Displacement</v>
          </cell>
          <cell r="IB178">
            <v>0</v>
          </cell>
          <cell r="IC178" t="str">
            <v>Y</v>
          </cell>
          <cell r="ID178">
            <v>0</v>
          </cell>
          <cell r="IE178">
            <v>0</v>
          </cell>
          <cell r="IP178">
            <v>0</v>
          </cell>
          <cell r="IR178">
            <v>0</v>
          </cell>
          <cell r="IT178">
            <v>0</v>
          </cell>
          <cell r="IU178">
            <v>0</v>
          </cell>
        </row>
        <row r="179">
          <cell r="A179" t="str">
            <v>legal</v>
          </cell>
          <cell r="E179" t="str">
            <v>670 (683) Mulawin St. Bancal Ext., Meycauayan Bulacan</v>
          </cell>
          <cell r="S179" t="str">
            <v>Male</v>
          </cell>
          <cell r="AK179" t="str">
            <v>Land Owner</v>
          </cell>
          <cell r="AN179">
            <v>1</v>
          </cell>
          <cell r="AQ179">
            <v>0</v>
          </cell>
          <cell r="AS179" t="str">
            <v>Y</v>
          </cell>
          <cell r="BM179" t="str">
            <v>Residential</v>
          </cell>
          <cell r="BN179">
            <v>0</v>
          </cell>
          <cell r="BR179">
            <v>0.5</v>
          </cell>
          <cell r="FQ179" t="str">
            <v>Need Displacement</v>
          </cell>
          <cell r="IB179">
            <v>0</v>
          </cell>
          <cell r="IC179">
            <v>0</v>
          </cell>
          <cell r="ID179">
            <v>1</v>
          </cell>
          <cell r="IE179">
            <v>0</v>
          </cell>
          <cell r="IP179">
            <v>0</v>
          </cell>
          <cell r="IR179">
            <v>0</v>
          </cell>
          <cell r="IT179">
            <v>0</v>
          </cell>
          <cell r="IU179">
            <v>0</v>
          </cell>
        </row>
        <row r="180">
          <cell r="A180" t="str">
            <v>legal</v>
          </cell>
          <cell r="E180" t="str">
            <v>670 (683) Mulawin St. Bancal Ext., Meycauayan Bulacan</v>
          </cell>
          <cell r="S180">
            <v>0</v>
          </cell>
          <cell r="AK180">
            <v>0</v>
          </cell>
          <cell r="AN180">
            <v>0</v>
          </cell>
          <cell r="AQ180">
            <v>0</v>
          </cell>
          <cell r="AS180">
            <v>0</v>
          </cell>
          <cell r="BM180">
            <v>0</v>
          </cell>
          <cell r="BN180">
            <v>0</v>
          </cell>
          <cell r="BR180">
            <v>0</v>
          </cell>
          <cell r="FQ180">
            <v>0</v>
          </cell>
          <cell r="IB180">
            <v>0</v>
          </cell>
          <cell r="IC180">
            <v>0</v>
          </cell>
          <cell r="ID180">
            <v>0</v>
          </cell>
          <cell r="IE180">
            <v>0</v>
          </cell>
          <cell r="IP180">
            <v>0</v>
          </cell>
          <cell r="IR180">
            <v>0</v>
          </cell>
          <cell r="IT180">
            <v>0</v>
          </cell>
          <cell r="IU180">
            <v>0</v>
          </cell>
        </row>
        <row r="181">
          <cell r="A181" t="str">
            <v>legal</v>
          </cell>
          <cell r="E181" t="str">
            <v>674 Mulawin st., Bancal ext., Meycauayan</v>
          </cell>
          <cell r="S181" t="str">
            <v>Male</v>
          </cell>
          <cell r="AK181" t="str">
            <v>Land Owner</v>
          </cell>
          <cell r="AN181">
            <v>0</v>
          </cell>
          <cell r="AQ181">
            <v>0</v>
          </cell>
          <cell r="AS181">
            <v>0</v>
          </cell>
          <cell r="BM181" t="str">
            <v>Residential</v>
          </cell>
          <cell r="BN181">
            <v>0</v>
          </cell>
          <cell r="BR181">
            <v>1</v>
          </cell>
          <cell r="FQ181" t="str">
            <v>Need Displacement</v>
          </cell>
          <cell r="IB181">
            <v>0</v>
          </cell>
          <cell r="IC181">
            <v>0</v>
          </cell>
          <cell r="ID181">
            <v>0</v>
          </cell>
          <cell r="IE181">
            <v>0</v>
          </cell>
          <cell r="IP181">
            <v>0</v>
          </cell>
          <cell r="IR181">
            <v>0</v>
          </cell>
          <cell r="IT181">
            <v>0</v>
          </cell>
          <cell r="IU181">
            <v>0</v>
          </cell>
        </row>
        <row r="182">
          <cell r="A182" t="str">
            <v>Legal</v>
          </cell>
          <cell r="E182" t="str">
            <v>674 Mulawin st., Bancal ext., Meycauayan</v>
          </cell>
          <cell r="S182" t="str">
            <v>Male</v>
          </cell>
          <cell r="AK182">
            <v>0</v>
          </cell>
          <cell r="AN182">
            <v>0</v>
          </cell>
          <cell r="AQ182">
            <v>0</v>
          </cell>
          <cell r="AS182">
            <v>0</v>
          </cell>
          <cell r="BM182" t="str">
            <v>Residential</v>
          </cell>
          <cell r="BN182">
            <v>0</v>
          </cell>
          <cell r="BR182">
            <v>0</v>
          </cell>
          <cell r="FQ182" t="str">
            <v>Need Displacement</v>
          </cell>
          <cell r="IB182" t="str">
            <v>Y</v>
          </cell>
          <cell r="IC182">
            <v>0</v>
          </cell>
          <cell r="ID182">
            <v>0</v>
          </cell>
          <cell r="IE182">
            <v>0</v>
          </cell>
          <cell r="IP182">
            <v>0</v>
          </cell>
          <cell r="IR182">
            <v>0</v>
          </cell>
          <cell r="IT182">
            <v>0</v>
          </cell>
          <cell r="IU182">
            <v>0</v>
          </cell>
        </row>
        <row r="183">
          <cell r="A183" t="str">
            <v>Legal</v>
          </cell>
          <cell r="E183" t="str">
            <v>674 Mulawin st., Bancal ext., Meycauayan</v>
          </cell>
          <cell r="S183" t="str">
            <v>Female</v>
          </cell>
          <cell r="AK183" t="str">
            <v>Land Owner</v>
          </cell>
          <cell r="AN183">
            <v>0</v>
          </cell>
          <cell r="AQ183">
            <v>0</v>
          </cell>
          <cell r="AS183" t="str">
            <v>Y</v>
          </cell>
          <cell r="BM183" t="str">
            <v>Residential</v>
          </cell>
          <cell r="BN183">
            <v>0</v>
          </cell>
          <cell r="BR183">
            <v>1</v>
          </cell>
          <cell r="FQ183" t="str">
            <v>Need Displacement</v>
          </cell>
          <cell r="IB183" t="str">
            <v>Y</v>
          </cell>
          <cell r="IC183" t="str">
            <v>Y</v>
          </cell>
          <cell r="ID183">
            <v>0</v>
          </cell>
          <cell r="IE183">
            <v>0</v>
          </cell>
          <cell r="IP183">
            <v>0</v>
          </cell>
          <cell r="IR183">
            <v>0</v>
          </cell>
          <cell r="IT183">
            <v>0</v>
          </cell>
          <cell r="IU183">
            <v>0</v>
          </cell>
        </row>
        <row r="184">
          <cell r="A184" t="str">
            <v>legal</v>
          </cell>
          <cell r="E184" t="str">
            <v>684 Mulawin st., Bancal ext., Meycauayan</v>
          </cell>
          <cell r="S184" t="str">
            <v>MALE</v>
          </cell>
          <cell r="AK184" t="str">
            <v>Land Owner</v>
          </cell>
          <cell r="AN184">
            <v>0</v>
          </cell>
          <cell r="AQ184">
            <v>0</v>
          </cell>
          <cell r="AS184">
            <v>0</v>
          </cell>
          <cell r="BM184" t="str">
            <v>Residential</v>
          </cell>
          <cell r="BN184">
            <v>0</v>
          </cell>
          <cell r="BR184">
            <v>0.5</v>
          </cell>
          <cell r="FQ184" t="str">
            <v>Need Displacement</v>
          </cell>
          <cell r="IB184">
            <v>0</v>
          </cell>
          <cell r="IC184">
            <v>0</v>
          </cell>
          <cell r="ID184">
            <v>0</v>
          </cell>
          <cell r="IE184">
            <v>0</v>
          </cell>
          <cell r="IP184">
            <v>0</v>
          </cell>
          <cell r="IR184">
            <v>0</v>
          </cell>
          <cell r="IT184">
            <v>0</v>
          </cell>
          <cell r="IU184">
            <v>0</v>
          </cell>
        </row>
        <row r="185">
          <cell r="A185" t="str">
            <v>legal</v>
          </cell>
          <cell r="E185" t="str">
            <v>684 Mulawin st., Bancal ext., Meycauayan</v>
          </cell>
          <cell r="S185" t="str">
            <v>Female</v>
          </cell>
          <cell r="AK185" t="str">
            <v>Daughter of Land Owner</v>
          </cell>
          <cell r="AN185">
            <v>0</v>
          </cell>
          <cell r="AQ185">
            <v>0</v>
          </cell>
          <cell r="AS185" t="str">
            <v>Y</v>
          </cell>
          <cell r="BM185" t="str">
            <v>Residential</v>
          </cell>
          <cell r="BN185">
            <v>1</v>
          </cell>
          <cell r="BR185">
            <v>0.48214285714285715</v>
          </cell>
          <cell r="FQ185" t="str">
            <v>Need Displacement</v>
          </cell>
          <cell r="IB185">
            <v>0</v>
          </cell>
          <cell r="IC185" t="str">
            <v>Y</v>
          </cell>
          <cell r="ID185">
            <v>2</v>
          </cell>
          <cell r="IE185">
            <v>0</v>
          </cell>
          <cell r="IP185">
            <v>0</v>
          </cell>
          <cell r="IR185">
            <v>0</v>
          </cell>
          <cell r="IT185">
            <v>0</v>
          </cell>
          <cell r="IU185">
            <v>0</v>
          </cell>
        </row>
        <row r="186">
          <cell r="A186" t="str">
            <v>legal</v>
          </cell>
          <cell r="E186" t="str">
            <v>687 Mulawin st., Purok Tugatog Meycauayan Bulacan</v>
          </cell>
          <cell r="S186">
            <v>0</v>
          </cell>
          <cell r="AK186" t="str">
            <v>Land Owner</v>
          </cell>
          <cell r="AN186">
            <v>0</v>
          </cell>
          <cell r="AQ186">
            <v>0</v>
          </cell>
          <cell r="AS186">
            <v>0</v>
          </cell>
          <cell r="BM186" t="str">
            <v>Residential/Commercial</v>
          </cell>
          <cell r="BN186">
            <v>0</v>
          </cell>
          <cell r="BR186">
            <v>0</v>
          </cell>
          <cell r="FQ186">
            <v>0</v>
          </cell>
          <cell r="IB186">
            <v>0</v>
          </cell>
          <cell r="IC186">
            <v>0</v>
          </cell>
          <cell r="ID186">
            <v>0</v>
          </cell>
          <cell r="IE186">
            <v>0</v>
          </cell>
          <cell r="IP186">
            <v>0</v>
          </cell>
          <cell r="IR186">
            <v>0</v>
          </cell>
          <cell r="IT186">
            <v>0</v>
          </cell>
          <cell r="IU186">
            <v>0</v>
          </cell>
        </row>
        <row r="187">
          <cell r="A187" t="str">
            <v>legal</v>
          </cell>
          <cell r="E187" t="str">
            <v>687 Mulawin st., Purok Tugatog Meycauayan Bulacan</v>
          </cell>
          <cell r="S187" t="str">
            <v>Male</v>
          </cell>
          <cell r="AK187">
            <v>0</v>
          </cell>
          <cell r="AN187">
            <v>0</v>
          </cell>
          <cell r="AQ187">
            <v>0</v>
          </cell>
          <cell r="AS187">
            <v>0</v>
          </cell>
          <cell r="BM187" t="str">
            <v>Residential</v>
          </cell>
          <cell r="BN187">
            <v>1</v>
          </cell>
          <cell r="BR187">
            <v>1</v>
          </cell>
          <cell r="FQ187" t="str">
            <v>Need Displacement</v>
          </cell>
          <cell r="IB187">
            <v>0</v>
          </cell>
          <cell r="IC187">
            <v>0</v>
          </cell>
          <cell r="ID187">
            <v>0</v>
          </cell>
          <cell r="IE187">
            <v>0</v>
          </cell>
          <cell r="IP187">
            <v>0</v>
          </cell>
          <cell r="IR187">
            <v>0</v>
          </cell>
          <cell r="IT187">
            <v>0</v>
          </cell>
          <cell r="IU187">
            <v>0</v>
          </cell>
        </row>
        <row r="188">
          <cell r="A188" t="str">
            <v>legal</v>
          </cell>
          <cell r="E188" t="str">
            <v>687 Mulawin st., Purok Tugatog Meycauayan Bulacan</v>
          </cell>
          <cell r="S188" t="str">
            <v>Male</v>
          </cell>
          <cell r="AK188">
            <v>0</v>
          </cell>
          <cell r="AN188">
            <v>0</v>
          </cell>
          <cell r="AQ188">
            <v>0</v>
          </cell>
          <cell r="AS188">
            <v>0</v>
          </cell>
          <cell r="BM188" t="str">
            <v>Residential/Commercial</v>
          </cell>
          <cell r="BN188">
            <v>0</v>
          </cell>
          <cell r="BR188">
            <v>0.5</v>
          </cell>
          <cell r="FQ188" t="str">
            <v>Need Displacement</v>
          </cell>
          <cell r="IB188">
            <v>0</v>
          </cell>
          <cell r="IC188">
            <v>0</v>
          </cell>
          <cell r="ID188">
            <v>0</v>
          </cell>
          <cell r="IE188">
            <v>0</v>
          </cell>
          <cell r="IP188" t="str">
            <v>Renter</v>
          </cell>
          <cell r="IR188" t="str">
            <v>Trading/retailing</v>
          </cell>
          <cell r="IT188" t="str">
            <v>x</v>
          </cell>
          <cell r="IU188">
            <v>0</v>
          </cell>
        </row>
        <row r="189">
          <cell r="A189" t="str">
            <v>legal</v>
          </cell>
          <cell r="E189" t="str">
            <v>687 Mulawin st., Bancal ext., Meycauayan Bulacan</v>
          </cell>
          <cell r="S189">
            <v>0</v>
          </cell>
          <cell r="AK189" t="str">
            <v>Land Owner</v>
          </cell>
          <cell r="AN189">
            <v>0</v>
          </cell>
          <cell r="AQ189">
            <v>0</v>
          </cell>
          <cell r="AS189" t="str">
            <v>Y</v>
          </cell>
          <cell r="BM189" t="str">
            <v>Residential</v>
          </cell>
          <cell r="BN189">
            <v>0</v>
          </cell>
          <cell r="BR189">
            <v>0.33333333333333331</v>
          </cell>
          <cell r="FQ189" t="str">
            <v>Can Stay</v>
          </cell>
          <cell r="IB189">
            <v>0</v>
          </cell>
          <cell r="IC189" t="str">
            <v>Y</v>
          </cell>
          <cell r="ID189" t="str">
            <v>Y</v>
          </cell>
          <cell r="IE189">
            <v>0</v>
          </cell>
          <cell r="IP189" t="str">
            <v>Owner</v>
          </cell>
          <cell r="IR189" t="str">
            <v>Home/Small-scale Industry</v>
          </cell>
          <cell r="IT189">
            <v>0</v>
          </cell>
          <cell r="IU189" t="str">
            <v>x</v>
          </cell>
        </row>
        <row r="190">
          <cell r="A190" t="str">
            <v>legal</v>
          </cell>
          <cell r="E190" t="str">
            <v>687 Mulawin st., Bancal ext., Meycauayan Bulacan</v>
          </cell>
          <cell r="S190">
            <v>0</v>
          </cell>
          <cell r="AK190" t="str">
            <v>Dweller</v>
          </cell>
          <cell r="AN190">
            <v>0</v>
          </cell>
          <cell r="AQ190">
            <v>0</v>
          </cell>
          <cell r="AS190" t="str">
            <v>Y</v>
          </cell>
          <cell r="BM190" t="str">
            <v>Residential</v>
          </cell>
          <cell r="BN190">
            <v>0</v>
          </cell>
          <cell r="BR190">
            <v>0</v>
          </cell>
          <cell r="FQ190" t="str">
            <v>Need Displacement</v>
          </cell>
          <cell r="IB190">
            <v>0</v>
          </cell>
          <cell r="IC190">
            <v>0</v>
          </cell>
          <cell r="ID190">
            <v>0</v>
          </cell>
          <cell r="IE190">
            <v>0</v>
          </cell>
          <cell r="IP190">
            <v>0</v>
          </cell>
          <cell r="IR190">
            <v>0</v>
          </cell>
          <cell r="IT190">
            <v>0</v>
          </cell>
          <cell r="IU190">
            <v>0</v>
          </cell>
        </row>
        <row r="191">
          <cell r="A191" t="str">
            <v>legal</v>
          </cell>
          <cell r="E191" t="str">
            <v>687 Mulawin st., Bancal ext., Meycauayan Bulacan</v>
          </cell>
          <cell r="S191">
            <v>0</v>
          </cell>
          <cell r="AK191" t="str">
            <v>Dweller</v>
          </cell>
          <cell r="AN191">
            <v>0</v>
          </cell>
          <cell r="AQ191">
            <v>0</v>
          </cell>
          <cell r="AS191" t="str">
            <v>Y</v>
          </cell>
          <cell r="BM191" t="str">
            <v>Residential</v>
          </cell>
          <cell r="BN191">
            <v>0</v>
          </cell>
          <cell r="BR191">
            <v>0</v>
          </cell>
          <cell r="FQ191" t="str">
            <v>Need Displacement</v>
          </cell>
          <cell r="IB191">
            <v>0</v>
          </cell>
          <cell r="IC191">
            <v>0</v>
          </cell>
          <cell r="ID191" t="str">
            <v>Y</v>
          </cell>
          <cell r="IE191">
            <v>0</v>
          </cell>
          <cell r="IP191">
            <v>0</v>
          </cell>
          <cell r="IR191">
            <v>0</v>
          </cell>
          <cell r="IT191">
            <v>0</v>
          </cell>
          <cell r="IU191">
            <v>0</v>
          </cell>
        </row>
        <row r="192">
          <cell r="A192" t="str">
            <v>legal</v>
          </cell>
          <cell r="E192" t="str">
            <v>689 Mulawin st., Bancal ext., Meycauayan</v>
          </cell>
          <cell r="S192">
            <v>0</v>
          </cell>
          <cell r="AK192" t="str">
            <v>Land Owner</v>
          </cell>
          <cell r="AN192">
            <v>0.11458333333333333</v>
          </cell>
          <cell r="AQ192">
            <v>0</v>
          </cell>
          <cell r="AS192" t="str">
            <v>Y</v>
          </cell>
          <cell r="BM192" t="str">
            <v>Residential</v>
          </cell>
          <cell r="BN192">
            <v>0</v>
          </cell>
          <cell r="BR192">
            <v>0.46875</v>
          </cell>
          <cell r="FQ192" t="str">
            <v>Need Displacement</v>
          </cell>
          <cell r="IB192">
            <v>0</v>
          </cell>
          <cell r="IC192">
            <v>0</v>
          </cell>
          <cell r="ID192">
            <v>0</v>
          </cell>
          <cell r="IE192">
            <v>0</v>
          </cell>
          <cell r="IP192">
            <v>0</v>
          </cell>
          <cell r="IR192">
            <v>0</v>
          </cell>
          <cell r="IT192">
            <v>0</v>
          </cell>
          <cell r="IU192">
            <v>0</v>
          </cell>
        </row>
        <row r="193">
          <cell r="A193" t="str">
            <v>isf</v>
          </cell>
          <cell r="E193" t="str">
            <v>864 Mulawin st. Bancal Ext., Meycauayan</v>
          </cell>
          <cell r="S193" t="str">
            <v>Female</v>
          </cell>
          <cell r="AK193" t="str">
            <v>Land Owner</v>
          </cell>
          <cell r="AN193">
            <v>0</v>
          </cell>
          <cell r="AQ193">
            <v>0</v>
          </cell>
          <cell r="AS193">
            <v>0</v>
          </cell>
          <cell r="BM193" t="str">
            <v>Residential</v>
          </cell>
          <cell r="BN193">
            <v>0</v>
          </cell>
          <cell r="BR193">
            <v>1</v>
          </cell>
          <cell r="FQ193" t="str">
            <v>Need Displacement</v>
          </cell>
          <cell r="IB193" t="str">
            <v>Y</v>
          </cell>
          <cell r="IC193" t="str">
            <v>Y</v>
          </cell>
          <cell r="ID193">
            <v>2</v>
          </cell>
          <cell r="IE193">
            <v>1</v>
          </cell>
          <cell r="IP193" t="str">
            <v>Owner</v>
          </cell>
          <cell r="IR193" t="str">
            <v>Home/Small-scale Industry</v>
          </cell>
          <cell r="IT193">
            <v>0</v>
          </cell>
          <cell r="IU193" t="str">
            <v>x</v>
          </cell>
        </row>
        <row r="194">
          <cell r="A194" t="str">
            <v>isf</v>
          </cell>
          <cell r="E194" t="str">
            <v>864 Mulawin st. Bancal Ext., Meycauayan</v>
          </cell>
          <cell r="S194" t="str">
            <v>Female</v>
          </cell>
          <cell r="AK194">
            <v>0</v>
          </cell>
          <cell r="AN194">
            <v>0</v>
          </cell>
          <cell r="AQ194">
            <v>0</v>
          </cell>
          <cell r="AS194">
            <v>0</v>
          </cell>
          <cell r="BM194" t="str">
            <v>Residential</v>
          </cell>
          <cell r="BN194">
            <v>0</v>
          </cell>
          <cell r="BR194">
            <v>0.5</v>
          </cell>
          <cell r="FQ194" t="str">
            <v>Need Displacement</v>
          </cell>
          <cell r="IB194" t="str">
            <v>Y</v>
          </cell>
          <cell r="IC194" t="str">
            <v>Y</v>
          </cell>
          <cell r="ID194">
            <v>0</v>
          </cell>
          <cell r="IE194">
            <v>0</v>
          </cell>
          <cell r="IP194">
            <v>0</v>
          </cell>
          <cell r="IR194">
            <v>0</v>
          </cell>
          <cell r="IT194">
            <v>0</v>
          </cell>
          <cell r="IU194">
            <v>0</v>
          </cell>
        </row>
        <row r="195">
          <cell r="A195" t="str">
            <v>isf</v>
          </cell>
          <cell r="E195" t="str">
            <v>684 Mulawin st., Bancal Ext., Meycauayan Bulacan</v>
          </cell>
          <cell r="S195" t="str">
            <v>Female</v>
          </cell>
          <cell r="AK195">
            <v>0</v>
          </cell>
          <cell r="AN195">
            <v>0</v>
          </cell>
          <cell r="AQ195">
            <v>0</v>
          </cell>
          <cell r="AS195">
            <v>0</v>
          </cell>
          <cell r="BM195" t="str">
            <v>Residential</v>
          </cell>
          <cell r="BN195">
            <v>0</v>
          </cell>
          <cell r="BR195">
            <v>0</v>
          </cell>
          <cell r="FQ195">
            <v>0</v>
          </cell>
          <cell r="IB195" t="str">
            <v>Y</v>
          </cell>
          <cell r="IC195" t="str">
            <v>Y</v>
          </cell>
          <cell r="ID195">
            <v>0</v>
          </cell>
          <cell r="IE195">
            <v>1</v>
          </cell>
          <cell r="IP195">
            <v>0</v>
          </cell>
          <cell r="IR195">
            <v>0</v>
          </cell>
          <cell r="IT195">
            <v>0</v>
          </cell>
          <cell r="IU195">
            <v>0</v>
          </cell>
        </row>
        <row r="196">
          <cell r="A196" t="str">
            <v>isf</v>
          </cell>
          <cell r="E196" t="str">
            <v>684 Mulawin st., Bancal Ext., Meycauayan Bulacan</v>
          </cell>
          <cell r="S196" t="str">
            <v>Male</v>
          </cell>
          <cell r="AK196">
            <v>0</v>
          </cell>
          <cell r="AN196">
            <v>0</v>
          </cell>
          <cell r="AQ196">
            <v>0</v>
          </cell>
          <cell r="AS196">
            <v>0</v>
          </cell>
          <cell r="BM196" t="str">
            <v>Residential</v>
          </cell>
          <cell r="BN196">
            <v>0</v>
          </cell>
          <cell r="BR196">
            <v>0</v>
          </cell>
          <cell r="FQ196">
            <v>0</v>
          </cell>
          <cell r="IB196" t="str">
            <v>Y</v>
          </cell>
          <cell r="IC196">
            <v>0</v>
          </cell>
          <cell r="ID196">
            <v>1</v>
          </cell>
          <cell r="IE196">
            <v>0</v>
          </cell>
          <cell r="IP196">
            <v>0</v>
          </cell>
          <cell r="IR196">
            <v>0</v>
          </cell>
          <cell r="IT196">
            <v>0</v>
          </cell>
          <cell r="IU196">
            <v>0</v>
          </cell>
        </row>
        <row r="197">
          <cell r="A197" t="str">
            <v>legal</v>
          </cell>
          <cell r="E197" t="str">
            <v>684 Mulawin st., Bancal Ext., Meycauayan Bulacan</v>
          </cell>
          <cell r="S197">
            <v>0</v>
          </cell>
          <cell r="AK197">
            <v>0</v>
          </cell>
          <cell r="AN197">
            <v>0</v>
          </cell>
          <cell r="AQ197">
            <v>0</v>
          </cell>
          <cell r="AS197" t="str">
            <v>Y</v>
          </cell>
          <cell r="BM197" t="str">
            <v>Residential</v>
          </cell>
          <cell r="BN197">
            <v>0</v>
          </cell>
          <cell r="BR197">
            <v>0</v>
          </cell>
          <cell r="FQ197" t="str">
            <v>Can Stay</v>
          </cell>
          <cell r="IB197">
            <v>0</v>
          </cell>
          <cell r="IC197">
            <v>0</v>
          </cell>
          <cell r="ID197" t="str">
            <v>Y</v>
          </cell>
          <cell r="IE197">
            <v>0</v>
          </cell>
          <cell r="IP197">
            <v>0</v>
          </cell>
          <cell r="IR197">
            <v>0</v>
          </cell>
          <cell r="IT197">
            <v>0</v>
          </cell>
          <cell r="IU197">
            <v>0</v>
          </cell>
        </row>
        <row r="198">
          <cell r="A198" t="str">
            <v>isf</v>
          </cell>
          <cell r="E198" t="str">
            <v xml:space="preserve">684 Mulawin St., Bancal Ext., Meycauayan Bulacan </v>
          </cell>
          <cell r="S198" t="str">
            <v>Male</v>
          </cell>
          <cell r="AK198" t="str">
            <v>Occupant of land free</v>
          </cell>
          <cell r="AN198">
            <v>0</v>
          </cell>
          <cell r="AQ198">
            <v>0</v>
          </cell>
          <cell r="AS198">
            <v>0</v>
          </cell>
          <cell r="BM198" t="str">
            <v>Residential</v>
          </cell>
          <cell r="BN198">
            <v>0</v>
          </cell>
          <cell r="BR198">
            <v>1</v>
          </cell>
          <cell r="FQ198" t="str">
            <v>Need Displacement</v>
          </cell>
          <cell r="IB198">
            <v>0</v>
          </cell>
          <cell r="IC198">
            <v>0</v>
          </cell>
          <cell r="ID198">
            <v>1</v>
          </cell>
          <cell r="IE198">
            <v>0</v>
          </cell>
          <cell r="IP198">
            <v>0</v>
          </cell>
          <cell r="IR198">
            <v>0</v>
          </cell>
          <cell r="IT198">
            <v>0</v>
          </cell>
          <cell r="IU198">
            <v>0</v>
          </cell>
        </row>
        <row r="199">
          <cell r="A199" t="str">
            <v>isf</v>
          </cell>
          <cell r="E199" t="str">
            <v>684 Mulawin St., Bancal Ext., Meycauayan Bulacan</v>
          </cell>
          <cell r="S199" t="str">
            <v>Male</v>
          </cell>
          <cell r="AK199" t="str">
            <v>Occupant free</v>
          </cell>
          <cell r="AN199">
            <v>0</v>
          </cell>
          <cell r="AQ199">
            <v>0</v>
          </cell>
          <cell r="AS199">
            <v>0</v>
          </cell>
          <cell r="BM199" t="str">
            <v>Residential</v>
          </cell>
          <cell r="BN199">
            <v>0</v>
          </cell>
          <cell r="BR199">
            <v>0.37173913043478263</v>
          </cell>
          <cell r="FQ199" t="str">
            <v>Need Displacement</v>
          </cell>
          <cell r="IB199">
            <v>0</v>
          </cell>
          <cell r="IC199">
            <v>0</v>
          </cell>
          <cell r="ID199">
            <v>0</v>
          </cell>
          <cell r="IE199">
            <v>0</v>
          </cell>
          <cell r="IP199">
            <v>0</v>
          </cell>
          <cell r="IR199">
            <v>0</v>
          </cell>
          <cell r="IT199">
            <v>0</v>
          </cell>
          <cell r="IU199">
            <v>0</v>
          </cell>
        </row>
        <row r="200">
          <cell r="A200" t="str">
            <v>isf</v>
          </cell>
          <cell r="E200" t="str">
            <v>684 Mulawin St., Bancal Ext., Meycauayan Bulacan</v>
          </cell>
          <cell r="S200" t="str">
            <v>Male</v>
          </cell>
          <cell r="AK200" t="str">
            <v>Occupant free</v>
          </cell>
          <cell r="AN200">
            <v>0</v>
          </cell>
          <cell r="AQ200">
            <v>0</v>
          </cell>
          <cell r="AS200">
            <v>0</v>
          </cell>
          <cell r="BM200" t="str">
            <v>Residential/Commercial</v>
          </cell>
          <cell r="BN200">
            <v>0</v>
          </cell>
          <cell r="BR200">
            <v>0.19117647058823528</v>
          </cell>
          <cell r="FQ200" t="str">
            <v>Can Stay</v>
          </cell>
          <cell r="IB200">
            <v>0</v>
          </cell>
          <cell r="IC200">
            <v>0</v>
          </cell>
          <cell r="ID200">
            <v>0</v>
          </cell>
          <cell r="IE200">
            <v>0</v>
          </cell>
          <cell r="IP200" t="str">
            <v>Owner</v>
          </cell>
          <cell r="IR200" t="str">
            <v>Trading/retailing</v>
          </cell>
          <cell r="IT200">
            <v>0</v>
          </cell>
          <cell r="IU200" t="str">
            <v/>
          </cell>
        </row>
        <row r="201">
          <cell r="A201" t="str">
            <v>isf</v>
          </cell>
          <cell r="E201" t="str">
            <v xml:space="preserve">684 Mulawin St., Bancal Ext., Meycauayan Bulcan </v>
          </cell>
          <cell r="S201" t="str">
            <v>Male</v>
          </cell>
          <cell r="AK201">
            <v>0</v>
          </cell>
          <cell r="AN201">
            <v>0</v>
          </cell>
          <cell r="AQ201">
            <v>0</v>
          </cell>
          <cell r="AS201">
            <v>0</v>
          </cell>
          <cell r="BM201" t="str">
            <v>Residential</v>
          </cell>
          <cell r="BN201">
            <v>0</v>
          </cell>
          <cell r="BR201">
            <v>5.7142857142857141E-2</v>
          </cell>
          <cell r="FQ201" t="str">
            <v>Can Stay</v>
          </cell>
          <cell r="IB201" t="str">
            <v>Y</v>
          </cell>
          <cell r="IC201">
            <v>0</v>
          </cell>
          <cell r="ID201">
            <v>1</v>
          </cell>
          <cell r="IE201">
            <v>0</v>
          </cell>
          <cell r="IP201">
            <v>0</v>
          </cell>
          <cell r="IR201">
            <v>0</v>
          </cell>
          <cell r="IT201">
            <v>0</v>
          </cell>
          <cell r="IU201">
            <v>0</v>
          </cell>
        </row>
        <row r="202">
          <cell r="A202" t="str">
            <v>isf</v>
          </cell>
          <cell r="E202" t="str">
            <v>ACA Cmpd., Malanday Valenzuela</v>
          </cell>
          <cell r="S202" t="str">
            <v>Male</v>
          </cell>
          <cell r="AK202" t="str">
            <v>ISF</v>
          </cell>
          <cell r="AN202">
            <v>0</v>
          </cell>
          <cell r="AQ202">
            <v>0</v>
          </cell>
          <cell r="AS202">
            <v>0</v>
          </cell>
          <cell r="BM202" t="str">
            <v>Residential</v>
          </cell>
          <cell r="BN202">
            <v>0</v>
          </cell>
          <cell r="BR202">
            <v>1</v>
          </cell>
          <cell r="FQ202" t="str">
            <v>Need Displacement</v>
          </cell>
          <cell r="IB202">
            <v>0</v>
          </cell>
          <cell r="IC202">
            <v>0</v>
          </cell>
          <cell r="ID202">
            <v>0</v>
          </cell>
          <cell r="IE202">
            <v>0</v>
          </cell>
          <cell r="IP202">
            <v>0</v>
          </cell>
          <cell r="IR202">
            <v>0</v>
          </cell>
          <cell r="IT202">
            <v>0</v>
          </cell>
          <cell r="IU202">
            <v>0</v>
          </cell>
        </row>
        <row r="203">
          <cell r="A203" t="str">
            <v>isf</v>
          </cell>
          <cell r="E203" t="str">
            <v>ACA Cmpd., Malanday Valenzuela</v>
          </cell>
          <cell r="S203">
            <v>0</v>
          </cell>
          <cell r="AK203" t="str">
            <v>ISF</v>
          </cell>
          <cell r="AN203">
            <v>0</v>
          </cell>
          <cell r="AQ203">
            <v>0</v>
          </cell>
          <cell r="AS203">
            <v>0</v>
          </cell>
          <cell r="BM203" t="str">
            <v>Absentee</v>
          </cell>
          <cell r="BN203">
            <v>0</v>
          </cell>
          <cell r="BR203">
            <v>1</v>
          </cell>
          <cell r="FQ203" t="str">
            <v>Need Displacement</v>
          </cell>
          <cell r="IB203">
            <v>0</v>
          </cell>
          <cell r="IC203">
            <v>0</v>
          </cell>
          <cell r="ID203">
            <v>0</v>
          </cell>
          <cell r="IE203">
            <v>0</v>
          </cell>
          <cell r="IP203">
            <v>0</v>
          </cell>
          <cell r="IR203">
            <v>0</v>
          </cell>
          <cell r="IT203">
            <v>0</v>
          </cell>
          <cell r="IU203">
            <v>0</v>
          </cell>
        </row>
        <row r="204">
          <cell r="A204" t="str">
            <v>isf</v>
          </cell>
          <cell r="E204" t="str">
            <v>ACA rd., Malanday Valenzuela</v>
          </cell>
          <cell r="S204" t="str">
            <v>Male</v>
          </cell>
          <cell r="AK204" t="str">
            <v>ISF</v>
          </cell>
          <cell r="AN204">
            <v>0</v>
          </cell>
          <cell r="AQ204">
            <v>0</v>
          </cell>
          <cell r="AS204">
            <v>0</v>
          </cell>
          <cell r="BM204" t="str">
            <v>Residential</v>
          </cell>
          <cell r="BN204">
            <v>1</v>
          </cell>
          <cell r="BR204">
            <v>1</v>
          </cell>
          <cell r="FQ204" t="str">
            <v>Need Displacement</v>
          </cell>
          <cell r="IB204">
            <v>0</v>
          </cell>
          <cell r="IC204">
            <v>0</v>
          </cell>
          <cell r="ID204">
            <v>0</v>
          </cell>
          <cell r="IE204">
            <v>1</v>
          </cell>
          <cell r="IP204" t="str">
            <v>Owner</v>
          </cell>
          <cell r="IR204" t="str">
            <v>Agri-business, Vegetable Vendor</v>
          </cell>
          <cell r="IT204">
            <v>0</v>
          </cell>
          <cell r="IU204" t="str">
            <v>x</v>
          </cell>
        </row>
        <row r="205">
          <cell r="A205" t="str">
            <v>isf</v>
          </cell>
          <cell r="E205" t="str">
            <v>Malanday Valenzuela City</v>
          </cell>
          <cell r="S205" t="str">
            <v>Male</v>
          </cell>
          <cell r="AK205" t="str">
            <v>ISF</v>
          </cell>
          <cell r="AN205">
            <v>0</v>
          </cell>
          <cell r="AQ205">
            <v>0</v>
          </cell>
          <cell r="AS205">
            <v>0</v>
          </cell>
          <cell r="BM205" t="str">
            <v>Residential</v>
          </cell>
          <cell r="BN205">
            <v>1</v>
          </cell>
          <cell r="BR205">
            <v>1</v>
          </cell>
          <cell r="FQ205" t="str">
            <v>Need Displacement</v>
          </cell>
          <cell r="IB205">
            <v>0</v>
          </cell>
          <cell r="IC205">
            <v>0</v>
          </cell>
          <cell r="ID205">
            <v>0</v>
          </cell>
          <cell r="IE205">
            <v>0</v>
          </cell>
          <cell r="IP205">
            <v>0</v>
          </cell>
          <cell r="IR205">
            <v>0</v>
          </cell>
          <cell r="IT205">
            <v>0</v>
          </cell>
          <cell r="IU205">
            <v>0</v>
          </cell>
        </row>
        <row r="206">
          <cell r="A206" t="str">
            <v>isf</v>
          </cell>
          <cell r="E206" t="str">
            <v>Malanday (Bukirin) Valenzuela City</v>
          </cell>
          <cell r="S206" t="str">
            <v>Male</v>
          </cell>
          <cell r="AK206" t="str">
            <v>ISF</v>
          </cell>
          <cell r="AN206">
            <v>0</v>
          </cell>
          <cell r="AQ206">
            <v>0</v>
          </cell>
          <cell r="AS206">
            <v>0</v>
          </cell>
          <cell r="BM206" t="str">
            <v>Residential</v>
          </cell>
          <cell r="BN206">
            <v>1</v>
          </cell>
          <cell r="BR206">
            <v>1</v>
          </cell>
          <cell r="FQ206" t="str">
            <v>Need Displacement</v>
          </cell>
          <cell r="IB206" t="str">
            <v>Y</v>
          </cell>
          <cell r="IC206">
            <v>0</v>
          </cell>
          <cell r="ID206">
            <v>1</v>
          </cell>
          <cell r="IE206">
            <v>0</v>
          </cell>
          <cell r="IP206" t="str">
            <v>Owner</v>
          </cell>
          <cell r="IR206" t="str">
            <v>Home/Small-scale Industry</v>
          </cell>
          <cell r="IT206">
            <v>0</v>
          </cell>
          <cell r="IU206" t="str">
            <v>x</v>
          </cell>
        </row>
        <row r="207">
          <cell r="A207" t="str">
            <v>isf</v>
          </cell>
          <cell r="E207" t="str">
            <v>Malanday (Bukirin) Valezuela City</v>
          </cell>
          <cell r="S207" t="str">
            <v>Male</v>
          </cell>
          <cell r="AK207" t="str">
            <v>ISF</v>
          </cell>
          <cell r="AN207">
            <v>0</v>
          </cell>
          <cell r="AQ207">
            <v>0</v>
          </cell>
          <cell r="AS207">
            <v>0</v>
          </cell>
          <cell r="BM207" t="str">
            <v>Residential</v>
          </cell>
          <cell r="BN207">
            <v>1</v>
          </cell>
          <cell r="BR207">
            <v>1</v>
          </cell>
          <cell r="FQ207" t="str">
            <v>Need Displacement</v>
          </cell>
          <cell r="IB207">
            <v>0</v>
          </cell>
          <cell r="IC207">
            <v>0</v>
          </cell>
          <cell r="ID207">
            <v>0</v>
          </cell>
          <cell r="IE207">
            <v>0</v>
          </cell>
          <cell r="IP207" t="str">
            <v>Owner</v>
          </cell>
          <cell r="IR207" t="str">
            <v>Transport</v>
          </cell>
          <cell r="IT207" t="str">
            <v>x</v>
          </cell>
          <cell r="IU207">
            <v>0</v>
          </cell>
        </row>
        <row r="208">
          <cell r="A208" t="str">
            <v>isf</v>
          </cell>
          <cell r="E208" t="str">
            <v>Malanday, Valenzuela City</v>
          </cell>
          <cell r="S208" t="str">
            <v>Male</v>
          </cell>
          <cell r="AK208" t="str">
            <v>ISF</v>
          </cell>
          <cell r="AN208">
            <v>0</v>
          </cell>
          <cell r="AQ208">
            <v>0</v>
          </cell>
          <cell r="AS208">
            <v>0</v>
          </cell>
          <cell r="BM208" t="str">
            <v>Residential</v>
          </cell>
          <cell r="BN208">
            <v>0</v>
          </cell>
          <cell r="BR208">
            <v>1</v>
          </cell>
          <cell r="FQ208" t="str">
            <v>Need Displacement</v>
          </cell>
          <cell r="IB208" t="str">
            <v>Y</v>
          </cell>
          <cell r="IC208">
            <v>0</v>
          </cell>
          <cell r="ID208">
            <v>0</v>
          </cell>
          <cell r="IE208">
            <v>0</v>
          </cell>
          <cell r="IP208">
            <v>0</v>
          </cell>
          <cell r="IR208">
            <v>0</v>
          </cell>
          <cell r="IT208">
            <v>0</v>
          </cell>
          <cell r="IU208">
            <v>0</v>
          </cell>
        </row>
        <row r="209">
          <cell r="A209" t="str">
            <v>isf</v>
          </cell>
          <cell r="E209" t="str">
            <v>Malanday, Valenzuela City</v>
          </cell>
          <cell r="S209" t="str">
            <v>Male</v>
          </cell>
          <cell r="AK209" t="str">
            <v>ISF</v>
          </cell>
          <cell r="AN209">
            <v>0</v>
          </cell>
          <cell r="AQ209">
            <v>0</v>
          </cell>
          <cell r="AS209">
            <v>0</v>
          </cell>
          <cell r="BM209" t="str">
            <v>Residential</v>
          </cell>
          <cell r="BN209">
            <v>1</v>
          </cell>
          <cell r="BR209">
            <v>1</v>
          </cell>
          <cell r="FQ209" t="str">
            <v>Need Displacement</v>
          </cell>
          <cell r="IB209">
            <v>0</v>
          </cell>
          <cell r="IC209">
            <v>0</v>
          </cell>
          <cell r="ID209">
            <v>0</v>
          </cell>
          <cell r="IE209">
            <v>1</v>
          </cell>
          <cell r="IP209">
            <v>0</v>
          </cell>
          <cell r="IR209">
            <v>0</v>
          </cell>
          <cell r="IT209">
            <v>0</v>
          </cell>
          <cell r="IU209">
            <v>0</v>
          </cell>
        </row>
        <row r="210">
          <cell r="A210" t="str">
            <v>isf</v>
          </cell>
          <cell r="E210" t="str">
            <v>Malanday, Valenzuela City</v>
          </cell>
          <cell r="S210" t="str">
            <v>Male</v>
          </cell>
          <cell r="AK210" t="str">
            <v>ISF</v>
          </cell>
          <cell r="AN210">
            <v>0</v>
          </cell>
          <cell r="AQ210">
            <v>0</v>
          </cell>
          <cell r="AS210">
            <v>0</v>
          </cell>
          <cell r="BM210" t="str">
            <v>Residential</v>
          </cell>
          <cell r="BN210">
            <v>2</v>
          </cell>
          <cell r="BR210">
            <v>1</v>
          </cell>
          <cell r="FQ210" t="str">
            <v>Need Displacement</v>
          </cell>
          <cell r="IB210">
            <v>0</v>
          </cell>
          <cell r="IC210">
            <v>0</v>
          </cell>
          <cell r="ID210">
            <v>1</v>
          </cell>
          <cell r="IE210">
            <v>0</v>
          </cell>
          <cell r="IP210" t="str">
            <v>Owner</v>
          </cell>
          <cell r="IR210" t="str">
            <v>Home/Small-scale Industry</v>
          </cell>
          <cell r="IT210">
            <v>0</v>
          </cell>
          <cell r="IU210" t="str">
            <v>x</v>
          </cell>
        </row>
        <row r="211">
          <cell r="A211" t="str">
            <v>isf</v>
          </cell>
          <cell r="E211" t="str">
            <v>ACA Cmpd., Bukirin Malanday Valenuela City</v>
          </cell>
          <cell r="S211" t="str">
            <v>Male</v>
          </cell>
          <cell r="AK211" t="str">
            <v>ISF</v>
          </cell>
          <cell r="AN211">
            <v>0</v>
          </cell>
          <cell r="AQ211">
            <v>0</v>
          </cell>
          <cell r="AS211">
            <v>0</v>
          </cell>
          <cell r="BM211" t="str">
            <v>Residential</v>
          </cell>
          <cell r="BN211">
            <v>0</v>
          </cell>
          <cell r="BR211">
            <v>1</v>
          </cell>
          <cell r="FQ211" t="str">
            <v>Need Displacement</v>
          </cell>
          <cell r="IB211" t="str">
            <v>Y</v>
          </cell>
          <cell r="IC211">
            <v>0</v>
          </cell>
          <cell r="ID211">
            <v>1</v>
          </cell>
          <cell r="IE211">
            <v>0</v>
          </cell>
          <cell r="IP211">
            <v>0</v>
          </cell>
          <cell r="IR211">
            <v>0</v>
          </cell>
          <cell r="IT211">
            <v>0</v>
          </cell>
          <cell r="IU211">
            <v>0</v>
          </cell>
        </row>
        <row r="212">
          <cell r="A212" t="str">
            <v>isf</v>
          </cell>
          <cell r="E212" t="str">
            <v>ACA Rd. Malanday Valenzuela City</v>
          </cell>
          <cell r="S212" t="str">
            <v>Male</v>
          </cell>
          <cell r="AK212" t="str">
            <v>ISF</v>
          </cell>
          <cell r="AN212">
            <v>0</v>
          </cell>
          <cell r="AQ212">
            <v>0</v>
          </cell>
          <cell r="AS212">
            <v>0</v>
          </cell>
          <cell r="BM212" t="str">
            <v>Residential</v>
          </cell>
          <cell r="BN212">
            <v>1</v>
          </cell>
          <cell r="BR212">
            <v>1</v>
          </cell>
          <cell r="FQ212" t="str">
            <v>Need Displacement</v>
          </cell>
          <cell r="IB212">
            <v>0</v>
          </cell>
          <cell r="IC212">
            <v>0</v>
          </cell>
          <cell r="ID212">
            <v>0</v>
          </cell>
          <cell r="IE212">
            <v>0</v>
          </cell>
          <cell r="IP212">
            <v>0</v>
          </cell>
          <cell r="IR212">
            <v>0</v>
          </cell>
          <cell r="IT212">
            <v>0</v>
          </cell>
          <cell r="IU212">
            <v>0</v>
          </cell>
        </row>
        <row r="213">
          <cell r="A213" t="str">
            <v>isf</v>
          </cell>
          <cell r="E213" t="str">
            <v>ACA, Malanday, Valenzuela City</v>
          </cell>
          <cell r="S213" t="str">
            <v>Male</v>
          </cell>
          <cell r="AK213" t="str">
            <v>ISF</v>
          </cell>
          <cell r="AN213">
            <v>0</v>
          </cell>
          <cell r="AQ213">
            <v>0</v>
          </cell>
          <cell r="AS213">
            <v>0</v>
          </cell>
          <cell r="BM213" t="str">
            <v>Residential</v>
          </cell>
          <cell r="BN213">
            <v>2</v>
          </cell>
          <cell r="BR213">
            <v>1</v>
          </cell>
          <cell r="FQ213" t="str">
            <v>Need Displacement</v>
          </cell>
          <cell r="IB213">
            <v>0</v>
          </cell>
          <cell r="IC213">
            <v>0</v>
          </cell>
          <cell r="ID213">
            <v>0</v>
          </cell>
          <cell r="IE213">
            <v>0</v>
          </cell>
          <cell r="IP213">
            <v>0</v>
          </cell>
          <cell r="IR213">
            <v>0</v>
          </cell>
          <cell r="IT213">
            <v>0</v>
          </cell>
          <cell r="IU213">
            <v>0</v>
          </cell>
        </row>
        <row r="214">
          <cell r="A214" t="str">
            <v>Absentee</v>
          </cell>
          <cell r="E214" t="str">
            <v>ACA, Malanday, Valenzuela City</v>
          </cell>
          <cell r="S214">
            <v>0</v>
          </cell>
          <cell r="AK214" t="str">
            <v>ISF</v>
          </cell>
          <cell r="AN214">
            <v>0</v>
          </cell>
          <cell r="AQ214">
            <v>0</v>
          </cell>
          <cell r="AS214">
            <v>0</v>
          </cell>
          <cell r="BM214" t="str">
            <v>Absentee</v>
          </cell>
          <cell r="BN214">
            <v>0</v>
          </cell>
          <cell r="BR214">
            <v>1</v>
          </cell>
          <cell r="FQ214" t="str">
            <v>Need Displacement</v>
          </cell>
          <cell r="IB214">
            <v>0</v>
          </cell>
          <cell r="IC214">
            <v>0</v>
          </cell>
          <cell r="ID214">
            <v>0</v>
          </cell>
          <cell r="IE214">
            <v>0</v>
          </cell>
          <cell r="IP214">
            <v>0</v>
          </cell>
          <cell r="IR214">
            <v>0</v>
          </cell>
          <cell r="IT214">
            <v>0</v>
          </cell>
          <cell r="IU214">
            <v>0</v>
          </cell>
        </row>
        <row r="215">
          <cell r="A215" t="str">
            <v>isf</v>
          </cell>
          <cell r="E215" t="str">
            <v>ACA, Malanday, Valenzuela City</v>
          </cell>
          <cell r="S215" t="str">
            <v>Male</v>
          </cell>
          <cell r="AK215" t="str">
            <v>ISF</v>
          </cell>
          <cell r="AN215">
            <v>0</v>
          </cell>
          <cell r="AQ215">
            <v>0</v>
          </cell>
          <cell r="AS215">
            <v>0</v>
          </cell>
          <cell r="BM215" t="str">
            <v>Residential</v>
          </cell>
          <cell r="BN215">
            <v>1</v>
          </cell>
          <cell r="BR215">
            <v>1</v>
          </cell>
          <cell r="FQ215" t="str">
            <v>Need Displacement</v>
          </cell>
          <cell r="IB215">
            <v>0</v>
          </cell>
          <cell r="IC215">
            <v>0</v>
          </cell>
          <cell r="ID215">
            <v>0</v>
          </cell>
          <cell r="IE215">
            <v>0</v>
          </cell>
          <cell r="IP215">
            <v>0</v>
          </cell>
          <cell r="IR215">
            <v>0</v>
          </cell>
          <cell r="IT215">
            <v>0</v>
          </cell>
          <cell r="IU215">
            <v>0</v>
          </cell>
        </row>
        <row r="216">
          <cell r="A216" t="str">
            <v>isf</v>
          </cell>
          <cell r="E216" t="str">
            <v>ACA, Malanday, Valenzuela City</v>
          </cell>
          <cell r="S216" t="str">
            <v>Male</v>
          </cell>
          <cell r="AK216" t="str">
            <v>ISF</v>
          </cell>
          <cell r="AN216">
            <v>0</v>
          </cell>
          <cell r="AQ216">
            <v>0</v>
          </cell>
          <cell r="AS216">
            <v>0</v>
          </cell>
          <cell r="BM216" t="str">
            <v>Residential</v>
          </cell>
          <cell r="BN216">
            <v>0</v>
          </cell>
          <cell r="BR216">
            <v>1</v>
          </cell>
          <cell r="FQ216" t="str">
            <v>Need Displacement</v>
          </cell>
          <cell r="IB216" t="str">
            <v>Y</v>
          </cell>
          <cell r="IC216">
            <v>0</v>
          </cell>
          <cell r="ID216">
            <v>0</v>
          </cell>
          <cell r="IE216">
            <v>0</v>
          </cell>
          <cell r="IP216">
            <v>0</v>
          </cell>
          <cell r="IR216">
            <v>0</v>
          </cell>
          <cell r="IT216">
            <v>0</v>
          </cell>
          <cell r="IU216">
            <v>0</v>
          </cell>
        </row>
        <row r="217">
          <cell r="A217" t="str">
            <v>isf</v>
          </cell>
          <cell r="E217" t="str">
            <v>ACA, Malanday, Valenzuela City</v>
          </cell>
          <cell r="S217" t="str">
            <v>Male</v>
          </cell>
          <cell r="AK217" t="str">
            <v>ISF</v>
          </cell>
          <cell r="AN217">
            <v>0</v>
          </cell>
          <cell r="AQ217">
            <v>0</v>
          </cell>
          <cell r="AS217">
            <v>0</v>
          </cell>
          <cell r="BM217" t="str">
            <v>Residential</v>
          </cell>
          <cell r="BN217">
            <v>0</v>
          </cell>
          <cell r="BR217">
            <v>1</v>
          </cell>
          <cell r="FQ217" t="str">
            <v>Need Displacement</v>
          </cell>
          <cell r="IB217">
            <v>0</v>
          </cell>
          <cell r="IC217">
            <v>0</v>
          </cell>
          <cell r="ID217">
            <v>0</v>
          </cell>
          <cell r="IE217">
            <v>0</v>
          </cell>
          <cell r="IP217">
            <v>0</v>
          </cell>
          <cell r="IR217">
            <v>0</v>
          </cell>
          <cell r="IT217">
            <v>0</v>
          </cell>
          <cell r="IU217">
            <v>0</v>
          </cell>
        </row>
        <row r="218">
          <cell r="A218" t="str">
            <v>isf</v>
          </cell>
          <cell r="E218" t="str">
            <v>ACA, Malanday, Valenzuela City</v>
          </cell>
          <cell r="S218" t="str">
            <v>Male</v>
          </cell>
          <cell r="AK218" t="str">
            <v>ISF</v>
          </cell>
          <cell r="AN218">
            <v>0</v>
          </cell>
          <cell r="AQ218">
            <v>0</v>
          </cell>
          <cell r="AS218">
            <v>0</v>
          </cell>
          <cell r="BM218" t="str">
            <v>Residential</v>
          </cell>
          <cell r="BN218">
            <v>1</v>
          </cell>
          <cell r="BR218">
            <v>1</v>
          </cell>
          <cell r="FQ218" t="str">
            <v>Need Displacement</v>
          </cell>
          <cell r="IB218" t="str">
            <v>Y</v>
          </cell>
          <cell r="IC218">
            <v>0</v>
          </cell>
          <cell r="ID218">
            <v>0</v>
          </cell>
          <cell r="IE218">
            <v>0</v>
          </cell>
          <cell r="IP218">
            <v>0</v>
          </cell>
          <cell r="IR218">
            <v>0</v>
          </cell>
          <cell r="IT218">
            <v>0</v>
          </cell>
          <cell r="IU218">
            <v>0</v>
          </cell>
        </row>
        <row r="219">
          <cell r="A219" t="str">
            <v>isf</v>
          </cell>
          <cell r="E219" t="str">
            <v>ACA, Malanday, Valenzuela City</v>
          </cell>
          <cell r="S219" t="str">
            <v>Male</v>
          </cell>
          <cell r="AK219" t="str">
            <v>ISF</v>
          </cell>
          <cell r="AN219">
            <v>0</v>
          </cell>
          <cell r="AQ219">
            <v>0</v>
          </cell>
          <cell r="AS219">
            <v>0</v>
          </cell>
          <cell r="BM219" t="str">
            <v>Residential</v>
          </cell>
          <cell r="BN219">
            <v>1</v>
          </cell>
          <cell r="BR219">
            <v>0</v>
          </cell>
          <cell r="FQ219" t="str">
            <v>Need Displacement</v>
          </cell>
          <cell r="IB219">
            <v>0</v>
          </cell>
          <cell r="IC219">
            <v>0</v>
          </cell>
          <cell r="ID219">
            <v>0</v>
          </cell>
          <cell r="IE219">
            <v>0</v>
          </cell>
          <cell r="IP219">
            <v>0</v>
          </cell>
          <cell r="IR219">
            <v>0</v>
          </cell>
          <cell r="IT219">
            <v>0</v>
          </cell>
          <cell r="IU219">
            <v>0</v>
          </cell>
        </row>
        <row r="220">
          <cell r="A220" t="str">
            <v>isf</v>
          </cell>
          <cell r="E220" t="str">
            <v>ACA Rd. Malanday Valenzuela City</v>
          </cell>
          <cell r="S220" t="str">
            <v>Male</v>
          </cell>
          <cell r="AK220" t="str">
            <v>ISF</v>
          </cell>
          <cell r="AN220">
            <v>0</v>
          </cell>
          <cell r="AQ220">
            <v>0</v>
          </cell>
          <cell r="AS220">
            <v>0</v>
          </cell>
          <cell r="BM220">
            <v>0</v>
          </cell>
          <cell r="BN220">
            <v>1</v>
          </cell>
          <cell r="BR220">
            <v>1</v>
          </cell>
          <cell r="FQ220" t="str">
            <v>Need Displacement</v>
          </cell>
          <cell r="IB220">
            <v>0</v>
          </cell>
          <cell r="IC220">
            <v>0</v>
          </cell>
          <cell r="ID220">
            <v>0</v>
          </cell>
          <cell r="IE220">
            <v>0</v>
          </cell>
          <cell r="IP220" t="str">
            <v>Owner</v>
          </cell>
          <cell r="IR220" t="str">
            <v>Agri-business</v>
          </cell>
          <cell r="IT220">
            <v>0</v>
          </cell>
          <cell r="IU220" t="str">
            <v>x</v>
          </cell>
        </row>
        <row r="221">
          <cell r="A221" t="str">
            <v>isf</v>
          </cell>
          <cell r="E221" t="str">
            <v>ACA NFA, Malanday Valenzuela City</v>
          </cell>
          <cell r="S221">
            <v>0</v>
          </cell>
          <cell r="AK221" t="str">
            <v>ISF</v>
          </cell>
          <cell r="AN221">
            <v>0</v>
          </cell>
          <cell r="AQ221">
            <v>0</v>
          </cell>
          <cell r="AS221">
            <v>0</v>
          </cell>
          <cell r="BM221" t="str">
            <v>Residential</v>
          </cell>
          <cell r="BN221">
            <v>0</v>
          </cell>
          <cell r="BR221">
            <v>1</v>
          </cell>
          <cell r="FQ221" t="str">
            <v>Need Displacement</v>
          </cell>
          <cell r="IB221">
            <v>0</v>
          </cell>
          <cell r="IC221">
            <v>0</v>
          </cell>
          <cell r="ID221">
            <v>0</v>
          </cell>
          <cell r="IE221">
            <v>0</v>
          </cell>
          <cell r="IP221">
            <v>0</v>
          </cell>
          <cell r="IR221">
            <v>0</v>
          </cell>
          <cell r="IT221">
            <v>0</v>
          </cell>
          <cell r="IU221">
            <v>0</v>
          </cell>
        </row>
        <row r="222">
          <cell r="A222" t="str">
            <v>Legal</v>
          </cell>
          <cell r="E222" t="str">
            <v>Malanday, Valenzuela City</v>
          </cell>
          <cell r="S222">
            <v>0</v>
          </cell>
          <cell r="AK222" t="str">
            <v>NLRC Compound</v>
          </cell>
          <cell r="AN222">
            <v>0</v>
          </cell>
          <cell r="AQ222">
            <v>0</v>
          </cell>
          <cell r="AS222">
            <v>0</v>
          </cell>
          <cell r="BM222" t="str">
            <v>Industrial</v>
          </cell>
          <cell r="BN222">
            <v>0</v>
          </cell>
          <cell r="BR222">
            <v>0</v>
          </cell>
          <cell r="FQ222">
            <v>0</v>
          </cell>
          <cell r="IB222">
            <v>0</v>
          </cell>
          <cell r="IC222">
            <v>0</v>
          </cell>
          <cell r="ID222">
            <v>0</v>
          </cell>
          <cell r="IE222">
            <v>0</v>
          </cell>
          <cell r="IP222">
            <v>0</v>
          </cell>
          <cell r="IR222">
            <v>0</v>
          </cell>
          <cell r="IT222">
            <v>0</v>
          </cell>
          <cell r="IU222">
            <v>0</v>
          </cell>
        </row>
        <row r="223">
          <cell r="A223" t="str">
            <v>legal</v>
          </cell>
          <cell r="E223" t="str">
            <v>Malanday, Valenzuela City</v>
          </cell>
          <cell r="S223">
            <v>0</v>
          </cell>
          <cell r="AK223">
            <v>0</v>
          </cell>
          <cell r="AN223">
            <v>0</v>
          </cell>
          <cell r="AQ223">
            <v>0</v>
          </cell>
          <cell r="AS223">
            <v>0</v>
          </cell>
          <cell r="BM223" t="str">
            <v>Industrial</v>
          </cell>
          <cell r="BN223">
            <v>0</v>
          </cell>
          <cell r="BR223">
            <v>1</v>
          </cell>
          <cell r="FQ223" t="str">
            <v>Need Displacement</v>
          </cell>
          <cell r="IB223">
            <v>0</v>
          </cell>
          <cell r="IC223">
            <v>0</v>
          </cell>
          <cell r="ID223">
            <v>0</v>
          </cell>
          <cell r="IE223">
            <v>0</v>
          </cell>
          <cell r="IP223">
            <v>0</v>
          </cell>
          <cell r="IR223">
            <v>0</v>
          </cell>
          <cell r="IT223">
            <v>0</v>
          </cell>
          <cell r="IU223">
            <v>0</v>
          </cell>
        </row>
        <row r="224">
          <cell r="A224" t="str">
            <v>legal</v>
          </cell>
          <cell r="E224" t="str">
            <v>269 Mc Arthur Hi-Way, Dalandanan, Valenzuela City</v>
          </cell>
          <cell r="S224" t="str">
            <v>Male</v>
          </cell>
          <cell r="AK224">
            <v>0</v>
          </cell>
          <cell r="AN224">
            <v>0</v>
          </cell>
          <cell r="AQ224">
            <v>0</v>
          </cell>
          <cell r="AS224" t="str">
            <v>Y</v>
          </cell>
          <cell r="BM224" t="str">
            <v>Residential</v>
          </cell>
          <cell r="BN224">
            <v>0</v>
          </cell>
          <cell r="BR224">
            <v>0.6875</v>
          </cell>
          <cell r="FQ224" t="str">
            <v>Need Displacement</v>
          </cell>
          <cell r="IB224">
            <v>0</v>
          </cell>
          <cell r="IC224">
            <v>0</v>
          </cell>
          <cell r="ID224">
            <v>1</v>
          </cell>
          <cell r="IE224">
            <v>1</v>
          </cell>
          <cell r="IP224">
            <v>0</v>
          </cell>
          <cell r="IR224">
            <v>0</v>
          </cell>
          <cell r="IT224">
            <v>0</v>
          </cell>
          <cell r="IU224">
            <v>0</v>
          </cell>
        </row>
        <row r="225">
          <cell r="A225" t="str">
            <v>legal</v>
          </cell>
          <cell r="E225" t="str">
            <v>269 Mc Arthur Hi-Way, Dalandanan, Valenzuela City</v>
          </cell>
          <cell r="S225">
            <v>0</v>
          </cell>
          <cell r="AK225" t="str">
            <v>Owner</v>
          </cell>
          <cell r="AN225">
            <v>0</v>
          </cell>
          <cell r="AQ225">
            <v>0</v>
          </cell>
          <cell r="AS225" t="str">
            <v>Y</v>
          </cell>
          <cell r="BM225" t="str">
            <v>Residential/Commercial</v>
          </cell>
          <cell r="BN225">
            <v>0</v>
          </cell>
          <cell r="BR225">
            <v>0.51953125</v>
          </cell>
          <cell r="FQ225">
            <v>0</v>
          </cell>
          <cell r="IB225">
            <v>0</v>
          </cell>
          <cell r="IC225">
            <v>0</v>
          </cell>
          <cell r="ID225" t="str">
            <v>Y</v>
          </cell>
          <cell r="IE225" t="str">
            <v>Y</v>
          </cell>
          <cell r="IP225" t="str">
            <v>Owner</v>
          </cell>
          <cell r="IR225" t="str">
            <v>Trading/retailing</v>
          </cell>
          <cell r="IT225">
            <v>0</v>
          </cell>
          <cell r="IU225" t="str">
            <v>x</v>
          </cell>
        </row>
        <row r="226">
          <cell r="A226" t="str">
            <v>legal</v>
          </cell>
          <cell r="E226" t="str">
            <v>269 Mc Arthur Hi-Way, Dalandanan, Valenzuela City</v>
          </cell>
          <cell r="S226">
            <v>0</v>
          </cell>
          <cell r="AK226" t="str">
            <v>Owner</v>
          </cell>
          <cell r="AN226">
            <v>0</v>
          </cell>
          <cell r="AQ226">
            <v>0</v>
          </cell>
          <cell r="AS226" t="str">
            <v>Y</v>
          </cell>
          <cell r="BM226" t="str">
            <v>Residential</v>
          </cell>
          <cell r="BN226">
            <v>0</v>
          </cell>
          <cell r="BR226">
            <v>0.50728155339805825</v>
          </cell>
          <cell r="FQ226">
            <v>0</v>
          </cell>
          <cell r="IB226">
            <v>0</v>
          </cell>
          <cell r="IC226">
            <v>0</v>
          </cell>
          <cell r="ID226">
            <v>0</v>
          </cell>
          <cell r="IE226">
            <v>0</v>
          </cell>
          <cell r="IP226">
            <v>0</v>
          </cell>
          <cell r="IR226">
            <v>0</v>
          </cell>
          <cell r="IT226">
            <v>0</v>
          </cell>
          <cell r="IU226">
            <v>0</v>
          </cell>
        </row>
        <row r="227">
          <cell r="A227" t="str">
            <v>legal</v>
          </cell>
          <cell r="E227" t="str">
            <v>269 Mc Arthur Hi-Way, Dalandanan, Valenzuela City</v>
          </cell>
          <cell r="S227">
            <v>0</v>
          </cell>
          <cell r="AK227">
            <v>0</v>
          </cell>
          <cell r="AN227">
            <v>0</v>
          </cell>
          <cell r="AQ227">
            <v>0</v>
          </cell>
          <cell r="AS227" t="str">
            <v>Y</v>
          </cell>
          <cell r="BM227" t="str">
            <v>Residential</v>
          </cell>
          <cell r="BN227">
            <v>0</v>
          </cell>
          <cell r="BR227">
            <v>0</v>
          </cell>
          <cell r="FQ227" t="str">
            <v>Need Displacement</v>
          </cell>
          <cell r="IB227">
            <v>0</v>
          </cell>
          <cell r="IC227">
            <v>0</v>
          </cell>
          <cell r="ID227" t="str">
            <v>Y</v>
          </cell>
          <cell r="IE227" t="str">
            <v>Y</v>
          </cell>
          <cell r="IP227">
            <v>0</v>
          </cell>
          <cell r="IR227">
            <v>0</v>
          </cell>
          <cell r="IT227">
            <v>0</v>
          </cell>
          <cell r="IU227">
            <v>0</v>
          </cell>
        </row>
        <row r="228">
          <cell r="A228" t="str">
            <v>legal</v>
          </cell>
          <cell r="E228" t="str">
            <v>269 Mc Arthur Hi-Way, Dalandanan, Valenzuela City</v>
          </cell>
          <cell r="S228">
            <v>0</v>
          </cell>
          <cell r="AK228" t="str">
            <v>Owner</v>
          </cell>
          <cell r="AN228">
            <v>0</v>
          </cell>
          <cell r="AQ228">
            <v>0</v>
          </cell>
          <cell r="AS228" t="str">
            <v>Y</v>
          </cell>
          <cell r="BM228" t="str">
            <v>Residential/Commercial</v>
          </cell>
          <cell r="BN228">
            <v>0</v>
          </cell>
          <cell r="BR228">
            <v>0.32608695652173914</v>
          </cell>
          <cell r="FQ228" t="str">
            <v>Can stay</v>
          </cell>
          <cell r="IB228" t="str">
            <v>Y</v>
          </cell>
          <cell r="IC228" t="str">
            <v>Y</v>
          </cell>
          <cell r="ID228">
            <v>1</v>
          </cell>
          <cell r="IE228">
            <v>0</v>
          </cell>
          <cell r="IP228" t="str">
            <v>Owner</v>
          </cell>
          <cell r="IR228" t="str">
            <v>Home/Small-scale Industry</v>
          </cell>
          <cell r="IT228">
            <v>0</v>
          </cell>
          <cell r="IU228" t="str">
            <v>x</v>
          </cell>
        </row>
        <row r="229">
          <cell r="A229" t="str">
            <v>legal</v>
          </cell>
          <cell r="E229" t="str">
            <v>269 Mc Arthur Hi-Way, Dalandanan, Valenzuela City</v>
          </cell>
          <cell r="S229">
            <v>0</v>
          </cell>
          <cell r="AK229" t="str">
            <v>Dweler</v>
          </cell>
          <cell r="AN229">
            <v>0</v>
          </cell>
          <cell r="AQ229">
            <v>0</v>
          </cell>
          <cell r="AS229" t="str">
            <v>Y</v>
          </cell>
          <cell r="BM229" t="str">
            <v>Residential/Commercial</v>
          </cell>
          <cell r="BN229">
            <v>0</v>
          </cell>
          <cell r="BR229">
            <v>0</v>
          </cell>
          <cell r="FQ229">
            <v>0</v>
          </cell>
          <cell r="IB229">
            <v>0</v>
          </cell>
          <cell r="IC229">
            <v>0</v>
          </cell>
          <cell r="ID229">
            <v>0</v>
          </cell>
          <cell r="IE229">
            <v>0</v>
          </cell>
          <cell r="IP229" t="str">
            <v>Renter</v>
          </cell>
          <cell r="IR229" t="str">
            <v>Service Contracting</v>
          </cell>
          <cell r="IT229">
            <v>0</v>
          </cell>
          <cell r="IU229">
            <v>0</v>
          </cell>
        </row>
        <row r="230">
          <cell r="A230" t="str">
            <v>legal</v>
          </cell>
          <cell r="E230" t="str">
            <v>269 Mc Arthur Hi-Way, Dalandanan, Valenzuela City</v>
          </cell>
          <cell r="S230">
            <v>0</v>
          </cell>
          <cell r="AK230" t="str">
            <v>Dweler</v>
          </cell>
          <cell r="AN230">
            <v>0</v>
          </cell>
          <cell r="AQ230">
            <v>0</v>
          </cell>
          <cell r="AS230" t="str">
            <v>Y</v>
          </cell>
          <cell r="BM230" t="str">
            <v>Residential/Commercial</v>
          </cell>
          <cell r="BN230">
            <v>0</v>
          </cell>
          <cell r="BR230">
            <v>0</v>
          </cell>
          <cell r="FQ230">
            <v>0</v>
          </cell>
          <cell r="IB230">
            <v>0</v>
          </cell>
          <cell r="IC230">
            <v>0</v>
          </cell>
          <cell r="ID230">
            <v>0</v>
          </cell>
          <cell r="IE230">
            <v>0</v>
          </cell>
          <cell r="IP230">
            <v>0</v>
          </cell>
          <cell r="IR230">
            <v>0</v>
          </cell>
          <cell r="IT230">
            <v>0</v>
          </cell>
          <cell r="IU230">
            <v>0</v>
          </cell>
        </row>
        <row r="231">
          <cell r="A231" t="str">
            <v>legal</v>
          </cell>
          <cell r="E231" t="str">
            <v>269 Mc Arthur Hi-Way, Dalandanan, Valenzuela City</v>
          </cell>
          <cell r="S231">
            <v>0</v>
          </cell>
          <cell r="AK231" t="str">
            <v>Dweler</v>
          </cell>
          <cell r="AN231">
            <v>0</v>
          </cell>
          <cell r="AQ231">
            <v>0</v>
          </cell>
          <cell r="AS231" t="str">
            <v>Y</v>
          </cell>
          <cell r="BM231" t="str">
            <v>Residential/Commercial</v>
          </cell>
          <cell r="BN231">
            <v>0</v>
          </cell>
          <cell r="BR231">
            <v>0</v>
          </cell>
          <cell r="FQ231">
            <v>0</v>
          </cell>
          <cell r="IB231">
            <v>0</v>
          </cell>
          <cell r="IC231">
            <v>0</v>
          </cell>
          <cell r="ID231">
            <v>0</v>
          </cell>
          <cell r="IE231">
            <v>0</v>
          </cell>
          <cell r="IP231">
            <v>0</v>
          </cell>
          <cell r="IR231">
            <v>0</v>
          </cell>
          <cell r="IT231">
            <v>0</v>
          </cell>
          <cell r="IU231">
            <v>0</v>
          </cell>
        </row>
        <row r="232">
          <cell r="A232" t="str">
            <v>legal</v>
          </cell>
          <cell r="E232" t="str">
            <v>261 Mc Arthur Hi-Way, Dalandanan, Valenzuela City</v>
          </cell>
          <cell r="S232">
            <v>0</v>
          </cell>
          <cell r="AK232" t="str">
            <v>Land Owner</v>
          </cell>
          <cell r="AN232">
            <v>0.53097345132743368</v>
          </cell>
          <cell r="AQ232">
            <v>0</v>
          </cell>
          <cell r="AS232">
            <v>0</v>
          </cell>
          <cell r="BM232" t="str">
            <v>Residential/Industrial</v>
          </cell>
          <cell r="BN232">
            <v>0</v>
          </cell>
          <cell r="BR232">
            <v>0.35476214523785476</v>
          </cell>
          <cell r="FQ232">
            <v>0</v>
          </cell>
          <cell r="IB232">
            <v>0</v>
          </cell>
          <cell r="IC232">
            <v>0</v>
          </cell>
          <cell r="ID232">
            <v>0</v>
          </cell>
          <cell r="IE232">
            <v>0</v>
          </cell>
          <cell r="IP232">
            <v>0</v>
          </cell>
          <cell r="IR232" t="str">
            <v>Service contracting</v>
          </cell>
          <cell r="IT232" t="str">
            <v>x</v>
          </cell>
          <cell r="IU232">
            <v>0</v>
          </cell>
        </row>
        <row r="233">
          <cell r="A233" t="str">
            <v>isf</v>
          </cell>
          <cell r="E233" t="str">
            <v>Dalandanan, Valezuela City</v>
          </cell>
          <cell r="S233">
            <v>0</v>
          </cell>
          <cell r="AK233">
            <v>0</v>
          </cell>
          <cell r="AN233">
            <v>0</v>
          </cell>
          <cell r="AQ233">
            <v>0</v>
          </cell>
          <cell r="AS233">
            <v>0</v>
          </cell>
          <cell r="BM233" t="str">
            <v>Residential/Industrial</v>
          </cell>
          <cell r="BN233">
            <v>0</v>
          </cell>
          <cell r="BR233">
            <v>0</v>
          </cell>
          <cell r="FQ233">
            <v>0</v>
          </cell>
          <cell r="IB233">
            <v>0</v>
          </cell>
          <cell r="IC233">
            <v>0</v>
          </cell>
          <cell r="ID233">
            <v>0</v>
          </cell>
          <cell r="IE233">
            <v>0</v>
          </cell>
          <cell r="IP233">
            <v>0</v>
          </cell>
          <cell r="IR233">
            <v>0</v>
          </cell>
          <cell r="IT233">
            <v>0</v>
          </cell>
          <cell r="IU233">
            <v>0</v>
          </cell>
        </row>
        <row r="234">
          <cell r="A234" t="str">
            <v>isf</v>
          </cell>
          <cell r="E234" t="str">
            <v>B72 Daang Bakal, Malinta Valenzuela City</v>
          </cell>
          <cell r="S234" t="str">
            <v>Female</v>
          </cell>
          <cell r="AK234" t="str">
            <v>ISF</v>
          </cell>
          <cell r="AN234">
            <v>0</v>
          </cell>
          <cell r="AQ234">
            <v>0</v>
          </cell>
          <cell r="AS234">
            <v>0</v>
          </cell>
          <cell r="BM234" t="str">
            <v>Residential</v>
          </cell>
          <cell r="BN234">
            <v>3</v>
          </cell>
          <cell r="BR234">
            <v>1</v>
          </cell>
          <cell r="FQ234" t="str">
            <v>Need Displacement</v>
          </cell>
          <cell r="IB234" t="str">
            <v>Y</v>
          </cell>
          <cell r="IC234" t="str">
            <v>Y</v>
          </cell>
          <cell r="ID234">
            <v>1</v>
          </cell>
          <cell r="IE234">
            <v>0</v>
          </cell>
          <cell r="IP234" t="str">
            <v>Owner</v>
          </cell>
          <cell r="IR234" t="str">
            <v>Home/Small-scale Industry</v>
          </cell>
          <cell r="IT234">
            <v>0</v>
          </cell>
          <cell r="IU234" t="str">
            <v>x</v>
          </cell>
        </row>
        <row r="235">
          <cell r="A235" t="str">
            <v>legal</v>
          </cell>
          <cell r="E235" t="str">
            <v>326 San Isidro Labrador Malinta Valenzuela</v>
          </cell>
          <cell r="S235" t="str">
            <v>Female</v>
          </cell>
          <cell r="AK235">
            <v>0</v>
          </cell>
          <cell r="AN235">
            <v>0</v>
          </cell>
          <cell r="AQ235">
            <v>0</v>
          </cell>
          <cell r="AS235">
            <v>0</v>
          </cell>
          <cell r="BM235" t="str">
            <v>Residential</v>
          </cell>
          <cell r="BN235">
            <v>1</v>
          </cell>
          <cell r="BR235">
            <v>0</v>
          </cell>
          <cell r="FQ235" t="str">
            <v>Need Displacement</v>
          </cell>
          <cell r="IB235" t="str">
            <v>Y</v>
          </cell>
          <cell r="IC235" t="str">
            <v>Y</v>
          </cell>
          <cell r="ID235">
            <v>1</v>
          </cell>
          <cell r="IE235">
            <v>0</v>
          </cell>
          <cell r="IP235">
            <v>0</v>
          </cell>
          <cell r="IR235">
            <v>0</v>
          </cell>
          <cell r="IT235">
            <v>0</v>
          </cell>
          <cell r="IU235">
            <v>0</v>
          </cell>
        </row>
        <row r="236">
          <cell r="A236" t="str">
            <v>legal</v>
          </cell>
          <cell r="E236" t="str">
            <v>B72 Daang Bakal, Malinta Valenzuela City</v>
          </cell>
          <cell r="S236" t="str">
            <v>Female</v>
          </cell>
          <cell r="AK236">
            <v>0</v>
          </cell>
          <cell r="AN236">
            <v>0</v>
          </cell>
          <cell r="AQ236">
            <v>0</v>
          </cell>
          <cell r="AS236">
            <v>0</v>
          </cell>
          <cell r="BM236" t="str">
            <v>Residential</v>
          </cell>
          <cell r="BN236">
            <v>0</v>
          </cell>
          <cell r="BR236">
            <v>0</v>
          </cell>
          <cell r="FQ236" t="str">
            <v>Need Displacement</v>
          </cell>
          <cell r="IB236" t="str">
            <v>Y</v>
          </cell>
          <cell r="IC236" t="str">
            <v>Y</v>
          </cell>
          <cell r="ID236">
            <v>0</v>
          </cell>
          <cell r="IE236">
            <v>0</v>
          </cell>
          <cell r="IP236">
            <v>0</v>
          </cell>
          <cell r="IR236">
            <v>0</v>
          </cell>
          <cell r="IT236">
            <v>0</v>
          </cell>
          <cell r="IU236">
            <v>0</v>
          </cell>
        </row>
        <row r="237">
          <cell r="A237" t="str">
            <v>legal</v>
          </cell>
          <cell r="E237" t="str">
            <v>326 San Isidro Labrador Malinta Valenzuela</v>
          </cell>
          <cell r="S237" t="str">
            <v>Male</v>
          </cell>
          <cell r="AK237">
            <v>0</v>
          </cell>
          <cell r="AN237">
            <v>0</v>
          </cell>
          <cell r="AQ237">
            <v>0</v>
          </cell>
          <cell r="AS237">
            <v>0</v>
          </cell>
          <cell r="BM237" t="str">
            <v>Residential</v>
          </cell>
          <cell r="BN237">
            <v>0</v>
          </cell>
          <cell r="BR237">
            <v>0</v>
          </cell>
          <cell r="FQ237" t="str">
            <v>Need Displacement</v>
          </cell>
          <cell r="IB237" t="str">
            <v>Y</v>
          </cell>
          <cell r="IC237">
            <v>0</v>
          </cell>
          <cell r="ID237">
            <v>0</v>
          </cell>
          <cell r="IE237">
            <v>0</v>
          </cell>
          <cell r="IP237">
            <v>0</v>
          </cell>
          <cell r="IR237">
            <v>0</v>
          </cell>
          <cell r="IT237">
            <v>0</v>
          </cell>
          <cell r="IU237">
            <v>0</v>
          </cell>
        </row>
        <row r="238">
          <cell r="A238" t="str">
            <v>legal</v>
          </cell>
          <cell r="E238" t="str">
            <v>B72 Daang Bakal, Malinta Valenzuela City</v>
          </cell>
          <cell r="S238" t="str">
            <v>Male</v>
          </cell>
          <cell r="AK238">
            <v>0</v>
          </cell>
          <cell r="AN238">
            <v>0</v>
          </cell>
          <cell r="AQ238">
            <v>0</v>
          </cell>
          <cell r="AS238">
            <v>0</v>
          </cell>
          <cell r="BM238" t="str">
            <v>Residential</v>
          </cell>
          <cell r="BN238">
            <v>0</v>
          </cell>
          <cell r="BR238">
            <v>0</v>
          </cell>
          <cell r="FQ238" t="str">
            <v>Need Displacement</v>
          </cell>
          <cell r="IB238">
            <v>0</v>
          </cell>
          <cell r="IC238">
            <v>0</v>
          </cell>
          <cell r="ID238">
            <v>0</v>
          </cell>
          <cell r="IE238">
            <v>0</v>
          </cell>
          <cell r="IP238">
            <v>0</v>
          </cell>
          <cell r="IR238">
            <v>0</v>
          </cell>
          <cell r="IT238">
            <v>0</v>
          </cell>
          <cell r="IU238">
            <v>0</v>
          </cell>
        </row>
        <row r="239">
          <cell r="A239" t="str">
            <v>isf</v>
          </cell>
          <cell r="E239" t="str">
            <v>B72 Daang Bakal, Malinta Valenzuela City</v>
          </cell>
          <cell r="S239">
            <v>0</v>
          </cell>
          <cell r="AK239" t="str">
            <v>ISF</v>
          </cell>
          <cell r="AN239">
            <v>0</v>
          </cell>
          <cell r="AQ239">
            <v>0</v>
          </cell>
          <cell r="AS239">
            <v>0</v>
          </cell>
          <cell r="BM239" t="str">
            <v>Residential</v>
          </cell>
          <cell r="BN239">
            <v>0</v>
          </cell>
          <cell r="BR239">
            <v>0.32</v>
          </cell>
          <cell r="FQ239" t="str">
            <v>Need Displacement</v>
          </cell>
          <cell r="IB239">
            <v>0</v>
          </cell>
          <cell r="IC239">
            <v>0</v>
          </cell>
          <cell r="ID239">
            <v>0</v>
          </cell>
          <cell r="IE239">
            <v>0</v>
          </cell>
          <cell r="IP239">
            <v>0</v>
          </cell>
          <cell r="IR239">
            <v>0</v>
          </cell>
          <cell r="IT239">
            <v>0</v>
          </cell>
          <cell r="IU239">
            <v>0</v>
          </cell>
        </row>
        <row r="240">
          <cell r="A240" t="str">
            <v>isf</v>
          </cell>
          <cell r="E240" t="str">
            <v>B70 San Isidro St, Malinta Valenzuela City</v>
          </cell>
          <cell r="S240" t="str">
            <v>Male</v>
          </cell>
          <cell r="AK240" t="str">
            <v>ISF</v>
          </cell>
          <cell r="AN240">
            <v>0</v>
          </cell>
          <cell r="AQ240">
            <v>0</v>
          </cell>
          <cell r="AS240">
            <v>0</v>
          </cell>
          <cell r="BM240" t="str">
            <v>Residential/Commercial</v>
          </cell>
          <cell r="BN240">
            <v>1</v>
          </cell>
          <cell r="BR240">
            <v>0.5714285714285714</v>
          </cell>
          <cell r="FQ240" t="str">
            <v>Need Displacement</v>
          </cell>
          <cell r="IB240" t="str">
            <v>Y</v>
          </cell>
          <cell r="IC240">
            <v>0</v>
          </cell>
          <cell r="ID240">
            <v>1</v>
          </cell>
          <cell r="IE240">
            <v>0</v>
          </cell>
          <cell r="IP240">
            <v>0</v>
          </cell>
          <cell r="IR240">
            <v>0</v>
          </cell>
          <cell r="IT240">
            <v>0</v>
          </cell>
          <cell r="IU240">
            <v>0</v>
          </cell>
        </row>
        <row r="241">
          <cell r="A241" t="str">
            <v>isf</v>
          </cell>
          <cell r="E241" t="str">
            <v>B70 San Isidro St, Malinta Valenzuela City</v>
          </cell>
          <cell r="S241" t="str">
            <v>Male</v>
          </cell>
          <cell r="AK241" t="str">
            <v>ISF</v>
          </cell>
          <cell r="AN241">
            <v>0</v>
          </cell>
          <cell r="AQ241">
            <v>0</v>
          </cell>
          <cell r="AS241">
            <v>0</v>
          </cell>
          <cell r="BM241" t="str">
            <v>Residential</v>
          </cell>
          <cell r="BN241">
            <v>0</v>
          </cell>
          <cell r="BR241">
            <v>0.16666666666666666</v>
          </cell>
          <cell r="FQ241">
            <v>0</v>
          </cell>
          <cell r="IB241" t="str">
            <v>Y</v>
          </cell>
          <cell r="IC241">
            <v>0</v>
          </cell>
          <cell r="ID241">
            <v>0</v>
          </cell>
          <cell r="IE241">
            <v>0</v>
          </cell>
          <cell r="IP241">
            <v>0</v>
          </cell>
          <cell r="IR241">
            <v>0</v>
          </cell>
          <cell r="IT241">
            <v>0</v>
          </cell>
          <cell r="IU241">
            <v>0</v>
          </cell>
        </row>
        <row r="242">
          <cell r="A242" t="str">
            <v>isf</v>
          </cell>
          <cell r="E242" t="str">
            <v>B70 San Isidro St, Malinta Valenzuela City</v>
          </cell>
          <cell r="S242" t="str">
            <v>Female</v>
          </cell>
          <cell r="AK242" t="str">
            <v>ISF</v>
          </cell>
          <cell r="AN242">
            <v>0</v>
          </cell>
          <cell r="AQ242">
            <v>0</v>
          </cell>
          <cell r="AS242">
            <v>0</v>
          </cell>
          <cell r="BM242" t="str">
            <v>Residential</v>
          </cell>
          <cell r="BN242">
            <v>0</v>
          </cell>
          <cell r="BR242">
            <v>0.25</v>
          </cell>
          <cell r="FQ242" t="str">
            <v>Need Displacement</v>
          </cell>
          <cell r="IB242">
            <v>0</v>
          </cell>
          <cell r="IC242" t="str">
            <v>Y</v>
          </cell>
          <cell r="ID242">
            <v>0</v>
          </cell>
          <cell r="IE242">
            <v>0</v>
          </cell>
          <cell r="IP242">
            <v>0</v>
          </cell>
          <cell r="IR242">
            <v>0</v>
          </cell>
          <cell r="IT242">
            <v>0</v>
          </cell>
          <cell r="IU242">
            <v>0</v>
          </cell>
        </row>
        <row r="243">
          <cell r="A243" t="str">
            <v>legal</v>
          </cell>
          <cell r="E243" t="str">
            <v>B70 San Isidro St, Malinta Valenzuela City</v>
          </cell>
          <cell r="S243" t="str">
            <v>Male</v>
          </cell>
          <cell r="AK243">
            <v>0</v>
          </cell>
          <cell r="AN243">
            <v>0</v>
          </cell>
          <cell r="AQ243">
            <v>0</v>
          </cell>
          <cell r="AS243" t="str">
            <v>Y</v>
          </cell>
          <cell r="BM243" t="str">
            <v>Residential</v>
          </cell>
          <cell r="BN243">
            <v>0</v>
          </cell>
          <cell r="BR243">
            <v>0.21428571428571427</v>
          </cell>
          <cell r="FQ243" t="str">
            <v>Need Displacement</v>
          </cell>
          <cell r="IB243">
            <v>0</v>
          </cell>
          <cell r="IC243" t="str">
            <v>Y</v>
          </cell>
          <cell r="ID243">
            <v>0</v>
          </cell>
          <cell r="IE243">
            <v>0</v>
          </cell>
          <cell r="IP243">
            <v>0</v>
          </cell>
          <cell r="IR243">
            <v>0</v>
          </cell>
          <cell r="IT243">
            <v>0</v>
          </cell>
          <cell r="IU243">
            <v>0</v>
          </cell>
        </row>
        <row r="244">
          <cell r="A244" t="str">
            <v>isf</v>
          </cell>
          <cell r="E244" t="str">
            <v>326 Mc Arthur Hi-Way, Malinta Valenzuela City</v>
          </cell>
          <cell r="S244" t="str">
            <v>Male</v>
          </cell>
          <cell r="AK244" t="str">
            <v>ISF</v>
          </cell>
          <cell r="AN244">
            <v>0</v>
          </cell>
          <cell r="AQ244">
            <v>0</v>
          </cell>
          <cell r="AS244">
            <v>0</v>
          </cell>
          <cell r="BM244" t="str">
            <v>Residential/Commercial</v>
          </cell>
          <cell r="BN244">
            <v>1</v>
          </cell>
          <cell r="BR244">
            <v>1</v>
          </cell>
          <cell r="FQ244" t="str">
            <v>Need Displacement</v>
          </cell>
          <cell r="IB244">
            <v>0</v>
          </cell>
          <cell r="IC244">
            <v>0</v>
          </cell>
          <cell r="ID244">
            <v>0</v>
          </cell>
          <cell r="IE244">
            <v>0</v>
          </cell>
          <cell r="IP244">
            <v>0</v>
          </cell>
          <cell r="IR244">
            <v>0</v>
          </cell>
          <cell r="IT244">
            <v>0</v>
          </cell>
          <cell r="IU244">
            <v>0</v>
          </cell>
        </row>
        <row r="245">
          <cell r="A245" t="str">
            <v>isf</v>
          </cell>
          <cell r="E245" t="str">
            <v>326 Mc Arthur Hi-Way, Malinta Valenzuela City</v>
          </cell>
          <cell r="S245" t="str">
            <v>Male</v>
          </cell>
          <cell r="AK245" t="str">
            <v>ISF</v>
          </cell>
          <cell r="AN245">
            <v>0</v>
          </cell>
          <cell r="AQ245">
            <v>0</v>
          </cell>
          <cell r="AS245">
            <v>0</v>
          </cell>
          <cell r="BM245" t="str">
            <v>Residential</v>
          </cell>
          <cell r="BN245">
            <v>0</v>
          </cell>
          <cell r="BR245">
            <v>1</v>
          </cell>
          <cell r="FQ245" t="str">
            <v>Need Displacement</v>
          </cell>
          <cell r="IB245" t="str">
            <v>Y</v>
          </cell>
          <cell r="IC245">
            <v>0</v>
          </cell>
          <cell r="ID245">
            <v>0</v>
          </cell>
          <cell r="IE245">
            <v>0</v>
          </cell>
          <cell r="IP245">
            <v>0</v>
          </cell>
          <cell r="IR245">
            <v>0</v>
          </cell>
          <cell r="IT245">
            <v>0</v>
          </cell>
          <cell r="IU245">
            <v>0</v>
          </cell>
        </row>
        <row r="246">
          <cell r="A246" t="str">
            <v>isf</v>
          </cell>
          <cell r="E246" t="str">
            <v>326 Mc Arthur Hi-Way, Malinta Valenzuela City</v>
          </cell>
          <cell r="S246" t="str">
            <v>Male</v>
          </cell>
          <cell r="AK246" t="str">
            <v>ISF</v>
          </cell>
          <cell r="AN246">
            <v>0</v>
          </cell>
          <cell r="AQ246">
            <v>0</v>
          </cell>
          <cell r="AS246">
            <v>0</v>
          </cell>
          <cell r="BM246" t="str">
            <v>Residential</v>
          </cell>
          <cell r="BN246">
            <v>3</v>
          </cell>
          <cell r="BR246">
            <v>1</v>
          </cell>
          <cell r="FQ246" t="str">
            <v>Need Displacement</v>
          </cell>
          <cell r="IB246">
            <v>0</v>
          </cell>
          <cell r="IC246">
            <v>0</v>
          </cell>
          <cell r="ID246">
            <v>0</v>
          </cell>
          <cell r="IE246">
            <v>0</v>
          </cell>
          <cell r="IP246">
            <v>0</v>
          </cell>
          <cell r="IR246">
            <v>0</v>
          </cell>
          <cell r="IT246">
            <v>0</v>
          </cell>
          <cell r="IU246">
            <v>0</v>
          </cell>
        </row>
        <row r="247">
          <cell r="A247" t="str">
            <v>isf</v>
          </cell>
          <cell r="E247" t="str">
            <v>326 Mc Arthur Hi-Way, Malinta Valenzuela City</v>
          </cell>
          <cell r="S247" t="str">
            <v>Female</v>
          </cell>
          <cell r="AK247" t="str">
            <v>ISF</v>
          </cell>
          <cell r="AN247">
            <v>0</v>
          </cell>
          <cell r="AQ247">
            <v>0</v>
          </cell>
          <cell r="AS247">
            <v>0</v>
          </cell>
          <cell r="BM247" t="str">
            <v>Residential</v>
          </cell>
          <cell r="BN247">
            <v>0</v>
          </cell>
          <cell r="BR247">
            <v>0.35714285714285715</v>
          </cell>
          <cell r="FQ247" t="str">
            <v>Need Displacement</v>
          </cell>
          <cell r="IB247" t="str">
            <v>Y</v>
          </cell>
          <cell r="IC247" t="str">
            <v>Y</v>
          </cell>
          <cell r="ID247">
            <v>0</v>
          </cell>
          <cell r="IE247">
            <v>0</v>
          </cell>
          <cell r="IP247">
            <v>0</v>
          </cell>
          <cell r="IR247">
            <v>0</v>
          </cell>
          <cell r="IT247">
            <v>0</v>
          </cell>
          <cell r="IU247">
            <v>0</v>
          </cell>
        </row>
        <row r="248">
          <cell r="A248" t="str">
            <v>isf</v>
          </cell>
          <cell r="E248" t="str">
            <v>326 Mc Arthur Hi-Way, Malinta Valenzuela City</v>
          </cell>
          <cell r="S248" t="str">
            <v>Male</v>
          </cell>
          <cell r="AK248" t="str">
            <v>ISF</v>
          </cell>
          <cell r="AN248">
            <v>0</v>
          </cell>
          <cell r="AQ248">
            <v>0</v>
          </cell>
          <cell r="AS248">
            <v>0</v>
          </cell>
          <cell r="BM248" t="str">
            <v>Residential</v>
          </cell>
          <cell r="BN248">
            <v>0</v>
          </cell>
          <cell r="BR248">
            <v>0</v>
          </cell>
          <cell r="FQ248">
            <v>0</v>
          </cell>
          <cell r="IB248" t="str">
            <v>Y</v>
          </cell>
          <cell r="IC248">
            <v>0</v>
          </cell>
          <cell r="ID248">
            <v>0</v>
          </cell>
          <cell r="IE248">
            <v>0</v>
          </cell>
          <cell r="IP248">
            <v>0</v>
          </cell>
          <cell r="IR248">
            <v>0</v>
          </cell>
          <cell r="IT248">
            <v>0</v>
          </cell>
          <cell r="IU248">
            <v>0</v>
          </cell>
        </row>
        <row r="249">
          <cell r="A249" t="str">
            <v>isf</v>
          </cell>
          <cell r="E249" t="str">
            <v>326 Mc Arthur Hi-Way, Malinta Valenzuela City</v>
          </cell>
          <cell r="S249" t="str">
            <v>Female</v>
          </cell>
          <cell r="AK249">
            <v>0</v>
          </cell>
          <cell r="AN249">
            <v>0</v>
          </cell>
          <cell r="AQ249">
            <v>0</v>
          </cell>
          <cell r="AS249">
            <v>0</v>
          </cell>
          <cell r="BM249" t="str">
            <v>Residential</v>
          </cell>
          <cell r="BN249">
            <v>0</v>
          </cell>
          <cell r="BR249">
            <v>1</v>
          </cell>
          <cell r="FQ249" t="str">
            <v>Need Displacement</v>
          </cell>
          <cell r="IB249" t="str">
            <v>Y</v>
          </cell>
          <cell r="IC249" t="str">
            <v>Y</v>
          </cell>
          <cell r="ID249">
            <v>0</v>
          </cell>
          <cell r="IE249">
            <v>0</v>
          </cell>
          <cell r="IP249">
            <v>0</v>
          </cell>
          <cell r="IR249">
            <v>0</v>
          </cell>
          <cell r="IT249">
            <v>0</v>
          </cell>
          <cell r="IU249">
            <v>0</v>
          </cell>
        </row>
        <row r="250">
          <cell r="A250" t="str">
            <v>isf</v>
          </cell>
          <cell r="E250" t="str">
            <v>326 Mc Arthur Hi-Way, Malinta Valenzuela City</v>
          </cell>
          <cell r="S250" t="str">
            <v>Male</v>
          </cell>
          <cell r="AK250">
            <v>0</v>
          </cell>
          <cell r="AN250">
            <v>0</v>
          </cell>
          <cell r="AQ250">
            <v>0</v>
          </cell>
          <cell r="AS250">
            <v>0</v>
          </cell>
          <cell r="BM250" t="str">
            <v>Residential</v>
          </cell>
          <cell r="BN250">
            <v>0</v>
          </cell>
          <cell r="BR250">
            <v>1</v>
          </cell>
          <cell r="FQ250" t="str">
            <v>Need Displacement</v>
          </cell>
          <cell r="IB250">
            <v>0</v>
          </cell>
          <cell r="IC250">
            <v>0</v>
          </cell>
          <cell r="ID250">
            <v>0</v>
          </cell>
          <cell r="IE250">
            <v>0</v>
          </cell>
          <cell r="IP250">
            <v>0</v>
          </cell>
          <cell r="IR250">
            <v>0</v>
          </cell>
          <cell r="IT250">
            <v>0</v>
          </cell>
          <cell r="IU250">
            <v>0</v>
          </cell>
        </row>
        <row r="251">
          <cell r="A251" t="str">
            <v>isf</v>
          </cell>
          <cell r="E251" t="str">
            <v>326 Mc Arthur Hi-Way, Malinta Valenzuela City</v>
          </cell>
          <cell r="S251" t="str">
            <v>Male</v>
          </cell>
          <cell r="AK251" t="str">
            <v>ISF</v>
          </cell>
          <cell r="AN251">
            <v>0</v>
          </cell>
          <cell r="AQ251">
            <v>0</v>
          </cell>
          <cell r="AS251">
            <v>0</v>
          </cell>
          <cell r="BM251" t="str">
            <v>Residential</v>
          </cell>
          <cell r="BN251">
            <v>0</v>
          </cell>
          <cell r="BR251">
            <v>0.16666666666666666</v>
          </cell>
          <cell r="FQ251" t="str">
            <v>Can Stay</v>
          </cell>
          <cell r="IB251">
            <v>0</v>
          </cell>
          <cell r="IC251">
            <v>0</v>
          </cell>
          <cell r="ID251">
            <v>0</v>
          </cell>
          <cell r="IE251">
            <v>1</v>
          </cell>
          <cell r="IP251" t="str">
            <v>Owner</v>
          </cell>
          <cell r="IR251" t="str">
            <v>Home/Small-scale Industry</v>
          </cell>
          <cell r="IT251">
            <v>0</v>
          </cell>
          <cell r="IU251">
            <v>0</v>
          </cell>
        </row>
        <row r="252">
          <cell r="A252" t="str">
            <v>isf</v>
          </cell>
          <cell r="E252" t="str">
            <v>326 Mc Arthur Hi-Way, Malinta Valenzuela City</v>
          </cell>
          <cell r="S252" t="str">
            <v>Male</v>
          </cell>
          <cell r="AK252">
            <v>0</v>
          </cell>
          <cell r="AN252">
            <v>0</v>
          </cell>
          <cell r="AQ252">
            <v>0</v>
          </cell>
          <cell r="AS252">
            <v>0</v>
          </cell>
          <cell r="BM252" t="str">
            <v>Residential</v>
          </cell>
          <cell r="BN252">
            <v>0</v>
          </cell>
          <cell r="BR252">
            <v>0.16666666666666666</v>
          </cell>
          <cell r="FQ252" t="str">
            <v>Need Displacement</v>
          </cell>
          <cell r="IB252" t="str">
            <v>Y</v>
          </cell>
          <cell r="IC252">
            <v>0</v>
          </cell>
          <cell r="ID252">
            <v>0</v>
          </cell>
          <cell r="IE252">
            <v>0</v>
          </cell>
          <cell r="IP252">
            <v>0</v>
          </cell>
          <cell r="IR252">
            <v>0</v>
          </cell>
          <cell r="IT252">
            <v>0</v>
          </cell>
          <cell r="IU252">
            <v>0</v>
          </cell>
        </row>
        <row r="253">
          <cell r="A253" t="str">
            <v>isf</v>
          </cell>
          <cell r="E253" t="str">
            <v>326 Mc Arthur Hi-Way, Malinta Valenzuela City</v>
          </cell>
          <cell r="S253" t="str">
            <v>Male</v>
          </cell>
          <cell r="AK253" t="str">
            <v>ISF</v>
          </cell>
          <cell r="AN253">
            <v>0</v>
          </cell>
          <cell r="AQ253">
            <v>0</v>
          </cell>
          <cell r="AS253">
            <v>0</v>
          </cell>
          <cell r="BM253" t="str">
            <v>Residential</v>
          </cell>
          <cell r="BN253">
            <v>1</v>
          </cell>
          <cell r="BR253">
            <v>1</v>
          </cell>
          <cell r="FQ253" t="str">
            <v>Need Displacement</v>
          </cell>
          <cell r="IB253" t="str">
            <v>Y</v>
          </cell>
          <cell r="IC253">
            <v>0</v>
          </cell>
          <cell r="ID253">
            <v>0</v>
          </cell>
          <cell r="IE253">
            <v>0</v>
          </cell>
          <cell r="IP253" t="str">
            <v>Owner</v>
          </cell>
          <cell r="IR253" t="str">
            <v>Home/Small-scale Industry</v>
          </cell>
          <cell r="IT253">
            <v>0</v>
          </cell>
          <cell r="IU253" t="str">
            <v>x</v>
          </cell>
        </row>
        <row r="254">
          <cell r="A254" t="str">
            <v>legal</v>
          </cell>
          <cell r="E254" t="str">
            <v>326 Mc Arthur Hi-Way, Malinta Valenzuela City</v>
          </cell>
          <cell r="S254" t="str">
            <v>Male</v>
          </cell>
          <cell r="AK254">
            <v>0</v>
          </cell>
          <cell r="AN254">
            <v>0</v>
          </cell>
          <cell r="AQ254">
            <v>0</v>
          </cell>
          <cell r="AS254">
            <v>0</v>
          </cell>
          <cell r="BM254" t="str">
            <v>Residential</v>
          </cell>
          <cell r="BN254">
            <v>0</v>
          </cell>
          <cell r="BR254">
            <v>1</v>
          </cell>
          <cell r="FQ254" t="str">
            <v>Need Displacement</v>
          </cell>
          <cell r="IB254">
            <v>0</v>
          </cell>
          <cell r="IC254">
            <v>0</v>
          </cell>
          <cell r="ID254">
            <v>0</v>
          </cell>
          <cell r="IE254">
            <v>0</v>
          </cell>
          <cell r="IP254">
            <v>0</v>
          </cell>
          <cell r="IR254">
            <v>0</v>
          </cell>
          <cell r="IT254">
            <v>0</v>
          </cell>
          <cell r="IU254">
            <v>0</v>
          </cell>
        </row>
        <row r="255">
          <cell r="A255" t="str">
            <v>isf</v>
          </cell>
          <cell r="E255" t="str">
            <v>326 Mc Arthur Hi-Way, Malinta Valenzuela City</v>
          </cell>
          <cell r="S255" t="str">
            <v>Male</v>
          </cell>
          <cell r="AK255" t="str">
            <v>ISF</v>
          </cell>
          <cell r="AN255">
            <v>0</v>
          </cell>
          <cell r="AQ255">
            <v>0</v>
          </cell>
          <cell r="AS255">
            <v>0</v>
          </cell>
          <cell r="BM255" t="str">
            <v>Residential</v>
          </cell>
          <cell r="BN255">
            <v>0</v>
          </cell>
          <cell r="BR255">
            <v>0.2857142857142857</v>
          </cell>
          <cell r="FQ255" t="str">
            <v>Need Displacement</v>
          </cell>
          <cell r="IB255" t="str">
            <v>Y</v>
          </cell>
          <cell r="IC255">
            <v>0</v>
          </cell>
          <cell r="ID255">
            <v>1</v>
          </cell>
          <cell r="IE255">
            <v>1</v>
          </cell>
          <cell r="IP255">
            <v>0</v>
          </cell>
          <cell r="IR255">
            <v>0</v>
          </cell>
          <cell r="IT255">
            <v>0</v>
          </cell>
          <cell r="IU255">
            <v>0</v>
          </cell>
        </row>
        <row r="256">
          <cell r="A256" t="str">
            <v>isf</v>
          </cell>
          <cell r="E256" t="str">
            <v>326 Mc Arthur Hi-Way, Malinta, Valenzuela City</v>
          </cell>
          <cell r="S256" t="str">
            <v>Female</v>
          </cell>
          <cell r="AK256" t="str">
            <v>ISF</v>
          </cell>
          <cell r="AN256">
            <v>0</v>
          </cell>
          <cell r="AQ256">
            <v>0</v>
          </cell>
          <cell r="AS256">
            <v>0</v>
          </cell>
          <cell r="BM256" t="str">
            <v>Residential</v>
          </cell>
          <cell r="BN256">
            <v>0</v>
          </cell>
          <cell r="BR256">
            <v>1</v>
          </cell>
          <cell r="FQ256" t="str">
            <v>Need Displacement</v>
          </cell>
          <cell r="IB256" t="str">
            <v>Y</v>
          </cell>
          <cell r="IC256" t="str">
            <v>Y</v>
          </cell>
          <cell r="ID256">
            <v>0</v>
          </cell>
          <cell r="IE256">
            <v>0</v>
          </cell>
          <cell r="IP256">
            <v>0</v>
          </cell>
          <cell r="IR256">
            <v>0</v>
          </cell>
          <cell r="IT256">
            <v>0</v>
          </cell>
          <cell r="IU256">
            <v>0</v>
          </cell>
        </row>
        <row r="257">
          <cell r="A257" t="str">
            <v>isf</v>
          </cell>
          <cell r="E257" t="str">
            <v>326 Mc Arthur Hi-Way, Malinta, Valenzuela City</v>
          </cell>
          <cell r="S257">
            <v>0</v>
          </cell>
          <cell r="AK257" t="str">
            <v>ISF</v>
          </cell>
          <cell r="AN257">
            <v>0</v>
          </cell>
          <cell r="AQ257">
            <v>0</v>
          </cell>
          <cell r="AS257">
            <v>0</v>
          </cell>
          <cell r="BM257" t="str">
            <v>Residential</v>
          </cell>
          <cell r="BN257">
            <v>3</v>
          </cell>
          <cell r="BR257">
            <v>0.23584905660377359</v>
          </cell>
          <cell r="FQ257" t="str">
            <v>Need Displacement</v>
          </cell>
          <cell r="IB257" t="str">
            <v>Y</v>
          </cell>
          <cell r="IC257" t="str">
            <v>Y</v>
          </cell>
          <cell r="ID257">
            <v>0</v>
          </cell>
          <cell r="IE257">
            <v>0</v>
          </cell>
          <cell r="IP257" t="str">
            <v>Owner</v>
          </cell>
          <cell r="IR257" t="str">
            <v>Home/Small-scale Industry</v>
          </cell>
          <cell r="IT257">
            <v>0</v>
          </cell>
          <cell r="IU257" t="str">
            <v>x</v>
          </cell>
        </row>
        <row r="258">
          <cell r="A258" t="str">
            <v>isf</v>
          </cell>
          <cell r="E258" t="str">
            <v>326 Mc Arthur Hi-Way, Malinta, Valenzuela City</v>
          </cell>
          <cell r="S258" t="str">
            <v>Male</v>
          </cell>
          <cell r="AK258" t="str">
            <v>ISF</v>
          </cell>
          <cell r="AN258">
            <v>0</v>
          </cell>
          <cell r="AQ258">
            <v>0</v>
          </cell>
          <cell r="AS258">
            <v>0</v>
          </cell>
          <cell r="BM258" t="str">
            <v>Residential</v>
          </cell>
          <cell r="BN258">
            <v>1</v>
          </cell>
          <cell r="BR258">
            <v>0.23584905660377359</v>
          </cell>
          <cell r="FQ258" t="str">
            <v>Need Displacement</v>
          </cell>
          <cell r="IB258" t="str">
            <v>Y</v>
          </cell>
          <cell r="IC258">
            <v>0</v>
          </cell>
          <cell r="ID258">
            <v>0</v>
          </cell>
          <cell r="IE258">
            <v>1</v>
          </cell>
          <cell r="IP258">
            <v>0</v>
          </cell>
          <cell r="IR258">
            <v>0</v>
          </cell>
          <cell r="IT258">
            <v>0</v>
          </cell>
          <cell r="IU258">
            <v>0</v>
          </cell>
        </row>
        <row r="259">
          <cell r="A259" t="str">
            <v>isf</v>
          </cell>
          <cell r="E259" t="str">
            <v>#3 Salud Balubaran Malinta Valenzuela</v>
          </cell>
          <cell r="S259" t="str">
            <v>Female</v>
          </cell>
          <cell r="AK259" t="str">
            <v>ISF</v>
          </cell>
          <cell r="AN259">
            <v>0</v>
          </cell>
          <cell r="AQ259">
            <v>0</v>
          </cell>
          <cell r="AS259">
            <v>0</v>
          </cell>
          <cell r="BM259" t="str">
            <v>Residential</v>
          </cell>
          <cell r="BN259">
            <v>0</v>
          </cell>
          <cell r="BR259">
            <v>0.23584905660377359</v>
          </cell>
          <cell r="FQ259" t="str">
            <v>Need Displacement</v>
          </cell>
          <cell r="IB259">
            <v>0</v>
          </cell>
          <cell r="IC259" t="str">
            <v>Y</v>
          </cell>
          <cell r="ID259">
            <v>0</v>
          </cell>
          <cell r="IE259">
            <v>0</v>
          </cell>
          <cell r="IP259">
            <v>0</v>
          </cell>
          <cell r="IR259">
            <v>0</v>
          </cell>
          <cell r="IT259">
            <v>0</v>
          </cell>
          <cell r="IU259">
            <v>0</v>
          </cell>
        </row>
        <row r="260">
          <cell r="A260" t="str">
            <v>isf</v>
          </cell>
          <cell r="E260">
            <v>0</v>
          </cell>
          <cell r="S260">
            <v>0</v>
          </cell>
          <cell r="AK260">
            <v>0</v>
          </cell>
          <cell r="AN260">
            <v>0</v>
          </cell>
          <cell r="AQ260">
            <v>0</v>
          </cell>
          <cell r="AS260">
            <v>0</v>
          </cell>
          <cell r="BM260">
            <v>0</v>
          </cell>
          <cell r="BN260">
            <v>0</v>
          </cell>
          <cell r="BR260">
            <v>0</v>
          </cell>
          <cell r="FQ260">
            <v>0</v>
          </cell>
          <cell r="IB260">
            <v>0</v>
          </cell>
          <cell r="IC260">
            <v>0</v>
          </cell>
          <cell r="ID260">
            <v>0</v>
          </cell>
          <cell r="IE260">
            <v>0</v>
          </cell>
          <cell r="IP260">
            <v>0</v>
          </cell>
          <cell r="IR260">
            <v>0</v>
          </cell>
          <cell r="IT260">
            <v>0</v>
          </cell>
          <cell r="IU260">
            <v>0</v>
          </cell>
        </row>
        <row r="261">
          <cell r="A261" t="str">
            <v>isf</v>
          </cell>
          <cell r="E261" t="str">
            <v>326 Mc Arthur Hi-Way, Malinta, Valenzuela City</v>
          </cell>
          <cell r="S261">
            <v>0</v>
          </cell>
          <cell r="AK261" t="str">
            <v>ISF</v>
          </cell>
          <cell r="AN261">
            <v>0</v>
          </cell>
          <cell r="AQ261">
            <v>0</v>
          </cell>
          <cell r="AS261">
            <v>0</v>
          </cell>
          <cell r="BM261" t="str">
            <v>Residential</v>
          </cell>
          <cell r="BN261">
            <v>0</v>
          </cell>
          <cell r="BR261">
            <v>1</v>
          </cell>
          <cell r="FQ261" t="str">
            <v>Need Displacement</v>
          </cell>
          <cell r="IB261">
            <v>0</v>
          </cell>
          <cell r="IC261">
            <v>0</v>
          </cell>
          <cell r="ID261">
            <v>0</v>
          </cell>
          <cell r="IE261">
            <v>0</v>
          </cell>
          <cell r="IP261">
            <v>0</v>
          </cell>
          <cell r="IR261">
            <v>0</v>
          </cell>
          <cell r="IT261">
            <v>0</v>
          </cell>
          <cell r="IU261">
            <v>0</v>
          </cell>
        </row>
        <row r="262">
          <cell r="A262" t="str">
            <v>isf</v>
          </cell>
          <cell r="E262" t="str">
            <v>326 Mc Arthur Hi-Way, Malinta, Valenzuela City</v>
          </cell>
          <cell r="S262" t="str">
            <v>Female</v>
          </cell>
          <cell r="AK262">
            <v>0</v>
          </cell>
          <cell r="AN262">
            <v>0</v>
          </cell>
          <cell r="AQ262">
            <v>0</v>
          </cell>
          <cell r="AS262">
            <v>0</v>
          </cell>
          <cell r="BM262" t="str">
            <v>Residential</v>
          </cell>
          <cell r="BN262">
            <v>0</v>
          </cell>
          <cell r="BR262">
            <v>1</v>
          </cell>
          <cell r="FQ262" t="str">
            <v>Need Displacement</v>
          </cell>
          <cell r="IB262" t="str">
            <v>Y</v>
          </cell>
          <cell r="IC262" t="str">
            <v>Y</v>
          </cell>
          <cell r="ID262">
            <v>0</v>
          </cell>
          <cell r="IE262">
            <v>0</v>
          </cell>
          <cell r="IP262">
            <v>0</v>
          </cell>
          <cell r="IR262">
            <v>0</v>
          </cell>
          <cell r="IT262">
            <v>0</v>
          </cell>
          <cell r="IU262">
            <v>0</v>
          </cell>
        </row>
        <row r="263">
          <cell r="A263" t="str">
            <v>isf</v>
          </cell>
          <cell r="E263" t="str">
            <v>326 Mc Arthur Hi-Way, Malinta, Valenzuela City</v>
          </cell>
          <cell r="S263" t="str">
            <v>Female</v>
          </cell>
          <cell r="AK263" t="str">
            <v>ISF</v>
          </cell>
          <cell r="AN263">
            <v>0</v>
          </cell>
          <cell r="AQ263">
            <v>0</v>
          </cell>
          <cell r="AS263">
            <v>0</v>
          </cell>
          <cell r="BM263" t="str">
            <v>Residential/Commercial</v>
          </cell>
          <cell r="BN263">
            <v>0</v>
          </cell>
          <cell r="BR263">
            <v>1</v>
          </cell>
          <cell r="FQ263" t="str">
            <v>Need Displacement</v>
          </cell>
          <cell r="IB263">
            <v>0</v>
          </cell>
          <cell r="IC263" t="str">
            <v>Y</v>
          </cell>
          <cell r="ID263">
            <v>0</v>
          </cell>
          <cell r="IE263">
            <v>0</v>
          </cell>
          <cell r="IP263" t="str">
            <v>Owner</v>
          </cell>
          <cell r="IR263" t="str">
            <v>Trading/retailing</v>
          </cell>
          <cell r="IT263">
            <v>0</v>
          </cell>
          <cell r="IU263" t="str">
            <v>x</v>
          </cell>
        </row>
        <row r="264">
          <cell r="A264" t="str">
            <v>isf</v>
          </cell>
          <cell r="E264" t="str">
            <v>326 Mc Arthur Hi-Way, Malinta, Valenzuela City</v>
          </cell>
          <cell r="S264" t="str">
            <v>Male</v>
          </cell>
          <cell r="AK264" t="str">
            <v>ISF</v>
          </cell>
          <cell r="AN264">
            <v>0</v>
          </cell>
          <cell r="AQ264">
            <v>0</v>
          </cell>
          <cell r="AS264">
            <v>0</v>
          </cell>
          <cell r="BM264" t="str">
            <v>Residential</v>
          </cell>
          <cell r="BN264">
            <v>0</v>
          </cell>
          <cell r="BR264">
            <v>0.20703933747412009</v>
          </cell>
          <cell r="FQ264" t="str">
            <v>Need Displacement</v>
          </cell>
          <cell r="IB264">
            <v>0</v>
          </cell>
          <cell r="IC264">
            <v>0</v>
          </cell>
          <cell r="ID264">
            <v>0</v>
          </cell>
          <cell r="IE264" t="str">
            <v>Y</v>
          </cell>
          <cell r="IP264">
            <v>0</v>
          </cell>
          <cell r="IR264">
            <v>0</v>
          </cell>
          <cell r="IT264">
            <v>0</v>
          </cell>
          <cell r="IU264">
            <v>0</v>
          </cell>
        </row>
        <row r="265">
          <cell r="A265" t="str">
            <v>isf</v>
          </cell>
          <cell r="E265" t="str">
            <v>332 Mc Arthur Hi-Way, Malinta, Valenzuela City</v>
          </cell>
          <cell r="S265" t="str">
            <v>Male</v>
          </cell>
          <cell r="AK265" t="str">
            <v>ISF</v>
          </cell>
          <cell r="AN265">
            <v>0</v>
          </cell>
          <cell r="AQ265">
            <v>0</v>
          </cell>
          <cell r="AS265">
            <v>0</v>
          </cell>
          <cell r="BM265" t="str">
            <v>Residential</v>
          </cell>
          <cell r="BN265">
            <v>1</v>
          </cell>
          <cell r="BR265">
            <v>0.3</v>
          </cell>
          <cell r="FQ265" t="str">
            <v>Need Displacement</v>
          </cell>
          <cell r="IB265">
            <v>0</v>
          </cell>
          <cell r="IC265">
            <v>0</v>
          </cell>
          <cell r="ID265">
            <v>2</v>
          </cell>
          <cell r="IE265">
            <v>2</v>
          </cell>
          <cell r="IP265">
            <v>0</v>
          </cell>
          <cell r="IR265">
            <v>0</v>
          </cell>
          <cell r="IT265">
            <v>0</v>
          </cell>
          <cell r="IU265">
            <v>0</v>
          </cell>
        </row>
        <row r="266">
          <cell r="A266" t="str">
            <v xml:space="preserve">NI </v>
          </cell>
          <cell r="E266" t="str">
            <v>332 Mc Arthur Hi-Way, Malinta, Valenzuela City</v>
          </cell>
          <cell r="S266">
            <v>0</v>
          </cell>
          <cell r="AK266">
            <v>0</v>
          </cell>
          <cell r="AN266">
            <v>0</v>
          </cell>
          <cell r="AQ266">
            <v>0</v>
          </cell>
          <cell r="AS266" t="str">
            <v>Y</v>
          </cell>
          <cell r="BM266" t="str">
            <v>Residential</v>
          </cell>
          <cell r="BN266">
            <v>0</v>
          </cell>
          <cell r="BR266">
            <v>0</v>
          </cell>
          <cell r="FQ266">
            <v>0</v>
          </cell>
          <cell r="IB266">
            <v>0</v>
          </cell>
          <cell r="IC266">
            <v>0</v>
          </cell>
          <cell r="ID266">
            <v>0</v>
          </cell>
          <cell r="IE266">
            <v>0</v>
          </cell>
          <cell r="IP266">
            <v>0</v>
          </cell>
          <cell r="IR266">
            <v>0</v>
          </cell>
          <cell r="IT266">
            <v>0</v>
          </cell>
          <cell r="IU266">
            <v>0</v>
          </cell>
        </row>
        <row r="267">
          <cell r="A267" t="str">
            <v>Legal</v>
          </cell>
          <cell r="E267" t="str">
            <v>326 Mc Arthur Hi-Way, Malinta, Valenzuela City</v>
          </cell>
          <cell r="S267" t="str">
            <v>Male</v>
          </cell>
          <cell r="AK267">
            <v>0</v>
          </cell>
          <cell r="AN267">
            <v>0</v>
          </cell>
          <cell r="AQ267">
            <v>0</v>
          </cell>
          <cell r="AS267" t="str">
            <v>Y</v>
          </cell>
          <cell r="BM267" t="str">
            <v>Residential</v>
          </cell>
          <cell r="BN267">
            <v>0</v>
          </cell>
          <cell r="BR267">
            <v>1</v>
          </cell>
          <cell r="FQ267" t="str">
            <v>Need Displacement</v>
          </cell>
          <cell r="IB267">
            <v>0</v>
          </cell>
          <cell r="IC267">
            <v>0</v>
          </cell>
          <cell r="ID267">
            <v>0</v>
          </cell>
          <cell r="IE267">
            <v>0</v>
          </cell>
          <cell r="IP267">
            <v>0</v>
          </cell>
          <cell r="IR267">
            <v>0</v>
          </cell>
          <cell r="IT267">
            <v>0</v>
          </cell>
          <cell r="IU267">
            <v>0</v>
          </cell>
        </row>
        <row r="268">
          <cell r="A268" t="str">
            <v>isf</v>
          </cell>
          <cell r="E268" t="str">
            <v>326 Mc Arthur Hi-Way, Malinta, Valenzuela City</v>
          </cell>
          <cell r="S268" t="str">
            <v>Female</v>
          </cell>
          <cell r="AK268" t="str">
            <v>ISF</v>
          </cell>
          <cell r="AN268">
            <v>0</v>
          </cell>
          <cell r="AQ268">
            <v>0</v>
          </cell>
          <cell r="AS268">
            <v>0</v>
          </cell>
          <cell r="BM268" t="str">
            <v>Residential</v>
          </cell>
          <cell r="BN268">
            <v>0</v>
          </cell>
          <cell r="BR268">
            <v>0.41666666666666663</v>
          </cell>
          <cell r="FQ268" t="str">
            <v>Need Displacement</v>
          </cell>
          <cell r="IB268" t="str">
            <v>Y</v>
          </cell>
          <cell r="IC268" t="str">
            <v>Y</v>
          </cell>
          <cell r="ID268">
            <v>1</v>
          </cell>
          <cell r="IE268">
            <v>0</v>
          </cell>
          <cell r="IP268">
            <v>0</v>
          </cell>
          <cell r="IR268">
            <v>0</v>
          </cell>
          <cell r="IT268">
            <v>0</v>
          </cell>
          <cell r="IU268">
            <v>0</v>
          </cell>
        </row>
        <row r="269">
          <cell r="A269" t="str">
            <v>Legal</v>
          </cell>
          <cell r="E269" t="str">
            <v>A. Pablo St. Malinta Valenzuela City</v>
          </cell>
          <cell r="AK269" t="str">
            <v>Principal</v>
          </cell>
          <cell r="AN269">
            <v>0</v>
          </cell>
          <cell r="AQ269">
            <v>0</v>
          </cell>
          <cell r="AS269" t="str">
            <v>Y</v>
          </cell>
          <cell r="BM269" t="str">
            <v>Institutional</v>
          </cell>
          <cell r="BN269">
            <v>0</v>
          </cell>
          <cell r="BR269">
            <v>0</v>
          </cell>
          <cell r="FQ269">
            <v>0</v>
          </cell>
          <cell r="IB269">
            <v>0</v>
          </cell>
          <cell r="IC269">
            <v>0</v>
          </cell>
          <cell r="ID269">
            <v>0</v>
          </cell>
          <cell r="IE269">
            <v>0</v>
          </cell>
          <cell r="IP269" t="str">
            <v>School Principal</v>
          </cell>
          <cell r="IR269" t="str">
            <v>School</v>
          </cell>
          <cell r="IT269" t="str">
            <v>x</v>
          </cell>
          <cell r="IU269">
            <v>0</v>
          </cell>
        </row>
        <row r="270">
          <cell r="A270" t="str">
            <v>isf</v>
          </cell>
          <cell r="E270" t="str">
            <v>118 Cortez St. Malinta, Valenzuela City</v>
          </cell>
          <cell r="S270">
            <v>0</v>
          </cell>
          <cell r="AK270" t="str">
            <v>ISF</v>
          </cell>
          <cell r="AN270">
            <v>0</v>
          </cell>
          <cell r="AQ270">
            <v>0</v>
          </cell>
          <cell r="AS270">
            <v>0</v>
          </cell>
          <cell r="BM270" t="str">
            <v>Residential</v>
          </cell>
          <cell r="BN270">
            <v>1</v>
          </cell>
          <cell r="BR270">
            <v>1</v>
          </cell>
          <cell r="FQ270" t="str">
            <v>Need Displacement</v>
          </cell>
          <cell r="IB270" t="str">
            <v>Y</v>
          </cell>
          <cell r="IC270">
            <v>0</v>
          </cell>
          <cell r="ID270">
            <v>1</v>
          </cell>
          <cell r="IE270">
            <v>1</v>
          </cell>
          <cell r="IP270">
            <v>0</v>
          </cell>
          <cell r="IR270">
            <v>0</v>
          </cell>
          <cell r="IT270">
            <v>0</v>
          </cell>
          <cell r="IU270">
            <v>0</v>
          </cell>
        </row>
        <row r="271">
          <cell r="A271" t="str">
            <v>isf</v>
          </cell>
          <cell r="E271" t="str">
            <v>105 Cortez St. Malinta, Valenzuela City</v>
          </cell>
          <cell r="S271">
            <v>0</v>
          </cell>
          <cell r="AK271">
            <v>0</v>
          </cell>
          <cell r="AN271">
            <v>0.189873417721519</v>
          </cell>
          <cell r="AQ271">
            <v>0</v>
          </cell>
          <cell r="AS271">
            <v>0</v>
          </cell>
          <cell r="BM271" t="str">
            <v>Residential</v>
          </cell>
          <cell r="BN271">
            <v>0</v>
          </cell>
          <cell r="BR271">
            <v>1</v>
          </cell>
          <cell r="FQ271" t="str">
            <v>Can Stay</v>
          </cell>
          <cell r="IB271">
            <v>0</v>
          </cell>
          <cell r="IC271" t="str">
            <v>Y</v>
          </cell>
          <cell r="ID271">
            <v>0</v>
          </cell>
          <cell r="IE271">
            <v>0</v>
          </cell>
          <cell r="IP271">
            <v>0</v>
          </cell>
          <cell r="IR271">
            <v>0</v>
          </cell>
          <cell r="IT271">
            <v>0</v>
          </cell>
          <cell r="IU271">
            <v>0</v>
          </cell>
        </row>
        <row r="272">
          <cell r="A272" t="str">
            <v>Legal</v>
          </cell>
          <cell r="E272" t="str">
            <v>105 Cortez St. Malinta, Valenzuela City</v>
          </cell>
          <cell r="S272">
            <v>0</v>
          </cell>
          <cell r="AK272">
            <v>0</v>
          </cell>
          <cell r="AN272">
            <v>0.189873417721519</v>
          </cell>
          <cell r="AQ272">
            <v>0</v>
          </cell>
          <cell r="AS272" t="str">
            <v>Y</v>
          </cell>
          <cell r="BM272" t="str">
            <v>Residential</v>
          </cell>
          <cell r="BN272">
            <v>0</v>
          </cell>
          <cell r="BR272">
            <v>0.29342723004694837</v>
          </cell>
          <cell r="FQ272" t="str">
            <v>Can Stay</v>
          </cell>
          <cell r="IB272" t="str">
            <v>Y</v>
          </cell>
          <cell r="IC272">
            <v>0</v>
          </cell>
          <cell r="ID272">
            <v>0</v>
          </cell>
          <cell r="IE272">
            <v>0</v>
          </cell>
          <cell r="IP272">
            <v>0</v>
          </cell>
          <cell r="IR272">
            <v>0</v>
          </cell>
          <cell r="IT272">
            <v>0</v>
          </cell>
          <cell r="IU272">
            <v>0</v>
          </cell>
        </row>
        <row r="273">
          <cell r="A273" t="str">
            <v>legal</v>
          </cell>
          <cell r="E273" t="str">
            <v>104 Cortez St. Malinta, Valenzuela City</v>
          </cell>
          <cell r="S273">
            <v>0</v>
          </cell>
          <cell r="AK273" t="str">
            <v>Owner</v>
          </cell>
          <cell r="AN273">
            <v>0.12716763005780346</v>
          </cell>
          <cell r="AQ273">
            <v>0</v>
          </cell>
          <cell r="AS273">
            <v>0</v>
          </cell>
          <cell r="BM273">
            <v>0</v>
          </cell>
          <cell r="BN273">
            <v>0</v>
          </cell>
          <cell r="BR273">
            <v>0</v>
          </cell>
          <cell r="FQ273">
            <v>0</v>
          </cell>
          <cell r="IB273">
            <v>0</v>
          </cell>
          <cell r="IC273">
            <v>0</v>
          </cell>
          <cell r="ID273">
            <v>0</v>
          </cell>
          <cell r="IE273">
            <v>0</v>
          </cell>
          <cell r="IP273">
            <v>0</v>
          </cell>
          <cell r="IR273">
            <v>0</v>
          </cell>
          <cell r="IT273">
            <v>0</v>
          </cell>
          <cell r="IU273">
            <v>0</v>
          </cell>
        </row>
        <row r="274">
          <cell r="A274" t="str">
            <v>legal</v>
          </cell>
          <cell r="E274" t="str">
            <v>104 Cortez St. Malinta, Valenzuela City</v>
          </cell>
          <cell r="S274" t="str">
            <v>Male</v>
          </cell>
          <cell r="AK274" t="str">
            <v>Dweller</v>
          </cell>
          <cell r="AN274">
            <v>0.12716763005780346</v>
          </cell>
          <cell r="AQ274">
            <v>0</v>
          </cell>
          <cell r="AS274" t="str">
            <v>Y</v>
          </cell>
          <cell r="BM274" t="str">
            <v>Residential</v>
          </cell>
          <cell r="BN274">
            <v>0</v>
          </cell>
          <cell r="BR274">
            <v>0.22727272727272727</v>
          </cell>
          <cell r="FQ274" t="str">
            <v>Need Displacement</v>
          </cell>
          <cell r="IB274">
            <v>0</v>
          </cell>
          <cell r="IC274">
            <v>0</v>
          </cell>
          <cell r="ID274">
            <v>0</v>
          </cell>
          <cell r="IE274">
            <v>0</v>
          </cell>
          <cell r="IP274">
            <v>0</v>
          </cell>
          <cell r="IR274">
            <v>0</v>
          </cell>
          <cell r="IT274">
            <v>0</v>
          </cell>
          <cell r="IU274">
            <v>0</v>
          </cell>
        </row>
        <row r="275">
          <cell r="A275" t="str">
            <v>ABSENTEE</v>
          </cell>
          <cell r="E275" t="str">
            <v>104 Cortez St. Malinta, Valenzuela City</v>
          </cell>
          <cell r="S275">
            <v>0</v>
          </cell>
          <cell r="AK275" t="str">
            <v>Dweller</v>
          </cell>
          <cell r="AN275">
            <v>0.12716763005780346</v>
          </cell>
          <cell r="AQ275">
            <v>0</v>
          </cell>
          <cell r="AS275">
            <v>0</v>
          </cell>
          <cell r="BM275" t="str">
            <v>Residential</v>
          </cell>
          <cell r="BN275">
            <v>0</v>
          </cell>
          <cell r="BR275">
            <v>0</v>
          </cell>
          <cell r="FQ275">
            <v>0</v>
          </cell>
          <cell r="IB275">
            <v>0</v>
          </cell>
          <cell r="IC275">
            <v>0</v>
          </cell>
          <cell r="ID275">
            <v>0</v>
          </cell>
          <cell r="IE275">
            <v>0</v>
          </cell>
          <cell r="IP275">
            <v>0</v>
          </cell>
          <cell r="IR275">
            <v>0</v>
          </cell>
          <cell r="IT275">
            <v>0</v>
          </cell>
          <cell r="IU275">
            <v>0</v>
          </cell>
        </row>
        <row r="276">
          <cell r="A276" t="str">
            <v>legal</v>
          </cell>
          <cell r="E276" t="str">
            <v>104 Cortez St. Malinta, Valenzuela City</v>
          </cell>
          <cell r="S276">
            <v>0</v>
          </cell>
          <cell r="AK276" t="str">
            <v>Dweller</v>
          </cell>
          <cell r="AN276">
            <v>0.12716763005780346</v>
          </cell>
          <cell r="AQ276">
            <v>0</v>
          </cell>
          <cell r="AS276">
            <v>0</v>
          </cell>
          <cell r="BM276" t="str">
            <v>Residential</v>
          </cell>
          <cell r="BN276">
            <v>0</v>
          </cell>
          <cell r="BR276">
            <v>0.22727272727272727</v>
          </cell>
          <cell r="FQ276" t="str">
            <v>Need Displacement</v>
          </cell>
          <cell r="IB276" t="str">
            <v>Y</v>
          </cell>
          <cell r="IC276">
            <v>0</v>
          </cell>
          <cell r="ID276">
            <v>0</v>
          </cell>
          <cell r="IE276">
            <v>1</v>
          </cell>
          <cell r="IP276">
            <v>0</v>
          </cell>
          <cell r="IR276">
            <v>0</v>
          </cell>
          <cell r="IT276">
            <v>0</v>
          </cell>
          <cell r="IU276">
            <v>0</v>
          </cell>
        </row>
        <row r="277">
          <cell r="A277" t="str">
            <v>legal</v>
          </cell>
          <cell r="E277" t="str">
            <v>149 A. Tongco St. Malinta, Valenzuela City</v>
          </cell>
          <cell r="S277">
            <v>0</v>
          </cell>
          <cell r="AK277">
            <v>0</v>
          </cell>
          <cell r="AN277">
            <v>0.13675213675213677</v>
          </cell>
          <cell r="AQ277">
            <v>0</v>
          </cell>
          <cell r="AS277">
            <v>0</v>
          </cell>
          <cell r="BM277" t="str">
            <v>Residential</v>
          </cell>
          <cell r="BN277">
            <v>0</v>
          </cell>
          <cell r="BR277">
            <v>0.35555555555555557</v>
          </cell>
          <cell r="FQ277" t="str">
            <v>Can Stay</v>
          </cell>
          <cell r="IB277">
            <v>0</v>
          </cell>
          <cell r="IC277">
            <v>0</v>
          </cell>
          <cell r="ID277">
            <v>0</v>
          </cell>
          <cell r="IE277">
            <v>0</v>
          </cell>
          <cell r="IP277">
            <v>0</v>
          </cell>
          <cell r="IR277">
            <v>0</v>
          </cell>
          <cell r="IT277">
            <v>0</v>
          </cell>
          <cell r="IU277">
            <v>0</v>
          </cell>
        </row>
        <row r="278">
          <cell r="A278" t="str">
            <v>legal</v>
          </cell>
          <cell r="E278" t="str">
            <v>149 A. Tongco St. Malinta, Valenzuela City</v>
          </cell>
          <cell r="S278" t="str">
            <v>Male</v>
          </cell>
          <cell r="AK278" t="str">
            <v>Land Owner</v>
          </cell>
          <cell r="AN278">
            <v>1.0532478632478632</v>
          </cell>
          <cell r="AQ278">
            <v>0</v>
          </cell>
          <cell r="AS278" t="str">
            <v>Y</v>
          </cell>
          <cell r="BM278" t="str">
            <v>Residential/Commercial</v>
          </cell>
          <cell r="BN278" t="str">
            <v>x</v>
          </cell>
          <cell r="BR278">
            <v>0.5</v>
          </cell>
          <cell r="FQ278" t="str">
            <v>Need Displacement</v>
          </cell>
          <cell r="IB278">
            <v>0</v>
          </cell>
          <cell r="IC278">
            <v>0</v>
          </cell>
          <cell r="ID278">
            <v>2</v>
          </cell>
          <cell r="IE278">
            <v>0</v>
          </cell>
          <cell r="IP278" t="str">
            <v>Owner</v>
          </cell>
          <cell r="IR278" t="str">
            <v>Trading/retailing</v>
          </cell>
          <cell r="IT278">
            <v>0</v>
          </cell>
          <cell r="IU278" t="str">
            <v>x</v>
          </cell>
        </row>
        <row r="279">
          <cell r="A279" t="str">
            <v>legal</v>
          </cell>
          <cell r="E279" t="str">
            <v>148 A. Tongco St. Malinta, Valenzuela City</v>
          </cell>
          <cell r="S279">
            <v>0</v>
          </cell>
          <cell r="AK279">
            <v>0</v>
          </cell>
          <cell r="AN279">
            <v>0.05</v>
          </cell>
          <cell r="AQ279">
            <v>0</v>
          </cell>
          <cell r="AS279" t="str">
            <v>Y</v>
          </cell>
          <cell r="BM279" t="str">
            <v>Residential</v>
          </cell>
          <cell r="BN279">
            <v>0</v>
          </cell>
          <cell r="BR279">
            <v>0</v>
          </cell>
          <cell r="FQ279" t="str">
            <v>Can Stay</v>
          </cell>
          <cell r="IB279">
            <v>0</v>
          </cell>
          <cell r="IC279">
            <v>0</v>
          </cell>
          <cell r="ID279">
            <v>0</v>
          </cell>
          <cell r="IE279">
            <v>0</v>
          </cell>
          <cell r="IP279" t="str">
            <v>Renter</v>
          </cell>
          <cell r="IR279" t="str">
            <v>Home/Small-scale Industry</v>
          </cell>
          <cell r="IT279">
            <v>0</v>
          </cell>
          <cell r="IU279">
            <v>0</v>
          </cell>
        </row>
        <row r="280">
          <cell r="A280" t="str">
            <v>legal</v>
          </cell>
          <cell r="E280" t="str">
            <v>148 A. Tongco St. Malinta, Valenzuela City</v>
          </cell>
          <cell r="S280">
            <v>0</v>
          </cell>
          <cell r="AK280">
            <v>0</v>
          </cell>
          <cell r="AN280">
            <v>0</v>
          </cell>
          <cell r="AQ280">
            <v>0</v>
          </cell>
          <cell r="AS280" t="str">
            <v>Y</v>
          </cell>
          <cell r="BM280" t="str">
            <v>Residential</v>
          </cell>
          <cell r="BN280">
            <v>0</v>
          </cell>
          <cell r="BR280">
            <v>0</v>
          </cell>
          <cell r="FQ280" t="str">
            <v>Can Stay</v>
          </cell>
          <cell r="IB280">
            <v>0</v>
          </cell>
          <cell r="IC280">
            <v>0</v>
          </cell>
          <cell r="ID280">
            <v>0</v>
          </cell>
          <cell r="IE280">
            <v>0</v>
          </cell>
          <cell r="IP280">
            <v>0</v>
          </cell>
          <cell r="IR280">
            <v>0</v>
          </cell>
          <cell r="IT280">
            <v>0</v>
          </cell>
          <cell r="IU280">
            <v>0</v>
          </cell>
        </row>
        <row r="281">
          <cell r="A281" t="str">
            <v>legal</v>
          </cell>
          <cell r="E281" t="str">
            <v>148 A. Tongco St. Malinta, Valenzuela City</v>
          </cell>
          <cell r="S281">
            <v>0</v>
          </cell>
          <cell r="AK281">
            <v>0</v>
          </cell>
          <cell r="AN281">
            <v>0</v>
          </cell>
          <cell r="AQ281">
            <v>0</v>
          </cell>
          <cell r="AS281" t="str">
            <v>Y</v>
          </cell>
          <cell r="BM281" t="str">
            <v>Residential</v>
          </cell>
          <cell r="BN281">
            <v>0</v>
          </cell>
          <cell r="BR281">
            <v>0</v>
          </cell>
          <cell r="FQ281" t="str">
            <v>Can Stay</v>
          </cell>
          <cell r="IB281">
            <v>0</v>
          </cell>
          <cell r="IC281">
            <v>0</v>
          </cell>
          <cell r="ID281">
            <v>0</v>
          </cell>
          <cell r="IE281">
            <v>0</v>
          </cell>
          <cell r="IP281">
            <v>0</v>
          </cell>
          <cell r="IR281">
            <v>0</v>
          </cell>
          <cell r="IT281">
            <v>0</v>
          </cell>
          <cell r="IU281">
            <v>0</v>
          </cell>
        </row>
        <row r="282">
          <cell r="A282" t="str">
            <v>ABSENTEE</v>
          </cell>
          <cell r="E282" t="str">
            <v>181 A. Caco St. Malinta, Valenzuela City</v>
          </cell>
          <cell r="S282">
            <v>0</v>
          </cell>
          <cell r="AK282">
            <v>0</v>
          </cell>
          <cell r="AN282">
            <v>0</v>
          </cell>
          <cell r="AQ282">
            <v>0</v>
          </cell>
          <cell r="AS282" t="str">
            <v>Y</v>
          </cell>
          <cell r="BM282" t="str">
            <v>Residential</v>
          </cell>
          <cell r="BN282">
            <v>0</v>
          </cell>
          <cell r="BR282">
            <v>0.53333333333333333</v>
          </cell>
          <cell r="FQ282">
            <v>0</v>
          </cell>
          <cell r="IB282">
            <v>0</v>
          </cell>
          <cell r="IC282" t="str">
            <v>Y</v>
          </cell>
          <cell r="ID282" t="str">
            <v>Y</v>
          </cell>
          <cell r="IE282">
            <v>0</v>
          </cell>
          <cell r="IP282">
            <v>0</v>
          </cell>
          <cell r="IR282">
            <v>0</v>
          </cell>
          <cell r="IT282">
            <v>0</v>
          </cell>
          <cell r="IU282">
            <v>0</v>
          </cell>
        </row>
        <row r="283">
          <cell r="A283" t="str">
            <v>Legal</v>
          </cell>
          <cell r="E283" t="str">
            <v>181 A. Caco St. Malinta, Valenzuela City</v>
          </cell>
          <cell r="S283">
            <v>0</v>
          </cell>
          <cell r="AK283">
            <v>0</v>
          </cell>
          <cell r="AN283">
            <v>0</v>
          </cell>
          <cell r="AQ283">
            <v>0</v>
          </cell>
          <cell r="AS283" t="str">
            <v>Y</v>
          </cell>
          <cell r="BM283" t="str">
            <v>Residential</v>
          </cell>
          <cell r="BN283">
            <v>0</v>
          </cell>
          <cell r="BR283">
            <v>0.53333333333333333</v>
          </cell>
          <cell r="FQ283">
            <v>0</v>
          </cell>
          <cell r="IB283">
            <v>0</v>
          </cell>
          <cell r="IC283">
            <v>0</v>
          </cell>
          <cell r="ID283">
            <v>0</v>
          </cell>
          <cell r="IE283">
            <v>0</v>
          </cell>
          <cell r="IP283" t="str">
            <v>Renter</v>
          </cell>
          <cell r="IR283" t="str">
            <v>Home/Small-scale Industry</v>
          </cell>
          <cell r="IT283" t="str">
            <v>x</v>
          </cell>
          <cell r="IU283">
            <v>0</v>
          </cell>
        </row>
        <row r="284">
          <cell r="A284" t="str">
            <v>ABSENTEE</v>
          </cell>
          <cell r="E284" t="str">
            <v>158 A. Caco St., Malinta Valenzuela City</v>
          </cell>
          <cell r="S284">
            <v>0</v>
          </cell>
          <cell r="AK284">
            <v>0</v>
          </cell>
          <cell r="AN284">
            <v>0</v>
          </cell>
          <cell r="AQ284">
            <v>0</v>
          </cell>
          <cell r="AS284" t="str">
            <v>Y</v>
          </cell>
          <cell r="BM284">
            <v>0</v>
          </cell>
          <cell r="BN284">
            <v>0</v>
          </cell>
          <cell r="BR284">
            <v>0</v>
          </cell>
          <cell r="FQ284">
            <v>0</v>
          </cell>
          <cell r="IB284">
            <v>0</v>
          </cell>
          <cell r="IC284">
            <v>0</v>
          </cell>
          <cell r="ID284">
            <v>0</v>
          </cell>
          <cell r="IE284">
            <v>0</v>
          </cell>
          <cell r="IP284">
            <v>0</v>
          </cell>
          <cell r="IR284">
            <v>0</v>
          </cell>
          <cell r="IT284">
            <v>0</v>
          </cell>
          <cell r="IU284">
            <v>0</v>
          </cell>
        </row>
        <row r="285">
          <cell r="A285" t="str">
            <v>Legal</v>
          </cell>
          <cell r="E285" t="str">
            <v>158 A. Caco St., Malinta Valenzuela City</v>
          </cell>
          <cell r="S285">
            <v>0</v>
          </cell>
          <cell r="AK285">
            <v>0</v>
          </cell>
          <cell r="AN285">
            <v>0.45</v>
          </cell>
          <cell r="AQ285">
            <v>0</v>
          </cell>
          <cell r="AS285" t="str">
            <v>Y</v>
          </cell>
          <cell r="BM285">
            <v>0</v>
          </cell>
          <cell r="BN285">
            <v>0</v>
          </cell>
          <cell r="BR285">
            <v>0</v>
          </cell>
          <cell r="FQ285">
            <v>0</v>
          </cell>
          <cell r="IB285">
            <v>0</v>
          </cell>
          <cell r="IC285">
            <v>0</v>
          </cell>
          <cell r="ID285">
            <v>0</v>
          </cell>
          <cell r="IE285">
            <v>0</v>
          </cell>
          <cell r="IP285">
            <v>0</v>
          </cell>
          <cell r="IR285">
            <v>0</v>
          </cell>
          <cell r="IT285">
            <v>0</v>
          </cell>
          <cell r="IU285">
            <v>0</v>
          </cell>
        </row>
        <row r="286">
          <cell r="A286" t="str">
            <v>legal</v>
          </cell>
          <cell r="E286" t="str">
            <v>175 A. Caco St. Malinta, Valenzuela City</v>
          </cell>
          <cell r="S286">
            <v>0</v>
          </cell>
          <cell r="AK286" t="str">
            <v>Owner</v>
          </cell>
          <cell r="AN286">
            <v>0.12903225806451613</v>
          </cell>
          <cell r="AQ286">
            <v>0</v>
          </cell>
          <cell r="AS286" t="str">
            <v>Y</v>
          </cell>
          <cell r="BM286" t="str">
            <v>Residential</v>
          </cell>
          <cell r="BN286">
            <v>0</v>
          </cell>
          <cell r="BR286">
            <v>0.5</v>
          </cell>
          <cell r="FQ286" t="str">
            <v>Can Stay</v>
          </cell>
          <cell r="IB286" t="str">
            <v>Y</v>
          </cell>
          <cell r="IC286">
            <v>0</v>
          </cell>
          <cell r="ID286">
            <v>2</v>
          </cell>
          <cell r="IE286">
            <v>1</v>
          </cell>
          <cell r="IP286">
            <v>0</v>
          </cell>
          <cell r="IR286">
            <v>0</v>
          </cell>
          <cell r="IT286">
            <v>0</v>
          </cell>
          <cell r="IU286">
            <v>0</v>
          </cell>
        </row>
        <row r="287">
          <cell r="A287" t="str">
            <v>legal</v>
          </cell>
          <cell r="E287" t="str">
            <v>175 A. Caco St. Malinta, Valenzuela City</v>
          </cell>
          <cell r="S287">
            <v>0</v>
          </cell>
          <cell r="AK287" t="str">
            <v>Co-Owner</v>
          </cell>
          <cell r="AN287">
            <v>0</v>
          </cell>
          <cell r="AQ287">
            <v>0</v>
          </cell>
          <cell r="AS287">
            <v>0</v>
          </cell>
          <cell r="BM287">
            <v>0</v>
          </cell>
          <cell r="BN287">
            <v>0</v>
          </cell>
          <cell r="BR287">
            <v>0</v>
          </cell>
          <cell r="FQ287">
            <v>0</v>
          </cell>
          <cell r="IB287">
            <v>0</v>
          </cell>
          <cell r="IC287">
            <v>0</v>
          </cell>
          <cell r="ID287">
            <v>0</v>
          </cell>
          <cell r="IE287">
            <v>0</v>
          </cell>
          <cell r="IP287">
            <v>0</v>
          </cell>
          <cell r="IR287">
            <v>0</v>
          </cell>
          <cell r="IT287">
            <v>0</v>
          </cell>
          <cell r="IU287">
            <v>0</v>
          </cell>
        </row>
        <row r="288">
          <cell r="A288" t="str">
            <v>ABSENTEE</v>
          </cell>
          <cell r="E288" t="str">
            <v>174 A. Caco St. Malinta, Valenzuela City</v>
          </cell>
          <cell r="S288">
            <v>0</v>
          </cell>
          <cell r="AK288" t="str">
            <v>Owner</v>
          </cell>
          <cell r="AN288">
            <v>0</v>
          </cell>
          <cell r="AQ288">
            <v>0</v>
          </cell>
          <cell r="AS288">
            <v>0</v>
          </cell>
          <cell r="BM288" t="str">
            <v>Residential</v>
          </cell>
          <cell r="BN288">
            <v>0</v>
          </cell>
          <cell r="BR288">
            <v>0.65359477124183007</v>
          </cell>
          <cell r="FQ288" t="str">
            <v>Need Displacement</v>
          </cell>
          <cell r="IB288">
            <v>0</v>
          </cell>
          <cell r="IC288">
            <v>0</v>
          </cell>
          <cell r="ID288">
            <v>0</v>
          </cell>
          <cell r="IE288">
            <v>0</v>
          </cell>
          <cell r="IP288">
            <v>0</v>
          </cell>
          <cell r="IR288" t="str">
            <v>Home/Small-scale Industry</v>
          </cell>
          <cell r="IT288">
            <v>0</v>
          </cell>
          <cell r="IU288">
            <v>0</v>
          </cell>
        </row>
        <row r="289">
          <cell r="A289" t="str">
            <v>legal</v>
          </cell>
          <cell r="E289" t="str">
            <v>174 A. Caco St. Malinta, Valenzuela City</v>
          </cell>
          <cell r="S289">
            <v>0</v>
          </cell>
          <cell r="AK289" t="str">
            <v>Owner</v>
          </cell>
          <cell r="AN289">
            <v>0</v>
          </cell>
          <cell r="AQ289">
            <v>0</v>
          </cell>
          <cell r="AS289">
            <v>0</v>
          </cell>
          <cell r="BM289" t="str">
            <v>Residential</v>
          </cell>
          <cell r="BN289">
            <v>0</v>
          </cell>
          <cell r="BR289">
            <v>0.65359477124183007</v>
          </cell>
          <cell r="FQ289" t="str">
            <v>Can Stay</v>
          </cell>
          <cell r="IB289" t="str">
            <v>Y</v>
          </cell>
          <cell r="IC289">
            <v>0</v>
          </cell>
          <cell r="ID289">
            <v>0</v>
          </cell>
          <cell r="IE289" t="str">
            <v>Y</v>
          </cell>
          <cell r="IP289">
            <v>0</v>
          </cell>
          <cell r="IR289">
            <v>0</v>
          </cell>
          <cell r="IT289">
            <v>0</v>
          </cell>
          <cell r="IU289">
            <v>0</v>
          </cell>
        </row>
        <row r="290">
          <cell r="A290" t="str">
            <v>isf</v>
          </cell>
          <cell r="E290" t="str">
            <v>847 A. De Castro St. Malinta, Valenzuela City</v>
          </cell>
          <cell r="S290" t="str">
            <v>Male</v>
          </cell>
          <cell r="AK290" t="str">
            <v>ISF</v>
          </cell>
          <cell r="AN290">
            <v>0</v>
          </cell>
          <cell r="AQ290">
            <v>0</v>
          </cell>
          <cell r="AS290">
            <v>0</v>
          </cell>
          <cell r="BM290" t="str">
            <v>Residential</v>
          </cell>
          <cell r="BN290">
            <v>1</v>
          </cell>
          <cell r="BR290">
            <v>1</v>
          </cell>
          <cell r="FQ290" t="str">
            <v>Need Displacement</v>
          </cell>
          <cell r="IB290" t="str">
            <v>Y</v>
          </cell>
          <cell r="IC290">
            <v>0</v>
          </cell>
          <cell r="ID290">
            <v>0</v>
          </cell>
          <cell r="IE290">
            <v>0</v>
          </cell>
          <cell r="IP290">
            <v>0</v>
          </cell>
          <cell r="IR290">
            <v>0</v>
          </cell>
          <cell r="IT290">
            <v>0</v>
          </cell>
          <cell r="IU290">
            <v>0</v>
          </cell>
        </row>
        <row r="291">
          <cell r="A291" t="str">
            <v>isf</v>
          </cell>
          <cell r="E291" t="str">
            <v>847 A. De Castro St. Malinta, Valenzuela City</v>
          </cell>
          <cell r="S291" t="str">
            <v>Male</v>
          </cell>
          <cell r="AK291" t="str">
            <v>ISF</v>
          </cell>
          <cell r="AN291">
            <v>0</v>
          </cell>
          <cell r="AQ291">
            <v>0</v>
          </cell>
          <cell r="AS291">
            <v>0</v>
          </cell>
          <cell r="BM291" t="str">
            <v>Residential</v>
          </cell>
          <cell r="BN291">
            <v>0</v>
          </cell>
          <cell r="BR291">
            <v>1</v>
          </cell>
          <cell r="FQ291" t="str">
            <v>Need Displacement</v>
          </cell>
          <cell r="IB291" t="str">
            <v>Y</v>
          </cell>
          <cell r="IC291">
            <v>0</v>
          </cell>
          <cell r="ID291">
            <v>0</v>
          </cell>
          <cell r="IE291">
            <v>1</v>
          </cell>
          <cell r="IP291">
            <v>0</v>
          </cell>
          <cell r="IR291">
            <v>0</v>
          </cell>
          <cell r="IT291">
            <v>0</v>
          </cell>
          <cell r="IU291">
            <v>0</v>
          </cell>
        </row>
        <row r="292">
          <cell r="A292" t="str">
            <v>absentee</v>
          </cell>
          <cell r="E292" t="str">
            <v>847 A. De Castro St. Malinta, Valenzuela City</v>
          </cell>
          <cell r="S292">
            <v>0</v>
          </cell>
          <cell r="AK292" t="str">
            <v>ISF</v>
          </cell>
          <cell r="AN292">
            <v>0</v>
          </cell>
          <cell r="AQ292">
            <v>0</v>
          </cell>
          <cell r="AS292">
            <v>0</v>
          </cell>
          <cell r="BM292" t="str">
            <v>Residential</v>
          </cell>
          <cell r="BN292">
            <v>0</v>
          </cell>
          <cell r="BR292">
            <v>1</v>
          </cell>
          <cell r="FQ292" t="str">
            <v>Need Displacement</v>
          </cell>
          <cell r="IB292">
            <v>0</v>
          </cell>
          <cell r="IC292">
            <v>0</v>
          </cell>
          <cell r="ID292">
            <v>0</v>
          </cell>
          <cell r="IE292">
            <v>0</v>
          </cell>
          <cell r="IP292">
            <v>0</v>
          </cell>
          <cell r="IR292">
            <v>0</v>
          </cell>
          <cell r="IT292">
            <v>0</v>
          </cell>
          <cell r="IU292">
            <v>0</v>
          </cell>
        </row>
        <row r="293">
          <cell r="A293" t="str">
            <v>isf</v>
          </cell>
          <cell r="E293" t="str">
            <v>847 A. De Castro St. Malinta, Valenzuela City</v>
          </cell>
          <cell r="S293" t="str">
            <v>Female</v>
          </cell>
          <cell r="AK293" t="str">
            <v>ISF</v>
          </cell>
          <cell r="AN293">
            <v>0</v>
          </cell>
          <cell r="AQ293">
            <v>0</v>
          </cell>
          <cell r="AS293">
            <v>0</v>
          </cell>
          <cell r="BM293" t="str">
            <v>Residential</v>
          </cell>
          <cell r="BN293">
            <v>0</v>
          </cell>
          <cell r="BR293">
            <v>1</v>
          </cell>
          <cell r="FQ293" t="str">
            <v>Need Displacement</v>
          </cell>
          <cell r="IB293" t="str">
            <v>Y</v>
          </cell>
          <cell r="IC293" t="str">
            <v>Y</v>
          </cell>
          <cell r="ID293">
            <v>0</v>
          </cell>
          <cell r="IE293">
            <v>0</v>
          </cell>
          <cell r="IP293">
            <v>0</v>
          </cell>
          <cell r="IR293">
            <v>0</v>
          </cell>
          <cell r="IT293">
            <v>0</v>
          </cell>
          <cell r="IU293">
            <v>0</v>
          </cell>
        </row>
        <row r="294">
          <cell r="A294" t="str">
            <v>legal</v>
          </cell>
          <cell r="E294" t="str">
            <v>177 A. Caco St. Malinta, Valenzuela City</v>
          </cell>
          <cell r="S294">
            <v>0</v>
          </cell>
          <cell r="AK294" t="str">
            <v>Owner</v>
          </cell>
          <cell r="AN294">
            <v>2.4113475177304965E-2</v>
          </cell>
          <cell r="AQ294">
            <v>0</v>
          </cell>
          <cell r="AS294" t="str">
            <v>Y</v>
          </cell>
          <cell r="BM294" t="str">
            <v>Residential</v>
          </cell>
          <cell r="BN294">
            <v>0</v>
          </cell>
          <cell r="BR294">
            <v>0</v>
          </cell>
          <cell r="FQ294">
            <v>0</v>
          </cell>
          <cell r="IB294">
            <v>0</v>
          </cell>
          <cell r="IC294">
            <v>0</v>
          </cell>
          <cell r="ID294">
            <v>0</v>
          </cell>
          <cell r="IE294">
            <v>0</v>
          </cell>
          <cell r="IP294">
            <v>0</v>
          </cell>
          <cell r="IR294">
            <v>0</v>
          </cell>
          <cell r="IT294">
            <v>0</v>
          </cell>
          <cell r="IU294">
            <v>0</v>
          </cell>
        </row>
        <row r="295">
          <cell r="A295" t="str">
            <v>legal</v>
          </cell>
          <cell r="E295" t="str">
            <v>228 A. Santos St. Malinta Velenzuela City</v>
          </cell>
          <cell r="S295">
            <v>0</v>
          </cell>
          <cell r="AK295" t="str">
            <v>Land Owner</v>
          </cell>
          <cell r="AN295">
            <v>0.51041666666666663</v>
          </cell>
          <cell r="AQ295">
            <v>0</v>
          </cell>
          <cell r="AS295" t="str">
            <v>Y</v>
          </cell>
          <cell r="BM295" t="str">
            <v>Residential/Commercial</v>
          </cell>
          <cell r="BN295">
            <v>0</v>
          </cell>
          <cell r="BR295">
            <v>0.256953125</v>
          </cell>
          <cell r="FQ295" t="str">
            <v>Need Displacement</v>
          </cell>
          <cell r="IB295">
            <v>0</v>
          </cell>
          <cell r="IC295" t="str">
            <v>Y</v>
          </cell>
          <cell r="ID295">
            <v>1</v>
          </cell>
          <cell r="IE295">
            <v>0</v>
          </cell>
          <cell r="IP295" t="str">
            <v>Caretaker</v>
          </cell>
          <cell r="IR295" t="str">
            <v>Home/Small-scale Industry</v>
          </cell>
          <cell r="IT295">
            <v>0</v>
          </cell>
          <cell r="IU295" t="str">
            <v>x</v>
          </cell>
        </row>
        <row r="296">
          <cell r="A296" t="str">
            <v>legal</v>
          </cell>
          <cell r="E296" t="str">
            <v>228 A. Santos St. Malinta Velenzuela City</v>
          </cell>
          <cell r="S296">
            <v>0</v>
          </cell>
          <cell r="AK296" t="str">
            <v>Owner</v>
          </cell>
          <cell r="AN296">
            <v>0</v>
          </cell>
          <cell r="AQ296">
            <v>0</v>
          </cell>
          <cell r="AS296">
            <v>0</v>
          </cell>
          <cell r="BM296" t="str">
            <v>Commercial</v>
          </cell>
          <cell r="BN296">
            <v>0</v>
          </cell>
          <cell r="BR296">
            <v>0</v>
          </cell>
          <cell r="FQ296" t="str">
            <v>Need Displacement</v>
          </cell>
          <cell r="IB296">
            <v>0</v>
          </cell>
          <cell r="IC296">
            <v>0</v>
          </cell>
          <cell r="ID296">
            <v>0</v>
          </cell>
          <cell r="IE296">
            <v>0</v>
          </cell>
          <cell r="IP296" t="str">
            <v>Caretaker</v>
          </cell>
          <cell r="IR296" t="str">
            <v>Trading/retailing</v>
          </cell>
          <cell r="IT296">
            <v>0</v>
          </cell>
          <cell r="IU296" t="str">
            <v>x</v>
          </cell>
        </row>
        <row r="297">
          <cell r="A297" t="str">
            <v>legal</v>
          </cell>
          <cell r="E297" t="str">
            <v>228 A. Santos St. Malinta Velenzuela City</v>
          </cell>
          <cell r="S297">
            <v>0</v>
          </cell>
          <cell r="AK297" t="str">
            <v>Owner</v>
          </cell>
          <cell r="AN297">
            <v>0</v>
          </cell>
          <cell r="AQ297">
            <v>0</v>
          </cell>
          <cell r="AS297">
            <v>0</v>
          </cell>
          <cell r="BM297" t="str">
            <v>Residential</v>
          </cell>
          <cell r="BN297">
            <v>0</v>
          </cell>
          <cell r="BR297">
            <v>0</v>
          </cell>
          <cell r="FQ297" t="str">
            <v>Need Displacement</v>
          </cell>
          <cell r="IB297" t="str">
            <v>Y</v>
          </cell>
          <cell r="IC297">
            <v>0</v>
          </cell>
          <cell r="ID297">
            <v>0</v>
          </cell>
          <cell r="IE297">
            <v>0</v>
          </cell>
          <cell r="IP297">
            <v>0</v>
          </cell>
          <cell r="IR297">
            <v>0</v>
          </cell>
          <cell r="IT297">
            <v>0</v>
          </cell>
          <cell r="IU297">
            <v>0</v>
          </cell>
        </row>
        <row r="298">
          <cell r="A298" t="str">
            <v>legal</v>
          </cell>
          <cell r="E298" t="str">
            <v>229 A. Santos St. Malinta Velenzuela City</v>
          </cell>
          <cell r="S298">
            <v>0</v>
          </cell>
          <cell r="AK298" t="str">
            <v>Owner</v>
          </cell>
          <cell r="AN298">
            <v>0</v>
          </cell>
          <cell r="AQ298">
            <v>0</v>
          </cell>
          <cell r="AS298" t="str">
            <v>Y</v>
          </cell>
          <cell r="BM298" t="str">
            <v>Residential</v>
          </cell>
          <cell r="BN298">
            <v>0</v>
          </cell>
          <cell r="BR298">
            <v>0.13073394495412843</v>
          </cell>
          <cell r="FQ298" t="str">
            <v>Can Stay</v>
          </cell>
          <cell r="IB298">
            <v>0</v>
          </cell>
          <cell r="IC298">
            <v>0</v>
          </cell>
          <cell r="ID298">
            <v>2</v>
          </cell>
          <cell r="IE298">
            <v>1</v>
          </cell>
          <cell r="IP298">
            <v>0</v>
          </cell>
          <cell r="IR298">
            <v>0</v>
          </cell>
          <cell r="IT298">
            <v>0</v>
          </cell>
          <cell r="IU298">
            <v>0</v>
          </cell>
        </row>
        <row r="299">
          <cell r="A299" t="str">
            <v>legal</v>
          </cell>
          <cell r="E299" t="str">
            <v>229 A. Santos St. Malinta Velenzuela City</v>
          </cell>
          <cell r="S299">
            <v>0</v>
          </cell>
          <cell r="AK299" t="str">
            <v>Co-Owner</v>
          </cell>
          <cell r="AN299">
            <v>0.26146788990825687</v>
          </cell>
          <cell r="AQ299">
            <v>0</v>
          </cell>
          <cell r="AS299">
            <v>0</v>
          </cell>
          <cell r="BM299" t="str">
            <v>Residential</v>
          </cell>
          <cell r="BN299">
            <v>0</v>
          </cell>
          <cell r="BR299">
            <v>0.13073394495412843</v>
          </cell>
          <cell r="FQ299" t="str">
            <v>Can Stay</v>
          </cell>
          <cell r="IB299">
            <v>0</v>
          </cell>
          <cell r="IC299" t="str">
            <v>Y</v>
          </cell>
          <cell r="ID299">
            <v>1</v>
          </cell>
          <cell r="IE299">
            <v>0</v>
          </cell>
          <cell r="IP299">
            <v>0</v>
          </cell>
          <cell r="IR299">
            <v>0</v>
          </cell>
          <cell r="IT299">
            <v>0</v>
          </cell>
          <cell r="IU299">
            <v>0</v>
          </cell>
        </row>
        <row r="300">
          <cell r="A300" t="str">
            <v>legal</v>
          </cell>
          <cell r="E300" t="str">
            <v>229 A. Santos St. Malinta Velenzuela City</v>
          </cell>
          <cell r="S300">
            <v>0</v>
          </cell>
          <cell r="AK300" t="str">
            <v>Co-Owner</v>
          </cell>
          <cell r="AN300">
            <v>0</v>
          </cell>
          <cell r="AQ300">
            <v>0</v>
          </cell>
          <cell r="AS300">
            <v>0</v>
          </cell>
          <cell r="BM300" t="str">
            <v>Residential</v>
          </cell>
          <cell r="BN300">
            <v>0</v>
          </cell>
          <cell r="BR300">
            <v>0</v>
          </cell>
          <cell r="FQ300" t="str">
            <v>Can Stay</v>
          </cell>
          <cell r="IB300" t="str">
            <v>Y</v>
          </cell>
          <cell r="IC300">
            <v>0</v>
          </cell>
          <cell r="ID300">
            <v>2</v>
          </cell>
          <cell r="IE300">
            <v>0</v>
          </cell>
          <cell r="IP300">
            <v>0</v>
          </cell>
          <cell r="IR300">
            <v>0</v>
          </cell>
          <cell r="IT300">
            <v>0</v>
          </cell>
          <cell r="IU300">
            <v>0</v>
          </cell>
        </row>
        <row r="301">
          <cell r="A301" t="str">
            <v>legal</v>
          </cell>
          <cell r="E301" t="str">
            <v>229 A. Santos St. Malinta Velenzuela City</v>
          </cell>
          <cell r="S301">
            <v>0</v>
          </cell>
          <cell r="AK301" t="str">
            <v>Co-Owner</v>
          </cell>
          <cell r="AN301">
            <v>0</v>
          </cell>
          <cell r="AQ301">
            <v>0</v>
          </cell>
          <cell r="AS301">
            <v>0</v>
          </cell>
          <cell r="BM301" t="str">
            <v>Residential</v>
          </cell>
          <cell r="BN301">
            <v>0</v>
          </cell>
          <cell r="BR301">
            <v>0</v>
          </cell>
          <cell r="FQ301" t="str">
            <v>Can Stay</v>
          </cell>
          <cell r="IB301" t="str">
            <v>Y</v>
          </cell>
          <cell r="IC301" t="str">
            <v>Y</v>
          </cell>
          <cell r="ID301">
            <v>0</v>
          </cell>
          <cell r="IE301">
            <v>0</v>
          </cell>
          <cell r="IP301">
            <v>0</v>
          </cell>
          <cell r="IR301">
            <v>0</v>
          </cell>
          <cell r="IT301">
            <v>0</v>
          </cell>
          <cell r="IU301">
            <v>0</v>
          </cell>
        </row>
        <row r="302">
          <cell r="A302" t="str">
            <v>ABSENTEE</v>
          </cell>
          <cell r="E302" t="str">
            <v xml:space="preserve"> A. Santos St. Malinta Velenzuela City</v>
          </cell>
          <cell r="S302">
            <v>0</v>
          </cell>
          <cell r="AK302" t="str">
            <v>Owner</v>
          </cell>
          <cell r="AN302">
            <v>0</v>
          </cell>
          <cell r="AQ302">
            <v>0</v>
          </cell>
          <cell r="AS302">
            <v>0</v>
          </cell>
          <cell r="BM302" t="str">
            <v>Residential</v>
          </cell>
          <cell r="BN302">
            <v>0</v>
          </cell>
          <cell r="BR302">
            <v>0</v>
          </cell>
          <cell r="FQ302">
            <v>0</v>
          </cell>
          <cell r="IB302">
            <v>0</v>
          </cell>
          <cell r="IC302">
            <v>0</v>
          </cell>
          <cell r="ID302">
            <v>0</v>
          </cell>
          <cell r="IE302">
            <v>0</v>
          </cell>
          <cell r="IP302">
            <v>0</v>
          </cell>
          <cell r="IR302" t="str">
            <v>Home/Small-scale Industry</v>
          </cell>
          <cell r="IT302">
            <v>0</v>
          </cell>
          <cell r="IU302">
            <v>0</v>
          </cell>
        </row>
        <row r="303">
          <cell r="A303" t="str">
            <v>legal</v>
          </cell>
          <cell r="E303" t="str">
            <v xml:space="preserve"> A. Santos St. Malinta Velenzuela City</v>
          </cell>
          <cell r="S303" t="str">
            <v>Male</v>
          </cell>
          <cell r="AK303" t="str">
            <v>Owner</v>
          </cell>
          <cell r="AN303">
            <v>0</v>
          </cell>
          <cell r="AQ303">
            <v>0</v>
          </cell>
          <cell r="AS303">
            <v>0</v>
          </cell>
          <cell r="BM303" t="str">
            <v>Residential</v>
          </cell>
          <cell r="BN303">
            <v>0</v>
          </cell>
          <cell r="BR303">
            <v>1</v>
          </cell>
          <cell r="FQ303" t="str">
            <v>Need Displacement</v>
          </cell>
          <cell r="IB303" t="str">
            <v>Y</v>
          </cell>
          <cell r="IC303">
            <v>0</v>
          </cell>
          <cell r="ID303">
            <v>0</v>
          </cell>
          <cell r="IE303">
            <v>0</v>
          </cell>
          <cell r="IP303">
            <v>0</v>
          </cell>
          <cell r="IR303">
            <v>0</v>
          </cell>
          <cell r="IT303">
            <v>0</v>
          </cell>
          <cell r="IU303">
            <v>0</v>
          </cell>
        </row>
        <row r="304">
          <cell r="A304" t="str">
            <v>ABSENTEE</v>
          </cell>
          <cell r="E304" t="str">
            <v>232 A. Santos St. Malinta Velenzuela City</v>
          </cell>
          <cell r="S304">
            <v>0</v>
          </cell>
          <cell r="AK304" t="str">
            <v>Owner</v>
          </cell>
          <cell r="AN304">
            <v>0</v>
          </cell>
          <cell r="AQ304">
            <v>0</v>
          </cell>
          <cell r="AS304">
            <v>0</v>
          </cell>
          <cell r="BM304" t="str">
            <v>Residential</v>
          </cell>
          <cell r="BN304">
            <v>0</v>
          </cell>
          <cell r="BR304">
            <v>0</v>
          </cell>
          <cell r="FQ304">
            <v>0</v>
          </cell>
          <cell r="IB304">
            <v>0</v>
          </cell>
          <cell r="IC304">
            <v>0</v>
          </cell>
          <cell r="ID304">
            <v>0</v>
          </cell>
          <cell r="IE304">
            <v>0</v>
          </cell>
          <cell r="IP304">
            <v>0</v>
          </cell>
          <cell r="IR304" t="str">
            <v>Home/Small-scale Industry</v>
          </cell>
          <cell r="IT304">
            <v>0</v>
          </cell>
          <cell r="IU304">
            <v>0</v>
          </cell>
        </row>
        <row r="305">
          <cell r="A305" t="str">
            <v>legal</v>
          </cell>
          <cell r="E305" t="str">
            <v>232 A. Santos St. Malinta Velenzuela City</v>
          </cell>
          <cell r="S305">
            <v>0</v>
          </cell>
          <cell r="AK305" t="str">
            <v>Owner</v>
          </cell>
          <cell r="AN305">
            <v>1</v>
          </cell>
          <cell r="AQ305">
            <v>0</v>
          </cell>
          <cell r="AS305">
            <v>0</v>
          </cell>
          <cell r="BM305" t="str">
            <v>Residential</v>
          </cell>
          <cell r="BN305">
            <v>0</v>
          </cell>
          <cell r="BR305">
            <v>0.25</v>
          </cell>
          <cell r="FQ305" t="str">
            <v>Can Stay</v>
          </cell>
          <cell r="IB305" t="str">
            <v>Y</v>
          </cell>
          <cell r="IC305" t="str">
            <v>Y</v>
          </cell>
          <cell r="ID305">
            <v>0</v>
          </cell>
          <cell r="IE305">
            <v>1</v>
          </cell>
          <cell r="IP305">
            <v>0</v>
          </cell>
          <cell r="IR305">
            <v>0</v>
          </cell>
          <cell r="IT305">
            <v>0</v>
          </cell>
          <cell r="IU305">
            <v>0</v>
          </cell>
        </row>
        <row r="306">
          <cell r="A306" t="str">
            <v>Legal</v>
          </cell>
          <cell r="E306" t="str">
            <v>233 A. Santos St. Malinta Velenzuela City</v>
          </cell>
          <cell r="S306">
            <v>0</v>
          </cell>
          <cell r="AK306" t="str">
            <v>Land Owner</v>
          </cell>
          <cell r="AN306">
            <v>0.38167938931297712</v>
          </cell>
          <cell r="AQ306">
            <v>0</v>
          </cell>
          <cell r="AS306" t="str">
            <v>Y</v>
          </cell>
          <cell r="BM306" t="str">
            <v>Residential</v>
          </cell>
          <cell r="BN306">
            <v>0</v>
          </cell>
          <cell r="BR306">
            <v>0.18939393939393939</v>
          </cell>
          <cell r="FQ306" t="str">
            <v>Can Stay</v>
          </cell>
          <cell r="IB306" t="str">
            <v>Y</v>
          </cell>
          <cell r="IC306">
            <v>0</v>
          </cell>
          <cell r="ID306" t="str">
            <v>Y</v>
          </cell>
          <cell r="IE306" t="str">
            <v>Y</v>
          </cell>
          <cell r="IP306">
            <v>0</v>
          </cell>
          <cell r="IR306">
            <v>0</v>
          </cell>
          <cell r="IT306">
            <v>0</v>
          </cell>
          <cell r="IU306">
            <v>0</v>
          </cell>
        </row>
        <row r="307">
          <cell r="A307" t="str">
            <v>Legal</v>
          </cell>
          <cell r="E307" t="str">
            <v>233 A. Santos St. Malinta Velenzuela City</v>
          </cell>
          <cell r="S307">
            <v>0</v>
          </cell>
          <cell r="AK307" t="str">
            <v>Owner</v>
          </cell>
          <cell r="AN307">
            <v>0</v>
          </cell>
          <cell r="AQ307">
            <v>0</v>
          </cell>
          <cell r="AS307">
            <v>0</v>
          </cell>
          <cell r="BM307" t="str">
            <v>Residential</v>
          </cell>
          <cell r="BN307">
            <v>0</v>
          </cell>
          <cell r="BR307">
            <v>0.18939393939393939</v>
          </cell>
          <cell r="FQ307" t="str">
            <v>Can Stay</v>
          </cell>
          <cell r="IB307" t="str">
            <v>Y</v>
          </cell>
          <cell r="IC307" t="str">
            <v>Y</v>
          </cell>
          <cell r="ID307">
            <v>0</v>
          </cell>
          <cell r="IE307">
            <v>0</v>
          </cell>
          <cell r="IP307">
            <v>0</v>
          </cell>
          <cell r="IR307">
            <v>0</v>
          </cell>
          <cell r="IT307">
            <v>0</v>
          </cell>
          <cell r="IU307">
            <v>0</v>
          </cell>
        </row>
        <row r="308">
          <cell r="A308" t="str">
            <v>Legal</v>
          </cell>
          <cell r="E308" t="str">
            <v>233 A. Santos St. Malinta Velenzuela City</v>
          </cell>
          <cell r="S308">
            <v>0</v>
          </cell>
          <cell r="AK308" t="str">
            <v>Owner</v>
          </cell>
          <cell r="AN308">
            <v>0</v>
          </cell>
          <cell r="AQ308">
            <v>0</v>
          </cell>
          <cell r="AS308">
            <v>0</v>
          </cell>
          <cell r="BM308" t="str">
            <v>Residential</v>
          </cell>
          <cell r="BN308">
            <v>0</v>
          </cell>
          <cell r="BR308">
            <v>0</v>
          </cell>
          <cell r="FQ308" t="str">
            <v>Can Stay</v>
          </cell>
          <cell r="IB308" t="str">
            <v>Y</v>
          </cell>
          <cell r="IC308">
            <v>0</v>
          </cell>
          <cell r="ID308">
            <v>0</v>
          </cell>
          <cell r="IE308">
            <v>0</v>
          </cell>
          <cell r="IP308">
            <v>0</v>
          </cell>
          <cell r="IR308">
            <v>0</v>
          </cell>
          <cell r="IT308">
            <v>0</v>
          </cell>
          <cell r="IU308">
            <v>0</v>
          </cell>
        </row>
        <row r="309">
          <cell r="A309" t="str">
            <v>Legal</v>
          </cell>
          <cell r="E309" t="str">
            <v>233 A. Santos St. Malinta Velenzuela City</v>
          </cell>
          <cell r="AK309" t="str">
            <v>Owner</v>
          </cell>
          <cell r="AN309">
            <v>0.14503816793893129</v>
          </cell>
          <cell r="AQ309">
            <v>0</v>
          </cell>
          <cell r="AS309" t="str">
            <v>Y</v>
          </cell>
          <cell r="BM309" t="str">
            <v>Residential</v>
          </cell>
          <cell r="BN309">
            <v>0</v>
          </cell>
          <cell r="BR309">
            <v>0.19916142557651989</v>
          </cell>
          <cell r="FQ309" t="str">
            <v>Can Stay</v>
          </cell>
          <cell r="IB309" t="str">
            <v>Y</v>
          </cell>
          <cell r="IC309">
            <v>0</v>
          </cell>
          <cell r="ID309">
            <v>1</v>
          </cell>
          <cell r="IE309">
            <v>1</v>
          </cell>
          <cell r="IP309">
            <v>0</v>
          </cell>
          <cell r="IR309">
            <v>0</v>
          </cell>
          <cell r="IT309">
            <v>0</v>
          </cell>
          <cell r="IU309">
            <v>0</v>
          </cell>
        </row>
        <row r="310">
          <cell r="A310" t="str">
            <v>CBL</v>
          </cell>
          <cell r="E310" t="str">
            <v>236 A. Santos St. Malinta Velenzuela City</v>
          </cell>
          <cell r="S310">
            <v>0</v>
          </cell>
          <cell r="AK310" t="str">
            <v>Owner</v>
          </cell>
          <cell r="AN310">
            <v>3.6399999999999995E-2</v>
          </cell>
          <cell r="AQ310">
            <v>0</v>
          </cell>
          <cell r="AS310" t="str">
            <v>Y</v>
          </cell>
          <cell r="BM310" t="str">
            <v>Residential</v>
          </cell>
          <cell r="BN310">
            <v>0</v>
          </cell>
          <cell r="BR310">
            <v>0</v>
          </cell>
          <cell r="FQ310">
            <v>0</v>
          </cell>
          <cell r="IB310">
            <v>0</v>
          </cell>
          <cell r="IC310">
            <v>0</v>
          </cell>
          <cell r="ID310">
            <v>0</v>
          </cell>
          <cell r="IE310">
            <v>0</v>
          </cell>
          <cell r="IP310">
            <v>0</v>
          </cell>
          <cell r="IR310">
            <v>0</v>
          </cell>
          <cell r="IT310">
            <v>0</v>
          </cell>
          <cell r="IU310">
            <v>0</v>
          </cell>
        </row>
        <row r="311">
          <cell r="A311" t="str">
            <v>Legal</v>
          </cell>
          <cell r="E311" t="str">
            <v>852 A. De Castro St. Malinta, Valenzuela City</v>
          </cell>
          <cell r="S311">
            <v>0</v>
          </cell>
          <cell r="AK311" t="str">
            <v>Owner</v>
          </cell>
          <cell r="AN311">
            <v>9.3333333333333338E-2</v>
          </cell>
          <cell r="AQ311">
            <v>0</v>
          </cell>
          <cell r="AS311" t="str">
            <v>Y</v>
          </cell>
          <cell r="BM311" t="str">
            <v>Residential</v>
          </cell>
          <cell r="BN311">
            <v>0</v>
          </cell>
          <cell r="BR311">
            <v>0.15</v>
          </cell>
          <cell r="FQ311">
            <v>0</v>
          </cell>
          <cell r="IB311">
            <v>0</v>
          </cell>
          <cell r="IC311" t="str">
            <v>Y</v>
          </cell>
          <cell r="ID311">
            <v>0</v>
          </cell>
          <cell r="IE311">
            <v>0</v>
          </cell>
          <cell r="IP311">
            <v>0</v>
          </cell>
          <cell r="IR311">
            <v>0</v>
          </cell>
          <cell r="IT311">
            <v>0</v>
          </cell>
          <cell r="IU311">
            <v>0</v>
          </cell>
        </row>
        <row r="312">
          <cell r="A312">
            <v>0</v>
          </cell>
          <cell r="E312" t="str">
            <v>852 A. De Castro St. Malinta, Valenzuela City</v>
          </cell>
          <cell r="S312">
            <v>0</v>
          </cell>
          <cell r="AK312" t="str">
            <v>Owner</v>
          </cell>
          <cell r="AN312">
            <v>0</v>
          </cell>
          <cell r="AQ312">
            <v>0</v>
          </cell>
          <cell r="AS312">
            <v>0</v>
          </cell>
          <cell r="BM312">
            <v>0</v>
          </cell>
          <cell r="BN312">
            <v>0</v>
          </cell>
          <cell r="BR312">
            <v>0</v>
          </cell>
          <cell r="FQ312">
            <v>0</v>
          </cell>
          <cell r="IB312">
            <v>0</v>
          </cell>
          <cell r="IC312">
            <v>0</v>
          </cell>
          <cell r="ID312">
            <v>0</v>
          </cell>
          <cell r="IE312">
            <v>0</v>
          </cell>
          <cell r="IP312">
            <v>0</v>
          </cell>
          <cell r="IR312">
            <v>0</v>
          </cell>
          <cell r="IT312">
            <v>0</v>
          </cell>
          <cell r="IU312">
            <v>0</v>
          </cell>
        </row>
        <row r="313">
          <cell r="A313" t="str">
            <v>legal</v>
          </cell>
          <cell r="E313" t="str">
            <v>854 A. De Castro St. Malinta, Valenzuela City</v>
          </cell>
          <cell r="S313">
            <v>0</v>
          </cell>
          <cell r="AK313" t="str">
            <v>Owner</v>
          </cell>
          <cell r="AN313">
            <v>6.1111111111111109E-2</v>
          </cell>
          <cell r="AQ313">
            <v>0</v>
          </cell>
          <cell r="AS313" t="str">
            <v>Y</v>
          </cell>
          <cell r="BM313" t="str">
            <v>Residential/Commercial</v>
          </cell>
          <cell r="BN313">
            <v>0</v>
          </cell>
          <cell r="BR313">
            <v>0.25454545454545452</v>
          </cell>
          <cell r="FQ313">
            <v>0</v>
          </cell>
          <cell r="IB313">
            <v>0</v>
          </cell>
          <cell r="IC313">
            <v>0</v>
          </cell>
          <cell r="ID313" t="str">
            <v>Y</v>
          </cell>
          <cell r="IE313">
            <v>1</v>
          </cell>
          <cell r="IP313" t="str">
            <v>Owner</v>
          </cell>
          <cell r="IR313" t="str">
            <v>Trading/retailing</v>
          </cell>
          <cell r="IT313">
            <v>0</v>
          </cell>
          <cell r="IU313" t="str">
            <v>x</v>
          </cell>
        </row>
        <row r="314">
          <cell r="A314" t="str">
            <v>legal</v>
          </cell>
          <cell r="E314" t="str">
            <v>856 A. De Castro St. Malinta, Valenzuela City</v>
          </cell>
          <cell r="S314" t="str">
            <v>Male</v>
          </cell>
          <cell r="AK314" t="str">
            <v>Owner</v>
          </cell>
          <cell r="AN314">
            <v>0</v>
          </cell>
          <cell r="AQ314">
            <v>0</v>
          </cell>
          <cell r="AS314" t="str">
            <v>Y</v>
          </cell>
          <cell r="BM314" t="str">
            <v>Residential</v>
          </cell>
          <cell r="BN314" t="str">
            <v>x</v>
          </cell>
          <cell r="BR314">
            <v>0.20370370370370369</v>
          </cell>
          <cell r="FQ314" t="str">
            <v>Need Displacement</v>
          </cell>
          <cell r="IB314" t="str">
            <v>Y</v>
          </cell>
          <cell r="IC314">
            <v>0</v>
          </cell>
          <cell r="ID314">
            <v>0</v>
          </cell>
          <cell r="IE314">
            <v>1</v>
          </cell>
          <cell r="IP314">
            <v>0</v>
          </cell>
          <cell r="IR314">
            <v>0</v>
          </cell>
          <cell r="IT314">
            <v>0</v>
          </cell>
          <cell r="IU314">
            <v>0</v>
          </cell>
        </row>
        <row r="315">
          <cell r="A315" t="str">
            <v>Legal</v>
          </cell>
          <cell r="E315" t="str">
            <v>856 A. De Castro St. Malinta, Valenzuela City</v>
          </cell>
          <cell r="S315">
            <v>0</v>
          </cell>
          <cell r="AK315" t="str">
            <v>Owner</v>
          </cell>
          <cell r="AN315">
            <v>0</v>
          </cell>
          <cell r="AQ315">
            <v>0</v>
          </cell>
          <cell r="AS315">
            <v>0</v>
          </cell>
          <cell r="BM315">
            <v>0</v>
          </cell>
          <cell r="BN315">
            <v>0</v>
          </cell>
          <cell r="BR315">
            <v>0</v>
          </cell>
          <cell r="FQ315">
            <v>0</v>
          </cell>
          <cell r="IB315">
            <v>0</v>
          </cell>
          <cell r="IC315">
            <v>0</v>
          </cell>
          <cell r="ID315">
            <v>0</v>
          </cell>
          <cell r="IE315">
            <v>0</v>
          </cell>
          <cell r="IP315">
            <v>0</v>
          </cell>
          <cell r="IR315">
            <v>0</v>
          </cell>
          <cell r="IT315">
            <v>0</v>
          </cell>
          <cell r="IU315">
            <v>0</v>
          </cell>
        </row>
        <row r="316">
          <cell r="A316" t="str">
            <v>legal</v>
          </cell>
          <cell r="E316" t="str">
            <v>237 A. Santos St. Malinta Velenzuela City</v>
          </cell>
          <cell r="S316" t="str">
            <v>Female</v>
          </cell>
          <cell r="AK316" t="str">
            <v>Dweller</v>
          </cell>
          <cell r="AN316">
            <v>0</v>
          </cell>
          <cell r="AQ316">
            <v>0</v>
          </cell>
          <cell r="AS316">
            <v>0</v>
          </cell>
          <cell r="BM316" t="str">
            <v>Residential</v>
          </cell>
          <cell r="BN316">
            <v>0</v>
          </cell>
          <cell r="BR316">
            <v>0.23148148148148148</v>
          </cell>
          <cell r="FQ316" t="str">
            <v>Can Stay</v>
          </cell>
          <cell r="IB316" t="str">
            <v>Y</v>
          </cell>
          <cell r="IC316" t="str">
            <v>Y</v>
          </cell>
          <cell r="ID316">
            <v>0</v>
          </cell>
          <cell r="IE316">
            <v>0</v>
          </cell>
          <cell r="IP316">
            <v>0</v>
          </cell>
          <cell r="IR316">
            <v>0</v>
          </cell>
          <cell r="IT316">
            <v>0</v>
          </cell>
          <cell r="IU316">
            <v>0</v>
          </cell>
        </row>
        <row r="317">
          <cell r="A317" t="str">
            <v>legal</v>
          </cell>
          <cell r="E317" t="str">
            <v>237 A. Santos St. Malinta Velenzuela City</v>
          </cell>
          <cell r="S317">
            <v>0</v>
          </cell>
          <cell r="AK317" t="str">
            <v>Dweller</v>
          </cell>
          <cell r="AN317">
            <v>0</v>
          </cell>
          <cell r="AQ317">
            <v>0</v>
          </cell>
          <cell r="AS317">
            <v>0</v>
          </cell>
          <cell r="BM317" t="str">
            <v>Residential</v>
          </cell>
          <cell r="BN317">
            <v>0</v>
          </cell>
          <cell r="BR317">
            <v>0</v>
          </cell>
          <cell r="FQ317">
            <v>0</v>
          </cell>
          <cell r="IB317">
            <v>0</v>
          </cell>
          <cell r="IC317">
            <v>0</v>
          </cell>
          <cell r="ID317">
            <v>0</v>
          </cell>
          <cell r="IE317">
            <v>0</v>
          </cell>
          <cell r="IP317">
            <v>0</v>
          </cell>
          <cell r="IR317">
            <v>0</v>
          </cell>
          <cell r="IT317">
            <v>0</v>
          </cell>
          <cell r="IU317">
            <v>0</v>
          </cell>
        </row>
        <row r="318">
          <cell r="A318">
            <v>0</v>
          </cell>
          <cell r="E318" t="str">
            <v>237 A. Santos St. Malinta Velenzuela City</v>
          </cell>
          <cell r="S318">
            <v>0</v>
          </cell>
          <cell r="AK318" t="str">
            <v>Dweller</v>
          </cell>
          <cell r="AN318">
            <v>0.03</v>
          </cell>
          <cell r="AQ318">
            <v>0</v>
          </cell>
          <cell r="AS318" t="str">
            <v>Y</v>
          </cell>
          <cell r="BM318" t="str">
            <v>Residential</v>
          </cell>
          <cell r="BN318">
            <v>0</v>
          </cell>
          <cell r="BR318">
            <v>0.54545454545454541</v>
          </cell>
          <cell r="FQ318" t="str">
            <v>Need Displacement</v>
          </cell>
          <cell r="IB318" t="str">
            <v>y</v>
          </cell>
          <cell r="IC318">
            <v>0</v>
          </cell>
          <cell r="ID318">
            <v>0</v>
          </cell>
          <cell r="IE318">
            <v>0</v>
          </cell>
          <cell r="IP318">
            <v>0</v>
          </cell>
          <cell r="IR318">
            <v>0</v>
          </cell>
          <cell r="IT318">
            <v>0</v>
          </cell>
          <cell r="IU318">
            <v>0</v>
          </cell>
        </row>
        <row r="319">
          <cell r="A319" t="str">
            <v>Legal</v>
          </cell>
          <cell r="E319" t="str">
            <v>Tangke St. Malinta Velenzuela City</v>
          </cell>
          <cell r="S319">
            <v>0</v>
          </cell>
          <cell r="AK319" t="str">
            <v>Employee</v>
          </cell>
          <cell r="AN319">
            <v>0</v>
          </cell>
          <cell r="AQ319">
            <v>0</v>
          </cell>
          <cell r="AS319">
            <v>0</v>
          </cell>
          <cell r="BM319">
            <v>0</v>
          </cell>
          <cell r="BN319">
            <v>0</v>
          </cell>
          <cell r="BR319">
            <v>0</v>
          </cell>
          <cell r="FQ319">
            <v>0</v>
          </cell>
          <cell r="IB319">
            <v>0</v>
          </cell>
          <cell r="IC319">
            <v>0</v>
          </cell>
          <cell r="ID319">
            <v>0</v>
          </cell>
          <cell r="IE319">
            <v>0</v>
          </cell>
          <cell r="IP319">
            <v>0</v>
          </cell>
          <cell r="IR319">
            <v>0</v>
          </cell>
          <cell r="IT319">
            <v>0</v>
          </cell>
          <cell r="IU319">
            <v>0</v>
          </cell>
        </row>
        <row r="320">
          <cell r="A320" t="str">
            <v>Legal</v>
          </cell>
          <cell r="E320" t="str">
            <v>270 Tangke St. Malinta Velenzuela City</v>
          </cell>
          <cell r="S320">
            <v>0</v>
          </cell>
          <cell r="AK320" t="str">
            <v>Adiminstrator</v>
          </cell>
          <cell r="AN320">
            <v>9.6000000000000002E-2</v>
          </cell>
          <cell r="AQ320">
            <v>0</v>
          </cell>
          <cell r="AS320">
            <v>0</v>
          </cell>
          <cell r="BM320" t="str">
            <v>Industrial</v>
          </cell>
          <cell r="BN320">
            <v>0</v>
          </cell>
          <cell r="BR320">
            <v>0.38461538461538464</v>
          </cell>
          <cell r="FQ320">
            <v>0</v>
          </cell>
          <cell r="IB320">
            <v>0</v>
          </cell>
          <cell r="IC320">
            <v>0</v>
          </cell>
          <cell r="ID320">
            <v>0</v>
          </cell>
          <cell r="IE320">
            <v>0</v>
          </cell>
          <cell r="IP320">
            <v>0</v>
          </cell>
          <cell r="IR320">
            <v>0</v>
          </cell>
          <cell r="IT320">
            <v>0</v>
          </cell>
          <cell r="IU320">
            <v>0</v>
          </cell>
        </row>
        <row r="321">
          <cell r="A321" t="str">
            <v>legal</v>
          </cell>
          <cell r="E321" t="str">
            <v>547 Dulong Tangke St. Malinta Valenzuela City</v>
          </cell>
          <cell r="S321" t="str">
            <v>Female</v>
          </cell>
          <cell r="AK321" t="str">
            <v>Owner</v>
          </cell>
          <cell r="AN321">
            <v>4.8333333333333332E-2</v>
          </cell>
          <cell r="AQ321">
            <v>0</v>
          </cell>
          <cell r="AS321" t="str">
            <v>Y</v>
          </cell>
          <cell r="BM321" t="str">
            <v>Residential</v>
          </cell>
          <cell r="BN321" t="str">
            <v>x</v>
          </cell>
          <cell r="BR321">
            <v>0.3392857142857143</v>
          </cell>
          <cell r="FQ321" t="str">
            <v>Need Displacement</v>
          </cell>
          <cell r="IB321">
            <v>0</v>
          </cell>
          <cell r="IC321" t="str">
            <v>Y</v>
          </cell>
          <cell r="ID321" t="str">
            <v>Y</v>
          </cell>
          <cell r="IE321">
            <v>0</v>
          </cell>
          <cell r="IP321" t="str">
            <v>Owner</v>
          </cell>
          <cell r="IR321" t="str">
            <v>Home/Small-scale Industry</v>
          </cell>
          <cell r="IT321">
            <v>0</v>
          </cell>
          <cell r="IU321" t="str">
            <v>x</v>
          </cell>
        </row>
        <row r="322">
          <cell r="A322" t="str">
            <v>legal</v>
          </cell>
          <cell r="E322" t="str">
            <v>547 Dulong Tangke St. Malinta Valenzuela City</v>
          </cell>
          <cell r="S322" t="str">
            <v>Male</v>
          </cell>
          <cell r="AK322">
            <v>0</v>
          </cell>
          <cell r="AN322">
            <v>0</v>
          </cell>
          <cell r="AQ322">
            <v>0</v>
          </cell>
          <cell r="AS322">
            <v>0</v>
          </cell>
          <cell r="BM322" t="str">
            <v>Residential</v>
          </cell>
          <cell r="BN322">
            <v>0</v>
          </cell>
          <cell r="BR322">
            <v>0.3</v>
          </cell>
          <cell r="FQ322" t="str">
            <v>Need Displacement</v>
          </cell>
          <cell r="IB322">
            <v>0</v>
          </cell>
          <cell r="IC322">
            <v>0</v>
          </cell>
          <cell r="ID322">
            <v>0</v>
          </cell>
          <cell r="IE322">
            <v>1</v>
          </cell>
          <cell r="IP322">
            <v>0</v>
          </cell>
          <cell r="IR322">
            <v>0</v>
          </cell>
          <cell r="IT322">
            <v>0</v>
          </cell>
          <cell r="IU322">
            <v>0</v>
          </cell>
        </row>
        <row r="323">
          <cell r="A323" t="str">
            <v>legal</v>
          </cell>
          <cell r="E323" t="str">
            <v>547 Dulong Tangke St. Malinta Valenzuela City</v>
          </cell>
          <cell r="S323">
            <v>0</v>
          </cell>
          <cell r="AK323" t="str">
            <v>Oner</v>
          </cell>
          <cell r="AN323">
            <v>0</v>
          </cell>
          <cell r="AQ323">
            <v>0</v>
          </cell>
          <cell r="AS323" t="str">
            <v>Y</v>
          </cell>
          <cell r="BM323" t="str">
            <v>Residential</v>
          </cell>
          <cell r="BN323">
            <v>0</v>
          </cell>
          <cell r="BR323">
            <v>0</v>
          </cell>
          <cell r="FQ323">
            <v>0</v>
          </cell>
          <cell r="IB323">
            <v>0</v>
          </cell>
          <cell r="IC323">
            <v>0</v>
          </cell>
          <cell r="ID323">
            <v>0</v>
          </cell>
          <cell r="IE323">
            <v>0</v>
          </cell>
          <cell r="IP323">
            <v>0</v>
          </cell>
          <cell r="IR323">
            <v>0</v>
          </cell>
          <cell r="IT323">
            <v>0</v>
          </cell>
          <cell r="IU323">
            <v>0</v>
          </cell>
        </row>
        <row r="324">
          <cell r="A324">
            <v>0</v>
          </cell>
          <cell r="E324" t="str">
            <v>547 Dulong Tangke St. Malinta Valenzuela City</v>
          </cell>
          <cell r="S324">
            <v>0</v>
          </cell>
          <cell r="AK324" t="str">
            <v>Owner</v>
          </cell>
          <cell r="AN324">
            <v>7.5999999999999998E-2</v>
          </cell>
          <cell r="AQ324">
            <v>0</v>
          </cell>
          <cell r="AS324">
            <v>0</v>
          </cell>
          <cell r="BM324" t="str">
            <v>Residential</v>
          </cell>
          <cell r="BN324">
            <v>0</v>
          </cell>
          <cell r="BR324">
            <v>0</v>
          </cell>
          <cell r="FQ324">
            <v>0</v>
          </cell>
          <cell r="IB324">
            <v>0</v>
          </cell>
          <cell r="IC324">
            <v>0</v>
          </cell>
          <cell r="ID324">
            <v>0</v>
          </cell>
          <cell r="IE324">
            <v>0</v>
          </cell>
          <cell r="IP324">
            <v>0</v>
          </cell>
          <cell r="IR324">
            <v>0</v>
          </cell>
          <cell r="IT324">
            <v>0</v>
          </cell>
          <cell r="IU324">
            <v>0</v>
          </cell>
        </row>
        <row r="325">
          <cell r="A325" t="str">
            <v>legal</v>
          </cell>
          <cell r="E325" t="str">
            <v>545 Dulong Tangke St. Malinta Valenzuela City</v>
          </cell>
          <cell r="S325">
            <v>0</v>
          </cell>
          <cell r="AK325" t="str">
            <v>Owner</v>
          </cell>
          <cell r="AN325">
            <v>0</v>
          </cell>
          <cell r="AQ325">
            <v>0</v>
          </cell>
          <cell r="AS325" t="str">
            <v>Y</v>
          </cell>
          <cell r="BM325" t="str">
            <v>Residential</v>
          </cell>
          <cell r="BN325">
            <v>0</v>
          </cell>
          <cell r="BR325">
            <v>0.29411764705882354</v>
          </cell>
          <cell r="FQ325">
            <v>0</v>
          </cell>
          <cell r="IB325">
            <v>0</v>
          </cell>
          <cell r="IC325">
            <v>0</v>
          </cell>
          <cell r="ID325">
            <v>0</v>
          </cell>
          <cell r="IE325">
            <v>0</v>
          </cell>
          <cell r="IP325" t="str">
            <v>Caretaker</v>
          </cell>
          <cell r="IR325" t="str">
            <v>Home/Small-scale Industry</v>
          </cell>
          <cell r="IT325">
            <v>0</v>
          </cell>
          <cell r="IU325">
            <v>0</v>
          </cell>
        </row>
        <row r="326">
          <cell r="A326">
            <v>0</v>
          </cell>
          <cell r="E326" t="str">
            <v>545 Dulong Tangke St. Malinta Valenzuela City</v>
          </cell>
          <cell r="S326">
            <v>0</v>
          </cell>
          <cell r="AK326" t="str">
            <v>Dweller</v>
          </cell>
          <cell r="AN326">
            <v>0</v>
          </cell>
          <cell r="AQ326">
            <v>0</v>
          </cell>
          <cell r="AS326">
            <v>0</v>
          </cell>
          <cell r="BM326" t="str">
            <v>Residential</v>
          </cell>
          <cell r="BN326">
            <v>0</v>
          </cell>
          <cell r="BR326">
            <v>0.29411764705882354</v>
          </cell>
          <cell r="FQ326" t="str">
            <v>Need Displacement</v>
          </cell>
          <cell r="IB326" t="str">
            <v>Y</v>
          </cell>
          <cell r="IC326" t="str">
            <v>Y</v>
          </cell>
          <cell r="ID326">
            <v>0</v>
          </cell>
          <cell r="IE326">
            <v>0</v>
          </cell>
          <cell r="IP326">
            <v>0</v>
          </cell>
          <cell r="IR326">
            <v>0</v>
          </cell>
          <cell r="IT326">
            <v>0</v>
          </cell>
          <cell r="IU326">
            <v>0</v>
          </cell>
        </row>
        <row r="327">
          <cell r="A327">
            <v>0</v>
          </cell>
          <cell r="E327" t="str">
            <v>545 Dulong Tangke St. Malinta Valenzuela City</v>
          </cell>
          <cell r="S327">
            <v>0</v>
          </cell>
          <cell r="AK327" t="str">
            <v>Dweller</v>
          </cell>
          <cell r="AN327">
            <v>0</v>
          </cell>
          <cell r="AQ327">
            <v>0</v>
          </cell>
          <cell r="AS327">
            <v>0</v>
          </cell>
          <cell r="BM327" t="str">
            <v>Residential</v>
          </cell>
          <cell r="BN327">
            <v>0</v>
          </cell>
          <cell r="BR327">
            <v>0.29411764705882354</v>
          </cell>
          <cell r="FQ327" t="str">
            <v>Need Displacement</v>
          </cell>
          <cell r="IB327">
            <v>0</v>
          </cell>
          <cell r="IC327">
            <v>0</v>
          </cell>
          <cell r="ID327">
            <v>0</v>
          </cell>
          <cell r="IE327">
            <v>0</v>
          </cell>
          <cell r="IP327">
            <v>0</v>
          </cell>
          <cell r="IR327">
            <v>0</v>
          </cell>
          <cell r="IT327">
            <v>0</v>
          </cell>
          <cell r="IU327">
            <v>0</v>
          </cell>
        </row>
        <row r="328">
          <cell r="A328" t="str">
            <v>legal</v>
          </cell>
          <cell r="E328" t="str">
            <v>545 Dulong Tangke St. Malinta Valenzuela City</v>
          </cell>
          <cell r="S328">
            <v>0</v>
          </cell>
          <cell r="AK328" t="str">
            <v>Owner</v>
          </cell>
          <cell r="AN328">
            <v>0</v>
          </cell>
          <cell r="AQ328">
            <v>0</v>
          </cell>
          <cell r="AS328" t="str">
            <v>Y</v>
          </cell>
          <cell r="BM328" t="str">
            <v>Residential</v>
          </cell>
          <cell r="BN328">
            <v>0</v>
          </cell>
          <cell r="BR328">
            <v>0.36363636363636365</v>
          </cell>
          <cell r="FQ328">
            <v>0</v>
          </cell>
          <cell r="IB328">
            <v>0</v>
          </cell>
          <cell r="IC328">
            <v>0</v>
          </cell>
          <cell r="ID328">
            <v>0</v>
          </cell>
          <cell r="IE328">
            <v>0</v>
          </cell>
          <cell r="IP328" t="str">
            <v>Caretaker</v>
          </cell>
          <cell r="IR328" t="str">
            <v>Home/Small-scale Industry</v>
          </cell>
          <cell r="IT328">
            <v>0</v>
          </cell>
          <cell r="IU328">
            <v>0</v>
          </cell>
        </row>
        <row r="329">
          <cell r="A329">
            <v>0</v>
          </cell>
          <cell r="E329" t="str">
            <v>545 Dulong Tangke St. Malinta Valenzuela City</v>
          </cell>
          <cell r="S329">
            <v>0</v>
          </cell>
          <cell r="AK329" t="str">
            <v>Dweller</v>
          </cell>
          <cell r="AN329">
            <v>0</v>
          </cell>
          <cell r="AQ329">
            <v>0</v>
          </cell>
          <cell r="AS329">
            <v>0</v>
          </cell>
          <cell r="BM329" t="str">
            <v>Residential</v>
          </cell>
          <cell r="BN329">
            <v>0</v>
          </cell>
          <cell r="BR329">
            <v>0.36363636363636365</v>
          </cell>
          <cell r="FQ329">
            <v>0</v>
          </cell>
          <cell r="IB329" t="str">
            <v>Y</v>
          </cell>
          <cell r="IC329" t="str">
            <v>Y</v>
          </cell>
          <cell r="ID329">
            <v>0</v>
          </cell>
          <cell r="IE329">
            <v>0</v>
          </cell>
          <cell r="IP329">
            <v>0</v>
          </cell>
          <cell r="IR329">
            <v>0</v>
          </cell>
          <cell r="IT329">
            <v>0</v>
          </cell>
          <cell r="IU329">
            <v>0</v>
          </cell>
        </row>
        <row r="330">
          <cell r="A330">
            <v>0</v>
          </cell>
          <cell r="E330" t="str">
            <v>545 Dulong Tangke St. Malinta Valenzuela City</v>
          </cell>
          <cell r="S330">
            <v>0</v>
          </cell>
          <cell r="AK330" t="str">
            <v>Dweller</v>
          </cell>
          <cell r="AN330">
            <v>0.36363636363636365</v>
          </cell>
          <cell r="AQ330">
            <v>0</v>
          </cell>
          <cell r="AS330">
            <v>0</v>
          </cell>
          <cell r="BM330" t="str">
            <v>Residential</v>
          </cell>
          <cell r="BN330">
            <v>0</v>
          </cell>
          <cell r="BR330">
            <v>0.36363636363636365</v>
          </cell>
          <cell r="FQ330" t="str">
            <v>Need Displacement</v>
          </cell>
          <cell r="IB330">
            <v>0</v>
          </cell>
          <cell r="IC330">
            <v>0</v>
          </cell>
          <cell r="ID330">
            <v>0</v>
          </cell>
          <cell r="IE330">
            <v>0</v>
          </cell>
          <cell r="IP330">
            <v>0</v>
          </cell>
          <cell r="IR330">
            <v>0</v>
          </cell>
          <cell r="IT330">
            <v>0</v>
          </cell>
          <cell r="IU330">
            <v>0</v>
          </cell>
        </row>
        <row r="331">
          <cell r="A331" t="str">
            <v>legal</v>
          </cell>
          <cell r="E331" t="str">
            <v>Dulong Tangke, Malinta Valenzuela City</v>
          </cell>
          <cell r="S331">
            <v>0</v>
          </cell>
          <cell r="AK331" t="str">
            <v>Owner</v>
          </cell>
          <cell r="AN331">
            <v>0.06</v>
          </cell>
          <cell r="AQ331">
            <v>0</v>
          </cell>
          <cell r="AS331" t="str">
            <v>Y</v>
          </cell>
          <cell r="BM331">
            <v>0</v>
          </cell>
          <cell r="BN331">
            <v>0</v>
          </cell>
          <cell r="BR331">
            <v>0</v>
          </cell>
          <cell r="FQ331">
            <v>0</v>
          </cell>
          <cell r="IB331" t="str">
            <v>Y</v>
          </cell>
          <cell r="IC331" t="str">
            <v>Y</v>
          </cell>
          <cell r="ID331">
            <v>0</v>
          </cell>
          <cell r="IE331">
            <v>0</v>
          </cell>
          <cell r="IP331">
            <v>0</v>
          </cell>
          <cell r="IR331">
            <v>0</v>
          </cell>
          <cell r="IT331">
            <v>0</v>
          </cell>
          <cell r="IU331">
            <v>0</v>
          </cell>
        </row>
        <row r="332">
          <cell r="E332" t="str">
            <v>536 Dulong Tangke St. Malinta Valenzuela City</v>
          </cell>
          <cell r="S332">
            <v>0</v>
          </cell>
          <cell r="AK332" t="str">
            <v>Owner</v>
          </cell>
          <cell r="AN332">
            <v>0</v>
          </cell>
          <cell r="AQ332">
            <v>0</v>
          </cell>
          <cell r="AS332">
            <v>0</v>
          </cell>
          <cell r="BM332" t="str">
            <v>Residential</v>
          </cell>
          <cell r="BN332">
            <v>0</v>
          </cell>
          <cell r="BR332">
            <v>0.15555555555555556</v>
          </cell>
          <cell r="FQ332">
            <v>0</v>
          </cell>
          <cell r="IB332">
            <v>0</v>
          </cell>
          <cell r="IC332">
            <v>0</v>
          </cell>
          <cell r="ID332">
            <v>0</v>
          </cell>
          <cell r="IE332">
            <v>0</v>
          </cell>
          <cell r="IP332">
            <v>0</v>
          </cell>
          <cell r="IR332">
            <v>0</v>
          </cell>
          <cell r="IT332">
            <v>0</v>
          </cell>
          <cell r="IU332">
            <v>0</v>
          </cell>
        </row>
        <row r="333">
          <cell r="A333">
            <v>0</v>
          </cell>
          <cell r="E333" t="str">
            <v>536 Dulong Tangke St. Malinta Valenzuela City</v>
          </cell>
          <cell r="S333">
            <v>0</v>
          </cell>
          <cell r="AK333" t="str">
            <v>Owner</v>
          </cell>
          <cell r="AN333">
            <v>0</v>
          </cell>
          <cell r="AQ333">
            <v>0</v>
          </cell>
          <cell r="AS333">
            <v>0</v>
          </cell>
          <cell r="BM333" t="str">
            <v>Residential</v>
          </cell>
          <cell r="BN333">
            <v>0</v>
          </cell>
          <cell r="BR333">
            <v>0.15555555555555556</v>
          </cell>
          <cell r="FQ333">
            <v>0</v>
          </cell>
          <cell r="IB333" t="str">
            <v>Y</v>
          </cell>
          <cell r="IC333" t="str">
            <v>Y</v>
          </cell>
          <cell r="ID333">
            <v>0</v>
          </cell>
          <cell r="IE333">
            <v>0</v>
          </cell>
          <cell r="IP333">
            <v>0</v>
          </cell>
          <cell r="IR333">
            <v>0</v>
          </cell>
          <cell r="IT333">
            <v>0</v>
          </cell>
          <cell r="IU333">
            <v>0</v>
          </cell>
        </row>
        <row r="334">
          <cell r="A334" t="str">
            <v>Legal</v>
          </cell>
          <cell r="E334" t="str">
            <v>576 Dulong Tangke St. Malinta Valenzuela City</v>
          </cell>
          <cell r="S334">
            <v>0</v>
          </cell>
          <cell r="AK334" t="str">
            <v>Owner</v>
          </cell>
          <cell r="AN334">
            <v>0.189873417721519</v>
          </cell>
          <cell r="AQ334">
            <v>0</v>
          </cell>
          <cell r="AS334" t="str">
            <v>Y</v>
          </cell>
          <cell r="BM334" t="str">
            <v>Residential</v>
          </cell>
          <cell r="BN334">
            <v>0</v>
          </cell>
          <cell r="BR334">
            <v>0.75</v>
          </cell>
          <cell r="FQ334">
            <v>0</v>
          </cell>
          <cell r="IB334">
            <v>0</v>
          </cell>
          <cell r="IC334">
            <v>0</v>
          </cell>
          <cell r="ID334">
            <v>2</v>
          </cell>
          <cell r="IE334">
            <v>0</v>
          </cell>
          <cell r="IP334" t="str">
            <v>Owner</v>
          </cell>
          <cell r="IR334" t="str">
            <v>Home/Small-scale Industry</v>
          </cell>
          <cell r="IT334">
            <v>0</v>
          </cell>
          <cell r="IU334" t="str">
            <v>x</v>
          </cell>
        </row>
        <row r="335">
          <cell r="A335">
            <v>0</v>
          </cell>
          <cell r="E335" t="str">
            <v>576 Dulong Tangke St. Malinta Valenzuela City</v>
          </cell>
          <cell r="S335">
            <v>0</v>
          </cell>
          <cell r="AK335" t="str">
            <v>Dweller</v>
          </cell>
          <cell r="AN335">
            <v>0.189873417721519</v>
          </cell>
          <cell r="AQ335">
            <v>0</v>
          </cell>
          <cell r="AS335">
            <v>0</v>
          </cell>
          <cell r="BM335" t="str">
            <v>Residential</v>
          </cell>
          <cell r="BN335">
            <v>0</v>
          </cell>
          <cell r="BR335">
            <v>0.75</v>
          </cell>
          <cell r="FQ335">
            <v>0</v>
          </cell>
          <cell r="IB335" t="str">
            <v>Y</v>
          </cell>
          <cell r="IC335">
            <v>0</v>
          </cell>
          <cell r="ID335">
            <v>0</v>
          </cell>
          <cell r="IE335">
            <v>0</v>
          </cell>
          <cell r="IP335">
            <v>0</v>
          </cell>
          <cell r="IR335">
            <v>0</v>
          </cell>
          <cell r="IT335">
            <v>0</v>
          </cell>
          <cell r="IU335">
            <v>0</v>
          </cell>
        </row>
        <row r="336">
          <cell r="A336">
            <v>0</v>
          </cell>
          <cell r="E336" t="str">
            <v>576 Dulong Tangke St. Malinta Valenzuela City</v>
          </cell>
          <cell r="S336">
            <v>0</v>
          </cell>
          <cell r="AK336" t="str">
            <v>Land Owner</v>
          </cell>
          <cell r="AN336">
            <v>0.32307692307692309</v>
          </cell>
          <cell r="AQ336">
            <v>0</v>
          </cell>
          <cell r="AS336" t="str">
            <v>Y</v>
          </cell>
          <cell r="BM336" t="str">
            <v>Residential/Commercial</v>
          </cell>
          <cell r="BN336">
            <v>0</v>
          </cell>
          <cell r="BR336">
            <v>0.88541666666666663</v>
          </cell>
          <cell r="FQ336">
            <v>0</v>
          </cell>
          <cell r="IB336">
            <v>0</v>
          </cell>
          <cell r="IC336">
            <v>0</v>
          </cell>
          <cell r="ID336">
            <v>0</v>
          </cell>
          <cell r="IE336">
            <v>0</v>
          </cell>
          <cell r="IP336">
            <v>0</v>
          </cell>
          <cell r="IR336">
            <v>0</v>
          </cell>
          <cell r="IT336">
            <v>0</v>
          </cell>
          <cell r="IU336">
            <v>0</v>
          </cell>
        </row>
        <row r="337">
          <cell r="A337" t="str">
            <v>legal</v>
          </cell>
          <cell r="E337" t="str">
            <v>576 Dulong Tangke St. Malinta Valenzuela City</v>
          </cell>
          <cell r="S337" t="str">
            <v>Male</v>
          </cell>
          <cell r="AK337" t="str">
            <v>Dweller</v>
          </cell>
          <cell r="AN337">
            <v>0.32307692307692309</v>
          </cell>
          <cell r="AQ337">
            <v>0</v>
          </cell>
          <cell r="AS337">
            <v>0</v>
          </cell>
          <cell r="BM337" t="str">
            <v>Residential/Commercial</v>
          </cell>
          <cell r="BN337">
            <v>1</v>
          </cell>
          <cell r="BR337">
            <v>0.88541666666666663</v>
          </cell>
          <cell r="FQ337" t="str">
            <v>Need Displacement</v>
          </cell>
          <cell r="IB337">
            <v>0</v>
          </cell>
          <cell r="IC337">
            <v>0</v>
          </cell>
          <cell r="ID337">
            <v>0</v>
          </cell>
          <cell r="IE337">
            <v>1</v>
          </cell>
          <cell r="IP337" t="str">
            <v>Inherited</v>
          </cell>
          <cell r="IR337" t="str">
            <v>Trading/retailing</v>
          </cell>
          <cell r="IT337">
            <v>0</v>
          </cell>
          <cell r="IU337" t="str">
            <v>x</v>
          </cell>
        </row>
        <row r="338">
          <cell r="A338" t="str">
            <v>legal</v>
          </cell>
          <cell r="E338" t="str">
            <v>577 Dulong Tangke St. Malinta Valenzuela City</v>
          </cell>
          <cell r="S338" t="str">
            <v>Female</v>
          </cell>
          <cell r="AK338" t="str">
            <v>Owner</v>
          </cell>
          <cell r="AN338">
            <v>0</v>
          </cell>
          <cell r="AQ338">
            <v>0</v>
          </cell>
          <cell r="AS338" t="str">
            <v>Y</v>
          </cell>
          <cell r="BM338" t="str">
            <v>Residential</v>
          </cell>
          <cell r="BN338">
            <v>1</v>
          </cell>
          <cell r="BR338">
            <v>1</v>
          </cell>
          <cell r="FQ338" t="str">
            <v>Need Displacement</v>
          </cell>
          <cell r="IB338" t="str">
            <v>Y</v>
          </cell>
          <cell r="IC338" t="str">
            <v>Y</v>
          </cell>
          <cell r="ID338">
            <v>0</v>
          </cell>
          <cell r="IE338">
            <v>0</v>
          </cell>
          <cell r="IP338" t="str">
            <v>Owner</v>
          </cell>
          <cell r="IR338" t="str">
            <v>Home/Small-scale Industry</v>
          </cell>
          <cell r="IT338">
            <v>0</v>
          </cell>
          <cell r="IU338" t="str">
            <v>x</v>
          </cell>
        </row>
        <row r="339">
          <cell r="A339" t="str">
            <v>legal</v>
          </cell>
          <cell r="E339" t="str">
            <v>577 Dulong Tangke St. Malinta Valenzuela City</v>
          </cell>
          <cell r="S339" t="str">
            <v>Male</v>
          </cell>
          <cell r="AK339" t="str">
            <v>Dweller</v>
          </cell>
          <cell r="AN339">
            <v>0</v>
          </cell>
          <cell r="AQ339">
            <v>0</v>
          </cell>
          <cell r="AS339">
            <v>0</v>
          </cell>
          <cell r="BM339" t="str">
            <v>Residential</v>
          </cell>
          <cell r="BN339">
            <v>0</v>
          </cell>
          <cell r="BR339">
            <v>1</v>
          </cell>
          <cell r="FQ339" t="str">
            <v>Need Displacement</v>
          </cell>
          <cell r="IB339">
            <v>0</v>
          </cell>
          <cell r="IC339">
            <v>0</v>
          </cell>
          <cell r="ID339">
            <v>0</v>
          </cell>
          <cell r="IE339">
            <v>0</v>
          </cell>
          <cell r="IP339">
            <v>0</v>
          </cell>
          <cell r="IR339">
            <v>0</v>
          </cell>
          <cell r="IT339">
            <v>0</v>
          </cell>
          <cell r="IU339">
            <v>0</v>
          </cell>
        </row>
        <row r="340">
          <cell r="A340">
            <v>0</v>
          </cell>
          <cell r="E340" t="str">
            <v>577 Dulong Tangke St. Malinta Valenzuela City</v>
          </cell>
          <cell r="S340" t="str">
            <v>Female</v>
          </cell>
          <cell r="AK340" t="str">
            <v>Dweller</v>
          </cell>
          <cell r="AN340">
            <v>0</v>
          </cell>
          <cell r="AQ340">
            <v>0</v>
          </cell>
          <cell r="AS340">
            <v>0</v>
          </cell>
          <cell r="BM340" t="str">
            <v>Residential</v>
          </cell>
          <cell r="BN340">
            <v>0</v>
          </cell>
          <cell r="BR340">
            <v>1</v>
          </cell>
          <cell r="FQ340">
            <v>0</v>
          </cell>
          <cell r="IB340">
            <v>0</v>
          </cell>
          <cell r="IC340">
            <v>0</v>
          </cell>
          <cell r="ID340">
            <v>0</v>
          </cell>
          <cell r="IE340">
            <v>0</v>
          </cell>
          <cell r="IP340">
            <v>0</v>
          </cell>
          <cell r="IR340">
            <v>0</v>
          </cell>
          <cell r="IT340">
            <v>0</v>
          </cell>
          <cell r="IU340">
            <v>0</v>
          </cell>
        </row>
        <row r="341">
          <cell r="A341" t="str">
            <v>legal</v>
          </cell>
          <cell r="E341" t="str">
            <v>577 Dulong Tangke St. Malinta Valenzuela City</v>
          </cell>
          <cell r="S341" t="str">
            <v>Female</v>
          </cell>
          <cell r="AK341" t="str">
            <v>Owner</v>
          </cell>
          <cell r="AN341">
            <v>0</v>
          </cell>
          <cell r="AQ341">
            <v>0</v>
          </cell>
          <cell r="AS341" t="str">
            <v>Y</v>
          </cell>
          <cell r="BM341" t="str">
            <v>Residential</v>
          </cell>
          <cell r="BN341">
            <v>1</v>
          </cell>
          <cell r="BR341">
            <v>1</v>
          </cell>
          <cell r="FQ341" t="str">
            <v>Need Displacement</v>
          </cell>
          <cell r="IB341">
            <v>0</v>
          </cell>
          <cell r="IC341" t="str">
            <v>Y</v>
          </cell>
          <cell r="ID341">
            <v>0</v>
          </cell>
          <cell r="IE341">
            <v>0</v>
          </cell>
          <cell r="IP341">
            <v>0</v>
          </cell>
          <cell r="IR341">
            <v>0</v>
          </cell>
          <cell r="IT341">
            <v>0</v>
          </cell>
          <cell r="IU341">
            <v>0</v>
          </cell>
        </row>
        <row r="342">
          <cell r="A342" t="str">
            <v>legal</v>
          </cell>
          <cell r="E342" t="str">
            <v>579 Dulong Tangke St. Malinta Valenzuela City</v>
          </cell>
          <cell r="S342">
            <v>0</v>
          </cell>
          <cell r="AK342" t="str">
            <v>Owner</v>
          </cell>
          <cell r="AN342">
            <v>0.17142857142857143</v>
          </cell>
          <cell r="AQ342">
            <v>0</v>
          </cell>
          <cell r="AS342" t="str">
            <v>Y</v>
          </cell>
          <cell r="BM342" t="str">
            <v>Residential</v>
          </cell>
          <cell r="BN342">
            <v>0</v>
          </cell>
          <cell r="BR342">
            <v>0.24374999999999999</v>
          </cell>
          <cell r="FQ342" t="str">
            <v>Need Displacement</v>
          </cell>
          <cell r="IB342" t="str">
            <v>Y</v>
          </cell>
          <cell r="IC342" t="str">
            <v>Y</v>
          </cell>
          <cell r="ID342">
            <v>2</v>
          </cell>
          <cell r="IE342">
            <v>0</v>
          </cell>
          <cell r="IP342" t="str">
            <v>Owner</v>
          </cell>
          <cell r="IR342" t="str">
            <v>Home/Small-scale Industry</v>
          </cell>
          <cell r="IT342" t="str">
            <v>x</v>
          </cell>
          <cell r="IU342">
            <v>0</v>
          </cell>
        </row>
        <row r="343">
          <cell r="A343">
            <v>0</v>
          </cell>
          <cell r="E343" t="str">
            <v>579 Dulong Tangke St. Malinta Valenzuela City</v>
          </cell>
          <cell r="S343" t="str">
            <v>Male</v>
          </cell>
          <cell r="AK343" t="str">
            <v>Dweller</v>
          </cell>
          <cell r="AN343">
            <v>0</v>
          </cell>
          <cell r="AQ343">
            <v>0</v>
          </cell>
          <cell r="AS343">
            <v>0</v>
          </cell>
          <cell r="BM343" t="str">
            <v>Residential</v>
          </cell>
          <cell r="BN343">
            <v>0</v>
          </cell>
          <cell r="BR343">
            <v>0</v>
          </cell>
          <cell r="FQ343" t="str">
            <v>Need Displacement</v>
          </cell>
          <cell r="IB343" t="str">
            <v>Y</v>
          </cell>
          <cell r="IC343">
            <v>0</v>
          </cell>
          <cell r="ID343">
            <v>0</v>
          </cell>
          <cell r="IE343">
            <v>0</v>
          </cell>
          <cell r="IP343">
            <v>0</v>
          </cell>
          <cell r="IR343">
            <v>0</v>
          </cell>
          <cell r="IT343">
            <v>0</v>
          </cell>
          <cell r="IU343">
            <v>0</v>
          </cell>
        </row>
        <row r="344">
          <cell r="A344">
            <v>0</v>
          </cell>
          <cell r="E344" t="str">
            <v>579 Dulong Tangke St. Malinta Valenzuela City</v>
          </cell>
          <cell r="S344" t="str">
            <v>Female</v>
          </cell>
          <cell r="AK344" t="str">
            <v>Dweller</v>
          </cell>
          <cell r="AN344">
            <v>0</v>
          </cell>
          <cell r="AQ344">
            <v>0</v>
          </cell>
          <cell r="AS344">
            <v>0</v>
          </cell>
          <cell r="BM344" t="str">
            <v>Residential</v>
          </cell>
          <cell r="BN344">
            <v>0</v>
          </cell>
          <cell r="BR344">
            <v>0</v>
          </cell>
          <cell r="FQ344" t="str">
            <v>Need Displacement</v>
          </cell>
          <cell r="IB344">
            <v>0</v>
          </cell>
          <cell r="IC344" t="str">
            <v>Y</v>
          </cell>
          <cell r="ID344">
            <v>0</v>
          </cell>
          <cell r="IE344">
            <v>0</v>
          </cell>
          <cell r="IP344">
            <v>0</v>
          </cell>
          <cell r="IR344">
            <v>0</v>
          </cell>
          <cell r="IT344">
            <v>0</v>
          </cell>
          <cell r="IU344">
            <v>0</v>
          </cell>
        </row>
        <row r="345">
          <cell r="A345">
            <v>0</v>
          </cell>
          <cell r="E345" t="str">
            <v>581 Dulong Tangke St. Malinta Valenzuela City</v>
          </cell>
          <cell r="S345">
            <v>0</v>
          </cell>
          <cell r="AK345" t="str">
            <v>Dweller</v>
          </cell>
          <cell r="AN345">
            <v>0</v>
          </cell>
          <cell r="AQ345">
            <v>0</v>
          </cell>
          <cell r="AS345">
            <v>0</v>
          </cell>
          <cell r="BM345" t="str">
            <v>Residential</v>
          </cell>
          <cell r="BN345">
            <v>0</v>
          </cell>
          <cell r="BR345">
            <v>0</v>
          </cell>
          <cell r="FQ345" t="str">
            <v>Can Stay</v>
          </cell>
          <cell r="IB345" t="str">
            <v>Y</v>
          </cell>
          <cell r="IC345">
            <v>0</v>
          </cell>
          <cell r="ID345">
            <v>0</v>
          </cell>
          <cell r="IE345">
            <v>0</v>
          </cell>
          <cell r="IP345">
            <v>0</v>
          </cell>
          <cell r="IR345">
            <v>0</v>
          </cell>
          <cell r="IT345">
            <v>0</v>
          </cell>
          <cell r="IU345">
            <v>0</v>
          </cell>
        </row>
        <row r="346">
          <cell r="A346" t="str">
            <v>legal</v>
          </cell>
          <cell r="E346" t="str">
            <v>576 Dulong Tangke St. Malinta Valenzuela City</v>
          </cell>
          <cell r="S346">
            <v>0</v>
          </cell>
          <cell r="AK346" t="str">
            <v>Owner</v>
          </cell>
          <cell r="AN346">
            <v>0</v>
          </cell>
          <cell r="AQ346">
            <v>0</v>
          </cell>
          <cell r="AS346" t="str">
            <v>Y</v>
          </cell>
          <cell r="BM346" t="str">
            <v>Residential</v>
          </cell>
          <cell r="BN346">
            <v>0</v>
          </cell>
          <cell r="BR346">
            <v>1</v>
          </cell>
          <cell r="FQ346">
            <v>0</v>
          </cell>
          <cell r="IB346">
            <v>0</v>
          </cell>
          <cell r="IC346">
            <v>0</v>
          </cell>
          <cell r="ID346">
            <v>0</v>
          </cell>
          <cell r="IE346">
            <v>0</v>
          </cell>
          <cell r="IP346">
            <v>0</v>
          </cell>
          <cell r="IR346" t="str">
            <v>Home/Small-scale Industry</v>
          </cell>
          <cell r="IT346" t="str">
            <v>x</v>
          </cell>
          <cell r="IU346">
            <v>0</v>
          </cell>
        </row>
        <row r="347">
          <cell r="A347" t="str">
            <v>legal</v>
          </cell>
          <cell r="E347" t="str">
            <v>576 Dulong Tangke St. Malinta Valenzuela City</v>
          </cell>
          <cell r="S347" t="str">
            <v>Male</v>
          </cell>
          <cell r="AK347" t="str">
            <v>Renter</v>
          </cell>
          <cell r="AN347">
            <v>0</v>
          </cell>
          <cell r="AQ347">
            <v>0</v>
          </cell>
          <cell r="AS347">
            <v>0</v>
          </cell>
          <cell r="BM347" t="str">
            <v>Residential</v>
          </cell>
          <cell r="BN347">
            <v>0</v>
          </cell>
          <cell r="BR347">
            <v>1</v>
          </cell>
          <cell r="FQ347" t="str">
            <v>Need Displacement</v>
          </cell>
          <cell r="IB347">
            <v>0</v>
          </cell>
          <cell r="IC347">
            <v>0</v>
          </cell>
          <cell r="ID347">
            <v>0</v>
          </cell>
          <cell r="IE347">
            <v>0</v>
          </cell>
          <cell r="IP347">
            <v>0</v>
          </cell>
          <cell r="IR347">
            <v>0</v>
          </cell>
          <cell r="IT347">
            <v>0</v>
          </cell>
          <cell r="IU347">
            <v>0</v>
          </cell>
        </row>
        <row r="348">
          <cell r="A348" t="str">
            <v>legal</v>
          </cell>
          <cell r="E348" t="str">
            <v>583 Dulong Tangke St. Malinta Valenzuela City</v>
          </cell>
          <cell r="S348">
            <v>0</v>
          </cell>
          <cell r="AK348" t="str">
            <v>Owner</v>
          </cell>
          <cell r="AN348">
            <v>0</v>
          </cell>
          <cell r="AQ348">
            <v>0</v>
          </cell>
          <cell r="AS348" t="str">
            <v>Y</v>
          </cell>
          <cell r="BM348" t="str">
            <v>Residential</v>
          </cell>
          <cell r="BN348">
            <v>0</v>
          </cell>
          <cell r="BR348">
            <v>0</v>
          </cell>
          <cell r="FQ348">
            <v>0</v>
          </cell>
          <cell r="IB348">
            <v>0</v>
          </cell>
          <cell r="IC348" t="str">
            <v>Y</v>
          </cell>
          <cell r="ID348">
            <v>0</v>
          </cell>
          <cell r="IE348">
            <v>0</v>
          </cell>
          <cell r="IP348">
            <v>0</v>
          </cell>
          <cell r="IR348">
            <v>0</v>
          </cell>
          <cell r="IT348">
            <v>0</v>
          </cell>
          <cell r="IU348">
            <v>0</v>
          </cell>
        </row>
        <row r="349">
          <cell r="A349" t="str">
            <v>legal</v>
          </cell>
          <cell r="E349" t="str">
            <v>583 Dulong Tangke St. Malinta Valenzuela City</v>
          </cell>
          <cell r="S349">
            <v>0</v>
          </cell>
          <cell r="AK349" t="str">
            <v>Owner</v>
          </cell>
          <cell r="AN349">
            <v>0</v>
          </cell>
          <cell r="AQ349">
            <v>0</v>
          </cell>
          <cell r="AS349" t="str">
            <v>Y</v>
          </cell>
          <cell r="BM349" t="str">
            <v>Residential</v>
          </cell>
          <cell r="BN349">
            <v>0</v>
          </cell>
          <cell r="BR349">
            <v>1</v>
          </cell>
          <cell r="FQ349">
            <v>0</v>
          </cell>
          <cell r="IB349" t="str">
            <v>Y</v>
          </cell>
          <cell r="IC349">
            <v>0</v>
          </cell>
          <cell r="ID349">
            <v>0</v>
          </cell>
          <cell r="IE349">
            <v>0</v>
          </cell>
          <cell r="IP349">
            <v>0</v>
          </cell>
          <cell r="IR349" t="str">
            <v>Home/Small-scale Industry</v>
          </cell>
          <cell r="IT349" t="str">
            <v>x</v>
          </cell>
          <cell r="IU349">
            <v>0</v>
          </cell>
        </row>
        <row r="350">
          <cell r="A350" t="str">
            <v>legal</v>
          </cell>
          <cell r="E350" t="str">
            <v>576 Dulong Tangke St. Malinta Valenzuela City</v>
          </cell>
          <cell r="S350" t="str">
            <v>Male</v>
          </cell>
          <cell r="AK350" t="str">
            <v>Dweller</v>
          </cell>
          <cell r="AN350">
            <v>0</v>
          </cell>
          <cell r="AQ350">
            <v>0</v>
          </cell>
          <cell r="AS350">
            <v>0</v>
          </cell>
          <cell r="BM350" t="str">
            <v>Residential</v>
          </cell>
          <cell r="BN350">
            <v>0</v>
          </cell>
          <cell r="BR350">
            <v>1</v>
          </cell>
          <cell r="FQ350" t="str">
            <v>Need Displacement</v>
          </cell>
          <cell r="IB350" t="str">
            <v>Y</v>
          </cell>
          <cell r="IC350">
            <v>0</v>
          </cell>
          <cell r="ID350">
            <v>0</v>
          </cell>
          <cell r="IE350">
            <v>0</v>
          </cell>
          <cell r="IP350">
            <v>0</v>
          </cell>
          <cell r="IR350">
            <v>0</v>
          </cell>
          <cell r="IT350">
            <v>0</v>
          </cell>
          <cell r="IU350">
            <v>0</v>
          </cell>
        </row>
        <row r="351">
          <cell r="A351">
            <v>0</v>
          </cell>
          <cell r="E351" t="str">
            <v>576 Dulong Tangke St. Malinta Valenzuela City</v>
          </cell>
          <cell r="S351">
            <v>0</v>
          </cell>
          <cell r="AK351" t="str">
            <v>Owner</v>
          </cell>
          <cell r="AN351">
            <v>0</v>
          </cell>
          <cell r="AQ351">
            <v>0</v>
          </cell>
          <cell r="AS351">
            <v>0</v>
          </cell>
          <cell r="BM351" t="str">
            <v>Residential</v>
          </cell>
          <cell r="BN351">
            <v>0</v>
          </cell>
          <cell r="BR351">
            <v>0.37190082644628097</v>
          </cell>
          <cell r="FQ351">
            <v>0</v>
          </cell>
          <cell r="IB351">
            <v>0</v>
          </cell>
          <cell r="IC351">
            <v>0</v>
          </cell>
          <cell r="ID351">
            <v>0</v>
          </cell>
          <cell r="IE351">
            <v>0</v>
          </cell>
          <cell r="IP351">
            <v>0</v>
          </cell>
          <cell r="IR351" t="str">
            <v>Home/Small-scale Industry</v>
          </cell>
          <cell r="IT351" t="str">
            <v>x</v>
          </cell>
          <cell r="IU351">
            <v>0</v>
          </cell>
        </row>
        <row r="352">
          <cell r="A352">
            <v>0</v>
          </cell>
          <cell r="E352" t="str">
            <v>576 Dulong Tangke St. Malinta Valenzuela City</v>
          </cell>
          <cell r="S352" t="str">
            <v>Male</v>
          </cell>
          <cell r="AK352" t="str">
            <v>Dweller</v>
          </cell>
          <cell r="AN352">
            <v>0</v>
          </cell>
          <cell r="AQ352">
            <v>0</v>
          </cell>
          <cell r="AS352">
            <v>0</v>
          </cell>
          <cell r="BM352" t="str">
            <v>Residential</v>
          </cell>
          <cell r="BN352">
            <v>0</v>
          </cell>
          <cell r="BR352">
            <v>0.37190082644628097</v>
          </cell>
          <cell r="FQ352" t="str">
            <v>Need Displacement</v>
          </cell>
          <cell r="IB352">
            <v>0</v>
          </cell>
          <cell r="IC352">
            <v>0</v>
          </cell>
          <cell r="ID352">
            <v>0</v>
          </cell>
          <cell r="IE352">
            <v>0</v>
          </cell>
          <cell r="IP352">
            <v>0</v>
          </cell>
          <cell r="IR352">
            <v>0</v>
          </cell>
          <cell r="IT352">
            <v>0</v>
          </cell>
          <cell r="IU352">
            <v>0</v>
          </cell>
        </row>
        <row r="353">
          <cell r="A353">
            <v>0</v>
          </cell>
          <cell r="E353" t="str">
            <v>576 Dulong Tangke St. Malinta Valenzuela City</v>
          </cell>
          <cell r="S353">
            <v>0</v>
          </cell>
          <cell r="AK353" t="str">
            <v>Dweller</v>
          </cell>
          <cell r="AN353">
            <v>0</v>
          </cell>
          <cell r="AQ353">
            <v>0</v>
          </cell>
          <cell r="AS353">
            <v>0</v>
          </cell>
          <cell r="BM353" t="str">
            <v>Residential</v>
          </cell>
          <cell r="BN353">
            <v>0</v>
          </cell>
          <cell r="BR353">
            <v>0.37190082644628097</v>
          </cell>
          <cell r="FQ353">
            <v>0</v>
          </cell>
          <cell r="IB353">
            <v>0</v>
          </cell>
          <cell r="IC353">
            <v>0</v>
          </cell>
          <cell r="ID353">
            <v>0</v>
          </cell>
          <cell r="IE353">
            <v>0</v>
          </cell>
          <cell r="IP353">
            <v>0</v>
          </cell>
          <cell r="IR353">
            <v>0</v>
          </cell>
          <cell r="IT353">
            <v>0</v>
          </cell>
          <cell r="IU353">
            <v>0</v>
          </cell>
        </row>
        <row r="354">
          <cell r="A354">
            <v>0</v>
          </cell>
          <cell r="E354" t="str">
            <v>576 Dulong Tangke St. Malinta Valenzuela City</v>
          </cell>
          <cell r="S354">
            <v>0</v>
          </cell>
          <cell r="AK354" t="str">
            <v>Dweller</v>
          </cell>
          <cell r="AN354">
            <v>0</v>
          </cell>
          <cell r="AQ354">
            <v>0</v>
          </cell>
          <cell r="AS354">
            <v>0</v>
          </cell>
          <cell r="BM354" t="str">
            <v>Agricultural</v>
          </cell>
          <cell r="BN354">
            <v>0</v>
          </cell>
          <cell r="BR354">
            <v>0</v>
          </cell>
          <cell r="FQ354">
            <v>0</v>
          </cell>
          <cell r="IB354">
            <v>0</v>
          </cell>
          <cell r="IC354">
            <v>0</v>
          </cell>
          <cell r="ID354">
            <v>0</v>
          </cell>
          <cell r="IE354">
            <v>0</v>
          </cell>
          <cell r="IP354">
            <v>0</v>
          </cell>
          <cell r="IR354">
            <v>0</v>
          </cell>
          <cell r="IT354">
            <v>0</v>
          </cell>
          <cell r="IU354">
            <v>0</v>
          </cell>
        </row>
        <row r="355">
          <cell r="A355" t="str">
            <v>legal</v>
          </cell>
          <cell r="E355" t="str">
            <v>576 Dulong Tangke St. Malinta Valenzuela City</v>
          </cell>
          <cell r="S355">
            <v>0</v>
          </cell>
          <cell r="AK355" t="str">
            <v>Owner</v>
          </cell>
          <cell r="AN355">
            <v>0</v>
          </cell>
          <cell r="AQ355">
            <v>0</v>
          </cell>
          <cell r="AS355" t="str">
            <v>Y</v>
          </cell>
          <cell r="BM355" t="str">
            <v>Residential</v>
          </cell>
          <cell r="BN355">
            <v>0</v>
          </cell>
          <cell r="BR355">
            <v>0.45112781954887216</v>
          </cell>
          <cell r="FQ355">
            <v>0</v>
          </cell>
          <cell r="IB355">
            <v>0</v>
          </cell>
          <cell r="IC355">
            <v>0</v>
          </cell>
          <cell r="ID355">
            <v>0</v>
          </cell>
          <cell r="IE355">
            <v>0</v>
          </cell>
          <cell r="IP355">
            <v>0</v>
          </cell>
          <cell r="IR355" t="str">
            <v>Home/Small-scale Industry</v>
          </cell>
          <cell r="IT355">
            <v>0</v>
          </cell>
          <cell r="IU355" t="str">
            <v>x</v>
          </cell>
        </row>
        <row r="356">
          <cell r="A356">
            <v>0</v>
          </cell>
          <cell r="E356" t="str">
            <v>576 Dulong Tangke St. Malinta Valenzuela City</v>
          </cell>
          <cell r="S356">
            <v>0</v>
          </cell>
          <cell r="AK356" t="str">
            <v>Dweller</v>
          </cell>
          <cell r="AN356">
            <v>0</v>
          </cell>
          <cell r="AQ356">
            <v>0</v>
          </cell>
          <cell r="AS356">
            <v>0</v>
          </cell>
          <cell r="BM356" t="str">
            <v>Residential</v>
          </cell>
          <cell r="BN356">
            <v>0</v>
          </cell>
          <cell r="BR356">
            <v>0.45112781954887216</v>
          </cell>
          <cell r="FQ356" t="str">
            <v>Need Displacement</v>
          </cell>
          <cell r="IB356">
            <v>0</v>
          </cell>
          <cell r="IC356">
            <v>0</v>
          </cell>
          <cell r="ID356">
            <v>0</v>
          </cell>
          <cell r="IE356">
            <v>0</v>
          </cell>
          <cell r="IP356">
            <v>0</v>
          </cell>
          <cell r="IR356">
            <v>0</v>
          </cell>
          <cell r="IT356">
            <v>0</v>
          </cell>
          <cell r="IU356">
            <v>0</v>
          </cell>
        </row>
        <row r="357">
          <cell r="A357">
            <v>0</v>
          </cell>
          <cell r="E357" t="str">
            <v>576 Dulong Tangke St. Malinta Valenzuela City</v>
          </cell>
          <cell r="S357" t="str">
            <v>Male</v>
          </cell>
          <cell r="AK357" t="str">
            <v>Dweller</v>
          </cell>
          <cell r="AN357">
            <v>0</v>
          </cell>
          <cell r="AQ357">
            <v>0</v>
          </cell>
          <cell r="AS357">
            <v>0</v>
          </cell>
          <cell r="BM357" t="str">
            <v>Residential</v>
          </cell>
          <cell r="BN357">
            <v>0</v>
          </cell>
          <cell r="BR357">
            <v>0</v>
          </cell>
          <cell r="FQ357">
            <v>0</v>
          </cell>
          <cell r="IB357" t="str">
            <v>Y</v>
          </cell>
          <cell r="IC357">
            <v>0</v>
          </cell>
          <cell r="ID357">
            <v>0</v>
          </cell>
          <cell r="IE357">
            <v>0</v>
          </cell>
          <cell r="IP357">
            <v>0</v>
          </cell>
          <cell r="IR357">
            <v>0</v>
          </cell>
          <cell r="IT357">
            <v>0</v>
          </cell>
          <cell r="IU357">
            <v>0</v>
          </cell>
        </row>
        <row r="358">
          <cell r="A358">
            <v>0</v>
          </cell>
          <cell r="E358" t="str">
            <v>576 Dulong Tangke St. Malinta Valenzuela City</v>
          </cell>
          <cell r="S358">
            <v>0</v>
          </cell>
          <cell r="AK358" t="str">
            <v>Dweller</v>
          </cell>
          <cell r="AN358">
            <v>0</v>
          </cell>
          <cell r="AQ358">
            <v>0</v>
          </cell>
          <cell r="AS358">
            <v>0</v>
          </cell>
          <cell r="BM358" t="str">
            <v>Residential</v>
          </cell>
          <cell r="BN358">
            <v>0</v>
          </cell>
          <cell r="BR358">
            <v>0</v>
          </cell>
          <cell r="FQ358">
            <v>0</v>
          </cell>
          <cell r="IB358">
            <v>0</v>
          </cell>
          <cell r="IC358">
            <v>0</v>
          </cell>
          <cell r="ID358">
            <v>0</v>
          </cell>
          <cell r="IE358">
            <v>0</v>
          </cell>
          <cell r="IP358">
            <v>0</v>
          </cell>
          <cell r="IR358">
            <v>0</v>
          </cell>
          <cell r="IT358">
            <v>0</v>
          </cell>
          <cell r="IU358">
            <v>0</v>
          </cell>
        </row>
        <row r="359">
          <cell r="A359">
            <v>0</v>
          </cell>
          <cell r="E359" t="str">
            <v>576 Dulong Tangke St. Malinta Valenzuela City</v>
          </cell>
          <cell r="S359">
            <v>0</v>
          </cell>
          <cell r="AK359" t="str">
            <v>Owner</v>
          </cell>
          <cell r="AN359">
            <v>0</v>
          </cell>
          <cell r="AQ359">
            <v>0</v>
          </cell>
          <cell r="AS359">
            <v>0</v>
          </cell>
          <cell r="BM359" t="str">
            <v>Residential</v>
          </cell>
          <cell r="BN359">
            <v>0</v>
          </cell>
          <cell r="BR359">
            <v>0</v>
          </cell>
          <cell r="FQ359">
            <v>0</v>
          </cell>
          <cell r="IB359">
            <v>0</v>
          </cell>
          <cell r="IC359">
            <v>0</v>
          </cell>
          <cell r="ID359">
            <v>0</v>
          </cell>
          <cell r="IE359">
            <v>0</v>
          </cell>
          <cell r="IP359" t="str">
            <v>Owner</v>
          </cell>
          <cell r="IR359" t="str">
            <v>Agri-business</v>
          </cell>
          <cell r="IT359">
            <v>0</v>
          </cell>
          <cell r="IU359" t="str">
            <v>x</v>
          </cell>
        </row>
        <row r="360">
          <cell r="A360" t="str">
            <v>legal</v>
          </cell>
          <cell r="E360" t="str">
            <v>576 Dulong Tangke St. Malinta Valenzuela City</v>
          </cell>
          <cell r="S360">
            <v>0</v>
          </cell>
          <cell r="AK360" t="str">
            <v>Owner</v>
          </cell>
          <cell r="AN360">
            <v>0</v>
          </cell>
          <cell r="AQ360">
            <v>0</v>
          </cell>
          <cell r="AS360" t="str">
            <v>Y</v>
          </cell>
          <cell r="BM360" t="str">
            <v>Residential</v>
          </cell>
          <cell r="BN360">
            <v>0</v>
          </cell>
          <cell r="BR360">
            <v>0.41322314049586778</v>
          </cell>
          <cell r="FQ360">
            <v>0</v>
          </cell>
          <cell r="IB360" t="str">
            <v>Y</v>
          </cell>
          <cell r="IC360">
            <v>0</v>
          </cell>
          <cell r="ID360">
            <v>0</v>
          </cell>
          <cell r="IE360">
            <v>0</v>
          </cell>
          <cell r="IP360">
            <v>0</v>
          </cell>
          <cell r="IR360" t="str">
            <v>Home/Small-scale Industry</v>
          </cell>
          <cell r="IT360" t="str">
            <v>x</v>
          </cell>
          <cell r="IU360">
            <v>0</v>
          </cell>
        </row>
        <row r="361">
          <cell r="A361">
            <v>0</v>
          </cell>
          <cell r="E361" t="str">
            <v>576 Dulong Tangke St. Malinta Valenzuela City</v>
          </cell>
          <cell r="S361" t="str">
            <v>Male</v>
          </cell>
          <cell r="AK361" t="str">
            <v>Dweller</v>
          </cell>
          <cell r="AN361">
            <v>0</v>
          </cell>
          <cell r="AQ361">
            <v>0</v>
          </cell>
          <cell r="AS361">
            <v>0</v>
          </cell>
          <cell r="BM361" t="str">
            <v>Commercial</v>
          </cell>
          <cell r="BN361">
            <v>0</v>
          </cell>
          <cell r="BR361">
            <v>0</v>
          </cell>
          <cell r="FQ361" t="str">
            <v>Need Displacement</v>
          </cell>
          <cell r="IB361" t="str">
            <v>y</v>
          </cell>
          <cell r="IC361">
            <v>0</v>
          </cell>
          <cell r="ID361">
            <v>0</v>
          </cell>
          <cell r="IE361">
            <v>0</v>
          </cell>
          <cell r="IP361" t="str">
            <v>Owner</v>
          </cell>
          <cell r="IR361" t="str">
            <v>Trading/retailing</v>
          </cell>
          <cell r="IT361">
            <v>0</v>
          </cell>
          <cell r="IU361" t="str">
            <v>x</v>
          </cell>
        </row>
        <row r="362">
          <cell r="A362">
            <v>0</v>
          </cell>
          <cell r="E362" t="str">
            <v>576 Dulong Tangke St. Malinta Valenzuela City</v>
          </cell>
          <cell r="S362">
            <v>0</v>
          </cell>
          <cell r="AK362" t="str">
            <v>Dweller</v>
          </cell>
          <cell r="AN362">
            <v>0</v>
          </cell>
          <cell r="AQ362">
            <v>0</v>
          </cell>
          <cell r="AS362">
            <v>0</v>
          </cell>
          <cell r="BM362" t="str">
            <v>Residential</v>
          </cell>
          <cell r="BN362">
            <v>0</v>
          </cell>
          <cell r="BR362">
            <v>0.41322314049586778</v>
          </cell>
          <cell r="FQ362" t="str">
            <v>Need Displacement</v>
          </cell>
          <cell r="IB362" t="str">
            <v>Y</v>
          </cell>
          <cell r="IC362">
            <v>0</v>
          </cell>
          <cell r="ID362">
            <v>0</v>
          </cell>
          <cell r="IE362">
            <v>0</v>
          </cell>
          <cell r="IP362">
            <v>0</v>
          </cell>
          <cell r="IR362">
            <v>0</v>
          </cell>
          <cell r="IT362">
            <v>0</v>
          </cell>
          <cell r="IU362">
            <v>0</v>
          </cell>
        </row>
        <row r="363">
          <cell r="A363">
            <v>0</v>
          </cell>
          <cell r="E363" t="str">
            <v>576 Dulong Tangke St. Malinta Valenzuela City</v>
          </cell>
          <cell r="S363">
            <v>0</v>
          </cell>
          <cell r="AK363" t="str">
            <v>Dweller</v>
          </cell>
          <cell r="AN363">
            <v>0</v>
          </cell>
          <cell r="AQ363">
            <v>0</v>
          </cell>
          <cell r="AS363">
            <v>0</v>
          </cell>
          <cell r="BM363" t="str">
            <v>Residential</v>
          </cell>
          <cell r="BN363">
            <v>0</v>
          </cell>
          <cell r="BR363">
            <v>0.41322314049586778</v>
          </cell>
          <cell r="FQ363" t="str">
            <v>Need Displacement</v>
          </cell>
          <cell r="IB363" t="str">
            <v>Y</v>
          </cell>
          <cell r="IC363">
            <v>0</v>
          </cell>
          <cell r="ID363">
            <v>0</v>
          </cell>
          <cell r="IE363">
            <v>0</v>
          </cell>
          <cell r="IP363">
            <v>0</v>
          </cell>
          <cell r="IR363">
            <v>0</v>
          </cell>
          <cell r="IT363">
            <v>0</v>
          </cell>
          <cell r="IU363">
            <v>0</v>
          </cell>
        </row>
        <row r="364">
          <cell r="A364" t="str">
            <v>legal</v>
          </cell>
          <cell r="E364" t="str">
            <v>576 Dulong Tangke St. Malinta Valenzuela City</v>
          </cell>
          <cell r="S364">
            <v>0</v>
          </cell>
          <cell r="AK364" t="str">
            <v>Owner</v>
          </cell>
          <cell r="AN364">
            <v>0</v>
          </cell>
          <cell r="AQ364">
            <v>0</v>
          </cell>
          <cell r="AS364" t="str">
            <v>Y</v>
          </cell>
          <cell r="BM364" t="str">
            <v>Residential</v>
          </cell>
          <cell r="BN364">
            <v>0</v>
          </cell>
          <cell r="BR364">
            <v>0.72916666666666663</v>
          </cell>
          <cell r="FQ364" t="str">
            <v>Need Displacement</v>
          </cell>
          <cell r="IB364">
            <v>0</v>
          </cell>
          <cell r="IC364">
            <v>0</v>
          </cell>
          <cell r="ID364">
            <v>0</v>
          </cell>
          <cell r="IE364">
            <v>0</v>
          </cell>
          <cell r="IP364">
            <v>0</v>
          </cell>
          <cell r="IR364" t="str">
            <v>Home/Small-scale Industry</v>
          </cell>
          <cell r="IT364" t="str">
            <v>x</v>
          </cell>
          <cell r="IU364">
            <v>0</v>
          </cell>
        </row>
        <row r="365">
          <cell r="A365" t="str">
            <v>legal</v>
          </cell>
          <cell r="E365" t="str">
            <v>576 Dulong Tangke St. Malinta Valenzuela City</v>
          </cell>
          <cell r="S365">
            <v>0</v>
          </cell>
          <cell r="AK365" t="str">
            <v>Dweller</v>
          </cell>
          <cell r="AN365">
            <v>0</v>
          </cell>
          <cell r="AQ365">
            <v>0</v>
          </cell>
          <cell r="AS365">
            <v>0</v>
          </cell>
          <cell r="BM365" t="str">
            <v>Residential</v>
          </cell>
          <cell r="BN365">
            <v>0</v>
          </cell>
          <cell r="BR365">
            <v>0</v>
          </cell>
          <cell r="FQ365" t="str">
            <v>Need Displacement</v>
          </cell>
          <cell r="IB365" t="str">
            <v>Y</v>
          </cell>
          <cell r="IC365">
            <v>0</v>
          </cell>
          <cell r="ID365">
            <v>0</v>
          </cell>
          <cell r="IE365">
            <v>0</v>
          </cell>
          <cell r="IP365">
            <v>0</v>
          </cell>
          <cell r="IR365">
            <v>0</v>
          </cell>
          <cell r="IT365">
            <v>0</v>
          </cell>
          <cell r="IU365">
            <v>0</v>
          </cell>
        </row>
        <row r="366">
          <cell r="A366" t="str">
            <v>legal</v>
          </cell>
          <cell r="E366" t="str">
            <v>576 Dulong Tangke St. Malinta Valenzuela City</v>
          </cell>
          <cell r="S366">
            <v>0</v>
          </cell>
          <cell r="AK366" t="str">
            <v>Dweller</v>
          </cell>
          <cell r="AN366">
            <v>0</v>
          </cell>
          <cell r="AQ366">
            <v>0</v>
          </cell>
          <cell r="AS366">
            <v>0</v>
          </cell>
          <cell r="BM366" t="str">
            <v>Residential</v>
          </cell>
          <cell r="BN366">
            <v>0</v>
          </cell>
          <cell r="BR366">
            <v>0</v>
          </cell>
          <cell r="FQ366" t="str">
            <v>Need Displacement</v>
          </cell>
          <cell r="IB366" t="str">
            <v>Y</v>
          </cell>
          <cell r="IC366">
            <v>0</v>
          </cell>
          <cell r="ID366">
            <v>0</v>
          </cell>
          <cell r="IE366">
            <v>0</v>
          </cell>
          <cell r="IP366">
            <v>0</v>
          </cell>
          <cell r="IR366">
            <v>0</v>
          </cell>
          <cell r="IT366">
            <v>0</v>
          </cell>
          <cell r="IU366">
            <v>0</v>
          </cell>
        </row>
        <row r="367">
          <cell r="A367" t="str">
            <v>legal</v>
          </cell>
          <cell r="E367" t="str">
            <v>576 Dulong Tangke St. Malinta Valenzuela City</v>
          </cell>
          <cell r="S367">
            <v>0</v>
          </cell>
          <cell r="AK367" t="str">
            <v>Dweller</v>
          </cell>
          <cell r="AN367">
            <v>0</v>
          </cell>
          <cell r="AQ367">
            <v>0</v>
          </cell>
          <cell r="AS367">
            <v>0</v>
          </cell>
          <cell r="BM367" t="str">
            <v>Residential</v>
          </cell>
          <cell r="BN367">
            <v>0</v>
          </cell>
          <cell r="BR367">
            <v>0</v>
          </cell>
          <cell r="FQ367" t="str">
            <v>Need Displacement</v>
          </cell>
          <cell r="IB367" t="str">
            <v>Y</v>
          </cell>
          <cell r="IC367">
            <v>0</v>
          </cell>
          <cell r="ID367">
            <v>0</v>
          </cell>
          <cell r="IE367">
            <v>0</v>
          </cell>
          <cell r="IP367">
            <v>0</v>
          </cell>
          <cell r="IR367">
            <v>0</v>
          </cell>
          <cell r="IT367">
            <v>0</v>
          </cell>
          <cell r="IU367">
            <v>0</v>
          </cell>
        </row>
        <row r="368">
          <cell r="A368" t="str">
            <v>legal</v>
          </cell>
          <cell r="E368" t="str">
            <v>590 Dulong Tangke St. Malinta Valenzuela City</v>
          </cell>
          <cell r="S368" t="str">
            <v>Male</v>
          </cell>
          <cell r="AK368" t="str">
            <v>Owner</v>
          </cell>
          <cell r="AN368">
            <v>0</v>
          </cell>
          <cell r="AQ368">
            <v>0</v>
          </cell>
          <cell r="AS368" t="str">
            <v>Y</v>
          </cell>
          <cell r="BM368" t="str">
            <v>Residential</v>
          </cell>
          <cell r="BN368">
            <v>0</v>
          </cell>
          <cell r="BR368">
            <v>0.32432432432432434</v>
          </cell>
          <cell r="FQ368" t="str">
            <v>Can Stay</v>
          </cell>
          <cell r="IB368" t="str">
            <v>Y</v>
          </cell>
          <cell r="IC368">
            <v>0</v>
          </cell>
          <cell r="ID368">
            <v>0</v>
          </cell>
          <cell r="IE368">
            <v>1</v>
          </cell>
          <cell r="IP368">
            <v>0</v>
          </cell>
          <cell r="IR368">
            <v>0</v>
          </cell>
          <cell r="IT368">
            <v>0</v>
          </cell>
          <cell r="IU368">
            <v>0</v>
          </cell>
        </row>
        <row r="369">
          <cell r="A369" t="str">
            <v>legal</v>
          </cell>
          <cell r="E369" t="str">
            <v>589 Dulong Tangke St. Malinta Valenzuela City</v>
          </cell>
          <cell r="S369" t="str">
            <v>Male</v>
          </cell>
          <cell r="AK369" t="str">
            <v>Owner</v>
          </cell>
          <cell r="AN369">
            <v>0</v>
          </cell>
          <cell r="AQ369">
            <v>0</v>
          </cell>
          <cell r="AS369" t="str">
            <v>Y</v>
          </cell>
          <cell r="BM369">
            <v>0</v>
          </cell>
          <cell r="BN369">
            <v>0</v>
          </cell>
          <cell r="BR369">
            <v>0</v>
          </cell>
          <cell r="FQ369">
            <v>0</v>
          </cell>
          <cell r="IB369" t="str">
            <v>Y</v>
          </cell>
          <cell r="IC369">
            <v>0</v>
          </cell>
          <cell r="ID369" t="str">
            <v>Y</v>
          </cell>
          <cell r="IE369">
            <v>0</v>
          </cell>
          <cell r="IP369">
            <v>0</v>
          </cell>
          <cell r="IR369">
            <v>0</v>
          </cell>
          <cell r="IT369">
            <v>0</v>
          </cell>
          <cell r="IU369">
            <v>0</v>
          </cell>
        </row>
        <row r="370">
          <cell r="A370" t="str">
            <v>legal</v>
          </cell>
          <cell r="E370" t="str">
            <v>589 Dulong Tangke St. Malinta Valenzuela City</v>
          </cell>
          <cell r="S370" t="str">
            <v>Female</v>
          </cell>
          <cell r="AK370" t="str">
            <v>Dweller</v>
          </cell>
          <cell r="AN370">
            <v>0</v>
          </cell>
          <cell r="AQ370">
            <v>0</v>
          </cell>
          <cell r="AS370">
            <v>0</v>
          </cell>
          <cell r="BM370" t="str">
            <v>Residential</v>
          </cell>
          <cell r="BN370">
            <v>1</v>
          </cell>
          <cell r="BR370">
            <v>0.4</v>
          </cell>
          <cell r="FQ370" t="str">
            <v>Need Displacement</v>
          </cell>
          <cell r="IB370">
            <v>0</v>
          </cell>
          <cell r="IC370" t="str">
            <v>Y</v>
          </cell>
          <cell r="ID370">
            <v>0</v>
          </cell>
          <cell r="IE370">
            <v>0</v>
          </cell>
          <cell r="IP370">
            <v>0</v>
          </cell>
          <cell r="IR370">
            <v>0</v>
          </cell>
          <cell r="IT370">
            <v>0</v>
          </cell>
          <cell r="IU370">
            <v>0</v>
          </cell>
        </row>
        <row r="371">
          <cell r="A371" t="str">
            <v>legal</v>
          </cell>
          <cell r="E371" t="str">
            <v>576 Dulong Tangke St. Malinta Valenzuela City</v>
          </cell>
          <cell r="S371" t="str">
            <v>Female</v>
          </cell>
          <cell r="AK371" t="str">
            <v>Land Owner</v>
          </cell>
          <cell r="AN371">
            <v>0.30612244897959184</v>
          </cell>
          <cell r="AQ371">
            <v>0</v>
          </cell>
          <cell r="AS371" t="str">
            <v>Y</v>
          </cell>
          <cell r="BM371" t="str">
            <v>Residential/Commercial</v>
          </cell>
          <cell r="BN371">
            <v>1</v>
          </cell>
          <cell r="BR371">
            <v>0.375</v>
          </cell>
          <cell r="FQ371" t="str">
            <v>Need Displacement</v>
          </cell>
          <cell r="IB371">
            <v>0</v>
          </cell>
          <cell r="IC371" t="str">
            <v>Y</v>
          </cell>
          <cell r="ID371">
            <v>0</v>
          </cell>
          <cell r="IE371">
            <v>0</v>
          </cell>
          <cell r="IP371" t="str">
            <v>Owner</v>
          </cell>
          <cell r="IR371" t="str">
            <v>Trading/retailing</v>
          </cell>
          <cell r="IT371">
            <v>0</v>
          </cell>
          <cell r="IU371" t="str">
            <v>x</v>
          </cell>
        </row>
        <row r="372">
          <cell r="A372" t="str">
            <v>legal</v>
          </cell>
          <cell r="E372" t="str">
            <v>525 Dulong Tangke St. Malinta Valenzuela City</v>
          </cell>
          <cell r="S372" t="str">
            <v>Female</v>
          </cell>
          <cell r="AK372" t="str">
            <v>Owner</v>
          </cell>
          <cell r="AN372">
            <v>0</v>
          </cell>
          <cell r="AQ372">
            <v>0</v>
          </cell>
          <cell r="AS372" t="str">
            <v>Y</v>
          </cell>
          <cell r="BM372" t="str">
            <v>Residential</v>
          </cell>
          <cell r="BN372">
            <v>0</v>
          </cell>
          <cell r="BR372">
            <v>0.28985507246376813</v>
          </cell>
          <cell r="FQ372">
            <v>0</v>
          </cell>
          <cell r="IB372">
            <v>0</v>
          </cell>
          <cell r="IC372" t="str">
            <v>Y</v>
          </cell>
          <cell r="ID372">
            <v>0</v>
          </cell>
          <cell r="IE372">
            <v>0</v>
          </cell>
          <cell r="IP372" t="str">
            <v>Owner</v>
          </cell>
          <cell r="IR372" t="str">
            <v>Home/Small-scale Industry</v>
          </cell>
          <cell r="IT372">
            <v>0</v>
          </cell>
          <cell r="IU372" t="str">
            <v>x</v>
          </cell>
        </row>
        <row r="373">
          <cell r="A373" t="str">
            <v>legal</v>
          </cell>
          <cell r="E373" t="str">
            <v>525 Dulong Tangke St. Malinta Valenzuela City</v>
          </cell>
          <cell r="S373" t="str">
            <v>Male</v>
          </cell>
          <cell r="AK373" t="str">
            <v>Dweller</v>
          </cell>
          <cell r="AN373">
            <v>0</v>
          </cell>
          <cell r="AQ373">
            <v>0</v>
          </cell>
          <cell r="AS373">
            <v>0</v>
          </cell>
          <cell r="BM373" t="str">
            <v>Residential</v>
          </cell>
          <cell r="BN373">
            <v>0</v>
          </cell>
          <cell r="BR373">
            <v>0.28985507246376813</v>
          </cell>
          <cell r="FQ373" t="str">
            <v>Need Displacement</v>
          </cell>
          <cell r="IB373" t="str">
            <v>Y</v>
          </cell>
          <cell r="IC373">
            <v>0</v>
          </cell>
          <cell r="ID373">
            <v>0</v>
          </cell>
          <cell r="IE373">
            <v>0</v>
          </cell>
          <cell r="IP373">
            <v>0</v>
          </cell>
          <cell r="IR373">
            <v>0</v>
          </cell>
          <cell r="IT373">
            <v>0</v>
          </cell>
          <cell r="IU373">
            <v>0</v>
          </cell>
        </row>
        <row r="374">
          <cell r="A374" t="str">
            <v>legal</v>
          </cell>
          <cell r="E374" t="str">
            <v>525 Dulong Tangke St. Malinta Valenzuela City</v>
          </cell>
          <cell r="S374">
            <v>0</v>
          </cell>
          <cell r="AK374" t="str">
            <v>Dweller</v>
          </cell>
          <cell r="AN374">
            <v>0</v>
          </cell>
          <cell r="AQ374">
            <v>0</v>
          </cell>
          <cell r="AS374">
            <v>0</v>
          </cell>
          <cell r="BM374" t="str">
            <v>Residential</v>
          </cell>
          <cell r="BN374">
            <v>0</v>
          </cell>
          <cell r="BR374">
            <v>0.28985507246376813</v>
          </cell>
          <cell r="FQ374" t="str">
            <v>Can Stay</v>
          </cell>
          <cell r="IB374">
            <v>0</v>
          </cell>
          <cell r="IC374">
            <v>0</v>
          </cell>
          <cell r="ID374">
            <v>2</v>
          </cell>
          <cell r="IE374">
            <v>1</v>
          </cell>
          <cell r="IP374">
            <v>0</v>
          </cell>
          <cell r="IR374">
            <v>0</v>
          </cell>
          <cell r="IT374">
            <v>0</v>
          </cell>
          <cell r="IU374">
            <v>0</v>
          </cell>
        </row>
        <row r="375">
          <cell r="A375" t="str">
            <v>CBL</v>
          </cell>
          <cell r="E375" t="str">
            <v>525 Dulong Tangke St. Malinta Valenzuela City</v>
          </cell>
          <cell r="S375">
            <v>0</v>
          </cell>
          <cell r="AK375" t="str">
            <v>Owner</v>
          </cell>
          <cell r="AN375">
            <v>0</v>
          </cell>
          <cell r="AQ375">
            <v>0</v>
          </cell>
          <cell r="AS375" t="str">
            <v>Y</v>
          </cell>
          <cell r="BM375" t="str">
            <v>Residential</v>
          </cell>
          <cell r="BN375">
            <v>0</v>
          </cell>
          <cell r="BR375">
            <v>0.25</v>
          </cell>
          <cell r="FQ375">
            <v>0</v>
          </cell>
          <cell r="IB375">
            <v>0</v>
          </cell>
          <cell r="IC375">
            <v>0</v>
          </cell>
          <cell r="ID375">
            <v>0</v>
          </cell>
          <cell r="IE375">
            <v>0</v>
          </cell>
          <cell r="IP375">
            <v>0</v>
          </cell>
          <cell r="IR375">
            <v>0</v>
          </cell>
          <cell r="IT375">
            <v>0</v>
          </cell>
          <cell r="IU375">
            <v>0</v>
          </cell>
        </row>
        <row r="376">
          <cell r="A376" t="str">
            <v>legal</v>
          </cell>
          <cell r="E376" t="str">
            <v>525 Dulong Tangke St. Malinta Valenzuela City</v>
          </cell>
          <cell r="S376" t="str">
            <v>Male</v>
          </cell>
          <cell r="AK376" t="str">
            <v>Dweller</v>
          </cell>
          <cell r="AQ376">
            <v>0</v>
          </cell>
          <cell r="AS376">
            <v>0</v>
          </cell>
          <cell r="BM376" t="str">
            <v>Residential</v>
          </cell>
          <cell r="BN376">
            <v>0</v>
          </cell>
          <cell r="BR376">
            <v>0.25</v>
          </cell>
          <cell r="FQ376" t="str">
            <v>Need Displacement</v>
          </cell>
          <cell r="IB376">
            <v>0</v>
          </cell>
          <cell r="IC376">
            <v>0</v>
          </cell>
          <cell r="ID376">
            <v>0</v>
          </cell>
          <cell r="IE376">
            <v>0</v>
          </cell>
          <cell r="IP376" t="str">
            <v>Renter</v>
          </cell>
          <cell r="IR376" t="str">
            <v>Trading/retailing</v>
          </cell>
          <cell r="IT376">
            <v>0</v>
          </cell>
          <cell r="IU376">
            <v>0</v>
          </cell>
        </row>
        <row r="377">
          <cell r="A377" t="str">
            <v>legal</v>
          </cell>
          <cell r="E377" t="str">
            <v>525 Dulong Tangke St. Malinta Valenzuela City</v>
          </cell>
          <cell r="S377" t="str">
            <v>Male</v>
          </cell>
          <cell r="AK377" t="str">
            <v>Dweller</v>
          </cell>
          <cell r="AN377">
            <v>0</v>
          </cell>
          <cell r="AQ377">
            <v>0</v>
          </cell>
          <cell r="AS377">
            <v>0</v>
          </cell>
          <cell r="BM377" t="str">
            <v>Residential</v>
          </cell>
          <cell r="BN377">
            <v>0</v>
          </cell>
          <cell r="BR377">
            <v>0.25</v>
          </cell>
          <cell r="FQ377" t="str">
            <v>Need Displacement</v>
          </cell>
          <cell r="IB377">
            <v>0</v>
          </cell>
          <cell r="IC377">
            <v>0</v>
          </cell>
          <cell r="ID377">
            <v>0</v>
          </cell>
          <cell r="IE377">
            <v>0</v>
          </cell>
          <cell r="IP377">
            <v>0</v>
          </cell>
          <cell r="IR377">
            <v>0</v>
          </cell>
          <cell r="IT377">
            <v>0</v>
          </cell>
          <cell r="IU377">
            <v>0</v>
          </cell>
        </row>
        <row r="378">
          <cell r="A378" t="str">
            <v>legal</v>
          </cell>
          <cell r="E378" t="str">
            <v>525 Dulong Tangke St. Malinta Valenzuela City</v>
          </cell>
          <cell r="S378" t="str">
            <v>Male</v>
          </cell>
          <cell r="AK378" t="str">
            <v>Dweller</v>
          </cell>
          <cell r="AN378">
            <v>0</v>
          </cell>
          <cell r="AQ378">
            <v>0</v>
          </cell>
          <cell r="AS378">
            <v>0</v>
          </cell>
          <cell r="BM378" t="str">
            <v>Residential</v>
          </cell>
          <cell r="BN378">
            <v>0</v>
          </cell>
          <cell r="BR378">
            <v>0.25</v>
          </cell>
          <cell r="FQ378" t="str">
            <v>Need Displacement</v>
          </cell>
          <cell r="IB378">
            <v>0</v>
          </cell>
          <cell r="IC378">
            <v>0</v>
          </cell>
          <cell r="ID378">
            <v>0</v>
          </cell>
          <cell r="IE378">
            <v>0</v>
          </cell>
          <cell r="IP378">
            <v>0</v>
          </cell>
          <cell r="IR378">
            <v>0</v>
          </cell>
          <cell r="IT378">
            <v>0</v>
          </cell>
          <cell r="IU378">
            <v>0</v>
          </cell>
        </row>
        <row r="379">
          <cell r="A379" t="str">
            <v>Legal</v>
          </cell>
          <cell r="E379" t="str">
            <v>576 Dulong Tangke St. Malinta Valenzuela City</v>
          </cell>
          <cell r="S379">
            <v>0</v>
          </cell>
          <cell r="AK379" t="str">
            <v>Neighbor/Father</v>
          </cell>
          <cell r="AN379">
            <v>0.40909090909090912</v>
          </cell>
          <cell r="AQ379">
            <v>0</v>
          </cell>
          <cell r="AS379">
            <v>0</v>
          </cell>
          <cell r="BM379">
            <v>0</v>
          </cell>
          <cell r="BN379">
            <v>0</v>
          </cell>
          <cell r="BR379">
            <v>0</v>
          </cell>
          <cell r="FQ379">
            <v>0</v>
          </cell>
          <cell r="IB379">
            <v>0</v>
          </cell>
          <cell r="IC379">
            <v>0</v>
          </cell>
          <cell r="ID379">
            <v>0</v>
          </cell>
          <cell r="IE379">
            <v>0</v>
          </cell>
          <cell r="IP379">
            <v>0</v>
          </cell>
          <cell r="IR379">
            <v>0</v>
          </cell>
          <cell r="IT379">
            <v>0</v>
          </cell>
          <cell r="IU379">
            <v>0</v>
          </cell>
        </row>
        <row r="380">
          <cell r="A380" t="str">
            <v>isf</v>
          </cell>
          <cell r="E380" t="str">
            <v>576 Dulong Tangke St. Malinta Valenzuela City</v>
          </cell>
          <cell r="S380" t="str">
            <v>Male</v>
          </cell>
          <cell r="AK380" t="str">
            <v>ISF</v>
          </cell>
          <cell r="AN380">
            <v>0</v>
          </cell>
          <cell r="AQ380">
            <v>0</v>
          </cell>
          <cell r="AS380">
            <v>0</v>
          </cell>
          <cell r="BM380" t="str">
            <v>Residential</v>
          </cell>
          <cell r="BN380">
            <v>0</v>
          </cell>
          <cell r="BR380">
            <v>1</v>
          </cell>
          <cell r="FQ380" t="str">
            <v>Need Displacement</v>
          </cell>
          <cell r="IB380">
            <v>0</v>
          </cell>
          <cell r="IC380">
            <v>0</v>
          </cell>
          <cell r="ID380">
            <v>1</v>
          </cell>
          <cell r="IE380">
            <v>0</v>
          </cell>
          <cell r="IP380">
            <v>0</v>
          </cell>
          <cell r="IR380">
            <v>0</v>
          </cell>
          <cell r="IT380">
            <v>0</v>
          </cell>
          <cell r="IU380">
            <v>0</v>
          </cell>
        </row>
        <row r="381">
          <cell r="A381" t="str">
            <v>isf</v>
          </cell>
          <cell r="E381" t="str">
            <v>545 Dulong Tangke St. Malinta Valenzuela City</v>
          </cell>
          <cell r="S381" t="str">
            <v>Female</v>
          </cell>
          <cell r="AK381" t="str">
            <v>ISF</v>
          </cell>
          <cell r="AN381">
            <v>9.75E-3</v>
          </cell>
          <cell r="AQ381">
            <v>0</v>
          </cell>
          <cell r="AS381">
            <v>0</v>
          </cell>
          <cell r="BM381" t="str">
            <v>Residential</v>
          </cell>
          <cell r="BN381">
            <v>1</v>
          </cell>
          <cell r="BR381">
            <v>0.35</v>
          </cell>
          <cell r="FQ381" t="str">
            <v>Need Displacement</v>
          </cell>
          <cell r="IB381">
            <v>0</v>
          </cell>
          <cell r="IC381" t="str">
            <v>Y</v>
          </cell>
          <cell r="ID381">
            <v>2</v>
          </cell>
          <cell r="IE381">
            <v>0</v>
          </cell>
          <cell r="IP381" t="str">
            <v>the owner offered spacE for rent</v>
          </cell>
          <cell r="IR381" t="str">
            <v>Home/Small-scale Industry</v>
          </cell>
          <cell r="IT381">
            <v>0</v>
          </cell>
          <cell r="IU381">
            <v>0</v>
          </cell>
        </row>
        <row r="382">
          <cell r="A382" t="str">
            <v>isf</v>
          </cell>
          <cell r="E382" t="str">
            <v>545 Dulong Tangke St. Malinta Valenzuela City</v>
          </cell>
          <cell r="S382" t="str">
            <v>Male</v>
          </cell>
          <cell r="AK382" t="str">
            <v>ISF</v>
          </cell>
          <cell r="AN382">
            <v>9.75E-3</v>
          </cell>
          <cell r="AQ382">
            <v>0</v>
          </cell>
          <cell r="AS382">
            <v>0</v>
          </cell>
          <cell r="BM382" t="str">
            <v>Residential</v>
          </cell>
          <cell r="BN382">
            <v>0</v>
          </cell>
          <cell r="BR382">
            <v>0.35</v>
          </cell>
          <cell r="FQ382" t="str">
            <v>Need Displacement</v>
          </cell>
          <cell r="IB382" t="str">
            <v>Y</v>
          </cell>
          <cell r="IC382">
            <v>0</v>
          </cell>
          <cell r="ID382">
            <v>0</v>
          </cell>
          <cell r="IE382">
            <v>0</v>
          </cell>
          <cell r="IP382">
            <v>0</v>
          </cell>
          <cell r="IR382">
            <v>0</v>
          </cell>
          <cell r="IT382">
            <v>0</v>
          </cell>
          <cell r="IU382">
            <v>0</v>
          </cell>
        </row>
        <row r="383">
          <cell r="A383" t="str">
            <v>isf</v>
          </cell>
          <cell r="E383" t="str">
            <v>545 Dulong Tangke St. Malinta Valenzuela City</v>
          </cell>
          <cell r="S383" t="str">
            <v>Male</v>
          </cell>
          <cell r="AK383" t="str">
            <v>ISF</v>
          </cell>
          <cell r="AN383">
            <v>2.3333333333333335E-3</v>
          </cell>
          <cell r="AQ383">
            <v>0</v>
          </cell>
          <cell r="AS383">
            <v>0</v>
          </cell>
          <cell r="BM383" t="str">
            <v>Residential</v>
          </cell>
          <cell r="BN383">
            <v>1</v>
          </cell>
          <cell r="BR383">
            <v>1</v>
          </cell>
          <cell r="FQ383" t="str">
            <v>Need Displacement</v>
          </cell>
          <cell r="IB383">
            <v>0</v>
          </cell>
          <cell r="IC383">
            <v>0</v>
          </cell>
          <cell r="ID383">
            <v>0</v>
          </cell>
          <cell r="IE383">
            <v>0</v>
          </cell>
          <cell r="IP383">
            <v>0</v>
          </cell>
          <cell r="IR383">
            <v>0</v>
          </cell>
          <cell r="IT383">
            <v>0</v>
          </cell>
          <cell r="IU383">
            <v>0</v>
          </cell>
        </row>
        <row r="384">
          <cell r="A384" t="str">
            <v>isf</v>
          </cell>
          <cell r="E384" t="str">
            <v>592 Dulong Tangke St. Malinta Valenzuela City</v>
          </cell>
          <cell r="S384" t="str">
            <v>Male</v>
          </cell>
          <cell r="AK384" t="str">
            <v>ISF</v>
          </cell>
          <cell r="AN384">
            <v>0</v>
          </cell>
          <cell r="AQ384">
            <v>0</v>
          </cell>
          <cell r="AS384">
            <v>0</v>
          </cell>
          <cell r="BM384" t="str">
            <v>Residential</v>
          </cell>
          <cell r="BN384">
            <v>0</v>
          </cell>
          <cell r="BR384">
            <v>1</v>
          </cell>
          <cell r="FQ384" t="str">
            <v>Need Displacement</v>
          </cell>
          <cell r="IB384">
            <v>0</v>
          </cell>
          <cell r="IC384">
            <v>0</v>
          </cell>
          <cell r="ID384">
            <v>0</v>
          </cell>
          <cell r="IE384">
            <v>0</v>
          </cell>
          <cell r="IP384">
            <v>0</v>
          </cell>
          <cell r="IR384">
            <v>0</v>
          </cell>
          <cell r="IT384">
            <v>0</v>
          </cell>
          <cell r="IU384">
            <v>0</v>
          </cell>
        </row>
        <row r="385">
          <cell r="A385" t="str">
            <v>isf</v>
          </cell>
          <cell r="E385" t="str">
            <v>570 Dulong Tangke St. Malinta Valenzuela City</v>
          </cell>
          <cell r="S385" t="str">
            <v>Male</v>
          </cell>
          <cell r="AK385" t="str">
            <v>ISF</v>
          </cell>
          <cell r="AN385">
            <v>0</v>
          </cell>
          <cell r="AQ385">
            <v>0</v>
          </cell>
          <cell r="AS385">
            <v>0</v>
          </cell>
          <cell r="BM385" t="str">
            <v>Residential</v>
          </cell>
          <cell r="BN385">
            <v>1</v>
          </cell>
          <cell r="BR385">
            <v>0.5</v>
          </cell>
          <cell r="FQ385" t="str">
            <v>Need Displacement</v>
          </cell>
          <cell r="IB385">
            <v>0</v>
          </cell>
          <cell r="IC385">
            <v>0</v>
          </cell>
          <cell r="ID385">
            <v>0</v>
          </cell>
          <cell r="IE385">
            <v>0</v>
          </cell>
          <cell r="IP385">
            <v>0</v>
          </cell>
          <cell r="IR385">
            <v>0</v>
          </cell>
          <cell r="IT385">
            <v>0</v>
          </cell>
          <cell r="IU385">
            <v>0</v>
          </cell>
        </row>
        <row r="386">
          <cell r="A386" t="str">
            <v>absentee</v>
          </cell>
          <cell r="E386" t="str">
            <v xml:space="preserve"> Dulong Tangke St. Malinta Valenzuela City</v>
          </cell>
          <cell r="S386">
            <v>0</v>
          </cell>
          <cell r="AK386" t="str">
            <v>ISF</v>
          </cell>
          <cell r="AN386">
            <v>0</v>
          </cell>
          <cell r="AQ386">
            <v>0</v>
          </cell>
          <cell r="AS386">
            <v>0</v>
          </cell>
          <cell r="BM386" t="str">
            <v>Residential</v>
          </cell>
          <cell r="BN386">
            <v>0</v>
          </cell>
          <cell r="BR386">
            <v>1</v>
          </cell>
          <cell r="FQ386">
            <v>0</v>
          </cell>
          <cell r="IB386">
            <v>0</v>
          </cell>
          <cell r="IC386">
            <v>0</v>
          </cell>
          <cell r="ID386">
            <v>0</v>
          </cell>
          <cell r="IE386">
            <v>0</v>
          </cell>
          <cell r="IP386">
            <v>0</v>
          </cell>
          <cell r="IR386">
            <v>0</v>
          </cell>
          <cell r="IT386">
            <v>0</v>
          </cell>
          <cell r="IU386">
            <v>0</v>
          </cell>
        </row>
        <row r="387">
          <cell r="A387" t="str">
            <v>isf</v>
          </cell>
          <cell r="E387" t="str">
            <v>595 Dulong Tangke St. Malinta Valenzuela City</v>
          </cell>
          <cell r="S387" t="str">
            <v>Male</v>
          </cell>
          <cell r="AK387" t="str">
            <v>ISF</v>
          </cell>
          <cell r="AN387">
            <v>0</v>
          </cell>
          <cell r="AQ387">
            <v>0</v>
          </cell>
          <cell r="AS387">
            <v>0</v>
          </cell>
          <cell r="BM387" t="str">
            <v>Residential</v>
          </cell>
          <cell r="BN387">
            <v>0</v>
          </cell>
          <cell r="BR387">
            <v>1</v>
          </cell>
          <cell r="FQ387" t="str">
            <v>Need Displacement</v>
          </cell>
          <cell r="IB387">
            <v>0</v>
          </cell>
          <cell r="IC387">
            <v>0</v>
          </cell>
          <cell r="ID387">
            <v>0</v>
          </cell>
          <cell r="IE387">
            <v>0</v>
          </cell>
          <cell r="IP387">
            <v>0</v>
          </cell>
          <cell r="IR387">
            <v>0</v>
          </cell>
          <cell r="IT387">
            <v>0</v>
          </cell>
          <cell r="IU387">
            <v>0</v>
          </cell>
        </row>
        <row r="388">
          <cell r="A388" t="str">
            <v>isf</v>
          </cell>
          <cell r="E388" t="str">
            <v>595 Dulong Tangke St. Malinta Valenzuela City</v>
          </cell>
          <cell r="S388" t="str">
            <v>Female</v>
          </cell>
          <cell r="AK388" t="str">
            <v>ISF</v>
          </cell>
          <cell r="AN388">
            <v>0</v>
          </cell>
          <cell r="AQ388">
            <v>0</v>
          </cell>
          <cell r="AS388">
            <v>0</v>
          </cell>
          <cell r="BM388" t="str">
            <v>Residential</v>
          </cell>
          <cell r="BN388">
            <v>0</v>
          </cell>
          <cell r="BR388">
            <v>0.25</v>
          </cell>
          <cell r="FQ388" t="str">
            <v>Need Displacement</v>
          </cell>
          <cell r="IB388">
            <v>0</v>
          </cell>
          <cell r="IC388" t="str">
            <v>Y</v>
          </cell>
          <cell r="ID388">
            <v>1</v>
          </cell>
          <cell r="IE388">
            <v>0</v>
          </cell>
          <cell r="IP388">
            <v>0</v>
          </cell>
          <cell r="IR388">
            <v>0</v>
          </cell>
          <cell r="IT388">
            <v>0</v>
          </cell>
          <cell r="IU388">
            <v>0</v>
          </cell>
        </row>
        <row r="389">
          <cell r="A389" t="str">
            <v>isf</v>
          </cell>
          <cell r="E389" t="str">
            <v>595 Dulong Tangke St. Malinta Valenzuela City</v>
          </cell>
          <cell r="S389" t="str">
            <v>Female</v>
          </cell>
          <cell r="AK389" t="str">
            <v>ISF</v>
          </cell>
          <cell r="AN389">
            <v>0</v>
          </cell>
          <cell r="AQ389">
            <v>0</v>
          </cell>
          <cell r="AS389">
            <v>0</v>
          </cell>
          <cell r="BM389" t="str">
            <v>Residential/Commercial</v>
          </cell>
          <cell r="BN389">
            <v>0</v>
          </cell>
          <cell r="BR389">
            <v>0.59171597633136086</v>
          </cell>
          <cell r="FQ389" t="str">
            <v>Need Displacement</v>
          </cell>
          <cell r="IB389">
            <v>0</v>
          </cell>
          <cell r="IC389" t="str">
            <v>Y</v>
          </cell>
          <cell r="ID389">
            <v>1</v>
          </cell>
          <cell r="IE389">
            <v>1</v>
          </cell>
          <cell r="IP389" t="str">
            <v>Owner</v>
          </cell>
          <cell r="IR389" t="str">
            <v>Home/Small-scale Industry</v>
          </cell>
          <cell r="IT389">
            <v>0</v>
          </cell>
          <cell r="IU389">
            <v>0</v>
          </cell>
        </row>
        <row r="390">
          <cell r="A390" t="str">
            <v>legal</v>
          </cell>
          <cell r="E390" t="str">
            <v>596 San Francisco St. Malinta Valenzuela Ciy</v>
          </cell>
          <cell r="S390">
            <v>0</v>
          </cell>
          <cell r="AK390">
            <v>0</v>
          </cell>
          <cell r="AN390">
            <v>0</v>
          </cell>
          <cell r="AQ390">
            <v>0</v>
          </cell>
          <cell r="AS390">
            <v>0</v>
          </cell>
          <cell r="BM390" t="str">
            <v>Industrial</v>
          </cell>
          <cell r="BN390">
            <v>0</v>
          </cell>
          <cell r="BR390">
            <v>0</v>
          </cell>
          <cell r="FQ390">
            <v>0</v>
          </cell>
          <cell r="IB390">
            <v>0</v>
          </cell>
          <cell r="IC390">
            <v>0</v>
          </cell>
          <cell r="ID390">
            <v>0</v>
          </cell>
          <cell r="IE390">
            <v>0</v>
          </cell>
          <cell r="IP390">
            <v>0</v>
          </cell>
          <cell r="IR390">
            <v>0</v>
          </cell>
          <cell r="IT390">
            <v>0</v>
          </cell>
          <cell r="IU390">
            <v>0</v>
          </cell>
        </row>
        <row r="391">
          <cell r="A391" t="str">
            <v>legal</v>
          </cell>
          <cell r="E391" t="str">
            <v>Dulong Tangke, Malinta Valenzuela City</v>
          </cell>
          <cell r="S391">
            <v>0</v>
          </cell>
          <cell r="AK391">
            <v>0</v>
          </cell>
          <cell r="AN391">
            <v>0</v>
          </cell>
          <cell r="AQ391">
            <v>0</v>
          </cell>
          <cell r="AS391">
            <v>0</v>
          </cell>
          <cell r="BM391" t="str">
            <v>Industrial</v>
          </cell>
          <cell r="BN391">
            <v>0</v>
          </cell>
          <cell r="BR391">
            <v>0</v>
          </cell>
          <cell r="FQ391">
            <v>0</v>
          </cell>
          <cell r="IB391">
            <v>0</v>
          </cell>
          <cell r="IC391">
            <v>0</v>
          </cell>
          <cell r="ID391">
            <v>0</v>
          </cell>
          <cell r="IE391">
            <v>0</v>
          </cell>
          <cell r="IP391">
            <v>0</v>
          </cell>
          <cell r="IR391">
            <v>0</v>
          </cell>
          <cell r="IT391">
            <v>0</v>
          </cell>
          <cell r="IU391">
            <v>0</v>
          </cell>
        </row>
        <row r="392">
          <cell r="A392" t="str">
            <v>legal</v>
          </cell>
          <cell r="E392" t="str">
            <v>Dulong Tangke, Malinta Valenzuela City</v>
          </cell>
          <cell r="S392">
            <v>0</v>
          </cell>
          <cell r="AK392">
            <v>0</v>
          </cell>
          <cell r="AN392">
            <v>0</v>
          </cell>
          <cell r="AQ392">
            <v>0</v>
          </cell>
          <cell r="AS392">
            <v>0</v>
          </cell>
          <cell r="BM392" t="str">
            <v>Industrial</v>
          </cell>
          <cell r="BN392">
            <v>0</v>
          </cell>
          <cell r="BR392">
            <v>0</v>
          </cell>
          <cell r="FQ392">
            <v>0</v>
          </cell>
          <cell r="IB392">
            <v>0</v>
          </cell>
          <cell r="IC392">
            <v>0</v>
          </cell>
          <cell r="ID392">
            <v>0</v>
          </cell>
          <cell r="IE392">
            <v>0</v>
          </cell>
          <cell r="IP392">
            <v>0</v>
          </cell>
          <cell r="IR392">
            <v>0</v>
          </cell>
          <cell r="IT392">
            <v>0</v>
          </cell>
          <cell r="IU392">
            <v>0</v>
          </cell>
        </row>
        <row r="393">
          <cell r="A393" t="str">
            <v>legal</v>
          </cell>
          <cell r="E393" t="str">
            <v>Dulong Tangke, Malinta Valenzuela City</v>
          </cell>
          <cell r="S393">
            <v>0</v>
          </cell>
          <cell r="AK393">
            <v>0</v>
          </cell>
          <cell r="AN393">
            <v>0</v>
          </cell>
          <cell r="AQ393">
            <v>0</v>
          </cell>
          <cell r="AS393">
            <v>0</v>
          </cell>
          <cell r="BM393" t="str">
            <v>Industrial</v>
          </cell>
          <cell r="BN393">
            <v>0</v>
          </cell>
          <cell r="BR393">
            <v>0</v>
          </cell>
          <cell r="FQ393">
            <v>0</v>
          </cell>
          <cell r="IB393">
            <v>0</v>
          </cell>
          <cell r="IC393">
            <v>0</v>
          </cell>
          <cell r="ID393">
            <v>0</v>
          </cell>
          <cell r="IE393">
            <v>0</v>
          </cell>
          <cell r="IP393">
            <v>0</v>
          </cell>
          <cell r="IR393">
            <v>0</v>
          </cell>
          <cell r="IT393">
            <v>0</v>
          </cell>
          <cell r="IU393">
            <v>0</v>
          </cell>
        </row>
        <row r="394">
          <cell r="A394" t="str">
            <v>legal</v>
          </cell>
          <cell r="E394" t="str">
            <v>BRGY.05, Caloocan City</v>
          </cell>
          <cell r="S394">
            <v>0</v>
          </cell>
          <cell r="AK394" t="str">
            <v>Land Owner</v>
          </cell>
          <cell r="AN394">
            <v>4.4579194579194584E-2</v>
          </cell>
          <cell r="AQ394">
            <v>0</v>
          </cell>
          <cell r="AS394">
            <v>0</v>
          </cell>
          <cell r="BM394" t="str">
            <v>Industrial</v>
          </cell>
          <cell r="BN394">
            <v>0</v>
          </cell>
          <cell r="BR394">
            <v>4.4579194579194584E-2</v>
          </cell>
          <cell r="FQ394" t="str">
            <v>Can stay</v>
          </cell>
          <cell r="IB394">
            <v>0</v>
          </cell>
          <cell r="IC394">
            <v>0</v>
          </cell>
          <cell r="ID394">
            <v>0</v>
          </cell>
          <cell r="IE394">
            <v>0</v>
          </cell>
          <cell r="IP394" t="str">
            <v>Owner</v>
          </cell>
          <cell r="IR394" t="str">
            <v>Transport</v>
          </cell>
          <cell r="IT394" t="str">
            <v>x</v>
          </cell>
          <cell r="IU394">
            <v>0</v>
          </cell>
        </row>
        <row r="395">
          <cell r="A395" t="str">
            <v>legal</v>
          </cell>
          <cell r="E395" t="str">
            <v>BRGY.05, Caloocan City</v>
          </cell>
          <cell r="S395">
            <v>0</v>
          </cell>
          <cell r="AK395" t="str">
            <v>Land Owner</v>
          </cell>
          <cell r="AN395">
            <v>0.68461538461538463</v>
          </cell>
          <cell r="AQ395">
            <v>0</v>
          </cell>
          <cell r="AS395">
            <v>0</v>
          </cell>
          <cell r="BM395" t="str">
            <v>Industrial</v>
          </cell>
          <cell r="BN395">
            <v>0</v>
          </cell>
          <cell r="BR395">
            <v>0.25</v>
          </cell>
          <cell r="FQ395" t="str">
            <v>Need Displacement</v>
          </cell>
          <cell r="IB395">
            <v>0</v>
          </cell>
          <cell r="IC395">
            <v>0</v>
          </cell>
          <cell r="ID395">
            <v>0</v>
          </cell>
          <cell r="IE395">
            <v>0</v>
          </cell>
          <cell r="IP395" t="str">
            <v>Owner</v>
          </cell>
          <cell r="IR395" t="str">
            <v>Transport</v>
          </cell>
          <cell r="IT395" t="str">
            <v>x</v>
          </cell>
          <cell r="IU395">
            <v>0</v>
          </cell>
        </row>
        <row r="396">
          <cell r="A396" t="str">
            <v>legal</v>
          </cell>
          <cell r="E396" t="str">
            <v>BRGY.09, Caloocan City</v>
          </cell>
          <cell r="S396">
            <v>0</v>
          </cell>
          <cell r="AK396" t="str">
            <v>Land Owner</v>
          </cell>
          <cell r="AN396">
            <v>1</v>
          </cell>
          <cell r="AQ396">
            <v>0</v>
          </cell>
          <cell r="AS396">
            <v>0</v>
          </cell>
          <cell r="BM396" t="str">
            <v>Institutional</v>
          </cell>
          <cell r="BN396">
            <v>0</v>
          </cell>
          <cell r="BR396">
            <v>1</v>
          </cell>
          <cell r="FQ396" t="str">
            <v>Need Displacement</v>
          </cell>
          <cell r="IB396">
            <v>0</v>
          </cell>
          <cell r="IC396">
            <v>0</v>
          </cell>
          <cell r="ID396">
            <v>0</v>
          </cell>
          <cell r="IE396">
            <v>0</v>
          </cell>
          <cell r="IP396">
            <v>0</v>
          </cell>
          <cell r="IR396">
            <v>0</v>
          </cell>
          <cell r="IT396">
            <v>0</v>
          </cell>
          <cell r="IU396">
            <v>0</v>
          </cell>
        </row>
        <row r="397">
          <cell r="A397" t="str">
            <v>legal</v>
          </cell>
          <cell r="E397" t="str">
            <v>BRGY.09, Caloocan City</v>
          </cell>
          <cell r="S397">
            <v>0</v>
          </cell>
          <cell r="AK397" t="str">
            <v>Land Owner</v>
          </cell>
          <cell r="AN397">
            <v>1</v>
          </cell>
          <cell r="AQ397">
            <v>0</v>
          </cell>
          <cell r="AS397">
            <v>0</v>
          </cell>
          <cell r="BM397" t="str">
            <v>Industrial</v>
          </cell>
          <cell r="BN397">
            <v>0</v>
          </cell>
          <cell r="BR397">
            <v>1</v>
          </cell>
          <cell r="FQ397" t="str">
            <v>Need Displacement</v>
          </cell>
          <cell r="IB397">
            <v>0</v>
          </cell>
          <cell r="IC397">
            <v>0</v>
          </cell>
          <cell r="ID397">
            <v>0</v>
          </cell>
          <cell r="IE397">
            <v>0</v>
          </cell>
          <cell r="IP397" t="str">
            <v>Owner</v>
          </cell>
          <cell r="IR397" t="str">
            <v>Transport</v>
          </cell>
          <cell r="IT397">
            <v>0</v>
          </cell>
          <cell r="IU397">
            <v>0</v>
          </cell>
        </row>
        <row r="398">
          <cell r="A398" t="str">
            <v>legal</v>
          </cell>
          <cell r="E398" t="str">
            <v>19 P. Burgos St. Brgy.15 Caloocan City</v>
          </cell>
          <cell r="S398">
            <v>0</v>
          </cell>
          <cell r="AK398" t="str">
            <v>Land Owner</v>
          </cell>
          <cell r="AN398">
            <v>0.10666666666666667</v>
          </cell>
          <cell r="AQ398">
            <v>0</v>
          </cell>
          <cell r="AS398">
            <v>0</v>
          </cell>
          <cell r="BM398" t="str">
            <v>Institutional</v>
          </cell>
          <cell r="BN398">
            <v>0</v>
          </cell>
          <cell r="BR398">
            <v>0.23866666666666664</v>
          </cell>
          <cell r="FQ398" t="str">
            <v>Can stay</v>
          </cell>
          <cell r="IB398">
            <v>0</v>
          </cell>
          <cell r="IC398">
            <v>0</v>
          </cell>
          <cell r="ID398">
            <v>0</v>
          </cell>
          <cell r="IE398">
            <v>0</v>
          </cell>
          <cell r="IP398" t="str">
            <v>Owner</v>
          </cell>
          <cell r="IR398">
            <v>0</v>
          </cell>
          <cell r="IT398">
            <v>0</v>
          </cell>
          <cell r="IU398">
            <v>0</v>
          </cell>
        </row>
        <row r="399">
          <cell r="A399" t="str">
            <v>isf</v>
          </cell>
          <cell r="E399" t="str">
            <v>0197 P. Burgos St., Brgy.15, Caloocan City</v>
          </cell>
          <cell r="S399" t="str">
            <v>Male</v>
          </cell>
          <cell r="AK399" t="str">
            <v>ISF</v>
          </cell>
          <cell r="AN399">
            <v>1</v>
          </cell>
          <cell r="AQ399">
            <v>0</v>
          </cell>
          <cell r="AS399">
            <v>0</v>
          </cell>
          <cell r="BM399" t="str">
            <v>Residential/Commercial</v>
          </cell>
          <cell r="BN399">
            <v>1</v>
          </cell>
          <cell r="BR399">
            <v>1</v>
          </cell>
          <cell r="FQ399" t="str">
            <v>Need Displacement</v>
          </cell>
          <cell r="IB399">
            <v>0</v>
          </cell>
          <cell r="IC399">
            <v>0</v>
          </cell>
          <cell r="ID399">
            <v>0</v>
          </cell>
          <cell r="IE399">
            <v>0</v>
          </cell>
          <cell r="IP399" t="str">
            <v>Owner</v>
          </cell>
          <cell r="IR399" t="str">
            <v>Home/Small-scale Industry</v>
          </cell>
          <cell r="IT399">
            <v>0</v>
          </cell>
          <cell r="IU399" t="str">
            <v>x</v>
          </cell>
        </row>
        <row r="400">
          <cell r="A400" t="str">
            <v>isf</v>
          </cell>
          <cell r="E400" t="str">
            <v>0197 P. Burgos St., Brgy.15, Caloocan City</v>
          </cell>
          <cell r="S400">
            <v>0</v>
          </cell>
          <cell r="AK400" t="str">
            <v>Dweller</v>
          </cell>
          <cell r="AN400">
            <v>1</v>
          </cell>
          <cell r="AQ400">
            <v>0</v>
          </cell>
          <cell r="AS400">
            <v>0</v>
          </cell>
          <cell r="BM400" t="str">
            <v>Residential/Commercial</v>
          </cell>
          <cell r="BN400">
            <v>0</v>
          </cell>
          <cell r="BR400">
            <v>0</v>
          </cell>
          <cell r="FQ400" t="str">
            <v>Need Displacement</v>
          </cell>
          <cell r="IB400">
            <v>0</v>
          </cell>
          <cell r="IC400">
            <v>0</v>
          </cell>
          <cell r="ID400">
            <v>0</v>
          </cell>
          <cell r="IE400">
            <v>0</v>
          </cell>
          <cell r="IP400" t="str">
            <v>Renter</v>
          </cell>
          <cell r="IR400" t="str">
            <v>Traiding/retailing</v>
          </cell>
          <cell r="IT400">
            <v>0</v>
          </cell>
          <cell r="IU400" t="str">
            <v>x</v>
          </cell>
        </row>
        <row r="401">
          <cell r="A401" t="str">
            <v>CBL</v>
          </cell>
          <cell r="E401" t="str">
            <v>10th Ave. Daang Bakal, Brgy.15 Caloocan City</v>
          </cell>
          <cell r="S401">
            <v>0</v>
          </cell>
          <cell r="AK401" t="str">
            <v>ISF</v>
          </cell>
          <cell r="AN401">
            <v>0.7486209613869188</v>
          </cell>
          <cell r="AQ401">
            <v>0</v>
          </cell>
          <cell r="AS401">
            <v>0</v>
          </cell>
          <cell r="BM401" t="str">
            <v>Residential</v>
          </cell>
          <cell r="BN401">
            <v>0</v>
          </cell>
          <cell r="BR401">
            <v>0.56650906225374309</v>
          </cell>
          <cell r="FQ401">
            <v>0</v>
          </cell>
          <cell r="IB401">
            <v>0</v>
          </cell>
          <cell r="IC401">
            <v>0</v>
          </cell>
          <cell r="ID401">
            <v>0</v>
          </cell>
          <cell r="IE401">
            <v>0</v>
          </cell>
          <cell r="IP401">
            <v>0</v>
          </cell>
          <cell r="IR401">
            <v>0</v>
          </cell>
          <cell r="IT401">
            <v>0</v>
          </cell>
          <cell r="IU401">
            <v>0</v>
          </cell>
        </row>
        <row r="402">
          <cell r="A402" t="str">
            <v>legal</v>
          </cell>
          <cell r="E402" t="str">
            <v>10th Ave. Daang Bakal, Brgy.15 Caloocan City</v>
          </cell>
          <cell r="S402" t="str">
            <v>Female</v>
          </cell>
          <cell r="AK402" t="str">
            <v>Dweller</v>
          </cell>
          <cell r="AN402">
            <v>0.7486209613869188</v>
          </cell>
          <cell r="AQ402">
            <v>0</v>
          </cell>
          <cell r="AS402">
            <v>0</v>
          </cell>
          <cell r="BM402" t="str">
            <v>Residential</v>
          </cell>
          <cell r="BN402">
            <v>1</v>
          </cell>
          <cell r="BR402">
            <v>0.56650906225374309</v>
          </cell>
          <cell r="FQ402" t="str">
            <v>Need Displacement</v>
          </cell>
          <cell r="IB402" t="str">
            <v>Y</v>
          </cell>
          <cell r="IC402" t="str">
            <v>Y</v>
          </cell>
          <cell r="ID402">
            <v>0</v>
          </cell>
          <cell r="IE402">
            <v>0</v>
          </cell>
          <cell r="IP402">
            <v>0</v>
          </cell>
          <cell r="IR402">
            <v>0</v>
          </cell>
          <cell r="IT402">
            <v>0</v>
          </cell>
          <cell r="IU402">
            <v>0</v>
          </cell>
        </row>
        <row r="403">
          <cell r="A403" t="str">
            <v>isf</v>
          </cell>
          <cell r="E403" t="str">
            <v>10th Ave. Daang Bakal,Brgy.15  Caloocan City</v>
          </cell>
          <cell r="S403" t="str">
            <v>Male</v>
          </cell>
          <cell r="AK403" t="str">
            <v>ISF</v>
          </cell>
          <cell r="AN403">
            <v>1</v>
          </cell>
          <cell r="AQ403">
            <v>0</v>
          </cell>
          <cell r="AS403">
            <v>0</v>
          </cell>
          <cell r="BM403" t="str">
            <v>Residential</v>
          </cell>
          <cell r="BN403">
            <v>1</v>
          </cell>
          <cell r="BR403">
            <v>1</v>
          </cell>
          <cell r="FQ403" t="str">
            <v>Need Displacement</v>
          </cell>
          <cell r="IB403" t="str">
            <v>Y</v>
          </cell>
          <cell r="IC403">
            <v>0</v>
          </cell>
          <cell r="ID403">
            <v>0</v>
          </cell>
          <cell r="IE403">
            <v>0</v>
          </cell>
          <cell r="IP403">
            <v>0</v>
          </cell>
          <cell r="IR403">
            <v>0</v>
          </cell>
          <cell r="IT403">
            <v>0</v>
          </cell>
          <cell r="IU403">
            <v>0</v>
          </cell>
        </row>
        <row r="404">
          <cell r="A404" t="str">
            <v>isf</v>
          </cell>
          <cell r="E404" t="str">
            <v>198 Daang Bakal, Brgy.15 Caloocan City</v>
          </cell>
          <cell r="S404" t="str">
            <v>Male</v>
          </cell>
          <cell r="AK404" t="str">
            <v>ISF</v>
          </cell>
          <cell r="AN404">
            <v>0.92968801313628902</v>
          </cell>
          <cell r="AQ404">
            <v>0</v>
          </cell>
          <cell r="AS404">
            <v>0</v>
          </cell>
          <cell r="BM404" t="str">
            <v>Residential</v>
          </cell>
          <cell r="BN404">
            <v>0</v>
          </cell>
          <cell r="BR404">
            <v>0.9288057742782152</v>
          </cell>
          <cell r="FQ404" t="str">
            <v>Need Displacement</v>
          </cell>
          <cell r="IB404">
            <v>0</v>
          </cell>
          <cell r="IC404" t="str">
            <v>Y</v>
          </cell>
          <cell r="ID404">
            <v>0</v>
          </cell>
          <cell r="IE404">
            <v>0</v>
          </cell>
          <cell r="IP404">
            <v>0</v>
          </cell>
          <cell r="IR404">
            <v>0</v>
          </cell>
          <cell r="IT404">
            <v>0</v>
          </cell>
          <cell r="IU404">
            <v>0</v>
          </cell>
        </row>
        <row r="405">
          <cell r="A405" t="str">
            <v>isf</v>
          </cell>
          <cell r="E405" t="str">
            <v>198 Daang Bakal, P. Burgos St., Brgy.15 Caloocan City</v>
          </cell>
          <cell r="S405" t="str">
            <v>Female</v>
          </cell>
          <cell r="AK405" t="str">
            <v>ISF</v>
          </cell>
          <cell r="AN405">
            <v>0.92968801313628902</v>
          </cell>
          <cell r="AQ405">
            <v>0</v>
          </cell>
          <cell r="AS405">
            <v>0</v>
          </cell>
          <cell r="BM405" t="str">
            <v>Residential</v>
          </cell>
          <cell r="BN405">
            <v>0</v>
          </cell>
          <cell r="BR405">
            <v>0</v>
          </cell>
          <cell r="FQ405" t="str">
            <v>Need Displacement</v>
          </cell>
          <cell r="IB405" t="str">
            <v>Y</v>
          </cell>
          <cell r="IC405" t="str">
            <v>Y</v>
          </cell>
          <cell r="ID405">
            <v>0</v>
          </cell>
          <cell r="IE405">
            <v>0</v>
          </cell>
          <cell r="IP405">
            <v>0</v>
          </cell>
          <cell r="IR405">
            <v>0</v>
          </cell>
          <cell r="IT405">
            <v>0</v>
          </cell>
          <cell r="IU405">
            <v>0</v>
          </cell>
        </row>
        <row r="406">
          <cell r="A406" t="str">
            <v>isf</v>
          </cell>
          <cell r="E406" t="str">
            <v>198 Daang Bakal, P. Burgos St., Brgy.15, Caloocan City</v>
          </cell>
          <cell r="S406" t="str">
            <v>Male</v>
          </cell>
          <cell r="AK406" t="str">
            <v>ISF</v>
          </cell>
          <cell r="AN406">
            <v>0.72835820895522385</v>
          </cell>
          <cell r="AQ406">
            <v>0</v>
          </cell>
          <cell r="AS406">
            <v>0</v>
          </cell>
          <cell r="BM406" t="str">
            <v>Residential</v>
          </cell>
          <cell r="BN406">
            <v>1</v>
          </cell>
          <cell r="BR406">
            <v>0.72835820895522385</v>
          </cell>
          <cell r="FQ406" t="str">
            <v>Need Displacement</v>
          </cell>
          <cell r="IB406">
            <v>0</v>
          </cell>
          <cell r="IC406">
            <v>0</v>
          </cell>
          <cell r="ID406">
            <v>0</v>
          </cell>
          <cell r="IE406" t="str">
            <v>Roberto M. Badal</v>
          </cell>
          <cell r="IP406" t="str">
            <v>Owner</v>
          </cell>
          <cell r="IR406" t="str">
            <v>Home/Small-scale Industry</v>
          </cell>
          <cell r="IT406">
            <v>0</v>
          </cell>
          <cell r="IU406" t="str">
            <v>x</v>
          </cell>
        </row>
        <row r="407">
          <cell r="A407" t="str">
            <v>legal</v>
          </cell>
          <cell r="E407" t="str">
            <v>198 Daang Bakal, P. Burgos St., Brgy.15 Caloocan City</v>
          </cell>
          <cell r="S407" t="str">
            <v>Male</v>
          </cell>
          <cell r="AK407" t="str">
            <v>ISF</v>
          </cell>
          <cell r="AN407">
            <v>0.72835820895522385</v>
          </cell>
          <cell r="AQ407">
            <v>0</v>
          </cell>
          <cell r="AS407">
            <v>0</v>
          </cell>
          <cell r="BM407" t="str">
            <v>Residential</v>
          </cell>
          <cell r="BN407">
            <v>0</v>
          </cell>
          <cell r="BR407">
            <v>0</v>
          </cell>
          <cell r="FQ407" t="str">
            <v>Need Displacement</v>
          </cell>
          <cell r="IB407">
            <v>0</v>
          </cell>
          <cell r="IC407">
            <v>0</v>
          </cell>
          <cell r="ID407">
            <v>0</v>
          </cell>
          <cell r="IE407">
            <v>0</v>
          </cell>
          <cell r="IP407" t="str">
            <v>Owner</v>
          </cell>
          <cell r="IR407" t="str">
            <v>Trading/retailing</v>
          </cell>
          <cell r="IT407">
            <v>0</v>
          </cell>
          <cell r="IU407" t="str">
            <v>x</v>
          </cell>
        </row>
        <row r="408">
          <cell r="A408" t="str">
            <v>legal</v>
          </cell>
          <cell r="E408" t="str">
            <v>198 Daang Bakal, P. Burgos St., Brgy.15 Caloocan City</v>
          </cell>
          <cell r="S408" t="str">
            <v>Female</v>
          </cell>
          <cell r="AK408" t="str">
            <v>ISF</v>
          </cell>
          <cell r="AN408">
            <v>0.72835820895522385</v>
          </cell>
          <cell r="AQ408">
            <v>0</v>
          </cell>
          <cell r="AS408">
            <v>0</v>
          </cell>
          <cell r="BM408" t="str">
            <v>Residential</v>
          </cell>
          <cell r="BN408">
            <v>0</v>
          </cell>
          <cell r="BR408">
            <v>0</v>
          </cell>
          <cell r="FQ408" t="str">
            <v>Need Displacement</v>
          </cell>
          <cell r="IB408">
            <v>0</v>
          </cell>
          <cell r="IC408">
            <v>0</v>
          </cell>
          <cell r="ID408">
            <v>0</v>
          </cell>
          <cell r="IE408">
            <v>0</v>
          </cell>
          <cell r="IP408" t="str">
            <v>Owner</v>
          </cell>
          <cell r="IR408" t="str">
            <v>Trading/retailing</v>
          </cell>
          <cell r="IT408">
            <v>0</v>
          </cell>
          <cell r="IU408" t="str">
            <v>x</v>
          </cell>
        </row>
        <row r="409">
          <cell r="A409" t="str">
            <v>legal</v>
          </cell>
          <cell r="E409" t="str">
            <v>198 Daang Bakal, P. Burgos St., Brgy.15 Caloocan City</v>
          </cell>
          <cell r="S409" t="str">
            <v>Male</v>
          </cell>
          <cell r="AK409" t="str">
            <v>ISF</v>
          </cell>
          <cell r="AN409">
            <v>0.72835820895522385</v>
          </cell>
          <cell r="AQ409">
            <v>0</v>
          </cell>
          <cell r="AS409">
            <v>0</v>
          </cell>
          <cell r="BM409" t="str">
            <v>Residential</v>
          </cell>
          <cell r="BN409">
            <v>0</v>
          </cell>
          <cell r="BR409">
            <v>0</v>
          </cell>
          <cell r="FQ409" t="str">
            <v>Need Displacement</v>
          </cell>
          <cell r="IB409" t="str">
            <v>Y</v>
          </cell>
          <cell r="IC409">
            <v>0</v>
          </cell>
          <cell r="ID409">
            <v>0</v>
          </cell>
          <cell r="IE409">
            <v>0</v>
          </cell>
          <cell r="IP409">
            <v>0</v>
          </cell>
          <cell r="IR409">
            <v>0</v>
          </cell>
          <cell r="IT409">
            <v>0</v>
          </cell>
          <cell r="IU409">
            <v>0</v>
          </cell>
        </row>
        <row r="410">
          <cell r="A410" t="str">
            <v>legal</v>
          </cell>
          <cell r="E410" t="str">
            <v>198 Daang Bakal, P. Burgos St., Brgy.15 Caloocan City</v>
          </cell>
          <cell r="S410" t="str">
            <v>Male</v>
          </cell>
          <cell r="AK410" t="str">
            <v>ISF</v>
          </cell>
          <cell r="AN410">
            <v>0.72835820895522385</v>
          </cell>
          <cell r="AQ410">
            <v>0</v>
          </cell>
          <cell r="AS410">
            <v>0</v>
          </cell>
          <cell r="BM410" t="str">
            <v>Residential</v>
          </cell>
          <cell r="BN410">
            <v>0</v>
          </cell>
          <cell r="BR410">
            <v>0</v>
          </cell>
          <cell r="FQ410" t="str">
            <v>Need Displacement</v>
          </cell>
          <cell r="IB410">
            <v>0</v>
          </cell>
          <cell r="IC410">
            <v>0</v>
          </cell>
          <cell r="ID410">
            <v>0</v>
          </cell>
          <cell r="IE410">
            <v>0</v>
          </cell>
          <cell r="IP410">
            <v>0</v>
          </cell>
          <cell r="IR410">
            <v>0</v>
          </cell>
          <cell r="IT410">
            <v>0</v>
          </cell>
          <cell r="IU410">
            <v>0</v>
          </cell>
        </row>
        <row r="411">
          <cell r="A411" t="str">
            <v>isf</v>
          </cell>
          <cell r="E411" t="str">
            <v>200 P. Burgos St., 10th Ave. Caloocan City Brgy.15</v>
          </cell>
          <cell r="S411" t="str">
            <v>Male</v>
          </cell>
          <cell r="AK411" t="str">
            <v>ISF</v>
          </cell>
          <cell r="AN411">
            <v>0.62280701754385959</v>
          </cell>
          <cell r="AQ411">
            <v>0</v>
          </cell>
          <cell r="AS411">
            <v>0</v>
          </cell>
          <cell r="BM411" t="str">
            <v>Residential/Commercial</v>
          </cell>
          <cell r="BN411">
            <v>1</v>
          </cell>
          <cell r="BR411">
            <v>0.62280701754385959</v>
          </cell>
          <cell r="FQ411" t="str">
            <v>Need Displacement</v>
          </cell>
          <cell r="IB411" t="str">
            <v>Y</v>
          </cell>
          <cell r="IC411" t="str">
            <v>Y</v>
          </cell>
          <cell r="ID411">
            <v>0</v>
          </cell>
          <cell r="IE411">
            <v>1</v>
          </cell>
          <cell r="IP411" t="str">
            <v>Owner</v>
          </cell>
          <cell r="IR411" t="str">
            <v>Trading/retailing</v>
          </cell>
          <cell r="IT411">
            <v>0</v>
          </cell>
          <cell r="IU411" t="str">
            <v>x</v>
          </cell>
        </row>
        <row r="412">
          <cell r="A412" t="str">
            <v>isf</v>
          </cell>
          <cell r="E412" t="str">
            <v>200 P. Burgos St., 10th Ave. Caloocan City Brgy.15</v>
          </cell>
          <cell r="S412" t="str">
            <v>Female</v>
          </cell>
          <cell r="AK412" t="str">
            <v>ISF</v>
          </cell>
          <cell r="AN412">
            <v>0.62280701754385959</v>
          </cell>
          <cell r="AQ412">
            <v>0</v>
          </cell>
          <cell r="AS412">
            <v>0</v>
          </cell>
          <cell r="BM412" t="str">
            <v>Residential/Commercial</v>
          </cell>
          <cell r="BN412">
            <v>1</v>
          </cell>
          <cell r="BR412">
            <v>0</v>
          </cell>
          <cell r="FQ412" t="str">
            <v>Need Displacement</v>
          </cell>
          <cell r="IB412" t="str">
            <v>Y</v>
          </cell>
          <cell r="IC412" t="str">
            <v>Y</v>
          </cell>
          <cell r="ID412">
            <v>0</v>
          </cell>
          <cell r="IE412">
            <v>0</v>
          </cell>
          <cell r="IP412" t="str">
            <v>Sharer</v>
          </cell>
          <cell r="IR412" t="str">
            <v>Trading/retailing</v>
          </cell>
          <cell r="IT412">
            <v>0</v>
          </cell>
          <cell r="IU412" t="str">
            <v>x</v>
          </cell>
        </row>
        <row r="413">
          <cell r="A413" t="str">
            <v>isf</v>
          </cell>
          <cell r="E413" t="str">
            <v>201 Daang Bakal, P. Burgos St., 10th Ave. Caloocan City Brgy.15</v>
          </cell>
          <cell r="S413" t="str">
            <v>Male</v>
          </cell>
          <cell r="AK413" t="str">
            <v>ISF</v>
          </cell>
          <cell r="AN413">
            <v>0.82586006957866254</v>
          </cell>
          <cell r="AQ413">
            <v>0</v>
          </cell>
          <cell r="AS413">
            <v>0</v>
          </cell>
          <cell r="BM413" t="str">
            <v>Residential/Commercial</v>
          </cell>
          <cell r="BN413">
            <v>2</v>
          </cell>
          <cell r="BR413">
            <v>0.82586006957866254</v>
          </cell>
          <cell r="FQ413" t="str">
            <v>Need Displacement</v>
          </cell>
          <cell r="IB413">
            <v>0</v>
          </cell>
          <cell r="IC413">
            <v>0</v>
          </cell>
          <cell r="ID413">
            <v>0</v>
          </cell>
          <cell r="IE413">
            <v>0</v>
          </cell>
          <cell r="IP413" t="str">
            <v>Owner</v>
          </cell>
          <cell r="IR413" t="str">
            <v>Trading/retailing</v>
          </cell>
          <cell r="IT413" t="str">
            <v>x</v>
          </cell>
          <cell r="IU413">
            <v>0</v>
          </cell>
        </row>
        <row r="414">
          <cell r="A414" t="str">
            <v>isf</v>
          </cell>
          <cell r="E414" t="str">
            <v>203 Daang Bakal, 10th Ave. Caloocan City Brgy.15</v>
          </cell>
          <cell r="S414" t="str">
            <v>Female</v>
          </cell>
          <cell r="AK414" t="str">
            <v>ISF</v>
          </cell>
          <cell r="AN414">
            <v>0.754892823858341</v>
          </cell>
          <cell r="AQ414">
            <v>0</v>
          </cell>
          <cell r="AS414">
            <v>0</v>
          </cell>
          <cell r="BM414" t="str">
            <v>Residential</v>
          </cell>
          <cell r="BN414">
            <v>1</v>
          </cell>
          <cell r="BR414">
            <v>0.754892823858341</v>
          </cell>
          <cell r="FQ414" t="str">
            <v>Need Displacement</v>
          </cell>
          <cell r="IB414" t="str">
            <v>Y</v>
          </cell>
          <cell r="IC414" t="str">
            <v>Y</v>
          </cell>
          <cell r="ID414">
            <v>0</v>
          </cell>
          <cell r="IE414">
            <v>0</v>
          </cell>
          <cell r="IP414" t="str">
            <v>Owner</v>
          </cell>
          <cell r="IR414" t="str">
            <v>Home/Small-scale Industry</v>
          </cell>
          <cell r="IT414">
            <v>0</v>
          </cell>
          <cell r="IU414" t="str">
            <v>x</v>
          </cell>
        </row>
        <row r="415">
          <cell r="A415" t="str">
            <v>legal</v>
          </cell>
          <cell r="E415" t="str">
            <v>203 Daang Bakal, 10th Ave. Brgy.15 Caloocan City</v>
          </cell>
          <cell r="S415" t="str">
            <v>Male</v>
          </cell>
          <cell r="AK415" t="str">
            <v>Dweller</v>
          </cell>
          <cell r="AN415">
            <v>0.754892823858341</v>
          </cell>
          <cell r="AQ415">
            <v>0</v>
          </cell>
          <cell r="AS415">
            <v>0</v>
          </cell>
          <cell r="BM415" t="str">
            <v>Residential</v>
          </cell>
          <cell r="BN415">
            <v>0</v>
          </cell>
          <cell r="BR415">
            <v>0</v>
          </cell>
          <cell r="FQ415" t="str">
            <v>Need Displacement</v>
          </cell>
          <cell r="IB415" t="str">
            <v>Y</v>
          </cell>
          <cell r="IC415">
            <v>0</v>
          </cell>
          <cell r="ID415">
            <v>0</v>
          </cell>
          <cell r="IE415">
            <v>0</v>
          </cell>
          <cell r="IP415">
            <v>0</v>
          </cell>
          <cell r="IR415">
            <v>0</v>
          </cell>
          <cell r="IT415">
            <v>0</v>
          </cell>
          <cell r="IU415">
            <v>0</v>
          </cell>
        </row>
        <row r="416">
          <cell r="A416" t="str">
            <v>isf (ND)</v>
          </cell>
          <cell r="E416" t="str">
            <v>203 Daang Bakal, Brgy.15 Caloocan City</v>
          </cell>
          <cell r="S416" t="str">
            <v>Male</v>
          </cell>
          <cell r="AK416" t="str">
            <v>ISF</v>
          </cell>
          <cell r="AN416">
            <v>0.49562302104674988</v>
          </cell>
          <cell r="AQ416">
            <v>0</v>
          </cell>
          <cell r="AS416">
            <v>0</v>
          </cell>
          <cell r="BM416" t="str">
            <v>Residential</v>
          </cell>
          <cell r="BN416">
            <v>0</v>
          </cell>
          <cell r="BR416">
            <v>0.61780592289066871</v>
          </cell>
          <cell r="FQ416" t="str">
            <v>Need Displacement</v>
          </cell>
          <cell r="IB416">
            <v>0</v>
          </cell>
          <cell r="IC416">
            <v>0</v>
          </cell>
          <cell r="ID416">
            <v>0</v>
          </cell>
          <cell r="IE416">
            <v>0</v>
          </cell>
          <cell r="IP416">
            <v>0</v>
          </cell>
          <cell r="IR416" t="str">
            <v>Home/Small-scale Industry</v>
          </cell>
          <cell r="IT416">
            <v>0</v>
          </cell>
          <cell r="IU416">
            <v>0</v>
          </cell>
        </row>
        <row r="417">
          <cell r="A417" t="str">
            <v>isf</v>
          </cell>
          <cell r="E417" t="str">
            <v>203 Daang Bakal, P. Burgos St., Brgy.15 Caloocan City</v>
          </cell>
          <cell r="S417" t="str">
            <v>Female</v>
          </cell>
          <cell r="AK417" t="str">
            <v>ISF</v>
          </cell>
          <cell r="AN417">
            <v>0.59619722848855949</v>
          </cell>
          <cell r="AQ417">
            <v>0</v>
          </cell>
          <cell r="AS417">
            <v>0</v>
          </cell>
          <cell r="BM417" t="str">
            <v>Residential</v>
          </cell>
          <cell r="BN417">
            <v>3</v>
          </cell>
          <cell r="BR417">
            <v>0.59619722848855949</v>
          </cell>
          <cell r="FQ417" t="str">
            <v>Need Displacement</v>
          </cell>
          <cell r="IB417">
            <v>0</v>
          </cell>
          <cell r="IC417" t="str">
            <v>Y</v>
          </cell>
          <cell r="ID417">
            <v>0</v>
          </cell>
          <cell r="IE417">
            <v>1</v>
          </cell>
          <cell r="IP417">
            <v>0</v>
          </cell>
          <cell r="IR417">
            <v>0</v>
          </cell>
          <cell r="IT417">
            <v>0</v>
          </cell>
          <cell r="IU417">
            <v>0</v>
          </cell>
        </row>
        <row r="418">
          <cell r="A418" t="str">
            <v>isf</v>
          </cell>
          <cell r="E418" t="str">
            <v>14 P.Burgos St., 10th Ave. Caloocan City Brgy.15</v>
          </cell>
          <cell r="S418" t="str">
            <v>Male</v>
          </cell>
          <cell r="AK418" t="str">
            <v>ISF</v>
          </cell>
          <cell r="AN418">
            <v>0.63555555555555554</v>
          </cell>
          <cell r="AQ418">
            <v>0</v>
          </cell>
          <cell r="AS418">
            <v>0</v>
          </cell>
          <cell r="BM418" t="str">
            <v>Residential</v>
          </cell>
          <cell r="BN418">
            <v>1</v>
          </cell>
          <cell r="BR418">
            <v>0.63555555555555554</v>
          </cell>
          <cell r="FQ418" t="str">
            <v>Need Displacement</v>
          </cell>
          <cell r="IB418">
            <v>0</v>
          </cell>
          <cell r="IC418">
            <v>0</v>
          </cell>
          <cell r="ID418">
            <v>2</v>
          </cell>
          <cell r="IE418">
            <v>0</v>
          </cell>
          <cell r="IP418" t="str">
            <v>Owner</v>
          </cell>
          <cell r="IR418" t="str">
            <v>Home/Small-scale Industry</v>
          </cell>
          <cell r="IT418">
            <v>0</v>
          </cell>
          <cell r="IU418" t="str">
            <v>x</v>
          </cell>
        </row>
        <row r="419">
          <cell r="A419" t="str">
            <v>isf</v>
          </cell>
          <cell r="E419" t="str">
            <v>172 Daang Bakal Caloocan City Brgy.15</v>
          </cell>
          <cell r="S419" t="str">
            <v>Male</v>
          </cell>
          <cell r="AK419" t="str">
            <v>ISF</v>
          </cell>
          <cell r="AN419">
            <v>0.379746835443038</v>
          </cell>
          <cell r="AQ419">
            <v>0</v>
          </cell>
          <cell r="AS419">
            <v>0</v>
          </cell>
          <cell r="BM419" t="str">
            <v>Residential</v>
          </cell>
          <cell r="BN419">
            <v>1</v>
          </cell>
          <cell r="BR419">
            <v>0.15837563451776651</v>
          </cell>
          <cell r="FQ419" t="str">
            <v>Need Displacement</v>
          </cell>
          <cell r="IB419">
            <v>0</v>
          </cell>
          <cell r="IC419">
            <v>0</v>
          </cell>
          <cell r="ID419">
            <v>0</v>
          </cell>
          <cell r="IE419">
            <v>1</v>
          </cell>
          <cell r="IP419">
            <v>0</v>
          </cell>
          <cell r="IR419">
            <v>0</v>
          </cell>
          <cell r="IT419">
            <v>0</v>
          </cell>
          <cell r="IU419">
            <v>0</v>
          </cell>
        </row>
        <row r="420">
          <cell r="A420" t="str">
            <v>isf</v>
          </cell>
          <cell r="E420" t="str">
            <v>211 Daang Bakal, 10th Ave. Brgy.15 Caloocan City</v>
          </cell>
          <cell r="S420" t="str">
            <v>Male</v>
          </cell>
          <cell r="AK420" t="str">
            <v>ISF</v>
          </cell>
          <cell r="AN420">
            <v>0.379746835443038</v>
          </cell>
          <cell r="AQ420">
            <v>0</v>
          </cell>
          <cell r="AS420">
            <v>0</v>
          </cell>
          <cell r="BM420" t="str">
            <v>Residential</v>
          </cell>
          <cell r="BN420">
            <v>1</v>
          </cell>
          <cell r="BR420">
            <v>0</v>
          </cell>
          <cell r="FQ420" t="str">
            <v>Need Displacement</v>
          </cell>
          <cell r="IB420">
            <v>0</v>
          </cell>
          <cell r="IC420">
            <v>0</v>
          </cell>
          <cell r="ID420">
            <v>2</v>
          </cell>
          <cell r="IE420">
            <v>0</v>
          </cell>
          <cell r="IP420" t="str">
            <v>Owner</v>
          </cell>
          <cell r="IR420" t="str">
            <v>Home/Small-scale Industry</v>
          </cell>
          <cell r="IT420">
            <v>0</v>
          </cell>
          <cell r="IU420" t="str">
            <v>x</v>
          </cell>
        </row>
        <row r="421">
          <cell r="A421" t="str">
            <v>isf</v>
          </cell>
          <cell r="E421" t="str">
            <v>211 Daang Bakal, 10th Ave. Brgy.15 Caloocan City</v>
          </cell>
          <cell r="S421" t="str">
            <v>Male</v>
          </cell>
          <cell r="AK421" t="str">
            <v>ISF</v>
          </cell>
          <cell r="AN421">
            <v>0.379746835443038</v>
          </cell>
          <cell r="AQ421">
            <v>0</v>
          </cell>
          <cell r="AS421">
            <v>0</v>
          </cell>
          <cell r="BM421" t="str">
            <v>Residential</v>
          </cell>
          <cell r="BN421">
            <v>0</v>
          </cell>
          <cell r="BR421">
            <v>0</v>
          </cell>
          <cell r="FQ421" t="str">
            <v>Need Displacement</v>
          </cell>
          <cell r="IB421" t="str">
            <v>Y</v>
          </cell>
          <cell r="IC421">
            <v>0</v>
          </cell>
          <cell r="ID421">
            <v>0</v>
          </cell>
          <cell r="IE421">
            <v>0</v>
          </cell>
          <cell r="IP421">
            <v>0</v>
          </cell>
          <cell r="IR421">
            <v>0</v>
          </cell>
          <cell r="IT421">
            <v>0</v>
          </cell>
          <cell r="IU421">
            <v>0</v>
          </cell>
        </row>
        <row r="422">
          <cell r="A422" t="str">
            <v>absentee</v>
          </cell>
          <cell r="E422" t="str">
            <v>134  Daang Bakal, 10th Ave. Brgy.15 Caloocan City</v>
          </cell>
          <cell r="S422" t="str">
            <v>Male</v>
          </cell>
          <cell r="AK422" t="str">
            <v>ISF</v>
          </cell>
          <cell r="AN422">
            <v>1</v>
          </cell>
          <cell r="AQ422">
            <v>0</v>
          </cell>
          <cell r="AS422">
            <v>0</v>
          </cell>
          <cell r="BM422" t="str">
            <v>Residential</v>
          </cell>
          <cell r="BN422">
            <v>4</v>
          </cell>
          <cell r="BR422">
            <v>0</v>
          </cell>
          <cell r="FQ422" t="str">
            <v>Need Displacement</v>
          </cell>
          <cell r="IB422" t="str">
            <v>Y</v>
          </cell>
          <cell r="IC422">
            <v>0</v>
          </cell>
          <cell r="ID422">
            <v>0</v>
          </cell>
          <cell r="IE422">
            <v>0</v>
          </cell>
          <cell r="IP422">
            <v>0</v>
          </cell>
          <cell r="IR422">
            <v>0</v>
          </cell>
          <cell r="IT422">
            <v>0</v>
          </cell>
          <cell r="IU422">
            <v>0</v>
          </cell>
        </row>
        <row r="423">
          <cell r="A423" t="str">
            <v>isf</v>
          </cell>
          <cell r="E423" t="str">
            <v>100 F. Sanchez St., Brgy.15 Caloocan City</v>
          </cell>
          <cell r="S423" t="str">
            <v>Male</v>
          </cell>
          <cell r="AK423" t="str">
            <v>ISF</v>
          </cell>
          <cell r="AN423">
            <v>0.79994524673191425</v>
          </cell>
          <cell r="AQ423">
            <v>0</v>
          </cell>
          <cell r="AS423">
            <v>0</v>
          </cell>
          <cell r="BM423" t="str">
            <v>Residential</v>
          </cell>
          <cell r="BN423">
            <v>0</v>
          </cell>
          <cell r="BR423">
            <v>0.62798194713088329</v>
          </cell>
          <cell r="FQ423" t="str">
            <v>Need Displacement</v>
          </cell>
          <cell r="IB423" t="str">
            <v>Y</v>
          </cell>
          <cell r="IC423">
            <v>0</v>
          </cell>
          <cell r="ID423">
            <v>0</v>
          </cell>
          <cell r="IE423">
            <v>0</v>
          </cell>
          <cell r="IP423">
            <v>0</v>
          </cell>
          <cell r="IR423">
            <v>0</v>
          </cell>
          <cell r="IT423">
            <v>0</v>
          </cell>
          <cell r="IU423">
            <v>0</v>
          </cell>
        </row>
        <row r="424">
          <cell r="A424" t="str">
            <v>isf (ND)</v>
          </cell>
          <cell r="E424" t="str">
            <v>211 Daang Bakal, 10th Ave. Brgy.15 Caloocan City</v>
          </cell>
          <cell r="S424" t="str">
            <v>Male</v>
          </cell>
          <cell r="AK424" t="str">
            <v>ISF</v>
          </cell>
          <cell r="AN424">
            <v>1</v>
          </cell>
          <cell r="AQ424">
            <v>0</v>
          </cell>
          <cell r="AS424">
            <v>0</v>
          </cell>
          <cell r="BM424" t="str">
            <v>Commercial</v>
          </cell>
          <cell r="BN424">
            <v>2</v>
          </cell>
          <cell r="BR424">
            <v>1</v>
          </cell>
          <cell r="FQ424" t="str">
            <v>Need Displacement</v>
          </cell>
          <cell r="IB424">
            <v>0</v>
          </cell>
          <cell r="IC424">
            <v>0</v>
          </cell>
          <cell r="ID424">
            <v>2</v>
          </cell>
          <cell r="IE424">
            <v>0</v>
          </cell>
          <cell r="IP424" t="str">
            <v>Commercial renter</v>
          </cell>
          <cell r="IR424" t="str">
            <v>Home/Small-scale Industry</v>
          </cell>
          <cell r="IT424">
            <v>0</v>
          </cell>
          <cell r="IU424" t="str">
            <v>x</v>
          </cell>
        </row>
        <row r="425">
          <cell r="A425" t="str">
            <v>legal</v>
          </cell>
          <cell r="E425" t="str">
            <v>220 Esguerra St., BRGY.15 Caloocan City</v>
          </cell>
          <cell r="S425" t="str">
            <v>Male</v>
          </cell>
          <cell r="AK425" t="str">
            <v>ISF</v>
          </cell>
          <cell r="AN425">
            <v>1</v>
          </cell>
          <cell r="AQ425">
            <v>0</v>
          </cell>
          <cell r="AS425">
            <v>0</v>
          </cell>
          <cell r="BM425" t="str">
            <v>Commercial</v>
          </cell>
          <cell r="BN425">
            <v>0</v>
          </cell>
          <cell r="BR425">
            <v>0</v>
          </cell>
          <cell r="FQ425" t="str">
            <v>Need Displacement</v>
          </cell>
          <cell r="IB425" t="str">
            <v>Y</v>
          </cell>
          <cell r="IC425">
            <v>0</v>
          </cell>
          <cell r="ID425">
            <v>1</v>
          </cell>
          <cell r="IE425">
            <v>1</v>
          </cell>
          <cell r="IP425" t="str">
            <v>Commercial renter</v>
          </cell>
          <cell r="IR425" t="str">
            <v>Home/Small-scale Industry</v>
          </cell>
          <cell r="IT425">
            <v>0</v>
          </cell>
          <cell r="IU425" t="str">
            <v>x</v>
          </cell>
        </row>
        <row r="426">
          <cell r="A426" t="str">
            <v>Legal</v>
          </cell>
          <cell r="E426" t="str">
            <v>100 F. Sanchez St., Brgy.15 Caloocan City</v>
          </cell>
          <cell r="S426" t="str">
            <v>Male</v>
          </cell>
          <cell r="AK426" t="str">
            <v>Land Owner</v>
          </cell>
          <cell r="AN426">
            <v>4.9999999999999996E-2</v>
          </cell>
          <cell r="AQ426">
            <v>0</v>
          </cell>
          <cell r="AS426" t="str">
            <v>Y</v>
          </cell>
          <cell r="BM426" t="str">
            <v>Residential</v>
          </cell>
          <cell r="BN426">
            <v>0</v>
          </cell>
          <cell r="BR426">
            <v>4.9999999999999996E-2</v>
          </cell>
          <cell r="FQ426" t="str">
            <v>Can Stay</v>
          </cell>
          <cell r="IB426">
            <v>0</v>
          </cell>
          <cell r="IC426">
            <v>0</v>
          </cell>
          <cell r="ID426">
            <v>1</v>
          </cell>
          <cell r="IE426">
            <v>0</v>
          </cell>
          <cell r="IP426">
            <v>0</v>
          </cell>
          <cell r="IR426">
            <v>0</v>
          </cell>
          <cell r="IT426">
            <v>0</v>
          </cell>
          <cell r="IU426">
            <v>0</v>
          </cell>
        </row>
        <row r="427">
          <cell r="A427" t="str">
            <v>isf</v>
          </cell>
          <cell r="E427" t="str">
            <v>BRGY.17, Caloocan City</v>
          </cell>
          <cell r="S427" t="str">
            <v>Male</v>
          </cell>
          <cell r="AK427" t="str">
            <v>ISF</v>
          </cell>
          <cell r="AN427">
            <v>0.49673469387755104</v>
          </cell>
          <cell r="AQ427">
            <v>0</v>
          </cell>
          <cell r="AS427">
            <v>0</v>
          </cell>
          <cell r="BM427" t="str">
            <v>Residential</v>
          </cell>
          <cell r="BN427">
            <v>1</v>
          </cell>
          <cell r="BR427">
            <v>0</v>
          </cell>
          <cell r="FQ427">
            <v>0</v>
          </cell>
          <cell r="IB427">
            <v>0</v>
          </cell>
          <cell r="IC427">
            <v>0</v>
          </cell>
          <cell r="ID427">
            <v>0</v>
          </cell>
          <cell r="IE427">
            <v>0</v>
          </cell>
          <cell r="IP427">
            <v>0</v>
          </cell>
          <cell r="IR427">
            <v>0</v>
          </cell>
          <cell r="IT427">
            <v>0</v>
          </cell>
          <cell r="IU427">
            <v>0</v>
          </cell>
        </row>
        <row r="428">
          <cell r="A428" t="str">
            <v>isf</v>
          </cell>
          <cell r="E428" t="str">
            <v>59 Acab St., Brgy.17 Caloocan City</v>
          </cell>
          <cell r="S428" t="str">
            <v>Female</v>
          </cell>
          <cell r="AK428" t="str">
            <v>ISF</v>
          </cell>
          <cell r="AN428">
            <v>0.6</v>
          </cell>
          <cell r="AQ428">
            <v>0</v>
          </cell>
          <cell r="AS428">
            <v>0</v>
          </cell>
          <cell r="BM428" t="str">
            <v>Residential</v>
          </cell>
          <cell r="BN428">
            <v>0</v>
          </cell>
          <cell r="BR428">
            <v>0</v>
          </cell>
          <cell r="FQ428">
            <v>0</v>
          </cell>
          <cell r="IB428" t="str">
            <v>Y</v>
          </cell>
          <cell r="IC428" t="str">
            <v>Y</v>
          </cell>
          <cell r="ID428">
            <v>0</v>
          </cell>
          <cell r="IE428">
            <v>0</v>
          </cell>
          <cell r="IP428">
            <v>0</v>
          </cell>
          <cell r="IR428">
            <v>0</v>
          </cell>
          <cell r="IT428">
            <v>0</v>
          </cell>
          <cell r="IU428">
            <v>0</v>
          </cell>
        </row>
        <row r="429">
          <cell r="A429" t="str">
            <v>isf</v>
          </cell>
          <cell r="E429" t="str">
            <v>Acab St., Brgy.17, Caloocan City</v>
          </cell>
          <cell r="S429" t="str">
            <v>Male</v>
          </cell>
          <cell r="AK429" t="str">
            <v>ISF</v>
          </cell>
          <cell r="AN429">
            <v>1</v>
          </cell>
          <cell r="AQ429">
            <v>0</v>
          </cell>
          <cell r="AS429">
            <v>0</v>
          </cell>
          <cell r="BM429" t="str">
            <v>Residential</v>
          </cell>
          <cell r="BN429">
            <v>0</v>
          </cell>
          <cell r="BR429">
            <v>0</v>
          </cell>
          <cell r="FQ429">
            <v>0</v>
          </cell>
          <cell r="IB429">
            <v>0</v>
          </cell>
          <cell r="IC429">
            <v>0</v>
          </cell>
          <cell r="ID429">
            <v>0</v>
          </cell>
          <cell r="IE429">
            <v>0</v>
          </cell>
          <cell r="IP429">
            <v>0</v>
          </cell>
          <cell r="IR429">
            <v>0</v>
          </cell>
          <cell r="IT429">
            <v>0</v>
          </cell>
          <cell r="IU429">
            <v>0</v>
          </cell>
        </row>
        <row r="430">
          <cell r="A430" t="str">
            <v>isf</v>
          </cell>
          <cell r="E430" t="str">
            <v>170 Daang Bakal, Brgy.15 Caloocan City</v>
          </cell>
          <cell r="S430" t="str">
            <v>Female</v>
          </cell>
          <cell r="AK430" t="str">
            <v>ISF</v>
          </cell>
          <cell r="AN430">
            <v>1</v>
          </cell>
          <cell r="AQ430">
            <v>0</v>
          </cell>
          <cell r="AS430">
            <v>0</v>
          </cell>
          <cell r="BM430">
            <v>0</v>
          </cell>
          <cell r="BN430">
            <v>0</v>
          </cell>
          <cell r="BR430">
            <v>0</v>
          </cell>
          <cell r="FQ430">
            <v>0</v>
          </cell>
          <cell r="IB430">
            <v>0</v>
          </cell>
          <cell r="IC430">
            <v>0</v>
          </cell>
          <cell r="ID430">
            <v>0</v>
          </cell>
          <cell r="IE430">
            <v>0</v>
          </cell>
          <cell r="IP430" t="str">
            <v>the Owner offered space for rent, Renter</v>
          </cell>
          <cell r="IR430" t="str">
            <v>Trading/retailing</v>
          </cell>
          <cell r="IT430">
            <v>0</v>
          </cell>
          <cell r="IU430" t="str">
            <v>x</v>
          </cell>
        </row>
        <row r="431">
          <cell r="A431" t="str">
            <v>L-I</v>
          </cell>
          <cell r="E431" t="str">
            <v>16 Daang Bakal Brgy.17 Caloocan City</v>
          </cell>
          <cell r="S431" t="str">
            <v>Male</v>
          </cell>
          <cell r="AK431" t="str">
            <v>L-ISF</v>
          </cell>
          <cell r="AN431">
            <v>1</v>
          </cell>
          <cell r="AQ431">
            <v>0</v>
          </cell>
          <cell r="AS431" t="str">
            <v>Y</v>
          </cell>
          <cell r="BM431" t="str">
            <v>Residential</v>
          </cell>
          <cell r="BN431">
            <v>0</v>
          </cell>
          <cell r="BR431">
            <v>0</v>
          </cell>
          <cell r="FQ431">
            <v>0</v>
          </cell>
          <cell r="IB431" t="str">
            <v>Y</v>
          </cell>
          <cell r="IC431">
            <v>0</v>
          </cell>
          <cell r="ID431">
            <v>1</v>
          </cell>
          <cell r="IE431">
            <v>1</v>
          </cell>
          <cell r="IP431">
            <v>0</v>
          </cell>
          <cell r="IR431">
            <v>0</v>
          </cell>
          <cell r="IT431">
            <v>0</v>
          </cell>
          <cell r="IU431">
            <v>0</v>
          </cell>
        </row>
        <row r="432">
          <cell r="A432" t="str">
            <v>L-I</v>
          </cell>
          <cell r="E432" t="str">
            <v>226 Don Antonio St., Brgy.17 Caloocan City</v>
          </cell>
          <cell r="S432" t="str">
            <v>Male</v>
          </cell>
          <cell r="AK432" t="str">
            <v>L-ISF</v>
          </cell>
          <cell r="AN432">
            <v>0.16</v>
          </cell>
          <cell r="AQ432">
            <v>0</v>
          </cell>
          <cell r="AS432" t="str">
            <v>Y</v>
          </cell>
          <cell r="BM432" t="str">
            <v>Residential</v>
          </cell>
          <cell r="BN432">
            <v>0</v>
          </cell>
          <cell r="BR432">
            <v>0</v>
          </cell>
          <cell r="FQ432">
            <v>0</v>
          </cell>
          <cell r="IB432">
            <v>0</v>
          </cell>
          <cell r="IC432">
            <v>0</v>
          </cell>
          <cell r="ID432">
            <v>1</v>
          </cell>
          <cell r="IE432">
            <v>1</v>
          </cell>
          <cell r="IP432">
            <v>0</v>
          </cell>
          <cell r="IR432">
            <v>0</v>
          </cell>
          <cell r="IT432">
            <v>0</v>
          </cell>
          <cell r="IU432">
            <v>0</v>
          </cell>
        </row>
        <row r="433">
          <cell r="A433" t="str">
            <v>L-I</v>
          </cell>
          <cell r="E433" t="str">
            <v>158 Don Antonio St., Brgy.17 Caloocan City</v>
          </cell>
          <cell r="S433" t="str">
            <v>Male</v>
          </cell>
          <cell r="AK433" t="str">
            <v>L-ISF</v>
          </cell>
          <cell r="AN433">
            <v>1</v>
          </cell>
          <cell r="AQ433">
            <v>0</v>
          </cell>
          <cell r="AS433" t="str">
            <v>Y</v>
          </cell>
          <cell r="BM433" t="str">
            <v>Residential</v>
          </cell>
          <cell r="BN433">
            <v>0</v>
          </cell>
          <cell r="BR433">
            <v>0</v>
          </cell>
          <cell r="FQ433">
            <v>0</v>
          </cell>
          <cell r="IB433" t="str">
            <v>Y</v>
          </cell>
          <cell r="IC433">
            <v>0</v>
          </cell>
          <cell r="ID433">
            <v>0</v>
          </cell>
          <cell r="IE433">
            <v>0</v>
          </cell>
          <cell r="IP433">
            <v>0</v>
          </cell>
          <cell r="IR433">
            <v>0</v>
          </cell>
          <cell r="IT433">
            <v>0</v>
          </cell>
          <cell r="IU433">
            <v>0</v>
          </cell>
        </row>
        <row r="434">
          <cell r="A434" t="str">
            <v>L-I</v>
          </cell>
          <cell r="E434" t="str">
            <v>222 Don Antonio St., Brgy.17 Zone 2 Caloocan City</v>
          </cell>
          <cell r="S434" t="str">
            <v>Male</v>
          </cell>
          <cell r="AK434" t="str">
            <v>L-ISF</v>
          </cell>
          <cell r="AN434">
            <v>1</v>
          </cell>
          <cell r="AQ434">
            <v>0</v>
          </cell>
          <cell r="AS434" t="str">
            <v>Y</v>
          </cell>
          <cell r="BM434">
            <v>0</v>
          </cell>
          <cell r="BN434">
            <v>0</v>
          </cell>
          <cell r="BR434">
            <v>0</v>
          </cell>
          <cell r="FQ434">
            <v>0</v>
          </cell>
          <cell r="IB434" t="str">
            <v>Y</v>
          </cell>
          <cell r="IC434">
            <v>0</v>
          </cell>
          <cell r="ID434">
            <v>2</v>
          </cell>
          <cell r="IE434">
            <v>1</v>
          </cell>
          <cell r="IP434">
            <v>0</v>
          </cell>
          <cell r="IR434">
            <v>0</v>
          </cell>
          <cell r="IT434">
            <v>0</v>
          </cell>
          <cell r="IU434">
            <v>0</v>
          </cell>
        </row>
        <row r="435">
          <cell r="A435" t="str">
            <v>isf</v>
          </cell>
          <cell r="E435" t="str">
            <v>Don Antonio St., Brgy.17 Zone 2 Caloocan City</v>
          </cell>
          <cell r="S435">
            <v>0</v>
          </cell>
          <cell r="AK435" t="str">
            <v>ISF</v>
          </cell>
          <cell r="AN435">
            <v>0</v>
          </cell>
          <cell r="AQ435">
            <v>0</v>
          </cell>
          <cell r="AS435">
            <v>0</v>
          </cell>
          <cell r="BM435">
            <v>0</v>
          </cell>
          <cell r="BN435">
            <v>0</v>
          </cell>
          <cell r="BR435">
            <v>0</v>
          </cell>
          <cell r="FQ435">
            <v>0</v>
          </cell>
          <cell r="IB435">
            <v>0</v>
          </cell>
          <cell r="IC435">
            <v>0</v>
          </cell>
          <cell r="ID435">
            <v>0</v>
          </cell>
          <cell r="IE435">
            <v>0</v>
          </cell>
          <cell r="IP435">
            <v>0</v>
          </cell>
          <cell r="IR435">
            <v>0</v>
          </cell>
          <cell r="IT435">
            <v>0</v>
          </cell>
          <cell r="IU435">
            <v>0</v>
          </cell>
        </row>
        <row r="436">
          <cell r="A436" t="str">
            <v>L-I</v>
          </cell>
          <cell r="E436" t="str">
            <v>33 Don Antonio St., Brgy.19 Zone 2 Caloocan City</v>
          </cell>
          <cell r="S436" t="str">
            <v>Female</v>
          </cell>
          <cell r="AK436" t="str">
            <v>L-ISF</v>
          </cell>
          <cell r="AN436">
            <v>1</v>
          </cell>
          <cell r="AQ436">
            <v>0</v>
          </cell>
          <cell r="AS436" t="str">
            <v>Y</v>
          </cell>
          <cell r="BM436">
            <v>0</v>
          </cell>
          <cell r="BN436">
            <v>0</v>
          </cell>
          <cell r="BR436">
            <v>0</v>
          </cell>
          <cell r="FQ436">
            <v>0</v>
          </cell>
          <cell r="IB436">
            <v>0</v>
          </cell>
          <cell r="IC436">
            <v>0</v>
          </cell>
          <cell r="ID436">
            <v>0</v>
          </cell>
          <cell r="IE436">
            <v>0</v>
          </cell>
          <cell r="IP436">
            <v>0</v>
          </cell>
          <cell r="IR436">
            <v>0</v>
          </cell>
          <cell r="IT436">
            <v>0</v>
          </cell>
          <cell r="IU436">
            <v>0</v>
          </cell>
        </row>
        <row r="437">
          <cell r="A437" t="str">
            <v>L-I</v>
          </cell>
          <cell r="E437" t="str">
            <v>Don Antonio St., Brgy.19 Caloocan City</v>
          </cell>
          <cell r="S437" t="str">
            <v>Male</v>
          </cell>
          <cell r="AK437" t="str">
            <v>L-ISF</v>
          </cell>
          <cell r="AN437">
            <v>0.96296296296296313</v>
          </cell>
          <cell r="AQ437">
            <v>0</v>
          </cell>
          <cell r="AS437">
            <v>0</v>
          </cell>
          <cell r="BM437">
            <v>0</v>
          </cell>
          <cell r="BN437">
            <v>0</v>
          </cell>
          <cell r="BR437">
            <v>0</v>
          </cell>
          <cell r="FQ437">
            <v>0</v>
          </cell>
          <cell r="IB437" t="str">
            <v>Y</v>
          </cell>
          <cell r="IC437">
            <v>0</v>
          </cell>
          <cell r="ID437">
            <v>2</v>
          </cell>
          <cell r="IE437">
            <v>0</v>
          </cell>
          <cell r="IP437">
            <v>0</v>
          </cell>
          <cell r="IR437">
            <v>0</v>
          </cell>
          <cell r="IT437">
            <v>0</v>
          </cell>
          <cell r="IU437">
            <v>0</v>
          </cell>
        </row>
        <row r="438">
          <cell r="A438" t="str">
            <v>L-I</v>
          </cell>
          <cell r="E438" t="str">
            <v>Brgy.19 Caloocan City</v>
          </cell>
          <cell r="S438">
            <v>0</v>
          </cell>
          <cell r="AK438" t="str">
            <v>L-ISF</v>
          </cell>
          <cell r="AN438">
            <v>0.79647058823529404</v>
          </cell>
          <cell r="AQ438">
            <v>0</v>
          </cell>
          <cell r="AS438">
            <v>0</v>
          </cell>
          <cell r="BM438">
            <v>0</v>
          </cell>
          <cell r="BN438">
            <v>0</v>
          </cell>
          <cell r="BR438">
            <v>0</v>
          </cell>
          <cell r="FQ438">
            <v>0</v>
          </cell>
          <cell r="IB438">
            <v>0</v>
          </cell>
          <cell r="IC438">
            <v>0</v>
          </cell>
          <cell r="ID438">
            <v>0</v>
          </cell>
          <cell r="IE438">
            <v>0</v>
          </cell>
          <cell r="IP438">
            <v>0</v>
          </cell>
          <cell r="IR438">
            <v>0</v>
          </cell>
          <cell r="IT438">
            <v>0</v>
          </cell>
          <cell r="IU438">
            <v>0</v>
          </cell>
        </row>
        <row r="439">
          <cell r="A439" t="str">
            <v>L-I</v>
          </cell>
          <cell r="E439" t="str">
            <v>Brgy.19 Caloocan City</v>
          </cell>
          <cell r="S439">
            <v>0</v>
          </cell>
          <cell r="AK439" t="str">
            <v>L-ISF</v>
          </cell>
          <cell r="AN439">
            <v>0.6</v>
          </cell>
          <cell r="AQ439">
            <v>0</v>
          </cell>
          <cell r="AS439">
            <v>0</v>
          </cell>
          <cell r="BM439">
            <v>0</v>
          </cell>
          <cell r="BN439">
            <v>0</v>
          </cell>
          <cell r="BR439">
            <v>0</v>
          </cell>
          <cell r="FQ439">
            <v>0</v>
          </cell>
          <cell r="IB439">
            <v>0</v>
          </cell>
          <cell r="IC439">
            <v>0</v>
          </cell>
          <cell r="ID439">
            <v>0</v>
          </cell>
          <cell r="IE439">
            <v>0</v>
          </cell>
          <cell r="IP439">
            <v>0</v>
          </cell>
          <cell r="IR439">
            <v>0</v>
          </cell>
          <cell r="IT439">
            <v>0</v>
          </cell>
          <cell r="IU439">
            <v>0</v>
          </cell>
        </row>
        <row r="440">
          <cell r="A440" t="str">
            <v>L-I</v>
          </cell>
          <cell r="E440" t="str">
            <v>33 Daang Bakal Don Antonio St., Brgy.19 Zone 2 Caloocan City</v>
          </cell>
          <cell r="S440" t="str">
            <v>Male</v>
          </cell>
          <cell r="AK440" t="str">
            <v>L-ISF</v>
          </cell>
          <cell r="AN440">
            <v>0.26857142857142857</v>
          </cell>
          <cell r="AQ440">
            <v>0</v>
          </cell>
          <cell r="AS440" t="str">
            <v>Y</v>
          </cell>
          <cell r="BM440">
            <v>0</v>
          </cell>
          <cell r="BN440">
            <v>0</v>
          </cell>
          <cell r="BR440">
            <v>0</v>
          </cell>
          <cell r="FQ440" t="str">
            <v>Can stay</v>
          </cell>
          <cell r="IB440">
            <v>0</v>
          </cell>
          <cell r="IC440">
            <v>0</v>
          </cell>
          <cell r="ID440">
            <v>2</v>
          </cell>
          <cell r="IE440">
            <v>0</v>
          </cell>
          <cell r="IP440">
            <v>0</v>
          </cell>
          <cell r="IR440">
            <v>0</v>
          </cell>
          <cell r="IT440">
            <v>0</v>
          </cell>
          <cell r="IU440">
            <v>0</v>
          </cell>
        </row>
        <row r="441">
          <cell r="A441" t="str">
            <v>legal</v>
          </cell>
          <cell r="E441" t="str">
            <v>33 Don Antonio St., Brgy.19 Zone 2 Caloocan City</v>
          </cell>
          <cell r="S441" t="str">
            <v>Female</v>
          </cell>
          <cell r="AK441" t="str">
            <v>L-ISF</v>
          </cell>
          <cell r="AN441">
            <v>0.31889952153110052</v>
          </cell>
          <cell r="AQ441" t="str">
            <v>CMP</v>
          </cell>
          <cell r="AS441" t="str">
            <v>Y</v>
          </cell>
          <cell r="BM441">
            <v>0</v>
          </cell>
          <cell r="BN441">
            <v>0</v>
          </cell>
          <cell r="BR441">
            <v>0</v>
          </cell>
          <cell r="FQ441">
            <v>0</v>
          </cell>
          <cell r="IB441">
            <v>0</v>
          </cell>
          <cell r="IC441" t="str">
            <v>Y</v>
          </cell>
          <cell r="ID441">
            <v>0</v>
          </cell>
          <cell r="IE441">
            <v>0</v>
          </cell>
          <cell r="IP441">
            <v>0</v>
          </cell>
          <cell r="IR441">
            <v>0</v>
          </cell>
          <cell r="IT441">
            <v>0</v>
          </cell>
          <cell r="IU441">
            <v>0</v>
          </cell>
        </row>
        <row r="442">
          <cell r="A442" t="str">
            <v>L-I</v>
          </cell>
          <cell r="E442" t="str">
            <v>392 Don Antonio St., Brgy.19 Caloocan City</v>
          </cell>
          <cell r="S442" t="str">
            <v>Male</v>
          </cell>
          <cell r="AK442" t="str">
            <v>L-ISF</v>
          </cell>
          <cell r="AN442">
            <v>0.74087401543320941</v>
          </cell>
          <cell r="AQ442">
            <v>0</v>
          </cell>
          <cell r="AS442" t="str">
            <v>Y</v>
          </cell>
          <cell r="BM442" t="str">
            <v>Residential</v>
          </cell>
          <cell r="BN442">
            <v>1</v>
          </cell>
          <cell r="BR442">
            <v>0</v>
          </cell>
          <cell r="FQ442">
            <v>0</v>
          </cell>
          <cell r="IB442" t="str">
            <v>Y</v>
          </cell>
          <cell r="IC442">
            <v>0</v>
          </cell>
          <cell r="ID442">
            <v>0</v>
          </cell>
          <cell r="IE442">
            <v>0</v>
          </cell>
          <cell r="IP442">
            <v>0</v>
          </cell>
          <cell r="IR442">
            <v>0</v>
          </cell>
          <cell r="IT442">
            <v>0</v>
          </cell>
          <cell r="IU442">
            <v>0</v>
          </cell>
        </row>
        <row r="443">
          <cell r="A443" t="str">
            <v>L-I</v>
          </cell>
          <cell r="E443" t="str">
            <v>102 Don Antonio St., Brgy.19 Caloocan City</v>
          </cell>
          <cell r="S443" t="str">
            <v>Female</v>
          </cell>
          <cell r="AK443" t="str">
            <v>L-ISF</v>
          </cell>
          <cell r="AN443">
            <v>1</v>
          </cell>
          <cell r="AQ443">
            <v>0</v>
          </cell>
          <cell r="AS443" t="str">
            <v>Y</v>
          </cell>
          <cell r="BM443" t="str">
            <v>Residential</v>
          </cell>
          <cell r="BN443">
            <v>2</v>
          </cell>
          <cell r="BR443">
            <v>0</v>
          </cell>
          <cell r="FQ443">
            <v>0</v>
          </cell>
          <cell r="IB443" t="str">
            <v>Y</v>
          </cell>
          <cell r="IC443" t="str">
            <v>Y</v>
          </cell>
          <cell r="ID443" t="str">
            <v>Nelia Apacible(67)</v>
          </cell>
          <cell r="IE443" t="str">
            <v>Nelia Apacible (High Blood, daibetes)</v>
          </cell>
          <cell r="IP443">
            <v>0</v>
          </cell>
          <cell r="IR443">
            <v>0</v>
          </cell>
          <cell r="IT443">
            <v>0</v>
          </cell>
          <cell r="IU443">
            <v>0</v>
          </cell>
        </row>
        <row r="444">
          <cell r="A444" t="str">
            <v>L-I</v>
          </cell>
          <cell r="E444" t="str">
            <v>102 Don Antonio St., Brgy.19 Caloocan City</v>
          </cell>
          <cell r="S444" t="str">
            <v>Male</v>
          </cell>
          <cell r="AK444" t="str">
            <v>LL-ISF</v>
          </cell>
          <cell r="AN444">
            <v>0.56542500000000007</v>
          </cell>
          <cell r="AQ444">
            <v>0</v>
          </cell>
          <cell r="AS444">
            <v>0</v>
          </cell>
          <cell r="BM444" t="str">
            <v>Residential/Commercial</v>
          </cell>
          <cell r="BN444">
            <v>1</v>
          </cell>
          <cell r="BR444">
            <v>0</v>
          </cell>
          <cell r="FQ444">
            <v>0</v>
          </cell>
          <cell r="IB444" t="str">
            <v>Y</v>
          </cell>
          <cell r="IC444" t="str">
            <v>Y</v>
          </cell>
          <cell r="ID444" t="str">
            <v>Father/Mother</v>
          </cell>
          <cell r="IE444">
            <v>0</v>
          </cell>
          <cell r="IP444" t="str">
            <v>Owner</v>
          </cell>
          <cell r="IR444" t="str">
            <v>Home/Small-scale Industry</v>
          </cell>
          <cell r="IT444">
            <v>0</v>
          </cell>
          <cell r="IU444">
            <v>0</v>
          </cell>
        </row>
        <row r="445">
          <cell r="A445" t="str">
            <v>L-I</v>
          </cell>
          <cell r="E445" t="str">
            <v>610 Don Antonio St., Brgy.19 Caloocan City</v>
          </cell>
          <cell r="S445" t="str">
            <v>Male</v>
          </cell>
          <cell r="AK445" t="str">
            <v>L-ISF</v>
          </cell>
          <cell r="AN445">
            <v>1</v>
          </cell>
          <cell r="AQ445">
            <v>0</v>
          </cell>
          <cell r="AS445">
            <v>0</v>
          </cell>
          <cell r="BM445" t="str">
            <v>Residential</v>
          </cell>
          <cell r="BN445">
            <v>0</v>
          </cell>
          <cell r="BR445">
            <v>0</v>
          </cell>
          <cell r="FQ445">
            <v>0</v>
          </cell>
          <cell r="IB445">
            <v>0</v>
          </cell>
          <cell r="IC445">
            <v>0</v>
          </cell>
          <cell r="ID445">
            <v>0</v>
          </cell>
          <cell r="IE445">
            <v>0</v>
          </cell>
          <cell r="IP445">
            <v>0</v>
          </cell>
          <cell r="IR445" t="str">
            <v>Trading/retailing</v>
          </cell>
          <cell r="IT445">
            <v>0</v>
          </cell>
          <cell r="IU445" t="str">
            <v>x</v>
          </cell>
        </row>
        <row r="446">
          <cell r="A446" t="str">
            <v>isf (p)</v>
          </cell>
          <cell r="E446" t="str">
            <v>102 Don Antonio St., Brgy.19 Caloocan City</v>
          </cell>
          <cell r="S446" t="str">
            <v>Male</v>
          </cell>
          <cell r="AK446" t="str">
            <v>ISF</v>
          </cell>
          <cell r="AN446">
            <v>0.42652362062747928</v>
          </cell>
          <cell r="AQ446">
            <v>0</v>
          </cell>
          <cell r="AS446">
            <v>0</v>
          </cell>
          <cell r="BM446" t="str">
            <v>Residential</v>
          </cell>
          <cell r="BN446">
            <v>2</v>
          </cell>
          <cell r="BR446">
            <v>0.19160051838652198</v>
          </cell>
          <cell r="FQ446">
            <v>0</v>
          </cell>
          <cell r="IB446" t="str">
            <v>Y</v>
          </cell>
          <cell r="IC446">
            <v>0</v>
          </cell>
          <cell r="ID446">
            <v>0</v>
          </cell>
          <cell r="IE446">
            <v>0</v>
          </cell>
          <cell r="IP446">
            <v>0</v>
          </cell>
          <cell r="IR446">
            <v>0</v>
          </cell>
          <cell r="IT446">
            <v>0</v>
          </cell>
          <cell r="IU446">
            <v>0</v>
          </cell>
        </row>
        <row r="447">
          <cell r="A447" t="str">
            <v>isf</v>
          </cell>
          <cell r="E447" t="str">
            <v>102 Don Antonio St., Brgy.19 Caloocan City</v>
          </cell>
          <cell r="S447" t="str">
            <v>Female</v>
          </cell>
          <cell r="AK447" t="str">
            <v>ISF</v>
          </cell>
          <cell r="AN447">
            <v>1</v>
          </cell>
          <cell r="AQ447">
            <v>0</v>
          </cell>
          <cell r="AS447">
            <v>0</v>
          </cell>
          <cell r="BM447" t="str">
            <v>Residential</v>
          </cell>
          <cell r="BN447">
            <v>0</v>
          </cell>
          <cell r="BR447">
            <v>1</v>
          </cell>
          <cell r="FQ447" t="str">
            <v>Need Displacement</v>
          </cell>
          <cell r="IB447">
            <v>0</v>
          </cell>
          <cell r="IC447" t="str">
            <v>Y</v>
          </cell>
          <cell r="ID447">
            <v>1</v>
          </cell>
          <cell r="IE447">
            <v>0</v>
          </cell>
          <cell r="IP447">
            <v>0</v>
          </cell>
          <cell r="IR447">
            <v>0</v>
          </cell>
          <cell r="IT447">
            <v>0</v>
          </cell>
          <cell r="IU447">
            <v>0</v>
          </cell>
        </row>
        <row r="448">
          <cell r="A448" t="str">
            <v>isf</v>
          </cell>
          <cell r="E448" t="str">
            <v>102 Don Antonio St., Brgy.19 Caloocan City</v>
          </cell>
          <cell r="S448">
            <v>0</v>
          </cell>
          <cell r="AK448" t="str">
            <v>ISF</v>
          </cell>
          <cell r="AN448">
            <v>1</v>
          </cell>
          <cell r="AQ448">
            <v>0</v>
          </cell>
          <cell r="AS448">
            <v>0</v>
          </cell>
          <cell r="BM448" t="str">
            <v>Commercial</v>
          </cell>
          <cell r="BN448">
            <v>0</v>
          </cell>
          <cell r="BR448">
            <v>0</v>
          </cell>
          <cell r="FQ448">
            <v>0</v>
          </cell>
          <cell r="IB448">
            <v>0</v>
          </cell>
          <cell r="IC448">
            <v>0</v>
          </cell>
          <cell r="ID448">
            <v>0</v>
          </cell>
          <cell r="IE448">
            <v>0</v>
          </cell>
          <cell r="IP448" t="str">
            <v>Owner</v>
          </cell>
          <cell r="IR448" t="str">
            <v>Trading/retailing</v>
          </cell>
          <cell r="IT448">
            <v>0</v>
          </cell>
          <cell r="IU448">
            <v>0</v>
          </cell>
        </row>
        <row r="449">
          <cell r="A449" t="str">
            <v>isf</v>
          </cell>
          <cell r="E449" t="str">
            <v>102 Don Antonio St., Brgy.19 Caloocan City</v>
          </cell>
          <cell r="S449" t="str">
            <v>Male</v>
          </cell>
          <cell r="AK449" t="str">
            <v>ISF</v>
          </cell>
          <cell r="AN449">
            <v>1</v>
          </cell>
          <cell r="AQ449">
            <v>0</v>
          </cell>
          <cell r="AS449">
            <v>0</v>
          </cell>
          <cell r="BM449" t="str">
            <v>Residential</v>
          </cell>
          <cell r="BN449">
            <v>0</v>
          </cell>
          <cell r="BR449">
            <v>1</v>
          </cell>
          <cell r="FQ449" t="str">
            <v>Need Displacement</v>
          </cell>
          <cell r="IB449">
            <v>0</v>
          </cell>
          <cell r="IC449">
            <v>0</v>
          </cell>
          <cell r="ID449">
            <v>0</v>
          </cell>
          <cell r="IE449">
            <v>0</v>
          </cell>
          <cell r="IP449">
            <v>0</v>
          </cell>
          <cell r="IR449">
            <v>0</v>
          </cell>
          <cell r="IT449">
            <v>0</v>
          </cell>
          <cell r="IU449">
            <v>0</v>
          </cell>
        </row>
        <row r="450">
          <cell r="A450" t="str">
            <v>isf</v>
          </cell>
          <cell r="E450" t="str">
            <v>102 Don Antonio St., Brgy.19 Caloocan City</v>
          </cell>
          <cell r="S450" t="str">
            <v>Male</v>
          </cell>
          <cell r="AK450" t="str">
            <v>ISF</v>
          </cell>
          <cell r="AN450">
            <v>1</v>
          </cell>
          <cell r="AQ450">
            <v>0</v>
          </cell>
          <cell r="AS450">
            <v>0</v>
          </cell>
          <cell r="BM450" t="str">
            <v>Residential</v>
          </cell>
          <cell r="BN450">
            <v>1</v>
          </cell>
          <cell r="BR450">
            <v>1</v>
          </cell>
          <cell r="FQ450" t="str">
            <v>Need Displacement</v>
          </cell>
          <cell r="IB450" t="str">
            <v>Y</v>
          </cell>
          <cell r="IC450">
            <v>0</v>
          </cell>
          <cell r="ID450" t="str">
            <v>Marites Eulogio (?)</v>
          </cell>
          <cell r="IE450">
            <v>0</v>
          </cell>
          <cell r="IP450">
            <v>0</v>
          </cell>
          <cell r="IR450">
            <v>0</v>
          </cell>
          <cell r="IT450">
            <v>0</v>
          </cell>
          <cell r="IU450">
            <v>0</v>
          </cell>
        </row>
        <row r="451">
          <cell r="A451" t="str">
            <v>isf</v>
          </cell>
          <cell r="E451" t="str">
            <v>102 Don Antonio St., Brgy.19 Caloocan City</v>
          </cell>
          <cell r="S451" t="str">
            <v>Male</v>
          </cell>
          <cell r="AK451" t="str">
            <v>ISF</v>
          </cell>
          <cell r="AN451">
            <v>0.83870967741935476</v>
          </cell>
          <cell r="AQ451">
            <v>0</v>
          </cell>
          <cell r="AS451">
            <v>0</v>
          </cell>
          <cell r="BM451" t="str">
            <v>Residential</v>
          </cell>
          <cell r="BN451">
            <v>0</v>
          </cell>
          <cell r="BR451">
            <v>0.823943661971831</v>
          </cell>
          <cell r="FQ451" t="str">
            <v>Need Displacement</v>
          </cell>
          <cell r="IB451">
            <v>0</v>
          </cell>
          <cell r="IC451" t="str">
            <v>Y</v>
          </cell>
          <cell r="ID451">
            <v>0</v>
          </cell>
          <cell r="IE451">
            <v>0</v>
          </cell>
          <cell r="IP451">
            <v>0</v>
          </cell>
          <cell r="IR451">
            <v>0</v>
          </cell>
          <cell r="IT451">
            <v>0</v>
          </cell>
          <cell r="IU451">
            <v>0</v>
          </cell>
        </row>
        <row r="452">
          <cell r="A452" t="str">
            <v>isf</v>
          </cell>
          <cell r="E452" t="str">
            <v>102 Don Antonio St., Brgy.19 Caloocan City</v>
          </cell>
          <cell r="S452" t="str">
            <v>Male</v>
          </cell>
          <cell r="AK452" t="str">
            <v>ISF</v>
          </cell>
          <cell r="AN452">
            <v>0.12552301255230125</v>
          </cell>
          <cell r="AQ452">
            <v>0</v>
          </cell>
          <cell r="AS452">
            <v>0</v>
          </cell>
          <cell r="BM452" t="str">
            <v>Residential</v>
          </cell>
          <cell r="BN452">
            <v>1</v>
          </cell>
          <cell r="BR452">
            <v>0.12552301255230125</v>
          </cell>
          <cell r="FQ452" t="str">
            <v>Can Stay (ACCESS BLOCK)</v>
          </cell>
          <cell r="IB452" t="str">
            <v>Y</v>
          </cell>
          <cell r="IC452" t="str">
            <v>Y</v>
          </cell>
          <cell r="ID452">
            <v>0</v>
          </cell>
          <cell r="IE452">
            <v>0</v>
          </cell>
          <cell r="IP452">
            <v>0</v>
          </cell>
          <cell r="IR452">
            <v>0</v>
          </cell>
          <cell r="IT452">
            <v>0</v>
          </cell>
          <cell r="IU452">
            <v>0</v>
          </cell>
        </row>
        <row r="453">
          <cell r="A453" t="str">
            <v>isf</v>
          </cell>
          <cell r="E453" t="str">
            <v>102 Don Antonio St., Brgy.19 Caloocan City</v>
          </cell>
          <cell r="S453" t="str">
            <v>Male</v>
          </cell>
          <cell r="AK453" t="str">
            <v>ISF</v>
          </cell>
          <cell r="AN453">
            <v>0.12552301255230125</v>
          </cell>
          <cell r="AQ453">
            <v>0</v>
          </cell>
          <cell r="AS453">
            <v>0</v>
          </cell>
          <cell r="BM453" t="str">
            <v>Residential</v>
          </cell>
          <cell r="BN453">
            <v>2</v>
          </cell>
          <cell r="BR453">
            <v>0.12552301255230125</v>
          </cell>
          <cell r="FQ453" t="str">
            <v>Can Stay (ACCESS BLOCK)</v>
          </cell>
          <cell r="IB453">
            <v>0</v>
          </cell>
          <cell r="IC453">
            <v>0</v>
          </cell>
          <cell r="ID453">
            <v>0</v>
          </cell>
          <cell r="IE453">
            <v>0</v>
          </cell>
          <cell r="IP453">
            <v>0</v>
          </cell>
          <cell r="IR453">
            <v>0</v>
          </cell>
          <cell r="IT453">
            <v>0</v>
          </cell>
          <cell r="IU453">
            <v>0</v>
          </cell>
        </row>
        <row r="454">
          <cell r="A454" t="str">
            <v>isf (p)</v>
          </cell>
          <cell r="E454" t="str">
            <v>102 Don Antonio St., Brgy.19 Caloocan City</v>
          </cell>
          <cell r="S454" t="str">
            <v>Male</v>
          </cell>
          <cell r="AK454" t="str">
            <v>ISF</v>
          </cell>
          <cell r="AN454">
            <v>1</v>
          </cell>
          <cell r="AQ454">
            <v>0</v>
          </cell>
          <cell r="AS454">
            <v>0</v>
          </cell>
          <cell r="BM454" t="str">
            <v>Commercial</v>
          </cell>
          <cell r="BN454">
            <v>0</v>
          </cell>
          <cell r="BR454">
            <v>1</v>
          </cell>
          <cell r="FQ454" t="str">
            <v>Need Displacement</v>
          </cell>
          <cell r="IB454">
            <v>0</v>
          </cell>
          <cell r="IC454">
            <v>0</v>
          </cell>
          <cell r="ID454">
            <v>0</v>
          </cell>
          <cell r="IE454">
            <v>0</v>
          </cell>
          <cell r="IP454" t="str">
            <v>Owner</v>
          </cell>
          <cell r="IR454" t="str">
            <v>Trading/retailing</v>
          </cell>
          <cell r="IT454">
            <v>0</v>
          </cell>
          <cell r="IU454" t="str">
            <v>x</v>
          </cell>
        </row>
        <row r="455">
          <cell r="A455" t="str">
            <v>isf</v>
          </cell>
          <cell r="E455" t="str">
            <v>102 Don Antonio St., Brgy.19 Caloocan City</v>
          </cell>
          <cell r="S455">
            <v>0</v>
          </cell>
          <cell r="AK455" t="str">
            <v>ISF</v>
          </cell>
          <cell r="AN455">
            <v>0.19024045261669023</v>
          </cell>
          <cell r="AQ455">
            <v>0</v>
          </cell>
          <cell r="AS455">
            <v>0</v>
          </cell>
          <cell r="BM455" t="str">
            <v>Residential</v>
          </cell>
          <cell r="BN455">
            <v>1</v>
          </cell>
          <cell r="BR455">
            <v>0.14779718548900359</v>
          </cell>
          <cell r="FQ455" t="str">
            <v>Can Stay (ACCESS BLOCK)</v>
          </cell>
          <cell r="IB455">
            <v>0</v>
          </cell>
          <cell r="IC455">
            <v>0</v>
          </cell>
          <cell r="ID455">
            <v>0</v>
          </cell>
          <cell r="IE455">
            <v>0</v>
          </cell>
          <cell r="IP455">
            <v>0</v>
          </cell>
          <cell r="IR455">
            <v>0</v>
          </cell>
          <cell r="IT455">
            <v>0</v>
          </cell>
          <cell r="IU455">
            <v>0</v>
          </cell>
        </row>
        <row r="456">
          <cell r="A456" t="str">
            <v>isf</v>
          </cell>
          <cell r="E456" t="str">
            <v>102 Don Antonio St., Brgy.19 Caloocan City</v>
          </cell>
          <cell r="S456" t="str">
            <v>Male</v>
          </cell>
          <cell r="AK456" t="str">
            <v>ISF</v>
          </cell>
          <cell r="AN456">
            <v>1</v>
          </cell>
          <cell r="AQ456">
            <v>0</v>
          </cell>
          <cell r="AS456">
            <v>0</v>
          </cell>
          <cell r="BM456" t="str">
            <v>Residential</v>
          </cell>
          <cell r="BN456">
            <v>1</v>
          </cell>
          <cell r="BR456">
            <v>1</v>
          </cell>
          <cell r="FQ456" t="str">
            <v>Need Displacement</v>
          </cell>
          <cell r="IB456" t="str">
            <v>Y</v>
          </cell>
          <cell r="IC456">
            <v>0</v>
          </cell>
          <cell r="ID456">
            <v>0</v>
          </cell>
          <cell r="IE456">
            <v>0</v>
          </cell>
          <cell r="IP456">
            <v>0</v>
          </cell>
          <cell r="IR456">
            <v>0</v>
          </cell>
          <cell r="IT456">
            <v>0</v>
          </cell>
          <cell r="IU456">
            <v>0</v>
          </cell>
        </row>
        <row r="457">
          <cell r="A457" t="str">
            <v>(isf;p) absentee</v>
          </cell>
          <cell r="E457" t="str">
            <v>503 Doña Rita St., Brgy.19 Caloocan City</v>
          </cell>
          <cell r="S457" t="str">
            <v>Male</v>
          </cell>
          <cell r="AK457" t="str">
            <v>ISF</v>
          </cell>
          <cell r="AN457">
            <v>5.5393586005830907E-2</v>
          </cell>
          <cell r="AQ457">
            <v>0</v>
          </cell>
          <cell r="AS457">
            <v>0</v>
          </cell>
          <cell r="BM457" t="str">
            <v>Residential</v>
          </cell>
          <cell r="BN457">
            <v>0</v>
          </cell>
          <cell r="BR457">
            <v>5.5532417048452035E-2</v>
          </cell>
          <cell r="FQ457" t="str">
            <v>Need Displacement</v>
          </cell>
          <cell r="IB457">
            <v>0</v>
          </cell>
          <cell r="IC457" t="str">
            <v>Y</v>
          </cell>
          <cell r="ID457">
            <v>0</v>
          </cell>
          <cell r="IE457">
            <v>1</v>
          </cell>
          <cell r="IP457">
            <v>0</v>
          </cell>
          <cell r="IR457">
            <v>0</v>
          </cell>
          <cell r="IT457">
            <v>0</v>
          </cell>
          <cell r="IU457">
            <v>0</v>
          </cell>
        </row>
        <row r="458">
          <cell r="A458" t="str">
            <v>isf</v>
          </cell>
          <cell r="E458" t="str">
            <v>102 Don Antonio St., Brgy.19 Caloocan City</v>
          </cell>
          <cell r="S458" t="str">
            <v>Male</v>
          </cell>
          <cell r="AK458" t="str">
            <v>ISF</v>
          </cell>
          <cell r="AN458">
            <v>1</v>
          </cell>
          <cell r="AQ458">
            <v>0</v>
          </cell>
          <cell r="AS458">
            <v>0</v>
          </cell>
          <cell r="BM458" t="str">
            <v>Residential</v>
          </cell>
          <cell r="BN458">
            <v>0</v>
          </cell>
          <cell r="BR458">
            <v>1</v>
          </cell>
          <cell r="FQ458" t="str">
            <v>Need Displacement</v>
          </cell>
          <cell r="IB458" t="str">
            <v>Y</v>
          </cell>
          <cell r="IC458">
            <v>0</v>
          </cell>
          <cell r="ID458">
            <v>0</v>
          </cell>
          <cell r="IE458">
            <v>0</v>
          </cell>
          <cell r="IP458">
            <v>0</v>
          </cell>
          <cell r="IR458">
            <v>0</v>
          </cell>
          <cell r="IT458">
            <v>0</v>
          </cell>
          <cell r="IU458">
            <v>0</v>
          </cell>
        </row>
        <row r="459">
          <cell r="A459" t="str">
            <v>(isf) absentee</v>
          </cell>
          <cell r="E459" t="str">
            <v>102 Don Antonio St., Brgy.19 Caloocan City</v>
          </cell>
          <cell r="S459" t="str">
            <v>Male</v>
          </cell>
          <cell r="AK459" t="str">
            <v>ISF</v>
          </cell>
          <cell r="AN459">
            <v>1.023076923076923</v>
          </cell>
          <cell r="AQ459">
            <v>0</v>
          </cell>
          <cell r="AS459">
            <v>0</v>
          </cell>
          <cell r="BM459">
            <v>0</v>
          </cell>
          <cell r="BN459">
            <v>0</v>
          </cell>
          <cell r="BR459">
            <v>0</v>
          </cell>
          <cell r="FQ459" t="str">
            <v>(ACCESS BLOCK)</v>
          </cell>
          <cell r="IB459" t="str">
            <v>Y</v>
          </cell>
          <cell r="IC459">
            <v>0</v>
          </cell>
          <cell r="ID459">
            <v>0</v>
          </cell>
          <cell r="IE459">
            <v>0</v>
          </cell>
          <cell r="IP459">
            <v>0</v>
          </cell>
          <cell r="IR459">
            <v>0</v>
          </cell>
          <cell r="IT459">
            <v>0</v>
          </cell>
          <cell r="IU459">
            <v>0</v>
          </cell>
        </row>
        <row r="460">
          <cell r="A460" t="str">
            <v>isf</v>
          </cell>
          <cell r="E460" t="str">
            <v>577 Doña Rita St., Brgy.19 Caloocan City</v>
          </cell>
          <cell r="S460" t="str">
            <v>Female</v>
          </cell>
          <cell r="AK460" t="str">
            <v>ISF</v>
          </cell>
          <cell r="AN460">
            <v>0.50768882858435094</v>
          </cell>
          <cell r="AQ460">
            <v>0</v>
          </cell>
          <cell r="AS460">
            <v>0</v>
          </cell>
          <cell r="BM460" t="str">
            <v>Residential/Commercial</v>
          </cell>
          <cell r="BN460">
            <v>0</v>
          </cell>
          <cell r="BR460">
            <v>0.41848484848484852</v>
          </cell>
          <cell r="FQ460" t="str">
            <v>Need Displacement</v>
          </cell>
          <cell r="IB460" t="str">
            <v>Y</v>
          </cell>
          <cell r="IC460" t="str">
            <v>Y</v>
          </cell>
          <cell r="ID460">
            <v>1</v>
          </cell>
          <cell r="IE460">
            <v>0</v>
          </cell>
          <cell r="IP460" t="str">
            <v>Owner</v>
          </cell>
          <cell r="IR460" t="str">
            <v>Home/Small-scale Industry</v>
          </cell>
          <cell r="IT460">
            <v>0</v>
          </cell>
          <cell r="IU460" t="str">
            <v>x</v>
          </cell>
        </row>
        <row r="461">
          <cell r="A461" t="str">
            <v>(isf) absentee</v>
          </cell>
          <cell r="E461" t="str">
            <v>212 Doña Rita St., Brgy.19 Caloocan City</v>
          </cell>
          <cell r="S461" t="str">
            <v>Male</v>
          </cell>
          <cell r="AK461" t="str">
            <v>Lessee</v>
          </cell>
          <cell r="AN461">
            <v>0.22727272727272729</v>
          </cell>
          <cell r="AQ461">
            <v>0</v>
          </cell>
          <cell r="AS461">
            <v>0</v>
          </cell>
          <cell r="BM461" t="str">
            <v>Residential/Commercial</v>
          </cell>
          <cell r="BN461">
            <v>1</v>
          </cell>
          <cell r="BR461">
            <v>0.22727272727272729</v>
          </cell>
          <cell r="FQ461" t="str">
            <v>Need Displacement</v>
          </cell>
          <cell r="IB461">
            <v>0</v>
          </cell>
          <cell r="IC461">
            <v>0</v>
          </cell>
          <cell r="ID461">
            <v>0</v>
          </cell>
          <cell r="IE461">
            <v>0</v>
          </cell>
          <cell r="IP461" t="str">
            <v>Renter</v>
          </cell>
          <cell r="IR461" t="str">
            <v>Home/Small-scale Industry</v>
          </cell>
          <cell r="IT461" t="str">
            <v>x</v>
          </cell>
          <cell r="IU461">
            <v>0</v>
          </cell>
        </row>
        <row r="462">
          <cell r="A462" t="str">
            <v>isf</v>
          </cell>
          <cell r="E462" t="str">
            <v>212 Doña Rita St., Brgy.19 Caloocan City</v>
          </cell>
          <cell r="S462" t="str">
            <v>Female</v>
          </cell>
          <cell r="AK462" t="str">
            <v>ISF</v>
          </cell>
          <cell r="AN462">
            <v>1</v>
          </cell>
          <cell r="AQ462">
            <v>0</v>
          </cell>
          <cell r="AS462">
            <v>0</v>
          </cell>
          <cell r="BM462" t="str">
            <v>Residential/Commercial</v>
          </cell>
          <cell r="BN462">
            <v>0</v>
          </cell>
          <cell r="BR462">
            <v>1</v>
          </cell>
          <cell r="FQ462" t="str">
            <v>Need Displacement</v>
          </cell>
          <cell r="IB462">
            <v>0</v>
          </cell>
          <cell r="IC462" t="str">
            <v>Y</v>
          </cell>
          <cell r="IE462">
            <v>0</v>
          </cell>
          <cell r="IP462" t="str">
            <v>Owner</v>
          </cell>
          <cell r="IR462" t="str">
            <v>Trading/retailing</v>
          </cell>
          <cell r="IT462">
            <v>0</v>
          </cell>
          <cell r="IU462" t="str">
            <v>x</v>
          </cell>
        </row>
        <row r="463">
          <cell r="A463" t="str">
            <v>isf</v>
          </cell>
          <cell r="E463" t="str">
            <v>212 Doña Rita St., Brgy.19 Caloocan City</v>
          </cell>
          <cell r="S463" t="str">
            <v>Male</v>
          </cell>
          <cell r="AK463" t="str">
            <v>ISF</v>
          </cell>
          <cell r="AN463">
            <v>1</v>
          </cell>
          <cell r="AQ463">
            <v>0</v>
          </cell>
          <cell r="AS463">
            <v>0</v>
          </cell>
          <cell r="BM463" t="str">
            <v>Residential</v>
          </cell>
          <cell r="BN463">
            <v>1</v>
          </cell>
          <cell r="BR463">
            <v>1</v>
          </cell>
          <cell r="FQ463" t="str">
            <v>Need Displacement</v>
          </cell>
          <cell r="IB463" t="str">
            <v>Y</v>
          </cell>
          <cell r="IC463">
            <v>0</v>
          </cell>
          <cell r="IE463">
            <v>0</v>
          </cell>
          <cell r="IP463">
            <v>0</v>
          </cell>
          <cell r="IR463">
            <v>0</v>
          </cell>
          <cell r="IT463">
            <v>0</v>
          </cell>
          <cell r="IU463">
            <v>0</v>
          </cell>
        </row>
        <row r="464">
          <cell r="A464" t="str">
            <v>legal</v>
          </cell>
          <cell r="E464" t="str">
            <v>212 Doña Rita St., Brgy.19 Caloocan City</v>
          </cell>
          <cell r="S464" t="str">
            <v>Female</v>
          </cell>
          <cell r="AK464" t="str">
            <v>Owner</v>
          </cell>
          <cell r="AN464">
            <v>7.7777777777777779E-2</v>
          </cell>
          <cell r="AQ464">
            <v>0</v>
          </cell>
          <cell r="AS464" t="str">
            <v>Y</v>
          </cell>
          <cell r="BM464" t="str">
            <v>Residential</v>
          </cell>
          <cell r="BN464">
            <v>0</v>
          </cell>
          <cell r="BR464">
            <v>2.5925925925925925E-2</v>
          </cell>
          <cell r="FQ464" t="str">
            <v>Can Stay</v>
          </cell>
          <cell r="IB464" t="str">
            <v>Y</v>
          </cell>
          <cell r="IC464" t="str">
            <v>Y</v>
          </cell>
          <cell r="IE464">
            <v>0</v>
          </cell>
          <cell r="IP464">
            <v>0</v>
          </cell>
          <cell r="IR464">
            <v>0</v>
          </cell>
          <cell r="IT464">
            <v>0</v>
          </cell>
          <cell r="IU464">
            <v>0</v>
          </cell>
        </row>
        <row r="465">
          <cell r="A465" t="str">
            <v>isf (p)</v>
          </cell>
          <cell r="E465" t="str">
            <v>212 Doña Rita St., Brgy.19 Caloocan City</v>
          </cell>
          <cell r="S465" t="str">
            <v>Male</v>
          </cell>
          <cell r="AK465" t="str">
            <v>ISF</v>
          </cell>
          <cell r="AN465">
            <v>0.14583333333333334</v>
          </cell>
          <cell r="AQ465">
            <v>0</v>
          </cell>
          <cell r="AS465">
            <v>0</v>
          </cell>
          <cell r="BM465" t="str">
            <v>Residential</v>
          </cell>
          <cell r="BN465">
            <v>0</v>
          </cell>
          <cell r="BR465">
            <v>0.14583333333333334</v>
          </cell>
          <cell r="FQ465" t="str">
            <v>Need Displacement</v>
          </cell>
          <cell r="IB465">
            <v>0</v>
          </cell>
          <cell r="IC465">
            <v>0</v>
          </cell>
          <cell r="ID465">
            <v>0</v>
          </cell>
          <cell r="IE465">
            <v>0</v>
          </cell>
          <cell r="IP465">
            <v>0</v>
          </cell>
          <cell r="IR465">
            <v>0</v>
          </cell>
          <cell r="IT465">
            <v>0</v>
          </cell>
          <cell r="IU465">
            <v>0</v>
          </cell>
        </row>
        <row r="466">
          <cell r="A466" t="str">
            <v>legal</v>
          </cell>
          <cell r="E466" t="str">
            <v>212 Doña Rita St., Brgy.19 Caloocan City</v>
          </cell>
          <cell r="S466" t="str">
            <v>Male</v>
          </cell>
          <cell r="AK466" t="str">
            <v>Land Owner</v>
          </cell>
          <cell r="AN466">
            <v>0.42016806722689076</v>
          </cell>
          <cell r="AQ466">
            <v>0</v>
          </cell>
          <cell r="AS466" t="str">
            <v>Y</v>
          </cell>
          <cell r="BM466" t="str">
            <v>Residential/Commercial</v>
          </cell>
          <cell r="BN466">
            <v>0</v>
          </cell>
          <cell r="BR466">
            <v>0</v>
          </cell>
          <cell r="FQ466">
            <v>0</v>
          </cell>
          <cell r="IB466">
            <v>0</v>
          </cell>
          <cell r="IC466">
            <v>0</v>
          </cell>
          <cell r="ID466">
            <v>0</v>
          </cell>
          <cell r="IE466">
            <v>0</v>
          </cell>
          <cell r="IP466" t="str">
            <v>Owner</v>
          </cell>
          <cell r="IR466" t="str">
            <v>Home/Small-scale Industry</v>
          </cell>
          <cell r="IT466">
            <v>0</v>
          </cell>
          <cell r="IU466" t="str">
            <v>x</v>
          </cell>
        </row>
        <row r="467">
          <cell r="A467" t="str">
            <v>legal</v>
          </cell>
          <cell r="E467" t="str">
            <v>Brgy.19 Caloocan City</v>
          </cell>
          <cell r="S467">
            <v>0</v>
          </cell>
          <cell r="AK467" t="str">
            <v>Land Owner</v>
          </cell>
          <cell r="AN467">
            <v>0.40935323383084571</v>
          </cell>
          <cell r="AQ467">
            <v>0</v>
          </cell>
          <cell r="AS467">
            <v>0</v>
          </cell>
          <cell r="BM467">
            <v>0</v>
          </cell>
          <cell r="BN467">
            <v>0</v>
          </cell>
          <cell r="BR467">
            <v>0</v>
          </cell>
          <cell r="FQ467">
            <v>0</v>
          </cell>
          <cell r="IB467">
            <v>0</v>
          </cell>
          <cell r="IC467">
            <v>0</v>
          </cell>
          <cell r="ID467">
            <v>0</v>
          </cell>
          <cell r="IE467">
            <v>0</v>
          </cell>
          <cell r="IP467">
            <v>0</v>
          </cell>
          <cell r="IR467">
            <v>0</v>
          </cell>
          <cell r="IT467">
            <v>0</v>
          </cell>
          <cell r="IU467">
            <v>0</v>
          </cell>
        </row>
        <row r="468">
          <cell r="A468" t="str">
            <v>legal</v>
          </cell>
          <cell r="E468" t="str">
            <v>212 Doña Rita St., Brgy.19 Caloocan City</v>
          </cell>
          <cell r="S468" t="str">
            <v>Male</v>
          </cell>
          <cell r="AK468" t="str">
            <v>Lessee</v>
          </cell>
          <cell r="AN468">
            <v>0.40935323383084571</v>
          </cell>
          <cell r="AQ468">
            <v>0</v>
          </cell>
          <cell r="AS468">
            <v>0</v>
          </cell>
          <cell r="BM468" t="str">
            <v>Residential/Commercial</v>
          </cell>
          <cell r="BN468">
            <v>0</v>
          </cell>
          <cell r="BR468">
            <v>0.4966686856450635</v>
          </cell>
          <cell r="FQ468" t="str">
            <v>Need Displacement</v>
          </cell>
          <cell r="IB468">
            <v>0</v>
          </cell>
          <cell r="IC468">
            <v>0</v>
          </cell>
          <cell r="ID468">
            <v>0</v>
          </cell>
          <cell r="IE468">
            <v>0</v>
          </cell>
          <cell r="IP468" t="str">
            <v>Owner</v>
          </cell>
          <cell r="IR468" t="str">
            <v>Home/Small-scale Industry</v>
          </cell>
          <cell r="IT468">
            <v>0</v>
          </cell>
          <cell r="IU468" t="str">
            <v>x</v>
          </cell>
        </row>
        <row r="469">
          <cell r="A469" t="str">
            <v>legal</v>
          </cell>
          <cell r="E469" t="str">
            <v>212 Doña Rita St., Brgy.19 Caloocan City</v>
          </cell>
          <cell r="S469" t="str">
            <v>Male</v>
          </cell>
          <cell r="AK469">
            <v>0</v>
          </cell>
          <cell r="AN469">
            <v>0.40935323383084571</v>
          </cell>
          <cell r="AQ469">
            <v>0</v>
          </cell>
          <cell r="AS469">
            <v>0</v>
          </cell>
          <cell r="BM469" t="str">
            <v>Commercial</v>
          </cell>
          <cell r="BN469">
            <v>0</v>
          </cell>
          <cell r="BR469">
            <v>0</v>
          </cell>
          <cell r="FQ469">
            <v>0</v>
          </cell>
          <cell r="IB469">
            <v>0</v>
          </cell>
          <cell r="IC469">
            <v>0</v>
          </cell>
          <cell r="ID469">
            <v>0</v>
          </cell>
          <cell r="IE469">
            <v>0</v>
          </cell>
          <cell r="IP469" t="str">
            <v>Renter</v>
          </cell>
          <cell r="IR469" t="str">
            <v>Trading/retailing</v>
          </cell>
          <cell r="IT469" t="str">
            <v>x</v>
          </cell>
          <cell r="IU469">
            <v>0</v>
          </cell>
        </row>
        <row r="470">
          <cell r="A470" t="str">
            <v>legal</v>
          </cell>
          <cell r="E470" t="str">
            <v>214 Doña Rita St., Brgy.19 Caloocan City</v>
          </cell>
          <cell r="S470">
            <v>0</v>
          </cell>
          <cell r="AK470" t="str">
            <v>Owner</v>
          </cell>
          <cell r="AN470">
            <v>0.12631578947368421</v>
          </cell>
          <cell r="AQ470">
            <v>0</v>
          </cell>
          <cell r="AS470" t="str">
            <v>Y</v>
          </cell>
          <cell r="BM470" t="str">
            <v>Residential/Commercial</v>
          </cell>
          <cell r="BN470">
            <v>0</v>
          </cell>
          <cell r="BR470">
            <v>8.3297273907399397E-2</v>
          </cell>
          <cell r="FQ470">
            <v>0</v>
          </cell>
          <cell r="IB470">
            <v>0</v>
          </cell>
          <cell r="IC470">
            <v>0</v>
          </cell>
          <cell r="ID470">
            <v>0</v>
          </cell>
          <cell r="IE470">
            <v>0</v>
          </cell>
          <cell r="IP470">
            <v>0</v>
          </cell>
          <cell r="IR470" t="str">
            <v>Home/Small-scale Industry</v>
          </cell>
          <cell r="IT470">
            <v>0</v>
          </cell>
          <cell r="IU470" t="str">
            <v>x</v>
          </cell>
        </row>
        <row r="471">
          <cell r="A471" t="str">
            <v>legal</v>
          </cell>
          <cell r="E471" t="str">
            <v>214 Doña Rita St., Brgy.19 Caloocan City</v>
          </cell>
          <cell r="S471" t="str">
            <v>Female</v>
          </cell>
          <cell r="AK471" t="str">
            <v>Dweller</v>
          </cell>
          <cell r="AN471">
            <v>0.12631578947368421</v>
          </cell>
          <cell r="AQ471">
            <v>0</v>
          </cell>
          <cell r="AS471">
            <v>0</v>
          </cell>
          <cell r="BM471">
            <v>0</v>
          </cell>
          <cell r="BN471">
            <v>2</v>
          </cell>
          <cell r="BR471">
            <v>0</v>
          </cell>
          <cell r="FQ471" t="str">
            <v>Can Stay</v>
          </cell>
          <cell r="IB471">
            <v>0</v>
          </cell>
          <cell r="IC471">
            <v>0</v>
          </cell>
          <cell r="ID471">
            <v>0</v>
          </cell>
          <cell r="IE471">
            <v>0</v>
          </cell>
          <cell r="IP471" t="str">
            <v>Renter</v>
          </cell>
          <cell r="IR471" t="str">
            <v>Home/Small-scale Industry</v>
          </cell>
          <cell r="IT471">
            <v>0</v>
          </cell>
          <cell r="IU471" t="str">
            <v>x</v>
          </cell>
        </row>
        <row r="472">
          <cell r="A472" t="str">
            <v>legal</v>
          </cell>
          <cell r="E472" t="str">
            <v>214 Doña Rita St., Brgy.19 Caloocan City</v>
          </cell>
          <cell r="S472">
            <v>0</v>
          </cell>
          <cell r="AK472" t="str">
            <v>ISF</v>
          </cell>
          <cell r="AN472">
            <v>0.16901408450704225</v>
          </cell>
          <cell r="AQ472">
            <v>0</v>
          </cell>
          <cell r="AS472" t="str">
            <v>Y</v>
          </cell>
          <cell r="BM472" t="str">
            <v>Residential</v>
          </cell>
          <cell r="BN472">
            <v>0</v>
          </cell>
          <cell r="BR472">
            <v>0.16767270288397049</v>
          </cell>
          <cell r="FQ472" t="str">
            <v>Need Displacement</v>
          </cell>
          <cell r="IB472">
            <v>0</v>
          </cell>
          <cell r="IC472">
            <v>0</v>
          </cell>
          <cell r="ID472">
            <v>0</v>
          </cell>
          <cell r="IE472">
            <v>0</v>
          </cell>
          <cell r="IP472">
            <v>0</v>
          </cell>
          <cell r="IR472">
            <v>0</v>
          </cell>
          <cell r="IT472">
            <v>0</v>
          </cell>
          <cell r="IU472">
            <v>0</v>
          </cell>
        </row>
        <row r="473">
          <cell r="A473" t="str">
            <v>legal</v>
          </cell>
          <cell r="E473" t="str">
            <v>214 Doña Rita St., Brgy.19 Caloocan City</v>
          </cell>
          <cell r="S473" t="str">
            <v>Male</v>
          </cell>
          <cell r="AK473" t="str">
            <v>Owner/ISF</v>
          </cell>
          <cell r="AN473">
            <v>0.12631578947368421</v>
          </cell>
          <cell r="AQ473" t="str">
            <v>CMP</v>
          </cell>
          <cell r="AS473" t="str">
            <v>Y</v>
          </cell>
          <cell r="BM473" t="str">
            <v>Residential</v>
          </cell>
          <cell r="BN473">
            <v>1</v>
          </cell>
          <cell r="BR473">
            <v>0.12631578947368421</v>
          </cell>
          <cell r="FQ473" t="str">
            <v>Can Stay</v>
          </cell>
          <cell r="IB473" t="str">
            <v>Y</v>
          </cell>
          <cell r="IC473">
            <v>0</v>
          </cell>
          <cell r="ID473">
            <v>0</v>
          </cell>
          <cell r="IE473">
            <v>0</v>
          </cell>
          <cell r="IP473">
            <v>0</v>
          </cell>
          <cell r="IR473">
            <v>0</v>
          </cell>
          <cell r="IT473">
            <v>0</v>
          </cell>
          <cell r="IU473">
            <v>0</v>
          </cell>
        </row>
        <row r="474">
          <cell r="A474" t="str">
            <v>legal</v>
          </cell>
          <cell r="E474" t="str">
            <v>214 Doña Rita St., Brgy.19 Caloocan City</v>
          </cell>
          <cell r="S474" t="str">
            <v>Male</v>
          </cell>
          <cell r="AK474" t="str">
            <v>Owner/ISF</v>
          </cell>
          <cell r="AN474">
            <v>9.0909090909090912E-2</v>
          </cell>
          <cell r="AQ474">
            <v>0</v>
          </cell>
          <cell r="AS474" t="str">
            <v>Y</v>
          </cell>
          <cell r="BM474" t="str">
            <v>Residential</v>
          </cell>
          <cell r="BN474">
            <v>2</v>
          </cell>
          <cell r="BR474">
            <v>9.1209281570727357E-2</v>
          </cell>
          <cell r="FQ474" t="str">
            <v>Can Stay</v>
          </cell>
          <cell r="IB474">
            <v>0</v>
          </cell>
          <cell r="IC474" t="str">
            <v>Y</v>
          </cell>
          <cell r="ID474">
            <v>2</v>
          </cell>
          <cell r="IE474">
            <v>1</v>
          </cell>
          <cell r="IP474" t="str">
            <v>Owner</v>
          </cell>
          <cell r="IR474" t="str">
            <v>Trading/retailing</v>
          </cell>
          <cell r="IT474" t="str">
            <v>x</v>
          </cell>
          <cell r="IU474">
            <v>0</v>
          </cell>
        </row>
        <row r="475">
          <cell r="A475" t="str">
            <v>Legal</v>
          </cell>
          <cell r="E475" t="str">
            <v>214 Doña Rita St., Brgy.19 Caloocan City</v>
          </cell>
          <cell r="S475" t="str">
            <v>Male</v>
          </cell>
          <cell r="AK475" t="str">
            <v>ISF</v>
          </cell>
          <cell r="AN475">
            <v>0.19087778480567857</v>
          </cell>
          <cell r="AQ475" t="str">
            <v>CMP</v>
          </cell>
          <cell r="AS475">
            <v>0</v>
          </cell>
          <cell r="BM475" t="str">
            <v>Residential</v>
          </cell>
          <cell r="BN475">
            <v>2</v>
          </cell>
          <cell r="BR475">
            <v>0.19087778480567857</v>
          </cell>
          <cell r="FQ475" t="str">
            <v>Can Stay (ACCESS BLOCK)</v>
          </cell>
          <cell r="IB475">
            <v>0</v>
          </cell>
          <cell r="IC475">
            <v>0</v>
          </cell>
          <cell r="ID475">
            <v>0</v>
          </cell>
          <cell r="IE475">
            <v>0</v>
          </cell>
          <cell r="IP475">
            <v>0</v>
          </cell>
          <cell r="IR475">
            <v>0</v>
          </cell>
          <cell r="IT475">
            <v>0</v>
          </cell>
          <cell r="IU475">
            <v>0</v>
          </cell>
        </row>
        <row r="476">
          <cell r="A476" t="str">
            <v>isf</v>
          </cell>
          <cell r="E476" t="str">
            <v>214 Doña Rita St., Brgy.19 Caloocan City</v>
          </cell>
          <cell r="S476" t="str">
            <v>Female</v>
          </cell>
          <cell r="AK476" t="str">
            <v>ISF</v>
          </cell>
          <cell r="AN476">
            <v>1</v>
          </cell>
          <cell r="AQ476">
            <v>0</v>
          </cell>
          <cell r="AS476">
            <v>0</v>
          </cell>
          <cell r="BM476" t="str">
            <v>Residential</v>
          </cell>
          <cell r="BN476">
            <v>2</v>
          </cell>
          <cell r="BR476">
            <v>1</v>
          </cell>
          <cell r="FQ476" t="str">
            <v>Need Displacement</v>
          </cell>
          <cell r="IB476" t="str">
            <v>Y</v>
          </cell>
          <cell r="IC476" t="str">
            <v>Y</v>
          </cell>
          <cell r="ID476">
            <v>1</v>
          </cell>
          <cell r="IE476">
            <v>0</v>
          </cell>
          <cell r="IP476">
            <v>0</v>
          </cell>
          <cell r="IR476">
            <v>0</v>
          </cell>
          <cell r="IT476">
            <v>0</v>
          </cell>
          <cell r="IU476">
            <v>0</v>
          </cell>
        </row>
        <row r="477">
          <cell r="A477" t="str">
            <v>isf</v>
          </cell>
          <cell r="E477" t="str">
            <v>214 Doña Rita St., Brgy.19 Caloocan City</v>
          </cell>
          <cell r="S477" t="str">
            <v>Female</v>
          </cell>
          <cell r="AK477" t="str">
            <v>ISF</v>
          </cell>
          <cell r="AN477">
            <v>1</v>
          </cell>
          <cell r="AQ477">
            <v>0</v>
          </cell>
          <cell r="AS477">
            <v>0</v>
          </cell>
          <cell r="BM477" t="str">
            <v>Residential</v>
          </cell>
          <cell r="BN477">
            <v>0</v>
          </cell>
          <cell r="BR477">
            <v>1</v>
          </cell>
          <cell r="FQ477" t="str">
            <v>Need Displacement</v>
          </cell>
          <cell r="IB477" t="str">
            <v>Y</v>
          </cell>
          <cell r="IC477" t="str">
            <v>Y</v>
          </cell>
          <cell r="ID477">
            <v>0</v>
          </cell>
          <cell r="IE477">
            <v>0</v>
          </cell>
          <cell r="IP477">
            <v>0</v>
          </cell>
          <cell r="IR477">
            <v>0</v>
          </cell>
          <cell r="IT477">
            <v>0</v>
          </cell>
          <cell r="IU477">
            <v>0</v>
          </cell>
        </row>
        <row r="478">
          <cell r="A478" t="str">
            <v>isf</v>
          </cell>
          <cell r="E478" t="str">
            <v>214 Doña Rita St., Brgy.19 Caloocan City</v>
          </cell>
          <cell r="S478" t="str">
            <v>Male</v>
          </cell>
          <cell r="AK478" t="str">
            <v>ISF</v>
          </cell>
          <cell r="AN478">
            <v>0.29790476190476189</v>
          </cell>
          <cell r="AQ478">
            <v>0</v>
          </cell>
          <cell r="AS478">
            <v>0</v>
          </cell>
          <cell r="BM478" t="str">
            <v>Residential</v>
          </cell>
          <cell r="BN478">
            <v>1</v>
          </cell>
          <cell r="BR478">
            <v>0.17502238137869294</v>
          </cell>
          <cell r="FQ478" t="str">
            <v>Need Displacement</v>
          </cell>
          <cell r="IB478" t="str">
            <v>Y</v>
          </cell>
          <cell r="IC478">
            <v>0</v>
          </cell>
          <cell r="ID478">
            <v>0</v>
          </cell>
          <cell r="IE478">
            <v>0</v>
          </cell>
          <cell r="IP478">
            <v>0</v>
          </cell>
          <cell r="IR478">
            <v>0</v>
          </cell>
          <cell r="IT478">
            <v>0</v>
          </cell>
          <cell r="IU478">
            <v>0</v>
          </cell>
        </row>
        <row r="479">
          <cell r="A479" t="str">
            <v>isf (p)</v>
          </cell>
          <cell r="E479" t="str">
            <v>87 Don Benito St., Brgy.21 Caloocan City</v>
          </cell>
          <cell r="S479" t="str">
            <v>Female</v>
          </cell>
          <cell r="AK479" t="str">
            <v>ISF</v>
          </cell>
          <cell r="AN479">
            <v>0.16393442622950818</v>
          </cell>
          <cell r="AQ479">
            <v>0</v>
          </cell>
          <cell r="AS479">
            <v>0</v>
          </cell>
          <cell r="BM479" t="str">
            <v>Residential</v>
          </cell>
          <cell r="BN479">
            <v>0</v>
          </cell>
          <cell r="BR479">
            <v>0.16072002571520411</v>
          </cell>
          <cell r="FQ479" t="str">
            <v>Can Stay (ACCESS BLOCK)</v>
          </cell>
          <cell r="IB479" t="str">
            <v>Y</v>
          </cell>
          <cell r="IC479" t="str">
            <v>Y</v>
          </cell>
          <cell r="ID479">
            <v>0</v>
          </cell>
          <cell r="IE479">
            <v>1</v>
          </cell>
          <cell r="IP479">
            <v>0</v>
          </cell>
          <cell r="IR479">
            <v>0</v>
          </cell>
          <cell r="IT479">
            <v>0</v>
          </cell>
          <cell r="IU479">
            <v>0</v>
          </cell>
        </row>
        <row r="480">
          <cell r="A480" t="str">
            <v>isf</v>
          </cell>
          <cell r="E480" t="str">
            <v>88 Don Benito St., Brgy.21 Caloocan City</v>
          </cell>
          <cell r="S480" t="str">
            <v>Male</v>
          </cell>
          <cell r="AK480" t="str">
            <v>ISF</v>
          </cell>
          <cell r="AN480">
            <v>0.4285714285714286</v>
          </cell>
          <cell r="AQ480">
            <v>0</v>
          </cell>
          <cell r="AS480">
            <v>0</v>
          </cell>
          <cell r="BM480" t="str">
            <v>Residential/Commercial</v>
          </cell>
          <cell r="BN480">
            <v>0</v>
          </cell>
          <cell r="BR480">
            <v>0.32901751713632904</v>
          </cell>
          <cell r="FQ480" t="str">
            <v>Can Stay (Commercial Area/Entire Structure)</v>
          </cell>
          <cell r="IB480">
            <v>0</v>
          </cell>
          <cell r="IC480">
            <v>0</v>
          </cell>
          <cell r="ID480">
            <v>0</v>
          </cell>
          <cell r="IE480">
            <v>0</v>
          </cell>
          <cell r="IP480" t="str">
            <v>Owner</v>
          </cell>
          <cell r="IR480" t="str">
            <v>Trading/retailing</v>
          </cell>
          <cell r="IT480">
            <v>0</v>
          </cell>
          <cell r="IU480" t="str">
            <v>x</v>
          </cell>
        </row>
        <row r="481">
          <cell r="A481" t="str">
            <v>isf</v>
          </cell>
          <cell r="E481" t="str">
            <v>83 Don Benito St., Brgy.21 Caloocan City</v>
          </cell>
          <cell r="S481" t="str">
            <v>Female</v>
          </cell>
          <cell r="AK481" t="str">
            <v>ISF</v>
          </cell>
          <cell r="AN481">
            <v>0.51282051282051289</v>
          </cell>
          <cell r="AQ481">
            <v>0</v>
          </cell>
          <cell r="AS481">
            <v>0</v>
          </cell>
          <cell r="BM481" t="str">
            <v>Residential/Commercial</v>
          </cell>
          <cell r="BN481">
            <v>1</v>
          </cell>
          <cell r="BR481">
            <v>0.51282051282051289</v>
          </cell>
          <cell r="FQ481" t="str">
            <v>Need Displacement</v>
          </cell>
          <cell r="IB481" t="str">
            <v>Y</v>
          </cell>
          <cell r="IC481" t="str">
            <v>Y</v>
          </cell>
          <cell r="ID481">
            <v>1</v>
          </cell>
          <cell r="IE481">
            <v>0</v>
          </cell>
          <cell r="IP481" t="str">
            <v>Sharer</v>
          </cell>
          <cell r="IR481" t="str">
            <v>Home/Small-scale Industry</v>
          </cell>
          <cell r="IT481">
            <v>0</v>
          </cell>
          <cell r="IU481" t="str">
            <v>x</v>
          </cell>
        </row>
        <row r="482">
          <cell r="A482" t="str">
            <v>isf</v>
          </cell>
          <cell r="E482" t="str">
            <v>Brgy.21 Caloocan City</v>
          </cell>
          <cell r="S482" t="str">
            <v>Male</v>
          </cell>
          <cell r="AK482" t="str">
            <v>ISF</v>
          </cell>
          <cell r="AN482">
            <v>1</v>
          </cell>
          <cell r="AQ482">
            <v>0</v>
          </cell>
          <cell r="AS482">
            <v>0</v>
          </cell>
          <cell r="BM482" t="str">
            <v>Residential</v>
          </cell>
          <cell r="BN482">
            <v>0</v>
          </cell>
          <cell r="BR482">
            <v>1</v>
          </cell>
          <cell r="FQ482" t="str">
            <v>Need Displacement</v>
          </cell>
          <cell r="IB482" t="str">
            <v>Y</v>
          </cell>
          <cell r="IC482">
            <v>0</v>
          </cell>
          <cell r="ID482">
            <v>0</v>
          </cell>
          <cell r="IE482">
            <v>0</v>
          </cell>
          <cell r="IP482">
            <v>0</v>
          </cell>
          <cell r="IR482">
            <v>0</v>
          </cell>
          <cell r="IT482">
            <v>0</v>
          </cell>
          <cell r="IU482">
            <v>0</v>
          </cell>
        </row>
        <row r="483">
          <cell r="A483" t="str">
            <v>isf</v>
          </cell>
          <cell r="E483" t="str">
            <v>124 Don Benito St., Brgy.21 Caloocan City</v>
          </cell>
          <cell r="S483" t="str">
            <v>Male</v>
          </cell>
          <cell r="AK483" t="str">
            <v>ISF</v>
          </cell>
          <cell r="AN483">
            <v>0.54054054054054046</v>
          </cell>
          <cell r="AQ483">
            <v>0</v>
          </cell>
          <cell r="AS483">
            <v>0</v>
          </cell>
          <cell r="BM483" t="str">
            <v>Residential</v>
          </cell>
          <cell r="BN483">
            <v>0</v>
          </cell>
          <cell r="BR483">
            <v>0.54054054054054046</v>
          </cell>
          <cell r="FQ483" t="str">
            <v>Need Displacement</v>
          </cell>
          <cell r="IB483">
            <v>0</v>
          </cell>
          <cell r="IC483">
            <v>0</v>
          </cell>
          <cell r="ID483">
            <v>0</v>
          </cell>
          <cell r="IE483">
            <v>0</v>
          </cell>
          <cell r="IP483">
            <v>0</v>
          </cell>
          <cell r="IR483">
            <v>0</v>
          </cell>
          <cell r="IT483">
            <v>0</v>
          </cell>
          <cell r="IU483">
            <v>0</v>
          </cell>
        </row>
        <row r="484">
          <cell r="A484" t="str">
            <v>isf</v>
          </cell>
          <cell r="E484" t="str">
            <v>124 Don Benito St., Brgy.21 Caloocan City</v>
          </cell>
          <cell r="S484" t="str">
            <v>Male</v>
          </cell>
          <cell r="AK484" t="str">
            <v>ISF</v>
          </cell>
          <cell r="AN484">
            <v>0.21472392638036811</v>
          </cell>
          <cell r="AQ484">
            <v>0</v>
          </cell>
          <cell r="AS484">
            <v>0</v>
          </cell>
          <cell r="BM484" t="str">
            <v>Residential</v>
          </cell>
          <cell r="BN484">
            <v>0</v>
          </cell>
          <cell r="BR484">
            <v>0.43882072256305388</v>
          </cell>
          <cell r="FQ484" t="str">
            <v>Need Displacement</v>
          </cell>
          <cell r="IB484">
            <v>0</v>
          </cell>
          <cell r="IC484">
            <v>0</v>
          </cell>
          <cell r="ID484">
            <v>0</v>
          </cell>
          <cell r="IE484">
            <v>0</v>
          </cell>
          <cell r="IP484">
            <v>0</v>
          </cell>
          <cell r="IR484">
            <v>0</v>
          </cell>
          <cell r="IT484">
            <v>0</v>
          </cell>
          <cell r="IU484">
            <v>0</v>
          </cell>
        </row>
        <row r="485">
          <cell r="A485" t="str">
            <v>isf</v>
          </cell>
          <cell r="E485" t="str">
            <v>124 Don Benito St., Brgy.21 Caloocan City</v>
          </cell>
          <cell r="S485" t="str">
            <v>Female</v>
          </cell>
          <cell r="AK485" t="str">
            <v>ISF</v>
          </cell>
          <cell r="AN485">
            <v>0.21472392638036811</v>
          </cell>
          <cell r="AQ485">
            <v>0</v>
          </cell>
          <cell r="AS485">
            <v>0</v>
          </cell>
          <cell r="BM485" t="str">
            <v>Residential</v>
          </cell>
          <cell r="BN485">
            <v>0</v>
          </cell>
          <cell r="BR485">
            <v>0.42944785276073616</v>
          </cell>
          <cell r="FQ485" t="str">
            <v>Need Displacement</v>
          </cell>
          <cell r="IB485" t="str">
            <v>Y</v>
          </cell>
          <cell r="IC485" t="str">
            <v>Y</v>
          </cell>
          <cell r="ID485">
            <v>0</v>
          </cell>
          <cell r="IE485">
            <v>0</v>
          </cell>
          <cell r="IP485">
            <v>0</v>
          </cell>
          <cell r="IR485">
            <v>0</v>
          </cell>
          <cell r="IT485">
            <v>0</v>
          </cell>
          <cell r="IU485">
            <v>0</v>
          </cell>
        </row>
        <row r="486">
          <cell r="A486" t="str">
            <v>isf</v>
          </cell>
          <cell r="E486" t="str">
            <v>124 Don Benito St., Brgy.21 Caloocan City</v>
          </cell>
          <cell r="S486" t="str">
            <v>Male</v>
          </cell>
          <cell r="AK486" t="str">
            <v>ISF</v>
          </cell>
          <cell r="AN486">
            <v>0.33333333333333331</v>
          </cell>
          <cell r="AQ486">
            <v>0</v>
          </cell>
          <cell r="AS486">
            <v>0</v>
          </cell>
          <cell r="BM486">
            <v>0</v>
          </cell>
          <cell r="BN486">
            <v>1</v>
          </cell>
          <cell r="BR486">
            <v>0</v>
          </cell>
          <cell r="FQ486" t="str">
            <v>Need Displacement</v>
          </cell>
          <cell r="IB486">
            <v>0</v>
          </cell>
          <cell r="IC486">
            <v>0</v>
          </cell>
          <cell r="ID486">
            <v>0</v>
          </cell>
          <cell r="IE486">
            <v>0</v>
          </cell>
          <cell r="IP486" t="str">
            <v>Owner</v>
          </cell>
          <cell r="IR486" t="str">
            <v>Home/Small-scale Industry</v>
          </cell>
          <cell r="IT486">
            <v>0</v>
          </cell>
          <cell r="IU486" t="str">
            <v>x</v>
          </cell>
        </row>
        <row r="487">
          <cell r="A487" t="str">
            <v>legal</v>
          </cell>
          <cell r="E487" t="str">
            <v>124 Don Benito St., Brgy.21 Caloocan City</v>
          </cell>
          <cell r="S487" t="str">
            <v>Male</v>
          </cell>
          <cell r="AK487">
            <v>0</v>
          </cell>
          <cell r="AN487">
            <v>0.33333333333333331</v>
          </cell>
          <cell r="AQ487">
            <v>0</v>
          </cell>
          <cell r="AS487">
            <v>0</v>
          </cell>
          <cell r="BM487" t="str">
            <v>Residential</v>
          </cell>
          <cell r="BN487">
            <v>0</v>
          </cell>
          <cell r="BR487">
            <v>0</v>
          </cell>
          <cell r="FQ487" t="str">
            <v>Need Displacement</v>
          </cell>
          <cell r="IB487" t="str">
            <v>Y</v>
          </cell>
          <cell r="IC487">
            <v>0</v>
          </cell>
          <cell r="ID487">
            <v>0</v>
          </cell>
          <cell r="IE487">
            <v>0</v>
          </cell>
          <cell r="IP487">
            <v>0</v>
          </cell>
          <cell r="IR487">
            <v>0</v>
          </cell>
          <cell r="IT487">
            <v>0</v>
          </cell>
          <cell r="IU487">
            <v>0</v>
          </cell>
        </row>
        <row r="488">
          <cell r="A488" t="str">
            <v>isf</v>
          </cell>
          <cell r="E488" t="str">
            <v>128 Don Benito St., Brgy.21 Caloocan City</v>
          </cell>
          <cell r="S488" t="str">
            <v>Male</v>
          </cell>
          <cell r="AK488" t="str">
            <v>ISF</v>
          </cell>
          <cell r="AN488">
            <v>0.82379421221864946</v>
          </cell>
          <cell r="AQ488">
            <v>0</v>
          </cell>
          <cell r="AS488">
            <v>0</v>
          </cell>
          <cell r="BM488" t="str">
            <v>Residential</v>
          </cell>
          <cell r="BN488">
            <v>1</v>
          </cell>
          <cell r="BR488">
            <v>0.82379421221864946</v>
          </cell>
          <cell r="FQ488" t="str">
            <v>Need Displacement</v>
          </cell>
          <cell r="IB488">
            <v>0</v>
          </cell>
          <cell r="IC488">
            <v>0</v>
          </cell>
          <cell r="ID488">
            <v>0</v>
          </cell>
          <cell r="IE488">
            <v>0</v>
          </cell>
          <cell r="IP488">
            <v>0</v>
          </cell>
          <cell r="IR488">
            <v>0</v>
          </cell>
          <cell r="IT488">
            <v>0</v>
          </cell>
          <cell r="IU488">
            <v>0</v>
          </cell>
        </row>
        <row r="489">
          <cell r="A489" t="str">
            <v>isf</v>
          </cell>
          <cell r="E489" t="str">
            <v>128 Don Benito St., Brgy.21 Caloocan City</v>
          </cell>
          <cell r="S489" t="str">
            <v>Female</v>
          </cell>
          <cell r="AK489" t="str">
            <v>ISF</v>
          </cell>
          <cell r="AN489">
            <v>1</v>
          </cell>
          <cell r="AQ489">
            <v>0</v>
          </cell>
          <cell r="AS489">
            <v>0</v>
          </cell>
          <cell r="BM489" t="str">
            <v>Residential</v>
          </cell>
          <cell r="BN489">
            <v>1</v>
          </cell>
          <cell r="BR489">
            <v>1</v>
          </cell>
          <cell r="FQ489" t="str">
            <v>Need Displacement</v>
          </cell>
          <cell r="IB489">
            <v>0</v>
          </cell>
          <cell r="IC489">
            <v>0</v>
          </cell>
          <cell r="ID489">
            <v>0</v>
          </cell>
          <cell r="IE489">
            <v>0</v>
          </cell>
          <cell r="IP489">
            <v>0</v>
          </cell>
          <cell r="IR489">
            <v>0</v>
          </cell>
          <cell r="IT489">
            <v>0</v>
          </cell>
          <cell r="IU489">
            <v>0</v>
          </cell>
        </row>
        <row r="490">
          <cell r="A490" t="str">
            <v>isf; p (absentee)</v>
          </cell>
          <cell r="E490" t="str">
            <v>128 Don Benito St., Brgy.21 Caloocan City</v>
          </cell>
          <cell r="S490" t="str">
            <v>Male</v>
          </cell>
          <cell r="AK490" t="str">
            <v>ISF</v>
          </cell>
          <cell r="AN490">
            <v>7.1428571428571425E-2</v>
          </cell>
          <cell r="AQ490">
            <v>0</v>
          </cell>
          <cell r="AS490">
            <v>0</v>
          </cell>
          <cell r="BM490" t="str">
            <v>Residential</v>
          </cell>
          <cell r="BN490">
            <v>1</v>
          </cell>
          <cell r="BR490">
            <v>7.1428571428571425E-2</v>
          </cell>
          <cell r="FQ490" t="str">
            <v>Can Stay (ACCESS BLOCK)</v>
          </cell>
          <cell r="IB490" t="str">
            <v>Y</v>
          </cell>
          <cell r="IC490">
            <v>0</v>
          </cell>
          <cell r="ID490">
            <v>0</v>
          </cell>
          <cell r="IE490">
            <v>1</v>
          </cell>
          <cell r="IP490">
            <v>0</v>
          </cell>
          <cell r="IR490">
            <v>0</v>
          </cell>
          <cell r="IT490">
            <v>0</v>
          </cell>
          <cell r="IU490">
            <v>0</v>
          </cell>
        </row>
        <row r="491">
          <cell r="A491" t="str">
            <v>isf</v>
          </cell>
          <cell r="E491" t="str">
            <v>119 Don Benito St., Brgy.21 Caloocan City</v>
          </cell>
          <cell r="S491" t="str">
            <v>Male</v>
          </cell>
          <cell r="AK491" t="str">
            <v>ISF</v>
          </cell>
          <cell r="AN491">
            <v>1</v>
          </cell>
          <cell r="AQ491">
            <v>0</v>
          </cell>
          <cell r="AS491">
            <v>0</v>
          </cell>
          <cell r="BM491" t="str">
            <v>Residential</v>
          </cell>
          <cell r="BN491">
            <v>0</v>
          </cell>
          <cell r="BR491">
            <v>1</v>
          </cell>
          <cell r="FQ491" t="str">
            <v>Need Displacement</v>
          </cell>
          <cell r="IB491">
            <v>0</v>
          </cell>
          <cell r="IC491">
            <v>0</v>
          </cell>
          <cell r="ID491">
            <v>0</v>
          </cell>
        </row>
        <row r="492">
          <cell r="A492" t="str">
            <v>isf (absentee)</v>
          </cell>
          <cell r="E492" t="str">
            <v>Don Benito St., Brgy.21 Caloocan City</v>
          </cell>
          <cell r="S492" t="str">
            <v>Male</v>
          </cell>
          <cell r="AK492" t="str">
            <v>ISF</v>
          </cell>
          <cell r="AN492">
            <v>0.52631578947368418</v>
          </cell>
          <cell r="AQ492">
            <v>0</v>
          </cell>
          <cell r="AS492">
            <v>0</v>
          </cell>
          <cell r="BM492" t="str">
            <v>Commercial</v>
          </cell>
          <cell r="BN492">
            <v>0</v>
          </cell>
          <cell r="BR492">
            <v>0.52631578947368418</v>
          </cell>
          <cell r="FQ492" t="str">
            <v>Need Displacement</v>
          </cell>
          <cell r="IB492">
            <v>0</v>
          </cell>
          <cell r="IC492">
            <v>0</v>
          </cell>
          <cell r="ID492">
            <v>0</v>
          </cell>
          <cell r="IE492">
            <v>0</v>
          </cell>
          <cell r="IP492" t="str">
            <v>Renter</v>
          </cell>
          <cell r="IR492" t="str">
            <v>Home/Small-scale Industry</v>
          </cell>
          <cell r="IT492" t="str">
            <v>x</v>
          </cell>
          <cell r="IU492">
            <v>0</v>
          </cell>
        </row>
        <row r="493">
          <cell r="A493" t="str">
            <v>legal</v>
          </cell>
          <cell r="E493" t="str">
            <v>183 Don Benito St., Brgy.21 Caloocan City</v>
          </cell>
          <cell r="S493" t="str">
            <v>Male</v>
          </cell>
          <cell r="AK493" t="str">
            <v>ISF</v>
          </cell>
          <cell r="AN493">
            <v>9.9999999999999992E-2</v>
          </cell>
          <cell r="AQ493" t="str">
            <v>CMP</v>
          </cell>
          <cell r="AS493" t="str">
            <v>Y</v>
          </cell>
          <cell r="BM493" t="str">
            <v>Residential</v>
          </cell>
          <cell r="BN493">
            <v>0</v>
          </cell>
          <cell r="BR493">
            <v>9.9999999999999992E-2</v>
          </cell>
          <cell r="FQ493" t="str">
            <v>Can Stay</v>
          </cell>
          <cell r="IB493">
            <v>0</v>
          </cell>
          <cell r="IC493">
            <v>0</v>
          </cell>
          <cell r="ID493">
            <v>0</v>
          </cell>
          <cell r="IE493">
            <v>0</v>
          </cell>
          <cell r="IP493">
            <v>0</v>
          </cell>
          <cell r="IR493">
            <v>0</v>
          </cell>
          <cell r="IT493">
            <v>0</v>
          </cell>
          <cell r="IU493">
            <v>0</v>
          </cell>
        </row>
        <row r="494">
          <cell r="A494" t="str">
            <v>legal</v>
          </cell>
          <cell r="E494" t="str">
            <v>186 Don Benito St., Brgy.21 Caloocan City</v>
          </cell>
          <cell r="S494" t="str">
            <v>Female</v>
          </cell>
          <cell r="AK494" t="str">
            <v>ISF</v>
          </cell>
          <cell r="AN494">
            <v>0.47058823529411764</v>
          </cell>
          <cell r="AQ494" t="str">
            <v>CMP</v>
          </cell>
          <cell r="AS494" t="str">
            <v>Y</v>
          </cell>
          <cell r="BM494" t="str">
            <v>Residential</v>
          </cell>
          <cell r="BN494">
            <v>1</v>
          </cell>
          <cell r="BR494">
            <v>0.47058823529411764</v>
          </cell>
          <cell r="FQ494" t="str">
            <v>Need Displacement</v>
          </cell>
          <cell r="IB494">
            <v>0</v>
          </cell>
          <cell r="IC494">
            <v>0</v>
          </cell>
          <cell r="ID494">
            <v>2</v>
          </cell>
          <cell r="IE494">
            <v>2</v>
          </cell>
          <cell r="IP494">
            <v>0</v>
          </cell>
          <cell r="IR494">
            <v>0</v>
          </cell>
          <cell r="IT494">
            <v>0</v>
          </cell>
          <cell r="IU494">
            <v>0</v>
          </cell>
        </row>
        <row r="495">
          <cell r="A495" t="str">
            <v>ISF</v>
          </cell>
          <cell r="E495" t="str">
            <v>186 Don Benito St., Brgy.21 Caloocan City</v>
          </cell>
          <cell r="S495">
            <v>0</v>
          </cell>
          <cell r="AK495" t="str">
            <v>ISF</v>
          </cell>
          <cell r="AN495">
            <v>0.49230769230769228</v>
          </cell>
          <cell r="AQ495">
            <v>0</v>
          </cell>
          <cell r="AS495">
            <v>0</v>
          </cell>
          <cell r="BM495" t="str">
            <v>Residential</v>
          </cell>
          <cell r="BN495">
            <v>0</v>
          </cell>
          <cell r="BR495">
            <v>0.49230769230769228</v>
          </cell>
          <cell r="FQ495" t="str">
            <v>Need Displacement</v>
          </cell>
          <cell r="IB495" t="str">
            <v>Y</v>
          </cell>
          <cell r="IC495" t="str">
            <v>Y</v>
          </cell>
          <cell r="ID495">
            <v>0</v>
          </cell>
          <cell r="IE495">
            <v>0</v>
          </cell>
          <cell r="IP495" t="str">
            <v>Owner</v>
          </cell>
          <cell r="IR495" t="str">
            <v>Home/Small-scale Industry</v>
          </cell>
          <cell r="IT495">
            <v>0</v>
          </cell>
          <cell r="IU495" t="str">
            <v>x</v>
          </cell>
        </row>
        <row r="496">
          <cell r="A496" t="str">
            <v>CBL</v>
          </cell>
          <cell r="E496" t="str">
            <v>186 Don Benito St., Brgy.21 Caloocan City</v>
          </cell>
          <cell r="S496" t="str">
            <v>Male</v>
          </cell>
          <cell r="AK496" t="str">
            <v>ISF</v>
          </cell>
          <cell r="AN496">
            <v>0.51891891891891895</v>
          </cell>
          <cell r="AQ496">
            <v>0</v>
          </cell>
          <cell r="AS496">
            <v>0</v>
          </cell>
          <cell r="BM496" t="str">
            <v>Residential</v>
          </cell>
          <cell r="BN496">
            <v>0</v>
          </cell>
          <cell r="BR496">
            <v>0.49230769230769228</v>
          </cell>
          <cell r="FQ496" t="str">
            <v>Need Displacement</v>
          </cell>
          <cell r="IB496" t="str">
            <v>Y</v>
          </cell>
          <cell r="IC496">
            <v>0</v>
          </cell>
          <cell r="ID496">
            <v>0</v>
          </cell>
          <cell r="IE496">
            <v>0</v>
          </cell>
          <cell r="IP496">
            <v>0</v>
          </cell>
          <cell r="IR496">
            <v>0</v>
          </cell>
          <cell r="IT496">
            <v>0</v>
          </cell>
          <cell r="IU496">
            <v>0</v>
          </cell>
        </row>
        <row r="497">
          <cell r="A497" t="str">
            <v>isf</v>
          </cell>
          <cell r="E497" t="str">
            <v>130 Don Benito St., Brgy.21 Caloocan City</v>
          </cell>
          <cell r="S497" t="str">
            <v>Female</v>
          </cell>
          <cell r="AK497" t="str">
            <v>ISF</v>
          </cell>
          <cell r="AN497">
            <v>0.63616071428571419</v>
          </cell>
          <cell r="AQ497">
            <v>0</v>
          </cell>
          <cell r="AS497">
            <v>0</v>
          </cell>
          <cell r="BM497" t="str">
            <v>Residential</v>
          </cell>
          <cell r="BN497">
            <v>0</v>
          </cell>
          <cell r="BR497">
            <v>0.55555555555555558</v>
          </cell>
          <cell r="FQ497" t="str">
            <v>Need Displacement</v>
          </cell>
          <cell r="IB497" t="str">
            <v>Y</v>
          </cell>
          <cell r="IC497" t="str">
            <v>Y</v>
          </cell>
          <cell r="ID497">
            <v>1</v>
          </cell>
          <cell r="IE497">
            <v>1</v>
          </cell>
          <cell r="IP497">
            <v>0</v>
          </cell>
          <cell r="IR497">
            <v>0</v>
          </cell>
          <cell r="IT497">
            <v>0</v>
          </cell>
          <cell r="IU497">
            <v>0</v>
          </cell>
        </row>
        <row r="498">
          <cell r="A498" t="str">
            <v>isf</v>
          </cell>
          <cell r="E498" t="str">
            <v>130 Don Benito St., Brgy.21 Caloocan City</v>
          </cell>
          <cell r="S498" t="str">
            <v>Female</v>
          </cell>
          <cell r="AK498">
            <v>0</v>
          </cell>
          <cell r="AN498">
            <v>0</v>
          </cell>
          <cell r="AQ498">
            <v>0</v>
          </cell>
          <cell r="AS498">
            <v>0</v>
          </cell>
          <cell r="BM498" t="str">
            <v>Residential</v>
          </cell>
          <cell r="BN498">
            <v>0</v>
          </cell>
          <cell r="BR498">
            <v>0.68965517241379315</v>
          </cell>
          <cell r="FQ498" t="str">
            <v>Need Displacement</v>
          </cell>
          <cell r="IB498">
            <v>0</v>
          </cell>
          <cell r="IC498" t="str">
            <v>Y</v>
          </cell>
          <cell r="ID498">
            <v>0</v>
          </cell>
          <cell r="IE498">
            <v>0</v>
          </cell>
          <cell r="IP498">
            <v>0</v>
          </cell>
          <cell r="IR498">
            <v>0</v>
          </cell>
          <cell r="IT498">
            <v>0</v>
          </cell>
          <cell r="IU498">
            <v>0</v>
          </cell>
        </row>
        <row r="499">
          <cell r="A499" t="str">
            <v>isf</v>
          </cell>
          <cell r="E499" t="str">
            <v>130  Don Benito St., Brgy.21 Caloocan City</v>
          </cell>
          <cell r="S499" t="str">
            <v>Male</v>
          </cell>
          <cell r="AK499" t="str">
            <v>ISF</v>
          </cell>
          <cell r="AN499">
            <v>0</v>
          </cell>
          <cell r="AQ499">
            <v>0</v>
          </cell>
          <cell r="AS499">
            <v>0</v>
          </cell>
          <cell r="BM499" t="str">
            <v>Residential</v>
          </cell>
          <cell r="BN499">
            <v>0</v>
          </cell>
          <cell r="BR499">
            <v>0.82823529411764707</v>
          </cell>
          <cell r="FQ499" t="str">
            <v>Need Displacement</v>
          </cell>
          <cell r="IB499">
            <v>0</v>
          </cell>
          <cell r="IC499">
            <v>0</v>
          </cell>
          <cell r="ID499">
            <v>0</v>
          </cell>
          <cell r="IE499">
            <v>0</v>
          </cell>
          <cell r="IP499">
            <v>0</v>
          </cell>
          <cell r="IR499">
            <v>0</v>
          </cell>
          <cell r="IT499">
            <v>0</v>
          </cell>
          <cell r="IU499">
            <v>0</v>
          </cell>
        </row>
        <row r="500">
          <cell r="A500" t="str">
            <v>L-I</v>
          </cell>
          <cell r="E500" t="str">
            <v>186 Don Benito St., Brgy.21 Caloocan City</v>
          </cell>
          <cell r="S500">
            <v>0</v>
          </cell>
          <cell r="AK500">
            <v>0</v>
          </cell>
          <cell r="AN500">
            <v>0</v>
          </cell>
          <cell r="AQ500" t="str">
            <v>CMP</v>
          </cell>
          <cell r="AS500">
            <v>0</v>
          </cell>
          <cell r="BM500">
            <v>0</v>
          </cell>
          <cell r="BN500">
            <v>0</v>
          </cell>
          <cell r="BR500">
            <v>0</v>
          </cell>
          <cell r="FQ500">
            <v>0</v>
          </cell>
          <cell r="IB500" t="str">
            <v>Y</v>
          </cell>
          <cell r="IC500" t="str">
            <v>Y</v>
          </cell>
          <cell r="ID500">
            <v>1</v>
          </cell>
          <cell r="IE500">
            <v>0</v>
          </cell>
          <cell r="IP500">
            <v>0</v>
          </cell>
          <cell r="IR500">
            <v>0</v>
          </cell>
          <cell r="IT500">
            <v>0</v>
          </cell>
          <cell r="IU500">
            <v>0</v>
          </cell>
        </row>
        <row r="501">
          <cell r="A501" t="str">
            <v>legal</v>
          </cell>
          <cell r="E501" t="str">
            <v>186 Don Benito St., Brgy.21 Caloocan City</v>
          </cell>
          <cell r="S501" t="str">
            <v>Female</v>
          </cell>
          <cell r="AK501">
            <v>0</v>
          </cell>
          <cell r="AN501">
            <v>0.50689655172413794</v>
          </cell>
          <cell r="AQ501" t="str">
            <v>CMP</v>
          </cell>
          <cell r="AS501" t="str">
            <v>Y</v>
          </cell>
          <cell r="BM501" t="str">
            <v>Residential</v>
          </cell>
          <cell r="BN501">
            <v>1</v>
          </cell>
          <cell r="BR501">
            <v>0.50689655172413794</v>
          </cell>
          <cell r="FQ501" t="str">
            <v>Need Displacement</v>
          </cell>
          <cell r="IB501" t="str">
            <v>Y</v>
          </cell>
          <cell r="IC501" t="str">
            <v>Y</v>
          </cell>
          <cell r="ID501">
            <v>0</v>
          </cell>
          <cell r="IE501">
            <v>0</v>
          </cell>
          <cell r="IP501">
            <v>0</v>
          </cell>
          <cell r="IR501">
            <v>0</v>
          </cell>
          <cell r="IT501">
            <v>0</v>
          </cell>
          <cell r="IU501">
            <v>0</v>
          </cell>
        </row>
        <row r="502">
          <cell r="A502" t="str">
            <v>legal</v>
          </cell>
          <cell r="E502" t="str">
            <v>132 Don Benito St., Brgy.21 Caloocan City</v>
          </cell>
          <cell r="S502" t="str">
            <v>Male</v>
          </cell>
          <cell r="AK502" t="str">
            <v>ISF</v>
          </cell>
          <cell r="AN502">
            <v>0</v>
          </cell>
          <cell r="AQ502">
            <v>0</v>
          </cell>
          <cell r="AS502">
            <v>0</v>
          </cell>
          <cell r="BM502" t="str">
            <v>Residential</v>
          </cell>
          <cell r="BN502">
            <v>0</v>
          </cell>
          <cell r="BR502">
            <v>0.50689655172413794</v>
          </cell>
          <cell r="FQ502" t="str">
            <v>Need Displacement</v>
          </cell>
          <cell r="IB502">
            <v>0</v>
          </cell>
          <cell r="IC502">
            <v>0</v>
          </cell>
          <cell r="ID502">
            <v>0</v>
          </cell>
          <cell r="IE502">
            <v>0</v>
          </cell>
          <cell r="IP502">
            <v>0</v>
          </cell>
          <cell r="IR502">
            <v>0</v>
          </cell>
          <cell r="IT502">
            <v>0</v>
          </cell>
          <cell r="IU502">
            <v>0</v>
          </cell>
        </row>
        <row r="503">
          <cell r="A503" t="str">
            <v>legal</v>
          </cell>
          <cell r="E503" t="str">
            <v>Don Benito St., Brgy.21 Caloocan City</v>
          </cell>
          <cell r="S503" t="str">
            <v>Female</v>
          </cell>
          <cell r="AK503" t="str">
            <v>ISF</v>
          </cell>
          <cell r="AN503">
            <v>0.29519137527807882</v>
          </cell>
          <cell r="AQ503" t="str">
            <v>CMP</v>
          </cell>
          <cell r="AS503" t="str">
            <v>Y</v>
          </cell>
          <cell r="BM503" t="str">
            <v>Residential</v>
          </cell>
          <cell r="BN503">
            <v>0</v>
          </cell>
          <cell r="BR503">
            <v>0.32934131736526945</v>
          </cell>
          <cell r="FQ503" t="str">
            <v>Need Displacement</v>
          </cell>
          <cell r="IB503" t="str">
            <v>Y</v>
          </cell>
          <cell r="IC503" t="str">
            <v>Y</v>
          </cell>
          <cell r="ID503">
            <v>2</v>
          </cell>
          <cell r="IE503">
            <v>1</v>
          </cell>
          <cell r="IP503">
            <v>0</v>
          </cell>
          <cell r="IR503">
            <v>0</v>
          </cell>
          <cell r="IT503">
            <v>0</v>
          </cell>
          <cell r="IU503">
            <v>0</v>
          </cell>
        </row>
        <row r="504">
          <cell r="A504" t="str">
            <v>legal</v>
          </cell>
          <cell r="E504" t="str">
            <v>376 Don Benito St., Brgy.21 Zone.2 Caloocan City</v>
          </cell>
          <cell r="S504" t="str">
            <v>Male</v>
          </cell>
          <cell r="AK504" t="str">
            <v>ISF</v>
          </cell>
          <cell r="AN504">
            <v>0.27911646586345384</v>
          </cell>
          <cell r="AQ504" t="str">
            <v>CMP</v>
          </cell>
          <cell r="AS504" t="str">
            <v>Y</v>
          </cell>
          <cell r="BM504" t="str">
            <v>Residential</v>
          </cell>
          <cell r="BN504">
            <v>1</v>
          </cell>
          <cell r="BR504">
            <v>0.28850145288501455</v>
          </cell>
          <cell r="FQ504" t="str">
            <v>Need Displacement</v>
          </cell>
          <cell r="IB504" t="str">
            <v>Y</v>
          </cell>
          <cell r="IC504">
            <v>0</v>
          </cell>
          <cell r="ID504">
            <v>2</v>
          </cell>
          <cell r="IE504">
            <v>0</v>
          </cell>
          <cell r="IP504" t="str">
            <v>Owner</v>
          </cell>
          <cell r="IR504" t="str">
            <v>Home/Small-scale Industry</v>
          </cell>
          <cell r="IT504">
            <v>0</v>
          </cell>
          <cell r="IU504" t="str">
            <v>x</v>
          </cell>
        </row>
        <row r="505">
          <cell r="A505" t="str">
            <v>legal</v>
          </cell>
          <cell r="E505" t="str">
            <v>376 Don Benito St., Brgy.21 Zone.2 Caloocan City</v>
          </cell>
          <cell r="S505" t="str">
            <v>Male</v>
          </cell>
          <cell r="AK505" t="str">
            <v>ISF</v>
          </cell>
          <cell r="AN505">
            <v>0</v>
          </cell>
          <cell r="AQ505" t="str">
            <v>CMP</v>
          </cell>
          <cell r="AS505" t="str">
            <v>Y</v>
          </cell>
          <cell r="BM505" t="str">
            <v>Residential</v>
          </cell>
          <cell r="BN505">
            <v>0</v>
          </cell>
          <cell r="BR505">
            <v>0.625</v>
          </cell>
          <cell r="FQ505" t="str">
            <v>Need Displacement</v>
          </cell>
          <cell r="IB505">
            <v>0</v>
          </cell>
          <cell r="IC505">
            <v>0</v>
          </cell>
          <cell r="ID505">
            <v>0</v>
          </cell>
          <cell r="IE505">
            <v>0</v>
          </cell>
          <cell r="IP505">
            <v>0</v>
          </cell>
          <cell r="IR505">
            <v>0</v>
          </cell>
          <cell r="IT505">
            <v>0</v>
          </cell>
          <cell r="IU505">
            <v>0</v>
          </cell>
        </row>
        <row r="506">
          <cell r="A506" t="str">
            <v>legal</v>
          </cell>
          <cell r="E506" t="str">
            <v>375 Don Benito St., Brgy.21 Caloocan City</v>
          </cell>
          <cell r="S506" t="str">
            <v>Female</v>
          </cell>
          <cell r="AK506" t="str">
            <v>ISF</v>
          </cell>
          <cell r="AN506">
            <v>0.31315513626834385</v>
          </cell>
          <cell r="AQ506" t="str">
            <v>CMP</v>
          </cell>
          <cell r="AS506" t="str">
            <v>Y</v>
          </cell>
          <cell r="BM506" t="str">
            <v>Industrial</v>
          </cell>
          <cell r="BN506">
            <v>1</v>
          </cell>
          <cell r="BR506">
            <v>0.31315513626834385</v>
          </cell>
          <cell r="FQ506" t="str">
            <v>Need Displacement</v>
          </cell>
          <cell r="IB506" t="str">
            <v>Y</v>
          </cell>
          <cell r="IC506" t="str">
            <v>Y</v>
          </cell>
          <cell r="ID506">
            <v>0</v>
          </cell>
          <cell r="IE506">
            <v>1</v>
          </cell>
          <cell r="IP506" t="str">
            <v>Owner</v>
          </cell>
          <cell r="IR506" t="str">
            <v>Home/Small-scale Industry</v>
          </cell>
          <cell r="IT506">
            <v>0</v>
          </cell>
          <cell r="IU506" t="str">
            <v>x</v>
          </cell>
        </row>
        <row r="507">
          <cell r="A507" t="str">
            <v>legal</v>
          </cell>
          <cell r="E507" t="str">
            <v>375 Don Benito St., Brgy.21 Caloocan City</v>
          </cell>
          <cell r="S507" t="str">
            <v>Female</v>
          </cell>
          <cell r="AK507" t="str">
            <v>Land Owner</v>
          </cell>
          <cell r="AN507">
            <v>0.31315513626834385</v>
          </cell>
          <cell r="AQ507" t="str">
            <v>CMP</v>
          </cell>
          <cell r="AS507" t="str">
            <v>Y</v>
          </cell>
          <cell r="BM507" t="str">
            <v>Commercial</v>
          </cell>
          <cell r="BN507">
            <v>1</v>
          </cell>
          <cell r="BR507">
            <v>0.31315513626834379</v>
          </cell>
          <cell r="FQ507" t="str">
            <v>Need Displacement</v>
          </cell>
          <cell r="IB507">
            <v>0</v>
          </cell>
          <cell r="IC507">
            <v>0</v>
          </cell>
          <cell r="ID507">
            <v>0</v>
          </cell>
          <cell r="IE507">
            <v>1</v>
          </cell>
          <cell r="IP507" t="str">
            <v>Offered for Rent</v>
          </cell>
          <cell r="IR507" t="str">
            <v>Manufacturing</v>
          </cell>
          <cell r="IT507">
            <v>0</v>
          </cell>
          <cell r="IU507" t="str">
            <v>x</v>
          </cell>
        </row>
        <row r="508">
          <cell r="A508" t="str">
            <v>legal</v>
          </cell>
          <cell r="E508" t="str">
            <v>375 Don Benito St., Brgy.21 Caloocan City</v>
          </cell>
          <cell r="S508">
            <v>0</v>
          </cell>
          <cell r="AK508" t="str">
            <v>ISF</v>
          </cell>
          <cell r="AN508">
            <v>0.15</v>
          </cell>
          <cell r="AQ508" t="str">
            <v>CMP</v>
          </cell>
          <cell r="AS508" t="str">
            <v>Y</v>
          </cell>
          <cell r="BM508" t="str">
            <v>Residential/ Industrial</v>
          </cell>
          <cell r="BN508">
            <v>0</v>
          </cell>
          <cell r="BR508">
            <v>0.15</v>
          </cell>
          <cell r="FQ508">
            <v>0</v>
          </cell>
          <cell r="IB508">
            <v>0</v>
          </cell>
          <cell r="IC508">
            <v>0</v>
          </cell>
          <cell r="ID508">
            <v>0</v>
          </cell>
          <cell r="IE508">
            <v>0</v>
          </cell>
          <cell r="IP508" t="str">
            <v>Renter</v>
          </cell>
          <cell r="IR508" t="str">
            <v>Furniture Shop space rental</v>
          </cell>
          <cell r="IT508">
            <v>0</v>
          </cell>
          <cell r="IU508" t="str">
            <v>x</v>
          </cell>
        </row>
        <row r="509">
          <cell r="A509" t="str">
            <v>legal</v>
          </cell>
          <cell r="E509" t="str">
            <v>301 Don Benito St., Brgy.21 Caloocan City</v>
          </cell>
          <cell r="S509" t="str">
            <v>Male</v>
          </cell>
          <cell r="AK509" t="str">
            <v>ISF</v>
          </cell>
          <cell r="AN509">
            <v>0.15</v>
          </cell>
          <cell r="AQ509" t="str">
            <v>CMP</v>
          </cell>
          <cell r="AS509" t="str">
            <v>Y</v>
          </cell>
          <cell r="BM509" t="str">
            <v>Industrial</v>
          </cell>
          <cell r="BN509">
            <v>1</v>
          </cell>
          <cell r="BR509">
            <v>0.15</v>
          </cell>
          <cell r="FQ509" t="str">
            <v>Can Stay (ACCESS BLOCK)</v>
          </cell>
          <cell r="IB509">
            <v>0</v>
          </cell>
          <cell r="IC509">
            <v>0</v>
          </cell>
          <cell r="ID509">
            <v>1</v>
          </cell>
          <cell r="IE509">
            <v>1</v>
          </cell>
          <cell r="IP509" t="str">
            <v>Furniture shop space renter</v>
          </cell>
          <cell r="IR509" t="str">
            <v>Home/Small-scale Industry</v>
          </cell>
          <cell r="IT509">
            <v>0</v>
          </cell>
          <cell r="IU509" t="str">
            <v>x</v>
          </cell>
        </row>
        <row r="510">
          <cell r="A510" t="str">
            <v>isf</v>
          </cell>
          <cell r="E510" t="str">
            <v>300 Don Benito St., Brgy.21 Caloocan City</v>
          </cell>
          <cell r="S510" t="str">
            <v>Male</v>
          </cell>
          <cell r="AK510" t="str">
            <v>Lessee</v>
          </cell>
          <cell r="AN510">
            <v>0.68181818181818177</v>
          </cell>
          <cell r="AQ510">
            <v>0</v>
          </cell>
          <cell r="AS510">
            <v>0</v>
          </cell>
          <cell r="BM510" t="str">
            <v>Residential</v>
          </cell>
          <cell r="BN510">
            <v>0</v>
          </cell>
          <cell r="BR510">
            <v>0.68181818181818177</v>
          </cell>
          <cell r="FQ510" t="str">
            <v>Need Displacement</v>
          </cell>
          <cell r="IB510">
            <v>0</v>
          </cell>
          <cell r="IC510">
            <v>0</v>
          </cell>
          <cell r="ID510">
            <v>0</v>
          </cell>
          <cell r="IE510">
            <v>0</v>
          </cell>
          <cell r="IP510">
            <v>0</v>
          </cell>
          <cell r="IR510">
            <v>0</v>
          </cell>
          <cell r="IT510">
            <v>0</v>
          </cell>
          <cell r="IU510">
            <v>0</v>
          </cell>
        </row>
        <row r="511">
          <cell r="A511" t="str">
            <v>legal</v>
          </cell>
          <cell r="E511" t="str">
            <v>300 Don Benito St., Brgy.21 Caloocan City</v>
          </cell>
          <cell r="S511" t="str">
            <v>Female</v>
          </cell>
          <cell r="AK511" t="str">
            <v>ISF</v>
          </cell>
          <cell r="AN511">
            <v>0.5</v>
          </cell>
          <cell r="AQ511" t="str">
            <v>CMP</v>
          </cell>
          <cell r="AS511" t="str">
            <v>Y</v>
          </cell>
          <cell r="BM511" t="str">
            <v>Commercial</v>
          </cell>
          <cell r="BN511">
            <v>0</v>
          </cell>
          <cell r="BR511">
            <v>0.5</v>
          </cell>
          <cell r="FQ511" t="str">
            <v>Need Displacement</v>
          </cell>
          <cell r="IB511">
            <v>0</v>
          </cell>
          <cell r="IC511">
            <v>0</v>
          </cell>
          <cell r="ID511">
            <v>0</v>
          </cell>
          <cell r="IE511">
            <v>0</v>
          </cell>
          <cell r="IP511" t="str">
            <v>Owner</v>
          </cell>
          <cell r="IR511" t="str">
            <v>Home/Small-scale Industry</v>
          </cell>
          <cell r="IT511">
            <v>0</v>
          </cell>
          <cell r="IU511" t="str">
            <v>x</v>
          </cell>
        </row>
        <row r="512">
          <cell r="A512" t="str">
            <v>legal</v>
          </cell>
          <cell r="E512" t="str">
            <v>300 Don Benito St., Brgy.21 Caloocan City</v>
          </cell>
          <cell r="S512">
            <v>0</v>
          </cell>
          <cell r="AK512">
            <v>0</v>
          </cell>
          <cell r="AN512">
            <v>0</v>
          </cell>
          <cell r="AQ512">
            <v>0</v>
          </cell>
          <cell r="AS512">
            <v>0</v>
          </cell>
          <cell r="BM512">
            <v>0</v>
          </cell>
          <cell r="BN512">
            <v>0</v>
          </cell>
          <cell r="BR512">
            <v>0</v>
          </cell>
          <cell r="FQ512">
            <v>0</v>
          </cell>
          <cell r="IB512">
            <v>0</v>
          </cell>
          <cell r="IC512">
            <v>0</v>
          </cell>
          <cell r="ID512">
            <v>0</v>
          </cell>
          <cell r="IE512">
            <v>0</v>
          </cell>
          <cell r="IP512">
            <v>0</v>
          </cell>
          <cell r="IR512">
            <v>0</v>
          </cell>
          <cell r="IT512">
            <v>0</v>
          </cell>
          <cell r="IU512">
            <v>0</v>
          </cell>
        </row>
        <row r="513">
          <cell r="A513" t="str">
            <v>legal</v>
          </cell>
          <cell r="E513" t="str">
            <v>116 Don Benito St., Brgy.21 Caloocan City</v>
          </cell>
          <cell r="S513" t="str">
            <v>Female</v>
          </cell>
          <cell r="AK513" t="str">
            <v>Lessee</v>
          </cell>
          <cell r="AN513">
            <v>0.19585253456221199</v>
          </cell>
          <cell r="AQ513" t="str">
            <v>CMP</v>
          </cell>
          <cell r="AS513" t="str">
            <v>Y</v>
          </cell>
          <cell r="BM513" t="str">
            <v>Residential</v>
          </cell>
          <cell r="BN513">
            <v>1</v>
          </cell>
          <cell r="BR513">
            <v>0.19585253456221199</v>
          </cell>
          <cell r="FQ513" t="str">
            <v>Can Stay</v>
          </cell>
          <cell r="IB513" t="str">
            <v>Y</v>
          </cell>
          <cell r="IC513" t="str">
            <v>Y</v>
          </cell>
          <cell r="ID513">
            <v>0</v>
          </cell>
          <cell r="IE513">
            <v>0</v>
          </cell>
          <cell r="IP513">
            <v>0</v>
          </cell>
          <cell r="IR513">
            <v>0</v>
          </cell>
          <cell r="IT513">
            <v>0</v>
          </cell>
          <cell r="IU513">
            <v>0</v>
          </cell>
        </row>
        <row r="514">
          <cell r="A514" t="str">
            <v>legal</v>
          </cell>
          <cell r="E514" t="str">
            <v>162 Interior 19 Don Benito St., Brgy.21 Caloocan City</v>
          </cell>
          <cell r="S514" t="str">
            <v>Male</v>
          </cell>
          <cell r="AK514" t="str">
            <v>Lessee</v>
          </cell>
          <cell r="AN514">
            <v>0.3392857142857143</v>
          </cell>
          <cell r="AQ514" t="str">
            <v>CMP</v>
          </cell>
          <cell r="AS514" t="str">
            <v>Y</v>
          </cell>
          <cell r="BM514" t="str">
            <v>Residential</v>
          </cell>
          <cell r="BN514">
            <v>0</v>
          </cell>
          <cell r="BR514">
            <v>0.33568904593639581</v>
          </cell>
          <cell r="FQ514" t="str">
            <v>Need Displacement</v>
          </cell>
          <cell r="IB514">
            <v>0</v>
          </cell>
          <cell r="IC514">
            <v>0</v>
          </cell>
          <cell r="ID514">
            <v>0</v>
          </cell>
          <cell r="IE514">
            <v>0</v>
          </cell>
          <cell r="IP514">
            <v>0</v>
          </cell>
          <cell r="IR514">
            <v>0</v>
          </cell>
          <cell r="IT514">
            <v>0</v>
          </cell>
          <cell r="IU514">
            <v>0</v>
          </cell>
        </row>
        <row r="515">
          <cell r="A515" t="str">
            <v>legal</v>
          </cell>
          <cell r="E515" t="str">
            <v>117 Interior 19 Laon Laan St., Brgy.21 Caloocan City</v>
          </cell>
          <cell r="S515" t="str">
            <v>Male</v>
          </cell>
          <cell r="AK515" t="str">
            <v>ISF</v>
          </cell>
          <cell r="AN515">
            <v>1</v>
          </cell>
          <cell r="AQ515" t="str">
            <v>CMP</v>
          </cell>
          <cell r="AS515" t="str">
            <v>Y</v>
          </cell>
          <cell r="BM515" t="str">
            <v>Residential</v>
          </cell>
          <cell r="BN515">
            <v>1</v>
          </cell>
          <cell r="BR515">
            <v>1</v>
          </cell>
          <cell r="FQ515" t="str">
            <v>Need Displacement</v>
          </cell>
          <cell r="IB515" t="str">
            <v>Y</v>
          </cell>
          <cell r="IC515">
            <v>0</v>
          </cell>
          <cell r="ID515">
            <v>0</v>
          </cell>
          <cell r="IE515">
            <v>0</v>
          </cell>
          <cell r="IP515">
            <v>0</v>
          </cell>
          <cell r="IR515">
            <v>0</v>
          </cell>
          <cell r="IT515">
            <v>0</v>
          </cell>
          <cell r="IU515">
            <v>0</v>
          </cell>
        </row>
        <row r="516">
          <cell r="A516" t="str">
            <v>legal</v>
          </cell>
          <cell r="E516" t="str">
            <v>117 Interior 19 Laon Laan St., Brgy.21 Caloocan City</v>
          </cell>
          <cell r="S516" t="str">
            <v>Male</v>
          </cell>
          <cell r="AK516" t="str">
            <v>ISF</v>
          </cell>
          <cell r="AN516">
            <v>1</v>
          </cell>
          <cell r="AQ516" t="str">
            <v>CMP</v>
          </cell>
          <cell r="AS516" t="str">
            <v>Y</v>
          </cell>
          <cell r="BM516" t="str">
            <v>Residential</v>
          </cell>
          <cell r="BN516">
            <v>3</v>
          </cell>
          <cell r="BR516">
            <v>1</v>
          </cell>
          <cell r="FQ516" t="str">
            <v>Need Displacement</v>
          </cell>
          <cell r="IB516">
            <v>0</v>
          </cell>
          <cell r="IC516">
            <v>0</v>
          </cell>
          <cell r="ID516">
            <v>0</v>
          </cell>
          <cell r="IE516">
            <v>0</v>
          </cell>
          <cell r="IP516">
            <v>0</v>
          </cell>
          <cell r="IR516">
            <v>0</v>
          </cell>
          <cell r="IT516">
            <v>0</v>
          </cell>
          <cell r="IU516">
            <v>0</v>
          </cell>
        </row>
        <row r="517">
          <cell r="A517" t="str">
            <v>legal</v>
          </cell>
          <cell r="E517" t="str">
            <v>117 Interior 19 Laon Laan St., Brgy.21 Caloocan City</v>
          </cell>
          <cell r="S517" t="str">
            <v>Female</v>
          </cell>
          <cell r="AK517" t="str">
            <v>ISF</v>
          </cell>
          <cell r="AN517">
            <v>0.36134453781512604</v>
          </cell>
          <cell r="AQ517" t="str">
            <v>CMP</v>
          </cell>
          <cell r="AS517" t="str">
            <v>Y</v>
          </cell>
          <cell r="BM517" t="str">
            <v>Residential</v>
          </cell>
          <cell r="BN517">
            <v>1</v>
          </cell>
          <cell r="BR517">
            <v>0.36134453781512604</v>
          </cell>
          <cell r="FQ517" t="str">
            <v>Need Displacement</v>
          </cell>
          <cell r="IB517">
            <v>0</v>
          </cell>
          <cell r="IC517" t="str">
            <v>Y</v>
          </cell>
          <cell r="ID517">
            <v>2</v>
          </cell>
          <cell r="IE517">
            <v>2</v>
          </cell>
          <cell r="IP517">
            <v>0</v>
          </cell>
          <cell r="IR517">
            <v>0</v>
          </cell>
          <cell r="IT517">
            <v>0</v>
          </cell>
          <cell r="IU517">
            <v>0</v>
          </cell>
        </row>
        <row r="518">
          <cell r="A518" t="str">
            <v>legal</v>
          </cell>
          <cell r="E518" t="str">
            <v>117 Interior 19 Laon Laan St., Brgy.21 Caloocan City</v>
          </cell>
          <cell r="S518" t="str">
            <v>Female</v>
          </cell>
          <cell r="AK518" t="str">
            <v>ISF</v>
          </cell>
          <cell r="AN518">
            <v>0.4258064516129032</v>
          </cell>
          <cell r="AQ518" t="str">
            <v>CMP</v>
          </cell>
          <cell r="AS518" t="str">
            <v>Y</v>
          </cell>
          <cell r="BM518" t="str">
            <v>Residential</v>
          </cell>
          <cell r="BN518">
            <v>1</v>
          </cell>
          <cell r="BR518">
            <v>0.4258064516129032</v>
          </cell>
          <cell r="FQ518" t="str">
            <v>Need Displacement</v>
          </cell>
          <cell r="IB518">
            <v>0</v>
          </cell>
          <cell r="IC518" t="str">
            <v>Y</v>
          </cell>
          <cell r="ID518">
            <v>0</v>
          </cell>
          <cell r="IE518">
            <v>0</v>
          </cell>
          <cell r="IP518">
            <v>0</v>
          </cell>
          <cell r="IR518">
            <v>0</v>
          </cell>
          <cell r="IT518">
            <v>0</v>
          </cell>
          <cell r="IU518">
            <v>0</v>
          </cell>
        </row>
        <row r="519">
          <cell r="A519" t="str">
            <v>isf</v>
          </cell>
          <cell r="E519" t="str">
            <v>121 Laon Laan St., Brgy.21 Zone.2 Caloocan City</v>
          </cell>
          <cell r="S519" t="str">
            <v>Female</v>
          </cell>
          <cell r="AK519">
            <v>0</v>
          </cell>
          <cell r="AN519">
            <v>0.73255813953488369</v>
          </cell>
          <cell r="AQ519">
            <v>0</v>
          </cell>
          <cell r="AS519">
            <v>0</v>
          </cell>
          <cell r="BM519" t="str">
            <v>Residential</v>
          </cell>
          <cell r="BN519">
            <v>0</v>
          </cell>
          <cell r="BR519">
            <v>0.73255813953488369</v>
          </cell>
          <cell r="FQ519" t="str">
            <v>Need Displacement</v>
          </cell>
          <cell r="IB519" t="str">
            <v>Y</v>
          </cell>
          <cell r="IC519" t="str">
            <v>Y</v>
          </cell>
          <cell r="ID519">
            <v>2</v>
          </cell>
          <cell r="IE519">
            <v>1</v>
          </cell>
          <cell r="IP519">
            <v>0</v>
          </cell>
          <cell r="IR519">
            <v>0</v>
          </cell>
          <cell r="IT519">
            <v>0</v>
          </cell>
          <cell r="IU519">
            <v>0</v>
          </cell>
        </row>
        <row r="520">
          <cell r="A520" t="str">
            <v>isf (p)</v>
          </cell>
          <cell r="E520" t="str">
            <v>121 Laon Laan St., Brgy.21 Caloocan City</v>
          </cell>
          <cell r="S520" t="str">
            <v>Male</v>
          </cell>
          <cell r="AK520" t="str">
            <v>ISF</v>
          </cell>
          <cell r="AN520">
            <v>4.2857142857142858E-2</v>
          </cell>
          <cell r="AQ520">
            <v>0</v>
          </cell>
          <cell r="AS520">
            <v>0</v>
          </cell>
          <cell r="BM520" t="str">
            <v>Residential</v>
          </cell>
          <cell r="BN520">
            <v>0</v>
          </cell>
          <cell r="BR520">
            <v>4.2857142857142858E-2</v>
          </cell>
          <cell r="FQ520" t="str">
            <v>Can Stay</v>
          </cell>
          <cell r="IB520">
            <v>0</v>
          </cell>
          <cell r="IC520">
            <v>0</v>
          </cell>
          <cell r="ID520">
            <v>2</v>
          </cell>
          <cell r="IE520">
            <v>0</v>
          </cell>
          <cell r="IP520">
            <v>0</v>
          </cell>
          <cell r="IR520">
            <v>0</v>
          </cell>
          <cell r="IT520">
            <v>0</v>
          </cell>
          <cell r="IU520">
            <v>0</v>
          </cell>
        </row>
        <row r="521">
          <cell r="A521" t="str">
            <v>legal</v>
          </cell>
          <cell r="E521" t="str">
            <v>121 Laon Laan St., Brgy.21 Caloocan City</v>
          </cell>
          <cell r="S521" t="str">
            <v>Male</v>
          </cell>
          <cell r="AK521">
            <v>0</v>
          </cell>
          <cell r="AN521">
            <v>3.1731071316368209E-2</v>
          </cell>
          <cell r="AQ521" t="str">
            <v>CMP</v>
          </cell>
          <cell r="AS521" t="str">
            <v>Y</v>
          </cell>
          <cell r="BM521" t="str">
            <v>Residential</v>
          </cell>
          <cell r="BN521">
            <v>0</v>
          </cell>
          <cell r="BR521">
            <v>3.1746031746031744E-2</v>
          </cell>
          <cell r="FQ521" t="str">
            <v>Can Stay</v>
          </cell>
          <cell r="IB521" t="str">
            <v>Y</v>
          </cell>
          <cell r="IC521">
            <v>0</v>
          </cell>
          <cell r="ID521">
            <v>0</v>
          </cell>
          <cell r="IE521">
            <v>0</v>
          </cell>
          <cell r="IP521">
            <v>0</v>
          </cell>
          <cell r="IR521">
            <v>0</v>
          </cell>
          <cell r="IT521">
            <v>0</v>
          </cell>
          <cell r="IU521">
            <v>0</v>
          </cell>
        </row>
        <row r="522">
          <cell r="A522" t="str">
            <v>legal</v>
          </cell>
          <cell r="E522" t="str">
            <v>122 Laon Laan St., Brgy.25 Sampalukan Caloocan City</v>
          </cell>
          <cell r="S522" t="str">
            <v>Male</v>
          </cell>
          <cell r="AK522">
            <v>0</v>
          </cell>
          <cell r="AN522">
            <v>0.65625</v>
          </cell>
          <cell r="AQ522" t="str">
            <v>CMP</v>
          </cell>
          <cell r="AS522" t="str">
            <v>Y</v>
          </cell>
          <cell r="BM522" t="str">
            <v>Residential</v>
          </cell>
          <cell r="BN522">
            <v>1</v>
          </cell>
          <cell r="BR522">
            <v>0.65625</v>
          </cell>
          <cell r="FQ522" t="str">
            <v>Need Displacement</v>
          </cell>
          <cell r="IB522">
            <v>0</v>
          </cell>
          <cell r="IC522">
            <v>0</v>
          </cell>
          <cell r="ID522">
            <v>0</v>
          </cell>
          <cell r="IE522">
            <v>0</v>
          </cell>
          <cell r="IP522" t="str">
            <v>Owner</v>
          </cell>
          <cell r="IR522" t="str">
            <v>Home/Small-scale Industry</v>
          </cell>
          <cell r="IT522">
            <v>0</v>
          </cell>
          <cell r="IU522" t="str">
            <v>x</v>
          </cell>
        </row>
        <row r="523">
          <cell r="A523">
            <v>0</v>
          </cell>
          <cell r="E523" t="str">
            <v>122 Laon Laan St., Brgy.25 Caloocan City</v>
          </cell>
          <cell r="S523" t="str">
            <v>Male</v>
          </cell>
          <cell r="AK523">
            <v>0</v>
          </cell>
          <cell r="AN523">
            <v>0</v>
          </cell>
          <cell r="AQ523">
            <v>0</v>
          </cell>
          <cell r="AS523">
            <v>0</v>
          </cell>
          <cell r="BM523" t="str">
            <v>Residential</v>
          </cell>
          <cell r="BN523">
            <v>3</v>
          </cell>
          <cell r="BR523">
            <v>0</v>
          </cell>
          <cell r="FQ523" t="str">
            <v>Need Displacement</v>
          </cell>
          <cell r="IB523" t="str">
            <v>Y</v>
          </cell>
          <cell r="IC523">
            <v>0</v>
          </cell>
          <cell r="ID523">
            <v>0</v>
          </cell>
          <cell r="IE523">
            <v>1</v>
          </cell>
          <cell r="IP523" t="str">
            <v>Owner</v>
          </cell>
          <cell r="IR523" t="str">
            <v>Home/Small-scale Industry</v>
          </cell>
          <cell r="IT523">
            <v>0</v>
          </cell>
          <cell r="IU523" t="str">
            <v>x</v>
          </cell>
        </row>
        <row r="524">
          <cell r="A524">
            <v>0</v>
          </cell>
          <cell r="E524" t="str">
            <v>122 Laon Laan St., Brgy.25 Caloocan City</v>
          </cell>
          <cell r="S524" t="str">
            <v>Male</v>
          </cell>
          <cell r="AK524">
            <v>0</v>
          </cell>
          <cell r="AN524">
            <v>0</v>
          </cell>
          <cell r="AQ524">
            <v>0</v>
          </cell>
          <cell r="AS524">
            <v>0</v>
          </cell>
          <cell r="BM524" t="str">
            <v>Residential</v>
          </cell>
          <cell r="BN524">
            <v>1</v>
          </cell>
          <cell r="BR524">
            <v>0</v>
          </cell>
          <cell r="FQ524" t="str">
            <v>Need Displacement</v>
          </cell>
          <cell r="IB524" t="str">
            <v>Y</v>
          </cell>
          <cell r="IC524">
            <v>0</v>
          </cell>
          <cell r="ID524">
            <v>2</v>
          </cell>
          <cell r="IE524">
            <v>1</v>
          </cell>
          <cell r="IP524" t="str">
            <v>Owner</v>
          </cell>
          <cell r="IR524" t="str">
            <v>Home/Small-scale Industry</v>
          </cell>
          <cell r="IT524">
            <v>0</v>
          </cell>
          <cell r="IU524" t="str">
            <v>x</v>
          </cell>
        </row>
        <row r="525">
          <cell r="A525" t="str">
            <v>isf</v>
          </cell>
          <cell r="E525" t="str">
            <v>450 Laon Laan St., Brgy.25 Caloocan City</v>
          </cell>
          <cell r="S525" t="str">
            <v>Male</v>
          </cell>
          <cell r="AK525">
            <v>0</v>
          </cell>
          <cell r="AN525">
            <v>0.24549846288976723</v>
          </cell>
          <cell r="AQ525">
            <v>0</v>
          </cell>
          <cell r="AS525">
            <v>0</v>
          </cell>
          <cell r="BM525" t="str">
            <v>Residential</v>
          </cell>
          <cell r="BN525">
            <v>0</v>
          </cell>
          <cell r="BR525">
            <v>0.25</v>
          </cell>
          <cell r="FQ525" t="str">
            <v>Need Displacement</v>
          </cell>
          <cell r="IB525" t="str">
            <v>Y</v>
          </cell>
          <cell r="IC525">
            <v>0</v>
          </cell>
          <cell r="ID525">
            <v>2</v>
          </cell>
          <cell r="IE525">
            <v>2</v>
          </cell>
          <cell r="IP525">
            <v>0</v>
          </cell>
          <cell r="IR525">
            <v>0</v>
          </cell>
          <cell r="IT525">
            <v>0</v>
          </cell>
          <cell r="IU525">
            <v>0</v>
          </cell>
        </row>
        <row r="526">
          <cell r="A526" t="str">
            <v>isf</v>
          </cell>
          <cell r="E526" t="str">
            <v>450 Laon Laan St., Brgy.25 Caloocan City</v>
          </cell>
          <cell r="S526" t="str">
            <v>Female</v>
          </cell>
          <cell r="AK526">
            <v>0</v>
          </cell>
          <cell r="AN526">
            <v>0.15632183908045977</v>
          </cell>
          <cell r="AQ526">
            <v>0</v>
          </cell>
          <cell r="AS526">
            <v>0</v>
          </cell>
          <cell r="BM526" t="str">
            <v>Residential</v>
          </cell>
          <cell r="BN526">
            <v>0</v>
          </cell>
          <cell r="BR526">
            <v>0.15624999999999997</v>
          </cell>
          <cell r="FQ526" t="str">
            <v>Need Displacement</v>
          </cell>
          <cell r="IB526" t="str">
            <v>Y</v>
          </cell>
          <cell r="IC526" t="str">
            <v>Y</v>
          </cell>
          <cell r="ID526">
            <v>0</v>
          </cell>
          <cell r="IE526">
            <v>0</v>
          </cell>
          <cell r="IP526">
            <v>0</v>
          </cell>
          <cell r="IR526">
            <v>0</v>
          </cell>
          <cell r="IT526">
            <v>0</v>
          </cell>
          <cell r="IU526">
            <v>0</v>
          </cell>
        </row>
        <row r="527">
          <cell r="A527" t="str">
            <v>isf (p)</v>
          </cell>
          <cell r="E527" t="str">
            <v>450 Laon Laan St., 4th Ave. Caloocan City Brgy.25</v>
          </cell>
          <cell r="S527" t="str">
            <v>Female</v>
          </cell>
          <cell r="AK527">
            <v>0</v>
          </cell>
          <cell r="AN527">
            <v>0</v>
          </cell>
          <cell r="AQ527">
            <v>0</v>
          </cell>
          <cell r="AS527">
            <v>0</v>
          </cell>
          <cell r="BM527" t="str">
            <v>Residential</v>
          </cell>
          <cell r="BN527">
            <v>0</v>
          </cell>
          <cell r="BR527">
            <v>0.15624999999999997</v>
          </cell>
          <cell r="FQ527" t="str">
            <v>Need Displacement</v>
          </cell>
          <cell r="IB527">
            <v>0</v>
          </cell>
          <cell r="IC527" t="str">
            <v>Y</v>
          </cell>
          <cell r="ID527">
            <v>1</v>
          </cell>
          <cell r="IE527">
            <v>2</v>
          </cell>
          <cell r="IP527">
            <v>0</v>
          </cell>
          <cell r="IR527">
            <v>0</v>
          </cell>
          <cell r="IT527">
            <v>0</v>
          </cell>
          <cell r="IU527">
            <v>0</v>
          </cell>
        </row>
        <row r="528">
          <cell r="A528" t="str">
            <v>isf</v>
          </cell>
          <cell r="E528" t="str">
            <v>450 Laon Laan St., Brgy.25 Caloocan City</v>
          </cell>
          <cell r="S528" t="str">
            <v>Female</v>
          </cell>
          <cell r="AK528">
            <v>0</v>
          </cell>
          <cell r="AN528">
            <v>1</v>
          </cell>
          <cell r="AQ528">
            <v>0</v>
          </cell>
          <cell r="AS528">
            <v>0</v>
          </cell>
          <cell r="BM528" t="str">
            <v>Residential</v>
          </cell>
          <cell r="BN528">
            <v>0</v>
          </cell>
          <cell r="BR528">
            <v>1</v>
          </cell>
          <cell r="FQ528" t="str">
            <v>Need Displacement</v>
          </cell>
          <cell r="IB528" t="str">
            <v>Y</v>
          </cell>
          <cell r="IC528" t="str">
            <v>Y</v>
          </cell>
          <cell r="ID528">
            <v>0</v>
          </cell>
          <cell r="IE528">
            <v>1</v>
          </cell>
          <cell r="IP528">
            <v>0</v>
          </cell>
          <cell r="IR528">
            <v>0</v>
          </cell>
          <cell r="IT528">
            <v>0</v>
          </cell>
          <cell r="IU528">
            <v>0</v>
          </cell>
        </row>
        <row r="529">
          <cell r="A529" t="str">
            <v>isf</v>
          </cell>
          <cell r="E529" t="str">
            <v>450 Laon Laan St., Brgy.25 Caloocan City</v>
          </cell>
          <cell r="S529" t="str">
            <v>Male</v>
          </cell>
          <cell r="AK529" t="str">
            <v>ISF</v>
          </cell>
          <cell r="AN529">
            <v>1</v>
          </cell>
          <cell r="AQ529">
            <v>0</v>
          </cell>
          <cell r="AS529">
            <v>0</v>
          </cell>
          <cell r="BM529" t="str">
            <v>Residential</v>
          </cell>
          <cell r="BN529">
            <v>1</v>
          </cell>
          <cell r="BR529">
            <v>1</v>
          </cell>
          <cell r="FQ529" t="str">
            <v>Need Displacement</v>
          </cell>
          <cell r="IB529" t="str">
            <v>Y</v>
          </cell>
          <cell r="IC529">
            <v>0</v>
          </cell>
          <cell r="ID529">
            <v>0</v>
          </cell>
          <cell r="IE529">
            <v>1</v>
          </cell>
          <cell r="IP529">
            <v>0</v>
          </cell>
          <cell r="IR529">
            <v>0</v>
          </cell>
          <cell r="IT529">
            <v>0</v>
          </cell>
          <cell r="IU529">
            <v>0</v>
          </cell>
        </row>
        <row r="530">
          <cell r="A530" t="str">
            <v>isf</v>
          </cell>
          <cell r="E530" t="str">
            <v>450 Laon Laan St., Brgy.25 Caloocan City</v>
          </cell>
          <cell r="S530" t="str">
            <v>Male</v>
          </cell>
          <cell r="AK530" t="str">
            <v>ISF</v>
          </cell>
          <cell r="AN530">
            <v>1</v>
          </cell>
          <cell r="AQ530">
            <v>0</v>
          </cell>
          <cell r="AS530">
            <v>0</v>
          </cell>
          <cell r="BM530" t="str">
            <v>Residential/Commercial</v>
          </cell>
          <cell r="BN530">
            <v>1</v>
          </cell>
          <cell r="BR530">
            <v>1</v>
          </cell>
          <cell r="FQ530" t="str">
            <v>Need Displacement</v>
          </cell>
          <cell r="IB530">
            <v>0</v>
          </cell>
          <cell r="IC530">
            <v>0</v>
          </cell>
          <cell r="ID530">
            <v>0</v>
          </cell>
          <cell r="IE530">
            <v>0</v>
          </cell>
          <cell r="IP530" t="str">
            <v>Owner</v>
          </cell>
          <cell r="IR530" t="str">
            <v>Trading/retailing</v>
          </cell>
          <cell r="IT530">
            <v>0</v>
          </cell>
          <cell r="IU530" t="str">
            <v>x</v>
          </cell>
        </row>
        <row r="531">
          <cell r="A531" t="str">
            <v>legal</v>
          </cell>
          <cell r="E531" t="str">
            <v>16 Laon Laan St., Brgy.25 Caloocan City</v>
          </cell>
          <cell r="S531" t="str">
            <v>Female</v>
          </cell>
          <cell r="AK531">
            <v>0</v>
          </cell>
          <cell r="AN531">
            <v>0.13572639225181599</v>
          </cell>
          <cell r="AQ531" t="str">
            <v>CMP</v>
          </cell>
          <cell r="AS531" t="str">
            <v>Y</v>
          </cell>
          <cell r="BM531" t="str">
            <v>Residential</v>
          </cell>
          <cell r="BN531">
            <v>0</v>
          </cell>
          <cell r="BR531">
            <v>8.1879929886064864E-2</v>
          </cell>
          <cell r="FQ531" t="str">
            <v>Can Stay</v>
          </cell>
          <cell r="IB531" t="str">
            <v>Y</v>
          </cell>
          <cell r="IC531" t="str">
            <v>Y</v>
          </cell>
          <cell r="ID531">
            <v>2</v>
          </cell>
          <cell r="IE531">
            <v>1</v>
          </cell>
          <cell r="IP531">
            <v>0</v>
          </cell>
          <cell r="IR531">
            <v>0</v>
          </cell>
          <cell r="IT531">
            <v>0</v>
          </cell>
          <cell r="IU531">
            <v>0</v>
          </cell>
        </row>
        <row r="532">
          <cell r="A532" t="str">
            <v>isf</v>
          </cell>
          <cell r="E532" t="str">
            <v>16 Laon Laan St., Brgy.25 Caloocan City</v>
          </cell>
          <cell r="S532" t="str">
            <v>Male</v>
          </cell>
          <cell r="AK532">
            <v>0</v>
          </cell>
          <cell r="AN532">
            <v>0</v>
          </cell>
          <cell r="AQ532">
            <v>0</v>
          </cell>
          <cell r="AS532">
            <v>0</v>
          </cell>
          <cell r="BM532" t="str">
            <v>Residential</v>
          </cell>
          <cell r="BN532">
            <v>0</v>
          </cell>
          <cell r="BR532">
            <v>8.1879929886064864E-2</v>
          </cell>
          <cell r="FQ532" t="str">
            <v>Need Displacement</v>
          </cell>
          <cell r="IB532" t="str">
            <v>Y</v>
          </cell>
          <cell r="IC532">
            <v>0</v>
          </cell>
          <cell r="ID532">
            <v>0</v>
          </cell>
          <cell r="IE532">
            <v>0</v>
          </cell>
          <cell r="IP532">
            <v>0</v>
          </cell>
          <cell r="IR532">
            <v>0</v>
          </cell>
          <cell r="IT532">
            <v>0</v>
          </cell>
          <cell r="IU532">
            <v>0</v>
          </cell>
        </row>
        <row r="533">
          <cell r="A533" t="str">
            <v>legal</v>
          </cell>
          <cell r="E533" t="str">
            <v>493 C. Namie St., Brgy.25 Caloocan City</v>
          </cell>
          <cell r="S533" t="str">
            <v>Male</v>
          </cell>
          <cell r="AK533">
            <v>0</v>
          </cell>
          <cell r="AN533">
            <v>0.50657276995305156</v>
          </cell>
          <cell r="AQ533" t="str">
            <v>CMP</v>
          </cell>
          <cell r="AS533" t="str">
            <v>Y</v>
          </cell>
          <cell r="BM533" t="str">
            <v>Residential</v>
          </cell>
          <cell r="BN533">
            <v>0</v>
          </cell>
          <cell r="BR533">
            <v>0.50657276995305156</v>
          </cell>
          <cell r="FQ533" t="str">
            <v>Need Displacement</v>
          </cell>
          <cell r="IB533" t="str">
            <v>Y</v>
          </cell>
          <cell r="IC533">
            <v>0</v>
          </cell>
          <cell r="ID533">
            <v>0</v>
          </cell>
          <cell r="IE533">
            <v>0</v>
          </cell>
          <cell r="IP533" t="str">
            <v>Renter</v>
          </cell>
          <cell r="IR533" t="str">
            <v>Home/Small-scale Industry</v>
          </cell>
          <cell r="IT533">
            <v>0</v>
          </cell>
          <cell r="IU533">
            <v>0</v>
          </cell>
        </row>
        <row r="534">
          <cell r="A534" t="str">
            <v>legal</v>
          </cell>
          <cell r="E534" t="str">
            <v>493 C. Namie St., Brgy.25 Caloocan City</v>
          </cell>
          <cell r="S534" t="str">
            <v>Female</v>
          </cell>
          <cell r="AK534">
            <v>0</v>
          </cell>
          <cell r="AN534">
            <v>0</v>
          </cell>
          <cell r="AQ534">
            <v>0</v>
          </cell>
          <cell r="AS534">
            <v>0</v>
          </cell>
          <cell r="BM534" t="str">
            <v>Industrial</v>
          </cell>
          <cell r="BN534">
            <v>0</v>
          </cell>
          <cell r="BR534">
            <v>0.50657276995305156</v>
          </cell>
          <cell r="FQ534" t="str">
            <v>Need Displacement</v>
          </cell>
          <cell r="IB534" t="str">
            <v>Y</v>
          </cell>
          <cell r="IC534" t="str">
            <v>Y</v>
          </cell>
          <cell r="ID534">
            <v>0</v>
          </cell>
          <cell r="IE534">
            <v>0</v>
          </cell>
          <cell r="IP534" t="str">
            <v>Renter</v>
          </cell>
          <cell r="IR534" t="str">
            <v>Home/Small-scale Industry</v>
          </cell>
          <cell r="IT534" t="str">
            <v>x</v>
          </cell>
          <cell r="IU534">
            <v>0</v>
          </cell>
        </row>
        <row r="535">
          <cell r="A535" t="str">
            <v>isf</v>
          </cell>
          <cell r="E535" t="str">
            <v>493 C. Namie St., Brgy.25 Caloocan City</v>
          </cell>
          <cell r="S535" t="str">
            <v>Male</v>
          </cell>
          <cell r="AK535">
            <v>0</v>
          </cell>
          <cell r="AN535">
            <v>0</v>
          </cell>
          <cell r="AQ535">
            <v>0</v>
          </cell>
          <cell r="AS535">
            <v>0</v>
          </cell>
          <cell r="BM535" t="str">
            <v>Residential</v>
          </cell>
          <cell r="BN535">
            <v>0</v>
          </cell>
          <cell r="BR535">
            <v>0.50657276995305156</v>
          </cell>
          <cell r="FQ535" t="str">
            <v>Need Displacement</v>
          </cell>
          <cell r="IB535" t="str">
            <v>Y</v>
          </cell>
          <cell r="IC535" t="str">
            <v>Y</v>
          </cell>
          <cell r="ID535">
            <v>0</v>
          </cell>
          <cell r="IE535">
            <v>1</v>
          </cell>
          <cell r="IP535">
            <v>0</v>
          </cell>
          <cell r="IR535">
            <v>0</v>
          </cell>
          <cell r="IT535">
            <v>0</v>
          </cell>
          <cell r="IU535">
            <v>0</v>
          </cell>
        </row>
        <row r="536">
          <cell r="A536" t="str">
            <v>legal</v>
          </cell>
          <cell r="E536" t="str">
            <v>494 C. Namie St., Brgy.25 Caloocan City</v>
          </cell>
          <cell r="S536" t="str">
            <v>Male</v>
          </cell>
          <cell r="AK536">
            <v>0</v>
          </cell>
          <cell r="AN536">
            <v>1</v>
          </cell>
          <cell r="AQ536" t="str">
            <v>CMP</v>
          </cell>
          <cell r="AS536" t="str">
            <v>Y</v>
          </cell>
          <cell r="BM536" t="str">
            <v>Residential</v>
          </cell>
          <cell r="BN536">
            <v>0</v>
          </cell>
          <cell r="BR536">
            <v>1</v>
          </cell>
          <cell r="FQ536" t="str">
            <v>Need Displacement</v>
          </cell>
          <cell r="IB536">
            <v>0</v>
          </cell>
          <cell r="IC536">
            <v>0</v>
          </cell>
          <cell r="ID536">
            <v>0</v>
          </cell>
          <cell r="IE536">
            <v>0</v>
          </cell>
          <cell r="IP536">
            <v>0</v>
          </cell>
          <cell r="IR536">
            <v>0</v>
          </cell>
          <cell r="IT536">
            <v>0</v>
          </cell>
          <cell r="IU536">
            <v>0</v>
          </cell>
        </row>
        <row r="537">
          <cell r="A537" t="str">
            <v>legal</v>
          </cell>
          <cell r="E537" t="str">
            <v>491 C. Namie St., Brgy.25 Caloocan City</v>
          </cell>
          <cell r="S537" t="str">
            <v>Male</v>
          </cell>
          <cell r="AK537" t="str">
            <v>ISF</v>
          </cell>
          <cell r="AN537">
            <v>0.1325607687959299</v>
          </cell>
          <cell r="AQ537" t="str">
            <v>CMP</v>
          </cell>
          <cell r="AS537">
            <v>0</v>
          </cell>
          <cell r="BM537" t="str">
            <v>Residential</v>
          </cell>
          <cell r="BN537">
            <v>0</v>
          </cell>
          <cell r="BR537">
            <v>0.1325607687959299</v>
          </cell>
          <cell r="FQ537" t="str">
            <v>Need Displacement</v>
          </cell>
          <cell r="IB537">
            <v>0</v>
          </cell>
          <cell r="IC537">
            <v>0</v>
          </cell>
          <cell r="ID537">
            <v>0</v>
          </cell>
          <cell r="IE537">
            <v>0</v>
          </cell>
          <cell r="IP537" t="str">
            <v>Owner</v>
          </cell>
          <cell r="IR537" t="str">
            <v>Home/Small-scale Industry</v>
          </cell>
          <cell r="IT537">
            <v>0</v>
          </cell>
          <cell r="IU537" t="str">
            <v>x</v>
          </cell>
        </row>
        <row r="538">
          <cell r="A538" t="str">
            <v>legal</v>
          </cell>
          <cell r="E538" t="str">
            <v>492 C. Namie St., Brgy.25 Caloocan City</v>
          </cell>
          <cell r="S538" t="str">
            <v>Female</v>
          </cell>
          <cell r="AK538" t="str">
            <v>ISF</v>
          </cell>
          <cell r="AN538">
            <v>1</v>
          </cell>
          <cell r="AQ538" t="str">
            <v>CMP</v>
          </cell>
          <cell r="AS538" t="str">
            <v>Y</v>
          </cell>
          <cell r="BM538" t="str">
            <v>Residential</v>
          </cell>
          <cell r="BN538">
            <v>0</v>
          </cell>
          <cell r="BR538">
            <v>1</v>
          </cell>
          <cell r="FQ538" t="str">
            <v>Need Displacement</v>
          </cell>
          <cell r="IB538">
            <v>0</v>
          </cell>
          <cell r="IC538" t="str">
            <v>Y</v>
          </cell>
          <cell r="ID538">
            <v>0</v>
          </cell>
          <cell r="IE538">
            <v>0</v>
          </cell>
          <cell r="IP538">
            <v>0</v>
          </cell>
          <cell r="IR538">
            <v>0</v>
          </cell>
          <cell r="IT538">
            <v>0</v>
          </cell>
          <cell r="IU538">
            <v>0</v>
          </cell>
        </row>
        <row r="539">
          <cell r="A539" t="str">
            <v>legal</v>
          </cell>
          <cell r="E539" t="str">
            <v>51-A C. Namie St., Brgy.25 Caloocan City</v>
          </cell>
          <cell r="S539" t="str">
            <v>Male</v>
          </cell>
          <cell r="AK539">
            <v>0</v>
          </cell>
          <cell r="AN539">
            <v>1</v>
          </cell>
          <cell r="AQ539" t="str">
            <v>CMP</v>
          </cell>
          <cell r="AS539" t="str">
            <v>Y</v>
          </cell>
          <cell r="BM539" t="str">
            <v>Residential</v>
          </cell>
          <cell r="BN539">
            <v>0</v>
          </cell>
          <cell r="BR539">
            <v>0.22857142857142856</v>
          </cell>
          <cell r="FQ539" t="str">
            <v>Need Displacement</v>
          </cell>
          <cell r="IB539">
            <v>0</v>
          </cell>
          <cell r="IC539">
            <v>0</v>
          </cell>
          <cell r="ID539">
            <v>0</v>
          </cell>
          <cell r="IE539">
            <v>0</v>
          </cell>
          <cell r="IP539">
            <v>0</v>
          </cell>
          <cell r="IR539">
            <v>0</v>
          </cell>
          <cell r="IT539">
            <v>0</v>
          </cell>
          <cell r="IU539">
            <v>0</v>
          </cell>
        </row>
        <row r="540">
          <cell r="A540" t="str">
            <v>isf</v>
          </cell>
          <cell r="E540" t="str">
            <v>51-A C. Namie St., Brgy.25 Caloocan City</v>
          </cell>
          <cell r="S540" t="str">
            <v>Male</v>
          </cell>
          <cell r="AK540" t="str">
            <v>ISF</v>
          </cell>
          <cell r="AN540">
            <v>0.22857142857142856</v>
          </cell>
          <cell r="AQ540">
            <v>0</v>
          </cell>
          <cell r="AS540">
            <v>0</v>
          </cell>
          <cell r="BM540" t="str">
            <v>Residential</v>
          </cell>
          <cell r="BN540">
            <v>1</v>
          </cell>
          <cell r="BR540">
            <v>0.22857142857142856</v>
          </cell>
          <cell r="FQ540" t="str">
            <v>Need Displacement</v>
          </cell>
          <cell r="IB540" t="str">
            <v>Y</v>
          </cell>
          <cell r="IC540">
            <v>0</v>
          </cell>
          <cell r="ID540">
            <v>1</v>
          </cell>
          <cell r="IE540">
            <v>0</v>
          </cell>
          <cell r="IP540">
            <v>0</v>
          </cell>
          <cell r="IR540">
            <v>0</v>
          </cell>
          <cell r="IT540">
            <v>0</v>
          </cell>
          <cell r="IU540">
            <v>0</v>
          </cell>
        </row>
        <row r="541">
          <cell r="A541" t="str">
            <v>isf</v>
          </cell>
          <cell r="E541" t="str">
            <v>471 C. Namie St., Brgy.25 Caloocan City</v>
          </cell>
          <cell r="S541" t="str">
            <v>Male</v>
          </cell>
          <cell r="AK541">
            <v>0</v>
          </cell>
          <cell r="AN541">
            <v>0</v>
          </cell>
          <cell r="AQ541">
            <v>0</v>
          </cell>
          <cell r="AS541">
            <v>0</v>
          </cell>
          <cell r="BM541" t="str">
            <v>Residential</v>
          </cell>
          <cell r="BN541">
            <v>1</v>
          </cell>
          <cell r="BR541">
            <v>0</v>
          </cell>
          <cell r="FQ541">
            <v>0</v>
          </cell>
          <cell r="IB541" t="str">
            <v>Y</v>
          </cell>
          <cell r="IC541">
            <v>0</v>
          </cell>
          <cell r="ID541">
            <v>0</v>
          </cell>
          <cell r="IE541">
            <v>0</v>
          </cell>
          <cell r="IP541">
            <v>0</v>
          </cell>
          <cell r="IR541">
            <v>0</v>
          </cell>
          <cell r="IT541">
            <v>0</v>
          </cell>
          <cell r="IU541">
            <v>0</v>
          </cell>
        </row>
        <row r="542">
          <cell r="A542" t="str">
            <v>legal</v>
          </cell>
          <cell r="E542" t="str">
            <v>52 C. Namie St., Brgy.25 Caloocan City</v>
          </cell>
          <cell r="S542" t="str">
            <v>Female</v>
          </cell>
          <cell r="AK542" t="str">
            <v>ISF</v>
          </cell>
          <cell r="AN542">
            <v>0.4</v>
          </cell>
          <cell r="AQ542" t="str">
            <v>CMP</v>
          </cell>
          <cell r="AS542" t="str">
            <v>Y</v>
          </cell>
          <cell r="BM542" t="str">
            <v>Residential/Commercial</v>
          </cell>
          <cell r="BN542">
            <v>3</v>
          </cell>
          <cell r="BR542">
            <v>0.4</v>
          </cell>
          <cell r="FQ542" t="str">
            <v>Can Stay</v>
          </cell>
          <cell r="IB542" t="str">
            <v>Y</v>
          </cell>
          <cell r="IC542" t="str">
            <v>Y</v>
          </cell>
          <cell r="ID542">
            <v>1</v>
          </cell>
          <cell r="IE542">
            <v>1</v>
          </cell>
          <cell r="IP542" t="str">
            <v>Owner</v>
          </cell>
          <cell r="IR542" t="str">
            <v>Trading/retailing</v>
          </cell>
          <cell r="IT542">
            <v>0</v>
          </cell>
          <cell r="IU542" t="str">
            <v>x</v>
          </cell>
        </row>
        <row r="543">
          <cell r="A543" t="str">
            <v>isf</v>
          </cell>
          <cell r="E543" t="str">
            <v>467 C. Namie St., Brgy.25 Caloocan City</v>
          </cell>
          <cell r="S543" t="str">
            <v>Male</v>
          </cell>
          <cell r="AK543">
            <v>0</v>
          </cell>
          <cell r="AN543">
            <v>0</v>
          </cell>
          <cell r="AQ543">
            <v>0</v>
          </cell>
          <cell r="AS543">
            <v>0</v>
          </cell>
          <cell r="BM543" t="str">
            <v>Industrial</v>
          </cell>
          <cell r="BN543">
            <v>0</v>
          </cell>
          <cell r="BR543">
            <v>0</v>
          </cell>
          <cell r="FQ543">
            <v>0</v>
          </cell>
          <cell r="IB543" t="str">
            <v>Y</v>
          </cell>
          <cell r="IC543" t="str">
            <v>Y</v>
          </cell>
          <cell r="ID543">
            <v>0</v>
          </cell>
          <cell r="IE543">
            <v>0</v>
          </cell>
          <cell r="IP543" t="str">
            <v>Owner</v>
          </cell>
          <cell r="IR543" t="str">
            <v>Home/Small-scale Industry</v>
          </cell>
          <cell r="IT543">
            <v>0</v>
          </cell>
          <cell r="IU543" t="str">
            <v>x</v>
          </cell>
        </row>
        <row r="544">
          <cell r="A544" t="str">
            <v>isf</v>
          </cell>
          <cell r="E544" t="str">
            <v>467 C. Namie St., Brgy.25 Caloocan City</v>
          </cell>
          <cell r="S544" t="str">
            <v>Male</v>
          </cell>
          <cell r="AK544" t="str">
            <v>ISF</v>
          </cell>
          <cell r="AN544">
            <v>0</v>
          </cell>
          <cell r="AQ544">
            <v>0</v>
          </cell>
          <cell r="AS544">
            <v>0</v>
          </cell>
          <cell r="BM544" t="str">
            <v>Residential/Industrial</v>
          </cell>
          <cell r="BN544">
            <v>0</v>
          </cell>
          <cell r="BR544">
            <v>0</v>
          </cell>
          <cell r="FQ544" t="str">
            <v>Need Displacement</v>
          </cell>
          <cell r="IB544" t="str">
            <v>Y</v>
          </cell>
          <cell r="IC544" t="str">
            <v>Y</v>
          </cell>
          <cell r="ID544">
            <v>0</v>
          </cell>
          <cell r="IE544">
            <v>0</v>
          </cell>
          <cell r="IP544">
            <v>0</v>
          </cell>
          <cell r="IR544">
            <v>0</v>
          </cell>
          <cell r="IT544">
            <v>0</v>
          </cell>
          <cell r="IU544">
            <v>0</v>
          </cell>
        </row>
        <row r="545">
          <cell r="A545" t="str">
            <v>legal</v>
          </cell>
          <cell r="E545" t="str">
            <v>100 C. Namie St., Brgy.25 Caloocan City</v>
          </cell>
          <cell r="S545" t="str">
            <v>Male</v>
          </cell>
          <cell r="AK545">
            <v>0</v>
          </cell>
          <cell r="AN545">
            <v>0.08</v>
          </cell>
          <cell r="AQ545" t="str">
            <v>CMP</v>
          </cell>
          <cell r="AS545" t="str">
            <v>Y</v>
          </cell>
          <cell r="BM545" t="str">
            <v>Residential/Agricultural</v>
          </cell>
          <cell r="BN545">
            <v>2</v>
          </cell>
          <cell r="BR545">
            <v>0.08</v>
          </cell>
          <cell r="FQ545" t="str">
            <v>Can Stay (ACCESS BLOCK)</v>
          </cell>
          <cell r="IB545">
            <v>0</v>
          </cell>
          <cell r="IC545">
            <v>0</v>
          </cell>
          <cell r="ID545">
            <v>1</v>
          </cell>
          <cell r="IE545">
            <v>1</v>
          </cell>
          <cell r="IP545" t="str">
            <v>Owner</v>
          </cell>
          <cell r="IR545" t="str">
            <v>Agri-business</v>
          </cell>
          <cell r="IT545">
            <v>0</v>
          </cell>
          <cell r="IU545">
            <v>0</v>
          </cell>
        </row>
        <row r="546">
          <cell r="A546" t="str">
            <v>isf</v>
          </cell>
          <cell r="E546" t="str">
            <v>100 C. Namie St., Brgy.25 Caloocan City</v>
          </cell>
          <cell r="S546" t="str">
            <v>Male</v>
          </cell>
          <cell r="AK546">
            <v>0</v>
          </cell>
          <cell r="AN546">
            <v>0</v>
          </cell>
          <cell r="AQ546">
            <v>0</v>
          </cell>
          <cell r="AS546">
            <v>0</v>
          </cell>
          <cell r="BM546" t="str">
            <v>Residential/Commercial</v>
          </cell>
          <cell r="BN546">
            <v>0</v>
          </cell>
          <cell r="BR546">
            <v>0</v>
          </cell>
          <cell r="FQ546">
            <v>0</v>
          </cell>
          <cell r="IB546" t="str">
            <v>Y</v>
          </cell>
          <cell r="IC546">
            <v>0</v>
          </cell>
          <cell r="ID546">
            <v>0</v>
          </cell>
          <cell r="IE546">
            <v>0</v>
          </cell>
          <cell r="IP546">
            <v>0</v>
          </cell>
          <cell r="IR546">
            <v>0</v>
          </cell>
          <cell r="IT546">
            <v>0</v>
          </cell>
          <cell r="IU546">
            <v>0</v>
          </cell>
        </row>
        <row r="547">
          <cell r="A547" t="str">
            <v>isf</v>
          </cell>
          <cell r="E547" t="str">
            <v>100 C. Namie St., Brgy.25 Caloocan City</v>
          </cell>
          <cell r="S547" t="str">
            <v>Female</v>
          </cell>
          <cell r="AK547">
            <v>0</v>
          </cell>
          <cell r="AN547">
            <v>0</v>
          </cell>
          <cell r="AQ547">
            <v>0</v>
          </cell>
          <cell r="AS547">
            <v>0</v>
          </cell>
          <cell r="BM547" t="str">
            <v>Residential</v>
          </cell>
          <cell r="BN547">
            <v>0</v>
          </cell>
          <cell r="BR547">
            <v>0</v>
          </cell>
          <cell r="FQ547">
            <v>0</v>
          </cell>
          <cell r="IB547">
            <v>0</v>
          </cell>
          <cell r="IC547">
            <v>0</v>
          </cell>
          <cell r="ID547">
            <v>1</v>
          </cell>
          <cell r="IE547">
            <v>0</v>
          </cell>
          <cell r="IP547">
            <v>0</v>
          </cell>
          <cell r="IR547">
            <v>0</v>
          </cell>
          <cell r="IT547">
            <v>0</v>
          </cell>
          <cell r="IU547">
            <v>0</v>
          </cell>
        </row>
        <row r="548">
          <cell r="A548" t="str">
            <v>isf</v>
          </cell>
          <cell r="E548" t="str">
            <v>100 C. Namie St., Brgy.25 Caloocan City</v>
          </cell>
          <cell r="S548" t="str">
            <v>Male</v>
          </cell>
          <cell r="AK548">
            <v>0</v>
          </cell>
          <cell r="AN548">
            <v>0</v>
          </cell>
          <cell r="AQ548">
            <v>0</v>
          </cell>
          <cell r="AS548">
            <v>0</v>
          </cell>
          <cell r="BM548" t="str">
            <v>Residential/Commercial</v>
          </cell>
          <cell r="BN548">
            <v>1</v>
          </cell>
          <cell r="BR548">
            <v>0</v>
          </cell>
          <cell r="FQ548">
            <v>0</v>
          </cell>
          <cell r="IB548" t="str">
            <v>Y</v>
          </cell>
          <cell r="IC548">
            <v>0</v>
          </cell>
          <cell r="ID548">
            <v>0</v>
          </cell>
          <cell r="IE548">
            <v>0</v>
          </cell>
          <cell r="IP548" t="str">
            <v>Owner</v>
          </cell>
          <cell r="IR548" t="str">
            <v>Home/Small-scale Industry</v>
          </cell>
          <cell r="IT548">
            <v>0</v>
          </cell>
          <cell r="IU548" t="str">
            <v>x</v>
          </cell>
        </row>
        <row r="549">
          <cell r="A549">
            <v>0</v>
          </cell>
          <cell r="E549" t="str">
            <v>BRGY.25, Caloocan City</v>
          </cell>
          <cell r="S549">
            <v>0</v>
          </cell>
          <cell r="AK549">
            <v>0</v>
          </cell>
          <cell r="AN549">
            <v>0</v>
          </cell>
          <cell r="AQ549">
            <v>0</v>
          </cell>
          <cell r="AS549">
            <v>0</v>
          </cell>
          <cell r="BM549" t="str">
            <v>Industrial</v>
          </cell>
          <cell r="BN549">
            <v>0</v>
          </cell>
          <cell r="BR549">
            <v>0</v>
          </cell>
          <cell r="FQ549">
            <v>0</v>
          </cell>
          <cell r="IB549">
            <v>0</v>
          </cell>
          <cell r="IC549">
            <v>0</v>
          </cell>
          <cell r="ID549">
            <v>0</v>
          </cell>
          <cell r="IE549">
            <v>0</v>
          </cell>
          <cell r="IP549" t="str">
            <v>Owner</v>
          </cell>
          <cell r="IR549" t="str">
            <v>Manufacturing</v>
          </cell>
          <cell r="IT549">
            <v>0</v>
          </cell>
          <cell r="IU549">
            <v>0</v>
          </cell>
        </row>
        <row r="550">
          <cell r="A550" t="str">
            <v>legal</v>
          </cell>
          <cell r="E550" t="str">
            <v>443 C. Namie St., Brgy.25 Caloocan City</v>
          </cell>
          <cell r="S550" t="str">
            <v>Male</v>
          </cell>
          <cell r="AK550" t="str">
            <v>ISF</v>
          </cell>
          <cell r="AN550">
            <v>0.36363636363636365</v>
          </cell>
          <cell r="AQ550" t="str">
            <v>CMP</v>
          </cell>
          <cell r="AS550" t="str">
            <v>Y</v>
          </cell>
          <cell r="BM550" t="str">
            <v>Residential/Industrial</v>
          </cell>
          <cell r="BN550">
            <v>1</v>
          </cell>
          <cell r="BR550">
            <v>0.36363636363636365</v>
          </cell>
          <cell r="FQ550" t="str">
            <v>Need Displacement</v>
          </cell>
          <cell r="IB550">
            <v>0</v>
          </cell>
          <cell r="IC550">
            <v>0</v>
          </cell>
          <cell r="ID550">
            <v>0</v>
          </cell>
          <cell r="IE550">
            <v>0</v>
          </cell>
          <cell r="IP550">
            <v>0</v>
          </cell>
          <cell r="IR550" t="str">
            <v>Land Renting</v>
          </cell>
          <cell r="IT550">
            <v>0</v>
          </cell>
          <cell r="IU550" t="str">
            <v>x</v>
          </cell>
        </row>
        <row r="551">
          <cell r="A551" t="str">
            <v>isf</v>
          </cell>
          <cell r="E551" t="str">
            <v>445 C. Namie St., Brgy.25 Caloocan City</v>
          </cell>
          <cell r="S551" t="str">
            <v>Male</v>
          </cell>
          <cell r="AK551" t="str">
            <v>ISF</v>
          </cell>
          <cell r="AN551">
            <v>1</v>
          </cell>
          <cell r="AQ551">
            <v>0</v>
          </cell>
          <cell r="AS551">
            <v>0</v>
          </cell>
          <cell r="BM551" t="str">
            <v>Residential</v>
          </cell>
          <cell r="BN551">
            <v>0</v>
          </cell>
          <cell r="BR551">
            <v>1</v>
          </cell>
          <cell r="FQ551" t="str">
            <v>Need Displacement</v>
          </cell>
          <cell r="IB551">
            <v>0</v>
          </cell>
          <cell r="IC551">
            <v>0</v>
          </cell>
          <cell r="ID551">
            <v>1</v>
          </cell>
          <cell r="IE551">
            <v>0</v>
          </cell>
          <cell r="IP551" t="str">
            <v>Owner</v>
          </cell>
          <cell r="IR551" t="str">
            <v>Servicing Contracting</v>
          </cell>
          <cell r="IT551">
            <v>0</v>
          </cell>
          <cell r="IU551" t="str">
            <v>x</v>
          </cell>
        </row>
        <row r="552">
          <cell r="A552" t="str">
            <v>Legal</v>
          </cell>
          <cell r="E552" t="str">
            <v>443-C C. Namie St., Brgy.25 Caloocan City</v>
          </cell>
          <cell r="S552" t="str">
            <v>Male</v>
          </cell>
          <cell r="AK552" t="str">
            <v>ISF</v>
          </cell>
          <cell r="AN552">
            <v>5.0505050505050504E-2</v>
          </cell>
          <cell r="AQ552">
            <v>0</v>
          </cell>
          <cell r="AS552">
            <v>0</v>
          </cell>
          <cell r="BM552" t="str">
            <v>Residential</v>
          </cell>
          <cell r="BN552">
            <v>0</v>
          </cell>
          <cell r="BR552">
            <v>5.08130081300813E-2</v>
          </cell>
          <cell r="FQ552" t="str">
            <v>Can Stay</v>
          </cell>
          <cell r="IB552">
            <v>0</v>
          </cell>
          <cell r="IC552">
            <v>0</v>
          </cell>
          <cell r="ID552">
            <v>1</v>
          </cell>
          <cell r="IE552">
            <v>1</v>
          </cell>
          <cell r="IP552">
            <v>0</v>
          </cell>
          <cell r="IR552">
            <v>0</v>
          </cell>
          <cell r="IT552">
            <v>0</v>
          </cell>
          <cell r="IU552">
            <v>0</v>
          </cell>
        </row>
        <row r="553">
          <cell r="A553" t="str">
            <v>isf</v>
          </cell>
          <cell r="E553" t="str">
            <v>443 C. Namie St., Brgy.25 Caloocan City</v>
          </cell>
          <cell r="S553" t="str">
            <v>Male</v>
          </cell>
          <cell r="AK553">
            <v>0</v>
          </cell>
          <cell r="AN553">
            <v>0</v>
          </cell>
          <cell r="AQ553">
            <v>0</v>
          </cell>
          <cell r="AS553">
            <v>0</v>
          </cell>
          <cell r="BM553" t="str">
            <v>Residential/Commercial</v>
          </cell>
          <cell r="BN553">
            <v>1</v>
          </cell>
          <cell r="BR553">
            <v>0</v>
          </cell>
          <cell r="FQ553">
            <v>0</v>
          </cell>
          <cell r="IB553">
            <v>0</v>
          </cell>
          <cell r="IC553" t="str">
            <v>Y</v>
          </cell>
          <cell r="ID553">
            <v>0</v>
          </cell>
          <cell r="IE553">
            <v>0</v>
          </cell>
          <cell r="IP553">
            <v>0</v>
          </cell>
          <cell r="IR553">
            <v>0</v>
          </cell>
          <cell r="IT553">
            <v>0</v>
          </cell>
          <cell r="IU553">
            <v>0</v>
          </cell>
        </row>
        <row r="554">
          <cell r="A554" t="str">
            <v>isf</v>
          </cell>
          <cell r="E554" t="str">
            <v>443 C. Namie St., Brgy.25 Caloocan City</v>
          </cell>
          <cell r="S554" t="str">
            <v>Single</v>
          </cell>
          <cell r="AK554">
            <v>0</v>
          </cell>
          <cell r="AN554">
            <v>0</v>
          </cell>
          <cell r="AQ554">
            <v>0</v>
          </cell>
          <cell r="AS554">
            <v>0</v>
          </cell>
          <cell r="BM554" t="str">
            <v>Residential</v>
          </cell>
          <cell r="BN554">
            <v>1</v>
          </cell>
          <cell r="BR554">
            <v>0</v>
          </cell>
          <cell r="FQ554">
            <v>0</v>
          </cell>
          <cell r="IB554" t="str">
            <v>Y</v>
          </cell>
          <cell r="IC554">
            <v>0</v>
          </cell>
          <cell r="ID554">
            <v>0</v>
          </cell>
          <cell r="IE554">
            <v>0</v>
          </cell>
          <cell r="IP554">
            <v>0</v>
          </cell>
          <cell r="IR554">
            <v>0</v>
          </cell>
          <cell r="IT554">
            <v>0</v>
          </cell>
          <cell r="IU554">
            <v>0</v>
          </cell>
        </row>
        <row r="555">
          <cell r="A555" t="str">
            <v>isf</v>
          </cell>
          <cell r="E555" t="str">
            <v>443 C. Namie St., Brgy.25 Caloocan City</v>
          </cell>
          <cell r="S555" t="str">
            <v>Male</v>
          </cell>
          <cell r="AK555">
            <v>0</v>
          </cell>
          <cell r="AN555">
            <v>5.0505050505050504E-2</v>
          </cell>
          <cell r="AQ555">
            <v>0</v>
          </cell>
          <cell r="AS555">
            <v>0</v>
          </cell>
          <cell r="BM555" t="str">
            <v>Residential</v>
          </cell>
          <cell r="BN555">
            <v>0</v>
          </cell>
          <cell r="BR555">
            <v>0</v>
          </cell>
          <cell r="FQ555" t="str">
            <v>Can Stay (ACCESS BLOCK)</v>
          </cell>
          <cell r="IB555" t="str">
            <v>Y</v>
          </cell>
          <cell r="IC555">
            <v>0</v>
          </cell>
          <cell r="ID555">
            <v>0</v>
          </cell>
          <cell r="IE555">
            <v>0</v>
          </cell>
          <cell r="IP555">
            <v>0</v>
          </cell>
          <cell r="IR555">
            <v>0</v>
          </cell>
          <cell r="IT555">
            <v>0</v>
          </cell>
          <cell r="IU555">
            <v>0</v>
          </cell>
        </row>
        <row r="556">
          <cell r="A556" t="str">
            <v>isf</v>
          </cell>
          <cell r="E556" t="str">
            <v>443 C. Namie St., Brgy.25 Caloocan City</v>
          </cell>
          <cell r="S556" t="str">
            <v>Male</v>
          </cell>
          <cell r="AK556">
            <v>0</v>
          </cell>
          <cell r="AN556">
            <v>8.7847730600292828E-2</v>
          </cell>
          <cell r="AQ556">
            <v>0</v>
          </cell>
          <cell r="AS556">
            <v>0</v>
          </cell>
          <cell r="BM556" t="str">
            <v>Residential</v>
          </cell>
          <cell r="BN556">
            <v>0</v>
          </cell>
          <cell r="BR556">
            <v>0</v>
          </cell>
          <cell r="FQ556" t="str">
            <v>Can Stay (ACCESS BLOCK)</v>
          </cell>
          <cell r="IB556">
            <v>0</v>
          </cell>
          <cell r="IC556">
            <v>0</v>
          </cell>
          <cell r="ID556">
            <v>0</v>
          </cell>
          <cell r="IE556">
            <v>1</v>
          </cell>
          <cell r="IP556">
            <v>0</v>
          </cell>
          <cell r="IR556">
            <v>0</v>
          </cell>
          <cell r="IT556">
            <v>0</v>
          </cell>
          <cell r="IU556">
            <v>0</v>
          </cell>
        </row>
        <row r="557">
          <cell r="A557" t="str">
            <v>legal</v>
          </cell>
          <cell r="E557" t="str">
            <v>443 C. Namie St., Brgy.25 Caloocan City</v>
          </cell>
          <cell r="S557" t="str">
            <v>Male</v>
          </cell>
          <cell r="AK557">
            <v>0</v>
          </cell>
          <cell r="AN557">
            <v>0.23636363636363633</v>
          </cell>
          <cell r="AQ557" t="str">
            <v>CMP</v>
          </cell>
          <cell r="AS557" t="str">
            <v>Y</v>
          </cell>
          <cell r="BM557" t="str">
            <v>Residential</v>
          </cell>
          <cell r="BN557">
            <v>1</v>
          </cell>
          <cell r="BR557">
            <v>0.23636363636363633</v>
          </cell>
          <cell r="FQ557" t="str">
            <v>Need Displacement</v>
          </cell>
          <cell r="IB557">
            <v>0</v>
          </cell>
          <cell r="IC557">
            <v>0</v>
          </cell>
          <cell r="ID557">
            <v>0</v>
          </cell>
          <cell r="IE557">
            <v>0</v>
          </cell>
          <cell r="IP557" t="str">
            <v>Owner</v>
          </cell>
          <cell r="IR557" t="str">
            <v>Home/Small-scale Industry</v>
          </cell>
          <cell r="IT557">
            <v>0</v>
          </cell>
          <cell r="IU557" t="str">
            <v>x</v>
          </cell>
        </row>
        <row r="558">
          <cell r="A558">
            <v>0</v>
          </cell>
          <cell r="E558" t="str">
            <v>443 C. Namie St., Brgy.25 Caloocan City</v>
          </cell>
          <cell r="S558" t="str">
            <v>Separated</v>
          </cell>
          <cell r="AK558">
            <v>0</v>
          </cell>
          <cell r="AN558">
            <v>0</v>
          </cell>
          <cell r="AQ558">
            <v>0</v>
          </cell>
          <cell r="AS558">
            <v>0</v>
          </cell>
          <cell r="BM558" t="str">
            <v>Residential</v>
          </cell>
          <cell r="BN558">
            <v>1</v>
          </cell>
          <cell r="BR558">
            <v>0</v>
          </cell>
          <cell r="FQ558">
            <v>0</v>
          </cell>
          <cell r="IB558" t="str">
            <v>Y</v>
          </cell>
          <cell r="IC558" t="str">
            <v>Y</v>
          </cell>
          <cell r="ID558">
            <v>0</v>
          </cell>
          <cell r="IE558">
            <v>0</v>
          </cell>
          <cell r="IP558">
            <v>0</v>
          </cell>
          <cell r="IR558">
            <v>0</v>
          </cell>
          <cell r="IT558">
            <v>0</v>
          </cell>
          <cell r="IU558">
            <v>0</v>
          </cell>
        </row>
        <row r="559">
          <cell r="A559">
            <v>0</v>
          </cell>
          <cell r="E559" t="str">
            <v>443 C. Namie St., 4th Ave. Brgy.25 Caloocan City</v>
          </cell>
          <cell r="S559" t="str">
            <v>Female</v>
          </cell>
          <cell r="AK559">
            <v>0</v>
          </cell>
          <cell r="AN559">
            <v>0</v>
          </cell>
          <cell r="AQ559">
            <v>0</v>
          </cell>
          <cell r="AS559">
            <v>0</v>
          </cell>
          <cell r="BM559" t="str">
            <v>Residential</v>
          </cell>
          <cell r="BN559">
            <v>1</v>
          </cell>
          <cell r="BR559">
            <v>0</v>
          </cell>
          <cell r="FQ559" t="str">
            <v>Need Displacement</v>
          </cell>
          <cell r="IB559" t="str">
            <v>Y</v>
          </cell>
          <cell r="IC559" t="str">
            <v>Y</v>
          </cell>
          <cell r="ID559">
            <v>0</v>
          </cell>
          <cell r="IE559">
            <v>0</v>
          </cell>
          <cell r="IP559">
            <v>0</v>
          </cell>
          <cell r="IR559">
            <v>0</v>
          </cell>
          <cell r="IT559">
            <v>0</v>
          </cell>
          <cell r="IU559">
            <v>0</v>
          </cell>
        </row>
        <row r="560">
          <cell r="A560">
            <v>0</v>
          </cell>
          <cell r="E560" t="str">
            <v>443 C. Namie St., Brgy.25 Caloocan City</v>
          </cell>
          <cell r="S560" t="str">
            <v>Male</v>
          </cell>
          <cell r="AK560">
            <v>0</v>
          </cell>
          <cell r="AN560">
            <v>0</v>
          </cell>
          <cell r="AQ560">
            <v>0</v>
          </cell>
          <cell r="AS560">
            <v>0</v>
          </cell>
          <cell r="BM560" t="str">
            <v>Residential</v>
          </cell>
          <cell r="BN560">
            <v>0</v>
          </cell>
          <cell r="BR560">
            <v>0</v>
          </cell>
          <cell r="FQ560">
            <v>0</v>
          </cell>
          <cell r="IB560">
            <v>0</v>
          </cell>
          <cell r="IC560">
            <v>0</v>
          </cell>
          <cell r="ID560">
            <v>0</v>
          </cell>
          <cell r="IE560">
            <v>0</v>
          </cell>
          <cell r="IP560">
            <v>0</v>
          </cell>
          <cell r="IR560">
            <v>0</v>
          </cell>
          <cell r="IT560">
            <v>0</v>
          </cell>
          <cell r="IU560">
            <v>0</v>
          </cell>
        </row>
        <row r="561">
          <cell r="A561">
            <v>0</v>
          </cell>
          <cell r="E561" t="str">
            <v>443 C. Namie St., Brgy.25 Caloocan City</v>
          </cell>
          <cell r="S561" t="str">
            <v>Male</v>
          </cell>
          <cell r="AK561">
            <v>0</v>
          </cell>
          <cell r="AN561">
            <v>0</v>
          </cell>
          <cell r="AQ561">
            <v>0</v>
          </cell>
          <cell r="AS561">
            <v>0</v>
          </cell>
          <cell r="BM561" t="str">
            <v>Residential</v>
          </cell>
          <cell r="BN561">
            <v>0</v>
          </cell>
          <cell r="BR561">
            <v>0</v>
          </cell>
          <cell r="FQ561">
            <v>0</v>
          </cell>
          <cell r="IB561" t="str">
            <v>Y</v>
          </cell>
          <cell r="IC561">
            <v>0</v>
          </cell>
          <cell r="ID561">
            <v>0</v>
          </cell>
          <cell r="IE561">
            <v>0</v>
          </cell>
          <cell r="IP561">
            <v>0</v>
          </cell>
          <cell r="IR561">
            <v>0</v>
          </cell>
          <cell r="IT561">
            <v>0</v>
          </cell>
          <cell r="IU561">
            <v>0</v>
          </cell>
        </row>
        <row r="562">
          <cell r="A562">
            <v>0</v>
          </cell>
          <cell r="E562" t="str">
            <v>443 C. Namie St., Brgy.25 Caloocan City</v>
          </cell>
          <cell r="S562" t="str">
            <v>Male</v>
          </cell>
          <cell r="AK562">
            <v>0</v>
          </cell>
          <cell r="AN562">
            <v>0</v>
          </cell>
          <cell r="AQ562">
            <v>0</v>
          </cell>
          <cell r="AS562">
            <v>0</v>
          </cell>
          <cell r="BM562" t="str">
            <v>Residential</v>
          </cell>
          <cell r="BN562">
            <v>0</v>
          </cell>
          <cell r="BR562">
            <v>0</v>
          </cell>
          <cell r="FQ562">
            <v>0</v>
          </cell>
          <cell r="IB562">
            <v>0</v>
          </cell>
          <cell r="IC562">
            <v>0</v>
          </cell>
          <cell r="ID562">
            <v>0</v>
          </cell>
          <cell r="IE562">
            <v>0</v>
          </cell>
          <cell r="IP562">
            <v>0</v>
          </cell>
          <cell r="IR562">
            <v>0</v>
          </cell>
          <cell r="IT562">
            <v>0</v>
          </cell>
          <cell r="IU562">
            <v>0</v>
          </cell>
        </row>
        <row r="563">
          <cell r="A563">
            <v>0</v>
          </cell>
          <cell r="E563" t="str">
            <v>443 C. Namie St., Brgy.25 Caloocan City</v>
          </cell>
          <cell r="S563" t="str">
            <v>Male</v>
          </cell>
          <cell r="AK563">
            <v>0</v>
          </cell>
          <cell r="AN563">
            <v>0</v>
          </cell>
          <cell r="AQ563">
            <v>0</v>
          </cell>
          <cell r="AS563">
            <v>0</v>
          </cell>
          <cell r="BM563" t="str">
            <v>Residential</v>
          </cell>
          <cell r="BN563">
            <v>0</v>
          </cell>
          <cell r="BR563">
            <v>0</v>
          </cell>
          <cell r="FQ563">
            <v>0</v>
          </cell>
          <cell r="IB563">
            <v>0</v>
          </cell>
          <cell r="IC563">
            <v>0</v>
          </cell>
          <cell r="ID563">
            <v>0</v>
          </cell>
          <cell r="IE563">
            <v>0</v>
          </cell>
          <cell r="IP563">
            <v>0</v>
          </cell>
          <cell r="IR563">
            <v>0</v>
          </cell>
          <cell r="IT563">
            <v>0</v>
          </cell>
          <cell r="IU563">
            <v>0</v>
          </cell>
        </row>
        <row r="564">
          <cell r="A564">
            <v>0</v>
          </cell>
          <cell r="E564" t="str">
            <v>443 C. Namie St., Brgy.25 Caloocan City</v>
          </cell>
          <cell r="S564" t="str">
            <v>Male</v>
          </cell>
          <cell r="AK564">
            <v>0</v>
          </cell>
          <cell r="AN564">
            <v>0</v>
          </cell>
          <cell r="AQ564">
            <v>0</v>
          </cell>
          <cell r="AS564">
            <v>0</v>
          </cell>
          <cell r="BM564" t="str">
            <v>Residential</v>
          </cell>
          <cell r="BN564">
            <v>0</v>
          </cell>
          <cell r="BR564">
            <v>0</v>
          </cell>
          <cell r="FQ564" t="str">
            <v>Need Displacement</v>
          </cell>
          <cell r="IB564" t="str">
            <v>Y</v>
          </cell>
          <cell r="IC564">
            <v>0</v>
          </cell>
          <cell r="ID564">
            <v>0</v>
          </cell>
          <cell r="IE564">
            <v>0</v>
          </cell>
          <cell r="IP564">
            <v>0</v>
          </cell>
          <cell r="IR564">
            <v>0</v>
          </cell>
          <cell r="IT564">
            <v>0</v>
          </cell>
          <cell r="IU564">
            <v>0</v>
          </cell>
        </row>
        <row r="565">
          <cell r="A565" t="str">
            <v>CBL</v>
          </cell>
          <cell r="E565" t="str">
            <v>BRGY.25, Caloocan City</v>
          </cell>
          <cell r="S565">
            <v>0</v>
          </cell>
          <cell r="AK565">
            <v>0</v>
          </cell>
          <cell r="AN565">
            <v>0</v>
          </cell>
          <cell r="AQ565">
            <v>0</v>
          </cell>
          <cell r="AS565">
            <v>0</v>
          </cell>
          <cell r="BM565" t="str">
            <v>Residential</v>
          </cell>
          <cell r="BN565">
            <v>0</v>
          </cell>
          <cell r="BR565">
            <v>0</v>
          </cell>
          <cell r="FQ565">
            <v>0</v>
          </cell>
          <cell r="IB565">
            <v>0</v>
          </cell>
          <cell r="IC565">
            <v>0</v>
          </cell>
          <cell r="ID565">
            <v>0</v>
          </cell>
          <cell r="IE565">
            <v>0</v>
          </cell>
          <cell r="IP565">
            <v>0</v>
          </cell>
          <cell r="IR565">
            <v>0</v>
          </cell>
          <cell r="IT565">
            <v>0</v>
          </cell>
          <cell r="IU565">
            <v>0</v>
          </cell>
        </row>
        <row r="566">
          <cell r="A566">
            <v>0</v>
          </cell>
          <cell r="E566" t="str">
            <v>443 C. Namie St., Brgy.25 Caloocan City</v>
          </cell>
          <cell r="S566" t="str">
            <v>Male</v>
          </cell>
          <cell r="AK566">
            <v>0</v>
          </cell>
          <cell r="AN566">
            <v>0</v>
          </cell>
          <cell r="AQ566">
            <v>0</v>
          </cell>
          <cell r="AS566">
            <v>0</v>
          </cell>
          <cell r="BM566" t="str">
            <v>Residential</v>
          </cell>
          <cell r="BN566">
            <v>0</v>
          </cell>
          <cell r="BR566">
            <v>0</v>
          </cell>
          <cell r="FQ566">
            <v>0</v>
          </cell>
          <cell r="IB566" t="str">
            <v>Y</v>
          </cell>
          <cell r="IC566" t="str">
            <v>Y</v>
          </cell>
          <cell r="ID566">
            <v>0</v>
          </cell>
          <cell r="IE566">
            <v>1</v>
          </cell>
          <cell r="IP566">
            <v>0</v>
          </cell>
          <cell r="IR566">
            <v>0</v>
          </cell>
          <cell r="IT566">
            <v>0</v>
          </cell>
          <cell r="IU566">
            <v>0</v>
          </cell>
        </row>
        <row r="567">
          <cell r="A567" t="str">
            <v>isf</v>
          </cell>
          <cell r="E567" t="str">
            <v>441 C. Namie St., Brgy.25 Caloocan City</v>
          </cell>
          <cell r="S567" t="str">
            <v>Male</v>
          </cell>
          <cell r="AK567" t="str">
            <v>ISF</v>
          </cell>
          <cell r="AN567">
            <v>0.47435897435897439</v>
          </cell>
          <cell r="AQ567">
            <v>0</v>
          </cell>
          <cell r="AS567">
            <v>0</v>
          </cell>
          <cell r="BM567" t="str">
            <v>Residential</v>
          </cell>
          <cell r="BN567">
            <v>0</v>
          </cell>
          <cell r="BR567">
            <v>0.30327868852459022</v>
          </cell>
          <cell r="FQ567" t="str">
            <v>Need Displacement</v>
          </cell>
          <cell r="IB567">
            <v>0</v>
          </cell>
          <cell r="IC567">
            <v>0</v>
          </cell>
          <cell r="ID567">
            <v>1</v>
          </cell>
          <cell r="IE567">
            <v>0</v>
          </cell>
          <cell r="IP567">
            <v>0</v>
          </cell>
          <cell r="IR567">
            <v>0</v>
          </cell>
          <cell r="IT567">
            <v>0</v>
          </cell>
          <cell r="IU567">
            <v>0</v>
          </cell>
        </row>
        <row r="568">
          <cell r="A568" t="str">
            <v>isf</v>
          </cell>
          <cell r="E568" t="str">
            <v>441 C. Namie St., Brgy.25 Caloocan City</v>
          </cell>
          <cell r="S568" t="str">
            <v>Male</v>
          </cell>
          <cell r="AK568" t="str">
            <v>ISF</v>
          </cell>
          <cell r="AN568">
            <v>1</v>
          </cell>
          <cell r="AQ568">
            <v>0</v>
          </cell>
          <cell r="AS568">
            <v>0</v>
          </cell>
          <cell r="BM568" t="str">
            <v>Residential</v>
          </cell>
          <cell r="BN568">
            <v>0</v>
          </cell>
          <cell r="BR568">
            <v>1</v>
          </cell>
          <cell r="FQ568" t="str">
            <v>Need Displacement</v>
          </cell>
          <cell r="IB568">
            <v>0</v>
          </cell>
          <cell r="IC568">
            <v>0</v>
          </cell>
          <cell r="ID568">
            <v>0</v>
          </cell>
          <cell r="IE568">
            <v>0</v>
          </cell>
          <cell r="IP568">
            <v>0</v>
          </cell>
          <cell r="IR568">
            <v>0</v>
          </cell>
          <cell r="IT568">
            <v>0</v>
          </cell>
          <cell r="IU568">
            <v>0</v>
          </cell>
        </row>
        <row r="569">
          <cell r="A569" t="str">
            <v>isf</v>
          </cell>
          <cell r="E569" t="str">
            <v>441 C. Namie St., Brgy.25 Caloocan City</v>
          </cell>
          <cell r="S569" t="str">
            <v>Female</v>
          </cell>
          <cell r="AK569" t="str">
            <v>ISF</v>
          </cell>
          <cell r="AN569">
            <v>1</v>
          </cell>
          <cell r="AQ569">
            <v>0</v>
          </cell>
          <cell r="AS569">
            <v>0</v>
          </cell>
          <cell r="BM569" t="str">
            <v>Residential</v>
          </cell>
          <cell r="BN569">
            <v>1</v>
          </cell>
          <cell r="BR569">
            <v>1</v>
          </cell>
          <cell r="FQ569" t="str">
            <v>Need Displacement</v>
          </cell>
          <cell r="IB569" t="str">
            <v>Y</v>
          </cell>
          <cell r="IC569" t="str">
            <v>Y</v>
          </cell>
          <cell r="ID569">
            <v>0</v>
          </cell>
          <cell r="IE569">
            <v>2</v>
          </cell>
          <cell r="IP569">
            <v>0</v>
          </cell>
          <cell r="IR569">
            <v>0</v>
          </cell>
          <cell r="IT569">
            <v>0</v>
          </cell>
          <cell r="IU569">
            <v>0</v>
          </cell>
        </row>
        <row r="570">
          <cell r="A570" t="str">
            <v>isf</v>
          </cell>
          <cell r="E570" t="str">
            <v>441 C. Namie St., Brgy.25 Caloocan City</v>
          </cell>
          <cell r="S570" t="str">
            <v>Male</v>
          </cell>
          <cell r="AK570" t="str">
            <v>ISF</v>
          </cell>
          <cell r="AN570">
            <v>0</v>
          </cell>
          <cell r="AQ570">
            <v>0</v>
          </cell>
          <cell r="AS570">
            <v>0</v>
          </cell>
          <cell r="BM570" t="str">
            <v>Residential</v>
          </cell>
          <cell r="BN570">
            <v>1</v>
          </cell>
          <cell r="BR570">
            <v>0.16071428571428573</v>
          </cell>
          <cell r="FQ570" t="str">
            <v>Need Displacement</v>
          </cell>
          <cell r="IB570">
            <v>0</v>
          </cell>
          <cell r="IC570">
            <v>0</v>
          </cell>
          <cell r="ID570">
            <v>0</v>
          </cell>
          <cell r="IE570">
            <v>0</v>
          </cell>
          <cell r="IP570">
            <v>0</v>
          </cell>
          <cell r="IR570">
            <v>0</v>
          </cell>
          <cell r="IT570">
            <v>0</v>
          </cell>
          <cell r="IU570">
            <v>0</v>
          </cell>
        </row>
        <row r="571">
          <cell r="A571" t="str">
            <v>legal</v>
          </cell>
          <cell r="E571" t="str">
            <v>441 A. Namie St., Brgy.25 Caloocan City</v>
          </cell>
          <cell r="S571" t="str">
            <v>Male</v>
          </cell>
          <cell r="AK571">
            <v>0</v>
          </cell>
          <cell r="AN571">
            <v>0</v>
          </cell>
          <cell r="AQ571" t="str">
            <v>CMP</v>
          </cell>
          <cell r="AS571" t="str">
            <v>Y</v>
          </cell>
          <cell r="BM571" t="str">
            <v>Residential/Industrial</v>
          </cell>
          <cell r="BN571">
            <v>1</v>
          </cell>
          <cell r="BR571">
            <v>1</v>
          </cell>
          <cell r="FQ571" t="str">
            <v>Need Displacement</v>
          </cell>
          <cell r="IB571">
            <v>0</v>
          </cell>
          <cell r="IC571">
            <v>0</v>
          </cell>
          <cell r="ID571">
            <v>0</v>
          </cell>
          <cell r="IE571">
            <v>0</v>
          </cell>
          <cell r="IP571" t="str">
            <v>Owner</v>
          </cell>
          <cell r="IR571" t="str">
            <v>Manufacturing</v>
          </cell>
          <cell r="IT571" t="str">
            <v>x</v>
          </cell>
          <cell r="IU571">
            <v>0</v>
          </cell>
        </row>
        <row r="572">
          <cell r="A572" t="str">
            <v>legal</v>
          </cell>
          <cell r="E572" t="str">
            <v>24 Interior.6 C. Namie St., Brgy.25 Caloocan City</v>
          </cell>
          <cell r="S572" t="str">
            <v>Male</v>
          </cell>
          <cell r="AK572" t="str">
            <v>ISF</v>
          </cell>
          <cell r="AN572">
            <v>0.3461538461538462</v>
          </cell>
          <cell r="AQ572" t="str">
            <v>CMP</v>
          </cell>
          <cell r="AS572" t="str">
            <v>Y</v>
          </cell>
          <cell r="BM572" t="str">
            <v>Residential</v>
          </cell>
          <cell r="BN572">
            <v>0</v>
          </cell>
          <cell r="BR572">
            <v>0.3461538461538462</v>
          </cell>
          <cell r="FQ572" t="str">
            <v>Need Displacement</v>
          </cell>
          <cell r="IB572">
            <v>0</v>
          </cell>
          <cell r="IC572">
            <v>0</v>
          </cell>
          <cell r="ID572">
            <v>1</v>
          </cell>
          <cell r="IE572">
            <v>0</v>
          </cell>
          <cell r="IP572">
            <v>0</v>
          </cell>
          <cell r="IR572">
            <v>0</v>
          </cell>
          <cell r="IT572">
            <v>0</v>
          </cell>
          <cell r="IU572">
            <v>0</v>
          </cell>
        </row>
        <row r="573">
          <cell r="A573" t="str">
            <v>legal</v>
          </cell>
          <cell r="E573" t="str">
            <v>21 C. Namie St., Brgy.25 Caloocan City</v>
          </cell>
          <cell r="S573">
            <v>0</v>
          </cell>
          <cell r="AK573">
            <v>0</v>
          </cell>
          <cell r="AN573">
            <v>0.28301886792452829</v>
          </cell>
          <cell r="AQ573" t="str">
            <v>CMP</v>
          </cell>
          <cell r="AS573" t="str">
            <v>Y</v>
          </cell>
          <cell r="BM573" t="str">
            <v>Residential</v>
          </cell>
          <cell r="BN573">
            <v>0</v>
          </cell>
          <cell r="BR573">
            <v>0.28301886792452829</v>
          </cell>
          <cell r="FQ573" t="str">
            <v>Need Displacement</v>
          </cell>
          <cell r="IB573">
            <v>0</v>
          </cell>
          <cell r="IC573">
            <v>0</v>
          </cell>
          <cell r="ID573">
            <v>0</v>
          </cell>
          <cell r="IE573">
            <v>0</v>
          </cell>
          <cell r="IP573">
            <v>0</v>
          </cell>
          <cell r="IR573">
            <v>0</v>
          </cell>
          <cell r="IT573">
            <v>0</v>
          </cell>
          <cell r="IU573">
            <v>0</v>
          </cell>
        </row>
        <row r="574">
          <cell r="A574" t="str">
            <v>legal</v>
          </cell>
          <cell r="E574" t="str">
            <v>25 C. Namie St., Brgy.25 Caloocan City</v>
          </cell>
          <cell r="S574" t="str">
            <v>Male</v>
          </cell>
          <cell r="AK574" t="str">
            <v>Caretaker</v>
          </cell>
          <cell r="AN574">
            <v>0.77272727272727271</v>
          </cell>
          <cell r="AQ574" t="str">
            <v>CMP</v>
          </cell>
          <cell r="AS574" t="str">
            <v>Y</v>
          </cell>
          <cell r="BM574" t="str">
            <v>Residential</v>
          </cell>
          <cell r="BN574">
            <v>1</v>
          </cell>
          <cell r="BR574">
            <v>0.77272727272727271</v>
          </cell>
          <cell r="FQ574" t="str">
            <v>Need Displacement</v>
          </cell>
          <cell r="IB574">
            <v>0</v>
          </cell>
          <cell r="IC574">
            <v>0</v>
          </cell>
          <cell r="ID574">
            <v>2</v>
          </cell>
          <cell r="IE574">
            <v>0</v>
          </cell>
          <cell r="IP574" t="str">
            <v>Owner</v>
          </cell>
          <cell r="IR574" t="str">
            <v>Trading/retailing</v>
          </cell>
          <cell r="IT574">
            <v>0</v>
          </cell>
          <cell r="IU574" t="str">
            <v>x</v>
          </cell>
        </row>
        <row r="575">
          <cell r="A575">
            <v>0</v>
          </cell>
          <cell r="E575" t="str">
            <v>25 C. Namie St., Brgy.25 Caloocan City</v>
          </cell>
          <cell r="S575">
            <v>0</v>
          </cell>
          <cell r="AK575">
            <v>0</v>
          </cell>
          <cell r="AN575">
            <v>0</v>
          </cell>
          <cell r="AQ575">
            <v>0</v>
          </cell>
          <cell r="AS575">
            <v>0</v>
          </cell>
          <cell r="BM575">
            <v>0</v>
          </cell>
          <cell r="BN575">
            <v>0</v>
          </cell>
          <cell r="BR575">
            <v>0</v>
          </cell>
          <cell r="FQ575">
            <v>0</v>
          </cell>
          <cell r="IB575">
            <v>0</v>
          </cell>
          <cell r="IC575">
            <v>0</v>
          </cell>
          <cell r="ID575">
            <v>0</v>
          </cell>
          <cell r="IE575">
            <v>0</v>
          </cell>
          <cell r="IP575">
            <v>0</v>
          </cell>
          <cell r="IR575">
            <v>0</v>
          </cell>
          <cell r="IT575">
            <v>0</v>
          </cell>
          <cell r="IU575">
            <v>0</v>
          </cell>
        </row>
        <row r="576">
          <cell r="A576" t="str">
            <v>isf; p (absentee)</v>
          </cell>
          <cell r="E576" t="str">
            <v>25 C. Namie St., Brgy.25 Caloocan City</v>
          </cell>
          <cell r="S576" t="str">
            <v>Male</v>
          </cell>
          <cell r="AK576" t="str">
            <v>ISF</v>
          </cell>
          <cell r="AN576">
            <v>0.17857142857142858</v>
          </cell>
          <cell r="AQ576">
            <v>0</v>
          </cell>
          <cell r="AS576">
            <v>0</v>
          </cell>
          <cell r="BM576" t="str">
            <v>Residential</v>
          </cell>
          <cell r="BN576" t="str">
            <v>Co-Owner</v>
          </cell>
          <cell r="BR576">
            <v>0.17857142857142858</v>
          </cell>
          <cell r="FQ576" t="str">
            <v>Can Stay</v>
          </cell>
          <cell r="IB576">
            <v>0</v>
          </cell>
          <cell r="IC576">
            <v>0</v>
          </cell>
          <cell r="ID576">
            <v>0</v>
          </cell>
          <cell r="IE576">
            <v>0</v>
          </cell>
          <cell r="IP576">
            <v>0</v>
          </cell>
          <cell r="IR576">
            <v>0</v>
          </cell>
          <cell r="IT576">
            <v>0</v>
          </cell>
          <cell r="IU576">
            <v>0</v>
          </cell>
        </row>
        <row r="577">
          <cell r="A577" t="str">
            <v>isf; p (absentee)</v>
          </cell>
          <cell r="E577" t="str">
            <v>25 C. Namie St., Brgy.25 Caloocan City</v>
          </cell>
          <cell r="S577" t="str">
            <v>Female</v>
          </cell>
          <cell r="AK577" t="str">
            <v>ISF</v>
          </cell>
          <cell r="AN577">
            <v>0.17857142857142858</v>
          </cell>
          <cell r="AQ577">
            <v>0</v>
          </cell>
          <cell r="AS577">
            <v>0</v>
          </cell>
          <cell r="BM577" t="str">
            <v>Residential</v>
          </cell>
          <cell r="BN577">
            <v>1</v>
          </cell>
          <cell r="BR577">
            <v>0.17857142857142858</v>
          </cell>
          <cell r="FQ577" t="str">
            <v>Can Stay</v>
          </cell>
          <cell r="IB577" t="str">
            <v>Y</v>
          </cell>
          <cell r="IC577" t="str">
            <v>Y</v>
          </cell>
          <cell r="ID577">
            <v>1</v>
          </cell>
          <cell r="IE577">
            <v>0</v>
          </cell>
          <cell r="IP577">
            <v>0</v>
          </cell>
          <cell r="IR577">
            <v>0</v>
          </cell>
          <cell r="IT577">
            <v>0</v>
          </cell>
          <cell r="IU577">
            <v>0</v>
          </cell>
        </row>
        <row r="578">
          <cell r="A578" t="str">
            <v>isf; p (absentee)</v>
          </cell>
          <cell r="E578" t="str">
            <v>25 C. Namie St., Brgy.25 Caloocan City</v>
          </cell>
          <cell r="S578" t="str">
            <v>Male</v>
          </cell>
          <cell r="AK578" t="str">
            <v>ISF</v>
          </cell>
          <cell r="AN578">
            <v>0.17857142857142858</v>
          </cell>
          <cell r="AQ578">
            <v>0</v>
          </cell>
          <cell r="AS578">
            <v>0</v>
          </cell>
          <cell r="BM578" t="str">
            <v>Residential</v>
          </cell>
          <cell r="BN578">
            <v>0</v>
          </cell>
          <cell r="BR578">
            <v>0.17857142857142858</v>
          </cell>
          <cell r="FQ578" t="str">
            <v>Can Stay</v>
          </cell>
          <cell r="IB578">
            <v>0</v>
          </cell>
          <cell r="IC578">
            <v>0</v>
          </cell>
          <cell r="ID578">
            <v>0</v>
          </cell>
          <cell r="IE578">
            <v>0</v>
          </cell>
          <cell r="IP578">
            <v>0</v>
          </cell>
          <cell r="IR578">
            <v>0</v>
          </cell>
          <cell r="IT578">
            <v>0</v>
          </cell>
          <cell r="IU578">
            <v>0</v>
          </cell>
        </row>
        <row r="579">
          <cell r="A579" t="str">
            <v>isf; p (absentee)</v>
          </cell>
          <cell r="E579" t="str">
            <v>25 C. Namie St., Brgy.25 Caloocan City</v>
          </cell>
          <cell r="S579" t="str">
            <v>Male</v>
          </cell>
          <cell r="AK579" t="str">
            <v>ISF</v>
          </cell>
          <cell r="AN579">
            <v>0.17857142857142858</v>
          </cell>
          <cell r="AQ579">
            <v>0</v>
          </cell>
          <cell r="AS579">
            <v>0</v>
          </cell>
          <cell r="BM579" t="str">
            <v>Residential</v>
          </cell>
          <cell r="BN579">
            <v>0</v>
          </cell>
          <cell r="BR579">
            <v>0.17857142857142858</v>
          </cell>
          <cell r="FQ579" t="str">
            <v>Can Stay</v>
          </cell>
          <cell r="IB579">
            <v>0</v>
          </cell>
          <cell r="IC579">
            <v>0</v>
          </cell>
          <cell r="ID579">
            <v>0</v>
          </cell>
          <cell r="IE579">
            <v>0</v>
          </cell>
          <cell r="IP579">
            <v>0</v>
          </cell>
          <cell r="IR579">
            <v>0</v>
          </cell>
          <cell r="IT579">
            <v>0</v>
          </cell>
          <cell r="IU579">
            <v>0</v>
          </cell>
        </row>
        <row r="580">
          <cell r="A580" t="str">
            <v>isf</v>
          </cell>
          <cell r="E580" t="str">
            <v>27 C. Namie St., Brgy.25 Caloocan City</v>
          </cell>
          <cell r="S580">
            <v>0</v>
          </cell>
          <cell r="AK580" t="str">
            <v>ISF</v>
          </cell>
          <cell r="AN580">
            <v>1</v>
          </cell>
          <cell r="AQ580">
            <v>0</v>
          </cell>
          <cell r="AS580">
            <v>0</v>
          </cell>
          <cell r="BM580" t="str">
            <v>Residential</v>
          </cell>
          <cell r="BN580">
            <v>0</v>
          </cell>
          <cell r="BR580">
            <v>1</v>
          </cell>
          <cell r="FQ580" t="str">
            <v>Need Displacement</v>
          </cell>
          <cell r="IB580">
            <v>0</v>
          </cell>
          <cell r="IC580">
            <v>0</v>
          </cell>
          <cell r="ID580">
            <v>0</v>
          </cell>
          <cell r="IE580">
            <v>0</v>
          </cell>
          <cell r="IP580">
            <v>0</v>
          </cell>
          <cell r="IR580">
            <v>0</v>
          </cell>
          <cell r="IT580">
            <v>0</v>
          </cell>
          <cell r="IU580">
            <v>0</v>
          </cell>
        </row>
        <row r="581">
          <cell r="A581">
            <v>0</v>
          </cell>
          <cell r="E581" t="str">
            <v>27 C. Namie St., Brgy.25 Caloocan City</v>
          </cell>
          <cell r="S581" t="str">
            <v>Female</v>
          </cell>
          <cell r="AK581" t="str">
            <v>ISF</v>
          </cell>
          <cell r="AN581">
            <v>1</v>
          </cell>
          <cell r="AQ581">
            <v>0</v>
          </cell>
          <cell r="AS581">
            <v>0</v>
          </cell>
          <cell r="BM581">
            <v>0</v>
          </cell>
          <cell r="BN581">
            <v>0</v>
          </cell>
          <cell r="BR581">
            <v>0</v>
          </cell>
          <cell r="FQ581">
            <v>0</v>
          </cell>
          <cell r="IB581">
            <v>0</v>
          </cell>
          <cell r="IC581">
            <v>0</v>
          </cell>
          <cell r="ID581">
            <v>0</v>
          </cell>
          <cell r="IE581">
            <v>0</v>
          </cell>
          <cell r="IP581">
            <v>0</v>
          </cell>
          <cell r="IR581">
            <v>0</v>
          </cell>
          <cell r="IT581">
            <v>0</v>
          </cell>
          <cell r="IU581">
            <v>0</v>
          </cell>
        </row>
        <row r="582">
          <cell r="A582" t="str">
            <v>legal</v>
          </cell>
          <cell r="E582" t="str">
            <v>27 C. Namie St., Brgy.25 Caloocan City</v>
          </cell>
          <cell r="S582" t="str">
            <v>Male</v>
          </cell>
          <cell r="AK582" t="str">
            <v>ISF</v>
          </cell>
          <cell r="AN582">
            <v>0.3550295857988166</v>
          </cell>
          <cell r="AQ582" t="str">
            <v>CMP</v>
          </cell>
          <cell r="AS582" t="str">
            <v>Y</v>
          </cell>
          <cell r="BM582" t="str">
            <v>Residential</v>
          </cell>
          <cell r="BN582">
            <v>1</v>
          </cell>
          <cell r="BR582">
            <v>0.35429583702391498</v>
          </cell>
          <cell r="FQ582" t="str">
            <v>Can Stay</v>
          </cell>
          <cell r="IB582">
            <v>0</v>
          </cell>
          <cell r="IC582">
            <v>0</v>
          </cell>
          <cell r="ID582">
            <v>0</v>
          </cell>
          <cell r="IE582">
            <v>0</v>
          </cell>
          <cell r="IP582" t="str">
            <v>Owner</v>
          </cell>
          <cell r="IR582" t="str">
            <v>Home/Small-scale Industry</v>
          </cell>
          <cell r="IT582">
            <v>0</v>
          </cell>
          <cell r="IU582" t="str">
            <v>x</v>
          </cell>
        </row>
        <row r="583">
          <cell r="A583" t="str">
            <v>legal</v>
          </cell>
          <cell r="E583" t="str">
            <v>27 C. Namie St., Laon Laan Brgy.25 Caloocan City</v>
          </cell>
          <cell r="S583" t="str">
            <v>Male</v>
          </cell>
          <cell r="AK583">
            <v>0</v>
          </cell>
          <cell r="AN583">
            <v>0</v>
          </cell>
          <cell r="AQ583">
            <v>0</v>
          </cell>
          <cell r="AS583">
            <v>0</v>
          </cell>
          <cell r="BM583" t="str">
            <v>Residential</v>
          </cell>
          <cell r="BN583">
            <v>0</v>
          </cell>
          <cell r="BR583">
            <v>0.35429583702391498</v>
          </cell>
          <cell r="FQ583" t="str">
            <v>Can Stay</v>
          </cell>
          <cell r="IB583" t="str">
            <v>Y</v>
          </cell>
          <cell r="IC583">
            <v>0</v>
          </cell>
          <cell r="ID583">
            <v>0</v>
          </cell>
          <cell r="IE583">
            <v>0</v>
          </cell>
          <cell r="IP583">
            <v>0</v>
          </cell>
          <cell r="IR583">
            <v>0</v>
          </cell>
          <cell r="IT583">
            <v>0</v>
          </cell>
          <cell r="IU583">
            <v>0</v>
          </cell>
        </row>
        <row r="584">
          <cell r="A584" t="str">
            <v>legal</v>
          </cell>
          <cell r="E584" t="str">
            <v>27 C. Namie St., Brgy.25 Caloocan City</v>
          </cell>
          <cell r="S584" t="str">
            <v>Female</v>
          </cell>
          <cell r="AK584">
            <v>0</v>
          </cell>
          <cell r="AN584">
            <v>0</v>
          </cell>
          <cell r="AQ584">
            <v>0</v>
          </cell>
          <cell r="AS584">
            <v>0</v>
          </cell>
          <cell r="BM584" t="str">
            <v>Residential</v>
          </cell>
          <cell r="BN584">
            <v>0</v>
          </cell>
          <cell r="BR584">
            <v>0.35429583702391498</v>
          </cell>
          <cell r="FQ584" t="str">
            <v>Can Stay</v>
          </cell>
          <cell r="IB584" t="str">
            <v>Y</v>
          </cell>
          <cell r="IC584" t="str">
            <v>Y</v>
          </cell>
          <cell r="ID584">
            <v>0</v>
          </cell>
          <cell r="IE584">
            <v>1</v>
          </cell>
          <cell r="IP584">
            <v>0</v>
          </cell>
          <cell r="IR584">
            <v>0</v>
          </cell>
          <cell r="IT584">
            <v>0</v>
          </cell>
          <cell r="IU584">
            <v>0</v>
          </cell>
        </row>
        <row r="585">
          <cell r="A585" t="str">
            <v>legal</v>
          </cell>
          <cell r="E585" t="str">
            <v>27 C. Namie St., Laon Laan Brgy.25 Caloocan City</v>
          </cell>
          <cell r="S585" t="str">
            <v>Female</v>
          </cell>
          <cell r="AK585" t="str">
            <v>ISF</v>
          </cell>
          <cell r="AN585">
            <v>0.15116279069767441</v>
          </cell>
          <cell r="AQ585" t="str">
            <v>CMP</v>
          </cell>
          <cell r="AS585" t="str">
            <v>Y</v>
          </cell>
          <cell r="BM585" t="str">
            <v>Residential</v>
          </cell>
          <cell r="BN585">
            <v>0</v>
          </cell>
          <cell r="BR585">
            <v>0.15116279069767441</v>
          </cell>
          <cell r="FQ585" t="str">
            <v>Can Stay</v>
          </cell>
          <cell r="IB585" t="str">
            <v>Y</v>
          </cell>
          <cell r="IC585" t="str">
            <v>Y</v>
          </cell>
          <cell r="ID585">
            <v>0</v>
          </cell>
          <cell r="IE585">
            <v>0</v>
          </cell>
          <cell r="IP585">
            <v>0</v>
          </cell>
          <cell r="IR585">
            <v>0</v>
          </cell>
          <cell r="IT585">
            <v>0</v>
          </cell>
          <cell r="IU585">
            <v>0</v>
          </cell>
        </row>
        <row r="586">
          <cell r="A586" t="str">
            <v>legal</v>
          </cell>
          <cell r="E586" t="str">
            <v>27-B C. Namie St., 4th.ave Brgy.25 Caloocan City</v>
          </cell>
          <cell r="S586" t="str">
            <v>Female</v>
          </cell>
          <cell r="AK586" t="str">
            <v>ISF</v>
          </cell>
          <cell r="AN586">
            <v>0.12871287128712872</v>
          </cell>
          <cell r="AQ586" t="str">
            <v>CMP</v>
          </cell>
          <cell r="AS586" t="str">
            <v>Y</v>
          </cell>
          <cell r="BM586" t="str">
            <v>Residential</v>
          </cell>
          <cell r="BN586">
            <v>0</v>
          </cell>
          <cell r="BR586">
            <v>0.12871287128712872</v>
          </cell>
          <cell r="FQ586" t="str">
            <v>Can Stay</v>
          </cell>
          <cell r="IB586">
            <v>0</v>
          </cell>
          <cell r="IC586">
            <v>0</v>
          </cell>
          <cell r="ID586">
            <v>0</v>
          </cell>
          <cell r="IE586">
            <v>0</v>
          </cell>
          <cell r="IP586">
            <v>0</v>
          </cell>
          <cell r="IR586">
            <v>0</v>
          </cell>
          <cell r="IT586">
            <v>0</v>
          </cell>
          <cell r="IU586">
            <v>0</v>
          </cell>
        </row>
        <row r="587">
          <cell r="A587" t="str">
            <v>isf</v>
          </cell>
          <cell r="E587" t="str">
            <v>137 C. Namie St., Brgy.25 Caloocan City</v>
          </cell>
          <cell r="S587" t="str">
            <v>Male</v>
          </cell>
          <cell r="AK587" t="str">
            <v>ISF</v>
          </cell>
          <cell r="AN587">
            <v>1</v>
          </cell>
          <cell r="AQ587">
            <v>0</v>
          </cell>
          <cell r="AS587">
            <v>0</v>
          </cell>
          <cell r="BM587" t="str">
            <v>Residential</v>
          </cell>
          <cell r="BN587">
            <v>1</v>
          </cell>
          <cell r="BR587">
            <v>1</v>
          </cell>
          <cell r="FQ587" t="str">
            <v>Need Displacement</v>
          </cell>
          <cell r="IB587" t="str">
            <v>Y</v>
          </cell>
          <cell r="IC587">
            <v>0</v>
          </cell>
          <cell r="ID587">
            <v>0</v>
          </cell>
          <cell r="IE587">
            <v>0</v>
          </cell>
          <cell r="IP587">
            <v>0</v>
          </cell>
          <cell r="IR587">
            <v>0</v>
          </cell>
          <cell r="IT587">
            <v>0</v>
          </cell>
          <cell r="IU587">
            <v>0</v>
          </cell>
        </row>
        <row r="588">
          <cell r="A588" t="str">
            <v>isf (p)</v>
          </cell>
          <cell r="E588" t="str">
            <v>28 C. Namie St., Brgy.25 Caloocan City</v>
          </cell>
          <cell r="S588" t="str">
            <v>Male</v>
          </cell>
          <cell r="AK588" t="str">
            <v>ISF</v>
          </cell>
          <cell r="AN588">
            <v>0.12647579385736596</v>
          </cell>
          <cell r="AQ588">
            <v>0</v>
          </cell>
          <cell r="AS588">
            <v>0</v>
          </cell>
          <cell r="BM588" t="str">
            <v>Residential</v>
          </cell>
          <cell r="BN588">
            <v>2</v>
          </cell>
          <cell r="BR588">
            <v>0.12647579385736596</v>
          </cell>
          <cell r="FQ588" t="str">
            <v>Can Stay</v>
          </cell>
          <cell r="IB588">
            <v>0</v>
          </cell>
          <cell r="IC588">
            <v>0</v>
          </cell>
          <cell r="ID588">
            <v>0</v>
          </cell>
          <cell r="IE588">
            <v>0</v>
          </cell>
          <cell r="IP588">
            <v>0</v>
          </cell>
          <cell r="IR588">
            <v>0</v>
          </cell>
          <cell r="IT588">
            <v>0</v>
          </cell>
          <cell r="IU588">
            <v>0</v>
          </cell>
        </row>
        <row r="589">
          <cell r="A589" t="str">
            <v>isf (p)</v>
          </cell>
          <cell r="E589" t="str">
            <v>28 C. Namie St. Laon Laan, Brgy.25 Caloocan City</v>
          </cell>
          <cell r="S589" t="str">
            <v>Male</v>
          </cell>
          <cell r="AK589" t="str">
            <v>ISF</v>
          </cell>
          <cell r="AN589">
            <v>0.12647579385736596</v>
          </cell>
          <cell r="AQ589">
            <v>0</v>
          </cell>
          <cell r="AS589">
            <v>0</v>
          </cell>
          <cell r="BM589" t="str">
            <v>Residential</v>
          </cell>
          <cell r="BN589">
            <v>0</v>
          </cell>
          <cell r="BR589">
            <v>0.12647579385736596</v>
          </cell>
          <cell r="FQ589" t="str">
            <v>Can Stay</v>
          </cell>
          <cell r="IB589" t="str">
            <v>Y</v>
          </cell>
          <cell r="IC589">
            <v>0</v>
          </cell>
          <cell r="ID589">
            <v>1</v>
          </cell>
          <cell r="IE589">
            <v>0</v>
          </cell>
          <cell r="IP589">
            <v>0</v>
          </cell>
          <cell r="IR589">
            <v>0</v>
          </cell>
          <cell r="IT589">
            <v>0</v>
          </cell>
          <cell r="IU589">
            <v>0</v>
          </cell>
        </row>
        <row r="590">
          <cell r="A590" t="str">
            <v>isf</v>
          </cell>
          <cell r="E590" t="str">
            <v>28 C. Namie St. Laon Laan, Brgy.25 Caloocan City</v>
          </cell>
          <cell r="S590" t="str">
            <v>Male</v>
          </cell>
          <cell r="AK590" t="str">
            <v>ISF</v>
          </cell>
          <cell r="AN590">
            <v>0.82520325203252021</v>
          </cell>
          <cell r="AQ590">
            <v>0</v>
          </cell>
          <cell r="AS590">
            <v>0</v>
          </cell>
          <cell r="BM590" t="str">
            <v>Residential</v>
          </cell>
          <cell r="BN590">
            <v>1</v>
          </cell>
          <cell r="BR590">
            <v>0.85953878406708595</v>
          </cell>
          <cell r="FQ590" t="str">
            <v>Need Displacement</v>
          </cell>
          <cell r="IB590">
            <v>0</v>
          </cell>
          <cell r="IC590">
            <v>0</v>
          </cell>
          <cell r="ID590">
            <v>0</v>
          </cell>
          <cell r="IE590">
            <v>0</v>
          </cell>
          <cell r="IP590" t="str">
            <v>Owner</v>
          </cell>
          <cell r="IR590" t="str">
            <v>Agri-Business</v>
          </cell>
          <cell r="IT590">
            <v>0</v>
          </cell>
          <cell r="IU590" t="str">
            <v>x</v>
          </cell>
        </row>
        <row r="591">
          <cell r="A591" t="str">
            <v>isf</v>
          </cell>
          <cell r="E591" t="str">
            <v>28 C. Namie St. Brgy.25 Caloocan City</v>
          </cell>
          <cell r="S591" t="str">
            <v>Male</v>
          </cell>
          <cell r="AK591" t="str">
            <v>ISF</v>
          </cell>
          <cell r="AN591">
            <v>1</v>
          </cell>
          <cell r="AQ591">
            <v>0</v>
          </cell>
          <cell r="AS591">
            <v>0</v>
          </cell>
          <cell r="BM591" t="str">
            <v>Residential</v>
          </cell>
          <cell r="BN591">
            <v>0</v>
          </cell>
          <cell r="BR591">
            <v>1</v>
          </cell>
          <cell r="FQ591" t="str">
            <v>Need Displacement</v>
          </cell>
          <cell r="IB591">
            <v>0</v>
          </cell>
          <cell r="IC591">
            <v>0</v>
          </cell>
          <cell r="ID591">
            <v>0</v>
          </cell>
          <cell r="IE591">
            <v>0</v>
          </cell>
          <cell r="IP591">
            <v>0</v>
          </cell>
          <cell r="IR591">
            <v>0</v>
          </cell>
          <cell r="IT591">
            <v>0</v>
          </cell>
          <cell r="IU591">
            <v>0</v>
          </cell>
        </row>
        <row r="592">
          <cell r="A592" t="str">
            <v>isf</v>
          </cell>
          <cell r="E592" t="str">
            <v>107 C. Namie St. Brgy.25 Caloocan City</v>
          </cell>
          <cell r="S592" t="str">
            <v>Female</v>
          </cell>
          <cell r="AK592" t="str">
            <v>ISF</v>
          </cell>
          <cell r="AN592">
            <v>1</v>
          </cell>
          <cell r="AQ592">
            <v>0</v>
          </cell>
          <cell r="AS592">
            <v>0</v>
          </cell>
          <cell r="BM592" t="str">
            <v>Residential</v>
          </cell>
          <cell r="BN592">
            <v>0</v>
          </cell>
          <cell r="BR592">
            <v>1</v>
          </cell>
          <cell r="FQ592" t="str">
            <v>Need Displacement</v>
          </cell>
          <cell r="IB592">
            <v>0</v>
          </cell>
          <cell r="IC592" t="str">
            <v>Y</v>
          </cell>
          <cell r="ID592">
            <v>0</v>
          </cell>
          <cell r="IE592">
            <v>0</v>
          </cell>
          <cell r="IP592">
            <v>0</v>
          </cell>
          <cell r="IR592">
            <v>0</v>
          </cell>
          <cell r="IT592">
            <v>0</v>
          </cell>
          <cell r="IU592">
            <v>0</v>
          </cell>
        </row>
        <row r="593">
          <cell r="A593" t="str">
            <v>Legal</v>
          </cell>
          <cell r="E593" t="str">
            <v>BRGY.25, Caloocan City</v>
          </cell>
          <cell r="S593">
            <v>0</v>
          </cell>
          <cell r="AK593">
            <v>0</v>
          </cell>
          <cell r="AN593">
            <v>0</v>
          </cell>
          <cell r="AQ593">
            <v>0</v>
          </cell>
          <cell r="AS593">
            <v>0</v>
          </cell>
          <cell r="BM593">
            <v>0</v>
          </cell>
          <cell r="BN593">
            <v>0</v>
          </cell>
          <cell r="BR593">
            <v>0</v>
          </cell>
          <cell r="FQ593">
            <v>0</v>
          </cell>
          <cell r="IB593">
            <v>0</v>
          </cell>
          <cell r="IC593">
            <v>0</v>
          </cell>
          <cell r="ID593">
            <v>0</v>
          </cell>
          <cell r="IE593">
            <v>0</v>
          </cell>
          <cell r="IP593">
            <v>0</v>
          </cell>
          <cell r="IR593" t="str">
            <v>Manufacturing</v>
          </cell>
          <cell r="IT593">
            <v>0</v>
          </cell>
          <cell r="IU593">
            <v>0</v>
          </cell>
        </row>
        <row r="594">
          <cell r="A594" t="str">
            <v>isf</v>
          </cell>
          <cell r="E594" t="str">
            <v>435 C. Namie St., Brgy.25 Caloocan City</v>
          </cell>
          <cell r="S594" t="str">
            <v>Male</v>
          </cell>
          <cell r="AK594" t="str">
            <v>ISF</v>
          </cell>
          <cell r="AN594">
            <v>0.71052631578947367</v>
          </cell>
          <cell r="AQ594">
            <v>0</v>
          </cell>
          <cell r="AS594">
            <v>0</v>
          </cell>
          <cell r="BM594" t="str">
            <v>Residential</v>
          </cell>
          <cell r="BN594">
            <v>1</v>
          </cell>
          <cell r="BR594">
            <v>0.71052631578947367</v>
          </cell>
          <cell r="FQ594" t="str">
            <v>Need Displacement</v>
          </cell>
          <cell r="IB594">
            <v>0</v>
          </cell>
          <cell r="IC594">
            <v>0</v>
          </cell>
          <cell r="ID594">
            <v>0</v>
          </cell>
          <cell r="IE594">
            <v>0</v>
          </cell>
          <cell r="IP594" t="str">
            <v>Owner</v>
          </cell>
          <cell r="IR594" t="str">
            <v>Home/Small-scale Industry</v>
          </cell>
          <cell r="IT594">
            <v>0</v>
          </cell>
          <cell r="IU594" t="str">
            <v>x</v>
          </cell>
        </row>
        <row r="595">
          <cell r="A595" t="str">
            <v>CBL</v>
          </cell>
          <cell r="E595" t="str">
            <v>Brgy.29 Caloocan City</v>
          </cell>
          <cell r="S595">
            <v>0</v>
          </cell>
          <cell r="AK595" t="str">
            <v>ISF</v>
          </cell>
          <cell r="AN595">
            <v>7.7792942093975442E-2</v>
          </cell>
          <cell r="AQ595">
            <v>0</v>
          </cell>
          <cell r="AS595">
            <v>0</v>
          </cell>
          <cell r="BM595">
            <v>0</v>
          </cell>
          <cell r="BN595">
            <v>0</v>
          </cell>
          <cell r="BR595">
            <v>0</v>
          </cell>
          <cell r="FQ595">
            <v>0</v>
          </cell>
          <cell r="IB595">
            <v>0</v>
          </cell>
          <cell r="IC595">
            <v>0</v>
          </cell>
          <cell r="ID595">
            <v>0</v>
          </cell>
          <cell r="IE595">
            <v>0</v>
          </cell>
          <cell r="IP595">
            <v>0</v>
          </cell>
          <cell r="IR595">
            <v>0</v>
          </cell>
          <cell r="IT595">
            <v>0</v>
          </cell>
          <cell r="IU595">
            <v>0</v>
          </cell>
        </row>
        <row r="596">
          <cell r="A596" t="str">
            <v>L-I</v>
          </cell>
          <cell r="E596" t="str">
            <v>47 Magtanggol St., Brgy.29 Caloocan City</v>
          </cell>
          <cell r="S596" t="str">
            <v>Male</v>
          </cell>
          <cell r="AK596">
            <v>0</v>
          </cell>
          <cell r="AN596">
            <v>1</v>
          </cell>
          <cell r="AQ596">
            <v>0</v>
          </cell>
          <cell r="AS596">
            <v>0</v>
          </cell>
          <cell r="BM596">
            <v>0</v>
          </cell>
          <cell r="BN596">
            <v>0</v>
          </cell>
          <cell r="BR596">
            <v>0</v>
          </cell>
          <cell r="FQ596">
            <v>0</v>
          </cell>
          <cell r="IB596">
            <v>0</v>
          </cell>
          <cell r="IC596">
            <v>0</v>
          </cell>
          <cell r="ID596">
            <v>0</v>
          </cell>
          <cell r="IE596">
            <v>0</v>
          </cell>
          <cell r="IP596">
            <v>0</v>
          </cell>
          <cell r="IR596">
            <v>0</v>
          </cell>
          <cell r="IT596">
            <v>0</v>
          </cell>
          <cell r="IU596">
            <v>0</v>
          </cell>
        </row>
        <row r="597">
          <cell r="A597" t="str">
            <v>L-I</v>
          </cell>
          <cell r="E597" t="str">
            <v>39 Magtanggol St., Brgy.29 Zone.3 Caloocan City</v>
          </cell>
          <cell r="S597" t="str">
            <v>Male</v>
          </cell>
          <cell r="AK597" t="str">
            <v>Land Owner</v>
          </cell>
          <cell r="AN597">
            <v>0.7</v>
          </cell>
          <cell r="AQ597">
            <v>0</v>
          </cell>
          <cell r="AS597" t="str">
            <v>Y</v>
          </cell>
          <cell r="BM597">
            <v>0</v>
          </cell>
          <cell r="BN597">
            <v>0</v>
          </cell>
          <cell r="BR597">
            <v>0</v>
          </cell>
          <cell r="FQ597">
            <v>0</v>
          </cell>
          <cell r="IB597">
            <v>0</v>
          </cell>
          <cell r="IC597">
            <v>0</v>
          </cell>
          <cell r="ID597">
            <v>0</v>
          </cell>
          <cell r="IE597">
            <v>0</v>
          </cell>
          <cell r="IP597">
            <v>0</v>
          </cell>
          <cell r="IR597">
            <v>0</v>
          </cell>
          <cell r="IT597">
            <v>0</v>
          </cell>
          <cell r="IU597">
            <v>0</v>
          </cell>
        </row>
        <row r="598">
          <cell r="A598" t="str">
            <v>isf</v>
          </cell>
          <cell r="E598" t="str">
            <v>65 Magtanggol St., Brgy.29 Caloocan City</v>
          </cell>
          <cell r="S598" t="str">
            <v>Male</v>
          </cell>
          <cell r="AK598" t="str">
            <v>ISF</v>
          </cell>
          <cell r="AN598">
            <v>0.35028248587570621</v>
          </cell>
          <cell r="AQ598">
            <v>0</v>
          </cell>
          <cell r="AS598">
            <v>0</v>
          </cell>
          <cell r="BM598" t="str">
            <v>Residential</v>
          </cell>
          <cell r="BN598">
            <v>1</v>
          </cell>
          <cell r="BR598">
            <v>0.35028248587570621</v>
          </cell>
          <cell r="FQ598" t="str">
            <v>Need Displacement</v>
          </cell>
          <cell r="IB598">
            <v>0</v>
          </cell>
          <cell r="IC598">
            <v>0</v>
          </cell>
          <cell r="ID598">
            <v>0</v>
          </cell>
          <cell r="IE598">
            <v>0</v>
          </cell>
          <cell r="IP598">
            <v>0</v>
          </cell>
          <cell r="IR598">
            <v>0</v>
          </cell>
          <cell r="IT598">
            <v>0</v>
          </cell>
          <cell r="IU598">
            <v>0</v>
          </cell>
        </row>
        <row r="599">
          <cell r="A599" t="str">
            <v>isf</v>
          </cell>
          <cell r="E599" t="str">
            <v>57 Magtanggol St., Brgy.29 Caloocan City</v>
          </cell>
          <cell r="S599" t="str">
            <v>Male</v>
          </cell>
          <cell r="AK599" t="str">
            <v>ISF</v>
          </cell>
          <cell r="AN599">
            <v>0.23700787401574802</v>
          </cell>
          <cell r="AQ599">
            <v>0</v>
          </cell>
          <cell r="AS599">
            <v>0</v>
          </cell>
          <cell r="BM599" t="str">
            <v>Residential</v>
          </cell>
          <cell r="BN599">
            <v>0</v>
          </cell>
          <cell r="BR599">
            <v>0.37686274509803919</v>
          </cell>
          <cell r="FQ599" t="str">
            <v>Need Displacement</v>
          </cell>
          <cell r="IB599">
            <v>0</v>
          </cell>
          <cell r="IC599">
            <v>0</v>
          </cell>
          <cell r="ID599">
            <v>0</v>
          </cell>
          <cell r="IE599">
            <v>0</v>
          </cell>
          <cell r="IP599">
            <v>0</v>
          </cell>
          <cell r="IR599">
            <v>0</v>
          </cell>
          <cell r="IT599">
            <v>0</v>
          </cell>
          <cell r="IU599">
            <v>0</v>
          </cell>
        </row>
        <row r="600">
          <cell r="A600" t="str">
            <v>isf</v>
          </cell>
          <cell r="E600" t="str">
            <v>Brgy.29 Caloocan City</v>
          </cell>
          <cell r="S600">
            <v>0</v>
          </cell>
          <cell r="AK600" t="str">
            <v>ISF</v>
          </cell>
          <cell r="AN600">
            <v>0.41409465020576131</v>
          </cell>
          <cell r="AQ600">
            <v>0</v>
          </cell>
          <cell r="AS600">
            <v>0</v>
          </cell>
          <cell r="BM600" t="str">
            <v>Institutional</v>
          </cell>
          <cell r="BN600">
            <v>0</v>
          </cell>
          <cell r="BR600">
            <v>0.4140625</v>
          </cell>
          <cell r="FQ600" t="str">
            <v>Need Displacement</v>
          </cell>
          <cell r="IB600">
            <v>0</v>
          </cell>
          <cell r="IC600">
            <v>0</v>
          </cell>
          <cell r="ID600">
            <v>0</v>
          </cell>
          <cell r="IE600">
            <v>0</v>
          </cell>
          <cell r="IP600">
            <v>0</v>
          </cell>
          <cell r="IR600">
            <v>0</v>
          </cell>
          <cell r="IT600">
            <v>0</v>
          </cell>
          <cell r="IU600">
            <v>0</v>
          </cell>
        </row>
        <row r="601">
          <cell r="A601" t="str">
            <v>isf</v>
          </cell>
          <cell r="E601" t="str">
            <v>Basketball Court Brgy.29 Caloocan City</v>
          </cell>
          <cell r="S601">
            <v>0</v>
          </cell>
          <cell r="AK601" t="str">
            <v>ISF</v>
          </cell>
          <cell r="AN601">
            <v>0.6142910939559405</v>
          </cell>
          <cell r="AQ601">
            <v>0</v>
          </cell>
          <cell r="AS601">
            <v>0</v>
          </cell>
          <cell r="BM601">
            <v>0</v>
          </cell>
          <cell r="BN601">
            <v>0</v>
          </cell>
          <cell r="BR601">
            <v>0</v>
          </cell>
          <cell r="FQ601">
            <v>0</v>
          </cell>
          <cell r="IB601">
            <v>0</v>
          </cell>
          <cell r="IC601">
            <v>0</v>
          </cell>
          <cell r="ID601">
            <v>0</v>
          </cell>
          <cell r="IE601">
            <v>0</v>
          </cell>
          <cell r="IP601" t="str">
            <v>Brgy. Captain</v>
          </cell>
          <cell r="IR601">
            <v>0</v>
          </cell>
          <cell r="IT601">
            <v>0</v>
          </cell>
          <cell r="IU601">
            <v>0</v>
          </cell>
        </row>
        <row r="602">
          <cell r="A602" t="str">
            <v>isf</v>
          </cell>
          <cell r="E602" t="str">
            <v>227 Magtanggol St., Brgy.29 Caloocan City</v>
          </cell>
          <cell r="S602" t="str">
            <v>Male</v>
          </cell>
          <cell r="AK602" t="str">
            <v>ISF</v>
          </cell>
          <cell r="AN602">
            <v>0.54545454545454541</v>
          </cell>
          <cell r="AQ602">
            <v>0</v>
          </cell>
          <cell r="AS602">
            <v>0</v>
          </cell>
          <cell r="BM602" t="str">
            <v>Residential</v>
          </cell>
          <cell r="BN602">
            <v>2</v>
          </cell>
          <cell r="BR602">
            <v>0.56528925619834713</v>
          </cell>
          <cell r="FQ602" t="str">
            <v>Need Displacement</v>
          </cell>
          <cell r="IB602">
            <v>0</v>
          </cell>
          <cell r="IC602">
            <v>0</v>
          </cell>
          <cell r="ID602">
            <v>0</v>
          </cell>
          <cell r="IE602">
            <v>0</v>
          </cell>
          <cell r="IP602">
            <v>0</v>
          </cell>
          <cell r="IR602">
            <v>0</v>
          </cell>
          <cell r="IT602">
            <v>0</v>
          </cell>
          <cell r="IU602">
            <v>0</v>
          </cell>
        </row>
        <row r="603">
          <cell r="A603" t="str">
            <v>isf</v>
          </cell>
          <cell r="E603" t="str">
            <v>174 Magtanggol St., Brgy.29 Maypajo Caloocan City</v>
          </cell>
          <cell r="S603" t="str">
            <v>Male</v>
          </cell>
          <cell r="AK603" t="str">
            <v>ISF</v>
          </cell>
          <cell r="AN603">
            <v>0.33210412147505425</v>
          </cell>
          <cell r="AQ603">
            <v>0</v>
          </cell>
          <cell r="AS603">
            <v>0</v>
          </cell>
          <cell r="BM603" t="str">
            <v>Residential</v>
          </cell>
          <cell r="BN603">
            <v>0</v>
          </cell>
          <cell r="BR603">
            <v>0.33210412147505425</v>
          </cell>
          <cell r="FQ603" t="str">
            <v>Need Displacement</v>
          </cell>
          <cell r="IB603">
            <v>0</v>
          </cell>
          <cell r="IC603">
            <v>0</v>
          </cell>
          <cell r="ID603">
            <v>0</v>
          </cell>
          <cell r="IE603">
            <v>0</v>
          </cell>
          <cell r="IP603">
            <v>0</v>
          </cell>
          <cell r="IR603">
            <v>0</v>
          </cell>
          <cell r="IT603">
            <v>0</v>
          </cell>
          <cell r="IU603">
            <v>0</v>
          </cell>
        </row>
        <row r="604">
          <cell r="A604" t="str">
            <v>isf</v>
          </cell>
          <cell r="E604" t="str">
            <v>173 Magtanggol St., Brgy.29 Maypajo Caloocan City</v>
          </cell>
          <cell r="S604">
            <v>0</v>
          </cell>
          <cell r="AK604" t="str">
            <v>ISF</v>
          </cell>
          <cell r="AN604">
            <v>0.35</v>
          </cell>
          <cell r="AQ604">
            <v>0</v>
          </cell>
          <cell r="AS604">
            <v>0</v>
          </cell>
          <cell r="BM604" t="str">
            <v>Institutional</v>
          </cell>
          <cell r="BN604">
            <v>0</v>
          </cell>
          <cell r="BR604">
            <v>0.35593220338983045</v>
          </cell>
          <cell r="FQ604" t="str">
            <v>Need Displacement</v>
          </cell>
          <cell r="IB604">
            <v>0</v>
          </cell>
          <cell r="IC604">
            <v>0</v>
          </cell>
          <cell r="ID604">
            <v>0</v>
          </cell>
          <cell r="IE604">
            <v>0</v>
          </cell>
          <cell r="IP604" t="str">
            <v>Owner</v>
          </cell>
          <cell r="IR604">
            <v>0</v>
          </cell>
          <cell r="IT604">
            <v>0</v>
          </cell>
          <cell r="IU604">
            <v>0</v>
          </cell>
        </row>
        <row r="605">
          <cell r="A605" t="str">
            <v>isf</v>
          </cell>
          <cell r="E605" t="str">
            <v>173 Magtanggol St., Brgy.29 Maypajo Caloocan City</v>
          </cell>
          <cell r="S605" t="str">
            <v>Male</v>
          </cell>
          <cell r="AK605" t="str">
            <v>ISF</v>
          </cell>
          <cell r="AN605">
            <v>0.54534288638689876</v>
          </cell>
          <cell r="AQ605">
            <v>0</v>
          </cell>
          <cell r="AS605">
            <v>0</v>
          </cell>
          <cell r="BM605" t="str">
            <v>Residential</v>
          </cell>
          <cell r="BN605">
            <v>0</v>
          </cell>
          <cell r="BR605">
            <v>0.54554759467758451</v>
          </cell>
          <cell r="FQ605" t="str">
            <v>Need Displacement</v>
          </cell>
          <cell r="IB605">
            <v>0</v>
          </cell>
          <cell r="IC605">
            <v>0</v>
          </cell>
          <cell r="ID605">
            <v>1</v>
          </cell>
          <cell r="IE605">
            <v>1</v>
          </cell>
          <cell r="IP605">
            <v>0</v>
          </cell>
          <cell r="IR605">
            <v>0</v>
          </cell>
          <cell r="IT605">
            <v>0</v>
          </cell>
          <cell r="IU605">
            <v>0</v>
          </cell>
        </row>
        <row r="606">
          <cell r="A606" t="str">
            <v>isf</v>
          </cell>
          <cell r="E606" t="str">
            <v>173 Magtanggol St., Brgy.29 Maypajo Caloocan City</v>
          </cell>
          <cell r="S606" t="str">
            <v>Male</v>
          </cell>
          <cell r="AK606" t="str">
            <v>ISF</v>
          </cell>
          <cell r="AN606">
            <v>0.54534288638689876</v>
          </cell>
          <cell r="AQ606">
            <v>0</v>
          </cell>
          <cell r="AS606">
            <v>0</v>
          </cell>
          <cell r="BM606" t="str">
            <v>Residential</v>
          </cell>
          <cell r="BN606">
            <v>0</v>
          </cell>
          <cell r="BR606">
            <v>0.54554759467758451</v>
          </cell>
          <cell r="FQ606" t="str">
            <v>Need Displacement</v>
          </cell>
          <cell r="IB606">
            <v>0</v>
          </cell>
          <cell r="IC606">
            <v>0</v>
          </cell>
          <cell r="ID606">
            <v>0</v>
          </cell>
          <cell r="IE606">
            <v>0</v>
          </cell>
          <cell r="IP606">
            <v>0</v>
          </cell>
          <cell r="IR606">
            <v>0</v>
          </cell>
          <cell r="IT606">
            <v>0</v>
          </cell>
          <cell r="IU606">
            <v>0</v>
          </cell>
        </row>
        <row r="607">
          <cell r="A607" t="str">
            <v>isf</v>
          </cell>
          <cell r="E607" t="str">
            <v>173 Magtanggol St., Brgy.29 Caloocan City</v>
          </cell>
          <cell r="S607" t="str">
            <v>Male</v>
          </cell>
          <cell r="AK607" t="str">
            <v>ISF</v>
          </cell>
          <cell r="AN607">
            <v>0.33210412147505425</v>
          </cell>
          <cell r="AQ607">
            <v>0</v>
          </cell>
          <cell r="AS607">
            <v>0</v>
          </cell>
          <cell r="BM607" t="str">
            <v>Residential</v>
          </cell>
          <cell r="BN607">
            <v>0</v>
          </cell>
          <cell r="BR607">
            <v>0.33210412147505425</v>
          </cell>
          <cell r="FQ607" t="str">
            <v>Need Displacement</v>
          </cell>
          <cell r="IB607">
            <v>0</v>
          </cell>
          <cell r="IC607">
            <v>0</v>
          </cell>
          <cell r="ID607">
            <v>0</v>
          </cell>
          <cell r="IE607">
            <v>0</v>
          </cell>
          <cell r="IP607">
            <v>0</v>
          </cell>
          <cell r="IR607">
            <v>0</v>
          </cell>
          <cell r="IT607">
            <v>0</v>
          </cell>
          <cell r="IU607">
            <v>0</v>
          </cell>
        </row>
        <row r="608">
          <cell r="A608" t="str">
            <v>isf</v>
          </cell>
          <cell r="E608" t="str">
            <v>173 Magtanggol St., Brgy.29 Caloocan City</v>
          </cell>
          <cell r="S608" t="str">
            <v>Male</v>
          </cell>
          <cell r="AK608" t="str">
            <v>ISF</v>
          </cell>
          <cell r="AN608">
            <v>0.33210412147505425</v>
          </cell>
          <cell r="AQ608">
            <v>0</v>
          </cell>
          <cell r="AS608">
            <v>0</v>
          </cell>
          <cell r="BM608" t="str">
            <v>Residential</v>
          </cell>
          <cell r="BN608">
            <v>0</v>
          </cell>
          <cell r="BR608">
            <v>0.33210412147505425</v>
          </cell>
          <cell r="FQ608" t="str">
            <v>Need Displacement</v>
          </cell>
          <cell r="IB608" t="str">
            <v>Y</v>
          </cell>
          <cell r="IC608">
            <v>0</v>
          </cell>
          <cell r="ID608">
            <v>0</v>
          </cell>
          <cell r="IE608">
            <v>0</v>
          </cell>
          <cell r="IP608">
            <v>0</v>
          </cell>
          <cell r="IR608">
            <v>0</v>
          </cell>
          <cell r="IT608">
            <v>0</v>
          </cell>
          <cell r="IU608">
            <v>0</v>
          </cell>
        </row>
        <row r="609">
          <cell r="A609" t="str">
            <v>isf</v>
          </cell>
          <cell r="E609" t="str">
            <v>148 A. Mabini St., Brgy.29 Caloocan City</v>
          </cell>
          <cell r="S609">
            <v>0</v>
          </cell>
          <cell r="AK609" t="str">
            <v>ISF</v>
          </cell>
          <cell r="AN609">
            <v>7.0783260165771147E-2</v>
          </cell>
          <cell r="AQ609">
            <v>0</v>
          </cell>
          <cell r="AS609">
            <v>0</v>
          </cell>
          <cell r="BM609" t="str">
            <v>Residential</v>
          </cell>
          <cell r="BN609">
            <v>0</v>
          </cell>
          <cell r="BR609">
            <v>7.0783260165771147E-2</v>
          </cell>
          <cell r="FQ609" t="str">
            <v>Can Stay</v>
          </cell>
          <cell r="IB609">
            <v>0</v>
          </cell>
          <cell r="IC609">
            <v>0</v>
          </cell>
          <cell r="ID609">
            <v>0</v>
          </cell>
          <cell r="IE609">
            <v>0</v>
          </cell>
          <cell r="IP609">
            <v>0</v>
          </cell>
          <cell r="IR609">
            <v>0</v>
          </cell>
          <cell r="IT609">
            <v>0</v>
          </cell>
          <cell r="IU609">
            <v>0</v>
          </cell>
        </row>
        <row r="610">
          <cell r="A610" t="str">
            <v>isf</v>
          </cell>
          <cell r="E610" t="str">
            <v>204 Magtanggol St., Brgy.29 Caloocan City</v>
          </cell>
          <cell r="S610" t="str">
            <v>Male</v>
          </cell>
          <cell r="AK610" t="str">
            <v>ISF</v>
          </cell>
          <cell r="AN610">
            <v>0.14782734646581691</v>
          </cell>
          <cell r="AQ610">
            <v>0</v>
          </cell>
          <cell r="AS610">
            <v>0</v>
          </cell>
          <cell r="BM610" t="str">
            <v>Residential</v>
          </cell>
          <cell r="BN610">
            <v>2</v>
          </cell>
          <cell r="BR610">
            <v>0.1523625843780135</v>
          </cell>
          <cell r="FQ610" t="str">
            <v>Can Stay (ACCESS BLOCK)</v>
          </cell>
          <cell r="IB610">
            <v>0</v>
          </cell>
          <cell r="IC610">
            <v>0</v>
          </cell>
          <cell r="ID610">
            <v>3</v>
          </cell>
          <cell r="IE610">
            <v>1</v>
          </cell>
          <cell r="IP610">
            <v>0</v>
          </cell>
          <cell r="IR610">
            <v>0</v>
          </cell>
          <cell r="IT610">
            <v>0</v>
          </cell>
          <cell r="IU610">
            <v>0</v>
          </cell>
        </row>
        <row r="611">
          <cell r="A611" t="str">
            <v>isf-x</v>
          </cell>
          <cell r="E611" t="str">
            <v>203 Magtanggol St., Brgy.29 Caloocan City</v>
          </cell>
          <cell r="S611" t="str">
            <v>Male</v>
          </cell>
          <cell r="AK611" t="str">
            <v>ISF</v>
          </cell>
          <cell r="AN611">
            <v>7.9120879120879117E-2</v>
          </cell>
          <cell r="AQ611">
            <v>0</v>
          </cell>
          <cell r="AS611">
            <v>0</v>
          </cell>
          <cell r="BM611">
            <v>0</v>
          </cell>
          <cell r="BN611">
            <v>0</v>
          </cell>
          <cell r="BR611">
            <v>0</v>
          </cell>
          <cell r="FQ611" t="str">
            <v>Can Stay (ACCESS BLOCK)</v>
          </cell>
          <cell r="IB611">
            <v>0</v>
          </cell>
          <cell r="IC611">
            <v>0</v>
          </cell>
          <cell r="ID611">
            <v>0</v>
          </cell>
          <cell r="IE611">
            <v>0</v>
          </cell>
          <cell r="IP611">
            <v>0</v>
          </cell>
          <cell r="IR611">
            <v>0</v>
          </cell>
          <cell r="IT611">
            <v>0</v>
          </cell>
          <cell r="IU611">
            <v>0</v>
          </cell>
        </row>
        <row r="612">
          <cell r="A612">
            <v>0</v>
          </cell>
          <cell r="E612" t="str">
            <v>205 Magtanggol St., Brgy.29 Caloocan City</v>
          </cell>
          <cell r="S612" t="str">
            <v>Male</v>
          </cell>
          <cell r="AK612" t="str">
            <v>ISF</v>
          </cell>
          <cell r="AN612">
            <v>7.9120879120879117E-2</v>
          </cell>
          <cell r="AQ612">
            <v>0</v>
          </cell>
          <cell r="AS612">
            <v>0</v>
          </cell>
          <cell r="BM612" t="str">
            <v>Residential</v>
          </cell>
          <cell r="BN612">
            <v>0</v>
          </cell>
          <cell r="BR612">
            <v>0</v>
          </cell>
          <cell r="FQ612">
            <v>0</v>
          </cell>
          <cell r="IB612">
            <v>0</v>
          </cell>
          <cell r="IC612">
            <v>0</v>
          </cell>
          <cell r="ID612">
            <v>0</v>
          </cell>
          <cell r="IE612">
            <v>0</v>
          </cell>
          <cell r="IP612">
            <v>0</v>
          </cell>
          <cell r="IR612">
            <v>0</v>
          </cell>
          <cell r="IT612">
            <v>0</v>
          </cell>
          <cell r="IU612">
            <v>0</v>
          </cell>
        </row>
        <row r="613">
          <cell r="A613" t="str">
            <v>isf-x</v>
          </cell>
          <cell r="E613" t="str">
            <v>202 Magtanggol St., Brgy.29 Caloocan City</v>
          </cell>
          <cell r="S613" t="str">
            <v>Male</v>
          </cell>
          <cell r="AK613" t="str">
            <v>ISF</v>
          </cell>
          <cell r="AN613">
            <v>6.9444444444444448E-2</v>
          </cell>
          <cell r="AQ613">
            <v>0</v>
          </cell>
          <cell r="AS613">
            <v>0</v>
          </cell>
          <cell r="BM613" t="str">
            <v>Residential</v>
          </cell>
          <cell r="BN613">
            <v>0</v>
          </cell>
          <cell r="BR613">
            <v>6.9360269360269358E-2</v>
          </cell>
          <cell r="FQ613">
            <v>0</v>
          </cell>
          <cell r="IB613">
            <v>0</v>
          </cell>
          <cell r="IC613">
            <v>0</v>
          </cell>
          <cell r="ID613">
            <v>0</v>
          </cell>
          <cell r="IE613">
            <v>0</v>
          </cell>
          <cell r="IP613">
            <v>0</v>
          </cell>
          <cell r="IR613">
            <v>0</v>
          </cell>
          <cell r="IT613">
            <v>0</v>
          </cell>
          <cell r="IU613">
            <v>0</v>
          </cell>
        </row>
        <row r="614">
          <cell r="A614" t="str">
            <v>isf-x</v>
          </cell>
          <cell r="E614" t="str">
            <v>Magtanggol St., Brgy.29 Caloocan City</v>
          </cell>
          <cell r="S614" t="str">
            <v>Male</v>
          </cell>
          <cell r="AK614" t="str">
            <v>ISF</v>
          </cell>
          <cell r="AN614">
            <v>0.85</v>
          </cell>
          <cell r="AQ614">
            <v>0</v>
          </cell>
          <cell r="AS614">
            <v>0</v>
          </cell>
          <cell r="BM614">
            <v>0</v>
          </cell>
          <cell r="BN614">
            <v>0</v>
          </cell>
          <cell r="BR614">
            <v>0</v>
          </cell>
          <cell r="FQ614">
            <v>0</v>
          </cell>
          <cell r="IB614">
            <v>0</v>
          </cell>
          <cell r="IC614">
            <v>0</v>
          </cell>
          <cell r="ID614">
            <v>1</v>
          </cell>
          <cell r="IE614">
            <v>0</v>
          </cell>
          <cell r="IP614">
            <v>0</v>
          </cell>
          <cell r="IR614">
            <v>0</v>
          </cell>
          <cell r="IT614">
            <v>0</v>
          </cell>
          <cell r="IU614">
            <v>0</v>
          </cell>
        </row>
        <row r="615">
          <cell r="A615" t="str">
            <v>Isf-x</v>
          </cell>
          <cell r="E615" t="str">
            <v>Magtanggol St., Brgy.29 Caloocan City</v>
          </cell>
          <cell r="S615" t="str">
            <v>Male</v>
          </cell>
          <cell r="AK615" t="str">
            <v>ISF</v>
          </cell>
          <cell r="AN615">
            <v>0.91304347826086951</v>
          </cell>
          <cell r="AQ615">
            <v>0</v>
          </cell>
          <cell r="AS615">
            <v>0</v>
          </cell>
          <cell r="BM615">
            <v>0</v>
          </cell>
          <cell r="BN615">
            <v>0</v>
          </cell>
          <cell r="BR615">
            <v>0</v>
          </cell>
          <cell r="FQ615">
            <v>0</v>
          </cell>
          <cell r="IB615" t="str">
            <v>Y</v>
          </cell>
          <cell r="IC615">
            <v>0</v>
          </cell>
          <cell r="ID615">
            <v>0</v>
          </cell>
          <cell r="IE615">
            <v>0</v>
          </cell>
          <cell r="IP615">
            <v>0</v>
          </cell>
          <cell r="IR615">
            <v>0</v>
          </cell>
          <cell r="IT615">
            <v>0</v>
          </cell>
          <cell r="IU615">
            <v>0</v>
          </cell>
        </row>
        <row r="616">
          <cell r="A616" t="str">
            <v>isf-x</v>
          </cell>
          <cell r="E616" t="str">
            <v>252 L. Lupa St., Brgy.32 Maypajo Caloocan City</v>
          </cell>
          <cell r="S616" t="str">
            <v>Male</v>
          </cell>
          <cell r="AK616" t="str">
            <v>ISF</v>
          </cell>
          <cell r="AN616">
            <v>0.5</v>
          </cell>
          <cell r="AQ616">
            <v>0</v>
          </cell>
          <cell r="AS616">
            <v>0</v>
          </cell>
          <cell r="BM616">
            <v>0</v>
          </cell>
          <cell r="BN616">
            <v>0</v>
          </cell>
          <cell r="BR616">
            <v>0</v>
          </cell>
          <cell r="FQ616">
            <v>0</v>
          </cell>
          <cell r="IB616">
            <v>0</v>
          </cell>
          <cell r="IC616">
            <v>0</v>
          </cell>
          <cell r="ID616">
            <v>0</v>
          </cell>
          <cell r="IE616">
            <v>0</v>
          </cell>
          <cell r="IP616">
            <v>0</v>
          </cell>
          <cell r="IR616">
            <v>0</v>
          </cell>
          <cell r="IT616">
            <v>0</v>
          </cell>
          <cell r="IU616">
            <v>0</v>
          </cell>
        </row>
        <row r="617">
          <cell r="A617" t="str">
            <v>isf-x</v>
          </cell>
          <cell r="E617" t="str">
            <v>319 L. Lupa Brgy.32 May pajo Caloocan City</v>
          </cell>
          <cell r="S617" t="str">
            <v>Male</v>
          </cell>
          <cell r="AK617" t="str">
            <v>ISF</v>
          </cell>
          <cell r="AN617">
            <v>0.72268907563025209</v>
          </cell>
          <cell r="AQ617">
            <v>0</v>
          </cell>
          <cell r="AS617">
            <v>0</v>
          </cell>
          <cell r="BM617">
            <v>0</v>
          </cell>
          <cell r="BN617">
            <v>0</v>
          </cell>
          <cell r="BR617">
            <v>0</v>
          </cell>
          <cell r="FQ617">
            <v>0</v>
          </cell>
          <cell r="IB617">
            <v>0</v>
          </cell>
          <cell r="IC617">
            <v>0</v>
          </cell>
          <cell r="ID617">
            <v>0</v>
          </cell>
          <cell r="IE617">
            <v>0</v>
          </cell>
          <cell r="IP617">
            <v>0</v>
          </cell>
          <cell r="IR617">
            <v>0</v>
          </cell>
          <cell r="IT617">
            <v>0</v>
          </cell>
          <cell r="IU617">
            <v>0</v>
          </cell>
        </row>
        <row r="618">
          <cell r="A618" t="str">
            <v>isf-x</v>
          </cell>
          <cell r="E618" t="str">
            <v>309 L. Lupa Brgy.32 May pajo Caloocan City</v>
          </cell>
          <cell r="S618" t="str">
            <v>Male</v>
          </cell>
          <cell r="AK618" t="str">
            <v>ISF</v>
          </cell>
          <cell r="AN618">
            <v>0.52</v>
          </cell>
          <cell r="AQ618">
            <v>0</v>
          </cell>
          <cell r="AS618">
            <v>0</v>
          </cell>
          <cell r="BM618">
            <v>0</v>
          </cell>
          <cell r="BN618">
            <v>0</v>
          </cell>
          <cell r="BR618">
            <v>0</v>
          </cell>
          <cell r="FQ618">
            <v>0</v>
          </cell>
          <cell r="IB618">
            <v>0</v>
          </cell>
          <cell r="IC618">
            <v>0</v>
          </cell>
          <cell r="ID618">
            <v>0</v>
          </cell>
          <cell r="IE618">
            <v>0</v>
          </cell>
          <cell r="IP618" t="str">
            <v>Owner</v>
          </cell>
          <cell r="IR618" t="str">
            <v>Home/Small-scale Industry</v>
          </cell>
          <cell r="IT618" t="str">
            <v>x</v>
          </cell>
          <cell r="IU618">
            <v>0</v>
          </cell>
        </row>
        <row r="619">
          <cell r="A619" t="str">
            <v>isf-x</v>
          </cell>
          <cell r="E619" t="str">
            <v>313 L. Lupa Brgy.32 May pajo Caloocan City</v>
          </cell>
          <cell r="S619" t="str">
            <v>Female</v>
          </cell>
          <cell r="AK619" t="str">
            <v>ISF</v>
          </cell>
          <cell r="AN619">
            <v>1</v>
          </cell>
          <cell r="AQ619">
            <v>0</v>
          </cell>
          <cell r="AS619">
            <v>0</v>
          </cell>
          <cell r="BM619">
            <v>0</v>
          </cell>
          <cell r="BN619">
            <v>0</v>
          </cell>
          <cell r="BR619">
            <v>0</v>
          </cell>
          <cell r="FQ619">
            <v>0</v>
          </cell>
          <cell r="IB619">
            <v>0</v>
          </cell>
          <cell r="IC619">
            <v>0</v>
          </cell>
          <cell r="ID619" t="str">
            <v>Cecilia Cervantes (62)</v>
          </cell>
          <cell r="IE619">
            <v>0</v>
          </cell>
          <cell r="IP619">
            <v>0</v>
          </cell>
          <cell r="IR619">
            <v>0</v>
          </cell>
          <cell r="IT619">
            <v>0</v>
          </cell>
          <cell r="IU619">
            <v>0</v>
          </cell>
        </row>
        <row r="620">
          <cell r="A620" t="str">
            <v>isf-x</v>
          </cell>
          <cell r="E620" t="str">
            <v>313 L. Lupa May pajo Brgy.32 Caloocan City</v>
          </cell>
          <cell r="S620" t="str">
            <v>Female</v>
          </cell>
          <cell r="AK620" t="str">
            <v>ISF</v>
          </cell>
          <cell r="AN620">
            <v>0.3</v>
          </cell>
          <cell r="AQ620">
            <v>0</v>
          </cell>
          <cell r="AS620">
            <v>0</v>
          </cell>
          <cell r="BM620">
            <v>0</v>
          </cell>
          <cell r="BN620">
            <v>0</v>
          </cell>
          <cell r="BR620">
            <v>0</v>
          </cell>
          <cell r="FQ620">
            <v>0</v>
          </cell>
          <cell r="IB620">
            <v>0</v>
          </cell>
          <cell r="IC620">
            <v>0</v>
          </cell>
          <cell r="ID620" t="str">
            <v>Cecilia Cervantes (62)</v>
          </cell>
          <cell r="IE620">
            <v>0</v>
          </cell>
          <cell r="IP620">
            <v>0</v>
          </cell>
          <cell r="IR620">
            <v>0</v>
          </cell>
          <cell r="IT620">
            <v>0</v>
          </cell>
          <cell r="IU620">
            <v>0</v>
          </cell>
        </row>
        <row r="621">
          <cell r="A621" t="str">
            <v>isf</v>
          </cell>
          <cell r="E621" t="str">
            <v>27 L. Lupa May pajo Brgy.32 Caloocan City</v>
          </cell>
          <cell r="S621" t="str">
            <v>Male</v>
          </cell>
          <cell r="AK621" t="str">
            <v>ISF</v>
          </cell>
          <cell r="AN621">
            <v>0</v>
          </cell>
          <cell r="AQ621">
            <v>0</v>
          </cell>
          <cell r="AS621">
            <v>0</v>
          </cell>
          <cell r="BM621">
            <v>0</v>
          </cell>
          <cell r="BN621">
            <v>0</v>
          </cell>
          <cell r="BR621">
            <v>0</v>
          </cell>
          <cell r="FQ621">
            <v>0</v>
          </cell>
          <cell r="IB621">
            <v>0</v>
          </cell>
          <cell r="IC621">
            <v>0</v>
          </cell>
          <cell r="ID621">
            <v>0</v>
          </cell>
          <cell r="IE621">
            <v>0</v>
          </cell>
          <cell r="IP621">
            <v>0</v>
          </cell>
          <cell r="IR621">
            <v>0</v>
          </cell>
          <cell r="IT621">
            <v>0</v>
          </cell>
          <cell r="IU621">
            <v>0</v>
          </cell>
        </row>
        <row r="622">
          <cell r="A622" t="str">
            <v>isf</v>
          </cell>
          <cell r="E622" t="str">
            <v>30 L. Lupa Brgy.32 Caloocan City</v>
          </cell>
          <cell r="S622">
            <v>0</v>
          </cell>
          <cell r="AK622" t="str">
            <v>ISF</v>
          </cell>
          <cell r="AN622">
            <v>1</v>
          </cell>
          <cell r="AQ622">
            <v>0</v>
          </cell>
          <cell r="AS622">
            <v>0</v>
          </cell>
          <cell r="BM622">
            <v>0</v>
          </cell>
          <cell r="BN622">
            <v>0</v>
          </cell>
          <cell r="BR622">
            <v>0</v>
          </cell>
          <cell r="FQ622">
            <v>0</v>
          </cell>
          <cell r="IB622">
            <v>0</v>
          </cell>
          <cell r="IC622">
            <v>0</v>
          </cell>
          <cell r="ID622">
            <v>0</v>
          </cell>
          <cell r="IE622">
            <v>0</v>
          </cell>
          <cell r="IP622">
            <v>0</v>
          </cell>
          <cell r="IR622">
            <v>0</v>
          </cell>
          <cell r="IT622">
            <v>0</v>
          </cell>
          <cell r="IU622">
            <v>0</v>
          </cell>
        </row>
        <row r="623">
          <cell r="A623" t="str">
            <v>isf</v>
          </cell>
          <cell r="E623" t="str">
            <v>1036 Interior A. Mabini St., Brgy.33 May Pajo Caloocan City</v>
          </cell>
          <cell r="S623">
            <v>0</v>
          </cell>
          <cell r="AK623">
            <v>0</v>
          </cell>
          <cell r="AN623">
            <v>0.96825396825396826</v>
          </cell>
          <cell r="AQ623">
            <v>0</v>
          </cell>
          <cell r="AS623">
            <v>0</v>
          </cell>
          <cell r="BM623">
            <v>0</v>
          </cell>
          <cell r="BN623">
            <v>0</v>
          </cell>
          <cell r="BR623">
            <v>0</v>
          </cell>
          <cell r="FQ623">
            <v>0</v>
          </cell>
          <cell r="IB623">
            <v>0</v>
          </cell>
          <cell r="IC623">
            <v>0</v>
          </cell>
          <cell r="ID623">
            <v>0</v>
          </cell>
          <cell r="IE623">
            <v>0</v>
          </cell>
          <cell r="IP623">
            <v>0</v>
          </cell>
          <cell r="IR623">
            <v>0</v>
          </cell>
          <cell r="IT623">
            <v>0</v>
          </cell>
          <cell r="IU623">
            <v>0</v>
          </cell>
        </row>
        <row r="624">
          <cell r="A624" t="str">
            <v>isf</v>
          </cell>
          <cell r="E624" t="str">
            <v>1036 Interior 14 A. Mabini St., Brgy.33 May Pajo Caloocan City</v>
          </cell>
          <cell r="S624" t="str">
            <v>Male</v>
          </cell>
          <cell r="AK624" t="str">
            <v>ISF</v>
          </cell>
          <cell r="AN624">
            <v>0.45454545454545453</v>
          </cell>
          <cell r="AQ624">
            <v>0</v>
          </cell>
          <cell r="AS624">
            <v>0</v>
          </cell>
          <cell r="BM624" t="str">
            <v>Residential</v>
          </cell>
          <cell r="BN624">
            <v>0</v>
          </cell>
          <cell r="BR624">
            <v>0.45454545454545453</v>
          </cell>
          <cell r="FQ624" t="str">
            <v>Need Displacement</v>
          </cell>
          <cell r="IB624" t="str">
            <v>Y</v>
          </cell>
          <cell r="IC624">
            <v>0</v>
          </cell>
          <cell r="ID624">
            <v>0</v>
          </cell>
          <cell r="IE624">
            <v>1</v>
          </cell>
          <cell r="IP624">
            <v>0</v>
          </cell>
          <cell r="IR624">
            <v>0</v>
          </cell>
          <cell r="IT624">
            <v>0</v>
          </cell>
          <cell r="IU624">
            <v>0</v>
          </cell>
        </row>
        <row r="625">
          <cell r="A625" t="str">
            <v>isf</v>
          </cell>
          <cell r="E625" t="str">
            <v>1036 Interior 14 A. Mabini St., Brgy.33 May Pajo Caloocan City</v>
          </cell>
          <cell r="S625" t="str">
            <v>Male</v>
          </cell>
          <cell r="AK625" t="str">
            <v>ISF</v>
          </cell>
          <cell r="AN625">
            <v>1</v>
          </cell>
          <cell r="AQ625">
            <v>0</v>
          </cell>
          <cell r="AS625">
            <v>0</v>
          </cell>
          <cell r="BM625" t="str">
            <v>Residential</v>
          </cell>
          <cell r="BN625">
            <v>2</v>
          </cell>
          <cell r="BR625">
            <v>1</v>
          </cell>
          <cell r="FQ625" t="str">
            <v>Need Displacement</v>
          </cell>
          <cell r="IB625">
            <v>0</v>
          </cell>
          <cell r="IC625">
            <v>0</v>
          </cell>
          <cell r="ID625">
            <v>0</v>
          </cell>
          <cell r="IE625">
            <v>0</v>
          </cell>
          <cell r="IP625">
            <v>0</v>
          </cell>
          <cell r="IR625">
            <v>0</v>
          </cell>
          <cell r="IT625">
            <v>0</v>
          </cell>
          <cell r="IU625">
            <v>0</v>
          </cell>
        </row>
        <row r="626">
          <cell r="A626" t="str">
            <v>L-I</v>
          </cell>
          <cell r="E626" t="str">
            <v>1024 Interior.22 A. Mabini St., May Pajo Brgy.33 Caloocan City</v>
          </cell>
          <cell r="S626" t="str">
            <v>Male</v>
          </cell>
          <cell r="AK626" t="str">
            <v>ISF</v>
          </cell>
          <cell r="AN626">
            <v>0.72727272727272729</v>
          </cell>
          <cell r="AQ626" t="str">
            <v>CMP</v>
          </cell>
          <cell r="AS626" t="str">
            <v>Y</v>
          </cell>
          <cell r="BM626">
            <v>0</v>
          </cell>
          <cell r="BN626">
            <v>0</v>
          </cell>
          <cell r="BR626">
            <v>0</v>
          </cell>
          <cell r="FQ626">
            <v>0</v>
          </cell>
          <cell r="IB626">
            <v>0</v>
          </cell>
          <cell r="IC626">
            <v>0</v>
          </cell>
          <cell r="ID626">
            <v>0</v>
          </cell>
          <cell r="IE626">
            <v>0</v>
          </cell>
          <cell r="IP626">
            <v>0</v>
          </cell>
          <cell r="IR626">
            <v>0</v>
          </cell>
          <cell r="IT626">
            <v>0</v>
          </cell>
          <cell r="IU626">
            <v>0</v>
          </cell>
        </row>
        <row r="627">
          <cell r="A627" t="str">
            <v>L-I</v>
          </cell>
          <cell r="E627" t="str">
            <v>1036 Interior.6 A. Mabini St., May Pajo Brgy.33 Caloocan City</v>
          </cell>
          <cell r="S627">
            <v>0</v>
          </cell>
          <cell r="AK627" t="str">
            <v>ISF</v>
          </cell>
          <cell r="AN627">
            <v>0.72727272727272729</v>
          </cell>
          <cell r="AQ627" t="str">
            <v>CMP</v>
          </cell>
          <cell r="AS627" t="str">
            <v>Y</v>
          </cell>
          <cell r="BM627">
            <v>0</v>
          </cell>
          <cell r="BN627">
            <v>0</v>
          </cell>
          <cell r="BR627">
            <v>0</v>
          </cell>
          <cell r="FQ627">
            <v>0</v>
          </cell>
          <cell r="IB627">
            <v>0</v>
          </cell>
          <cell r="IC627">
            <v>0</v>
          </cell>
          <cell r="ID627">
            <v>0</v>
          </cell>
          <cell r="IE627">
            <v>0</v>
          </cell>
          <cell r="IP627">
            <v>0</v>
          </cell>
          <cell r="IR627">
            <v>0</v>
          </cell>
          <cell r="IT627">
            <v>0</v>
          </cell>
          <cell r="IU627">
            <v>0</v>
          </cell>
        </row>
        <row r="628">
          <cell r="A628" t="str">
            <v>isf-x</v>
          </cell>
          <cell r="E628" t="str">
            <v>1036 Interior.10 A. Mabini St., May Pajo Brgy.33 Caloocan City</v>
          </cell>
          <cell r="S628" t="str">
            <v>Male</v>
          </cell>
          <cell r="AK628" t="str">
            <v>ISF</v>
          </cell>
          <cell r="AN628">
            <v>0.60714285714285721</v>
          </cell>
          <cell r="AQ628">
            <v>0</v>
          </cell>
          <cell r="AS628">
            <v>0</v>
          </cell>
          <cell r="BM628">
            <v>0</v>
          </cell>
          <cell r="BN628">
            <v>0</v>
          </cell>
          <cell r="BR628">
            <v>0</v>
          </cell>
          <cell r="FQ628">
            <v>0</v>
          </cell>
          <cell r="IB628">
            <v>0</v>
          </cell>
          <cell r="IC628">
            <v>0</v>
          </cell>
          <cell r="ID628">
            <v>0</v>
          </cell>
          <cell r="IE628">
            <v>0</v>
          </cell>
          <cell r="IP628">
            <v>0</v>
          </cell>
          <cell r="IR628">
            <v>0</v>
          </cell>
          <cell r="IT628">
            <v>0</v>
          </cell>
          <cell r="IU628">
            <v>0</v>
          </cell>
        </row>
        <row r="629">
          <cell r="A629" t="str">
            <v>isf</v>
          </cell>
          <cell r="E629" t="str">
            <v>172, Dona Casimiro St., Maypajo, Brgy 33, Caloocan City</v>
          </cell>
          <cell r="S629" t="str">
            <v>Female</v>
          </cell>
          <cell r="AK629" t="str">
            <v>ISF</v>
          </cell>
          <cell r="AN629">
            <v>0.14705882352941177</v>
          </cell>
          <cell r="AQ629">
            <v>0</v>
          </cell>
          <cell r="AS629">
            <v>0</v>
          </cell>
          <cell r="BM629" t="str">
            <v>Residential</v>
          </cell>
          <cell r="BN629">
            <v>2</v>
          </cell>
          <cell r="BR629">
            <v>0.14726027397260275</v>
          </cell>
          <cell r="FQ629" t="str">
            <v>Can Stay (ACCESS BLOCK)</v>
          </cell>
          <cell r="IB629" t="str">
            <v>y</v>
          </cell>
          <cell r="IC629" t="str">
            <v>y</v>
          </cell>
          <cell r="ID629">
            <v>0</v>
          </cell>
          <cell r="IE629">
            <v>0</v>
          </cell>
          <cell r="IP629" t="str">
            <v>Owner</v>
          </cell>
          <cell r="IR629" t="str">
            <v>Agri business</v>
          </cell>
          <cell r="IT629">
            <v>0</v>
          </cell>
          <cell r="IU629" t="str">
            <v>x</v>
          </cell>
        </row>
        <row r="630">
          <cell r="A630" t="str">
            <v>isf</v>
          </cell>
          <cell r="E630" t="str">
            <v>1024 Interior.10 Mariano St., Brgy.33 Zone.3 Caloocan City</v>
          </cell>
          <cell r="S630" t="str">
            <v>Male</v>
          </cell>
          <cell r="AK630" t="str">
            <v>ISF</v>
          </cell>
          <cell r="AN630">
            <v>0.37209302325581395</v>
          </cell>
          <cell r="AQ630">
            <v>0</v>
          </cell>
          <cell r="AS630">
            <v>0</v>
          </cell>
          <cell r="BM630" t="str">
            <v>Residential</v>
          </cell>
          <cell r="BN630">
            <v>0</v>
          </cell>
          <cell r="BR630">
            <v>0.37209302325581395</v>
          </cell>
          <cell r="FQ630" t="str">
            <v>Can Stay (ACCESS BLOCK)</v>
          </cell>
          <cell r="IB630">
            <v>0</v>
          </cell>
          <cell r="IC630">
            <v>0</v>
          </cell>
          <cell r="ID630">
            <v>0</v>
          </cell>
          <cell r="IE630">
            <v>0</v>
          </cell>
          <cell r="IP630">
            <v>0</v>
          </cell>
          <cell r="IR630">
            <v>0</v>
          </cell>
          <cell r="IT630">
            <v>0</v>
          </cell>
          <cell r="IU630">
            <v>0</v>
          </cell>
        </row>
        <row r="631">
          <cell r="A631" t="str">
            <v>isf</v>
          </cell>
          <cell r="E631" t="str">
            <v>161 Doña Casimiro St., Maypajo Caloocan City Brgy.33</v>
          </cell>
          <cell r="S631" t="str">
            <v>Female</v>
          </cell>
          <cell r="AK631">
            <v>0</v>
          </cell>
          <cell r="AN631">
            <v>0</v>
          </cell>
          <cell r="AQ631">
            <v>0</v>
          </cell>
          <cell r="AS631">
            <v>0</v>
          </cell>
          <cell r="BM631" t="str">
            <v>Residential/Industrial</v>
          </cell>
          <cell r="BN631">
            <v>1</v>
          </cell>
          <cell r="BR631">
            <v>0</v>
          </cell>
          <cell r="FQ631" t="str">
            <v>Need Displacement</v>
          </cell>
          <cell r="IB631" t="str">
            <v>Y</v>
          </cell>
          <cell r="IC631" t="str">
            <v>Y</v>
          </cell>
          <cell r="ID631">
            <v>0</v>
          </cell>
          <cell r="IE631">
            <v>1</v>
          </cell>
          <cell r="IP631">
            <v>0</v>
          </cell>
          <cell r="IR631">
            <v>0</v>
          </cell>
          <cell r="IT631">
            <v>0</v>
          </cell>
          <cell r="IU631">
            <v>0</v>
          </cell>
        </row>
        <row r="632">
          <cell r="A632" t="str">
            <v>isf</v>
          </cell>
          <cell r="E632" t="str">
            <v>161 Interior 10 Mariano St., Maypajo Caloocan City Brgy.33</v>
          </cell>
          <cell r="S632" t="str">
            <v>Female</v>
          </cell>
          <cell r="AK632">
            <v>0</v>
          </cell>
          <cell r="AN632">
            <v>0</v>
          </cell>
          <cell r="AQ632">
            <v>0</v>
          </cell>
          <cell r="AS632">
            <v>0</v>
          </cell>
          <cell r="BM632" t="str">
            <v>Residential</v>
          </cell>
          <cell r="BN632">
            <v>0</v>
          </cell>
          <cell r="BR632">
            <v>0</v>
          </cell>
          <cell r="FQ632" t="str">
            <v>Need Displacement</v>
          </cell>
          <cell r="IB632">
            <v>0</v>
          </cell>
          <cell r="IC632" t="str">
            <v>Y</v>
          </cell>
          <cell r="ID632">
            <v>0</v>
          </cell>
          <cell r="IE632">
            <v>0</v>
          </cell>
          <cell r="IP632">
            <v>0</v>
          </cell>
          <cell r="IR632">
            <v>0</v>
          </cell>
          <cell r="IT632">
            <v>0</v>
          </cell>
          <cell r="IU632">
            <v>0</v>
          </cell>
        </row>
        <row r="633">
          <cell r="A633" t="str">
            <v>legal</v>
          </cell>
          <cell r="E633" t="str">
            <v>BRGY.33, Caloocan City</v>
          </cell>
          <cell r="S633">
            <v>0</v>
          </cell>
          <cell r="AK633">
            <v>0</v>
          </cell>
          <cell r="AN633">
            <v>0.25</v>
          </cell>
          <cell r="AQ633">
            <v>0</v>
          </cell>
          <cell r="AS633">
            <v>0</v>
          </cell>
          <cell r="BM633" t="str">
            <v>Residential</v>
          </cell>
          <cell r="BN633">
            <v>0</v>
          </cell>
          <cell r="BR633">
            <v>2.4590163934426229E-2</v>
          </cell>
          <cell r="FQ633" t="str">
            <v>Can Stay</v>
          </cell>
          <cell r="IB633">
            <v>0</v>
          </cell>
          <cell r="IC633">
            <v>0</v>
          </cell>
          <cell r="ID633">
            <v>0</v>
          </cell>
          <cell r="IE633">
            <v>0</v>
          </cell>
          <cell r="IP633">
            <v>0</v>
          </cell>
          <cell r="IR633">
            <v>0</v>
          </cell>
          <cell r="IT633">
            <v>0</v>
          </cell>
          <cell r="IU633">
            <v>0</v>
          </cell>
        </row>
        <row r="634">
          <cell r="A634" t="str">
            <v>legal</v>
          </cell>
          <cell r="E634" t="str">
            <v>Brgy. 33, Caloocan City</v>
          </cell>
          <cell r="S634">
            <v>0</v>
          </cell>
          <cell r="AK634">
            <v>0</v>
          </cell>
          <cell r="AN634">
            <v>0</v>
          </cell>
          <cell r="AQ634">
            <v>0</v>
          </cell>
          <cell r="AS634">
            <v>0</v>
          </cell>
          <cell r="BM634">
            <v>0</v>
          </cell>
          <cell r="BN634">
            <v>0</v>
          </cell>
          <cell r="BR634">
            <v>0</v>
          </cell>
          <cell r="FQ634">
            <v>0</v>
          </cell>
          <cell r="IB634">
            <v>0</v>
          </cell>
          <cell r="IC634">
            <v>0</v>
          </cell>
          <cell r="ID634">
            <v>0</v>
          </cell>
          <cell r="IE634">
            <v>0</v>
          </cell>
          <cell r="IP634">
            <v>0</v>
          </cell>
          <cell r="IR634">
            <v>0</v>
          </cell>
          <cell r="IT634">
            <v>0</v>
          </cell>
          <cell r="IU634">
            <v>0</v>
          </cell>
        </row>
        <row r="635">
          <cell r="A635">
            <v>0</v>
          </cell>
          <cell r="E635" t="str">
            <v>BRGY.33, Caloocan City</v>
          </cell>
          <cell r="S635">
            <v>0</v>
          </cell>
          <cell r="AK635">
            <v>0</v>
          </cell>
          <cell r="AN635">
            <v>0</v>
          </cell>
          <cell r="AQ635">
            <v>0</v>
          </cell>
          <cell r="AS635">
            <v>0</v>
          </cell>
          <cell r="BM635">
            <v>0</v>
          </cell>
          <cell r="BN635">
            <v>0</v>
          </cell>
          <cell r="BR635">
            <v>0</v>
          </cell>
          <cell r="FQ635" t="str">
            <v>Need Displacement</v>
          </cell>
          <cell r="IB635">
            <v>0</v>
          </cell>
          <cell r="IC635">
            <v>0</v>
          </cell>
          <cell r="ID635">
            <v>0</v>
          </cell>
          <cell r="IE635">
            <v>0</v>
          </cell>
          <cell r="IP635">
            <v>0</v>
          </cell>
          <cell r="IR635">
            <v>0</v>
          </cell>
          <cell r="IT635">
            <v>0</v>
          </cell>
          <cell r="IU635">
            <v>0</v>
          </cell>
        </row>
        <row r="636">
          <cell r="A636" t="str">
            <v>isf</v>
          </cell>
          <cell r="E636" t="str">
            <v>88-B Guido II, Brgy.33 Caloocan City</v>
          </cell>
          <cell r="S636" t="str">
            <v>Male</v>
          </cell>
          <cell r="AK636" t="str">
            <v>ISF</v>
          </cell>
          <cell r="AN636">
            <v>1</v>
          </cell>
          <cell r="AQ636">
            <v>0</v>
          </cell>
          <cell r="AS636">
            <v>0</v>
          </cell>
          <cell r="BM636" t="str">
            <v>Residential</v>
          </cell>
          <cell r="BN636">
            <v>0</v>
          </cell>
          <cell r="BR636">
            <v>1</v>
          </cell>
          <cell r="FQ636" t="str">
            <v>Need Displacement</v>
          </cell>
          <cell r="IB636">
            <v>0</v>
          </cell>
          <cell r="IC636">
            <v>0</v>
          </cell>
          <cell r="ID636">
            <v>1</v>
          </cell>
          <cell r="IE636">
            <v>1</v>
          </cell>
          <cell r="IP636">
            <v>0</v>
          </cell>
          <cell r="IR636">
            <v>0</v>
          </cell>
          <cell r="IT636">
            <v>0</v>
          </cell>
          <cell r="IU636">
            <v>0</v>
          </cell>
        </row>
        <row r="637">
          <cell r="A637" t="str">
            <v>legal</v>
          </cell>
          <cell r="E637" t="str">
            <v>122 Guido II, Brgy.33 Zone.3 Caloocan City</v>
          </cell>
          <cell r="S637" t="str">
            <v>Male</v>
          </cell>
          <cell r="AK637" t="str">
            <v>Owner</v>
          </cell>
          <cell r="AN637">
            <v>7.7586206896551727E-2</v>
          </cell>
          <cell r="AQ637">
            <v>0</v>
          </cell>
          <cell r="AS637" t="str">
            <v>Y</v>
          </cell>
          <cell r="BM637" t="str">
            <v>Residential</v>
          </cell>
          <cell r="BN637">
            <v>0</v>
          </cell>
          <cell r="BR637">
            <v>7.7586206896551727E-2</v>
          </cell>
          <cell r="FQ637" t="str">
            <v>Can Stay</v>
          </cell>
          <cell r="IB637">
            <v>0</v>
          </cell>
          <cell r="IC637">
            <v>0</v>
          </cell>
          <cell r="ID637">
            <v>1</v>
          </cell>
          <cell r="IE637">
            <v>0</v>
          </cell>
          <cell r="IP637">
            <v>0</v>
          </cell>
          <cell r="IR637">
            <v>0</v>
          </cell>
          <cell r="IT637">
            <v>0</v>
          </cell>
          <cell r="IU637">
            <v>0</v>
          </cell>
        </row>
        <row r="638">
          <cell r="A638" t="str">
            <v>legal</v>
          </cell>
          <cell r="E638" t="str">
            <v>88 Guido II, Maypajo St., Brgy.33 Caloocan City</v>
          </cell>
          <cell r="S638" t="str">
            <v>Female</v>
          </cell>
          <cell r="AK638" t="str">
            <v>Owner</v>
          </cell>
          <cell r="AN638">
            <v>0.17699115044247787</v>
          </cell>
          <cell r="AQ638">
            <v>0</v>
          </cell>
          <cell r="AS638" t="str">
            <v>Y</v>
          </cell>
          <cell r="BM638" t="str">
            <v>Residential</v>
          </cell>
          <cell r="BN638">
            <v>0</v>
          </cell>
          <cell r="BR638">
            <v>0.17892900975389187</v>
          </cell>
          <cell r="FQ638" t="str">
            <v>Can Stay (ACCESS BLOCK)</v>
          </cell>
          <cell r="IB638">
            <v>0</v>
          </cell>
          <cell r="IC638">
            <v>0</v>
          </cell>
          <cell r="ID638">
            <v>0</v>
          </cell>
          <cell r="IE638">
            <v>0</v>
          </cell>
          <cell r="IP638">
            <v>0</v>
          </cell>
          <cell r="IR638">
            <v>0</v>
          </cell>
          <cell r="IT638">
            <v>0</v>
          </cell>
          <cell r="IU638">
            <v>0</v>
          </cell>
        </row>
        <row r="639">
          <cell r="A639" t="str">
            <v>legal</v>
          </cell>
          <cell r="E639" t="str">
            <v>88 Guido II, Maypajo St., Brgy.33 Caloocan City</v>
          </cell>
          <cell r="S639" t="str">
            <v>Male</v>
          </cell>
          <cell r="AK639" t="str">
            <v>Land Owner</v>
          </cell>
          <cell r="AN639">
            <v>0.18</v>
          </cell>
          <cell r="AQ639">
            <v>0</v>
          </cell>
          <cell r="AS639" t="str">
            <v>Y</v>
          </cell>
          <cell r="BM639" t="str">
            <v>Residential</v>
          </cell>
          <cell r="BN639">
            <v>1</v>
          </cell>
          <cell r="BR639">
            <v>0.18</v>
          </cell>
          <cell r="FQ639" t="str">
            <v>Can Stay (Access Block)</v>
          </cell>
          <cell r="IB639">
            <v>0</v>
          </cell>
          <cell r="IC639">
            <v>0</v>
          </cell>
          <cell r="ID639">
            <v>2</v>
          </cell>
          <cell r="IE639">
            <v>0</v>
          </cell>
          <cell r="IP639">
            <v>0</v>
          </cell>
          <cell r="IR639">
            <v>0</v>
          </cell>
          <cell r="IT639">
            <v>0</v>
          </cell>
          <cell r="IU639">
            <v>0</v>
          </cell>
        </row>
        <row r="640">
          <cell r="A640" t="str">
            <v>legal</v>
          </cell>
          <cell r="E640" t="str">
            <v>88 Guido II, Maypajo St., Brgy.33 Caloocan City</v>
          </cell>
          <cell r="S640" t="str">
            <v>Male</v>
          </cell>
          <cell r="AK640" t="str">
            <v>Owner</v>
          </cell>
          <cell r="AN640">
            <v>0.12000000000000001</v>
          </cell>
          <cell r="AQ640">
            <v>0</v>
          </cell>
          <cell r="AS640" t="str">
            <v>Y</v>
          </cell>
          <cell r="BM640" t="str">
            <v>Residential</v>
          </cell>
          <cell r="BN640">
            <v>0</v>
          </cell>
          <cell r="BR640">
            <v>0.12000000000000001</v>
          </cell>
          <cell r="FQ640" t="str">
            <v>Can Stay (ACCESS BLOCK)</v>
          </cell>
          <cell r="IB640">
            <v>0</v>
          </cell>
          <cell r="IC640">
            <v>0</v>
          </cell>
          <cell r="ID640">
            <v>0</v>
          </cell>
          <cell r="IE640">
            <v>0</v>
          </cell>
          <cell r="IP640" t="str">
            <v>Owner</v>
          </cell>
          <cell r="IR640" t="str">
            <v>Home/Small-scale Industry</v>
          </cell>
          <cell r="IT640">
            <v>0</v>
          </cell>
          <cell r="IU640" t="str">
            <v>x</v>
          </cell>
        </row>
        <row r="641">
          <cell r="A641" t="str">
            <v>legal</v>
          </cell>
          <cell r="E641" t="str">
            <v>133 Guido 1, Brgy.184 Gagalangin Tondo Manila</v>
          </cell>
          <cell r="S641" t="str">
            <v>Female</v>
          </cell>
          <cell r="AK641" t="str">
            <v>Land Owner</v>
          </cell>
          <cell r="AN641">
            <v>0.71724137931034493</v>
          </cell>
          <cell r="AQ641">
            <v>0</v>
          </cell>
          <cell r="AS641" t="str">
            <v>Y</v>
          </cell>
          <cell r="BM641" t="str">
            <v>Residential</v>
          </cell>
          <cell r="BN641">
            <v>0</v>
          </cell>
          <cell r="BR641">
            <v>0.72000000000000008</v>
          </cell>
          <cell r="FQ641" t="str">
            <v>Need Displacement</v>
          </cell>
          <cell r="IB641">
            <v>0</v>
          </cell>
          <cell r="IC641" t="str">
            <v>Y</v>
          </cell>
          <cell r="ID641">
            <v>0</v>
          </cell>
          <cell r="IE641">
            <v>0</v>
          </cell>
          <cell r="IP641">
            <v>0</v>
          </cell>
          <cell r="IR641">
            <v>0</v>
          </cell>
          <cell r="IT641">
            <v>0</v>
          </cell>
          <cell r="IU641">
            <v>0</v>
          </cell>
        </row>
        <row r="642">
          <cell r="A642" t="str">
            <v>legal</v>
          </cell>
          <cell r="E642" t="str">
            <v>133 Guido 1, Brgy.184 Gagalangin Tondo Manila</v>
          </cell>
          <cell r="S642" t="str">
            <v>Female</v>
          </cell>
          <cell r="AK642" t="str">
            <v>Owner</v>
          </cell>
          <cell r="AN642">
            <v>0.09</v>
          </cell>
          <cell r="AQ642">
            <v>0</v>
          </cell>
          <cell r="AS642" t="str">
            <v>Y</v>
          </cell>
          <cell r="BM642" t="str">
            <v>Residential</v>
          </cell>
          <cell r="BN642">
            <v>1</v>
          </cell>
          <cell r="BR642">
            <v>5.5045871559633024E-2</v>
          </cell>
          <cell r="FQ642" t="str">
            <v>Need Displacement</v>
          </cell>
          <cell r="IB642">
            <v>0</v>
          </cell>
          <cell r="IC642" t="str">
            <v>Y</v>
          </cell>
          <cell r="ID642">
            <v>1</v>
          </cell>
          <cell r="IE642">
            <v>0</v>
          </cell>
          <cell r="IP642" t="str">
            <v>Owner</v>
          </cell>
          <cell r="IR642" t="str">
            <v>Trading/retailing</v>
          </cell>
          <cell r="IT642">
            <v>0</v>
          </cell>
          <cell r="IU642" t="str">
            <v>x</v>
          </cell>
        </row>
        <row r="643">
          <cell r="A643" t="str">
            <v>legal</v>
          </cell>
          <cell r="E643" t="str">
            <v>764 Guido 1, Juan Luna Brgy.184 Tondo Manila</v>
          </cell>
          <cell r="S643">
            <v>0</v>
          </cell>
          <cell r="AK643" t="str">
            <v>Land Owner</v>
          </cell>
          <cell r="AN643">
            <v>0.32727272727272727</v>
          </cell>
          <cell r="AQ643">
            <v>0</v>
          </cell>
          <cell r="AS643" t="str">
            <v>Y</v>
          </cell>
          <cell r="BM643" t="str">
            <v>Residential/Commercial</v>
          </cell>
          <cell r="BN643">
            <v>0</v>
          </cell>
          <cell r="BR643">
            <v>0.32727272727272727</v>
          </cell>
          <cell r="FQ643" t="str">
            <v>Need Displacement</v>
          </cell>
          <cell r="IB643">
            <v>0</v>
          </cell>
          <cell r="IC643">
            <v>0</v>
          </cell>
          <cell r="ID643">
            <v>0</v>
          </cell>
          <cell r="IE643">
            <v>0</v>
          </cell>
          <cell r="IP643">
            <v>0</v>
          </cell>
          <cell r="IR643">
            <v>0</v>
          </cell>
          <cell r="IT643">
            <v>0</v>
          </cell>
          <cell r="IU643">
            <v>0</v>
          </cell>
        </row>
        <row r="644">
          <cell r="A644" t="str">
            <v>Legal</v>
          </cell>
          <cell r="E644" t="str">
            <v>764 Guido 1, Juan Luna Brgy.184 Tondo Manila</v>
          </cell>
          <cell r="S644" t="str">
            <v>Female</v>
          </cell>
          <cell r="AK644" t="str">
            <v>Land owner</v>
          </cell>
          <cell r="AN644">
            <v>0.32727272727272727</v>
          </cell>
          <cell r="AQ644">
            <v>0</v>
          </cell>
          <cell r="AS644">
            <v>0</v>
          </cell>
          <cell r="BM644" t="str">
            <v>Residential</v>
          </cell>
          <cell r="BN644">
            <v>0</v>
          </cell>
          <cell r="BR644">
            <v>0.32727272727272727</v>
          </cell>
          <cell r="FQ644" t="str">
            <v>Need Displacement</v>
          </cell>
          <cell r="IB644">
            <v>0</v>
          </cell>
          <cell r="IC644" t="str">
            <v>Y</v>
          </cell>
          <cell r="ID644">
            <v>0</v>
          </cell>
          <cell r="IE644">
            <v>0</v>
          </cell>
          <cell r="IP644">
            <v>0</v>
          </cell>
          <cell r="IR644">
            <v>0</v>
          </cell>
          <cell r="IT644">
            <v>0</v>
          </cell>
          <cell r="IU644">
            <v>0</v>
          </cell>
        </row>
        <row r="645">
          <cell r="A645" t="str">
            <v>legal</v>
          </cell>
          <cell r="E645" t="str">
            <v>764 Guido I St., Juan Luna, Brgy.184 Tondo Manila</v>
          </cell>
          <cell r="S645" t="str">
            <v>Male</v>
          </cell>
          <cell r="AK645" t="str">
            <v>Land owner</v>
          </cell>
          <cell r="AN645">
            <v>0.32727272727272727</v>
          </cell>
          <cell r="AQ645">
            <v>0</v>
          </cell>
          <cell r="AS645" t="str">
            <v>Y</v>
          </cell>
          <cell r="BM645" t="str">
            <v>Commercial</v>
          </cell>
          <cell r="BN645">
            <v>0</v>
          </cell>
          <cell r="BR645">
            <v>0.32727272727272727</v>
          </cell>
          <cell r="FQ645" t="str">
            <v>Need Displacement</v>
          </cell>
          <cell r="IB645">
            <v>0</v>
          </cell>
          <cell r="IC645">
            <v>0</v>
          </cell>
          <cell r="ID645">
            <v>0</v>
          </cell>
          <cell r="IE645">
            <v>0</v>
          </cell>
          <cell r="IP645" t="str">
            <v>Owner</v>
          </cell>
          <cell r="IR645" t="str">
            <v>Trading/retailing</v>
          </cell>
          <cell r="IT645" t="str">
            <v>x</v>
          </cell>
          <cell r="IU645">
            <v>0</v>
          </cell>
        </row>
        <row r="646">
          <cell r="A646" t="str">
            <v>legal</v>
          </cell>
          <cell r="E646" t="str">
            <v>766 Guido I, Juan Luna, Brgy.184 Tondo Manila</v>
          </cell>
          <cell r="S646" t="str">
            <v>Female</v>
          </cell>
          <cell r="AK646" t="str">
            <v>Land Owner</v>
          </cell>
          <cell r="AN646">
            <v>0.43396226415094336</v>
          </cell>
          <cell r="AQ646">
            <v>0</v>
          </cell>
          <cell r="AS646" t="str">
            <v>Y</v>
          </cell>
          <cell r="BM646" t="str">
            <v>Residential</v>
          </cell>
          <cell r="BN646">
            <v>0</v>
          </cell>
          <cell r="BR646">
            <v>0.43396226415094336</v>
          </cell>
          <cell r="FQ646" t="str">
            <v>Need Displacement</v>
          </cell>
          <cell r="IB646">
            <v>0</v>
          </cell>
          <cell r="IC646" t="str">
            <v>Y</v>
          </cell>
          <cell r="ID646">
            <v>0</v>
          </cell>
          <cell r="IE646">
            <v>0</v>
          </cell>
          <cell r="IP646">
            <v>0</v>
          </cell>
          <cell r="IR646">
            <v>0</v>
          </cell>
          <cell r="IT646">
            <v>0</v>
          </cell>
          <cell r="IU646">
            <v>0</v>
          </cell>
        </row>
        <row r="647">
          <cell r="A647" t="str">
            <v>Isf-x</v>
          </cell>
          <cell r="E647" t="str">
            <v>988 Murong St., Brgy.186, Tondo Manila</v>
          </cell>
          <cell r="S647">
            <v>0</v>
          </cell>
          <cell r="AK647" t="str">
            <v>ISF</v>
          </cell>
          <cell r="AN647">
            <v>1</v>
          </cell>
          <cell r="AQ647">
            <v>0</v>
          </cell>
          <cell r="AS647">
            <v>0</v>
          </cell>
          <cell r="BM647">
            <v>0</v>
          </cell>
          <cell r="BN647">
            <v>0</v>
          </cell>
          <cell r="BR647">
            <v>0</v>
          </cell>
          <cell r="FQ647">
            <v>0</v>
          </cell>
          <cell r="IB647">
            <v>0</v>
          </cell>
          <cell r="IC647">
            <v>0</v>
          </cell>
          <cell r="ID647">
            <v>0</v>
          </cell>
          <cell r="IE647">
            <v>0</v>
          </cell>
          <cell r="IP647">
            <v>0</v>
          </cell>
          <cell r="IR647">
            <v>0</v>
          </cell>
          <cell r="IT647">
            <v>0</v>
          </cell>
          <cell r="IU647">
            <v>0</v>
          </cell>
        </row>
        <row r="648">
          <cell r="A648" t="str">
            <v>isf</v>
          </cell>
          <cell r="E648" t="str">
            <v>742 Benito St., Brgy.185 Zone.16 Gagalangin Tondo Manila</v>
          </cell>
          <cell r="S648" t="str">
            <v>Male</v>
          </cell>
          <cell r="AK648" t="str">
            <v>ISF</v>
          </cell>
          <cell r="AN648">
            <v>1</v>
          </cell>
          <cell r="AQ648">
            <v>0</v>
          </cell>
          <cell r="AS648">
            <v>0</v>
          </cell>
          <cell r="BM648" t="str">
            <v>Residential</v>
          </cell>
          <cell r="BN648">
            <v>1</v>
          </cell>
          <cell r="BR648">
            <v>1</v>
          </cell>
          <cell r="FQ648" t="str">
            <v>Need Displacement</v>
          </cell>
          <cell r="IB648" t="str">
            <v>Y</v>
          </cell>
          <cell r="IC648">
            <v>0</v>
          </cell>
          <cell r="ID648">
            <v>0</v>
          </cell>
          <cell r="IE648">
            <v>0</v>
          </cell>
          <cell r="IP648">
            <v>0</v>
          </cell>
          <cell r="IR648">
            <v>0</v>
          </cell>
          <cell r="IT648">
            <v>0</v>
          </cell>
          <cell r="IU648">
            <v>0</v>
          </cell>
        </row>
        <row r="649">
          <cell r="A649" t="str">
            <v>legal</v>
          </cell>
          <cell r="E649" t="str">
            <v>Brgy.204, Tondo Manila</v>
          </cell>
          <cell r="S649">
            <v>0</v>
          </cell>
          <cell r="AK649">
            <v>0</v>
          </cell>
          <cell r="AN649">
            <v>0.16666666666666666</v>
          </cell>
          <cell r="AQ649">
            <v>0</v>
          </cell>
          <cell r="AS649">
            <v>0</v>
          </cell>
          <cell r="BM649" t="str">
            <v>Institutional</v>
          </cell>
          <cell r="BN649">
            <v>0</v>
          </cell>
          <cell r="BR649">
            <v>0</v>
          </cell>
          <cell r="FQ649">
            <v>0</v>
          </cell>
          <cell r="IB649">
            <v>0</v>
          </cell>
          <cell r="IC649">
            <v>0</v>
          </cell>
          <cell r="ID649">
            <v>0</v>
          </cell>
          <cell r="IE649">
            <v>0</v>
          </cell>
          <cell r="IP649">
            <v>0</v>
          </cell>
          <cell r="IR649">
            <v>0</v>
          </cell>
          <cell r="IT649">
            <v>0</v>
          </cell>
          <cell r="IU649">
            <v>0</v>
          </cell>
        </row>
        <row r="650">
          <cell r="A650" t="str">
            <v>isf-x</v>
          </cell>
          <cell r="E650" t="str">
            <v>2686 Dagupan Ext., Brgy.165 Zone.14 Tondo Manila</v>
          </cell>
          <cell r="S650" t="str">
            <v>Male</v>
          </cell>
          <cell r="AK650" t="str">
            <v>ISF</v>
          </cell>
          <cell r="AN650">
            <v>1</v>
          </cell>
          <cell r="AQ650">
            <v>0</v>
          </cell>
          <cell r="AS650">
            <v>0</v>
          </cell>
          <cell r="BM650">
            <v>0</v>
          </cell>
          <cell r="BN650">
            <v>0</v>
          </cell>
          <cell r="BR650">
            <v>0</v>
          </cell>
          <cell r="FQ650">
            <v>0</v>
          </cell>
          <cell r="IB650">
            <v>0</v>
          </cell>
          <cell r="IC650">
            <v>0</v>
          </cell>
          <cell r="ID650">
            <v>0</v>
          </cell>
          <cell r="IE650">
            <v>0</v>
          </cell>
          <cell r="IP650">
            <v>0</v>
          </cell>
          <cell r="IR650">
            <v>0</v>
          </cell>
          <cell r="IT650">
            <v>0</v>
          </cell>
          <cell r="IU650">
            <v>0</v>
          </cell>
        </row>
        <row r="651">
          <cell r="A651" t="str">
            <v>isf-x</v>
          </cell>
          <cell r="E651" t="str">
            <v>2686 Dagupan Ext., Brgy.165 Zone.14 Tondo Manila</v>
          </cell>
          <cell r="S651">
            <v>0</v>
          </cell>
          <cell r="AK651" t="str">
            <v>ISF</v>
          </cell>
          <cell r="AN651">
            <v>0.83333333333333337</v>
          </cell>
          <cell r="AQ651">
            <v>0</v>
          </cell>
          <cell r="AS651">
            <v>0</v>
          </cell>
          <cell r="BM651">
            <v>0</v>
          </cell>
          <cell r="BN651">
            <v>0</v>
          </cell>
          <cell r="BR651">
            <v>0</v>
          </cell>
          <cell r="FQ651">
            <v>0</v>
          </cell>
          <cell r="IB651">
            <v>0</v>
          </cell>
          <cell r="IC651">
            <v>0</v>
          </cell>
          <cell r="ID651">
            <v>0</v>
          </cell>
          <cell r="IE651">
            <v>0</v>
          </cell>
          <cell r="IP651">
            <v>0</v>
          </cell>
          <cell r="IR651">
            <v>0</v>
          </cell>
          <cell r="IT651">
            <v>0</v>
          </cell>
          <cell r="IU651">
            <v>0</v>
          </cell>
        </row>
        <row r="652">
          <cell r="A652" t="str">
            <v>isf-x</v>
          </cell>
          <cell r="E652" t="str">
            <v>2674 Dagupan Ext., Brgy.165 Zone.14 Tondo Manila</v>
          </cell>
          <cell r="S652">
            <v>0</v>
          </cell>
          <cell r="AK652" t="str">
            <v>ISF</v>
          </cell>
          <cell r="AN652">
            <v>0.5</v>
          </cell>
          <cell r="AQ652">
            <v>0</v>
          </cell>
          <cell r="AS652">
            <v>0</v>
          </cell>
          <cell r="BM652">
            <v>0</v>
          </cell>
          <cell r="BN652">
            <v>0</v>
          </cell>
          <cell r="BR652">
            <v>0</v>
          </cell>
          <cell r="FQ652">
            <v>0</v>
          </cell>
          <cell r="IB652">
            <v>0</v>
          </cell>
          <cell r="IC652">
            <v>0</v>
          </cell>
          <cell r="ID652">
            <v>0</v>
          </cell>
          <cell r="IE652">
            <v>0</v>
          </cell>
          <cell r="IP652">
            <v>0</v>
          </cell>
          <cell r="IR652">
            <v>0</v>
          </cell>
          <cell r="IT652">
            <v>0</v>
          </cell>
          <cell r="IU652">
            <v>0</v>
          </cell>
        </row>
        <row r="653">
          <cell r="A653" t="str">
            <v>isf-x</v>
          </cell>
          <cell r="E653" t="str">
            <v>2650 Dagupan Ext., Brgy.164 Zone.14 Tondo Manila</v>
          </cell>
          <cell r="S653">
            <v>0</v>
          </cell>
          <cell r="AK653" t="str">
            <v>ISF</v>
          </cell>
          <cell r="AN653">
            <v>1</v>
          </cell>
          <cell r="AQ653">
            <v>0</v>
          </cell>
          <cell r="AS653">
            <v>0</v>
          </cell>
          <cell r="BM653">
            <v>0</v>
          </cell>
          <cell r="BN653">
            <v>0</v>
          </cell>
          <cell r="BR653">
            <v>0</v>
          </cell>
          <cell r="FQ653">
            <v>0</v>
          </cell>
          <cell r="IB653">
            <v>0</v>
          </cell>
          <cell r="IC653">
            <v>0</v>
          </cell>
          <cell r="ID653">
            <v>0</v>
          </cell>
          <cell r="IE653">
            <v>0</v>
          </cell>
          <cell r="IP653">
            <v>0</v>
          </cell>
          <cell r="IR653">
            <v>0</v>
          </cell>
          <cell r="IT653">
            <v>0</v>
          </cell>
          <cell r="IU653">
            <v>0</v>
          </cell>
        </row>
        <row r="654">
          <cell r="A654" t="str">
            <v>isf-x</v>
          </cell>
          <cell r="E654" t="str">
            <v>2646 Dagupan Ext., Tondo Manila Brgy.164</v>
          </cell>
          <cell r="S654">
            <v>0</v>
          </cell>
          <cell r="AK654" t="str">
            <v>ISF</v>
          </cell>
          <cell r="AN654">
            <v>1</v>
          </cell>
          <cell r="AQ654">
            <v>0</v>
          </cell>
          <cell r="AS654">
            <v>0</v>
          </cell>
          <cell r="BM654">
            <v>0</v>
          </cell>
          <cell r="BN654">
            <v>0</v>
          </cell>
          <cell r="BR654">
            <v>0</v>
          </cell>
          <cell r="FQ654">
            <v>0</v>
          </cell>
          <cell r="IB654">
            <v>0</v>
          </cell>
          <cell r="IC654">
            <v>0</v>
          </cell>
          <cell r="ID654">
            <v>0</v>
          </cell>
          <cell r="IE654">
            <v>0</v>
          </cell>
          <cell r="IP654">
            <v>0</v>
          </cell>
          <cell r="IR654">
            <v>0</v>
          </cell>
          <cell r="IT654">
            <v>0</v>
          </cell>
          <cell r="IU654">
            <v>0</v>
          </cell>
        </row>
        <row r="655">
          <cell r="A655" t="str">
            <v>isf-x</v>
          </cell>
          <cell r="E655" t="str">
            <v>2630 Dagupan Ext., Brgy.164 Tondo Manila</v>
          </cell>
          <cell r="S655">
            <v>0</v>
          </cell>
          <cell r="AK655" t="str">
            <v>ISF</v>
          </cell>
          <cell r="AN655">
            <v>1</v>
          </cell>
          <cell r="AQ655">
            <v>0</v>
          </cell>
          <cell r="AS655">
            <v>0</v>
          </cell>
          <cell r="BM655">
            <v>0</v>
          </cell>
          <cell r="BN655">
            <v>0</v>
          </cell>
          <cell r="BR655">
            <v>0</v>
          </cell>
          <cell r="FQ655">
            <v>0</v>
          </cell>
          <cell r="IB655">
            <v>0</v>
          </cell>
          <cell r="IC655">
            <v>0</v>
          </cell>
          <cell r="ID655">
            <v>0</v>
          </cell>
          <cell r="IE655">
            <v>0</v>
          </cell>
          <cell r="IP655">
            <v>0</v>
          </cell>
          <cell r="IR655">
            <v>0</v>
          </cell>
          <cell r="IT655">
            <v>0</v>
          </cell>
          <cell r="IU655">
            <v>0</v>
          </cell>
        </row>
        <row r="656">
          <cell r="A656" t="str">
            <v>isf-x</v>
          </cell>
          <cell r="E656" t="str">
            <v>2629 Dagupan Ext., Brgy.164 Zone.14 Tondo Manila</v>
          </cell>
          <cell r="S656">
            <v>0</v>
          </cell>
          <cell r="AK656" t="str">
            <v>ISF</v>
          </cell>
          <cell r="AN656">
            <v>1</v>
          </cell>
          <cell r="AQ656">
            <v>0</v>
          </cell>
          <cell r="AS656">
            <v>0</v>
          </cell>
          <cell r="BM656">
            <v>0</v>
          </cell>
          <cell r="BN656">
            <v>0</v>
          </cell>
          <cell r="BR656">
            <v>0</v>
          </cell>
          <cell r="FQ656">
            <v>0</v>
          </cell>
          <cell r="IB656">
            <v>0</v>
          </cell>
          <cell r="IC656">
            <v>0</v>
          </cell>
          <cell r="ID656">
            <v>0</v>
          </cell>
          <cell r="IE656">
            <v>0</v>
          </cell>
          <cell r="IP656">
            <v>0</v>
          </cell>
          <cell r="IR656">
            <v>0</v>
          </cell>
          <cell r="IT656">
            <v>0</v>
          </cell>
          <cell r="IU656">
            <v>0</v>
          </cell>
        </row>
        <row r="657">
          <cell r="A657" t="str">
            <v>isf-x</v>
          </cell>
          <cell r="E657" t="str">
            <v>2626 Dagupan Ext., Brgy.164 Zone.14 Tondo Manila</v>
          </cell>
          <cell r="S657">
            <v>0</v>
          </cell>
          <cell r="AK657" t="str">
            <v>ISF</v>
          </cell>
          <cell r="AN657">
            <v>1</v>
          </cell>
          <cell r="AQ657">
            <v>0</v>
          </cell>
          <cell r="AS657">
            <v>0</v>
          </cell>
          <cell r="BM657">
            <v>0</v>
          </cell>
          <cell r="BN657">
            <v>0</v>
          </cell>
          <cell r="BR657">
            <v>0</v>
          </cell>
          <cell r="FQ657">
            <v>0</v>
          </cell>
          <cell r="IB657">
            <v>0</v>
          </cell>
          <cell r="IC657">
            <v>0</v>
          </cell>
          <cell r="ID657">
            <v>0</v>
          </cell>
          <cell r="IE657">
            <v>0</v>
          </cell>
          <cell r="IP657">
            <v>0</v>
          </cell>
          <cell r="IR657">
            <v>0</v>
          </cell>
          <cell r="IT657">
            <v>0</v>
          </cell>
          <cell r="IU657">
            <v>0</v>
          </cell>
        </row>
        <row r="658">
          <cell r="A658" t="str">
            <v>isf-x</v>
          </cell>
          <cell r="E658" t="str">
            <v>2626 Dagupan Ext., Brgy.164 Tondo Manila</v>
          </cell>
          <cell r="S658">
            <v>0</v>
          </cell>
          <cell r="AK658" t="str">
            <v>ISF</v>
          </cell>
          <cell r="AN658">
            <v>0.5</v>
          </cell>
          <cell r="AQ658">
            <v>0</v>
          </cell>
          <cell r="AS658">
            <v>0</v>
          </cell>
          <cell r="BM658">
            <v>0</v>
          </cell>
          <cell r="BN658">
            <v>0</v>
          </cell>
          <cell r="BR658">
            <v>0</v>
          </cell>
          <cell r="FQ658">
            <v>0</v>
          </cell>
          <cell r="IB658">
            <v>0</v>
          </cell>
          <cell r="IC658">
            <v>0</v>
          </cell>
          <cell r="ID658">
            <v>0</v>
          </cell>
          <cell r="IE658">
            <v>0</v>
          </cell>
          <cell r="IP658">
            <v>0</v>
          </cell>
          <cell r="IR658">
            <v>0</v>
          </cell>
          <cell r="IT658">
            <v>0</v>
          </cell>
          <cell r="IU658">
            <v>0</v>
          </cell>
        </row>
        <row r="659">
          <cell r="A659" t="str">
            <v>isf-x</v>
          </cell>
          <cell r="E659" t="str">
            <v>2624 Dagupan Ext., Brgy.164 Tondo Manila</v>
          </cell>
          <cell r="S659">
            <v>0</v>
          </cell>
          <cell r="AK659" t="str">
            <v>ISF</v>
          </cell>
          <cell r="AN659">
            <v>0.5</v>
          </cell>
          <cell r="AQ659">
            <v>0</v>
          </cell>
          <cell r="AS659">
            <v>0</v>
          </cell>
          <cell r="BM659">
            <v>0</v>
          </cell>
          <cell r="BN659">
            <v>0</v>
          </cell>
          <cell r="BR659">
            <v>0</v>
          </cell>
          <cell r="FQ659">
            <v>0</v>
          </cell>
          <cell r="IB659">
            <v>0</v>
          </cell>
          <cell r="IC659">
            <v>0</v>
          </cell>
          <cell r="ID659">
            <v>0</v>
          </cell>
          <cell r="IE659">
            <v>0</v>
          </cell>
          <cell r="IP659">
            <v>0</v>
          </cell>
          <cell r="IR659">
            <v>0</v>
          </cell>
          <cell r="IT659">
            <v>0</v>
          </cell>
          <cell r="IU659">
            <v>0</v>
          </cell>
        </row>
        <row r="660">
          <cell r="A660" t="str">
            <v>legal</v>
          </cell>
          <cell r="E660" t="str">
            <v>Brgy.152 Tondo Manila</v>
          </cell>
          <cell r="S660">
            <v>0</v>
          </cell>
          <cell r="AK660">
            <v>0</v>
          </cell>
          <cell r="AN660">
            <v>0.13157894736842105</v>
          </cell>
          <cell r="AQ660">
            <v>0</v>
          </cell>
          <cell r="AS660">
            <v>0</v>
          </cell>
          <cell r="BM660">
            <v>0</v>
          </cell>
          <cell r="BN660">
            <v>0</v>
          </cell>
          <cell r="BR660">
            <v>0</v>
          </cell>
          <cell r="FQ660">
            <v>0</v>
          </cell>
          <cell r="IB660">
            <v>0</v>
          </cell>
          <cell r="IC660">
            <v>0</v>
          </cell>
          <cell r="ID660">
            <v>0</v>
          </cell>
          <cell r="IE660">
            <v>0</v>
          </cell>
          <cell r="IP660">
            <v>0</v>
          </cell>
          <cell r="IR660">
            <v>0</v>
          </cell>
          <cell r="IT660">
            <v>0</v>
          </cell>
          <cell r="IU660">
            <v>0</v>
          </cell>
        </row>
        <row r="661">
          <cell r="A661" t="str">
            <v>Isf-x</v>
          </cell>
          <cell r="E661" t="str">
            <v>723-D Interior.24 Ma. Guzon, Brgy.152 Tondo Manila</v>
          </cell>
          <cell r="S661">
            <v>0</v>
          </cell>
          <cell r="AK661" t="str">
            <v>ISF</v>
          </cell>
          <cell r="AN661">
            <v>0.25</v>
          </cell>
          <cell r="AQ661">
            <v>0</v>
          </cell>
          <cell r="AS661">
            <v>0</v>
          </cell>
          <cell r="BM661">
            <v>0</v>
          </cell>
          <cell r="BN661">
            <v>0</v>
          </cell>
          <cell r="BR661">
            <v>0</v>
          </cell>
          <cell r="FQ661">
            <v>0</v>
          </cell>
          <cell r="IB661">
            <v>0</v>
          </cell>
          <cell r="IC661">
            <v>0</v>
          </cell>
          <cell r="ID661">
            <v>0</v>
          </cell>
          <cell r="IE661">
            <v>0</v>
          </cell>
          <cell r="IP661">
            <v>0</v>
          </cell>
          <cell r="IR661">
            <v>0</v>
          </cell>
          <cell r="IT661">
            <v>0</v>
          </cell>
          <cell r="IU661">
            <v>0</v>
          </cell>
        </row>
        <row r="662">
          <cell r="A662" t="str">
            <v>isf</v>
          </cell>
          <cell r="E662" t="str">
            <v>2093 Dagupan Ext., Brgy.155 Tondo Manila</v>
          </cell>
          <cell r="S662" t="str">
            <v>Male</v>
          </cell>
          <cell r="AK662" t="str">
            <v>ISF</v>
          </cell>
          <cell r="AN662">
            <v>0.08</v>
          </cell>
          <cell r="AQ662">
            <v>0</v>
          </cell>
          <cell r="AS662">
            <v>0</v>
          </cell>
          <cell r="BM662" t="str">
            <v>Residential</v>
          </cell>
          <cell r="BN662">
            <v>1</v>
          </cell>
          <cell r="BR662">
            <v>0.08</v>
          </cell>
          <cell r="FQ662" t="str">
            <v>Can Stay (ACCESS BLOCK)</v>
          </cell>
          <cell r="IB662" t="str">
            <v>Y</v>
          </cell>
          <cell r="IC662">
            <v>0</v>
          </cell>
          <cell r="ID662">
            <v>0</v>
          </cell>
          <cell r="IE662">
            <v>0</v>
          </cell>
          <cell r="IP662">
            <v>0</v>
          </cell>
          <cell r="IR662">
            <v>0</v>
          </cell>
          <cell r="IT662">
            <v>0</v>
          </cell>
          <cell r="IU662">
            <v>0</v>
          </cell>
        </row>
        <row r="663">
          <cell r="A663" t="str">
            <v>isf</v>
          </cell>
          <cell r="E663" t="str">
            <v>2093 Dagupan Ext., Brgy.155 Tondo Manila</v>
          </cell>
          <cell r="S663" t="str">
            <v>Male</v>
          </cell>
          <cell r="AK663" t="str">
            <v>ISF</v>
          </cell>
          <cell r="AN663">
            <v>0.16666666666666666</v>
          </cell>
          <cell r="AQ663">
            <v>0</v>
          </cell>
          <cell r="AS663">
            <v>0</v>
          </cell>
          <cell r="BM663" t="str">
            <v>Residential</v>
          </cell>
          <cell r="BN663">
            <v>2</v>
          </cell>
          <cell r="BR663">
            <v>0.16666666666666666</v>
          </cell>
          <cell r="FQ663" t="str">
            <v>Can Stay (ACCESS BLOCK)</v>
          </cell>
          <cell r="IB663">
            <v>0</v>
          </cell>
          <cell r="IC663">
            <v>0</v>
          </cell>
          <cell r="ID663">
            <v>0</v>
          </cell>
          <cell r="IE663">
            <v>0</v>
          </cell>
          <cell r="IP663">
            <v>0</v>
          </cell>
          <cell r="IR663">
            <v>0</v>
          </cell>
          <cell r="IT663">
            <v>0</v>
          </cell>
          <cell r="IU663">
            <v>0</v>
          </cell>
        </row>
        <row r="664">
          <cell r="A664" t="str">
            <v>isf-x</v>
          </cell>
          <cell r="E664" t="str">
            <v>2087 Dagupan Ext., Brgy.155 Tondo Manila</v>
          </cell>
          <cell r="S664">
            <v>0</v>
          </cell>
          <cell r="AK664" t="str">
            <v>ISF</v>
          </cell>
          <cell r="AN664">
            <v>0.5</v>
          </cell>
          <cell r="AQ664">
            <v>0</v>
          </cell>
          <cell r="AS664">
            <v>0</v>
          </cell>
          <cell r="BM664">
            <v>0</v>
          </cell>
          <cell r="BN664">
            <v>0</v>
          </cell>
          <cell r="BR664">
            <v>0</v>
          </cell>
          <cell r="FQ664">
            <v>0</v>
          </cell>
          <cell r="IB664">
            <v>0</v>
          </cell>
          <cell r="IC664">
            <v>0</v>
          </cell>
          <cell r="ID664">
            <v>0</v>
          </cell>
          <cell r="IE664">
            <v>0</v>
          </cell>
          <cell r="IP664">
            <v>0</v>
          </cell>
          <cell r="IR664">
            <v>0</v>
          </cell>
          <cell r="IT664">
            <v>0</v>
          </cell>
          <cell r="IU664">
            <v>0</v>
          </cell>
        </row>
        <row r="665">
          <cell r="A665" t="str">
            <v>legal</v>
          </cell>
          <cell r="E665" t="str">
            <v>Brgy.155, Tondo, Manila</v>
          </cell>
          <cell r="S665">
            <v>0</v>
          </cell>
          <cell r="AK665">
            <v>0</v>
          </cell>
          <cell r="AN665">
            <v>0.78</v>
          </cell>
          <cell r="AQ665">
            <v>0</v>
          </cell>
          <cell r="AS665">
            <v>0</v>
          </cell>
          <cell r="BM665" t="str">
            <v>Institutional</v>
          </cell>
          <cell r="BN665">
            <v>0</v>
          </cell>
          <cell r="BR665">
            <v>0.78</v>
          </cell>
          <cell r="FQ665" t="str">
            <v>Need Displacement</v>
          </cell>
          <cell r="IB665">
            <v>0</v>
          </cell>
          <cell r="IC665">
            <v>0</v>
          </cell>
          <cell r="ID665">
            <v>0</v>
          </cell>
          <cell r="IE665">
            <v>0</v>
          </cell>
          <cell r="IP665">
            <v>0</v>
          </cell>
          <cell r="IR665">
            <v>0</v>
          </cell>
          <cell r="IT665">
            <v>0</v>
          </cell>
          <cell r="IU665">
            <v>0</v>
          </cell>
        </row>
        <row r="666">
          <cell r="A666" t="str">
            <v>isf-x</v>
          </cell>
          <cell r="E666" t="str">
            <v>2069 Daang Bakal Dagupan Ext., Brgy.155 Tondo Manila</v>
          </cell>
          <cell r="S666">
            <v>0</v>
          </cell>
          <cell r="AK666" t="str">
            <v>ISF</v>
          </cell>
          <cell r="AN666">
            <v>0.5</v>
          </cell>
          <cell r="AQ666">
            <v>0</v>
          </cell>
          <cell r="AS666">
            <v>0</v>
          </cell>
          <cell r="BM666">
            <v>0</v>
          </cell>
          <cell r="BN666">
            <v>0</v>
          </cell>
          <cell r="BR666">
            <v>0</v>
          </cell>
          <cell r="FQ666">
            <v>0</v>
          </cell>
          <cell r="IB666">
            <v>0</v>
          </cell>
          <cell r="IC666">
            <v>0</v>
          </cell>
          <cell r="ID666">
            <v>0</v>
          </cell>
          <cell r="IE666">
            <v>0</v>
          </cell>
          <cell r="IP666">
            <v>0</v>
          </cell>
          <cell r="IR666">
            <v>0</v>
          </cell>
          <cell r="IT666">
            <v>0</v>
          </cell>
          <cell r="IU666">
            <v>0</v>
          </cell>
        </row>
        <row r="667">
          <cell r="A667" t="str">
            <v>isf</v>
          </cell>
          <cell r="E667" t="str">
            <v>2069 Daang Bakal Brgy.155 Tondo Manila</v>
          </cell>
          <cell r="S667" t="str">
            <v>Female</v>
          </cell>
          <cell r="AK667" t="str">
            <v>ISF</v>
          </cell>
          <cell r="AN667">
            <v>0.27777777777777779</v>
          </cell>
          <cell r="AQ667">
            <v>0</v>
          </cell>
          <cell r="AS667">
            <v>0</v>
          </cell>
          <cell r="BM667" t="str">
            <v>Residential</v>
          </cell>
          <cell r="BN667">
            <v>2</v>
          </cell>
          <cell r="BR667">
            <v>0.27777777777777779</v>
          </cell>
          <cell r="FQ667" t="str">
            <v>Can Stay (ACCESS BLOCK)</v>
          </cell>
          <cell r="IB667">
            <v>0</v>
          </cell>
          <cell r="IC667" t="str">
            <v>Y</v>
          </cell>
          <cell r="ID667">
            <v>0</v>
          </cell>
          <cell r="IE667">
            <v>0</v>
          </cell>
          <cell r="IP667">
            <v>0</v>
          </cell>
          <cell r="IR667">
            <v>0</v>
          </cell>
          <cell r="IT667">
            <v>0</v>
          </cell>
          <cell r="IU667">
            <v>0</v>
          </cell>
        </row>
        <row r="668">
          <cell r="A668" t="str">
            <v>isf-x</v>
          </cell>
          <cell r="E668" t="str">
            <v>2047 Dagupan Ext., Brgy.159 Zone.14 Tondo Manila</v>
          </cell>
          <cell r="S668">
            <v>0</v>
          </cell>
          <cell r="AK668" t="str">
            <v>ISF</v>
          </cell>
          <cell r="AN668">
            <v>0.20833333333333331</v>
          </cell>
          <cell r="AQ668">
            <v>0</v>
          </cell>
          <cell r="AS668">
            <v>0</v>
          </cell>
          <cell r="BM668">
            <v>0</v>
          </cell>
          <cell r="BN668">
            <v>0</v>
          </cell>
          <cell r="BR668">
            <v>0</v>
          </cell>
          <cell r="FQ668">
            <v>0</v>
          </cell>
          <cell r="IB668">
            <v>0</v>
          </cell>
          <cell r="IC668">
            <v>0</v>
          </cell>
          <cell r="ID668">
            <v>0</v>
          </cell>
          <cell r="IE668">
            <v>0</v>
          </cell>
          <cell r="IP668">
            <v>0</v>
          </cell>
          <cell r="IR668">
            <v>0</v>
          </cell>
          <cell r="IT668">
            <v>0</v>
          </cell>
          <cell r="IU668">
            <v>0</v>
          </cell>
        </row>
        <row r="669">
          <cell r="A669" t="str">
            <v>isf</v>
          </cell>
          <cell r="E669" t="str">
            <v>2045 Dagupan Ext., Brgy.159 Zone.14 Tondo Manila</v>
          </cell>
          <cell r="S669">
            <v>0</v>
          </cell>
          <cell r="AK669" t="str">
            <v>ISF</v>
          </cell>
          <cell r="AN669">
            <v>0.17600000000000002</v>
          </cell>
          <cell r="AQ669">
            <v>0</v>
          </cell>
          <cell r="AS669">
            <v>0</v>
          </cell>
          <cell r="BM669" t="str">
            <v>Residential/Commercial</v>
          </cell>
          <cell r="BN669">
            <v>0</v>
          </cell>
          <cell r="BR669">
            <v>0.11891891891891891</v>
          </cell>
          <cell r="FQ669" t="str">
            <v>Can Stay (ACCESS BLOCK)</v>
          </cell>
          <cell r="IB669">
            <v>0</v>
          </cell>
          <cell r="IC669">
            <v>0</v>
          </cell>
          <cell r="ID669">
            <v>0</v>
          </cell>
          <cell r="IE669">
            <v>0</v>
          </cell>
          <cell r="IP669" t="str">
            <v>Owner</v>
          </cell>
          <cell r="IR669" t="str">
            <v>Trading/retailing</v>
          </cell>
          <cell r="IT669" t="str">
            <v>x</v>
          </cell>
          <cell r="IU669">
            <v>0</v>
          </cell>
        </row>
        <row r="670">
          <cell r="A670" t="str">
            <v>legal-x</v>
          </cell>
          <cell r="E670" t="str">
            <v>2029 Dagupan Ext., Brgy.159 Tondo Manila</v>
          </cell>
          <cell r="S670" t="str">
            <v>Female</v>
          </cell>
          <cell r="AK670" t="str">
            <v>ISF</v>
          </cell>
          <cell r="AN670">
            <v>1</v>
          </cell>
          <cell r="AQ670" t="str">
            <v>CMP</v>
          </cell>
          <cell r="AS670" t="str">
            <v>Y</v>
          </cell>
          <cell r="BM670">
            <v>0</v>
          </cell>
          <cell r="BN670">
            <v>0</v>
          </cell>
          <cell r="BR670">
            <v>0</v>
          </cell>
          <cell r="FQ670" t="str">
            <v>Can Stay</v>
          </cell>
          <cell r="IB670">
            <v>0</v>
          </cell>
          <cell r="IC670">
            <v>0</v>
          </cell>
          <cell r="ID670">
            <v>0</v>
          </cell>
          <cell r="IE670">
            <v>0</v>
          </cell>
          <cell r="IP670">
            <v>0</v>
          </cell>
          <cell r="IR670">
            <v>0</v>
          </cell>
          <cell r="IT670">
            <v>0</v>
          </cell>
          <cell r="IU670">
            <v>0</v>
          </cell>
        </row>
        <row r="671">
          <cell r="A671" t="str">
            <v>isf</v>
          </cell>
          <cell r="E671" t="str">
            <v>2035 Dagupan Ext., Brgy.159 Tondo Manila</v>
          </cell>
          <cell r="S671" t="str">
            <v>Female</v>
          </cell>
          <cell r="AK671" t="str">
            <v>ISF</v>
          </cell>
          <cell r="AN671">
            <v>4.4444444444444446E-2</v>
          </cell>
          <cell r="AQ671">
            <v>0</v>
          </cell>
          <cell r="AS671">
            <v>0</v>
          </cell>
          <cell r="BM671" t="str">
            <v>Residential</v>
          </cell>
          <cell r="BN671">
            <v>0</v>
          </cell>
          <cell r="BR671">
            <v>4.4444444444444446E-2</v>
          </cell>
          <cell r="FQ671" t="str">
            <v>Can Stay (ACCESS BLOCK)</v>
          </cell>
          <cell r="IB671">
            <v>0</v>
          </cell>
          <cell r="IC671" t="str">
            <v>Y</v>
          </cell>
          <cell r="ID671">
            <v>1</v>
          </cell>
          <cell r="IE671">
            <v>0</v>
          </cell>
          <cell r="IP671">
            <v>0</v>
          </cell>
          <cell r="IR671">
            <v>0</v>
          </cell>
          <cell r="IT671">
            <v>0</v>
          </cell>
          <cell r="IU671">
            <v>0</v>
          </cell>
        </row>
        <row r="672">
          <cell r="A672" t="str">
            <v>legal</v>
          </cell>
          <cell r="E672" t="str">
            <v>2033 Daang Bakal St., Brgy.159 Zone.14 Tondo Manila</v>
          </cell>
          <cell r="S672" t="str">
            <v>Male</v>
          </cell>
          <cell r="AK672" t="str">
            <v>ISF</v>
          </cell>
          <cell r="AN672">
            <v>9.0909090909090898E-2</v>
          </cell>
          <cell r="AQ672">
            <v>0</v>
          </cell>
          <cell r="AS672" t="str">
            <v>Y</v>
          </cell>
          <cell r="BM672" t="str">
            <v>Residential/Commercial</v>
          </cell>
          <cell r="BN672">
            <v>2</v>
          </cell>
          <cell r="BR672">
            <v>4.585653455617425E-2</v>
          </cell>
          <cell r="FQ672" t="str">
            <v>Can Stay</v>
          </cell>
          <cell r="IB672">
            <v>0</v>
          </cell>
          <cell r="IC672">
            <v>0</v>
          </cell>
          <cell r="ID672">
            <v>1</v>
          </cell>
          <cell r="IE672">
            <v>0</v>
          </cell>
          <cell r="IP672">
            <v>0</v>
          </cell>
          <cell r="IR672">
            <v>0</v>
          </cell>
          <cell r="IT672">
            <v>0</v>
          </cell>
          <cell r="IU672">
            <v>0</v>
          </cell>
        </row>
        <row r="673">
          <cell r="A673">
            <v>0</v>
          </cell>
          <cell r="E673" t="str">
            <v>2033 Daang Bakal St., Brgy.159 Zone 14 Tondo Manila</v>
          </cell>
          <cell r="S673" t="str">
            <v>Female</v>
          </cell>
          <cell r="AK673" t="str">
            <v>ISF</v>
          </cell>
          <cell r="AN673">
            <v>9.0909090909090898E-2</v>
          </cell>
          <cell r="AQ673">
            <v>0</v>
          </cell>
          <cell r="AS673">
            <v>0</v>
          </cell>
          <cell r="BM673" t="str">
            <v>Residential</v>
          </cell>
          <cell r="BN673">
            <v>1</v>
          </cell>
          <cell r="BR673">
            <v>0</v>
          </cell>
          <cell r="FQ673" t="str">
            <v>Can Stay (ACCESS BLOCK)</v>
          </cell>
          <cell r="IB673">
            <v>0</v>
          </cell>
          <cell r="IC673" t="str">
            <v>Y</v>
          </cell>
          <cell r="ID673">
            <v>0</v>
          </cell>
          <cell r="IE673">
            <v>0</v>
          </cell>
          <cell r="IP673">
            <v>0</v>
          </cell>
          <cell r="IR673">
            <v>0</v>
          </cell>
          <cell r="IT673">
            <v>0</v>
          </cell>
          <cell r="IU673">
            <v>0</v>
          </cell>
        </row>
        <row r="674">
          <cell r="A674">
            <v>0</v>
          </cell>
          <cell r="E674" t="str">
            <v>2033 Daang Bakal St., Brgy.159 Zone 14 Tondo Manila</v>
          </cell>
          <cell r="S674">
            <v>0</v>
          </cell>
          <cell r="AK674" t="str">
            <v>ISF</v>
          </cell>
          <cell r="AN674">
            <v>9.0909090909090898E-2</v>
          </cell>
          <cell r="AQ674">
            <v>0</v>
          </cell>
          <cell r="AS674">
            <v>0</v>
          </cell>
          <cell r="BM674" t="str">
            <v>Commercial</v>
          </cell>
          <cell r="BN674">
            <v>0</v>
          </cell>
          <cell r="BR674">
            <v>0</v>
          </cell>
          <cell r="FQ674" t="str">
            <v>Can Stay</v>
          </cell>
          <cell r="IB674">
            <v>0</v>
          </cell>
          <cell r="IC674">
            <v>0</v>
          </cell>
          <cell r="ID674">
            <v>0</v>
          </cell>
          <cell r="IE674">
            <v>0</v>
          </cell>
          <cell r="IP674" t="str">
            <v>Owner</v>
          </cell>
          <cell r="IR674" t="str">
            <v>Home/Small-scale Industry</v>
          </cell>
          <cell r="IT674" t="str">
            <v>x</v>
          </cell>
          <cell r="IU674">
            <v>0</v>
          </cell>
        </row>
        <row r="675">
          <cell r="A675" t="str">
            <v>isf-x</v>
          </cell>
          <cell r="E675" t="str">
            <v>2027 Daang Bakal Brgy.159 Zone.14 Tayuman Tondo Manila</v>
          </cell>
          <cell r="S675">
            <v>0</v>
          </cell>
          <cell r="AK675" t="str">
            <v>ISF</v>
          </cell>
          <cell r="AN675">
            <v>0.84</v>
          </cell>
          <cell r="AQ675">
            <v>0</v>
          </cell>
          <cell r="AS675">
            <v>0</v>
          </cell>
          <cell r="BM675">
            <v>0</v>
          </cell>
          <cell r="BN675">
            <v>0</v>
          </cell>
          <cell r="BR675">
            <v>0</v>
          </cell>
          <cell r="FQ675">
            <v>0</v>
          </cell>
          <cell r="IB675">
            <v>0</v>
          </cell>
          <cell r="IC675">
            <v>0</v>
          </cell>
          <cell r="ID675">
            <v>0</v>
          </cell>
          <cell r="IE675">
            <v>0</v>
          </cell>
          <cell r="IP675">
            <v>0</v>
          </cell>
          <cell r="IR675">
            <v>0</v>
          </cell>
          <cell r="IT675">
            <v>0</v>
          </cell>
          <cell r="IU675">
            <v>0</v>
          </cell>
        </row>
        <row r="676">
          <cell r="A676" t="str">
            <v>isf-x</v>
          </cell>
          <cell r="E676" t="str">
            <v>2023 Daang Bakal Brgy.159 Zone.14 Tondo Manila</v>
          </cell>
          <cell r="S676" t="str">
            <v>Female</v>
          </cell>
          <cell r="AK676" t="str">
            <v>Land Lessee</v>
          </cell>
          <cell r="AN676">
            <v>0.1875</v>
          </cell>
          <cell r="AQ676">
            <v>0</v>
          </cell>
          <cell r="AS676">
            <v>0</v>
          </cell>
          <cell r="BM676" t="str">
            <v>Residential</v>
          </cell>
          <cell r="BN676">
            <v>0</v>
          </cell>
          <cell r="BR676">
            <v>0.1875</v>
          </cell>
          <cell r="FQ676" t="str">
            <v>Can Stay</v>
          </cell>
          <cell r="IB676" t="str">
            <v>Y</v>
          </cell>
          <cell r="IC676" t="str">
            <v>Y</v>
          </cell>
          <cell r="ID676">
            <v>2</v>
          </cell>
          <cell r="IE676">
            <v>0</v>
          </cell>
          <cell r="IP676">
            <v>0</v>
          </cell>
          <cell r="IR676">
            <v>0</v>
          </cell>
          <cell r="IT676">
            <v>0</v>
          </cell>
          <cell r="IU676">
            <v>0</v>
          </cell>
        </row>
        <row r="677">
          <cell r="A677" t="str">
            <v>isf</v>
          </cell>
          <cell r="E677" t="str">
            <v>2023 Daang Bakal St., Brgy.159 Zone 14 Tondo, Manila</v>
          </cell>
          <cell r="S677" t="str">
            <v>Male</v>
          </cell>
          <cell r="AK677" t="str">
            <v>ISF</v>
          </cell>
          <cell r="AN677">
            <v>0.1875</v>
          </cell>
          <cell r="AQ677">
            <v>0</v>
          </cell>
          <cell r="AS677">
            <v>0</v>
          </cell>
          <cell r="BM677">
            <v>0</v>
          </cell>
          <cell r="BN677">
            <v>0</v>
          </cell>
          <cell r="BR677">
            <v>0</v>
          </cell>
          <cell r="FQ677" t="str">
            <v>Can Stay</v>
          </cell>
          <cell r="IB677" t="str">
            <v>Y</v>
          </cell>
          <cell r="IC677">
            <v>0</v>
          </cell>
          <cell r="ID677">
            <v>0</v>
          </cell>
          <cell r="IE677">
            <v>0</v>
          </cell>
          <cell r="IP677">
            <v>0</v>
          </cell>
          <cell r="IR677">
            <v>0</v>
          </cell>
          <cell r="IT677">
            <v>0</v>
          </cell>
          <cell r="IU677">
            <v>0</v>
          </cell>
        </row>
        <row r="678">
          <cell r="A678" t="str">
            <v>isf-x</v>
          </cell>
          <cell r="E678" t="str">
            <v>2023 Daang Bakal Brgy.159 Zone 14 Tondo Manila</v>
          </cell>
          <cell r="S678">
            <v>0</v>
          </cell>
          <cell r="AK678" t="str">
            <v>ISF</v>
          </cell>
          <cell r="AN678">
            <v>0.21428571428571427</v>
          </cell>
          <cell r="AQ678">
            <v>0</v>
          </cell>
          <cell r="AS678">
            <v>0</v>
          </cell>
          <cell r="BM678" t="str">
            <v>Residential</v>
          </cell>
          <cell r="BN678">
            <v>0</v>
          </cell>
          <cell r="BR678">
            <v>0.10714285714285714</v>
          </cell>
          <cell r="FQ678" t="str">
            <v>Can Stay (ACCESS BLOCK)</v>
          </cell>
          <cell r="IB678">
            <v>0</v>
          </cell>
          <cell r="IC678">
            <v>0</v>
          </cell>
          <cell r="ID678">
            <v>0</v>
          </cell>
          <cell r="IE678">
            <v>0</v>
          </cell>
          <cell r="IP678">
            <v>0</v>
          </cell>
          <cell r="IR678">
            <v>0</v>
          </cell>
          <cell r="IT678">
            <v>0</v>
          </cell>
          <cell r="IU678">
            <v>0</v>
          </cell>
        </row>
        <row r="679">
          <cell r="A679" t="str">
            <v>legal</v>
          </cell>
          <cell r="E679" t="str">
            <v>2023 Daang Bakal Brgy.159 Zone 14 Tondo Manila</v>
          </cell>
          <cell r="S679" t="str">
            <v>Male</v>
          </cell>
          <cell r="AK679" t="str">
            <v>Land Lessee</v>
          </cell>
          <cell r="AN679">
            <v>2.3529411764705882E-2</v>
          </cell>
          <cell r="AQ679" t="str">
            <v>Real Tax (CTHall)</v>
          </cell>
          <cell r="AS679" t="str">
            <v>Y</v>
          </cell>
          <cell r="BM679" t="str">
            <v>Residential</v>
          </cell>
          <cell r="BN679">
            <v>0</v>
          </cell>
          <cell r="BR679">
            <v>2.3529411764705882E-2</v>
          </cell>
          <cell r="FQ679" t="str">
            <v>Can Stay</v>
          </cell>
          <cell r="IB679" t="str">
            <v>Y</v>
          </cell>
          <cell r="IC679">
            <v>0</v>
          </cell>
          <cell r="ID679">
            <v>0</v>
          </cell>
          <cell r="IE679">
            <v>0</v>
          </cell>
          <cell r="IP679">
            <v>0</v>
          </cell>
          <cell r="IR679">
            <v>0</v>
          </cell>
          <cell r="IT679">
            <v>0</v>
          </cell>
          <cell r="IU679">
            <v>0</v>
          </cell>
        </row>
        <row r="680">
          <cell r="A680" t="str">
            <v>legal</v>
          </cell>
          <cell r="E680" t="str">
            <v>2019 Daang Bakal Brgy.159 Zone 14 Tondo Manila</v>
          </cell>
          <cell r="S680" t="str">
            <v>Female</v>
          </cell>
          <cell r="AK680" t="str">
            <v>Land Lessee</v>
          </cell>
          <cell r="AN680">
            <v>8.7500000000000008E-2</v>
          </cell>
          <cell r="AQ680" t="str">
            <v>CMP</v>
          </cell>
          <cell r="AS680" t="str">
            <v>Y</v>
          </cell>
          <cell r="BM680" t="str">
            <v>Residential</v>
          </cell>
          <cell r="BN680">
            <v>1</v>
          </cell>
          <cell r="BR680">
            <v>8.69140625E-2</v>
          </cell>
          <cell r="FQ680" t="str">
            <v>Can Stay</v>
          </cell>
          <cell r="IB680" t="str">
            <v>Y</v>
          </cell>
          <cell r="IC680" t="str">
            <v>Y</v>
          </cell>
          <cell r="ID680">
            <v>1</v>
          </cell>
          <cell r="IE680">
            <v>0</v>
          </cell>
          <cell r="IP680" t="str">
            <v>Owner</v>
          </cell>
          <cell r="IR680" t="str">
            <v>Home/Small-scale Industry</v>
          </cell>
          <cell r="IT680">
            <v>0</v>
          </cell>
          <cell r="IU680" t="str">
            <v>x</v>
          </cell>
        </row>
        <row r="681">
          <cell r="A681">
            <v>0</v>
          </cell>
          <cell r="E681" t="str">
            <v>2019 Daang Bakal Dagupan ext., Brgy.159 Zone 14 Tondo Manila</v>
          </cell>
          <cell r="S681" t="str">
            <v>Female</v>
          </cell>
          <cell r="AK681" t="str">
            <v>ISF/LESSEE</v>
          </cell>
          <cell r="AN681">
            <v>0</v>
          </cell>
          <cell r="AQ681">
            <v>0</v>
          </cell>
          <cell r="AS681">
            <v>0</v>
          </cell>
          <cell r="BM681" t="str">
            <v>Residential</v>
          </cell>
          <cell r="BN681">
            <v>0</v>
          </cell>
          <cell r="BR681">
            <v>0</v>
          </cell>
          <cell r="FQ681" t="str">
            <v>Need Displacement</v>
          </cell>
          <cell r="IB681">
            <v>0</v>
          </cell>
          <cell r="IC681" t="str">
            <v>Y</v>
          </cell>
          <cell r="ID681">
            <v>0</v>
          </cell>
          <cell r="IE681">
            <v>0</v>
          </cell>
          <cell r="IP681">
            <v>0</v>
          </cell>
          <cell r="IR681">
            <v>0</v>
          </cell>
          <cell r="IT681">
            <v>0</v>
          </cell>
          <cell r="IU681">
            <v>0</v>
          </cell>
        </row>
        <row r="682">
          <cell r="A682">
            <v>0</v>
          </cell>
          <cell r="E682" t="str">
            <v>2019 Daang Bakal Brgy.159 Zone 14 Tondo Manila</v>
          </cell>
          <cell r="S682" t="str">
            <v>Male</v>
          </cell>
          <cell r="AK682" t="str">
            <v>ISF/LESSEE</v>
          </cell>
          <cell r="AN682">
            <v>0</v>
          </cell>
          <cell r="AQ682">
            <v>0</v>
          </cell>
          <cell r="AS682">
            <v>0</v>
          </cell>
          <cell r="BM682" t="str">
            <v>Residential</v>
          </cell>
          <cell r="BN682">
            <v>0</v>
          </cell>
          <cell r="BR682">
            <v>0</v>
          </cell>
          <cell r="FQ682" t="str">
            <v>Need Displacement</v>
          </cell>
          <cell r="IB682">
            <v>0</v>
          </cell>
          <cell r="IC682">
            <v>0</v>
          </cell>
          <cell r="ID682">
            <v>0</v>
          </cell>
          <cell r="IE682">
            <v>0</v>
          </cell>
          <cell r="IP682">
            <v>0</v>
          </cell>
          <cell r="IR682">
            <v>0</v>
          </cell>
          <cell r="IT682">
            <v>0</v>
          </cell>
          <cell r="IU682">
            <v>0</v>
          </cell>
        </row>
        <row r="683">
          <cell r="A683">
            <v>0</v>
          </cell>
          <cell r="E683" t="str">
            <v>2019 Daang Bakal Brgy.159 Zone 14 Tondo Manila</v>
          </cell>
          <cell r="S683">
            <v>0</v>
          </cell>
          <cell r="AK683">
            <v>0</v>
          </cell>
          <cell r="AN683">
            <v>0</v>
          </cell>
          <cell r="AQ683">
            <v>0</v>
          </cell>
          <cell r="AS683">
            <v>0</v>
          </cell>
          <cell r="BM683" t="str">
            <v>Residential</v>
          </cell>
          <cell r="BN683">
            <v>0</v>
          </cell>
          <cell r="BR683">
            <v>0</v>
          </cell>
          <cell r="FQ683" t="str">
            <v>Can Stay (ACCESS BLOCK)</v>
          </cell>
          <cell r="IB683">
            <v>0</v>
          </cell>
          <cell r="IC683">
            <v>0</v>
          </cell>
          <cell r="ID683">
            <v>0</v>
          </cell>
          <cell r="IE683">
            <v>0</v>
          </cell>
          <cell r="IP683">
            <v>0</v>
          </cell>
          <cell r="IR683">
            <v>0</v>
          </cell>
          <cell r="IT683">
            <v>0</v>
          </cell>
          <cell r="IU683">
            <v>0</v>
          </cell>
        </row>
        <row r="684">
          <cell r="A684" t="str">
            <v>isf</v>
          </cell>
          <cell r="E684" t="str">
            <v>2015 Dagupan ext., St., Brgy.159 Zone.14 District 2 Tondo Manila</v>
          </cell>
          <cell r="S684" t="str">
            <v>Male</v>
          </cell>
          <cell r="AK684" t="str">
            <v>ISF</v>
          </cell>
          <cell r="AN684">
            <v>0.20114942528735633</v>
          </cell>
          <cell r="AQ684">
            <v>0</v>
          </cell>
          <cell r="AS684">
            <v>0</v>
          </cell>
          <cell r="BM684" t="str">
            <v>Residential</v>
          </cell>
          <cell r="BN684">
            <v>0</v>
          </cell>
          <cell r="BR684">
            <v>0.20114942528735633</v>
          </cell>
          <cell r="FQ684" t="str">
            <v>Can Stay</v>
          </cell>
          <cell r="IB684">
            <v>0</v>
          </cell>
          <cell r="IC684">
            <v>0</v>
          </cell>
          <cell r="ID684">
            <v>1</v>
          </cell>
          <cell r="IE684">
            <v>0</v>
          </cell>
          <cell r="IP684">
            <v>0</v>
          </cell>
          <cell r="IR684">
            <v>0</v>
          </cell>
          <cell r="IT684">
            <v>0</v>
          </cell>
          <cell r="IU684">
            <v>0</v>
          </cell>
        </row>
        <row r="685">
          <cell r="A685" t="str">
            <v>legal</v>
          </cell>
          <cell r="E685" t="str">
            <v>2011 Dagupan ext., St., Brgy.159 Zone.14 District 2 Tondo Manila</v>
          </cell>
          <cell r="S685" t="str">
            <v>Female</v>
          </cell>
          <cell r="AK685" t="str">
            <v>Land Lessee</v>
          </cell>
          <cell r="AN685">
            <v>0.18292682926829268</v>
          </cell>
          <cell r="AQ685" t="str">
            <v>CMP</v>
          </cell>
          <cell r="AS685" t="str">
            <v>Y</v>
          </cell>
          <cell r="BM685" t="str">
            <v>Residential</v>
          </cell>
          <cell r="BN685">
            <v>0</v>
          </cell>
          <cell r="BR685">
            <v>0.18292682926829268</v>
          </cell>
          <cell r="FQ685" t="str">
            <v>Can Stay</v>
          </cell>
          <cell r="IB685">
            <v>0</v>
          </cell>
          <cell r="IC685" t="str">
            <v>Y</v>
          </cell>
          <cell r="ID685">
            <v>1</v>
          </cell>
          <cell r="IE685">
            <v>1</v>
          </cell>
          <cell r="IP685">
            <v>0</v>
          </cell>
          <cell r="IR685">
            <v>0</v>
          </cell>
          <cell r="IT685">
            <v>0</v>
          </cell>
          <cell r="IU685">
            <v>0</v>
          </cell>
        </row>
        <row r="686">
          <cell r="A686" t="str">
            <v>legal</v>
          </cell>
          <cell r="E686" t="str">
            <v>2005 Daang Bakal Brgy.159 Zone.14 Tondo Manila</v>
          </cell>
          <cell r="S686" t="str">
            <v>Female</v>
          </cell>
          <cell r="AK686" t="str">
            <v>Land Lessee</v>
          </cell>
          <cell r="AN686">
            <v>0.11956521739130435</v>
          </cell>
          <cell r="AQ686" t="str">
            <v>CMP</v>
          </cell>
          <cell r="AS686">
            <v>0</v>
          </cell>
          <cell r="BM686" t="str">
            <v>Residential</v>
          </cell>
          <cell r="BN686">
            <v>3</v>
          </cell>
          <cell r="BR686">
            <v>0.11956521739130435</v>
          </cell>
          <cell r="FQ686" t="str">
            <v>Can Stay (ACCESS BLOCK)</v>
          </cell>
          <cell r="IB686">
            <v>0</v>
          </cell>
          <cell r="IC686" t="str">
            <v>Y</v>
          </cell>
          <cell r="ID686">
            <v>1</v>
          </cell>
          <cell r="IE686">
            <v>0</v>
          </cell>
          <cell r="IP686">
            <v>0</v>
          </cell>
          <cell r="IR686">
            <v>0</v>
          </cell>
          <cell r="IT686">
            <v>0</v>
          </cell>
          <cell r="IU686">
            <v>0</v>
          </cell>
        </row>
        <row r="687">
          <cell r="A687" t="str">
            <v>isf</v>
          </cell>
          <cell r="E687" t="str">
            <v>1999A Daang Bakal Brgy.159 Tayuman Tondo Manila</v>
          </cell>
          <cell r="S687" t="str">
            <v>Male</v>
          </cell>
          <cell r="AK687" t="str">
            <v>ISF</v>
          </cell>
          <cell r="AN687">
            <v>1</v>
          </cell>
          <cell r="AQ687">
            <v>0</v>
          </cell>
          <cell r="AS687">
            <v>0</v>
          </cell>
          <cell r="BM687" t="str">
            <v>Residential</v>
          </cell>
          <cell r="BN687">
            <v>3</v>
          </cell>
          <cell r="BR687">
            <v>1</v>
          </cell>
          <cell r="FQ687" t="str">
            <v>Need Displacement</v>
          </cell>
          <cell r="IB687">
            <v>0</v>
          </cell>
          <cell r="IC687">
            <v>0</v>
          </cell>
          <cell r="ID687">
            <v>2</v>
          </cell>
          <cell r="IE687">
            <v>0</v>
          </cell>
          <cell r="IP687">
            <v>0</v>
          </cell>
          <cell r="IR687">
            <v>0</v>
          </cell>
          <cell r="IT687">
            <v>0</v>
          </cell>
          <cell r="IU687">
            <v>0</v>
          </cell>
        </row>
        <row r="688">
          <cell r="A688" t="str">
            <v>isf</v>
          </cell>
          <cell r="E688" t="str">
            <v>1999 Daang Bakal Brgy.159 Zone,14 Tondo Manila</v>
          </cell>
          <cell r="S688" t="str">
            <v>Female</v>
          </cell>
          <cell r="AK688" t="str">
            <v>ISF</v>
          </cell>
          <cell r="AN688">
            <v>0.22</v>
          </cell>
          <cell r="AQ688" t="str">
            <v>Real Tax (CTHall)</v>
          </cell>
          <cell r="AS688">
            <v>0</v>
          </cell>
          <cell r="BM688" t="str">
            <v>Residential</v>
          </cell>
          <cell r="BN688">
            <v>0</v>
          </cell>
          <cell r="BR688">
            <v>0.22</v>
          </cell>
          <cell r="FQ688" t="str">
            <v>Can Stay (ACCESS BLOCK)</v>
          </cell>
          <cell r="IB688" t="str">
            <v>Y</v>
          </cell>
          <cell r="IC688" t="str">
            <v>Y</v>
          </cell>
          <cell r="ID688">
            <v>0</v>
          </cell>
          <cell r="IE688">
            <v>0</v>
          </cell>
          <cell r="IP688">
            <v>0</v>
          </cell>
          <cell r="IR688">
            <v>0</v>
          </cell>
          <cell r="IT688">
            <v>0</v>
          </cell>
          <cell r="IU688">
            <v>0</v>
          </cell>
        </row>
        <row r="689">
          <cell r="A689" t="str">
            <v>isf</v>
          </cell>
          <cell r="E689" t="str">
            <v>1999 Daang Bakal Brgy.159 Zone 14 Tondo Manila</v>
          </cell>
          <cell r="S689" t="str">
            <v>Female</v>
          </cell>
          <cell r="AK689" t="str">
            <v>ISF</v>
          </cell>
          <cell r="AN689">
            <v>0</v>
          </cell>
          <cell r="AQ689">
            <v>0</v>
          </cell>
          <cell r="AS689">
            <v>0</v>
          </cell>
          <cell r="BM689" t="str">
            <v>Residential</v>
          </cell>
          <cell r="BN689">
            <v>0</v>
          </cell>
          <cell r="BR689">
            <v>0</v>
          </cell>
          <cell r="FQ689" t="str">
            <v>Need Displacement</v>
          </cell>
          <cell r="IB689" t="str">
            <v>Y</v>
          </cell>
          <cell r="IC689" t="str">
            <v>Y</v>
          </cell>
          <cell r="ID689">
            <v>0</v>
          </cell>
          <cell r="IE689">
            <v>0</v>
          </cell>
          <cell r="IP689">
            <v>0</v>
          </cell>
          <cell r="IR689">
            <v>0</v>
          </cell>
          <cell r="IT689">
            <v>0</v>
          </cell>
          <cell r="IU689">
            <v>0</v>
          </cell>
        </row>
        <row r="690">
          <cell r="A690" t="str">
            <v>isf</v>
          </cell>
          <cell r="E690" t="str">
            <v>1999 Daang Bakal Dagupan ext., Tayuman Brgy.159 Zone 14 Tondo Manila</v>
          </cell>
          <cell r="S690" t="str">
            <v>Female</v>
          </cell>
          <cell r="AK690" t="str">
            <v>ISF</v>
          </cell>
          <cell r="AN690">
            <v>0</v>
          </cell>
          <cell r="AQ690">
            <v>0</v>
          </cell>
          <cell r="AS690">
            <v>0</v>
          </cell>
          <cell r="BM690" t="str">
            <v>Residential</v>
          </cell>
          <cell r="BN690">
            <v>0</v>
          </cell>
          <cell r="BR690">
            <v>0</v>
          </cell>
          <cell r="FQ690" t="str">
            <v>Can Stay (ACCESS BLOCK)</v>
          </cell>
          <cell r="IB690" t="str">
            <v>Y</v>
          </cell>
          <cell r="IC690" t="str">
            <v>Y</v>
          </cell>
          <cell r="ID690">
            <v>0</v>
          </cell>
          <cell r="IE690">
            <v>0</v>
          </cell>
          <cell r="IP690">
            <v>0</v>
          </cell>
          <cell r="IR690">
            <v>0</v>
          </cell>
          <cell r="IT690">
            <v>0</v>
          </cell>
          <cell r="IU690">
            <v>0</v>
          </cell>
        </row>
        <row r="691">
          <cell r="A691" t="str">
            <v>isf</v>
          </cell>
          <cell r="E691" t="str">
            <v>1999 Daang Bakal Brgy.159 Zone 14 Tondo Manila</v>
          </cell>
          <cell r="S691" t="str">
            <v>Male</v>
          </cell>
          <cell r="AK691" t="str">
            <v>ISF</v>
          </cell>
          <cell r="AN691">
            <v>1</v>
          </cell>
          <cell r="AQ691">
            <v>0</v>
          </cell>
          <cell r="AS691">
            <v>0</v>
          </cell>
          <cell r="BM691" t="str">
            <v>Residential</v>
          </cell>
          <cell r="BN691">
            <v>1</v>
          </cell>
          <cell r="BR691">
            <v>1</v>
          </cell>
          <cell r="FQ691" t="str">
            <v>Need Displacement</v>
          </cell>
          <cell r="IB691">
            <v>0</v>
          </cell>
          <cell r="IC691">
            <v>0</v>
          </cell>
          <cell r="ID691">
            <v>0</v>
          </cell>
          <cell r="IE691">
            <v>0</v>
          </cell>
          <cell r="IP691">
            <v>0</v>
          </cell>
          <cell r="IR691">
            <v>0</v>
          </cell>
          <cell r="IT691">
            <v>0</v>
          </cell>
          <cell r="IU691">
            <v>0</v>
          </cell>
        </row>
        <row r="692">
          <cell r="A692" t="str">
            <v>isf</v>
          </cell>
          <cell r="E692" t="str">
            <v>1999 Daang Bakal Brgy.159 Zone 14 Tondo Manila</v>
          </cell>
          <cell r="S692" t="str">
            <v>Male</v>
          </cell>
          <cell r="AK692" t="str">
            <v>ISF</v>
          </cell>
          <cell r="AN692">
            <v>0.45465838509316769</v>
          </cell>
          <cell r="AQ692">
            <v>0</v>
          </cell>
          <cell r="AS692">
            <v>0</v>
          </cell>
          <cell r="BM692" t="str">
            <v>Residential/Commercial</v>
          </cell>
          <cell r="BN692">
            <v>0</v>
          </cell>
          <cell r="BR692">
            <v>0.48571428571428571</v>
          </cell>
          <cell r="FQ692" t="str">
            <v>Need Displacement</v>
          </cell>
          <cell r="IB692">
            <v>0</v>
          </cell>
          <cell r="IC692">
            <v>0</v>
          </cell>
          <cell r="ID692">
            <v>0</v>
          </cell>
          <cell r="IE692">
            <v>0</v>
          </cell>
          <cell r="IP692" t="str">
            <v>Owner</v>
          </cell>
          <cell r="IR692" t="str">
            <v>Home/Small-scale Industry</v>
          </cell>
          <cell r="IT692" t="str">
            <v>x</v>
          </cell>
          <cell r="IU692">
            <v>0</v>
          </cell>
        </row>
        <row r="693">
          <cell r="A693" t="str">
            <v>isf</v>
          </cell>
          <cell r="E693" t="str">
            <v>1997 Daang Bakal Dagupan Ext., Brgy.159 Zone 14 Tondo Manila</v>
          </cell>
          <cell r="S693" t="str">
            <v>Female</v>
          </cell>
          <cell r="AK693" t="str">
            <v>ISF</v>
          </cell>
          <cell r="AN693">
            <v>0.24581005586592183</v>
          </cell>
          <cell r="AQ693">
            <v>0</v>
          </cell>
          <cell r="AS693">
            <v>0</v>
          </cell>
          <cell r="BM693" t="str">
            <v>Residential</v>
          </cell>
          <cell r="BN693">
            <v>0</v>
          </cell>
          <cell r="BR693">
            <v>0.46718576195773082</v>
          </cell>
          <cell r="FQ693" t="str">
            <v>Need Displacement</v>
          </cell>
          <cell r="IB693">
            <v>0</v>
          </cell>
          <cell r="IC693" t="str">
            <v>Y</v>
          </cell>
          <cell r="ID693">
            <v>0</v>
          </cell>
          <cell r="IE693">
            <v>0</v>
          </cell>
          <cell r="IP693">
            <v>0</v>
          </cell>
          <cell r="IR693">
            <v>0</v>
          </cell>
          <cell r="IT693">
            <v>0</v>
          </cell>
          <cell r="IU693">
            <v>0</v>
          </cell>
        </row>
        <row r="694">
          <cell r="A694" t="str">
            <v>isf</v>
          </cell>
          <cell r="E694" t="str">
            <v>1993 Daang Bakal Brgy.159 Tayuman Tondo Manila</v>
          </cell>
          <cell r="S694" t="str">
            <v>Female</v>
          </cell>
          <cell r="AK694" t="str">
            <v>ISF</v>
          </cell>
          <cell r="AN694">
            <v>0.63063063063063063</v>
          </cell>
          <cell r="AQ694" t="str">
            <v>Real Tax</v>
          </cell>
          <cell r="AS694">
            <v>0</v>
          </cell>
          <cell r="BM694" t="str">
            <v>Residential</v>
          </cell>
          <cell r="BN694">
            <v>2</v>
          </cell>
          <cell r="BR694">
            <v>0.63063063063063063</v>
          </cell>
          <cell r="FQ694" t="str">
            <v>Need Displacement</v>
          </cell>
          <cell r="IB694">
            <v>0</v>
          </cell>
          <cell r="IC694" t="str">
            <v>Y</v>
          </cell>
          <cell r="ID694">
            <v>2</v>
          </cell>
          <cell r="IE694">
            <v>0</v>
          </cell>
          <cell r="IP694" t="str">
            <v>Owner</v>
          </cell>
          <cell r="IR694" t="str">
            <v>Home/Small-scale Industry</v>
          </cell>
          <cell r="IT694">
            <v>0</v>
          </cell>
          <cell r="IU694" t="str">
            <v>x</v>
          </cell>
        </row>
        <row r="695">
          <cell r="A695" t="str">
            <v>legal</v>
          </cell>
          <cell r="E695" t="str">
            <v>1993 Daang Bakal Brgy.159 Zone 14 Tondo Manila</v>
          </cell>
          <cell r="S695" t="str">
            <v>Female</v>
          </cell>
          <cell r="AK695" t="str">
            <v>ISF</v>
          </cell>
          <cell r="AN695">
            <v>0.63063063063063063</v>
          </cell>
          <cell r="AQ695" t="str">
            <v>Real Tax</v>
          </cell>
          <cell r="AS695" t="str">
            <v>Y</v>
          </cell>
          <cell r="BM695" t="str">
            <v>Residential</v>
          </cell>
          <cell r="BN695">
            <v>0</v>
          </cell>
          <cell r="BR695">
            <v>0.63063063063063063</v>
          </cell>
          <cell r="FQ695" t="str">
            <v>Need Displacement</v>
          </cell>
          <cell r="IB695">
            <v>0</v>
          </cell>
          <cell r="IC695" t="str">
            <v>Y</v>
          </cell>
          <cell r="ID695" t="str">
            <v>1 (?)</v>
          </cell>
          <cell r="IE695">
            <v>0</v>
          </cell>
          <cell r="IP695">
            <v>0</v>
          </cell>
          <cell r="IR695">
            <v>0</v>
          </cell>
          <cell r="IT695">
            <v>0</v>
          </cell>
          <cell r="IU695">
            <v>0</v>
          </cell>
        </row>
        <row r="696">
          <cell r="A696" t="str">
            <v>legal</v>
          </cell>
          <cell r="E696" t="str">
            <v>1993 Daang Bakal Brgy.159 Tayuman Tondo Manila</v>
          </cell>
          <cell r="S696" t="str">
            <v>Female</v>
          </cell>
          <cell r="AK696" t="str">
            <v>ISF</v>
          </cell>
          <cell r="AN696">
            <v>0.5</v>
          </cell>
          <cell r="AQ696" t="str">
            <v>CMP</v>
          </cell>
          <cell r="AS696" t="str">
            <v>Y</v>
          </cell>
          <cell r="BM696" t="str">
            <v>Residential</v>
          </cell>
          <cell r="BN696">
            <v>0</v>
          </cell>
          <cell r="BR696">
            <v>0.5</v>
          </cell>
          <cell r="FQ696" t="str">
            <v>Need Displacement</v>
          </cell>
          <cell r="IB696">
            <v>0</v>
          </cell>
          <cell r="IC696">
            <v>0</v>
          </cell>
          <cell r="ID696">
            <v>0</v>
          </cell>
          <cell r="IE696">
            <v>0</v>
          </cell>
          <cell r="IP696">
            <v>0</v>
          </cell>
          <cell r="IR696">
            <v>0</v>
          </cell>
          <cell r="IT696">
            <v>0</v>
          </cell>
          <cell r="IU696">
            <v>0</v>
          </cell>
        </row>
        <row r="697">
          <cell r="A697" t="str">
            <v>isf</v>
          </cell>
          <cell r="E697" t="str">
            <v>1989-B Daang Bakal Brgy.159 Zone 14 Tondo Manila</v>
          </cell>
          <cell r="S697" t="str">
            <v>Female</v>
          </cell>
          <cell r="AK697" t="str">
            <v>ISF</v>
          </cell>
          <cell r="AN697">
            <v>0.36756756756756759</v>
          </cell>
          <cell r="AQ697" t="str">
            <v>Real Tax (CTHall)</v>
          </cell>
          <cell r="AS697">
            <v>0</v>
          </cell>
          <cell r="BM697" t="str">
            <v>Residential</v>
          </cell>
          <cell r="BN697">
            <v>1</v>
          </cell>
          <cell r="BR697">
            <v>0.18378378378378379</v>
          </cell>
          <cell r="FQ697" t="str">
            <v>Can Stay (ACCESS BLOCK)</v>
          </cell>
          <cell r="IB697">
            <v>0</v>
          </cell>
          <cell r="IC697" t="str">
            <v>Y</v>
          </cell>
          <cell r="ID697">
            <v>0</v>
          </cell>
          <cell r="IE697">
            <v>1</v>
          </cell>
          <cell r="IP697" t="str">
            <v>Owner</v>
          </cell>
          <cell r="IR697" t="str">
            <v>Home/Small-scale Industry</v>
          </cell>
          <cell r="IT697">
            <v>0</v>
          </cell>
          <cell r="IU697" t="str">
            <v>x</v>
          </cell>
        </row>
        <row r="698">
          <cell r="A698" t="str">
            <v>isf</v>
          </cell>
          <cell r="E698" t="str">
            <v>1989-B Daang Bakal Brgy.159 Zone 14 Tondo Manila</v>
          </cell>
          <cell r="S698" t="str">
            <v>Female</v>
          </cell>
          <cell r="AK698" t="str">
            <v>ISF</v>
          </cell>
          <cell r="AN698">
            <v>0.36756756756756759</v>
          </cell>
          <cell r="AQ698">
            <v>0</v>
          </cell>
          <cell r="AS698">
            <v>0</v>
          </cell>
          <cell r="BM698" t="str">
            <v>Residential</v>
          </cell>
          <cell r="BN698">
            <v>0</v>
          </cell>
          <cell r="BR698">
            <v>0.18378378378378379</v>
          </cell>
          <cell r="FQ698" t="str">
            <v>Can Stay (ACCESS BLOCK)</v>
          </cell>
          <cell r="IB698" t="str">
            <v>Y</v>
          </cell>
          <cell r="IC698" t="str">
            <v>Y</v>
          </cell>
          <cell r="ID698">
            <v>0</v>
          </cell>
          <cell r="IE698">
            <v>0</v>
          </cell>
          <cell r="IP698">
            <v>0</v>
          </cell>
          <cell r="IR698">
            <v>0</v>
          </cell>
          <cell r="IT698">
            <v>0</v>
          </cell>
          <cell r="IU698">
            <v>0</v>
          </cell>
        </row>
        <row r="699">
          <cell r="A699" t="str">
            <v>Absentee</v>
          </cell>
          <cell r="E699" t="str">
            <v>1989 Daang Bakal Brgy.159 Tayuman, Tondo Manila</v>
          </cell>
          <cell r="S699" t="str">
            <v>Female</v>
          </cell>
          <cell r="AK699" t="str">
            <v>ISF</v>
          </cell>
          <cell r="AN699">
            <v>0.15401360544217688</v>
          </cell>
          <cell r="AQ699">
            <v>0</v>
          </cell>
          <cell r="AS699">
            <v>0</v>
          </cell>
          <cell r="BM699" t="str">
            <v>ABSENTEE</v>
          </cell>
          <cell r="BN699">
            <v>0</v>
          </cell>
          <cell r="BR699">
            <v>8.4210526315789472E-2</v>
          </cell>
          <cell r="FQ699" t="str">
            <v>Can Stay (ACCESS BLOCK)</v>
          </cell>
          <cell r="IB699">
            <v>0</v>
          </cell>
          <cell r="IC699">
            <v>0</v>
          </cell>
          <cell r="ID699">
            <v>0</v>
          </cell>
          <cell r="IE699">
            <v>0</v>
          </cell>
          <cell r="IP699" t="str">
            <v>Owner</v>
          </cell>
          <cell r="IR699" t="str">
            <v>Home/Small-scale Industry</v>
          </cell>
          <cell r="IT699">
            <v>0</v>
          </cell>
          <cell r="IU699" t="str">
            <v>x</v>
          </cell>
        </row>
        <row r="700">
          <cell r="A700" t="str">
            <v>isf</v>
          </cell>
          <cell r="E700" t="str">
            <v>1989 Daang Bakal Brgy.159 Tayuman, Tondo Manila</v>
          </cell>
          <cell r="S700" t="str">
            <v>Female</v>
          </cell>
          <cell r="AK700" t="str">
            <v>ISF</v>
          </cell>
          <cell r="AN700">
            <v>0.15401360544217688</v>
          </cell>
          <cell r="AQ700" t="str">
            <v>Real  Tax</v>
          </cell>
          <cell r="AS700">
            <v>0</v>
          </cell>
          <cell r="BM700" t="str">
            <v>Residential</v>
          </cell>
          <cell r="BN700">
            <v>0</v>
          </cell>
          <cell r="BR700">
            <v>8.4210526315789472E-2</v>
          </cell>
          <cell r="FQ700" t="str">
            <v>Can Stay (ACCESS BLOCK)</v>
          </cell>
          <cell r="IB700">
            <v>0</v>
          </cell>
          <cell r="IC700">
            <v>0</v>
          </cell>
          <cell r="ID700">
            <v>0</v>
          </cell>
          <cell r="IE700">
            <v>0</v>
          </cell>
          <cell r="IP700" t="str">
            <v>Owner</v>
          </cell>
          <cell r="IR700" t="str">
            <v>Home/Small-scale Industry</v>
          </cell>
          <cell r="IT700">
            <v>0</v>
          </cell>
          <cell r="IU700" t="str">
            <v>x</v>
          </cell>
        </row>
        <row r="701">
          <cell r="A701">
            <v>0</v>
          </cell>
          <cell r="E701" t="str">
            <v>1989 Daang Bakal Brgy.159 Tayuman, Tondo Manila</v>
          </cell>
          <cell r="S701" t="str">
            <v>Male</v>
          </cell>
          <cell r="AK701" t="str">
            <v>ISF</v>
          </cell>
          <cell r="AN701">
            <v>0.15238095238095237</v>
          </cell>
          <cell r="AS701">
            <v>0</v>
          </cell>
          <cell r="BM701" t="str">
            <v>Residential</v>
          </cell>
          <cell r="BN701">
            <v>0</v>
          </cell>
          <cell r="BR701">
            <v>8.4210526315789472E-2</v>
          </cell>
          <cell r="FQ701" t="str">
            <v>Can Stay (ACCESS BLOCK)</v>
          </cell>
          <cell r="IB701">
            <v>0</v>
          </cell>
          <cell r="IC701">
            <v>0</v>
          </cell>
          <cell r="ID701">
            <v>0</v>
          </cell>
          <cell r="IE701">
            <v>0</v>
          </cell>
          <cell r="IP701">
            <v>0</v>
          </cell>
          <cell r="IR701">
            <v>0</v>
          </cell>
          <cell r="IT701">
            <v>0</v>
          </cell>
          <cell r="IU701">
            <v>0</v>
          </cell>
        </row>
        <row r="702">
          <cell r="A702" t="str">
            <v>isf-x</v>
          </cell>
          <cell r="E702" t="str">
            <v>1985 Daang Bakal Brgy.159 Tayuman, Tondo Manila</v>
          </cell>
          <cell r="S702" t="str">
            <v>Male</v>
          </cell>
          <cell r="AK702" t="str">
            <v>ISF</v>
          </cell>
          <cell r="AN702">
            <v>0.13034623217922606</v>
          </cell>
          <cell r="AQ702">
            <v>0</v>
          </cell>
          <cell r="AS702">
            <v>0</v>
          </cell>
          <cell r="BM702" t="str">
            <v>Residential</v>
          </cell>
          <cell r="BN702">
            <v>0</v>
          </cell>
          <cell r="BR702">
            <v>0.15446500402252614</v>
          </cell>
          <cell r="FQ702" t="str">
            <v>Can Stay (ACCESS BLOCK)</v>
          </cell>
          <cell r="IB702">
            <v>0</v>
          </cell>
          <cell r="IC702">
            <v>0</v>
          </cell>
          <cell r="ID702">
            <v>1</v>
          </cell>
          <cell r="IE702">
            <v>0</v>
          </cell>
          <cell r="IP702">
            <v>0</v>
          </cell>
          <cell r="IR702">
            <v>0</v>
          </cell>
          <cell r="IT702">
            <v>0</v>
          </cell>
          <cell r="IU702">
            <v>0</v>
          </cell>
        </row>
        <row r="703">
          <cell r="A703" t="str">
            <v>isf</v>
          </cell>
          <cell r="E703" t="str">
            <v>1979 Daang Bakal Brgy.159 Tayuman, Tondo Manila</v>
          </cell>
          <cell r="S703" t="str">
            <v>Male</v>
          </cell>
          <cell r="AK703" t="str">
            <v>ISF</v>
          </cell>
          <cell r="AN703">
            <v>0.375</v>
          </cell>
          <cell r="AQ703">
            <v>0</v>
          </cell>
          <cell r="AS703">
            <v>0</v>
          </cell>
          <cell r="BM703" t="str">
            <v>Residential</v>
          </cell>
          <cell r="BN703">
            <v>0</v>
          </cell>
          <cell r="BR703">
            <v>0.375</v>
          </cell>
          <cell r="FQ703" t="str">
            <v>Need Displacement</v>
          </cell>
          <cell r="IB703">
            <v>0</v>
          </cell>
          <cell r="IC703">
            <v>0</v>
          </cell>
          <cell r="ID703">
            <v>0</v>
          </cell>
          <cell r="IE703">
            <v>0</v>
          </cell>
          <cell r="IP703">
            <v>0</v>
          </cell>
          <cell r="IR703">
            <v>0</v>
          </cell>
          <cell r="IT703">
            <v>0</v>
          </cell>
          <cell r="IU703">
            <v>0</v>
          </cell>
        </row>
        <row r="704">
          <cell r="A704">
            <v>0</v>
          </cell>
          <cell r="E704" t="str">
            <v>1979 Daang Bakal Brgy.159 Tayuman, Tondo Manila</v>
          </cell>
          <cell r="S704">
            <v>0</v>
          </cell>
          <cell r="AK704" t="str">
            <v>ISF</v>
          </cell>
          <cell r="AN704">
            <v>0.375</v>
          </cell>
          <cell r="AQ704">
            <v>0</v>
          </cell>
          <cell r="AS704">
            <v>0</v>
          </cell>
          <cell r="BM704" t="str">
            <v>Residential</v>
          </cell>
          <cell r="BN704">
            <v>0</v>
          </cell>
          <cell r="BR704">
            <v>0.375</v>
          </cell>
          <cell r="FQ704" t="str">
            <v>Need Displacement</v>
          </cell>
          <cell r="IB704">
            <v>0</v>
          </cell>
          <cell r="IC704">
            <v>0</v>
          </cell>
          <cell r="ID704">
            <v>0</v>
          </cell>
          <cell r="IE704">
            <v>0</v>
          </cell>
          <cell r="IP704">
            <v>0</v>
          </cell>
          <cell r="IR704">
            <v>0</v>
          </cell>
          <cell r="IT704">
            <v>0</v>
          </cell>
          <cell r="IU704">
            <v>0</v>
          </cell>
        </row>
        <row r="705">
          <cell r="A705" t="str">
            <v>isf</v>
          </cell>
          <cell r="E705" t="str">
            <v>1985 Daang Bakal Brgy.159 Tayuman, Tondo Manila</v>
          </cell>
          <cell r="S705" t="str">
            <v>Male</v>
          </cell>
          <cell r="AK705" t="str">
            <v>ISF</v>
          </cell>
          <cell r="AN705">
            <v>0.12658227848101264</v>
          </cell>
          <cell r="AQ705">
            <v>0</v>
          </cell>
          <cell r="AS705">
            <v>0</v>
          </cell>
          <cell r="BM705" t="str">
            <v>Residential</v>
          </cell>
          <cell r="BN705">
            <v>0</v>
          </cell>
          <cell r="BR705">
            <v>0.13289036544850499</v>
          </cell>
          <cell r="FQ705" t="str">
            <v>Can Stay (ACCESS BLOCK)</v>
          </cell>
          <cell r="IB705">
            <v>0</v>
          </cell>
          <cell r="IC705">
            <v>0</v>
          </cell>
          <cell r="ID705">
            <v>1</v>
          </cell>
          <cell r="IE705">
            <v>0</v>
          </cell>
          <cell r="IP705">
            <v>0</v>
          </cell>
          <cell r="IR705">
            <v>0</v>
          </cell>
          <cell r="IT705">
            <v>0</v>
          </cell>
          <cell r="IU705">
            <v>0</v>
          </cell>
        </row>
        <row r="706">
          <cell r="A706" t="str">
            <v>Isf</v>
          </cell>
          <cell r="E706" t="str">
            <v>1975 Daang Bakal Brgy.159 Tayuman, Tondo Manila</v>
          </cell>
          <cell r="S706" t="str">
            <v>Male</v>
          </cell>
          <cell r="AK706" t="str">
            <v>ISF</v>
          </cell>
          <cell r="AN706">
            <v>0.44873096446700506</v>
          </cell>
          <cell r="AQ706">
            <v>0</v>
          </cell>
          <cell r="AS706">
            <v>0</v>
          </cell>
          <cell r="BM706" t="str">
            <v>Residential</v>
          </cell>
          <cell r="BN706">
            <v>1</v>
          </cell>
          <cell r="BR706">
            <v>0.44827586206896552</v>
          </cell>
          <cell r="FQ706" t="str">
            <v>Need Displacement</v>
          </cell>
          <cell r="IB706">
            <v>0</v>
          </cell>
          <cell r="IC706">
            <v>0</v>
          </cell>
          <cell r="ID706">
            <v>0</v>
          </cell>
          <cell r="IE706">
            <v>0</v>
          </cell>
          <cell r="IP706">
            <v>0</v>
          </cell>
          <cell r="IR706">
            <v>0</v>
          </cell>
          <cell r="IT706">
            <v>0</v>
          </cell>
          <cell r="IU706">
            <v>0</v>
          </cell>
        </row>
        <row r="707">
          <cell r="A707" t="str">
            <v>isf</v>
          </cell>
          <cell r="E707" t="str">
            <v>1975 Daang Bakal Brgy.159 Tayuman, Tondo Manila</v>
          </cell>
          <cell r="S707" t="str">
            <v>Male</v>
          </cell>
          <cell r="AK707" t="str">
            <v>ISF</v>
          </cell>
          <cell r="AN707">
            <v>0.42857142857142855</v>
          </cell>
          <cell r="AQ707" t="str">
            <v>Real Tax (PNR)</v>
          </cell>
          <cell r="AS707">
            <v>0</v>
          </cell>
          <cell r="BM707" t="str">
            <v>Residential</v>
          </cell>
          <cell r="BN707">
            <v>0</v>
          </cell>
          <cell r="BR707">
            <v>0.42857142857142855</v>
          </cell>
          <cell r="FQ707" t="str">
            <v>Need Displacement</v>
          </cell>
          <cell r="IB707">
            <v>0</v>
          </cell>
          <cell r="IC707">
            <v>0</v>
          </cell>
          <cell r="ID707">
            <v>0</v>
          </cell>
          <cell r="IE707">
            <v>0</v>
          </cell>
          <cell r="IP707">
            <v>0</v>
          </cell>
          <cell r="IR707">
            <v>0</v>
          </cell>
          <cell r="IT707">
            <v>0</v>
          </cell>
          <cell r="IU707">
            <v>0</v>
          </cell>
        </row>
        <row r="708">
          <cell r="A708" t="str">
            <v>isf</v>
          </cell>
          <cell r="E708" t="str">
            <v>1971 Daang Bakal Brgy.159 Zone.14 Tayuman Tondo Manila</v>
          </cell>
          <cell r="S708" t="str">
            <v>Female</v>
          </cell>
          <cell r="AK708" t="str">
            <v>ISF</v>
          </cell>
          <cell r="AN708">
            <v>0.53220611916264093</v>
          </cell>
          <cell r="AQ708">
            <v>0</v>
          </cell>
          <cell r="AS708">
            <v>0</v>
          </cell>
          <cell r="BM708" t="str">
            <v>Residential/Commercial</v>
          </cell>
          <cell r="BN708">
            <v>1</v>
          </cell>
          <cell r="BR708">
            <v>0.47622800105069607</v>
          </cell>
          <cell r="FQ708" t="str">
            <v>Need Displacement</v>
          </cell>
          <cell r="IB708" t="str">
            <v>Y</v>
          </cell>
          <cell r="IC708" t="str">
            <v>Y</v>
          </cell>
          <cell r="ID708">
            <v>2</v>
          </cell>
          <cell r="IE708">
            <v>0</v>
          </cell>
          <cell r="IP708" t="str">
            <v>Owner</v>
          </cell>
          <cell r="IR708" t="str">
            <v>Home/Small-scale Industry</v>
          </cell>
          <cell r="IT708">
            <v>0</v>
          </cell>
          <cell r="IU708" t="str">
            <v>x</v>
          </cell>
        </row>
        <row r="709">
          <cell r="A709" t="str">
            <v>isf-x</v>
          </cell>
          <cell r="E709" t="str">
            <v>1967 Daang Bakal Brgy.159 Zone.14 Tayuman Tondo Manila</v>
          </cell>
          <cell r="S709" t="str">
            <v>Female</v>
          </cell>
          <cell r="AK709" t="str">
            <v>ISF</v>
          </cell>
          <cell r="AN709">
            <v>0.20618556701030927</v>
          </cell>
          <cell r="AQ709" t="str">
            <v>Real Tax (PNR)</v>
          </cell>
          <cell r="AS709">
            <v>0</v>
          </cell>
          <cell r="BM709" t="str">
            <v>Residential</v>
          </cell>
          <cell r="BN709">
            <v>2</v>
          </cell>
          <cell r="BR709">
            <v>0.18018018018018017</v>
          </cell>
          <cell r="FQ709" t="str">
            <v>Need Displacement</v>
          </cell>
          <cell r="IB709">
            <v>0</v>
          </cell>
          <cell r="IC709">
            <v>0</v>
          </cell>
          <cell r="ID709">
            <v>0</v>
          </cell>
          <cell r="IE709">
            <v>0</v>
          </cell>
          <cell r="IP709">
            <v>0</v>
          </cell>
          <cell r="IR709">
            <v>0</v>
          </cell>
          <cell r="IT709">
            <v>0</v>
          </cell>
          <cell r="IU709">
            <v>0</v>
          </cell>
        </row>
        <row r="710">
          <cell r="A710" t="str">
            <v>isf</v>
          </cell>
          <cell r="E710" t="str">
            <v>1967 Daang Bakal Brgy.159 Tayuman Tondo Manila</v>
          </cell>
          <cell r="S710" t="str">
            <v>Male</v>
          </cell>
          <cell r="AK710" t="str">
            <v>ISF</v>
          </cell>
          <cell r="AN710">
            <v>0.6</v>
          </cell>
          <cell r="AQ710">
            <v>0</v>
          </cell>
          <cell r="AS710">
            <v>0</v>
          </cell>
          <cell r="BM710" t="str">
            <v>Residential</v>
          </cell>
          <cell r="BN710">
            <v>0</v>
          </cell>
          <cell r="BR710">
            <v>0.6</v>
          </cell>
          <cell r="FQ710" t="str">
            <v>Need Displacement</v>
          </cell>
          <cell r="IB710" t="str">
            <v>Y</v>
          </cell>
          <cell r="IC710">
            <v>0</v>
          </cell>
          <cell r="ID710">
            <v>2</v>
          </cell>
          <cell r="IE710">
            <v>1</v>
          </cell>
          <cell r="IP710">
            <v>0</v>
          </cell>
          <cell r="IR710">
            <v>0</v>
          </cell>
          <cell r="IT710">
            <v>0</v>
          </cell>
          <cell r="IU710">
            <v>0</v>
          </cell>
        </row>
        <row r="711">
          <cell r="A711" t="str">
            <v>isf-x</v>
          </cell>
          <cell r="E711" t="str">
            <v>1963 Daang Bakal Brgy.159 Tayuman Tondo Manila</v>
          </cell>
          <cell r="S711" t="str">
            <v>Male</v>
          </cell>
          <cell r="AK711" t="str">
            <v>ISF</v>
          </cell>
          <cell r="AN711">
            <v>0.05</v>
          </cell>
          <cell r="AQ711">
            <v>0</v>
          </cell>
          <cell r="AS711">
            <v>0</v>
          </cell>
          <cell r="BM711" t="str">
            <v>Residential</v>
          </cell>
          <cell r="BN711">
            <v>1</v>
          </cell>
          <cell r="BR711">
            <v>2.5000000000000001E-2</v>
          </cell>
          <cell r="FQ711" t="str">
            <v>Can Stay (ACCESS BLOCK)</v>
          </cell>
          <cell r="IB711">
            <v>0</v>
          </cell>
          <cell r="IC711">
            <v>0</v>
          </cell>
          <cell r="ID711">
            <v>0</v>
          </cell>
          <cell r="IE711">
            <v>0</v>
          </cell>
          <cell r="IP711" t="str">
            <v>Owner</v>
          </cell>
          <cell r="IR711" t="str">
            <v>Trading/retailing</v>
          </cell>
          <cell r="IT711">
            <v>0</v>
          </cell>
          <cell r="IU711" t="str">
            <v>x</v>
          </cell>
        </row>
        <row r="712">
          <cell r="A712" t="str">
            <v>isf-x</v>
          </cell>
          <cell r="E712" t="str">
            <v>1962 Daang Bakal Brgy.159 Tayuman Tondo Manila</v>
          </cell>
          <cell r="S712">
            <v>0</v>
          </cell>
          <cell r="AK712" t="str">
            <v>ISF</v>
          </cell>
          <cell r="AN712">
            <v>1</v>
          </cell>
          <cell r="AQ712">
            <v>0</v>
          </cell>
          <cell r="AS712">
            <v>0</v>
          </cell>
          <cell r="BM712">
            <v>0</v>
          </cell>
          <cell r="BN712">
            <v>0</v>
          </cell>
          <cell r="BR712">
            <v>0</v>
          </cell>
          <cell r="FQ712">
            <v>0</v>
          </cell>
          <cell r="IB712">
            <v>0</v>
          </cell>
          <cell r="IC712">
            <v>0</v>
          </cell>
          <cell r="ID712">
            <v>0</v>
          </cell>
          <cell r="IE712">
            <v>0</v>
          </cell>
          <cell r="IP712">
            <v>0</v>
          </cell>
          <cell r="IR712">
            <v>0</v>
          </cell>
          <cell r="IT712">
            <v>0</v>
          </cell>
          <cell r="IU712">
            <v>0</v>
          </cell>
        </row>
        <row r="713">
          <cell r="A713" t="str">
            <v>isf-x</v>
          </cell>
          <cell r="E713" t="str">
            <v>1959 Daang Bakal Brgy.159 Tayuman Tondo Manila</v>
          </cell>
          <cell r="S713">
            <v>0</v>
          </cell>
          <cell r="AK713" t="str">
            <v>ISF</v>
          </cell>
          <cell r="AN713">
            <v>1</v>
          </cell>
          <cell r="AQ713">
            <v>0</v>
          </cell>
          <cell r="AS713">
            <v>0</v>
          </cell>
          <cell r="BM713">
            <v>0</v>
          </cell>
          <cell r="BN713">
            <v>0</v>
          </cell>
          <cell r="BR713">
            <v>0</v>
          </cell>
          <cell r="FQ713">
            <v>0</v>
          </cell>
          <cell r="IB713">
            <v>0</v>
          </cell>
          <cell r="IC713">
            <v>0</v>
          </cell>
          <cell r="ID713">
            <v>0</v>
          </cell>
          <cell r="IE713">
            <v>0</v>
          </cell>
          <cell r="IP713">
            <v>0</v>
          </cell>
          <cell r="IR713">
            <v>0</v>
          </cell>
          <cell r="IT713">
            <v>0</v>
          </cell>
          <cell r="IU713">
            <v>0</v>
          </cell>
        </row>
        <row r="714">
          <cell r="A714" t="str">
            <v>isf-x</v>
          </cell>
          <cell r="E714" t="str">
            <v>1951 Daang Bakal Brgy.159 Tayuman Tondo Manila</v>
          </cell>
          <cell r="S714">
            <v>0</v>
          </cell>
          <cell r="AK714" t="str">
            <v>ISF</v>
          </cell>
          <cell r="AN714">
            <v>0.16666666666666666</v>
          </cell>
          <cell r="AQ714" t="str">
            <v>Real Tax</v>
          </cell>
          <cell r="AS714">
            <v>0</v>
          </cell>
          <cell r="BM714">
            <v>0</v>
          </cell>
          <cell r="BN714">
            <v>0</v>
          </cell>
          <cell r="BR714">
            <v>0</v>
          </cell>
          <cell r="FQ714" t="str">
            <v>Can Stay (ACCESS BLOCK)</v>
          </cell>
          <cell r="IB714">
            <v>0</v>
          </cell>
          <cell r="IC714">
            <v>0</v>
          </cell>
          <cell r="ID714">
            <v>0</v>
          </cell>
          <cell r="IE714">
            <v>0</v>
          </cell>
          <cell r="IP714">
            <v>0</v>
          </cell>
          <cell r="IR714">
            <v>0</v>
          </cell>
          <cell r="IT714">
            <v>0</v>
          </cell>
          <cell r="IU714">
            <v>0</v>
          </cell>
        </row>
        <row r="715">
          <cell r="A715">
            <v>0</v>
          </cell>
          <cell r="E715" t="str">
            <v>1951 Daang Bakal Brgy.159 Tondo Manila</v>
          </cell>
          <cell r="S715">
            <v>0</v>
          </cell>
          <cell r="AK715" t="str">
            <v>ISF</v>
          </cell>
          <cell r="AN715">
            <v>0.16666666666666666</v>
          </cell>
          <cell r="AQ715">
            <v>0</v>
          </cell>
          <cell r="AS715">
            <v>0</v>
          </cell>
          <cell r="BM715">
            <v>0</v>
          </cell>
          <cell r="BN715">
            <v>0</v>
          </cell>
          <cell r="BR715">
            <v>0</v>
          </cell>
          <cell r="FQ715">
            <v>0</v>
          </cell>
          <cell r="IB715">
            <v>0</v>
          </cell>
          <cell r="IC715" t="str">
            <v>Y</v>
          </cell>
          <cell r="ID715" t="str">
            <v>1 (?)</v>
          </cell>
          <cell r="IE715">
            <v>0</v>
          </cell>
          <cell r="IP715" t="str">
            <v>Owner</v>
          </cell>
          <cell r="IR715" t="str">
            <v>Trading/retailing</v>
          </cell>
          <cell r="IT715">
            <v>0</v>
          </cell>
          <cell r="IU715" t="str">
            <v>x</v>
          </cell>
        </row>
        <row r="716">
          <cell r="A716" t="str">
            <v>isf</v>
          </cell>
          <cell r="E716" t="str">
            <v>1951 Daang Bakal Brgy.159 Tondo Manila</v>
          </cell>
          <cell r="S716">
            <v>0</v>
          </cell>
          <cell r="AK716" t="str">
            <v>ISF</v>
          </cell>
          <cell r="AN716">
            <v>0.66666666666666663</v>
          </cell>
          <cell r="AQ716" t="str">
            <v>Real Tax</v>
          </cell>
          <cell r="AS716">
            <v>0</v>
          </cell>
          <cell r="BM716">
            <v>0</v>
          </cell>
          <cell r="BN716">
            <v>0</v>
          </cell>
          <cell r="BR716">
            <v>0</v>
          </cell>
          <cell r="FQ716">
            <v>0</v>
          </cell>
          <cell r="IB716">
            <v>0</v>
          </cell>
          <cell r="IC716" t="str">
            <v>Y</v>
          </cell>
          <cell r="ID716">
            <v>1</v>
          </cell>
          <cell r="IE716">
            <v>1</v>
          </cell>
          <cell r="IP716">
            <v>0</v>
          </cell>
          <cell r="IR716">
            <v>0</v>
          </cell>
          <cell r="IT716">
            <v>0</v>
          </cell>
          <cell r="IU716">
            <v>0</v>
          </cell>
        </row>
        <row r="717">
          <cell r="A717" t="str">
            <v>legal</v>
          </cell>
          <cell r="E717" t="str">
            <v>1947 Daang Bakal Brgy.159 Tondo Manila</v>
          </cell>
          <cell r="S717">
            <v>0</v>
          </cell>
          <cell r="AK717" t="str">
            <v>ISF</v>
          </cell>
          <cell r="AN717">
            <v>1</v>
          </cell>
          <cell r="AQ717" t="str">
            <v>Real Tax</v>
          </cell>
          <cell r="AS717" t="str">
            <v>Y</v>
          </cell>
          <cell r="BM717">
            <v>0</v>
          </cell>
          <cell r="BN717">
            <v>0</v>
          </cell>
          <cell r="BR717">
            <v>0</v>
          </cell>
          <cell r="FQ717">
            <v>0</v>
          </cell>
          <cell r="IB717" t="str">
            <v>Y</v>
          </cell>
          <cell r="IC717">
            <v>0</v>
          </cell>
          <cell r="ID717">
            <v>1</v>
          </cell>
          <cell r="IE717">
            <v>0</v>
          </cell>
          <cell r="IP717">
            <v>0</v>
          </cell>
          <cell r="IR717">
            <v>0</v>
          </cell>
          <cell r="IT717">
            <v>0</v>
          </cell>
          <cell r="IU717">
            <v>0</v>
          </cell>
        </row>
        <row r="718">
          <cell r="A718" t="str">
            <v>isf</v>
          </cell>
          <cell r="E718" t="str">
            <v>1943 Daang Bakal Brgy.159 Tondo Manila</v>
          </cell>
          <cell r="S718" t="str">
            <v>Male</v>
          </cell>
          <cell r="AK718" t="str">
            <v>ISF</v>
          </cell>
          <cell r="AN718">
            <v>0.10049019607843138</v>
          </cell>
          <cell r="AQ718">
            <v>0</v>
          </cell>
          <cell r="AS718">
            <v>0</v>
          </cell>
          <cell r="BM718" t="str">
            <v>Residential</v>
          </cell>
          <cell r="BN718">
            <v>0</v>
          </cell>
          <cell r="BR718">
            <v>0.16060606060606061</v>
          </cell>
          <cell r="FQ718" t="str">
            <v>Can Stay</v>
          </cell>
          <cell r="IB718" t="str">
            <v>Y</v>
          </cell>
          <cell r="IC718">
            <v>0</v>
          </cell>
          <cell r="ID718">
            <v>1</v>
          </cell>
          <cell r="IE718">
            <v>0</v>
          </cell>
          <cell r="IP718" t="str">
            <v>Owner</v>
          </cell>
          <cell r="IR718" t="str">
            <v>Home/Small-scale Industry</v>
          </cell>
          <cell r="IT718">
            <v>0</v>
          </cell>
          <cell r="IU718" t="str">
            <v>x</v>
          </cell>
        </row>
        <row r="719">
          <cell r="A719">
            <v>0</v>
          </cell>
          <cell r="E719" t="str">
            <v>1943 Daang Bakal Brgy.159 Tayuman, Tondo Manila</v>
          </cell>
          <cell r="S719" t="str">
            <v>Female</v>
          </cell>
          <cell r="AK719" t="str">
            <v>Land Lessee</v>
          </cell>
          <cell r="AN719">
            <v>0.10049019607843138</v>
          </cell>
          <cell r="AQ719">
            <v>0</v>
          </cell>
          <cell r="AS719">
            <v>0</v>
          </cell>
          <cell r="BM719" t="str">
            <v>Residential</v>
          </cell>
          <cell r="BN719">
            <v>0</v>
          </cell>
          <cell r="BR719">
            <v>0.16060606060606061</v>
          </cell>
          <cell r="FQ719" t="str">
            <v>Can Stay</v>
          </cell>
          <cell r="IB719" t="str">
            <v>Y</v>
          </cell>
          <cell r="IC719" t="str">
            <v>Y</v>
          </cell>
          <cell r="ID719">
            <v>0</v>
          </cell>
          <cell r="IE719">
            <v>0</v>
          </cell>
          <cell r="IP719">
            <v>0</v>
          </cell>
          <cell r="IR719">
            <v>0</v>
          </cell>
          <cell r="IT719">
            <v>0</v>
          </cell>
          <cell r="IU719">
            <v>0</v>
          </cell>
        </row>
        <row r="720">
          <cell r="A720">
            <v>0</v>
          </cell>
          <cell r="E720" t="str">
            <v>1943 Daang Bakal Brgy.159 Tayuman, Tondo Manila</v>
          </cell>
          <cell r="S720" t="str">
            <v>Female</v>
          </cell>
          <cell r="AK720" t="str">
            <v>Land Lessee</v>
          </cell>
          <cell r="AN720">
            <v>0.10049019607843138</v>
          </cell>
          <cell r="AQ720">
            <v>0</v>
          </cell>
          <cell r="AS720">
            <v>0</v>
          </cell>
          <cell r="BM720" t="str">
            <v>Residential</v>
          </cell>
          <cell r="BN720">
            <v>0</v>
          </cell>
          <cell r="BR720">
            <v>0.16060606060606061</v>
          </cell>
          <cell r="FQ720" t="str">
            <v>Can Stay</v>
          </cell>
          <cell r="IB720" t="str">
            <v>Y</v>
          </cell>
          <cell r="IC720" t="str">
            <v>Y</v>
          </cell>
          <cell r="ID720">
            <v>0</v>
          </cell>
          <cell r="IE720">
            <v>1</v>
          </cell>
          <cell r="IP720">
            <v>0</v>
          </cell>
          <cell r="IR720">
            <v>0</v>
          </cell>
          <cell r="IT720">
            <v>0</v>
          </cell>
          <cell r="IU720">
            <v>0</v>
          </cell>
        </row>
        <row r="721">
          <cell r="A721" t="str">
            <v>isf</v>
          </cell>
          <cell r="E721" t="str">
            <v>1943 Daang Bakal Brgy.159 Tayuman, Tondo Manila</v>
          </cell>
          <cell r="S721" t="str">
            <v>Female</v>
          </cell>
          <cell r="AK721" t="str">
            <v>Land Lessee</v>
          </cell>
          <cell r="AN721">
            <v>0.10049019607843138</v>
          </cell>
          <cell r="AQ721">
            <v>0</v>
          </cell>
          <cell r="AS721">
            <v>0</v>
          </cell>
          <cell r="BM721" t="str">
            <v>Residential</v>
          </cell>
          <cell r="BN721">
            <v>1</v>
          </cell>
          <cell r="BR721">
            <v>0.16060606060606061</v>
          </cell>
          <cell r="FQ721" t="str">
            <v>Need Displacement</v>
          </cell>
          <cell r="IB721" t="str">
            <v>Y</v>
          </cell>
          <cell r="IC721" t="str">
            <v>Y</v>
          </cell>
          <cell r="ID721">
            <v>0</v>
          </cell>
          <cell r="IE721">
            <v>1</v>
          </cell>
          <cell r="IP721">
            <v>0</v>
          </cell>
          <cell r="IR721">
            <v>0</v>
          </cell>
          <cell r="IT721">
            <v>0</v>
          </cell>
          <cell r="IU721">
            <v>0</v>
          </cell>
        </row>
        <row r="722">
          <cell r="A722" t="str">
            <v>legal</v>
          </cell>
          <cell r="E722" t="str">
            <v>1937 Daang Bakal Brgy.159 Zone.14 Tayuman, Tondo Manila</v>
          </cell>
          <cell r="S722">
            <v>0</v>
          </cell>
          <cell r="AK722" t="str">
            <v>ISF</v>
          </cell>
          <cell r="AN722">
            <v>3.3333333333333333E-2</v>
          </cell>
          <cell r="AQ722" t="str">
            <v>Real Tax</v>
          </cell>
          <cell r="AS722" t="str">
            <v>Y</v>
          </cell>
          <cell r="BM722">
            <v>0</v>
          </cell>
          <cell r="BN722">
            <v>0</v>
          </cell>
          <cell r="BR722">
            <v>0</v>
          </cell>
          <cell r="FQ722">
            <v>0</v>
          </cell>
          <cell r="IB722">
            <v>0</v>
          </cell>
          <cell r="IC722">
            <v>0</v>
          </cell>
          <cell r="ID722">
            <v>0</v>
          </cell>
          <cell r="IE722">
            <v>0</v>
          </cell>
          <cell r="IP722">
            <v>0</v>
          </cell>
          <cell r="IR722">
            <v>0</v>
          </cell>
          <cell r="IT722">
            <v>0</v>
          </cell>
          <cell r="IU722">
            <v>0</v>
          </cell>
        </row>
        <row r="723">
          <cell r="A723" t="str">
            <v>Absentee</v>
          </cell>
          <cell r="E723" t="str">
            <v>1937 Daang Bakal Brgy.159 Tayuman, Tondo Manila</v>
          </cell>
          <cell r="S723">
            <v>0</v>
          </cell>
          <cell r="AK723" t="str">
            <v>ISF</v>
          </cell>
          <cell r="AN723">
            <v>6.6666666666666666E-2</v>
          </cell>
          <cell r="AQ723">
            <v>0</v>
          </cell>
          <cell r="AS723" t="str">
            <v>Y</v>
          </cell>
          <cell r="BM723" t="str">
            <v>Residential</v>
          </cell>
          <cell r="BN723">
            <v>0</v>
          </cell>
          <cell r="BR723" t="str">
            <v>GI</v>
          </cell>
          <cell r="FQ723" t="str">
            <v>Can Stay</v>
          </cell>
          <cell r="IB723">
            <v>0</v>
          </cell>
          <cell r="IC723" t="str">
            <v>Y</v>
          </cell>
          <cell r="ID723">
            <v>1</v>
          </cell>
          <cell r="IE723">
            <v>0</v>
          </cell>
          <cell r="IP723">
            <v>0</v>
          </cell>
          <cell r="IR723">
            <v>0</v>
          </cell>
          <cell r="IT723">
            <v>0</v>
          </cell>
          <cell r="IU723">
            <v>0</v>
          </cell>
        </row>
        <row r="724">
          <cell r="A724">
            <v>0</v>
          </cell>
          <cell r="E724" t="str">
            <v>1933 Daang Bakal Brgy.159 Tayuman, Tondo Manila</v>
          </cell>
          <cell r="S724" t="str">
            <v>Male</v>
          </cell>
          <cell r="AK724" t="str">
            <v>ISF</v>
          </cell>
          <cell r="AN724">
            <v>6.6666666666666666E-2</v>
          </cell>
          <cell r="AQ724">
            <v>0</v>
          </cell>
          <cell r="AS724" t="str">
            <v>Y</v>
          </cell>
          <cell r="BM724" t="str">
            <v>Residential</v>
          </cell>
          <cell r="BN724">
            <v>0</v>
          </cell>
          <cell r="BR724">
            <v>0</v>
          </cell>
          <cell r="FQ724" t="str">
            <v>Can Stay</v>
          </cell>
          <cell r="IB724" t="str">
            <v>Y</v>
          </cell>
          <cell r="IC724">
            <v>0</v>
          </cell>
          <cell r="ID724">
            <v>0</v>
          </cell>
          <cell r="IE724">
            <v>0</v>
          </cell>
          <cell r="IP724">
            <v>0</v>
          </cell>
          <cell r="IR724">
            <v>0</v>
          </cell>
          <cell r="IT724">
            <v>0</v>
          </cell>
          <cell r="IU724">
            <v>0</v>
          </cell>
        </row>
        <row r="725">
          <cell r="A725" t="str">
            <v>isf</v>
          </cell>
          <cell r="E725" t="str">
            <v>1929 Daang Bakal Brgy.156 Tayuman, Tondo Manila</v>
          </cell>
          <cell r="S725" t="str">
            <v>Male</v>
          </cell>
          <cell r="AK725" t="str">
            <v>ISF</v>
          </cell>
          <cell r="AN725">
            <v>0.26666666666666672</v>
          </cell>
          <cell r="AQ725">
            <v>0</v>
          </cell>
          <cell r="AS725">
            <v>0</v>
          </cell>
          <cell r="BM725" t="str">
            <v>Residential</v>
          </cell>
          <cell r="BN725">
            <v>0</v>
          </cell>
          <cell r="BR725">
            <v>0.26666666666666672</v>
          </cell>
          <cell r="FQ725" t="str">
            <v>Need Displacement</v>
          </cell>
          <cell r="IB725">
            <v>0</v>
          </cell>
          <cell r="IC725">
            <v>0</v>
          </cell>
          <cell r="ID725">
            <v>0</v>
          </cell>
          <cell r="IE725">
            <v>0</v>
          </cell>
          <cell r="IP725">
            <v>0</v>
          </cell>
          <cell r="IR725">
            <v>0</v>
          </cell>
          <cell r="IT725">
            <v>0</v>
          </cell>
          <cell r="IU725">
            <v>0</v>
          </cell>
        </row>
        <row r="726">
          <cell r="A726" t="str">
            <v>isf</v>
          </cell>
          <cell r="E726" t="str">
            <v>1913 Dagupan Ext., Brgy.156 Tayuman, Tondo Manila</v>
          </cell>
          <cell r="S726" t="str">
            <v>Female</v>
          </cell>
          <cell r="AK726" t="str">
            <v>ISF</v>
          </cell>
          <cell r="AN726">
            <v>0.125</v>
          </cell>
          <cell r="AQ726">
            <v>0</v>
          </cell>
          <cell r="AS726">
            <v>0</v>
          </cell>
          <cell r="BM726" t="str">
            <v>Residential</v>
          </cell>
          <cell r="BN726">
            <v>1</v>
          </cell>
          <cell r="BR726">
            <v>0.10810810810810811</v>
          </cell>
          <cell r="FQ726" t="str">
            <v>Can Stay (ACCESS BLOCK)</v>
          </cell>
          <cell r="IB726" t="str">
            <v>Y</v>
          </cell>
          <cell r="IC726" t="str">
            <v>Y</v>
          </cell>
          <cell r="ID726">
            <v>1</v>
          </cell>
          <cell r="IE726">
            <v>0</v>
          </cell>
          <cell r="IP726">
            <v>0</v>
          </cell>
          <cell r="IR726">
            <v>0</v>
          </cell>
          <cell r="IT726">
            <v>0</v>
          </cell>
          <cell r="IU726">
            <v>0</v>
          </cell>
        </row>
        <row r="727">
          <cell r="A727" t="str">
            <v>isf</v>
          </cell>
          <cell r="E727" t="str">
            <v>1913 Daang Bakal Brgy.156 Tayuman, Tondo Manila</v>
          </cell>
          <cell r="S727" t="str">
            <v>Female</v>
          </cell>
          <cell r="AK727" t="str">
            <v>ISF</v>
          </cell>
          <cell r="AN727">
            <v>0.125</v>
          </cell>
          <cell r="AQ727">
            <v>0</v>
          </cell>
          <cell r="AS727">
            <v>0</v>
          </cell>
          <cell r="BM727" t="str">
            <v>Residential</v>
          </cell>
          <cell r="BN727">
            <v>0</v>
          </cell>
          <cell r="BR727">
            <v>0</v>
          </cell>
          <cell r="FQ727" t="str">
            <v>Can Stay (ACCESS BLOCK)</v>
          </cell>
          <cell r="IB727" t="str">
            <v>Y</v>
          </cell>
          <cell r="IC727">
            <v>0</v>
          </cell>
          <cell r="ID727">
            <v>0</v>
          </cell>
          <cell r="IE727">
            <v>0</v>
          </cell>
          <cell r="IP727" t="str">
            <v>Owner</v>
          </cell>
          <cell r="IR727" t="str">
            <v>Home/Small-scale Industry</v>
          </cell>
          <cell r="IT727">
            <v>0</v>
          </cell>
          <cell r="IU727" t="str">
            <v>x</v>
          </cell>
        </row>
        <row r="728">
          <cell r="A728" t="str">
            <v>legal-r</v>
          </cell>
          <cell r="E728" t="str">
            <v>1913 Daang Bakal Brgy.156 Tayuman, Tondo Manila</v>
          </cell>
          <cell r="S728" t="str">
            <v>Male</v>
          </cell>
          <cell r="AK728" t="str">
            <v>ISF</v>
          </cell>
          <cell r="AN728">
            <v>0.125</v>
          </cell>
          <cell r="AQ728">
            <v>0</v>
          </cell>
          <cell r="AS728">
            <v>0</v>
          </cell>
          <cell r="BM728" t="str">
            <v>Residential</v>
          </cell>
          <cell r="BN728">
            <v>0</v>
          </cell>
          <cell r="BR728">
            <v>0</v>
          </cell>
          <cell r="FQ728" t="str">
            <v>Can Stay (ACCESS BLOCK)</v>
          </cell>
          <cell r="IB728" t="str">
            <v>Y</v>
          </cell>
          <cell r="IC728">
            <v>0</v>
          </cell>
          <cell r="ID728">
            <v>0</v>
          </cell>
          <cell r="IE728">
            <v>0</v>
          </cell>
          <cell r="IP728">
            <v>0</v>
          </cell>
          <cell r="IR728">
            <v>0</v>
          </cell>
          <cell r="IT728">
            <v>0</v>
          </cell>
          <cell r="IU728">
            <v>0</v>
          </cell>
        </row>
        <row r="729">
          <cell r="A729" t="str">
            <v>legal</v>
          </cell>
          <cell r="E729" t="str">
            <v>1913 Dagupan Ext., Brgy.156 Tayuman, Tondo Manila</v>
          </cell>
          <cell r="S729" t="str">
            <v>Male</v>
          </cell>
          <cell r="AK729" t="str">
            <v>ISF</v>
          </cell>
          <cell r="AN729">
            <v>6.0810810810810814E-2</v>
          </cell>
          <cell r="AQ729" t="str">
            <v>CMP</v>
          </cell>
          <cell r="AS729" t="str">
            <v>Y</v>
          </cell>
          <cell r="BM729" t="str">
            <v>Residential</v>
          </cell>
          <cell r="BN729">
            <v>0</v>
          </cell>
          <cell r="BR729">
            <v>6.0810810810810814E-2</v>
          </cell>
          <cell r="FQ729" t="str">
            <v>Can Stay</v>
          </cell>
          <cell r="IB729">
            <v>0</v>
          </cell>
          <cell r="IC729">
            <v>0</v>
          </cell>
          <cell r="ID729">
            <v>2</v>
          </cell>
          <cell r="IE729">
            <v>1</v>
          </cell>
          <cell r="IP729" t="str">
            <v>Renter</v>
          </cell>
          <cell r="IR729" t="str">
            <v>Home/Small-scale Industry</v>
          </cell>
          <cell r="IT729">
            <v>0</v>
          </cell>
          <cell r="IU729" t="str">
            <v>x</v>
          </cell>
        </row>
        <row r="730">
          <cell r="A730" t="str">
            <v>legal-r</v>
          </cell>
          <cell r="E730" t="str">
            <v>1913 Daang Bakal Brgy.156 Tayuman, Tondo Manila</v>
          </cell>
          <cell r="S730" t="str">
            <v>Male</v>
          </cell>
          <cell r="AK730" t="str">
            <v>ISF</v>
          </cell>
          <cell r="AN730">
            <v>6.0810810810810814E-2</v>
          </cell>
          <cell r="AQ730">
            <v>0</v>
          </cell>
          <cell r="AS730">
            <v>0</v>
          </cell>
          <cell r="BM730" t="str">
            <v>Residential</v>
          </cell>
          <cell r="BN730">
            <v>0</v>
          </cell>
          <cell r="BR730">
            <v>6.0810810810810814E-2</v>
          </cell>
          <cell r="FQ730" t="str">
            <v>Can Stay</v>
          </cell>
          <cell r="IB730">
            <v>0</v>
          </cell>
          <cell r="IC730">
            <v>0</v>
          </cell>
          <cell r="ID730">
            <v>0</v>
          </cell>
          <cell r="IE730">
            <v>0</v>
          </cell>
          <cell r="IP730">
            <v>0</v>
          </cell>
          <cell r="IR730">
            <v>0</v>
          </cell>
          <cell r="IT730">
            <v>0</v>
          </cell>
          <cell r="IU730">
            <v>0</v>
          </cell>
        </row>
        <row r="731">
          <cell r="A731" t="str">
            <v>legal-r</v>
          </cell>
          <cell r="E731" t="str">
            <v>1913 Daang Bakal Brgy.156 Tayuman, Tondo Manila</v>
          </cell>
          <cell r="S731" t="str">
            <v>Male</v>
          </cell>
          <cell r="AK731" t="str">
            <v>ISF</v>
          </cell>
          <cell r="AN731">
            <v>0</v>
          </cell>
          <cell r="AQ731" t="str">
            <v>Real Tax</v>
          </cell>
          <cell r="AS731" t="str">
            <v>Y</v>
          </cell>
          <cell r="BM731">
            <v>0</v>
          </cell>
          <cell r="BN731">
            <v>1</v>
          </cell>
          <cell r="BR731">
            <v>0</v>
          </cell>
          <cell r="FQ731" t="str">
            <v>Can Stay</v>
          </cell>
          <cell r="IB731">
            <v>0</v>
          </cell>
          <cell r="IC731">
            <v>0</v>
          </cell>
          <cell r="ID731">
            <v>0</v>
          </cell>
          <cell r="IE731">
            <v>0</v>
          </cell>
          <cell r="IP731">
            <v>0</v>
          </cell>
          <cell r="IR731">
            <v>0</v>
          </cell>
          <cell r="IT731">
            <v>0</v>
          </cell>
          <cell r="IU731">
            <v>0</v>
          </cell>
        </row>
        <row r="732">
          <cell r="A732" t="str">
            <v>isf</v>
          </cell>
          <cell r="E732" t="str">
            <v>1915 Daang Bakal Brgy.156 Tayuman, Tondo Manila</v>
          </cell>
          <cell r="S732" t="str">
            <v>Female</v>
          </cell>
          <cell r="AK732" t="str">
            <v>ISF</v>
          </cell>
          <cell r="AN732">
            <v>0.52</v>
          </cell>
          <cell r="AQ732">
            <v>0</v>
          </cell>
          <cell r="AS732">
            <v>0</v>
          </cell>
          <cell r="BM732" t="str">
            <v>Residential</v>
          </cell>
          <cell r="BN732">
            <v>0</v>
          </cell>
          <cell r="BR732">
            <v>0.52</v>
          </cell>
          <cell r="FQ732" t="str">
            <v>Need Displacement</v>
          </cell>
          <cell r="IB732">
            <v>0</v>
          </cell>
          <cell r="IC732" t="str">
            <v>Y</v>
          </cell>
          <cell r="ID732">
            <v>0</v>
          </cell>
          <cell r="IE732">
            <v>1</v>
          </cell>
          <cell r="IP732">
            <v>0</v>
          </cell>
          <cell r="IR732">
            <v>0</v>
          </cell>
          <cell r="IT732">
            <v>0</v>
          </cell>
          <cell r="IU732">
            <v>0</v>
          </cell>
        </row>
        <row r="733">
          <cell r="A733">
            <v>0</v>
          </cell>
          <cell r="E733" t="str">
            <v>1913 Daang Bakal Brgy.156 Tayuman, Tondo Manila</v>
          </cell>
          <cell r="S733" t="str">
            <v>Male</v>
          </cell>
          <cell r="AK733" t="str">
            <v>ISF</v>
          </cell>
          <cell r="AN733">
            <v>5.7692307692307689E-2</v>
          </cell>
          <cell r="AQ733" t="str">
            <v>Real Tax</v>
          </cell>
          <cell r="AS733">
            <v>0</v>
          </cell>
          <cell r="BM733" t="str">
            <v>Residential</v>
          </cell>
          <cell r="BN733">
            <v>0</v>
          </cell>
          <cell r="BR733">
            <v>5.7692307692307689E-2</v>
          </cell>
          <cell r="FQ733" t="str">
            <v>Can Stay (ACCESS BLOCK)</v>
          </cell>
          <cell r="IB733">
            <v>0</v>
          </cell>
          <cell r="IC733">
            <v>0</v>
          </cell>
          <cell r="ID733">
            <v>2</v>
          </cell>
          <cell r="IE733">
            <v>0</v>
          </cell>
          <cell r="IP733">
            <v>0</v>
          </cell>
          <cell r="IR733">
            <v>0</v>
          </cell>
          <cell r="IT733">
            <v>0</v>
          </cell>
          <cell r="IU733">
            <v>0</v>
          </cell>
        </row>
        <row r="734">
          <cell r="A734" t="str">
            <v>isf</v>
          </cell>
          <cell r="E734" t="str">
            <v>1909 Daang Bakal Brgy.156 Tayuman, Tondo Manila</v>
          </cell>
          <cell r="S734" t="str">
            <v>Female</v>
          </cell>
          <cell r="AK734" t="str">
            <v>ISF</v>
          </cell>
          <cell r="AN734">
            <v>9.8039215686274508E-2</v>
          </cell>
          <cell r="AQ734">
            <v>0</v>
          </cell>
          <cell r="AS734">
            <v>0</v>
          </cell>
          <cell r="BM734" t="str">
            <v>Residential</v>
          </cell>
          <cell r="BN734">
            <v>0</v>
          </cell>
          <cell r="BR734">
            <v>9.8039215686274508E-2</v>
          </cell>
          <cell r="FQ734" t="str">
            <v>Need Displacement</v>
          </cell>
          <cell r="IB734">
            <v>0</v>
          </cell>
          <cell r="IC734" t="str">
            <v>Y</v>
          </cell>
          <cell r="ID734">
            <v>1</v>
          </cell>
          <cell r="IE734">
            <v>1</v>
          </cell>
          <cell r="IP734">
            <v>0</v>
          </cell>
          <cell r="IR734">
            <v>0</v>
          </cell>
          <cell r="IT734">
            <v>0</v>
          </cell>
          <cell r="IU734">
            <v>0</v>
          </cell>
        </row>
        <row r="735">
          <cell r="A735" t="str">
            <v>isf</v>
          </cell>
          <cell r="E735" t="str">
            <v>1905 Daang Bakal Brgy.156 Zone.14 Tayuman, Tondo Manila</v>
          </cell>
          <cell r="S735" t="str">
            <v>Male</v>
          </cell>
          <cell r="AK735" t="str">
            <v>ISF</v>
          </cell>
          <cell r="AN735">
            <v>0.13600000000000001</v>
          </cell>
          <cell r="AQ735">
            <v>0</v>
          </cell>
          <cell r="AS735">
            <v>0</v>
          </cell>
          <cell r="BM735" t="str">
            <v>Residential</v>
          </cell>
          <cell r="BN735">
            <v>0</v>
          </cell>
          <cell r="BR735">
            <v>0.13600000000000001</v>
          </cell>
          <cell r="FQ735" t="str">
            <v>Need Displacement</v>
          </cell>
          <cell r="IB735">
            <v>0</v>
          </cell>
          <cell r="IC735">
            <v>0</v>
          </cell>
          <cell r="ID735">
            <v>2</v>
          </cell>
          <cell r="IE735">
            <v>0</v>
          </cell>
          <cell r="IP735">
            <v>0</v>
          </cell>
          <cell r="IR735">
            <v>0</v>
          </cell>
          <cell r="IT735">
            <v>0</v>
          </cell>
          <cell r="IU735">
            <v>0</v>
          </cell>
        </row>
        <row r="736">
          <cell r="A736" t="str">
            <v>isf</v>
          </cell>
          <cell r="E736" t="str">
            <v>1905 Daang Bakal Brgy.156 Zone.14 Tayuman, Tondo Manila</v>
          </cell>
          <cell r="S736" t="str">
            <v>Male</v>
          </cell>
          <cell r="AK736" t="str">
            <v>ISF</v>
          </cell>
          <cell r="AN736">
            <v>0.15714285714285717</v>
          </cell>
          <cell r="AQ736">
            <v>0</v>
          </cell>
          <cell r="AS736">
            <v>0</v>
          </cell>
          <cell r="BM736" t="str">
            <v>Residential</v>
          </cell>
          <cell r="BN736">
            <v>1</v>
          </cell>
          <cell r="BR736">
            <v>0.15676959619952496</v>
          </cell>
          <cell r="FQ736" t="str">
            <v>Can Stay (ACCESS BLOCK)</v>
          </cell>
          <cell r="IB736">
            <v>0</v>
          </cell>
          <cell r="IC736">
            <v>0</v>
          </cell>
          <cell r="ID736">
            <v>0</v>
          </cell>
          <cell r="IE736">
            <v>0</v>
          </cell>
          <cell r="IP736">
            <v>0</v>
          </cell>
          <cell r="IR736">
            <v>0</v>
          </cell>
          <cell r="IT736">
            <v>0</v>
          </cell>
          <cell r="IU736">
            <v>0</v>
          </cell>
        </row>
        <row r="737">
          <cell r="A737" t="str">
            <v>CBL</v>
          </cell>
          <cell r="E737" t="str">
            <v>Brgy.156, Tayuman, Tondo, Manila</v>
          </cell>
          <cell r="S737">
            <v>0</v>
          </cell>
          <cell r="AK737">
            <v>0</v>
          </cell>
          <cell r="AN737">
            <v>0</v>
          </cell>
          <cell r="AQ737">
            <v>0</v>
          </cell>
          <cell r="AS737">
            <v>0</v>
          </cell>
          <cell r="BM737">
            <v>0</v>
          </cell>
          <cell r="BN737">
            <v>0</v>
          </cell>
          <cell r="BR737">
            <v>0</v>
          </cell>
          <cell r="FQ737">
            <v>0</v>
          </cell>
          <cell r="IB737">
            <v>0</v>
          </cell>
          <cell r="IC737">
            <v>0</v>
          </cell>
          <cell r="ID737">
            <v>0</v>
          </cell>
          <cell r="IE737">
            <v>0</v>
          </cell>
          <cell r="IP737">
            <v>0</v>
          </cell>
          <cell r="IR737">
            <v>0</v>
          </cell>
          <cell r="IT737">
            <v>0</v>
          </cell>
          <cell r="IU737">
            <v>0</v>
          </cell>
        </row>
        <row r="738">
          <cell r="A738" t="str">
            <v>isf</v>
          </cell>
          <cell r="E738" t="str">
            <v>1901 Daang Bakal Brgy.156 Tayuman, Tondo Manila</v>
          </cell>
          <cell r="S738" t="str">
            <v>Female</v>
          </cell>
          <cell r="AK738" t="str">
            <v>ISF</v>
          </cell>
          <cell r="AN738">
            <v>0.66666666666666663</v>
          </cell>
          <cell r="AQ738" t="str">
            <v>Real Tax</v>
          </cell>
          <cell r="AS738">
            <v>0</v>
          </cell>
          <cell r="BM738" t="str">
            <v>Residential</v>
          </cell>
          <cell r="BN738">
            <v>1</v>
          </cell>
          <cell r="BR738">
            <v>0.66666666666666663</v>
          </cell>
          <cell r="FQ738" t="str">
            <v>Need Displacement</v>
          </cell>
          <cell r="IB738">
            <v>0</v>
          </cell>
          <cell r="IC738" t="str">
            <v>Y</v>
          </cell>
          <cell r="ID738">
            <v>1</v>
          </cell>
          <cell r="IE738">
            <v>0</v>
          </cell>
          <cell r="IP738">
            <v>0</v>
          </cell>
          <cell r="IR738">
            <v>0</v>
          </cell>
          <cell r="IT738">
            <v>0</v>
          </cell>
          <cell r="IU738">
            <v>0</v>
          </cell>
        </row>
        <row r="739">
          <cell r="A739" t="str">
            <v>CBL</v>
          </cell>
          <cell r="E739" t="str">
            <v>Brgy.156, Tayuman, Tondo, Manila</v>
          </cell>
          <cell r="S739">
            <v>0</v>
          </cell>
          <cell r="AK739" t="str">
            <v>ISF</v>
          </cell>
          <cell r="AN739">
            <v>0.08</v>
          </cell>
          <cell r="AQ739">
            <v>0</v>
          </cell>
          <cell r="AS739">
            <v>0</v>
          </cell>
          <cell r="BM739" t="str">
            <v>Residential</v>
          </cell>
          <cell r="BN739">
            <v>0</v>
          </cell>
          <cell r="BR739">
            <v>0.08</v>
          </cell>
          <cell r="FQ739">
            <v>0</v>
          </cell>
          <cell r="IB739">
            <v>0</v>
          </cell>
          <cell r="IC739">
            <v>0</v>
          </cell>
          <cell r="ID739">
            <v>0</v>
          </cell>
          <cell r="IE739">
            <v>0</v>
          </cell>
          <cell r="IP739">
            <v>0</v>
          </cell>
          <cell r="IR739">
            <v>0</v>
          </cell>
          <cell r="IT739">
            <v>0</v>
          </cell>
          <cell r="IU739">
            <v>0</v>
          </cell>
        </row>
        <row r="740">
          <cell r="A740" t="str">
            <v>legal</v>
          </cell>
          <cell r="E740" t="str">
            <v>Brgy.53, Tayuman, Tondo, Manila</v>
          </cell>
          <cell r="S740">
            <v>0</v>
          </cell>
          <cell r="AK740" t="str">
            <v>Land owner</v>
          </cell>
          <cell r="AN740">
            <v>0.60093896713615025</v>
          </cell>
          <cell r="AQ740">
            <v>0</v>
          </cell>
          <cell r="AS740">
            <v>0</v>
          </cell>
          <cell r="BM740" t="str">
            <v>Industrial</v>
          </cell>
          <cell r="BN740">
            <v>0</v>
          </cell>
          <cell r="BR740">
            <v>0.60093896713615025</v>
          </cell>
          <cell r="FQ740" t="str">
            <v>Need Displacement</v>
          </cell>
          <cell r="IB740">
            <v>0</v>
          </cell>
          <cell r="IC740">
            <v>0</v>
          </cell>
          <cell r="ID740">
            <v>0</v>
          </cell>
          <cell r="IE740">
            <v>0</v>
          </cell>
          <cell r="IP740">
            <v>0</v>
          </cell>
          <cell r="IR740">
            <v>0</v>
          </cell>
          <cell r="IT740">
            <v>0</v>
          </cell>
          <cell r="IU740">
            <v>0</v>
          </cell>
        </row>
        <row r="741">
          <cell r="A741" t="str">
            <v>legal</v>
          </cell>
          <cell r="E741" t="str">
            <v>Brgy.53, Tayuman, Tondo, Manila</v>
          </cell>
          <cell r="S741">
            <v>0</v>
          </cell>
          <cell r="AK741" t="str">
            <v>Land owner</v>
          </cell>
          <cell r="AN741">
            <v>1</v>
          </cell>
          <cell r="AQ741">
            <v>0</v>
          </cell>
          <cell r="AS741">
            <v>0</v>
          </cell>
          <cell r="BM741" t="str">
            <v>Institutional</v>
          </cell>
          <cell r="BN741">
            <v>0</v>
          </cell>
          <cell r="BR741">
            <v>1</v>
          </cell>
          <cell r="FQ741" t="str">
            <v>Need Displacement</v>
          </cell>
          <cell r="IB741">
            <v>0</v>
          </cell>
          <cell r="IC741">
            <v>0</v>
          </cell>
          <cell r="ID741">
            <v>0</v>
          </cell>
          <cell r="IE741">
            <v>0</v>
          </cell>
          <cell r="IP741">
            <v>0</v>
          </cell>
          <cell r="IR741">
            <v>0</v>
          </cell>
          <cell r="IT741">
            <v>0</v>
          </cell>
          <cell r="IU741">
            <v>0</v>
          </cell>
        </row>
        <row r="742">
          <cell r="A742" t="str">
            <v>legal</v>
          </cell>
          <cell r="E742" t="str">
            <v>Brgy.50, Tayuman, Tondo, Manila</v>
          </cell>
          <cell r="S742">
            <v>0</v>
          </cell>
          <cell r="AK742" t="str">
            <v>Land owner</v>
          </cell>
          <cell r="AN742">
            <v>0.77027458492975731</v>
          </cell>
          <cell r="AQ742">
            <v>0</v>
          </cell>
          <cell r="AS742">
            <v>0</v>
          </cell>
          <cell r="BM742" t="str">
            <v>Institutional</v>
          </cell>
          <cell r="BN742">
            <v>0</v>
          </cell>
          <cell r="BR742">
            <v>0.96981790970316795</v>
          </cell>
          <cell r="FQ742" t="str">
            <v>Need Displacement</v>
          </cell>
          <cell r="IB742">
            <v>0</v>
          </cell>
          <cell r="IC742">
            <v>0</v>
          </cell>
          <cell r="ID742">
            <v>0</v>
          </cell>
          <cell r="IE742">
            <v>0</v>
          </cell>
          <cell r="IP742">
            <v>0</v>
          </cell>
          <cell r="IR742">
            <v>0</v>
          </cell>
          <cell r="IT742">
            <v>0</v>
          </cell>
          <cell r="IU742">
            <v>0</v>
          </cell>
        </row>
        <row r="743">
          <cell r="A743" t="str">
            <v>legal</v>
          </cell>
          <cell r="E743" t="str">
            <v>Brgy.50, Tayuman, Tondo, Manila</v>
          </cell>
          <cell r="S743">
            <v>0</v>
          </cell>
          <cell r="AK743" t="str">
            <v>Land owner</v>
          </cell>
          <cell r="AN743">
            <v>0.4</v>
          </cell>
          <cell r="AQ743">
            <v>0</v>
          </cell>
          <cell r="AS743">
            <v>0</v>
          </cell>
          <cell r="BM743" t="str">
            <v>Institutional</v>
          </cell>
          <cell r="BN743">
            <v>0</v>
          </cell>
          <cell r="BR743">
            <v>0.4</v>
          </cell>
          <cell r="FQ743" t="str">
            <v>Need Displacement</v>
          </cell>
          <cell r="IB743">
            <v>0</v>
          </cell>
          <cell r="IC743">
            <v>0</v>
          </cell>
          <cell r="ID743">
            <v>0</v>
          </cell>
          <cell r="IE743">
            <v>0</v>
          </cell>
          <cell r="IP743">
            <v>0</v>
          </cell>
          <cell r="IR743">
            <v>0</v>
          </cell>
          <cell r="IT743">
            <v>0</v>
          </cell>
          <cell r="IU743">
            <v>0</v>
          </cell>
        </row>
        <row r="744">
          <cell r="A744" t="str">
            <v>legal</v>
          </cell>
          <cell r="E744" t="str">
            <v>Brgy.51, Tayuman, Tondo, Manila</v>
          </cell>
          <cell r="S744">
            <v>0</v>
          </cell>
          <cell r="AK744" t="str">
            <v>Land owner</v>
          </cell>
          <cell r="AN744">
            <v>1</v>
          </cell>
          <cell r="AQ744">
            <v>0</v>
          </cell>
          <cell r="AS744">
            <v>0</v>
          </cell>
          <cell r="BM744" t="str">
            <v>Institutional</v>
          </cell>
          <cell r="BN744">
            <v>0</v>
          </cell>
          <cell r="BR744">
            <v>1</v>
          </cell>
          <cell r="FQ744" t="str">
            <v>Need Displacement</v>
          </cell>
          <cell r="IB744">
            <v>0</v>
          </cell>
          <cell r="IC744">
            <v>0</v>
          </cell>
          <cell r="ID744">
            <v>0</v>
          </cell>
          <cell r="IE744">
            <v>0</v>
          </cell>
          <cell r="IP744">
            <v>0</v>
          </cell>
          <cell r="IR744">
            <v>0</v>
          </cell>
          <cell r="IT744">
            <v>0</v>
          </cell>
          <cell r="IU744">
            <v>0</v>
          </cell>
        </row>
        <row r="745">
          <cell r="A745" t="str">
            <v>legal</v>
          </cell>
          <cell r="E745" t="str">
            <v>Brgy.51, Tayuman, Tondo, Manila</v>
          </cell>
          <cell r="S745">
            <v>0</v>
          </cell>
          <cell r="AK745" t="str">
            <v>Land owner</v>
          </cell>
          <cell r="AN745">
            <v>0.17446102819237147</v>
          </cell>
          <cell r="AQ745">
            <v>0</v>
          </cell>
          <cell r="AS745">
            <v>0</v>
          </cell>
          <cell r="BM745" t="str">
            <v>Institutional</v>
          </cell>
          <cell r="BN745">
            <v>0</v>
          </cell>
          <cell r="BR745">
            <v>0.17446102819237147</v>
          </cell>
          <cell r="FQ745">
            <v>0</v>
          </cell>
          <cell r="IB745">
            <v>0</v>
          </cell>
          <cell r="IC745">
            <v>0</v>
          </cell>
          <cell r="ID745">
            <v>0</v>
          </cell>
          <cell r="IE745">
            <v>0</v>
          </cell>
          <cell r="IP745">
            <v>0</v>
          </cell>
          <cell r="IR745">
            <v>0</v>
          </cell>
          <cell r="IT745">
            <v>0</v>
          </cell>
          <cell r="IU745">
            <v>0</v>
          </cell>
        </row>
        <row r="746">
          <cell r="A746" t="str">
            <v>legal</v>
          </cell>
          <cell r="E746" t="str">
            <v>Brgy.51, Tayuman, Tondo, Manila</v>
          </cell>
          <cell r="S746">
            <v>0</v>
          </cell>
          <cell r="AK746" t="str">
            <v>Land dweller</v>
          </cell>
          <cell r="AN746">
            <v>0.31443298969072164</v>
          </cell>
          <cell r="AQ746">
            <v>0</v>
          </cell>
          <cell r="AS746">
            <v>0</v>
          </cell>
          <cell r="BM746" t="str">
            <v>Institutional</v>
          </cell>
          <cell r="BN746">
            <v>0</v>
          </cell>
          <cell r="BR746">
            <v>0.31443298969072164</v>
          </cell>
          <cell r="FQ746" t="str">
            <v>Need Displacement</v>
          </cell>
          <cell r="IB746">
            <v>0</v>
          </cell>
          <cell r="IC746">
            <v>0</v>
          </cell>
          <cell r="ID746">
            <v>0</v>
          </cell>
          <cell r="IE746">
            <v>0</v>
          </cell>
          <cell r="IP746">
            <v>0</v>
          </cell>
          <cell r="IR746">
            <v>0</v>
          </cell>
          <cell r="IT746">
            <v>0</v>
          </cell>
          <cell r="IU746">
            <v>0</v>
          </cell>
        </row>
        <row r="747">
          <cell r="A747" t="str">
            <v>legal</v>
          </cell>
          <cell r="E747" t="str">
            <v>Brgy.51, Tayuman, Tondo, Manila</v>
          </cell>
          <cell r="S747">
            <v>0</v>
          </cell>
          <cell r="AK747" t="str">
            <v>Land Lessee</v>
          </cell>
          <cell r="AN747">
            <v>0.77611940298507465</v>
          </cell>
          <cell r="AQ747">
            <v>0</v>
          </cell>
          <cell r="AS747">
            <v>0</v>
          </cell>
          <cell r="BM747">
            <v>0</v>
          </cell>
          <cell r="BN747">
            <v>0</v>
          </cell>
          <cell r="BR747">
            <v>0</v>
          </cell>
          <cell r="FQ747">
            <v>0</v>
          </cell>
          <cell r="IB747">
            <v>0</v>
          </cell>
          <cell r="IC747">
            <v>0</v>
          </cell>
          <cell r="ID747">
            <v>0</v>
          </cell>
          <cell r="IE747">
            <v>0</v>
          </cell>
          <cell r="IP747">
            <v>0</v>
          </cell>
          <cell r="IR747">
            <v>0</v>
          </cell>
          <cell r="IT747">
            <v>0</v>
          </cell>
          <cell r="IU747">
            <v>0</v>
          </cell>
        </row>
        <row r="748">
          <cell r="A748" t="str">
            <v>isf</v>
          </cell>
          <cell r="E748" t="str">
            <v>3192 Interior.42 Pilar St., Brgy.199 Zone.18 Tondo Manila</v>
          </cell>
          <cell r="S748" t="str">
            <v>Male</v>
          </cell>
          <cell r="AK748" t="str">
            <v>ISF</v>
          </cell>
          <cell r="AN748">
            <v>0.55000000000000004</v>
          </cell>
          <cell r="AQ748">
            <v>0</v>
          </cell>
          <cell r="AS748">
            <v>0</v>
          </cell>
          <cell r="BM748" t="str">
            <v>Residential</v>
          </cell>
          <cell r="BN748">
            <v>0</v>
          </cell>
          <cell r="BR748">
            <v>0.54761904761904756</v>
          </cell>
          <cell r="FQ748" t="str">
            <v>Need Displacement</v>
          </cell>
          <cell r="IB748">
            <v>0</v>
          </cell>
          <cell r="IC748">
            <v>0</v>
          </cell>
          <cell r="ID748">
            <v>0</v>
          </cell>
          <cell r="IE748">
            <v>0</v>
          </cell>
          <cell r="IP748">
            <v>0</v>
          </cell>
          <cell r="IR748">
            <v>0</v>
          </cell>
          <cell r="IT748">
            <v>0</v>
          </cell>
          <cell r="IU748">
            <v>0</v>
          </cell>
        </row>
        <row r="749">
          <cell r="A749" t="str">
            <v>isf</v>
          </cell>
          <cell r="E749" t="str">
            <v>3192 Interior.42 Pilar St., Brgy.199 Zone.18 Tondo Manila</v>
          </cell>
          <cell r="S749" t="str">
            <v>Male</v>
          </cell>
          <cell r="AK749">
            <v>0</v>
          </cell>
          <cell r="AN749">
            <v>0.53333333333333333</v>
          </cell>
          <cell r="AQ749" t="str">
            <v>x</v>
          </cell>
          <cell r="AS749">
            <v>0</v>
          </cell>
          <cell r="BM749" t="str">
            <v>Residential</v>
          </cell>
          <cell r="BN749">
            <v>0</v>
          </cell>
          <cell r="BR749">
            <v>0.53333333333333333</v>
          </cell>
          <cell r="FQ749" t="str">
            <v>Need Displacement</v>
          </cell>
          <cell r="IB749" t="str">
            <v>Y</v>
          </cell>
          <cell r="IC749">
            <v>0</v>
          </cell>
          <cell r="ID749">
            <v>1</v>
          </cell>
          <cell r="IE749">
            <v>0</v>
          </cell>
          <cell r="IP749">
            <v>0</v>
          </cell>
          <cell r="IR749">
            <v>0</v>
          </cell>
          <cell r="IT749">
            <v>0</v>
          </cell>
          <cell r="IU749">
            <v>0</v>
          </cell>
        </row>
        <row r="750">
          <cell r="A750" t="str">
            <v>isf</v>
          </cell>
          <cell r="E750" t="str">
            <v>3192 Interior.44 Pilar St., Brgy.199 Zone.18 Manuguit Tondo Manila</v>
          </cell>
          <cell r="S750" t="str">
            <v>Male</v>
          </cell>
          <cell r="AK750" t="str">
            <v>ISF</v>
          </cell>
          <cell r="AN750">
            <v>0.323943661971831</v>
          </cell>
          <cell r="AQ750">
            <v>0</v>
          </cell>
          <cell r="AS750">
            <v>0</v>
          </cell>
          <cell r="BM750" t="str">
            <v>Residential</v>
          </cell>
          <cell r="BN750">
            <v>1</v>
          </cell>
          <cell r="BR750">
            <v>0.32173913043478258</v>
          </cell>
          <cell r="FQ750" t="str">
            <v>Need Displacement</v>
          </cell>
          <cell r="IB750">
            <v>0</v>
          </cell>
          <cell r="IC750">
            <v>0</v>
          </cell>
          <cell r="ID750">
            <v>1</v>
          </cell>
          <cell r="IE750">
            <v>1</v>
          </cell>
          <cell r="IP750">
            <v>0</v>
          </cell>
          <cell r="IR750">
            <v>0</v>
          </cell>
          <cell r="IT750">
            <v>0</v>
          </cell>
          <cell r="IU750">
            <v>0</v>
          </cell>
        </row>
        <row r="751">
          <cell r="A751" t="str">
            <v>isf</v>
          </cell>
          <cell r="E751" t="str">
            <v>3192 Int.26, Pilar St., Brgy.199 Tondo Manila</v>
          </cell>
          <cell r="S751" t="str">
            <v>Male</v>
          </cell>
          <cell r="AK751" t="str">
            <v>ISF</v>
          </cell>
          <cell r="AN751">
            <v>0.323943661971831</v>
          </cell>
          <cell r="AQ751">
            <v>0</v>
          </cell>
          <cell r="AS751">
            <v>0</v>
          </cell>
          <cell r="BM751" t="str">
            <v>Residential</v>
          </cell>
          <cell r="BN751">
            <v>0</v>
          </cell>
          <cell r="BR751">
            <v>0.32173913043478258</v>
          </cell>
          <cell r="FQ751" t="str">
            <v>Need Displacement</v>
          </cell>
          <cell r="IB751" t="str">
            <v>Y</v>
          </cell>
          <cell r="IC751">
            <v>0</v>
          </cell>
          <cell r="ID751">
            <v>0</v>
          </cell>
          <cell r="IE751">
            <v>0</v>
          </cell>
          <cell r="IP751">
            <v>0</v>
          </cell>
          <cell r="IR751">
            <v>0</v>
          </cell>
          <cell r="IT751">
            <v>0</v>
          </cell>
          <cell r="IU751">
            <v>0</v>
          </cell>
        </row>
        <row r="752">
          <cell r="A752" t="str">
            <v>legal</v>
          </cell>
          <cell r="E752" t="str">
            <v>3192 Int.32, Pilar St., Brgy.199 Tondo Manila</v>
          </cell>
          <cell r="S752" t="str">
            <v>Male</v>
          </cell>
          <cell r="AK752" t="str">
            <v>ISF</v>
          </cell>
          <cell r="AN752">
            <v>0.323943661971831</v>
          </cell>
          <cell r="AQ752">
            <v>0</v>
          </cell>
          <cell r="AS752">
            <v>0</v>
          </cell>
          <cell r="BM752" t="str">
            <v>Residential</v>
          </cell>
          <cell r="BN752">
            <v>0</v>
          </cell>
          <cell r="BR752">
            <v>0.32173913043478258</v>
          </cell>
          <cell r="FQ752" t="str">
            <v>Need Displacement</v>
          </cell>
          <cell r="IB752" t="str">
            <v>Y</v>
          </cell>
          <cell r="IC752">
            <v>0</v>
          </cell>
          <cell r="ID752">
            <v>0</v>
          </cell>
          <cell r="IE752">
            <v>0</v>
          </cell>
          <cell r="IP752">
            <v>0</v>
          </cell>
          <cell r="IR752">
            <v>0</v>
          </cell>
          <cell r="IT752">
            <v>0</v>
          </cell>
          <cell r="IU752">
            <v>0</v>
          </cell>
        </row>
        <row r="753">
          <cell r="A753" t="str">
            <v>isf</v>
          </cell>
          <cell r="E753" t="str">
            <v>3192 Int.29, Pilar St., Brgy.199 Tondo Manila</v>
          </cell>
          <cell r="S753" t="str">
            <v>Female</v>
          </cell>
          <cell r="AK753" t="str">
            <v>ISF</v>
          </cell>
          <cell r="AN753">
            <v>0.323943661971831</v>
          </cell>
          <cell r="AQ753">
            <v>0</v>
          </cell>
          <cell r="AS753">
            <v>0</v>
          </cell>
          <cell r="BM753" t="str">
            <v>Residential</v>
          </cell>
          <cell r="BN753">
            <v>0</v>
          </cell>
          <cell r="BR753">
            <v>0.32173913043478258</v>
          </cell>
          <cell r="FQ753" t="str">
            <v>Need Displacement</v>
          </cell>
          <cell r="IB753">
            <v>0</v>
          </cell>
          <cell r="IC753" t="str">
            <v>Y</v>
          </cell>
          <cell r="ID753">
            <v>0</v>
          </cell>
          <cell r="IE753">
            <v>0</v>
          </cell>
          <cell r="IP753">
            <v>0</v>
          </cell>
          <cell r="IR753">
            <v>0</v>
          </cell>
          <cell r="IT753">
            <v>0</v>
          </cell>
          <cell r="IU753">
            <v>0</v>
          </cell>
        </row>
        <row r="754">
          <cell r="A754" t="str">
            <v>isf</v>
          </cell>
          <cell r="E754" t="str">
            <v>3192 Interior.44 Pilar St., Brgy.199 Manuguit Tondo Manila</v>
          </cell>
          <cell r="S754" t="str">
            <v>Male</v>
          </cell>
          <cell r="AK754" t="str">
            <v>ISF</v>
          </cell>
          <cell r="AN754">
            <v>0.323943661971831</v>
          </cell>
          <cell r="AQ754">
            <v>0</v>
          </cell>
          <cell r="AS754">
            <v>0</v>
          </cell>
          <cell r="BM754" t="str">
            <v>Residential</v>
          </cell>
          <cell r="BN754">
            <v>0</v>
          </cell>
          <cell r="BR754">
            <v>0.32173913043478258</v>
          </cell>
          <cell r="FQ754" t="str">
            <v>Need Displacement</v>
          </cell>
          <cell r="IB754">
            <v>0</v>
          </cell>
          <cell r="IC754">
            <v>0</v>
          </cell>
          <cell r="ID754">
            <v>0</v>
          </cell>
          <cell r="IE754">
            <v>0</v>
          </cell>
          <cell r="IP754" t="str">
            <v>Owner</v>
          </cell>
          <cell r="IR754" t="str">
            <v>Home/Small-scale Industry</v>
          </cell>
          <cell r="IT754">
            <v>0</v>
          </cell>
          <cell r="IU754" t="str">
            <v>x</v>
          </cell>
        </row>
        <row r="755">
          <cell r="A755" t="str">
            <v>isf</v>
          </cell>
          <cell r="E755" t="str">
            <v>3192 Interior.32 Pilar St., Brgy.199 Tondo Manila</v>
          </cell>
          <cell r="S755" t="str">
            <v>Female</v>
          </cell>
          <cell r="AK755" t="str">
            <v>ISF</v>
          </cell>
          <cell r="AN755">
            <v>1</v>
          </cell>
          <cell r="AQ755">
            <v>0</v>
          </cell>
          <cell r="AS755">
            <v>0</v>
          </cell>
          <cell r="BM755" t="str">
            <v>Residential</v>
          </cell>
          <cell r="BN755">
            <v>1</v>
          </cell>
          <cell r="BR755">
            <v>1</v>
          </cell>
          <cell r="FQ755" t="str">
            <v>Need Displacement</v>
          </cell>
          <cell r="IB755">
            <v>0</v>
          </cell>
          <cell r="IC755">
            <v>0</v>
          </cell>
          <cell r="ID755">
            <v>0</v>
          </cell>
          <cell r="IE755">
            <v>0</v>
          </cell>
          <cell r="IP755">
            <v>0</v>
          </cell>
          <cell r="IR755">
            <v>0</v>
          </cell>
          <cell r="IT755">
            <v>0</v>
          </cell>
          <cell r="IU755">
            <v>0</v>
          </cell>
        </row>
        <row r="756">
          <cell r="A756" t="str">
            <v>legal</v>
          </cell>
          <cell r="E756" t="str">
            <v>3192 Interior.31 Pilar St., Brgy.199 Zone.18 Tondo Manila</v>
          </cell>
          <cell r="S756" t="str">
            <v>Male</v>
          </cell>
          <cell r="AK756" t="str">
            <v>ISF</v>
          </cell>
          <cell r="AN756">
            <v>0.25</v>
          </cell>
          <cell r="AQ756" t="str">
            <v>CMP</v>
          </cell>
          <cell r="AS756" t="str">
            <v>Y</v>
          </cell>
          <cell r="BM756" t="str">
            <v>Residential</v>
          </cell>
          <cell r="BN756">
            <v>0</v>
          </cell>
          <cell r="BR756">
            <v>0.25</v>
          </cell>
          <cell r="FQ756" t="str">
            <v>Need Displacement</v>
          </cell>
          <cell r="IB756">
            <v>0</v>
          </cell>
          <cell r="IC756">
            <v>0</v>
          </cell>
          <cell r="ID756">
            <v>0</v>
          </cell>
          <cell r="IE756">
            <v>1</v>
          </cell>
          <cell r="IP756">
            <v>0</v>
          </cell>
          <cell r="IR756">
            <v>0</v>
          </cell>
          <cell r="IT756">
            <v>0</v>
          </cell>
          <cell r="IU756">
            <v>0</v>
          </cell>
        </row>
        <row r="757">
          <cell r="A757" t="str">
            <v>legal</v>
          </cell>
          <cell r="E757" t="str">
            <v>3192 Interior.29 Pilar St., Brgy.199 Tondo Manila</v>
          </cell>
          <cell r="S757" t="str">
            <v>Male</v>
          </cell>
          <cell r="AK757">
            <v>0</v>
          </cell>
          <cell r="AN757">
            <v>0.12794117647058822</v>
          </cell>
          <cell r="AQ757" t="str">
            <v>CMP</v>
          </cell>
          <cell r="AS757" t="str">
            <v>Y</v>
          </cell>
          <cell r="BM757" t="str">
            <v>Residential</v>
          </cell>
          <cell r="BN757">
            <v>0</v>
          </cell>
          <cell r="BR757">
            <v>0.12794117647058822</v>
          </cell>
          <cell r="FQ757" t="str">
            <v>Can Stay</v>
          </cell>
          <cell r="IB757">
            <v>0</v>
          </cell>
          <cell r="IC757">
            <v>0</v>
          </cell>
          <cell r="ID757">
            <v>0</v>
          </cell>
          <cell r="IE757">
            <v>0</v>
          </cell>
          <cell r="IP757">
            <v>0</v>
          </cell>
          <cell r="IR757">
            <v>0</v>
          </cell>
          <cell r="IT757">
            <v>0</v>
          </cell>
          <cell r="IU757">
            <v>0</v>
          </cell>
        </row>
        <row r="758">
          <cell r="A758" t="str">
            <v>isf</v>
          </cell>
          <cell r="E758" t="str">
            <v>3192 Int.29, Pilar St., Manugit  Brgy.199 Tondo Manila</v>
          </cell>
          <cell r="S758" t="str">
            <v>Male</v>
          </cell>
          <cell r="AK758">
            <v>0</v>
          </cell>
          <cell r="AN758">
            <v>0.12794117647058822</v>
          </cell>
          <cell r="AQ758">
            <v>0</v>
          </cell>
          <cell r="AS758">
            <v>0</v>
          </cell>
          <cell r="BM758" t="str">
            <v>Residential</v>
          </cell>
          <cell r="BN758">
            <v>2</v>
          </cell>
          <cell r="BR758">
            <v>0.12794117647058822</v>
          </cell>
          <cell r="FQ758" t="str">
            <v>Can Stay</v>
          </cell>
          <cell r="IB758" t="str">
            <v>Y</v>
          </cell>
          <cell r="IC758">
            <v>0</v>
          </cell>
          <cell r="ID758">
            <v>1</v>
          </cell>
          <cell r="IE758">
            <v>1</v>
          </cell>
          <cell r="IP758">
            <v>0</v>
          </cell>
          <cell r="IR758">
            <v>0</v>
          </cell>
          <cell r="IT758">
            <v>0</v>
          </cell>
          <cell r="IU758">
            <v>0</v>
          </cell>
        </row>
        <row r="759">
          <cell r="A759" t="str">
            <v>isf</v>
          </cell>
          <cell r="E759" t="str">
            <v>1392 Int.29, Pilar St., Brgy.199 Tondo Manila</v>
          </cell>
          <cell r="S759" t="str">
            <v>Female</v>
          </cell>
          <cell r="AK759" t="str">
            <v>Land Caretaker</v>
          </cell>
          <cell r="AN759">
            <v>0.12794117647058822</v>
          </cell>
          <cell r="AQ759">
            <v>0</v>
          </cell>
          <cell r="AS759">
            <v>0</v>
          </cell>
          <cell r="BM759" t="str">
            <v>Residential</v>
          </cell>
          <cell r="BN759">
            <v>1</v>
          </cell>
          <cell r="BR759">
            <v>0.12794117647058822</v>
          </cell>
          <cell r="FQ759" t="str">
            <v>Can Stay (ACCESS BLOCK)</v>
          </cell>
          <cell r="IB759">
            <v>0</v>
          </cell>
          <cell r="IC759" t="str">
            <v>Y</v>
          </cell>
          <cell r="ID759">
            <v>0</v>
          </cell>
          <cell r="IE759">
            <v>0</v>
          </cell>
          <cell r="IP759">
            <v>0</v>
          </cell>
          <cell r="IR759">
            <v>0</v>
          </cell>
          <cell r="IT759">
            <v>0</v>
          </cell>
          <cell r="IU759">
            <v>0</v>
          </cell>
        </row>
        <row r="760">
          <cell r="A760" t="str">
            <v>isf</v>
          </cell>
          <cell r="E760" t="str">
            <v>1392 Int.29, Pilar St., Brgy.199 Tondo Manila</v>
          </cell>
          <cell r="S760" t="str">
            <v>Female</v>
          </cell>
          <cell r="AK760">
            <v>0</v>
          </cell>
          <cell r="AN760">
            <v>0.12794117647058822</v>
          </cell>
          <cell r="AQ760">
            <v>0</v>
          </cell>
          <cell r="AS760">
            <v>0</v>
          </cell>
          <cell r="BM760" t="str">
            <v>Residential</v>
          </cell>
          <cell r="BN760">
            <v>0</v>
          </cell>
          <cell r="BR760">
            <v>0.12794117647058822</v>
          </cell>
          <cell r="FQ760" t="str">
            <v>Can Stay</v>
          </cell>
          <cell r="IB760">
            <v>0</v>
          </cell>
          <cell r="IC760" t="str">
            <v>Y</v>
          </cell>
          <cell r="ID760">
            <v>1</v>
          </cell>
          <cell r="IE760">
            <v>1</v>
          </cell>
          <cell r="IP760">
            <v>0</v>
          </cell>
          <cell r="IR760">
            <v>0</v>
          </cell>
          <cell r="IT760">
            <v>0</v>
          </cell>
          <cell r="IU760">
            <v>0</v>
          </cell>
        </row>
        <row r="761">
          <cell r="A761" t="str">
            <v>legal</v>
          </cell>
          <cell r="E761" t="str">
            <v>3192 Pilar St., Brgy.199 Tondo Manila</v>
          </cell>
          <cell r="S761">
            <v>0</v>
          </cell>
          <cell r="AK761">
            <v>0</v>
          </cell>
          <cell r="AN761">
            <v>0</v>
          </cell>
          <cell r="AQ761">
            <v>0</v>
          </cell>
          <cell r="AS761">
            <v>0</v>
          </cell>
          <cell r="BM761">
            <v>0</v>
          </cell>
          <cell r="BN761">
            <v>0</v>
          </cell>
          <cell r="BR761">
            <v>0</v>
          </cell>
          <cell r="FQ761">
            <v>0</v>
          </cell>
          <cell r="IB761">
            <v>0</v>
          </cell>
          <cell r="IC761">
            <v>0</v>
          </cell>
          <cell r="ID761">
            <v>0</v>
          </cell>
          <cell r="IE761">
            <v>0</v>
          </cell>
          <cell r="IP761">
            <v>0</v>
          </cell>
          <cell r="IR761">
            <v>0</v>
          </cell>
          <cell r="IT761">
            <v>0</v>
          </cell>
          <cell r="IU761">
            <v>0</v>
          </cell>
        </row>
        <row r="762">
          <cell r="A762" t="str">
            <v>isf-x</v>
          </cell>
          <cell r="E762" t="str">
            <v>3192 Interior.21 Pilar St., Brgy.199 Zone.18 Tondo Manila</v>
          </cell>
          <cell r="S762" t="str">
            <v>Male</v>
          </cell>
          <cell r="AK762" t="str">
            <v>ISF</v>
          </cell>
          <cell r="AN762">
            <v>1</v>
          </cell>
          <cell r="AQ762">
            <v>0</v>
          </cell>
          <cell r="AS762">
            <v>0</v>
          </cell>
          <cell r="BM762">
            <v>0</v>
          </cell>
          <cell r="BN762">
            <v>0</v>
          </cell>
          <cell r="BR762">
            <v>0</v>
          </cell>
          <cell r="FQ762">
            <v>0</v>
          </cell>
          <cell r="IB762">
            <v>0</v>
          </cell>
          <cell r="IC762">
            <v>0</v>
          </cell>
          <cell r="ID762">
            <v>0</v>
          </cell>
          <cell r="IE762">
            <v>0</v>
          </cell>
          <cell r="IP762">
            <v>0</v>
          </cell>
          <cell r="IR762">
            <v>0</v>
          </cell>
          <cell r="IT762">
            <v>0</v>
          </cell>
          <cell r="IU762">
            <v>0</v>
          </cell>
        </row>
        <row r="763">
          <cell r="A763" t="str">
            <v>isf</v>
          </cell>
          <cell r="E763" t="str">
            <v>3192 Interior.24 Pilar St., Brgy.199 Tondo Manila</v>
          </cell>
          <cell r="S763" t="str">
            <v>Female</v>
          </cell>
          <cell r="AK763" t="str">
            <v>ISF</v>
          </cell>
          <cell r="AN763">
            <v>8.6303939962476539E-2</v>
          </cell>
          <cell r="AQ763">
            <v>0</v>
          </cell>
          <cell r="AS763">
            <v>0</v>
          </cell>
          <cell r="BM763" t="str">
            <v>Residential</v>
          </cell>
          <cell r="BN763">
            <v>1</v>
          </cell>
          <cell r="BR763">
            <v>8.9668615984405453E-2</v>
          </cell>
          <cell r="FQ763" t="str">
            <v>Can Stay</v>
          </cell>
          <cell r="IB763">
            <v>0</v>
          </cell>
          <cell r="IC763" t="str">
            <v>Y</v>
          </cell>
          <cell r="ID763">
            <v>1</v>
          </cell>
          <cell r="IE763">
            <v>1</v>
          </cell>
          <cell r="IP763" t="str">
            <v>Owner</v>
          </cell>
          <cell r="IR763" t="str">
            <v>Home/Small-scale Industry</v>
          </cell>
          <cell r="IT763" t="str">
            <v>x</v>
          </cell>
          <cell r="IU763">
            <v>0</v>
          </cell>
        </row>
        <row r="764">
          <cell r="A764" t="str">
            <v>isf</v>
          </cell>
          <cell r="E764" t="str">
            <v>3165 Interior.31 Pilar St., Brgy.199 Tondo Manila</v>
          </cell>
          <cell r="S764" t="str">
            <v>Female</v>
          </cell>
          <cell r="AK764" t="str">
            <v>ISF</v>
          </cell>
          <cell r="AN764">
            <v>1</v>
          </cell>
          <cell r="AQ764">
            <v>0</v>
          </cell>
          <cell r="AS764">
            <v>0</v>
          </cell>
          <cell r="BM764" t="str">
            <v>Residential</v>
          </cell>
          <cell r="BN764">
            <v>0</v>
          </cell>
          <cell r="BR764">
            <v>1</v>
          </cell>
          <cell r="FQ764" t="str">
            <v>Need Displacement</v>
          </cell>
          <cell r="IB764">
            <v>0</v>
          </cell>
          <cell r="IC764" t="str">
            <v>Y</v>
          </cell>
          <cell r="ID764">
            <v>0</v>
          </cell>
          <cell r="IE764">
            <v>0</v>
          </cell>
          <cell r="IP764">
            <v>0</v>
          </cell>
          <cell r="IR764">
            <v>0</v>
          </cell>
          <cell r="IT764">
            <v>0</v>
          </cell>
          <cell r="IU764">
            <v>0</v>
          </cell>
        </row>
        <row r="765">
          <cell r="A765" t="str">
            <v>isf-x</v>
          </cell>
          <cell r="E765" t="str">
            <v>980 Q. Hermosa St., Brgy.199 Tondo Manila</v>
          </cell>
          <cell r="S765" t="str">
            <v>Male</v>
          </cell>
          <cell r="AK765" t="str">
            <v>ISF</v>
          </cell>
          <cell r="AN765">
            <v>3.8461538461538464E-3</v>
          </cell>
          <cell r="AQ765">
            <v>0</v>
          </cell>
          <cell r="AS765">
            <v>0</v>
          </cell>
          <cell r="BM765" t="str">
            <v>Residential</v>
          </cell>
          <cell r="BN765">
            <v>1</v>
          </cell>
          <cell r="BR765">
            <v>3.8461538461538464E-3</v>
          </cell>
          <cell r="FQ765" t="str">
            <v>Can Stay</v>
          </cell>
          <cell r="IB765">
            <v>0</v>
          </cell>
          <cell r="IC765">
            <v>0</v>
          </cell>
          <cell r="ID765">
            <v>0</v>
          </cell>
          <cell r="IE765">
            <v>0</v>
          </cell>
          <cell r="IP765">
            <v>0</v>
          </cell>
          <cell r="IR765">
            <v>0</v>
          </cell>
          <cell r="IT765">
            <v>0</v>
          </cell>
          <cell r="IU765">
            <v>0</v>
          </cell>
        </row>
        <row r="766">
          <cell r="A766" t="str">
            <v>isf-x</v>
          </cell>
          <cell r="E766" t="str">
            <v>3147 Interior.12 Pilar St., Brgy.199 Tondo Manila</v>
          </cell>
          <cell r="S766">
            <v>0</v>
          </cell>
          <cell r="AK766" t="str">
            <v>ISF</v>
          </cell>
          <cell r="AN766">
            <v>1</v>
          </cell>
          <cell r="AQ766">
            <v>0</v>
          </cell>
          <cell r="AS766">
            <v>0</v>
          </cell>
          <cell r="BM766">
            <v>0</v>
          </cell>
          <cell r="BN766">
            <v>0</v>
          </cell>
          <cell r="BR766">
            <v>0</v>
          </cell>
          <cell r="FQ766">
            <v>0</v>
          </cell>
          <cell r="IB766">
            <v>0</v>
          </cell>
          <cell r="IC766">
            <v>0</v>
          </cell>
          <cell r="ID766">
            <v>0</v>
          </cell>
          <cell r="IE766">
            <v>0</v>
          </cell>
          <cell r="IP766">
            <v>0</v>
          </cell>
          <cell r="IR766">
            <v>0</v>
          </cell>
          <cell r="IT766">
            <v>0</v>
          </cell>
          <cell r="IU766">
            <v>0</v>
          </cell>
        </row>
        <row r="767">
          <cell r="A767" t="str">
            <v>isf-x</v>
          </cell>
          <cell r="E767" t="str">
            <v>3165 Interior.12 Pilar St., Brgy.199 Tondo Manila</v>
          </cell>
          <cell r="S767" t="str">
            <v>Male</v>
          </cell>
          <cell r="AK767" t="str">
            <v>ISF</v>
          </cell>
          <cell r="AN767">
            <v>1</v>
          </cell>
          <cell r="AQ767">
            <v>0</v>
          </cell>
          <cell r="AS767">
            <v>0</v>
          </cell>
          <cell r="BM767">
            <v>0</v>
          </cell>
          <cell r="BN767">
            <v>0</v>
          </cell>
          <cell r="BR767">
            <v>0</v>
          </cell>
          <cell r="FQ767">
            <v>0</v>
          </cell>
          <cell r="IB767">
            <v>0</v>
          </cell>
          <cell r="IC767">
            <v>0</v>
          </cell>
          <cell r="ID767">
            <v>0</v>
          </cell>
          <cell r="IE767">
            <v>0</v>
          </cell>
          <cell r="IP767">
            <v>0</v>
          </cell>
          <cell r="IR767">
            <v>0</v>
          </cell>
          <cell r="IT767">
            <v>0</v>
          </cell>
          <cell r="IU767">
            <v>0</v>
          </cell>
        </row>
        <row r="768">
          <cell r="A768" t="str">
            <v>legal</v>
          </cell>
          <cell r="E768" t="str">
            <v>3165 Interior.16 Pilar St., Brgy.199 Tondo Manila</v>
          </cell>
          <cell r="S768" t="str">
            <v>Male</v>
          </cell>
          <cell r="AK768" t="str">
            <v>ISF</v>
          </cell>
          <cell r="AN768">
            <v>1</v>
          </cell>
          <cell r="AQ768" t="str">
            <v>CMP</v>
          </cell>
          <cell r="AS768" t="str">
            <v>Y</v>
          </cell>
          <cell r="BM768">
            <v>0</v>
          </cell>
          <cell r="BN768">
            <v>0</v>
          </cell>
          <cell r="BR768">
            <v>0</v>
          </cell>
          <cell r="FQ768">
            <v>0</v>
          </cell>
          <cell r="IB768" t="str">
            <v>Y</v>
          </cell>
          <cell r="IC768">
            <v>0</v>
          </cell>
          <cell r="ID768" t="str">
            <v>Salvacion(64), Edgardo(71)</v>
          </cell>
          <cell r="IE768">
            <v>0</v>
          </cell>
          <cell r="IP768">
            <v>0</v>
          </cell>
          <cell r="IR768">
            <v>0</v>
          </cell>
          <cell r="IT768">
            <v>0</v>
          </cell>
          <cell r="IU768">
            <v>0</v>
          </cell>
        </row>
        <row r="769">
          <cell r="A769" t="str">
            <v>legal</v>
          </cell>
          <cell r="E769" t="str">
            <v>61 Daang Bakal Brgy.199 Tondo Manila</v>
          </cell>
          <cell r="S769" t="str">
            <v>Male</v>
          </cell>
          <cell r="AK769" t="str">
            <v>ISF</v>
          </cell>
          <cell r="AN769">
            <v>1</v>
          </cell>
          <cell r="AQ769" t="str">
            <v>CMP</v>
          </cell>
          <cell r="AS769" t="str">
            <v>Y</v>
          </cell>
          <cell r="BM769">
            <v>0</v>
          </cell>
          <cell r="BN769">
            <v>0</v>
          </cell>
          <cell r="BR769">
            <v>0</v>
          </cell>
          <cell r="FQ769">
            <v>0</v>
          </cell>
          <cell r="IB769" t="str">
            <v>Y</v>
          </cell>
          <cell r="IC769">
            <v>0</v>
          </cell>
          <cell r="ID769">
            <v>0</v>
          </cell>
          <cell r="IE769">
            <v>0</v>
          </cell>
          <cell r="IP769">
            <v>0</v>
          </cell>
          <cell r="IR769">
            <v>0</v>
          </cell>
          <cell r="IT769">
            <v>0</v>
          </cell>
          <cell r="IU769">
            <v>0</v>
          </cell>
        </row>
        <row r="770">
          <cell r="A770">
            <v>0</v>
          </cell>
          <cell r="E770" t="str">
            <v>3192 Int.16, Pilar St., Brgy.199 Tondo Manila</v>
          </cell>
          <cell r="S770" t="str">
            <v>Female</v>
          </cell>
          <cell r="AK770">
            <v>0</v>
          </cell>
          <cell r="AN770">
            <v>1</v>
          </cell>
          <cell r="AQ770">
            <v>0</v>
          </cell>
          <cell r="AS770">
            <v>0</v>
          </cell>
          <cell r="BM770" t="str">
            <v>Commercial</v>
          </cell>
          <cell r="BN770">
            <v>0</v>
          </cell>
          <cell r="BR770">
            <v>0</v>
          </cell>
          <cell r="FQ770" t="str">
            <v>Need Displacement</v>
          </cell>
          <cell r="IB770" t="str">
            <v>Y</v>
          </cell>
          <cell r="IC770" t="str">
            <v>Y</v>
          </cell>
          <cell r="ID770">
            <v>0</v>
          </cell>
          <cell r="IE770">
            <v>0</v>
          </cell>
          <cell r="IP770" t="str">
            <v>Rent free</v>
          </cell>
          <cell r="IR770" t="str">
            <v>Home/Small-scale Industry</v>
          </cell>
          <cell r="IT770">
            <v>0</v>
          </cell>
          <cell r="IU770" t="str">
            <v>x</v>
          </cell>
        </row>
        <row r="771">
          <cell r="A771">
            <v>0</v>
          </cell>
          <cell r="E771" t="str">
            <v>3145 Int.26, Pilar St., Brgy.199 Tondo Manila</v>
          </cell>
          <cell r="S771" t="str">
            <v>Male</v>
          </cell>
          <cell r="AK771">
            <v>0</v>
          </cell>
          <cell r="AN771">
            <v>1</v>
          </cell>
          <cell r="AQ771">
            <v>0</v>
          </cell>
          <cell r="AS771">
            <v>0</v>
          </cell>
          <cell r="BM771" t="str">
            <v>Commercial</v>
          </cell>
          <cell r="BN771">
            <v>0</v>
          </cell>
          <cell r="BR771">
            <v>0</v>
          </cell>
          <cell r="FQ771" t="str">
            <v>Need Displacement</v>
          </cell>
          <cell r="IB771" t="str">
            <v>Y</v>
          </cell>
          <cell r="IC771">
            <v>0</v>
          </cell>
          <cell r="ID771">
            <v>0</v>
          </cell>
          <cell r="IE771">
            <v>0</v>
          </cell>
          <cell r="IP771" t="str">
            <v>Owner</v>
          </cell>
          <cell r="IR771" t="str">
            <v>Home/Small-scale Industry</v>
          </cell>
          <cell r="IT771" t="str">
            <v>x</v>
          </cell>
          <cell r="IU771">
            <v>0</v>
          </cell>
        </row>
        <row r="772">
          <cell r="A772" t="str">
            <v>isf</v>
          </cell>
          <cell r="E772" t="str">
            <v>Brgy.200, Pilar St., Tondo, Maniila</v>
          </cell>
          <cell r="S772">
            <v>0</v>
          </cell>
          <cell r="AK772" t="str">
            <v>ISF</v>
          </cell>
          <cell r="AN772">
            <v>1</v>
          </cell>
          <cell r="AQ772">
            <v>0</v>
          </cell>
          <cell r="AS772">
            <v>0</v>
          </cell>
          <cell r="BM772" t="str">
            <v>Residential</v>
          </cell>
          <cell r="BN772">
            <v>0</v>
          </cell>
          <cell r="BR772">
            <v>1</v>
          </cell>
          <cell r="FQ772" t="str">
            <v>Need Displacement</v>
          </cell>
          <cell r="IB772">
            <v>0</v>
          </cell>
          <cell r="IC772">
            <v>0</v>
          </cell>
          <cell r="ID772">
            <v>0</v>
          </cell>
          <cell r="IE772">
            <v>0</v>
          </cell>
          <cell r="IP772">
            <v>0</v>
          </cell>
          <cell r="IR772">
            <v>0</v>
          </cell>
          <cell r="IT772">
            <v>0</v>
          </cell>
          <cell r="IU772">
            <v>0</v>
          </cell>
        </row>
        <row r="773">
          <cell r="A773" t="str">
            <v>isf</v>
          </cell>
          <cell r="E773" t="str">
            <v>3192 Interior.22, Pilar St., Brgy.199 Manuguit Tondo Manila</v>
          </cell>
          <cell r="S773" t="str">
            <v>Male</v>
          </cell>
          <cell r="AK773" t="str">
            <v>ISF</v>
          </cell>
          <cell r="AN773">
            <v>1</v>
          </cell>
          <cell r="AQ773">
            <v>0</v>
          </cell>
          <cell r="AS773">
            <v>0</v>
          </cell>
          <cell r="BM773" t="str">
            <v>Residential</v>
          </cell>
          <cell r="BN773">
            <v>0</v>
          </cell>
          <cell r="BR773">
            <v>1</v>
          </cell>
          <cell r="FQ773" t="str">
            <v>Need Displacement</v>
          </cell>
          <cell r="IB773" t="str">
            <v>Y</v>
          </cell>
          <cell r="IC773">
            <v>0</v>
          </cell>
          <cell r="ID773">
            <v>0</v>
          </cell>
          <cell r="IE773">
            <v>0</v>
          </cell>
          <cell r="IP773">
            <v>0</v>
          </cell>
          <cell r="IR773">
            <v>0</v>
          </cell>
          <cell r="IT773">
            <v>0</v>
          </cell>
          <cell r="IU773">
            <v>0</v>
          </cell>
        </row>
        <row r="774">
          <cell r="A774" t="str">
            <v>isf-x</v>
          </cell>
          <cell r="E774" t="str">
            <v>3192 Interior.20, Pilar St., Brgy.199 Manuguit Tondo Manila</v>
          </cell>
          <cell r="S774" t="str">
            <v>Male</v>
          </cell>
          <cell r="AK774" t="str">
            <v>ISF</v>
          </cell>
          <cell r="AN774">
            <v>1</v>
          </cell>
          <cell r="AQ774">
            <v>0</v>
          </cell>
          <cell r="AS774">
            <v>0</v>
          </cell>
          <cell r="BM774">
            <v>0</v>
          </cell>
          <cell r="BN774">
            <v>0</v>
          </cell>
          <cell r="BR774">
            <v>0</v>
          </cell>
          <cell r="FQ774">
            <v>0</v>
          </cell>
          <cell r="IB774">
            <v>0</v>
          </cell>
          <cell r="IC774">
            <v>0</v>
          </cell>
          <cell r="ID774" t="str">
            <v>Armando (77)</v>
          </cell>
          <cell r="IE774">
            <v>0</v>
          </cell>
          <cell r="IP774">
            <v>0</v>
          </cell>
          <cell r="IR774">
            <v>0</v>
          </cell>
          <cell r="IT774">
            <v>0</v>
          </cell>
          <cell r="IU774">
            <v>0</v>
          </cell>
        </row>
        <row r="775">
          <cell r="A775" t="str">
            <v>isf-x</v>
          </cell>
          <cell r="E775" t="str">
            <v>3192 Pilar St., Brgy.199 Tondo Manila</v>
          </cell>
          <cell r="S775" t="str">
            <v>Male</v>
          </cell>
          <cell r="AK775" t="str">
            <v>ISF</v>
          </cell>
          <cell r="AN775">
            <v>1</v>
          </cell>
          <cell r="AQ775">
            <v>0</v>
          </cell>
          <cell r="AS775">
            <v>0</v>
          </cell>
          <cell r="BM775">
            <v>0</v>
          </cell>
          <cell r="BN775">
            <v>0</v>
          </cell>
          <cell r="BR775">
            <v>0</v>
          </cell>
          <cell r="FQ775">
            <v>0</v>
          </cell>
          <cell r="IB775">
            <v>0</v>
          </cell>
          <cell r="IC775">
            <v>0</v>
          </cell>
          <cell r="ID775">
            <v>0</v>
          </cell>
          <cell r="IE775">
            <v>0</v>
          </cell>
          <cell r="IP775">
            <v>0</v>
          </cell>
          <cell r="IR775">
            <v>0</v>
          </cell>
          <cell r="IT775">
            <v>0</v>
          </cell>
          <cell r="IU775">
            <v>0</v>
          </cell>
        </row>
        <row r="776">
          <cell r="A776" t="str">
            <v>isf-x</v>
          </cell>
          <cell r="E776" t="str">
            <v>3192 Interior.24 Pilar St., Brgy.199 Tondo Manila</v>
          </cell>
          <cell r="S776" t="str">
            <v>Male</v>
          </cell>
          <cell r="AK776" t="str">
            <v>ISF</v>
          </cell>
          <cell r="AN776">
            <v>1</v>
          </cell>
          <cell r="AQ776">
            <v>0</v>
          </cell>
          <cell r="AS776">
            <v>0</v>
          </cell>
          <cell r="BM776">
            <v>0</v>
          </cell>
          <cell r="BN776">
            <v>0</v>
          </cell>
          <cell r="BR776">
            <v>0</v>
          </cell>
          <cell r="FQ776">
            <v>0</v>
          </cell>
          <cell r="IB776">
            <v>0</v>
          </cell>
          <cell r="IC776">
            <v>0</v>
          </cell>
          <cell r="ID776">
            <v>0</v>
          </cell>
          <cell r="IE776">
            <v>0</v>
          </cell>
          <cell r="IP776">
            <v>0</v>
          </cell>
          <cell r="IR776">
            <v>0</v>
          </cell>
          <cell r="IT776">
            <v>0</v>
          </cell>
          <cell r="IU776">
            <v>0</v>
          </cell>
        </row>
        <row r="777">
          <cell r="A777" t="str">
            <v>isf</v>
          </cell>
          <cell r="E777" t="str">
            <v>2978 Dagupan Ext., Brgy.184 Gagalangin Tondo Manila</v>
          </cell>
          <cell r="S777" t="str">
            <v>Male</v>
          </cell>
          <cell r="AK777" t="str">
            <v>ISF</v>
          </cell>
          <cell r="AN777">
            <v>4.1379310344827586E-2</v>
          </cell>
          <cell r="AQ777">
            <v>0</v>
          </cell>
          <cell r="AS777">
            <v>0</v>
          </cell>
          <cell r="BM777" t="str">
            <v>Residential</v>
          </cell>
          <cell r="BN777">
            <v>1</v>
          </cell>
          <cell r="BR777">
            <v>4.2253521126760563E-2</v>
          </cell>
          <cell r="FQ777" t="str">
            <v>Can Stay</v>
          </cell>
          <cell r="IB777">
            <v>0</v>
          </cell>
          <cell r="IC777">
            <v>0</v>
          </cell>
          <cell r="ID777">
            <v>1</v>
          </cell>
          <cell r="IE777">
            <v>0</v>
          </cell>
          <cell r="IP777">
            <v>0</v>
          </cell>
          <cell r="IR777">
            <v>0</v>
          </cell>
          <cell r="IT777">
            <v>0</v>
          </cell>
          <cell r="IU777">
            <v>0</v>
          </cell>
        </row>
        <row r="778">
          <cell r="A778" t="str">
            <v>isf</v>
          </cell>
          <cell r="E778" t="str">
            <v>2978 Dagupan Ext., Brgy.184 Gagalangin Tondo Manila</v>
          </cell>
          <cell r="S778" t="str">
            <v>Male</v>
          </cell>
          <cell r="AK778">
            <v>0</v>
          </cell>
          <cell r="AN778">
            <v>4.1379310344827586E-2</v>
          </cell>
          <cell r="AQ778">
            <v>0</v>
          </cell>
          <cell r="AS778">
            <v>0</v>
          </cell>
          <cell r="BM778" t="str">
            <v>Residential</v>
          </cell>
          <cell r="BN778">
            <v>1</v>
          </cell>
          <cell r="BR778">
            <v>4.2253521126760563E-2</v>
          </cell>
          <cell r="FQ778" t="str">
            <v>Can Stay</v>
          </cell>
          <cell r="IB778" t="str">
            <v>Y</v>
          </cell>
          <cell r="IC778">
            <v>0</v>
          </cell>
          <cell r="ID778">
            <v>0</v>
          </cell>
          <cell r="IE778">
            <v>1</v>
          </cell>
          <cell r="IP778">
            <v>0</v>
          </cell>
          <cell r="IR778">
            <v>0</v>
          </cell>
          <cell r="IT778">
            <v>0</v>
          </cell>
          <cell r="IU778">
            <v>0</v>
          </cell>
        </row>
        <row r="779">
          <cell r="A779" t="str">
            <v>isf</v>
          </cell>
          <cell r="E779" t="str">
            <v>3165 Interior.18 Pilar St., Brgy.199 Tondo Manila</v>
          </cell>
          <cell r="S779" t="str">
            <v>Female</v>
          </cell>
          <cell r="AK779" t="str">
            <v>ISF</v>
          </cell>
          <cell r="AN779">
            <v>1</v>
          </cell>
          <cell r="AQ779">
            <v>0</v>
          </cell>
          <cell r="AS779">
            <v>0</v>
          </cell>
          <cell r="BM779" t="str">
            <v>Residential/Commercial</v>
          </cell>
          <cell r="BN779">
            <v>1</v>
          </cell>
          <cell r="BR779">
            <v>1</v>
          </cell>
          <cell r="FQ779" t="str">
            <v>Need Displacement</v>
          </cell>
          <cell r="IB779" t="str">
            <v>Y</v>
          </cell>
          <cell r="IC779" t="str">
            <v>Y</v>
          </cell>
          <cell r="ID779">
            <v>0</v>
          </cell>
          <cell r="IE779">
            <v>0</v>
          </cell>
          <cell r="IP779" t="str">
            <v>Owner</v>
          </cell>
          <cell r="IR779" t="str">
            <v>Home/Small-scale Industry</v>
          </cell>
          <cell r="IT779">
            <v>0</v>
          </cell>
          <cell r="IU779" t="str">
            <v>x</v>
          </cell>
        </row>
        <row r="780">
          <cell r="A780" t="str">
            <v>isf</v>
          </cell>
          <cell r="E780" t="str">
            <v>3050 Dagupan Ext., Brgy.184 Zone.16 Gagalangin Tondo Manila</v>
          </cell>
          <cell r="S780" t="str">
            <v>Female</v>
          </cell>
          <cell r="AK780" t="str">
            <v>ISF</v>
          </cell>
          <cell r="AN780">
            <v>0.26315789473684209</v>
          </cell>
          <cell r="AQ780">
            <v>0</v>
          </cell>
          <cell r="AS780">
            <v>0</v>
          </cell>
          <cell r="BM780" t="str">
            <v>Residential</v>
          </cell>
          <cell r="BN780">
            <v>0</v>
          </cell>
          <cell r="BR780">
            <v>0.26315789473684209</v>
          </cell>
          <cell r="FQ780" t="str">
            <v>Need Displacement</v>
          </cell>
          <cell r="IB780">
            <v>0</v>
          </cell>
          <cell r="IC780" t="str">
            <v>y</v>
          </cell>
          <cell r="ID780">
            <v>1</v>
          </cell>
          <cell r="IE780">
            <v>1</v>
          </cell>
          <cell r="IP780">
            <v>0</v>
          </cell>
          <cell r="IR780">
            <v>0</v>
          </cell>
          <cell r="IT780">
            <v>0</v>
          </cell>
          <cell r="IU780">
            <v>0</v>
          </cell>
        </row>
        <row r="781">
          <cell r="A781" t="str">
            <v>legal</v>
          </cell>
          <cell r="E781" t="str">
            <v>3046 Dagupan Ext., Brgy.184 Gagalangin Tondo Manila</v>
          </cell>
          <cell r="S781" t="str">
            <v>Male</v>
          </cell>
          <cell r="AK781">
            <v>0</v>
          </cell>
          <cell r="AN781">
            <v>0.375</v>
          </cell>
          <cell r="AQ781" t="str">
            <v>CMP</v>
          </cell>
          <cell r="AS781" t="str">
            <v>Y</v>
          </cell>
          <cell r="BM781" t="str">
            <v>Residential</v>
          </cell>
          <cell r="BN781">
            <v>1</v>
          </cell>
          <cell r="BR781">
            <v>0.19266055045871561</v>
          </cell>
          <cell r="FQ781" t="str">
            <v>Need Displacement</v>
          </cell>
          <cell r="IB781">
            <v>0</v>
          </cell>
          <cell r="IC781">
            <v>0</v>
          </cell>
          <cell r="ID781">
            <v>1</v>
          </cell>
          <cell r="IE781">
            <v>1</v>
          </cell>
          <cell r="IP781">
            <v>0</v>
          </cell>
          <cell r="IR781">
            <v>0</v>
          </cell>
          <cell r="IT781">
            <v>0</v>
          </cell>
          <cell r="IU781">
            <v>0</v>
          </cell>
        </row>
        <row r="782">
          <cell r="A782">
            <v>0</v>
          </cell>
          <cell r="E782" t="str">
            <v>3046 Dagupan Ext., Brgy.184 Gagalangin Tondo Manila</v>
          </cell>
          <cell r="S782" t="str">
            <v>Male</v>
          </cell>
          <cell r="AK782">
            <v>0</v>
          </cell>
          <cell r="AN782">
            <v>0.375</v>
          </cell>
          <cell r="AQ782">
            <v>0</v>
          </cell>
          <cell r="AS782">
            <v>0</v>
          </cell>
          <cell r="BM782" t="str">
            <v>Residential</v>
          </cell>
          <cell r="BN782">
            <v>1</v>
          </cell>
          <cell r="BR782">
            <v>0.19266055045871561</v>
          </cell>
          <cell r="FQ782" t="str">
            <v>Need Displacement</v>
          </cell>
          <cell r="IB782" t="str">
            <v>Y</v>
          </cell>
          <cell r="IC782">
            <v>0</v>
          </cell>
          <cell r="ID782">
            <v>0</v>
          </cell>
          <cell r="IE782">
            <v>0</v>
          </cell>
          <cell r="IP782">
            <v>0</v>
          </cell>
          <cell r="IR782">
            <v>0</v>
          </cell>
          <cell r="IT782">
            <v>0</v>
          </cell>
          <cell r="IU782">
            <v>0</v>
          </cell>
        </row>
        <row r="783">
          <cell r="A783">
            <v>0</v>
          </cell>
          <cell r="E783" t="str">
            <v>3046 Dagupan Ext., Brgy.184 Gagalangin Tondo Manila</v>
          </cell>
          <cell r="S783" t="str">
            <v>Male</v>
          </cell>
          <cell r="AK783">
            <v>0</v>
          </cell>
          <cell r="AN783">
            <v>0.375</v>
          </cell>
          <cell r="AQ783">
            <v>0</v>
          </cell>
          <cell r="AS783">
            <v>0</v>
          </cell>
          <cell r="BM783" t="str">
            <v>Residential</v>
          </cell>
          <cell r="BN783">
            <v>0</v>
          </cell>
          <cell r="BR783">
            <v>0.19266055045871561</v>
          </cell>
          <cell r="FQ783" t="str">
            <v>Need Displacement</v>
          </cell>
          <cell r="IB783" t="str">
            <v>Y</v>
          </cell>
          <cell r="IC783">
            <v>0</v>
          </cell>
          <cell r="ID783">
            <v>0</v>
          </cell>
          <cell r="IE783">
            <v>0</v>
          </cell>
          <cell r="IP783">
            <v>0</v>
          </cell>
          <cell r="IR783">
            <v>0</v>
          </cell>
          <cell r="IT783">
            <v>0</v>
          </cell>
          <cell r="IU783">
            <v>0</v>
          </cell>
        </row>
        <row r="784">
          <cell r="A784" t="str">
            <v>isf</v>
          </cell>
          <cell r="E784" t="str">
            <v>3042 Dagupan Ext., Brgy.184 Tondo Manila</v>
          </cell>
          <cell r="S784" t="str">
            <v>Female</v>
          </cell>
          <cell r="AK784" t="str">
            <v>ISF</v>
          </cell>
          <cell r="AN784">
            <v>0.75</v>
          </cell>
          <cell r="AQ784">
            <v>0</v>
          </cell>
          <cell r="AS784">
            <v>0</v>
          </cell>
          <cell r="BM784" t="str">
            <v>Residential</v>
          </cell>
          <cell r="BN784">
            <v>2</v>
          </cell>
          <cell r="BR784">
            <v>0.75</v>
          </cell>
          <cell r="FQ784" t="str">
            <v>Need Displacement</v>
          </cell>
          <cell r="IB784">
            <v>0</v>
          </cell>
          <cell r="IC784" t="str">
            <v>Y</v>
          </cell>
          <cell r="ID784">
            <v>0</v>
          </cell>
          <cell r="IE784">
            <v>0</v>
          </cell>
          <cell r="IP784">
            <v>0</v>
          </cell>
          <cell r="IR784">
            <v>0</v>
          </cell>
          <cell r="IT784">
            <v>0</v>
          </cell>
          <cell r="IU784">
            <v>0</v>
          </cell>
        </row>
        <row r="785">
          <cell r="A785" t="str">
            <v>isf</v>
          </cell>
          <cell r="E785" t="str">
            <v>3042 Dagupan Ext., Brgy.184 Gagalangin Tondo Manila</v>
          </cell>
          <cell r="S785" t="str">
            <v>Male</v>
          </cell>
          <cell r="AK785" t="str">
            <v>ISF</v>
          </cell>
          <cell r="AN785">
            <v>0.75</v>
          </cell>
          <cell r="AQ785">
            <v>0</v>
          </cell>
          <cell r="AS785">
            <v>0</v>
          </cell>
          <cell r="BM785" t="str">
            <v>Residential</v>
          </cell>
          <cell r="BN785">
            <v>0</v>
          </cell>
          <cell r="BR785">
            <v>0.7</v>
          </cell>
          <cell r="FQ785" t="str">
            <v>Need Displacement</v>
          </cell>
          <cell r="IB785">
            <v>0</v>
          </cell>
          <cell r="IC785">
            <v>0</v>
          </cell>
          <cell r="ID785">
            <v>0</v>
          </cell>
          <cell r="IE785">
            <v>0</v>
          </cell>
          <cell r="IP785">
            <v>0</v>
          </cell>
          <cell r="IR785">
            <v>0</v>
          </cell>
          <cell r="IT785">
            <v>0</v>
          </cell>
          <cell r="IU785">
            <v>0</v>
          </cell>
        </row>
        <row r="786">
          <cell r="A786" t="str">
            <v>isf</v>
          </cell>
          <cell r="E786" t="str">
            <v>3042 Dagupan Ext., Brgy.184 Gagalangin Tondo Manila</v>
          </cell>
          <cell r="S786" t="str">
            <v>Male</v>
          </cell>
          <cell r="AK786" t="str">
            <v>ISF</v>
          </cell>
          <cell r="AN786">
            <v>0.75</v>
          </cell>
          <cell r="AQ786">
            <v>0</v>
          </cell>
          <cell r="AS786">
            <v>0</v>
          </cell>
          <cell r="BM786" t="str">
            <v>Residential</v>
          </cell>
          <cell r="BN786">
            <v>1</v>
          </cell>
          <cell r="BR786">
            <v>0.41666666666666663</v>
          </cell>
          <cell r="FQ786" t="str">
            <v>Need Displacement</v>
          </cell>
          <cell r="IB786">
            <v>0</v>
          </cell>
          <cell r="IC786">
            <v>0</v>
          </cell>
          <cell r="ID786">
            <v>0</v>
          </cell>
          <cell r="IE786">
            <v>0</v>
          </cell>
          <cell r="IP786">
            <v>0</v>
          </cell>
          <cell r="IR786">
            <v>0</v>
          </cell>
          <cell r="IT786">
            <v>0</v>
          </cell>
          <cell r="IU786">
            <v>0</v>
          </cell>
        </row>
        <row r="787">
          <cell r="A787" t="str">
            <v>isf</v>
          </cell>
          <cell r="E787" t="str">
            <v>3042 Dagupan Ext., Brgy.184 Gagalangin Tondo Manila</v>
          </cell>
          <cell r="S787" t="str">
            <v>Female</v>
          </cell>
          <cell r="AK787" t="str">
            <v>ISF</v>
          </cell>
          <cell r="AN787">
            <v>0.75</v>
          </cell>
          <cell r="AQ787">
            <v>0</v>
          </cell>
          <cell r="AS787">
            <v>0</v>
          </cell>
          <cell r="BM787" t="str">
            <v>Residential</v>
          </cell>
          <cell r="BN787">
            <v>2</v>
          </cell>
          <cell r="BR787">
            <v>1</v>
          </cell>
          <cell r="FQ787" t="str">
            <v>Need Displacement</v>
          </cell>
          <cell r="IB787">
            <v>0</v>
          </cell>
          <cell r="IC787" t="str">
            <v>Y</v>
          </cell>
          <cell r="ID787">
            <v>1</v>
          </cell>
          <cell r="IE787">
            <v>2</v>
          </cell>
          <cell r="IP787">
            <v>0</v>
          </cell>
          <cell r="IR787">
            <v>0</v>
          </cell>
          <cell r="IT787">
            <v>0</v>
          </cell>
          <cell r="IU787">
            <v>0</v>
          </cell>
        </row>
        <row r="788">
          <cell r="A788" t="str">
            <v>isf</v>
          </cell>
          <cell r="E788" t="str">
            <v>3042 Dagupan Ext., Brgy.184 Gagalangin Tondo Manila</v>
          </cell>
          <cell r="S788" t="str">
            <v>Male</v>
          </cell>
          <cell r="AK788" t="str">
            <v>ISF</v>
          </cell>
          <cell r="AN788">
            <v>0.75</v>
          </cell>
          <cell r="AQ788">
            <v>0</v>
          </cell>
          <cell r="AS788">
            <v>0</v>
          </cell>
          <cell r="BM788" t="str">
            <v>Residential</v>
          </cell>
          <cell r="BN788">
            <v>0</v>
          </cell>
          <cell r="BR788">
            <v>1</v>
          </cell>
          <cell r="FQ788" t="str">
            <v>Need Displacement</v>
          </cell>
          <cell r="IB788">
            <v>0</v>
          </cell>
          <cell r="IC788">
            <v>0</v>
          </cell>
          <cell r="ID788">
            <v>0</v>
          </cell>
          <cell r="IE788">
            <v>0</v>
          </cell>
          <cell r="IP788">
            <v>0</v>
          </cell>
          <cell r="IR788">
            <v>0</v>
          </cell>
          <cell r="IT788">
            <v>0</v>
          </cell>
          <cell r="IU788">
            <v>0</v>
          </cell>
        </row>
        <row r="789">
          <cell r="A789" t="str">
            <v>ISF</v>
          </cell>
          <cell r="E789" t="str">
            <v>3042 Dagupan Ext., Brgy.184 Gagalangin Tondo Manila</v>
          </cell>
          <cell r="S789" t="str">
            <v>Female</v>
          </cell>
          <cell r="AK789" t="str">
            <v>ISF</v>
          </cell>
          <cell r="AN789">
            <v>0.75</v>
          </cell>
          <cell r="AQ789">
            <v>0</v>
          </cell>
          <cell r="AS789">
            <v>0</v>
          </cell>
          <cell r="BM789" t="str">
            <v>Residential</v>
          </cell>
          <cell r="BN789">
            <v>0</v>
          </cell>
          <cell r="BR789">
            <v>0</v>
          </cell>
          <cell r="FQ789" t="str">
            <v>Need Displacement</v>
          </cell>
          <cell r="IB789">
            <v>0</v>
          </cell>
          <cell r="IC789">
            <v>0</v>
          </cell>
          <cell r="ID789">
            <v>0</v>
          </cell>
          <cell r="IE789">
            <v>0</v>
          </cell>
          <cell r="IP789">
            <v>0</v>
          </cell>
          <cell r="IR789">
            <v>0</v>
          </cell>
          <cell r="IT789">
            <v>0</v>
          </cell>
          <cell r="IU789">
            <v>0</v>
          </cell>
        </row>
        <row r="790">
          <cell r="A790" t="str">
            <v>isf</v>
          </cell>
          <cell r="E790" t="str">
            <v>3042 Dagupan Ext., Brgy.184 Gagalangin Tondo Manila</v>
          </cell>
          <cell r="S790" t="str">
            <v>Male</v>
          </cell>
          <cell r="AK790" t="str">
            <v>ISF</v>
          </cell>
          <cell r="AN790">
            <v>0.4</v>
          </cell>
          <cell r="AQ790">
            <v>0</v>
          </cell>
          <cell r="AS790">
            <v>0</v>
          </cell>
          <cell r="BM790" t="str">
            <v>Residential</v>
          </cell>
          <cell r="BN790">
            <v>0</v>
          </cell>
          <cell r="BR790">
            <v>0.4</v>
          </cell>
          <cell r="FQ790" t="str">
            <v>Need Displacement</v>
          </cell>
          <cell r="IB790">
            <v>0</v>
          </cell>
          <cell r="IC790">
            <v>0</v>
          </cell>
          <cell r="ID790">
            <v>0</v>
          </cell>
          <cell r="IE790">
            <v>1</v>
          </cell>
          <cell r="IP790">
            <v>0</v>
          </cell>
          <cell r="IR790">
            <v>0</v>
          </cell>
          <cell r="IT790">
            <v>0</v>
          </cell>
          <cell r="IU790">
            <v>0</v>
          </cell>
        </row>
        <row r="791">
          <cell r="A791" t="str">
            <v>isf</v>
          </cell>
          <cell r="E791" t="str">
            <v>3042 Dagupan Ext., Brgy.184 Gagalangin Tondo Manila</v>
          </cell>
          <cell r="S791" t="str">
            <v>Male</v>
          </cell>
          <cell r="AK791" t="str">
            <v>ISF</v>
          </cell>
          <cell r="AN791">
            <v>0.6</v>
          </cell>
          <cell r="AQ791">
            <v>0</v>
          </cell>
          <cell r="AS791">
            <v>0</v>
          </cell>
          <cell r="BM791" t="str">
            <v>Residential</v>
          </cell>
          <cell r="BN791">
            <v>1</v>
          </cell>
          <cell r="BR791">
            <v>0.6</v>
          </cell>
          <cell r="FQ791" t="str">
            <v>Need Displacement</v>
          </cell>
          <cell r="IB791">
            <v>0</v>
          </cell>
          <cell r="IC791">
            <v>0</v>
          </cell>
          <cell r="ID791">
            <v>0</v>
          </cell>
          <cell r="IE791">
            <v>1</v>
          </cell>
          <cell r="IP791">
            <v>0</v>
          </cell>
          <cell r="IR791">
            <v>0</v>
          </cell>
          <cell r="IT791">
            <v>0</v>
          </cell>
          <cell r="IU791">
            <v>0</v>
          </cell>
        </row>
        <row r="792">
          <cell r="A792" t="str">
            <v>isf</v>
          </cell>
          <cell r="E792" t="str">
            <v>3042 Dagupan Ext., Brgy.184 Gagalangin Tondo Manila</v>
          </cell>
          <cell r="S792" t="str">
            <v>Male</v>
          </cell>
          <cell r="AK792" t="str">
            <v>ISF</v>
          </cell>
          <cell r="AN792">
            <v>0.6</v>
          </cell>
          <cell r="AQ792">
            <v>0</v>
          </cell>
          <cell r="AS792">
            <v>0</v>
          </cell>
          <cell r="BM792" t="str">
            <v>Residential</v>
          </cell>
          <cell r="BN792">
            <v>1</v>
          </cell>
          <cell r="BR792">
            <v>0.22222222222222221</v>
          </cell>
          <cell r="FQ792" t="str">
            <v>Need Displacement</v>
          </cell>
          <cell r="IB792" t="str">
            <v>Y</v>
          </cell>
          <cell r="IC792">
            <v>0</v>
          </cell>
          <cell r="ID792">
            <v>1</v>
          </cell>
          <cell r="IE792">
            <v>0</v>
          </cell>
          <cell r="IP792">
            <v>0</v>
          </cell>
          <cell r="IR792">
            <v>0</v>
          </cell>
          <cell r="IT792">
            <v>0</v>
          </cell>
          <cell r="IU792">
            <v>0</v>
          </cell>
        </row>
        <row r="793">
          <cell r="A793" t="str">
            <v>ISf</v>
          </cell>
          <cell r="E793" t="str">
            <v>3038 Dagupan Ext., Brgy.184 Gagalangin Tondo Manila</v>
          </cell>
          <cell r="S793" t="str">
            <v>Female</v>
          </cell>
          <cell r="AK793" t="str">
            <v>ISF</v>
          </cell>
          <cell r="AN793">
            <v>0.18260869565217391</v>
          </cell>
          <cell r="AQ793">
            <v>0</v>
          </cell>
          <cell r="AS793">
            <v>0</v>
          </cell>
          <cell r="BM793" t="str">
            <v>Residential</v>
          </cell>
          <cell r="BN793">
            <v>1</v>
          </cell>
          <cell r="BR793">
            <v>0.13999999999999999</v>
          </cell>
          <cell r="FQ793" t="str">
            <v>Can Stay</v>
          </cell>
          <cell r="IB793">
            <v>0</v>
          </cell>
          <cell r="IC793" t="str">
            <v>Y</v>
          </cell>
          <cell r="ID793">
            <v>1</v>
          </cell>
          <cell r="IE793">
            <v>0</v>
          </cell>
          <cell r="IP793">
            <v>0</v>
          </cell>
          <cell r="IR793">
            <v>0</v>
          </cell>
          <cell r="IT793">
            <v>0</v>
          </cell>
          <cell r="IU793">
            <v>0</v>
          </cell>
        </row>
        <row r="794">
          <cell r="A794" t="str">
            <v>ISF</v>
          </cell>
          <cell r="E794" t="str">
            <v>3038 Dagupan Ext., Brgy.184 Gagalangin Tondo Manila</v>
          </cell>
          <cell r="S794" t="str">
            <v>Male</v>
          </cell>
          <cell r="AK794" t="str">
            <v>ISF</v>
          </cell>
          <cell r="AN794">
            <v>0.18260869565217391</v>
          </cell>
          <cell r="AQ794">
            <v>0</v>
          </cell>
          <cell r="AS794">
            <v>0</v>
          </cell>
          <cell r="BM794" t="str">
            <v>Residential</v>
          </cell>
          <cell r="BN794">
            <v>0</v>
          </cell>
          <cell r="BR794">
            <v>0.13999999999999999</v>
          </cell>
          <cell r="FQ794" t="str">
            <v>Can Stay</v>
          </cell>
          <cell r="IB794" t="str">
            <v>Y</v>
          </cell>
          <cell r="IC794">
            <v>0</v>
          </cell>
          <cell r="ID794">
            <v>0</v>
          </cell>
          <cell r="IE794">
            <v>0</v>
          </cell>
          <cell r="IP794">
            <v>0</v>
          </cell>
          <cell r="IR794">
            <v>0</v>
          </cell>
          <cell r="IT794">
            <v>0</v>
          </cell>
          <cell r="IU794">
            <v>0</v>
          </cell>
        </row>
        <row r="795">
          <cell r="A795" t="str">
            <v>ISF</v>
          </cell>
          <cell r="E795" t="str">
            <v>3038 Dagupan Ext., Brgy.184 Gagalangin Tondo Manila</v>
          </cell>
          <cell r="S795" t="str">
            <v>Male</v>
          </cell>
          <cell r="AK795" t="str">
            <v>ISF</v>
          </cell>
          <cell r="AN795">
            <v>0.18260869565217391</v>
          </cell>
          <cell r="AQ795">
            <v>0</v>
          </cell>
          <cell r="AS795">
            <v>0</v>
          </cell>
          <cell r="BM795" t="str">
            <v>Residential</v>
          </cell>
          <cell r="BN795">
            <v>0</v>
          </cell>
          <cell r="BR795">
            <v>0.13999999999999999</v>
          </cell>
          <cell r="FQ795" t="str">
            <v>Can Stay</v>
          </cell>
          <cell r="IB795" t="str">
            <v>Y</v>
          </cell>
          <cell r="IC795">
            <v>0</v>
          </cell>
          <cell r="ID795">
            <v>0</v>
          </cell>
          <cell r="IE795">
            <v>0</v>
          </cell>
          <cell r="IP795">
            <v>0</v>
          </cell>
          <cell r="IR795">
            <v>0</v>
          </cell>
          <cell r="IT795">
            <v>0</v>
          </cell>
          <cell r="IU795">
            <v>0</v>
          </cell>
        </row>
        <row r="796">
          <cell r="A796" t="str">
            <v>LEGAL</v>
          </cell>
          <cell r="E796" t="str">
            <v>3034 Dagupan Ext., Brgy.184 Tondo Manila</v>
          </cell>
          <cell r="S796" t="str">
            <v>Male</v>
          </cell>
          <cell r="AK796" t="str">
            <v>Land Lessee</v>
          </cell>
          <cell r="AN796">
            <v>0.76666666666666672</v>
          </cell>
          <cell r="AQ796">
            <v>0</v>
          </cell>
          <cell r="AS796" t="str">
            <v>Y</v>
          </cell>
          <cell r="BM796" t="str">
            <v>Residential</v>
          </cell>
          <cell r="BN796">
            <v>0</v>
          </cell>
          <cell r="BR796">
            <v>0.76519607843137261</v>
          </cell>
          <cell r="FQ796" t="str">
            <v>Need Displacement</v>
          </cell>
          <cell r="IB796">
            <v>0</v>
          </cell>
          <cell r="IC796">
            <v>0</v>
          </cell>
          <cell r="ID796">
            <v>0</v>
          </cell>
          <cell r="IE796">
            <v>0</v>
          </cell>
          <cell r="IP796">
            <v>0</v>
          </cell>
          <cell r="IR796">
            <v>0</v>
          </cell>
          <cell r="IT796">
            <v>0</v>
          </cell>
          <cell r="IU796">
            <v>0</v>
          </cell>
        </row>
        <row r="797">
          <cell r="A797" t="str">
            <v>isf</v>
          </cell>
          <cell r="E797" t="str">
            <v>3054 Dagupan Ext., Brgy.184 Gagalangin Tondo Manila</v>
          </cell>
          <cell r="S797" t="str">
            <v>Male</v>
          </cell>
          <cell r="AK797" t="str">
            <v>ISF</v>
          </cell>
          <cell r="AN797">
            <v>0.61904761904761907</v>
          </cell>
          <cell r="AQ797">
            <v>0</v>
          </cell>
          <cell r="AS797">
            <v>0</v>
          </cell>
          <cell r="BM797" t="str">
            <v>Residential</v>
          </cell>
          <cell r="BN797">
            <v>1</v>
          </cell>
          <cell r="BR797">
            <v>0.30952380952380953</v>
          </cell>
          <cell r="FQ797" t="str">
            <v>Need Displacement</v>
          </cell>
          <cell r="IB797">
            <v>0</v>
          </cell>
          <cell r="IC797">
            <v>0</v>
          </cell>
          <cell r="ID797">
            <v>0</v>
          </cell>
          <cell r="IE797">
            <v>0</v>
          </cell>
          <cell r="IP797" t="str">
            <v>Owner</v>
          </cell>
          <cell r="IR797" t="str">
            <v>Home/Small-scale Industry</v>
          </cell>
          <cell r="IT797" t="str">
            <v>x</v>
          </cell>
          <cell r="IU797">
            <v>0</v>
          </cell>
        </row>
        <row r="798">
          <cell r="A798" t="str">
            <v>legal</v>
          </cell>
          <cell r="E798" t="str">
            <v>3054 Dagupan Ext., Brgy.184 Gagalangin Tondo Manila</v>
          </cell>
          <cell r="S798" t="str">
            <v>Female</v>
          </cell>
          <cell r="AK798">
            <v>0</v>
          </cell>
          <cell r="AN798">
            <v>0.61904761904761907</v>
          </cell>
          <cell r="AQ798">
            <v>0</v>
          </cell>
          <cell r="AS798">
            <v>0</v>
          </cell>
          <cell r="BM798" t="str">
            <v>Residential</v>
          </cell>
          <cell r="BN798">
            <v>0</v>
          </cell>
          <cell r="BR798">
            <v>0.30952380952380953</v>
          </cell>
          <cell r="FQ798" t="str">
            <v>Need Displacement</v>
          </cell>
          <cell r="IB798" t="str">
            <v>Y</v>
          </cell>
          <cell r="IC798" t="str">
            <v>Y</v>
          </cell>
          <cell r="ID798">
            <v>0</v>
          </cell>
          <cell r="IE798">
            <v>0</v>
          </cell>
          <cell r="IP798">
            <v>0</v>
          </cell>
          <cell r="IR798">
            <v>0</v>
          </cell>
          <cell r="IT798">
            <v>0</v>
          </cell>
          <cell r="IU798">
            <v>0</v>
          </cell>
        </row>
        <row r="799">
          <cell r="A799" t="str">
            <v>legal</v>
          </cell>
          <cell r="E799" t="str">
            <v>3026 Dagupan Ext., Brgy.184 Gagalangin Tondo Manila</v>
          </cell>
          <cell r="S799" t="str">
            <v>Female</v>
          </cell>
          <cell r="AK799" t="str">
            <v>ISF</v>
          </cell>
          <cell r="AN799">
            <v>0.14556962025316456</v>
          </cell>
          <cell r="AQ799" t="str">
            <v>CMP</v>
          </cell>
          <cell r="AS799" t="str">
            <v>Y</v>
          </cell>
          <cell r="BM799" t="str">
            <v>Residential</v>
          </cell>
          <cell r="BN799">
            <v>0</v>
          </cell>
          <cell r="BR799">
            <v>0.14556962025316456</v>
          </cell>
          <cell r="FQ799" t="str">
            <v>Can Stay</v>
          </cell>
          <cell r="IB799">
            <v>0</v>
          </cell>
          <cell r="IC799" t="str">
            <v>Y</v>
          </cell>
          <cell r="ID799">
            <v>1</v>
          </cell>
          <cell r="IE799">
            <v>1</v>
          </cell>
          <cell r="IP799">
            <v>0</v>
          </cell>
          <cell r="IR799">
            <v>0</v>
          </cell>
          <cell r="IT799">
            <v>0</v>
          </cell>
          <cell r="IU799">
            <v>0</v>
          </cell>
        </row>
        <row r="800">
          <cell r="A800" t="str">
            <v>legal</v>
          </cell>
          <cell r="E800" t="str">
            <v>3026 Dagupan Ext., Brgy.184 Gagalangin Tondo Manila</v>
          </cell>
          <cell r="S800">
            <v>0</v>
          </cell>
          <cell r="AK800">
            <v>0</v>
          </cell>
          <cell r="AN800">
            <v>0.14556962025316456</v>
          </cell>
          <cell r="AQ800">
            <v>0</v>
          </cell>
          <cell r="AS800">
            <v>0</v>
          </cell>
          <cell r="BM800">
            <v>0</v>
          </cell>
          <cell r="BN800">
            <v>0</v>
          </cell>
          <cell r="BR800">
            <v>0</v>
          </cell>
          <cell r="FQ800">
            <v>0</v>
          </cell>
          <cell r="IB800">
            <v>0</v>
          </cell>
          <cell r="IC800">
            <v>0</v>
          </cell>
          <cell r="ID800">
            <v>0</v>
          </cell>
          <cell r="IE800">
            <v>0</v>
          </cell>
          <cell r="IP800">
            <v>0</v>
          </cell>
          <cell r="IR800">
            <v>0</v>
          </cell>
          <cell r="IT800">
            <v>0</v>
          </cell>
          <cell r="IU800">
            <v>0</v>
          </cell>
        </row>
        <row r="801">
          <cell r="A801" t="str">
            <v>LEGAL</v>
          </cell>
          <cell r="E801" t="str">
            <v>3022 Dagupan Ext., Brgy.184 Gagalangin Tondo Manila</v>
          </cell>
          <cell r="S801" t="str">
            <v>Male</v>
          </cell>
          <cell r="AK801" t="str">
            <v>ISF</v>
          </cell>
          <cell r="AN801">
            <v>0.184</v>
          </cell>
          <cell r="AQ801" t="str">
            <v>CMP</v>
          </cell>
          <cell r="AS801" t="str">
            <v>Y</v>
          </cell>
          <cell r="BM801" t="str">
            <v>Residential</v>
          </cell>
          <cell r="BN801">
            <v>2</v>
          </cell>
          <cell r="BR801">
            <v>0.184</v>
          </cell>
          <cell r="FQ801" t="str">
            <v>Can Stay</v>
          </cell>
          <cell r="IB801">
            <v>0</v>
          </cell>
          <cell r="IC801">
            <v>0</v>
          </cell>
          <cell r="ID801">
            <v>0</v>
          </cell>
          <cell r="IE801">
            <v>0</v>
          </cell>
          <cell r="IP801" t="str">
            <v>Owner</v>
          </cell>
          <cell r="IR801" t="str">
            <v>Home/Small-scale Industry</v>
          </cell>
          <cell r="IT801">
            <v>0</v>
          </cell>
          <cell r="IU801" t="str">
            <v>x</v>
          </cell>
        </row>
        <row r="802">
          <cell r="A802" t="str">
            <v>legal</v>
          </cell>
          <cell r="E802" t="str">
            <v>3022 Dagupan Ext., Brgy.184 Gagalangin Tondo Manila</v>
          </cell>
          <cell r="S802" t="str">
            <v>Male</v>
          </cell>
          <cell r="AK802">
            <v>0</v>
          </cell>
          <cell r="AN802">
            <v>0.184</v>
          </cell>
          <cell r="AQ802">
            <v>0</v>
          </cell>
          <cell r="AS802">
            <v>0</v>
          </cell>
          <cell r="BM802" t="str">
            <v>Residential</v>
          </cell>
          <cell r="BN802">
            <v>0</v>
          </cell>
          <cell r="BR802">
            <v>0</v>
          </cell>
          <cell r="FQ802" t="str">
            <v>Can Stay</v>
          </cell>
          <cell r="IB802">
            <v>0</v>
          </cell>
          <cell r="IC802" t="str">
            <v>Y</v>
          </cell>
          <cell r="ID802">
            <v>2</v>
          </cell>
          <cell r="IE802">
            <v>1</v>
          </cell>
          <cell r="IP802">
            <v>0</v>
          </cell>
          <cell r="IR802">
            <v>0</v>
          </cell>
          <cell r="IT802">
            <v>0</v>
          </cell>
          <cell r="IU802">
            <v>0</v>
          </cell>
        </row>
        <row r="803">
          <cell r="A803" t="str">
            <v>legal</v>
          </cell>
          <cell r="E803" t="str">
            <v>3022 Dagupan ext., Brgy.184 Gagalangin Tondo Manila</v>
          </cell>
          <cell r="S803" t="str">
            <v>Male</v>
          </cell>
          <cell r="AK803">
            <v>0</v>
          </cell>
          <cell r="AN803">
            <v>0.184</v>
          </cell>
          <cell r="AQ803">
            <v>0</v>
          </cell>
          <cell r="AS803">
            <v>0</v>
          </cell>
          <cell r="BM803" t="str">
            <v>Residential</v>
          </cell>
          <cell r="BN803">
            <v>0</v>
          </cell>
          <cell r="BR803">
            <v>0</v>
          </cell>
          <cell r="FQ803" t="str">
            <v>Can Stay</v>
          </cell>
          <cell r="IB803" t="str">
            <v>Y</v>
          </cell>
          <cell r="IC803">
            <v>0</v>
          </cell>
          <cell r="ID803">
            <v>0</v>
          </cell>
          <cell r="IE803">
            <v>0</v>
          </cell>
          <cell r="IP803">
            <v>0</v>
          </cell>
          <cell r="IR803">
            <v>0</v>
          </cell>
          <cell r="IT803">
            <v>0</v>
          </cell>
          <cell r="IU803">
            <v>0</v>
          </cell>
        </row>
        <row r="804">
          <cell r="A804" t="str">
            <v>ISF</v>
          </cell>
          <cell r="E804" t="str">
            <v>3810 Dagupan Ext., Brgy.184 Gagalangin Tondo Manila</v>
          </cell>
          <cell r="S804" t="str">
            <v>Female</v>
          </cell>
          <cell r="AK804" t="str">
            <v>ISF</v>
          </cell>
          <cell r="AN804">
            <v>0.13725490196078433</v>
          </cell>
          <cell r="AQ804">
            <v>0</v>
          </cell>
          <cell r="AS804">
            <v>0</v>
          </cell>
          <cell r="BM804" t="str">
            <v>Residential</v>
          </cell>
          <cell r="BN804">
            <v>1</v>
          </cell>
          <cell r="BR804">
            <v>0.13725490196078433</v>
          </cell>
          <cell r="FQ804" t="str">
            <v>Can Stay</v>
          </cell>
          <cell r="IB804">
            <v>0</v>
          </cell>
          <cell r="IC804" t="str">
            <v>Y</v>
          </cell>
          <cell r="ID804">
            <v>1</v>
          </cell>
          <cell r="IE804">
            <v>1</v>
          </cell>
          <cell r="IP804" t="str">
            <v>Owner</v>
          </cell>
          <cell r="IR804" t="str">
            <v>Home/Small-scale Industry</v>
          </cell>
          <cell r="IT804">
            <v>0</v>
          </cell>
          <cell r="IU804">
            <v>0</v>
          </cell>
        </row>
        <row r="805">
          <cell r="A805" t="str">
            <v>LEGAL</v>
          </cell>
          <cell r="E805" t="str">
            <v>3810 Dagupan Ext., Brgy.184 Gagalangin Tondo Manila</v>
          </cell>
          <cell r="S805" t="str">
            <v>Male</v>
          </cell>
          <cell r="AK805">
            <v>0</v>
          </cell>
          <cell r="AN805">
            <v>0.13725490196078433</v>
          </cell>
          <cell r="AQ805">
            <v>0</v>
          </cell>
          <cell r="AS805">
            <v>0</v>
          </cell>
          <cell r="BM805" t="str">
            <v>Residential</v>
          </cell>
          <cell r="BN805">
            <v>0</v>
          </cell>
          <cell r="BR805">
            <v>0</v>
          </cell>
          <cell r="FQ805" t="str">
            <v>Can Stay</v>
          </cell>
          <cell r="IB805" t="str">
            <v>Y</v>
          </cell>
          <cell r="IC805">
            <v>0</v>
          </cell>
          <cell r="ID805">
            <v>0</v>
          </cell>
          <cell r="IE805">
            <v>0</v>
          </cell>
          <cell r="IP805">
            <v>0</v>
          </cell>
          <cell r="IR805">
            <v>0</v>
          </cell>
          <cell r="IT805">
            <v>0</v>
          </cell>
          <cell r="IU805">
            <v>0</v>
          </cell>
        </row>
        <row r="806">
          <cell r="A806" t="str">
            <v>legal</v>
          </cell>
          <cell r="E806" t="str">
            <v>3814 Dagupan Ext., Brgy.184 Gagalangin Tondo Manila</v>
          </cell>
          <cell r="S806" t="str">
            <v>Male</v>
          </cell>
          <cell r="AK806" t="str">
            <v>Land Lessee</v>
          </cell>
          <cell r="AN806">
            <v>0.87307692307692319</v>
          </cell>
          <cell r="AQ806">
            <v>0</v>
          </cell>
          <cell r="AS806" t="str">
            <v>Y</v>
          </cell>
          <cell r="BM806" t="str">
            <v>Residential</v>
          </cell>
          <cell r="BN806">
            <v>0</v>
          </cell>
          <cell r="BR806">
            <v>0.87307692307692319</v>
          </cell>
          <cell r="FQ806" t="str">
            <v>Need Displacement</v>
          </cell>
          <cell r="IB806">
            <v>0</v>
          </cell>
          <cell r="IC806">
            <v>0</v>
          </cell>
          <cell r="ID806">
            <v>0</v>
          </cell>
          <cell r="IE806">
            <v>0</v>
          </cell>
          <cell r="IP806" t="str">
            <v>Owner</v>
          </cell>
          <cell r="IR806" t="str">
            <v>Home/Small-scale Industry</v>
          </cell>
          <cell r="IT806">
            <v>0</v>
          </cell>
          <cell r="IU806" t="str">
            <v>x</v>
          </cell>
        </row>
        <row r="807">
          <cell r="A807" t="str">
            <v>legal</v>
          </cell>
          <cell r="E807" t="str">
            <v>3014 Dagupan Ext., Brgy.184 Zone.16 Gagalangin Tondo Manila</v>
          </cell>
          <cell r="S807" t="str">
            <v>Male</v>
          </cell>
          <cell r="AK807">
            <v>0</v>
          </cell>
          <cell r="AN807">
            <v>0.87307692307692319</v>
          </cell>
          <cell r="AQ807">
            <v>0</v>
          </cell>
          <cell r="AS807">
            <v>0</v>
          </cell>
          <cell r="BM807" t="str">
            <v>Residential</v>
          </cell>
          <cell r="BN807">
            <v>0</v>
          </cell>
          <cell r="BR807">
            <v>0.87307692307692319</v>
          </cell>
          <cell r="FQ807" t="str">
            <v>Need Displacement</v>
          </cell>
          <cell r="IB807">
            <v>0</v>
          </cell>
          <cell r="IC807">
            <v>0</v>
          </cell>
          <cell r="ID807">
            <v>0</v>
          </cell>
          <cell r="IE807">
            <v>0</v>
          </cell>
          <cell r="IP807">
            <v>0</v>
          </cell>
          <cell r="IR807">
            <v>0</v>
          </cell>
          <cell r="IT807">
            <v>0</v>
          </cell>
          <cell r="IU807">
            <v>0</v>
          </cell>
        </row>
        <row r="808">
          <cell r="A808" t="str">
            <v>legal-x</v>
          </cell>
          <cell r="E808" t="str">
            <v>3810 Dagupan Ext., Brgy.184 Gagalangin Tondo Manila</v>
          </cell>
          <cell r="S808" t="str">
            <v>Female</v>
          </cell>
          <cell r="AK808" t="str">
            <v>ISF</v>
          </cell>
          <cell r="AN808">
            <v>0.87619047619047608</v>
          </cell>
          <cell r="AQ808">
            <v>0</v>
          </cell>
          <cell r="AS808" t="str">
            <v>Y</v>
          </cell>
          <cell r="BM808" t="str">
            <v>Residential</v>
          </cell>
          <cell r="BN808">
            <v>1</v>
          </cell>
          <cell r="BR808">
            <v>0.89999999999999991</v>
          </cell>
          <cell r="FQ808" t="str">
            <v>Need Displacement</v>
          </cell>
          <cell r="IB808">
            <v>0</v>
          </cell>
          <cell r="IC808" t="str">
            <v>Y</v>
          </cell>
          <cell r="ID808">
            <v>1</v>
          </cell>
          <cell r="IE808">
            <v>0</v>
          </cell>
          <cell r="IP808">
            <v>0</v>
          </cell>
          <cell r="IR808">
            <v>0</v>
          </cell>
          <cell r="IT808">
            <v>0</v>
          </cell>
          <cell r="IU808">
            <v>0</v>
          </cell>
        </row>
        <row r="809">
          <cell r="A809" t="str">
            <v>ISF</v>
          </cell>
          <cell r="E809" t="str">
            <v>3004 Dagupan Ext., Brgy.184 Gagalangin Tondo Manila</v>
          </cell>
          <cell r="S809" t="str">
            <v>Male</v>
          </cell>
          <cell r="AK809" t="str">
            <v>ISF</v>
          </cell>
          <cell r="AN809">
            <v>0.16129032258064516</v>
          </cell>
          <cell r="AQ809">
            <v>0</v>
          </cell>
          <cell r="AS809">
            <v>0</v>
          </cell>
          <cell r="BM809" t="str">
            <v>Residential</v>
          </cell>
          <cell r="BN809">
            <v>1</v>
          </cell>
          <cell r="BR809">
            <v>0.16129032258064516</v>
          </cell>
          <cell r="FQ809" t="str">
            <v>Can Stay</v>
          </cell>
          <cell r="IB809">
            <v>0</v>
          </cell>
          <cell r="IC809">
            <v>0</v>
          </cell>
          <cell r="ID809">
            <v>0</v>
          </cell>
          <cell r="IE809">
            <v>0</v>
          </cell>
          <cell r="IP809">
            <v>0</v>
          </cell>
          <cell r="IR809">
            <v>0</v>
          </cell>
          <cell r="IT809">
            <v>0</v>
          </cell>
          <cell r="IU809">
            <v>0</v>
          </cell>
        </row>
        <row r="810">
          <cell r="A810" t="str">
            <v>ISF</v>
          </cell>
          <cell r="E810" t="str">
            <v>3004 Dagupan Ext., Brgy.184 Gagalangin Tondo Manila</v>
          </cell>
          <cell r="S810" t="str">
            <v>Male</v>
          </cell>
          <cell r="AK810" t="str">
            <v>ISF</v>
          </cell>
          <cell r="AN810">
            <v>0.16129032258064516</v>
          </cell>
          <cell r="AQ810">
            <v>0</v>
          </cell>
          <cell r="AS810">
            <v>0</v>
          </cell>
          <cell r="BM810" t="str">
            <v>Residential</v>
          </cell>
          <cell r="BN810">
            <v>0</v>
          </cell>
          <cell r="BR810">
            <v>0.16129032258064516</v>
          </cell>
          <cell r="FQ810" t="str">
            <v>Can Stay</v>
          </cell>
          <cell r="IB810">
            <v>0</v>
          </cell>
          <cell r="IC810">
            <v>0</v>
          </cell>
          <cell r="ID810">
            <v>1</v>
          </cell>
          <cell r="IE810">
            <v>1</v>
          </cell>
          <cell r="IP810">
            <v>0</v>
          </cell>
          <cell r="IR810">
            <v>0</v>
          </cell>
          <cell r="IT810">
            <v>0</v>
          </cell>
          <cell r="IU810">
            <v>0</v>
          </cell>
        </row>
        <row r="811">
          <cell r="A811" t="str">
            <v>ISF</v>
          </cell>
          <cell r="E811" t="str">
            <v>3004 Dagupan Ext., Brgy.184 Gagalangin Tondo Manila</v>
          </cell>
          <cell r="S811" t="str">
            <v>Female</v>
          </cell>
          <cell r="AK811" t="str">
            <v>ISF</v>
          </cell>
          <cell r="AN811">
            <v>0.16129032258064516</v>
          </cell>
          <cell r="AQ811">
            <v>0</v>
          </cell>
          <cell r="AS811">
            <v>0</v>
          </cell>
          <cell r="BM811" t="str">
            <v>Residential</v>
          </cell>
          <cell r="BN811">
            <v>0</v>
          </cell>
          <cell r="BR811">
            <v>0</v>
          </cell>
          <cell r="FQ811" t="str">
            <v>Can Stay</v>
          </cell>
          <cell r="IB811" t="str">
            <v>Y</v>
          </cell>
          <cell r="IC811" t="str">
            <v>Y</v>
          </cell>
          <cell r="ID811">
            <v>0</v>
          </cell>
          <cell r="IE811">
            <v>0</v>
          </cell>
          <cell r="IP811">
            <v>0</v>
          </cell>
          <cell r="IR811">
            <v>0</v>
          </cell>
          <cell r="IT811">
            <v>0</v>
          </cell>
          <cell r="IU811">
            <v>0</v>
          </cell>
        </row>
        <row r="812">
          <cell r="A812" t="str">
            <v>ISF-X</v>
          </cell>
          <cell r="E812" t="str">
            <v>3002 Dagupan Ext., Brgy.184 Gagalangin Tondo Manila</v>
          </cell>
          <cell r="S812">
            <v>0</v>
          </cell>
          <cell r="AK812" t="str">
            <v>ISF</v>
          </cell>
          <cell r="AN812">
            <v>0.1330120481927711</v>
          </cell>
          <cell r="AQ812">
            <v>0</v>
          </cell>
          <cell r="AS812">
            <v>0</v>
          </cell>
          <cell r="BM812">
            <v>0</v>
          </cell>
          <cell r="BN812">
            <v>0</v>
          </cell>
          <cell r="BR812">
            <v>0</v>
          </cell>
          <cell r="FQ812">
            <v>0</v>
          </cell>
          <cell r="IB812">
            <v>0</v>
          </cell>
          <cell r="IC812">
            <v>0</v>
          </cell>
          <cell r="ID812">
            <v>0</v>
          </cell>
          <cell r="IE812">
            <v>0</v>
          </cell>
          <cell r="IP812">
            <v>0</v>
          </cell>
          <cell r="IR812">
            <v>0</v>
          </cell>
          <cell r="IT812">
            <v>0</v>
          </cell>
          <cell r="IU812">
            <v>0</v>
          </cell>
        </row>
        <row r="813">
          <cell r="A813" t="str">
            <v>isf</v>
          </cell>
          <cell r="E813" t="str">
            <v>2996 Dagupan Ext., Brgy.184 Gagalangin Tondo Manila</v>
          </cell>
          <cell r="S813">
            <v>0</v>
          </cell>
          <cell r="AK813" t="str">
            <v>ISF</v>
          </cell>
          <cell r="AN813">
            <v>0.41666666666666669</v>
          </cell>
          <cell r="AQ813">
            <v>0</v>
          </cell>
          <cell r="AS813">
            <v>0</v>
          </cell>
          <cell r="BM813" t="str">
            <v>Residential</v>
          </cell>
          <cell r="BN813">
            <v>0</v>
          </cell>
          <cell r="BR813">
            <v>0.41666666666666669</v>
          </cell>
          <cell r="FQ813" t="str">
            <v>Need Displacement</v>
          </cell>
          <cell r="IB813">
            <v>0</v>
          </cell>
          <cell r="IC813">
            <v>0</v>
          </cell>
          <cell r="ID813">
            <v>0</v>
          </cell>
          <cell r="IE813">
            <v>0</v>
          </cell>
          <cell r="IP813">
            <v>0</v>
          </cell>
          <cell r="IR813">
            <v>0</v>
          </cell>
          <cell r="IT813">
            <v>0</v>
          </cell>
          <cell r="IU813">
            <v>0</v>
          </cell>
        </row>
        <row r="814">
          <cell r="A814" t="str">
            <v>legal</v>
          </cell>
          <cell r="E814" t="str">
            <v>2994 Dagupan Ext., Brgy.184 Gagalangin Tondo Manila</v>
          </cell>
          <cell r="S814">
            <v>0</v>
          </cell>
          <cell r="AK814" t="str">
            <v>ISF</v>
          </cell>
          <cell r="AN814">
            <v>0.68292682926829262</v>
          </cell>
          <cell r="AQ814" t="str">
            <v>Butaw (Ass'n)</v>
          </cell>
          <cell r="AS814" t="str">
            <v>Y</v>
          </cell>
          <cell r="BM814" t="str">
            <v>ABSENTEE</v>
          </cell>
          <cell r="BN814">
            <v>0</v>
          </cell>
          <cell r="BR814">
            <v>0</v>
          </cell>
          <cell r="FQ814">
            <v>0</v>
          </cell>
          <cell r="IB814">
            <v>0</v>
          </cell>
          <cell r="IC814">
            <v>0</v>
          </cell>
          <cell r="ID814">
            <v>0</v>
          </cell>
          <cell r="IE814">
            <v>0</v>
          </cell>
          <cell r="IP814">
            <v>0</v>
          </cell>
          <cell r="IR814">
            <v>0</v>
          </cell>
          <cell r="IT814">
            <v>0</v>
          </cell>
          <cell r="IU814">
            <v>0</v>
          </cell>
        </row>
        <row r="815">
          <cell r="A815" t="str">
            <v>legal</v>
          </cell>
          <cell r="E815" t="str">
            <v>2994 Dagupan Ext., Brgy.184 Gagalangin Tondo Manila</v>
          </cell>
          <cell r="S815" t="str">
            <v>Male</v>
          </cell>
          <cell r="AK815" t="str">
            <v>ISF</v>
          </cell>
          <cell r="AN815">
            <v>0.68292682926829262</v>
          </cell>
          <cell r="AQ815" t="str">
            <v>CMP</v>
          </cell>
          <cell r="AS815" t="str">
            <v>Y</v>
          </cell>
          <cell r="BM815" t="str">
            <v>Residential</v>
          </cell>
          <cell r="BN815">
            <v>1</v>
          </cell>
          <cell r="BR815">
            <v>0.68292682926829262</v>
          </cell>
          <cell r="FQ815" t="str">
            <v>Need Displacement</v>
          </cell>
          <cell r="IB815" t="str">
            <v>Y</v>
          </cell>
          <cell r="IC815">
            <v>0</v>
          </cell>
          <cell r="ID815">
            <v>0</v>
          </cell>
          <cell r="IE815">
            <v>2</v>
          </cell>
          <cell r="IP815">
            <v>0</v>
          </cell>
          <cell r="IR815">
            <v>0</v>
          </cell>
          <cell r="IT815">
            <v>0</v>
          </cell>
          <cell r="IU815">
            <v>0</v>
          </cell>
        </row>
        <row r="816">
          <cell r="A816" t="str">
            <v>legal</v>
          </cell>
          <cell r="E816" t="str">
            <v>2990 Dagupan Ext., Brgy.184 Gagalangin Tondo Manila</v>
          </cell>
          <cell r="S816" t="str">
            <v>Female</v>
          </cell>
          <cell r="AK816" t="str">
            <v>ISF</v>
          </cell>
          <cell r="AN816">
            <v>0.34883720930232559</v>
          </cell>
          <cell r="AQ816" t="str">
            <v>CMP</v>
          </cell>
          <cell r="AS816" t="str">
            <v>Y</v>
          </cell>
          <cell r="BM816" t="str">
            <v>Residential</v>
          </cell>
          <cell r="BN816">
            <v>0</v>
          </cell>
          <cell r="BR816">
            <v>0.35123042505592839</v>
          </cell>
          <cell r="FQ816" t="str">
            <v>Need Displacement</v>
          </cell>
          <cell r="IB816">
            <v>0</v>
          </cell>
          <cell r="IC816">
            <v>0</v>
          </cell>
          <cell r="ID816">
            <v>0</v>
          </cell>
          <cell r="IE816">
            <v>1</v>
          </cell>
          <cell r="IP816">
            <v>0</v>
          </cell>
          <cell r="IR816">
            <v>0</v>
          </cell>
          <cell r="IT816">
            <v>0</v>
          </cell>
          <cell r="IU816">
            <v>0</v>
          </cell>
        </row>
        <row r="817">
          <cell r="A817" t="str">
            <v>LEGAL</v>
          </cell>
          <cell r="E817" t="str">
            <v>2990 Dagupan Ext., Brgy.184 Gagalangin Tondo Manila</v>
          </cell>
          <cell r="S817">
            <v>0</v>
          </cell>
          <cell r="AK817" t="str">
            <v>ISF</v>
          </cell>
          <cell r="AN817">
            <v>0.48</v>
          </cell>
          <cell r="AQ817" t="str">
            <v>CMP</v>
          </cell>
          <cell r="AS817" t="str">
            <v>Y</v>
          </cell>
          <cell r="BM817" t="str">
            <v>Residential</v>
          </cell>
          <cell r="BN817">
            <v>0</v>
          </cell>
          <cell r="BR817">
            <v>8.6956521739130432E-2</v>
          </cell>
          <cell r="FQ817" t="str">
            <v>Can Stay</v>
          </cell>
          <cell r="IB817">
            <v>0</v>
          </cell>
          <cell r="IC817">
            <v>0</v>
          </cell>
          <cell r="ID817">
            <v>0</v>
          </cell>
          <cell r="IE817">
            <v>0</v>
          </cell>
          <cell r="IP817">
            <v>0</v>
          </cell>
          <cell r="IR817">
            <v>0</v>
          </cell>
          <cell r="IT817">
            <v>0</v>
          </cell>
          <cell r="IU817">
            <v>0</v>
          </cell>
        </row>
        <row r="818">
          <cell r="A818" t="str">
            <v>isf</v>
          </cell>
          <cell r="E818" t="str">
            <v>2980 Dagupan ext., Brgy.184 Gagalangin Tondo Manila</v>
          </cell>
          <cell r="S818">
            <v>0</v>
          </cell>
          <cell r="AK818" t="str">
            <v>ISF</v>
          </cell>
          <cell r="AN818">
            <v>6.7307692307692304E-2</v>
          </cell>
          <cell r="AQ818">
            <v>0</v>
          </cell>
          <cell r="AS818">
            <v>0</v>
          </cell>
          <cell r="BM818" t="str">
            <v>ABSENTEE</v>
          </cell>
          <cell r="BN818">
            <v>0</v>
          </cell>
          <cell r="BR818">
            <v>0</v>
          </cell>
          <cell r="FQ818">
            <v>0</v>
          </cell>
          <cell r="IB818">
            <v>0</v>
          </cell>
          <cell r="IC818">
            <v>0</v>
          </cell>
          <cell r="ID818">
            <v>0</v>
          </cell>
          <cell r="IE818">
            <v>0</v>
          </cell>
          <cell r="IP818">
            <v>0</v>
          </cell>
          <cell r="IR818">
            <v>0</v>
          </cell>
          <cell r="IT818">
            <v>0</v>
          </cell>
          <cell r="IU818">
            <v>0</v>
          </cell>
        </row>
        <row r="819">
          <cell r="A819" t="str">
            <v>ISF</v>
          </cell>
          <cell r="E819" t="str">
            <v>2980 Dagupan ext., Brgy.184 Gagalangin Tondo Manila</v>
          </cell>
          <cell r="S819">
            <v>0</v>
          </cell>
          <cell r="AK819" t="str">
            <v>ISF</v>
          </cell>
          <cell r="AN819">
            <v>6.7307692307692304E-2</v>
          </cell>
          <cell r="AQ819">
            <v>0</v>
          </cell>
          <cell r="AS819">
            <v>0</v>
          </cell>
          <cell r="BM819" t="str">
            <v>Residential</v>
          </cell>
          <cell r="BN819">
            <v>0</v>
          </cell>
          <cell r="BR819">
            <v>6.7326435747488381E-2</v>
          </cell>
          <cell r="FQ819" t="str">
            <v>Can Stay</v>
          </cell>
          <cell r="IB819">
            <v>0</v>
          </cell>
          <cell r="IC819">
            <v>0</v>
          </cell>
          <cell r="ID819">
            <v>0</v>
          </cell>
          <cell r="IE819">
            <v>0</v>
          </cell>
          <cell r="IP819">
            <v>0</v>
          </cell>
          <cell r="IR819">
            <v>0</v>
          </cell>
          <cell r="IT819">
            <v>0</v>
          </cell>
          <cell r="IU819">
            <v>0</v>
          </cell>
        </row>
        <row r="820">
          <cell r="A820" t="str">
            <v>ISF</v>
          </cell>
          <cell r="E820" t="str">
            <v>2982 Dagupan Ext., Brgy.184 Gagalangin Tondo Manila</v>
          </cell>
          <cell r="S820" t="str">
            <v>Female</v>
          </cell>
          <cell r="AK820" t="str">
            <v>ISF</v>
          </cell>
          <cell r="AN820">
            <v>5.4285714285714284E-2</v>
          </cell>
          <cell r="AQ820">
            <v>0</v>
          </cell>
          <cell r="AS820">
            <v>0</v>
          </cell>
          <cell r="BM820" t="str">
            <v>Residential</v>
          </cell>
          <cell r="BN820">
            <v>0</v>
          </cell>
          <cell r="BR820">
            <v>6.6666666666666666E-2</v>
          </cell>
          <cell r="FQ820" t="str">
            <v>Can Stay</v>
          </cell>
          <cell r="IB820">
            <v>0</v>
          </cell>
          <cell r="IC820" t="str">
            <v>Y</v>
          </cell>
          <cell r="ID820">
            <v>0</v>
          </cell>
          <cell r="IE820">
            <v>1</v>
          </cell>
          <cell r="IP820" t="str">
            <v>Owner</v>
          </cell>
          <cell r="IR820" t="str">
            <v>Home/Small-scale Industry</v>
          </cell>
          <cell r="IT820" t="str">
            <v>x</v>
          </cell>
          <cell r="IU820">
            <v>0</v>
          </cell>
        </row>
        <row r="821">
          <cell r="A821" t="str">
            <v>isf</v>
          </cell>
          <cell r="E821" t="str">
            <v>2982 Dagupan Ext., Brgy.184 Gagalangin Tondo Manila</v>
          </cell>
          <cell r="S821" t="str">
            <v>Male</v>
          </cell>
          <cell r="AK821" t="str">
            <v>ISF</v>
          </cell>
          <cell r="AN821">
            <v>5.4285714285714284E-2</v>
          </cell>
          <cell r="AQ821">
            <v>0</v>
          </cell>
          <cell r="AS821">
            <v>0</v>
          </cell>
          <cell r="BM821" t="str">
            <v>Residential</v>
          </cell>
          <cell r="BN821">
            <v>0</v>
          </cell>
          <cell r="BR821">
            <v>6.6666666666666666E-2</v>
          </cell>
          <cell r="FQ821" t="str">
            <v>Can Stay</v>
          </cell>
          <cell r="IB821">
            <v>0</v>
          </cell>
          <cell r="IC821">
            <v>0</v>
          </cell>
          <cell r="ID821">
            <v>0</v>
          </cell>
          <cell r="IE821">
            <v>0</v>
          </cell>
          <cell r="IP821">
            <v>0</v>
          </cell>
          <cell r="IR821">
            <v>0</v>
          </cell>
          <cell r="IT821">
            <v>0</v>
          </cell>
          <cell r="IU821">
            <v>0</v>
          </cell>
        </row>
        <row r="822">
          <cell r="A822">
            <v>0</v>
          </cell>
          <cell r="E822" t="str">
            <v>2982 Dagupan Ext., Brgy.184 Gagalangin Tondo Manila</v>
          </cell>
          <cell r="S822">
            <v>0</v>
          </cell>
          <cell r="AK822" t="str">
            <v>ISF</v>
          </cell>
          <cell r="AN822">
            <v>5.4285714285714284E-2</v>
          </cell>
          <cell r="AQ822">
            <v>0</v>
          </cell>
          <cell r="AS822">
            <v>0</v>
          </cell>
          <cell r="BM822" t="str">
            <v>Residential</v>
          </cell>
          <cell r="BN822">
            <v>0</v>
          </cell>
          <cell r="BR822">
            <v>6.6666666666666666E-2</v>
          </cell>
          <cell r="FQ822" t="str">
            <v>Can Stay</v>
          </cell>
          <cell r="IB822">
            <v>0</v>
          </cell>
          <cell r="IC822">
            <v>0</v>
          </cell>
          <cell r="ID822">
            <v>0</v>
          </cell>
          <cell r="IE822">
            <v>0</v>
          </cell>
          <cell r="IP822">
            <v>0</v>
          </cell>
          <cell r="IR822">
            <v>0</v>
          </cell>
          <cell r="IT822">
            <v>0</v>
          </cell>
          <cell r="IU822">
            <v>0</v>
          </cell>
        </row>
        <row r="823">
          <cell r="A823">
            <v>0</v>
          </cell>
          <cell r="E823" t="str">
            <v>2982 Dagupan Ext., Brgy.184 Gagalangin Tondo Manila</v>
          </cell>
          <cell r="S823" t="str">
            <v>Female</v>
          </cell>
          <cell r="AK823" t="str">
            <v>ISF</v>
          </cell>
          <cell r="AN823">
            <v>5.4285714285714284E-2</v>
          </cell>
          <cell r="AQ823">
            <v>0</v>
          </cell>
          <cell r="AS823">
            <v>0</v>
          </cell>
          <cell r="BM823" t="str">
            <v>Residential</v>
          </cell>
          <cell r="BN823">
            <v>0</v>
          </cell>
          <cell r="BR823">
            <v>6.6666666666666666E-2</v>
          </cell>
          <cell r="FQ823" t="str">
            <v>Can Stay</v>
          </cell>
          <cell r="IB823">
            <v>0</v>
          </cell>
          <cell r="IC823">
            <v>0</v>
          </cell>
          <cell r="ID823">
            <v>0</v>
          </cell>
          <cell r="IE823">
            <v>0</v>
          </cell>
          <cell r="IP823">
            <v>0</v>
          </cell>
          <cell r="IR823">
            <v>0</v>
          </cell>
          <cell r="IT823">
            <v>0</v>
          </cell>
          <cell r="IU823">
            <v>0</v>
          </cell>
        </row>
        <row r="824">
          <cell r="A824">
            <v>0</v>
          </cell>
          <cell r="AQ824">
            <v>0</v>
          </cell>
          <cell r="BM824">
            <v>0</v>
          </cell>
          <cell r="BN824">
            <v>0</v>
          </cell>
        </row>
        <row r="825">
          <cell r="A825">
            <v>0</v>
          </cell>
          <cell r="AQ825">
            <v>0</v>
          </cell>
          <cell r="BM825">
            <v>0</v>
          </cell>
          <cell r="BN825">
            <v>0</v>
          </cell>
        </row>
        <row r="826">
          <cell r="A826">
            <v>0</v>
          </cell>
          <cell r="AQ826">
            <v>0</v>
          </cell>
          <cell r="BM826">
            <v>0</v>
          </cell>
          <cell r="BN826">
            <v>0</v>
          </cell>
        </row>
        <row r="827">
          <cell r="A827">
            <v>0</v>
          </cell>
          <cell r="AQ827">
            <v>0</v>
          </cell>
          <cell r="BM827">
            <v>0</v>
          </cell>
          <cell r="BN827">
            <v>0</v>
          </cell>
        </row>
        <row r="828">
          <cell r="A828">
            <v>0</v>
          </cell>
          <cell r="AQ828">
            <v>0</v>
          </cell>
          <cell r="BM828">
            <v>0</v>
          </cell>
          <cell r="BN828">
            <v>0</v>
          </cell>
        </row>
        <row r="829">
          <cell r="A829">
            <v>0</v>
          </cell>
          <cell r="AQ829">
            <v>0</v>
          </cell>
          <cell r="BM829">
            <v>0</v>
          </cell>
          <cell r="BN829">
            <v>0</v>
          </cell>
        </row>
        <row r="830">
          <cell r="A830">
            <v>0</v>
          </cell>
          <cell r="AQ830">
            <v>0</v>
          </cell>
          <cell r="BM830">
            <v>0</v>
          </cell>
          <cell r="BN830">
            <v>0</v>
          </cell>
        </row>
        <row r="831">
          <cell r="E831">
            <v>0</v>
          </cell>
          <cell r="S831">
            <v>0</v>
          </cell>
          <cell r="AK831">
            <v>0</v>
          </cell>
          <cell r="AN831">
            <v>0</v>
          </cell>
          <cell r="AQ831">
            <v>0</v>
          </cell>
          <cell r="AS831">
            <v>0</v>
          </cell>
          <cell r="BM831">
            <v>0</v>
          </cell>
          <cell r="BN831">
            <v>0</v>
          </cell>
          <cell r="BR831">
            <v>0</v>
          </cell>
          <cell r="FQ831">
            <v>0</v>
          </cell>
          <cell r="IB831">
            <v>0</v>
          </cell>
          <cell r="IC831">
            <v>0</v>
          </cell>
          <cell r="ID831">
            <v>0</v>
          </cell>
          <cell r="IE831">
            <v>0</v>
          </cell>
          <cell r="IP831">
            <v>0</v>
          </cell>
          <cell r="IR831">
            <v>0</v>
          </cell>
          <cell r="IT831">
            <v>0</v>
          </cell>
          <cell r="IU831">
            <v>0</v>
          </cell>
        </row>
        <row r="832">
          <cell r="E832">
            <v>0</v>
          </cell>
          <cell r="S832">
            <v>0</v>
          </cell>
          <cell r="AK832">
            <v>0</v>
          </cell>
          <cell r="AN832">
            <v>0</v>
          </cell>
          <cell r="AQ832">
            <v>0</v>
          </cell>
          <cell r="AS832">
            <v>0</v>
          </cell>
          <cell r="BM832">
            <v>0</v>
          </cell>
          <cell r="BN832">
            <v>0</v>
          </cell>
          <cell r="BR832">
            <v>0</v>
          </cell>
          <cell r="FQ832">
            <v>0</v>
          </cell>
          <cell r="IB832">
            <v>0</v>
          </cell>
          <cell r="IC832">
            <v>0</v>
          </cell>
          <cell r="ID832">
            <v>0</v>
          </cell>
          <cell r="IE832">
            <v>0</v>
          </cell>
          <cell r="IP832">
            <v>0</v>
          </cell>
          <cell r="IR832">
            <v>0</v>
          </cell>
          <cell r="IT832">
            <v>0</v>
          </cell>
          <cell r="IU832">
            <v>0</v>
          </cell>
        </row>
        <row r="833">
          <cell r="E833">
            <v>808</v>
          </cell>
          <cell r="S833">
            <v>531</v>
          </cell>
          <cell r="AK833">
            <v>657</v>
          </cell>
          <cell r="AN833">
            <v>487</v>
          </cell>
          <cell r="AS833">
            <v>251</v>
          </cell>
          <cell r="BM833">
            <v>688</v>
          </cell>
          <cell r="BN833">
            <v>176</v>
          </cell>
          <cell r="FQ833">
            <v>564</v>
          </cell>
          <cell r="IB833">
            <v>228</v>
          </cell>
          <cell r="IC833">
            <v>178</v>
          </cell>
          <cell r="ID833">
            <v>164</v>
          </cell>
          <cell r="IE833">
            <v>103</v>
          </cell>
          <cell r="IP833">
            <v>156</v>
          </cell>
          <cell r="IR833">
            <v>168</v>
          </cell>
          <cell r="IT833">
            <v>39</v>
          </cell>
          <cell r="IU833">
            <v>96</v>
          </cell>
        </row>
        <row r="834">
          <cell r="A834">
            <v>0</v>
          </cell>
          <cell r="AQ834">
            <v>0</v>
          </cell>
        </row>
        <row r="835">
          <cell r="A835">
            <v>0</v>
          </cell>
          <cell r="AQ835">
            <v>0</v>
          </cell>
        </row>
        <row r="836">
          <cell r="A836">
            <v>0</v>
          </cell>
          <cell r="AQ836">
            <v>0</v>
          </cell>
        </row>
        <row r="837">
          <cell r="A837">
            <v>0</v>
          </cell>
          <cell r="AQ837">
            <v>0</v>
          </cell>
        </row>
        <row r="838">
          <cell r="A838">
            <v>0</v>
          </cell>
          <cell r="AQ838">
            <v>0</v>
          </cell>
        </row>
        <row r="839">
          <cell r="A839">
            <v>0</v>
          </cell>
          <cell r="AQ839">
            <v>0</v>
          </cell>
        </row>
        <row r="840">
          <cell r="A840">
            <v>0</v>
          </cell>
          <cell r="AQ840">
            <v>0</v>
          </cell>
        </row>
        <row r="841">
          <cell r="A841">
            <v>0</v>
          </cell>
          <cell r="AQ841">
            <v>0</v>
          </cell>
        </row>
        <row r="842">
          <cell r="A842">
            <v>0</v>
          </cell>
          <cell r="AQ842">
            <v>0</v>
          </cell>
        </row>
        <row r="843">
          <cell r="A843">
            <v>0</v>
          </cell>
          <cell r="AQ843">
            <v>0</v>
          </cell>
        </row>
        <row r="844">
          <cell r="A844">
            <v>0</v>
          </cell>
          <cell r="AQ844">
            <v>0</v>
          </cell>
        </row>
        <row r="845">
          <cell r="A845">
            <v>0</v>
          </cell>
          <cell r="AQ845">
            <v>0</v>
          </cell>
        </row>
        <row r="846">
          <cell r="A846">
            <v>0</v>
          </cell>
          <cell r="AQ846">
            <v>0</v>
          </cell>
        </row>
        <row r="847">
          <cell r="A847">
            <v>0</v>
          </cell>
          <cell r="AQ847">
            <v>0</v>
          </cell>
        </row>
        <row r="848">
          <cell r="A848">
            <v>0</v>
          </cell>
          <cell r="AQ848">
            <v>0</v>
          </cell>
        </row>
        <row r="849">
          <cell r="A849">
            <v>0</v>
          </cell>
          <cell r="AQ849">
            <v>0</v>
          </cell>
        </row>
        <row r="850">
          <cell r="A850">
            <v>0</v>
          </cell>
          <cell r="AQ850">
            <v>0</v>
          </cell>
        </row>
        <row r="851">
          <cell r="A851">
            <v>0</v>
          </cell>
          <cell r="AQ851">
            <v>0</v>
          </cell>
        </row>
        <row r="852">
          <cell r="A852">
            <v>0</v>
          </cell>
          <cell r="AQ852">
            <v>0</v>
          </cell>
        </row>
        <row r="853">
          <cell r="A853">
            <v>0</v>
          </cell>
          <cell r="AQ853">
            <v>0</v>
          </cell>
        </row>
        <row r="854">
          <cell r="A854">
            <v>0</v>
          </cell>
          <cell r="AQ854">
            <v>0</v>
          </cell>
        </row>
        <row r="855">
          <cell r="A855">
            <v>0</v>
          </cell>
          <cell r="AQ855">
            <v>0</v>
          </cell>
        </row>
        <row r="856">
          <cell r="A856">
            <v>0</v>
          </cell>
          <cell r="AQ856">
            <v>0</v>
          </cell>
        </row>
        <row r="857">
          <cell r="A857">
            <v>0</v>
          </cell>
          <cell r="AQ857">
            <v>0</v>
          </cell>
        </row>
        <row r="858">
          <cell r="A858">
            <v>0</v>
          </cell>
          <cell r="AQ858">
            <v>0</v>
          </cell>
        </row>
        <row r="859">
          <cell r="A859">
            <v>0</v>
          </cell>
          <cell r="AQ859">
            <v>0</v>
          </cell>
        </row>
        <row r="860">
          <cell r="A860">
            <v>0</v>
          </cell>
          <cell r="AQ860">
            <v>0</v>
          </cell>
        </row>
        <row r="861">
          <cell r="A861">
            <v>0</v>
          </cell>
          <cell r="AQ861">
            <v>0</v>
          </cell>
        </row>
        <row r="862">
          <cell r="A862">
            <v>0</v>
          </cell>
          <cell r="AQ862">
            <v>0</v>
          </cell>
        </row>
        <row r="863">
          <cell r="A863">
            <v>0</v>
          </cell>
          <cell r="AQ863">
            <v>0</v>
          </cell>
        </row>
        <row r="864">
          <cell r="A864">
            <v>0</v>
          </cell>
          <cell r="AQ864">
            <v>0</v>
          </cell>
        </row>
        <row r="865">
          <cell r="A865">
            <v>0</v>
          </cell>
          <cell r="AQ865">
            <v>0</v>
          </cell>
        </row>
        <row r="866">
          <cell r="A866">
            <v>0</v>
          </cell>
          <cell r="AQ866">
            <v>0</v>
          </cell>
        </row>
        <row r="867">
          <cell r="A867">
            <v>0</v>
          </cell>
          <cell r="AQ867">
            <v>0</v>
          </cell>
        </row>
        <row r="868">
          <cell r="A868">
            <v>0</v>
          </cell>
          <cell r="AQ868">
            <v>0</v>
          </cell>
        </row>
        <row r="869">
          <cell r="A869">
            <v>0</v>
          </cell>
          <cell r="AQ869">
            <v>0</v>
          </cell>
        </row>
        <row r="870">
          <cell r="A870">
            <v>0</v>
          </cell>
          <cell r="AQ870">
            <v>0</v>
          </cell>
        </row>
        <row r="871">
          <cell r="A871">
            <v>0</v>
          </cell>
          <cell r="AQ871">
            <v>0</v>
          </cell>
        </row>
        <row r="872">
          <cell r="A872">
            <v>0</v>
          </cell>
          <cell r="AQ872">
            <v>0</v>
          </cell>
        </row>
        <row r="873">
          <cell r="A873">
            <v>0</v>
          </cell>
          <cell r="AQ873">
            <v>0</v>
          </cell>
        </row>
        <row r="874">
          <cell r="A874">
            <v>0</v>
          </cell>
          <cell r="AQ874">
            <v>0</v>
          </cell>
        </row>
        <row r="875">
          <cell r="A875">
            <v>0</v>
          </cell>
          <cell r="AQ875">
            <v>0</v>
          </cell>
        </row>
        <row r="876">
          <cell r="A876">
            <v>0</v>
          </cell>
          <cell r="AQ876">
            <v>0</v>
          </cell>
        </row>
        <row r="877">
          <cell r="A877">
            <v>0</v>
          </cell>
          <cell r="AQ877">
            <v>0</v>
          </cell>
        </row>
        <row r="878">
          <cell r="A878">
            <v>0</v>
          </cell>
          <cell r="AQ878">
            <v>0</v>
          </cell>
        </row>
        <row r="879">
          <cell r="A879">
            <v>0</v>
          </cell>
          <cell r="AQ879">
            <v>0</v>
          </cell>
        </row>
        <row r="880">
          <cell r="A880">
            <v>0</v>
          </cell>
          <cell r="AQ880">
            <v>0</v>
          </cell>
        </row>
        <row r="881">
          <cell r="A881">
            <v>0</v>
          </cell>
          <cell r="AQ881">
            <v>0</v>
          </cell>
        </row>
        <row r="882">
          <cell r="A882">
            <v>0</v>
          </cell>
          <cell r="AQ882">
            <v>0</v>
          </cell>
        </row>
        <row r="883">
          <cell r="A883">
            <v>0</v>
          </cell>
          <cell r="AQ883">
            <v>0</v>
          </cell>
        </row>
        <row r="884">
          <cell r="A884">
            <v>0</v>
          </cell>
          <cell r="AQ884">
            <v>0</v>
          </cell>
        </row>
        <row r="885">
          <cell r="A885">
            <v>0</v>
          </cell>
          <cell r="AQ885">
            <v>0</v>
          </cell>
        </row>
        <row r="886">
          <cell r="A886">
            <v>0</v>
          </cell>
          <cell r="AQ886">
            <v>0</v>
          </cell>
        </row>
        <row r="887">
          <cell r="A887">
            <v>0</v>
          </cell>
          <cell r="AQ887">
            <v>0</v>
          </cell>
        </row>
        <row r="888">
          <cell r="A888">
            <v>0</v>
          </cell>
          <cell r="AQ888">
            <v>0</v>
          </cell>
        </row>
        <row r="889">
          <cell r="A889">
            <v>0</v>
          </cell>
          <cell r="AQ889">
            <v>0</v>
          </cell>
        </row>
        <row r="890">
          <cell r="A890">
            <v>0</v>
          </cell>
          <cell r="AQ890">
            <v>0</v>
          </cell>
        </row>
        <row r="891">
          <cell r="A891">
            <v>0</v>
          </cell>
          <cell r="AQ891">
            <v>0</v>
          </cell>
        </row>
        <row r="892">
          <cell r="A892">
            <v>0</v>
          </cell>
          <cell r="AQ892">
            <v>0</v>
          </cell>
        </row>
        <row r="893">
          <cell r="A893">
            <v>0</v>
          </cell>
          <cell r="AQ893">
            <v>0</v>
          </cell>
        </row>
        <row r="894">
          <cell r="A894">
            <v>0</v>
          </cell>
          <cell r="AQ894">
            <v>0</v>
          </cell>
        </row>
        <row r="895">
          <cell r="A895">
            <v>0</v>
          </cell>
          <cell r="AQ895">
            <v>0</v>
          </cell>
        </row>
        <row r="896">
          <cell r="A896">
            <v>0</v>
          </cell>
          <cell r="AQ896">
            <v>0</v>
          </cell>
        </row>
        <row r="897">
          <cell r="A897">
            <v>0</v>
          </cell>
          <cell r="AQ897">
            <v>0</v>
          </cell>
        </row>
        <row r="898">
          <cell r="A898">
            <v>0</v>
          </cell>
          <cell r="AQ898">
            <v>0</v>
          </cell>
        </row>
        <row r="899">
          <cell r="A899">
            <v>0</v>
          </cell>
          <cell r="AQ899">
            <v>0</v>
          </cell>
        </row>
        <row r="900">
          <cell r="A900">
            <v>0</v>
          </cell>
          <cell r="AQ900">
            <v>0</v>
          </cell>
        </row>
        <row r="901">
          <cell r="A901">
            <v>0</v>
          </cell>
          <cell r="AQ901">
            <v>0</v>
          </cell>
        </row>
        <row r="902">
          <cell r="A902">
            <v>0</v>
          </cell>
          <cell r="AQ902">
            <v>0</v>
          </cell>
        </row>
        <row r="903">
          <cell r="A903">
            <v>0</v>
          </cell>
          <cell r="AQ903">
            <v>0</v>
          </cell>
        </row>
        <row r="904">
          <cell r="A904">
            <v>0</v>
          </cell>
          <cell r="AQ904">
            <v>0</v>
          </cell>
        </row>
        <row r="905">
          <cell r="A905">
            <v>0</v>
          </cell>
          <cell r="AQ905">
            <v>0</v>
          </cell>
        </row>
        <row r="906">
          <cell r="A906">
            <v>0</v>
          </cell>
          <cell r="AQ906">
            <v>0</v>
          </cell>
        </row>
        <row r="907">
          <cell r="A907">
            <v>0</v>
          </cell>
          <cell r="AQ907">
            <v>0</v>
          </cell>
        </row>
        <row r="908">
          <cell r="A908">
            <v>0</v>
          </cell>
          <cell r="AQ908">
            <v>0</v>
          </cell>
        </row>
        <row r="909">
          <cell r="A909">
            <v>0</v>
          </cell>
          <cell r="AQ909">
            <v>0</v>
          </cell>
        </row>
        <row r="910">
          <cell r="A910">
            <v>0</v>
          </cell>
          <cell r="AQ910">
            <v>0</v>
          </cell>
        </row>
        <row r="911">
          <cell r="A911">
            <v>0</v>
          </cell>
          <cell r="AQ911">
            <v>0</v>
          </cell>
        </row>
        <row r="912">
          <cell r="A912">
            <v>0</v>
          </cell>
          <cell r="AQ912">
            <v>0</v>
          </cell>
        </row>
        <row r="913">
          <cell r="A913">
            <v>0</v>
          </cell>
          <cell r="AQ913">
            <v>0</v>
          </cell>
        </row>
        <row r="914">
          <cell r="A914">
            <v>0</v>
          </cell>
          <cell r="AQ914">
            <v>0</v>
          </cell>
        </row>
        <row r="915">
          <cell r="A915">
            <v>0</v>
          </cell>
          <cell r="AQ915">
            <v>0</v>
          </cell>
        </row>
        <row r="916">
          <cell r="A916">
            <v>0</v>
          </cell>
          <cell r="AQ916">
            <v>0</v>
          </cell>
        </row>
        <row r="917">
          <cell r="A917">
            <v>0</v>
          </cell>
          <cell r="AQ917">
            <v>0</v>
          </cell>
        </row>
        <row r="918">
          <cell r="A918">
            <v>0</v>
          </cell>
          <cell r="AQ918">
            <v>0</v>
          </cell>
        </row>
        <row r="919">
          <cell r="A919">
            <v>0</v>
          </cell>
          <cell r="AQ919">
            <v>0</v>
          </cell>
        </row>
        <row r="920">
          <cell r="A920">
            <v>0</v>
          </cell>
          <cell r="AQ920">
            <v>0</v>
          </cell>
        </row>
        <row r="921">
          <cell r="A921">
            <v>0</v>
          </cell>
          <cell r="AQ921">
            <v>0</v>
          </cell>
        </row>
        <row r="922">
          <cell r="A922">
            <v>0</v>
          </cell>
          <cell r="AQ922">
            <v>0</v>
          </cell>
        </row>
        <row r="923">
          <cell r="A923">
            <v>0</v>
          </cell>
          <cell r="AQ923">
            <v>0</v>
          </cell>
        </row>
        <row r="924">
          <cell r="A924">
            <v>0</v>
          </cell>
          <cell r="AQ924">
            <v>0</v>
          </cell>
        </row>
        <row r="925">
          <cell r="A925">
            <v>0</v>
          </cell>
          <cell r="AQ925">
            <v>0</v>
          </cell>
        </row>
        <row r="926">
          <cell r="A926">
            <v>0</v>
          </cell>
          <cell r="AQ926">
            <v>0</v>
          </cell>
        </row>
        <row r="927">
          <cell r="A927">
            <v>0</v>
          </cell>
          <cell r="AQ927">
            <v>0</v>
          </cell>
        </row>
        <row r="928">
          <cell r="A928">
            <v>0</v>
          </cell>
          <cell r="AQ928">
            <v>0</v>
          </cell>
        </row>
        <row r="929">
          <cell r="A929">
            <v>0</v>
          </cell>
          <cell r="AQ929">
            <v>0</v>
          </cell>
        </row>
        <row r="930">
          <cell r="A930">
            <v>0</v>
          </cell>
          <cell r="AQ930">
            <v>0</v>
          </cell>
        </row>
        <row r="931">
          <cell r="A931">
            <v>0</v>
          </cell>
          <cell r="AQ931">
            <v>0</v>
          </cell>
        </row>
        <row r="932">
          <cell r="A932">
            <v>0</v>
          </cell>
          <cell r="AQ932">
            <v>0</v>
          </cell>
        </row>
        <row r="933">
          <cell r="A933">
            <v>0</v>
          </cell>
          <cell r="AQ933">
            <v>0</v>
          </cell>
        </row>
        <row r="934">
          <cell r="A934">
            <v>0</v>
          </cell>
          <cell r="AQ934">
            <v>0</v>
          </cell>
        </row>
        <row r="935">
          <cell r="A935">
            <v>0</v>
          </cell>
          <cell r="AQ935">
            <v>0</v>
          </cell>
        </row>
        <row r="936">
          <cell r="A936">
            <v>0</v>
          </cell>
          <cell r="AQ936">
            <v>0</v>
          </cell>
        </row>
        <row r="937">
          <cell r="A937">
            <v>0</v>
          </cell>
          <cell r="AQ937">
            <v>0</v>
          </cell>
        </row>
        <row r="938">
          <cell r="A938">
            <v>0</v>
          </cell>
          <cell r="AQ938">
            <v>0</v>
          </cell>
        </row>
        <row r="939">
          <cell r="A939">
            <v>0</v>
          </cell>
          <cell r="AQ939">
            <v>0</v>
          </cell>
        </row>
        <row r="940">
          <cell r="A940">
            <v>0</v>
          </cell>
          <cell r="AQ940">
            <v>0</v>
          </cell>
        </row>
        <row r="941">
          <cell r="A941">
            <v>0</v>
          </cell>
          <cell r="AQ941">
            <v>0</v>
          </cell>
        </row>
        <row r="942">
          <cell r="A942">
            <v>0</v>
          </cell>
          <cell r="AQ942">
            <v>0</v>
          </cell>
        </row>
        <row r="943">
          <cell r="A943">
            <v>0</v>
          </cell>
          <cell r="AQ943">
            <v>0</v>
          </cell>
        </row>
        <row r="944">
          <cell r="A944">
            <v>0</v>
          </cell>
          <cell r="AQ944">
            <v>0</v>
          </cell>
        </row>
        <row r="945">
          <cell r="A945">
            <v>0</v>
          </cell>
          <cell r="AQ945">
            <v>0</v>
          </cell>
        </row>
        <row r="946">
          <cell r="A946">
            <v>0</v>
          </cell>
          <cell r="AQ946">
            <v>0</v>
          </cell>
        </row>
        <row r="947">
          <cell r="A947">
            <v>0</v>
          </cell>
          <cell r="AQ947">
            <v>0</v>
          </cell>
        </row>
        <row r="948">
          <cell r="A948">
            <v>0</v>
          </cell>
          <cell r="AQ948">
            <v>0</v>
          </cell>
        </row>
        <row r="949">
          <cell r="A949">
            <v>0</v>
          </cell>
          <cell r="AQ949">
            <v>0</v>
          </cell>
        </row>
        <row r="950">
          <cell r="A950">
            <v>0</v>
          </cell>
          <cell r="AQ950">
            <v>0</v>
          </cell>
        </row>
        <row r="951">
          <cell r="A951">
            <v>0</v>
          </cell>
          <cell r="AQ951">
            <v>0</v>
          </cell>
        </row>
        <row r="952">
          <cell r="A952">
            <v>0</v>
          </cell>
          <cell r="AQ952">
            <v>0</v>
          </cell>
        </row>
        <row r="953">
          <cell r="A953">
            <v>0</v>
          </cell>
          <cell r="AQ953">
            <v>0</v>
          </cell>
        </row>
        <row r="954">
          <cell r="A954">
            <v>0</v>
          </cell>
          <cell r="AQ954">
            <v>0</v>
          </cell>
        </row>
        <row r="955">
          <cell r="A955">
            <v>0</v>
          </cell>
          <cell r="AQ955">
            <v>0</v>
          </cell>
        </row>
        <row r="956">
          <cell r="A956">
            <v>0</v>
          </cell>
          <cell r="AQ956">
            <v>0</v>
          </cell>
        </row>
        <row r="957">
          <cell r="A957">
            <v>0</v>
          </cell>
          <cell r="AQ957">
            <v>0</v>
          </cell>
        </row>
        <row r="958">
          <cell r="A958">
            <v>0</v>
          </cell>
          <cell r="AQ958">
            <v>0</v>
          </cell>
        </row>
        <row r="959">
          <cell r="A959">
            <v>0</v>
          </cell>
          <cell r="AQ959">
            <v>0</v>
          </cell>
        </row>
        <row r="960">
          <cell r="A960">
            <v>0</v>
          </cell>
          <cell r="AQ960">
            <v>0</v>
          </cell>
        </row>
        <row r="961">
          <cell r="A961">
            <v>0</v>
          </cell>
          <cell r="AQ961">
            <v>0</v>
          </cell>
        </row>
        <row r="962">
          <cell r="A962">
            <v>0</v>
          </cell>
          <cell r="AQ962">
            <v>0</v>
          </cell>
        </row>
        <row r="963">
          <cell r="A963">
            <v>0</v>
          </cell>
          <cell r="AQ963">
            <v>0</v>
          </cell>
        </row>
        <row r="964">
          <cell r="A964">
            <v>0</v>
          </cell>
          <cell r="AQ964">
            <v>0</v>
          </cell>
        </row>
        <row r="965">
          <cell r="A965">
            <v>0</v>
          </cell>
          <cell r="AQ965">
            <v>0</v>
          </cell>
        </row>
        <row r="966">
          <cell r="A966">
            <v>0</v>
          </cell>
          <cell r="AQ966">
            <v>0</v>
          </cell>
        </row>
        <row r="967">
          <cell r="A967">
            <v>0</v>
          </cell>
          <cell r="AQ967">
            <v>0</v>
          </cell>
        </row>
        <row r="968">
          <cell r="A968">
            <v>0</v>
          </cell>
          <cell r="AQ968">
            <v>0</v>
          </cell>
        </row>
        <row r="969">
          <cell r="A969">
            <v>0</v>
          </cell>
          <cell r="AQ969">
            <v>0</v>
          </cell>
        </row>
        <row r="970">
          <cell r="A970">
            <v>0</v>
          </cell>
          <cell r="AQ970">
            <v>0</v>
          </cell>
        </row>
        <row r="971">
          <cell r="A971">
            <v>0</v>
          </cell>
          <cell r="AQ971">
            <v>0</v>
          </cell>
        </row>
        <row r="972">
          <cell r="A972">
            <v>0</v>
          </cell>
          <cell r="AQ972">
            <v>0</v>
          </cell>
        </row>
        <row r="973">
          <cell r="A973">
            <v>0</v>
          </cell>
          <cell r="AQ973">
            <v>0</v>
          </cell>
        </row>
        <row r="974">
          <cell r="A974">
            <v>0</v>
          </cell>
          <cell r="AQ974">
            <v>0</v>
          </cell>
        </row>
        <row r="975">
          <cell r="A975">
            <v>0</v>
          </cell>
          <cell r="AQ975">
            <v>0</v>
          </cell>
        </row>
        <row r="976">
          <cell r="A976">
            <v>0</v>
          </cell>
          <cell r="AQ976">
            <v>0</v>
          </cell>
        </row>
        <row r="977">
          <cell r="A977">
            <v>0</v>
          </cell>
          <cell r="AQ977">
            <v>0</v>
          </cell>
        </row>
        <row r="978">
          <cell r="A978">
            <v>0</v>
          </cell>
          <cell r="AQ978">
            <v>0</v>
          </cell>
        </row>
        <row r="979">
          <cell r="A979">
            <v>0</v>
          </cell>
          <cell r="AQ979">
            <v>0</v>
          </cell>
        </row>
        <row r="980">
          <cell r="A980">
            <v>0</v>
          </cell>
          <cell r="AQ980">
            <v>0</v>
          </cell>
        </row>
        <row r="981">
          <cell r="A981">
            <v>0</v>
          </cell>
          <cell r="AQ981">
            <v>0</v>
          </cell>
        </row>
        <row r="982">
          <cell r="A982">
            <v>0</v>
          </cell>
          <cell r="AQ982">
            <v>0</v>
          </cell>
        </row>
        <row r="983">
          <cell r="A983">
            <v>0</v>
          </cell>
          <cell r="AQ983">
            <v>0</v>
          </cell>
        </row>
        <row r="984">
          <cell r="A984">
            <v>0</v>
          </cell>
          <cell r="AQ984">
            <v>0</v>
          </cell>
        </row>
        <row r="985">
          <cell r="A985">
            <v>0</v>
          </cell>
          <cell r="AQ985">
            <v>0</v>
          </cell>
        </row>
        <row r="986">
          <cell r="A986">
            <v>0</v>
          </cell>
          <cell r="AQ986">
            <v>0</v>
          </cell>
        </row>
        <row r="987">
          <cell r="A987">
            <v>0</v>
          </cell>
          <cell r="AQ987">
            <v>0</v>
          </cell>
        </row>
        <row r="988">
          <cell r="A988">
            <v>0</v>
          </cell>
          <cell r="AQ988">
            <v>0</v>
          </cell>
        </row>
        <row r="989">
          <cell r="A989">
            <v>0</v>
          </cell>
          <cell r="AQ989">
            <v>0</v>
          </cell>
        </row>
        <row r="990">
          <cell r="A990">
            <v>0</v>
          </cell>
          <cell r="AQ990">
            <v>0</v>
          </cell>
        </row>
        <row r="991">
          <cell r="A991">
            <v>0</v>
          </cell>
          <cell r="AQ991">
            <v>0</v>
          </cell>
        </row>
        <row r="992">
          <cell r="A992">
            <v>0</v>
          </cell>
          <cell r="AQ992">
            <v>0</v>
          </cell>
        </row>
        <row r="993">
          <cell r="A993">
            <v>0</v>
          </cell>
          <cell r="AQ993">
            <v>0</v>
          </cell>
        </row>
        <row r="994">
          <cell r="A994">
            <v>0</v>
          </cell>
          <cell r="AQ994">
            <v>0</v>
          </cell>
        </row>
        <row r="995">
          <cell r="A995">
            <v>0</v>
          </cell>
          <cell r="AQ995">
            <v>0</v>
          </cell>
        </row>
        <row r="996">
          <cell r="A996">
            <v>0</v>
          </cell>
          <cell r="AQ996">
            <v>0</v>
          </cell>
        </row>
        <row r="997">
          <cell r="A997">
            <v>0</v>
          </cell>
          <cell r="AQ997">
            <v>0</v>
          </cell>
        </row>
        <row r="998">
          <cell r="A998">
            <v>0</v>
          </cell>
          <cell r="AQ998">
            <v>0</v>
          </cell>
        </row>
        <row r="999">
          <cell r="A999">
            <v>0</v>
          </cell>
          <cell r="AQ999">
            <v>0</v>
          </cell>
        </row>
        <row r="1000">
          <cell r="A1000">
            <v>0</v>
          </cell>
          <cell r="AQ1000">
            <v>0</v>
          </cell>
        </row>
        <row r="1001">
          <cell r="A1001">
            <v>0</v>
          </cell>
          <cell r="AQ1001">
            <v>0</v>
          </cell>
        </row>
        <row r="1002">
          <cell r="A1002">
            <v>0</v>
          </cell>
          <cell r="AQ1002">
            <v>0</v>
          </cell>
        </row>
        <row r="1003">
          <cell r="A1003">
            <v>0</v>
          </cell>
          <cell r="AQ1003">
            <v>0</v>
          </cell>
        </row>
        <row r="1004">
          <cell r="A1004">
            <v>0</v>
          </cell>
          <cell r="AQ1004">
            <v>0</v>
          </cell>
        </row>
        <row r="1005">
          <cell r="A1005">
            <v>0</v>
          </cell>
          <cell r="AQ1005">
            <v>0</v>
          </cell>
        </row>
        <row r="1006">
          <cell r="A1006">
            <v>0</v>
          </cell>
          <cell r="AQ1006">
            <v>0</v>
          </cell>
        </row>
        <row r="1007">
          <cell r="A1007">
            <v>0</v>
          </cell>
          <cell r="AQ1007">
            <v>0</v>
          </cell>
        </row>
        <row r="1008">
          <cell r="A1008">
            <v>0</v>
          </cell>
          <cell r="AQ1008">
            <v>0</v>
          </cell>
        </row>
        <row r="1009">
          <cell r="A1009">
            <v>0</v>
          </cell>
          <cell r="AQ1009">
            <v>0</v>
          </cell>
        </row>
        <row r="1010">
          <cell r="A1010">
            <v>0</v>
          </cell>
          <cell r="AQ1010">
            <v>0</v>
          </cell>
        </row>
        <row r="1011">
          <cell r="A1011">
            <v>0</v>
          </cell>
          <cell r="AQ1011">
            <v>0</v>
          </cell>
        </row>
        <row r="1012">
          <cell r="A1012">
            <v>0</v>
          </cell>
          <cell r="AQ1012">
            <v>0</v>
          </cell>
        </row>
        <row r="1013">
          <cell r="A1013">
            <v>0</v>
          </cell>
          <cell r="AQ1013">
            <v>0</v>
          </cell>
        </row>
        <row r="1014">
          <cell r="A1014">
            <v>0</v>
          </cell>
          <cell r="AQ1014">
            <v>0</v>
          </cell>
        </row>
        <row r="1015">
          <cell r="A1015">
            <v>0</v>
          </cell>
          <cell r="AQ1015">
            <v>0</v>
          </cell>
        </row>
        <row r="1016">
          <cell r="A1016">
            <v>0</v>
          </cell>
          <cell r="AQ1016">
            <v>0</v>
          </cell>
        </row>
        <row r="1017">
          <cell r="A1017">
            <v>0</v>
          </cell>
          <cell r="AQ1017">
            <v>0</v>
          </cell>
        </row>
        <row r="1018">
          <cell r="A1018">
            <v>0</v>
          </cell>
          <cell r="AQ1018">
            <v>0</v>
          </cell>
        </row>
        <row r="1019">
          <cell r="A1019">
            <v>0</v>
          </cell>
          <cell r="AQ1019">
            <v>0</v>
          </cell>
        </row>
        <row r="1020">
          <cell r="A1020">
            <v>0</v>
          </cell>
          <cell r="AQ1020">
            <v>0</v>
          </cell>
        </row>
        <row r="1021">
          <cell r="A1021">
            <v>0</v>
          </cell>
          <cell r="AQ1021">
            <v>0</v>
          </cell>
        </row>
        <row r="1022">
          <cell r="A1022">
            <v>0</v>
          </cell>
          <cell r="AQ1022">
            <v>0</v>
          </cell>
        </row>
        <row r="1023">
          <cell r="A1023">
            <v>0</v>
          </cell>
          <cell r="AQ1023">
            <v>0</v>
          </cell>
        </row>
        <row r="1024">
          <cell r="A1024">
            <v>0</v>
          </cell>
          <cell r="AQ1024">
            <v>0</v>
          </cell>
        </row>
        <row r="1025">
          <cell r="A1025">
            <v>0</v>
          </cell>
          <cell r="AQ1025">
            <v>0</v>
          </cell>
        </row>
        <row r="1026">
          <cell r="A1026">
            <v>0</v>
          </cell>
          <cell r="AQ1026">
            <v>0</v>
          </cell>
        </row>
        <row r="1027">
          <cell r="A1027">
            <v>0</v>
          </cell>
          <cell r="AQ1027">
            <v>0</v>
          </cell>
        </row>
        <row r="1028">
          <cell r="A1028">
            <v>0</v>
          </cell>
          <cell r="AQ1028">
            <v>0</v>
          </cell>
        </row>
        <row r="1029">
          <cell r="A1029">
            <v>0</v>
          </cell>
          <cell r="AQ1029">
            <v>0</v>
          </cell>
        </row>
        <row r="1030">
          <cell r="A1030">
            <v>0</v>
          </cell>
          <cell r="AQ1030">
            <v>0</v>
          </cell>
        </row>
        <row r="1031">
          <cell r="A1031">
            <v>0</v>
          </cell>
          <cell r="AQ1031">
            <v>0</v>
          </cell>
        </row>
        <row r="1032">
          <cell r="A1032">
            <v>0</v>
          </cell>
          <cell r="AQ1032">
            <v>0</v>
          </cell>
        </row>
        <row r="1033">
          <cell r="A1033">
            <v>0</v>
          </cell>
          <cell r="AQ1033">
            <v>0</v>
          </cell>
        </row>
        <row r="1034">
          <cell r="A1034">
            <v>0</v>
          </cell>
          <cell r="AQ1034">
            <v>0</v>
          </cell>
        </row>
        <row r="1035">
          <cell r="A1035">
            <v>0</v>
          </cell>
          <cell r="AQ1035">
            <v>0</v>
          </cell>
        </row>
        <row r="1036">
          <cell r="A1036">
            <v>0</v>
          </cell>
          <cell r="AQ1036">
            <v>0</v>
          </cell>
        </row>
        <row r="1037">
          <cell r="A1037">
            <v>0</v>
          </cell>
          <cell r="AQ1037">
            <v>0</v>
          </cell>
        </row>
        <row r="1038">
          <cell r="A1038">
            <v>0</v>
          </cell>
          <cell r="AQ1038">
            <v>0</v>
          </cell>
        </row>
        <row r="1039">
          <cell r="A1039">
            <v>0</v>
          </cell>
          <cell r="AQ1039">
            <v>0</v>
          </cell>
        </row>
        <row r="1040">
          <cell r="A1040">
            <v>0</v>
          </cell>
          <cell r="AQ1040">
            <v>0</v>
          </cell>
        </row>
        <row r="1041">
          <cell r="A1041">
            <v>0</v>
          </cell>
          <cell r="AQ1041">
            <v>0</v>
          </cell>
        </row>
        <row r="1042">
          <cell r="A1042">
            <v>0</v>
          </cell>
          <cell r="AQ1042">
            <v>0</v>
          </cell>
        </row>
        <row r="1043">
          <cell r="A1043">
            <v>0</v>
          </cell>
          <cell r="AQ1043">
            <v>0</v>
          </cell>
        </row>
        <row r="1044">
          <cell r="A1044">
            <v>0</v>
          </cell>
          <cell r="AQ1044">
            <v>0</v>
          </cell>
        </row>
        <row r="1045">
          <cell r="A1045">
            <v>0</v>
          </cell>
          <cell r="AQ1045">
            <v>0</v>
          </cell>
        </row>
        <row r="1046">
          <cell r="A1046">
            <v>0</v>
          </cell>
          <cell r="AQ1046">
            <v>0</v>
          </cell>
        </row>
        <row r="1047">
          <cell r="A1047">
            <v>0</v>
          </cell>
          <cell r="AQ1047">
            <v>0</v>
          </cell>
        </row>
        <row r="1048">
          <cell r="A1048">
            <v>0</v>
          </cell>
          <cell r="AQ1048">
            <v>0</v>
          </cell>
        </row>
        <row r="1049">
          <cell r="A1049">
            <v>0</v>
          </cell>
          <cell r="AQ1049">
            <v>0</v>
          </cell>
        </row>
        <row r="1050">
          <cell r="A1050">
            <v>0</v>
          </cell>
          <cell r="AQ1050">
            <v>0</v>
          </cell>
        </row>
        <row r="1051">
          <cell r="A1051">
            <v>0</v>
          </cell>
          <cell r="AQ1051">
            <v>0</v>
          </cell>
        </row>
        <row r="1052">
          <cell r="A1052">
            <v>0</v>
          </cell>
          <cell r="AQ1052">
            <v>0</v>
          </cell>
        </row>
        <row r="1053">
          <cell r="A1053">
            <v>0</v>
          </cell>
          <cell r="AQ1053">
            <v>0</v>
          </cell>
        </row>
        <row r="1054">
          <cell r="A1054">
            <v>0</v>
          </cell>
          <cell r="AQ1054">
            <v>0</v>
          </cell>
        </row>
        <row r="1055">
          <cell r="A1055">
            <v>0</v>
          </cell>
          <cell r="AQ1055">
            <v>0</v>
          </cell>
        </row>
        <row r="1056">
          <cell r="A1056">
            <v>0</v>
          </cell>
          <cell r="AQ1056">
            <v>0</v>
          </cell>
        </row>
        <row r="1057">
          <cell r="A1057">
            <v>0</v>
          </cell>
          <cell r="AQ1057">
            <v>0</v>
          </cell>
        </row>
        <row r="1058">
          <cell r="A1058">
            <v>0</v>
          </cell>
          <cell r="AQ1058">
            <v>0</v>
          </cell>
        </row>
        <row r="1059">
          <cell r="A1059">
            <v>0</v>
          </cell>
          <cell r="AQ1059">
            <v>0</v>
          </cell>
        </row>
        <row r="1060">
          <cell r="A1060">
            <v>0</v>
          </cell>
          <cell r="AQ1060">
            <v>0</v>
          </cell>
        </row>
        <row r="1061">
          <cell r="A1061">
            <v>0</v>
          </cell>
          <cell r="AQ1061">
            <v>0</v>
          </cell>
        </row>
        <row r="1062">
          <cell r="A1062">
            <v>0</v>
          </cell>
          <cell r="AQ1062">
            <v>0</v>
          </cell>
        </row>
        <row r="1063">
          <cell r="A1063">
            <v>0</v>
          </cell>
          <cell r="AQ1063">
            <v>0</v>
          </cell>
        </row>
        <row r="1064">
          <cell r="A1064">
            <v>0</v>
          </cell>
          <cell r="AQ1064">
            <v>0</v>
          </cell>
        </row>
        <row r="1065">
          <cell r="A1065">
            <v>0</v>
          </cell>
          <cell r="AQ1065">
            <v>0</v>
          </cell>
        </row>
        <row r="1066">
          <cell r="A1066">
            <v>0</v>
          </cell>
          <cell r="AQ1066">
            <v>0</v>
          </cell>
        </row>
        <row r="1067">
          <cell r="A1067">
            <v>0</v>
          </cell>
          <cell r="AQ1067">
            <v>0</v>
          </cell>
        </row>
        <row r="1068">
          <cell r="A1068">
            <v>0</v>
          </cell>
        </row>
        <row r="1069">
          <cell r="A1069">
            <v>0</v>
          </cell>
        </row>
        <row r="1070">
          <cell r="A1070">
            <v>0</v>
          </cell>
          <cell r="E1070">
            <v>0</v>
          </cell>
          <cell r="S1070">
            <v>0</v>
          </cell>
          <cell r="AK1070">
            <v>0</v>
          </cell>
          <cell r="AN1070">
            <v>0</v>
          </cell>
          <cell r="AQ1070">
            <v>0</v>
          </cell>
          <cell r="AS1070">
            <v>0</v>
          </cell>
          <cell r="BM1070">
            <v>0</v>
          </cell>
          <cell r="BN1070">
            <v>0</v>
          </cell>
          <cell r="BR1070">
            <v>0</v>
          </cell>
          <cell r="FQ1070">
            <v>0</v>
          </cell>
          <cell r="IB1070">
            <v>0</v>
          </cell>
          <cell r="IC1070">
            <v>0</v>
          </cell>
          <cell r="ID1070">
            <v>0</v>
          </cell>
          <cell r="IE1070">
            <v>0</v>
          </cell>
          <cell r="IP1070">
            <v>0</v>
          </cell>
          <cell r="IR1070">
            <v>0</v>
          </cell>
          <cell r="IT1070">
            <v>0</v>
          </cell>
          <cell r="IU1070">
            <v>0</v>
          </cell>
        </row>
        <row r="1071">
          <cell r="A1071">
            <v>0</v>
          </cell>
          <cell r="E1071">
            <v>0</v>
          </cell>
          <cell r="S1071">
            <v>0</v>
          </cell>
          <cell r="AK1071">
            <v>0</v>
          </cell>
          <cell r="AN1071">
            <v>0</v>
          </cell>
          <cell r="AQ1071">
            <v>0</v>
          </cell>
          <cell r="AS1071">
            <v>0</v>
          </cell>
          <cell r="BM1071">
            <v>0</v>
          </cell>
          <cell r="BN1071">
            <v>0</v>
          </cell>
          <cell r="BR1071">
            <v>0</v>
          </cell>
          <cell r="FQ1071">
            <v>0</v>
          </cell>
          <cell r="IB1071">
            <v>0</v>
          </cell>
          <cell r="IC1071">
            <v>0</v>
          </cell>
          <cell r="ID1071">
            <v>0</v>
          </cell>
          <cell r="IE1071">
            <v>0</v>
          </cell>
          <cell r="IP1071">
            <v>0</v>
          </cell>
          <cell r="IR1071">
            <v>0</v>
          </cell>
          <cell r="IT1071">
            <v>0</v>
          </cell>
          <cell r="IU1071">
            <v>0</v>
          </cell>
        </row>
        <row r="1072">
          <cell r="A1072">
            <v>0</v>
          </cell>
          <cell r="E1072">
            <v>0</v>
          </cell>
          <cell r="S1072">
            <v>0</v>
          </cell>
          <cell r="AK1072">
            <v>0</v>
          </cell>
          <cell r="AN1072">
            <v>0</v>
          </cell>
          <cell r="AQ1072">
            <v>0</v>
          </cell>
          <cell r="AS1072">
            <v>0</v>
          </cell>
          <cell r="BM1072">
            <v>0</v>
          </cell>
          <cell r="BN1072">
            <v>0</v>
          </cell>
          <cell r="BR1072">
            <v>0</v>
          </cell>
          <cell r="FQ1072">
            <v>0</v>
          </cell>
          <cell r="IB1072">
            <v>0</v>
          </cell>
          <cell r="IC1072">
            <v>0</v>
          </cell>
          <cell r="ID1072">
            <v>0</v>
          </cell>
          <cell r="IE1072">
            <v>0</v>
          </cell>
          <cell r="IP1072">
            <v>0</v>
          </cell>
          <cell r="IR1072">
            <v>0</v>
          </cell>
          <cell r="IT1072">
            <v>0</v>
          </cell>
          <cell r="IU1072">
            <v>0</v>
          </cell>
        </row>
        <row r="1073">
          <cell r="A1073">
            <v>0</v>
          </cell>
          <cell r="E1073">
            <v>0</v>
          </cell>
          <cell r="S1073">
            <v>0</v>
          </cell>
          <cell r="AK1073">
            <v>0</v>
          </cell>
          <cell r="AN1073">
            <v>0</v>
          </cell>
          <cell r="AQ1073">
            <v>0</v>
          </cell>
          <cell r="AS1073">
            <v>0</v>
          </cell>
          <cell r="BM1073">
            <v>0</v>
          </cell>
          <cell r="BN1073">
            <v>0</v>
          </cell>
          <cell r="BR1073">
            <v>0</v>
          </cell>
          <cell r="FQ1073">
            <v>0</v>
          </cell>
          <cell r="IB1073">
            <v>0</v>
          </cell>
          <cell r="IC1073">
            <v>0</v>
          </cell>
          <cell r="ID1073">
            <v>0</v>
          </cell>
          <cell r="IE1073">
            <v>0</v>
          </cell>
          <cell r="IP1073">
            <v>0</v>
          </cell>
          <cell r="IR1073">
            <v>0</v>
          </cell>
          <cell r="IT1073">
            <v>0</v>
          </cell>
          <cell r="IU1073">
            <v>0</v>
          </cell>
        </row>
        <row r="1074">
          <cell r="A1074">
            <v>0</v>
          </cell>
          <cell r="E1074">
            <v>0</v>
          </cell>
          <cell r="S1074">
            <v>0</v>
          </cell>
          <cell r="AK1074">
            <v>0</v>
          </cell>
          <cell r="AN1074">
            <v>0</v>
          </cell>
          <cell r="AQ1074">
            <v>0</v>
          </cell>
          <cell r="AS1074">
            <v>0</v>
          </cell>
          <cell r="BM1074">
            <v>0</v>
          </cell>
          <cell r="BN1074">
            <v>0</v>
          </cell>
          <cell r="BR1074">
            <v>0</v>
          </cell>
          <cell r="FQ1074">
            <v>0</v>
          </cell>
          <cell r="IB1074">
            <v>0</v>
          </cell>
          <cell r="IC1074">
            <v>0</v>
          </cell>
          <cell r="ID1074">
            <v>0</v>
          </cell>
          <cell r="IE1074">
            <v>0</v>
          </cell>
          <cell r="IP1074">
            <v>0</v>
          </cell>
          <cell r="IR1074">
            <v>0</v>
          </cell>
          <cell r="IT1074">
            <v>0</v>
          </cell>
          <cell r="IU1074">
            <v>0</v>
          </cell>
        </row>
        <row r="1075">
          <cell r="A1075">
            <v>0</v>
          </cell>
          <cell r="E1075">
            <v>0</v>
          </cell>
          <cell r="S1075">
            <v>0</v>
          </cell>
          <cell r="AK1075">
            <v>0</v>
          </cell>
          <cell r="AN1075">
            <v>0</v>
          </cell>
          <cell r="AQ1075">
            <v>0</v>
          </cell>
          <cell r="AS1075">
            <v>0</v>
          </cell>
          <cell r="BM1075">
            <v>0</v>
          </cell>
          <cell r="BN1075">
            <v>0</v>
          </cell>
          <cell r="BR1075">
            <v>0</v>
          </cell>
          <cell r="FQ1075">
            <v>0</v>
          </cell>
          <cell r="IB1075">
            <v>0</v>
          </cell>
          <cell r="IC1075">
            <v>0</v>
          </cell>
          <cell r="ID1075">
            <v>0</v>
          </cell>
          <cell r="IE1075">
            <v>0</v>
          </cell>
          <cell r="IP1075">
            <v>0</v>
          </cell>
          <cell r="IR1075">
            <v>0</v>
          </cell>
          <cell r="IT1075">
            <v>0</v>
          </cell>
          <cell r="IU1075">
            <v>0</v>
          </cell>
        </row>
        <row r="1076">
          <cell r="A1076">
            <v>0</v>
          </cell>
          <cell r="E1076">
            <v>0</v>
          </cell>
          <cell r="S1076">
            <v>0</v>
          </cell>
          <cell r="AK1076">
            <v>0</v>
          </cell>
          <cell r="AN1076">
            <v>0</v>
          </cell>
          <cell r="AQ1076">
            <v>0</v>
          </cell>
          <cell r="AS1076">
            <v>0</v>
          </cell>
          <cell r="BM1076">
            <v>0</v>
          </cell>
          <cell r="BN1076">
            <v>0</v>
          </cell>
          <cell r="BR1076">
            <v>0</v>
          </cell>
          <cell r="FQ1076">
            <v>0</v>
          </cell>
          <cell r="IB1076">
            <v>0</v>
          </cell>
          <cell r="IC1076">
            <v>0</v>
          </cell>
          <cell r="ID1076">
            <v>0</v>
          </cell>
          <cell r="IE1076">
            <v>0</v>
          </cell>
          <cell r="IP1076">
            <v>0</v>
          </cell>
          <cell r="IR1076">
            <v>0</v>
          </cell>
          <cell r="IT1076">
            <v>0</v>
          </cell>
          <cell r="IU1076">
            <v>0</v>
          </cell>
        </row>
        <row r="1077">
          <cell r="A1077">
            <v>0</v>
          </cell>
          <cell r="E1077">
            <v>0</v>
          </cell>
          <cell r="S1077">
            <v>0</v>
          </cell>
          <cell r="AK1077">
            <v>0</v>
          </cell>
          <cell r="AN1077">
            <v>0</v>
          </cell>
          <cell r="AQ1077">
            <v>0</v>
          </cell>
          <cell r="AS1077">
            <v>0</v>
          </cell>
          <cell r="BM1077">
            <v>0</v>
          </cell>
          <cell r="BN1077">
            <v>0</v>
          </cell>
          <cell r="BR1077">
            <v>0</v>
          </cell>
          <cell r="FQ1077">
            <v>0</v>
          </cell>
          <cell r="IB1077">
            <v>0</v>
          </cell>
          <cell r="IC1077">
            <v>0</v>
          </cell>
          <cell r="ID1077">
            <v>0</v>
          </cell>
          <cell r="IE1077">
            <v>0</v>
          </cell>
          <cell r="IP1077">
            <v>0</v>
          </cell>
          <cell r="IR1077">
            <v>0</v>
          </cell>
          <cell r="IT1077">
            <v>0</v>
          </cell>
          <cell r="IU1077">
            <v>0</v>
          </cell>
        </row>
        <row r="1078">
          <cell r="A1078">
            <v>0</v>
          </cell>
          <cell r="E1078">
            <v>0</v>
          </cell>
          <cell r="S1078">
            <v>0</v>
          </cell>
          <cell r="AK1078">
            <v>0</v>
          </cell>
          <cell r="AN1078">
            <v>0</v>
          </cell>
          <cell r="AQ1078">
            <v>0</v>
          </cell>
          <cell r="AS1078">
            <v>0</v>
          </cell>
          <cell r="BM1078">
            <v>0</v>
          </cell>
          <cell r="BN1078">
            <v>0</v>
          </cell>
          <cell r="BR1078">
            <v>0</v>
          </cell>
          <cell r="FQ1078">
            <v>0</v>
          </cell>
          <cell r="IB1078">
            <v>0</v>
          </cell>
          <cell r="IC1078">
            <v>0</v>
          </cell>
          <cell r="ID1078">
            <v>0</v>
          </cell>
          <cell r="IE1078">
            <v>0</v>
          </cell>
          <cell r="IP1078">
            <v>0</v>
          </cell>
          <cell r="IR1078">
            <v>0</v>
          </cell>
          <cell r="IT1078">
            <v>0</v>
          </cell>
          <cell r="IU1078">
            <v>0</v>
          </cell>
        </row>
        <row r="1079">
          <cell r="A1079">
            <v>0</v>
          </cell>
          <cell r="E1079">
            <v>0</v>
          </cell>
          <cell r="S1079">
            <v>0</v>
          </cell>
          <cell r="AK1079">
            <v>0</v>
          </cell>
          <cell r="AN1079">
            <v>0</v>
          </cell>
          <cell r="AQ1079">
            <v>0</v>
          </cell>
          <cell r="AS1079">
            <v>0</v>
          </cell>
          <cell r="BM1079">
            <v>0</v>
          </cell>
          <cell r="BN1079">
            <v>0</v>
          </cell>
          <cell r="BR1079">
            <v>0</v>
          </cell>
          <cell r="FQ1079">
            <v>0</v>
          </cell>
          <cell r="IB1079">
            <v>0</v>
          </cell>
          <cell r="IC1079">
            <v>0</v>
          </cell>
          <cell r="ID1079">
            <v>0</v>
          </cell>
          <cell r="IE1079">
            <v>0</v>
          </cell>
          <cell r="IP1079">
            <v>0</v>
          </cell>
          <cell r="IR1079">
            <v>0</v>
          </cell>
          <cell r="IT1079">
            <v>0</v>
          </cell>
          <cell r="IU1079">
            <v>0</v>
          </cell>
        </row>
        <row r="1080">
          <cell r="A1080">
            <v>0</v>
          </cell>
          <cell r="E1080">
            <v>0</v>
          </cell>
          <cell r="S1080">
            <v>0</v>
          </cell>
          <cell r="AK1080">
            <v>0</v>
          </cell>
          <cell r="AN1080">
            <v>0</v>
          </cell>
          <cell r="AQ1080">
            <v>0</v>
          </cell>
          <cell r="AS1080">
            <v>0</v>
          </cell>
          <cell r="BM1080">
            <v>0</v>
          </cell>
          <cell r="BN1080">
            <v>0</v>
          </cell>
          <cell r="BR1080">
            <v>0</v>
          </cell>
          <cell r="FQ1080">
            <v>0</v>
          </cell>
          <cell r="IB1080">
            <v>0</v>
          </cell>
          <cell r="IC1080">
            <v>0</v>
          </cell>
          <cell r="ID1080">
            <v>0</v>
          </cell>
          <cell r="IE1080">
            <v>0</v>
          </cell>
          <cell r="IP1080">
            <v>0</v>
          </cell>
          <cell r="IR1080">
            <v>0</v>
          </cell>
          <cell r="IT1080">
            <v>0</v>
          </cell>
          <cell r="IU1080">
            <v>0</v>
          </cell>
        </row>
        <row r="1081">
          <cell r="A1081">
            <v>0</v>
          </cell>
          <cell r="E1081">
            <v>0</v>
          </cell>
          <cell r="S1081">
            <v>0</v>
          </cell>
          <cell r="AK1081">
            <v>0</v>
          </cell>
          <cell r="AN1081">
            <v>0</v>
          </cell>
          <cell r="AQ1081">
            <v>0</v>
          </cell>
          <cell r="AS1081">
            <v>0</v>
          </cell>
          <cell r="BM1081">
            <v>0</v>
          </cell>
          <cell r="BN1081">
            <v>0</v>
          </cell>
          <cell r="BR1081">
            <v>0</v>
          </cell>
          <cell r="FQ1081">
            <v>0</v>
          </cell>
          <cell r="IB1081">
            <v>0</v>
          </cell>
          <cell r="IC1081">
            <v>0</v>
          </cell>
          <cell r="ID1081">
            <v>0</v>
          </cell>
          <cell r="IE1081">
            <v>0</v>
          </cell>
          <cell r="IP1081">
            <v>0</v>
          </cell>
          <cell r="IR1081">
            <v>0</v>
          </cell>
          <cell r="IT1081">
            <v>0</v>
          </cell>
          <cell r="IU1081">
            <v>0</v>
          </cell>
        </row>
        <row r="1082">
          <cell r="A1082">
            <v>0</v>
          </cell>
          <cell r="E1082">
            <v>0</v>
          </cell>
          <cell r="S1082">
            <v>0</v>
          </cell>
          <cell r="AK1082">
            <v>0</v>
          </cell>
          <cell r="AN1082">
            <v>0</v>
          </cell>
          <cell r="AQ1082">
            <v>0</v>
          </cell>
          <cell r="AS1082">
            <v>0</v>
          </cell>
          <cell r="BM1082">
            <v>0</v>
          </cell>
          <cell r="BN1082">
            <v>0</v>
          </cell>
          <cell r="FQ1082">
            <v>0</v>
          </cell>
          <cell r="IB1082">
            <v>0</v>
          </cell>
          <cell r="IC1082">
            <v>0</v>
          </cell>
          <cell r="ID1082">
            <v>0</v>
          </cell>
          <cell r="IE1082">
            <v>0</v>
          </cell>
          <cell r="IP1082">
            <v>0</v>
          </cell>
          <cell r="IR1082">
            <v>0</v>
          </cell>
          <cell r="IT1082">
            <v>0</v>
          </cell>
          <cell r="IU1082">
            <v>0</v>
          </cell>
        </row>
        <row r="1083">
          <cell r="A1083">
            <v>0</v>
          </cell>
          <cell r="E1083">
            <v>0</v>
          </cell>
          <cell r="S1083">
            <v>0</v>
          </cell>
          <cell r="AK1083">
            <v>0</v>
          </cell>
          <cell r="AN1083">
            <v>0</v>
          </cell>
          <cell r="AQ1083">
            <v>0</v>
          </cell>
          <cell r="AS1083">
            <v>0</v>
          </cell>
          <cell r="BM1083">
            <v>0</v>
          </cell>
          <cell r="BN1083">
            <v>0</v>
          </cell>
          <cell r="BR1083">
            <v>0</v>
          </cell>
          <cell r="FQ1083">
            <v>0</v>
          </cell>
          <cell r="IB1083">
            <v>0</v>
          </cell>
          <cell r="IC1083">
            <v>0</v>
          </cell>
          <cell r="ID1083">
            <v>0</v>
          </cell>
          <cell r="IE1083">
            <v>0</v>
          </cell>
          <cell r="IP1083">
            <v>0</v>
          </cell>
          <cell r="IR1083">
            <v>0</v>
          </cell>
          <cell r="IT1083">
            <v>0</v>
          </cell>
          <cell r="IU1083">
            <v>0</v>
          </cell>
        </row>
        <row r="1084">
          <cell r="E1084">
            <v>0</v>
          </cell>
          <cell r="S1084">
            <v>0</v>
          </cell>
          <cell r="AK1084">
            <v>0</v>
          </cell>
          <cell r="AN1084">
            <v>0</v>
          </cell>
          <cell r="AQ1084">
            <v>0</v>
          </cell>
          <cell r="AS1084">
            <v>0</v>
          </cell>
          <cell r="BM1084">
            <v>0</v>
          </cell>
          <cell r="BN1084">
            <v>0</v>
          </cell>
          <cell r="BR1084">
            <v>0</v>
          </cell>
          <cell r="FQ1084">
            <v>0</v>
          </cell>
          <cell r="IB1084">
            <v>0</v>
          </cell>
          <cell r="IC1084">
            <v>0</v>
          </cell>
          <cell r="ID1084">
            <v>0</v>
          </cell>
          <cell r="IE1084">
            <v>0</v>
          </cell>
          <cell r="IP1084">
            <v>0</v>
          </cell>
          <cell r="IR1084">
            <v>0</v>
          </cell>
          <cell r="IT1084">
            <v>0</v>
          </cell>
          <cell r="IU1084">
            <v>0</v>
          </cell>
        </row>
        <row r="1085">
          <cell r="A1085">
            <v>0</v>
          </cell>
          <cell r="E1085">
            <v>0</v>
          </cell>
          <cell r="S1085">
            <v>0</v>
          </cell>
          <cell r="AK1085">
            <v>0</v>
          </cell>
          <cell r="AN1085">
            <v>0</v>
          </cell>
          <cell r="AQ1085">
            <v>0</v>
          </cell>
          <cell r="AS1085">
            <v>0</v>
          </cell>
          <cell r="BM1085">
            <v>0</v>
          </cell>
          <cell r="BN1085">
            <v>0</v>
          </cell>
          <cell r="BR1085">
            <v>0</v>
          </cell>
          <cell r="FQ1085">
            <v>0</v>
          </cell>
          <cell r="IB1085">
            <v>0</v>
          </cell>
          <cell r="IC1085">
            <v>0</v>
          </cell>
          <cell r="ID1085">
            <v>0</v>
          </cell>
          <cell r="IE1085">
            <v>0</v>
          </cell>
          <cell r="IP1085">
            <v>0</v>
          </cell>
          <cell r="IR1085">
            <v>0</v>
          </cell>
          <cell r="IT1085">
            <v>0</v>
          </cell>
          <cell r="IU1085">
            <v>0</v>
          </cell>
        </row>
        <row r="1086">
          <cell r="A1086">
            <v>0</v>
          </cell>
          <cell r="E1086">
            <v>0</v>
          </cell>
          <cell r="S1086">
            <v>0</v>
          </cell>
          <cell r="AK1086">
            <v>0</v>
          </cell>
          <cell r="AN1086">
            <v>0</v>
          </cell>
          <cell r="AQ1086">
            <v>0</v>
          </cell>
          <cell r="AS1086">
            <v>0</v>
          </cell>
          <cell r="BM1086">
            <v>0</v>
          </cell>
          <cell r="BN1086">
            <v>0</v>
          </cell>
          <cell r="BR1086">
            <v>0</v>
          </cell>
          <cell r="FQ1086">
            <v>0</v>
          </cell>
          <cell r="IB1086">
            <v>0</v>
          </cell>
          <cell r="IC1086">
            <v>0</v>
          </cell>
          <cell r="ID1086">
            <v>0</v>
          </cell>
          <cell r="IE1086">
            <v>0</v>
          </cell>
          <cell r="IP1086">
            <v>0</v>
          </cell>
          <cell r="IR1086">
            <v>0</v>
          </cell>
          <cell r="IT1086">
            <v>0</v>
          </cell>
          <cell r="IU1086">
            <v>0</v>
          </cell>
        </row>
        <row r="1087">
          <cell r="A1087">
            <v>0</v>
          </cell>
          <cell r="E1087">
            <v>0</v>
          </cell>
          <cell r="S1087">
            <v>0</v>
          </cell>
          <cell r="AK1087">
            <v>0</v>
          </cell>
          <cell r="AN1087">
            <v>0</v>
          </cell>
          <cell r="AQ1087">
            <v>0</v>
          </cell>
          <cell r="AS1087">
            <v>0</v>
          </cell>
          <cell r="BM1087">
            <v>0</v>
          </cell>
          <cell r="BN1087">
            <v>0</v>
          </cell>
          <cell r="BR1087">
            <v>0</v>
          </cell>
          <cell r="FQ1087">
            <v>0</v>
          </cell>
          <cell r="IB1087">
            <v>0</v>
          </cell>
          <cell r="IC1087">
            <v>0</v>
          </cell>
          <cell r="ID1087">
            <v>0</v>
          </cell>
          <cell r="IE1087">
            <v>0</v>
          </cell>
          <cell r="IP1087">
            <v>0</v>
          </cell>
          <cell r="IR1087">
            <v>0</v>
          </cell>
          <cell r="IT1087">
            <v>0</v>
          </cell>
          <cell r="IU1087">
            <v>0</v>
          </cell>
        </row>
        <row r="1088">
          <cell r="A1088">
            <v>0</v>
          </cell>
          <cell r="E1088">
            <v>0</v>
          </cell>
          <cell r="S1088">
            <v>0</v>
          </cell>
          <cell r="AK1088">
            <v>0</v>
          </cell>
          <cell r="AN1088">
            <v>0</v>
          </cell>
          <cell r="AQ1088">
            <v>0</v>
          </cell>
          <cell r="AS1088">
            <v>0</v>
          </cell>
          <cell r="BM1088">
            <v>0</v>
          </cell>
          <cell r="BN1088">
            <v>0</v>
          </cell>
          <cell r="BR1088">
            <v>0</v>
          </cell>
          <cell r="FQ1088">
            <v>0</v>
          </cell>
          <cell r="IB1088">
            <v>0</v>
          </cell>
          <cell r="IC1088">
            <v>0</v>
          </cell>
          <cell r="ID1088">
            <v>0</v>
          </cell>
          <cell r="IE1088">
            <v>0</v>
          </cell>
          <cell r="IP1088">
            <v>0</v>
          </cell>
          <cell r="IR1088">
            <v>0</v>
          </cell>
          <cell r="IT1088">
            <v>0</v>
          </cell>
          <cell r="IU1088">
            <v>0</v>
          </cell>
        </row>
        <row r="1089">
          <cell r="A1089">
            <v>0</v>
          </cell>
          <cell r="E1089">
            <v>0</v>
          </cell>
          <cell r="S1089">
            <v>0</v>
          </cell>
          <cell r="AK1089">
            <v>0</v>
          </cell>
          <cell r="AN1089">
            <v>0</v>
          </cell>
          <cell r="AQ1089">
            <v>0</v>
          </cell>
          <cell r="AS1089">
            <v>0</v>
          </cell>
          <cell r="BM1089">
            <v>0</v>
          </cell>
          <cell r="BN1089">
            <v>0</v>
          </cell>
          <cell r="BR1089">
            <v>0</v>
          </cell>
          <cell r="FQ1089">
            <v>0</v>
          </cell>
          <cell r="IB1089">
            <v>0</v>
          </cell>
          <cell r="IC1089">
            <v>0</v>
          </cell>
          <cell r="ID1089">
            <v>0</v>
          </cell>
          <cell r="IE1089">
            <v>0</v>
          </cell>
          <cell r="IP1089">
            <v>0</v>
          </cell>
          <cell r="IR1089">
            <v>0</v>
          </cell>
          <cell r="IT1089">
            <v>0</v>
          </cell>
          <cell r="IU1089">
            <v>0</v>
          </cell>
        </row>
        <row r="1090">
          <cell r="A1090">
            <v>0</v>
          </cell>
          <cell r="E1090">
            <v>0</v>
          </cell>
          <cell r="S1090">
            <v>0</v>
          </cell>
          <cell r="AK1090">
            <v>0</v>
          </cell>
          <cell r="AN1090">
            <v>0</v>
          </cell>
          <cell r="AQ1090">
            <v>0</v>
          </cell>
          <cell r="AS1090">
            <v>0</v>
          </cell>
          <cell r="BM1090">
            <v>0</v>
          </cell>
          <cell r="BN1090">
            <v>0</v>
          </cell>
          <cell r="BR1090">
            <v>0</v>
          </cell>
          <cell r="FQ1090">
            <v>0</v>
          </cell>
          <cell r="IB1090">
            <v>0</v>
          </cell>
          <cell r="IC1090">
            <v>0</v>
          </cell>
          <cell r="ID1090">
            <v>0</v>
          </cell>
          <cell r="IE1090">
            <v>0</v>
          </cell>
          <cell r="IP1090">
            <v>0</v>
          </cell>
          <cell r="IR1090">
            <v>0</v>
          </cell>
          <cell r="IT1090">
            <v>0</v>
          </cell>
          <cell r="IU1090">
            <v>0</v>
          </cell>
        </row>
        <row r="1091">
          <cell r="A1091">
            <v>0</v>
          </cell>
          <cell r="E1091">
            <v>0</v>
          </cell>
          <cell r="S1091">
            <v>0</v>
          </cell>
          <cell r="AK1091">
            <v>0</v>
          </cell>
          <cell r="AN1091">
            <v>0</v>
          </cell>
          <cell r="AQ1091">
            <v>0</v>
          </cell>
          <cell r="AS1091">
            <v>0</v>
          </cell>
          <cell r="BM1091">
            <v>0</v>
          </cell>
          <cell r="BN1091">
            <v>0</v>
          </cell>
          <cell r="BR1091">
            <v>0</v>
          </cell>
          <cell r="FQ1091">
            <v>0</v>
          </cell>
          <cell r="IB1091">
            <v>0</v>
          </cell>
          <cell r="IC1091">
            <v>0</v>
          </cell>
          <cell r="ID1091">
            <v>0</v>
          </cell>
          <cell r="IE1091">
            <v>0</v>
          </cell>
          <cell r="IP1091">
            <v>0</v>
          </cell>
          <cell r="IR1091">
            <v>0</v>
          </cell>
          <cell r="IT1091">
            <v>0</v>
          </cell>
          <cell r="IU1091">
            <v>0</v>
          </cell>
        </row>
        <row r="1092">
          <cell r="A1092">
            <v>0</v>
          </cell>
          <cell r="E1092">
            <v>0</v>
          </cell>
          <cell r="S1092">
            <v>0</v>
          </cell>
          <cell r="AK1092">
            <v>0</v>
          </cell>
          <cell r="AN1092">
            <v>0</v>
          </cell>
          <cell r="AQ1092">
            <v>0</v>
          </cell>
          <cell r="AS1092">
            <v>0</v>
          </cell>
          <cell r="BM1092">
            <v>0</v>
          </cell>
          <cell r="BN1092">
            <v>0</v>
          </cell>
          <cell r="BR1092">
            <v>0</v>
          </cell>
          <cell r="FQ1092">
            <v>0</v>
          </cell>
          <cell r="IB1092">
            <v>0</v>
          </cell>
          <cell r="IC1092">
            <v>0</v>
          </cell>
          <cell r="ID1092">
            <v>0</v>
          </cell>
          <cell r="IE1092">
            <v>0</v>
          </cell>
          <cell r="IP1092">
            <v>0</v>
          </cell>
          <cell r="IR1092">
            <v>0</v>
          </cell>
          <cell r="IT1092">
            <v>0</v>
          </cell>
          <cell r="IU1092">
            <v>0</v>
          </cell>
        </row>
        <row r="1093">
          <cell r="A1093">
            <v>0</v>
          </cell>
          <cell r="E1093">
            <v>0</v>
          </cell>
          <cell r="S1093">
            <v>0</v>
          </cell>
          <cell r="AK1093">
            <v>0</v>
          </cell>
          <cell r="AN1093">
            <v>0</v>
          </cell>
          <cell r="AQ1093">
            <v>0</v>
          </cell>
          <cell r="AS1093">
            <v>0</v>
          </cell>
          <cell r="BM1093">
            <v>0</v>
          </cell>
          <cell r="BN1093">
            <v>0</v>
          </cell>
          <cell r="BR1093">
            <v>0</v>
          </cell>
          <cell r="FQ1093">
            <v>0</v>
          </cell>
          <cell r="IB1093">
            <v>0</v>
          </cell>
          <cell r="IC1093">
            <v>0</v>
          </cell>
          <cell r="ID1093">
            <v>0</v>
          </cell>
          <cell r="IE1093">
            <v>0</v>
          </cell>
          <cell r="IP1093">
            <v>0</v>
          </cell>
          <cell r="IR1093">
            <v>0</v>
          </cell>
          <cell r="IT1093">
            <v>0</v>
          </cell>
          <cell r="IU1093">
            <v>0</v>
          </cell>
        </row>
        <row r="1094">
          <cell r="A1094">
            <v>0</v>
          </cell>
          <cell r="E1094">
            <v>0</v>
          </cell>
          <cell r="S1094">
            <v>0</v>
          </cell>
          <cell r="AK1094">
            <v>0</v>
          </cell>
          <cell r="AN1094">
            <v>0</v>
          </cell>
          <cell r="AQ1094">
            <v>0</v>
          </cell>
          <cell r="AS1094">
            <v>0</v>
          </cell>
          <cell r="BM1094">
            <v>0</v>
          </cell>
          <cell r="BN1094">
            <v>0</v>
          </cell>
          <cell r="BR1094">
            <v>0</v>
          </cell>
          <cell r="FQ1094">
            <v>0</v>
          </cell>
          <cell r="IB1094">
            <v>0</v>
          </cell>
          <cell r="IC1094">
            <v>0</v>
          </cell>
          <cell r="ID1094">
            <v>0</v>
          </cell>
          <cell r="IE1094">
            <v>0</v>
          </cell>
          <cell r="IP1094">
            <v>0</v>
          </cell>
          <cell r="IR1094">
            <v>0</v>
          </cell>
          <cell r="IT1094">
            <v>0</v>
          </cell>
          <cell r="IU1094">
            <v>0</v>
          </cell>
        </row>
        <row r="1095">
          <cell r="A1095">
            <v>0</v>
          </cell>
          <cell r="E1095">
            <v>0</v>
          </cell>
          <cell r="S1095">
            <v>0</v>
          </cell>
          <cell r="AK1095">
            <v>0</v>
          </cell>
          <cell r="AN1095">
            <v>0</v>
          </cell>
          <cell r="AQ1095">
            <v>0</v>
          </cell>
          <cell r="AS1095">
            <v>0</v>
          </cell>
          <cell r="BM1095">
            <v>0</v>
          </cell>
          <cell r="BN1095">
            <v>0</v>
          </cell>
          <cell r="BR1095">
            <v>0</v>
          </cell>
          <cell r="FQ1095">
            <v>0</v>
          </cell>
          <cell r="IB1095">
            <v>0</v>
          </cell>
          <cell r="IC1095">
            <v>0</v>
          </cell>
          <cell r="ID1095">
            <v>0</v>
          </cell>
          <cell r="IE1095">
            <v>0</v>
          </cell>
          <cell r="IP1095">
            <v>0</v>
          </cell>
          <cell r="IR1095">
            <v>0</v>
          </cell>
          <cell r="IT1095">
            <v>0</v>
          </cell>
          <cell r="IU1095">
            <v>0</v>
          </cell>
        </row>
        <row r="1096">
          <cell r="A1096">
            <v>0</v>
          </cell>
          <cell r="E1096">
            <v>0</v>
          </cell>
          <cell r="S1096">
            <v>0</v>
          </cell>
          <cell r="AK1096">
            <v>0</v>
          </cell>
          <cell r="AN1096">
            <v>0</v>
          </cell>
          <cell r="AQ1096">
            <v>0</v>
          </cell>
          <cell r="AS1096">
            <v>0</v>
          </cell>
          <cell r="BM1096">
            <v>0</v>
          </cell>
          <cell r="BN1096">
            <v>0</v>
          </cell>
          <cell r="BR1096">
            <v>0</v>
          </cell>
          <cell r="FQ1096">
            <v>0</v>
          </cell>
          <cell r="IB1096">
            <v>0</v>
          </cell>
          <cell r="IC1096">
            <v>0</v>
          </cell>
          <cell r="ID1096">
            <v>0</v>
          </cell>
          <cell r="IE1096">
            <v>0</v>
          </cell>
          <cell r="IP1096">
            <v>0</v>
          </cell>
          <cell r="IR1096">
            <v>0</v>
          </cell>
          <cell r="IT1096">
            <v>0</v>
          </cell>
          <cell r="IU1096">
            <v>0</v>
          </cell>
        </row>
        <row r="1097">
          <cell r="A1097">
            <v>0</v>
          </cell>
          <cell r="E1097">
            <v>0</v>
          </cell>
          <cell r="S1097">
            <v>0</v>
          </cell>
          <cell r="AK1097">
            <v>0</v>
          </cell>
          <cell r="AN1097">
            <v>0</v>
          </cell>
          <cell r="AQ1097">
            <v>0</v>
          </cell>
          <cell r="AS1097">
            <v>0</v>
          </cell>
          <cell r="BM1097">
            <v>0</v>
          </cell>
          <cell r="BN1097">
            <v>0</v>
          </cell>
          <cell r="BR1097">
            <v>0</v>
          </cell>
          <cell r="FQ1097">
            <v>0</v>
          </cell>
          <cell r="IB1097">
            <v>0</v>
          </cell>
          <cell r="IC1097">
            <v>0</v>
          </cell>
          <cell r="ID1097">
            <v>0</v>
          </cell>
          <cell r="IE1097">
            <v>0</v>
          </cell>
          <cell r="IP1097">
            <v>0</v>
          </cell>
          <cell r="IR1097">
            <v>0</v>
          </cell>
          <cell r="IT1097">
            <v>0</v>
          </cell>
          <cell r="IU1097">
            <v>0</v>
          </cell>
        </row>
        <row r="1098">
          <cell r="A1098">
            <v>0</v>
          </cell>
          <cell r="E1098">
            <v>0</v>
          </cell>
          <cell r="S1098">
            <v>0</v>
          </cell>
          <cell r="AK1098">
            <v>0</v>
          </cell>
          <cell r="AN1098">
            <v>0</v>
          </cell>
          <cell r="AQ1098">
            <v>0</v>
          </cell>
          <cell r="AS1098">
            <v>0</v>
          </cell>
          <cell r="BM1098">
            <v>0</v>
          </cell>
          <cell r="BN1098">
            <v>0</v>
          </cell>
          <cell r="BR1098">
            <v>0</v>
          </cell>
          <cell r="FQ1098">
            <v>0</v>
          </cell>
          <cell r="IB1098">
            <v>0</v>
          </cell>
          <cell r="IC1098">
            <v>0</v>
          </cell>
          <cell r="ID1098">
            <v>0</v>
          </cell>
          <cell r="IE1098">
            <v>0</v>
          </cell>
          <cell r="IP1098">
            <v>0</v>
          </cell>
          <cell r="IR1098">
            <v>0</v>
          </cell>
          <cell r="IT1098">
            <v>0</v>
          </cell>
          <cell r="IU1098">
            <v>0</v>
          </cell>
        </row>
        <row r="1099">
          <cell r="A1099">
            <v>0</v>
          </cell>
          <cell r="E1099">
            <v>0</v>
          </cell>
          <cell r="S1099">
            <v>0</v>
          </cell>
          <cell r="AK1099">
            <v>0</v>
          </cell>
          <cell r="AN1099">
            <v>0</v>
          </cell>
          <cell r="AQ1099">
            <v>0</v>
          </cell>
          <cell r="AS1099">
            <v>0</v>
          </cell>
          <cell r="BM1099">
            <v>0</v>
          </cell>
          <cell r="BN1099">
            <v>0</v>
          </cell>
          <cell r="BR1099">
            <v>0</v>
          </cell>
          <cell r="FQ1099">
            <v>0</v>
          </cell>
          <cell r="IB1099">
            <v>0</v>
          </cell>
          <cell r="IC1099">
            <v>0</v>
          </cell>
          <cell r="ID1099">
            <v>0</v>
          </cell>
          <cell r="IE1099">
            <v>0</v>
          </cell>
          <cell r="IP1099">
            <v>0</v>
          </cell>
          <cell r="IR1099">
            <v>0</v>
          </cell>
          <cell r="IT1099">
            <v>0</v>
          </cell>
          <cell r="IU1099">
            <v>0</v>
          </cell>
        </row>
        <row r="1100">
          <cell r="A1100">
            <v>0</v>
          </cell>
          <cell r="E1100">
            <v>0</v>
          </cell>
          <cell r="S1100">
            <v>0</v>
          </cell>
          <cell r="AK1100">
            <v>0</v>
          </cell>
          <cell r="AN1100">
            <v>0</v>
          </cell>
          <cell r="AQ1100">
            <v>0</v>
          </cell>
          <cell r="AS1100">
            <v>0</v>
          </cell>
          <cell r="BM1100">
            <v>0</v>
          </cell>
          <cell r="BN1100">
            <v>0</v>
          </cell>
          <cell r="BR1100">
            <v>0</v>
          </cell>
          <cell r="FQ1100">
            <v>0</v>
          </cell>
          <cell r="IB1100">
            <v>0</v>
          </cell>
          <cell r="IC1100">
            <v>0</v>
          </cell>
          <cell r="ID1100">
            <v>0</v>
          </cell>
          <cell r="IE1100">
            <v>0</v>
          </cell>
          <cell r="IP1100">
            <v>0</v>
          </cell>
          <cell r="IR1100">
            <v>0</v>
          </cell>
          <cell r="IT1100">
            <v>0</v>
          </cell>
          <cell r="IU1100">
            <v>0</v>
          </cell>
        </row>
        <row r="1101">
          <cell r="A1101">
            <v>0</v>
          </cell>
          <cell r="E1101">
            <v>0</v>
          </cell>
          <cell r="S1101">
            <v>0</v>
          </cell>
          <cell r="AK1101">
            <v>0</v>
          </cell>
          <cell r="AN1101">
            <v>0</v>
          </cell>
          <cell r="AQ1101">
            <v>0</v>
          </cell>
          <cell r="AS1101">
            <v>0</v>
          </cell>
          <cell r="BM1101">
            <v>0</v>
          </cell>
          <cell r="BN1101">
            <v>0</v>
          </cell>
          <cell r="BR1101">
            <v>0</v>
          </cell>
          <cell r="FQ1101">
            <v>0</v>
          </cell>
          <cell r="IB1101">
            <v>0</v>
          </cell>
          <cell r="IC1101">
            <v>0</v>
          </cell>
          <cell r="ID1101">
            <v>0</v>
          </cell>
          <cell r="IE1101">
            <v>0</v>
          </cell>
          <cell r="IP1101">
            <v>0</v>
          </cell>
          <cell r="IR1101">
            <v>0</v>
          </cell>
          <cell r="IT1101">
            <v>0</v>
          </cell>
          <cell r="IU1101">
            <v>0</v>
          </cell>
        </row>
        <row r="1102">
          <cell r="A1102">
            <v>0</v>
          </cell>
          <cell r="E1102">
            <v>0</v>
          </cell>
          <cell r="S1102">
            <v>0</v>
          </cell>
          <cell r="AK1102">
            <v>0</v>
          </cell>
          <cell r="AN1102">
            <v>0</v>
          </cell>
          <cell r="AQ1102">
            <v>0</v>
          </cell>
          <cell r="AS1102">
            <v>0</v>
          </cell>
          <cell r="BM1102">
            <v>0</v>
          </cell>
          <cell r="BN1102">
            <v>0</v>
          </cell>
          <cell r="BR1102">
            <v>0</v>
          </cell>
          <cell r="FQ1102">
            <v>0</v>
          </cell>
          <cell r="IB1102">
            <v>0</v>
          </cell>
          <cell r="IC1102">
            <v>0</v>
          </cell>
          <cell r="ID1102">
            <v>0</v>
          </cell>
          <cell r="IE1102">
            <v>0</v>
          </cell>
          <cell r="IP1102">
            <v>0</v>
          </cell>
          <cell r="IR1102">
            <v>0</v>
          </cell>
          <cell r="IT1102">
            <v>0</v>
          </cell>
          <cell r="IU1102">
            <v>0</v>
          </cell>
        </row>
        <row r="1103">
          <cell r="A1103">
            <v>0</v>
          </cell>
          <cell r="E1103">
            <v>0</v>
          </cell>
          <cell r="S1103">
            <v>0</v>
          </cell>
          <cell r="AK1103">
            <v>0</v>
          </cell>
          <cell r="AN1103">
            <v>0</v>
          </cell>
          <cell r="AQ1103">
            <v>0</v>
          </cell>
          <cell r="AS1103">
            <v>0</v>
          </cell>
          <cell r="BM1103">
            <v>0</v>
          </cell>
          <cell r="BN1103">
            <v>0</v>
          </cell>
          <cell r="BR1103">
            <v>0</v>
          </cell>
          <cell r="FQ1103">
            <v>0</v>
          </cell>
          <cell r="IB1103">
            <v>0</v>
          </cell>
          <cell r="IC1103">
            <v>0</v>
          </cell>
          <cell r="ID1103">
            <v>0</v>
          </cell>
          <cell r="IE1103">
            <v>0</v>
          </cell>
          <cell r="IP1103">
            <v>0</v>
          </cell>
          <cell r="IR1103">
            <v>0</v>
          </cell>
          <cell r="IT1103">
            <v>0</v>
          </cell>
          <cell r="IU1103">
            <v>0</v>
          </cell>
        </row>
        <row r="1104">
          <cell r="A1104">
            <v>0</v>
          </cell>
          <cell r="E1104">
            <v>0</v>
          </cell>
          <cell r="S1104">
            <v>0</v>
          </cell>
          <cell r="AK1104">
            <v>0</v>
          </cell>
          <cell r="AN1104">
            <v>0</v>
          </cell>
          <cell r="AQ1104">
            <v>0</v>
          </cell>
          <cell r="AS1104">
            <v>0</v>
          </cell>
          <cell r="BM1104">
            <v>0</v>
          </cell>
          <cell r="BN1104">
            <v>0</v>
          </cell>
          <cell r="BR1104">
            <v>0</v>
          </cell>
          <cell r="FQ1104">
            <v>0</v>
          </cell>
          <cell r="IB1104">
            <v>0</v>
          </cell>
          <cell r="IC1104">
            <v>0</v>
          </cell>
          <cell r="ID1104">
            <v>0</v>
          </cell>
          <cell r="IE1104">
            <v>0</v>
          </cell>
          <cell r="IP1104">
            <v>0</v>
          </cell>
          <cell r="IR1104">
            <v>0</v>
          </cell>
          <cell r="IT1104">
            <v>0</v>
          </cell>
          <cell r="IU1104">
            <v>0</v>
          </cell>
        </row>
        <row r="1105">
          <cell r="A1105">
            <v>0</v>
          </cell>
          <cell r="E1105">
            <v>0</v>
          </cell>
          <cell r="S1105">
            <v>0</v>
          </cell>
          <cell r="AK1105">
            <v>0</v>
          </cell>
          <cell r="AN1105">
            <v>0</v>
          </cell>
          <cell r="AQ1105">
            <v>0</v>
          </cell>
          <cell r="AS1105">
            <v>0</v>
          </cell>
          <cell r="BM1105">
            <v>0</v>
          </cell>
          <cell r="BN1105">
            <v>0</v>
          </cell>
          <cell r="BR1105">
            <v>0</v>
          </cell>
          <cell r="FQ1105">
            <v>0</v>
          </cell>
          <cell r="IB1105">
            <v>0</v>
          </cell>
          <cell r="IC1105">
            <v>0</v>
          </cell>
          <cell r="ID1105">
            <v>0</v>
          </cell>
          <cell r="IE1105">
            <v>0</v>
          </cell>
          <cell r="IP1105">
            <v>0</v>
          </cell>
          <cell r="IR1105">
            <v>0</v>
          </cell>
          <cell r="IT1105">
            <v>0</v>
          </cell>
          <cell r="IU1105">
            <v>0</v>
          </cell>
        </row>
        <row r="1106">
          <cell r="A1106">
            <v>0</v>
          </cell>
          <cell r="E1106">
            <v>0</v>
          </cell>
          <cell r="S1106">
            <v>0</v>
          </cell>
          <cell r="AK1106">
            <v>0</v>
          </cell>
          <cell r="AN1106">
            <v>0</v>
          </cell>
          <cell r="AQ1106">
            <v>0</v>
          </cell>
          <cell r="AS1106">
            <v>0</v>
          </cell>
          <cell r="BM1106">
            <v>0</v>
          </cell>
          <cell r="BN1106">
            <v>0</v>
          </cell>
          <cell r="BR1106">
            <v>0</v>
          </cell>
          <cell r="FQ1106">
            <v>0</v>
          </cell>
          <cell r="IB1106">
            <v>0</v>
          </cell>
          <cell r="IC1106">
            <v>0</v>
          </cell>
          <cell r="ID1106">
            <v>0</v>
          </cell>
          <cell r="IE1106">
            <v>0</v>
          </cell>
          <cell r="IP1106">
            <v>0</v>
          </cell>
          <cell r="IR1106">
            <v>0</v>
          </cell>
          <cell r="IT1106">
            <v>0</v>
          </cell>
          <cell r="IU1106">
            <v>0</v>
          </cell>
        </row>
        <row r="1107">
          <cell r="A1107">
            <v>0</v>
          </cell>
        </row>
        <row r="1108">
          <cell r="A1108">
            <v>0</v>
          </cell>
        </row>
        <row r="1109">
          <cell r="A1109">
            <v>0</v>
          </cell>
        </row>
        <row r="1110">
          <cell r="A1110">
            <v>0</v>
          </cell>
        </row>
        <row r="1111">
          <cell r="A1111">
            <v>0</v>
          </cell>
        </row>
        <row r="1112">
          <cell r="A1112">
            <v>0</v>
          </cell>
        </row>
        <row r="1113">
          <cell r="A1113">
            <v>0</v>
          </cell>
        </row>
        <row r="1114">
          <cell r="A1114">
            <v>0</v>
          </cell>
        </row>
        <row r="1115">
          <cell r="A1115">
            <v>0</v>
          </cell>
        </row>
        <row r="1116">
          <cell r="A1116">
            <v>0</v>
          </cell>
        </row>
        <row r="1117">
          <cell r="A1117">
            <v>0</v>
          </cell>
        </row>
        <row r="1118">
          <cell r="A1118">
            <v>0</v>
          </cell>
        </row>
        <row r="1119">
          <cell r="A1119">
            <v>0</v>
          </cell>
        </row>
        <row r="1120">
          <cell r="A1120">
            <v>0</v>
          </cell>
        </row>
        <row r="1121">
          <cell r="A1121">
            <v>0</v>
          </cell>
        </row>
        <row r="1122">
          <cell r="A1122">
            <v>0</v>
          </cell>
        </row>
        <row r="1123">
          <cell r="A1123">
            <v>0</v>
          </cell>
        </row>
        <row r="1124">
          <cell r="A1124">
            <v>0</v>
          </cell>
        </row>
        <row r="1125">
          <cell r="A1125">
            <v>0</v>
          </cell>
        </row>
        <row r="1126">
          <cell r="A1126">
            <v>0</v>
          </cell>
        </row>
        <row r="1127">
          <cell r="A1127">
            <v>0</v>
          </cell>
        </row>
        <row r="1128">
          <cell r="A1128">
            <v>0</v>
          </cell>
        </row>
        <row r="1129">
          <cell r="A1129">
            <v>0</v>
          </cell>
        </row>
        <row r="1130">
          <cell r="A1130">
            <v>0</v>
          </cell>
        </row>
        <row r="1131">
          <cell r="A1131">
            <v>0</v>
          </cell>
        </row>
        <row r="1132">
          <cell r="A1132">
            <v>0</v>
          </cell>
        </row>
        <row r="1133">
          <cell r="A1133">
            <v>0</v>
          </cell>
        </row>
        <row r="1134">
          <cell r="A1134">
            <v>0</v>
          </cell>
        </row>
        <row r="1135">
          <cell r="A1135">
            <v>0</v>
          </cell>
        </row>
        <row r="1136">
          <cell r="A1136">
            <v>0</v>
          </cell>
        </row>
        <row r="1137">
          <cell r="A1137">
            <v>0</v>
          </cell>
        </row>
        <row r="1138">
          <cell r="A1138">
            <v>0</v>
          </cell>
        </row>
        <row r="1139">
          <cell r="A1139">
            <v>0</v>
          </cell>
        </row>
        <row r="1140">
          <cell r="A1140">
            <v>0</v>
          </cell>
        </row>
        <row r="1141">
          <cell r="A1141">
            <v>0</v>
          </cell>
        </row>
        <row r="1142">
          <cell r="A1142">
            <v>0</v>
          </cell>
        </row>
        <row r="1143">
          <cell r="A1143">
            <v>0</v>
          </cell>
        </row>
        <row r="1144">
          <cell r="A1144">
            <v>0</v>
          </cell>
        </row>
        <row r="1145">
          <cell r="A1145">
            <v>0</v>
          </cell>
        </row>
        <row r="1146">
          <cell r="A1146">
            <v>0</v>
          </cell>
        </row>
        <row r="1147">
          <cell r="A1147">
            <v>0</v>
          </cell>
        </row>
        <row r="1148">
          <cell r="A1148">
            <v>0</v>
          </cell>
        </row>
        <row r="1149">
          <cell r="A1149">
            <v>0</v>
          </cell>
        </row>
        <row r="1150">
          <cell r="A1150">
            <v>0</v>
          </cell>
        </row>
        <row r="1151">
          <cell r="A1151">
            <v>0</v>
          </cell>
        </row>
        <row r="1152">
          <cell r="A1152">
            <v>0</v>
          </cell>
        </row>
        <row r="1153">
          <cell r="A1153">
            <v>0</v>
          </cell>
        </row>
        <row r="1154">
          <cell r="A1154">
            <v>0</v>
          </cell>
        </row>
        <row r="1155">
          <cell r="A1155">
            <v>0</v>
          </cell>
        </row>
        <row r="1156">
          <cell r="A1156">
            <v>0</v>
          </cell>
        </row>
        <row r="1157">
          <cell r="A1157">
            <v>0</v>
          </cell>
        </row>
        <row r="1158">
          <cell r="A1158">
            <v>0</v>
          </cell>
        </row>
        <row r="1159">
          <cell r="A1159">
            <v>0</v>
          </cell>
        </row>
        <row r="1160">
          <cell r="A1160">
            <v>0</v>
          </cell>
        </row>
        <row r="1161">
          <cell r="A1161">
            <v>0</v>
          </cell>
        </row>
        <row r="1162">
          <cell r="A1162">
            <v>0</v>
          </cell>
        </row>
        <row r="1163">
          <cell r="A1163">
            <v>0</v>
          </cell>
        </row>
        <row r="1164">
          <cell r="A1164">
            <v>0</v>
          </cell>
        </row>
        <row r="1165">
          <cell r="A1165">
            <v>0</v>
          </cell>
        </row>
        <row r="1166">
          <cell r="A1166">
            <v>0</v>
          </cell>
        </row>
        <row r="1167">
          <cell r="A1167">
            <v>0</v>
          </cell>
        </row>
        <row r="1168">
          <cell r="A1168">
            <v>0</v>
          </cell>
        </row>
        <row r="1169">
          <cell r="A1169">
            <v>0</v>
          </cell>
        </row>
        <row r="1170">
          <cell r="A1170">
            <v>0</v>
          </cell>
        </row>
        <row r="1171">
          <cell r="A1171">
            <v>0</v>
          </cell>
        </row>
        <row r="1172">
          <cell r="A1172">
            <v>0</v>
          </cell>
        </row>
        <row r="1173">
          <cell r="A1173">
            <v>0</v>
          </cell>
        </row>
        <row r="1174">
          <cell r="A1174">
            <v>0</v>
          </cell>
        </row>
        <row r="1175">
          <cell r="A1175">
            <v>0</v>
          </cell>
        </row>
        <row r="1176">
          <cell r="A1176">
            <v>0</v>
          </cell>
        </row>
        <row r="1177">
          <cell r="A1177">
            <v>0</v>
          </cell>
        </row>
        <row r="1178">
          <cell r="A1178">
            <v>0</v>
          </cell>
        </row>
        <row r="1179">
          <cell r="A1179">
            <v>0</v>
          </cell>
        </row>
        <row r="1180">
          <cell r="A1180">
            <v>0</v>
          </cell>
        </row>
        <row r="1181">
          <cell r="A1181">
            <v>0</v>
          </cell>
        </row>
        <row r="1182">
          <cell r="A1182">
            <v>0</v>
          </cell>
        </row>
        <row r="1183">
          <cell r="A1183">
            <v>0</v>
          </cell>
        </row>
        <row r="1184">
          <cell r="A1184">
            <v>0</v>
          </cell>
        </row>
        <row r="1185">
          <cell r="A1185">
            <v>0</v>
          </cell>
        </row>
        <row r="1186">
          <cell r="A1186">
            <v>0</v>
          </cell>
        </row>
        <row r="1187">
          <cell r="A1187">
            <v>0</v>
          </cell>
        </row>
        <row r="1188">
          <cell r="A1188">
            <v>0</v>
          </cell>
        </row>
        <row r="1189">
          <cell r="A1189">
            <v>0</v>
          </cell>
        </row>
        <row r="1190">
          <cell r="A1190">
            <v>0</v>
          </cell>
        </row>
        <row r="1191">
          <cell r="A1191">
            <v>0</v>
          </cell>
        </row>
        <row r="1192">
          <cell r="A1192">
            <v>0</v>
          </cell>
        </row>
        <row r="1193">
          <cell r="A1193">
            <v>0</v>
          </cell>
        </row>
        <row r="1194">
          <cell r="A1194">
            <v>0</v>
          </cell>
        </row>
        <row r="1195">
          <cell r="A1195">
            <v>0</v>
          </cell>
        </row>
        <row r="1196">
          <cell r="A1196">
            <v>0</v>
          </cell>
        </row>
        <row r="1197">
          <cell r="A1197">
            <v>0</v>
          </cell>
        </row>
        <row r="1198">
          <cell r="A1198">
            <v>0</v>
          </cell>
        </row>
        <row r="1199">
          <cell r="A1199">
            <v>0</v>
          </cell>
        </row>
        <row r="1200">
          <cell r="A1200">
            <v>0</v>
          </cell>
        </row>
        <row r="1201">
          <cell r="A1201">
            <v>0</v>
          </cell>
        </row>
        <row r="1202">
          <cell r="A1202">
            <v>0</v>
          </cell>
        </row>
        <row r="1203">
          <cell r="A1203">
            <v>0</v>
          </cell>
        </row>
        <row r="1204">
          <cell r="A1204">
            <v>0</v>
          </cell>
        </row>
        <row r="1205">
          <cell r="A1205">
            <v>0</v>
          </cell>
        </row>
        <row r="1206">
          <cell r="A1206">
            <v>0</v>
          </cell>
        </row>
        <row r="1207">
          <cell r="A1207">
            <v>0</v>
          </cell>
        </row>
        <row r="1208">
          <cell r="A1208">
            <v>0</v>
          </cell>
        </row>
        <row r="1209">
          <cell r="A1209">
            <v>0</v>
          </cell>
        </row>
        <row r="1210">
          <cell r="A1210">
            <v>0</v>
          </cell>
        </row>
        <row r="1211">
          <cell r="A1211">
            <v>0</v>
          </cell>
        </row>
        <row r="1212">
          <cell r="A1212">
            <v>0</v>
          </cell>
        </row>
        <row r="1213">
          <cell r="A1213">
            <v>0</v>
          </cell>
        </row>
        <row r="1214">
          <cell r="A1214">
            <v>0</v>
          </cell>
        </row>
        <row r="1215">
          <cell r="A1215">
            <v>0</v>
          </cell>
        </row>
        <row r="1216">
          <cell r="A1216">
            <v>0</v>
          </cell>
        </row>
        <row r="1217">
          <cell r="A1217">
            <v>0</v>
          </cell>
        </row>
        <row r="1218">
          <cell r="A1218">
            <v>0</v>
          </cell>
        </row>
        <row r="1219">
          <cell r="A1219">
            <v>0</v>
          </cell>
        </row>
        <row r="1220">
          <cell r="A1220">
            <v>0</v>
          </cell>
        </row>
        <row r="1221">
          <cell r="A1221">
            <v>0</v>
          </cell>
        </row>
        <row r="1222">
          <cell r="A1222">
            <v>0</v>
          </cell>
        </row>
        <row r="1223">
          <cell r="A1223">
            <v>0</v>
          </cell>
        </row>
        <row r="1224">
          <cell r="A1224">
            <v>0</v>
          </cell>
        </row>
        <row r="1225">
          <cell r="A1225">
            <v>0</v>
          </cell>
        </row>
        <row r="1226">
          <cell r="A1226">
            <v>0</v>
          </cell>
        </row>
        <row r="1227">
          <cell r="A1227">
            <v>0</v>
          </cell>
        </row>
        <row r="1228">
          <cell r="A1228">
            <v>0</v>
          </cell>
        </row>
        <row r="1229">
          <cell r="A1229">
            <v>0</v>
          </cell>
        </row>
        <row r="1230">
          <cell r="A1230">
            <v>0</v>
          </cell>
        </row>
        <row r="1231">
          <cell r="A1231">
            <v>0</v>
          </cell>
        </row>
        <row r="1232">
          <cell r="A1232">
            <v>0</v>
          </cell>
        </row>
        <row r="1233">
          <cell r="A1233">
            <v>0</v>
          </cell>
        </row>
        <row r="1234">
          <cell r="A1234">
            <v>0</v>
          </cell>
        </row>
        <row r="1235">
          <cell r="A1235">
            <v>0</v>
          </cell>
        </row>
        <row r="1236">
          <cell r="A1236">
            <v>0</v>
          </cell>
        </row>
        <row r="1237">
          <cell r="A1237">
            <v>0</v>
          </cell>
        </row>
        <row r="1238">
          <cell r="A1238">
            <v>0</v>
          </cell>
        </row>
        <row r="1239">
          <cell r="A1239">
            <v>0</v>
          </cell>
        </row>
        <row r="1240">
          <cell r="A1240">
            <v>0</v>
          </cell>
        </row>
        <row r="1241">
          <cell r="A1241">
            <v>0</v>
          </cell>
        </row>
        <row r="1242">
          <cell r="A1242">
            <v>0</v>
          </cell>
        </row>
        <row r="1243">
          <cell r="A1243">
            <v>0</v>
          </cell>
        </row>
        <row r="1244">
          <cell r="A1244">
            <v>0</v>
          </cell>
        </row>
        <row r="1245">
          <cell r="A1245">
            <v>0</v>
          </cell>
        </row>
        <row r="1246">
          <cell r="A1246">
            <v>0</v>
          </cell>
        </row>
        <row r="1247">
          <cell r="A1247">
            <v>0</v>
          </cell>
        </row>
        <row r="1248">
          <cell r="A1248">
            <v>0</v>
          </cell>
        </row>
        <row r="1249">
          <cell r="A1249">
            <v>0</v>
          </cell>
        </row>
        <row r="1250">
          <cell r="A1250">
            <v>0</v>
          </cell>
        </row>
        <row r="1251">
          <cell r="A1251">
            <v>0</v>
          </cell>
        </row>
        <row r="1252">
          <cell r="A1252">
            <v>0</v>
          </cell>
        </row>
        <row r="1253">
          <cell r="A1253">
            <v>0</v>
          </cell>
        </row>
        <row r="1254">
          <cell r="A1254">
            <v>0</v>
          </cell>
        </row>
        <row r="1255">
          <cell r="A1255">
            <v>0</v>
          </cell>
        </row>
        <row r="1256">
          <cell r="A1256">
            <v>0</v>
          </cell>
        </row>
        <row r="1257">
          <cell r="A1257">
            <v>0</v>
          </cell>
        </row>
        <row r="1258">
          <cell r="A1258">
            <v>0</v>
          </cell>
        </row>
        <row r="1259">
          <cell r="A1259">
            <v>0</v>
          </cell>
        </row>
        <row r="1260">
          <cell r="A1260">
            <v>0</v>
          </cell>
        </row>
        <row r="1261">
          <cell r="A1261">
            <v>0</v>
          </cell>
        </row>
        <row r="1262">
          <cell r="A1262">
            <v>0</v>
          </cell>
        </row>
        <row r="1263">
          <cell r="A1263">
            <v>0</v>
          </cell>
        </row>
        <row r="1264">
          <cell r="A1264">
            <v>0</v>
          </cell>
        </row>
        <row r="1265">
          <cell r="A1265">
            <v>0</v>
          </cell>
        </row>
        <row r="1266">
          <cell r="A1266">
            <v>0</v>
          </cell>
        </row>
        <row r="1267">
          <cell r="A1267">
            <v>0</v>
          </cell>
        </row>
        <row r="1268">
          <cell r="A1268">
            <v>0</v>
          </cell>
        </row>
        <row r="1269">
          <cell r="A1269">
            <v>0</v>
          </cell>
        </row>
        <row r="1270">
          <cell r="A1270">
            <v>0</v>
          </cell>
        </row>
        <row r="1271">
          <cell r="A1271">
            <v>0</v>
          </cell>
        </row>
        <row r="1272">
          <cell r="A1272">
            <v>0</v>
          </cell>
        </row>
        <row r="1273">
          <cell r="A1273">
            <v>0</v>
          </cell>
        </row>
        <row r="1274">
          <cell r="A1274">
            <v>0</v>
          </cell>
        </row>
        <row r="1275">
          <cell r="A1275">
            <v>0</v>
          </cell>
        </row>
        <row r="1276">
          <cell r="A1276">
            <v>0</v>
          </cell>
        </row>
        <row r="1277">
          <cell r="A1277">
            <v>0</v>
          </cell>
        </row>
        <row r="1278">
          <cell r="A1278">
            <v>0</v>
          </cell>
        </row>
        <row r="1279">
          <cell r="A1279">
            <v>0</v>
          </cell>
        </row>
        <row r="1280">
          <cell r="A1280">
            <v>0</v>
          </cell>
        </row>
        <row r="1281">
          <cell r="A1281">
            <v>0</v>
          </cell>
        </row>
        <row r="1282">
          <cell r="A1282">
            <v>0</v>
          </cell>
        </row>
        <row r="1283">
          <cell r="A1283">
            <v>0</v>
          </cell>
        </row>
        <row r="1284">
          <cell r="A1284">
            <v>0</v>
          </cell>
        </row>
        <row r="1285">
          <cell r="A1285">
            <v>0</v>
          </cell>
        </row>
        <row r="1286">
          <cell r="A1286">
            <v>0</v>
          </cell>
        </row>
        <row r="1287">
          <cell r="A1287">
            <v>0</v>
          </cell>
        </row>
        <row r="1288">
          <cell r="A1288">
            <v>0</v>
          </cell>
        </row>
        <row r="1289">
          <cell r="A1289">
            <v>0</v>
          </cell>
        </row>
        <row r="1290">
          <cell r="A1290">
            <v>0</v>
          </cell>
        </row>
        <row r="1291">
          <cell r="A1291">
            <v>0</v>
          </cell>
        </row>
        <row r="1292">
          <cell r="A1292">
            <v>0</v>
          </cell>
        </row>
        <row r="1293">
          <cell r="A1293">
            <v>0</v>
          </cell>
        </row>
        <row r="1294">
          <cell r="A1294">
            <v>0</v>
          </cell>
        </row>
        <row r="1295">
          <cell r="A1295">
            <v>0</v>
          </cell>
        </row>
        <row r="1296">
          <cell r="A1296">
            <v>0</v>
          </cell>
        </row>
        <row r="1297">
          <cell r="A1297">
            <v>0</v>
          </cell>
        </row>
        <row r="1298">
          <cell r="A1298">
            <v>0</v>
          </cell>
        </row>
        <row r="1299">
          <cell r="A1299">
            <v>0</v>
          </cell>
        </row>
        <row r="1300">
          <cell r="A1300">
            <v>0</v>
          </cell>
        </row>
        <row r="1301">
          <cell r="A1301">
            <v>0</v>
          </cell>
        </row>
        <row r="1302">
          <cell r="A1302">
            <v>0</v>
          </cell>
        </row>
        <row r="1303">
          <cell r="A1303">
            <v>0</v>
          </cell>
        </row>
        <row r="1304">
          <cell r="A1304">
            <v>0</v>
          </cell>
        </row>
        <row r="1305">
          <cell r="A1305">
            <v>0</v>
          </cell>
        </row>
        <row r="1306">
          <cell r="A1306">
            <v>0</v>
          </cell>
        </row>
        <row r="1307">
          <cell r="A1307">
            <v>0</v>
          </cell>
        </row>
        <row r="1308">
          <cell r="A1308">
            <v>0</v>
          </cell>
        </row>
        <row r="1309">
          <cell r="A1309">
            <v>0</v>
          </cell>
        </row>
        <row r="1310">
          <cell r="A1310">
            <v>0</v>
          </cell>
        </row>
        <row r="1311">
          <cell r="A1311">
            <v>0</v>
          </cell>
        </row>
        <row r="1312">
          <cell r="A1312">
            <v>0</v>
          </cell>
        </row>
        <row r="1313">
          <cell r="A1313">
            <v>0</v>
          </cell>
        </row>
        <row r="1314">
          <cell r="A1314">
            <v>0</v>
          </cell>
        </row>
        <row r="1315">
          <cell r="A1315">
            <v>0</v>
          </cell>
        </row>
        <row r="1316">
          <cell r="A1316">
            <v>0</v>
          </cell>
        </row>
        <row r="1317">
          <cell r="A1317">
            <v>0</v>
          </cell>
        </row>
        <row r="1318">
          <cell r="A1318">
            <v>0</v>
          </cell>
        </row>
        <row r="1319">
          <cell r="A1319">
            <v>0</v>
          </cell>
        </row>
        <row r="1320">
          <cell r="A1320">
            <v>0</v>
          </cell>
        </row>
        <row r="1321">
          <cell r="A1321">
            <v>0</v>
          </cell>
        </row>
        <row r="1322">
          <cell r="A1322">
            <v>0</v>
          </cell>
        </row>
        <row r="1323">
          <cell r="A1323">
            <v>0</v>
          </cell>
        </row>
        <row r="1324">
          <cell r="A1324">
            <v>0</v>
          </cell>
        </row>
        <row r="1325">
          <cell r="A1325">
            <v>0</v>
          </cell>
        </row>
        <row r="1326">
          <cell r="A1326">
            <v>0</v>
          </cell>
        </row>
        <row r="1327">
          <cell r="A1327">
            <v>0</v>
          </cell>
        </row>
        <row r="1328">
          <cell r="A1328">
            <v>0</v>
          </cell>
        </row>
        <row r="1329">
          <cell r="A1329">
            <v>0</v>
          </cell>
        </row>
        <row r="1330">
          <cell r="A1330">
            <v>0</v>
          </cell>
        </row>
        <row r="1331">
          <cell r="A1331">
            <v>0</v>
          </cell>
        </row>
        <row r="1332">
          <cell r="A1332">
            <v>0</v>
          </cell>
        </row>
        <row r="1333">
          <cell r="A1333">
            <v>0</v>
          </cell>
        </row>
        <row r="1334">
          <cell r="A1334">
            <v>0</v>
          </cell>
        </row>
        <row r="1335">
          <cell r="A1335">
            <v>0</v>
          </cell>
        </row>
        <row r="1336">
          <cell r="A1336">
            <v>0</v>
          </cell>
        </row>
        <row r="1337">
          <cell r="A1337">
            <v>0</v>
          </cell>
        </row>
        <row r="1338">
          <cell r="A1338">
            <v>0</v>
          </cell>
        </row>
        <row r="1339">
          <cell r="A1339">
            <v>0</v>
          </cell>
        </row>
        <row r="1340">
          <cell r="A1340">
            <v>0</v>
          </cell>
        </row>
        <row r="1341">
          <cell r="A1341">
            <v>0</v>
          </cell>
        </row>
        <row r="1342">
          <cell r="A1342">
            <v>0</v>
          </cell>
        </row>
        <row r="1343">
          <cell r="A1343">
            <v>0</v>
          </cell>
        </row>
        <row r="1344">
          <cell r="A1344">
            <v>0</v>
          </cell>
        </row>
        <row r="1345">
          <cell r="A1345">
            <v>0</v>
          </cell>
        </row>
        <row r="1346">
          <cell r="A1346">
            <v>0</v>
          </cell>
        </row>
        <row r="1347">
          <cell r="A1347">
            <v>0</v>
          </cell>
        </row>
        <row r="1348">
          <cell r="A1348">
            <v>0</v>
          </cell>
        </row>
        <row r="1349">
          <cell r="A1349">
            <v>0</v>
          </cell>
        </row>
        <row r="1350">
          <cell r="A1350">
            <v>0</v>
          </cell>
        </row>
        <row r="1351">
          <cell r="A1351">
            <v>0</v>
          </cell>
        </row>
        <row r="1352">
          <cell r="A1352">
            <v>0</v>
          </cell>
        </row>
        <row r="1353">
          <cell r="A1353">
            <v>0</v>
          </cell>
        </row>
        <row r="1354">
          <cell r="A1354">
            <v>0</v>
          </cell>
        </row>
        <row r="1355">
          <cell r="A1355">
            <v>0</v>
          </cell>
        </row>
        <row r="1356">
          <cell r="A1356">
            <v>0</v>
          </cell>
        </row>
        <row r="1357">
          <cell r="A1357">
            <v>0</v>
          </cell>
        </row>
        <row r="1358">
          <cell r="A1358">
            <v>0</v>
          </cell>
        </row>
        <row r="1359">
          <cell r="A1359">
            <v>0</v>
          </cell>
        </row>
        <row r="1360">
          <cell r="A1360">
            <v>0</v>
          </cell>
        </row>
        <row r="1361">
          <cell r="A1361">
            <v>0</v>
          </cell>
        </row>
        <row r="1362">
          <cell r="A1362">
            <v>0</v>
          </cell>
        </row>
        <row r="1363">
          <cell r="A1363">
            <v>0</v>
          </cell>
        </row>
        <row r="1364">
          <cell r="A1364">
            <v>0</v>
          </cell>
        </row>
        <row r="1365">
          <cell r="A1365">
            <v>0</v>
          </cell>
        </row>
        <row r="1366">
          <cell r="A1366">
            <v>0</v>
          </cell>
        </row>
        <row r="1367">
          <cell r="A1367">
            <v>0</v>
          </cell>
        </row>
        <row r="1368">
          <cell r="A1368">
            <v>0</v>
          </cell>
        </row>
        <row r="1369">
          <cell r="A1369">
            <v>0</v>
          </cell>
        </row>
        <row r="1370">
          <cell r="A1370">
            <v>0</v>
          </cell>
        </row>
        <row r="1371">
          <cell r="A1371">
            <v>0</v>
          </cell>
        </row>
        <row r="1372">
          <cell r="A1372">
            <v>0</v>
          </cell>
        </row>
        <row r="1373">
          <cell r="A1373">
            <v>0</v>
          </cell>
        </row>
        <row r="1374">
          <cell r="A1374">
            <v>0</v>
          </cell>
        </row>
        <row r="1375">
          <cell r="A1375">
            <v>0</v>
          </cell>
        </row>
        <row r="1376">
          <cell r="A1376">
            <v>0</v>
          </cell>
        </row>
        <row r="1377">
          <cell r="A1377">
            <v>0</v>
          </cell>
        </row>
        <row r="1378">
          <cell r="A1378">
            <v>0</v>
          </cell>
        </row>
        <row r="1379">
          <cell r="A1379">
            <v>0</v>
          </cell>
        </row>
        <row r="1380">
          <cell r="A1380">
            <v>0</v>
          </cell>
        </row>
        <row r="1381">
          <cell r="A1381">
            <v>0</v>
          </cell>
        </row>
        <row r="1382">
          <cell r="A1382">
            <v>0</v>
          </cell>
        </row>
        <row r="1383">
          <cell r="A1383">
            <v>0</v>
          </cell>
        </row>
        <row r="1384">
          <cell r="A1384">
            <v>0</v>
          </cell>
        </row>
        <row r="1385">
          <cell r="A1385">
            <v>0</v>
          </cell>
        </row>
        <row r="1386">
          <cell r="A1386">
            <v>0</v>
          </cell>
        </row>
        <row r="1387">
          <cell r="A1387">
            <v>0</v>
          </cell>
        </row>
        <row r="1388">
          <cell r="A1388">
            <v>0</v>
          </cell>
        </row>
        <row r="1389">
          <cell r="A1389">
            <v>0</v>
          </cell>
        </row>
        <row r="1390">
          <cell r="A1390">
            <v>0</v>
          </cell>
        </row>
        <row r="1391">
          <cell r="A1391">
            <v>0</v>
          </cell>
        </row>
        <row r="1392">
          <cell r="A1392">
            <v>0</v>
          </cell>
        </row>
        <row r="1393">
          <cell r="A1393">
            <v>0</v>
          </cell>
        </row>
        <row r="1394">
          <cell r="A1394">
            <v>0</v>
          </cell>
        </row>
        <row r="1395">
          <cell r="A1395">
            <v>0</v>
          </cell>
        </row>
        <row r="1396">
          <cell r="A1396">
            <v>0</v>
          </cell>
        </row>
        <row r="1397">
          <cell r="A1397">
            <v>0</v>
          </cell>
        </row>
        <row r="1398">
          <cell r="A1398">
            <v>0</v>
          </cell>
        </row>
        <row r="1399">
          <cell r="A1399">
            <v>0</v>
          </cell>
        </row>
        <row r="1400">
          <cell r="A1400">
            <v>0</v>
          </cell>
        </row>
        <row r="1401">
          <cell r="A1401">
            <v>0</v>
          </cell>
        </row>
        <row r="1402">
          <cell r="A1402">
            <v>0</v>
          </cell>
        </row>
        <row r="1403">
          <cell r="A1403">
            <v>0</v>
          </cell>
        </row>
        <row r="1404">
          <cell r="A1404">
            <v>0</v>
          </cell>
        </row>
        <row r="1405">
          <cell r="A1405">
            <v>0</v>
          </cell>
        </row>
        <row r="1406">
          <cell r="A1406">
            <v>0</v>
          </cell>
        </row>
        <row r="1407">
          <cell r="A1407">
            <v>0</v>
          </cell>
        </row>
        <row r="1408">
          <cell r="A1408">
            <v>0</v>
          </cell>
        </row>
        <row r="1409">
          <cell r="A1409">
            <v>0</v>
          </cell>
        </row>
        <row r="1410">
          <cell r="A1410">
            <v>0</v>
          </cell>
        </row>
        <row r="1411">
          <cell r="A1411">
            <v>0</v>
          </cell>
        </row>
        <row r="1412">
          <cell r="A1412">
            <v>0</v>
          </cell>
        </row>
        <row r="1413">
          <cell r="A1413">
            <v>0</v>
          </cell>
        </row>
        <row r="1414">
          <cell r="A1414">
            <v>0</v>
          </cell>
        </row>
        <row r="1415">
          <cell r="A1415">
            <v>0</v>
          </cell>
        </row>
        <row r="1416">
          <cell r="A1416">
            <v>0</v>
          </cell>
        </row>
        <row r="1417">
          <cell r="A1417">
            <v>0</v>
          </cell>
        </row>
        <row r="1418">
          <cell r="A1418">
            <v>0</v>
          </cell>
        </row>
        <row r="1419">
          <cell r="A1419">
            <v>0</v>
          </cell>
        </row>
        <row r="1420">
          <cell r="A1420">
            <v>0</v>
          </cell>
        </row>
        <row r="1421">
          <cell r="A1421">
            <v>0</v>
          </cell>
        </row>
        <row r="1422">
          <cell r="A1422">
            <v>0</v>
          </cell>
        </row>
        <row r="1423">
          <cell r="A1423">
            <v>0</v>
          </cell>
        </row>
        <row r="1424">
          <cell r="A1424">
            <v>0</v>
          </cell>
        </row>
        <row r="1425">
          <cell r="A1425">
            <v>0</v>
          </cell>
        </row>
        <row r="1426">
          <cell r="A1426">
            <v>0</v>
          </cell>
        </row>
        <row r="1427">
          <cell r="A1427">
            <v>0</v>
          </cell>
        </row>
        <row r="1428">
          <cell r="A1428">
            <v>0</v>
          </cell>
        </row>
        <row r="1429">
          <cell r="A1429">
            <v>0</v>
          </cell>
        </row>
        <row r="1430">
          <cell r="A1430">
            <v>0</v>
          </cell>
        </row>
        <row r="1431">
          <cell r="A1431">
            <v>0</v>
          </cell>
        </row>
        <row r="1432">
          <cell r="A1432">
            <v>0</v>
          </cell>
        </row>
        <row r="1433">
          <cell r="A1433">
            <v>0</v>
          </cell>
        </row>
        <row r="1434">
          <cell r="A1434">
            <v>0</v>
          </cell>
        </row>
        <row r="1435">
          <cell r="A1435">
            <v>0</v>
          </cell>
        </row>
        <row r="1436">
          <cell r="A1436">
            <v>0</v>
          </cell>
        </row>
        <row r="1437">
          <cell r="A1437">
            <v>0</v>
          </cell>
        </row>
        <row r="1438">
          <cell r="A1438">
            <v>0</v>
          </cell>
        </row>
        <row r="1439">
          <cell r="A1439">
            <v>0</v>
          </cell>
        </row>
        <row r="1440">
          <cell r="A1440">
            <v>0</v>
          </cell>
        </row>
        <row r="1441">
          <cell r="A1441">
            <v>0</v>
          </cell>
        </row>
        <row r="1442">
          <cell r="A1442">
            <v>0</v>
          </cell>
        </row>
        <row r="1443">
          <cell r="A1443">
            <v>0</v>
          </cell>
        </row>
        <row r="1444">
          <cell r="A1444">
            <v>0</v>
          </cell>
        </row>
        <row r="1445">
          <cell r="A1445">
            <v>0</v>
          </cell>
        </row>
        <row r="1446">
          <cell r="A1446">
            <v>0</v>
          </cell>
        </row>
        <row r="1447">
          <cell r="A1447">
            <v>0</v>
          </cell>
        </row>
        <row r="1448">
          <cell r="A1448">
            <v>0</v>
          </cell>
        </row>
        <row r="1449">
          <cell r="A1449">
            <v>0</v>
          </cell>
        </row>
        <row r="1450">
          <cell r="A1450">
            <v>0</v>
          </cell>
        </row>
        <row r="1451">
          <cell r="A1451">
            <v>0</v>
          </cell>
        </row>
        <row r="1452">
          <cell r="A1452">
            <v>0</v>
          </cell>
        </row>
        <row r="1453">
          <cell r="A1453">
            <v>0</v>
          </cell>
        </row>
        <row r="1454">
          <cell r="A1454">
            <v>0</v>
          </cell>
        </row>
        <row r="1455">
          <cell r="A1455">
            <v>0</v>
          </cell>
        </row>
        <row r="1456">
          <cell r="A1456">
            <v>0</v>
          </cell>
        </row>
        <row r="1457">
          <cell r="A1457">
            <v>0</v>
          </cell>
        </row>
        <row r="1458">
          <cell r="A1458">
            <v>0</v>
          </cell>
        </row>
        <row r="1459">
          <cell r="A1459">
            <v>0</v>
          </cell>
        </row>
        <row r="1460">
          <cell r="A1460">
            <v>0</v>
          </cell>
        </row>
        <row r="1461">
          <cell r="A1461">
            <v>0</v>
          </cell>
        </row>
        <row r="1462">
          <cell r="A1462">
            <v>0</v>
          </cell>
        </row>
        <row r="1463">
          <cell r="A1463">
            <v>0</v>
          </cell>
        </row>
        <row r="1464">
          <cell r="A1464">
            <v>0</v>
          </cell>
        </row>
        <row r="1465">
          <cell r="A1465">
            <v>0</v>
          </cell>
        </row>
        <row r="1466">
          <cell r="A1466">
            <v>0</v>
          </cell>
        </row>
        <row r="1467">
          <cell r="A1467">
            <v>0</v>
          </cell>
        </row>
        <row r="1468">
          <cell r="A1468">
            <v>0</v>
          </cell>
        </row>
        <row r="1469">
          <cell r="A1469">
            <v>0</v>
          </cell>
        </row>
        <row r="1470">
          <cell r="A1470">
            <v>0</v>
          </cell>
        </row>
        <row r="1471">
          <cell r="A1471">
            <v>0</v>
          </cell>
        </row>
        <row r="1472">
          <cell r="A1472">
            <v>0</v>
          </cell>
        </row>
        <row r="1473">
          <cell r="A1473">
            <v>0</v>
          </cell>
        </row>
        <row r="1474">
          <cell r="A1474">
            <v>0</v>
          </cell>
        </row>
        <row r="1475">
          <cell r="A1475">
            <v>0</v>
          </cell>
        </row>
        <row r="1476">
          <cell r="A1476">
            <v>0</v>
          </cell>
        </row>
        <row r="1477">
          <cell r="A1477">
            <v>0</v>
          </cell>
        </row>
        <row r="1478">
          <cell r="A1478">
            <v>0</v>
          </cell>
        </row>
        <row r="1479">
          <cell r="A1479">
            <v>0</v>
          </cell>
        </row>
        <row r="1480">
          <cell r="A1480">
            <v>0</v>
          </cell>
        </row>
        <row r="1481">
          <cell r="A1481">
            <v>0</v>
          </cell>
        </row>
        <row r="1482">
          <cell r="A1482">
            <v>0</v>
          </cell>
        </row>
        <row r="1483">
          <cell r="A1483">
            <v>0</v>
          </cell>
        </row>
        <row r="1484">
          <cell r="A1484">
            <v>0</v>
          </cell>
        </row>
        <row r="1485">
          <cell r="A1485">
            <v>0</v>
          </cell>
        </row>
        <row r="1486">
          <cell r="A1486">
            <v>0</v>
          </cell>
        </row>
        <row r="1487">
          <cell r="A1487">
            <v>0</v>
          </cell>
        </row>
        <row r="1488">
          <cell r="A1488">
            <v>0</v>
          </cell>
        </row>
        <row r="1489">
          <cell r="A1489">
            <v>0</v>
          </cell>
        </row>
        <row r="1490">
          <cell r="A1490">
            <v>0</v>
          </cell>
        </row>
        <row r="1491">
          <cell r="A1491">
            <v>0</v>
          </cell>
        </row>
        <row r="1492">
          <cell r="A1492">
            <v>0</v>
          </cell>
        </row>
        <row r="1493">
          <cell r="A1493">
            <v>0</v>
          </cell>
        </row>
        <row r="1494">
          <cell r="A1494">
            <v>0</v>
          </cell>
        </row>
        <row r="1495">
          <cell r="A1495">
            <v>0</v>
          </cell>
        </row>
        <row r="1496">
          <cell r="A1496">
            <v>0</v>
          </cell>
        </row>
        <row r="1497">
          <cell r="A1497">
            <v>0</v>
          </cell>
        </row>
        <row r="1498">
          <cell r="A1498">
            <v>0</v>
          </cell>
        </row>
        <row r="1499">
          <cell r="A1499">
            <v>0</v>
          </cell>
        </row>
        <row r="1500">
          <cell r="A1500">
            <v>0</v>
          </cell>
        </row>
        <row r="1501">
          <cell r="A1501">
            <v>0</v>
          </cell>
        </row>
        <row r="1502">
          <cell r="A1502">
            <v>0</v>
          </cell>
        </row>
        <row r="1503">
          <cell r="A1503">
            <v>0</v>
          </cell>
        </row>
        <row r="1504">
          <cell r="A1504">
            <v>0</v>
          </cell>
        </row>
        <row r="1505">
          <cell r="A1505">
            <v>0</v>
          </cell>
        </row>
        <row r="1506">
          <cell r="A1506">
            <v>0</v>
          </cell>
        </row>
        <row r="1507">
          <cell r="A1507">
            <v>0</v>
          </cell>
        </row>
        <row r="1508">
          <cell r="A1508">
            <v>0</v>
          </cell>
        </row>
        <row r="1509">
          <cell r="A1509">
            <v>0</v>
          </cell>
        </row>
        <row r="1510">
          <cell r="A1510">
            <v>0</v>
          </cell>
        </row>
        <row r="1511">
          <cell r="A1511">
            <v>0</v>
          </cell>
        </row>
        <row r="1512">
          <cell r="A1512">
            <v>0</v>
          </cell>
        </row>
        <row r="1513">
          <cell r="A1513">
            <v>0</v>
          </cell>
        </row>
        <row r="1514">
          <cell r="A1514">
            <v>0</v>
          </cell>
        </row>
        <row r="1515">
          <cell r="A1515">
            <v>0</v>
          </cell>
        </row>
        <row r="1516">
          <cell r="A1516">
            <v>0</v>
          </cell>
        </row>
        <row r="1517">
          <cell r="A1517">
            <v>0</v>
          </cell>
        </row>
        <row r="1518">
          <cell r="A1518">
            <v>0</v>
          </cell>
        </row>
        <row r="1519">
          <cell r="A1519">
            <v>0</v>
          </cell>
        </row>
        <row r="1520">
          <cell r="A1520">
            <v>0</v>
          </cell>
        </row>
        <row r="1521">
          <cell r="A1521">
            <v>0</v>
          </cell>
        </row>
        <row r="1522">
          <cell r="A1522">
            <v>0</v>
          </cell>
        </row>
        <row r="1523">
          <cell r="A1523">
            <v>0</v>
          </cell>
        </row>
        <row r="1524">
          <cell r="A1524">
            <v>0</v>
          </cell>
        </row>
        <row r="1525">
          <cell r="A1525">
            <v>0</v>
          </cell>
        </row>
        <row r="1526">
          <cell r="A1526">
            <v>0</v>
          </cell>
        </row>
        <row r="1527">
          <cell r="A1527">
            <v>0</v>
          </cell>
        </row>
        <row r="1528">
          <cell r="A1528">
            <v>0</v>
          </cell>
        </row>
        <row r="1529">
          <cell r="A1529">
            <v>0</v>
          </cell>
        </row>
        <row r="1530">
          <cell r="A1530">
            <v>0</v>
          </cell>
        </row>
        <row r="1531">
          <cell r="A1531">
            <v>0</v>
          </cell>
        </row>
        <row r="1532">
          <cell r="A1532">
            <v>0</v>
          </cell>
        </row>
        <row r="1533">
          <cell r="A1533">
            <v>0</v>
          </cell>
        </row>
        <row r="1534">
          <cell r="A1534">
            <v>0</v>
          </cell>
        </row>
        <row r="1535">
          <cell r="A1535">
            <v>0</v>
          </cell>
        </row>
        <row r="1536">
          <cell r="A1536">
            <v>0</v>
          </cell>
        </row>
        <row r="1537">
          <cell r="A1537">
            <v>0</v>
          </cell>
        </row>
        <row r="1538">
          <cell r="A1538">
            <v>0</v>
          </cell>
        </row>
        <row r="1539">
          <cell r="A1539">
            <v>0</v>
          </cell>
        </row>
        <row r="1540">
          <cell r="A1540">
            <v>0</v>
          </cell>
        </row>
        <row r="1541">
          <cell r="A1541">
            <v>0</v>
          </cell>
        </row>
        <row r="1542">
          <cell r="A1542">
            <v>0</v>
          </cell>
        </row>
        <row r="1543">
          <cell r="A1543">
            <v>0</v>
          </cell>
        </row>
        <row r="1544">
          <cell r="A1544">
            <v>0</v>
          </cell>
        </row>
        <row r="1545">
          <cell r="A1545">
            <v>0</v>
          </cell>
        </row>
        <row r="1546">
          <cell r="A1546">
            <v>0</v>
          </cell>
        </row>
        <row r="1547">
          <cell r="A1547">
            <v>0</v>
          </cell>
        </row>
        <row r="1548">
          <cell r="A1548">
            <v>0</v>
          </cell>
        </row>
        <row r="1549">
          <cell r="A1549">
            <v>0</v>
          </cell>
        </row>
        <row r="1550">
          <cell r="A1550">
            <v>0</v>
          </cell>
        </row>
        <row r="1551">
          <cell r="A1551">
            <v>0</v>
          </cell>
        </row>
        <row r="1552">
          <cell r="A1552">
            <v>0</v>
          </cell>
        </row>
        <row r="1553">
          <cell r="A1553">
            <v>0</v>
          </cell>
        </row>
        <row r="1554">
          <cell r="A1554">
            <v>0</v>
          </cell>
        </row>
        <row r="1555">
          <cell r="A1555">
            <v>0</v>
          </cell>
        </row>
        <row r="1556">
          <cell r="A1556">
            <v>0</v>
          </cell>
        </row>
        <row r="1557">
          <cell r="A1557">
            <v>0</v>
          </cell>
        </row>
        <row r="1558">
          <cell r="A1558">
            <v>0</v>
          </cell>
        </row>
        <row r="1559">
          <cell r="A1559">
            <v>0</v>
          </cell>
        </row>
        <row r="1560">
          <cell r="A1560">
            <v>0</v>
          </cell>
        </row>
        <row r="1561">
          <cell r="A1561">
            <v>0</v>
          </cell>
        </row>
        <row r="1562">
          <cell r="A1562">
            <v>0</v>
          </cell>
        </row>
        <row r="1563">
          <cell r="A1563">
            <v>0</v>
          </cell>
        </row>
        <row r="1564">
          <cell r="A1564">
            <v>0</v>
          </cell>
        </row>
        <row r="1565">
          <cell r="A1565">
            <v>0</v>
          </cell>
        </row>
        <row r="1566">
          <cell r="A1566">
            <v>0</v>
          </cell>
        </row>
        <row r="1567">
          <cell r="A1567">
            <v>0</v>
          </cell>
        </row>
        <row r="1568">
          <cell r="A1568">
            <v>0</v>
          </cell>
        </row>
        <row r="1569">
          <cell r="A1569">
            <v>0</v>
          </cell>
        </row>
        <row r="1570">
          <cell r="A1570">
            <v>0</v>
          </cell>
        </row>
        <row r="1571">
          <cell r="A1571">
            <v>0</v>
          </cell>
        </row>
        <row r="1572">
          <cell r="A1572">
            <v>0</v>
          </cell>
        </row>
        <row r="1573">
          <cell r="A1573">
            <v>0</v>
          </cell>
        </row>
        <row r="1574">
          <cell r="A1574">
            <v>0</v>
          </cell>
        </row>
        <row r="1575">
          <cell r="A1575">
            <v>0</v>
          </cell>
        </row>
        <row r="1576">
          <cell r="A1576">
            <v>0</v>
          </cell>
        </row>
        <row r="1577">
          <cell r="A1577">
            <v>0</v>
          </cell>
        </row>
        <row r="1578">
          <cell r="A1578">
            <v>0</v>
          </cell>
        </row>
        <row r="1579">
          <cell r="A1579">
            <v>0</v>
          </cell>
        </row>
        <row r="1580">
          <cell r="A1580">
            <v>0</v>
          </cell>
        </row>
        <row r="1581">
          <cell r="A1581">
            <v>0</v>
          </cell>
        </row>
        <row r="1582">
          <cell r="A1582">
            <v>0</v>
          </cell>
        </row>
        <row r="1583">
          <cell r="A1583">
            <v>0</v>
          </cell>
        </row>
        <row r="1584">
          <cell r="A1584">
            <v>0</v>
          </cell>
        </row>
        <row r="1585">
          <cell r="A1585">
            <v>0</v>
          </cell>
        </row>
        <row r="1586">
          <cell r="A1586">
            <v>0</v>
          </cell>
        </row>
        <row r="1587">
          <cell r="A1587">
            <v>0</v>
          </cell>
        </row>
        <row r="1588">
          <cell r="A1588">
            <v>0</v>
          </cell>
        </row>
        <row r="1589">
          <cell r="A1589">
            <v>0</v>
          </cell>
        </row>
        <row r="1590">
          <cell r="A1590">
            <v>0</v>
          </cell>
        </row>
        <row r="1591">
          <cell r="A1591">
            <v>0</v>
          </cell>
        </row>
        <row r="1592">
          <cell r="A1592">
            <v>0</v>
          </cell>
        </row>
        <row r="1593">
          <cell r="A1593">
            <v>0</v>
          </cell>
        </row>
        <row r="1594">
          <cell r="A1594">
            <v>0</v>
          </cell>
        </row>
        <row r="1595">
          <cell r="A1595">
            <v>0</v>
          </cell>
        </row>
        <row r="1596">
          <cell r="A1596">
            <v>0</v>
          </cell>
        </row>
        <row r="1597">
          <cell r="A1597">
            <v>0</v>
          </cell>
        </row>
        <row r="1598">
          <cell r="A1598">
            <v>0</v>
          </cell>
        </row>
        <row r="1599">
          <cell r="A1599">
            <v>0</v>
          </cell>
        </row>
        <row r="1600">
          <cell r="A1600">
            <v>0</v>
          </cell>
        </row>
        <row r="1601">
          <cell r="A1601">
            <v>0</v>
          </cell>
        </row>
        <row r="1602">
          <cell r="A1602">
            <v>0</v>
          </cell>
        </row>
        <row r="1603">
          <cell r="A1603">
            <v>0</v>
          </cell>
        </row>
        <row r="1604">
          <cell r="A1604">
            <v>0</v>
          </cell>
        </row>
        <row r="1605">
          <cell r="A1605">
            <v>0</v>
          </cell>
        </row>
        <row r="1606">
          <cell r="A1606">
            <v>0</v>
          </cell>
        </row>
        <row r="1607">
          <cell r="A1607">
            <v>0</v>
          </cell>
        </row>
        <row r="1608">
          <cell r="A1608">
            <v>0</v>
          </cell>
        </row>
        <row r="1609">
          <cell r="A1609">
            <v>0</v>
          </cell>
        </row>
        <row r="1610">
          <cell r="A1610">
            <v>0</v>
          </cell>
        </row>
        <row r="1611">
          <cell r="A1611">
            <v>0</v>
          </cell>
        </row>
        <row r="1612">
          <cell r="A1612">
            <v>0</v>
          </cell>
        </row>
        <row r="1613">
          <cell r="A1613">
            <v>0</v>
          </cell>
        </row>
        <row r="1614">
          <cell r="A1614">
            <v>0</v>
          </cell>
        </row>
        <row r="1615">
          <cell r="A1615">
            <v>0</v>
          </cell>
        </row>
        <row r="1616">
          <cell r="A1616">
            <v>0</v>
          </cell>
        </row>
        <row r="1617">
          <cell r="A1617">
            <v>0</v>
          </cell>
        </row>
        <row r="1618">
          <cell r="A1618">
            <v>0</v>
          </cell>
        </row>
        <row r="1619">
          <cell r="A1619">
            <v>0</v>
          </cell>
        </row>
        <row r="1620">
          <cell r="A1620">
            <v>0</v>
          </cell>
        </row>
        <row r="1621">
          <cell r="A1621">
            <v>0</v>
          </cell>
        </row>
        <row r="1622">
          <cell r="A1622">
            <v>0</v>
          </cell>
        </row>
        <row r="1623">
          <cell r="A1623">
            <v>0</v>
          </cell>
        </row>
        <row r="1624">
          <cell r="A1624">
            <v>0</v>
          </cell>
        </row>
        <row r="1625">
          <cell r="A1625">
            <v>0</v>
          </cell>
        </row>
        <row r="1626">
          <cell r="A1626">
            <v>0</v>
          </cell>
        </row>
        <row r="1627">
          <cell r="A1627">
            <v>0</v>
          </cell>
        </row>
        <row r="1628">
          <cell r="A1628">
            <v>0</v>
          </cell>
        </row>
        <row r="1629">
          <cell r="A1629">
            <v>0</v>
          </cell>
        </row>
        <row r="1630">
          <cell r="A1630">
            <v>0</v>
          </cell>
        </row>
        <row r="1631">
          <cell r="A1631">
            <v>0</v>
          </cell>
        </row>
        <row r="1632">
          <cell r="A1632">
            <v>0</v>
          </cell>
        </row>
        <row r="1633">
          <cell r="A1633">
            <v>0</v>
          </cell>
        </row>
        <row r="1634">
          <cell r="A1634">
            <v>0</v>
          </cell>
        </row>
        <row r="1635">
          <cell r="A1635">
            <v>0</v>
          </cell>
        </row>
        <row r="1636">
          <cell r="A1636">
            <v>0</v>
          </cell>
        </row>
        <row r="1637">
          <cell r="A1637">
            <v>0</v>
          </cell>
        </row>
        <row r="1638">
          <cell r="A1638">
            <v>0</v>
          </cell>
        </row>
        <row r="1639">
          <cell r="A1639">
            <v>0</v>
          </cell>
        </row>
        <row r="1640">
          <cell r="A1640">
            <v>0</v>
          </cell>
        </row>
        <row r="1641">
          <cell r="A1641">
            <v>0</v>
          </cell>
        </row>
        <row r="1642">
          <cell r="A1642">
            <v>0</v>
          </cell>
        </row>
        <row r="1643">
          <cell r="A1643">
            <v>0</v>
          </cell>
        </row>
        <row r="1644">
          <cell r="A1644">
            <v>0</v>
          </cell>
        </row>
        <row r="1645">
          <cell r="A1645">
            <v>0</v>
          </cell>
        </row>
        <row r="1646">
          <cell r="A1646">
            <v>0</v>
          </cell>
        </row>
        <row r="1647">
          <cell r="A1647">
            <v>0</v>
          </cell>
        </row>
        <row r="1648">
          <cell r="A1648">
            <v>0</v>
          </cell>
        </row>
        <row r="1649">
          <cell r="A1649">
            <v>0</v>
          </cell>
        </row>
        <row r="1650">
          <cell r="A1650">
            <v>0</v>
          </cell>
        </row>
        <row r="1651">
          <cell r="A1651">
            <v>0</v>
          </cell>
        </row>
        <row r="1652">
          <cell r="A1652">
            <v>0</v>
          </cell>
        </row>
        <row r="1653">
          <cell r="A1653">
            <v>0</v>
          </cell>
        </row>
        <row r="1654">
          <cell r="A1654">
            <v>0</v>
          </cell>
        </row>
        <row r="1655">
          <cell r="A1655">
            <v>0</v>
          </cell>
        </row>
        <row r="1656">
          <cell r="A1656">
            <v>0</v>
          </cell>
        </row>
        <row r="1657">
          <cell r="A1657">
            <v>0</v>
          </cell>
        </row>
        <row r="1658">
          <cell r="A1658">
            <v>0</v>
          </cell>
        </row>
        <row r="1659">
          <cell r="A1659">
            <v>0</v>
          </cell>
        </row>
        <row r="1660">
          <cell r="A1660">
            <v>0</v>
          </cell>
        </row>
        <row r="1661">
          <cell r="A1661">
            <v>0</v>
          </cell>
        </row>
        <row r="1662">
          <cell r="A1662">
            <v>0</v>
          </cell>
        </row>
        <row r="1663">
          <cell r="A1663">
            <v>0</v>
          </cell>
        </row>
        <row r="1664">
          <cell r="A1664">
            <v>0</v>
          </cell>
        </row>
        <row r="1665">
          <cell r="A1665">
            <v>0</v>
          </cell>
        </row>
        <row r="1666">
          <cell r="A1666">
            <v>0</v>
          </cell>
        </row>
        <row r="1667">
          <cell r="A1667">
            <v>0</v>
          </cell>
        </row>
        <row r="1668">
          <cell r="A1668">
            <v>0</v>
          </cell>
        </row>
        <row r="1669">
          <cell r="A1669">
            <v>0</v>
          </cell>
        </row>
        <row r="1670">
          <cell r="A1670">
            <v>0</v>
          </cell>
        </row>
        <row r="1671">
          <cell r="A1671">
            <v>0</v>
          </cell>
        </row>
        <row r="1672">
          <cell r="A1672">
            <v>0</v>
          </cell>
        </row>
        <row r="1673">
          <cell r="A1673">
            <v>0</v>
          </cell>
        </row>
        <row r="1674">
          <cell r="A1674">
            <v>0</v>
          </cell>
        </row>
        <row r="1675">
          <cell r="A1675">
            <v>0</v>
          </cell>
        </row>
        <row r="1676">
          <cell r="A1676">
            <v>0</v>
          </cell>
        </row>
        <row r="1677">
          <cell r="A1677">
            <v>0</v>
          </cell>
        </row>
        <row r="1678">
          <cell r="A1678">
            <v>0</v>
          </cell>
        </row>
        <row r="1679">
          <cell r="A1679">
            <v>0</v>
          </cell>
        </row>
        <row r="1680">
          <cell r="A1680">
            <v>0</v>
          </cell>
        </row>
        <row r="1681">
          <cell r="A1681">
            <v>0</v>
          </cell>
        </row>
        <row r="1682">
          <cell r="A1682">
            <v>0</v>
          </cell>
        </row>
        <row r="1683">
          <cell r="A1683">
            <v>0</v>
          </cell>
        </row>
        <row r="1684">
          <cell r="A1684">
            <v>0</v>
          </cell>
        </row>
        <row r="1685">
          <cell r="A1685">
            <v>0</v>
          </cell>
        </row>
        <row r="1686">
          <cell r="A1686">
            <v>0</v>
          </cell>
        </row>
        <row r="1687">
          <cell r="A1687">
            <v>0</v>
          </cell>
        </row>
        <row r="1688">
          <cell r="A1688">
            <v>0</v>
          </cell>
        </row>
        <row r="1689">
          <cell r="A1689">
            <v>0</v>
          </cell>
        </row>
        <row r="1690">
          <cell r="A1690">
            <v>0</v>
          </cell>
        </row>
        <row r="1691">
          <cell r="A1691">
            <v>0</v>
          </cell>
        </row>
        <row r="1692">
          <cell r="A1692">
            <v>0</v>
          </cell>
        </row>
        <row r="1693">
          <cell r="A1693">
            <v>0</v>
          </cell>
        </row>
        <row r="1694">
          <cell r="A1694">
            <v>0</v>
          </cell>
        </row>
        <row r="1695">
          <cell r="A1695">
            <v>0</v>
          </cell>
        </row>
        <row r="1696">
          <cell r="A1696">
            <v>0</v>
          </cell>
        </row>
        <row r="1697">
          <cell r="A1697">
            <v>0</v>
          </cell>
        </row>
        <row r="1698">
          <cell r="A1698">
            <v>0</v>
          </cell>
        </row>
        <row r="1699">
          <cell r="A1699">
            <v>0</v>
          </cell>
        </row>
        <row r="1700">
          <cell r="A1700">
            <v>0</v>
          </cell>
        </row>
        <row r="1701">
          <cell r="A1701">
            <v>0</v>
          </cell>
        </row>
        <row r="1702">
          <cell r="A1702">
            <v>0</v>
          </cell>
        </row>
        <row r="1703">
          <cell r="A1703">
            <v>0</v>
          </cell>
        </row>
        <row r="1704">
          <cell r="A1704">
            <v>0</v>
          </cell>
        </row>
        <row r="1705">
          <cell r="A1705">
            <v>0</v>
          </cell>
        </row>
        <row r="1706">
          <cell r="A1706">
            <v>0</v>
          </cell>
        </row>
        <row r="1707">
          <cell r="A1707">
            <v>0</v>
          </cell>
        </row>
        <row r="1708">
          <cell r="A1708">
            <v>0</v>
          </cell>
        </row>
        <row r="1709">
          <cell r="A1709">
            <v>0</v>
          </cell>
        </row>
        <row r="1710">
          <cell r="A1710">
            <v>0</v>
          </cell>
        </row>
        <row r="1711">
          <cell r="A1711">
            <v>0</v>
          </cell>
        </row>
        <row r="1712">
          <cell r="A1712">
            <v>0</v>
          </cell>
        </row>
        <row r="1713">
          <cell r="A1713">
            <v>0</v>
          </cell>
        </row>
        <row r="1714">
          <cell r="A1714">
            <v>0</v>
          </cell>
        </row>
        <row r="1715">
          <cell r="A1715">
            <v>0</v>
          </cell>
        </row>
        <row r="1716">
          <cell r="A1716">
            <v>0</v>
          </cell>
        </row>
        <row r="1717">
          <cell r="A1717">
            <v>0</v>
          </cell>
        </row>
        <row r="1718">
          <cell r="A1718">
            <v>0</v>
          </cell>
        </row>
        <row r="1719">
          <cell r="A1719">
            <v>0</v>
          </cell>
        </row>
        <row r="1720">
          <cell r="A1720">
            <v>0</v>
          </cell>
        </row>
        <row r="1721">
          <cell r="A1721">
            <v>0</v>
          </cell>
        </row>
        <row r="1722">
          <cell r="A1722">
            <v>0</v>
          </cell>
        </row>
        <row r="1723">
          <cell r="A1723">
            <v>0</v>
          </cell>
        </row>
        <row r="1724">
          <cell r="A1724">
            <v>0</v>
          </cell>
        </row>
        <row r="1725">
          <cell r="A1725">
            <v>0</v>
          </cell>
        </row>
        <row r="1726">
          <cell r="A1726">
            <v>0</v>
          </cell>
        </row>
        <row r="1727">
          <cell r="A1727">
            <v>0</v>
          </cell>
        </row>
        <row r="1728">
          <cell r="A1728">
            <v>0</v>
          </cell>
        </row>
        <row r="1729">
          <cell r="A1729">
            <v>0</v>
          </cell>
        </row>
        <row r="1730">
          <cell r="A1730">
            <v>0</v>
          </cell>
        </row>
        <row r="1731">
          <cell r="A1731">
            <v>0</v>
          </cell>
        </row>
        <row r="1732">
          <cell r="A1732">
            <v>0</v>
          </cell>
        </row>
        <row r="1733">
          <cell r="A1733">
            <v>0</v>
          </cell>
        </row>
        <row r="1734">
          <cell r="A1734">
            <v>0</v>
          </cell>
        </row>
        <row r="1735">
          <cell r="A1735">
            <v>0</v>
          </cell>
        </row>
        <row r="1736">
          <cell r="A1736">
            <v>0</v>
          </cell>
        </row>
        <row r="1737">
          <cell r="A1737">
            <v>0</v>
          </cell>
        </row>
        <row r="1738">
          <cell r="A1738">
            <v>0</v>
          </cell>
        </row>
        <row r="1739">
          <cell r="A1739">
            <v>0</v>
          </cell>
        </row>
        <row r="1740">
          <cell r="A1740">
            <v>0</v>
          </cell>
        </row>
        <row r="1741">
          <cell r="A1741">
            <v>0</v>
          </cell>
        </row>
        <row r="1742">
          <cell r="A1742">
            <v>0</v>
          </cell>
        </row>
        <row r="1743">
          <cell r="A1743">
            <v>0</v>
          </cell>
        </row>
        <row r="1744">
          <cell r="A1744">
            <v>0</v>
          </cell>
        </row>
        <row r="1745">
          <cell r="A1745">
            <v>0</v>
          </cell>
        </row>
        <row r="1746">
          <cell r="A1746">
            <v>0</v>
          </cell>
        </row>
        <row r="1747">
          <cell r="A1747">
            <v>0</v>
          </cell>
        </row>
        <row r="1748">
          <cell r="A1748">
            <v>0</v>
          </cell>
        </row>
        <row r="1749">
          <cell r="A1749">
            <v>0</v>
          </cell>
        </row>
        <row r="1750">
          <cell r="A1750">
            <v>0</v>
          </cell>
        </row>
        <row r="1751">
          <cell r="A1751">
            <v>0</v>
          </cell>
        </row>
        <row r="1752">
          <cell r="A1752">
            <v>0</v>
          </cell>
        </row>
        <row r="1753">
          <cell r="A1753">
            <v>0</v>
          </cell>
        </row>
        <row r="1754">
          <cell r="A1754">
            <v>0</v>
          </cell>
        </row>
        <row r="1755">
          <cell r="A1755">
            <v>0</v>
          </cell>
        </row>
        <row r="1756">
          <cell r="A1756">
            <v>0</v>
          </cell>
        </row>
        <row r="1757">
          <cell r="A1757">
            <v>0</v>
          </cell>
        </row>
        <row r="1758">
          <cell r="A1758">
            <v>0</v>
          </cell>
        </row>
        <row r="1759">
          <cell r="A1759">
            <v>0</v>
          </cell>
        </row>
        <row r="1760">
          <cell r="A1760">
            <v>0</v>
          </cell>
        </row>
        <row r="1761">
          <cell r="A1761">
            <v>0</v>
          </cell>
        </row>
        <row r="1762">
          <cell r="A1762">
            <v>0</v>
          </cell>
        </row>
        <row r="1763">
          <cell r="A1763">
            <v>0</v>
          </cell>
        </row>
        <row r="1764">
          <cell r="A1764">
            <v>0</v>
          </cell>
        </row>
        <row r="1765">
          <cell r="A1765">
            <v>0</v>
          </cell>
        </row>
        <row r="1766">
          <cell r="A1766">
            <v>0</v>
          </cell>
        </row>
        <row r="1767">
          <cell r="A1767">
            <v>0</v>
          </cell>
        </row>
        <row r="1768">
          <cell r="A1768">
            <v>0</v>
          </cell>
        </row>
        <row r="1769">
          <cell r="A1769">
            <v>0</v>
          </cell>
        </row>
        <row r="1770">
          <cell r="A1770">
            <v>0</v>
          </cell>
        </row>
        <row r="1771">
          <cell r="A1771">
            <v>0</v>
          </cell>
        </row>
        <row r="1772">
          <cell r="A1772">
            <v>0</v>
          </cell>
        </row>
        <row r="1773">
          <cell r="A1773">
            <v>0</v>
          </cell>
        </row>
        <row r="1774">
          <cell r="A1774">
            <v>0</v>
          </cell>
        </row>
        <row r="1775">
          <cell r="A1775">
            <v>0</v>
          </cell>
        </row>
        <row r="1776">
          <cell r="A1776">
            <v>0</v>
          </cell>
        </row>
        <row r="1777">
          <cell r="A1777">
            <v>0</v>
          </cell>
        </row>
        <row r="1778">
          <cell r="A1778">
            <v>0</v>
          </cell>
        </row>
        <row r="1779">
          <cell r="A1779">
            <v>0</v>
          </cell>
        </row>
        <row r="1780">
          <cell r="A1780">
            <v>0</v>
          </cell>
        </row>
        <row r="1781">
          <cell r="A1781">
            <v>0</v>
          </cell>
        </row>
        <row r="1782">
          <cell r="A1782">
            <v>0</v>
          </cell>
        </row>
        <row r="1783">
          <cell r="A1783">
            <v>0</v>
          </cell>
        </row>
        <row r="1784">
          <cell r="A1784">
            <v>0</v>
          </cell>
        </row>
        <row r="1785">
          <cell r="A1785">
            <v>0</v>
          </cell>
        </row>
        <row r="1786">
          <cell r="A1786">
            <v>0</v>
          </cell>
        </row>
        <row r="1787">
          <cell r="A1787">
            <v>0</v>
          </cell>
        </row>
        <row r="1788">
          <cell r="A1788">
            <v>0</v>
          </cell>
        </row>
        <row r="1789">
          <cell r="A1789">
            <v>0</v>
          </cell>
        </row>
        <row r="1790">
          <cell r="A1790">
            <v>0</v>
          </cell>
        </row>
        <row r="1791">
          <cell r="A1791">
            <v>0</v>
          </cell>
        </row>
        <row r="1792">
          <cell r="A1792">
            <v>0</v>
          </cell>
        </row>
        <row r="1793">
          <cell r="A1793">
            <v>0</v>
          </cell>
        </row>
        <row r="1794">
          <cell r="A1794">
            <v>0</v>
          </cell>
        </row>
        <row r="1795">
          <cell r="A1795">
            <v>0</v>
          </cell>
        </row>
        <row r="1796">
          <cell r="A1796">
            <v>0</v>
          </cell>
        </row>
        <row r="1797">
          <cell r="A1797">
            <v>0</v>
          </cell>
        </row>
        <row r="1798">
          <cell r="A1798">
            <v>0</v>
          </cell>
        </row>
        <row r="1799">
          <cell r="A1799">
            <v>0</v>
          </cell>
        </row>
        <row r="1800">
          <cell r="A1800">
            <v>0</v>
          </cell>
        </row>
        <row r="1801">
          <cell r="A1801">
            <v>0</v>
          </cell>
        </row>
        <row r="1802">
          <cell r="A1802">
            <v>0</v>
          </cell>
        </row>
        <row r="1803">
          <cell r="A1803">
            <v>0</v>
          </cell>
        </row>
        <row r="1804">
          <cell r="A1804">
            <v>0</v>
          </cell>
        </row>
        <row r="1805">
          <cell r="A1805">
            <v>0</v>
          </cell>
        </row>
        <row r="1806">
          <cell r="A1806">
            <v>0</v>
          </cell>
        </row>
        <row r="1807">
          <cell r="A1807">
            <v>0</v>
          </cell>
        </row>
        <row r="1808">
          <cell r="A1808">
            <v>0</v>
          </cell>
        </row>
        <row r="1809">
          <cell r="A1809">
            <v>0</v>
          </cell>
        </row>
        <row r="1810">
          <cell r="A1810">
            <v>0</v>
          </cell>
        </row>
        <row r="1811">
          <cell r="A1811">
            <v>0</v>
          </cell>
        </row>
        <row r="1812">
          <cell r="A1812">
            <v>0</v>
          </cell>
        </row>
        <row r="1813">
          <cell r="A1813">
            <v>0</v>
          </cell>
        </row>
        <row r="1814">
          <cell r="A1814">
            <v>0</v>
          </cell>
        </row>
        <row r="1815">
          <cell r="A1815">
            <v>0</v>
          </cell>
        </row>
        <row r="1816">
          <cell r="A1816">
            <v>0</v>
          </cell>
        </row>
        <row r="1817">
          <cell r="A1817">
            <v>0</v>
          </cell>
        </row>
        <row r="1818">
          <cell r="A1818">
            <v>0</v>
          </cell>
        </row>
        <row r="1819">
          <cell r="A1819">
            <v>0</v>
          </cell>
        </row>
        <row r="1820">
          <cell r="A1820">
            <v>0</v>
          </cell>
        </row>
        <row r="1821">
          <cell r="A1821">
            <v>0</v>
          </cell>
        </row>
        <row r="1822">
          <cell r="A1822">
            <v>0</v>
          </cell>
        </row>
        <row r="1823">
          <cell r="A1823">
            <v>0</v>
          </cell>
        </row>
        <row r="1824">
          <cell r="A1824">
            <v>0</v>
          </cell>
        </row>
        <row r="1825">
          <cell r="A1825">
            <v>0</v>
          </cell>
        </row>
        <row r="1826">
          <cell r="A1826">
            <v>0</v>
          </cell>
        </row>
        <row r="1827">
          <cell r="A1827">
            <v>0</v>
          </cell>
        </row>
        <row r="1828">
          <cell r="A1828">
            <v>0</v>
          </cell>
        </row>
        <row r="1829">
          <cell r="A1829">
            <v>0</v>
          </cell>
        </row>
        <row r="1830">
          <cell r="A1830">
            <v>0</v>
          </cell>
        </row>
        <row r="1831">
          <cell r="A1831">
            <v>0</v>
          </cell>
        </row>
        <row r="1832">
          <cell r="A1832">
            <v>0</v>
          </cell>
        </row>
        <row r="1833">
          <cell r="A1833">
            <v>0</v>
          </cell>
        </row>
        <row r="1834">
          <cell r="A1834">
            <v>0</v>
          </cell>
        </row>
        <row r="1835">
          <cell r="A1835">
            <v>0</v>
          </cell>
        </row>
        <row r="1836">
          <cell r="A1836">
            <v>0</v>
          </cell>
        </row>
        <row r="1837">
          <cell r="A1837">
            <v>0</v>
          </cell>
        </row>
        <row r="1838">
          <cell r="A1838">
            <v>0</v>
          </cell>
        </row>
        <row r="1839">
          <cell r="A1839">
            <v>0</v>
          </cell>
        </row>
        <row r="1840">
          <cell r="A1840">
            <v>0</v>
          </cell>
        </row>
        <row r="1841">
          <cell r="A1841">
            <v>0</v>
          </cell>
        </row>
        <row r="1842">
          <cell r="A1842">
            <v>0</v>
          </cell>
        </row>
        <row r="1843">
          <cell r="A1843">
            <v>0</v>
          </cell>
        </row>
        <row r="1844">
          <cell r="A1844">
            <v>0</v>
          </cell>
        </row>
        <row r="1845">
          <cell r="A1845">
            <v>0</v>
          </cell>
        </row>
        <row r="1846">
          <cell r="A1846">
            <v>0</v>
          </cell>
        </row>
        <row r="1847">
          <cell r="A1847">
            <v>0</v>
          </cell>
        </row>
        <row r="1848">
          <cell r="A1848">
            <v>0</v>
          </cell>
        </row>
        <row r="1849">
          <cell r="A1849">
            <v>0</v>
          </cell>
        </row>
        <row r="1850">
          <cell r="A1850">
            <v>0</v>
          </cell>
        </row>
        <row r="1851">
          <cell r="A1851">
            <v>0</v>
          </cell>
        </row>
        <row r="1852">
          <cell r="A1852">
            <v>0</v>
          </cell>
        </row>
        <row r="1853">
          <cell r="A1853">
            <v>0</v>
          </cell>
        </row>
        <row r="1854">
          <cell r="A1854">
            <v>0</v>
          </cell>
        </row>
        <row r="1855">
          <cell r="A1855">
            <v>0</v>
          </cell>
        </row>
        <row r="1856">
          <cell r="A1856">
            <v>0</v>
          </cell>
        </row>
        <row r="1857">
          <cell r="A1857">
            <v>0</v>
          </cell>
        </row>
        <row r="1858">
          <cell r="A1858">
            <v>0</v>
          </cell>
        </row>
        <row r="1859">
          <cell r="A1859">
            <v>0</v>
          </cell>
        </row>
        <row r="1860">
          <cell r="A1860">
            <v>0</v>
          </cell>
        </row>
        <row r="1861">
          <cell r="A1861">
            <v>0</v>
          </cell>
        </row>
        <row r="1862">
          <cell r="A1862">
            <v>0</v>
          </cell>
        </row>
        <row r="1863">
          <cell r="A1863">
            <v>0</v>
          </cell>
        </row>
        <row r="1864">
          <cell r="A1864">
            <v>0</v>
          </cell>
        </row>
        <row r="1865">
          <cell r="A1865">
            <v>0</v>
          </cell>
        </row>
        <row r="1866">
          <cell r="A1866">
            <v>0</v>
          </cell>
        </row>
        <row r="1867">
          <cell r="A1867">
            <v>0</v>
          </cell>
        </row>
        <row r="1868">
          <cell r="A1868">
            <v>0</v>
          </cell>
        </row>
        <row r="1869">
          <cell r="A1869">
            <v>0</v>
          </cell>
        </row>
        <row r="1870">
          <cell r="A1870">
            <v>0</v>
          </cell>
        </row>
        <row r="1871">
          <cell r="A1871">
            <v>0</v>
          </cell>
        </row>
        <row r="1872">
          <cell r="A1872">
            <v>0</v>
          </cell>
        </row>
        <row r="1873">
          <cell r="A1873">
            <v>0</v>
          </cell>
        </row>
        <row r="1874">
          <cell r="A1874">
            <v>0</v>
          </cell>
        </row>
        <row r="1875">
          <cell r="A1875">
            <v>0</v>
          </cell>
        </row>
        <row r="1876">
          <cell r="A1876">
            <v>0</v>
          </cell>
        </row>
        <row r="1877">
          <cell r="A1877">
            <v>0</v>
          </cell>
        </row>
        <row r="1878">
          <cell r="A1878">
            <v>0</v>
          </cell>
        </row>
        <row r="1879">
          <cell r="A1879">
            <v>0</v>
          </cell>
        </row>
        <row r="1880">
          <cell r="A1880">
            <v>0</v>
          </cell>
        </row>
        <row r="1881">
          <cell r="A1881">
            <v>0</v>
          </cell>
        </row>
        <row r="1882">
          <cell r="A1882">
            <v>0</v>
          </cell>
        </row>
        <row r="1883">
          <cell r="A1883">
            <v>0</v>
          </cell>
        </row>
        <row r="1884">
          <cell r="A1884">
            <v>0</v>
          </cell>
        </row>
        <row r="1885">
          <cell r="A1885">
            <v>0</v>
          </cell>
        </row>
        <row r="1886">
          <cell r="A1886">
            <v>0</v>
          </cell>
        </row>
        <row r="1887">
          <cell r="A1887">
            <v>0</v>
          </cell>
        </row>
        <row r="1888">
          <cell r="A1888">
            <v>0</v>
          </cell>
        </row>
        <row r="1889">
          <cell r="A1889">
            <v>0</v>
          </cell>
        </row>
        <row r="1890">
          <cell r="A1890">
            <v>0</v>
          </cell>
        </row>
        <row r="1891">
          <cell r="A1891">
            <v>0</v>
          </cell>
        </row>
        <row r="1892">
          <cell r="A1892">
            <v>0</v>
          </cell>
        </row>
        <row r="1893">
          <cell r="A1893">
            <v>0</v>
          </cell>
        </row>
        <row r="1894">
          <cell r="A1894">
            <v>0</v>
          </cell>
        </row>
        <row r="1895">
          <cell r="A1895">
            <v>0</v>
          </cell>
        </row>
        <row r="1896">
          <cell r="A1896">
            <v>0</v>
          </cell>
        </row>
        <row r="1897">
          <cell r="A1897">
            <v>0</v>
          </cell>
        </row>
        <row r="1898">
          <cell r="A1898">
            <v>0</v>
          </cell>
        </row>
        <row r="1899">
          <cell r="A1899">
            <v>0</v>
          </cell>
        </row>
        <row r="1900">
          <cell r="A1900">
            <v>0</v>
          </cell>
        </row>
        <row r="1901">
          <cell r="A1901">
            <v>0</v>
          </cell>
        </row>
        <row r="1902">
          <cell r="A1902">
            <v>0</v>
          </cell>
        </row>
        <row r="1903">
          <cell r="A1903">
            <v>0</v>
          </cell>
        </row>
        <row r="1904">
          <cell r="A1904">
            <v>0</v>
          </cell>
        </row>
        <row r="1905">
          <cell r="A1905">
            <v>0</v>
          </cell>
        </row>
        <row r="1906">
          <cell r="A1906">
            <v>0</v>
          </cell>
        </row>
        <row r="1907">
          <cell r="A1907">
            <v>0</v>
          </cell>
        </row>
        <row r="1908">
          <cell r="A1908">
            <v>0</v>
          </cell>
        </row>
        <row r="1909">
          <cell r="A1909">
            <v>0</v>
          </cell>
        </row>
        <row r="1910">
          <cell r="A1910">
            <v>0</v>
          </cell>
        </row>
        <row r="1911">
          <cell r="A1911">
            <v>0</v>
          </cell>
        </row>
        <row r="1912">
          <cell r="A1912">
            <v>0</v>
          </cell>
        </row>
        <row r="1913">
          <cell r="A1913">
            <v>0</v>
          </cell>
        </row>
        <row r="1914">
          <cell r="A1914">
            <v>0</v>
          </cell>
        </row>
        <row r="1915">
          <cell r="A1915">
            <v>0</v>
          </cell>
        </row>
        <row r="1916">
          <cell r="A1916">
            <v>0</v>
          </cell>
        </row>
        <row r="1917">
          <cell r="A1917">
            <v>0</v>
          </cell>
        </row>
        <row r="1918">
          <cell r="A1918">
            <v>0</v>
          </cell>
        </row>
        <row r="1919">
          <cell r="A1919">
            <v>0</v>
          </cell>
        </row>
        <row r="1920">
          <cell r="A1920">
            <v>0</v>
          </cell>
        </row>
        <row r="1921">
          <cell r="A1921">
            <v>0</v>
          </cell>
        </row>
        <row r="1922">
          <cell r="A1922">
            <v>0</v>
          </cell>
        </row>
        <row r="1923">
          <cell r="A1923">
            <v>0</v>
          </cell>
        </row>
        <row r="1924">
          <cell r="A1924">
            <v>0</v>
          </cell>
        </row>
        <row r="1925">
          <cell r="A1925">
            <v>0</v>
          </cell>
        </row>
        <row r="1926">
          <cell r="A1926">
            <v>0</v>
          </cell>
        </row>
        <row r="1927">
          <cell r="A1927">
            <v>0</v>
          </cell>
        </row>
        <row r="1928">
          <cell r="A1928">
            <v>0</v>
          </cell>
        </row>
        <row r="1929">
          <cell r="A1929">
            <v>0</v>
          </cell>
        </row>
        <row r="1930">
          <cell r="A1930">
            <v>0</v>
          </cell>
        </row>
        <row r="1931">
          <cell r="A1931">
            <v>0</v>
          </cell>
        </row>
        <row r="1932">
          <cell r="A1932">
            <v>0</v>
          </cell>
        </row>
        <row r="1933">
          <cell r="A1933">
            <v>0</v>
          </cell>
        </row>
        <row r="1934">
          <cell r="A1934">
            <v>0</v>
          </cell>
        </row>
        <row r="1935">
          <cell r="A1935">
            <v>0</v>
          </cell>
        </row>
        <row r="1936">
          <cell r="A1936">
            <v>0</v>
          </cell>
        </row>
        <row r="1937">
          <cell r="A1937">
            <v>0</v>
          </cell>
        </row>
        <row r="1938">
          <cell r="A1938">
            <v>0</v>
          </cell>
        </row>
        <row r="1939">
          <cell r="A1939">
            <v>0</v>
          </cell>
        </row>
        <row r="1940">
          <cell r="A1940">
            <v>0</v>
          </cell>
        </row>
        <row r="1941">
          <cell r="A1941">
            <v>0</v>
          </cell>
        </row>
        <row r="1942">
          <cell r="A1942">
            <v>0</v>
          </cell>
        </row>
        <row r="1943">
          <cell r="A1943">
            <v>0</v>
          </cell>
        </row>
        <row r="1944">
          <cell r="A1944">
            <v>0</v>
          </cell>
        </row>
        <row r="1945">
          <cell r="A1945">
            <v>0</v>
          </cell>
        </row>
        <row r="1946">
          <cell r="A1946">
            <v>0</v>
          </cell>
        </row>
        <row r="1947">
          <cell r="A1947">
            <v>0</v>
          </cell>
        </row>
        <row r="1948">
          <cell r="A1948">
            <v>0</v>
          </cell>
        </row>
        <row r="1949">
          <cell r="A1949">
            <v>0</v>
          </cell>
        </row>
        <row r="1950">
          <cell r="A1950">
            <v>0</v>
          </cell>
        </row>
        <row r="1951">
          <cell r="A1951">
            <v>0</v>
          </cell>
        </row>
        <row r="1952">
          <cell r="A1952">
            <v>0</v>
          </cell>
        </row>
        <row r="1953">
          <cell r="A1953">
            <v>0</v>
          </cell>
        </row>
        <row r="1954">
          <cell r="A1954">
            <v>0</v>
          </cell>
        </row>
        <row r="1955">
          <cell r="A1955">
            <v>0</v>
          </cell>
        </row>
        <row r="1956">
          <cell r="A1956">
            <v>0</v>
          </cell>
        </row>
        <row r="1957">
          <cell r="A1957">
            <v>0</v>
          </cell>
        </row>
        <row r="1958">
          <cell r="A1958">
            <v>0</v>
          </cell>
        </row>
        <row r="1959">
          <cell r="A1959">
            <v>0</v>
          </cell>
        </row>
        <row r="1960">
          <cell r="A1960">
            <v>0</v>
          </cell>
        </row>
        <row r="1961">
          <cell r="A1961">
            <v>0</v>
          </cell>
        </row>
        <row r="1962">
          <cell r="A1962">
            <v>0</v>
          </cell>
        </row>
        <row r="1963">
          <cell r="A1963">
            <v>0</v>
          </cell>
        </row>
        <row r="1964">
          <cell r="A1964">
            <v>0</v>
          </cell>
        </row>
        <row r="1965">
          <cell r="A1965">
            <v>0</v>
          </cell>
        </row>
        <row r="1966">
          <cell r="A1966">
            <v>0</v>
          </cell>
        </row>
        <row r="1967">
          <cell r="A1967">
            <v>0</v>
          </cell>
        </row>
        <row r="1968">
          <cell r="A1968">
            <v>0</v>
          </cell>
        </row>
        <row r="1969">
          <cell r="A1969">
            <v>0</v>
          </cell>
        </row>
        <row r="1970">
          <cell r="A1970">
            <v>0</v>
          </cell>
        </row>
        <row r="1971">
          <cell r="A1971">
            <v>0</v>
          </cell>
        </row>
        <row r="1972">
          <cell r="A1972">
            <v>0</v>
          </cell>
        </row>
        <row r="1973">
          <cell r="A1973">
            <v>0</v>
          </cell>
        </row>
        <row r="1974">
          <cell r="A1974">
            <v>0</v>
          </cell>
        </row>
        <row r="1975">
          <cell r="A1975">
            <v>0</v>
          </cell>
        </row>
        <row r="1976">
          <cell r="A1976">
            <v>0</v>
          </cell>
        </row>
        <row r="1977">
          <cell r="A1977">
            <v>0</v>
          </cell>
        </row>
        <row r="1978">
          <cell r="A1978">
            <v>0</v>
          </cell>
        </row>
        <row r="1979">
          <cell r="A1979">
            <v>0</v>
          </cell>
        </row>
        <row r="1980">
          <cell r="A1980">
            <v>0</v>
          </cell>
        </row>
        <row r="1981">
          <cell r="A1981">
            <v>0</v>
          </cell>
        </row>
        <row r="1982">
          <cell r="A1982">
            <v>0</v>
          </cell>
        </row>
        <row r="1983">
          <cell r="A1983">
            <v>0</v>
          </cell>
        </row>
        <row r="1984">
          <cell r="A1984">
            <v>0</v>
          </cell>
        </row>
        <row r="1985">
          <cell r="A1985">
            <v>0</v>
          </cell>
        </row>
        <row r="1986">
          <cell r="A1986">
            <v>0</v>
          </cell>
        </row>
        <row r="1987">
          <cell r="A1987">
            <v>0</v>
          </cell>
        </row>
        <row r="1988">
          <cell r="A1988">
            <v>0</v>
          </cell>
        </row>
        <row r="1989">
          <cell r="A1989">
            <v>0</v>
          </cell>
        </row>
        <row r="1990">
          <cell r="A1990">
            <v>0</v>
          </cell>
        </row>
        <row r="1991">
          <cell r="A1991">
            <v>0</v>
          </cell>
        </row>
        <row r="1992">
          <cell r="A1992">
            <v>0</v>
          </cell>
        </row>
        <row r="1993">
          <cell r="A1993">
            <v>0</v>
          </cell>
        </row>
        <row r="1994">
          <cell r="A1994">
            <v>0</v>
          </cell>
        </row>
        <row r="1995">
          <cell r="A1995">
            <v>0</v>
          </cell>
        </row>
        <row r="1996">
          <cell r="A1996">
            <v>0</v>
          </cell>
        </row>
        <row r="1997">
          <cell r="A1997">
            <v>0</v>
          </cell>
        </row>
        <row r="1998">
          <cell r="A1998">
            <v>0</v>
          </cell>
        </row>
        <row r="1999">
          <cell r="A1999">
            <v>0</v>
          </cell>
        </row>
        <row r="2000">
          <cell r="A2000">
            <v>0</v>
          </cell>
        </row>
        <row r="2001">
          <cell r="A2001">
            <v>0</v>
          </cell>
        </row>
        <row r="2002">
          <cell r="A2002">
            <v>0</v>
          </cell>
        </row>
        <row r="2003">
          <cell r="A2003">
            <v>0</v>
          </cell>
        </row>
        <row r="2004">
          <cell r="A2004">
            <v>0</v>
          </cell>
        </row>
        <row r="2005">
          <cell r="A2005">
            <v>0</v>
          </cell>
        </row>
        <row r="2006">
          <cell r="A2006">
            <v>0</v>
          </cell>
        </row>
        <row r="2007">
          <cell r="A2007">
            <v>0</v>
          </cell>
        </row>
        <row r="2008">
          <cell r="A2008">
            <v>0</v>
          </cell>
        </row>
        <row r="2009">
          <cell r="A2009">
            <v>0</v>
          </cell>
        </row>
        <row r="2010">
          <cell r="A2010">
            <v>0</v>
          </cell>
        </row>
        <row r="2011">
          <cell r="A2011">
            <v>0</v>
          </cell>
        </row>
        <row r="2012">
          <cell r="A2012">
            <v>0</v>
          </cell>
        </row>
        <row r="2013">
          <cell r="A2013">
            <v>0</v>
          </cell>
        </row>
        <row r="2014">
          <cell r="A2014">
            <v>0</v>
          </cell>
        </row>
        <row r="2015">
          <cell r="A2015">
            <v>0</v>
          </cell>
        </row>
        <row r="2016">
          <cell r="A2016">
            <v>0</v>
          </cell>
        </row>
        <row r="2017">
          <cell r="A2017">
            <v>0</v>
          </cell>
        </row>
        <row r="2018">
          <cell r="A2018">
            <v>0</v>
          </cell>
        </row>
        <row r="2019">
          <cell r="A2019">
            <v>0</v>
          </cell>
        </row>
        <row r="2020">
          <cell r="A2020">
            <v>0</v>
          </cell>
        </row>
        <row r="2021">
          <cell r="A2021">
            <v>0</v>
          </cell>
        </row>
        <row r="2022">
          <cell r="A2022">
            <v>0</v>
          </cell>
        </row>
        <row r="2023">
          <cell r="A2023">
            <v>0</v>
          </cell>
        </row>
        <row r="2024">
          <cell r="A2024">
            <v>0</v>
          </cell>
        </row>
        <row r="2025">
          <cell r="A2025">
            <v>0</v>
          </cell>
        </row>
        <row r="2026">
          <cell r="A2026">
            <v>0</v>
          </cell>
        </row>
        <row r="2027">
          <cell r="A2027">
            <v>0</v>
          </cell>
        </row>
        <row r="2028">
          <cell r="A2028">
            <v>0</v>
          </cell>
        </row>
        <row r="2029">
          <cell r="A2029">
            <v>0</v>
          </cell>
        </row>
        <row r="2030">
          <cell r="A2030">
            <v>0</v>
          </cell>
        </row>
        <row r="2031">
          <cell r="A2031">
            <v>0</v>
          </cell>
        </row>
        <row r="2032">
          <cell r="A2032">
            <v>0</v>
          </cell>
        </row>
        <row r="2033">
          <cell r="A2033">
            <v>0</v>
          </cell>
        </row>
        <row r="2034">
          <cell r="A2034">
            <v>0</v>
          </cell>
        </row>
        <row r="2035">
          <cell r="A2035">
            <v>0</v>
          </cell>
        </row>
        <row r="2036">
          <cell r="A2036">
            <v>0</v>
          </cell>
        </row>
        <row r="2037">
          <cell r="A2037">
            <v>0</v>
          </cell>
        </row>
        <row r="2038">
          <cell r="A2038">
            <v>0</v>
          </cell>
        </row>
        <row r="2039">
          <cell r="A2039">
            <v>0</v>
          </cell>
        </row>
        <row r="2040">
          <cell r="A2040">
            <v>0</v>
          </cell>
        </row>
        <row r="2041">
          <cell r="A2041">
            <v>0</v>
          </cell>
        </row>
        <row r="2042">
          <cell r="A2042">
            <v>0</v>
          </cell>
        </row>
        <row r="2043">
          <cell r="A2043">
            <v>0</v>
          </cell>
        </row>
        <row r="2044">
          <cell r="A2044">
            <v>0</v>
          </cell>
        </row>
        <row r="2045">
          <cell r="A2045">
            <v>0</v>
          </cell>
        </row>
        <row r="2046">
          <cell r="A2046">
            <v>0</v>
          </cell>
        </row>
        <row r="2047">
          <cell r="A2047">
            <v>0</v>
          </cell>
        </row>
        <row r="2048">
          <cell r="A2048">
            <v>0</v>
          </cell>
        </row>
        <row r="2049">
          <cell r="A2049">
            <v>0</v>
          </cell>
        </row>
        <row r="2050">
          <cell r="A2050">
            <v>0</v>
          </cell>
        </row>
        <row r="2051">
          <cell r="A2051">
            <v>0</v>
          </cell>
        </row>
        <row r="2052">
          <cell r="A2052">
            <v>0</v>
          </cell>
        </row>
        <row r="2053">
          <cell r="A2053">
            <v>0</v>
          </cell>
        </row>
        <row r="2054">
          <cell r="A2054">
            <v>0</v>
          </cell>
        </row>
        <row r="2055">
          <cell r="A2055">
            <v>0</v>
          </cell>
        </row>
        <row r="2056">
          <cell r="A2056">
            <v>0</v>
          </cell>
        </row>
        <row r="2057">
          <cell r="A2057">
            <v>0</v>
          </cell>
        </row>
        <row r="2058">
          <cell r="A2058">
            <v>0</v>
          </cell>
        </row>
        <row r="2059">
          <cell r="A2059">
            <v>0</v>
          </cell>
        </row>
        <row r="2060">
          <cell r="A2060">
            <v>0</v>
          </cell>
        </row>
        <row r="2061">
          <cell r="A2061">
            <v>0</v>
          </cell>
        </row>
        <row r="2062">
          <cell r="A2062">
            <v>0</v>
          </cell>
        </row>
        <row r="2063">
          <cell r="A2063">
            <v>0</v>
          </cell>
        </row>
        <row r="2064">
          <cell r="A2064">
            <v>0</v>
          </cell>
        </row>
        <row r="2065">
          <cell r="A2065">
            <v>0</v>
          </cell>
        </row>
        <row r="2066">
          <cell r="A2066">
            <v>0</v>
          </cell>
        </row>
        <row r="2067">
          <cell r="A2067">
            <v>0</v>
          </cell>
        </row>
        <row r="2068">
          <cell r="A2068">
            <v>0</v>
          </cell>
        </row>
        <row r="2069">
          <cell r="A2069">
            <v>0</v>
          </cell>
        </row>
        <row r="2070">
          <cell r="A2070">
            <v>0</v>
          </cell>
        </row>
        <row r="2071">
          <cell r="A2071">
            <v>0</v>
          </cell>
        </row>
        <row r="2072">
          <cell r="A2072">
            <v>0</v>
          </cell>
        </row>
        <row r="2073">
          <cell r="A2073">
            <v>0</v>
          </cell>
        </row>
        <row r="2074">
          <cell r="A2074">
            <v>0</v>
          </cell>
        </row>
        <row r="2075">
          <cell r="A2075">
            <v>0</v>
          </cell>
        </row>
        <row r="2076">
          <cell r="A2076">
            <v>0</v>
          </cell>
        </row>
        <row r="2077">
          <cell r="A2077">
            <v>0</v>
          </cell>
        </row>
        <row r="2078">
          <cell r="A2078">
            <v>0</v>
          </cell>
        </row>
        <row r="2079">
          <cell r="A2079">
            <v>0</v>
          </cell>
        </row>
        <row r="2080">
          <cell r="A2080">
            <v>0</v>
          </cell>
        </row>
        <row r="2081">
          <cell r="A2081">
            <v>0</v>
          </cell>
        </row>
        <row r="2082">
          <cell r="A2082">
            <v>0</v>
          </cell>
        </row>
        <row r="2083">
          <cell r="A2083">
            <v>0</v>
          </cell>
        </row>
        <row r="2084">
          <cell r="A2084">
            <v>0</v>
          </cell>
        </row>
        <row r="2085">
          <cell r="A2085">
            <v>0</v>
          </cell>
        </row>
        <row r="2086">
          <cell r="A2086">
            <v>0</v>
          </cell>
        </row>
        <row r="2087">
          <cell r="A2087">
            <v>0</v>
          </cell>
        </row>
        <row r="2088">
          <cell r="A2088">
            <v>0</v>
          </cell>
        </row>
        <row r="2089">
          <cell r="A2089">
            <v>0</v>
          </cell>
        </row>
        <row r="2090">
          <cell r="A2090">
            <v>0</v>
          </cell>
        </row>
        <row r="2091">
          <cell r="A2091">
            <v>0</v>
          </cell>
        </row>
        <row r="2092">
          <cell r="A2092">
            <v>0</v>
          </cell>
        </row>
        <row r="2093">
          <cell r="A2093">
            <v>0</v>
          </cell>
        </row>
        <row r="2094">
          <cell r="A2094">
            <v>0</v>
          </cell>
        </row>
        <row r="2095">
          <cell r="A2095">
            <v>0</v>
          </cell>
        </row>
        <row r="2096">
          <cell r="A2096">
            <v>0</v>
          </cell>
        </row>
        <row r="2097">
          <cell r="A2097">
            <v>0</v>
          </cell>
        </row>
        <row r="2098">
          <cell r="A2098">
            <v>0</v>
          </cell>
        </row>
        <row r="2099">
          <cell r="A2099">
            <v>0</v>
          </cell>
        </row>
        <row r="2100">
          <cell r="A2100">
            <v>0</v>
          </cell>
        </row>
        <row r="2101">
          <cell r="A2101">
            <v>0</v>
          </cell>
        </row>
        <row r="2102">
          <cell r="A2102">
            <v>0</v>
          </cell>
        </row>
        <row r="2103">
          <cell r="A2103">
            <v>0</v>
          </cell>
        </row>
        <row r="2104">
          <cell r="A2104">
            <v>0</v>
          </cell>
        </row>
        <row r="2105">
          <cell r="A2105">
            <v>0</v>
          </cell>
        </row>
        <row r="2106">
          <cell r="A2106">
            <v>0</v>
          </cell>
        </row>
        <row r="2107">
          <cell r="A2107">
            <v>0</v>
          </cell>
        </row>
        <row r="2108">
          <cell r="A2108">
            <v>0</v>
          </cell>
        </row>
        <row r="2109">
          <cell r="A2109">
            <v>0</v>
          </cell>
        </row>
        <row r="2110">
          <cell r="A2110">
            <v>0</v>
          </cell>
        </row>
        <row r="2111">
          <cell r="A2111">
            <v>0</v>
          </cell>
        </row>
        <row r="2112">
          <cell r="A2112">
            <v>0</v>
          </cell>
        </row>
        <row r="2113">
          <cell r="A2113">
            <v>0</v>
          </cell>
        </row>
        <row r="2114">
          <cell r="A2114">
            <v>0</v>
          </cell>
        </row>
        <row r="2115">
          <cell r="A2115">
            <v>0</v>
          </cell>
        </row>
        <row r="2116">
          <cell r="A2116">
            <v>0</v>
          </cell>
        </row>
        <row r="2117">
          <cell r="A2117">
            <v>0</v>
          </cell>
        </row>
        <row r="2118">
          <cell r="A2118">
            <v>0</v>
          </cell>
        </row>
        <row r="2119">
          <cell r="A2119">
            <v>0</v>
          </cell>
        </row>
        <row r="2120">
          <cell r="A2120">
            <v>0</v>
          </cell>
        </row>
        <row r="2121">
          <cell r="A2121">
            <v>0</v>
          </cell>
        </row>
        <row r="2122">
          <cell r="A2122">
            <v>0</v>
          </cell>
        </row>
        <row r="2123">
          <cell r="A2123">
            <v>0</v>
          </cell>
        </row>
        <row r="2124">
          <cell r="A2124">
            <v>0</v>
          </cell>
        </row>
        <row r="2125">
          <cell r="A2125">
            <v>0</v>
          </cell>
        </row>
        <row r="2126">
          <cell r="A2126">
            <v>0</v>
          </cell>
        </row>
        <row r="2127">
          <cell r="A2127">
            <v>0</v>
          </cell>
        </row>
        <row r="2128">
          <cell r="A2128">
            <v>0</v>
          </cell>
        </row>
        <row r="2129">
          <cell r="A2129">
            <v>0</v>
          </cell>
        </row>
        <row r="2130">
          <cell r="A2130">
            <v>0</v>
          </cell>
        </row>
        <row r="2131">
          <cell r="A2131">
            <v>0</v>
          </cell>
        </row>
        <row r="2132">
          <cell r="A2132">
            <v>0</v>
          </cell>
        </row>
        <row r="2133">
          <cell r="A2133">
            <v>0</v>
          </cell>
        </row>
        <row r="2134">
          <cell r="A2134">
            <v>0</v>
          </cell>
        </row>
        <row r="2135">
          <cell r="A2135">
            <v>0</v>
          </cell>
        </row>
        <row r="2136">
          <cell r="A2136">
            <v>0</v>
          </cell>
        </row>
        <row r="2137">
          <cell r="A2137">
            <v>0</v>
          </cell>
        </row>
        <row r="2138">
          <cell r="A2138">
            <v>0</v>
          </cell>
        </row>
        <row r="2139">
          <cell r="A2139">
            <v>0</v>
          </cell>
        </row>
        <row r="2140">
          <cell r="A2140">
            <v>0</v>
          </cell>
        </row>
        <row r="2141">
          <cell r="A2141">
            <v>0</v>
          </cell>
        </row>
        <row r="2142">
          <cell r="A2142">
            <v>0</v>
          </cell>
        </row>
        <row r="2143">
          <cell r="A2143">
            <v>0</v>
          </cell>
        </row>
        <row r="2144">
          <cell r="A2144">
            <v>0</v>
          </cell>
        </row>
        <row r="2145">
          <cell r="A2145">
            <v>0</v>
          </cell>
        </row>
        <row r="2146">
          <cell r="A2146">
            <v>0</v>
          </cell>
        </row>
        <row r="2147">
          <cell r="A2147">
            <v>0</v>
          </cell>
        </row>
        <row r="2148">
          <cell r="A2148">
            <v>0</v>
          </cell>
        </row>
        <row r="2149">
          <cell r="A2149">
            <v>0</v>
          </cell>
        </row>
        <row r="2150">
          <cell r="A2150">
            <v>0</v>
          </cell>
        </row>
        <row r="2151">
          <cell r="A2151">
            <v>0</v>
          </cell>
        </row>
        <row r="2152">
          <cell r="A2152">
            <v>0</v>
          </cell>
        </row>
        <row r="2153">
          <cell r="A2153">
            <v>0</v>
          </cell>
        </row>
        <row r="2154">
          <cell r="A2154">
            <v>0</v>
          </cell>
        </row>
        <row r="2155">
          <cell r="A2155">
            <v>0</v>
          </cell>
        </row>
        <row r="2156">
          <cell r="A2156">
            <v>0</v>
          </cell>
        </row>
        <row r="2157">
          <cell r="A2157">
            <v>0</v>
          </cell>
        </row>
        <row r="2158">
          <cell r="A2158">
            <v>0</v>
          </cell>
        </row>
        <row r="2159">
          <cell r="A2159">
            <v>0</v>
          </cell>
        </row>
        <row r="2160">
          <cell r="A2160">
            <v>0</v>
          </cell>
        </row>
        <row r="2161">
          <cell r="A2161">
            <v>0</v>
          </cell>
        </row>
        <row r="2162">
          <cell r="A2162">
            <v>0</v>
          </cell>
        </row>
        <row r="2163">
          <cell r="A2163">
            <v>0</v>
          </cell>
        </row>
        <row r="2164">
          <cell r="A2164">
            <v>0</v>
          </cell>
        </row>
        <row r="2165">
          <cell r="A2165">
            <v>0</v>
          </cell>
        </row>
        <row r="2166">
          <cell r="A2166">
            <v>0</v>
          </cell>
        </row>
        <row r="2167">
          <cell r="A2167">
            <v>0</v>
          </cell>
        </row>
        <row r="2168">
          <cell r="A2168">
            <v>0</v>
          </cell>
        </row>
        <row r="2169">
          <cell r="A2169">
            <v>0</v>
          </cell>
        </row>
        <row r="2170">
          <cell r="A2170">
            <v>0</v>
          </cell>
        </row>
        <row r="2171">
          <cell r="A2171">
            <v>0</v>
          </cell>
        </row>
        <row r="2172">
          <cell r="A2172">
            <v>0</v>
          </cell>
        </row>
        <row r="2173">
          <cell r="A2173">
            <v>0</v>
          </cell>
        </row>
        <row r="2174">
          <cell r="A2174">
            <v>0</v>
          </cell>
        </row>
        <row r="2175">
          <cell r="A2175">
            <v>0</v>
          </cell>
        </row>
        <row r="2176">
          <cell r="A2176">
            <v>0</v>
          </cell>
        </row>
        <row r="2177">
          <cell r="A2177">
            <v>0</v>
          </cell>
        </row>
        <row r="2178">
          <cell r="A2178">
            <v>0</v>
          </cell>
        </row>
        <row r="2179">
          <cell r="A2179">
            <v>0</v>
          </cell>
        </row>
        <row r="2180">
          <cell r="A2180">
            <v>0</v>
          </cell>
        </row>
        <row r="2181">
          <cell r="A2181">
            <v>0</v>
          </cell>
        </row>
        <row r="2182">
          <cell r="A2182">
            <v>0</v>
          </cell>
        </row>
        <row r="2183">
          <cell r="A2183">
            <v>0</v>
          </cell>
        </row>
        <row r="2184">
          <cell r="A2184">
            <v>0</v>
          </cell>
        </row>
        <row r="2185">
          <cell r="A2185">
            <v>0</v>
          </cell>
        </row>
        <row r="2186">
          <cell r="A2186">
            <v>0</v>
          </cell>
        </row>
        <row r="2187">
          <cell r="A2187">
            <v>0</v>
          </cell>
        </row>
        <row r="2188">
          <cell r="A2188">
            <v>0</v>
          </cell>
        </row>
        <row r="2189">
          <cell r="A2189">
            <v>0</v>
          </cell>
        </row>
        <row r="2190">
          <cell r="A2190">
            <v>0</v>
          </cell>
        </row>
        <row r="2191">
          <cell r="A2191">
            <v>0</v>
          </cell>
        </row>
        <row r="2192">
          <cell r="A2192">
            <v>0</v>
          </cell>
        </row>
        <row r="2193">
          <cell r="A2193">
            <v>0</v>
          </cell>
        </row>
        <row r="2194">
          <cell r="A2194">
            <v>0</v>
          </cell>
        </row>
        <row r="2195">
          <cell r="A2195">
            <v>0</v>
          </cell>
        </row>
        <row r="2196">
          <cell r="A2196">
            <v>0</v>
          </cell>
        </row>
        <row r="2197">
          <cell r="A2197">
            <v>0</v>
          </cell>
        </row>
        <row r="2198">
          <cell r="A2198">
            <v>0</v>
          </cell>
        </row>
        <row r="2199">
          <cell r="A2199">
            <v>0</v>
          </cell>
        </row>
        <row r="2200">
          <cell r="A2200">
            <v>0</v>
          </cell>
        </row>
        <row r="2201">
          <cell r="A2201">
            <v>0</v>
          </cell>
        </row>
        <row r="2202">
          <cell r="A2202">
            <v>0</v>
          </cell>
        </row>
        <row r="2203">
          <cell r="A2203">
            <v>0</v>
          </cell>
        </row>
        <row r="2204">
          <cell r="A2204">
            <v>0</v>
          </cell>
        </row>
        <row r="2205">
          <cell r="A2205">
            <v>0</v>
          </cell>
        </row>
        <row r="2206">
          <cell r="A2206">
            <v>0</v>
          </cell>
        </row>
        <row r="2207">
          <cell r="A2207">
            <v>0</v>
          </cell>
        </row>
        <row r="2208">
          <cell r="A2208">
            <v>0</v>
          </cell>
        </row>
        <row r="2209">
          <cell r="A2209">
            <v>0</v>
          </cell>
        </row>
        <row r="2210">
          <cell r="A2210">
            <v>0</v>
          </cell>
        </row>
        <row r="2211">
          <cell r="A2211">
            <v>0</v>
          </cell>
        </row>
        <row r="2212">
          <cell r="A2212">
            <v>0</v>
          </cell>
        </row>
        <row r="2213">
          <cell r="A2213">
            <v>0</v>
          </cell>
        </row>
        <row r="2214">
          <cell r="A2214">
            <v>0</v>
          </cell>
        </row>
        <row r="2215">
          <cell r="A2215">
            <v>0</v>
          </cell>
        </row>
        <row r="2216">
          <cell r="A2216">
            <v>0</v>
          </cell>
        </row>
        <row r="2217">
          <cell r="A2217">
            <v>0</v>
          </cell>
        </row>
        <row r="2218">
          <cell r="A2218">
            <v>0</v>
          </cell>
        </row>
        <row r="2219">
          <cell r="A2219">
            <v>0</v>
          </cell>
        </row>
        <row r="2220">
          <cell r="A2220">
            <v>0</v>
          </cell>
        </row>
        <row r="2221">
          <cell r="A2221">
            <v>0</v>
          </cell>
        </row>
        <row r="2222">
          <cell r="A2222">
            <v>0</v>
          </cell>
        </row>
        <row r="2223">
          <cell r="A2223">
            <v>0</v>
          </cell>
        </row>
        <row r="2224">
          <cell r="A2224">
            <v>0</v>
          </cell>
        </row>
        <row r="2225">
          <cell r="A2225">
            <v>0</v>
          </cell>
        </row>
        <row r="2226">
          <cell r="A2226">
            <v>0</v>
          </cell>
        </row>
        <row r="2227">
          <cell r="A2227">
            <v>0</v>
          </cell>
        </row>
        <row r="2228">
          <cell r="A2228">
            <v>0</v>
          </cell>
        </row>
        <row r="2229">
          <cell r="A2229">
            <v>0</v>
          </cell>
        </row>
        <row r="2230">
          <cell r="A2230">
            <v>0</v>
          </cell>
        </row>
        <row r="2231">
          <cell r="A2231">
            <v>0</v>
          </cell>
        </row>
        <row r="2232">
          <cell r="A2232">
            <v>0</v>
          </cell>
        </row>
        <row r="2233">
          <cell r="A2233">
            <v>0</v>
          </cell>
        </row>
        <row r="2234">
          <cell r="A2234">
            <v>0</v>
          </cell>
        </row>
        <row r="2235">
          <cell r="A2235">
            <v>0</v>
          </cell>
        </row>
        <row r="2236">
          <cell r="A2236">
            <v>0</v>
          </cell>
        </row>
        <row r="2237">
          <cell r="A2237">
            <v>0</v>
          </cell>
        </row>
        <row r="2238">
          <cell r="A2238">
            <v>0</v>
          </cell>
        </row>
        <row r="2239">
          <cell r="A2239">
            <v>0</v>
          </cell>
        </row>
        <row r="2240">
          <cell r="A2240">
            <v>0</v>
          </cell>
        </row>
        <row r="2241">
          <cell r="A2241">
            <v>0</v>
          </cell>
        </row>
        <row r="2242">
          <cell r="A2242">
            <v>0</v>
          </cell>
        </row>
        <row r="2243">
          <cell r="A2243">
            <v>0</v>
          </cell>
        </row>
        <row r="2244">
          <cell r="A2244">
            <v>0</v>
          </cell>
        </row>
        <row r="2245">
          <cell r="A2245">
            <v>0</v>
          </cell>
        </row>
        <row r="2246">
          <cell r="A2246">
            <v>0</v>
          </cell>
        </row>
        <row r="2247">
          <cell r="A2247">
            <v>0</v>
          </cell>
        </row>
        <row r="2248">
          <cell r="A2248">
            <v>0</v>
          </cell>
        </row>
        <row r="2249">
          <cell r="A2249">
            <v>0</v>
          </cell>
        </row>
        <row r="2250">
          <cell r="A2250">
            <v>0</v>
          </cell>
        </row>
        <row r="2251">
          <cell r="A2251">
            <v>0</v>
          </cell>
        </row>
        <row r="2252">
          <cell r="A2252">
            <v>0</v>
          </cell>
        </row>
        <row r="2253">
          <cell r="A2253">
            <v>0</v>
          </cell>
        </row>
        <row r="2254">
          <cell r="A2254">
            <v>0</v>
          </cell>
        </row>
        <row r="2255">
          <cell r="A2255">
            <v>0</v>
          </cell>
        </row>
        <row r="2256">
          <cell r="A2256">
            <v>0</v>
          </cell>
        </row>
        <row r="2257">
          <cell r="A2257">
            <v>0</v>
          </cell>
        </row>
        <row r="2258">
          <cell r="A2258">
            <v>0</v>
          </cell>
        </row>
        <row r="2259">
          <cell r="A2259">
            <v>0</v>
          </cell>
        </row>
        <row r="2260">
          <cell r="A2260">
            <v>0</v>
          </cell>
        </row>
        <row r="2261">
          <cell r="A2261">
            <v>0</v>
          </cell>
        </row>
        <row r="2262">
          <cell r="A2262">
            <v>0</v>
          </cell>
        </row>
        <row r="2263">
          <cell r="A2263">
            <v>0</v>
          </cell>
        </row>
        <row r="2264">
          <cell r="A2264">
            <v>0</v>
          </cell>
        </row>
        <row r="2265">
          <cell r="A2265">
            <v>0</v>
          </cell>
        </row>
        <row r="2266">
          <cell r="A2266">
            <v>0</v>
          </cell>
        </row>
        <row r="2267">
          <cell r="A2267">
            <v>0</v>
          </cell>
        </row>
        <row r="2268">
          <cell r="A2268">
            <v>0</v>
          </cell>
        </row>
        <row r="2269">
          <cell r="A2269">
            <v>0</v>
          </cell>
        </row>
        <row r="2270">
          <cell r="A2270">
            <v>0</v>
          </cell>
        </row>
        <row r="2271">
          <cell r="A2271">
            <v>0</v>
          </cell>
        </row>
        <row r="2272">
          <cell r="A2272">
            <v>0</v>
          </cell>
        </row>
        <row r="2273">
          <cell r="A2273">
            <v>0</v>
          </cell>
        </row>
        <row r="2274">
          <cell r="A2274">
            <v>0</v>
          </cell>
        </row>
        <row r="2275">
          <cell r="A2275">
            <v>0</v>
          </cell>
        </row>
        <row r="2276">
          <cell r="A2276">
            <v>0</v>
          </cell>
        </row>
        <row r="2277">
          <cell r="A2277">
            <v>0</v>
          </cell>
        </row>
        <row r="2278">
          <cell r="A2278">
            <v>0</v>
          </cell>
        </row>
        <row r="2279">
          <cell r="A2279">
            <v>0</v>
          </cell>
        </row>
        <row r="2280">
          <cell r="A2280">
            <v>0</v>
          </cell>
        </row>
        <row r="2281">
          <cell r="A2281">
            <v>0</v>
          </cell>
        </row>
        <row r="2282">
          <cell r="A2282">
            <v>0</v>
          </cell>
        </row>
        <row r="2283">
          <cell r="A2283">
            <v>0</v>
          </cell>
        </row>
        <row r="2284">
          <cell r="A2284">
            <v>0</v>
          </cell>
        </row>
        <row r="2285">
          <cell r="A2285">
            <v>0</v>
          </cell>
        </row>
        <row r="2286">
          <cell r="A2286">
            <v>0</v>
          </cell>
        </row>
        <row r="2287">
          <cell r="A2287">
            <v>0</v>
          </cell>
        </row>
        <row r="2288">
          <cell r="A2288">
            <v>0</v>
          </cell>
        </row>
        <row r="2289">
          <cell r="A2289">
            <v>0</v>
          </cell>
        </row>
        <row r="2290">
          <cell r="A2290">
            <v>0</v>
          </cell>
        </row>
        <row r="2291">
          <cell r="A2291">
            <v>0</v>
          </cell>
        </row>
        <row r="2292">
          <cell r="A2292">
            <v>0</v>
          </cell>
        </row>
        <row r="2293">
          <cell r="A2293">
            <v>0</v>
          </cell>
        </row>
        <row r="2294">
          <cell r="A2294">
            <v>0</v>
          </cell>
        </row>
        <row r="2295">
          <cell r="A2295">
            <v>0</v>
          </cell>
        </row>
        <row r="2296">
          <cell r="A2296">
            <v>0</v>
          </cell>
        </row>
        <row r="2297">
          <cell r="A2297">
            <v>0</v>
          </cell>
        </row>
        <row r="2298">
          <cell r="A2298">
            <v>0</v>
          </cell>
        </row>
        <row r="2299">
          <cell r="A2299">
            <v>0</v>
          </cell>
        </row>
        <row r="2300">
          <cell r="A2300">
            <v>0</v>
          </cell>
        </row>
        <row r="2301">
          <cell r="A2301">
            <v>0</v>
          </cell>
        </row>
        <row r="2302">
          <cell r="A2302">
            <v>0</v>
          </cell>
        </row>
        <row r="2303">
          <cell r="A2303">
            <v>0</v>
          </cell>
        </row>
        <row r="2304">
          <cell r="A2304">
            <v>0</v>
          </cell>
        </row>
        <row r="2305">
          <cell r="A2305">
            <v>0</v>
          </cell>
        </row>
        <row r="2306">
          <cell r="A2306">
            <v>0</v>
          </cell>
        </row>
        <row r="2307">
          <cell r="A2307">
            <v>0</v>
          </cell>
        </row>
        <row r="2308">
          <cell r="A2308">
            <v>0</v>
          </cell>
        </row>
        <row r="2309">
          <cell r="A2309">
            <v>0</v>
          </cell>
        </row>
        <row r="2310">
          <cell r="A2310">
            <v>0</v>
          </cell>
        </row>
        <row r="2311">
          <cell r="A2311">
            <v>0</v>
          </cell>
        </row>
        <row r="2312">
          <cell r="A2312">
            <v>0</v>
          </cell>
        </row>
        <row r="2313">
          <cell r="A2313">
            <v>0</v>
          </cell>
        </row>
        <row r="2314">
          <cell r="A2314">
            <v>0</v>
          </cell>
        </row>
        <row r="2315">
          <cell r="A2315">
            <v>0</v>
          </cell>
        </row>
        <row r="2316">
          <cell r="A2316">
            <v>0</v>
          </cell>
        </row>
        <row r="2317">
          <cell r="A2317">
            <v>0</v>
          </cell>
        </row>
        <row r="2318">
          <cell r="A2318">
            <v>0</v>
          </cell>
        </row>
        <row r="2319">
          <cell r="A2319">
            <v>0</v>
          </cell>
        </row>
        <row r="2320">
          <cell r="A2320">
            <v>0</v>
          </cell>
        </row>
        <row r="2321">
          <cell r="A2321">
            <v>0</v>
          </cell>
        </row>
        <row r="2322">
          <cell r="A2322">
            <v>0</v>
          </cell>
        </row>
        <row r="2323">
          <cell r="A2323">
            <v>0</v>
          </cell>
        </row>
        <row r="2324">
          <cell r="A2324">
            <v>0</v>
          </cell>
        </row>
        <row r="2325">
          <cell r="A2325">
            <v>0</v>
          </cell>
        </row>
        <row r="2326">
          <cell r="A2326">
            <v>0</v>
          </cell>
        </row>
        <row r="2327">
          <cell r="A2327">
            <v>0</v>
          </cell>
        </row>
        <row r="2328">
          <cell r="A2328">
            <v>0</v>
          </cell>
        </row>
        <row r="2329">
          <cell r="A2329">
            <v>0</v>
          </cell>
        </row>
        <row r="2330">
          <cell r="A2330">
            <v>0</v>
          </cell>
        </row>
        <row r="2331">
          <cell r="A2331">
            <v>0</v>
          </cell>
        </row>
        <row r="2332">
          <cell r="A2332">
            <v>0</v>
          </cell>
        </row>
        <row r="2333">
          <cell r="A2333">
            <v>0</v>
          </cell>
        </row>
        <row r="2334">
          <cell r="A2334">
            <v>0</v>
          </cell>
        </row>
        <row r="2335">
          <cell r="A2335">
            <v>0</v>
          </cell>
        </row>
        <row r="2336">
          <cell r="A2336">
            <v>0</v>
          </cell>
        </row>
        <row r="2337">
          <cell r="A2337">
            <v>0</v>
          </cell>
        </row>
        <row r="2338">
          <cell r="A2338">
            <v>0</v>
          </cell>
        </row>
        <row r="2339">
          <cell r="A2339">
            <v>0</v>
          </cell>
        </row>
        <row r="2340">
          <cell r="A2340">
            <v>0</v>
          </cell>
        </row>
        <row r="2341">
          <cell r="A2341">
            <v>0</v>
          </cell>
        </row>
        <row r="2342">
          <cell r="A2342">
            <v>0</v>
          </cell>
        </row>
        <row r="2343">
          <cell r="A2343">
            <v>0</v>
          </cell>
        </row>
        <row r="2344">
          <cell r="A2344">
            <v>0</v>
          </cell>
        </row>
        <row r="2345">
          <cell r="A2345">
            <v>0</v>
          </cell>
        </row>
        <row r="2346">
          <cell r="A2346">
            <v>0</v>
          </cell>
        </row>
        <row r="2347">
          <cell r="A2347">
            <v>0</v>
          </cell>
        </row>
        <row r="2348">
          <cell r="A2348">
            <v>0</v>
          </cell>
        </row>
        <row r="2349">
          <cell r="A2349">
            <v>0</v>
          </cell>
        </row>
        <row r="2350">
          <cell r="A2350">
            <v>0</v>
          </cell>
        </row>
        <row r="2351">
          <cell r="A2351">
            <v>0</v>
          </cell>
        </row>
        <row r="2352">
          <cell r="A2352">
            <v>0</v>
          </cell>
        </row>
        <row r="2353">
          <cell r="A2353">
            <v>0</v>
          </cell>
        </row>
        <row r="2354">
          <cell r="A2354">
            <v>0</v>
          </cell>
        </row>
        <row r="2355">
          <cell r="A2355">
            <v>0</v>
          </cell>
        </row>
        <row r="2356">
          <cell r="A2356">
            <v>0</v>
          </cell>
        </row>
        <row r="2357">
          <cell r="A2357">
            <v>0</v>
          </cell>
        </row>
        <row r="2358">
          <cell r="A2358">
            <v>0</v>
          </cell>
        </row>
        <row r="2359">
          <cell r="A2359">
            <v>0</v>
          </cell>
        </row>
        <row r="2360">
          <cell r="A2360">
            <v>0</v>
          </cell>
        </row>
        <row r="2361">
          <cell r="A2361">
            <v>0</v>
          </cell>
        </row>
        <row r="2362">
          <cell r="A2362">
            <v>0</v>
          </cell>
        </row>
        <row r="2363">
          <cell r="A2363">
            <v>0</v>
          </cell>
        </row>
        <row r="2364">
          <cell r="A2364">
            <v>0</v>
          </cell>
        </row>
        <row r="2365">
          <cell r="A2365">
            <v>0</v>
          </cell>
        </row>
        <row r="2366">
          <cell r="A2366">
            <v>0</v>
          </cell>
        </row>
        <row r="2367">
          <cell r="A2367">
            <v>0</v>
          </cell>
        </row>
        <row r="2368">
          <cell r="A2368">
            <v>0</v>
          </cell>
        </row>
        <row r="2369">
          <cell r="A2369">
            <v>0</v>
          </cell>
        </row>
        <row r="2370">
          <cell r="A2370">
            <v>0</v>
          </cell>
        </row>
        <row r="2371">
          <cell r="A2371">
            <v>0</v>
          </cell>
        </row>
        <row r="2372">
          <cell r="A2372">
            <v>0</v>
          </cell>
        </row>
        <row r="2373">
          <cell r="A2373">
            <v>0</v>
          </cell>
        </row>
        <row r="2374">
          <cell r="A2374">
            <v>0</v>
          </cell>
        </row>
        <row r="2375">
          <cell r="A2375">
            <v>0</v>
          </cell>
        </row>
        <row r="2376">
          <cell r="A2376">
            <v>0</v>
          </cell>
        </row>
        <row r="2377">
          <cell r="A2377">
            <v>0</v>
          </cell>
        </row>
        <row r="2378">
          <cell r="A2378">
            <v>0</v>
          </cell>
        </row>
        <row r="2379">
          <cell r="A2379">
            <v>0</v>
          </cell>
        </row>
        <row r="2380">
          <cell r="A2380">
            <v>0</v>
          </cell>
        </row>
        <row r="2381">
          <cell r="A2381">
            <v>0</v>
          </cell>
        </row>
        <row r="2382">
          <cell r="A2382">
            <v>0</v>
          </cell>
        </row>
        <row r="2383">
          <cell r="A2383">
            <v>0</v>
          </cell>
        </row>
        <row r="2384">
          <cell r="A2384">
            <v>0</v>
          </cell>
        </row>
        <row r="2385">
          <cell r="A2385">
            <v>0</v>
          </cell>
        </row>
        <row r="2386">
          <cell r="A2386">
            <v>0</v>
          </cell>
        </row>
        <row r="2387">
          <cell r="A2387">
            <v>0</v>
          </cell>
        </row>
        <row r="2388">
          <cell r="A2388">
            <v>0</v>
          </cell>
        </row>
        <row r="2389">
          <cell r="A2389">
            <v>0</v>
          </cell>
        </row>
        <row r="2390">
          <cell r="A2390">
            <v>0</v>
          </cell>
        </row>
        <row r="2391">
          <cell r="A2391">
            <v>0</v>
          </cell>
        </row>
        <row r="2392">
          <cell r="A2392">
            <v>0</v>
          </cell>
        </row>
        <row r="2393">
          <cell r="A2393">
            <v>0</v>
          </cell>
        </row>
        <row r="2394">
          <cell r="A2394">
            <v>0</v>
          </cell>
        </row>
        <row r="2395">
          <cell r="A2395">
            <v>0</v>
          </cell>
        </row>
        <row r="2396">
          <cell r="A2396">
            <v>0</v>
          </cell>
        </row>
        <row r="2397">
          <cell r="A2397">
            <v>0</v>
          </cell>
        </row>
        <row r="2398">
          <cell r="A2398">
            <v>0</v>
          </cell>
        </row>
        <row r="2399">
          <cell r="A2399">
            <v>0</v>
          </cell>
        </row>
        <row r="2400">
          <cell r="A2400">
            <v>0</v>
          </cell>
        </row>
        <row r="2401">
          <cell r="A2401">
            <v>0</v>
          </cell>
        </row>
        <row r="2402">
          <cell r="A2402">
            <v>0</v>
          </cell>
        </row>
        <row r="2403">
          <cell r="A2403">
            <v>0</v>
          </cell>
        </row>
        <row r="2404">
          <cell r="A2404">
            <v>0</v>
          </cell>
        </row>
        <row r="2405">
          <cell r="A2405">
            <v>0</v>
          </cell>
        </row>
        <row r="2406">
          <cell r="A2406">
            <v>0</v>
          </cell>
        </row>
        <row r="2407">
          <cell r="A2407">
            <v>0</v>
          </cell>
        </row>
        <row r="2408">
          <cell r="A2408">
            <v>0</v>
          </cell>
        </row>
        <row r="2409">
          <cell r="A2409">
            <v>0</v>
          </cell>
        </row>
        <row r="2410">
          <cell r="A2410">
            <v>0</v>
          </cell>
        </row>
        <row r="2411">
          <cell r="A2411">
            <v>0</v>
          </cell>
        </row>
        <row r="2412">
          <cell r="A2412">
            <v>0</v>
          </cell>
        </row>
        <row r="2413">
          <cell r="A2413">
            <v>0</v>
          </cell>
        </row>
        <row r="2414">
          <cell r="A2414">
            <v>0</v>
          </cell>
        </row>
        <row r="2415">
          <cell r="A2415">
            <v>0</v>
          </cell>
        </row>
        <row r="2416">
          <cell r="A2416">
            <v>0</v>
          </cell>
        </row>
        <row r="2417">
          <cell r="A2417">
            <v>0</v>
          </cell>
        </row>
        <row r="2418">
          <cell r="A2418">
            <v>0</v>
          </cell>
        </row>
        <row r="2419">
          <cell r="A2419">
            <v>0</v>
          </cell>
        </row>
        <row r="2420">
          <cell r="A2420">
            <v>0</v>
          </cell>
        </row>
        <row r="2421">
          <cell r="A2421">
            <v>0</v>
          </cell>
        </row>
        <row r="2422">
          <cell r="A2422">
            <v>0</v>
          </cell>
        </row>
        <row r="2423">
          <cell r="A2423">
            <v>0</v>
          </cell>
        </row>
        <row r="2424">
          <cell r="A2424">
            <v>0</v>
          </cell>
        </row>
        <row r="2425">
          <cell r="A2425">
            <v>0</v>
          </cell>
        </row>
        <row r="2426">
          <cell r="A2426">
            <v>0</v>
          </cell>
        </row>
        <row r="2427">
          <cell r="A2427">
            <v>0</v>
          </cell>
        </row>
        <row r="2428">
          <cell r="A2428">
            <v>0</v>
          </cell>
        </row>
        <row r="2429">
          <cell r="A2429">
            <v>0</v>
          </cell>
        </row>
        <row r="2430">
          <cell r="A2430">
            <v>0</v>
          </cell>
        </row>
        <row r="2431">
          <cell r="A2431">
            <v>0</v>
          </cell>
        </row>
        <row r="2432">
          <cell r="A2432">
            <v>0</v>
          </cell>
        </row>
        <row r="2433">
          <cell r="A2433">
            <v>0</v>
          </cell>
        </row>
        <row r="2434">
          <cell r="A2434">
            <v>0</v>
          </cell>
        </row>
        <row r="2435">
          <cell r="A2435">
            <v>0</v>
          </cell>
        </row>
        <row r="2436">
          <cell r="A2436">
            <v>0</v>
          </cell>
        </row>
        <row r="2437">
          <cell r="A2437">
            <v>0</v>
          </cell>
        </row>
        <row r="2438">
          <cell r="A2438">
            <v>0</v>
          </cell>
        </row>
        <row r="2439">
          <cell r="A2439">
            <v>0</v>
          </cell>
        </row>
        <row r="2440">
          <cell r="A2440">
            <v>0</v>
          </cell>
        </row>
        <row r="2441">
          <cell r="A2441">
            <v>0</v>
          </cell>
        </row>
        <row r="2442">
          <cell r="A2442">
            <v>0</v>
          </cell>
        </row>
        <row r="2443">
          <cell r="A2443">
            <v>0</v>
          </cell>
        </row>
        <row r="2444">
          <cell r="A2444">
            <v>0</v>
          </cell>
        </row>
        <row r="2445">
          <cell r="A2445">
            <v>0</v>
          </cell>
        </row>
        <row r="2446">
          <cell r="A2446">
            <v>0</v>
          </cell>
        </row>
        <row r="2447">
          <cell r="A2447">
            <v>0</v>
          </cell>
        </row>
        <row r="2448">
          <cell r="A2448">
            <v>0</v>
          </cell>
        </row>
        <row r="2449">
          <cell r="A2449">
            <v>0</v>
          </cell>
        </row>
        <row r="2450">
          <cell r="A2450">
            <v>0</v>
          </cell>
        </row>
        <row r="2451">
          <cell r="A2451">
            <v>0</v>
          </cell>
        </row>
        <row r="2452">
          <cell r="A2452">
            <v>0</v>
          </cell>
        </row>
        <row r="2453">
          <cell r="A2453">
            <v>0</v>
          </cell>
        </row>
        <row r="2454">
          <cell r="A2454">
            <v>0</v>
          </cell>
        </row>
        <row r="2455">
          <cell r="A2455">
            <v>0</v>
          </cell>
        </row>
        <row r="2456">
          <cell r="A2456">
            <v>0</v>
          </cell>
        </row>
        <row r="2457">
          <cell r="A2457">
            <v>0</v>
          </cell>
        </row>
        <row r="2458">
          <cell r="A2458">
            <v>0</v>
          </cell>
        </row>
        <row r="2459">
          <cell r="A2459">
            <v>0</v>
          </cell>
        </row>
        <row r="2460">
          <cell r="A2460">
            <v>0</v>
          </cell>
        </row>
        <row r="2461">
          <cell r="A2461">
            <v>0</v>
          </cell>
        </row>
        <row r="2462">
          <cell r="A2462">
            <v>0</v>
          </cell>
        </row>
        <row r="2463">
          <cell r="A2463">
            <v>0</v>
          </cell>
        </row>
        <row r="2464">
          <cell r="A2464">
            <v>0</v>
          </cell>
        </row>
        <row r="2465">
          <cell r="A2465">
            <v>0</v>
          </cell>
        </row>
        <row r="2466">
          <cell r="A2466">
            <v>0</v>
          </cell>
        </row>
        <row r="2467">
          <cell r="A2467">
            <v>0</v>
          </cell>
        </row>
        <row r="2468">
          <cell r="A2468">
            <v>0</v>
          </cell>
        </row>
        <row r="2469">
          <cell r="A2469">
            <v>0</v>
          </cell>
        </row>
        <row r="2470">
          <cell r="A2470">
            <v>0</v>
          </cell>
        </row>
        <row r="2471">
          <cell r="A2471">
            <v>0</v>
          </cell>
        </row>
        <row r="2472">
          <cell r="A2472">
            <v>0</v>
          </cell>
        </row>
        <row r="2473">
          <cell r="A2473">
            <v>0</v>
          </cell>
        </row>
        <row r="2474">
          <cell r="A2474">
            <v>0</v>
          </cell>
        </row>
        <row r="2475">
          <cell r="A2475">
            <v>0</v>
          </cell>
        </row>
        <row r="2476">
          <cell r="A2476">
            <v>0</v>
          </cell>
        </row>
        <row r="2477">
          <cell r="A2477">
            <v>0</v>
          </cell>
        </row>
        <row r="2478">
          <cell r="A2478">
            <v>0</v>
          </cell>
        </row>
        <row r="2479">
          <cell r="A2479">
            <v>0</v>
          </cell>
        </row>
        <row r="2480">
          <cell r="A2480">
            <v>0</v>
          </cell>
        </row>
        <row r="2481">
          <cell r="A2481">
            <v>0</v>
          </cell>
        </row>
        <row r="2482">
          <cell r="A2482">
            <v>0</v>
          </cell>
        </row>
        <row r="2483">
          <cell r="A2483">
            <v>0</v>
          </cell>
        </row>
        <row r="2484">
          <cell r="A2484">
            <v>0</v>
          </cell>
        </row>
        <row r="2485">
          <cell r="A2485">
            <v>0</v>
          </cell>
        </row>
        <row r="2486">
          <cell r="A2486">
            <v>0</v>
          </cell>
        </row>
        <row r="2487">
          <cell r="A2487">
            <v>0</v>
          </cell>
        </row>
        <row r="2488">
          <cell r="A2488">
            <v>0</v>
          </cell>
        </row>
        <row r="2489">
          <cell r="A2489">
            <v>0</v>
          </cell>
        </row>
        <row r="2490">
          <cell r="A2490">
            <v>0</v>
          </cell>
        </row>
        <row r="2491">
          <cell r="A2491">
            <v>0</v>
          </cell>
        </row>
        <row r="2492">
          <cell r="A2492">
            <v>0</v>
          </cell>
        </row>
        <row r="2493">
          <cell r="A2493">
            <v>0</v>
          </cell>
        </row>
        <row r="2494">
          <cell r="A2494">
            <v>0</v>
          </cell>
        </row>
        <row r="2495">
          <cell r="A2495">
            <v>0</v>
          </cell>
        </row>
        <row r="2496">
          <cell r="A2496">
            <v>0</v>
          </cell>
        </row>
        <row r="2497">
          <cell r="A2497">
            <v>0</v>
          </cell>
        </row>
        <row r="2498">
          <cell r="A2498">
            <v>0</v>
          </cell>
        </row>
        <row r="2499">
          <cell r="A2499">
            <v>0</v>
          </cell>
        </row>
        <row r="2500">
          <cell r="A2500">
            <v>0</v>
          </cell>
        </row>
        <row r="2501">
          <cell r="A2501">
            <v>0</v>
          </cell>
        </row>
        <row r="2502">
          <cell r="A2502">
            <v>0</v>
          </cell>
        </row>
        <row r="2503">
          <cell r="A2503">
            <v>0</v>
          </cell>
        </row>
        <row r="2504">
          <cell r="A2504">
            <v>0</v>
          </cell>
        </row>
        <row r="2505">
          <cell r="A2505">
            <v>0</v>
          </cell>
        </row>
        <row r="2506">
          <cell r="A2506">
            <v>0</v>
          </cell>
        </row>
        <row r="2507">
          <cell r="A2507">
            <v>0</v>
          </cell>
        </row>
        <row r="2508">
          <cell r="A2508">
            <v>0</v>
          </cell>
        </row>
        <row r="2509">
          <cell r="A2509">
            <v>0</v>
          </cell>
        </row>
        <row r="2510">
          <cell r="A2510">
            <v>0</v>
          </cell>
        </row>
        <row r="2511">
          <cell r="A2511">
            <v>0</v>
          </cell>
        </row>
        <row r="2512">
          <cell r="A2512">
            <v>0</v>
          </cell>
        </row>
        <row r="2513">
          <cell r="A2513">
            <v>0</v>
          </cell>
        </row>
        <row r="2514">
          <cell r="A2514">
            <v>0</v>
          </cell>
        </row>
        <row r="2515">
          <cell r="A2515">
            <v>0</v>
          </cell>
        </row>
        <row r="2516">
          <cell r="A2516">
            <v>0</v>
          </cell>
        </row>
        <row r="2517">
          <cell r="A2517">
            <v>0</v>
          </cell>
        </row>
        <row r="2518">
          <cell r="A2518">
            <v>0</v>
          </cell>
        </row>
        <row r="2519">
          <cell r="A2519">
            <v>0</v>
          </cell>
        </row>
        <row r="2520">
          <cell r="A2520">
            <v>0</v>
          </cell>
        </row>
        <row r="2521">
          <cell r="A2521">
            <v>0</v>
          </cell>
        </row>
        <row r="2522">
          <cell r="A2522">
            <v>0</v>
          </cell>
        </row>
        <row r="2523">
          <cell r="A2523">
            <v>0</v>
          </cell>
        </row>
        <row r="2524">
          <cell r="A2524">
            <v>0</v>
          </cell>
        </row>
        <row r="2525">
          <cell r="A2525">
            <v>0</v>
          </cell>
        </row>
        <row r="2526">
          <cell r="A2526">
            <v>0</v>
          </cell>
        </row>
        <row r="2527">
          <cell r="A2527">
            <v>0</v>
          </cell>
        </row>
        <row r="2528">
          <cell r="A2528">
            <v>0</v>
          </cell>
        </row>
        <row r="2529">
          <cell r="A2529">
            <v>0</v>
          </cell>
        </row>
        <row r="2530">
          <cell r="A2530">
            <v>0</v>
          </cell>
        </row>
        <row r="2531">
          <cell r="A2531">
            <v>0</v>
          </cell>
        </row>
        <row r="2532">
          <cell r="A2532">
            <v>0</v>
          </cell>
        </row>
        <row r="2533">
          <cell r="A2533">
            <v>0</v>
          </cell>
        </row>
        <row r="2534">
          <cell r="A2534">
            <v>0</v>
          </cell>
        </row>
        <row r="2535">
          <cell r="A2535">
            <v>0</v>
          </cell>
        </row>
        <row r="2536">
          <cell r="A2536">
            <v>0</v>
          </cell>
        </row>
        <row r="2537">
          <cell r="A2537">
            <v>0</v>
          </cell>
        </row>
        <row r="2538">
          <cell r="A2538">
            <v>0</v>
          </cell>
        </row>
        <row r="2539">
          <cell r="A2539">
            <v>0</v>
          </cell>
        </row>
        <row r="2540">
          <cell r="A2540">
            <v>0</v>
          </cell>
        </row>
        <row r="2541">
          <cell r="A2541">
            <v>0</v>
          </cell>
        </row>
        <row r="2542">
          <cell r="A2542">
            <v>0</v>
          </cell>
        </row>
        <row r="2543">
          <cell r="A2543">
            <v>0</v>
          </cell>
        </row>
        <row r="2544">
          <cell r="A2544">
            <v>0</v>
          </cell>
        </row>
        <row r="2545">
          <cell r="A2545">
            <v>0</v>
          </cell>
        </row>
        <row r="2546">
          <cell r="A2546">
            <v>0</v>
          </cell>
        </row>
        <row r="2547">
          <cell r="A2547">
            <v>0</v>
          </cell>
        </row>
        <row r="2548">
          <cell r="A2548">
            <v>0</v>
          </cell>
        </row>
        <row r="2549">
          <cell r="A2549">
            <v>0</v>
          </cell>
        </row>
        <row r="2550">
          <cell r="A2550">
            <v>0</v>
          </cell>
        </row>
        <row r="2551">
          <cell r="A2551">
            <v>0</v>
          </cell>
        </row>
        <row r="2552">
          <cell r="A2552">
            <v>0</v>
          </cell>
        </row>
        <row r="2553">
          <cell r="A2553">
            <v>0</v>
          </cell>
        </row>
        <row r="2554">
          <cell r="A2554">
            <v>0</v>
          </cell>
        </row>
        <row r="2555">
          <cell r="A2555">
            <v>0</v>
          </cell>
        </row>
        <row r="2556">
          <cell r="A2556">
            <v>0</v>
          </cell>
        </row>
        <row r="2557">
          <cell r="A2557">
            <v>0</v>
          </cell>
        </row>
        <row r="2558">
          <cell r="A2558">
            <v>0</v>
          </cell>
        </row>
        <row r="2559">
          <cell r="A2559">
            <v>0</v>
          </cell>
        </row>
        <row r="2560">
          <cell r="A2560">
            <v>0</v>
          </cell>
        </row>
        <row r="2561">
          <cell r="A2561">
            <v>0</v>
          </cell>
        </row>
        <row r="2562">
          <cell r="A2562">
            <v>0</v>
          </cell>
        </row>
        <row r="2563">
          <cell r="A2563">
            <v>0</v>
          </cell>
        </row>
        <row r="2564">
          <cell r="A2564">
            <v>0</v>
          </cell>
        </row>
        <row r="2565">
          <cell r="A2565">
            <v>0</v>
          </cell>
        </row>
        <row r="2566">
          <cell r="A2566">
            <v>0</v>
          </cell>
        </row>
        <row r="2567">
          <cell r="A2567">
            <v>0</v>
          </cell>
        </row>
        <row r="2568">
          <cell r="A2568">
            <v>0</v>
          </cell>
        </row>
        <row r="2569">
          <cell r="A2569">
            <v>0</v>
          </cell>
        </row>
        <row r="2570">
          <cell r="A2570">
            <v>0</v>
          </cell>
        </row>
        <row r="2571">
          <cell r="A2571">
            <v>0</v>
          </cell>
        </row>
        <row r="2572">
          <cell r="A2572">
            <v>0</v>
          </cell>
        </row>
        <row r="2573">
          <cell r="A2573">
            <v>0</v>
          </cell>
        </row>
        <row r="2574">
          <cell r="A2574">
            <v>0</v>
          </cell>
        </row>
        <row r="2575">
          <cell r="A2575">
            <v>0</v>
          </cell>
        </row>
        <row r="2576">
          <cell r="A2576">
            <v>0</v>
          </cell>
        </row>
        <row r="2577">
          <cell r="A2577">
            <v>0</v>
          </cell>
        </row>
        <row r="2578">
          <cell r="A2578">
            <v>0</v>
          </cell>
        </row>
        <row r="2579">
          <cell r="A2579">
            <v>0</v>
          </cell>
        </row>
        <row r="2580">
          <cell r="A2580">
            <v>0</v>
          </cell>
        </row>
        <row r="2581">
          <cell r="A2581">
            <v>0</v>
          </cell>
        </row>
        <row r="2582">
          <cell r="A2582">
            <v>0</v>
          </cell>
        </row>
        <row r="2583">
          <cell r="A2583">
            <v>0</v>
          </cell>
        </row>
        <row r="2584">
          <cell r="A2584">
            <v>0</v>
          </cell>
        </row>
        <row r="2585">
          <cell r="A2585">
            <v>0</v>
          </cell>
        </row>
        <row r="2586">
          <cell r="A2586">
            <v>0</v>
          </cell>
        </row>
        <row r="2587">
          <cell r="A2587">
            <v>0</v>
          </cell>
        </row>
        <row r="2588">
          <cell r="A2588">
            <v>0</v>
          </cell>
        </row>
        <row r="2589">
          <cell r="A2589">
            <v>0</v>
          </cell>
        </row>
        <row r="2590">
          <cell r="A2590">
            <v>0</v>
          </cell>
        </row>
        <row r="2591">
          <cell r="A2591">
            <v>0</v>
          </cell>
        </row>
        <row r="2592">
          <cell r="A2592">
            <v>0</v>
          </cell>
        </row>
        <row r="2593">
          <cell r="A2593">
            <v>0</v>
          </cell>
        </row>
        <row r="2594">
          <cell r="A2594">
            <v>0</v>
          </cell>
        </row>
        <row r="2595">
          <cell r="A2595">
            <v>0</v>
          </cell>
        </row>
        <row r="2596">
          <cell r="A2596">
            <v>0</v>
          </cell>
        </row>
        <row r="2597">
          <cell r="A2597">
            <v>0</v>
          </cell>
        </row>
        <row r="2598">
          <cell r="A2598">
            <v>0</v>
          </cell>
        </row>
        <row r="2599">
          <cell r="A2599">
            <v>0</v>
          </cell>
        </row>
        <row r="2600">
          <cell r="A2600">
            <v>0</v>
          </cell>
        </row>
        <row r="2601">
          <cell r="A2601">
            <v>0</v>
          </cell>
        </row>
        <row r="2602">
          <cell r="A2602">
            <v>0</v>
          </cell>
        </row>
        <row r="2603">
          <cell r="A2603">
            <v>0</v>
          </cell>
        </row>
        <row r="2604">
          <cell r="A2604">
            <v>0</v>
          </cell>
        </row>
        <row r="2605">
          <cell r="A2605">
            <v>0</v>
          </cell>
        </row>
        <row r="2606">
          <cell r="A2606">
            <v>0</v>
          </cell>
        </row>
        <row r="2607">
          <cell r="A2607">
            <v>0</v>
          </cell>
        </row>
        <row r="2608">
          <cell r="A2608">
            <v>0</v>
          </cell>
        </row>
        <row r="2609">
          <cell r="A2609">
            <v>0</v>
          </cell>
        </row>
        <row r="2610">
          <cell r="A2610">
            <v>0</v>
          </cell>
        </row>
        <row r="2611">
          <cell r="A2611">
            <v>0</v>
          </cell>
        </row>
        <row r="2612">
          <cell r="A2612">
            <v>0</v>
          </cell>
        </row>
        <row r="2613">
          <cell r="A2613">
            <v>0</v>
          </cell>
        </row>
        <row r="2614">
          <cell r="A2614">
            <v>0</v>
          </cell>
        </row>
        <row r="2615">
          <cell r="A2615">
            <v>0</v>
          </cell>
        </row>
        <row r="2616">
          <cell r="A2616">
            <v>0</v>
          </cell>
        </row>
        <row r="2617">
          <cell r="A2617">
            <v>0</v>
          </cell>
        </row>
        <row r="2618">
          <cell r="A2618">
            <v>0</v>
          </cell>
        </row>
        <row r="2619">
          <cell r="A2619">
            <v>0</v>
          </cell>
        </row>
        <row r="2620">
          <cell r="A2620">
            <v>0</v>
          </cell>
        </row>
        <row r="2621">
          <cell r="A2621">
            <v>0</v>
          </cell>
        </row>
        <row r="2622">
          <cell r="A2622">
            <v>0</v>
          </cell>
        </row>
        <row r="2623">
          <cell r="A2623">
            <v>0</v>
          </cell>
        </row>
        <row r="2624">
          <cell r="A2624">
            <v>0</v>
          </cell>
        </row>
        <row r="2625">
          <cell r="A2625">
            <v>0</v>
          </cell>
        </row>
        <row r="2626">
          <cell r="A2626">
            <v>0</v>
          </cell>
        </row>
        <row r="2627">
          <cell r="A2627">
            <v>0</v>
          </cell>
        </row>
        <row r="2628">
          <cell r="A2628">
            <v>0</v>
          </cell>
        </row>
        <row r="2629">
          <cell r="A2629">
            <v>0</v>
          </cell>
        </row>
        <row r="2630">
          <cell r="A2630">
            <v>0</v>
          </cell>
        </row>
        <row r="2631">
          <cell r="A2631">
            <v>0</v>
          </cell>
        </row>
        <row r="2632">
          <cell r="A2632">
            <v>0</v>
          </cell>
        </row>
        <row r="2633">
          <cell r="A2633">
            <v>0</v>
          </cell>
        </row>
        <row r="2634">
          <cell r="A2634">
            <v>0</v>
          </cell>
        </row>
        <row r="2635">
          <cell r="A2635">
            <v>0</v>
          </cell>
        </row>
        <row r="2636">
          <cell r="A2636">
            <v>0</v>
          </cell>
        </row>
        <row r="2637">
          <cell r="A2637">
            <v>0</v>
          </cell>
        </row>
        <row r="2638">
          <cell r="A2638">
            <v>0</v>
          </cell>
        </row>
        <row r="2639">
          <cell r="A2639">
            <v>0</v>
          </cell>
        </row>
        <row r="2640">
          <cell r="A2640">
            <v>0</v>
          </cell>
        </row>
        <row r="2641">
          <cell r="A2641">
            <v>0</v>
          </cell>
        </row>
        <row r="2642">
          <cell r="A2642">
            <v>0</v>
          </cell>
        </row>
        <row r="2643">
          <cell r="A2643">
            <v>0</v>
          </cell>
        </row>
        <row r="2644">
          <cell r="A2644">
            <v>0</v>
          </cell>
        </row>
        <row r="2645">
          <cell r="A2645">
            <v>0</v>
          </cell>
        </row>
        <row r="2646">
          <cell r="A2646">
            <v>0</v>
          </cell>
        </row>
        <row r="2647">
          <cell r="A2647">
            <v>0</v>
          </cell>
        </row>
        <row r="2648">
          <cell r="A2648">
            <v>0</v>
          </cell>
        </row>
        <row r="2649">
          <cell r="A2649">
            <v>0</v>
          </cell>
        </row>
        <row r="2650">
          <cell r="A2650">
            <v>0</v>
          </cell>
        </row>
        <row r="2651">
          <cell r="A2651">
            <v>0</v>
          </cell>
        </row>
        <row r="2652">
          <cell r="A2652">
            <v>0</v>
          </cell>
        </row>
        <row r="2653">
          <cell r="A2653">
            <v>0</v>
          </cell>
        </row>
        <row r="2654">
          <cell r="A2654">
            <v>0</v>
          </cell>
        </row>
        <row r="2655">
          <cell r="A2655">
            <v>0</v>
          </cell>
        </row>
        <row r="2656">
          <cell r="A2656">
            <v>0</v>
          </cell>
        </row>
        <row r="2657">
          <cell r="A2657">
            <v>0</v>
          </cell>
        </row>
        <row r="2658">
          <cell r="A2658">
            <v>0</v>
          </cell>
        </row>
        <row r="2659">
          <cell r="A2659">
            <v>0</v>
          </cell>
        </row>
        <row r="2660">
          <cell r="A2660">
            <v>0</v>
          </cell>
        </row>
        <row r="2661">
          <cell r="A2661">
            <v>0</v>
          </cell>
        </row>
        <row r="2662">
          <cell r="A2662">
            <v>0</v>
          </cell>
        </row>
        <row r="2663">
          <cell r="A2663">
            <v>0</v>
          </cell>
        </row>
        <row r="2664">
          <cell r="A2664">
            <v>0</v>
          </cell>
        </row>
        <row r="2665">
          <cell r="A2665">
            <v>0</v>
          </cell>
        </row>
        <row r="2666">
          <cell r="A2666">
            <v>0</v>
          </cell>
        </row>
        <row r="2667">
          <cell r="A2667">
            <v>0</v>
          </cell>
        </row>
        <row r="2668">
          <cell r="A2668">
            <v>0</v>
          </cell>
        </row>
        <row r="2669">
          <cell r="A2669">
            <v>0</v>
          </cell>
        </row>
        <row r="2670">
          <cell r="A2670">
            <v>0</v>
          </cell>
        </row>
        <row r="2671">
          <cell r="A2671">
            <v>0</v>
          </cell>
        </row>
        <row r="2672">
          <cell r="A2672">
            <v>0</v>
          </cell>
        </row>
        <row r="2673">
          <cell r="A2673">
            <v>0</v>
          </cell>
        </row>
        <row r="2674">
          <cell r="A2674">
            <v>0</v>
          </cell>
        </row>
        <row r="2675">
          <cell r="A2675">
            <v>0</v>
          </cell>
        </row>
        <row r="2676">
          <cell r="A2676">
            <v>0</v>
          </cell>
        </row>
        <row r="2677">
          <cell r="A2677">
            <v>0</v>
          </cell>
        </row>
        <row r="2678">
          <cell r="A2678">
            <v>0</v>
          </cell>
        </row>
        <row r="2679">
          <cell r="A2679">
            <v>0</v>
          </cell>
        </row>
        <row r="2680">
          <cell r="A2680">
            <v>0</v>
          </cell>
        </row>
        <row r="2681">
          <cell r="A2681">
            <v>0</v>
          </cell>
        </row>
        <row r="2682">
          <cell r="A2682">
            <v>0</v>
          </cell>
        </row>
        <row r="2683">
          <cell r="A2683">
            <v>0</v>
          </cell>
        </row>
        <row r="2684">
          <cell r="A2684">
            <v>0</v>
          </cell>
        </row>
        <row r="2685">
          <cell r="A2685">
            <v>0</v>
          </cell>
        </row>
        <row r="2686">
          <cell r="A2686">
            <v>0</v>
          </cell>
        </row>
        <row r="2687">
          <cell r="A2687">
            <v>0</v>
          </cell>
        </row>
        <row r="2688">
          <cell r="A2688">
            <v>0</v>
          </cell>
        </row>
        <row r="2689">
          <cell r="A2689">
            <v>0</v>
          </cell>
        </row>
        <row r="2690">
          <cell r="A2690">
            <v>0</v>
          </cell>
        </row>
        <row r="2691">
          <cell r="A2691">
            <v>0</v>
          </cell>
        </row>
        <row r="2692">
          <cell r="A2692">
            <v>0</v>
          </cell>
        </row>
        <row r="2693">
          <cell r="A2693">
            <v>0</v>
          </cell>
        </row>
        <row r="2694">
          <cell r="A2694">
            <v>0</v>
          </cell>
        </row>
        <row r="2695">
          <cell r="A2695">
            <v>0</v>
          </cell>
        </row>
        <row r="2696">
          <cell r="A2696">
            <v>0</v>
          </cell>
        </row>
        <row r="2697">
          <cell r="A2697">
            <v>0</v>
          </cell>
        </row>
        <row r="2698">
          <cell r="A2698">
            <v>0</v>
          </cell>
        </row>
        <row r="2699">
          <cell r="A2699">
            <v>0</v>
          </cell>
        </row>
        <row r="2700">
          <cell r="A2700">
            <v>0</v>
          </cell>
        </row>
        <row r="2701">
          <cell r="A2701">
            <v>0</v>
          </cell>
        </row>
        <row r="2702">
          <cell r="A2702">
            <v>0</v>
          </cell>
        </row>
        <row r="2703">
          <cell r="A2703">
            <v>0</v>
          </cell>
        </row>
        <row r="2704">
          <cell r="A2704">
            <v>0</v>
          </cell>
        </row>
        <row r="2705">
          <cell r="A2705">
            <v>0</v>
          </cell>
        </row>
        <row r="2706">
          <cell r="A2706">
            <v>0</v>
          </cell>
        </row>
        <row r="2707">
          <cell r="A2707">
            <v>0</v>
          </cell>
        </row>
        <row r="2708">
          <cell r="A2708">
            <v>0</v>
          </cell>
        </row>
        <row r="2709">
          <cell r="A2709">
            <v>0</v>
          </cell>
        </row>
        <row r="2710">
          <cell r="A2710">
            <v>0</v>
          </cell>
        </row>
        <row r="2711">
          <cell r="A2711">
            <v>0</v>
          </cell>
        </row>
        <row r="2712">
          <cell r="A2712">
            <v>0</v>
          </cell>
        </row>
        <row r="2713">
          <cell r="A2713">
            <v>0</v>
          </cell>
        </row>
        <row r="2714">
          <cell r="A2714">
            <v>0</v>
          </cell>
        </row>
        <row r="2715">
          <cell r="A2715">
            <v>0</v>
          </cell>
        </row>
        <row r="2716">
          <cell r="A2716">
            <v>0</v>
          </cell>
        </row>
        <row r="2717">
          <cell r="A2717">
            <v>0</v>
          </cell>
        </row>
        <row r="2718">
          <cell r="A2718">
            <v>0</v>
          </cell>
        </row>
        <row r="2719">
          <cell r="A2719">
            <v>0</v>
          </cell>
        </row>
        <row r="2720">
          <cell r="A2720">
            <v>0</v>
          </cell>
        </row>
        <row r="2721">
          <cell r="A2721">
            <v>0</v>
          </cell>
        </row>
        <row r="2722">
          <cell r="A2722">
            <v>0</v>
          </cell>
        </row>
        <row r="2723">
          <cell r="A2723">
            <v>0</v>
          </cell>
        </row>
        <row r="2724">
          <cell r="A2724">
            <v>0</v>
          </cell>
        </row>
        <row r="2725">
          <cell r="A2725">
            <v>0</v>
          </cell>
        </row>
        <row r="2726">
          <cell r="A2726">
            <v>0</v>
          </cell>
        </row>
        <row r="2727">
          <cell r="A2727">
            <v>0</v>
          </cell>
        </row>
        <row r="2728">
          <cell r="A2728">
            <v>0</v>
          </cell>
        </row>
        <row r="2729">
          <cell r="A2729">
            <v>0</v>
          </cell>
        </row>
        <row r="2730">
          <cell r="A2730">
            <v>0</v>
          </cell>
        </row>
        <row r="2731">
          <cell r="A2731">
            <v>0</v>
          </cell>
        </row>
        <row r="2732">
          <cell r="A2732">
            <v>0</v>
          </cell>
        </row>
        <row r="2733">
          <cell r="A2733">
            <v>0</v>
          </cell>
        </row>
        <row r="2734">
          <cell r="A2734">
            <v>0</v>
          </cell>
        </row>
        <row r="2735">
          <cell r="A2735">
            <v>0</v>
          </cell>
        </row>
        <row r="2736">
          <cell r="A2736">
            <v>0</v>
          </cell>
        </row>
        <row r="2737">
          <cell r="A2737">
            <v>0</v>
          </cell>
        </row>
        <row r="2738">
          <cell r="A2738">
            <v>0</v>
          </cell>
        </row>
        <row r="2739">
          <cell r="A2739">
            <v>0</v>
          </cell>
        </row>
        <row r="2740">
          <cell r="A2740">
            <v>0</v>
          </cell>
        </row>
        <row r="2741">
          <cell r="A2741">
            <v>0</v>
          </cell>
        </row>
        <row r="2742">
          <cell r="A2742">
            <v>0</v>
          </cell>
        </row>
        <row r="2743">
          <cell r="A2743">
            <v>0</v>
          </cell>
        </row>
        <row r="2744">
          <cell r="A2744">
            <v>0</v>
          </cell>
        </row>
        <row r="2745">
          <cell r="A2745">
            <v>0</v>
          </cell>
        </row>
        <row r="2746">
          <cell r="A2746">
            <v>0</v>
          </cell>
        </row>
        <row r="2747">
          <cell r="A2747">
            <v>0</v>
          </cell>
        </row>
        <row r="2748">
          <cell r="A2748">
            <v>0</v>
          </cell>
        </row>
        <row r="2749">
          <cell r="A2749">
            <v>0</v>
          </cell>
        </row>
        <row r="2750">
          <cell r="A2750">
            <v>0</v>
          </cell>
        </row>
        <row r="2751">
          <cell r="A2751">
            <v>0</v>
          </cell>
        </row>
        <row r="2752">
          <cell r="A2752">
            <v>0</v>
          </cell>
        </row>
        <row r="2753">
          <cell r="A2753">
            <v>0</v>
          </cell>
        </row>
        <row r="2754">
          <cell r="A2754">
            <v>0</v>
          </cell>
        </row>
        <row r="2755">
          <cell r="A2755">
            <v>0</v>
          </cell>
        </row>
        <row r="2756">
          <cell r="A2756">
            <v>0</v>
          </cell>
        </row>
        <row r="2757">
          <cell r="A2757">
            <v>0</v>
          </cell>
        </row>
        <row r="2758">
          <cell r="A2758">
            <v>0</v>
          </cell>
        </row>
        <row r="2759">
          <cell r="A2759">
            <v>0</v>
          </cell>
        </row>
        <row r="2760">
          <cell r="A2760">
            <v>0</v>
          </cell>
        </row>
        <row r="2761">
          <cell r="A2761">
            <v>0</v>
          </cell>
        </row>
        <row r="2762">
          <cell r="A2762">
            <v>0</v>
          </cell>
        </row>
        <row r="2763">
          <cell r="A2763">
            <v>0</v>
          </cell>
        </row>
        <row r="2764">
          <cell r="A2764">
            <v>0</v>
          </cell>
        </row>
        <row r="2765">
          <cell r="A2765">
            <v>0</v>
          </cell>
        </row>
        <row r="2766">
          <cell r="A2766">
            <v>0</v>
          </cell>
        </row>
        <row r="2767">
          <cell r="A2767">
            <v>0</v>
          </cell>
        </row>
        <row r="2768">
          <cell r="A2768">
            <v>0</v>
          </cell>
        </row>
        <row r="2769">
          <cell r="A2769">
            <v>0</v>
          </cell>
        </row>
        <row r="2770">
          <cell r="A2770">
            <v>0</v>
          </cell>
        </row>
        <row r="2771">
          <cell r="A2771">
            <v>0</v>
          </cell>
        </row>
        <row r="2772">
          <cell r="A2772">
            <v>0</v>
          </cell>
        </row>
        <row r="2773">
          <cell r="A2773">
            <v>0</v>
          </cell>
        </row>
        <row r="2774">
          <cell r="A2774">
            <v>0</v>
          </cell>
        </row>
        <row r="2775">
          <cell r="A2775">
            <v>0</v>
          </cell>
        </row>
        <row r="2776">
          <cell r="A2776">
            <v>0</v>
          </cell>
        </row>
        <row r="2777">
          <cell r="A2777">
            <v>0</v>
          </cell>
        </row>
        <row r="2778">
          <cell r="A2778">
            <v>0</v>
          </cell>
        </row>
        <row r="2779">
          <cell r="A2779">
            <v>0</v>
          </cell>
        </row>
        <row r="2780">
          <cell r="A2780">
            <v>0</v>
          </cell>
        </row>
        <row r="2781">
          <cell r="A2781">
            <v>0</v>
          </cell>
        </row>
        <row r="2782">
          <cell r="A2782">
            <v>0</v>
          </cell>
        </row>
        <row r="2783">
          <cell r="A2783">
            <v>0</v>
          </cell>
        </row>
        <row r="2784">
          <cell r="A2784">
            <v>0</v>
          </cell>
        </row>
        <row r="2785">
          <cell r="A2785">
            <v>0</v>
          </cell>
        </row>
        <row r="2786">
          <cell r="A2786">
            <v>0</v>
          </cell>
        </row>
        <row r="2787">
          <cell r="A2787">
            <v>0</v>
          </cell>
        </row>
        <row r="2788">
          <cell r="A2788">
            <v>0</v>
          </cell>
        </row>
        <row r="2789">
          <cell r="A2789">
            <v>0</v>
          </cell>
        </row>
        <row r="2790">
          <cell r="A2790">
            <v>0</v>
          </cell>
        </row>
        <row r="2791">
          <cell r="A2791">
            <v>0</v>
          </cell>
        </row>
        <row r="2792">
          <cell r="A2792">
            <v>0</v>
          </cell>
        </row>
        <row r="2793">
          <cell r="A2793">
            <v>0</v>
          </cell>
        </row>
        <row r="2794">
          <cell r="A2794">
            <v>0</v>
          </cell>
        </row>
        <row r="2795">
          <cell r="A2795">
            <v>0</v>
          </cell>
        </row>
        <row r="2796">
          <cell r="A2796">
            <v>0</v>
          </cell>
        </row>
        <row r="2797">
          <cell r="A2797">
            <v>0</v>
          </cell>
        </row>
        <row r="2798">
          <cell r="A2798">
            <v>0</v>
          </cell>
        </row>
        <row r="2799">
          <cell r="A2799">
            <v>0</v>
          </cell>
        </row>
        <row r="2800">
          <cell r="A2800">
            <v>0</v>
          </cell>
        </row>
        <row r="2801">
          <cell r="A2801">
            <v>0</v>
          </cell>
        </row>
        <row r="2802">
          <cell r="A2802">
            <v>0</v>
          </cell>
        </row>
        <row r="2803">
          <cell r="A2803">
            <v>0</v>
          </cell>
        </row>
        <row r="2804">
          <cell r="A2804">
            <v>0</v>
          </cell>
        </row>
        <row r="2805">
          <cell r="A2805">
            <v>0</v>
          </cell>
        </row>
        <row r="2806">
          <cell r="A2806">
            <v>0</v>
          </cell>
        </row>
        <row r="2807">
          <cell r="A2807">
            <v>0</v>
          </cell>
        </row>
        <row r="2808">
          <cell r="A2808">
            <v>0</v>
          </cell>
        </row>
        <row r="2809">
          <cell r="A2809">
            <v>0</v>
          </cell>
        </row>
        <row r="2810">
          <cell r="A2810">
            <v>0</v>
          </cell>
        </row>
        <row r="2811">
          <cell r="A2811">
            <v>0</v>
          </cell>
        </row>
        <row r="2812">
          <cell r="A2812">
            <v>0</v>
          </cell>
        </row>
        <row r="2813">
          <cell r="A2813">
            <v>0</v>
          </cell>
        </row>
        <row r="2814">
          <cell r="A2814">
            <v>0</v>
          </cell>
        </row>
        <row r="2815">
          <cell r="A2815">
            <v>0</v>
          </cell>
        </row>
        <row r="2816">
          <cell r="A2816">
            <v>0</v>
          </cell>
        </row>
        <row r="2817">
          <cell r="A2817">
            <v>0</v>
          </cell>
        </row>
        <row r="2818">
          <cell r="A2818">
            <v>0</v>
          </cell>
        </row>
        <row r="2819">
          <cell r="A2819">
            <v>0</v>
          </cell>
        </row>
        <row r="2820">
          <cell r="A2820">
            <v>0</v>
          </cell>
        </row>
        <row r="2821">
          <cell r="A2821">
            <v>0</v>
          </cell>
        </row>
        <row r="2822">
          <cell r="A2822">
            <v>0</v>
          </cell>
        </row>
        <row r="2823">
          <cell r="A2823">
            <v>0</v>
          </cell>
        </row>
        <row r="2824">
          <cell r="A2824">
            <v>0</v>
          </cell>
        </row>
        <row r="2825">
          <cell r="A2825">
            <v>0</v>
          </cell>
        </row>
        <row r="2826">
          <cell r="A2826">
            <v>0</v>
          </cell>
        </row>
        <row r="2827">
          <cell r="A2827">
            <v>0</v>
          </cell>
        </row>
        <row r="2828">
          <cell r="A2828">
            <v>0</v>
          </cell>
        </row>
        <row r="2829">
          <cell r="A2829">
            <v>0</v>
          </cell>
        </row>
        <row r="2830">
          <cell r="A2830">
            <v>0</v>
          </cell>
        </row>
        <row r="2831">
          <cell r="A2831">
            <v>0</v>
          </cell>
        </row>
        <row r="2832">
          <cell r="A2832">
            <v>0</v>
          </cell>
        </row>
        <row r="2833">
          <cell r="A2833">
            <v>0</v>
          </cell>
        </row>
        <row r="2834">
          <cell r="A2834">
            <v>0</v>
          </cell>
        </row>
        <row r="2835">
          <cell r="A2835">
            <v>0</v>
          </cell>
        </row>
        <row r="2836">
          <cell r="A2836">
            <v>0</v>
          </cell>
        </row>
        <row r="2837">
          <cell r="A2837">
            <v>0</v>
          </cell>
        </row>
        <row r="2838">
          <cell r="A2838">
            <v>0</v>
          </cell>
        </row>
        <row r="2839">
          <cell r="A2839">
            <v>0</v>
          </cell>
        </row>
        <row r="2840">
          <cell r="A2840">
            <v>0</v>
          </cell>
        </row>
        <row r="2841">
          <cell r="A2841">
            <v>0</v>
          </cell>
        </row>
        <row r="2842">
          <cell r="A2842">
            <v>0</v>
          </cell>
        </row>
        <row r="2843">
          <cell r="A2843">
            <v>0</v>
          </cell>
        </row>
        <row r="2844">
          <cell r="A2844">
            <v>0</v>
          </cell>
        </row>
        <row r="2845">
          <cell r="A2845">
            <v>0</v>
          </cell>
        </row>
        <row r="2846">
          <cell r="A2846">
            <v>0</v>
          </cell>
        </row>
        <row r="2847">
          <cell r="A2847">
            <v>0</v>
          </cell>
        </row>
        <row r="2848">
          <cell r="A2848">
            <v>0</v>
          </cell>
        </row>
        <row r="2849">
          <cell r="A2849">
            <v>0</v>
          </cell>
        </row>
        <row r="2850">
          <cell r="A2850">
            <v>0</v>
          </cell>
        </row>
        <row r="2851">
          <cell r="A2851">
            <v>0</v>
          </cell>
        </row>
        <row r="2852">
          <cell r="A2852">
            <v>0</v>
          </cell>
        </row>
        <row r="2853">
          <cell r="A2853">
            <v>0</v>
          </cell>
        </row>
        <row r="2854">
          <cell r="A2854">
            <v>0</v>
          </cell>
        </row>
        <row r="2855">
          <cell r="A2855">
            <v>0</v>
          </cell>
        </row>
        <row r="2856">
          <cell r="A2856">
            <v>0</v>
          </cell>
        </row>
        <row r="2857">
          <cell r="A2857">
            <v>0</v>
          </cell>
        </row>
        <row r="2858">
          <cell r="A2858">
            <v>0</v>
          </cell>
        </row>
        <row r="2859">
          <cell r="A2859">
            <v>0</v>
          </cell>
        </row>
        <row r="2860">
          <cell r="A2860">
            <v>0</v>
          </cell>
        </row>
        <row r="2861">
          <cell r="A2861">
            <v>0</v>
          </cell>
        </row>
        <row r="2862">
          <cell r="A2862">
            <v>0</v>
          </cell>
        </row>
        <row r="2863">
          <cell r="A2863">
            <v>0</v>
          </cell>
        </row>
        <row r="2864">
          <cell r="A2864">
            <v>0</v>
          </cell>
        </row>
        <row r="2865">
          <cell r="A2865">
            <v>0</v>
          </cell>
        </row>
        <row r="2866">
          <cell r="A2866">
            <v>0</v>
          </cell>
        </row>
        <row r="2867">
          <cell r="A2867">
            <v>0</v>
          </cell>
        </row>
        <row r="2868">
          <cell r="A2868">
            <v>0</v>
          </cell>
        </row>
        <row r="2869">
          <cell r="A2869">
            <v>0</v>
          </cell>
        </row>
        <row r="2870">
          <cell r="A2870">
            <v>0</v>
          </cell>
        </row>
        <row r="2871">
          <cell r="A2871">
            <v>0</v>
          </cell>
        </row>
        <row r="2872">
          <cell r="A2872">
            <v>0</v>
          </cell>
        </row>
        <row r="2873">
          <cell r="A2873">
            <v>0</v>
          </cell>
        </row>
        <row r="2874">
          <cell r="A2874">
            <v>0</v>
          </cell>
        </row>
        <row r="2875">
          <cell r="A2875">
            <v>0</v>
          </cell>
        </row>
        <row r="2876">
          <cell r="A2876">
            <v>0</v>
          </cell>
        </row>
        <row r="2877">
          <cell r="A2877">
            <v>0</v>
          </cell>
        </row>
        <row r="2878">
          <cell r="A2878">
            <v>0</v>
          </cell>
        </row>
        <row r="2879">
          <cell r="A2879">
            <v>0</v>
          </cell>
        </row>
        <row r="2880">
          <cell r="A2880">
            <v>0</v>
          </cell>
        </row>
        <row r="2881">
          <cell r="A2881">
            <v>0</v>
          </cell>
        </row>
        <row r="2882">
          <cell r="A2882">
            <v>0</v>
          </cell>
        </row>
        <row r="2883">
          <cell r="A2883">
            <v>0</v>
          </cell>
        </row>
        <row r="2884">
          <cell r="A2884">
            <v>0</v>
          </cell>
        </row>
        <row r="2885">
          <cell r="A2885">
            <v>0</v>
          </cell>
        </row>
        <row r="2886">
          <cell r="A2886">
            <v>0</v>
          </cell>
        </row>
        <row r="2887">
          <cell r="A2887">
            <v>0</v>
          </cell>
        </row>
        <row r="2888">
          <cell r="A2888">
            <v>0</v>
          </cell>
        </row>
        <row r="2889">
          <cell r="A2889">
            <v>0</v>
          </cell>
        </row>
        <row r="2890">
          <cell r="A2890">
            <v>0</v>
          </cell>
        </row>
        <row r="2891">
          <cell r="A2891">
            <v>0</v>
          </cell>
        </row>
        <row r="2892">
          <cell r="A2892">
            <v>0</v>
          </cell>
        </row>
        <row r="2893">
          <cell r="A2893">
            <v>0</v>
          </cell>
        </row>
        <row r="2894">
          <cell r="A2894">
            <v>0</v>
          </cell>
        </row>
        <row r="2895">
          <cell r="A2895">
            <v>0</v>
          </cell>
        </row>
        <row r="2896">
          <cell r="A2896">
            <v>0</v>
          </cell>
        </row>
        <row r="2897">
          <cell r="A2897">
            <v>0</v>
          </cell>
        </row>
        <row r="2898">
          <cell r="A2898">
            <v>0</v>
          </cell>
        </row>
        <row r="2899">
          <cell r="A2899">
            <v>0</v>
          </cell>
        </row>
        <row r="2900">
          <cell r="A2900">
            <v>0</v>
          </cell>
        </row>
        <row r="2901">
          <cell r="A2901">
            <v>0</v>
          </cell>
        </row>
        <row r="2902">
          <cell r="A2902">
            <v>0</v>
          </cell>
        </row>
        <row r="2903">
          <cell r="A2903">
            <v>0</v>
          </cell>
        </row>
        <row r="2904">
          <cell r="A2904">
            <v>0</v>
          </cell>
        </row>
        <row r="2905">
          <cell r="A2905">
            <v>0</v>
          </cell>
        </row>
        <row r="2906">
          <cell r="A2906">
            <v>0</v>
          </cell>
        </row>
        <row r="2907">
          <cell r="A2907">
            <v>0</v>
          </cell>
        </row>
        <row r="2908">
          <cell r="A2908">
            <v>0</v>
          </cell>
        </row>
        <row r="2909">
          <cell r="A2909">
            <v>0</v>
          </cell>
        </row>
        <row r="2910">
          <cell r="A2910">
            <v>0</v>
          </cell>
        </row>
        <row r="2911">
          <cell r="A2911">
            <v>0</v>
          </cell>
        </row>
        <row r="2912">
          <cell r="A2912">
            <v>0</v>
          </cell>
        </row>
        <row r="2913">
          <cell r="A2913">
            <v>0</v>
          </cell>
        </row>
        <row r="2914">
          <cell r="A2914">
            <v>0</v>
          </cell>
        </row>
        <row r="2915">
          <cell r="A2915">
            <v>0</v>
          </cell>
        </row>
        <row r="2916">
          <cell r="A2916">
            <v>0</v>
          </cell>
        </row>
        <row r="2917">
          <cell r="A2917">
            <v>0</v>
          </cell>
        </row>
        <row r="2918">
          <cell r="A2918">
            <v>0</v>
          </cell>
        </row>
        <row r="2919">
          <cell r="A2919">
            <v>0</v>
          </cell>
        </row>
        <row r="2920">
          <cell r="A2920">
            <v>0</v>
          </cell>
        </row>
        <row r="2921">
          <cell r="A2921">
            <v>0</v>
          </cell>
        </row>
        <row r="2922">
          <cell r="A2922">
            <v>0</v>
          </cell>
        </row>
        <row r="2923">
          <cell r="A2923">
            <v>0</v>
          </cell>
        </row>
        <row r="2924">
          <cell r="A2924">
            <v>0</v>
          </cell>
        </row>
        <row r="2925">
          <cell r="A2925">
            <v>0</v>
          </cell>
        </row>
        <row r="2926">
          <cell r="A2926">
            <v>0</v>
          </cell>
        </row>
        <row r="2927">
          <cell r="A2927">
            <v>0</v>
          </cell>
        </row>
        <row r="2928">
          <cell r="A2928">
            <v>0</v>
          </cell>
        </row>
        <row r="2929">
          <cell r="A2929">
            <v>0</v>
          </cell>
        </row>
        <row r="2930">
          <cell r="A2930">
            <v>0</v>
          </cell>
        </row>
        <row r="2931">
          <cell r="A2931">
            <v>0</v>
          </cell>
        </row>
        <row r="2932">
          <cell r="A2932">
            <v>0</v>
          </cell>
        </row>
        <row r="2933">
          <cell r="A2933">
            <v>0</v>
          </cell>
        </row>
        <row r="2934">
          <cell r="A2934">
            <v>0</v>
          </cell>
        </row>
        <row r="2935">
          <cell r="A2935">
            <v>0</v>
          </cell>
        </row>
        <row r="2936">
          <cell r="A2936">
            <v>0</v>
          </cell>
        </row>
        <row r="2937">
          <cell r="A2937">
            <v>0</v>
          </cell>
        </row>
        <row r="2938">
          <cell r="A2938">
            <v>0</v>
          </cell>
        </row>
        <row r="2939">
          <cell r="A2939">
            <v>0</v>
          </cell>
        </row>
        <row r="2940">
          <cell r="A2940">
            <v>0</v>
          </cell>
        </row>
        <row r="2941">
          <cell r="A2941">
            <v>0</v>
          </cell>
        </row>
        <row r="2942">
          <cell r="A2942">
            <v>0</v>
          </cell>
        </row>
        <row r="2943">
          <cell r="A2943">
            <v>0</v>
          </cell>
        </row>
        <row r="2944">
          <cell r="A2944">
            <v>0</v>
          </cell>
        </row>
        <row r="2945">
          <cell r="A2945">
            <v>0</v>
          </cell>
        </row>
        <row r="2946">
          <cell r="A2946">
            <v>0</v>
          </cell>
        </row>
        <row r="2947">
          <cell r="A2947">
            <v>0</v>
          </cell>
        </row>
        <row r="2948">
          <cell r="A2948">
            <v>0</v>
          </cell>
        </row>
        <row r="2949">
          <cell r="A2949">
            <v>0</v>
          </cell>
        </row>
        <row r="2950">
          <cell r="A2950">
            <v>0</v>
          </cell>
        </row>
        <row r="2951">
          <cell r="A2951">
            <v>0</v>
          </cell>
        </row>
        <row r="2952">
          <cell r="A2952">
            <v>0</v>
          </cell>
        </row>
        <row r="2953">
          <cell r="A2953">
            <v>0</v>
          </cell>
        </row>
        <row r="2954">
          <cell r="A2954">
            <v>0</v>
          </cell>
        </row>
        <row r="2955">
          <cell r="A2955">
            <v>0</v>
          </cell>
        </row>
        <row r="2956">
          <cell r="A2956">
            <v>0</v>
          </cell>
        </row>
        <row r="2957">
          <cell r="A2957">
            <v>0</v>
          </cell>
        </row>
        <row r="2958">
          <cell r="A2958">
            <v>0</v>
          </cell>
        </row>
        <row r="2959">
          <cell r="A2959">
            <v>0</v>
          </cell>
        </row>
        <row r="2960">
          <cell r="A2960">
            <v>0</v>
          </cell>
        </row>
        <row r="2961">
          <cell r="A2961">
            <v>0</v>
          </cell>
        </row>
        <row r="2962">
          <cell r="A2962">
            <v>0</v>
          </cell>
        </row>
        <row r="2963">
          <cell r="A2963">
            <v>0</v>
          </cell>
        </row>
        <row r="2964">
          <cell r="A2964">
            <v>0</v>
          </cell>
        </row>
        <row r="2965">
          <cell r="A2965">
            <v>0</v>
          </cell>
        </row>
        <row r="2966">
          <cell r="A2966">
            <v>0</v>
          </cell>
        </row>
        <row r="2967">
          <cell r="A2967">
            <v>0</v>
          </cell>
        </row>
        <row r="2968">
          <cell r="A2968">
            <v>0</v>
          </cell>
        </row>
        <row r="2969">
          <cell r="A2969">
            <v>0</v>
          </cell>
        </row>
        <row r="2970">
          <cell r="A2970">
            <v>0</v>
          </cell>
        </row>
        <row r="2971">
          <cell r="A2971">
            <v>0</v>
          </cell>
        </row>
        <row r="2972">
          <cell r="A2972">
            <v>0</v>
          </cell>
        </row>
        <row r="2973">
          <cell r="A2973">
            <v>0</v>
          </cell>
        </row>
        <row r="2974">
          <cell r="A2974">
            <v>0</v>
          </cell>
        </row>
        <row r="2975">
          <cell r="A2975">
            <v>0</v>
          </cell>
        </row>
        <row r="2976">
          <cell r="A2976">
            <v>0</v>
          </cell>
        </row>
        <row r="2977">
          <cell r="A2977">
            <v>0</v>
          </cell>
        </row>
        <row r="2978">
          <cell r="A2978">
            <v>0</v>
          </cell>
        </row>
        <row r="2979">
          <cell r="A2979">
            <v>0</v>
          </cell>
        </row>
        <row r="2980">
          <cell r="A2980">
            <v>0</v>
          </cell>
        </row>
        <row r="2981">
          <cell r="A2981">
            <v>0</v>
          </cell>
        </row>
        <row r="2982">
          <cell r="A2982">
            <v>0</v>
          </cell>
        </row>
        <row r="2983">
          <cell r="A2983">
            <v>0</v>
          </cell>
        </row>
        <row r="2984">
          <cell r="A2984">
            <v>0</v>
          </cell>
        </row>
        <row r="2985">
          <cell r="A2985">
            <v>0</v>
          </cell>
        </row>
        <row r="2986">
          <cell r="A2986">
            <v>0</v>
          </cell>
        </row>
        <row r="2987">
          <cell r="A2987">
            <v>0</v>
          </cell>
        </row>
        <row r="2988">
          <cell r="A2988">
            <v>0</v>
          </cell>
        </row>
        <row r="2989">
          <cell r="A2989">
            <v>0</v>
          </cell>
        </row>
        <row r="2990">
          <cell r="A2990">
            <v>0</v>
          </cell>
        </row>
        <row r="2991">
          <cell r="A2991">
            <v>0</v>
          </cell>
        </row>
        <row r="2992">
          <cell r="A2992">
            <v>0</v>
          </cell>
        </row>
        <row r="2993">
          <cell r="A2993">
            <v>0</v>
          </cell>
        </row>
        <row r="2994">
          <cell r="A2994">
            <v>0</v>
          </cell>
        </row>
        <row r="2995">
          <cell r="A2995">
            <v>0</v>
          </cell>
        </row>
        <row r="2996">
          <cell r="A2996">
            <v>0</v>
          </cell>
        </row>
        <row r="2997">
          <cell r="A2997">
            <v>0</v>
          </cell>
        </row>
        <row r="2998">
          <cell r="A2998">
            <v>0</v>
          </cell>
        </row>
        <row r="2999">
          <cell r="A2999">
            <v>0</v>
          </cell>
        </row>
        <row r="3000">
          <cell r="A3000">
            <v>0</v>
          </cell>
        </row>
        <row r="3001">
          <cell r="A3001">
            <v>0</v>
          </cell>
        </row>
        <row r="3002">
          <cell r="A3002">
            <v>0</v>
          </cell>
        </row>
        <row r="3003">
          <cell r="A3003">
            <v>0</v>
          </cell>
        </row>
        <row r="3004">
          <cell r="A3004">
            <v>0</v>
          </cell>
        </row>
        <row r="3005">
          <cell r="A3005">
            <v>0</v>
          </cell>
        </row>
        <row r="3006">
          <cell r="A3006">
            <v>0</v>
          </cell>
        </row>
        <row r="3007">
          <cell r="A3007">
            <v>0</v>
          </cell>
        </row>
        <row r="3008">
          <cell r="A3008">
            <v>0</v>
          </cell>
        </row>
        <row r="3009">
          <cell r="A3009">
            <v>0</v>
          </cell>
        </row>
        <row r="3010">
          <cell r="A3010">
            <v>0</v>
          </cell>
        </row>
        <row r="3011">
          <cell r="A3011">
            <v>0</v>
          </cell>
        </row>
        <row r="3012">
          <cell r="A3012">
            <v>0</v>
          </cell>
        </row>
        <row r="3013">
          <cell r="A3013">
            <v>0</v>
          </cell>
        </row>
        <row r="3014">
          <cell r="A3014">
            <v>0</v>
          </cell>
        </row>
        <row r="3015">
          <cell r="A3015">
            <v>0</v>
          </cell>
        </row>
        <row r="3016">
          <cell r="A3016">
            <v>0</v>
          </cell>
        </row>
        <row r="3017">
          <cell r="A3017">
            <v>0</v>
          </cell>
        </row>
        <row r="3018">
          <cell r="A3018">
            <v>0</v>
          </cell>
        </row>
        <row r="3019">
          <cell r="A3019">
            <v>0</v>
          </cell>
        </row>
        <row r="3020">
          <cell r="A3020">
            <v>0</v>
          </cell>
        </row>
        <row r="3021">
          <cell r="A3021">
            <v>0</v>
          </cell>
        </row>
        <row r="3022">
          <cell r="A3022">
            <v>0</v>
          </cell>
        </row>
        <row r="3023">
          <cell r="A3023">
            <v>0</v>
          </cell>
        </row>
        <row r="3024">
          <cell r="A3024">
            <v>0</v>
          </cell>
        </row>
        <row r="3025">
          <cell r="A3025">
            <v>0</v>
          </cell>
        </row>
        <row r="3026">
          <cell r="A3026">
            <v>0</v>
          </cell>
        </row>
        <row r="3027">
          <cell r="A3027">
            <v>0</v>
          </cell>
        </row>
        <row r="3028">
          <cell r="A3028">
            <v>0</v>
          </cell>
        </row>
        <row r="3029">
          <cell r="A3029">
            <v>0</v>
          </cell>
        </row>
        <row r="3030">
          <cell r="A3030">
            <v>0</v>
          </cell>
        </row>
        <row r="3031">
          <cell r="A3031">
            <v>0</v>
          </cell>
        </row>
        <row r="3032">
          <cell r="A3032">
            <v>0</v>
          </cell>
        </row>
        <row r="3033">
          <cell r="A3033">
            <v>0</v>
          </cell>
        </row>
        <row r="3034">
          <cell r="A3034">
            <v>0</v>
          </cell>
        </row>
        <row r="3035">
          <cell r="A3035">
            <v>0</v>
          </cell>
        </row>
        <row r="3036">
          <cell r="A3036">
            <v>0</v>
          </cell>
        </row>
        <row r="3037">
          <cell r="A3037">
            <v>0</v>
          </cell>
        </row>
        <row r="3038">
          <cell r="A3038">
            <v>0</v>
          </cell>
        </row>
        <row r="3039">
          <cell r="A3039">
            <v>0</v>
          </cell>
        </row>
        <row r="3040">
          <cell r="A3040">
            <v>0</v>
          </cell>
        </row>
        <row r="3041">
          <cell r="A3041">
            <v>0</v>
          </cell>
        </row>
        <row r="3042">
          <cell r="A3042">
            <v>0</v>
          </cell>
        </row>
        <row r="3043">
          <cell r="A3043">
            <v>0</v>
          </cell>
        </row>
        <row r="3044">
          <cell r="A3044">
            <v>0</v>
          </cell>
        </row>
        <row r="3045">
          <cell r="A3045">
            <v>0</v>
          </cell>
        </row>
        <row r="3046">
          <cell r="A3046">
            <v>0</v>
          </cell>
        </row>
        <row r="3047">
          <cell r="A3047">
            <v>0</v>
          </cell>
        </row>
        <row r="3048">
          <cell r="A3048">
            <v>0</v>
          </cell>
        </row>
        <row r="3049">
          <cell r="A3049">
            <v>0</v>
          </cell>
        </row>
        <row r="3050">
          <cell r="A3050">
            <v>0</v>
          </cell>
        </row>
        <row r="3051">
          <cell r="A3051">
            <v>0</v>
          </cell>
        </row>
        <row r="3052">
          <cell r="A3052">
            <v>0</v>
          </cell>
        </row>
        <row r="3053">
          <cell r="A3053">
            <v>0</v>
          </cell>
        </row>
        <row r="3054">
          <cell r="A3054">
            <v>0</v>
          </cell>
        </row>
        <row r="3055">
          <cell r="A3055">
            <v>0</v>
          </cell>
        </row>
        <row r="3056">
          <cell r="A3056">
            <v>0</v>
          </cell>
        </row>
        <row r="3057">
          <cell r="A3057">
            <v>0</v>
          </cell>
        </row>
        <row r="3058">
          <cell r="A3058">
            <v>0</v>
          </cell>
        </row>
        <row r="3059">
          <cell r="A3059">
            <v>0</v>
          </cell>
        </row>
        <row r="3060">
          <cell r="A3060">
            <v>0</v>
          </cell>
        </row>
        <row r="3061">
          <cell r="A3061">
            <v>0</v>
          </cell>
        </row>
        <row r="3062">
          <cell r="A3062">
            <v>0</v>
          </cell>
        </row>
        <row r="3063">
          <cell r="A3063">
            <v>0</v>
          </cell>
        </row>
        <row r="3064">
          <cell r="A3064">
            <v>0</v>
          </cell>
        </row>
        <row r="3065">
          <cell r="A3065">
            <v>0</v>
          </cell>
        </row>
        <row r="3066">
          <cell r="A3066">
            <v>0</v>
          </cell>
        </row>
        <row r="3067">
          <cell r="A3067">
            <v>0</v>
          </cell>
        </row>
        <row r="3068">
          <cell r="A3068">
            <v>0</v>
          </cell>
        </row>
        <row r="3069">
          <cell r="A3069">
            <v>0</v>
          </cell>
        </row>
        <row r="3070">
          <cell r="A3070">
            <v>0</v>
          </cell>
        </row>
        <row r="3071">
          <cell r="A3071">
            <v>0</v>
          </cell>
        </row>
        <row r="3072">
          <cell r="A3072">
            <v>0</v>
          </cell>
        </row>
        <row r="3073">
          <cell r="A3073">
            <v>0</v>
          </cell>
        </row>
        <row r="3074">
          <cell r="A3074">
            <v>0</v>
          </cell>
        </row>
        <row r="3075">
          <cell r="A3075">
            <v>0</v>
          </cell>
        </row>
        <row r="3076">
          <cell r="A3076">
            <v>0</v>
          </cell>
        </row>
        <row r="3077">
          <cell r="A3077">
            <v>0</v>
          </cell>
        </row>
        <row r="3078">
          <cell r="A3078">
            <v>0</v>
          </cell>
        </row>
        <row r="3079">
          <cell r="A3079">
            <v>0</v>
          </cell>
        </row>
        <row r="3080">
          <cell r="A3080">
            <v>0</v>
          </cell>
        </row>
        <row r="3081">
          <cell r="A3081">
            <v>0</v>
          </cell>
        </row>
        <row r="3082">
          <cell r="A3082">
            <v>0</v>
          </cell>
        </row>
        <row r="3083">
          <cell r="A3083">
            <v>0</v>
          </cell>
        </row>
        <row r="3084">
          <cell r="A3084">
            <v>0</v>
          </cell>
        </row>
        <row r="3085">
          <cell r="A3085">
            <v>0</v>
          </cell>
        </row>
        <row r="3086">
          <cell r="A3086">
            <v>0</v>
          </cell>
        </row>
        <row r="3087">
          <cell r="A3087">
            <v>0</v>
          </cell>
        </row>
        <row r="3088">
          <cell r="A3088">
            <v>0</v>
          </cell>
        </row>
        <row r="3089">
          <cell r="A3089">
            <v>0</v>
          </cell>
        </row>
        <row r="3090">
          <cell r="A3090">
            <v>0</v>
          </cell>
        </row>
        <row r="3091">
          <cell r="A3091">
            <v>0</v>
          </cell>
        </row>
        <row r="3092">
          <cell r="A3092">
            <v>0</v>
          </cell>
        </row>
        <row r="3093">
          <cell r="A3093">
            <v>0</v>
          </cell>
        </row>
        <row r="3094">
          <cell r="A3094">
            <v>0</v>
          </cell>
        </row>
        <row r="3095">
          <cell r="A3095">
            <v>0</v>
          </cell>
        </row>
        <row r="3096">
          <cell r="A3096">
            <v>0</v>
          </cell>
        </row>
        <row r="3097">
          <cell r="A3097">
            <v>0</v>
          </cell>
        </row>
        <row r="3098">
          <cell r="A3098">
            <v>0</v>
          </cell>
        </row>
        <row r="3099">
          <cell r="A3099">
            <v>0</v>
          </cell>
        </row>
        <row r="3100">
          <cell r="A3100">
            <v>0</v>
          </cell>
        </row>
        <row r="3101">
          <cell r="A3101">
            <v>0</v>
          </cell>
        </row>
        <row r="3102">
          <cell r="A3102">
            <v>0</v>
          </cell>
        </row>
        <row r="3103">
          <cell r="A3103">
            <v>0</v>
          </cell>
        </row>
        <row r="3104">
          <cell r="A3104">
            <v>0</v>
          </cell>
        </row>
        <row r="3105">
          <cell r="A3105">
            <v>0</v>
          </cell>
        </row>
        <row r="3106">
          <cell r="A3106">
            <v>0</v>
          </cell>
        </row>
        <row r="3107">
          <cell r="A3107">
            <v>0</v>
          </cell>
        </row>
        <row r="3108">
          <cell r="A3108">
            <v>0</v>
          </cell>
        </row>
        <row r="3109">
          <cell r="A3109">
            <v>0</v>
          </cell>
        </row>
        <row r="3110">
          <cell r="A3110">
            <v>0</v>
          </cell>
        </row>
        <row r="3111">
          <cell r="A3111">
            <v>0</v>
          </cell>
        </row>
        <row r="3112">
          <cell r="A3112">
            <v>0</v>
          </cell>
        </row>
        <row r="3113">
          <cell r="A3113">
            <v>0</v>
          </cell>
        </row>
        <row r="3114">
          <cell r="A3114">
            <v>0</v>
          </cell>
        </row>
        <row r="3115">
          <cell r="A3115">
            <v>0</v>
          </cell>
        </row>
        <row r="3116">
          <cell r="A3116">
            <v>0</v>
          </cell>
        </row>
        <row r="3117">
          <cell r="A3117">
            <v>0</v>
          </cell>
        </row>
        <row r="3118">
          <cell r="A3118">
            <v>0</v>
          </cell>
        </row>
        <row r="3119">
          <cell r="A3119">
            <v>0</v>
          </cell>
        </row>
        <row r="3120">
          <cell r="A3120">
            <v>0</v>
          </cell>
        </row>
        <row r="3121">
          <cell r="A3121">
            <v>0</v>
          </cell>
        </row>
        <row r="3122">
          <cell r="A3122">
            <v>0</v>
          </cell>
        </row>
        <row r="3123">
          <cell r="A3123">
            <v>0</v>
          </cell>
        </row>
        <row r="3124">
          <cell r="A3124">
            <v>0</v>
          </cell>
        </row>
        <row r="3125">
          <cell r="A3125">
            <v>0</v>
          </cell>
        </row>
        <row r="3126">
          <cell r="A3126">
            <v>0</v>
          </cell>
        </row>
        <row r="3127">
          <cell r="A3127">
            <v>0</v>
          </cell>
        </row>
        <row r="3128">
          <cell r="A3128">
            <v>0</v>
          </cell>
        </row>
        <row r="3129">
          <cell r="A3129">
            <v>0</v>
          </cell>
        </row>
        <row r="3130">
          <cell r="A3130">
            <v>0</v>
          </cell>
        </row>
        <row r="3131">
          <cell r="A3131">
            <v>0</v>
          </cell>
        </row>
        <row r="3132">
          <cell r="A3132">
            <v>0</v>
          </cell>
        </row>
        <row r="3133">
          <cell r="A3133">
            <v>0</v>
          </cell>
        </row>
        <row r="3134">
          <cell r="A3134">
            <v>0</v>
          </cell>
        </row>
        <row r="3135">
          <cell r="A3135">
            <v>0</v>
          </cell>
        </row>
        <row r="3136">
          <cell r="A3136">
            <v>0</v>
          </cell>
        </row>
        <row r="3137">
          <cell r="A3137">
            <v>0</v>
          </cell>
        </row>
        <row r="3138">
          <cell r="A3138">
            <v>0</v>
          </cell>
        </row>
        <row r="3139">
          <cell r="A3139">
            <v>0</v>
          </cell>
        </row>
        <row r="3140">
          <cell r="A3140">
            <v>0</v>
          </cell>
        </row>
        <row r="3141">
          <cell r="A3141">
            <v>0</v>
          </cell>
        </row>
        <row r="3142">
          <cell r="A3142">
            <v>0</v>
          </cell>
        </row>
        <row r="3143">
          <cell r="A3143">
            <v>0</v>
          </cell>
        </row>
        <row r="3144">
          <cell r="A3144">
            <v>0</v>
          </cell>
        </row>
        <row r="3145">
          <cell r="A3145">
            <v>0</v>
          </cell>
        </row>
        <row r="3146">
          <cell r="A3146">
            <v>0</v>
          </cell>
        </row>
        <row r="3147">
          <cell r="A3147">
            <v>0</v>
          </cell>
        </row>
        <row r="3148">
          <cell r="A3148">
            <v>0</v>
          </cell>
        </row>
        <row r="3149">
          <cell r="A3149">
            <v>0</v>
          </cell>
        </row>
        <row r="3150">
          <cell r="A3150">
            <v>0</v>
          </cell>
        </row>
        <row r="3151">
          <cell r="A3151">
            <v>0</v>
          </cell>
        </row>
        <row r="3152">
          <cell r="A3152">
            <v>0</v>
          </cell>
        </row>
        <row r="3153">
          <cell r="A3153">
            <v>0</v>
          </cell>
        </row>
        <row r="3154">
          <cell r="A3154">
            <v>0</v>
          </cell>
        </row>
        <row r="3155">
          <cell r="A3155">
            <v>0</v>
          </cell>
        </row>
        <row r="3156">
          <cell r="A3156">
            <v>0</v>
          </cell>
        </row>
        <row r="3157">
          <cell r="A3157">
            <v>0</v>
          </cell>
        </row>
        <row r="3158">
          <cell r="A3158">
            <v>0</v>
          </cell>
        </row>
        <row r="3159">
          <cell r="A3159">
            <v>0</v>
          </cell>
        </row>
        <row r="3160">
          <cell r="A3160">
            <v>0</v>
          </cell>
        </row>
        <row r="3161">
          <cell r="A3161">
            <v>0</v>
          </cell>
        </row>
        <row r="3162">
          <cell r="A3162">
            <v>0</v>
          </cell>
        </row>
        <row r="3163">
          <cell r="A3163">
            <v>0</v>
          </cell>
        </row>
        <row r="3164">
          <cell r="A3164">
            <v>0</v>
          </cell>
        </row>
        <row r="3165">
          <cell r="A3165">
            <v>0</v>
          </cell>
        </row>
        <row r="3166">
          <cell r="A3166">
            <v>0</v>
          </cell>
        </row>
        <row r="3167">
          <cell r="A3167">
            <v>0</v>
          </cell>
        </row>
        <row r="3168">
          <cell r="A3168">
            <v>0</v>
          </cell>
        </row>
        <row r="3169">
          <cell r="A3169">
            <v>0</v>
          </cell>
        </row>
        <row r="3170">
          <cell r="A3170">
            <v>0</v>
          </cell>
        </row>
        <row r="3171">
          <cell r="A3171">
            <v>0</v>
          </cell>
        </row>
        <row r="3172">
          <cell r="A3172">
            <v>0</v>
          </cell>
        </row>
        <row r="3173">
          <cell r="A3173">
            <v>0</v>
          </cell>
        </row>
        <row r="3174">
          <cell r="A3174">
            <v>0</v>
          </cell>
        </row>
        <row r="3175">
          <cell r="A3175">
            <v>0</v>
          </cell>
        </row>
        <row r="3176">
          <cell r="A3176">
            <v>0</v>
          </cell>
        </row>
        <row r="3177">
          <cell r="A3177">
            <v>0</v>
          </cell>
        </row>
        <row r="3178">
          <cell r="A3178">
            <v>0</v>
          </cell>
        </row>
        <row r="3179">
          <cell r="A3179">
            <v>0</v>
          </cell>
        </row>
        <row r="3180">
          <cell r="A3180">
            <v>0</v>
          </cell>
        </row>
        <row r="3181">
          <cell r="A3181">
            <v>0</v>
          </cell>
        </row>
        <row r="3182">
          <cell r="A3182">
            <v>0</v>
          </cell>
        </row>
        <row r="3183">
          <cell r="A3183">
            <v>0</v>
          </cell>
        </row>
        <row r="3184">
          <cell r="A3184">
            <v>0</v>
          </cell>
        </row>
        <row r="3185">
          <cell r="A3185">
            <v>0</v>
          </cell>
        </row>
        <row r="3186">
          <cell r="A3186">
            <v>0</v>
          </cell>
        </row>
        <row r="3187">
          <cell r="A3187">
            <v>0</v>
          </cell>
        </row>
        <row r="3188">
          <cell r="A3188">
            <v>0</v>
          </cell>
        </row>
        <row r="3189">
          <cell r="A3189">
            <v>0</v>
          </cell>
        </row>
        <row r="3190">
          <cell r="A3190">
            <v>0</v>
          </cell>
        </row>
        <row r="3191">
          <cell r="A3191">
            <v>0</v>
          </cell>
        </row>
        <row r="3192">
          <cell r="A3192">
            <v>0</v>
          </cell>
        </row>
        <row r="3193">
          <cell r="A3193">
            <v>0</v>
          </cell>
        </row>
        <row r="3194">
          <cell r="A3194">
            <v>0</v>
          </cell>
        </row>
        <row r="3195">
          <cell r="A3195">
            <v>0</v>
          </cell>
        </row>
        <row r="3196">
          <cell r="A3196">
            <v>0</v>
          </cell>
        </row>
        <row r="3197">
          <cell r="A3197">
            <v>0</v>
          </cell>
        </row>
        <row r="3198">
          <cell r="A3198">
            <v>0</v>
          </cell>
        </row>
        <row r="3199">
          <cell r="A3199">
            <v>0</v>
          </cell>
        </row>
        <row r="3200">
          <cell r="A3200">
            <v>0</v>
          </cell>
        </row>
        <row r="3201">
          <cell r="A3201">
            <v>0</v>
          </cell>
        </row>
        <row r="3202">
          <cell r="A3202">
            <v>0</v>
          </cell>
        </row>
        <row r="3203">
          <cell r="A3203">
            <v>0</v>
          </cell>
        </row>
        <row r="3204">
          <cell r="A3204">
            <v>0</v>
          </cell>
        </row>
        <row r="3205">
          <cell r="A3205">
            <v>0</v>
          </cell>
        </row>
        <row r="3206">
          <cell r="A3206">
            <v>0</v>
          </cell>
        </row>
        <row r="3207">
          <cell r="A3207">
            <v>0</v>
          </cell>
        </row>
        <row r="3208">
          <cell r="A3208">
            <v>0</v>
          </cell>
        </row>
        <row r="3209">
          <cell r="A3209">
            <v>0</v>
          </cell>
        </row>
        <row r="3210">
          <cell r="A3210">
            <v>0</v>
          </cell>
        </row>
        <row r="3211">
          <cell r="A3211">
            <v>0</v>
          </cell>
        </row>
        <row r="3212">
          <cell r="A3212">
            <v>0</v>
          </cell>
        </row>
        <row r="3213">
          <cell r="A3213">
            <v>0</v>
          </cell>
        </row>
        <row r="3214">
          <cell r="A3214">
            <v>0</v>
          </cell>
        </row>
        <row r="3215">
          <cell r="A3215">
            <v>0</v>
          </cell>
        </row>
        <row r="3216">
          <cell r="A3216">
            <v>0</v>
          </cell>
        </row>
        <row r="3217">
          <cell r="A3217">
            <v>0</v>
          </cell>
        </row>
        <row r="3218">
          <cell r="A3218">
            <v>0</v>
          </cell>
        </row>
        <row r="3219">
          <cell r="A3219">
            <v>0</v>
          </cell>
        </row>
        <row r="3220">
          <cell r="A3220">
            <v>0</v>
          </cell>
        </row>
        <row r="3221">
          <cell r="A3221">
            <v>0</v>
          </cell>
        </row>
        <row r="3222">
          <cell r="A3222">
            <v>0</v>
          </cell>
        </row>
        <row r="3223">
          <cell r="A3223">
            <v>0</v>
          </cell>
        </row>
        <row r="3224">
          <cell r="A3224">
            <v>0</v>
          </cell>
        </row>
        <row r="3225">
          <cell r="A3225">
            <v>0</v>
          </cell>
        </row>
        <row r="3226">
          <cell r="A3226">
            <v>0</v>
          </cell>
        </row>
        <row r="3227">
          <cell r="A3227">
            <v>0</v>
          </cell>
        </row>
        <row r="3228">
          <cell r="A3228">
            <v>0</v>
          </cell>
        </row>
        <row r="3229">
          <cell r="A3229">
            <v>0</v>
          </cell>
        </row>
        <row r="3230">
          <cell r="A3230">
            <v>0</v>
          </cell>
        </row>
        <row r="3231">
          <cell r="A3231">
            <v>0</v>
          </cell>
        </row>
        <row r="3232">
          <cell r="A3232">
            <v>0</v>
          </cell>
        </row>
        <row r="3233">
          <cell r="A3233">
            <v>0</v>
          </cell>
        </row>
        <row r="3234">
          <cell r="A3234">
            <v>0</v>
          </cell>
        </row>
        <row r="3235">
          <cell r="A3235">
            <v>0</v>
          </cell>
        </row>
        <row r="3236">
          <cell r="A3236">
            <v>0</v>
          </cell>
        </row>
        <row r="3237">
          <cell r="A3237">
            <v>0</v>
          </cell>
        </row>
        <row r="3238">
          <cell r="A3238">
            <v>0</v>
          </cell>
        </row>
        <row r="3239">
          <cell r="A3239">
            <v>0</v>
          </cell>
        </row>
        <row r="3240">
          <cell r="A3240">
            <v>0</v>
          </cell>
        </row>
        <row r="3241">
          <cell r="A3241">
            <v>0</v>
          </cell>
        </row>
        <row r="3242">
          <cell r="A3242">
            <v>0</v>
          </cell>
        </row>
        <row r="3243">
          <cell r="A3243">
            <v>0</v>
          </cell>
        </row>
        <row r="3244">
          <cell r="A3244">
            <v>0</v>
          </cell>
        </row>
        <row r="3245">
          <cell r="A3245">
            <v>0</v>
          </cell>
        </row>
        <row r="3246">
          <cell r="A3246">
            <v>0</v>
          </cell>
        </row>
        <row r="3247">
          <cell r="A3247">
            <v>0</v>
          </cell>
        </row>
        <row r="3248">
          <cell r="A3248">
            <v>0</v>
          </cell>
        </row>
        <row r="3249">
          <cell r="A3249">
            <v>0</v>
          </cell>
        </row>
        <row r="3250">
          <cell r="A3250">
            <v>0</v>
          </cell>
        </row>
        <row r="3251">
          <cell r="A3251">
            <v>0</v>
          </cell>
        </row>
        <row r="3252">
          <cell r="A3252">
            <v>0</v>
          </cell>
        </row>
        <row r="3253">
          <cell r="A3253">
            <v>0</v>
          </cell>
        </row>
        <row r="3254">
          <cell r="A3254">
            <v>0</v>
          </cell>
        </row>
        <row r="3255">
          <cell r="A3255">
            <v>0</v>
          </cell>
        </row>
        <row r="3256">
          <cell r="A3256">
            <v>0</v>
          </cell>
        </row>
        <row r="3257">
          <cell r="A3257">
            <v>0</v>
          </cell>
        </row>
        <row r="3258">
          <cell r="A3258">
            <v>0</v>
          </cell>
        </row>
        <row r="3259">
          <cell r="A3259">
            <v>0</v>
          </cell>
        </row>
        <row r="3260">
          <cell r="A3260">
            <v>0</v>
          </cell>
        </row>
        <row r="3261">
          <cell r="A3261">
            <v>0</v>
          </cell>
        </row>
        <row r="3262">
          <cell r="A3262">
            <v>0</v>
          </cell>
        </row>
        <row r="3263">
          <cell r="A3263">
            <v>0</v>
          </cell>
        </row>
        <row r="3264">
          <cell r="A3264">
            <v>0</v>
          </cell>
        </row>
        <row r="3265">
          <cell r="A3265">
            <v>0</v>
          </cell>
        </row>
        <row r="3266">
          <cell r="A3266">
            <v>0</v>
          </cell>
        </row>
        <row r="3267">
          <cell r="A3267">
            <v>0</v>
          </cell>
        </row>
        <row r="3268">
          <cell r="A3268">
            <v>0</v>
          </cell>
        </row>
        <row r="3269">
          <cell r="A3269">
            <v>0</v>
          </cell>
        </row>
        <row r="3270">
          <cell r="A3270">
            <v>0</v>
          </cell>
        </row>
        <row r="3271">
          <cell r="A3271">
            <v>0</v>
          </cell>
        </row>
        <row r="3272">
          <cell r="A3272">
            <v>0</v>
          </cell>
        </row>
        <row r="3273">
          <cell r="A3273">
            <v>0</v>
          </cell>
        </row>
        <row r="3274">
          <cell r="A3274">
            <v>0</v>
          </cell>
        </row>
        <row r="3275">
          <cell r="A3275">
            <v>0</v>
          </cell>
        </row>
        <row r="3276">
          <cell r="A3276">
            <v>0</v>
          </cell>
        </row>
        <row r="3277">
          <cell r="A3277">
            <v>0</v>
          </cell>
        </row>
        <row r="3278">
          <cell r="A3278">
            <v>0</v>
          </cell>
        </row>
        <row r="3279">
          <cell r="A3279">
            <v>0</v>
          </cell>
        </row>
        <row r="3280">
          <cell r="A3280">
            <v>0</v>
          </cell>
        </row>
        <row r="3281">
          <cell r="A3281">
            <v>0</v>
          </cell>
        </row>
        <row r="3282">
          <cell r="A3282">
            <v>0</v>
          </cell>
        </row>
        <row r="3283">
          <cell r="A3283">
            <v>0</v>
          </cell>
        </row>
        <row r="3284">
          <cell r="A3284">
            <v>0</v>
          </cell>
        </row>
        <row r="3285">
          <cell r="A3285">
            <v>0</v>
          </cell>
        </row>
        <row r="3286">
          <cell r="A3286">
            <v>0</v>
          </cell>
        </row>
        <row r="3287">
          <cell r="A3287">
            <v>0</v>
          </cell>
        </row>
        <row r="3288">
          <cell r="A3288">
            <v>0</v>
          </cell>
        </row>
        <row r="3289">
          <cell r="A3289">
            <v>0</v>
          </cell>
        </row>
        <row r="3290">
          <cell r="A3290">
            <v>0</v>
          </cell>
        </row>
        <row r="3291">
          <cell r="A3291">
            <v>0</v>
          </cell>
        </row>
        <row r="3292">
          <cell r="A3292">
            <v>0</v>
          </cell>
        </row>
        <row r="3293">
          <cell r="A3293">
            <v>0</v>
          </cell>
        </row>
        <row r="3294">
          <cell r="A3294">
            <v>0</v>
          </cell>
        </row>
        <row r="3295">
          <cell r="A3295">
            <v>0</v>
          </cell>
        </row>
        <row r="3296">
          <cell r="A3296">
            <v>0</v>
          </cell>
        </row>
        <row r="3297">
          <cell r="A3297">
            <v>0</v>
          </cell>
        </row>
        <row r="3298">
          <cell r="A3298">
            <v>0</v>
          </cell>
        </row>
        <row r="3299">
          <cell r="A3299">
            <v>0</v>
          </cell>
        </row>
        <row r="3300">
          <cell r="A3300">
            <v>0</v>
          </cell>
        </row>
        <row r="3301">
          <cell r="A3301">
            <v>0</v>
          </cell>
        </row>
        <row r="3302">
          <cell r="A3302">
            <v>0</v>
          </cell>
        </row>
        <row r="3303">
          <cell r="A3303">
            <v>0</v>
          </cell>
        </row>
        <row r="3304">
          <cell r="A3304">
            <v>0</v>
          </cell>
        </row>
        <row r="3305">
          <cell r="A3305">
            <v>0</v>
          </cell>
        </row>
        <row r="3306">
          <cell r="A3306">
            <v>0</v>
          </cell>
        </row>
        <row r="3307">
          <cell r="A3307">
            <v>0</v>
          </cell>
        </row>
        <row r="3308">
          <cell r="A3308">
            <v>0</v>
          </cell>
        </row>
        <row r="3309">
          <cell r="A3309">
            <v>0</v>
          </cell>
        </row>
        <row r="3310">
          <cell r="A3310">
            <v>0</v>
          </cell>
        </row>
        <row r="3311">
          <cell r="A3311">
            <v>0</v>
          </cell>
        </row>
        <row r="3312">
          <cell r="A3312">
            <v>0</v>
          </cell>
        </row>
        <row r="3313">
          <cell r="A3313">
            <v>0</v>
          </cell>
        </row>
        <row r="3314">
          <cell r="A3314">
            <v>0</v>
          </cell>
        </row>
        <row r="3315">
          <cell r="A3315">
            <v>0</v>
          </cell>
        </row>
        <row r="3316">
          <cell r="A3316">
            <v>0</v>
          </cell>
        </row>
        <row r="3317">
          <cell r="A3317">
            <v>0</v>
          </cell>
        </row>
        <row r="3318">
          <cell r="A3318">
            <v>0</v>
          </cell>
        </row>
        <row r="3319">
          <cell r="A3319">
            <v>0</v>
          </cell>
        </row>
        <row r="3320">
          <cell r="A3320">
            <v>0</v>
          </cell>
        </row>
        <row r="3321">
          <cell r="A3321">
            <v>0</v>
          </cell>
        </row>
        <row r="3322">
          <cell r="A3322">
            <v>0</v>
          </cell>
        </row>
        <row r="3323">
          <cell r="A3323">
            <v>0</v>
          </cell>
        </row>
        <row r="3324">
          <cell r="A3324">
            <v>0</v>
          </cell>
        </row>
        <row r="3325">
          <cell r="A3325">
            <v>0</v>
          </cell>
        </row>
        <row r="3326">
          <cell r="A3326">
            <v>0</v>
          </cell>
        </row>
        <row r="3327">
          <cell r="A3327">
            <v>0</v>
          </cell>
        </row>
        <row r="3328">
          <cell r="A3328">
            <v>0</v>
          </cell>
        </row>
        <row r="3329">
          <cell r="A3329">
            <v>0</v>
          </cell>
        </row>
        <row r="3330">
          <cell r="A3330">
            <v>0</v>
          </cell>
        </row>
        <row r="3331">
          <cell r="A3331">
            <v>0</v>
          </cell>
        </row>
        <row r="3332">
          <cell r="A3332">
            <v>0</v>
          </cell>
        </row>
        <row r="3333">
          <cell r="A3333">
            <v>0</v>
          </cell>
        </row>
        <row r="3334">
          <cell r="A3334">
            <v>0</v>
          </cell>
        </row>
        <row r="3335">
          <cell r="A3335">
            <v>0</v>
          </cell>
        </row>
        <row r="3336">
          <cell r="A3336">
            <v>0</v>
          </cell>
        </row>
        <row r="3337">
          <cell r="A3337">
            <v>0</v>
          </cell>
        </row>
        <row r="3338">
          <cell r="A3338">
            <v>0</v>
          </cell>
        </row>
        <row r="3339">
          <cell r="A3339">
            <v>0</v>
          </cell>
        </row>
        <row r="3340">
          <cell r="A3340">
            <v>0</v>
          </cell>
        </row>
        <row r="3341">
          <cell r="A3341">
            <v>0</v>
          </cell>
        </row>
        <row r="3342">
          <cell r="A3342">
            <v>0</v>
          </cell>
        </row>
        <row r="3343">
          <cell r="A3343">
            <v>0</v>
          </cell>
        </row>
        <row r="3344">
          <cell r="A3344">
            <v>0</v>
          </cell>
        </row>
        <row r="3345">
          <cell r="A3345">
            <v>0</v>
          </cell>
        </row>
        <row r="3346">
          <cell r="A3346">
            <v>0</v>
          </cell>
        </row>
        <row r="3347">
          <cell r="A3347">
            <v>0</v>
          </cell>
        </row>
        <row r="3348">
          <cell r="A3348">
            <v>0</v>
          </cell>
        </row>
        <row r="3349">
          <cell r="A3349">
            <v>0</v>
          </cell>
        </row>
        <row r="3350">
          <cell r="A3350">
            <v>0</v>
          </cell>
        </row>
        <row r="3351">
          <cell r="A3351">
            <v>0</v>
          </cell>
        </row>
        <row r="3352">
          <cell r="A3352">
            <v>0</v>
          </cell>
        </row>
        <row r="3353">
          <cell r="A3353">
            <v>0</v>
          </cell>
        </row>
        <row r="3354">
          <cell r="A3354">
            <v>0</v>
          </cell>
        </row>
        <row r="3355">
          <cell r="A3355">
            <v>0</v>
          </cell>
        </row>
        <row r="3356">
          <cell r="A3356">
            <v>0</v>
          </cell>
        </row>
        <row r="3357">
          <cell r="A3357">
            <v>0</v>
          </cell>
        </row>
        <row r="3358">
          <cell r="A3358">
            <v>0</v>
          </cell>
        </row>
        <row r="3359">
          <cell r="A3359">
            <v>0</v>
          </cell>
        </row>
        <row r="3360">
          <cell r="A3360">
            <v>0</v>
          </cell>
        </row>
        <row r="3361">
          <cell r="A3361">
            <v>0</v>
          </cell>
        </row>
        <row r="3362">
          <cell r="A3362">
            <v>0</v>
          </cell>
        </row>
        <row r="3363">
          <cell r="A3363">
            <v>0</v>
          </cell>
        </row>
        <row r="3364">
          <cell r="A3364">
            <v>0</v>
          </cell>
        </row>
        <row r="3365">
          <cell r="A3365">
            <v>0</v>
          </cell>
        </row>
        <row r="3366">
          <cell r="A3366">
            <v>0</v>
          </cell>
        </row>
        <row r="3367">
          <cell r="A3367">
            <v>0</v>
          </cell>
        </row>
        <row r="3368">
          <cell r="A3368">
            <v>0</v>
          </cell>
        </row>
        <row r="3369">
          <cell r="A3369">
            <v>0</v>
          </cell>
        </row>
        <row r="3370">
          <cell r="A3370">
            <v>0</v>
          </cell>
        </row>
        <row r="3371">
          <cell r="A3371">
            <v>0</v>
          </cell>
        </row>
        <row r="3372">
          <cell r="A3372">
            <v>0</v>
          </cell>
        </row>
        <row r="3373">
          <cell r="A3373">
            <v>0</v>
          </cell>
        </row>
        <row r="3374">
          <cell r="A3374">
            <v>0</v>
          </cell>
        </row>
        <row r="3375">
          <cell r="A3375">
            <v>0</v>
          </cell>
        </row>
        <row r="3376">
          <cell r="A3376">
            <v>0</v>
          </cell>
        </row>
        <row r="3377">
          <cell r="A3377">
            <v>0</v>
          </cell>
        </row>
        <row r="3378">
          <cell r="A3378">
            <v>0</v>
          </cell>
        </row>
        <row r="3379">
          <cell r="A3379">
            <v>0</v>
          </cell>
        </row>
        <row r="3380">
          <cell r="A3380">
            <v>0</v>
          </cell>
        </row>
        <row r="3381">
          <cell r="A3381">
            <v>0</v>
          </cell>
        </row>
        <row r="3382">
          <cell r="A3382">
            <v>0</v>
          </cell>
        </row>
        <row r="3383">
          <cell r="A3383">
            <v>0</v>
          </cell>
        </row>
        <row r="3384">
          <cell r="A3384">
            <v>0</v>
          </cell>
        </row>
        <row r="3385">
          <cell r="A3385">
            <v>0</v>
          </cell>
        </row>
        <row r="3386">
          <cell r="A3386">
            <v>0</v>
          </cell>
        </row>
        <row r="3387">
          <cell r="A3387">
            <v>0</v>
          </cell>
        </row>
        <row r="3388">
          <cell r="A3388">
            <v>0</v>
          </cell>
        </row>
        <row r="3389">
          <cell r="A3389">
            <v>0</v>
          </cell>
        </row>
        <row r="3390">
          <cell r="A3390">
            <v>0</v>
          </cell>
        </row>
        <row r="3391">
          <cell r="A3391">
            <v>0</v>
          </cell>
        </row>
        <row r="3392">
          <cell r="A3392">
            <v>0</v>
          </cell>
        </row>
        <row r="3393">
          <cell r="A3393">
            <v>0</v>
          </cell>
        </row>
        <row r="3394">
          <cell r="A3394">
            <v>0</v>
          </cell>
        </row>
        <row r="3395">
          <cell r="A3395">
            <v>0</v>
          </cell>
        </row>
        <row r="3396">
          <cell r="A3396">
            <v>0</v>
          </cell>
        </row>
        <row r="3397">
          <cell r="A3397">
            <v>0</v>
          </cell>
        </row>
        <row r="3398">
          <cell r="A3398">
            <v>0</v>
          </cell>
        </row>
        <row r="3399">
          <cell r="A3399">
            <v>0</v>
          </cell>
        </row>
        <row r="3400">
          <cell r="A3400">
            <v>0</v>
          </cell>
        </row>
        <row r="3401">
          <cell r="A3401">
            <v>0</v>
          </cell>
        </row>
        <row r="3402">
          <cell r="A3402">
            <v>0</v>
          </cell>
        </row>
        <row r="3403">
          <cell r="A3403">
            <v>0</v>
          </cell>
        </row>
        <row r="3404">
          <cell r="A3404">
            <v>0</v>
          </cell>
        </row>
        <row r="3405">
          <cell r="A3405">
            <v>0</v>
          </cell>
        </row>
        <row r="3406">
          <cell r="A3406">
            <v>0</v>
          </cell>
        </row>
        <row r="3407">
          <cell r="A3407">
            <v>0</v>
          </cell>
        </row>
        <row r="3408">
          <cell r="A3408">
            <v>0</v>
          </cell>
        </row>
        <row r="3409">
          <cell r="A3409">
            <v>0</v>
          </cell>
        </row>
        <row r="3410">
          <cell r="A3410">
            <v>0</v>
          </cell>
        </row>
        <row r="3411">
          <cell r="A3411">
            <v>0</v>
          </cell>
        </row>
        <row r="3412">
          <cell r="A3412">
            <v>0</v>
          </cell>
        </row>
        <row r="3413">
          <cell r="A3413">
            <v>0</v>
          </cell>
        </row>
        <row r="3414">
          <cell r="A3414">
            <v>0</v>
          </cell>
        </row>
        <row r="3415">
          <cell r="A3415">
            <v>0</v>
          </cell>
        </row>
        <row r="3416">
          <cell r="A3416">
            <v>0</v>
          </cell>
        </row>
        <row r="3417">
          <cell r="A3417">
            <v>0</v>
          </cell>
        </row>
        <row r="3418">
          <cell r="A3418">
            <v>0</v>
          </cell>
        </row>
        <row r="3419">
          <cell r="A3419">
            <v>0</v>
          </cell>
        </row>
        <row r="3420">
          <cell r="A3420">
            <v>0</v>
          </cell>
        </row>
        <row r="3421">
          <cell r="A3421">
            <v>0</v>
          </cell>
        </row>
        <row r="3422">
          <cell r="A3422">
            <v>0</v>
          </cell>
        </row>
        <row r="3423">
          <cell r="A3423">
            <v>0</v>
          </cell>
        </row>
        <row r="3424">
          <cell r="A3424">
            <v>0</v>
          </cell>
        </row>
        <row r="3425">
          <cell r="A3425">
            <v>0</v>
          </cell>
        </row>
        <row r="3426">
          <cell r="A3426">
            <v>0</v>
          </cell>
        </row>
        <row r="3427">
          <cell r="A3427">
            <v>0</v>
          </cell>
        </row>
        <row r="3428">
          <cell r="A3428">
            <v>0</v>
          </cell>
        </row>
        <row r="3429">
          <cell r="A3429">
            <v>0</v>
          </cell>
        </row>
        <row r="3430">
          <cell r="A3430">
            <v>0</v>
          </cell>
        </row>
        <row r="3431">
          <cell r="A3431">
            <v>0</v>
          </cell>
        </row>
        <row r="3432">
          <cell r="A3432">
            <v>0</v>
          </cell>
        </row>
        <row r="3433">
          <cell r="A3433">
            <v>0</v>
          </cell>
        </row>
        <row r="3434">
          <cell r="A3434">
            <v>0</v>
          </cell>
        </row>
        <row r="3435">
          <cell r="A3435">
            <v>0</v>
          </cell>
        </row>
        <row r="3436">
          <cell r="A3436">
            <v>0</v>
          </cell>
        </row>
        <row r="3437">
          <cell r="A3437">
            <v>0</v>
          </cell>
        </row>
        <row r="3438">
          <cell r="A3438">
            <v>0</v>
          </cell>
        </row>
        <row r="3439">
          <cell r="A3439">
            <v>0</v>
          </cell>
        </row>
        <row r="3440">
          <cell r="A3440">
            <v>0</v>
          </cell>
        </row>
        <row r="3441">
          <cell r="A3441">
            <v>0</v>
          </cell>
        </row>
        <row r="3442">
          <cell r="A3442">
            <v>0</v>
          </cell>
        </row>
        <row r="3443">
          <cell r="A3443">
            <v>0</v>
          </cell>
        </row>
        <row r="3444">
          <cell r="A3444">
            <v>0</v>
          </cell>
        </row>
        <row r="3445">
          <cell r="A3445">
            <v>0</v>
          </cell>
        </row>
        <row r="3446">
          <cell r="A3446">
            <v>0</v>
          </cell>
        </row>
        <row r="3447">
          <cell r="A3447">
            <v>0</v>
          </cell>
        </row>
        <row r="3448">
          <cell r="A3448">
            <v>0</v>
          </cell>
        </row>
        <row r="3449">
          <cell r="A3449">
            <v>0</v>
          </cell>
        </row>
        <row r="3450">
          <cell r="A3450">
            <v>0</v>
          </cell>
        </row>
        <row r="3451">
          <cell r="A3451">
            <v>0</v>
          </cell>
        </row>
        <row r="3452">
          <cell r="A3452">
            <v>0</v>
          </cell>
        </row>
        <row r="3453">
          <cell r="A3453">
            <v>0</v>
          </cell>
        </row>
        <row r="3454">
          <cell r="A3454">
            <v>0</v>
          </cell>
        </row>
        <row r="3455">
          <cell r="A3455">
            <v>0</v>
          </cell>
        </row>
        <row r="3456">
          <cell r="A3456">
            <v>0</v>
          </cell>
        </row>
        <row r="3457">
          <cell r="A3457">
            <v>0</v>
          </cell>
        </row>
        <row r="3458">
          <cell r="A3458">
            <v>0</v>
          </cell>
        </row>
        <row r="3459">
          <cell r="A3459">
            <v>0</v>
          </cell>
        </row>
        <row r="3460">
          <cell r="A3460">
            <v>0</v>
          </cell>
        </row>
        <row r="3461">
          <cell r="A3461">
            <v>0</v>
          </cell>
        </row>
        <row r="3462">
          <cell r="A3462">
            <v>0</v>
          </cell>
        </row>
        <row r="3463">
          <cell r="A3463">
            <v>0</v>
          </cell>
        </row>
        <row r="3464">
          <cell r="A3464">
            <v>0</v>
          </cell>
        </row>
        <row r="3465">
          <cell r="A3465">
            <v>0</v>
          </cell>
        </row>
        <row r="3466">
          <cell r="A3466">
            <v>0</v>
          </cell>
        </row>
        <row r="3467">
          <cell r="A3467">
            <v>0</v>
          </cell>
        </row>
        <row r="3468">
          <cell r="A3468">
            <v>0</v>
          </cell>
        </row>
        <row r="3469">
          <cell r="A3469">
            <v>0</v>
          </cell>
        </row>
        <row r="3470">
          <cell r="A3470">
            <v>0</v>
          </cell>
        </row>
        <row r="3471">
          <cell r="A3471">
            <v>0</v>
          </cell>
        </row>
        <row r="3472">
          <cell r="A3472">
            <v>0</v>
          </cell>
        </row>
        <row r="3473">
          <cell r="A3473">
            <v>0</v>
          </cell>
        </row>
        <row r="3474">
          <cell r="A3474">
            <v>0</v>
          </cell>
        </row>
        <row r="3475">
          <cell r="A3475">
            <v>0</v>
          </cell>
        </row>
        <row r="3476">
          <cell r="A3476">
            <v>0</v>
          </cell>
        </row>
        <row r="3477">
          <cell r="A3477">
            <v>0</v>
          </cell>
        </row>
        <row r="3478">
          <cell r="A3478">
            <v>0</v>
          </cell>
        </row>
        <row r="3479">
          <cell r="A3479">
            <v>0</v>
          </cell>
        </row>
        <row r="3480">
          <cell r="A3480">
            <v>0</v>
          </cell>
        </row>
        <row r="3481">
          <cell r="A3481">
            <v>0</v>
          </cell>
        </row>
        <row r="3482">
          <cell r="A3482">
            <v>0</v>
          </cell>
        </row>
        <row r="3483">
          <cell r="A3483">
            <v>0</v>
          </cell>
        </row>
        <row r="3484">
          <cell r="A3484">
            <v>0</v>
          </cell>
        </row>
        <row r="3485">
          <cell r="A3485">
            <v>0</v>
          </cell>
        </row>
        <row r="3486">
          <cell r="A3486">
            <v>0</v>
          </cell>
        </row>
        <row r="3487">
          <cell r="A3487">
            <v>0</v>
          </cell>
        </row>
        <row r="3488">
          <cell r="A3488">
            <v>0</v>
          </cell>
        </row>
        <row r="3489">
          <cell r="A3489">
            <v>0</v>
          </cell>
        </row>
        <row r="3490">
          <cell r="A3490">
            <v>0</v>
          </cell>
        </row>
        <row r="3491">
          <cell r="A3491">
            <v>0</v>
          </cell>
        </row>
        <row r="3492">
          <cell r="A3492">
            <v>0</v>
          </cell>
        </row>
        <row r="3493">
          <cell r="A3493">
            <v>0</v>
          </cell>
        </row>
        <row r="3494">
          <cell r="A3494">
            <v>0</v>
          </cell>
        </row>
        <row r="3495">
          <cell r="A3495">
            <v>0</v>
          </cell>
        </row>
        <row r="3496">
          <cell r="A3496">
            <v>0</v>
          </cell>
        </row>
        <row r="3497">
          <cell r="A3497">
            <v>0</v>
          </cell>
        </row>
        <row r="3498">
          <cell r="A3498">
            <v>0</v>
          </cell>
        </row>
        <row r="3499">
          <cell r="A3499">
            <v>0</v>
          </cell>
        </row>
        <row r="3500">
          <cell r="A3500">
            <v>0</v>
          </cell>
        </row>
        <row r="3501">
          <cell r="A3501">
            <v>0</v>
          </cell>
        </row>
        <row r="3502">
          <cell r="A3502">
            <v>0</v>
          </cell>
        </row>
        <row r="3503">
          <cell r="A3503">
            <v>0</v>
          </cell>
        </row>
        <row r="3504">
          <cell r="A3504">
            <v>0</v>
          </cell>
        </row>
        <row r="3505">
          <cell r="A3505">
            <v>0</v>
          </cell>
        </row>
        <row r="3506">
          <cell r="A3506">
            <v>0</v>
          </cell>
        </row>
        <row r="3507">
          <cell r="A3507">
            <v>0</v>
          </cell>
        </row>
        <row r="3508">
          <cell r="A3508">
            <v>0</v>
          </cell>
        </row>
        <row r="3509">
          <cell r="A3509">
            <v>0</v>
          </cell>
        </row>
        <row r="3510">
          <cell r="A3510">
            <v>0</v>
          </cell>
        </row>
        <row r="3511">
          <cell r="A3511">
            <v>0</v>
          </cell>
        </row>
        <row r="3512">
          <cell r="A3512">
            <v>0</v>
          </cell>
        </row>
        <row r="3513">
          <cell r="A3513">
            <v>0</v>
          </cell>
        </row>
        <row r="3514">
          <cell r="A3514">
            <v>0</v>
          </cell>
        </row>
        <row r="3515">
          <cell r="A3515">
            <v>0</v>
          </cell>
        </row>
        <row r="3516">
          <cell r="A3516">
            <v>0</v>
          </cell>
        </row>
        <row r="3517">
          <cell r="A3517">
            <v>0</v>
          </cell>
        </row>
        <row r="3518">
          <cell r="A3518">
            <v>0</v>
          </cell>
        </row>
        <row r="3519">
          <cell r="A3519">
            <v>0</v>
          </cell>
        </row>
        <row r="3520">
          <cell r="A3520">
            <v>0</v>
          </cell>
        </row>
        <row r="3521">
          <cell r="A3521">
            <v>0</v>
          </cell>
        </row>
        <row r="3522">
          <cell r="A3522">
            <v>0</v>
          </cell>
        </row>
        <row r="3523">
          <cell r="A3523">
            <v>0</v>
          </cell>
        </row>
        <row r="3524">
          <cell r="A3524">
            <v>0</v>
          </cell>
        </row>
        <row r="3525">
          <cell r="A3525">
            <v>0</v>
          </cell>
        </row>
        <row r="3526">
          <cell r="A3526">
            <v>0</v>
          </cell>
        </row>
        <row r="3527">
          <cell r="A3527">
            <v>0</v>
          </cell>
        </row>
        <row r="3528">
          <cell r="A3528">
            <v>0</v>
          </cell>
        </row>
        <row r="3529">
          <cell r="A3529">
            <v>0</v>
          </cell>
        </row>
        <row r="3530">
          <cell r="A3530">
            <v>0</v>
          </cell>
        </row>
        <row r="3531">
          <cell r="A3531">
            <v>0</v>
          </cell>
        </row>
        <row r="3532">
          <cell r="A3532">
            <v>0</v>
          </cell>
        </row>
        <row r="3533">
          <cell r="A3533">
            <v>0</v>
          </cell>
        </row>
        <row r="3534">
          <cell r="A3534">
            <v>0</v>
          </cell>
        </row>
        <row r="3535">
          <cell r="A3535">
            <v>0</v>
          </cell>
        </row>
        <row r="3536">
          <cell r="A3536">
            <v>0</v>
          </cell>
        </row>
        <row r="3537">
          <cell r="A3537">
            <v>0</v>
          </cell>
        </row>
        <row r="3538">
          <cell r="A3538">
            <v>0</v>
          </cell>
        </row>
        <row r="3539">
          <cell r="A3539">
            <v>0</v>
          </cell>
        </row>
        <row r="3540">
          <cell r="A3540">
            <v>0</v>
          </cell>
        </row>
        <row r="3541">
          <cell r="A3541">
            <v>0</v>
          </cell>
        </row>
        <row r="3542">
          <cell r="A3542">
            <v>0</v>
          </cell>
        </row>
        <row r="3543">
          <cell r="A3543">
            <v>0</v>
          </cell>
        </row>
        <row r="3544">
          <cell r="A3544">
            <v>0</v>
          </cell>
        </row>
        <row r="3545">
          <cell r="A3545">
            <v>0</v>
          </cell>
        </row>
        <row r="3546">
          <cell r="A3546">
            <v>0</v>
          </cell>
        </row>
        <row r="3547">
          <cell r="A3547">
            <v>0</v>
          </cell>
        </row>
        <row r="3548">
          <cell r="A3548">
            <v>0</v>
          </cell>
        </row>
        <row r="3549">
          <cell r="A3549">
            <v>0</v>
          </cell>
        </row>
        <row r="3550">
          <cell r="A3550">
            <v>0</v>
          </cell>
        </row>
        <row r="3551">
          <cell r="A3551">
            <v>0</v>
          </cell>
        </row>
        <row r="3552">
          <cell r="A3552">
            <v>0</v>
          </cell>
        </row>
        <row r="3553">
          <cell r="A3553">
            <v>0</v>
          </cell>
        </row>
        <row r="3554">
          <cell r="A3554">
            <v>0</v>
          </cell>
        </row>
        <row r="3555">
          <cell r="A3555">
            <v>0</v>
          </cell>
        </row>
        <row r="3556">
          <cell r="A3556">
            <v>0</v>
          </cell>
        </row>
        <row r="3557">
          <cell r="A3557">
            <v>0</v>
          </cell>
        </row>
        <row r="3558">
          <cell r="A3558">
            <v>0</v>
          </cell>
        </row>
        <row r="3559">
          <cell r="A3559">
            <v>0</v>
          </cell>
        </row>
        <row r="3560">
          <cell r="A3560">
            <v>0</v>
          </cell>
        </row>
        <row r="3561">
          <cell r="A3561">
            <v>0</v>
          </cell>
        </row>
        <row r="3562">
          <cell r="A3562">
            <v>0</v>
          </cell>
        </row>
        <row r="3563">
          <cell r="A3563">
            <v>0</v>
          </cell>
        </row>
        <row r="3564">
          <cell r="A3564">
            <v>0</v>
          </cell>
        </row>
        <row r="3565">
          <cell r="A3565">
            <v>0</v>
          </cell>
        </row>
        <row r="3566">
          <cell r="A3566">
            <v>0</v>
          </cell>
        </row>
        <row r="3567">
          <cell r="A3567">
            <v>0</v>
          </cell>
        </row>
        <row r="3568">
          <cell r="A3568">
            <v>0</v>
          </cell>
        </row>
        <row r="3569">
          <cell r="A3569">
            <v>0</v>
          </cell>
        </row>
        <row r="3570">
          <cell r="A3570">
            <v>0</v>
          </cell>
        </row>
        <row r="3571">
          <cell r="A3571">
            <v>0</v>
          </cell>
        </row>
        <row r="3572">
          <cell r="A3572">
            <v>0</v>
          </cell>
        </row>
        <row r="3573">
          <cell r="A3573">
            <v>0</v>
          </cell>
        </row>
        <row r="3574">
          <cell r="A3574">
            <v>0</v>
          </cell>
        </row>
        <row r="3575">
          <cell r="A3575">
            <v>0</v>
          </cell>
        </row>
        <row r="3576">
          <cell r="A3576">
            <v>0</v>
          </cell>
        </row>
        <row r="3577">
          <cell r="A3577">
            <v>0</v>
          </cell>
        </row>
        <row r="3578">
          <cell r="A3578">
            <v>0</v>
          </cell>
        </row>
        <row r="3579">
          <cell r="A3579">
            <v>0</v>
          </cell>
        </row>
        <row r="3580">
          <cell r="A3580">
            <v>0</v>
          </cell>
        </row>
        <row r="3581">
          <cell r="A3581">
            <v>0</v>
          </cell>
        </row>
        <row r="3582">
          <cell r="A3582">
            <v>0</v>
          </cell>
        </row>
        <row r="3583">
          <cell r="A3583">
            <v>0</v>
          </cell>
        </row>
        <row r="3584">
          <cell r="A3584">
            <v>0</v>
          </cell>
        </row>
        <row r="3585">
          <cell r="A3585">
            <v>0</v>
          </cell>
        </row>
        <row r="3586">
          <cell r="A3586">
            <v>0</v>
          </cell>
        </row>
        <row r="3587">
          <cell r="A3587">
            <v>0</v>
          </cell>
        </row>
        <row r="3588">
          <cell r="A3588">
            <v>0</v>
          </cell>
        </row>
        <row r="3589">
          <cell r="A3589">
            <v>0</v>
          </cell>
        </row>
        <row r="3590">
          <cell r="A3590">
            <v>0</v>
          </cell>
        </row>
        <row r="3591">
          <cell r="A3591">
            <v>0</v>
          </cell>
        </row>
        <row r="3592">
          <cell r="A3592">
            <v>0</v>
          </cell>
        </row>
        <row r="3593">
          <cell r="A3593">
            <v>0</v>
          </cell>
        </row>
        <row r="3594">
          <cell r="A3594">
            <v>0</v>
          </cell>
        </row>
        <row r="3595">
          <cell r="A3595">
            <v>0</v>
          </cell>
        </row>
        <row r="3596">
          <cell r="A3596">
            <v>0</v>
          </cell>
        </row>
        <row r="3597">
          <cell r="A3597">
            <v>0</v>
          </cell>
        </row>
        <row r="3598">
          <cell r="A3598">
            <v>0</v>
          </cell>
        </row>
        <row r="3599">
          <cell r="A3599">
            <v>0</v>
          </cell>
        </row>
        <row r="3600">
          <cell r="A3600">
            <v>0</v>
          </cell>
        </row>
        <row r="3601">
          <cell r="A3601">
            <v>0</v>
          </cell>
        </row>
        <row r="3602">
          <cell r="A3602">
            <v>0</v>
          </cell>
        </row>
        <row r="3603">
          <cell r="A3603">
            <v>0</v>
          </cell>
        </row>
        <row r="3604">
          <cell r="A3604">
            <v>0</v>
          </cell>
        </row>
        <row r="3605">
          <cell r="A3605">
            <v>0</v>
          </cell>
        </row>
        <row r="3606">
          <cell r="A3606">
            <v>0</v>
          </cell>
        </row>
        <row r="3607">
          <cell r="A3607">
            <v>0</v>
          </cell>
        </row>
        <row r="3608">
          <cell r="A3608">
            <v>0</v>
          </cell>
        </row>
        <row r="3609">
          <cell r="A3609">
            <v>0</v>
          </cell>
        </row>
        <row r="3610">
          <cell r="A3610">
            <v>0</v>
          </cell>
        </row>
        <row r="3611">
          <cell r="A3611">
            <v>0</v>
          </cell>
        </row>
        <row r="3612">
          <cell r="A3612">
            <v>0</v>
          </cell>
        </row>
        <row r="3613">
          <cell r="A3613">
            <v>0</v>
          </cell>
        </row>
        <row r="3614">
          <cell r="A3614">
            <v>0</v>
          </cell>
        </row>
        <row r="3615">
          <cell r="A3615">
            <v>0</v>
          </cell>
        </row>
        <row r="3616">
          <cell r="A3616">
            <v>0</v>
          </cell>
        </row>
        <row r="3617">
          <cell r="A3617">
            <v>0</v>
          </cell>
        </row>
        <row r="3618">
          <cell r="A3618">
            <v>0</v>
          </cell>
        </row>
        <row r="3619">
          <cell r="A3619">
            <v>0</v>
          </cell>
        </row>
        <row r="3620">
          <cell r="A3620">
            <v>0</v>
          </cell>
        </row>
        <row r="3621">
          <cell r="A3621">
            <v>0</v>
          </cell>
        </row>
        <row r="3622">
          <cell r="A3622">
            <v>0</v>
          </cell>
        </row>
        <row r="3623">
          <cell r="A3623">
            <v>0</v>
          </cell>
        </row>
        <row r="3624">
          <cell r="A3624">
            <v>0</v>
          </cell>
        </row>
        <row r="3625">
          <cell r="A3625">
            <v>0</v>
          </cell>
        </row>
        <row r="3626">
          <cell r="A3626">
            <v>0</v>
          </cell>
        </row>
        <row r="3627">
          <cell r="A3627">
            <v>0</v>
          </cell>
        </row>
        <row r="3628">
          <cell r="A3628">
            <v>0</v>
          </cell>
        </row>
        <row r="3629">
          <cell r="A3629">
            <v>0</v>
          </cell>
        </row>
        <row r="3630">
          <cell r="A3630">
            <v>0</v>
          </cell>
        </row>
        <row r="3631">
          <cell r="A3631">
            <v>0</v>
          </cell>
        </row>
        <row r="3632">
          <cell r="A3632">
            <v>0</v>
          </cell>
        </row>
        <row r="3633">
          <cell r="A3633">
            <v>0</v>
          </cell>
        </row>
        <row r="3634">
          <cell r="A3634">
            <v>0</v>
          </cell>
        </row>
        <row r="3635">
          <cell r="A3635">
            <v>0</v>
          </cell>
        </row>
        <row r="3636">
          <cell r="A3636">
            <v>0</v>
          </cell>
        </row>
        <row r="3637">
          <cell r="A3637">
            <v>0</v>
          </cell>
        </row>
        <row r="3638">
          <cell r="A3638">
            <v>0</v>
          </cell>
        </row>
        <row r="3639">
          <cell r="A3639">
            <v>0</v>
          </cell>
        </row>
        <row r="3640">
          <cell r="A3640">
            <v>0</v>
          </cell>
        </row>
        <row r="3641">
          <cell r="A3641">
            <v>0</v>
          </cell>
        </row>
        <row r="3642">
          <cell r="A3642">
            <v>0</v>
          </cell>
        </row>
        <row r="3643">
          <cell r="A3643">
            <v>0</v>
          </cell>
        </row>
        <row r="3644">
          <cell r="A3644">
            <v>0</v>
          </cell>
        </row>
        <row r="3645">
          <cell r="A3645">
            <v>0</v>
          </cell>
        </row>
        <row r="3646">
          <cell r="A3646">
            <v>0</v>
          </cell>
        </row>
        <row r="3647">
          <cell r="A3647">
            <v>0</v>
          </cell>
        </row>
        <row r="3648">
          <cell r="A3648">
            <v>0</v>
          </cell>
        </row>
        <row r="3649">
          <cell r="A3649">
            <v>0</v>
          </cell>
        </row>
        <row r="3650">
          <cell r="A3650">
            <v>0</v>
          </cell>
        </row>
        <row r="3651">
          <cell r="A3651">
            <v>0</v>
          </cell>
        </row>
        <row r="3652">
          <cell r="A3652">
            <v>0</v>
          </cell>
        </row>
        <row r="3653">
          <cell r="A3653">
            <v>0</v>
          </cell>
        </row>
        <row r="3654">
          <cell r="A3654">
            <v>0</v>
          </cell>
        </row>
        <row r="3655">
          <cell r="A3655">
            <v>0</v>
          </cell>
        </row>
        <row r="3656">
          <cell r="A3656">
            <v>0</v>
          </cell>
        </row>
        <row r="3657">
          <cell r="A3657">
            <v>0</v>
          </cell>
        </row>
        <row r="3658">
          <cell r="A3658">
            <v>0</v>
          </cell>
        </row>
        <row r="3659">
          <cell r="A3659">
            <v>0</v>
          </cell>
        </row>
        <row r="3660">
          <cell r="A3660">
            <v>0</v>
          </cell>
        </row>
        <row r="3661">
          <cell r="A3661">
            <v>0</v>
          </cell>
        </row>
        <row r="3662">
          <cell r="A3662">
            <v>0</v>
          </cell>
        </row>
        <row r="3663">
          <cell r="A3663">
            <v>0</v>
          </cell>
        </row>
        <row r="3664">
          <cell r="A3664">
            <v>0</v>
          </cell>
        </row>
        <row r="3665">
          <cell r="A3665">
            <v>0</v>
          </cell>
        </row>
        <row r="3666">
          <cell r="A3666">
            <v>0</v>
          </cell>
        </row>
        <row r="3667">
          <cell r="A3667">
            <v>0</v>
          </cell>
        </row>
        <row r="3668">
          <cell r="A3668">
            <v>0</v>
          </cell>
        </row>
        <row r="3669">
          <cell r="A3669">
            <v>0</v>
          </cell>
        </row>
        <row r="3670">
          <cell r="A3670">
            <v>0</v>
          </cell>
        </row>
        <row r="3671">
          <cell r="A3671">
            <v>0</v>
          </cell>
        </row>
        <row r="3672">
          <cell r="A3672">
            <v>0</v>
          </cell>
        </row>
        <row r="3673">
          <cell r="A3673">
            <v>0</v>
          </cell>
        </row>
        <row r="3674">
          <cell r="A3674">
            <v>0</v>
          </cell>
        </row>
        <row r="3675">
          <cell r="A3675">
            <v>0</v>
          </cell>
        </row>
        <row r="3676">
          <cell r="A3676">
            <v>0</v>
          </cell>
        </row>
        <row r="3677">
          <cell r="A3677">
            <v>0</v>
          </cell>
        </row>
        <row r="3678">
          <cell r="A3678">
            <v>0</v>
          </cell>
        </row>
        <row r="3679">
          <cell r="A3679">
            <v>0</v>
          </cell>
        </row>
        <row r="3680">
          <cell r="A3680">
            <v>0</v>
          </cell>
        </row>
        <row r="3681">
          <cell r="A3681">
            <v>0</v>
          </cell>
        </row>
        <row r="3682">
          <cell r="A3682">
            <v>0</v>
          </cell>
        </row>
        <row r="3683">
          <cell r="A3683">
            <v>0</v>
          </cell>
        </row>
        <row r="3684">
          <cell r="A3684">
            <v>0</v>
          </cell>
        </row>
        <row r="3685">
          <cell r="A3685">
            <v>0</v>
          </cell>
        </row>
        <row r="3686">
          <cell r="A3686">
            <v>0</v>
          </cell>
        </row>
        <row r="3687">
          <cell r="A3687">
            <v>0</v>
          </cell>
        </row>
        <row r="3688">
          <cell r="A3688">
            <v>0</v>
          </cell>
        </row>
        <row r="3689">
          <cell r="A3689">
            <v>0</v>
          </cell>
        </row>
        <row r="3690">
          <cell r="A3690">
            <v>0</v>
          </cell>
        </row>
        <row r="3691">
          <cell r="A3691">
            <v>0</v>
          </cell>
        </row>
        <row r="3692">
          <cell r="A3692">
            <v>0</v>
          </cell>
        </row>
        <row r="3693">
          <cell r="A3693">
            <v>0</v>
          </cell>
        </row>
        <row r="3694">
          <cell r="A3694">
            <v>0</v>
          </cell>
        </row>
        <row r="3695">
          <cell r="A3695">
            <v>0</v>
          </cell>
        </row>
        <row r="3696">
          <cell r="A3696">
            <v>0</v>
          </cell>
        </row>
        <row r="3697">
          <cell r="A3697">
            <v>0</v>
          </cell>
        </row>
        <row r="3698">
          <cell r="A3698">
            <v>0</v>
          </cell>
        </row>
        <row r="3699">
          <cell r="A3699">
            <v>0</v>
          </cell>
        </row>
        <row r="3700">
          <cell r="A3700">
            <v>0</v>
          </cell>
        </row>
        <row r="3701">
          <cell r="A3701">
            <v>0</v>
          </cell>
        </row>
        <row r="3702">
          <cell r="A3702">
            <v>0</v>
          </cell>
        </row>
        <row r="3703">
          <cell r="A3703">
            <v>0</v>
          </cell>
        </row>
        <row r="3704">
          <cell r="A3704">
            <v>0</v>
          </cell>
        </row>
        <row r="3705">
          <cell r="A3705">
            <v>0</v>
          </cell>
        </row>
        <row r="3706">
          <cell r="A3706">
            <v>0</v>
          </cell>
        </row>
        <row r="3707">
          <cell r="A3707">
            <v>0</v>
          </cell>
        </row>
        <row r="3708">
          <cell r="A3708">
            <v>0</v>
          </cell>
        </row>
        <row r="3709">
          <cell r="A3709">
            <v>0</v>
          </cell>
        </row>
        <row r="3710">
          <cell r="A3710">
            <v>0</v>
          </cell>
        </row>
        <row r="3711">
          <cell r="A3711">
            <v>0</v>
          </cell>
        </row>
        <row r="3712">
          <cell r="A3712">
            <v>0</v>
          </cell>
        </row>
        <row r="3713">
          <cell r="A3713">
            <v>0</v>
          </cell>
        </row>
        <row r="3714">
          <cell r="A3714">
            <v>0</v>
          </cell>
        </row>
        <row r="3715">
          <cell r="A3715">
            <v>0</v>
          </cell>
        </row>
        <row r="3716">
          <cell r="A3716">
            <v>0</v>
          </cell>
        </row>
        <row r="3717">
          <cell r="A3717">
            <v>0</v>
          </cell>
        </row>
        <row r="3718">
          <cell r="A3718">
            <v>0</v>
          </cell>
        </row>
        <row r="3719">
          <cell r="A3719">
            <v>0</v>
          </cell>
        </row>
        <row r="3720">
          <cell r="A3720">
            <v>0</v>
          </cell>
        </row>
        <row r="3721">
          <cell r="A3721">
            <v>0</v>
          </cell>
        </row>
        <row r="3722">
          <cell r="A3722">
            <v>0</v>
          </cell>
        </row>
        <row r="3723">
          <cell r="A3723">
            <v>0</v>
          </cell>
        </row>
        <row r="3724">
          <cell r="A3724">
            <v>0</v>
          </cell>
        </row>
        <row r="3725">
          <cell r="A3725">
            <v>0</v>
          </cell>
        </row>
        <row r="3726">
          <cell r="A3726">
            <v>0</v>
          </cell>
        </row>
        <row r="3727">
          <cell r="A3727">
            <v>0</v>
          </cell>
        </row>
        <row r="3728">
          <cell r="A3728">
            <v>0</v>
          </cell>
        </row>
        <row r="3729">
          <cell r="A3729">
            <v>0</v>
          </cell>
        </row>
        <row r="3730">
          <cell r="A3730">
            <v>0</v>
          </cell>
        </row>
        <row r="3731">
          <cell r="A3731">
            <v>0</v>
          </cell>
        </row>
        <row r="3732">
          <cell r="A3732">
            <v>0</v>
          </cell>
        </row>
        <row r="3733">
          <cell r="A3733">
            <v>0</v>
          </cell>
        </row>
        <row r="3734">
          <cell r="A3734">
            <v>0</v>
          </cell>
        </row>
        <row r="3735">
          <cell r="A3735">
            <v>0</v>
          </cell>
        </row>
        <row r="3736">
          <cell r="A3736">
            <v>0</v>
          </cell>
        </row>
        <row r="3737">
          <cell r="A3737">
            <v>0</v>
          </cell>
        </row>
        <row r="3738">
          <cell r="A3738">
            <v>0</v>
          </cell>
        </row>
        <row r="3739">
          <cell r="A3739">
            <v>0</v>
          </cell>
        </row>
        <row r="3740">
          <cell r="A3740">
            <v>0</v>
          </cell>
        </row>
        <row r="3741">
          <cell r="A3741">
            <v>0</v>
          </cell>
        </row>
        <row r="3742">
          <cell r="A3742">
            <v>0</v>
          </cell>
        </row>
        <row r="3743">
          <cell r="A3743">
            <v>0</v>
          </cell>
        </row>
        <row r="3744">
          <cell r="A3744">
            <v>0</v>
          </cell>
        </row>
        <row r="3745">
          <cell r="A3745">
            <v>0</v>
          </cell>
        </row>
        <row r="3746">
          <cell r="A3746">
            <v>0</v>
          </cell>
        </row>
        <row r="3747">
          <cell r="A3747">
            <v>0</v>
          </cell>
        </row>
        <row r="3748">
          <cell r="A3748">
            <v>0</v>
          </cell>
        </row>
        <row r="3749">
          <cell r="A3749">
            <v>0</v>
          </cell>
        </row>
        <row r="3750">
          <cell r="A3750">
            <v>0</v>
          </cell>
        </row>
        <row r="3751">
          <cell r="A3751">
            <v>0</v>
          </cell>
        </row>
        <row r="3752">
          <cell r="A3752">
            <v>0</v>
          </cell>
        </row>
        <row r="3753">
          <cell r="A3753">
            <v>0</v>
          </cell>
        </row>
        <row r="3754">
          <cell r="A3754">
            <v>0</v>
          </cell>
        </row>
        <row r="3755">
          <cell r="A3755">
            <v>0</v>
          </cell>
        </row>
        <row r="3756">
          <cell r="A3756">
            <v>0</v>
          </cell>
        </row>
        <row r="3757">
          <cell r="A3757">
            <v>0</v>
          </cell>
        </row>
        <row r="3758">
          <cell r="A3758">
            <v>0</v>
          </cell>
        </row>
        <row r="3759">
          <cell r="A3759">
            <v>0</v>
          </cell>
        </row>
        <row r="3760">
          <cell r="A3760">
            <v>0</v>
          </cell>
        </row>
        <row r="3761">
          <cell r="A3761">
            <v>0</v>
          </cell>
        </row>
        <row r="3762">
          <cell r="A3762">
            <v>0</v>
          </cell>
        </row>
        <row r="3763">
          <cell r="A3763">
            <v>0</v>
          </cell>
        </row>
        <row r="3764">
          <cell r="A3764">
            <v>0</v>
          </cell>
        </row>
        <row r="3765">
          <cell r="A3765">
            <v>0</v>
          </cell>
        </row>
        <row r="3766">
          <cell r="A3766">
            <v>0</v>
          </cell>
        </row>
        <row r="3767">
          <cell r="A3767">
            <v>0</v>
          </cell>
        </row>
        <row r="3768">
          <cell r="A3768">
            <v>0</v>
          </cell>
        </row>
        <row r="3769">
          <cell r="A3769">
            <v>0</v>
          </cell>
        </row>
        <row r="3770">
          <cell r="A3770">
            <v>0</v>
          </cell>
        </row>
        <row r="3771">
          <cell r="A3771">
            <v>0</v>
          </cell>
        </row>
        <row r="3772">
          <cell r="A3772">
            <v>0</v>
          </cell>
        </row>
        <row r="3773">
          <cell r="A3773">
            <v>0</v>
          </cell>
        </row>
        <row r="3774">
          <cell r="A3774">
            <v>0</v>
          </cell>
        </row>
        <row r="3775">
          <cell r="A3775">
            <v>0</v>
          </cell>
        </row>
        <row r="3776">
          <cell r="A3776">
            <v>0</v>
          </cell>
        </row>
        <row r="3777">
          <cell r="A3777">
            <v>0</v>
          </cell>
        </row>
        <row r="3778">
          <cell r="A3778">
            <v>0</v>
          </cell>
        </row>
        <row r="3779">
          <cell r="A3779">
            <v>0</v>
          </cell>
        </row>
        <row r="3780">
          <cell r="A3780">
            <v>0</v>
          </cell>
        </row>
        <row r="3781">
          <cell r="A3781">
            <v>0</v>
          </cell>
        </row>
        <row r="3782">
          <cell r="A3782">
            <v>0</v>
          </cell>
        </row>
        <row r="3783">
          <cell r="A3783">
            <v>0</v>
          </cell>
        </row>
        <row r="3784">
          <cell r="A3784">
            <v>0</v>
          </cell>
        </row>
        <row r="3785">
          <cell r="A3785">
            <v>0</v>
          </cell>
        </row>
        <row r="3786">
          <cell r="A3786">
            <v>0</v>
          </cell>
        </row>
        <row r="3787">
          <cell r="A3787">
            <v>0</v>
          </cell>
        </row>
        <row r="3788">
          <cell r="A3788">
            <v>0</v>
          </cell>
        </row>
        <row r="3789">
          <cell r="A3789">
            <v>0</v>
          </cell>
        </row>
        <row r="3790">
          <cell r="A3790">
            <v>0</v>
          </cell>
        </row>
        <row r="3791">
          <cell r="A3791">
            <v>0</v>
          </cell>
        </row>
        <row r="3792">
          <cell r="A3792">
            <v>0</v>
          </cell>
        </row>
        <row r="3793">
          <cell r="A3793">
            <v>0</v>
          </cell>
        </row>
        <row r="3794">
          <cell r="A3794">
            <v>0</v>
          </cell>
        </row>
        <row r="3795">
          <cell r="A3795">
            <v>0</v>
          </cell>
        </row>
        <row r="3796">
          <cell r="A3796">
            <v>0</v>
          </cell>
        </row>
        <row r="3797">
          <cell r="A3797">
            <v>0</v>
          </cell>
        </row>
        <row r="3798">
          <cell r="A3798">
            <v>0</v>
          </cell>
        </row>
        <row r="3799">
          <cell r="A3799">
            <v>0</v>
          </cell>
        </row>
        <row r="3800">
          <cell r="A3800">
            <v>0</v>
          </cell>
        </row>
        <row r="3801">
          <cell r="A3801">
            <v>0</v>
          </cell>
        </row>
        <row r="3802">
          <cell r="A3802">
            <v>0</v>
          </cell>
        </row>
        <row r="3803">
          <cell r="A3803">
            <v>0</v>
          </cell>
        </row>
        <row r="3804">
          <cell r="A3804">
            <v>0</v>
          </cell>
        </row>
        <row r="3805">
          <cell r="A3805">
            <v>0</v>
          </cell>
        </row>
        <row r="3806">
          <cell r="A3806">
            <v>0</v>
          </cell>
        </row>
        <row r="3807">
          <cell r="A3807">
            <v>0</v>
          </cell>
        </row>
        <row r="3808">
          <cell r="A3808">
            <v>0</v>
          </cell>
        </row>
        <row r="3809">
          <cell r="A3809">
            <v>0</v>
          </cell>
        </row>
        <row r="3810">
          <cell r="A3810">
            <v>0</v>
          </cell>
        </row>
        <row r="3811">
          <cell r="A3811">
            <v>0</v>
          </cell>
        </row>
        <row r="3812">
          <cell r="A3812">
            <v>0</v>
          </cell>
        </row>
        <row r="3813">
          <cell r="A3813">
            <v>0</v>
          </cell>
        </row>
        <row r="3814">
          <cell r="A3814">
            <v>0</v>
          </cell>
        </row>
        <row r="3815">
          <cell r="A3815">
            <v>0</v>
          </cell>
        </row>
        <row r="3816">
          <cell r="A3816">
            <v>0</v>
          </cell>
        </row>
        <row r="3817">
          <cell r="A3817">
            <v>0</v>
          </cell>
        </row>
        <row r="3818">
          <cell r="A3818">
            <v>0</v>
          </cell>
        </row>
        <row r="3819">
          <cell r="A3819">
            <v>0</v>
          </cell>
        </row>
        <row r="3820">
          <cell r="A3820">
            <v>0</v>
          </cell>
        </row>
        <row r="3821">
          <cell r="A3821">
            <v>0</v>
          </cell>
        </row>
        <row r="3822">
          <cell r="A3822">
            <v>0</v>
          </cell>
        </row>
        <row r="3823">
          <cell r="A3823">
            <v>0</v>
          </cell>
        </row>
        <row r="3824">
          <cell r="A3824">
            <v>0</v>
          </cell>
        </row>
        <row r="3825">
          <cell r="A3825">
            <v>0</v>
          </cell>
        </row>
        <row r="3826">
          <cell r="A3826">
            <v>0</v>
          </cell>
        </row>
        <row r="3827">
          <cell r="A3827">
            <v>0</v>
          </cell>
        </row>
        <row r="3828">
          <cell r="A3828">
            <v>0</v>
          </cell>
        </row>
        <row r="3829">
          <cell r="A3829">
            <v>0</v>
          </cell>
        </row>
        <row r="3830">
          <cell r="A3830">
            <v>0</v>
          </cell>
        </row>
        <row r="3831">
          <cell r="A3831">
            <v>0</v>
          </cell>
        </row>
        <row r="3832">
          <cell r="A3832">
            <v>0</v>
          </cell>
        </row>
        <row r="3833">
          <cell r="A3833">
            <v>0</v>
          </cell>
        </row>
        <row r="3834">
          <cell r="A3834">
            <v>0</v>
          </cell>
        </row>
        <row r="3835">
          <cell r="A3835">
            <v>0</v>
          </cell>
        </row>
        <row r="3836">
          <cell r="A3836">
            <v>0</v>
          </cell>
        </row>
        <row r="3837">
          <cell r="A3837">
            <v>0</v>
          </cell>
        </row>
        <row r="3838">
          <cell r="A3838">
            <v>0</v>
          </cell>
        </row>
        <row r="3839">
          <cell r="A3839">
            <v>0</v>
          </cell>
        </row>
        <row r="3840">
          <cell r="A3840">
            <v>0</v>
          </cell>
        </row>
        <row r="3841">
          <cell r="A3841">
            <v>0</v>
          </cell>
        </row>
        <row r="3842">
          <cell r="A3842">
            <v>0</v>
          </cell>
        </row>
        <row r="3843">
          <cell r="A3843">
            <v>0</v>
          </cell>
        </row>
        <row r="3844">
          <cell r="A3844">
            <v>0</v>
          </cell>
        </row>
        <row r="3845">
          <cell r="A3845">
            <v>0</v>
          </cell>
        </row>
        <row r="3846">
          <cell r="A3846">
            <v>0</v>
          </cell>
        </row>
        <row r="3847">
          <cell r="A3847">
            <v>0</v>
          </cell>
        </row>
        <row r="3848">
          <cell r="A3848">
            <v>0</v>
          </cell>
        </row>
        <row r="3849">
          <cell r="A3849">
            <v>0</v>
          </cell>
        </row>
        <row r="3850">
          <cell r="A3850">
            <v>0</v>
          </cell>
        </row>
        <row r="3851">
          <cell r="A3851">
            <v>0</v>
          </cell>
        </row>
        <row r="3852">
          <cell r="A3852">
            <v>0</v>
          </cell>
        </row>
        <row r="3853">
          <cell r="A3853">
            <v>0</v>
          </cell>
        </row>
        <row r="3854">
          <cell r="A3854">
            <v>0</v>
          </cell>
        </row>
        <row r="3855">
          <cell r="A3855">
            <v>0</v>
          </cell>
        </row>
        <row r="3856">
          <cell r="A3856">
            <v>0</v>
          </cell>
        </row>
        <row r="3857">
          <cell r="A3857">
            <v>0</v>
          </cell>
        </row>
        <row r="3858">
          <cell r="A3858">
            <v>0</v>
          </cell>
        </row>
        <row r="3859">
          <cell r="A3859">
            <v>0</v>
          </cell>
        </row>
        <row r="3860">
          <cell r="A3860">
            <v>0</v>
          </cell>
        </row>
        <row r="3861">
          <cell r="A3861">
            <v>0</v>
          </cell>
        </row>
        <row r="3862">
          <cell r="A3862">
            <v>0</v>
          </cell>
        </row>
        <row r="3863">
          <cell r="A3863">
            <v>0</v>
          </cell>
        </row>
        <row r="3864">
          <cell r="A3864">
            <v>0</v>
          </cell>
        </row>
        <row r="3865">
          <cell r="A3865">
            <v>0</v>
          </cell>
        </row>
        <row r="3866">
          <cell r="A3866">
            <v>0</v>
          </cell>
        </row>
        <row r="3867">
          <cell r="A3867">
            <v>0</v>
          </cell>
        </row>
        <row r="3868">
          <cell r="A3868">
            <v>0</v>
          </cell>
        </row>
        <row r="3869">
          <cell r="A3869">
            <v>0</v>
          </cell>
        </row>
        <row r="3870">
          <cell r="A3870">
            <v>0</v>
          </cell>
        </row>
        <row r="3871">
          <cell r="A3871">
            <v>0</v>
          </cell>
        </row>
        <row r="3872">
          <cell r="A3872">
            <v>0</v>
          </cell>
        </row>
        <row r="3873">
          <cell r="A3873">
            <v>0</v>
          </cell>
        </row>
        <row r="3874">
          <cell r="A3874">
            <v>0</v>
          </cell>
        </row>
        <row r="3875">
          <cell r="A3875">
            <v>0</v>
          </cell>
        </row>
        <row r="3876">
          <cell r="A3876">
            <v>0</v>
          </cell>
        </row>
        <row r="3877">
          <cell r="A3877">
            <v>0</v>
          </cell>
        </row>
        <row r="3878">
          <cell r="A3878">
            <v>0</v>
          </cell>
        </row>
        <row r="3879">
          <cell r="A3879">
            <v>0</v>
          </cell>
        </row>
        <row r="3880">
          <cell r="A3880">
            <v>0</v>
          </cell>
        </row>
        <row r="3881">
          <cell r="A3881">
            <v>0</v>
          </cell>
        </row>
        <row r="3882">
          <cell r="A3882">
            <v>0</v>
          </cell>
        </row>
        <row r="3883">
          <cell r="A3883">
            <v>0</v>
          </cell>
        </row>
        <row r="3884">
          <cell r="A3884">
            <v>0</v>
          </cell>
        </row>
        <row r="3885">
          <cell r="A3885">
            <v>0</v>
          </cell>
        </row>
        <row r="3886">
          <cell r="A3886">
            <v>0</v>
          </cell>
        </row>
        <row r="3887">
          <cell r="A3887">
            <v>0</v>
          </cell>
        </row>
        <row r="3888">
          <cell r="A3888">
            <v>0</v>
          </cell>
        </row>
        <row r="3889">
          <cell r="A3889">
            <v>0</v>
          </cell>
        </row>
        <row r="3890">
          <cell r="A3890">
            <v>0</v>
          </cell>
        </row>
        <row r="3891">
          <cell r="A3891">
            <v>0</v>
          </cell>
        </row>
        <row r="3892">
          <cell r="A3892">
            <v>0</v>
          </cell>
        </row>
        <row r="3893">
          <cell r="A3893">
            <v>0</v>
          </cell>
        </row>
        <row r="3894">
          <cell r="A3894">
            <v>0</v>
          </cell>
        </row>
        <row r="3895">
          <cell r="A3895">
            <v>0</v>
          </cell>
        </row>
        <row r="3896">
          <cell r="A3896">
            <v>0</v>
          </cell>
        </row>
        <row r="3897">
          <cell r="A3897">
            <v>0</v>
          </cell>
        </row>
        <row r="3898">
          <cell r="A3898">
            <v>0</v>
          </cell>
        </row>
        <row r="3899">
          <cell r="A3899">
            <v>0</v>
          </cell>
        </row>
        <row r="3900">
          <cell r="A3900">
            <v>0</v>
          </cell>
        </row>
        <row r="3901">
          <cell r="A3901">
            <v>0</v>
          </cell>
        </row>
        <row r="3902">
          <cell r="A3902">
            <v>0</v>
          </cell>
        </row>
        <row r="3903">
          <cell r="A3903">
            <v>0</v>
          </cell>
        </row>
        <row r="3904">
          <cell r="A3904">
            <v>0</v>
          </cell>
        </row>
        <row r="3905">
          <cell r="A3905">
            <v>0</v>
          </cell>
        </row>
        <row r="3906">
          <cell r="A3906">
            <v>0</v>
          </cell>
        </row>
        <row r="3907">
          <cell r="A3907">
            <v>0</v>
          </cell>
        </row>
        <row r="3908">
          <cell r="A3908">
            <v>0</v>
          </cell>
        </row>
        <row r="3909">
          <cell r="A3909">
            <v>0</v>
          </cell>
        </row>
        <row r="3910">
          <cell r="A3910">
            <v>0</v>
          </cell>
        </row>
        <row r="3911">
          <cell r="A3911">
            <v>0</v>
          </cell>
        </row>
        <row r="3912">
          <cell r="A3912">
            <v>0</v>
          </cell>
        </row>
        <row r="3913">
          <cell r="A3913">
            <v>0</v>
          </cell>
        </row>
        <row r="3914">
          <cell r="A3914">
            <v>0</v>
          </cell>
        </row>
        <row r="3915">
          <cell r="A3915">
            <v>0</v>
          </cell>
        </row>
        <row r="3916">
          <cell r="A3916">
            <v>0</v>
          </cell>
        </row>
        <row r="3917">
          <cell r="A3917">
            <v>0</v>
          </cell>
        </row>
        <row r="3918">
          <cell r="A3918">
            <v>0</v>
          </cell>
        </row>
        <row r="3919">
          <cell r="A3919">
            <v>0</v>
          </cell>
        </row>
        <row r="3920">
          <cell r="A3920">
            <v>0</v>
          </cell>
        </row>
        <row r="3921">
          <cell r="A3921">
            <v>0</v>
          </cell>
        </row>
        <row r="3922">
          <cell r="A3922">
            <v>0</v>
          </cell>
        </row>
        <row r="3923">
          <cell r="A3923">
            <v>0</v>
          </cell>
        </row>
        <row r="3924">
          <cell r="A3924">
            <v>0</v>
          </cell>
        </row>
        <row r="3925">
          <cell r="A3925">
            <v>0</v>
          </cell>
        </row>
        <row r="3926">
          <cell r="A3926">
            <v>0</v>
          </cell>
        </row>
        <row r="3927">
          <cell r="A3927">
            <v>0</v>
          </cell>
        </row>
        <row r="3928">
          <cell r="A3928">
            <v>0</v>
          </cell>
        </row>
        <row r="3929">
          <cell r="A3929">
            <v>0</v>
          </cell>
        </row>
        <row r="3930">
          <cell r="A3930">
            <v>0</v>
          </cell>
        </row>
        <row r="3931">
          <cell r="A3931">
            <v>0</v>
          </cell>
        </row>
        <row r="3932">
          <cell r="A3932">
            <v>0</v>
          </cell>
        </row>
        <row r="3933">
          <cell r="A3933">
            <v>0</v>
          </cell>
        </row>
        <row r="3934">
          <cell r="A3934">
            <v>0</v>
          </cell>
        </row>
        <row r="3935">
          <cell r="A3935">
            <v>0</v>
          </cell>
        </row>
        <row r="3936">
          <cell r="A3936">
            <v>0</v>
          </cell>
        </row>
        <row r="3937">
          <cell r="A3937">
            <v>0</v>
          </cell>
        </row>
        <row r="3938">
          <cell r="A3938">
            <v>0</v>
          </cell>
        </row>
        <row r="3939">
          <cell r="A3939">
            <v>0</v>
          </cell>
        </row>
        <row r="3940">
          <cell r="A3940">
            <v>0</v>
          </cell>
        </row>
        <row r="3941">
          <cell r="A3941">
            <v>0</v>
          </cell>
        </row>
        <row r="3942">
          <cell r="A3942">
            <v>0</v>
          </cell>
        </row>
        <row r="3943">
          <cell r="A3943">
            <v>0</v>
          </cell>
        </row>
        <row r="3944">
          <cell r="A3944">
            <v>0</v>
          </cell>
        </row>
        <row r="3945">
          <cell r="A3945">
            <v>0</v>
          </cell>
        </row>
        <row r="3946">
          <cell r="A3946">
            <v>0</v>
          </cell>
        </row>
        <row r="3947">
          <cell r="A3947">
            <v>0</v>
          </cell>
        </row>
        <row r="3948">
          <cell r="A3948">
            <v>0</v>
          </cell>
        </row>
        <row r="3949">
          <cell r="A3949">
            <v>0</v>
          </cell>
        </row>
        <row r="3950">
          <cell r="A3950">
            <v>0</v>
          </cell>
        </row>
        <row r="3951">
          <cell r="A3951">
            <v>0</v>
          </cell>
        </row>
        <row r="3952">
          <cell r="A3952">
            <v>0</v>
          </cell>
        </row>
        <row r="3953">
          <cell r="A3953">
            <v>0</v>
          </cell>
        </row>
        <row r="3954">
          <cell r="A3954">
            <v>0</v>
          </cell>
        </row>
        <row r="3955">
          <cell r="A3955">
            <v>0</v>
          </cell>
        </row>
        <row r="3956">
          <cell r="A3956">
            <v>0</v>
          </cell>
        </row>
        <row r="3957">
          <cell r="A3957">
            <v>0</v>
          </cell>
        </row>
        <row r="3958">
          <cell r="A3958">
            <v>0</v>
          </cell>
        </row>
        <row r="3959">
          <cell r="A3959">
            <v>0</v>
          </cell>
        </row>
        <row r="3960">
          <cell r="A3960">
            <v>0</v>
          </cell>
        </row>
        <row r="3961">
          <cell r="A3961">
            <v>0</v>
          </cell>
        </row>
        <row r="3962">
          <cell r="A3962">
            <v>0</v>
          </cell>
        </row>
        <row r="3963">
          <cell r="A3963">
            <v>0</v>
          </cell>
        </row>
        <row r="3964">
          <cell r="A3964">
            <v>0</v>
          </cell>
        </row>
        <row r="3965">
          <cell r="A3965">
            <v>0</v>
          </cell>
        </row>
        <row r="3966">
          <cell r="A3966">
            <v>0</v>
          </cell>
        </row>
        <row r="3967">
          <cell r="A3967">
            <v>0</v>
          </cell>
        </row>
        <row r="3968">
          <cell r="A3968">
            <v>0</v>
          </cell>
        </row>
        <row r="3969">
          <cell r="A3969">
            <v>0</v>
          </cell>
        </row>
        <row r="3970">
          <cell r="A3970">
            <v>0</v>
          </cell>
        </row>
        <row r="3971">
          <cell r="A3971">
            <v>0</v>
          </cell>
        </row>
        <row r="3972">
          <cell r="A3972">
            <v>0</v>
          </cell>
        </row>
        <row r="3973">
          <cell r="A3973">
            <v>0</v>
          </cell>
        </row>
        <row r="3974">
          <cell r="A3974">
            <v>0</v>
          </cell>
        </row>
        <row r="3975">
          <cell r="A3975">
            <v>0</v>
          </cell>
        </row>
        <row r="3976">
          <cell r="A3976">
            <v>0</v>
          </cell>
        </row>
        <row r="3977">
          <cell r="A3977">
            <v>0</v>
          </cell>
        </row>
        <row r="3978">
          <cell r="A3978">
            <v>0</v>
          </cell>
        </row>
        <row r="3979">
          <cell r="A3979">
            <v>0</v>
          </cell>
        </row>
        <row r="3980">
          <cell r="A3980">
            <v>0</v>
          </cell>
        </row>
        <row r="3981">
          <cell r="A3981">
            <v>0</v>
          </cell>
        </row>
        <row r="3982">
          <cell r="A3982">
            <v>0</v>
          </cell>
        </row>
        <row r="3983">
          <cell r="A3983">
            <v>0</v>
          </cell>
        </row>
        <row r="3984">
          <cell r="A3984">
            <v>0</v>
          </cell>
        </row>
        <row r="3985">
          <cell r="A3985">
            <v>0</v>
          </cell>
        </row>
        <row r="3986">
          <cell r="A3986">
            <v>0</v>
          </cell>
        </row>
        <row r="3987">
          <cell r="A3987">
            <v>0</v>
          </cell>
        </row>
        <row r="3988">
          <cell r="A3988">
            <v>0</v>
          </cell>
        </row>
        <row r="3989">
          <cell r="A3989">
            <v>0</v>
          </cell>
        </row>
        <row r="3990">
          <cell r="A3990">
            <v>0</v>
          </cell>
        </row>
        <row r="3991">
          <cell r="A3991">
            <v>0</v>
          </cell>
        </row>
        <row r="3992">
          <cell r="A3992">
            <v>0</v>
          </cell>
        </row>
        <row r="3993">
          <cell r="A3993">
            <v>0</v>
          </cell>
        </row>
        <row r="3994">
          <cell r="A3994">
            <v>0</v>
          </cell>
        </row>
        <row r="3995">
          <cell r="A3995">
            <v>0</v>
          </cell>
        </row>
        <row r="3996">
          <cell r="A3996">
            <v>0</v>
          </cell>
        </row>
        <row r="3997">
          <cell r="A3997">
            <v>0</v>
          </cell>
        </row>
        <row r="3998">
          <cell r="A3998">
            <v>0</v>
          </cell>
        </row>
        <row r="3999">
          <cell r="A3999">
            <v>0</v>
          </cell>
        </row>
        <row r="4000">
          <cell r="A4000">
            <v>0</v>
          </cell>
        </row>
        <row r="4001">
          <cell r="A4001">
            <v>0</v>
          </cell>
        </row>
        <row r="4002">
          <cell r="A4002">
            <v>0</v>
          </cell>
        </row>
        <row r="4003">
          <cell r="A4003">
            <v>0</v>
          </cell>
        </row>
        <row r="4004">
          <cell r="A4004">
            <v>0</v>
          </cell>
        </row>
        <row r="4005">
          <cell r="A4005">
            <v>0</v>
          </cell>
        </row>
        <row r="4006">
          <cell r="A4006">
            <v>0</v>
          </cell>
        </row>
        <row r="4007">
          <cell r="A4007">
            <v>0</v>
          </cell>
        </row>
        <row r="4008">
          <cell r="A4008">
            <v>0</v>
          </cell>
        </row>
        <row r="4009">
          <cell r="A4009">
            <v>0</v>
          </cell>
        </row>
        <row r="4010">
          <cell r="A4010">
            <v>0</v>
          </cell>
        </row>
        <row r="4011">
          <cell r="A4011">
            <v>0</v>
          </cell>
        </row>
        <row r="4012">
          <cell r="A4012">
            <v>0</v>
          </cell>
        </row>
        <row r="4013">
          <cell r="A4013">
            <v>0</v>
          </cell>
        </row>
        <row r="4014">
          <cell r="A4014">
            <v>0</v>
          </cell>
        </row>
        <row r="4015">
          <cell r="A4015">
            <v>0</v>
          </cell>
        </row>
        <row r="4016">
          <cell r="A4016">
            <v>0</v>
          </cell>
        </row>
        <row r="4017">
          <cell r="A4017">
            <v>0</v>
          </cell>
        </row>
        <row r="4018">
          <cell r="A4018">
            <v>0</v>
          </cell>
        </row>
        <row r="4019">
          <cell r="A4019">
            <v>0</v>
          </cell>
        </row>
        <row r="4020">
          <cell r="A4020">
            <v>0</v>
          </cell>
        </row>
        <row r="4021">
          <cell r="A4021">
            <v>0</v>
          </cell>
        </row>
        <row r="4022">
          <cell r="A4022">
            <v>0</v>
          </cell>
        </row>
        <row r="4023">
          <cell r="A4023">
            <v>0</v>
          </cell>
        </row>
        <row r="4024">
          <cell r="A4024">
            <v>0</v>
          </cell>
        </row>
        <row r="4025">
          <cell r="A4025">
            <v>0</v>
          </cell>
        </row>
        <row r="4026">
          <cell r="A4026">
            <v>0</v>
          </cell>
        </row>
        <row r="4027">
          <cell r="A4027">
            <v>0</v>
          </cell>
        </row>
        <row r="4028">
          <cell r="A4028">
            <v>0</v>
          </cell>
        </row>
        <row r="4029">
          <cell r="A4029">
            <v>0</v>
          </cell>
        </row>
        <row r="4030">
          <cell r="A4030">
            <v>0</v>
          </cell>
        </row>
        <row r="4031">
          <cell r="A4031">
            <v>0</v>
          </cell>
        </row>
        <row r="4032">
          <cell r="A4032">
            <v>0</v>
          </cell>
        </row>
        <row r="4033">
          <cell r="A4033">
            <v>0</v>
          </cell>
        </row>
        <row r="4034">
          <cell r="A4034">
            <v>0</v>
          </cell>
        </row>
        <row r="4035">
          <cell r="A4035">
            <v>0</v>
          </cell>
        </row>
        <row r="4036">
          <cell r="A4036">
            <v>0</v>
          </cell>
        </row>
        <row r="4037">
          <cell r="A4037">
            <v>0</v>
          </cell>
        </row>
        <row r="4038">
          <cell r="A4038">
            <v>0</v>
          </cell>
        </row>
        <row r="4039">
          <cell r="A4039">
            <v>0</v>
          </cell>
        </row>
        <row r="4040">
          <cell r="A4040">
            <v>0</v>
          </cell>
        </row>
        <row r="4041">
          <cell r="A4041">
            <v>0</v>
          </cell>
        </row>
        <row r="4042">
          <cell r="A4042">
            <v>0</v>
          </cell>
        </row>
        <row r="4043">
          <cell r="A4043">
            <v>0</v>
          </cell>
        </row>
        <row r="4044">
          <cell r="A4044">
            <v>0</v>
          </cell>
        </row>
        <row r="4045">
          <cell r="A4045">
            <v>0</v>
          </cell>
        </row>
        <row r="4046">
          <cell r="A4046">
            <v>0</v>
          </cell>
        </row>
        <row r="4047">
          <cell r="A4047">
            <v>0</v>
          </cell>
        </row>
        <row r="4048">
          <cell r="A4048">
            <v>0</v>
          </cell>
        </row>
        <row r="4049">
          <cell r="A4049">
            <v>0</v>
          </cell>
        </row>
        <row r="4050">
          <cell r="A4050">
            <v>0</v>
          </cell>
        </row>
        <row r="4051">
          <cell r="A4051">
            <v>0</v>
          </cell>
        </row>
        <row r="4052">
          <cell r="A4052">
            <v>0</v>
          </cell>
        </row>
        <row r="4053">
          <cell r="A4053">
            <v>0</v>
          </cell>
        </row>
        <row r="4054">
          <cell r="A4054">
            <v>0</v>
          </cell>
        </row>
        <row r="4055">
          <cell r="A4055">
            <v>0</v>
          </cell>
        </row>
        <row r="4056">
          <cell r="A4056">
            <v>0</v>
          </cell>
        </row>
        <row r="4057">
          <cell r="A4057">
            <v>0</v>
          </cell>
        </row>
        <row r="4058">
          <cell r="A4058">
            <v>0</v>
          </cell>
        </row>
        <row r="4059">
          <cell r="A4059">
            <v>0</v>
          </cell>
        </row>
        <row r="4060">
          <cell r="A4060">
            <v>0</v>
          </cell>
        </row>
        <row r="4061">
          <cell r="A4061">
            <v>0</v>
          </cell>
        </row>
        <row r="4062">
          <cell r="A4062">
            <v>0</v>
          </cell>
        </row>
        <row r="4063">
          <cell r="A4063">
            <v>0</v>
          </cell>
        </row>
        <row r="4064">
          <cell r="A4064">
            <v>0</v>
          </cell>
        </row>
        <row r="4065">
          <cell r="A4065">
            <v>0</v>
          </cell>
        </row>
        <row r="4066">
          <cell r="A4066">
            <v>0</v>
          </cell>
        </row>
        <row r="4067">
          <cell r="A4067">
            <v>0</v>
          </cell>
        </row>
        <row r="4068">
          <cell r="A4068">
            <v>0</v>
          </cell>
        </row>
        <row r="4069">
          <cell r="A4069">
            <v>0</v>
          </cell>
        </row>
        <row r="4070">
          <cell r="A4070">
            <v>0</v>
          </cell>
        </row>
        <row r="4071">
          <cell r="A4071">
            <v>0</v>
          </cell>
        </row>
        <row r="4072">
          <cell r="A4072">
            <v>0</v>
          </cell>
        </row>
        <row r="4073">
          <cell r="A4073">
            <v>0</v>
          </cell>
        </row>
        <row r="4074">
          <cell r="A4074">
            <v>0</v>
          </cell>
        </row>
        <row r="4075">
          <cell r="A4075">
            <v>0</v>
          </cell>
        </row>
        <row r="4076">
          <cell r="A4076">
            <v>0</v>
          </cell>
        </row>
        <row r="4077">
          <cell r="A4077">
            <v>0</v>
          </cell>
        </row>
        <row r="4078">
          <cell r="A4078">
            <v>0</v>
          </cell>
        </row>
        <row r="4079">
          <cell r="A4079">
            <v>0</v>
          </cell>
        </row>
        <row r="4080">
          <cell r="A4080">
            <v>0</v>
          </cell>
        </row>
        <row r="4081">
          <cell r="A4081">
            <v>0</v>
          </cell>
        </row>
        <row r="4082">
          <cell r="A4082">
            <v>0</v>
          </cell>
        </row>
        <row r="4083">
          <cell r="A4083">
            <v>0</v>
          </cell>
        </row>
        <row r="4084">
          <cell r="A4084">
            <v>0</v>
          </cell>
        </row>
        <row r="4085">
          <cell r="A4085">
            <v>0</v>
          </cell>
        </row>
        <row r="4086">
          <cell r="A4086">
            <v>0</v>
          </cell>
        </row>
        <row r="4087">
          <cell r="A4087">
            <v>0</v>
          </cell>
        </row>
        <row r="4088">
          <cell r="A4088">
            <v>0</v>
          </cell>
        </row>
        <row r="4089">
          <cell r="A4089">
            <v>0</v>
          </cell>
        </row>
        <row r="4090">
          <cell r="A4090">
            <v>0</v>
          </cell>
        </row>
        <row r="4091">
          <cell r="A4091">
            <v>0</v>
          </cell>
        </row>
        <row r="4092">
          <cell r="A4092">
            <v>0</v>
          </cell>
        </row>
        <row r="4093">
          <cell r="A4093">
            <v>0</v>
          </cell>
        </row>
        <row r="4094">
          <cell r="A4094">
            <v>0</v>
          </cell>
        </row>
        <row r="4095">
          <cell r="A4095">
            <v>0</v>
          </cell>
        </row>
        <row r="4096">
          <cell r="A4096">
            <v>0</v>
          </cell>
        </row>
        <row r="4097">
          <cell r="A4097">
            <v>0</v>
          </cell>
        </row>
        <row r="4098">
          <cell r="A4098">
            <v>0</v>
          </cell>
        </row>
        <row r="4099">
          <cell r="A4099">
            <v>0</v>
          </cell>
        </row>
        <row r="4100">
          <cell r="A4100">
            <v>0</v>
          </cell>
        </row>
        <row r="4101">
          <cell r="A4101">
            <v>0</v>
          </cell>
        </row>
        <row r="4102">
          <cell r="A4102">
            <v>0</v>
          </cell>
        </row>
        <row r="4103">
          <cell r="A4103">
            <v>0</v>
          </cell>
        </row>
        <row r="4104">
          <cell r="A4104">
            <v>0</v>
          </cell>
        </row>
        <row r="4105">
          <cell r="A4105">
            <v>0</v>
          </cell>
        </row>
        <row r="4106">
          <cell r="A4106">
            <v>0</v>
          </cell>
        </row>
        <row r="4107">
          <cell r="A4107">
            <v>0</v>
          </cell>
        </row>
        <row r="4108">
          <cell r="A4108">
            <v>0</v>
          </cell>
        </row>
        <row r="4109">
          <cell r="A4109">
            <v>0</v>
          </cell>
        </row>
        <row r="4110">
          <cell r="A4110">
            <v>0</v>
          </cell>
        </row>
        <row r="4111">
          <cell r="A4111">
            <v>0</v>
          </cell>
        </row>
        <row r="4112">
          <cell r="A4112">
            <v>0</v>
          </cell>
        </row>
        <row r="4113">
          <cell r="A4113">
            <v>0</v>
          </cell>
        </row>
        <row r="4114">
          <cell r="A4114">
            <v>0</v>
          </cell>
        </row>
        <row r="4115">
          <cell r="A4115">
            <v>0</v>
          </cell>
        </row>
        <row r="4116">
          <cell r="A4116">
            <v>0</v>
          </cell>
        </row>
        <row r="4117">
          <cell r="A4117">
            <v>0</v>
          </cell>
        </row>
        <row r="4118">
          <cell r="A4118">
            <v>0</v>
          </cell>
        </row>
        <row r="4119">
          <cell r="A4119">
            <v>0</v>
          </cell>
        </row>
        <row r="4120">
          <cell r="A4120">
            <v>0</v>
          </cell>
        </row>
        <row r="4121">
          <cell r="A4121">
            <v>0</v>
          </cell>
        </row>
        <row r="4122">
          <cell r="A4122">
            <v>0</v>
          </cell>
        </row>
        <row r="4123">
          <cell r="A4123">
            <v>0</v>
          </cell>
        </row>
        <row r="4124">
          <cell r="A4124">
            <v>0</v>
          </cell>
        </row>
        <row r="4125">
          <cell r="A4125">
            <v>0</v>
          </cell>
        </row>
        <row r="4126">
          <cell r="A4126">
            <v>0</v>
          </cell>
        </row>
        <row r="4127">
          <cell r="A4127">
            <v>0</v>
          </cell>
        </row>
        <row r="4128">
          <cell r="A4128">
            <v>0</v>
          </cell>
        </row>
        <row r="4129">
          <cell r="A4129">
            <v>0</v>
          </cell>
        </row>
        <row r="4130">
          <cell r="A4130">
            <v>0</v>
          </cell>
        </row>
        <row r="4131">
          <cell r="A4131">
            <v>0</v>
          </cell>
        </row>
        <row r="4132">
          <cell r="A4132">
            <v>0</v>
          </cell>
        </row>
        <row r="4133">
          <cell r="A4133">
            <v>0</v>
          </cell>
        </row>
        <row r="4134">
          <cell r="A4134">
            <v>0</v>
          </cell>
        </row>
        <row r="4135">
          <cell r="A4135">
            <v>0</v>
          </cell>
        </row>
        <row r="4136">
          <cell r="A4136">
            <v>0</v>
          </cell>
        </row>
        <row r="4137">
          <cell r="A4137">
            <v>0</v>
          </cell>
        </row>
        <row r="4138">
          <cell r="A4138">
            <v>0</v>
          </cell>
        </row>
        <row r="4139">
          <cell r="A4139">
            <v>0</v>
          </cell>
        </row>
        <row r="4140">
          <cell r="A4140">
            <v>0</v>
          </cell>
        </row>
        <row r="4141">
          <cell r="A4141">
            <v>0</v>
          </cell>
        </row>
        <row r="4142">
          <cell r="A4142">
            <v>0</v>
          </cell>
        </row>
        <row r="4143">
          <cell r="A4143">
            <v>0</v>
          </cell>
        </row>
        <row r="4144">
          <cell r="A4144">
            <v>0</v>
          </cell>
        </row>
        <row r="4145">
          <cell r="A4145">
            <v>0</v>
          </cell>
        </row>
        <row r="4146">
          <cell r="A4146">
            <v>0</v>
          </cell>
        </row>
        <row r="4147">
          <cell r="A4147">
            <v>0</v>
          </cell>
        </row>
        <row r="4148">
          <cell r="A4148">
            <v>0</v>
          </cell>
        </row>
        <row r="4149">
          <cell r="A4149">
            <v>0</v>
          </cell>
        </row>
        <row r="4150">
          <cell r="A4150">
            <v>0</v>
          </cell>
        </row>
        <row r="4151">
          <cell r="A4151">
            <v>0</v>
          </cell>
        </row>
        <row r="4152">
          <cell r="A4152">
            <v>0</v>
          </cell>
        </row>
        <row r="4153">
          <cell r="A4153">
            <v>0</v>
          </cell>
        </row>
        <row r="4154">
          <cell r="A4154">
            <v>0</v>
          </cell>
        </row>
        <row r="4155">
          <cell r="A4155">
            <v>0</v>
          </cell>
        </row>
        <row r="4156">
          <cell r="A4156">
            <v>0</v>
          </cell>
        </row>
        <row r="4157">
          <cell r="A4157">
            <v>0</v>
          </cell>
        </row>
        <row r="4158">
          <cell r="A4158">
            <v>0</v>
          </cell>
        </row>
        <row r="4159">
          <cell r="A4159">
            <v>0</v>
          </cell>
        </row>
        <row r="4160">
          <cell r="A4160">
            <v>0</v>
          </cell>
        </row>
        <row r="4161">
          <cell r="A4161">
            <v>0</v>
          </cell>
        </row>
        <row r="4162">
          <cell r="A4162">
            <v>0</v>
          </cell>
        </row>
        <row r="4163">
          <cell r="A4163">
            <v>0</v>
          </cell>
        </row>
        <row r="4164">
          <cell r="A4164">
            <v>0</v>
          </cell>
        </row>
        <row r="4165">
          <cell r="A4165">
            <v>0</v>
          </cell>
        </row>
        <row r="4166">
          <cell r="A4166">
            <v>0</v>
          </cell>
        </row>
        <row r="4167">
          <cell r="A4167">
            <v>0</v>
          </cell>
        </row>
        <row r="4168">
          <cell r="A4168">
            <v>0</v>
          </cell>
        </row>
        <row r="4169">
          <cell r="A4169">
            <v>0</v>
          </cell>
        </row>
        <row r="4170">
          <cell r="A4170">
            <v>0</v>
          </cell>
        </row>
        <row r="4171">
          <cell r="A4171">
            <v>0</v>
          </cell>
        </row>
        <row r="4172">
          <cell r="A4172">
            <v>0</v>
          </cell>
        </row>
        <row r="4173">
          <cell r="A4173">
            <v>0</v>
          </cell>
        </row>
        <row r="4174">
          <cell r="A4174">
            <v>0</v>
          </cell>
        </row>
        <row r="4175">
          <cell r="A4175">
            <v>0</v>
          </cell>
        </row>
        <row r="4176">
          <cell r="A4176">
            <v>0</v>
          </cell>
        </row>
        <row r="4177">
          <cell r="A4177">
            <v>0</v>
          </cell>
        </row>
        <row r="4178">
          <cell r="A4178">
            <v>0</v>
          </cell>
        </row>
        <row r="4179">
          <cell r="A4179">
            <v>0</v>
          </cell>
        </row>
        <row r="4180">
          <cell r="A4180">
            <v>0</v>
          </cell>
        </row>
        <row r="4181">
          <cell r="A4181">
            <v>0</v>
          </cell>
        </row>
        <row r="4182">
          <cell r="A4182">
            <v>0</v>
          </cell>
        </row>
        <row r="4183">
          <cell r="A4183">
            <v>0</v>
          </cell>
        </row>
        <row r="4184">
          <cell r="A4184">
            <v>0</v>
          </cell>
        </row>
        <row r="4185">
          <cell r="A4185">
            <v>0</v>
          </cell>
        </row>
        <row r="4186">
          <cell r="A4186">
            <v>0</v>
          </cell>
        </row>
        <row r="4187">
          <cell r="A4187">
            <v>0</v>
          </cell>
        </row>
        <row r="4188">
          <cell r="A4188">
            <v>0</v>
          </cell>
        </row>
        <row r="4189">
          <cell r="A4189">
            <v>0</v>
          </cell>
        </row>
        <row r="4190">
          <cell r="A4190">
            <v>0</v>
          </cell>
        </row>
        <row r="4191">
          <cell r="A4191">
            <v>0</v>
          </cell>
        </row>
        <row r="4192">
          <cell r="A4192">
            <v>0</v>
          </cell>
        </row>
        <row r="4193">
          <cell r="A4193">
            <v>0</v>
          </cell>
        </row>
        <row r="4194">
          <cell r="A4194">
            <v>0</v>
          </cell>
        </row>
        <row r="4195">
          <cell r="A4195">
            <v>0</v>
          </cell>
        </row>
        <row r="4196">
          <cell r="A4196">
            <v>0</v>
          </cell>
        </row>
        <row r="4197">
          <cell r="A4197">
            <v>0</v>
          </cell>
        </row>
        <row r="4198">
          <cell r="A4198">
            <v>0</v>
          </cell>
        </row>
        <row r="4199">
          <cell r="A4199">
            <v>0</v>
          </cell>
        </row>
        <row r="4200">
          <cell r="A4200">
            <v>0</v>
          </cell>
        </row>
        <row r="4201">
          <cell r="A4201">
            <v>0</v>
          </cell>
        </row>
        <row r="4202">
          <cell r="A4202">
            <v>0</v>
          </cell>
        </row>
        <row r="4203">
          <cell r="A4203">
            <v>0</v>
          </cell>
        </row>
        <row r="4204">
          <cell r="A4204">
            <v>0</v>
          </cell>
        </row>
        <row r="4205">
          <cell r="A4205">
            <v>0</v>
          </cell>
        </row>
        <row r="4206">
          <cell r="A4206">
            <v>0</v>
          </cell>
        </row>
        <row r="4207">
          <cell r="A4207">
            <v>0</v>
          </cell>
        </row>
        <row r="4208">
          <cell r="A4208">
            <v>0</v>
          </cell>
        </row>
        <row r="4209">
          <cell r="A4209">
            <v>0</v>
          </cell>
        </row>
        <row r="4210">
          <cell r="A4210">
            <v>0</v>
          </cell>
        </row>
        <row r="4211">
          <cell r="A4211">
            <v>0</v>
          </cell>
        </row>
        <row r="4212">
          <cell r="A4212">
            <v>0</v>
          </cell>
        </row>
        <row r="4213">
          <cell r="A4213">
            <v>0</v>
          </cell>
        </row>
        <row r="4214">
          <cell r="A4214">
            <v>0</v>
          </cell>
        </row>
        <row r="4215">
          <cell r="A4215">
            <v>0</v>
          </cell>
        </row>
        <row r="4216">
          <cell r="A4216">
            <v>0</v>
          </cell>
        </row>
        <row r="4217">
          <cell r="A4217">
            <v>0</v>
          </cell>
        </row>
        <row r="4218">
          <cell r="A4218">
            <v>0</v>
          </cell>
        </row>
        <row r="4219">
          <cell r="A4219">
            <v>0</v>
          </cell>
        </row>
        <row r="4220">
          <cell r="A4220">
            <v>0</v>
          </cell>
        </row>
        <row r="4221">
          <cell r="A4221">
            <v>0</v>
          </cell>
        </row>
        <row r="4222">
          <cell r="A4222">
            <v>0</v>
          </cell>
        </row>
        <row r="4223">
          <cell r="A4223">
            <v>0</v>
          </cell>
        </row>
        <row r="4224">
          <cell r="A4224">
            <v>0</v>
          </cell>
        </row>
        <row r="4225">
          <cell r="A4225">
            <v>0</v>
          </cell>
        </row>
        <row r="4226">
          <cell r="A4226">
            <v>0</v>
          </cell>
        </row>
        <row r="4227">
          <cell r="A4227">
            <v>0</v>
          </cell>
        </row>
        <row r="4228">
          <cell r="A4228">
            <v>0</v>
          </cell>
        </row>
        <row r="4229">
          <cell r="A4229">
            <v>0</v>
          </cell>
        </row>
        <row r="4230">
          <cell r="A4230">
            <v>0</v>
          </cell>
        </row>
        <row r="4231">
          <cell r="A4231">
            <v>0</v>
          </cell>
        </row>
        <row r="4232">
          <cell r="A4232">
            <v>0</v>
          </cell>
        </row>
        <row r="4233">
          <cell r="A4233">
            <v>0</v>
          </cell>
        </row>
        <row r="4234">
          <cell r="A4234">
            <v>0</v>
          </cell>
        </row>
        <row r="4235">
          <cell r="A4235">
            <v>0</v>
          </cell>
        </row>
        <row r="4236">
          <cell r="A4236">
            <v>0</v>
          </cell>
        </row>
        <row r="4237">
          <cell r="A4237">
            <v>0</v>
          </cell>
        </row>
        <row r="4238">
          <cell r="A4238">
            <v>0</v>
          </cell>
        </row>
        <row r="4239">
          <cell r="A4239">
            <v>0</v>
          </cell>
        </row>
        <row r="4240">
          <cell r="A4240">
            <v>0</v>
          </cell>
        </row>
        <row r="4241">
          <cell r="A4241">
            <v>0</v>
          </cell>
        </row>
        <row r="4242">
          <cell r="A4242">
            <v>0</v>
          </cell>
        </row>
        <row r="4243">
          <cell r="A4243">
            <v>0</v>
          </cell>
        </row>
        <row r="4244">
          <cell r="A4244">
            <v>0</v>
          </cell>
        </row>
        <row r="4245">
          <cell r="A4245">
            <v>0</v>
          </cell>
        </row>
        <row r="4246">
          <cell r="A4246">
            <v>0</v>
          </cell>
        </row>
        <row r="4247">
          <cell r="A4247">
            <v>0</v>
          </cell>
        </row>
        <row r="4248">
          <cell r="A4248">
            <v>0</v>
          </cell>
        </row>
        <row r="4249">
          <cell r="A4249">
            <v>0</v>
          </cell>
        </row>
        <row r="4250">
          <cell r="A4250">
            <v>0</v>
          </cell>
        </row>
        <row r="4251">
          <cell r="A4251">
            <v>0</v>
          </cell>
        </row>
        <row r="4252">
          <cell r="A4252">
            <v>0</v>
          </cell>
        </row>
        <row r="4253">
          <cell r="A4253">
            <v>0</v>
          </cell>
        </row>
        <row r="4254">
          <cell r="A4254">
            <v>0</v>
          </cell>
        </row>
        <row r="4255">
          <cell r="A4255">
            <v>0</v>
          </cell>
        </row>
        <row r="4256">
          <cell r="A4256">
            <v>0</v>
          </cell>
        </row>
        <row r="4257">
          <cell r="A4257">
            <v>0</v>
          </cell>
        </row>
        <row r="4258">
          <cell r="A4258">
            <v>0</v>
          </cell>
        </row>
        <row r="4259">
          <cell r="A4259">
            <v>0</v>
          </cell>
        </row>
        <row r="4260">
          <cell r="A4260">
            <v>0</v>
          </cell>
        </row>
        <row r="4261">
          <cell r="A4261">
            <v>0</v>
          </cell>
        </row>
        <row r="4262">
          <cell r="A4262">
            <v>0</v>
          </cell>
        </row>
        <row r="4263">
          <cell r="A4263">
            <v>0</v>
          </cell>
        </row>
        <row r="4264">
          <cell r="A4264">
            <v>0</v>
          </cell>
        </row>
        <row r="4265">
          <cell r="A4265">
            <v>0</v>
          </cell>
        </row>
        <row r="4266">
          <cell r="A4266">
            <v>0</v>
          </cell>
        </row>
        <row r="4267">
          <cell r="A4267">
            <v>0</v>
          </cell>
        </row>
        <row r="4268">
          <cell r="A4268">
            <v>0</v>
          </cell>
        </row>
        <row r="4269">
          <cell r="A4269">
            <v>0</v>
          </cell>
        </row>
        <row r="4270">
          <cell r="A4270">
            <v>0</v>
          </cell>
        </row>
        <row r="4271">
          <cell r="A4271">
            <v>0</v>
          </cell>
        </row>
        <row r="4272">
          <cell r="A4272">
            <v>0</v>
          </cell>
        </row>
        <row r="4273">
          <cell r="A4273">
            <v>0</v>
          </cell>
        </row>
        <row r="4274">
          <cell r="A4274">
            <v>0</v>
          </cell>
        </row>
        <row r="4275">
          <cell r="A4275">
            <v>0</v>
          </cell>
        </row>
        <row r="4276">
          <cell r="A4276">
            <v>0</v>
          </cell>
        </row>
        <row r="4277">
          <cell r="A4277">
            <v>0</v>
          </cell>
        </row>
        <row r="4278">
          <cell r="A4278">
            <v>0</v>
          </cell>
        </row>
        <row r="4279">
          <cell r="A4279">
            <v>0</v>
          </cell>
        </row>
        <row r="4280">
          <cell r="A4280">
            <v>0</v>
          </cell>
        </row>
        <row r="4281">
          <cell r="A4281">
            <v>0</v>
          </cell>
        </row>
        <row r="4282">
          <cell r="A4282">
            <v>0</v>
          </cell>
        </row>
        <row r="4283">
          <cell r="A4283">
            <v>0</v>
          </cell>
        </row>
        <row r="4284">
          <cell r="A4284">
            <v>0</v>
          </cell>
        </row>
        <row r="4285">
          <cell r="A4285">
            <v>0</v>
          </cell>
        </row>
        <row r="4286">
          <cell r="A4286">
            <v>0</v>
          </cell>
        </row>
        <row r="4287">
          <cell r="A4287">
            <v>0</v>
          </cell>
        </row>
        <row r="4288">
          <cell r="A4288">
            <v>0</v>
          </cell>
        </row>
        <row r="4289">
          <cell r="A4289">
            <v>0</v>
          </cell>
        </row>
        <row r="4290">
          <cell r="A4290">
            <v>0</v>
          </cell>
        </row>
        <row r="4291">
          <cell r="A4291">
            <v>0</v>
          </cell>
        </row>
        <row r="4292">
          <cell r="A4292">
            <v>0</v>
          </cell>
        </row>
        <row r="4293">
          <cell r="A4293">
            <v>0</v>
          </cell>
        </row>
        <row r="4294">
          <cell r="A4294">
            <v>0</v>
          </cell>
        </row>
        <row r="4295">
          <cell r="A4295">
            <v>0</v>
          </cell>
        </row>
        <row r="4296">
          <cell r="A4296">
            <v>0</v>
          </cell>
        </row>
        <row r="4297">
          <cell r="A4297">
            <v>0</v>
          </cell>
        </row>
        <row r="4298">
          <cell r="A4298">
            <v>0</v>
          </cell>
        </row>
        <row r="4299">
          <cell r="A4299">
            <v>0</v>
          </cell>
        </row>
        <row r="4300">
          <cell r="A4300">
            <v>0</v>
          </cell>
        </row>
        <row r="4301">
          <cell r="A4301">
            <v>0</v>
          </cell>
        </row>
        <row r="4302">
          <cell r="A4302">
            <v>0</v>
          </cell>
        </row>
        <row r="4303">
          <cell r="A4303">
            <v>0</v>
          </cell>
        </row>
        <row r="4304">
          <cell r="A4304">
            <v>0</v>
          </cell>
        </row>
        <row r="4305">
          <cell r="A4305">
            <v>0</v>
          </cell>
        </row>
        <row r="4306">
          <cell r="A4306">
            <v>0</v>
          </cell>
        </row>
        <row r="4307">
          <cell r="A4307">
            <v>0</v>
          </cell>
        </row>
        <row r="4308">
          <cell r="A4308">
            <v>0</v>
          </cell>
        </row>
        <row r="4309">
          <cell r="A4309">
            <v>0</v>
          </cell>
        </row>
        <row r="4310">
          <cell r="A4310">
            <v>0</v>
          </cell>
        </row>
        <row r="4311">
          <cell r="A4311">
            <v>0</v>
          </cell>
        </row>
        <row r="4312">
          <cell r="A4312">
            <v>0</v>
          </cell>
        </row>
        <row r="4313">
          <cell r="A4313">
            <v>0</v>
          </cell>
        </row>
        <row r="4314">
          <cell r="A4314">
            <v>0</v>
          </cell>
        </row>
        <row r="4315">
          <cell r="A4315">
            <v>0</v>
          </cell>
        </row>
        <row r="4316">
          <cell r="A4316">
            <v>0</v>
          </cell>
        </row>
        <row r="4317">
          <cell r="A4317">
            <v>0</v>
          </cell>
        </row>
        <row r="4318">
          <cell r="A4318">
            <v>0</v>
          </cell>
        </row>
        <row r="4319">
          <cell r="A4319">
            <v>0</v>
          </cell>
        </row>
        <row r="4320">
          <cell r="A4320">
            <v>0</v>
          </cell>
        </row>
        <row r="4321">
          <cell r="A4321">
            <v>0</v>
          </cell>
        </row>
        <row r="4322">
          <cell r="A4322">
            <v>0</v>
          </cell>
        </row>
        <row r="4323">
          <cell r="A4323">
            <v>0</v>
          </cell>
        </row>
        <row r="4324">
          <cell r="A4324">
            <v>0</v>
          </cell>
        </row>
        <row r="4325">
          <cell r="A4325">
            <v>0</v>
          </cell>
        </row>
        <row r="4326">
          <cell r="A4326">
            <v>0</v>
          </cell>
        </row>
        <row r="4327">
          <cell r="A4327">
            <v>0</v>
          </cell>
        </row>
        <row r="4328">
          <cell r="A4328">
            <v>0</v>
          </cell>
        </row>
        <row r="4329">
          <cell r="A4329">
            <v>0</v>
          </cell>
        </row>
        <row r="4330">
          <cell r="A4330">
            <v>0</v>
          </cell>
        </row>
        <row r="4331">
          <cell r="A4331">
            <v>0</v>
          </cell>
        </row>
        <row r="4332">
          <cell r="A4332">
            <v>0</v>
          </cell>
        </row>
        <row r="4333">
          <cell r="A4333">
            <v>0</v>
          </cell>
        </row>
        <row r="4334">
          <cell r="A4334">
            <v>0</v>
          </cell>
        </row>
        <row r="4335">
          <cell r="A4335">
            <v>0</v>
          </cell>
        </row>
        <row r="4336">
          <cell r="A4336">
            <v>0</v>
          </cell>
        </row>
        <row r="4337">
          <cell r="A4337">
            <v>0</v>
          </cell>
        </row>
        <row r="4338">
          <cell r="A4338">
            <v>0</v>
          </cell>
        </row>
        <row r="4339">
          <cell r="A4339">
            <v>0</v>
          </cell>
        </row>
        <row r="4340">
          <cell r="A4340">
            <v>0</v>
          </cell>
        </row>
        <row r="4341">
          <cell r="A4341">
            <v>0</v>
          </cell>
        </row>
        <row r="4342">
          <cell r="A4342">
            <v>0</v>
          </cell>
        </row>
        <row r="4343">
          <cell r="A4343">
            <v>0</v>
          </cell>
        </row>
        <row r="4344">
          <cell r="A4344">
            <v>0</v>
          </cell>
        </row>
        <row r="4345">
          <cell r="A4345">
            <v>0</v>
          </cell>
        </row>
        <row r="4346">
          <cell r="A4346">
            <v>0</v>
          </cell>
        </row>
        <row r="4347">
          <cell r="A4347">
            <v>0</v>
          </cell>
        </row>
        <row r="4348">
          <cell r="A4348">
            <v>0</v>
          </cell>
        </row>
        <row r="4349">
          <cell r="A4349">
            <v>0</v>
          </cell>
        </row>
        <row r="4350">
          <cell r="A4350">
            <v>0</v>
          </cell>
        </row>
        <row r="4351">
          <cell r="A4351">
            <v>0</v>
          </cell>
        </row>
        <row r="4352">
          <cell r="A4352">
            <v>0</v>
          </cell>
        </row>
        <row r="4353">
          <cell r="A4353">
            <v>0</v>
          </cell>
        </row>
        <row r="4354">
          <cell r="A4354">
            <v>0</v>
          </cell>
        </row>
        <row r="4355">
          <cell r="A4355">
            <v>0</v>
          </cell>
        </row>
        <row r="4356">
          <cell r="A4356">
            <v>0</v>
          </cell>
        </row>
        <row r="4357">
          <cell r="A4357">
            <v>0</v>
          </cell>
        </row>
        <row r="4358">
          <cell r="A4358">
            <v>0</v>
          </cell>
        </row>
        <row r="4359">
          <cell r="A4359">
            <v>0</v>
          </cell>
        </row>
        <row r="4360">
          <cell r="A4360">
            <v>0</v>
          </cell>
        </row>
        <row r="4361">
          <cell r="A4361">
            <v>0</v>
          </cell>
        </row>
        <row r="4362">
          <cell r="A4362">
            <v>0</v>
          </cell>
        </row>
        <row r="4363">
          <cell r="A4363">
            <v>0</v>
          </cell>
        </row>
        <row r="4364">
          <cell r="A4364">
            <v>0</v>
          </cell>
        </row>
        <row r="4365">
          <cell r="A4365">
            <v>0</v>
          </cell>
        </row>
        <row r="4366">
          <cell r="A4366">
            <v>0</v>
          </cell>
        </row>
        <row r="4367">
          <cell r="A4367">
            <v>0</v>
          </cell>
        </row>
        <row r="4368">
          <cell r="A4368">
            <v>0</v>
          </cell>
        </row>
        <row r="4369">
          <cell r="A4369">
            <v>0</v>
          </cell>
        </row>
        <row r="4370">
          <cell r="A4370">
            <v>0</v>
          </cell>
        </row>
        <row r="4371">
          <cell r="A4371">
            <v>0</v>
          </cell>
        </row>
        <row r="4372">
          <cell r="A4372">
            <v>0</v>
          </cell>
        </row>
        <row r="4373">
          <cell r="A4373">
            <v>0</v>
          </cell>
        </row>
        <row r="4374">
          <cell r="A4374">
            <v>0</v>
          </cell>
        </row>
        <row r="4375">
          <cell r="A4375">
            <v>0</v>
          </cell>
        </row>
        <row r="4376">
          <cell r="A4376">
            <v>0</v>
          </cell>
        </row>
        <row r="4377">
          <cell r="A4377">
            <v>0</v>
          </cell>
        </row>
        <row r="4378">
          <cell r="A4378">
            <v>0</v>
          </cell>
        </row>
        <row r="4379">
          <cell r="A4379">
            <v>0</v>
          </cell>
        </row>
        <row r="4380">
          <cell r="A4380">
            <v>0</v>
          </cell>
        </row>
        <row r="4381">
          <cell r="A4381">
            <v>0</v>
          </cell>
        </row>
        <row r="4382">
          <cell r="A4382">
            <v>0</v>
          </cell>
        </row>
        <row r="4383">
          <cell r="A4383">
            <v>0</v>
          </cell>
        </row>
        <row r="4384">
          <cell r="A4384">
            <v>0</v>
          </cell>
        </row>
        <row r="4385">
          <cell r="A4385">
            <v>0</v>
          </cell>
        </row>
        <row r="4386">
          <cell r="A4386">
            <v>0</v>
          </cell>
        </row>
        <row r="4387">
          <cell r="A4387">
            <v>0</v>
          </cell>
        </row>
        <row r="4388">
          <cell r="A4388">
            <v>0</v>
          </cell>
        </row>
        <row r="4389">
          <cell r="A4389">
            <v>0</v>
          </cell>
        </row>
        <row r="4390">
          <cell r="A4390">
            <v>0</v>
          </cell>
        </row>
        <row r="4391">
          <cell r="A4391">
            <v>0</v>
          </cell>
        </row>
        <row r="4392">
          <cell r="A4392">
            <v>0</v>
          </cell>
        </row>
        <row r="4393">
          <cell r="A4393">
            <v>0</v>
          </cell>
        </row>
        <row r="4394">
          <cell r="A4394">
            <v>0</v>
          </cell>
        </row>
        <row r="4395">
          <cell r="A4395">
            <v>0</v>
          </cell>
        </row>
        <row r="4396">
          <cell r="A4396">
            <v>0</v>
          </cell>
        </row>
        <row r="4397">
          <cell r="A4397">
            <v>0</v>
          </cell>
        </row>
        <row r="4398">
          <cell r="A4398">
            <v>0</v>
          </cell>
        </row>
        <row r="4399">
          <cell r="A4399">
            <v>0</v>
          </cell>
        </row>
        <row r="4400">
          <cell r="A4400">
            <v>0</v>
          </cell>
        </row>
        <row r="4401">
          <cell r="A4401">
            <v>0</v>
          </cell>
        </row>
        <row r="4402">
          <cell r="A4402">
            <v>0</v>
          </cell>
        </row>
        <row r="4403">
          <cell r="A4403">
            <v>0</v>
          </cell>
        </row>
        <row r="4404">
          <cell r="A4404">
            <v>0</v>
          </cell>
        </row>
        <row r="4405">
          <cell r="A4405">
            <v>0</v>
          </cell>
        </row>
        <row r="4406">
          <cell r="A4406">
            <v>0</v>
          </cell>
        </row>
        <row r="4407">
          <cell r="A4407">
            <v>0</v>
          </cell>
        </row>
        <row r="4408">
          <cell r="A4408">
            <v>0</v>
          </cell>
        </row>
        <row r="4409">
          <cell r="A4409">
            <v>0</v>
          </cell>
        </row>
        <row r="4410">
          <cell r="A4410">
            <v>0</v>
          </cell>
        </row>
        <row r="4411">
          <cell r="A4411">
            <v>0</v>
          </cell>
        </row>
        <row r="4412">
          <cell r="A4412">
            <v>0</v>
          </cell>
        </row>
        <row r="4413">
          <cell r="A4413">
            <v>0</v>
          </cell>
        </row>
        <row r="4414">
          <cell r="A4414">
            <v>0</v>
          </cell>
        </row>
        <row r="4415">
          <cell r="A4415">
            <v>0</v>
          </cell>
        </row>
        <row r="4416">
          <cell r="A4416">
            <v>0</v>
          </cell>
        </row>
        <row r="4417">
          <cell r="A4417">
            <v>0</v>
          </cell>
        </row>
        <row r="4418">
          <cell r="A4418">
            <v>0</v>
          </cell>
        </row>
        <row r="4419">
          <cell r="A4419">
            <v>0</v>
          </cell>
        </row>
        <row r="4420">
          <cell r="A4420">
            <v>0</v>
          </cell>
        </row>
        <row r="4421">
          <cell r="A4421">
            <v>0</v>
          </cell>
        </row>
        <row r="4422">
          <cell r="A4422">
            <v>0</v>
          </cell>
        </row>
        <row r="4423">
          <cell r="A4423">
            <v>0</v>
          </cell>
        </row>
        <row r="4424">
          <cell r="A4424">
            <v>0</v>
          </cell>
        </row>
        <row r="4425">
          <cell r="A4425">
            <v>0</v>
          </cell>
        </row>
        <row r="4426">
          <cell r="A4426">
            <v>0</v>
          </cell>
        </row>
        <row r="4427">
          <cell r="A4427">
            <v>0</v>
          </cell>
        </row>
        <row r="4428">
          <cell r="A4428">
            <v>0</v>
          </cell>
        </row>
        <row r="4429">
          <cell r="A4429">
            <v>0</v>
          </cell>
        </row>
        <row r="4430">
          <cell r="A4430">
            <v>0</v>
          </cell>
        </row>
        <row r="4431">
          <cell r="A4431">
            <v>0</v>
          </cell>
        </row>
        <row r="4432">
          <cell r="A4432">
            <v>0</v>
          </cell>
        </row>
        <row r="4433">
          <cell r="A4433">
            <v>0</v>
          </cell>
        </row>
        <row r="4434">
          <cell r="A4434">
            <v>0</v>
          </cell>
        </row>
        <row r="4435">
          <cell r="A4435">
            <v>0</v>
          </cell>
        </row>
        <row r="4436">
          <cell r="A4436">
            <v>0</v>
          </cell>
        </row>
        <row r="4437">
          <cell r="A4437">
            <v>0</v>
          </cell>
        </row>
        <row r="4438">
          <cell r="A4438">
            <v>0</v>
          </cell>
        </row>
        <row r="4439">
          <cell r="A4439">
            <v>0</v>
          </cell>
        </row>
        <row r="4440">
          <cell r="A4440">
            <v>0</v>
          </cell>
        </row>
        <row r="4441">
          <cell r="A4441">
            <v>0</v>
          </cell>
        </row>
        <row r="4442">
          <cell r="A4442">
            <v>0</v>
          </cell>
        </row>
        <row r="4443">
          <cell r="A4443">
            <v>0</v>
          </cell>
        </row>
        <row r="4444">
          <cell r="A4444">
            <v>0</v>
          </cell>
        </row>
        <row r="4445">
          <cell r="A4445">
            <v>0</v>
          </cell>
        </row>
        <row r="4446">
          <cell r="A4446">
            <v>0</v>
          </cell>
        </row>
        <row r="4447">
          <cell r="A4447">
            <v>0</v>
          </cell>
        </row>
        <row r="4448">
          <cell r="A4448">
            <v>0</v>
          </cell>
        </row>
        <row r="4449">
          <cell r="A4449">
            <v>0</v>
          </cell>
        </row>
        <row r="4450">
          <cell r="A4450">
            <v>0</v>
          </cell>
        </row>
        <row r="4451">
          <cell r="A4451">
            <v>0</v>
          </cell>
        </row>
        <row r="4452">
          <cell r="A4452">
            <v>0</v>
          </cell>
        </row>
        <row r="4453">
          <cell r="A4453">
            <v>0</v>
          </cell>
        </row>
        <row r="4454">
          <cell r="A4454">
            <v>0</v>
          </cell>
        </row>
        <row r="4455">
          <cell r="A4455">
            <v>0</v>
          </cell>
        </row>
        <row r="4456">
          <cell r="A4456">
            <v>0</v>
          </cell>
        </row>
        <row r="4457">
          <cell r="A4457">
            <v>0</v>
          </cell>
        </row>
        <row r="4458">
          <cell r="A4458">
            <v>0</v>
          </cell>
        </row>
        <row r="4459">
          <cell r="A4459">
            <v>0</v>
          </cell>
        </row>
        <row r="4460">
          <cell r="A4460">
            <v>0</v>
          </cell>
        </row>
        <row r="4461">
          <cell r="A4461">
            <v>0</v>
          </cell>
        </row>
        <row r="4462">
          <cell r="A4462">
            <v>0</v>
          </cell>
        </row>
        <row r="4463">
          <cell r="A4463">
            <v>0</v>
          </cell>
        </row>
        <row r="4464">
          <cell r="A4464">
            <v>0</v>
          </cell>
        </row>
        <row r="4465">
          <cell r="A4465">
            <v>0</v>
          </cell>
        </row>
        <row r="4466">
          <cell r="A4466">
            <v>0</v>
          </cell>
        </row>
        <row r="4467">
          <cell r="A4467">
            <v>0</v>
          </cell>
        </row>
        <row r="4468">
          <cell r="A4468">
            <v>0</v>
          </cell>
        </row>
        <row r="4469">
          <cell r="A4469">
            <v>0</v>
          </cell>
        </row>
        <row r="4470">
          <cell r="A4470">
            <v>0</v>
          </cell>
        </row>
        <row r="4471">
          <cell r="A4471">
            <v>0</v>
          </cell>
        </row>
        <row r="4472">
          <cell r="A4472">
            <v>0</v>
          </cell>
        </row>
        <row r="4473">
          <cell r="A4473">
            <v>0</v>
          </cell>
        </row>
        <row r="4474">
          <cell r="A4474">
            <v>0</v>
          </cell>
        </row>
        <row r="4475">
          <cell r="A4475">
            <v>0</v>
          </cell>
        </row>
        <row r="4476">
          <cell r="A4476">
            <v>0</v>
          </cell>
        </row>
        <row r="4477">
          <cell r="A4477">
            <v>0</v>
          </cell>
        </row>
        <row r="4478">
          <cell r="A4478">
            <v>0</v>
          </cell>
        </row>
        <row r="4479">
          <cell r="A4479">
            <v>0</v>
          </cell>
        </row>
        <row r="4480">
          <cell r="A4480">
            <v>0</v>
          </cell>
        </row>
        <row r="4481">
          <cell r="A4481">
            <v>0</v>
          </cell>
        </row>
        <row r="4482">
          <cell r="A4482">
            <v>0</v>
          </cell>
        </row>
        <row r="4483">
          <cell r="A4483">
            <v>0</v>
          </cell>
        </row>
        <row r="4484">
          <cell r="A4484">
            <v>0</v>
          </cell>
        </row>
        <row r="4485">
          <cell r="A4485">
            <v>0</v>
          </cell>
        </row>
        <row r="4486">
          <cell r="A4486">
            <v>0</v>
          </cell>
        </row>
        <row r="4487">
          <cell r="A4487">
            <v>0</v>
          </cell>
        </row>
        <row r="4488">
          <cell r="A4488">
            <v>0</v>
          </cell>
        </row>
        <row r="4489">
          <cell r="A4489">
            <v>0</v>
          </cell>
        </row>
        <row r="4490">
          <cell r="A4490">
            <v>0</v>
          </cell>
        </row>
        <row r="4491">
          <cell r="A4491">
            <v>0</v>
          </cell>
        </row>
        <row r="4492">
          <cell r="A4492">
            <v>0</v>
          </cell>
        </row>
        <row r="4493">
          <cell r="A4493">
            <v>0</v>
          </cell>
        </row>
        <row r="4494">
          <cell r="A4494">
            <v>0</v>
          </cell>
        </row>
        <row r="4495">
          <cell r="A4495">
            <v>0</v>
          </cell>
        </row>
        <row r="4496">
          <cell r="A4496">
            <v>0</v>
          </cell>
        </row>
        <row r="4497">
          <cell r="A4497">
            <v>0</v>
          </cell>
        </row>
        <row r="4498">
          <cell r="A4498">
            <v>0</v>
          </cell>
        </row>
        <row r="4499">
          <cell r="A4499">
            <v>0</v>
          </cell>
        </row>
        <row r="4500">
          <cell r="A4500">
            <v>0</v>
          </cell>
        </row>
        <row r="4501">
          <cell r="A4501">
            <v>0</v>
          </cell>
        </row>
        <row r="4502">
          <cell r="A4502">
            <v>0</v>
          </cell>
        </row>
        <row r="4503">
          <cell r="A4503">
            <v>0</v>
          </cell>
        </row>
        <row r="4504">
          <cell r="A4504">
            <v>0</v>
          </cell>
        </row>
        <row r="4505">
          <cell r="A4505">
            <v>0</v>
          </cell>
        </row>
        <row r="4506">
          <cell r="A4506">
            <v>0</v>
          </cell>
        </row>
        <row r="4507">
          <cell r="A4507">
            <v>0</v>
          </cell>
        </row>
        <row r="4508">
          <cell r="A4508">
            <v>0</v>
          </cell>
        </row>
        <row r="4509">
          <cell r="A4509">
            <v>0</v>
          </cell>
        </row>
        <row r="4510">
          <cell r="A4510">
            <v>0</v>
          </cell>
        </row>
        <row r="4511">
          <cell r="A4511">
            <v>0</v>
          </cell>
        </row>
        <row r="4512">
          <cell r="A4512">
            <v>0</v>
          </cell>
        </row>
        <row r="4513">
          <cell r="A4513">
            <v>0</v>
          </cell>
        </row>
        <row r="4514">
          <cell r="A4514">
            <v>0</v>
          </cell>
        </row>
        <row r="4515">
          <cell r="A4515">
            <v>0</v>
          </cell>
        </row>
        <row r="4516">
          <cell r="A4516">
            <v>0</v>
          </cell>
        </row>
        <row r="4517">
          <cell r="A4517">
            <v>0</v>
          </cell>
        </row>
        <row r="4518">
          <cell r="A4518">
            <v>0</v>
          </cell>
        </row>
        <row r="4519">
          <cell r="A4519">
            <v>0</v>
          </cell>
        </row>
        <row r="4520">
          <cell r="A4520">
            <v>0</v>
          </cell>
        </row>
        <row r="4521">
          <cell r="A4521">
            <v>0</v>
          </cell>
        </row>
        <row r="4522">
          <cell r="A4522">
            <v>0</v>
          </cell>
        </row>
        <row r="4523">
          <cell r="A4523">
            <v>0</v>
          </cell>
        </row>
        <row r="4524">
          <cell r="A4524">
            <v>0</v>
          </cell>
        </row>
        <row r="4525">
          <cell r="A4525">
            <v>0</v>
          </cell>
        </row>
        <row r="4526">
          <cell r="A4526">
            <v>0</v>
          </cell>
        </row>
        <row r="4527">
          <cell r="A4527">
            <v>0</v>
          </cell>
        </row>
        <row r="4528">
          <cell r="A4528">
            <v>0</v>
          </cell>
        </row>
        <row r="4529">
          <cell r="A4529">
            <v>0</v>
          </cell>
        </row>
        <row r="4530">
          <cell r="A4530">
            <v>0</v>
          </cell>
        </row>
        <row r="4531">
          <cell r="A4531">
            <v>0</v>
          </cell>
        </row>
        <row r="4532">
          <cell r="A4532">
            <v>0</v>
          </cell>
        </row>
        <row r="4533">
          <cell r="A4533">
            <v>0</v>
          </cell>
        </row>
        <row r="4534">
          <cell r="A4534">
            <v>0</v>
          </cell>
        </row>
        <row r="4535">
          <cell r="A4535">
            <v>0</v>
          </cell>
        </row>
        <row r="4536">
          <cell r="A4536">
            <v>0</v>
          </cell>
        </row>
        <row r="4537">
          <cell r="A4537">
            <v>0</v>
          </cell>
        </row>
        <row r="4538">
          <cell r="A4538">
            <v>0</v>
          </cell>
        </row>
        <row r="4539">
          <cell r="A4539">
            <v>0</v>
          </cell>
        </row>
        <row r="4540">
          <cell r="A4540">
            <v>0</v>
          </cell>
        </row>
        <row r="4541">
          <cell r="A4541">
            <v>0</v>
          </cell>
        </row>
        <row r="4542">
          <cell r="A4542">
            <v>0</v>
          </cell>
        </row>
        <row r="4543">
          <cell r="A4543">
            <v>0</v>
          </cell>
        </row>
        <row r="4544">
          <cell r="A4544">
            <v>0</v>
          </cell>
        </row>
        <row r="4545">
          <cell r="A4545">
            <v>0</v>
          </cell>
        </row>
        <row r="4546">
          <cell r="A4546">
            <v>0</v>
          </cell>
        </row>
        <row r="4547">
          <cell r="A4547">
            <v>0</v>
          </cell>
        </row>
        <row r="4548">
          <cell r="A4548">
            <v>0</v>
          </cell>
        </row>
        <row r="4549">
          <cell r="A4549">
            <v>0</v>
          </cell>
        </row>
        <row r="4550">
          <cell r="A4550">
            <v>0</v>
          </cell>
        </row>
        <row r="4551">
          <cell r="A4551">
            <v>0</v>
          </cell>
        </row>
        <row r="4552">
          <cell r="A4552">
            <v>0</v>
          </cell>
        </row>
        <row r="4553">
          <cell r="A4553">
            <v>0</v>
          </cell>
        </row>
        <row r="4554">
          <cell r="A4554">
            <v>0</v>
          </cell>
        </row>
        <row r="4555">
          <cell r="A4555">
            <v>0</v>
          </cell>
        </row>
        <row r="4556">
          <cell r="A4556">
            <v>0</v>
          </cell>
        </row>
        <row r="4557">
          <cell r="A4557">
            <v>0</v>
          </cell>
        </row>
        <row r="4558">
          <cell r="A4558">
            <v>0</v>
          </cell>
        </row>
        <row r="4559">
          <cell r="A4559">
            <v>0</v>
          </cell>
        </row>
        <row r="4560">
          <cell r="A4560">
            <v>0</v>
          </cell>
        </row>
        <row r="4561">
          <cell r="A4561">
            <v>0</v>
          </cell>
        </row>
        <row r="4562">
          <cell r="A4562">
            <v>0</v>
          </cell>
        </row>
        <row r="4563">
          <cell r="A4563">
            <v>0</v>
          </cell>
        </row>
        <row r="4564">
          <cell r="A4564">
            <v>0</v>
          </cell>
        </row>
        <row r="4565">
          <cell r="A4565">
            <v>0</v>
          </cell>
        </row>
        <row r="4566">
          <cell r="A4566">
            <v>0</v>
          </cell>
        </row>
        <row r="4567">
          <cell r="A4567">
            <v>0</v>
          </cell>
        </row>
        <row r="4568">
          <cell r="A4568">
            <v>0</v>
          </cell>
        </row>
        <row r="4569">
          <cell r="A4569">
            <v>0</v>
          </cell>
        </row>
        <row r="4570">
          <cell r="A4570">
            <v>0</v>
          </cell>
        </row>
        <row r="4571">
          <cell r="A4571">
            <v>0</v>
          </cell>
        </row>
        <row r="4572">
          <cell r="A4572">
            <v>0</v>
          </cell>
        </row>
        <row r="4573">
          <cell r="A4573">
            <v>0</v>
          </cell>
        </row>
        <row r="4574">
          <cell r="A4574">
            <v>0</v>
          </cell>
        </row>
        <row r="4575">
          <cell r="A4575">
            <v>0</v>
          </cell>
        </row>
        <row r="4576">
          <cell r="A4576">
            <v>0</v>
          </cell>
        </row>
        <row r="4577">
          <cell r="A4577">
            <v>0</v>
          </cell>
        </row>
        <row r="4578">
          <cell r="A4578">
            <v>0</v>
          </cell>
        </row>
        <row r="4579">
          <cell r="A4579">
            <v>0</v>
          </cell>
        </row>
        <row r="4580">
          <cell r="A4580">
            <v>0</v>
          </cell>
        </row>
        <row r="4581">
          <cell r="A4581">
            <v>0</v>
          </cell>
        </row>
        <row r="4582">
          <cell r="A4582">
            <v>0</v>
          </cell>
        </row>
        <row r="4583">
          <cell r="A4583">
            <v>0</v>
          </cell>
        </row>
        <row r="4584">
          <cell r="A4584">
            <v>0</v>
          </cell>
        </row>
        <row r="4585">
          <cell r="A4585">
            <v>0</v>
          </cell>
        </row>
        <row r="4586">
          <cell r="A4586">
            <v>0</v>
          </cell>
        </row>
        <row r="4587">
          <cell r="A4587">
            <v>0</v>
          </cell>
        </row>
        <row r="4588">
          <cell r="A4588">
            <v>0</v>
          </cell>
        </row>
        <row r="4589">
          <cell r="A4589">
            <v>0</v>
          </cell>
        </row>
        <row r="4590">
          <cell r="A4590">
            <v>0</v>
          </cell>
        </row>
        <row r="4591">
          <cell r="A4591">
            <v>0</v>
          </cell>
        </row>
        <row r="4592">
          <cell r="A4592">
            <v>0</v>
          </cell>
        </row>
        <row r="4593">
          <cell r="A4593">
            <v>0</v>
          </cell>
        </row>
        <row r="4594">
          <cell r="A4594">
            <v>0</v>
          </cell>
        </row>
        <row r="4595">
          <cell r="A4595">
            <v>0</v>
          </cell>
        </row>
        <row r="4596">
          <cell r="A4596">
            <v>0</v>
          </cell>
        </row>
        <row r="4597">
          <cell r="A4597">
            <v>0</v>
          </cell>
        </row>
        <row r="4598">
          <cell r="A4598">
            <v>0</v>
          </cell>
        </row>
        <row r="4599">
          <cell r="A4599">
            <v>0</v>
          </cell>
        </row>
        <row r="4600">
          <cell r="A4600">
            <v>0</v>
          </cell>
        </row>
        <row r="4601">
          <cell r="A4601">
            <v>0</v>
          </cell>
        </row>
        <row r="4602">
          <cell r="A4602">
            <v>0</v>
          </cell>
        </row>
        <row r="4603">
          <cell r="A4603">
            <v>0</v>
          </cell>
        </row>
        <row r="4604">
          <cell r="A4604">
            <v>0</v>
          </cell>
        </row>
        <row r="4605">
          <cell r="A4605">
            <v>0</v>
          </cell>
        </row>
        <row r="4606">
          <cell r="A4606">
            <v>0</v>
          </cell>
        </row>
        <row r="4607">
          <cell r="A4607">
            <v>0</v>
          </cell>
        </row>
        <row r="4608">
          <cell r="A4608">
            <v>0</v>
          </cell>
        </row>
        <row r="4609">
          <cell r="A4609">
            <v>0</v>
          </cell>
        </row>
        <row r="4610">
          <cell r="A4610">
            <v>0</v>
          </cell>
        </row>
        <row r="4611">
          <cell r="A4611">
            <v>0</v>
          </cell>
        </row>
        <row r="4612">
          <cell r="A4612">
            <v>0</v>
          </cell>
        </row>
        <row r="4613">
          <cell r="A4613">
            <v>0</v>
          </cell>
        </row>
        <row r="4614">
          <cell r="A4614">
            <v>0</v>
          </cell>
        </row>
        <row r="4615">
          <cell r="A4615">
            <v>0</v>
          </cell>
        </row>
        <row r="4616">
          <cell r="A4616">
            <v>0</v>
          </cell>
        </row>
        <row r="4617">
          <cell r="A4617">
            <v>0</v>
          </cell>
        </row>
        <row r="4618">
          <cell r="A4618">
            <v>0</v>
          </cell>
        </row>
        <row r="4619">
          <cell r="A4619">
            <v>0</v>
          </cell>
        </row>
        <row r="4620">
          <cell r="A4620">
            <v>0</v>
          </cell>
        </row>
        <row r="4621">
          <cell r="A4621">
            <v>0</v>
          </cell>
        </row>
        <row r="4622">
          <cell r="A4622">
            <v>0</v>
          </cell>
        </row>
        <row r="4623">
          <cell r="A4623">
            <v>0</v>
          </cell>
        </row>
        <row r="4624">
          <cell r="A4624">
            <v>0</v>
          </cell>
        </row>
        <row r="4625">
          <cell r="A4625">
            <v>0</v>
          </cell>
        </row>
        <row r="4626">
          <cell r="A4626">
            <v>0</v>
          </cell>
        </row>
        <row r="4627">
          <cell r="A4627">
            <v>0</v>
          </cell>
        </row>
        <row r="4628">
          <cell r="A4628">
            <v>0</v>
          </cell>
        </row>
        <row r="4629">
          <cell r="A4629">
            <v>0</v>
          </cell>
        </row>
        <row r="4630">
          <cell r="A4630">
            <v>0</v>
          </cell>
        </row>
        <row r="4631">
          <cell r="A4631">
            <v>0</v>
          </cell>
        </row>
        <row r="4632">
          <cell r="A4632">
            <v>0</v>
          </cell>
        </row>
        <row r="4633">
          <cell r="A4633">
            <v>0</v>
          </cell>
        </row>
        <row r="4634">
          <cell r="A4634">
            <v>0</v>
          </cell>
        </row>
        <row r="4635">
          <cell r="A4635">
            <v>0</v>
          </cell>
        </row>
        <row r="4636">
          <cell r="A4636">
            <v>0</v>
          </cell>
        </row>
        <row r="4637">
          <cell r="A4637">
            <v>0</v>
          </cell>
        </row>
        <row r="4638">
          <cell r="A4638">
            <v>0</v>
          </cell>
        </row>
        <row r="4639">
          <cell r="A4639">
            <v>0</v>
          </cell>
        </row>
        <row r="4640">
          <cell r="A4640">
            <v>0</v>
          </cell>
        </row>
        <row r="4641">
          <cell r="A4641">
            <v>0</v>
          </cell>
        </row>
        <row r="4642">
          <cell r="A4642">
            <v>0</v>
          </cell>
        </row>
        <row r="4643">
          <cell r="A4643">
            <v>0</v>
          </cell>
        </row>
        <row r="4644">
          <cell r="A4644">
            <v>0</v>
          </cell>
        </row>
        <row r="4645">
          <cell r="A4645">
            <v>0</v>
          </cell>
        </row>
        <row r="4646">
          <cell r="A4646">
            <v>0</v>
          </cell>
        </row>
        <row r="4647">
          <cell r="A4647">
            <v>0</v>
          </cell>
        </row>
        <row r="4648">
          <cell r="A4648">
            <v>0</v>
          </cell>
        </row>
        <row r="4649">
          <cell r="A4649">
            <v>0</v>
          </cell>
        </row>
        <row r="4650">
          <cell r="A4650">
            <v>0</v>
          </cell>
        </row>
        <row r="4651">
          <cell r="A4651">
            <v>0</v>
          </cell>
        </row>
        <row r="4652">
          <cell r="A4652">
            <v>0</v>
          </cell>
        </row>
        <row r="4653">
          <cell r="A4653">
            <v>0</v>
          </cell>
        </row>
        <row r="4654">
          <cell r="A4654">
            <v>0</v>
          </cell>
        </row>
        <row r="4655">
          <cell r="A4655">
            <v>0</v>
          </cell>
        </row>
        <row r="4656">
          <cell r="A4656">
            <v>0</v>
          </cell>
        </row>
        <row r="4657">
          <cell r="A4657">
            <v>0</v>
          </cell>
        </row>
        <row r="4658">
          <cell r="A4658">
            <v>0</v>
          </cell>
        </row>
        <row r="4659">
          <cell r="A4659">
            <v>0</v>
          </cell>
        </row>
        <row r="4660">
          <cell r="A4660">
            <v>0</v>
          </cell>
        </row>
        <row r="4661">
          <cell r="A4661">
            <v>0</v>
          </cell>
        </row>
        <row r="4662">
          <cell r="A4662">
            <v>0</v>
          </cell>
        </row>
        <row r="4663">
          <cell r="A4663">
            <v>0</v>
          </cell>
        </row>
        <row r="4664">
          <cell r="A4664">
            <v>0</v>
          </cell>
        </row>
        <row r="4665">
          <cell r="A4665">
            <v>0</v>
          </cell>
        </row>
        <row r="4666">
          <cell r="A4666">
            <v>0</v>
          </cell>
        </row>
        <row r="4667">
          <cell r="A4667">
            <v>0</v>
          </cell>
        </row>
        <row r="4668">
          <cell r="A4668">
            <v>0</v>
          </cell>
        </row>
        <row r="4669">
          <cell r="A4669">
            <v>0</v>
          </cell>
        </row>
        <row r="4670">
          <cell r="A4670">
            <v>0</v>
          </cell>
        </row>
        <row r="4671">
          <cell r="A4671">
            <v>0</v>
          </cell>
        </row>
        <row r="4672">
          <cell r="A4672">
            <v>0</v>
          </cell>
        </row>
        <row r="4673">
          <cell r="A4673">
            <v>0</v>
          </cell>
        </row>
        <row r="4674">
          <cell r="A4674">
            <v>0</v>
          </cell>
        </row>
        <row r="4675">
          <cell r="A4675">
            <v>0</v>
          </cell>
        </row>
        <row r="4676">
          <cell r="A4676">
            <v>0</v>
          </cell>
        </row>
        <row r="4677">
          <cell r="A4677">
            <v>0</v>
          </cell>
        </row>
        <row r="4678">
          <cell r="A4678">
            <v>0</v>
          </cell>
        </row>
        <row r="4679">
          <cell r="A4679">
            <v>0</v>
          </cell>
        </row>
        <row r="4680">
          <cell r="A4680">
            <v>0</v>
          </cell>
        </row>
        <row r="4681">
          <cell r="A4681">
            <v>0</v>
          </cell>
        </row>
        <row r="4682">
          <cell r="A4682">
            <v>0</v>
          </cell>
        </row>
        <row r="4683">
          <cell r="A4683">
            <v>0</v>
          </cell>
        </row>
        <row r="4684">
          <cell r="A4684">
            <v>0</v>
          </cell>
        </row>
        <row r="4685">
          <cell r="A4685">
            <v>0</v>
          </cell>
        </row>
        <row r="4686">
          <cell r="A4686">
            <v>0</v>
          </cell>
        </row>
        <row r="4687">
          <cell r="A4687">
            <v>0</v>
          </cell>
        </row>
        <row r="4688">
          <cell r="A4688">
            <v>0</v>
          </cell>
        </row>
        <row r="4689">
          <cell r="A4689">
            <v>0</v>
          </cell>
        </row>
        <row r="4690">
          <cell r="A4690">
            <v>0</v>
          </cell>
        </row>
        <row r="4691">
          <cell r="A4691">
            <v>0</v>
          </cell>
        </row>
        <row r="4692">
          <cell r="A4692">
            <v>0</v>
          </cell>
        </row>
        <row r="4693">
          <cell r="A4693">
            <v>0</v>
          </cell>
        </row>
        <row r="4694">
          <cell r="A4694">
            <v>0</v>
          </cell>
        </row>
        <row r="4695">
          <cell r="A4695">
            <v>0</v>
          </cell>
        </row>
        <row r="4696">
          <cell r="A4696">
            <v>0</v>
          </cell>
        </row>
        <row r="4697">
          <cell r="A4697">
            <v>0</v>
          </cell>
        </row>
        <row r="4698">
          <cell r="A4698">
            <v>0</v>
          </cell>
        </row>
        <row r="4699">
          <cell r="A4699">
            <v>0</v>
          </cell>
        </row>
        <row r="4700">
          <cell r="A4700">
            <v>0</v>
          </cell>
        </row>
        <row r="4701">
          <cell r="A4701">
            <v>0</v>
          </cell>
        </row>
        <row r="4702">
          <cell r="A4702">
            <v>0</v>
          </cell>
        </row>
        <row r="4703">
          <cell r="A4703">
            <v>0</v>
          </cell>
        </row>
        <row r="4704">
          <cell r="A4704">
            <v>0</v>
          </cell>
        </row>
        <row r="4705">
          <cell r="A4705">
            <v>0</v>
          </cell>
        </row>
        <row r="4706">
          <cell r="A4706">
            <v>0</v>
          </cell>
        </row>
        <row r="4707">
          <cell r="A4707">
            <v>0</v>
          </cell>
        </row>
        <row r="4708">
          <cell r="A4708">
            <v>0</v>
          </cell>
        </row>
        <row r="4709">
          <cell r="A4709">
            <v>0</v>
          </cell>
        </row>
        <row r="4710">
          <cell r="A4710">
            <v>0</v>
          </cell>
        </row>
        <row r="4711">
          <cell r="A4711">
            <v>0</v>
          </cell>
        </row>
        <row r="4712">
          <cell r="A4712">
            <v>0</v>
          </cell>
        </row>
        <row r="4713">
          <cell r="A4713">
            <v>0</v>
          </cell>
        </row>
        <row r="4714">
          <cell r="A4714">
            <v>0</v>
          </cell>
        </row>
        <row r="4715">
          <cell r="A4715">
            <v>0</v>
          </cell>
        </row>
        <row r="4716">
          <cell r="A4716">
            <v>0</v>
          </cell>
        </row>
        <row r="4717">
          <cell r="A4717">
            <v>0</v>
          </cell>
        </row>
        <row r="4718">
          <cell r="A4718">
            <v>0</v>
          </cell>
        </row>
        <row r="4719">
          <cell r="A4719">
            <v>0</v>
          </cell>
        </row>
        <row r="4720">
          <cell r="A4720">
            <v>0</v>
          </cell>
        </row>
        <row r="4721">
          <cell r="A4721">
            <v>0</v>
          </cell>
        </row>
        <row r="4722">
          <cell r="A4722">
            <v>0</v>
          </cell>
        </row>
        <row r="4723">
          <cell r="A4723">
            <v>0</v>
          </cell>
        </row>
        <row r="4724">
          <cell r="A4724">
            <v>0</v>
          </cell>
        </row>
        <row r="4725">
          <cell r="A4725">
            <v>0</v>
          </cell>
        </row>
        <row r="4726">
          <cell r="A4726">
            <v>0</v>
          </cell>
        </row>
        <row r="4727">
          <cell r="A4727">
            <v>0</v>
          </cell>
        </row>
        <row r="4728">
          <cell r="A4728">
            <v>0</v>
          </cell>
        </row>
        <row r="4729">
          <cell r="A4729">
            <v>0</v>
          </cell>
        </row>
        <row r="4730">
          <cell r="A4730">
            <v>0</v>
          </cell>
        </row>
        <row r="4731">
          <cell r="A4731">
            <v>0</v>
          </cell>
        </row>
        <row r="4732">
          <cell r="A4732">
            <v>0</v>
          </cell>
        </row>
        <row r="4733">
          <cell r="A4733">
            <v>0</v>
          </cell>
        </row>
        <row r="4734">
          <cell r="A4734">
            <v>0</v>
          </cell>
        </row>
        <row r="4735">
          <cell r="A4735">
            <v>0</v>
          </cell>
        </row>
        <row r="4736">
          <cell r="A4736">
            <v>0</v>
          </cell>
        </row>
        <row r="4737">
          <cell r="A4737">
            <v>0</v>
          </cell>
        </row>
        <row r="4738">
          <cell r="A4738">
            <v>0</v>
          </cell>
        </row>
        <row r="4739">
          <cell r="A4739">
            <v>0</v>
          </cell>
        </row>
        <row r="4740">
          <cell r="A4740">
            <v>0</v>
          </cell>
        </row>
        <row r="4741">
          <cell r="A4741">
            <v>0</v>
          </cell>
        </row>
        <row r="4742">
          <cell r="A4742">
            <v>0</v>
          </cell>
        </row>
        <row r="4743">
          <cell r="A4743">
            <v>0</v>
          </cell>
        </row>
        <row r="4744">
          <cell r="A4744">
            <v>0</v>
          </cell>
        </row>
        <row r="4745">
          <cell r="A4745">
            <v>0</v>
          </cell>
        </row>
        <row r="4746">
          <cell r="A4746">
            <v>0</v>
          </cell>
        </row>
        <row r="4747">
          <cell r="A4747">
            <v>0</v>
          </cell>
        </row>
        <row r="4748">
          <cell r="A4748">
            <v>0</v>
          </cell>
        </row>
        <row r="4749">
          <cell r="A4749">
            <v>0</v>
          </cell>
        </row>
        <row r="4750">
          <cell r="A4750">
            <v>0</v>
          </cell>
        </row>
        <row r="4751">
          <cell r="A4751">
            <v>0</v>
          </cell>
        </row>
        <row r="4752">
          <cell r="A4752">
            <v>0</v>
          </cell>
        </row>
        <row r="4753">
          <cell r="A4753">
            <v>0</v>
          </cell>
        </row>
        <row r="4754">
          <cell r="A4754">
            <v>0</v>
          </cell>
        </row>
        <row r="4755">
          <cell r="A4755">
            <v>0</v>
          </cell>
        </row>
        <row r="4756">
          <cell r="A4756">
            <v>0</v>
          </cell>
        </row>
        <row r="4757">
          <cell r="A4757">
            <v>0</v>
          </cell>
        </row>
        <row r="4758">
          <cell r="A4758">
            <v>0</v>
          </cell>
        </row>
        <row r="4759">
          <cell r="A4759">
            <v>0</v>
          </cell>
        </row>
        <row r="4760">
          <cell r="A4760">
            <v>0</v>
          </cell>
        </row>
        <row r="4761">
          <cell r="A4761">
            <v>0</v>
          </cell>
        </row>
        <row r="4762">
          <cell r="A4762">
            <v>0</v>
          </cell>
        </row>
        <row r="4763">
          <cell r="A4763">
            <v>0</v>
          </cell>
        </row>
        <row r="4764">
          <cell r="A4764">
            <v>0</v>
          </cell>
        </row>
        <row r="4765">
          <cell r="A4765">
            <v>0</v>
          </cell>
        </row>
        <row r="4766">
          <cell r="A4766">
            <v>0</v>
          </cell>
        </row>
        <row r="4767">
          <cell r="A4767">
            <v>0</v>
          </cell>
        </row>
        <row r="4768">
          <cell r="A4768">
            <v>0</v>
          </cell>
        </row>
        <row r="4769">
          <cell r="A4769">
            <v>0</v>
          </cell>
        </row>
        <row r="4770">
          <cell r="A4770">
            <v>0</v>
          </cell>
        </row>
        <row r="4771">
          <cell r="A4771">
            <v>0</v>
          </cell>
        </row>
        <row r="4772">
          <cell r="A4772">
            <v>0</v>
          </cell>
        </row>
        <row r="4773">
          <cell r="A4773">
            <v>0</v>
          </cell>
        </row>
        <row r="4774">
          <cell r="A4774">
            <v>0</v>
          </cell>
        </row>
        <row r="4775">
          <cell r="A4775">
            <v>0</v>
          </cell>
        </row>
        <row r="4776">
          <cell r="A4776">
            <v>0</v>
          </cell>
        </row>
        <row r="4777">
          <cell r="A4777">
            <v>0</v>
          </cell>
        </row>
        <row r="4778">
          <cell r="A4778">
            <v>0</v>
          </cell>
        </row>
        <row r="4779">
          <cell r="A4779">
            <v>0</v>
          </cell>
        </row>
        <row r="4780">
          <cell r="A4780">
            <v>0</v>
          </cell>
        </row>
        <row r="4781">
          <cell r="A4781">
            <v>0</v>
          </cell>
        </row>
        <row r="4782">
          <cell r="A4782">
            <v>0</v>
          </cell>
        </row>
        <row r="4783">
          <cell r="A4783">
            <v>0</v>
          </cell>
        </row>
        <row r="4784">
          <cell r="A4784">
            <v>0</v>
          </cell>
        </row>
        <row r="4785">
          <cell r="A4785">
            <v>0</v>
          </cell>
        </row>
        <row r="4786">
          <cell r="A4786">
            <v>0</v>
          </cell>
        </row>
        <row r="4787">
          <cell r="A4787">
            <v>0</v>
          </cell>
        </row>
        <row r="4788">
          <cell r="A4788">
            <v>0</v>
          </cell>
        </row>
        <row r="4789">
          <cell r="A4789">
            <v>0</v>
          </cell>
        </row>
        <row r="4790">
          <cell r="A4790">
            <v>0</v>
          </cell>
        </row>
        <row r="4791">
          <cell r="A4791">
            <v>0</v>
          </cell>
        </row>
        <row r="4792">
          <cell r="A4792">
            <v>0</v>
          </cell>
        </row>
        <row r="4793">
          <cell r="A4793">
            <v>0</v>
          </cell>
        </row>
        <row r="4794">
          <cell r="A4794">
            <v>0</v>
          </cell>
        </row>
        <row r="4795">
          <cell r="A4795">
            <v>0</v>
          </cell>
        </row>
        <row r="4796">
          <cell r="A4796">
            <v>0</v>
          </cell>
        </row>
        <row r="4797">
          <cell r="A4797">
            <v>0</v>
          </cell>
        </row>
        <row r="4798">
          <cell r="A4798">
            <v>0</v>
          </cell>
        </row>
        <row r="4799">
          <cell r="A4799">
            <v>0</v>
          </cell>
        </row>
        <row r="4800">
          <cell r="A4800">
            <v>0</v>
          </cell>
        </row>
        <row r="4801">
          <cell r="A4801">
            <v>0</v>
          </cell>
        </row>
        <row r="4802">
          <cell r="A4802">
            <v>0</v>
          </cell>
        </row>
        <row r="4803">
          <cell r="A4803">
            <v>0</v>
          </cell>
        </row>
        <row r="4804">
          <cell r="A4804">
            <v>0</v>
          </cell>
        </row>
        <row r="4805">
          <cell r="A4805">
            <v>0</v>
          </cell>
        </row>
        <row r="4806">
          <cell r="A4806">
            <v>0</v>
          </cell>
        </row>
        <row r="4807">
          <cell r="A4807">
            <v>0</v>
          </cell>
        </row>
        <row r="4808">
          <cell r="A4808">
            <v>0</v>
          </cell>
        </row>
        <row r="4809">
          <cell r="A4809">
            <v>0</v>
          </cell>
        </row>
        <row r="4810">
          <cell r="A4810">
            <v>0</v>
          </cell>
        </row>
        <row r="4811">
          <cell r="A4811">
            <v>0</v>
          </cell>
        </row>
        <row r="4812">
          <cell r="A4812">
            <v>0</v>
          </cell>
        </row>
        <row r="4813">
          <cell r="A4813">
            <v>0</v>
          </cell>
        </row>
        <row r="4814">
          <cell r="A4814">
            <v>0</v>
          </cell>
        </row>
        <row r="4815">
          <cell r="A4815">
            <v>0</v>
          </cell>
        </row>
        <row r="4816">
          <cell r="A4816">
            <v>0</v>
          </cell>
        </row>
        <row r="4817">
          <cell r="A4817">
            <v>0</v>
          </cell>
        </row>
        <row r="4818">
          <cell r="A4818">
            <v>0</v>
          </cell>
        </row>
        <row r="4819">
          <cell r="A4819">
            <v>0</v>
          </cell>
        </row>
        <row r="4820">
          <cell r="A4820">
            <v>0</v>
          </cell>
        </row>
        <row r="4821">
          <cell r="A4821">
            <v>0</v>
          </cell>
        </row>
        <row r="4822">
          <cell r="A4822">
            <v>0</v>
          </cell>
        </row>
        <row r="4823">
          <cell r="A4823">
            <v>0</v>
          </cell>
        </row>
        <row r="4824">
          <cell r="A4824">
            <v>0</v>
          </cell>
        </row>
        <row r="4825">
          <cell r="A4825">
            <v>0</v>
          </cell>
        </row>
        <row r="4826">
          <cell r="A4826">
            <v>0</v>
          </cell>
        </row>
        <row r="4827">
          <cell r="A4827">
            <v>0</v>
          </cell>
        </row>
        <row r="4828">
          <cell r="A4828">
            <v>0</v>
          </cell>
        </row>
        <row r="4829">
          <cell r="A4829">
            <v>0</v>
          </cell>
        </row>
        <row r="4830">
          <cell r="A4830">
            <v>0</v>
          </cell>
        </row>
        <row r="4831">
          <cell r="A4831">
            <v>0</v>
          </cell>
        </row>
        <row r="4832">
          <cell r="A4832">
            <v>0</v>
          </cell>
        </row>
        <row r="4833">
          <cell r="A4833">
            <v>0</v>
          </cell>
        </row>
        <row r="4834">
          <cell r="A4834">
            <v>0</v>
          </cell>
        </row>
        <row r="4835">
          <cell r="A4835">
            <v>0</v>
          </cell>
        </row>
        <row r="4836">
          <cell r="A4836">
            <v>0</v>
          </cell>
        </row>
        <row r="4837">
          <cell r="A4837">
            <v>0</v>
          </cell>
        </row>
        <row r="4838">
          <cell r="A4838">
            <v>0</v>
          </cell>
        </row>
        <row r="4839">
          <cell r="A4839">
            <v>0</v>
          </cell>
        </row>
        <row r="4840">
          <cell r="A4840">
            <v>0</v>
          </cell>
        </row>
        <row r="4841">
          <cell r="A4841">
            <v>0</v>
          </cell>
        </row>
        <row r="4842">
          <cell r="A4842">
            <v>0</v>
          </cell>
        </row>
        <row r="4843">
          <cell r="A4843">
            <v>0</v>
          </cell>
        </row>
        <row r="4844">
          <cell r="A4844">
            <v>0</v>
          </cell>
        </row>
        <row r="4845">
          <cell r="A4845">
            <v>0</v>
          </cell>
        </row>
        <row r="4846">
          <cell r="A4846">
            <v>0</v>
          </cell>
        </row>
        <row r="4847">
          <cell r="A4847">
            <v>0</v>
          </cell>
        </row>
        <row r="4848">
          <cell r="A4848">
            <v>0</v>
          </cell>
        </row>
        <row r="4849">
          <cell r="A4849">
            <v>0</v>
          </cell>
        </row>
        <row r="4850">
          <cell r="A4850">
            <v>0</v>
          </cell>
        </row>
        <row r="4851">
          <cell r="A4851">
            <v>0</v>
          </cell>
        </row>
        <row r="4852">
          <cell r="A4852">
            <v>0</v>
          </cell>
        </row>
        <row r="4853">
          <cell r="A4853">
            <v>0</v>
          </cell>
        </row>
        <row r="4854">
          <cell r="A4854">
            <v>0</v>
          </cell>
        </row>
        <row r="4855">
          <cell r="A4855">
            <v>0</v>
          </cell>
        </row>
        <row r="4856">
          <cell r="A4856">
            <v>0</v>
          </cell>
        </row>
        <row r="4857">
          <cell r="A4857">
            <v>0</v>
          </cell>
        </row>
        <row r="4858">
          <cell r="A4858">
            <v>0</v>
          </cell>
        </row>
        <row r="4859">
          <cell r="A4859">
            <v>0</v>
          </cell>
        </row>
        <row r="4860">
          <cell r="A4860">
            <v>0</v>
          </cell>
        </row>
        <row r="4861">
          <cell r="A4861">
            <v>0</v>
          </cell>
        </row>
        <row r="4862">
          <cell r="A4862">
            <v>0</v>
          </cell>
        </row>
        <row r="4863">
          <cell r="A4863">
            <v>0</v>
          </cell>
        </row>
        <row r="4864">
          <cell r="A4864">
            <v>0</v>
          </cell>
        </row>
        <row r="4865">
          <cell r="A4865">
            <v>0</v>
          </cell>
        </row>
        <row r="4866">
          <cell r="A4866">
            <v>0</v>
          </cell>
        </row>
        <row r="4867">
          <cell r="A4867">
            <v>0</v>
          </cell>
        </row>
        <row r="4868">
          <cell r="A4868">
            <v>0</v>
          </cell>
        </row>
        <row r="4869">
          <cell r="A4869">
            <v>0</v>
          </cell>
        </row>
        <row r="4870">
          <cell r="A4870">
            <v>0</v>
          </cell>
        </row>
        <row r="4871">
          <cell r="A4871">
            <v>0</v>
          </cell>
        </row>
        <row r="4872">
          <cell r="A4872">
            <v>0</v>
          </cell>
        </row>
        <row r="4873">
          <cell r="A4873">
            <v>0</v>
          </cell>
        </row>
        <row r="4874">
          <cell r="A4874">
            <v>0</v>
          </cell>
        </row>
        <row r="4875">
          <cell r="A4875">
            <v>0</v>
          </cell>
        </row>
        <row r="4876">
          <cell r="A4876">
            <v>0</v>
          </cell>
        </row>
        <row r="4877">
          <cell r="A4877">
            <v>0</v>
          </cell>
        </row>
        <row r="4878">
          <cell r="A4878">
            <v>0</v>
          </cell>
        </row>
        <row r="4879">
          <cell r="A4879">
            <v>0</v>
          </cell>
        </row>
        <row r="4880">
          <cell r="A4880">
            <v>0</v>
          </cell>
        </row>
        <row r="4881">
          <cell r="A4881">
            <v>0</v>
          </cell>
        </row>
        <row r="4882">
          <cell r="A4882">
            <v>0</v>
          </cell>
        </row>
        <row r="4883">
          <cell r="A4883">
            <v>0</v>
          </cell>
        </row>
        <row r="4884">
          <cell r="A4884">
            <v>0</v>
          </cell>
        </row>
        <row r="4885">
          <cell r="A4885">
            <v>0</v>
          </cell>
        </row>
        <row r="4886">
          <cell r="A4886">
            <v>0</v>
          </cell>
        </row>
        <row r="4887">
          <cell r="A4887">
            <v>0</v>
          </cell>
        </row>
        <row r="4888">
          <cell r="A4888">
            <v>0</v>
          </cell>
        </row>
        <row r="4889">
          <cell r="A4889">
            <v>0</v>
          </cell>
        </row>
        <row r="4890">
          <cell r="A4890">
            <v>0</v>
          </cell>
        </row>
        <row r="4891">
          <cell r="A4891">
            <v>0</v>
          </cell>
        </row>
        <row r="4892">
          <cell r="A4892">
            <v>0</v>
          </cell>
        </row>
        <row r="4893">
          <cell r="A4893">
            <v>0</v>
          </cell>
        </row>
        <row r="4894">
          <cell r="A4894">
            <v>0</v>
          </cell>
        </row>
        <row r="4895">
          <cell r="A4895">
            <v>0</v>
          </cell>
        </row>
        <row r="4896">
          <cell r="A4896">
            <v>0</v>
          </cell>
        </row>
        <row r="4897">
          <cell r="A4897">
            <v>0</v>
          </cell>
        </row>
        <row r="4898">
          <cell r="A4898">
            <v>0</v>
          </cell>
        </row>
        <row r="4899">
          <cell r="A4899">
            <v>0</v>
          </cell>
        </row>
        <row r="4900">
          <cell r="A4900">
            <v>0</v>
          </cell>
        </row>
        <row r="4901">
          <cell r="A4901">
            <v>0</v>
          </cell>
        </row>
        <row r="4902">
          <cell r="A4902">
            <v>0</v>
          </cell>
        </row>
        <row r="4903">
          <cell r="A4903">
            <v>0</v>
          </cell>
        </row>
        <row r="4904">
          <cell r="A4904">
            <v>0</v>
          </cell>
        </row>
        <row r="4905">
          <cell r="A4905">
            <v>0</v>
          </cell>
        </row>
        <row r="4906">
          <cell r="A4906">
            <v>0</v>
          </cell>
        </row>
        <row r="4907">
          <cell r="A4907">
            <v>0</v>
          </cell>
        </row>
        <row r="4908">
          <cell r="A4908">
            <v>0</v>
          </cell>
        </row>
        <row r="4909">
          <cell r="A4909">
            <v>0</v>
          </cell>
        </row>
        <row r="4910">
          <cell r="A4910">
            <v>0</v>
          </cell>
        </row>
        <row r="4911">
          <cell r="A4911">
            <v>0</v>
          </cell>
        </row>
        <row r="4912">
          <cell r="A4912">
            <v>0</v>
          </cell>
        </row>
        <row r="4913">
          <cell r="A4913">
            <v>0</v>
          </cell>
        </row>
        <row r="4914">
          <cell r="A4914">
            <v>0</v>
          </cell>
        </row>
        <row r="4915">
          <cell r="A4915">
            <v>0</v>
          </cell>
        </row>
        <row r="4916">
          <cell r="A4916">
            <v>0</v>
          </cell>
        </row>
        <row r="4917">
          <cell r="A4917">
            <v>0</v>
          </cell>
        </row>
        <row r="4918">
          <cell r="A4918">
            <v>0</v>
          </cell>
        </row>
        <row r="4919">
          <cell r="A4919">
            <v>0</v>
          </cell>
        </row>
        <row r="4920">
          <cell r="A4920">
            <v>0</v>
          </cell>
        </row>
        <row r="4921">
          <cell r="A4921">
            <v>0</v>
          </cell>
        </row>
        <row r="4922">
          <cell r="A4922">
            <v>0</v>
          </cell>
        </row>
        <row r="4923">
          <cell r="A4923">
            <v>0</v>
          </cell>
        </row>
        <row r="4924">
          <cell r="A4924">
            <v>0</v>
          </cell>
        </row>
        <row r="4925">
          <cell r="A4925">
            <v>0</v>
          </cell>
        </row>
        <row r="4926">
          <cell r="A4926">
            <v>0</v>
          </cell>
        </row>
        <row r="4927">
          <cell r="A4927">
            <v>0</v>
          </cell>
        </row>
        <row r="4928">
          <cell r="A4928">
            <v>0</v>
          </cell>
        </row>
        <row r="4929">
          <cell r="A4929">
            <v>0</v>
          </cell>
        </row>
        <row r="4930">
          <cell r="A4930">
            <v>0</v>
          </cell>
        </row>
        <row r="4931">
          <cell r="A4931">
            <v>0</v>
          </cell>
        </row>
        <row r="4932">
          <cell r="A4932">
            <v>0</v>
          </cell>
        </row>
        <row r="4933">
          <cell r="A4933">
            <v>0</v>
          </cell>
        </row>
        <row r="4934">
          <cell r="A4934">
            <v>0</v>
          </cell>
        </row>
        <row r="4935">
          <cell r="A4935">
            <v>0</v>
          </cell>
        </row>
        <row r="4936">
          <cell r="A4936">
            <v>0</v>
          </cell>
        </row>
        <row r="4937">
          <cell r="A4937">
            <v>0</v>
          </cell>
        </row>
        <row r="4938">
          <cell r="A4938">
            <v>0</v>
          </cell>
        </row>
        <row r="4939">
          <cell r="A4939">
            <v>0</v>
          </cell>
        </row>
        <row r="4940">
          <cell r="A4940">
            <v>0</v>
          </cell>
        </row>
        <row r="4941">
          <cell r="A4941">
            <v>0</v>
          </cell>
        </row>
        <row r="4942">
          <cell r="A4942">
            <v>0</v>
          </cell>
        </row>
        <row r="4943">
          <cell r="A4943">
            <v>0</v>
          </cell>
        </row>
        <row r="4944">
          <cell r="A4944">
            <v>0</v>
          </cell>
        </row>
        <row r="4945">
          <cell r="A4945">
            <v>0</v>
          </cell>
        </row>
        <row r="4946">
          <cell r="A4946">
            <v>0</v>
          </cell>
        </row>
        <row r="4947">
          <cell r="A4947">
            <v>0</v>
          </cell>
        </row>
        <row r="4948">
          <cell r="A4948">
            <v>0</v>
          </cell>
        </row>
        <row r="4949">
          <cell r="A4949">
            <v>0</v>
          </cell>
        </row>
        <row r="4950">
          <cell r="A4950">
            <v>0</v>
          </cell>
        </row>
        <row r="4951">
          <cell r="A4951">
            <v>0</v>
          </cell>
        </row>
        <row r="4952">
          <cell r="A4952">
            <v>0</v>
          </cell>
        </row>
        <row r="4953">
          <cell r="A4953">
            <v>0</v>
          </cell>
        </row>
        <row r="4954">
          <cell r="A4954">
            <v>0</v>
          </cell>
        </row>
        <row r="4955">
          <cell r="A4955">
            <v>0</v>
          </cell>
        </row>
        <row r="4956">
          <cell r="A4956">
            <v>0</v>
          </cell>
        </row>
        <row r="4957">
          <cell r="A4957">
            <v>0</v>
          </cell>
        </row>
        <row r="4958">
          <cell r="A4958">
            <v>0</v>
          </cell>
        </row>
        <row r="4959">
          <cell r="A4959">
            <v>0</v>
          </cell>
        </row>
        <row r="4960">
          <cell r="A4960">
            <v>0</v>
          </cell>
        </row>
        <row r="4961">
          <cell r="A4961">
            <v>0</v>
          </cell>
        </row>
        <row r="4962">
          <cell r="A4962">
            <v>0</v>
          </cell>
        </row>
        <row r="4963">
          <cell r="A4963">
            <v>0</v>
          </cell>
        </row>
        <row r="4964">
          <cell r="A4964">
            <v>0</v>
          </cell>
        </row>
        <row r="4965">
          <cell r="A4965">
            <v>0</v>
          </cell>
        </row>
        <row r="4966">
          <cell r="A4966">
            <v>0</v>
          </cell>
        </row>
        <row r="4967">
          <cell r="A4967">
            <v>0</v>
          </cell>
        </row>
        <row r="4968">
          <cell r="A4968">
            <v>0</v>
          </cell>
        </row>
        <row r="4969">
          <cell r="A4969">
            <v>0</v>
          </cell>
        </row>
        <row r="4970">
          <cell r="A4970">
            <v>0</v>
          </cell>
        </row>
        <row r="4971">
          <cell r="A4971">
            <v>0</v>
          </cell>
        </row>
        <row r="4972">
          <cell r="A4972">
            <v>0</v>
          </cell>
        </row>
        <row r="4973">
          <cell r="A4973">
            <v>0</v>
          </cell>
        </row>
        <row r="4974">
          <cell r="A4974">
            <v>0</v>
          </cell>
        </row>
        <row r="4975">
          <cell r="A4975">
            <v>0</v>
          </cell>
        </row>
        <row r="4976">
          <cell r="A4976">
            <v>0</v>
          </cell>
        </row>
        <row r="4977">
          <cell r="A4977">
            <v>0</v>
          </cell>
        </row>
        <row r="4978">
          <cell r="A4978">
            <v>0</v>
          </cell>
        </row>
        <row r="4979">
          <cell r="A4979">
            <v>0</v>
          </cell>
        </row>
        <row r="4980">
          <cell r="A4980">
            <v>0</v>
          </cell>
        </row>
        <row r="4981">
          <cell r="A4981">
            <v>0</v>
          </cell>
        </row>
        <row r="4982">
          <cell r="A4982">
            <v>0</v>
          </cell>
        </row>
        <row r="4983">
          <cell r="A4983">
            <v>0</v>
          </cell>
        </row>
        <row r="4984">
          <cell r="A4984">
            <v>0</v>
          </cell>
        </row>
        <row r="4985">
          <cell r="A4985">
            <v>0</v>
          </cell>
        </row>
        <row r="4986">
          <cell r="A4986">
            <v>0</v>
          </cell>
        </row>
        <row r="4987">
          <cell r="A4987">
            <v>0</v>
          </cell>
        </row>
        <row r="4988">
          <cell r="A4988">
            <v>0</v>
          </cell>
        </row>
        <row r="4989">
          <cell r="A4989">
            <v>0</v>
          </cell>
        </row>
        <row r="4990">
          <cell r="A4990">
            <v>0</v>
          </cell>
        </row>
        <row r="4991">
          <cell r="A4991">
            <v>0</v>
          </cell>
        </row>
        <row r="4992">
          <cell r="A4992">
            <v>0</v>
          </cell>
        </row>
        <row r="4993">
          <cell r="A4993">
            <v>0</v>
          </cell>
        </row>
        <row r="4994">
          <cell r="A4994">
            <v>0</v>
          </cell>
        </row>
        <row r="4995">
          <cell r="A4995">
            <v>0</v>
          </cell>
        </row>
        <row r="4996">
          <cell r="A4996">
            <v>0</v>
          </cell>
        </row>
        <row r="4997">
          <cell r="A4997">
            <v>0</v>
          </cell>
        </row>
        <row r="4998">
          <cell r="A4998">
            <v>0</v>
          </cell>
        </row>
        <row r="4999">
          <cell r="A4999">
            <v>0</v>
          </cell>
        </row>
        <row r="5000">
          <cell r="A5000">
            <v>0</v>
          </cell>
        </row>
        <row r="5001">
          <cell r="A5001">
            <v>0</v>
          </cell>
        </row>
        <row r="5002">
          <cell r="A5002">
            <v>0</v>
          </cell>
        </row>
        <row r="5003">
          <cell r="A5003">
            <v>0</v>
          </cell>
        </row>
        <row r="5004">
          <cell r="A5004">
            <v>0</v>
          </cell>
        </row>
        <row r="5005">
          <cell r="A5005">
            <v>0</v>
          </cell>
        </row>
        <row r="5006">
          <cell r="A5006">
            <v>0</v>
          </cell>
        </row>
        <row r="5007">
          <cell r="A5007">
            <v>0</v>
          </cell>
        </row>
        <row r="5008">
          <cell r="A5008">
            <v>0</v>
          </cell>
        </row>
        <row r="5009">
          <cell r="A5009">
            <v>0</v>
          </cell>
        </row>
        <row r="5010">
          <cell r="A5010">
            <v>0</v>
          </cell>
        </row>
        <row r="5011">
          <cell r="A5011">
            <v>0</v>
          </cell>
        </row>
        <row r="5012">
          <cell r="A5012">
            <v>0</v>
          </cell>
        </row>
        <row r="5013">
          <cell r="A5013">
            <v>0</v>
          </cell>
        </row>
        <row r="5014">
          <cell r="A5014">
            <v>0</v>
          </cell>
        </row>
        <row r="5015">
          <cell r="A5015">
            <v>0</v>
          </cell>
        </row>
        <row r="5016">
          <cell r="A5016">
            <v>0</v>
          </cell>
        </row>
        <row r="5017">
          <cell r="A5017">
            <v>0</v>
          </cell>
        </row>
        <row r="5018">
          <cell r="A5018">
            <v>0</v>
          </cell>
        </row>
        <row r="5019">
          <cell r="A5019">
            <v>0</v>
          </cell>
        </row>
        <row r="5020">
          <cell r="A5020">
            <v>0</v>
          </cell>
        </row>
        <row r="5021">
          <cell r="A5021">
            <v>0</v>
          </cell>
        </row>
        <row r="5022">
          <cell r="A5022">
            <v>0</v>
          </cell>
        </row>
        <row r="5023">
          <cell r="A5023">
            <v>0</v>
          </cell>
        </row>
        <row r="5024">
          <cell r="A5024">
            <v>0</v>
          </cell>
        </row>
        <row r="5025">
          <cell r="A5025">
            <v>0</v>
          </cell>
        </row>
        <row r="5026">
          <cell r="A5026">
            <v>0</v>
          </cell>
        </row>
        <row r="5027">
          <cell r="A5027">
            <v>0</v>
          </cell>
        </row>
        <row r="5028">
          <cell r="A5028">
            <v>0</v>
          </cell>
        </row>
        <row r="5029">
          <cell r="A5029">
            <v>0</v>
          </cell>
        </row>
        <row r="5030">
          <cell r="A5030">
            <v>0</v>
          </cell>
        </row>
        <row r="5031">
          <cell r="A5031">
            <v>0</v>
          </cell>
        </row>
        <row r="5032">
          <cell r="A5032">
            <v>0</v>
          </cell>
        </row>
        <row r="5033">
          <cell r="A5033">
            <v>0</v>
          </cell>
        </row>
        <row r="5034">
          <cell r="A5034">
            <v>0</v>
          </cell>
        </row>
        <row r="5035">
          <cell r="A5035">
            <v>0</v>
          </cell>
        </row>
        <row r="5036">
          <cell r="A5036">
            <v>0</v>
          </cell>
        </row>
        <row r="5037">
          <cell r="A5037">
            <v>0</v>
          </cell>
        </row>
        <row r="5038">
          <cell r="A5038">
            <v>0</v>
          </cell>
        </row>
        <row r="5039">
          <cell r="A5039">
            <v>0</v>
          </cell>
        </row>
        <row r="5040">
          <cell r="A5040">
            <v>0</v>
          </cell>
        </row>
        <row r="5041">
          <cell r="A5041">
            <v>0</v>
          </cell>
        </row>
        <row r="5042">
          <cell r="A5042">
            <v>0</v>
          </cell>
        </row>
        <row r="5043">
          <cell r="A5043">
            <v>0</v>
          </cell>
        </row>
        <row r="5044">
          <cell r="A5044">
            <v>0</v>
          </cell>
        </row>
        <row r="5045">
          <cell r="A5045">
            <v>0</v>
          </cell>
        </row>
        <row r="5046">
          <cell r="A5046">
            <v>0</v>
          </cell>
        </row>
        <row r="5047">
          <cell r="A5047">
            <v>0</v>
          </cell>
        </row>
        <row r="5048">
          <cell r="A5048">
            <v>0</v>
          </cell>
        </row>
        <row r="5049">
          <cell r="A5049">
            <v>0</v>
          </cell>
        </row>
        <row r="5050">
          <cell r="A5050">
            <v>0</v>
          </cell>
        </row>
        <row r="5051">
          <cell r="A5051">
            <v>0</v>
          </cell>
        </row>
        <row r="5052">
          <cell r="A5052">
            <v>0</v>
          </cell>
        </row>
        <row r="5053">
          <cell r="A5053">
            <v>0</v>
          </cell>
        </row>
        <row r="5054">
          <cell r="A5054">
            <v>0</v>
          </cell>
        </row>
        <row r="5055">
          <cell r="A5055">
            <v>0</v>
          </cell>
        </row>
        <row r="5056">
          <cell r="A5056">
            <v>0</v>
          </cell>
        </row>
        <row r="5057">
          <cell r="A5057">
            <v>0</v>
          </cell>
        </row>
        <row r="5058">
          <cell r="A5058">
            <v>0</v>
          </cell>
        </row>
        <row r="5059">
          <cell r="A5059">
            <v>0</v>
          </cell>
        </row>
        <row r="5060">
          <cell r="A5060">
            <v>0</v>
          </cell>
        </row>
        <row r="5061">
          <cell r="A5061">
            <v>0</v>
          </cell>
        </row>
        <row r="5062">
          <cell r="A5062">
            <v>0</v>
          </cell>
        </row>
        <row r="5063">
          <cell r="A5063">
            <v>0</v>
          </cell>
        </row>
        <row r="5064">
          <cell r="A5064">
            <v>0</v>
          </cell>
        </row>
        <row r="5065">
          <cell r="A5065">
            <v>0</v>
          </cell>
        </row>
        <row r="5066">
          <cell r="A5066">
            <v>0</v>
          </cell>
        </row>
        <row r="5067">
          <cell r="A5067">
            <v>0</v>
          </cell>
        </row>
        <row r="5068">
          <cell r="A5068">
            <v>0</v>
          </cell>
        </row>
        <row r="5069">
          <cell r="A5069">
            <v>0</v>
          </cell>
        </row>
        <row r="5070">
          <cell r="A5070">
            <v>0</v>
          </cell>
        </row>
        <row r="5071">
          <cell r="A5071">
            <v>0</v>
          </cell>
        </row>
        <row r="5072">
          <cell r="A5072">
            <v>0</v>
          </cell>
        </row>
        <row r="5073">
          <cell r="A5073">
            <v>0</v>
          </cell>
        </row>
        <row r="5074">
          <cell r="A5074">
            <v>0</v>
          </cell>
        </row>
        <row r="5075">
          <cell r="A5075">
            <v>0</v>
          </cell>
        </row>
        <row r="5076">
          <cell r="A5076">
            <v>0</v>
          </cell>
        </row>
        <row r="5077">
          <cell r="A5077">
            <v>0</v>
          </cell>
        </row>
        <row r="5078">
          <cell r="A5078">
            <v>0</v>
          </cell>
        </row>
        <row r="5079">
          <cell r="A5079">
            <v>0</v>
          </cell>
        </row>
        <row r="5080">
          <cell r="A5080">
            <v>0</v>
          </cell>
        </row>
        <row r="5081">
          <cell r="A5081">
            <v>0</v>
          </cell>
        </row>
        <row r="5082">
          <cell r="A5082">
            <v>0</v>
          </cell>
        </row>
        <row r="5083">
          <cell r="A5083">
            <v>0</v>
          </cell>
        </row>
        <row r="5084">
          <cell r="A5084">
            <v>0</v>
          </cell>
        </row>
        <row r="5085">
          <cell r="A5085">
            <v>0</v>
          </cell>
        </row>
        <row r="5086">
          <cell r="A5086">
            <v>0</v>
          </cell>
        </row>
        <row r="5087">
          <cell r="A5087">
            <v>0</v>
          </cell>
        </row>
        <row r="5088">
          <cell r="A5088">
            <v>0</v>
          </cell>
        </row>
        <row r="5089">
          <cell r="A5089">
            <v>0</v>
          </cell>
        </row>
        <row r="5090">
          <cell r="A5090">
            <v>0</v>
          </cell>
        </row>
        <row r="5091">
          <cell r="A5091">
            <v>0</v>
          </cell>
        </row>
        <row r="5092">
          <cell r="A5092">
            <v>0</v>
          </cell>
        </row>
        <row r="5093">
          <cell r="A5093">
            <v>0</v>
          </cell>
        </row>
        <row r="5094">
          <cell r="A5094">
            <v>0</v>
          </cell>
        </row>
        <row r="5095">
          <cell r="A5095">
            <v>0</v>
          </cell>
        </row>
        <row r="5096">
          <cell r="A5096">
            <v>0</v>
          </cell>
        </row>
        <row r="5097">
          <cell r="A5097">
            <v>0</v>
          </cell>
        </row>
        <row r="5098">
          <cell r="A5098">
            <v>0</v>
          </cell>
        </row>
        <row r="5099">
          <cell r="A5099">
            <v>0</v>
          </cell>
        </row>
        <row r="5100">
          <cell r="A5100">
            <v>0</v>
          </cell>
        </row>
        <row r="5101">
          <cell r="A5101">
            <v>0</v>
          </cell>
        </row>
        <row r="5102">
          <cell r="A5102">
            <v>0</v>
          </cell>
        </row>
        <row r="5103">
          <cell r="A5103">
            <v>0</v>
          </cell>
        </row>
        <row r="5104">
          <cell r="A5104">
            <v>0</v>
          </cell>
        </row>
        <row r="5105">
          <cell r="A5105">
            <v>0</v>
          </cell>
        </row>
        <row r="5106">
          <cell r="A5106">
            <v>0</v>
          </cell>
        </row>
        <row r="5107">
          <cell r="A5107">
            <v>0</v>
          </cell>
        </row>
        <row r="5108">
          <cell r="A5108">
            <v>0</v>
          </cell>
        </row>
        <row r="5109">
          <cell r="A5109">
            <v>0</v>
          </cell>
        </row>
        <row r="5110">
          <cell r="A5110">
            <v>0</v>
          </cell>
        </row>
        <row r="5111">
          <cell r="A5111">
            <v>0</v>
          </cell>
        </row>
        <row r="5112">
          <cell r="A5112">
            <v>0</v>
          </cell>
        </row>
        <row r="5113">
          <cell r="A5113">
            <v>0</v>
          </cell>
        </row>
        <row r="5114">
          <cell r="A5114">
            <v>0</v>
          </cell>
        </row>
        <row r="5115">
          <cell r="A5115">
            <v>0</v>
          </cell>
        </row>
        <row r="5116">
          <cell r="A5116">
            <v>0</v>
          </cell>
        </row>
        <row r="5117">
          <cell r="A5117">
            <v>0</v>
          </cell>
        </row>
        <row r="5118">
          <cell r="A5118">
            <v>0</v>
          </cell>
        </row>
        <row r="5119">
          <cell r="A5119">
            <v>0</v>
          </cell>
        </row>
        <row r="5120">
          <cell r="A5120">
            <v>0</v>
          </cell>
        </row>
        <row r="5121">
          <cell r="A5121">
            <v>0</v>
          </cell>
        </row>
        <row r="5122">
          <cell r="A5122">
            <v>0</v>
          </cell>
        </row>
        <row r="5123">
          <cell r="A5123">
            <v>0</v>
          </cell>
        </row>
        <row r="5124">
          <cell r="A5124">
            <v>0</v>
          </cell>
        </row>
        <row r="5125">
          <cell r="A5125">
            <v>0</v>
          </cell>
        </row>
        <row r="5126">
          <cell r="A5126">
            <v>0</v>
          </cell>
        </row>
        <row r="5127">
          <cell r="A5127">
            <v>0</v>
          </cell>
        </row>
        <row r="5128">
          <cell r="A5128">
            <v>0</v>
          </cell>
        </row>
        <row r="5129">
          <cell r="A5129">
            <v>0</v>
          </cell>
        </row>
        <row r="5130">
          <cell r="A5130">
            <v>0</v>
          </cell>
        </row>
        <row r="5131">
          <cell r="A5131">
            <v>0</v>
          </cell>
        </row>
        <row r="5132">
          <cell r="A5132">
            <v>0</v>
          </cell>
        </row>
        <row r="5133">
          <cell r="A5133">
            <v>0</v>
          </cell>
        </row>
        <row r="5134">
          <cell r="A5134">
            <v>0</v>
          </cell>
        </row>
        <row r="5135">
          <cell r="A5135">
            <v>0</v>
          </cell>
        </row>
        <row r="5136">
          <cell r="A5136">
            <v>0</v>
          </cell>
        </row>
        <row r="5137">
          <cell r="A5137">
            <v>0</v>
          </cell>
        </row>
        <row r="5138">
          <cell r="A5138">
            <v>0</v>
          </cell>
        </row>
        <row r="5139">
          <cell r="A5139">
            <v>0</v>
          </cell>
        </row>
        <row r="5140">
          <cell r="A5140">
            <v>0</v>
          </cell>
        </row>
        <row r="5141">
          <cell r="A5141">
            <v>0</v>
          </cell>
        </row>
        <row r="5142">
          <cell r="A5142">
            <v>0</v>
          </cell>
        </row>
        <row r="5143">
          <cell r="A5143">
            <v>0</v>
          </cell>
        </row>
        <row r="5144">
          <cell r="A5144">
            <v>0</v>
          </cell>
        </row>
        <row r="5145">
          <cell r="A5145">
            <v>0</v>
          </cell>
        </row>
        <row r="5146">
          <cell r="A5146">
            <v>0</v>
          </cell>
        </row>
        <row r="5147">
          <cell r="A5147">
            <v>0</v>
          </cell>
        </row>
        <row r="5148">
          <cell r="A5148">
            <v>0</v>
          </cell>
        </row>
        <row r="5149">
          <cell r="A5149">
            <v>0</v>
          </cell>
        </row>
        <row r="5150">
          <cell r="A5150">
            <v>0</v>
          </cell>
        </row>
        <row r="5151">
          <cell r="A5151">
            <v>0</v>
          </cell>
        </row>
        <row r="5152">
          <cell r="A5152">
            <v>0</v>
          </cell>
        </row>
        <row r="5153">
          <cell r="A5153">
            <v>0</v>
          </cell>
        </row>
        <row r="5154">
          <cell r="A5154">
            <v>0</v>
          </cell>
        </row>
        <row r="5155">
          <cell r="A5155">
            <v>0</v>
          </cell>
        </row>
        <row r="5156">
          <cell r="A5156">
            <v>0</v>
          </cell>
        </row>
        <row r="5157">
          <cell r="A5157">
            <v>0</v>
          </cell>
        </row>
        <row r="5158">
          <cell r="A5158">
            <v>0</v>
          </cell>
        </row>
        <row r="5159">
          <cell r="A5159">
            <v>0</v>
          </cell>
        </row>
        <row r="5160">
          <cell r="A5160">
            <v>0</v>
          </cell>
        </row>
        <row r="5161">
          <cell r="A5161">
            <v>0</v>
          </cell>
        </row>
        <row r="5162">
          <cell r="A5162">
            <v>0</v>
          </cell>
        </row>
        <row r="5163">
          <cell r="A5163">
            <v>0</v>
          </cell>
        </row>
        <row r="5164">
          <cell r="A5164">
            <v>0</v>
          </cell>
        </row>
        <row r="5165">
          <cell r="A5165">
            <v>0</v>
          </cell>
        </row>
        <row r="5166">
          <cell r="A5166">
            <v>0</v>
          </cell>
        </row>
        <row r="5167">
          <cell r="A5167">
            <v>0</v>
          </cell>
        </row>
        <row r="5168">
          <cell r="A5168">
            <v>0</v>
          </cell>
        </row>
        <row r="5169">
          <cell r="A5169">
            <v>0</v>
          </cell>
        </row>
        <row r="5170">
          <cell r="A5170">
            <v>0</v>
          </cell>
        </row>
        <row r="5171">
          <cell r="A5171">
            <v>0</v>
          </cell>
        </row>
        <row r="5172">
          <cell r="A5172">
            <v>0</v>
          </cell>
        </row>
        <row r="5173">
          <cell r="A5173">
            <v>0</v>
          </cell>
        </row>
        <row r="5174">
          <cell r="A5174">
            <v>0</v>
          </cell>
        </row>
        <row r="5175">
          <cell r="A5175">
            <v>0</v>
          </cell>
        </row>
        <row r="5176">
          <cell r="A5176">
            <v>0</v>
          </cell>
        </row>
        <row r="5177">
          <cell r="A5177">
            <v>0</v>
          </cell>
        </row>
        <row r="5178">
          <cell r="A5178">
            <v>0</v>
          </cell>
        </row>
        <row r="5179">
          <cell r="A5179">
            <v>0</v>
          </cell>
        </row>
        <row r="5180">
          <cell r="A5180">
            <v>0</v>
          </cell>
        </row>
        <row r="5181">
          <cell r="A5181">
            <v>0</v>
          </cell>
        </row>
        <row r="5182">
          <cell r="A5182">
            <v>0</v>
          </cell>
        </row>
        <row r="5183">
          <cell r="A5183">
            <v>0</v>
          </cell>
        </row>
        <row r="5184">
          <cell r="A5184">
            <v>0</v>
          </cell>
        </row>
        <row r="5185">
          <cell r="A5185">
            <v>0</v>
          </cell>
        </row>
        <row r="5186">
          <cell r="A5186">
            <v>0</v>
          </cell>
        </row>
        <row r="5187">
          <cell r="A5187">
            <v>0</v>
          </cell>
        </row>
        <row r="5188">
          <cell r="A5188">
            <v>0</v>
          </cell>
        </row>
        <row r="5189">
          <cell r="A5189">
            <v>0</v>
          </cell>
        </row>
        <row r="5190">
          <cell r="A5190">
            <v>0</v>
          </cell>
        </row>
        <row r="5191">
          <cell r="A5191">
            <v>0</v>
          </cell>
        </row>
        <row r="5192">
          <cell r="A5192">
            <v>0</v>
          </cell>
        </row>
        <row r="5193">
          <cell r="A5193">
            <v>0</v>
          </cell>
        </row>
        <row r="5194">
          <cell r="A5194">
            <v>0</v>
          </cell>
        </row>
        <row r="5195">
          <cell r="A5195">
            <v>0</v>
          </cell>
        </row>
        <row r="5196">
          <cell r="A5196">
            <v>0</v>
          </cell>
        </row>
        <row r="5197">
          <cell r="A5197">
            <v>0</v>
          </cell>
        </row>
        <row r="5198">
          <cell r="A5198">
            <v>0</v>
          </cell>
        </row>
        <row r="5199">
          <cell r="A5199">
            <v>0</v>
          </cell>
        </row>
        <row r="5200">
          <cell r="A5200">
            <v>0</v>
          </cell>
        </row>
        <row r="5201">
          <cell r="A5201">
            <v>0</v>
          </cell>
        </row>
        <row r="5202">
          <cell r="A5202">
            <v>0</v>
          </cell>
        </row>
        <row r="5203">
          <cell r="A5203">
            <v>0</v>
          </cell>
        </row>
        <row r="5204">
          <cell r="A5204">
            <v>0</v>
          </cell>
        </row>
        <row r="5205">
          <cell r="A5205">
            <v>0</v>
          </cell>
        </row>
        <row r="5206">
          <cell r="A5206">
            <v>0</v>
          </cell>
        </row>
        <row r="5207">
          <cell r="A5207">
            <v>0</v>
          </cell>
        </row>
        <row r="5208">
          <cell r="A5208">
            <v>0</v>
          </cell>
        </row>
        <row r="5209">
          <cell r="A5209">
            <v>0</v>
          </cell>
        </row>
        <row r="5210">
          <cell r="A5210">
            <v>0</v>
          </cell>
        </row>
        <row r="5211">
          <cell r="A5211">
            <v>0</v>
          </cell>
        </row>
        <row r="5212">
          <cell r="A5212">
            <v>0</v>
          </cell>
        </row>
        <row r="5213">
          <cell r="A5213">
            <v>0</v>
          </cell>
        </row>
        <row r="5214">
          <cell r="A5214">
            <v>0</v>
          </cell>
        </row>
        <row r="5215">
          <cell r="A5215">
            <v>0</v>
          </cell>
        </row>
        <row r="5216">
          <cell r="A5216">
            <v>0</v>
          </cell>
        </row>
        <row r="5217">
          <cell r="A5217">
            <v>0</v>
          </cell>
        </row>
        <row r="5218">
          <cell r="A5218">
            <v>0</v>
          </cell>
        </row>
        <row r="5219">
          <cell r="A5219">
            <v>0</v>
          </cell>
        </row>
        <row r="5220">
          <cell r="A5220">
            <v>0</v>
          </cell>
        </row>
        <row r="5221">
          <cell r="A5221">
            <v>0</v>
          </cell>
        </row>
        <row r="5222">
          <cell r="A5222">
            <v>0</v>
          </cell>
        </row>
        <row r="5223">
          <cell r="A5223">
            <v>0</v>
          </cell>
        </row>
        <row r="5224">
          <cell r="A5224">
            <v>0</v>
          </cell>
        </row>
        <row r="5225">
          <cell r="A5225">
            <v>0</v>
          </cell>
        </row>
        <row r="5226">
          <cell r="A5226">
            <v>0</v>
          </cell>
        </row>
        <row r="5227">
          <cell r="A5227">
            <v>0</v>
          </cell>
        </row>
        <row r="5228">
          <cell r="A5228">
            <v>0</v>
          </cell>
        </row>
        <row r="5229">
          <cell r="A5229">
            <v>0</v>
          </cell>
        </row>
        <row r="5230">
          <cell r="A5230">
            <v>0</v>
          </cell>
        </row>
        <row r="5231">
          <cell r="A5231">
            <v>0</v>
          </cell>
        </row>
        <row r="5232">
          <cell r="A5232">
            <v>0</v>
          </cell>
        </row>
        <row r="5233">
          <cell r="A5233">
            <v>0</v>
          </cell>
        </row>
        <row r="5234">
          <cell r="A5234">
            <v>0</v>
          </cell>
        </row>
        <row r="5235">
          <cell r="A5235">
            <v>0</v>
          </cell>
        </row>
        <row r="5236">
          <cell r="A5236">
            <v>0</v>
          </cell>
        </row>
        <row r="5237">
          <cell r="A5237">
            <v>0</v>
          </cell>
        </row>
        <row r="5238">
          <cell r="A5238">
            <v>0</v>
          </cell>
        </row>
        <row r="5239">
          <cell r="A5239">
            <v>0</v>
          </cell>
        </row>
        <row r="5240">
          <cell r="A5240">
            <v>0</v>
          </cell>
        </row>
        <row r="5241">
          <cell r="A5241">
            <v>0</v>
          </cell>
        </row>
        <row r="5242">
          <cell r="A5242">
            <v>0</v>
          </cell>
        </row>
        <row r="5243">
          <cell r="A5243">
            <v>0</v>
          </cell>
        </row>
        <row r="5244">
          <cell r="A5244">
            <v>0</v>
          </cell>
        </row>
        <row r="5245">
          <cell r="A5245">
            <v>0</v>
          </cell>
        </row>
        <row r="5246">
          <cell r="A5246">
            <v>0</v>
          </cell>
        </row>
        <row r="5247">
          <cell r="A5247">
            <v>0</v>
          </cell>
        </row>
        <row r="5248">
          <cell r="A5248">
            <v>0</v>
          </cell>
        </row>
        <row r="5249">
          <cell r="A5249">
            <v>0</v>
          </cell>
        </row>
        <row r="5250">
          <cell r="A5250">
            <v>0</v>
          </cell>
        </row>
        <row r="5251">
          <cell r="A5251">
            <v>0</v>
          </cell>
        </row>
        <row r="5252">
          <cell r="A5252">
            <v>0</v>
          </cell>
        </row>
        <row r="5253">
          <cell r="A5253">
            <v>0</v>
          </cell>
        </row>
        <row r="5254">
          <cell r="A5254">
            <v>0</v>
          </cell>
        </row>
        <row r="5255">
          <cell r="A5255">
            <v>0</v>
          </cell>
        </row>
        <row r="5256">
          <cell r="A5256">
            <v>0</v>
          </cell>
        </row>
        <row r="5257">
          <cell r="A5257">
            <v>0</v>
          </cell>
        </row>
        <row r="5258">
          <cell r="A5258">
            <v>0</v>
          </cell>
        </row>
        <row r="5259">
          <cell r="A5259">
            <v>0</v>
          </cell>
        </row>
        <row r="5260">
          <cell r="A5260">
            <v>0</v>
          </cell>
        </row>
        <row r="5261">
          <cell r="A5261">
            <v>0</v>
          </cell>
        </row>
        <row r="5262">
          <cell r="A5262">
            <v>0</v>
          </cell>
        </row>
        <row r="5263">
          <cell r="A5263">
            <v>0</v>
          </cell>
        </row>
        <row r="5264">
          <cell r="A5264">
            <v>0</v>
          </cell>
        </row>
        <row r="5265">
          <cell r="A5265">
            <v>0</v>
          </cell>
        </row>
        <row r="5266">
          <cell r="A5266">
            <v>0</v>
          </cell>
        </row>
        <row r="5267">
          <cell r="A5267">
            <v>0</v>
          </cell>
        </row>
        <row r="5268">
          <cell r="A5268">
            <v>0</v>
          </cell>
        </row>
        <row r="5269">
          <cell r="A5269">
            <v>0</v>
          </cell>
        </row>
        <row r="5270">
          <cell r="A5270">
            <v>0</v>
          </cell>
        </row>
        <row r="5271">
          <cell r="A5271">
            <v>0</v>
          </cell>
        </row>
        <row r="5272">
          <cell r="A5272">
            <v>0</v>
          </cell>
        </row>
        <row r="5273">
          <cell r="A5273">
            <v>0</v>
          </cell>
        </row>
        <row r="5274">
          <cell r="A5274">
            <v>0</v>
          </cell>
        </row>
        <row r="5275">
          <cell r="A5275">
            <v>0</v>
          </cell>
        </row>
        <row r="5276">
          <cell r="A5276">
            <v>0</v>
          </cell>
        </row>
        <row r="5277">
          <cell r="A5277">
            <v>0</v>
          </cell>
        </row>
        <row r="5278">
          <cell r="A5278">
            <v>0</v>
          </cell>
        </row>
        <row r="5279">
          <cell r="A5279">
            <v>0</v>
          </cell>
        </row>
        <row r="5280">
          <cell r="A5280">
            <v>0</v>
          </cell>
        </row>
        <row r="5281">
          <cell r="A5281">
            <v>0</v>
          </cell>
        </row>
        <row r="5282">
          <cell r="A5282">
            <v>0</v>
          </cell>
        </row>
        <row r="5283">
          <cell r="A5283">
            <v>0</v>
          </cell>
        </row>
        <row r="5284">
          <cell r="A5284">
            <v>0</v>
          </cell>
        </row>
        <row r="5285">
          <cell r="A5285">
            <v>0</v>
          </cell>
        </row>
        <row r="5286">
          <cell r="A5286">
            <v>0</v>
          </cell>
        </row>
        <row r="5287">
          <cell r="A5287">
            <v>0</v>
          </cell>
        </row>
        <row r="5288">
          <cell r="A5288">
            <v>0</v>
          </cell>
        </row>
        <row r="5289">
          <cell r="A5289">
            <v>0</v>
          </cell>
        </row>
        <row r="5290">
          <cell r="A5290">
            <v>0</v>
          </cell>
        </row>
        <row r="5291">
          <cell r="A5291">
            <v>0</v>
          </cell>
        </row>
        <row r="5292">
          <cell r="A5292">
            <v>0</v>
          </cell>
        </row>
        <row r="5293">
          <cell r="A5293">
            <v>0</v>
          </cell>
        </row>
        <row r="5294">
          <cell r="A5294">
            <v>0</v>
          </cell>
        </row>
        <row r="5295">
          <cell r="A5295">
            <v>0</v>
          </cell>
        </row>
        <row r="5296">
          <cell r="A5296">
            <v>0</v>
          </cell>
        </row>
        <row r="5297">
          <cell r="A5297">
            <v>0</v>
          </cell>
        </row>
        <row r="5298">
          <cell r="A5298">
            <v>0</v>
          </cell>
        </row>
        <row r="5299">
          <cell r="A5299">
            <v>0</v>
          </cell>
        </row>
        <row r="5300">
          <cell r="A5300">
            <v>0</v>
          </cell>
        </row>
        <row r="5301">
          <cell r="A5301">
            <v>0</v>
          </cell>
        </row>
        <row r="5302">
          <cell r="A5302">
            <v>0</v>
          </cell>
        </row>
        <row r="5303">
          <cell r="A5303">
            <v>0</v>
          </cell>
        </row>
        <row r="5304">
          <cell r="A5304">
            <v>0</v>
          </cell>
        </row>
        <row r="5305">
          <cell r="A5305">
            <v>0</v>
          </cell>
        </row>
        <row r="5306">
          <cell r="A5306">
            <v>0</v>
          </cell>
        </row>
        <row r="5307">
          <cell r="A5307">
            <v>0</v>
          </cell>
        </row>
        <row r="5308">
          <cell r="A5308">
            <v>0</v>
          </cell>
        </row>
        <row r="5309">
          <cell r="A5309">
            <v>0</v>
          </cell>
        </row>
        <row r="5310">
          <cell r="A5310">
            <v>0</v>
          </cell>
        </row>
        <row r="5311">
          <cell r="A5311">
            <v>0</v>
          </cell>
        </row>
        <row r="5312">
          <cell r="A5312">
            <v>0</v>
          </cell>
        </row>
        <row r="5313">
          <cell r="A5313">
            <v>0</v>
          </cell>
        </row>
        <row r="5314">
          <cell r="A5314">
            <v>0</v>
          </cell>
        </row>
        <row r="5315">
          <cell r="A5315">
            <v>0</v>
          </cell>
        </row>
        <row r="5316">
          <cell r="A5316">
            <v>0</v>
          </cell>
        </row>
        <row r="5317">
          <cell r="A5317">
            <v>0</v>
          </cell>
        </row>
        <row r="5318">
          <cell r="A5318">
            <v>0</v>
          </cell>
        </row>
        <row r="5319">
          <cell r="A5319">
            <v>0</v>
          </cell>
        </row>
        <row r="5320">
          <cell r="A5320">
            <v>0</v>
          </cell>
        </row>
        <row r="5321">
          <cell r="A5321">
            <v>0</v>
          </cell>
        </row>
        <row r="5322">
          <cell r="A5322">
            <v>0</v>
          </cell>
        </row>
        <row r="5323">
          <cell r="A5323">
            <v>0</v>
          </cell>
        </row>
        <row r="5324">
          <cell r="A5324">
            <v>0</v>
          </cell>
        </row>
        <row r="5325">
          <cell r="A5325">
            <v>0</v>
          </cell>
        </row>
        <row r="5326">
          <cell r="A5326">
            <v>0</v>
          </cell>
        </row>
        <row r="5327">
          <cell r="A5327">
            <v>0</v>
          </cell>
        </row>
        <row r="5328">
          <cell r="A5328">
            <v>0</v>
          </cell>
        </row>
        <row r="5329">
          <cell r="A5329">
            <v>0</v>
          </cell>
        </row>
        <row r="5330">
          <cell r="A5330">
            <v>0</v>
          </cell>
        </row>
        <row r="5331">
          <cell r="A5331">
            <v>0</v>
          </cell>
        </row>
        <row r="5332">
          <cell r="A5332">
            <v>0</v>
          </cell>
        </row>
        <row r="5333">
          <cell r="A5333">
            <v>0</v>
          </cell>
        </row>
        <row r="5334">
          <cell r="A5334">
            <v>0</v>
          </cell>
        </row>
        <row r="5335">
          <cell r="A5335">
            <v>0</v>
          </cell>
        </row>
        <row r="5336">
          <cell r="A5336">
            <v>0</v>
          </cell>
        </row>
        <row r="5337">
          <cell r="A5337">
            <v>0</v>
          </cell>
        </row>
        <row r="5338">
          <cell r="A5338">
            <v>0</v>
          </cell>
        </row>
        <row r="5339">
          <cell r="A5339">
            <v>0</v>
          </cell>
        </row>
        <row r="5340">
          <cell r="A5340">
            <v>0</v>
          </cell>
        </row>
        <row r="5341">
          <cell r="A5341">
            <v>0</v>
          </cell>
        </row>
        <row r="5342">
          <cell r="A5342">
            <v>0</v>
          </cell>
        </row>
        <row r="5343">
          <cell r="A5343">
            <v>0</v>
          </cell>
        </row>
        <row r="5344">
          <cell r="A5344">
            <v>0</v>
          </cell>
        </row>
        <row r="5345">
          <cell r="A5345">
            <v>0</v>
          </cell>
        </row>
        <row r="5346">
          <cell r="A5346">
            <v>0</v>
          </cell>
        </row>
        <row r="5347">
          <cell r="A5347">
            <v>0</v>
          </cell>
        </row>
        <row r="5348">
          <cell r="A5348">
            <v>0</v>
          </cell>
        </row>
        <row r="5349">
          <cell r="A5349">
            <v>0</v>
          </cell>
        </row>
        <row r="5350">
          <cell r="A5350">
            <v>0</v>
          </cell>
        </row>
        <row r="5351">
          <cell r="A5351">
            <v>0</v>
          </cell>
        </row>
        <row r="5352">
          <cell r="A5352">
            <v>0</v>
          </cell>
        </row>
        <row r="5353">
          <cell r="A5353">
            <v>0</v>
          </cell>
        </row>
        <row r="5354">
          <cell r="A5354">
            <v>0</v>
          </cell>
        </row>
        <row r="5355">
          <cell r="A5355">
            <v>0</v>
          </cell>
        </row>
        <row r="5356">
          <cell r="A5356">
            <v>0</v>
          </cell>
        </row>
        <row r="5357">
          <cell r="A5357">
            <v>0</v>
          </cell>
        </row>
        <row r="5358">
          <cell r="A5358">
            <v>0</v>
          </cell>
        </row>
        <row r="5359">
          <cell r="A5359">
            <v>0</v>
          </cell>
        </row>
        <row r="5360">
          <cell r="A5360">
            <v>0</v>
          </cell>
        </row>
        <row r="5361">
          <cell r="A5361">
            <v>0</v>
          </cell>
        </row>
        <row r="5362">
          <cell r="A5362">
            <v>0</v>
          </cell>
        </row>
        <row r="5363">
          <cell r="A5363">
            <v>0</v>
          </cell>
        </row>
        <row r="5364">
          <cell r="A5364">
            <v>0</v>
          </cell>
        </row>
        <row r="5365">
          <cell r="A5365">
            <v>0</v>
          </cell>
        </row>
        <row r="5366">
          <cell r="A5366">
            <v>0</v>
          </cell>
        </row>
        <row r="5367">
          <cell r="A5367">
            <v>0</v>
          </cell>
        </row>
        <row r="5368">
          <cell r="A5368">
            <v>0</v>
          </cell>
        </row>
        <row r="5369">
          <cell r="A5369">
            <v>0</v>
          </cell>
        </row>
        <row r="5370">
          <cell r="A5370">
            <v>0</v>
          </cell>
        </row>
        <row r="5371">
          <cell r="A5371">
            <v>0</v>
          </cell>
        </row>
        <row r="5372">
          <cell r="A5372">
            <v>0</v>
          </cell>
        </row>
        <row r="5373">
          <cell r="A5373">
            <v>0</v>
          </cell>
        </row>
        <row r="5374">
          <cell r="A5374">
            <v>0</v>
          </cell>
        </row>
        <row r="5375">
          <cell r="A5375">
            <v>0</v>
          </cell>
        </row>
        <row r="5376">
          <cell r="A5376">
            <v>0</v>
          </cell>
        </row>
        <row r="5377">
          <cell r="A5377">
            <v>0</v>
          </cell>
        </row>
        <row r="5378">
          <cell r="A5378">
            <v>0</v>
          </cell>
        </row>
        <row r="5379">
          <cell r="A5379">
            <v>0</v>
          </cell>
        </row>
        <row r="5380">
          <cell r="A5380">
            <v>0</v>
          </cell>
        </row>
        <row r="5381">
          <cell r="A5381">
            <v>0</v>
          </cell>
        </row>
        <row r="5382">
          <cell r="A5382">
            <v>0</v>
          </cell>
        </row>
        <row r="5383">
          <cell r="A5383">
            <v>0</v>
          </cell>
        </row>
        <row r="5384">
          <cell r="A5384">
            <v>0</v>
          </cell>
        </row>
        <row r="5385">
          <cell r="A5385">
            <v>0</v>
          </cell>
        </row>
        <row r="5386">
          <cell r="A5386">
            <v>0</v>
          </cell>
        </row>
        <row r="5387">
          <cell r="A5387">
            <v>0</v>
          </cell>
        </row>
        <row r="5388">
          <cell r="A5388">
            <v>0</v>
          </cell>
        </row>
        <row r="5389">
          <cell r="A5389">
            <v>0</v>
          </cell>
        </row>
        <row r="5390">
          <cell r="A5390">
            <v>0</v>
          </cell>
        </row>
        <row r="5391">
          <cell r="A5391">
            <v>0</v>
          </cell>
        </row>
        <row r="5392">
          <cell r="A5392">
            <v>0</v>
          </cell>
        </row>
        <row r="5393">
          <cell r="A5393">
            <v>0</v>
          </cell>
        </row>
        <row r="5394">
          <cell r="A5394">
            <v>0</v>
          </cell>
        </row>
        <row r="5395">
          <cell r="A5395">
            <v>0</v>
          </cell>
        </row>
        <row r="5396">
          <cell r="A5396">
            <v>0</v>
          </cell>
        </row>
        <row r="5397">
          <cell r="A5397">
            <v>0</v>
          </cell>
        </row>
        <row r="5398">
          <cell r="A5398">
            <v>0</v>
          </cell>
        </row>
        <row r="5399">
          <cell r="A5399">
            <v>0</v>
          </cell>
        </row>
        <row r="5400">
          <cell r="A5400">
            <v>0</v>
          </cell>
        </row>
        <row r="5401">
          <cell r="A5401">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sheetPr codeName="Sheet5">
    <tabColor rgb="FF00B050"/>
  </sheetPr>
  <dimension ref="A1:W44"/>
  <sheetViews>
    <sheetView workbookViewId="0">
      <pane ySplit="3" topLeftCell="A28" activePane="bottomLeft" state="frozen"/>
      <selection activeCell="E970" sqref="E970"/>
      <selection pane="bottomLeft" activeCell="C35" sqref="C35"/>
    </sheetView>
  </sheetViews>
  <sheetFormatPr defaultRowHeight="15"/>
  <cols>
    <col min="1" max="1" width="16.5703125" style="116" bestFit="1" customWidth="1"/>
    <col min="2" max="2" width="14.42578125" style="116" bestFit="1" customWidth="1"/>
    <col min="3" max="3" width="14" style="116" bestFit="1" customWidth="1"/>
    <col min="4" max="4" width="8.85546875" style="116" bestFit="1" customWidth="1"/>
    <col min="5" max="5" width="8.42578125" style="116" bestFit="1" customWidth="1"/>
    <col min="6" max="6" width="14" style="116" bestFit="1" customWidth="1"/>
    <col min="7" max="7" width="8.85546875" style="116" bestFit="1" customWidth="1"/>
    <col min="8" max="8" width="8" style="116" bestFit="1" customWidth="1"/>
    <col min="9" max="9" width="16.28515625" style="116" bestFit="1" customWidth="1"/>
    <col min="10" max="10" width="16.140625" style="139" customWidth="1"/>
    <col min="15" max="15" width="13.7109375" bestFit="1" customWidth="1"/>
    <col min="16" max="16" width="14.42578125" bestFit="1" customWidth="1"/>
    <col min="17" max="17" width="10.42578125" bestFit="1" customWidth="1"/>
    <col min="18" max="19" width="9.140625" customWidth="1"/>
    <col min="20" max="20" width="10.42578125" bestFit="1" customWidth="1"/>
    <col min="23" max="23" width="13.7109375" bestFit="1" customWidth="1"/>
  </cols>
  <sheetData>
    <row r="1" spans="1:23" ht="15.75" thickBot="1">
      <c r="A1" s="1842" t="s">
        <v>5354</v>
      </c>
      <c r="B1" s="1843"/>
      <c r="C1" s="1844"/>
      <c r="D1" s="1844"/>
      <c r="E1" s="1844"/>
      <c r="F1" s="1844"/>
      <c r="G1" s="1844"/>
      <c r="H1" s="1844"/>
      <c r="I1" s="1845"/>
      <c r="J1" s="279"/>
      <c r="O1" s="155"/>
      <c r="P1" s="155"/>
      <c r="Q1" s="155"/>
      <c r="R1" s="155"/>
      <c r="S1" s="155"/>
      <c r="T1" s="155"/>
      <c r="U1" s="155"/>
      <c r="V1" s="155"/>
      <c r="W1" s="155"/>
    </row>
    <row r="2" spans="1:23">
      <c r="A2" s="277" t="s">
        <v>5355</v>
      </c>
      <c r="B2" s="240" t="s">
        <v>5356</v>
      </c>
      <c r="C2" s="1846" t="s">
        <v>5357</v>
      </c>
      <c r="D2" s="1847"/>
      <c r="E2" s="1848"/>
      <c r="F2" s="1849" t="s">
        <v>1101</v>
      </c>
      <c r="G2" s="1850"/>
      <c r="H2" s="1851"/>
      <c r="I2" s="278" t="s">
        <v>5358</v>
      </c>
      <c r="J2" s="279"/>
      <c r="O2" s="155"/>
      <c r="P2" s="155"/>
      <c r="Q2" s="155"/>
      <c r="R2" s="155"/>
      <c r="S2" s="155"/>
      <c r="T2" s="155"/>
      <c r="U2" s="155"/>
      <c r="V2" s="155"/>
      <c r="W2" s="155"/>
    </row>
    <row r="3" spans="1:23">
      <c r="A3" s="268"/>
      <c r="B3" s="274"/>
      <c r="C3" s="268" t="s">
        <v>5359</v>
      </c>
      <c r="D3" s="192" t="s">
        <v>5360</v>
      </c>
      <c r="E3" s="269" t="s">
        <v>5361</v>
      </c>
      <c r="F3" s="268" t="s">
        <v>5359</v>
      </c>
      <c r="G3" s="192" t="s">
        <v>5360</v>
      </c>
      <c r="H3" s="269" t="s">
        <v>5361</v>
      </c>
      <c r="I3" s="273"/>
      <c r="J3" s="279"/>
      <c r="O3" s="155"/>
      <c r="P3" s="155"/>
      <c r="Q3" s="276"/>
      <c r="R3" s="276"/>
      <c r="S3" s="276"/>
      <c r="T3" s="276"/>
      <c r="U3" s="276"/>
      <c r="V3" s="276"/>
      <c r="W3" s="155"/>
    </row>
    <row r="4" spans="1:23">
      <c r="A4" s="270" t="s">
        <v>5373</v>
      </c>
      <c r="B4" s="225" t="s">
        <v>5374</v>
      </c>
      <c r="C4" s="246">
        <v>2</v>
      </c>
      <c r="D4" s="241">
        <v>4</v>
      </c>
      <c r="E4" s="247">
        <v>5</v>
      </c>
      <c r="F4" s="246">
        <v>1</v>
      </c>
      <c r="G4" s="241">
        <v>1</v>
      </c>
      <c r="H4" s="247">
        <v>0</v>
      </c>
      <c r="I4" s="236">
        <f>COUNTIFS(SurveyDATA!A:A,"*MC*",SurveyDATA!E:E,"*Tikay*")</f>
        <v>0</v>
      </c>
    </row>
    <row r="5" spans="1:23">
      <c r="A5" s="275"/>
      <c r="B5" s="225" t="s">
        <v>5375</v>
      </c>
      <c r="C5" s="246">
        <v>7</v>
      </c>
      <c r="D5" s="241">
        <v>4</v>
      </c>
      <c r="E5" s="247">
        <v>4</v>
      </c>
      <c r="F5" s="246">
        <v>4</v>
      </c>
      <c r="G5" s="241">
        <v>0</v>
      </c>
      <c r="H5" s="247">
        <v>0</v>
      </c>
      <c r="I5" s="236">
        <f>COUNTIFS(SurveyDATA!A:A,"*MC*",SurveyDATA!E:E,"*Bulihan*")</f>
        <v>0</v>
      </c>
    </row>
    <row r="6" spans="1:23">
      <c r="A6" s="249"/>
      <c r="B6" s="225" t="s">
        <v>5376</v>
      </c>
      <c r="C6" s="246">
        <v>3</v>
      </c>
      <c r="D6" s="241">
        <v>0</v>
      </c>
      <c r="E6" s="247">
        <v>0</v>
      </c>
      <c r="F6" s="246">
        <v>0</v>
      </c>
      <c r="G6" s="241">
        <v>0</v>
      </c>
      <c r="H6" s="247">
        <v>0</v>
      </c>
      <c r="I6" s="236">
        <f>COUNTIFS(SurveyDATA!A:A,"*MC*",SurveyDATA!E:E,"*San Pablo*")</f>
        <v>0</v>
      </c>
    </row>
    <row r="7" spans="1:23">
      <c r="A7" s="270" t="s">
        <v>5377</v>
      </c>
      <c r="B7" s="225" t="s">
        <v>5379</v>
      </c>
      <c r="C7" s="246">
        <v>7</v>
      </c>
      <c r="D7" s="241">
        <v>2</v>
      </c>
      <c r="E7" s="247">
        <v>1</v>
      </c>
      <c r="F7" s="246">
        <v>1</v>
      </c>
      <c r="G7" s="241">
        <v>1</v>
      </c>
      <c r="H7" s="247">
        <v>0</v>
      </c>
      <c r="I7" s="236">
        <f>COUNTIFS(SurveyDATA!A:A,"*GG*",SurveyDATA!E:E,"*Tabang*")</f>
        <v>0</v>
      </c>
    </row>
    <row r="8" spans="1:23">
      <c r="A8" s="249"/>
      <c r="B8" s="225" t="s">
        <v>5378</v>
      </c>
      <c r="C8" s="246">
        <v>3</v>
      </c>
      <c r="D8" s="241">
        <v>3</v>
      </c>
      <c r="E8" s="247">
        <v>2</v>
      </c>
      <c r="F8" s="246">
        <v>3</v>
      </c>
      <c r="G8" s="241">
        <v>0</v>
      </c>
      <c r="H8" s="247">
        <v>0</v>
      </c>
      <c r="I8" s="236">
        <f>COUNTIFS(SurveyDATA!A:A,"*GG*",SurveyDATA!E:E,"*Tuktukan*")</f>
        <v>0</v>
      </c>
    </row>
    <row r="9" spans="1:23">
      <c r="A9" s="246" t="s">
        <v>5380</v>
      </c>
      <c r="B9" s="225" t="s">
        <v>5411</v>
      </c>
      <c r="C9" s="246">
        <v>3</v>
      </c>
      <c r="D9" s="241">
        <v>2</v>
      </c>
      <c r="E9" s="247">
        <v>2</v>
      </c>
      <c r="F9" s="246">
        <v>0</v>
      </c>
      <c r="G9" s="241">
        <v>0</v>
      </c>
      <c r="H9" s="247">
        <v>0</v>
      </c>
      <c r="I9" s="236">
        <f>COUNTIFS(SurveyDATA!A:A,"*BA*",SurveyDATA!E:E,"*Burol I*")</f>
        <v>0</v>
      </c>
    </row>
    <row r="10" spans="1:23">
      <c r="A10" s="270" t="s">
        <v>5381</v>
      </c>
      <c r="B10" s="225" t="s">
        <v>5384</v>
      </c>
      <c r="C10" s="246">
        <v>0</v>
      </c>
      <c r="D10" s="241">
        <v>1</v>
      </c>
      <c r="E10" s="247">
        <v>0</v>
      </c>
      <c r="F10" s="246">
        <v>0</v>
      </c>
      <c r="G10" s="241">
        <v>0</v>
      </c>
      <c r="H10" s="247">
        <v>0</v>
      </c>
      <c r="I10" s="236">
        <f>COUNTIFS(SurveyDATA!A:A,"*BO*",SurveyDATA!E:E,"*Bundukan*")</f>
        <v>0</v>
      </c>
    </row>
    <row r="11" spans="1:23">
      <c r="A11" s="275"/>
      <c r="B11" s="225" t="s">
        <v>5383</v>
      </c>
      <c r="C11" s="246">
        <v>1</v>
      </c>
      <c r="D11" s="241">
        <v>0</v>
      </c>
      <c r="E11" s="247">
        <v>0</v>
      </c>
      <c r="F11" s="246">
        <v>0</v>
      </c>
      <c r="G11" s="241">
        <v>0</v>
      </c>
      <c r="H11" s="247">
        <v>0</v>
      </c>
      <c r="I11" s="236">
        <f>COUNTIFS(SurveyDATA!A:A,"*BO*",SurveyDATA!E:E,"*Igolot*")</f>
        <v>0</v>
      </c>
    </row>
    <row r="12" spans="1:23">
      <c r="A12" s="249"/>
      <c r="B12" s="225" t="s">
        <v>5382</v>
      </c>
      <c r="C12" s="246">
        <v>0</v>
      </c>
      <c r="D12" s="241">
        <v>2</v>
      </c>
      <c r="E12" s="247">
        <v>0</v>
      </c>
      <c r="F12" s="246">
        <v>0</v>
      </c>
      <c r="G12" s="241">
        <v>0</v>
      </c>
      <c r="H12" s="247">
        <v>0</v>
      </c>
      <c r="I12" s="236">
        <f>COUNTIFS(SurveyDATA!A:A,"*BO*",SurveyDATA!E:E,"*Taal*")</f>
        <v>0</v>
      </c>
    </row>
    <row r="13" spans="1:23">
      <c r="A13" s="440" t="s">
        <v>5385</v>
      </c>
      <c r="B13" s="565" t="s">
        <v>5387</v>
      </c>
      <c r="C13" s="441">
        <f>COUNTIFS(SurveyDATA!E105:E130,"*Abangan*",SurveyDATA!AS105:AS130,"Y",SurveyDATA!BN105:BN130,"*Structure Owner*")</f>
        <v>0</v>
      </c>
      <c r="D13" s="442">
        <f>COUNTIFS(SurveyDATA!E105:E130,"*Abangan*",SurveyDATA!AS105:AS130,"Y",SurveyDATA!CB105:CB130,"Y")</f>
        <v>0</v>
      </c>
      <c r="E13" s="443">
        <v>0</v>
      </c>
      <c r="F13" s="441">
        <f>COUNTIFS(SurveyDATA!E105:E130,"*Abangan*",SurveyDATA!AS105:AS130,"",SurveyDATA!BN105:BN130,"*Structure Owner*")</f>
        <v>1</v>
      </c>
      <c r="G13" s="442">
        <f>COUNTIFS(SurveyDATA!E105:E130,"*Abangan*",SurveyDATA!AS105:AS130,"",SurveyDATA!CB105:CB130,"Y")</f>
        <v>0</v>
      </c>
      <c r="H13" s="443">
        <v>0</v>
      </c>
      <c r="I13" s="444">
        <f>COUNTIF(SurveyDATA!E105:E130,"*Abangan*")</f>
        <v>3</v>
      </c>
    </row>
    <row r="14" spans="1:23">
      <c r="A14" s="445"/>
      <c r="B14" s="565" t="s">
        <v>5388</v>
      </c>
      <c r="C14" s="441">
        <f>COUNTIFS(SurveyDATA!E105:E130,"*Saog*",SurveyDATA!AS105:AS130,"Y",SurveyDATA!BN105:BN130,"*Structure Owner*")</f>
        <v>4</v>
      </c>
      <c r="D14" s="442">
        <f>COUNTIFS(SurveyDATA!E105:E130,"*Saog*",SurveyDATA!AS105:AS130,"Y",SurveyDATA!CB105:CB130,"Y")</f>
        <v>1</v>
      </c>
      <c r="E14" s="443">
        <v>0</v>
      </c>
      <c r="F14" s="441">
        <f>COUNTIFS(SurveyDATA!E105:E130,"*Saog*",SurveyDATA!AS105:AS130,"",SurveyDATA!BN105:BN130,"*Structure Owner*")</f>
        <v>4</v>
      </c>
      <c r="G14" s="442">
        <f>COUNTIFS(SurveyDATA!E105:E130,"*Saog*",SurveyDATA!AS105:AS130,"",SurveyDATA!CB105:CB130,"Y")</f>
        <v>2</v>
      </c>
      <c r="H14" s="443">
        <v>0</v>
      </c>
      <c r="I14" s="444">
        <f>COUNTIF(SurveyDATA!E105:E130,"*Saog*")</f>
        <v>20</v>
      </c>
    </row>
    <row r="15" spans="1:23">
      <c r="A15" s="445"/>
      <c r="B15" s="565" t="s">
        <v>5489</v>
      </c>
      <c r="C15" s="440">
        <f>COUNTIFS(SurveyDATA!E105:E130,"*Ibayo*",SurveyDATA!AS105:AS130,"Y",SurveyDATA!BN105:BN130,"*Structure Owner*")</f>
        <v>1</v>
      </c>
      <c r="D15" s="534">
        <f>COUNTIFS(SurveyDATA!E105:E130,"*Ibayo*",SurveyDATA!AS105:AS130,"Y",SurveyDATA!CB105:CB130,"Y")</f>
        <v>2</v>
      </c>
      <c r="E15" s="535">
        <v>0</v>
      </c>
      <c r="F15" s="440">
        <f>COUNTIFS(SurveyDATA!E105:E130,"*Ibayo*",SurveyDATA!AS105:AS130,"",SurveyDATA!BN105:BN130,"*Structure Owner*")</f>
        <v>0</v>
      </c>
      <c r="G15" s="534">
        <f>COUNTIFS(SurveyDATA!E105:E130,"*Ibayo*",SurveyDATA!AS105:AS130,"",SurveyDATA!CB105:CB130,"Y")</f>
        <v>0</v>
      </c>
      <c r="H15" s="535">
        <v>0</v>
      </c>
      <c r="I15" s="536">
        <f>COUNTIF(SurveyDATA!E105:E130,"*Ibayo*")</f>
        <v>3</v>
      </c>
    </row>
    <row r="16" spans="1:23">
      <c r="A16" s="542" t="s">
        <v>5414</v>
      </c>
      <c r="B16" s="566" t="s">
        <v>5849</v>
      </c>
      <c r="C16" s="543">
        <f>COUNTIFS(SurveyDATA!E131:E209,"*Pandayan*",SurveyDATA!AS131:AS209,"Y",SurveyDATA!BN131:BN209,"*Structure Owner*")</f>
        <v>0</v>
      </c>
      <c r="D16" s="544">
        <f>COUNTIFS(SurveyDATA!E131:E209,"*Pandayan*",SurveyDATA!AS131:AS209,"Y",SurveyDATA!CB131:CB209,"Y")</f>
        <v>1</v>
      </c>
      <c r="E16" s="545">
        <f>COUNTIFS(SurveyDATA!E131:E209,"*Pandayan*",SurveyDATA!AS131:AS209,"Y",SurveyDATA!BN131:BN209,"")</f>
        <v>1</v>
      </c>
      <c r="F16" s="543">
        <f>COUNTIFS(SurveyDATA!E131:E209,"*Pandayan*",SurveyDATA!AS131:AS209,"",SurveyDATA!BN131:BN209,"*Structure Owner*")</f>
        <v>0</v>
      </c>
      <c r="G16" s="544">
        <f>COUNTIFS(SurveyDATA!E131:E209,"*Pandayan*",SurveyDATA!AS131:AS209,"",SurveyDATA!CB131:CB209,"Y")</f>
        <v>0</v>
      </c>
      <c r="H16" s="545">
        <f>COUNTIFS(SurveyDATA!E131:E209,"*Pandayan*",SurveyDATA!AS131:AS209,"",SurveyDATA!BN131:BN209,"")</f>
        <v>0</v>
      </c>
      <c r="I16" s="546">
        <f>COUNTIF(SurveyDATA!E131:E209,"*Pandayan*")</f>
        <v>1</v>
      </c>
    </row>
    <row r="17" spans="1:9" customFormat="1">
      <c r="A17" s="547"/>
      <c r="B17" s="566" t="s">
        <v>5497</v>
      </c>
      <c r="C17" s="543">
        <f>COUNTIFS(SurveyDATA!E131:E209,"*Tugatog*",SurveyDATA!AS131:AS209,"Y",SurveyDATA!BN131:BN209,"*Structure Owner*")</f>
        <v>3</v>
      </c>
      <c r="D17" s="544">
        <f>COUNTIFS(SurveyDATA!E131:E209,"*Tugatog*",SurveyDATA!AS131:AS209,"Y",SurveyDATA!CB131:CB209,"Y")</f>
        <v>1</v>
      </c>
      <c r="E17" s="545">
        <f>COUNTIFS(SurveyDATA!E131:E209,"*Tugatog*",SurveyDATA!AS131:AS209,"Y",SurveyDATA!BN131:BN209,"")</f>
        <v>0</v>
      </c>
      <c r="F17" s="543">
        <f>COUNTIFS(SurveyDATA!E131:E209,"*Tugatog*",SurveyDATA!AS131:AS209,"",SurveyDATA!BN131:BN209,"*Structure Owner*")</f>
        <v>8</v>
      </c>
      <c r="G17" s="544">
        <f>COUNTIFS(SurveyDATA!E131:E209,"*Tugatog*",SurveyDATA!AS131:AS209,"",SurveyDATA!CB131:CB209,"Y")</f>
        <v>5</v>
      </c>
      <c r="H17" s="545">
        <f>COUNTIFS(SurveyDATA!E131:E209,"*Tugatog*",SurveyDATA!AS131:AS209,"",SurveyDATA!BN131:BN209,"")</f>
        <v>2</v>
      </c>
      <c r="I17" s="546">
        <f>COUNTIF(SurveyDATA!E131:E209,"*Tugatog*")</f>
        <v>32</v>
      </c>
    </row>
    <row r="18" spans="1:9" customFormat="1">
      <c r="A18" s="548"/>
      <c r="B18" s="566" t="s">
        <v>5389</v>
      </c>
      <c r="C18" s="543">
        <f>COUNTIFS(SurveyDATA!E131:E209,"*Bancal*",SurveyDATA!AS131:AS209,"Y",SurveyDATA!BN131:BN209,"*Structure Owner*")</f>
        <v>10</v>
      </c>
      <c r="D18" s="544">
        <f>COUNTIFS(SurveyDATA!E131:E209,"*Bancal*",SurveyDATA!AS131:AS209,"Y",SurveyDATA!CB131:CB209,"Y")</f>
        <v>3</v>
      </c>
      <c r="E18" s="545">
        <f>COUNTIFS(SurveyDATA!E131:E209,"*Bancal*",SurveyDATA!AS131:AS209,"Y",SurveyDATA!BN131:BN209,"")</f>
        <v>2</v>
      </c>
      <c r="F18" s="543">
        <f>COUNTIFS(SurveyDATA!E131:E209,"*Bancal*",SurveyDATA!AS131:AS209,"",SurveyDATA!BN131:BN209,"*Structure Owner*")</f>
        <v>10</v>
      </c>
      <c r="G18" s="544">
        <f>COUNTIFS(SurveyDATA!E131:E209,"*Bancal*",SurveyDATA!AS131:AS209,"",SurveyDATA!CB131:CB209,"Y")</f>
        <v>1</v>
      </c>
      <c r="H18" s="545">
        <f>COUNTIFS(SurveyDATA!E131:E209,"*Bancal*",SurveyDATA!AS131:AS209,"",SurveyDATA!CB131:CB209,"Y")</f>
        <v>1</v>
      </c>
      <c r="I18" s="546">
        <f>COUNTIF(SurveyDATA!E131:E209,"*Bancal*")</f>
        <v>40</v>
      </c>
    </row>
    <row r="19" spans="1:9" customFormat="1">
      <c r="A19" s="458" t="s">
        <v>5390</v>
      </c>
      <c r="B19" s="460" t="s">
        <v>5391</v>
      </c>
      <c r="C19" s="537">
        <f>COUNTIFS(SurveyDATA!E218:E417,"*Malanday*",SurveyDATA!AS218:AS417,"Y",SurveyDATA!BN218:BN417,"*Structure Owner*")</f>
        <v>0</v>
      </c>
      <c r="D19" s="459">
        <f>COUNTIFS(SurveyDATA!E218:E417,"*Malanday*",SurveyDATA!AS218:AS417,"Y",SurveyDATA!CB218:CB417,"Y")</f>
        <v>0</v>
      </c>
      <c r="E19" s="538">
        <f>COUNTIFS(SurveyDATA!E218:E417,"*Malanday*",SurveyDATA!AS218:AS417,"Y",SurveyDATA!AH218:AH417,"")</f>
        <v>0</v>
      </c>
      <c r="F19" s="537">
        <f>COUNTIFS(SurveyDATA!E218:E417,"*Malanday*",SurveyDATA!AS218:AS417,"",SurveyDATA!BN218:BN417,"*Structure Owner*")</f>
        <v>21</v>
      </c>
      <c r="G19" s="459">
        <f>COUNTIFS(SurveyDATA!E218:E417,"*Malanday*",SurveyDATA!AS218:AS417,"",SurveyDATA!CB218:CB417,"Y")</f>
        <v>6</v>
      </c>
      <c r="H19" s="538">
        <f>COUNTIFS(SurveyDATA!E218:E417,"*Malanday*",SurveyDATA!AS218:AS417,"",SurveyDATA!BN218:BN417,"")</f>
        <v>13</v>
      </c>
      <c r="I19" s="539">
        <f>COUNTIFS(SurveyDATA!E218:E417,"*Malanday*")</f>
        <v>35</v>
      </c>
    </row>
    <row r="20" spans="1:9" customFormat="1">
      <c r="A20" s="458"/>
      <c r="B20" s="453" t="s">
        <v>5818</v>
      </c>
      <c r="C20" s="454">
        <f>COUNTIFS(SurveyDATA!E218:E417,"*Dalandanan*",SurveyDATA!AS218:AS417,"Y",SurveyDATA!BN218:BN417,"*Structure Owner*")</f>
        <v>5</v>
      </c>
      <c r="D20" s="455">
        <f>COUNTIFS(SurveyDATA!E218:E417,"*Dalandanan*",SurveyDATA!AS218:AS417,"Y",SurveyDATA!CB218:CB417,"Y")</f>
        <v>0</v>
      </c>
      <c r="E20" s="456">
        <f>COUNTIFS(SurveyDATA!E218:E417,"*Dalandanan*",SurveyDATA!AS218:AS417,"Y",SurveyDATA!AH218:AH417,"")</f>
        <v>0</v>
      </c>
      <c r="F20" s="454">
        <f>COUNTIFS(SurveyDATA!E218:E417,"*Dalandanan*",SurveyDATA!AS218:AS417,"",SurveyDATA!BN218:BN417,"*Structure Owner*")</f>
        <v>1</v>
      </c>
      <c r="G20" s="455">
        <f>COUNTIFS(SurveyDATA!E218:E417,"*Dalandanan*",SurveyDATA!AS218:AS417,"",SurveyDATA!CB218:CB417,"Y")</f>
        <v>0</v>
      </c>
      <c r="H20" s="456">
        <f>COUNTIFS(SurveyDATA!E218:E417,"*Dalandanan*",SurveyDATA!AS218:AS417,"",SurveyDATA!BN218:BN417,"")</f>
        <v>0</v>
      </c>
      <c r="I20" s="457">
        <f>COUNTIFS(SurveyDATA!E218:E417,"*Dalandanan*")</f>
        <v>6</v>
      </c>
    </row>
    <row r="21" spans="1:9" customFormat="1">
      <c r="A21" s="459"/>
      <c r="B21" s="453" t="s">
        <v>5392</v>
      </c>
      <c r="C21" s="454">
        <f>COUNTIFS(SurveyDATA!E218:E417,"*Malinta*",SurveyDATA!AS218:AS417,"Y",SurveyDATA!BN218:BN417,"*Structure Owner*")</f>
        <v>31</v>
      </c>
      <c r="D21" s="455">
        <f>COUNTIFS(SurveyDATA!E218:E417,"*Malinta*",SurveyDATA!AS218:AS417,"Y",SurveyDATA!CB218:CB417,"Y")</f>
        <v>16</v>
      </c>
      <c r="E21" s="456">
        <f>COUNTIFS(SurveyDATA!E218:E417,"*Malinta*",SurveyDATA!AS218:AS417,"Y",SurveyDATA!AH218:AH417,"")</f>
        <v>0</v>
      </c>
      <c r="F21" s="454">
        <f>COUNTIFS(SurveyDATA!E218:E417,"*Malinta*",SurveyDATA!AS218:AS417,"",SurveyDATA!BN218:BN417,"*Structure Owner*")</f>
        <v>43</v>
      </c>
      <c r="G21" s="455">
        <f>COUNTIFS(SurveyDATA!E218:E417,"*Malinta*",SurveyDATA!AS218:AS417,"",SurveyDATA!CB218:CB417,"Y")</f>
        <v>15</v>
      </c>
      <c r="H21" s="456">
        <f>COUNTIFS(SurveyDATA!E218:E417,"*Malinta*",SurveyDATA!AS218:AS417,"",SurveyDATA!BN218:BN417,"")</f>
        <v>12</v>
      </c>
      <c r="I21" s="457">
        <f>COUNTIFS(SurveyDATA!E218:E417,"*Malinta*")</f>
        <v>154</v>
      </c>
    </row>
    <row r="22" spans="1:9" customFormat="1">
      <c r="A22" s="521" t="s">
        <v>5362</v>
      </c>
      <c r="B22" s="540" t="s">
        <v>5393</v>
      </c>
      <c r="C22" s="522">
        <f>COUNTIFS(SurveyDATA!E418:E659,"*BRGY.15*",SurveyDATA!AS418:AS659,"Y",SurveyDATA!BN418:BN659,"*Structure Owner*")</f>
        <v>1</v>
      </c>
      <c r="D22" s="523">
        <f>COUNTIFS(SurveyDATA!E418:E659,"*Brgy.15*",SurveyDATA!AS418:AS659,"Y",SurveyDATA!CB418:CB659,"Y")</f>
        <v>1</v>
      </c>
      <c r="E22" s="524">
        <f>COUNTIFS(SurveyDATA!E418:E659,"*Brgy.15*",SurveyDATA!AS418:AS659,"Y",SurveyDATA!AH418:AH659,"")</f>
        <v>0</v>
      </c>
      <c r="F22" s="522">
        <f>COUNTIFS(SurveyDATA!E418:E659,"*BRGY.15*",SurveyDATA!AS418:AS659,"",SurveyDATA!BN418:BN659,"*Structure Owner*")</f>
        <v>15</v>
      </c>
      <c r="G22" s="523">
        <f>COUNTIFS(SurveyDATA!E418:E659,"*Brgy.15*",SurveyDATA!AS418:AS659,"",SurveyDATA!CB418:CB659,"Y")</f>
        <v>2</v>
      </c>
      <c r="H22" s="524">
        <f>COUNTIFS(SurveyDATA!E418:E659,"*Brgy.15*",SurveyDATA!AS418:AS659,"",SurveyDATA!AH418:AH659,"")</f>
        <v>11</v>
      </c>
      <c r="I22" s="525">
        <f>COUNTIFS(SurveyDATA!E418:E659,"*Brgy.15*")</f>
        <v>30</v>
      </c>
    </row>
    <row r="23" spans="1:9" customFormat="1">
      <c r="A23" s="521"/>
      <c r="B23" s="540" t="s">
        <v>5395</v>
      </c>
      <c r="C23" s="522">
        <f>COUNTIFS(SurveyDATA!E418:E659,"*BRGY.17*",SurveyDATA!AS418:AS659,"Y",SurveyDATA!BN418:BN659,"*Structure Owner*")</f>
        <v>0</v>
      </c>
      <c r="D23" s="523">
        <f>COUNTIFS(SurveyDATA!E418:E659,"*Brgy.17*",SurveyDATA!AS418:AS659,"Y",SurveyDATA!CB418:CB659,"Y")</f>
        <v>4</v>
      </c>
      <c r="E23" s="524">
        <f>COUNTIFS(SurveyDATA!E418:E659,"*Brgy.17*",SurveyDATA!AS418:AS659,"Y",SurveyDATA!AH418:AH659,"")</f>
        <v>0</v>
      </c>
      <c r="F23" s="522">
        <f>COUNTIFS(SurveyDATA!E418:E659,"*BRGY.17*",SurveyDATA!AS418:AS659,"",SurveyDATA!BN418:BN659,"*Structure Owner*")</f>
        <v>0</v>
      </c>
      <c r="G23" s="523">
        <f>COUNTIFS(SurveyDATA!E418:E659,"*Brgy.17*",SurveyDATA!AS418:AS659,"",SurveyDATA!CB418:CB659,"Y")</f>
        <v>4</v>
      </c>
      <c r="H23" s="524">
        <f>COUNTIFS(SurveyDATA!E418:E659,"*Brgy.17*",SurveyDATA!AS418:AS659,"",SurveyDATA!AH418:AH659,"")</f>
        <v>0</v>
      </c>
      <c r="I23" s="525">
        <f>COUNTIFS(SurveyDATA!E418:E659,"*Brgy.17*")</f>
        <v>8</v>
      </c>
    </row>
    <row r="24" spans="1:9" customFormat="1">
      <c r="A24" s="521"/>
      <c r="B24" s="540" t="s">
        <v>5394</v>
      </c>
      <c r="C24" s="522">
        <f>COUNTIFS(SurveyDATA!E418:E659,"*BRGY.19*",SurveyDATA!AS418:AS659,"Y",SurveyDATA!BN418:BN659,"*Structure Owner*")</f>
        <v>5</v>
      </c>
      <c r="D24" s="523">
        <f>COUNTIFS(SurveyDATA!E418:E659,"*Brgy.19*",SurveyDATA!AS418:AS659,"Y",SurveyDATA!CB418:CB659,"Y")</f>
        <v>7</v>
      </c>
      <c r="E24" s="524">
        <f>COUNTIFS(SurveyDATA!E418:E659,"*Brgy.19*",SurveyDATA!AS418:AS659,"Y",SurveyDATA!AH418:AH659,"")</f>
        <v>3</v>
      </c>
      <c r="F24" s="522">
        <f>COUNTIFS(SurveyDATA!E418:E659,"*BRGY.19*",SurveyDATA!AS418:AS659,"",SurveyDATA!BN418:BN659,"*Structure Owner*")</f>
        <v>21</v>
      </c>
      <c r="G24" s="523">
        <f>COUNTIFS(SurveyDATA!E418:E659,"*Brgy.19*",SurveyDATA!AS418:AS659,"",SurveyDATA!CB418:CB659,"Y")</f>
        <v>8</v>
      </c>
      <c r="H24" s="524">
        <f>COUNTIFS(SurveyDATA!E418:E659,"*Brgy.19*",SurveyDATA!AS418:AS659,"",SurveyDATA!AH418:AH659,"")</f>
        <v>3</v>
      </c>
      <c r="I24" s="525">
        <f>COUNTIFS(SurveyDATA!E418:E659,"*Brgy.19*")</f>
        <v>43</v>
      </c>
    </row>
    <row r="25" spans="1:9" customFormat="1">
      <c r="A25" s="521"/>
      <c r="B25" s="540" t="s">
        <v>5396</v>
      </c>
      <c r="C25" s="522">
        <f>COUNTIFS(SurveyDATA!E418:E659,"*BRGY.21*",SurveyDATA!AS418:AS659,"Y",SurveyDATA!BN418:BN659,"*Structure Owner*")</f>
        <v>0</v>
      </c>
      <c r="D25" s="523">
        <f>COUNTIFS(SurveyDATA!E418:E659,"*Brgy.21*",SurveyDATA!AS418:AS659,"Y",SurveyDATA!CB418:CB659,"Y")</f>
        <v>0</v>
      </c>
      <c r="E25" s="524">
        <f>COUNTIFS(SurveyDATA!E418:E659,"*Brgy.21*",SurveyDATA!AS418:AS659,"Y",SurveyDATA!AH418:AH659,"")</f>
        <v>0</v>
      </c>
      <c r="F25" s="522">
        <f>COUNTIFS(SurveyDATA!E418:E659,"*BRGY.21*",SurveyDATA!AS418:AS659,"",SurveyDATA!BN418:BN659,"*Structure Owner*")</f>
        <v>31</v>
      </c>
      <c r="G25" s="523">
        <f>COUNTIFS(SurveyDATA!E418:E659,"*Brgy.21*",SurveyDATA!AS418:AS659,"",SurveyDATA!CB418:CB659,"Y")</f>
        <v>13</v>
      </c>
      <c r="H25" s="524">
        <f>COUNTIFS(SurveyDATA!E418:E659,"*Brgy.21*",SurveyDATA!AS418:AS659,"",SurveyDATA!AH418:AH659,"")</f>
        <v>8</v>
      </c>
      <c r="I25" s="525">
        <f>COUNTIFS(SurveyDATA!E418:E659,"*Brgy.21*")</f>
        <v>41</v>
      </c>
    </row>
    <row r="26" spans="1:9" customFormat="1">
      <c r="A26" s="521"/>
      <c r="B26" s="540" t="s">
        <v>5397</v>
      </c>
      <c r="C26" s="522">
        <f>COUNTIFS(SurveyDATA!E418:E659,"*BRGY.25*",SurveyDATA!AS418:AS659,"Y",SurveyDATA!BN418:BN659,"*Structure Owner*")</f>
        <v>0</v>
      </c>
      <c r="D26" s="523">
        <f>COUNTIFS(SurveyDATA!E418:E659,"*Brgy.25*",SurveyDATA!AS418:AS659,"Y",SurveyDATA!CB418:CB659,"Y")</f>
        <v>0</v>
      </c>
      <c r="E26" s="524">
        <f>COUNTIFS(SurveyDATA!E418:E659,"*Brgy.25*",SurveyDATA!AS418:AS659,"Y",SurveyDATA!AH418:AH659,"")</f>
        <v>0</v>
      </c>
      <c r="F26" s="522">
        <f>COUNTIFS(SurveyDATA!E418:E659,"*BRGY.25*",SurveyDATA!AS418:AS659,"",SurveyDATA!BN418:BN659,"*Structure Owner*")</f>
        <v>39</v>
      </c>
      <c r="G26" s="523">
        <f>COUNTIFS(SurveyDATA!E418:E659,"*Brgy.25*",SurveyDATA!AS418:AS659,"",SurveyDATA!CB418:CB659,"Y")</f>
        <v>13</v>
      </c>
      <c r="H26" s="524">
        <f>COUNTIFS(SurveyDATA!E418:E659,"*Brgy.25*",SurveyDATA!AS418:AS659,"",SurveyDATA!AH418:AH659,"")</f>
        <v>28</v>
      </c>
      <c r="I26" s="525">
        <f>COUNTIFS(SurveyDATA!E418:E659,"*Brgy.25*")</f>
        <v>71</v>
      </c>
    </row>
    <row r="27" spans="1:9" customFormat="1">
      <c r="A27" s="521"/>
      <c r="B27" s="540" t="s">
        <v>5398</v>
      </c>
      <c r="C27" s="522">
        <f>COUNTIFS(SurveyDATA!E418:E659,"*BRGY.29*",SurveyDATA!AS418:AS659,"Y",SurveyDATA!BN418:BN659,"*Structure Owner*")</f>
        <v>0</v>
      </c>
      <c r="D27" s="523">
        <f>COUNTIFS(SurveyDATA!E418:E659,"*Brgy.29*",SurveyDATA!AS418:AS659,"Y",SurveyDATA!CB418:CB659,"Y")</f>
        <v>1</v>
      </c>
      <c r="E27" s="524">
        <f>COUNTIFS(SurveyDATA!E418:E659,"*Brgy.29*",SurveyDATA!AS418:AS659,"Y",SurveyDATA!AH418:AH659,"")</f>
        <v>0</v>
      </c>
      <c r="F27" s="522">
        <f>COUNTIFS(SurveyDATA!E418:E659,"*BRGY.29*",SurveyDATA!AS418:AS659,"",SurveyDATA!BN418:BN659,"*Structure Owner*")</f>
        <v>10</v>
      </c>
      <c r="G27" s="523">
        <f>COUNTIFS(SurveyDATA!E418:E659,"*Brgy.29*",SurveyDATA!AS418:AS659,"",SurveyDATA!CB418:CB659,"Y")</f>
        <v>9</v>
      </c>
      <c r="H27" s="524">
        <f>COUNTIFS(SurveyDATA!E418:E659,"*Brgy.29*",SurveyDATA!AS418:AS659,"",SurveyDATA!AH418:AH659,"")</f>
        <v>1</v>
      </c>
      <c r="I27" s="525">
        <f>COUNTIFS(SurveyDATA!E418:E659,"*Brgy.29*")</f>
        <v>20</v>
      </c>
    </row>
    <row r="28" spans="1:9" customFormat="1">
      <c r="A28" s="521"/>
      <c r="B28" s="540" t="s">
        <v>5399</v>
      </c>
      <c r="C28" s="522">
        <f>COUNTIFS(SurveyDATA!E418:E659,"*BRGY.32*",SurveyDATA!AS418:AS659,"Y",SurveyDATA!BN418:BN659,"*Structure Owner*")</f>
        <v>0</v>
      </c>
      <c r="D28" s="523">
        <f>COUNTIFS(SurveyDATA!E418:E659,"*Brgy.32*",SurveyDATA!AS418:AS659,"Y",SurveyDATA!CB418:CB659,"Y")</f>
        <v>0</v>
      </c>
      <c r="E28" s="524">
        <f>COUNTIFS(SurveyDATA!E418:E659,"*Brgy.32*",SurveyDATA!AS418:AS659,"Y",SurveyDATA!AH418:AH659,"")</f>
        <v>0</v>
      </c>
      <c r="F28" s="522">
        <f>COUNTIFS(SurveyDATA!E418:E659,"*BRGY.32*",SurveyDATA!AS418:AS659,"",SurveyDATA!BN418:BN659,"*Structure Owner*")</f>
        <v>0</v>
      </c>
      <c r="G28" s="523">
        <f>COUNTIFS(SurveyDATA!E418:E659,"*Brgy.32*",SurveyDATA!AS418:AS659,"",SurveyDATA!CB418:CB659,"Y")</f>
        <v>7</v>
      </c>
      <c r="H28" s="524">
        <f>COUNTIFS(SurveyDATA!E418:E659,"*Brgy.32*",SurveyDATA!AS418:AS659,"",SurveyDATA!AH418:AH659,"")</f>
        <v>0</v>
      </c>
      <c r="I28" s="525">
        <f>COUNTIFS(SurveyDATA!E418:E659,"*Brgy.32*")</f>
        <v>7</v>
      </c>
    </row>
    <row r="29" spans="1:9" customFormat="1" ht="15.75" thickBot="1">
      <c r="A29" s="521"/>
      <c r="B29" s="541" t="s">
        <v>5400</v>
      </c>
      <c r="C29" s="528">
        <f>COUNTIFS(SurveyDATA!E418:E659,"*BRGY.33*",SurveyDATA!AS418:AS659,"Y",SurveyDATA!BN418:BN659,"*Structure Owner*")</f>
        <v>4</v>
      </c>
      <c r="D29" s="526">
        <f>COUNTIFS(SurveyDATA!E418:E659,"*Brgy.33*",SurveyDATA!AS418:AS659,"Y",SurveyDATA!CB418:CB659,"Y")</f>
        <v>2</v>
      </c>
      <c r="E29" s="527">
        <f>COUNTIFS(SurveyDATA!E418:E659,"*Brgy.33*",SurveyDATA!AS418:AS659,"Y",SurveyDATA!AH418:AH659,"")</f>
        <v>1</v>
      </c>
      <c r="F29" s="528">
        <f>COUNTIFS(SurveyDATA!E418:E659,"*BRGY.33*",SurveyDATA!AS418:AS659,"",SurveyDATA!BN418:BN659,"*Structure Owner*")</f>
        <v>4</v>
      </c>
      <c r="G29" s="526">
        <f>COUNTIFS(SurveyDATA!E418:E659,"*Brgy.33*",SurveyDATA!AS418:AS659,"",SurveyDATA!CB418:CB659,"Y")</f>
        <v>5</v>
      </c>
      <c r="H29" s="527">
        <f>COUNTIFS(SurveyDATA!E418:E659,"*Brgy.33*",SurveyDATA!AS418:AS659,"",SurveyDATA!AH418:AH659,"")</f>
        <v>2</v>
      </c>
      <c r="I29" s="525">
        <f>COUNTIFS(SurveyDATA!E418:E659,"*Brgy.33*")</f>
        <v>16</v>
      </c>
    </row>
    <row r="30" spans="1:9" customFormat="1">
      <c r="A30" s="377" t="s">
        <v>5402</v>
      </c>
      <c r="B30" s="420" t="s">
        <v>5800</v>
      </c>
      <c r="C30" s="529">
        <f>COUNTIFS(SurveyDATA!E660:E831,"*Brgy.50*",SurveyDATA!AS660:AS831,"Y",SurveyDATA!BN660:BN831,"*Structure Owner*")</f>
        <v>0</v>
      </c>
      <c r="D30" s="530" t="e">
        <f>COUNTIFS(SurveyDATA!E660:E831,"*Brgy.50*",SurveyDATA!#REF!,"*LEGAL-Aux*")</f>
        <v>#REF!</v>
      </c>
      <c r="E30" s="378">
        <v>0</v>
      </c>
      <c r="F30" s="529">
        <f>COUNTIFS(SurveyDATA!E660:E831,"*Brgy.50*",SurveyDATA!AS660:AS831,"",SurveyDATA!BN660:BN831,"*Structure Owner*")</f>
        <v>2</v>
      </c>
      <c r="G30" s="418" t="e">
        <f>COUNTIFS(SurveyDATA!E660:E831,"*Brgy.50*",SurveyDATA!#REF!,"*ISF-Aux*")</f>
        <v>#REF!</v>
      </c>
      <c r="H30" s="378">
        <v>0</v>
      </c>
      <c r="I30" s="423">
        <f>COUNTIF(SurveyDATA!E660:E831,"*Brgy.50*")</f>
        <v>2</v>
      </c>
    </row>
    <row r="31" spans="1:9" customFormat="1">
      <c r="A31" s="379"/>
      <c r="B31" s="421" t="s">
        <v>5801</v>
      </c>
      <c r="C31" s="426">
        <f>COUNTIFS(SurveyDATA!E660:E831,"*Brgy.51*",SurveyDATA!AS660:AS831,"Y",SurveyDATA!BN660:BN831,"*Structure Owner*")</f>
        <v>1</v>
      </c>
      <c r="D31" s="366" t="e">
        <f>COUNTIFS(SurveyDATA!E660:E831,"*Brgy.51*",SurveyDATA!#REF!,"*LEGAL-Aux*")</f>
        <v>#REF!</v>
      </c>
      <c r="E31" s="380">
        <v>0</v>
      </c>
      <c r="F31" s="426">
        <f>COUNTIFS(SurveyDATA!E660:E831,"*Brgy.51*",SurveyDATA!AS660:AS831,"",SurveyDATA!BN660:BN831,"*Structure Owner*")</f>
        <v>2</v>
      </c>
      <c r="G31" s="415" t="e">
        <f>COUNTIFS(SurveyDATA!E660:E831,"*Brgy.51*",SurveyDATA!#REF!,"*ISF-Aux*")</f>
        <v>#REF!</v>
      </c>
      <c r="H31" s="380">
        <v>0</v>
      </c>
      <c r="I31" s="424">
        <f>COUNTIF(SurveyDATA!E660:E831,"*Brgy.51*")</f>
        <v>4</v>
      </c>
    </row>
    <row r="32" spans="1:9" customFormat="1">
      <c r="A32" s="379"/>
      <c r="B32" s="421" t="s">
        <v>5802</v>
      </c>
      <c r="C32" s="426">
        <f>COUNTIFS(SurveyDATA!E660:E831,"*Brgy.53*",SurveyDATA!AS660:AS831,"Y",SurveyDATA!BN660:BN831,"*Structure Owner*")</f>
        <v>0</v>
      </c>
      <c r="D32" s="366" t="e">
        <f>COUNTIFS(SurveyDATA!E660:E831,"*Brgy.53*",SurveyDATA!#REF!,"*LEGAL-Aux*")</f>
        <v>#REF!</v>
      </c>
      <c r="E32" s="380">
        <v>0</v>
      </c>
      <c r="F32" s="426">
        <f>COUNTIFS(SurveyDATA!E660:E831,"*Brgy.53*",SurveyDATA!AS660:AS831,"",SurveyDATA!BN660:BN831,"*Structure Owner*")</f>
        <v>2</v>
      </c>
      <c r="G32" s="415" t="e">
        <f>COUNTIFS(SurveyDATA!E660:E831,"*Brgy.53*",SurveyDATA!#REF!,"*ISF-Aux*")</f>
        <v>#REF!</v>
      </c>
      <c r="H32" s="380">
        <v>0</v>
      </c>
      <c r="I32" s="424">
        <f>COUNTIF(SurveyDATA!E660:E831,"*Brgy.53*")</f>
        <v>2</v>
      </c>
    </row>
    <row r="33" spans="1:11">
      <c r="A33" s="379"/>
      <c r="B33" s="421" t="s">
        <v>5407</v>
      </c>
      <c r="C33" s="426">
        <f>COUNTIFS(SurveyDATA!E660:E831,"*Brgy.152*",SurveyDATA!AS660:AS831,"Y",SurveyDATA!BN660:BN831,"*Structure Owner*")</f>
        <v>0</v>
      </c>
      <c r="D33" s="366" t="e">
        <f>COUNTIFS(SurveyDATA!E660:E831,"*Brgy.152*",SurveyDATA!#REF!,"*LEGAL-Aux*")</f>
        <v>#REF!</v>
      </c>
      <c r="E33" s="380">
        <v>0</v>
      </c>
      <c r="F33" s="426">
        <f>COUNTIFS(SurveyDATA!E660:E831,"*Brgy.52*",SurveyDATA!AS660:AS831,"",SurveyDATA!BN660:BN831,"*Structure Owner*")</f>
        <v>0</v>
      </c>
      <c r="G33" s="415" t="e">
        <f>COUNTIFS(SurveyDATA!E660:E831,"*Brgy.152*",SurveyDATA!#REF!,"*ISF-Aux*")</f>
        <v>#REF!</v>
      </c>
      <c r="H33" s="380">
        <v>0</v>
      </c>
      <c r="I33" s="424">
        <f>COUNTIF(SurveyDATA!E660:E831,"*Brgy.152*")</f>
        <v>2</v>
      </c>
    </row>
    <row r="34" spans="1:11">
      <c r="A34" s="379"/>
      <c r="B34" s="421" t="s">
        <v>5408</v>
      </c>
      <c r="C34" s="426">
        <f>COUNTIFS(SurveyDATA!E660:E831,"*Brgy.155*",SurveyDATA!AS660:AS831,"Y",SurveyDATA!BN660:BN831,"*Structure Owner*")</f>
        <v>0</v>
      </c>
      <c r="D34" s="366" t="e">
        <f>COUNTIFS(SurveyDATA!E660:E831,"*Brgy.155*",SurveyDATA!#REF!,"*LEGAL-Aux*")</f>
        <v>#REF!</v>
      </c>
      <c r="E34" s="380">
        <v>0</v>
      </c>
      <c r="F34" s="426">
        <f>COUNTIFS(SurveyDATA!E660:E831,"*Brgy.155*",SurveyDATA!AS660:AS831,"",SurveyDATA!BN660:BN831,"*Structure Owner*")</f>
        <v>4</v>
      </c>
      <c r="G34" s="415" t="e">
        <f>COUNTIFS(SurveyDATA!E660:E831,"*Brgy.155*",SurveyDATA!#REF!,"*ISF-Aux*")</f>
        <v>#REF!</v>
      </c>
      <c r="H34" s="380">
        <v>0</v>
      </c>
      <c r="I34" s="424">
        <f>COUNTIF(SurveyDATA!E660:E831,"*Brgy.155*")</f>
        <v>6</v>
      </c>
    </row>
    <row r="35" spans="1:11">
      <c r="A35" s="379"/>
      <c r="B35" s="421" t="s">
        <v>5413</v>
      </c>
      <c r="C35" s="426">
        <f>COUNTIFS(SurveyDATA!E660:E831,"*Brgy.156*",SurveyDATA!AS660:AS831,"Y",SurveyDATA!BN660:BN831,"*Structure Owner*")</f>
        <v>2</v>
      </c>
      <c r="D35" s="366" t="e">
        <f>COUNTIFS(SurveyDATA!E660:E831,"*Brgy.156*",SurveyDATA!#REF!,"*LEGAL-Aux*")</f>
        <v>#REF!</v>
      </c>
      <c r="E35" s="380">
        <v>0</v>
      </c>
      <c r="F35" s="426">
        <f>COUNTIFS(SurveyDATA!E660:E831,"*Brgy.156*",SurveyDATA!AS660:AS831,"",SurveyDATA!BN660:BN831,"*Structure Owner*")</f>
        <v>8</v>
      </c>
      <c r="G35" s="415" t="e">
        <f>COUNTIFS(SurveyDATA!E660:E831,"*Brgy.156*",SurveyDATA!#REF!,"*ISF-Aux*")</f>
        <v>#REF!</v>
      </c>
      <c r="H35" s="380">
        <v>0</v>
      </c>
      <c r="I35" s="424">
        <f>COUNTIF(SurveyDATA!E660:E831,"*Brgy.156*")</f>
        <v>15</v>
      </c>
    </row>
    <row r="36" spans="1:11">
      <c r="A36" s="379"/>
      <c r="B36" s="421" t="s">
        <v>5409</v>
      </c>
      <c r="C36" s="426">
        <f>COUNTIFS(SurveyDATA!E660:E831,"*Brgy.159*",SurveyDATA!AS660:AS831,"Y",SurveyDATA!BN660:BN831,"*Structure Owner*")</f>
        <v>4</v>
      </c>
      <c r="D36" s="366" t="e">
        <f>COUNTIFS(SurveyDATA!E660:E831,"*Brgy.159*",SurveyDATA!#REF!,"*LEGAL-Aux*")</f>
        <v>#REF!</v>
      </c>
      <c r="E36" s="380">
        <v>0</v>
      </c>
      <c r="F36" s="426">
        <f>COUNTIFS(SurveyDATA!E660:E831,"*Brgy.50*",SurveyDATA!AS660:AS831,"",SurveyDATA!BN660:BN831,"*Structure Owner*")</f>
        <v>2</v>
      </c>
      <c r="G36" s="415" t="e">
        <f>COUNTIFS(SurveyDATA!E660:E831,"*Brgy.159*",SurveyDATA!#REF!,"*ISF-Aux*")</f>
        <v>#REF!</v>
      </c>
      <c r="H36" s="380">
        <v>0</v>
      </c>
      <c r="I36" s="424">
        <f>COUNTIF(SurveyDATA!E660:E831,"*Brgy.159*")</f>
        <v>50</v>
      </c>
      <c r="J36" s="271"/>
      <c r="K36" s="248"/>
    </row>
    <row r="37" spans="1:11">
      <c r="A37" s="379"/>
      <c r="B37" s="421" t="s">
        <v>5403</v>
      </c>
      <c r="C37" s="426">
        <f>COUNTIFS(SurveyDATA!E660:E831,"*Brgy.164*",SurveyDATA!AS660:AS831,"Y",SurveyDATA!BN660:BN831,"*Structure Owner*")</f>
        <v>0</v>
      </c>
      <c r="D37" s="366" t="e">
        <f>COUNTIFS(SurveyDATA!E660:E831,"*Brgy.164*",SurveyDATA!#REF!,"*LEGAL-Aux*")</f>
        <v>#REF!</v>
      </c>
      <c r="E37" s="380">
        <v>0</v>
      </c>
      <c r="F37" s="426">
        <f>COUNTIFS(SurveyDATA!E660:E831,"*Brgy.164*",SurveyDATA!AS660:AS831,"",SurveyDATA!BN660:BN831,"*Structure Owner*")</f>
        <v>0</v>
      </c>
      <c r="G37" s="415" t="e">
        <f>COUNTIFS(SurveyDATA!E660:E831,"*Brgy.164*",SurveyDATA!#REF!,"*ISF-Aux*")</f>
        <v>#REF!</v>
      </c>
      <c r="H37" s="380">
        <v>0</v>
      </c>
      <c r="I37" s="424">
        <f>COUNTIF(SurveyDATA!E660:E831,"*Brgy.164*")</f>
        <v>5</v>
      </c>
      <c r="J37" s="272"/>
      <c r="K37" s="248"/>
    </row>
    <row r="38" spans="1:11">
      <c r="A38" s="379"/>
      <c r="B38" s="421" t="s">
        <v>5404</v>
      </c>
      <c r="C38" s="426">
        <f>COUNTIFS(SurveyDATA!E660:E831,"*Brgy.165*",SurveyDATA!AS660:AS831,"Y",SurveyDATA!BN660:BN831,"*Structure Owner*")</f>
        <v>0</v>
      </c>
      <c r="D38" s="366" t="e">
        <f>COUNTIFS(SurveyDATA!E660:E831,"*Brgy.165*",SurveyDATA!#REF!,"*LEGAL-Aux*")</f>
        <v>#REF!</v>
      </c>
      <c r="E38" s="380">
        <v>0</v>
      </c>
      <c r="F38" s="426">
        <f>COUNTIFS(SurveyDATA!E660:E831,"*Brgy.165*",SurveyDATA!AS660:AS831,"",SurveyDATA!BN660:BN831,"*Structure Owner*")</f>
        <v>0</v>
      </c>
      <c r="G38" s="415" t="e">
        <f>COUNTIFS(SurveyDATA!E660:E831,"*Brgy.165*",SurveyDATA!#REF!,"*ISF-Aux*")</f>
        <v>#REF!</v>
      </c>
      <c r="H38" s="380">
        <v>0</v>
      </c>
      <c r="I38" s="424">
        <f>COUNTIF(SurveyDATA!E660:E831,"*Brgy.165*")</f>
        <v>4</v>
      </c>
      <c r="J38" s="271"/>
      <c r="K38" s="248"/>
    </row>
    <row r="39" spans="1:11">
      <c r="A39" s="379"/>
      <c r="B39" s="421" t="s">
        <v>5405</v>
      </c>
      <c r="C39" s="426">
        <f>COUNTIFS(SurveyDATA!E660:E831,"*Brgy.184*",SurveyDATA!AS660:AS831,"Y",SurveyDATA!BN660:BN831,"*Structure Owner*")</f>
        <v>7</v>
      </c>
      <c r="D39" s="366" t="e">
        <f>COUNTIFS(SurveyDATA!E660:E831,"*Brgy.184*",SurveyDATA!#REF!,"*LEGAL-Aux*")</f>
        <v>#REF!</v>
      </c>
      <c r="E39" s="380">
        <v>0</v>
      </c>
      <c r="F39" s="426">
        <f>COUNTIFS(SurveyDATA!E660:E831,"*Brgy.184*",SurveyDATA!AS660:AS831,"",SurveyDATA!BN660:BN831,"*Structure Owner*")</f>
        <v>24</v>
      </c>
      <c r="G39" s="415" t="e">
        <f>COUNTIFS(SurveyDATA!E660:E831,"*Brgy.184*",SurveyDATA!#REF!,"*ISF-Aux*")</f>
        <v>#REF!</v>
      </c>
      <c r="H39" s="380">
        <v>0</v>
      </c>
      <c r="I39" s="424">
        <f>COUNTIF(SurveyDATA!E660:E831,"*Brgy.184*")</f>
        <v>53</v>
      </c>
    </row>
    <row r="40" spans="1:11">
      <c r="A40" s="379"/>
      <c r="B40" s="421" t="s">
        <v>5406</v>
      </c>
      <c r="C40" s="426">
        <f>COUNTIFS(SurveyDATA!E660:E831,"*Brgy.185*",SurveyDATA!AS660:AS831,"Y",SurveyDATA!BN660:BN831,"*Structure Owner*")</f>
        <v>0</v>
      </c>
      <c r="D40" s="366" t="e">
        <f>COUNTIFS(SurveyDATA!E660:E831,"*Brgy.185*",SurveyDATA!#REF!,"*LEGAL-Aux*")</f>
        <v>#REF!</v>
      </c>
      <c r="E40" s="380">
        <v>0</v>
      </c>
      <c r="F40" s="426">
        <f>COUNTIFS(SurveyDATA!E660:E831,"*Brgy.185*",SurveyDATA!AS660:AS831,"",SurveyDATA!BN660:BN831,"*Structure Owner*")</f>
        <v>1</v>
      </c>
      <c r="G40" s="415" t="e">
        <f>COUNTIFS(SurveyDATA!E660:E831,"*Brgy.185*",SurveyDATA!#REF!,"*ISF-Aux*")</f>
        <v>#REF!</v>
      </c>
      <c r="H40" s="380">
        <v>0</v>
      </c>
      <c r="I40" s="424">
        <f>COUNTIF(SurveyDATA!E660:E831,"*Brgy.185*")</f>
        <v>1</v>
      </c>
    </row>
    <row r="41" spans="1:11">
      <c r="A41" s="379"/>
      <c r="B41" s="421" t="s">
        <v>5803</v>
      </c>
      <c r="C41" s="426">
        <f>COUNTIFS(SurveyDATA!E660:E831,"*Brgy.186*",SurveyDATA!AS660:AS831,"Y",SurveyDATA!BN660:BN831,"*Structure Owner*")</f>
        <v>0</v>
      </c>
      <c r="D41" s="366" t="e">
        <f>COUNTIFS(SurveyDATA!E660:E831,"*Brgy.186*",SurveyDATA!#REF!,"*LEGAL-Aux*")</f>
        <v>#REF!</v>
      </c>
      <c r="E41" s="380">
        <v>0</v>
      </c>
      <c r="F41" s="426">
        <f>COUNTIFS(SurveyDATA!E660:E831,"*Brgy.186*",SurveyDATA!AS660:AS831,"",SurveyDATA!BN660:BN831,"*Structure Owner*")</f>
        <v>0</v>
      </c>
      <c r="G41" s="415" t="e">
        <f>COUNTIFS(SurveyDATA!E660:E831,"*Brgy.186*",SurveyDATA!#REF!,"*ISF-Aux*")</f>
        <v>#REF!</v>
      </c>
      <c r="H41" s="380">
        <v>0</v>
      </c>
      <c r="I41" s="424">
        <f>COUNTIF(SurveyDATA!E660:E831,"*Brgy.186*")</f>
        <v>1</v>
      </c>
    </row>
    <row r="42" spans="1:11">
      <c r="A42" s="379"/>
      <c r="B42" s="421" t="s">
        <v>5410</v>
      </c>
      <c r="C42" s="426">
        <f>COUNTIFS(SurveyDATA!E660:E831,"*Brgy.199*",SurveyDATA!AS660:AS831,"Y",SurveyDATA!BN660:BN831,"*Structure Owner*")</f>
        <v>2</v>
      </c>
      <c r="D42" s="366" t="e">
        <f>COUNTIFS(SurveyDATA!E660:E831,"*Brgy.199*",SurveyDATA!#REF!,"*LEGAL-Aux*")</f>
        <v>#REF!</v>
      </c>
      <c r="E42" s="380">
        <v>0</v>
      </c>
      <c r="F42" s="426">
        <f>COUNTIFS(SurveyDATA!E660:E831,"*Brgy.199*",SurveyDATA!AS660:AS831,"",SurveyDATA!BN660:BN831,"*Structure Owner*")</f>
        <v>7</v>
      </c>
      <c r="G42" s="415" t="e">
        <f>COUNTIFS(SurveyDATA!E660:E831,"*Brgy.199*",SurveyDATA!#REF!,"*ISF-Aux*")</f>
        <v>#REF!</v>
      </c>
      <c r="H42" s="380">
        <v>0</v>
      </c>
      <c r="I42" s="424">
        <f>COUNTIF(SurveyDATA!E660:E831,"*Brgy.199*")</f>
        <v>24</v>
      </c>
    </row>
    <row r="43" spans="1:11">
      <c r="A43" s="379"/>
      <c r="B43" s="421" t="s">
        <v>5798</v>
      </c>
      <c r="C43" s="426">
        <f>COUNTIFS(SurveyDATA!E660:E831,"*Brgy.200*",SurveyDATA!AS660:AS831,"Y",SurveyDATA!BN660:BN831,"*Structure Owner*")</f>
        <v>0</v>
      </c>
      <c r="D43" s="366" t="e">
        <f>COUNTIFS(SurveyDATA!E660:E831,"*Brgy.200*",SurveyDATA!#REF!,"*LEGAL-Aux*")</f>
        <v>#REF!</v>
      </c>
      <c r="E43" s="380">
        <v>0</v>
      </c>
      <c r="F43" s="426">
        <f>COUNTIFS(SurveyDATA!E660:E831,"*Brgy.200*",SurveyDATA!AS660:AS831,"",SurveyDATA!BN660:BN831,"*Structure Owner*")</f>
        <v>1</v>
      </c>
      <c r="G43" s="415" t="e">
        <f>COUNTIFS(SurveyDATA!E660:E831,"*Brgy.200*",SurveyDATA!#REF!,"*ISF-Aux*")</f>
        <v>#REF!</v>
      </c>
      <c r="H43" s="380">
        <v>0</v>
      </c>
      <c r="I43" s="424">
        <f>COUNTIF(SurveyDATA!E660:E831,"*Brgy.200*")</f>
        <v>1</v>
      </c>
    </row>
    <row r="44" spans="1:11" ht="15.75" thickBot="1">
      <c r="A44" s="381"/>
      <c r="B44" s="422" t="s">
        <v>5799</v>
      </c>
      <c r="C44" s="427">
        <f>COUNTIFS(SurveyDATA!E660:E831,"*Brgy.204*",SurveyDATA!AS660:AS831,"Y",SurveyDATA!BN660:BN831,"*Structure Owner*")</f>
        <v>0</v>
      </c>
      <c r="D44" s="382" t="e">
        <f>COUNTIFS(SurveyDATA!E660:E831,"*Brgy.204*",SurveyDATA!#REF!,"*LEGAL-Aux*")</f>
        <v>#REF!</v>
      </c>
      <c r="E44" s="383">
        <v>0</v>
      </c>
      <c r="F44" s="427">
        <f>COUNTIFS(SurveyDATA!E660:E831,"*Brgy.204*",SurveyDATA!AS660:AS831,"",SurveyDATA!BN660:BN831,"*Structure Owner*")</f>
        <v>1</v>
      </c>
      <c r="G44" s="419" t="e">
        <f>COUNTIFS(SurveyDATA!E660:E831,"*Brgy.204*",SurveyDATA!#REF!,"*ISF-Aux*")</f>
        <v>#REF!</v>
      </c>
      <c r="H44" s="383">
        <v>0</v>
      </c>
      <c r="I44" s="425">
        <f>COUNTIF(SurveyDATA!E660:E831,"*Brgy.204*")</f>
        <v>1</v>
      </c>
    </row>
  </sheetData>
  <mergeCells count="3">
    <mergeCell ref="A1:I1"/>
    <mergeCell ref="C2:E2"/>
    <mergeCell ref="F2:H2"/>
  </mergeCells>
  <conditionalFormatting sqref="G30:G38">
    <cfRule type="containsBlanks" dxfId="205" priority="1">
      <formula>LEN(TRIM(G30))=0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6">
    <tabColor rgb="FF92D050"/>
  </sheetPr>
  <dimension ref="A1:AA44"/>
  <sheetViews>
    <sheetView workbookViewId="0">
      <pane ySplit="3" topLeftCell="A22" activePane="bottomLeft" state="frozen"/>
      <selection activeCell="E970" sqref="E970"/>
      <selection pane="bottomLeft" activeCell="G43" sqref="G43"/>
    </sheetView>
  </sheetViews>
  <sheetFormatPr defaultRowHeight="15"/>
  <cols>
    <col min="1" max="1" width="16.5703125" style="228" bestFit="1" customWidth="1"/>
    <col min="2" max="2" width="15.85546875" style="228" bestFit="1" customWidth="1"/>
    <col min="3" max="3" width="13.5703125" style="228" bestFit="1" customWidth="1"/>
    <col min="4" max="4" width="8.85546875" style="228" bestFit="1" customWidth="1"/>
    <col min="5" max="5" width="13.5703125" style="228" bestFit="1" customWidth="1"/>
    <col min="6" max="6" width="8.85546875" style="228" bestFit="1" customWidth="1"/>
    <col min="7" max="11" width="9.140625" style="228" customWidth="1"/>
    <col min="12" max="16" width="9.140625" style="228"/>
    <col min="17" max="17" width="17" style="228" bestFit="1" customWidth="1"/>
    <col min="18" max="18" width="15.85546875" style="228" bestFit="1" customWidth="1"/>
    <col min="19" max="19" width="15" style="228" bestFit="1" customWidth="1"/>
    <col min="20" max="20" width="10.28515625" style="228" bestFit="1" customWidth="1"/>
    <col min="21" max="21" width="15" style="228" bestFit="1" customWidth="1"/>
    <col min="22" max="22" width="10.28515625" style="228" bestFit="1" customWidth="1"/>
    <col min="23" max="16384" width="9.140625" style="228"/>
  </cols>
  <sheetData>
    <row r="1" spans="1:27" ht="15.75" thickBot="1">
      <c r="A1" s="1852" t="s">
        <v>5363</v>
      </c>
      <c r="B1" s="1853"/>
      <c r="C1" s="1854"/>
      <c r="D1" s="1854"/>
      <c r="E1" s="1854"/>
      <c r="F1" s="1854"/>
      <c r="G1" s="1853"/>
      <c r="H1" s="1853"/>
      <c r="I1" s="1853"/>
      <c r="J1" s="1853"/>
      <c r="K1" s="1855"/>
      <c r="Q1" s="263"/>
      <c r="R1" s="263"/>
      <c r="S1" s="263"/>
      <c r="T1" s="263"/>
      <c r="U1" s="263"/>
      <c r="V1" s="263"/>
      <c r="W1" s="263"/>
      <c r="X1" s="263"/>
      <c r="Y1" s="263"/>
      <c r="Z1" s="263"/>
      <c r="AA1" s="263"/>
    </row>
    <row r="2" spans="1:27" ht="15" customHeight="1">
      <c r="A2" s="1856" t="s">
        <v>5355</v>
      </c>
      <c r="B2" s="1858" t="s">
        <v>5356</v>
      </c>
      <c r="C2" s="1852" t="s">
        <v>1100</v>
      </c>
      <c r="D2" s="1855"/>
      <c r="E2" s="1852" t="s">
        <v>1096</v>
      </c>
      <c r="F2" s="1855"/>
      <c r="G2" s="1860" t="s">
        <v>5364</v>
      </c>
      <c r="H2" s="1862" t="s">
        <v>5365</v>
      </c>
      <c r="I2" s="1862" t="s">
        <v>5366</v>
      </c>
      <c r="J2" s="1862" t="s">
        <v>5367</v>
      </c>
      <c r="K2" s="1864" t="s">
        <v>5368</v>
      </c>
      <c r="Q2" s="264"/>
      <c r="R2" s="264"/>
      <c r="S2" s="263"/>
      <c r="T2" s="263"/>
      <c r="U2" s="263"/>
      <c r="V2" s="263"/>
      <c r="W2" s="265"/>
      <c r="X2" s="265"/>
      <c r="Y2" s="265"/>
      <c r="Z2" s="265"/>
      <c r="AA2" s="265"/>
    </row>
    <row r="3" spans="1:27" ht="15.75" thickBot="1">
      <c r="A3" s="1857"/>
      <c r="B3" s="1859"/>
      <c r="C3" s="266" t="s">
        <v>5369</v>
      </c>
      <c r="D3" s="267" t="s">
        <v>5360</v>
      </c>
      <c r="E3" s="266" t="s">
        <v>5369</v>
      </c>
      <c r="F3" s="267" t="s">
        <v>5360</v>
      </c>
      <c r="G3" s="1861"/>
      <c r="H3" s="1863"/>
      <c r="I3" s="1863"/>
      <c r="J3" s="1863"/>
      <c r="K3" s="1865"/>
      <c r="Q3" s="264"/>
      <c r="R3" s="264"/>
      <c r="S3" s="260"/>
      <c r="T3" s="260"/>
      <c r="U3" s="260"/>
      <c r="V3" s="260"/>
      <c r="W3" s="265"/>
      <c r="X3" s="265"/>
      <c r="Y3" s="265"/>
      <c r="Z3" s="265"/>
      <c r="AA3" s="265"/>
    </row>
    <row r="4" spans="1:27">
      <c r="A4" s="253" t="s">
        <v>5373</v>
      </c>
      <c r="B4" s="254" t="s">
        <v>5375</v>
      </c>
      <c r="C4" s="255">
        <v>1</v>
      </c>
      <c r="D4" s="256">
        <v>0</v>
      </c>
      <c r="E4" s="255">
        <v>3</v>
      </c>
      <c r="F4" s="256">
        <v>0</v>
      </c>
      <c r="G4" s="257"/>
      <c r="H4" s="258"/>
      <c r="I4" s="259"/>
      <c r="J4" s="259"/>
      <c r="K4" s="256"/>
      <c r="Q4" s="229"/>
      <c r="R4" s="229"/>
      <c r="S4" s="261"/>
      <c r="T4" s="261"/>
      <c r="U4" s="261"/>
      <c r="V4" s="261"/>
      <c r="W4" s="261"/>
      <c r="X4" s="262"/>
      <c r="Y4" s="261"/>
      <c r="Z4" s="261"/>
      <c r="AA4" s="261"/>
    </row>
    <row r="5" spans="1:27">
      <c r="A5" s="233"/>
      <c r="B5" s="230" t="s">
        <v>5376</v>
      </c>
      <c r="C5" s="251">
        <v>0</v>
      </c>
      <c r="D5" s="252">
        <v>0</v>
      </c>
      <c r="E5" s="251">
        <v>0</v>
      </c>
      <c r="F5" s="252">
        <v>0</v>
      </c>
      <c r="G5" s="250"/>
      <c r="H5" s="244"/>
      <c r="I5" s="244"/>
      <c r="J5" s="244"/>
      <c r="K5" s="252"/>
      <c r="Q5" s="229"/>
      <c r="R5" s="229"/>
      <c r="S5" s="261"/>
      <c r="T5" s="261"/>
      <c r="U5" s="261"/>
      <c r="V5" s="261"/>
      <c r="W5" s="261"/>
      <c r="X5" s="261"/>
      <c r="Y5" s="261"/>
      <c r="Z5" s="261"/>
      <c r="AA5" s="261"/>
    </row>
    <row r="6" spans="1:27">
      <c r="A6" s="234"/>
      <c r="B6" s="230" t="s">
        <v>5374</v>
      </c>
      <c r="C6" s="251">
        <v>0</v>
      </c>
      <c r="D6" s="252">
        <v>1</v>
      </c>
      <c r="E6" s="251">
        <v>0</v>
      </c>
      <c r="F6" s="252">
        <v>0</v>
      </c>
      <c r="G6" s="250"/>
      <c r="H6" s="244"/>
      <c r="I6" s="244"/>
      <c r="J6" s="244"/>
      <c r="K6" s="252"/>
      <c r="Q6" s="229"/>
      <c r="R6" s="229"/>
      <c r="S6" s="261"/>
      <c r="T6" s="261"/>
      <c r="U6" s="261"/>
      <c r="V6" s="261"/>
      <c r="W6" s="261"/>
      <c r="X6" s="261"/>
      <c r="Y6" s="261"/>
      <c r="Z6" s="261"/>
      <c r="AA6" s="261"/>
    </row>
    <row r="7" spans="1:27">
      <c r="A7" s="232" t="s">
        <v>5377</v>
      </c>
      <c r="B7" s="230" t="s">
        <v>5379</v>
      </c>
      <c r="C7" s="251">
        <v>0</v>
      </c>
      <c r="D7" s="252">
        <v>0</v>
      </c>
      <c r="E7" s="251">
        <v>1</v>
      </c>
      <c r="F7" s="252">
        <v>0</v>
      </c>
      <c r="G7" s="250"/>
      <c r="H7" s="244"/>
      <c r="I7" s="244"/>
      <c r="J7" s="244"/>
      <c r="K7" s="252"/>
      <c r="Q7" s="229"/>
      <c r="R7" s="229"/>
      <c r="S7" s="261"/>
      <c r="T7" s="261"/>
      <c r="U7" s="261"/>
      <c r="V7" s="261"/>
      <c r="W7" s="261"/>
      <c r="X7" s="261"/>
      <c r="Y7" s="261"/>
      <c r="Z7" s="261"/>
      <c r="AA7" s="261"/>
    </row>
    <row r="8" spans="1:27">
      <c r="A8" s="234"/>
      <c r="B8" s="230" t="s">
        <v>5378</v>
      </c>
      <c r="C8" s="251">
        <v>0</v>
      </c>
      <c r="D8" s="252">
        <v>0</v>
      </c>
      <c r="E8" s="251">
        <v>3</v>
      </c>
      <c r="F8" s="252">
        <v>0</v>
      </c>
      <c r="G8" s="250"/>
      <c r="H8" s="244"/>
      <c r="I8" s="244"/>
      <c r="J8" s="244"/>
      <c r="K8" s="252"/>
      <c r="Q8" s="229"/>
      <c r="R8" s="229"/>
      <c r="S8" s="261"/>
      <c r="T8" s="261"/>
      <c r="U8" s="261"/>
      <c r="V8" s="261"/>
      <c r="W8" s="261"/>
      <c r="X8" s="261"/>
      <c r="Y8" s="261"/>
      <c r="Z8" s="261"/>
      <c r="AA8" s="261"/>
    </row>
    <row r="9" spans="1:27">
      <c r="A9" s="235" t="s">
        <v>5380</v>
      </c>
      <c r="B9" s="230" t="s">
        <v>5411</v>
      </c>
      <c r="C9" s="251">
        <v>0</v>
      </c>
      <c r="D9" s="252">
        <v>0</v>
      </c>
      <c r="E9" s="251">
        <v>0</v>
      </c>
      <c r="F9" s="252">
        <v>0</v>
      </c>
      <c r="G9" s="250"/>
      <c r="H9" s="244"/>
      <c r="I9" s="244"/>
      <c r="J9" s="244"/>
      <c r="K9" s="252"/>
      <c r="Q9" s="229"/>
      <c r="R9" s="229"/>
      <c r="S9" s="261"/>
      <c r="T9" s="261"/>
      <c r="U9" s="261"/>
      <c r="V9" s="261"/>
      <c r="W9" s="261"/>
      <c r="X9" s="261"/>
      <c r="Y9" s="261"/>
      <c r="Z9" s="261"/>
      <c r="AA9" s="261"/>
    </row>
    <row r="10" spans="1:27">
      <c r="A10" s="232" t="s">
        <v>5381</v>
      </c>
      <c r="B10" s="230" t="s">
        <v>5384</v>
      </c>
      <c r="C10" s="251">
        <v>0</v>
      </c>
      <c r="D10" s="252">
        <v>0</v>
      </c>
      <c r="E10" s="251">
        <v>0</v>
      </c>
      <c r="F10" s="252">
        <v>0</v>
      </c>
      <c r="G10" s="250"/>
      <c r="H10" s="244"/>
      <c r="I10" s="244"/>
      <c r="J10" s="244"/>
      <c r="K10" s="252"/>
      <c r="Q10" s="229"/>
      <c r="R10" s="229"/>
      <c r="S10" s="261"/>
      <c r="T10" s="261"/>
      <c r="U10" s="261"/>
      <c r="V10" s="261"/>
      <c r="W10" s="261"/>
      <c r="X10" s="261"/>
      <c r="Y10" s="261"/>
      <c r="Z10" s="261"/>
      <c r="AA10" s="261"/>
    </row>
    <row r="11" spans="1:27">
      <c r="A11" s="233"/>
      <c r="B11" s="230" t="s">
        <v>5383</v>
      </c>
      <c r="C11" s="251">
        <v>1</v>
      </c>
      <c r="D11" s="252">
        <v>0</v>
      </c>
      <c r="E11" s="251">
        <v>1</v>
      </c>
      <c r="F11" s="252">
        <v>0</v>
      </c>
      <c r="G11" s="250"/>
      <c r="H11" s="244"/>
      <c r="I11" s="244"/>
      <c r="J11" s="244"/>
      <c r="K11" s="252"/>
      <c r="Q11" s="229"/>
      <c r="R11" s="229"/>
      <c r="S11" s="261"/>
      <c r="T11" s="261"/>
      <c r="U11" s="261"/>
      <c r="V11" s="261"/>
      <c r="W11" s="261"/>
      <c r="X11" s="261"/>
      <c r="Y11" s="261"/>
      <c r="Z11" s="261"/>
      <c r="AA11" s="261"/>
    </row>
    <row r="12" spans="1:27">
      <c r="A12" s="234"/>
      <c r="B12" s="230" t="s">
        <v>5382</v>
      </c>
      <c r="C12" s="251">
        <v>0</v>
      </c>
      <c r="D12" s="252">
        <v>0</v>
      </c>
      <c r="E12" s="251">
        <v>0</v>
      </c>
      <c r="F12" s="252">
        <v>0</v>
      </c>
      <c r="G12" s="250"/>
      <c r="H12" s="244"/>
      <c r="I12" s="244"/>
      <c r="J12" s="244"/>
      <c r="K12" s="252"/>
      <c r="Q12" s="229"/>
      <c r="R12" s="229"/>
      <c r="S12" s="261"/>
      <c r="T12" s="261"/>
      <c r="U12" s="261"/>
      <c r="V12" s="261"/>
      <c r="W12" s="261"/>
      <c r="X12" s="261"/>
      <c r="Y12" s="261"/>
      <c r="Z12" s="261"/>
      <c r="AA12" s="261"/>
    </row>
    <row r="13" spans="1:27">
      <c r="A13" s="446" t="s">
        <v>5385</v>
      </c>
      <c r="B13" s="467" t="s">
        <v>5387</v>
      </c>
      <c r="C13" s="447">
        <f>COUNTIFS(SurveyDATA!E105:E130,"*Abangan*",SurveyDATA!AS105:AS130,"",SurveyDATA!BN105:BN130,"*Structure Owner*",SurveyDATA!IR105:IR130,"*")</f>
        <v>1</v>
      </c>
      <c r="D13" s="448">
        <f>COUNTIFS(SurveyDATA!E105:E130,"*Abangan*",SurveyDATA!AS105:AS130,"",SurveyDATA!CB105:CB130,"Y",SurveyDATA!IR105:IR130,"*")</f>
        <v>0</v>
      </c>
      <c r="E13" s="447">
        <f>COUNTIFS(SurveyDATA!E105:E130,"*Abangan*",SurveyDATA!AS105:AS130,"",SurveyDATA!BN105:BN130,"*Structure Owner*")</f>
        <v>1</v>
      </c>
      <c r="F13" s="448">
        <f>COUNTIFS(SurveyDATA!E105:E130,"*Abangan*",SurveyDATA!AS105:AS130,"",SurveyDATA!CB105:CB130,"Y")</f>
        <v>0</v>
      </c>
      <c r="G13" s="449"/>
      <c r="H13" s="450"/>
      <c r="I13" s="450"/>
      <c r="J13" s="450"/>
      <c r="K13" s="448"/>
      <c r="Q13" s="229"/>
      <c r="R13" s="229"/>
      <c r="S13" s="261"/>
      <c r="T13" s="261"/>
      <c r="U13" s="261"/>
      <c r="V13" s="261"/>
      <c r="W13" s="261"/>
      <c r="X13" s="261"/>
      <c r="Y13" s="261"/>
      <c r="Z13" s="261"/>
      <c r="AA13" s="261"/>
    </row>
    <row r="14" spans="1:27">
      <c r="A14" s="451"/>
      <c r="B14" s="467" t="s">
        <v>5388</v>
      </c>
      <c r="C14" s="447">
        <f>COUNTIFS(SurveyDATA!E105:E130,"*Saog*",SurveyDATA!AS105:AS130,"",SurveyDATA!BN105:BN130,"*Structure Owner*",SurveyDATA!IR105:IR130,"*")</f>
        <v>2</v>
      </c>
      <c r="D14" s="448">
        <f>COUNTIFS(SurveyDATA!E105:E130,"*Saog*",SurveyDATA!AS105:AS130,"",SurveyDATA!CB105:CB130,"Y",SurveyDATA!IR105:IR130,"*")</f>
        <v>0</v>
      </c>
      <c r="E14" s="447">
        <f>COUNTIFS(SurveyDATA!E105:E130,"*Saog*",SurveyDATA!AS105:AS130,"",SurveyDATA!BN105:BN130,"*Structure Owner*")</f>
        <v>4</v>
      </c>
      <c r="F14" s="448">
        <f>COUNTIFS(SurveyDATA!E105:E130,"*Saog*",SurveyDATA!AS105:AS130,"",SurveyDATA!CB105:CB130,"Y")</f>
        <v>2</v>
      </c>
      <c r="G14" s="449"/>
      <c r="H14" s="450"/>
      <c r="I14" s="450"/>
      <c r="J14" s="450"/>
      <c r="K14" s="448"/>
      <c r="Q14" s="229"/>
      <c r="R14" s="229"/>
      <c r="S14" s="261"/>
      <c r="T14" s="261"/>
      <c r="U14" s="261"/>
      <c r="V14" s="261"/>
      <c r="W14" s="261"/>
      <c r="X14" s="261"/>
      <c r="Y14" s="261"/>
      <c r="Z14" s="261"/>
      <c r="AA14" s="261"/>
    </row>
    <row r="15" spans="1:27">
      <c r="A15" s="451"/>
      <c r="B15" s="467" t="s">
        <v>5489</v>
      </c>
      <c r="C15" s="447">
        <f>COUNTIFS(SurveyDATA!E105:E130,"*Ibayo*",SurveyDATA!AS105:AS130,"",SurveyDATA!BN105:BN130,"*Structure Owner*",SurveyDATA!IR105:IR130,"*")</f>
        <v>0</v>
      </c>
      <c r="D15" s="448">
        <f>COUNTIFS(SurveyDATA!E105:E130,"*Ibayo*",SurveyDATA!AS105:AS130,"",SurveyDATA!CB105:CB130,"Y",SurveyDATA!IR105:IR130,"*")</f>
        <v>0</v>
      </c>
      <c r="E15" s="447">
        <f>COUNTIFS(SurveyDATA!E105:E130,"*Ibayo*",SurveyDATA!AS105:AS130,"",SurveyDATA!BN105:BN130,"*Structure Owner*")</f>
        <v>0</v>
      </c>
      <c r="F15" s="448">
        <f>COUNTIFS(SurveyDATA!E105:E130,"*Ibayo*",SurveyDATA!AS105:AS130,"",SurveyDATA!CB105:CB130,"Y")</f>
        <v>0</v>
      </c>
      <c r="G15" s="449"/>
      <c r="H15" s="450"/>
      <c r="I15" s="450"/>
      <c r="J15" s="450"/>
      <c r="K15" s="448"/>
      <c r="Q15" s="229"/>
      <c r="R15" s="229"/>
      <c r="S15" s="261"/>
      <c r="T15" s="261"/>
      <c r="U15" s="261"/>
      <c r="V15" s="261"/>
      <c r="W15" s="261"/>
      <c r="X15" s="261"/>
      <c r="Y15" s="261"/>
      <c r="Z15" s="261"/>
      <c r="AA15" s="261"/>
    </row>
    <row r="16" spans="1:27">
      <c r="A16" s="542" t="s">
        <v>5414</v>
      </c>
      <c r="B16" s="566" t="s">
        <v>5849</v>
      </c>
      <c r="C16" s="251">
        <v>0</v>
      </c>
      <c r="D16" s="252">
        <v>0</v>
      </c>
      <c r="E16" s="251">
        <v>0</v>
      </c>
      <c r="F16" s="252">
        <v>0</v>
      </c>
      <c r="G16" s="250"/>
      <c r="H16" s="244"/>
      <c r="I16" s="244"/>
      <c r="J16" s="244"/>
      <c r="K16" s="252"/>
      <c r="Q16" s="229"/>
      <c r="R16" s="229"/>
      <c r="S16" s="261"/>
      <c r="T16" s="261"/>
      <c r="U16" s="261"/>
      <c r="V16" s="261"/>
      <c r="W16" s="261"/>
      <c r="X16" s="261"/>
      <c r="Y16" s="261"/>
      <c r="Z16" s="261"/>
      <c r="AA16" s="261"/>
    </row>
    <row r="17" spans="1:27">
      <c r="A17" s="547"/>
      <c r="B17" s="566" t="s">
        <v>5497</v>
      </c>
      <c r="C17" s="251">
        <f>COUNTIFS(SurveyDATA!E131:E209,"*Tugatog*",SurveyDATA!AS131:AS209,"",SurveyDATA!BN131:BN209,"*Structure Owner*",SurveyDATA!IR131:IR209,"*")</f>
        <v>1</v>
      </c>
      <c r="D17" s="570">
        <f>COUNTIFS(SurveyDATA!E131:E209,"*Tugatog*",SurveyDATA!AS131:AS209,"",SurveyDATA!CB131:CB209,"Y",SurveyDATA!IR131:IR209,"*")</f>
        <v>0</v>
      </c>
      <c r="E17" s="569">
        <f>COUNTIFS(SurveyDATA!E131:E209,"*Tugatog*",SurveyDATA!AS131:AS209,"",SurveyDATA!BN131:BN209,"*Structure Owner*")</f>
        <v>8</v>
      </c>
      <c r="F17" s="252">
        <f>COUNTIFS(SurveyDATA!E131:E209,"*Tugatog*",SurveyDATA!AS131:AS209,"",SurveyDATA!CB131:CB209,"Y")</f>
        <v>5</v>
      </c>
      <c r="G17" s="250"/>
      <c r="H17" s="244"/>
      <c r="I17" s="244"/>
      <c r="J17" s="244"/>
      <c r="K17" s="252"/>
      <c r="Q17" s="229"/>
      <c r="R17" s="229"/>
      <c r="S17" s="261"/>
      <c r="T17" s="261"/>
      <c r="U17" s="261"/>
      <c r="V17" s="261"/>
      <c r="W17" s="261"/>
      <c r="X17" s="261"/>
      <c r="Y17" s="261"/>
      <c r="Z17" s="261"/>
      <c r="AA17" s="261"/>
    </row>
    <row r="18" spans="1:27">
      <c r="A18" s="548"/>
      <c r="B18" s="566" t="s">
        <v>5389</v>
      </c>
      <c r="C18" s="251">
        <v>2</v>
      </c>
      <c r="D18" s="252">
        <v>0</v>
      </c>
      <c r="E18" s="251">
        <v>8</v>
      </c>
      <c r="F18" s="252">
        <v>0</v>
      </c>
      <c r="G18" s="250"/>
      <c r="H18" s="244"/>
      <c r="I18" s="244"/>
      <c r="J18" s="244"/>
      <c r="K18" s="252"/>
      <c r="Q18" s="229"/>
      <c r="R18" s="229"/>
      <c r="S18" s="261"/>
      <c r="T18" s="261"/>
      <c r="U18" s="261"/>
      <c r="V18" s="261"/>
      <c r="W18" s="261"/>
      <c r="X18" s="261"/>
      <c r="Y18" s="261"/>
      <c r="Z18" s="261"/>
      <c r="AA18" s="261"/>
    </row>
    <row r="19" spans="1:27">
      <c r="A19" s="461" t="s">
        <v>5390</v>
      </c>
      <c r="B19" s="460" t="s">
        <v>5391</v>
      </c>
      <c r="C19" s="462" t="e">
        <f>COUNTIFS(SurveyDATA!E218:E417,"*Malanday*",SurveyDATA!AS218:AS417,"",SurveyDATA!BN218:BN417,"*Structure Owner*",SurveyDATA!IR221:IR417,"*")</f>
        <v>#VALUE!</v>
      </c>
      <c r="D19" s="463" t="e">
        <f>COUNTIFS(SurveyDATA!E218:E417,"*Malanday*",SurveyDATA!AS218:AS417,"",SurveyDATA!CB218:CB417,"Y",SurveyDATA!IR221:IR417,"*")</f>
        <v>#VALUE!</v>
      </c>
      <c r="E19" s="462">
        <f>COUNTIFS(SurveyDATA!E218:E417,"*Malanday*",SurveyDATA!AS218:AS417,"",SurveyDATA!BN218:BN417,"*Structure Owner*")</f>
        <v>21</v>
      </c>
      <c r="F19" s="463">
        <f>COUNTIFS(SurveyDATA!E218:E417,"*Malanday*",SurveyDATA!AS218:AS417,"",SurveyDATA!CB218:CB417,"Y")</f>
        <v>6</v>
      </c>
      <c r="G19" s="464"/>
      <c r="H19" s="465"/>
      <c r="I19" s="465"/>
      <c r="J19" s="465"/>
      <c r="K19" s="463"/>
      <c r="Q19" s="229"/>
      <c r="R19" s="229"/>
      <c r="S19" s="261"/>
      <c r="T19" s="261"/>
      <c r="U19" s="261"/>
      <c r="V19" s="261"/>
      <c r="W19" s="261"/>
      <c r="X19" s="261"/>
      <c r="Y19" s="261"/>
      <c r="Z19" s="261"/>
      <c r="AA19" s="261"/>
    </row>
    <row r="20" spans="1:27">
      <c r="A20" s="466"/>
      <c r="B20" s="460" t="s">
        <v>5818</v>
      </c>
      <c r="C20" s="462" t="e">
        <f>COUNTIFS(SurveyDATA!E218:E417,"*Dalandanan*",SurveyDATA!AS218:AS417,"",SurveyDATA!BN218:BN417,"*Structure Owner*",SurveyDATA!IR221:IR417,"*")</f>
        <v>#VALUE!</v>
      </c>
      <c r="D20" s="463" t="e">
        <f>COUNTIFS(SurveyDATA!E218:E417,"*Dalndanan*",SurveyDATA!AS218:AS417,"",SurveyDATA!CB218:CB417,"Y",SurveyDATA!IR221:IR417,"*")</f>
        <v>#VALUE!</v>
      </c>
      <c r="E20" s="462">
        <f>COUNTIFS(SurveyDATA!E218:E417,"*Dalandanan*",SurveyDATA!AS218:AS417,"",SurveyDATA!BN218:BN417,"*Structure Owner*")</f>
        <v>1</v>
      </c>
      <c r="F20" s="463">
        <f>COUNTIFS(SurveyDATA!E218:E417,"*Dalandanan*",SurveyDATA!AS218:AS417,"",SurveyDATA!CB218:CB417,"Y")</f>
        <v>0</v>
      </c>
      <c r="G20" s="464"/>
      <c r="H20" s="465"/>
      <c r="I20" s="465"/>
      <c r="J20" s="465"/>
      <c r="K20" s="463"/>
      <c r="Q20" s="229"/>
      <c r="R20" s="229"/>
      <c r="S20" s="261"/>
      <c r="T20" s="261"/>
      <c r="U20" s="261"/>
      <c r="V20" s="261"/>
      <c r="W20" s="261"/>
      <c r="X20" s="261"/>
      <c r="Y20" s="261"/>
      <c r="Z20" s="261"/>
      <c r="AA20" s="261"/>
    </row>
    <row r="21" spans="1:27">
      <c r="A21" s="466"/>
      <c r="B21" s="460" t="s">
        <v>5392</v>
      </c>
      <c r="C21" s="462" t="e">
        <f>COUNTIFS(SurveyDATA!E218:E417,"*Malinta*",SurveyDATA!AS218:AS417,"",SurveyDATA!BN218:BN417,"*Structure Owner*",SurveyDATA!IR221:IR417,"*")</f>
        <v>#VALUE!</v>
      </c>
      <c r="D21" s="463" t="e">
        <f>COUNTIFS(SurveyDATA!E218:E417,"*Malinta*",SurveyDATA!AS218:AS417,"",SurveyDATA!CB218:CB417,"Y",SurveyDATA!IR221:IR417,"*")</f>
        <v>#VALUE!</v>
      </c>
      <c r="E21" s="462">
        <f>COUNTIFS(SurveyDATA!E218:E417,"*Malinta*",SurveyDATA!AS218:AS417,"",SurveyDATA!BN218:BN417,"*Structure Owner*")</f>
        <v>43</v>
      </c>
      <c r="F21" s="463">
        <f>COUNTIFS(SurveyDATA!E218:E417,"*Malinta*",SurveyDATA!AS218:AS417,"",SurveyDATA!CB218:CB417,"Y")</f>
        <v>15</v>
      </c>
      <c r="G21" s="464"/>
      <c r="H21" s="465"/>
      <c r="I21" s="465"/>
      <c r="J21" s="465"/>
      <c r="K21" s="463"/>
      <c r="Q21" s="229"/>
      <c r="R21" s="229"/>
      <c r="S21" s="261"/>
      <c r="T21" s="261"/>
      <c r="U21" s="261"/>
      <c r="V21" s="261"/>
      <c r="W21" s="261"/>
      <c r="X21" s="261"/>
      <c r="Y21" s="261"/>
      <c r="Z21" s="261"/>
      <c r="AA21" s="261"/>
    </row>
    <row r="22" spans="1:27">
      <c r="A22" s="549" t="s">
        <v>5362</v>
      </c>
      <c r="B22" s="452" t="s">
        <v>5393</v>
      </c>
      <c r="C22" s="550">
        <f>COUNTIFS(SurveyDATA!E418:E659,"*Brgy.15*",SurveyDATA!AS418:AS659,"",SurveyDATA!BN418:BN659,"*Structure Owner*",SurveyDATA!IR418:IR659,"*")</f>
        <v>4</v>
      </c>
      <c r="D22" s="551">
        <f>COUNTIFS(SurveyDATA!E418:E659,"*Brgy.15*",SurveyDATA!AS418:AS659,"",SurveyDATA!CB418:CB659,"Y",SurveyDATA!IR418:IR659,"*")</f>
        <v>1</v>
      </c>
      <c r="E22" s="552">
        <f>COUNTIFS(SurveyDATA!E418:E659,"*Brgy.15*",SurveyDATA!AS418:AS659,"",SurveyDATA!BN418:BN659,"*Structure Owner*")</f>
        <v>15</v>
      </c>
      <c r="F22" s="551">
        <f>COUNTIFS(SurveyDATA!E418:E659,"*Brgy.15*",SurveyDATA!AS418:AS659,"",SurveyDATA!CB418:CB659,"Y")</f>
        <v>2</v>
      </c>
      <c r="G22" s="550">
        <f>COUNTIFS(SurveyDATA!E418:E659,"*Brgy.15*",SurveyDATA!AP418:AP659,"*STAI*")</f>
        <v>0</v>
      </c>
      <c r="H22" s="553"/>
      <c r="I22" s="553"/>
      <c r="J22" s="553"/>
      <c r="K22" s="551"/>
      <c r="Q22" s="229"/>
      <c r="R22" s="226"/>
      <c r="S22" s="261"/>
      <c r="T22" s="261"/>
      <c r="U22" s="261"/>
      <c r="V22" s="261"/>
      <c r="W22" s="261"/>
      <c r="X22" s="261"/>
      <c r="Y22" s="261"/>
      <c r="Z22" s="261"/>
      <c r="AA22" s="261"/>
    </row>
    <row r="23" spans="1:27">
      <c r="A23" s="554"/>
      <c r="B23" s="452" t="s">
        <v>5395</v>
      </c>
      <c r="C23" s="550">
        <f>COUNTIFS(SurveyDATA!E418:E659,"*Brgy.17*",SurveyDATA!AS418:AS659,"",SurveyDATA!BN418:BN659,"*Structure Owner*",SurveyDATA!IR418:IR659,"*")</f>
        <v>0</v>
      </c>
      <c r="D23" s="551">
        <f>COUNTIFS(SurveyDATA!E418:E659,"*Brgy.17*",SurveyDATA!AS418:AS659,"",SurveyDATA!CB418:CB659,"Y",SurveyDATA!IR418:IR659,"*")</f>
        <v>0</v>
      </c>
      <c r="E23" s="552">
        <f>COUNTIFS(SurveyDATA!E418:E659,"*Brgy.17*",SurveyDATA!AS418:AS659,"",SurveyDATA!BN418:BN659,"*Structure Owner*")</f>
        <v>0</v>
      </c>
      <c r="F23" s="551">
        <f>COUNTIFS(SurveyDATA!E418:E659,"*Brgy.17*",SurveyDATA!AS418:AS659,"",SurveyDATA!CB418:CB659,"Y")</f>
        <v>4</v>
      </c>
      <c r="G23" s="550">
        <f>COUNTIFS(SurveyDATA!E418:E659,"*Brgy.17*",SurveyDATA!AP418:AP659,"*STAI*")</f>
        <v>0</v>
      </c>
      <c r="H23" s="553"/>
      <c r="I23" s="553"/>
      <c r="J23" s="553"/>
      <c r="K23" s="551"/>
      <c r="Q23" s="226"/>
      <c r="R23" s="226"/>
      <c r="S23" s="261"/>
      <c r="T23" s="261"/>
      <c r="U23" s="261"/>
      <c r="V23" s="261"/>
      <c r="W23" s="261"/>
      <c r="X23" s="261"/>
      <c r="Y23" s="261"/>
      <c r="Z23" s="261"/>
      <c r="AA23" s="261"/>
    </row>
    <row r="24" spans="1:27">
      <c r="A24" s="554"/>
      <c r="B24" s="452" t="s">
        <v>5394</v>
      </c>
      <c r="C24" s="550">
        <f>COUNTIFS(SurveyDATA!E418:E659,"*Brgy.19*",SurveyDATA!AS418:AS659,"",SurveyDATA!BN418:BN659,"*Structure Owner*",SurveyDATA!IR418:IR659,"*")</f>
        <v>3</v>
      </c>
      <c r="D24" s="551">
        <f>COUNTIFS(SurveyDATA!E418:E659,"*Brgy.19*",SurveyDATA!AS418:AS659,"",SurveyDATA!CB418:CB659,"Y",SurveyDATA!IR418:IR659,"*")</f>
        <v>0</v>
      </c>
      <c r="E24" s="552">
        <f>COUNTIFS(SurveyDATA!E418:E659,"*Brgy.19*",SurveyDATA!AS418:AS659,"",SurveyDATA!BN418:BN659,"*Structure Owner*")</f>
        <v>21</v>
      </c>
      <c r="F24" s="551">
        <f>COUNTIFS(SurveyDATA!E418:E659,"*Brgy.19*",SurveyDATA!AS418:AS659,"",SurveyDATA!CB418:CB659,"Y")</f>
        <v>8</v>
      </c>
      <c r="G24" s="550">
        <f>COUNTIFS(SurveyDATA!E418:E659,"*Brgy.19*",SurveyDATA!AP418:AP659,"*STAI*")</f>
        <v>0</v>
      </c>
      <c r="H24" s="553"/>
      <c r="I24" s="553"/>
      <c r="J24" s="553"/>
      <c r="K24" s="551"/>
      <c r="Q24" s="226"/>
      <c r="R24" s="226"/>
      <c r="S24" s="261"/>
      <c r="T24" s="261"/>
      <c r="U24" s="261"/>
      <c r="V24" s="261"/>
      <c r="W24" s="261"/>
      <c r="X24" s="261"/>
      <c r="Y24" s="261"/>
      <c r="Z24" s="261"/>
      <c r="AA24" s="261"/>
    </row>
    <row r="25" spans="1:27">
      <c r="A25" s="554"/>
      <c r="B25" s="452" t="s">
        <v>5396</v>
      </c>
      <c r="C25" s="550">
        <f>COUNTIFS(SurveyDATA!E418:E659,"*Brgy.21*",SurveyDATA!AS418:AS659,"",SurveyDATA!BN418:BN659,"*Structure Owner*",SurveyDATA!IR418:IR659,"*")</f>
        <v>5</v>
      </c>
      <c r="D25" s="551">
        <f>COUNTIFS(SurveyDATA!E418:E659,"*Brgy.21*",SurveyDATA!AS418:AS659,"",SurveyDATA!CB418:CB659,"Y",SurveyDATA!IR418:IR659,"*")</f>
        <v>1</v>
      </c>
      <c r="E25" s="552">
        <f>COUNTIFS(SurveyDATA!E418:E659,"*Brgy.21*",SurveyDATA!AS418:AS659,"",SurveyDATA!BN418:BN659,"*Structure Owner*")</f>
        <v>31</v>
      </c>
      <c r="F25" s="551">
        <f>COUNTIFS(SurveyDATA!E418:E659,"*Brgy.21*",SurveyDATA!AS418:AS659,"",SurveyDATA!CB418:CB659,"Y")</f>
        <v>13</v>
      </c>
      <c r="G25" s="550">
        <f>COUNTIFS(SurveyDATA!E418:E659,"*Brgy.21*",SurveyDATA!AP418:AP659,"*STAI*")</f>
        <v>0</v>
      </c>
      <c r="H25" s="553"/>
      <c r="I25" s="553"/>
      <c r="J25" s="553"/>
      <c r="K25" s="551"/>
      <c r="Q25" s="226"/>
      <c r="R25" s="226"/>
      <c r="S25" s="261"/>
      <c r="T25" s="261"/>
      <c r="U25" s="261"/>
      <c r="V25" s="261"/>
      <c r="W25" s="261"/>
      <c r="X25" s="261"/>
      <c r="Y25" s="261"/>
      <c r="Z25" s="261"/>
      <c r="AA25" s="261"/>
    </row>
    <row r="26" spans="1:27">
      <c r="A26" s="554"/>
      <c r="B26" s="452" t="s">
        <v>5397</v>
      </c>
      <c r="C26" s="550">
        <f>COUNTIFS(SurveyDATA!E418:E659,"*Brgy.25*",SurveyDATA!AS418:AS659,"",SurveyDATA!BN418:BN659,"*Structure Owner*",SurveyDATA!IR418:IR659,"*")</f>
        <v>9</v>
      </c>
      <c r="D26" s="551">
        <f>COUNTIFS(SurveyDATA!E418:E659,"*Brgy.25*",SurveyDATA!AS418:AS659,"",SurveyDATA!CB418:CB659,"Y",SurveyDATA!IR418:IR659,"*")</f>
        <v>4</v>
      </c>
      <c r="E26" s="552">
        <f>COUNTIFS(SurveyDATA!E418:E659,"*Brgy.25*",SurveyDATA!AS418:AS659,"",SurveyDATA!BN418:BN659,"*Structure Owner*")</f>
        <v>39</v>
      </c>
      <c r="F26" s="551">
        <f>COUNTIFS(SurveyDATA!E418:E659,"*Brgy.25*",SurveyDATA!AS418:AS659,"",SurveyDATA!CB418:CB659,"Y")</f>
        <v>13</v>
      </c>
      <c r="G26" s="550">
        <f>COUNTIFS(SurveyDATA!E418:E659,"*Brgy.25*",SurveyDATA!AP418:AP659,"*STAI*")</f>
        <v>0</v>
      </c>
      <c r="H26" s="553"/>
      <c r="I26" s="553"/>
      <c r="J26" s="553"/>
      <c r="K26" s="551"/>
      <c r="Q26" s="226"/>
      <c r="R26" s="226"/>
      <c r="S26" s="261"/>
      <c r="T26" s="261"/>
      <c r="U26" s="261"/>
      <c r="V26" s="261"/>
      <c r="W26" s="261"/>
      <c r="X26" s="261"/>
      <c r="Y26" s="261"/>
      <c r="Z26" s="261"/>
      <c r="AA26" s="261"/>
    </row>
    <row r="27" spans="1:27">
      <c r="A27" s="554"/>
      <c r="B27" s="452" t="s">
        <v>5398</v>
      </c>
      <c r="C27" s="550">
        <f>COUNTIFS(SurveyDATA!E418:E659,"*Brgy.29*",SurveyDATA!AS418:AS659,"",SurveyDATA!BN418:BN659,"*Structure Owner*",SurveyDATA!IR418:IR659,"*")</f>
        <v>0</v>
      </c>
      <c r="D27" s="551">
        <f>COUNTIFS(SurveyDATA!E418:E659,"*Brgy.29*",SurveyDATA!AS418:AS659,"",SurveyDATA!CB418:CB659,"Y",SurveyDATA!IR418:IR659,"*")</f>
        <v>0</v>
      </c>
      <c r="E27" s="552">
        <f>COUNTIFS(SurveyDATA!E418:E659,"*Brgy.29*",SurveyDATA!AS418:AS659,"",SurveyDATA!BN418:BN659,"*Structure Owner*")</f>
        <v>10</v>
      </c>
      <c r="F27" s="551">
        <f>COUNTIFS(SurveyDATA!E418:E659,"*Brgy.29*",SurveyDATA!AS418:AS659,"",SurveyDATA!CB418:CB659,"Y")</f>
        <v>9</v>
      </c>
      <c r="G27" s="550">
        <f>COUNTIFS(SurveyDATA!E418:E659,"*Brgy.29*",SurveyDATA!AP418:AP659,"*STAI*")</f>
        <v>0</v>
      </c>
      <c r="H27" s="553"/>
      <c r="I27" s="553"/>
      <c r="J27" s="553"/>
      <c r="K27" s="551"/>
      <c r="Q27" s="226"/>
      <c r="R27" s="226"/>
      <c r="S27" s="261"/>
      <c r="T27" s="261"/>
      <c r="U27" s="261"/>
      <c r="V27" s="261"/>
      <c r="W27" s="261"/>
      <c r="X27" s="261"/>
      <c r="Y27" s="261"/>
      <c r="Z27" s="261"/>
      <c r="AA27" s="261"/>
    </row>
    <row r="28" spans="1:27">
      <c r="A28" s="554"/>
      <c r="B28" s="452" t="s">
        <v>5399</v>
      </c>
      <c r="C28" s="550">
        <f>COUNTIFS(SurveyDATA!E418:E659,"*Brgy.32*",SurveyDATA!AS418:AS659,"",SurveyDATA!BN418:BN659,"*Structure Owner*",SurveyDATA!IR418:IR659,"*")</f>
        <v>0</v>
      </c>
      <c r="D28" s="551">
        <f>COUNTIFS(SurveyDATA!E418:E659,"*Brgy.32*",SurveyDATA!AS418:AS659,"",SurveyDATA!CB418:CB659,"Y",SurveyDATA!IR418:IR659,"*")</f>
        <v>1</v>
      </c>
      <c r="E28" s="552">
        <f>COUNTIFS(SurveyDATA!E418:E659,"*Brgy.32*",SurveyDATA!AS418:AS659,"",SurveyDATA!BN418:BN659,"*Structure Owner*")</f>
        <v>0</v>
      </c>
      <c r="F28" s="551">
        <f>COUNTIFS(SurveyDATA!E418:E659,"*Brgy.32*",SurveyDATA!AS418:AS659,"",SurveyDATA!CB418:CB659,"Y")</f>
        <v>7</v>
      </c>
      <c r="G28" s="550">
        <f>COUNTIFS(SurveyDATA!E418:E659,"*Brgy.32*",SurveyDATA!AP418:AP659,"*STAI*")</f>
        <v>0</v>
      </c>
      <c r="H28" s="553"/>
      <c r="I28" s="553"/>
      <c r="J28" s="553"/>
      <c r="K28" s="551"/>
      <c r="Q28" s="226"/>
      <c r="R28" s="226"/>
      <c r="S28" s="261"/>
      <c r="T28" s="261"/>
      <c r="U28" s="261"/>
      <c r="V28" s="261"/>
      <c r="W28" s="261"/>
      <c r="X28" s="261"/>
      <c r="Y28" s="261"/>
      <c r="Z28" s="261"/>
      <c r="AA28" s="261"/>
    </row>
    <row r="29" spans="1:27">
      <c r="A29" s="554"/>
      <c r="B29" s="452" t="s">
        <v>5400</v>
      </c>
      <c r="C29" s="555">
        <f>COUNTIFS(SurveyDATA!E418:E659,"*Brgy.33*",SurveyDATA!AS418:AS659,"",SurveyDATA!BN418:BN659,"*Structure Owner*",SurveyDATA!IR418:IR659,"*")</f>
        <v>0</v>
      </c>
      <c r="D29" s="556">
        <f>COUNTIFS(SurveyDATA!E418:E659,"*Brgy.33*",SurveyDATA!AS418:AS659,"",SurveyDATA!CB418:CB659,"Y",SurveyDATA!IR418:IR659,"*")</f>
        <v>0</v>
      </c>
      <c r="E29" s="557">
        <f>COUNTIFS(SurveyDATA!E418:E659,"*Brgy.33*",SurveyDATA!AS418:AS659,"",SurveyDATA!BN418:BN659,"*Structure Owner*")</f>
        <v>4</v>
      </c>
      <c r="F29" s="556">
        <f>COUNTIFS(SurveyDATA!E418:E659,"*Brgy.33*",SurveyDATA!AS418:AS659,"",SurveyDATA!CB418:CB659,"Y")</f>
        <v>5</v>
      </c>
      <c r="G29" s="555">
        <f>COUNTIFS(SurveyDATA!E418:E659,"*Brgy.33*",SurveyDATA!AP418:AP659,"*STAI*")</f>
        <v>0</v>
      </c>
      <c r="H29" s="558"/>
      <c r="I29" s="558"/>
      <c r="J29" s="558"/>
      <c r="K29" s="556"/>
      <c r="Q29" s="226"/>
      <c r="R29" s="226"/>
      <c r="S29" s="261"/>
      <c r="T29" s="261"/>
      <c r="U29" s="261"/>
      <c r="V29" s="261"/>
      <c r="W29" s="261"/>
      <c r="X29" s="261"/>
      <c r="Y29" s="261"/>
      <c r="Z29" s="261"/>
      <c r="AA29" s="261"/>
    </row>
    <row r="30" spans="1:27">
      <c r="A30" s="414" t="s">
        <v>5402</v>
      </c>
      <c r="B30" s="468" t="s">
        <v>5800</v>
      </c>
      <c r="C30" s="470">
        <f>COUNTIFS(SurveyDATA!E660:E831,"*Brgy.50*",SurveyDATA!AS660:AS831,"",SurveyDATA!IR660:IR831,"*")</f>
        <v>0</v>
      </c>
      <c r="D30" s="471">
        <f>COUNTIFS(SurveyDATA!E660:E831,"*Brgy.50*",SurveyDATA!AS660:AS831,"",SurveyDATA!CB660:CB831,"Y",SurveyDATA!IR660:IR831,"*")</f>
        <v>0</v>
      </c>
      <c r="E30" s="470">
        <f>COUNTIFS(SurveyDATA!E660:E831,"*Brgy.50*",SurveyDATA!AS660:AS831,"",SurveyDATA!BN660:BN831,"*Structure Owner*")</f>
        <v>2</v>
      </c>
      <c r="F30" s="471" t="e">
        <f>COUNTIFS(SurveyDATA!E660:E831,"*Brgy.50*",SurveyDATA!#REF!,"*ISF-Aux*")</f>
        <v>#REF!</v>
      </c>
      <c r="G30" s="469">
        <f>COUNTIFS(SurveyDATA!E:E,"*Brgy.50*",SurveyDATA!AP:AP,"*STAI*")</f>
        <v>0</v>
      </c>
      <c r="H30" s="415">
        <f>COUNTIFS(SurveyDATA!E:E,"*Brgy.50*",SurveyDATA!AP:AP,"*ZHA*")</f>
        <v>0</v>
      </c>
      <c r="I30" s="415">
        <f>COUNTIFS(SurveyDATA!E660:E831,"*Brgy.50*",SurveyDATA!AP660:AP831,"*DGHA*")</f>
        <v>0</v>
      </c>
      <c r="J30" s="415">
        <f>COUNTIFS(SurveyDATA!E660:E831,"*Brgy.50*",SurveyDATA!AP660:AP831,"*PHHA*")</f>
        <v>0</v>
      </c>
      <c r="K30" s="415">
        <f>COUNTIFS(SurveyDATA!E660:E831,"*Brgy.50*",SurveyDATA!AP660:AP831,"*DEHA*")</f>
        <v>0</v>
      </c>
      <c r="Q30" s="226"/>
      <c r="R30" s="226"/>
      <c r="S30" s="261"/>
      <c r="T30" s="261"/>
      <c r="U30" s="261"/>
      <c r="V30" s="261"/>
      <c r="W30" s="261"/>
      <c r="X30" s="261"/>
      <c r="Y30" s="261"/>
      <c r="Z30" s="261"/>
      <c r="AA30" s="261"/>
    </row>
    <row r="31" spans="1:27">
      <c r="A31" s="416"/>
      <c r="B31" s="468" t="s">
        <v>5801</v>
      </c>
      <c r="C31" s="470">
        <f>COUNTIFS(SurveyDATA!E660:E831,"*Brgy.1*",SurveyDATA!AS660:AS831,"",SurveyDATA!IR660:IR831,"*")</f>
        <v>14</v>
      </c>
      <c r="D31" s="471">
        <f>COUNTIFS(SurveyDATA!E660:E831,"*Brgy.51*",SurveyDATA!AS660:AS831,"",SurveyDATA!CB660:CB831,"Y",SurveyDATA!IR660:IR831,"*")</f>
        <v>0</v>
      </c>
      <c r="E31" s="470">
        <f>COUNTIFS(SurveyDATA!E660:E831,"*Brgy.51*",SurveyDATA!AS660:AS831,"",SurveyDATA!BN660:BN831,"*Structure Owner*")</f>
        <v>2</v>
      </c>
      <c r="F31" s="471" t="e">
        <f>COUNTIFS(SurveyDATA!E660:E831,"*Brgy.51*",SurveyDATA!#REF!,"*ISF-Aux*")</f>
        <v>#REF!</v>
      </c>
      <c r="G31" s="469">
        <f>COUNTIFS(SurveyDATA!E:E,"*Brgy.51*",SurveyDATA!AP:AP,"*STAI*")</f>
        <v>0</v>
      </c>
      <c r="H31" s="415">
        <f>COUNTIFS(SurveyDATA!E:E,"*Brgy.51*",SurveyDATA!AP:AP,"*ZHA*")</f>
        <v>0</v>
      </c>
      <c r="I31" s="415">
        <f>COUNTIFS(SurveyDATA!E:E,"*Brgy.51*",SurveyDATA!AP:AP,"*DGHA*")</f>
        <v>0</v>
      </c>
      <c r="J31" s="415">
        <f>COUNTIFS(SurveyDATA!E661:E831,"*Brgy.51*",SurveyDATA!AP661:AP831,"*PHHA*")</f>
        <v>0</v>
      </c>
      <c r="K31" s="415">
        <f>COUNTIFS(SurveyDATA!E660:E831,"*Brgy.51*",SurveyDATA!AP660:AP831,"*DEHA*")</f>
        <v>0</v>
      </c>
      <c r="Q31" s="229"/>
      <c r="R31" s="229"/>
      <c r="S31" s="261"/>
      <c r="T31" s="261"/>
      <c r="U31" s="261"/>
      <c r="V31" s="261"/>
      <c r="W31" s="261"/>
      <c r="X31" s="261"/>
      <c r="Y31" s="261"/>
      <c r="Z31" s="261"/>
      <c r="AA31" s="261"/>
    </row>
    <row r="32" spans="1:27">
      <c r="A32" s="416"/>
      <c r="B32" s="468" t="s">
        <v>5802</v>
      </c>
      <c r="C32" s="470">
        <f>COUNTIFS(SurveyDATA!E660:E831,"*Brgy.53*",SurveyDATA!AS660:AS831,"",SurveyDATA!IR660:IR831,"*")</f>
        <v>0</v>
      </c>
      <c r="D32" s="471">
        <f>COUNTIFS(SurveyDATA!E660:E831,"*Brgy.53*",SurveyDATA!AS660:AS831,"",SurveyDATA!CB660:CB831,"Y",SurveyDATA!IR660:IR831,"*")</f>
        <v>0</v>
      </c>
      <c r="E32" s="470">
        <f>COUNTIFS(SurveyDATA!E660:E831,"*Brgy.53*",SurveyDATA!AS660:AS831,"",SurveyDATA!BN660:BN831,"*Structure Owner*")</f>
        <v>2</v>
      </c>
      <c r="F32" s="471" t="e">
        <f>COUNTIFS(SurveyDATA!E660:E831,"*Brgy.53*",SurveyDATA!#REF!,"*ISF-Aux*")</f>
        <v>#REF!</v>
      </c>
      <c r="G32" s="469">
        <f>COUNTIFS(SurveyDATA!E:E,"*Brgy.53*",SurveyDATA!AP:AP,"*STAI*")</f>
        <v>0</v>
      </c>
      <c r="H32" s="415">
        <f>COUNTIFS(SurveyDATA!E:E,"*Brgy.53*",SurveyDATA!AP:AP,"*ZHA*")</f>
        <v>0</v>
      </c>
      <c r="I32" s="415">
        <f>COUNTIFS(SurveyDATA!E:E,"*Brgy.53*",SurveyDATA!AP:AP,"*DGHA*")</f>
        <v>0</v>
      </c>
      <c r="J32" s="415">
        <f>COUNTIFS(SurveyDATA!E662:E831,"*Brgy.53*",SurveyDATA!AP662:AP831,"*PHHA*")</f>
        <v>0</v>
      </c>
      <c r="K32" s="415">
        <f>COUNTIFS(SurveyDATA!E660:E831,"*Brgy.53*",SurveyDATA!AP660:AP831,"*DEHA*")</f>
        <v>0</v>
      </c>
      <c r="Q32" s="229"/>
      <c r="R32" s="229"/>
      <c r="S32" s="261"/>
      <c r="T32" s="261"/>
      <c r="U32" s="261"/>
      <c r="V32" s="261"/>
      <c r="W32" s="261"/>
      <c r="X32" s="261"/>
      <c r="Y32" s="261"/>
      <c r="Z32" s="261"/>
      <c r="AA32" s="261"/>
    </row>
    <row r="33" spans="1:27">
      <c r="A33" s="416"/>
      <c r="B33" s="468" t="s">
        <v>5407</v>
      </c>
      <c r="C33" s="470">
        <f>COUNTIFS(SurveyDATA!E660:E831,"*Brgy.152*",SurveyDATA!AS660:AS831,"",SurveyDATA!IR660:IR831,"*")</f>
        <v>0</v>
      </c>
      <c r="D33" s="471">
        <f>COUNTIFS(SurveyDATA!E660:E831,"*Brgy.152*",SurveyDATA!AS660:AS831,"",SurveyDATA!CB660:CB831,"Y",SurveyDATA!IR660:IR831,"*")</f>
        <v>0</v>
      </c>
      <c r="E33" s="470">
        <f>COUNTIFS(SurveyDATA!E660:E831,"*Brgy.152*",SurveyDATA!AS660:AS831,"",SurveyDATA!BN660:BN831,"*Structure Owner*")</f>
        <v>0</v>
      </c>
      <c r="F33" s="471" t="e">
        <f>COUNTIFS(SurveyDATA!E660:E831,"*Brgy.152*",SurveyDATA!#REF!,"*ISF-Aux*")</f>
        <v>#REF!</v>
      </c>
      <c r="G33" s="469">
        <f>COUNTIFS(SurveyDATA!E:E,"*Brgy.152*",SurveyDATA!AP:AP,"*STAI*")</f>
        <v>0</v>
      </c>
      <c r="H33" s="415">
        <f>COUNTIFS(SurveyDATA!E:E,"*Brgy.152*",SurveyDATA!AP:AP,"*ZHA*")</f>
        <v>0</v>
      </c>
      <c r="I33" s="415">
        <f>COUNTIFS(SurveyDATA!E:E,"*Brgy.152*",SurveyDATA!AP:AP,"*DGHA*")</f>
        <v>0</v>
      </c>
      <c r="J33" s="415">
        <f>COUNTIFS(SurveyDATA!E663:E831,"*Brgy.152*",SurveyDATA!AP663:AP831,"*PHHA*")</f>
        <v>0</v>
      </c>
      <c r="K33" s="415">
        <f>COUNTIFS(SurveyDATA!E660:E831,"*Brgy.152*",SurveyDATA!AP660:AP831,"*DEHA*")</f>
        <v>0</v>
      </c>
      <c r="Q33" s="229"/>
      <c r="R33" s="229"/>
      <c r="S33" s="261"/>
      <c r="T33" s="261"/>
      <c r="U33" s="261"/>
      <c r="V33" s="261"/>
      <c r="W33" s="261"/>
      <c r="X33" s="261"/>
      <c r="Y33" s="261"/>
      <c r="Z33" s="261"/>
      <c r="AA33" s="261"/>
    </row>
    <row r="34" spans="1:27">
      <c r="A34" s="416"/>
      <c r="B34" s="468" t="s">
        <v>5408</v>
      </c>
      <c r="C34" s="470">
        <f>COUNTIFS(SurveyDATA!E660:E831,"*Brgy.155*",SurveyDATA!AS660:AS831,"",SurveyDATA!IR660:IR831,"*")</f>
        <v>0</v>
      </c>
      <c r="D34" s="471">
        <f>COUNTIFS(SurveyDATA!E660:E831,"*Brgy.155*",SurveyDATA!AS660:AS831,"",SurveyDATA!CB660:CB831,"Y",SurveyDATA!IR660:IR831,"*")</f>
        <v>0</v>
      </c>
      <c r="E34" s="470">
        <f>COUNTIFS(SurveyDATA!E660:E831,"*Brgy.155*",SurveyDATA!AS660:AS831,"",SurveyDATA!BN660:BN831,"*Structure Owner*")</f>
        <v>4</v>
      </c>
      <c r="F34" s="471" t="e">
        <f>COUNTIFS(SurveyDATA!E660:E831,"*Brgy.155*",SurveyDATA!#REF!,"*ISF-Aux*")</f>
        <v>#REF!</v>
      </c>
      <c r="G34" s="469">
        <f>COUNTIFS(SurveyDATA!E:E,"*Brgy.155*",SurveyDATA!AP:AP,"*STAI*")</f>
        <v>0</v>
      </c>
      <c r="H34" s="415">
        <f>COUNTIFS(SurveyDATA!E:E,"*Brgy.155*",SurveyDATA!AP:AP,"*ZHA*")</f>
        <v>0</v>
      </c>
      <c r="I34" s="415">
        <f>COUNTIFS(SurveyDATA!E:E,"*Brgy.155*",SurveyDATA!AP:AP,"*DGHA*")</f>
        <v>0</v>
      </c>
      <c r="J34" s="415">
        <f>COUNTIFS(SurveyDATA!E664:E831,"*Brgy.155*",SurveyDATA!AP664:AP831,"*PHHA*")</f>
        <v>0</v>
      </c>
      <c r="K34" s="415">
        <f>COUNTIFS(SurveyDATA!E660:E831,"*Brgy.155*",SurveyDATA!AP660:AP831,"*DEHA*")</f>
        <v>0</v>
      </c>
      <c r="Q34" s="229"/>
      <c r="R34" s="229"/>
      <c r="S34" s="261"/>
      <c r="T34" s="261"/>
      <c r="U34" s="261"/>
      <c r="V34" s="261"/>
      <c r="W34" s="261"/>
      <c r="X34" s="261"/>
      <c r="Y34" s="261"/>
      <c r="Z34" s="261"/>
      <c r="AA34" s="261"/>
    </row>
    <row r="35" spans="1:27">
      <c r="A35" s="416"/>
      <c r="B35" s="468" t="s">
        <v>5413</v>
      </c>
      <c r="C35" s="470">
        <f>COUNTIFS(SurveyDATA!E660:E831,"*Brgy.156*",SurveyDATA!AS660:AS831,"",SurveyDATA!IR660:IR831,"*")</f>
        <v>0</v>
      </c>
      <c r="D35" s="471">
        <f>COUNTIFS(SurveyDATA!E660:E831,"*Brgy.156*",SurveyDATA!AS660:AS831,"",SurveyDATA!CB660:CB831,"Y",SurveyDATA!IR660:IR831,"*")</f>
        <v>0</v>
      </c>
      <c r="E35" s="470">
        <f>COUNTIFS(SurveyDATA!E660:E831,"*Brgy.156*",SurveyDATA!AS660:AS831,"",SurveyDATA!BN660:BN831,"*Structure Owner*")</f>
        <v>8</v>
      </c>
      <c r="F35" s="471" t="e">
        <f>COUNTIFS(SurveyDATA!E660:E831,"*Brgy.156*",SurveyDATA!#REF!,"*ISF-Aux*")</f>
        <v>#REF!</v>
      </c>
      <c r="G35" s="469">
        <f>COUNTIFS(SurveyDATA!E:E,"*Brgy.156*",SurveyDATA!AP:AP,"*STAI*")</f>
        <v>0</v>
      </c>
      <c r="H35" s="415">
        <f>COUNTIFS(SurveyDATA!E:E,"*Brgy.156*",SurveyDATA!AP:AP,"*ZHA*")</f>
        <v>0</v>
      </c>
      <c r="I35" s="415">
        <f>COUNTIFS(SurveyDATA!E:E,"*Brgy.156*",SurveyDATA!AP:AP,"*DGHA*")</f>
        <v>0</v>
      </c>
      <c r="J35" s="415">
        <f>COUNTIFS(SurveyDATA!E665:E831,"*Brgy.156*",SurveyDATA!AP665:AP831,"*PHHA*")</f>
        <v>0</v>
      </c>
      <c r="K35" s="415">
        <f>COUNTIFS(SurveyDATA!E660:E831,"*Brgy.156*",SurveyDATA!AP660:AP831,"*DEHA*")</f>
        <v>3</v>
      </c>
      <c r="Q35" s="229"/>
      <c r="R35" s="229"/>
      <c r="S35" s="261"/>
      <c r="T35" s="261"/>
      <c r="U35" s="261"/>
      <c r="V35" s="261"/>
      <c r="W35" s="261"/>
      <c r="X35" s="261"/>
      <c r="Y35" s="261"/>
      <c r="Z35" s="261"/>
      <c r="AA35" s="261"/>
    </row>
    <row r="36" spans="1:27">
      <c r="A36" s="416"/>
      <c r="B36" s="468" t="s">
        <v>5409</v>
      </c>
      <c r="C36" s="470">
        <f>COUNTIFS(SurveyDATA!E660:E831,"*Brgy.159*",SurveyDATA!AS660:AS831,"",SurveyDATA!IR660:IR831,"*")</f>
        <v>8</v>
      </c>
      <c r="D36" s="471">
        <f>COUNTIFS(SurveyDATA!E660:E831,"*Brgy.159*",SurveyDATA!AS660:AS831,"",SurveyDATA!CB660:CB831,"Y",SurveyDATA!IR660:IR831,"*")</f>
        <v>1</v>
      </c>
      <c r="E36" s="470">
        <f>COUNTIFS(SurveyDATA!E660:E831,"*Brgy.159*",SurveyDATA!AS660:AS831,"",SurveyDATA!BN660:BN831,"*Structure Owner*")</f>
        <v>25</v>
      </c>
      <c r="F36" s="471" t="e">
        <f>COUNTIFS(SurveyDATA!E660:E831,"*Brgy.159*",SurveyDATA!#REF!,"*ISF-Aux*")</f>
        <v>#REF!</v>
      </c>
      <c r="G36" s="469">
        <f>COUNTIFS(SurveyDATA!E:E,"*Brgy.159*",SurveyDATA!AP:AP,"*STAI*")</f>
        <v>0</v>
      </c>
      <c r="H36" s="415">
        <f>COUNTIFS(SurveyDATA!E:E,"*Brgy.159*",SurveyDATA!AP:AP,"*ZHA*")</f>
        <v>0</v>
      </c>
      <c r="I36" s="415">
        <f>COUNTIFS(SurveyDATA!E:E,"*Brgy.159*",SurveyDATA!AP:AP,"*DGHA*")</f>
        <v>0</v>
      </c>
      <c r="J36" s="415">
        <f>COUNTIFS(SurveyDATA!E666:E831,"*Brgy.159*",SurveyDATA!AP666:AP831,"*PHHA*")</f>
        <v>0</v>
      </c>
      <c r="K36" s="415">
        <f>COUNTIFS(SurveyDATA!E660:E831,"*Brgy.159*",SurveyDATA!AP660:AP831,"*DEHA*")</f>
        <v>13</v>
      </c>
      <c r="Q36" s="229"/>
      <c r="R36" s="229"/>
      <c r="S36" s="261"/>
      <c r="T36" s="261"/>
      <c r="U36" s="261"/>
      <c r="V36" s="261"/>
      <c r="W36" s="261"/>
      <c r="X36" s="261"/>
      <c r="Y36" s="261"/>
      <c r="Z36" s="261"/>
      <c r="AA36" s="261"/>
    </row>
    <row r="37" spans="1:27">
      <c r="A37" s="416"/>
      <c r="B37" s="468" t="s">
        <v>5403</v>
      </c>
      <c r="C37" s="470">
        <f>COUNTIFS(SurveyDATA!E660:E831,"*Brgy.164*",SurveyDATA!AS660:AS831,"",SurveyDATA!IR660:IR831,"*")</f>
        <v>0</v>
      </c>
      <c r="D37" s="471">
        <f>COUNTIFS(SurveyDATA!E660:E831,"*Brgy.164*",SurveyDATA!AS660:AS831,"",SurveyDATA!CB660:CB831,"Y",SurveyDATA!IR660:IR831,"*")</f>
        <v>0</v>
      </c>
      <c r="E37" s="470">
        <f>COUNTIFS(SurveyDATA!E660:E831,"*Brgy.164*",SurveyDATA!AS660:AS831,"",SurveyDATA!BN660:BN831,"*Structure Owner*")</f>
        <v>0</v>
      </c>
      <c r="F37" s="471" t="e">
        <f>COUNTIFS(SurveyDATA!E660:E831,"*Brgy.164*",SurveyDATA!#REF!,"*ISF-Aux*")</f>
        <v>#REF!</v>
      </c>
      <c r="G37" s="469">
        <f>COUNTIFS(SurveyDATA!E:E,"*Brgy.164*",SurveyDATA!AP:AP,"*STAI*")</f>
        <v>0</v>
      </c>
      <c r="H37" s="415">
        <f>COUNTIFS(SurveyDATA!E:E,"*Brgy.164*",SurveyDATA!AP:AP,"*ZHA*")</f>
        <v>0</v>
      </c>
      <c r="I37" s="415">
        <f>COUNTIFS(SurveyDATA!E:E,"*Brgy.164*",SurveyDATA!AP:AP,"*DGHA*")</f>
        <v>0</v>
      </c>
      <c r="J37" s="415">
        <f>COUNTIFS(SurveyDATA!E667:E831,"*Brgy.164*",SurveyDATA!AP667:AP831,"*PHHA*")</f>
        <v>0</v>
      </c>
      <c r="K37" s="415">
        <f>COUNTIFS(SurveyDATA!E660:E831,"*Brgy.164*",SurveyDATA!AP660:AP831,"*DEHA*")</f>
        <v>0</v>
      </c>
      <c r="Q37" s="229"/>
      <c r="R37" s="229"/>
      <c r="S37" s="261"/>
      <c r="T37" s="261"/>
      <c r="U37" s="261"/>
      <c r="V37" s="261"/>
      <c r="W37" s="261"/>
      <c r="X37" s="261"/>
      <c r="Y37" s="261"/>
      <c r="Z37" s="261"/>
      <c r="AA37" s="261"/>
    </row>
    <row r="38" spans="1:27">
      <c r="A38" s="416"/>
      <c r="B38" s="468" t="s">
        <v>5404</v>
      </c>
      <c r="C38" s="470">
        <f>COUNTIFS(SurveyDATA!E660:E831,"*Brgy.165*",SurveyDATA!AS660:AS831,"",SurveyDATA!IR660:IR831,"*")</f>
        <v>0</v>
      </c>
      <c r="D38" s="471">
        <f>COUNTIFS(SurveyDATA!E660:E831,"*Brgy.165*",SurveyDATA!AS660:AS831,"",SurveyDATA!CB660:CB831,"Y",SurveyDATA!IR660:IR831,"*")</f>
        <v>0</v>
      </c>
      <c r="E38" s="470">
        <f>COUNTIFS(SurveyDATA!E660:E831,"*Brgy.165*",SurveyDATA!AS660:AS831,"",SurveyDATA!BN660:BN831,"*Structure Owner*")</f>
        <v>0</v>
      </c>
      <c r="F38" s="471" t="e">
        <f>COUNTIFS(SurveyDATA!E660:E831,"*Brgy.165*",SurveyDATA!#REF!,"*ISF-Aux*")</f>
        <v>#REF!</v>
      </c>
      <c r="G38" s="469">
        <f>COUNTIFS(SurveyDATA!E:E,"*Brgy.165*",SurveyDATA!AP:AP,"*STAI*")</f>
        <v>0</v>
      </c>
      <c r="H38" s="415">
        <f>COUNTIFS(SurveyDATA!E:E,"*Brgy.165*",SurveyDATA!AP:AP,"*ZHA*")</f>
        <v>0</v>
      </c>
      <c r="I38" s="415">
        <f>COUNTIFS(SurveyDATA!E:E,"*Brgy.165*",SurveyDATA!AP:AP,"*DGHA*")</f>
        <v>0</v>
      </c>
      <c r="J38" s="415">
        <f>COUNTIFS(SurveyDATA!E668:E831,"*Brgy.165*",SurveyDATA!AP668:AP831,"*PHHA*")</f>
        <v>0</v>
      </c>
      <c r="K38" s="415">
        <f>COUNTIFS(SurveyDATA!E660:E831,"*Brgy.165*",SurveyDATA!AP660:AP831,"*DEHA*")</f>
        <v>0</v>
      </c>
      <c r="Q38" s="229"/>
      <c r="R38" s="229"/>
      <c r="S38" s="261"/>
      <c r="T38" s="261"/>
      <c r="U38" s="261"/>
      <c r="V38" s="261"/>
      <c r="W38" s="261"/>
      <c r="X38" s="261"/>
      <c r="Y38" s="261"/>
      <c r="Z38" s="261"/>
      <c r="AA38" s="261"/>
    </row>
    <row r="39" spans="1:27">
      <c r="A39" s="416"/>
      <c r="B39" s="468" t="s">
        <v>5405</v>
      </c>
      <c r="C39" s="470">
        <f>COUNTIFS(SurveyDATA!E660:E831,"*Brgy.184*",SurveyDATA!AS660:AS831,"",SurveyDATA!IR660:IR831,"*")</f>
        <v>4</v>
      </c>
      <c r="D39" s="471">
        <f>COUNTIFS(SurveyDATA!E660:E831,"*Brgy.184*",SurveyDATA!AS660:AS831,"",SurveyDATA!CB660:CB831,"Y",SurveyDATA!IR660:IR831,"*")</f>
        <v>0</v>
      </c>
      <c r="E39" s="470">
        <f>COUNTIFS(SurveyDATA!E660:E831,"*Brgy.184*",SurveyDATA!AS660:AS831,"",SurveyDATA!BN660:BN831,"*Structure Owner*")</f>
        <v>24</v>
      </c>
      <c r="F39" s="471" t="e">
        <f>COUNTIFS(SurveyDATA!E660:E831,"*Brgy.184*",SurveyDATA!#REF!,"*ISF-Aux*")</f>
        <v>#REF!</v>
      </c>
      <c r="G39" s="469">
        <f>COUNTIFS(SurveyDATA!E:E,"*Brgy.184*",SurveyDATA!AP:AP,"*STAI*")</f>
        <v>0</v>
      </c>
      <c r="H39" s="415">
        <f>COUNTIFS(SurveyDATA!E:E,"*Brgy.184*",SurveyDATA!AP:AP,"*ZHA*")</f>
        <v>0</v>
      </c>
      <c r="I39" s="415">
        <f>COUNTIFS(SurveyDATA!E:E,"*Brgy.184*",SurveyDATA!AP:AP,"*DGHA*")</f>
        <v>6</v>
      </c>
      <c r="J39" s="415">
        <f>COUNTIFS(SurveyDATA!E669:E831,"*Brgy.184*",SurveyDATA!AP669:AP831,"*PHHA*")</f>
        <v>0</v>
      </c>
      <c r="K39" s="415">
        <f>COUNTIFS(SurveyDATA!E660:E831,"*Brgy.184*",SurveyDATA!AP660:AP831,"*DEHA*")</f>
        <v>0</v>
      </c>
      <c r="Q39" s="229"/>
      <c r="R39" s="229"/>
      <c r="S39" s="261"/>
      <c r="T39" s="261"/>
      <c r="U39" s="261"/>
      <c r="V39" s="261"/>
      <c r="W39" s="261"/>
      <c r="X39" s="261"/>
      <c r="Y39" s="261"/>
      <c r="Z39" s="261"/>
      <c r="AA39" s="261"/>
    </row>
    <row r="40" spans="1:27">
      <c r="A40" s="416"/>
      <c r="B40" s="468" t="s">
        <v>5406</v>
      </c>
      <c r="C40" s="470">
        <f>COUNTIFS(SurveyDATA!E660:E831,"*Brgy.185*",SurveyDATA!AS660:AS831,"",SurveyDATA!IR660:IR831,"*")</f>
        <v>0</v>
      </c>
      <c r="D40" s="471">
        <f>COUNTIFS(SurveyDATA!E660:E831,"*Brgy.185*",SurveyDATA!AS660:AS831,"",SurveyDATA!CB660:CB831,"Y",SurveyDATA!IR660:IR831,"*")</f>
        <v>0</v>
      </c>
      <c r="E40" s="470">
        <f>COUNTIFS(SurveyDATA!E660:E831,"*Brgy.185*",SurveyDATA!AS660:AS831,"",SurveyDATA!BN660:BN831,"*Structure Owner*")</f>
        <v>1</v>
      </c>
      <c r="F40" s="471" t="e">
        <f>COUNTIFS(SurveyDATA!E660:E831,"*Brgy.185*",SurveyDATA!#REF!,"*ISF-Aux*")</f>
        <v>#REF!</v>
      </c>
      <c r="G40" s="469">
        <f>COUNTIFS(SurveyDATA!E:E,"*Brgy.185*",SurveyDATA!AP:AP,"*STAI*")</f>
        <v>0</v>
      </c>
      <c r="H40" s="415">
        <f>COUNTIFS(SurveyDATA!E:E,"*Brgy.185*",SurveyDATA!AP:AP,"*ZHA*")</f>
        <v>0</v>
      </c>
      <c r="I40" s="415">
        <f>COUNTIFS(SurveyDATA!E:E,"*Brgy.185*",SurveyDATA!AP:AP,"*DGHA*")</f>
        <v>0</v>
      </c>
      <c r="J40" s="415">
        <f>COUNTIFS(SurveyDATA!E670:E832,"*Brgy.185*",SurveyDATA!AP670:AP832,"*PHHA*")</f>
        <v>0</v>
      </c>
      <c r="K40" s="415">
        <f>COUNTIFS(SurveyDATA!E660:E831,"*Brgy.185*",SurveyDATA!AP660:AP831,"*DEHA*")</f>
        <v>0</v>
      </c>
    </row>
    <row r="41" spans="1:27">
      <c r="A41" s="416"/>
      <c r="B41" s="468" t="s">
        <v>5803</v>
      </c>
      <c r="C41" s="470">
        <f>COUNTIFS(SurveyDATA!E660:E831,"*Brgy.186*",SurveyDATA!AS660:AS831,"",SurveyDATA!IR660:IR831,"*")</f>
        <v>0</v>
      </c>
      <c r="D41" s="471">
        <f>COUNTIFS(SurveyDATA!E660:E831,"*Brgy.186*",SurveyDATA!AS660:AS831,"",SurveyDATA!CB660:CB831,"Y",SurveyDATA!IR660:IR831,"*")</f>
        <v>0</v>
      </c>
      <c r="E41" s="470">
        <f>COUNTIFS(SurveyDATA!E660:E831,"*Brgy.186*",SurveyDATA!AS660:AS831,"",SurveyDATA!BN660:BN831,"*Structure Owner*")</f>
        <v>0</v>
      </c>
      <c r="F41" s="471" t="e">
        <f>COUNTIFS(SurveyDATA!E660:E831,"*Brgy.186*",SurveyDATA!#REF!,"*ISF-Aux*")</f>
        <v>#REF!</v>
      </c>
      <c r="G41" s="469">
        <f>COUNTIFS(SurveyDATA!E:E,"*Brgy.186*",SurveyDATA!AP:AP,"*STAI*")</f>
        <v>0</v>
      </c>
      <c r="H41" s="415">
        <f>COUNTIFS(SurveyDATA!E:E,"*Brgy.186*",SurveyDATA!AP:AP,"*ZHA*")</f>
        <v>0</v>
      </c>
      <c r="I41" s="415">
        <f>COUNTIFS(SurveyDATA!E:E,"*Brgy.186*",SurveyDATA!AP:AP,"*DGHA*")</f>
        <v>0</v>
      </c>
      <c r="J41" s="415">
        <f>COUNTIFS(SurveyDATA!E671:E832,"*Brgy.186*",SurveyDATA!AP671:AP832,"*PHHA*")</f>
        <v>0</v>
      </c>
      <c r="K41" s="415">
        <f>COUNTIFS(SurveyDATA!E660:E831,"*Brgy.186*",SurveyDATA!AP660:AP831,"*DEHA*")</f>
        <v>0</v>
      </c>
    </row>
    <row r="42" spans="1:27">
      <c r="A42" s="416"/>
      <c r="B42" s="468" t="s">
        <v>5410</v>
      </c>
      <c r="C42" s="470">
        <f>COUNTIFS(SurveyDATA!E660:E831,"*Brgy.199*",SurveyDATA!AS660:AS831,"",SurveyDATA!IR660:IR831,"*")</f>
        <v>2</v>
      </c>
      <c r="D42" s="471">
        <f>COUNTIFS(SurveyDATA!E660:E831,"*Brgy.199*",SurveyDATA!AS660:AS831,"",SurveyDATA!CB660:CB831,"Y",SurveyDATA!IR660:IR831,"*")</f>
        <v>1</v>
      </c>
      <c r="E42" s="470">
        <f>COUNTIFS(SurveyDATA!E660:E831,"*Brgy.199*",SurveyDATA!AS660:AS831,"",SurveyDATA!BN660:BN831,"*Structure Owner*")</f>
        <v>7</v>
      </c>
      <c r="F42" s="471" t="e">
        <f>COUNTIFS(SurveyDATA!E660:E831,"*Brgy.199*",SurveyDATA!#REF!,"*ISF-Aux*")</f>
        <v>#REF!</v>
      </c>
      <c r="G42" s="469">
        <f>COUNTIFS(SurveyDATA!E:E,"*Brgy.199*",SurveyDATA!AP:AP,"*STAI*")</f>
        <v>0</v>
      </c>
      <c r="H42" s="415">
        <f>COUNTIFS(SurveyDATA!E:E,"*Brgy.199*",SurveyDATA!AP:AP,"*ZHA*")</f>
        <v>0</v>
      </c>
      <c r="I42" s="415">
        <f>COUNTIFS(SurveyDATA!E:E,"*Brgy.199*",SurveyDATA!AP:AP,"*DGHA*")</f>
        <v>0</v>
      </c>
      <c r="J42" s="415">
        <f>COUNTIFS(SurveyDATA!E672:E832,"*Brgy.199*",SurveyDATA!AP672:AP832,"*PHHA*")</f>
        <v>4</v>
      </c>
      <c r="K42" s="415">
        <f>COUNTIFS(SurveyDATA!E660:E831,"*Brgy.199*",SurveyDATA!AP660:AP831,"*DEHA*")</f>
        <v>0</v>
      </c>
    </row>
    <row r="43" spans="1:27">
      <c r="A43" s="416"/>
      <c r="B43" s="468" t="s">
        <v>5798</v>
      </c>
      <c r="C43" s="470">
        <f>COUNTIFS(SurveyDATA!E660:E831,"*Brgy.200*",SurveyDATA!AS660:AS831,"",SurveyDATA!IR660:IR831,"*")</f>
        <v>0</v>
      </c>
      <c r="D43" s="471">
        <f>COUNTIFS(SurveyDATA!E660:E831,"*Brgy.200*",SurveyDATA!AS660:AS831,"",SurveyDATA!CB660:CB831,"Y",SurveyDATA!IR660:IR831,"*")</f>
        <v>0</v>
      </c>
      <c r="E43" s="470">
        <f>COUNTIFS(SurveyDATA!E660:E831,"*Brgy.200*",SurveyDATA!AS660:AS831,"",SurveyDATA!BN660:BN831,"*Structure Owner*")</f>
        <v>1</v>
      </c>
      <c r="F43" s="471" t="e">
        <f>COUNTIFS(SurveyDATA!E660:E831,"*Brgy.200*",SurveyDATA!#REF!,"*ISF-Aux*")</f>
        <v>#REF!</v>
      </c>
      <c r="G43" s="469">
        <f>COUNTIFS(SurveyDATA!E:E,"*Brgy.200*",SurveyDATA!AP:AP,"*STAI*")</f>
        <v>0</v>
      </c>
      <c r="H43" s="415">
        <f>COUNTIFS(SurveyDATA!E:E,"*Brgy.200*",SurveyDATA!AP:AP,"*ZHA*")</f>
        <v>0</v>
      </c>
      <c r="I43" s="415">
        <f>COUNTIFS(SurveyDATA!E:E,"*Brgy.200*",SurveyDATA!AP:AP,"*DGHA*")</f>
        <v>0</v>
      </c>
      <c r="J43" s="415">
        <f>COUNTIFS(SurveyDATA!E673:E832,"*Brgy.200*",SurveyDATA!AP673:AP832,"*PHHA*")</f>
        <v>0</v>
      </c>
      <c r="K43" s="415">
        <f>COUNTIFS(SurveyDATA!E660:E831,"*Brgy.200*",SurveyDATA!AP660:AP831,"*DEHA*")</f>
        <v>0</v>
      </c>
    </row>
    <row r="44" spans="1:27" ht="15.75" thickBot="1">
      <c r="A44" s="417"/>
      <c r="B44" s="468" t="s">
        <v>5799</v>
      </c>
      <c r="C44" s="472">
        <f>COUNTIFS(SurveyDATA!E660:E831,"*Brgy.204*",SurveyDATA!AS660:AS831,"",SurveyDATA!IR660:IR831,"*")</f>
        <v>0</v>
      </c>
      <c r="D44" s="473">
        <f>COUNTIFS(SurveyDATA!E660:E831,"*Brgy.204*",SurveyDATA!AS660:AS831,"",SurveyDATA!CB660:CB831,"Y",SurveyDATA!IR660:IR831,"*")</f>
        <v>0</v>
      </c>
      <c r="E44" s="472">
        <f>COUNTIFS(SurveyDATA!E660:E831,"*Brgy.204*",SurveyDATA!AS660:AS831,"",SurveyDATA!BN660:BN831,"*Structure Owner*")</f>
        <v>1</v>
      </c>
      <c r="F44" s="473" t="e">
        <f>COUNTIFS(SurveyDATA!E660:E831,"*Brgy.204*",SurveyDATA!#REF!,"*ISF-Aux*")</f>
        <v>#REF!</v>
      </c>
      <c r="G44" s="469">
        <f>COUNTIFS(SurveyDATA!E:E,"*Brgy.204*",SurveyDATA!AP:AP,"*STAI*")</f>
        <v>0</v>
      </c>
      <c r="H44" s="415">
        <f>COUNTIFS(SurveyDATA!E:E,"*Brgy.204*",SurveyDATA!AP:AP,"*ZHA*")</f>
        <v>0</v>
      </c>
      <c r="I44" s="415">
        <f>COUNTIFS(SurveyDATA!E:E,"*Brgy.204*",SurveyDATA!AP:AP,"*DGHA*")</f>
        <v>0</v>
      </c>
      <c r="J44" s="415">
        <f>COUNTIFS(SurveyDATA!E674:E832,"*Brgy.204*",SurveyDATA!AP674:AP832,"*PHHA*")</f>
        <v>0</v>
      </c>
      <c r="K44" s="415">
        <f>COUNTIFS(SurveyDATA!E660:E831,"*Brgy.204*",SurveyDATA!AP660:AP831,"*DEHA*")</f>
        <v>0</v>
      </c>
    </row>
  </sheetData>
  <mergeCells count="10">
    <mergeCell ref="A1:K1"/>
    <mergeCell ref="A2:A3"/>
    <mergeCell ref="B2:B3"/>
    <mergeCell ref="C2:D2"/>
    <mergeCell ref="E2:F2"/>
    <mergeCell ref="G2:G3"/>
    <mergeCell ref="H2:H3"/>
    <mergeCell ref="I2:I3"/>
    <mergeCell ref="J2:J3"/>
    <mergeCell ref="K2:K3"/>
  </mergeCell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7">
    <tabColor rgb="FF7030A0"/>
  </sheetPr>
  <dimension ref="A1:AX79"/>
  <sheetViews>
    <sheetView topLeftCell="A16" workbookViewId="0">
      <selection activeCell="A37" sqref="A37"/>
    </sheetView>
  </sheetViews>
  <sheetFormatPr defaultRowHeight="15"/>
  <cols>
    <col min="1" max="1" width="23.42578125" style="116" bestFit="1" customWidth="1"/>
    <col min="2" max="2" width="16.5703125" style="116" bestFit="1" customWidth="1"/>
    <col min="3" max="3" width="9.5703125" style="116" bestFit="1" customWidth="1"/>
    <col min="4" max="16384" width="9.140625" style="116"/>
  </cols>
  <sheetData>
    <row r="1" spans="1:3">
      <c r="A1" s="1866" t="s">
        <v>5370</v>
      </c>
      <c r="B1" s="1867"/>
      <c r="C1" s="1868"/>
    </row>
    <row r="2" spans="1:3">
      <c r="A2" s="283" t="s">
        <v>5371</v>
      </c>
      <c r="B2" s="283" t="s">
        <v>5355</v>
      </c>
      <c r="C2" s="283" t="s">
        <v>5356</v>
      </c>
    </row>
    <row r="3" spans="1:3" s="285" customFormat="1">
      <c r="A3" s="284" t="s">
        <v>5485</v>
      </c>
      <c r="B3" s="284" t="s">
        <v>5494</v>
      </c>
      <c r="C3" s="284" t="s">
        <v>3449</v>
      </c>
    </row>
    <row r="4" spans="1:3" s="285" customFormat="1">
      <c r="A4" s="284" t="s">
        <v>5486</v>
      </c>
      <c r="B4" s="284"/>
      <c r="C4" s="284" t="s">
        <v>3449</v>
      </c>
    </row>
    <row r="5" spans="1:3" s="285" customFormat="1">
      <c r="A5" s="284" t="s">
        <v>128</v>
      </c>
      <c r="B5" s="284" t="s">
        <v>771</v>
      </c>
      <c r="C5" s="284"/>
    </row>
    <row r="6" spans="1:3" s="285" customFormat="1">
      <c r="A6" s="284" t="s">
        <v>182</v>
      </c>
      <c r="B6" s="284" t="s">
        <v>5495</v>
      </c>
      <c r="C6" s="284" t="s">
        <v>5383</v>
      </c>
    </row>
    <row r="7" spans="1:3" s="285" customFormat="1">
      <c r="A7" s="284" t="s">
        <v>194</v>
      </c>
      <c r="B7" s="284"/>
      <c r="C7" s="284" t="s">
        <v>5388</v>
      </c>
    </row>
    <row r="8" spans="1:3" s="285" customFormat="1">
      <c r="A8" s="284" t="s">
        <v>206</v>
      </c>
      <c r="B8" s="284"/>
      <c r="C8" s="284" t="s">
        <v>5388</v>
      </c>
    </row>
    <row r="9" spans="1:3" s="285" customFormat="1">
      <c r="A9" s="284" t="s">
        <v>218</v>
      </c>
      <c r="B9" s="284"/>
      <c r="C9" s="284" t="s">
        <v>5388</v>
      </c>
    </row>
    <row r="10" spans="1:3" s="285" customFormat="1">
      <c r="A10" s="284" t="s">
        <v>219</v>
      </c>
      <c r="B10" s="284"/>
      <c r="C10" s="284" t="s">
        <v>5388</v>
      </c>
    </row>
    <row r="11" spans="1:3" s="285" customFormat="1">
      <c r="A11" s="284" t="s">
        <v>247</v>
      </c>
      <c r="B11" s="284" t="s">
        <v>5496</v>
      </c>
      <c r="C11" s="284" t="s">
        <v>5497</v>
      </c>
    </row>
    <row r="12" spans="1:3" s="285" customFormat="1">
      <c r="A12" s="284" t="s">
        <v>251</v>
      </c>
      <c r="B12" s="284"/>
      <c r="C12" s="284" t="s">
        <v>5497</v>
      </c>
    </row>
    <row r="13" spans="1:3" s="285" customFormat="1">
      <c r="A13" s="284" t="s">
        <v>306</v>
      </c>
      <c r="B13" s="284"/>
      <c r="C13" s="284" t="s">
        <v>3449</v>
      </c>
    </row>
    <row r="14" spans="1:3" s="285" customFormat="1">
      <c r="A14" s="284" t="s">
        <v>316</v>
      </c>
      <c r="B14" s="284"/>
      <c r="C14" s="284" t="s">
        <v>3449</v>
      </c>
    </row>
    <row r="15" spans="1:3" s="285" customFormat="1">
      <c r="A15" s="284" t="s">
        <v>324</v>
      </c>
      <c r="B15" s="284"/>
      <c r="C15" s="284" t="s">
        <v>5497</v>
      </c>
    </row>
    <row r="16" spans="1:3" s="285" customFormat="1">
      <c r="A16" s="284" t="s">
        <v>372</v>
      </c>
      <c r="B16" s="284" t="s">
        <v>778</v>
      </c>
      <c r="C16" s="284" t="s">
        <v>5391</v>
      </c>
    </row>
    <row r="17" spans="1:50" s="285" customFormat="1">
      <c r="A17" s="284" t="s">
        <v>436</v>
      </c>
      <c r="B17" s="284"/>
      <c r="C17" s="284" t="s">
        <v>5392</v>
      </c>
    </row>
    <row r="18" spans="1:50" s="285" customFormat="1">
      <c r="A18" s="284" t="s">
        <v>489</v>
      </c>
      <c r="B18" s="284"/>
      <c r="C18" s="284"/>
    </row>
    <row r="19" spans="1:50" s="285" customFormat="1">
      <c r="A19" s="284" t="s">
        <v>556</v>
      </c>
      <c r="B19" s="284"/>
      <c r="C19" s="284"/>
    </row>
    <row r="20" spans="1:50" s="285" customFormat="1">
      <c r="A20" s="284" t="s">
        <v>556</v>
      </c>
      <c r="B20" s="284"/>
      <c r="C20" s="284"/>
    </row>
    <row r="21" spans="1:50" s="285" customFormat="1" ht="15.75" thickBot="1">
      <c r="A21" s="284" t="s">
        <v>556</v>
      </c>
      <c r="B21" s="284"/>
      <c r="C21" s="284"/>
    </row>
    <row r="22" spans="1:50" s="285" customFormat="1">
      <c r="A22" s="284" t="s">
        <v>571</v>
      </c>
      <c r="B22" s="284"/>
      <c r="C22" s="284"/>
      <c r="AP22" s="1869" t="s">
        <v>5372</v>
      </c>
      <c r="AQ22" s="1870"/>
      <c r="AR22" s="1870"/>
      <c r="AS22" s="1870"/>
      <c r="AT22" s="1870"/>
      <c r="AU22" s="1870"/>
      <c r="AV22" s="1870"/>
      <c r="AW22" s="1870"/>
      <c r="AX22" s="1871"/>
    </row>
    <row r="23" spans="1:50" s="285" customFormat="1">
      <c r="A23" s="284" t="s">
        <v>2589</v>
      </c>
      <c r="B23" s="284" t="s">
        <v>5493</v>
      </c>
      <c r="C23" s="284" t="s">
        <v>5394</v>
      </c>
      <c r="AP23" s="1872"/>
      <c r="AQ23" s="1873"/>
      <c r="AR23" s="1873"/>
      <c r="AS23" s="1873"/>
      <c r="AT23" s="1873"/>
      <c r="AU23" s="1873"/>
      <c r="AV23" s="1873"/>
      <c r="AW23" s="1873"/>
      <c r="AX23" s="1874"/>
    </row>
    <row r="24" spans="1:50" s="285" customFormat="1">
      <c r="A24" s="284" t="s">
        <v>2596</v>
      </c>
      <c r="B24" s="284"/>
      <c r="C24" s="284" t="s">
        <v>5394</v>
      </c>
      <c r="AP24" s="1872"/>
      <c r="AQ24" s="1873"/>
      <c r="AR24" s="1873"/>
      <c r="AS24" s="1873"/>
      <c r="AT24" s="1873"/>
      <c r="AU24" s="1873"/>
      <c r="AV24" s="1873"/>
      <c r="AW24" s="1873"/>
      <c r="AX24" s="1874"/>
    </row>
    <row r="25" spans="1:50" s="285" customFormat="1">
      <c r="A25" s="284" t="s">
        <v>2900</v>
      </c>
      <c r="B25" s="284"/>
      <c r="C25" s="284" t="s">
        <v>5394</v>
      </c>
      <c r="AP25" s="1872"/>
      <c r="AQ25" s="1873"/>
      <c r="AR25" s="1873"/>
      <c r="AS25" s="1873"/>
      <c r="AT25" s="1873"/>
      <c r="AU25" s="1873"/>
      <c r="AV25" s="1873"/>
      <c r="AW25" s="1873"/>
      <c r="AX25" s="1874"/>
    </row>
    <row r="26" spans="1:50" s="285" customFormat="1">
      <c r="A26" s="284" t="s">
        <v>2906</v>
      </c>
      <c r="B26" s="284"/>
      <c r="C26" s="284" t="s">
        <v>3449</v>
      </c>
      <c r="AP26" s="1872"/>
      <c r="AQ26" s="1873"/>
      <c r="AR26" s="1873"/>
      <c r="AS26" s="1873"/>
      <c r="AT26" s="1873"/>
      <c r="AU26" s="1873"/>
      <c r="AV26" s="1873"/>
      <c r="AW26" s="1873"/>
      <c r="AX26" s="1874"/>
    </row>
    <row r="27" spans="1:50" s="285" customFormat="1">
      <c r="A27" s="284" t="s">
        <v>3904</v>
      </c>
      <c r="B27" s="284"/>
      <c r="C27" s="284" t="s">
        <v>3449</v>
      </c>
      <c r="AP27" s="1872"/>
      <c r="AQ27" s="1873"/>
      <c r="AR27" s="1873"/>
      <c r="AS27" s="1873"/>
      <c r="AT27" s="1873"/>
      <c r="AU27" s="1873"/>
      <c r="AV27" s="1873"/>
      <c r="AW27" s="1873"/>
      <c r="AX27" s="1874"/>
    </row>
    <row r="28" spans="1:50" s="285" customFormat="1">
      <c r="A28" s="284" t="s">
        <v>2853</v>
      </c>
      <c r="B28" s="284"/>
      <c r="C28" s="284" t="s">
        <v>3449</v>
      </c>
      <c r="AP28" s="1872"/>
      <c r="AQ28" s="1873"/>
      <c r="AR28" s="1873"/>
      <c r="AS28" s="1873"/>
      <c r="AT28" s="1873"/>
      <c r="AU28" s="1873"/>
      <c r="AV28" s="1873"/>
      <c r="AW28" s="1873"/>
      <c r="AX28" s="1874"/>
    </row>
    <row r="29" spans="1:50" s="285" customFormat="1" ht="15.75" thickBot="1">
      <c r="A29" s="284" t="s">
        <v>2987</v>
      </c>
      <c r="B29" s="284"/>
      <c r="C29" s="284" t="s">
        <v>3449</v>
      </c>
      <c r="AP29" s="1875"/>
      <c r="AQ29" s="1876"/>
      <c r="AR29" s="1876"/>
      <c r="AS29" s="1876"/>
      <c r="AT29" s="1876"/>
      <c r="AU29" s="1876"/>
      <c r="AV29" s="1876"/>
      <c r="AW29" s="1876"/>
      <c r="AX29" s="1877"/>
    </row>
    <row r="30" spans="1:50" s="285" customFormat="1">
      <c r="A30" s="284" t="s">
        <v>4104</v>
      </c>
      <c r="B30" s="284"/>
      <c r="C30" s="284" t="s">
        <v>3449</v>
      </c>
    </row>
    <row r="31" spans="1:50" s="285" customFormat="1">
      <c r="A31" s="284" t="s">
        <v>3010</v>
      </c>
      <c r="B31" s="284"/>
      <c r="C31" s="284" t="s">
        <v>3449</v>
      </c>
    </row>
    <row r="32" spans="1:50" s="285" customFormat="1">
      <c r="A32" s="284" t="s">
        <v>4259</v>
      </c>
      <c r="B32" s="284"/>
      <c r="C32" s="284" t="s">
        <v>3449</v>
      </c>
    </row>
    <row r="33" spans="1:3" s="285" customFormat="1">
      <c r="A33" s="284" t="s">
        <v>3048</v>
      </c>
      <c r="B33" s="284"/>
      <c r="C33" s="284" t="s">
        <v>3449</v>
      </c>
    </row>
    <row r="34" spans="1:3" s="285" customFormat="1">
      <c r="A34" s="284" t="s">
        <v>3101</v>
      </c>
      <c r="B34" s="284" t="s">
        <v>1020</v>
      </c>
      <c r="C34" s="284" t="s">
        <v>3449</v>
      </c>
    </row>
    <row r="35" spans="1:3" s="285" customFormat="1">
      <c r="A35" s="284" t="s">
        <v>3149</v>
      </c>
      <c r="B35" s="284"/>
      <c r="C35" s="284" t="s">
        <v>5409</v>
      </c>
    </row>
    <row r="36" spans="1:3" s="285" customFormat="1">
      <c r="A36" s="284" t="s">
        <v>3173</v>
      </c>
      <c r="B36" s="284"/>
      <c r="C36" s="284" t="s">
        <v>5409</v>
      </c>
    </row>
    <row r="37" spans="1:3" s="285" customFormat="1">
      <c r="A37" s="284" t="s">
        <v>4940</v>
      </c>
      <c r="B37" s="284"/>
      <c r="C37" s="284" t="s">
        <v>3449</v>
      </c>
    </row>
    <row r="38" spans="1:3" s="285" customFormat="1">
      <c r="A38" s="284" t="s">
        <v>4791</v>
      </c>
      <c r="B38" s="284"/>
      <c r="C38" s="284" t="s">
        <v>3449</v>
      </c>
    </row>
    <row r="39" spans="1:3" s="285" customFormat="1">
      <c r="A39" s="284" t="s">
        <v>4796</v>
      </c>
      <c r="B39" s="284"/>
      <c r="C39" s="284" t="s">
        <v>3449</v>
      </c>
    </row>
    <row r="40" spans="1:3" s="285" customFormat="1">
      <c r="A40" s="284" t="s">
        <v>4797</v>
      </c>
      <c r="B40" s="284"/>
      <c r="C40" s="284" t="s">
        <v>3449</v>
      </c>
    </row>
    <row r="41" spans="1:3" s="285" customFormat="1">
      <c r="A41" s="284" t="s">
        <v>4798</v>
      </c>
      <c r="B41" s="284"/>
      <c r="C41" s="284" t="s">
        <v>3449</v>
      </c>
    </row>
    <row r="42" spans="1:3" s="285" customFormat="1">
      <c r="A42" s="284" t="s">
        <v>4799</v>
      </c>
      <c r="B42" s="284"/>
      <c r="C42" s="284" t="s">
        <v>3449</v>
      </c>
    </row>
    <row r="43" spans="1:3" s="285" customFormat="1">
      <c r="A43" s="284" t="s">
        <v>4800</v>
      </c>
      <c r="B43" s="284"/>
      <c r="C43" s="284" t="s">
        <v>3449</v>
      </c>
    </row>
    <row r="44" spans="1:3" s="285" customFormat="1">
      <c r="A44" s="284" t="s">
        <v>3217</v>
      </c>
      <c r="B44" s="284"/>
      <c r="C44" s="284" t="s">
        <v>5410</v>
      </c>
    </row>
    <row r="45" spans="1:3" s="285" customFormat="1">
      <c r="A45" s="284" t="s">
        <v>3218</v>
      </c>
      <c r="B45" s="284"/>
      <c r="C45" s="284" t="s">
        <v>5410</v>
      </c>
    </row>
    <row r="46" spans="1:3" s="285" customFormat="1">
      <c r="A46" s="284" t="s">
        <v>5069</v>
      </c>
      <c r="B46" s="284"/>
      <c r="C46" s="284" t="s">
        <v>3449</v>
      </c>
    </row>
    <row r="47" spans="1:3" s="285" customFormat="1">
      <c r="A47" s="284" t="s">
        <v>5077</v>
      </c>
      <c r="B47" s="284"/>
      <c r="C47" s="284" t="s">
        <v>5410</v>
      </c>
    </row>
    <row r="48" spans="1:3" s="285" customFormat="1">
      <c r="A48" s="284" t="s">
        <v>3260</v>
      </c>
      <c r="B48" s="284"/>
      <c r="C48" s="284" t="s">
        <v>5405</v>
      </c>
    </row>
    <row r="49" spans="1:3" s="285" customFormat="1">
      <c r="A49" s="284" t="s">
        <v>5258</v>
      </c>
      <c r="B49" s="284"/>
      <c r="C49" s="284" t="s">
        <v>5405</v>
      </c>
    </row>
    <row r="50" spans="1:3" s="285" customFormat="1">
      <c r="A50" s="284" t="s">
        <v>5285</v>
      </c>
      <c r="B50" s="284"/>
      <c r="C50" s="284" t="s">
        <v>5405</v>
      </c>
    </row>
    <row r="51" spans="1:3" s="285" customFormat="1">
      <c r="A51" s="284" t="s">
        <v>5276</v>
      </c>
      <c r="B51" s="284"/>
      <c r="C51" s="284" t="s">
        <v>5405</v>
      </c>
    </row>
    <row r="52" spans="1:3" s="285" customFormat="1">
      <c r="A52" s="284" t="s">
        <v>3304</v>
      </c>
      <c r="B52" s="284"/>
      <c r="C52" s="284" t="s">
        <v>5405</v>
      </c>
    </row>
    <row r="53" spans="1:3" s="285" customFormat="1">
      <c r="A53" s="284" t="s">
        <v>3304</v>
      </c>
      <c r="B53" s="284"/>
      <c r="C53" s="284" t="s">
        <v>5405</v>
      </c>
    </row>
    <row r="54" spans="1:3" s="285" customFormat="1">
      <c r="A54" s="284" t="s">
        <v>3304</v>
      </c>
      <c r="B54" s="284"/>
      <c r="C54" s="284" t="s">
        <v>5405</v>
      </c>
    </row>
    <row r="55" spans="1:3" s="285" customFormat="1">
      <c r="A55" s="284"/>
      <c r="B55" s="284"/>
      <c r="C55" s="284"/>
    </row>
    <row r="56" spans="1:3" s="285" customFormat="1"/>
    <row r="57" spans="1:3" s="285" customFormat="1"/>
    <row r="58" spans="1:3" s="285" customFormat="1"/>
    <row r="59" spans="1:3" s="285" customFormat="1"/>
    <row r="60" spans="1:3" s="285" customFormat="1"/>
    <row r="61" spans="1:3" s="285" customFormat="1"/>
    <row r="62" spans="1:3" s="285" customFormat="1"/>
    <row r="63" spans="1:3" s="285" customFormat="1"/>
    <row r="64" spans="1:3" s="285" customFormat="1"/>
    <row r="65" s="285" customFormat="1"/>
    <row r="66" s="285" customFormat="1"/>
    <row r="67" s="285" customFormat="1"/>
    <row r="68" s="285" customFormat="1"/>
    <row r="69" s="285" customFormat="1"/>
    <row r="70" s="285" customFormat="1"/>
    <row r="71" s="285" customFormat="1"/>
    <row r="72" s="285" customFormat="1"/>
    <row r="73" s="285" customFormat="1"/>
    <row r="74" s="285" customFormat="1"/>
    <row r="75" s="285" customFormat="1"/>
    <row r="76" s="285" customFormat="1"/>
    <row r="77" s="285" customFormat="1"/>
    <row r="78" s="285" customFormat="1"/>
    <row r="79" s="285" customFormat="1"/>
  </sheetData>
  <mergeCells count="2">
    <mergeCell ref="A1:C1"/>
    <mergeCell ref="AP22:AX29"/>
  </mergeCells>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8">
    <tabColor rgb="FFFFFF00"/>
  </sheetPr>
  <dimension ref="B3:M24"/>
  <sheetViews>
    <sheetView workbookViewId="0">
      <selection activeCell="A17" sqref="A17"/>
    </sheetView>
  </sheetViews>
  <sheetFormatPr defaultRowHeight="15"/>
  <cols>
    <col min="10" max="10" width="9.140625" style="224"/>
    <col min="12" max="12" width="24.42578125" bestFit="1" customWidth="1"/>
  </cols>
  <sheetData>
    <row r="3" spans="2:13" ht="15.75" thickBot="1"/>
    <row r="4" spans="2:13">
      <c r="B4" s="195"/>
      <c r="C4" s="196"/>
      <c r="D4" s="196"/>
      <c r="E4" s="196"/>
      <c r="F4" s="196"/>
      <c r="G4" s="196"/>
      <c r="H4" s="197"/>
      <c r="L4" s="209"/>
      <c r="M4" s="210"/>
    </row>
    <row r="5" spans="2:13">
      <c r="B5" s="1883" t="s">
        <v>5418</v>
      </c>
      <c r="C5" s="1884"/>
      <c r="D5" s="1884"/>
      <c r="E5" s="1884"/>
      <c r="F5" s="1884"/>
      <c r="G5" s="1884"/>
      <c r="H5" s="1885"/>
      <c r="L5" s="1881" t="s">
        <v>5426</v>
      </c>
      <c r="M5" s="1882"/>
    </row>
    <row r="6" spans="2:13" ht="15.75" thickBot="1">
      <c r="B6" s="198"/>
      <c r="C6" s="199"/>
      <c r="D6" s="199"/>
      <c r="E6" s="199"/>
      <c r="F6" s="199"/>
      <c r="G6" s="199"/>
      <c r="H6" s="200"/>
      <c r="L6" s="212"/>
      <c r="M6" s="211"/>
    </row>
    <row r="7" spans="2:13">
      <c r="B7" s="201"/>
      <c r="C7" s="202"/>
      <c r="D7" s="202"/>
      <c r="E7" s="202"/>
      <c r="F7" s="202"/>
      <c r="G7" s="202"/>
      <c r="H7" s="203"/>
      <c r="L7" s="213" t="s">
        <v>5427</v>
      </c>
      <c r="M7" s="214" t="e">
        <f>COUNTIF(SurveyDATA!#REF!,"*LEGAL*")</f>
        <v>#REF!</v>
      </c>
    </row>
    <row r="8" spans="2:13">
      <c r="B8" s="204"/>
      <c r="C8" s="205"/>
      <c r="D8" s="205"/>
      <c r="E8" s="205"/>
      <c r="F8" s="205"/>
      <c r="G8" s="205"/>
      <c r="H8" s="203"/>
      <c r="L8" s="215"/>
      <c r="M8" s="216"/>
    </row>
    <row r="9" spans="2:13">
      <c r="B9" s="1878" t="s">
        <v>5419</v>
      </c>
      <c r="C9" s="1879"/>
      <c r="D9" s="1879"/>
      <c r="E9" s="1879"/>
      <c r="F9" s="1879"/>
      <c r="G9" s="1879"/>
      <c r="H9" s="1880"/>
    </row>
    <row r="10" spans="2:13">
      <c r="B10" s="204"/>
      <c r="C10" s="205"/>
      <c r="D10" s="205"/>
      <c r="E10" s="205"/>
      <c r="F10" s="205"/>
      <c r="G10" s="205"/>
      <c r="H10" s="203"/>
    </row>
    <row r="11" spans="2:13">
      <c r="B11" s="1878" t="s">
        <v>5420</v>
      </c>
      <c r="C11" s="1879"/>
      <c r="D11" s="1879"/>
      <c r="E11" s="1879"/>
      <c r="F11" s="1879"/>
      <c r="G11" s="1879"/>
      <c r="H11" s="1880"/>
    </row>
    <row r="12" spans="2:13">
      <c r="B12" s="204"/>
      <c r="C12" s="205"/>
      <c r="D12" s="205"/>
      <c r="E12" s="205"/>
      <c r="F12" s="205"/>
      <c r="G12" s="205"/>
      <c r="H12" s="203"/>
    </row>
    <row r="13" spans="2:13">
      <c r="B13" s="1878" t="s">
        <v>5421</v>
      </c>
      <c r="C13" s="1879"/>
      <c r="D13" s="1879"/>
      <c r="E13" s="1879"/>
      <c r="F13" s="1879"/>
      <c r="G13" s="1879"/>
      <c r="H13" s="1880"/>
    </row>
    <row r="14" spans="2:13">
      <c r="B14" s="204"/>
      <c r="C14" s="205"/>
      <c r="D14" s="205"/>
      <c r="E14" s="205"/>
      <c r="F14" s="205"/>
      <c r="G14" s="205"/>
      <c r="H14" s="203"/>
    </row>
    <row r="15" spans="2:13">
      <c r="B15" s="1878" t="s">
        <v>5422</v>
      </c>
      <c r="C15" s="1879"/>
      <c r="D15" s="1879"/>
      <c r="E15" s="1879"/>
      <c r="F15" s="1879"/>
      <c r="G15" s="1879"/>
      <c r="H15" s="1880"/>
    </row>
    <row r="16" spans="2:13">
      <c r="B16" s="204"/>
      <c r="C16" s="205"/>
      <c r="D16" s="205"/>
      <c r="E16" s="205"/>
      <c r="F16" s="205"/>
      <c r="G16" s="205"/>
      <c r="H16" s="203"/>
    </row>
    <row r="17" spans="2:8">
      <c r="B17" s="1878" t="s">
        <v>5423</v>
      </c>
      <c r="C17" s="1879"/>
      <c r="D17" s="1879"/>
      <c r="E17" s="1879"/>
      <c r="F17" s="1879"/>
      <c r="G17" s="1879"/>
      <c r="H17" s="1880"/>
    </row>
    <row r="18" spans="2:8">
      <c r="B18" s="204"/>
      <c r="C18" s="205"/>
      <c r="D18" s="205"/>
      <c r="E18" s="205"/>
      <c r="F18" s="205"/>
      <c r="G18" s="205"/>
      <c r="H18" s="203"/>
    </row>
    <row r="19" spans="2:8">
      <c r="B19" s="1878" t="s">
        <v>5424</v>
      </c>
      <c r="C19" s="1879"/>
      <c r="D19" s="1879"/>
      <c r="E19" s="1879"/>
      <c r="F19" s="1879"/>
      <c r="G19" s="1879"/>
      <c r="H19" s="1880"/>
    </row>
    <row r="20" spans="2:8">
      <c r="B20" s="204"/>
      <c r="C20" s="205"/>
      <c r="D20" s="205"/>
      <c r="E20" s="205"/>
      <c r="F20" s="205"/>
      <c r="G20" s="205"/>
      <c r="H20" s="203"/>
    </row>
    <row r="21" spans="2:8">
      <c r="B21" s="1878" t="s">
        <v>5425</v>
      </c>
      <c r="C21" s="1879"/>
      <c r="D21" s="1879"/>
      <c r="E21" s="1879"/>
      <c r="F21" s="1879"/>
      <c r="G21" s="1879"/>
      <c r="H21" s="1880"/>
    </row>
    <row r="22" spans="2:8" ht="15.75" thickBot="1">
      <c r="B22" s="206"/>
      <c r="C22" s="207"/>
      <c r="D22" s="207"/>
      <c r="E22" s="207"/>
      <c r="F22" s="207"/>
      <c r="G22" s="207"/>
      <c r="H22" s="200"/>
    </row>
    <row r="23" spans="2:8">
      <c r="B23" s="205"/>
      <c r="C23" s="205"/>
      <c r="D23" s="205"/>
      <c r="E23" s="205"/>
      <c r="F23" s="205"/>
      <c r="G23" s="205"/>
      <c r="H23" s="208"/>
    </row>
    <row r="24" spans="2:8">
      <c r="B24" s="205"/>
      <c r="C24" s="205"/>
      <c r="D24" s="205"/>
      <c r="E24" s="205"/>
      <c r="F24" s="205"/>
      <c r="G24" s="205"/>
      <c r="H24" s="208"/>
    </row>
  </sheetData>
  <mergeCells count="9">
    <mergeCell ref="B19:H19"/>
    <mergeCell ref="B21:H21"/>
    <mergeCell ref="L5:M5"/>
    <mergeCell ref="B5:H5"/>
    <mergeCell ref="B9:H9"/>
    <mergeCell ref="B11:H11"/>
    <mergeCell ref="B13:H13"/>
    <mergeCell ref="B15:H15"/>
    <mergeCell ref="B17:H17"/>
  </mergeCells>
  <hyperlinks>
    <hyperlink ref="B9" location="Legal.Tabulation!K:Y" display="G. HOUSEHOLDS INFORMATION"/>
    <hyperlink ref="B11" location="Legal.Tabulation!AK:AR" display="H. SOCIAL VULNERABILITY"/>
    <hyperlink ref="B13" location="Legal.Tabulation!AT:AX" display="I. SOCIO-ECONOMIC QUESTIONS FORAFFECTED LANDS"/>
    <hyperlink ref="B15" location="Tables2!BP44" display="J. RESIDENTIAL STRUCTURE ARRANGEMENTS"/>
    <hyperlink ref="B17" location="Tables2!CG44" display="K. SOCIO-ECONOMIC QUESTION FOE SELECTED HOUSHOLDS"/>
    <hyperlink ref="B19" location="Tables2!CU44" display="L. HEALTH CONDITIONS"/>
    <hyperlink ref="B21" location="Tables2!DA44" display="M. FLOODING"/>
    <hyperlink ref="B9:F9" location="Tables2!AA44:AD50" display="G. HOUSEHOLDS INFORMATION"/>
    <hyperlink ref="B11:F11" location="Tables2!BA44:BD50" display="H. SOCIAL VULNERABILITY"/>
    <hyperlink ref="B13:F13" location="Tables2!BJ44:BK50" display="I. SOCIO-ECONOMIC QUESTIONS FORAFFECTED LANDS"/>
    <hyperlink ref="B17:F17" location="Tables2!CG44:CI50" display="K. SOCIO-ECONOMIC QUESTION FOE SELECTED HOUSHOLDS"/>
    <hyperlink ref="B19:F19" location="Tables2!CU44:CW50" display="L. HEALTH CONDITIONS"/>
    <hyperlink ref="B21:F21" location="Tables2!DA44:DD50" display="M. FLOODING"/>
    <hyperlink ref="B15:F15" location="Tables2!BP44:BQ50" display="J. RESIDENTIAL STRUCTURE ARRANGEMENTS"/>
    <hyperlink ref="B11:H11" location="Legal.Tabulation!AK:AR" display="H. SOCIAL VULNERABILITY"/>
    <hyperlink ref="B13:H13" location="Legal.Tabulation!AT:AX" display="I. SOCIO-ECONOMIC QUESTIONS FORAFFECTED LANDS"/>
    <hyperlink ref="B15:H15" location="Legal.Tabulation!AZ:BK" display="J. RESIDENTIAL STRUCTURE ARRANGEMENTS"/>
    <hyperlink ref="B17:H17" location="Legal.Tabulation!BQ:CB" display="K. SOCIO-ECONOMIC QUESTION FOE SELECTED HOUSHOLDS"/>
    <hyperlink ref="B19:H19" location="Legal.Tabulation!CG:CK" display="L. HEALTH CONDITIONS"/>
    <hyperlink ref="B21:H21" location="Legal.Tabulation!CM:CY" display="M. FLOODING"/>
    <hyperlink ref="B9:H9" location="LEGAL!K27:Q27" display="G. HOUSEHOLDS INFORMATION"/>
  </hyperlink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9">
    <tabColor rgb="FFFF0000"/>
  </sheetPr>
  <dimension ref="B3:M22"/>
  <sheetViews>
    <sheetView workbookViewId="0">
      <selection activeCell="L19" sqref="L19"/>
    </sheetView>
  </sheetViews>
  <sheetFormatPr defaultRowHeight="15"/>
  <cols>
    <col min="10" max="10" width="9.140625" style="224"/>
    <col min="12" max="12" width="24.42578125" bestFit="1" customWidth="1"/>
  </cols>
  <sheetData>
    <row r="3" spans="2:13" ht="15.75" thickBot="1"/>
    <row r="4" spans="2:13">
      <c r="B4" s="195"/>
      <c r="C4" s="196"/>
      <c r="D4" s="196"/>
      <c r="E4" s="196"/>
      <c r="F4" s="196"/>
      <c r="G4" s="196"/>
      <c r="H4" s="197"/>
      <c r="L4" s="217"/>
      <c r="M4" s="218"/>
    </row>
    <row r="5" spans="2:13">
      <c r="B5" s="1883" t="s">
        <v>5418</v>
      </c>
      <c r="C5" s="1884"/>
      <c r="D5" s="1884"/>
      <c r="E5" s="1884"/>
      <c r="F5" s="1884"/>
      <c r="G5" s="1884"/>
      <c r="H5" s="1885"/>
      <c r="L5" s="1886" t="s">
        <v>5428</v>
      </c>
      <c r="M5" s="1887"/>
    </row>
    <row r="6" spans="2:13" ht="15.75" thickBot="1">
      <c r="B6" s="198"/>
      <c r="C6" s="199"/>
      <c r="D6" s="199"/>
      <c r="E6" s="199"/>
      <c r="F6" s="199"/>
      <c r="G6" s="199"/>
      <c r="H6" s="200"/>
      <c r="L6" s="220"/>
      <c r="M6" s="219"/>
    </row>
    <row r="7" spans="2:13">
      <c r="B7" s="201"/>
      <c r="C7" s="202"/>
      <c r="D7" s="202"/>
      <c r="E7" s="202"/>
      <c r="F7" s="202"/>
      <c r="G7" s="202"/>
      <c r="H7" s="203"/>
      <c r="L7" s="221" t="s">
        <v>5429</v>
      </c>
      <c r="M7" s="214" t="e">
        <f>COUNTIF(SurveyDATA!#REF!,"*ISF*")</f>
        <v>#REF!</v>
      </c>
    </row>
    <row r="8" spans="2:13">
      <c r="B8" s="204"/>
      <c r="C8" s="205"/>
      <c r="D8" s="205"/>
      <c r="E8" s="205"/>
      <c r="F8" s="205"/>
      <c r="G8" s="205"/>
      <c r="H8" s="203"/>
      <c r="L8" s="222"/>
      <c r="M8" s="223"/>
    </row>
    <row r="9" spans="2:13">
      <c r="B9" s="1878" t="s">
        <v>5419</v>
      </c>
      <c r="C9" s="1879"/>
      <c r="D9" s="1879"/>
      <c r="E9" s="1879"/>
      <c r="F9" s="1879"/>
      <c r="G9" s="1879"/>
      <c r="H9" s="1880"/>
    </row>
    <row r="10" spans="2:13">
      <c r="B10" s="204"/>
      <c r="C10" s="205"/>
      <c r="D10" s="205"/>
      <c r="E10" s="205"/>
      <c r="F10" s="205"/>
      <c r="G10" s="205"/>
      <c r="H10" s="203"/>
    </row>
    <row r="11" spans="2:13">
      <c r="B11" s="1878" t="s">
        <v>5420</v>
      </c>
      <c r="C11" s="1879"/>
      <c r="D11" s="1879"/>
      <c r="E11" s="1879"/>
      <c r="F11" s="1879"/>
      <c r="G11" s="1879"/>
      <c r="H11" s="1880"/>
    </row>
    <row r="12" spans="2:13">
      <c r="B12" s="204"/>
      <c r="C12" s="205"/>
      <c r="D12" s="205"/>
      <c r="E12" s="205"/>
      <c r="F12" s="205"/>
      <c r="G12" s="205"/>
      <c r="H12" s="203"/>
    </row>
    <row r="13" spans="2:13">
      <c r="B13" s="1878" t="s">
        <v>5421</v>
      </c>
      <c r="C13" s="1879"/>
      <c r="D13" s="1879"/>
      <c r="E13" s="1879"/>
      <c r="F13" s="1879"/>
      <c r="G13" s="1879"/>
      <c r="H13" s="1880"/>
    </row>
    <row r="14" spans="2:13">
      <c r="B14" s="204"/>
      <c r="C14" s="205"/>
      <c r="D14" s="205"/>
      <c r="E14" s="205"/>
      <c r="F14" s="205"/>
      <c r="G14" s="205"/>
      <c r="H14" s="203"/>
    </row>
    <row r="15" spans="2:13">
      <c r="B15" s="1878" t="s">
        <v>5422</v>
      </c>
      <c r="C15" s="1879"/>
      <c r="D15" s="1879"/>
      <c r="E15" s="1879"/>
      <c r="F15" s="1879"/>
      <c r="G15" s="1879"/>
      <c r="H15" s="1880"/>
    </row>
    <row r="16" spans="2:13">
      <c r="B16" s="204"/>
      <c r="C16" s="205"/>
      <c r="D16" s="205"/>
      <c r="E16" s="205"/>
      <c r="F16" s="205"/>
      <c r="G16" s="205"/>
      <c r="H16" s="203"/>
    </row>
    <row r="17" spans="2:8">
      <c r="B17" s="1878" t="s">
        <v>5423</v>
      </c>
      <c r="C17" s="1879"/>
      <c r="D17" s="1879"/>
      <c r="E17" s="1879"/>
      <c r="F17" s="1879"/>
      <c r="G17" s="1879"/>
      <c r="H17" s="1880"/>
    </row>
    <row r="18" spans="2:8">
      <c r="B18" s="204"/>
      <c r="C18" s="205"/>
      <c r="D18" s="205"/>
      <c r="E18" s="205"/>
      <c r="F18" s="205"/>
      <c r="G18" s="205"/>
      <c r="H18" s="203"/>
    </row>
    <row r="19" spans="2:8">
      <c r="B19" s="1878" t="s">
        <v>5424</v>
      </c>
      <c r="C19" s="1879"/>
      <c r="D19" s="1879"/>
      <c r="E19" s="1879"/>
      <c r="F19" s="1879"/>
      <c r="G19" s="1879"/>
      <c r="H19" s="1880"/>
    </row>
    <row r="20" spans="2:8">
      <c r="B20" s="204"/>
      <c r="C20" s="205"/>
      <c r="D20" s="205"/>
      <c r="E20" s="205"/>
      <c r="F20" s="205"/>
      <c r="G20" s="205"/>
      <c r="H20" s="203"/>
    </row>
    <row r="21" spans="2:8">
      <c r="B21" s="1878" t="s">
        <v>5425</v>
      </c>
      <c r="C21" s="1879"/>
      <c r="D21" s="1879"/>
      <c r="E21" s="1879"/>
      <c r="F21" s="1879"/>
      <c r="G21" s="1879"/>
      <c r="H21" s="1880"/>
    </row>
    <row r="22" spans="2:8" ht="15.75" thickBot="1">
      <c r="B22" s="206"/>
      <c r="C22" s="207"/>
      <c r="D22" s="207"/>
      <c r="E22" s="207"/>
      <c r="F22" s="207"/>
      <c r="G22" s="207"/>
      <c r="H22" s="200"/>
    </row>
  </sheetData>
  <mergeCells count="9">
    <mergeCell ref="B19:H19"/>
    <mergeCell ref="B21:H21"/>
    <mergeCell ref="L5:M5"/>
    <mergeCell ref="B5:H5"/>
    <mergeCell ref="B9:H9"/>
    <mergeCell ref="B11:H11"/>
    <mergeCell ref="B13:H13"/>
    <mergeCell ref="B15:H15"/>
    <mergeCell ref="B17:H17"/>
  </mergeCells>
  <hyperlinks>
    <hyperlink ref="B9" location="Legal.Tabulation!K:Y" display="G. HOUSEHOLDS INFORMATION"/>
    <hyperlink ref="B11" location="Legal.Tabulation!AK:AR" display="H. SOCIAL VULNERABILITY"/>
    <hyperlink ref="B13" location="Legal.Tabulation!AT:AX" display="I. SOCIO-ECONOMIC QUESTIONS FORAFFECTED LANDS"/>
    <hyperlink ref="B15" location="Tables2!BP44" display="J. RESIDENTIAL STRUCTURE ARRANGEMENTS"/>
    <hyperlink ref="B17" location="Tables2!CG44" display="K. SOCIO-ECONOMIC QUESTION FOE SELECTED HOUSHOLDS"/>
    <hyperlink ref="B19" location="Tables2!CU44" display="L. HEALTH CONDITIONS"/>
    <hyperlink ref="B21" location="Tables2!DA44" display="M. FLOODING"/>
    <hyperlink ref="B9:F9" location="Tables2!AA44:AD50" display="G. HOUSEHOLDS INFORMATION"/>
    <hyperlink ref="B11:F11" location="Tables2!BA44:BD50" display="H. SOCIAL VULNERABILITY"/>
    <hyperlink ref="B13:F13" location="Tables2!BJ44:BK50" display="I. SOCIO-ECONOMIC QUESTIONS FORAFFECTED LANDS"/>
    <hyperlink ref="B17:F17" location="Tables2!CG44:CI50" display="K. SOCIO-ECONOMIC QUESTION FOE SELECTED HOUSHOLDS"/>
    <hyperlink ref="B19:F19" location="Tables2!CU44:CW50" display="L. HEALTH CONDITIONS"/>
    <hyperlink ref="B21:F21" location="Tables2!DA44:DD50" display="M. FLOODING"/>
    <hyperlink ref="B15:F15" location="Tables2!BP44:BQ50" display="J. RESIDENTIAL STRUCTURE ARRANGEMENTS"/>
    <hyperlink ref="B11:H11" location="Legal.Tabulation!AK:AR" display="H. SOCIAL VULNERABILITY"/>
    <hyperlink ref="B13:H13" location="Legal.Tabulation!AT:AX" display="I. SOCIO-ECONOMIC QUESTIONS FORAFFECTED LANDS"/>
    <hyperlink ref="B15:H15" location="Legal.Tabulation!AZ:BK" display="J. RESIDENTIAL STRUCTURE ARRANGEMENTS"/>
    <hyperlink ref="B17:H17" location="Legal.Tabulation!BQ:CB" display="K. SOCIO-ECONOMIC QUESTION FOE SELECTED HOUSHOLDS"/>
    <hyperlink ref="B19:H19" location="Legal.Tabulation!CG:CK" display="L. HEALTH CONDITIONS"/>
    <hyperlink ref="B21:H21" location="Legal.Tabulation!CM:CY" display="M. FLOODING"/>
    <hyperlink ref="B9:H9" location="LEGAL!A1" display="G. HOUSEHOLDS INFORMATION"/>
  </hyperlink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11"/>
  <dimension ref="A1:J499"/>
  <sheetViews>
    <sheetView topLeftCell="D25" workbookViewId="0">
      <selection activeCell="I38" sqref="I38"/>
    </sheetView>
  </sheetViews>
  <sheetFormatPr defaultRowHeight="15"/>
  <cols>
    <col min="1" max="1" width="24.7109375" style="287" bestFit="1" customWidth="1"/>
    <col min="2" max="2" width="9.140625" style="287"/>
    <col min="3" max="3" width="31.7109375" style="287" bestFit="1" customWidth="1"/>
    <col min="4" max="4" width="9.140625" style="287"/>
    <col min="5" max="6" width="24.28515625" style="287" bestFit="1" customWidth="1"/>
    <col min="7" max="8" width="9.140625" style="287"/>
    <col min="9" max="9" width="37.28515625" style="287" bestFit="1" customWidth="1"/>
    <col min="10" max="16384" width="9.140625" style="287"/>
  </cols>
  <sheetData>
    <row r="1" spans="1:10">
      <c r="B1" s="287" t="s">
        <v>6867</v>
      </c>
      <c r="D1" s="287" t="s">
        <v>6868</v>
      </c>
      <c r="E1" s="287" t="s">
        <v>6869</v>
      </c>
      <c r="G1" s="287" t="s">
        <v>6870</v>
      </c>
      <c r="H1" s="287" t="s">
        <v>6871</v>
      </c>
      <c r="J1" s="287" t="s">
        <v>7210</v>
      </c>
    </row>
    <row r="3" spans="1:10">
      <c r="A3" s="567" t="s">
        <v>5854</v>
      </c>
      <c r="B3" s="567" t="str">
        <f>IF(ISERROR(MATCH(A3,SurveyDATA!P:P,0))=TRUE,"",MATCH(A3,SurveyDATA!P:P,0))</f>
        <v/>
      </c>
      <c r="C3" s="567" t="s">
        <v>5855</v>
      </c>
      <c r="D3" s="567" t="str">
        <f>IF(ISERROR(MATCH(C3,SurveyDATA!AI:AI,0))=TRUE,"",MATCH(C3,SurveyDATA!AI:AI,0))</f>
        <v/>
      </c>
      <c r="E3" s="568">
        <f>IF(ISERROR(MATCH(C3,SurveyDATA!BL:BL,0))=TRUE,"",MATCH(C3,SurveyDATA!BL:BL,0))</f>
        <v>542</v>
      </c>
      <c r="F3" s="567" t="s">
        <v>5856</v>
      </c>
      <c r="G3" s="568" t="str">
        <f>IF(ISERROR(MATCH(F3,SurveyDATA!BN:BN,0))=TRUE,"",MATCH(F3,SurveyDATA!BN:BN,0))</f>
        <v/>
      </c>
      <c r="H3" s="568" t="str">
        <f>IF(ISERROR(MATCH(F3,#REF!,0))=TRUE,"",MATCH(F3,#REF!,0))</f>
        <v/>
      </c>
      <c r="I3" s="568" t="s">
        <v>6872</v>
      </c>
      <c r="J3" s="567" t="str">
        <f>IF(ISERROR(MATCH(I3,SurveyDATA!D:D,0))=TRUE,"",MATCH(I3,SurveyDATA!D:D,0))</f>
        <v/>
      </c>
    </row>
    <row r="4" spans="1:10">
      <c r="A4" s="92" t="s">
        <v>5857</v>
      </c>
      <c r="B4" s="92" t="str">
        <f>IF(ISERROR(MATCH(A4,SurveyDATA!P:P,0))=TRUE,"",MATCH(A4,SurveyDATA!P:P,0))</f>
        <v/>
      </c>
      <c r="C4" s="92" t="s">
        <v>5858</v>
      </c>
      <c r="D4" s="92" t="str">
        <f>IF(ISERROR(MATCH(C4,SurveyDATA!AI:AI,0))=TRUE,"",MATCH(C4,SurveyDATA!AI:AI,0))</f>
        <v/>
      </c>
      <c r="E4" s="287" t="str">
        <f>IF(ISERROR(MATCH(C4,SurveyDATA!BL:BL,0))=TRUE,"",MATCH(C4,SurveyDATA!BL:BL,0))</f>
        <v/>
      </c>
      <c r="F4" s="92" t="s">
        <v>5859</v>
      </c>
      <c r="G4" s="287" t="str">
        <f>IF(ISERROR(MATCH(F4,SurveyDATA!BN:BN,0))=TRUE,"",MATCH(F4,SurveyDATA!BN:BN,0))</f>
        <v/>
      </c>
      <c r="H4" s="287" t="str">
        <f>IF(ISERROR(MATCH(F4,#REF!,0))=TRUE,"",MATCH(F4,#REF!,0))</f>
        <v/>
      </c>
      <c r="I4" s="287" t="s">
        <v>6873</v>
      </c>
      <c r="J4" s="92" t="str">
        <f>IF(ISERROR(MATCH(I4,SurveyDATA!D:D,0))=TRUE,"",MATCH(I4,SurveyDATA!D:D,0))</f>
        <v/>
      </c>
    </row>
    <row r="5" spans="1:10">
      <c r="A5" s="92" t="s">
        <v>5860</v>
      </c>
      <c r="B5" s="92" t="str">
        <f>IF(ISERROR(MATCH(A5,SurveyDATA!P:P,0))=TRUE,"",MATCH(A5,SurveyDATA!P:P,0))</f>
        <v/>
      </c>
      <c r="C5" s="92" t="s">
        <v>5861</v>
      </c>
      <c r="D5" s="92" t="str">
        <f>IF(ISERROR(MATCH(C5,SurveyDATA!AI:AI,0))=TRUE,"",MATCH(C5,SurveyDATA!AI:AI,0))</f>
        <v/>
      </c>
      <c r="E5" s="287" t="str">
        <f>IF(ISERROR(MATCH(C5,SurveyDATA!BL:BL,0))=TRUE,"",MATCH(C5,SurveyDATA!BL:BL,0))</f>
        <v/>
      </c>
      <c r="F5" s="92" t="s">
        <v>5862</v>
      </c>
      <c r="G5" s="287" t="str">
        <f>IF(ISERROR(MATCH(F5,SurveyDATA!BN:BN,0))=TRUE,"",MATCH(F5,SurveyDATA!BN:BN,0))</f>
        <v/>
      </c>
      <c r="H5" s="287" t="str">
        <f>IF(ISERROR(MATCH(F5,#REF!,0))=TRUE,"",MATCH(F5,#REF!,0))</f>
        <v/>
      </c>
      <c r="I5" s="287" t="s">
        <v>6874</v>
      </c>
      <c r="J5" s="92" t="str">
        <f>IF(ISERROR(MATCH(I5,SurveyDATA!D:D,0))=TRUE,"",MATCH(I5,SurveyDATA!D:D,0))</f>
        <v/>
      </c>
    </row>
    <row r="6" spans="1:10">
      <c r="A6" s="92" t="s">
        <v>5863</v>
      </c>
      <c r="B6" s="92" t="str">
        <f>IF(ISERROR(MATCH(A6,SurveyDATA!P:P,0))=TRUE,"",MATCH(A6,SurveyDATA!P:P,0))</f>
        <v/>
      </c>
      <c r="C6" s="92" t="s">
        <v>5864</v>
      </c>
      <c r="D6" s="92" t="str">
        <f>IF(ISERROR(MATCH(C6,SurveyDATA!AI:AI,0))=TRUE,"",MATCH(C6,SurveyDATA!AI:AI,0))</f>
        <v/>
      </c>
      <c r="E6" s="287" t="str">
        <f>IF(ISERROR(MATCH(C6,SurveyDATA!BL:BL,0))=TRUE,"",MATCH(C6,SurveyDATA!BL:BL,0))</f>
        <v/>
      </c>
      <c r="F6" s="92" t="s">
        <v>5865</v>
      </c>
      <c r="G6" s="287" t="str">
        <f>IF(ISERROR(MATCH(F6,SurveyDATA!BN:BN,0))=TRUE,"",MATCH(F6,SurveyDATA!BN:BN,0))</f>
        <v/>
      </c>
      <c r="H6" s="287" t="str">
        <f>IF(ISERROR(MATCH(F6,#REF!,0))=TRUE,"",MATCH(F6,#REF!,0))</f>
        <v/>
      </c>
      <c r="I6" s="287" t="s">
        <v>6875</v>
      </c>
      <c r="J6" s="92" t="str">
        <f>IF(ISERROR(MATCH(I6,SurveyDATA!D:D,0))=TRUE,"",MATCH(I6,SurveyDATA!D:D,0))</f>
        <v/>
      </c>
    </row>
    <row r="7" spans="1:10">
      <c r="A7" s="567" t="s">
        <v>5866</v>
      </c>
      <c r="B7" s="567">
        <f>IF(ISERROR(MATCH(A7,SurveyDATA!P:P,0))=TRUE,"",MATCH(A7,SurveyDATA!P:P,0))</f>
        <v>543</v>
      </c>
      <c r="C7" s="567" t="s">
        <v>5867</v>
      </c>
      <c r="D7" s="567" t="str">
        <f>IF(ISERROR(MATCH(C7,SurveyDATA!AI:AI,0))=TRUE,"",MATCH(C7,SurveyDATA!AI:AI,0))</f>
        <v/>
      </c>
      <c r="E7" s="568" t="str">
        <f>IF(ISERROR(MATCH(C7,SurveyDATA!BL:BL,0))=TRUE,"",MATCH(C7,SurveyDATA!BL:BL,0))</f>
        <v/>
      </c>
      <c r="F7" s="567" t="s">
        <v>5868</v>
      </c>
      <c r="G7" s="568" t="str">
        <f>IF(ISERROR(MATCH(F7,SurveyDATA!BN:BN,0))=TRUE,"",MATCH(F7,SurveyDATA!BN:BN,0))</f>
        <v/>
      </c>
      <c r="H7" s="568" t="str">
        <f>IF(ISERROR(MATCH(F7,#REF!,0))=TRUE,"",MATCH(F7,#REF!,0))</f>
        <v/>
      </c>
      <c r="I7" s="568" t="s">
        <v>6876</v>
      </c>
      <c r="J7" s="567">
        <f>IF(ISERROR(MATCH(I7,SurveyDATA!D:D,0))=TRUE,"",MATCH(I7,SurveyDATA!D:D,0))</f>
        <v>543</v>
      </c>
    </row>
    <row r="8" spans="1:10">
      <c r="A8" s="92" t="s">
        <v>5869</v>
      </c>
      <c r="B8" s="92" t="str">
        <f>IF(ISERROR(MATCH(A8,SurveyDATA!P:P,0))=TRUE,"",MATCH(A8,SurveyDATA!P:P,0))</f>
        <v/>
      </c>
      <c r="C8" s="92" t="s">
        <v>5870</v>
      </c>
      <c r="D8" s="92" t="str">
        <f>IF(ISERROR(MATCH(C8,SurveyDATA!AI:AI,0))=TRUE,"",MATCH(C8,SurveyDATA!AI:AI,0))</f>
        <v/>
      </c>
      <c r="E8" s="287" t="str">
        <f>IF(ISERROR(MATCH(C8,SurveyDATA!BL:BL,0))=TRUE,"",MATCH(C8,SurveyDATA!BL:BL,0))</f>
        <v/>
      </c>
      <c r="F8" s="92" t="s">
        <v>5871</v>
      </c>
      <c r="G8" s="287" t="str">
        <f>IF(ISERROR(MATCH(F8,SurveyDATA!BN:BN,0))=TRUE,"",MATCH(F8,SurveyDATA!BN:BN,0))</f>
        <v/>
      </c>
      <c r="H8" s="287" t="str">
        <f>IF(ISERROR(MATCH(F8,#REF!,0))=TRUE,"",MATCH(F8,#REF!,0))</f>
        <v/>
      </c>
      <c r="I8" s="287" t="s">
        <v>6877</v>
      </c>
      <c r="J8" s="92" t="str">
        <f>IF(ISERROR(MATCH(I8,SurveyDATA!D:D,0))=TRUE,"",MATCH(I8,SurveyDATA!D:D,0))</f>
        <v/>
      </c>
    </row>
    <row r="9" spans="1:10">
      <c r="A9" s="567" t="s">
        <v>5872</v>
      </c>
      <c r="B9" s="567" t="str">
        <f>IF(ISERROR(MATCH(A9,SurveyDATA!P:P,0))=TRUE,"",MATCH(A9,SurveyDATA!P:P,0))</f>
        <v/>
      </c>
      <c r="C9" s="567" t="s">
        <v>5873</v>
      </c>
      <c r="D9" s="567" t="str">
        <f>IF(ISERROR(MATCH(C9,SurveyDATA!AI:AI,0))=TRUE,"",MATCH(C9,SurveyDATA!AI:AI,0))</f>
        <v/>
      </c>
      <c r="E9" s="568" t="str">
        <f>IF(ISERROR(MATCH(C9,SurveyDATA!BL:BL,0))=TRUE,"",MATCH(C9,SurveyDATA!BL:BL,0))</f>
        <v/>
      </c>
      <c r="F9" s="567" t="s">
        <v>5874</v>
      </c>
      <c r="G9" s="568" t="str">
        <f>IF(ISERROR(MATCH(F9,SurveyDATA!BN:BN,0))=TRUE,"",MATCH(F9,SurveyDATA!BN:BN,0))</f>
        <v/>
      </c>
      <c r="H9" s="568" t="str">
        <f>IF(ISERROR(MATCH(F9,#REF!,0))=TRUE,"",MATCH(F9,#REF!,0))</f>
        <v/>
      </c>
      <c r="I9" s="568" t="s">
        <v>6878</v>
      </c>
      <c r="J9" s="567" t="str">
        <f>IF(ISERROR(MATCH(I9,SurveyDATA!D:D,0))=TRUE,"",MATCH(I9,SurveyDATA!D:D,0))</f>
        <v/>
      </c>
    </row>
    <row r="10" spans="1:10">
      <c r="A10" s="92" t="s">
        <v>5875</v>
      </c>
      <c r="B10" s="92" t="str">
        <f>IF(ISERROR(MATCH(A10,SurveyDATA!P:P,0))=TRUE,"",MATCH(A10,SurveyDATA!P:P,0))</f>
        <v/>
      </c>
      <c r="C10" s="92" t="s">
        <v>5876</v>
      </c>
      <c r="D10" s="92" t="str">
        <f>IF(ISERROR(MATCH(C10,SurveyDATA!AI:AI,0))=TRUE,"",MATCH(C10,SurveyDATA!AI:AI,0))</f>
        <v/>
      </c>
      <c r="E10" s="287" t="str">
        <f>IF(ISERROR(MATCH(C10,SurveyDATA!BL:BL,0))=TRUE,"",MATCH(C10,SurveyDATA!BL:BL,0))</f>
        <v/>
      </c>
      <c r="F10" s="92" t="s">
        <v>5877</v>
      </c>
      <c r="G10" s="287" t="str">
        <f>IF(ISERROR(MATCH(F10,SurveyDATA!BN:BN,0))=TRUE,"",MATCH(F10,SurveyDATA!BN:BN,0))</f>
        <v/>
      </c>
      <c r="H10" s="287" t="str">
        <f>IF(ISERROR(MATCH(F10,#REF!,0))=TRUE,"",MATCH(F10,#REF!,0))</f>
        <v/>
      </c>
      <c r="I10" s="287" t="s">
        <v>6879</v>
      </c>
      <c r="J10" s="92" t="str">
        <f>IF(ISERROR(MATCH(I10,SurveyDATA!D:D,0))=TRUE,"",MATCH(I10,SurveyDATA!D:D,0))</f>
        <v/>
      </c>
    </row>
    <row r="11" spans="1:10">
      <c r="A11" s="92" t="s">
        <v>5878</v>
      </c>
      <c r="B11" s="92" t="str">
        <f>IF(ISERROR(MATCH(A11,SurveyDATA!P:P,0))=TRUE,"",MATCH(A11,SurveyDATA!P:P,0))</f>
        <v/>
      </c>
      <c r="C11" s="92" t="s">
        <v>5879</v>
      </c>
      <c r="D11" s="92" t="str">
        <f>IF(ISERROR(MATCH(C11,SurveyDATA!AI:AI,0))=TRUE,"",MATCH(C11,SurveyDATA!AI:AI,0))</f>
        <v/>
      </c>
      <c r="E11" s="287" t="str">
        <f>IF(ISERROR(MATCH(C11,SurveyDATA!BL:BL,0))=TRUE,"",MATCH(C11,SurveyDATA!BL:BL,0))</f>
        <v/>
      </c>
      <c r="F11" s="92" t="s">
        <v>5880</v>
      </c>
      <c r="G11" s="287" t="str">
        <f>IF(ISERROR(MATCH(F11,SurveyDATA!BN:BN,0))=TRUE,"",MATCH(F11,SurveyDATA!BN:BN,0))</f>
        <v/>
      </c>
      <c r="H11" s="287" t="str">
        <f>IF(ISERROR(MATCH(F11,#REF!,0))=TRUE,"",MATCH(F11,#REF!,0))</f>
        <v/>
      </c>
      <c r="I11" s="287" t="s">
        <v>6880</v>
      </c>
      <c r="J11" s="92" t="str">
        <f>IF(ISERROR(MATCH(I11,SurveyDATA!D:D,0))=TRUE,"",MATCH(I11,SurveyDATA!D:D,0))</f>
        <v/>
      </c>
    </row>
    <row r="12" spans="1:10">
      <c r="A12" s="92" t="s">
        <v>5881</v>
      </c>
      <c r="B12" s="92" t="str">
        <f>IF(ISERROR(MATCH(A12,SurveyDATA!P:P,0))=TRUE,"",MATCH(A12,SurveyDATA!P:P,0))</f>
        <v/>
      </c>
      <c r="C12" s="92" t="s">
        <v>5882</v>
      </c>
      <c r="D12" s="92" t="str">
        <f>IF(ISERROR(MATCH(C12,SurveyDATA!AI:AI,0))=TRUE,"",MATCH(C12,SurveyDATA!AI:AI,0))</f>
        <v/>
      </c>
      <c r="E12" s="287" t="str">
        <f>IF(ISERROR(MATCH(C12,SurveyDATA!BL:BL,0))=TRUE,"",MATCH(C12,SurveyDATA!BL:BL,0))</f>
        <v/>
      </c>
      <c r="F12" s="92" t="s">
        <v>5883</v>
      </c>
      <c r="G12" s="287" t="str">
        <f>IF(ISERROR(MATCH(F12,SurveyDATA!BN:BN,0))=TRUE,"",MATCH(F12,SurveyDATA!BN:BN,0))</f>
        <v/>
      </c>
      <c r="H12" s="287" t="str">
        <f>IF(ISERROR(MATCH(F12,#REF!,0))=TRUE,"",MATCH(F12,#REF!,0))</f>
        <v/>
      </c>
      <c r="I12" s="287" t="s">
        <v>6881</v>
      </c>
      <c r="J12" s="92" t="str">
        <f>IF(ISERROR(MATCH(I12,SurveyDATA!D:D,0))=TRUE,"",MATCH(I12,SurveyDATA!D:D,0))</f>
        <v/>
      </c>
    </row>
    <row r="13" spans="1:10">
      <c r="A13" s="92" t="s">
        <v>5884</v>
      </c>
      <c r="B13" s="92" t="str">
        <f>IF(ISERROR(MATCH(A13,SurveyDATA!P:P,0))=TRUE,"",MATCH(A13,SurveyDATA!P:P,0))</f>
        <v/>
      </c>
      <c r="C13" s="92" t="s">
        <v>5885</v>
      </c>
      <c r="D13" s="92" t="str">
        <f>IF(ISERROR(MATCH(C13,SurveyDATA!AI:AI,0))=TRUE,"",MATCH(C13,SurveyDATA!AI:AI,0))</f>
        <v/>
      </c>
      <c r="E13" s="287" t="str">
        <f>IF(ISERROR(MATCH(C13,SurveyDATA!BL:BL,0))=TRUE,"",MATCH(C13,SurveyDATA!BL:BL,0))</f>
        <v/>
      </c>
      <c r="F13" s="92" t="s">
        <v>5886</v>
      </c>
      <c r="G13" s="287" t="str">
        <f>IF(ISERROR(MATCH(F13,SurveyDATA!BN:BN,0))=TRUE,"",MATCH(F13,SurveyDATA!BN:BN,0))</f>
        <v/>
      </c>
      <c r="H13" s="287" t="str">
        <f>IF(ISERROR(MATCH(F13,#REF!,0))=TRUE,"",MATCH(F13,#REF!,0))</f>
        <v/>
      </c>
      <c r="I13" s="287" t="s">
        <v>6882</v>
      </c>
      <c r="J13" s="92" t="str">
        <f>IF(ISERROR(MATCH(I13,SurveyDATA!D:D,0))=TRUE,"",MATCH(I13,SurveyDATA!D:D,0))</f>
        <v/>
      </c>
    </row>
    <row r="14" spans="1:10">
      <c r="A14" s="92" t="s">
        <v>5887</v>
      </c>
      <c r="B14" s="92" t="str">
        <f>IF(ISERROR(MATCH(A14,SurveyDATA!P:P,0))=TRUE,"",MATCH(A14,SurveyDATA!P:P,0))</f>
        <v/>
      </c>
      <c r="C14" s="92" t="s">
        <v>5888</v>
      </c>
      <c r="D14" s="92" t="str">
        <f>IF(ISERROR(MATCH(C14,SurveyDATA!AI:AI,0))=TRUE,"",MATCH(C14,SurveyDATA!AI:AI,0))</f>
        <v/>
      </c>
      <c r="E14" s="287" t="str">
        <f>IF(ISERROR(MATCH(C14,SurveyDATA!BL:BL,0))=TRUE,"",MATCH(C14,SurveyDATA!BL:BL,0))</f>
        <v/>
      </c>
      <c r="F14" s="92" t="s">
        <v>5889</v>
      </c>
      <c r="G14" s="287" t="str">
        <f>IF(ISERROR(MATCH(F14,SurveyDATA!BN:BN,0))=TRUE,"",MATCH(F14,SurveyDATA!BN:BN,0))</f>
        <v/>
      </c>
      <c r="H14" s="287" t="str">
        <f>IF(ISERROR(MATCH(F14,#REF!,0))=TRUE,"",MATCH(F14,#REF!,0))</f>
        <v/>
      </c>
      <c r="I14" s="287" t="s">
        <v>6883</v>
      </c>
      <c r="J14" s="92" t="str">
        <f>IF(ISERROR(MATCH(I14,SurveyDATA!D:D,0))=TRUE,"",MATCH(I14,SurveyDATA!D:D,0))</f>
        <v/>
      </c>
    </row>
    <row r="15" spans="1:10">
      <c r="A15" s="92" t="s">
        <v>5890</v>
      </c>
      <c r="B15" s="92" t="str">
        <f>IF(ISERROR(MATCH(A15,SurveyDATA!P:P,0))=TRUE,"",MATCH(A15,SurveyDATA!P:P,0))</f>
        <v/>
      </c>
      <c r="C15" s="92" t="s">
        <v>5891</v>
      </c>
      <c r="D15" s="92" t="str">
        <f>IF(ISERROR(MATCH(C15,SurveyDATA!AI:AI,0))=TRUE,"",MATCH(C15,SurveyDATA!AI:AI,0))</f>
        <v/>
      </c>
      <c r="E15" s="287" t="str">
        <f>IF(ISERROR(MATCH(C15,SurveyDATA!BL:BL,0))=TRUE,"",MATCH(C15,SurveyDATA!BL:BL,0))</f>
        <v/>
      </c>
      <c r="F15" s="92" t="s">
        <v>5892</v>
      </c>
      <c r="G15" s="287" t="str">
        <f>IF(ISERROR(MATCH(F15,SurveyDATA!BN:BN,0))=TRUE,"",MATCH(F15,SurveyDATA!BN:BN,0))</f>
        <v/>
      </c>
      <c r="H15" s="287" t="str">
        <f>IF(ISERROR(MATCH(F15,#REF!,0))=TRUE,"",MATCH(F15,#REF!,0))</f>
        <v/>
      </c>
      <c r="I15" s="287" t="s">
        <v>6884</v>
      </c>
      <c r="J15" s="92" t="str">
        <f>IF(ISERROR(MATCH(I15,SurveyDATA!D:D,0))=TRUE,"",MATCH(I15,SurveyDATA!D:D,0))</f>
        <v/>
      </c>
    </row>
    <row r="16" spans="1:10">
      <c r="A16" s="92" t="s">
        <v>5893</v>
      </c>
      <c r="B16" s="92" t="str">
        <f>IF(ISERROR(MATCH(A16,SurveyDATA!P:P,0))=TRUE,"",MATCH(A16,SurveyDATA!P:P,0))</f>
        <v/>
      </c>
      <c r="C16" s="92" t="s">
        <v>5894</v>
      </c>
      <c r="D16" s="92" t="str">
        <f>IF(ISERROR(MATCH(C16,SurveyDATA!AI:AI,0))=TRUE,"",MATCH(C16,SurveyDATA!AI:AI,0))</f>
        <v/>
      </c>
      <c r="E16" s="287" t="str">
        <f>IF(ISERROR(MATCH(C16,SurveyDATA!BL:BL,0))=TRUE,"",MATCH(C16,SurveyDATA!BL:BL,0))</f>
        <v/>
      </c>
      <c r="F16" s="92" t="s">
        <v>5895</v>
      </c>
      <c r="G16" s="287" t="str">
        <f>IF(ISERROR(MATCH(F16,SurveyDATA!BN:BN,0))=TRUE,"",MATCH(F16,SurveyDATA!BN:BN,0))</f>
        <v/>
      </c>
      <c r="H16" s="287" t="str">
        <f>IF(ISERROR(MATCH(F16,#REF!,0))=TRUE,"",MATCH(F16,#REF!,0))</f>
        <v/>
      </c>
      <c r="I16" s="287" t="s">
        <v>6885</v>
      </c>
      <c r="J16" s="92" t="str">
        <f>IF(ISERROR(MATCH(I16,SurveyDATA!D:D,0))=TRUE,"",MATCH(I16,SurveyDATA!D:D,0))</f>
        <v/>
      </c>
    </row>
    <row r="17" spans="1:10">
      <c r="A17" s="92" t="s">
        <v>5896</v>
      </c>
      <c r="B17" s="92" t="str">
        <f>IF(ISERROR(MATCH(A17,SurveyDATA!P:P,0))=TRUE,"",MATCH(A17,SurveyDATA!P:P,0))</f>
        <v/>
      </c>
      <c r="C17" s="92" t="s">
        <v>5897</v>
      </c>
      <c r="D17" s="92" t="str">
        <f>IF(ISERROR(MATCH(C17,SurveyDATA!AI:AI,0))=TRUE,"",MATCH(C17,SurveyDATA!AI:AI,0))</f>
        <v/>
      </c>
      <c r="E17" s="287" t="str">
        <f>IF(ISERROR(MATCH(C17,SurveyDATA!BL:BL,0))=TRUE,"",MATCH(C17,SurveyDATA!BL:BL,0))</f>
        <v/>
      </c>
      <c r="F17" s="92" t="s">
        <v>5898</v>
      </c>
      <c r="G17" s="287" t="str">
        <f>IF(ISERROR(MATCH(F17,SurveyDATA!BN:BN,0))=TRUE,"",MATCH(F17,SurveyDATA!BN:BN,0))</f>
        <v/>
      </c>
      <c r="H17" s="287" t="str">
        <f>IF(ISERROR(MATCH(F17,#REF!,0))=TRUE,"",MATCH(F17,#REF!,0))</f>
        <v/>
      </c>
      <c r="I17" s="287" t="s">
        <v>6886</v>
      </c>
      <c r="J17" s="92" t="str">
        <f>IF(ISERROR(MATCH(I17,SurveyDATA!D:D,0))=TRUE,"",MATCH(I17,SurveyDATA!D:D,0))</f>
        <v/>
      </c>
    </row>
    <row r="18" spans="1:10">
      <c r="A18" s="92" t="s">
        <v>5899</v>
      </c>
      <c r="B18" s="92" t="str">
        <f>IF(ISERROR(MATCH(A18,SurveyDATA!P:P,0))=TRUE,"",MATCH(A18,SurveyDATA!P:P,0))</f>
        <v/>
      </c>
      <c r="C18" s="92" t="s">
        <v>5900</v>
      </c>
      <c r="D18" s="92" t="str">
        <f>IF(ISERROR(MATCH(C18,SurveyDATA!AI:AI,0))=TRUE,"",MATCH(C18,SurveyDATA!AI:AI,0))</f>
        <v/>
      </c>
      <c r="E18" s="287" t="str">
        <f>IF(ISERROR(MATCH(C18,SurveyDATA!BL:BL,0))=TRUE,"",MATCH(C18,SurveyDATA!BL:BL,0))</f>
        <v/>
      </c>
      <c r="F18" s="92" t="s">
        <v>5901</v>
      </c>
      <c r="G18" s="287" t="str">
        <f>IF(ISERROR(MATCH(F18,SurveyDATA!BN:BN,0))=TRUE,"",MATCH(F18,SurveyDATA!BN:BN,0))</f>
        <v/>
      </c>
      <c r="H18" s="287" t="str">
        <f>IF(ISERROR(MATCH(F18,#REF!,0))=TRUE,"",MATCH(F18,#REF!,0))</f>
        <v/>
      </c>
      <c r="I18" s="287" t="s">
        <v>6887</v>
      </c>
      <c r="J18" s="92" t="str">
        <f>IF(ISERROR(MATCH(I18,SurveyDATA!D:D,0))=TRUE,"",MATCH(I18,SurveyDATA!D:D,0))</f>
        <v/>
      </c>
    </row>
    <row r="19" spans="1:10">
      <c r="A19" s="92" t="s">
        <v>5902</v>
      </c>
      <c r="B19" s="92" t="str">
        <f>IF(ISERROR(MATCH(A19,SurveyDATA!P:P,0))=TRUE,"",MATCH(A19,SurveyDATA!P:P,0))</f>
        <v/>
      </c>
      <c r="C19" s="92" t="s">
        <v>5903</v>
      </c>
      <c r="D19" s="92" t="str">
        <f>IF(ISERROR(MATCH(C19,SurveyDATA!AI:AI,0))=TRUE,"",MATCH(C19,SurveyDATA!AI:AI,0))</f>
        <v/>
      </c>
      <c r="E19" s="287" t="str">
        <f>IF(ISERROR(MATCH(C19,SurveyDATA!BL:BL,0))=TRUE,"",MATCH(C19,SurveyDATA!BL:BL,0))</f>
        <v/>
      </c>
      <c r="F19" s="92" t="s">
        <v>5904</v>
      </c>
      <c r="G19" s="287" t="str">
        <f>IF(ISERROR(MATCH(F19,SurveyDATA!BN:BN,0))=TRUE,"",MATCH(F19,SurveyDATA!BN:BN,0))</f>
        <v/>
      </c>
      <c r="H19" s="287" t="str">
        <f>IF(ISERROR(MATCH(F19,#REF!,0))=TRUE,"",MATCH(F19,#REF!,0))</f>
        <v/>
      </c>
      <c r="I19" s="287" t="s">
        <v>6888</v>
      </c>
      <c r="J19" s="92" t="str">
        <f>IF(ISERROR(MATCH(I19,SurveyDATA!D:D,0))=TRUE,"",MATCH(I19,SurveyDATA!D:D,0))</f>
        <v/>
      </c>
    </row>
    <row r="20" spans="1:10">
      <c r="A20" s="92" t="s">
        <v>5905</v>
      </c>
      <c r="B20" s="92" t="str">
        <f>IF(ISERROR(MATCH(A20,SurveyDATA!P:P,0))=TRUE,"",MATCH(A20,SurveyDATA!P:P,0))</f>
        <v/>
      </c>
      <c r="C20" s="92" t="s">
        <v>5906</v>
      </c>
      <c r="D20" s="92" t="str">
        <f>IF(ISERROR(MATCH(C20,SurveyDATA!AI:AI,0))=TRUE,"",MATCH(C20,SurveyDATA!AI:AI,0))</f>
        <v/>
      </c>
      <c r="E20" s="287" t="str">
        <f>IF(ISERROR(MATCH(C20,SurveyDATA!BL:BL,0))=TRUE,"",MATCH(C20,SurveyDATA!BL:BL,0))</f>
        <v/>
      </c>
      <c r="F20" s="92" t="s">
        <v>5907</v>
      </c>
      <c r="G20" s="287" t="str">
        <f>IF(ISERROR(MATCH(F20,SurveyDATA!BN:BN,0))=TRUE,"",MATCH(F20,SurveyDATA!BN:BN,0))</f>
        <v/>
      </c>
      <c r="H20" s="287" t="str">
        <f>IF(ISERROR(MATCH(F20,#REF!,0))=TRUE,"",MATCH(F20,#REF!,0))</f>
        <v/>
      </c>
      <c r="I20" s="287" t="s">
        <v>6889</v>
      </c>
      <c r="J20" s="92" t="str">
        <f>IF(ISERROR(MATCH(I20,SurveyDATA!D:D,0))=TRUE,"",MATCH(I20,SurveyDATA!D:D,0))</f>
        <v/>
      </c>
    </row>
    <row r="21" spans="1:10">
      <c r="A21" s="92" t="s">
        <v>5908</v>
      </c>
      <c r="B21" s="92" t="str">
        <f>IF(ISERROR(MATCH(A21,SurveyDATA!P:P,0))=TRUE,"",MATCH(A21,SurveyDATA!P:P,0))</f>
        <v/>
      </c>
      <c r="C21" s="92" t="s">
        <v>5909</v>
      </c>
      <c r="D21" s="92" t="str">
        <f>IF(ISERROR(MATCH(C21,SurveyDATA!AI:AI,0))=TRUE,"",MATCH(C21,SurveyDATA!AI:AI,0))</f>
        <v/>
      </c>
      <c r="E21" s="287" t="str">
        <f>IF(ISERROR(MATCH(C21,SurveyDATA!BL:BL,0))=TRUE,"",MATCH(C21,SurveyDATA!BL:BL,0))</f>
        <v/>
      </c>
      <c r="F21" s="92" t="s">
        <v>5910</v>
      </c>
      <c r="G21" s="287" t="str">
        <f>IF(ISERROR(MATCH(F21,SurveyDATA!BN:BN,0))=TRUE,"",MATCH(F21,SurveyDATA!BN:BN,0))</f>
        <v/>
      </c>
      <c r="H21" s="287" t="str">
        <f>IF(ISERROR(MATCH(F21,#REF!,0))=TRUE,"",MATCH(F21,#REF!,0))</f>
        <v/>
      </c>
      <c r="I21" s="287" t="s">
        <v>6890</v>
      </c>
      <c r="J21" s="92" t="str">
        <f>IF(ISERROR(MATCH(I21,SurveyDATA!D:D,0))=TRUE,"",MATCH(I21,SurveyDATA!D:D,0))</f>
        <v/>
      </c>
    </row>
    <row r="22" spans="1:10">
      <c r="A22" s="92" t="s">
        <v>5912</v>
      </c>
      <c r="B22" s="92" t="str">
        <f>IF(ISERROR(MATCH(A22,SurveyDATA!P:P,0))=TRUE,"",MATCH(A22,SurveyDATA!P:P,0))</f>
        <v/>
      </c>
      <c r="C22" s="92" t="s">
        <v>5913</v>
      </c>
      <c r="D22" s="92" t="str">
        <f>IF(ISERROR(MATCH(C22,SurveyDATA!AI:AI,0))=TRUE,"",MATCH(C22,SurveyDATA!AI:AI,0))</f>
        <v/>
      </c>
      <c r="E22" s="287" t="str">
        <f>IF(ISERROR(MATCH(C22,SurveyDATA!BL:BL,0))=TRUE,"",MATCH(C22,SurveyDATA!BL:BL,0))</f>
        <v/>
      </c>
      <c r="F22" s="92" t="s">
        <v>5914</v>
      </c>
      <c r="G22" s="287" t="str">
        <f>IF(ISERROR(MATCH(F22,SurveyDATA!BN:BN,0))=TRUE,"",MATCH(F22,SurveyDATA!BN:BN,0))</f>
        <v/>
      </c>
      <c r="H22" s="287" t="str">
        <f>IF(ISERROR(MATCH(F22,#REF!,0))=TRUE,"",MATCH(F22,#REF!,0))</f>
        <v/>
      </c>
      <c r="I22" s="287" t="s">
        <v>5911</v>
      </c>
      <c r="J22" s="92" t="str">
        <f>IF(ISERROR(MATCH(I22,SurveyDATA!D:D,0))=TRUE,"",MATCH(I22,SurveyDATA!D:D,0))</f>
        <v/>
      </c>
    </row>
    <row r="23" spans="1:10">
      <c r="A23" s="92" t="s">
        <v>5915</v>
      </c>
      <c r="B23" s="92" t="str">
        <f>IF(ISERROR(MATCH(A23,SurveyDATA!P:P,0))=TRUE,"",MATCH(A23,SurveyDATA!P:P,0))</f>
        <v/>
      </c>
      <c r="C23" s="92" t="s">
        <v>5916</v>
      </c>
      <c r="D23" s="92" t="str">
        <f>IF(ISERROR(MATCH(C23,SurveyDATA!AI:AI,0))=TRUE,"",MATCH(C23,SurveyDATA!AI:AI,0))</f>
        <v/>
      </c>
      <c r="E23" s="287" t="str">
        <f>IF(ISERROR(MATCH(C23,SurveyDATA!BL:BL,0))=TRUE,"",MATCH(C23,SurveyDATA!BL:BL,0))</f>
        <v/>
      </c>
      <c r="F23" s="92" t="s">
        <v>5917</v>
      </c>
      <c r="G23" s="287" t="str">
        <f>IF(ISERROR(MATCH(F23,SurveyDATA!BN:BN,0))=TRUE,"",MATCH(F23,SurveyDATA!BN:BN,0))</f>
        <v/>
      </c>
      <c r="H23" s="287" t="str">
        <f>IF(ISERROR(MATCH(F23,#REF!,0))=TRUE,"",MATCH(F23,#REF!,0))</f>
        <v/>
      </c>
      <c r="I23" s="287" t="s">
        <v>6891</v>
      </c>
      <c r="J23" s="92" t="str">
        <f>IF(ISERROR(MATCH(I23,SurveyDATA!D:D,0))=TRUE,"",MATCH(I23,SurveyDATA!D:D,0))</f>
        <v/>
      </c>
    </row>
    <row r="24" spans="1:10">
      <c r="A24" s="92" t="s">
        <v>5918</v>
      </c>
      <c r="B24" s="92" t="str">
        <f>IF(ISERROR(MATCH(A24,SurveyDATA!P:P,0))=TRUE,"",MATCH(A24,SurveyDATA!P:P,0))</f>
        <v/>
      </c>
      <c r="C24" s="92" t="s">
        <v>5919</v>
      </c>
      <c r="D24" s="92" t="str">
        <f>IF(ISERROR(MATCH(C24,SurveyDATA!AI:AI,0))=TRUE,"",MATCH(C24,SurveyDATA!AI:AI,0))</f>
        <v/>
      </c>
      <c r="E24" s="287" t="str">
        <f>IF(ISERROR(MATCH(C24,SurveyDATA!BL:BL,0))=TRUE,"",MATCH(C24,SurveyDATA!BL:BL,0))</f>
        <v/>
      </c>
      <c r="F24" s="92" t="s">
        <v>5920</v>
      </c>
      <c r="G24" s="287" t="str">
        <f>IF(ISERROR(MATCH(F24,SurveyDATA!BN:BN,0))=TRUE,"",MATCH(F24,SurveyDATA!BN:BN,0))</f>
        <v/>
      </c>
      <c r="H24" s="287" t="str">
        <f>IF(ISERROR(MATCH(F24,#REF!,0))=TRUE,"",MATCH(F24,#REF!,0))</f>
        <v/>
      </c>
      <c r="I24" s="287" t="s">
        <v>6892</v>
      </c>
      <c r="J24" s="92" t="str">
        <f>IF(ISERROR(MATCH(I24,SurveyDATA!D:D,0))=TRUE,"",MATCH(I24,SurveyDATA!D:D,0))</f>
        <v/>
      </c>
    </row>
    <row r="25" spans="1:10">
      <c r="A25" s="92" t="s">
        <v>5921</v>
      </c>
      <c r="B25" s="92" t="str">
        <f>IF(ISERROR(MATCH(A25,SurveyDATA!P:P,0))=TRUE,"",MATCH(A25,SurveyDATA!P:P,0))</f>
        <v/>
      </c>
      <c r="C25" s="92" t="s">
        <v>5922</v>
      </c>
      <c r="D25" s="92" t="str">
        <f>IF(ISERROR(MATCH(C25,SurveyDATA!AI:AI,0))=TRUE,"",MATCH(C25,SurveyDATA!AI:AI,0))</f>
        <v/>
      </c>
      <c r="E25" s="287" t="str">
        <f>IF(ISERROR(MATCH(C25,SurveyDATA!BL:BL,0))=TRUE,"",MATCH(C25,SurveyDATA!BL:BL,0))</f>
        <v/>
      </c>
      <c r="F25" s="92" t="s">
        <v>5923</v>
      </c>
      <c r="G25" s="287" t="str">
        <f>IF(ISERROR(MATCH(F25,SurveyDATA!BN:BN,0))=TRUE,"",MATCH(F25,SurveyDATA!BN:BN,0))</f>
        <v/>
      </c>
      <c r="H25" s="287" t="str">
        <f>IF(ISERROR(MATCH(F25,#REF!,0))=TRUE,"",MATCH(F25,#REF!,0))</f>
        <v/>
      </c>
      <c r="I25" s="287" t="s">
        <v>6893</v>
      </c>
      <c r="J25" s="92" t="str">
        <f>IF(ISERROR(MATCH(I25,SurveyDATA!D:D,0))=TRUE,"",MATCH(I25,SurveyDATA!D:D,0))</f>
        <v/>
      </c>
    </row>
    <row r="26" spans="1:10">
      <c r="A26" s="92" t="s">
        <v>5924</v>
      </c>
      <c r="B26" s="92" t="str">
        <f>IF(ISERROR(MATCH(A26,SurveyDATA!P:P,0))=TRUE,"",MATCH(A26,SurveyDATA!P:P,0))</f>
        <v/>
      </c>
      <c r="C26" s="92" t="s">
        <v>5925</v>
      </c>
      <c r="D26" s="92" t="str">
        <f>IF(ISERROR(MATCH(C26,SurveyDATA!AI:AI,0))=TRUE,"",MATCH(C26,SurveyDATA!AI:AI,0))</f>
        <v/>
      </c>
      <c r="E26" s="287" t="str">
        <f>IF(ISERROR(MATCH(C26,SurveyDATA!BL:BL,0))=TRUE,"",MATCH(C26,SurveyDATA!BL:BL,0))</f>
        <v/>
      </c>
      <c r="F26" s="92" t="s">
        <v>5926</v>
      </c>
      <c r="G26" s="287" t="str">
        <f>IF(ISERROR(MATCH(F26,SurveyDATA!BN:BN,0))=TRUE,"",MATCH(F26,SurveyDATA!BN:BN,0))</f>
        <v/>
      </c>
      <c r="H26" s="287" t="str">
        <f>IF(ISERROR(MATCH(F26,#REF!,0))=TRUE,"",MATCH(F26,#REF!,0))</f>
        <v/>
      </c>
      <c r="I26" s="287" t="s">
        <v>6894</v>
      </c>
      <c r="J26" s="92" t="str">
        <f>IF(ISERROR(MATCH(I26,SurveyDATA!D:D,0))=TRUE,"",MATCH(I26,SurveyDATA!D:D,0))</f>
        <v/>
      </c>
    </row>
    <row r="27" spans="1:10">
      <c r="A27" s="92" t="s">
        <v>5927</v>
      </c>
      <c r="B27" s="92" t="str">
        <f>IF(ISERROR(MATCH(A27,SurveyDATA!P:P,0))=TRUE,"",MATCH(A27,SurveyDATA!P:P,0))</f>
        <v/>
      </c>
      <c r="C27" s="92" t="s">
        <v>5928</v>
      </c>
      <c r="D27" s="92" t="str">
        <f>IF(ISERROR(MATCH(C27,SurveyDATA!AI:AI,0))=TRUE,"",MATCH(C27,SurveyDATA!AI:AI,0))</f>
        <v/>
      </c>
      <c r="E27" s="287" t="str">
        <f>IF(ISERROR(MATCH(C27,SurveyDATA!BL:BL,0))=TRUE,"",MATCH(C27,SurveyDATA!BL:BL,0))</f>
        <v/>
      </c>
      <c r="F27" s="92" t="s">
        <v>5929</v>
      </c>
      <c r="G27" s="287" t="str">
        <f>IF(ISERROR(MATCH(F27,SurveyDATA!BN:BN,0))=TRUE,"",MATCH(F27,SurveyDATA!BN:BN,0))</f>
        <v/>
      </c>
      <c r="H27" s="287" t="str">
        <f>IF(ISERROR(MATCH(F27,#REF!,0))=TRUE,"",MATCH(F27,#REF!,0))</f>
        <v/>
      </c>
      <c r="I27" s="287" t="s">
        <v>6895</v>
      </c>
      <c r="J27" s="92" t="str">
        <f>IF(ISERROR(MATCH(I27,SurveyDATA!D:D,0))=TRUE,"",MATCH(I27,SurveyDATA!D:D,0))</f>
        <v/>
      </c>
    </row>
    <row r="28" spans="1:10">
      <c r="A28" s="92" t="s">
        <v>5930</v>
      </c>
      <c r="B28" s="92" t="str">
        <f>IF(ISERROR(MATCH(A28,SurveyDATA!P:P,0))=TRUE,"",MATCH(A28,SurveyDATA!P:P,0))</f>
        <v/>
      </c>
      <c r="C28" s="92" t="s">
        <v>5931</v>
      </c>
      <c r="D28" s="92" t="str">
        <f>IF(ISERROR(MATCH(C28,SurveyDATA!AI:AI,0))=TRUE,"",MATCH(C28,SurveyDATA!AI:AI,0))</f>
        <v/>
      </c>
      <c r="E28" s="287" t="str">
        <f>IF(ISERROR(MATCH(C28,SurveyDATA!BL:BL,0))=TRUE,"",MATCH(C28,SurveyDATA!BL:BL,0))</f>
        <v/>
      </c>
      <c r="F28" s="92" t="s">
        <v>5932</v>
      </c>
      <c r="G28" s="287" t="str">
        <f>IF(ISERROR(MATCH(F28,SurveyDATA!BN:BN,0))=TRUE,"",MATCH(F28,SurveyDATA!BN:BN,0))</f>
        <v/>
      </c>
      <c r="H28" s="287" t="str">
        <f>IF(ISERROR(MATCH(F28,#REF!,0))=TRUE,"",MATCH(F28,#REF!,0))</f>
        <v/>
      </c>
      <c r="I28" s="287" t="s">
        <v>6896</v>
      </c>
      <c r="J28" s="92" t="str">
        <f>IF(ISERROR(MATCH(I28,SurveyDATA!D:D,0))=TRUE,"",MATCH(I28,SurveyDATA!D:D,0))</f>
        <v/>
      </c>
    </row>
    <row r="29" spans="1:10">
      <c r="A29" s="92" t="s">
        <v>5933</v>
      </c>
      <c r="B29" s="92" t="str">
        <f>IF(ISERROR(MATCH(A29,SurveyDATA!P:P,0))=TRUE,"",MATCH(A29,SurveyDATA!P:P,0))</f>
        <v/>
      </c>
      <c r="C29" s="92" t="s">
        <v>5934</v>
      </c>
      <c r="D29" s="92" t="str">
        <f>IF(ISERROR(MATCH(C29,SurveyDATA!AI:AI,0))=TRUE,"",MATCH(C29,SurveyDATA!AI:AI,0))</f>
        <v/>
      </c>
      <c r="E29" s="287" t="str">
        <f>IF(ISERROR(MATCH(C29,SurveyDATA!BL:BL,0))=TRUE,"",MATCH(C29,SurveyDATA!BL:BL,0))</f>
        <v/>
      </c>
      <c r="F29" s="92" t="s">
        <v>5935</v>
      </c>
      <c r="G29" s="287" t="str">
        <f>IF(ISERROR(MATCH(F29,SurveyDATA!BN:BN,0))=TRUE,"",MATCH(F29,SurveyDATA!BN:BN,0))</f>
        <v/>
      </c>
      <c r="H29" s="287" t="str">
        <f>IF(ISERROR(MATCH(F29,#REF!,0))=TRUE,"",MATCH(F29,#REF!,0))</f>
        <v/>
      </c>
      <c r="I29" s="287" t="s">
        <v>6897</v>
      </c>
      <c r="J29" s="92" t="str">
        <f>IF(ISERROR(MATCH(I29,SurveyDATA!D:D,0))=TRUE,"",MATCH(I29,SurveyDATA!D:D,0))</f>
        <v/>
      </c>
    </row>
    <row r="30" spans="1:10">
      <c r="A30" s="92" t="s">
        <v>5936</v>
      </c>
      <c r="B30" s="92" t="str">
        <f>IF(ISERROR(MATCH(A30,SurveyDATA!P:P,0))=TRUE,"",MATCH(A30,SurveyDATA!P:P,0))</f>
        <v/>
      </c>
      <c r="C30" s="92" t="s">
        <v>5937</v>
      </c>
      <c r="D30" s="92" t="str">
        <f>IF(ISERROR(MATCH(C30,SurveyDATA!AI:AI,0))=TRUE,"",MATCH(C30,SurveyDATA!AI:AI,0))</f>
        <v/>
      </c>
      <c r="E30" s="287" t="str">
        <f>IF(ISERROR(MATCH(C30,SurveyDATA!BL:BL,0))=TRUE,"",MATCH(C30,SurveyDATA!BL:BL,0))</f>
        <v/>
      </c>
      <c r="F30" s="92" t="s">
        <v>5938</v>
      </c>
      <c r="G30" s="287" t="str">
        <f>IF(ISERROR(MATCH(F30,SurveyDATA!BN:BN,0))=TRUE,"",MATCH(F30,SurveyDATA!BN:BN,0))</f>
        <v/>
      </c>
      <c r="H30" s="287" t="str">
        <f>IF(ISERROR(MATCH(F30,#REF!,0))=TRUE,"",MATCH(F30,#REF!,0))</f>
        <v/>
      </c>
      <c r="I30" s="287" t="s">
        <v>6898</v>
      </c>
      <c r="J30" s="92" t="str">
        <f>IF(ISERROR(MATCH(I30,SurveyDATA!D:D,0))=TRUE,"",MATCH(I30,SurveyDATA!D:D,0))</f>
        <v/>
      </c>
    </row>
    <row r="31" spans="1:10">
      <c r="A31" s="92" t="s">
        <v>5939</v>
      </c>
      <c r="B31" s="92" t="str">
        <f>IF(ISERROR(MATCH(A31,SurveyDATA!P:P,0))=TRUE,"",MATCH(A31,SurveyDATA!P:P,0))</f>
        <v/>
      </c>
      <c r="C31" s="92" t="s">
        <v>5940</v>
      </c>
      <c r="D31" s="92" t="str">
        <f>IF(ISERROR(MATCH(C31,SurveyDATA!AI:AI,0))=TRUE,"",MATCH(C31,SurveyDATA!AI:AI,0))</f>
        <v/>
      </c>
      <c r="E31" s="287" t="str">
        <f>IF(ISERROR(MATCH(C31,SurveyDATA!BL:BL,0))=TRUE,"",MATCH(C31,SurveyDATA!BL:BL,0))</f>
        <v/>
      </c>
      <c r="F31" s="92" t="s">
        <v>5941</v>
      </c>
      <c r="G31" s="287" t="str">
        <f>IF(ISERROR(MATCH(F31,SurveyDATA!BN:BN,0))=TRUE,"",MATCH(F31,SurveyDATA!BN:BN,0))</f>
        <v/>
      </c>
      <c r="H31" s="287" t="str">
        <f>IF(ISERROR(MATCH(F31,#REF!,0))=TRUE,"",MATCH(F31,#REF!,0))</f>
        <v/>
      </c>
      <c r="I31" s="287" t="s">
        <v>6899</v>
      </c>
      <c r="J31" s="92" t="str">
        <f>IF(ISERROR(MATCH(I31,SurveyDATA!D:D,0))=TRUE,"",MATCH(I31,SurveyDATA!D:D,0))</f>
        <v/>
      </c>
    </row>
    <row r="32" spans="1:10">
      <c r="A32" s="92" t="s">
        <v>5942</v>
      </c>
      <c r="B32" s="92" t="str">
        <f>IF(ISERROR(MATCH(A32,SurveyDATA!P:P,0))=TRUE,"",MATCH(A32,SurveyDATA!P:P,0))</f>
        <v/>
      </c>
      <c r="C32" s="92" t="s">
        <v>5943</v>
      </c>
      <c r="D32" s="92" t="str">
        <f>IF(ISERROR(MATCH(C32,SurveyDATA!AI:AI,0))=TRUE,"",MATCH(C32,SurveyDATA!AI:AI,0))</f>
        <v/>
      </c>
      <c r="E32" s="287" t="str">
        <f>IF(ISERROR(MATCH(C32,SurveyDATA!BL:BL,0))=TRUE,"",MATCH(C32,SurveyDATA!BL:BL,0))</f>
        <v/>
      </c>
      <c r="F32" s="92" t="s">
        <v>5944</v>
      </c>
      <c r="G32" s="287" t="str">
        <f>IF(ISERROR(MATCH(F32,SurveyDATA!BN:BN,0))=TRUE,"",MATCH(F32,SurveyDATA!BN:BN,0))</f>
        <v/>
      </c>
      <c r="H32" s="287" t="str">
        <f>IF(ISERROR(MATCH(F32,#REF!,0))=TRUE,"",MATCH(F32,#REF!,0))</f>
        <v/>
      </c>
      <c r="I32" s="287" t="s">
        <v>6900</v>
      </c>
      <c r="J32" s="92" t="str">
        <f>IF(ISERROR(MATCH(I32,SurveyDATA!D:D,0))=TRUE,"",MATCH(I32,SurveyDATA!D:D,0))</f>
        <v/>
      </c>
    </row>
    <row r="33" spans="1:10">
      <c r="A33" s="92" t="s">
        <v>5945</v>
      </c>
      <c r="B33" s="92" t="str">
        <f>IF(ISERROR(MATCH(A33,SurveyDATA!P:P,0))=TRUE,"",MATCH(A33,SurveyDATA!P:P,0))</f>
        <v/>
      </c>
      <c r="C33" s="92" t="s">
        <v>5946</v>
      </c>
      <c r="D33" s="92" t="str">
        <f>IF(ISERROR(MATCH(C33,SurveyDATA!AI:AI,0))=TRUE,"",MATCH(C33,SurveyDATA!AI:AI,0))</f>
        <v/>
      </c>
      <c r="E33" s="287" t="str">
        <f>IF(ISERROR(MATCH(C33,SurveyDATA!BL:BL,0))=TRUE,"",MATCH(C33,SurveyDATA!BL:BL,0))</f>
        <v/>
      </c>
      <c r="F33" s="92" t="s">
        <v>5947</v>
      </c>
      <c r="G33" s="287" t="str">
        <f>IF(ISERROR(MATCH(F33,SurveyDATA!BN:BN,0))=TRUE,"",MATCH(F33,SurveyDATA!BN:BN,0))</f>
        <v/>
      </c>
      <c r="H33" s="287" t="str">
        <f>IF(ISERROR(MATCH(F33,#REF!,0))=TRUE,"",MATCH(F33,#REF!,0))</f>
        <v/>
      </c>
      <c r="I33" s="287" t="s">
        <v>6901</v>
      </c>
      <c r="J33" s="92" t="str">
        <f>IF(ISERROR(MATCH(I33,SurveyDATA!D:D,0))=TRUE,"",MATCH(I33,SurveyDATA!D:D,0))</f>
        <v/>
      </c>
    </row>
    <row r="34" spans="1:10">
      <c r="A34" s="92" t="s">
        <v>5948</v>
      </c>
      <c r="B34" s="92" t="str">
        <f>IF(ISERROR(MATCH(A34,SurveyDATA!P:P,0))=TRUE,"",MATCH(A34,SurveyDATA!P:P,0))</f>
        <v/>
      </c>
      <c r="C34" s="92" t="s">
        <v>5949</v>
      </c>
      <c r="D34" s="92" t="str">
        <f>IF(ISERROR(MATCH(C34,SurveyDATA!AI:AI,0))=TRUE,"",MATCH(C34,SurveyDATA!AI:AI,0))</f>
        <v/>
      </c>
      <c r="E34" s="287" t="str">
        <f>IF(ISERROR(MATCH(C34,SurveyDATA!BL:BL,0))=TRUE,"",MATCH(C34,SurveyDATA!BL:BL,0))</f>
        <v/>
      </c>
      <c r="F34" s="92" t="s">
        <v>5950</v>
      </c>
      <c r="G34" s="287" t="str">
        <f>IF(ISERROR(MATCH(F34,SurveyDATA!BN:BN,0))=TRUE,"",MATCH(F34,SurveyDATA!BN:BN,0))</f>
        <v/>
      </c>
      <c r="H34" s="287" t="str">
        <f>IF(ISERROR(MATCH(F34,#REF!,0))=TRUE,"",MATCH(F34,#REF!,0))</f>
        <v/>
      </c>
      <c r="I34" s="287" t="s">
        <v>6902</v>
      </c>
      <c r="J34" s="92" t="str">
        <f>IF(ISERROR(MATCH(I34,SurveyDATA!D:D,0))=TRUE,"",MATCH(I34,SurveyDATA!D:D,0))</f>
        <v/>
      </c>
    </row>
    <row r="35" spans="1:10">
      <c r="A35" s="92" t="s">
        <v>5951</v>
      </c>
      <c r="B35" s="92" t="str">
        <f>IF(ISERROR(MATCH(A35,SurveyDATA!P:P,0))=TRUE,"",MATCH(A35,SurveyDATA!P:P,0))</f>
        <v/>
      </c>
      <c r="C35" s="92" t="s">
        <v>5952</v>
      </c>
      <c r="D35" s="92" t="str">
        <f>IF(ISERROR(MATCH(C35,SurveyDATA!AI:AI,0))=TRUE,"",MATCH(C35,SurveyDATA!AI:AI,0))</f>
        <v/>
      </c>
      <c r="E35" s="287" t="str">
        <f>IF(ISERROR(MATCH(C35,SurveyDATA!BL:BL,0))=TRUE,"",MATCH(C35,SurveyDATA!BL:BL,0))</f>
        <v/>
      </c>
      <c r="F35" s="92" t="s">
        <v>5953</v>
      </c>
      <c r="G35" s="287" t="str">
        <f>IF(ISERROR(MATCH(F35,SurveyDATA!BN:BN,0))=TRUE,"",MATCH(F35,SurveyDATA!BN:BN,0))</f>
        <v/>
      </c>
      <c r="H35" s="287" t="str">
        <f>IF(ISERROR(MATCH(F35,#REF!,0))=TRUE,"",MATCH(F35,#REF!,0))</f>
        <v/>
      </c>
      <c r="I35" s="287" t="s">
        <v>6903</v>
      </c>
      <c r="J35" s="92" t="str">
        <f>IF(ISERROR(MATCH(I35,SurveyDATA!D:D,0))=TRUE,"",MATCH(I35,SurveyDATA!D:D,0))</f>
        <v/>
      </c>
    </row>
    <row r="36" spans="1:10">
      <c r="A36" s="92" t="s">
        <v>5954</v>
      </c>
      <c r="B36" s="92" t="str">
        <f>IF(ISERROR(MATCH(A36,SurveyDATA!P:P,0))=TRUE,"",MATCH(A36,SurveyDATA!P:P,0))</f>
        <v/>
      </c>
      <c r="C36" s="92" t="s">
        <v>5955</v>
      </c>
      <c r="D36" s="92" t="str">
        <f>IF(ISERROR(MATCH(C36,SurveyDATA!AI:AI,0))=TRUE,"",MATCH(C36,SurveyDATA!AI:AI,0))</f>
        <v/>
      </c>
      <c r="E36" s="287" t="str">
        <f>IF(ISERROR(MATCH(C36,SurveyDATA!BL:BL,0))=TRUE,"",MATCH(C36,SurveyDATA!BL:BL,0))</f>
        <v/>
      </c>
      <c r="F36" s="92" t="s">
        <v>5956</v>
      </c>
      <c r="G36" s="287" t="str">
        <f>IF(ISERROR(MATCH(F36,SurveyDATA!BN:BN,0))=TRUE,"",MATCH(F36,SurveyDATA!BN:BN,0))</f>
        <v/>
      </c>
      <c r="H36" s="287" t="str">
        <f>IF(ISERROR(MATCH(F36,#REF!,0))=TRUE,"",MATCH(F36,#REF!,0))</f>
        <v/>
      </c>
      <c r="I36" s="287" t="s">
        <v>6904</v>
      </c>
      <c r="J36" s="92" t="str">
        <f>IF(ISERROR(MATCH(I36,SurveyDATA!D:D,0))=TRUE,"",MATCH(I36,SurveyDATA!D:D,0))</f>
        <v/>
      </c>
    </row>
    <row r="37" spans="1:10">
      <c r="A37" s="92" t="s">
        <v>5957</v>
      </c>
      <c r="B37" s="92" t="str">
        <f>IF(ISERROR(MATCH(A37,SurveyDATA!P:P,0))=TRUE,"",MATCH(A37,SurveyDATA!P:P,0))</f>
        <v/>
      </c>
      <c r="C37" s="92" t="s">
        <v>5958</v>
      </c>
      <c r="D37" s="92" t="str">
        <f>IF(ISERROR(MATCH(C37,SurveyDATA!AI:AI,0))=TRUE,"",MATCH(C37,SurveyDATA!AI:AI,0))</f>
        <v/>
      </c>
      <c r="E37" s="287" t="str">
        <f>IF(ISERROR(MATCH(C37,SurveyDATA!BL:BL,0))=TRUE,"",MATCH(C37,SurveyDATA!BL:BL,0))</f>
        <v/>
      </c>
      <c r="F37" s="92" t="s">
        <v>5959</v>
      </c>
      <c r="G37" s="287" t="str">
        <f>IF(ISERROR(MATCH(F37,SurveyDATA!BN:BN,0))=TRUE,"",MATCH(F37,SurveyDATA!BN:BN,0))</f>
        <v/>
      </c>
      <c r="H37" s="287" t="str">
        <f>IF(ISERROR(MATCH(F37,#REF!,0))=TRUE,"",MATCH(F37,#REF!,0))</f>
        <v/>
      </c>
      <c r="I37" s="287" t="s">
        <v>6905</v>
      </c>
      <c r="J37" s="92" t="str">
        <f>IF(ISERROR(MATCH(I37,SurveyDATA!D:D,0))=TRUE,"",MATCH(I37,SurveyDATA!D:D,0))</f>
        <v/>
      </c>
    </row>
    <row r="38" spans="1:10">
      <c r="A38" s="92" t="s">
        <v>5960</v>
      </c>
      <c r="B38" s="92" t="str">
        <f>IF(ISERROR(MATCH(A38,SurveyDATA!P:P,0))=TRUE,"",MATCH(A38,SurveyDATA!P:P,0))</f>
        <v/>
      </c>
      <c r="C38" s="92" t="s">
        <v>5961</v>
      </c>
      <c r="D38" s="92" t="str">
        <f>IF(ISERROR(MATCH(C38,SurveyDATA!AI:AI,0))=TRUE,"",MATCH(C38,SurveyDATA!AI:AI,0))</f>
        <v/>
      </c>
      <c r="E38" s="287" t="str">
        <f>IF(ISERROR(MATCH(C38,SurveyDATA!BL:BL,0))=TRUE,"",MATCH(C38,SurveyDATA!BL:BL,0))</f>
        <v/>
      </c>
      <c r="F38" s="92" t="s">
        <v>5962</v>
      </c>
      <c r="G38" s="287" t="str">
        <f>IF(ISERROR(MATCH(F38,SurveyDATA!BN:BN,0))=TRUE,"",MATCH(F38,SurveyDATA!BN:BN,0))</f>
        <v/>
      </c>
      <c r="H38" s="287" t="str">
        <f>IF(ISERROR(MATCH(F38,#REF!,0))=TRUE,"",MATCH(F38,#REF!,0))</f>
        <v/>
      </c>
      <c r="I38" s="287" t="s">
        <v>6906</v>
      </c>
      <c r="J38" s="92" t="str">
        <f>IF(ISERROR(MATCH(I38,SurveyDATA!D:D,0))=TRUE,"",MATCH(I38,SurveyDATA!D:D,0))</f>
        <v/>
      </c>
    </row>
    <row r="39" spans="1:10">
      <c r="A39" s="92" t="s">
        <v>5963</v>
      </c>
      <c r="B39" s="92" t="str">
        <f>IF(ISERROR(MATCH(A39,SurveyDATA!P:P,0))=TRUE,"",MATCH(A39,SurveyDATA!P:P,0))</f>
        <v/>
      </c>
      <c r="C39" s="92" t="s">
        <v>5964</v>
      </c>
      <c r="D39" s="92" t="str">
        <f>IF(ISERROR(MATCH(C39,SurveyDATA!AI:AI,0))=TRUE,"",MATCH(C39,SurveyDATA!AI:AI,0))</f>
        <v/>
      </c>
      <c r="E39" s="287" t="str">
        <f>IF(ISERROR(MATCH(C39,SurveyDATA!BL:BL,0))=TRUE,"",MATCH(C39,SurveyDATA!BL:BL,0))</f>
        <v/>
      </c>
      <c r="F39" s="92" t="s">
        <v>5965</v>
      </c>
      <c r="G39" s="287" t="str">
        <f>IF(ISERROR(MATCH(F39,SurveyDATA!BN:BN,0))=TRUE,"",MATCH(F39,SurveyDATA!BN:BN,0))</f>
        <v/>
      </c>
      <c r="H39" s="287" t="str">
        <f>IF(ISERROR(MATCH(F39,#REF!,0))=TRUE,"",MATCH(F39,#REF!,0))</f>
        <v/>
      </c>
      <c r="I39" s="287" t="s">
        <v>6907</v>
      </c>
      <c r="J39" s="92" t="str">
        <f>IF(ISERROR(MATCH(I39,SurveyDATA!D:D,0))=TRUE,"",MATCH(I39,SurveyDATA!D:D,0))</f>
        <v/>
      </c>
    </row>
    <row r="40" spans="1:10">
      <c r="A40" s="92" t="s">
        <v>5966</v>
      </c>
      <c r="B40" s="92" t="str">
        <f>IF(ISERROR(MATCH(A40,SurveyDATA!P:P,0))=TRUE,"",MATCH(A40,SurveyDATA!P:P,0))</f>
        <v/>
      </c>
      <c r="C40" s="92" t="s">
        <v>5967</v>
      </c>
      <c r="D40" s="92" t="str">
        <f>IF(ISERROR(MATCH(C40,SurveyDATA!AI:AI,0))=TRUE,"",MATCH(C40,SurveyDATA!AI:AI,0))</f>
        <v/>
      </c>
      <c r="E40" s="287" t="str">
        <f>IF(ISERROR(MATCH(C40,SurveyDATA!BL:BL,0))=TRUE,"",MATCH(C40,SurveyDATA!BL:BL,0))</f>
        <v/>
      </c>
      <c r="F40" s="92" t="s">
        <v>5968</v>
      </c>
      <c r="G40" s="287" t="str">
        <f>IF(ISERROR(MATCH(F40,SurveyDATA!BN:BN,0))=TRUE,"",MATCH(F40,SurveyDATA!BN:BN,0))</f>
        <v/>
      </c>
      <c r="H40" s="287" t="str">
        <f>IF(ISERROR(MATCH(F40,#REF!,0))=TRUE,"",MATCH(F40,#REF!,0))</f>
        <v/>
      </c>
      <c r="I40" s="287" t="s">
        <v>6908</v>
      </c>
      <c r="J40" s="92" t="str">
        <f>IF(ISERROR(MATCH(I40,SurveyDATA!D:D,0))=TRUE,"",MATCH(I40,SurveyDATA!D:D,0))</f>
        <v/>
      </c>
    </row>
    <row r="41" spans="1:10">
      <c r="A41" s="92" t="s">
        <v>5969</v>
      </c>
      <c r="B41" s="92" t="str">
        <f>IF(ISERROR(MATCH(A41,SurveyDATA!P:P,0))=TRUE,"",MATCH(A41,SurveyDATA!P:P,0))</f>
        <v/>
      </c>
      <c r="C41" s="92" t="s">
        <v>5970</v>
      </c>
      <c r="D41" s="92" t="str">
        <f>IF(ISERROR(MATCH(C41,SurveyDATA!AI:AI,0))=TRUE,"",MATCH(C41,SurveyDATA!AI:AI,0))</f>
        <v/>
      </c>
      <c r="E41" s="287" t="str">
        <f>IF(ISERROR(MATCH(C41,SurveyDATA!BL:BL,0))=TRUE,"",MATCH(C41,SurveyDATA!BL:BL,0))</f>
        <v/>
      </c>
      <c r="F41" s="92" t="s">
        <v>5971</v>
      </c>
      <c r="G41" s="287" t="str">
        <f>IF(ISERROR(MATCH(F41,SurveyDATA!BN:BN,0))=TRUE,"",MATCH(F41,SurveyDATA!BN:BN,0))</f>
        <v/>
      </c>
      <c r="H41" s="287" t="str">
        <f>IF(ISERROR(MATCH(F41,#REF!,0))=TRUE,"",MATCH(F41,#REF!,0))</f>
        <v/>
      </c>
      <c r="I41" s="287" t="s">
        <v>6909</v>
      </c>
      <c r="J41" s="92" t="str">
        <f>IF(ISERROR(MATCH(I41,SurveyDATA!D:D,0))=TRUE,"",MATCH(I41,SurveyDATA!D:D,0))</f>
        <v/>
      </c>
    </row>
    <row r="42" spans="1:10">
      <c r="A42" s="92" t="s">
        <v>5972</v>
      </c>
      <c r="B42" s="92" t="str">
        <f>IF(ISERROR(MATCH(A42,SurveyDATA!P:P,0))=TRUE,"",MATCH(A42,SurveyDATA!P:P,0))</f>
        <v/>
      </c>
      <c r="C42" s="92" t="s">
        <v>5973</v>
      </c>
      <c r="D42" s="92" t="str">
        <f>IF(ISERROR(MATCH(C42,SurveyDATA!AI:AI,0))=TRUE,"",MATCH(C42,SurveyDATA!AI:AI,0))</f>
        <v/>
      </c>
      <c r="E42" s="287" t="str">
        <f>IF(ISERROR(MATCH(C42,SurveyDATA!BL:BL,0))=TRUE,"",MATCH(C42,SurveyDATA!BL:BL,0))</f>
        <v/>
      </c>
      <c r="F42" s="92" t="s">
        <v>5974</v>
      </c>
      <c r="G42" s="287" t="str">
        <f>IF(ISERROR(MATCH(F42,SurveyDATA!BN:BN,0))=TRUE,"",MATCH(F42,SurveyDATA!BN:BN,0))</f>
        <v/>
      </c>
      <c r="H42" s="287" t="str">
        <f>IF(ISERROR(MATCH(F42,#REF!,0))=TRUE,"",MATCH(F42,#REF!,0))</f>
        <v/>
      </c>
      <c r="I42" s="287" t="s">
        <v>6910</v>
      </c>
      <c r="J42" s="92" t="str">
        <f>IF(ISERROR(MATCH(I42,SurveyDATA!D:D,0))=TRUE,"",MATCH(I42,SurveyDATA!D:D,0))</f>
        <v/>
      </c>
    </row>
    <row r="43" spans="1:10">
      <c r="A43" s="92" t="s">
        <v>5975</v>
      </c>
      <c r="B43" s="92" t="str">
        <f>IF(ISERROR(MATCH(A43,SurveyDATA!P:P,0))=TRUE,"",MATCH(A43,SurveyDATA!P:P,0))</f>
        <v/>
      </c>
      <c r="C43" s="92" t="s">
        <v>5976</v>
      </c>
      <c r="D43" s="92" t="str">
        <f>IF(ISERROR(MATCH(C43,SurveyDATA!AI:AI,0))=TRUE,"",MATCH(C43,SurveyDATA!AI:AI,0))</f>
        <v/>
      </c>
      <c r="E43" s="287" t="str">
        <f>IF(ISERROR(MATCH(C43,SurveyDATA!BL:BL,0))=TRUE,"",MATCH(C43,SurveyDATA!BL:BL,0))</f>
        <v/>
      </c>
      <c r="F43" s="92" t="s">
        <v>5977</v>
      </c>
      <c r="G43" s="287" t="str">
        <f>IF(ISERROR(MATCH(F43,SurveyDATA!BN:BN,0))=TRUE,"",MATCH(F43,SurveyDATA!BN:BN,0))</f>
        <v/>
      </c>
      <c r="H43" s="287" t="str">
        <f>IF(ISERROR(MATCH(F43,#REF!,0))=TRUE,"",MATCH(F43,#REF!,0))</f>
        <v/>
      </c>
      <c r="I43" s="287" t="s">
        <v>6911</v>
      </c>
      <c r="J43" s="92" t="str">
        <f>IF(ISERROR(MATCH(I43,SurveyDATA!D:D,0))=TRUE,"",MATCH(I43,SurveyDATA!D:D,0))</f>
        <v/>
      </c>
    </row>
    <row r="44" spans="1:10">
      <c r="A44" s="92" t="s">
        <v>5978</v>
      </c>
      <c r="B44" s="92" t="str">
        <f>IF(ISERROR(MATCH(A44,SurveyDATA!P:P,0))=TRUE,"",MATCH(A44,SurveyDATA!P:P,0))</f>
        <v/>
      </c>
      <c r="C44" s="92" t="s">
        <v>5979</v>
      </c>
      <c r="D44" s="92" t="str">
        <f>IF(ISERROR(MATCH(C44,SurveyDATA!AI:AI,0))=TRUE,"",MATCH(C44,SurveyDATA!AI:AI,0))</f>
        <v/>
      </c>
      <c r="E44" s="287" t="str">
        <f>IF(ISERROR(MATCH(C44,SurveyDATA!BL:BL,0))=TRUE,"",MATCH(C44,SurveyDATA!BL:BL,0))</f>
        <v/>
      </c>
      <c r="F44" s="92" t="s">
        <v>5980</v>
      </c>
      <c r="G44" s="287" t="str">
        <f>IF(ISERROR(MATCH(F44,SurveyDATA!BN:BN,0))=TRUE,"",MATCH(F44,SurveyDATA!BN:BN,0))</f>
        <v/>
      </c>
      <c r="H44" s="287" t="str">
        <f>IF(ISERROR(MATCH(F44,#REF!,0))=TRUE,"",MATCH(F44,#REF!,0))</f>
        <v/>
      </c>
      <c r="I44" s="287" t="s">
        <v>6912</v>
      </c>
      <c r="J44" s="92" t="str">
        <f>IF(ISERROR(MATCH(I44,SurveyDATA!D:D,0))=TRUE,"",MATCH(I44,SurveyDATA!D:D,0))</f>
        <v/>
      </c>
    </row>
    <row r="45" spans="1:10">
      <c r="A45" s="92" t="s">
        <v>5981</v>
      </c>
      <c r="B45" s="92" t="str">
        <f>IF(ISERROR(MATCH(A45,SurveyDATA!P:P,0))=TRUE,"",MATCH(A45,SurveyDATA!P:P,0))</f>
        <v/>
      </c>
      <c r="C45" s="92" t="s">
        <v>5982</v>
      </c>
      <c r="D45" s="92" t="str">
        <f>IF(ISERROR(MATCH(C45,SurveyDATA!AI:AI,0))=TRUE,"",MATCH(C45,SurveyDATA!AI:AI,0))</f>
        <v/>
      </c>
      <c r="E45" s="287" t="str">
        <f>IF(ISERROR(MATCH(C45,SurveyDATA!BL:BL,0))=TRUE,"",MATCH(C45,SurveyDATA!BL:BL,0))</f>
        <v/>
      </c>
      <c r="F45" s="92" t="s">
        <v>5983</v>
      </c>
      <c r="G45" s="287" t="str">
        <f>IF(ISERROR(MATCH(F45,SurveyDATA!BN:BN,0))=TRUE,"",MATCH(F45,SurveyDATA!BN:BN,0))</f>
        <v/>
      </c>
      <c r="H45" s="287" t="str">
        <f>IF(ISERROR(MATCH(F45,#REF!,0))=TRUE,"",MATCH(F45,#REF!,0))</f>
        <v/>
      </c>
      <c r="I45" s="287" t="s">
        <v>6913</v>
      </c>
      <c r="J45" s="92" t="str">
        <f>IF(ISERROR(MATCH(I45,SurveyDATA!D:D,0))=TRUE,"",MATCH(I45,SurveyDATA!D:D,0))</f>
        <v/>
      </c>
    </row>
    <row r="46" spans="1:10">
      <c r="A46" s="92" t="s">
        <v>5984</v>
      </c>
      <c r="B46" s="92" t="str">
        <f>IF(ISERROR(MATCH(A46,SurveyDATA!P:P,0))=TRUE,"",MATCH(A46,SurveyDATA!P:P,0))</f>
        <v/>
      </c>
      <c r="C46" s="92" t="s">
        <v>5985</v>
      </c>
      <c r="D46" s="92" t="str">
        <f>IF(ISERROR(MATCH(C46,SurveyDATA!AI:AI,0))=TRUE,"",MATCH(C46,SurveyDATA!AI:AI,0))</f>
        <v/>
      </c>
      <c r="E46" s="287" t="str">
        <f>IF(ISERROR(MATCH(C46,SurveyDATA!BL:BL,0))=TRUE,"",MATCH(C46,SurveyDATA!BL:BL,0))</f>
        <v/>
      </c>
      <c r="F46" s="92" t="s">
        <v>5986</v>
      </c>
      <c r="G46" s="287" t="str">
        <f>IF(ISERROR(MATCH(F46,SurveyDATA!BN:BN,0))=TRUE,"",MATCH(F46,SurveyDATA!BN:BN,0))</f>
        <v/>
      </c>
      <c r="H46" s="287" t="str">
        <f>IF(ISERROR(MATCH(F46,#REF!,0))=TRUE,"",MATCH(F46,#REF!,0))</f>
        <v/>
      </c>
      <c r="I46" s="287" t="s">
        <v>5911</v>
      </c>
      <c r="J46" s="92" t="str">
        <f>IF(ISERROR(MATCH(I46,SurveyDATA!D:D,0))=TRUE,"",MATCH(I46,SurveyDATA!D:D,0))</f>
        <v/>
      </c>
    </row>
    <row r="47" spans="1:10">
      <c r="A47" s="92" t="s">
        <v>5987</v>
      </c>
      <c r="B47" s="92" t="str">
        <f>IF(ISERROR(MATCH(A47,SurveyDATA!P:P,0))=TRUE,"",MATCH(A47,SurveyDATA!P:P,0))</f>
        <v/>
      </c>
      <c r="C47" s="92" t="s">
        <v>5988</v>
      </c>
      <c r="D47" s="92" t="str">
        <f>IF(ISERROR(MATCH(C47,SurveyDATA!AI:AI,0))=TRUE,"",MATCH(C47,SurveyDATA!AI:AI,0))</f>
        <v/>
      </c>
      <c r="E47" s="287" t="str">
        <f>IF(ISERROR(MATCH(C47,SurveyDATA!BL:BL,0))=TRUE,"",MATCH(C47,SurveyDATA!BL:BL,0))</f>
        <v/>
      </c>
      <c r="F47" s="92" t="s">
        <v>5989</v>
      </c>
      <c r="G47" s="287" t="str">
        <f>IF(ISERROR(MATCH(F47,SurveyDATA!BN:BN,0))=TRUE,"",MATCH(F47,SurveyDATA!BN:BN,0))</f>
        <v/>
      </c>
      <c r="H47" s="287" t="str">
        <f>IF(ISERROR(MATCH(F47,#REF!,0))=TRUE,"",MATCH(F47,#REF!,0))</f>
        <v/>
      </c>
      <c r="I47" s="287" t="s">
        <v>6914</v>
      </c>
      <c r="J47" s="92" t="str">
        <f>IF(ISERROR(MATCH(I47,SurveyDATA!D:D,0))=TRUE,"",MATCH(I47,SurveyDATA!D:D,0))</f>
        <v/>
      </c>
    </row>
    <row r="48" spans="1:10">
      <c r="A48" s="92" t="s">
        <v>5990</v>
      </c>
      <c r="B48" s="92" t="str">
        <f>IF(ISERROR(MATCH(A48,SurveyDATA!P:P,0))=TRUE,"",MATCH(A48,SurveyDATA!P:P,0))</f>
        <v/>
      </c>
      <c r="C48" s="92" t="s">
        <v>5991</v>
      </c>
      <c r="D48" s="92" t="str">
        <f>IF(ISERROR(MATCH(C48,SurveyDATA!AI:AI,0))=TRUE,"",MATCH(C48,SurveyDATA!AI:AI,0))</f>
        <v/>
      </c>
      <c r="E48" s="287" t="str">
        <f>IF(ISERROR(MATCH(C48,SurveyDATA!BL:BL,0))=TRUE,"",MATCH(C48,SurveyDATA!BL:BL,0))</f>
        <v/>
      </c>
      <c r="F48" s="92" t="s">
        <v>5992</v>
      </c>
      <c r="G48" s="287" t="str">
        <f>IF(ISERROR(MATCH(F48,SurveyDATA!BN:BN,0))=TRUE,"",MATCH(F48,SurveyDATA!BN:BN,0))</f>
        <v/>
      </c>
      <c r="H48" s="287" t="str">
        <f>IF(ISERROR(MATCH(F48,#REF!,0))=TRUE,"",MATCH(F48,#REF!,0))</f>
        <v/>
      </c>
      <c r="I48" s="287" t="s">
        <v>5911</v>
      </c>
      <c r="J48" s="92" t="str">
        <f>IF(ISERROR(MATCH(I48,SurveyDATA!D:D,0))=TRUE,"",MATCH(I48,SurveyDATA!D:D,0))</f>
        <v/>
      </c>
    </row>
    <row r="49" spans="1:10">
      <c r="A49" s="92" t="s">
        <v>5993</v>
      </c>
      <c r="B49" s="92" t="str">
        <f>IF(ISERROR(MATCH(A49,SurveyDATA!P:P,0))=TRUE,"",MATCH(A49,SurveyDATA!P:P,0))</f>
        <v/>
      </c>
      <c r="C49" s="92" t="s">
        <v>5994</v>
      </c>
      <c r="D49" s="92" t="str">
        <f>IF(ISERROR(MATCH(C49,SurveyDATA!AI:AI,0))=TRUE,"",MATCH(C49,SurveyDATA!AI:AI,0))</f>
        <v/>
      </c>
      <c r="E49" s="287" t="str">
        <f>IF(ISERROR(MATCH(C49,SurveyDATA!BL:BL,0))=TRUE,"",MATCH(C49,SurveyDATA!BL:BL,0))</f>
        <v/>
      </c>
      <c r="F49" s="92" t="s">
        <v>5995</v>
      </c>
      <c r="G49" s="287" t="str">
        <f>IF(ISERROR(MATCH(F49,SurveyDATA!BN:BN,0))=TRUE,"",MATCH(F49,SurveyDATA!BN:BN,0))</f>
        <v/>
      </c>
      <c r="H49" s="287" t="str">
        <f>IF(ISERROR(MATCH(F49,#REF!,0))=TRUE,"",MATCH(F49,#REF!,0))</f>
        <v/>
      </c>
      <c r="I49" s="287" t="s">
        <v>6915</v>
      </c>
      <c r="J49" s="92" t="str">
        <f>IF(ISERROR(MATCH(I49,SurveyDATA!D:D,0))=TRUE,"",MATCH(I49,SurveyDATA!D:D,0))</f>
        <v/>
      </c>
    </row>
    <row r="50" spans="1:10">
      <c r="A50" s="92" t="s">
        <v>5996</v>
      </c>
      <c r="B50" s="92" t="str">
        <f>IF(ISERROR(MATCH(A50,SurveyDATA!P:P,0))=TRUE,"",MATCH(A50,SurveyDATA!P:P,0))</f>
        <v/>
      </c>
      <c r="C50" s="92" t="s">
        <v>5997</v>
      </c>
      <c r="D50" s="92" t="str">
        <f>IF(ISERROR(MATCH(C50,SurveyDATA!AI:AI,0))=TRUE,"",MATCH(C50,SurveyDATA!AI:AI,0))</f>
        <v/>
      </c>
      <c r="E50" s="287" t="str">
        <f>IF(ISERROR(MATCH(C50,SurveyDATA!BL:BL,0))=TRUE,"",MATCH(C50,SurveyDATA!BL:BL,0))</f>
        <v/>
      </c>
      <c r="F50" s="92" t="s">
        <v>5998</v>
      </c>
      <c r="G50" s="287" t="str">
        <f>IF(ISERROR(MATCH(F50,SurveyDATA!BN:BN,0))=TRUE,"",MATCH(F50,SurveyDATA!BN:BN,0))</f>
        <v/>
      </c>
      <c r="H50" s="287" t="str">
        <f>IF(ISERROR(MATCH(F50,#REF!,0))=TRUE,"",MATCH(F50,#REF!,0))</f>
        <v/>
      </c>
      <c r="I50" s="287" t="s">
        <v>6916</v>
      </c>
      <c r="J50" s="92" t="str">
        <f>IF(ISERROR(MATCH(I50,SurveyDATA!D:D,0))=TRUE,"",MATCH(I50,SurveyDATA!D:D,0))</f>
        <v/>
      </c>
    </row>
    <row r="51" spans="1:10">
      <c r="A51" s="92" t="s">
        <v>5999</v>
      </c>
      <c r="B51" s="92" t="str">
        <f>IF(ISERROR(MATCH(A51,SurveyDATA!P:P,0))=TRUE,"",MATCH(A51,SurveyDATA!P:P,0))</f>
        <v/>
      </c>
      <c r="C51" s="92" t="s">
        <v>6000</v>
      </c>
      <c r="D51" s="92" t="str">
        <f>IF(ISERROR(MATCH(C51,SurveyDATA!AI:AI,0))=TRUE,"",MATCH(C51,SurveyDATA!AI:AI,0))</f>
        <v/>
      </c>
      <c r="E51" s="287" t="str">
        <f>IF(ISERROR(MATCH(C51,SurveyDATA!BL:BL,0))=TRUE,"",MATCH(C51,SurveyDATA!BL:BL,0))</f>
        <v/>
      </c>
      <c r="F51" s="92" t="s">
        <v>6001</v>
      </c>
      <c r="G51" s="287" t="str">
        <f>IF(ISERROR(MATCH(F51,SurveyDATA!BN:BN,0))=TRUE,"",MATCH(F51,SurveyDATA!BN:BN,0))</f>
        <v/>
      </c>
      <c r="H51" s="287" t="str">
        <f>IF(ISERROR(MATCH(F51,#REF!,0))=TRUE,"",MATCH(F51,#REF!,0))</f>
        <v/>
      </c>
      <c r="I51" s="287" t="s">
        <v>6917</v>
      </c>
      <c r="J51" s="92" t="str">
        <f>IF(ISERROR(MATCH(I51,SurveyDATA!D:D,0))=TRUE,"",MATCH(I51,SurveyDATA!D:D,0))</f>
        <v/>
      </c>
    </row>
    <row r="52" spans="1:10">
      <c r="A52" s="92" t="s">
        <v>6002</v>
      </c>
      <c r="B52" s="92" t="str">
        <f>IF(ISERROR(MATCH(A52,SurveyDATA!P:P,0))=TRUE,"",MATCH(A52,SurveyDATA!P:P,0))</f>
        <v/>
      </c>
      <c r="C52" s="92" t="s">
        <v>6003</v>
      </c>
      <c r="D52" s="92" t="str">
        <f>IF(ISERROR(MATCH(C52,SurveyDATA!AI:AI,0))=TRUE,"",MATCH(C52,SurveyDATA!AI:AI,0))</f>
        <v/>
      </c>
      <c r="E52" s="287" t="str">
        <f>IF(ISERROR(MATCH(C52,SurveyDATA!BL:BL,0))=TRUE,"",MATCH(C52,SurveyDATA!BL:BL,0))</f>
        <v/>
      </c>
      <c r="F52" s="92" t="s">
        <v>6004</v>
      </c>
      <c r="G52" s="287" t="str">
        <f>IF(ISERROR(MATCH(F52,SurveyDATA!BN:BN,0))=TRUE,"",MATCH(F52,SurveyDATA!BN:BN,0))</f>
        <v/>
      </c>
      <c r="H52" s="287" t="str">
        <f>IF(ISERROR(MATCH(F52,#REF!,0))=TRUE,"",MATCH(F52,#REF!,0))</f>
        <v/>
      </c>
      <c r="I52" s="287" t="s">
        <v>6918</v>
      </c>
      <c r="J52" s="92" t="str">
        <f>IF(ISERROR(MATCH(I52,SurveyDATA!D:D,0))=TRUE,"",MATCH(I52,SurveyDATA!D:D,0))</f>
        <v/>
      </c>
    </row>
    <row r="53" spans="1:10">
      <c r="A53" s="92" t="s">
        <v>6005</v>
      </c>
      <c r="B53" s="92" t="str">
        <f>IF(ISERROR(MATCH(A53,SurveyDATA!P:P,0))=TRUE,"",MATCH(A53,SurveyDATA!P:P,0))</f>
        <v/>
      </c>
      <c r="C53" s="92" t="s">
        <v>6006</v>
      </c>
      <c r="D53" s="92" t="str">
        <f>IF(ISERROR(MATCH(C53,SurveyDATA!AI:AI,0))=TRUE,"",MATCH(C53,SurveyDATA!AI:AI,0))</f>
        <v/>
      </c>
      <c r="E53" s="287" t="str">
        <f>IF(ISERROR(MATCH(C53,SurveyDATA!BL:BL,0))=TRUE,"",MATCH(C53,SurveyDATA!BL:BL,0))</f>
        <v/>
      </c>
      <c r="F53" s="92" t="s">
        <v>6007</v>
      </c>
      <c r="G53" s="287" t="str">
        <f>IF(ISERROR(MATCH(F53,SurveyDATA!BN:BN,0))=TRUE,"",MATCH(F53,SurveyDATA!BN:BN,0))</f>
        <v/>
      </c>
      <c r="H53" s="287" t="str">
        <f>IF(ISERROR(MATCH(F53,#REF!,0))=TRUE,"",MATCH(F53,#REF!,0))</f>
        <v/>
      </c>
      <c r="I53" s="287" t="s">
        <v>6919</v>
      </c>
      <c r="J53" s="92" t="str">
        <f>IF(ISERROR(MATCH(I53,SurveyDATA!D:D,0))=TRUE,"",MATCH(I53,SurveyDATA!D:D,0))</f>
        <v/>
      </c>
    </row>
    <row r="54" spans="1:10">
      <c r="A54" s="92" t="s">
        <v>6008</v>
      </c>
      <c r="B54" s="92" t="str">
        <f>IF(ISERROR(MATCH(A54,SurveyDATA!P:P,0))=TRUE,"",MATCH(A54,SurveyDATA!P:P,0))</f>
        <v/>
      </c>
      <c r="C54" s="92" t="s">
        <v>6009</v>
      </c>
      <c r="D54" s="92" t="str">
        <f>IF(ISERROR(MATCH(C54,SurveyDATA!AI:AI,0))=TRUE,"",MATCH(C54,SurveyDATA!AI:AI,0))</f>
        <v/>
      </c>
      <c r="E54" s="287" t="str">
        <f>IF(ISERROR(MATCH(C54,SurveyDATA!BL:BL,0))=TRUE,"",MATCH(C54,SurveyDATA!BL:BL,0))</f>
        <v/>
      </c>
      <c r="F54" s="92" t="s">
        <v>6010</v>
      </c>
      <c r="G54" s="287" t="str">
        <f>IF(ISERROR(MATCH(F54,SurveyDATA!BN:BN,0))=TRUE,"",MATCH(F54,SurveyDATA!BN:BN,0))</f>
        <v/>
      </c>
      <c r="H54" s="287" t="str">
        <f>IF(ISERROR(MATCH(F54,#REF!,0))=TRUE,"",MATCH(F54,#REF!,0))</f>
        <v/>
      </c>
      <c r="I54" s="287" t="s">
        <v>5911</v>
      </c>
      <c r="J54" s="92" t="str">
        <f>IF(ISERROR(MATCH(I54,SurveyDATA!D:D,0))=TRUE,"",MATCH(I54,SurveyDATA!D:D,0))</f>
        <v/>
      </c>
    </row>
    <row r="55" spans="1:10">
      <c r="A55" s="92" t="s">
        <v>6011</v>
      </c>
      <c r="B55" s="92" t="str">
        <f>IF(ISERROR(MATCH(A55,SurveyDATA!P:P,0))=TRUE,"",MATCH(A55,SurveyDATA!P:P,0))</f>
        <v/>
      </c>
      <c r="C55" s="92" t="s">
        <v>6012</v>
      </c>
      <c r="D55" s="92" t="str">
        <f>IF(ISERROR(MATCH(C55,SurveyDATA!AI:AI,0))=TRUE,"",MATCH(C55,SurveyDATA!AI:AI,0))</f>
        <v/>
      </c>
      <c r="E55" s="287" t="str">
        <f>IF(ISERROR(MATCH(C55,SurveyDATA!BL:BL,0))=TRUE,"",MATCH(C55,SurveyDATA!BL:BL,0))</f>
        <v/>
      </c>
      <c r="F55" s="92" t="s">
        <v>6013</v>
      </c>
      <c r="G55" s="287" t="str">
        <f>IF(ISERROR(MATCH(F55,SurveyDATA!BN:BN,0))=TRUE,"",MATCH(F55,SurveyDATA!BN:BN,0))</f>
        <v/>
      </c>
      <c r="H55" s="287" t="str">
        <f>IF(ISERROR(MATCH(F55,#REF!,0))=TRUE,"",MATCH(F55,#REF!,0))</f>
        <v/>
      </c>
      <c r="I55" s="287" t="s">
        <v>6920</v>
      </c>
      <c r="J55" s="92" t="str">
        <f>IF(ISERROR(MATCH(I55,SurveyDATA!D:D,0))=TRUE,"",MATCH(I55,SurveyDATA!D:D,0))</f>
        <v/>
      </c>
    </row>
    <row r="56" spans="1:10">
      <c r="A56" s="92" t="s">
        <v>6014</v>
      </c>
      <c r="B56" s="92" t="str">
        <f>IF(ISERROR(MATCH(A56,SurveyDATA!P:P,0))=TRUE,"",MATCH(A56,SurveyDATA!P:P,0))</f>
        <v/>
      </c>
      <c r="C56" s="92" t="s">
        <v>6015</v>
      </c>
      <c r="D56" s="92" t="str">
        <f>IF(ISERROR(MATCH(C56,SurveyDATA!AI:AI,0))=TRUE,"",MATCH(C56,SurveyDATA!AI:AI,0))</f>
        <v/>
      </c>
      <c r="E56" s="287" t="str">
        <f>IF(ISERROR(MATCH(C56,SurveyDATA!BL:BL,0))=TRUE,"",MATCH(C56,SurveyDATA!BL:BL,0))</f>
        <v/>
      </c>
      <c r="F56" s="92" t="s">
        <v>6016</v>
      </c>
      <c r="G56" s="287" t="str">
        <f>IF(ISERROR(MATCH(F56,SurveyDATA!BN:BN,0))=TRUE,"",MATCH(F56,SurveyDATA!BN:BN,0))</f>
        <v/>
      </c>
      <c r="H56" s="287" t="str">
        <f>IF(ISERROR(MATCH(F56,#REF!,0))=TRUE,"",MATCH(F56,#REF!,0))</f>
        <v/>
      </c>
      <c r="I56" s="287" t="s">
        <v>6921</v>
      </c>
      <c r="J56" s="92" t="str">
        <f>IF(ISERROR(MATCH(I56,SurveyDATA!D:D,0))=TRUE,"",MATCH(I56,SurveyDATA!D:D,0))</f>
        <v/>
      </c>
    </row>
    <row r="57" spans="1:10">
      <c r="A57" s="92" t="s">
        <v>6017</v>
      </c>
      <c r="B57" s="92" t="str">
        <f>IF(ISERROR(MATCH(A57,SurveyDATA!P:P,0))=TRUE,"",MATCH(A57,SurveyDATA!P:P,0))</f>
        <v/>
      </c>
      <c r="C57" s="92" t="s">
        <v>6018</v>
      </c>
      <c r="D57" s="92" t="str">
        <f>IF(ISERROR(MATCH(C57,SurveyDATA!AI:AI,0))=TRUE,"",MATCH(C57,SurveyDATA!AI:AI,0))</f>
        <v/>
      </c>
      <c r="E57" s="287" t="str">
        <f>IF(ISERROR(MATCH(C57,SurveyDATA!BL:BL,0))=TRUE,"",MATCH(C57,SurveyDATA!BL:BL,0))</f>
        <v/>
      </c>
      <c r="F57" s="92" t="s">
        <v>6019</v>
      </c>
      <c r="G57" s="287" t="str">
        <f>IF(ISERROR(MATCH(F57,SurveyDATA!BN:BN,0))=TRUE,"",MATCH(F57,SurveyDATA!BN:BN,0))</f>
        <v/>
      </c>
      <c r="H57" s="287" t="str">
        <f>IF(ISERROR(MATCH(F57,#REF!,0))=TRUE,"",MATCH(F57,#REF!,0))</f>
        <v/>
      </c>
      <c r="I57" s="287" t="s">
        <v>6922</v>
      </c>
      <c r="J57" s="92" t="str">
        <f>IF(ISERROR(MATCH(I57,SurveyDATA!D:D,0))=TRUE,"",MATCH(I57,SurveyDATA!D:D,0))</f>
        <v/>
      </c>
    </row>
    <row r="58" spans="1:10">
      <c r="A58" s="92" t="s">
        <v>6020</v>
      </c>
      <c r="B58" s="92" t="str">
        <f>IF(ISERROR(MATCH(A58,SurveyDATA!P:P,0))=TRUE,"",MATCH(A58,SurveyDATA!P:P,0))</f>
        <v/>
      </c>
      <c r="C58" s="92" t="s">
        <v>6021</v>
      </c>
      <c r="D58" s="92" t="str">
        <f>IF(ISERROR(MATCH(C58,SurveyDATA!AI:AI,0))=TRUE,"",MATCH(C58,SurveyDATA!AI:AI,0))</f>
        <v/>
      </c>
      <c r="E58" s="287" t="str">
        <f>IF(ISERROR(MATCH(C58,SurveyDATA!BL:BL,0))=TRUE,"",MATCH(C58,SurveyDATA!BL:BL,0))</f>
        <v/>
      </c>
      <c r="F58" s="92" t="s">
        <v>6022</v>
      </c>
      <c r="G58" s="287" t="str">
        <f>IF(ISERROR(MATCH(F58,SurveyDATA!BN:BN,0))=TRUE,"",MATCH(F58,SurveyDATA!BN:BN,0))</f>
        <v/>
      </c>
      <c r="H58" s="287" t="str">
        <f>IF(ISERROR(MATCH(F58,#REF!,0))=TRUE,"",MATCH(F58,#REF!,0))</f>
        <v/>
      </c>
      <c r="I58" s="287" t="s">
        <v>6923</v>
      </c>
      <c r="J58" s="92" t="str">
        <f>IF(ISERROR(MATCH(I58,SurveyDATA!D:D,0))=TRUE,"",MATCH(I58,SurveyDATA!D:D,0))</f>
        <v/>
      </c>
    </row>
    <row r="59" spans="1:10">
      <c r="A59" s="92" t="s">
        <v>6023</v>
      </c>
      <c r="B59" s="92" t="str">
        <f>IF(ISERROR(MATCH(A59,SurveyDATA!P:P,0))=TRUE,"",MATCH(A59,SurveyDATA!P:P,0))</f>
        <v/>
      </c>
      <c r="C59" s="92" t="s">
        <v>6024</v>
      </c>
      <c r="D59" s="92" t="str">
        <f>IF(ISERROR(MATCH(C59,SurveyDATA!AI:AI,0))=TRUE,"",MATCH(C59,SurveyDATA!AI:AI,0))</f>
        <v/>
      </c>
      <c r="E59" s="287" t="str">
        <f>IF(ISERROR(MATCH(C59,SurveyDATA!BL:BL,0))=TRUE,"",MATCH(C59,SurveyDATA!BL:BL,0))</f>
        <v/>
      </c>
      <c r="F59" s="92" t="s">
        <v>6025</v>
      </c>
      <c r="G59" s="287" t="str">
        <f>IF(ISERROR(MATCH(F59,SurveyDATA!BN:BN,0))=TRUE,"",MATCH(F59,SurveyDATA!BN:BN,0))</f>
        <v/>
      </c>
      <c r="H59" s="287" t="str">
        <f>IF(ISERROR(MATCH(F59,#REF!,0))=TRUE,"",MATCH(F59,#REF!,0))</f>
        <v/>
      </c>
      <c r="I59" s="287" t="s">
        <v>6924</v>
      </c>
      <c r="J59" s="92" t="str">
        <f>IF(ISERROR(MATCH(I59,SurveyDATA!D:D,0))=TRUE,"",MATCH(I59,SurveyDATA!D:D,0))</f>
        <v/>
      </c>
    </row>
    <row r="60" spans="1:10">
      <c r="A60" s="92" t="s">
        <v>6026</v>
      </c>
      <c r="B60" s="92" t="str">
        <f>IF(ISERROR(MATCH(A60,SurveyDATA!P:P,0))=TRUE,"",MATCH(A60,SurveyDATA!P:P,0))</f>
        <v/>
      </c>
      <c r="C60" s="92" t="s">
        <v>6027</v>
      </c>
      <c r="D60" s="92" t="str">
        <f>IF(ISERROR(MATCH(C60,SurveyDATA!AI:AI,0))=TRUE,"",MATCH(C60,SurveyDATA!AI:AI,0))</f>
        <v/>
      </c>
      <c r="E60" s="287" t="str">
        <f>IF(ISERROR(MATCH(C60,SurveyDATA!BL:BL,0))=TRUE,"",MATCH(C60,SurveyDATA!BL:BL,0))</f>
        <v/>
      </c>
      <c r="F60" s="92" t="s">
        <v>6028</v>
      </c>
      <c r="G60" s="287" t="str">
        <f>IF(ISERROR(MATCH(F60,SurveyDATA!BN:BN,0))=TRUE,"",MATCH(F60,SurveyDATA!BN:BN,0))</f>
        <v/>
      </c>
      <c r="H60" s="287" t="str">
        <f>IF(ISERROR(MATCH(F60,#REF!,0))=TRUE,"",MATCH(F60,#REF!,0))</f>
        <v/>
      </c>
      <c r="I60" s="287" t="s">
        <v>5911</v>
      </c>
      <c r="J60" s="92" t="str">
        <f>IF(ISERROR(MATCH(I60,SurveyDATA!D:D,0))=TRUE,"",MATCH(I60,SurveyDATA!D:D,0))</f>
        <v/>
      </c>
    </row>
    <row r="61" spans="1:10">
      <c r="A61" s="92" t="s">
        <v>6029</v>
      </c>
      <c r="B61" s="92" t="str">
        <f>IF(ISERROR(MATCH(A61,SurveyDATA!P:P,0))=TRUE,"",MATCH(A61,SurveyDATA!P:P,0))</f>
        <v/>
      </c>
      <c r="C61" s="92" t="s">
        <v>6030</v>
      </c>
      <c r="D61" s="92" t="str">
        <f>IF(ISERROR(MATCH(C61,SurveyDATA!AI:AI,0))=TRUE,"",MATCH(C61,SurveyDATA!AI:AI,0))</f>
        <v/>
      </c>
      <c r="E61" s="287" t="str">
        <f>IF(ISERROR(MATCH(C61,SurveyDATA!BL:BL,0))=TRUE,"",MATCH(C61,SurveyDATA!BL:BL,0))</f>
        <v/>
      </c>
      <c r="F61" s="92" t="s">
        <v>6031</v>
      </c>
      <c r="G61" s="287" t="str">
        <f>IF(ISERROR(MATCH(F61,SurveyDATA!BN:BN,0))=TRUE,"",MATCH(F61,SurveyDATA!BN:BN,0))</f>
        <v/>
      </c>
      <c r="H61" s="287" t="str">
        <f>IF(ISERROR(MATCH(F61,#REF!,0))=TRUE,"",MATCH(F61,#REF!,0))</f>
        <v/>
      </c>
      <c r="I61" s="287" t="s">
        <v>6925</v>
      </c>
      <c r="J61" s="92" t="str">
        <f>IF(ISERROR(MATCH(I61,SurveyDATA!D:D,0))=TRUE,"",MATCH(I61,SurveyDATA!D:D,0))</f>
        <v/>
      </c>
    </row>
    <row r="62" spans="1:10">
      <c r="A62" s="92" t="s">
        <v>6032</v>
      </c>
      <c r="B62" s="92" t="str">
        <f>IF(ISERROR(MATCH(A62,SurveyDATA!P:P,0))=TRUE,"",MATCH(A62,SurveyDATA!P:P,0))</f>
        <v/>
      </c>
      <c r="C62" s="92" t="s">
        <v>6033</v>
      </c>
      <c r="D62" s="92" t="str">
        <f>IF(ISERROR(MATCH(C62,SurveyDATA!AI:AI,0))=TRUE,"",MATCH(C62,SurveyDATA!AI:AI,0))</f>
        <v/>
      </c>
      <c r="E62" s="287" t="str">
        <f>IF(ISERROR(MATCH(C62,SurveyDATA!BL:BL,0))=TRUE,"",MATCH(C62,SurveyDATA!BL:BL,0))</f>
        <v/>
      </c>
      <c r="F62" s="92" t="s">
        <v>6034</v>
      </c>
      <c r="G62" s="287" t="str">
        <f>IF(ISERROR(MATCH(F62,SurveyDATA!BN:BN,0))=TRUE,"",MATCH(F62,SurveyDATA!BN:BN,0))</f>
        <v/>
      </c>
      <c r="H62" s="287" t="str">
        <f>IF(ISERROR(MATCH(F62,#REF!,0))=TRUE,"",MATCH(F62,#REF!,0))</f>
        <v/>
      </c>
      <c r="I62" s="287" t="s">
        <v>5911</v>
      </c>
      <c r="J62" s="92" t="str">
        <f>IF(ISERROR(MATCH(I62,SurveyDATA!D:D,0))=TRUE,"",MATCH(I62,SurveyDATA!D:D,0))</f>
        <v/>
      </c>
    </row>
    <row r="63" spans="1:10">
      <c r="A63" s="92" t="s">
        <v>6035</v>
      </c>
      <c r="B63" s="92" t="str">
        <f>IF(ISERROR(MATCH(A63,SurveyDATA!P:P,0))=TRUE,"",MATCH(A63,SurveyDATA!P:P,0))</f>
        <v/>
      </c>
      <c r="C63" s="92" t="s">
        <v>6036</v>
      </c>
      <c r="D63" s="92" t="str">
        <f>IF(ISERROR(MATCH(C63,SurveyDATA!AI:AI,0))=TRUE,"",MATCH(C63,SurveyDATA!AI:AI,0))</f>
        <v/>
      </c>
      <c r="E63" s="287" t="str">
        <f>IF(ISERROR(MATCH(C63,SurveyDATA!BL:BL,0))=TRUE,"",MATCH(C63,SurveyDATA!BL:BL,0))</f>
        <v/>
      </c>
      <c r="F63" s="92" t="s">
        <v>6037</v>
      </c>
      <c r="G63" s="287" t="str">
        <f>IF(ISERROR(MATCH(F63,SurveyDATA!BN:BN,0))=TRUE,"",MATCH(F63,SurveyDATA!BN:BN,0))</f>
        <v/>
      </c>
      <c r="H63" s="287" t="str">
        <f>IF(ISERROR(MATCH(F63,#REF!,0))=TRUE,"",MATCH(F63,#REF!,0))</f>
        <v/>
      </c>
      <c r="I63" s="287" t="s">
        <v>6926</v>
      </c>
      <c r="J63" s="92" t="str">
        <f>IF(ISERROR(MATCH(I63,SurveyDATA!D:D,0))=TRUE,"",MATCH(I63,SurveyDATA!D:D,0))</f>
        <v/>
      </c>
    </row>
    <row r="64" spans="1:10">
      <c r="A64" s="567" t="s">
        <v>6038</v>
      </c>
      <c r="B64" s="567">
        <f>IF(ISERROR(MATCH(A64,SurveyDATA!P:P,0))=TRUE,"",MATCH(A64,SurveyDATA!P:P,0))</f>
        <v>533</v>
      </c>
      <c r="C64" s="567" t="s">
        <v>6039</v>
      </c>
      <c r="D64" s="567" t="str">
        <f>IF(ISERROR(MATCH(C64,SurveyDATA!AI:AI,0))=TRUE,"",MATCH(C64,SurveyDATA!AI:AI,0))</f>
        <v/>
      </c>
      <c r="E64" s="568">
        <f>IF(ISERROR(MATCH(C64,SurveyDATA!BL:BL,0))=TRUE,"",MATCH(C64,SurveyDATA!BL:BL,0))</f>
        <v>533</v>
      </c>
      <c r="F64" s="567" t="s">
        <v>6040</v>
      </c>
      <c r="G64" s="568" t="str">
        <f>IF(ISERROR(MATCH(F64,SurveyDATA!BN:BN,0))=TRUE,"",MATCH(F64,SurveyDATA!BN:BN,0))</f>
        <v/>
      </c>
      <c r="H64" s="568" t="str">
        <f>IF(ISERROR(MATCH(F64,#REF!,0))=TRUE,"",MATCH(F64,#REF!,0))</f>
        <v/>
      </c>
      <c r="I64" s="568" t="s">
        <v>6927</v>
      </c>
      <c r="J64" s="567" t="str">
        <f>IF(ISERROR(MATCH(I64,SurveyDATA!D:D,0))=TRUE,"",MATCH(I64,SurveyDATA!D:D,0))</f>
        <v/>
      </c>
    </row>
    <row r="65" spans="1:10">
      <c r="A65" s="92" t="s">
        <v>6041</v>
      </c>
      <c r="B65" s="92" t="str">
        <f>IF(ISERROR(MATCH(A65,SurveyDATA!P:P,0))=TRUE,"",MATCH(A65,SurveyDATA!P:P,0))</f>
        <v/>
      </c>
      <c r="C65" s="92" t="s">
        <v>6042</v>
      </c>
      <c r="D65" s="92" t="str">
        <f>IF(ISERROR(MATCH(C65,SurveyDATA!AI:AI,0))=TRUE,"",MATCH(C65,SurveyDATA!AI:AI,0))</f>
        <v/>
      </c>
      <c r="E65" s="287" t="str">
        <f>IF(ISERROR(MATCH(C65,SurveyDATA!BL:BL,0))=TRUE,"",MATCH(C65,SurveyDATA!BL:BL,0))</f>
        <v/>
      </c>
      <c r="F65" s="92" t="s">
        <v>6043</v>
      </c>
      <c r="G65" s="287" t="str">
        <f>IF(ISERROR(MATCH(F65,SurveyDATA!BN:BN,0))=TRUE,"",MATCH(F65,SurveyDATA!BN:BN,0))</f>
        <v/>
      </c>
      <c r="H65" s="287" t="str">
        <f>IF(ISERROR(MATCH(F65,#REF!,0))=TRUE,"",MATCH(F65,#REF!,0))</f>
        <v/>
      </c>
      <c r="I65" s="287" t="s">
        <v>6928</v>
      </c>
      <c r="J65" s="92" t="str">
        <f>IF(ISERROR(MATCH(I65,SurveyDATA!D:D,0))=TRUE,"",MATCH(I65,SurveyDATA!D:D,0))</f>
        <v/>
      </c>
    </row>
    <row r="66" spans="1:10">
      <c r="A66" s="92" t="s">
        <v>6044</v>
      </c>
      <c r="B66" s="92" t="str">
        <f>IF(ISERROR(MATCH(A66,SurveyDATA!P:P,0))=TRUE,"",MATCH(A66,SurveyDATA!P:P,0))</f>
        <v/>
      </c>
      <c r="C66" s="92" t="s">
        <v>6045</v>
      </c>
      <c r="D66" s="92" t="str">
        <f>IF(ISERROR(MATCH(C66,SurveyDATA!AI:AI,0))=TRUE,"",MATCH(C66,SurveyDATA!AI:AI,0))</f>
        <v/>
      </c>
      <c r="E66" s="287" t="str">
        <f>IF(ISERROR(MATCH(C66,SurveyDATA!BL:BL,0))=TRUE,"",MATCH(C66,SurveyDATA!BL:BL,0))</f>
        <v/>
      </c>
      <c r="F66" s="92" t="s">
        <v>6046</v>
      </c>
      <c r="G66" s="287" t="str">
        <f>IF(ISERROR(MATCH(F66,SurveyDATA!BN:BN,0))=TRUE,"",MATCH(F66,SurveyDATA!BN:BN,0))</f>
        <v/>
      </c>
      <c r="H66" s="287" t="str">
        <f>IF(ISERROR(MATCH(F66,#REF!,0))=TRUE,"",MATCH(F66,#REF!,0))</f>
        <v/>
      </c>
      <c r="I66" s="287" t="s">
        <v>6929</v>
      </c>
      <c r="J66" s="92" t="str">
        <f>IF(ISERROR(MATCH(I66,SurveyDATA!D:D,0))=TRUE,"",MATCH(I66,SurveyDATA!D:D,0))</f>
        <v/>
      </c>
    </row>
    <row r="67" spans="1:10">
      <c r="A67" s="92" t="s">
        <v>6047</v>
      </c>
      <c r="B67" s="92" t="str">
        <f>IF(ISERROR(MATCH(A67,SurveyDATA!P:P,0))=TRUE,"",MATCH(A67,SurveyDATA!P:P,0))</f>
        <v/>
      </c>
      <c r="C67" s="92" t="s">
        <v>6048</v>
      </c>
      <c r="D67" s="92" t="str">
        <f>IF(ISERROR(MATCH(C67,SurveyDATA!AI:AI,0))=TRUE,"",MATCH(C67,SurveyDATA!AI:AI,0))</f>
        <v/>
      </c>
      <c r="E67" s="287" t="str">
        <f>IF(ISERROR(MATCH(C67,SurveyDATA!BL:BL,0))=TRUE,"",MATCH(C67,SurveyDATA!BL:BL,0))</f>
        <v/>
      </c>
      <c r="F67" s="92" t="s">
        <v>6049</v>
      </c>
      <c r="G67" s="287" t="str">
        <f>IF(ISERROR(MATCH(F67,SurveyDATA!BN:BN,0))=TRUE,"",MATCH(F67,SurveyDATA!BN:BN,0))</f>
        <v/>
      </c>
      <c r="H67" s="287" t="str">
        <f>IF(ISERROR(MATCH(F67,#REF!,0))=TRUE,"",MATCH(F67,#REF!,0))</f>
        <v/>
      </c>
      <c r="I67" s="287" t="s">
        <v>6930</v>
      </c>
      <c r="J67" s="92" t="str">
        <f>IF(ISERROR(MATCH(I67,SurveyDATA!D:D,0))=TRUE,"",MATCH(I67,SurveyDATA!D:D,0))</f>
        <v/>
      </c>
    </row>
    <row r="68" spans="1:10">
      <c r="A68" s="92" t="s">
        <v>6050</v>
      </c>
      <c r="B68" s="92" t="str">
        <f>IF(ISERROR(MATCH(A68,SurveyDATA!P:P,0))=TRUE,"",MATCH(A68,SurveyDATA!P:P,0))</f>
        <v/>
      </c>
      <c r="C68" s="92" t="s">
        <v>6051</v>
      </c>
      <c r="D68" s="92" t="str">
        <f>IF(ISERROR(MATCH(C68,SurveyDATA!AI:AI,0))=TRUE,"",MATCH(C68,SurveyDATA!AI:AI,0))</f>
        <v/>
      </c>
      <c r="E68" s="287" t="str">
        <f>IF(ISERROR(MATCH(C68,SurveyDATA!BL:BL,0))=TRUE,"",MATCH(C68,SurveyDATA!BL:BL,0))</f>
        <v/>
      </c>
      <c r="F68" s="92" t="s">
        <v>6052</v>
      </c>
      <c r="G68" s="287" t="str">
        <f>IF(ISERROR(MATCH(F68,SurveyDATA!BN:BN,0))=TRUE,"",MATCH(F68,SurveyDATA!BN:BN,0))</f>
        <v/>
      </c>
      <c r="H68" s="287" t="str">
        <f>IF(ISERROR(MATCH(F68,#REF!,0))=TRUE,"",MATCH(F68,#REF!,0))</f>
        <v/>
      </c>
      <c r="I68" s="287" t="s">
        <v>5911</v>
      </c>
      <c r="J68" s="92" t="str">
        <f>IF(ISERROR(MATCH(I68,SurveyDATA!D:D,0))=TRUE,"",MATCH(I68,SurveyDATA!D:D,0))</f>
        <v/>
      </c>
    </row>
    <row r="69" spans="1:10">
      <c r="A69" s="92" t="s">
        <v>6053</v>
      </c>
      <c r="B69" s="92" t="str">
        <f>IF(ISERROR(MATCH(A69,SurveyDATA!P:P,0))=TRUE,"",MATCH(A69,SurveyDATA!P:P,0))</f>
        <v/>
      </c>
      <c r="C69" s="92" t="s">
        <v>6054</v>
      </c>
      <c r="D69" s="92" t="str">
        <f>IF(ISERROR(MATCH(C69,SurveyDATA!AI:AI,0))=TRUE,"",MATCH(C69,SurveyDATA!AI:AI,0))</f>
        <v/>
      </c>
      <c r="E69" s="287" t="str">
        <f>IF(ISERROR(MATCH(C69,SurveyDATA!BL:BL,0))=TRUE,"",MATCH(C69,SurveyDATA!BL:BL,0))</f>
        <v/>
      </c>
      <c r="F69" s="92" t="s">
        <v>6055</v>
      </c>
      <c r="G69" s="287" t="str">
        <f>IF(ISERROR(MATCH(F69,SurveyDATA!BN:BN,0))=TRUE,"",MATCH(F69,SurveyDATA!BN:BN,0))</f>
        <v/>
      </c>
      <c r="H69" s="287" t="str">
        <f>IF(ISERROR(MATCH(F69,#REF!,0))=TRUE,"",MATCH(F69,#REF!,0))</f>
        <v/>
      </c>
      <c r="I69" s="287" t="s">
        <v>6931</v>
      </c>
      <c r="J69" s="92" t="str">
        <f>IF(ISERROR(MATCH(I69,SurveyDATA!D:D,0))=TRUE,"",MATCH(I69,SurveyDATA!D:D,0))</f>
        <v/>
      </c>
    </row>
    <row r="70" spans="1:10">
      <c r="A70" s="92" t="s">
        <v>6056</v>
      </c>
      <c r="B70" s="92" t="str">
        <f>IF(ISERROR(MATCH(A70,SurveyDATA!P:P,0))=TRUE,"",MATCH(A70,SurveyDATA!P:P,0))</f>
        <v/>
      </c>
      <c r="C70" s="92" t="s">
        <v>6057</v>
      </c>
      <c r="D70" s="92" t="str">
        <f>IF(ISERROR(MATCH(C70,SurveyDATA!AI:AI,0))=TRUE,"",MATCH(C70,SurveyDATA!AI:AI,0))</f>
        <v/>
      </c>
      <c r="E70" s="287" t="str">
        <f>IF(ISERROR(MATCH(C70,SurveyDATA!BL:BL,0))=TRUE,"",MATCH(C70,SurveyDATA!BL:BL,0))</f>
        <v/>
      </c>
      <c r="F70" s="92" t="s">
        <v>6058</v>
      </c>
      <c r="G70" s="287" t="str">
        <f>IF(ISERROR(MATCH(F70,SurveyDATA!BN:BN,0))=TRUE,"",MATCH(F70,SurveyDATA!BN:BN,0))</f>
        <v/>
      </c>
      <c r="H70" s="287" t="str">
        <f>IF(ISERROR(MATCH(F70,#REF!,0))=TRUE,"",MATCH(F70,#REF!,0))</f>
        <v/>
      </c>
      <c r="I70" s="287" t="s">
        <v>6932</v>
      </c>
      <c r="J70" s="92" t="str">
        <f>IF(ISERROR(MATCH(I70,SurveyDATA!D:D,0))=TRUE,"",MATCH(I70,SurveyDATA!D:D,0))</f>
        <v/>
      </c>
    </row>
    <row r="71" spans="1:10">
      <c r="A71" s="92" t="s">
        <v>6059</v>
      </c>
      <c r="B71" s="92" t="str">
        <f>IF(ISERROR(MATCH(A71,SurveyDATA!P:P,0))=TRUE,"",MATCH(A71,SurveyDATA!P:P,0))</f>
        <v/>
      </c>
      <c r="C71" s="92" t="s">
        <v>6060</v>
      </c>
      <c r="D71" s="92" t="str">
        <f>IF(ISERROR(MATCH(C71,SurveyDATA!AI:AI,0))=TRUE,"",MATCH(C71,SurveyDATA!AI:AI,0))</f>
        <v/>
      </c>
      <c r="E71" s="287" t="str">
        <f>IF(ISERROR(MATCH(C71,SurveyDATA!BL:BL,0))=TRUE,"",MATCH(C71,SurveyDATA!BL:BL,0))</f>
        <v/>
      </c>
      <c r="F71" s="92" t="s">
        <v>6061</v>
      </c>
      <c r="G71" s="287" t="str">
        <f>IF(ISERROR(MATCH(F71,SurveyDATA!BN:BN,0))=TRUE,"",MATCH(F71,SurveyDATA!BN:BN,0))</f>
        <v/>
      </c>
      <c r="H71" s="287" t="str">
        <f>IF(ISERROR(MATCH(F71,#REF!,0))=TRUE,"",MATCH(F71,#REF!,0))</f>
        <v/>
      </c>
      <c r="I71" s="287" t="s">
        <v>6933</v>
      </c>
      <c r="J71" s="92">
        <f>IF(ISERROR(MATCH(I71,SurveyDATA!D:D,0))=TRUE,"",MATCH(I71,SurveyDATA!D:D,0))</f>
        <v>533</v>
      </c>
    </row>
    <row r="72" spans="1:10">
      <c r="A72" s="92" t="s">
        <v>6062</v>
      </c>
      <c r="B72" s="92" t="str">
        <f>IF(ISERROR(MATCH(A72,SurveyDATA!P:P,0))=TRUE,"",MATCH(A72,SurveyDATA!P:P,0))</f>
        <v/>
      </c>
      <c r="C72" s="92" t="s">
        <v>6063</v>
      </c>
      <c r="D72" s="92" t="str">
        <f>IF(ISERROR(MATCH(C72,SurveyDATA!AI:AI,0))=TRUE,"",MATCH(C72,SurveyDATA!AI:AI,0))</f>
        <v/>
      </c>
      <c r="E72" s="287" t="str">
        <f>IF(ISERROR(MATCH(C72,SurveyDATA!BL:BL,0))=TRUE,"",MATCH(C72,SurveyDATA!BL:BL,0))</f>
        <v/>
      </c>
      <c r="F72" s="92" t="s">
        <v>6064</v>
      </c>
      <c r="G72" s="287" t="str">
        <f>IF(ISERROR(MATCH(F72,SurveyDATA!BN:BN,0))=TRUE,"",MATCH(F72,SurveyDATA!BN:BN,0))</f>
        <v/>
      </c>
      <c r="H72" s="287" t="str">
        <f>IF(ISERROR(MATCH(F72,#REF!,0))=TRUE,"",MATCH(F72,#REF!,0))</f>
        <v/>
      </c>
      <c r="I72" s="287" t="s">
        <v>5911</v>
      </c>
      <c r="J72" s="92" t="str">
        <f>IF(ISERROR(MATCH(I72,SurveyDATA!D:D,0))=TRUE,"",MATCH(I72,SurveyDATA!D:D,0))</f>
        <v/>
      </c>
    </row>
    <row r="73" spans="1:10">
      <c r="A73" s="92" t="s">
        <v>6065</v>
      </c>
      <c r="B73" s="92" t="str">
        <f>IF(ISERROR(MATCH(A73,SurveyDATA!P:P,0))=TRUE,"",MATCH(A73,SurveyDATA!P:P,0))</f>
        <v/>
      </c>
      <c r="C73" s="92" t="s">
        <v>6066</v>
      </c>
      <c r="D73" s="92" t="str">
        <f>IF(ISERROR(MATCH(C73,SurveyDATA!AI:AI,0))=TRUE,"",MATCH(C73,SurveyDATA!AI:AI,0))</f>
        <v/>
      </c>
      <c r="E73" s="287" t="str">
        <f>IF(ISERROR(MATCH(C73,SurveyDATA!BL:BL,0))=TRUE,"",MATCH(C73,SurveyDATA!BL:BL,0))</f>
        <v/>
      </c>
      <c r="F73" s="92" t="s">
        <v>6067</v>
      </c>
      <c r="G73" s="287" t="str">
        <f>IF(ISERROR(MATCH(F73,SurveyDATA!BN:BN,0))=TRUE,"",MATCH(F73,SurveyDATA!BN:BN,0))</f>
        <v/>
      </c>
      <c r="H73" s="287" t="str">
        <f>IF(ISERROR(MATCH(F73,#REF!,0))=TRUE,"",MATCH(F73,#REF!,0))</f>
        <v/>
      </c>
      <c r="I73" s="287" t="s">
        <v>5911</v>
      </c>
      <c r="J73" s="92" t="str">
        <f>IF(ISERROR(MATCH(I73,SurveyDATA!D:D,0))=TRUE,"",MATCH(I73,SurveyDATA!D:D,0))</f>
        <v/>
      </c>
    </row>
    <row r="74" spans="1:10">
      <c r="A74" s="92" t="s">
        <v>6068</v>
      </c>
      <c r="B74" s="92" t="str">
        <f>IF(ISERROR(MATCH(A74,SurveyDATA!P:P,0))=TRUE,"",MATCH(A74,SurveyDATA!P:P,0))</f>
        <v/>
      </c>
      <c r="C74" s="92" t="s">
        <v>6069</v>
      </c>
      <c r="D74" s="92" t="str">
        <f>IF(ISERROR(MATCH(C74,SurveyDATA!AI:AI,0))=TRUE,"",MATCH(C74,SurveyDATA!AI:AI,0))</f>
        <v/>
      </c>
      <c r="E74" s="287" t="str">
        <f>IF(ISERROR(MATCH(C74,SurveyDATA!BL:BL,0))=TRUE,"",MATCH(C74,SurveyDATA!BL:BL,0))</f>
        <v/>
      </c>
      <c r="F74" s="92" t="s">
        <v>6070</v>
      </c>
      <c r="G74" s="287" t="str">
        <f>IF(ISERROR(MATCH(F74,SurveyDATA!BN:BN,0))=TRUE,"",MATCH(F74,SurveyDATA!BN:BN,0))</f>
        <v/>
      </c>
      <c r="H74" s="287" t="str">
        <f>IF(ISERROR(MATCH(F74,#REF!,0))=TRUE,"",MATCH(F74,#REF!,0))</f>
        <v/>
      </c>
      <c r="I74" s="287" t="s">
        <v>5911</v>
      </c>
      <c r="J74" s="92" t="str">
        <f>IF(ISERROR(MATCH(I74,SurveyDATA!D:D,0))=TRUE,"",MATCH(I74,SurveyDATA!D:D,0))</f>
        <v/>
      </c>
    </row>
    <row r="75" spans="1:10">
      <c r="A75" s="92" t="s">
        <v>6071</v>
      </c>
      <c r="B75" s="92" t="str">
        <f>IF(ISERROR(MATCH(A75,SurveyDATA!P:P,0))=TRUE,"",MATCH(A75,SurveyDATA!P:P,0))</f>
        <v/>
      </c>
      <c r="C75" s="92" t="s">
        <v>6072</v>
      </c>
      <c r="D75" s="92" t="str">
        <f>IF(ISERROR(MATCH(C75,SurveyDATA!AI:AI,0))=TRUE,"",MATCH(C75,SurveyDATA!AI:AI,0))</f>
        <v/>
      </c>
      <c r="E75" s="287" t="str">
        <f>IF(ISERROR(MATCH(C75,SurveyDATA!BL:BL,0))=TRUE,"",MATCH(C75,SurveyDATA!BL:BL,0))</f>
        <v/>
      </c>
      <c r="F75" s="92" t="s">
        <v>6073</v>
      </c>
      <c r="G75" s="287" t="str">
        <f>IF(ISERROR(MATCH(F75,SurveyDATA!BN:BN,0))=TRUE,"",MATCH(F75,SurveyDATA!BN:BN,0))</f>
        <v/>
      </c>
      <c r="H75" s="287" t="str">
        <f>IF(ISERROR(MATCH(F75,#REF!,0))=TRUE,"",MATCH(F75,#REF!,0))</f>
        <v/>
      </c>
      <c r="I75" s="287" t="s">
        <v>6934</v>
      </c>
      <c r="J75" s="92" t="str">
        <f>IF(ISERROR(MATCH(I75,SurveyDATA!D:D,0))=TRUE,"",MATCH(I75,SurveyDATA!D:D,0))</f>
        <v/>
      </c>
    </row>
    <row r="76" spans="1:10">
      <c r="A76" s="92" t="s">
        <v>6074</v>
      </c>
      <c r="B76" s="92" t="str">
        <f>IF(ISERROR(MATCH(A76,SurveyDATA!P:P,0))=TRUE,"",MATCH(A76,SurveyDATA!P:P,0))</f>
        <v/>
      </c>
      <c r="C76" s="92" t="s">
        <v>6075</v>
      </c>
      <c r="D76" s="92" t="str">
        <f>IF(ISERROR(MATCH(C76,SurveyDATA!AI:AI,0))=TRUE,"",MATCH(C76,SurveyDATA!AI:AI,0))</f>
        <v/>
      </c>
      <c r="E76" s="287" t="str">
        <f>IF(ISERROR(MATCH(C76,SurveyDATA!BL:BL,0))=TRUE,"",MATCH(C76,SurveyDATA!BL:BL,0))</f>
        <v/>
      </c>
      <c r="F76" s="92" t="s">
        <v>6076</v>
      </c>
      <c r="G76" s="287" t="str">
        <f>IF(ISERROR(MATCH(F76,SurveyDATA!BN:BN,0))=TRUE,"",MATCH(F76,SurveyDATA!BN:BN,0))</f>
        <v/>
      </c>
      <c r="H76" s="287" t="str">
        <f>IF(ISERROR(MATCH(F76,#REF!,0))=TRUE,"",MATCH(F76,#REF!,0))</f>
        <v/>
      </c>
      <c r="I76" s="287" t="s">
        <v>5911</v>
      </c>
      <c r="J76" s="92" t="str">
        <f>IF(ISERROR(MATCH(I76,SurveyDATA!D:D,0))=TRUE,"",MATCH(I76,SurveyDATA!D:D,0))</f>
        <v/>
      </c>
    </row>
    <row r="77" spans="1:10">
      <c r="A77" s="92" t="s">
        <v>6077</v>
      </c>
      <c r="B77" s="92" t="str">
        <f>IF(ISERROR(MATCH(A77,SurveyDATA!P:P,0))=TRUE,"",MATCH(A77,SurveyDATA!P:P,0))</f>
        <v/>
      </c>
      <c r="C77" s="92" t="s">
        <v>6078</v>
      </c>
      <c r="D77" s="92" t="str">
        <f>IF(ISERROR(MATCH(C77,SurveyDATA!AI:AI,0))=TRUE,"",MATCH(C77,SurveyDATA!AI:AI,0))</f>
        <v/>
      </c>
      <c r="E77" s="287" t="str">
        <f>IF(ISERROR(MATCH(C77,SurveyDATA!BL:BL,0))=TRUE,"",MATCH(C77,SurveyDATA!BL:BL,0))</f>
        <v/>
      </c>
      <c r="F77" s="92" t="s">
        <v>6079</v>
      </c>
      <c r="G77" s="287" t="str">
        <f>IF(ISERROR(MATCH(F77,SurveyDATA!BN:BN,0))=TRUE,"",MATCH(F77,SurveyDATA!BN:BN,0))</f>
        <v/>
      </c>
      <c r="H77" s="287" t="str">
        <f>IF(ISERROR(MATCH(F77,#REF!,0))=TRUE,"",MATCH(F77,#REF!,0))</f>
        <v/>
      </c>
      <c r="I77" s="287" t="s">
        <v>6935</v>
      </c>
      <c r="J77" s="92" t="str">
        <f>IF(ISERROR(MATCH(I77,SurveyDATA!D:D,0))=TRUE,"",MATCH(I77,SurveyDATA!D:D,0))</f>
        <v/>
      </c>
    </row>
    <row r="78" spans="1:10">
      <c r="A78" s="92" t="s">
        <v>6080</v>
      </c>
      <c r="B78" s="92" t="str">
        <f>IF(ISERROR(MATCH(A78,SurveyDATA!P:P,0))=TRUE,"",MATCH(A78,SurveyDATA!P:P,0))</f>
        <v/>
      </c>
      <c r="C78" s="92" t="s">
        <v>6081</v>
      </c>
      <c r="D78" s="92" t="str">
        <f>IF(ISERROR(MATCH(C78,SurveyDATA!AI:AI,0))=TRUE,"",MATCH(C78,SurveyDATA!AI:AI,0))</f>
        <v/>
      </c>
      <c r="E78" s="287" t="str">
        <f>IF(ISERROR(MATCH(C78,SurveyDATA!BL:BL,0))=TRUE,"",MATCH(C78,SurveyDATA!BL:BL,0))</f>
        <v/>
      </c>
      <c r="F78" s="92" t="s">
        <v>6082</v>
      </c>
      <c r="G78" s="287" t="str">
        <f>IF(ISERROR(MATCH(F78,SurveyDATA!BN:BN,0))=TRUE,"",MATCH(F78,SurveyDATA!BN:BN,0))</f>
        <v/>
      </c>
      <c r="H78" s="287" t="str">
        <f>IF(ISERROR(MATCH(F78,#REF!,0))=TRUE,"",MATCH(F78,#REF!,0))</f>
        <v/>
      </c>
      <c r="I78" s="287" t="s">
        <v>6936</v>
      </c>
      <c r="J78" s="92" t="str">
        <f>IF(ISERROR(MATCH(I78,SurveyDATA!D:D,0))=TRUE,"",MATCH(I78,SurveyDATA!D:D,0))</f>
        <v/>
      </c>
    </row>
    <row r="79" spans="1:10">
      <c r="A79" s="92" t="s">
        <v>6083</v>
      </c>
      <c r="B79" s="92" t="str">
        <f>IF(ISERROR(MATCH(A79,SurveyDATA!P:P,0))=TRUE,"",MATCH(A79,SurveyDATA!P:P,0))</f>
        <v/>
      </c>
      <c r="C79" s="92" t="s">
        <v>6084</v>
      </c>
      <c r="D79" s="92" t="str">
        <f>IF(ISERROR(MATCH(C79,SurveyDATA!AI:AI,0))=TRUE,"",MATCH(C79,SurveyDATA!AI:AI,0))</f>
        <v/>
      </c>
      <c r="E79" s="287" t="str">
        <f>IF(ISERROR(MATCH(C79,SurveyDATA!BL:BL,0))=TRUE,"",MATCH(C79,SurveyDATA!BL:BL,0))</f>
        <v/>
      </c>
      <c r="F79" s="92" t="s">
        <v>6085</v>
      </c>
      <c r="G79" s="287" t="str">
        <f>IF(ISERROR(MATCH(F79,SurveyDATA!BN:BN,0))=TRUE,"",MATCH(F79,SurveyDATA!BN:BN,0))</f>
        <v/>
      </c>
      <c r="H79" s="287" t="str">
        <f>IF(ISERROR(MATCH(F79,#REF!,0))=TRUE,"",MATCH(F79,#REF!,0))</f>
        <v/>
      </c>
      <c r="I79" s="287" t="s">
        <v>6937</v>
      </c>
      <c r="J79" s="92" t="str">
        <f>IF(ISERROR(MATCH(I79,SurveyDATA!D:D,0))=TRUE,"",MATCH(I79,SurveyDATA!D:D,0))</f>
        <v/>
      </c>
    </row>
    <row r="80" spans="1:10">
      <c r="A80" s="92" t="s">
        <v>6086</v>
      </c>
      <c r="B80" s="92" t="str">
        <f>IF(ISERROR(MATCH(A80,SurveyDATA!P:P,0))=TRUE,"",MATCH(A80,SurveyDATA!P:P,0))</f>
        <v/>
      </c>
      <c r="C80" s="92" t="s">
        <v>6087</v>
      </c>
      <c r="D80" s="92" t="str">
        <f>IF(ISERROR(MATCH(C80,SurveyDATA!AI:AI,0))=TRUE,"",MATCH(C80,SurveyDATA!AI:AI,0))</f>
        <v/>
      </c>
      <c r="E80" s="287" t="str">
        <f>IF(ISERROR(MATCH(C80,SurveyDATA!BL:BL,0))=TRUE,"",MATCH(C80,SurveyDATA!BL:BL,0))</f>
        <v/>
      </c>
      <c r="F80" s="92" t="s">
        <v>6088</v>
      </c>
      <c r="G80" s="287" t="str">
        <f>IF(ISERROR(MATCH(F80,SurveyDATA!BN:BN,0))=TRUE,"",MATCH(F80,SurveyDATA!BN:BN,0))</f>
        <v/>
      </c>
      <c r="H80" s="287" t="str">
        <f>IF(ISERROR(MATCH(F80,#REF!,0))=TRUE,"",MATCH(F80,#REF!,0))</f>
        <v/>
      </c>
      <c r="I80" s="287" t="s">
        <v>5911</v>
      </c>
      <c r="J80" s="92" t="str">
        <f>IF(ISERROR(MATCH(I80,SurveyDATA!D:D,0))=TRUE,"",MATCH(I80,SurveyDATA!D:D,0))</f>
        <v/>
      </c>
    </row>
    <row r="81" spans="1:10">
      <c r="A81" s="92" t="s">
        <v>6089</v>
      </c>
      <c r="B81" s="92" t="str">
        <f>IF(ISERROR(MATCH(A81,SurveyDATA!P:P,0))=TRUE,"",MATCH(A81,SurveyDATA!P:P,0))</f>
        <v/>
      </c>
      <c r="C81" s="92" t="s">
        <v>6090</v>
      </c>
      <c r="D81" s="92" t="str">
        <f>IF(ISERROR(MATCH(C81,SurveyDATA!AI:AI,0))=TRUE,"",MATCH(C81,SurveyDATA!AI:AI,0))</f>
        <v/>
      </c>
      <c r="E81" s="287" t="str">
        <f>IF(ISERROR(MATCH(C81,SurveyDATA!BL:BL,0))=TRUE,"",MATCH(C81,SurveyDATA!BL:BL,0))</f>
        <v/>
      </c>
      <c r="F81" s="92" t="s">
        <v>6091</v>
      </c>
      <c r="G81" s="287" t="str">
        <f>IF(ISERROR(MATCH(F81,SurveyDATA!BN:BN,0))=TRUE,"",MATCH(F81,SurveyDATA!BN:BN,0))</f>
        <v/>
      </c>
      <c r="H81" s="287" t="str">
        <f>IF(ISERROR(MATCH(F81,#REF!,0))=TRUE,"",MATCH(F81,#REF!,0))</f>
        <v/>
      </c>
      <c r="I81" s="287" t="s">
        <v>6938</v>
      </c>
      <c r="J81" s="92" t="str">
        <f>IF(ISERROR(MATCH(I81,SurveyDATA!D:D,0))=TRUE,"",MATCH(I81,SurveyDATA!D:D,0))</f>
        <v/>
      </c>
    </row>
    <row r="82" spans="1:10">
      <c r="A82" s="92" t="s">
        <v>6092</v>
      </c>
      <c r="B82" s="92" t="str">
        <f>IF(ISERROR(MATCH(A82,SurveyDATA!P:P,0))=TRUE,"",MATCH(A82,SurveyDATA!P:P,0))</f>
        <v/>
      </c>
      <c r="C82" s="92" t="s">
        <v>6093</v>
      </c>
      <c r="D82" s="92" t="str">
        <f>IF(ISERROR(MATCH(C82,SurveyDATA!AI:AI,0))=TRUE,"",MATCH(C82,SurveyDATA!AI:AI,0))</f>
        <v/>
      </c>
      <c r="E82" s="287" t="str">
        <f>IF(ISERROR(MATCH(C82,SurveyDATA!BL:BL,0))=TRUE,"",MATCH(C82,SurveyDATA!BL:BL,0))</f>
        <v/>
      </c>
      <c r="F82" s="92" t="s">
        <v>6094</v>
      </c>
      <c r="G82" s="287" t="str">
        <f>IF(ISERROR(MATCH(F82,SurveyDATA!BN:BN,0))=TRUE,"",MATCH(F82,SurveyDATA!BN:BN,0))</f>
        <v/>
      </c>
      <c r="H82" s="287" t="str">
        <f>IF(ISERROR(MATCH(F82,#REF!,0))=TRUE,"",MATCH(F82,#REF!,0))</f>
        <v/>
      </c>
      <c r="I82" s="287" t="s">
        <v>5911</v>
      </c>
      <c r="J82" s="92" t="str">
        <f>IF(ISERROR(MATCH(I82,SurveyDATA!D:D,0))=TRUE,"",MATCH(I82,SurveyDATA!D:D,0))</f>
        <v/>
      </c>
    </row>
    <row r="83" spans="1:10">
      <c r="A83" s="92" t="s">
        <v>6095</v>
      </c>
      <c r="B83" s="92" t="str">
        <f>IF(ISERROR(MATCH(A83,SurveyDATA!P:P,0))=TRUE,"",MATCH(A83,SurveyDATA!P:P,0))</f>
        <v/>
      </c>
      <c r="C83" s="92" t="s">
        <v>6096</v>
      </c>
      <c r="D83" s="92" t="str">
        <f>IF(ISERROR(MATCH(C83,SurveyDATA!AI:AI,0))=TRUE,"",MATCH(C83,SurveyDATA!AI:AI,0))</f>
        <v/>
      </c>
      <c r="E83" s="287" t="str">
        <f>IF(ISERROR(MATCH(C83,SurveyDATA!BL:BL,0))=TRUE,"",MATCH(C83,SurveyDATA!BL:BL,0))</f>
        <v/>
      </c>
      <c r="F83" s="92" t="s">
        <v>6097</v>
      </c>
      <c r="G83" s="287" t="str">
        <f>IF(ISERROR(MATCH(F83,SurveyDATA!BN:BN,0))=TRUE,"",MATCH(F83,SurveyDATA!BN:BN,0))</f>
        <v/>
      </c>
      <c r="H83" s="287" t="str">
        <f>IF(ISERROR(MATCH(F83,#REF!,0))=TRUE,"",MATCH(F83,#REF!,0))</f>
        <v/>
      </c>
      <c r="I83" s="287" t="s">
        <v>6939</v>
      </c>
      <c r="J83" s="92" t="str">
        <f>IF(ISERROR(MATCH(I83,SurveyDATA!D:D,0))=TRUE,"",MATCH(I83,SurveyDATA!D:D,0))</f>
        <v/>
      </c>
    </row>
    <row r="84" spans="1:10">
      <c r="A84" s="92" t="s">
        <v>6098</v>
      </c>
      <c r="B84" s="92" t="str">
        <f>IF(ISERROR(MATCH(A84,SurveyDATA!P:P,0))=TRUE,"",MATCH(A84,SurveyDATA!P:P,0))</f>
        <v/>
      </c>
      <c r="C84" s="92" t="s">
        <v>6099</v>
      </c>
      <c r="D84" s="92" t="str">
        <f>IF(ISERROR(MATCH(C84,SurveyDATA!AI:AI,0))=TRUE,"",MATCH(C84,SurveyDATA!AI:AI,0))</f>
        <v/>
      </c>
      <c r="E84" s="287" t="str">
        <f>IF(ISERROR(MATCH(C84,SurveyDATA!BL:BL,0))=TRUE,"",MATCH(C84,SurveyDATA!BL:BL,0))</f>
        <v/>
      </c>
      <c r="F84" s="92" t="s">
        <v>6100</v>
      </c>
      <c r="G84" s="287" t="str">
        <f>IF(ISERROR(MATCH(F84,SurveyDATA!BN:BN,0))=TRUE,"",MATCH(F84,SurveyDATA!BN:BN,0))</f>
        <v/>
      </c>
      <c r="H84" s="287" t="str">
        <f>IF(ISERROR(MATCH(F84,#REF!,0))=TRUE,"",MATCH(F84,#REF!,0))</f>
        <v/>
      </c>
      <c r="I84" s="287" t="s">
        <v>6940</v>
      </c>
      <c r="J84" s="92" t="str">
        <f>IF(ISERROR(MATCH(I84,SurveyDATA!D:D,0))=TRUE,"",MATCH(I84,SurveyDATA!D:D,0))</f>
        <v/>
      </c>
    </row>
    <row r="85" spans="1:10">
      <c r="A85" s="92" t="s">
        <v>6101</v>
      </c>
      <c r="B85" s="92" t="str">
        <f>IF(ISERROR(MATCH(A85,SurveyDATA!P:P,0))=TRUE,"",MATCH(A85,SurveyDATA!P:P,0))</f>
        <v/>
      </c>
      <c r="C85" s="92" t="s">
        <v>6102</v>
      </c>
      <c r="D85" s="92" t="str">
        <f>IF(ISERROR(MATCH(C85,SurveyDATA!AI:AI,0))=TRUE,"",MATCH(C85,SurveyDATA!AI:AI,0))</f>
        <v/>
      </c>
      <c r="E85" s="287" t="str">
        <f>IF(ISERROR(MATCH(C85,SurveyDATA!BL:BL,0))=TRUE,"",MATCH(C85,SurveyDATA!BL:BL,0))</f>
        <v/>
      </c>
      <c r="F85" s="92" t="s">
        <v>6103</v>
      </c>
      <c r="G85" s="287" t="str">
        <f>IF(ISERROR(MATCH(F85,SurveyDATA!BN:BN,0))=TRUE,"",MATCH(F85,SurveyDATA!BN:BN,0))</f>
        <v/>
      </c>
      <c r="H85" s="287" t="str">
        <f>IF(ISERROR(MATCH(F85,#REF!,0))=TRUE,"",MATCH(F85,#REF!,0))</f>
        <v/>
      </c>
      <c r="I85" s="287" t="s">
        <v>6941</v>
      </c>
      <c r="J85" s="92" t="str">
        <f>IF(ISERROR(MATCH(I85,SurveyDATA!D:D,0))=TRUE,"",MATCH(I85,SurveyDATA!D:D,0))</f>
        <v/>
      </c>
    </row>
    <row r="86" spans="1:10">
      <c r="A86" s="92" t="s">
        <v>6104</v>
      </c>
      <c r="B86" s="92" t="str">
        <f>IF(ISERROR(MATCH(A86,SurveyDATA!P:P,0))=TRUE,"",MATCH(A86,SurveyDATA!P:P,0))</f>
        <v/>
      </c>
      <c r="C86" s="92" t="s">
        <v>6105</v>
      </c>
      <c r="D86" s="92" t="str">
        <f>IF(ISERROR(MATCH(C86,SurveyDATA!AI:AI,0))=TRUE,"",MATCH(C86,SurveyDATA!AI:AI,0))</f>
        <v/>
      </c>
      <c r="E86" s="287" t="str">
        <f>IF(ISERROR(MATCH(C86,SurveyDATA!BL:BL,0))=TRUE,"",MATCH(C86,SurveyDATA!BL:BL,0))</f>
        <v/>
      </c>
      <c r="F86" s="92" t="s">
        <v>6106</v>
      </c>
      <c r="G86" s="287" t="str">
        <f>IF(ISERROR(MATCH(F86,SurveyDATA!BN:BN,0))=TRUE,"",MATCH(F86,SurveyDATA!BN:BN,0))</f>
        <v/>
      </c>
      <c r="H86" s="287" t="str">
        <f>IF(ISERROR(MATCH(F86,#REF!,0))=TRUE,"",MATCH(F86,#REF!,0))</f>
        <v/>
      </c>
      <c r="I86" s="287" t="s">
        <v>6942</v>
      </c>
      <c r="J86" s="92" t="str">
        <f>IF(ISERROR(MATCH(I86,SurveyDATA!D:D,0))=TRUE,"",MATCH(I86,SurveyDATA!D:D,0))</f>
        <v/>
      </c>
    </row>
    <row r="87" spans="1:10">
      <c r="A87" s="92" t="s">
        <v>6107</v>
      </c>
      <c r="B87" s="92" t="str">
        <f>IF(ISERROR(MATCH(A87,SurveyDATA!P:P,0))=TRUE,"",MATCH(A87,SurveyDATA!P:P,0))</f>
        <v/>
      </c>
      <c r="C87" s="92" t="s">
        <v>6108</v>
      </c>
      <c r="D87" s="92" t="str">
        <f>IF(ISERROR(MATCH(C87,SurveyDATA!AI:AI,0))=TRUE,"",MATCH(C87,SurveyDATA!AI:AI,0))</f>
        <v/>
      </c>
      <c r="E87" s="287" t="str">
        <f>IF(ISERROR(MATCH(C87,SurveyDATA!BL:BL,0))=TRUE,"",MATCH(C87,SurveyDATA!BL:BL,0))</f>
        <v/>
      </c>
      <c r="F87" s="92" t="s">
        <v>6109</v>
      </c>
      <c r="G87" s="287" t="str">
        <f>IF(ISERROR(MATCH(F87,SurveyDATA!BN:BN,0))=TRUE,"",MATCH(F87,SurveyDATA!BN:BN,0))</f>
        <v/>
      </c>
      <c r="H87" s="287" t="str">
        <f>IF(ISERROR(MATCH(F87,#REF!,0))=TRUE,"",MATCH(F87,#REF!,0))</f>
        <v/>
      </c>
      <c r="I87" s="287" t="s">
        <v>6943</v>
      </c>
      <c r="J87" s="92" t="str">
        <f>IF(ISERROR(MATCH(I87,SurveyDATA!D:D,0))=TRUE,"",MATCH(I87,SurveyDATA!D:D,0))</f>
        <v/>
      </c>
    </row>
    <row r="88" spans="1:10">
      <c r="A88" s="92" t="s">
        <v>6110</v>
      </c>
      <c r="B88" s="92" t="str">
        <f>IF(ISERROR(MATCH(A88,SurveyDATA!P:P,0))=TRUE,"",MATCH(A88,SurveyDATA!P:P,0))</f>
        <v/>
      </c>
      <c r="C88" s="92" t="s">
        <v>6111</v>
      </c>
      <c r="D88" s="92" t="str">
        <f>IF(ISERROR(MATCH(C88,SurveyDATA!AI:AI,0))=TRUE,"",MATCH(C88,SurveyDATA!AI:AI,0))</f>
        <v/>
      </c>
      <c r="E88" s="287" t="str">
        <f>IF(ISERROR(MATCH(C88,SurveyDATA!BL:BL,0))=TRUE,"",MATCH(C88,SurveyDATA!BL:BL,0))</f>
        <v/>
      </c>
      <c r="F88" s="92" t="s">
        <v>6112</v>
      </c>
      <c r="G88" s="287" t="str">
        <f>IF(ISERROR(MATCH(F88,SurveyDATA!BN:BN,0))=TRUE,"",MATCH(F88,SurveyDATA!BN:BN,0))</f>
        <v/>
      </c>
      <c r="H88" s="287" t="str">
        <f>IF(ISERROR(MATCH(F88,#REF!,0))=TRUE,"",MATCH(F88,#REF!,0))</f>
        <v/>
      </c>
      <c r="I88" s="287" t="s">
        <v>6944</v>
      </c>
      <c r="J88" s="92" t="str">
        <f>IF(ISERROR(MATCH(I88,SurveyDATA!D:D,0))=TRUE,"",MATCH(I88,SurveyDATA!D:D,0))</f>
        <v/>
      </c>
    </row>
    <row r="89" spans="1:10">
      <c r="A89" s="92" t="s">
        <v>6113</v>
      </c>
      <c r="B89" s="92" t="str">
        <f>IF(ISERROR(MATCH(A89,SurveyDATA!P:P,0))=TRUE,"",MATCH(A89,SurveyDATA!P:P,0))</f>
        <v/>
      </c>
      <c r="C89" s="92" t="s">
        <v>6114</v>
      </c>
      <c r="D89" s="92" t="str">
        <f>IF(ISERROR(MATCH(C89,SurveyDATA!AI:AI,0))=TRUE,"",MATCH(C89,SurveyDATA!AI:AI,0))</f>
        <v/>
      </c>
      <c r="E89" s="287" t="str">
        <f>IF(ISERROR(MATCH(C89,SurveyDATA!BL:BL,0))=TRUE,"",MATCH(C89,SurveyDATA!BL:BL,0))</f>
        <v/>
      </c>
      <c r="F89" s="92" t="s">
        <v>6115</v>
      </c>
      <c r="G89" s="287" t="str">
        <f>IF(ISERROR(MATCH(F89,SurveyDATA!BN:BN,0))=TRUE,"",MATCH(F89,SurveyDATA!BN:BN,0))</f>
        <v/>
      </c>
      <c r="H89" s="287" t="str">
        <f>IF(ISERROR(MATCH(F89,#REF!,0))=TRUE,"",MATCH(F89,#REF!,0))</f>
        <v/>
      </c>
      <c r="I89" s="287" t="s">
        <v>6945</v>
      </c>
      <c r="J89" s="92" t="str">
        <f>IF(ISERROR(MATCH(I89,SurveyDATA!D:D,0))=TRUE,"",MATCH(I89,SurveyDATA!D:D,0))</f>
        <v/>
      </c>
    </row>
    <row r="90" spans="1:10">
      <c r="A90" s="92" t="s">
        <v>6116</v>
      </c>
      <c r="B90" s="92" t="str">
        <f>IF(ISERROR(MATCH(A90,SurveyDATA!P:P,0))=TRUE,"",MATCH(A90,SurveyDATA!P:P,0))</f>
        <v/>
      </c>
      <c r="C90" s="92" t="s">
        <v>6117</v>
      </c>
      <c r="D90" s="92" t="str">
        <f>IF(ISERROR(MATCH(C90,SurveyDATA!AI:AI,0))=TRUE,"",MATCH(C90,SurveyDATA!AI:AI,0))</f>
        <v/>
      </c>
      <c r="E90" s="287" t="str">
        <f>IF(ISERROR(MATCH(C90,SurveyDATA!BL:BL,0))=TRUE,"",MATCH(C90,SurveyDATA!BL:BL,0))</f>
        <v/>
      </c>
      <c r="F90" s="92" t="s">
        <v>6118</v>
      </c>
      <c r="G90" s="287" t="str">
        <f>IF(ISERROR(MATCH(F90,SurveyDATA!BN:BN,0))=TRUE,"",MATCH(F90,SurveyDATA!BN:BN,0))</f>
        <v/>
      </c>
      <c r="H90" s="287" t="str">
        <f>IF(ISERROR(MATCH(F90,#REF!,0))=TRUE,"",MATCH(F90,#REF!,0))</f>
        <v/>
      </c>
      <c r="I90" s="287" t="s">
        <v>6946</v>
      </c>
      <c r="J90" s="92" t="str">
        <f>IF(ISERROR(MATCH(I90,SurveyDATA!D:D,0))=TRUE,"",MATCH(I90,SurveyDATA!D:D,0))</f>
        <v/>
      </c>
    </row>
    <row r="91" spans="1:10">
      <c r="A91" s="92" t="s">
        <v>6119</v>
      </c>
      <c r="B91" s="92" t="str">
        <f>IF(ISERROR(MATCH(A91,SurveyDATA!P:P,0))=TRUE,"",MATCH(A91,SurveyDATA!P:P,0))</f>
        <v/>
      </c>
      <c r="C91" s="92" t="s">
        <v>6120</v>
      </c>
      <c r="D91" s="92" t="str">
        <f>IF(ISERROR(MATCH(C91,SurveyDATA!AI:AI,0))=TRUE,"",MATCH(C91,SurveyDATA!AI:AI,0))</f>
        <v/>
      </c>
      <c r="E91" s="287" t="str">
        <f>IF(ISERROR(MATCH(C91,SurveyDATA!BL:BL,0))=TRUE,"",MATCH(C91,SurveyDATA!BL:BL,0))</f>
        <v/>
      </c>
      <c r="F91" s="92" t="s">
        <v>6121</v>
      </c>
      <c r="G91" s="287" t="str">
        <f>IF(ISERROR(MATCH(F91,SurveyDATA!BN:BN,0))=TRUE,"",MATCH(F91,SurveyDATA!BN:BN,0))</f>
        <v/>
      </c>
      <c r="H91" s="287" t="str">
        <f>IF(ISERROR(MATCH(F91,#REF!,0))=TRUE,"",MATCH(F91,#REF!,0))</f>
        <v/>
      </c>
      <c r="I91" s="287" t="s">
        <v>5911</v>
      </c>
      <c r="J91" s="92" t="str">
        <f>IF(ISERROR(MATCH(I91,SurveyDATA!D:D,0))=TRUE,"",MATCH(I91,SurveyDATA!D:D,0))</f>
        <v/>
      </c>
    </row>
    <row r="92" spans="1:10">
      <c r="A92" s="92" t="s">
        <v>6122</v>
      </c>
      <c r="B92" s="92" t="str">
        <f>IF(ISERROR(MATCH(A92,SurveyDATA!P:P,0))=TRUE,"",MATCH(A92,SurveyDATA!P:P,0))</f>
        <v/>
      </c>
      <c r="C92" s="92" t="s">
        <v>6123</v>
      </c>
      <c r="D92" s="92" t="str">
        <f>IF(ISERROR(MATCH(C92,SurveyDATA!AI:AI,0))=TRUE,"",MATCH(C92,SurveyDATA!AI:AI,0))</f>
        <v/>
      </c>
      <c r="E92" s="287" t="str">
        <f>IF(ISERROR(MATCH(C92,SurveyDATA!BL:BL,0))=TRUE,"",MATCH(C92,SurveyDATA!BL:BL,0))</f>
        <v/>
      </c>
      <c r="F92" s="92" t="s">
        <v>6124</v>
      </c>
      <c r="G92" s="287" t="str">
        <f>IF(ISERROR(MATCH(F92,SurveyDATA!BN:BN,0))=TRUE,"",MATCH(F92,SurveyDATA!BN:BN,0))</f>
        <v/>
      </c>
      <c r="H92" s="287" t="str">
        <f>IF(ISERROR(MATCH(F92,#REF!,0))=TRUE,"",MATCH(F92,#REF!,0))</f>
        <v/>
      </c>
      <c r="I92" s="287" t="s">
        <v>6947</v>
      </c>
      <c r="J92" s="92" t="str">
        <f>IF(ISERROR(MATCH(I92,SurveyDATA!D:D,0))=TRUE,"",MATCH(I92,SurveyDATA!D:D,0))</f>
        <v/>
      </c>
    </row>
    <row r="93" spans="1:10">
      <c r="A93" s="92" t="s">
        <v>6125</v>
      </c>
      <c r="B93" s="92" t="str">
        <f>IF(ISERROR(MATCH(A93,SurveyDATA!P:P,0))=TRUE,"",MATCH(A93,SurveyDATA!P:P,0))</f>
        <v/>
      </c>
      <c r="C93" s="92" t="s">
        <v>6126</v>
      </c>
      <c r="D93" s="92" t="str">
        <f>IF(ISERROR(MATCH(C93,SurveyDATA!AI:AI,0))=TRUE,"",MATCH(C93,SurveyDATA!AI:AI,0))</f>
        <v/>
      </c>
      <c r="E93" s="287" t="str">
        <f>IF(ISERROR(MATCH(C93,SurveyDATA!BL:BL,0))=TRUE,"",MATCH(C93,SurveyDATA!BL:BL,0))</f>
        <v/>
      </c>
      <c r="F93" s="92" t="s">
        <v>6127</v>
      </c>
      <c r="G93" s="287" t="str">
        <f>IF(ISERROR(MATCH(F93,SurveyDATA!BN:BN,0))=TRUE,"",MATCH(F93,SurveyDATA!BN:BN,0))</f>
        <v/>
      </c>
      <c r="H93" s="287" t="str">
        <f>IF(ISERROR(MATCH(F93,#REF!,0))=TRUE,"",MATCH(F93,#REF!,0))</f>
        <v/>
      </c>
      <c r="I93" s="287" t="s">
        <v>6948</v>
      </c>
      <c r="J93" s="92" t="str">
        <f>IF(ISERROR(MATCH(I93,SurveyDATA!D:D,0))=TRUE,"",MATCH(I93,SurveyDATA!D:D,0))</f>
        <v/>
      </c>
    </row>
    <row r="94" spans="1:10">
      <c r="A94" s="92" t="s">
        <v>6128</v>
      </c>
      <c r="B94" s="92" t="str">
        <f>IF(ISERROR(MATCH(A94,SurveyDATA!P:P,0))=TRUE,"",MATCH(A94,SurveyDATA!P:P,0))</f>
        <v/>
      </c>
      <c r="C94" s="92" t="s">
        <v>6129</v>
      </c>
      <c r="D94" s="92" t="str">
        <f>IF(ISERROR(MATCH(C94,SurveyDATA!AI:AI,0))=TRUE,"",MATCH(C94,SurveyDATA!AI:AI,0))</f>
        <v/>
      </c>
      <c r="E94" s="287" t="str">
        <f>IF(ISERROR(MATCH(C94,SurveyDATA!BL:BL,0))=TRUE,"",MATCH(C94,SurveyDATA!BL:BL,0))</f>
        <v/>
      </c>
      <c r="F94" s="92" t="s">
        <v>6130</v>
      </c>
      <c r="G94" s="287" t="str">
        <f>IF(ISERROR(MATCH(F94,SurveyDATA!BN:BN,0))=TRUE,"",MATCH(F94,SurveyDATA!BN:BN,0))</f>
        <v/>
      </c>
      <c r="H94" s="287" t="str">
        <f>IF(ISERROR(MATCH(F94,#REF!,0))=TRUE,"",MATCH(F94,#REF!,0))</f>
        <v/>
      </c>
      <c r="I94" s="287" t="s">
        <v>6949</v>
      </c>
      <c r="J94" s="92" t="str">
        <f>IF(ISERROR(MATCH(I94,SurveyDATA!D:D,0))=TRUE,"",MATCH(I94,SurveyDATA!D:D,0))</f>
        <v/>
      </c>
    </row>
    <row r="95" spans="1:10">
      <c r="A95" s="92" t="s">
        <v>6131</v>
      </c>
      <c r="B95" s="92" t="str">
        <f>IF(ISERROR(MATCH(A95,SurveyDATA!P:P,0))=TRUE,"",MATCH(A95,SurveyDATA!P:P,0))</f>
        <v/>
      </c>
      <c r="C95" s="92" t="s">
        <v>6132</v>
      </c>
      <c r="D95" s="92" t="str">
        <f>IF(ISERROR(MATCH(C95,SurveyDATA!AI:AI,0))=TRUE,"",MATCH(C95,SurveyDATA!AI:AI,0))</f>
        <v/>
      </c>
      <c r="E95" s="287" t="str">
        <f>IF(ISERROR(MATCH(C95,SurveyDATA!BL:BL,0))=TRUE,"",MATCH(C95,SurveyDATA!BL:BL,0))</f>
        <v/>
      </c>
      <c r="F95" s="92" t="s">
        <v>6133</v>
      </c>
      <c r="G95" s="287" t="str">
        <f>IF(ISERROR(MATCH(F95,SurveyDATA!BN:BN,0))=TRUE,"",MATCH(F95,SurveyDATA!BN:BN,0))</f>
        <v/>
      </c>
      <c r="H95" s="287" t="str">
        <f>IF(ISERROR(MATCH(F95,#REF!,0))=TRUE,"",MATCH(F95,#REF!,0))</f>
        <v/>
      </c>
      <c r="I95" s="287" t="s">
        <v>6950</v>
      </c>
      <c r="J95" s="92" t="str">
        <f>IF(ISERROR(MATCH(I95,SurveyDATA!D:D,0))=TRUE,"",MATCH(I95,SurveyDATA!D:D,0))</f>
        <v/>
      </c>
    </row>
    <row r="96" spans="1:10">
      <c r="A96" s="92" t="s">
        <v>6128</v>
      </c>
      <c r="B96" s="92" t="str">
        <f>IF(ISERROR(MATCH(A96,SurveyDATA!P:P,0))=TRUE,"",MATCH(A96,SurveyDATA!P:P,0))</f>
        <v/>
      </c>
      <c r="C96" s="92" t="s">
        <v>6134</v>
      </c>
      <c r="D96" s="92" t="str">
        <f>IF(ISERROR(MATCH(C96,SurveyDATA!AI:AI,0))=TRUE,"",MATCH(C96,SurveyDATA!AI:AI,0))</f>
        <v/>
      </c>
      <c r="E96" s="287" t="str">
        <f>IF(ISERROR(MATCH(C96,SurveyDATA!BL:BL,0))=TRUE,"",MATCH(C96,SurveyDATA!BL:BL,0))</f>
        <v/>
      </c>
      <c r="F96" s="92" t="s">
        <v>6130</v>
      </c>
      <c r="G96" s="287" t="str">
        <f>IF(ISERROR(MATCH(F96,SurveyDATA!BN:BN,0))=TRUE,"",MATCH(F96,SurveyDATA!BN:BN,0))</f>
        <v/>
      </c>
      <c r="H96" s="287" t="str">
        <f>IF(ISERROR(MATCH(F96,#REF!,0))=TRUE,"",MATCH(F96,#REF!,0))</f>
        <v/>
      </c>
      <c r="I96" s="287" t="s">
        <v>6951</v>
      </c>
      <c r="J96" s="92" t="str">
        <f>IF(ISERROR(MATCH(I96,SurveyDATA!D:D,0))=TRUE,"",MATCH(I96,SurveyDATA!D:D,0))</f>
        <v/>
      </c>
    </row>
    <row r="97" spans="1:10">
      <c r="A97" s="92" t="s">
        <v>6135</v>
      </c>
      <c r="B97" s="92" t="str">
        <f>IF(ISERROR(MATCH(A97,SurveyDATA!P:P,0))=TRUE,"",MATCH(A97,SurveyDATA!P:P,0))</f>
        <v/>
      </c>
      <c r="C97" s="92" t="s">
        <v>6136</v>
      </c>
      <c r="D97" s="92" t="str">
        <f>IF(ISERROR(MATCH(C97,SurveyDATA!AI:AI,0))=TRUE,"",MATCH(C97,SurveyDATA!AI:AI,0))</f>
        <v/>
      </c>
      <c r="E97" s="287" t="str">
        <f>IF(ISERROR(MATCH(C97,SurveyDATA!BL:BL,0))=TRUE,"",MATCH(C97,SurveyDATA!BL:BL,0))</f>
        <v/>
      </c>
      <c r="F97" s="92" t="s">
        <v>6137</v>
      </c>
      <c r="G97" s="287" t="str">
        <f>IF(ISERROR(MATCH(F97,SurveyDATA!BN:BN,0))=TRUE,"",MATCH(F97,SurveyDATA!BN:BN,0))</f>
        <v/>
      </c>
      <c r="H97" s="287" t="str">
        <f>IF(ISERROR(MATCH(F97,#REF!,0))=TRUE,"",MATCH(F97,#REF!,0))</f>
        <v/>
      </c>
      <c r="I97" s="287" t="s">
        <v>6952</v>
      </c>
      <c r="J97" s="92" t="str">
        <f>IF(ISERROR(MATCH(I97,SurveyDATA!D:D,0))=TRUE,"",MATCH(I97,SurveyDATA!D:D,0))</f>
        <v/>
      </c>
    </row>
    <row r="98" spans="1:10">
      <c r="A98" s="92" t="s">
        <v>6138</v>
      </c>
      <c r="B98" s="92" t="str">
        <f>IF(ISERROR(MATCH(A98,SurveyDATA!P:P,0))=TRUE,"",MATCH(A98,SurveyDATA!P:P,0))</f>
        <v/>
      </c>
      <c r="C98" s="92" t="s">
        <v>6139</v>
      </c>
      <c r="D98" s="92" t="str">
        <f>IF(ISERROR(MATCH(C98,SurveyDATA!AI:AI,0))=TRUE,"",MATCH(C98,SurveyDATA!AI:AI,0))</f>
        <v/>
      </c>
      <c r="E98" s="287" t="str">
        <f>IF(ISERROR(MATCH(C98,SurveyDATA!BL:BL,0))=TRUE,"",MATCH(C98,SurveyDATA!BL:BL,0))</f>
        <v/>
      </c>
      <c r="F98" s="92" t="s">
        <v>6140</v>
      </c>
      <c r="G98" s="287" t="str">
        <f>IF(ISERROR(MATCH(F98,SurveyDATA!BN:BN,0))=TRUE,"",MATCH(F98,SurveyDATA!BN:BN,0))</f>
        <v/>
      </c>
      <c r="H98" s="287" t="str">
        <f>IF(ISERROR(MATCH(F98,#REF!,0))=TRUE,"",MATCH(F98,#REF!,0))</f>
        <v/>
      </c>
      <c r="I98" s="287" t="s">
        <v>6953</v>
      </c>
      <c r="J98" s="92" t="str">
        <f>IF(ISERROR(MATCH(I98,SurveyDATA!D:D,0))=TRUE,"",MATCH(I98,SurveyDATA!D:D,0))</f>
        <v/>
      </c>
    </row>
    <row r="99" spans="1:10">
      <c r="A99" s="92" t="s">
        <v>6141</v>
      </c>
      <c r="B99" s="92" t="str">
        <f>IF(ISERROR(MATCH(A99,SurveyDATA!P:P,0))=TRUE,"",MATCH(A99,SurveyDATA!P:P,0))</f>
        <v/>
      </c>
      <c r="C99" s="92" t="s">
        <v>6142</v>
      </c>
      <c r="D99" s="92" t="str">
        <f>IF(ISERROR(MATCH(C99,SurveyDATA!AI:AI,0))=TRUE,"",MATCH(C99,SurveyDATA!AI:AI,0))</f>
        <v/>
      </c>
      <c r="E99" s="287" t="str">
        <f>IF(ISERROR(MATCH(C99,SurveyDATA!BL:BL,0))=TRUE,"",MATCH(C99,SurveyDATA!BL:BL,0))</f>
        <v/>
      </c>
      <c r="F99" s="92" t="s">
        <v>6143</v>
      </c>
      <c r="G99" s="287" t="str">
        <f>IF(ISERROR(MATCH(F99,SurveyDATA!BN:BN,0))=TRUE,"",MATCH(F99,SurveyDATA!BN:BN,0))</f>
        <v/>
      </c>
      <c r="H99" s="287" t="str">
        <f>IF(ISERROR(MATCH(F99,#REF!,0))=TRUE,"",MATCH(F99,#REF!,0))</f>
        <v/>
      </c>
      <c r="I99" s="287" t="s">
        <v>6954</v>
      </c>
      <c r="J99" s="92" t="str">
        <f>IF(ISERROR(MATCH(I99,SurveyDATA!D:D,0))=TRUE,"",MATCH(I99,SurveyDATA!D:D,0))</f>
        <v/>
      </c>
    </row>
    <row r="100" spans="1:10">
      <c r="A100" s="92" t="s">
        <v>6144</v>
      </c>
      <c r="B100" s="92" t="str">
        <f>IF(ISERROR(MATCH(A100,SurveyDATA!P:P,0))=TRUE,"",MATCH(A100,SurveyDATA!P:P,0))</f>
        <v/>
      </c>
      <c r="C100" s="92" t="s">
        <v>6145</v>
      </c>
      <c r="D100" s="92" t="str">
        <f>IF(ISERROR(MATCH(C100,SurveyDATA!AI:AI,0))=TRUE,"",MATCH(C100,SurveyDATA!AI:AI,0))</f>
        <v/>
      </c>
      <c r="E100" s="287" t="str">
        <f>IF(ISERROR(MATCH(C100,SurveyDATA!BL:BL,0))=TRUE,"",MATCH(C100,SurveyDATA!BL:BL,0))</f>
        <v/>
      </c>
      <c r="F100" s="92" t="s">
        <v>6146</v>
      </c>
      <c r="G100" s="287" t="str">
        <f>IF(ISERROR(MATCH(F100,SurveyDATA!BN:BN,0))=TRUE,"",MATCH(F100,SurveyDATA!BN:BN,0))</f>
        <v/>
      </c>
      <c r="H100" s="287" t="str">
        <f>IF(ISERROR(MATCH(F100,#REF!,0))=TRUE,"",MATCH(F100,#REF!,0))</f>
        <v/>
      </c>
      <c r="I100" s="287" t="s">
        <v>6955</v>
      </c>
      <c r="J100" s="92" t="str">
        <f>IF(ISERROR(MATCH(I100,SurveyDATA!D:D,0))=TRUE,"",MATCH(I100,SurveyDATA!D:D,0))</f>
        <v/>
      </c>
    </row>
    <row r="101" spans="1:10">
      <c r="A101" s="92" t="s">
        <v>6147</v>
      </c>
      <c r="B101" s="92" t="str">
        <f>IF(ISERROR(MATCH(A101,SurveyDATA!P:P,0))=TRUE,"",MATCH(A101,SurveyDATA!P:P,0))</f>
        <v/>
      </c>
      <c r="C101" s="92" t="s">
        <v>6148</v>
      </c>
      <c r="D101" s="92" t="str">
        <f>IF(ISERROR(MATCH(C101,SurveyDATA!AI:AI,0))=TRUE,"",MATCH(C101,SurveyDATA!AI:AI,0))</f>
        <v/>
      </c>
      <c r="E101" s="287" t="str">
        <f>IF(ISERROR(MATCH(C101,SurveyDATA!BL:BL,0))=TRUE,"",MATCH(C101,SurveyDATA!BL:BL,0))</f>
        <v/>
      </c>
      <c r="F101" s="92" t="s">
        <v>6149</v>
      </c>
      <c r="G101" s="287" t="str">
        <f>IF(ISERROR(MATCH(F101,SurveyDATA!BN:BN,0))=TRUE,"",MATCH(F101,SurveyDATA!BN:BN,0))</f>
        <v/>
      </c>
      <c r="H101" s="287" t="str">
        <f>IF(ISERROR(MATCH(F101,#REF!,0))=TRUE,"",MATCH(F101,#REF!,0))</f>
        <v/>
      </c>
      <c r="I101" s="287" t="s">
        <v>6956</v>
      </c>
      <c r="J101" s="92" t="str">
        <f>IF(ISERROR(MATCH(I101,SurveyDATA!D:D,0))=TRUE,"",MATCH(I101,SurveyDATA!D:D,0))</f>
        <v/>
      </c>
    </row>
    <row r="102" spans="1:10">
      <c r="A102" s="92" t="s">
        <v>6150</v>
      </c>
      <c r="B102" s="92" t="str">
        <f>IF(ISERROR(MATCH(A102,SurveyDATA!P:P,0))=TRUE,"",MATCH(A102,SurveyDATA!P:P,0))</f>
        <v/>
      </c>
      <c r="C102" s="92" t="s">
        <v>6151</v>
      </c>
      <c r="D102" s="92" t="str">
        <f>IF(ISERROR(MATCH(C102,SurveyDATA!AI:AI,0))=TRUE,"",MATCH(C102,SurveyDATA!AI:AI,0))</f>
        <v/>
      </c>
      <c r="E102" s="287" t="str">
        <f>IF(ISERROR(MATCH(C102,SurveyDATA!BL:BL,0))=TRUE,"",MATCH(C102,SurveyDATA!BL:BL,0))</f>
        <v/>
      </c>
      <c r="F102" s="92" t="s">
        <v>6152</v>
      </c>
      <c r="G102" s="287" t="str">
        <f>IF(ISERROR(MATCH(F102,SurveyDATA!BN:BN,0))=TRUE,"",MATCH(F102,SurveyDATA!BN:BN,0))</f>
        <v/>
      </c>
      <c r="H102" s="287" t="str">
        <f>IF(ISERROR(MATCH(F102,#REF!,0))=TRUE,"",MATCH(F102,#REF!,0))</f>
        <v/>
      </c>
      <c r="I102" s="287" t="s">
        <v>6957</v>
      </c>
      <c r="J102" s="92" t="str">
        <f>IF(ISERROR(MATCH(I102,SurveyDATA!D:D,0))=TRUE,"",MATCH(I102,SurveyDATA!D:D,0))</f>
        <v/>
      </c>
    </row>
    <row r="103" spans="1:10">
      <c r="A103" s="92" t="s">
        <v>6153</v>
      </c>
      <c r="B103" s="92" t="str">
        <f>IF(ISERROR(MATCH(A103,SurveyDATA!P:P,0))=TRUE,"",MATCH(A103,SurveyDATA!P:P,0))</f>
        <v/>
      </c>
      <c r="C103" s="92" t="s">
        <v>6154</v>
      </c>
      <c r="D103" s="92" t="str">
        <f>IF(ISERROR(MATCH(C103,SurveyDATA!AI:AI,0))=TRUE,"",MATCH(C103,SurveyDATA!AI:AI,0))</f>
        <v/>
      </c>
      <c r="E103" s="287" t="str">
        <f>IF(ISERROR(MATCH(C103,SurveyDATA!BL:BL,0))=TRUE,"",MATCH(C103,SurveyDATA!BL:BL,0))</f>
        <v/>
      </c>
      <c r="F103" s="92" t="s">
        <v>6155</v>
      </c>
      <c r="G103" s="287" t="str">
        <f>IF(ISERROR(MATCH(F103,SurveyDATA!BN:BN,0))=TRUE,"",MATCH(F103,SurveyDATA!BN:BN,0))</f>
        <v/>
      </c>
      <c r="H103" s="287" t="str">
        <f>IF(ISERROR(MATCH(F103,#REF!,0))=TRUE,"",MATCH(F103,#REF!,0))</f>
        <v/>
      </c>
      <c r="I103" s="287" t="s">
        <v>6958</v>
      </c>
      <c r="J103" s="92" t="str">
        <f>IF(ISERROR(MATCH(I103,SurveyDATA!D:D,0))=TRUE,"",MATCH(I103,SurveyDATA!D:D,0))</f>
        <v/>
      </c>
    </row>
    <row r="104" spans="1:10">
      <c r="A104" s="92" t="s">
        <v>6156</v>
      </c>
      <c r="B104" s="92" t="str">
        <f>IF(ISERROR(MATCH(A104,SurveyDATA!P:P,0))=TRUE,"",MATCH(A104,SurveyDATA!P:P,0))</f>
        <v/>
      </c>
      <c r="C104" s="92" t="s">
        <v>6157</v>
      </c>
      <c r="D104" s="92" t="str">
        <f>IF(ISERROR(MATCH(C104,SurveyDATA!AI:AI,0))=TRUE,"",MATCH(C104,SurveyDATA!AI:AI,0))</f>
        <v/>
      </c>
      <c r="E104" s="287" t="str">
        <f>IF(ISERROR(MATCH(C104,SurveyDATA!BL:BL,0))=TRUE,"",MATCH(C104,SurveyDATA!BL:BL,0))</f>
        <v/>
      </c>
      <c r="F104" s="92" t="s">
        <v>6158</v>
      </c>
      <c r="G104" s="287" t="str">
        <f>IF(ISERROR(MATCH(F104,SurveyDATA!BN:BN,0))=TRUE,"",MATCH(F104,SurveyDATA!BN:BN,0))</f>
        <v/>
      </c>
      <c r="H104" s="287" t="str">
        <f>IF(ISERROR(MATCH(F104,#REF!,0))=TRUE,"",MATCH(F104,#REF!,0))</f>
        <v/>
      </c>
      <c r="I104" s="287" t="s">
        <v>6959</v>
      </c>
      <c r="J104" s="92" t="str">
        <f>IF(ISERROR(MATCH(I104,SurveyDATA!D:D,0))=TRUE,"",MATCH(I104,SurveyDATA!D:D,0))</f>
        <v/>
      </c>
    </row>
    <row r="105" spans="1:10">
      <c r="A105" s="92" t="s">
        <v>6159</v>
      </c>
      <c r="B105" s="92" t="str">
        <f>IF(ISERROR(MATCH(A105,SurveyDATA!P:P,0))=TRUE,"",MATCH(A105,SurveyDATA!P:P,0))</f>
        <v/>
      </c>
      <c r="C105" s="92" t="s">
        <v>6160</v>
      </c>
      <c r="D105" s="92" t="str">
        <f>IF(ISERROR(MATCH(C105,SurveyDATA!AI:AI,0))=TRUE,"",MATCH(C105,SurveyDATA!AI:AI,0))</f>
        <v/>
      </c>
      <c r="E105" s="287" t="str">
        <f>IF(ISERROR(MATCH(C105,SurveyDATA!BL:BL,0))=TRUE,"",MATCH(C105,SurveyDATA!BL:BL,0))</f>
        <v/>
      </c>
      <c r="F105" s="92" t="s">
        <v>6161</v>
      </c>
      <c r="G105" s="287" t="str">
        <f>IF(ISERROR(MATCH(F105,SurveyDATA!BN:BN,0))=TRUE,"",MATCH(F105,SurveyDATA!BN:BN,0))</f>
        <v/>
      </c>
      <c r="H105" s="287" t="str">
        <f>IF(ISERROR(MATCH(F105,#REF!,0))=TRUE,"",MATCH(F105,#REF!,0))</f>
        <v/>
      </c>
      <c r="I105" s="287" t="s">
        <v>6960</v>
      </c>
      <c r="J105" s="92" t="str">
        <f>IF(ISERROR(MATCH(I105,SurveyDATA!D:D,0))=TRUE,"",MATCH(I105,SurveyDATA!D:D,0))</f>
        <v/>
      </c>
    </row>
    <row r="106" spans="1:10">
      <c r="A106" s="92" t="s">
        <v>6162</v>
      </c>
      <c r="B106" s="92" t="str">
        <f>IF(ISERROR(MATCH(A106,SurveyDATA!P:P,0))=TRUE,"",MATCH(A106,SurveyDATA!P:P,0))</f>
        <v/>
      </c>
      <c r="C106" s="92" t="s">
        <v>6163</v>
      </c>
      <c r="D106" s="92" t="str">
        <f>IF(ISERROR(MATCH(C106,SurveyDATA!AI:AI,0))=TRUE,"",MATCH(C106,SurveyDATA!AI:AI,0))</f>
        <v/>
      </c>
      <c r="E106" s="287" t="str">
        <f>IF(ISERROR(MATCH(C106,SurveyDATA!BL:BL,0))=TRUE,"",MATCH(C106,SurveyDATA!BL:BL,0))</f>
        <v/>
      </c>
      <c r="F106" s="92" t="s">
        <v>6164</v>
      </c>
      <c r="G106" s="287" t="str">
        <f>IF(ISERROR(MATCH(F106,SurveyDATA!BN:BN,0))=TRUE,"",MATCH(F106,SurveyDATA!BN:BN,0))</f>
        <v/>
      </c>
      <c r="H106" s="287" t="str">
        <f>IF(ISERROR(MATCH(F106,#REF!,0))=TRUE,"",MATCH(F106,#REF!,0))</f>
        <v/>
      </c>
      <c r="I106" s="287" t="s">
        <v>6961</v>
      </c>
      <c r="J106" s="92" t="str">
        <f>IF(ISERROR(MATCH(I106,SurveyDATA!D:D,0))=TRUE,"",MATCH(I106,SurveyDATA!D:D,0))</f>
        <v/>
      </c>
    </row>
    <row r="107" spans="1:10">
      <c r="A107" s="92" t="s">
        <v>6165</v>
      </c>
      <c r="B107" s="92" t="str">
        <f>IF(ISERROR(MATCH(A107,SurveyDATA!P:P,0))=TRUE,"",MATCH(A107,SurveyDATA!P:P,0))</f>
        <v/>
      </c>
      <c r="C107" s="92" t="s">
        <v>6166</v>
      </c>
      <c r="D107" s="92" t="str">
        <f>IF(ISERROR(MATCH(C107,SurveyDATA!AI:AI,0))=TRUE,"",MATCH(C107,SurveyDATA!AI:AI,0))</f>
        <v/>
      </c>
      <c r="E107" s="287" t="str">
        <f>IF(ISERROR(MATCH(C107,SurveyDATA!BL:BL,0))=TRUE,"",MATCH(C107,SurveyDATA!BL:BL,0))</f>
        <v/>
      </c>
      <c r="F107" s="92" t="s">
        <v>6167</v>
      </c>
      <c r="G107" s="287" t="str">
        <f>IF(ISERROR(MATCH(F107,SurveyDATA!BN:BN,0))=TRUE,"",MATCH(F107,SurveyDATA!BN:BN,0))</f>
        <v/>
      </c>
      <c r="H107" s="287" t="str">
        <f>IF(ISERROR(MATCH(F107,#REF!,0))=TRUE,"",MATCH(F107,#REF!,0))</f>
        <v/>
      </c>
      <c r="I107" s="287" t="s">
        <v>6962</v>
      </c>
      <c r="J107" s="92" t="str">
        <f>IF(ISERROR(MATCH(I107,SurveyDATA!D:D,0))=TRUE,"",MATCH(I107,SurveyDATA!D:D,0))</f>
        <v/>
      </c>
    </row>
    <row r="108" spans="1:10">
      <c r="A108" s="92" t="s">
        <v>6168</v>
      </c>
      <c r="B108" s="92" t="str">
        <f>IF(ISERROR(MATCH(A108,SurveyDATA!P:P,0))=TRUE,"",MATCH(A108,SurveyDATA!P:P,0))</f>
        <v/>
      </c>
      <c r="C108" s="92" t="s">
        <v>6169</v>
      </c>
      <c r="D108" s="92" t="str">
        <f>IF(ISERROR(MATCH(C108,SurveyDATA!AI:AI,0))=TRUE,"",MATCH(C108,SurveyDATA!AI:AI,0))</f>
        <v/>
      </c>
      <c r="E108" s="287" t="str">
        <f>IF(ISERROR(MATCH(C108,SurveyDATA!BL:BL,0))=TRUE,"",MATCH(C108,SurveyDATA!BL:BL,0))</f>
        <v/>
      </c>
      <c r="F108" s="92" t="s">
        <v>6170</v>
      </c>
      <c r="G108" s="287" t="str">
        <f>IF(ISERROR(MATCH(F108,SurveyDATA!BN:BN,0))=TRUE,"",MATCH(F108,SurveyDATA!BN:BN,0))</f>
        <v/>
      </c>
      <c r="H108" s="287" t="str">
        <f>IF(ISERROR(MATCH(F108,#REF!,0))=TRUE,"",MATCH(F108,#REF!,0))</f>
        <v/>
      </c>
      <c r="I108" s="287" t="s">
        <v>6963</v>
      </c>
      <c r="J108" s="92" t="str">
        <f>IF(ISERROR(MATCH(I108,SurveyDATA!D:D,0))=TRUE,"",MATCH(I108,SurveyDATA!D:D,0))</f>
        <v/>
      </c>
    </row>
    <row r="109" spans="1:10">
      <c r="A109" s="92" t="s">
        <v>6171</v>
      </c>
      <c r="B109" s="92" t="str">
        <f>IF(ISERROR(MATCH(A109,SurveyDATA!P:P,0))=TRUE,"",MATCH(A109,SurveyDATA!P:P,0))</f>
        <v/>
      </c>
      <c r="C109" s="92" t="s">
        <v>6172</v>
      </c>
      <c r="D109" s="92" t="str">
        <f>IF(ISERROR(MATCH(C109,SurveyDATA!AI:AI,0))=TRUE,"",MATCH(C109,SurveyDATA!AI:AI,0))</f>
        <v/>
      </c>
      <c r="E109" s="287" t="str">
        <f>IF(ISERROR(MATCH(C109,SurveyDATA!BL:BL,0))=TRUE,"",MATCH(C109,SurveyDATA!BL:BL,0))</f>
        <v/>
      </c>
      <c r="F109" s="92" t="s">
        <v>6173</v>
      </c>
      <c r="G109" s="287" t="str">
        <f>IF(ISERROR(MATCH(F109,SurveyDATA!BN:BN,0))=TRUE,"",MATCH(F109,SurveyDATA!BN:BN,0))</f>
        <v/>
      </c>
      <c r="H109" s="287" t="str">
        <f>IF(ISERROR(MATCH(F109,#REF!,0))=TRUE,"",MATCH(F109,#REF!,0))</f>
        <v/>
      </c>
      <c r="I109" s="287" t="s">
        <v>6964</v>
      </c>
      <c r="J109" s="92" t="str">
        <f>IF(ISERROR(MATCH(I109,SurveyDATA!D:D,0))=TRUE,"",MATCH(I109,SurveyDATA!D:D,0))</f>
        <v/>
      </c>
    </row>
    <row r="110" spans="1:10">
      <c r="A110" s="92" t="s">
        <v>6174</v>
      </c>
      <c r="B110" s="92" t="str">
        <f>IF(ISERROR(MATCH(A110,SurveyDATA!P:P,0))=TRUE,"",MATCH(A110,SurveyDATA!P:P,0))</f>
        <v/>
      </c>
      <c r="C110" s="92" t="s">
        <v>6175</v>
      </c>
      <c r="D110" s="92" t="str">
        <f>IF(ISERROR(MATCH(C110,SurveyDATA!AI:AI,0))=TRUE,"",MATCH(C110,SurveyDATA!AI:AI,0))</f>
        <v/>
      </c>
      <c r="E110" s="287" t="str">
        <f>IF(ISERROR(MATCH(C110,SurveyDATA!BL:BL,0))=TRUE,"",MATCH(C110,SurveyDATA!BL:BL,0))</f>
        <v/>
      </c>
      <c r="F110" s="92" t="s">
        <v>6176</v>
      </c>
      <c r="G110" s="287" t="str">
        <f>IF(ISERROR(MATCH(F110,SurveyDATA!BN:BN,0))=TRUE,"",MATCH(F110,SurveyDATA!BN:BN,0))</f>
        <v/>
      </c>
      <c r="H110" s="287" t="str">
        <f>IF(ISERROR(MATCH(F110,#REF!,0))=TRUE,"",MATCH(F110,#REF!,0))</f>
        <v/>
      </c>
      <c r="I110" s="287" t="s">
        <v>6965</v>
      </c>
      <c r="J110" s="92" t="str">
        <f>IF(ISERROR(MATCH(I110,SurveyDATA!D:D,0))=TRUE,"",MATCH(I110,SurveyDATA!D:D,0))</f>
        <v/>
      </c>
    </row>
    <row r="111" spans="1:10">
      <c r="A111" s="92" t="s">
        <v>6177</v>
      </c>
      <c r="B111" s="92" t="str">
        <f>IF(ISERROR(MATCH(A111,SurveyDATA!P:P,0))=TRUE,"",MATCH(A111,SurveyDATA!P:P,0))</f>
        <v/>
      </c>
      <c r="C111" s="92" t="s">
        <v>6178</v>
      </c>
      <c r="D111" s="92" t="str">
        <f>IF(ISERROR(MATCH(C111,SurveyDATA!AI:AI,0))=TRUE,"",MATCH(C111,SurveyDATA!AI:AI,0))</f>
        <v/>
      </c>
      <c r="E111" s="287" t="str">
        <f>IF(ISERROR(MATCH(C111,SurveyDATA!BL:BL,0))=TRUE,"",MATCH(C111,SurveyDATA!BL:BL,0))</f>
        <v/>
      </c>
      <c r="F111" s="92" t="s">
        <v>6179</v>
      </c>
      <c r="G111" s="287" t="str">
        <f>IF(ISERROR(MATCH(F111,SurveyDATA!BN:BN,0))=TRUE,"",MATCH(F111,SurveyDATA!BN:BN,0))</f>
        <v/>
      </c>
      <c r="H111" s="287" t="str">
        <f>IF(ISERROR(MATCH(F111,#REF!,0))=TRUE,"",MATCH(F111,#REF!,0))</f>
        <v/>
      </c>
      <c r="I111" s="287" t="s">
        <v>6966</v>
      </c>
      <c r="J111" s="92" t="str">
        <f>IF(ISERROR(MATCH(I111,SurveyDATA!D:D,0))=TRUE,"",MATCH(I111,SurveyDATA!D:D,0))</f>
        <v/>
      </c>
    </row>
    <row r="112" spans="1:10">
      <c r="A112" s="92" t="s">
        <v>6180</v>
      </c>
      <c r="B112" s="92" t="str">
        <f>IF(ISERROR(MATCH(A112,SurveyDATA!P:P,0))=TRUE,"",MATCH(A112,SurveyDATA!P:P,0))</f>
        <v/>
      </c>
      <c r="C112" s="92" t="s">
        <v>6181</v>
      </c>
      <c r="D112" s="92" t="str">
        <f>IF(ISERROR(MATCH(C112,SurveyDATA!AI:AI,0))=TRUE,"",MATCH(C112,SurveyDATA!AI:AI,0))</f>
        <v/>
      </c>
      <c r="E112" s="287" t="str">
        <f>IF(ISERROR(MATCH(C112,SurveyDATA!BL:BL,0))=TRUE,"",MATCH(C112,SurveyDATA!BL:BL,0))</f>
        <v/>
      </c>
      <c r="F112" s="92" t="s">
        <v>6182</v>
      </c>
      <c r="G112" s="287" t="str">
        <f>IF(ISERROR(MATCH(F112,SurveyDATA!BN:BN,0))=TRUE,"",MATCH(F112,SurveyDATA!BN:BN,0))</f>
        <v/>
      </c>
      <c r="H112" s="287" t="str">
        <f>IF(ISERROR(MATCH(F112,#REF!,0))=TRUE,"",MATCH(F112,#REF!,0))</f>
        <v/>
      </c>
      <c r="I112" s="287" t="s">
        <v>6967</v>
      </c>
      <c r="J112" s="92" t="str">
        <f>IF(ISERROR(MATCH(I112,SurveyDATA!D:D,0))=TRUE,"",MATCH(I112,SurveyDATA!D:D,0))</f>
        <v/>
      </c>
    </row>
    <row r="113" spans="1:10">
      <c r="A113" s="92" t="s">
        <v>6183</v>
      </c>
      <c r="B113" s="92" t="str">
        <f>IF(ISERROR(MATCH(A113,SurveyDATA!P:P,0))=TRUE,"",MATCH(A113,SurveyDATA!P:P,0))</f>
        <v/>
      </c>
      <c r="C113" s="92" t="s">
        <v>6184</v>
      </c>
      <c r="D113" s="92" t="str">
        <f>IF(ISERROR(MATCH(C113,SurveyDATA!AI:AI,0))=TRUE,"",MATCH(C113,SurveyDATA!AI:AI,0))</f>
        <v/>
      </c>
      <c r="E113" s="287" t="str">
        <f>IF(ISERROR(MATCH(C113,SurveyDATA!BL:BL,0))=TRUE,"",MATCH(C113,SurveyDATA!BL:BL,0))</f>
        <v/>
      </c>
      <c r="F113" s="92" t="s">
        <v>6185</v>
      </c>
      <c r="G113" s="287" t="str">
        <f>IF(ISERROR(MATCH(F113,SurveyDATA!BN:BN,0))=TRUE,"",MATCH(F113,SurveyDATA!BN:BN,0))</f>
        <v/>
      </c>
      <c r="H113" s="287" t="str">
        <f>IF(ISERROR(MATCH(F113,#REF!,0))=TRUE,"",MATCH(F113,#REF!,0))</f>
        <v/>
      </c>
      <c r="I113" s="287" t="s">
        <v>6968</v>
      </c>
      <c r="J113" s="92" t="str">
        <f>IF(ISERROR(MATCH(I113,SurveyDATA!D:D,0))=TRUE,"",MATCH(I113,SurveyDATA!D:D,0))</f>
        <v/>
      </c>
    </row>
    <row r="114" spans="1:10">
      <c r="A114" s="92" t="s">
        <v>6186</v>
      </c>
      <c r="B114" s="92" t="str">
        <f>IF(ISERROR(MATCH(A114,SurveyDATA!P:P,0))=TRUE,"",MATCH(A114,SurveyDATA!P:P,0))</f>
        <v/>
      </c>
      <c r="C114" s="92" t="s">
        <v>6187</v>
      </c>
      <c r="D114" s="92" t="str">
        <f>IF(ISERROR(MATCH(C114,SurveyDATA!AI:AI,0))=TRUE,"",MATCH(C114,SurveyDATA!AI:AI,0))</f>
        <v/>
      </c>
      <c r="E114" s="287" t="str">
        <f>IF(ISERROR(MATCH(C114,SurveyDATA!BL:BL,0))=TRUE,"",MATCH(C114,SurveyDATA!BL:BL,0))</f>
        <v/>
      </c>
      <c r="F114" s="92" t="s">
        <v>6188</v>
      </c>
      <c r="G114" s="287" t="str">
        <f>IF(ISERROR(MATCH(F114,SurveyDATA!BN:BN,0))=TRUE,"",MATCH(F114,SurveyDATA!BN:BN,0))</f>
        <v/>
      </c>
      <c r="H114" s="287" t="str">
        <f>IF(ISERROR(MATCH(F114,#REF!,0))=TRUE,"",MATCH(F114,#REF!,0))</f>
        <v/>
      </c>
      <c r="I114" s="287" t="s">
        <v>6969</v>
      </c>
      <c r="J114" s="92" t="str">
        <f>IF(ISERROR(MATCH(I114,SurveyDATA!D:D,0))=TRUE,"",MATCH(I114,SurveyDATA!D:D,0))</f>
        <v/>
      </c>
    </row>
    <row r="115" spans="1:10">
      <c r="A115" s="92" t="s">
        <v>6189</v>
      </c>
      <c r="B115" s="92" t="str">
        <f>IF(ISERROR(MATCH(A115,SurveyDATA!P:P,0))=TRUE,"",MATCH(A115,SurveyDATA!P:P,0))</f>
        <v/>
      </c>
      <c r="C115" s="92" t="s">
        <v>6190</v>
      </c>
      <c r="D115" s="92" t="str">
        <f>IF(ISERROR(MATCH(C115,SurveyDATA!AI:AI,0))=TRUE,"",MATCH(C115,SurveyDATA!AI:AI,0))</f>
        <v/>
      </c>
      <c r="E115" s="287" t="str">
        <f>IF(ISERROR(MATCH(C115,SurveyDATA!BL:BL,0))=TRUE,"",MATCH(C115,SurveyDATA!BL:BL,0))</f>
        <v/>
      </c>
      <c r="F115" s="92" t="s">
        <v>6191</v>
      </c>
      <c r="G115" s="287" t="str">
        <f>IF(ISERROR(MATCH(F115,SurveyDATA!BN:BN,0))=TRUE,"",MATCH(F115,SurveyDATA!BN:BN,0))</f>
        <v/>
      </c>
      <c r="H115" s="287" t="str">
        <f>IF(ISERROR(MATCH(F115,#REF!,0))=TRUE,"",MATCH(F115,#REF!,0))</f>
        <v/>
      </c>
      <c r="I115" s="287" t="s">
        <v>5911</v>
      </c>
      <c r="J115" s="92" t="str">
        <f>IF(ISERROR(MATCH(I115,SurveyDATA!D:D,0))=TRUE,"",MATCH(I115,SurveyDATA!D:D,0))</f>
        <v/>
      </c>
    </row>
    <row r="116" spans="1:10">
      <c r="A116" s="92" t="s">
        <v>6192</v>
      </c>
      <c r="B116" s="92" t="str">
        <f>IF(ISERROR(MATCH(A116,SurveyDATA!P:P,0))=TRUE,"",MATCH(A116,SurveyDATA!P:P,0))</f>
        <v/>
      </c>
      <c r="C116" s="92" t="s">
        <v>6193</v>
      </c>
      <c r="D116" s="92" t="str">
        <f>IF(ISERROR(MATCH(C116,SurveyDATA!AI:AI,0))=TRUE,"",MATCH(C116,SurveyDATA!AI:AI,0))</f>
        <v/>
      </c>
      <c r="E116" s="287" t="str">
        <f>IF(ISERROR(MATCH(C116,SurveyDATA!BL:BL,0))=TRUE,"",MATCH(C116,SurveyDATA!BL:BL,0))</f>
        <v/>
      </c>
      <c r="F116" s="92" t="s">
        <v>6194</v>
      </c>
      <c r="G116" s="287" t="str">
        <f>IF(ISERROR(MATCH(F116,SurveyDATA!BN:BN,0))=TRUE,"",MATCH(F116,SurveyDATA!BN:BN,0))</f>
        <v/>
      </c>
      <c r="H116" s="287" t="str">
        <f>IF(ISERROR(MATCH(F116,#REF!,0))=TRUE,"",MATCH(F116,#REF!,0))</f>
        <v/>
      </c>
      <c r="I116" s="287" t="s">
        <v>6970</v>
      </c>
      <c r="J116" s="92" t="str">
        <f>IF(ISERROR(MATCH(I116,SurveyDATA!D:D,0))=TRUE,"",MATCH(I116,SurveyDATA!D:D,0))</f>
        <v/>
      </c>
    </row>
    <row r="117" spans="1:10">
      <c r="A117" s="92" t="s">
        <v>6195</v>
      </c>
      <c r="B117" s="92" t="str">
        <f>IF(ISERROR(MATCH(A117,SurveyDATA!P:P,0))=TRUE,"",MATCH(A117,SurveyDATA!P:P,0))</f>
        <v/>
      </c>
      <c r="C117" s="92" t="s">
        <v>6196</v>
      </c>
      <c r="D117" s="92" t="str">
        <f>IF(ISERROR(MATCH(C117,SurveyDATA!AI:AI,0))=TRUE,"",MATCH(C117,SurveyDATA!AI:AI,0))</f>
        <v/>
      </c>
      <c r="E117" s="287" t="str">
        <f>IF(ISERROR(MATCH(C117,SurveyDATA!BL:BL,0))=TRUE,"",MATCH(C117,SurveyDATA!BL:BL,0))</f>
        <v/>
      </c>
      <c r="F117" s="92" t="s">
        <v>6197</v>
      </c>
      <c r="G117" s="287" t="str">
        <f>IF(ISERROR(MATCH(F117,SurveyDATA!BN:BN,0))=TRUE,"",MATCH(F117,SurveyDATA!BN:BN,0))</f>
        <v/>
      </c>
      <c r="H117" s="287" t="str">
        <f>IF(ISERROR(MATCH(F117,#REF!,0))=TRUE,"",MATCH(F117,#REF!,0))</f>
        <v/>
      </c>
      <c r="I117" s="287" t="s">
        <v>6971</v>
      </c>
      <c r="J117" s="92" t="str">
        <f>IF(ISERROR(MATCH(I117,SurveyDATA!D:D,0))=TRUE,"",MATCH(I117,SurveyDATA!D:D,0))</f>
        <v/>
      </c>
    </row>
    <row r="118" spans="1:10">
      <c r="A118" s="92" t="s">
        <v>6198</v>
      </c>
      <c r="B118" s="92" t="str">
        <f>IF(ISERROR(MATCH(A118,SurveyDATA!P:P,0))=TRUE,"",MATCH(A118,SurveyDATA!P:P,0))</f>
        <v/>
      </c>
      <c r="C118" s="92" t="s">
        <v>6199</v>
      </c>
      <c r="D118" s="92" t="str">
        <f>IF(ISERROR(MATCH(C118,SurveyDATA!AI:AI,0))=TRUE,"",MATCH(C118,SurveyDATA!AI:AI,0))</f>
        <v/>
      </c>
      <c r="E118" s="287" t="str">
        <f>IF(ISERROR(MATCH(C118,SurveyDATA!BL:BL,0))=TRUE,"",MATCH(C118,SurveyDATA!BL:BL,0))</f>
        <v/>
      </c>
      <c r="F118" s="92" t="s">
        <v>6200</v>
      </c>
      <c r="G118" s="287" t="str">
        <f>IF(ISERROR(MATCH(F118,SurveyDATA!BN:BN,0))=TRUE,"",MATCH(F118,SurveyDATA!BN:BN,0))</f>
        <v/>
      </c>
      <c r="H118" s="287" t="str">
        <f>IF(ISERROR(MATCH(F118,#REF!,0))=TRUE,"",MATCH(F118,#REF!,0))</f>
        <v/>
      </c>
      <c r="I118" s="287" t="s">
        <v>6972</v>
      </c>
      <c r="J118" s="92" t="str">
        <f>IF(ISERROR(MATCH(I118,SurveyDATA!D:D,0))=TRUE,"",MATCH(I118,SurveyDATA!D:D,0))</f>
        <v/>
      </c>
    </row>
    <row r="119" spans="1:10">
      <c r="A119" s="92" t="s">
        <v>6201</v>
      </c>
      <c r="B119" s="92" t="str">
        <f>IF(ISERROR(MATCH(A119,SurveyDATA!P:P,0))=TRUE,"",MATCH(A119,SurveyDATA!P:P,0))</f>
        <v/>
      </c>
      <c r="C119" s="92" t="s">
        <v>6202</v>
      </c>
      <c r="D119" s="92" t="str">
        <f>IF(ISERROR(MATCH(C119,SurveyDATA!AI:AI,0))=TRUE,"",MATCH(C119,SurveyDATA!AI:AI,0))</f>
        <v/>
      </c>
      <c r="E119" s="287" t="str">
        <f>IF(ISERROR(MATCH(C119,SurveyDATA!BL:BL,0))=TRUE,"",MATCH(C119,SurveyDATA!BL:BL,0))</f>
        <v/>
      </c>
      <c r="F119" s="92" t="s">
        <v>6203</v>
      </c>
      <c r="G119" s="287" t="str">
        <f>IF(ISERROR(MATCH(F119,SurveyDATA!BN:BN,0))=TRUE,"",MATCH(F119,SurveyDATA!BN:BN,0))</f>
        <v/>
      </c>
      <c r="H119" s="287" t="str">
        <f>IF(ISERROR(MATCH(F119,#REF!,0))=TRUE,"",MATCH(F119,#REF!,0))</f>
        <v/>
      </c>
      <c r="I119" s="287" t="s">
        <v>5911</v>
      </c>
      <c r="J119" s="92" t="str">
        <f>IF(ISERROR(MATCH(I119,SurveyDATA!D:D,0))=TRUE,"",MATCH(I119,SurveyDATA!D:D,0))</f>
        <v/>
      </c>
    </row>
    <row r="120" spans="1:10">
      <c r="A120" s="92" t="s">
        <v>6204</v>
      </c>
      <c r="B120" s="92" t="str">
        <f>IF(ISERROR(MATCH(A120,SurveyDATA!P:P,0))=TRUE,"",MATCH(A120,SurveyDATA!P:P,0))</f>
        <v/>
      </c>
      <c r="C120" s="92" t="s">
        <v>6205</v>
      </c>
      <c r="D120" s="92" t="str">
        <f>IF(ISERROR(MATCH(C120,SurveyDATA!AI:AI,0))=TRUE,"",MATCH(C120,SurveyDATA!AI:AI,0))</f>
        <v/>
      </c>
      <c r="E120" s="287" t="str">
        <f>IF(ISERROR(MATCH(C120,SurveyDATA!BL:BL,0))=TRUE,"",MATCH(C120,SurveyDATA!BL:BL,0))</f>
        <v/>
      </c>
      <c r="F120" s="92" t="s">
        <v>6206</v>
      </c>
      <c r="G120" s="287" t="str">
        <f>IF(ISERROR(MATCH(F120,SurveyDATA!BN:BN,0))=TRUE,"",MATCH(F120,SurveyDATA!BN:BN,0))</f>
        <v/>
      </c>
      <c r="H120" s="287" t="str">
        <f>IF(ISERROR(MATCH(F120,#REF!,0))=TRUE,"",MATCH(F120,#REF!,0))</f>
        <v/>
      </c>
      <c r="I120" s="287" t="s">
        <v>6973</v>
      </c>
      <c r="J120" s="92" t="str">
        <f>IF(ISERROR(MATCH(I120,SurveyDATA!D:D,0))=TRUE,"",MATCH(I120,SurveyDATA!D:D,0))</f>
        <v/>
      </c>
    </row>
    <row r="121" spans="1:10">
      <c r="A121" s="92" t="s">
        <v>6207</v>
      </c>
      <c r="B121" s="92" t="str">
        <f>IF(ISERROR(MATCH(A121,SurveyDATA!P:P,0))=TRUE,"",MATCH(A121,SurveyDATA!P:P,0))</f>
        <v/>
      </c>
      <c r="C121" s="92" t="s">
        <v>6208</v>
      </c>
      <c r="D121" s="92" t="str">
        <f>IF(ISERROR(MATCH(C121,SurveyDATA!AI:AI,0))=TRUE,"",MATCH(C121,SurveyDATA!AI:AI,0))</f>
        <v/>
      </c>
      <c r="E121" s="287" t="str">
        <f>IF(ISERROR(MATCH(C121,SurveyDATA!BL:BL,0))=TRUE,"",MATCH(C121,SurveyDATA!BL:BL,0))</f>
        <v/>
      </c>
      <c r="F121" s="92" t="s">
        <v>6209</v>
      </c>
      <c r="G121" s="287" t="str">
        <f>IF(ISERROR(MATCH(F121,SurveyDATA!BN:BN,0))=TRUE,"",MATCH(F121,SurveyDATA!BN:BN,0))</f>
        <v/>
      </c>
      <c r="H121" s="287" t="str">
        <f>IF(ISERROR(MATCH(F121,#REF!,0))=TRUE,"",MATCH(F121,#REF!,0))</f>
        <v/>
      </c>
      <c r="I121" s="287" t="s">
        <v>6974</v>
      </c>
      <c r="J121" s="92" t="str">
        <f>IF(ISERROR(MATCH(I121,SurveyDATA!D:D,0))=TRUE,"",MATCH(I121,SurveyDATA!D:D,0))</f>
        <v/>
      </c>
    </row>
    <row r="122" spans="1:10">
      <c r="A122" s="92" t="s">
        <v>6210</v>
      </c>
      <c r="B122" s="92" t="str">
        <f>IF(ISERROR(MATCH(A122,SurveyDATA!P:P,0))=TRUE,"",MATCH(A122,SurveyDATA!P:P,0))</f>
        <v/>
      </c>
      <c r="C122" s="92" t="s">
        <v>6211</v>
      </c>
      <c r="D122" s="92" t="str">
        <f>IF(ISERROR(MATCH(C122,SurveyDATA!AI:AI,0))=TRUE,"",MATCH(C122,SurveyDATA!AI:AI,0))</f>
        <v/>
      </c>
      <c r="E122" s="287" t="str">
        <f>IF(ISERROR(MATCH(C122,SurveyDATA!BL:BL,0))=TRUE,"",MATCH(C122,SurveyDATA!BL:BL,0))</f>
        <v/>
      </c>
      <c r="F122" s="92" t="s">
        <v>6212</v>
      </c>
      <c r="G122" s="287" t="str">
        <f>IF(ISERROR(MATCH(F122,SurveyDATA!BN:BN,0))=TRUE,"",MATCH(F122,SurveyDATA!BN:BN,0))</f>
        <v/>
      </c>
      <c r="H122" s="287" t="str">
        <f>IF(ISERROR(MATCH(F122,#REF!,0))=TRUE,"",MATCH(F122,#REF!,0))</f>
        <v/>
      </c>
      <c r="I122" s="287" t="s">
        <v>6975</v>
      </c>
      <c r="J122" s="92" t="str">
        <f>IF(ISERROR(MATCH(I122,SurveyDATA!D:D,0))=TRUE,"",MATCH(I122,SurveyDATA!D:D,0))</f>
        <v/>
      </c>
    </row>
    <row r="123" spans="1:10">
      <c r="A123" s="92" t="s">
        <v>6213</v>
      </c>
      <c r="B123" s="92" t="str">
        <f>IF(ISERROR(MATCH(A123,SurveyDATA!P:P,0))=TRUE,"",MATCH(A123,SurveyDATA!P:P,0))</f>
        <v/>
      </c>
      <c r="C123" s="92" t="s">
        <v>6214</v>
      </c>
      <c r="D123" s="92" t="str">
        <f>IF(ISERROR(MATCH(C123,SurveyDATA!AI:AI,0))=TRUE,"",MATCH(C123,SurveyDATA!AI:AI,0))</f>
        <v/>
      </c>
      <c r="E123" s="287" t="str">
        <f>IF(ISERROR(MATCH(C123,SurveyDATA!BL:BL,0))=TRUE,"",MATCH(C123,SurveyDATA!BL:BL,0))</f>
        <v/>
      </c>
      <c r="F123" s="92" t="s">
        <v>6215</v>
      </c>
      <c r="G123" s="287" t="str">
        <f>IF(ISERROR(MATCH(F123,SurveyDATA!BN:BN,0))=TRUE,"",MATCH(F123,SurveyDATA!BN:BN,0))</f>
        <v/>
      </c>
      <c r="H123" s="287" t="str">
        <f>IF(ISERROR(MATCH(F123,#REF!,0))=TRUE,"",MATCH(F123,#REF!,0))</f>
        <v/>
      </c>
      <c r="I123" s="287" t="s">
        <v>6976</v>
      </c>
      <c r="J123" s="92" t="str">
        <f>IF(ISERROR(MATCH(I123,SurveyDATA!D:D,0))=TRUE,"",MATCH(I123,SurveyDATA!D:D,0))</f>
        <v/>
      </c>
    </row>
    <row r="124" spans="1:10">
      <c r="A124" s="92" t="s">
        <v>6216</v>
      </c>
      <c r="B124" s="92" t="str">
        <f>IF(ISERROR(MATCH(A124,SurveyDATA!P:P,0))=TRUE,"",MATCH(A124,SurveyDATA!P:P,0))</f>
        <v/>
      </c>
      <c r="C124" s="92" t="s">
        <v>6217</v>
      </c>
      <c r="D124" s="92" t="str">
        <f>IF(ISERROR(MATCH(C124,SurveyDATA!AI:AI,0))=TRUE,"",MATCH(C124,SurveyDATA!AI:AI,0))</f>
        <v/>
      </c>
      <c r="E124" s="287" t="str">
        <f>IF(ISERROR(MATCH(C124,SurveyDATA!BL:BL,0))=TRUE,"",MATCH(C124,SurveyDATA!BL:BL,0))</f>
        <v/>
      </c>
      <c r="F124" s="92" t="s">
        <v>6218</v>
      </c>
      <c r="G124" s="287" t="str">
        <f>IF(ISERROR(MATCH(F124,SurveyDATA!BN:BN,0))=TRUE,"",MATCH(F124,SurveyDATA!BN:BN,0))</f>
        <v/>
      </c>
      <c r="H124" s="287" t="str">
        <f>IF(ISERROR(MATCH(F124,#REF!,0))=TRUE,"",MATCH(F124,#REF!,0))</f>
        <v/>
      </c>
      <c r="I124" s="287" t="s">
        <v>6977</v>
      </c>
      <c r="J124" s="92" t="str">
        <f>IF(ISERROR(MATCH(I124,SurveyDATA!D:D,0))=TRUE,"",MATCH(I124,SurveyDATA!D:D,0))</f>
        <v/>
      </c>
    </row>
    <row r="125" spans="1:10">
      <c r="A125" s="92" t="s">
        <v>6219</v>
      </c>
      <c r="B125" s="92" t="str">
        <f>IF(ISERROR(MATCH(A125,SurveyDATA!P:P,0))=TRUE,"",MATCH(A125,SurveyDATA!P:P,0))</f>
        <v/>
      </c>
      <c r="C125" s="92" t="s">
        <v>6220</v>
      </c>
      <c r="D125" s="92" t="str">
        <f>IF(ISERROR(MATCH(C125,SurveyDATA!AI:AI,0))=TRUE,"",MATCH(C125,SurveyDATA!AI:AI,0))</f>
        <v/>
      </c>
      <c r="E125" s="287" t="str">
        <f>IF(ISERROR(MATCH(C125,SurveyDATA!BL:BL,0))=TRUE,"",MATCH(C125,SurveyDATA!BL:BL,0))</f>
        <v/>
      </c>
      <c r="F125" s="92" t="s">
        <v>6221</v>
      </c>
      <c r="G125" s="287" t="str">
        <f>IF(ISERROR(MATCH(F125,SurveyDATA!BN:BN,0))=TRUE,"",MATCH(F125,SurveyDATA!BN:BN,0))</f>
        <v/>
      </c>
      <c r="H125" s="287" t="str">
        <f>IF(ISERROR(MATCH(F125,#REF!,0))=TRUE,"",MATCH(F125,#REF!,0))</f>
        <v/>
      </c>
      <c r="I125" s="287" t="s">
        <v>6978</v>
      </c>
      <c r="J125" s="92" t="str">
        <f>IF(ISERROR(MATCH(I125,SurveyDATA!D:D,0))=TRUE,"",MATCH(I125,SurveyDATA!D:D,0))</f>
        <v/>
      </c>
    </row>
    <row r="126" spans="1:10">
      <c r="A126" s="92" t="s">
        <v>6222</v>
      </c>
      <c r="B126" s="92" t="str">
        <f>IF(ISERROR(MATCH(A126,SurveyDATA!P:P,0))=TRUE,"",MATCH(A126,SurveyDATA!P:P,0))</f>
        <v/>
      </c>
      <c r="C126" s="92" t="s">
        <v>6223</v>
      </c>
      <c r="D126" s="92" t="str">
        <f>IF(ISERROR(MATCH(C126,SurveyDATA!AI:AI,0))=TRUE,"",MATCH(C126,SurveyDATA!AI:AI,0))</f>
        <v/>
      </c>
      <c r="E126" s="287" t="str">
        <f>IF(ISERROR(MATCH(C126,SurveyDATA!BL:BL,0))=TRUE,"",MATCH(C126,SurveyDATA!BL:BL,0))</f>
        <v/>
      </c>
      <c r="F126" s="92" t="s">
        <v>6224</v>
      </c>
      <c r="G126" s="287" t="str">
        <f>IF(ISERROR(MATCH(F126,SurveyDATA!BN:BN,0))=TRUE,"",MATCH(F126,SurveyDATA!BN:BN,0))</f>
        <v/>
      </c>
      <c r="H126" s="287" t="str">
        <f>IF(ISERROR(MATCH(F126,#REF!,0))=TRUE,"",MATCH(F126,#REF!,0))</f>
        <v/>
      </c>
      <c r="I126" s="287" t="s">
        <v>6979</v>
      </c>
      <c r="J126" s="92" t="str">
        <f>IF(ISERROR(MATCH(I126,SurveyDATA!D:D,0))=TRUE,"",MATCH(I126,SurveyDATA!D:D,0))</f>
        <v/>
      </c>
    </row>
    <row r="127" spans="1:10">
      <c r="A127" s="92" t="s">
        <v>6225</v>
      </c>
      <c r="B127" s="92" t="str">
        <f>IF(ISERROR(MATCH(A127,SurveyDATA!P:P,0))=TRUE,"",MATCH(A127,SurveyDATA!P:P,0))</f>
        <v/>
      </c>
      <c r="C127" s="92" t="s">
        <v>6226</v>
      </c>
      <c r="D127" s="92" t="str">
        <f>IF(ISERROR(MATCH(C127,SurveyDATA!AI:AI,0))=TRUE,"",MATCH(C127,SurveyDATA!AI:AI,0))</f>
        <v/>
      </c>
      <c r="E127" s="287" t="str">
        <f>IF(ISERROR(MATCH(C127,SurveyDATA!BL:BL,0))=TRUE,"",MATCH(C127,SurveyDATA!BL:BL,0))</f>
        <v/>
      </c>
      <c r="F127" s="92" t="s">
        <v>6227</v>
      </c>
      <c r="G127" s="287" t="str">
        <f>IF(ISERROR(MATCH(F127,SurveyDATA!BN:BN,0))=TRUE,"",MATCH(F127,SurveyDATA!BN:BN,0))</f>
        <v/>
      </c>
      <c r="H127" s="287" t="str">
        <f>IF(ISERROR(MATCH(F127,#REF!,0))=TRUE,"",MATCH(F127,#REF!,0))</f>
        <v/>
      </c>
      <c r="I127" s="287" t="s">
        <v>6980</v>
      </c>
      <c r="J127" s="92" t="str">
        <f>IF(ISERROR(MATCH(I127,SurveyDATA!D:D,0))=TRUE,"",MATCH(I127,SurveyDATA!D:D,0))</f>
        <v/>
      </c>
    </row>
    <row r="128" spans="1:10">
      <c r="A128" s="92" t="s">
        <v>6228</v>
      </c>
      <c r="B128" s="92" t="str">
        <f>IF(ISERROR(MATCH(A128,SurveyDATA!P:P,0))=TRUE,"",MATCH(A128,SurveyDATA!P:P,0))</f>
        <v/>
      </c>
      <c r="C128" s="92" t="s">
        <v>6229</v>
      </c>
      <c r="D128" s="92" t="str">
        <f>IF(ISERROR(MATCH(C128,SurveyDATA!AI:AI,0))=TRUE,"",MATCH(C128,SurveyDATA!AI:AI,0))</f>
        <v/>
      </c>
      <c r="E128" s="287" t="str">
        <f>IF(ISERROR(MATCH(C128,SurveyDATA!BL:BL,0))=TRUE,"",MATCH(C128,SurveyDATA!BL:BL,0))</f>
        <v/>
      </c>
      <c r="F128" s="92" t="s">
        <v>6230</v>
      </c>
      <c r="G128" s="287" t="str">
        <f>IF(ISERROR(MATCH(F128,SurveyDATA!BN:BN,0))=TRUE,"",MATCH(F128,SurveyDATA!BN:BN,0))</f>
        <v/>
      </c>
      <c r="H128" s="287" t="str">
        <f>IF(ISERROR(MATCH(F128,#REF!,0))=TRUE,"",MATCH(F128,#REF!,0))</f>
        <v/>
      </c>
      <c r="I128" s="287" t="s">
        <v>6981</v>
      </c>
      <c r="J128" s="92" t="str">
        <f>IF(ISERROR(MATCH(I128,SurveyDATA!D:D,0))=TRUE,"",MATCH(I128,SurveyDATA!D:D,0))</f>
        <v/>
      </c>
    </row>
    <row r="129" spans="1:10">
      <c r="A129" s="92" t="s">
        <v>6231</v>
      </c>
      <c r="B129" s="92" t="str">
        <f>IF(ISERROR(MATCH(A129,SurveyDATA!P:P,0))=TRUE,"",MATCH(A129,SurveyDATA!P:P,0))</f>
        <v/>
      </c>
      <c r="C129" s="92" t="s">
        <v>6232</v>
      </c>
      <c r="D129" s="92" t="str">
        <f>IF(ISERROR(MATCH(C129,SurveyDATA!AI:AI,0))=TRUE,"",MATCH(C129,SurveyDATA!AI:AI,0))</f>
        <v/>
      </c>
      <c r="E129" s="287" t="str">
        <f>IF(ISERROR(MATCH(C129,SurveyDATA!BL:BL,0))=TRUE,"",MATCH(C129,SurveyDATA!BL:BL,0))</f>
        <v/>
      </c>
      <c r="F129" s="92" t="s">
        <v>6233</v>
      </c>
      <c r="G129" s="287" t="str">
        <f>IF(ISERROR(MATCH(F129,SurveyDATA!BN:BN,0))=TRUE,"",MATCH(F129,SurveyDATA!BN:BN,0))</f>
        <v/>
      </c>
      <c r="H129" s="287" t="str">
        <f>IF(ISERROR(MATCH(F129,#REF!,0))=TRUE,"",MATCH(F129,#REF!,0))</f>
        <v/>
      </c>
      <c r="I129" s="287" t="s">
        <v>6982</v>
      </c>
      <c r="J129" s="92" t="str">
        <f>IF(ISERROR(MATCH(I129,SurveyDATA!D:D,0))=TRUE,"",MATCH(I129,SurveyDATA!D:D,0))</f>
        <v/>
      </c>
    </row>
    <row r="130" spans="1:10">
      <c r="A130" s="92" t="s">
        <v>6234</v>
      </c>
      <c r="B130" s="92" t="str">
        <f>IF(ISERROR(MATCH(A130,SurveyDATA!P:P,0))=TRUE,"",MATCH(A130,SurveyDATA!P:P,0))</f>
        <v/>
      </c>
      <c r="C130" s="92" t="s">
        <v>6235</v>
      </c>
      <c r="D130" s="92" t="str">
        <f>IF(ISERROR(MATCH(C130,SurveyDATA!AI:AI,0))=TRUE,"",MATCH(C130,SurveyDATA!AI:AI,0))</f>
        <v/>
      </c>
      <c r="E130" s="287" t="str">
        <f>IF(ISERROR(MATCH(C130,SurveyDATA!BL:BL,0))=TRUE,"",MATCH(C130,SurveyDATA!BL:BL,0))</f>
        <v/>
      </c>
      <c r="F130" s="92" t="s">
        <v>6236</v>
      </c>
      <c r="G130" s="287" t="str">
        <f>IF(ISERROR(MATCH(F130,SurveyDATA!BN:BN,0))=TRUE,"",MATCH(F130,SurveyDATA!BN:BN,0))</f>
        <v/>
      </c>
      <c r="H130" s="287" t="str">
        <f>IF(ISERROR(MATCH(F130,#REF!,0))=TRUE,"",MATCH(F130,#REF!,0))</f>
        <v/>
      </c>
      <c r="I130" s="287" t="s">
        <v>6983</v>
      </c>
      <c r="J130" s="92" t="str">
        <f>IF(ISERROR(MATCH(I130,SurveyDATA!D:D,0))=TRUE,"",MATCH(I130,SurveyDATA!D:D,0))</f>
        <v/>
      </c>
    </row>
    <row r="131" spans="1:10">
      <c r="A131" s="92" t="s">
        <v>6237</v>
      </c>
      <c r="B131" s="92" t="str">
        <f>IF(ISERROR(MATCH(A131,SurveyDATA!P:P,0))=TRUE,"",MATCH(A131,SurveyDATA!P:P,0))</f>
        <v/>
      </c>
      <c r="C131" s="92" t="s">
        <v>6238</v>
      </c>
      <c r="D131" s="92" t="str">
        <f>IF(ISERROR(MATCH(C131,SurveyDATA!AI:AI,0))=TRUE,"",MATCH(C131,SurveyDATA!AI:AI,0))</f>
        <v/>
      </c>
      <c r="E131" s="287" t="str">
        <f>IF(ISERROR(MATCH(C131,SurveyDATA!BL:BL,0))=TRUE,"",MATCH(C131,SurveyDATA!BL:BL,0))</f>
        <v/>
      </c>
      <c r="F131" s="92" t="s">
        <v>6239</v>
      </c>
      <c r="G131" s="287" t="str">
        <f>IF(ISERROR(MATCH(F131,SurveyDATA!BN:BN,0))=TRUE,"",MATCH(F131,SurveyDATA!BN:BN,0))</f>
        <v/>
      </c>
      <c r="H131" s="287" t="str">
        <f>IF(ISERROR(MATCH(F131,#REF!,0))=TRUE,"",MATCH(F131,#REF!,0))</f>
        <v/>
      </c>
      <c r="I131" s="287" t="s">
        <v>6984</v>
      </c>
      <c r="J131" s="92" t="str">
        <f>IF(ISERROR(MATCH(I131,SurveyDATA!D:D,0))=TRUE,"",MATCH(I131,SurveyDATA!D:D,0))</f>
        <v/>
      </c>
    </row>
    <row r="132" spans="1:10">
      <c r="A132" s="92" t="s">
        <v>6240</v>
      </c>
      <c r="B132" s="92" t="str">
        <f>IF(ISERROR(MATCH(A132,SurveyDATA!P:P,0))=TRUE,"",MATCH(A132,SurveyDATA!P:P,0))</f>
        <v/>
      </c>
      <c r="C132" s="92" t="s">
        <v>6241</v>
      </c>
      <c r="D132" s="92" t="str">
        <f>IF(ISERROR(MATCH(C132,SurveyDATA!AI:AI,0))=TRUE,"",MATCH(C132,SurveyDATA!AI:AI,0))</f>
        <v/>
      </c>
      <c r="E132" s="287" t="str">
        <f>IF(ISERROR(MATCH(C132,SurveyDATA!BL:BL,0))=TRUE,"",MATCH(C132,SurveyDATA!BL:BL,0))</f>
        <v/>
      </c>
      <c r="F132" s="92" t="s">
        <v>6242</v>
      </c>
      <c r="G132" s="287" t="str">
        <f>IF(ISERROR(MATCH(F132,SurveyDATA!BN:BN,0))=TRUE,"",MATCH(F132,SurveyDATA!BN:BN,0))</f>
        <v/>
      </c>
      <c r="H132" s="287" t="str">
        <f>IF(ISERROR(MATCH(F132,#REF!,0))=TRUE,"",MATCH(F132,#REF!,0))</f>
        <v/>
      </c>
      <c r="I132" s="287" t="s">
        <v>6985</v>
      </c>
      <c r="J132" s="92" t="str">
        <f>IF(ISERROR(MATCH(I132,SurveyDATA!D:D,0))=TRUE,"",MATCH(I132,SurveyDATA!D:D,0))</f>
        <v/>
      </c>
    </row>
    <row r="133" spans="1:10">
      <c r="A133" s="92" t="s">
        <v>6243</v>
      </c>
      <c r="B133" s="92" t="str">
        <f>IF(ISERROR(MATCH(A133,SurveyDATA!P:P,0))=TRUE,"",MATCH(A133,SurveyDATA!P:P,0))</f>
        <v/>
      </c>
      <c r="C133" s="92" t="s">
        <v>6244</v>
      </c>
      <c r="D133" s="92" t="str">
        <f>IF(ISERROR(MATCH(C133,SurveyDATA!AI:AI,0))=TRUE,"",MATCH(C133,SurveyDATA!AI:AI,0))</f>
        <v/>
      </c>
      <c r="E133" s="287" t="str">
        <f>IF(ISERROR(MATCH(C133,SurveyDATA!BL:BL,0))=TRUE,"",MATCH(C133,SurveyDATA!BL:BL,0))</f>
        <v/>
      </c>
      <c r="F133" s="92" t="s">
        <v>6245</v>
      </c>
      <c r="G133" s="287" t="str">
        <f>IF(ISERROR(MATCH(F133,SurveyDATA!BN:BN,0))=TRUE,"",MATCH(F133,SurveyDATA!BN:BN,0))</f>
        <v/>
      </c>
      <c r="H133" s="287" t="str">
        <f>IF(ISERROR(MATCH(F133,#REF!,0))=TRUE,"",MATCH(F133,#REF!,0))</f>
        <v/>
      </c>
      <c r="I133" s="287" t="s">
        <v>5911</v>
      </c>
      <c r="J133" s="92" t="str">
        <f>IF(ISERROR(MATCH(I133,SurveyDATA!D:D,0))=TRUE,"",MATCH(I133,SurveyDATA!D:D,0))</f>
        <v/>
      </c>
    </row>
    <row r="134" spans="1:10">
      <c r="A134" s="92" t="s">
        <v>6246</v>
      </c>
      <c r="B134" s="92" t="str">
        <f>IF(ISERROR(MATCH(A134,SurveyDATA!P:P,0))=TRUE,"",MATCH(A134,SurveyDATA!P:P,0))</f>
        <v/>
      </c>
      <c r="C134" s="92" t="s">
        <v>6247</v>
      </c>
      <c r="D134" s="92" t="str">
        <f>IF(ISERROR(MATCH(C134,SurveyDATA!AI:AI,0))=TRUE,"",MATCH(C134,SurveyDATA!AI:AI,0))</f>
        <v/>
      </c>
      <c r="E134" s="287" t="str">
        <f>IF(ISERROR(MATCH(C134,SurveyDATA!BL:BL,0))=TRUE,"",MATCH(C134,SurveyDATA!BL:BL,0))</f>
        <v/>
      </c>
      <c r="F134" s="92" t="s">
        <v>6248</v>
      </c>
      <c r="G134" s="287" t="str">
        <f>IF(ISERROR(MATCH(F134,SurveyDATA!BN:BN,0))=TRUE,"",MATCH(F134,SurveyDATA!BN:BN,0))</f>
        <v/>
      </c>
      <c r="H134" s="287" t="str">
        <f>IF(ISERROR(MATCH(F134,#REF!,0))=TRUE,"",MATCH(F134,#REF!,0))</f>
        <v/>
      </c>
      <c r="I134" s="287" t="s">
        <v>6986</v>
      </c>
      <c r="J134" s="92" t="str">
        <f>IF(ISERROR(MATCH(I134,SurveyDATA!D:D,0))=TRUE,"",MATCH(I134,SurveyDATA!D:D,0))</f>
        <v/>
      </c>
    </row>
    <row r="135" spans="1:10">
      <c r="A135" s="92" t="s">
        <v>6249</v>
      </c>
      <c r="B135" s="92" t="str">
        <f>IF(ISERROR(MATCH(A135,SurveyDATA!P:P,0))=TRUE,"",MATCH(A135,SurveyDATA!P:P,0))</f>
        <v/>
      </c>
      <c r="C135" s="92" t="s">
        <v>6250</v>
      </c>
      <c r="D135" s="92" t="str">
        <f>IF(ISERROR(MATCH(C135,SurveyDATA!AI:AI,0))=TRUE,"",MATCH(C135,SurveyDATA!AI:AI,0))</f>
        <v/>
      </c>
      <c r="E135" s="287" t="str">
        <f>IF(ISERROR(MATCH(C135,SurveyDATA!BL:BL,0))=TRUE,"",MATCH(C135,SurveyDATA!BL:BL,0))</f>
        <v/>
      </c>
      <c r="F135" s="92" t="s">
        <v>6251</v>
      </c>
      <c r="G135" s="287" t="str">
        <f>IF(ISERROR(MATCH(F135,SurveyDATA!BN:BN,0))=TRUE,"",MATCH(F135,SurveyDATA!BN:BN,0))</f>
        <v/>
      </c>
      <c r="H135" s="287" t="str">
        <f>IF(ISERROR(MATCH(F135,#REF!,0))=TRUE,"",MATCH(F135,#REF!,0))</f>
        <v/>
      </c>
      <c r="I135" s="287" t="s">
        <v>6987</v>
      </c>
      <c r="J135" s="92" t="str">
        <f>IF(ISERROR(MATCH(I135,SurveyDATA!D:D,0))=TRUE,"",MATCH(I135,SurveyDATA!D:D,0))</f>
        <v/>
      </c>
    </row>
    <row r="136" spans="1:10">
      <c r="A136" s="92" t="s">
        <v>6252</v>
      </c>
      <c r="B136" s="92" t="str">
        <f>IF(ISERROR(MATCH(A136,SurveyDATA!P:P,0))=TRUE,"",MATCH(A136,SurveyDATA!P:P,0))</f>
        <v/>
      </c>
      <c r="C136" s="92" t="s">
        <v>6253</v>
      </c>
      <c r="D136" s="92" t="str">
        <f>IF(ISERROR(MATCH(C136,SurveyDATA!AI:AI,0))=TRUE,"",MATCH(C136,SurveyDATA!AI:AI,0))</f>
        <v/>
      </c>
      <c r="E136" s="287" t="str">
        <f>IF(ISERROR(MATCH(C136,SurveyDATA!BL:BL,0))=TRUE,"",MATCH(C136,SurveyDATA!BL:BL,0))</f>
        <v/>
      </c>
      <c r="F136" s="92" t="s">
        <v>6254</v>
      </c>
      <c r="G136" s="287" t="str">
        <f>IF(ISERROR(MATCH(F136,SurveyDATA!BN:BN,0))=TRUE,"",MATCH(F136,SurveyDATA!BN:BN,0))</f>
        <v/>
      </c>
      <c r="H136" s="287" t="str">
        <f>IF(ISERROR(MATCH(F136,#REF!,0))=TRUE,"",MATCH(F136,#REF!,0))</f>
        <v/>
      </c>
      <c r="I136" s="287" t="s">
        <v>6988</v>
      </c>
      <c r="J136" s="92" t="str">
        <f>IF(ISERROR(MATCH(I136,SurveyDATA!D:D,0))=TRUE,"",MATCH(I136,SurveyDATA!D:D,0))</f>
        <v/>
      </c>
    </row>
    <row r="137" spans="1:10">
      <c r="A137" s="92" t="s">
        <v>6255</v>
      </c>
      <c r="B137" s="92" t="str">
        <f>IF(ISERROR(MATCH(A137,SurveyDATA!P:P,0))=TRUE,"",MATCH(A137,SurveyDATA!P:P,0))</f>
        <v/>
      </c>
      <c r="C137" s="92" t="s">
        <v>6256</v>
      </c>
      <c r="D137" s="92" t="str">
        <f>IF(ISERROR(MATCH(C137,SurveyDATA!AI:AI,0))=TRUE,"",MATCH(C137,SurveyDATA!AI:AI,0))</f>
        <v/>
      </c>
      <c r="E137" s="287" t="str">
        <f>IF(ISERROR(MATCH(C137,SurveyDATA!BL:BL,0))=TRUE,"",MATCH(C137,SurveyDATA!BL:BL,0))</f>
        <v/>
      </c>
      <c r="F137" s="92" t="s">
        <v>6257</v>
      </c>
      <c r="G137" s="287" t="str">
        <f>IF(ISERROR(MATCH(F137,SurveyDATA!BN:BN,0))=TRUE,"",MATCH(F137,SurveyDATA!BN:BN,0))</f>
        <v/>
      </c>
      <c r="H137" s="287" t="str">
        <f>IF(ISERROR(MATCH(F137,#REF!,0))=TRUE,"",MATCH(F137,#REF!,0))</f>
        <v/>
      </c>
      <c r="I137" s="287" t="s">
        <v>6989</v>
      </c>
      <c r="J137" s="92" t="str">
        <f>IF(ISERROR(MATCH(I137,SurveyDATA!D:D,0))=TRUE,"",MATCH(I137,SurveyDATA!D:D,0))</f>
        <v/>
      </c>
    </row>
    <row r="138" spans="1:10">
      <c r="A138" s="92" t="s">
        <v>6258</v>
      </c>
      <c r="B138" s="92" t="str">
        <f>IF(ISERROR(MATCH(A138,SurveyDATA!P:P,0))=TRUE,"",MATCH(A138,SurveyDATA!P:P,0))</f>
        <v/>
      </c>
      <c r="C138" s="92" t="s">
        <v>6259</v>
      </c>
      <c r="D138" s="92" t="str">
        <f>IF(ISERROR(MATCH(C138,SurveyDATA!AI:AI,0))=TRUE,"",MATCH(C138,SurveyDATA!AI:AI,0))</f>
        <v/>
      </c>
      <c r="E138" s="287" t="str">
        <f>IF(ISERROR(MATCH(C138,SurveyDATA!BL:BL,0))=TRUE,"",MATCH(C138,SurveyDATA!BL:BL,0))</f>
        <v/>
      </c>
      <c r="F138" s="92" t="s">
        <v>6260</v>
      </c>
      <c r="G138" s="287" t="str">
        <f>IF(ISERROR(MATCH(F138,SurveyDATA!BN:BN,0))=TRUE,"",MATCH(F138,SurveyDATA!BN:BN,0))</f>
        <v/>
      </c>
      <c r="H138" s="287" t="str">
        <f>IF(ISERROR(MATCH(F138,#REF!,0))=TRUE,"",MATCH(F138,#REF!,0))</f>
        <v/>
      </c>
      <c r="I138" s="287" t="s">
        <v>6990</v>
      </c>
      <c r="J138" s="92" t="str">
        <f>IF(ISERROR(MATCH(I138,SurveyDATA!D:D,0))=TRUE,"",MATCH(I138,SurveyDATA!D:D,0))</f>
        <v/>
      </c>
    </row>
    <row r="139" spans="1:10">
      <c r="A139" s="92" t="s">
        <v>6261</v>
      </c>
      <c r="B139" s="92" t="str">
        <f>IF(ISERROR(MATCH(A139,SurveyDATA!P:P,0))=TRUE,"",MATCH(A139,SurveyDATA!P:P,0))</f>
        <v/>
      </c>
      <c r="C139" s="92" t="s">
        <v>6262</v>
      </c>
      <c r="D139" s="92" t="str">
        <f>IF(ISERROR(MATCH(C139,SurveyDATA!AI:AI,0))=TRUE,"",MATCH(C139,SurveyDATA!AI:AI,0))</f>
        <v/>
      </c>
      <c r="E139" s="287" t="str">
        <f>IF(ISERROR(MATCH(C139,SurveyDATA!BL:BL,0))=TRUE,"",MATCH(C139,SurveyDATA!BL:BL,0))</f>
        <v/>
      </c>
      <c r="F139" s="92" t="s">
        <v>6263</v>
      </c>
      <c r="G139" s="287" t="str">
        <f>IF(ISERROR(MATCH(F139,SurveyDATA!BN:BN,0))=TRUE,"",MATCH(F139,SurveyDATA!BN:BN,0))</f>
        <v/>
      </c>
      <c r="H139" s="287" t="str">
        <f>IF(ISERROR(MATCH(F139,#REF!,0))=TRUE,"",MATCH(F139,#REF!,0))</f>
        <v/>
      </c>
      <c r="I139" s="287" t="s">
        <v>5911</v>
      </c>
      <c r="J139" s="92" t="str">
        <f>IF(ISERROR(MATCH(I139,SurveyDATA!D:D,0))=TRUE,"",MATCH(I139,SurveyDATA!D:D,0))</f>
        <v/>
      </c>
    </row>
    <row r="140" spans="1:10">
      <c r="A140" s="92" t="s">
        <v>6264</v>
      </c>
      <c r="B140" s="92" t="str">
        <f>IF(ISERROR(MATCH(A140,SurveyDATA!P:P,0))=TRUE,"",MATCH(A140,SurveyDATA!P:P,0))</f>
        <v/>
      </c>
      <c r="C140" s="92" t="s">
        <v>6265</v>
      </c>
      <c r="D140" s="92" t="str">
        <f>IF(ISERROR(MATCH(C140,SurveyDATA!AI:AI,0))=TRUE,"",MATCH(C140,SurveyDATA!AI:AI,0))</f>
        <v/>
      </c>
      <c r="E140" s="287" t="str">
        <f>IF(ISERROR(MATCH(C140,SurveyDATA!BL:BL,0))=TRUE,"",MATCH(C140,SurveyDATA!BL:BL,0))</f>
        <v/>
      </c>
      <c r="F140" s="92" t="s">
        <v>6266</v>
      </c>
      <c r="G140" s="287" t="str">
        <f>IF(ISERROR(MATCH(F140,SurveyDATA!BN:BN,0))=TRUE,"",MATCH(F140,SurveyDATA!BN:BN,0))</f>
        <v/>
      </c>
      <c r="H140" s="287" t="str">
        <f>IF(ISERROR(MATCH(F140,#REF!,0))=TRUE,"",MATCH(F140,#REF!,0))</f>
        <v/>
      </c>
      <c r="I140" s="287" t="s">
        <v>6991</v>
      </c>
      <c r="J140" s="92" t="str">
        <f>IF(ISERROR(MATCH(I140,SurveyDATA!D:D,0))=TRUE,"",MATCH(I140,SurveyDATA!D:D,0))</f>
        <v/>
      </c>
    </row>
    <row r="141" spans="1:10">
      <c r="A141" s="567" t="s">
        <v>6267</v>
      </c>
      <c r="B141" s="567">
        <f>IF(ISERROR(MATCH(A141,SurveyDATA!P:P,0))=TRUE,"",MATCH(A141,SurveyDATA!P:P,0))</f>
        <v>519</v>
      </c>
      <c r="C141" s="567" t="s">
        <v>6268</v>
      </c>
      <c r="D141" s="567" t="str">
        <f>IF(ISERROR(MATCH(C141,SurveyDATA!AI:AI,0))=TRUE,"",MATCH(C141,SurveyDATA!AI:AI,0))</f>
        <v/>
      </c>
      <c r="E141" s="568" t="str">
        <f>IF(ISERROR(MATCH(C141,SurveyDATA!BL:BL,0))=TRUE,"",MATCH(C141,SurveyDATA!BL:BL,0))</f>
        <v/>
      </c>
      <c r="F141" s="567" t="s">
        <v>6269</v>
      </c>
      <c r="G141" s="568" t="str">
        <f>IF(ISERROR(MATCH(F141,SurveyDATA!BN:BN,0))=TRUE,"",MATCH(F141,SurveyDATA!BN:BN,0))</f>
        <v/>
      </c>
      <c r="H141" s="568" t="str">
        <f>IF(ISERROR(MATCH(F141,#REF!,0))=TRUE,"",MATCH(F141,#REF!,0))</f>
        <v/>
      </c>
      <c r="I141" s="568" t="s">
        <v>6992</v>
      </c>
      <c r="J141" s="567" t="str">
        <f>IF(ISERROR(MATCH(I141,SurveyDATA!D:D,0))=TRUE,"",MATCH(I141,SurveyDATA!D:D,0))</f>
        <v/>
      </c>
    </row>
    <row r="142" spans="1:10">
      <c r="A142" s="92" t="s">
        <v>6270</v>
      </c>
      <c r="B142" s="92" t="str">
        <f>IF(ISERROR(MATCH(A142,SurveyDATA!P:P,0))=TRUE,"",MATCH(A142,SurveyDATA!P:P,0))</f>
        <v/>
      </c>
      <c r="C142" s="92" t="s">
        <v>6271</v>
      </c>
      <c r="D142" s="92" t="str">
        <f>IF(ISERROR(MATCH(C142,SurveyDATA!AI:AI,0))=TRUE,"",MATCH(C142,SurveyDATA!AI:AI,0))</f>
        <v/>
      </c>
      <c r="E142" s="287" t="str">
        <f>IF(ISERROR(MATCH(C142,SurveyDATA!BL:BL,0))=TRUE,"",MATCH(C142,SurveyDATA!BL:BL,0))</f>
        <v/>
      </c>
      <c r="F142" s="92" t="s">
        <v>6272</v>
      </c>
      <c r="G142" s="287" t="str">
        <f>IF(ISERROR(MATCH(F142,SurveyDATA!BN:BN,0))=TRUE,"",MATCH(F142,SurveyDATA!BN:BN,0))</f>
        <v/>
      </c>
      <c r="H142" s="287" t="str">
        <f>IF(ISERROR(MATCH(F142,#REF!,0))=TRUE,"",MATCH(F142,#REF!,0))</f>
        <v/>
      </c>
      <c r="I142" s="287" t="s">
        <v>5911</v>
      </c>
      <c r="J142" s="92" t="str">
        <f>IF(ISERROR(MATCH(I142,SurveyDATA!D:D,0))=TRUE,"",MATCH(I142,SurveyDATA!D:D,0))</f>
        <v/>
      </c>
    </row>
    <row r="143" spans="1:10">
      <c r="A143" s="92" t="s">
        <v>6273</v>
      </c>
      <c r="B143" s="92" t="str">
        <f>IF(ISERROR(MATCH(A143,SurveyDATA!P:P,0))=TRUE,"",MATCH(A143,SurveyDATA!P:P,0))</f>
        <v/>
      </c>
      <c r="C143" s="92" t="s">
        <v>6274</v>
      </c>
      <c r="D143" s="92" t="str">
        <f>IF(ISERROR(MATCH(C143,SurveyDATA!AI:AI,0))=TRUE,"",MATCH(C143,SurveyDATA!AI:AI,0))</f>
        <v/>
      </c>
      <c r="E143" s="287" t="str">
        <f>IF(ISERROR(MATCH(C143,SurveyDATA!BL:BL,0))=TRUE,"",MATCH(C143,SurveyDATA!BL:BL,0))</f>
        <v/>
      </c>
      <c r="F143" s="92" t="s">
        <v>6275</v>
      </c>
      <c r="G143" s="287" t="str">
        <f>IF(ISERROR(MATCH(F143,SurveyDATA!BN:BN,0))=TRUE,"",MATCH(F143,SurveyDATA!BN:BN,0))</f>
        <v/>
      </c>
      <c r="H143" s="287" t="str">
        <f>IF(ISERROR(MATCH(F143,#REF!,0))=TRUE,"",MATCH(F143,#REF!,0))</f>
        <v/>
      </c>
      <c r="I143" s="287" t="s">
        <v>6993</v>
      </c>
      <c r="J143" s="92" t="str">
        <f>IF(ISERROR(MATCH(I143,SurveyDATA!D:D,0))=TRUE,"",MATCH(I143,SurveyDATA!D:D,0))</f>
        <v/>
      </c>
    </row>
    <row r="144" spans="1:10">
      <c r="A144" s="92" t="s">
        <v>6276</v>
      </c>
      <c r="B144" s="92" t="str">
        <f>IF(ISERROR(MATCH(A144,SurveyDATA!P:P,0))=TRUE,"",MATCH(A144,SurveyDATA!P:P,0))</f>
        <v/>
      </c>
      <c r="C144" s="92" t="s">
        <v>6277</v>
      </c>
      <c r="D144" s="92" t="str">
        <f>IF(ISERROR(MATCH(C144,SurveyDATA!AI:AI,0))=TRUE,"",MATCH(C144,SurveyDATA!AI:AI,0))</f>
        <v/>
      </c>
      <c r="E144" s="287" t="str">
        <f>IF(ISERROR(MATCH(C144,SurveyDATA!BL:BL,0))=TRUE,"",MATCH(C144,SurveyDATA!BL:BL,0))</f>
        <v/>
      </c>
      <c r="F144" s="92" t="s">
        <v>6278</v>
      </c>
      <c r="G144" s="287" t="str">
        <f>IF(ISERROR(MATCH(F144,SurveyDATA!BN:BN,0))=TRUE,"",MATCH(F144,SurveyDATA!BN:BN,0))</f>
        <v/>
      </c>
      <c r="H144" s="287" t="str">
        <f>IF(ISERROR(MATCH(F144,#REF!,0))=TRUE,"",MATCH(F144,#REF!,0))</f>
        <v/>
      </c>
      <c r="I144" s="287" t="s">
        <v>5911</v>
      </c>
      <c r="J144" s="92" t="str">
        <f>IF(ISERROR(MATCH(I144,SurveyDATA!D:D,0))=TRUE,"",MATCH(I144,SurveyDATA!D:D,0))</f>
        <v/>
      </c>
    </row>
    <row r="145" spans="1:10">
      <c r="A145" s="92" t="s">
        <v>6279</v>
      </c>
      <c r="B145" s="92" t="str">
        <f>IF(ISERROR(MATCH(A145,SurveyDATA!P:P,0))=TRUE,"",MATCH(A145,SurveyDATA!P:P,0))</f>
        <v/>
      </c>
      <c r="C145" s="92" t="s">
        <v>6280</v>
      </c>
      <c r="D145" s="92" t="str">
        <f>IF(ISERROR(MATCH(C145,SurveyDATA!AI:AI,0))=TRUE,"",MATCH(C145,SurveyDATA!AI:AI,0))</f>
        <v/>
      </c>
      <c r="E145" s="287" t="str">
        <f>IF(ISERROR(MATCH(C145,SurveyDATA!BL:BL,0))=TRUE,"",MATCH(C145,SurveyDATA!BL:BL,0))</f>
        <v/>
      </c>
      <c r="F145" s="92" t="s">
        <v>6281</v>
      </c>
      <c r="G145" s="287" t="str">
        <f>IF(ISERROR(MATCH(F145,SurveyDATA!BN:BN,0))=TRUE,"",MATCH(F145,SurveyDATA!BN:BN,0))</f>
        <v/>
      </c>
      <c r="H145" s="287" t="str">
        <f>IF(ISERROR(MATCH(F145,#REF!,0))=TRUE,"",MATCH(F145,#REF!,0))</f>
        <v/>
      </c>
      <c r="I145" s="287" t="s">
        <v>6994</v>
      </c>
      <c r="J145" s="92" t="str">
        <f>IF(ISERROR(MATCH(I145,SurveyDATA!D:D,0))=TRUE,"",MATCH(I145,SurveyDATA!D:D,0))</f>
        <v/>
      </c>
    </row>
    <row r="146" spans="1:10">
      <c r="A146" s="92" t="s">
        <v>6282</v>
      </c>
      <c r="B146" s="92" t="str">
        <f>IF(ISERROR(MATCH(A146,SurveyDATA!P:P,0))=TRUE,"",MATCH(A146,SurveyDATA!P:P,0))</f>
        <v/>
      </c>
      <c r="C146" s="92" t="s">
        <v>6283</v>
      </c>
      <c r="D146" s="92" t="str">
        <f>IF(ISERROR(MATCH(C146,SurveyDATA!AI:AI,0))=TRUE,"",MATCH(C146,SurveyDATA!AI:AI,0))</f>
        <v/>
      </c>
      <c r="E146" s="287" t="str">
        <f>IF(ISERROR(MATCH(C146,SurveyDATA!BL:BL,0))=TRUE,"",MATCH(C146,SurveyDATA!BL:BL,0))</f>
        <v/>
      </c>
      <c r="F146" s="92" t="s">
        <v>6284</v>
      </c>
      <c r="G146" s="287" t="str">
        <f>IF(ISERROR(MATCH(F146,SurveyDATA!BN:BN,0))=TRUE,"",MATCH(F146,SurveyDATA!BN:BN,0))</f>
        <v/>
      </c>
      <c r="H146" s="287" t="str">
        <f>IF(ISERROR(MATCH(F146,#REF!,0))=TRUE,"",MATCH(F146,#REF!,0))</f>
        <v/>
      </c>
      <c r="I146" s="287" t="s">
        <v>6995</v>
      </c>
      <c r="J146" s="92" t="str">
        <f>IF(ISERROR(MATCH(I146,SurveyDATA!D:D,0))=TRUE,"",MATCH(I146,SurveyDATA!D:D,0))</f>
        <v/>
      </c>
    </row>
    <row r="147" spans="1:10">
      <c r="A147" s="92" t="s">
        <v>6285</v>
      </c>
      <c r="B147" s="92" t="str">
        <f>IF(ISERROR(MATCH(A147,SurveyDATA!P:P,0))=TRUE,"",MATCH(A147,SurveyDATA!P:P,0))</f>
        <v/>
      </c>
      <c r="C147" s="92" t="s">
        <v>6286</v>
      </c>
      <c r="D147" s="92" t="str">
        <f>IF(ISERROR(MATCH(C147,SurveyDATA!AI:AI,0))=TRUE,"",MATCH(C147,SurveyDATA!AI:AI,0))</f>
        <v/>
      </c>
      <c r="E147" s="287" t="str">
        <f>IF(ISERROR(MATCH(C147,SurveyDATA!BL:BL,0))=TRUE,"",MATCH(C147,SurveyDATA!BL:BL,0))</f>
        <v/>
      </c>
      <c r="F147" s="92" t="s">
        <v>6287</v>
      </c>
      <c r="G147" s="287" t="str">
        <f>IF(ISERROR(MATCH(F147,SurveyDATA!BN:BN,0))=TRUE,"",MATCH(F147,SurveyDATA!BN:BN,0))</f>
        <v/>
      </c>
      <c r="H147" s="287" t="str">
        <f>IF(ISERROR(MATCH(F147,#REF!,0))=TRUE,"",MATCH(F147,#REF!,0))</f>
        <v/>
      </c>
      <c r="I147" s="287" t="s">
        <v>6996</v>
      </c>
      <c r="J147" s="92" t="str">
        <f>IF(ISERROR(MATCH(I147,SurveyDATA!D:D,0))=TRUE,"",MATCH(I147,SurveyDATA!D:D,0))</f>
        <v/>
      </c>
    </row>
    <row r="148" spans="1:10">
      <c r="A148" s="92" t="s">
        <v>6288</v>
      </c>
      <c r="B148" s="92" t="str">
        <f>IF(ISERROR(MATCH(A148,SurveyDATA!P:P,0))=TRUE,"",MATCH(A148,SurveyDATA!P:P,0))</f>
        <v/>
      </c>
      <c r="C148" s="92" t="s">
        <v>6289</v>
      </c>
      <c r="D148" s="92" t="str">
        <f>IF(ISERROR(MATCH(C148,SurveyDATA!AI:AI,0))=TRUE,"",MATCH(C148,SurveyDATA!AI:AI,0))</f>
        <v/>
      </c>
      <c r="E148" s="287" t="str">
        <f>IF(ISERROR(MATCH(C148,SurveyDATA!BL:BL,0))=TRUE,"",MATCH(C148,SurveyDATA!BL:BL,0))</f>
        <v/>
      </c>
      <c r="F148" s="92" t="s">
        <v>6290</v>
      </c>
      <c r="G148" s="287" t="str">
        <f>IF(ISERROR(MATCH(F148,SurveyDATA!BN:BN,0))=TRUE,"",MATCH(F148,SurveyDATA!BN:BN,0))</f>
        <v/>
      </c>
      <c r="H148" s="287" t="str">
        <f>IF(ISERROR(MATCH(F148,#REF!,0))=TRUE,"",MATCH(F148,#REF!,0))</f>
        <v/>
      </c>
      <c r="I148" s="287" t="s">
        <v>6997</v>
      </c>
      <c r="J148" s="92" t="str">
        <f>IF(ISERROR(MATCH(I148,SurveyDATA!D:D,0))=TRUE,"",MATCH(I148,SurveyDATA!D:D,0))</f>
        <v/>
      </c>
    </row>
    <row r="149" spans="1:10">
      <c r="A149" s="92" t="s">
        <v>6291</v>
      </c>
      <c r="B149" s="92" t="str">
        <f>IF(ISERROR(MATCH(A149,SurveyDATA!P:P,0))=TRUE,"",MATCH(A149,SurveyDATA!P:P,0))</f>
        <v/>
      </c>
      <c r="C149" s="92" t="s">
        <v>6292</v>
      </c>
      <c r="D149" s="92" t="str">
        <f>IF(ISERROR(MATCH(C149,SurveyDATA!AI:AI,0))=TRUE,"",MATCH(C149,SurveyDATA!AI:AI,0))</f>
        <v/>
      </c>
      <c r="E149" s="287" t="str">
        <f>IF(ISERROR(MATCH(C149,SurveyDATA!BL:BL,0))=TRUE,"",MATCH(C149,SurveyDATA!BL:BL,0))</f>
        <v/>
      </c>
      <c r="F149" s="92" t="s">
        <v>6293</v>
      </c>
      <c r="G149" s="287" t="str">
        <f>IF(ISERROR(MATCH(F149,SurveyDATA!BN:BN,0))=TRUE,"",MATCH(F149,SurveyDATA!BN:BN,0))</f>
        <v/>
      </c>
      <c r="H149" s="287" t="str">
        <f>IF(ISERROR(MATCH(F149,#REF!,0))=TRUE,"",MATCH(F149,#REF!,0))</f>
        <v/>
      </c>
      <c r="I149" s="287" t="s">
        <v>6998</v>
      </c>
      <c r="J149" s="92" t="str">
        <f>IF(ISERROR(MATCH(I149,SurveyDATA!D:D,0))=TRUE,"",MATCH(I149,SurveyDATA!D:D,0))</f>
        <v/>
      </c>
    </row>
    <row r="150" spans="1:10">
      <c r="A150" s="92" t="s">
        <v>6294</v>
      </c>
      <c r="B150" s="92" t="str">
        <f>IF(ISERROR(MATCH(A150,SurveyDATA!P:P,0))=TRUE,"",MATCH(A150,SurveyDATA!P:P,0))</f>
        <v/>
      </c>
      <c r="C150" s="92" t="s">
        <v>6295</v>
      </c>
      <c r="D150" s="92" t="str">
        <f>IF(ISERROR(MATCH(C150,SurveyDATA!AI:AI,0))=TRUE,"",MATCH(C150,SurveyDATA!AI:AI,0))</f>
        <v/>
      </c>
      <c r="E150" s="287" t="str">
        <f>IF(ISERROR(MATCH(C150,SurveyDATA!BL:BL,0))=TRUE,"",MATCH(C150,SurveyDATA!BL:BL,0))</f>
        <v/>
      </c>
      <c r="F150" s="92" t="s">
        <v>6296</v>
      </c>
      <c r="G150" s="287" t="str">
        <f>IF(ISERROR(MATCH(F150,SurveyDATA!BN:BN,0))=TRUE,"",MATCH(F150,SurveyDATA!BN:BN,0))</f>
        <v/>
      </c>
      <c r="H150" s="287" t="str">
        <f>IF(ISERROR(MATCH(F150,#REF!,0))=TRUE,"",MATCH(F150,#REF!,0))</f>
        <v/>
      </c>
      <c r="I150" s="287" t="s">
        <v>6999</v>
      </c>
      <c r="J150" s="92" t="str">
        <f>IF(ISERROR(MATCH(I150,SurveyDATA!D:D,0))=TRUE,"",MATCH(I150,SurveyDATA!D:D,0))</f>
        <v/>
      </c>
    </row>
    <row r="151" spans="1:10">
      <c r="A151" s="92" t="s">
        <v>6297</v>
      </c>
      <c r="B151" s="92" t="str">
        <f>IF(ISERROR(MATCH(A151,SurveyDATA!P:P,0))=TRUE,"",MATCH(A151,SurveyDATA!P:P,0))</f>
        <v/>
      </c>
      <c r="C151" s="92" t="s">
        <v>6298</v>
      </c>
      <c r="D151" s="92" t="str">
        <f>IF(ISERROR(MATCH(C151,SurveyDATA!AI:AI,0))=TRUE,"",MATCH(C151,SurveyDATA!AI:AI,0))</f>
        <v/>
      </c>
      <c r="E151" s="287" t="str">
        <f>IF(ISERROR(MATCH(C151,SurveyDATA!BL:BL,0))=TRUE,"",MATCH(C151,SurveyDATA!BL:BL,0))</f>
        <v/>
      </c>
      <c r="F151" s="92" t="s">
        <v>6299</v>
      </c>
      <c r="G151" s="287" t="str">
        <f>IF(ISERROR(MATCH(F151,SurveyDATA!BN:BN,0))=TRUE,"",MATCH(F151,SurveyDATA!BN:BN,0))</f>
        <v/>
      </c>
      <c r="H151" s="287" t="str">
        <f>IF(ISERROR(MATCH(F151,#REF!,0))=TRUE,"",MATCH(F151,#REF!,0))</f>
        <v/>
      </c>
      <c r="I151" s="287" t="s">
        <v>7000</v>
      </c>
      <c r="J151" s="92" t="str">
        <f>IF(ISERROR(MATCH(I151,SurveyDATA!D:D,0))=TRUE,"",MATCH(I151,SurveyDATA!D:D,0))</f>
        <v/>
      </c>
    </row>
    <row r="152" spans="1:10">
      <c r="A152" s="92" t="s">
        <v>6300</v>
      </c>
      <c r="B152" s="92" t="str">
        <f>IF(ISERROR(MATCH(A152,SurveyDATA!P:P,0))=TRUE,"",MATCH(A152,SurveyDATA!P:P,0))</f>
        <v/>
      </c>
      <c r="C152" s="92" t="s">
        <v>6301</v>
      </c>
      <c r="D152" s="92" t="str">
        <f>IF(ISERROR(MATCH(C152,SurveyDATA!AI:AI,0))=TRUE,"",MATCH(C152,SurveyDATA!AI:AI,0))</f>
        <v/>
      </c>
      <c r="E152" s="287" t="str">
        <f>IF(ISERROR(MATCH(C152,SurveyDATA!BL:BL,0))=TRUE,"",MATCH(C152,SurveyDATA!BL:BL,0))</f>
        <v/>
      </c>
      <c r="F152" s="92" t="s">
        <v>6302</v>
      </c>
      <c r="G152" s="287" t="str">
        <f>IF(ISERROR(MATCH(F152,SurveyDATA!BN:BN,0))=TRUE,"",MATCH(F152,SurveyDATA!BN:BN,0))</f>
        <v/>
      </c>
      <c r="H152" s="287" t="str">
        <f>IF(ISERROR(MATCH(F152,#REF!,0))=TRUE,"",MATCH(F152,#REF!,0))</f>
        <v/>
      </c>
      <c r="I152" s="287" t="s">
        <v>7001</v>
      </c>
      <c r="J152" s="92" t="str">
        <f>IF(ISERROR(MATCH(I152,SurveyDATA!D:D,0))=TRUE,"",MATCH(I152,SurveyDATA!D:D,0))</f>
        <v/>
      </c>
    </row>
    <row r="153" spans="1:10">
      <c r="A153" s="92" t="s">
        <v>6303</v>
      </c>
      <c r="B153" s="92" t="str">
        <f>IF(ISERROR(MATCH(A153,SurveyDATA!P:P,0))=TRUE,"",MATCH(A153,SurveyDATA!P:P,0))</f>
        <v/>
      </c>
      <c r="C153" s="92" t="s">
        <v>6304</v>
      </c>
      <c r="D153" s="92" t="str">
        <f>IF(ISERROR(MATCH(C153,SurveyDATA!AI:AI,0))=TRUE,"",MATCH(C153,SurveyDATA!AI:AI,0))</f>
        <v/>
      </c>
      <c r="E153" s="287" t="str">
        <f>IF(ISERROR(MATCH(C153,SurveyDATA!BL:BL,0))=TRUE,"",MATCH(C153,SurveyDATA!BL:BL,0))</f>
        <v/>
      </c>
      <c r="F153" s="92" t="s">
        <v>6305</v>
      </c>
      <c r="G153" s="287" t="str">
        <f>IF(ISERROR(MATCH(F153,SurveyDATA!BN:BN,0))=TRUE,"",MATCH(F153,SurveyDATA!BN:BN,0))</f>
        <v/>
      </c>
      <c r="H153" s="287" t="str">
        <f>IF(ISERROR(MATCH(F153,#REF!,0))=TRUE,"",MATCH(F153,#REF!,0))</f>
        <v/>
      </c>
      <c r="I153" s="287" t="s">
        <v>7002</v>
      </c>
      <c r="J153" s="92" t="str">
        <f>IF(ISERROR(MATCH(I153,SurveyDATA!D:D,0))=TRUE,"",MATCH(I153,SurveyDATA!D:D,0))</f>
        <v/>
      </c>
    </row>
    <row r="154" spans="1:10">
      <c r="A154" s="92" t="s">
        <v>6306</v>
      </c>
      <c r="B154" s="92" t="str">
        <f>IF(ISERROR(MATCH(A154,SurveyDATA!P:P,0))=TRUE,"",MATCH(A154,SurveyDATA!P:P,0))</f>
        <v/>
      </c>
      <c r="C154" s="92" t="s">
        <v>6307</v>
      </c>
      <c r="D154" s="92" t="str">
        <f>IF(ISERROR(MATCH(C154,SurveyDATA!AI:AI,0))=TRUE,"",MATCH(C154,SurveyDATA!AI:AI,0))</f>
        <v/>
      </c>
      <c r="E154" s="287" t="str">
        <f>IF(ISERROR(MATCH(C154,SurveyDATA!BL:BL,0))=TRUE,"",MATCH(C154,SurveyDATA!BL:BL,0))</f>
        <v/>
      </c>
      <c r="F154" s="92" t="s">
        <v>6308</v>
      </c>
      <c r="G154" s="287" t="str">
        <f>IF(ISERROR(MATCH(F154,SurveyDATA!BN:BN,0))=TRUE,"",MATCH(F154,SurveyDATA!BN:BN,0))</f>
        <v/>
      </c>
      <c r="H154" s="287" t="str">
        <f>IF(ISERROR(MATCH(F154,#REF!,0))=TRUE,"",MATCH(F154,#REF!,0))</f>
        <v/>
      </c>
      <c r="I154" s="287" t="s">
        <v>7003</v>
      </c>
      <c r="J154" s="92" t="str">
        <f>IF(ISERROR(MATCH(I154,SurveyDATA!D:D,0))=TRUE,"",MATCH(I154,SurveyDATA!D:D,0))</f>
        <v/>
      </c>
    </row>
    <row r="155" spans="1:10">
      <c r="A155" s="92" t="s">
        <v>6309</v>
      </c>
      <c r="B155" s="92" t="str">
        <f>IF(ISERROR(MATCH(A155,SurveyDATA!P:P,0))=TRUE,"",MATCH(A155,SurveyDATA!P:P,0))</f>
        <v/>
      </c>
      <c r="C155" s="92" t="s">
        <v>6310</v>
      </c>
      <c r="D155" s="92" t="str">
        <f>IF(ISERROR(MATCH(C155,SurveyDATA!AI:AI,0))=TRUE,"",MATCH(C155,SurveyDATA!AI:AI,0))</f>
        <v/>
      </c>
      <c r="E155" s="287" t="str">
        <f>IF(ISERROR(MATCH(C155,SurveyDATA!BL:BL,0))=TRUE,"",MATCH(C155,SurveyDATA!BL:BL,0))</f>
        <v/>
      </c>
      <c r="F155" s="92" t="s">
        <v>6311</v>
      </c>
      <c r="G155" s="287" t="str">
        <f>IF(ISERROR(MATCH(F155,SurveyDATA!BN:BN,0))=TRUE,"",MATCH(F155,SurveyDATA!BN:BN,0))</f>
        <v/>
      </c>
      <c r="H155" s="287" t="str">
        <f>IF(ISERROR(MATCH(F155,#REF!,0))=TRUE,"",MATCH(F155,#REF!,0))</f>
        <v/>
      </c>
      <c r="I155" s="287" t="s">
        <v>7004</v>
      </c>
      <c r="J155" s="92" t="str">
        <f>IF(ISERROR(MATCH(I155,SurveyDATA!D:D,0))=TRUE,"",MATCH(I155,SurveyDATA!D:D,0))</f>
        <v/>
      </c>
    </row>
    <row r="156" spans="1:10">
      <c r="A156" s="92" t="s">
        <v>6312</v>
      </c>
      <c r="B156" s="92" t="str">
        <f>IF(ISERROR(MATCH(A156,SurveyDATA!P:P,0))=TRUE,"",MATCH(A156,SurveyDATA!P:P,0))</f>
        <v/>
      </c>
      <c r="C156" s="92" t="s">
        <v>6313</v>
      </c>
      <c r="D156" s="92" t="str">
        <f>IF(ISERROR(MATCH(C156,SurveyDATA!AI:AI,0))=TRUE,"",MATCH(C156,SurveyDATA!AI:AI,0))</f>
        <v/>
      </c>
      <c r="E156" s="287" t="str">
        <f>IF(ISERROR(MATCH(C156,SurveyDATA!BL:BL,0))=TRUE,"",MATCH(C156,SurveyDATA!BL:BL,0))</f>
        <v/>
      </c>
      <c r="F156" s="92" t="s">
        <v>6314</v>
      </c>
      <c r="G156" s="287" t="str">
        <f>IF(ISERROR(MATCH(F156,SurveyDATA!BN:BN,0))=TRUE,"",MATCH(F156,SurveyDATA!BN:BN,0))</f>
        <v/>
      </c>
      <c r="H156" s="287" t="str">
        <f>IF(ISERROR(MATCH(F156,#REF!,0))=TRUE,"",MATCH(F156,#REF!,0))</f>
        <v/>
      </c>
      <c r="I156" s="287" t="s">
        <v>7005</v>
      </c>
      <c r="J156" s="92" t="str">
        <f>IF(ISERROR(MATCH(I156,SurveyDATA!D:D,0))=TRUE,"",MATCH(I156,SurveyDATA!D:D,0))</f>
        <v/>
      </c>
    </row>
    <row r="157" spans="1:10">
      <c r="A157" s="92" t="s">
        <v>6315</v>
      </c>
      <c r="B157" s="92" t="str">
        <f>IF(ISERROR(MATCH(A157,SurveyDATA!P:P,0))=TRUE,"",MATCH(A157,SurveyDATA!P:P,0))</f>
        <v/>
      </c>
      <c r="C157" s="92" t="s">
        <v>6316</v>
      </c>
      <c r="D157" s="92" t="str">
        <f>IF(ISERROR(MATCH(C157,SurveyDATA!AI:AI,0))=TRUE,"",MATCH(C157,SurveyDATA!AI:AI,0))</f>
        <v/>
      </c>
      <c r="E157" s="287" t="str">
        <f>IF(ISERROR(MATCH(C157,SurveyDATA!BL:BL,0))=TRUE,"",MATCH(C157,SurveyDATA!BL:BL,0))</f>
        <v/>
      </c>
      <c r="F157" s="92" t="s">
        <v>6317</v>
      </c>
      <c r="G157" s="287" t="str">
        <f>IF(ISERROR(MATCH(F157,SurveyDATA!BN:BN,0))=TRUE,"",MATCH(F157,SurveyDATA!BN:BN,0))</f>
        <v/>
      </c>
      <c r="H157" s="287" t="str">
        <f>IF(ISERROR(MATCH(F157,#REF!,0))=TRUE,"",MATCH(F157,#REF!,0))</f>
        <v/>
      </c>
      <c r="I157" s="287" t="s">
        <v>7006</v>
      </c>
      <c r="J157" s="92" t="str">
        <f>IF(ISERROR(MATCH(I157,SurveyDATA!D:D,0))=TRUE,"",MATCH(I157,SurveyDATA!D:D,0))</f>
        <v/>
      </c>
    </row>
    <row r="158" spans="1:10">
      <c r="A158" s="92" t="s">
        <v>6318</v>
      </c>
      <c r="B158" s="92" t="str">
        <f>IF(ISERROR(MATCH(A158,SurveyDATA!P:P,0))=TRUE,"",MATCH(A158,SurveyDATA!P:P,0))</f>
        <v/>
      </c>
      <c r="C158" s="92" t="s">
        <v>6319</v>
      </c>
      <c r="D158" s="92" t="str">
        <f>IF(ISERROR(MATCH(C158,SurveyDATA!AI:AI,0))=TRUE,"",MATCH(C158,SurveyDATA!AI:AI,0))</f>
        <v/>
      </c>
      <c r="E158" s="287" t="str">
        <f>IF(ISERROR(MATCH(C158,SurveyDATA!BL:BL,0))=TRUE,"",MATCH(C158,SurveyDATA!BL:BL,0))</f>
        <v/>
      </c>
      <c r="F158" s="92" t="s">
        <v>6320</v>
      </c>
      <c r="G158" s="287" t="str">
        <f>IF(ISERROR(MATCH(F158,SurveyDATA!BN:BN,0))=TRUE,"",MATCH(F158,SurveyDATA!BN:BN,0))</f>
        <v/>
      </c>
      <c r="H158" s="287" t="str">
        <f>IF(ISERROR(MATCH(F158,#REF!,0))=TRUE,"",MATCH(F158,#REF!,0))</f>
        <v/>
      </c>
      <c r="I158" s="287" t="s">
        <v>7007</v>
      </c>
      <c r="J158" s="92" t="str">
        <f>IF(ISERROR(MATCH(I158,SurveyDATA!D:D,0))=TRUE,"",MATCH(I158,SurveyDATA!D:D,0))</f>
        <v/>
      </c>
    </row>
    <row r="159" spans="1:10">
      <c r="A159" s="92" t="s">
        <v>6321</v>
      </c>
      <c r="B159" s="92" t="str">
        <f>IF(ISERROR(MATCH(A159,SurveyDATA!P:P,0))=TRUE,"",MATCH(A159,SurveyDATA!P:P,0))</f>
        <v/>
      </c>
      <c r="C159" s="92" t="s">
        <v>6322</v>
      </c>
      <c r="D159" s="92" t="str">
        <f>IF(ISERROR(MATCH(C159,SurveyDATA!AI:AI,0))=TRUE,"",MATCH(C159,SurveyDATA!AI:AI,0))</f>
        <v/>
      </c>
      <c r="E159" s="287" t="str">
        <f>IF(ISERROR(MATCH(C159,SurveyDATA!BL:BL,0))=TRUE,"",MATCH(C159,SurveyDATA!BL:BL,0))</f>
        <v/>
      </c>
      <c r="F159" s="92" t="s">
        <v>6323</v>
      </c>
      <c r="G159" s="287" t="str">
        <f>IF(ISERROR(MATCH(F159,SurveyDATA!BN:BN,0))=TRUE,"",MATCH(F159,SurveyDATA!BN:BN,0))</f>
        <v/>
      </c>
      <c r="H159" s="287" t="str">
        <f>IF(ISERROR(MATCH(F159,#REF!,0))=TRUE,"",MATCH(F159,#REF!,0))</f>
        <v/>
      </c>
      <c r="I159" s="287" t="s">
        <v>7008</v>
      </c>
      <c r="J159" s="92" t="str">
        <f>IF(ISERROR(MATCH(I159,SurveyDATA!D:D,0))=TRUE,"",MATCH(I159,SurveyDATA!D:D,0))</f>
        <v/>
      </c>
    </row>
    <row r="160" spans="1:10">
      <c r="A160" s="567" t="s">
        <v>6324</v>
      </c>
      <c r="B160" s="567">
        <f>IF(ISERROR(MATCH(A160,SurveyDATA!P:P,0))=TRUE,"",MATCH(A160,SurveyDATA!P:P,0))</f>
        <v>526</v>
      </c>
      <c r="C160" s="567" t="s">
        <v>6325</v>
      </c>
      <c r="D160" s="567" t="str">
        <f>IF(ISERROR(MATCH(C160,SurveyDATA!AI:AI,0))=TRUE,"",MATCH(C160,SurveyDATA!AI:AI,0))</f>
        <v/>
      </c>
      <c r="E160" s="568" t="str">
        <f>IF(ISERROR(MATCH(C160,SurveyDATA!BL:BL,0))=TRUE,"",MATCH(C160,SurveyDATA!BL:BL,0))</f>
        <v/>
      </c>
      <c r="F160" s="567" t="s">
        <v>6326</v>
      </c>
      <c r="G160" s="568" t="str">
        <f>IF(ISERROR(MATCH(F160,SurveyDATA!BN:BN,0))=TRUE,"",MATCH(F160,SurveyDATA!BN:BN,0))</f>
        <v/>
      </c>
      <c r="H160" s="568" t="str">
        <f>IF(ISERROR(MATCH(F160,#REF!,0))=TRUE,"",MATCH(F160,#REF!,0))</f>
        <v/>
      </c>
      <c r="I160" s="568" t="s">
        <v>7009</v>
      </c>
      <c r="J160" s="567" t="str">
        <f>IF(ISERROR(MATCH(I160,SurveyDATA!D:D,0))=TRUE,"",MATCH(I160,SurveyDATA!D:D,0))</f>
        <v/>
      </c>
    </row>
    <row r="161" spans="1:10">
      <c r="A161" s="92" t="s">
        <v>6327</v>
      </c>
      <c r="B161" s="92" t="str">
        <f>IF(ISERROR(MATCH(A161,SurveyDATA!P:P,0))=TRUE,"",MATCH(A161,SurveyDATA!P:P,0))</f>
        <v/>
      </c>
      <c r="C161" s="92" t="s">
        <v>6328</v>
      </c>
      <c r="D161" s="92" t="str">
        <f>IF(ISERROR(MATCH(C161,SurveyDATA!AI:AI,0))=TRUE,"",MATCH(C161,SurveyDATA!AI:AI,0))</f>
        <v/>
      </c>
      <c r="E161" s="287" t="str">
        <f>IF(ISERROR(MATCH(C161,SurveyDATA!BL:BL,0))=TRUE,"",MATCH(C161,SurveyDATA!BL:BL,0))</f>
        <v/>
      </c>
      <c r="F161" s="92" t="s">
        <v>6329</v>
      </c>
      <c r="G161" s="287" t="str">
        <f>IF(ISERROR(MATCH(F161,SurveyDATA!BN:BN,0))=TRUE,"",MATCH(F161,SurveyDATA!BN:BN,0))</f>
        <v/>
      </c>
      <c r="H161" s="287" t="str">
        <f>IF(ISERROR(MATCH(F161,#REF!,0))=TRUE,"",MATCH(F161,#REF!,0))</f>
        <v/>
      </c>
      <c r="I161" s="287" t="s">
        <v>7010</v>
      </c>
      <c r="J161" s="92" t="str">
        <f>IF(ISERROR(MATCH(I161,SurveyDATA!D:D,0))=TRUE,"",MATCH(I161,SurveyDATA!D:D,0))</f>
        <v/>
      </c>
    </row>
    <row r="162" spans="1:10">
      <c r="A162" s="92" t="s">
        <v>6330</v>
      </c>
      <c r="B162" s="92" t="str">
        <f>IF(ISERROR(MATCH(A162,SurveyDATA!P:P,0))=TRUE,"",MATCH(A162,SurveyDATA!P:P,0))</f>
        <v/>
      </c>
      <c r="C162" s="92" t="s">
        <v>6331</v>
      </c>
      <c r="D162" s="92" t="str">
        <f>IF(ISERROR(MATCH(C162,SurveyDATA!AI:AI,0))=TRUE,"",MATCH(C162,SurveyDATA!AI:AI,0))</f>
        <v/>
      </c>
      <c r="E162" s="287" t="str">
        <f>IF(ISERROR(MATCH(C162,SurveyDATA!BL:BL,0))=TRUE,"",MATCH(C162,SurveyDATA!BL:BL,0))</f>
        <v/>
      </c>
      <c r="F162" s="92" t="s">
        <v>6332</v>
      </c>
      <c r="G162" s="287" t="str">
        <f>IF(ISERROR(MATCH(F162,SurveyDATA!BN:BN,0))=TRUE,"",MATCH(F162,SurveyDATA!BN:BN,0))</f>
        <v/>
      </c>
      <c r="H162" s="287" t="str">
        <f>IF(ISERROR(MATCH(F162,#REF!,0))=TRUE,"",MATCH(F162,#REF!,0))</f>
        <v/>
      </c>
      <c r="I162" s="287" t="s">
        <v>7011</v>
      </c>
      <c r="J162" s="92" t="str">
        <f>IF(ISERROR(MATCH(I162,SurveyDATA!D:D,0))=TRUE,"",MATCH(I162,SurveyDATA!D:D,0))</f>
        <v/>
      </c>
    </row>
    <row r="163" spans="1:10">
      <c r="A163" s="92" t="s">
        <v>6333</v>
      </c>
      <c r="B163" s="92" t="str">
        <f>IF(ISERROR(MATCH(A163,SurveyDATA!P:P,0))=TRUE,"",MATCH(A163,SurveyDATA!P:P,0))</f>
        <v/>
      </c>
      <c r="C163" s="92" t="s">
        <v>6334</v>
      </c>
      <c r="D163" s="92" t="str">
        <f>IF(ISERROR(MATCH(C163,SurveyDATA!AI:AI,0))=TRUE,"",MATCH(C163,SurveyDATA!AI:AI,0))</f>
        <v/>
      </c>
      <c r="E163" s="287" t="str">
        <f>IF(ISERROR(MATCH(C163,SurveyDATA!BL:BL,0))=TRUE,"",MATCH(C163,SurveyDATA!BL:BL,0))</f>
        <v/>
      </c>
      <c r="F163" s="92" t="s">
        <v>6335</v>
      </c>
      <c r="G163" s="287" t="str">
        <f>IF(ISERROR(MATCH(F163,SurveyDATA!BN:BN,0))=TRUE,"",MATCH(F163,SurveyDATA!BN:BN,0))</f>
        <v/>
      </c>
      <c r="H163" s="287" t="str">
        <f>IF(ISERROR(MATCH(F163,#REF!,0))=TRUE,"",MATCH(F163,#REF!,0))</f>
        <v/>
      </c>
      <c r="I163" s="287" t="s">
        <v>7012</v>
      </c>
      <c r="J163" s="92" t="str">
        <f>IF(ISERROR(MATCH(I163,SurveyDATA!D:D,0))=TRUE,"",MATCH(I163,SurveyDATA!D:D,0))</f>
        <v/>
      </c>
    </row>
    <row r="164" spans="1:10">
      <c r="A164" s="92" t="s">
        <v>6336</v>
      </c>
      <c r="B164" s="92" t="str">
        <f>IF(ISERROR(MATCH(A164,SurveyDATA!P:P,0))=TRUE,"",MATCH(A164,SurveyDATA!P:P,0))</f>
        <v/>
      </c>
      <c r="C164" s="92" t="s">
        <v>6337</v>
      </c>
      <c r="D164" s="92" t="str">
        <f>IF(ISERROR(MATCH(C164,SurveyDATA!AI:AI,0))=TRUE,"",MATCH(C164,SurveyDATA!AI:AI,0))</f>
        <v/>
      </c>
      <c r="E164" s="287" t="str">
        <f>IF(ISERROR(MATCH(C164,SurveyDATA!BL:BL,0))=TRUE,"",MATCH(C164,SurveyDATA!BL:BL,0))</f>
        <v/>
      </c>
      <c r="F164" s="92" t="s">
        <v>6338</v>
      </c>
      <c r="G164" s="287" t="str">
        <f>IF(ISERROR(MATCH(F164,SurveyDATA!BN:BN,0))=TRUE,"",MATCH(F164,SurveyDATA!BN:BN,0))</f>
        <v/>
      </c>
      <c r="H164" s="287" t="str">
        <f>IF(ISERROR(MATCH(F164,#REF!,0))=TRUE,"",MATCH(F164,#REF!,0))</f>
        <v/>
      </c>
      <c r="I164" s="287" t="s">
        <v>7013</v>
      </c>
      <c r="J164" s="92" t="str">
        <f>IF(ISERROR(MATCH(I164,SurveyDATA!D:D,0))=TRUE,"",MATCH(I164,SurveyDATA!D:D,0))</f>
        <v/>
      </c>
    </row>
    <row r="165" spans="1:10">
      <c r="A165" s="92" t="s">
        <v>6339</v>
      </c>
      <c r="B165" s="92" t="str">
        <f>IF(ISERROR(MATCH(A165,SurveyDATA!P:P,0))=TRUE,"",MATCH(A165,SurveyDATA!P:P,0))</f>
        <v/>
      </c>
      <c r="C165" s="92" t="s">
        <v>6340</v>
      </c>
      <c r="D165" s="92" t="str">
        <f>IF(ISERROR(MATCH(C165,SurveyDATA!AI:AI,0))=TRUE,"",MATCH(C165,SurveyDATA!AI:AI,0))</f>
        <v/>
      </c>
      <c r="E165" s="287" t="str">
        <f>IF(ISERROR(MATCH(C165,SurveyDATA!BL:BL,0))=TRUE,"",MATCH(C165,SurveyDATA!BL:BL,0))</f>
        <v/>
      </c>
      <c r="F165" s="92" t="s">
        <v>6341</v>
      </c>
      <c r="G165" s="287" t="str">
        <f>IF(ISERROR(MATCH(F165,SurveyDATA!BN:BN,0))=TRUE,"",MATCH(F165,SurveyDATA!BN:BN,0))</f>
        <v/>
      </c>
      <c r="H165" s="287" t="str">
        <f>IF(ISERROR(MATCH(F165,#REF!,0))=TRUE,"",MATCH(F165,#REF!,0))</f>
        <v/>
      </c>
      <c r="I165" s="287" t="s">
        <v>7014</v>
      </c>
      <c r="J165" s="92" t="str">
        <f>IF(ISERROR(MATCH(I165,SurveyDATA!D:D,0))=TRUE,"",MATCH(I165,SurveyDATA!D:D,0))</f>
        <v/>
      </c>
    </row>
    <row r="166" spans="1:10">
      <c r="A166" s="92" t="s">
        <v>6342</v>
      </c>
      <c r="B166" s="92" t="str">
        <f>IF(ISERROR(MATCH(A166,SurveyDATA!P:P,0))=TRUE,"",MATCH(A166,SurveyDATA!P:P,0))</f>
        <v/>
      </c>
      <c r="C166" s="92" t="s">
        <v>6343</v>
      </c>
      <c r="D166" s="92" t="str">
        <f>IF(ISERROR(MATCH(C166,SurveyDATA!AI:AI,0))=TRUE,"",MATCH(C166,SurveyDATA!AI:AI,0))</f>
        <v/>
      </c>
      <c r="E166" s="287" t="str">
        <f>IF(ISERROR(MATCH(C166,SurveyDATA!BL:BL,0))=TRUE,"",MATCH(C166,SurveyDATA!BL:BL,0))</f>
        <v/>
      </c>
      <c r="F166" s="92" t="s">
        <v>6344</v>
      </c>
      <c r="G166" s="287" t="str">
        <f>IF(ISERROR(MATCH(F166,SurveyDATA!BN:BN,0))=TRUE,"",MATCH(F166,SurveyDATA!BN:BN,0))</f>
        <v/>
      </c>
      <c r="H166" s="287" t="str">
        <f>IF(ISERROR(MATCH(F166,#REF!,0))=TRUE,"",MATCH(F166,#REF!,0))</f>
        <v/>
      </c>
      <c r="I166" s="287" t="s">
        <v>7015</v>
      </c>
      <c r="J166" s="92" t="str">
        <f>IF(ISERROR(MATCH(I166,SurveyDATA!D:D,0))=TRUE,"",MATCH(I166,SurveyDATA!D:D,0))</f>
        <v/>
      </c>
    </row>
    <row r="167" spans="1:10">
      <c r="A167" s="92" t="s">
        <v>6345</v>
      </c>
      <c r="B167" s="92" t="str">
        <f>IF(ISERROR(MATCH(A167,SurveyDATA!P:P,0))=TRUE,"",MATCH(A167,SurveyDATA!P:P,0))</f>
        <v/>
      </c>
      <c r="C167" s="92" t="s">
        <v>6346</v>
      </c>
      <c r="D167" s="92" t="str">
        <f>IF(ISERROR(MATCH(C167,SurveyDATA!AI:AI,0))=TRUE,"",MATCH(C167,SurveyDATA!AI:AI,0))</f>
        <v/>
      </c>
      <c r="E167" s="287" t="str">
        <f>IF(ISERROR(MATCH(C167,SurveyDATA!BL:BL,0))=TRUE,"",MATCH(C167,SurveyDATA!BL:BL,0))</f>
        <v/>
      </c>
      <c r="F167" s="92" t="s">
        <v>6347</v>
      </c>
      <c r="G167" s="287" t="str">
        <f>IF(ISERROR(MATCH(F167,SurveyDATA!BN:BN,0))=TRUE,"",MATCH(F167,SurveyDATA!BN:BN,0))</f>
        <v/>
      </c>
      <c r="H167" s="287" t="str">
        <f>IF(ISERROR(MATCH(F167,#REF!,0))=TRUE,"",MATCH(F167,#REF!,0))</f>
        <v/>
      </c>
      <c r="I167" s="287" t="s">
        <v>7016</v>
      </c>
      <c r="J167" s="92" t="str">
        <f>IF(ISERROR(MATCH(I167,SurveyDATA!D:D,0))=TRUE,"",MATCH(I167,SurveyDATA!D:D,0))</f>
        <v/>
      </c>
    </row>
    <row r="168" spans="1:10">
      <c r="A168" s="92" t="s">
        <v>6348</v>
      </c>
      <c r="B168" s="92" t="str">
        <f>IF(ISERROR(MATCH(A168,SurveyDATA!P:P,0))=TRUE,"",MATCH(A168,SurveyDATA!P:P,0))</f>
        <v/>
      </c>
      <c r="C168" s="92" t="s">
        <v>6349</v>
      </c>
      <c r="D168" s="92" t="str">
        <f>IF(ISERROR(MATCH(C168,SurveyDATA!AI:AI,0))=TRUE,"",MATCH(C168,SurveyDATA!AI:AI,0))</f>
        <v/>
      </c>
      <c r="E168" s="287" t="str">
        <f>IF(ISERROR(MATCH(C168,SurveyDATA!BL:BL,0))=TRUE,"",MATCH(C168,SurveyDATA!BL:BL,0))</f>
        <v/>
      </c>
      <c r="F168" s="92" t="s">
        <v>6350</v>
      </c>
      <c r="G168" s="287" t="str">
        <f>IF(ISERROR(MATCH(F168,SurveyDATA!BN:BN,0))=TRUE,"",MATCH(F168,SurveyDATA!BN:BN,0))</f>
        <v/>
      </c>
      <c r="H168" s="287" t="str">
        <f>IF(ISERROR(MATCH(F168,#REF!,0))=TRUE,"",MATCH(F168,#REF!,0))</f>
        <v/>
      </c>
      <c r="I168" s="287" t="s">
        <v>7017</v>
      </c>
      <c r="J168" s="92" t="str">
        <f>IF(ISERROR(MATCH(I168,SurveyDATA!D:D,0))=TRUE,"",MATCH(I168,SurveyDATA!D:D,0))</f>
        <v/>
      </c>
    </row>
    <row r="169" spans="1:10">
      <c r="A169" s="92" t="s">
        <v>6351</v>
      </c>
      <c r="B169" s="92" t="str">
        <f>IF(ISERROR(MATCH(A169,SurveyDATA!P:P,0))=TRUE,"",MATCH(A169,SurveyDATA!P:P,0))</f>
        <v/>
      </c>
      <c r="C169" s="92" t="s">
        <v>6352</v>
      </c>
      <c r="D169" s="92" t="str">
        <f>IF(ISERROR(MATCH(C169,SurveyDATA!AI:AI,0))=TRUE,"",MATCH(C169,SurveyDATA!AI:AI,0))</f>
        <v/>
      </c>
      <c r="E169" s="287" t="str">
        <f>IF(ISERROR(MATCH(C169,SurveyDATA!BL:BL,0))=TRUE,"",MATCH(C169,SurveyDATA!BL:BL,0))</f>
        <v/>
      </c>
      <c r="F169" s="92" t="s">
        <v>6353</v>
      </c>
      <c r="G169" s="287" t="str">
        <f>IF(ISERROR(MATCH(F169,SurveyDATA!BN:BN,0))=TRUE,"",MATCH(F169,SurveyDATA!BN:BN,0))</f>
        <v/>
      </c>
      <c r="H169" s="287" t="str">
        <f>IF(ISERROR(MATCH(F169,#REF!,0))=TRUE,"",MATCH(F169,#REF!,0))</f>
        <v/>
      </c>
      <c r="I169" s="287" t="s">
        <v>7018</v>
      </c>
      <c r="J169" s="92" t="str">
        <f>IF(ISERROR(MATCH(I169,SurveyDATA!D:D,0))=TRUE,"",MATCH(I169,SurveyDATA!D:D,0))</f>
        <v/>
      </c>
    </row>
    <row r="170" spans="1:10">
      <c r="A170" s="92" t="s">
        <v>6354</v>
      </c>
      <c r="B170" s="92" t="str">
        <f>IF(ISERROR(MATCH(A170,SurveyDATA!P:P,0))=TRUE,"",MATCH(A170,SurveyDATA!P:P,0))</f>
        <v/>
      </c>
      <c r="C170" s="92" t="s">
        <v>6355</v>
      </c>
      <c r="D170" s="92" t="str">
        <f>IF(ISERROR(MATCH(C170,SurveyDATA!AI:AI,0))=TRUE,"",MATCH(C170,SurveyDATA!AI:AI,0))</f>
        <v/>
      </c>
      <c r="E170" s="287" t="str">
        <f>IF(ISERROR(MATCH(C170,SurveyDATA!BL:BL,0))=TRUE,"",MATCH(C170,SurveyDATA!BL:BL,0))</f>
        <v/>
      </c>
      <c r="F170" s="92" t="s">
        <v>6356</v>
      </c>
      <c r="G170" s="287" t="str">
        <f>IF(ISERROR(MATCH(F170,SurveyDATA!BN:BN,0))=TRUE,"",MATCH(F170,SurveyDATA!BN:BN,0))</f>
        <v/>
      </c>
      <c r="H170" s="287" t="str">
        <f>IF(ISERROR(MATCH(F170,#REF!,0))=TRUE,"",MATCH(F170,#REF!,0))</f>
        <v/>
      </c>
      <c r="I170" s="287" t="s">
        <v>5911</v>
      </c>
      <c r="J170" s="92" t="str">
        <f>IF(ISERROR(MATCH(I170,SurveyDATA!D:D,0))=TRUE,"",MATCH(I170,SurveyDATA!D:D,0))</f>
        <v/>
      </c>
    </row>
    <row r="171" spans="1:10">
      <c r="A171" s="92" t="s">
        <v>6357</v>
      </c>
      <c r="B171" s="92" t="str">
        <f>IF(ISERROR(MATCH(A171,SurveyDATA!P:P,0))=TRUE,"",MATCH(A171,SurveyDATA!P:P,0))</f>
        <v/>
      </c>
      <c r="C171" s="92" t="s">
        <v>6358</v>
      </c>
      <c r="D171" s="92" t="str">
        <f>IF(ISERROR(MATCH(C171,SurveyDATA!AI:AI,0))=TRUE,"",MATCH(C171,SurveyDATA!AI:AI,0))</f>
        <v/>
      </c>
      <c r="E171" s="287" t="str">
        <f>IF(ISERROR(MATCH(C171,SurveyDATA!BL:BL,0))=TRUE,"",MATCH(C171,SurveyDATA!BL:BL,0))</f>
        <v/>
      </c>
      <c r="F171" s="92" t="s">
        <v>6359</v>
      </c>
      <c r="G171" s="287" t="str">
        <f>IF(ISERROR(MATCH(F171,SurveyDATA!BN:BN,0))=TRUE,"",MATCH(F171,SurveyDATA!BN:BN,0))</f>
        <v/>
      </c>
      <c r="H171" s="287" t="str">
        <f>IF(ISERROR(MATCH(F171,#REF!,0))=TRUE,"",MATCH(F171,#REF!,0))</f>
        <v/>
      </c>
      <c r="I171" s="287" t="s">
        <v>7019</v>
      </c>
      <c r="J171" s="92" t="str">
        <f>IF(ISERROR(MATCH(I171,SurveyDATA!D:D,0))=TRUE,"",MATCH(I171,SurveyDATA!D:D,0))</f>
        <v/>
      </c>
    </row>
    <row r="172" spans="1:10">
      <c r="A172" s="92" t="s">
        <v>6360</v>
      </c>
      <c r="B172" s="92" t="str">
        <f>IF(ISERROR(MATCH(A172,SurveyDATA!P:P,0))=TRUE,"",MATCH(A172,SurveyDATA!P:P,0))</f>
        <v/>
      </c>
      <c r="C172" s="92" t="s">
        <v>6361</v>
      </c>
      <c r="D172" s="92" t="str">
        <f>IF(ISERROR(MATCH(C172,SurveyDATA!AI:AI,0))=TRUE,"",MATCH(C172,SurveyDATA!AI:AI,0))</f>
        <v/>
      </c>
      <c r="E172" s="287" t="str">
        <f>IF(ISERROR(MATCH(C172,SurveyDATA!BL:BL,0))=TRUE,"",MATCH(C172,SurveyDATA!BL:BL,0))</f>
        <v/>
      </c>
      <c r="F172" s="92" t="s">
        <v>6362</v>
      </c>
      <c r="G172" s="287" t="str">
        <f>IF(ISERROR(MATCH(F172,SurveyDATA!BN:BN,0))=TRUE,"",MATCH(F172,SurveyDATA!BN:BN,0))</f>
        <v/>
      </c>
      <c r="H172" s="287" t="str">
        <f>IF(ISERROR(MATCH(F172,#REF!,0))=TRUE,"",MATCH(F172,#REF!,0))</f>
        <v/>
      </c>
      <c r="I172" s="287" t="s">
        <v>7020</v>
      </c>
      <c r="J172" s="92" t="str">
        <f>IF(ISERROR(MATCH(I172,SurveyDATA!D:D,0))=TRUE,"",MATCH(I172,SurveyDATA!D:D,0))</f>
        <v/>
      </c>
    </row>
    <row r="173" spans="1:10">
      <c r="A173" s="92" t="s">
        <v>6363</v>
      </c>
      <c r="B173" s="92" t="str">
        <f>IF(ISERROR(MATCH(A173,SurveyDATA!P:P,0))=TRUE,"",MATCH(A173,SurveyDATA!P:P,0))</f>
        <v/>
      </c>
      <c r="C173" s="92" t="s">
        <v>6364</v>
      </c>
      <c r="D173" s="92" t="str">
        <f>IF(ISERROR(MATCH(C173,SurveyDATA!AI:AI,0))=TRUE,"",MATCH(C173,SurveyDATA!AI:AI,0))</f>
        <v/>
      </c>
      <c r="E173" s="287" t="str">
        <f>IF(ISERROR(MATCH(C173,SurveyDATA!BL:BL,0))=TRUE,"",MATCH(C173,SurveyDATA!BL:BL,0))</f>
        <v/>
      </c>
      <c r="F173" s="92" t="s">
        <v>6365</v>
      </c>
      <c r="G173" s="287" t="str">
        <f>IF(ISERROR(MATCH(F173,SurveyDATA!BN:BN,0))=TRUE,"",MATCH(F173,SurveyDATA!BN:BN,0))</f>
        <v/>
      </c>
      <c r="H173" s="287" t="str">
        <f>IF(ISERROR(MATCH(F173,#REF!,0))=TRUE,"",MATCH(F173,#REF!,0))</f>
        <v/>
      </c>
      <c r="I173" s="287" t="s">
        <v>5911</v>
      </c>
      <c r="J173" s="92" t="str">
        <f>IF(ISERROR(MATCH(I173,SurveyDATA!D:D,0))=TRUE,"",MATCH(I173,SurveyDATA!D:D,0))</f>
        <v/>
      </c>
    </row>
    <row r="174" spans="1:10">
      <c r="A174" s="92" t="s">
        <v>6366</v>
      </c>
      <c r="B174" s="92" t="str">
        <f>IF(ISERROR(MATCH(A174,SurveyDATA!P:P,0))=TRUE,"",MATCH(A174,SurveyDATA!P:P,0))</f>
        <v/>
      </c>
      <c r="C174" s="92" t="s">
        <v>6367</v>
      </c>
      <c r="D174" s="92" t="str">
        <f>IF(ISERROR(MATCH(C174,SurveyDATA!AI:AI,0))=TRUE,"",MATCH(C174,SurveyDATA!AI:AI,0))</f>
        <v/>
      </c>
      <c r="E174" s="287" t="str">
        <f>IF(ISERROR(MATCH(C174,SurveyDATA!BL:BL,0))=TRUE,"",MATCH(C174,SurveyDATA!BL:BL,0))</f>
        <v/>
      </c>
      <c r="F174" s="92" t="s">
        <v>6368</v>
      </c>
      <c r="G174" s="287" t="str">
        <f>IF(ISERROR(MATCH(F174,SurveyDATA!BN:BN,0))=TRUE,"",MATCH(F174,SurveyDATA!BN:BN,0))</f>
        <v/>
      </c>
      <c r="H174" s="287" t="str">
        <f>IF(ISERROR(MATCH(F174,#REF!,0))=TRUE,"",MATCH(F174,#REF!,0))</f>
        <v/>
      </c>
      <c r="I174" s="287" t="s">
        <v>5911</v>
      </c>
      <c r="J174" s="92" t="str">
        <f>IF(ISERROR(MATCH(I174,SurveyDATA!D:D,0))=TRUE,"",MATCH(I174,SurveyDATA!D:D,0))</f>
        <v/>
      </c>
    </row>
    <row r="175" spans="1:10">
      <c r="A175" s="92" t="s">
        <v>6369</v>
      </c>
      <c r="B175" s="92" t="str">
        <f>IF(ISERROR(MATCH(A175,SurveyDATA!P:P,0))=TRUE,"",MATCH(A175,SurveyDATA!P:P,0))</f>
        <v/>
      </c>
      <c r="C175" s="92" t="s">
        <v>6370</v>
      </c>
      <c r="D175" s="92" t="str">
        <f>IF(ISERROR(MATCH(C175,SurveyDATA!AI:AI,0))=TRUE,"",MATCH(C175,SurveyDATA!AI:AI,0))</f>
        <v/>
      </c>
      <c r="E175" s="287" t="str">
        <f>IF(ISERROR(MATCH(C175,SurveyDATA!BL:BL,0))=TRUE,"",MATCH(C175,SurveyDATA!BL:BL,0))</f>
        <v/>
      </c>
      <c r="F175" s="92" t="s">
        <v>6371</v>
      </c>
      <c r="G175" s="287" t="str">
        <f>IF(ISERROR(MATCH(F175,SurveyDATA!BN:BN,0))=TRUE,"",MATCH(F175,SurveyDATA!BN:BN,0))</f>
        <v/>
      </c>
      <c r="H175" s="287" t="str">
        <f>IF(ISERROR(MATCH(F175,#REF!,0))=TRUE,"",MATCH(F175,#REF!,0))</f>
        <v/>
      </c>
      <c r="I175" s="287" t="s">
        <v>7021</v>
      </c>
      <c r="J175" s="92" t="str">
        <f>IF(ISERROR(MATCH(I175,SurveyDATA!D:D,0))=TRUE,"",MATCH(I175,SurveyDATA!D:D,0))</f>
        <v/>
      </c>
    </row>
    <row r="176" spans="1:10">
      <c r="A176" s="92" t="s">
        <v>6372</v>
      </c>
      <c r="B176" s="92" t="str">
        <f>IF(ISERROR(MATCH(A176,SurveyDATA!P:P,0))=TRUE,"",MATCH(A176,SurveyDATA!P:P,0))</f>
        <v/>
      </c>
      <c r="C176" s="92" t="s">
        <v>6373</v>
      </c>
      <c r="D176" s="92" t="str">
        <f>IF(ISERROR(MATCH(C176,SurveyDATA!AI:AI,0))=TRUE,"",MATCH(C176,SurveyDATA!AI:AI,0))</f>
        <v/>
      </c>
      <c r="E176" s="287" t="str">
        <f>IF(ISERROR(MATCH(C176,SurveyDATA!BL:BL,0))=TRUE,"",MATCH(C176,SurveyDATA!BL:BL,0))</f>
        <v/>
      </c>
      <c r="F176" s="92" t="s">
        <v>6374</v>
      </c>
      <c r="G176" s="287" t="str">
        <f>IF(ISERROR(MATCH(F176,SurveyDATA!BN:BN,0))=TRUE,"",MATCH(F176,SurveyDATA!BN:BN,0))</f>
        <v/>
      </c>
      <c r="H176" s="287" t="str">
        <f>IF(ISERROR(MATCH(F176,#REF!,0))=TRUE,"",MATCH(F176,#REF!,0))</f>
        <v/>
      </c>
      <c r="I176" s="287" t="s">
        <v>7022</v>
      </c>
      <c r="J176" s="92" t="str">
        <f>IF(ISERROR(MATCH(I176,SurveyDATA!D:D,0))=TRUE,"",MATCH(I176,SurveyDATA!D:D,0))</f>
        <v/>
      </c>
    </row>
    <row r="177" spans="1:10">
      <c r="A177" s="92" t="s">
        <v>6375</v>
      </c>
      <c r="B177" s="92" t="str">
        <f>IF(ISERROR(MATCH(A177,SurveyDATA!P:P,0))=TRUE,"",MATCH(A177,SurveyDATA!P:P,0))</f>
        <v/>
      </c>
      <c r="C177" s="92" t="s">
        <v>6376</v>
      </c>
      <c r="D177" s="92" t="str">
        <f>IF(ISERROR(MATCH(C177,SurveyDATA!AI:AI,0))=TRUE,"",MATCH(C177,SurveyDATA!AI:AI,0))</f>
        <v/>
      </c>
      <c r="E177" s="287" t="str">
        <f>IF(ISERROR(MATCH(C177,SurveyDATA!BL:BL,0))=TRUE,"",MATCH(C177,SurveyDATA!BL:BL,0))</f>
        <v/>
      </c>
      <c r="F177" s="92" t="s">
        <v>6377</v>
      </c>
      <c r="G177" s="287" t="str">
        <f>IF(ISERROR(MATCH(F177,SurveyDATA!BN:BN,0))=TRUE,"",MATCH(F177,SurveyDATA!BN:BN,0))</f>
        <v/>
      </c>
      <c r="H177" s="287" t="str">
        <f>IF(ISERROR(MATCH(F177,#REF!,0))=TRUE,"",MATCH(F177,#REF!,0))</f>
        <v/>
      </c>
      <c r="I177" s="287" t="s">
        <v>7023</v>
      </c>
      <c r="J177" s="92" t="str">
        <f>IF(ISERROR(MATCH(I177,SurveyDATA!D:D,0))=TRUE,"",MATCH(I177,SurveyDATA!D:D,0))</f>
        <v/>
      </c>
    </row>
    <row r="178" spans="1:10">
      <c r="A178" s="92" t="s">
        <v>6378</v>
      </c>
      <c r="B178" s="92" t="str">
        <f>IF(ISERROR(MATCH(A178,SurveyDATA!P:P,0))=TRUE,"",MATCH(A178,SurveyDATA!P:P,0))</f>
        <v/>
      </c>
      <c r="C178" s="92" t="s">
        <v>6379</v>
      </c>
      <c r="D178" s="92" t="str">
        <f>IF(ISERROR(MATCH(C178,SurveyDATA!AI:AI,0))=TRUE,"",MATCH(C178,SurveyDATA!AI:AI,0))</f>
        <v/>
      </c>
      <c r="E178" s="287" t="str">
        <f>IF(ISERROR(MATCH(C178,SurveyDATA!BL:BL,0))=TRUE,"",MATCH(C178,SurveyDATA!BL:BL,0))</f>
        <v/>
      </c>
      <c r="F178" s="92" t="s">
        <v>6380</v>
      </c>
      <c r="G178" s="287" t="str">
        <f>IF(ISERROR(MATCH(F178,SurveyDATA!BN:BN,0))=TRUE,"",MATCH(F178,SurveyDATA!BN:BN,0))</f>
        <v/>
      </c>
      <c r="H178" s="287" t="str">
        <f>IF(ISERROR(MATCH(F178,#REF!,0))=TRUE,"",MATCH(F178,#REF!,0))</f>
        <v/>
      </c>
      <c r="I178" s="287" t="s">
        <v>7024</v>
      </c>
      <c r="J178" s="92" t="str">
        <f>IF(ISERROR(MATCH(I178,SurveyDATA!D:D,0))=TRUE,"",MATCH(I178,SurveyDATA!D:D,0))</f>
        <v/>
      </c>
    </row>
    <row r="179" spans="1:10">
      <c r="A179" s="92" t="s">
        <v>6381</v>
      </c>
      <c r="B179" s="92" t="str">
        <f>IF(ISERROR(MATCH(A179,SurveyDATA!P:P,0))=TRUE,"",MATCH(A179,SurveyDATA!P:P,0))</f>
        <v/>
      </c>
      <c r="C179" s="92" t="s">
        <v>6382</v>
      </c>
      <c r="D179" s="92" t="str">
        <f>IF(ISERROR(MATCH(C179,SurveyDATA!AI:AI,0))=TRUE,"",MATCH(C179,SurveyDATA!AI:AI,0))</f>
        <v/>
      </c>
      <c r="E179" s="287" t="str">
        <f>IF(ISERROR(MATCH(C179,SurveyDATA!BL:BL,0))=TRUE,"",MATCH(C179,SurveyDATA!BL:BL,0))</f>
        <v/>
      </c>
      <c r="F179" s="92" t="s">
        <v>6383</v>
      </c>
      <c r="G179" s="287" t="str">
        <f>IF(ISERROR(MATCH(F179,SurveyDATA!BN:BN,0))=TRUE,"",MATCH(F179,SurveyDATA!BN:BN,0))</f>
        <v/>
      </c>
      <c r="H179" s="287" t="str">
        <f>IF(ISERROR(MATCH(F179,#REF!,0))=TRUE,"",MATCH(F179,#REF!,0))</f>
        <v/>
      </c>
      <c r="I179" s="287" t="s">
        <v>7025</v>
      </c>
      <c r="J179" s="92" t="str">
        <f>IF(ISERROR(MATCH(I179,SurveyDATA!D:D,0))=TRUE,"",MATCH(I179,SurveyDATA!D:D,0))</f>
        <v/>
      </c>
    </row>
    <row r="180" spans="1:10">
      <c r="A180" s="92" t="s">
        <v>6384</v>
      </c>
      <c r="B180" s="92" t="str">
        <f>IF(ISERROR(MATCH(A180,SurveyDATA!P:P,0))=TRUE,"",MATCH(A180,SurveyDATA!P:P,0))</f>
        <v/>
      </c>
      <c r="C180" s="92" t="s">
        <v>6385</v>
      </c>
      <c r="D180" s="92" t="str">
        <f>IF(ISERROR(MATCH(C180,SurveyDATA!AI:AI,0))=TRUE,"",MATCH(C180,SurveyDATA!AI:AI,0))</f>
        <v/>
      </c>
      <c r="E180" s="287" t="str">
        <f>IF(ISERROR(MATCH(C180,SurveyDATA!BL:BL,0))=TRUE,"",MATCH(C180,SurveyDATA!BL:BL,0))</f>
        <v/>
      </c>
      <c r="F180" s="92" t="s">
        <v>6386</v>
      </c>
      <c r="G180" s="287" t="str">
        <f>IF(ISERROR(MATCH(F180,SurveyDATA!BN:BN,0))=TRUE,"",MATCH(F180,SurveyDATA!BN:BN,0))</f>
        <v/>
      </c>
      <c r="H180" s="287" t="str">
        <f>IF(ISERROR(MATCH(F180,#REF!,0))=TRUE,"",MATCH(F180,#REF!,0))</f>
        <v/>
      </c>
      <c r="I180" s="287" t="s">
        <v>7026</v>
      </c>
      <c r="J180" s="92" t="str">
        <f>IF(ISERROR(MATCH(I180,SurveyDATA!D:D,0))=TRUE,"",MATCH(I180,SurveyDATA!D:D,0))</f>
        <v/>
      </c>
    </row>
    <row r="181" spans="1:10">
      <c r="A181" s="92" t="s">
        <v>6387</v>
      </c>
      <c r="B181" s="92" t="str">
        <f>IF(ISERROR(MATCH(A181,SurveyDATA!P:P,0))=TRUE,"",MATCH(A181,SurveyDATA!P:P,0))</f>
        <v/>
      </c>
      <c r="C181" s="92" t="s">
        <v>6388</v>
      </c>
      <c r="D181" s="92" t="str">
        <f>IF(ISERROR(MATCH(C181,SurveyDATA!AI:AI,0))=TRUE,"",MATCH(C181,SurveyDATA!AI:AI,0))</f>
        <v/>
      </c>
      <c r="E181" s="287" t="str">
        <f>IF(ISERROR(MATCH(C181,SurveyDATA!BL:BL,0))=TRUE,"",MATCH(C181,SurveyDATA!BL:BL,0))</f>
        <v/>
      </c>
      <c r="F181" s="92" t="s">
        <v>6389</v>
      </c>
      <c r="G181" s="287" t="str">
        <f>IF(ISERROR(MATCH(F181,SurveyDATA!BN:BN,0))=TRUE,"",MATCH(F181,SurveyDATA!BN:BN,0))</f>
        <v/>
      </c>
      <c r="H181" s="287" t="str">
        <f>IF(ISERROR(MATCH(F181,#REF!,0))=TRUE,"",MATCH(F181,#REF!,0))</f>
        <v/>
      </c>
      <c r="I181" s="287" t="s">
        <v>7027</v>
      </c>
      <c r="J181" s="92" t="str">
        <f>IF(ISERROR(MATCH(I181,SurveyDATA!D:D,0))=TRUE,"",MATCH(I181,SurveyDATA!D:D,0))</f>
        <v/>
      </c>
    </row>
    <row r="182" spans="1:10">
      <c r="A182" s="92" t="s">
        <v>6390</v>
      </c>
      <c r="B182" s="92" t="str">
        <f>IF(ISERROR(MATCH(A182,SurveyDATA!P:P,0))=TRUE,"",MATCH(A182,SurveyDATA!P:P,0))</f>
        <v/>
      </c>
      <c r="C182" s="92" t="s">
        <v>6391</v>
      </c>
      <c r="D182" s="92" t="str">
        <f>IF(ISERROR(MATCH(C182,SurveyDATA!AI:AI,0))=TRUE,"",MATCH(C182,SurveyDATA!AI:AI,0))</f>
        <v/>
      </c>
      <c r="E182" s="287" t="str">
        <f>IF(ISERROR(MATCH(C182,SurveyDATA!BL:BL,0))=TRUE,"",MATCH(C182,SurveyDATA!BL:BL,0))</f>
        <v/>
      </c>
      <c r="F182" s="92" t="s">
        <v>6392</v>
      </c>
      <c r="G182" s="287" t="str">
        <f>IF(ISERROR(MATCH(F182,SurveyDATA!BN:BN,0))=TRUE,"",MATCH(F182,SurveyDATA!BN:BN,0))</f>
        <v/>
      </c>
      <c r="H182" s="287" t="str">
        <f>IF(ISERROR(MATCH(F182,#REF!,0))=TRUE,"",MATCH(F182,#REF!,0))</f>
        <v/>
      </c>
      <c r="I182" s="287" t="s">
        <v>7028</v>
      </c>
      <c r="J182" s="92" t="str">
        <f>IF(ISERROR(MATCH(I182,SurveyDATA!D:D,0))=TRUE,"",MATCH(I182,SurveyDATA!D:D,0))</f>
        <v/>
      </c>
    </row>
    <row r="183" spans="1:10">
      <c r="A183" s="92" t="s">
        <v>6393</v>
      </c>
      <c r="B183" s="92" t="str">
        <f>IF(ISERROR(MATCH(A183,SurveyDATA!P:P,0))=TRUE,"",MATCH(A183,SurveyDATA!P:P,0))</f>
        <v/>
      </c>
      <c r="C183" s="92" t="s">
        <v>6394</v>
      </c>
      <c r="D183" s="92" t="str">
        <f>IF(ISERROR(MATCH(C183,SurveyDATA!AI:AI,0))=TRUE,"",MATCH(C183,SurveyDATA!AI:AI,0))</f>
        <v/>
      </c>
      <c r="E183" s="287" t="str">
        <f>IF(ISERROR(MATCH(C183,SurveyDATA!BL:BL,0))=TRUE,"",MATCH(C183,SurveyDATA!BL:BL,0))</f>
        <v/>
      </c>
      <c r="F183" s="92" t="s">
        <v>6395</v>
      </c>
      <c r="G183" s="287" t="str">
        <f>IF(ISERROR(MATCH(F183,SurveyDATA!BN:BN,0))=TRUE,"",MATCH(F183,SurveyDATA!BN:BN,0))</f>
        <v/>
      </c>
      <c r="H183" s="287" t="str">
        <f>IF(ISERROR(MATCH(F183,#REF!,0))=TRUE,"",MATCH(F183,#REF!,0))</f>
        <v/>
      </c>
      <c r="I183" s="287" t="s">
        <v>7029</v>
      </c>
      <c r="J183" s="92" t="str">
        <f>IF(ISERROR(MATCH(I183,SurveyDATA!D:D,0))=TRUE,"",MATCH(I183,SurveyDATA!D:D,0))</f>
        <v/>
      </c>
    </row>
    <row r="184" spans="1:10">
      <c r="A184" s="92" t="s">
        <v>6396</v>
      </c>
      <c r="B184" s="92" t="str">
        <f>IF(ISERROR(MATCH(A184,SurveyDATA!P:P,0))=TRUE,"",MATCH(A184,SurveyDATA!P:P,0))</f>
        <v/>
      </c>
      <c r="C184" s="92" t="s">
        <v>6397</v>
      </c>
      <c r="D184" s="92" t="str">
        <f>IF(ISERROR(MATCH(C184,SurveyDATA!AI:AI,0))=TRUE,"",MATCH(C184,SurveyDATA!AI:AI,0))</f>
        <v/>
      </c>
      <c r="E184" s="287" t="str">
        <f>IF(ISERROR(MATCH(C184,SurveyDATA!BL:BL,0))=TRUE,"",MATCH(C184,SurveyDATA!BL:BL,0))</f>
        <v/>
      </c>
      <c r="F184" s="92" t="s">
        <v>6398</v>
      </c>
      <c r="G184" s="287" t="str">
        <f>IF(ISERROR(MATCH(F184,SurveyDATA!BN:BN,0))=TRUE,"",MATCH(F184,SurveyDATA!BN:BN,0))</f>
        <v/>
      </c>
      <c r="H184" s="287" t="str">
        <f>IF(ISERROR(MATCH(F184,#REF!,0))=TRUE,"",MATCH(F184,#REF!,0))</f>
        <v/>
      </c>
      <c r="I184" s="287" t="s">
        <v>7030</v>
      </c>
      <c r="J184" s="92" t="str">
        <f>IF(ISERROR(MATCH(I184,SurveyDATA!D:D,0))=TRUE,"",MATCH(I184,SurveyDATA!D:D,0))</f>
        <v/>
      </c>
    </row>
    <row r="185" spans="1:10">
      <c r="A185" s="92" t="s">
        <v>6399</v>
      </c>
      <c r="B185" s="92" t="str">
        <f>IF(ISERROR(MATCH(A185,SurveyDATA!P:P,0))=TRUE,"",MATCH(A185,SurveyDATA!P:P,0))</f>
        <v/>
      </c>
      <c r="C185" s="92" t="s">
        <v>6400</v>
      </c>
      <c r="D185" s="92" t="str">
        <f>IF(ISERROR(MATCH(C185,SurveyDATA!AI:AI,0))=TRUE,"",MATCH(C185,SurveyDATA!AI:AI,0))</f>
        <v/>
      </c>
      <c r="E185" s="287" t="str">
        <f>IF(ISERROR(MATCH(C185,SurveyDATA!BL:BL,0))=TRUE,"",MATCH(C185,SurveyDATA!BL:BL,0))</f>
        <v/>
      </c>
      <c r="F185" s="92" t="s">
        <v>6401</v>
      </c>
      <c r="G185" s="287" t="str">
        <f>IF(ISERROR(MATCH(F185,SurveyDATA!BN:BN,0))=TRUE,"",MATCH(F185,SurveyDATA!BN:BN,0))</f>
        <v/>
      </c>
      <c r="H185" s="287" t="str">
        <f>IF(ISERROR(MATCH(F185,#REF!,0))=TRUE,"",MATCH(F185,#REF!,0))</f>
        <v/>
      </c>
      <c r="I185" s="287" t="s">
        <v>7031</v>
      </c>
      <c r="J185" s="92" t="str">
        <f>IF(ISERROR(MATCH(I185,SurveyDATA!D:D,0))=TRUE,"",MATCH(I185,SurveyDATA!D:D,0))</f>
        <v/>
      </c>
    </row>
    <row r="186" spans="1:10">
      <c r="A186" s="92" t="s">
        <v>6402</v>
      </c>
      <c r="B186" s="92" t="str">
        <f>IF(ISERROR(MATCH(A186,SurveyDATA!P:P,0))=TRUE,"",MATCH(A186,SurveyDATA!P:P,0))</f>
        <v/>
      </c>
      <c r="C186" s="92" t="s">
        <v>6403</v>
      </c>
      <c r="D186" s="92" t="str">
        <f>IF(ISERROR(MATCH(C186,SurveyDATA!AI:AI,0))=TRUE,"",MATCH(C186,SurveyDATA!AI:AI,0))</f>
        <v/>
      </c>
      <c r="E186" s="287" t="str">
        <f>IF(ISERROR(MATCH(C186,SurveyDATA!BL:BL,0))=TRUE,"",MATCH(C186,SurveyDATA!BL:BL,0))</f>
        <v/>
      </c>
      <c r="F186" s="92" t="s">
        <v>6404</v>
      </c>
      <c r="G186" s="287" t="str">
        <f>IF(ISERROR(MATCH(F186,SurveyDATA!BN:BN,0))=TRUE,"",MATCH(F186,SurveyDATA!BN:BN,0))</f>
        <v/>
      </c>
      <c r="H186" s="287" t="str">
        <f>IF(ISERROR(MATCH(F186,#REF!,0))=TRUE,"",MATCH(F186,#REF!,0))</f>
        <v/>
      </c>
      <c r="I186" s="287" t="s">
        <v>5911</v>
      </c>
      <c r="J186" s="92" t="str">
        <f>IF(ISERROR(MATCH(I186,SurveyDATA!D:D,0))=TRUE,"",MATCH(I186,SurveyDATA!D:D,0))</f>
        <v/>
      </c>
    </row>
    <row r="187" spans="1:10">
      <c r="A187" s="92" t="s">
        <v>6405</v>
      </c>
      <c r="B187" s="92" t="str">
        <f>IF(ISERROR(MATCH(A187,SurveyDATA!P:P,0))=TRUE,"",MATCH(A187,SurveyDATA!P:P,0))</f>
        <v/>
      </c>
      <c r="C187" s="92" t="s">
        <v>6406</v>
      </c>
      <c r="D187" s="92" t="str">
        <f>IF(ISERROR(MATCH(C187,SurveyDATA!AI:AI,0))=TRUE,"",MATCH(C187,SurveyDATA!AI:AI,0))</f>
        <v/>
      </c>
      <c r="E187" s="287" t="str">
        <f>IF(ISERROR(MATCH(C187,SurveyDATA!BL:BL,0))=TRUE,"",MATCH(C187,SurveyDATA!BL:BL,0))</f>
        <v/>
      </c>
      <c r="F187" s="92" t="s">
        <v>6407</v>
      </c>
      <c r="G187" s="287" t="str">
        <f>IF(ISERROR(MATCH(F187,SurveyDATA!BN:BN,0))=TRUE,"",MATCH(F187,SurveyDATA!BN:BN,0))</f>
        <v/>
      </c>
      <c r="H187" s="287" t="str">
        <f>IF(ISERROR(MATCH(F187,#REF!,0))=TRUE,"",MATCH(F187,#REF!,0))</f>
        <v/>
      </c>
      <c r="I187" s="287" t="s">
        <v>7032</v>
      </c>
      <c r="J187" s="92" t="str">
        <f>IF(ISERROR(MATCH(I187,SurveyDATA!D:D,0))=TRUE,"",MATCH(I187,SurveyDATA!D:D,0))</f>
        <v/>
      </c>
    </row>
    <row r="188" spans="1:10">
      <c r="A188" s="92" t="s">
        <v>6408</v>
      </c>
      <c r="B188" s="92" t="str">
        <f>IF(ISERROR(MATCH(A188,SurveyDATA!P:P,0))=TRUE,"",MATCH(A188,SurveyDATA!P:P,0))</f>
        <v/>
      </c>
      <c r="C188" s="92" t="s">
        <v>6409</v>
      </c>
      <c r="D188" s="92" t="str">
        <f>IF(ISERROR(MATCH(C188,SurveyDATA!AI:AI,0))=TRUE,"",MATCH(C188,SurveyDATA!AI:AI,0))</f>
        <v/>
      </c>
      <c r="E188" s="287" t="str">
        <f>IF(ISERROR(MATCH(C188,SurveyDATA!BL:BL,0))=TRUE,"",MATCH(C188,SurveyDATA!BL:BL,0))</f>
        <v/>
      </c>
      <c r="F188" s="92" t="s">
        <v>6410</v>
      </c>
      <c r="G188" s="287" t="str">
        <f>IF(ISERROR(MATCH(F188,SurveyDATA!BN:BN,0))=TRUE,"",MATCH(F188,SurveyDATA!BN:BN,0))</f>
        <v/>
      </c>
      <c r="H188" s="287" t="str">
        <f>IF(ISERROR(MATCH(F188,#REF!,0))=TRUE,"",MATCH(F188,#REF!,0))</f>
        <v/>
      </c>
      <c r="I188" s="287" t="s">
        <v>7033</v>
      </c>
      <c r="J188" s="92" t="str">
        <f>IF(ISERROR(MATCH(I188,SurveyDATA!D:D,0))=TRUE,"",MATCH(I188,SurveyDATA!D:D,0))</f>
        <v/>
      </c>
    </row>
    <row r="189" spans="1:10">
      <c r="A189" s="92" t="s">
        <v>6411</v>
      </c>
      <c r="B189" s="92" t="str">
        <f>IF(ISERROR(MATCH(A189,SurveyDATA!P:P,0))=TRUE,"",MATCH(A189,SurveyDATA!P:P,0))</f>
        <v/>
      </c>
      <c r="C189" s="92" t="s">
        <v>6412</v>
      </c>
      <c r="D189" s="92" t="str">
        <f>IF(ISERROR(MATCH(C189,SurveyDATA!AI:AI,0))=TRUE,"",MATCH(C189,SurveyDATA!AI:AI,0))</f>
        <v/>
      </c>
      <c r="E189" s="287" t="str">
        <f>IF(ISERROR(MATCH(C189,SurveyDATA!BL:BL,0))=TRUE,"",MATCH(C189,SurveyDATA!BL:BL,0))</f>
        <v/>
      </c>
      <c r="F189" s="92" t="s">
        <v>6413</v>
      </c>
      <c r="G189" s="287" t="str">
        <f>IF(ISERROR(MATCH(F189,SurveyDATA!BN:BN,0))=TRUE,"",MATCH(F189,SurveyDATA!BN:BN,0))</f>
        <v/>
      </c>
      <c r="H189" s="287" t="str">
        <f>IF(ISERROR(MATCH(F189,#REF!,0))=TRUE,"",MATCH(F189,#REF!,0))</f>
        <v/>
      </c>
      <c r="I189" s="287" t="s">
        <v>7034</v>
      </c>
      <c r="J189" s="92" t="str">
        <f>IF(ISERROR(MATCH(I189,SurveyDATA!D:D,0))=TRUE,"",MATCH(I189,SurveyDATA!D:D,0))</f>
        <v/>
      </c>
    </row>
    <row r="190" spans="1:10">
      <c r="A190" s="92" t="s">
        <v>6414</v>
      </c>
      <c r="B190" s="92" t="str">
        <f>IF(ISERROR(MATCH(A190,SurveyDATA!P:P,0))=TRUE,"",MATCH(A190,SurveyDATA!P:P,0))</f>
        <v/>
      </c>
      <c r="C190" s="92" t="s">
        <v>6415</v>
      </c>
      <c r="D190" s="92" t="str">
        <f>IF(ISERROR(MATCH(C190,SurveyDATA!AI:AI,0))=TRUE,"",MATCH(C190,SurveyDATA!AI:AI,0))</f>
        <v/>
      </c>
      <c r="E190" s="287" t="str">
        <f>IF(ISERROR(MATCH(C190,SurveyDATA!BL:BL,0))=TRUE,"",MATCH(C190,SurveyDATA!BL:BL,0))</f>
        <v/>
      </c>
      <c r="F190" s="92" t="s">
        <v>6416</v>
      </c>
      <c r="G190" s="287" t="str">
        <f>IF(ISERROR(MATCH(F190,SurveyDATA!BN:BN,0))=TRUE,"",MATCH(F190,SurveyDATA!BN:BN,0))</f>
        <v/>
      </c>
      <c r="H190" s="287" t="str">
        <f>IF(ISERROR(MATCH(F190,#REF!,0))=TRUE,"",MATCH(F190,#REF!,0))</f>
        <v/>
      </c>
      <c r="I190" s="287" t="s">
        <v>5911</v>
      </c>
      <c r="J190" s="92" t="str">
        <f>IF(ISERROR(MATCH(I190,SurveyDATA!D:D,0))=TRUE,"",MATCH(I190,SurveyDATA!D:D,0))</f>
        <v/>
      </c>
    </row>
    <row r="191" spans="1:10">
      <c r="A191" s="92" t="s">
        <v>6417</v>
      </c>
      <c r="B191" s="92" t="str">
        <f>IF(ISERROR(MATCH(A191,SurveyDATA!P:P,0))=TRUE,"",MATCH(A191,SurveyDATA!P:P,0))</f>
        <v/>
      </c>
      <c r="C191" s="92" t="s">
        <v>6418</v>
      </c>
      <c r="D191" s="92" t="str">
        <f>IF(ISERROR(MATCH(C191,SurveyDATA!AI:AI,0))=TRUE,"",MATCH(C191,SurveyDATA!AI:AI,0))</f>
        <v/>
      </c>
      <c r="E191" s="287" t="str">
        <f>IF(ISERROR(MATCH(C191,SurveyDATA!BL:BL,0))=TRUE,"",MATCH(C191,SurveyDATA!BL:BL,0))</f>
        <v/>
      </c>
      <c r="F191" s="92" t="s">
        <v>6419</v>
      </c>
      <c r="G191" s="287" t="str">
        <f>IF(ISERROR(MATCH(F191,SurveyDATA!BN:BN,0))=TRUE,"",MATCH(F191,SurveyDATA!BN:BN,0))</f>
        <v/>
      </c>
      <c r="H191" s="287" t="str">
        <f>IF(ISERROR(MATCH(F191,#REF!,0))=TRUE,"",MATCH(F191,#REF!,0))</f>
        <v/>
      </c>
      <c r="I191" s="287" t="s">
        <v>7035</v>
      </c>
      <c r="J191" s="92" t="str">
        <f>IF(ISERROR(MATCH(I191,SurveyDATA!D:D,0))=TRUE,"",MATCH(I191,SurveyDATA!D:D,0))</f>
        <v/>
      </c>
    </row>
    <row r="192" spans="1:10">
      <c r="A192" s="92" t="s">
        <v>6420</v>
      </c>
      <c r="B192" s="92" t="str">
        <f>IF(ISERROR(MATCH(A192,SurveyDATA!P:P,0))=TRUE,"",MATCH(A192,SurveyDATA!P:P,0))</f>
        <v/>
      </c>
      <c r="C192" s="92" t="s">
        <v>6421</v>
      </c>
      <c r="D192" s="92" t="str">
        <f>IF(ISERROR(MATCH(C192,SurveyDATA!AI:AI,0))=TRUE,"",MATCH(C192,SurveyDATA!AI:AI,0))</f>
        <v/>
      </c>
      <c r="E192" s="287" t="str">
        <f>IF(ISERROR(MATCH(C192,SurveyDATA!BL:BL,0))=TRUE,"",MATCH(C192,SurveyDATA!BL:BL,0))</f>
        <v/>
      </c>
      <c r="F192" s="92" t="s">
        <v>6422</v>
      </c>
      <c r="G192" s="287" t="str">
        <f>IF(ISERROR(MATCH(F192,SurveyDATA!BN:BN,0))=TRUE,"",MATCH(F192,SurveyDATA!BN:BN,0))</f>
        <v/>
      </c>
      <c r="H192" s="287" t="str">
        <f>IF(ISERROR(MATCH(F192,#REF!,0))=TRUE,"",MATCH(F192,#REF!,0))</f>
        <v/>
      </c>
      <c r="I192" s="287" t="s">
        <v>5911</v>
      </c>
      <c r="J192" s="92" t="str">
        <f>IF(ISERROR(MATCH(I192,SurveyDATA!D:D,0))=TRUE,"",MATCH(I192,SurveyDATA!D:D,0))</f>
        <v/>
      </c>
    </row>
    <row r="193" spans="1:10">
      <c r="A193" s="92" t="s">
        <v>6423</v>
      </c>
      <c r="B193" s="92" t="str">
        <f>IF(ISERROR(MATCH(A193,SurveyDATA!P:P,0))=TRUE,"",MATCH(A193,SurveyDATA!P:P,0))</f>
        <v/>
      </c>
      <c r="C193" s="92" t="s">
        <v>6424</v>
      </c>
      <c r="D193" s="92" t="str">
        <f>IF(ISERROR(MATCH(C193,SurveyDATA!AI:AI,0))=TRUE,"",MATCH(C193,SurveyDATA!AI:AI,0))</f>
        <v/>
      </c>
      <c r="E193" s="287" t="str">
        <f>IF(ISERROR(MATCH(C193,SurveyDATA!BL:BL,0))=TRUE,"",MATCH(C193,SurveyDATA!BL:BL,0))</f>
        <v/>
      </c>
      <c r="F193" s="92" t="s">
        <v>6425</v>
      </c>
      <c r="G193" s="287" t="str">
        <f>IF(ISERROR(MATCH(F193,SurveyDATA!BN:BN,0))=TRUE,"",MATCH(F193,SurveyDATA!BN:BN,0))</f>
        <v/>
      </c>
      <c r="H193" s="287" t="str">
        <f>IF(ISERROR(MATCH(F193,#REF!,0))=TRUE,"",MATCH(F193,#REF!,0))</f>
        <v/>
      </c>
      <c r="I193" s="287" t="s">
        <v>7036</v>
      </c>
      <c r="J193" s="92" t="str">
        <f>IF(ISERROR(MATCH(I193,SurveyDATA!D:D,0))=TRUE,"",MATCH(I193,SurveyDATA!D:D,0))</f>
        <v/>
      </c>
    </row>
    <row r="194" spans="1:10">
      <c r="A194" s="92" t="s">
        <v>6426</v>
      </c>
      <c r="B194" s="92" t="str">
        <f>IF(ISERROR(MATCH(A194,SurveyDATA!P:P,0))=TRUE,"",MATCH(A194,SurveyDATA!P:P,0))</f>
        <v/>
      </c>
      <c r="C194" s="92" t="s">
        <v>6427</v>
      </c>
      <c r="D194" s="92" t="str">
        <f>IF(ISERROR(MATCH(C194,SurveyDATA!AI:AI,0))=TRUE,"",MATCH(C194,SurveyDATA!AI:AI,0))</f>
        <v/>
      </c>
      <c r="E194" s="287" t="str">
        <f>IF(ISERROR(MATCH(C194,SurveyDATA!BL:BL,0))=TRUE,"",MATCH(C194,SurveyDATA!BL:BL,0))</f>
        <v/>
      </c>
      <c r="F194" s="92" t="s">
        <v>6428</v>
      </c>
      <c r="G194" s="287" t="str">
        <f>IF(ISERROR(MATCH(F194,SurveyDATA!BN:BN,0))=TRUE,"",MATCH(F194,SurveyDATA!BN:BN,0))</f>
        <v/>
      </c>
      <c r="H194" s="287" t="str">
        <f>IF(ISERROR(MATCH(F194,#REF!,0))=TRUE,"",MATCH(F194,#REF!,0))</f>
        <v/>
      </c>
      <c r="I194" s="287" t="s">
        <v>5911</v>
      </c>
      <c r="J194" s="92" t="str">
        <f>IF(ISERROR(MATCH(I194,SurveyDATA!D:D,0))=TRUE,"",MATCH(I194,SurveyDATA!D:D,0))</f>
        <v/>
      </c>
    </row>
    <row r="195" spans="1:10">
      <c r="A195" s="92" t="s">
        <v>6429</v>
      </c>
      <c r="B195" s="92" t="str">
        <f>IF(ISERROR(MATCH(A195,SurveyDATA!P:P,0))=TRUE,"",MATCH(A195,SurveyDATA!P:P,0))</f>
        <v/>
      </c>
      <c r="C195" s="92" t="s">
        <v>6430</v>
      </c>
      <c r="D195" s="92" t="str">
        <f>IF(ISERROR(MATCH(C195,SurveyDATA!AI:AI,0))=TRUE,"",MATCH(C195,SurveyDATA!AI:AI,0))</f>
        <v/>
      </c>
      <c r="E195" s="287" t="str">
        <f>IF(ISERROR(MATCH(C195,SurveyDATA!BL:BL,0))=TRUE,"",MATCH(C195,SurveyDATA!BL:BL,0))</f>
        <v/>
      </c>
      <c r="F195" s="92" t="s">
        <v>6431</v>
      </c>
      <c r="G195" s="287" t="str">
        <f>IF(ISERROR(MATCH(F195,SurveyDATA!BN:BN,0))=TRUE,"",MATCH(F195,SurveyDATA!BN:BN,0))</f>
        <v/>
      </c>
      <c r="H195" s="287" t="str">
        <f>IF(ISERROR(MATCH(F195,#REF!,0))=TRUE,"",MATCH(F195,#REF!,0))</f>
        <v/>
      </c>
      <c r="I195" s="287" t="s">
        <v>7037</v>
      </c>
      <c r="J195" s="92" t="str">
        <f>IF(ISERROR(MATCH(I195,SurveyDATA!D:D,0))=TRUE,"",MATCH(I195,SurveyDATA!D:D,0))</f>
        <v/>
      </c>
    </row>
    <row r="196" spans="1:10">
      <c r="A196" s="92" t="s">
        <v>6432</v>
      </c>
      <c r="B196" s="92" t="str">
        <f>IF(ISERROR(MATCH(A196,SurveyDATA!P:P,0))=TRUE,"",MATCH(A196,SurveyDATA!P:P,0))</f>
        <v/>
      </c>
      <c r="C196" s="92" t="s">
        <v>6433</v>
      </c>
      <c r="D196" s="92" t="str">
        <f>IF(ISERROR(MATCH(C196,SurveyDATA!AI:AI,0))=TRUE,"",MATCH(C196,SurveyDATA!AI:AI,0))</f>
        <v/>
      </c>
      <c r="E196" s="287" t="str">
        <f>IF(ISERROR(MATCH(C196,SurveyDATA!BL:BL,0))=TRUE,"",MATCH(C196,SurveyDATA!BL:BL,0))</f>
        <v/>
      </c>
      <c r="F196" s="92" t="s">
        <v>6434</v>
      </c>
      <c r="G196" s="287" t="str">
        <f>IF(ISERROR(MATCH(F196,SurveyDATA!BN:BN,0))=TRUE,"",MATCH(F196,SurveyDATA!BN:BN,0))</f>
        <v/>
      </c>
      <c r="H196" s="287" t="str">
        <f>IF(ISERROR(MATCH(F196,#REF!,0))=TRUE,"",MATCH(F196,#REF!,0))</f>
        <v/>
      </c>
      <c r="I196" s="287" t="s">
        <v>7038</v>
      </c>
      <c r="J196" s="92" t="str">
        <f>IF(ISERROR(MATCH(I196,SurveyDATA!D:D,0))=TRUE,"",MATCH(I196,SurveyDATA!D:D,0))</f>
        <v/>
      </c>
    </row>
    <row r="197" spans="1:10">
      <c r="A197" s="92" t="s">
        <v>6435</v>
      </c>
      <c r="B197" s="92" t="str">
        <f>IF(ISERROR(MATCH(A197,SurveyDATA!P:P,0))=TRUE,"",MATCH(A197,SurveyDATA!P:P,0))</f>
        <v/>
      </c>
      <c r="C197" s="92" t="s">
        <v>6436</v>
      </c>
      <c r="D197" s="92" t="str">
        <f>IF(ISERROR(MATCH(C197,SurveyDATA!AI:AI,0))=TRUE,"",MATCH(C197,SurveyDATA!AI:AI,0))</f>
        <v/>
      </c>
      <c r="E197" s="287" t="str">
        <f>IF(ISERROR(MATCH(C197,SurveyDATA!BL:BL,0))=TRUE,"",MATCH(C197,SurveyDATA!BL:BL,0))</f>
        <v/>
      </c>
      <c r="F197" s="92" t="s">
        <v>6437</v>
      </c>
      <c r="G197" s="287" t="str">
        <f>IF(ISERROR(MATCH(F197,SurveyDATA!BN:BN,0))=TRUE,"",MATCH(F197,SurveyDATA!BN:BN,0))</f>
        <v/>
      </c>
      <c r="H197" s="287" t="str">
        <f>IF(ISERROR(MATCH(F197,#REF!,0))=TRUE,"",MATCH(F197,#REF!,0))</f>
        <v/>
      </c>
      <c r="I197" s="287" t="s">
        <v>7039</v>
      </c>
      <c r="J197" s="92" t="str">
        <f>IF(ISERROR(MATCH(I197,SurveyDATA!D:D,0))=TRUE,"",MATCH(I197,SurveyDATA!D:D,0))</f>
        <v/>
      </c>
    </row>
    <row r="198" spans="1:10">
      <c r="A198" s="92" t="s">
        <v>6438</v>
      </c>
      <c r="B198" s="92" t="str">
        <f>IF(ISERROR(MATCH(A198,SurveyDATA!P:P,0))=TRUE,"",MATCH(A198,SurveyDATA!P:P,0))</f>
        <v/>
      </c>
      <c r="C198" s="92" t="s">
        <v>6439</v>
      </c>
      <c r="D198" s="92" t="str">
        <f>IF(ISERROR(MATCH(C198,SurveyDATA!AI:AI,0))=TRUE,"",MATCH(C198,SurveyDATA!AI:AI,0))</f>
        <v/>
      </c>
      <c r="E198" s="287" t="str">
        <f>IF(ISERROR(MATCH(C198,SurveyDATA!BL:BL,0))=TRUE,"",MATCH(C198,SurveyDATA!BL:BL,0))</f>
        <v/>
      </c>
      <c r="F198" s="92" t="s">
        <v>6440</v>
      </c>
      <c r="G198" s="287" t="str">
        <f>IF(ISERROR(MATCH(F198,SurveyDATA!BN:BN,0))=TRUE,"",MATCH(F198,SurveyDATA!BN:BN,0))</f>
        <v/>
      </c>
      <c r="H198" s="287" t="str">
        <f>IF(ISERROR(MATCH(F198,#REF!,0))=TRUE,"",MATCH(F198,#REF!,0))</f>
        <v/>
      </c>
      <c r="I198" s="287" t="s">
        <v>7040</v>
      </c>
      <c r="J198" s="92" t="str">
        <f>IF(ISERROR(MATCH(I198,SurveyDATA!D:D,0))=TRUE,"",MATCH(I198,SurveyDATA!D:D,0))</f>
        <v/>
      </c>
    </row>
    <row r="199" spans="1:10">
      <c r="A199" s="92" t="s">
        <v>6441</v>
      </c>
      <c r="B199" s="92" t="str">
        <f>IF(ISERROR(MATCH(A199,SurveyDATA!P:P,0))=TRUE,"",MATCH(A199,SurveyDATA!P:P,0))</f>
        <v/>
      </c>
      <c r="C199" s="92" t="s">
        <v>6442</v>
      </c>
      <c r="D199" s="92" t="str">
        <f>IF(ISERROR(MATCH(C199,SurveyDATA!AI:AI,0))=TRUE,"",MATCH(C199,SurveyDATA!AI:AI,0))</f>
        <v/>
      </c>
      <c r="E199" s="287" t="str">
        <f>IF(ISERROR(MATCH(C199,SurveyDATA!BL:BL,0))=TRUE,"",MATCH(C199,SurveyDATA!BL:BL,0))</f>
        <v/>
      </c>
      <c r="F199" s="92" t="s">
        <v>6443</v>
      </c>
      <c r="G199" s="287" t="str">
        <f>IF(ISERROR(MATCH(F199,SurveyDATA!BN:BN,0))=TRUE,"",MATCH(F199,SurveyDATA!BN:BN,0))</f>
        <v/>
      </c>
      <c r="H199" s="287" t="str">
        <f>IF(ISERROR(MATCH(F199,#REF!,0))=TRUE,"",MATCH(F199,#REF!,0))</f>
        <v/>
      </c>
      <c r="I199" s="287" t="s">
        <v>7041</v>
      </c>
      <c r="J199" s="92" t="str">
        <f>IF(ISERROR(MATCH(I199,SurveyDATA!D:D,0))=TRUE,"",MATCH(I199,SurveyDATA!D:D,0))</f>
        <v/>
      </c>
    </row>
    <row r="200" spans="1:10">
      <c r="A200" s="92" t="s">
        <v>6444</v>
      </c>
      <c r="B200" s="92" t="str">
        <f>IF(ISERROR(MATCH(A200,SurveyDATA!P:P,0))=TRUE,"",MATCH(A200,SurveyDATA!P:P,0))</f>
        <v/>
      </c>
      <c r="C200" s="92" t="s">
        <v>6445</v>
      </c>
      <c r="D200" s="92" t="str">
        <f>IF(ISERROR(MATCH(C200,SurveyDATA!AI:AI,0))=TRUE,"",MATCH(C200,SurveyDATA!AI:AI,0))</f>
        <v/>
      </c>
      <c r="E200" s="287" t="str">
        <f>IF(ISERROR(MATCH(C200,SurveyDATA!BL:BL,0))=TRUE,"",MATCH(C200,SurveyDATA!BL:BL,0))</f>
        <v/>
      </c>
      <c r="F200" s="92" t="s">
        <v>6446</v>
      </c>
      <c r="G200" s="287" t="str">
        <f>IF(ISERROR(MATCH(F200,SurveyDATA!BN:BN,0))=TRUE,"",MATCH(F200,SurveyDATA!BN:BN,0))</f>
        <v/>
      </c>
      <c r="H200" s="287" t="str">
        <f>IF(ISERROR(MATCH(F200,#REF!,0))=TRUE,"",MATCH(F200,#REF!,0))</f>
        <v/>
      </c>
      <c r="I200" s="287" t="s">
        <v>7042</v>
      </c>
      <c r="J200" s="92" t="str">
        <f>IF(ISERROR(MATCH(I200,SurveyDATA!D:D,0))=TRUE,"",MATCH(I200,SurveyDATA!D:D,0))</f>
        <v/>
      </c>
    </row>
    <row r="201" spans="1:10">
      <c r="A201" s="92" t="s">
        <v>6447</v>
      </c>
      <c r="B201" s="92" t="str">
        <f>IF(ISERROR(MATCH(A201,SurveyDATA!P:P,0))=TRUE,"",MATCH(A201,SurveyDATA!P:P,0))</f>
        <v/>
      </c>
      <c r="C201" s="92" t="s">
        <v>6448</v>
      </c>
      <c r="D201" s="92" t="str">
        <f>IF(ISERROR(MATCH(C201,SurveyDATA!AI:AI,0))=TRUE,"",MATCH(C201,SurveyDATA!AI:AI,0))</f>
        <v/>
      </c>
      <c r="E201" s="287" t="str">
        <f>IF(ISERROR(MATCH(C201,SurveyDATA!BL:BL,0))=TRUE,"",MATCH(C201,SurveyDATA!BL:BL,0))</f>
        <v/>
      </c>
      <c r="F201" s="92" t="s">
        <v>6449</v>
      </c>
      <c r="G201" s="287" t="str">
        <f>IF(ISERROR(MATCH(F201,SurveyDATA!BN:BN,0))=TRUE,"",MATCH(F201,SurveyDATA!BN:BN,0))</f>
        <v/>
      </c>
      <c r="H201" s="287" t="str">
        <f>IF(ISERROR(MATCH(F201,#REF!,0))=TRUE,"",MATCH(F201,#REF!,0))</f>
        <v/>
      </c>
      <c r="I201" s="287" t="s">
        <v>7043</v>
      </c>
      <c r="J201" s="92" t="str">
        <f>IF(ISERROR(MATCH(I201,SurveyDATA!D:D,0))=TRUE,"",MATCH(I201,SurveyDATA!D:D,0))</f>
        <v/>
      </c>
    </row>
    <row r="202" spans="1:10">
      <c r="A202" s="92" t="s">
        <v>6450</v>
      </c>
      <c r="B202" s="92" t="str">
        <f>IF(ISERROR(MATCH(A202,SurveyDATA!P:P,0))=TRUE,"",MATCH(A202,SurveyDATA!P:P,0))</f>
        <v/>
      </c>
      <c r="C202" s="92" t="s">
        <v>6451</v>
      </c>
      <c r="D202" s="92" t="str">
        <f>IF(ISERROR(MATCH(C202,SurveyDATA!AI:AI,0))=TRUE,"",MATCH(C202,SurveyDATA!AI:AI,0))</f>
        <v/>
      </c>
      <c r="E202" s="287" t="str">
        <f>IF(ISERROR(MATCH(C202,SurveyDATA!BL:BL,0))=TRUE,"",MATCH(C202,SurveyDATA!BL:BL,0))</f>
        <v/>
      </c>
      <c r="F202" s="92" t="s">
        <v>6452</v>
      </c>
      <c r="G202" s="287" t="str">
        <f>IF(ISERROR(MATCH(F202,SurveyDATA!BN:BN,0))=TRUE,"",MATCH(F202,SurveyDATA!BN:BN,0))</f>
        <v/>
      </c>
      <c r="H202" s="287" t="str">
        <f>IF(ISERROR(MATCH(F202,#REF!,0))=TRUE,"",MATCH(F202,#REF!,0))</f>
        <v/>
      </c>
      <c r="I202" s="287" t="s">
        <v>7044</v>
      </c>
      <c r="J202" s="92" t="str">
        <f>IF(ISERROR(MATCH(I202,SurveyDATA!D:D,0))=TRUE,"",MATCH(I202,SurveyDATA!D:D,0))</f>
        <v/>
      </c>
    </row>
    <row r="203" spans="1:10">
      <c r="A203" s="92" t="s">
        <v>6453</v>
      </c>
      <c r="B203" s="92" t="str">
        <f>IF(ISERROR(MATCH(A203,SurveyDATA!P:P,0))=TRUE,"",MATCH(A203,SurveyDATA!P:P,0))</f>
        <v/>
      </c>
      <c r="C203" s="92" t="s">
        <v>6454</v>
      </c>
      <c r="D203" s="92" t="str">
        <f>IF(ISERROR(MATCH(C203,SurveyDATA!AI:AI,0))=TRUE,"",MATCH(C203,SurveyDATA!AI:AI,0))</f>
        <v/>
      </c>
      <c r="E203" s="287" t="str">
        <f>IF(ISERROR(MATCH(C203,SurveyDATA!BL:BL,0))=TRUE,"",MATCH(C203,SurveyDATA!BL:BL,0))</f>
        <v/>
      </c>
      <c r="F203" s="92" t="s">
        <v>6455</v>
      </c>
      <c r="G203" s="287" t="str">
        <f>IF(ISERROR(MATCH(F203,SurveyDATA!BN:BN,0))=TRUE,"",MATCH(F203,SurveyDATA!BN:BN,0))</f>
        <v/>
      </c>
      <c r="H203" s="287" t="str">
        <f>IF(ISERROR(MATCH(F203,#REF!,0))=TRUE,"",MATCH(F203,#REF!,0))</f>
        <v/>
      </c>
      <c r="I203" s="287" t="s">
        <v>7045</v>
      </c>
      <c r="J203" s="92" t="str">
        <f>IF(ISERROR(MATCH(I203,SurveyDATA!D:D,0))=TRUE,"",MATCH(I203,SurveyDATA!D:D,0))</f>
        <v/>
      </c>
    </row>
    <row r="204" spans="1:10">
      <c r="A204" s="92" t="s">
        <v>6456</v>
      </c>
      <c r="B204" s="92" t="str">
        <f>IF(ISERROR(MATCH(A204,SurveyDATA!P:P,0))=TRUE,"",MATCH(A204,SurveyDATA!P:P,0))</f>
        <v/>
      </c>
      <c r="C204" s="92" t="s">
        <v>6457</v>
      </c>
      <c r="D204" s="92" t="str">
        <f>IF(ISERROR(MATCH(C204,SurveyDATA!AI:AI,0))=TRUE,"",MATCH(C204,SurveyDATA!AI:AI,0))</f>
        <v/>
      </c>
      <c r="E204" s="287" t="str">
        <f>IF(ISERROR(MATCH(C204,SurveyDATA!BL:BL,0))=TRUE,"",MATCH(C204,SurveyDATA!BL:BL,0))</f>
        <v/>
      </c>
      <c r="F204" s="92" t="s">
        <v>6458</v>
      </c>
      <c r="G204" s="287" t="str">
        <f>IF(ISERROR(MATCH(F204,SurveyDATA!BN:BN,0))=TRUE,"",MATCH(F204,SurveyDATA!BN:BN,0))</f>
        <v/>
      </c>
      <c r="H204" s="287" t="str">
        <f>IF(ISERROR(MATCH(F204,#REF!,0))=TRUE,"",MATCH(F204,#REF!,0))</f>
        <v/>
      </c>
      <c r="I204" s="287" t="s">
        <v>7046</v>
      </c>
      <c r="J204" s="92" t="str">
        <f>IF(ISERROR(MATCH(I204,SurveyDATA!D:D,0))=TRUE,"",MATCH(I204,SurveyDATA!D:D,0))</f>
        <v/>
      </c>
    </row>
    <row r="205" spans="1:10">
      <c r="A205" s="92" t="s">
        <v>6459</v>
      </c>
      <c r="B205" s="92" t="str">
        <f>IF(ISERROR(MATCH(A205,SurveyDATA!P:P,0))=TRUE,"",MATCH(A205,SurveyDATA!P:P,0))</f>
        <v/>
      </c>
      <c r="C205" s="92" t="s">
        <v>6460</v>
      </c>
      <c r="D205" s="92" t="str">
        <f>IF(ISERROR(MATCH(C205,SurveyDATA!AI:AI,0))=TRUE,"",MATCH(C205,SurveyDATA!AI:AI,0))</f>
        <v/>
      </c>
      <c r="E205" s="287" t="str">
        <f>IF(ISERROR(MATCH(C205,SurveyDATA!BL:BL,0))=TRUE,"",MATCH(C205,SurveyDATA!BL:BL,0))</f>
        <v/>
      </c>
      <c r="F205" s="92" t="s">
        <v>6461</v>
      </c>
      <c r="G205" s="287" t="str">
        <f>IF(ISERROR(MATCH(F205,SurveyDATA!BN:BN,0))=TRUE,"",MATCH(F205,SurveyDATA!BN:BN,0))</f>
        <v/>
      </c>
      <c r="H205" s="287" t="str">
        <f>IF(ISERROR(MATCH(F205,#REF!,0))=TRUE,"",MATCH(F205,#REF!,0))</f>
        <v/>
      </c>
      <c r="I205" s="287" t="s">
        <v>7047</v>
      </c>
      <c r="J205" s="92" t="str">
        <f>IF(ISERROR(MATCH(I205,SurveyDATA!D:D,0))=TRUE,"",MATCH(I205,SurveyDATA!D:D,0))</f>
        <v/>
      </c>
    </row>
    <row r="206" spans="1:10">
      <c r="A206" s="92" t="s">
        <v>6462</v>
      </c>
      <c r="B206" s="92" t="str">
        <f>IF(ISERROR(MATCH(A206,SurveyDATA!P:P,0))=TRUE,"",MATCH(A206,SurveyDATA!P:P,0))</f>
        <v/>
      </c>
      <c r="C206" s="92" t="s">
        <v>6463</v>
      </c>
      <c r="D206" s="92" t="str">
        <f>IF(ISERROR(MATCH(C206,SurveyDATA!AI:AI,0))=TRUE,"",MATCH(C206,SurveyDATA!AI:AI,0))</f>
        <v/>
      </c>
      <c r="E206" s="287" t="str">
        <f>IF(ISERROR(MATCH(C206,SurveyDATA!BL:BL,0))=TRUE,"",MATCH(C206,SurveyDATA!BL:BL,0))</f>
        <v/>
      </c>
      <c r="F206" s="92" t="s">
        <v>6464</v>
      </c>
      <c r="G206" s="287" t="str">
        <f>IF(ISERROR(MATCH(F206,SurveyDATA!BN:BN,0))=TRUE,"",MATCH(F206,SurveyDATA!BN:BN,0))</f>
        <v/>
      </c>
      <c r="H206" s="287" t="str">
        <f>IF(ISERROR(MATCH(F206,#REF!,0))=TRUE,"",MATCH(F206,#REF!,0))</f>
        <v/>
      </c>
      <c r="I206" s="287" t="s">
        <v>7048</v>
      </c>
      <c r="J206" s="92" t="str">
        <f>IF(ISERROR(MATCH(I206,SurveyDATA!D:D,0))=TRUE,"",MATCH(I206,SurveyDATA!D:D,0))</f>
        <v/>
      </c>
    </row>
    <row r="207" spans="1:10">
      <c r="A207" s="92" t="s">
        <v>6465</v>
      </c>
      <c r="B207" s="92" t="str">
        <f>IF(ISERROR(MATCH(A207,SurveyDATA!P:P,0))=TRUE,"",MATCH(A207,SurveyDATA!P:P,0))</f>
        <v/>
      </c>
      <c r="C207" s="92" t="s">
        <v>6466</v>
      </c>
      <c r="D207" s="92" t="str">
        <f>IF(ISERROR(MATCH(C207,SurveyDATA!AI:AI,0))=TRUE,"",MATCH(C207,SurveyDATA!AI:AI,0))</f>
        <v/>
      </c>
      <c r="E207" s="287" t="str">
        <f>IF(ISERROR(MATCH(C207,SurveyDATA!BL:BL,0))=TRUE,"",MATCH(C207,SurveyDATA!BL:BL,0))</f>
        <v/>
      </c>
      <c r="F207" s="92" t="s">
        <v>6467</v>
      </c>
      <c r="G207" s="287" t="str">
        <f>IF(ISERROR(MATCH(F207,SurveyDATA!BN:BN,0))=TRUE,"",MATCH(F207,SurveyDATA!BN:BN,0))</f>
        <v/>
      </c>
      <c r="H207" s="287" t="str">
        <f>IF(ISERROR(MATCH(F207,#REF!,0))=TRUE,"",MATCH(F207,#REF!,0))</f>
        <v/>
      </c>
      <c r="I207" s="287" t="s">
        <v>7049</v>
      </c>
      <c r="J207" s="92" t="str">
        <f>IF(ISERROR(MATCH(I207,SurveyDATA!D:D,0))=TRUE,"",MATCH(I207,SurveyDATA!D:D,0))</f>
        <v/>
      </c>
    </row>
    <row r="208" spans="1:10">
      <c r="A208" s="92" t="s">
        <v>6468</v>
      </c>
      <c r="B208" s="92" t="str">
        <f>IF(ISERROR(MATCH(A208,SurveyDATA!P:P,0))=TRUE,"",MATCH(A208,SurveyDATA!P:P,0))</f>
        <v/>
      </c>
      <c r="C208" s="92" t="s">
        <v>6469</v>
      </c>
      <c r="D208" s="92" t="str">
        <f>IF(ISERROR(MATCH(C208,SurveyDATA!AI:AI,0))=TRUE,"",MATCH(C208,SurveyDATA!AI:AI,0))</f>
        <v/>
      </c>
      <c r="E208" s="287" t="str">
        <f>IF(ISERROR(MATCH(C208,SurveyDATA!BL:BL,0))=TRUE,"",MATCH(C208,SurveyDATA!BL:BL,0))</f>
        <v/>
      </c>
      <c r="F208" s="92" t="s">
        <v>6470</v>
      </c>
      <c r="G208" s="287" t="str">
        <f>IF(ISERROR(MATCH(F208,SurveyDATA!BN:BN,0))=TRUE,"",MATCH(F208,SurveyDATA!BN:BN,0))</f>
        <v/>
      </c>
      <c r="H208" s="287" t="str">
        <f>IF(ISERROR(MATCH(F208,#REF!,0))=TRUE,"",MATCH(F208,#REF!,0))</f>
        <v/>
      </c>
      <c r="I208" s="287" t="s">
        <v>5911</v>
      </c>
      <c r="J208" s="92" t="str">
        <f>IF(ISERROR(MATCH(I208,SurveyDATA!D:D,0))=TRUE,"",MATCH(I208,SurveyDATA!D:D,0))</f>
        <v/>
      </c>
    </row>
    <row r="209" spans="1:10">
      <c r="A209" s="92" t="s">
        <v>6471</v>
      </c>
      <c r="B209" s="92" t="str">
        <f>IF(ISERROR(MATCH(A209,SurveyDATA!P:P,0))=TRUE,"",MATCH(A209,SurveyDATA!P:P,0))</f>
        <v/>
      </c>
      <c r="C209" s="92" t="s">
        <v>6472</v>
      </c>
      <c r="D209" s="92" t="str">
        <f>IF(ISERROR(MATCH(C209,SurveyDATA!AI:AI,0))=TRUE,"",MATCH(C209,SurveyDATA!AI:AI,0))</f>
        <v/>
      </c>
      <c r="E209" s="287" t="str">
        <f>IF(ISERROR(MATCH(C209,SurveyDATA!BL:BL,0))=TRUE,"",MATCH(C209,SurveyDATA!BL:BL,0))</f>
        <v/>
      </c>
      <c r="F209" s="92" t="s">
        <v>6473</v>
      </c>
      <c r="G209" s="287" t="str">
        <f>IF(ISERROR(MATCH(F209,SurveyDATA!BN:BN,0))=TRUE,"",MATCH(F209,SurveyDATA!BN:BN,0))</f>
        <v/>
      </c>
      <c r="H209" s="287" t="str">
        <f>IF(ISERROR(MATCH(F209,#REF!,0))=TRUE,"",MATCH(F209,#REF!,0))</f>
        <v/>
      </c>
      <c r="I209" s="287" t="s">
        <v>7050</v>
      </c>
      <c r="J209" s="92" t="str">
        <f>IF(ISERROR(MATCH(I209,SurveyDATA!D:D,0))=TRUE,"",MATCH(I209,SurveyDATA!D:D,0))</f>
        <v/>
      </c>
    </row>
    <row r="210" spans="1:10">
      <c r="A210" s="92" t="s">
        <v>6474</v>
      </c>
      <c r="B210" s="92" t="str">
        <f>IF(ISERROR(MATCH(A210,SurveyDATA!P:P,0))=TRUE,"",MATCH(A210,SurveyDATA!P:P,0))</f>
        <v/>
      </c>
      <c r="C210" s="92" t="s">
        <v>6475</v>
      </c>
      <c r="D210" s="92" t="str">
        <f>IF(ISERROR(MATCH(C210,SurveyDATA!AI:AI,0))=TRUE,"",MATCH(C210,SurveyDATA!AI:AI,0))</f>
        <v/>
      </c>
      <c r="E210" s="287" t="str">
        <f>IF(ISERROR(MATCH(C210,SurveyDATA!BL:BL,0))=TRUE,"",MATCH(C210,SurveyDATA!BL:BL,0))</f>
        <v/>
      </c>
      <c r="F210" s="92" t="s">
        <v>6476</v>
      </c>
      <c r="G210" s="287" t="str">
        <f>IF(ISERROR(MATCH(F210,SurveyDATA!BN:BN,0))=TRUE,"",MATCH(F210,SurveyDATA!BN:BN,0))</f>
        <v/>
      </c>
      <c r="H210" s="287" t="str">
        <f>IF(ISERROR(MATCH(F210,#REF!,0))=TRUE,"",MATCH(F210,#REF!,0))</f>
        <v/>
      </c>
      <c r="I210" s="287" t="s">
        <v>7051</v>
      </c>
      <c r="J210" s="92" t="str">
        <f>IF(ISERROR(MATCH(I210,SurveyDATA!D:D,0))=TRUE,"",MATCH(I210,SurveyDATA!D:D,0))</f>
        <v/>
      </c>
    </row>
    <row r="211" spans="1:10">
      <c r="A211" s="92" t="s">
        <v>6477</v>
      </c>
      <c r="B211" s="92" t="str">
        <f>IF(ISERROR(MATCH(A211,SurveyDATA!P:P,0))=TRUE,"",MATCH(A211,SurveyDATA!P:P,0))</f>
        <v/>
      </c>
      <c r="C211" s="92" t="s">
        <v>6478</v>
      </c>
      <c r="D211" s="92" t="str">
        <f>IF(ISERROR(MATCH(C211,SurveyDATA!AI:AI,0))=TRUE,"",MATCH(C211,SurveyDATA!AI:AI,0))</f>
        <v/>
      </c>
      <c r="E211" s="287" t="str">
        <f>IF(ISERROR(MATCH(C211,SurveyDATA!BL:BL,0))=TRUE,"",MATCH(C211,SurveyDATA!BL:BL,0))</f>
        <v/>
      </c>
      <c r="F211" s="92" t="s">
        <v>6479</v>
      </c>
      <c r="G211" s="287" t="str">
        <f>IF(ISERROR(MATCH(F211,SurveyDATA!BN:BN,0))=TRUE,"",MATCH(F211,SurveyDATA!BN:BN,0))</f>
        <v/>
      </c>
      <c r="H211" s="287" t="str">
        <f>IF(ISERROR(MATCH(F211,#REF!,0))=TRUE,"",MATCH(F211,#REF!,0))</f>
        <v/>
      </c>
      <c r="I211" s="287" t="s">
        <v>7052</v>
      </c>
      <c r="J211" s="92" t="str">
        <f>IF(ISERROR(MATCH(I211,SurveyDATA!D:D,0))=TRUE,"",MATCH(I211,SurveyDATA!D:D,0))</f>
        <v/>
      </c>
    </row>
    <row r="212" spans="1:10">
      <c r="A212" s="92" t="s">
        <v>6480</v>
      </c>
      <c r="B212" s="92" t="str">
        <f>IF(ISERROR(MATCH(A212,SurveyDATA!P:P,0))=TRUE,"",MATCH(A212,SurveyDATA!P:P,0))</f>
        <v/>
      </c>
      <c r="C212" s="92" t="s">
        <v>6481</v>
      </c>
      <c r="D212" s="92" t="str">
        <f>IF(ISERROR(MATCH(C212,SurveyDATA!AI:AI,0))=TRUE,"",MATCH(C212,SurveyDATA!AI:AI,0))</f>
        <v/>
      </c>
      <c r="E212" s="287" t="str">
        <f>IF(ISERROR(MATCH(C212,SurveyDATA!BL:BL,0))=TRUE,"",MATCH(C212,SurveyDATA!BL:BL,0))</f>
        <v/>
      </c>
      <c r="F212" s="92" t="s">
        <v>6482</v>
      </c>
      <c r="G212" s="287" t="str">
        <f>IF(ISERROR(MATCH(F212,SurveyDATA!BN:BN,0))=TRUE,"",MATCH(F212,SurveyDATA!BN:BN,0))</f>
        <v/>
      </c>
      <c r="H212" s="287" t="str">
        <f>IF(ISERROR(MATCH(F212,#REF!,0))=TRUE,"",MATCH(F212,#REF!,0))</f>
        <v/>
      </c>
      <c r="I212" s="287" t="s">
        <v>7053</v>
      </c>
      <c r="J212" s="92" t="str">
        <f>IF(ISERROR(MATCH(I212,SurveyDATA!D:D,0))=TRUE,"",MATCH(I212,SurveyDATA!D:D,0))</f>
        <v/>
      </c>
    </row>
    <row r="213" spans="1:10">
      <c r="A213" s="92" t="s">
        <v>6483</v>
      </c>
      <c r="B213" s="92" t="str">
        <f>IF(ISERROR(MATCH(A213,SurveyDATA!P:P,0))=TRUE,"",MATCH(A213,SurveyDATA!P:P,0))</f>
        <v/>
      </c>
      <c r="C213" s="92" t="s">
        <v>6484</v>
      </c>
      <c r="D213" s="92" t="str">
        <f>IF(ISERROR(MATCH(C213,SurveyDATA!AI:AI,0))=TRUE,"",MATCH(C213,SurveyDATA!AI:AI,0))</f>
        <v/>
      </c>
      <c r="E213" s="287" t="str">
        <f>IF(ISERROR(MATCH(C213,SurveyDATA!BL:BL,0))=TRUE,"",MATCH(C213,SurveyDATA!BL:BL,0))</f>
        <v/>
      </c>
      <c r="F213" s="92" t="s">
        <v>6485</v>
      </c>
      <c r="G213" s="287" t="str">
        <f>IF(ISERROR(MATCH(F213,SurveyDATA!BN:BN,0))=TRUE,"",MATCH(F213,SurveyDATA!BN:BN,0))</f>
        <v/>
      </c>
      <c r="H213" s="287" t="str">
        <f>IF(ISERROR(MATCH(F213,#REF!,0))=TRUE,"",MATCH(F213,#REF!,0))</f>
        <v/>
      </c>
      <c r="I213" s="287" t="s">
        <v>7054</v>
      </c>
      <c r="J213" s="92" t="str">
        <f>IF(ISERROR(MATCH(I213,SurveyDATA!D:D,0))=TRUE,"",MATCH(I213,SurveyDATA!D:D,0))</f>
        <v/>
      </c>
    </row>
    <row r="214" spans="1:10">
      <c r="A214" s="92" t="s">
        <v>6486</v>
      </c>
      <c r="B214" s="92" t="str">
        <f>IF(ISERROR(MATCH(A214,SurveyDATA!P:P,0))=TRUE,"",MATCH(A214,SurveyDATA!P:P,0))</f>
        <v/>
      </c>
      <c r="C214" s="92" t="s">
        <v>6487</v>
      </c>
      <c r="D214" s="92" t="str">
        <f>IF(ISERROR(MATCH(C214,SurveyDATA!AI:AI,0))=TRUE,"",MATCH(C214,SurveyDATA!AI:AI,0))</f>
        <v/>
      </c>
      <c r="E214" s="287" t="str">
        <f>IF(ISERROR(MATCH(C214,SurveyDATA!BL:BL,0))=TRUE,"",MATCH(C214,SurveyDATA!BL:BL,0))</f>
        <v/>
      </c>
      <c r="F214" s="92" t="s">
        <v>6488</v>
      </c>
      <c r="G214" s="287" t="str">
        <f>IF(ISERROR(MATCH(F214,SurveyDATA!BN:BN,0))=TRUE,"",MATCH(F214,SurveyDATA!BN:BN,0))</f>
        <v/>
      </c>
      <c r="H214" s="287" t="str">
        <f>IF(ISERROR(MATCH(F214,#REF!,0))=TRUE,"",MATCH(F214,#REF!,0))</f>
        <v/>
      </c>
      <c r="I214" s="287" t="s">
        <v>7055</v>
      </c>
      <c r="J214" s="92" t="str">
        <f>IF(ISERROR(MATCH(I214,SurveyDATA!D:D,0))=TRUE,"",MATCH(I214,SurveyDATA!D:D,0))</f>
        <v/>
      </c>
    </row>
    <row r="215" spans="1:10">
      <c r="A215" s="92" t="s">
        <v>6489</v>
      </c>
      <c r="B215" s="92" t="str">
        <f>IF(ISERROR(MATCH(A215,SurveyDATA!P:P,0))=TRUE,"",MATCH(A215,SurveyDATA!P:P,0))</f>
        <v/>
      </c>
      <c r="C215" s="92" t="s">
        <v>6490</v>
      </c>
      <c r="D215" s="92" t="str">
        <f>IF(ISERROR(MATCH(C215,SurveyDATA!AI:AI,0))=TRUE,"",MATCH(C215,SurveyDATA!AI:AI,0))</f>
        <v/>
      </c>
      <c r="E215" s="287" t="str">
        <f>IF(ISERROR(MATCH(C215,SurveyDATA!BL:BL,0))=TRUE,"",MATCH(C215,SurveyDATA!BL:BL,0))</f>
        <v/>
      </c>
      <c r="F215" s="92" t="s">
        <v>6491</v>
      </c>
      <c r="G215" s="287" t="str">
        <f>IF(ISERROR(MATCH(F215,SurveyDATA!BN:BN,0))=TRUE,"",MATCH(F215,SurveyDATA!BN:BN,0))</f>
        <v/>
      </c>
      <c r="H215" s="287" t="str">
        <f>IF(ISERROR(MATCH(F215,#REF!,0))=TRUE,"",MATCH(F215,#REF!,0))</f>
        <v/>
      </c>
      <c r="I215" s="287" t="s">
        <v>7056</v>
      </c>
      <c r="J215" s="92" t="str">
        <f>IF(ISERROR(MATCH(I215,SurveyDATA!D:D,0))=TRUE,"",MATCH(I215,SurveyDATA!D:D,0))</f>
        <v/>
      </c>
    </row>
    <row r="216" spans="1:10">
      <c r="A216" s="92" t="s">
        <v>6492</v>
      </c>
      <c r="B216" s="92" t="str">
        <f>IF(ISERROR(MATCH(A216,SurveyDATA!P:P,0))=TRUE,"",MATCH(A216,SurveyDATA!P:P,0))</f>
        <v/>
      </c>
      <c r="C216" s="92" t="s">
        <v>6493</v>
      </c>
      <c r="D216" s="92" t="str">
        <f>IF(ISERROR(MATCH(C216,SurveyDATA!AI:AI,0))=TRUE,"",MATCH(C216,SurveyDATA!AI:AI,0))</f>
        <v/>
      </c>
      <c r="E216" s="287" t="str">
        <f>IF(ISERROR(MATCH(C216,SurveyDATA!BL:BL,0))=TRUE,"",MATCH(C216,SurveyDATA!BL:BL,0))</f>
        <v/>
      </c>
      <c r="F216" s="92" t="s">
        <v>6494</v>
      </c>
      <c r="G216" s="287" t="str">
        <f>IF(ISERROR(MATCH(F216,SurveyDATA!BN:BN,0))=TRUE,"",MATCH(F216,SurveyDATA!BN:BN,0))</f>
        <v/>
      </c>
      <c r="H216" s="287" t="str">
        <f>IF(ISERROR(MATCH(F216,#REF!,0))=TRUE,"",MATCH(F216,#REF!,0))</f>
        <v/>
      </c>
      <c r="I216" s="287" t="s">
        <v>7057</v>
      </c>
      <c r="J216" s="92" t="str">
        <f>IF(ISERROR(MATCH(I216,SurveyDATA!D:D,0))=TRUE,"",MATCH(I216,SurveyDATA!D:D,0))</f>
        <v/>
      </c>
    </row>
    <row r="217" spans="1:10">
      <c r="A217" s="92" t="s">
        <v>6495</v>
      </c>
      <c r="B217" s="92" t="str">
        <f>IF(ISERROR(MATCH(A217,SurveyDATA!P:P,0))=TRUE,"",MATCH(A217,SurveyDATA!P:P,0))</f>
        <v/>
      </c>
      <c r="C217" s="92" t="s">
        <v>6496</v>
      </c>
      <c r="D217" s="92" t="str">
        <f>IF(ISERROR(MATCH(C217,SurveyDATA!AI:AI,0))=TRUE,"",MATCH(C217,SurveyDATA!AI:AI,0))</f>
        <v/>
      </c>
      <c r="E217" s="287" t="str">
        <f>IF(ISERROR(MATCH(C217,SurveyDATA!BL:BL,0))=TRUE,"",MATCH(C217,SurveyDATA!BL:BL,0))</f>
        <v/>
      </c>
      <c r="F217" s="92" t="s">
        <v>6497</v>
      </c>
      <c r="G217" s="287" t="str">
        <f>IF(ISERROR(MATCH(F217,SurveyDATA!BN:BN,0))=TRUE,"",MATCH(F217,SurveyDATA!BN:BN,0))</f>
        <v/>
      </c>
      <c r="H217" s="287" t="str">
        <f>IF(ISERROR(MATCH(F217,#REF!,0))=TRUE,"",MATCH(F217,#REF!,0))</f>
        <v/>
      </c>
      <c r="I217" s="287" t="s">
        <v>7058</v>
      </c>
      <c r="J217" s="92" t="str">
        <f>IF(ISERROR(MATCH(I217,SurveyDATA!D:D,0))=TRUE,"",MATCH(I217,SurveyDATA!D:D,0))</f>
        <v/>
      </c>
    </row>
    <row r="218" spans="1:10">
      <c r="A218" s="92" t="s">
        <v>6498</v>
      </c>
      <c r="B218" s="92" t="str">
        <f>IF(ISERROR(MATCH(A218,SurveyDATA!P:P,0))=TRUE,"",MATCH(A218,SurveyDATA!P:P,0))</f>
        <v/>
      </c>
      <c r="C218" s="92" t="s">
        <v>6499</v>
      </c>
      <c r="D218" s="92" t="str">
        <f>IF(ISERROR(MATCH(C218,SurveyDATA!AI:AI,0))=TRUE,"",MATCH(C218,SurveyDATA!AI:AI,0))</f>
        <v/>
      </c>
      <c r="E218" s="287" t="str">
        <f>IF(ISERROR(MATCH(C218,SurveyDATA!BL:BL,0))=TRUE,"",MATCH(C218,SurveyDATA!BL:BL,0))</f>
        <v/>
      </c>
      <c r="F218" s="92" t="s">
        <v>6500</v>
      </c>
      <c r="G218" s="287" t="str">
        <f>IF(ISERROR(MATCH(F218,SurveyDATA!BN:BN,0))=TRUE,"",MATCH(F218,SurveyDATA!BN:BN,0))</f>
        <v/>
      </c>
      <c r="H218" s="287" t="str">
        <f>IF(ISERROR(MATCH(F218,#REF!,0))=TRUE,"",MATCH(F218,#REF!,0))</f>
        <v/>
      </c>
      <c r="I218" s="287" t="s">
        <v>7059</v>
      </c>
      <c r="J218" s="92" t="str">
        <f>IF(ISERROR(MATCH(I218,SurveyDATA!D:D,0))=TRUE,"",MATCH(I218,SurveyDATA!D:D,0))</f>
        <v/>
      </c>
    </row>
    <row r="219" spans="1:10">
      <c r="A219" s="92" t="s">
        <v>6501</v>
      </c>
      <c r="B219" s="92" t="str">
        <f>IF(ISERROR(MATCH(A219,SurveyDATA!P:P,0))=TRUE,"",MATCH(A219,SurveyDATA!P:P,0))</f>
        <v/>
      </c>
      <c r="C219" s="92" t="s">
        <v>6502</v>
      </c>
      <c r="D219" s="92" t="str">
        <f>IF(ISERROR(MATCH(C219,SurveyDATA!AI:AI,0))=TRUE,"",MATCH(C219,SurveyDATA!AI:AI,0))</f>
        <v/>
      </c>
      <c r="E219" s="287" t="str">
        <f>IF(ISERROR(MATCH(C219,SurveyDATA!BL:BL,0))=TRUE,"",MATCH(C219,SurveyDATA!BL:BL,0))</f>
        <v/>
      </c>
      <c r="F219" s="92" t="s">
        <v>6503</v>
      </c>
      <c r="G219" s="287" t="str">
        <f>IF(ISERROR(MATCH(F219,SurveyDATA!BN:BN,0))=TRUE,"",MATCH(F219,SurveyDATA!BN:BN,0))</f>
        <v/>
      </c>
      <c r="H219" s="287" t="str">
        <f>IF(ISERROR(MATCH(F219,#REF!,0))=TRUE,"",MATCH(F219,#REF!,0))</f>
        <v/>
      </c>
      <c r="I219" s="287" t="s">
        <v>7060</v>
      </c>
      <c r="J219" s="92" t="str">
        <f>IF(ISERROR(MATCH(I219,SurveyDATA!D:D,0))=TRUE,"",MATCH(I219,SurveyDATA!D:D,0))</f>
        <v/>
      </c>
    </row>
    <row r="220" spans="1:10">
      <c r="A220" s="92" t="s">
        <v>6504</v>
      </c>
      <c r="B220" s="92" t="str">
        <f>IF(ISERROR(MATCH(A220,SurveyDATA!P:P,0))=TRUE,"",MATCH(A220,SurveyDATA!P:P,0))</f>
        <v/>
      </c>
      <c r="C220" s="92" t="s">
        <v>6505</v>
      </c>
      <c r="D220" s="92" t="str">
        <f>IF(ISERROR(MATCH(C220,SurveyDATA!AI:AI,0))=TRUE,"",MATCH(C220,SurveyDATA!AI:AI,0))</f>
        <v/>
      </c>
      <c r="E220" s="287" t="str">
        <f>IF(ISERROR(MATCH(C220,SurveyDATA!BL:BL,0))=TRUE,"",MATCH(C220,SurveyDATA!BL:BL,0))</f>
        <v/>
      </c>
      <c r="F220" s="92" t="s">
        <v>6506</v>
      </c>
      <c r="G220" s="287" t="str">
        <f>IF(ISERROR(MATCH(F220,SurveyDATA!BN:BN,0))=TRUE,"",MATCH(F220,SurveyDATA!BN:BN,0))</f>
        <v/>
      </c>
      <c r="H220" s="287" t="str">
        <f>IF(ISERROR(MATCH(F220,#REF!,0))=TRUE,"",MATCH(F220,#REF!,0))</f>
        <v/>
      </c>
      <c r="I220" s="287" t="s">
        <v>7061</v>
      </c>
      <c r="J220" s="92" t="str">
        <f>IF(ISERROR(MATCH(I220,SurveyDATA!D:D,0))=TRUE,"",MATCH(I220,SurveyDATA!D:D,0))</f>
        <v/>
      </c>
    </row>
    <row r="221" spans="1:10">
      <c r="A221" s="92" t="s">
        <v>6507</v>
      </c>
      <c r="B221" s="92" t="str">
        <f>IF(ISERROR(MATCH(A221,SurveyDATA!P:P,0))=TRUE,"",MATCH(A221,SurveyDATA!P:P,0))</f>
        <v/>
      </c>
      <c r="C221" s="92" t="s">
        <v>6508</v>
      </c>
      <c r="D221" s="92" t="str">
        <f>IF(ISERROR(MATCH(C221,SurveyDATA!AI:AI,0))=TRUE,"",MATCH(C221,SurveyDATA!AI:AI,0))</f>
        <v/>
      </c>
      <c r="E221" s="287" t="str">
        <f>IF(ISERROR(MATCH(C221,SurveyDATA!BL:BL,0))=TRUE,"",MATCH(C221,SurveyDATA!BL:BL,0))</f>
        <v/>
      </c>
      <c r="F221" s="92" t="s">
        <v>6509</v>
      </c>
      <c r="G221" s="287" t="str">
        <f>IF(ISERROR(MATCH(F221,SurveyDATA!BN:BN,0))=TRUE,"",MATCH(F221,SurveyDATA!BN:BN,0))</f>
        <v/>
      </c>
      <c r="H221" s="287" t="str">
        <f>IF(ISERROR(MATCH(F221,#REF!,0))=TRUE,"",MATCH(F221,#REF!,0))</f>
        <v/>
      </c>
      <c r="I221" s="287" t="s">
        <v>7062</v>
      </c>
      <c r="J221" s="92" t="str">
        <f>IF(ISERROR(MATCH(I221,SurveyDATA!D:D,0))=TRUE,"",MATCH(I221,SurveyDATA!D:D,0))</f>
        <v/>
      </c>
    </row>
    <row r="222" spans="1:10">
      <c r="A222" s="92" t="s">
        <v>6510</v>
      </c>
      <c r="B222" s="92" t="str">
        <f>IF(ISERROR(MATCH(A222,SurveyDATA!P:P,0))=TRUE,"",MATCH(A222,SurveyDATA!P:P,0))</f>
        <v/>
      </c>
      <c r="C222" s="92" t="s">
        <v>6511</v>
      </c>
      <c r="D222" s="92" t="str">
        <f>IF(ISERROR(MATCH(C222,SurveyDATA!AI:AI,0))=TRUE,"",MATCH(C222,SurveyDATA!AI:AI,0))</f>
        <v/>
      </c>
      <c r="E222" s="287" t="str">
        <f>IF(ISERROR(MATCH(C222,SurveyDATA!BL:BL,0))=TRUE,"",MATCH(C222,SurveyDATA!BL:BL,0))</f>
        <v/>
      </c>
      <c r="F222" s="92" t="s">
        <v>6512</v>
      </c>
      <c r="G222" s="287" t="str">
        <f>IF(ISERROR(MATCH(F222,SurveyDATA!BN:BN,0))=TRUE,"",MATCH(F222,SurveyDATA!BN:BN,0))</f>
        <v/>
      </c>
      <c r="H222" s="287" t="str">
        <f>IF(ISERROR(MATCH(F222,#REF!,0))=TRUE,"",MATCH(F222,#REF!,0))</f>
        <v/>
      </c>
      <c r="I222" s="287" t="s">
        <v>7063</v>
      </c>
      <c r="J222" s="92" t="str">
        <f>IF(ISERROR(MATCH(I222,SurveyDATA!D:D,0))=TRUE,"",MATCH(I222,SurveyDATA!D:D,0))</f>
        <v/>
      </c>
    </row>
    <row r="223" spans="1:10">
      <c r="A223" s="92" t="s">
        <v>6513</v>
      </c>
      <c r="B223" s="92" t="str">
        <f>IF(ISERROR(MATCH(A223,SurveyDATA!P:P,0))=TRUE,"",MATCH(A223,SurveyDATA!P:P,0))</f>
        <v/>
      </c>
      <c r="C223" s="92" t="s">
        <v>6514</v>
      </c>
      <c r="D223" s="92" t="str">
        <f>IF(ISERROR(MATCH(C223,SurveyDATA!AI:AI,0))=TRUE,"",MATCH(C223,SurveyDATA!AI:AI,0))</f>
        <v/>
      </c>
      <c r="E223" s="287" t="str">
        <f>IF(ISERROR(MATCH(C223,SurveyDATA!BL:BL,0))=TRUE,"",MATCH(C223,SurveyDATA!BL:BL,0))</f>
        <v/>
      </c>
      <c r="F223" s="92" t="s">
        <v>6515</v>
      </c>
      <c r="G223" s="287" t="str">
        <f>IF(ISERROR(MATCH(F223,SurveyDATA!BN:BN,0))=TRUE,"",MATCH(F223,SurveyDATA!BN:BN,0))</f>
        <v/>
      </c>
      <c r="H223" s="287" t="str">
        <f>IF(ISERROR(MATCH(F223,#REF!,0))=TRUE,"",MATCH(F223,#REF!,0))</f>
        <v/>
      </c>
      <c r="I223" s="287" t="s">
        <v>7064</v>
      </c>
      <c r="J223" s="92" t="str">
        <f>IF(ISERROR(MATCH(I223,SurveyDATA!D:D,0))=TRUE,"",MATCH(I223,SurveyDATA!D:D,0))</f>
        <v/>
      </c>
    </row>
    <row r="224" spans="1:10">
      <c r="A224" s="92" t="s">
        <v>6516</v>
      </c>
      <c r="B224" s="92" t="str">
        <f>IF(ISERROR(MATCH(A224,SurveyDATA!P:P,0))=TRUE,"",MATCH(A224,SurveyDATA!P:P,0))</f>
        <v/>
      </c>
      <c r="C224" s="92" t="s">
        <v>6517</v>
      </c>
      <c r="D224" s="92" t="str">
        <f>IF(ISERROR(MATCH(C224,SurveyDATA!AI:AI,0))=TRUE,"",MATCH(C224,SurveyDATA!AI:AI,0))</f>
        <v/>
      </c>
      <c r="E224" s="287" t="str">
        <f>IF(ISERROR(MATCH(C224,SurveyDATA!BL:BL,0))=TRUE,"",MATCH(C224,SurveyDATA!BL:BL,0))</f>
        <v/>
      </c>
      <c r="F224" s="92" t="s">
        <v>6518</v>
      </c>
      <c r="G224" s="287" t="str">
        <f>IF(ISERROR(MATCH(F224,SurveyDATA!BN:BN,0))=TRUE,"",MATCH(F224,SurveyDATA!BN:BN,0))</f>
        <v/>
      </c>
      <c r="H224" s="287" t="str">
        <f>IF(ISERROR(MATCH(F224,#REF!,0))=TRUE,"",MATCH(F224,#REF!,0))</f>
        <v/>
      </c>
      <c r="I224" s="287" t="s">
        <v>7065</v>
      </c>
      <c r="J224" s="92" t="str">
        <f>IF(ISERROR(MATCH(I224,SurveyDATA!D:D,0))=TRUE,"",MATCH(I224,SurveyDATA!D:D,0))</f>
        <v/>
      </c>
    </row>
    <row r="225" spans="1:10">
      <c r="A225" s="92" t="s">
        <v>6519</v>
      </c>
      <c r="B225" s="92" t="str">
        <f>IF(ISERROR(MATCH(A225,SurveyDATA!P:P,0))=TRUE,"",MATCH(A225,SurveyDATA!P:P,0))</f>
        <v/>
      </c>
      <c r="C225" s="92" t="s">
        <v>6520</v>
      </c>
      <c r="D225" s="92" t="str">
        <f>IF(ISERROR(MATCH(C225,SurveyDATA!AI:AI,0))=TRUE,"",MATCH(C225,SurveyDATA!AI:AI,0))</f>
        <v/>
      </c>
      <c r="E225" s="287" t="str">
        <f>IF(ISERROR(MATCH(C225,SurveyDATA!BL:BL,0))=TRUE,"",MATCH(C225,SurveyDATA!BL:BL,0))</f>
        <v/>
      </c>
      <c r="F225" s="92" t="s">
        <v>6521</v>
      </c>
      <c r="G225" s="287" t="str">
        <f>IF(ISERROR(MATCH(F225,SurveyDATA!BN:BN,0))=TRUE,"",MATCH(F225,SurveyDATA!BN:BN,0))</f>
        <v/>
      </c>
      <c r="H225" s="287" t="str">
        <f>IF(ISERROR(MATCH(F225,#REF!,0))=TRUE,"",MATCH(F225,#REF!,0))</f>
        <v/>
      </c>
      <c r="I225" s="287" t="s">
        <v>7066</v>
      </c>
      <c r="J225" s="92" t="str">
        <f>IF(ISERROR(MATCH(I225,SurveyDATA!D:D,0))=TRUE,"",MATCH(I225,SurveyDATA!D:D,0))</f>
        <v/>
      </c>
    </row>
    <row r="226" spans="1:10">
      <c r="A226" s="92" t="s">
        <v>6522</v>
      </c>
      <c r="B226" s="92" t="str">
        <f>IF(ISERROR(MATCH(A226,SurveyDATA!P:P,0))=TRUE,"",MATCH(A226,SurveyDATA!P:P,0))</f>
        <v/>
      </c>
      <c r="C226" s="92" t="s">
        <v>6523</v>
      </c>
      <c r="D226" s="92" t="str">
        <f>IF(ISERROR(MATCH(C226,SurveyDATA!AI:AI,0))=TRUE,"",MATCH(C226,SurveyDATA!AI:AI,0))</f>
        <v/>
      </c>
      <c r="E226" s="287" t="str">
        <f>IF(ISERROR(MATCH(C226,SurveyDATA!BL:BL,0))=TRUE,"",MATCH(C226,SurveyDATA!BL:BL,0))</f>
        <v/>
      </c>
      <c r="F226" s="92" t="s">
        <v>6524</v>
      </c>
      <c r="G226" s="287" t="str">
        <f>IF(ISERROR(MATCH(F226,SurveyDATA!BN:BN,0))=TRUE,"",MATCH(F226,SurveyDATA!BN:BN,0))</f>
        <v/>
      </c>
      <c r="H226" s="287" t="str">
        <f>IF(ISERROR(MATCH(F226,#REF!,0))=TRUE,"",MATCH(F226,#REF!,0))</f>
        <v/>
      </c>
      <c r="I226" s="287" t="s">
        <v>5911</v>
      </c>
      <c r="J226" s="92" t="str">
        <f>IF(ISERROR(MATCH(I226,SurveyDATA!D:D,0))=TRUE,"",MATCH(I226,SurveyDATA!D:D,0))</f>
        <v/>
      </c>
    </row>
    <row r="227" spans="1:10">
      <c r="A227" s="92" t="s">
        <v>6525</v>
      </c>
      <c r="B227" s="92" t="str">
        <f>IF(ISERROR(MATCH(A227,SurveyDATA!P:P,0))=TRUE,"",MATCH(A227,SurveyDATA!P:P,0))</f>
        <v/>
      </c>
      <c r="C227" s="92" t="s">
        <v>6526</v>
      </c>
      <c r="D227" s="92" t="str">
        <f>IF(ISERROR(MATCH(C227,SurveyDATA!AI:AI,0))=TRUE,"",MATCH(C227,SurveyDATA!AI:AI,0))</f>
        <v/>
      </c>
      <c r="E227" s="287" t="str">
        <f>IF(ISERROR(MATCH(C227,SurveyDATA!BL:BL,0))=TRUE,"",MATCH(C227,SurveyDATA!BL:BL,0))</f>
        <v/>
      </c>
      <c r="F227" s="92" t="s">
        <v>6527</v>
      </c>
      <c r="G227" s="287" t="str">
        <f>IF(ISERROR(MATCH(F227,SurveyDATA!BN:BN,0))=TRUE,"",MATCH(F227,SurveyDATA!BN:BN,0))</f>
        <v/>
      </c>
      <c r="H227" s="287" t="str">
        <f>IF(ISERROR(MATCH(F227,#REF!,0))=TRUE,"",MATCH(F227,#REF!,0))</f>
        <v/>
      </c>
      <c r="I227" s="287" t="s">
        <v>5911</v>
      </c>
      <c r="J227" s="92" t="str">
        <f>IF(ISERROR(MATCH(I227,SurveyDATA!D:D,0))=TRUE,"",MATCH(I227,SurveyDATA!D:D,0))</f>
        <v/>
      </c>
    </row>
    <row r="228" spans="1:10">
      <c r="A228" s="92" t="s">
        <v>6528</v>
      </c>
      <c r="B228" s="92" t="str">
        <f>IF(ISERROR(MATCH(A228,SurveyDATA!P:P,0))=TRUE,"",MATCH(A228,SurveyDATA!P:P,0))</f>
        <v/>
      </c>
      <c r="C228" s="92" t="s">
        <v>6529</v>
      </c>
      <c r="D228" s="92" t="str">
        <f>IF(ISERROR(MATCH(C228,SurveyDATA!AI:AI,0))=TRUE,"",MATCH(C228,SurveyDATA!AI:AI,0))</f>
        <v/>
      </c>
      <c r="E228" s="287" t="str">
        <f>IF(ISERROR(MATCH(C228,SurveyDATA!BL:BL,0))=TRUE,"",MATCH(C228,SurveyDATA!BL:BL,0))</f>
        <v/>
      </c>
      <c r="F228" s="92" t="s">
        <v>6530</v>
      </c>
      <c r="G228" s="287" t="str">
        <f>IF(ISERROR(MATCH(F228,SurveyDATA!BN:BN,0))=TRUE,"",MATCH(F228,SurveyDATA!BN:BN,0))</f>
        <v/>
      </c>
      <c r="H228" s="287" t="str">
        <f>IF(ISERROR(MATCH(F228,#REF!,0))=TRUE,"",MATCH(F228,#REF!,0))</f>
        <v/>
      </c>
      <c r="I228" s="287" t="s">
        <v>5911</v>
      </c>
      <c r="J228" s="92" t="str">
        <f>IF(ISERROR(MATCH(I228,SurveyDATA!D:D,0))=TRUE,"",MATCH(I228,SurveyDATA!D:D,0))</f>
        <v/>
      </c>
    </row>
    <row r="229" spans="1:10">
      <c r="A229" s="92" t="s">
        <v>6531</v>
      </c>
      <c r="B229" s="92" t="str">
        <f>IF(ISERROR(MATCH(A229,SurveyDATA!P:P,0))=TRUE,"",MATCH(A229,SurveyDATA!P:P,0))</f>
        <v/>
      </c>
      <c r="C229" s="92" t="s">
        <v>6532</v>
      </c>
      <c r="D229" s="92" t="str">
        <f>IF(ISERROR(MATCH(C229,SurveyDATA!AI:AI,0))=TRUE,"",MATCH(C229,SurveyDATA!AI:AI,0))</f>
        <v/>
      </c>
      <c r="E229" s="287" t="str">
        <f>IF(ISERROR(MATCH(C229,SurveyDATA!BL:BL,0))=TRUE,"",MATCH(C229,SurveyDATA!BL:BL,0))</f>
        <v/>
      </c>
      <c r="F229" s="92" t="s">
        <v>6533</v>
      </c>
      <c r="G229" s="287" t="str">
        <f>IF(ISERROR(MATCH(F229,SurveyDATA!BN:BN,0))=TRUE,"",MATCH(F229,SurveyDATA!BN:BN,0))</f>
        <v/>
      </c>
      <c r="H229" s="287" t="str">
        <f>IF(ISERROR(MATCH(F229,#REF!,0))=TRUE,"",MATCH(F229,#REF!,0))</f>
        <v/>
      </c>
      <c r="I229" s="287" t="s">
        <v>7067</v>
      </c>
      <c r="J229" s="92" t="str">
        <f>IF(ISERROR(MATCH(I229,SurveyDATA!D:D,0))=TRUE,"",MATCH(I229,SurveyDATA!D:D,0))</f>
        <v/>
      </c>
    </row>
    <row r="230" spans="1:10">
      <c r="A230" s="92" t="s">
        <v>6534</v>
      </c>
      <c r="B230" s="92" t="str">
        <f>IF(ISERROR(MATCH(A230,SurveyDATA!P:P,0))=TRUE,"",MATCH(A230,SurveyDATA!P:P,0))</f>
        <v/>
      </c>
      <c r="C230" s="92" t="s">
        <v>6535</v>
      </c>
      <c r="D230" s="92" t="str">
        <f>IF(ISERROR(MATCH(C230,SurveyDATA!AI:AI,0))=TRUE,"",MATCH(C230,SurveyDATA!AI:AI,0))</f>
        <v/>
      </c>
      <c r="E230" s="287" t="str">
        <f>IF(ISERROR(MATCH(C230,SurveyDATA!BL:BL,0))=TRUE,"",MATCH(C230,SurveyDATA!BL:BL,0))</f>
        <v/>
      </c>
      <c r="F230" s="92" t="s">
        <v>6536</v>
      </c>
      <c r="G230" s="287" t="str">
        <f>IF(ISERROR(MATCH(F230,SurveyDATA!BN:BN,0))=TRUE,"",MATCH(F230,SurveyDATA!BN:BN,0))</f>
        <v/>
      </c>
      <c r="H230" s="287" t="str">
        <f>IF(ISERROR(MATCH(F230,#REF!,0))=TRUE,"",MATCH(F230,#REF!,0))</f>
        <v/>
      </c>
      <c r="I230" s="287" t="s">
        <v>7068</v>
      </c>
      <c r="J230" s="92" t="str">
        <f>IF(ISERROR(MATCH(I230,SurveyDATA!D:D,0))=TRUE,"",MATCH(I230,SurveyDATA!D:D,0))</f>
        <v/>
      </c>
    </row>
    <row r="231" spans="1:10">
      <c r="A231" s="92" t="s">
        <v>6294</v>
      </c>
      <c r="B231" s="92" t="str">
        <f>IF(ISERROR(MATCH(A231,SurveyDATA!P:P,0))=TRUE,"",MATCH(A231,SurveyDATA!P:P,0))</f>
        <v/>
      </c>
      <c r="C231" s="92" t="s">
        <v>6295</v>
      </c>
      <c r="D231" s="92" t="str">
        <f>IF(ISERROR(MATCH(C231,SurveyDATA!AI:AI,0))=TRUE,"",MATCH(C231,SurveyDATA!AI:AI,0))</f>
        <v/>
      </c>
      <c r="E231" s="287" t="str">
        <f>IF(ISERROR(MATCH(C231,SurveyDATA!BL:BL,0))=TRUE,"",MATCH(C231,SurveyDATA!BL:BL,0))</f>
        <v/>
      </c>
      <c r="F231" s="92" t="s">
        <v>6296</v>
      </c>
      <c r="G231" s="287" t="str">
        <f>IF(ISERROR(MATCH(F231,SurveyDATA!BN:BN,0))=TRUE,"",MATCH(F231,SurveyDATA!BN:BN,0))</f>
        <v/>
      </c>
      <c r="H231" s="287" t="str">
        <f>IF(ISERROR(MATCH(F231,#REF!,0))=TRUE,"",MATCH(F231,#REF!,0))</f>
        <v/>
      </c>
      <c r="I231" s="287" t="s">
        <v>5911</v>
      </c>
      <c r="J231" s="92" t="str">
        <f>IF(ISERROR(MATCH(I231,SurveyDATA!D:D,0))=TRUE,"",MATCH(I231,SurveyDATA!D:D,0))</f>
        <v/>
      </c>
    </row>
    <row r="232" spans="1:10">
      <c r="A232" s="92" t="s">
        <v>6537</v>
      </c>
      <c r="B232" s="92" t="str">
        <f>IF(ISERROR(MATCH(A232,SurveyDATA!P:P,0))=TRUE,"",MATCH(A232,SurveyDATA!P:P,0))</f>
        <v/>
      </c>
      <c r="C232" s="92" t="s">
        <v>6538</v>
      </c>
      <c r="D232" s="92" t="str">
        <f>IF(ISERROR(MATCH(C232,SurveyDATA!AI:AI,0))=TRUE,"",MATCH(C232,SurveyDATA!AI:AI,0))</f>
        <v/>
      </c>
      <c r="E232" s="287" t="str">
        <f>IF(ISERROR(MATCH(C232,SurveyDATA!BL:BL,0))=TRUE,"",MATCH(C232,SurveyDATA!BL:BL,0))</f>
        <v/>
      </c>
      <c r="F232" s="92" t="s">
        <v>6539</v>
      </c>
      <c r="G232" s="287" t="str">
        <f>IF(ISERROR(MATCH(F232,SurveyDATA!BN:BN,0))=TRUE,"",MATCH(F232,SurveyDATA!BN:BN,0))</f>
        <v/>
      </c>
      <c r="H232" s="287" t="str">
        <f>IF(ISERROR(MATCH(F232,#REF!,0))=TRUE,"",MATCH(F232,#REF!,0))</f>
        <v/>
      </c>
      <c r="I232" s="287" t="s">
        <v>5911</v>
      </c>
      <c r="J232" s="92" t="str">
        <f>IF(ISERROR(MATCH(I232,SurveyDATA!D:D,0))=TRUE,"",MATCH(I232,SurveyDATA!D:D,0))</f>
        <v/>
      </c>
    </row>
    <row r="233" spans="1:10">
      <c r="A233" s="92" t="s">
        <v>6540</v>
      </c>
      <c r="B233" s="92" t="str">
        <f>IF(ISERROR(MATCH(A233,SurveyDATA!P:P,0))=TRUE,"",MATCH(A233,SurveyDATA!P:P,0))</f>
        <v/>
      </c>
      <c r="C233" s="92" t="s">
        <v>6541</v>
      </c>
      <c r="D233" s="92" t="str">
        <f>IF(ISERROR(MATCH(C233,SurveyDATA!AI:AI,0))=TRUE,"",MATCH(C233,SurveyDATA!AI:AI,0))</f>
        <v/>
      </c>
      <c r="E233" s="287" t="str">
        <f>IF(ISERROR(MATCH(C233,SurveyDATA!BL:BL,0))=TRUE,"",MATCH(C233,SurveyDATA!BL:BL,0))</f>
        <v/>
      </c>
      <c r="F233" s="92" t="s">
        <v>6542</v>
      </c>
      <c r="G233" s="287" t="str">
        <f>IF(ISERROR(MATCH(F233,SurveyDATA!BN:BN,0))=TRUE,"",MATCH(F233,SurveyDATA!BN:BN,0))</f>
        <v/>
      </c>
      <c r="H233" s="287" t="str">
        <f>IF(ISERROR(MATCH(F233,#REF!,0))=TRUE,"",MATCH(F233,#REF!,0))</f>
        <v/>
      </c>
      <c r="I233" s="287" t="s">
        <v>7069</v>
      </c>
      <c r="J233" s="92" t="str">
        <f>IF(ISERROR(MATCH(I233,SurveyDATA!D:D,0))=TRUE,"",MATCH(I233,SurveyDATA!D:D,0))</f>
        <v/>
      </c>
    </row>
    <row r="234" spans="1:10">
      <c r="A234" s="92" t="s">
        <v>6543</v>
      </c>
      <c r="B234" s="92" t="str">
        <f>IF(ISERROR(MATCH(A234,SurveyDATA!P:P,0))=TRUE,"",MATCH(A234,SurveyDATA!P:P,0))</f>
        <v/>
      </c>
      <c r="C234" s="92" t="s">
        <v>6544</v>
      </c>
      <c r="D234" s="92" t="str">
        <f>IF(ISERROR(MATCH(C234,SurveyDATA!AI:AI,0))=TRUE,"",MATCH(C234,SurveyDATA!AI:AI,0))</f>
        <v/>
      </c>
      <c r="E234" s="287" t="str">
        <f>IF(ISERROR(MATCH(C234,SurveyDATA!BL:BL,0))=TRUE,"",MATCH(C234,SurveyDATA!BL:BL,0))</f>
        <v/>
      </c>
      <c r="F234" s="92" t="s">
        <v>6545</v>
      </c>
      <c r="G234" s="287" t="str">
        <f>IF(ISERROR(MATCH(F234,SurveyDATA!BN:BN,0))=TRUE,"",MATCH(F234,SurveyDATA!BN:BN,0))</f>
        <v/>
      </c>
      <c r="H234" s="287" t="str">
        <f>IF(ISERROR(MATCH(F234,#REF!,0))=TRUE,"",MATCH(F234,#REF!,0))</f>
        <v/>
      </c>
      <c r="I234" s="287" t="s">
        <v>5911</v>
      </c>
      <c r="J234" s="92" t="str">
        <f>IF(ISERROR(MATCH(I234,SurveyDATA!D:D,0))=TRUE,"",MATCH(I234,SurveyDATA!D:D,0))</f>
        <v/>
      </c>
    </row>
    <row r="235" spans="1:10">
      <c r="A235" s="92" t="s">
        <v>6546</v>
      </c>
      <c r="B235" s="92" t="str">
        <f>IF(ISERROR(MATCH(A235,SurveyDATA!P:P,0))=TRUE,"",MATCH(A235,SurveyDATA!P:P,0))</f>
        <v/>
      </c>
      <c r="C235" s="92" t="s">
        <v>6547</v>
      </c>
      <c r="D235" s="92" t="str">
        <f>IF(ISERROR(MATCH(C235,SurveyDATA!AI:AI,0))=TRUE,"",MATCH(C235,SurveyDATA!AI:AI,0))</f>
        <v/>
      </c>
      <c r="E235" s="287" t="str">
        <f>IF(ISERROR(MATCH(C235,SurveyDATA!BL:BL,0))=TRUE,"",MATCH(C235,SurveyDATA!BL:BL,0))</f>
        <v/>
      </c>
      <c r="F235" s="92" t="s">
        <v>6548</v>
      </c>
      <c r="G235" s="287" t="str">
        <f>IF(ISERROR(MATCH(F235,SurveyDATA!BN:BN,0))=TRUE,"",MATCH(F235,SurveyDATA!BN:BN,0))</f>
        <v/>
      </c>
      <c r="H235" s="287" t="str">
        <f>IF(ISERROR(MATCH(F235,#REF!,0))=TRUE,"",MATCH(F235,#REF!,0))</f>
        <v/>
      </c>
      <c r="I235" s="287" t="s">
        <v>7070</v>
      </c>
      <c r="J235" s="92" t="str">
        <f>IF(ISERROR(MATCH(I235,SurveyDATA!D:D,0))=TRUE,"",MATCH(I235,SurveyDATA!D:D,0))</f>
        <v/>
      </c>
    </row>
    <row r="236" spans="1:10">
      <c r="A236" s="92" t="s">
        <v>6549</v>
      </c>
      <c r="B236" s="92" t="str">
        <f>IF(ISERROR(MATCH(A236,SurveyDATA!P:P,0))=TRUE,"",MATCH(A236,SurveyDATA!P:P,0))</f>
        <v/>
      </c>
      <c r="C236" s="92" t="s">
        <v>6550</v>
      </c>
      <c r="D236" s="92" t="str">
        <f>IF(ISERROR(MATCH(C236,SurveyDATA!AI:AI,0))=TRUE,"",MATCH(C236,SurveyDATA!AI:AI,0))</f>
        <v/>
      </c>
      <c r="E236" s="287" t="str">
        <f>IF(ISERROR(MATCH(C236,SurveyDATA!BL:BL,0))=TRUE,"",MATCH(C236,SurveyDATA!BL:BL,0))</f>
        <v/>
      </c>
      <c r="F236" s="92" t="s">
        <v>6551</v>
      </c>
      <c r="G236" s="287" t="str">
        <f>IF(ISERROR(MATCH(F236,SurveyDATA!BN:BN,0))=TRUE,"",MATCH(F236,SurveyDATA!BN:BN,0))</f>
        <v/>
      </c>
      <c r="H236" s="287" t="str">
        <f>IF(ISERROR(MATCH(F236,#REF!,0))=TRUE,"",MATCH(F236,#REF!,0))</f>
        <v/>
      </c>
      <c r="I236" s="287" t="s">
        <v>7071</v>
      </c>
      <c r="J236" s="92" t="str">
        <f>IF(ISERROR(MATCH(I236,SurveyDATA!D:D,0))=TRUE,"",MATCH(I236,SurveyDATA!D:D,0))</f>
        <v/>
      </c>
    </row>
    <row r="237" spans="1:10">
      <c r="A237" s="92" t="s">
        <v>6552</v>
      </c>
      <c r="B237" s="92" t="str">
        <f>IF(ISERROR(MATCH(A237,SurveyDATA!P:P,0))=TRUE,"",MATCH(A237,SurveyDATA!P:P,0))</f>
        <v/>
      </c>
      <c r="C237" s="92" t="s">
        <v>6553</v>
      </c>
      <c r="D237" s="92" t="str">
        <f>IF(ISERROR(MATCH(C237,SurveyDATA!AI:AI,0))=TRUE,"",MATCH(C237,SurveyDATA!AI:AI,0))</f>
        <v/>
      </c>
      <c r="E237" s="287" t="str">
        <f>IF(ISERROR(MATCH(C237,SurveyDATA!BL:BL,0))=TRUE,"",MATCH(C237,SurveyDATA!BL:BL,0))</f>
        <v/>
      </c>
      <c r="F237" s="92" t="s">
        <v>6554</v>
      </c>
      <c r="G237" s="287" t="str">
        <f>IF(ISERROR(MATCH(F237,SurveyDATA!BN:BN,0))=TRUE,"",MATCH(F237,SurveyDATA!BN:BN,0))</f>
        <v/>
      </c>
      <c r="H237" s="287" t="str">
        <f>IF(ISERROR(MATCH(F237,#REF!,0))=TRUE,"",MATCH(F237,#REF!,0))</f>
        <v/>
      </c>
      <c r="I237" s="287" t="s">
        <v>7072</v>
      </c>
      <c r="J237" s="92" t="str">
        <f>IF(ISERROR(MATCH(I237,SurveyDATA!D:D,0))=TRUE,"",MATCH(I237,SurveyDATA!D:D,0))</f>
        <v/>
      </c>
    </row>
    <row r="238" spans="1:10">
      <c r="A238" s="92" t="s">
        <v>6555</v>
      </c>
      <c r="B238" s="92" t="str">
        <f>IF(ISERROR(MATCH(A238,SurveyDATA!P:P,0))=TRUE,"",MATCH(A238,SurveyDATA!P:P,0))</f>
        <v/>
      </c>
      <c r="C238" s="92" t="s">
        <v>6556</v>
      </c>
      <c r="D238" s="92" t="str">
        <f>IF(ISERROR(MATCH(C238,SurveyDATA!AI:AI,0))=TRUE,"",MATCH(C238,SurveyDATA!AI:AI,0))</f>
        <v/>
      </c>
      <c r="E238" s="287" t="str">
        <f>IF(ISERROR(MATCH(C238,SurveyDATA!BL:BL,0))=TRUE,"",MATCH(C238,SurveyDATA!BL:BL,0))</f>
        <v/>
      </c>
      <c r="F238" s="92" t="s">
        <v>6557</v>
      </c>
      <c r="G238" s="287" t="str">
        <f>IF(ISERROR(MATCH(F238,SurveyDATA!BN:BN,0))=TRUE,"",MATCH(F238,SurveyDATA!BN:BN,0))</f>
        <v/>
      </c>
      <c r="H238" s="287" t="str">
        <f>IF(ISERROR(MATCH(F238,#REF!,0))=TRUE,"",MATCH(F238,#REF!,0))</f>
        <v/>
      </c>
      <c r="I238" s="287" t="s">
        <v>7073</v>
      </c>
      <c r="J238" s="92" t="str">
        <f>IF(ISERROR(MATCH(I238,SurveyDATA!D:D,0))=TRUE,"",MATCH(I238,SurveyDATA!D:D,0))</f>
        <v/>
      </c>
    </row>
    <row r="239" spans="1:10">
      <c r="A239" s="92" t="s">
        <v>6558</v>
      </c>
      <c r="B239" s="92" t="str">
        <f>IF(ISERROR(MATCH(A239,SurveyDATA!P:P,0))=TRUE,"",MATCH(A239,SurveyDATA!P:P,0))</f>
        <v/>
      </c>
      <c r="C239" s="92" t="s">
        <v>6559</v>
      </c>
      <c r="D239" s="92" t="str">
        <f>IF(ISERROR(MATCH(C239,SurveyDATA!AI:AI,0))=TRUE,"",MATCH(C239,SurveyDATA!AI:AI,0))</f>
        <v/>
      </c>
      <c r="E239" s="287" t="str">
        <f>IF(ISERROR(MATCH(C239,SurveyDATA!BL:BL,0))=TRUE,"",MATCH(C239,SurveyDATA!BL:BL,0))</f>
        <v/>
      </c>
      <c r="F239" s="92" t="s">
        <v>6560</v>
      </c>
      <c r="G239" s="287" t="str">
        <f>IF(ISERROR(MATCH(F239,SurveyDATA!BN:BN,0))=TRUE,"",MATCH(F239,SurveyDATA!BN:BN,0))</f>
        <v/>
      </c>
      <c r="H239" s="287" t="str">
        <f>IF(ISERROR(MATCH(F239,#REF!,0))=TRUE,"",MATCH(F239,#REF!,0))</f>
        <v/>
      </c>
      <c r="I239" s="287" t="s">
        <v>7074</v>
      </c>
      <c r="J239" s="92" t="str">
        <f>IF(ISERROR(MATCH(I239,SurveyDATA!D:D,0))=TRUE,"",MATCH(I239,SurveyDATA!D:D,0))</f>
        <v/>
      </c>
    </row>
    <row r="240" spans="1:10">
      <c r="A240" s="92" t="s">
        <v>6561</v>
      </c>
      <c r="B240" s="92" t="str">
        <f>IF(ISERROR(MATCH(A240,SurveyDATA!P:P,0))=TRUE,"",MATCH(A240,SurveyDATA!P:P,0))</f>
        <v/>
      </c>
      <c r="C240" s="92" t="s">
        <v>6562</v>
      </c>
      <c r="D240" s="92" t="str">
        <f>IF(ISERROR(MATCH(C240,SurveyDATA!AI:AI,0))=TRUE,"",MATCH(C240,SurveyDATA!AI:AI,0))</f>
        <v/>
      </c>
      <c r="E240" s="287" t="str">
        <f>IF(ISERROR(MATCH(C240,SurveyDATA!BL:BL,0))=TRUE,"",MATCH(C240,SurveyDATA!BL:BL,0))</f>
        <v/>
      </c>
      <c r="F240" s="92" t="s">
        <v>6563</v>
      </c>
      <c r="G240" s="287" t="str">
        <f>IF(ISERROR(MATCH(F240,SurveyDATA!BN:BN,0))=TRUE,"",MATCH(F240,SurveyDATA!BN:BN,0))</f>
        <v/>
      </c>
      <c r="H240" s="287" t="str">
        <f>IF(ISERROR(MATCH(F240,#REF!,0))=TRUE,"",MATCH(F240,#REF!,0))</f>
        <v/>
      </c>
      <c r="I240" s="287" t="s">
        <v>7075</v>
      </c>
      <c r="J240" s="92" t="str">
        <f>IF(ISERROR(MATCH(I240,SurveyDATA!D:D,0))=TRUE,"",MATCH(I240,SurveyDATA!D:D,0))</f>
        <v/>
      </c>
    </row>
    <row r="241" spans="1:10">
      <c r="A241" s="92" t="s">
        <v>6564</v>
      </c>
      <c r="B241" s="92" t="str">
        <f>IF(ISERROR(MATCH(A241,SurveyDATA!P:P,0))=TRUE,"",MATCH(A241,SurveyDATA!P:P,0))</f>
        <v/>
      </c>
      <c r="C241" s="92" t="s">
        <v>6565</v>
      </c>
      <c r="D241" s="92" t="str">
        <f>IF(ISERROR(MATCH(C241,SurveyDATA!AI:AI,0))=TRUE,"",MATCH(C241,SurveyDATA!AI:AI,0))</f>
        <v/>
      </c>
      <c r="E241" s="287" t="str">
        <f>IF(ISERROR(MATCH(C241,SurveyDATA!BL:BL,0))=TRUE,"",MATCH(C241,SurveyDATA!BL:BL,0))</f>
        <v/>
      </c>
      <c r="F241" s="92" t="s">
        <v>6566</v>
      </c>
      <c r="G241" s="287" t="str">
        <f>IF(ISERROR(MATCH(F241,SurveyDATA!BN:BN,0))=TRUE,"",MATCH(F241,SurveyDATA!BN:BN,0))</f>
        <v/>
      </c>
      <c r="H241" s="287" t="str">
        <f>IF(ISERROR(MATCH(F241,#REF!,0))=TRUE,"",MATCH(F241,#REF!,0))</f>
        <v/>
      </c>
      <c r="I241" s="287" t="s">
        <v>7076</v>
      </c>
      <c r="J241" s="92" t="str">
        <f>IF(ISERROR(MATCH(I241,SurveyDATA!D:D,0))=TRUE,"",MATCH(I241,SurveyDATA!D:D,0))</f>
        <v/>
      </c>
    </row>
    <row r="242" spans="1:10">
      <c r="A242" s="92" t="s">
        <v>6567</v>
      </c>
      <c r="B242" s="92" t="str">
        <f>IF(ISERROR(MATCH(A242,SurveyDATA!P:P,0))=TRUE,"",MATCH(A242,SurveyDATA!P:P,0))</f>
        <v/>
      </c>
      <c r="C242" s="92" t="s">
        <v>6568</v>
      </c>
      <c r="D242" s="92" t="str">
        <f>IF(ISERROR(MATCH(C242,SurveyDATA!AI:AI,0))=TRUE,"",MATCH(C242,SurveyDATA!AI:AI,0))</f>
        <v/>
      </c>
      <c r="E242" s="287" t="str">
        <f>IF(ISERROR(MATCH(C242,SurveyDATA!BL:BL,0))=TRUE,"",MATCH(C242,SurveyDATA!BL:BL,0))</f>
        <v/>
      </c>
      <c r="F242" s="92" t="s">
        <v>6569</v>
      </c>
      <c r="G242" s="287" t="str">
        <f>IF(ISERROR(MATCH(F242,SurveyDATA!BN:BN,0))=TRUE,"",MATCH(F242,SurveyDATA!BN:BN,0))</f>
        <v/>
      </c>
      <c r="H242" s="287" t="str">
        <f>IF(ISERROR(MATCH(F242,#REF!,0))=TRUE,"",MATCH(F242,#REF!,0))</f>
        <v/>
      </c>
      <c r="I242" s="287" t="s">
        <v>7077</v>
      </c>
      <c r="J242" s="92" t="str">
        <f>IF(ISERROR(MATCH(I242,SurveyDATA!D:D,0))=TRUE,"",MATCH(I242,SurveyDATA!D:D,0))</f>
        <v/>
      </c>
    </row>
    <row r="243" spans="1:10">
      <c r="A243" s="92" t="s">
        <v>6570</v>
      </c>
      <c r="B243" s="92" t="str">
        <f>IF(ISERROR(MATCH(A243,SurveyDATA!P:P,0))=TRUE,"",MATCH(A243,SurveyDATA!P:P,0))</f>
        <v/>
      </c>
      <c r="C243" s="92" t="s">
        <v>6571</v>
      </c>
      <c r="D243" s="92" t="str">
        <f>IF(ISERROR(MATCH(C243,SurveyDATA!AI:AI,0))=TRUE,"",MATCH(C243,SurveyDATA!AI:AI,0))</f>
        <v/>
      </c>
      <c r="E243" s="287" t="str">
        <f>IF(ISERROR(MATCH(C243,SurveyDATA!BL:BL,0))=TRUE,"",MATCH(C243,SurveyDATA!BL:BL,0))</f>
        <v/>
      </c>
      <c r="F243" s="92" t="s">
        <v>6572</v>
      </c>
      <c r="G243" s="287" t="str">
        <f>IF(ISERROR(MATCH(F243,SurveyDATA!BN:BN,0))=TRUE,"",MATCH(F243,SurveyDATA!BN:BN,0))</f>
        <v/>
      </c>
      <c r="H243" s="287" t="str">
        <f>IF(ISERROR(MATCH(F243,#REF!,0))=TRUE,"",MATCH(F243,#REF!,0))</f>
        <v/>
      </c>
      <c r="I243" s="287" t="s">
        <v>7078</v>
      </c>
      <c r="J243" s="92" t="str">
        <f>IF(ISERROR(MATCH(I243,SurveyDATA!D:D,0))=TRUE,"",MATCH(I243,SurveyDATA!D:D,0))</f>
        <v/>
      </c>
    </row>
    <row r="244" spans="1:10">
      <c r="A244" s="92" t="s">
        <v>6573</v>
      </c>
      <c r="B244" s="92" t="str">
        <f>IF(ISERROR(MATCH(A244,SurveyDATA!P:P,0))=TRUE,"",MATCH(A244,SurveyDATA!P:P,0))</f>
        <v/>
      </c>
      <c r="C244" s="92" t="s">
        <v>6574</v>
      </c>
      <c r="D244" s="92" t="str">
        <f>IF(ISERROR(MATCH(C244,SurveyDATA!AI:AI,0))=TRUE,"",MATCH(C244,SurveyDATA!AI:AI,0))</f>
        <v/>
      </c>
      <c r="E244" s="287" t="str">
        <f>IF(ISERROR(MATCH(C244,SurveyDATA!BL:BL,0))=TRUE,"",MATCH(C244,SurveyDATA!BL:BL,0))</f>
        <v/>
      </c>
      <c r="F244" s="92" t="s">
        <v>6575</v>
      </c>
      <c r="G244" s="287" t="str">
        <f>IF(ISERROR(MATCH(F244,SurveyDATA!BN:BN,0))=TRUE,"",MATCH(F244,SurveyDATA!BN:BN,0))</f>
        <v/>
      </c>
      <c r="H244" s="287" t="str">
        <f>IF(ISERROR(MATCH(F244,#REF!,0))=TRUE,"",MATCH(F244,#REF!,0))</f>
        <v/>
      </c>
      <c r="I244" s="287" t="s">
        <v>7079</v>
      </c>
      <c r="J244" s="92" t="str">
        <f>IF(ISERROR(MATCH(I244,SurveyDATA!D:D,0))=TRUE,"",MATCH(I244,SurveyDATA!D:D,0))</f>
        <v/>
      </c>
    </row>
    <row r="245" spans="1:10">
      <c r="A245" s="92" t="s">
        <v>6576</v>
      </c>
      <c r="B245" s="92" t="str">
        <f>IF(ISERROR(MATCH(A245,SurveyDATA!P:P,0))=TRUE,"",MATCH(A245,SurveyDATA!P:P,0))</f>
        <v/>
      </c>
      <c r="C245" s="92" t="s">
        <v>6577</v>
      </c>
      <c r="D245" s="92" t="str">
        <f>IF(ISERROR(MATCH(C245,SurveyDATA!AI:AI,0))=TRUE,"",MATCH(C245,SurveyDATA!AI:AI,0))</f>
        <v/>
      </c>
      <c r="E245" s="287" t="str">
        <f>IF(ISERROR(MATCH(C245,SurveyDATA!BL:BL,0))=TRUE,"",MATCH(C245,SurveyDATA!BL:BL,0))</f>
        <v/>
      </c>
      <c r="F245" s="92" t="s">
        <v>6578</v>
      </c>
      <c r="G245" s="287" t="str">
        <f>IF(ISERROR(MATCH(F245,SurveyDATA!BN:BN,0))=TRUE,"",MATCH(F245,SurveyDATA!BN:BN,0))</f>
        <v/>
      </c>
      <c r="H245" s="287" t="str">
        <f>IF(ISERROR(MATCH(F245,#REF!,0))=TRUE,"",MATCH(F245,#REF!,0))</f>
        <v/>
      </c>
      <c r="I245" s="287" t="s">
        <v>5911</v>
      </c>
      <c r="J245" s="92" t="str">
        <f>IF(ISERROR(MATCH(I245,SurveyDATA!D:D,0))=TRUE,"",MATCH(I245,SurveyDATA!D:D,0))</f>
        <v/>
      </c>
    </row>
    <row r="246" spans="1:10">
      <c r="A246" s="92" t="s">
        <v>6579</v>
      </c>
      <c r="B246" s="92" t="str">
        <f>IF(ISERROR(MATCH(A246,SurveyDATA!P:P,0))=TRUE,"",MATCH(A246,SurveyDATA!P:P,0))</f>
        <v/>
      </c>
      <c r="C246" s="92" t="s">
        <v>6580</v>
      </c>
      <c r="D246" s="92" t="str">
        <f>IF(ISERROR(MATCH(C246,SurveyDATA!AI:AI,0))=TRUE,"",MATCH(C246,SurveyDATA!AI:AI,0))</f>
        <v/>
      </c>
      <c r="E246" s="287" t="str">
        <f>IF(ISERROR(MATCH(C246,SurveyDATA!BL:BL,0))=TRUE,"",MATCH(C246,SurveyDATA!BL:BL,0))</f>
        <v/>
      </c>
      <c r="F246" s="92" t="s">
        <v>6581</v>
      </c>
      <c r="G246" s="287" t="str">
        <f>IF(ISERROR(MATCH(F246,SurveyDATA!BN:BN,0))=TRUE,"",MATCH(F246,SurveyDATA!BN:BN,0))</f>
        <v/>
      </c>
      <c r="H246" s="287" t="str">
        <f>IF(ISERROR(MATCH(F246,#REF!,0))=TRUE,"",MATCH(F246,#REF!,0))</f>
        <v/>
      </c>
      <c r="I246" s="287" t="s">
        <v>5911</v>
      </c>
      <c r="J246" s="92" t="str">
        <f>IF(ISERROR(MATCH(I246,SurveyDATA!D:D,0))=TRUE,"",MATCH(I246,SurveyDATA!D:D,0))</f>
        <v/>
      </c>
    </row>
    <row r="247" spans="1:10">
      <c r="A247" s="92" t="s">
        <v>6582</v>
      </c>
      <c r="B247" s="92" t="str">
        <f>IF(ISERROR(MATCH(A247,SurveyDATA!P:P,0))=TRUE,"",MATCH(A247,SurveyDATA!P:P,0))</f>
        <v/>
      </c>
      <c r="C247" s="92" t="s">
        <v>6583</v>
      </c>
      <c r="D247" s="92" t="str">
        <f>IF(ISERROR(MATCH(C247,SurveyDATA!AI:AI,0))=TRUE,"",MATCH(C247,SurveyDATA!AI:AI,0))</f>
        <v/>
      </c>
      <c r="E247" s="287" t="str">
        <f>IF(ISERROR(MATCH(C247,SurveyDATA!BL:BL,0))=TRUE,"",MATCH(C247,SurveyDATA!BL:BL,0))</f>
        <v/>
      </c>
      <c r="F247" s="92" t="s">
        <v>6584</v>
      </c>
      <c r="G247" s="287" t="str">
        <f>IF(ISERROR(MATCH(F247,SurveyDATA!BN:BN,0))=TRUE,"",MATCH(F247,SurveyDATA!BN:BN,0))</f>
        <v/>
      </c>
      <c r="H247" s="287" t="str">
        <f>IF(ISERROR(MATCH(F247,#REF!,0))=TRUE,"",MATCH(F247,#REF!,0))</f>
        <v/>
      </c>
      <c r="I247" s="287" t="s">
        <v>7080</v>
      </c>
      <c r="J247" s="92" t="str">
        <f>IF(ISERROR(MATCH(I247,SurveyDATA!D:D,0))=TRUE,"",MATCH(I247,SurveyDATA!D:D,0))</f>
        <v/>
      </c>
    </row>
    <row r="248" spans="1:10">
      <c r="A248" s="92" t="s">
        <v>6318</v>
      </c>
      <c r="B248" s="92" t="str">
        <f>IF(ISERROR(MATCH(A248,SurveyDATA!P:P,0))=TRUE,"",MATCH(A248,SurveyDATA!P:P,0))</f>
        <v/>
      </c>
      <c r="C248" s="92" t="s">
        <v>6319</v>
      </c>
      <c r="D248" s="92" t="str">
        <f>IF(ISERROR(MATCH(C248,SurveyDATA!AI:AI,0))=TRUE,"",MATCH(C248,SurveyDATA!AI:AI,0))</f>
        <v/>
      </c>
      <c r="E248" s="287" t="str">
        <f>IF(ISERROR(MATCH(C248,SurveyDATA!BL:BL,0))=TRUE,"",MATCH(C248,SurveyDATA!BL:BL,0))</f>
        <v/>
      </c>
      <c r="F248" s="92" t="s">
        <v>6320</v>
      </c>
      <c r="G248" s="287" t="str">
        <f>IF(ISERROR(MATCH(F248,SurveyDATA!BN:BN,0))=TRUE,"",MATCH(F248,SurveyDATA!BN:BN,0))</f>
        <v/>
      </c>
      <c r="H248" s="287" t="str">
        <f>IF(ISERROR(MATCH(F248,#REF!,0))=TRUE,"",MATCH(F248,#REF!,0))</f>
        <v/>
      </c>
      <c r="I248" s="287" t="s">
        <v>7081</v>
      </c>
      <c r="J248" s="92" t="str">
        <f>IF(ISERROR(MATCH(I248,SurveyDATA!D:D,0))=TRUE,"",MATCH(I248,SurveyDATA!D:D,0))</f>
        <v/>
      </c>
    </row>
    <row r="249" spans="1:10">
      <c r="A249" s="92" t="s">
        <v>6585</v>
      </c>
      <c r="B249" s="92" t="str">
        <f>IF(ISERROR(MATCH(A249,SurveyDATA!P:P,0))=TRUE,"",MATCH(A249,SurveyDATA!P:P,0))</f>
        <v/>
      </c>
      <c r="C249" s="92" t="s">
        <v>6586</v>
      </c>
      <c r="D249" s="92" t="str">
        <f>IF(ISERROR(MATCH(C249,SurveyDATA!AI:AI,0))=TRUE,"",MATCH(C249,SurveyDATA!AI:AI,0))</f>
        <v/>
      </c>
      <c r="E249" s="287" t="str">
        <f>IF(ISERROR(MATCH(C249,SurveyDATA!BL:BL,0))=TRUE,"",MATCH(C249,SurveyDATA!BL:BL,0))</f>
        <v/>
      </c>
      <c r="F249" s="92" t="s">
        <v>6587</v>
      </c>
      <c r="G249" s="287" t="str">
        <f>IF(ISERROR(MATCH(F249,SurveyDATA!BN:BN,0))=TRUE,"",MATCH(F249,SurveyDATA!BN:BN,0))</f>
        <v/>
      </c>
      <c r="H249" s="287" t="str">
        <f>IF(ISERROR(MATCH(F249,#REF!,0))=TRUE,"",MATCH(F249,#REF!,0))</f>
        <v/>
      </c>
      <c r="I249" s="287" t="s">
        <v>7082</v>
      </c>
      <c r="J249" s="92" t="str">
        <f>IF(ISERROR(MATCH(I249,SurveyDATA!D:D,0))=TRUE,"",MATCH(I249,SurveyDATA!D:D,0))</f>
        <v/>
      </c>
    </row>
    <row r="250" spans="1:10">
      <c r="A250" s="92" t="s">
        <v>6588</v>
      </c>
      <c r="B250" s="92" t="str">
        <f>IF(ISERROR(MATCH(A250,SurveyDATA!P:P,0))=TRUE,"",MATCH(A250,SurveyDATA!P:P,0))</f>
        <v/>
      </c>
      <c r="C250" s="92" t="s">
        <v>6589</v>
      </c>
      <c r="D250" s="92" t="str">
        <f>IF(ISERROR(MATCH(C250,SurveyDATA!AI:AI,0))=TRUE,"",MATCH(C250,SurveyDATA!AI:AI,0))</f>
        <v/>
      </c>
      <c r="E250" s="287" t="str">
        <f>IF(ISERROR(MATCH(C250,SurveyDATA!BL:BL,0))=TRUE,"",MATCH(C250,SurveyDATA!BL:BL,0))</f>
        <v/>
      </c>
      <c r="F250" s="92" t="s">
        <v>6590</v>
      </c>
      <c r="G250" s="287" t="str">
        <f>IF(ISERROR(MATCH(F250,SurveyDATA!BN:BN,0))=TRUE,"",MATCH(F250,SurveyDATA!BN:BN,0))</f>
        <v/>
      </c>
      <c r="H250" s="287" t="str">
        <f>IF(ISERROR(MATCH(F250,#REF!,0))=TRUE,"",MATCH(F250,#REF!,0))</f>
        <v/>
      </c>
      <c r="I250" s="287" t="s">
        <v>7083</v>
      </c>
      <c r="J250" s="92" t="str">
        <f>IF(ISERROR(MATCH(I250,SurveyDATA!D:D,0))=TRUE,"",MATCH(I250,SurveyDATA!D:D,0))</f>
        <v/>
      </c>
    </row>
    <row r="251" spans="1:10">
      <c r="A251" s="92" t="s">
        <v>6591</v>
      </c>
      <c r="B251" s="92" t="str">
        <f>IF(ISERROR(MATCH(A251,SurveyDATA!P:P,0))=TRUE,"",MATCH(A251,SurveyDATA!P:P,0))</f>
        <v/>
      </c>
      <c r="C251" s="92" t="s">
        <v>6592</v>
      </c>
      <c r="D251" s="92" t="str">
        <f>IF(ISERROR(MATCH(C251,SurveyDATA!AI:AI,0))=TRUE,"",MATCH(C251,SurveyDATA!AI:AI,0))</f>
        <v/>
      </c>
      <c r="E251" s="287" t="str">
        <f>IF(ISERROR(MATCH(C251,SurveyDATA!BL:BL,0))=TRUE,"",MATCH(C251,SurveyDATA!BL:BL,0))</f>
        <v/>
      </c>
      <c r="F251" s="92" t="s">
        <v>6593</v>
      </c>
      <c r="G251" s="287" t="str">
        <f>IF(ISERROR(MATCH(F251,SurveyDATA!BN:BN,0))=TRUE,"",MATCH(F251,SurveyDATA!BN:BN,0))</f>
        <v/>
      </c>
      <c r="H251" s="287" t="str">
        <f>IF(ISERROR(MATCH(F251,#REF!,0))=TRUE,"",MATCH(F251,#REF!,0))</f>
        <v/>
      </c>
      <c r="I251" s="287" t="s">
        <v>7084</v>
      </c>
      <c r="J251" s="92" t="str">
        <f>IF(ISERROR(MATCH(I251,SurveyDATA!D:D,0))=TRUE,"",MATCH(I251,SurveyDATA!D:D,0))</f>
        <v/>
      </c>
    </row>
    <row r="252" spans="1:10">
      <c r="A252" s="92" t="s">
        <v>6594</v>
      </c>
      <c r="B252" s="92" t="str">
        <f>IF(ISERROR(MATCH(A252,SurveyDATA!P:P,0))=TRUE,"",MATCH(A252,SurveyDATA!P:P,0))</f>
        <v/>
      </c>
      <c r="C252" s="92" t="s">
        <v>6595</v>
      </c>
      <c r="D252" s="92" t="str">
        <f>IF(ISERROR(MATCH(C252,SurveyDATA!AI:AI,0))=TRUE,"",MATCH(C252,SurveyDATA!AI:AI,0))</f>
        <v/>
      </c>
      <c r="E252" s="287" t="str">
        <f>IF(ISERROR(MATCH(C252,SurveyDATA!BL:BL,0))=TRUE,"",MATCH(C252,SurveyDATA!BL:BL,0))</f>
        <v/>
      </c>
      <c r="F252" s="92" t="s">
        <v>6596</v>
      </c>
      <c r="G252" s="287" t="str">
        <f>IF(ISERROR(MATCH(F252,SurveyDATA!BN:BN,0))=TRUE,"",MATCH(F252,SurveyDATA!BN:BN,0))</f>
        <v/>
      </c>
      <c r="H252" s="287" t="str">
        <f>IF(ISERROR(MATCH(F252,#REF!,0))=TRUE,"",MATCH(F252,#REF!,0))</f>
        <v/>
      </c>
      <c r="I252" s="287" t="s">
        <v>5911</v>
      </c>
      <c r="J252" s="92" t="str">
        <f>IF(ISERROR(MATCH(I252,SurveyDATA!D:D,0))=TRUE,"",MATCH(I252,SurveyDATA!D:D,0))</f>
        <v/>
      </c>
    </row>
    <row r="253" spans="1:10">
      <c r="A253" s="92" t="s">
        <v>6597</v>
      </c>
      <c r="B253" s="92" t="str">
        <f>IF(ISERROR(MATCH(A253,SurveyDATA!P:P,0))=TRUE,"",MATCH(A253,SurveyDATA!P:P,0))</f>
        <v/>
      </c>
      <c r="C253" s="92" t="s">
        <v>6598</v>
      </c>
      <c r="D253" s="92" t="str">
        <f>IF(ISERROR(MATCH(C253,SurveyDATA!AI:AI,0))=TRUE,"",MATCH(C253,SurveyDATA!AI:AI,0))</f>
        <v/>
      </c>
      <c r="E253" s="287" t="str">
        <f>IF(ISERROR(MATCH(C253,SurveyDATA!BL:BL,0))=TRUE,"",MATCH(C253,SurveyDATA!BL:BL,0))</f>
        <v/>
      </c>
      <c r="F253" s="92" t="s">
        <v>6599</v>
      </c>
      <c r="G253" s="287" t="str">
        <f>IF(ISERROR(MATCH(F253,SurveyDATA!BN:BN,0))=TRUE,"",MATCH(F253,SurveyDATA!BN:BN,0))</f>
        <v/>
      </c>
      <c r="H253" s="287" t="str">
        <f>IF(ISERROR(MATCH(F253,#REF!,0))=TRUE,"",MATCH(F253,#REF!,0))</f>
        <v/>
      </c>
      <c r="I253" s="287" t="s">
        <v>7085</v>
      </c>
      <c r="J253" s="92" t="str">
        <f>IF(ISERROR(MATCH(I253,SurveyDATA!D:D,0))=TRUE,"",MATCH(I253,SurveyDATA!D:D,0))</f>
        <v/>
      </c>
    </row>
    <row r="254" spans="1:10">
      <c r="A254" s="92" t="s">
        <v>6600</v>
      </c>
      <c r="B254" s="92" t="str">
        <f>IF(ISERROR(MATCH(A254,SurveyDATA!P:P,0))=TRUE,"",MATCH(A254,SurveyDATA!P:P,0))</f>
        <v/>
      </c>
      <c r="C254" s="92" t="s">
        <v>6601</v>
      </c>
      <c r="D254" s="92" t="str">
        <f>IF(ISERROR(MATCH(C254,SurveyDATA!AI:AI,0))=TRUE,"",MATCH(C254,SurveyDATA!AI:AI,0))</f>
        <v/>
      </c>
      <c r="E254" s="287" t="str">
        <f>IF(ISERROR(MATCH(C254,SurveyDATA!BL:BL,0))=TRUE,"",MATCH(C254,SurveyDATA!BL:BL,0))</f>
        <v/>
      </c>
      <c r="F254" s="92" t="s">
        <v>6602</v>
      </c>
      <c r="G254" s="287" t="str">
        <f>IF(ISERROR(MATCH(F254,SurveyDATA!BN:BN,0))=TRUE,"",MATCH(F254,SurveyDATA!BN:BN,0))</f>
        <v/>
      </c>
      <c r="H254" s="287" t="str">
        <f>IF(ISERROR(MATCH(F254,#REF!,0))=TRUE,"",MATCH(F254,#REF!,0))</f>
        <v/>
      </c>
      <c r="I254" s="287" t="s">
        <v>5911</v>
      </c>
      <c r="J254" s="92" t="str">
        <f>IF(ISERROR(MATCH(I254,SurveyDATA!D:D,0))=TRUE,"",MATCH(I254,SurveyDATA!D:D,0))</f>
        <v/>
      </c>
    </row>
    <row r="255" spans="1:10">
      <c r="A255" s="92" t="s">
        <v>6603</v>
      </c>
      <c r="B255" s="92" t="str">
        <f>IF(ISERROR(MATCH(A255,SurveyDATA!P:P,0))=TRUE,"",MATCH(A255,SurveyDATA!P:P,0))</f>
        <v/>
      </c>
      <c r="C255" s="92" t="s">
        <v>6604</v>
      </c>
      <c r="D255" s="92" t="str">
        <f>IF(ISERROR(MATCH(C255,SurveyDATA!AI:AI,0))=TRUE,"",MATCH(C255,SurveyDATA!AI:AI,0))</f>
        <v/>
      </c>
      <c r="E255" s="287" t="str">
        <f>IF(ISERROR(MATCH(C255,SurveyDATA!BL:BL,0))=TRUE,"",MATCH(C255,SurveyDATA!BL:BL,0))</f>
        <v/>
      </c>
      <c r="F255" s="92" t="s">
        <v>6605</v>
      </c>
      <c r="G255" s="287" t="str">
        <f>IF(ISERROR(MATCH(F255,SurveyDATA!BN:BN,0))=TRUE,"",MATCH(F255,SurveyDATA!BN:BN,0))</f>
        <v/>
      </c>
      <c r="H255" s="287" t="str">
        <f>IF(ISERROR(MATCH(F255,#REF!,0))=TRUE,"",MATCH(F255,#REF!,0))</f>
        <v/>
      </c>
      <c r="I255" s="287" t="s">
        <v>7086</v>
      </c>
      <c r="J255" s="92" t="str">
        <f>IF(ISERROR(MATCH(I255,SurveyDATA!D:D,0))=TRUE,"",MATCH(I255,SurveyDATA!D:D,0))</f>
        <v/>
      </c>
    </row>
    <row r="256" spans="1:10">
      <c r="A256" s="92" t="s">
        <v>6606</v>
      </c>
      <c r="B256" s="92" t="str">
        <f>IF(ISERROR(MATCH(A256,SurveyDATA!P:P,0))=TRUE,"",MATCH(A256,SurveyDATA!P:P,0))</f>
        <v/>
      </c>
      <c r="C256" s="92" t="s">
        <v>6607</v>
      </c>
      <c r="D256" s="92" t="str">
        <f>IF(ISERROR(MATCH(C256,SurveyDATA!AI:AI,0))=TRUE,"",MATCH(C256,SurveyDATA!AI:AI,0))</f>
        <v/>
      </c>
      <c r="E256" s="287" t="str">
        <f>IF(ISERROR(MATCH(C256,SurveyDATA!BL:BL,0))=TRUE,"",MATCH(C256,SurveyDATA!BL:BL,0))</f>
        <v/>
      </c>
      <c r="F256" s="92" t="s">
        <v>6608</v>
      </c>
      <c r="G256" s="287" t="str">
        <f>IF(ISERROR(MATCH(F256,SurveyDATA!BN:BN,0))=TRUE,"",MATCH(F256,SurveyDATA!BN:BN,0))</f>
        <v/>
      </c>
      <c r="H256" s="287" t="str">
        <f>IF(ISERROR(MATCH(F256,#REF!,0))=TRUE,"",MATCH(F256,#REF!,0))</f>
        <v/>
      </c>
      <c r="I256" s="287" t="s">
        <v>7087</v>
      </c>
      <c r="J256" s="92" t="str">
        <f>IF(ISERROR(MATCH(I256,SurveyDATA!D:D,0))=TRUE,"",MATCH(I256,SurveyDATA!D:D,0))</f>
        <v/>
      </c>
    </row>
    <row r="257" spans="1:10">
      <c r="A257" s="92" t="s">
        <v>6609</v>
      </c>
      <c r="B257" s="92" t="str">
        <f>IF(ISERROR(MATCH(A257,SurveyDATA!P:P,0))=TRUE,"",MATCH(A257,SurveyDATA!P:P,0))</f>
        <v/>
      </c>
      <c r="C257" s="92" t="s">
        <v>6610</v>
      </c>
      <c r="D257" s="92" t="str">
        <f>IF(ISERROR(MATCH(C257,SurveyDATA!AI:AI,0))=TRUE,"",MATCH(C257,SurveyDATA!AI:AI,0))</f>
        <v/>
      </c>
      <c r="E257" s="287" t="str">
        <f>IF(ISERROR(MATCH(C257,SurveyDATA!BL:BL,0))=TRUE,"",MATCH(C257,SurveyDATA!BL:BL,0))</f>
        <v/>
      </c>
      <c r="F257" s="92" t="s">
        <v>6611</v>
      </c>
      <c r="G257" s="287" t="str">
        <f>IF(ISERROR(MATCH(F257,SurveyDATA!BN:BN,0))=TRUE,"",MATCH(F257,SurveyDATA!BN:BN,0))</f>
        <v/>
      </c>
      <c r="H257" s="287" t="str">
        <f>IF(ISERROR(MATCH(F257,#REF!,0))=TRUE,"",MATCH(F257,#REF!,0))</f>
        <v/>
      </c>
      <c r="I257" s="287" t="s">
        <v>7088</v>
      </c>
      <c r="J257" s="92" t="str">
        <f>IF(ISERROR(MATCH(I257,SurveyDATA!D:D,0))=TRUE,"",MATCH(I257,SurveyDATA!D:D,0))</f>
        <v/>
      </c>
    </row>
    <row r="258" spans="1:10">
      <c r="A258" s="92" t="s">
        <v>6612</v>
      </c>
      <c r="B258" s="92" t="str">
        <f>IF(ISERROR(MATCH(A258,SurveyDATA!P:P,0))=TRUE,"",MATCH(A258,SurveyDATA!P:P,0))</f>
        <v/>
      </c>
      <c r="C258" s="92" t="s">
        <v>6613</v>
      </c>
      <c r="D258" s="92" t="str">
        <f>IF(ISERROR(MATCH(C258,SurveyDATA!AI:AI,0))=TRUE,"",MATCH(C258,SurveyDATA!AI:AI,0))</f>
        <v/>
      </c>
      <c r="E258" s="287" t="str">
        <f>IF(ISERROR(MATCH(C258,SurveyDATA!BL:BL,0))=TRUE,"",MATCH(C258,SurveyDATA!BL:BL,0))</f>
        <v/>
      </c>
      <c r="F258" s="92" t="s">
        <v>6614</v>
      </c>
      <c r="G258" s="287" t="str">
        <f>IF(ISERROR(MATCH(F258,SurveyDATA!BN:BN,0))=TRUE,"",MATCH(F258,SurveyDATA!BN:BN,0))</f>
        <v/>
      </c>
      <c r="H258" s="287" t="str">
        <f>IF(ISERROR(MATCH(F258,#REF!,0))=TRUE,"",MATCH(F258,#REF!,0))</f>
        <v/>
      </c>
      <c r="I258" s="287" t="s">
        <v>5911</v>
      </c>
      <c r="J258" s="92" t="str">
        <f>IF(ISERROR(MATCH(I258,SurveyDATA!D:D,0))=TRUE,"",MATCH(I258,SurveyDATA!D:D,0))</f>
        <v/>
      </c>
    </row>
    <row r="259" spans="1:10">
      <c r="A259" s="92" t="s">
        <v>6615</v>
      </c>
      <c r="B259" s="92" t="str">
        <f>IF(ISERROR(MATCH(A259,SurveyDATA!P:P,0))=TRUE,"",MATCH(A259,SurveyDATA!P:P,0))</f>
        <v/>
      </c>
      <c r="C259" s="92" t="s">
        <v>6616</v>
      </c>
      <c r="D259" s="92" t="str">
        <f>IF(ISERROR(MATCH(C259,SurveyDATA!AI:AI,0))=TRUE,"",MATCH(C259,SurveyDATA!AI:AI,0))</f>
        <v/>
      </c>
      <c r="E259" s="287" t="str">
        <f>IF(ISERROR(MATCH(C259,SurveyDATA!BL:BL,0))=TRUE,"",MATCH(C259,SurveyDATA!BL:BL,0))</f>
        <v/>
      </c>
      <c r="F259" s="92" t="s">
        <v>6617</v>
      </c>
      <c r="G259" s="287" t="str">
        <f>IF(ISERROR(MATCH(F259,SurveyDATA!BN:BN,0))=TRUE,"",MATCH(F259,SurveyDATA!BN:BN,0))</f>
        <v/>
      </c>
      <c r="H259" s="287" t="str">
        <f>IF(ISERROR(MATCH(F259,#REF!,0))=TRUE,"",MATCH(F259,#REF!,0))</f>
        <v/>
      </c>
      <c r="I259" s="287" t="s">
        <v>7089</v>
      </c>
      <c r="J259" s="92" t="str">
        <f>IF(ISERROR(MATCH(I259,SurveyDATA!D:D,0))=TRUE,"",MATCH(I259,SurveyDATA!D:D,0))</f>
        <v/>
      </c>
    </row>
    <row r="260" spans="1:10">
      <c r="A260" s="92" t="s">
        <v>6618</v>
      </c>
      <c r="B260" s="92" t="str">
        <f>IF(ISERROR(MATCH(A260,SurveyDATA!P:P,0))=TRUE,"",MATCH(A260,SurveyDATA!P:P,0))</f>
        <v/>
      </c>
      <c r="C260" s="92" t="s">
        <v>6619</v>
      </c>
      <c r="D260" s="92" t="str">
        <f>IF(ISERROR(MATCH(C260,SurveyDATA!AI:AI,0))=TRUE,"",MATCH(C260,SurveyDATA!AI:AI,0))</f>
        <v/>
      </c>
      <c r="E260" s="287" t="str">
        <f>IF(ISERROR(MATCH(C260,SurveyDATA!BL:BL,0))=TRUE,"",MATCH(C260,SurveyDATA!BL:BL,0))</f>
        <v/>
      </c>
      <c r="F260" s="92" t="s">
        <v>6620</v>
      </c>
      <c r="G260" s="287" t="str">
        <f>IF(ISERROR(MATCH(F260,SurveyDATA!BN:BN,0))=TRUE,"",MATCH(F260,SurveyDATA!BN:BN,0))</f>
        <v/>
      </c>
      <c r="H260" s="287" t="str">
        <f>IF(ISERROR(MATCH(F260,#REF!,0))=TRUE,"",MATCH(F260,#REF!,0))</f>
        <v/>
      </c>
      <c r="I260" s="287" t="s">
        <v>7090</v>
      </c>
      <c r="J260" s="92" t="str">
        <f>IF(ISERROR(MATCH(I260,SurveyDATA!D:D,0))=TRUE,"",MATCH(I260,SurveyDATA!D:D,0))</f>
        <v/>
      </c>
    </row>
    <row r="261" spans="1:10">
      <c r="A261" s="92" t="s">
        <v>6621</v>
      </c>
      <c r="B261" s="92" t="str">
        <f>IF(ISERROR(MATCH(A261,SurveyDATA!P:P,0))=TRUE,"",MATCH(A261,SurveyDATA!P:P,0))</f>
        <v/>
      </c>
      <c r="C261" s="92" t="s">
        <v>6622</v>
      </c>
      <c r="D261" s="92" t="str">
        <f>IF(ISERROR(MATCH(C261,SurveyDATA!AI:AI,0))=TRUE,"",MATCH(C261,SurveyDATA!AI:AI,0))</f>
        <v/>
      </c>
      <c r="E261" s="287" t="str">
        <f>IF(ISERROR(MATCH(C261,SurveyDATA!BL:BL,0))=TRUE,"",MATCH(C261,SurveyDATA!BL:BL,0))</f>
        <v/>
      </c>
      <c r="F261" s="92" t="s">
        <v>6623</v>
      </c>
      <c r="G261" s="287" t="str">
        <f>IF(ISERROR(MATCH(F261,SurveyDATA!BN:BN,0))=TRUE,"",MATCH(F261,SurveyDATA!BN:BN,0))</f>
        <v/>
      </c>
      <c r="H261" s="287" t="str">
        <f>IF(ISERROR(MATCH(F261,#REF!,0))=TRUE,"",MATCH(F261,#REF!,0))</f>
        <v/>
      </c>
      <c r="I261" s="287" t="s">
        <v>7091</v>
      </c>
      <c r="J261" s="92" t="str">
        <f>IF(ISERROR(MATCH(I261,SurveyDATA!D:D,0))=TRUE,"",MATCH(I261,SurveyDATA!D:D,0))</f>
        <v/>
      </c>
    </row>
    <row r="262" spans="1:10">
      <c r="A262" s="92" t="s">
        <v>6624</v>
      </c>
      <c r="B262" s="92" t="str">
        <f>IF(ISERROR(MATCH(A262,SurveyDATA!P:P,0))=TRUE,"",MATCH(A262,SurveyDATA!P:P,0))</f>
        <v/>
      </c>
      <c r="C262" s="92" t="s">
        <v>6625</v>
      </c>
      <c r="D262" s="92" t="str">
        <f>IF(ISERROR(MATCH(C262,SurveyDATA!AI:AI,0))=TRUE,"",MATCH(C262,SurveyDATA!AI:AI,0))</f>
        <v/>
      </c>
      <c r="E262" s="287" t="str">
        <f>IF(ISERROR(MATCH(C262,SurveyDATA!BL:BL,0))=TRUE,"",MATCH(C262,SurveyDATA!BL:BL,0))</f>
        <v/>
      </c>
      <c r="F262" s="92" t="s">
        <v>6626</v>
      </c>
      <c r="G262" s="287" t="str">
        <f>IF(ISERROR(MATCH(F262,SurveyDATA!BN:BN,0))=TRUE,"",MATCH(F262,SurveyDATA!BN:BN,0))</f>
        <v/>
      </c>
      <c r="H262" s="287" t="str">
        <f>IF(ISERROR(MATCH(F262,#REF!,0))=TRUE,"",MATCH(F262,#REF!,0))</f>
        <v/>
      </c>
      <c r="I262" s="287" t="s">
        <v>5911</v>
      </c>
      <c r="J262" s="92" t="str">
        <f>IF(ISERROR(MATCH(I262,SurveyDATA!D:D,0))=TRUE,"",MATCH(I262,SurveyDATA!D:D,0))</f>
        <v/>
      </c>
    </row>
    <row r="263" spans="1:10">
      <c r="A263" s="92" t="s">
        <v>6627</v>
      </c>
      <c r="B263" s="92" t="str">
        <f>IF(ISERROR(MATCH(A263,SurveyDATA!P:P,0))=TRUE,"",MATCH(A263,SurveyDATA!P:P,0))</f>
        <v/>
      </c>
      <c r="C263" s="92" t="s">
        <v>6628</v>
      </c>
      <c r="D263" s="92" t="str">
        <f>IF(ISERROR(MATCH(C263,SurveyDATA!AI:AI,0))=TRUE,"",MATCH(C263,SurveyDATA!AI:AI,0))</f>
        <v/>
      </c>
      <c r="E263" s="287" t="str">
        <f>IF(ISERROR(MATCH(C263,SurveyDATA!BL:BL,0))=TRUE,"",MATCH(C263,SurveyDATA!BL:BL,0))</f>
        <v/>
      </c>
      <c r="F263" s="92" t="s">
        <v>6629</v>
      </c>
      <c r="G263" s="287" t="str">
        <f>IF(ISERROR(MATCH(F263,SurveyDATA!BN:BN,0))=TRUE,"",MATCH(F263,SurveyDATA!BN:BN,0))</f>
        <v/>
      </c>
      <c r="H263" s="287" t="str">
        <f>IF(ISERROR(MATCH(F263,#REF!,0))=TRUE,"",MATCH(F263,#REF!,0))</f>
        <v/>
      </c>
      <c r="I263" s="287" t="s">
        <v>7092</v>
      </c>
      <c r="J263" s="92" t="str">
        <f>IF(ISERROR(MATCH(I263,SurveyDATA!D:D,0))=TRUE,"",MATCH(I263,SurveyDATA!D:D,0))</f>
        <v/>
      </c>
    </row>
    <row r="264" spans="1:10">
      <c r="A264" s="92" t="s">
        <v>6630</v>
      </c>
      <c r="B264" s="92" t="str">
        <f>IF(ISERROR(MATCH(A264,SurveyDATA!P:P,0))=TRUE,"",MATCH(A264,SurveyDATA!P:P,0))</f>
        <v/>
      </c>
      <c r="C264" s="92" t="s">
        <v>6631</v>
      </c>
      <c r="D264" s="92" t="str">
        <f>IF(ISERROR(MATCH(C264,SurveyDATA!AI:AI,0))=TRUE,"",MATCH(C264,SurveyDATA!AI:AI,0))</f>
        <v/>
      </c>
      <c r="E264" s="287" t="str">
        <f>IF(ISERROR(MATCH(C264,SurveyDATA!BL:BL,0))=TRUE,"",MATCH(C264,SurveyDATA!BL:BL,0))</f>
        <v/>
      </c>
      <c r="F264" s="92" t="s">
        <v>6632</v>
      </c>
      <c r="G264" s="287" t="str">
        <f>IF(ISERROR(MATCH(F264,SurveyDATA!BN:BN,0))=TRUE,"",MATCH(F264,SurveyDATA!BN:BN,0))</f>
        <v/>
      </c>
      <c r="H264" s="287" t="str">
        <f>IF(ISERROR(MATCH(F264,#REF!,0))=TRUE,"",MATCH(F264,#REF!,0))</f>
        <v/>
      </c>
      <c r="I264" s="287" t="s">
        <v>7093</v>
      </c>
      <c r="J264" s="92" t="str">
        <f>IF(ISERROR(MATCH(I264,SurveyDATA!D:D,0))=TRUE,"",MATCH(I264,SurveyDATA!D:D,0))</f>
        <v/>
      </c>
    </row>
    <row r="265" spans="1:10">
      <c r="A265" s="92" t="s">
        <v>6633</v>
      </c>
      <c r="B265" s="92" t="str">
        <f>IF(ISERROR(MATCH(A265,SurveyDATA!P:P,0))=TRUE,"",MATCH(A265,SurveyDATA!P:P,0))</f>
        <v/>
      </c>
      <c r="C265" s="92" t="s">
        <v>6634</v>
      </c>
      <c r="D265" s="92" t="str">
        <f>IF(ISERROR(MATCH(C265,SurveyDATA!AI:AI,0))=TRUE,"",MATCH(C265,SurveyDATA!AI:AI,0))</f>
        <v/>
      </c>
      <c r="E265" s="287" t="str">
        <f>IF(ISERROR(MATCH(C265,SurveyDATA!BL:BL,0))=TRUE,"",MATCH(C265,SurveyDATA!BL:BL,0))</f>
        <v/>
      </c>
      <c r="F265" s="92" t="s">
        <v>6635</v>
      </c>
      <c r="G265" s="287" t="str">
        <f>IF(ISERROR(MATCH(F265,SurveyDATA!BN:BN,0))=TRUE,"",MATCH(F265,SurveyDATA!BN:BN,0))</f>
        <v/>
      </c>
      <c r="H265" s="287" t="str">
        <f>IF(ISERROR(MATCH(F265,#REF!,0))=TRUE,"",MATCH(F265,#REF!,0))</f>
        <v/>
      </c>
      <c r="I265" s="287" t="s">
        <v>7094</v>
      </c>
      <c r="J265" s="92" t="str">
        <f>IF(ISERROR(MATCH(I265,SurveyDATA!D:D,0))=TRUE,"",MATCH(I265,SurveyDATA!D:D,0))</f>
        <v/>
      </c>
    </row>
    <row r="266" spans="1:10">
      <c r="A266" s="92" t="s">
        <v>6636</v>
      </c>
      <c r="B266" s="92" t="str">
        <f>IF(ISERROR(MATCH(A266,SurveyDATA!P:P,0))=TRUE,"",MATCH(A266,SurveyDATA!P:P,0))</f>
        <v/>
      </c>
      <c r="C266" s="92" t="s">
        <v>6637</v>
      </c>
      <c r="D266" s="92" t="str">
        <f>IF(ISERROR(MATCH(C266,SurveyDATA!AI:AI,0))=TRUE,"",MATCH(C266,SurveyDATA!AI:AI,0))</f>
        <v/>
      </c>
      <c r="E266" s="287" t="str">
        <f>IF(ISERROR(MATCH(C266,SurveyDATA!BL:BL,0))=TRUE,"",MATCH(C266,SurveyDATA!BL:BL,0))</f>
        <v/>
      </c>
      <c r="F266" s="92" t="s">
        <v>6638</v>
      </c>
      <c r="G266" s="287" t="str">
        <f>IF(ISERROR(MATCH(F266,SurveyDATA!BN:BN,0))=TRUE,"",MATCH(F266,SurveyDATA!BN:BN,0))</f>
        <v/>
      </c>
      <c r="H266" s="287" t="str">
        <f>IF(ISERROR(MATCH(F266,#REF!,0))=TRUE,"",MATCH(F266,#REF!,0))</f>
        <v/>
      </c>
      <c r="I266" s="287" t="s">
        <v>7095</v>
      </c>
      <c r="J266" s="92" t="str">
        <f>IF(ISERROR(MATCH(I266,SurveyDATA!D:D,0))=TRUE,"",MATCH(I266,SurveyDATA!D:D,0))</f>
        <v/>
      </c>
    </row>
    <row r="267" spans="1:10">
      <c r="A267" s="92" t="s">
        <v>6639</v>
      </c>
      <c r="B267" s="92" t="str">
        <f>IF(ISERROR(MATCH(A267,SurveyDATA!P:P,0))=TRUE,"",MATCH(A267,SurveyDATA!P:P,0))</f>
        <v/>
      </c>
      <c r="C267" s="92" t="s">
        <v>6640</v>
      </c>
      <c r="D267" s="92" t="str">
        <f>IF(ISERROR(MATCH(C267,SurveyDATA!AI:AI,0))=TRUE,"",MATCH(C267,SurveyDATA!AI:AI,0))</f>
        <v/>
      </c>
      <c r="E267" s="287" t="str">
        <f>IF(ISERROR(MATCH(C267,SurveyDATA!BL:BL,0))=TRUE,"",MATCH(C267,SurveyDATA!BL:BL,0))</f>
        <v/>
      </c>
      <c r="F267" s="92" t="s">
        <v>6641</v>
      </c>
      <c r="G267" s="287" t="str">
        <f>IF(ISERROR(MATCH(F267,SurveyDATA!BN:BN,0))=TRUE,"",MATCH(F267,SurveyDATA!BN:BN,0))</f>
        <v/>
      </c>
      <c r="H267" s="287" t="str">
        <f>IF(ISERROR(MATCH(F267,#REF!,0))=TRUE,"",MATCH(F267,#REF!,0))</f>
        <v/>
      </c>
      <c r="I267" s="287" t="s">
        <v>7096</v>
      </c>
      <c r="J267" s="92" t="str">
        <f>IF(ISERROR(MATCH(I267,SurveyDATA!D:D,0))=TRUE,"",MATCH(I267,SurveyDATA!D:D,0))</f>
        <v/>
      </c>
    </row>
    <row r="268" spans="1:10">
      <c r="A268" s="92" t="s">
        <v>6642</v>
      </c>
      <c r="B268" s="92" t="str">
        <f>IF(ISERROR(MATCH(A268,SurveyDATA!P:P,0))=TRUE,"",MATCH(A268,SurveyDATA!P:P,0))</f>
        <v/>
      </c>
      <c r="C268" s="92" t="s">
        <v>6643</v>
      </c>
      <c r="D268" s="92" t="str">
        <f>IF(ISERROR(MATCH(C268,SurveyDATA!AI:AI,0))=TRUE,"",MATCH(C268,SurveyDATA!AI:AI,0))</f>
        <v/>
      </c>
      <c r="E268" s="287" t="str">
        <f>IF(ISERROR(MATCH(C268,SurveyDATA!BL:BL,0))=TRUE,"",MATCH(C268,SurveyDATA!BL:BL,0))</f>
        <v/>
      </c>
      <c r="F268" s="92" t="s">
        <v>6644</v>
      </c>
      <c r="G268" s="287" t="str">
        <f>IF(ISERROR(MATCH(F268,SurveyDATA!BN:BN,0))=TRUE,"",MATCH(F268,SurveyDATA!BN:BN,0))</f>
        <v/>
      </c>
      <c r="H268" s="287" t="str">
        <f>IF(ISERROR(MATCH(F268,#REF!,0))=TRUE,"",MATCH(F268,#REF!,0))</f>
        <v/>
      </c>
      <c r="I268" s="287" t="s">
        <v>7097</v>
      </c>
      <c r="J268" s="92" t="str">
        <f>IF(ISERROR(MATCH(I268,SurveyDATA!D:D,0))=TRUE,"",MATCH(I268,SurveyDATA!D:D,0))</f>
        <v/>
      </c>
    </row>
    <row r="269" spans="1:10">
      <c r="A269" s="92" t="s">
        <v>6645</v>
      </c>
      <c r="B269" s="92" t="str">
        <f>IF(ISERROR(MATCH(A269,SurveyDATA!P:P,0))=TRUE,"",MATCH(A269,SurveyDATA!P:P,0))</f>
        <v/>
      </c>
      <c r="C269" s="92" t="s">
        <v>6646</v>
      </c>
      <c r="D269" s="92" t="str">
        <f>IF(ISERROR(MATCH(C269,SurveyDATA!AI:AI,0))=TRUE,"",MATCH(C269,SurveyDATA!AI:AI,0))</f>
        <v/>
      </c>
      <c r="E269" s="287" t="str">
        <f>IF(ISERROR(MATCH(C269,SurveyDATA!BL:BL,0))=TRUE,"",MATCH(C269,SurveyDATA!BL:BL,0))</f>
        <v/>
      </c>
      <c r="F269" s="92" t="s">
        <v>6647</v>
      </c>
      <c r="G269" s="287" t="str">
        <f>IF(ISERROR(MATCH(F269,SurveyDATA!BN:BN,0))=TRUE,"",MATCH(F269,SurveyDATA!BN:BN,0))</f>
        <v/>
      </c>
      <c r="H269" s="287" t="str">
        <f>IF(ISERROR(MATCH(F269,#REF!,0))=TRUE,"",MATCH(F269,#REF!,0))</f>
        <v/>
      </c>
      <c r="I269" s="287" t="s">
        <v>5911</v>
      </c>
      <c r="J269" s="92" t="str">
        <f>IF(ISERROR(MATCH(I269,SurveyDATA!D:D,0))=TRUE,"",MATCH(I269,SurveyDATA!D:D,0))</f>
        <v/>
      </c>
    </row>
    <row r="270" spans="1:10">
      <c r="A270" s="92" t="s">
        <v>6648</v>
      </c>
      <c r="B270" s="92" t="str">
        <f>IF(ISERROR(MATCH(A270,SurveyDATA!P:P,0))=TRUE,"",MATCH(A270,SurveyDATA!P:P,0))</f>
        <v/>
      </c>
      <c r="C270" s="92" t="s">
        <v>6649</v>
      </c>
      <c r="D270" s="92" t="str">
        <f>IF(ISERROR(MATCH(C270,SurveyDATA!AI:AI,0))=TRUE,"",MATCH(C270,SurveyDATA!AI:AI,0))</f>
        <v/>
      </c>
      <c r="E270" s="287" t="str">
        <f>IF(ISERROR(MATCH(C270,SurveyDATA!BL:BL,0))=TRUE,"",MATCH(C270,SurveyDATA!BL:BL,0))</f>
        <v/>
      </c>
      <c r="F270" s="92" t="s">
        <v>6650</v>
      </c>
      <c r="G270" s="287" t="str">
        <f>IF(ISERROR(MATCH(F270,SurveyDATA!BN:BN,0))=TRUE,"",MATCH(F270,SurveyDATA!BN:BN,0))</f>
        <v/>
      </c>
      <c r="H270" s="287" t="str">
        <f>IF(ISERROR(MATCH(F270,#REF!,0))=TRUE,"",MATCH(F270,#REF!,0))</f>
        <v/>
      </c>
      <c r="I270" s="287" t="s">
        <v>5911</v>
      </c>
      <c r="J270" s="92" t="str">
        <f>IF(ISERROR(MATCH(I270,SurveyDATA!D:D,0))=TRUE,"",MATCH(I270,SurveyDATA!D:D,0))</f>
        <v/>
      </c>
    </row>
    <row r="271" spans="1:10">
      <c r="A271" s="92" t="s">
        <v>6651</v>
      </c>
      <c r="B271" s="92" t="str">
        <f>IF(ISERROR(MATCH(A271,SurveyDATA!P:P,0))=TRUE,"",MATCH(A271,SurveyDATA!P:P,0))</f>
        <v/>
      </c>
      <c r="C271" s="92" t="s">
        <v>6652</v>
      </c>
      <c r="D271" s="92" t="str">
        <f>IF(ISERROR(MATCH(C271,SurveyDATA!AI:AI,0))=TRUE,"",MATCH(C271,SurveyDATA!AI:AI,0))</f>
        <v/>
      </c>
      <c r="E271" s="287" t="str">
        <f>IF(ISERROR(MATCH(C271,SurveyDATA!BL:BL,0))=TRUE,"",MATCH(C271,SurveyDATA!BL:BL,0))</f>
        <v/>
      </c>
      <c r="F271" s="92" t="s">
        <v>6653</v>
      </c>
      <c r="G271" s="287" t="str">
        <f>IF(ISERROR(MATCH(F271,SurveyDATA!BN:BN,0))=TRUE,"",MATCH(F271,SurveyDATA!BN:BN,0))</f>
        <v/>
      </c>
      <c r="H271" s="287" t="str">
        <f>IF(ISERROR(MATCH(F271,#REF!,0))=TRUE,"",MATCH(F271,#REF!,0))</f>
        <v/>
      </c>
      <c r="I271" s="287" t="s">
        <v>7098</v>
      </c>
      <c r="J271" s="92" t="str">
        <f>IF(ISERROR(MATCH(I271,SurveyDATA!D:D,0))=TRUE,"",MATCH(I271,SurveyDATA!D:D,0))</f>
        <v/>
      </c>
    </row>
    <row r="272" spans="1:10">
      <c r="A272" s="92" t="s">
        <v>6654</v>
      </c>
      <c r="B272" s="92" t="str">
        <f>IF(ISERROR(MATCH(A272,SurveyDATA!P:P,0))=TRUE,"",MATCH(A272,SurveyDATA!P:P,0))</f>
        <v/>
      </c>
      <c r="C272" s="92" t="s">
        <v>6655</v>
      </c>
      <c r="D272" s="92" t="str">
        <f>IF(ISERROR(MATCH(C272,SurveyDATA!AI:AI,0))=TRUE,"",MATCH(C272,SurveyDATA!AI:AI,0))</f>
        <v/>
      </c>
      <c r="E272" s="287" t="str">
        <f>IF(ISERROR(MATCH(C272,SurveyDATA!BL:BL,0))=TRUE,"",MATCH(C272,SurveyDATA!BL:BL,0))</f>
        <v/>
      </c>
      <c r="F272" s="92" t="s">
        <v>6656</v>
      </c>
      <c r="G272" s="287" t="str">
        <f>IF(ISERROR(MATCH(F272,SurveyDATA!BN:BN,0))=TRUE,"",MATCH(F272,SurveyDATA!BN:BN,0))</f>
        <v/>
      </c>
      <c r="H272" s="287" t="str">
        <f>IF(ISERROR(MATCH(F272,#REF!,0))=TRUE,"",MATCH(F272,#REF!,0))</f>
        <v/>
      </c>
      <c r="I272" s="287" t="s">
        <v>7099</v>
      </c>
      <c r="J272" s="92" t="str">
        <f>IF(ISERROR(MATCH(I272,SurveyDATA!D:D,0))=TRUE,"",MATCH(I272,SurveyDATA!D:D,0))</f>
        <v/>
      </c>
    </row>
    <row r="273" spans="1:10">
      <c r="A273" s="92" t="s">
        <v>6657</v>
      </c>
      <c r="B273" s="92" t="str">
        <f>IF(ISERROR(MATCH(A273,SurveyDATA!P:P,0))=TRUE,"",MATCH(A273,SurveyDATA!P:P,0))</f>
        <v/>
      </c>
      <c r="C273" s="92" t="s">
        <v>6658</v>
      </c>
      <c r="D273" s="92" t="str">
        <f>IF(ISERROR(MATCH(C273,SurveyDATA!AI:AI,0))=TRUE,"",MATCH(C273,SurveyDATA!AI:AI,0))</f>
        <v/>
      </c>
      <c r="E273" s="287" t="str">
        <f>IF(ISERROR(MATCH(C273,SurveyDATA!BL:BL,0))=TRUE,"",MATCH(C273,SurveyDATA!BL:BL,0))</f>
        <v/>
      </c>
      <c r="F273" s="92" t="s">
        <v>6659</v>
      </c>
      <c r="G273" s="287" t="str">
        <f>IF(ISERROR(MATCH(F273,SurveyDATA!BN:BN,0))=TRUE,"",MATCH(F273,SurveyDATA!BN:BN,0))</f>
        <v/>
      </c>
      <c r="H273" s="287" t="str">
        <f>IF(ISERROR(MATCH(F273,#REF!,0))=TRUE,"",MATCH(F273,#REF!,0))</f>
        <v/>
      </c>
      <c r="I273" s="287" t="s">
        <v>7019</v>
      </c>
      <c r="J273" s="92" t="str">
        <f>IF(ISERROR(MATCH(I273,SurveyDATA!D:D,0))=TRUE,"",MATCH(I273,SurveyDATA!D:D,0))</f>
        <v/>
      </c>
    </row>
    <row r="274" spans="1:10">
      <c r="A274" s="92" t="s">
        <v>6660</v>
      </c>
      <c r="B274" s="92" t="str">
        <f>IF(ISERROR(MATCH(A274,SurveyDATA!P:P,0))=TRUE,"",MATCH(A274,SurveyDATA!P:P,0))</f>
        <v/>
      </c>
      <c r="C274" s="92" t="s">
        <v>6661</v>
      </c>
      <c r="D274" s="92" t="str">
        <f>IF(ISERROR(MATCH(C274,SurveyDATA!AI:AI,0))=TRUE,"",MATCH(C274,SurveyDATA!AI:AI,0))</f>
        <v/>
      </c>
      <c r="E274" s="287" t="str">
        <f>IF(ISERROR(MATCH(C274,SurveyDATA!BL:BL,0))=TRUE,"",MATCH(C274,SurveyDATA!BL:BL,0))</f>
        <v/>
      </c>
      <c r="F274" s="92" t="s">
        <v>6662</v>
      </c>
      <c r="G274" s="287" t="str">
        <f>IF(ISERROR(MATCH(F274,SurveyDATA!BN:BN,0))=TRUE,"",MATCH(F274,SurveyDATA!BN:BN,0))</f>
        <v/>
      </c>
      <c r="H274" s="287" t="str">
        <f>IF(ISERROR(MATCH(F274,#REF!,0))=TRUE,"",MATCH(F274,#REF!,0))</f>
        <v/>
      </c>
      <c r="I274" s="287" t="s">
        <v>7100</v>
      </c>
      <c r="J274" s="92" t="str">
        <f>IF(ISERROR(MATCH(I274,SurveyDATA!D:D,0))=TRUE,"",MATCH(I274,SurveyDATA!D:D,0))</f>
        <v/>
      </c>
    </row>
    <row r="275" spans="1:10">
      <c r="A275" s="92" t="s">
        <v>6663</v>
      </c>
      <c r="B275" s="92" t="str">
        <f>IF(ISERROR(MATCH(A275,SurveyDATA!P:P,0))=TRUE,"",MATCH(A275,SurveyDATA!P:P,0))</f>
        <v/>
      </c>
      <c r="C275" s="92" t="s">
        <v>6664</v>
      </c>
      <c r="D275" s="92" t="str">
        <f>IF(ISERROR(MATCH(C275,SurveyDATA!AI:AI,0))=TRUE,"",MATCH(C275,SurveyDATA!AI:AI,0))</f>
        <v/>
      </c>
      <c r="E275" s="287" t="str">
        <f>IF(ISERROR(MATCH(C275,SurveyDATA!BL:BL,0))=TRUE,"",MATCH(C275,SurveyDATA!BL:BL,0))</f>
        <v/>
      </c>
      <c r="F275" s="92" t="s">
        <v>6665</v>
      </c>
      <c r="G275" s="287" t="str">
        <f>IF(ISERROR(MATCH(F275,SurveyDATA!BN:BN,0))=TRUE,"",MATCH(F275,SurveyDATA!BN:BN,0))</f>
        <v/>
      </c>
      <c r="H275" s="287" t="str">
        <f>IF(ISERROR(MATCH(F275,#REF!,0))=TRUE,"",MATCH(F275,#REF!,0))</f>
        <v/>
      </c>
      <c r="I275" s="287" t="s">
        <v>7101</v>
      </c>
      <c r="J275" s="92" t="str">
        <f>IF(ISERROR(MATCH(I275,SurveyDATA!D:D,0))=TRUE,"",MATCH(I275,SurveyDATA!D:D,0))</f>
        <v/>
      </c>
    </row>
    <row r="276" spans="1:10">
      <c r="A276" s="92" t="s">
        <v>6666</v>
      </c>
      <c r="B276" s="92" t="str">
        <f>IF(ISERROR(MATCH(A276,SurveyDATA!P:P,0))=TRUE,"",MATCH(A276,SurveyDATA!P:P,0))</f>
        <v/>
      </c>
      <c r="C276" s="92" t="s">
        <v>6667</v>
      </c>
      <c r="D276" s="92" t="str">
        <f>IF(ISERROR(MATCH(C276,SurveyDATA!AI:AI,0))=TRUE,"",MATCH(C276,SurveyDATA!AI:AI,0))</f>
        <v/>
      </c>
      <c r="E276" s="287" t="str">
        <f>IF(ISERROR(MATCH(C276,SurveyDATA!BL:BL,0))=TRUE,"",MATCH(C276,SurveyDATA!BL:BL,0))</f>
        <v/>
      </c>
      <c r="F276" s="92" t="s">
        <v>6668</v>
      </c>
      <c r="G276" s="287" t="str">
        <f>IF(ISERROR(MATCH(F276,SurveyDATA!BN:BN,0))=TRUE,"",MATCH(F276,SurveyDATA!BN:BN,0))</f>
        <v/>
      </c>
      <c r="H276" s="287" t="str">
        <f>IF(ISERROR(MATCH(F276,#REF!,0))=TRUE,"",MATCH(F276,#REF!,0))</f>
        <v/>
      </c>
      <c r="I276" s="287" t="s">
        <v>7102</v>
      </c>
      <c r="J276" s="92" t="str">
        <f>IF(ISERROR(MATCH(I276,SurveyDATA!D:D,0))=TRUE,"",MATCH(I276,SurveyDATA!D:D,0))</f>
        <v/>
      </c>
    </row>
    <row r="277" spans="1:10">
      <c r="A277" s="92" t="s">
        <v>6669</v>
      </c>
      <c r="B277" s="92" t="str">
        <f>IF(ISERROR(MATCH(A277,SurveyDATA!P:P,0))=TRUE,"",MATCH(A277,SurveyDATA!P:P,0))</f>
        <v/>
      </c>
      <c r="C277" s="92" t="s">
        <v>6670</v>
      </c>
      <c r="D277" s="92" t="str">
        <f>IF(ISERROR(MATCH(C277,SurveyDATA!AI:AI,0))=TRUE,"",MATCH(C277,SurveyDATA!AI:AI,0))</f>
        <v/>
      </c>
      <c r="E277" s="287" t="str">
        <f>IF(ISERROR(MATCH(C277,SurveyDATA!BL:BL,0))=TRUE,"",MATCH(C277,SurveyDATA!BL:BL,0))</f>
        <v/>
      </c>
      <c r="F277" s="92" t="s">
        <v>6671</v>
      </c>
      <c r="G277" s="287" t="str">
        <f>IF(ISERROR(MATCH(F277,SurveyDATA!BN:BN,0))=TRUE,"",MATCH(F277,SurveyDATA!BN:BN,0))</f>
        <v/>
      </c>
      <c r="H277" s="287" t="str">
        <f>IF(ISERROR(MATCH(F277,#REF!,0))=TRUE,"",MATCH(F277,#REF!,0))</f>
        <v/>
      </c>
      <c r="I277" s="287" t="s">
        <v>7103</v>
      </c>
      <c r="J277" s="92" t="str">
        <f>IF(ISERROR(MATCH(I277,SurveyDATA!D:D,0))=TRUE,"",MATCH(I277,SurveyDATA!D:D,0))</f>
        <v/>
      </c>
    </row>
    <row r="278" spans="1:10">
      <c r="A278" s="92" t="s">
        <v>6672</v>
      </c>
      <c r="B278" s="92" t="str">
        <f>IF(ISERROR(MATCH(A278,SurveyDATA!P:P,0))=TRUE,"",MATCH(A278,SurveyDATA!P:P,0))</f>
        <v/>
      </c>
      <c r="C278" s="92" t="s">
        <v>6673</v>
      </c>
      <c r="D278" s="92" t="str">
        <f>IF(ISERROR(MATCH(C278,SurveyDATA!AI:AI,0))=TRUE,"",MATCH(C278,SurveyDATA!AI:AI,0))</f>
        <v/>
      </c>
      <c r="E278" s="287" t="str">
        <f>IF(ISERROR(MATCH(C278,SurveyDATA!BL:BL,0))=TRUE,"",MATCH(C278,SurveyDATA!BL:BL,0))</f>
        <v/>
      </c>
      <c r="F278" s="92" t="s">
        <v>6674</v>
      </c>
      <c r="G278" s="287" t="str">
        <f>IF(ISERROR(MATCH(F278,SurveyDATA!BN:BN,0))=TRUE,"",MATCH(F278,SurveyDATA!BN:BN,0))</f>
        <v/>
      </c>
      <c r="H278" s="287" t="str">
        <f>IF(ISERROR(MATCH(F278,#REF!,0))=TRUE,"",MATCH(F278,#REF!,0))</f>
        <v/>
      </c>
      <c r="I278" s="287" t="s">
        <v>5911</v>
      </c>
      <c r="J278" s="92" t="str">
        <f>IF(ISERROR(MATCH(I278,SurveyDATA!D:D,0))=TRUE,"",MATCH(I278,SurveyDATA!D:D,0))</f>
        <v/>
      </c>
    </row>
    <row r="279" spans="1:10">
      <c r="A279" s="92" t="s">
        <v>6675</v>
      </c>
      <c r="B279" s="92" t="str">
        <f>IF(ISERROR(MATCH(A279,SurveyDATA!P:P,0))=TRUE,"",MATCH(A279,SurveyDATA!P:P,0))</f>
        <v/>
      </c>
      <c r="C279" s="92" t="s">
        <v>6676</v>
      </c>
      <c r="D279" s="92" t="str">
        <f>IF(ISERROR(MATCH(C279,SurveyDATA!AI:AI,0))=TRUE,"",MATCH(C279,SurveyDATA!AI:AI,0))</f>
        <v/>
      </c>
      <c r="E279" s="287" t="str">
        <f>IF(ISERROR(MATCH(C279,SurveyDATA!BL:BL,0))=TRUE,"",MATCH(C279,SurveyDATA!BL:BL,0))</f>
        <v/>
      </c>
      <c r="F279" s="92" t="s">
        <v>6677</v>
      </c>
      <c r="G279" s="287" t="str">
        <f>IF(ISERROR(MATCH(F279,SurveyDATA!BN:BN,0))=TRUE,"",MATCH(F279,SurveyDATA!BN:BN,0))</f>
        <v/>
      </c>
      <c r="H279" s="287" t="str">
        <f>IF(ISERROR(MATCH(F279,#REF!,0))=TRUE,"",MATCH(F279,#REF!,0))</f>
        <v/>
      </c>
      <c r="I279" s="287" t="s">
        <v>7104</v>
      </c>
      <c r="J279" s="92" t="str">
        <f>IF(ISERROR(MATCH(I279,SurveyDATA!D:D,0))=TRUE,"",MATCH(I279,SurveyDATA!D:D,0))</f>
        <v/>
      </c>
    </row>
    <row r="280" spans="1:10">
      <c r="A280" s="92" t="s">
        <v>6678</v>
      </c>
      <c r="B280" s="92" t="str">
        <f>IF(ISERROR(MATCH(A280,SurveyDATA!P:P,0))=TRUE,"",MATCH(A280,SurveyDATA!P:P,0))</f>
        <v/>
      </c>
      <c r="C280" s="92" t="s">
        <v>6679</v>
      </c>
      <c r="D280" s="92" t="str">
        <f>IF(ISERROR(MATCH(C280,SurveyDATA!AI:AI,0))=TRUE,"",MATCH(C280,SurveyDATA!AI:AI,0))</f>
        <v/>
      </c>
      <c r="E280" s="287" t="str">
        <f>IF(ISERROR(MATCH(C280,SurveyDATA!BL:BL,0))=TRUE,"",MATCH(C280,SurveyDATA!BL:BL,0))</f>
        <v/>
      </c>
      <c r="F280" s="92" t="s">
        <v>6680</v>
      </c>
      <c r="G280" s="287" t="str">
        <f>IF(ISERROR(MATCH(F280,SurveyDATA!BN:BN,0))=TRUE,"",MATCH(F280,SurveyDATA!BN:BN,0))</f>
        <v/>
      </c>
      <c r="H280" s="287" t="str">
        <f>IF(ISERROR(MATCH(F280,#REF!,0))=TRUE,"",MATCH(F280,#REF!,0))</f>
        <v/>
      </c>
      <c r="I280" s="287" t="s">
        <v>7105</v>
      </c>
      <c r="J280" s="92" t="str">
        <f>IF(ISERROR(MATCH(I280,SurveyDATA!D:D,0))=TRUE,"",MATCH(I280,SurveyDATA!D:D,0))</f>
        <v/>
      </c>
    </row>
    <row r="281" spans="1:10">
      <c r="A281" s="92" t="s">
        <v>6681</v>
      </c>
      <c r="B281" s="92" t="str">
        <f>IF(ISERROR(MATCH(A281,SurveyDATA!P:P,0))=TRUE,"",MATCH(A281,SurveyDATA!P:P,0))</f>
        <v/>
      </c>
      <c r="C281" s="92" t="s">
        <v>6682</v>
      </c>
      <c r="D281" s="92" t="str">
        <f>IF(ISERROR(MATCH(C281,SurveyDATA!AI:AI,0))=TRUE,"",MATCH(C281,SurveyDATA!AI:AI,0))</f>
        <v/>
      </c>
      <c r="E281" s="287" t="str">
        <f>IF(ISERROR(MATCH(C281,SurveyDATA!BL:BL,0))=TRUE,"",MATCH(C281,SurveyDATA!BL:BL,0))</f>
        <v/>
      </c>
      <c r="F281" s="92" t="s">
        <v>6683</v>
      </c>
      <c r="G281" s="287" t="str">
        <f>IF(ISERROR(MATCH(F281,SurveyDATA!BN:BN,0))=TRUE,"",MATCH(F281,SurveyDATA!BN:BN,0))</f>
        <v/>
      </c>
      <c r="H281" s="287" t="str">
        <f>IF(ISERROR(MATCH(F281,#REF!,0))=TRUE,"",MATCH(F281,#REF!,0))</f>
        <v/>
      </c>
      <c r="I281" s="287" t="s">
        <v>5911</v>
      </c>
      <c r="J281" s="92" t="str">
        <f>IF(ISERROR(MATCH(I281,SurveyDATA!D:D,0))=TRUE,"",MATCH(I281,SurveyDATA!D:D,0))</f>
        <v/>
      </c>
    </row>
    <row r="282" spans="1:10">
      <c r="A282" s="92" t="s">
        <v>6684</v>
      </c>
      <c r="B282" s="92" t="str">
        <f>IF(ISERROR(MATCH(A282,SurveyDATA!P:P,0))=TRUE,"",MATCH(A282,SurveyDATA!P:P,0))</f>
        <v/>
      </c>
      <c r="C282" s="92" t="s">
        <v>6685</v>
      </c>
      <c r="D282" s="92" t="str">
        <f>IF(ISERROR(MATCH(C282,SurveyDATA!AI:AI,0))=TRUE,"",MATCH(C282,SurveyDATA!AI:AI,0))</f>
        <v/>
      </c>
      <c r="E282" s="287" t="str">
        <f>IF(ISERROR(MATCH(C282,SurveyDATA!BL:BL,0))=TRUE,"",MATCH(C282,SurveyDATA!BL:BL,0))</f>
        <v/>
      </c>
      <c r="F282" s="92" t="s">
        <v>6686</v>
      </c>
      <c r="G282" s="287" t="str">
        <f>IF(ISERROR(MATCH(F282,SurveyDATA!BN:BN,0))=TRUE,"",MATCH(F282,SurveyDATA!BN:BN,0))</f>
        <v/>
      </c>
      <c r="H282" s="287" t="str">
        <f>IF(ISERROR(MATCH(F282,#REF!,0))=TRUE,"",MATCH(F282,#REF!,0))</f>
        <v/>
      </c>
      <c r="I282" s="287" t="s">
        <v>7106</v>
      </c>
      <c r="J282" s="92" t="str">
        <f>IF(ISERROR(MATCH(I282,SurveyDATA!D:D,0))=TRUE,"",MATCH(I282,SurveyDATA!D:D,0))</f>
        <v/>
      </c>
    </row>
    <row r="283" spans="1:10">
      <c r="A283" s="92" t="s">
        <v>6678</v>
      </c>
      <c r="B283" s="92" t="str">
        <f>IF(ISERROR(MATCH(A283,SurveyDATA!P:P,0))=TRUE,"",MATCH(A283,SurveyDATA!P:P,0))</f>
        <v/>
      </c>
      <c r="C283" s="92" t="s">
        <v>6679</v>
      </c>
      <c r="D283" s="92" t="str">
        <f>IF(ISERROR(MATCH(C283,SurveyDATA!AI:AI,0))=TRUE,"",MATCH(C283,SurveyDATA!AI:AI,0))</f>
        <v/>
      </c>
      <c r="E283" s="287" t="str">
        <f>IF(ISERROR(MATCH(C283,SurveyDATA!BL:BL,0))=TRUE,"",MATCH(C283,SurveyDATA!BL:BL,0))</f>
        <v/>
      </c>
      <c r="F283" s="92" t="s">
        <v>6680</v>
      </c>
      <c r="G283" s="287" t="str">
        <f>IF(ISERROR(MATCH(F283,SurveyDATA!BN:BN,0))=TRUE,"",MATCH(F283,SurveyDATA!BN:BN,0))</f>
        <v/>
      </c>
      <c r="H283" s="287" t="str">
        <f>IF(ISERROR(MATCH(F283,#REF!,0))=TRUE,"",MATCH(F283,#REF!,0))</f>
        <v/>
      </c>
      <c r="I283" s="287" t="s">
        <v>7107</v>
      </c>
      <c r="J283" s="92" t="str">
        <f>IF(ISERROR(MATCH(I283,SurveyDATA!D:D,0))=TRUE,"",MATCH(I283,SurveyDATA!D:D,0))</f>
        <v/>
      </c>
    </row>
    <row r="284" spans="1:10">
      <c r="A284" s="92" t="s">
        <v>6675</v>
      </c>
      <c r="B284" s="92" t="str">
        <f>IF(ISERROR(MATCH(A284,SurveyDATA!P:P,0))=TRUE,"",MATCH(A284,SurveyDATA!P:P,0))</f>
        <v/>
      </c>
      <c r="C284" s="92" t="s">
        <v>6676</v>
      </c>
      <c r="D284" s="92" t="str">
        <f>IF(ISERROR(MATCH(C284,SurveyDATA!AI:AI,0))=TRUE,"",MATCH(C284,SurveyDATA!AI:AI,0))</f>
        <v/>
      </c>
      <c r="E284" s="287" t="str">
        <f>IF(ISERROR(MATCH(C284,SurveyDATA!BL:BL,0))=TRUE,"",MATCH(C284,SurveyDATA!BL:BL,0))</f>
        <v/>
      </c>
      <c r="F284" s="92" t="s">
        <v>6677</v>
      </c>
      <c r="G284" s="287" t="str">
        <f>IF(ISERROR(MATCH(F284,SurveyDATA!BN:BN,0))=TRUE,"",MATCH(F284,SurveyDATA!BN:BN,0))</f>
        <v/>
      </c>
      <c r="H284" s="287" t="str">
        <f>IF(ISERROR(MATCH(F284,#REF!,0))=TRUE,"",MATCH(F284,#REF!,0))</f>
        <v/>
      </c>
      <c r="I284" s="287" t="s">
        <v>7108</v>
      </c>
      <c r="J284" s="92" t="str">
        <f>IF(ISERROR(MATCH(I284,SurveyDATA!D:D,0))=TRUE,"",MATCH(I284,SurveyDATA!D:D,0))</f>
        <v/>
      </c>
    </row>
    <row r="285" spans="1:10">
      <c r="A285" s="92" t="s">
        <v>6675</v>
      </c>
      <c r="B285" s="92" t="str">
        <f>IF(ISERROR(MATCH(A285,SurveyDATA!P:P,0))=TRUE,"",MATCH(A285,SurveyDATA!P:P,0))</f>
        <v/>
      </c>
      <c r="C285" s="92" t="s">
        <v>6676</v>
      </c>
      <c r="D285" s="92" t="str">
        <f>IF(ISERROR(MATCH(C285,SurveyDATA!AI:AI,0))=TRUE,"",MATCH(C285,SurveyDATA!AI:AI,0))</f>
        <v/>
      </c>
      <c r="E285" s="287" t="str">
        <f>IF(ISERROR(MATCH(C285,SurveyDATA!BL:BL,0))=TRUE,"",MATCH(C285,SurveyDATA!BL:BL,0))</f>
        <v/>
      </c>
      <c r="F285" s="92" t="s">
        <v>6677</v>
      </c>
      <c r="G285" s="287" t="str">
        <f>IF(ISERROR(MATCH(F285,SurveyDATA!BN:BN,0))=TRUE,"",MATCH(F285,SurveyDATA!BN:BN,0))</f>
        <v/>
      </c>
      <c r="H285" s="287" t="str">
        <f>IF(ISERROR(MATCH(F285,#REF!,0))=TRUE,"",MATCH(F285,#REF!,0))</f>
        <v/>
      </c>
      <c r="I285" s="287" t="s">
        <v>7109</v>
      </c>
      <c r="J285" s="92" t="str">
        <f>IF(ISERROR(MATCH(I285,SurveyDATA!D:D,0))=TRUE,"",MATCH(I285,SurveyDATA!D:D,0))</f>
        <v/>
      </c>
    </row>
    <row r="286" spans="1:10">
      <c r="A286" s="92" t="s">
        <v>6675</v>
      </c>
      <c r="B286" s="92" t="str">
        <f>IF(ISERROR(MATCH(A286,SurveyDATA!P:P,0))=TRUE,"",MATCH(A286,SurveyDATA!P:P,0))</f>
        <v/>
      </c>
      <c r="C286" s="92" t="s">
        <v>6676</v>
      </c>
      <c r="D286" s="92" t="str">
        <f>IF(ISERROR(MATCH(C286,SurveyDATA!AI:AI,0))=TRUE,"",MATCH(C286,SurveyDATA!AI:AI,0))</f>
        <v/>
      </c>
      <c r="E286" s="287" t="str">
        <f>IF(ISERROR(MATCH(C286,SurveyDATA!BL:BL,0))=TRUE,"",MATCH(C286,SurveyDATA!BL:BL,0))</f>
        <v/>
      </c>
      <c r="F286" s="92" t="s">
        <v>6677</v>
      </c>
      <c r="G286" s="287" t="str">
        <f>IF(ISERROR(MATCH(F286,SurveyDATA!BN:BN,0))=TRUE,"",MATCH(F286,SurveyDATA!BN:BN,0))</f>
        <v/>
      </c>
      <c r="H286" s="287" t="str">
        <f>IF(ISERROR(MATCH(F286,#REF!,0))=TRUE,"",MATCH(F286,#REF!,0))</f>
        <v/>
      </c>
      <c r="I286" s="287" t="s">
        <v>7110</v>
      </c>
      <c r="J286" s="92" t="str">
        <f>IF(ISERROR(MATCH(I286,SurveyDATA!D:D,0))=TRUE,"",MATCH(I286,SurveyDATA!D:D,0))</f>
        <v/>
      </c>
    </row>
    <row r="287" spans="1:10">
      <c r="A287" s="92" t="s">
        <v>6675</v>
      </c>
      <c r="B287" s="92" t="str">
        <f>IF(ISERROR(MATCH(A287,SurveyDATA!P:P,0))=TRUE,"",MATCH(A287,SurveyDATA!P:P,0))</f>
        <v/>
      </c>
      <c r="C287" s="92" t="s">
        <v>6676</v>
      </c>
      <c r="D287" s="92" t="str">
        <f>IF(ISERROR(MATCH(C287,SurveyDATA!AI:AI,0))=TRUE,"",MATCH(C287,SurveyDATA!AI:AI,0))</f>
        <v/>
      </c>
      <c r="E287" s="287" t="str">
        <f>IF(ISERROR(MATCH(C287,SurveyDATA!BL:BL,0))=TRUE,"",MATCH(C287,SurveyDATA!BL:BL,0))</f>
        <v/>
      </c>
      <c r="F287" s="92" t="s">
        <v>6677</v>
      </c>
      <c r="G287" s="287" t="str">
        <f>IF(ISERROR(MATCH(F287,SurveyDATA!BN:BN,0))=TRUE,"",MATCH(F287,SurveyDATA!BN:BN,0))</f>
        <v/>
      </c>
      <c r="H287" s="287" t="str">
        <f>IF(ISERROR(MATCH(F287,#REF!,0))=TRUE,"",MATCH(F287,#REF!,0))</f>
        <v/>
      </c>
      <c r="I287" s="287" t="s">
        <v>5911</v>
      </c>
      <c r="J287" s="92" t="str">
        <f>IF(ISERROR(MATCH(I287,SurveyDATA!D:D,0))=TRUE,"",MATCH(I287,SurveyDATA!D:D,0))</f>
        <v/>
      </c>
    </row>
    <row r="288" spans="1:10">
      <c r="A288" s="92" t="s">
        <v>6687</v>
      </c>
      <c r="B288" s="92" t="str">
        <f>IF(ISERROR(MATCH(A288,SurveyDATA!P:P,0))=TRUE,"",MATCH(A288,SurveyDATA!P:P,0))</f>
        <v/>
      </c>
      <c r="C288" s="92" t="s">
        <v>6688</v>
      </c>
      <c r="D288" s="92" t="str">
        <f>IF(ISERROR(MATCH(C288,SurveyDATA!AI:AI,0))=TRUE,"",MATCH(C288,SurveyDATA!AI:AI,0))</f>
        <v/>
      </c>
      <c r="E288" s="287" t="str">
        <f>IF(ISERROR(MATCH(C288,SurveyDATA!BL:BL,0))=TRUE,"",MATCH(C288,SurveyDATA!BL:BL,0))</f>
        <v/>
      </c>
      <c r="F288" s="92" t="s">
        <v>6689</v>
      </c>
      <c r="G288" s="287" t="str">
        <f>IF(ISERROR(MATCH(F288,SurveyDATA!BN:BN,0))=TRUE,"",MATCH(F288,SurveyDATA!BN:BN,0))</f>
        <v/>
      </c>
      <c r="H288" s="287" t="str">
        <f>IF(ISERROR(MATCH(F288,#REF!,0))=TRUE,"",MATCH(F288,#REF!,0))</f>
        <v/>
      </c>
      <c r="I288" s="287" t="s">
        <v>7111</v>
      </c>
      <c r="J288" s="92" t="str">
        <f>IF(ISERROR(MATCH(I288,SurveyDATA!D:D,0))=TRUE,"",MATCH(I288,SurveyDATA!D:D,0))</f>
        <v/>
      </c>
    </row>
    <row r="289" spans="1:10">
      <c r="A289" s="92" t="s">
        <v>6675</v>
      </c>
      <c r="B289" s="92" t="str">
        <f>IF(ISERROR(MATCH(A289,SurveyDATA!P:P,0))=TRUE,"",MATCH(A289,SurveyDATA!P:P,0))</f>
        <v/>
      </c>
      <c r="C289" s="92" t="s">
        <v>6676</v>
      </c>
      <c r="D289" s="92" t="str">
        <f>IF(ISERROR(MATCH(C289,SurveyDATA!AI:AI,0))=TRUE,"",MATCH(C289,SurveyDATA!AI:AI,0))</f>
        <v/>
      </c>
      <c r="E289" s="287" t="str">
        <f>IF(ISERROR(MATCH(C289,SurveyDATA!BL:BL,0))=TRUE,"",MATCH(C289,SurveyDATA!BL:BL,0))</f>
        <v/>
      </c>
      <c r="F289" s="92" t="s">
        <v>6677</v>
      </c>
      <c r="G289" s="287" t="str">
        <f>IF(ISERROR(MATCH(F289,SurveyDATA!BN:BN,0))=TRUE,"",MATCH(F289,SurveyDATA!BN:BN,0))</f>
        <v/>
      </c>
      <c r="H289" s="287" t="str">
        <f>IF(ISERROR(MATCH(F289,#REF!,0))=TRUE,"",MATCH(F289,#REF!,0))</f>
        <v/>
      </c>
      <c r="I289" s="287" t="s">
        <v>7112</v>
      </c>
      <c r="J289" s="92" t="str">
        <f>IF(ISERROR(MATCH(I289,SurveyDATA!D:D,0))=TRUE,"",MATCH(I289,SurveyDATA!D:D,0))</f>
        <v/>
      </c>
    </row>
    <row r="290" spans="1:10">
      <c r="A290" s="92" t="s">
        <v>6690</v>
      </c>
      <c r="B290" s="92" t="str">
        <f>IF(ISERROR(MATCH(A290,SurveyDATA!P:P,0))=TRUE,"",MATCH(A290,SurveyDATA!P:P,0))</f>
        <v/>
      </c>
      <c r="C290" s="92" t="s">
        <v>6691</v>
      </c>
      <c r="D290" s="92" t="str">
        <f>IF(ISERROR(MATCH(C290,SurveyDATA!AI:AI,0))=TRUE,"",MATCH(C290,SurveyDATA!AI:AI,0))</f>
        <v/>
      </c>
      <c r="E290" s="287" t="str">
        <f>IF(ISERROR(MATCH(C290,SurveyDATA!BL:BL,0))=TRUE,"",MATCH(C290,SurveyDATA!BL:BL,0))</f>
        <v/>
      </c>
      <c r="F290" s="92" t="s">
        <v>6692</v>
      </c>
      <c r="G290" s="287" t="str">
        <f>IF(ISERROR(MATCH(F290,SurveyDATA!BN:BN,0))=TRUE,"",MATCH(F290,SurveyDATA!BN:BN,0))</f>
        <v/>
      </c>
      <c r="H290" s="287" t="str">
        <f>IF(ISERROR(MATCH(F290,#REF!,0))=TRUE,"",MATCH(F290,#REF!,0))</f>
        <v/>
      </c>
      <c r="I290" s="287" t="s">
        <v>7113</v>
      </c>
      <c r="J290" s="92" t="str">
        <f>IF(ISERROR(MATCH(I290,SurveyDATA!D:D,0))=TRUE,"",MATCH(I290,SurveyDATA!D:D,0))</f>
        <v/>
      </c>
    </row>
    <row r="291" spans="1:10">
      <c r="A291" s="92" t="s">
        <v>6675</v>
      </c>
      <c r="B291" s="92" t="str">
        <f>IF(ISERROR(MATCH(A291,SurveyDATA!P:P,0))=TRUE,"",MATCH(A291,SurveyDATA!P:P,0))</f>
        <v/>
      </c>
      <c r="C291" s="92" t="s">
        <v>6676</v>
      </c>
      <c r="D291" s="92" t="str">
        <f>IF(ISERROR(MATCH(C291,SurveyDATA!AI:AI,0))=TRUE,"",MATCH(C291,SurveyDATA!AI:AI,0))</f>
        <v/>
      </c>
      <c r="E291" s="287" t="str">
        <f>IF(ISERROR(MATCH(C291,SurveyDATA!BL:BL,0))=TRUE,"",MATCH(C291,SurveyDATA!BL:BL,0))</f>
        <v/>
      </c>
      <c r="F291" s="92" t="s">
        <v>6677</v>
      </c>
      <c r="G291" s="287" t="str">
        <f>IF(ISERROR(MATCH(F291,SurveyDATA!BN:BN,0))=TRUE,"",MATCH(F291,SurveyDATA!BN:BN,0))</f>
        <v/>
      </c>
      <c r="H291" s="287" t="str">
        <f>IF(ISERROR(MATCH(F291,#REF!,0))=TRUE,"",MATCH(F291,#REF!,0))</f>
        <v/>
      </c>
      <c r="I291" s="287" t="s">
        <v>7114</v>
      </c>
      <c r="J291" s="92" t="str">
        <f>IF(ISERROR(MATCH(I291,SurveyDATA!D:D,0))=TRUE,"",MATCH(I291,SurveyDATA!D:D,0))</f>
        <v/>
      </c>
    </row>
    <row r="292" spans="1:10">
      <c r="A292" s="92" t="s">
        <v>6675</v>
      </c>
      <c r="B292" s="92" t="str">
        <f>IF(ISERROR(MATCH(A292,SurveyDATA!P:P,0))=TRUE,"",MATCH(A292,SurveyDATA!P:P,0))</f>
        <v/>
      </c>
      <c r="C292" s="92" t="s">
        <v>6676</v>
      </c>
      <c r="D292" s="92" t="str">
        <f>IF(ISERROR(MATCH(C292,SurveyDATA!AI:AI,0))=TRUE,"",MATCH(C292,SurveyDATA!AI:AI,0))</f>
        <v/>
      </c>
      <c r="E292" s="287" t="str">
        <f>IF(ISERROR(MATCH(C292,SurveyDATA!BL:BL,0))=TRUE,"",MATCH(C292,SurveyDATA!BL:BL,0))</f>
        <v/>
      </c>
      <c r="F292" s="92" t="s">
        <v>6677</v>
      </c>
      <c r="G292" s="287" t="str">
        <f>IF(ISERROR(MATCH(F292,SurveyDATA!BN:BN,0))=TRUE,"",MATCH(F292,SurveyDATA!BN:BN,0))</f>
        <v/>
      </c>
      <c r="H292" s="287" t="str">
        <f>IF(ISERROR(MATCH(F292,#REF!,0))=TRUE,"",MATCH(F292,#REF!,0))</f>
        <v/>
      </c>
      <c r="I292" s="287" t="s">
        <v>7115</v>
      </c>
      <c r="J292" s="92" t="str">
        <f>IF(ISERROR(MATCH(I292,SurveyDATA!D:D,0))=TRUE,"",MATCH(I292,SurveyDATA!D:D,0))</f>
        <v/>
      </c>
    </row>
    <row r="293" spans="1:10">
      <c r="A293" s="92" t="s">
        <v>6693</v>
      </c>
      <c r="B293" s="92" t="str">
        <f>IF(ISERROR(MATCH(A293,SurveyDATA!P:P,0))=TRUE,"",MATCH(A293,SurveyDATA!P:P,0))</f>
        <v/>
      </c>
      <c r="C293" s="92" t="s">
        <v>6694</v>
      </c>
      <c r="D293" s="92" t="str">
        <f>IF(ISERROR(MATCH(C293,SurveyDATA!AI:AI,0))=TRUE,"",MATCH(C293,SurveyDATA!AI:AI,0))</f>
        <v/>
      </c>
      <c r="E293" s="287" t="str">
        <f>IF(ISERROR(MATCH(C293,SurveyDATA!BL:BL,0))=TRUE,"",MATCH(C293,SurveyDATA!BL:BL,0))</f>
        <v/>
      </c>
      <c r="F293" s="92" t="s">
        <v>6695</v>
      </c>
      <c r="G293" s="287" t="str">
        <f>IF(ISERROR(MATCH(F293,SurveyDATA!BN:BN,0))=TRUE,"",MATCH(F293,SurveyDATA!BN:BN,0))</f>
        <v/>
      </c>
      <c r="H293" s="287" t="str">
        <f>IF(ISERROR(MATCH(F293,#REF!,0))=TRUE,"",MATCH(F293,#REF!,0))</f>
        <v/>
      </c>
      <c r="I293" s="287" t="s">
        <v>5911</v>
      </c>
      <c r="J293" s="92" t="str">
        <f>IF(ISERROR(MATCH(I293,SurveyDATA!D:D,0))=TRUE,"",MATCH(I293,SurveyDATA!D:D,0))</f>
        <v/>
      </c>
    </row>
    <row r="294" spans="1:10">
      <c r="A294" s="92" t="s">
        <v>6696</v>
      </c>
      <c r="B294" s="92" t="str">
        <f>IF(ISERROR(MATCH(A294,SurveyDATA!P:P,0))=TRUE,"",MATCH(A294,SurveyDATA!P:P,0))</f>
        <v/>
      </c>
      <c r="C294" s="92" t="s">
        <v>6697</v>
      </c>
      <c r="D294" s="92" t="str">
        <f>IF(ISERROR(MATCH(C294,SurveyDATA!AI:AI,0))=TRUE,"",MATCH(C294,SurveyDATA!AI:AI,0))</f>
        <v/>
      </c>
      <c r="E294" s="287" t="str">
        <f>IF(ISERROR(MATCH(C294,SurveyDATA!BL:BL,0))=TRUE,"",MATCH(C294,SurveyDATA!BL:BL,0))</f>
        <v/>
      </c>
      <c r="F294" s="92" t="s">
        <v>6698</v>
      </c>
      <c r="G294" s="287" t="str">
        <f>IF(ISERROR(MATCH(F294,SurveyDATA!BN:BN,0))=TRUE,"",MATCH(F294,SurveyDATA!BN:BN,0))</f>
        <v/>
      </c>
      <c r="H294" s="287" t="str">
        <f>IF(ISERROR(MATCH(F294,#REF!,0))=TRUE,"",MATCH(F294,#REF!,0))</f>
        <v/>
      </c>
      <c r="I294" s="287" t="s">
        <v>7027</v>
      </c>
      <c r="J294" s="92" t="str">
        <f>IF(ISERROR(MATCH(I294,SurveyDATA!D:D,0))=TRUE,"",MATCH(I294,SurveyDATA!D:D,0))</f>
        <v/>
      </c>
    </row>
    <row r="295" spans="1:10">
      <c r="A295" s="92" t="s">
        <v>6675</v>
      </c>
      <c r="B295" s="92" t="str">
        <f>IF(ISERROR(MATCH(A295,SurveyDATA!P:P,0))=TRUE,"",MATCH(A295,SurveyDATA!P:P,0))</f>
        <v/>
      </c>
      <c r="C295" s="92" t="s">
        <v>6676</v>
      </c>
      <c r="D295" s="92" t="str">
        <f>IF(ISERROR(MATCH(C295,SurveyDATA!AI:AI,0))=TRUE,"",MATCH(C295,SurveyDATA!AI:AI,0))</f>
        <v/>
      </c>
      <c r="E295" s="287" t="str">
        <f>IF(ISERROR(MATCH(C295,SurveyDATA!BL:BL,0))=TRUE,"",MATCH(C295,SurveyDATA!BL:BL,0))</f>
        <v/>
      </c>
      <c r="F295" s="92" t="s">
        <v>6677</v>
      </c>
      <c r="G295" s="287" t="str">
        <f>IF(ISERROR(MATCH(F295,SurveyDATA!BN:BN,0))=TRUE,"",MATCH(F295,SurveyDATA!BN:BN,0))</f>
        <v/>
      </c>
      <c r="H295" s="287" t="str">
        <f>IF(ISERROR(MATCH(F295,#REF!,0))=TRUE,"",MATCH(F295,#REF!,0))</f>
        <v/>
      </c>
      <c r="I295" s="287" t="s">
        <v>7116</v>
      </c>
      <c r="J295" s="92" t="str">
        <f>IF(ISERROR(MATCH(I295,SurveyDATA!D:D,0))=TRUE,"",MATCH(I295,SurveyDATA!D:D,0))</f>
        <v/>
      </c>
    </row>
    <row r="296" spans="1:10">
      <c r="A296" s="92" t="s">
        <v>6675</v>
      </c>
      <c r="B296" s="92" t="str">
        <f>IF(ISERROR(MATCH(A296,SurveyDATA!P:P,0))=TRUE,"",MATCH(A296,SurveyDATA!P:P,0))</f>
        <v/>
      </c>
      <c r="C296" s="92" t="s">
        <v>6676</v>
      </c>
      <c r="D296" s="92" t="str">
        <f>IF(ISERROR(MATCH(C296,SurveyDATA!AI:AI,0))=TRUE,"",MATCH(C296,SurveyDATA!AI:AI,0))</f>
        <v/>
      </c>
      <c r="E296" s="287" t="str">
        <f>IF(ISERROR(MATCH(C296,SurveyDATA!BL:BL,0))=TRUE,"",MATCH(C296,SurveyDATA!BL:BL,0))</f>
        <v/>
      </c>
      <c r="F296" s="92" t="s">
        <v>6677</v>
      </c>
      <c r="G296" s="287" t="str">
        <f>IF(ISERROR(MATCH(F296,SurveyDATA!BN:BN,0))=TRUE,"",MATCH(F296,SurveyDATA!BN:BN,0))</f>
        <v/>
      </c>
      <c r="H296" s="287" t="str">
        <f>IF(ISERROR(MATCH(F296,#REF!,0))=TRUE,"",MATCH(F296,#REF!,0))</f>
        <v/>
      </c>
      <c r="I296" s="287" t="s">
        <v>7117</v>
      </c>
      <c r="J296" s="92" t="str">
        <f>IF(ISERROR(MATCH(I296,SurveyDATA!D:D,0))=TRUE,"",MATCH(I296,SurveyDATA!D:D,0))</f>
        <v/>
      </c>
    </row>
    <row r="297" spans="1:10">
      <c r="A297" s="92" t="s">
        <v>6675</v>
      </c>
      <c r="B297" s="92" t="str">
        <f>IF(ISERROR(MATCH(A297,SurveyDATA!P:P,0))=TRUE,"",MATCH(A297,SurveyDATA!P:P,0))</f>
        <v/>
      </c>
      <c r="C297" s="92" t="s">
        <v>6676</v>
      </c>
      <c r="D297" s="92" t="str">
        <f>IF(ISERROR(MATCH(C297,SurveyDATA!AI:AI,0))=TRUE,"",MATCH(C297,SurveyDATA!AI:AI,0))</f>
        <v/>
      </c>
      <c r="E297" s="287" t="str">
        <f>IF(ISERROR(MATCH(C297,SurveyDATA!BL:BL,0))=TRUE,"",MATCH(C297,SurveyDATA!BL:BL,0))</f>
        <v/>
      </c>
      <c r="F297" s="92" t="s">
        <v>6677</v>
      </c>
      <c r="G297" s="287" t="str">
        <f>IF(ISERROR(MATCH(F297,SurveyDATA!BN:BN,0))=TRUE,"",MATCH(F297,SurveyDATA!BN:BN,0))</f>
        <v/>
      </c>
      <c r="H297" s="287" t="str">
        <f>IF(ISERROR(MATCH(F297,#REF!,0))=TRUE,"",MATCH(F297,#REF!,0))</f>
        <v/>
      </c>
      <c r="I297" s="287" t="s">
        <v>5911</v>
      </c>
      <c r="J297" s="92" t="str">
        <f>IF(ISERROR(MATCH(I297,SurveyDATA!D:D,0))=TRUE,"",MATCH(I297,SurveyDATA!D:D,0))</f>
        <v/>
      </c>
    </row>
    <row r="298" spans="1:10">
      <c r="A298" s="92" t="s">
        <v>6699</v>
      </c>
      <c r="B298" s="92" t="str">
        <f>IF(ISERROR(MATCH(A298,SurveyDATA!P:P,0))=TRUE,"",MATCH(A298,SurveyDATA!P:P,0))</f>
        <v/>
      </c>
      <c r="C298" s="92" t="s">
        <v>6700</v>
      </c>
      <c r="D298" s="92" t="str">
        <f>IF(ISERROR(MATCH(C298,SurveyDATA!AI:AI,0))=TRUE,"",MATCH(C298,SurveyDATA!AI:AI,0))</f>
        <v/>
      </c>
      <c r="E298" s="287" t="str">
        <f>IF(ISERROR(MATCH(C298,SurveyDATA!BL:BL,0))=TRUE,"",MATCH(C298,SurveyDATA!BL:BL,0))</f>
        <v/>
      </c>
      <c r="F298" s="92" t="s">
        <v>6701</v>
      </c>
      <c r="G298" s="287" t="str">
        <f>IF(ISERROR(MATCH(F298,SurveyDATA!BN:BN,0))=TRUE,"",MATCH(F298,SurveyDATA!BN:BN,0))</f>
        <v/>
      </c>
      <c r="H298" s="287" t="str">
        <f>IF(ISERROR(MATCH(F298,#REF!,0))=TRUE,"",MATCH(F298,#REF!,0))</f>
        <v/>
      </c>
      <c r="I298" s="287" t="s">
        <v>7118</v>
      </c>
      <c r="J298" s="92" t="str">
        <f>IF(ISERROR(MATCH(I298,SurveyDATA!D:D,0))=TRUE,"",MATCH(I298,SurveyDATA!D:D,0))</f>
        <v/>
      </c>
    </row>
    <row r="299" spans="1:10">
      <c r="A299" s="92" t="s">
        <v>6702</v>
      </c>
      <c r="B299" s="92" t="str">
        <f>IF(ISERROR(MATCH(A299,SurveyDATA!P:P,0))=TRUE,"",MATCH(A299,SurveyDATA!P:P,0))</f>
        <v/>
      </c>
      <c r="C299" s="92" t="s">
        <v>6703</v>
      </c>
      <c r="D299" s="92" t="str">
        <f>IF(ISERROR(MATCH(C299,SurveyDATA!AI:AI,0))=TRUE,"",MATCH(C299,SurveyDATA!AI:AI,0))</f>
        <v/>
      </c>
      <c r="E299" s="287" t="str">
        <f>IF(ISERROR(MATCH(C299,SurveyDATA!BL:BL,0))=TRUE,"",MATCH(C299,SurveyDATA!BL:BL,0))</f>
        <v/>
      </c>
      <c r="F299" s="92" t="s">
        <v>6704</v>
      </c>
      <c r="G299" s="287" t="str">
        <f>IF(ISERROR(MATCH(F299,SurveyDATA!BN:BN,0))=TRUE,"",MATCH(F299,SurveyDATA!BN:BN,0))</f>
        <v/>
      </c>
      <c r="H299" s="287" t="str">
        <f>IF(ISERROR(MATCH(F299,#REF!,0))=TRUE,"",MATCH(F299,#REF!,0))</f>
        <v/>
      </c>
      <c r="I299" s="287" t="s">
        <v>5911</v>
      </c>
      <c r="J299" s="92" t="str">
        <f>IF(ISERROR(MATCH(I299,SurveyDATA!D:D,0))=TRUE,"",MATCH(I299,SurveyDATA!D:D,0))</f>
        <v/>
      </c>
    </row>
    <row r="300" spans="1:10">
      <c r="A300" s="92" t="s">
        <v>6705</v>
      </c>
      <c r="B300" s="92" t="str">
        <f>IF(ISERROR(MATCH(A300,SurveyDATA!P:P,0))=TRUE,"",MATCH(A300,SurveyDATA!P:P,0))</f>
        <v/>
      </c>
      <c r="C300" s="92" t="s">
        <v>6706</v>
      </c>
      <c r="D300" s="92" t="str">
        <f>IF(ISERROR(MATCH(C300,SurveyDATA!AI:AI,0))=TRUE,"",MATCH(C300,SurveyDATA!AI:AI,0))</f>
        <v/>
      </c>
      <c r="E300" s="287" t="str">
        <f>IF(ISERROR(MATCH(C300,SurveyDATA!BL:BL,0))=TRUE,"",MATCH(C300,SurveyDATA!BL:BL,0))</f>
        <v/>
      </c>
      <c r="F300" s="92" t="s">
        <v>6707</v>
      </c>
      <c r="G300" s="287" t="str">
        <f>IF(ISERROR(MATCH(F300,SurveyDATA!BN:BN,0))=TRUE,"",MATCH(F300,SurveyDATA!BN:BN,0))</f>
        <v/>
      </c>
      <c r="H300" s="287" t="str">
        <f>IF(ISERROR(MATCH(F300,#REF!,0))=TRUE,"",MATCH(F300,#REF!,0))</f>
        <v/>
      </c>
      <c r="I300" s="287" t="s">
        <v>7119</v>
      </c>
      <c r="J300" s="92" t="str">
        <f>IF(ISERROR(MATCH(I300,SurveyDATA!D:D,0))=TRUE,"",MATCH(I300,SurveyDATA!D:D,0))</f>
        <v/>
      </c>
    </row>
    <row r="301" spans="1:10">
      <c r="A301" s="92" t="s">
        <v>6702</v>
      </c>
      <c r="B301" s="92" t="str">
        <f>IF(ISERROR(MATCH(A301,SurveyDATA!P:P,0))=TRUE,"",MATCH(A301,SurveyDATA!P:P,0))</f>
        <v/>
      </c>
      <c r="C301" s="92" t="s">
        <v>6703</v>
      </c>
      <c r="D301" s="92" t="str">
        <f>IF(ISERROR(MATCH(C301,SurveyDATA!AI:AI,0))=TRUE,"",MATCH(C301,SurveyDATA!AI:AI,0))</f>
        <v/>
      </c>
      <c r="E301" s="287" t="str">
        <f>IF(ISERROR(MATCH(C301,SurveyDATA!BL:BL,0))=TRUE,"",MATCH(C301,SurveyDATA!BL:BL,0))</f>
        <v/>
      </c>
      <c r="F301" s="92" t="s">
        <v>6704</v>
      </c>
      <c r="G301" s="287" t="str">
        <f>IF(ISERROR(MATCH(F301,SurveyDATA!BN:BN,0))=TRUE,"",MATCH(F301,SurveyDATA!BN:BN,0))</f>
        <v/>
      </c>
      <c r="H301" s="287" t="str">
        <f>IF(ISERROR(MATCH(F301,#REF!,0))=TRUE,"",MATCH(F301,#REF!,0))</f>
        <v/>
      </c>
      <c r="I301" s="287" t="s">
        <v>5911</v>
      </c>
      <c r="J301" s="92" t="str">
        <f>IF(ISERROR(MATCH(I301,SurveyDATA!D:D,0))=TRUE,"",MATCH(I301,SurveyDATA!D:D,0))</f>
        <v/>
      </c>
    </row>
    <row r="302" spans="1:10">
      <c r="A302" s="92" t="s">
        <v>6705</v>
      </c>
      <c r="B302" s="92" t="str">
        <f>IF(ISERROR(MATCH(A302,SurveyDATA!P:P,0))=TRUE,"",MATCH(A302,SurveyDATA!P:P,0))</f>
        <v/>
      </c>
      <c r="C302" s="92" t="s">
        <v>6706</v>
      </c>
      <c r="D302" s="92" t="str">
        <f>IF(ISERROR(MATCH(C302,SurveyDATA!AI:AI,0))=TRUE,"",MATCH(C302,SurveyDATA!AI:AI,0))</f>
        <v/>
      </c>
      <c r="E302" s="287" t="str">
        <f>IF(ISERROR(MATCH(C302,SurveyDATA!BL:BL,0))=TRUE,"",MATCH(C302,SurveyDATA!BL:BL,0))</f>
        <v/>
      </c>
      <c r="F302" s="92" t="s">
        <v>6707</v>
      </c>
      <c r="G302" s="287" t="str">
        <f>IF(ISERROR(MATCH(F302,SurveyDATA!BN:BN,0))=TRUE,"",MATCH(F302,SurveyDATA!BN:BN,0))</f>
        <v/>
      </c>
      <c r="H302" s="287" t="str">
        <f>IF(ISERROR(MATCH(F302,#REF!,0))=TRUE,"",MATCH(F302,#REF!,0))</f>
        <v/>
      </c>
      <c r="I302" s="287" t="s">
        <v>7120</v>
      </c>
      <c r="J302" s="92" t="str">
        <f>IF(ISERROR(MATCH(I302,SurveyDATA!D:D,0))=TRUE,"",MATCH(I302,SurveyDATA!D:D,0))</f>
        <v/>
      </c>
    </row>
    <row r="303" spans="1:10">
      <c r="A303" s="92" t="s">
        <v>6708</v>
      </c>
      <c r="B303" s="92" t="str">
        <f>IF(ISERROR(MATCH(A303,SurveyDATA!P:P,0))=TRUE,"",MATCH(A303,SurveyDATA!P:P,0))</f>
        <v/>
      </c>
      <c r="C303" s="92" t="s">
        <v>6709</v>
      </c>
      <c r="D303" s="92" t="str">
        <f>IF(ISERROR(MATCH(C303,SurveyDATA!AI:AI,0))=TRUE,"",MATCH(C303,SurveyDATA!AI:AI,0))</f>
        <v/>
      </c>
      <c r="E303" s="287" t="str">
        <f>IF(ISERROR(MATCH(C303,SurveyDATA!BL:BL,0))=TRUE,"",MATCH(C303,SurveyDATA!BL:BL,0))</f>
        <v/>
      </c>
      <c r="F303" s="92" t="s">
        <v>6710</v>
      </c>
      <c r="G303" s="287" t="str">
        <f>IF(ISERROR(MATCH(F303,SurveyDATA!BN:BN,0))=TRUE,"",MATCH(F303,SurveyDATA!BN:BN,0))</f>
        <v/>
      </c>
      <c r="H303" s="287" t="str">
        <f>IF(ISERROR(MATCH(F303,#REF!,0))=TRUE,"",MATCH(F303,#REF!,0))</f>
        <v/>
      </c>
      <c r="I303" s="287" t="s">
        <v>5911</v>
      </c>
      <c r="J303" s="92" t="str">
        <f>IF(ISERROR(MATCH(I303,SurveyDATA!D:D,0))=TRUE,"",MATCH(I303,SurveyDATA!D:D,0))</f>
        <v/>
      </c>
    </row>
    <row r="304" spans="1:10">
      <c r="A304" s="92" t="s">
        <v>6711</v>
      </c>
      <c r="B304" s="92" t="str">
        <f>IF(ISERROR(MATCH(A304,SurveyDATA!P:P,0))=TRUE,"",MATCH(A304,SurveyDATA!P:P,0))</f>
        <v/>
      </c>
      <c r="C304" s="92" t="s">
        <v>6712</v>
      </c>
      <c r="D304" s="92" t="str">
        <f>IF(ISERROR(MATCH(C304,SurveyDATA!AI:AI,0))=TRUE,"",MATCH(C304,SurveyDATA!AI:AI,0))</f>
        <v/>
      </c>
      <c r="E304" s="287" t="str">
        <f>IF(ISERROR(MATCH(C304,SurveyDATA!BL:BL,0))=TRUE,"",MATCH(C304,SurveyDATA!BL:BL,0))</f>
        <v/>
      </c>
      <c r="F304" s="92" t="s">
        <v>6713</v>
      </c>
      <c r="G304" s="287" t="str">
        <f>IF(ISERROR(MATCH(F304,SurveyDATA!BN:BN,0))=TRUE,"",MATCH(F304,SurveyDATA!BN:BN,0))</f>
        <v/>
      </c>
      <c r="H304" s="287" t="str">
        <f>IF(ISERROR(MATCH(F304,#REF!,0))=TRUE,"",MATCH(F304,#REF!,0))</f>
        <v/>
      </c>
      <c r="I304" s="287" t="s">
        <v>7121</v>
      </c>
      <c r="J304" s="92" t="str">
        <f>IF(ISERROR(MATCH(I304,SurveyDATA!D:D,0))=TRUE,"",MATCH(I304,SurveyDATA!D:D,0))</f>
        <v/>
      </c>
    </row>
    <row r="305" spans="1:10">
      <c r="A305" s="92" t="s">
        <v>6705</v>
      </c>
      <c r="B305" s="92" t="str">
        <f>IF(ISERROR(MATCH(A305,SurveyDATA!P:P,0))=TRUE,"",MATCH(A305,SurveyDATA!P:P,0))</f>
        <v/>
      </c>
      <c r="C305" s="92" t="s">
        <v>6706</v>
      </c>
      <c r="D305" s="92" t="str">
        <f>IF(ISERROR(MATCH(C305,SurveyDATA!AI:AI,0))=TRUE,"",MATCH(C305,SurveyDATA!AI:AI,0))</f>
        <v/>
      </c>
      <c r="E305" s="287" t="str">
        <f>IF(ISERROR(MATCH(C305,SurveyDATA!BL:BL,0))=TRUE,"",MATCH(C305,SurveyDATA!BL:BL,0))</f>
        <v/>
      </c>
      <c r="F305" s="92" t="s">
        <v>6707</v>
      </c>
      <c r="G305" s="287" t="str">
        <f>IF(ISERROR(MATCH(F305,SurveyDATA!BN:BN,0))=TRUE,"",MATCH(F305,SurveyDATA!BN:BN,0))</f>
        <v/>
      </c>
      <c r="H305" s="287" t="str">
        <f>IF(ISERROR(MATCH(F305,#REF!,0))=TRUE,"",MATCH(F305,#REF!,0))</f>
        <v/>
      </c>
      <c r="I305" s="287" t="s">
        <v>5911</v>
      </c>
      <c r="J305" s="92" t="str">
        <f>IF(ISERROR(MATCH(I305,SurveyDATA!D:D,0))=TRUE,"",MATCH(I305,SurveyDATA!D:D,0))</f>
        <v/>
      </c>
    </row>
    <row r="306" spans="1:10">
      <c r="A306" s="92" t="s">
        <v>6705</v>
      </c>
      <c r="B306" s="92" t="str">
        <f>IF(ISERROR(MATCH(A306,SurveyDATA!P:P,0))=TRUE,"",MATCH(A306,SurveyDATA!P:P,0))</f>
        <v/>
      </c>
      <c r="C306" s="92" t="s">
        <v>6706</v>
      </c>
      <c r="D306" s="92" t="str">
        <f>IF(ISERROR(MATCH(C306,SurveyDATA!AI:AI,0))=TRUE,"",MATCH(C306,SurveyDATA!AI:AI,0))</f>
        <v/>
      </c>
      <c r="E306" s="287" t="str">
        <f>IF(ISERROR(MATCH(C306,SurveyDATA!BL:BL,0))=TRUE,"",MATCH(C306,SurveyDATA!BL:BL,0))</f>
        <v/>
      </c>
      <c r="F306" s="92" t="s">
        <v>6707</v>
      </c>
      <c r="G306" s="287" t="str">
        <f>IF(ISERROR(MATCH(F306,SurveyDATA!BN:BN,0))=TRUE,"",MATCH(F306,SurveyDATA!BN:BN,0))</f>
        <v/>
      </c>
      <c r="H306" s="287" t="str">
        <f>IF(ISERROR(MATCH(F306,#REF!,0))=TRUE,"",MATCH(F306,#REF!,0))</f>
        <v/>
      </c>
      <c r="I306" s="287" t="s">
        <v>7122</v>
      </c>
      <c r="J306" s="92" t="str">
        <f>IF(ISERROR(MATCH(I306,SurveyDATA!D:D,0))=TRUE,"",MATCH(I306,SurveyDATA!D:D,0))</f>
        <v/>
      </c>
    </row>
    <row r="307" spans="1:10">
      <c r="A307" s="92" t="s">
        <v>6714</v>
      </c>
      <c r="B307" s="92" t="str">
        <f>IF(ISERROR(MATCH(A307,SurveyDATA!P:P,0))=TRUE,"",MATCH(A307,SurveyDATA!P:P,0))</f>
        <v/>
      </c>
      <c r="C307" s="92" t="s">
        <v>6715</v>
      </c>
      <c r="D307" s="92" t="str">
        <f>IF(ISERROR(MATCH(C307,SurveyDATA!AI:AI,0))=TRUE,"",MATCH(C307,SurveyDATA!AI:AI,0))</f>
        <v/>
      </c>
      <c r="E307" s="287" t="str">
        <f>IF(ISERROR(MATCH(C307,SurveyDATA!BL:BL,0))=TRUE,"",MATCH(C307,SurveyDATA!BL:BL,0))</f>
        <v/>
      </c>
      <c r="F307" s="92" t="s">
        <v>6716</v>
      </c>
      <c r="G307" s="287" t="str">
        <f>IF(ISERROR(MATCH(F307,SurveyDATA!BN:BN,0))=TRUE,"",MATCH(F307,SurveyDATA!BN:BN,0))</f>
        <v/>
      </c>
      <c r="H307" s="287" t="str">
        <f>IF(ISERROR(MATCH(F307,#REF!,0))=TRUE,"",MATCH(F307,#REF!,0))</f>
        <v/>
      </c>
      <c r="I307" s="287" t="s">
        <v>7123</v>
      </c>
      <c r="J307" s="92" t="str">
        <f>IF(ISERROR(MATCH(I307,SurveyDATA!D:D,0))=TRUE,"",MATCH(I307,SurveyDATA!D:D,0))</f>
        <v/>
      </c>
    </row>
    <row r="308" spans="1:10">
      <c r="A308" s="92" t="s">
        <v>6717</v>
      </c>
      <c r="B308" s="92" t="str">
        <f>IF(ISERROR(MATCH(A308,SurveyDATA!P:P,0))=TRUE,"",MATCH(A308,SurveyDATA!P:P,0))</f>
        <v/>
      </c>
      <c r="C308" s="92" t="s">
        <v>6718</v>
      </c>
      <c r="D308" s="92" t="str">
        <f>IF(ISERROR(MATCH(C308,SurveyDATA!AI:AI,0))=TRUE,"",MATCH(C308,SurveyDATA!AI:AI,0))</f>
        <v/>
      </c>
      <c r="E308" s="287" t="str">
        <f>IF(ISERROR(MATCH(C308,SurveyDATA!BL:BL,0))=TRUE,"",MATCH(C308,SurveyDATA!BL:BL,0))</f>
        <v/>
      </c>
      <c r="F308" s="92" t="s">
        <v>6719</v>
      </c>
      <c r="G308" s="287" t="str">
        <f>IF(ISERROR(MATCH(F308,SurveyDATA!BN:BN,0))=TRUE,"",MATCH(F308,SurveyDATA!BN:BN,0))</f>
        <v/>
      </c>
      <c r="H308" s="287" t="str">
        <f>IF(ISERROR(MATCH(F308,#REF!,0))=TRUE,"",MATCH(F308,#REF!,0))</f>
        <v/>
      </c>
      <c r="I308" s="287" t="s">
        <v>7124</v>
      </c>
      <c r="J308" s="92" t="str">
        <f>IF(ISERROR(MATCH(I308,SurveyDATA!D:D,0))=TRUE,"",MATCH(I308,SurveyDATA!D:D,0))</f>
        <v/>
      </c>
    </row>
    <row r="309" spans="1:10">
      <c r="A309" s="92" t="s">
        <v>6705</v>
      </c>
      <c r="B309" s="92" t="str">
        <f>IF(ISERROR(MATCH(A309,SurveyDATA!P:P,0))=TRUE,"",MATCH(A309,SurveyDATA!P:P,0))</f>
        <v/>
      </c>
      <c r="C309" s="92" t="s">
        <v>6706</v>
      </c>
      <c r="D309" s="92" t="str">
        <f>IF(ISERROR(MATCH(C309,SurveyDATA!AI:AI,0))=TRUE,"",MATCH(C309,SurveyDATA!AI:AI,0))</f>
        <v/>
      </c>
      <c r="E309" s="287" t="str">
        <f>IF(ISERROR(MATCH(C309,SurveyDATA!BL:BL,0))=TRUE,"",MATCH(C309,SurveyDATA!BL:BL,0))</f>
        <v/>
      </c>
      <c r="F309" s="92" t="s">
        <v>6707</v>
      </c>
      <c r="G309" s="287" t="str">
        <f>IF(ISERROR(MATCH(F309,SurveyDATA!BN:BN,0))=TRUE,"",MATCH(F309,SurveyDATA!BN:BN,0))</f>
        <v/>
      </c>
      <c r="H309" s="287" t="str">
        <f>IF(ISERROR(MATCH(F309,#REF!,0))=TRUE,"",MATCH(F309,#REF!,0))</f>
        <v/>
      </c>
      <c r="I309" s="287" t="s">
        <v>7125</v>
      </c>
      <c r="J309" s="92" t="str">
        <f>IF(ISERROR(MATCH(I309,SurveyDATA!D:D,0))=TRUE,"",MATCH(I309,SurveyDATA!D:D,0))</f>
        <v/>
      </c>
    </row>
    <row r="310" spans="1:10">
      <c r="A310" s="92" t="s">
        <v>6705</v>
      </c>
      <c r="B310" s="92" t="str">
        <f>IF(ISERROR(MATCH(A310,SurveyDATA!P:P,0))=TRUE,"",MATCH(A310,SurveyDATA!P:P,0))</f>
        <v/>
      </c>
      <c r="C310" s="92" t="s">
        <v>6706</v>
      </c>
      <c r="D310" s="92" t="str">
        <f>IF(ISERROR(MATCH(C310,SurveyDATA!AI:AI,0))=TRUE,"",MATCH(C310,SurveyDATA!AI:AI,0))</f>
        <v/>
      </c>
      <c r="E310" s="287" t="str">
        <f>IF(ISERROR(MATCH(C310,SurveyDATA!BL:BL,0))=TRUE,"",MATCH(C310,SurveyDATA!BL:BL,0))</f>
        <v/>
      </c>
      <c r="F310" s="92" t="s">
        <v>6707</v>
      </c>
      <c r="G310" s="287" t="str">
        <f>IF(ISERROR(MATCH(F310,SurveyDATA!BN:BN,0))=TRUE,"",MATCH(F310,SurveyDATA!BN:BN,0))</f>
        <v/>
      </c>
      <c r="H310" s="287" t="str">
        <f>IF(ISERROR(MATCH(F310,#REF!,0))=TRUE,"",MATCH(F310,#REF!,0))</f>
        <v/>
      </c>
      <c r="I310" s="287" t="s">
        <v>7126</v>
      </c>
      <c r="J310" s="92" t="str">
        <f>IF(ISERROR(MATCH(I310,SurveyDATA!D:D,0))=TRUE,"",MATCH(I310,SurveyDATA!D:D,0))</f>
        <v/>
      </c>
    </row>
    <row r="311" spans="1:10">
      <c r="A311" s="92" t="s">
        <v>6720</v>
      </c>
      <c r="B311" s="92" t="str">
        <f>IF(ISERROR(MATCH(A311,SurveyDATA!P:P,0))=TRUE,"",MATCH(A311,SurveyDATA!P:P,0))</f>
        <v/>
      </c>
      <c r="C311" s="92" t="s">
        <v>6721</v>
      </c>
      <c r="D311" s="92" t="str">
        <f>IF(ISERROR(MATCH(C311,SurveyDATA!AI:AI,0))=TRUE,"",MATCH(C311,SurveyDATA!AI:AI,0))</f>
        <v/>
      </c>
      <c r="E311" s="287" t="str">
        <f>IF(ISERROR(MATCH(C311,SurveyDATA!BL:BL,0))=TRUE,"",MATCH(C311,SurveyDATA!BL:BL,0))</f>
        <v/>
      </c>
      <c r="F311" s="92" t="s">
        <v>6722</v>
      </c>
      <c r="G311" s="287" t="str">
        <f>IF(ISERROR(MATCH(F311,SurveyDATA!BN:BN,0))=TRUE,"",MATCH(F311,SurveyDATA!BN:BN,0))</f>
        <v/>
      </c>
      <c r="H311" s="287" t="str">
        <f>IF(ISERROR(MATCH(F311,#REF!,0))=TRUE,"",MATCH(F311,#REF!,0))</f>
        <v/>
      </c>
      <c r="I311" s="287" t="s">
        <v>7127</v>
      </c>
      <c r="J311" s="92" t="str">
        <f>IF(ISERROR(MATCH(I311,SurveyDATA!D:D,0))=TRUE,"",MATCH(I311,SurveyDATA!D:D,0))</f>
        <v/>
      </c>
    </row>
    <row r="312" spans="1:10">
      <c r="A312" s="92" t="s">
        <v>6705</v>
      </c>
      <c r="B312" s="92" t="str">
        <f>IF(ISERROR(MATCH(A312,SurveyDATA!P:P,0))=TRUE,"",MATCH(A312,SurveyDATA!P:P,0))</f>
        <v/>
      </c>
      <c r="C312" s="92" t="s">
        <v>6706</v>
      </c>
      <c r="D312" s="92" t="str">
        <f>IF(ISERROR(MATCH(C312,SurveyDATA!AI:AI,0))=TRUE,"",MATCH(C312,SurveyDATA!AI:AI,0))</f>
        <v/>
      </c>
      <c r="E312" s="287" t="str">
        <f>IF(ISERROR(MATCH(C312,SurveyDATA!BL:BL,0))=TRUE,"",MATCH(C312,SurveyDATA!BL:BL,0))</f>
        <v/>
      </c>
      <c r="F312" s="92" t="s">
        <v>6707</v>
      </c>
      <c r="G312" s="287" t="str">
        <f>IF(ISERROR(MATCH(F312,SurveyDATA!BN:BN,0))=TRUE,"",MATCH(F312,SurveyDATA!BN:BN,0))</f>
        <v/>
      </c>
      <c r="H312" s="287" t="str">
        <f>IF(ISERROR(MATCH(F312,#REF!,0))=TRUE,"",MATCH(F312,#REF!,0))</f>
        <v/>
      </c>
      <c r="I312" s="287" t="s">
        <v>7128</v>
      </c>
      <c r="J312" s="92" t="str">
        <f>IF(ISERROR(MATCH(I312,SurveyDATA!D:D,0))=TRUE,"",MATCH(I312,SurveyDATA!D:D,0))</f>
        <v/>
      </c>
    </row>
    <row r="313" spans="1:10">
      <c r="A313" s="92" t="s">
        <v>6723</v>
      </c>
      <c r="B313" s="92" t="str">
        <f>IF(ISERROR(MATCH(A313,SurveyDATA!P:P,0))=TRUE,"",MATCH(A313,SurveyDATA!P:P,0))</f>
        <v/>
      </c>
      <c r="C313" s="92" t="s">
        <v>6724</v>
      </c>
      <c r="D313" s="92" t="str">
        <f>IF(ISERROR(MATCH(C313,SurveyDATA!AI:AI,0))=TRUE,"",MATCH(C313,SurveyDATA!AI:AI,0))</f>
        <v/>
      </c>
      <c r="E313" s="287" t="str">
        <f>IF(ISERROR(MATCH(C313,SurveyDATA!BL:BL,0))=TRUE,"",MATCH(C313,SurveyDATA!BL:BL,0))</f>
        <v/>
      </c>
      <c r="F313" s="92" t="s">
        <v>6725</v>
      </c>
      <c r="G313" s="287" t="str">
        <f>IF(ISERROR(MATCH(F313,SurveyDATA!BN:BN,0))=TRUE,"",MATCH(F313,SurveyDATA!BN:BN,0))</f>
        <v/>
      </c>
      <c r="H313" s="287" t="str">
        <f>IF(ISERROR(MATCH(F313,#REF!,0))=TRUE,"",MATCH(F313,#REF!,0))</f>
        <v/>
      </c>
      <c r="I313" s="287" t="s">
        <v>5911</v>
      </c>
      <c r="J313" s="92" t="str">
        <f>IF(ISERROR(MATCH(I313,SurveyDATA!D:D,0))=TRUE,"",MATCH(I313,SurveyDATA!D:D,0))</f>
        <v/>
      </c>
    </row>
    <row r="314" spans="1:10">
      <c r="A314" s="92" t="s">
        <v>6705</v>
      </c>
      <c r="B314" s="92" t="str">
        <f>IF(ISERROR(MATCH(A314,SurveyDATA!P:P,0))=TRUE,"",MATCH(A314,SurveyDATA!P:P,0))</f>
        <v/>
      </c>
      <c r="C314" s="92" t="s">
        <v>6706</v>
      </c>
      <c r="D314" s="92" t="str">
        <f>IF(ISERROR(MATCH(C314,SurveyDATA!AI:AI,0))=TRUE,"",MATCH(C314,SurveyDATA!AI:AI,0))</f>
        <v/>
      </c>
      <c r="E314" s="287" t="str">
        <f>IF(ISERROR(MATCH(C314,SurveyDATA!BL:BL,0))=TRUE,"",MATCH(C314,SurveyDATA!BL:BL,0))</f>
        <v/>
      </c>
      <c r="F314" s="92" t="s">
        <v>6707</v>
      </c>
      <c r="G314" s="287" t="str">
        <f>IF(ISERROR(MATCH(F314,SurveyDATA!BN:BN,0))=TRUE,"",MATCH(F314,SurveyDATA!BN:BN,0))</f>
        <v/>
      </c>
      <c r="H314" s="287" t="str">
        <f>IF(ISERROR(MATCH(F314,#REF!,0))=TRUE,"",MATCH(F314,#REF!,0))</f>
        <v/>
      </c>
      <c r="I314" s="287" t="s">
        <v>7129</v>
      </c>
      <c r="J314" s="92" t="str">
        <f>IF(ISERROR(MATCH(I314,SurveyDATA!D:D,0))=TRUE,"",MATCH(I314,SurveyDATA!D:D,0))</f>
        <v/>
      </c>
    </row>
    <row r="315" spans="1:10">
      <c r="A315" s="92" t="s">
        <v>6726</v>
      </c>
      <c r="B315" s="92" t="str">
        <f>IF(ISERROR(MATCH(A315,SurveyDATA!P:P,0))=TRUE,"",MATCH(A315,SurveyDATA!P:P,0))</f>
        <v/>
      </c>
      <c r="C315" s="92" t="s">
        <v>6727</v>
      </c>
      <c r="D315" s="92" t="str">
        <f>IF(ISERROR(MATCH(C315,SurveyDATA!AI:AI,0))=TRUE,"",MATCH(C315,SurveyDATA!AI:AI,0))</f>
        <v/>
      </c>
      <c r="E315" s="287" t="str">
        <f>IF(ISERROR(MATCH(C315,SurveyDATA!BL:BL,0))=TRUE,"",MATCH(C315,SurveyDATA!BL:BL,0))</f>
        <v/>
      </c>
      <c r="F315" s="92" t="s">
        <v>6728</v>
      </c>
      <c r="G315" s="287" t="str">
        <f>IF(ISERROR(MATCH(F315,SurveyDATA!BN:BN,0))=TRUE,"",MATCH(F315,SurveyDATA!BN:BN,0))</f>
        <v/>
      </c>
      <c r="H315" s="287" t="str">
        <f>IF(ISERROR(MATCH(F315,#REF!,0))=TRUE,"",MATCH(F315,#REF!,0))</f>
        <v/>
      </c>
      <c r="I315" s="287" t="s">
        <v>7130</v>
      </c>
      <c r="J315" s="92" t="str">
        <f>IF(ISERROR(MATCH(I315,SurveyDATA!D:D,0))=TRUE,"",MATCH(I315,SurveyDATA!D:D,0))</f>
        <v/>
      </c>
    </row>
    <row r="316" spans="1:10">
      <c r="A316" s="92" t="s">
        <v>6729</v>
      </c>
      <c r="B316" s="92" t="str">
        <f>IF(ISERROR(MATCH(A316,SurveyDATA!P:P,0))=TRUE,"",MATCH(A316,SurveyDATA!P:P,0))</f>
        <v/>
      </c>
      <c r="C316" s="92" t="s">
        <v>6730</v>
      </c>
      <c r="D316" s="92" t="str">
        <f>IF(ISERROR(MATCH(C316,SurveyDATA!AI:AI,0))=TRUE,"",MATCH(C316,SurveyDATA!AI:AI,0))</f>
        <v/>
      </c>
      <c r="E316" s="287" t="str">
        <f>IF(ISERROR(MATCH(C316,SurveyDATA!BL:BL,0))=TRUE,"",MATCH(C316,SurveyDATA!BL:BL,0))</f>
        <v/>
      </c>
      <c r="F316" s="92" t="s">
        <v>6731</v>
      </c>
      <c r="G316" s="287" t="str">
        <f>IF(ISERROR(MATCH(F316,SurveyDATA!BN:BN,0))=TRUE,"",MATCH(F316,SurveyDATA!BN:BN,0))</f>
        <v/>
      </c>
      <c r="H316" s="287" t="str">
        <f>IF(ISERROR(MATCH(F316,#REF!,0))=TRUE,"",MATCH(F316,#REF!,0))</f>
        <v/>
      </c>
      <c r="I316" s="287" t="s">
        <v>7131</v>
      </c>
      <c r="J316" s="92" t="str">
        <f>IF(ISERROR(MATCH(I316,SurveyDATA!D:D,0))=TRUE,"",MATCH(I316,SurveyDATA!D:D,0))</f>
        <v/>
      </c>
    </row>
    <row r="317" spans="1:10">
      <c r="A317" s="92" t="s">
        <v>6732</v>
      </c>
      <c r="B317" s="92" t="str">
        <f>IF(ISERROR(MATCH(A317,SurveyDATA!P:P,0))=TRUE,"",MATCH(A317,SurveyDATA!P:P,0))</f>
        <v/>
      </c>
      <c r="C317" s="92" t="s">
        <v>6733</v>
      </c>
      <c r="D317" s="92" t="str">
        <f>IF(ISERROR(MATCH(C317,SurveyDATA!AI:AI,0))=TRUE,"",MATCH(C317,SurveyDATA!AI:AI,0))</f>
        <v/>
      </c>
      <c r="E317" s="287" t="str">
        <f>IF(ISERROR(MATCH(C317,SurveyDATA!BL:BL,0))=TRUE,"",MATCH(C317,SurveyDATA!BL:BL,0))</f>
        <v/>
      </c>
      <c r="F317" s="92" t="s">
        <v>6734</v>
      </c>
      <c r="G317" s="287" t="str">
        <f>IF(ISERROR(MATCH(F317,SurveyDATA!BN:BN,0))=TRUE,"",MATCH(F317,SurveyDATA!BN:BN,0))</f>
        <v/>
      </c>
      <c r="H317" s="287" t="str">
        <f>IF(ISERROR(MATCH(F317,#REF!,0))=TRUE,"",MATCH(F317,#REF!,0))</f>
        <v/>
      </c>
      <c r="I317" s="287" t="s">
        <v>7132</v>
      </c>
      <c r="J317" s="92" t="str">
        <f>IF(ISERROR(MATCH(I317,SurveyDATA!D:D,0))=TRUE,"",MATCH(I317,SurveyDATA!D:D,0))</f>
        <v/>
      </c>
    </row>
    <row r="318" spans="1:10">
      <c r="A318" s="92" t="s">
        <v>6735</v>
      </c>
      <c r="B318" s="92" t="str">
        <f>IF(ISERROR(MATCH(A318,SurveyDATA!P:P,0))=TRUE,"",MATCH(A318,SurveyDATA!P:P,0))</f>
        <v/>
      </c>
      <c r="C318" s="92" t="s">
        <v>6736</v>
      </c>
      <c r="D318" s="92" t="str">
        <f>IF(ISERROR(MATCH(C318,SurveyDATA!AI:AI,0))=TRUE,"",MATCH(C318,SurveyDATA!AI:AI,0))</f>
        <v/>
      </c>
      <c r="E318" s="287" t="str">
        <f>IF(ISERROR(MATCH(C318,SurveyDATA!BL:BL,0))=TRUE,"",MATCH(C318,SurveyDATA!BL:BL,0))</f>
        <v/>
      </c>
      <c r="F318" s="92" t="s">
        <v>6737</v>
      </c>
      <c r="G318" s="287" t="str">
        <f>IF(ISERROR(MATCH(F318,SurveyDATA!BN:BN,0))=TRUE,"",MATCH(F318,SurveyDATA!BN:BN,0))</f>
        <v/>
      </c>
      <c r="H318" s="287" t="str">
        <f>IF(ISERROR(MATCH(F318,#REF!,0))=TRUE,"",MATCH(F318,#REF!,0))</f>
        <v/>
      </c>
      <c r="I318" s="287" t="s">
        <v>7133</v>
      </c>
      <c r="J318" s="92" t="str">
        <f>IF(ISERROR(MATCH(I318,SurveyDATA!D:D,0))=TRUE,"",MATCH(I318,SurveyDATA!D:D,0))</f>
        <v/>
      </c>
    </row>
    <row r="319" spans="1:10">
      <c r="A319" s="92" t="s">
        <v>6738</v>
      </c>
      <c r="B319" s="92" t="str">
        <f>IF(ISERROR(MATCH(A319,SurveyDATA!P:P,0))=TRUE,"",MATCH(A319,SurveyDATA!P:P,0))</f>
        <v/>
      </c>
      <c r="C319" s="92" t="s">
        <v>6739</v>
      </c>
      <c r="D319" s="92" t="str">
        <f>IF(ISERROR(MATCH(C319,SurveyDATA!AI:AI,0))=TRUE,"",MATCH(C319,SurveyDATA!AI:AI,0))</f>
        <v/>
      </c>
      <c r="E319" s="287" t="str">
        <f>IF(ISERROR(MATCH(C319,SurveyDATA!BL:BL,0))=TRUE,"",MATCH(C319,SurveyDATA!BL:BL,0))</f>
        <v/>
      </c>
      <c r="F319" s="92" t="s">
        <v>6740</v>
      </c>
      <c r="G319" s="287" t="str">
        <f>IF(ISERROR(MATCH(F319,SurveyDATA!BN:BN,0))=TRUE,"",MATCH(F319,SurveyDATA!BN:BN,0))</f>
        <v/>
      </c>
      <c r="H319" s="287" t="str">
        <f>IF(ISERROR(MATCH(F319,#REF!,0))=TRUE,"",MATCH(F319,#REF!,0))</f>
        <v/>
      </c>
      <c r="I319" s="287" t="s">
        <v>5911</v>
      </c>
      <c r="J319" s="92" t="str">
        <f>IF(ISERROR(MATCH(I319,SurveyDATA!D:D,0))=TRUE,"",MATCH(I319,SurveyDATA!D:D,0))</f>
        <v/>
      </c>
    </row>
    <row r="320" spans="1:10">
      <c r="A320" s="92" t="s">
        <v>6741</v>
      </c>
      <c r="B320" s="92" t="str">
        <f>IF(ISERROR(MATCH(A320,SurveyDATA!P:P,0))=TRUE,"",MATCH(A320,SurveyDATA!P:P,0))</f>
        <v/>
      </c>
      <c r="C320" s="92" t="s">
        <v>6742</v>
      </c>
      <c r="D320" s="92" t="str">
        <f>IF(ISERROR(MATCH(C320,SurveyDATA!AI:AI,0))=TRUE,"",MATCH(C320,SurveyDATA!AI:AI,0))</f>
        <v/>
      </c>
      <c r="E320" s="287" t="str">
        <f>IF(ISERROR(MATCH(C320,SurveyDATA!BL:BL,0))=TRUE,"",MATCH(C320,SurveyDATA!BL:BL,0))</f>
        <v/>
      </c>
      <c r="F320" s="92" t="s">
        <v>6743</v>
      </c>
      <c r="G320" s="287" t="str">
        <f>IF(ISERROR(MATCH(F320,SurveyDATA!BN:BN,0))=TRUE,"",MATCH(F320,SurveyDATA!BN:BN,0))</f>
        <v/>
      </c>
      <c r="H320" s="287" t="str">
        <f>IF(ISERROR(MATCH(F320,#REF!,0))=TRUE,"",MATCH(F320,#REF!,0))</f>
        <v/>
      </c>
      <c r="I320" s="287" t="s">
        <v>7134</v>
      </c>
      <c r="J320" s="92" t="str">
        <f>IF(ISERROR(MATCH(I320,SurveyDATA!D:D,0))=TRUE,"",MATCH(I320,SurveyDATA!D:D,0))</f>
        <v/>
      </c>
    </row>
    <row r="321" spans="1:10">
      <c r="A321" s="92" t="s">
        <v>6744</v>
      </c>
      <c r="B321" s="92" t="str">
        <f>IF(ISERROR(MATCH(A321,SurveyDATA!P:P,0))=TRUE,"",MATCH(A321,SurveyDATA!P:P,0))</f>
        <v/>
      </c>
      <c r="C321" s="92" t="s">
        <v>6745</v>
      </c>
      <c r="D321" s="92" t="str">
        <f>IF(ISERROR(MATCH(C321,SurveyDATA!AI:AI,0))=TRUE,"",MATCH(C321,SurveyDATA!AI:AI,0))</f>
        <v/>
      </c>
      <c r="E321" s="287" t="str">
        <f>IF(ISERROR(MATCH(C321,SurveyDATA!BL:BL,0))=TRUE,"",MATCH(C321,SurveyDATA!BL:BL,0))</f>
        <v/>
      </c>
      <c r="F321" s="92" t="s">
        <v>6746</v>
      </c>
      <c r="G321" s="287" t="str">
        <f>IF(ISERROR(MATCH(F321,SurveyDATA!BN:BN,0))=TRUE,"",MATCH(F321,SurveyDATA!BN:BN,0))</f>
        <v/>
      </c>
      <c r="H321" s="287" t="str">
        <f>IF(ISERROR(MATCH(F321,#REF!,0))=TRUE,"",MATCH(F321,#REF!,0))</f>
        <v/>
      </c>
      <c r="I321" s="287" t="s">
        <v>5911</v>
      </c>
      <c r="J321" s="92" t="str">
        <f>IF(ISERROR(MATCH(I321,SurveyDATA!D:D,0))=TRUE,"",MATCH(I321,SurveyDATA!D:D,0))</f>
        <v/>
      </c>
    </row>
    <row r="322" spans="1:10">
      <c r="A322" s="92" t="s">
        <v>6747</v>
      </c>
      <c r="B322" s="92" t="str">
        <f>IF(ISERROR(MATCH(A322,SurveyDATA!P:P,0))=TRUE,"",MATCH(A322,SurveyDATA!P:P,0))</f>
        <v/>
      </c>
      <c r="C322" s="92" t="s">
        <v>6748</v>
      </c>
      <c r="D322" s="92" t="str">
        <f>IF(ISERROR(MATCH(C322,SurveyDATA!AI:AI,0))=TRUE,"",MATCH(C322,SurveyDATA!AI:AI,0))</f>
        <v/>
      </c>
      <c r="E322" s="287" t="str">
        <f>IF(ISERROR(MATCH(C322,SurveyDATA!BL:BL,0))=TRUE,"",MATCH(C322,SurveyDATA!BL:BL,0))</f>
        <v/>
      </c>
      <c r="F322" s="92" t="s">
        <v>6749</v>
      </c>
      <c r="G322" s="287" t="str">
        <f>IF(ISERROR(MATCH(F322,SurveyDATA!BN:BN,0))=TRUE,"",MATCH(F322,SurveyDATA!BN:BN,0))</f>
        <v/>
      </c>
      <c r="H322" s="287" t="str">
        <f>IF(ISERROR(MATCH(F322,#REF!,0))=TRUE,"",MATCH(F322,#REF!,0))</f>
        <v/>
      </c>
      <c r="I322" s="287" t="s">
        <v>7135</v>
      </c>
      <c r="J322" s="92" t="str">
        <f>IF(ISERROR(MATCH(I322,SurveyDATA!D:D,0))=TRUE,"",MATCH(I322,SurveyDATA!D:D,0))</f>
        <v/>
      </c>
    </row>
    <row r="323" spans="1:10">
      <c r="A323" s="92" t="s">
        <v>6750</v>
      </c>
      <c r="B323" s="92" t="str">
        <f>IF(ISERROR(MATCH(A323,SurveyDATA!P:P,0))=TRUE,"",MATCH(A323,SurveyDATA!P:P,0))</f>
        <v/>
      </c>
      <c r="C323" s="92" t="s">
        <v>6751</v>
      </c>
      <c r="D323" s="92" t="str">
        <f>IF(ISERROR(MATCH(C323,SurveyDATA!AI:AI,0))=TRUE,"",MATCH(C323,SurveyDATA!AI:AI,0))</f>
        <v/>
      </c>
      <c r="E323" s="287" t="str">
        <f>IF(ISERROR(MATCH(C323,SurveyDATA!BL:BL,0))=TRUE,"",MATCH(C323,SurveyDATA!BL:BL,0))</f>
        <v/>
      </c>
      <c r="F323" s="92" t="s">
        <v>6752</v>
      </c>
      <c r="G323" s="287" t="str">
        <f>IF(ISERROR(MATCH(F323,SurveyDATA!BN:BN,0))=TRUE,"",MATCH(F323,SurveyDATA!BN:BN,0))</f>
        <v/>
      </c>
      <c r="H323" s="287" t="str">
        <f>IF(ISERROR(MATCH(F323,#REF!,0))=TRUE,"",MATCH(F323,#REF!,0))</f>
        <v/>
      </c>
      <c r="I323" s="287" t="s">
        <v>5911</v>
      </c>
      <c r="J323" s="92" t="str">
        <f>IF(ISERROR(MATCH(I323,SurveyDATA!D:D,0))=TRUE,"",MATCH(I323,SurveyDATA!D:D,0))</f>
        <v/>
      </c>
    </row>
    <row r="324" spans="1:10">
      <c r="A324" s="92" t="s">
        <v>6753</v>
      </c>
      <c r="B324" s="92" t="str">
        <f>IF(ISERROR(MATCH(A324,SurveyDATA!P:P,0))=TRUE,"",MATCH(A324,SurveyDATA!P:P,0))</f>
        <v/>
      </c>
      <c r="C324" s="92" t="s">
        <v>6754</v>
      </c>
      <c r="D324" s="92" t="str">
        <f>IF(ISERROR(MATCH(C324,SurveyDATA!AI:AI,0))=TRUE,"",MATCH(C324,SurveyDATA!AI:AI,0))</f>
        <v/>
      </c>
      <c r="E324" s="287" t="str">
        <f>IF(ISERROR(MATCH(C324,SurveyDATA!BL:BL,0))=TRUE,"",MATCH(C324,SurveyDATA!BL:BL,0))</f>
        <v/>
      </c>
      <c r="F324" s="92" t="s">
        <v>6755</v>
      </c>
      <c r="G324" s="287" t="str">
        <f>IF(ISERROR(MATCH(F324,SurveyDATA!BN:BN,0))=TRUE,"",MATCH(F324,SurveyDATA!BN:BN,0))</f>
        <v/>
      </c>
      <c r="H324" s="287" t="str">
        <f>IF(ISERROR(MATCH(F324,#REF!,0))=TRUE,"",MATCH(F324,#REF!,0))</f>
        <v/>
      </c>
      <c r="I324" s="287" t="s">
        <v>7136</v>
      </c>
      <c r="J324" s="92" t="str">
        <f>IF(ISERROR(MATCH(I324,SurveyDATA!D:D,0))=TRUE,"",MATCH(I324,SurveyDATA!D:D,0))</f>
        <v/>
      </c>
    </row>
    <row r="325" spans="1:10">
      <c r="A325" s="92" t="s">
        <v>6756</v>
      </c>
      <c r="B325" s="92" t="str">
        <f>IF(ISERROR(MATCH(A325,SurveyDATA!P:P,0))=TRUE,"",MATCH(A325,SurveyDATA!P:P,0))</f>
        <v/>
      </c>
      <c r="C325" s="92" t="s">
        <v>6757</v>
      </c>
      <c r="D325" s="92" t="str">
        <f>IF(ISERROR(MATCH(C325,SurveyDATA!AI:AI,0))=TRUE,"",MATCH(C325,SurveyDATA!AI:AI,0))</f>
        <v/>
      </c>
      <c r="E325" s="287" t="str">
        <f>IF(ISERROR(MATCH(C325,SurveyDATA!BL:BL,0))=TRUE,"",MATCH(C325,SurveyDATA!BL:BL,0))</f>
        <v/>
      </c>
      <c r="F325" s="92" t="s">
        <v>6758</v>
      </c>
      <c r="G325" s="287" t="str">
        <f>IF(ISERROR(MATCH(F325,SurveyDATA!BN:BN,0))=TRUE,"",MATCH(F325,SurveyDATA!BN:BN,0))</f>
        <v/>
      </c>
      <c r="H325" s="287" t="str">
        <f>IF(ISERROR(MATCH(F325,#REF!,0))=TRUE,"",MATCH(F325,#REF!,0))</f>
        <v/>
      </c>
      <c r="I325" s="287" t="s">
        <v>7137</v>
      </c>
      <c r="J325" s="92" t="str">
        <f>IF(ISERROR(MATCH(I325,SurveyDATA!D:D,0))=TRUE,"",MATCH(I325,SurveyDATA!D:D,0))</f>
        <v/>
      </c>
    </row>
    <row r="326" spans="1:10">
      <c r="A326" s="92" t="s">
        <v>6759</v>
      </c>
      <c r="B326" s="92" t="str">
        <f>IF(ISERROR(MATCH(A326,SurveyDATA!P:P,0))=TRUE,"",MATCH(A326,SurveyDATA!P:P,0))</f>
        <v/>
      </c>
      <c r="C326" s="92" t="s">
        <v>6760</v>
      </c>
      <c r="D326" s="92" t="str">
        <f>IF(ISERROR(MATCH(C326,SurveyDATA!AI:AI,0))=TRUE,"",MATCH(C326,SurveyDATA!AI:AI,0))</f>
        <v/>
      </c>
      <c r="E326" s="287" t="str">
        <f>IF(ISERROR(MATCH(C326,SurveyDATA!BL:BL,0))=TRUE,"",MATCH(C326,SurveyDATA!BL:BL,0))</f>
        <v/>
      </c>
      <c r="F326" s="92" t="s">
        <v>6761</v>
      </c>
      <c r="G326" s="287" t="str">
        <f>IF(ISERROR(MATCH(F326,SurveyDATA!BN:BN,0))=TRUE,"",MATCH(F326,SurveyDATA!BN:BN,0))</f>
        <v/>
      </c>
      <c r="H326" s="287" t="str">
        <f>IF(ISERROR(MATCH(F326,#REF!,0))=TRUE,"",MATCH(F326,#REF!,0))</f>
        <v/>
      </c>
      <c r="I326" s="287" t="s">
        <v>7138</v>
      </c>
      <c r="J326" s="92" t="str">
        <f>IF(ISERROR(MATCH(I326,SurveyDATA!D:D,0))=TRUE,"",MATCH(I326,SurveyDATA!D:D,0))</f>
        <v/>
      </c>
    </row>
    <row r="327" spans="1:10">
      <c r="A327" s="92" t="s">
        <v>6762</v>
      </c>
      <c r="B327" s="92" t="str">
        <f>IF(ISERROR(MATCH(A327,SurveyDATA!P:P,0))=TRUE,"",MATCH(A327,SurveyDATA!P:P,0))</f>
        <v/>
      </c>
      <c r="C327" s="92" t="s">
        <v>6763</v>
      </c>
      <c r="D327" s="92" t="str">
        <f>IF(ISERROR(MATCH(C327,SurveyDATA!AI:AI,0))=TRUE,"",MATCH(C327,SurveyDATA!AI:AI,0))</f>
        <v/>
      </c>
      <c r="E327" s="287" t="str">
        <f>IF(ISERROR(MATCH(C327,SurveyDATA!BL:BL,0))=TRUE,"",MATCH(C327,SurveyDATA!BL:BL,0))</f>
        <v/>
      </c>
      <c r="F327" s="92" t="s">
        <v>6764</v>
      </c>
      <c r="G327" s="287" t="str">
        <f>IF(ISERROR(MATCH(F327,SurveyDATA!BN:BN,0))=TRUE,"",MATCH(F327,SurveyDATA!BN:BN,0))</f>
        <v/>
      </c>
      <c r="H327" s="287" t="str">
        <f>IF(ISERROR(MATCH(F327,#REF!,0))=TRUE,"",MATCH(F327,#REF!,0))</f>
        <v/>
      </c>
      <c r="I327" s="287" t="s">
        <v>7139</v>
      </c>
      <c r="J327" s="92" t="str">
        <f>IF(ISERROR(MATCH(I327,SurveyDATA!D:D,0))=TRUE,"",MATCH(I327,SurveyDATA!D:D,0))</f>
        <v/>
      </c>
    </row>
    <row r="328" spans="1:10">
      <c r="A328" s="92" t="s">
        <v>6765</v>
      </c>
      <c r="B328" s="92" t="str">
        <f>IF(ISERROR(MATCH(A328,SurveyDATA!P:P,0))=TRUE,"",MATCH(A328,SurveyDATA!P:P,0))</f>
        <v/>
      </c>
      <c r="C328" s="92" t="s">
        <v>6766</v>
      </c>
      <c r="D328" s="92" t="str">
        <f>IF(ISERROR(MATCH(C328,SurveyDATA!AI:AI,0))=TRUE,"",MATCH(C328,SurveyDATA!AI:AI,0))</f>
        <v/>
      </c>
      <c r="E328" s="287" t="str">
        <f>IF(ISERROR(MATCH(C328,SurveyDATA!BL:BL,0))=TRUE,"",MATCH(C328,SurveyDATA!BL:BL,0))</f>
        <v/>
      </c>
      <c r="F328" s="92" t="s">
        <v>6767</v>
      </c>
      <c r="G328" s="287" t="str">
        <f>IF(ISERROR(MATCH(F328,SurveyDATA!BN:BN,0))=TRUE,"",MATCH(F328,SurveyDATA!BN:BN,0))</f>
        <v/>
      </c>
      <c r="H328" s="287" t="str">
        <f>IF(ISERROR(MATCH(F328,#REF!,0))=TRUE,"",MATCH(F328,#REF!,0))</f>
        <v/>
      </c>
      <c r="I328" s="287" t="s">
        <v>7140</v>
      </c>
      <c r="J328" s="92" t="str">
        <f>IF(ISERROR(MATCH(I328,SurveyDATA!D:D,0))=TRUE,"",MATCH(I328,SurveyDATA!D:D,0))</f>
        <v/>
      </c>
    </row>
    <row r="329" spans="1:10">
      <c r="A329" s="92" t="s">
        <v>6768</v>
      </c>
      <c r="B329" s="92" t="str">
        <f>IF(ISERROR(MATCH(A329,SurveyDATA!P:P,0))=TRUE,"",MATCH(A329,SurveyDATA!P:P,0))</f>
        <v/>
      </c>
      <c r="C329" s="92" t="s">
        <v>6769</v>
      </c>
      <c r="D329" s="92" t="str">
        <f>IF(ISERROR(MATCH(C329,SurveyDATA!AI:AI,0))=TRUE,"",MATCH(C329,SurveyDATA!AI:AI,0))</f>
        <v/>
      </c>
      <c r="E329" s="287" t="str">
        <f>IF(ISERROR(MATCH(C329,SurveyDATA!BL:BL,0))=TRUE,"",MATCH(C329,SurveyDATA!BL:BL,0))</f>
        <v/>
      </c>
      <c r="F329" s="92" t="s">
        <v>6770</v>
      </c>
      <c r="G329" s="287" t="str">
        <f>IF(ISERROR(MATCH(F329,SurveyDATA!BN:BN,0))=TRUE,"",MATCH(F329,SurveyDATA!BN:BN,0))</f>
        <v/>
      </c>
      <c r="H329" s="287" t="str">
        <f>IF(ISERROR(MATCH(F329,#REF!,0))=TRUE,"",MATCH(F329,#REF!,0))</f>
        <v/>
      </c>
      <c r="I329" s="287" t="s">
        <v>5911</v>
      </c>
      <c r="J329" s="92" t="str">
        <f>IF(ISERROR(MATCH(I329,SurveyDATA!D:D,0))=TRUE,"",MATCH(I329,SurveyDATA!D:D,0))</f>
        <v/>
      </c>
    </row>
    <row r="330" spans="1:10">
      <c r="A330" s="92" t="s">
        <v>6771</v>
      </c>
      <c r="B330" s="92" t="str">
        <f>IF(ISERROR(MATCH(A330,SurveyDATA!P:P,0))=TRUE,"",MATCH(A330,SurveyDATA!P:P,0))</f>
        <v/>
      </c>
      <c r="C330" s="92" t="s">
        <v>6772</v>
      </c>
      <c r="D330" s="92" t="str">
        <f>IF(ISERROR(MATCH(C330,SurveyDATA!AI:AI,0))=TRUE,"",MATCH(C330,SurveyDATA!AI:AI,0))</f>
        <v/>
      </c>
      <c r="E330" s="287" t="str">
        <f>IF(ISERROR(MATCH(C330,SurveyDATA!BL:BL,0))=TRUE,"",MATCH(C330,SurveyDATA!BL:BL,0))</f>
        <v/>
      </c>
      <c r="F330" s="92" t="s">
        <v>6773</v>
      </c>
      <c r="G330" s="287" t="str">
        <f>IF(ISERROR(MATCH(F330,SurveyDATA!BN:BN,0))=TRUE,"",MATCH(F330,SurveyDATA!BN:BN,0))</f>
        <v/>
      </c>
      <c r="H330" s="287" t="str">
        <f>IF(ISERROR(MATCH(F330,#REF!,0))=TRUE,"",MATCH(F330,#REF!,0))</f>
        <v/>
      </c>
      <c r="I330" s="287" t="s">
        <v>7141</v>
      </c>
      <c r="J330" s="92" t="str">
        <f>IF(ISERROR(MATCH(I330,SurveyDATA!D:D,0))=TRUE,"",MATCH(I330,SurveyDATA!D:D,0))</f>
        <v/>
      </c>
    </row>
    <row r="331" spans="1:10">
      <c r="A331" s="92" t="s">
        <v>6774</v>
      </c>
      <c r="B331" s="92" t="str">
        <f>IF(ISERROR(MATCH(A331,SurveyDATA!P:P,0))=TRUE,"",MATCH(A331,SurveyDATA!P:P,0))</f>
        <v/>
      </c>
      <c r="C331" s="92" t="s">
        <v>6775</v>
      </c>
      <c r="D331" s="92" t="str">
        <f>IF(ISERROR(MATCH(C331,SurveyDATA!AI:AI,0))=TRUE,"",MATCH(C331,SurveyDATA!AI:AI,0))</f>
        <v/>
      </c>
      <c r="E331" s="287" t="str">
        <f>IF(ISERROR(MATCH(C331,SurveyDATA!BL:BL,0))=TRUE,"",MATCH(C331,SurveyDATA!BL:BL,0))</f>
        <v/>
      </c>
      <c r="F331" s="92" t="s">
        <v>6776</v>
      </c>
      <c r="G331" s="287" t="str">
        <f>IF(ISERROR(MATCH(F331,SurveyDATA!BN:BN,0))=TRUE,"",MATCH(F331,SurveyDATA!BN:BN,0))</f>
        <v/>
      </c>
      <c r="H331" s="287" t="str">
        <f>IF(ISERROR(MATCH(F331,#REF!,0))=TRUE,"",MATCH(F331,#REF!,0))</f>
        <v/>
      </c>
      <c r="I331" s="287" t="s">
        <v>7142</v>
      </c>
      <c r="J331" s="92" t="str">
        <f>IF(ISERROR(MATCH(I331,SurveyDATA!D:D,0))=TRUE,"",MATCH(I331,SurveyDATA!D:D,0))</f>
        <v/>
      </c>
    </row>
    <row r="332" spans="1:10">
      <c r="A332" s="92" t="s">
        <v>6777</v>
      </c>
      <c r="B332" s="92" t="str">
        <f>IF(ISERROR(MATCH(A332,SurveyDATA!P:P,0))=TRUE,"",MATCH(A332,SurveyDATA!P:P,0))</f>
        <v/>
      </c>
      <c r="C332" s="92" t="s">
        <v>6778</v>
      </c>
      <c r="D332" s="92" t="str">
        <f>IF(ISERROR(MATCH(C332,SurveyDATA!AI:AI,0))=TRUE,"",MATCH(C332,SurveyDATA!AI:AI,0))</f>
        <v/>
      </c>
      <c r="E332" s="287" t="str">
        <f>IF(ISERROR(MATCH(C332,SurveyDATA!BL:BL,0))=TRUE,"",MATCH(C332,SurveyDATA!BL:BL,0))</f>
        <v/>
      </c>
      <c r="F332" s="92" t="s">
        <v>6779</v>
      </c>
      <c r="G332" s="287" t="str">
        <f>IF(ISERROR(MATCH(F332,SurveyDATA!BN:BN,0))=TRUE,"",MATCH(F332,SurveyDATA!BN:BN,0))</f>
        <v/>
      </c>
      <c r="H332" s="287" t="str">
        <f>IF(ISERROR(MATCH(F332,#REF!,0))=TRUE,"",MATCH(F332,#REF!,0))</f>
        <v/>
      </c>
      <c r="I332" s="287" t="s">
        <v>5911</v>
      </c>
      <c r="J332" s="92" t="str">
        <f>IF(ISERROR(MATCH(I332,SurveyDATA!D:D,0))=TRUE,"",MATCH(I332,SurveyDATA!D:D,0))</f>
        <v/>
      </c>
    </row>
    <row r="333" spans="1:10">
      <c r="A333" s="92" t="s">
        <v>6780</v>
      </c>
      <c r="B333" s="92" t="str">
        <f>IF(ISERROR(MATCH(A333,SurveyDATA!P:P,0))=TRUE,"",MATCH(A333,SurveyDATA!P:P,0))</f>
        <v/>
      </c>
      <c r="C333" s="92" t="s">
        <v>6781</v>
      </c>
      <c r="D333" s="92" t="str">
        <f>IF(ISERROR(MATCH(C333,SurveyDATA!AI:AI,0))=TRUE,"",MATCH(C333,SurveyDATA!AI:AI,0))</f>
        <v/>
      </c>
      <c r="E333" s="287" t="str">
        <f>IF(ISERROR(MATCH(C333,SurveyDATA!BL:BL,0))=TRUE,"",MATCH(C333,SurveyDATA!BL:BL,0))</f>
        <v/>
      </c>
      <c r="F333" s="92" t="s">
        <v>6782</v>
      </c>
      <c r="G333" s="287" t="str">
        <f>IF(ISERROR(MATCH(F333,SurveyDATA!BN:BN,0))=TRUE,"",MATCH(F333,SurveyDATA!BN:BN,0))</f>
        <v/>
      </c>
      <c r="H333" s="287" t="str">
        <f>IF(ISERROR(MATCH(F333,#REF!,0))=TRUE,"",MATCH(F333,#REF!,0))</f>
        <v/>
      </c>
      <c r="I333" s="287" t="s">
        <v>7143</v>
      </c>
      <c r="J333" s="92" t="str">
        <f>IF(ISERROR(MATCH(I333,SurveyDATA!D:D,0))=TRUE,"",MATCH(I333,SurveyDATA!D:D,0))</f>
        <v/>
      </c>
    </row>
    <row r="334" spans="1:10">
      <c r="A334" s="92" t="s">
        <v>6783</v>
      </c>
      <c r="B334" s="92" t="str">
        <f>IF(ISERROR(MATCH(A334,SurveyDATA!P:P,0))=TRUE,"",MATCH(A334,SurveyDATA!P:P,0))</f>
        <v/>
      </c>
      <c r="C334" s="92" t="s">
        <v>6784</v>
      </c>
      <c r="D334" s="92" t="str">
        <f>IF(ISERROR(MATCH(C334,SurveyDATA!AI:AI,0))=TRUE,"",MATCH(C334,SurveyDATA!AI:AI,0))</f>
        <v/>
      </c>
      <c r="E334" s="287" t="str">
        <f>IF(ISERROR(MATCH(C334,SurveyDATA!BL:BL,0))=TRUE,"",MATCH(C334,SurveyDATA!BL:BL,0))</f>
        <v/>
      </c>
      <c r="F334" s="92" t="s">
        <v>6785</v>
      </c>
      <c r="G334" s="287" t="str">
        <f>IF(ISERROR(MATCH(F334,SurveyDATA!BN:BN,0))=TRUE,"",MATCH(F334,SurveyDATA!BN:BN,0))</f>
        <v/>
      </c>
      <c r="H334" s="287" t="str">
        <f>IF(ISERROR(MATCH(F334,#REF!,0))=TRUE,"",MATCH(F334,#REF!,0))</f>
        <v/>
      </c>
      <c r="I334" s="287" t="s">
        <v>7144</v>
      </c>
      <c r="J334" s="92" t="str">
        <f>IF(ISERROR(MATCH(I334,SurveyDATA!D:D,0))=TRUE,"",MATCH(I334,SurveyDATA!D:D,0))</f>
        <v/>
      </c>
    </row>
    <row r="335" spans="1:10">
      <c r="A335" s="92" t="s">
        <v>6786</v>
      </c>
      <c r="B335" s="92" t="str">
        <f>IF(ISERROR(MATCH(A335,SurveyDATA!P:P,0))=TRUE,"",MATCH(A335,SurveyDATA!P:P,0))</f>
        <v/>
      </c>
      <c r="C335" s="92" t="s">
        <v>6787</v>
      </c>
      <c r="D335" s="92" t="str">
        <f>IF(ISERROR(MATCH(C335,SurveyDATA!AI:AI,0))=TRUE,"",MATCH(C335,SurveyDATA!AI:AI,0))</f>
        <v/>
      </c>
      <c r="E335" s="287" t="str">
        <f>IF(ISERROR(MATCH(C335,SurveyDATA!BL:BL,0))=TRUE,"",MATCH(C335,SurveyDATA!BL:BL,0))</f>
        <v/>
      </c>
      <c r="F335" s="92" t="s">
        <v>6788</v>
      </c>
      <c r="G335" s="287" t="str">
        <f>IF(ISERROR(MATCH(F335,SurveyDATA!BN:BN,0))=TRUE,"",MATCH(F335,SurveyDATA!BN:BN,0))</f>
        <v/>
      </c>
      <c r="H335" s="287" t="str">
        <f>IF(ISERROR(MATCH(F335,#REF!,0))=TRUE,"",MATCH(F335,#REF!,0))</f>
        <v/>
      </c>
      <c r="I335" s="287" t="s">
        <v>7145</v>
      </c>
      <c r="J335" s="92" t="str">
        <f>IF(ISERROR(MATCH(I335,SurveyDATA!D:D,0))=TRUE,"",MATCH(I335,SurveyDATA!D:D,0))</f>
        <v/>
      </c>
    </row>
    <row r="336" spans="1:10">
      <c r="A336" s="92" t="s">
        <v>6789</v>
      </c>
      <c r="B336" s="92" t="str">
        <f>IF(ISERROR(MATCH(A336,SurveyDATA!P:P,0))=TRUE,"",MATCH(A336,SurveyDATA!P:P,0))</f>
        <v/>
      </c>
      <c r="C336" s="92" t="s">
        <v>6790</v>
      </c>
      <c r="D336" s="92" t="str">
        <f>IF(ISERROR(MATCH(C336,SurveyDATA!AI:AI,0))=TRUE,"",MATCH(C336,SurveyDATA!AI:AI,0))</f>
        <v/>
      </c>
      <c r="E336" s="287" t="str">
        <f>IF(ISERROR(MATCH(C336,SurveyDATA!BL:BL,0))=TRUE,"",MATCH(C336,SurveyDATA!BL:BL,0))</f>
        <v/>
      </c>
      <c r="F336" s="92" t="s">
        <v>6791</v>
      </c>
      <c r="G336" s="287" t="str">
        <f>IF(ISERROR(MATCH(F336,SurveyDATA!BN:BN,0))=TRUE,"",MATCH(F336,SurveyDATA!BN:BN,0))</f>
        <v/>
      </c>
      <c r="H336" s="287" t="str">
        <f>IF(ISERROR(MATCH(F336,#REF!,0))=TRUE,"",MATCH(F336,#REF!,0))</f>
        <v/>
      </c>
      <c r="I336" s="287" t="s">
        <v>7146</v>
      </c>
      <c r="J336" s="92" t="str">
        <f>IF(ISERROR(MATCH(I336,SurveyDATA!D:D,0))=TRUE,"",MATCH(I336,SurveyDATA!D:D,0))</f>
        <v/>
      </c>
    </row>
    <row r="337" spans="1:10">
      <c r="A337" s="92" t="s">
        <v>6792</v>
      </c>
      <c r="B337" s="92" t="str">
        <f>IF(ISERROR(MATCH(A337,SurveyDATA!P:P,0))=TRUE,"",MATCH(A337,SurveyDATA!P:P,0))</f>
        <v/>
      </c>
      <c r="C337" s="92" t="s">
        <v>6793</v>
      </c>
      <c r="D337" s="92" t="str">
        <f>IF(ISERROR(MATCH(C337,SurveyDATA!AI:AI,0))=TRUE,"",MATCH(C337,SurveyDATA!AI:AI,0))</f>
        <v/>
      </c>
      <c r="E337" s="287" t="str">
        <f>IF(ISERROR(MATCH(C337,SurveyDATA!BL:BL,0))=TRUE,"",MATCH(C337,SurveyDATA!BL:BL,0))</f>
        <v/>
      </c>
      <c r="F337" s="92" t="s">
        <v>6794</v>
      </c>
      <c r="G337" s="287" t="str">
        <f>IF(ISERROR(MATCH(F337,SurveyDATA!BN:BN,0))=TRUE,"",MATCH(F337,SurveyDATA!BN:BN,0))</f>
        <v/>
      </c>
      <c r="H337" s="287" t="str">
        <f>IF(ISERROR(MATCH(F337,#REF!,0))=TRUE,"",MATCH(F337,#REF!,0))</f>
        <v/>
      </c>
      <c r="I337" s="287" t="s">
        <v>7147</v>
      </c>
      <c r="J337" s="92" t="str">
        <f>IF(ISERROR(MATCH(I337,SurveyDATA!D:D,0))=TRUE,"",MATCH(I337,SurveyDATA!D:D,0))</f>
        <v/>
      </c>
    </row>
    <row r="338" spans="1:10">
      <c r="A338" s="92" t="s">
        <v>6795</v>
      </c>
      <c r="B338" s="92" t="str">
        <f>IF(ISERROR(MATCH(A338,SurveyDATA!P:P,0))=TRUE,"",MATCH(A338,SurveyDATA!P:P,0))</f>
        <v/>
      </c>
      <c r="C338" s="92" t="s">
        <v>6796</v>
      </c>
      <c r="D338" s="92" t="str">
        <f>IF(ISERROR(MATCH(C338,SurveyDATA!AI:AI,0))=TRUE,"",MATCH(C338,SurveyDATA!AI:AI,0))</f>
        <v/>
      </c>
      <c r="E338" s="287" t="str">
        <f>IF(ISERROR(MATCH(C338,SurveyDATA!BL:BL,0))=TRUE,"",MATCH(C338,SurveyDATA!BL:BL,0))</f>
        <v/>
      </c>
      <c r="F338" s="92" t="s">
        <v>6797</v>
      </c>
      <c r="G338" s="287" t="str">
        <f>IF(ISERROR(MATCH(F338,SurveyDATA!BN:BN,0))=TRUE,"",MATCH(F338,SurveyDATA!BN:BN,0))</f>
        <v/>
      </c>
      <c r="H338" s="287" t="str">
        <f>IF(ISERROR(MATCH(F338,#REF!,0))=TRUE,"",MATCH(F338,#REF!,0))</f>
        <v/>
      </c>
      <c r="I338" s="287" t="s">
        <v>7148</v>
      </c>
      <c r="J338" s="92" t="str">
        <f>IF(ISERROR(MATCH(I338,SurveyDATA!D:D,0))=TRUE,"",MATCH(I338,SurveyDATA!D:D,0))</f>
        <v/>
      </c>
    </row>
    <row r="339" spans="1:10">
      <c r="A339" s="92" t="s">
        <v>6798</v>
      </c>
      <c r="B339" s="92" t="str">
        <f>IF(ISERROR(MATCH(A339,SurveyDATA!P:P,0))=TRUE,"",MATCH(A339,SurveyDATA!P:P,0))</f>
        <v/>
      </c>
      <c r="C339" s="92" t="s">
        <v>6799</v>
      </c>
      <c r="D339" s="92" t="str">
        <f>IF(ISERROR(MATCH(C339,SurveyDATA!AI:AI,0))=TRUE,"",MATCH(C339,SurveyDATA!AI:AI,0))</f>
        <v/>
      </c>
      <c r="E339" s="287" t="str">
        <f>IF(ISERROR(MATCH(C339,SurveyDATA!BL:BL,0))=TRUE,"",MATCH(C339,SurveyDATA!BL:BL,0))</f>
        <v/>
      </c>
      <c r="F339" s="92" t="s">
        <v>6800</v>
      </c>
      <c r="G339" s="287" t="str">
        <f>IF(ISERROR(MATCH(F339,SurveyDATA!BN:BN,0))=TRUE,"",MATCH(F339,SurveyDATA!BN:BN,0))</f>
        <v/>
      </c>
      <c r="H339" s="287" t="str">
        <f>IF(ISERROR(MATCH(F339,#REF!,0))=TRUE,"",MATCH(F339,#REF!,0))</f>
        <v/>
      </c>
      <c r="I339" s="287" t="s">
        <v>7149</v>
      </c>
      <c r="J339" s="92" t="str">
        <f>IF(ISERROR(MATCH(I339,SurveyDATA!D:D,0))=TRUE,"",MATCH(I339,SurveyDATA!D:D,0))</f>
        <v/>
      </c>
    </row>
    <row r="340" spans="1:10">
      <c r="A340" s="92" t="s">
        <v>6801</v>
      </c>
      <c r="B340" s="92" t="str">
        <f>IF(ISERROR(MATCH(A340,SurveyDATA!P:P,0))=TRUE,"",MATCH(A340,SurveyDATA!P:P,0))</f>
        <v/>
      </c>
      <c r="C340" s="92" t="s">
        <v>6802</v>
      </c>
      <c r="D340" s="92" t="str">
        <f>IF(ISERROR(MATCH(C340,SurveyDATA!AI:AI,0))=TRUE,"",MATCH(C340,SurveyDATA!AI:AI,0))</f>
        <v/>
      </c>
      <c r="E340" s="287" t="str">
        <f>IF(ISERROR(MATCH(C340,SurveyDATA!BL:BL,0))=TRUE,"",MATCH(C340,SurveyDATA!BL:BL,0))</f>
        <v/>
      </c>
      <c r="F340" s="92" t="s">
        <v>6803</v>
      </c>
      <c r="G340" s="287" t="str">
        <f>IF(ISERROR(MATCH(F340,SurveyDATA!BN:BN,0))=TRUE,"",MATCH(F340,SurveyDATA!BN:BN,0))</f>
        <v/>
      </c>
      <c r="H340" s="287" t="str">
        <f>IF(ISERROR(MATCH(F340,#REF!,0))=TRUE,"",MATCH(F340,#REF!,0))</f>
        <v/>
      </c>
      <c r="I340" s="287" t="s">
        <v>7147</v>
      </c>
      <c r="J340" s="92" t="str">
        <f>IF(ISERROR(MATCH(I340,SurveyDATA!D:D,0))=TRUE,"",MATCH(I340,SurveyDATA!D:D,0))</f>
        <v/>
      </c>
    </row>
    <row r="341" spans="1:10">
      <c r="A341" s="92" t="s">
        <v>6804</v>
      </c>
      <c r="B341" s="92" t="str">
        <f>IF(ISERROR(MATCH(A341,SurveyDATA!P:P,0))=TRUE,"",MATCH(A341,SurveyDATA!P:P,0))</f>
        <v/>
      </c>
      <c r="C341" s="92" t="s">
        <v>6805</v>
      </c>
      <c r="D341" s="92" t="str">
        <f>IF(ISERROR(MATCH(C341,SurveyDATA!AI:AI,0))=TRUE,"",MATCH(C341,SurveyDATA!AI:AI,0))</f>
        <v/>
      </c>
      <c r="E341" s="287" t="str">
        <f>IF(ISERROR(MATCH(C341,SurveyDATA!BL:BL,0))=TRUE,"",MATCH(C341,SurveyDATA!BL:BL,0))</f>
        <v/>
      </c>
      <c r="F341" s="92" t="s">
        <v>6806</v>
      </c>
      <c r="G341" s="287" t="str">
        <f>IF(ISERROR(MATCH(F341,SurveyDATA!BN:BN,0))=TRUE,"",MATCH(F341,SurveyDATA!BN:BN,0))</f>
        <v/>
      </c>
      <c r="H341" s="287" t="str">
        <f>IF(ISERROR(MATCH(F341,#REF!,0))=TRUE,"",MATCH(F341,#REF!,0))</f>
        <v/>
      </c>
      <c r="I341" s="287" t="s">
        <v>7146</v>
      </c>
      <c r="J341" s="92" t="str">
        <f>IF(ISERROR(MATCH(I341,SurveyDATA!D:D,0))=TRUE,"",MATCH(I341,SurveyDATA!D:D,0))</f>
        <v/>
      </c>
    </row>
    <row r="342" spans="1:10">
      <c r="A342" s="92" t="s">
        <v>6807</v>
      </c>
      <c r="B342" s="92" t="str">
        <f>IF(ISERROR(MATCH(A342,SurveyDATA!P:P,0))=TRUE,"",MATCH(A342,SurveyDATA!P:P,0))</f>
        <v/>
      </c>
      <c r="C342" s="92" t="s">
        <v>6808</v>
      </c>
      <c r="D342" s="92" t="str">
        <f>IF(ISERROR(MATCH(C342,SurveyDATA!AI:AI,0))=TRUE,"",MATCH(C342,SurveyDATA!AI:AI,0))</f>
        <v/>
      </c>
      <c r="E342" s="287" t="str">
        <f>IF(ISERROR(MATCH(C342,SurveyDATA!BL:BL,0))=TRUE,"",MATCH(C342,SurveyDATA!BL:BL,0))</f>
        <v/>
      </c>
      <c r="F342" s="92" t="s">
        <v>6809</v>
      </c>
      <c r="G342" s="287" t="str">
        <f>IF(ISERROR(MATCH(F342,SurveyDATA!BN:BN,0))=TRUE,"",MATCH(F342,SurveyDATA!BN:BN,0))</f>
        <v/>
      </c>
      <c r="H342" s="287" t="str">
        <f>IF(ISERROR(MATCH(F342,#REF!,0))=TRUE,"",MATCH(F342,#REF!,0))</f>
        <v/>
      </c>
      <c r="I342" s="287" t="s">
        <v>7146</v>
      </c>
      <c r="J342" s="92" t="str">
        <f>IF(ISERROR(MATCH(I342,SurveyDATA!D:D,0))=TRUE,"",MATCH(I342,SurveyDATA!D:D,0))</f>
        <v/>
      </c>
    </row>
    <row r="343" spans="1:10">
      <c r="A343" s="92" t="s">
        <v>6810</v>
      </c>
      <c r="B343" s="92" t="str">
        <f>IF(ISERROR(MATCH(A343,SurveyDATA!P:P,0))=TRUE,"",MATCH(A343,SurveyDATA!P:P,0))</f>
        <v/>
      </c>
      <c r="C343" s="92" t="s">
        <v>6811</v>
      </c>
      <c r="D343" s="92" t="str">
        <f>IF(ISERROR(MATCH(C343,SurveyDATA!AI:AI,0))=TRUE,"",MATCH(C343,SurveyDATA!AI:AI,0))</f>
        <v/>
      </c>
      <c r="E343" s="287" t="str">
        <f>IF(ISERROR(MATCH(C343,SurveyDATA!BL:BL,0))=TRUE,"",MATCH(C343,SurveyDATA!BL:BL,0))</f>
        <v/>
      </c>
      <c r="F343" s="92" t="s">
        <v>6812</v>
      </c>
      <c r="G343" s="287" t="str">
        <f>IF(ISERROR(MATCH(F343,SurveyDATA!BN:BN,0))=TRUE,"",MATCH(F343,SurveyDATA!BN:BN,0))</f>
        <v/>
      </c>
      <c r="H343" s="287" t="str">
        <f>IF(ISERROR(MATCH(F343,#REF!,0))=TRUE,"",MATCH(F343,#REF!,0))</f>
        <v/>
      </c>
      <c r="I343" s="287" t="s">
        <v>7146</v>
      </c>
      <c r="J343" s="92" t="str">
        <f>IF(ISERROR(MATCH(I343,SurveyDATA!D:D,0))=TRUE,"",MATCH(I343,SurveyDATA!D:D,0))</f>
        <v/>
      </c>
    </row>
    <row r="344" spans="1:10">
      <c r="A344" s="92" t="s">
        <v>6813</v>
      </c>
      <c r="B344" s="92" t="str">
        <f>IF(ISERROR(MATCH(A344,SurveyDATA!P:P,0))=TRUE,"",MATCH(A344,SurveyDATA!P:P,0))</f>
        <v/>
      </c>
      <c r="C344" s="92" t="s">
        <v>6814</v>
      </c>
      <c r="D344" s="92" t="str">
        <f>IF(ISERROR(MATCH(C344,SurveyDATA!AI:AI,0))=TRUE,"",MATCH(C344,SurveyDATA!AI:AI,0))</f>
        <v/>
      </c>
      <c r="E344" s="287" t="str">
        <f>IF(ISERROR(MATCH(C344,SurveyDATA!BL:BL,0))=TRUE,"",MATCH(C344,SurveyDATA!BL:BL,0))</f>
        <v/>
      </c>
      <c r="F344" s="92" t="s">
        <v>6815</v>
      </c>
      <c r="G344" s="287" t="str">
        <f>IF(ISERROR(MATCH(F344,SurveyDATA!BN:BN,0))=TRUE,"",MATCH(F344,SurveyDATA!BN:BN,0))</f>
        <v/>
      </c>
      <c r="H344" s="287" t="str">
        <f>IF(ISERROR(MATCH(F344,#REF!,0))=TRUE,"",MATCH(F344,#REF!,0))</f>
        <v/>
      </c>
      <c r="I344" s="287" t="s">
        <v>7146</v>
      </c>
      <c r="J344" s="92" t="str">
        <f>IF(ISERROR(MATCH(I344,SurveyDATA!D:D,0))=TRUE,"",MATCH(I344,SurveyDATA!D:D,0))</f>
        <v/>
      </c>
    </row>
    <row r="345" spans="1:10">
      <c r="A345" s="92" t="s">
        <v>6816</v>
      </c>
      <c r="B345" s="92" t="str">
        <f>IF(ISERROR(MATCH(A345,SurveyDATA!P:P,0))=TRUE,"",MATCH(A345,SurveyDATA!P:P,0))</f>
        <v/>
      </c>
      <c r="C345" s="92" t="s">
        <v>6817</v>
      </c>
      <c r="D345" s="92" t="str">
        <f>IF(ISERROR(MATCH(C345,SurveyDATA!AI:AI,0))=TRUE,"",MATCH(C345,SurveyDATA!AI:AI,0))</f>
        <v/>
      </c>
      <c r="E345" s="287" t="str">
        <f>IF(ISERROR(MATCH(C345,SurveyDATA!BL:BL,0))=TRUE,"",MATCH(C345,SurveyDATA!BL:BL,0))</f>
        <v/>
      </c>
      <c r="F345" s="92" t="s">
        <v>6818</v>
      </c>
      <c r="G345" s="287" t="str">
        <f>IF(ISERROR(MATCH(F345,SurveyDATA!BN:BN,0))=TRUE,"",MATCH(F345,SurveyDATA!BN:BN,0))</f>
        <v/>
      </c>
      <c r="H345" s="287" t="str">
        <f>IF(ISERROR(MATCH(F345,#REF!,0))=TRUE,"",MATCH(F345,#REF!,0))</f>
        <v/>
      </c>
      <c r="I345" s="287" t="s">
        <v>7150</v>
      </c>
      <c r="J345" s="92" t="str">
        <f>IF(ISERROR(MATCH(I345,SurveyDATA!D:D,0))=TRUE,"",MATCH(I345,SurveyDATA!D:D,0))</f>
        <v/>
      </c>
    </row>
    <row r="346" spans="1:10">
      <c r="A346" s="92" t="s">
        <v>6819</v>
      </c>
      <c r="B346" s="92" t="str">
        <f>IF(ISERROR(MATCH(A346,SurveyDATA!P:P,0))=TRUE,"",MATCH(A346,SurveyDATA!P:P,0))</f>
        <v/>
      </c>
      <c r="C346" s="92" t="s">
        <v>6820</v>
      </c>
      <c r="D346" s="92" t="str">
        <f>IF(ISERROR(MATCH(C346,SurveyDATA!AI:AI,0))=TRUE,"",MATCH(C346,SurveyDATA!AI:AI,0))</f>
        <v/>
      </c>
      <c r="E346" s="287" t="str">
        <f>IF(ISERROR(MATCH(C346,SurveyDATA!BL:BL,0))=TRUE,"",MATCH(C346,SurveyDATA!BL:BL,0))</f>
        <v/>
      </c>
      <c r="F346" s="92" t="s">
        <v>6821</v>
      </c>
      <c r="G346" s="287" t="str">
        <f>IF(ISERROR(MATCH(F346,SurveyDATA!BN:BN,0))=TRUE,"",MATCH(F346,SurveyDATA!BN:BN,0))</f>
        <v/>
      </c>
      <c r="H346" s="287" t="str">
        <f>IF(ISERROR(MATCH(F346,#REF!,0))=TRUE,"",MATCH(F346,#REF!,0))</f>
        <v/>
      </c>
      <c r="I346" s="287" t="s">
        <v>7146</v>
      </c>
      <c r="J346" s="92" t="str">
        <f>IF(ISERROR(MATCH(I346,SurveyDATA!D:D,0))=TRUE,"",MATCH(I346,SurveyDATA!D:D,0))</f>
        <v/>
      </c>
    </row>
    <row r="347" spans="1:10">
      <c r="A347" s="92" t="s">
        <v>6822</v>
      </c>
      <c r="B347" s="92" t="str">
        <f>IF(ISERROR(MATCH(A347,SurveyDATA!P:P,0))=TRUE,"",MATCH(A347,SurveyDATA!P:P,0))</f>
        <v/>
      </c>
      <c r="C347" s="92" t="s">
        <v>6823</v>
      </c>
      <c r="D347" s="92" t="str">
        <f>IF(ISERROR(MATCH(C347,SurveyDATA!AI:AI,0))=TRUE,"",MATCH(C347,SurveyDATA!AI:AI,0))</f>
        <v/>
      </c>
      <c r="E347" s="287" t="str">
        <f>IF(ISERROR(MATCH(C347,SurveyDATA!BL:BL,0))=TRUE,"",MATCH(C347,SurveyDATA!BL:BL,0))</f>
        <v/>
      </c>
      <c r="F347" s="92" t="s">
        <v>6824</v>
      </c>
      <c r="G347" s="287" t="str">
        <f>IF(ISERROR(MATCH(F347,SurveyDATA!BN:BN,0))=TRUE,"",MATCH(F347,SurveyDATA!BN:BN,0))</f>
        <v/>
      </c>
      <c r="H347" s="287" t="str">
        <f>IF(ISERROR(MATCH(F347,#REF!,0))=TRUE,"",MATCH(F347,#REF!,0))</f>
        <v/>
      </c>
      <c r="I347" s="287" t="s">
        <v>7151</v>
      </c>
      <c r="J347" s="92" t="str">
        <f>IF(ISERROR(MATCH(I347,SurveyDATA!D:D,0))=TRUE,"",MATCH(I347,SurveyDATA!D:D,0))</f>
        <v/>
      </c>
    </row>
    <row r="348" spans="1:10">
      <c r="A348" s="567" t="s">
        <v>6825</v>
      </c>
      <c r="B348" s="567">
        <f>IF(ISERROR(MATCH(A348,SurveyDATA!P:P,0))=TRUE,"",MATCH(A348,SurveyDATA!P:P,0))</f>
        <v>589</v>
      </c>
      <c r="C348" s="567" t="s">
        <v>6826</v>
      </c>
      <c r="D348" s="567" t="str">
        <f>IF(ISERROR(MATCH(C348,SurveyDATA!AI:AI,0))=TRUE,"",MATCH(C348,SurveyDATA!AI:AI,0))</f>
        <v/>
      </c>
      <c r="E348" s="568">
        <f>IF(ISERROR(MATCH(C348,SurveyDATA!BL:BL,0))=TRUE,"",MATCH(C348,SurveyDATA!BL:BL,0))</f>
        <v>589</v>
      </c>
      <c r="F348" s="567" t="s">
        <v>6827</v>
      </c>
      <c r="G348" s="568" t="str">
        <f>IF(ISERROR(MATCH(F348,SurveyDATA!BN:BN,0))=TRUE,"",MATCH(F348,SurveyDATA!BN:BN,0))</f>
        <v/>
      </c>
      <c r="H348" s="568" t="str">
        <f>IF(ISERROR(MATCH(F348,#REF!,0))=TRUE,"",MATCH(F348,#REF!,0))</f>
        <v/>
      </c>
      <c r="I348" s="568" t="s">
        <v>7146</v>
      </c>
      <c r="J348" s="567" t="str">
        <f>IF(ISERROR(MATCH(I348,SurveyDATA!D:D,0))=TRUE,"",MATCH(I348,SurveyDATA!D:D,0))</f>
        <v/>
      </c>
    </row>
    <row r="349" spans="1:10">
      <c r="A349" s="92" t="s">
        <v>6828</v>
      </c>
      <c r="B349" s="92" t="str">
        <f>IF(ISERROR(MATCH(A349,SurveyDATA!P:P,0))=TRUE,"",MATCH(A349,SurveyDATA!P:P,0))</f>
        <v/>
      </c>
      <c r="C349" s="92" t="s">
        <v>6829</v>
      </c>
      <c r="D349" s="92" t="str">
        <f>IF(ISERROR(MATCH(C349,SurveyDATA!AI:AI,0))=TRUE,"",MATCH(C349,SurveyDATA!AI:AI,0))</f>
        <v/>
      </c>
      <c r="E349" s="287" t="str">
        <f>IF(ISERROR(MATCH(C349,SurveyDATA!BL:BL,0))=TRUE,"",MATCH(C349,SurveyDATA!BL:BL,0))</f>
        <v/>
      </c>
      <c r="F349" s="92" t="s">
        <v>6830</v>
      </c>
      <c r="G349" s="287" t="str">
        <f>IF(ISERROR(MATCH(F349,SurveyDATA!BN:BN,0))=TRUE,"",MATCH(F349,SurveyDATA!BN:BN,0))</f>
        <v/>
      </c>
      <c r="H349" s="287" t="str">
        <f>IF(ISERROR(MATCH(F349,#REF!,0))=TRUE,"",MATCH(F349,#REF!,0))</f>
        <v/>
      </c>
      <c r="I349" s="287" t="s">
        <v>7146</v>
      </c>
      <c r="J349" s="92" t="str">
        <f>IF(ISERROR(MATCH(I349,SurveyDATA!D:D,0))=TRUE,"",MATCH(I349,SurveyDATA!D:D,0))</f>
        <v/>
      </c>
    </row>
    <row r="350" spans="1:10">
      <c r="A350" s="567" t="s">
        <v>6831</v>
      </c>
      <c r="B350" s="567" t="str">
        <f>IF(ISERROR(MATCH(A350,SurveyDATA!P:P,0))=TRUE,"",MATCH(A350,SurveyDATA!P:P,0))</f>
        <v/>
      </c>
      <c r="C350" s="567" t="s">
        <v>6832</v>
      </c>
      <c r="D350" s="567" t="str">
        <f>IF(ISERROR(MATCH(C350,SurveyDATA!AI:AI,0))=TRUE,"",MATCH(C350,SurveyDATA!AI:AI,0))</f>
        <v/>
      </c>
      <c r="E350" s="568">
        <f>IF(ISERROR(MATCH(C350,SurveyDATA!BL:BL,0))=TRUE,"",MATCH(C350,SurveyDATA!BL:BL,0))</f>
        <v>592</v>
      </c>
      <c r="F350" s="567" t="s">
        <v>6833</v>
      </c>
      <c r="G350" s="568" t="str">
        <f>IF(ISERROR(MATCH(F350,SurveyDATA!BN:BN,0))=TRUE,"",MATCH(F350,SurveyDATA!BN:BN,0))</f>
        <v/>
      </c>
      <c r="H350" s="568" t="str">
        <f>IF(ISERROR(MATCH(F350,#REF!,0))=TRUE,"",MATCH(F350,#REF!,0))</f>
        <v/>
      </c>
      <c r="I350" s="568" t="s">
        <v>5911</v>
      </c>
      <c r="J350" s="567" t="str">
        <f>IF(ISERROR(MATCH(I350,SurveyDATA!D:D,0))=TRUE,"",MATCH(I350,SurveyDATA!D:D,0))</f>
        <v/>
      </c>
    </row>
    <row r="351" spans="1:10">
      <c r="A351" s="92" t="s">
        <v>6834</v>
      </c>
      <c r="B351" s="92" t="str">
        <f>IF(ISERROR(MATCH(A351,SurveyDATA!P:P,0))=TRUE,"",MATCH(A351,SurveyDATA!P:P,0))</f>
        <v/>
      </c>
      <c r="C351" s="92" t="s">
        <v>6835</v>
      </c>
      <c r="D351" s="92" t="str">
        <f>IF(ISERROR(MATCH(C351,SurveyDATA!AI:AI,0))=TRUE,"",MATCH(C351,SurveyDATA!AI:AI,0))</f>
        <v/>
      </c>
      <c r="E351" s="287" t="str">
        <f>IF(ISERROR(MATCH(C351,SurveyDATA!BL:BL,0))=TRUE,"",MATCH(C351,SurveyDATA!BL:BL,0))</f>
        <v/>
      </c>
      <c r="F351" s="92" t="s">
        <v>6836</v>
      </c>
      <c r="G351" s="287" t="str">
        <f>IF(ISERROR(MATCH(F351,SurveyDATA!BN:BN,0))=TRUE,"",MATCH(F351,SurveyDATA!BN:BN,0))</f>
        <v/>
      </c>
      <c r="H351" s="287" t="str">
        <f>IF(ISERROR(MATCH(F351,#REF!,0))=TRUE,"",MATCH(F351,#REF!,0))</f>
        <v/>
      </c>
      <c r="I351" s="287" t="s">
        <v>7152</v>
      </c>
      <c r="J351" s="92" t="str">
        <f>IF(ISERROR(MATCH(I351,SurveyDATA!D:D,0))=TRUE,"",MATCH(I351,SurveyDATA!D:D,0))</f>
        <v/>
      </c>
    </row>
    <row r="352" spans="1:10">
      <c r="A352" s="92" t="s">
        <v>6837</v>
      </c>
      <c r="B352" s="92" t="str">
        <f>IF(ISERROR(MATCH(A352,SurveyDATA!P:P,0))=TRUE,"",MATCH(A352,SurveyDATA!P:P,0))</f>
        <v/>
      </c>
      <c r="C352" s="92" t="s">
        <v>6838</v>
      </c>
      <c r="D352" s="92" t="str">
        <f>IF(ISERROR(MATCH(C352,SurveyDATA!AI:AI,0))=TRUE,"",MATCH(C352,SurveyDATA!AI:AI,0))</f>
        <v/>
      </c>
      <c r="E352" s="287" t="str">
        <f>IF(ISERROR(MATCH(C352,SurveyDATA!BL:BL,0))=TRUE,"",MATCH(C352,SurveyDATA!BL:BL,0))</f>
        <v/>
      </c>
      <c r="F352" s="92" t="s">
        <v>6839</v>
      </c>
      <c r="G352" s="287" t="str">
        <f>IF(ISERROR(MATCH(F352,SurveyDATA!BN:BN,0))=TRUE,"",MATCH(F352,SurveyDATA!BN:BN,0))</f>
        <v/>
      </c>
      <c r="H352" s="287" t="str">
        <f>IF(ISERROR(MATCH(F352,#REF!,0))=TRUE,"",MATCH(F352,#REF!,0))</f>
        <v/>
      </c>
      <c r="I352" s="287" t="s">
        <v>5911</v>
      </c>
      <c r="J352" s="92" t="str">
        <f>IF(ISERROR(MATCH(I352,SurveyDATA!D:D,0))=TRUE,"",MATCH(I352,SurveyDATA!D:D,0))</f>
        <v/>
      </c>
    </row>
    <row r="353" spans="1:10">
      <c r="A353" s="92" t="s">
        <v>6840</v>
      </c>
      <c r="B353" s="92" t="str">
        <f>IF(ISERROR(MATCH(A353,SurveyDATA!P:P,0))=TRUE,"",MATCH(A353,SurveyDATA!P:P,0))</f>
        <v/>
      </c>
      <c r="C353" s="92" t="s">
        <v>6841</v>
      </c>
      <c r="D353" s="92" t="str">
        <f>IF(ISERROR(MATCH(C353,SurveyDATA!AI:AI,0))=TRUE,"",MATCH(C353,SurveyDATA!AI:AI,0))</f>
        <v/>
      </c>
      <c r="E353" s="287" t="str">
        <f>IF(ISERROR(MATCH(C353,SurveyDATA!BL:BL,0))=TRUE,"",MATCH(C353,SurveyDATA!BL:BL,0))</f>
        <v/>
      </c>
      <c r="F353" s="92" t="s">
        <v>6842</v>
      </c>
      <c r="G353" s="287" t="str">
        <f>IF(ISERROR(MATCH(F353,SurveyDATA!BN:BN,0))=TRUE,"",MATCH(F353,SurveyDATA!BN:BN,0))</f>
        <v/>
      </c>
      <c r="H353" s="287" t="str">
        <f>IF(ISERROR(MATCH(F353,#REF!,0))=TRUE,"",MATCH(F353,#REF!,0))</f>
        <v/>
      </c>
      <c r="I353" s="287" t="s">
        <v>7153</v>
      </c>
      <c r="J353" s="92" t="str">
        <f>IF(ISERROR(MATCH(I353,SurveyDATA!D:D,0))=TRUE,"",MATCH(I353,SurveyDATA!D:D,0))</f>
        <v/>
      </c>
    </row>
    <row r="354" spans="1:10">
      <c r="A354" s="92" t="s">
        <v>6843</v>
      </c>
      <c r="B354" s="92" t="str">
        <f>IF(ISERROR(MATCH(A354,SurveyDATA!P:P,0))=TRUE,"",MATCH(A354,SurveyDATA!P:P,0))</f>
        <v/>
      </c>
      <c r="C354" s="92" t="s">
        <v>6844</v>
      </c>
      <c r="D354" s="92" t="str">
        <f>IF(ISERROR(MATCH(C354,SurveyDATA!AI:AI,0))=TRUE,"",MATCH(C354,SurveyDATA!AI:AI,0))</f>
        <v/>
      </c>
      <c r="E354" s="287" t="str">
        <f>IF(ISERROR(MATCH(C354,SurveyDATA!BL:BL,0))=TRUE,"",MATCH(C354,SurveyDATA!BL:BL,0))</f>
        <v/>
      </c>
      <c r="F354" s="92" t="s">
        <v>6845</v>
      </c>
      <c r="G354" s="287" t="str">
        <f>IF(ISERROR(MATCH(F354,SurveyDATA!BN:BN,0))=TRUE,"",MATCH(F354,SurveyDATA!BN:BN,0))</f>
        <v/>
      </c>
      <c r="H354" s="287" t="str">
        <f>IF(ISERROR(MATCH(F354,#REF!,0))=TRUE,"",MATCH(F354,#REF!,0))</f>
        <v/>
      </c>
      <c r="I354" s="287" t="s">
        <v>7146</v>
      </c>
      <c r="J354" s="92" t="str">
        <f>IF(ISERROR(MATCH(I354,SurveyDATA!D:D,0))=TRUE,"",MATCH(I354,SurveyDATA!D:D,0))</f>
        <v/>
      </c>
    </row>
    <row r="355" spans="1:10">
      <c r="A355" s="92" t="s">
        <v>6846</v>
      </c>
      <c r="B355" s="92" t="str">
        <f>IF(ISERROR(MATCH(A355,SurveyDATA!P:P,0))=TRUE,"",MATCH(A355,SurveyDATA!P:P,0))</f>
        <v/>
      </c>
      <c r="C355" s="92" t="s">
        <v>6847</v>
      </c>
      <c r="D355" s="92" t="str">
        <f>IF(ISERROR(MATCH(C355,SurveyDATA!AI:AI,0))=TRUE,"",MATCH(C355,SurveyDATA!AI:AI,0))</f>
        <v/>
      </c>
      <c r="E355" s="287" t="str">
        <f>IF(ISERROR(MATCH(C355,SurveyDATA!BL:BL,0))=TRUE,"",MATCH(C355,SurveyDATA!BL:BL,0))</f>
        <v/>
      </c>
      <c r="F355" s="92" t="s">
        <v>6848</v>
      </c>
      <c r="G355" s="287" t="str">
        <f>IF(ISERROR(MATCH(F355,SurveyDATA!BN:BN,0))=TRUE,"",MATCH(F355,SurveyDATA!BN:BN,0))</f>
        <v/>
      </c>
      <c r="H355" s="287" t="str">
        <f>IF(ISERROR(MATCH(F355,#REF!,0))=TRUE,"",MATCH(F355,#REF!,0))</f>
        <v/>
      </c>
      <c r="I355" s="287" t="s">
        <v>7146</v>
      </c>
      <c r="J355" s="92" t="str">
        <f>IF(ISERROR(MATCH(I355,SurveyDATA!D:D,0))=TRUE,"",MATCH(I355,SurveyDATA!D:D,0))</f>
        <v/>
      </c>
    </row>
    <row r="356" spans="1:10">
      <c r="A356" s="92" t="s">
        <v>6849</v>
      </c>
      <c r="B356" s="92" t="str">
        <f>IF(ISERROR(MATCH(A356,SurveyDATA!P:P,0))=TRUE,"",MATCH(A356,SurveyDATA!P:P,0))</f>
        <v/>
      </c>
      <c r="C356" s="92" t="s">
        <v>6850</v>
      </c>
      <c r="D356" s="92" t="str">
        <f>IF(ISERROR(MATCH(C356,SurveyDATA!AI:AI,0))=TRUE,"",MATCH(C356,SurveyDATA!AI:AI,0))</f>
        <v/>
      </c>
      <c r="E356" s="287" t="str">
        <f>IF(ISERROR(MATCH(C356,SurveyDATA!BL:BL,0))=TRUE,"",MATCH(C356,SurveyDATA!BL:BL,0))</f>
        <v/>
      </c>
      <c r="F356" s="92" t="s">
        <v>6851</v>
      </c>
      <c r="G356" s="287" t="str">
        <f>IF(ISERROR(MATCH(F356,SurveyDATA!BN:BN,0))=TRUE,"",MATCH(F356,SurveyDATA!BN:BN,0))</f>
        <v/>
      </c>
      <c r="H356" s="287" t="str">
        <f>IF(ISERROR(MATCH(F356,#REF!,0))=TRUE,"",MATCH(F356,#REF!,0))</f>
        <v/>
      </c>
      <c r="I356" s="287" t="s">
        <v>7146</v>
      </c>
      <c r="J356" s="92" t="str">
        <f>IF(ISERROR(MATCH(I356,SurveyDATA!D:D,0))=TRUE,"",MATCH(I356,SurveyDATA!D:D,0))</f>
        <v/>
      </c>
    </row>
    <row r="357" spans="1:10">
      <c r="A357" s="92" t="s">
        <v>6852</v>
      </c>
      <c r="B357" s="92" t="str">
        <f>IF(ISERROR(MATCH(A357,SurveyDATA!P:P,0))=TRUE,"",MATCH(A357,SurveyDATA!P:P,0))</f>
        <v/>
      </c>
      <c r="C357" s="92" t="s">
        <v>6853</v>
      </c>
      <c r="D357" s="92" t="str">
        <f>IF(ISERROR(MATCH(C357,SurveyDATA!AI:AI,0))=TRUE,"",MATCH(C357,SurveyDATA!AI:AI,0))</f>
        <v/>
      </c>
      <c r="E357" s="287" t="str">
        <f>IF(ISERROR(MATCH(C357,SurveyDATA!BL:BL,0))=TRUE,"",MATCH(C357,SurveyDATA!BL:BL,0))</f>
        <v/>
      </c>
      <c r="F357" s="92" t="s">
        <v>6854</v>
      </c>
      <c r="G357" s="287" t="str">
        <f>IF(ISERROR(MATCH(F357,SurveyDATA!BN:BN,0))=TRUE,"",MATCH(F357,SurveyDATA!BN:BN,0))</f>
        <v/>
      </c>
      <c r="H357" s="287" t="str">
        <f>IF(ISERROR(MATCH(F357,#REF!,0))=TRUE,"",MATCH(F357,#REF!,0))</f>
        <v/>
      </c>
      <c r="I357" s="287" t="s">
        <v>7154</v>
      </c>
      <c r="J357" s="92" t="str">
        <f>IF(ISERROR(MATCH(I357,SurveyDATA!D:D,0))=TRUE,"",MATCH(I357,SurveyDATA!D:D,0))</f>
        <v/>
      </c>
    </row>
    <row r="358" spans="1:10">
      <c r="A358" s="92" t="s">
        <v>6855</v>
      </c>
      <c r="B358" s="92" t="str">
        <f>IF(ISERROR(MATCH(A358,SurveyDATA!P:P,0))=TRUE,"",MATCH(A358,SurveyDATA!P:P,0))</f>
        <v/>
      </c>
      <c r="C358" s="92" t="s">
        <v>6856</v>
      </c>
      <c r="D358" s="92" t="str">
        <f>IF(ISERROR(MATCH(C358,SurveyDATA!AI:AI,0))=TRUE,"",MATCH(C358,SurveyDATA!AI:AI,0))</f>
        <v/>
      </c>
      <c r="E358" s="287" t="str">
        <f>IF(ISERROR(MATCH(C358,SurveyDATA!BL:BL,0))=TRUE,"",MATCH(C358,SurveyDATA!BL:BL,0))</f>
        <v/>
      </c>
      <c r="F358" s="92" t="s">
        <v>6857</v>
      </c>
      <c r="G358" s="287" t="str">
        <f>IF(ISERROR(MATCH(F358,SurveyDATA!BN:BN,0))=TRUE,"",MATCH(F358,SurveyDATA!BN:BN,0))</f>
        <v/>
      </c>
      <c r="H358" s="287" t="str">
        <f>IF(ISERROR(MATCH(F358,#REF!,0))=TRUE,"",MATCH(F358,#REF!,0))</f>
        <v/>
      </c>
      <c r="I358" s="287" t="s">
        <v>7155</v>
      </c>
      <c r="J358" s="92" t="str">
        <f>IF(ISERROR(MATCH(I358,SurveyDATA!D:D,0))=TRUE,"",MATCH(I358,SurveyDATA!D:D,0))</f>
        <v/>
      </c>
    </row>
    <row r="359" spans="1:10">
      <c r="A359" s="92" t="s">
        <v>6858</v>
      </c>
      <c r="B359" s="92" t="str">
        <f>IF(ISERROR(MATCH(A359,SurveyDATA!P:P,0))=TRUE,"",MATCH(A359,SurveyDATA!P:P,0))</f>
        <v/>
      </c>
      <c r="C359" s="92" t="s">
        <v>6859</v>
      </c>
      <c r="D359" s="92" t="str">
        <f>IF(ISERROR(MATCH(C359,SurveyDATA!AI:AI,0))=TRUE,"",MATCH(C359,SurveyDATA!AI:AI,0))</f>
        <v/>
      </c>
      <c r="E359" s="287" t="str">
        <f>IF(ISERROR(MATCH(C359,SurveyDATA!BL:BL,0))=TRUE,"",MATCH(C359,SurveyDATA!BL:BL,0))</f>
        <v/>
      </c>
      <c r="F359" s="92" t="s">
        <v>6860</v>
      </c>
      <c r="G359" s="287" t="str">
        <f>IF(ISERROR(MATCH(F359,SurveyDATA!BN:BN,0))=TRUE,"",MATCH(F359,SurveyDATA!BN:BN,0))</f>
        <v/>
      </c>
      <c r="H359" s="287" t="str">
        <f>IF(ISERROR(MATCH(F359,#REF!,0))=TRUE,"",MATCH(F359,#REF!,0))</f>
        <v/>
      </c>
      <c r="I359" s="287" t="s">
        <v>7156</v>
      </c>
      <c r="J359" s="92" t="str">
        <f>IF(ISERROR(MATCH(I359,SurveyDATA!D:D,0))=TRUE,"",MATCH(I359,SurveyDATA!D:D,0))</f>
        <v/>
      </c>
    </row>
    <row r="360" spans="1:10">
      <c r="A360" s="92" t="s">
        <v>6861</v>
      </c>
      <c r="B360" s="92" t="str">
        <f>IF(ISERROR(MATCH(A360,SurveyDATA!P:P,0))=TRUE,"",MATCH(A360,SurveyDATA!P:P,0))</f>
        <v/>
      </c>
      <c r="C360" s="92" t="s">
        <v>6862</v>
      </c>
      <c r="D360" s="92" t="str">
        <f>IF(ISERROR(MATCH(C360,SurveyDATA!AI:AI,0))=TRUE,"",MATCH(C360,SurveyDATA!AI:AI,0))</f>
        <v/>
      </c>
      <c r="E360" s="287" t="str">
        <f>IF(ISERROR(MATCH(C360,SurveyDATA!BL:BL,0))=TRUE,"",MATCH(C360,SurveyDATA!BL:BL,0))</f>
        <v/>
      </c>
      <c r="F360" s="92" t="s">
        <v>6863</v>
      </c>
      <c r="G360" s="287" t="str">
        <f>IF(ISERROR(MATCH(F360,SurveyDATA!BN:BN,0))=TRUE,"",MATCH(F360,SurveyDATA!BN:BN,0))</f>
        <v/>
      </c>
      <c r="H360" s="287" t="str">
        <f>IF(ISERROR(MATCH(F360,#REF!,0))=TRUE,"",MATCH(F360,#REF!,0))</f>
        <v/>
      </c>
      <c r="I360" s="287" t="s">
        <v>5911</v>
      </c>
      <c r="J360" s="92" t="str">
        <f>IF(ISERROR(MATCH(I360,SurveyDATA!D:D,0))=TRUE,"",MATCH(I360,SurveyDATA!D:D,0))</f>
        <v/>
      </c>
    </row>
    <row r="361" spans="1:10">
      <c r="A361" s="92" t="s">
        <v>6864</v>
      </c>
      <c r="B361" s="92" t="str">
        <f>IF(ISERROR(MATCH(A361,SurveyDATA!P:P,0))=TRUE,"",MATCH(A361,SurveyDATA!P:P,0))</f>
        <v/>
      </c>
      <c r="C361" s="92" t="s">
        <v>6865</v>
      </c>
      <c r="D361" s="92" t="str">
        <f>IF(ISERROR(MATCH(C361,SurveyDATA!AI:AI,0))=TRUE,"",MATCH(C361,SurveyDATA!AI:AI,0))</f>
        <v/>
      </c>
      <c r="E361" s="287" t="str">
        <f>IF(ISERROR(MATCH(C361,SurveyDATA!BL:BL,0))=TRUE,"",MATCH(C361,SurveyDATA!BL:BL,0))</f>
        <v/>
      </c>
      <c r="F361" s="92" t="s">
        <v>6866</v>
      </c>
      <c r="G361" s="287" t="str">
        <f>IF(ISERROR(MATCH(F361,SurveyDATA!BN:BN,0))=TRUE,"",MATCH(F361,SurveyDATA!BN:BN,0))</f>
        <v/>
      </c>
      <c r="H361" s="287" t="str">
        <f>IF(ISERROR(MATCH(F361,#REF!,0))=TRUE,"",MATCH(F361,#REF!,0))</f>
        <v/>
      </c>
      <c r="I361" s="287" t="s">
        <v>7155</v>
      </c>
      <c r="J361" s="92" t="str">
        <f>IF(ISERROR(MATCH(I361,SurveyDATA!D:D,0))=TRUE,"",MATCH(I361,SurveyDATA!D:D,0))</f>
        <v/>
      </c>
    </row>
    <row r="362" spans="1:10">
      <c r="G362" s="287" t="str">
        <f>IF(ISERROR(MATCH(F362,SurveyDATA!BN:BN,0))=TRUE,"",MATCH(F362,SurveyDATA!BN:BN,0))</f>
        <v/>
      </c>
      <c r="H362" s="287" t="str">
        <f>IF(ISERROR(MATCH(F362,#REF!,0))=TRUE,"",MATCH(F362,#REF!,0))</f>
        <v/>
      </c>
      <c r="I362" s="287" t="s">
        <v>7156</v>
      </c>
      <c r="J362" s="92" t="str">
        <f>IF(ISERROR(MATCH(I362,SurveyDATA!D:D,0))=TRUE,"",MATCH(I362,SurveyDATA!D:D,0))</f>
        <v/>
      </c>
    </row>
    <row r="363" spans="1:10">
      <c r="G363" s="287" t="str">
        <f>IF(ISERROR(MATCH(F363,SurveyDATA!BN:BN,0))=TRUE,"",MATCH(F363,SurveyDATA!BN:BN,0))</f>
        <v/>
      </c>
      <c r="H363" s="287" t="str">
        <f>IF(ISERROR(MATCH(F363,#REF!,0))=TRUE,"",MATCH(F363,#REF!,0))</f>
        <v/>
      </c>
      <c r="I363" s="287" t="s">
        <v>7157</v>
      </c>
      <c r="J363" s="92" t="str">
        <f>IF(ISERROR(MATCH(I363,SurveyDATA!D:D,0))=TRUE,"",MATCH(I363,SurveyDATA!D:D,0))</f>
        <v/>
      </c>
    </row>
    <row r="364" spans="1:10">
      <c r="G364" s="287" t="str">
        <f>IF(ISERROR(MATCH(F364,SurveyDATA!BN:BN,0))=TRUE,"",MATCH(F364,SurveyDATA!BN:BN,0))</f>
        <v/>
      </c>
      <c r="H364" s="287" t="str">
        <f>IF(ISERROR(MATCH(F364,#REF!,0))=TRUE,"",MATCH(F364,#REF!,0))</f>
        <v/>
      </c>
      <c r="I364" s="287" t="s">
        <v>7158</v>
      </c>
      <c r="J364" s="92" t="str">
        <f>IF(ISERROR(MATCH(I364,SurveyDATA!D:D,0))=TRUE,"",MATCH(I364,SurveyDATA!D:D,0))</f>
        <v/>
      </c>
    </row>
    <row r="365" spans="1:10">
      <c r="G365" s="287" t="str">
        <f>IF(ISERROR(MATCH(F365,SurveyDATA!BN:BN,0))=TRUE,"",MATCH(F365,SurveyDATA!BN:BN,0))</f>
        <v/>
      </c>
      <c r="H365" s="287" t="str">
        <f>IF(ISERROR(MATCH(F365,#REF!,0))=TRUE,"",MATCH(F365,#REF!,0))</f>
        <v/>
      </c>
      <c r="I365" s="287" t="s">
        <v>7156</v>
      </c>
      <c r="J365" s="92" t="str">
        <f>IF(ISERROR(MATCH(I365,SurveyDATA!D:D,0))=TRUE,"",MATCH(I365,SurveyDATA!D:D,0))</f>
        <v/>
      </c>
    </row>
    <row r="366" spans="1:10">
      <c r="G366" s="287" t="str">
        <f>IF(ISERROR(MATCH(F366,SurveyDATA!BN:BN,0))=TRUE,"",MATCH(F366,SurveyDATA!BN:BN,0))</f>
        <v/>
      </c>
      <c r="H366" s="287" t="str">
        <f>IF(ISERROR(MATCH(F366,#REF!,0))=TRUE,"",MATCH(F366,#REF!,0))</f>
        <v/>
      </c>
      <c r="I366" s="287" t="s">
        <v>5911</v>
      </c>
      <c r="J366" s="92" t="str">
        <f>IF(ISERROR(MATCH(I366,SurveyDATA!D:D,0))=TRUE,"",MATCH(I366,SurveyDATA!D:D,0))</f>
        <v/>
      </c>
    </row>
    <row r="367" spans="1:10">
      <c r="G367" s="287" t="str">
        <f>IF(ISERROR(MATCH(F367,SurveyDATA!BN:BN,0))=TRUE,"",MATCH(F367,SurveyDATA!BN:BN,0))</f>
        <v/>
      </c>
      <c r="H367" s="287" t="str">
        <f>IF(ISERROR(MATCH(F367,#REF!,0))=TRUE,"",MATCH(F367,#REF!,0))</f>
        <v/>
      </c>
      <c r="I367" s="287" t="s">
        <v>7156</v>
      </c>
      <c r="J367" s="92" t="str">
        <f>IF(ISERROR(MATCH(I367,SurveyDATA!D:D,0))=TRUE,"",MATCH(I367,SurveyDATA!D:D,0))</f>
        <v/>
      </c>
    </row>
    <row r="368" spans="1:10">
      <c r="G368" s="287" t="str">
        <f>IF(ISERROR(MATCH(F368,SurveyDATA!BN:BN,0))=TRUE,"",MATCH(F368,SurveyDATA!BN:BN,0))</f>
        <v/>
      </c>
      <c r="H368" s="287" t="str">
        <f>IF(ISERROR(MATCH(F368,#REF!,0))=TRUE,"",MATCH(F368,#REF!,0))</f>
        <v/>
      </c>
      <c r="I368" s="287" t="s">
        <v>7159</v>
      </c>
      <c r="J368" s="92" t="str">
        <f>IF(ISERROR(MATCH(I368,SurveyDATA!D:D,0))=TRUE,"",MATCH(I368,SurveyDATA!D:D,0))</f>
        <v/>
      </c>
    </row>
    <row r="369" spans="7:10">
      <c r="G369" s="287" t="str">
        <f>IF(ISERROR(MATCH(F369,SurveyDATA!BN:BN,0))=TRUE,"",MATCH(F369,SurveyDATA!BN:BN,0))</f>
        <v/>
      </c>
      <c r="H369" s="287" t="str">
        <f>IF(ISERROR(MATCH(F369,#REF!,0))=TRUE,"",MATCH(F369,#REF!,0))</f>
        <v/>
      </c>
      <c r="I369" s="287" t="s">
        <v>7160</v>
      </c>
      <c r="J369" s="92" t="str">
        <f>IF(ISERROR(MATCH(I369,SurveyDATA!D:D,0))=TRUE,"",MATCH(I369,SurveyDATA!D:D,0))</f>
        <v/>
      </c>
    </row>
    <row r="370" spans="7:10">
      <c r="G370" s="287" t="str">
        <f>IF(ISERROR(MATCH(F370,SurveyDATA!BN:BN,0))=TRUE,"",MATCH(F370,SurveyDATA!BN:BN,0))</f>
        <v/>
      </c>
      <c r="H370" s="287" t="str">
        <f>IF(ISERROR(MATCH(F370,#REF!,0))=TRUE,"",MATCH(F370,#REF!,0))</f>
        <v/>
      </c>
      <c r="I370" s="287" t="s">
        <v>7156</v>
      </c>
      <c r="J370" s="92" t="str">
        <f>IF(ISERROR(MATCH(I370,SurveyDATA!D:D,0))=TRUE,"",MATCH(I370,SurveyDATA!D:D,0))</f>
        <v/>
      </c>
    </row>
    <row r="371" spans="7:10">
      <c r="G371" s="287" t="str">
        <f>IF(ISERROR(MATCH(F371,SurveyDATA!BN:BN,0))=TRUE,"",MATCH(F371,SurveyDATA!BN:BN,0))</f>
        <v/>
      </c>
      <c r="H371" s="287" t="str">
        <f>IF(ISERROR(MATCH(F371,#REF!,0))=TRUE,"",MATCH(F371,#REF!,0))</f>
        <v/>
      </c>
      <c r="I371" s="287" t="s">
        <v>7156</v>
      </c>
      <c r="J371" s="92" t="str">
        <f>IF(ISERROR(MATCH(I371,SurveyDATA!D:D,0))=TRUE,"",MATCH(I371,SurveyDATA!D:D,0))</f>
        <v/>
      </c>
    </row>
    <row r="372" spans="7:10">
      <c r="G372" s="287" t="str">
        <f>IF(ISERROR(MATCH(F372,SurveyDATA!BN:BN,0))=TRUE,"",MATCH(F372,SurveyDATA!BN:BN,0))</f>
        <v/>
      </c>
      <c r="H372" s="287" t="str">
        <f>IF(ISERROR(MATCH(F372,#REF!,0))=TRUE,"",MATCH(F372,#REF!,0))</f>
        <v/>
      </c>
      <c r="I372" s="287" t="s">
        <v>7161</v>
      </c>
      <c r="J372" s="92" t="str">
        <f>IF(ISERROR(MATCH(I372,SurveyDATA!D:D,0))=TRUE,"",MATCH(I372,SurveyDATA!D:D,0))</f>
        <v/>
      </c>
    </row>
    <row r="373" spans="7:10">
      <c r="G373" s="287" t="str">
        <f>IF(ISERROR(MATCH(F373,SurveyDATA!BN:BN,0))=TRUE,"",MATCH(F373,SurveyDATA!BN:BN,0))</f>
        <v/>
      </c>
      <c r="H373" s="287" t="str">
        <f>IF(ISERROR(MATCH(F373,#REF!,0))=TRUE,"",MATCH(F373,#REF!,0))</f>
        <v/>
      </c>
      <c r="I373" s="287" t="s">
        <v>7156</v>
      </c>
      <c r="J373" s="92" t="str">
        <f>IF(ISERROR(MATCH(I373,SurveyDATA!D:D,0))=TRUE,"",MATCH(I373,SurveyDATA!D:D,0))</f>
        <v/>
      </c>
    </row>
    <row r="374" spans="7:10">
      <c r="G374" s="287" t="str">
        <f>IF(ISERROR(MATCH(F374,SurveyDATA!BN:BN,0))=TRUE,"",MATCH(F374,SurveyDATA!BN:BN,0))</f>
        <v/>
      </c>
      <c r="H374" s="287" t="str">
        <f>IF(ISERROR(MATCH(F374,#REF!,0))=TRUE,"",MATCH(F374,#REF!,0))</f>
        <v/>
      </c>
      <c r="I374" s="287" t="s">
        <v>7162</v>
      </c>
      <c r="J374" s="92" t="str">
        <f>IF(ISERROR(MATCH(I374,SurveyDATA!D:D,0))=TRUE,"",MATCH(I374,SurveyDATA!D:D,0))</f>
        <v/>
      </c>
    </row>
    <row r="375" spans="7:10">
      <c r="G375" s="287" t="str">
        <f>IF(ISERROR(MATCH(F375,SurveyDATA!BN:BN,0))=TRUE,"",MATCH(F375,SurveyDATA!BN:BN,0))</f>
        <v/>
      </c>
      <c r="H375" s="287" t="str">
        <f>IF(ISERROR(MATCH(F375,#REF!,0))=TRUE,"",MATCH(F375,#REF!,0))</f>
        <v/>
      </c>
      <c r="I375" s="287" t="s">
        <v>7156</v>
      </c>
      <c r="J375" s="92" t="str">
        <f>IF(ISERROR(MATCH(I375,SurveyDATA!D:D,0))=TRUE,"",MATCH(I375,SurveyDATA!D:D,0))</f>
        <v/>
      </c>
    </row>
    <row r="376" spans="7:10">
      <c r="G376" s="287" t="str">
        <f>IF(ISERROR(MATCH(F376,SurveyDATA!BN:BN,0))=TRUE,"",MATCH(F376,SurveyDATA!BN:BN,0))</f>
        <v/>
      </c>
      <c r="H376" s="287" t="str">
        <f>IF(ISERROR(MATCH(F376,#REF!,0))=TRUE,"",MATCH(F376,#REF!,0))</f>
        <v/>
      </c>
      <c r="I376" s="287" t="s">
        <v>7163</v>
      </c>
      <c r="J376" s="92" t="str">
        <f>IF(ISERROR(MATCH(I376,SurveyDATA!D:D,0))=TRUE,"",MATCH(I376,SurveyDATA!D:D,0))</f>
        <v/>
      </c>
    </row>
    <row r="377" spans="7:10">
      <c r="G377" s="287" t="str">
        <f>IF(ISERROR(MATCH(F377,SurveyDATA!BN:BN,0))=TRUE,"",MATCH(F377,SurveyDATA!BN:BN,0))</f>
        <v/>
      </c>
      <c r="H377" s="287" t="str">
        <f>IF(ISERROR(MATCH(F377,#REF!,0))=TRUE,"",MATCH(F377,#REF!,0))</f>
        <v/>
      </c>
      <c r="I377" s="287" t="s">
        <v>7164</v>
      </c>
      <c r="J377" s="92" t="str">
        <f>IF(ISERROR(MATCH(I377,SurveyDATA!D:D,0))=TRUE,"",MATCH(I377,SurveyDATA!D:D,0))</f>
        <v/>
      </c>
    </row>
    <row r="378" spans="7:10">
      <c r="G378" s="287" t="str">
        <f>IF(ISERROR(MATCH(F378,SurveyDATA!BN:BN,0))=TRUE,"",MATCH(F378,SurveyDATA!BN:BN,0))</f>
        <v/>
      </c>
      <c r="H378" s="287" t="str">
        <f>IF(ISERROR(MATCH(F378,#REF!,0))=TRUE,"",MATCH(F378,#REF!,0))</f>
        <v/>
      </c>
      <c r="I378" s="287" t="s">
        <v>7165</v>
      </c>
      <c r="J378" s="92" t="str">
        <f>IF(ISERROR(MATCH(I378,SurveyDATA!D:D,0))=TRUE,"",MATCH(I378,SurveyDATA!D:D,0))</f>
        <v/>
      </c>
    </row>
    <row r="379" spans="7:10">
      <c r="G379" s="287" t="str">
        <f>IF(ISERROR(MATCH(F379,SurveyDATA!BN:BN,0))=TRUE,"",MATCH(F379,SurveyDATA!BN:BN,0))</f>
        <v/>
      </c>
      <c r="H379" s="287" t="str">
        <f>IF(ISERROR(MATCH(F379,#REF!,0))=TRUE,"",MATCH(F379,#REF!,0))</f>
        <v/>
      </c>
      <c r="I379" s="287" t="s">
        <v>7166</v>
      </c>
      <c r="J379" s="92" t="str">
        <f>IF(ISERROR(MATCH(I379,SurveyDATA!D:D,0))=TRUE,"",MATCH(I379,SurveyDATA!D:D,0))</f>
        <v/>
      </c>
    </row>
    <row r="380" spans="7:10">
      <c r="G380" s="287" t="str">
        <f>IF(ISERROR(MATCH(F380,SurveyDATA!BN:BN,0))=TRUE,"",MATCH(F380,SurveyDATA!BN:BN,0))</f>
        <v/>
      </c>
      <c r="H380" s="287" t="str">
        <f>IF(ISERROR(MATCH(F380,#REF!,0))=TRUE,"",MATCH(F380,#REF!,0))</f>
        <v/>
      </c>
      <c r="I380" s="287" t="s">
        <v>7167</v>
      </c>
      <c r="J380" s="92" t="str">
        <f>IF(ISERROR(MATCH(I380,SurveyDATA!D:D,0))=TRUE,"",MATCH(I380,SurveyDATA!D:D,0))</f>
        <v/>
      </c>
    </row>
    <row r="381" spans="7:10">
      <c r="G381" s="287" t="str">
        <f>IF(ISERROR(MATCH(F381,SurveyDATA!BN:BN,0))=TRUE,"",MATCH(F381,SurveyDATA!BN:BN,0))</f>
        <v/>
      </c>
      <c r="H381" s="287" t="str">
        <f>IF(ISERROR(MATCH(F381,#REF!,0))=TRUE,"",MATCH(F381,#REF!,0))</f>
        <v/>
      </c>
      <c r="I381" s="287" t="s">
        <v>7168</v>
      </c>
      <c r="J381" s="92" t="str">
        <f>IF(ISERROR(MATCH(I381,SurveyDATA!D:D,0))=TRUE,"",MATCH(I381,SurveyDATA!D:D,0))</f>
        <v/>
      </c>
    </row>
    <row r="382" spans="7:10">
      <c r="G382" s="287" t="str">
        <f>IF(ISERROR(MATCH(F382,SurveyDATA!BN:BN,0))=TRUE,"",MATCH(F382,SurveyDATA!BN:BN,0))</f>
        <v/>
      </c>
      <c r="H382" s="287" t="str">
        <f>IF(ISERROR(MATCH(F382,#REF!,0))=TRUE,"",MATCH(F382,#REF!,0))</f>
        <v/>
      </c>
      <c r="I382" s="287" t="s">
        <v>7169</v>
      </c>
      <c r="J382" s="92" t="str">
        <f>IF(ISERROR(MATCH(I382,SurveyDATA!D:D,0))=TRUE,"",MATCH(I382,SurveyDATA!D:D,0))</f>
        <v/>
      </c>
    </row>
    <row r="383" spans="7:10">
      <c r="G383" s="287" t="str">
        <f>IF(ISERROR(MATCH(F383,SurveyDATA!BN:BN,0))=TRUE,"",MATCH(F383,SurveyDATA!BN:BN,0))</f>
        <v/>
      </c>
      <c r="H383" s="287" t="str">
        <f>IF(ISERROR(MATCH(F383,#REF!,0))=TRUE,"",MATCH(F383,#REF!,0))</f>
        <v/>
      </c>
      <c r="I383" s="287" t="s">
        <v>7170</v>
      </c>
      <c r="J383" s="92" t="str">
        <f>IF(ISERROR(MATCH(I383,SurveyDATA!D:D,0))=TRUE,"",MATCH(I383,SurveyDATA!D:D,0))</f>
        <v/>
      </c>
    </row>
    <row r="384" spans="7:10">
      <c r="G384" s="287" t="str">
        <f>IF(ISERROR(MATCH(F384,SurveyDATA!BN:BN,0))=TRUE,"",MATCH(F384,SurveyDATA!BN:BN,0))</f>
        <v/>
      </c>
      <c r="H384" s="287" t="str">
        <f>IF(ISERROR(MATCH(F384,#REF!,0))=TRUE,"",MATCH(F384,#REF!,0))</f>
        <v/>
      </c>
      <c r="I384" s="287" t="s">
        <v>7171</v>
      </c>
      <c r="J384" s="92" t="str">
        <f>IF(ISERROR(MATCH(I384,SurveyDATA!D:D,0))=TRUE,"",MATCH(I384,SurveyDATA!D:D,0))</f>
        <v/>
      </c>
    </row>
    <row r="385" spans="7:10">
      <c r="G385" s="287" t="str">
        <f>IF(ISERROR(MATCH(F385,SurveyDATA!BN:BN,0))=TRUE,"",MATCH(F385,SurveyDATA!BN:BN,0))</f>
        <v/>
      </c>
      <c r="H385" s="287" t="str">
        <f>IF(ISERROR(MATCH(F385,#REF!,0))=TRUE,"",MATCH(F385,#REF!,0))</f>
        <v/>
      </c>
      <c r="I385" s="287" t="s">
        <v>7172</v>
      </c>
      <c r="J385" s="92" t="str">
        <f>IF(ISERROR(MATCH(I385,SurveyDATA!D:D,0))=TRUE,"",MATCH(I385,SurveyDATA!D:D,0))</f>
        <v/>
      </c>
    </row>
    <row r="386" spans="7:10">
      <c r="G386" s="287" t="str">
        <f>IF(ISERROR(MATCH(F386,SurveyDATA!BN:BN,0))=TRUE,"",MATCH(F386,SurveyDATA!BN:BN,0))</f>
        <v/>
      </c>
      <c r="H386" s="287" t="str">
        <f>IF(ISERROR(MATCH(F386,#REF!,0))=TRUE,"",MATCH(F386,#REF!,0))</f>
        <v/>
      </c>
      <c r="I386" s="287" t="s">
        <v>5911</v>
      </c>
      <c r="J386" s="92" t="str">
        <f>IF(ISERROR(MATCH(I386,SurveyDATA!D:D,0))=TRUE,"",MATCH(I386,SurveyDATA!D:D,0))</f>
        <v/>
      </c>
    </row>
    <row r="387" spans="7:10">
      <c r="G387" s="287" t="str">
        <f>IF(ISERROR(MATCH(F387,SurveyDATA!BN:BN,0))=TRUE,"",MATCH(F387,SurveyDATA!BN:BN,0))</f>
        <v/>
      </c>
      <c r="H387" s="287" t="str">
        <f>IF(ISERROR(MATCH(F387,#REF!,0))=TRUE,"",MATCH(F387,#REF!,0))</f>
        <v/>
      </c>
      <c r="I387" s="287" t="s">
        <v>7173</v>
      </c>
      <c r="J387" s="92" t="str">
        <f>IF(ISERROR(MATCH(I387,SurveyDATA!D:D,0))=TRUE,"",MATCH(I387,SurveyDATA!D:D,0))</f>
        <v/>
      </c>
    </row>
    <row r="388" spans="7:10">
      <c r="G388" s="287" t="str">
        <f>IF(ISERROR(MATCH(F388,SurveyDATA!BN:BN,0))=TRUE,"",MATCH(F388,SurveyDATA!BN:BN,0))</f>
        <v/>
      </c>
      <c r="H388" s="287" t="str">
        <f>IF(ISERROR(MATCH(F388,#REF!,0))=TRUE,"",MATCH(F388,#REF!,0))</f>
        <v/>
      </c>
      <c r="I388" s="287" t="s">
        <v>7174</v>
      </c>
      <c r="J388" s="92" t="str">
        <f>IF(ISERROR(MATCH(I388,SurveyDATA!D:D,0))=TRUE,"",MATCH(I388,SurveyDATA!D:D,0))</f>
        <v/>
      </c>
    </row>
    <row r="389" spans="7:10">
      <c r="G389" s="287" t="str">
        <f>IF(ISERROR(MATCH(F389,SurveyDATA!BN:BN,0))=TRUE,"",MATCH(F389,SurveyDATA!BN:BN,0))</f>
        <v/>
      </c>
      <c r="H389" s="287" t="str">
        <f>IF(ISERROR(MATCH(F389,#REF!,0))=TRUE,"",MATCH(F389,#REF!,0))</f>
        <v/>
      </c>
      <c r="I389" s="287" t="s">
        <v>7175</v>
      </c>
      <c r="J389" s="92" t="str">
        <f>IF(ISERROR(MATCH(I389,SurveyDATA!D:D,0))=TRUE,"",MATCH(I389,SurveyDATA!D:D,0))</f>
        <v/>
      </c>
    </row>
    <row r="390" spans="7:10">
      <c r="G390" s="287" t="str">
        <f>IF(ISERROR(MATCH(F390,SurveyDATA!BN:BN,0))=TRUE,"",MATCH(F390,SurveyDATA!BN:BN,0))</f>
        <v/>
      </c>
      <c r="H390" s="287" t="str">
        <f>IF(ISERROR(MATCH(F390,#REF!,0))=TRUE,"",MATCH(F390,#REF!,0))</f>
        <v/>
      </c>
      <c r="I390" s="287" t="s">
        <v>5911</v>
      </c>
      <c r="J390" s="92" t="str">
        <f>IF(ISERROR(MATCH(I390,SurveyDATA!D:D,0))=TRUE,"",MATCH(I390,SurveyDATA!D:D,0))</f>
        <v/>
      </c>
    </row>
    <row r="391" spans="7:10">
      <c r="G391" s="287" t="str">
        <f>IF(ISERROR(MATCH(F391,SurveyDATA!BN:BN,0))=TRUE,"",MATCH(F391,SurveyDATA!BN:BN,0))</f>
        <v/>
      </c>
      <c r="H391" s="287" t="str">
        <f>IF(ISERROR(MATCH(F391,#REF!,0))=TRUE,"",MATCH(F391,#REF!,0))</f>
        <v/>
      </c>
      <c r="I391" s="287" t="s">
        <v>7176</v>
      </c>
      <c r="J391" s="92" t="str">
        <f>IF(ISERROR(MATCH(I391,SurveyDATA!D:D,0))=TRUE,"",MATCH(I391,SurveyDATA!D:D,0))</f>
        <v/>
      </c>
    </row>
    <row r="392" spans="7:10">
      <c r="G392" s="287" t="str">
        <f>IF(ISERROR(MATCH(F392,SurveyDATA!BN:BN,0))=TRUE,"",MATCH(F392,SurveyDATA!BN:BN,0))</f>
        <v/>
      </c>
      <c r="H392" s="287" t="str">
        <f>IF(ISERROR(MATCH(F392,#REF!,0))=TRUE,"",MATCH(F392,#REF!,0))</f>
        <v/>
      </c>
      <c r="I392" s="287" t="s">
        <v>7177</v>
      </c>
      <c r="J392" s="92" t="str">
        <f>IF(ISERROR(MATCH(I392,SurveyDATA!D:D,0))=TRUE,"",MATCH(I392,SurveyDATA!D:D,0))</f>
        <v/>
      </c>
    </row>
    <row r="393" spans="7:10">
      <c r="G393" s="287" t="str">
        <f>IF(ISERROR(MATCH(F393,SurveyDATA!BN:BN,0))=TRUE,"",MATCH(F393,SurveyDATA!BN:BN,0))</f>
        <v/>
      </c>
      <c r="H393" s="287" t="str">
        <f>IF(ISERROR(MATCH(F393,#REF!,0))=TRUE,"",MATCH(F393,#REF!,0))</f>
        <v/>
      </c>
      <c r="I393" s="287" t="s">
        <v>7178</v>
      </c>
      <c r="J393" s="92" t="str">
        <f>IF(ISERROR(MATCH(I393,SurveyDATA!D:D,0))=TRUE,"",MATCH(I393,SurveyDATA!D:D,0))</f>
        <v/>
      </c>
    </row>
    <row r="394" spans="7:10">
      <c r="G394" s="287" t="str">
        <f>IF(ISERROR(MATCH(F394,SurveyDATA!BN:BN,0))=TRUE,"",MATCH(F394,SurveyDATA!BN:BN,0))</f>
        <v/>
      </c>
      <c r="H394" s="287" t="str">
        <f>IF(ISERROR(MATCH(F394,#REF!,0))=TRUE,"",MATCH(F394,#REF!,0))</f>
        <v/>
      </c>
      <c r="I394" s="287" t="s">
        <v>7179</v>
      </c>
      <c r="J394" s="92" t="str">
        <f>IF(ISERROR(MATCH(I394,SurveyDATA!D:D,0))=TRUE,"",MATCH(I394,SurveyDATA!D:D,0))</f>
        <v/>
      </c>
    </row>
    <row r="395" spans="7:10">
      <c r="G395" s="287" t="str">
        <f>IF(ISERROR(MATCH(F395,SurveyDATA!BN:BN,0))=TRUE,"",MATCH(F395,SurveyDATA!BN:BN,0))</f>
        <v/>
      </c>
      <c r="H395" s="287" t="str">
        <f>IF(ISERROR(MATCH(F395,#REF!,0))=TRUE,"",MATCH(F395,#REF!,0))</f>
        <v/>
      </c>
      <c r="I395" s="287" t="s">
        <v>7180</v>
      </c>
      <c r="J395" s="92" t="str">
        <f>IF(ISERROR(MATCH(I395,SurveyDATA!D:D,0))=TRUE,"",MATCH(I395,SurveyDATA!D:D,0))</f>
        <v/>
      </c>
    </row>
    <row r="396" spans="7:10">
      <c r="G396" s="287" t="str">
        <f>IF(ISERROR(MATCH(F396,SurveyDATA!BN:BN,0))=TRUE,"",MATCH(F396,SurveyDATA!BN:BN,0))</f>
        <v/>
      </c>
      <c r="H396" s="287" t="str">
        <f>IF(ISERROR(MATCH(F396,#REF!,0))=TRUE,"",MATCH(F396,#REF!,0))</f>
        <v/>
      </c>
      <c r="I396" s="287" t="s">
        <v>7181</v>
      </c>
      <c r="J396" s="92" t="str">
        <f>IF(ISERROR(MATCH(I396,SurveyDATA!D:D,0))=TRUE,"",MATCH(I396,SurveyDATA!D:D,0))</f>
        <v/>
      </c>
    </row>
    <row r="397" spans="7:10">
      <c r="G397" s="287" t="str">
        <f>IF(ISERROR(MATCH(F397,SurveyDATA!BN:BN,0))=TRUE,"",MATCH(F397,SurveyDATA!BN:BN,0))</f>
        <v/>
      </c>
      <c r="H397" s="287" t="str">
        <f>IF(ISERROR(MATCH(F397,#REF!,0))=TRUE,"",MATCH(F397,#REF!,0))</f>
        <v/>
      </c>
      <c r="I397" s="287" t="s">
        <v>7182</v>
      </c>
      <c r="J397" s="92" t="str">
        <f>IF(ISERROR(MATCH(I397,SurveyDATA!D:D,0))=TRUE,"",MATCH(I397,SurveyDATA!D:D,0))</f>
        <v/>
      </c>
    </row>
    <row r="398" spans="7:10">
      <c r="G398" s="287" t="str">
        <f>IF(ISERROR(MATCH(F398,SurveyDATA!BN:BN,0))=TRUE,"",MATCH(F398,SurveyDATA!BN:BN,0))</f>
        <v/>
      </c>
      <c r="H398" s="287" t="str">
        <f>IF(ISERROR(MATCH(F398,#REF!,0))=TRUE,"",MATCH(F398,#REF!,0))</f>
        <v/>
      </c>
      <c r="I398" s="287" t="s">
        <v>7183</v>
      </c>
      <c r="J398" s="92" t="str">
        <f>IF(ISERROR(MATCH(I398,SurveyDATA!D:D,0))=TRUE,"",MATCH(I398,SurveyDATA!D:D,0))</f>
        <v/>
      </c>
    </row>
    <row r="399" spans="7:10">
      <c r="G399" s="287" t="str">
        <f>IF(ISERROR(MATCH(F399,SurveyDATA!BN:BN,0))=TRUE,"",MATCH(F399,SurveyDATA!BN:BN,0))</f>
        <v/>
      </c>
      <c r="H399" s="287" t="str">
        <f>IF(ISERROR(MATCH(F399,#REF!,0))=TRUE,"",MATCH(F399,#REF!,0))</f>
        <v/>
      </c>
      <c r="I399" s="287" t="s">
        <v>7184</v>
      </c>
      <c r="J399" s="92" t="str">
        <f>IF(ISERROR(MATCH(I399,SurveyDATA!D:D,0))=TRUE,"",MATCH(I399,SurveyDATA!D:D,0))</f>
        <v/>
      </c>
    </row>
    <row r="400" spans="7:10">
      <c r="G400" s="287" t="str">
        <f>IF(ISERROR(MATCH(F400,SurveyDATA!BN:BN,0))=TRUE,"",MATCH(F400,SurveyDATA!BN:BN,0))</f>
        <v/>
      </c>
      <c r="H400" s="287" t="str">
        <f>IF(ISERROR(MATCH(F400,#REF!,0))=TRUE,"",MATCH(F400,#REF!,0))</f>
        <v/>
      </c>
      <c r="I400" s="287" t="s">
        <v>7185</v>
      </c>
      <c r="J400" s="92" t="str">
        <f>IF(ISERROR(MATCH(I400,SurveyDATA!D:D,0))=TRUE,"",MATCH(I400,SurveyDATA!D:D,0))</f>
        <v/>
      </c>
    </row>
    <row r="401" spans="7:10">
      <c r="G401" s="287" t="str">
        <f>IF(ISERROR(MATCH(F401,SurveyDATA!BN:BN,0))=TRUE,"",MATCH(F401,SurveyDATA!BN:BN,0))</f>
        <v/>
      </c>
      <c r="H401" s="287" t="str">
        <f>IF(ISERROR(MATCH(F401,#REF!,0))=TRUE,"",MATCH(F401,#REF!,0))</f>
        <v/>
      </c>
      <c r="I401" s="287" t="s">
        <v>7186</v>
      </c>
      <c r="J401" s="92" t="str">
        <f>IF(ISERROR(MATCH(I401,SurveyDATA!D:D,0))=TRUE,"",MATCH(I401,SurveyDATA!D:D,0))</f>
        <v/>
      </c>
    </row>
    <row r="402" spans="7:10">
      <c r="G402" s="287" t="str">
        <f>IF(ISERROR(MATCH(F402,SurveyDATA!BN:BN,0))=TRUE,"",MATCH(F402,SurveyDATA!BN:BN,0))</f>
        <v/>
      </c>
      <c r="H402" s="287" t="str">
        <f>IF(ISERROR(MATCH(F402,#REF!,0))=TRUE,"",MATCH(F402,#REF!,0))</f>
        <v/>
      </c>
      <c r="I402" s="287" t="s">
        <v>7187</v>
      </c>
      <c r="J402" s="92" t="str">
        <f>IF(ISERROR(MATCH(I402,SurveyDATA!D:D,0))=TRUE,"",MATCH(I402,SurveyDATA!D:D,0))</f>
        <v/>
      </c>
    </row>
    <row r="403" spans="7:10">
      <c r="G403" s="287" t="str">
        <f>IF(ISERROR(MATCH(F403,SurveyDATA!BN:BN,0))=TRUE,"",MATCH(F403,SurveyDATA!BN:BN,0))</f>
        <v/>
      </c>
      <c r="H403" s="287" t="str">
        <f>IF(ISERROR(MATCH(F403,#REF!,0))=TRUE,"",MATCH(F403,#REF!,0))</f>
        <v/>
      </c>
      <c r="I403" s="287" t="s">
        <v>7188</v>
      </c>
      <c r="J403" s="92" t="str">
        <f>IF(ISERROR(MATCH(I403,SurveyDATA!D:D,0))=TRUE,"",MATCH(I403,SurveyDATA!D:D,0))</f>
        <v/>
      </c>
    </row>
    <row r="404" spans="7:10">
      <c r="G404" s="287" t="str">
        <f>IF(ISERROR(MATCH(F404,SurveyDATA!BN:BN,0))=TRUE,"",MATCH(F404,SurveyDATA!BN:BN,0))</f>
        <v/>
      </c>
      <c r="H404" s="287" t="str">
        <f>IF(ISERROR(MATCH(F404,#REF!,0))=TRUE,"",MATCH(F404,#REF!,0))</f>
        <v/>
      </c>
      <c r="I404" s="287" t="s">
        <v>7189</v>
      </c>
      <c r="J404" s="92" t="str">
        <f>IF(ISERROR(MATCH(I404,SurveyDATA!D:D,0))=TRUE,"",MATCH(I404,SurveyDATA!D:D,0))</f>
        <v/>
      </c>
    </row>
    <row r="405" spans="7:10">
      <c r="G405" s="287" t="str">
        <f>IF(ISERROR(MATCH(F405,SurveyDATA!BN:BN,0))=TRUE,"",MATCH(F405,SurveyDATA!BN:BN,0))</f>
        <v/>
      </c>
      <c r="H405" s="287" t="str">
        <f>IF(ISERROR(MATCH(F405,#REF!,0))=TRUE,"",MATCH(F405,#REF!,0))</f>
        <v/>
      </c>
      <c r="I405" s="287" t="s">
        <v>7190</v>
      </c>
      <c r="J405" s="92" t="str">
        <f>IF(ISERROR(MATCH(I405,SurveyDATA!D:D,0))=TRUE,"",MATCH(I405,SurveyDATA!D:D,0))</f>
        <v/>
      </c>
    </row>
    <row r="406" spans="7:10">
      <c r="G406" s="287" t="str">
        <f>IF(ISERROR(MATCH(F406,SurveyDATA!BN:BN,0))=TRUE,"",MATCH(F406,SurveyDATA!BN:BN,0))</f>
        <v/>
      </c>
      <c r="H406" s="287" t="str">
        <f>IF(ISERROR(MATCH(F406,#REF!,0))=TRUE,"",MATCH(F406,#REF!,0))</f>
        <v/>
      </c>
      <c r="I406" s="287" t="s">
        <v>7191</v>
      </c>
      <c r="J406" s="92" t="str">
        <f>IF(ISERROR(MATCH(I406,SurveyDATA!D:D,0))=TRUE,"",MATCH(I406,SurveyDATA!D:D,0))</f>
        <v/>
      </c>
    </row>
    <row r="407" spans="7:10">
      <c r="G407" s="287" t="str">
        <f>IF(ISERROR(MATCH(F407,SurveyDATA!BN:BN,0))=TRUE,"",MATCH(F407,SurveyDATA!BN:BN,0))</f>
        <v/>
      </c>
      <c r="H407" s="287" t="str">
        <f>IF(ISERROR(MATCH(F407,#REF!,0))=TRUE,"",MATCH(F407,#REF!,0))</f>
        <v/>
      </c>
      <c r="I407" s="287" t="s">
        <v>7192</v>
      </c>
      <c r="J407" s="92" t="str">
        <f>IF(ISERROR(MATCH(I407,SurveyDATA!D:D,0))=TRUE,"",MATCH(I407,SurveyDATA!D:D,0))</f>
        <v/>
      </c>
    </row>
    <row r="408" spans="7:10">
      <c r="G408" s="287" t="str">
        <f>IF(ISERROR(MATCH(F408,SurveyDATA!BN:BN,0))=TRUE,"",MATCH(F408,SurveyDATA!BN:BN,0))</f>
        <v/>
      </c>
      <c r="H408" s="287" t="str">
        <f>IF(ISERROR(MATCH(F408,#REF!,0))=TRUE,"",MATCH(F408,#REF!,0))</f>
        <v/>
      </c>
      <c r="I408" s="287" t="s">
        <v>7193</v>
      </c>
      <c r="J408" s="92" t="str">
        <f>IF(ISERROR(MATCH(I408,SurveyDATA!D:D,0))=TRUE,"",MATCH(I408,SurveyDATA!D:D,0))</f>
        <v/>
      </c>
    </row>
    <row r="409" spans="7:10">
      <c r="G409" s="287" t="str">
        <f>IF(ISERROR(MATCH(F409,SurveyDATA!BN:BN,0))=TRUE,"",MATCH(F409,SurveyDATA!BN:BN,0))</f>
        <v/>
      </c>
      <c r="H409" s="287" t="str">
        <f>IF(ISERROR(MATCH(F409,#REF!,0))=TRUE,"",MATCH(F409,#REF!,0))</f>
        <v/>
      </c>
      <c r="I409" s="287" t="s">
        <v>7194</v>
      </c>
      <c r="J409" s="92" t="str">
        <f>IF(ISERROR(MATCH(I409,SurveyDATA!D:D,0))=TRUE,"",MATCH(I409,SurveyDATA!D:D,0))</f>
        <v/>
      </c>
    </row>
    <row r="410" spans="7:10">
      <c r="G410" s="287" t="str">
        <f>IF(ISERROR(MATCH(F410,SurveyDATA!BN:BN,0))=TRUE,"",MATCH(F410,SurveyDATA!BN:BN,0))</f>
        <v/>
      </c>
      <c r="H410" s="287" t="str">
        <f>IF(ISERROR(MATCH(F410,#REF!,0))=TRUE,"",MATCH(F410,#REF!,0))</f>
        <v/>
      </c>
      <c r="I410" s="287" t="s">
        <v>7195</v>
      </c>
      <c r="J410" s="92" t="str">
        <f>IF(ISERROR(MATCH(I410,SurveyDATA!D:D,0))=TRUE,"",MATCH(I410,SurveyDATA!D:D,0))</f>
        <v/>
      </c>
    </row>
    <row r="411" spans="7:10">
      <c r="G411" s="287" t="str">
        <f>IF(ISERROR(MATCH(F411,SurveyDATA!BN:BN,0))=TRUE,"",MATCH(F411,SurveyDATA!BN:BN,0))</f>
        <v/>
      </c>
      <c r="H411" s="287" t="str">
        <f>IF(ISERROR(MATCH(F411,#REF!,0))=TRUE,"",MATCH(F411,#REF!,0))</f>
        <v/>
      </c>
      <c r="I411" s="287" t="s">
        <v>7196</v>
      </c>
      <c r="J411" s="92">
        <f>IF(ISERROR(MATCH(I411,SurveyDATA!D:D,0))=TRUE,"",MATCH(I411,SurveyDATA!D:D,0))</f>
        <v>589</v>
      </c>
    </row>
    <row r="412" spans="7:10">
      <c r="G412" s="287" t="str">
        <f>IF(ISERROR(MATCH(F412,SurveyDATA!BN:BN,0))=TRUE,"",MATCH(F412,SurveyDATA!BN:BN,0))</f>
        <v/>
      </c>
      <c r="H412" s="287" t="str">
        <f>IF(ISERROR(MATCH(F412,#REF!,0))=TRUE,"",MATCH(F412,#REF!,0))</f>
        <v/>
      </c>
      <c r="I412" s="287" t="s">
        <v>7197</v>
      </c>
      <c r="J412" s="92" t="str">
        <f>IF(ISERROR(MATCH(I412,SurveyDATA!D:D,0))=TRUE,"",MATCH(I412,SurveyDATA!D:D,0))</f>
        <v/>
      </c>
    </row>
    <row r="413" spans="7:10">
      <c r="G413" s="287" t="str">
        <f>IF(ISERROR(MATCH(F413,SurveyDATA!BN:BN,0))=TRUE,"",MATCH(F413,SurveyDATA!BN:BN,0))</f>
        <v/>
      </c>
      <c r="H413" s="287" t="str">
        <f>IF(ISERROR(MATCH(F413,#REF!,0))=TRUE,"",MATCH(F413,#REF!,0))</f>
        <v/>
      </c>
      <c r="I413" s="287" t="s">
        <v>7198</v>
      </c>
      <c r="J413" s="92" t="str">
        <f>IF(ISERROR(MATCH(I413,SurveyDATA!D:D,0))=TRUE,"",MATCH(I413,SurveyDATA!D:D,0))</f>
        <v/>
      </c>
    </row>
    <row r="414" spans="7:10">
      <c r="G414" s="287" t="str">
        <f>IF(ISERROR(MATCH(F414,SurveyDATA!BN:BN,0))=TRUE,"",MATCH(F414,SurveyDATA!BN:BN,0))</f>
        <v/>
      </c>
      <c r="H414" s="287" t="str">
        <f>IF(ISERROR(MATCH(F414,#REF!,0))=TRUE,"",MATCH(F414,#REF!,0))</f>
        <v/>
      </c>
      <c r="I414" s="287" t="s">
        <v>5911</v>
      </c>
      <c r="J414" s="92" t="str">
        <f>IF(ISERROR(MATCH(I414,SurveyDATA!D:D,0))=TRUE,"",MATCH(I414,SurveyDATA!D:D,0))</f>
        <v/>
      </c>
    </row>
    <row r="415" spans="7:10">
      <c r="G415" s="287" t="str">
        <f>IF(ISERROR(MATCH(F415,SurveyDATA!BN:BN,0))=TRUE,"",MATCH(F415,SurveyDATA!BN:BN,0))</f>
        <v/>
      </c>
      <c r="H415" s="287" t="str">
        <f>IF(ISERROR(MATCH(F415,#REF!,0))=TRUE,"",MATCH(F415,#REF!,0))</f>
        <v/>
      </c>
      <c r="I415" s="287" t="s">
        <v>7199</v>
      </c>
      <c r="J415" s="92" t="str">
        <f>IF(ISERROR(MATCH(I415,SurveyDATA!D:D,0))=TRUE,"",MATCH(I415,SurveyDATA!D:D,0))</f>
        <v/>
      </c>
    </row>
    <row r="416" spans="7:10">
      <c r="G416" s="287" t="str">
        <f>IF(ISERROR(MATCH(F416,SurveyDATA!BN:BN,0))=TRUE,"",MATCH(F416,SurveyDATA!BN:BN,0))</f>
        <v/>
      </c>
      <c r="H416" s="287" t="str">
        <f>IF(ISERROR(MATCH(F416,#REF!,0))=TRUE,"",MATCH(F416,#REF!,0))</f>
        <v/>
      </c>
      <c r="I416" s="287" t="s">
        <v>7200</v>
      </c>
      <c r="J416" s="92" t="str">
        <f>IF(ISERROR(MATCH(I416,SurveyDATA!D:D,0))=TRUE,"",MATCH(I416,SurveyDATA!D:D,0))</f>
        <v/>
      </c>
    </row>
    <row r="417" spans="7:10">
      <c r="G417" s="287" t="str">
        <f>IF(ISERROR(MATCH(F417,SurveyDATA!BN:BN,0))=TRUE,"",MATCH(F417,SurveyDATA!BN:BN,0))</f>
        <v/>
      </c>
      <c r="H417" s="287" t="str">
        <f>IF(ISERROR(MATCH(F417,#REF!,0))=TRUE,"",MATCH(F417,#REF!,0))</f>
        <v/>
      </c>
      <c r="I417" s="287" t="s">
        <v>7201</v>
      </c>
      <c r="J417" s="92" t="str">
        <f>IF(ISERROR(MATCH(I417,SurveyDATA!D:D,0))=TRUE,"",MATCH(I417,SurveyDATA!D:D,0))</f>
        <v/>
      </c>
    </row>
    <row r="418" spans="7:10">
      <c r="G418" s="287" t="str">
        <f>IF(ISERROR(MATCH(F418,SurveyDATA!BN:BN,0))=TRUE,"",MATCH(F418,SurveyDATA!BN:BN,0))</f>
        <v/>
      </c>
      <c r="H418" s="287" t="str">
        <f>IF(ISERROR(MATCH(F418,#REF!,0))=TRUE,"",MATCH(F418,#REF!,0))</f>
        <v/>
      </c>
      <c r="I418" s="287" t="s">
        <v>7202</v>
      </c>
      <c r="J418" s="92" t="str">
        <f>IF(ISERROR(MATCH(I418,SurveyDATA!D:D,0))=TRUE,"",MATCH(I418,SurveyDATA!D:D,0))</f>
        <v/>
      </c>
    </row>
    <row r="419" spans="7:10">
      <c r="G419" s="287" t="str">
        <f>IF(ISERROR(MATCH(F419,SurveyDATA!BN:BN,0))=TRUE,"",MATCH(F419,SurveyDATA!BN:BN,0))</f>
        <v/>
      </c>
      <c r="H419" s="287" t="str">
        <f>IF(ISERROR(MATCH(F419,#REF!,0))=TRUE,"",MATCH(F419,#REF!,0))</f>
        <v/>
      </c>
      <c r="I419" s="287" t="s">
        <v>7203</v>
      </c>
      <c r="J419" s="92" t="str">
        <f>IF(ISERROR(MATCH(I419,SurveyDATA!D:D,0))=TRUE,"",MATCH(I419,SurveyDATA!D:D,0))</f>
        <v/>
      </c>
    </row>
    <row r="420" spans="7:10">
      <c r="G420" s="287" t="str">
        <f>IF(ISERROR(MATCH(F420,SurveyDATA!BN:BN,0))=TRUE,"",MATCH(F420,SurveyDATA!BN:BN,0))</f>
        <v/>
      </c>
      <c r="H420" s="287" t="str">
        <f>IF(ISERROR(MATCH(F420,#REF!,0))=TRUE,"",MATCH(F420,#REF!,0))</f>
        <v/>
      </c>
      <c r="I420" s="287" t="s">
        <v>7204</v>
      </c>
      <c r="J420" s="92" t="str">
        <f>IF(ISERROR(MATCH(I420,SurveyDATA!D:D,0))=TRUE,"",MATCH(I420,SurveyDATA!D:D,0))</f>
        <v/>
      </c>
    </row>
    <row r="421" spans="7:10">
      <c r="G421" s="287" t="str">
        <f>IF(ISERROR(MATCH(F421,SurveyDATA!BN:BN,0))=TRUE,"",MATCH(F421,SurveyDATA!BN:BN,0))</f>
        <v/>
      </c>
      <c r="H421" s="287" t="str">
        <f>IF(ISERROR(MATCH(F421,#REF!,0))=TRUE,"",MATCH(F421,#REF!,0))</f>
        <v/>
      </c>
      <c r="I421" s="287" t="s">
        <v>7205</v>
      </c>
      <c r="J421" s="92" t="str">
        <f>IF(ISERROR(MATCH(I421,SurveyDATA!D:D,0))=TRUE,"",MATCH(I421,SurveyDATA!D:D,0))</f>
        <v/>
      </c>
    </row>
    <row r="422" spans="7:10">
      <c r="G422" s="287" t="str">
        <f>IF(ISERROR(MATCH(F422,SurveyDATA!BN:BN,0))=TRUE,"",MATCH(F422,SurveyDATA!BN:BN,0))</f>
        <v/>
      </c>
      <c r="H422" s="287" t="str">
        <f>IF(ISERROR(MATCH(F422,#REF!,0))=TRUE,"",MATCH(F422,#REF!,0))</f>
        <v/>
      </c>
      <c r="I422" s="287" t="s">
        <v>7206</v>
      </c>
      <c r="J422" s="92" t="str">
        <f>IF(ISERROR(MATCH(I422,SurveyDATA!D:D,0))=TRUE,"",MATCH(I422,SurveyDATA!D:D,0))</f>
        <v/>
      </c>
    </row>
    <row r="423" spans="7:10">
      <c r="G423" s="287" t="str">
        <f>IF(ISERROR(MATCH(F423,SurveyDATA!BN:BN,0))=TRUE,"",MATCH(F423,SurveyDATA!BN:BN,0))</f>
        <v/>
      </c>
      <c r="H423" s="287" t="str">
        <f>IF(ISERROR(MATCH(F423,#REF!,0))=TRUE,"",MATCH(F423,#REF!,0))</f>
        <v/>
      </c>
      <c r="I423" s="287" t="s">
        <v>7207</v>
      </c>
      <c r="J423" s="92" t="str">
        <f>IF(ISERROR(MATCH(I423,SurveyDATA!D:D,0))=TRUE,"",MATCH(I423,SurveyDATA!D:D,0))</f>
        <v/>
      </c>
    </row>
    <row r="424" spans="7:10">
      <c r="G424" s="287" t="str">
        <f>IF(ISERROR(MATCH(F424,SurveyDATA!BN:BN,0))=TRUE,"",MATCH(F424,SurveyDATA!BN:BN,0))</f>
        <v/>
      </c>
      <c r="H424" s="287" t="str">
        <f>IF(ISERROR(MATCH(F424,#REF!,0))=TRUE,"",MATCH(F424,#REF!,0))</f>
        <v/>
      </c>
      <c r="I424" s="287" t="s">
        <v>7208</v>
      </c>
      <c r="J424" s="92" t="str">
        <f>IF(ISERROR(MATCH(I424,SurveyDATA!D:D,0))=TRUE,"",MATCH(I424,SurveyDATA!D:D,0))</f>
        <v/>
      </c>
    </row>
    <row r="425" spans="7:10">
      <c r="G425" s="287" t="str">
        <f>IF(ISERROR(MATCH(F425,SurveyDATA!BN:BN,0))=TRUE,"",MATCH(F425,SurveyDATA!BN:BN,0))</f>
        <v/>
      </c>
      <c r="H425" s="287" t="str">
        <f>IF(ISERROR(MATCH(F425,#REF!,0))=TRUE,"",MATCH(F425,#REF!,0))</f>
        <v/>
      </c>
      <c r="I425" s="287" t="s">
        <v>7209</v>
      </c>
      <c r="J425" s="92" t="str">
        <f>IF(ISERROR(MATCH(I425,SurveyDATA!D:D,0))=TRUE,"",MATCH(I425,SurveyDATA!D:D,0))</f>
        <v/>
      </c>
    </row>
    <row r="426" spans="7:10">
      <c r="G426" s="287" t="str">
        <f>IF(ISERROR(MATCH(F426,SurveyDATA!BN:BN,0))=TRUE,"",MATCH(F426,SurveyDATA!BN:BN,0))</f>
        <v/>
      </c>
      <c r="H426" s="287" t="str">
        <f>IF(ISERROR(MATCH(F426,#REF!,0))=TRUE,"",MATCH(F426,#REF!,0))</f>
        <v/>
      </c>
      <c r="J426" s="92"/>
    </row>
    <row r="427" spans="7:10">
      <c r="G427" s="287" t="str">
        <f>IF(ISERROR(MATCH(F427,SurveyDATA!BN:BN,0))=TRUE,"",MATCH(F427,SurveyDATA!BN:BN,0))</f>
        <v/>
      </c>
      <c r="H427" s="287" t="str">
        <f>IF(ISERROR(MATCH(F427,#REF!,0))=TRUE,"",MATCH(F427,#REF!,0))</f>
        <v/>
      </c>
      <c r="J427" s="92"/>
    </row>
    <row r="428" spans="7:10">
      <c r="G428" s="287" t="str">
        <f>IF(ISERROR(MATCH(F428,SurveyDATA!BN:BN,0))=TRUE,"",MATCH(F428,SurveyDATA!BN:BN,0))</f>
        <v/>
      </c>
      <c r="H428" s="287" t="str">
        <f>IF(ISERROR(MATCH(F428,#REF!,0))=TRUE,"",MATCH(F428,#REF!,0))</f>
        <v/>
      </c>
      <c r="J428" s="92"/>
    </row>
    <row r="429" spans="7:10">
      <c r="G429" s="287" t="str">
        <f>IF(ISERROR(MATCH(F429,SurveyDATA!BN:BN,0))=TRUE,"",MATCH(F429,SurveyDATA!BN:BN,0))</f>
        <v/>
      </c>
      <c r="J429" s="92"/>
    </row>
    <row r="430" spans="7:10">
      <c r="G430" s="287" t="str">
        <f>IF(ISERROR(MATCH(F430,SurveyDATA!BN:BN,0))=TRUE,"",MATCH(F430,SurveyDATA!BN:BN,0))</f>
        <v/>
      </c>
      <c r="J430" s="92"/>
    </row>
    <row r="431" spans="7:10">
      <c r="G431" s="287" t="str">
        <f>IF(ISERROR(MATCH(F431,SurveyDATA!BN:BN,0))=TRUE,"",MATCH(F431,SurveyDATA!BN:BN,0))</f>
        <v/>
      </c>
      <c r="J431" s="92"/>
    </row>
    <row r="432" spans="7:10">
      <c r="G432" s="287" t="str">
        <f>IF(ISERROR(MATCH(F432,SurveyDATA!BN:BN,0))=TRUE,"",MATCH(F432,SurveyDATA!BN:BN,0))</f>
        <v/>
      </c>
      <c r="J432" s="92"/>
    </row>
    <row r="433" spans="7:10">
      <c r="G433" s="287" t="str">
        <f>IF(ISERROR(MATCH(F433,SurveyDATA!BN:BN,0))=TRUE,"",MATCH(F433,SurveyDATA!BN:BN,0))</f>
        <v/>
      </c>
      <c r="J433" s="92"/>
    </row>
    <row r="434" spans="7:10">
      <c r="G434" s="287" t="str">
        <f>IF(ISERROR(MATCH(F434,SurveyDATA!BN:BN,0))=TRUE,"",MATCH(F434,SurveyDATA!BN:BN,0))</f>
        <v/>
      </c>
      <c r="J434" s="92"/>
    </row>
    <row r="435" spans="7:10">
      <c r="G435" s="287" t="str">
        <f>IF(ISERROR(MATCH(F435,SurveyDATA!BN:BN,0))=TRUE,"",MATCH(F435,SurveyDATA!BN:BN,0))</f>
        <v/>
      </c>
      <c r="J435" s="92"/>
    </row>
    <row r="436" spans="7:10">
      <c r="G436" s="287" t="str">
        <f>IF(ISERROR(MATCH(F436,SurveyDATA!BN:BN,0))=TRUE,"",MATCH(F436,SurveyDATA!BN:BN,0))</f>
        <v/>
      </c>
      <c r="J436" s="92"/>
    </row>
    <row r="437" spans="7:10">
      <c r="G437" s="287" t="str">
        <f>IF(ISERROR(MATCH(F437,SurveyDATA!BN:BN,0))=TRUE,"",MATCH(F437,SurveyDATA!BN:BN,0))</f>
        <v/>
      </c>
      <c r="J437" s="92"/>
    </row>
    <row r="438" spans="7:10">
      <c r="G438" s="287" t="str">
        <f>IF(ISERROR(MATCH(F438,SurveyDATA!BN:BN,0))=TRUE,"",MATCH(F438,SurveyDATA!BN:BN,0))</f>
        <v/>
      </c>
      <c r="J438" s="92"/>
    </row>
    <row r="439" spans="7:10">
      <c r="G439" s="287" t="str">
        <f>IF(ISERROR(MATCH(F439,SurveyDATA!BN:BN,0))=TRUE,"",MATCH(F439,SurveyDATA!BN:BN,0))</f>
        <v/>
      </c>
      <c r="J439" s="92"/>
    </row>
    <row r="440" spans="7:10">
      <c r="G440" s="287" t="str">
        <f>IF(ISERROR(MATCH(F440,SurveyDATA!BN:BN,0))=TRUE,"",MATCH(F440,SurveyDATA!BN:BN,0))</f>
        <v/>
      </c>
      <c r="J440" s="92"/>
    </row>
    <row r="441" spans="7:10">
      <c r="G441" s="287" t="str">
        <f>IF(ISERROR(MATCH(F441,SurveyDATA!BN:BN,0))=TRUE,"",MATCH(F441,SurveyDATA!BN:BN,0))</f>
        <v/>
      </c>
      <c r="J441" s="92"/>
    </row>
    <row r="442" spans="7:10">
      <c r="G442" s="287" t="str">
        <f>IF(ISERROR(MATCH(F442,SurveyDATA!BN:BN,0))=TRUE,"",MATCH(F442,SurveyDATA!BN:BN,0))</f>
        <v/>
      </c>
      <c r="J442" s="92"/>
    </row>
    <row r="443" spans="7:10">
      <c r="G443" s="287" t="str">
        <f>IF(ISERROR(MATCH(F443,SurveyDATA!BN:BN,0))=TRUE,"",MATCH(F443,SurveyDATA!BN:BN,0))</f>
        <v/>
      </c>
      <c r="J443" s="92"/>
    </row>
    <row r="444" spans="7:10">
      <c r="G444" s="287" t="str">
        <f>IF(ISERROR(MATCH(F444,SurveyDATA!BN:BN,0))=TRUE,"",MATCH(F444,SurveyDATA!BN:BN,0))</f>
        <v/>
      </c>
      <c r="J444" s="92"/>
    </row>
    <row r="445" spans="7:10">
      <c r="G445" s="287" t="str">
        <f>IF(ISERROR(MATCH(F445,SurveyDATA!BN:BN,0))=TRUE,"",MATCH(F445,SurveyDATA!BN:BN,0))</f>
        <v/>
      </c>
      <c r="J445" s="92"/>
    </row>
    <row r="446" spans="7:10">
      <c r="G446" s="287" t="str">
        <f>IF(ISERROR(MATCH(F446,SurveyDATA!BN:BN,0))=TRUE,"",MATCH(F446,SurveyDATA!BN:BN,0))</f>
        <v/>
      </c>
      <c r="J446" s="92"/>
    </row>
    <row r="447" spans="7:10">
      <c r="G447" s="287" t="str">
        <f>IF(ISERROR(MATCH(F447,SurveyDATA!BN:BN,0))=TRUE,"",MATCH(F447,SurveyDATA!BN:BN,0))</f>
        <v/>
      </c>
      <c r="J447" s="92"/>
    </row>
    <row r="448" spans="7:10">
      <c r="G448" s="287" t="str">
        <f>IF(ISERROR(MATCH(F448,SurveyDATA!BN:BN,0))=TRUE,"",MATCH(F448,SurveyDATA!BN:BN,0))</f>
        <v/>
      </c>
      <c r="J448" s="92"/>
    </row>
    <row r="449" spans="7:10">
      <c r="G449" s="287" t="str">
        <f>IF(ISERROR(MATCH(F449,SurveyDATA!BN:BN,0))=TRUE,"",MATCH(F449,SurveyDATA!BN:BN,0))</f>
        <v/>
      </c>
      <c r="J449" s="92"/>
    </row>
    <row r="450" spans="7:10">
      <c r="G450" s="287" t="str">
        <f>IF(ISERROR(MATCH(F450,SurveyDATA!BN:BN,0))=TRUE,"",MATCH(F450,SurveyDATA!BN:BN,0))</f>
        <v/>
      </c>
      <c r="J450" s="92"/>
    </row>
    <row r="451" spans="7:10">
      <c r="G451" s="287" t="str">
        <f>IF(ISERROR(MATCH(F451,SurveyDATA!BN:BN,0))=TRUE,"",MATCH(F451,SurveyDATA!BN:BN,0))</f>
        <v/>
      </c>
      <c r="J451" s="92"/>
    </row>
    <row r="452" spans="7:10">
      <c r="G452" s="287" t="str">
        <f>IF(ISERROR(MATCH(F452,SurveyDATA!BN:BN,0))=TRUE,"",MATCH(F452,SurveyDATA!BN:BN,0))</f>
        <v/>
      </c>
      <c r="J452" s="92"/>
    </row>
    <row r="453" spans="7:10">
      <c r="G453" s="287" t="str">
        <f>IF(ISERROR(MATCH(F453,SurveyDATA!BN:BN,0))=TRUE,"",MATCH(F453,SurveyDATA!BN:BN,0))</f>
        <v/>
      </c>
      <c r="J453" s="92"/>
    </row>
    <row r="454" spans="7:10">
      <c r="G454" s="287" t="str">
        <f>IF(ISERROR(MATCH(F454,SurveyDATA!BN:BN,0))=TRUE,"",MATCH(F454,SurveyDATA!BN:BN,0))</f>
        <v/>
      </c>
    </row>
    <row r="455" spans="7:10">
      <c r="G455" s="287" t="str">
        <f>IF(ISERROR(MATCH(F455,SurveyDATA!BN:BN,0))=TRUE,"",MATCH(F455,SurveyDATA!BN:BN,0))</f>
        <v/>
      </c>
    </row>
    <row r="456" spans="7:10">
      <c r="G456" s="287" t="str">
        <f>IF(ISERROR(MATCH(F456,SurveyDATA!BN:BN,0))=TRUE,"",MATCH(F456,SurveyDATA!BN:BN,0))</f>
        <v/>
      </c>
    </row>
    <row r="457" spans="7:10">
      <c r="G457" s="287" t="str">
        <f>IF(ISERROR(MATCH(F457,SurveyDATA!BN:BN,0))=TRUE,"",MATCH(F457,SurveyDATA!BN:BN,0))</f>
        <v/>
      </c>
    </row>
    <row r="458" spans="7:10">
      <c r="G458" s="287" t="str">
        <f>IF(ISERROR(MATCH(F458,SurveyDATA!BN:BN,0))=TRUE,"",MATCH(F458,SurveyDATA!BN:BN,0))</f>
        <v/>
      </c>
    </row>
    <row r="459" spans="7:10">
      <c r="G459" s="287" t="str">
        <f>IF(ISERROR(MATCH(F459,SurveyDATA!BN:BN,0))=TRUE,"",MATCH(F459,SurveyDATA!BN:BN,0))</f>
        <v/>
      </c>
    </row>
    <row r="460" spans="7:10">
      <c r="G460" s="287" t="str">
        <f>IF(ISERROR(MATCH(F460,SurveyDATA!BN:BN,0))=TRUE,"",MATCH(F460,SurveyDATA!BN:BN,0))</f>
        <v/>
      </c>
    </row>
    <row r="461" spans="7:10">
      <c r="G461" s="287" t="str">
        <f>IF(ISERROR(MATCH(F461,SurveyDATA!BN:BN,0))=TRUE,"",MATCH(F461,SurveyDATA!BN:BN,0))</f>
        <v/>
      </c>
    </row>
    <row r="462" spans="7:10">
      <c r="G462" s="287" t="str">
        <f>IF(ISERROR(MATCH(F462,SurveyDATA!BN:BN,0))=TRUE,"",MATCH(F462,SurveyDATA!BN:BN,0))</f>
        <v/>
      </c>
    </row>
    <row r="463" spans="7:10">
      <c r="G463" s="287" t="str">
        <f>IF(ISERROR(MATCH(F463,SurveyDATA!BN:BN,0))=TRUE,"",MATCH(F463,SurveyDATA!BN:BN,0))</f>
        <v/>
      </c>
    </row>
    <row r="464" spans="7:10">
      <c r="G464" s="287" t="str">
        <f>IF(ISERROR(MATCH(F464,SurveyDATA!BN:BN,0))=TRUE,"",MATCH(F464,SurveyDATA!BN:BN,0))</f>
        <v/>
      </c>
    </row>
    <row r="465" spans="7:7">
      <c r="G465" s="287" t="str">
        <f>IF(ISERROR(MATCH(F465,SurveyDATA!BN:BN,0))=TRUE,"",MATCH(F465,SurveyDATA!BN:BN,0))</f>
        <v/>
      </c>
    </row>
    <row r="466" spans="7:7">
      <c r="G466" s="287" t="str">
        <f>IF(ISERROR(MATCH(F466,SurveyDATA!BN:BN,0))=TRUE,"",MATCH(F466,SurveyDATA!BN:BN,0))</f>
        <v/>
      </c>
    </row>
    <row r="467" spans="7:7">
      <c r="G467" s="287" t="str">
        <f>IF(ISERROR(MATCH(F467,SurveyDATA!BN:BN,0))=TRUE,"",MATCH(F467,SurveyDATA!BN:BN,0))</f>
        <v/>
      </c>
    </row>
    <row r="468" spans="7:7">
      <c r="G468" s="287" t="str">
        <f>IF(ISERROR(MATCH(F468,SurveyDATA!BN:BN,0))=TRUE,"",MATCH(F468,SurveyDATA!BN:BN,0))</f>
        <v/>
      </c>
    </row>
    <row r="469" spans="7:7">
      <c r="G469" s="287" t="str">
        <f>IF(ISERROR(MATCH(F469,SurveyDATA!BN:BN,0))=TRUE,"",MATCH(F469,SurveyDATA!BN:BN,0))</f>
        <v/>
      </c>
    </row>
    <row r="470" spans="7:7">
      <c r="G470" s="287" t="str">
        <f>IF(ISERROR(MATCH(F470,SurveyDATA!BN:BN,0))=TRUE,"",MATCH(F470,SurveyDATA!BN:BN,0))</f>
        <v/>
      </c>
    </row>
    <row r="471" spans="7:7">
      <c r="G471" s="287" t="str">
        <f>IF(ISERROR(MATCH(F471,SurveyDATA!BN:BN,0))=TRUE,"",MATCH(F471,SurveyDATA!BN:BN,0))</f>
        <v/>
      </c>
    </row>
    <row r="472" spans="7:7">
      <c r="G472" s="287" t="str">
        <f>IF(ISERROR(MATCH(F472,SurveyDATA!BN:BN,0))=TRUE,"",MATCH(F472,SurveyDATA!BN:BN,0))</f>
        <v/>
      </c>
    </row>
    <row r="473" spans="7:7">
      <c r="G473" s="287" t="str">
        <f>IF(ISERROR(MATCH(F473,SurveyDATA!BN:BN,0))=TRUE,"",MATCH(F473,SurveyDATA!BN:BN,0))</f>
        <v/>
      </c>
    </row>
    <row r="474" spans="7:7">
      <c r="G474" s="287" t="str">
        <f>IF(ISERROR(MATCH(F474,SurveyDATA!BN:BN,0))=TRUE,"",MATCH(F474,SurveyDATA!BN:BN,0))</f>
        <v/>
      </c>
    </row>
    <row r="475" spans="7:7">
      <c r="G475" s="287" t="str">
        <f>IF(ISERROR(MATCH(F475,SurveyDATA!BN:BN,0))=TRUE,"",MATCH(F475,SurveyDATA!BN:BN,0))</f>
        <v/>
      </c>
    </row>
    <row r="476" spans="7:7">
      <c r="G476" s="287" t="str">
        <f>IF(ISERROR(MATCH(F476,SurveyDATA!BN:BN,0))=TRUE,"",MATCH(F476,SurveyDATA!BN:BN,0))</f>
        <v/>
      </c>
    </row>
    <row r="477" spans="7:7">
      <c r="G477" s="287" t="str">
        <f>IF(ISERROR(MATCH(F477,SurveyDATA!BN:BN,0))=TRUE,"",MATCH(F477,SurveyDATA!BN:BN,0))</f>
        <v/>
      </c>
    </row>
    <row r="478" spans="7:7">
      <c r="G478" s="287" t="str">
        <f>IF(ISERROR(MATCH(F478,SurveyDATA!BN:BN,0))=TRUE,"",MATCH(F478,SurveyDATA!BN:BN,0))</f>
        <v/>
      </c>
    </row>
    <row r="479" spans="7:7">
      <c r="G479" s="287" t="str">
        <f>IF(ISERROR(MATCH(F479,SurveyDATA!BN:BN,0))=TRUE,"",MATCH(F479,SurveyDATA!BN:BN,0))</f>
        <v/>
      </c>
    </row>
    <row r="480" spans="7:7">
      <c r="G480" s="287" t="str">
        <f>IF(ISERROR(MATCH(F480,SurveyDATA!BN:BN,0))=TRUE,"",MATCH(F480,SurveyDATA!BN:BN,0))</f>
        <v/>
      </c>
    </row>
    <row r="481" spans="7:7">
      <c r="G481" s="287" t="str">
        <f>IF(ISERROR(MATCH(F481,SurveyDATA!BN:BN,0))=TRUE,"",MATCH(F481,SurveyDATA!BN:BN,0))</f>
        <v/>
      </c>
    </row>
    <row r="482" spans="7:7">
      <c r="G482" s="287" t="str">
        <f>IF(ISERROR(MATCH(F482,SurveyDATA!BN:BN,0))=TRUE,"",MATCH(F482,SurveyDATA!BN:BN,0))</f>
        <v/>
      </c>
    </row>
    <row r="483" spans="7:7">
      <c r="G483" s="287" t="str">
        <f>IF(ISERROR(MATCH(F483,SurveyDATA!BN:BN,0))=TRUE,"",MATCH(F483,SurveyDATA!BN:BN,0))</f>
        <v/>
      </c>
    </row>
    <row r="484" spans="7:7">
      <c r="G484" s="287" t="str">
        <f>IF(ISERROR(MATCH(F484,SurveyDATA!BN:BN,0))=TRUE,"",MATCH(F484,SurveyDATA!BN:BN,0))</f>
        <v/>
      </c>
    </row>
    <row r="485" spans="7:7">
      <c r="G485" s="287" t="str">
        <f>IF(ISERROR(MATCH(F485,SurveyDATA!BN:BN,0))=TRUE,"",MATCH(F485,SurveyDATA!BN:BN,0))</f>
        <v/>
      </c>
    </row>
    <row r="486" spans="7:7">
      <c r="G486" s="287" t="str">
        <f>IF(ISERROR(MATCH(F486,SurveyDATA!BN:BN,0))=TRUE,"",MATCH(F486,SurveyDATA!BN:BN,0))</f>
        <v/>
      </c>
    </row>
    <row r="487" spans="7:7">
      <c r="G487" s="287" t="str">
        <f>IF(ISERROR(MATCH(F487,SurveyDATA!BN:BN,0))=TRUE,"",MATCH(F487,SurveyDATA!BN:BN,0))</f>
        <v/>
      </c>
    </row>
    <row r="488" spans="7:7">
      <c r="G488" s="287" t="str">
        <f>IF(ISERROR(MATCH(F488,SurveyDATA!BN:BN,0))=TRUE,"",MATCH(F488,SurveyDATA!BN:BN,0))</f>
        <v/>
      </c>
    </row>
    <row r="489" spans="7:7">
      <c r="G489" s="287" t="str">
        <f>IF(ISERROR(MATCH(F489,SurveyDATA!BN:BN,0))=TRUE,"",MATCH(F489,SurveyDATA!BN:BN,0))</f>
        <v/>
      </c>
    </row>
    <row r="490" spans="7:7">
      <c r="G490" s="287" t="str">
        <f>IF(ISERROR(MATCH(F490,SurveyDATA!BN:BN,0))=TRUE,"",MATCH(F490,SurveyDATA!BN:BN,0))</f>
        <v/>
      </c>
    </row>
    <row r="491" spans="7:7">
      <c r="G491" s="287" t="str">
        <f>IF(ISERROR(MATCH(F491,SurveyDATA!BN:BN,0))=TRUE,"",MATCH(F491,SurveyDATA!BN:BN,0))</f>
        <v/>
      </c>
    </row>
    <row r="492" spans="7:7">
      <c r="G492" s="287" t="str">
        <f>IF(ISERROR(MATCH(F492,SurveyDATA!BN:BN,0))=TRUE,"",MATCH(F492,SurveyDATA!BN:BN,0))</f>
        <v/>
      </c>
    </row>
    <row r="493" spans="7:7">
      <c r="G493" s="287" t="str">
        <f>IF(ISERROR(MATCH(F493,SurveyDATA!BN:BN,0))=TRUE,"",MATCH(F493,SurveyDATA!BN:BN,0))</f>
        <v/>
      </c>
    </row>
    <row r="494" spans="7:7">
      <c r="G494" s="287" t="str">
        <f>IF(ISERROR(MATCH(F494,SurveyDATA!BN:BN,0))=TRUE,"",MATCH(F494,SurveyDATA!BN:BN,0))</f>
        <v/>
      </c>
    </row>
    <row r="495" spans="7:7">
      <c r="G495" s="287" t="str">
        <f>IF(ISERROR(MATCH(F495,SurveyDATA!BN:BN,0))=TRUE,"",MATCH(F495,SurveyDATA!BN:BN,0))</f>
        <v/>
      </c>
    </row>
    <row r="496" spans="7:7">
      <c r="G496" s="287" t="str">
        <f>IF(ISERROR(MATCH(F496,SurveyDATA!BN:BN,0))=TRUE,"",MATCH(F496,SurveyDATA!BN:BN,0))</f>
        <v/>
      </c>
    </row>
    <row r="497" spans="7:7">
      <c r="G497" s="287" t="str">
        <f>IF(ISERROR(MATCH(F497,SurveyDATA!BN:BN,0))=TRUE,"",MATCH(F497,SurveyDATA!BN:BN,0))</f>
        <v/>
      </c>
    </row>
    <row r="498" spans="7:7">
      <c r="G498" s="287" t="str">
        <f>IF(ISERROR(MATCH(F498,SurveyDATA!BN:BN,0))=TRUE,"",MATCH(F498,SurveyDATA!BN:BN,0))</f>
        <v/>
      </c>
    </row>
    <row r="499" spans="7:7">
      <c r="G499" s="287" t="str">
        <f>IF(ISERROR(MATCH(F499,SurveyDATA!BN:BN,0))=TRUE,"",MATCH(F499,SurveyDATA!BN:BN,0))</f>
        <v/>
      </c>
    </row>
  </sheetData>
  <autoFilter ref="A2:J499"/>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codeName="Sheet12">
    <tabColor rgb="FFFFFF00"/>
  </sheetPr>
  <dimension ref="A2:W246"/>
  <sheetViews>
    <sheetView workbookViewId="0">
      <selection activeCell="B7" sqref="B7"/>
    </sheetView>
  </sheetViews>
  <sheetFormatPr defaultRowHeight="15"/>
  <cols>
    <col min="1" max="1" width="28.140625" customWidth="1"/>
    <col min="2" max="2" width="18.85546875" customWidth="1"/>
    <col min="3" max="3" width="14.28515625" customWidth="1"/>
    <col min="4" max="5" width="13.85546875" customWidth="1"/>
    <col min="6" max="7" width="14.42578125" customWidth="1"/>
    <col min="8" max="9" width="12" customWidth="1"/>
    <col min="14" max="14" width="9.140625" style="711"/>
    <col min="16" max="16" width="25.85546875" customWidth="1"/>
    <col min="17" max="17" width="18" customWidth="1"/>
    <col min="18" max="18" width="15.28515625" customWidth="1"/>
    <col min="19" max="22" width="13.5703125" customWidth="1"/>
  </cols>
  <sheetData>
    <row r="2" spans="1:19">
      <c r="A2" s="595" t="s">
        <v>7252</v>
      </c>
      <c r="B2" t="e">
        <f>COUNTIF(SurveyDATA!#REF!,"LEGAL")</f>
        <v>#REF!</v>
      </c>
    </row>
    <row r="4" spans="1:19" ht="15.75" thickBot="1">
      <c r="A4" s="594" t="s">
        <v>7251</v>
      </c>
      <c r="P4" s="635" t="s">
        <v>7337</v>
      </c>
    </row>
    <row r="5" spans="1:19" ht="15.75" thickBot="1">
      <c r="P5" s="584" t="s">
        <v>7214</v>
      </c>
      <c r="Q5" s="585" t="s">
        <v>10</v>
      </c>
      <c r="R5" s="585" t="s">
        <v>18</v>
      </c>
      <c r="S5" s="585" t="s">
        <v>2034</v>
      </c>
    </row>
    <row r="6" spans="1:19" ht="15.75" thickBot="1">
      <c r="A6" s="584" t="s">
        <v>7214</v>
      </c>
      <c r="B6" s="585" t="s">
        <v>10</v>
      </c>
      <c r="C6" s="585" t="s">
        <v>18</v>
      </c>
      <c r="D6" s="585" t="s">
        <v>2034</v>
      </c>
      <c r="P6" s="715" t="s">
        <v>5848</v>
      </c>
      <c r="Q6" s="587" t="e">
        <f>COUNTIFS(SurveyDATA!#REF!,"LEGAL",SurveyDATA!E:E,"*MALOLOS*",SurveyDATA!S:S,"MALE")</f>
        <v>#REF!</v>
      </c>
      <c r="R6" s="587" t="e">
        <f>COUNTIFS(SurveyDATA!#REF!,"LEGAL",SurveyDATA!E:E,"*MALOLOS*",SurveyDATA!S:S,"FEMALE")</f>
        <v>#REF!</v>
      </c>
      <c r="S6" s="587" t="e">
        <f>SUM(Q6:R6)</f>
        <v>#REF!</v>
      </c>
    </row>
    <row r="7" spans="1:19" ht="15.75" thickBot="1">
      <c r="A7" s="586" t="s">
        <v>5848</v>
      </c>
      <c r="B7" s="587" t="e">
        <f>SUMIFS(SurveyDATA!#REF!,SurveyDATA!#REF!,"LEGAL",SurveyDATA!E:E,"*MALOLOS*")</f>
        <v>#REF!</v>
      </c>
      <c r="C7" s="587" t="e">
        <f>SUMIFS(SurveyDATA!#REF!,SurveyDATA!#REF!,"LEGAL",SurveyDATA!E:E,"*MALOLOS*")</f>
        <v>#REF!</v>
      </c>
      <c r="D7" s="587" t="e">
        <f>SUM(B7:C7)</f>
        <v>#REF!</v>
      </c>
      <c r="P7" s="715" t="s">
        <v>5494</v>
      </c>
      <c r="Q7" s="587" t="e">
        <f>COUNTIFS(SurveyDATA!#REF!,"LEGAL",SurveyDATA!E:E,"*GUIGUINTO*",SurveyDATA!S:S,"MALE")</f>
        <v>#REF!</v>
      </c>
      <c r="R7" s="587" t="e">
        <f>COUNTIFS(SurveyDATA!#REF!,"LEGAL",SurveyDATA!E:E,"*GUIGUINTO*",SurveyDATA!S:S,"FEMALE")</f>
        <v>#REF!</v>
      </c>
      <c r="S7" s="587" t="e">
        <f t="shared" ref="S7:S14" si="0">SUM(Q7:R7)</f>
        <v>#REF!</v>
      </c>
    </row>
    <row r="8" spans="1:19" ht="15.75" thickBot="1">
      <c r="A8" s="586" t="s">
        <v>5494</v>
      </c>
      <c r="B8" s="587" t="e">
        <f>SUMIFS(SurveyDATA!#REF!,SurveyDATA!#REF!,"LEGAL",SurveyDATA!E:E,"*GUIGUINTO*")</f>
        <v>#REF!</v>
      </c>
      <c r="C8" s="587" t="e">
        <f>SUMIFS(SurveyDATA!#REF!,SurveyDATA!#REF!,"LEGAL",SurveyDATA!E:E,"*GUIGUINTO*")</f>
        <v>#REF!</v>
      </c>
      <c r="D8" s="587" t="e">
        <f t="shared" ref="D8:D15" si="1">SUM(B8:C8)</f>
        <v>#REF!</v>
      </c>
      <c r="P8" s="715" t="s">
        <v>5847</v>
      </c>
      <c r="Q8" s="587" t="e">
        <f>COUNTIFS(SurveyDATA!#REF!,"LEGAL",SurveyDATA!E:E,"*BALAGTAS*",SurveyDATA!S:S,"MALE")</f>
        <v>#REF!</v>
      </c>
      <c r="R8" s="587" t="e">
        <f>COUNTIFS(SurveyDATA!#REF!,"LEGAL",SurveyDATA!E:E,"*BALAGTAS*",SurveyDATA!S:S,"FEMALE")</f>
        <v>#REF!</v>
      </c>
      <c r="S8" s="587" t="e">
        <f t="shared" si="0"/>
        <v>#REF!</v>
      </c>
    </row>
    <row r="9" spans="1:19" ht="15.75" thickBot="1">
      <c r="A9" s="586" t="s">
        <v>5847</v>
      </c>
      <c r="B9" s="587" t="e">
        <f>SUMIFS(SurveyDATA!#REF!,SurveyDATA!#REF!,"LEGAL",SurveyDATA!E:E,"*BALAGTAS*")</f>
        <v>#REF!</v>
      </c>
      <c r="C9" s="587" t="e">
        <f>SUMIFS(SurveyDATA!#REF!,SurveyDATA!#REF!,"LEGAL",SurveyDATA!E:E,"*BALAGTAS*")</f>
        <v>#REF!</v>
      </c>
      <c r="D9" s="587" t="e">
        <f t="shared" si="1"/>
        <v>#REF!</v>
      </c>
      <c r="P9" s="715" t="s">
        <v>771</v>
      </c>
      <c r="Q9" s="587" t="e">
        <f>COUNTIFS(SurveyDATA!#REF!,"LEGAL",SurveyDATA!E:E,"*BOCAUE*",SurveyDATA!S:S,"MALE")</f>
        <v>#REF!</v>
      </c>
      <c r="R9" s="587" t="e">
        <f>COUNTIFS(SurveyDATA!#REF!,"LEGAL",SurveyDATA!E:E,"*BOCAUE*",SurveyDATA!S:S,"FEMALE")</f>
        <v>#REF!</v>
      </c>
      <c r="S9" s="587" t="e">
        <f t="shared" si="0"/>
        <v>#REF!</v>
      </c>
    </row>
    <row r="10" spans="1:19" ht="15.75" thickBot="1">
      <c r="A10" s="586" t="s">
        <v>771</v>
      </c>
      <c r="B10" s="587" t="e">
        <f>SUMIFS(SurveyDATA!#REF!,SurveyDATA!#REF!,"LEGAL",SurveyDATA!E:E,"*BOCAUE*")</f>
        <v>#REF!</v>
      </c>
      <c r="C10" s="587" t="e">
        <f>SUMIFS(SurveyDATA!#REF!,SurveyDATA!#REF!,"LEGAL",SurveyDATA!E:E,"*BOCAUE*")</f>
        <v>#REF!</v>
      </c>
      <c r="D10" s="587" t="e">
        <f>SUM(B10:C10)</f>
        <v>#REF!</v>
      </c>
      <c r="P10" s="715" t="s">
        <v>5495</v>
      </c>
      <c r="Q10" s="587" t="e">
        <f>COUNTIFS(SurveyDATA!#REF!,"LEGAL",SurveyDATA!E:E,"*MARILAO*",SurveyDATA!S:S,"MALE")</f>
        <v>#REF!</v>
      </c>
      <c r="R10" s="587" t="e">
        <f>COUNTIFS(SurveyDATA!#REF!,"LEGAL",SurveyDATA!E:E,"*MARILAO*",SurveyDATA!S:S,"FEMALE")</f>
        <v>#REF!</v>
      </c>
      <c r="S10" s="587" t="e">
        <f t="shared" si="0"/>
        <v>#REF!</v>
      </c>
    </row>
    <row r="11" spans="1:19" ht="15.75" thickBot="1">
      <c r="A11" s="586" t="s">
        <v>5495</v>
      </c>
      <c r="B11" s="587" t="e">
        <f>SUMIFS(SurveyDATA!#REF!,SurveyDATA!#REF!,"LEGAL",SurveyDATA!E:E,"*MARILAO*")</f>
        <v>#REF!</v>
      </c>
      <c r="C11" s="587" t="e">
        <f>SUMIFS(SurveyDATA!#REF!,SurveyDATA!#REF!,"LEGAL",SurveyDATA!E:E,"*MARILAO*")</f>
        <v>#REF!</v>
      </c>
      <c r="D11" s="587" t="e">
        <f t="shared" si="1"/>
        <v>#REF!</v>
      </c>
      <c r="P11" s="715" t="s">
        <v>5496</v>
      </c>
      <c r="Q11" s="587" t="e">
        <f>COUNTIFS(SurveyDATA!#REF!,"LEGAL",SurveyDATA!E:E,"*MEYCAUAYAN*",SurveyDATA!S:S,"MALE")</f>
        <v>#REF!</v>
      </c>
      <c r="R11" s="587" t="e">
        <f>COUNTIFS(SurveyDATA!#REF!,"LEGAL",SurveyDATA!E:E,"*MEYCAUAYAN*",SurveyDATA!S:S,"FEMALE")</f>
        <v>#REF!</v>
      </c>
      <c r="S11" s="587" t="e">
        <f t="shared" si="0"/>
        <v>#REF!</v>
      </c>
    </row>
    <row r="12" spans="1:19" ht="15.75" thickBot="1">
      <c r="A12" s="586" t="s">
        <v>5496</v>
      </c>
      <c r="B12" s="587" t="e">
        <f>SUMIFS(SurveyDATA!#REF!,SurveyDATA!#REF!,"LEGAL",SurveyDATA!E:E,"*MEYCAUAYAN*")</f>
        <v>#REF!</v>
      </c>
      <c r="C12" s="587" t="e">
        <f>SUMIFS(SurveyDATA!#REF!,SurveyDATA!#REF!,"LEGAL",SurveyDATA!E:E,"*MEYCAUAYAN*")</f>
        <v>#REF!</v>
      </c>
      <c r="D12" s="587" t="e">
        <f t="shared" si="1"/>
        <v>#REF!</v>
      </c>
      <c r="P12" s="715" t="s">
        <v>778</v>
      </c>
      <c r="Q12" s="587" t="e">
        <f>COUNTIFS(SurveyDATA!#REF!,"LEGAL",SurveyDATA!E:E,"*VALENZUELA*",SurveyDATA!S:S,"MALE")</f>
        <v>#REF!</v>
      </c>
      <c r="R12" s="587" t="e">
        <f>COUNTIFS(SurveyDATA!#REF!,"LEGAL",SurveyDATA!E:E,"*VALENZUELA*",SurveyDATA!S:S,"FEMALE")</f>
        <v>#REF!</v>
      </c>
      <c r="S12" s="587" t="e">
        <f t="shared" si="0"/>
        <v>#REF!</v>
      </c>
    </row>
    <row r="13" spans="1:19" ht="15.75" thickBot="1">
      <c r="A13" s="586" t="s">
        <v>778</v>
      </c>
      <c r="B13" s="587" t="e">
        <f>SUMIFS(SurveyDATA!#REF!,SurveyDATA!#REF!,"LEGAL",SurveyDATA!E:E,"*VALENZUELA*")</f>
        <v>#REF!</v>
      </c>
      <c r="C13" s="587" t="e">
        <f>SUMIFS(SurveyDATA!#REF!,SurveyDATA!#REF!,"LEGAL",SurveyDATA!E:E,"*VALENZUELA*")</f>
        <v>#REF!</v>
      </c>
      <c r="D13" s="587" t="e">
        <f t="shared" si="1"/>
        <v>#REF!</v>
      </c>
      <c r="P13" s="715" t="s">
        <v>5493</v>
      </c>
      <c r="Q13" s="587" t="e">
        <f>COUNTIFS(SurveyDATA!#REF!,"LEGAL",SurveyDATA!E:E,"*CALOOCAN*",SurveyDATA!S:S,"MALE")</f>
        <v>#REF!</v>
      </c>
      <c r="R13" s="587" t="e">
        <f>COUNTIFS(SurveyDATA!#REF!,"LEGAL",SurveyDATA!E:E,"*CALOOCAN*",SurveyDATA!S:S,"FEMALE")</f>
        <v>#REF!</v>
      </c>
      <c r="S13" s="587" t="e">
        <f t="shared" si="0"/>
        <v>#REF!</v>
      </c>
    </row>
    <row r="14" spans="1:19" ht="15.75" thickBot="1">
      <c r="A14" s="586" t="s">
        <v>5493</v>
      </c>
      <c r="B14" s="587" t="e">
        <f>SUMIFS(SurveyDATA!#REF!,SurveyDATA!#REF!,"LEGAL",SurveyDATA!E:E,"*CALOOCAN*")</f>
        <v>#REF!</v>
      </c>
      <c r="C14" s="587" t="e">
        <f>SUMIFS(SurveyDATA!#REF!,SurveyDATA!#REF!,"LEGAL",SurveyDATA!E:E,"*CALOOCAN*")</f>
        <v>#REF!</v>
      </c>
      <c r="D14" s="587" t="e">
        <f t="shared" si="1"/>
        <v>#REF!</v>
      </c>
      <c r="P14" s="715" t="s">
        <v>1020</v>
      </c>
      <c r="Q14" s="587" t="e">
        <f>COUNTIFS(SurveyDATA!#REF!,"LEGAL",SurveyDATA!E:E,"*MANILA*",SurveyDATA!S:S,"MALE")</f>
        <v>#REF!</v>
      </c>
      <c r="R14" s="587" t="e">
        <f>COUNTIFS(SurveyDATA!#REF!,"LEGAL",SurveyDATA!E:E,"*MANILA*",SurveyDATA!S:S,"FEMALE")</f>
        <v>#REF!</v>
      </c>
      <c r="S14" s="587" t="e">
        <f t="shared" si="0"/>
        <v>#REF!</v>
      </c>
    </row>
    <row r="15" spans="1:19" ht="15.75" thickBot="1">
      <c r="A15" s="586" t="s">
        <v>1020</v>
      </c>
      <c r="B15" s="587" t="e">
        <f>SUMIFS(SurveyDATA!#REF!,SurveyDATA!#REF!,"LEGAL",SurveyDATA!E:E,"*MANILA*")</f>
        <v>#REF!</v>
      </c>
      <c r="C15" s="587" t="e">
        <f>SUMIFS(SurveyDATA!#REF!,SurveyDATA!#REF!,"LEGAL",SurveyDATA!E:E,"*MANILA*")</f>
        <v>#REF!</v>
      </c>
      <c r="D15" s="587" t="e">
        <f t="shared" si="1"/>
        <v>#REF!</v>
      </c>
      <c r="P15" s="716" t="s">
        <v>2034</v>
      </c>
      <c r="Q15" s="619" t="e">
        <f>SUM(Q6:Q14)</f>
        <v>#REF!</v>
      </c>
      <c r="R15" s="619" t="e">
        <f>SUM(R6:R14)</f>
        <v>#REF!</v>
      </c>
      <c r="S15" s="619" t="e">
        <f>SUM(S6:S14)</f>
        <v>#REF!</v>
      </c>
    </row>
    <row r="16" spans="1:19" ht="15.75" thickBot="1">
      <c r="A16" s="588" t="s">
        <v>2034</v>
      </c>
      <c r="B16" s="589" t="e">
        <f>SUM(B7:B15)</f>
        <v>#REF!</v>
      </c>
      <c r="C16" s="589" t="e">
        <f>SUM(C7:C15)</f>
        <v>#REF!</v>
      </c>
      <c r="D16" s="589" t="e">
        <f>SUM(D7:D15)</f>
        <v>#REF!</v>
      </c>
      <c r="P16" s="590" t="s">
        <v>7243</v>
      </c>
      <c r="Q16" s="702" t="e">
        <f>Q15/S15</f>
        <v>#REF!</v>
      </c>
      <c r="R16" s="702" t="e">
        <f>R15/S15</f>
        <v>#REF!</v>
      </c>
      <c r="S16" s="702">
        <v>1</v>
      </c>
    </row>
    <row r="17" spans="1:23" ht="15.75" thickBot="1">
      <c r="A17" s="588" t="s">
        <v>7243</v>
      </c>
      <c r="B17" s="596" t="e">
        <f>B16/D16</f>
        <v>#REF!</v>
      </c>
      <c r="C17" s="596" t="e">
        <f>C16/D16</f>
        <v>#REF!</v>
      </c>
      <c r="D17" s="596" t="e">
        <f>SUM(B17:C17)</f>
        <v>#REF!</v>
      </c>
    </row>
    <row r="19" spans="1:23" ht="15.75" thickBot="1">
      <c r="P19" s="635" t="s">
        <v>7354</v>
      </c>
    </row>
    <row r="20" spans="1:23" ht="15" customHeight="1">
      <c r="A20" s="594" t="s">
        <v>7253</v>
      </c>
      <c r="P20" s="1918" t="s">
        <v>7338</v>
      </c>
      <c r="Q20" s="1921" t="s">
        <v>7339</v>
      </c>
      <c r="R20" s="1924" t="s">
        <v>7341</v>
      </c>
      <c r="S20" s="1916" t="s">
        <v>7340</v>
      </c>
      <c r="T20" s="1909"/>
      <c r="U20" s="1912" t="s">
        <v>7342</v>
      </c>
      <c r="V20" s="1913"/>
      <c r="W20" s="1909" t="s">
        <v>2034</v>
      </c>
    </row>
    <row r="21" spans="1:23">
      <c r="P21" s="1919"/>
      <c r="Q21" s="1922"/>
      <c r="R21" s="1925"/>
      <c r="S21" s="1917"/>
      <c r="T21" s="1911"/>
      <c r="U21" s="1914"/>
      <c r="V21" s="1915"/>
      <c r="W21" s="1910"/>
    </row>
    <row r="22" spans="1:23" ht="15" customHeight="1">
      <c r="A22" s="1893" t="s">
        <v>7214</v>
      </c>
      <c r="B22" s="1893" t="s">
        <v>7215</v>
      </c>
      <c r="C22" s="1894" t="s">
        <v>7254</v>
      </c>
      <c r="D22" s="1894"/>
      <c r="E22" s="1894"/>
      <c r="F22" s="1894"/>
      <c r="G22" s="1895"/>
      <c r="H22" s="614"/>
      <c r="I22" s="609"/>
      <c r="J22" s="609"/>
      <c r="P22" s="1920"/>
      <c r="Q22" s="1923"/>
      <c r="R22" s="1926"/>
      <c r="S22" s="719" t="s">
        <v>7281</v>
      </c>
      <c r="T22" s="720" t="s">
        <v>7344</v>
      </c>
      <c r="U22" s="719" t="s">
        <v>7281</v>
      </c>
      <c r="V22" s="720" t="s">
        <v>7344</v>
      </c>
      <c r="W22" s="1911"/>
    </row>
    <row r="23" spans="1:23">
      <c r="A23" s="1893"/>
      <c r="B23" s="1893"/>
      <c r="C23" s="1896" t="s">
        <v>7255</v>
      </c>
      <c r="D23" s="1896" t="s">
        <v>7256</v>
      </c>
      <c r="E23" s="1896" t="s">
        <v>7257</v>
      </c>
      <c r="F23" s="1896" t="s">
        <v>7258</v>
      </c>
      <c r="G23" s="1900" t="s">
        <v>7259</v>
      </c>
      <c r="H23" s="615"/>
      <c r="I23" s="609"/>
      <c r="J23" s="609"/>
      <c r="P23" s="717" t="s">
        <v>5848</v>
      </c>
      <c r="Q23" s="284" t="e">
        <f>COUNTIFS(SurveyDATA!E:E,"*MALOLOS*",SurveyDATA!IB:IB,"Y",SurveyDATA!#REF!,"&gt;0")</f>
        <v>#REF!</v>
      </c>
      <c r="R23" s="280" t="e">
        <f>COUNTIFS(SurveyDATA!E:E,"*MALOLOS*",SurveyDATA!IC:IC,"Y",SurveyDATA!#REF!,"&gt;0")</f>
        <v>#REF!</v>
      </c>
      <c r="S23" s="721" t="e">
        <f>COUNTIFS(SurveyDATA!E:E,"*MALOLOS*",SurveyDATA!ID:ID,"&gt;0",SurveyDATA!#REF!,"&gt;0")</f>
        <v>#REF!</v>
      </c>
      <c r="T23" s="722" t="e">
        <f>SUMIFS(SurveyDATA!ID:ID,SurveyDATA!E:E,"*MALOLOS*",SurveyDATA!#REF!,"&gt;0")</f>
        <v>#REF!</v>
      </c>
      <c r="U23" s="721" t="e">
        <f>COUNTIFS(SurveyDATA!E:E,"*MALOLOS*",SurveyDATA!IE:IE,"&gt;0",SurveyDATA!#REF!,"&gt;0")</f>
        <v>#REF!</v>
      </c>
      <c r="V23" s="722" t="e">
        <f>SUMIFS(SurveyDATA!IE:IE,SurveyDATA!E:E,"*MALOLOS*",SurveyDATA!#REF!,"&gt;0")</f>
        <v>#REF!</v>
      </c>
      <c r="W23" s="725" t="e">
        <f>SUM(Q23:S23,U23,)</f>
        <v>#REF!</v>
      </c>
    </row>
    <row r="24" spans="1:23">
      <c r="A24" s="1893"/>
      <c r="B24" s="1893"/>
      <c r="C24" s="1896"/>
      <c r="D24" s="1896"/>
      <c r="E24" s="1896"/>
      <c r="F24" s="1896"/>
      <c r="G24" s="1900"/>
      <c r="H24" s="582" t="s">
        <v>4348</v>
      </c>
      <c r="I24" s="609"/>
      <c r="J24" s="609"/>
      <c r="P24" s="717" t="s">
        <v>5494</v>
      </c>
      <c r="Q24" s="284" t="e">
        <f>COUNTIFS(SurveyDATA!E:E,"*GUIGUINTO*",SurveyDATA!IB:IB,"Y",SurveyDATA!#REF!,"&gt;0")</f>
        <v>#REF!</v>
      </c>
      <c r="R24" s="280" t="e">
        <f>COUNTIFS(SurveyDATA!E:E,"*GUIGUINTO*",SurveyDATA!IC:IC,"Y",SurveyDATA!#REF!,"&gt;0")</f>
        <v>#REF!</v>
      </c>
      <c r="S24" s="721" t="e">
        <f>COUNTIFS(SurveyDATA!E:E,"*GUIGUINTO*",SurveyDATA!ID:ID,"&gt;0",SurveyDATA!#REF!,"&gt;0")</f>
        <v>#REF!</v>
      </c>
      <c r="T24" s="722" t="e">
        <f>SUMIFS(SurveyDATA!ID:ID,SurveyDATA!E:E,"*GUIGUINTO*",SurveyDATA!#REF!,"&gt;0")</f>
        <v>#REF!</v>
      </c>
      <c r="U24" s="721" t="e">
        <f>COUNTIFS(SurveyDATA!E:E,"*GUIGUINTO*",SurveyDATA!IE:IE,"&gt;0",SurveyDATA!#REF!,"&gt;0")</f>
        <v>#REF!</v>
      </c>
      <c r="V24" s="722" t="e">
        <f>SUMIFS(SurveyDATA!IE:IE,SurveyDATA!E:E,"*GUIGUINTO*",SurveyDATA!#REF!,"&gt;0")</f>
        <v>#REF!</v>
      </c>
      <c r="W24" s="725" t="e">
        <f t="shared" ref="W24:W31" si="2">SUM(Q24:S24,U24,)</f>
        <v>#REF!</v>
      </c>
    </row>
    <row r="25" spans="1:23">
      <c r="A25" s="572" t="s">
        <v>5848</v>
      </c>
      <c r="B25" s="573" t="s">
        <v>5374</v>
      </c>
      <c r="C25" s="597" t="e">
        <f>COUNTIFS(SurveyDATA!#REF!,"LEGAL",SurveyDATA!E:E,"*MALOLOS*",SurveyDATA!E:E,"*TIKAY*",SurveyDATA!#REF!,"&lt;3")</f>
        <v>#REF!</v>
      </c>
      <c r="D25" s="597" t="e">
        <f>COUNTIFS(SurveyDATA!#REF!,"LEGAL",SurveyDATA!E:E,"*MALOLOS*",SurveyDATA!E:E,"*TIKAY*",SurveyDATA!#REF!,"&lt;5",SurveyDATA!#REF!,"&gt;2")</f>
        <v>#REF!</v>
      </c>
      <c r="E25" s="597" t="e">
        <f>COUNTIFS(SurveyDATA!#REF!,"LEGAL",SurveyDATA!E:E,"*MALOLOS*",SurveyDATA!E:E,"*TIKAY*",SurveyDATA!#REF!,"&lt;7",SurveyDATA!#REF!,"&gt;4")</f>
        <v>#REF!</v>
      </c>
      <c r="F25" s="597" t="e">
        <f>COUNTIFS(SurveyDATA!#REF!,"LEGAL",SurveyDATA!E:E,"*MALOLOS*",SurveyDATA!E:E,"*TIKAY*",SurveyDATA!#REF!,"&lt;9",SurveyDATA!#REF!,"&gt;6")</f>
        <v>#REF!</v>
      </c>
      <c r="G25" s="597" t="e">
        <f>COUNTIFS(SurveyDATA!#REF!,"LEGAL",SurveyDATA!E:E,"*MALOLOS*",SurveyDATA!E:E,"*TIKAY*",SurveyDATA!#REF!,"&gt;8")</f>
        <v>#REF!</v>
      </c>
      <c r="H25" s="624" t="e">
        <f>SUM(C25:G25)</f>
        <v>#REF!</v>
      </c>
      <c r="I25" s="610"/>
      <c r="J25" s="611"/>
      <c r="P25" s="717" t="s">
        <v>5847</v>
      </c>
      <c r="Q25" s="284" t="e">
        <f>COUNTIFS(SurveyDATA!E:E,"*BALAGTAS*",SurveyDATA!IB:IB,"Y",SurveyDATA!#REF!,"&gt;0")</f>
        <v>#REF!</v>
      </c>
      <c r="R25" s="280" t="e">
        <f>COUNTIFS(SurveyDATA!E:E,"*BALAGTAS*",SurveyDATA!IC:IC,"Y",SurveyDATA!#REF!,"&gt;0")</f>
        <v>#REF!</v>
      </c>
      <c r="S25" s="721" t="e">
        <f>COUNTIFS(SurveyDATA!E:E,"*BALAGTAS*",SurveyDATA!ID:ID,"&gt;0",SurveyDATA!#REF!,"&gt;0")</f>
        <v>#REF!</v>
      </c>
      <c r="T25" s="722" t="e">
        <f>SUMIFS(SurveyDATA!ID:ID,SurveyDATA!E:E,"*BALAGTAS*",SurveyDATA!#REF!,"&gt;0")</f>
        <v>#REF!</v>
      </c>
      <c r="U25" s="721" t="e">
        <f>COUNTIFS(SurveyDATA!E:E,"*BALAGTAS*",SurveyDATA!IE:IE,"&gt;0",SurveyDATA!#REF!,"&gt;0")</f>
        <v>#REF!</v>
      </c>
      <c r="V25" s="722" t="e">
        <f>SUMIFS(SurveyDATA!IE:IE,SurveyDATA!E:E,"*BALAGTAS*",SurveyDATA!#REF!,"&gt;0")</f>
        <v>#REF!</v>
      </c>
      <c r="W25" s="725" t="e">
        <f t="shared" si="2"/>
        <v>#REF!</v>
      </c>
    </row>
    <row r="26" spans="1:23">
      <c r="A26" s="572"/>
      <c r="B26" s="573" t="s">
        <v>5375</v>
      </c>
      <c r="C26" s="597" t="e">
        <f>COUNTIFS(SurveyDATA!#REF!,"LEGAL",SurveyDATA!E:E,"*MALOLOS*",SurveyDATA!E:E,"*BULIHAN*",SurveyDATA!#REF!,"&lt;3")</f>
        <v>#REF!</v>
      </c>
      <c r="D26" s="597" t="e">
        <f>COUNTIFS(SurveyDATA!#REF!,"LEGAL",SurveyDATA!E:E,"*MALOLOS*",SurveyDATA!E:E,"*BULIHAN*",SurveyDATA!#REF!,"&lt;5",SurveyDATA!#REF!,"&gt;2")</f>
        <v>#REF!</v>
      </c>
      <c r="E26" s="597" t="e">
        <f>COUNTIFS(SurveyDATA!#REF!,"LEGAL",SurveyDATA!E:E,"*MALOLOS*",SurveyDATA!E:E,"*BULIHAN*",SurveyDATA!#REF!,"&lt;7",SurveyDATA!#REF!,"&gt;4")</f>
        <v>#REF!</v>
      </c>
      <c r="F26" s="597" t="e">
        <f>COUNTIFS(SurveyDATA!#REF!,"LEGAL",SurveyDATA!E:E,"*MALOLOS*",SurveyDATA!E:E,"*BULIHAN*",SurveyDATA!#REF!,"&lt;9",SurveyDATA!#REF!,"&gt;6")</f>
        <v>#REF!</v>
      </c>
      <c r="G26" s="597" t="e">
        <f>COUNTIFS(SurveyDATA!#REF!,"LEGAL",SurveyDATA!E:E,"*MALOLOS*",SurveyDATA!E:E,"*BULIHAN*",SurveyDATA!#REF!,"&gt;8")</f>
        <v>#REF!</v>
      </c>
      <c r="H26" s="624" t="e">
        <f t="shared" ref="H26:H74" si="3">SUM(C26:G26)</f>
        <v>#REF!</v>
      </c>
      <c r="I26" s="610"/>
      <c r="J26" s="611"/>
      <c r="P26" s="717" t="s">
        <v>771</v>
      </c>
      <c r="Q26" s="284" t="e">
        <f>COUNTIFS(SurveyDATA!E:E,"*BOCAUE*",SurveyDATA!IB:IB,"Y",SurveyDATA!#REF!,"&gt;0")</f>
        <v>#REF!</v>
      </c>
      <c r="R26" s="280" t="e">
        <f>COUNTIFS(SurveyDATA!E:E,"*BOCAUE*",SurveyDATA!IC:IC,"Y",SurveyDATA!#REF!,"&gt;0")</f>
        <v>#REF!</v>
      </c>
      <c r="S26" s="721" t="e">
        <f>COUNTIFS(SurveyDATA!E:E,"*BOCAUE*",SurveyDATA!ID:ID,"&gt;0",SurveyDATA!#REF!,"&gt;0")</f>
        <v>#REF!</v>
      </c>
      <c r="T26" s="722" t="e">
        <f>SUMIFS(SurveyDATA!ID:ID,SurveyDATA!E:E,"*BOCAUE*",SurveyDATA!#REF!,"&gt;0")</f>
        <v>#REF!</v>
      </c>
      <c r="U26" s="721" t="e">
        <f>COUNTIFS(SurveyDATA!E:E,"*BOCAUE*",SurveyDATA!IE:IE,"&gt;0",SurveyDATA!#REF!,"&gt;0")</f>
        <v>#REF!</v>
      </c>
      <c r="V26" s="722" t="e">
        <f>SUMIFS(SurveyDATA!IE:IE,SurveyDATA!E:E,"*BOCAUE*",SurveyDATA!#REF!,"&gt;0")</f>
        <v>#REF!</v>
      </c>
      <c r="W26" s="725" t="e">
        <f t="shared" si="2"/>
        <v>#REF!</v>
      </c>
    </row>
    <row r="27" spans="1:23">
      <c r="A27" s="572"/>
      <c r="B27" s="573" t="s">
        <v>5376</v>
      </c>
      <c r="C27" s="597" t="e">
        <f>COUNTIFS(SurveyDATA!#REF!,"LEGAL",SurveyDATA!E:E,"*MALOLOS*",SurveyDATA!E:E,"*PABLO*",SurveyDATA!#REF!,"&lt;3")</f>
        <v>#REF!</v>
      </c>
      <c r="D27" s="597" t="e">
        <f>COUNTIFS(SurveyDATA!#REF!,"LEGAL",SurveyDATA!E:E,"*MALOLOS*",SurveyDATA!E:E,"*PABLO*",SurveyDATA!#REF!,"&lt;5",SurveyDATA!#REF!,"&gt;2")</f>
        <v>#REF!</v>
      </c>
      <c r="E27" s="597" t="e">
        <f>COUNTIFS(SurveyDATA!#REF!,"LEGAL",SurveyDATA!E:E,"*MALOLOS*",SurveyDATA!E:E,"*PABLO*",SurveyDATA!#REF!,"&lt;7",SurveyDATA!#REF!,"&gt;4")</f>
        <v>#REF!</v>
      </c>
      <c r="F27" s="597" t="e">
        <f>COUNTIFS(SurveyDATA!#REF!,"LEGAL",SurveyDATA!E:E,"*MALOLOS*",SurveyDATA!E:E,"*PABLO*",SurveyDATA!#REF!,"&lt;9",SurveyDATA!#REF!,"&gt;6")</f>
        <v>#REF!</v>
      </c>
      <c r="G27" s="597" t="e">
        <f>COUNTIFS(SurveyDATA!#REF!,"LEGAL",SurveyDATA!E:E,"*MALOLOS*",SurveyDATA!E:E,"*PABLO*",SurveyDATA!#REF!,"&gt;8")</f>
        <v>#REF!</v>
      </c>
      <c r="H27" s="624" t="e">
        <f t="shared" si="3"/>
        <v>#REF!</v>
      </c>
      <c r="I27" s="610"/>
      <c r="J27" s="611"/>
      <c r="P27" s="717" t="s">
        <v>5495</v>
      </c>
      <c r="Q27" s="284" t="e">
        <f>COUNTIFS(SurveyDATA!E:E,"*MARILAO*",SurveyDATA!IB:IB,"Y",SurveyDATA!#REF!,"&gt;0")</f>
        <v>#REF!</v>
      </c>
      <c r="R27" s="280" t="e">
        <f>COUNTIFS(SurveyDATA!E:E,"*MARILAO*",SurveyDATA!IC:IC,"Y",SurveyDATA!#REF!,"&gt;0")</f>
        <v>#REF!</v>
      </c>
      <c r="S27" s="721" t="e">
        <f>COUNTIFS(SurveyDATA!E:E,"*MARILAO*",SurveyDATA!ID:ID,"&gt;0",SurveyDATA!#REF!,"&gt;0")</f>
        <v>#REF!</v>
      </c>
      <c r="T27" s="722" t="e">
        <f>SUMIFS(SurveyDATA!ID:ID,SurveyDATA!E:E,"*MARILAO*",SurveyDATA!#REF!,"&gt;0")</f>
        <v>#REF!</v>
      </c>
      <c r="U27" s="721" t="e">
        <f>COUNTIFS(SurveyDATA!E:E,"*MARILAO*",SurveyDATA!IE:IE,"&gt;0",SurveyDATA!#REF!,"&gt;0")</f>
        <v>#REF!</v>
      </c>
      <c r="V27" s="722" t="e">
        <f>SUMIFS(SurveyDATA!IE:IE,SurveyDATA!E:E,"*MARILAO*",SurveyDATA!#REF!,"&gt;0")</f>
        <v>#REF!</v>
      </c>
      <c r="W27" s="725" t="e">
        <f t="shared" si="2"/>
        <v>#REF!</v>
      </c>
    </row>
    <row r="28" spans="1:23">
      <c r="A28" s="572"/>
      <c r="B28" s="625" t="s">
        <v>7216</v>
      </c>
      <c r="C28" s="628" t="e">
        <f>SUM(C25:C27)</f>
        <v>#REF!</v>
      </c>
      <c r="D28" s="628" t="e">
        <f>SUM(D25:D27)</f>
        <v>#REF!</v>
      </c>
      <c r="E28" s="628" t="e">
        <f>SUM(E25:E27)</f>
        <v>#REF!</v>
      </c>
      <c r="F28" s="628" t="e">
        <f>SUM(F25:F27)</f>
        <v>#REF!</v>
      </c>
      <c r="G28" s="628" t="e">
        <f>SUM(G25:G27)</f>
        <v>#REF!</v>
      </c>
      <c r="H28" s="627" t="e">
        <f t="shared" si="3"/>
        <v>#REF!</v>
      </c>
      <c r="I28" s="610"/>
      <c r="J28" s="611"/>
      <c r="P28" s="717" t="s">
        <v>7343</v>
      </c>
      <c r="Q28" s="284" t="e">
        <f>COUNTIFS(SurveyDATA!E:E,"*MEYCAUAYAN*",SurveyDATA!IB:IB,"Y",SurveyDATA!#REF!,"&gt;0")</f>
        <v>#REF!</v>
      </c>
      <c r="R28" s="280" t="e">
        <f>COUNTIFS(SurveyDATA!E:E,"*MEYCAUAYAN*",SurveyDATA!IC:IC,"Y",SurveyDATA!#REF!,"&gt;0")</f>
        <v>#REF!</v>
      </c>
      <c r="S28" s="721" t="e">
        <f>COUNTIFS(SurveyDATA!E:E,"*MEYCAUAYAN*",SurveyDATA!ID:ID,"&gt;0",SurveyDATA!#REF!,"&gt;0")</f>
        <v>#REF!</v>
      </c>
      <c r="T28" s="722" t="e">
        <f>SUMIFS(SurveyDATA!ID:ID,SurveyDATA!E:E,"*MEYACAUAYAN*",SurveyDATA!#REF!,"&gt;0")</f>
        <v>#REF!</v>
      </c>
      <c r="U28" s="721" t="e">
        <f>COUNTIFS(SurveyDATA!E:E,"*MEYCAUAYAN*",SurveyDATA!IE:IE,"&gt;0",SurveyDATA!#REF!,"&gt;0")</f>
        <v>#REF!</v>
      </c>
      <c r="V28" s="722" t="e">
        <f>SUMIFS(SurveyDATA!IE:IE,SurveyDATA!E:E,"*MEYCAUAYAN*",SurveyDATA!#REF!,"&gt;0")</f>
        <v>#REF!</v>
      </c>
      <c r="W28" s="725" t="e">
        <f t="shared" si="2"/>
        <v>#REF!</v>
      </c>
    </row>
    <row r="29" spans="1:23">
      <c r="A29" s="572" t="s">
        <v>5494</v>
      </c>
      <c r="B29" s="573" t="s">
        <v>5378</v>
      </c>
      <c r="C29" s="597" t="e">
        <f>COUNTIFS(SurveyDATA!#REF!,"LEGAL",SurveyDATA!E:E,"*GUIGUINTO*",SurveyDATA!E:E,"*TUKTUKAN*",SurveyDATA!#REF!,"&lt;3")</f>
        <v>#REF!</v>
      </c>
      <c r="D29" s="597" t="e">
        <f>COUNTIFS(SurveyDATA!#REF!,"LEGAL",SurveyDATA!E:E,"*GUIGUINTO*",SurveyDATA!E:E,"*TUKTUKAN*",SurveyDATA!#REF!,"&lt;5",SurveyDATA!#REF!,"&gt;2")</f>
        <v>#REF!</v>
      </c>
      <c r="E29" s="597" t="e">
        <f>COUNTIFS(SurveyDATA!#REF!,"LEGAL",SurveyDATA!E:E,"*GUIGUINTO*",SurveyDATA!E:E,"*TUKTUKAN*",SurveyDATA!#REF!,"&lt;7",SurveyDATA!#REF!,"&gt;4")</f>
        <v>#REF!</v>
      </c>
      <c r="F29" s="597" t="e">
        <f>COUNTIFS(SurveyDATA!#REF!,"LEGAL",SurveyDATA!E:E,"*GUINGUINTO*",SurveyDATA!E:E,"*TUKTUKAN*",SurveyDATA!#REF!,"&lt;9",SurveyDATA!#REF!,"&gt;6")</f>
        <v>#REF!</v>
      </c>
      <c r="G29" s="597" t="e">
        <f>COUNTIFS(SurveyDATA!#REF!,"LEGAL",SurveyDATA!E:E,"*GUIGUINTO*",SurveyDATA!E:E,"*TUKTUKAN*",SurveyDATA!#REF!,"&gt;8")</f>
        <v>#REF!</v>
      </c>
      <c r="H29" s="624" t="e">
        <f t="shared" si="3"/>
        <v>#REF!</v>
      </c>
      <c r="I29" s="610"/>
      <c r="J29" s="611"/>
      <c r="P29" s="717" t="s">
        <v>778</v>
      </c>
      <c r="Q29" s="284" t="e">
        <f>COUNTIFS(SurveyDATA!E:E,"*VALENZUELA*",SurveyDATA!IB:IB,"Y",SurveyDATA!#REF!,"&gt;0")</f>
        <v>#REF!</v>
      </c>
      <c r="R29" s="280" t="e">
        <f>COUNTIFS(SurveyDATA!E:E,"*VALENZUELA*",SurveyDATA!IC:IC,"Y",SurveyDATA!#REF!,"&gt;0")</f>
        <v>#REF!</v>
      </c>
      <c r="S29" s="721" t="e">
        <f>COUNTIFS(SurveyDATA!E:E,"*VALENZUELA*",SurveyDATA!ID:ID,"&gt;0",SurveyDATA!#REF!,"&gt;0")</f>
        <v>#REF!</v>
      </c>
      <c r="T29" s="722" t="e">
        <f>SUMIFS(SurveyDATA!ID:ID,SurveyDATA!E:E,"*VALENZUELA*",SurveyDATA!#REF!,"&gt;0")</f>
        <v>#REF!</v>
      </c>
      <c r="U29" s="721" t="e">
        <f>COUNTIFS(SurveyDATA!E:E,"*VALENZUELA*",SurveyDATA!IE:IE,"&gt;0",SurveyDATA!#REF!,"&gt;0")</f>
        <v>#REF!</v>
      </c>
      <c r="V29" s="722" t="e">
        <f>SUMIFS(SurveyDATA!IE:IE,SurveyDATA!E:E,"*VALENZUELA*",SurveyDATA!#REF!,"&gt;0")</f>
        <v>#REF!</v>
      </c>
      <c r="W29" s="725" t="e">
        <f t="shared" si="2"/>
        <v>#REF!</v>
      </c>
    </row>
    <row r="30" spans="1:23">
      <c r="A30" s="572"/>
      <c r="B30" s="573" t="s">
        <v>5379</v>
      </c>
      <c r="C30" s="597" t="e">
        <f>COUNTIFS(SurveyDATA!#REF!,"LEGAL",SurveyDATA!E:E,"*GUIGUINTO*",SurveyDATA!E:E,"*TABANG*",SurveyDATA!#REF!,"&lt;3")</f>
        <v>#REF!</v>
      </c>
      <c r="D30" s="597" t="e">
        <f>COUNTIFS(SurveyDATA!#REF!,"LEGAL",SurveyDATA!E:E,"*GUIGUINTO*",SurveyDATA!E:E,"*TABANG*",SurveyDATA!#REF!,"&lt;5",SurveyDATA!#REF!,"&gt;2")</f>
        <v>#REF!</v>
      </c>
      <c r="E30" s="597" t="e">
        <f>COUNTIFS(SurveyDATA!#REF!,"LEGAL",SurveyDATA!E:E,"*GUIGUINTO*",SurveyDATA!E:E,"*TABANG*",SurveyDATA!#REF!,"&lt;7",SurveyDATA!#REF!,"&gt;4")</f>
        <v>#REF!</v>
      </c>
      <c r="F30" s="597" t="e">
        <f>COUNTIFS(SurveyDATA!#REF!,"LEGAL",SurveyDATA!E:E,"*GUINGUINTO*",SurveyDATA!E:E,"*TABANG*",SurveyDATA!#REF!,"&lt;9",SurveyDATA!#REF!,"&gt;6")</f>
        <v>#REF!</v>
      </c>
      <c r="G30" s="597" t="e">
        <f>COUNTIFS(SurveyDATA!#REF!,"LEGAL",SurveyDATA!E:E,"*GUIGUINTO*",SurveyDATA!E:E,"*TABANG*",SurveyDATA!#REF!,"&gt;8")</f>
        <v>#REF!</v>
      </c>
      <c r="H30" s="624" t="e">
        <f t="shared" si="3"/>
        <v>#REF!</v>
      </c>
      <c r="I30" s="602"/>
      <c r="J30" s="603"/>
      <c r="P30" s="717" t="s">
        <v>5493</v>
      </c>
      <c r="Q30" s="284" t="e">
        <f>COUNTIFS(SurveyDATA!E:E,"*CALOOCAN*",SurveyDATA!IB:IB,"Y",SurveyDATA!#REF!,"&gt;0")</f>
        <v>#REF!</v>
      </c>
      <c r="R30" s="280" t="e">
        <f>COUNTIFS(SurveyDATA!E:E,"*CALOOCAN*",SurveyDATA!IC:IC,"Y",SurveyDATA!#REF!,"&gt;0")</f>
        <v>#REF!</v>
      </c>
      <c r="S30" s="721" t="e">
        <f>COUNTIFS(SurveyDATA!E:E,"*CALOOCAN*",SurveyDATA!ID:ID,"&gt;0",SurveyDATA!#REF!,"&gt;0")</f>
        <v>#REF!</v>
      </c>
      <c r="T30" s="722" t="e">
        <f>SUMIFS(SurveyDATA!ID:ID,SurveyDATA!E:E,"*CALOOCAN*",SurveyDATA!#REF!,"&gt;0")</f>
        <v>#REF!</v>
      </c>
      <c r="U30" s="721" t="e">
        <f>COUNTIFS(SurveyDATA!E:E,"*CALOOCAN*",SurveyDATA!IE:IE,"&gt;0",SurveyDATA!#REF!,"&gt;0")</f>
        <v>#REF!</v>
      </c>
      <c r="V30" s="722" t="e">
        <f>SUMIFS(SurveyDATA!IE:IE,SurveyDATA!E:E,"*CALOOCAN*",SurveyDATA!#REF!,"&gt;0")</f>
        <v>#REF!</v>
      </c>
      <c r="W30" s="725" t="e">
        <f t="shared" si="2"/>
        <v>#REF!</v>
      </c>
    </row>
    <row r="31" spans="1:23">
      <c r="A31" s="572"/>
      <c r="B31" s="625" t="s">
        <v>7216</v>
      </c>
      <c r="C31" s="628" t="e">
        <f>SUM(C29:C30)</f>
        <v>#REF!</v>
      </c>
      <c r="D31" s="628" t="e">
        <f>SUM(D29:D30)</f>
        <v>#REF!</v>
      </c>
      <c r="E31" s="628" t="e">
        <f>SUM(E29:E30)</f>
        <v>#REF!</v>
      </c>
      <c r="F31" s="628" t="e">
        <f>SUM(F29:F30)</f>
        <v>#REF!</v>
      </c>
      <c r="G31" s="628" t="e">
        <f>SUM(G29:G30)</f>
        <v>#REF!</v>
      </c>
      <c r="H31" s="627" t="e">
        <f t="shared" si="3"/>
        <v>#REF!</v>
      </c>
      <c r="I31" s="610"/>
      <c r="J31" s="611"/>
      <c r="P31" s="717" t="s">
        <v>1020</v>
      </c>
      <c r="Q31" s="284" t="e">
        <f>COUNTIFS(SurveyDATA!E:E,"*MANILA*",SurveyDATA!IB:IB,"Y",SurveyDATA!#REF!,"&gt;0")</f>
        <v>#REF!</v>
      </c>
      <c r="R31" s="280" t="e">
        <f>COUNTIFS(SurveyDATA!E:E,"*MANILA*",SurveyDATA!IC:IC,"Y",SurveyDATA!#REF!,"&gt;0")</f>
        <v>#REF!</v>
      </c>
      <c r="S31" s="721" t="e">
        <f>COUNTIFS(SurveyDATA!E:E,"*MANILA*",SurveyDATA!ID:ID,"&gt;0",SurveyDATA!#REF!,"&gt;0")</f>
        <v>#REF!</v>
      </c>
      <c r="T31" s="722" t="e">
        <f>SUMIFS(SurveyDATA!ID:ID,SurveyDATA!E:E,"*MANILA*",SurveyDATA!#REF!,"&gt;0")</f>
        <v>#REF!</v>
      </c>
      <c r="U31" s="721" t="e">
        <f>COUNTIFS(SurveyDATA!E:E,"*MANILA*",SurveyDATA!IE:IE,"&gt;0",SurveyDATA!#REF!,"&gt;0")</f>
        <v>#REF!</v>
      </c>
      <c r="V31" s="722" t="e">
        <f>SUMIFS(SurveyDATA!IE:IE,SurveyDATA!E:E,"*MANILA*",SurveyDATA!#REF!,"&gt;0")</f>
        <v>#REF!</v>
      </c>
      <c r="W31" s="725" t="e">
        <f t="shared" si="2"/>
        <v>#REF!</v>
      </c>
    </row>
    <row r="32" spans="1:23" ht="15.75" thickBot="1">
      <c r="A32" s="572" t="s">
        <v>5847</v>
      </c>
      <c r="B32" s="573" t="s">
        <v>5411</v>
      </c>
      <c r="C32" s="597" t="e">
        <f>COUNTIFS(SurveyDATA!#REF!,"LEGAL",SurveyDATA!E:E,"*BUROL*",SurveyDATA!E:E,"*BUROL*",SurveyDATA!#REF!,"&lt;3")</f>
        <v>#REF!</v>
      </c>
      <c r="D32" s="597" t="e">
        <f>COUNTIFS(SurveyDATA!#REF!,"LEGAL",SurveyDATA!E:E,"*BUROL*",SurveyDATA!E:E,"*BUROL*",SurveyDATA!#REF!,"&lt;5",SurveyDATA!#REF!,"&gt;2")</f>
        <v>#REF!</v>
      </c>
      <c r="E32" s="597" t="e">
        <f>COUNTIFS(SurveyDATA!#REF!,"LEGAL",SurveyDATA!E:E,"*BALAGTAS*",SurveyDATA!E:E,"*BUROL*",SurveyDATA!#REF!,"&lt;7",SurveyDATA!#REF!,"&gt;4")</f>
        <v>#REF!</v>
      </c>
      <c r="F32" s="597" t="e">
        <f>COUNTIFS(SurveyDATA!#REF!,"LEGAL",SurveyDATA!E:E,"*BALAGTAS*",SurveyDATA!E:E,"*BUROL*",SurveyDATA!#REF!,"&lt;9",SurveyDATA!#REF!,"&gt;6")</f>
        <v>#REF!</v>
      </c>
      <c r="G32" s="597" t="e">
        <f>COUNTIFS(SurveyDATA!#REF!,"LEGAL",SurveyDATA!E:E,"*BALAGTAS*",SurveyDATA!E:E,"*BUROL*",SurveyDATA!#REF!,"&gt;8")</f>
        <v>#REF!</v>
      </c>
      <c r="H32" s="624" t="e">
        <f t="shared" si="3"/>
        <v>#REF!</v>
      </c>
      <c r="I32" s="610"/>
      <c r="J32" s="611"/>
      <c r="P32" s="518" t="s">
        <v>4348</v>
      </c>
      <c r="Q32" s="583" t="e">
        <f t="shared" ref="Q32:W32" si="4">SUM(Q23:Q31)</f>
        <v>#REF!</v>
      </c>
      <c r="R32" s="718" t="e">
        <f t="shared" si="4"/>
        <v>#REF!</v>
      </c>
      <c r="S32" s="723" t="e">
        <f t="shared" si="4"/>
        <v>#REF!</v>
      </c>
      <c r="T32" s="724" t="e">
        <f t="shared" si="4"/>
        <v>#REF!</v>
      </c>
      <c r="U32" s="723" t="e">
        <f t="shared" si="4"/>
        <v>#REF!</v>
      </c>
      <c r="V32" s="724" t="e">
        <f t="shared" si="4"/>
        <v>#REF!</v>
      </c>
      <c r="W32" s="726" t="e">
        <f t="shared" si="4"/>
        <v>#REF!</v>
      </c>
    </row>
    <row r="33" spans="1:21">
      <c r="A33" s="572"/>
      <c r="B33" s="625" t="s">
        <v>7216</v>
      </c>
      <c r="C33" s="628" t="e">
        <f>SUM(C32)</f>
        <v>#REF!</v>
      </c>
      <c r="D33" s="628" t="e">
        <f>SUM(D32)</f>
        <v>#REF!</v>
      </c>
      <c r="E33" s="628" t="e">
        <f>SUM(E32)</f>
        <v>#REF!</v>
      </c>
      <c r="F33" s="628" t="e">
        <f>SUM(F32)</f>
        <v>#REF!</v>
      </c>
      <c r="G33" s="628" t="e">
        <f>SUM(G32)</f>
        <v>#REF!</v>
      </c>
      <c r="H33" s="627" t="e">
        <f t="shared" si="3"/>
        <v>#REF!</v>
      </c>
      <c r="I33" s="610"/>
      <c r="J33" s="611"/>
    </row>
    <row r="34" spans="1:21">
      <c r="A34" s="572" t="s">
        <v>771</v>
      </c>
      <c r="B34" s="573" t="s">
        <v>5382</v>
      </c>
      <c r="C34" s="597" t="e">
        <f>COUNTIFS(SurveyDATA!#REF!,"LEGAL",SurveyDATA!E:E,"*BOCAUE*",SurveyDATA!E:E,"*TAAL*",SurveyDATA!#REF!,"&lt;3")</f>
        <v>#REF!</v>
      </c>
      <c r="D34" s="597" t="e">
        <f>COUNTIFS(SurveyDATA!#REF!,"LEGAL",SurveyDATA!E:E,"*BOCAUE*",SurveyDATA!E:E,"*TAAL*",SurveyDATA!#REF!,"&lt;5",SurveyDATA!#REF!,"&gt;2")</f>
        <v>#REF!</v>
      </c>
      <c r="E34" s="597" t="e">
        <f>COUNTIFS(SurveyDATA!#REF!,"LEGAL",SurveyDATA!E:E,"*BOCAUE*",SurveyDATA!E:E,"*TAAL*",SurveyDATA!#REF!,"&lt;7",SurveyDATA!#REF!,"&gt;4")</f>
        <v>#REF!</v>
      </c>
      <c r="F34" s="597" t="e">
        <f>COUNTIFS(SurveyDATA!#REF!,"LEGAL",SurveyDATA!E:E,"*BOCAUE*",SurveyDATA!E:E,"*TAAL*",SurveyDATA!#REF!,"&lt;9",SurveyDATA!#REF!,"&gt;6")</f>
        <v>#REF!</v>
      </c>
      <c r="G34" s="597" t="e">
        <f>COUNTIFS(SurveyDATA!#REF!,"LEGAL",SurveyDATA!E:E,"*BOCAUE*",SurveyDATA!E:E,"*TAAL*",SurveyDATA!#REF!,"&gt;8")</f>
        <v>#REF!</v>
      </c>
      <c r="H34" s="624" t="e">
        <f t="shared" si="3"/>
        <v>#REF!</v>
      </c>
      <c r="I34" s="610"/>
      <c r="J34" s="611"/>
    </row>
    <row r="35" spans="1:21">
      <c r="A35" s="572"/>
      <c r="B35" s="573" t="s">
        <v>7236</v>
      </c>
      <c r="C35" s="597" t="e">
        <f>COUNTIFS(SurveyDATA!#REF!,"LEGAL",SurveyDATA!E:E,"*BOCAUE*",SurveyDATA!E:E,"*IGOLOT*",SurveyDATA!#REF!,"&lt;3")</f>
        <v>#REF!</v>
      </c>
      <c r="D35" s="597" t="e">
        <f>COUNTIFS(SurveyDATA!#REF!,"LEGAL",SurveyDATA!E:E,"*BOCAUE*",SurveyDATA!E:E,"*IGOLOT*",SurveyDATA!#REF!,"&lt;5",SurveyDATA!#REF!,"&gt;2")</f>
        <v>#REF!</v>
      </c>
      <c r="E35" s="597" t="e">
        <f>COUNTIFS(SurveyDATA!#REF!,"LEGAL",SurveyDATA!E:E,"*BOCAUE*",SurveyDATA!E:E,"*IGOLOT*",SurveyDATA!#REF!,"&lt;7",SurveyDATA!#REF!,"&gt;4")</f>
        <v>#REF!</v>
      </c>
      <c r="F35" s="597" t="e">
        <f>COUNTIFS(SurveyDATA!#REF!,"LEGAL",SurveyDATA!E:E,"*BOCAUE*",SurveyDATA!E:E,"*IGOLOT*",SurveyDATA!#REF!,"&lt;9",SurveyDATA!#REF!,"&gt;6")</f>
        <v>#REF!</v>
      </c>
      <c r="G35" s="597" t="e">
        <f>COUNTIFS(SurveyDATA!#REF!,"LEGAL",SurveyDATA!E:E,"*BOCAUE*",SurveyDATA!E:E,"*IGOLOT*",SurveyDATA!#REF!,"&gt;8")</f>
        <v>#REF!</v>
      </c>
      <c r="H35" s="624" t="e">
        <f t="shared" si="3"/>
        <v>#REF!</v>
      </c>
      <c r="I35" s="610"/>
      <c r="J35" s="611"/>
      <c r="P35" t="s">
        <v>7348</v>
      </c>
    </row>
    <row r="36" spans="1:21">
      <c r="A36" s="572"/>
      <c r="B36" s="573" t="s">
        <v>5384</v>
      </c>
      <c r="C36" s="597" t="e">
        <f>COUNTIFS(SurveyDATA!#REF!,"LEGAL",SurveyDATA!E:E,"*BOCAUE*",SurveyDATA!E:E,"*BUNDUKAN*",SurveyDATA!#REF!,"&lt;3")</f>
        <v>#REF!</v>
      </c>
      <c r="D36" s="597" t="e">
        <f>COUNTIFS(SurveyDATA!#REF!,"LEGAL",SurveyDATA!E:E,"*BOCAUE*",SurveyDATA!E:E,"*BUNDUKAN*",SurveyDATA!#REF!,"&lt;5",SurveyDATA!#REF!,"&gt;2")</f>
        <v>#REF!</v>
      </c>
      <c r="E36" s="597" t="e">
        <f>COUNTIFS(SurveyDATA!#REF!,"LEGAL",SurveyDATA!E:E,"*BOCAUE*",SurveyDATA!E:E,"*BUNDUKAN*",SurveyDATA!#REF!,"&lt;7",SurveyDATA!#REF!,"&gt;4")</f>
        <v>#REF!</v>
      </c>
      <c r="F36" s="597" t="e">
        <f>COUNTIFS(SurveyDATA!#REF!,"LEGAL",SurveyDATA!E:E,"*BOCAUE*",SurveyDATA!E:E,"*BUNDUKAN*",SurveyDATA!#REF!,"&lt;9",SurveyDATA!#REF!,"&gt;6")</f>
        <v>#REF!</v>
      </c>
      <c r="G36" s="597" t="e">
        <f>COUNTIFS(SurveyDATA!#REF!,"LEGAL",SurveyDATA!E:E,"*BOCAUE*",SurveyDATA!E:E,"*BUNDUKAN*",SurveyDATA!#REF!,"&gt;8")</f>
        <v>#REF!</v>
      </c>
      <c r="H36" s="624" t="e">
        <f t="shared" si="3"/>
        <v>#REF!</v>
      </c>
      <c r="I36" s="610"/>
      <c r="J36" s="611"/>
    </row>
    <row r="37" spans="1:21">
      <c r="A37" s="572"/>
      <c r="B37" s="625" t="s">
        <v>7216</v>
      </c>
      <c r="C37" s="628" t="e">
        <f>SUM(C34:C36)</f>
        <v>#REF!</v>
      </c>
      <c r="D37" s="628" t="e">
        <f>SUM(D34:D36)</f>
        <v>#REF!</v>
      </c>
      <c r="E37" s="628" t="e">
        <f>SUM(E34:E36)</f>
        <v>#REF!</v>
      </c>
      <c r="F37" s="628" t="e">
        <f>SUM(F34:F36)</f>
        <v>#REF!</v>
      </c>
      <c r="G37" s="628" t="e">
        <f>SUM(G34:G36)</f>
        <v>#REF!</v>
      </c>
      <c r="H37" s="627" t="e">
        <f t="shared" si="3"/>
        <v>#REF!</v>
      </c>
      <c r="I37" s="610"/>
      <c r="J37" s="611"/>
      <c r="P37" s="727" t="s">
        <v>7353</v>
      </c>
      <c r="Q37" s="727" t="s">
        <v>7349</v>
      </c>
      <c r="R37" s="727" t="s">
        <v>7350</v>
      </c>
      <c r="S37" s="727" t="s">
        <v>7351</v>
      </c>
      <c r="T37" s="727" t="s">
        <v>7352</v>
      </c>
      <c r="U37" s="727"/>
    </row>
    <row r="38" spans="1:21">
      <c r="A38" s="572" t="s">
        <v>5495</v>
      </c>
      <c r="B38" s="600" t="s">
        <v>5387</v>
      </c>
      <c r="C38" s="597" t="e">
        <f>COUNTIFS(SurveyDATA!#REF!,"LEGAL",SurveyDATA!E:E,"*MARILAO*",SurveyDATA!E:E,"*ABANGAN*",SurveyDATA!#REF!,"&lt;3")</f>
        <v>#REF!</v>
      </c>
      <c r="D38" s="284" t="e">
        <f>COUNTIFS(SurveyDATA!#REF!,"LEGAL",SurveyDATA!E:E,"*MARILAO*",SurveyDATA!E:E,"*SAOG*",SurveyDATA!#REF!,"&lt;5",SurveyDATA!#REF!,"&gt;2")</f>
        <v>#REF!</v>
      </c>
      <c r="E38" s="597" t="e">
        <f>COUNTIFS(SurveyDATA!#REF!,"LEGAL",SurveyDATA!E:E,"*MARILAO*",SurveyDATA!E:E,"*ABANGAN*",SurveyDATA!#REF!,"&lt;7",SurveyDATA!#REF!,"&gt;4")</f>
        <v>#REF!</v>
      </c>
      <c r="F38" s="597" t="e">
        <f>COUNTIFS(SurveyDATA!#REF!,"LEGAL",SurveyDATA!E:E,"*MARILAO*",SurveyDATA!E:E,"*ABANGAN*",SurveyDATA!#REF!,"&lt;9",SurveyDATA!#REF!,"&gt;6")</f>
        <v>#REF!</v>
      </c>
      <c r="G38" s="597" t="e">
        <f>COUNTIFS(SurveyDATA!#REF!,"LEGAL",SurveyDATA!E:E,"*MARILAO*",SurveyDATA!E:E,"*ABANGAN*",SurveyDATA!#REF!,"&gt;8")</f>
        <v>#REF!</v>
      </c>
      <c r="H38" s="624" t="e">
        <f t="shared" si="3"/>
        <v>#REF!</v>
      </c>
      <c r="I38" s="602"/>
      <c r="J38" s="603"/>
      <c r="P38" t="s">
        <v>5495</v>
      </c>
    </row>
    <row r="39" spans="1:21">
      <c r="A39" s="572"/>
      <c r="B39" s="573" t="s">
        <v>5388</v>
      </c>
      <c r="C39" s="597" t="e">
        <f>COUNTIFS(SurveyDATA!#REF!,"LEGAL",SurveyDATA!E:E,"*MARILAO*",SurveyDATA!E:E,"*SAOG*",SurveyDATA!#REF!,"3")</f>
        <v>#REF!</v>
      </c>
      <c r="D39" s="284" t="e">
        <f>COUNTIFS(SurveyDATA!#REF!,"LEGAL",SurveyDATA!E:E,"*MARILAO*",SurveyDATA!E:E,"*SAOG*",SurveyDATA!#REF!,"&lt;5",SurveyDATA!#REF!,"&gt;2")</f>
        <v>#REF!</v>
      </c>
      <c r="E39" s="597" t="e">
        <f>COUNTIFS(SurveyDATA!#REF!,"LEGAL",SurveyDATA!E:E,"*MARILAO*",SurveyDATA!E:E,"*SAOG*",SurveyDATA!#REF!,"&lt;7",SurveyDATA!#REF!,"&gt;4")</f>
        <v>#REF!</v>
      </c>
      <c r="F39" s="597" t="e">
        <f>COUNTIFS(SurveyDATA!#REF!,"LEGAL",SurveyDATA!E:E,"*MARILAO*",SurveyDATA!E:E,"*SAOG*",SurveyDATA!#REF!,"&lt;9",SurveyDATA!#REF!,"&gt;6")</f>
        <v>#REF!</v>
      </c>
      <c r="G39" s="597" t="e">
        <f>COUNTIFS(SurveyDATA!#REF!,"LEGAL",SurveyDATA!E:E,"*MARILAO*",SurveyDATA!E:E,"*SAOG*",SurveyDATA!#REF!,"&gt;8")</f>
        <v>#REF!</v>
      </c>
      <c r="H39" s="624" t="e">
        <f t="shared" si="3"/>
        <v>#REF!</v>
      </c>
      <c r="I39" s="602"/>
      <c r="J39" s="603"/>
    </row>
    <row r="40" spans="1:21">
      <c r="A40" s="572"/>
      <c r="B40" s="573" t="s">
        <v>5489</v>
      </c>
      <c r="C40" s="597" t="e">
        <f>COUNTIFS(SurveyDATA!#REF!,"LEGAL",SurveyDATA!E:E,"*MARILAO*",SurveyDATA!E:E,"*IBAYO*",SurveyDATA!#REF!,"&lt;3")</f>
        <v>#REF!</v>
      </c>
      <c r="D40" s="284" t="e">
        <f>COUNTIFS(SurveyDATA!#REF!,"LEGAL",SurveyDATA!E:E,"*MARILAO*",SurveyDATA!E:E,"*IBAYO*",SurveyDATA!#REF!,"&lt;5",SurveyDATA!#REF!,"&gt;2")</f>
        <v>#REF!</v>
      </c>
      <c r="E40" s="597" t="e">
        <f>COUNTIFS(SurveyDATA!#REF!,"LEGAL",SurveyDATA!E:E,"*MARILAO*",SurveyDATA!E:E,"*IBAYO*",SurveyDATA!#REF!,"&lt;7",SurveyDATA!#REF!,"&gt;4")</f>
        <v>#REF!</v>
      </c>
      <c r="F40" s="597" t="e">
        <f>COUNTIFS(SurveyDATA!#REF!,"LEGAL",SurveyDATA!E:E,"*MARILAO*",SurveyDATA!E:E,"*IBAYO*",SurveyDATA!#REF!,"&lt;9",SurveyDATA!#REF!,"&gt;6")</f>
        <v>#REF!</v>
      </c>
      <c r="G40" s="597" t="e">
        <f>COUNTIFS(SurveyDATA!#REF!,"LEGAL",SurveyDATA!E:E,"*MARILAO*",SurveyDATA!E:E,"*IBAYO*",SurveyDATA!#REF!,"&gt;8")</f>
        <v>#REF!</v>
      </c>
      <c r="H40" s="624" t="e">
        <f t="shared" si="3"/>
        <v>#REF!</v>
      </c>
      <c r="I40" s="604"/>
      <c r="J40" s="603"/>
    </row>
    <row r="41" spans="1:21">
      <c r="A41" s="572"/>
      <c r="B41" s="625" t="s">
        <v>7216</v>
      </c>
      <c r="C41" s="626" t="e">
        <f>SUM(C38:C40)</f>
        <v>#REF!</v>
      </c>
      <c r="D41" s="626" t="e">
        <f>SUM(D38:D40)</f>
        <v>#REF!</v>
      </c>
      <c r="E41" s="626" t="e">
        <f>SUM(E38:E40)</f>
        <v>#REF!</v>
      </c>
      <c r="F41" s="626" t="e">
        <f>SUM(F38:F40)</f>
        <v>#REF!</v>
      </c>
      <c r="G41" s="626" t="e">
        <f>SUM(G38:G40)</f>
        <v>#REF!</v>
      </c>
      <c r="H41" s="627" t="e">
        <f t="shared" si="3"/>
        <v>#REF!</v>
      </c>
      <c r="I41" s="604"/>
      <c r="J41" s="603"/>
    </row>
    <row r="42" spans="1:21">
      <c r="A42" s="572" t="s">
        <v>5496</v>
      </c>
      <c r="B42" s="573" t="s">
        <v>5849</v>
      </c>
      <c r="C42" s="597" t="e">
        <f>COUNTIFS(SurveyDATA!#REF!,"LEGAL",SurveyDATA!E:E,"*MEYCAUAYAN*",SurveyDATA!E:E,"*PANDAYAN*",SurveyDATA!#REF!,"&lt;3")</f>
        <v>#REF!</v>
      </c>
      <c r="D42" s="601" t="e">
        <f>COUNTIFS(SurveyDATA!#REF!,"LEGAL",SurveyDATA!E:E,"*MEYCAUAYAN*",SurveyDATA!E:E,"*PANDAYAN*",SurveyDATA!#REF!,"&lt;5",SurveyDATA!#REF!,"&gt;2")</f>
        <v>#REF!</v>
      </c>
      <c r="E42" s="597" t="e">
        <f>COUNTIFS(SurveyDATA!#REF!,"LEGAL",SurveyDATA!E:E,"*MEYCAUAYAN*",SurveyDATA!E:E,"*PANDAYAN*",SurveyDATA!#REF!,"&lt;7",SurveyDATA!#REF!,"&gt;4")</f>
        <v>#REF!</v>
      </c>
      <c r="F42" s="597" t="e">
        <f>COUNTIFS(SurveyDATA!#REF!,"LEGAL",SurveyDATA!E:E,"*MEYCAUAYAN*",SurveyDATA!E:E,"*PANDAYAN*",SurveyDATA!#REF!,"&lt;9",SurveyDATA!#REF!,"&gt;6")</f>
        <v>#REF!</v>
      </c>
      <c r="G42" s="597" t="e">
        <f>COUNTIFS(SurveyDATA!#REF!,"LEGAL",SurveyDATA!E:E,"*MEYCAUAYAN*",SurveyDATA!E:E,"*PANDAYAN*",SurveyDATA!#REF!,"&gt;8")</f>
        <v>#REF!</v>
      </c>
      <c r="H42" s="624" t="e">
        <f t="shared" si="3"/>
        <v>#REF!</v>
      </c>
      <c r="I42" s="281"/>
      <c r="J42" s="605"/>
      <c r="K42" s="286"/>
    </row>
    <row r="43" spans="1:21">
      <c r="A43" s="572"/>
      <c r="B43" s="573" t="s">
        <v>5497</v>
      </c>
      <c r="C43" s="597" t="e">
        <f>COUNTIFS(SurveyDATA!#REF!,"LEGAL",SurveyDATA!E:E,"*MEYCAUAYAN*",SurveyDATA!E:E,"*TUGATOG*",SurveyDATA!#REF!,"&lt;3")</f>
        <v>#REF!</v>
      </c>
      <c r="D43" s="601" t="e">
        <f>COUNTIFS(SurveyDATA!#REF!,"LEGAL",SurveyDATA!E:E,"*MEYCAUAYAN*",SurveyDATA!E:E,"*TUGATOG*",SurveyDATA!#REF!,"&lt;5",SurveyDATA!#REF!,"&gt;2")</f>
        <v>#REF!</v>
      </c>
      <c r="E43" s="597" t="e">
        <f>COUNTIFS(SurveyDATA!#REF!,"LEGAL",SurveyDATA!E:E,"*MEYCAUAYAN*",SurveyDATA!E:E,"*TUGATOG*",SurveyDATA!#REF!,"&lt;7",SurveyDATA!#REF!,"&gt;4")</f>
        <v>#REF!</v>
      </c>
      <c r="F43" s="597" t="e">
        <f>COUNTIFS(SurveyDATA!#REF!,"LEGAL",SurveyDATA!E:E,"*MEYCAUAYAN*",SurveyDATA!E:E,"*TUGATOG*",SurveyDATA!#REF!,"&lt;9",SurveyDATA!#REF!,"&gt;6")</f>
        <v>#REF!</v>
      </c>
      <c r="G43" s="597" t="e">
        <f>COUNTIFS(SurveyDATA!#REF!,"LEGAL",SurveyDATA!E:E,"*MEYCAUAYAN*",SurveyDATA!E:E,"*TUGATOG*",SurveyDATA!#REF!,"&gt;8")</f>
        <v>#REF!</v>
      </c>
      <c r="H43" s="624" t="e">
        <f t="shared" si="3"/>
        <v>#REF!</v>
      </c>
      <c r="I43" s="604"/>
      <c r="J43" s="605"/>
      <c r="K43" s="286"/>
    </row>
    <row r="44" spans="1:21">
      <c r="A44" s="572"/>
      <c r="B44" s="573" t="s">
        <v>5389</v>
      </c>
      <c r="C44" s="597" t="e">
        <f>COUNTIFS(SurveyDATA!#REF!,"LEGAL",SurveyDATA!E:E,"*MEYCAUAYAN*",SurveyDATA!E:E,"*BANCAL*",SurveyDATA!#REF!,"&lt;3")</f>
        <v>#REF!</v>
      </c>
      <c r="D44" s="601" t="e">
        <f>COUNTIFS(SurveyDATA!#REF!,"LEGAL",SurveyDATA!E:E,"*MEYCAUAYAN*",SurveyDATA!E:E,"*BANCAL*",SurveyDATA!#REF!,"&lt;5",SurveyDATA!#REF!,"&gt;2")</f>
        <v>#REF!</v>
      </c>
      <c r="E44" s="597" t="e">
        <f>COUNTIFS(SurveyDATA!#REF!,"LEGAL",SurveyDATA!E:E,"*MEYCAUAYAN*",SurveyDATA!E:E,"*BANCAL*",SurveyDATA!#REF!,"&lt;7",SurveyDATA!#REF!,"&gt;4")</f>
        <v>#REF!</v>
      </c>
      <c r="F44" s="597" t="e">
        <f>COUNTIFS(SurveyDATA!#REF!,"LEGAL",SurveyDATA!E:E,"*MEYCAUAYAN*",SurveyDATA!E:E,"*BANCAL*",SurveyDATA!#REF!,"&lt;9",SurveyDATA!#REF!,"&gt;6")</f>
        <v>#REF!</v>
      </c>
      <c r="G44" s="597" t="e">
        <f>COUNTIFS(SurveyDATA!#REF!,"LEGAL",SurveyDATA!E:E,"*MEYCAUAYAN*",SurveyDATA!E:E,"*BANCAL*",SurveyDATA!#REF!,"&gt;8")</f>
        <v>#REF!</v>
      </c>
      <c r="H44" s="624" t="e">
        <f t="shared" si="3"/>
        <v>#REF!</v>
      </c>
      <c r="I44" s="606"/>
      <c r="J44" s="606"/>
    </row>
    <row r="45" spans="1:21">
      <c r="A45" s="572"/>
      <c r="B45" s="625" t="s">
        <v>7216</v>
      </c>
      <c r="C45" s="626" t="e">
        <f>SUM(C42:C44)</f>
        <v>#REF!</v>
      </c>
      <c r="D45" s="626" t="e">
        <f>SUM(D42:D44)</f>
        <v>#REF!</v>
      </c>
      <c r="E45" s="626" t="e">
        <f>SUM(E42:E44)</f>
        <v>#REF!</v>
      </c>
      <c r="F45" s="626" t="e">
        <f>SUM(F42:F44)</f>
        <v>#REF!</v>
      </c>
      <c r="G45" s="626" t="e">
        <f>SUM(G42:G44)</f>
        <v>#REF!</v>
      </c>
      <c r="H45" s="627" t="e">
        <f t="shared" si="3"/>
        <v>#REF!</v>
      </c>
      <c r="I45" s="606"/>
      <c r="J45" s="606"/>
    </row>
    <row r="46" spans="1:21">
      <c r="A46" s="572" t="s">
        <v>778</v>
      </c>
      <c r="B46" s="573" t="s">
        <v>7260</v>
      </c>
      <c r="C46" s="597" t="e">
        <f>COUNTIFS(SurveyDATA!#REF!,"LEGAL",SurveyDATA!E:E,"*VALENZUELA*",SurveyDATA!E:E,"*MALANDAY*",SurveyDATA!#REF!,"&lt;3")</f>
        <v>#REF!</v>
      </c>
      <c r="D46" s="572" t="e">
        <f>COUNTIFS(SurveyDATA!#REF!,"LEGAL",SurveyDATA!E:E,"*VALENZUELA*",SurveyDATA!E:E,"*MALANDAY*",SurveyDATA!#REF!,"&lt;5",SurveyDATA!#REF!,"&gt;2")</f>
        <v>#REF!</v>
      </c>
      <c r="E46" s="597" t="e">
        <f>COUNTIFS(SurveyDATA!#REF!,"LEGAL",SurveyDATA!E:E,"*VALENZUELA*",SurveyDATA!E:E,"*MALANDAY*",SurveyDATA!#REF!,"&lt;7",SurveyDATA!#REF!,"&gt;4")</f>
        <v>#REF!</v>
      </c>
      <c r="F46" s="597" t="e">
        <f>COUNTIFS(SurveyDATA!#REF!,"LEGAL",SurveyDATA!E:E,"*VALENZUELA*",SurveyDATA!E:E,"*MALANDAY*",SurveyDATA!#REF!,"&lt;9",SurveyDATA!#REF!,"&gt;6")</f>
        <v>#REF!</v>
      </c>
      <c r="G46" s="597" t="e">
        <f>COUNTIFS(SurveyDATA!#REF!,"LEGAL",SurveyDATA!E:E,"*VALENZUELA*",SurveyDATA!E:E,"*MALANDAY*",SurveyDATA!#REF!,"&gt;8")</f>
        <v>#REF!</v>
      </c>
      <c r="H46" s="624" t="e">
        <f t="shared" si="3"/>
        <v>#REF!</v>
      </c>
      <c r="I46" s="606"/>
      <c r="J46" s="606"/>
    </row>
    <row r="47" spans="1:21">
      <c r="A47" s="572"/>
      <c r="B47" s="573" t="s">
        <v>5818</v>
      </c>
      <c r="C47" s="597" t="e">
        <f>COUNTIFS(SurveyDATA!#REF!,"LEGAL",SurveyDATA!E:E,"*VALENZUELA*",SurveyDATA!E:E,"*DALANDANAN*",SurveyDATA!#REF!,"&lt;3")</f>
        <v>#REF!</v>
      </c>
      <c r="D47" s="572" t="e">
        <f>COUNTIFS(SurveyDATA!#REF!,"LEGAL",SurveyDATA!E:E,"*VALENZUELA*",SurveyDATA!E:E,"*DALANDANAN*",SurveyDATA!#REF!,"&lt;5",SurveyDATA!#REF!,"&gt;2")</f>
        <v>#REF!</v>
      </c>
      <c r="E47" s="597" t="e">
        <f>COUNTIFS(SurveyDATA!#REF!,"LEGAL",SurveyDATA!E:E,"*VALENZUELA*",SurveyDATA!E:E,"*DALANDANAN*",SurveyDATA!#REF!,"&lt;7",SurveyDATA!#REF!,"&gt;4")</f>
        <v>#REF!</v>
      </c>
      <c r="F47" s="597" t="e">
        <f>COUNTIFS(SurveyDATA!#REF!,"LEGAL",SurveyDATA!E:E,"*VALENZUELA*",SurveyDATA!E:E,"*DALANDANAN*",SurveyDATA!#REF!,"&lt;9",SurveyDATA!#REF!,"&gt;6")</f>
        <v>#REF!</v>
      </c>
      <c r="G47" s="597" t="e">
        <f>COUNTIFS(SurveyDATA!#REF!,"LEGAL",SurveyDATA!E:E,"*MEYCAUAYAN*",SurveyDATA!E:E,"*DALANDANAN*",SurveyDATA!#REF!,"&gt;8")</f>
        <v>#REF!</v>
      </c>
      <c r="H47" s="624" t="e">
        <f t="shared" si="3"/>
        <v>#REF!</v>
      </c>
      <c r="I47" s="606"/>
      <c r="J47" s="606"/>
    </row>
    <row r="48" spans="1:21">
      <c r="A48" s="572"/>
      <c r="B48" s="573" t="s">
        <v>5392</v>
      </c>
      <c r="C48" s="597" t="e">
        <f>COUNTIFS(SurveyDATA!#REF!,"LEGAL",SurveyDATA!E:E,"*VALENZUELA*",SurveyDATA!E:E,"*MALINTA*",SurveyDATA!#REF!,"&lt;3")</f>
        <v>#REF!</v>
      </c>
      <c r="D48" s="572" t="e">
        <f>COUNTIFS(SurveyDATA!#REF!,"LEGAL",SurveyDATA!E:E,"*VALENZUELA*",SurveyDATA!E:E,"*MALINTA*",SurveyDATA!#REF!,"&lt;5",SurveyDATA!#REF!,"&gt;2")</f>
        <v>#REF!</v>
      </c>
      <c r="E48" s="597" t="e">
        <f>COUNTIFS(SurveyDATA!#REF!,"LEGAL",SurveyDATA!E:E,"*VALENZUELA*",SurveyDATA!E:E,"*MALINTA*",SurveyDATA!#REF!,"&lt;7",SurveyDATA!#REF!,"&gt;4")</f>
        <v>#REF!</v>
      </c>
      <c r="F48" s="597" t="e">
        <f>COUNTIFS(SurveyDATA!#REF!,"LEGAL",SurveyDATA!E:E,"*VALENZUELA*",SurveyDATA!E:E,"*MALINTA*",SurveyDATA!#REF!,"&lt;9",SurveyDATA!#REF!,"&gt;6")</f>
        <v>#REF!</v>
      </c>
      <c r="G48" s="597" t="e">
        <f>COUNTIFS(SurveyDATA!#REF!,"LEGAL",SurveyDATA!E:E,"*MEYCAUAYAN*",SurveyDATA!E:E,"*MALINTA*",SurveyDATA!#REF!,"&gt;8")</f>
        <v>#REF!</v>
      </c>
      <c r="H48" s="624" t="e">
        <f t="shared" si="3"/>
        <v>#REF!</v>
      </c>
      <c r="I48" s="606"/>
      <c r="J48" s="606"/>
    </row>
    <row r="49" spans="1:10">
      <c r="A49" s="572"/>
      <c r="B49" s="625" t="s">
        <v>7216</v>
      </c>
      <c r="C49" s="626" t="e">
        <f>SUM(C46:C48)</f>
        <v>#REF!</v>
      </c>
      <c r="D49" s="626" t="e">
        <f>SUM(D46:D48)</f>
        <v>#REF!</v>
      </c>
      <c r="E49" s="626" t="e">
        <f>SUM(E46:E48)</f>
        <v>#REF!</v>
      </c>
      <c r="F49" s="626" t="e">
        <f>SUM(F46:F48)</f>
        <v>#REF!</v>
      </c>
      <c r="G49" s="626" t="e">
        <f>SUM(G46:G48)</f>
        <v>#REF!</v>
      </c>
      <c r="H49" s="627" t="e">
        <f t="shared" si="3"/>
        <v>#REF!</v>
      </c>
      <c r="I49" s="606"/>
      <c r="J49" s="606"/>
    </row>
    <row r="50" spans="1:10">
      <c r="A50" s="572" t="s">
        <v>5493</v>
      </c>
      <c r="B50" s="573" t="s">
        <v>5393</v>
      </c>
      <c r="C50" s="597" t="e">
        <f>COUNTIFS(SurveyDATA!#REF!,"LEGAL",SurveyDATA!E:E,"*CALOOCAN*",SurveyDATA!E:E,"*BRGY.15 CAL*",SurveyDATA!#REF!,"&lt;3")</f>
        <v>#REF!</v>
      </c>
      <c r="D50" s="597" t="e">
        <f>COUNTIFS(SurveyDATA!#REF!,"LEGAL",SurveyDATA!F:F,"*CALOOCAN*",SurveyDATA!F:F,"*BRGY.15 CAL*",SurveyDATA!#REF!,"&lt;5",SurveyDATA!#REF!,"&gt;2")</f>
        <v>#REF!</v>
      </c>
      <c r="E50" s="597" t="e">
        <f>COUNTIFS(SurveyDATA!#REF!,"LEGAL",SurveyDATA!E:E,"*CALOOCAN*",SurveyDATA!E:E,"*BRGY.15*",SurveyDATA!#REF!,"&lt;7",SurveyDATA!#REF!,"&gt;4")</f>
        <v>#REF!</v>
      </c>
      <c r="F50" s="597" t="e">
        <f>COUNTIFS(SurveyDATA!#REF!,"LEGAL",SurveyDATA!E:E,"*CALOOCAN*",SurveyDATA!E:E,"*BRGY.15*",SurveyDATA!#REF!,"&lt;9",SurveyDATA!#REF!,"&gt;6")</f>
        <v>#REF!</v>
      </c>
      <c r="G50" s="597" t="e">
        <f>COUNTIFS(SurveyDATA!#REF!,"LEGAL",SurveyDATA!E:E,"*CALOOCAN*",SurveyDATA!E:E,"*BRGY.15*",SurveyDATA!#REF!,"&gt;8")</f>
        <v>#REF!</v>
      </c>
      <c r="H50" s="624" t="e">
        <f t="shared" si="3"/>
        <v>#REF!</v>
      </c>
      <c r="I50" s="606"/>
      <c r="J50" s="606"/>
    </row>
    <row r="51" spans="1:10">
      <c r="A51" s="572"/>
      <c r="B51" s="573" t="s">
        <v>5395</v>
      </c>
      <c r="C51" s="597" t="e">
        <f>COUNTIFS(SurveyDATA!#REF!,"LEGAL",SurveyDATA!E:E,"*CALOOCAN*",SurveyDATA!E:E,"*BRGY.17 CAL*",SurveyDATA!#REF!,"&lt;3")</f>
        <v>#REF!</v>
      </c>
      <c r="D51" s="597" t="e">
        <f>COUNTIFS(SurveyDATA!#REF!,"LEGAL",SurveyDATA!F:F,"*CALOOCAN*",SurveyDATA!F:F,"*BRGY.17 CAL*",SurveyDATA!#REF!,"&lt;5",SurveyDATA!#REF!,"&gt;2")</f>
        <v>#REF!</v>
      </c>
      <c r="E51" s="597" t="e">
        <f>COUNTIFS(SurveyDATA!#REF!,"LEGAL",SurveyDATA!E:E,"*CALOOCAN*",SurveyDATA!E:E,"*BRGY.17*",SurveyDATA!#REF!,"&lt;7",SurveyDATA!#REF!,"&gt;4")</f>
        <v>#REF!</v>
      </c>
      <c r="F51" s="597" t="e">
        <f>COUNTIFS(SurveyDATA!#REF!,"LEGAL",SurveyDATA!E:E,"*CALOOCAN*",SurveyDATA!E:E,"*BRGY.17*",SurveyDATA!#REF!,"&lt;9",SurveyDATA!#REF!,"&gt;6")</f>
        <v>#REF!</v>
      </c>
      <c r="G51" s="597" t="e">
        <f>COUNTIFS(SurveyDATA!#REF!,"LEGAL",SurveyDATA!E:E,"*CALOOCAN*",SurveyDATA!E:E,"*BRGY.17*",SurveyDATA!#REF!,"&gt;8")</f>
        <v>#REF!</v>
      </c>
      <c r="H51" s="624" t="e">
        <f t="shared" si="3"/>
        <v>#REF!</v>
      </c>
      <c r="I51" s="606"/>
      <c r="J51" s="606"/>
    </row>
    <row r="52" spans="1:10">
      <c r="A52" s="572"/>
      <c r="B52" s="573" t="s">
        <v>5394</v>
      </c>
      <c r="C52" s="597" t="e">
        <f>COUNTIFS(SurveyDATA!#REF!,"LEGAL",SurveyDATA!E:E,"*CALOOCAN*",SurveyDATA!E:E,"*BRGY.19 CAL*",SurveyDATA!#REF!,"&lt;3")</f>
        <v>#REF!</v>
      </c>
      <c r="D52" s="597" t="e">
        <f>COUNTIFS(SurveyDATA!#REF!,"LEGAL",SurveyDATA!F:F,"*CALOOCAN*",SurveyDATA!F:F,"*BRGY.21 CAL*",SurveyDATA!#REF!,"&lt;5",SurveyDATA!#REF!,"&gt;2")</f>
        <v>#REF!</v>
      </c>
      <c r="E52" s="597" t="e">
        <f>COUNTIFS(SurveyDATA!#REF!,"LEGAL",SurveyDATA!E:E,"*CALOOCAN*",SurveyDATA!E:E,"*BRGY.19*",SurveyDATA!#REF!,"&lt;7",SurveyDATA!#REF!,"&gt;4")</f>
        <v>#REF!</v>
      </c>
      <c r="F52" s="597" t="e">
        <f>COUNTIFS(SurveyDATA!#REF!,"LEGAL",SurveyDATA!E:E,"*CALOOCAN*",SurveyDATA!E:E,"*BRGY.19*",SurveyDATA!#REF!,"&lt;9",SurveyDATA!#REF!,"&gt;6")</f>
        <v>#REF!</v>
      </c>
      <c r="G52" s="597" t="e">
        <f>COUNTIFS(SurveyDATA!#REF!,"LEGAL",SurveyDATA!E:E,"*CALOOCAN*",SurveyDATA!E:E,"*BRGY.19*",SurveyDATA!#REF!,"&gt;8")</f>
        <v>#REF!</v>
      </c>
      <c r="H52" s="624" t="e">
        <f t="shared" si="3"/>
        <v>#REF!</v>
      </c>
      <c r="I52" s="606"/>
      <c r="J52" s="606"/>
    </row>
    <row r="53" spans="1:10">
      <c r="A53" s="572"/>
      <c r="B53" s="573" t="s">
        <v>5396</v>
      </c>
      <c r="C53" s="597" t="e">
        <f>COUNTIFS(SurveyDATA!#REF!,"LEGAL",SurveyDATA!E:E,"*CALOOCAN*",SurveyDATA!E:E,"*BRGY.21 CAL*",SurveyDATA!#REF!,"&lt;3")</f>
        <v>#REF!</v>
      </c>
      <c r="D53" s="597" t="e">
        <f>COUNTIFS(SurveyDATA!#REF!,"LEGAL",SurveyDATA!F:F,"*CALOOCAN*",SurveyDATA!F:F,"*BRGY.21 CAL*",SurveyDATA!#REF!,"&lt;5",SurveyDATA!#REF!,"&gt;2")</f>
        <v>#REF!</v>
      </c>
      <c r="E53" s="597" t="e">
        <f>COUNTIFS(SurveyDATA!#REF!,"LEGAL",SurveyDATA!E:E,"*CALOOCAN*",SurveyDATA!E:E,"*BRGY.21*",SurveyDATA!#REF!,"&lt;7",SurveyDATA!#REF!,"&gt;4")</f>
        <v>#REF!</v>
      </c>
      <c r="F53" s="597" t="e">
        <f>COUNTIFS(SurveyDATA!#REF!,"LEGAL",SurveyDATA!E:E,"*CALOOCAN*",SurveyDATA!E:E,"*BRGY.21*",SurveyDATA!#REF!,"&lt;9",SurveyDATA!#REF!,"&gt;6")</f>
        <v>#REF!</v>
      </c>
      <c r="G53" s="597" t="e">
        <f>COUNTIFS(SurveyDATA!#REF!,"LEGAL",SurveyDATA!E:E,"*CALOOCAN*",SurveyDATA!E:E,"*BRGY.21*",SurveyDATA!#REF!,"&gt;8")</f>
        <v>#REF!</v>
      </c>
      <c r="H53" s="624" t="e">
        <f t="shared" si="3"/>
        <v>#REF!</v>
      </c>
      <c r="I53" s="606"/>
      <c r="J53" s="606"/>
    </row>
    <row r="54" spans="1:10">
      <c r="A54" s="572"/>
      <c r="B54" s="573" t="s">
        <v>5397</v>
      </c>
      <c r="C54" s="597" t="e">
        <f>COUNTIFS(SurveyDATA!#REF!,"LEGAL",SurveyDATA!E:E,"*CALOOCAN*",SurveyDATA!E:E,"*BRGY.25 CAL*",SurveyDATA!#REF!,"&lt;3")</f>
        <v>#REF!</v>
      </c>
      <c r="D54" s="597" t="e">
        <f>COUNTIFS(SurveyDATA!#REF!,"LEGAL",SurveyDATA!F:F,"*CALOOCAN*",SurveyDATA!F:F,"*BRGY.25 CAL*",SurveyDATA!#REF!,"&lt;5",SurveyDATA!#REF!,"&gt;2")</f>
        <v>#REF!</v>
      </c>
      <c r="E54" s="597" t="e">
        <f>COUNTIFS(SurveyDATA!#REF!,"LEGAL",SurveyDATA!E:E,"*CALOOCAN*",SurveyDATA!E:E,"*BRGY.25*",SurveyDATA!#REF!,"&lt;7",SurveyDATA!#REF!,"&gt;4")</f>
        <v>#REF!</v>
      </c>
      <c r="F54" s="597" t="e">
        <f>COUNTIFS(SurveyDATA!#REF!,"LEGAL",SurveyDATA!E:E,"*CALOOCAN*",SurveyDATA!E:E,"*BRGY.25*",SurveyDATA!#REF!,"&lt;9",SurveyDATA!#REF!,"&gt;6")</f>
        <v>#REF!</v>
      </c>
      <c r="G54" s="597" t="e">
        <f>COUNTIFS(SurveyDATA!#REF!,"LEGAL",SurveyDATA!E:E,"*CALOOCAN*",SurveyDATA!E:E,"*BRGY.25*",SurveyDATA!#REF!,"&gt;8")</f>
        <v>#REF!</v>
      </c>
      <c r="H54" s="624" t="e">
        <f t="shared" si="3"/>
        <v>#REF!</v>
      </c>
      <c r="I54" s="606"/>
      <c r="J54" s="606"/>
    </row>
    <row r="55" spans="1:10">
      <c r="A55" s="572"/>
      <c r="B55" s="573" t="s">
        <v>5398</v>
      </c>
      <c r="C55" s="597" t="e">
        <f>COUNTIFS(SurveyDATA!#REF!,"LEGAL",SurveyDATA!E:E,"*CALOOCAN*",SurveyDATA!E:E,"*BRGY.29 CAL*",SurveyDATA!#REF!,"&lt;3")</f>
        <v>#REF!</v>
      </c>
      <c r="D55" s="597" t="e">
        <f>COUNTIFS(SurveyDATA!#REF!,"LEGAL",SurveyDATA!F:F,"*CALOOCAN*",SurveyDATA!F:F,"*BRGY.29 CAL*",SurveyDATA!#REF!,"&lt;5",SurveyDATA!#REF!,"&gt;2")</f>
        <v>#REF!</v>
      </c>
      <c r="E55" s="597" t="e">
        <f>COUNTIFS(SurveyDATA!#REF!,"LEGAL",SurveyDATA!E:E,"*CALOOCAN*",SurveyDATA!E:E,"*BRGY.29*",SurveyDATA!#REF!,"&lt;7",SurveyDATA!#REF!,"&gt;4")</f>
        <v>#REF!</v>
      </c>
      <c r="F55" s="597" t="e">
        <f>COUNTIFS(SurveyDATA!#REF!,"LEGAL",SurveyDATA!E:E,"*CALOOCAN*",SurveyDATA!E:E,"*BRGY.29*",SurveyDATA!#REF!,"&lt;9",SurveyDATA!#REF!,"&gt;6")</f>
        <v>#REF!</v>
      </c>
      <c r="G55" s="597" t="e">
        <f>COUNTIFS(SurveyDATA!#REF!,"LEGAL",SurveyDATA!E:E,"*CALOOCAN*",SurveyDATA!E:E,"*BRGY.29*",SurveyDATA!#REF!,"&gt;8")</f>
        <v>#REF!</v>
      </c>
      <c r="H55" s="624" t="e">
        <f t="shared" si="3"/>
        <v>#REF!</v>
      </c>
      <c r="I55" s="606"/>
      <c r="J55" s="606"/>
    </row>
    <row r="56" spans="1:10">
      <c r="A56" s="572"/>
      <c r="B56" s="573" t="s">
        <v>5399</v>
      </c>
      <c r="C56" s="597" t="e">
        <f>COUNTIFS(SurveyDATA!#REF!,"LEGAL",SurveyDATA!E:E,"*CALOOCAN*",SurveyDATA!E:E,"*BRGY.32 CAL*",SurveyDATA!#REF!,"&lt;3")</f>
        <v>#REF!</v>
      </c>
      <c r="D56" s="597" t="e">
        <f>COUNTIFS(SurveyDATA!#REF!,"LEGAL",SurveyDATA!F:F,"*CALOOCAN*",SurveyDATA!F:F,"*BRGY.32 CAL*",SurveyDATA!#REF!,"&lt;5",SurveyDATA!#REF!,"&gt;2")</f>
        <v>#REF!</v>
      </c>
      <c r="E56" s="597" t="e">
        <f>COUNTIFS(SurveyDATA!#REF!,"LEGAL",SurveyDATA!E:E,"*CALOOCAN*",SurveyDATA!E:E,"*BRGY.32*",SurveyDATA!#REF!,"&lt;7",SurveyDATA!#REF!,"&gt;4")</f>
        <v>#REF!</v>
      </c>
      <c r="F56" s="597" t="e">
        <f>COUNTIFS(SurveyDATA!#REF!,"LEGAL",SurveyDATA!E:E,"*CALOOCAN*",SurveyDATA!E:E,"*BRGY.32*",SurveyDATA!#REF!,"&lt;9",SurveyDATA!#REF!,"&gt;6")</f>
        <v>#REF!</v>
      </c>
      <c r="G56" s="597" t="e">
        <f>COUNTIFS(SurveyDATA!#REF!,"LEGAL",SurveyDATA!E:E,"*CALOOCAN*",SurveyDATA!E:E,"*BRGY.32*",SurveyDATA!#REF!,"&gt;8")</f>
        <v>#REF!</v>
      </c>
      <c r="H56" s="624" t="e">
        <f t="shared" si="3"/>
        <v>#REF!</v>
      </c>
      <c r="I56" s="606"/>
      <c r="J56" s="606"/>
    </row>
    <row r="57" spans="1:10">
      <c r="A57" s="572"/>
      <c r="B57" s="573" t="s">
        <v>5400</v>
      </c>
      <c r="C57" s="597" t="e">
        <f>COUNTIFS(SurveyDATA!#REF!,"LEGAL",SurveyDATA!E:E,"*CALOOCAN*",SurveyDATA!E:E,"*BRGY.33 CAL*",SurveyDATA!#REF!,"&lt;3")</f>
        <v>#REF!</v>
      </c>
      <c r="D57" s="597" t="e">
        <f>COUNTIFS(SurveyDATA!#REF!,"LEGAL",SurveyDATA!F:F,"*CALOOCAN*",SurveyDATA!F:F,"*BRGY.33 CAL*",SurveyDATA!#REF!,"&lt;5",SurveyDATA!#REF!,"&gt;2")</f>
        <v>#REF!</v>
      </c>
      <c r="E57" s="597" t="e">
        <f>COUNTIFS(SurveyDATA!#REF!,"LEGAL",SurveyDATA!E:E,"*CALOOCAN*",SurveyDATA!E:E,"*BRGY.32*",SurveyDATA!#REF!,"&lt;7",SurveyDATA!#REF!,"&gt;4")</f>
        <v>#REF!</v>
      </c>
      <c r="F57" s="597" t="e">
        <f>COUNTIFS(SurveyDATA!#REF!,"LEGAL",SurveyDATA!E:E,"*CALOOCAN*",SurveyDATA!E:E,"*BRGY.33*",SurveyDATA!#REF!,"&lt;9",SurveyDATA!#REF!,"&gt;6")</f>
        <v>#REF!</v>
      </c>
      <c r="G57" s="597" t="e">
        <f>COUNTIFS(SurveyDATA!#REF!,"LEGAL",SurveyDATA!E:E,"*CALOOCAN*",SurveyDATA!E:E,"*BRGY.33*",SurveyDATA!#REF!,"&gt;8")</f>
        <v>#REF!</v>
      </c>
      <c r="H57" s="624" t="e">
        <f t="shared" si="3"/>
        <v>#REF!</v>
      </c>
      <c r="I57" s="606"/>
      <c r="J57" s="606"/>
    </row>
    <row r="58" spans="1:10">
      <c r="A58" s="572"/>
      <c r="B58" s="625" t="s">
        <v>7216</v>
      </c>
      <c r="C58" s="626" t="e">
        <f>SUM(C50:C57)</f>
        <v>#REF!</v>
      </c>
      <c r="D58" s="626" t="e">
        <f>SUM(D50:D57)</f>
        <v>#REF!</v>
      </c>
      <c r="E58" s="626" t="e">
        <f>SUM(E50:E57)</f>
        <v>#REF!</v>
      </c>
      <c r="F58" s="626" t="e">
        <f>SUM(F50:F57)</f>
        <v>#REF!</v>
      </c>
      <c r="G58" s="626" t="e">
        <f>SUM(G50:G57)</f>
        <v>#REF!</v>
      </c>
      <c r="H58" s="627" t="e">
        <f t="shared" si="3"/>
        <v>#REF!</v>
      </c>
      <c r="I58" s="606"/>
      <c r="J58" s="606"/>
    </row>
    <row r="59" spans="1:10">
      <c r="A59" s="572" t="s">
        <v>1020</v>
      </c>
      <c r="B59" s="573" t="s">
        <v>5800</v>
      </c>
      <c r="C59" s="597" t="e">
        <f>COUNTIFS(SurveyDATA!#REF!,"LEGAL",SurveyDATA!E:E,"*MANILA*",SurveyDATA!E:E,"*BRGY.50*",SurveyDATA!#REF!,"&lt;3")</f>
        <v>#REF!</v>
      </c>
      <c r="D59" s="597" t="e">
        <f>COUNTIFS(SurveyDATA!#REF!,"LEGAL",SurveyDATA!F:F,"*MANILA*",SurveyDATA!F:F,"*BRGY.50*",SurveyDATA!#REF!,"&lt;5",SurveyDATA!#REF!,"&gt;2")</f>
        <v>#REF!</v>
      </c>
      <c r="E59" s="597" t="e">
        <f>COUNTIFS(SurveyDATA!#REF!,"LEGAL",SurveyDATA!E:E,"*MANILA*",SurveyDATA!E:E,"*BRGY.50*",SurveyDATA!#REF!,"&lt;7",SurveyDATA!#REF!,"&gt;4")</f>
        <v>#REF!</v>
      </c>
      <c r="F59" s="597" t="e">
        <f>COUNTIFS(SurveyDATA!#REF!,"LEGAL",SurveyDATA!E:E,"*MANILA*",SurveyDATA!E:E,"*BRGY.50*",SurveyDATA!#REF!,"&lt;9",SurveyDATA!#REF!,"&gt;6")</f>
        <v>#REF!</v>
      </c>
      <c r="G59" s="597" t="e">
        <f>COUNTIFS(SurveyDATA!#REF!,"LEGAL",SurveyDATA!E:E,"*MANILA*",SurveyDATA!E:E,"*BRGY.50*",SurveyDATA!#REF!,"&gt;8")</f>
        <v>#REF!</v>
      </c>
      <c r="H59" s="599" t="e">
        <f t="shared" si="3"/>
        <v>#REF!</v>
      </c>
      <c r="I59" s="606"/>
      <c r="J59" s="606"/>
    </row>
    <row r="60" spans="1:10">
      <c r="A60" s="572"/>
      <c r="B60" s="573" t="s">
        <v>5801</v>
      </c>
      <c r="C60" s="597" t="e">
        <f>COUNTIFS(SurveyDATA!#REF!,"LEGAL",SurveyDATA!E:E,"*MANILA*",SurveyDATA!E:E,"*BRGY.51*",SurveyDATA!#REF!,"&lt;3")</f>
        <v>#REF!</v>
      </c>
      <c r="D60" s="597" t="e">
        <f>COUNTIFS(SurveyDATA!#REF!,"LEGAL",SurveyDATA!F:F,"*MANILA*",SurveyDATA!F:F,"*BRGY.51*",SurveyDATA!#REF!,"&lt;5",SurveyDATA!#REF!,"&gt;2")</f>
        <v>#REF!</v>
      </c>
      <c r="E60" s="597" t="e">
        <f>COUNTIFS(SurveyDATA!#REF!,"LEGAL",SurveyDATA!E:E,"*MANILA*",SurveyDATA!E:E,"*BRGY.51*",SurveyDATA!#REF!,"&lt;7",SurveyDATA!#REF!,"&gt;4")</f>
        <v>#REF!</v>
      </c>
      <c r="F60" s="597" t="e">
        <f>COUNTIFS(SurveyDATA!#REF!,"LEGAL",SurveyDATA!E:E,"*MANILA*",SurveyDATA!E:E,"*BRGY.51*",SurveyDATA!#REF!,"&lt;9",SurveyDATA!#REF!,"&gt;6")</f>
        <v>#REF!</v>
      </c>
      <c r="G60" s="597" t="e">
        <f>COUNTIFS(SurveyDATA!#REF!,"LEGAL",SurveyDATA!E:E,"*MANILA*",SurveyDATA!E:E,"*BRGY.51*",SurveyDATA!#REF!,"&gt;8")</f>
        <v>#REF!</v>
      </c>
      <c r="H60" s="624" t="e">
        <f t="shared" si="3"/>
        <v>#REF!</v>
      </c>
    </row>
    <row r="61" spans="1:10">
      <c r="A61" s="572"/>
      <c r="B61" s="573" t="s">
        <v>5802</v>
      </c>
      <c r="C61" s="597" t="e">
        <f>COUNTIFS(SurveyDATA!#REF!,"LEGAL",SurveyDATA!E:E,"*MANILA*",SurveyDATA!E:E,"*BRGY.53*",SurveyDATA!#REF!,"&lt;3")</f>
        <v>#REF!</v>
      </c>
      <c r="D61" s="597" t="e">
        <f>COUNTIFS(SurveyDATA!#REF!,"LEGAL",SurveyDATA!F:F,"*MANILA*",SurveyDATA!F:F,"*BRGY.53*",SurveyDATA!#REF!,"&lt;5",SurveyDATA!#REF!,"&gt;2")</f>
        <v>#REF!</v>
      </c>
      <c r="E61" s="597" t="e">
        <f>COUNTIFS(SurveyDATA!#REF!,"LEGAL",SurveyDATA!E:E,"*MANILA*",SurveyDATA!E:E,"*BRGY.53*",SurveyDATA!#REF!,"&lt;7",SurveyDATA!#REF!,"&gt;4")</f>
        <v>#REF!</v>
      </c>
      <c r="F61" s="597" t="e">
        <f>COUNTIFS(SurveyDATA!#REF!,"LEGAL",SurveyDATA!E:E,"*MANILA*",SurveyDATA!E:E,"*BRGY.53*",SurveyDATA!#REF!,"&lt;9",SurveyDATA!#REF!,"&gt;6")</f>
        <v>#REF!</v>
      </c>
      <c r="G61" s="597" t="e">
        <f>COUNTIFS(SurveyDATA!#REF!,"LEGAL",SurveyDATA!E:E,"*MANILA*",SurveyDATA!E:E,"*BRGY.53*",SurveyDATA!#REF!,"&gt;8")</f>
        <v>#REF!</v>
      </c>
      <c r="H61" s="624" t="e">
        <f t="shared" si="3"/>
        <v>#REF!</v>
      </c>
    </row>
    <row r="62" spans="1:10">
      <c r="A62" s="572"/>
      <c r="B62" s="573" t="s">
        <v>5407</v>
      </c>
      <c r="C62" s="597" t="e">
        <f>COUNTIFS(SurveyDATA!#REF!,"LEGAL",SurveyDATA!E:E,"*MANILA*",SurveyDATA!E:E,"*BRGY.152*",SurveyDATA!#REF!,"&lt;3")</f>
        <v>#REF!</v>
      </c>
      <c r="D62" s="597" t="e">
        <f>COUNTIFS(SurveyDATA!#REF!,"LEGAL",SurveyDATA!F:F,"*MANILA*",SurveyDATA!F:F,"*BRGY.152*",SurveyDATA!#REF!,"&lt;5",SurveyDATA!#REF!,"&gt;2")</f>
        <v>#REF!</v>
      </c>
      <c r="E62" s="597" t="e">
        <f>COUNTIFS(SurveyDATA!#REF!,"LEGAL",SurveyDATA!E:E,"*MANILA*",SurveyDATA!E:E,"*BRGY.152*",SurveyDATA!#REF!,"&lt;7",SurveyDATA!#REF!,"&gt;4")</f>
        <v>#REF!</v>
      </c>
      <c r="F62" s="597" t="e">
        <f>COUNTIFS(SurveyDATA!#REF!,"LEGAL",SurveyDATA!E:E,"*MANILA*",SurveyDATA!E:E,"*BRGY.55*",SurveyDATA!#REF!,"&lt;9",SurveyDATA!#REF!,"&gt;6")</f>
        <v>#REF!</v>
      </c>
      <c r="G62" s="597" t="e">
        <f>COUNTIFS(SurveyDATA!#REF!,"LEGAL",SurveyDATA!E:E,"*MANILA*",SurveyDATA!E:E,"*BRGY.52*",SurveyDATA!#REF!,"&gt;8")</f>
        <v>#REF!</v>
      </c>
      <c r="H62" s="624" t="e">
        <f t="shared" si="3"/>
        <v>#REF!</v>
      </c>
    </row>
    <row r="63" spans="1:10">
      <c r="A63" s="572"/>
      <c r="B63" s="573" t="s">
        <v>5408</v>
      </c>
      <c r="C63" s="597" t="e">
        <f>COUNTIFS(SurveyDATA!#REF!,"LEGAL",SurveyDATA!E:E,"*MANILA*",SurveyDATA!E:E,"*BRGY.155*",SurveyDATA!#REF!,"&lt;3")</f>
        <v>#REF!</v>
      </c>
      <c r="D63" s="597" t="e">
        <f>COUNTIFS(SurveyDATA!#REF!,"LEGAL",SurveyDATA!F:F,"*MANILA*",SurveyDATA!F:F,"*BRGY.155*",SurveyDATA!#REF!,"&lt;5",SurveyDATA!#REF!,"&gt;2")</f>
        <v>#REF!</v>
      </c>
      <c r="E63" s="597" t="e">
        <f>COUNTIFS(SurveyDATA!#REF!,"LEGAL",SurveyDATA!E:E,"*MANILA*",SurveyDATA!E:E,"*BRGY.155*",SurveyDATA!#REF!,"&lt;7",SurveyDATA!#REF!,"&gt;4")</f>
        <v>#REF!</v>
      </c>
      <c r="F63" s="597" t="e">
        <f>COUNTIFS(SurveyDATA!#REF!,"LEGAL",SurveyDATA!E:E,"*MANILA*",SurveyDATA!E:E,"*BRGY.155*",SurveyDATA!#REF!,"&lt;9",SurveyDATA!#REF!,"&gt;6")</f>
        <v>#REF!</v>
      </c>
      <c r="G63" s="597" t="e">
        <f>COUNTIFS(SurveyDATA!#REF!,"LEGAL",SurveyDATA!E:E,"*MANILA*",SurveyDATA!E:E,"*BRGY.155*",SurveyDATA!#REF!,"&gt;8")</f>
        <v>#REF!</v>
      </c>
      <c r="H63" s="624" t="e">
        <f t="shared" si="3"/>
        <v>#REF!</v>
      </c>
    </row>
    <row r="64" spans="1:10">
      <c r="A64" s="572"/>
      <c r="B64" s="573" t="s">
        <v>5413</v>
      </c>
      <c r="C64" s="597" t="e">
        <f>COUNTIFS(SurveyDATA!#REF!,"LEGAL",SurveyDATA!E:E,"*MANILA*",SurveyDATA!E:E,"*BRGY.156*",SurveyDATA!#REF!,"&lt;3")</f>
        <v>#REF!</v>
      </c>
      <c r="D64" s="597" t="e">
        <f>COUNTIFS(SurveyDATA!#REF!,"LEGAL",SurveyDATA!F:F,"*MANILA*",SurveyDATA!F:F,"*BRGY.156*",SurveyDATA!#REF!,"&lt;5",SurveyDATA!#REF!,"&gt;2")</f>
        <v>#REF!</v>
      </c>
      <c r="E64" s="597" t="e">
        <f>COUNTIFS(SurveyDATA!#REF!,"LEGAL",SurveyDATA!E:E,"*MANILA*",SurveyDATA!E:E,"*BRGY.156*",SurveyDATA!#REF!,"&lt;7",SurveyDATA!#REF!,"&gt;4")</f>
        <v>#REF!</v>
      </c>
      <c r="F64" s="597" t="e">
        <f>COUNTIFS(SurveyDATA!#REF!,"LEGAL",SurveyDATA!E:E,"*MANILA*",SurveyDATA!E:E,"*BRGY.156*",SurveyDATA!#REF!,"&lt;9",SurveyDATA!#REF!,"&gt;6")</f>
        <v>#REF!</v>
      </c>
      <c r="G64" s="597" t="e">
        <f>COUNTIFS(SurveyDATA!#REF!,"LEGAL",SurveyDATA!E:E,"*MANILA*",SurveyDATA!E:E,"*BRGY.156*",SurveyDATA!#REF!,"&gt;8")</f>
        <v>#REF!</v>
      </c>
      <c r="H64" s="624" t="e">
        <f t="shared" si="3"/>
        <v>#REF!</v>
      </c>
    </row>
    <row r="65" spans="1:8">
      <c r="A65" s="572"/>
      <c r="B65" s="573" t="s">
        <v>5409</v>
      </c>
      <c r="C65" s="597" t="e">
        <f>COUNTIFS(SurveyDATA!#REF!,"LEGAL",SurveyDATA!E:E,"*MANILA*",SurveyDATA!E:E,"*BRGY.159*",SurveyDATA!#REF!,"&lt;3")</f>
        <v>#REF!</v>
      </c>
      <c r="D65" s="597" t="e">
        <f>COUNTIFS(SurveyDATA!#REF!,"LEGAL",SurveyDATA!F:F,"*MANILA*",SurveyDATA!F:F,"*BRGY.159*",SurveyDATA!#REF!,"&lt;5",SurveyDATA!#REF!,"&gt;2")</f>
        <v>#REF!</v>
      </c>
      <c r="E65" s="597" t="e">
        <f>COUNTIFS(SurveyDATA!#REF!,"LEGAL",SurveyDATA!E:E,"*MANILA*",SurveyDATA!E:E,"*BRGY.159*",SurveyDATA!#REF!,"&lt;7",SurveyDATA!#REF!,"&gt;4")</f>
        <v>#REF!</v>
      </c>
      <c r="F65" s="597" t="e">
        <f>COUNTIFS(SurveyDATA!#REF!,"LEGAL",SurveyDATA!E:E,"*MANILA*",SurveyDATA!E:E,"*BRGY.159*",SurveyDATA!#REF!,"&lt;9",SurveyDATA!#REF!,"&gt;6")</f>
        <v>#REF!</v>
      </c>
      <c r="G65" s="597" t="e">
        <f>COUNTIFS(SurveyDATA!#REF!,"LEGAL",SurveyDATA!E:E,"*MANILA*",SurveyDATA!E:E,"*BRGY.159*",SurveyDATA!#REF!,"&gt;8")</f>
        <v>#REF!</v>
      </c>
      <c r="H65" s="624" t="e">
        <f t="shared" si="3"/>
        <v>#REF!</v>
      </c>
    </row>
    <row r="66" spans="1:8">
      <c r="A66" s="572"/>
      <c r="B66" s="573" t="s">
        <v>5403</v>
      </c>
      <c r="C66" s="597" t="e">
        <f>COUNTIFS(SurveyDATA!#REF!,"LEGAL",SurveyDATA!E:E,"*MANILA*",SurveyDATA!E:E,"*BRGY.164*",SurveyDATA!#REF!,"&lt;3")</f>
        <v>#REF!</v>
      </c>
      <c r="D66" s="597" t="e">
        <f>COUNTIFS(SurveyDATA!#REF!,"LEGAL",SurveyDATA!F:F,"*MANILA*",SurveyDATA!F:F,"*BRGY.164*",SurveyDATA!#REF!,"&lt;5",SurveyDATA!#REF!,"&gt;2")</f>
        <v>#REF!</v>
      </c>
      <c r="E66" s="597" t="e">
        <f>COUNTIFS(SurveyDATA!#REF!,"LEGAL",SurveyDATA!E:E,"*MANILA*",SurveyDATA!E:E,"*BRGY.164*",SurveyDATA!#REF!,"&lt;7",SurveyDATA!#REF!,"&gt;4")</f>
        <v>#REF!</v>
      </c>
      <c r="F66" s="597" t="e">
        <f>COUNTIFS(SurveyDATA!#REF!,"LEGAL",SurveyDATA!E:E,"*MANILA*",SurveyDATA!E:E,"*BRGY.164*",SurveyDATA!#REF!,"&lt;9",SurveyDATA!#REF!,"&gt;6")</f>
        <v>#REF!</v>
      </c>
      <c r="G66" s="597" t="e">
        <f>COUNTIFS(SurveyDATA!#REF!,"LEGAL",SurveyDATA!E:E,"*MANILA*",SurveyDATA!E:E,"*BRGY.164*",SurveyDATA!#REF!,"&gt;8")</f>
        <v>#REF!</v>
      </c>
      <c r="H66" s="624" t="e">
        <f t="shared" si="3"/>
        <v>#REF!</v>
      </c>
    </row>
    <row r="67" spans="1:8">
      <c r="A67" s="572"/>
      <c r="B67" s="573" t="s">
        <v>5404</v>
      </c>
      <c r="C67" s="597" t="e">
        <f>COUNTIFS(SurveyDATA!#REF!,"LEGAL",SurveyDATA!E:E,"*MANILA*",SurveyDATA!E:E,"*BRGY.165*",SurveyDATA!#REF!,"&lt;3")</f>
        <v>#REF!</v>
      </c>
      <c r="D67" s="597" t="e">
        <f>COUNTIFS(SurveyDATA!#REF!,"LEGAL",SurveyDATA!F:F,"*MANILA*",SurveyDATA!F:F,"*BRGY.165*",SurveyDATA!#REF!,"&lt;5",SurveyDATA!#REF!,"&gt;2")</f>
        <v>#REF!</v>
      </c>
      <c r="E67" s="597" t="e">
        <f>COUNTIFS(SurveyDATA!#REF!,"LEGAL",SurveyDATA!E:E,"*MANILA*",SurveyDATA!E:E,"*BRGY.165*",SurveyDATA!#REF!,"&lt;7",SurveyDATA!#REF!,"&gt;4")</f>
        <v>#REF!</v>
      </c>
      <c r="F67" s="597" t="e">
        <f>COUNTIFS(SurveyDATA!#REF!,"LEGAL",SurveyDATA!E:E,"*MANILA*",SurveyDATA!E:E,"*BRGY.165*",SurveyDATA!#REF!,"&lt;9",SurveyDATA!#REF!,"&gt;6")</f>
        <v>#REF!</v>
      </c>
      <c r="G67" s="597" t="e">
        <f>COUNTIFS(SurveyDATA!#REF!,"LEGAL",SurveyDATA!E:E,"*MANILA*",SurveyDATA!E:E,"*BRGY.165*",SurveyDATA!#REF!,"&gt;8")</f>
        <v>#REF!</v>
      </c>
      <c r="H67" s="624" t="e">
        <f t="shared" si="3"/>
        <v>#REF!</v>
      </c>
    </row>
    <row r="68" spans="1:8">
      <c r="A68" s="572"/>
      <c r="B68" s="573" t="s">
        <v>5405</v>
      </c>
      <c r="C68" s="597" t="e">
        <f>COUNTIFS(SurveyDATA!#REF!,"LEGAL",SurveyDATA!E:E,"*MANILA*",SurveyDATA!E:E,"*BRGY.184*",SurveyDATA!#REF!,"&lt;3")</f>
        <v>#REF!</v>
      </c>
      <c r="D68" s="597" t="e">
        <f>COUNTIFS(SurveyDATA!#REF!,"LEGAL",SurveyDATA!F:F,"*MANILA*",SurveyDATA!F:F,"*BRGY.184*",SurveyDATA!#REF!,"&lt;5",SurveyDATA!#REF!,"&gt;2")</f>
        <v>#REF!</v>
      </c>
      <c r="E68" s="597" t="e">
        <f>COUNTIFS(SurveyDATA!#REF!,"LEGAL",SurveyDATA!E:E,"*MANILA*",SurveyDATA!E:E,"*BRGY.184*",SurveyDATA!#REF!,"&lt;7",SurveyDATA!#REF!,"&gt;4")</f>
        <v>#REF!</v>
      </c>
      <c r="F68" s="597" t="e">
        <f>COUNTIFS(SurveyDATA!#REF!,"LEGAL",SurveyDATA!E:E,"*MANILA*",SurveyDATA!E:E,"*BRGY.184*",SurveyDATA!#REF!,"&lt;9",SurveyDATA!#REF!,"&gt;6")</f>
        <v>#REF!</v>
      </c>
      <c r="G68" s="597" t="e">
        <f>COUNTIFS(SurveyDATA!#REF!,"LEGAL",SurveyDATA!E:E,"*MANILA*",SurveyDATA!E:E,"*BRGY.184*",SurveyDATA!#REF!,"&gt;8")</f>
        <v>#REF!</v>
      </c>
      <c r="H68" s="624" t="e">
        <f t="shared" si="3"/>
        <v>#REF!</v>
      </c>
    </row>
    <row r="69" spans="1:8">
      <c r="A69" s="572"/>
      <c r="B69" s="573" t="s">
        <v>5406</v>
      </c>
      <c r="C69" s="597" t="e">
        <f>COUNTIFS(SurveyDATA!#REF!,"LEGAL",SurveyDATA!E:E,"*MANILA*",SurveyDATA!E:E,"*BRGY.185*",SurveyDATA!#REF!,"&lt;3")</f>
        <v>#REF!</v>
      </c>
      <c r="D69" s="597" t="e">
        <f>COUNTIFS(SurveyDATA!#REF!,"LEGAL",SurveyDATA!F:F,"*MANILA*",SurveyDATA!F:F,"*BRGY.185*",SurveyDATA!#REF!,"&lt;5",SurveyDATA!#REF!,"&gt;2")</f>
        <v>#REF!</v>
      </c>
      <c r="E69" s="597" t="e">
        <f>COUNTIFS(SurveyDATA!#REF!,"LEGAL",SurveyDATA!E:E,"*MANILA*",SurveyDATA!E:E,"*BRGY.185*",SurveyDATA!#REF!,"&lt;7",SurveyDATA!#REF!,"&gt;4")</f>
        <v>#REF!</v>
      </c>
      <c r="F69" s="597" t="e">
        <f>COUNTIFS(SurveyDATA!#REF!,"LEGAL",SurveyDATA!E:E,"*MANILA*",SurveyDATA!E:E,"*BRGY.185*",SurveyDATA!#REF!,"&lt;9",SurveyDATA!#REF!,"&gt;6")</f>
        <v>#REF!</v>
      </c>
      <c r="G69" s="597" t="e">
        <f>COUNTIFS(SurveyDATA!#REF!,"LEGAL",SurveyDATA!E:E,"*MANILA*",SurveyDATA!E:E,"*BRGY.185*",SurveyDATA!#REF!,"&gt;8")</f>
        <v>#REF!</v>
      </c>
      <c r="H69" s="624" t="e">
        <f t="shared" si="3"/>
        <v>#REF!</v>
      </c>
    </row>
    <row r="70" spans="1:8">
      <c r="A70" s="572"/>
      <c r="B70" s="573" t="s">
        <v>5803</v>
      </c>
      <c r="C70" s="597" t="e">
        <f>COUNTIFS(SurveyDATA!#REF!,"LEGAL",SurveyDATA!E:E,"*MANILA*",SurveyDATA!E:E,"*BRGY.186*",SurveyDATA!#REF!,"&lt;3")</f>
        <v>#REF!</v>
      </c>
      <c r="D70" s="597" t="e">
        <f>COUNTIFS(SurveyDATA!#REF!,"LEGAL",SurveyDATA!F:F,"*MANILA*",SurveyDATA!F:F,"*BRGY.186*",SurveyDATA!#REF!,"&lt;5",SurveyDATA!#REF!,"&gt;2")</f>
        <v>#REF!</v>
      </c>
      <c r="E70" s="597" t="e">
        <f>COUNTIFS(SurveyDATA!#REF!,"LEGAL",SurveyDATA!E:E,"*MANILA*",SurveyDATA!E:E,"*BRGY.186*",SurveyDATA!#REF!,"&lt;7",SurveyDATA!#REF!,"&gt;4")</f>
        <v>#REF!</v>
      </c>
      <c r="F70" s="597" t="e">
        <f>COUNTIFS(SurveyDATA!#REF!,"LEGAL",SurveyDATA!E:E,"*MANILA*",SurveyDATA!E:E,"*BRGY.186*",SurveyDATA!#REF!,"&lt;9",SurveyDATA!#REF!,"&gt;6")</f>
        <v>#REF!</v>
      </c>
      <c r="G70" s="597" t="e">
        <f>COUNTIFS(SurveyDATA!#REF!,"LEGAL",SurveyDATA!E:E,"*MANILA*",SurveyDATA!E:E,"*BRGY.186*",SurveyDATA!#REF!,"&gt;8")</f>
        <v>#REF!</v>
      </c>
      <c r="H70" s="624" t="e">
        <f t="shared" si="3"/>
        <v>#REF!</v>
      </c>
    </row>
    <row r="71" spans="1:8">
      <c r="A71" s="572"/>
      <c r="B71" s="573" t="s">
        <v>5410</v>
      </c>
      <c r="C71" s="597" t="e">
        <f>COUNTIFS(SurveyDATA!#REF!,"LEGAL",SurveyDATA!E:E,"*MANILA*",SurveyDATA!E:E,"*BRGY.199*",SurveyDATA!#REF!,"&lt;3")</f>
        <v>#REF!</v>
      </c>
      <c r="D71" s="597" t="e">
        <f>COUNTIFS(SurveyDATA!#REF!,"LEGAL",SurveyDATA!F:F,"*MANILA*",SurveyDATA!F:F,"*BRGY.199*",SurveyDATA!#REF!,"&lt;5",SurveyDATA!#REF!,"&gt;2")</f>
        <v>#REF!</v>
      </c>
      <c r="E71" s="597" t="e">
        <f>COUNTIFS(SurveyDATA!#REF!,"LEGAL",SurveyDATA!E:E,"*MANILA*",SurveyDATA!E:E,"*BRGY.199*",SurveyDATA!#REF!,"&lt;7",SurveyDATA!#REF!,"&gt;4")</f>
        <v>#REF!</v>
      </c>
      <c r="F71" s="597" t="e">
        <f>COUNTIFS(SurveyDATA!#REF!,"LEGAL",SurveyDATA!E:E,"*MANILA*",SurveyDATA!E:E,"*BRGY.199*",SurveyDATA!#REF!,"&lt;9",SurveyDATA!#REF!,"&gt;6")</f>
        <v>#REF!</v>
      </c>
      <c r="G71" s="597" t="e">
        <f>COUNTIFS(SurveyDATA!#REF!,"LEGAL",SurveyDATA!E:E,"*MANILA*",SurveyDATA!E:E,"*BRGY.199*",SurveyDATA!#REF!,"&gt;8")</f>
        <v>#REF!</v>
      </c>
      <c r="H71" s="624" t="e">
        <f t="shared" si="3"/>
        <v>#REF!</v>
      </c>
    </row>
    <row r="72" spans="1:8">
      <c r="A72" s="572"/>
      <c r="B72" s="573" t="s">
        <v>5798</v>
      </c>
      <c r="C72" s="597" t="e">
        <f>COUNTIFS(SurveyDATA!#REF!,"LEGAL",SurveyDATA!E:E,"*MANILA*",SurveyDATA!E:E,"*BRGY.200*",SurveyDATA!#REF!,"&lt;3")</f>
        <v>#REF!</v>
      </c>
      <c r="D72" s="597" t="e">
        <f>COUNTIFS(SurveyDATA!#REF!,"LEGAL",SurveyDATA!F:F,"*MANILA*",SurveyDATA!F:F,"*BRGY.200*",SurveyDATA!#REF!,"&lt;5",SurveyDATA!#REF!,"&gt;2")</f>
        <v>#REF!</v>
      </c>
      <c r="E72" s="597" t="e">
        <f>COUNTIFS(SurveyDATA!#REF!,"LEGAL",SurveyDATA!E:E,"*MANILA*",SurveyDATA!E:E,"*BRGY.200*",SurveyDATA!#REF!,"&lt;7",SurveyDATA!#REF!,"&gt;4")</f>
        <v>#REF!</v>
      </c>
      <c r="F72" s="597" t="e">
        <f>COUNTIFS(SurveyDATA!#REF!,"LEGAL",SurveyDATA!E:E,"*MANILA*",SurveyDATA!E:E,"*BRGY.200*",SurveyDATA!#REF!,"&lt;9",SurveyDATA!#REF!,"&gt;6")</f>
        <v>#REF!</v>
      </c>
      <c r="G72" s="597" t="e">
        <f>COUNTIFS(SurveyDATA!#REF!,"LEGAL",SurveyDATA!E:E,"*MANILA*",SurveyDATA!E:E,"*BRGY.200*",SurveyDATA!#REF!,"&gt;8")</f>
        <v>#REF!</v>
      </c>
      <c r="H72" s="624" t="e">
        <f t="shared" si="3"/>
        <v>#REF!</v>
      </c>
    </row>
    <row r="73" spans="1:8">
      <c r="A73" s="572"/>
      <c r="B73" s="573" t="s">
        <v>5799</v>
      </c>
      <c r="C73" s="597" t="e">
        <f>COUNTIFS(SurveyDATA!#REF!,"LEGAL",SurveyDATA!E:E,"*MANILA*",SurveyDATA!E:E,"*BRGY.204*",SurveyDATA!#REF!,"&lt;3")</f>
        <v>#REF!</v>
      </c>
      <c r="D73" s="597" t="e">
        <f>COUNTIFS(SurveyDATA!#REF!,"LEGAL",SurveyDATA!F:F,"*MANILA*",SurveyDATA!F:F,"*BRGY.204*",SurveyDATA!#REF!,"&lt;5",SurveyDATA!#REF!,"&gt;2")</f>
        <v>#REF!</v>
      </c>
      <c r="E73" s="597" t="e">
        <f>COUNTIFS(SurveyDATA!#REF!,"LEGAL",SurveyDATA!E:E,"*MANILA*",SurveyDATA!E:E,"*BRGY.204*",SurveyDATA!#REF!,"&lt;7",SurveyDATA!#REF!,"&gt;4")</f>
        <v>#REF!</v>
      </c>
      <c r="F73" s="597" t="e">
        <f>COUNTIFS(SurveyDATA!#REF!,"LEGAL",SurveyDATA!E:E,"*MANILA*",SurveyDATA!E:E,"*BRGY.204*",SurveyDATA!#REF!,"&lt;9",SurveyDATA!#REF!,"&gt;6")</f>
        <v>#REF!</v>
      </c>
      <c r="G73" s="597" t="e">
        <f>COUNTIFS(SurveyDATA!#REF!,"LEGAL",SurveyDATA!E:E,"*MANILA*",SurveyDATA!E:E,"*BRGY.204*",SurveyDATA!#REF!,"&gt;8")</f>
        <v>#REF!</v>
      </c>
      <c r="H73" s="624" t="e">
        <f t="shared" si="3"/>
        <v>#REF!</v>
      </c>
    </row>
    <row r="74" spans="1:8">
      <c r="A74" s="572"/>
      <c r="B74" s="625" t="s">
        <v>7216</v>
      </c>
      <c r="C74" s="626" t="e">
        <f>SUM(C59:C73)</f>
        <v>#REF!</v>
      </c>
      <c r="D74" s="626" t="e">
        <f>SUM(D59:D73)</f>
        <v>#REF!</v>
      </c>
      <c r="E74" s="626" t="e">
        <f>SUM(E59:E73)</f>
        <v>#REF!</v>
      </c>
      <c r="F74" s="626" t="e">
        <f>SUM(F59:F73)</f>
        <v>#REF!</v>
      </c>
      <c r="G74" s="626" t="e">
        <f>SUM(G59:G73)</f>
        <v>#REF!</v>
      </c>
      <c r="H74" s="627" t="e">
        <f t="shared" si="3"/>
        <v>#REF!</v>
      </c>
    </row>
    <row r="75" spans="1:8">
      <c r="A75" s="572"/>
      <c r="B75" s="574" t="s">
        <v>5824</v>
      </c>
      <c r="C75" s="575" t="e">
        <f>SUM(C74,C58,C49,C45,C41,C37,C33,C31,C28)</f>
        <v>#REF!</v>
      </c>
      <c r="D75" s="575" t="e">
        <f>SUM(D74,D58,D49,D45,D41,D37,D33,D31,D28)</f>
        <v>#REF!</v>
      </c>
      <c r="E75" s="575" t="e">
        <f>SUM(E74,E58,E49,E45,E41,E37,E33,E31,E28)</f>
        <v>#REF!</v>
      </c>
      <c r="F75" s="575" t="e">
        <f>SUM(F74,F58,F49,F45,F41,F37,F33,F31,F28)</f>
        <v>#REF!</v>
      </c>
      <c r="G75" s="575" t="e">
        <f>SUM(G74,G58,G49,G45,G41,G37,G33,G31,G28)</f>
        <v>#REF!</v>
      </c>
      <c r="H75" s="575" t="e">
        <f>SUM(C75:G75)</f>
        <v>#REF!</v>
      </c>
    </row>
    <row r="76" spans="1:8">
      <c r="A76" s="612"/>
      <c r="B76" s="622" t="s">
        <v>7243</v>
      </c>
      <c r="C76" s="616" t="e">
        <f>C75/H75</f>
        <v>#REF!</v>
      </c>
      <c r="D76" s="617" t="e">
        <f>D75/H75</f>
        <v>#REF!</v>
      </c>
      <c r="E76" s="617" t="e">
        <f>E75/H75</f>
        <v>#REF!</v>
      </c>
      <c r="F76" s="617" t="e">
        <f>F75/H75</f>
        <v>#REF!</v>
      </c>
      <c r="G76" s="617" t="e">
        <f>G75/H75</f>
        <v>#REF!</v>
      </c>
      <c r="H76" s="623" t="e">
        <f>SUM(C76:G76)</f>
        <v>#REF!</v>
      </c>
    </row>
    <row r="77" spans="1:8">
      <c r="A77" s="608"/>
      <c r="B77" s="608"/>
      <c r="C77" s="607"/>
    </row>
    <row r="78" spans="1:8">
      <c r="A78" s="608"/>
      <c r="B78" s="608"/>
      <c r="C78" s="607"/>
    </row>
    <row r="79" spans="1:8">
      <c r="A79" s="594" t="s">
        <v>7261</v>
      </c>
    </row>
    <row r="80" spans="1:8" ht="15.75" thickBot="1"/>
    <row r="81" spans="1:7" ht="15.75" thickBot="1">
      <c r="A81" s="584" t="s">
        <v>7214</v>
      </c>
      <c r="B81" s="620" t="s">
        <v>7262</v>
      </c>
      <c r="C81" s="620" t="s">
        <v>5500</v>
      </c>
      <c r="D81" s="620" t="s">
        <v>5501</v>
      </c>
      <c r="E81" s="620" t="s">
        <v>7263</v>
      </c>
      <c r="F81" s="620" t="s">
        <v>5502</v>
      </c>
      <c r="G81" s="620" t="s">
        <v>2034</v>
      </c>
    </row>
    <row r="82" spans="1:7" ht="15.75" thickBot="1">
      <c r="A82" s="586" t="s">
        <v>5848</v>
      </c>
      <c r="B82" s="587" t="e">
        <f>SUM(SUMIFS(SurveyDATA!#REF!,SurveyDATA!#REF!,"LEGAL",SurveyDATA!E:E,"*MALOLOS*"),SUMIFS(SurveyDATA!#REF!,SurveyDATA!#REF!,"LEGAL",SurveyDATA!E:E,"*MALOLOS*"))</f>
        <v>#REF!</v>
      </c>
      <c r="C82" s="587" t="e">
        <f>SUM(SUMIFS(SurveyDATA!#REF!,SurveyDATA!#REF!,"LEGAL",SurveyDATA!E:E,"*MALOLOS*"),SUMIFS(SurveyDATA!#REF!,SurveyDATA!#REF!,"LEGAL",SurveyDATA!E:E,"*MALOLOS*"))</f>
        <v>#REF!</v>
      </c>
      <c r="D82" s="587" t="e">
        <f>SUM(SUMIFS(SurveyDATA!#REF!,SurveyDATA!#REF!,"LEGAL",SurveyDATA!E:E,"*MALOLOS*"),SUMIFS(SurveyDATA!#REF!,SurveyDATA!#REF!,"LEGAL",SurveyDATA!E:E,"*MALOLOS*"))</f>
        <v>#REF!</v>
      </c>
      <c r="E82" s="587" t="e">
        <f>SUM(SUMIFS(SurveyDATA!#REF!,SurveyDATA!#REF!,"LEGAL",SurveyDATA!E:E,"*MALOLOS*"),SUMIFS(SurveyDATA!#REF!,SurveyDATA!#REF!,"LEGAL",SurveyDATA!E:E,"*MALOLOS*"))</f>
        <v>#REF!</v>
      </c>
      <c r="F82" s="587" t="e">
        <f>SUM(SUMIFS(SurveyDATA!#REF!,SurveyDATA!#REF!,"LEGAL",SurveyDATA!E:E,"*MALOLOS*"),SUMIFS(SurveyDATA!#REF!,SurveyDATA!#REF!,"LEGAL",SurveyDATA!E:E,"*MALOLOS*"))</f>
        <v>#REF!</v>
      </c>
      <c r="G82" s="587" t="e">
        <f t="shared" ref="G82:G92" si="5">SUM(B82:F82)</f>
        <v>#REF!</v>
      </c>
    </row>
    <row r="83" spans="1:7" ht="15.75" thickBot="1">
      <c r="A83" s="586" t="s">
        <v>5494</v>
      </c>
      <c r="B83" s="587" t="e">
        <f>SUM(SUMIFS(SurveyDATA!#REF!,SurveyDATA!#REF!,"LEGAL",SurveyDATA!E:E,"*GUINGUITO*"),SUMIFS(SurveyDATA!#REF!,SurveyDATA!#REF!,"LEGAL",SurveyDATA!E:E,"*GUIGUINTO*"))</f>
        <v>#REF!</v>
      </c>
      <c r="C83" s="587" t="e">
        <f>SUM(SUMIFS(SurveyDATA!#REF!,SurveyDATA!#REF!,"LEGAL",SurveyDATA!E:E,"*GUIGUINTO*"),SUMIFS(SurveyDATA!#REF!,SurveyDATA!#REF!,"LEGAL",SurveyDATA!E:E,"*GUIGUINTO*"))</f>
        <v>#REF!</v>
      </c>
      <c r="D83" s="587" t="e">
        <f>SUM(SUMIFS(SurveyDATA!#REF!,SurveyDATA!#REF!,"LEGAL",SurveyDATA!E:E,"*GUIGUINTO*"),SUMIFS(SurveyDATA!#REF!,SurveyDATA!#REF!,"LEGAL",SurveyDATA!E:E,"*GUIGUINTO*"))</f>
        <v>#REF!</v>
      </c>
      <c r="E83" s="587" t="e">
        <f>SUM(SUMIFS(SurveyDATA!#REF!,SurveyDATA!#REF!,"LEGAL",SurveyDATA!E:E,"*GUIGUINTO*"),SUMIFS(SurveyDATA!#REF!,SurveyDATA!#REF!,"LEGAL",SurveyDATA!E:E,"*GUIGUINTO*"))</f>
        <v>#REF!</v>
      </c>
      <c r="F83" s="587" t="e">
        <f>SUM(SUMIFS(SurveyDATA!#REF!,SurveyDATA!#REF!,"LEGAL",SurveyDATA!E:E,"*GUIGUINTO*"),SUMIFS(SurveyDATA!#REF!,SurveyDATA!#REF!,"LEGAL",SurveyDATA!E:E,"*GUIGUINTO*"))</f>
        <v>#REF!</v>
      </c>
      <c r="G83" s="587" t="e">
        <f t="shared" si="5"/>
        <v>#REF!</v>
      </c>
    </row>
    <row r="84" spans="1:7" ht="15.75" thickBot="1">
      <c r="A84" s="586" t="s">
        <v>5847</v>
      </c>
      <c r="B84" s="587" t="e">
        <f>SUM(SUMIFS(SurveyDATA!#REF!,SurveyDATA!#REF!,"LEGAL",SurveyDATA!E:E,"*BALAGTAS*"),SUMIFS(SurveyDATA!#REF!,SurveyDATA!#REF!,"LEGAL",SurveyDATA!E:E,"*BALAGTAS*"))</f>
        <v>#REF!</v>
      </c>
      <c r="C84" s="587" t="e">
        <f>SUM(SUMIFS(SurveyDATA!#REF!,SurveyDATA!#REF!,"LEGAL",SurveyDATA!E:E,"*BALAGTAS*"),SUMIFS(SurveyDATA!#REF!,SurveyDATA!#REF!,"LEGAL",SurveyDATA!E:E,"*BALAGTAS*"))</f>
        <v>#REF!</v>
      </c>
      <c r="D84" s="587" t="e">
        <f>SUM(SUMIFS(SurveyDATA!#REF!,SurveyDATA!#REF!,"LEGAL",SurveyDATA!E:E,"*BALAGTAS*"),SUMIFS(SurveyDATA!#REF!,SurveyDATA!#REF!,"LEGAL",SurveyDATA!E:E,"*BALAGTAS*"))</f>
        <v>#REF!</v>
      </c>
      <c r="E84" s="587" t="e">
        <f>SUM(SUMIFS(SurveyDATA!#REF!,SurveyDATA!#REF!,"LEGAL",SurveyDATA!E:E,"*BALAGTAS*"),SUMIFS(SurveyDATA!#REF!,SurveyDATA!#REF!,"LEGAL",SurveyDATA!E:E,"*BALAGTAS*"))</f>
        <v>#REF!</v>
      </c>
      <c r="F84" s="587" t="e">
        <f>SUM(SUMIFS(SurveyDATA!#REF!,SurveyDATA!#REF!,"LEGAL",SurveyDATA!E:E,"*BALAGTAS*"),SUMIFS(SurveyDATA!#REF!,SurveyDATA!#REF!,"LEGAL",SurveyDATA!E:E,"*BALAGTAS*"))</f>
        <v>#REF!</v>
      </c>
      <c r="G84" s="587" t="e">
        <f t="shared" si="5"/>
        <v>#REF!</v>
      </c>
    </row>
    <row r="85" spans="1:7" ht="15.75" thickBot="1">
      <c r="A85" s="586" t="s">
        <v>771</v>
      </c>
      <c r="B85" s="587" t="e">
        <f>SUM(SUMIFS(SurveyDATA!#REF!,SurveyDATA!#REF!,"LEGAL",SurveyDATA!E:E,"*BOCAUE*"),SUMIFS(SurveyDATA!#REF!,SurveyDATA!#REF!,"LEGAL",SurveyDATA!E:E,"*BOCAUE*"))</f>
        <v>#REF!</v>
      </c>
      <c r="C85" s="587" t="e">
        <f>SUM(SUMIFS(SurveyDATA!#REF!,SurveyDATA!#REF!,"LEGAL",SurveyDATA!E:E,"*BOCAUE*"),SUMIFS(SurveyDATA!#REF!,SurveyDATA!#REF!,"LEGAL",SurveyDATA!E:E,"*BOCAUE*"))</f>
        <v>#REF!</v>
      </c>
      <c r="D85" s="587" t="e">
        <f>SUM(SUMIFS(SurveyDATA!#REF!,SurveyDATA!#REF!,"LEGAL",SurveyDATA!E:E,"*BOCAUE*"),SUMIFS(SurveyDATA!#REF!,SurveyDATA!#REF!,"LEGAL",SurveyDATA!E:E,"*BOCAUE*"))</f>
        <v>#REF!</v>
      </c>
      <c r="E85" s="587" t="e">
        <f>SUM(SUMIFS(SurveyDATA!#REF!,SurveyDATA!#REF!,"LEGAL",SurveyDATA!E:E,"*BOCAUE*"),SUMIFS(SurveyDATA!#REF!,SurveyDATA!#REF!,"LEGAL",SurveyDATA!E:E,"*BOCAUE*"))</f>
        <v>#REF!</v>
      </c>
      <c r="F85" s="587" t="e">
        <f>SUM(SUMIFS(SurveyDATA!#REF!,SurveyDATA!#REF!,"LEGAL",SurveyDATA!E:E,"*BOCAUE*"),SUMIFS(SurveyDATA!#REF!,SurveyDATA!#REF!,"LEGAL",SurveyDATA!E:E,"*BOCAUE*"))</f>
        <v>#REF!</v>
      </c>
      <c r="G85" s="587" t="e">
        <f t="shared" si="5"/>
        <v>#REF!</v>
      </c>
    </row>
    <row r="86" spans="1:7" ht="15.75" thickBot="1">
      <c r="A86" s="586" t="s">
        <v>5495</v>
      </c>
      <c r="B86" s="587" t="e">
        <f>SUM(SUMIFS(SurveyDATA!#REF!,SurveyDATA!#REF!,"LEGAL",SurveyDATA!E:E,"*MARILAO*"),SUMIFS(SurveyDATA!#REF!,SurveyDATA!#REF!,"LEGAL",SurveyDATA!E:E,"*MARILAO*"))</f>
        <v>#REF!</v>
      </c>
      <c r="C86" s="587" t="e">
        <f>SUM(SUMIFS(SurveyDATA!#REF!,SurveyDATA!#REF!,"LEGAL",SurveyDATA!E:E,"*MARILAO*"),SUMIFS(SurveyDATA!#REF!,SurveyDATA!#REF!,"LEGAL",SurveyDATA!E:E,"*MARILAO*"))</f>
        <v>#REF!</v>
      </c>
      <c r="D86" s="587" t="e">
        <f>SUM(SUMIFS(SurveyDATA!#REF!,SurveyDATA!#REF!,"LEGAL",SurveyDATA!E:E,"*MARILAO*"),SUMIFS(SurveyDATA!#REF!,SurveyDATA!#REF!,"LEGAL",SurveyDATA!E:E,"*MARILAO*"))</f>
        <v>#REF!</v>
      </c>
      <c r="E86" s="587" t="e">
        <f>SUM(SUMIFS(SurveyDATA!#REF!,SurveyDATA!#REF!,"LEGAL",SurveyDATA!E:E,"*MARILAO*"),SUMIFS(SurveyDATA!#REF!,SurveyDATA!#REF!,"LEGAL",SurveyDATA!E:E,"*MARILAO*"))</f>
        <v>#REF!</v>
      </c>
      <c r="F86" s="587" t="e">
        <f>SUM(SUMIFS(SurveyDATA!#REF!,SurveyDATA!#REF!,"LEGAL",SurveyDATA!E:E,"*MARILAO*"),SUMIFS(SurveyDATA!#REF!,SurveyDATA!#REF!,"LEGAL",SurveyDATA!E:E,"*MARILAO*"))</f>
        <v>#REF!</v>
      </c>
      <c r="G86" s="587" t="e">
        <f t="shared" si="5"/>
        <v>#REF!</v>
      </c>
    </row>
    <row r="87" spans="1:7" ht="15.75" thickBot="1">
      <c r="A87" s="586" t="s">
        <v>5496</v>
      </c>
      <c r="B87" s="587" t="e">
        <f>SUM(SUMIFS(SurveyDATA!#REF!,SurveyDATA!#REF!,"LEGAL",SurveyDATA!E:E,"*MEYCAUAYAN*"),SUMIFS(SurveyDATA!#REF!,SurveyDATA!#REF!,"LEGAL",SurveyDATA!E:E,"*MEYCAUAYAN*"))</f>
        <v>#REF!</v>
      </c>
      <c r="C87" s="587" t="e">
        <f>SUM(SUMIFS(SurveyDATA!#REF!,SurveyDATA!#REF!,"LEGAL",SurveyDATA!E:E,"*MEYCAUAYAN*"),SUMIFS(SurveyDATA!#REF!,SurveyDATA!#REF!,"LEGAL",SurveyDATA!E:E,"*MEYCAUAYAN*"))</f>
        <v>#REF!</v>
      </c>
      <c r="D87" s="587" t="e">
        <f>SUM(SUMIFS(SurveyDATA!#REF!,SurveyDATA!#REF!,"LEGAL",SurveyDATA!E:E,"*MEYCAUAYAN*"),SUMIFS(SurveyDATA!#REF!,SurveyDATA!#REF!,"LEGAL",SurveyDATA!E:E,"*MEYCAUAYAN*"))</f>
        <v>#REF!</v>
      </c>
      <c r="E87" s="587" t="e">
        <f>SUM(SUMIFS(SurveyDATA!#REF!,SurveyDATA!#REF!,"LEGAL",SurveyDATA!E:E,"*MEYCAUAYAN*"),SUMIFS(SurveyDATA!#REF!,SurveyDATA!#REF!,"LEGAL",SurveyDATA!E:E,"*MEYCAUAYAN*"))</f>
        <v>#REF!</v>
      </c>
      <c r="F87" s="587" t="e">
        <f>SUM(SUMIFS(SurveyDATA!#REF!,SurveyDATA!#REF!,"LEGAL",SurveyDATA!E:E,"*MEYCAUAYAN*"),SUMIFS(SurveyDATA!#REF!,SurveyDATA!#REF!,"LEGAL",SurveyDATA!E:E,"*MEYCAUAYAN*"))</f>
        <v>#REF!</v>
      </c>
      <c r="G87" s="587" t="e">
        <f t="shared" si="5"/>
        <v>#REF!</v>
      </c>
    </row>
    <row r="88" spans="1:7" ht="15.75" thickBot="1">
      <c r="A88" s="586" t="s">
        <v>778</v>
      </c>
      <c r="B88" s="587" t="e">
        <f>SUM(SUMIFS(SurveyDATA!#REF!,SurveyDATA!#REF!,"LEGAL",SurveyDATA!E:E,"*VALENZUELA*"),SUMIFS(SurveyDATA!#REF!,SurveyDATA!#REF!,"LEGAL",SurveyDATA!E:E,"*VALENZUELA*"))</f>
        <v>#REF!</v>
      </c>
      <c r="C88" s="587" t="e">
        <f>SUM(SUMIFS(SurveyDATA!#REF!,SurveyDATA!#REF!,"LEGAL",SurveyDATA!E:E,"*VALENZUELA*"),SUMIFS(SurveyDATA!#REF!,SurveyDATA!#REF!,"LEGAL",SurveyDATA!E:E,"*VALENZUELA*"))</f>
        <v>#REF!</v>
      </c>
      <c r="D88" s="587" t="e">
        <f>SUM(SUMIFS(SurveyDATA!#REF!,SurveyDATA!#REF!,"LEGAL",SurveyDATA!E:E,"*VALENZUELA*"),SUMIFS(SurveyDATA!#REF!,SurveyDATA!#REF!,"LEGAL",SurveyDATA!E:E,"*VALENZUELA*"))</f>
        <v>#REF!</v>
      </c>
      <c r="E88" s="587" t="e">
        <f>SUM(SUMIFS(SurveyDATA!#REF!,SurveyDATA!#REF!,"LEGAL",SurveyDATA!E:E,"*VALENZUELA*"),SUMIFS(SurveyDATA!#REF!,SurveyDATA!#REF!,"LEGAL",SurveyDATA!E:E,"*VALENZUELA*"))</f>
        <v>#REF!</v>
      </c>
      <c r="F88" s="587" t="e">
        <f>SUM(SUMIFS(SurveyDATA!#REF!,SurveyDATA!#REF!,"LEGAL",SurveyDATA!E:E,"*VALENZUELA*"),SUMIFS(SurveyDATA!#REF!,SurveyDATA!#REF!,"LEGAL",SurveyDATA!E:E,"*VALENZUELA*"))</f>
        <v>#REF!</v>
      </c>
      <c r="G88" s="587" t="e">
        <f t="shared" si="5"/>
        <v>#REF!</v>
      </c>
    </row>
    <row r="89" spans="1:7" ht="15.75" thickBot="1">
      <c r="A89" s="586" t="s">
        <v>5493</v>
      </c>
      <c r="B89" s="587" t="e">
        <f>SUM(SUMIFS(SurveyDATA!#REF!,SurveyDATA!#REF!,"LEGAL",SurveyDATA!E:E,"*CALOOCAN*"),SUMIFS(SurveyDATA!#REF!,SurveyDATA!#REF!,"LEGAL",SurveyDATA!E:E,"*CALOOCAN*"))</f>
        <v>#REF!</v>
      </c>
      <c r="C89" s="587" t="e">
        <f>SUM(SUMIFS(SurveyDATA!#REF!,SurveyDATA!#REF!,"LEGAL",SurveyDATA!E:E,"*CALOOCAN*"),SUMIFS(SurveyDATA!#REF!,SurveyDATA!#REF!,"LEGAL",SurveyDATA!E:E,"*CALOOCAN*"))</f>
        <v>#REF!</v>
      </c>
      <c r="D89" s="587" t="e">
        <f>SUM(SUMIFS(SurveyDATA!#REF!,SurveyDATA!#REF!,"LEGAL",SurveyDATA!E:E,"*CALOOCAN*"),SUMIFS(SurveyDATA!#REF!,SurveyDATA!#REF!,"LEGAL",SurveyDATA!E:E,"*CALOOCAN*"))</f>
        <v>#REF!</v>
      </c>
      <c r="E89" s="587" t="e">
        <f>SUM(SUMIFS(SurveyDATA!#REF!,SurveyDATA!#REF!,"LEGAL",SurveyDATA!E:E,"*CALOOCAN*"),SUMIFS(SurveyDATA!#REF!,SurveyDATA!#REF!,"LEGAL",SurveyDATA!E:E,"*CALOOCAN*"))</f>
        <v>#REF!</v>
      </c>
      <c r="F89" s="587" t="e">
        <f>SUM(SUMIFS(SurveyDATA!#REF!,SurveyDATA!#REF!,"LEGAL",SurveyDATA!E:E,"*CALOOCAN*"),SUMIFS(SurveyDATA!#REF!,SurveyDATA!#REF!,"LEGAL",SurveyDATA!E:E,"*CALOOCAN*"))</f>
        <v>#REF!</v>
      </c>
      <c r="G89" s="587" t="e">
        <f t="shared" si="5"/>
        <v>#REF!</v>
      </c>
    </row>
    <row r="90" spans="1:7" ht="15.75" thickBot="1">
      <c r="A90" s="586" t="s">
        <v>1020</v>
      </c>
      <c r="B90" s="587" t="e">
        <f>SUM(SUMIFS(SurveyDATA!#REF!,SurveyDATA!#REF!,"LEGAL",SurveyDATA!E:E,"*MANILA*"),SUMIFS(SurveyDATA!#REF!,SurveyDATA!#REF!,"LEGAL",SurveyDATA!E:E,"*MANILA*"))</f>
        <v>#REF!</v>
      </c>
      <c r="C90" s="587" t="e">
        <f>SUM(SUMIFS(SurveyDATA!#REF!,SurveyDATA!#REF!,"LEGAL",SurveyDATA!E:E,"*MANILA*"),SUMIFS(SurveyDATA!#REF!,SurveyDATA!#REF!,"LEGAL",SurveyDATA!E:E,"*MANILA*"))</f>
        <v>#REF!</v>
      </c>
      <c r="D90" s="587" t="e">
        <f>SUM(SUMIFS(SurveyDATA!#REF!,SurveyDATA!#REF!,"LEGAL",SurveyDATA!E:E,"*MANILA*"),SUMIFS(SurveyDATA!#REF!,SurveyDATA!#REF!,"LEGAL",SurveyDATA!E:E,"*MANILA*"))</f>
        <v>#REF!</v>
      </c>
      <c r="E90" s="587" t="e">
        <f>SUM(SUMIFS(SurveyDATA!#REF!,SurveyDATA!#REF!,"LEGAL",SurveyDATA!E:E,"*MANILA*"),SUMIFS(SurveyDATA!#REF!,SurveyDATA!#REF!,"LEGAL",SurveyDATA!E:E,"*MANILA*"))</f>
        <v>#REF!</v>
      </c>
      <c r="F90" s="587" t="e">
        <f>SUM(SUMIFS(SurveyDATA!#REF!,SurveyDATA!#REF!,"LEGAL",SurveyDATA!E:E,"*MANILA*"),SUMIFS(SurveyDATA!#REF!,SurveyDATA!#REF!,"LEGAL",SurveyDATA!E:E,"*MANILA*"))</f>
        <v>#REF!</v>
      </c>
      <c r="G90" s="587" t="e">
        <f t="shared" si="5"/>
        <v>#REF!</v>
      </c>
    </row>
    <row r="91" spans="1:7" ht="15.75" thickBot="1">
      <c r="A91" s="588" t="s">
        <v>2034</v>
      </c>
      <c r="B91" s="619" t="e">
        <f>SUM(B82:B90)</f>
        <v>#REF!</v>
      </c>
      <c r="C91" s="619" t="e">
        <f>SUM(C82:C90)</f>
        <v>#REF!</v>
      </c>
      <c r="D91" s="619" t="e">
        <f>SUM(D82:D90)</f>
        <v>#REF!</v>
      </c>
      <c r="E91" s="619" t="e">
        <f>SUM(E82:E90)</f>
        <v>#REF!</v>
      </c>
      <c r="F91" s="619" t="e">
        <f>SUM(F82:F90)</f>
        <v>#REF!</v>
      </c>
      <c r="G91" s="619" t="e">
        <f t="shared" si="5"/>
        <v>#REF!</v>
      </c>
    </row>
    <row r="92" spans="1:7" ht="15.75" thickBot="1">
      <c r="A92" s="590" t="s">
        <v>7243</v>
      </c>
      <c r="B92" s="591" t="e">
        <f>G91/B91</f>
        <v>#REF!</v>
      </c>
      <c r="C92" s="591" t="e">
        <f>B91/G91</f>
        <v>#REF!</v>
      </c>
      <c r="D92" s="591" t="e">
        <f>D91/G91</f>
        <v>#REF!</v>
      </c>
      <c r="E92" s="591" t="e">
        <f>E91/G91</f>
        <v>#REF!</v>
      </c>
      <c r="F92" s="591" t="e">
        <f>F91/G91</f>
        <v>#REF!</v>
      </c>
      <c r="G92" s="591" t="e">
        <f t="shared" si="5"/>
        <v>#REF!</v>
      </c>
    </row>
    <row r="95" spans="1:7">
      <c r="A95" s="635" t="s">
        <v>7264</v>
      </c>
    </row>
    <row r="97" spans="1:6">
      <c r="A97" s="630"/>
      <c r="B97" s="632"/>
      <c r="C97" s="632" t="s">
        <v>7266</v>
      </c>
      <c r="D97" s="632" t="s">
        <v>7267</v>
      </c>
      <c r="E97" s="632" t="s">
        <v>7268</v>
      </c>
      <c r="F97" s="632"/>
    </row>
    <row r="98" spans="1:6">
      <c r="A98" s="631" t="s">
        <v>7214</v>
      </c>
      <c r="B98" s="634" t="s">
        <v>7265</v>
      </c>
      <c r="C98" s="633" t="s">
        <v>7269</v>
      </c>
      <c r="D98" s="633" t="s">
        <v>7269</v>
      </c>
      <c r="E98" s="633" t="s">
        <v>7269</v>
      </c>
      <c r="F98" s="633" t="s">
        <v>2034</v>
      </c>
    </row>
    <row r="99" spans="1:6" ht="15.75" thickBot="1">
      <c r="A99" s="586" t="s">
        <v>5848</v>
      </c>
      <c r="B99" s="587" t="e">
        <f>SUM(SUMIFS(SurveyDATA!#REF!,SurveyDATA!#REF!,"LEGAL",SurveyDATA!E:E,"*MALOLOS*"),SUMIFS(SurveyDATA!#REF!,SurveyDATA!#REF!,"LEGAL",SurveyDATA!E:E,"*MALOLOS*"))</f>
        <v>#REF!</v>
      </c>
      <c r="C99" s="587" t="e">
        <f>SUM(SUMIFS(SurveyDATA!#REF!,SurveyDATA!#REF!,"LEGAL",SurveyDATA!E:E,"*MALOLOS*"),SUMIFS(SurveyDATA!#REF!,SurveyDATA!#REF!,"LEGAL",SurveyDATA!E:E,"*MALOLOS*"))</f>
        <v>#REF!</v>
      </c>
      <c r="D99" s="587" t="e">
        <f>SUM(SUMIFS(SurveyDATA!#REF!,SurveyDATA!#REF!,"LEGAL",SurveyDATA!E:E,"*MALOLOS*"),SUMIFS(SurveyDATA!#REF!,SurveyDATA!#REF!,"LEGAL",SurveyDATA!E:E,"*MALOLOS*"))</f>
        <v>#REF!</v>
      </c>
      <c r="E99" s="587" t="e">
        <f>SUM(SUMIFS(SurveyDATA!#REF!,SurveyDATA!#REF!,"LEGAL",SurveyDATA!E:E,"*MALOLOS*"),SUMIFS(SurveyDATA!#REF!,SurveyDATA!#REF!,"LEGAL",SurveyDATA!E:E,"*MALOLOS*"))</f>
        <v>#REF!</v>
      </c>
      <c r="F99" s="587" t="e">
        <f>SUM(B99:E99)</f>
        <v>#REF!</v>
      </c>
    </row>
    <row r="100" spans="1:6" ht="15.75" thickBot="1">
      <c r="A100" s="586" t="s">
        <v>5494</v>
      </c>
      <c r="B100" s="587" t="e">
        <f>SUM(SUMIFS(SurveyDATA!#REF!,SurveyDATA!#REF!,"LEGAL",SurveyDATA!E:E,"*GUIGUINTO*"),SUMIFS(SurveyDATA!#REF!,SurveyDATA!#REF!,"LEGAL",SurveyDATA!E:E,"*GUIGUINTO*"))</f>
        <v>#REF!</v>
      </c>
      <c r="C100" s="587" t="e">
        <f>SUM(SUMIFS(SurveyDATA!#REF!,SurveyDATA!#REF!,"LEGAL",SurveyDATA!E:E,"*GUIGUINTO*"),SUMIFS(SurveyDATA!#REF!,SurveyDATA!#REF!,"LEGAL",SurveyDATA!E:E,"*GUIGUINTO*"))</f>
        <v>#REF!</v>
      </c>
      <c r="D100" s="587" t="e">
        <f>SUM(SUMIFS(SurveyDATA!#REF!,SurveyDATA!#REF!,"LEGAL",SurveyDATA!E:E,"*GUIGUINTO*"),SUMIFS(SurveyDATA!#REF!,SurveyDATA!#REF!,"LEGAL",SurveyDATA!E:E,"*GUIGUINTO*"))</f>
        <v>#REF!</v>
      </c>
      <c r="E100" s="587" t="e">
        <f>SUM(SUMIFS(SurveyDATA!#REF!,SurveyDATA!#REF!,"LEGAL",SurveyDATA!E:E,"*GUIGUINTO*"),SUMIFS(SurveyDATA!#REF!,SurveyDATA!#REF!,"LEGAL",SurveyDATA!E:E,"*GUIGUINTO*"))</f>
        <v>#REF!</v>
      </c>
      <c r="F100" s="587" t="e">
        <f t="shared" ref="F100:F109" si="6">SUM(B100:E100)</f>
        <v>#REF!</v>
      </c>
    </row>
    <row r="101" spans="1:6" ht="15.75" thickBot="1">
      <c r="A101" s="586" t="s">
        <v>5847</v>
      </c>
      <c r="B101" s="587" t="e">
        <f>SUM(SUMIFS(SurveyDATA!#REF!,SurveyDATA!#REF!,"LEGAL",SurveyDATA!E:E,"*BALAGTAS*"),SUMIFS(SurveyDATA!#REF!,SurveyDATA!#REF!,"LEGAL",SurveyDATA!E:E,"*BALAGTAS*"))</f>
        <v>#REF!</v>
      </c>
      <c r="C101" s="587" t="e">
        <f>SUM(SUMIFS(SurveyDATA!#REF!,SurveyDATA!#REF!,"LEGAL",SurveyDATA!E:E,"*BALAGTAS*"),SUMIFS(SurveyDATA!#REF!,SurveyDATA!#REF!,"LEGAL",SurveyDATA!E:E,"*BALAGTAS*"))</f>
        <v>#REF!</v>
      </c>
      <c r="D101" s="587" t="e">
        <f>SUM(SUMIFS(SurveyDATA!#REF!,SurveyDATA!#REF!,"LEGAL",SurveyDATA!E:E,"*BALAGTAS*"),SUMIFS(SurveyDATA!#REF!,SurveyDATA!#REF!,"LEGAL",SurveyDATA!E:E,"*BALAGTAS*"))</f>
        <v>#REF!</v>
      </c>
      <c r="E101" s="587" t="e">
        <f>SUM(SUMIFS(SurveyDATA!#REF!,SurveyDATA!#REF!,"LEGAL",SurveyDATA!E:E,"*BALAGTAS*"),SUMIFS(SurveyDATA!#REF!,SurveyDATA!#REF!,"LEGAL",SurveyDATA!E:E,"*BALAGTAS*"))</f>
        <v>#REF!</v>
      </c>
      <c r="F101" s="587" t="e">
        <f t="shared" si="6"/>
        <v>#REF!</v>
      </c>
    </row>
    <row r="102" spans="1:6" ht="15.75" thickBot="1">
      <c r="A102" s="586" t="s">
        <v>771</v>
      </c>
      <c r="B102" s="587" t="e">
        <f>SUM(SUMIFS(SurveyDATA!#REF!,SurveyDATA!#REF!,"LEGAL",SurveyDATA!E:E,"*BOCAUE*"),SUMIFS(SurveyDATA!#REF!,SurveyDATA!#REF!,"LEGAL",SurveyDATA!E:E,"*BOCAUE*"))</f>
        <v>#REF!</v>
      </c>
      <c r="C102" s="587" t="e">
        <f>SUM(SUMIFS(SurveyDATA!#REF!,SurveyDATA!#REF!,"LEGAL",SurveyDATA!E:E,"*BOCAUE*"),SUMIFS(SurveyDATA!#REF!,SurveyDATA!#REF!,"LEGAL",SurveyDATA!E:E,"*BOCAUE*"))</f>
        <v>#REF!</v>
      </c>
      <c r="D102" s="587" t="e">
        <f>SUM(SUMIFS(SurveyDATA!#REF!,SurveyDATA!#REF!,"LEGAL",SurveyDATA!E:E,"*BOCAUE*"),SUMIFS(SurveyDATA!#REF!,SurveyDATA!#REF!,"LEGAL",SurveyDATA!E:E,"*BOCAUE*"))</f>
        <v>#REF!</v>
      </c>
      <c r="E102" s="587" t="e">
        <f>SUM(SUMIFS(SurveyDATA!#REF!,SurveyDATA!#REF!,"LEGAL",SurveyDATA!E:E,"*BOCAUE*"),SUMIFS(SurveyDATA!#REF!,SurveyDATA!#REF!,"LEGAL",SurveyDATA!E:E,"*BOCAUE*"))</f>
        <v>#REF!</v>
      </c>
      <c r="F102" s="587" t="e">
        <f t="shared" si="6"/>
        <v>#REF!</v>
      </c>
    </row>
    <row r="103" spans="1:6" ht="15.75" thickBot="1">
      <c r="A103" s="586" t="s">
        <v>5495</v>
      </c>
      <c r="B103" s="587" t="e">
        <f>SUM(SUMIFS(SurveyDATA!#REF!,SurveyDATA!#REF!,"LEGAL",SurveyDATA!E:E,"*MARILAO*"),SUMIFS(SurveyDATA!#REF!,SurveyDATA!#REF!,"LEGAL",SurveyDATA!E:E,"*MARILAO*"))</f>
        <v>#REF!</v>
      </c>
      <c r="C103" s="587" t="e">
        <f>SUM(SUMIFS(SurveyDATA!#REF!,SurveyDATA!#REF!,"LEGAL",SurveyDATA!E:E,"*MARILAO*"),SUMIFS(SurveyDATA!#REF!,SurveyDATA!#REF!,"LEGAL",SurveyDATA!E:E,"*MARILAO*"))</f>
        <v>#REF!</v>
      </c>
      <c r="D103" s="587" t="e">
        <f>SUM(SUMIFS(SurveyDATA!#REF!,SurveyDATA!#REF!,"LEGAL",SurveyDATA!E:E,"*MARILAO*"),SUMIFS(SurveyDATA!#REF!,SurveyDATA!#REF!,"LEGAL",SurveyDATA!E:E,"*MARILAO*"))</f>
        <v>#REF!</v>
      </c>
      <c r="E103" s="587" t="e">
        <f>SUM(SUMIFS(SurveyDATA!#REF!,SurveyDATA!#REF!,"LEGAL",SurveyDATA!E:E,"*MARILAO*"),SUMIFS(SurveyDATA!#REF!,SurveyDATA!#REF!,"LEGAL",SurveyDATA!E:E,"*MARILAO*"))</f>
        <v>#REF!</v>
      </c>
      <c r="F103" s="587" t="e">
        <f t="shared" si="6"/>
        <v>#REF!</v>
      </c>
    </row>
    <row r="104" spans="1:6" ht="15.75" thickBot="1">
      <c r="A104" s="586" t="s">
        <v>5496</v>
      </c>
      <c r="B104" s="587" t="e">
        <f>SUM(SUMIFS(SurveyDATA!#REF!,SurveyDATA!#REF!,"LEGAL",SurveyDATA!E:E,"*MEYCAUAYAN*"),SUMIFS(SurveyDATA!#REF!,SurveyDATA!#REF!,"LEGAL",SurveyDATA!E:E,"*MEYCAUAYAN*"))</f>
        <v>#REF!</v>
      </c>
      <c r="C104" s="587" t="e">
        <f>SUM(SUMIFS(SurveyDATA!#REF!,SurveyDATA!#REF!,"LEGAL",SurveyDATA!E:E,"*MEYCAUAYAN*"),SUMIFS(SurveyDATA!#REF!,SurveyDATA!#REF!,"LEGAL",SurveyDATA!E:E,"*MEYCAUAYAN*"))</f>
        <v>#REF!</v>
      </c>
      <c r="D104" s="587" t="e">
        <f>SUM(SUMIFS(SurveyDATA!#REF!,SurveyDATA!#REF!,"LEGAL",SurveyDATA!E:E,"*MEYCAUAYAN*"),SUMIFS(SurveyDATA!#REF!,SurveyDATA!#REF!,"LEGAL",SurveyDATA!E:E,"*MEYCAUAYAN*"))</f>
        <v>#REF!</v>
      </c>
      <c r="E104" s="587" t="e">
        <f>SUM(SUMIFS(SurveyDATA!#REF!,SurveyDATA!#REF!,"LEGAL",SurveyDATA!E:E,"*MEYCAUAYAN*"),SUMIFS(SurveyDATA!#REF!,SurveyDATA!#REF!,"LEGAL",SurveyDATA!E:E,"*MEYCAUAYAN*"))</f>
        <v>#REF!</v>
      </c>
      <c r="F104" s="587" t="e">
        <f t="shared" si="6"/>
        <v>#REF!</v>
      </c>
    </row>
    <row r="105" spans="1:6" ht="15.75" thickBot="1">
      <c r="A105" s="586" t="s">
        <v>778</v>
      </c>
      <c r="B105" s="587" t="e">
        <f>SUM(SUMIFS(SurveyDATA!#REF!,SurveyDATA!#REF!,"LEGAL",SurveyDATA!E:E,"*VALENZUELA*"),SUMIFS(SurveyDATA!#REF!,SurveyDATA!#REF!,"LEGAL",SurveyDATA!E:E,"*VALENZUELA*"))</f>
        <v>#REF!</v>
      </c>
      <c r="C105" s="587" t="e">
        <f>SUM(SUMIFS(SurveyDATA!#REF!,SurveyDATA!#REF!,"LEGAL",SurveyDATA!E:E,"*VALENZUELA*"),SUMIFS(SurveyDATA!#REF!,SurveyDATA!#REF!,"LEGAL",SurveyDATA!E:E,"*VALENZUELA*"))</f>
        <v>#REF!</v>
      </c>
      <c r="D105" s="587" t="e">
        <f>SUM(SUMIFS(SurveyDATA!#REF!,SurveyDATA!#REF!,"LEGAL",SurveyDATA!E:E,"*VALENZUELA*"),SUMIFS(SurveyDATA!#REF!,SurveyDATA!#REF!,"LEGAL",SurveyDATA!E:E,"*VALENZUELA*"))</f>
        <v>#REF!</v>
      </c>
      <c r="E105" s="587" t="e">
        <f>SUM(SUMIFS(SurveyDATA!#REF!,SurveyDATA!#REF!,"LEGAL",SurveyDATA!E:E,"*VALENZUELA*"),SUMIFS(SurveyDATA!#REF!,SurveyDATA!#REF!,"LEGAL",SurveyDATA!E:E,"*VALENZUELA*"))</f>
        <v>#REF!</v>
      </c>
      <c r="F105" s="587" t="e">
        <f t="shared" si="6"/>
        <v>#REF!</v>
      </c>
    </row>
    <row r="106" spans="1:6" ht="15.75" thickBot="1">
      <c r="A106" s="586" t="s">
        <v>5493</v>
      </c>
      <c r="B106" s="587" t="e">
        <f>SUM(SUMIFS(SurveyDATA!#REF!,SurveyDATA!#REF!,"LEGAL",SurveyDATA!E:E,"*CALOOCAN*"),SUMIFS(SurveyDATA!#REF!,SurveyDATA!#REF!,"LEGAL",SurveyDATA!E:E,"*CALOOCAN*"))</f>
        <v>#REF!</v>
      </c>
      <c r="C106" s="587" t="e">
        <f>SUM(SUMIFS(SurveyDATA!#REF!,SurveyDATA!#REF!,"LEGAL",SurveyDATA!E:E,"*CALOOCAN*"),SUMIFS(SurveyDATA!#REF!,SurveyDATA!#REF!,"LEGAL",SurveyDATA!E:E,"*CALOCAN*"))</f>
        <v>#REF!</v>
      </c>
      <c r="D106" s="587" t="e">
        <f>SUM(SUMIFS(SurveyDATA!#REF!,SurveyDATA!#REF!,"LEGAL",SurveyDATA!E:E,"*CALOOCAN*"),SUMIFS(SurveyDATA!#REF!,SurveyDATA!#REF!,"LEGAL",SurveyDATA!E:E,"*CALOOCAN*"))</f>
        <v>#REF!</v>
      </c>
      <c r="E106" s="587" t="e">
        <f>SUM(SUMIFS(SurveyDATA!#REF!,SurveyDATA!#REF!,"LEGAL",SurveyDATA!E:E,"*CALOOCAN*"),SUMIFS(SurveyDATA!#REF!,SurveyDATA!#REF!,"LEGAL",SurveyDATA!E:E,"*CALOOCAN*"))</f>
        <v>#REF!</v>
      </c>
      <c r="F106" s="587" t="e">
        <f t="shared" si="6"/>
        <v>#REF!</v>
      </c>
    </row>
    <row r="107" spans="1:6" ht="15.75" thickBot="1">
      <c r="A107" s="586" t="s">
        <v>1020</v>
      </c>
      <c r="B107" s="587" t="e">
        <f>SUM(SUMIFS(SurveyDATA!#REF!,SurveyDATA!#REF!,"LEGAL",SurveyDATA!E:E,"*MANILA*"),SUMIFS(SurveyDATA!#REF!,SurveyDATA!#REF!,"LEGAL",SurveyDATA!E:E,"*MANILA*"))</f>
        <v>#REF!</v>
      </c>
      <c r="C107" s="587" t="e">
        <f>SUM(SUMIFS(SurveyDATA!#REF!,SurveyDATA!#REF!,"LEGAL",SurveyDATA!E:E,"*MANILA*"),SUMIFS(SurveyDATA!#REF!,SurveyDATA!#REF!,"LEGAL",SurveyDATA!E:E,"*MANILA*"))</f>
        <v>#REF!</v>
      </c>
      <c r="D107" s="587" t="e">
        <f>SUM(SUMIFS(SurveyDATA!#REF!,SurveyDATA!#REF!,"LEGAL",SurveyDATA!E:E,"*MANILA*"),SUMIFS(SurveyDATA!#REF!,SurveyDATA!#REF!,"LEGAL",SurveyDATA!E:E,"*MANILA*"))</f>
        <v>#REF!</v>
      </c>
      <c r="E107" s="587" t="e">
        <f>SUM(SUMIFS(SurveyDATA!#REF!,SurveyDATA!#REF!,"LEGAL",SurveyDATA!E:E,"*MANILA*"),SUMIFS(SurveyDATA!#REF!,SurveyDATA!#REF!,"LEGAL",SurveyDATA!E:E,"*MANILA*"))</f>
        <v>#REF!</v>
      </c>
      <c r="F107" s="587" t="e">
        <f t="shared" si="6"/>
        <v>#REF!</v>
      </c>
    </row>
    <row r="108" spans="1:6" ht="15.75" thickBot="1">
      <c r="A108" s="588" t="s">
        <v>2034</v>
      </c>
      <c r="B108" s="619" t="e">
        <f>SUM(B99:B107)</f>
        <v>#REF!</v>
      </c>
      <c r="C108" s="619" t="e">
        <f>SUM(C99:C107)</f>
        <v>#REF!</v>
      </c>
      <c r="D108" s="619" t="e">
        <f>SUM(D99:D107)</f>
        <v>#REF!</v>
      </c>
      <c r="E108" s="619" t="e">
        <f>SUM(E99:E107)</f>
        <v>#REF!</v>
      </c>
      <c r="F108" s="619" t="e">
        <f t="shared" si="6"/>
        <v>#REF!</v>
      </c>
    </row>
    <row r="109" spans="1:6" ht="15.75" thickBot="1">
      <c r="A109" s="590" t="s">
        <v>7243</v>
      </c>
      <c r="B109" s="591" t="e">
        <f>B108/F108</f>
        <v>#REF!</v>
      </c>
      <c r="C109" s="591" t="e">
        <f>C108/F108</f>
        <v>#REF!</v>
      </c>
      <c r="D109" s="591" t="e">
        <f>D108/F108</f>
        <v>#REF!</v>
      </c>
      <c r="E109" s="591" t="e">
        <f>E108/F108</f>
        <v>#REF!</v>
      </c>
      <c r="F109" s="629" t="e">
        <f t="shared" si="6"/>
        <v>#REF!</v>
      </c>
    </row>
    <row r="112" spans="1:6">
      <c r="A112" s="635" t="s">
        <v>7272</v>
      </c>
    </row>
    <row r="114" spans="1:16">
      <c r="A114" s="643"/>
      <c r="B114" s="645" t="s">
        <v>7270</v>
      </c>
      <c r="C114" s="645" t="s">
        <v>7277</v>
      </c>
      <c r="D114" s="645" t="s">
        <v>7271</v>
      </c>
      <c r="E114" s="645"/>
    </row>
    <row r="115" spans="1:16">
      <c r="A115" s="644" t="s">
        <v>7214</v>
      </c>
      <c r="B115" s="646"/>
      <c r="C115" s="646" t="s">
        <v>7276</v>
      </c>
      <c r="D115" s="646"/>
      <c r="E115" s="645" t="s">
        <v>2034</v>
      </c>
    </row>
    <row r="116" spans="1:16">
      <c r="A116" s="641" t="s">
        <v>5848</v>
      </c>
      <c r="B116" s="642" t="e">
        <f>COUNTIFS(SurveyDATA!#REF!,"LEGAL",SurveyDATA!E:E,"*MALOLOS*",SurveyDATA!AB:AB,"*LESS*")</f>
        <v>#REF!</v>
      </c>
      <c r="C116" s="642" t="e">
        <f>COUNTIFS(SurveyDATA!#REF!,"LEGAL",SurveyDATA!E:E,"*MALOLOS*",SurveyDATA!AB:AB,"*YRS*")</f>
        <v>#REF!</v>
      </c>
      <c r="D116" s="642" t="e">
        <f>COUNTIFS(SurveyDATA!#REF!,"LEGAL",SurveyDATA!E:E,"*MALOLOS*",SurveyDATA!AB:AB,"*15*")</f>
        <v>#REF!</v>
      </c>
      <c r="E116" s="642" t="e">
        <f>SUM(B116:D116)</f>
        <v>#REF!</v>
      </c>
    </row>
    <row r="117" spans="1:16">
      <c r="A117" s="636" t="s">
        <v>5494</v>
      </c>
      <c r="B117" s="637" t="e">
        <f>COUNTIFS(SurveyDATA!#REF!,"LEGAL",SurveyDATA!E:E,"*GUIGUINTO*",SurveyDATA!AB:AB,"*LESS*")</f>
        <v>#REF!</v>
      </c>
      <c r="C117" s="637" t="e">
        <f>COUNTIFS(SurveyDATA!#REF!,"LEGAL",SurveyDATA!E:E,"*GUIGUINTO*",SurveyDATA!AB:AB,"*YRS*")</f>
        <v>#REF!</v>
      </c>
      <c r="D117" s="637" t="e">
        <f>COUNTIFS(SurveyDATA!#REF!,"LEGAL",SurveyDATA!E:E,"*GUIGUINTO*",SurveyDATA!AB:AB,"*15*")</f>
        <v>#REF!</v>
      </c>
      <c r="E117" s="637" t="e">
        <f t="shared" ref="E117:E124" si="7">SUM(B117:D117)</f>
        <v>#REF!</v>
      </c>
    </row>
    <row r="118" spans="1:16">
      <c r="A118" s="636" t="s">
        <v>5847</v>
      </c>
      <c r="B118" s="637" t="e">
        <f>COUNTIFS(SurveyDATA!#REF!,"LEGAL",SurveyDATA!E:E,"*BALAGTAS*",SurveyDATA!AB:AB,"*LESS*")</f>
        <v>#REF!</v>
      </c>
      <c r="C118" s="637" t="e">
        <f>COUNTIFS(SurveyDATA!#REF!,"LEGAL",SurveyDATA!E:E,"*BALAGTAS*",SurveyDATA!AB:AB,"*YRS*")</f>
        <v>#REF!</v>
      </c>
      <c r="D118" s="637" t="e">
        <f>COUNTIFS(SurveyDATA!#REF!,"LEGAL",SurveyDATA!E:E,"*BALAGTAS*",SurveyDATA!AB:AB,"*15*")</f>
        <v>#REF!</v>
      </c>
      <c r="E118" s="637" t="e">
        <f t="shared" si="7"/>
        <v>#REF!</v>
      </c>
    </row>
    <row r="119" spans="1:16">
      <c r="A119" s="636" t="s">
        <v>771</v>
      </c>
      <c r="B119" s="637" t="e">
        <f>COUNTIFS(SurveyDATA!#REF!,"LEGAL",SurveyDATA!E:E,"*BOCAUE*",SurveyDATA!AB:AB,"*LESS*")</f>
        <v>#REF!</v>
      </c>
      <c r="C119" s="637" t="e">
        <f>COUNTIFS(SurveyDATA!#REF!,"LEGAL",SurveyDATA!E:E,"*BOCAUE*",SurveyDATA!AB:AB,"*YRS*")</f>
        <v>#REF!</v>
      </c>
      <c r="D119" s="637" t="e">
        <f>COUNTIFS(SurveyDATA!#REF!,"LEGAL",SurveyDATA!E:E,"*BOCAUE*",SurveyDATA!AB:AB,"*15*")</f>
        <v>#REF!</v>
      </c>
      <c r="E119" s="637" t="e">
        <f>SUM(B119:D119)</f>
        <v>#REF!</v>
      </c>
    </row>
    <row r="120" spans="1:16">
      <c r="A120" s="636" t="s">
        <v>5495</v>
      </c>
      <c r="B120" s="637" t="e">
        <f>COUNTIFS(SurveyDATA!#REF!,"LEGAL",SurveyDATA!E:E,"*MARILAO*",SurveyDATA!AB:AB,"*LESS*")</f>
        <v>#REF!</v>
      </c>
      <c r="C120" s="637" t="e">
        <f>COUNTIFS(SurveyDATA!#REF!,"LEGAL",SurveyDATA!E:E,"*MARILAO*",SurveyDATA!AB:AB,"*YRS*")</f>
        <v>#REF!</v>
      </c>
      <c r="D120" s="637" t="e">
        <f>COUNTIFS(SurveyDATA!#REF!,"LEGAL",SurveyDATA!E:E,"*NARILAO*",SurveyDATA!AB:AB,"*15*")</f>
        <v>#REF!</v>
      </c>
      <c r="E120" s="637" t="e">
        <f t="shared" si="7"/>
        <v>#REF!</v>
      </c>
    </row>
    <row r="121" spans="1:16">
      <c r="A121" s="636" t="s">
        <v>5496</v>
      </c>
      <c r="B121" s="637" t="e">
        <f>COUNTIFS(SurveyDATA!#REF!,"LEGAL",SurveyDATA!E:E,"*MEYCAUAYAN*",SurveyDATA!AB:AB,"*LESS*")</f>
        <v>#REF!</v>
      </c>
      <c r="C121" s="637" t="e">
        <f>COUNTIFS(SurveyDATA!#REF!,"LEGAL",SurveyDATA!E:E,"*MEYCAUAYAN*",SurveyDATA!AB:AB,"*YRS*")</f>
        <v>#REF!</v>
      </c>
      <c r="D121" s="637" t="e">
        <f>COUNTIFS(SurveyDATA!#REF!,"LEGAL",SurveyDATA!E:E,"*MEYCAUAYAN*",SurveyDATA!AB:AB,"*15*")</f>
        <v>#REF!</v>
      </c>
      <c r="E121" s="637" t="e">
        <f t="shared" si="7"/>
        <v>#REF!</v>
      </c>
    </row>
    <row r="122" spans="1:16">
      <c r="A122" s="636" t="s">
        <v>778</v>
      </c>
      <c r="B122" s="637" t="e">
        <f>COUNTIFS(SurveyDATA!#REF!,"LEGAL",SurveyDATA!E:E,"*VALENZUELA*",SurveyDATA!AB:AB,"*LESS*")</f>
        <v>#REF!</v>
      </c>
      <c r="C122" s="637" t="e">
        <f>COUNTIFS(SurveyDATA!#REF!,"LEGAL",SurveyDATA!E:E,"*VALENZUELA*",SurveyDATA!AB:AB,"*YRS*")</f>
        <v>#REF!</v>
      </c>
      <c r="D122" s="637" t="e">
        <f>COUNTIFS(SurveyDATA!#REF!,"LEGAL",SurveyDATA!E:E,"*VALENZUELA*",SurveyDATA!AB:AB,"*15*")</f>
        <v>#REF!</v>
      </c>
      <c r="E122" s="637" t="e">
        <f t="shared" si="7"/>
        <v>#REF!</v>
      </c>
    </row>
    <row r="123" spans="1:16">
      <c r="A123" s="636" t="s">
        <v>5493</v>
      </c>
      <c r="B123" s="637" t="e">
        <f>COUNTIFS(SurveyDATA!#REF!,"LEGAL",SurveyDATA!E:E,"*CALOOCAN*",SurveyDATA!AB:AB,"*LESS*")</f>
        <v>#REF!</v>
      </c>
      <c r="C123" s="637" t="e">
        <f>COUNTIFS(SurveyDATA!#REF!,"LEGAL",SurveyDATA!E:E,"*CALOOCAN*",SurveyDATA!AB:AB,"*YRS*")</f>
        <v>#REF!</v>
      </c>
      <c r="D123" s="637" t="e">
        <f>COUNTIFS(SurveyDATA!#REF!,"LEGAL",SurveyDATA!E:E,"*CALOOCAN*",SurveyDATA!AB:AB,"*15*")</f>
        <v>#REF!</v>
      </c>
      <c r="E123" s="637" t="e">
        <f t="shared" si="7"/>
        <v>#REF!</v>
      </c>
    </row>
    <row r="124" spans="1:16">
      <c r="A124" s="636" t="s">
        <v>1020</v>
      </c>
      <c r="B124" s="637" t="e">
        <f>COUNTIFS(SurveyDATA!#REF!,"LEGAL",SurveyDATA!E:E,"*MANILA*",SurveyDATA!AB:AB,"*LESS*")</f>
        <v>#REF!</v>
      </c>
      <c r="C124" s="637" t="e">
        <f>COUNTIFS(SurveyDATA!#REF!,"LEGAL",SurveyDATA!E:E,"*MANILA*",SurveyDATA!AB:AB,"*YRS*")</f>
        <v>#REF!</v>
      </c>
      <c r="D124" s="637" t="e">
        <f>COUNTIFS(SurveyDATA!#REF!,"LEGAL",SurveyDATA!E:E,"*MANILA*",SurveyDATA!AB:AB,"*15*")</f>
        <v>#REF!</v>
      </c>
      <c r="E124" s="637" t="e">
        <f t="shared" si="7"/>
        <v>#REF!</v>
      </c>
    </row>
    <row r="125" spans="1:16">
      <c r="A125" s="638" t="s">
        <v>2034</v>
      </c>
      <c r="B125" s="638" t="e">
        <f>SUM(B116:B124)</f>
        <v>#REF!</v>
      </c>
      <c r="C125" s="638" t="e">
        <f>SUM(C116:C124)</f>
        <v>#REF!</v>
      </c>
      <c r="D125" s="638" t="e">
        <f>SUM(D116:D124)</f>
        <v>#REF!</v>
      </c>
      <c r="E125" s="639" t="e">
        <f ca="1">SUM(B126:D126)</f>
        <v>#REF!</v>
      </c>
    </row>
    <row r="126" spans="1:16">
      <c r="A126" s="637" t="s">
        <v>7243</v>
      </c>
      <c r="B126" s="640" t="e">
        <f ca="1">B125/E125</f>
        <v>#REF!</v>
      </c>
      <c r="C126" s="640" t="e">
        <f ca="1">B125/E125</f>
        <v>#REF!</v>
      </c>
      <c r="D126" s="640" t="e">
        <f ca="1">D125/E125</f>
        <v>#REF!</v>
      </c>
      <c r="E126" s="640">
        <v>1</v>
      </c>
      <c r="J126" s="4"/>
      <c r="K126" s="607"/>
      <c r="L126" s="158"/>
      <c r="M126" s="607"/>
      <c r="N126" s="712"/>
      <c r="O126" s="607"/>
    </row>
    <row r="127" spans="1:16">
      <c r="J127" s="4"/>
      <c r="K127" s="607"/>
      <c r="L127" s="4"/>
      <c r="M127" s="607"/>
      <c r="N127" s="712"/>
      <c r="O127" s="607"/>
      <c r="P127" s="607"/>
    </row>
    <row r="128" spans="1:16">
      <c r="J128" s="4"/>
      <c r="K128" s="607"/>
      <c r="L128" s="4"/>
      <c r="M128" s="607"/>
      <c r="N128" s="712"/>
      <c r="O128" s="607"/>
      <c r="P128" s="607"/>
    </row>
    <row r="129" spans="1:16">
      <c r="A129" s="635" t="s">
        <v>7278</v>
      </c>
      <c r="J129" s="4"/>
      <c r="K129" s="607"/>
      <c r="L129" s="4"/>
      <c r="M129" s="607"/>
      <c r="N129" s="712"/>
      <c r="O129" s="607"/>
      <c r="P129" s="607"/>
    </row>
    <row r="130" spans="1:16" ht="15.75" thickBot="1">
      <c r="J130" s="4"/>
      <c r="K130" s="607"/>
      <c r="L130" s="4"/>
      <c r="M130" s="607"/>
      <c r="N130" s="712"/>
      <c r="O130" s="607"/>
      <c r="P130" s="607"/>
    </row>
    <row r="131" spans="1:16" ht="15.75" thickBot="1">
      <c r="A131" s="649" t="s">
        <v>7279</v>
      </c>
      <c r="B131" s="1897" t="s">
        <v>1096</v>
      </c>
      <c r="C131" s="1898"/>
      <c r="D131" s="1897" t="s">
        <v>7280</v>
      </c>
      <c r="E131" s="1898"/>
      <c r="F131" s="1899"/>
      <c r="G131" s="1899"/>
      <c r="J131" s="4"/>
      <c r="K131" s="607"/>
      <c r="L131" s="607"/>
      <c r="M131" s="607"/>
      <c r="N131" s="712"/>
      <c r="O131" s="607"/>
      <c r="P131" s="607"/>
    </row>
    <row r="132" spans="1:16" ht="15.75" thickBot="1">
      <c r="A132" s="650"/>
      <c r="B132" s="652" t="s">
        <v>7281</v>
      </c>
      <c r="C132" s="652" t="s">
        <v>5805</v>
      </c>
      <c r="D132" s="652" t="s">
        <v>7281</v>
      </c>
      <c r="E132" s="652" t="s">
        <v>5805</v>
      </c>
      <c r="F132" s="669"/>
      <c r="G132" s="669"/>
      <c r="J132" s="4"/>
      <c r="K132" s="607"/>
      <c r="L132" s="607"/>
      <c r="M132" s="607"/>
      <c r="N132" s="712"/>
      <c r="O132" s="607"/>
      <c r="P132" s="607"/>
    </row>
    <row r="133" spans="1:16">
      <c r="A133" s="672" t="s">
        <v>991</v>
      </c>
      <c r="B133" s="642" t="e">
        <f>COUNTIFS(SurveyDATA!#REF!,"LEGAL",SurveyDATA!#REF!,"&gt;0",SurveyDATA!AC:AC,"*PROXIMITY*")</f>
        <v>#REF!</v>
      </c>
      <c r="C133" s="653" t="e">
        <f>B133/B147</f>
        <v>#REF!</v>
      </c>
      <c r="D133" s="642" t="e">
        <f>COUNTIFS(SurveyDATA!#REF!,"LEGAL",SurveyDATA!IR:IR,"*",SurveyDATA!AC:AC,"*PROXIMITY*")</f>
        <v>#REF!</v>
      </c>
      <c r="E133" s="653" t="e">
        <f>D133/D147</f>
        <v>#REF!</v>
      </c>
      <c r="F133" s="670"/>
      <c r="G133" s="671"/>
      <c r="J133" s="4"/>
      <c r="K133" s="607"/>
      <c r="L133" s="607"/>
      <c r="M133" s="607"/>
      <c r="N133" s="712"/>
      <c r="O133" s="607"/>
      <c r="P133" s="607"/>
    </row>
    <row r="134" spans="1:16">
      <c r="A134" s="662" t="s">
        <v>1071</v>
      </c>
      <c r="B134" s="642" t="e">
        <f>COUNTIFS(SurveyDATA!#REF!,"LEGAL",SurveyDATA!#REF!,"&gt;0",SurveyDATA!AC:AC,"*RENT FREE*")</f>
        <v>#REF!</v>
      </c>
      <c r="C134" s="654" t="e">
        <f>B134/B147</f>
        <v>#REF!</v>
      </c>
      <c r="D134" s="637" t="e">
        <f>COUNTIFS(SurveyDATA!#REF!,"LEGAL",SurveyDATA!IR:IR,"*",SurveyDATA!AC:AC,"*RENT FREE*")</f>
        <v>#REF!</v>
      </c>
      <c r="E134" s="663" t="e">
        <f>D134/D147</f>
        <v>#REF!</v>
      </c>
      <c r="F134" s="670"/>
      <c r="G134" s="671"/>
      <c r="J134" s="4"/>
      <c r="K134" s="607"/>
      <c r="L134" s="607"/>
      <c r="M134" s="607"/>
      <c r="N134" s="712"/>
      <c r="O134" s="607"/>
      <c r="P134" s="607"/>
    </row>
    <row r="135" spans="1:16" ht="15.75" thickBot="1">
      <c r="A135" s="674" t="s">
        <v>880</v>
      </c>
      <c r="B135" s="655" t="e">
        <f>COUNTIFS(SurveyDATA!#REF!,"LEGAL",SurveyDATA!#REF!,"&gt;0",SurveyDATA!AC:AC,"*AFFORDABLE*")</f>
        <v>#REF!</v>
      </c>
      <c r="C135" s="656" t="e">
        <f>B135/B147</f>
        <v>#REF!</v>
      </c>
      <c r="D135" s="657" t="e">
        <f>COUNTIFS(SurveyDATA!#REF!,"LEGAL",SurveyDATA!IR:IR,"*",SurveyDATA!AC:AC,"*AFFORDABLE*")</f>
        <v>#REF!</v>
      </c>
      <c r="E135" s="675" t="e">
        <f>D135/D147</f>
        <v>#REF!</v>
      </c>
      <c r="F135" s="670"/>
      <c r="G135" s="671"/>
      <c r="J135" s="4"/>
      <c r="K135" s="607"/>
      <c r="L135" s="607"/>
      <c r="M135" s="607"/>
      <c r="N135" s="712"/>
      <c r="O135" s="607"/>
      <c r="P135" s="607"/>
    </row>
    <row r="136" spans="1:16">
      <c r="A136" s="658" t="s">
        <v>770</v>
      </c>
      <c r="B136" s="659" t="e">
        <f>COUNTIFS(SurveyDATA!#REF!,"LEGAL",SurveyDATA!#REF!,"&gt;0",SurveyDATA!AD:AD,"*FAMILY*")</f>
        <v>#REF!</v>
      </c>
      <c r="C136" s="660" t="e">
        <f>B136/B147</f>
        <v>#REF!</v>
      </c>
      <c r="D136" s="659" t="e">
        <f>COUNTIFS(SurveyDATA!#REF!,"LEGAL",SurveyDATA!IR:IR,"*",SurveyDATA!AD:AD,"*FAMILY*")</f>
        <v>#REF!</v>
      </c>
      <c r="E136" s="661" t="e">
        <f>D136/D147</f>
        <v>#REF!</v>
      </c>
      <c r="F136" s="670"/>
      <c r="G136" s="671"/>
      <c r="J136" s="4"/>
      <c r="K136" s="607"/>
      <c r="L136" s="607"/>
      <c r="M136" s="607"/>
      <c r="N136" s="712"/>
      <c r="O136" s="607"/>
      <c r="P136" s="607"/>
    </row>
    <row r="137" spans="1:16">
      <c r="A137" s="662" t="s">
        <v>1005</v>
      </c>
      <c r="B137" s="642" t="e">
        <f>COUNTIFS(SurveyDATA!#REF!,"LEGAL",SurveyDATA!#REF!,"&gt;0",SurveyDATA!AD:AD,"*SCHOOL*")</f>
        <v>#REF!</v>
      </c>
      <c r="C137" s="654" t="e">
        <f>B137/B147</f>
        <v>#REF!</v>
      </c>
      <c r="D137" s="637" t="e">
        <f>COUNTIFS(SurveyDATA!#REF!,"LEGAL",SurveyDATA!IR:IR,"*",SurveyDATA!AD:AD,"*SCHOOL*")</f>
        <v>#REF!</v>
      </c>
      <c r="E137" s="663" t="e">
        <f>D137/D147</f>
        <v>#REF!</v>
      </c>
      <c r="F137" s="670"/>
      <c r="G137" s="671"/>
      <c r="J137" s="4"/>
      <c r="K137" s="607"/>
      <c r="L137" s="607"/>
      <c r="M137" s="607"/>
      <c r="N137" s="712"/>
      <c r="O137" s="607"/>
      <c r="P137" s="607"/>
    </row>
    <row r="138" spans="1:16" ht="15.75" thickBot="1">
      <c r="A138" s="664" t="s">
        <v>937</v>
      </c>
      <c r="B138" s="665" t="e">
        <f>COUNTIFS(SurveyDATA!#REF!,"LEGAL",SurveyDATA!#REF!,"&gt;0",SurveyDATA!AD:AD,"*MARRIED*")</f>
        <v>#REF!</v>
      </c>
      <c r="C138" s="666" t="e">
        <f>B138/B147</f>
        <v>#REF!</v>
      </c>
      <c r="D138" s="667" t="e">
        <f>COUNTIFS(SurveyDATA!#REF!,"LEGAL",SurveyDATA!IR:IR,"*",SurveyDATA!AD:AD,"*MARRIED*")</f>
        <v>#REF!</v>
      </c>
      <c r="E138" s="668" t="e">
        <f>D138/D147</f>
        <v>#REF!</v>
      </c>
      <c r="F138" s="670"/>
      <c r="G138" s="671"/>
      <c r="J138" s="4"/>
      <c r="K138" s="607"/>
      <c r="L138" s="607"/>
      <c r="M138" s="607"/>
      <c r="N138" s="712"/>
      <c r="O138" s="607"/>
      <c r="P138" s="607"/>
    </row>
    <row r="139" spans="1:16">
      <c r="A139" s="672" t="s">
        <v>4335</v>
      </c>
      <c r="B139" s="642" t="e">
        <f>COUNTIFS(SurveyDATA!#REF!,"LEGAL",SurveyDATA!#REF!,"&gt;0",SurveyDATA!AE:AE,"*AWARDEE*")</f>
        <v>#REF!</v>
      </c>
      <c r="C139" s="653" t="e">
        <f>B139/B147</f>
        <v>#REF!</v>
      </c>
      <c r="D139" s="642" t="e">
        <f>COUNTIFS(SurveyDATA!#REF!,"LEGAL",SurveyDATA!IR:IR,"*",SurveyDATA!AE:AE,"*AWARDEE*")</f>
        <v>#REF!</v>
      </c>
      <c r="E139" s="673" t="e">
        <f>D139/D147</f>
        <v>#REF!</v>
      </c>
      <c r="F139" s="670"/>
      <c r="G139" s="671"/>
      <c r="J139" s="4"/>
      <c r="K139" s="607"/>
      <c r="L139" s="607"/>
      <c r="M139" s="607"/>
      <c r="N139" s="712"/>
      <c r="O139" s="607"/>
      <c r="P139" s="607"/>
    </row>
    <row r="140" spans="1:16">
      <c r="A140" s="662" t="s">
        <v>7282</v>
      </c>
      <c r="B140" s="642" t="e">
        <f>COUNTIFS(SurveyDATA!#REF!,"LEGAL",SurveyDATA!#REF!,"&gt;0",SurveyDATA!AE:AE,"*RIGHTS*")</f>
        <v>#REF!</v>
      </c>
      <c r="C140" s="654" t="e">
        <f>B140/B147</f>
        <v>#REF!</v>
      </c>
      <c r="D140" s="637" t="e">
        <f>COUNTIFS(SurveyDATA!#REF!,"LEGAL",SurveyDATA!IR:IR,"*",SurveyDATA!AE:AE,"*RIGHTS*")</f>
        <v>#REF!</v>
      </c>
      <c r="E140" s="663" t="e">
        <f>D140/D147</f>
        <v>#REF!</v>
      </c>
      <c r="F140" s="670"/>
      <c r="G140" s="671"/>
      <c r="J140" s="571"/>
      <c r="K140" s="607"/>
      <c r="L140" s="607"/>
      <c r="M140" s="607"/>
      <c r="N140" s="712"/>
      <c r="O140" s="607"/>
      <c r="P140" s="607"/>
    </row>
    <row r="141" spans="1:16">
      <c r="A141" s="662" t="s">
        <v>888</v>
      </c>
      <c r="B141" s="642" t="e">
        <f>COUNTIFS(SurveyDATA!#REF!,"LEGAL",SurveyDATA!#REF!,"&gt;0",SurveyDATA!AE:AE,"*AGREEMENT*")</f>
        <v>#REF!</v>
      </c>
      <c r="C141" s="654" t="e">
        <f>B141/B147</f>
        <v>#REF!</v>
      </c>
      <c r="D141" s="637" t="e">
        <f>COUNTIFS(SurveyDATA!#REF!,"LEGAL",SurveyDATA!IR:IR,"*",SurveyDATA!AE:AE,"*AGREMENT*")</f>
        <v>#REF!</v>
      </c>
      <c r="E141" s="663" t="e">
        <f>D141/D147</f>
        <v>#REF!</v>
      </c>
      <c r="F141" s="670"/>
      <c r="G141" s="671"/>
      <c r="J141" s="571"/>
      <c r="K141" s="607"/>
      <c r="L141" s="607"/>
      <c r="M141" s="607"/>
      <c r="N141" s="712"/>
      <c r="O141" s="607"/>
      <c r="P141" s="607"/>
    </row>
    <row r="142" spans="1:16">
      <c r="A142" s="662" t="s">
        <v>7283</v>
      </c>
      <c r="B142" s="642" t="e">
        <f>SUM(COUNTIFS(SurveyDATA!#REF!,"LEGAL",SurveyDATA!#REF!,"&gt;0",SurveyDATA!AE:AE,"*NO OTHER*"),COUNTIFS(SurveyDATA!#REF!,"LEGAL",SurveyDATA!#REF!,"&gt;0",SurveyDATA!AE:AE,"*POVERTY*"),COUNTIFS(SurveyDATA!#REF!,"LEGAL",SurveyDATA!#REF!,"&gt;0",SurveyDATA!AE:AE,"*RELOCATE*"))</f>
        <v>#REF!</v>
      </c>
      <c r="C142" s="654" t="e">
        <f>B142/B147</f>
        <v>#REF!</v>
      </c>
      <c r="D142" s="637" t="e">
        <f>SUM(COUNTIFS(SurveyDATA!#REF!,"LEGAL",SurveyDATA!IR:IR,"*",SurveyDATA!AE:AE,"*NO OTHER*"),COUNTIFS(SurveyDATA!#REF!,"LEGAL",SurveyDATA!IR:IR,"*",SurveyDATA!AE:AE,"*POVERTY*"),COUNTIFS(SurveyDATA!#REF!,"LEGAL",SurveyDATA!IR:IR,"*",SurveyDATA!AE:AE,"*RELOCATE*"))</f>
        <v>#REF!</v>
      </c>
      <c r="E142" s="663" t="e">
        <f>D142/D147</f>
        <v>#REF!</v>
      </c>
      <c r="F142" s="670"/>
      <c r="G142" s="671"/>
      <c r="J142" s="571"/>
      <c r="K142" s="607"/>
      <c r="L142" s="607"/>
      <c r="M142" s="607"/>
      <c r="N142" s="712"/>
      <c r="O142" s="607"/>
      <c r="P142" s="607"/>
    </row>
    <row r="143" spans="1:16">
      <c r="A143" s="662" t="s">
        <v>7284</v>
      </c>
      <c r="B143" s="642" t="e">
        <f>SUM(COUNTIFS(SurveyDATA!#REF!,"LEGAL",SurveyDATA!#REF!,"&gt;0",SurveyDATA!AE:AE,"*SINCE BIRTH*"),COUNTIFS(SurveyDATA!#REF!,"LEGAL",SurveyDATA!#REF!,"&gt;0",SurveyDATA!AE:AE,"*BORN HERE*"),COUNTIFS(SurveyDATA!#REF!,"LEGAL",SurveyDATA!#REF!,"&gt;0",SurveyDATA!AE:AE,"*INHERIT*"))</f>
        <v>#REF!</v>
      </c>
      <c r="C143" s="654" t="e">
        <f>B143/B147</f>
        <v>#REF!</v>
      </c>
      <c r="D143" s="642">
        <f>SUM(COUNTIFS(SurveyDATA!A:A,"LEGAL",SurveyDATA!IR:IR,"*",SurveyDATA!AE:AE,"*SINCE BIRTH*"),COUNTIFS(SurveyDATA!A:A,"LEGAL",SurveyDATA!IR:IR,"*",SurveyDATA!AE:AE,"*BORN HERE*"),COUNTIFS(SurveyDATA!A:A,"LEGAL",SurveyDATA!IR:IR,"*",SurveyDATA!AE:AE,"*INHERIT*"))</f>
        <v>0</v>
      </c>
      <c r="E143" s="663" t="e">
        <f>D143/D147</f>
        <v>#REF!</v>
      </c>
      <c r="F143" s="670"/>
      <c r="G143" s="671"/>
      <c r="J143" s="571"/>
      <c r="K143" s="607"/>
      <c r="L143" s="607"/>
      <c r="M143" s="607"/>
      <c r="N143" s="712"/>
      <c r="O143" s="607"/>
      <c r="P143" s="607"/>
    </row>
    <row r="144" spans="1:16">
      <c r="A144" s="674" t="s">
        <v>796</v>
      </c>
      <c r="B144" s="642" t="e">
        <f>COUNTIFS(SurveyDATA!#REF!,"LEGAL",SurveyDATA!#REF!,"&gt;0",SurveyDATA!AE:AE,"*PURCHASED*")</f>
        <v>#REF!</v>
      </c>
      <c r="C144" s="654" t="e">
        <f>B144/B147</f>
        <v>#REF!</v>
      </c>
      <c r="D144" s="642" t="e">
        <f>COUNTIFS(SurveyDATA!#REF!,"LEGAL",SurveyDATA!IR:IR,"*",SurveyDATA!AE:AE,"*PURCHASED*")</f>
        <v>#REF!</v>
      </c>
      <c r="E144" s="663" t="e">
        <f>D144/D147</f>
        <v>#REF!</v>
      </c>
      <c r="F144" s="670"/>
      <c r="G144" s="671"/>
      <c r="J144" s="571"/>
      <c r="K144" s="607"/>
      <c r="L144" s="607"/>
      <c r="M144" s="607"/>
      <c r="N144" s="712"/>
      <c r="O144" s="607"/>
      <c r="P144" s="607"/>
    </row>
    <row r="145" spans="1:16">
      <c r="A145" s="674" t="s">
        <v>7286</v>
      </c>
      <c r="B145" s="642" t="e">
        <f>SUM(COUNTIFS(SurveyDATA!#REF!,"LEGAL",SurveyDATA!#REF!,"&gt;0",SurveyDATA!AE:AE,"*LESS FLOOD*"),COUNTIFS(SurveyDATA!#REF!,"LEGAL",SurveyDATA!#REF!,"&gt;0",SurveyDATA!AE:AE,"*SAFETY*"))</f>
        <v>#REF!</v>
      </c>
      <c r="C145" s="654" t="e">
        <f>B145/B147</f>
        <v>#REF!</v>
      </c>
      <c r="D145" s="642" t="e">
        <f>SUM(COUNTIFS(SurveyDATA!#REF!,"LEGAL",SurveyDATA!IR:IR,"*",SurveyDATA!AE:AE,"*LESS FLOOD*"),COUNTIFS(SurveyDATA!#REF!,"LEGAL",SurveyDATA!IR:IR,"*",SurveyDATA!AE:AE,"*SAFETY*"))</f>
        <v>#REF!</v>
      </c>
      <c r="E145" s="663" t="e">
        <f>D145/D147</f>
        <v>#REF!</v>
      </c>
      <c r="J145" s="571"/>
      <c r="K145" s="607"/>
      <c r="L145" s="607"/>
      <c r="M145" s="607"/>
      <c r="N145" s="712"/>
      <c r="O145" s="607"/>
      <c r="P145" s="607"/>
    </row>
    <row r="146" spans="1:16">
      <c r="A146" s="674" t="s">
        <v>7287</v>
      </c>
      <c r="B146" s="642" t="e">
        <f>SUM(COUNTIFS(SurveyDATA!#REF!,"LEGAL",SurveyDATA!#REF!,"&gt;0",SurveyDATA!AE:AE,"*KNEW*"),COUNTIFS(SurveyDATA!#REF!,"LEGAL",SurveyDATA!#REF!,"&gt;0",SurveyDATA!AE:AE,"*DECEASED*"))</f>
        <v>#REF!</v>
      </c>
      <c r="C146" s="654" t="e">
        <f>B146/B147</f>
        <v>#REF!</v>
      </c>
      <c r="D146" s="642" t="e">
        <f>SUM(COUNTIFS(SurveyDATA!#REF!,"LEGAL",SurveyDATA!IR:IR,"*",SurveyDATA!AE:AE,"**KNEW"),COUNTIFS(SurveyDATA!#REF!,"LEGAL",SurveyDATA!IR:IR,"*",SurveyDATA!AE:AE,"*DECEASED*"))</f>
        <v>#REF!</v>
      </c>
      <c r="E146" s="663" t="e">
        <f>D146/D147</f>
        <v>#REF!</v>
      </c>
      <c r="J146" s="571"/>
      <c r="K146" s="607"/>
      <c r="L146" s="607"/>
      <c r="M146" s="607"/>
      <c r="N146" s="712"/>
      <c r="O146" s="607"/>
      <c r="P146" s="607"/>
    </row>
    <row r="147" spans="1:16" ht="15.75" thickBot="1">
      <c r="A147" s="676" t="s">
        <v>2034</v>
      </c>
      <c r="B147" s="667" t="e">
        <f>SUM(B133:B146)</f>
        <v>#REF!</v>
      </c>
      <c r="C147" s="666" t="e">
        <f>SUM(C133:C146)</f>
        <v>#REF!</v>
      </c>
      <c r="D147" s="667" t="e">
        <f>SUM(D133:D146)</f>
        <v>#REF!</v>
      </c>
      <c r="E147" s="668" t="e">
        <f>SUM(E133:E146)</f>
        <v>#REF!</v>
      </c>
      <c r="J147" s="571"/>
      <c r="K147" s="607"/>
      <c r="L147" s="607"/>
      <c r="M147" s="607"/>
      <c r="N147" s="712"/>
      <c r="O147" s="607"/>
      <c r="P147" s="607"/>
    </row>
    <row r="148" spans="1:16">
      <c r="J148" s="607"/>
      <c r="K148" s="607"/>
      <c r="L148" s="607"/>
      <c r="M148" s="607"/>
      <c r="N148" s="712"/>
      <c r="O148" s="607"/>
      <c r="P148" s="607"/>
    </row>
    <row r="149" spans="1:16">
      <c r="J149" s="607"/>
      <c r="K149" s="607"/>
      <c r="L149" s="607"/>
      <c r="M149" s="607"/>
      <c r="N149" s="712"/>
      <c r="O149" s="607"/>
      <c r="P149" s="607"/>
    </row>
    <row r="150" spans="1:16">
      <c r="A150" s="635" t="s">
        <v>7288</v>
      </c>
      <c r="J150" s="607"/>
      <c r="K150" s="607"/>
      <c r="L150" s="607"/>
      <c r="M150" s="607"/>
      <c r="N150" s="712"/>
      <c r="O150" s="607"/>
      <c r="P150" s="607"/>
    </row>
    <row r="151" spans="1:16" ht="15.75" thickBot="1">
      <c r="J151" s="607"/>
      <c r="K151" s="607"/>
      <c r="L151" s="607"/>
      <c r="M151" s="607"/>
      <c r="N151" s="118"/>
      <c r="O151" s="607"/>
      <c r="P151" s="607"/>
    </row>
    <row r="152" spans="1:16" ht="15.75" thickBot="1">
      <c r="A152" s="1888" t="s">
        <v>7214</v>
      </c>
      <c r="B152" s="1890" t="s">
        <v>7289</v>
      </c>
      <c r="C152" s="1891"/>
      <c r="D152" s="1892"/>
      <c r="E152" s="1890" t="s">
        <v>7290</v>
      </c>
      <c r="F152" s="1892"/>
      <c r="G152" s="1888" t="s">
        <v>2213</v>
      </c>
      <c r="H152" s="1888" t="s">
        <v>2034</v>
      </c>
      <c r="J152" s="607"/>
      <c r="K152" s="607"/>
      <c r="L152" s="607"/>
      <c r="M152" s="607"/>
      <c r="N152" s="118"/>
      <c r="O152" s="607"/>
      <c r="P152" s="607"/>
    </row>
    <row r="153" spans="1:16" ht="15.75" thickBot="1">
      <c r="A153" s="1889"/>
      <c r="B153" s="677" t="s">
        <v>2040</v>
      </c>
      <c r="C153" s="677" t="s">
        <v>2041</v>
      </c>
      <c r="D153" s="677" t="s">
        <v>7291</v>
      </c>
      <c r="E153" s="677" t="s">
        <v>7292</v>
      </c>
      <c r="F153" s="677" t="s">
        <v>7293</v>
      </c>
      <c r="G153" s="1889"/>
      <c r="H153" s="1889"/>
      <c r="J153" s="607"/>
      <c r="K153" s="607"/>
      <c r="L153" s="607"/>
      <c r="M153" s="607"/>
      <c r="N153" s="118"/>
      <c r="O153" s="607"/>
      <c r="P153" s="607"/>
    </row>
    <row r="154" spans="1:16" ht="15.75" thickBot="1">
      <c r="A154" s="678" t="s">
        <v>5848</v>
      </c>
      <c r="B154" s="679" t="e">
        <f>SUMIFS(SurveyDATA!#REF!,SurveyDATA!#REF!,"LEGAL",SurveyDATA!E:E,"*MALOLOS*")</f>
        <v>#REF!</v>
      </c>
      <c r="C154" s="679" t="e">
        <f>SUMIFS(SurveyDATA!#REF!,SurveyDATA!#REF!,"LEGAL",SurveyDATA!E:E,"*MALOLOS*")</f>
        <v>#REF!</v>
      </c>
      <c r="D154" s="679" t="e">
        <f>SUMIFS(SurveyDATA!#REF!,SurveyDATA!#REF!,"LEGAL",SurveyDATA!E:E,"*MALOLOS*")</f>
        <v>#REF!</v>
      </c>
      <c r="E154" s="679" t="e">
        <f>SUMIFS(SurveyDATA!#REF!,SurveyDATA!#REF!,"LEGAL",SurveyDATA!E:E,"*MALOLOS*")</f>
        <v>#REF!</v>
      </c>
      <c r="F154" s="679" t="e">
        <f>SUMIFS(SurveyDATA!#REF!,SurveyDATA!#REF!,"LEGAL",SurveyDATA!E:E,"*MALOLOS*")</f>
        <v>#REF!</v>
      </c>
      <c r="G154" s="679" t="e">
        <f>COUNTIFS(#REF!,"ISF-MC",#REF!,"&lt;65",#REF!,"&gt;17",#REF!,"x")</f>
        <v>#REF!</v>
      </c>
      <c r="H154" s="679" t="e">
        <f>SUM(B154:G154)</f>
        <v>#REF!</v>
      </c>
      <c r="J154" s="607"/>
      <c r="K154" s="607"/>
      <c r="L154" s="607"/>
      <c r="M154" s="607"/>
      <c r="N154" s="118"/>
      <c r="O154" s="607"/>
      <c r="P154" s="607"/>
    </row>
    <row r="155" spans="1:16" ht="15.75" thickBot="1">
      <c r="A155" s="678" t="s">
        <v>5494</v>
      </c>
      <c r="B155" s="679" t="e">
        <f>SUMIFS(SurveyDATA!#REF!,SurveyDATA!#REF!,"LEGAL",SurveyDATA!E:E,"*GUIGUINTO*")</f>
        <v>#REF!</v>
      </c>
      <c r="C155" s="679" t="e">
        <f>SUMIFS(SurveyDATA!#REF!,SurveyDATA!#REF!,"LEGAL",SurveyDATA!E:E,"*GUIGUINTO*")</f>
        <v>#REF!</v>
      </c>
      <c r="D155" s="679" t="e">
        <f>SUMIFS(SurveyDATA!#REF!,SurveyDATA!#REF!,"LEGAL",SurveyDATA!E:E,"*GUIGUINTO*")</f>
        <v>#REF!</v>
      </c>
      <c r="E155" s="679" t="e">
        <f>SUMIFS(SurveyDATA!#REF!,SurveyDATA!#REF!,"LEGAL",SurveyDATA!E:E,"*GUIGUINTO*")</f>
        <v>#REF!</v>
      </c>
      <c r="F155" s="679" t="e">
        <f>SUMIFS(SurveyDATA!#REF!,SurveyDATA!#REF!,"LEGAL",SurveyDATA!E:E,"*GUIGUINTO*")</f>
        <v>#REF!</v>
      </c>
      <c r="G155" s="679" t="e">
        <f>COUNTIFS(#REF!,"ISF-GG",#REF!,"&lt;65",#REF!,"&gt;17",#REF!,"x")</f>
        <v>#REF!</v>
      </c>
      <c r="H155" s="679" t="e">
        <f t="shared" ref="H155:H162" si="8">SUM(B155:G155)</f>
        <v>#REF!</v>
      </c>
      <c r="J155" s="607"/>
      <c r="K155" s="607"/>
      <c r="L155" s="607"/>
      <c r="M155" s="607"/>
      <c r="N155" s="118"/>
      <c r="O155" s="607"/>
      <c r="P155" s="607"/>
    </row>
    <row r="156" spans="1:16" ht="15.75" thickBot="1">
      <c r="A156" s="678" t="s">
        <v>5847</v>
      </c>
      <c r="B156" s="679" t="e">
        <f>SUMIFS(SurveyDATA!#REF!,SurveyDATA!#REF!,"LEGAL",SurveyDATA!E:E,"*BALAGTAS*")</f>
        <v>#REF!</v>
      </c>
      <c r="C156" s="679" t="e">
        <f>SUMIFS(SurveyDATA!#REF!,SurveyDATA!#REF!,"LEGAL",SurveyDATA!E:E,"*BALAGTAS*")</f>
        <v>#REF!</v>
      </c>
      <c r="D156" s="679" t="e">
        <f>SUMIFS(SurveyDATA!#REF!,SurveyDATA!#REF!,"LEGAL",SurveyDATA!E:E,"*BALAGTAS*")</f>
        <v>#REF!</v>
      </c>
      <c r="E156" s="679" t="e">
        <f>SUMIFS(SurveyDATA!#REF!,SurveyDATA!#REF!,"LEGAL",SurveyDATA!E:E,"*BALAGTAS*")</f>
        <v>#REF!</v>
      </c>
      <c r="F156" s="679" t="e">
        <f>SUMIFS(SurveyDATA!#REF!,SurveyDATA!#REF!,"LEGAL",SurveyDATA!E:E,"*BALAGTAS*")</f>
        <v>#REF!</v>
      </c>
      <c r="G156" s="679" t="e">
        <f>COUNTIFS(#REF!,"ISF-BA",#REF!,"&lt;65",#REF!,"&gt;17",#REF!,"x")</f>
        <v>#REF!</v>
      </c>
      <c r="H156" s="679" t="e">
        <f t="shared" si="8"/>
        <v>#REF!</v>
      </c>
      <c r="J156" s="607"/>
      <c r="K156" s="607"/>
      <c r="L156" s="607"/>
      <c r="M156" s="607"/>
      <c r="N156" s="118"/>
      <c r="O156" s="607"/>
      <c r="P156" s="607"/>
    </row>
    <row r="157" spans="1:16" ht="15.75" thickBot="1">
      <c r="A157" s="678" t="s">
        <v>771</v>
      </c>
      <c r="B157" s="679" t="e">
        <f>SUMIFS(SurveyDATA!#REF!,SurveyDATA!#REF!,"LEGAL",SurveyDATA!E:E,"*BOCAUE*")</f>
        <v>#REF!</v>
      </c>
      <c r="C157" s="679" t="e">
        <f>SUMIFS(SurveyDATA!#REF!,SurveyDATA!#REF!,"LEGAL",SurveyDATA!E:E,"*BOCAUE*")</f>
        <v>#REF!</v>
      </c>
      <c r="D157" s="679" t="e">
        <f>SUMIFS(SurveyDATA!#REF!,SurveyDATA!#REF!,"LEGAL",SurveyDATA!E:E,"*BOCAUE*")</f>
        <v>#REF!</v>
      </c>
      <c r="E157" s="679" t="e">
        <f>SUMIFS(SurveyDATA!#REF!,SurveyDATA!#REF!,"LEGAL",SurveyDATA!E:E,"*BOCAUE*")</f>
        <v>#REF!</v>
      </c>
      <c r="F157" s="679" t="e">
        <f>SUMIFS(SurveyDATA!#REF!,SurveyDATA!#REF!,"LEGAL",SurveyDATA!E:E,"*BOCAUE*")</f>
        <v>#REF!</v>
      </c>
      <c r="G157" s="679" t="e">
        <f>COUNTIFS(#REF!,"ISF-BO",#REF!,"&lt;65",#REF!,"&gt;17",#REF!,"x")</f>
        <v>#REF!</v>
      </c>
      <c r="H157" s="679" t="e">
        <f t="shared" si="8"/>
        <v>#REF!</v>
      </c>
      <c r="J157" s="607"/>
      <c r="K157" s="607"/>
      <c r="L157" s="607"/>
      <c r="M157" s="607"/>
      <c r="N157" s="118"/>
      <c r="O157" s="607"/>
      <c r="P157" s="607"/>
    </row>
    <row r="158" spans="1:16" ht="15.75" thickBot="1">
      <c r="A158" s="678" t="s">
        <v>5495</v>
      </c>
      <c r="B158" s="679" t="e">
        <f>SUMIFS(SurveyDATA!#REF!,SurveyDATA!#REF!,"LEGAL",SurveyDATA!E:E,"*MARILAO*")</f>
        <v>#REF!</v>
      </c>
      <c r="C158" s="679" t="e">
        <f>SUMIFS(SurveyDATA!#REF!,SurveyDATA!#REF!,"LEGAL",SurveyDATA!E:E,"*MARILAO*")</f>
        <v>#REF!</v>
      </c>
      <c r="D158" s="679" t="e">
        <f>SUMIFS(SurveyDATA!#REF!,SurveyDATA!#REF!,"LEGAL",SurveyDATA!E:E,"*MARILAO*")</f>
        <v>#REF!</v>
      </c>
      <c r="E158" s="679" t="e">
        <f>SUMIFS(SurveyDATA!#REF!,SurveyDATA!#REF!,"LEGAL",SurveyDATA!E:E,"*MARILAO*")</f>
        <v>#REF!</v>
      </c>
      <c r="F158" s="679" t="e">
        <f>SUMIFS(SurveyDATA!#REF!,SurveyDATA!#REF!,"LEGAL",SurveyDATA!E:E,"*MARILAO*")</f>
        <v>#REF!</v>
      </c>
      <c r="G158" s="679" t="e">
        <f>COUNTIFS(#REF!,"ISF-MA",#REF!,"&lt;65",#REF!,"&gt;17",#REF!,"x")</f>
        <v>#REF!</v>
      </c>
      <c r="H158" s="679" t="e">
        <f t="shared" si="8"/>
        <v>#REF!</v>
      </c>
      <c r="J158" s="607"/>
      <c r="K158" s="607"/>
      <c r="L158" s="607"/>
      <c r="M158" s="607"/>
      <c r="N158" s="118"/>
      <c r="O158" s="607"/>
      <c r="P158" s="607"/>
    </row>
    <row r="159" spans="1:16" ht="15.75" thickBot="1">
      <c r="A159" s="678" t="s">
        <v>5496</v>
      </c>
      <c r="B159" s="679" t="e">
        <f>SUMIFS(SurveyDATA!#REF!,SurveyDATA!#REF!,"LEGAL",SurveyDATA!E:E,"*MEYCAUAYAN*")</f>
        <v>#REF!</v>
      </c>
      <c r="C159" s="679" t="e">
        <f>SUMIFS(SurveyDATA!#REF!,SurveyDATA!#REF!,"LEGAL",SurveyDATA!E:E,"*MEYCAUAYAN*")</f>
        <v>#REF!</v>
      </c>
      <c r="D159" s="679" t="e">
        <f>SUMIFS(SurveyDATA!#REF!,SurveyDATA!#REF!,"LEGAL",SurveyDATA!E:E,"*MEYCAUAYAN*")</f>
        <v>#REF!</v>
      </c>
      <c r="E159" s="679" t="e">
        <f>SUMIFS(SurveyDATA!#REF!,SurveyDATA!#REF!,"LEGAL",SurveyDATA!E:E,"*MEYCAUAYAN*")</f>
        <v>#REF!</v>
      </c>
      <c r="F159" s="679" t="e">
        <f>SUMIFS(SurveyDATA!#REF!,SurveyDATA!#REF!,"LEGAL",SurveyDATA!E:E,"*MEYCAUAYAN*")</f>
        <v>#REF!</v>
      </c>
      <c r="G159" s="679" t="e">
        <f>COUNTIFS(#REF!,"ISF-MY",#REF!,"&lt;65",#REF!,"&gt;17",#REF!,"x")</f>
        <v>#REF!</v>
      </c>
      <c r="H159" s="679" t="e">
        <f t="shared" si="8"/>
        <v>#REF!</v>
      </c>
      <c r="J159" s="607"/>
      <c r="K159" s="607"/>
      <c r="L159" s="607"/>
      <c r="M159" s="607"/>
      <c r="N159" s="118"/>
      <c r="O159" s="607"/>
      <c r="P159" s="607"/>
    </row>
    <row r="160" spans="1:16" ht="15.75" thickBot="1">
      <c r="A160" s="678" t="s">
        <v>778</v>
      </c>
      <c r="B160" s="679" t="e">
        <f>SUMIFS(SurveyDATA!#REF!,SurveyDATA!#REF!,"LEGAL",SurveyDATA!E:E,"*VALENZUELA*")</f>
        <v>#REF!</v>
      </c>
      <c r="C160" s="679" t="e">
        <f>SUMIFS(SurveyDATA!#REF!,SurveyDATA!#REF!,"LEGAL",SurveyDATA!E:E,"*VALENZUELA*")</f>
        <v>#REF!</v>
      </c>
      <c r="D160" s="679" t="e">
        <f>SUMIFS(SurveyDATA!#REF!,SurveyDATA!#REF!,"LEGAL",SurveyDATA!E:E,"*VALENZUELA*")</f>
        <v>#REF!</v>
      </c>
      <c r="E160" s="679" t="e">
        <f>SUMIFS(SurveyDATA!#REF!,SurveyDATA!#REF!,"LEGAL",SurveyDATA!E:E,"*VALENZUELA*")</f>
        <v>#REF!</v>
      </c>
      <c r="F160" s="679" t="e">
        <f>SUMIFS(SurveyDATA!#REF!,SurveyDATA!#REF!,"LEGAL",SurveyDATA!E:E,"*VALENZUELA*")</f>
        <v>#REF!</v>
      </c>
      <c r="G160" s="679" t="e">
        <f>COUNTIFS(#REF!,"ISF-VAL",#REF!,"&lt;65",#REF!,"&gt;17",#REF!,"x")</f>
        <v>#REF!</v>
      </c>
      <c r="H160" s="679" t="e">
        <f t="shared" si="8"/>
        <v>#REF!</v>
      </c>
      <c r="J160" s="607"/>
      <c r="K160" s="607"/>
      <c r="L160" s="607"/>
      <c r="M160" s="607"/>
      <c r="N160" s="118"/>
      <c r="O160" s="607"/>
      <c r="P160" s="607"/>
    </row>
    <row r="161" spans="1:16" ht="15.75" thickBot="1">
      <c r="A161" s="678" t="s">
        <v>5493</v>
      </c>
      <c r="B161" s="679" t="e">
        <f>SUMIFS(SurveyDATA!#REF!,SurveyDATA!#REF!,"LEGAL",SurveyDATA!E:E,"*CALOOCAN*")</f>
        <v>#REF!</v>
      </c>
      <c r="C161" s="679" t="e">
        <f>SUMIFS(SurveyDATA!#REF!,SurveyDATA!#REF!,"LEGAL",SurveyDATA!E:E,"*CALOOCAN*")</f>
        <v>#REF!</v>
      </c>
      <c r="D161" s="679" t="e">
        <f>SUMIFS(SurveyDATA!#REF!,SurveyDATA!#REF!,"LEGAL",SurveyDATA!E:E,"*CALOOCAN*")</f>
        <v>#REF!</v>
      </c>
      <c r="E161" s="679" t="e">
        <f>SUMIFS(SurveyDATA!#REF!,SurveyDATA!#REF!,"LEGAL",SurveyDATA!E:E,"*CALOOCAN*")</f>
        <v>#REF!</v>
      </c>
      <c r="F161" s="679" t="e">
        <f>SUMIFS(SurveyDATA!#REF!,SurveyDATA!#REF!,"LEGAL",SurveyDATA!E:E,"*CALOOCAN*")</f>
        <v>#REF!</v>
      </c>
      <c r="G161" s="679" t="e">
        <f>COUNTIFS(#REF!,"ISF-CA",#REF!,"&lt;65",#REF!,"&gt;17",#REF!,"x")</f>
        <v>#REF!</v>
      </c>
      <c r="H161" s="679" t="e">
        <f t="shared" si="8"/>
        <v>#REF!</v>
      </c>
      <c r="J161" s="607"/>
      <c r="K161" s="607"/>
      <c r="L161" s="607"/>
      <c r="M161" s="607"/>
      <c r="N161" s="118"/>
      <c r="O161" s="607"/>
      <c r="P161" s="607"/>
    </row>
    <row r="162" spans="1:16" ht="15.75" thickBot="1">
      <c r="A162" s="678" t="s">
        <v>1020</v>
      </c>
      <c r="B162" s="679" t="e">
        <f>SUMIFS(SurveyDATA!#REF!,SurveyDATA!#REF!,"LEGAL",SurveyDATA!E:E,"*MANILA*")</f>
        <v>#REF!</v>
      </c>
      <c r="C162" s="679" t="e">
        <f>SUMIFS(SurveyDATA!#REF!,SurveyDATA!#REF!,"LEGAL",SurveyDATA!E:E,"*MANILA*")</f>
        <v>#REF!</v>
      </c>
      <c r="D162" s="679" t="e">
        <f>SUMIFS(SurveyDATA!#REF!,SurveyDATA!#REF!,"LEGAL",SurveyDATA!E:E,"*MANILA*")</f>
        <v>#REF!</v>
      </c>
      <c r="E162" s="679" t="e">
        <f>SUMIFS(SurveyDATA!#REF!,SurveyDATA!#REF!,"LEGAL",SurveyDATA!E:E,"*MANILA*")</f>
        <v>#REF!</v>
      </c>
      <c r="F162" s="679" t="e">
        <f>SUMIFS(SurveyDATA!#REF!,SurveyDATA!#REF!,"LEGAL",SurveyDATA!E:E,"*MANILA*")</f>
        <v>#REF!</v>
      </c>
      <c r="G162" s="679" t="e">
        <f>COUNTIFS(#REF!,"ISF-MN",#REF!,"&lt;65",#REF!,"&gt;17",#REF!,"x")</f>
        <v>#REF!</v>
      </c>
      <c r="H162" s="679" t="e">
        <f t="shared" si="8"/>
        <v>#REF!</v>
      </c>
      <c r="J162" s="607"/>
      <c r="K162" s="607"/>
      <c r="L162" s="607"/>
      <c r="M162" s="607"/>
      <c r="N162" s="118"/>
      <c r="O162" s="607"/>
      <c r="P162" s="607"/>
    </row>
    <row r="163" spans="1:16" ht="15.75" thickBot="1">
      <c r="A163" s="681" t="s">
        <v>2034</v>
      </c>
      <c r="B163" s="681" t="e">
        <f t="shared" ref="B163:G163" si="9">SUM(B154:B162)</f>
        <v>#REF!</v>
      </c>
      <c r="C163" s="681" t="e">
        <f t="shared" si="9"/>
        <v>#REF!</v>
      </c>
      <c r="D163" s="681" t="e">
        <f t="shared" si="9"/>
        <v>#REF!</v>
      </c>
      <c r="E163" s="681" t="e">
        <f t="shared" si="9"/>
        <v>#REF!</v>
      </c>
      <c r="F163" s="681" t="e">
        <f t="shared" si="9"/>
        <v>#REF!</v>
      </c>
      <c r="G163" s="681" t="e">
        <f t="shared" si="9"/>
        <v>#REF!</v>
      </c>
      <c r="H163" s="681" t="e">
        <f>SUM(B163:G163)</f>
        <v>#REF!</v>
      </c>
      <c r="J163" s="607"/>
      <c r="K163" s="607"/>
      <c r="L163" s="607"/>
      <c r="M163" s="607"/>
      <c r="N163" s="118"/>
      <c r="O163" s="607"/>
      <c r="P163" s="607"/>
    </row>
    <row r="164" spans="1:16" ht="15.75" thickBot="1">
      <c r="A164" s="682" t="s">
        <v>7243</v>
      </c>
      <c r="B164" s="683" t="e">
        <f>B163/H163</f>
        <v>#REF!</v>
      </c>
      <c r="C164" s="683" t="e">
        <f>C163/H163</f>
        <v>#REF!</v>
      </c>
      <c r="D164" s="683" t="e">
        <f>D163/H163</f>
        <v>#REF!</v>
      </c>
      <c r="E164" s="683" t="e">
        <f>E163/H163</f>
        <v>#REF!</v>
      </c>
      <c r="F164" s="683" t="e">
        <f>F163/H163</f>
        <v>#REF!</v>
      </c>
      <c r="G164" s="683" t="e">
        <f>G163/H163</f>
        <v>#REF!</v>
      </c>
      <c r="H164" s="683" t="e">
        <f>SUM(B164:G164)</f>
        <v>#REF!</v>
      </c>
      <c r="J164" s="607"/>
      <c r="K164" s="607"/>
      <c r="L164" s="607"/>
      <c r="M164" s="607"/>
      <c r="N164" s="118"/>
      <c r="O164" s="607"/>
      <c r="P164" s="607"/>
    </row>
    <row r="165" spans="1:16">
      <c r="J165" s="607"/>
      <c r="K165" s="607"/>
      <c r="L165" s="607"/>
      <c r="M165" s="607"/>
      <c r="N165" s="118"/>
      <c r="O165" s="607"/>
      <c r="P165" s="607"/>
    </row>
    <row r="166" spans="1:16">
      <c r="J166" s="607"/>
      <c r="K166" s="607"/>
      <c r="L166" s="607"/>
      <c r="M166" s="607"/>
      <c r="N166" s="713"/>
      <c r="O166" s="607"/>
      <c r="P166" s="607"/>
    </row>
    <row r="167" spans="1:16">
      <c r="A167" s="594" t="s">
        <v>7309</v>
      </c>
      <c r="J167" s="607"/>
      <c r="K167" s="607"/>
      <c r="L167" s="607"/>
      <c r="M167" s="607"/>
      <c r="N167" s="714"/>
      <c r="O167" s="607"/>
      <c r="P167" s="607"/>
    </row>
    <row r="168" spans="1:16" ht="15.75" thickBot="1">
      <c r="J168" s="607"/>
      <c r="K168" s="607"/>
      <c r="L168" s="607"/>
      <c r="M168" s="607"/>
      <c r="N168" s="714"/>
      <c r="O168" s="607"/>
      <c r="P168" s="607"/>
    </row>
    <row r="169" spans="1:16" ht="15.75" thickBot="1">
      <c r="A169" s="1901" t="s">
        <v>7214</v>
      </c>
      <c r="B169" s="1897" t="s">
        <v>7317</v>
      </c>
      <c r="C169" s="1904"/>
      <c r="D169" s="1904"/>
      <c r="E169" s="1904"/>
      <c r="F169" s="1904"/>
      <c r="G169" s="1904"/>
      <c r="H169" s="1898"/>
      <c r="I169" s="1901" t="s">
        <v>2034</v>
      </c>
      <c r="J169" s="607"/>
      <c r="K169" s="607"/>
      <c r="L169" s="607"/>
      <c r="M169" s="607"/>
      <c r="N169" s="714"/>
      <c r="O169" s="607"/>
      <c r="P169" s="607"/>
    </row>
    <row r="170" spans="1:16">
      <c r="A170" s="1903"/>
      <c r="B170" s="1901" t="s">
        <v>7310</v>
      </c>
      <c r="C170" s="651" t="s">
        <v>7311</v>
      </c>
      <c r="D170" s="1901" t="s">
        <v>7312</v>
      </c>
      <c r="E170" s="1901" t="s">
        <v>7313</v>
      </c>
      <c r="F170" s="1901" t="s">
        <v>7314</v>
      </c>
      <c r="G170" s="1901" t="s">
        <v>7315</v>
      </c>
      <c r="H170" s="1901" t="s">
        <v>7316</v>
      </c>
      <c r="I170" s="1903"/>
      <c r="J170" s="607"/>
      <c r="K170" s="607"/>
      <c r="L170" s="607"/>
      <c r="M170" s="607"/>
      <c r="N170" s="714"/>
      <c r="O170" s="607"/>
      <c r="P170" s="607"/>
    </row>
    <row r="171" spans="1:16" ht="15.75" thickBot="1">
      <c r="A171" s="1902"/>
      <c r="B171" s="1902"/>
      <c r="C171" s="693">
        <v>10000</v>
      </c>
      <c r="D171" s="1902"/>
      <c r="E171" s="1902"/>
      <c r="F171" s="1902"/>
      <c r="G171" s="1902"/>
      <c r="H171" s="1902"/>
      <c r="I171" s="1902"/>
      <c r="J171" s="607"/>
      <c r="K171" s="607"/>
      <c r="L171" s="607"/>
      <c r="M171" s="607"/>
      <c r="N171" s="714"/>
      <c r="O171" s="607"/>
      <c r="P171" s="607"/>
    </row>
    <row r="172" spans="1:16" ht="15.75" thickBot="1">
      <c r="A172" s="586" t="s">
        <v>5848</v>
      </c>
      <c r="B172" s="587" t="e">
        <f>COUNTIFS(SurveyDATA!#REF!,"LEGAL",SurveyDATA!E:E,"*MALOLOS*",SurveyDATA!#REF!,"&gt;0",SurveyDATA!#REF!,"&lt;5000")</f>
        <v>#REF!</v>
      </c>
      <c r="C172" s="587" t="e">
        <f>COUNTIFS(SurveyDATA!#REF!,"LEGAL",SurveyDATA!E:E,"*MALOLOS*",SurveyDATA!#REF!,"&gt;0",SurveyDATA!#REF!,"&lt;10001",SurveyDATA!#REF!,"&gt;5000")</f>
        <v>#REF!</v>
      </c>
      <c r="D172" s="587" t="e">
        <f>COUNTIFS(SurveyDATA!#REF!,"LEGAL",SurveyDATA!E:E,"*MALOLOS*",SurveyDATA!#REF!,"&gt;0",SurveyDATA!#REF!,"&lt;15001",SurveyDATA!#REF!,"&gt;10000")</f>
        <v>#REF!</v>
      </c>
      <c r="E172" s="587" t="e">
        <f>COUNTIFS(SurveyDATA!#REF!,"LEGAL",SurveyDATA!E:E,"*MALOLOS*",SurveyDATA!#REF!,"&gt;0",SurveyDATA!#REF!,"&lt;20001",SurveyDATA!#REF!,"&gt;15000")</f>
        <v>#REF!</v>
      </c>
      <c r="F172" s="587" t="e">
        <f>COUNTIFS(SurveyDATA!#REF!,"LEGAL",SurveyDATA!E:E,"*MALOLOS*",SurveyDATA!#REF!,"&gt;0",SurveyDATA!#REF!,"&lt;30001",SurveyDATA!#REF!,"&gt;20000")</f>
        <v>#REF!</v>
      </c>
      <c r="G172" s="587" t="e">
        <f>COUNTIFS(SurveyDATA!#REF!,"LEGAL",SurveyDATA!E:E,"*MALOLOS*",SurveyDATA!#REF!,"&gt;0",SurveyDATA!#REF!,"&lt;50001",SurveyDATA!#REF!,"&gt;30000")</f>
        <v>#REF!</v>
      </c>
      <c r="H172" s="587" t="e">
        <f>COUNTIFS(SurveyDATA!#REF!,"LEGAL",SurveyDATA!E:E,"*MALOLOS*",SurveyDATA!#REF!,"&gt;0",SurveyDATA!#REF!,"&gt;50001")</f>
        <v>#REF!</v>
      </c>
      <c r="I172" s="587" t="e">
        <f>SUM(B172:H172)</f>
        <v>#REF!</v>
      </c>
      <c r="J172" s="607"/>
      <c r="K172" s="607"/>
      <c r="L172" s="607"/>
      <c r="M172" s="607"/>
      <c r="N172" s="714"/>
      <c r="O172" s="607"/>
      <c r="P172" s="607"/>
    </row>
    <row r="173" spans="1:16" ht="15.75" thickBot="1">
      <c r="A173" s="586" t="s">
        <v>5494</v>
      </c>
      <c r="B173" s="587" t="e">
        <f>COUNTIFS(SurveyDATA!#REF!,"LEGAL",SurveyDATA!E:E,"*GUIGUINTO*",SurveyDATA!#REF!,"&gt;0",SurveyDATA!#REF!,"&lt;5000")</f>
        <v>#REF!</v>
      </c>
      <c r="C173" s="587" t="e">
        <f>COUNTIFS(SurveyDATA!#REF!,"LEGAL",SurveyDATA!E:E,"*GUIGUINTO*",SurveyDATA!#REF!,"&gt;0",SurveyDATA!#REF!,"&lt;10001",SurveyDATA!#REF!,"&gt;5000")</f>
        <v>#REF!</v>
      </c>
      <c r="D173" s="587" t="e">
        <f>COUNTIFS(SurveyDATA!#REF!,"LEGAL",SurveyDATA!E:E,"*GUIGUINTO*",SurveyDATA!#REF!,"&gt;0",SurveyDATA!#REF!,"&lt;15001",SurveyDATA!#REF!,"&gt;10000")</f>
        <v>#REF!</v>
      </c>
      <c r="E173" s="587" t="e">
        <f>COUNTIFS(SurveyDATA!#REF!,"LEGAL",SurveyDATA!E:E,"*GUIGUINTO*",SurveyDATA!#REF!,"&gt;0",SurveyDATA!#REF!,"&lt;20001",SurveyDATA!#REF!,"&gt;15000")</f>
        <v>#REF!</v>
      </c>
      <c r="F173" s="587" t="e">
        <f>COUNTIFS(SurveyDATA!#REF!,"LEGAL",SurveyDATA!E:E,"*BALAGTAS*",SurveyDATA!#REF!,"&gt;0",SurveyDATA!#REF!,"&lt;30001",SurveyDATA!#REF!,"&gt;20000")</f>
        <v>#REF!</v>
      </c>
      <c r="G173" s="587" t="e">
        <f>COUNTIFS(SurveyDATA!#REF!,"LEGAL",SurveyDATA!E:E,"*GUIGUINTO*",SurveyDATA!#REF!,"&gt;0",SurveyDATA!#REF!,"&lt;50001",SurveyDATA!#REF!,"&gt;30000")</f>
        <v>#REF!</v>
      </c>
      <c r="H173" s="587" t="e">
        <f>COUNTIFS(SurveyDATA!#REF!,"LEGAL",SurveyDATA!E:E,"*GUIGUINTO*",SurveyDATA!#REF!,"&gt;0",SurveyDATA!#REF!,"&gt;50001")</f>
        <v>#REF!</v>
      </c>
      <c r="I173" s="587" t="e">
        <f t="shared" ref="I173:I181" si="10">SUM(B173:H173)</f>
        <v>#REF!</v>
      </c>
      <c r="J173" s="607"/>
      <c r="K173" s="607"/>
      <c r="L173" s="607"/>
      <c r="M173" s="607"/>
      <c r="N173" s="714"/>
      <c r="O173" s="607"/>
      <c r="P173" s="607"/>
    </row>
    <row r="174" spans="1:16" ht="15.75" thickBot="1">
      <c r="A174" s="586" t="s">
        <v>5847</v>
      </c>
      <c r="B174" s="587" t="e">
        <f>COUNTIFS(SurveyDATA!#REF!,"LEGAL",SurveyDATA!E:E,"*BALAGTAS*",SurveyDATA!#REF!,"&gt;0",SurveyDATA!#REF!,"&lt;5000")</f>
        <v>#REF!</v>
      </c>
      <c r="C174" s="587" t="e">
        <f>COUNTIFS(SurveyDATA!#REF!,"LEGAL",SurveyDATA!E:E,"*BALAGTAS*",SurveyDATA!#REF!,"&gt;0",SurveyDATA!#REF!,"&lt;10001",SurveyDATA!#REF!,"&gt;5000")</f>
        <v>#REF!</v>
      </c>
      <c r="D174" s="587" t="e">
        <f>COUNTIFS(SurveyDATA!#REF!,"LEGAL",SurveyDATA!E:E,"*BALAGTAS*",SurveyDATA!#REF!,"&gt;0",SurveyDATA!#REF!,"&lt;15001",SurveyDATA!#REF!,"&gt;10000")</f>
        <v>#REF!</v>
      </c>
      <c r="E174" s="587" t="e">
        <f>COUNTIFS(SurveyDATA!#REF!,"LEGAL",SurveyDATA!E:E,"*BALAGTAS*",SurveyDATA!#REF!,"&gt;0",SurveyDATA!#REF!,"&lt;20001",SurveyDATA!#REF!,"&gt;15000")</f>
        <v>#REF!</v>
      </c>
      <c r="F174" s="587" t="e">
        <f>COUNTIFS(SurveyDATA!#REF!,"LEGAL",SurveyDATA!E:E,"*BALAGTAS*",SurveyDATA!#REF!,"&gt;0",SurveyDATA!#REF!,"&lt;30001",SurveyDATA!#REF!,"&gt;20000")</f>
        <v>#REF!</v>
      </c>
      <c r="G174" s="587" t="e">
        <f>COUNTIFS(SurveyDATA!#REF!,"LEGAL",SurveyDATA!E:E,"*BALAGTAS*",SurveyDATA!#REF!,"&gt;0",SurveyDATA!#REF!,"&lt;50001",SurveyDATA!#REF!,"&gt;30000")</f>
        <v>#REF!</v>
      </c>
      <c r="H174" s="587" t="e">
        <f>COUNTIFS(SurveyDATA!#REF!,"LEGAL",SurveyDATA!E:E,"*BALAGTAS*",SurveyDATA!#REF!,"&gt;0",SurveyDATA!#REF!,"&gt;50001")</f>
        <v>#REF!</v>
      </c>
      <c r="I174" s="587" t="e">
        <f t="shared" si="10"/>
        <v>#REF!</v>
      </c>
      <c r="J174" s="607"/>
      <c r="K174" s="607"/>
      <c r="L174" s="607"/>
      <c r="M174" s="607"/>
      <c r="N174" s="114"/>
      <c r="O174" s="607"/>
      <c r="P174" s="607"/>
    </row>
    <row r="175" spans="1:16" ht="15.75" thickBot="1">
      <c r="A175" s="586" t="s">
        <v>771</v>
      </c>
      <c r="B175" s="587" t="e">
        <f>COUNTIFS(SurveyDATA!#REF!,"LEGAL",SurveyDATA!E:E,"*BOCAUE*",SurveyDATA!#REF!,"&gt;0",SurveyDATA!#REF!,"&lt;5000")</f>
        <v>#REF!</v>
      </c>
      <c r="C175" s="587" t="e">
        <f>COUNTIFS(SurveyDATA!#REF!,"LEGAL",SurveyDATA!E:E,"*BOCAUE*",SurveyDATA!#REF!,"&gt;0",SurveyDATA!#REF!,"&lt;10001",SurveyDATA!#REF!,"&gt;5000")</f>
        <v>#REF!</v>
      </c>
      <c r="D175" s="587" t="e">
        <f>COUNTIFS(SurveyDATA!#REF!,"LEGAL",SurveyDATA!E:E,"*BOCAUE*",SurveyDATA!#REF!,"&gt;0",SurveyDATA!#REF!,"&lt;15001",SurveyDATA!#REF!,"&gt;10000")</f>
        <v>#REF!</v>
      </c>
      <c r="E175" s="587" t="e">
        <f>COUNTIFS(SurveyDATA!#REF!,"LEGAL",SurveyDATA!E:E,"*BOCAUE*",SurveyDATA!#REF!,"&gt;0",SurveyDATA!#REF!,"&lt;20001",SurveyDATA!#REF!,"&gt;15000")</f>
        <v>#REF!</v>
      </c>
      <c r="F175" s="587" t="e">
        <f>COUNTIFS(SurveyDATA!#REF!,"LEGAL",SurveyDATA!E:E,"*BOCAUE*",SurveyDATA!#REF!,"&gt;0",SurveyDATA!#REF!,"&lt;30001",SurveyDATA!#REF!,"&gt;20000")</f>
        <v>#REF!</v>
      </c>
      <c r="G175" s="587" t="e">
        <f>COUNTIFS(SurveyDATA!#REF!,"LEGAL",SurveyDATA!E:E,"*BOCAUE*",SurveyDATA!#REF!,"&gt;0",SurveyDATA!#REF!,"&lt;50001",SurveyDATA!#REF!,"&gt;30000")</f>
        <v>#REF!</v>
      </c>
      <c r="H175" s="587" t="e">
        <f>COUNTIFS(SurveyDATA!#REF!,"LEGAL",SurveyDATA!E:E,"*BOCAUE*",SurveyDATA!#REF!,"&gt;0",SurveyDATA!#REF!,"&gt;50001")</f>
        <v>#REF!</v>
      </c>
      <c r="I175" s="587" t="e">
        <f t="shared" si="10"/>
        <v>#REF!</v>
      </c>
      <c r="J175" s="607"/>
      <c r="K175" s="607"/>
      <c r="L175" s="607"/>
      <c r="M175" s="607"/>
      <c r="N175" s="714"/>
      <c r="O175" s="607"/>
      <c r="P175" s="607"/>
    </row>
    <row r="176" spans="1:16" ht="15.75" thickBot="1">
      <c r="A176" s="586" t="s">
        <v>5495</v>
      </c>
      <c r="B176" s="587" t="e">
        <f>COUNTIFS(SurveyDATA!#REF!,"LEGAL",SurveyDATA!E:E,"*MARILAO*",SurveyDATA!#REF!,"&gt;0",SurveyDATA!#REF!,"&lt;5000")</f>
        <v>#REF!</v>
      </c>
      <c r="C176" s="587" t="e">
        <f>COUNTIFS(SurveyDATA!#REF!,"LEGAL",SurveyDATA!E:E,"*MARILAO*",SurveyDATA!#REF!,"&gt;0",SurveyDATA!#REF!,"&lt;10001",SurveyDATA!#REF!,"&gt;5000")</f>
        <v>#REF!</v>
      </c>
      <c r="D176" s="587" t="e">
        <f>COUNTIFS(SurveyDATA!#REF!,"LEGAL",SurveyDATA!E:E,"*MARILAO*",SurveyDATA!#REF!,"&gt;0",SurveyDATA!#REF!,"&lt;15001",SurveyDATA!#REF!,"&gt;10000")</f>
        <v>#REF!</v>
      </c>
      <c r="E176" s="587" t="e">
        <f>COUNTIFS(SurveyDATA!#REF!,"LEGAL",SurveyDATA!E:E,"*MARILAO*",SurveyDATA!#REF!,"&gt;0",SurveyDATA!#REF!,"&lt;20001",SurveyDATA!#REF!,"&gt;15000")</f>
        <v>#REF!</v>
      </c>
      <c r="F176" s="587" t="e">
        <f>COUNTIFS(SurveyDATA!#REF!,"LEGAL",SurveyDATA!E:E,"*MARILAO*",SurveyDATA!#REF!,"&gt;0",SurveyDATA!#REF!,"&lt;30001",SurveyDATA!#REF!,"&gt;20000")</f>
        <v>#REF!</v>
      </c>
      <c r="G176" s="587" t="e">
        <f>COUNTIFS(SurveyDATA!#REF!,"LEGAL",SurveyDATA!E:E,"*MARILAO*",SurveyDATA!#REF!,"&gt;0",SurveyDATA!#REF!,"&lt;50001",SurveyDATA!#REF!,"&gt;30000")</f>
        <v>#REF!</v>
      </c>
      <c r="H176" s="587" t="e">
        <f>COUNTIFS(SurveyDATA!#REF!,"LEGAL",SurveyDATA!E:E,"*MAARILAO*",SurveyDATA!#REF!,"&gt;0",SurveyDATA!#REF!,"&gt;50001")</f>
        <v>#REF!</v>
      </c>
      <c r="I176" s="587" t="e">
        <f t="shared" si="10"/>
        <v>#REF!</v>
      </c>
      <c r="J176" s="607"/>
      <c r="K176" s="607"/>
      <c r="L176" s="607"/>
      <c r="M176" s="607"/>
      <c r="N176" s="712"/>
      <c r="O176" s="607"/>
      <c r="P176" s="607"/>
    </row>
    <row r="177" spans="1:16" ht="15.75" thickBot="1">
      <c r="A177" s="586" t="s">
        <v>5496</v>
      </c>
      <c r="B177" s="587" t="e">
        <f>COUNTIFS(SurveyDATA!#REF!,"LEGAL",SurveyDATA!E:E,"*MEYCAUAYAN*",SurveyDATA!#REF!,"&gt;0",SurveyDATA!#REF!,"&lt;5000")</f>
        <v>#REF!</v>
      </c>
      <c r="C177" s="587" t="e">
        <f>COUNTIFS(SurveyDATA!#REF!,"LEGAL",SurveyDATA!E:E,"*MEYCAUAYAN*",SurveyDATA!#REF!,"&gt;0",SurveyDATA!#REF!,"&lt;10001",SurveyDATA!#REF!,"&gt;5000")</f>
        <v>#REF!</v>
      </c>
      <c r="D177" s="587" t="e">
        <f>COUNTIFS(SurveyDATA!#REF!,"LEGAL",SurveyDATA!E:E,"*MEYCAUAYAN*",SurveyDATA!#REF!,"&gt;0",SurveyDATA!#REF!,"&lt;15001",SurveyDATA!#REF!,"&gt;10000")</f>
        <v>#REF!</v>
      </c>
      <c r="E177" s="587" t="e">
        <f>COUNTIFS(SurveyDATA!#REF!,"LEGAL",SurveyDATA!E:E,"*MEYCAUAYAN*",SurveyDATA!#REF!,"&gt;0",SurveyDATA!#REF!,"&lt;20001",SurveyDATA!#REF!,"&gt;15000")</f>
        <v>#REF!</v>
      </c>
      <c r="F177" s="587" t="e">
        <f>COUNTIFS(SurveyDATA!#REF!,"LEGAL",SurveyDATA!E:E,"*MEYCAUAYAN*",SurveyDATA!#REF!,"&gt;0",SurveyDATA!#REF!,"&lt;30001",SurveyDATA!#REF!,"&gt;20000")</f>
        <v>#REF!</v>
      </c>
      <c r="G177" s="587" t="e">
        <f>COUNTIFS(SurveyDATA!#REF!,"LEGAL",SurveyDATA!E:E,"*MEYCAUAYAN*",SurveyDATA!#REF!,"&gt;0",SurveyDATA!#REF!,"&lt;50001",SurveyDATA!#REF!,"&gt;30000")</f>
        <v>#REF!</v>
      </c>
      <c r="H177" s="587" t="e">
        <f>COUNTIFS(SurveyDATA!#REF!,"LEGAL",SurveyDATA!E:E,"*MEYCAUAYAN*",SurveyDATA!#REF!,"&gt;0",SurveyDATA!#REF!,"&gt;50001")</f>
        <v>#REF!</v>
      </c>
      <c r="I177" s="587" t="e">
        <f t="shared" si="10"/>
        <v>#REF!</v>
      </c>
      <c r="J177" s="607"/>
      <c r="K177" s="607"/>
      <c r="L177" s="607"/>
      <c r="M177" s="607"/>
      <c r="N177" s="712"/>
      <c r="O177" s="607"/>
      <c r="P177" s="607"/>
    </row>
    <row r="178" spans="1:16" ht="15.75" thickBot="1">
      <c r="A178" s="586" t="s">
        <v>778</v>
      </c>
      <c r="B178" s="587" t="e">
        <f>COUNTIFS(SurveyDATA!#REF!,"LEGAL",SurveyDATA!E:E,"*VALENZUELA*",SurveyDATA!#REF!,"&gt;0",SurveyDATA!#REF!,"&lt;5000")</f>
        <v>#REF!</v>
      </c>
      <c r="C178" s="587" t="e">
        <f>COUNTIFS(SurveyDATA!#REF!,"LEGAL",SurveyDATA!E:E,"*VALENZUELA*",SurveyDATA!#REF!,"&gt;0",SurveyDATA!#REF!,"&lt;10001",SurveyDATA!#REF!,"&gt;5000")</f>
        <v>#REF!</v>
      </c>
      <c r="D178" s="587" t="e">
        <f>COUNTIFS(SurveyDATA!#REF!,"LEGAL",SurveyDATA!E:E,"*VALENZUELA*",SurveyDATA!#REF!,"&gt;0",SurveyDATA!#REF!,"&lt;15001",SurveyDATA!#REF!,"&gt;10000")</f>
        <v>#REF!</v>
      </c>
      <c r="E178" s="587" t="e">
        <f>COUNTIFS(SurveyDATA!#REF!,"LEGAL",SurveyDATA!E:E,"*VALENZUELA*",SurveyDATA!#REF!,"&gt;0",SurveyDATA!#REF!,"&lt;20001",SurveyDATA!#REF!,"&gt;15000")</f>
        <v>#REF!</v>
      </c>
      <c r="F178" s="587" t="e">
        <f>COUNTIFS(SurveyDATA!#REF!,"LEGAL",SurveyDATA!E:E,"*VALENZUELA*",SurveyDATA!#REF!,"&gt;0",SurveyDATA!#REF!,"&lt;30001",SurveyDATA!#REF!,"&gt;20000")</f>
        <v>#REF!</v>
      </c>
      <c r="G178" s="587" t="e">
        <f>COUNTIFS(SurveyDATA!#REF!,"LEGAL",SurveyDATA!E:E,"*VALENZUELA*",SurveyDATA!#REF!,"&gt;0",SurveyDATA!#REF!,"&lt;50001",SurveyDATA!#REF!,"&gt;30000")</f>
        <v>#REF!</v>
      </c>
      <c r="H178" s="587" t="e">
        <f>COUNTIFS(SurveyDATA!#REF!,"LEGAL",SurveyDATA!E:E,"*VALENZUELA*",SurveyDATA!#REF!,"&gt;0",SurveyDATA!#REF!,"&gt;50001")</f>
        <v>#REF!</v>
      </c>
      <c r="I178" s="587" t="e">
        <f t="shared" si="10"/>
        <v>#REF!</v>
      </c>
      <c r="J178" s="607"/>
      <c r="K178" s="607"/>
      <c r="L178" s="607"/>
      <c r="M178" s="607"/>
      <c r="N178" s="118"/>
      <c r="O178" s="607"/>
      <c r="P178" s="607"/>
    </row>
    <row r="179" spans="1:16" ht="15.75" thickBot="1">
      <c r="A179" s="586" t="s">
        <v>5493</v>
      </c>
      <c r="B179" s="587" t="e">
        <f>COUNTIFS(SurveyDATA!#REF!,"LEGAL",SurveyDATA!E:E,"*MALOCALOOCANLOS*",SurveyDATA!#REF!,"&gt;0",SurveyDATA!#REF!,"&lt;5000")</f>
        <v>#REF!</v>
      </c>
      <c r="C179" s="587" t="e">
        <f>COUNTIFS(SurveyDATA!#REF!,"LEGAL",SurveyDATA!E:E,"*CALOOCAN*",SurveyDATA!#REF!,"&gt;0",SurveyDATA!#REF!,"&lt;10001",SurveyDATA!#REF!,"&gt;5000")</f>
        <v>#REF!</v>
      </c>
      <c r="D179" s="587" t="e">
        <f>COUNTIFS(SurveyDATA!#REF!,"LEGAL",SurveyDATA!E:E,"*CALOOCAN*",SurveyDATA!#REF!,"&gt;0",SurveyDATA!#REF!,"&lt;15001",SurveyDATA!#REF!,"&gt;10000")</f>
        <v>#REF!</v>
      </c>
      <c r="E179" s="587" t="e">
        <f>COUNTIFS(SurveyDATA!#REF!,"LEGAL",SurveyDATA!E:E,"*CALOOCAN*",SurveyDATA!#REF!,"&gt;0",SurveyDATA!#REF!,"&lt;20001",SurveyDATA!#REF!,"&gt;15000")</f>
        <v>#REF!</v>
      </c>
      <c r="F179" s="587" t="e">
        <f>COUNTIFS(SurveyDATA!#REF!,"LEGAL",SurveyDATA!E:E,"*CALOOCAN*",SurveyDATA!#REF!,"&gt;0",SurveyDATA!#REF!,"&lt;30001",SurveyDATA!#REF!,"&gt;20000")</f>
        <v>#REF!</v>
      </c>
      <c r="G179" s="587" t="e">
        <f>COUNTIFS(SurveyDATA!#REF!,"LEGAL",SurveyDATA!E:E,"*CALOOCAN*",SurveyDATA!#REF!,"&gt;0",SurveyDATA!#REF!,"&lt;50001",SurveyDATA!#REF!,"&gt;30000")</f>
        <v>#REF!</v>
      </c>
      <c r="H179" s="587" t="e">
        <f>COUNTIFS(SurveyDATA!#REF!,"LEGAL",SurveyDATA!E:E,"*CALOOCAN*",SurveyDATA!#REF!,"&gt;0",SurveyDATA!#REF!,"&gt;50001")</f>
        <v>#REF!</v>
      </c>
      <c r="I179" s="587" t="e">
        <f t="shared" si="10"/>
        <v>#REF!</v>
      </c>
      <c r="J179" s="607"/>
      <c r="K179" s="607"/>
      <c r="L179" s="607"/>
      <c r="M179" s="607"/>
      <c r="N179" s="118"/>
      <c r="O179" s="607"/>
      <c r="P179" s="607"/>
    </row>
    <row r="180" spans="1:16" ht="15.75" thickBot="1">
      <c r="A180" s="586" t="s">
        <v>1020</v>
      </c>
      <c r="B180" s="587" t="e">
        <f>COUNTIFS(SurveyDATA!#REF!,"LEGAL",SurveyDATA!E:E,"*MANILA*",SurveyDATA!#REF!,"&gt;0",SurveyDATA!#REF!,"&lt;5000")</f>
        <v>#REF!</v>
      </c>
      <c r="C180" s="587" t="e">
        <f>COUNTIFS(SurveyDATA!#REF!,"LEGAL",SurveyDATA!E:E,"*MANILA*",SurveyDATA!#REF!,"&gt;0",SurveyDATA!#REF!,"&lt;10001",SurveyDATA!#REF!,"&gt;5000")</f>
        <v>#REF!</v>
      </c>
      <c r="D180" s="587" t="e">
        <f>COUNTIFS(SurveyDATA!#REF!,"LEGAL",SurveyDATA!E:E,"*MANILA*",SurveyDATA!#REF!,"&gt;0",SurveyDATA!#REF!,"&lt;15001",SurveyDATA!#REF!,"&gt;10000")</f>
        <v>#REF!</v>
      </c>
      <c r="E180" s="587" t="e">
        <f>COUNTIFS(SurveyDATA!#REF!,"LEGAL",SurveyDATA!E:E,"*MANILA*",SurveyDATA!#REF!,"&gt;0",SurveyDATA!#REF!,"&lt;20001",SurveyDATA!#REF!,"&gt;15000")</f>
        <v>#REF!</v>
      </c>
      <c r="F180" s="587" t="e">
        <f>COUNTIFS(SurveyDATA!#REF!,"LEGAL",SurveyDATA!E:E,"*MANILA*",SurveyDATA!#REF!,"&gt;0",SurveyDATA!#REF!,"&lt;30001",SurveyDATA!#REF!,"&gt;20000")</f>
        <v>#REF!</v>
      </c>
      <c r="G180" s="587" t="e">
        <f>COUNTIFS(SurveyDATA!#REF!,"LEGAL",SurveyDATA!E:E,"*MANILA*",SurveyDATA!#REF!,"&gt;0",SurveyDATA!#REF!,"&lt;50001",SurveyDATA!#REF!,"&gt;30000")</f>
        <v>#REF!</v>
      </c>
      <c r="H180" s="587" t="e">
        <f>COUNTIFS(SurveyDATA!#REF!,"LEGAL",SurveyDATA!E:E,"*MANILA*",SurveyDATA!#REF!,"&gt;0",SurveyDATA!#REF!,"&gt;50001")</f>
        <v>#REF!</v>
      </c>
      <c r="I180" s="587" t="e">
        <f t="shared" si="10"/>
        <v>#REF!</v>
      </c>
      <c r="J180" s="607"/>
      <c r="K180" s="607"/>
      <c r="L180" s="607"/>
      <c r="M180" s="607"/>
      <c r="N180" s="118"/>
      <c r="O180" s="607"/>
      <c r="P180" s="607"/>
    </row>
    <row r="181" spans="1:16" ht="15.75" thickBot="1">
      <c r="A181" s="588" t="s">
        <v>2034</v>
      </c>
      <c r="B181" s="619" t="e">
        <f>SUM(B172:B180)</f>
        <v>#REF!</v>
      </c>
      <c r="C181" s="619" t="e">
        <f t="shared" ref="C181:H181" si="11">SUM(C172:C180)</f>
        <v>#REF!</v>
      </c>
      <c r="D181" s="619" t="e">
        <f t="shared" si="11"/>
        <v>#REF!</v>
      </c>
      <c r="E181" s="619" t="e">
        <f t="shared" si="11"/>
        <v>#REF!</v>
      </c>
      <c r="F181" s="619" t="e">
        <f t="shared" si="11"/>
        <v>#REF!</v>
      </c>
      <c r="G181" s="619" t="e">
        <f t="shared" si="11"/>
        <v>#REF!</v>
      </c>
      <c r="H181" s="619" t="e">
        <f t="shared" si="11"/>
        <v>#REF!</v>
      </c>
      <c r="I181" s="619" t="e">
        <f t="shared" si="10"/>
        <v>#REF!</v>
      </c>
      <c r="J181" s="607"/>
      <c r="K181" s="607"/>
      <c r="L181" s="607"/>
      <c r="M181" s="607"/>
      <c r="O181" s="607"/>
      <c r="P181" s="607"/>
    </row>
    <row r="182" spans="1:16" ht="15.75" thickBot="1">
      <c r="A182" s="590" t="s">
        <v>7243</v>
      </c>
      <c r="B182" s="591" t="e">
        <f>B181/I181</f>
        <v>#REF!</v>
      </c>
      <c r="C182" s="591" t="e">
        <f>C181/I181</f>
        <v>#REF!</v>
      </c>
      <c r="D182" s="591" t="e">
        <f>D181/I181</f>
        <v>#REF!</v>
      </c>
      <c r="E182" s="591" t="e">
        <f>E181/I181</f>
        <v>#REF!</v>
      </c>
      <c r="F182" s="591" t="e">
        <f>F181/I181</f>
        <v>#REF!</v>
      </c>
      <c r="G182" s="591" t="e">
        <f>G181/I181</f>
        <v>#REF!</v>
      </c>
      <c r="H182" s="591" t="e">
        <f>H181/I181</f>
        <v>#REF!</v>
      </c>
      <c r="I182" s="591" t="e">
        <f>SUM(B182:H182)</f>
        <v>#REF!</v>
      </c>
      <c r="J182" s="607"/>
      <c r="K182" s="607"/>
      <c r="L182" s="607"/>
      <c r="M182" s="607"/>
      <c r="O182" s="607"/>
      <c r="P182" s="607"/>
    </row>
    <row r="183" spans="1:16">
      <c r="J183" s="607"/>
      <c r="K183" s="607"/>
      <c r="L183" s="607"/>
      <c r="M183" s="607"/>
      <c r="O183" s="607"/>
      <c r="P183" s="607"/>
    </row>
    <row r="184" spans="1:16">
      <c r="J184" s="607"/>
      <c r="K184" s="607"/>
      <c r="L184" s="607"/>
      <c r="M184" s="607"/>
      <c r="O184" s="607"/>
      <c r="P184" s="607"/>
    </row>
    <row r="185" spans="1:16">
      <c r="A185" s="594" t="s">
        <v>7323</v>
      </c>
      <c r="J185" s="607"/>
      <c r="K185" s="607"/>
      <c r="L185" s="607"/>
      <c r="M185" s="607"/>
      <c r="O185" s="607"/>
      <c r="P185" s="607"/>
    </row>
    <row r="186" spans="1:16" ht="15.75" thickBot="1">
      <c r="J186" s="607"/>
      <c r="K186" s="607"/>
      <c r="L186" s="607"/>
      <c r="M186" s="607"/>
      <c r="O186" s="607"/>
      <c r="P186" s="607"/>
    </row>
    <row r="187" spans="1:16" ht="15.75" thickBot="1">
      <c r="A187" s="584" t="s">
        <v>7214</v>
      </c>
      <c r="B187" s="585" t="s">
        <v>7318</v>
      </c>
      <c r="C187" s="585" t="s">
        <v>7319</v>
      </c>
      <c r="D187" s="585" t="s">
        <v>7320</v>
      </c>
      <c r="E187" s="585" t="s">
        <v>7321</v>
      </c>
      <c r="F187" s="585" t="s">
        <v>7322</v>
      </c>
      <c r="G187" s="585" t="s">
        <v>2034</v>
      </c>
      <c r="J187" s="607"/>
      <c r="K187" s="607"/>
      <c r="L187" s="607"/>
      <c r="M187" s="607"/>
      <c r="O187" s="607"/>
      <c r="P187" s="607"/>
    </row>
    <row r="188" spans="1:16" ht="15.75" thickBot="1">
      <c r="A188" s="586" t="s">
        <v>5848</v>
      </c>
      <c r="B188" s="587" t="e">
        <f>COUNTIFS(SurveyDATA!#REF!,"LEGAL",SurveyDATA!E:E,"*MALOLOS*",SurveyDATA!#REF!,"&gt;0",SurveyDATA!#REF!,"&lt;3000")</f>
        <v>#REF!</v>
      </c>
      <c r="C188" s="587" t="e">
        <f>COUNTIFS(SurveyDATA!#REF!,"LEGAL",SurveyDATA!E:E,"*MALOLOS*",SurveyDATA!#REF!,"&gt;0",SurveyDATA!#REF!,"&lt;5001",SurveyDATA!#REF!,"&gt;3000")</f>
        <v>#REF!</v>
      </c>
      <c r="D188" s="587" t="e">
        <f>COUNTIFS(SurveyDATA!#REF!,"LEGAL",SurveyDATA!E:E,"*MALOLOS*",SurveyDATA!#REF!,"&gt;0",SurveyDATA!#REF!,"&lt;10001",SurveyDATA!#REF!,"&gt;5000")</f>
        <v>#REF!</v>
      </c>
      <c r="E188" s="587" t="e">
        <f>COUNTIFS(SurveyDATA!#REF!,"LEGAL",SurveyDATA!E:E,"*MALOLOS*",SurveyDATA!#REF!,"&gt;0",SurveyDATA!#REF!,"&lt;30001",SurveyDATA!#REF!,"&gt;10000")</f>
        <v>#REF!</v>
      </c>
      <c r="F188" s="587" t="e">
        <f>COUNTIFS(SurveyDATA!#REF!,"LEGAL",SurveyDATA!E:E,"*MALOLOS*",SurveyDATA!#REF!,"&gt;0",SurveyDATA!#REF!,"&gt;30000")</f>
        <v>#REF!</v>
      </c>
      <c r="G188" s="587" t="e">
        <f>SUM(B188:F188)</f>
        <v>#REF!</v>
      </c>
      <c r="J188" s="607"/>
      <c r="K188" s="607"/>
      <c r="L188" s="607"/>
      <c r="M188" s="607"/>
      <c r="O188" s="607"/>
      <c r="P188" s="607"/>
    </row>
    <row r="189" spans="1:16" ht="15.75" thickBot="1">
      <c r="A189" s="586" t="s">
        <v>5494</v>
      </c>
      <c r="B189" s="587" t="e">
        <f>COUNTIFS(SurveyDATA!#REF!,"LEGAL",SurveyDATA!E:E,"*GUIGUINTO*",SurveyDATA!#REF!,"&gt;0",SurveyDATA!#REF!,"&lt;3000")</f>
        <v>#REF!</v>
      </c>
      <c r="C189" s="587" t="e">
        <f>COUNTIFS(SurveyDATA!#REF!,"LEGAL",SurveyDATA!E:E,"*GUIGUINTO*",SurveyDATA!#REF!,"&gt;0",SurveyDATA!#REF!,"&lt;5001",SurveyDATA!#REF!,"&gt;3000")</f>
        <v>#REF!</v>
      </c>
      <c r="D189" s="587" t="e">
        <f>COUNTIFS(SurveyDATA!#REF!,"LEGAL",SurveyDATA!E:E,"*GUIGUINTO*",SurveyDATA!#REF!,"&gt;0",SurveyDATA!#REF!,"&lt;10001",SurveyDATA!#REF!,"&gt;5000")</f>
        <v>#REF!</v>
      </c>
      <c r="E189" s="587" t="e">
        <f>COUNTIFS(SurveyDATA!#REF!,"LEGAL",SurveyDATA!E:E,"*GUIGUINTO*",SurveyDATA!#REF!,"&gt;0",SurveyDATA!#REF!,"&lt;30001",SurveyDATA!#REF!,"&gt;10000")</f>
        <v>#REF!</v>
      </c>
      <c r="F189" s="587" t="e">
        <f>COUNTIFS(SurveyDATA!#REF!,"LEGAL",SurveyDATA!E:E,"*GUIGUINTO*",SurveyDATA!#REF!,"&gt;0",SurveyDATA!#REF!,"&gt;30000")</f>
        <v>#REF!</v>
      </c>
      <c r="G189" s="587" t="e">
        <f t="shared" ref="G189:G196" si="12">SUM(B189:F189)</f>
        <v>#REF!</v>
      </c>
      <c r="J189" s="607"/>
      <c r="K189" s="607"/>
      <c r="L189" s="607"/>
      <c r="M189" s="607"/>
      <c r="O189" s="607"/>
      <c r="P189" s="607"/>
    </row>
    <row r="190" spans="1:16" ht="15.75" thickBot="1">
      <c r="A190" s="586" t="s">
        <v>5847</v>
      </c>
      <c r="B190" s="587" t="e">
        <f>COUNTIFS(SurveyDATA!#REF!,"LEGAL",SurveyDATA!E:E,"*BALAGTAS*",SurveyDATA!#REF!,"&gt;0",SurveyDATA!#REF!,"&lt;3000")</f>
        <v>#REF!</v>
      </c>
      <c r="C190" s="587" t="e">
        <f>COUNTIFS(SurveyDATA!#REF!,"LEGAL",SurveyDATA!E:E,"*BALAGTAS*",SurveyDATA!#REF!,"&gt;0",SurveyDATA!#REF!,"&lt;5001",SurveyDATA!#REF!,"&gt;3000")</f>
        <v>#REF!</v>
      </c>
      <c r="D190" s="587" t="e">
        <f>COUNTIFS(SurveyDATA!#REF!,"LEGAL",SurveyDATA!E:E,"*BALAGTAS*",SurveyDATA!#REF!,"&gt;0",SurveyDATA!#REF!,"&lt;10001",SurveyDATA!#REF!,"&gt;5000")</f>
        <v>#REF!</v>
      </c>
      <c r="E190" s="587" t="e">
        <f>COUNTIFS(SurveyDATA!#REF!,"LEGAL",SurveyDATA!E:E,"*BALAGTAS*",SurveyDATA!#REF!,"&gt;0",SurveyDATA!#REF!,"&lt;30001",SurveyDATA!#REF!,"&gt;10000")</f>
        <v>#REF!</v>
      </c>
      <c r="F190" s="587" t="e">
        <f>COUNTIFS(SurveyDATA!#REF!,"LEGAL",SurveyDATA!E:E,"*BALAGTAS*",SurveyDATA!#REF!,"&gt;0",SurveyDATA!#REF!,"&gt;30000")</f>
        <v>#REF!</v>
      </c>
      <c r="G190" s="587" t="e">
        <f t="shared" si="12"/>
        <v>#REF!</v>
      </c>
      <c r="J190" s="607"/>
      <c r="K190" s="607"/>
      <c r="L190" s="607"/>
      <c r="M190" s="607"/>
      <c r="O190" s="607"/>
      <c r="P190" s="607"/>
    </row>
    <row r="191" spans="1:16" ht="15.75" thickBot="1">
      <c r="A191" s="586" t="s">
        <v>771</v>
      </c>
      <c r="B191" s="587" t="e">
        <f>COUNTIFS(SurveyDATA!#REF!,"LEGAL",SurveyDATA!E:E,"*BOCAUE*",SurveyDATA!#REF!,"&gt;0",SurveyDATA!#REF!,"&lt;3000")</f>
        <v>#REF!</v>
      </c>
      <c r="C191" s="587" t="e">
        <f>COUNTIFS(SurveyDATA!#REF!,"LEGAL",SurveyDATA!E:E,"*BOCAUE*",SurveyDATA!#REF!,"&gt;0",SurveyDATA!#REF!,"&lt;5001",SurveyDATA!#REF!,"&gt;3000")</f>
        <v>#REF!</v>
      </c>
      <c r="D191" s="587" t="e">
        <f>COUNTIFS(SurveyDATA!#REF!,"LEGAL",SurveyDATA!E:E,"*BOCAUE*",SurveyDATA!#REF!,"&gt;0",SurveyDATA!#REF!,"&lt;10001",SurveyDATA!#REF!,"&gt;5000")</f>
        <v>#REF!</v>
      </c>
      <c r="E191" s="587" t="e">
        <f>COUNTIFS(SurveyDATA!#REF!,"LEGAL",SurveyDATA!E:E,"*BOCAUE*",SurveyDATA!#REF!,"&gt;0",SurveyDATA!#REF!,"&lt;30001",SurveyDATA!#REF!,"&gt;10000")</f>
        <v>#REF!</v>
      </c>
      <c r="F191" s="587" t="e">
        <f>COUNTIFS(SurveyDATA!#REF!,"LEGAL",SurveyDATA!E:E,"*BOCAUE*",SurveyDATA!#REF!,"&gt;0",SurveyDATA!#REF!,"&gt;30000")</f>
        <v>#REF!</v>
      </c>
      <c r="G191" s="587" t="e">
        <f t="shared" si="12"/>
        <v>#REF!</v>
      </c>
      <c r="J191" s="607"/>
      <c r="K191" s="607"/>
      <c r="L191" s="607"/>
      <c r="M191" s="607"/>
      <c r="O191" s="607"/>
      <c r="P191" s="607"/>
    </row>
    <row r="192" spans="1:16" ht="15.75" thickBot="1">
      <c r="A192" s="586" t="s">
        <v>5495</v>
      </c>
      <c r="B192" s="587" t="e">
        <f>COUNTIFS(SurveyDATA!#REF!,"LEGAL",SurveyDATA!E:E,"*C*",SurveyDATA!#REF!,"&gt;0",SurveyDATA!#REF!,"&lt;3000")</f>
        <v>#REF!</v>
      </c>
      <c r="C192" s="587" t="e">
        <f>COUNTIFS(SurveyDATA!#REF!,"LEGAL",SurveyDATA!E:E,"*BOCAUE*",SurveyDATA!#REF!,"&gt;0",SurveyDATA!#REF!,"&lt;5001",SurveyDATA!#REF!,"&gt;3000")</f>
        <v>#REF!</v>
      </c>
      <c r="D192" s="587" t="e">
        <f>COUNTIFS(SurveyDATA!#REF!,"LEGAL",SurveyDATA!E:E,"*BOCAUE*",SurveyDATA!#REF!,"&gt;0",SurveyDATA!#REF!,"&lt;10001",SurveyDATA!#REF!,"&gt;5000")</f>
        <v>#REF!</v>
      </c>
      <c r="E192" s="587" t="e">
        <f>COUNTIFS(SurveyDATA!#REF!,"LEGAL",SurveyDATA!E:E,"*BOCAUE*",SurveyDATA!#REF!,"&gt;0",SurveyDATA!#REF!,"&lt;30001",SurveyDATA!#REF!,"&gt;10000")</f>
        <v>#REF!</v>
      </c>
      <c r="F192" s="587" t="e">
        <f>COUNTIFS(SurveyDATA!#REF!,"LEGAL",SurveyDATA!E:E,"*BOCAUE*",SurveyDATA!#REF!,"&gt;0",SurveyDATA!#REF!,"&gt;30000")</f>
        <v>#REF!</v>
      </c>
      <c r="G192" s="587" t="e">
        <f t="shared" si="12"/>
        <v>#REF!</v>
      </c>
      <c r="J192" s="607"/>
      <c r="K192" s="607"/>
      <c r="L192" s="607"/>
      <c r="M192" s="607"/>
      <c r="O192" s="607"/>
      <c r="P192" s="607"/>
    </row>
    <row r="193" spans="1:18" ht="15.75" thickBot="1">
      <c r="A193" s="586" t="s">
        <v>5496</v>
      </c>
      <c r="B193" s="587" t="e">
        <f>COUNTIFS(SurveyDATA!#REF!,"LEGAL",SurveyDATA!E:E,"*MEYCAUAYAN*",SurveyDATA!#REF!,"&gt;0",SurveyDATA!#REF!,"&lt;3000")</f>
        <v>#REF!</v>
      </c>
      <c r="C193" s="587" t="e">
        <f>COUNTIFS(SurveyDATA!#REF!,"LEGAL",SurveyDATA!E:E,"*MEYCAUAYAN*",SurveyDATA!#REF!,"&gt;0",SurveyDATA!#REF!,"&lt;5001",SurveyDATA!#REF!,"&gt;3000")</f>
        <v>#REF!</v>
      </c>
      <c r="D193" s="587" t="e">
        <f>COUNTIFS(SurveyDATA!#REF!,"LEGAL",SurveyDATA!E:E,"*MEYCAUAYAN*",SurveyDATA!#REF!,"&gt;0",SurveyDATA!#REF!,"&lt;10001",SurveyDATA!#REF!,"&gt;5000")</f>
        <v>#REF!</v>
      </c>
      <c r="E193" s="587" t="e">
        <f>COUNTIFS(SurveyDATA!#REF!,"LEGAL",SurveyDATA!E:E,"*MEYCAUAYAN*",SurveyDATA!#REF!,"&gt;0",SurveyDATA!#REF!,"&lt;30001",SurveyDATA!#REF!,"&gt;10000")</f>
        <v>#REF!</v>
      </c>
      <c r="F193" s="587" t="e">
        <f>COUNTIFS(SurveyDATA!#REF!,"LEGAL",SurveyDATA!E:E,"*MEYCAUAYAN*",SurveyDATA!#REF!,"&gt;0",SurveyDATA!#REF!,"&gt;30000")</f>
        <v>#REF!</v>
      </c>
      <c r="G193" s="587" t="e">
        <f t="shared" si="12"/>
        <v>#REF!</v>
      </c>
      <c r="J193" s="607"/>
      <c r="K193" s="607"/>
      <c r="L193" s="607"/>
      <c r="M193" s="607"/>
      <c r="O193" s="607"/>
      <c r="P193" s="607"/>
    </row>
    <row r="194" spans="1:18" ht="15.75" thickBot="1">
      <c r="A194" s="586" t="s">
        <v>778</v>
      </c>
      <c r="B194" s="587" t="e">
        <f>COUNTIFS(SurveyDATA!#REF!,"LEGAL",SurveyDATA!E:E,"*VALENZUELA*",SurveyDATA!#REF!,"&gt;0",SurveyDATA!#REF!,"&lt;3000")</f>
        <v>#REF!</v>
      </c>
      <c r="C194" s="587" t="e">
        <f>COUNTIFS(SurveyDATA!#REF!,"LEGAL",SurveyDATA!E:E,"*VALENZUELA*",SurveyDATA!#REF!,"&gt;0",SurveyDATA!#REF!,"&lt;5001",SurveyDATA!#REF!,"&gt;3000")</f>
        <v>#REF!</v>
      </c>
      <c r="D194" s="587" t="e">
        <f>COUNTIFS(SurveyDATA!#REF!,"LEGAL",SurveyDATA!E:E,"*VALENZUELA*",SurveyDATA!#REF!,"&gt;0",SurveyDATA!#REF!,"&lt;10001",SurveyDATA!#REF!,"&gt;5000")</f>
        <v>#REF!</v>
      </c>
      <c r="E194" s="587" t="e">
        <f>COUNTIFS(SurveyDATA!#REF!,"LEGAL",SurveyDATA!E:E,"*VALENZUELA*",SurveyDATA!#REF!,"&gt;0",SurveyDATA!#REF!,"&lt;30001",SurveyDATA!#REF!,"&gt;10000")</f>
        <v>#REF!</v>
      </c>
      <c r="F194" s="587" t="e">
        <f>COUNTIFS(SurveyDATA!#REF!,"LEGAL",SurveyDATA!E:E,"*VALENZUELA*",SurveyDATA!#REF!,"&gt;0",SurveyDATA!#REF!,"&gt;30000")</f>
        <v>#REF!</v>
      </c>
      <c r="G194" s="587" t="e">
        <f t="shared" si="12"/>
        <v>#REF!</v>
      </c>
      <c r="J194" s="607"/>
      <c r="K194" s="607"/>
      <c r="L194" s="607"/>
      <c r="M194" s="607"/>
      <c r="O194" s="607"/>
      <c r="P194" s="607"/>
    </row>
    <row r="195" spans="1:18" ht="15.75" thickBot="1">
      <c r="A195" s="586" t="s">
        <v>5493</v>
      </c>
      <c r="B195" s="587" t="e">
        <f>COUNTIFS(SurveyDATA!#REF!,"LEGAL",SurveyDATA!E:E,"*CALOOCAN*",SurveyDATA!#REF!,"&gt;0",SurveyDATA!#REF!,"&lt;3000")</f>
        <v>#REF!</v>
      </c>
      <c r="C195" s="587" t="e">
        <f>COUNTIFS(SurveyDATA!#REF!,"LEGAL",SurveyDATA!E:E,"*CALOOCAN*",SurveyDATA!#REF!,"&gt;0",SurveyDATA!#REF!,"&lt;5001",SurveyDATA!#REF!,"&gt;3000")</f>
        <v>#REF!</v>
      </c>
      <c r="D195" s="587" t="e">
        <f>COUNTIFS(SurveyDATA!#REF!,"LEGAL",SurveyDATA!E:E,"*CALOOCAN*",SurveyDATA!#REF!,"&gt;0",SurveyDATA!#REF!,"&lt;10001",SurveyDATA!#REF!,"&gt;5000")</f>
        <v>#REF!</v>
      </c>
      <c r="E195" s="587" t="e">
        <f>COUNTIFS(SurveyDATA!#REF!,"LEGAL",SurveyDATA!E:E,"*CALOOCAN*",SurveyDATA!#REF!,"&gt;0",SurveyDATA!#REF!,"&lt;30001",SurveyDATA!#REF!,"&gt;10000")</f>
        <v>#REF!</v>
      </c>
      <c r="F195" s="587" t="e">
        <f>COUNTIFS(SurveyDATA!#REF!,"LEGAL",SurveyDATA!E:E,"*CALOOCAN*",SurveyDATA!#REF!,"&gt;0",SurveyDATA!#REF!,"&gt;30000")</f>
        <v>#REF!</v>
      </c>
      <c r="G195" s="587" t="e">
        <f t="shared" si="12"/>
        <v>#REF!</v>
      </c>
      <c r="J195" s="607"/>
      <c r="K195" s="607"/>
      <c r="L195" s="607"/>
      <c r="M195" s="607"/>
      <c r="O195" s="607"/>
      <c r="P195" s="607"/>
    </row>
    <row r="196" spans="1:18" ht="15.75" thickBot="1">
      <c r="A196" s="586" t="s">
        <v>1020</v>
      </c>
      <c r="B196" s="587" t="e">
        <f>COUNTIFS(SurveyDATA!#REF!,"LEGAL",SurveyDATA!E:E,"*MANILA*",SurveyDATA!#REF!,"&gt;0",SurveyDATA!#REF!,"&lt;3000")</f>
        <v>#REF!</v>
      </c>
      <c r="C196" s="587" t="e">
        <f>COUNTIFS(SurveyDATA!#REF!,"LEGAL",SurveyDATA!E:E,"*MANILA*",SurveyDATA!#REF!,"&gt;0",SurveyDATA!#REF!,"&lt;5001",SurveyDATA!#REF!,"&gt;3000")</f>
        <v>#REF!</v>
      </c>
      <c r="D196" s="587" t="e">
        <f>COUNTIFS(SurveyDATA!#REF!,"LEGAL",SurveyDATA!E:E,"*MANILA*",SurveyDATA!#REF!,"&gt;0",SurveyDATA!#REF!,"&lt;10001",SurveyDATA!#REF!,"&gt;5000")</f>
        <v>#REF!</v>
      </c>
      <c r="E196" s="587" t="e">
        <f>COUNTIFS(SurveyDATA!#REF!,"LEGAL",SurveyDATA!E:E,"*MANILA*",SurveyDATA!#REF!,"&gt;0",SurveyDATA!#REF!,"&lt;30001",SurveyDATA!#REF!,"&gt;10000")</f>
        <v>#REF!</v>
      </c>
      <c r="F196" s="587" t="e">
        <f>COUNTIFS(SurveyDATA!#REF!,"LEGAL",SurveyDATA!E:E,"*MANILA*",SurveyDATA!#REF!,"&gt;0",SurveyDATA!#REF!,"&gt;30000")</f>
        <v>#REF!</v>
      </c>
      <c r="G196" s="587" t="e">
        <f t="shared" si="12"/>
        <v>#REF!</v>
      </c>
      <c r="J196" s="607"/>
      <c r="K196" s="607"/>
      <c r="L196" s="607"/>
      <c r="M196" s="607"/>
      <c r="O196" s="607"/>
      <c r="P196" s="607"/>
    </row>
    <row r="197" spans="1:18" ht="15.75" thickBot="1">
      <c r="A197" s="588" t="s">
        <v>2034</v>
      </c>
      <c r="B197" s="619" t="e">
        <f t="shared" ref="B197:G197" si="13">SUM(B188:B196)</f>
        <v>#REF!</v>
      </c>
      <c r="C197" s="619" t="e">
        <f t="shared" si="13"/>
        <v>#REF!</v>
      </c>
      <c r="D197" s="619" t="e">
        <f t="shared" si="13"/>
        <v>#REF!</v>
      </c>
      <c r="E197" s="619" t="e">
        <f t="shared" si="13"/>
        <v>#REF!</v>
      </c>
      <c r="F197" s="619" t="e">
        <f t="shared" si="13"/>
        <v>#REF!</v>
      </c>
      <c r="G197" s="619" t="e">
        <f t="shared" si="13"/>
        <v>#REF!</v>
      </c>
      <c r="J197" s="607"/>
      <c r="K197" s="607"/>
      <c r="L197" s="607"/>
      <c r="M197" s="607"/>
      <c r="O197" s="607"/>
      <c r="P197" s="607"/>
    </row>
    <row r="198" spans="1:18" ht="15.75" thickBot="1">
      <c r="A198" s="590" t="s">
        <v>7243</v>
      </c>
      <c r="B198" s="591" t="e">
        <f>B197/G197</f>
        <v>#REF!</v>
      </c>
      <c r="C198" s="591" t="e">
        <f>C197/G197</f>
        <v>#REF!</v>
      </c>
      <c r="D198" s="591" t="e">
        <f>D197/G197</f>
        <v>#REF!</v>
      </c>
      <c r="E198" s="591" t="e">
        <f>E197/G197</f>
        <v>#REF!</v>
      </c>
      <c r="F198" s="591" t="e">
        <f>F197/G197</f>
        <v>#REF!</v>
      </c>
      <c r="G198" s="591" t="e">
        <f>SUM(B198:F198)</f>
        <v>#REF!</v>
      </c>
      <c r="J198" s="607"/>
      <c r="K198" s="607"/>
      <c r="L198" s="607"/>
      <c r="M198" s="607"/>
      <c r="O198" s="607"/>
      <c r="P198" s="607"/>
    </row>
    <row r="199" spans="1:18">
      <c r="J199" s="607"/>
      <c r="K199" s="607"/>
      <c r="L199" s="607"/>
      <c r="M199" s="607"/>
      <c r="O199" s="607"/>
      <c r="P199" s="607"/>
    </row>
    <row r="200" spans="1:18">
      <c r="J200" s="607"/>
      <c r="K200" s="607"/>
      <c r="L200" s="607"/>
      <c r="M200" s="607"/>
      <c r="O200" s="607"/>
      <c r="P200" s="607"/>
    </row>
    <row r="201" spans="1:18">
      <c r="A201" s="635" t="s">
        <v>7331</v>
      </c>
      <c r="K201" s="607"/>
      <c r="L201" s="607"/>
      <c r="M201" s="607"/>
      <c r="O201" s="607"/>
      <c r="P201" s="607"/>
    </row>
    <row r="202" spans="1:18" ht="15.75" thickBot="1">
      <c r="M202" s="607"/>
      <c r="O202" s="607"/>
      <c r="P202" s="607"/>
    </row>
    <row r="203" spans="1:18" ht="15.75" customHeight="1" thickBot="1">
      <c r="A203" s="1905" t="s">
        <v>7214</v>
      </c>
      <c r="B203" s="1907" t="s">
        <v>7329</v>
      </c>
      <c r="C203" s="1908"/>
      <c r="D203" s="1907" t="s">
        <v>7325</v>
      </c>
      <c r="E203" s="1908"/>
      <c r="F203" s="1907" t="s">
        <v>7326</v>
      </c>
      <c r="G203" s="1908"/>
      <c r="H203" s="1907" t="s">
        <v>7327</v>
      </c>
      <c r="I203" s="1908"/>
      <c r="J203" s="1907" t="s">
        <v>7328</v>
      </c>
      <c r="K203" s="1908"/>
      <c r="L203" s="1905" t="s">
        <v>2034</v>
      </c>
      <c r="P203" s="607"/>
      <c r="Q203" s="607"/>
      <c r="R203" s="607"/>
    </row>
    <row r="204" spans="1:18" ht="15.75" thickBot="1">
      <c r="A204" s="1906"/>
      <c r="B204" s="696" t="s">
        <v>7281</v>
      </c>
      <c r="C204" s="696" t="s">
        <v>5805</v>
      </c>
      <c r="D204" s="696" t="s">
        <v>7281</v>
      </c>
      <c r="E204" s="696" t="s">
        <v>5805</v>
      </c>
      <c r="F204" s="696" t="s">
        <v>7281</v>
      </c>
      <c r="G204" s="696" t="s">
        <v>5805</v>
      </c>
      <c r="H204" s="696" t="s">
        <v>7281</v>
      </c>
      <c r="I204" s="696" t="s">
        <v>5805</v>
      </c>
      <c r="J204" s="696" t="s">
        <v>7281</v>
      </c>
      <c r="K204" s="696" t="s">
        <v>5805</v>
      </c>
      <c r="L204" s="1906"/>
    </row>
    <row r="205" spans="1:18" ht="15.75" thickBot="1">
      <c r="A205" s="697" t="s">
        <v>5848</v>
      </c>
      <c r="B205" s="703" t="e">
        <f>COUNTIFS(SurveyDATA!#REF!,"LEGAL",SurveyDATA!E:E,"*MALOLOS*",SurveyDATA!S:S,"MALE",SurveyDATA!#REF!,"0")</f>
        <v>#REF!</v>
      </c>
      <c r="C205" s="700" t="e">
        <f>B205/B214</f>
        <v>#REF!</v>
      </c>
      <c r="D205" s="587" t="e">
        <f>COUNTIFS(SurveyDATA!#REF!,"LEGAL",SurveyDATA!E:E,"*MALOLOS*",SurveyDATA!S:S,"MALE",SurveyDATA!#REF!,"1")</f>
        <v>#REF!</v>
      </c>
      <c r="E205" s="700" t="e">
        <f>D205/D214</f>
        <v>#REF!</v>
      </c>
      <c r="F205" s="587" t="e">
        <f>COUNTIFS(SurveyDATA!#REF!,"LEGAL",SurveyDATA!E:E,"*MALOLOS*",SurveyDATA!S:S,"MALE",SurveyDATA!#REF!,"2")</f>
        <v>#REF!</v>
      </c>
      <c r="G205" s="700" t="e">
        <f>F205/F214</f>
        <v>#REF!</v>
      </c>
      <c r="H205" s="587" t="e">
        <f>COUNTIFS(SurveyDATA!#REF!,"LEGAL",SurveyDATA!E:E,"*MALOLOS*",SurveyDATA!S:S,"MALE",SurveyDATA!#REF!,"3")</f>
        <v>#REF!</v>
      </c>
      <c r="I205" s="700" t="e">
        <f>H205/H214</f>
        <v>#REF!</v>
      </c>
      <c r="J205" s="587" t="e">
        <f>COUNTIFS(SurveyDATA!#REF!,"LEGAL",SurveyDATA!E:E,"*MALOLOS*",SurveyDATA!S:S,"MALE",SurveyDATA!#REF!,"4")</f>
        <v>#REF!</v>
      </c>
      <c r="K205" s="700" t="e">
        <f>J205/J214</f>
        <v>#REF!</v>
      </c>
      <c r="L205" s="619" t="e">
        <f>SUM(B205,D205,F205,H205,J205)</f>
        <v>#REF!</v>
      </c>
    </row>
    <row r="206" spans="1:18" ht="15.75" thickBot="1">
      <c r="A206" s="697" t="s">
        <v>5494</v>
      </c>
      <c r="B206" s="703" t="e">
        <f>COUNTIFS(SurveyDATA!#REF!,"LEGAL",SurveyDATA!E:E,"*GUIGUINTO*",SurveyDATA!S:S,"MALE",SurveyDATA!#REF!,"0")</f>
        <v>#REF!</v>
      </c>
      <c r="C206" s="700" t="e">
        <f>B206/B214</f>
        <v>#REF!</v>
      </c>
      <c r="D206" s="587" t="e">
        <f>COUNTIFS(SurveyDATA!#REF!,"LEGAL",SurveyDATA!E:E,"*GUIGUINTO*",SurveyDATA!S:S,"MALE",SurveyDATA!#REF!,"1")</f>
        <v>#REF!</v>
      </c>
      <c r="E206" s="700" t="e">
        <f>D206/D214</f>
        <v>#REF!</v>
      </c>
      <c r="F206" s="587" t="e">
        <f>COUNTIFS(SurveyDATA!#REF!,"LEGAL",SurveyDATA!E:E,"*GUIGUINTO*",SurveyDATA!S:S,"MALE",SurveyDATA!#REF!,"2")</f>
        <v>#REF!</v>
      </c>
      <c r="G206" s="700" t="e">
        <f>F206/F214</f>
        <v>#REF!</v>
      </c>
      <c r="H206" s="587" t="e">
        <f>COUNTIFS(SurveyDATA!#REF!,"ISF",SurveyDATA!E:E,"*GUIGUINTO*",SurveyDATA!S:S,"MALE",SurveyDATA!#REF!,"3")</f>
        <v>#REF!</v>
      </c>
      <c r="I206" s="700" t="e">
        <f>H206/H214</f>
        <v>#REF!</v>
      </c>
      <c r="J206" s="587" t="e">
        <f>COUNTIFS(SurveyDATA!#REF!,"LEGAL",SurveyDATA!E:E,"*GUIGUINTO*",SurveyDATA!S:S,"MALE",SurveyDATA!#REF!,"4")</f>
        <v>#REF!</v>
      </c>
      <c r="K206" s="700" t="e">
        <f>J206/J214</f>
        <v>#REF!</v>
      </c>
      <c r="L206" s="619" t="e">
        <f t="shared" ref="L206:L214" si="14">SUM(B206,D206,F206,H206,J206)</f>
        <v>#REF!</v>
      </c>
    </row>
    <row r="207" spans="1:18" ht="15.75" thickBot="1">
      <c r="A207" s="697" t="s">
        <v>5847</v>
      </c>
      <c r="B207" s="703" t="e">
        <f>COUNTIFS(SurveyDATA!#REF!,"LEGAL",SurveyDATA!E:E,"*BALAGTAS*",SurveyDATA!S:S,"MALE",SurveyDATA!#REF!,"0")</f>
        <v>#REF!</v>
      </c>
      <c r="C207" s="700" t="e">
        <f>B207/B214</f>
        <v>#REF!</v>
      </c>
      <c r="D207" s="587" t="e">
        <f>COUNTIFS(SurveyDATA!#REF!,"LEGAL",SurveyDATA!E:E,"*BALAGTAS*",SurveyDATA!S:S,"MALE",SurveyDATA!#REF!,"1")</f>
        <v>#REF!</v>
      </c>
      <c r="E207" s="700" t="e">
        <f>D207/D214</f>
        <v>#REF!</v>
      </c>
      <c r="F207" s="587" t="e">
        <f>COUNTIFS(SurveyDATA!#REF!,"LEGAL",SurveyDATA!E:E,"*BALAGTAS*",SurveyDATA!S:S,"MALE",SurveyDATA!#REF!,"2")</f>
        <v>#REF!</v>
      </c>
      <c r="G207" s="700" t="e">
        <f>F207/F214</f>
        <v>#REF!</v>
      </c>
      <c r="H207" s="587" t="e">
        <f>COUNTIFS(SurveyDATA!#REF!,"LEGAL",SurveyDATA!E:E,"*BALAGTAS*",SurveyDATA!S:S,"MALE",SurveyDATA!#REF!,"3")</f>
        <v>#REF!</v>
      </c>
      <c r="I207" s="700" t="e">
        <f>H207/H214</f>
        <v>#REF!</v>
      </c>
      <c r="J207" s="587" t="e">
        <f>COUNTIFS(SurveyDATA!#REF!,"LEGAL",SurveyDATA!E:E,"*BALAGTAS*",SurveyDATA!S:S,"MALE",SurveyDATA!#REF!,"4")</f>
        <v>#REF!</v>
      </c>
      <c r="K207" s="700" t="e">
        <f>J207/J214</f>
        <v>#REF!</v>
      </c>
      <c r="L207" s="619" t="e">
        <f t="shared" si="14"/>
        <v>#REF!</v>
      </c>
    </row>
    <row r="208" spans="1:18" ht="15.75" thickBot="1">
      <c r="A208" s="697" t="s">
        <v>771</v>
      </c>
      <c r="B208" s="703" t="e">
        <f>COUNTIFS(SurveyDATA!#REF!,"LEGAL",SurveyDATA!E:E,"*BOCAUE*",SurveyDATA!S:S,"MALE",SurveyDATA!#REF!,"0")</f>
        <v>#REF!</v>
      </c>
      <c r="C208" s="700" t="e">
        <f>B208/B214</f>
        <v>#REF!</v>
      </c>
      <c r="D208" s="587" t="e">
        <f>COUNTIFS(SurveyDATA!#REF!,"LEGAL",SurveyDATA!E:E,"*BOCAUE*",SurveyDATA!S:S,"MALE",SurveyDATA!#REF!,"1")</f>
        <v>#REF!</v>
      </c>
      <c r="E208" s="700" t="e">
        <f>D208/D214</f>
        <v>#REF!</v>
      </c>
      <c r="F208" s="587" t="e">
        <f>COUNTIFS(SurveyDATA!#REF!,"LEGAL",SurveyDATA!E:E,"*BOCAUE*",SurveyDATA!S:S,"MALE",SurveyDATA!#REF!,"2")</f>
        <v>#REF!</v>
      </c>
      <c r="G208" s="700" t="e">
        <f>F208/F214</f>
        <v>#REF!</v>
      </c>
      <c r="H208" s="587" t="e">
        <f>COUNTIFS(SurveyDATA!#REF!,"LEGAL",SurveyDATA!E:E,"*BOCAUE*",SurveyDATA!S:S,"MALE",SurveyDATA!#REF!,"3")</f>
        <v>#REF!</v>
      </c>
      <c r="I208" s="700" t="e">
        <f>H208/H214</f>
        <v>#REF!</v>
      </c>
      <c r="J208" s="587" t="e">
        <f>COUNTIFS(SurveyDATA!#REF!,"LEGAL",SurveyDATA!E:E,"*BOCAUE*",SurveyDATA!S:S,"MALE",SurveyDATA!#REF!,"4")</f>
        <v>#REF!</v>
      </c>
      <c r="K208" s="700" t="e">
        <f>J208/J214</f>
        <v>#REF!</v>
      </c>
      <c r="L208" s="619" t="e">
        <f t="shared" si="14"/>
        <v>#REF!</v>
      </c>
    </row>
    <row r="209" spans="1:12" ht="15.75" thickBot="1">
      <c r="A209" s="697" t="s">
        <v>5495</v>
      </c>
      <c r="B209" s="703" t="e">
        <f>COUNTIFS(SurveyDATA!#REF!,"LEGAL",SurveyDATA!E:E,"*MARILAO*",SurveyDATA!S:S,"MALE",SurveyDATA!#REF!,"0")</f>
        <v>#REF!</v>
      </c>
      <c r="C209" s="700" t="e">
        <f>B209/B214</f>
        <v>#REF!</v>
      </c>
      <c r="D209" s="587" t="e">
        <f>COUNTIFS(SurveyDATA!#REF!,"LEGAL",SurveyDATA!E:E,"*MARILAO*",SurveyDATA!S:S,"MALE",SurveyDATA!#REF!,"1")</f>
        <v>#REF!</v>
      </c>
      <c r="E209" s="700" t="e">
        <f>D209/D214</f>
        <v>#REF!</v>
      </c>
      <c r="F209" s="587" t="e">
        <f>COUNTIFS(SurveyDATA!#REF!,"LEGAL",SurveyDATA!E:E,"*MARILAO*",SurveyDATA!S:S,"MALE",SurveyDATA!#REF!,"2")</f>
        <v>#REF!</v>
      </c>
      <c r="G209" s="700" t="e">
        <f ca="1">F209:G209/F214</f>
        <v>#REF!</v>
      </c>
      <c r="H209" s="587" t="e">
        <f>COUNTIFS(SurveyDATA!#REF!,"LEGAL",SurveyDATA!E:E,"*MARILAO*",SurveyDATA!S:S,"MALE",SurveyDATA!#REF!,"3")</f>
        <v>#REF!</v>
      </c>
      <c r="I209" s="700" t="e">
        <f ca="1">H209:I209/H214</f>
        <v>#REF!</v>
      </c>
      <c r="J209" s="587" t="e">
        <f>COUNTIFS(SurveyDATA!#REF!,"LEGAL",SurveyDATA!E:E,"*MARILAO*",SurveyDATA!S:S,"MALE",SurveyDATA!#REF!,"4")</f>
        <v>#REF!</v>
      </c>
      <c r="K209" s="700" t="e">
        <f ca="1">J209:K209/J214</f>
        <v>#REF!</v>
      </c>
      <c r="L209" s="619" t="e">
        <f t="shared" si="14"/>
        <v>#REF!</v>
      </c>
    </row>
    <row r="210" spans="1:12" ht="15.75" thickBot="1">
      <c r="A210" s="697" t="s">
        <v>5496</v>
      </c>
      <c r="B210" s="703" t="e">
        <f>COUNTIFS(SurveyDATA!#REF!,"LEGAL",SurveyDATA!E:E,"*MEYCAUAYAN*",SurveyDATA!S:S,"MALE",SurveyDATA!#REF!,"0")</f>
        <v>#REF!</v>
      </c>
      <c r="C210" s="700" t="e">
        <f>B210/B214</f>
        <v>#REF!</v>
      </c>
      <c r="D210" s="587" t="e">
        <f>COUNTIFS(SurveyDATA!#REF!,"LEGAL",SurveyDATA!E:E,"*MEYCAUAYAN*",SurveyDATA!S:S,"MALE",SurveyDATA!#REF!,"1")</f>
        <v>#REF!</v>
      </c>
      <c r="E210" s="700" t="e">
        <f>D210/D214</f>
        <v>#REF!</v>
      </c>
      <c r="F210" s="587" t="e">
        <f>COUNTIFS(SurveyDATA!#REF!,"LEGAL",SurveyDATA!E:E,"*MEYCAUAYAN*",SurveyDATA!S:S,"MALE",SurveyDATA!#REF!,"2")</f>
        <v>#REF!</v>
      </c>
      <c r="G210" s="700" t="e">
        <f>F210/F214</f>
        <v>#REF!</v>
      </c>
      <c r="H210" s="587" t="e">
        <f>COUNTIFS(SurveyDATA!#REF!,"LEGAL",SurveyDATA!E:E,"*MEYCAUAYAN*",SurveyDATA!S:S,"MALE",SurveyDATA!#REF!,"3")</f>
        <v>#REF!</v>
      </c>
      <c r="I210" s="700" t="e">
        <f>H210/H214</f>
        <v>#REF!</v>
      </c>
      <c r="J210" s="587" t="e">
        <f>COUNTIFS(SurveyDATA!#REF!,"ISF",SurveyDATA!E:E,"*MEYCAUAYAN*",SurveyDATA!S:S,"MALE",SurveyDATA!#REF!,"4")</f>
        <v>#REF!</v>
      </c>
      <c r="K210" s="700" t="e">
        <f>J210/J214</f>
        <v>#REF!</v>
      </c>
      <c r="L210" s="619" t="e">
        <f t="shared" si="14"/>
        <v>#REF!</v>
      </c>
    </row>
    <row r="211" spans="1:12" ht="15.75" thickBot="1">
      <c r="A211" s="697" t="s">
        <v>778</v>
      </c>
      <c r="B211" s="703" t="e">
        <f>COUNTIFS(SurveyDATA!#REF!,"LEGAL",SurveyDATA!E:E,"*VALENZUELA*",SurveyDATA!S:S,"MALE",SurveyDATA!#REF!,"0")</f>
        <v>#REF!</v>
      </c>
      <c r="C211" s="700" t="e">
        <f>B211/B214</f>
        <v>#REF!</v>
      </c>
      <c r="D211" s="587" t="e">
        <f>COUNTIFS(SurveyDATA!#REF!,"LEGAL",SurveyDATA!E:E,"*VALENZUELA*",SurveyDATA!S:S,"MALE",SurveyDATA!#REF!,"1")</f>
        <v>#REF!</v>
      </c>
      <c r="E211" s="700" t="e">
        <f>D211/D214</f>
        <v>#REF!</v>
      </c>
      <c r="F211" s="587" t="e">
        <f>COUNTIFS(SurveyDATA!#REF!,"LEGAL",SurveyDATA!E:E,"*VALENZUELA*",SurveyDATA!S:S,"MALE",SurveyDATA!#REF!,"2")</f>
        <v>#REF!</v>
      </c>
      <c r="G211" s="700" t="e">
        <f>F211/F214</f>
        <v>#REF!</v>
      </c>
      <c r="H211" s="587" t="e">
        <f>COUNTIFS(SurveyDATA!#REF!,"LEGAL",SurveyDATA!E:E,"*VAENZUELA*",SurveyDATA!S:S,"MALE",SurveyDATA!#REF!,"3")</f>
        <v>#REF!</v>
      </c>
      <c r="I211" s="700" t="e">
        <f>H211/H214</f>
        <v>#REF!</v>
      </c>
      <c r="J211" s="587" t="e">
        <f>COUNTIFS(SurveyDATA!#REF!,"ISF",SurveyDATA!E:E,"*VALENZUELA*",SurveyDATA!S:S,"MALE",SurveyDATA!#REF!,"4")</f>
        <v>#REF!</v>
      </c>
      <c r="K211" s="700" t="e">
        <f>J211/J214</f>
        <v>#REF!</v>
      </c>
      <c r="L211" s="619" t="e">
        <f t="shared" si="14"/>
        <v>#REF!</v>
      </c>
    </row>
    <row r="212" spans="1:12" ht="15.75" thickBot="1">
      <c r="A212" s="697" t="s">
        <v>5493</v>
      </c>
      <c r="B212" s="703" t="e">
        <f>COUNTIFS(SurveyDATA!#REF!,"LEGAL",SurveyDATA!E:E,"*CALOOCAN*",SurveyDATA!S:S,"MALE",SurveyDATA!#REF!,"0")</f>
        <v>#REF!</v>
      </c>
      <c r="C212" s="700" t="e">
        <f>B212/B214</f>
        <v>#REF!</v>
      </c>
      <c r="D212" s="587" t="e">
        <f>COUNTIFS(SurveyDATA!#REF!,"LEGAL",SurveyDATA!E:E,"*CALOOCAN*",SurveyDATA!S:S,"MALE",SurveyDATA!#REF!,"1")</f>
        <v>#REF!</v>
      </c>
      <c r="E212" s="700" t="e">
        <f>D212/D214</f>
        <v>#REF!</v>
      </c>
      <c r="F212" s="587" t="e">
        <f>COUNTIFS(SurveyDATA!#REF!,"LEGAL",SurveyDATA!E:E,"*CALOOCAN*",SurveyDATA!S:S,"MALE",SurveyDATA!#REF!,"2")</f>
        <v>#REF!</v>
      </c>
      <c r="G212" s="700" t="e">
        <f>F212/F214</f>
        <v>#REF!</v>
      </c>
      <c r="H212" s="587" t="e">
        <f>COUNTIFS(SurveyDATA!#REF!,"LEGAL",SurveyDATA!E:E,"*CALOOCAN*",SurveyDATA!S:S,"MALE",SurveyDATA!#REF!,"3")</f>
        <v>#REF!</v>
      </c>
      <c r="I212" s="700" t="e">
        <f>H212/H214</f>
        <v>#REF!</v>
      </c>
      <c r="J212" s="587" t="e">
        <f>COUNTIFS(SurveyDATA!#REF!,"ISF",SurveyDATA!E:E,"*CALOOCAN*",SurveyDATA!S:S,"MALE",SurveyDATA!#REF!,"4")</f>
        <v>#REF!</v>
      </c>
      <c r="K212" s="700" t="e">
        <f>J212/J214</f>
        <v>#REF!</v>
      </c>
      <c r="L212" s="619" t="e">
        <f t="shared" si="14"/>
        <v>#REF!</v>
      </c>
    </row>
    <row r="213" spans="1:12" ht="15.75" thickBot="1">
      <c r="A213" s="697" t="s">
        <v>1020</v>
      </c>
      <c r="B213" s="703" t="e">
        <f>COUNTIFS(SurveyDATA!#REF!,"LEGAL",SurveyDATA!E:E,"*MANILA*",SurveyDATA!S:S,"MALE",SurveyDATA!#REF!,"0")</f>
        <v>#REF!</v>
      </c>
      <c r="C213" s="700" t="e">
        <f>B213/B214</f>
        <v>#REF!</v>
      </c>
      <c r="D213" s="587" t="e">
        <f>COUNTIFS(SurveyDATA!#REF!,"LEGAL",SurveyDATA!E:E,"*MANILA*",SurveyDATA!S:S,"MALE",SurveyDATA!#REF!,"1")</f>
        <v>#REF!</v>
      </c>
      <c r="E213" s="700" t="e">
        <f>D213/D214</f>
        <v>#REF!</v>
      </c>
      <c r="F213" s="587" t="e">
        <f>COUNTIFS(SurveyDATA!#REF!,"LEGAL",SurveyDATA!E:E,"*MANILA*",SurveyDATA!S:S,"MALE",SurveyDATA!#REF!,"2")</f>
        <v>#REF!</v>
      </c>
      <c r="G213" s="700" t="e">
        <f>F213/F214</f>
        <v>#REF!</v>
      </c>
      <c r="H213" s="587" t="e">
        <f>COUNTIFS(SurveyDATA!#REF!,"LEGAL",SurveyDATA!E:E,"*MANILA*",SurveyDATA!S:S,"MALE",SurveyDATA!#REF!,"3")</f>
        <v>#REF!</v>
      </c>
      <c r="I213" s="700" t="e">
        <f>H213/H214</f>
        <v>#REF!</v>
      </c>
      <c r="J213" s="587" t="e">
        <f>COUNTIFS(SurveyDATA!#REF!,"LEGAL",SurveyDATA!E:E,"*MANILA*",SurveyDATA!S:S,"MALE",SurveyDATA!#REF!,"4")</f>
        <v>#REF!</v>
      </c>
      <c r="K213" s="700" t="e">
        <f>J213/J214</f>
        <v>#REF!</v>
      </c>
      <c r="L213" s="619" t="e">
        <f t="shared" si="14"/>
        <v>#REF!</v>
      </c>
    </row>
    <row r="214" spans="1:12" ht="15.75" thickBot="1">
      <c r="A214" s="698" t="s">
        <v>4348</v>
      </c>
      <c r="B214" s="699" t="e">
        <f t="shared" ref="B214:K214" si="15">SUM(B205:B213)</f>
        <v>#REF!</v>
      </c>
      <c r="C214" s="701" t="e">
        <f t="shared" si="15"/>
        <v>#REF!</v>
      </c>
      <c r="D214" s="699" t="e">
        <f t="shared" si="15"/>
        <v>#REF!</v>
      </c>
      <c r="E214" s="701" t="e">
        <f t="shared" si="15"/>
        <v>#REF!</v>
      </c>
      <c r="F214" s="699" t="e">
        <f t="shared" si="15"/>
        <v>#REF!</v>
      </c>
      <c r="G214" s="701" t="e">
        <f t="shared" si="15"/>
        <v>#REF!</v>
      </c>
      <c r="H214" s="699" t="e">
        <f t="shared" si="15"/>
        <v>#REF!</v>
      </c>
      <c r="I214" s="701" t="e">
        <f t="shared" si="15"/>
        <v>#REF!</v>
      </c>
      <c r="J214" s="699" t="e">
        <f t="shared" si="15"/>
        <v>#REF!</v>
      </c>
      <c r="K214" s="701" t="e">
        <f t="shared" si="15"/>
        <v>#REF!</v>
      </c>
      <c r="L214" s="619" t="e">
        <f t="shared" si="14"/>
        <v>#REF!</v>
      </c>
    </row>
    <row r="217" spans="1:12">
      <c r="A217" s="635" t="s">
        <v>7330</v>
      </c>
      <c r="K217" s="607"/>
      <c r="L217" s="607"/>
    </row>
    <row r="218" spans="1:12" ht="15.75" thickBot="1"/>
    <row r="219" spans="1:12" ht="15.75" thickBot="1">
      <c r="A219" s="1905" t="s">
        <v>7214</v>
      </c>
      <c r="B219" s="1907" t="s">
        <v>7329</v>
      </c>
      <c r="C219" s="1908"/>
      <c r="D219" s="1907" t="s">
        <v>7325</v>
      </c>
      <c r="E219" s="1908"/>
      <c r="F219" s="1907" t="s">
        <v>7326</v>
      </c>
      <c r="G219" s="1908"/>
      <c r="H219" s="1907" t="s">
        <v>7327</v>
      </c>
      <c r="I219" s="1908"/>
      <c r="J219" s="1907" t="s">
        <v>7328</v>
      </c>
      <c r="K219" s="1908"/>
      <c r="L219" s="1905" t="s">
        <v>2034</v>
      </c>
    </row>
    <row r="220" spans="1:12" ht="15.75" thickBot="1">
      <c r="A220" s="1906"/>
      <c r="B220" s="696" t="s">
        <v>7281</v>
      </c>
      <c r="C220" s="696" t="s">
        <v>5805</v>
      </c>
      <c r="D220" s="696" t="s">
        <v>7281</v>
      </c>
      <c r="E220" s="696" t="s">
        <v>5805</v>
      </c>
      <c r="F220" s="696" t="s">
        <v>7281</v>
      </c>
      <c r="G220" s="696" t="s">
        <v>5805</v>
      </c>
      <c r="H220" s="696" t="s">
        <v>7281</v>
      </c>
      <c r="I220" s="696" t="s">
        <v>5805</v>
      </c>
      <c r="J220" s="696" t="s">
        <v>7281</v>
      </c>
      <c r="K220" s="696" t="s">
        <v>5805</v>
      </c>
      <c r="L220" s="1906"/>
    </row>
    <row r="221" spans="1:12" ht="15.75" thickBot="1">
      <c r="A221" s="697" t="s">
        <v>5848</v>
      </c>
      <c r="B221" s="703" t="e">
        <f>COUNTIFS(SurveyDATA!#REF!,"LEGAL",SurveyDATA!E:E,"*MALOLOS*",SurveyDATA!S:S,"FEMALE",SurveyDATA!#REF!,"0")</f>
        <v>#REF!</v>
      </c>
      <c r="C221" s="700" t="e">
        <f>B221/B230</f>
        <v>#REF!</v>
      </c>
      <c r="D221" s="587" t="e">
        <f>COUNTIFS(SurveyDATA!#REF!,"LEGAL",SurveyDATA!E:E,"*MALOLOS*",SurveyDATA!S:S,"FEMALE",SurveyDATA!#REF!,"1")</f>
        <v>#REF!</v>
      </c>
      <c r="E221" s="700" t="e">
        <f>D221/D230</f>
        <v>#REF!</v>
      </c>
      <c r="F221" s="587" t="e">
        <f>COUNTIFS(SurveyDATA!#REF!,"LEGAL",SurveyDATA!E:E,"*MALOLOS*",SurveyDATA!S:S,"FEMALE",SurveyDATA!#REF!,"2")</f>
        <v>#REF!</v>
      </c>
      <c r="G221" s="700" t="e">
        <f>F221/F230</f>
        <v>#REF!</v>
      </c>
      <c r="H221" s="587" t="e">
        <f>COUNTIFS(SurveyDATA!#REF!,"LEGAL",SurveyDATA!E:E,"*MALOLOS*",SurveyDATA!S:S,"FEMALE",SurveyDATA!#REF!,"3")</f>
        <v>#REF!</v>
      </c>
      <c r="I221" s="700" t="e">
        <f>H221/H230</f>
        <v>#REF!</v>
      </c>
      <c r="J221" s="587" t="e">
        <f>COUNTIFS(SurveyDATA!#REF!,"LEGAL",SurveyDATA!E:E,"*MALOLOS*",SurveyDATA!S:S,"FEMALE",SurveyDATA!#REF!,"4")</f>
        <v>#REF!</v>
      </c>
      <c r="K221" s="700" t="e">
        <f>J221/J230</f>
        <v>#REF!</v>
      </c>
      <c r="L221" s="619" t="e">
        <f>SUM(B221,D221,F221,H221,J221)</f>
        <v>#REF!</v>
      </c>
    </row>
    <row r="222" spans="1:12" ht="15.75" thickBot="1">
      <c r="A222" s="697" t="s">
        <v>5494</v>
      </c>
      <c r="B222" s="703" t="e">
        <f>COUNTIFS(SurveyDATA!#REF!,"LEGAL",SurveyDATA!E:E,"*GUIGUINTO*",SurveyDATA!S:S,"FEMALE",SurveyDATA!#REF!,"0")</f>
        <v>#REF!</v>
      </c>
      <c r="C222" s="700" t="e">
        <f>B222/B230</f>
        <v>#REF!</v>
      </c>
      <c r="D222" s="587" t="e">
        <f>COUNTIFS(SurveyDATA!#REF!,"LEGAL",SurveyDATA!E:E,"*GUIGUINTO*",SurveyDATA!S:S,"FEMALE",SurveyDATA!#REF!,"1")</f>
        <v>#REF!</v>
      </c>
      <c r="E222" s="700" t="e">
        <f>D222/D230</f>
        <v>#REF!</v>
      </c>
      <c r="F222" s="587" t="e">
        <f>COUNTIFS(SurveyDATA!#REF!,"LEGAL",SurveyDATA!E:E,"*GUIGUINTO*",SurveyDATA!S:S,"FEMALE",SurveyDATA!#REF!,"2")</f>
        <v>#REF!</v>
      </c>
      <c r="G222" s="700" t="e">
        <f>F222/F230</f>
        <v>#REF!</v>
      </c>
      <c r="H222" s="587" t="e">
        <f>COUNTIFS(SurveyDATA!#REF!,"ISF",SurveyDATA!E:E,"*GUIGUINTO*",SurveyDATA!S:S,"FEMALE",SurveyDATA!#REF!,"3")</f>
        <v>#REF!</v>
      </c>
      <c r="I222" s="700" t="e">
        <f>H222/H230</f>
        <v>#REF!</v>
      </c>
      <c r="J222" s="587" t="e">
        <f>COUNTIFS(SurveyDATA!#REF!,"LEGAL",SurveyDATA!E:E,"*GUIGUINTO*",SurveyDATA!S:S,"FEMALE",SurveyDATA!#REF!,"4")</f>
        <v>#REF!</v>
      </c>
      <c r="K222" s="700" t="e">
        <f>J222/J230</f>
        <v>#REF!</v>
      </c>
      <c r="L222" s="619" t="e">
        <f t="shared" ref="L222:L230" si="16">SUM(B222,D222,F222,H222,J222)</f>
        <v>#REF!</v>
      </c>
    </row>
    <row r="223" spans="1:12" ht="15.75" thickBot="1">
      <c r="A223" s="697" t="s">
        <v>5847</v>
      </c>
      <c r="B223" s="703" t="e">
        <f>COUNTIFS(SurveyDATA!#REF!,"LEGAL",SurveyDATA!E:E,"*BALAGTAS*",SurveyDATA!S:S,"FEMALE",SurveyDATA!#REF!,"0")</f>
        <v>#REF!</v>
      </c>
      <c r="C223" s="700" t="e">
        <f>B223/B230</f>
        <v>#REF!</v>
      </c>
      <c r="D223" s="587" t="e">
        <f>COUNTIFS(SurveyDATA!#REF!,"LEGAL",SurveyDATA!E:E,"*BALAGTAS*",SurveyDATA!S:S,"FEMALE",SurveyDATA!#REF!,"1")</f>
        <v>#REF!</v>
      </c>
      <c r="E223" s="700" t="e">
        <f>D223/D230</f>
        <v>#REF!</v>
      </c>
      <c r="F223" s="587" t="e">
        <f>COUNTIFS(SurveyDATA!#REF!,"LEGAL",SurveyDATA!E:E,"*BALAGTAS*",SurveyDATA!S:S,"FEMALE",SurveyDATA!#REF!,"2")</f>
        <v>#REF!</v>
      </c>
      <c r="G223" s="700" t="e">
        <f>F223/F230</f>
        <v>#REF!</v>
      </c>
      <c r="H223" s="587" t="e">
        <f>COUNTIFS(SurveyDATA!#REF!,"LEGAL",SurveyDATA!E:E,"*BALAGTAS*",SurveyDATA!S:S,"FEMALE",SurveyDATA!#REF!,"3")</f>
        <v>#REF!</v>
      </c>
      <c r="I223" s="700" t="e">
        <f>H223/H230</f>
        <v>#REF!</v>
      </c>
      <c r="J223" s="587" t="e">
        <f>COUNTIFS(SurveyDATA!#REF!,"LEGAL",SurveyDATA!E:E,"*BALAGTAS*",SurveyDATA!S:S,"FEMALE",SurveyDATA!#REF!,"4")</f>
        <v>#REF!</v>
      </c>
      <c r="K223" s="700" t="e">
        <f>J223/J230</f>
        <v>#REF!</v>
      </c>
      <c r="L223" s="619" t="e">
        <f t="shared" si="16"/>
        <v>#REF!</v>
      </c>
    </row>
    <row r="224" spans="1:12" ht="15.75" thickBot="1">
      <c r="A224" s="697" t="s">
        <v>771</v>
      </c>
      <c r="B224" s="703" t="e">
        <f>COUNTIFS(SurveyDATA!#REF!,"LEGAL",SurveyDATA!E:E,"*BOCAUE*",SurveyDATA!S:S,"FEMALE",SurveyDATA!#REF!,"0")</f>
        <v>#REF!</v>
      </c>
      <c r="C224" s="700" t="e">
        <f>B224/B230</f>
        <v>#REF!</v>
      </c>
      <c r="D224" s="587" t="e">
        <f>COUNTIFS(SurveyDATA!#REF!,"LEGAL",SurveyDATA!E:E,"*BOCAUE*",SurveyDATA!S:S,"FEMALE",SurveyDATA!#REF!,"1")</f>
        <v>#REF!</v>
      </c>
      <c r="E224" s="700" t="e">
        <f>D224/D230</f>
        <v>#REF!</v>
      </c>
      <c r="F224" s="587" t="e">
        <f>COUNTIFS(SurveyDATA!#REF!,"LEGAL",SurveyDATA!E:E,"*BOCAUE*",SurveyDATA!S:S,"FEMALE",SurveyDATA!#REF!,"2")</f>
        <v>#REF!</v>
      </c>
      <c r="G224" s="700" t="e">
        <f>F224/F230</f>
        <v>#REF!</v>
      </c>
      <c r="H224" s="587" t="e">
        <f>COUNTIFS(SurveyDATA!#REF!,"LEGAL",SurveyDATA!E:E,"*BOCAUE*",SurveyDATA!S:S,"FEMALE",SurveyDATA!#REF!,"3")</f>
        <v>#REF!</v>
      </c>
      <c r="I224" s="700" t="e">
        <f>H224/H230</f>
        <v>#REF!</v>
      </c>
      <c r="J224" s="587" t="e">
        <f>COUNTIFS(SurveyDATA!#REF!,"LEGAL",SurveyDATA!E:E,"*BOCAUE*",SurveyDATA!S:S,"FEMALE",SurveyDATA!#REF!,"4")</f>
        <v>#REF!</v>
      </c>
      <c r="K224" s="700" t="e">
        <f>J224/J230</f>
        <v>#REF!</v>
      </c>
      <c r="L224" s="619" t="e">
        <f t="shared" si="16"/>
        <v>#REF!</v>
      </c>
    </row>
    <row r="225" spans="1:12" ht="15.75" thickBot="1">
      <c r="A225" s="697" t="s">
        <v>5495</v>
      </c>
      <c r="B225" s="703" t="e">
        <f>COUNTIFS(SurveyDATA!#REF!,"LEGAL",SurveyDATA!E:E,"*MARILAO*",SurveyDATA!S:S,"FEMALE",SurveyDATA!#REF!,"0")</f>
        <v>#REF!</v>
      </c>
      <c r="C225" s="700" t="e">
        <f>B225/B230</f>
        <v>#REF!</v>
      </c>
      <c r="D225" s="587" t="e">
        <f>COUNTIFS(SurveyDATA!#REF!,"LEGAL",SurveyDATA!E:E,"*MARILAO*",SurveyDATA!S:S,"FEMALE",SurveyDATA!#REF!,"1")</f>
        <v>#REF!</v>
      </c>
      <c r="E225" s="700" t="e">
        <f>D225/D230</f>
        <v>#REF!</v>
      </c>
      <c r="F225" s="587" t="e">
        <f>COUNTIFS(SurveyDATA!#REF!,"LEGAL",SurveyDATA!E:E,"*MARILAO*",SurveyDATA!S:S,"FEMALE",SurveyDATA!#REF!,"2")</f>
        <v>#REF!</v>
      </c>
      <c r="G225" s="700" t="e">
        <f ca="1">F225:G225/F230</f>
        <v>#REF!</v>
      </c>
      <c r="H225" s="587" t="e">
        <f>COUNTIFS(SurveyDATA!#REF!,"LEGAL",SurveyDATA!E:E,"*MARILAO*",SurveyDATA!S:S,"FEMALE",SurveyDATA!#REF!,"3")</f>
        <v>#REF!</v>
      </c>
      <c r="I225" s="700" t="e">
        <f ca="1">H225:I225/H230</f>
        <v>#REF!</v>
      </c>
      <c r="J225" s="587" t="e">
        <f>COUNTIFS(SurveyDATA!#REF!,"LEGAL",SurveyDATA!E:E,"*MARILAO*",SurveyDATA!S:S,"FEMALE",SurveyDATA!#REF!,"4")</f>
        <v>#REF!</v>
      </c>
      <c r="K225" s="700" t="e">
        <f ca="1">J225:K225/J230</f>
        <v>#REF!</v>
      </c>
      <c r="L225" s="619" t="e">
        <f t="shared" si="16"/>
        <v>#REF!</v>
      </c>
    </row>
    <row r="226" spans="1:12" ht="15.75" thickBot="1">
      <c r="A226" s="697" t="s">
        <v>5496</v>
      </c>
      <c r="B226" s="703" t="e">
        <f>COUNTIFS(SurveyDATA!#REF!,"LEGAL",SurveyDATA!E:E,"*MEYCAUAYAN*",SurveyDATA!S:S,"FEMALE",SurveyDATA!#REF!,"0")</f>
        <v>#REF!</v>
      </c>
      <c r="C226" s="700" t="e">
        <f>B226/B230</f>
        <v>#REF!</v>
      </c>
      <c r="D226" s="587" t="e">
        <f>COUNTIFS(SurveyDATA!#REF!,"LEGAL",SurveyDATA!E:E,"*MEYCAUAYAN*",SurveyDATA!S:S,"FEMALE",SurveyDATA!#REF!,"1")</f>
        <v>#REF!</v>
      </c>
      <c r="E226" s="700" t="e">
        <f>D226/D230</f>
        <v>#REF!</v>
      </c>
      <c r="F226" s="587" t="e">
        <f>COUNTIFS(SurveyDATA!#REF!,"LEGAL",SurveyDATA!E:E,"*MEYCAUAYAN*",SurveyDATA!S:S,"MALE",SurveyDATA!#REF!,"2")</f>
        <v>#REF!</v>
      </c>
      <c r="G226" s="700" t="e">
        <f>F226/F230</f>
        <v>#REF!</v>
      </c>
      <c r="H226" s="587" t="e">
        <f>COUNTIFS(SurveyDATA!#REF!,"LEGAL",SurveyDATA!E:E,"*MEYCAUAYAN*",SurveyDATA!S:S,"FEMALE",SurveyDATA!#REF!,"3")</f>
        <v>#REF!</v>
      </c>
      <c r="I226" s="700" t="e">
        <f>H226/H230</f>
        <v>#REF!</v>
      </c>
      <c r="J226" s="587" t="e">
        <f>COUNTIFS(SurveyDATA!#REF!,"ISF",SurveyDATA!E:E,"*MEYCAUAYAN*",SurveyDATA!S:S,"FEMALE",SurveyDATA!#REF!,"4")</f>
        <v>#REF!</v>
      </c>
      <c r="K226" s="700" t="e">
        <f>J226/J230</f>
        <v>#REF!</v>
      </c>
      <c r="L226" s="619" t="e">
        <f t="shared" si="16"/>
        <v>#REF!</v>
      </c>
    </row>
    <row r="227" spans="1:12" ht="15.75" thickBot="1">
      <c r="A227" s="697" t="s">
        <v>778</v>
      </c>
      <c r="B227" s="703" t="e">
        <f>COUNTIFS(SurveyDATA!#REF!,"LEGAL",SurveyDATA!E:E,"*VALENZUELA*",SurveyDATA!S:S,"FEMALE",SurveyDATA!#REF!,"0")</f>
        <v>#REF!</v>
      </c>
      <c r="C227" s="700" t="e">
        <f>B227/B230</f>
        <v>#REF!</v>
      </c>
      <c r="D227" s="587" t="e">
        <f>COUNTIFS(SurveyDATA!#REF!,"LEGAL",SurveyDATA!E:E,"*VALENZUELA*",SurveyDATA!S:S,"FEMALE",SurveyDATA!#REF!,"1")</f>
        <v>#REF!</v>
      </c>
      <c r="E227" s="700" t="e">
        <f>D227/D230</f>
        <v>#REF!</v>
      </c>
      <c r="F227" s="587" t="e">
        <f>COUNTIFS(SurveyDATA!#REF!,"LEGAL",SurveyDATA!E:E,"*VALENZUELA*",SurveyDATA!S:S,"FEMALE",SurveyDATA!#REF!,"2")</f>
        <v>#REF!</v>
      </c>
      <c r="G227" s="700" t="e">
        <f>F227/F230</f>
        <v>#REF!</v>
      </c>
      <c r="H227" s="587" t="e">
        <f>COUNTIFS(SurveyDATA!#REF!,"LEGAL",SurveyDATA!E:E,"*VAENZUELA*",SurveyDATA!S:S,"FEMALE",SurveyDATA!#REF!,"3")</f>
        <v>#REF!</v>
      </c>
      <c r="I227" s="700" t="e">
        <f>H227/H230</f>
        <v>#REF!</v>
      </c>
      <c r="J227" s="587" t="e">
        <f>COUNTIFS(SurveyDATA!#REF!,"ISF",SurveyDATA!E:E,"*VALENZUELA*",SurveyDATA!S:S,"FEMALE",SurveyDATA!#REF!,"4")</f>
        <v>#REF!</v>
      </c>
      <c r="K227" s="700" t="e">
        <f>J227/J230</f>
        <v>#REF!</v>
      </c>
      <c r="L227" s="619" t="e">
        <f t="shared" si="16"/>
        <v>#REF!</v>
      </c>
    </row>
    <row r="228" spans="1:12" ht="15.75" thickBot="1">
      <c r="A228" s="697" t="s">
        <v>5493</v>
      </c>
      <c r="B228" s="703" t="e">
        <f>COUNTIFS(SurveyDATA!#REF!,"LEGAL",SurveyDATA!E:E,"*CALOOCAN*",SurveyDATA!S:S,"FEMALE",SurveyDATA!#REF!,"0")</f>
        <v>#REF!</v>
      </c>
      <c r="C228" s="700" t="e">
        <f>B228/B230</f>
        <v>#REF!</v>
      </c>
      <c r="D228" s="587" t="e">
        <f>COUNTIFS(SurveyDATA!#REF!,"LEGAL",SurveyDATA!E:E,"*CALOOCAN*",SurveyDATA!S:S,"FEMALE",SurveyDATA!#REF!,"1")</f>
        <v>#REF!</v>
      </c>
      <c r="E228" s="700" t="e">
        <f>D228/D230</f>
        <v>#REF!</v>
      </c>
      <c r="F228" s="587" t="e">
        <f>COUNTIFS(SurveyDATA!#REF!,"LEGAL",SurveyDATA!E:E,"*CALOOCAN*",SurveyDATA!S:S,"FEMALE",SurveyDATA!#REF!,"2")</f>
        <v>#REF!</v>
      </c>
      <c r="G228" s="700" t="e">
        <f>F228/F230</f>
        <v>#REF!</v>
      </c>
      <c r="H228" s="587" t="e">
        <f>COUNTIFS(SurveyDATA!#REF!,"LEGAL",SurveyDATA!E:E,"*CALOOCAN*",SurveyDATA!S:S,"FEMALE",SurveyDATA!#REF!,"3")</f>
        <v>#REF!</v>
      </c>
      <c r="I228" s="700" t="e">
        <f>H228/H230</f>
        <v>#REF!</v>
      </c>
      <c r="J228" s="587" t="e">
        <f>COUNTIFS(SurveyDATA!#REF!,"ISF",SurveyDATA!E:E,"*CALOOCAN*",SurveyDATA!S:S,"FEMALE",SurveyDATA!#REF!,"4")</f>
        <v>#REF!</v>
      </c>
      <c r="K228" s="700" t="e">
        <f>J228/J230</f>
        <v>#REF!</v>
      </c>
      <c r="L228" s="619" t="e">
        <f t="shared" si="16"/>
        <v>#REF!</v>
      </c>
    </row>
    <row r="229" spans="1:12" ht="15.75" thickBot="1">
      <c r="A229" s="697" t="s">
        <v>1020</v>
      </c>
      <c r="B229" s="703" t="e">
        <f>COUNTIFS(SurveyDATA!#REF!,"LEGAL",SurveyDATA!E:E,"*MANILA*",SurveyDATA!S:S,"FEMALE",SurveyDATA!#REF!,"0")</f>
        <v>#REF!</v>
      </c>
      <c r="C229" s="700" t="e">
        <f>B229/B230</f>
        <v>#REF!</v>
      </c>
      <c r="D229" s="587" t="e">
        <f>COUNTIFS(SurveyDATA!#REF!,"LEGAL",SurveyDATA!E:E,"*MANILA*",SurveyDATA!S:S,"FEMALE",SurveyDATA!#REF!,"1")</f>
        <v>#REF!</v>
      </c>
      <c r="E229" s="700" t="e">
        <f>D229/D230</f>
        <v>#REF!</v>
      </c>
      <c r="F229" s="587" t="e">
        <f>COUNTIFS(SurveyDATA!#REF!,"LEGAL",SurveyDATA!E:E,"*MANILA*",SurveyDATA!S:S,"FEMALE",SurveyDATA!#REF!,"2")</f>
        <v>#REF!</v>
      </c>
      <c r="G229" s="700" t="e">
        <f>F229/F230</f>
        <v>#REF!</v>
      </c>
      <c r="H229" s="587" t="e">
        <f>COUNTIFS(SurveyDATA!#REF!,"LEGAL",SurveyDATA!E:E,"*MANILA*",SurveyDATA!S:S,"FEMALE",SurveyDATA!#REF!,"3")</f>
        <v>#REF!</v>
      </c>
      <c r="I229" s="700" t="e">
        <f>H229/H230</f>
        <v>#REF!</v>
      </c>
      <c r="J229" s="587" t="e">
        <f>COUNTIFS(SurveyDATA!#REF!,"LEGAL",SurveyDATA!E:E,"*MANILA*",SurveyDATA!S:S,"FEMALE",SurveyDATA!#REF!,"4")</f>
        <v>#REF!</v>
      </c>
      <c r="K229" s="700" t="e">
        <f>J229/J230</f>
        <v>#REF!</v>
      </c>
      <c r="L229" s="619" t="e">
        <f t="shared" si="16"/>
        <v>#REF!</v>
      </c>
    </row>
    <row r="230" spans="1:12" ht="15.75" thickBot="1">
      <c r="A230" s="698" t="s">
        <v>4348</v>
      </c>
      <c r="B230" s="699" t="e">
        <f t="shared" ref="B230:K230" si="17">SUM(B221:B229)</f>
        <v>#REF!</v>
      </c>
      <c r="C230" s="701" t="e">
        <f t="shared" si="17"/>
        <v>#REF!</v>
      </c>
      <c r="D230" s="699" t="e">
        <f t="shared" si="17"/>
        <v>#REF!</v>
      </c>
      <c r="E230" s="701" t="e">
        <f t="shared" si="17"/>
        <v>#REF!</v>
      </c>
      <c r="F230" s="699" t="e">
        <f t="shared" si="17"/>
        <v>#REF!</v>
      </c>
      <c r="G230" s="701" t="e">
        <f t="shared" si="17"/>
        <v>#REF!</v>
      </c>
      <c r="H230" s="699" t="e">
        <f t="shared" si="17"/>
        <v>#REF!</v>
      </c>
      <c r="I230" s="701" t="e">
        <f t="shared" si="17"/>
        <v>#REF!</v>
      </c>
      <c r="J230" s="699" t="e">
        <f t="shared" si="17"/>
        <v>#REF!</v>
      </c>
      <c r="K230" s="701" t="e">
        <f t="shared" si="17"/>
        <v>#REF!</v>
      </c>
      <c r="L230" s="619" t="e">
        <f t="shared" si="16"/>
        <v>#REF!</v>
      </c>
    </row>
    <row r="233" spans="1:12">
      <c r="A233" s="594" t="s">
        <v>7332</v>
      </c>
    </row>
    <row r="234" spans="1:12" ht="15.75" thickBot="1"/>
    <row r="235" spans="1:12">
      <c r="A235" s="695" t="s">
        <v>7214</v>
      </c>
      <c r="B235" s="705" t="s">
        <v>7333</v>
      </c>
      <c r="C235" s="705" t="s">
        <v>18</v>
      </c>
    </row>
    <row r="236" spans="1:12" ht="15.75" thickBot="1">
      <c r="A236" s="704"/>
      <c r="B236" s="706"/>
      <c r="C236" s="706" t="s">
        <v>7336</v>
      </c>
    </row>
    <row r="237" spans="1:12" ht="15.75" thickBot="1">
      <c r="A237" s="707" t="s">
        <v>5848</v>
      </c>
      <c r="B237" s="708">
        <v>50</v>
      </c>
      <c r="C237" s="708">
        <v>50</v>
      </c>
    </row>
    <row r="238" spans="1:12" ht="15.75" thickBot="1">
      <c r="A238" s="707" t="s">
        <v>5494</v>
      </c>
      <c r="B238" s="708">
        <v>43</v>
      </c>
      <c r="C238" s="708">
        <v>45</v>
      </c>
    </row>
    <row r="239" spans="1:12" ht="15.75" thickBot="1">
      <c r="A239" s="707" t="s">
        <v>5847</v>
      </c>
      <c r="B239" s="708" t="s">
        <v>835</v>
      </c>
      <c r="C239" s="708" t="s">
        <v>835</v>
      </c>
    </row>
    <row r="240" spans="1:12" ht="15.75" thickBot="1">
      <c r="A240" s="707" t="s">
        <v>7335</v>
      </c>
      <c r="B240" s="708"/>
      <c r="C240" s="708"/>
    </row>
    <row r="241" spans="1:3" ht="15.75" thickBot="1">
      <c r="A241" s="707" t="s">
        <v>5495</v>
      </c>
      <c r="B241" s="708">
        <v>120.21</v>
      </c>
      <c r="C241" s="708" t="s">
        <v>835</v>
      </c>
    </row>
    <row r="242" spans="1:3" ht="15.75" thickBot="1">
      <c r="A242" s="707" t="s">
        <v>5496</v>
      </c>
      <c r="B242" s="708">
        <v>33.17</v>
      </c>
      <c r="C242" s="708">
        <v>31</v>
      </c>
    </row>
    <row r="243" spans="1:3" ht="15.75" thickBot="1">
      <c r="A243" s="707" t="s">
        <v>778</v>
      </c>
      <c r="B243" s="708">
        <v>47</v>
      </c>
      <c r="C243" s="708" t="s">
        <v>835</v>
      </c>
    </row>
    <row r="244" spans="1:3" ht="15.75" thickBot="1">
      <c r="A244" s="707" t="s">
        <v>5493</v>
      </c>
      <c r="B244" s="708" t="s">
        <v>835</v>
      </c>
      <c r="C244" s="708" t="s">
        <v>835</v>
      </c>
    </row>
    <row r="245" spans="1:3" ht="15.75" thickBot="1">
      <c r="A245" s="707" t="s">
        <v>1020</v>
      </c>
      <c r="B245" s="708">
        <v>53.61</v>
      </c>
      <c r="C245" s="708">
        <v>25</v>
      </c>
    </row>
    <row r="246" spans="1:3" ht="15.75" thickBot="1">
      <c r="A246" s="709" t="s">
        <v>7334</v>
      </c>
      <c r="B246" s="710">
        <v>51.7</v>
      </c>
      <c r="C246" s="710">
        <v>42</v>
      </c>
    </row>
  </sheetData>
  <mergeCells count="45">
    <mergeCell ref="W20:W22"/>
    <mergeCell ref="U20:V21"/>
    <mergeCell ref="S20:T21"/>
    <mergeCell ref="P20:P22"/>
    <mergeCell ref="Q20:Q22"/>
    <mergeCell ref="R20:R22"/>
    <mergeCell ref="L203:L204"/>
    <mergeCell ref="B203:C203"/>
    <mergeCell ref="A219:A220"/>
    <mergeCell ref="B219:C219"/>
    <mergeCell ref="D219:E219"/>
    <mergeCell ref="F219:G219"/>
    <mergeCell ref="H219:I219"/>
    <mergeCell ref="J219:K219"/>
    <mergeCell ref="L219:L220"/>
    <mergeCell ref="A203:A204"/>
    <mergeCell ref="D203:E203"/>
    <mergeCell ref="F203:G203"/>
    <mergeCell ref="H203:I203"/>
    <mergeCell ref="J203:K203"/>
    <mergeCell ref="A169:A171"/>
    <mergeCell ref="B169:H169"/>
    <mergeCell ref="I169:I171"/>
    <mergeCell ref="B170:B171"/>
    <mergeCell ref="D170:D171"/>
    <mergeCell ref="H152:H153"/>
    <mergeCell ref="E170:E171"/>
    <mergeCell ref="F170:F171"/>
    <mergeCell ref="G170:G171"/>
    <mergeCell ref="H170:H171"/>
    <mergeCell ref="A152:A153"/>
    <mergeCell ref="B152:D152"/>
    <mergeCell ref="E152:F152"/>
    <mergeCell ref="A22:A24"/>
    <mergeCell ref="B22:B24"/>
    <mergeCell ref="C22:G22"/>
    <mergeCell ref="C23:C24"/>
    <mergeCell ref="D23:D24"/>
    <mergeCell ref="E23:E24"/>
    <mergeCell ref="F23:F24"/>
    <mergeCell ref="B131:C131"/>
    <mergeCell ref="D131:E131"/>
    <mergeCell ref="F131:G131"/>
    <mergeCell ref="G152:G153"/>
    <mergeCell ref="G23:G2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sheetPr codeName="Sheet13">
    <tabColor rgb="FFFF0000"/>
  </sheetPr>
  <dimension ref="A2:AA241"/>
  <sheetViews>
    <sheetView zoomScale="80" zoomScaleNormal="80" workbookViewId="0">
      <selection activeCell="B2" sqref="B2"/>
    </sheetView>
  </sheetViews>
  <sheetFormatPr defaultRowHeight="15"/>
  <cols>
    <col min="1" max="1" width="27.5703125" customWidth="1"/>
    <col min="2" max="3" width="16.28515625" customWidth="1"/>
    <col min="4" max="5" width="13.28515625" customWidth="1"/>
    <col min="6" max="9" width="15.140625" customWidth="1"/>
    <col min="14" max="14" width="9.140625" style="711"/>
    <col min="16" max="16" width="31.42578125" customWidth="1"/>
    <col min="17" max="22" width="15" customWidth="1"/>
    <col min="23" max="26" width="11.42578125" customWidth="1"/>
  </cols>
  <sheetData>
    <row r="2" spans="1:23">
      <c r="A2" s="595" t="s">
        <v>7364</v>
      </c>
      <c r="B2" t="e">
        <f>COUNTIF(SurveyDATA!#REF!,"ISF")</f>
        <v>#REF!</v>
      </c>
    </row>
    <row r="4" spans="1:23" ht="15.75" thickBot="1">
      <c r="A4" s="635" t="s">
        <v>7251</v>
      </c>
      <c r="P4" s="635" t="s">
        <v>7355</v>
      </c>
    </row>
    <row r="5" spans="1:23" ht="22.5" customHeight="1" thickBot="1">
      <c r="P5" s="1901" t="s">
        <v>7214</v>
      </c>
      <c r="Q5" s="1897" t="s">
        <v>7356</v>
      </c>
      <c r="R5" s="1898"/>
      <c r="S5" s="1897" t="s">
        <v>1828</v>
      </c>
      <c r="T5" s="1898"/>
      <c r="U5" s="1897" t="s">
        <v>1227</v>
      </c>
      <c r="V5" s="1898"/>
      <c r="W5" s="1901" t="s">
        <v>2034</v>
      </c>
    </row>
    <row r="6" spans="1:23" ht="15.75" thickBot="1">
      <c r="A6" s="584" t="s">
        <v>7214</v>
      </c>
      <c r="B6" s="585" t="s">
        <v>10</v>
      </c>
      <c r="C6" s="585" t="s">
        <v>18</v>
      </c>
      <c r="D6" s="585" t="s">
        <v>2034</v>
      </c>
      <c r="P6" s="1902"/>
      <c r="Q6" s="731" t="s">
        <v>7281</v>
      </c>
      <c r="R6" s="731" t="s">
        <v>5805</v>
      </c>
      <c r="S6" s="731" t="s">
        <v>7281</v>
      </c>
      <c r="T6" s="731" t="s">
        <v>5805</v>
      </c>
      <c r="U6" s="731" t="s">
        <v>7281</v>
      </c>
      <c r="V6" s="731" t="s">
        <v>5805</v>
      </c>
      <c r="W6" s="1902"/>
    </row>
    <row r="7" spans="1:23" ht="15.75" thickBot="1">
      <c r="A7" s="586" t="s">
        <v>5848</v>
      </c>
      <c r="B7" s="587" t="e">
        <f>SUMIFS(SurveyDATA!#REF!,SurveyDATA!#REF!,"ISF",SurveyDATA!E:E,"*MALOLOS*")</f>
        <v>#REF!</v>
      </c>
      <c r="C7" s="587" t="e">
        <f>SUMIFS(SurveyDATA!#REF!,SurveyDATA!#REF!,"ISF",SurveyDATA!E:E,"*MALOLOS*")</f>
        <v>#REF!</v>
      </c>
      <c r="D7" s="587" t="e">
        <f>SUM(B7:C7)</f>
        <v>#REF!</v>
      </c>
      <c r="P7" s="728" t="s">
        <v>5848</v>
      </c>
      <c r="Q7" s="587" t="e">
        <f>SUM(COUNTIFS(SurveyDATA!#REF!,"ISF",SurveyDATA!E:E,"*MALOLOS*",SurveyDATA!BS:BS,"*ENTIRE*",SurveyDATA!GH:GH,"*RELOCATION*"),COUNTIFS(SurveyDATA!#REF!,"ISF",SurveyDATA!E:E,"*MALOLOS*",SurveyDATA!BS:BS,"*than 50%*",SurveyDATA!GH:GH,"*RELOCATION*"))</f>
        <v>#REF!</v>
      </c>
      <c r="R7" s="702" t="e">
        <f>Q7/Q16</f>
        <v>#REF!</v>
      </c>
      <c r="S7" s="587" t="e">
        <f>SUM(COUNTIFS(SurveyDATA!#REF!,"ISF",SurveyDATA!E:E,"*MALOLOS*",SurveyDATA!BS:BS,"*ENTIRE*",SurveyDATA!GH:GH,"*CASH*"),COUNTIFS(SurveyDATA!#REF!,"ISF",SurveyDATA!E:E,"*MALOLOS*",SurveyDATA!BS:BS,"*than 50%*",SurveyDATA!GH:GH,"*CASH*"))</f>
        <v>#REF!</v>
      </c>
      <c r="T7" s="702" t="e">
        <f>S7/S16</f>
        <v>#REF!</v>
      </c>
      <c r="U7" s="587" t="e">
        <f>SUM(COUNTIFS(SurveyDATA!#REF!,"ISF",SurveyDATA!E:E,"*MALOLOS*",SurveyDATA!BS:BS,"*ENTIRE*",SurveyDATA!GH:GH,"*BALIK*"),COUNTIFS(SurveyDATA!#REF!,"ISF",SurveyDATA!E:E,"*MALOLOS*",SurveyDATA!BS:BS,"*than 50%*",SurveyDATA!GH:GH,"*BALIK*"))</f>
        <v>#REF!</v>
      </c>
      <c r="V7" s="702" t="e">
        <f>U7/U16</f>
        <v>#REF!</v>
      </c>
      <c r="W7" s="587" t="e">
        <f>SUM(U7,S7,Q7)</f>
        <v>#REF!</v>
      </c>
    </row>
    <row r="8" spans="1:23" ht="15.75" thickBot="1">
      <c r="A8" s="586" t="s">
        <v>5494</v>
      </c>
      <c r="B8" s="587" t="e">
        <f>SUMIFS(SurveyDATA!#REF!,SurveyDATA!#REF!,"ISF",SurveyDATA!E:E,"*GUIGUINTO*")</f>
        <v>#REF!</v>
      </c>
      <c r="C8" s="587" t="e">
        <f>SUMIFS(SurveyDATA!#REF!,SurveyDATA!#REF!,"ISF",SurveyDATA!E:E,"*GUIGUINTO*")</f>
        <v>#REF!</v>
      </c>
      <c r="D8" s="587" t="e">
        <f t="shared" ref="D8:D15" si="0">SUM(B8:C8)</f>
        <v>#REF!</v>
      </c>
      <c r="P8" s="728" t="s">
        <v>5494</v>
      </c>
      <c r="Q8" s="587" t="e">
        <f>SUM(COUNTIFS(SurveyDATA!#REF!,"ISF",SurveyDATA!E:E,"*GUIGUINTO*",SurveyDATA!BS:BS,"*ENTIRE*",SurveyDATA!GH:GH,"*RELOCATION*"),COUNTIFS(SurveyDATA!#REF!,"ISF",SurveyDATA!E:E,"*GUIGUINTO*",SurveyDATA!BS:BS,"*than 50%*",SurveyDATA!GH:GH,"*RELOCATION*"))</f>
        <v>#REF!</v>
      </c>
      <c r="R8" s="702" t="e">
        <f>Q8/Q16</f>
        <v>#REF!</v>
      </c>
      <c r="S8" s="587" t="e">
        <f>SUM(COUNTIFS(SurveyDATA!#REF!,"ISF",SurveyDATA!E:E,"*GUIGUINTO*",SurveyDATA!BS:BS,"*ENTIRE*",SurveyDATA!GH:GH,"*CASH*"),COUNTIFS(SurveyDATA!#REF!,"ISF",SurveyDATA!E:E,"*GUIGUINTO*",SurveyDATA!BS:BS,"*than 50%*",SurveyDATA!GH:GH,"*CASH*"))</f>
        <v>#REF!</v>
      </c>
      <c r="T8" s="702" t="e">
        <f>S8/S16</f>
        <v>#REF!</v>
      </c>
      <c r="U8" s="587" t="e">
        <f>SUM(COUNTIFS(SurveyDATA!#REF!,"ISF",SurveyDATA!E:E,"*GUIGUINTO*",SurveyDATA!BS:BS,"*ENTIRE*",SurveyDATA!GH:GH,"*BALIK*"),COUNTIFS(SurveyDATA!#REF!,"ISF",SurveyDATA!E:E,"*GUIGUINTO*",SurveyDATA!BS:BS,"*than 50%*",SurveyDATA!GH:GH,"*BALIK*"))</f>
        <v>#REF!</v>
      </c>
      <c r="V8" s="702" t="e">
        <f>U8/U16</f>
        <v>#REF!</v>
      </c>
      <c r="W8" s="587" t="e">
        <f t="shared" ref="W8:W15" si="1">SUM(U8,S8,Q8)</f>
        <v>#REF!</v>
      </c>
    </row>
    <row r="9" spans="1:23" ht="15.75" thickBot="1">
      <c r="A9" s="586" t="s">
        <v>5847</v>
      </c>
      <c r="B9" s="587" t="e">
        <f>SUMIFS(SurveyDATA!#REF!,SurveyDATA!#REF!,"ISF",SurveyDATA!E:E,"*BALAGTAS*")</f>
        <v>#REF!</v>
      </c>
      <c r="C9" s="587" t="e">
        <f>SUMIFS(SurveyDATA!#REF!,SurveyDATA!#REF!,"ISF",SurveyDATA!E:E,"*BALAGTAS*")</f>
        <v>#REF!</v>
      </c>
      <c r="D9" s="587" t="e">
        <f t="shared" si="0"/>
        <v>#REF!</v>
      </c>
      <c r="P9" s="729" t="s">
        <v>5847</v>
      </c>
      <c r="Q9" s="587" t="e">
        <f>SUM(COUNTIFS(SurveyDATA!#REF!,"ISF",SurveyDATA!E:E,"*BALAGTAS*",SurveyDATA!BS:BS,"*ENTIRE*",SurveyDATA!GH:GH,"*RELOCATION*"),COUNTIFS(SurveyDATA!#REF!,"ISF",SurveyDATA!E:E,"*BALAGTAS*",SurveyDATA!BS:BS,"*than 50%*",SurveyDATA!GH:GH,"*RELOCATION*"))</f>
        <v>#REF!</v>
      </c>
      <c r="R9" s="732" t="e">
        <f>Q9/Q16</f>
        <v>#REF!</v>
      </c>
      <c r="S9" s="587" t="e">
        <f>SUM(COUNTIFS(SurveyDATA!#REF!,"ISF",SurveyDATA!E:E,"*BALAGTAS*",SurveyDATA!BS:BS,"*ENTIRE*",SurveyDATA!GH:GH,"*CASH*"),COUNTIFS(SurveyDATA!#REF!,"ISF",SurveyDATA!E:E,"*BALAGTAS*",SurveyDATA!BS:BS,"*than 50%*",SurveyDATA!GH:GH,"*CASH*"))</f>
        <v>#REF!</v>
      </c>
      <c r="T9" s="732" t="e">
        <f>S9/S16</f>
        <v>#REF!</v>
      </c>
      <c r="U9" s="730" t="e">
        <f>SUM(COUNTIFS(SurveyDATA!#REF!,"ISF",SurveyDATA!E:E,"*BALAGTAS*",SurveyDATA!BS:BS,"*ENTIRE*",SurveyDATA!GH:GH,"*BALIK*"),COUNTIFS(SurveyDATA!#REF!,"ISF",SurveyDATA!E:E,"*BALAGTAS*",SurveyDATA!BS:BS,"*than 50%*",SurveyDATA!GH:GH,"*BALIK*"))</f>
        <v>#REF!</v>
      </c>
      <c r="V9" s="732" t="e">
        <f>U9/U16</f>
        <v>#REF!</v>
      </c>
      <c r="W9" s="587" t="e">
        <f t="shared" si="1"/>
        <v>#REF!</v>
      </c>
    </row>
    <row r="10" spans="1:23" ht="15.75" thickBot="1">
      <c r="A10" s="586" t="s">
        <v>771</v>
      </c>
      <c r="B10" s="587" t="e">
        <f>SUMIFS(SurveyDATA!#REF!,SurveyDATA!#REF!,"ISF",SurveyDATA!E:E,"*BOCAUE*")</f>
        <v>#REF!</v>
      </c>
      <c r="C10" s="587" t="e">
        <f>SUMIFS(SurveyDATA!#REF!,SurveyDATA!#REF!,"ISF",SurveyDATA!E:E,"*BOCAUE*")</f>
        <v>#REF!</v>
      </c>
      <c r="D10" s="587" t="e">
        <f t="shared" si="0"/>
        <v>#REF!</v>
      </c>
      <c r="P10" s="729" t="s">
        <v>771</v>
      </c>
      <c r="Q10" s="587" t="e">
        <f>SUM(COUNTIFS(SurveyDATA!#REF!,"ISF",SurveyDATA!E:E,"*BOCAUE*",SurveyDATA!BS:BS,"*ENTIRE*",SurveyDATA!GH:GH,"*RELOCATION*"),COUNTIFS(SurveyDATA!#REF!,"ISF",SurveyDATA!E:E,"*BOCAUE*",SurveyDATA!BS:BS,"*than 50%*",SurveyDATA!GH:GH,"*RELOCATION*"))</f>
        <v>#REF!</v>
      </c>
      <c r="R10" s="732" t="e">
        <f>Q10/Q16</f>
        <v>#REF!</v>
      </c>
      <c r="S10" s="587" t="e">
        <f>SUM(COUNTIFS(SurveyDATA!#REF!,"ISF",SurveyDATA!E:E,"*BOCAUE*",SurveyDATA!BS:BS,"*ENTIRE*",SurveyDATA!GH:GH,"*CASH*"),COUNTIFS(SurveyDATA!#REF!,"ISF",SurveyDATA!E:E,"*BOCAUE*",SurveyDATA!BS:BS,"*than 50%*",SurveyDATA!GH:GH,"*CASH*"))</f>
        <v>#REF!</v>
      </c>
      <c r="T10" s="732" t="e">
        <f>S10/S16</f>
        <v>#REF!</v>
      </c>
      <c r="U10" s="730" t="e">
        <f>SUM(COUNTIFS(SurveyDATA!#REF!,"ISF",SurveyDATA!E:E,"*BOCAUE*",SurveyDATA!BS:BS,"*ENTIRE*",SurveyDATA!GH:GH,"*BALIK*"),COUNTIFS(SurveyDATA!#REF!,"ISF",SurveyDATA!E:E,"*BOCAUE*",SurveyDATA!BS:BS,"*than 50%*",SurveyDATA!GH:GH,"*BALIK*"))</f>
        <v>#REF!</v>
      </c>
      <c r="V10" s="732" t="e">
        <f>U10/U16</f>
        <v>#REF!</v>
      </c>
      <c r="W10" s="587" t="e">
        <f t="shared" si="1"/>
        <v>#REF!</v>
      </c>
    </row>
    <row r="11" spans="1:23" ht="15.75" thickBot="1">
      <c r="A11" s="586" t="s">
        <v>5495</v>
      </c>
      <c r="B11" s="587" t="e">
        <f>SUMIFS(SurveyDATA!#REF!,SurveyDATA!#REF!,"ISF",SurveyDATA!E:E,"*MARILAO*")</f>
        <v>#REF!</v>
      </c>
      <c r="C11" s="587" t="e">
        <f>SUMIFS(SurveyDATA!#REF!,SurveyDATA!#REF!,"ISF",SurveyDATA!E:E,"*MARILAO*")</f>
        <v>#REF!</v>
      </c>
      <c r="D11" s="587" t="e">
        <f t="shared" si="0"/>
        <v>#REF!</v>
      </c>
      <c r="P11" s="728" t="s">
        <v>5495</v>
      </c>
      <c r="Q11" s="587" t="e">
        <f>SUM(COUNTIFS(SurveyDATA!#REF!,"ISF",SurveyDATA!E:E,"*MARILAO*",SurveyDATA!BS:BS,"*ENTIRE*",SurveyDATA!GH:GH,"*RELOCATION*"),COUNTIFS(SurveyDATA!#REF!,"ISF",SurveyDATA!E:E,"*MARILAO*",SurveyDATA!BS:BS,"*than 50%*",SurveyDATA!GH:GH,"*RELOCATION*"))</f>
        <v>#REF!</v>
      </c>
      <c r="R11" s="702" t="e">
        <f>Q11/Q16</f>
        <v>#REF!</v>
      </c>
      <c r="S11" s="587" t="e">
        <f>SUM(COUNTIFS(SurveyDATA!#REF!,"ISF",SurveyDATA!E:E,"*MARILAO*",SurveyDATA!BS:BS,"*ENTIRE*",SurveyDATA!GH:GH,"*CASH*"),COUNTIFS(SurveyDATA!#REF!,"ISF",SurveyDATA!E:E,"*MARILAO*",SurveyDATA!BS:BS,"*than 50%*",SurveyDATA!GH:GH,"*CASH*"))</f>
        <v>#REF!</v>
      </c>
      <c r="T11" s="702" t="e">
        <f>S11/S16</f>
        <v>#REF!</v>
      </c>
      <c r="U11" s="587" t="e">
        <f>SUM(COUNTIFS(SurveyDATA!#REF!,"ISF",SurveyDATA!E:E,"*MARILAO*",SurveyDATA!BS:BS,"*ENTIRE*",SurveyDATA!GH:GH,"*BALIK*"),COUNTIFS(SurveyDATA!#REF!,"ISF",SurveyDATA!E:E,"*MARILAO*",SurveyDATA!BS:BS,"*than 50%*",SurveyDATA!GH:GH,"*BALIK*"))</f>
        <v>#REF!</v>
      </c>
      <c r="V11" s="702" t="e">
        <f>U11/U16</f>
        <v>#REF!</v>
      </c>
      <c r="W11" s="587" t="e">
        <f t="shared" si="1"/>
        <v>#REF!</v>
      </c>
    </row>
    <row r="12" spans="1:23" ht="15.75" thickBot="1">
      <c r="A12" s="586" t="s">
        <v>5496</v>
      </c>
      <c r="B12" s="587" t="e">
        <f>SUMIFS(SurveyDATA!#REF!,SurveyDATA!#REF!,"ISF",SurveyDATA!E:E,"*MEYCAUAYAN*")</f>
        <v>#REF!</v>
      </c>
      <c r="C12" s="587" t="e">
        <f>SUMIFS(SurveyDATA!#REF!,SurveyDATA!#REF!,"ISF",SurveyDATA!E:E,"*MEYCAUAYAN*")</f>
        <v>#REF!</v>
      </c>
      <c r="D12" s="587" t="e">
        <f t="shared" si="0"/>
        <v>#REF!</v>
      </c>
      <c r="P12" s="729" t="s">
        <v>5496</v>
      </c>
      <c r="Q12" s="587" t="e">
        <f>SUM(COUNTIFS(SurveyDATA!#REF!,"ISF",SurveyDATA!E:E,"*MEYCAUAYAN*",SurveyDATA!BS:BS,"*ENTIRE*",SurveyDATA!GH:GH,"*RELOCATION*"),COUNTIFS(SurveyDATA!#REF!,"ISF",SurveyDATA!E:E,"*MEYCAUAYAN*",SurveyDATA!BS:BS,"*than 50%*",SurveyDATA!GH:GH,"*RELOCATION*"))</f>
        <v>#REF!</v>
      </c>
      <c r="R12" s="732" t="e">
        <f>Q12/Q16</f>
        <v>#REF!</v>
      </c>
      <c r="S12" s="587" t="e">
        <f>SUM(COUNTIFS(SurveyDATA!#REF!,"ISF",SurveyDATA!E:E,"*MEYCAUAYAN*",SurveyDATA!BS:BS,"*ENTIRE*",SurveyDATA!GH:GH,"*CASH*"),COUNTIFS(SurveyDATA!#REF!,"ISF",SurveyDATA!E:E,"*MEYCAUAYAN*",SurveyDATA!BS:BS,"*than 50%*",SurveyDATA!GH:GH,"*CASH*"))</f>
        <v>#REF!</v>
      </c>
      <c r="T12" s="732" t="e">
        <f>S12/S16</f>
        <v>#REF!</v>
      </c>
      <c r="U12" s="730" t="e">
        <f>SUM(COUNTIFS(SurveyDATA!#REF!,"ISF",SurveyDATA!E:E,"*MEYCAUAYAN*",SurveyDATA!BS:BS,"*ENTIRE*",SurveyDATA!GH:GH,"*BALIK*"),COUNTIFS(SurveyDATA!#REF!,"ISF",SurveyDATA!E:E,"*MEYCAUAYAN*",SurveyDATA!BS:BS,"*than 50%*",SurveyDATA!GH:GH,"*BALIK*"))</f>
        <v>#REF!</v>
      </c>
      <c r="V12" s="732" t="e">
        <f>U12/U16</f>
        <v>#REF!</v>
      </c>
      <c r="W12" s="587" t="e">
        <f t="shared" si="1"/>
        <v>#REF!</v>
      </c>
    </row>
    <row r="13" spans="1:23" ht="15.75" thickBot="1">
      <c r="A13" s="586" t="s">
        <v>778</v>
      </c>
      <c r="B13" s="587" t="e">
        <f>SUMIFS(SurveyDATA!#REF!,SurveyDATA!#REF!,"ISF",SurveyDATA!E:E,"*VALENZUELA*")</f>
        <v>#REF!</v>
      </c>
      <c r="C13" s="587" t="e">
        <f>SUMIFS(SurveyDATA!#REF!,SurveyDATA!#REF!,"ISF",SurveyDATA!E:E,"*VALENZUELA*")</f>
        <v>#REF!</v>
      </c>
      <c r="D13" s="587" t="e">
        <f t="shared" si="0"/>
        <v>#REF!</v>
      </c>
      <c r="P13" s="728" t="s">
        <v>778</v>
      </c>
      <c r="Q13" s="587" t="e">
        <f>SUM(COUNTIFS(SurveyDATA!#REF!,"ISF",SurveyDATA!E:E,"*VALENZUELA*",SurveyDATA!BS:BS,"*ENTIRE*",SurveyDATA!GH:GH,"*RELOCATION*"),COUNTIFS(SurveyDATA!#REF!,"ISF",SurveyDATA!E:E,"*VALENZUELA*",SurveyDATA!BS:BS,"*than 50%*",SurveyDATA!GH:GH,"*RELOCATION*"))</f>
        <v>#REF!</v>
      </c>
      <c r="R13" s="702" t="e">
        <f>Q13/Q16</f>
        <v>#REF!</v>
      </c>
      <c r="S13" s="587" t="e">
        <f>SUM(COUNTIFS(SurveyDATA!#REF!,"ISF",SurveyDATA!E:E,"*VALENZUELA*",SurveyDATA!BS:BS,"*ENTIRE*",SurveyDATA!GH:GH,"*CASH*"),COUNTIFS(SurveyDATA!#REF!,"ISF",SurveyDATA!E:E,"*VALENZUELA*",SurveyDATA!BS:BS,"*than 50%*",SurveyDATA!GH:GH,"*CASH*"))</f>
        <v>#REF!</v>
      </c>
      <c r="T13" s="702" t="e">
        <f>S13/S16</f>
        <v>#REF!</v>
      </c>
      <c r="U13" s="587" t="e">
        <f>SUM(COUNTIFS(SurveyDATA!#REF!,"ISF",SurveyDATA!E:E,"*VALENZUELA*",SurveyDATA!BS:BS,"*ENTIRE*",SurveyDATA!GH:GH,"*BALIK*"),COUNTIFS(SurveyDATA!#REF!,"ISF",SurveyDATA!E:E,"*VALENZUELA*",SurveyDATA!BS:BS,"*than 50%*",SurveyDATA!GH:GH,"*BALIK*"))</f>
        <v>#REF!</v>
      </c>
      <c r="V13" s="702" t="e">
        <f>U13/U16</f>
        <v>#REF!</v>
      </c>
      <c r="W13" s="587" t="e">
        <f t="shared" si="1"/>
        <v>#REF!</v>
      </c>
    </row>
    <row r="14" spans="1:23" ht="15.75" thickBot="1">
      <c r="A14" s="586" t="s">
        <v>5493</v>
      </c>
      <c r="B14" s="587" t="e">
        <f>SUMIFS(SurveyDATA!#REF!,SurveyDATA!#REF!,"ISF",SurveyDATA!E:E,"*CALOOCAN*")</f>
        <v>#REF!</v>
      </c>
      <c r="C14" s="587" t="e">
        <f>SUMIFS(SurveyDATA!#REF!,SurveyDATA!#REF!,"ISF",SurveyDATA!E:E,"*CALOOCAN*")</f>
        <v>#REF!</v>
      </c>
      <c r="D14" s="587" t="e">
        <f t="shared" si="0"/>
        <v>#REF!</v>
      </c>
      <c r="P14" s="728" t="s">
        <v>5493</v>
      </c>
      <c r="Q14" s="587" t="e">
        <f>SUM(COUNTIFS(SurveyDATA!#REF!,"ISF",SurveyDATA!E:E,"*CALOOCAN*",SurveyDATA!BS:BS,"*ENTIRE*",SurveyDATA!GH:GH,"*RELOCATION*"),COUNTIFS(SurveyDATA!#REF!,"ISF",SurveyDATA!E:E,"*CALOOCAN*",SurveyDATA!BS:BS,"*than 50%*",SurveyDATA!GH:GH,"*RELOCATION*"))</f>
        <v>#REF!</v>
      </c>
      <c r="R14" s="702" t="e">
        <f>Q14/Q16</f>
        <v>#REF!</v>
      </c>
      <c r="S14" s="587" t="e">
        <f>SUM(COUNTIFS(SurveyDATA!#REF!,"ISF",SurveyDATA!E:E,"*CALOOCAN*",SurveyDATA!BS:BS,"*ENTIRE*",SurveyDATA!GH:GH,"*CASH*"),COUNTIFS(SurveyDATA!#REF!,"ISF",SurveyDATA!E:E,"*CALOOCAN*",SurveyDATA!BS:BS,"*than 50%*",SurveyDATA!GH:GH,"*CASH*"))</f>
        <v>#REF!</v>
      </c>
      <c r="T14" s="702" t="e">
        <f>S14/S16</f>
        <v>#REF!</v>
      </c>
      <c r="U14" s="587" t="e">
        <f>SUM(COUNTIFS(SurveyDATA!#REF!,"ISF",SurveyDATA!E:E,"*CALOOCAN*",SurveyDATA!BS:BS,"*ENTIRE*",SurveyDATA!GH:GH,"*BALIK*"),COUNTIFS(SurveyDATA!#REF!,"ISF",SurveyDATA!E:E,"*CALOOCAN*",SurveyDATA!BS:BS,"*than 50%*",SurveyDATA!GH:GH,"*BALIK*"))</f>
        <v>#REF!</v>
      </c>
      <c r="V14" s="702" t="e">
        <f>U14/U16</f>
        <v>#REF!</v>
      </c>
      <c r="W14" s="587" t="e">
        <f t="shared" si="1"/>
        <v>#REF!</v>
      </c>
    </row>
    <row r="15" spans="1:23" ht="15.75" thickBot="1">
      <c r="A15" s="586" t="s">
        <v>1020</v>
      </c>
      <c r="B15" s="587" t="e">
        <f>SUMIFS(SurveyDATA!#REF!,SurveyDATA!#REF!,"ISF",SurveyDATA!E:E,"*MANILA*")</f>
        <v>#REF!</v>
      </c>
      <c r="C15" s="587" t="e">
        <f>SUMIFS(SurveyDATA!#REF!,SurveyDATA!#REF!,"ISF",SurveyDATA!E:E,"*MANILA*")</f>
        <v>#REF!</v>
      </c>
      <c r="D15" s="587" t="e">
        <f t="shared" si="0"/>
        <v>#REF!</v>
      </c>
      <c r="P15" s="728" t="s">
        <v>1020</v>
      </c>
      <c r="Q15" s="587" t="e">
        <f>SUM(COUNTIFS(SurveyDATA!#REF!,"ISF",SurveyDATA!E:E,"*MANILA*",SurveyDATA!BS:BS,"*ENTIRE*",SurveyDATA!GH:GH,"*RELOCATION*"),COUNTIFS(SurveyDATA!#REF!,"ISF",SurveyDATA!E:E,"*MANILA*",SurveyDATA!BS:BS,"*than 50%*",SurveyDATA!GH:GH,"*RELOCATION*"))</f>
        <v>#REF!</v>
      </c>
      <c r="R15" s="702" t="e">
        <f>Q15/Q16</f>
        <v>#REF!</v>
      </c>
      <c r="S15" s="587" t="e">
        <f>SUM(COUNTIFS(SurveyDATA!#REF!,"ISF",SurveyDATA!E:E,"*MANILA*",SurveyDATA!BS:BS,"*ENTIRE*",SurveyDATA!GH:GH,"*CASH*"),COUNTIFS(SurveyDATA!#REF!,"ISF",SurveyDATA!E:E,"*MANILA*",SurveyDATA!BS:BS,"*than 50%*",SurveyDATA!GH:GH,"*CASH*"))</f>
        <v>#REF!</v>
      </c>
      <c r="T15" s="702" t="e">
        <f>S15/S16</f>
        <v>#REF!</v>
      </c>
      <c r="U15" s="587" t="e">
        <f>SUM(COUNTIFS(SurveyDATA!#REF!,"ISF",SurveyDATA!E:E,"*MANILA*",SurveyDATA!BS:BS,"*ENTIRE*",SurveyDATA!GH:GH,"*BALIK*"),COUNTIFS(SurveyDATA!#REF!,"ISF",SurveyDATA!E:E,"*MANILA*",SurveyDATA!BS:BS,"*than 50%*",SurveyDATA!GH:GH,"*BALIK*"))</f>
        <v>#REF!</v>
      </c>
      <c r="V15" s="702" t="e">
        <f>U15/U16</f>
        <v>#REF!</v>
      </c>
      <c r="W15" s="587" t="e">
        <f t="shared" si="1"/>
        <v>#REF!</v>
      </c>
    </row>
    <row r="16" spans="1:23" ht="15.75" thickBot="1">
      <c r="A16" s="588" t="s">
        <v>2034</v>
      </c>
      <c r="B16" s="589" t="e">
        <f>SUM(B7:B15)</f>
        <v>#REF!</v>
      </c>
      <c r="C16" s="589" t="e">
        <f>SUM(C7:C15)</f>
        <v>#REF!</v>
      </c>
      <c r="D16" s="589" t="e">
        <f>SUM(D7:D15)</f>
        <v>#REF!</v>
      </c>
      <c r="P16" s="588" t="s">
        <v>2034</v>
      </c>
      <c r="Q16" s="619" t="e">
        <f>SUM(Q7:Q15)</f>
        <v>#REF!</v>
      </c>
      <c r="R16" s="629" t="e">
        <f>Q16/W16</f>
        <v>#REF!</v>
      </c>
      <c r="S16" s="619" t="e">
        <f>SUM(S7:S15)</f>
        <v>#REF!</v>
      </c>
      <c r="T16" s="596" t="e">
        <f>S16/W16</f>
        <v>#REF!</v>
      </c>
      <c r="U16" s="619" t="e">
        <f>SUM(U7:U15)</f>
        <v>#REF!</v>
      </c>
      <c r="V16" s="596" t="e">
        <f>U16/W16</f>
        <v>#REF!</v>
      </c>
      <c r="W16" s="619" t="e">
        <f>SUM(W7:W15)</f>
        <v>#REF!</v>
      </c>
    </row>
    <row r="17" spans="1:26" ht="15.75" thickBot="1">
      <c r="A17" s="588" t="s">
        <v>7243</v>
      </c>
      <c r="B17" s="596" t="e">
        <f>B16/D16</f>
        <v>#REF!</v>
      </c>
      <c r="C17" s="596" t="e">
        <f>C16/D16</f>
        <v>#REF!</v>
      </c>
      <c r="D17" s="596" t="e">
        <f>SUM(B17:C17)</f>
        <v>#REF!</v>
      </c>
    </row>
    <row r="19" spans="1:26">
      <c r="P19" s="635" t="s">
        <v>7361</v>
      </c>
    </row>
    <row r="20" spans="1:26" ht="15.75" thickBot="1">
      <c r="A20" s="635" t="s">
        <v>7253</v>
      </c>
    </row>
    <row r="21" spans="1:26" ht="15.75" thickBot="1">
      <c r="P21" s="1901" t="s">
        <v>7214</v>
      </c>
      <c r="Q21" s="1897" t="s">
        <v>7363</v>
      </c>
      <c r="R21" s="1898"/>
      <c r="S21" s="1897" t="s">
        <v>1008</v>
      </c>
      <c r="T21" s="1898"/>
      <c r="U21" s="1897" t="s">
        <v>2407</v>
      </c>
      <c r="V21" s="1898"/>
      <c r="W21" s="1897" t="s">
        <v>7362</v>
      </c>
      <c r="X21" s="1898"/>
      <c r="Y21" s="1897" t="s">
        <v>4348</v>
      </c>
      <c r="Z21" s="1898"/>
    </row>
    <row r="22" spans="1:26" ht="15" customHeight="1" thickBot="1">
      <c r="A22" s="1893" t="s">
        <v>7214</v>
      </c>
      <c r="B22" s="1893" t="s">
        <v>7215</v>
      </c>
      <c r="C22" s="1895" t="s">
        <v>7254</v>
      </c>
      <c r="D22" s="1927"/>
      <c r="E22" s="1927"/>
      <c r="F22" s="1927"/>
      <c r="G22" s="1928"/>
      <c r="H22" s="614"/>
      <c r="P22" s="1902"/>
      <c r="Q22" s="733" t="s">
        <v>7281</v>
      </c>
      <c r="R22" s="733" t="s">
        <v>5805</v>
      </c>
      <c r="S22" s="733" t="s">
        <v>7281</v>
      </c>
      <c r="T22" s="733" t="s">
        <v>5805</v>
      </c>
      <c r="U22" s="733" t="s">
        <v>7281</v>
      </c>
      <c r="V22" s="733" t="s">
        <v>5805</v>
      </c>
      <c r="W22" s="733" t="s">
        <v>7281</v>
      </c>
      <c r="X22" s="733" t="s">
        <v>5805</v>
      </c>
      <c r="Y22" s="733" t="s">
        <v>7281</v>
      </c>
      <c r="Z22" s="733" t="s">
        <v>5805</v>
      </c>
    </row>
    <row r="23" spans="1:26" ht="15.75" thickBot="1">
      <c r="A23" s="1893"/>
      <c r="B23" s="1893"/>
      <c r="C23" s="1896" t="s">
        <v>7255</v>
      </c>
      <c r="D23" s="1896" t="s">
        <v>7256</v>
      </c>
      <c r="E23" s="1896" t="s">
        <v>7257</v>
      </c>
      <c r="F23" s="1896" t="s">
        <v>7258</v>
      </c>
      <c r="G23" s="1900" t="s">
        <v>7259</v>
      </c>
      <c r="H23" s="615"/>
      <c r="P23" s="728" t="s">
        <v>5848</v>
      </c>
      <c r="Q23" s="587" t="e">
        <f>COUNTIFS(SurveyDATA!#REF!,"ISF",SurveyDATA!E:E,"*MALOLOS*",SurveyDATA!#REF!,"&gt;0",SurveyDATA!GI:GI,"*CITY*")</f>
        <v>#REF!</v>
      </c>
      <c r="R23" s="702" t="e">
        <f>Q23/Q32</f>
        <v>#REF!</v>
      </c>
      <c r="S23" s="587" t="e">
        <f>COUNTIFS(SurveyDATA!#REF!,"ISF",SurveyDATA!E:E,"*MALOLOS*",SurveyDATA!#REF!,"&gt;0",SurveyDATA!GI:GI,"*BULACAN*")</f>
        <v>#REF!</v>
      </c>
      <c r="T23" s="702" t="e">
        <f>S23/S32</f>
        <v>#REF!</v>
      </c>
      <c r="U23" s="587" t="e">
        <f>COUNTIFS(SurveyDATA!#REF!,"ISF",SurveyDATA!E:E,"*MALOLOS*",SurveyDATA!#REF!,"&gt;0",SurveyDATA!GI:GI,"*CAVITE*")</f>
        <v>#REF!</v>
      </c>
      <c r="V23" s="702" t="e">
        <f>U23/U32</f>
        <v>#REF!</v>
      </c>
      <c r="W23" s="587" t="e">
        <f>COUNTIFS(SurveyDATA!#REF!,"ISF",SurveyDATA!E:E,"*MALOLOS*",SurveyDATA!#REF!,"&gt;0",SurveyDATA!GI:GI,"**")</f>
        <v>#REF!</v>
      </c>
      <c r="X23" s="702" t="e">
        <f>W23/W32</f>
        <v>#REF!</v>
      </c>
      <c r="Y23" s="587" t="e">
        <f>SUM(Q23,S23,U23,W23,)</f>
        <v>#REF!</v>
      </c>
      <c r="Z23" s="702" t="e">
        <f>Y23/Y32</f>
        <v>#REF!</v>
      </c>
    </row>
    <row r="24" spans="1:26" ht="15.75" thickBot="1">
      <c r="A24" s="1893"/>
      <c r="B24" s="1893"/>
      <c r="C24" s="1896"/>
      <c r="D24" s="1896"/>
      <c r="E24" s="1896"/>
      <c r="F24" s="1896"/>
      <c r="G24" s="1900"/>
      <c r="H24" s="582" t="s">
        <v>4348</v>
      </c>
      <c r="P24" s="728" t="s">
        <v>5494</v>
      </c>
      <c r="Q24" s="587" t="e">
        <f>COUNTIFS(SurveyDATA!#REF!,"ISF",SurveyDATA!E:E,"*GUIGUINTO*",SurveyDATA!#REF!,"&gt;0",SurveyDATA!GI:GI,"*CITY*")</f>
        <v>#REF!</v>
      </c>
      <c r="R24" s="702" t="e">
        <f>Q24/Q32</f>
        <v>#REF!</v>
      </c>
      <c r="S24" s="587" t="e">
        <f>COUNTIFS(SurveyDATA!#REF!,"ISF",SurveyDATA!E:E,"*GUIGUINTO*",SurveyDATA!#REF!,"&gt;0",SurveyDATA!GI:GI,"*BULACAN*")</f>
        <v>#REF!</v>
      </c>
      <c r="T24" s="702" t="e">
        <f>S24/S32</f>
        <v>#REF!</v>
      </c>
      <c r="U24" s="587" t="e">
        <f>COUNTIFS(SurveyDATA!#REF!,"ISF",SurveyDATA!E:E,"*GUIGUINTO*",SurveyDATA!#REF!,"&gt;0",SurveyDATA!GI:GI,"*CAVITE*")</f>
        <v>#REF!</v>
      </c>
      <c r="V24" s="702" t="e">
        <f>U24/U32</f>
        <v>#REF!</v>
      </c>
      <c r="W24" s="587" t="e">
        <f>COUNTIFS(SurveyDATA!#REF!,"ISF",SurveyDATA!E:E,"*MALOLOS*",SurveyDATA!#REF!,"&gt;0",SurveyDATA!GI:GI,"**")</f>
        <v>#REF!</v>
      </c>
      <c r="X24" s="702" t="e">
        <f>W24/W32</f>
        <v>#REF!</v>
      </c>
      <c r="Y24" s="587" t="e">
        <f t="shared" ref="Y24:Y31" si="2">SUM(Q24,S24,U24,W24,)</f>
        <v>#REF!</v>
      </c>
      <c r="Z24" s="702" t="e">
        <f>Y24/Y32</f>
        <v>#REF!</v>
      </c>
    </row>
    <row r="25" spans="1:26" ht="15.75" thickBot="1">
      <c r="A25" s="572" t="s">
        <v>5848</v>
      </c>
      <c r="B25" s="573" t="s">
        <v>5374</v>
      </c>
      <c r="C25" s="597" t="e">
        <f>COUNTIFS(SurveyDATA!#REF!,"ISF",SurveyDATA!E:E,"*MALOLOS*",SurveyDATA!E:E,"*TIKAY*",SurveyDATA!#REF!,"&lt;3")</f>
        <v>#REF!</v>
      </c>
      <c r="D25" s="597" t="e">
        <f>COUNTIFS(SurveyDATA!#REF!,"ISF",SurveyDATA!E:E,"*MALOLOS*",SurveyDATA!E:E,"*TIKAY*",SurveyDATA!#REF!,"&lt;5",SurveyDATA!#REF!,"&gt;2")</f>
        <v>#REF!</v>
      </c>
      <c r="E25" s="597" t="e">
        <f>COUNTIFS(SurveyDATA!#REF!,"ISF",SurveyDATA!E:E,"*MALOLOS*",SurveyDATA!E:E,"*TIKAY*",SurveyDATA!#REF!,"&lt;7",SurveyDATA!#REF!,"&gt;4")</f>
        <v>#REF!</v>
      </c>
      <c r="F25" s="597" t="e">
        <f>COUNTIFS(SurveyDATA!#REF!,"ISF",SurveyDATA!E:E,"*MALOLOS*",SurveyDATA!E:E,"*TIKAY*",SurveyDATA!#REF!,"&lt;9",SurveyDATA!#REF!,"&gt;6")</f>
        <v>#REF!</v>
      </c>
      <c r="G25" s="597" t="e">
        <f>COUNTIFS(SurveyDATA!#REF!,"ISF",SurveyDATA!E:E,"*MALOLOS*",SurveyDATA!E:E,"*TIKAY*",SurveyDATA!#REF!,"&gt;8")</f>
        <v>#REF!</v>
      </c>
      <c r="H25" s="599" t="e">
        <f>SUM(C25:G25)</f>
        <v>#REF!</v>
      </c>
      <c r="P25" s="728" t="s">
        <v>5847</v>
      </c>
      <c r="Q25" s="587" t="e">
        <f>COUNTIFS(SurveyDATA!#REF!,"ISF",SurveyDATA!E:E,"*BALAGTAS*",SurveyDATA!#REF!,"&gt;0",SurveyDATA!GI:GI,"*CITY*")</f>
        <v>#REF!</v>
      </c>
      <c r="R25" s="702" t="e">
        <f>Q25/Q32</f>
        <v>#REF!</v>
      </c>
      <c r="S25" s="587" t="e">
        <f>COUNTIFS(SurveyDATA!#REF!,"ISF",SurveyDATA!E:E,"*BALAGTAS*",SurveyDATA!#REF!,"&gt;0",SurveyDATA!GI:GI,"*BULACAN*")</f>
        <v>#REF!</v>
      </c>
      <c r="T25" s="702" t="e">
        <f>S25/S32</f>
        <v>#REF!</v>
      </c>
      <c r="U25" s="587" t="e">
        <f>COUNTIFS(SurveyDATA!#REF!,"ISF",SurveyDATA!E:E,"*BALAGTAS*",SurveyDATA!#REF!,"&gt;0",SurveyDATA!GI:GI,"*CAVITE*")</f>
        <v>#REF!</v>
      </c>
      <c r="V25" s="702" t="e">
        <f>U25/U32</f>
        <v>#REF!</v>
      </c>
      <c r="W25" s="587" t="e">
        <f>COUNTIFS(SurveyDATA!#REF!,"ISF",SurveyDATA!E:E,"*MALOLOS*",SurveyDATA!#REF!,"&gt;0",SurveyDATA!GI:GI,"**")</f>
        <v>#REF!</v>
      </c>
      <c r="X25" s="702" t="e">
        <f>W25/W32</f>
        <v>#REF!</v>
      </c>
      <c r="Y25" s="587" t="e">
        <f t="shared" si="2"/>
        <v>#REF!</v>
      </c>
      <c r="Z25" s="702" t="e">
        <f>Y25/Y32</f>
        <v>#REF!</v>
      </c>
    </row>
    <row r="26" spans="1:26" ht="15.75" thickBot="1">
      <c r="A26" s="572"/>
      <c r="B26" s="573" t="s">
        <v>5375</v>
      </c>
      <c r="C26" s="597" t="e">
        <f>COUNTIFS(SurveyDATA!#REF!,v,SurveyDATA!E:E,"*MALOLOS*",SurveyDATA!E:E,"*BULIHAN*",SurveyDATA!#REF!,"&lt;3")</f>
        <v>#REF!</v>
      </c>
      <c r="D26" s="597" t="e">
        <f>COUNTIFS(SurveyDATA!#REF!,"ISF",SurveyDATA!E:E,"*MALOLOS*",SurveyDATA!E:E,"*BULIHAN*",SurveyDATA!#REF!,"&lt;5",SurveyDATA!#REF!,"&gt;2")</f>
        <v>#REF!</v>
      </c>
      <c r="E26" s="597" t="e">
        <f>COUNTIFS(SurveyDATA!#REF!,"ISF",SurveyDATA!E:E,"*MALOLOS*",SurveyDATA!E:E,"*BULIHAN*",SurveyDATA!#REF!,"&lt;7",SurveyDATA!#REF!,"&gt;4")</f>
        <v>#REF!</v>
      </c>
      <c r="F26" s="597" t="e">
        <f>COUNTIFS(SurveyDATA!#REF!,"ISF",SurveyDATA!E:E,"*MALOLOS*",SurveyDATA!E:E,"*BULIHAN*",SurveyDATA!#REF!,"&lt;9",SurveyDATA!#REF!,"&gt;6")</f>
        <v>#REF!</v>
      </c>
      <c r="G26" s="597" t="e">
        <f>COUNTIFS(SurveyDATA!#REF!,"ISF",SurveyDATA!E:E,"*MALOLOS*",SurveyDATA!E:E,"*BULIHAN*",SurveyDATA!#REF!,"&gt;8")</f>
        <v>#REF!</v>
      </c>
      <c r="H26" s="599" t="e">
        <f t="shared" ref="H26:H74" si="3">SUM(C26:G26)</f>
        <v>#REF!</v>
      </c>
      <c r="P26" s="728" t="s">
        <v>771</v>
      </c>
      <c r="Q26" s="587" t="e">
        <f>COUNTIFS(SurveyDATA!#REF!,"ISF",SurveyDATA!E:E,"*BOCAUE*",SurveyDATA!#REF!,"&gt;0",SurveyDATA!GI:GI,"*CITY*")</f>
        <v>#REF!</v>
      </c>
      <c r="R26" s="702" t="e">
        <f>Q26/Q32</f>
        <v>#REF!</v>
      </c>
      <c r="S26" s="587" t="e">
        <f>COUNTIFS(SurveyDATA!#REF!,"ISF",SurveyDATA!E:E,"*BOCAUE*",SurveyDATA!#REF!,"&gt;0",SurveyDATA!GI:GI,"*BULACAN*")</f>
        <v>#REF!</v>
      </c>
      <c r="T26" s="702" t="e">
        <f>S26/S32</f>
        <v>#REF!</v>
      </c>
      <c r="U26" s="587" t="e">
        <f>COUNTIFS(SurveyDATA!#REF!,"ISF",SurveyDATA!E:E,"*BOCAUE*",SurveyDATA!#REF!,"&gt;0",SurveyDATA!GI:GI,"*CAVITE*")</f>
        <v>#REF!</v>
      </c>
      <c r="V26" s="702" t="e">
        <f>U26/U32</f>
        <v>#REF!</v>
      </c>
      <c r="W26" s="587" t="e">
        <f>COUNTIFS(SurveyDATA!#REF!,"ISF",SurveyDATA!E:E,"*MALOLOS*",SurveyDATA!#REF!,"&gt;0",SurveyDATA!GI:GI,"**")</f>
        <v>#REF!</v>
      </c>
      <c r="X26" s="702" t="e">
        <f>W26/W32</f>
        <v>#REF!</v>
      </c>
      <c r="Y26" s="587" t="e">
        <f t="shared" si="2"/>
        <v>#REF!</v>
      </c>
      <c r="Z26" s="702" t="e">
        <f>Y26/Y32</f>
        <v>#REF!</v>
      </c>
    </row>
    <row r="27" spans="1:26" ht="15.75" thickBot="1">
      <c r="A27" s="572"/>
      <c r="B27" s="573" t="s">
        <v>5376</v>
      </c>
      <c r="C27" s="597" t="e">
        <f>COUNTIFS(SurveyDATA!#REF!,"ISF",SurveyDATA!E:E,"*MALOLOS*",SurveyDATA!E:E,"*PABLO*",SurveyDATA!#REF!,"&lt;3")</f>
        <v>#REF!</v>
      </c>
      <c r="D27" s="597" t="e">
        <f>COUNTIFS(SurveyDATA!#REF!,"ISF",SurveyDATA!E:E,"*MALOLOS*",SurveyDATA!E:E,"*PABLO*",SurveyDATA!#REF!,"&lt;5",SurveyDATA!#REF!,"&gt;2")</f>
        <v>#REF!</v>
      </c>
      <c r="E27" s="597" t="e">
        <f>COUNTIFS(SurveyDATA!#REF!,"ISF",SurveyDATA!E:E,"*MALOLOS*",SurveyDATA!E:E,"*PABLO*",SurveyDATA!#REF!,"&lt;7",SurveyDATA!#REF!,"&gt;4")</f>
        <v>#REF!</v>
      </c>
      <c r="F27" s="597" t="e">
        <f>COUNTIFS(SurveyDATA!#REF!,"ISF",SurveyDATA!E:E,"*MALOLOS*",SurveyDATA!E:E,"*PABLO*",SurveyDATA!#REF!,"&lt;9",SurveyDATA!#REF!,"&gt;6")</f>
        <v>#REF!</v>
      </c>
      <c r="G27" s="597" t="e">
        <f>COUNTIFS(SurveyDATA!#REF!,"ISF",SurveyDATA!E:E,"*MALOLOS*",SurveyDATA!E:E,"*PABLO*",SurveyDATA!#REF!,"&gt;8")</f>
        <v>#REF!</v>
      </c>
      <c r="H27" s="599" t="e">
        <f t="shared" si="3"/>
        <v>#REF!</v>
      </c>
      <c r="P27" s="728" t="s">
        <v>5495</v>
      </c>
      <c r="Q27" s="587" t="e">
        <f>COUNTIFS(SurveyDATA!#REF!,"ISF",SurveyDATA!E:E,"*MARILAO*",SurveyDATA!#REF!,"&gt;0",SurveyDATA!GI:GI,"*CITY*")</f>
        <v>#REF!</v>
      </c>
      <c r="R27" s="702" t="e">
        <f>Q27/Q32</f>
        <v>#REF!</v>
      </c>
      <c r="S27" s="587" t="e">
        <f>COUNTIFS(SurveyDATA!#REF!,"ISF",SurveyDATA!E:E,"*MARILAO*",SurveyDATA!#REF!,"&gt;0",SurveyDATA!GI:GI,"*BULACAN*")</f>
        <v>#REF!</v>
      </c>
      <c r="T27" s="702" t="e">
        <f>S27/S32</f>
        <v>#REF!</v>
      </c>
      <c r="U27" s="587" t="e">
        <f>COUNTIFS(SurveyDATA!#REF!,"ISF",SurveyDATA!E:E,"*MARILAO*",SurveyDATA!#REF!,"&gt;0",SurveyDATA!GI:GI,"*CAVITE*")</f>
        <v>#REF!</v>
      </c>
      <c r="V27" s="702" t="e">
        <f>U27/U32</f>
        <v>#REF!</v>
      </c>
      <c r="W27" s="587" t="e">
        <f>COUNTIFS(SurveyDATA!#REF!,"ISF",SurveyDATA!E:E,"*MALOLOS*",SurveyDATA!#REF!,"&gt;0",SurveyDATA!GI:GI,"**")</f>
        <v>#REF!</v>
      </c>
      <c r="X27" s="702" t="e">
        <f>W27/W32</f>
        <v>#REF!</v>
      </c>
      <c r="Y27" s="587" t="e">
        <f t="shared" si="2"/>
        <v>#REF!</v>
      </c>
      <c r="Z27" s="702" t="e">
        <f>Y27/Y32</f>
        <v>#REF!</v>
      </c>
    </row>
    <row r="28" spans="1:26" ht="15.75" thickBot="1">
      <c r="A28" s="572"/>
      <c r="B28" s="574" t="s">
        <v>7216</v>
      </c>
      <c r="C28" s="598" t="e">
        <f>SUM(C25:C27)</f>
        <v>#REF!</v>
      </c>
      <c r="D28" s="598" t="e">
        <f>SUM(D25:D27)</f>
        <v>#REF!</v>
      </c>
      <c r="E28" s="598" t="e">
        <f>SUM(E25:E27)</f>
        <v>#REF!</v>
      </c>
      <c r="F28" s="598" t="e">
        <f>SUM(F25:F27)</f>
        <v>#REF!</v>
      </c>
      <c r="G28" s="598" t="e">
        <f>SUM(G25:G27)</f>
        <v>#REF!</v>
      </c>
      <c r="H28" s="599" t="e">
        <f t="shared" si="3"/>
        <v>#REF!</v>
      </c>
      <c r="P28" s="728" t="s">
        <v>5496</v>
      </c>
      <c r="Q28" s="587" t="e">
        <f>COUNTIFS(SurveyDATA!#REF!,"ISF",SurveyDATA!E:E,"*MEYCAUAYAN*",SurveyDATA!#REF!,"&gt;0",SurveyDATA!GI:GI,"*CITY*")</f>
        <v>#REF!</v>
      </c>
      <c r="R28" s="702" t="e">
        <f>Q28/Q32</f>
        <v>#REF!</v>
      </c>
      <c r="S28" s="587" t="e">
        <f>COUNTIFS(SurveyDATA!#REF!,"ISF",SurveyDATA!E:E,"*MEYCAUAYAN*",SurveyDATA!#REF!,"&gt;0",SurveyDATA!GI:GI,"*BULACAN*")</f>
        <v>#REF!</v>
      </c>
      <c r="T28" s="702" t="e">
        <f>S28/S32</f>
        <v>#REF!</v>
      </c>
      <c r="U28" s="587" t="e">
        <f>COUNTIFS(SurveyDATA!#REF!,"ISF",SurveyDATA!E:E,"*MEYCAUAYAN*",SurveyDATA!#REF!,"&gt;0",SurveyDATA!GI:GI,"*CAVITE*")</f>
        <v>#REF!</v>
      </c>
      <c r="V28" s="702" t="e">
        <f>U28/U32</f>
        <v>#REF!</v>
      </c>
      <c r="W28" s="587" t="e">
        <f>COUNTIFS(SurveyDATA!#REF!,"ISF",SurveyDATA!E:E,"*MALOLOS*",SurveyDATA!#REF!,"&gt;0",SurveyDATA!GI:GI,"**")</f>
        <v>#REF!</v>
      </c>
      <c r="X28" s="702" t="e">
        <f>W28/W32</f>
        <v>#REF!</v>
      </c>
      <c r="Y28" s="587" t="e">
        <f t="shared" si="2"/>
        <v>#REF!</v>
      </c>
      <c r="Z28" s="702" t="e">
        <f>Y28/Y32</f>
        <v>#REF!</v>
      </c>
    </row>
    <row r="29" spans="1:26" ht="15.75" thickBot="1">
      <c r="A29" s="572" t="s">
        <v>5494</v>
      </c>
      <c r="B29" s="573" t="s">
        <v>5378</v>
      </c>
      <c r="C29" s="597" t="e">
        <f>COUNTIFS(SurveyDATA!#REF!,"ISF",SurveyDATA!E:E,"*GUIGUINTO*",SurveyDATA!E:E,"*TUKTUKAN*",SurveyDATA!#REF!,"&lt;3")</f>
        <v>#REF!</v>
      </c>
      <c r="D29" s="597" t="e">
        <f>COUNTIFS(SurveyDATA!#REF!,"ISF",SurveyDATA!E:E,"*GUIGUINTO*",SurveyDATA!E:E,"*TUKTUKAN*",SurveyDATA!#REF!,"&lt;5",SurveyDATA!#REF!,"&gt;2")</f>
        <v>#REF!</v>
      </c>
      <c r="E29" s="597" t="e">
        <f>COUNTIFS(SurveyDATA!#REF!,"ISF",SurveyDATA!E:E,"*GUIGUINTO*",SurveyDATA!E:E,"*TUKTUKAN*",SurveyDATA!#REF!,"&lt;7",SurveyDATA!#REF!,"&gt;4")</f>
        <v>#REF!</v>
      </c>
      <c r="F29" s="597" t="e">
        <f>COUNTIFS(SurveyDATA!#REF!,"ISF",SurveyDATA!E:E,"*GUINGUINTO*",SurveyDATA!E:E,"*TUKTUKAN*",SurveyDATA!#REF!,"&lt;9",SurveyDATA!#REF!,"&gt;6")</f>
        <v>#REF!</v>
      </c>
      <c r="G29" s="597" t="e">
        <f>COUNTIFS(SurveyDATA!#REF!,"ISF",SurveyDATA!E:E,"*GUIGUINTO*",SurveyDATA!E:E,"*TUKTUKAN*",SurveyDATA!#REF!,"&gt;8")</f>
        <v>#REF!</v>
      </c>
      <c r="H29" s="599" t="e">
        <f t="shared" si="3"/>
        <v>#REF!</v>
      </c>
      <c r="P29" s="728" t="s">
        <v>778</v>
      </c>
      <c r="Q29" s="587" t="e">
        <f>COUNTIFS(SurveyDATA!#REF!,"ISF",SurveyDATA!E:E,"*VALENZUELA*",SurveyDATA!#REF!,"&gt;0",SurveyDATA!GI:GI,"*CITY*")</f>
        <v>#REF!</v>
      </c>
      <c r="R29" s="702" t="e">
        <f>Q29/Q32</f>
        <v>#REF!</v>
      </c>
      <c r="S29" s="587" t="e">
        <f>COUNTIFS(SurveyDATA!#REF!,"ISF",SurveyDATA!E:E,"*VALENZUELA*",SurveyDATA!#REF!,"&gt;0",SurveyDATA!GI:GI,"*BULACAN*")</f>
        <v>#REF!</v>
      </c>
      <c r="T29" s="702" t="e">
        <f>S29/S32</f>
        <v>#REF!</v>
      </c>
      <c r="U29" s="587" t="e">
        <f>COUNTIFS(SurveyDATA!#REF!,"ISF",SurveyDATA!E:E,"*VALENZUELA*",SurveyDATA!#REF!,"&gt;0",SurveyDATA!GI:GI,"*CAVITE*")</f>
        <v>#REF!</v>
      </c>
      <c r="V29" s="702" t="e">
        <f>U29/U32</f>
        <v>#REF!</v>
      </c>
      <c r="W29" s="587" t="e">
        <f>COUNTIFS(SurveyDATA!#REF!,"ISF",SurveyDATA!E:E,"*MALOLOS*",SurveyDATA!#REF!,"&gt;0",SurveyDATA!GI:GI,"**")</f>
        <v>#REF!</v>
      </c>
      <c r="X29" s="702" t="e">
        <f>W29/W32</f>
        <v>#REF!</v>
      </c>
      <c r="Y29" s="587" t="e">
        <f t="shared" si="2"/>
        <v>#REF!</v>
      </c>
      <c r="Z29" s="702" t="e">
        <f>Y29/Y32</f>
        <v>#REF!</v>
      </c>
    </row>
    <row r="30" spans="1:26" ht="15.75" thickBot="1">
      <c r="A30" s="572"/>
      <c r="B30" s="573" t="s">
        <v>5379</v>
      </c>
      <c r="C30" s="597" t="e">
        <f>COUNTIFS(SurveyDATA!#REF!,"ISF",SurveyDATA!E:E,"*GUIGUINTO*",SurveyDATA!E:E,"*TABANG*",SurveyDATA!#REF!,"&lt;3")</f>
        <v>#REF!</v>
      </c>
      <c r="D30" s="597" t="e">
        <f>COUNTIFS(SurveyDATA!#REF!,"ISF",SurveyDATA!E:E,"*GUIGUINTO*",SurveyDATA!E:E,"*TABANG*",SurveyDATA!#REF!,"&lt;5",SurveyDATA!#REF!,"&gt;2")</f>
        <v>#REF!</v>
      </c>
      <c r="E30" s="597" t="e">
        <f>COUNTIFS(SurveyDATA!#REF!,"ISF",SurveyDATA!E:E,"*GUIGUINTO*",SurveyDATA!E:E,"*TABANG*",SurveyDATA!#REF!,"&lt;7",SurveyDATA!#REF!,"&gt;4")</f>
        <v>#REF!</v>
      </c>
      <c r="F30" s="597" t="e">
        <f>COUNTIFS(SurveyDATA!#REF!,"ISF",SurveyDATA!E:E,"*GUINGUINTO*",SurveyDATA!E:E,"*TABANG*",SurveyDATA!#REF!,"&lt;9",SurveyDATA!#REF!,"&gt;6")</f>
        <v>#REF!</v>
      </c>
      <c r="G30" s="597" t="e">
        <f>COUNTIFS(SurveyDATA!#REF!,"ISF",SurveyDATA!E:E,"*GUIGUINTO*",SurveyDATA!E:E,"*TABANG*",SurveyDATA!#REF!,"&gt;8")</f>
        <v>#REF!</v>
      </c>
      <c r="H30" s="599" t="e">
        <f t="shared" si="3"/>
        <v>#REF!</v>
      </c>
      <c r="P30" s="728" t="s">
        <v>5493</v>
      </c>
      <c r="Q30" s="587" t="e">
        <f>COUNTIFS(SurveyDATA!#REF!,"ISF",SurveyDATA!E:E,"*CALOOCAN*",SurveyDATA!#REF!,"&gt;0",SurveyDATA!GI:GI,"*CITY*")</f>
        <v>#REF!</v>
      </c>
      <c r="R30" s="702" t="e">
        <f>Q30/Q32</f>
        <v>#REF!</v>
      </c>
      <c r="S30" s="587" t="e">
        <f>COUNTIFS(SurveyDATA!#REF!,"ISF",SurveyDATA!E:E,"*CALOOCAN*",SurveyDATA!#REF!,"&gt;0",SurveyDATA!GI:GI,"*BULACAN*")</f>
        <v>#REF!</v>
      </c>
      <c r="T30" s="702" t="e">
        <f>S30/S32</f>
        <v>#REF!</v>
      </c>
      <c r="U30" s="587" t="e">
        <f>COUNTIFS(SurveyDATA!#REF!,"ISF",SurveyDATA!E:E,"*CALOOCAN*",SurveyDATA!#REF!,"&gt;0",SurveyDATA!GI:GI,"*CAVITE*")</f>
        <v>#REF!</v>
      </c>
      <c r="V30" s="702" t="e">
        <f>U30/U32</f>
        <v>#REF!</v>
      </c>
      <c r="W30" s="587" t="e">
        <f>COUNTIFS(SurveyDATA!#REF!,"ISF",SurveyDATA!E:E,"*MALOLOS*",SurveyDATA!#REF!,"&gt;0",SurveyDATA!GI:GI,"**")</f>
        <v>#REF!</v>
      </c>
      <c r="X30" s="702" t="e">
        <f>W30/W32</f>
        <v>#REF!</v>
      </c>
      <c r="Y30" s="587" t="e">
        <f t="shared" si="2"/>
        <v>#REF!</v>
      </c>
      <c r="Z30" s="702" t="e">
        <f>Y30/Y32</f>
        <v>#REF!</v>
      </c>
    </row>
    <row r="31" spans="1:26" ht="15.75" thickBot="1">
      <c r="A31" s="572"/>
      <c r="B31" s="574" t="s">
        <v>7216</v>
      </c>
      <c r="C31" s="598" t="e">
        <f>SUM(C29:C30)</f>
        <v>#REF!</v>
      </c>
      <c r="D31" s="598" t="e">
        <f>SUM(D29:D30)</f>
        <v>#REF!</v>
      </c>
      <c r="E31" s="598" t="e">
        <f>SUM(E29:E30)</f>
        <v>#REF!</v>
      </c>
      <c r="F31" s="598" t="e">
        <f>SUM(F29:F30)</f>
        <v>#REF!</v>
      </c>
      <c r="G31" s="598" t="e">
        <f>SUM(G29:G30)</f>
        <v>#REF!</v>
      </c>
      <c r="H31" s="599" t="e">
        <f t="shared" si="3"/>
        <v>#REF!</v>
      </c>
      <c r="P31" s="728" t="s">
        <v>1020</v>
      </c>
      <c r="Q31" s="587" t="e">
        <f>COUNTIFS(SurveyDATA!#REF!,"ISF",SurveyDATA!E:E,"*MANILA*",SurveyDATA!#REF!,"&gt;0",SurveyDATA!GI:GI,"*CITY*")</f>
        <v>#REF!</v>
      </c>
      <c r="R31" s="702" t="e">
        <f>Q31/Q32</f>
        <v>#REF!</v>
      </c>
      <c r="S31" s="587" t="e">
        <f>COUNTIFS(SurveyDATA!#REF!,"ISF",SurveyDATA!E:E,"*MANILA*",SurveyDATA!#REF!,"&gt;0",SurveyDATA!GI:GI,"*BULACAN*")</f>
        <v>#REF!</v>
      </c>
      <c r="T31" s="702" t="e">
        <f>S31/S32</f>
        <v>#REF!</v>
      </c>
      <c r="U31" s="587" t="e">
        <f>COUNTIFS(SurveyDATA!#REF!,"ISF",SurveyDATA!E:E,"*MANILA*",SurveyDATA!#REF!,"&gt;0",SurveyDATA!GI:GI,"*CAVITE*")</f>
        <v>#REF!</v>
      </c>
      <c r="V31" s="702" t="e">
        <f>U31/U32</f>
        <v>#REF!</v>
      </c>
      <c r="W31" s="587" t="e">
        <f>COUNTIFS(SurveyDATA!#REF!,"ISF",SurveyDATA!E:E,"*MALOLOS*",SurveyDATA!#REF!,"&gt;0",SurveyDATA!GI:GI,"**")</f>
        <v>#REF!</v>
      </c>
      <c r="X31" s="702" t="e">
        <f>W31/W32</f>
        <v>#REF!</v>
      </c>
      <c r="Y31" s="587" t="e">
        <f t="shared" si="2"/>
        <v>#REF!</v>
      </c>
      <c r="Z31" s="702" t="e">
        <f>Y31/Y32</f>
        <v>#REF!</v>
      </c>
    </row>
    <row r="32" spans="1:26" ht="15.75" thickBot="1">
      <c r="A32" s="572" t="s">
        <v>5847</v>
      </c>
      <c r="B32" s="573" t="s">
        <v>5411</v>
      </c>
      <c r="C32" s="597" t="e">
        <f>COUNTIFS(SurveyDATA!#REF!,"ISF",SurveyDATA!E:E,"*BUROL*",SurveyDATA!E:E,"*BUROL*",SurveyDATA!#REF!,"&lt;3")</f>
        <v>#REF!</v>
      </c>
      <c r="D32" s="597" t="e">
        <f>COUNTIFS(SurveyDATA!#REF!,"ISF",SurveyDATA!E:E,"*BUROL*",SurveyDATA!E:E,"*BUROL*",SurveyDATA!#REF!,"&lt;5",SurveyDATA!#REF!,"&gt;2")</f>
        <v>#REF!</v>
      </c>
      <c r="E32" s="597" t="e">
        <f>COUNTIFS(SurveyDATA!#REF!,"ISF",SurveyDATA!E:E,"*BALAGTAS*",SurveyDATA!E:E,"*BUROL*",SurveyDATA!#REF!,"&lt;7",SurveyDATA!#REF!,"&gt;4")</f>
        <v>#REF!</v>
      </c>
      <c r="F32" s="597" t="e">
        <f>COUNTIFS(SurveyDATA!#REF!,"ISF",SurveyDATA!E:E,"*BALAGTAS*",SurveyDATA!E:E,"*BUROL*",SurveyDATA!#REF!,"&lt;9",SurveyDATA!#REF!,"&gt;6")</f>
        <v>#REF!</v>
      </c>
      <c r="G32" s="597" t="e">
        <f>COUNTIFS(SurveyDATA!#REF!,"ISF",SurveyDATA!E:E,"*BALAGTAS*",SurveyDATA!E:E,"*BUROL*",SurveyDATA!#REF!,"&gt;8")</f>
        <v>#REF!</v>
      </c>
      <c r="H32" s="599" t="e">
        <f t="shared" si="3"/>
        <v>#REF!</v>
      </c>
      <c r="P32" s="588" t="s">
        <v>2034</v>
      </c>
      <c r="Q32" s="619" t="e">
        <f>SUM(Q23:Q31)</f>
        <v>#REF!</v>
      </c>
      <c r="R32" s="629" t="e">
        <f>Q32/Y32</f>
        <v>#REF!</v>
      </c>
      <c r="S32" s="619" t="e">
        <f>SUM(S23:S31)</f>
        <v>#REF!</v>
      </c>
      <c r="T32" s="629" t="e">
        <f>S32/Y32</f>
        <v>#REF!</v>
      </c>
      <c r="U32" s="619" t="e">
        <f>SUM(U23:U31)</f>
        <v>#REF!</v>
      </c>
      <c r="V32" s="629" t="e">
        <f>U32/Y32</f>
        <v>#REF!</v>
      </c>
      <c r="W32" s="619" t="e">
        <f>SUM(W23:W31)</f>
        <v>#REF!</v>
      </c>
      <c r="X32" s="629" t="e">
        <f>W32/Y32</f>
        <v>#REF!</v>
      </c>
      <c r="Y32" s="619" t="e">
        <f>SUM(Y23:Y31)</f>
        <v>#REF!</v>
      </c>
      <c r="Z32" s="596" t="e">
        <f>SUM(R32,T32,V32,X32)</f>
        <v>#REF!</v>
      </c>
    </row>
    <row r="33" spans="1:23">
      <c r="A33" s="572"/>
      <c r="B33" s="574" t="s">
        <v>7216</v>
      </c>
      <c r="C33" s="598" t="e">
        <f>SUM(C32)</f>
        <v>#REF!</v>
      </c>
      <c r="D33" s="598" t="e">
        <f>SUM(D32)</f>
        <v>#REF!</v>
      </c>
      <c r="E33" s="598" t="e">
        <f>SUM(E32)</f>
        <v>#REF!</v>
      </c>
      <c r="F33" s="598" t="e">
        <f>SUM(F32)</f>
        <v>#REF!</v>
      </c>
      <c r="G33" s="598" t="e">
        <f>SUM(G32)</f>
        <v>#REF!</v>
      </c>
      <c r="H33" s="599" t="e">
        <f t="shared" si="3"/>
        <v>#REF!</v>
      </c>
    </row>
    <row r="34" spans="1:23">
      <c r="A34" s="572" t="s">
        <v>771</v>
      </c>
      <c r="B34" s="573" t="s">
        <v>5382</v>
      </c>
      <c r="C34" s="597" t="e">
        <f>COUNTIFS(SurveyDATA!#REF!,"ISF",SurveyDATA!E:E,"*BOCAUE*",SurveyDATA!E:E,"*TAAL*",SurveyDATA!#REF!,"&lt;3")</f>
        <v>#REF!</v>
      </c>
      <c r="D34" s="597" t="e">
        <f>COUNTIFS(SurveyDATA!#REF!,"ISF",SurveyDATA!E:E,"*BOCAUE*",SurveyDATA!E:E,"*TAAL*",SurveyDATA!#REF!,"&lt;5",SurveyDATA!#REF!,"&gt;2")</f>
        <v>#REF!</v>
      </c>
      <c r="E34" s="597" t="e">
        <f>COUNTIFS(SurveyDATA!#REF!,"ISF",SurveyDATA!E:E,"*BOCAUE*",SurveyDATA!E:E,"*TAAL*",SurveyDATA!#REF!,"&lt;7",SurveyDATA!#REF!,"&gt;4")</f>
        <v>#REF!</v>
      </c>
      <c r="F34" s="597" t="e">
        <f>COUNTIFS(SurveyDATA!#REF!,"ISF",SurveyDATA!E:E,"*BOCAUE*",SurveyDATA!E:E,"*TAAL*",SurveyDATA!#REF!,"&lt;9",SurveyDATA!#REF!,"&gt;6")</f>
        <v>#REF!</v>
      </c>
      <c r="G34" s="597" t="e">
        <f>COUNTIFS(SurveyDATA!#REF!,"ISF",SurveyDATA!E:E,"*BOCAUE*",SurveyDATA!E:E,"*TAAL*",SurveyDATA!#REF!,"&gt;8")</f>
        <v>#REF!</v>
      </c>
      <c r="H34" s="599" t="e">
        <f t="shared" si="3"/>
        <v>#REF!</v>
      </c>
    </row>
    <row r="35" spans="1:23">
      <c r="A35" s="572"/>
      <c r="B35" s="573" t="s">
        <v>7236</v>
      </c>
      <c r="C35" s="597" t="e">
        <f>COUNTIFS(SurveyDATA!#REF!,"ISF",SurveyDATA!E:E,"*BOCAUE*",SurveyDATA!E:E,"*IGOLOT*",SurveyDATA!#REF!,"&lt;3")</f>
        <v>#REF!</v>
      </c>
      <c r="D35" s="597" t="e">
        <f>COUNTIFS(SurveyDATA!#REF!,"ISF",SurveyDATA!E:E,"*BOCAUE*",SurveyDATA!E:E,"*IGOLOT*",SurveyDATA!#REF!,"&lt;5",SurveyDATA!#REF!,"&gt;2")</f>
        <v>#REF!</v>
      </c>
      <c r="E35" s="597" t="e">
        <f>COUNTIFS(SurveyDATA!#REF!,"ISF",SurveyDATA!E:E,"*BOCAUE*",SurveyDATA!E:E,"*IGOLOT*",SurveyDATA!#REF!,"&lt;7",SurveyDATA!#REF!,"&gt;4")</f>
        <v>#REF!</v>
      </c>
      <c r="F35" s="597" t="e">
        <f>COUNTIFS(SurveyDATA!#REF!,"ISF",SurveyDATA!E:E,"*BOCAUE*",SurveyDATA!E:E,"*IGOLOT*",SurveyDATA!#REF!,"&lt;9",SurveyDATA!#REF!,"&gt;6")</f>
        <v>#REF!</v>
      </c>
      <c r="G35" s="597" t="e">
        <f>COUNTIFS(SurveyDATA!#REF!,"ISF",SurveyDATA!E:E,"*BOCAUE*",SurveyDATA!E:E,"*IGOLOT*",SurveyDATA!#REF!,"&gt;8")</f>
        <v>#REF!</v>
      </c>
      <c r="H35" s="599" t="e">
        <f t="shared" si="3"/>
        <v>#REF!</v>
      </c>
      <c r="P35" s="635" t="s">
        <v>7365</v>
      </c>
    </row>
    <row r="36" spans="1:23" ht="15.75" thickBot="1">
      <c r="A36" s="572"/>
      <c r="B36" s="573" t="s">
        <v>5384</v>
      </c>
      <c r="C36" s="597" t="e">
        <f>COUNTIFS(SurveyDATA!#REF!,"ISF",SurveyDATA!E:E,"*BOCAUE*",SurveyDATA!E:E,"*BUNDUKAN*",SurveyDATA!#REF!,"&lt;3")</f>
        <v>#REF!</v>
      </c>
      <c r="D36" s="597" t="e">
        <f>COUNTIFS(SurveyDATA!#REF!,"ISF",SurveyDATA!E:E,"*BOCAUE*",SurveyDATA!E:E,"*BUNDUKAN*",SurveyDATA!#REF!,"&lt;5",SurveyDATA!#REF!,"&gt;2")</f>
        <v>#REF!</v>
      </c>
      <c r="E36" s="597" t="e">
        <f>COUNTIFS(SurveyDATA!#REF!,"ISF",SurveyDATA!E:E,"*BOCAUE*",SurveyDATA!E:E,"*BUNDUKAN*",SurveyDATA!#REF!,"&lt;7",SurveyDATA!#REF!,"&gt;4")</f>
        <v>#REF!</v>
      </c>
      <c r="F36" s="597" t="e">
        <f>COUNTIFS(SurveyDATA!#REF!,"ISF",SurveyDATA!E:E,"*BOCAUE*",SurveyDATA!E:E,"*BUNDUKAN*",SurveyDATA!#REF!,"&lt;9",SurveyDATA!#REF!,"&gt;6")</f>
        <v>#REF!</v>
      </c>
      <c r="G36" s="597" t="e">
        <f>COUNTIFS(SurveyDATA!#REF!,"ISF",SurveyDATA!E:E,"*BOCAUE*",SurveyDATA!E:E,"*BUNDUKAN*",SurveyDATA!#REF!,"&gt;8")</f>
        <v>#REF!</v>
      </c>
      <c r="H36" s="599" t="e">
        <f t="shared" si="3"/>
        <v>#REF!</v>
      </c>
    </row>
    <row r="37" spans="1:23">
      <c r="A37" s="572"/>
      <c r="B37" s="574" t="s">
        <v>7216</v>
      </c>
      <c r="C37" s="598" t="e">
        <f>SUM(C34:C36)</f>
        <v>#REF!</v>
      </c>
      <c r="D37" s="598" t="e">
        <f>SUM(D34:D36)</f>
        <v>#REF!</v>
      </c>
      <c r="E37" s="598" t="e">
        <f>SUM(E34:E36)</f>
        <v>#REF!</v>
      </c>
      <c r="F37" s="598" t="e">
        <f>SUM(F34:F36)</f>
        <v>#REF!</v>
      </c>
      <c r="G37" s="598" t="e">
        <f>SUM(G34:G36)</f>
        <v>#REF!</v>
      </c>
      <c r="H37" s="599" t="e">
        <f t="shared" si="3"/>
        <v>#REF!</v>
      </c>
      <c r="P37" s="734"/>
      <c r="Q37" s="735" t="s">
        <v>7369</v>
      </c>
      <c r="R37" s="735" t="s">
        <v>7369</v>
      </c>
      <c r="S37" s="735" t="s">
        <v>7373</v>
      </c>
      <c r="T37" s="735" t="s">
        <v>7375</v>
      </c>
      <c r="U37" s="735" t="s">
        <v>7373</v>
      </c>
      <c r="V37" s="735" t="s">
        <v>7380</v>
      </c>
      <c r="W37" s="735"/>
    </row>
    <row r="38" spans="1:23">
      <c r="A38" s="572" t="s">
        <v>5495</v>
      </c>
      <c r="B38" s="600" t="s">
        <v>5387</v>
      </c>
      <c r="C38" s="597" t="e">
        <f>COUNTIFS(SurveyDATA!#REF!,"ISF",SurveyDATA!E:E,"*MARILAO*",SurveyDATA!E:E,"*ABANGAN*",SurveyDATA!#REF!,"&lt;3")</f>
        <v>#REF!</v>
      </c>
      <c r="D38" s="284" t="e">
        <f>COUNTIFS(SurveyDATA!#REF!,"ISF",SurveyDATA!E:E,"*MARILAO*",SurveyDATA!E:E,"*SAOG*",SurveyDATA!#REF!,"&lt;5",SurveyDATA!#REF!,"&gt;2")</f>
        <v>#REF!</v>
      </c>
      <c r="E38" s="597" t="e">
        <f>COUNTIFS(SurveyDATA!#REF!,"ISF",SurveyDATA!E:E,"*MARILAO*",SurveyDATA!E:E,"*ABANGAN*",SurveyDATA!#REF!,"&lt;7",SurveyDATA!#REF!,"&gt;4")</f>
        <v>#REF!</v>
      </c>
      <c r="F38" s="597" t="e">
        <f>COUNTIFS(SurveyDATA!#REF!,"ISF",SurveyDATA!E:E,"*MARILAO*",SurveyDATA!E:E,"*ABANGAN*",SurveyDATA!#REF!,"&lt;9",SurveyDATA!#REF!,"&gt;6")</f>
        <v>#REF!</v>
      </c>
      <c r="G38" s="597" t="e">
        <f>COUNTIFS(SurveyDATA!#REF!,"ISF",SurveyDATA!E:E,"*MARILAO*",SurveyDATA!E:E,"*ABANGAN*",SurveyDATA!#REF!,"&gt;8")</f>
        <v>#REF!</v>
      </c>
      <c r="H38" s="599" t="e">
        <f t="shared" si="3"/>
        <v>#REF!</v>
      </c>
      <c r="P38" s="736"/>
      <c r="Q38" s="737" t="s">
        <v>7366</v>
      </c>
      <c r="R38" s="738" t="s">
        <v>7368</v>
      </c>
      <c r="S38" s="738" t="s">
        <v>7370</v>
      </c>
      <c r="T38" s="738" t="s">
        <v>7376</v>
      </c>
      <c r="U38" s="738" t="s">
        <v>7377</v>
      </c>
      <c r="V38" s="738" t="s">
        <v>7381</v>
      </c>
      <c r="W38" s="738"/>
    </row>
    <row r="39" spans="1:23">
      <c r="A39" s="572"/>
      <c r="B39" s="573" t="s">
        <v>5388</v>
      </c>
      <c r="C39" s="597" t="e">
        <f>COUNTIFS(SurveyDATA!#REF!,"ISF",SurveyDATA!E:E,"*MARILAO*",SurveyDATA!E:E,"*SAOG*",SurveyDATA!#REF!,"3")</f>
        <v>#REF!</v>
      </c>
      <c r="D39" s="284" t="e">
        <f>COUNTIFS(SurveyDATA!#REF!,"ISF",SurveyDATA!E:E,"*MARILAO*",SurveyDATA!E:E,"*SAOG*",SurveyDATA!#REF!,"&lt;5",SurveyDATA!#REF!,"&gt;2")</f>
        <v>#REF!</v>
      </c>
      <c r="E39" s="597" t="e">
        <f>COUNTIFS(SurveyDATA!#REF!,"ISF",SurveyDATA!E:E,"*MARILAO*",SurveyDATA!E:E,"*SAOG*",SurveyDATA!#REF!,"&lt;7",SurveyDATA!#REF!,"&gt;4")</f>
        <v>#REF!</v>
      </c>
      <c r="F39" s="597" t="e">
        <f>COUNTIFS(SurveyDATA!#REF!,"ISF",SurveyDATA!E:E,"*MARILAO*",SurveyDATA!E:E,"*SAOG*",SurveyDATA!#REF!,"&lt;9",SurveyDATA!#REF!,"&gt;6")</f>
        <v>#REF!</v>
      </c>
      <c r="G39" s="597" t="e">
        <f>COUNTIFS(SurveyDATA!#REF!,"ISF",SurveyDATA!E:E,"*MARILAO*",SurveyDATA!E:E,"*SAOG*",SurveyDATA!#REF!,"&gt;8")</f>
        <v>#REF!</v>
      </c>
      <c r="H39" s="599" t="e">
        <f t="shared" si="3"/>
        <v>#REF!</v>
      </c>
      <c r="P39" s="736" t="s">
        <v>7214</v>
      </c>
      <c r="Q39" s="737" t="s">
        <v>7367</v>
      </c>
      <c r="R39" s="738" t="s">
        <v>7379</v>
      </c>
      <c r="S39" s="738" t="s">
        <v>7371</v>
      </c>
      <c r="T39" s="738" t="s">
        <v>7374</v>
      </c>
      <c r="U39" s="738" t="s">
        <v>7378</v>
      </c>
      <c r="V39" s="738" t="s">
        <v>7382</v>
      </c>
      <c r="W39" s="738" t="s">
        <v>2034</v>
      </c>
    </row>
    <row r="40" spans="1:23" ht="15.75" thickBot="1">
      <c r="A40" s="572"/>
      <c r="B40" s="573" t="s">
        <v>5489</v>
      </c>
      <c r="C40" s="597" t="e">
        <f>COUNTIFS(SurveyDATA!#REF!,"ISF",SurveyDATA!E:E,"*MARILAO*",SurveyDATA!E:E,"*IBAYO*",SurveyDATA!#REF!,"&lt;3")</f>
        <v>#REF!</v>
      </c>
      <c r="D40" s="284" t="e">
        <f>COUNTIFS(SurveyDATA!#REF!,"ISF",SurveyDATA!E:E,"*MARILAO*",SurveyDATA!E:E,"*IBAYO*",SurveyDATA!#REF!,"&lt;5",SurveyDATA!#REF!,"&gt;2")</f>
        <v>#REF!</v>
      </c>
      <c r="E40" s="597" t="e">
        <f>COUNTIFS(SurveyDATA!#REF!,"ISF",SurveyDATA!E:E,"*MARILAO*",SurveyDATA!E:E,"*IBAYO*",SurveyDATA!#REF!,"&lt;7",SurveyDATA!#REF!,"&gt;4")</f>
        <v>#REF!</v>
      </c>
      <c r="F40" s="597" t="e">
        <f>COUNTIFS(SurveyDATA!#REF!,"ISF",SurveyDATA!E:E,"*MARILAO*",SurveyDATA!E:E,"*IBAYO*",SurveyDATA!#REF!,"&lt;9",SurveyDATA!#REF!,"&gt;6")</f>
        <v>#REF!</v>
      </c>
      <c r="G40" s="597" t="e">
        <f>COUNTIFS(SurveyDATA!#REF!,"ISF",SurveyDATA!E:E,"*MARILAO*",SurveyDATA!E:E,"*IBAYO*",SurveyDATA!#REF!,"&gt;8")</f>
        <v>#REF!</v>
      </c>
      <c r="H40" s="599" t="e">
        <f t="shared" si="3"/>
        <v>#REF!</v>
      </c>
      <c r="P40" s="739"/>
      <c r="Q40" s="740"/>
      <c r="R40" s="740" t="s">
        <v>1419</v>
      </c>
      <c r="S40" s="740" t="s">
        <v>7372</v>
      </c>
      <c r="T40" s="740"/>
      <c r="U40" s="740" t="s">
        <v>2139</v>
      </c>
      <c r="V40" s="740"/>
      <c r="W40" s="740"/>
    </row>
    <row r="41" spans="1:23" ht="15.75" thickBot="1">
      <c r="A41" s="572"/>
      <c r="B41" s="574" t="s">
        <v>7216</v>
      </c>
      <c r="C41" s="575" t="e">
        <f>SUM(C38:C40)</f>
        <v>#REF!</v>
      </c>
      <c r="D41" s="575" t="e">
        <f>SUM(D38:D40)</f>
        <v>#REF!</v>
      </c>
      <c r="E41" s="575" t="e">
        <f>SUM(E38:E40)</f>
        <v>#REF!</v>
      </c>
      <c r="F41" s="575" t="e">
        <f>SUM(F38:F40)</f>
        <v>#REF!</v>
      </c>
      <c r="G41" s="575" t="e">
        <f>SUM(G38:G40)</f>
        <v>#REF!</v>
      </c>
      <c r="H41" s="599" t="e">
        <f t="shared" si="3"/>
        <v>#REF!</v>
      </c>
      <c r="P41" s="728" t="s">
        <v>5848</v>
      </c>
      <c r="Q41" s="587" t="e">
        <f>COUNTIFS(SurveyDATA!#REF!,"ISF",SurveyDATA!E:E,"*MALOLOS*",SurveyDATA!#REF!,"&gt;0",SurveyDATA!GP:GP,"X")</f>
        <v>#REF!</v>
      </c>
      <c r="R41" s="587" t="e">
        <f>COUNTIFS(SurveyDATA!#REF!,"ISF",SurveyDATA!E:E,"*MALOLOS*",SurveyDATA!#REF!,"&gt;0",SurveyDATA!GQ:GQ,"X")</f>
        <v>#REF!</v>
      </c>
      <c r="S41" s="587" t="e">
        <f>COUNTIFS(SurveyDATA!#REF!,"ISF",SurveyDATA!E:E,"*MALOLOS*",SurveyDATA!#REF!,"&gt;0",SurveyDATA!GR:GR,"X")</f>
        <v>#REF!</v>
      </c>
      <c r="T41" s="587" t="e">
        <f>COUNTIFS(SurveyDATA!#REF!,"ISF",SurveyDATA!E:E,"*MALOLOS*",SurveyDATA!#REF!,"&gt;0",SurveyDATA!GS:GS,"X")</f>
        <v>#REF!</v>
      </c>
      <c r="U41" s="587" t="e">
        <f>COUNTIFS(SurveyDATA!#REF!,"ISF",SurveyDATA!E:E,"*MALOLOS*",SurveyDATA!#REF!,"&gt;0",SurveyDATA!GT:GT,"X")</f>
        <v>#REF!</v>
      </c>
      <c r="V41" s="587" t="e">
        <f>COUNTIFS(SurveyDATA!#REF!,"ISF",SurveyDATA!E:E,"*MALOLOS*",SurveyDATA!#REF!,"&gt;0",SurveyDATA!GU:GU,"X")</f>
        <v>#REF!</v>
      </c>
      <c r="W41" s="587" t="e">
        <f>SUM(Q41:V41)</f>
        <v>#REF!</v>
      </c>
    </row>
    <row r="42" spans="1:23" ht="15.75" thickBot="1">
      <c r="A42" s="572" t="s">
        <v>5496</v>
      </c>
      <c r="B42" s="573" t="s">
        <v>5849</v>
      </c>
      <c r="C42" s="597" t="e">
        <f>COUNTIFS(SurveyDATA!#REF!,"ISF",SurveyDATA!E:E,"*MEYCAUAYAN*",SurveyDATA!E:E,"*PANDAYAN*",SurveyDATA!#REF!,"&lt;3")</f>
        <v>#REF!</v>
      </c>
      <c r="D42" s="601" t="e">
        <f>COUNTIFS(SurveyDATA!#REF!,"ISF",SurveyDATA!E:E,"*MEYCAUAYAN*",SurveyDATA!E:E,"*PANDAYAN*",SurveyDATA!#REF!,"&lt;5",SurveyDATA!#REF!,"&gt;2")</f>
        <v>#REF!</v>
      </c>
      <c r="E42" s="597" t="e">
        <f>COUNTIFS(SurveyDATA!#REF!,"ISF",SurveyDATA!E:E,"*MEYCAUAYAN*",SurveyDATA!E:E,"*PANDAYAN*",SurveyDATA!#REF!,"&lt;7",SurveyDATA!#REF!,"&gt;4")</f>
        <v>#REF!</v>
      </c>
      <c r="F42" s="597" t="e">
        <f>COUNTIFS(SurveyDATA!#REF!,"ISF",SurveyDATA!E:E,"*MEYCAUAYAN*",SurveyDATA!E:E,"*PANDAYAN*",SurveyDATA!#REF!,"&lt;9",SurveyDATA!#REF!,"&gt;6")</f>
        <v>#REF!</v>
      </c>
      <c r="G42" s="597" t="e">
        <f>COUNTIFS(SurveyDATA!#REF!,"ISF",SurveyDATA!E:E,"*MEYCAUAYAN*",SurveyDATA!E:E,"*PANDAYAN*",SurveyDATA!#REF!,"&gt;8")</f>
        <v>#REF!</v>
      </c>
      <c r="H42" s="599" t="e">
        <f t="shared" si="3"/>
        <v>#REF!</v>
      </c>
      <c r="P42" s="728" t="s">
        <v>5494</v>
      </c>
      <c r="Q42" s="587" t="e">
        <f>COUNTIFS(SurveyDATA!#REF!,"ISF",SurveyDATA!E:E,"*GUIGUINTO*",SurveyDATA!#REF!,"&gt;0",SurveyDATA!GP:GP,"X")</f>
        <v>#REF!</v>
      </c>
      <c r="R42" s="587" t="e">
        <f>COUNTIFS(SurveyDATA!#REF!,"ISF",SurveyDATA!E:E,"*GUIGUINTO*",SurveyDATA!#REF!,"&gt;0",SurveyDATA!GQ:GQ,"X")</f>
        <v>#REF!</v>
      </c>
      <c r="S42" s="587" t="e">
        <f>COUNTIFS(SurveyDATA!#REF!,"ISF",SurveyDATA!E:E,"*MALOLOS*",SurveyDATA!#REF!,"&gt;0",SurveyDATA!GR:GR,"X")</f>
        <v>#REF!</v>
      </c>
      <c r="T42" s="587" t="e">
        <f>COUNTIFS(SurveyDATA!#REF!,"ISF",SurveyDATA!E:E,"*GUIGUINTO*",SurveyDATA!#REF!,"&gt;0",SurveyDATA!GS:GS,"X")</f>
        <v>#REF!</v>
      </c>
      <c r="U42" s="587" t="e">
        <f>COUNTIFS(SurveyDATA!#REF!,"ISF",SurveyDATA!E:E,"*GUIGUINTO*",SurveyDATA!#REF!,"&gt;0",SurveyDATA!GT:GT,"X")</f>
        <v>#REF!</v>
      </c>
      <c r="V42" s="587" t="e">
        <f>COUNTIFS(SurveyDATA!#REF!,"ISF",SurveyDATA!E:E,"*GUIGUINTO*",SurveyDATA!#REF!,"&gt;0",SurveyDATA!GU:GU,"X")</f>
        <v>#REF!</v>
      </c>
      <c r="W42" s="587" t="e">
        <f t="shared" ref="W42:W49" si="4">SUM(Q42:V42)</f>
        <v>#REF!</v>
      </c>
    </row>
    <row r="43" spans="1:23" ht="15.75" thickBot="1">
      <c r="A43" s="572"/>
      <c r="B43" s="573" t="s">
        <v>5497</v>
      </c>
      <c r="C43" s="597" t="e">
        <f>COUNTIFS(SurveyDATA!#REF!,"ISF",SurveyDATA!E:E,"*MEYCAUAYAN*",SurveyDATA!E:E,"*TUGATOG*",SurveyDATA!#REF!,"&lt;3")</f>
        <v>#REF!</v>
      </c>
      <c r="D43" s="601" t="e">
        <f>COUNTIFS(SurveyDATA!#REF!,"ISF",SurveyDATA!E:E,"*MEYCAUAYAN*",SurveyDATA!E:E,"*TUGATOG*",SurveyDATA!#REF!,"&lt;5",SurveyDATA!#REF!,"&gt;2")</f>
        <v>#REF!</v>
      </c>
      <c r="E43" s="597" t="e">
        <f>COUNTIFS(SurveyDATA!#REF!,"ISF",SurveyDATA!E:E,"*MEYCAUAYAN*",SurveyDATA!E:E,"*TUGATOG*",SurveyDATA!#REF!,"&lt;7",SurveyDATA!#REF!,"&gt;4")</f>
        <v>#REF!</v>
      </c>
      <c r="F43" s="597" t="e">
        <f>COUNTIFS(SurveyDATA!#REF!,"ISF",SurveyDATA!E:E,"*MEYCAUAYAN*",SurveyDATA!E:E,"*TUGATOG*",SurveyDATA!#REF!,"&lt;9",SurveyDATA!#REF!,"&gt;6")</f>
        <v>#REF!</v>
      </c>
      <c r="G43" s="597" t="e">
        <f>COUNTIFS(SurveyDATA!#REF!,"ISF",SurveyDATA!E:E,"*MEYCAUAYAN*",SurveyDATA!E:E,"*TUGATOG*",SurveyDATA!#REF!,"&gt;8")</f>
        <v>#REF!</v>
      </c>
      <c r="H43" s="599" t="e">
        <f t="shared" si="3"/>
        <v>#REF!</v>
      </c>
      <c r="P43" s="728" t="s">
        <v>5847</v>
      </c>
      <c r="Q43" s="587" t="e">
        <f>COUNTIFS(SurveyDATA!#REF!,"ISF",SurveyDATA!E:E,"*BALAGTAS*",SurveyDATA!#REF!,"&gt;0",SurveyDATA!GP:GP,"X")</f>
        <v>#REF!</v>
      </c>
      <c r="R43" s="587" t="e">
        <f>COUNTIFS(SurveyDATA!#REF!,"ISF",SurveyDATA!E:E,"*BALAGTAS*",SurveyDATA!#REF!,"&gt;0",SurveyDATA!GQ:GQ,"X")</f>
        <v>#REF!</v>
      </c>
      <c r="S43" s="587" t="e">
        <f>COUNTIFS(SurveyDATA!#REF!,"ISF",SurveyDATA!E:E,"*MALOLOS*",SurveyDATA!#REF!,"&gt;0",SurveyDATA!GR:GR,"X")</f>
        <v>#REF!</v>
      </c>
      <c r="T43" s="587" t="e">
        <f>COUNTIFS(SurveyDATA!#REF!,"ISF",SurveyDATA!E:E,"*BALAGTAS*",SurveyDATA!#REF!,"&gt;0",SurveyDATA!GS:GS,"X")</f>
        <v>#REF!</v>
      </c>
      <c r="U43" s="587" t="e">
        <f>COUNTIFS(SurveyDATA!#REF!,"ISF",SurveyDATA!E:E,"*BALAGTAS*",SurveyDATA!#REF!,"&gt;0",SurveyDATA!GT:GT,"X")</f>
        <v>#REF!</v>
      </c>
      <c r="V43" s="587" t="e">
        <f>COUNTIFS(SurveyDATA!#REF!,"ISF",SurveyDATA!E:E,"*BALAGTAS*",SurveyDATA!#REF!,"&gt;0",SurveyDATA!GU:GU,"X")</f>
        <v>#REF!</v>
      </c>
      <c r="W43" s="587" t="e">
        <f t="shared" si="4"/>
        <v>#REF!</v>
      </c>
    </row>
    <row r="44" spans="1:23" ht="15.75" thickBot="1">
      <c r="A44" s="572"/>
      <c r="B44" s="573" t="s">
        <v>5389</v>
      </c>
      <c r="C44" s="597" t="e">
        <f>COUNTIFS(SurveyDATA!#REF!,"ISF",SurveyDATA!E:E,"*MEYCAUAYAN*",SurveyDATA!E:E,"*BANCAL*",SurveyDATA!#REF!,"&lt;3")</f>
        <v>#REF!</v>
      </c>
      <c r="D44" s="601" t="e">
        <f>COUNTIFS(SurveyDATA!#REF!,"ISF",SurveyDATA!E:E,"*MEYCAUAYAN*",SurveyDATA!E:E,"*BANCAL*",SurveyDATA!#REF!,"&lt;5",SurveyDATA!#REF!,"&gt;2")</f>
        <v>#REF!</v>
      </c>
      <c r="E44" s="597" t="e">
        <f>COUNTIFS(SurveyDATA!#REF!,"ISF",SurveyDATA!E:E,"*MEYCAUAYAN*",SurveyDATA!E:E,"*BANCAL*",SurveyDATA!#REF!,"&lt;7",SurveyDATA!#REF!,"&gt;4")</f>
        <v>#REF!</v>
      </c>
      <c r="F44" s="597" t="e">
        <f>COUNTIFS(SurveyDATA!#REF!,"ISF",SurveyDATA!E:E,"*MEYCAUAYAN*",SurveyDATA!E:E,"*BANCAL*",SurveyDATA!#REF!,"&lt;9",SurveyDATA!#REF!,"&gt;6")</f>
        <v>#REF!</v>
      </c>
      <c r="G44" s="597" t="e">
        <f>COUNTIFS(SurveyDATA!#REF!,"ISF",SurveyDATA!E:E,"*MEYCAUAYAN*",SurveyDATA!E:E,"*BANCAL*",SurveyDATA!#REF!,"&gt;8")</f>
        <v>#REF!</v>
      </c>
      <c r="H44" s="599" t="e">
        <f t="shared" si="3"/>
        <v>#REF!</v>
      </c>
      <c r="P44" s="728" t="s">
        <v>771</v>
      </c>
      <c r="Q44" s="587" t="e">
        <f>COUNTIFS(SurveyDATA!#REF!,"ISF",SurveyDATA!E:E,"*BOCAUE*",SurveyDATA!#REF!,"&gt;0",SurveyDATA!GP:GP,"X")</f>
        <v>#REF!</v>
      </c>
      <c r="R44" s="587" t="e">
        <f>COUNTIFS(SurveyDATA!#REF!,"ISF",SurveyDATA!E:E,"*BOCAUE*",SurveyDATA!#REF!,"&gt;0",SurveyDATA!GQ:GQ,"X")</f>
        <v>#REF!</v>
      </c>
      <c r="S44" s="587" t="e">
        <f>COUNTIFS(SurveyDATA!#REF!,"ISF",SurveyDATA!E:E,"*MALOLOS*",SurveyDATA!#REF!,"&gt;0",SurveyDATA!GR:GR,"X")</f>
        <v>#REF!</v>
      </c>
      <c r="T44" s="587" t="e">
        <f>COUNTIFS(SurveyDATA!#REF!,"ISF",SurveyDATA!E:E,"*BOCAUE*",SurveyDATA!#REF!,"&gt;0",SurveyDATA!GS:GS,"X")</f>
        <v>#REF!</v>
      </c>
      <c r="U44" s="587" t="e">
        <f>COUNTIFS(SurveyDATA!#REF!,"ISF",SurveyDATA!E:E,"*BOCAUE*",SurveyDATA!#REF!,"&gt;0",SurveyDATA!GT:GT,"X")</f>
        <v>#REF!</v>
      </c>
      <c r="V44" s="587" t="e">
        <f>COUNTIFS(SurveyDATA!#REF!,"ISF",SurveyDATA!E:E,"*BOCAUE*",SurveyDATA!#REF!,"&gt;0",SurveyDATA!GU:GU,"X")</f>
        <v>#REF!</v>
      </c>
      <c r="W44" s="587" t="e">
        <f t="shared" si="4"/>
        <v>#REF!</v>
      </c>
    </row>
    <row r="45" spans="1:23" ht="15.75" thickBot="1">
      <c r="A45" s="572"/>
      <c r="B45" s="574" t="s">
        <v>7216</v>
      </c>
      <c r="C45" s="575" t="e">
        <f>SUM(C42:C44)</f>
        <v>#REF!</v>
      </c>
      <c r="D45" s="575" t="e">
        <f>SUM(D42:D44)</f>
        <v>#REF!</v>
      </c>
      <c r="E45" s="575" t="e">
        <f>SUM(E42:E44)</f>
        <v>#REF!</v>
      </c>
      <c r="F45" s="575" t="e">
        <f>SUM(F42:F44)</f>
        <v>#REF!</v>
      </c>
      <c r="G45" s="575" t="e">
        <f>SUM(G42:G44)</f>
        <v>#REF!</v>
      </c>
      <c r="H45" s="599" t="e">
        <f t="shared" si="3"/>
        <v>#REF!</v>
      </c>
      <c r="P45" s="728" t="s">
        <v>5495</v>
      </c>
      <c r="Q45" s="587" t="e">
        <f>COUNTIFS(SurveyDATA!#REF!,"ISF",SurveyDATA!E:E,"*MARILAO*",SurveyDATA!#REF!,"&gt;0",SurveyDATA!GP:GP,"X")</f>
        <v>#REF!</v>
      </c>
      <c r="R45" s="587" t="e">
        <f>COUNTIFS(SurveyDATA!#REF!,"ISF",SurveyDATA!E:E,"*MARILAO*",SurveyDATA!#REF!,"&gt;0",SurveyDATA!GQ:GQ,"X")</f>
        <v>#REF!</v>
      </c>
      <c r="S45" s="587" t="e">
        <f>COUNTIFS(SurveyDATA!#REF!,"ISF",SurveyDATA!E:E,"*MALOLOS*",SurveyDATA!#REF!,"&gt;0",SurveyDATA!GR:GR,"X")</f>
        <v>#REF!</v>
      </c>
      <c r="T45" s="587" t="e">
        <f>COUNTIFS(SurveyDATA!#REF!,"ISF",SurveyDATA!E:E,"*MARILAO*",SurveyDATA!#REF!,"&gt;0",SurveyDATA!GS:GS,"X")</f>
        <v>#REF!</v>
      </c>
      <c r="U45" s="587" t="e">
        <f>COUNTIFS(SurveyDATA!#REF!,"ISF",SurveyDATA!E:E,"*MARILAO*",SurveyDATA!#REF!,"&gt;0",SurveyDATA!GT:GT,"X")</f>
        <v>#REF!</v>
      </c>
      <c r="V45" s="587" t="e">
        <f>COUNTIFS(SurveyDATA!#REF!,"ISF",SurveyDATA!E:E,"*MARILAO*",SurveyDATA!#REF!,"&gt;0",SurveyDATA!GU:GU,"X")</f>
        <v>#REF!</v>
      </c>
      <c r="W45" s="587" t="e">
        <f t="shared" si="4"/>
        <v>#REF!</v>
      </c>
    </row>
    <row r="46" spans="1:23" ht="15.75" thickBot="1">
      <c r="A46" s="572" t="s">
        <v>778</v>
      </c>
      <c r="B46" s="573" t="s">
        <v>7260</v>
      </c>
      <c r="C46" s="597" t="e">
        <f>COUNTIFS(SurveyDATA!#REF!,"ISF",SurveyDATA!E:E,"*VALENZUELA*",SurveyDATA!E:E,"*MALANDAY*",SurveyDATA!#REF!,"&lt;3")</f>
        <v>#REF!</v>
      </c>
      <c r="D46" s="572" t="e">
        <f>COUNTIFS(SurveyDATA!#REF!,"ISF",SurveyDATA!E:E,"*VALENZUELA*",SurveyDATA!E:E,"*MALANDAY*",SurveyDATA!#REF!,"&lt;5",SurveyDATA!#REF!,"&gt;2")</f>
        <v>#REF!</v>
      </c>
      <c r="E46" s="597" t="e">
        <f>COUNTIFS(SurveyDATA!#REF!,"ISF",SurveyDATA!E:E,"*VALENZUELA*",SurveyDATA!E:E,"*MALANDAY*",SurveyDATA!#REF!,"&lt;7",SurveyDATA!#REF!,"&gt;4")</f>
        <v>#REF!</v>
      </c>
      <c r="F46" s="597" t="e">
        <f>COUNTIFS(SurveyDATA!#REF!,"ISF",SurveyDATA!E:E,"*VALENZUELA*",SurveyDATA!E:E,"*MALANDAY*",SurveyDATA!#REF!,"&lt;9",SurveyDATA!#REF!,"&gt;6")</f>
        <v>#REF!</v>
      </c>
      <c r="G46" s="597" t="e">
        <f>COUNTIFS(SurveyDATA!#REF!,"ISF",SurveyDATA!E:E,"*VALENZUELA*",SurveyDATA!E:E,"*MALANDAY*",SurveyDATA!#REF!,"&gt;8")</f>
        <v>#REF!</v>
      </c>
      <c r="H46" s="599" t="e">
        <f t="shared" si="3"/>
        <v>#REF!</v>
      </c>
      <c r="P46" s="728" t="s">
        <v>5496</v>
      </c>
      <c r="Q46" s="587" t="e">
        <f>COUNTIFS(SurveyDATA!#REF!,"ISF",SurveyDATA!E:E,"*MEYCAUAYAN*",SurveyDATA!#REF!,"&gt;0",SurveyDATA!GP:GP,"X")</f>
        <v>#REF!</v>
      </c>
      <c r="R46" s="587" t="e">
        <f>COUNTIFS(SurveyDATA!#REF!,"ISF",SurveyDATA!E:E,"*MEYCAUAYAN*",SurveyDATA!#REF!,"&gt;0",SurveyDATA!GQ:GQ,"X")</f>
        <v>#REF!</v>
      </c>
      <c r="S46" s="587" t="e">
        <f>COUNTIFS(SurveyDATA!#REF!,"ISF",SurveyDATA!E:E,"*MALOLOS*",SurveyDATA!#REF!,"&gt;0",SurveyDATA!GR:GR,"X")</f>
        <v>#REF!</v>
      </c>
      <c r="T46" s="587" t="e">
        <f>COUNTIFS(SurveyDATA!#REF!,"ISF",SurveyDATA!E:E,"*METCAUAYAN*",SurveyDATA!#REF!,"&gt;0",SurveyDATA!GS:GS,"X")</f>
        <v>#REF!</v>
      </c>
      <c r="U46" s="587" t="e">
        <f>COUNTIFS(SurveyDATA!#REF!,"ISF",SurveyDATA!E:E,"*MEYCAUAYAN*",SurveyDATA!#REF!,"&gt;0",SurveyDATA!GT:GT,"X")</f>
        <v>#REF!</v>
      </c>
      <c r="V46" s="587" t="e">
        <f>COUNTIFS(SurveyDATA!#REF!,"ISF",SurveyDATA!E:E,"*MEYCAUAYAN*",SurveyDATA!#REF!,"&gt;0",SurveyDATA!GU:GU,"X")</f>
        <v>#REF!</v>
      </c>
      <c r="W46" s="587" t="e">
        <f t="shared" si="4"/>
        <v>#REF!</v>
      </c>
    </row>
    <row r="47" spans="1:23" ht="15.75" thickBot="1">
      <c r="A47" s="572"/>
      <c r="B47" s="573" t="s">
        <v>5818</v>
      </c>
      <c r="C47" s="597" t="e">
        <f>COUNTIFS(SurveyDATA!#REF!,"ISF",SurveyDATA!E:E,"*VALENZUELA*",SurveyDATA!E:E,"*DALANDANAN*",SurveyDATA!#REF!,"&lt;3")</f>
        <v>#REF!</v>
      </c>
      <c r="D47" s="572" t="e">
        <f>COUNTIFS(SurveyDATA!#REF!,"ISF",SurveyDATA!E:E,"*VALENZUELA*",SurveyDATA!E:E,"*DALANDANAN*",SurveyDATA!#REF!,"&lt;5",SurveyDATA!#REF!,"&gt;2")</f>
        <v>#REF!</v>
      </c>
      <c r="E47" s="597" t="e">
        <f>COUNTIFS(SurveyDATA!#REF!,"ISF",SurveyDATA!E:E,"*VALENZUELA*",SurveyDATA!E:E,"*DALANDANAN*",SurveyDATA!#REF!,"&lt;7",SurveyDATA!#REF!,"&gt;4")</f>
        <v>#REF!</v>
      </c>
      <c r="F47" s="597" t="e">
        <f>COUNTIFS(SurveyDATA!#REF!,"ISF",SurveyDATA!E:E,"*VALENZUELA*",SurveyDATA!E:E,"*DALANDANAN*",SurveyDATA!#REF!,"&lt;9",SurveyDATA!#REF!,"&gt;6")</f>
        <v>#REF!</v>
      </c>
      <c r="G47" s="597" t="e">
        <f>COUNTIFS(SurveyDATA!#REF!,"ISF",SurveyDATA!E:E,"*MEYCAUAYAN*",SurveyDATA!E:E,"*DALANDANAN*",SurveyDATA!#REF!,"&gt;8")</f>
        <v>#REF!</v>
      </c>
      <c r="H47" s="599" t="e">
        <f t="shared" si="3"/>
        <v>#REF!</v>
      </c>
      <c r="P47" s="728" t="s">
        <v>778</v>
      </c>
      <c r="Q47" s="587" t="e">
        <f>COUNTIFS(SurveyDATA!#REF!,"ISF",SurveyDATA!E:E,"*VALENZUELA*",SurveyDATA!#REF!,"&gt;0",SurveyDATA!GP:GP,"X")</f>
        <v>#REF!</v>
      </c>
      <c r="R47" s="587" t="e">
        <f>COUNTIFS(SurveyDATA!#REF!,"ISF",SurveyDATA!E:E,"*VALENZUELA*",SurveyDATA!#REF!,"&gt;0",SurveyDATA!GQ:GQ,"X")</f>
        <v>#REF!</v>
      </c>
      <c r="S47" s="587" t="e">
        <f>COUNTIFS(SurveyDATA!#REF!,"ISF",SurveyDATA!E:E,"*MALOLOS*",SurveyDATA!#REF!,"&gt;0",SurveyDATA!GR:GR,"X")</f>
        <v>#REF!</v>
      </c>
      <c r="T47" s="587" t="e">
        <f>COUNTIFS(SurveyDATA!#REF!,"ISF",SurveyDATA!E:E,"*VALENZUELA*",SurveyDATA!#REF!,"&gt;0",SurveyDATA!GS:GS,"X")</f>
        <v>#REF!</v>
      </c>
      <c r="U47" s="587" t="e">
        <f>COUNTIFS(SurveyDATA!#REF!,"ISF",SurveyDATA!E:E,"*VALENZUELA*",SurveyDATA!#REF!,"&gt;0",SurveyDATA!GT:GT,"X")</f>
        <v>#REF!</v>
      </c>
      <c r="V47" s="587" t="e">
        <f>COUNTIFS(SurveyDATA!#REF!,"ISF",SurveyDATA!E:E,"*VALENZUELA*",SurveyDATA!#REF!,"&gt;0",SurveyDATA!GU:GU,"X")</f>
        <v>#REF!</v>
      </c>
      <c r="W47" s="587" t="e">
        <f t="shared" si="4"/>
        <v>#REF!</v>
      </c>
    </row>
    <row r="48" spans="1:23" ht="15.75" thickBot="1">
      <c r="A48" s="572"/>
      <c r="B48" s="573" t="s">
        <v>5392</v>
      </c>
      <c r="C48" s="597" t="e">
        <f>COUNTIFS(SurveyDATA!#REF!,"ISF",SurveyDATA!E:E,"*VALENZUELA*",SurveyDATA!E:E,"*MALINTA*",SurveyDATA!#REF!,"&lt;3")</f>
        <v>#REF!</v>
      </c>
      <c r="D48" s="572" t="e">
        <f>COUNTIFS(SurveyDATA!#REF!,"ISF",SurveyDATA!E:E,"*VALENZUELA*",SurveyDATA!E:E,"*MALINTA*",SurveyDATA!#REF!,"&lt;5",SurveyDATA!#REF!,"&gt;2")</f>
        <v>#REF!</v>
      </c>
      <c r="E48" s="597" t="e">
        <f>COUNTIFS(SurveyDATA!#REF!,"ISF",SurveyDATA!E:E,"*VALENZUELA*",SurveyDATA!E:E,"*MALINTA*",SurveyDATA!#REF!,"&lt;7",SurveyDATA!#REF!,"&gt;4")</f>
        <v>#REF!</v>
      </c>
      <c r="F48" s="597" t="e">
        <f>COUNTIFS(SurveyDATA!#REF!,"ISF",SurveyDATA!E:E,"*VALENZUELA*",SurveyDATA!E:E,"*MALINTA*",SurveyDATA!#REF!,"&lt;9",SurveyDATA!#REF!,"&gt;6")</f>
        <v>#REF!</v>
      </c>
      <c r="G48" s="597" t="e">
        <f>COUNTIFS(SurveyDATA!#REF!,"ISF",SurveyDATA!E:E,"*MEYCAUAYAN*",SurveyDATA!E:E,"*MALINTA*",SurveyDATA!#REF!,"&gt;8")</f>
        <v>#REF!</v>
      </c>
      <c r="H48" s="599" t="e">
        <f t="shared" si="3"/>
        <v>#REF!</v>
      </c>
      <c r="P48" s="728" t="s">
        <v>5493</v>
      </c>
      <c r="Q48" s="587" t="e">
        <f>COUNTIFS(SurveyDATA!#REF!,"ISF",SurveyDATA!E:E,"*CALOOCAN*",SurveyDATA!#REF!,"&gt;0",SurveyDATA!GP:GP,"X")</f>
        <v>#REF!</v>
      </c>
      <c r="R48" s="587" t="e">
        <f>COUNTIFS(SurveyDATA!#REF!,"ISF",SurveyDATA!E:E,"*CALOOCAN*",SurveyDATA!#REF!,"&gt;0",SurveyDATA!GQ:GQ,"X")</f>
        <v>#REF!</v>
      </c>
      <c r="S48" s="587" t="e">
        <f>COUNTIFS(SurveyDATA!#REF!,"ISF",SurveyDATA!E:E,"*MALOLOS*",SurveyDATA!#REF!,"&gt;0",SurveyDATA!GR:GR,"X")</f>
        <v>#REF!</v>
      </c>
      <c r="T48" s="587" t="e">
        <f>COUNTIFS(SurveyDATA!#REF!,"ISF",SurveyDATA!E:E,"*CALOOCAN*",SurveyDATA!#REF!,"&gt;0",SurveyDATA!GS:GS,"X")</f>
        <v>#REF!</v>
      </c>
      <c r="U48" s="587" t="e">
        <f>COUNTIFS(SurveyDATA!#REF!,"ISF",SurveyDATA!E:E,"*CALOOCAN*",SurveyDATA!#REF!,"&gt;0",SurveyDATA!GT:GT,"X")</f>
        <v>#REF!</v>
      </c>
      <c r="V48" s="587" t="e">
        <f>COUNTIFS(SurveyDATA!#REF!,"ISF",SurveyDATA!E:E,"*CAOOCAN*",SurveyDATA!#REF!,"&gt;0",SurveyDATA!GU:GU,"X")</f>
        <v>#REF!</v>
      </c>
      <c r="W48" s="587" t="e">
        <f t="shared" si="4"/>
        <v>#REF!</v>
      </c>
    </row>
    <row r="49" spans="1:25" ht="15.75" thickBot="1">
      <c r="A49" s="572"/>
      <c r="B49" s="574" t="s">
        <v>7216</v>
      </c>
      <c r="C49" s="575" t="e">
        <f>SUM(C46:C48)</f>
        <v>#REF!</v>
      </c>
      <c r="D49" s="575" t="e">
        <f>SUM(D46:D48)</f>
        <v>#REF!</v>
      </c>
      <c r="E49" s="575" t="e">
        <f>SUM(E46:E48)</f>
        <v>#REF!</v>
      </c>
      <c r="F49" s="575" t="e">
        <f>SUM(F46:F48)</f>
        <v>#REF!</v>
      </c>
      <c r="G49" s="575" t="e">
        <f>SUM(G46:G48)</f>
        <v>#REF!</v>
      </c>
      <c r="H49" s="599" t="e">
        <f t="shared" si="3"/>
        <v>#REF!</v>
      </c>
      <c r="P49" s="728" t="s">
        <v>1020</v>
      </c>
      <c r="Q49" s="587" t="e">
        <f>COUNTIFS(SurveyDATA!#REF!,"ISF",SurveyDATA!E:E,"*MANILA*",SurveyDATA!#REF!,"&gt;0",SurveyDATA!GP:GP,"X")</f>
        <v>#REF!</v>
      </c>
      <c r="R49" s="587" t="e">
        <f>COUNTIFS(SurveyDATA!#REF!,"ISF",SurveyDATA!E:E,"*MANILA*",SurveyDATA!#REF!,"&gt;0",SurveyDATA!GQ:GQ,"X")</f>
        <v>#REF!</v>
      </c>
      <c r="S49" s="587" t="e">
        <f>COUNTIFS(SurveyDATA!#REF!,"ISF",SurveyDATA!E:E,"*MALOLOS*",SurveyDATA!#REF!,"&gt;0",SurveyDATA!GR:GR,"X")</f>
        <v>#REF!</v>
      </c>
      <c r="T49" s="587" t="e">
        <f>COUNTIFS(SurveyDATA!#REF!,"ISF",SurveyDATA!E:E,"*MANILA*",SurveyDATA!#REF!,"&gt;0",SurveyDATA!GS:GS,"X")</f>
        <v>#REF!</v>
      </c>
      <c r="U49" s="587" t="e">
        <f>COUNTIFS(SurveyDATA!#REF!,"ISF",SurveyDATA!E:E,"*MANILA*",SurveyDATA!#REF!,"&gt;0",SurveyDATA!GT:GT,"X")</f>
        <v>#REF!</v>
      </c>
      <c r="V49" s="587" t="e">
        <f>COUNTIFS(SurveyDATA!#REF!,"ISF",SurveyDATA!E:E,"*MANILA*",SurveyDATA!#REF!,"&gt;0",SurveyDATA!GU:GU,"X")</f>
        <v>#REF!</v>
      </c>
      <c r="W49" s="587" t="e">
        <f t="shared" si="4"/>
        <v>#REF!</v>
      </c>
    </row>
    <row r="50" spans="1:25" ht="15.75" thickBot="1">
      <c r="A50" s="572" t="s">
        <v>5493</v>
      </c>
      <c r="B50" s="573" t="s">
        <v>5393</v>
      </c>
      <c r="C50" s="597" t="e">
        <f>COUNTIFS(SurveyDATA!#REF!,"ISF",SurveyDATA!E:E,"*CALOOCAN*",SurveyDATA!E:E,"*BRGY.15 CAL*",SurveyDATA!#REF!,"&lt;3")</f>
        <v>#REF!</v>
      </c>
      <c r="D50" s="597" t="e">
        <f>COUNTIFS(SurveyDATA!#REF!,"ISF",SurveyDATA!F:F,"*CALOOCAN*",SurveyDATA!F:F,"*BRGY.15 CAL*",SurveyDATA!#REF!,"&lt;5",SurveyDATA!#REF!,"&gt;2")</f>
        <v>#REF!</v>
      </c>
      <c r="E50" s="597" t="e">
        <f>COUNTIFS(SurveyDATA!#REF!,"ISF",SurveyDATA!E:E,"*CALOOCAN*",SurveyDATA!E:E,"*BRGY.15*",SurveyDATA!#REF!,"&lt;7",SurveyDATA!#REF!,"&gt;4")</f>
        <v>#REF!</v>
      </c>
      <c r="F50" s="597" t="e">
        <f>COUNTIFS(SurveyDATA!#REF!,"ISF",SurveyDATA!E:E,"*CALOOCAN*",SurveyDATA!E:E,"*BRGY.15*",SurveyDATA!#REF!,"&lt;9",SurveyDATA!#REF!,"&gt;6")</f>
        <v>#REF!</v>
      </c>
      <c r="G50" s="597" t="e">
        <f>COUNTIFS(SurveyDATA!#REF!,"ISF",SurveyDATA!E:E,"*CALOOCAN*",SurveyDATA!E:E,"*BRGY.15*",SurveyDATA!#REF!,"&gt;8")</f>
        <v>#REF!</v>
      </c>
      <c r="H50" s="599" t="e">
        <f t="shared" si="3"/>
        <v>#REF!</v>
      </c>
      <c r="P50" s="588" t="s">
        <v>2034</v>
      </c>
      <c r="Q50" s="619" t="e">
        <f>SUM(Q41:Q49)</f>
        <v>#REF!</v>
      </c>
      <c r="R50" s="619" t="e">
        <f t="shared" ref="R50:W50" si="5">SUM(R41:R49)</f>
        <v>#REF!</v>
      </c>
      <c r="S50" s="619" t="e">
        <f t="shared" si="5"/>
        <v>#REF!</v>
      </c>
      <c r="T50" s="619" t="e">
        <f t="shared" si="5"/>
        <v>#REF!</v>
      </c>
      <c r="U50" s="619" t="e">
        <f t="shared" si="5"/>
        <v>#REF!</v>
      </c>
      <c r="V50" s="619" t="e">
        <f t="shared" si="5"/>
        <v>#REF!</v>
      </c>
      <c r="W50" s="619" t="e">
        <f t="shared" si="5"/>
        <v>#REF!</v>
      </c>
    </row>
    <row r="51" spans="1:25" ht="15.75" thickBot="1">
      <c r="A51" s="572"/>
      <c r="B51" s="573" t="s">
        <v>5395</v>
      </c>
      <c r="C51" s="597" t="e">
        <f>COUNTIFS(SurveyDATA!#REF!,"ISF",SurveyDATA!E:E,"*CALOOCAN*",SurveyDATA!E:E,"*BRGY.17 CAL*",SurveyDATA!#REF!,"&lt;3")</f>
        <v>#REF!</v>
      </c>
      <c r="D51" s="597" t="e">
        <f>COUNTIFS(SurveyDATA!#REF!,"ISF",SurveyDATA!F:F,"*CALOOCAN*",SurveyDATA!F:F,"*BRGY.17 CAL*",SurveyDATA!#REF!,"&lt;5",SurveyDATA!#REF!,"&gt;2")</f>
        <v>#REF!</v>
      </c>
      <c r="E51" s="597" t="e">
        <f>COUNTIFS(SurveyDATA!#REF!,"ISF",SurveyDATA!E:E,"*CALOOCAN*",SurveyDATA!E:E,"*BRGY.17*",SurveyDATA!#REF!,"&lt;7",SurveyDATA!#REF!,"&gt;4")</f>
        <v>#REF!</v>
      </c>
      <c r="F51" s="597" t="e">
        <f>COUNTIFS(SurveyDATA!#REF!,"ISF",SurveyDATA!E:E,"*CALOOCAN*",SurveyDATA!E:E,"*BRGY.17*",SurveyDATA!#REF!,"&lt;9",SurveyDATA!#REF!,"&gt;6")</f>
        <v>#REF!</v>
      </c>
      <c r="G51" s="597" t="e">
        <f>COUNTIFS(SurveyDATA!#REF!,"ISF",SurveyDATA!E:E,"*CALOOCAN*",SurveyDATA!E:E,"*BRGY.17*",SurveyDATA!#REF!,"&gt;8")</f>
        <v>#REF!</v>
      </c>
      <c r="H51" s="599" t="e">
        <f t="shared" si="3"/>
        <v>#REF!</v>
      </c>
      <c r="P51" s="590" t="s">
        <v>7243</v>
      </c>
      <c r="Q51" s="702" t="e">
        <f>Q50/W50</f>
        <v>#REF!</v>
      </c>
      <c r="R51" s="702" t="e">
        <f>R50/W50</f>
        <v>#REF!</v>
      </c>
      <c r="S51" s="702" t="e">
        <f>S50/W50</f>
        <v>#REF!</v>
      </c>
      <c r="T51" s="702" t="e">
        <f>T50/W50</f>
        <v>#REF!</v>
      </c>
      <c r="U51" s="702" t="e">
        <f>U50/W50</f>
        <v>#REF!</v>
      </c>
      <c r="V51" s="702" t="e">
        <f>V50/W50</f>
        <v>#REF!</v>
      </c>
      <c r="W51" s="702" t="e">
        <f>SUM(R51:V51)</f>
        <v>#REF!</v>
      </c>
    </row>
    <row r="52" spans="1:25">
      <c r="A52" s="572"/>
      <c r="B52" s="573" t="s">
        <v>5394</v>
      </c>
      <c r="C52" s="597" t="e">
        <f>COUNTIFS(SurveyDATA!#REF!,"ISF",SurveyDATA!E:E,"*CALOOCAN*",SurveyDATA!E:E,"*BRGY.19 CAL*",SurveyDATA!#REF!,"&lt;3")</f>
        <v>#REF!</v>
      </c>
      <c r="D52" s="597" t="e">
        <f>COUNTIFS(SurveyDATA!#REF!,"ISF",SurveyDATA!F:F,"*CALOOCAN*",SurveyDATA!F:F,"*BRGY.21 CAL*",SurveyDATA!#REF!,"&lt;5",SurveyDATA!#REF!,"&gt;2")</f>
        <v>#REF!</v>
      </c>
      <c r="E52" s="597" t="e">
        <f>COUNTIFS(SurveyDATA!#REF!,"ISF",SurveyDATA!E:E,"*CALOOCAN*",SurveyDATA!E:E,"*BRGY.19*",SurveyDATA!#REF!,"&lt;7",SurveyDATA!#REF!,"&gt;4")</f>
        <v>#REF!</v>
      </c>
      <c r="F52" s="597" t="e">
        <f>COUNTIFS(SurveyDATA!#REF!,"ISF",SurveyDATA!E:E,"*CALOOCAN*",SurveyDATA!E:E,"*BRGY.19*",SurveyDATA!#REF!,"&lt;9",SurveyDATA!#REF!,"&gt;6")</f>
        <v>#REF!</v>
      </c>
      <c r="G52" s="597" t="e">
        <f>COUNTIFS(SurveyDATA!#REF!,"ISF",SurveyDATA!E:E,"*CALOOCAN*",SurveyDATA!E:E,"*BRGY.19*",SurveyDATA!#REF!,"&gt;8")</f>
        <v>#REF!</v>
      </c>
      <c r="H52" s="599" t="e">
        <f t="shared" si="3"/>
        <v>#REF!</v>
      </c>
    </row>
    <row r="53" spans="1:25">
      <c r="A53" s="572"/>
      <c r="B53" s="573" t="s">
        <v>5396</v>
      </c>
      <c r="C53" s="597" t="e">
        <f>COUNTIFS(SurveyDATA!#REF!,"ISF",SurveyDATA!E:E,"*CALOOCAN*",SurveyDATA!E:E,"*BRGY.21 CAL*",SurveyDATA!#REF!,"&lt;3")</f>
        <v>#REF!</v>
      </c>
      <c r="D53" s="597" t="e">
        <f>COUNTIFS(SurveyDATA!#REF!,"ISF",SurveyDATA!F:F,"*CALOOCAN*",SurveyDATA!F:F,"*BRGY.21 CAL*",SurveyDATA!#REF!,"&lt;5",SurveyDATA!#REF!,"&gt;2")</f>
        <v>#REF!</v>
      </c>
      <c r="E53" s="597" t="e">
        <f>COUNTIFS(SurveyDATA!#REF!,"ISF",SurveyDATA!E:E,"*CALOOCAN*",SurveyDATA!E:E,"*BRGY.21*",SurveyDATA!#REF!,"&lt;7",SurveyDATA!#REF!,"&gt;4")</f>
        <v>#REF!</v>
      </c>
      <c r="F53" s="597" t="e">
        <f>COUNTIFS(SurveyDATA!#REF!,"ISF",SurveyDATA!E:E,"*CALOOCAN*",SurveyDATA!E:E,"*BRGY.21*",SurveyDATA!#REF!,"&lt;9",SurveyDATA!#REF!,"&gt;6")</f>
        <v>#REF!</v>
      </c>
      <c r="G53" s="597" t="e">
        <f>COUNTIFS(SurveyDATA!#REF!,"ISF",SurveyDATA!E:E,"*CALOOCAN*",SurveyDATA!E:E,"*BRGY.21*",SurveyDATA!#REF!,"&gt;8")</f>
        <v>#REF!</v>
      </c>
      <c r="H53" s="599" t="e">
        <f t="shared" si="3"/>
        <v>#REF!</v>
      </c>
    </row>
    <row r="54" spans="1:25">
      <c r="A54" s="572"/>
      <c r="B54" s="573" t="s">
        <v>5397</v>
      </c>
      <c r="C54" s="597" t="e">
        <f>COUNTIFS(SurveyDATA!#REF!,"ISF",SurveyDATA!E:E,"*CALOOCAN*",SurveyDATA!E:E,"*BRGY.25 CAL*",SurveyDATA!#REF!,"&lt;3")</f>
        <v>#REF!</v>
      </c>
      <c r="D54" s="597" t="e">
        <f>COUNTIFS(SurveyDATA!#REF!,"ISF",SurveyDATA!F:F,"*CALOOCAN*",SurveyDATA!F:F,"*BRGY.25 CAL*",SurveyDATA!#REF!,"&lt;5",SurveyDATA!#REF!,"&gt;2")</f>
        <v>#REF!</v>
      </c>
      <c r="E54" s="597" t="e">
        <f>COUNTIFS(SurveyDATA!#REF!,"ISF",SurveyDATA!E:E,"*CALOOCAN*",SurveyDATA!E:E,"*BRGY.25*",SurveyDATA!#REF!,"&lt;7",SurveyDATA!#REF!,"&gt;4")</f>
        <v>#REF!</v>
      </c>
      <c r="F54" s="597" t="e">
        <f>COUNTIFS(SurveyDATA!#REF!,"ISF",SurveyDATA!E:E,"*CALOOCAN*",SurveyDATA!E:E,"*BRGY.25*",SurveyDATA!#REF!,"&lt;9",SurveyDATA!#REF!,"&gt;6")</f>
        <v>#REF!</v>
      </c>
      <c r="G54" s="597" t="e">
        <f>COUNTIFS(SurveyDATA!#REF!,"ISF",SurveyDATA!E:E,"*CALOOCAN*",SurveyDATA!E:E,"*BRGY.25*",SurveyDATA!#REF!,"&gt;8")</f>
        <v>#REF!</v>
      </c>
      <c r="H54" s="599" t="e">
        <f t="shared" si="3"/>
        <v>#REF!</v>
      </c>
      <c r="P54" s="635" t="s">
        <v>7383</v>
      </c>
    </row>
    <row r="55" spans="1:25" ht="15.75" thickBot="1">
      <c r="A55" s="572"/>
      <c r="B55" s="573" t="s">
        <v>5398</v>
      </c>
      <c r="C55" s="597" t="e">
        <f>COUNTIFS(SurveyDATA!#REF!,"ISF",SurveyDATA!E:E,"*CALOOCAN*",SurveyDATA!E:E,"*BRGY.29 CAL*",SurveyDATA!#REF!,"&lt;3")</f>
        <v>#REF!</v>
      </c>
      <c r="D55" s="597" t="e">
        <f>COUNTIFS(SurveyDATA!#REF!,"ISF",SurveyDATA!F:F,"*CALOOCAN*",SurveyDATA!F:F,"*BRGY.29 CAL*",SurveyDATA!#REF!,"&lt;5",SurveyDATA!#REF!,"&gt;2")</f>
        <v>#REF!</v>
      </c>
      <c r="E55" s="597" t="e">
        <f>COUNTIFS(SurveyDATA!#REF!,"ISF",SurveyDATA!E:E,"*CALOOCAN*",SurveyDATA!E:E,"*BRGY.29*",SurveyDATA!#REF!,"&lt;7",SurveyDATA!#REF!,"&gt;4")</f>
        <v>#REF!</v>
      </c>
      <c r="F55" s="597" t="e">
        <f>COUNTIFS(SurveyDATA!#REF!,"ISF",SurveyDATA!E:E,"*CALOOCAN*",SurveyDATA!E:E,"*BRGY.29*",SurveyDATA!#REF!,"&lt;9",SurveyDATA!#REF!,"&gt;6")</f>
        <v>#REF!</v>
      </c>
      <c r="G55" s="597" t="e">
        <f>COUNTIFS(SurveyDATA!#REF!,"ISF",SurveyDATA!E:E,"*CALOOCAN*",SurveyDATA!E:E,"*BRGY.29*",SurveyDATA!#REF!,"&gt;8")</f>
        <v>#REF!</v>
      </c>
      <c r="H55" s="599" t="e">
        <f t="shared" si="3"/>
        <v>#REF!</v>
      </c>
    </row>
    <row r="56" spans="1:25" ht="15.75" thickBot="1">
      <c r="A56" s="572"/>
      <c r="B56" s="573" t="s">
        <v>5399</v>
      </c>
      <c r="C56" s="597" t="e">
        <f>COUNTIFS(SurveyDATA!#REF!,"ISF",SurveyDATA!E:E,"*CALOOCAN*",SurveyDATA!E:E,"*BRGY.32 CAL*",SurveyDATA!#REF!,"&lt;3")</f>
        <v>#REF!</v>
      </c>
      <c r="D56" s="597" t="e">
        <f>COUNTIFS(SurveyDATA!#REF!,"ISF",SurveyDATA!F:F,"*CALOOCAN*",SurveyDATA!F:F,"*BRGY.32 CAL*",SurveyDATA!#REF!,"&lt;5",SurveyDATA!#REF!,"&gt;2")</f>
        <v>#REF!</v>
      </c>
      <c r="E56" s="597" t="e">
        <f>COUNTIFS(SurveyDATA!#REF!,"ISF",SurveyDATA!E:E,"*CALOOCAN*",SurveyDATA!E:E,"*BRGY.32*",SurveyDATA!#REF!,"&lt;7",SurveyDATA!#REF!,"&gt;4")</f>
        <v>#REF!</v>
      </c>
      <c r="F56" s="597" t="e">
        <f>COUNTIFS(SurveyDATA!#REF!,"ISF",SurveyDATA!E:E,"*CALOOCAN*",SurveyDATA!E:E,"*BRGY.32*",SurveyDATA!#REF!,"&lt;9",SurveyDATA!#REF!,"&gt;6")</f>
        <v>#REF!</v>
      </c>
      <c r="G56" s="597" t="e">
        <f>COUNTIFS(SurveyDATA!#REF!,"ISF",SurveyDATA!E:E,"*CALOOCAN*",SurveyDATA!E:E,"*BRGY.32*",SurveyDATA!#REF!,"&gt;8")</f>
        <v>#REF!</v>
      </c>
      <c r="H56" s="599" t="e">
        <f t="shared" si="3"/>
        <v>#REF!</v>
      </c>
      <c r="P56" s="584" t="s">
        <v>7390</v>
      </c>
      <c r="Q56" s="584" t="s">
        <v>7384</v>
      </c>
      <c r="R56" s="584" t="s">
        <v>7385</v>
      </c>
      <c r="S56" s="584" t="s">
        <v>7386</v>
      </c>
      <c r="T56" s="584" t="s">
        <v>7387</v>
      </c>
      <c r="U56" s="584" t="s">
        <v>7388</v>
      </c>
      <c r="V56" s="584" t="s">
        <v>1783</v>
      </c>
      <c r="W56" s="584" t="s">
        <v>1784</v>
      </c>
      <c r="X56" s="584" t="s">
        <v>7391</v>
      </c>
      <c r="Y56" s="584" t="s">
        <v>1977</v>
      </c>
    </row>
    <row r="57" spans="1:25" ht="15.75" thickBot="1">
      <c r="A57" s="572"/>
      <c r="B57" s="573" t="s">
        <v>5400</v>
      </c>
      <c r="C57" s="597" t="e">
        <f>COUNTIFS(SurveyDATA!#REF!,"ISF",SurveyDATA!E:E,"*CALOOCAN*",SurveyDATA!E:E,"*BRGY.33 CAL*",SurveyDATA!#REF!,"&lt;3")</f>
        <v>#REF!</v>
      </c>
      <c r="D57" s="597" t="e">
        <f>COUNTIFS(SurveyDATA!#REF!,"ISF",SurveyDATA!F:F,"*CALOOCAN*",SurveyDATA!F:F,"*BRGY.33 CAL*",SurveyDATA!#REF!,"&lt;5",SurveyDATA!#REF!,"&gt;2")</f>
        <v>#REF!</v>
      </c>
      <c r="E57" s="597" t="e">
        <f>COUNTIFS(SurveyDATA!#REF!,"ISF",SurveyDATA!E:E,"*CALOOCAN*",SurveyDATA!E:E,"*BRGY.32*",SurveyDATA!#REF!,"&lt;7",SurveyDATA!#REF!,"&gt;4")</f>
        <v>#REF!</v>
      </c>
      <c r="F57" s="597" t="e">
        <f>COUNTIFS(SurveyDATA!#REF!,"ISF",SurveyDATA!E:E,"*CALOOCAN*",SurveyDATA!E:E,"*BRGY.33*",SurveyDATA!#REF!,"&lt;9",SurveyDATA!#REF!,"&gt;6")</f>
        <v>#REF!</v>
      </c>
      <c r="G57" s="597" t="e">
        <f>COUNTIFS(SurveyDATA!#REF!,"ISF",SurveyDATA!E:E,"*CALOOCAN*",SurveyDATA!E:E,"*BRGY.33*",SurveyDATA!#REF!,"&gt;8")</f>
        <v>#REF!</v>
      </c>
      <c r="H57" s="599" t="e">
        <f t="shared" si="3"/>
        <v>#REF!</v>
      </c>
      <c r="P57" s="728" t="s">
        <v>5848</v>
      </c>
      <c r="Q57" s="587" t="e">
        <f>COUNTIFS(SurveyDATA!#REF!,"ISF",SurveyDATA!E:E,"*MALOLOS*",SurveyDATA!#REF!,"&gt;0",SurveyDATA!GY:GY,"X")</f>
        <v>#REF!</v>
      </c>
      <c r="R57" s="587" t="e">
        <f>COUNTIFS(SurveyDATA!#REF!,"ISF",SurveyDATA!E:E,"*MALOLOS*",SurveyDATA!#REF!,"&gt;0",SurveyDATA!GZ:GZ,"X")</f>
        <v>#REF!</v>
      </c>
      <c r="S57" s="587" t="e">
        <f>COUNTIFS(SurveyDATA!#REF!,"ISF",SurveyDATA!E:E,"*MALOLOS*",SurveyDATA!#REF!,"&gt;0",SurveyDATA!HA:HA,"X")</f>
        <v>#REF!</v>
      </c>
      <c r="T57" s="587" t="e">
        <f>COUNTIFS(SurveyDATA!#REF!,"ISF",SurveyDATA!E:E,"*MALOLOS*",SurveyDATA!#REF!,"&gt;0",SurveyDATA!HB:HB,"X")</f>
        <v>#REF!</v>
      </c>
      <c r="U57" s="587" t="e">
        <f>COUNTIFS(SurveyDATA!#REF!,"ISF",SurveyDATA!E:E,"*MALOLOS*",SurveyDATA!#REF!,"&gt;0",SurveyDATA!HC:HC,"X")</f>
        <v>#REF!</v>
      </c>
      <c r="V57" s="587" t="e">
        <f>COUNTIFS(SurveyDATA!#REF!,"ISF",SurveyDATA!E:E,"*MALOLOS*",SurveyDATA!#REF!,"&gt;0",SurveyDATA!HD:HD,"X")</f>
        <v>#REF!</v>
      </c>
      <c r="W57" s="587" t="e">
        <f>COUNTIFS(SurveyDATA!#REF!,"ISF",SurveyDATA!E:E,"*MALOLOS*",SurveyDATA!#REF!,"&gt;0",SurveyDATA!HE:HE,"X")</f>
        <v>#REF!</v>
      </c>
      <c r="X57" s="587" t="e">
        <f>COUNTIFS(SurveyDATA!#REF!,"ISF",SurveyDATA!E:E,"*MALOLOS*",SurveyDATA!#REF!,"&gt;0",SurveyDATA!HF:HF,"X")</f>
        <v>#REF!</v>
      </c>
      <c r="Y57" s="587" t="e">
        <f>COUNTIFS(SurveyDATA!#REF!,"ISF",SurveyDATA!E:E,"*MALOLOS*",SurveyDATA!#REF!,"&gt;0",SurveyDATA!HG:HG,"X")</f>
        <v>#REF!</v>
      </c>
    </row>
    <row r="58" spans="1:25" ht="15.75" thickBot="1">
      <c r="A58" s="572"/>
      <c r="B58" s="574" t="s">
        <v>7216</v>
      </c>
      <c r="C58" s="575" t="e">
        <f>SUM(C50:C57)</f>
        <v>#REF!</v>
      </c>
      <c r="D58" s="575" t="e">
        <f>SUM(D50:D57)</f>
        <v>#REF!</v>
      </c>
      <c r="E58" s="575" t="e">
        <f>SUM(E50:E57)</f>
        <v>#REF!</v>
      </c>
      <c r="F58" s="575" t="e">
        <f>SUM(F50:F57)</f>
        <v>#REF!</v>
      </c>
      <c r="G58" s="575" t="e">
        <f>SUM(G50:G57)</f>
        <v>#REF!</v>
      </c>
      <c r="H58" s="599" t="e">
        <f t="shared" si="3"/>
        <v>#REF!</v>
      </c>
      <c r="P58" s="728" t="s">
        <v>5494</v>
      </c>
      <c r="Q58" s="587" t="e">
        <f>COUNTIFS(SurveyDATA!#REF!,"ISF",SurveyDATA!E:E,"*GUIGUINTO*",SurveyDATA!#REF!,"&gt;0",SurveyDATA!GY:GY,"X")</f>
        <v>#REF!</v>
      </c>
      <c r="R58" s="587" t="e">
        <f>COUNTIFS(SurveyDATA!#REF!,"ISF",SurveyDATA!E:E,"*GUIGUINTO*",SurveyDATA!#REF!,"&gt;0",SurveyDATA!GZ:GZ,"X")</f>
        <v>#REF!</v>
      </c>
      <c r="S58" s="587" t="e">
        <f>COUNTIFS(SurveyDATA!#REF!,"ISF",SurveyDATA!E:E,"*GUIGUINTO*",SurveyDATA!#REF!,"&gt;0",SurveyDATA!HA:HA,"X")</f>
        <v>#REF!</v>
      </c>
      <c r="T58" s="587" t="e">
        <f>COUNTIFS(SurveyDATA!#REF!,"ISF",SurveyDATA!E:E,"*GUIGUINTO*",SurveyDATA!#REF!,"&gt;0",SurveyDATA!HB:HB,"X")</f>
        <v>#REF!</v>
      </c>
      <c r="U58" s="587" t="e">
        <f>COUNTIFS(SurveyDATA!#REF!,"ISF",SurveyDATA!E:E,"*GUIGUINTO*",SurveyDATA!#REF!,"&gt;0",SurveyDATA!HC:HC,"X")</f>
        <v>#REF!</v>
      </c>
      <c r="V58" s="587" t="e">
        <f>COUNTIFS(SurveyDATA!#REF!,"ISF",SurveyDATA!E:E,"*GUIGUINTO*",SurveyDATA!#REF!,"&gt;0",SurveyDATA!HD:HD,"X")</f>
        <v>#REF!</v>
      </c>
      <c r="W58" s="587" t="e">
        <f>COUNTIFS(SurveyDATA!#REF!,"ISF",SurveyDATA!E:E,"*GUIGUINTO*",SurveyDATA!#REF!,"&gt;0",SurveyDATA!HE:HE,"X")</f>
        <v>#REF!</v>
      </c>
      <c r="X58" s="587" t="e">
        <f>COUNTIFS(SurveyDATA!#REF!,"ISF",SurveyDATA!E:E,"*GUIGUINTO*",SurveyDATA!#REF!,"&gt;0",SurveyDATA!HF:HF,"X")</f>
        <v>#REF!</v>
      </c>
      <c r="Y58" s="587" t="e">
        <f>COUNTIFS(SurveyDATA!#REF!,"ISF",SurveyDATA!E:E,"*GUIGUINTO*",SurveyDATA!#REF!,"&gt;0",SurveyDATA!HG:HG,"X")</f>
        <v>#REF!</v>
      </c>
    </row>
    <row r="59" spans="1:25" ht="15.75" thickBot="1">
      <c r="A59" s="572" t="s">
        <v>1020</v>
      </c>
      <c r="B59" s="573" t="s">
        <v>5800</v>
      </c>
      <c r="C59" s="597" t="e">
        <f>COUNTIFS(SurveyDATA!#REF!,"ISF",SurveyDATA!E:E,"*MANILA*",SurveyDATA!E:E,"*BRGY.50*",SurveyDATA!#REF!,"&lt;3")</f>
        <v>#REF!</v>
      </c>
      <c r="D59" s="597" t="e">
        <f>COUNTIFS(SurveyDATA!#REF!,"ISF",SurveyDATA!F:F,"*MANILA*",SurveyDATA!F:F,"*BRGY.50*",SurveyDATA!#REF!,"&lt;5",SurveyDATA!#REF!,"&gt;2")</f>
        <v>#REF!</v>
      </c>
      <c r="E59" s="597" t="e">
        <f>COUNTIFS(SurveyDATA!#REF!,"ISF",SurveyDATA!E:E,"*MANILA*",SurveyDATA!E:E,"*BRGY.50*",SurveyDATA!#REF!,"&lt;7",SurveyDATA!#REF!,"&gt;4")</f>
        <v>#REF!</v>
      </c>
      <c r="F59" s="597" t="e">
        <f>COUNTIFS(SurveyDATA!#REF!,"ISF",SurveyDATA!E:E,"*MANILA*",SurveyDATA!E:E,"*BRGY.50*",SurveyDATA!#REF!,"&lt;9",SurveyDATA!#REF!,"&gt;6")</f>
        <v>#REF!</v>
      </c>
      <c r="G59" s="597" t="e">
        <f>COUNTIFS(SurveyDATA!#REF!,"ISF",SurveyDATA!E:E,"*MANILA*",SurveyDATA!E:E,"*BRGY.50*",SurveyDATA!#REF!,"&gt;8")</f>
        <v>#REF!</v>
      </c>
      <c r="H59" s="599" t="e">
        <f t="shared" si="3"/>
        <v>#REF!</v>
      </c>
      <c r="P59" s="728" t="s">
        <v>5847</v>
      </c>
      <c r="Q59" s="587" t="e">
        <f>COUNTIFS(SurveyDATA!#REF!,"ISF",SurveyDATA!E:E,"*BALAGTAS*",SurveyDATA!#REF!,"&gt;0",SurveyDATA!GY:GY,"X")</f>
        <v>#REF!</v>
      </c>
      <c r="R59" s="587" t="e">
        <f>COUNTIFS(SurveyDATA!#REF!,"ISF",SurveyDATA!E:E,"*BALAGTAS*",SurveyDATA!#REF!,"&gt;0",SurveyDATA!GZ:GZ,"X")</f>
        <v>#REF!</v>
      </c>
      <c r="S59" s="587" t="e">
        <f>COUNTIFS(SurveyDATA!#REF!,"ISF",SurveyDATA!E:E,"*BALAGTAS*",SurveyDATA!#REF!,"&gt;0",SurveyDATA!HA:HA,"X")</f>
        <v>#REF!</v>
      </c>
      <c r="T59" s="587" t="e">
        <f>COUNTIFS(SurveyDATA!#REF!,"ISF",SurveyDATA!E:E,"*BALAGTAS*",SurveyDATA!#REF!,"&gt;0",SurveyDATA!HB:HB,"X")</f>
        <v>#REF!</v>
      </c>
      <c r="U59" s="587" t="e">
        <f>COUNTIFS(SurveyDATA!#REF!,"ISF",SurveyDATA!E:E,"*BALAGTAS*",SurveyDATA!#REF!,"&gt;0",SurveyDATA!HC:HC,"X")</f>
        <v>#REF!</v>
      </c>
      <c r="V59" s="587" t="e">
        <f>COUNTIFS(SurveyDATA!#REF!,"ISF",SurveyDATA!E:E,"*BALAGTAS*",SurveyDATA!#REF!,"&gt;0",SurveyDATA!HD:HD,"X")</f>
        <v>#REF!</v>
      </c>
      <c r="W59" s="587" t="e">
        <f>COUNTIFS(SurveyDATA!#REF!,"ISF",SurveyDATA!E:E,"*BALAGTAS*",SurveyDATA!#REF!,"&gt;0",SurveyDATA!HE:HE,"X")</f>
        <v>#REF!</v>
      </c>
      <c r="X59" s="587" t="e">
        <f>COUNTIFS(SurveyDATA!#REF!,"ISF",SurveyDATA!E:E,"*BALAGTAS*",SurveyDATA!#REF!,"&gt;0",SurveyDATA!HF:HF,"X")</f>
        <v>#REF!</v>
      </c>
      <c r="Y59" s="587" t="e">
        <f>COUNTIFS(SurveyDATA!#REF!,"ISF",SurveyDATA!E:E,"*BALAGTAS*",SurveyDATA!#REF!,"&gt;0",SurveyDATA!HG:HG,"X")</f>
        <v>#REF!</v>
      </c>
    </row>
    <row r="60" spans="1:25" ht="15.75" thickBot="1">
      <c r="A60" s="572"/>
      <c r="B60" s="573" t="s">
        <v>5801</v>
      </c>
      <c r="C60" s="597" t="e">
        <f>COUNTIFS(SurveyDATA!#REF!,"ISF",SurveyDATA!E:E,"*MANILA*",SurveyDATA!E:E,"*BRGY.51*",SurveyDATA!#REF!,"&lt;3")</f>
        <v>#REF!</v>
      </c>
      <c r="D60" s="597" t="e">
        <f>COUNTIFS(SurveyDATA!#REF!,"ISF",SurveyDATA!F:F,"*MANILA*",SurveyDATA!F:F,"*BRGY.51*",SurveyDATA!#REF!,"&lt;5",SurveyDATA!#REF!,"&gt;2")</f>
        <v>#REF!</v>
      </c>
      <c r="E60" s="597" t="e">
        <f>COUNTIFS(SurveyDATA!#REF!,"ISF",SurveyDATA!E:E,"*MANILA*",SurveyDATA!E:E,"*BRGY.51*",SurveyDATA!#REF!,"&lt;7",SurveyDATA!#REF!,"&gt;4")</f>
        <v>#REF!</v>
      </c>
      <c r="F60" s="597" t="e">
        <f>COUNTIFS(SurveyDATA!#REF!,"ISF",SurveyDATA!E:E,"*MANILA*",SurveyDATA!E:E,"*BRGY.51*",SurveyDATA!#REF!,"&lt;9",SurveyDATA!#REF!,"&gt;6")</f>
        <v>#REF!</v>
      </c>
      <c r="G60" s="597" t="e">
        <f>COUNTIFS(SurveyDATA!#REF!,"ISF",SurveyDATA!E:E,"*MANILA*",SurveyDATA!E:E,"*BRGY.51*",SurveyDATA!#REF!,"&gt;8")</f>
        <v>#REF!</v>
      </c>
      <c r="H60" s="599" t="e">
        <f t="shared" si="3"/>
        <v>#REF!</v>
      </c>
      <c r="P60" s="728" t="s">
        <v>771</v>
      </c>
      <c r="Q60" s="587" t="e">
        <f>COUNTIFS(SurveyDATA!#REF!,"ISF",SurveyDATA!E:E,"*BOCAUE*",SurveyDATA!#REF!,"&gt;0",SurveyDATA!GY:GY,"X")</f>
        <v>#REF!</v>
      </c>
      <c r="R60" s="587" t="e">
        <f>COUNTIFS(SurveyDATA!#REF!,"ISF",SurveyDATA!E:E,"*BOCAUE*",SurveyDATA!#REF!,"&gt;0",SurveyDATA!GZ:GZ,"X")</f>
        <v>#REF!</v>
      </c>
      <c r="S60" s="587" t="e">
        <f>COUNTIFS(SurveyDATA!#REF!,"ISF",SurveyDATA!E:E,"*BOCAUE*",SurveyDATA!#REF!,"&gt;0",SurveyDATA!HA:HA,"X")</f>
        <v>#REF!</v>
      </c>
      <c r="T60" s="587" t="e">
        <f>COUNTIFS(SurveyDATA!#REF!,"ISF",SurveyDATA!E:E,"*BOCAUE*",SurveyDATA!#REF!,"&gt;0",SurveyDATA!HB:HB,"X")</f>
        <v>#REF!</v>
      </c>
      <c r="U60" s="587" t="e">
        <f>COUNTIFS(SurveyDATA!#REF!,"ISF",SurveyDATA!E:E,"*BOCAUE*",SurveyDATA!#REF!,"&gt;0",SurveyDATA!HC:HC,"X")</f>
        <v>#REF!</v>
      </c>
      <c r="V60" s="587" t="e">
        <f>COUNTIFS(SurveyDATA!#REF!,"ISF",SurveyDATA!E:E,"*BOCAUE*",SurveyDATA!#REF!,"&gt;0",SurveyDATA!HD:HD,"X")</f>
        <v>#REF!</v>
      </c>
      <c r="W60" s="587" t="e">
        <f>COUNTIFS(SurveyDATA!#REF!,"ISF",SurveyDATA!E:E,"*BOCAUE*",SurveyDATA!#REF!,"&gt;0",SurveyDATA!HE:HE,"X")</f>
        <v>#REF!</v>
      </c>
      <c r="X60" s="587" t="e">
        <f>COUNTIFS(SurveyDATA!#REF!,"ISF",SurveyDATA!E:E,"*BOCAUE*",SurveyDATA!#REF!,"&gt;0",SurveyDATA!HF:HF,"X")</f>
        <v>#REF!</v>
      </c>
      <c r="Y60" s="587" t="e">
        <f>COUNTIFS(SurveyDATA!#REF!,"ISF",SurveyDATA!E:E,"*BOCAUE*",SurveyDATA!#REF!,"&gt;0",SurveyDATA!HG:HG,"X")</f>
        <v>#REF!</v>
      </c>
    </row>
    <row r="61" spans="1:25" ht="15.75" thickBot="1">
      <c r="A61" s="572"/>
      <c r="B61" s="573" t="s">
        <v>5802</v>
      </c>
      <c r="C61" s="597" t="e">
        <f>COUNTIFS(SurveyDATA!#REF!,"ISF",SurveyDATA!E:E,"*MANILA*",SurveyDATA!E:E,"*BRGY.53*",SurveyDATA!#REF!,"&lt;3")</f>
        <v>#REF!</v>
      </c>
      <c r="D61" s="597" t="e">
        <f>COUNTIFS(SurveyDATA!#REF!,"ISF",SurveyDATA!F:F,"*MANILA*",SurveyDATA!F:F,"*BRGY.53*",SurveyDATA!#REF!,"&lt;5",SurveyDATA!#REF!,"&gt;2")</f>
        <v>#REF!</v>
      </c>
      <c r="E61" s="597" t="e">
        <f>COUNTIFS(SurveyDATA!#REF!,"ISF",SurveyDATA!E:E,"*MANILA*",SurveyDATA!E:E,"*BRGY.53*",SurveyDATA!#REF!,"&lt;7",SurveyDATA!#REF!,"&gt;4")</f>
        <v>#REF!</v>
      </c>
      <c r="F61" s="597" t="e">
        <f>COUNTIFS(SurveyDATA!#REF!,"ISF",SurveyDATA!E:E,"*MANILA*",SurveyDATA!E:E,"*BRGY.53*",SurveyDATA!#REF!,"&lt;9",SurveyDATA!#REF!,"&gt;6")</f>
        <v>#REF!</v>
      </c>
      <c r="G61" s="597" t="e">
        <f>COUNTIFS(SurveyDATA!#REF!,"ISF",SurveyDATA!E:E,"*MANILA*",SurveyDATA!E:E,"*BRGY.53*",SurveyDATA!#REF!,"&gt;8")</f>
        <v>#REF!</v>
      </c>
      <c r="H61" s="599" t="e">
        <f t="shared" si="3"/>
        <v>#REF!</v>
      </c>
      <c r="P61" s="728" t="s">
        <v>5495</v>
      </c>
      <c r="Q61" s="587" t="e">
        <f>COUNTIFS(SurveyDATA!#REF!,"ISF",SurveyDATA!E:E,"*MANILA*",SurveyDATA!#REF!,"&gt;0",SurveyDATA!GY:GY,"X")</f>
        <v>#REF!</v>
      </c>
      <c r="R61" s="587" t="e">
        <f>COUNTIFS(SurveyDATA!#REF!,"ISF",SurveyDATA!E:E,"*MARILAO*",SurveyDATA!#REF!,"&gt;0",SurveyDATA!GZ:GZ,"X")</f>
        <v>#REF!</v>
      </c>
      <c r="S61" s="587" t="e">
        <f>COUNTIFS(SurveyDATA!#REF!,"ISF",SurveyDATA!E:E,"*MARILAO*",SurveyDATA!#REF!,"&gt;0",SurveyDATA!HA:HA,"X")</f>
        <v>#REF!</v>
      </c>
      <c r="T61" s="587" t="e">
        <f>COUNTIFS(SurveyDATA!#REF!,"ISF",SurveyDATA!E:E,"*MARILAO*",SurveyDATA!#REF!,"&gt;0",SurveyDATA!HB:HB,"X")</f>
        <v>#REF!</v>
      </c>
      <c r="U61" s="587" t="e">
        <f>COUNTIFS(SurveyDATA!#REF!,"ISF",SurveyDATA!E:E,"*MARILAO*",SurveyDATA!#REF!,"&gt;0",SurveyDATA!HC:HC,"X")</f>
        <v>#REF!</v>
      </c>
      <c r="V61" s="587" t="e">
        <f>COUNTIFS(SurveyDATA!#REF!,"ISF",SurveyDATA!E:E,"*MARILAO*",SurveyDATA!#REF!,"&gt;0",SurveyDATA!HD:HD,"X")</f>
        <v>#REF!</v>
      </c>
      <c r="W61" s="587" t="e">
        <f>COUNTIFS(SurveyDATA!#REF!,"ISF",SurveyDATA!E:E,"*MARILAO*",SurveyDATA!#REF!,"&gt;0",SurveyDATA!HE:HE,"X")</f>
        <v>#REF!</v>
      </c>
      <c r="X61" s="587" t="e">
        <f>COUNTIFS(SurveyDATA!#REF!,"ISF",SurveyDATA!E:E,"*MARILAO*",SurveyDATA!#REF!,"&gt;0",SurveyDATA!HF:HF,"X")</f>
        <v>#REF!</v>
      </c>
      <c r="Y61" s="587" t="e">
        <f>COUNTIFS(SurveyDATA!#REF!,"ISF",SurveyDATA!E:E,"*MARILAO*",SurveyDATA!#REF!,"&gt;0",SurveyDATA!HG:HG,"X")</f>
        <v>#REF!</v>
      </c>
    </row>
    <row r="62" spans="1:25" ht="15.75" thickBot="1">
      <c r="A62" s="572"/>
      <c r="B62" s="573" t="s">
        <v>5407</v>
      </c>
      <c r="C62" s="597" t="e">
        <f>COUNTIFS(SurveyDATA!#REF!,"ISF",SurveyDATA!E:E,"*MANILA*",SurveyDATA!E:E,"*BRGY.152*",SurveyDATA!#REF!,"&lt;3")</f>
        <v>#REF!</v>
      </c>
      <c r="D62" s="597" t="e">
        <f>COUNTIFS(SurveyDATA!#REF!,"ISF",SurveyDATA!F:F,"*MANILA*",SurveyDATA!F:F,"*BRGY.152*",SurveyDATA!#REF!,"&lt;5",SurveyDATA!#REF!,"&gt;2")</f>
        <v>#REF!</v>
      </c>
      <c r="E62" s="597" t="e">
        <f>COUNTIFS(SurveyDATA!#REF!,"ISF",SurveyDATA!E:E,"*MANILA*",SurveyDATA!E:E,"*BRGY.152*",SurveyDATA!#REF!,"&lt;7",SurveyDATA!#REF!,"&gt;4")</f>
        <v>#REF!</v>
      </c>
      <c r="F62" s="597" t="e">
        <f>COUNTIFS(SurveyDATA!#REF!,"ISF",SurveyDATA!E:E,"*MANILA*",SurveyDATA!E:E,"*BRGY.55*",SurveyDATA!#REF!,"&lt;9",SurveyDATA!#REF!,"&gt;6")</f>
        <v>#REF!</v>
      </c>
      <c r="G62" s="597" t="e">
        <f>COUNTIFS(SurveyDATA!#REF!,"ISF",SurveyDATA!E:E,"*MANILA*",SurveyDATA!E:E,"*BRGY.52*",SurveyDATA!#REF!,"&gt;8")</f>
        <v>#REF!</v>
      </c>
      <c r="H62" s="599" t="e">
        <f t="shared" si="3"/>
        <v>#REF!</v>
      </c>
      <c r="P62" s="728" t="s">
        <v>5496</v>
      </c>
      <c r="Q62" s="587" t="e">
        <f>COUNTIFS(SurveyDATA!#REF!,"ISF",SurveyDATA!E:E,"*MEYCAUAYAN*",SurveyDATA!#REF!,"&gt;0",SurveyDATA!GY:GY,"X")</f>
        <v>#REF!</v>
      </c>
      <c r="R62" s="587" t="e">
        <f>COUNTIFS(SurveyDATA!#REF!,"ISF",SurveyDATA!E:E,"*MEYCAUAYAN*",SurveyDATA!#REF!,"&gt;0",SurveyDATA!GZ:GZ,"X")</f>
        <v>#REF!</v>
      </c>
      <c r="S62" s="587" t="e">
        <f>COUNTIFS(SurveyDATA!#REF!,"ISF",SurveyDATA!E:E,"*MEYCAUAYAN*",SurveyDATA!#REF!,"&gt;0",SurveyDATA!HA:HA,"X")</f>
        <v>#REF!</v>
      </c>
      <c r="T62" s="587" t="e">
        <f>COUNTIFS(SurveyDATA!#REF!,"ISF",SurveyDATA!E:E,"*MEYCAUAYAN*",SurveyDATA!#REF!,"&gt;0",SurveyDATA!HB:HB,"X")</f>
        <v>#REF!</v>
      </c>
      <c r="U62" s="587" t="e">
        <f>COUNTIFS(SurveyDATA!#REF!,"ISF",SurveyDATA!E:E,"*MEYCAUAYAN*",SurveyDATA!#REF!,"&gt;0",SurveyDATA!HC:HC,"X")</f>
        <v>#REF!</v>
      </c>
      <c r="V62" s="587" t="e">
        <f>COUNTIFS(SurveyDATA!#REF!,"ISF",SurveyDATA!E:E,"*MEYCAUAYAN*",SurveyDATA!#REF!,"&gt;0",SurveyDATA!HD:HD,"X")</f>
        <v>#REF!</v>
      </c>
      <c r="W62" s="587" t="e">
        <f>COUNTIFS(SurveyDATA!#REF!,"ISF",SurveyDATA!E:E,"*MEYCAUAYAN*",SurveyDATA!#REF!,"&gt;0",SurveyDATA!HE:HE,"X")</f>
        <v>#REF!</v>
      </c>
      <c r="X62" s="587" t="e">
        <f>COUNTIFS(SurveyDATA!#REF!,"ISF",SurveyDATA!E:E,"*MEYCAUAYAN*",SurveyDATA!#REF!,"&gt;0",SurveyDATA!HF:HF,"X")</f>
        <v>#REF!</v>
      </c>
      <c r="Y62" s="587" t="e">
        <f>COUNTIFS(SurveyDATA!#REF!,"ISF",SurveyDATA!E:E,"*MEYCAUAYAN*",SurveyDATA!#REF!,"&gt;0",SurveyDATA!HG:HG,"X")</f>
        <v>#REF!</v>
      </c>
    </row>
    <row r="63" spans="1:25" ht="15.75" thickBot="1">
      <c r="A63" s="572"/>
      <c r="B63" s="573" t="s">
        <v>5408</v>
      </c>
      <c r="C63" s="597" t="e">
        <f>COUNTIFS(SurveyDATA!#REF!,"ISF",SurveyDATA!E:E,"*MANILA*",SurveyDATA!E:E,"*BRGY.155*",SurveyDATA!#REF!,"&lt;3")</f>
        <v>#REF!</v>
      </c>
      <c r="D63" s="597" t="e">
        <f>COUNTIFS(SurveyDATA!#REF!,"ISF",SurveyDATA!F:F,"*MANILA*",SurveyDATA!F:F,"*BRGY.155*",SurveyDATA!#REF!,"&lt;5",SurveyDATA!#REF!,"&gt;2")</f>
        <v>#REF!</v>
      </c>
      <c r="E63" s="597" t="e">
        <f>COUNTIFS(SurveyDATA!#REF!,"ISF",SurveyDATA!E:E,"*MANILA*",SurveyDATA!E:E,"*BRGY.155*",SurveyDATA!#REF!,"&lt;7",SurveyDATA!#REF!,"&gt;4")</f>
        <v>#REF!</v>
      </c>
      <c r="F63" s="597" t="e">
        <f>COUNTIFS(SurveyDATA!#REF!,"ISF",SurveyDATA!E:E,"*MANILA*",SurveyDATA!E:E,"*BRGY.155*",SurveyDATA!#REF!,"&lt;9",SurveyDATA!#REF!,"&gt;6")</f>
        <v>#REF!</v>
      </c>
      <c r="G63" s="597" t="e">
        <f>COUNTIFS(SurveyDATA!#REF!,"ISF",SurveyDATA!E:E,"*MANILA*",SurveyDATA!E:E,"*BRGY.155*",SurveyDATA!#REF!,"&gt;8")</f>
        <v>#REF!</v>
      </c>
      <c r="H63" s="599" t="e">
        <f t="shared" si="3"/>
        <v>#REF!</v>
      </c>
      <c r="P63" s="728" t="s">
        <v>778</v>
      </c>
      <c r="Q63" s="587" t="e">
        <f>COUNTIFS(SurveyDATA!#REF!,"ISF",SurveyDATA!E:E,"*VALENZUELA*",SurveyDATA!#REF!,"&gt;0",SurveyDATA!GY:GY,"X")</f>
        <v>#REF!</v>
      </c>
      <c r="R63" s="587" t="e">
        <f>COUNTIFS(SurveyDATA!#REF!,"ISF",SurveyDATA!E:E,"*VALENZUELA*",SurveyDATA!#REF!,"&gt;0",SurveyDATA!GZ:GZ,"X")</f>
        <v>#REF!</v>
      </c>
      <c r="S63" s="587" t="e">
        <f>COUNTIFS(SurveyDATA!#REF!,"ISF",SurveyDATA!E:E,"*VALENZUELA*",SurveyDATA!#REF!,"&gt;0",SurveyDATA!HA:HA,"X")</f>
        <v>#REF!</v>
      </c>
      <c r="T63" s="587" t="e">
        <f>COUNTIFS(SurveyDATA!#REF!,"ISF",SurveyDATA!E:E,"*VALENZUELA*",SurveyDATA!#REF!,"&gt;0",SurveyDATA!HB:HB,"X")</f>
        <v>#REF!</v>
      </c>
      <c r="U63" s="587" t="e">
        <f>COUNTIFS(SurveyDATA!#REF!,"ISF",SurveyDATA!E:E,"*VALENZUELA*",SurveyDATA!#REF!,"&gt;0",SurveyDATA!HC:HC,"X")</f>
        <v>#REF!</v>
      </c>
      <c r="V63" s="587" t="e">
        <f>COUNTIFS(SurveyDATA!#REF!,"ISF",SurveyDATA!E:E,"*VALENZUELA*",SurveyDATA!#REF!,"&gt;0",SurveyDATA!HD:HD,"X")</f>
        <v>#REF!</v>
      </c>
      <c r="W63" s="587" t="e">
        <f>COUNTIFS(SurveyDATA!#REF!,"ISF",SurveyDATA!E:E,"*VALENZUELA*",SurveyDATA!#REF!,"&gt;0",SurveyDATA!HE:HE,"X")</f>
        <v>#REF!</v>
      </c>
      <c r="X63" s="587" t="e">
        <f>COUNTIFS(SurveyDATA!#REF!,"ISF",SurveyDATA!E:E,"*VALENZUELA*",SurveyDATA!#REF!,"&gt;0",SurveyDATA!HF:HF,"X")</f>
        <v>#REF!</v>
      </c>
      <c r="Y63" s="587" t="e">
        <f>COUNTIFS(SurveyDATA!#REF!,"ISF",SurveyDATA!E:E,"*VALENZUELA*",SurveyDATA!#REF!,"&gt;0",SurveyDATA!HG:HG,"X")</f>
        <v>#REF!</v>
      </c>
    </row>
    <row r="64" spans="1:25" ht="15.75" thickBot="1">
      <c r="A64" s="572"/>
      <c r="B64" s="573" t="s">
        <v>5413</v>
      </c>
      <c r="C64" s="597" t="e">
        <f>COUNTIFS(SurveyDATA!#REF!,"ISF",SurveyDATA!E:E,"*MANILA*",SurveyDATA!E:E,"*BRGY.156*",SurveyDATA!#REF!,"&lt;3")</f>
        <v>#REF!</v>
      </c>
      <c r="D64" s="597" t="e">
        <f>COUNTIFS(SurveyDATA!#REF!,"ISF",SurveyDATA!F:F,"*MANILA*",SurveyDATA!F:F,"*BRGY.156*",SurveyDATA!#REF!,"&lt;5",SurveyDATA!#REF!,"&gt;2")</f>
        <v>#REF!</v>
      </c>
      <c r="E64" s="597" t="e">
        <f>COUNTIFS(SurveyDATA!#REF!,"ISF",SurveyDATA!E:E,"*MANILA*",SurveyDATA!E:E,"*BRGY.156*",SurveyDATA!#REF!,"&lt;7",SurveyDATA!#REF!,"&gt;4")</f>
        <v>#REF!</v>
      </c>
      <c r="F64" s="597" t="e">
        <f>COUNTIFS(SurveyDATA!#REF!,"ISF",SurveyDATA!E:E,"*MANILA*",SurveyDATA!E:E,"*BRGY.156*",SurveyDATA!#REF!,"&lt;9",SurveyDATA!#REF!,"&gt;6")</f>
        <v>#REF!</v>
      </c>
      <c r="G64" s="597" t="e">
        <f>COUNTIFS(SurveyDATA!#REF!,"ISF",SurveyDATA!E:E,"*MANILA*",SurveyDATA!E:E,"*BRGY.156*",SurveyDATA!#REF!,"&gt;8")</f>
        <v>#REF!</v>
      </c>
      <c r="H64" s="599" t="e">
        <f t="shared" si="3"/>
        <v>#REF!</v>
      </c>
      <c r="P64" s="728" t="s">
        <v>5493</v>
      </c>
      <c r="Q64" s="587" t="e">
        <f>COUNTIFS(SurveyDATA!#REF!,"ISF",SurveyDATA!E:E,"*CALOOCAN*",SurveyDATA!#REF!,"&gt;0",SurveyDATA!GY:GY,"X")</f>
        <v>#REF!</v>
      </c>
      <c r="R64" s="587" t="e">
        <f>COUNTIFS(SurveyDATA!#REF!,"ISF",SurveyDATA!E:E,"*CALOOCAN*",SurveyDATA!#REF!,"&gt;0",SurveyDATA!GZ:GZ,"X")</f>
        <v>#REF!</v>
      </c>
      <c r="S64" s="587" t="e">
        <f>COUNTIFS(SurveyDATA!#REF!,"ISF",SurveyDATA!E:E,"*CALOOCAN*",SurveyDATA!#REF!,"&gt;0",SurveyDATA!HA:HA,"X")</f>
        <v>#REF!</v>
      </c>
      <c r="T64" s="587" t="e">
        <f>COUNTIFS(SurveyDATA!#REF!,"ISF",SurveyDATA!E:E,"*CALOOCAN*",SurveyDATA!#REF!,"&gt;0",SurveyDATA!HB:HB,"X")</f>
        <v>#REF!</v>
      </c>
      <c r="U64" s="587" t="e">
        <f>COUNTIFS(SurveyDATA!#REF!,"ISF",SurveyDATA!E:E,"*CALOOCAN*",SurveyDATA!#REF!,"&gt;0",SurveyDATA!HC:HC,"X")</f>
        <v>#REF!</v>
      </c>
      <c r="V64" s="587" t="e">
        <f>COUNTIFS(SurveyDATA!#REF!,"ISF",SurveyDATA!E:E,"*CALOOCAN*",SurveyDATA!#REF!,"&gt;0",SurveyDATA!HD:HD,"X")</f>
        <v>#REF!</v>
      </c>
      <c r="W64" s="587" t="e">
        <f>COUNTIFS(SurveyDATA!#REF!,"ISF",SurveyDATA!E:E,"*CALOOCAN*",SurveyDATA!#REF!,"&gt;0",SurveyDATA!HE:HE,"X")</f>
        <v>#REF!</v>
      </c>
      <c r="X64" s="587" t="e">
        <f>COUNTIFS(SurveyDATA!#REF!,"ISF",SurveyDATA!E:E,"*CALOOCAN*",SurveyDATA!#REF!,"&gt;0",SurveyDATA!HF:HF,"X")</f>
        <v>#REF!</v>
      </c>
      <c r="Y64" s="587" t="e">
        <f>COUNTIFS(SurveyDATA!#REF!,"ISF",SurveyDATA!E:E,"*CALOOCAN*",SurveyDATA!#REF!,"&gt;0",SurveyDATA!HG:HG,"X")</f>
        <v>#REF!</v>
      </c>
    </row>
    <row r="65" spans="1:27" ht="15.75" thickBot="1">
      <c r="A65" s="572"/>
      <c r="B65" s="573" t="s">
        <v>5409</v>
      </c>
      <c r="C65" s="597" t="e">
        <f>COUNTIFS(SurveyDATA!#REF!,"ISF",SurveyDATA!E:E,"*MANILA*",SurveyDATA!E:E,"*BRGY.159*",SurveyDATA!#REF!,"&lt;3")</f>
        <v>#REF!</v>
      </c>
      <c r="D65" s="597" t="e">
        <f>COUNTIFS(SurveyDATA!#REF!,"ISF",SurveyDATA!F:F,"*MANILA*",SurveyDATA!F:F,"*BRGY.159*",SurveyDATA!#REF!,"&lt;5",SurveyDATA!#REF!,"&gt;2")</f>
        <v>#REF!</v>
      </c>
      <c r="E65" s="597" t="e">
        <f>COUNTIFS(SurveyDATA!#REF!,"ISF",SurveyDATA!E:E,"*MANILA*",SurveyDATA!E:E,"*BRGY.159*",SurveyDATA!#REF!,"&lt;7",SurveyDATA!#REF!,"&gt;4")</f>
        <v>#REF!</v>
      </c>
      <c r="F65" s="597" t="e">
        <f>COUNTIFS(SurveyDATA!#REF!,"ISF",SurveyDATA!E:E,"*MANILA*",SurveyDATA!E:E,"*BRGY.159*",SurveyDATA!#REF!,"&lt;9",SurveyDATA!#REF!,"&gt;6")</f>
        <v>#REF!</v>
      </c>
      <c r="G65" s="597" t="e">
        <f>COUNTIFS(SurveyDATA!#REF!,"ISF",SurveyDATA!E:E,"*MANILA*",SurveyDATA!E:E,"*BRGY.159*",SurveyDATA!#REF!,"&gt;8")</f>
        <v>#REF!</v>
      </c>
      <c r="H65" s="599" t="e">
        <f t="shared" si="3"/>
        <v>#REF!</v>
      </c>
      <c r="P65" s="728" t="s">
        <v>1020</v>
      </c>
      <c r="Q65" s="587" t="e">
        <f>COUNTIFS(SurveyDATA!#REF!,"ISF",SurveyDATA!E:E,"*MANILA*",SurveyDATA!#REF!,"&gt;0",SurveyDATA!GY:GY,"X")</f>
        <v>#REF!</v>
      </c>
      <c r="R65" s="587" t="e">
        <f>COUNTIFS(SurveyDATA!#REF!,"ISF",SurveyDATA!E:E,"*MANILA*",SurveyDATA!#REF!,"&gt;0",SurveyDATA!GZ:GZ,"X")</f>
        <v>#REF!</v>
      </c>
      <c r="S65" s="587" t="e">
        <f>COUNTIFS(SurveyDATA!#REF!,"ISF",SurveyDATA!E:E,"*MANILA*",SurveyDATA!#REF!,"&gt;0",SurveyDATA!HA:HA,"X")</f>
        <v>#REF!</v>
      </c>
      <c r="T65" s="587" t="e">
        <f>COUNTIFS(SurveyDATA!#REF!,"ISF",SurveyDATA!E:E,"*MANILA*",SurveyDATA!#REF!,"&gt;0",SurveyDATA!HB:HB,"X")</f>
        <v>#REF!</v>
      </c>
      <c r="U65" s="587" t="e">
        <f>COUNTIFS(SurveyDATA!#REF!,"ISF",SurveyDATA!E:E,"*MANILA*",SurveyDATA!#REF!,"&gt;0",SurveyDATA!HC:HC,"X")</f>
        <v>#REF!</v>
      </c>
      <c r="V65" s="587" t="e">
        <f>COUNTIFS(SurveyDATA!#REF!,"ISF",SurveyDATA!E:E,"*MANILA*",SurveyDATA!#REF!,"&gt;0",SurveyDATA!HD:HD,"X")</f>
        <v>#REF!</v>
      </c>
      <c r="W65" s="587" t="e">
        <f>COUNTIFS(SurveyDATA!#REF!,"ISF",SurveyDATA!E:E,"*MANILA*",SurveyDATA!#REF!,"&gt;0",SurveyDATA!HE:HE,"X")</f>
        <v>#REF!</v>
      </c>
      <c r="X65" s="587" t="e">
        <f>COUNTIFS(SurveyDATA!#REF!,"ISF",SurveyDATA!E:E,"*MANILA*",SurveyDATA!#REF!,"&gt;0",SurveyDATA!HF:HF,"X")</f>
        <v>#REF!</v>
      </c>
      <c r="Y65" s="587" t="e">
        <f>COUNTIFS(SurveyDATA!#REF!,"ISF",SurveyDATA!E:E,"*MANILA*",SurveyDATA!#REF!,"&gt;0",SurveyDATA!HG:HG,"X")</f>
        <v>#REF!</v>
      </c>
    </row>
    <row r="66" spans="1:27" ht="15.75" thickBot="1">
      <c r="A66" s="572"/>
      <c r="B66" s="573" t="s">
        <v>5403</v>
      </c>
      <c r="C66" s="597" t="e">
        <f>COUNTIFS(SurveyDATA!#REF!,"ISF",SurveyDATA!E:E,"*MANILA*",SurveyDATA!E:E,"*BRGY.164*",SurveyDATA!#REF!,"&lt;3")</f>
        <v>#REF!</v>
      </c>
      <c r="D66" s="597" t="e">
        <f>COUNTIFS(SurveyDATA!#REF!,"ISF",SurveyDATA!F:F,"*MANILA*",SurveyDATA!F:F,"*BRGY.164*",SurveyDATA!#REF!,"&lt;5",SurveyDATA!#REF!,"&gt;2")</f>
        <v>#REF!</v>
      </c>
      <c r="E66" s="597" t="e">
        <f>COUNTIFS(SurveyDATA!#REF!,"ISF",SurveyDATA!E:E,"*MANILA*",SurveyDATA!E:E,"*BRGY.164*",SurveyDATA!#REF!,"&lt;7",SurveyDATA!#REF!,"&gt;4")</f>
        <v>#REF!</v>
      </c>
      <c r="F66" s="597" t="e">
        <f>COUNTIFS(SurveyDATA!#REF!,"ISF",SurveyDATA!E:E,"*MANILA*",SurveyDATA!E:E,"*BRGY.164*",SurveyDATA!#REF!,"&lt;9",SurveyDATA!#REF!,"&gt;6")</f>
        <v>#REF!</v>
      </c>
      <c r="G66" s="597" t="e">
        <f>COUNTIFS(SurveyDATA!#REF!,"ISF",SurveyDATA!E:E,"*MANILA*",SurveyDATA!E:E,"*BRGY.164*",SurveyDATA!#REF!,"&gt;8")</f>
        <v>#REF!</v>
      </c>
      <c r="H66" s="599" t="e">
        <f t="shared" si="3"/>
        <v>#REF!</v>
      </c>
      <c r="P66" s="588" t="s">
        <v>2034</v>
      </c>
      <c r="Q66" s="619" t="e">
        <f t="shared" ref="Q66:X66" si="6">SUM(Q57:Q65)</f>
        <v>#REF!</v>
      </c>
      <c r="R66" s="619" t="e">
        <f t="shared" si="6"/>
        <v>#REF!</v>
      </c>
      <c r="S66" s="619" t="e">
        <f t="shared" si="6"/>
        <v>#REF!</v>
      </c>
      <c r="T66" s="619" t="e">
        <f t="shared" si="6"/>
        <v>#REF!</v>
      </c>
      <c r="U66" s="619" t="e">
        <f t="shared" si="6"/>
        <v>#REF!</v>
      </c>
      <c r="V66" s="619" t="e">
        <f t="shared" si="6"/>
        <v>#REF!</v>
      </c>
      <c r="W66" s="619" t="e">
        <f t="shared" si="6"/>
        <v>#REF!</v>
      </c>
      <c r="X66" s="619" t="e">
        <f t="shared" si="6"/>
        <v>#REF!</v>
      </c>
      <c r="Y66" s="619" t="e">
        <f>SUM(Y57:Y65)</f>
        <v>#REF!</v>
      </c>
    </row>
    <row r="67" spans="1:27" ht="15.75" thickBot="1">
      <c r="A67" s="572"/>
      <c r="B67" s="573" t="s">
        <v>5404</v>
      </c>
      <c r="C67" s="597" t="e">
        <f>COUNTIFS(SurveyDATA!#REF!,"ISF",SurveyDATA!E:E,"*MANILA*",SurveyDATA!E:E,"*BRGY.165*",SurveyDATA!#REF!,"&lt;3")</f>
        <v>#REF!</v>
      </c>
      <c r="D67" s="597" t="e">
        <f>COUNTIFS(SurveyDATA!#REF!,"ISF",SurveyDATA!F:F,"*MANILA*",SurveyDATA!F:F,"*BRGY.165*",SurveyDATA!#REF!,"&lt;5",SurveyDATA!#REF!,"&gt;2")</f>
        <v>#REF!</v>
      </c>
      <c r="E67" s="597" t="e">
        <f>COUNTIFS(SurveyDATA!#REF!,"ISF",SurveyDATA!E:E,"*MANILA*",SurveyDATA!E:E,"*BRGY.165*",SurveyDATA!#REF!,"&lt;7",SurveyDATA!#REF!,"&gt;4")</f>
        <v>#REF!</v>
      </c>
      <c r="F67" s="597" t="e">
        <f>COUNTIFS(SurveyDATA!#REF!,"ISF",SurveyDATA!E:E,"*MANILA*",SurveyDATA!E:E,"*BRGY.165*",SurveyDATA!#REF!,"&lt;9",SurveyDATA!#REF!,"&gt;6")</f>
        <v>#REF!</v>
      </c>
      <c r="G67" s="597" t="e">
        <f>COUNTIFS(SurveyDATA!#REF!,"ISF",SurveyDATA!E:E,"*MANILA*",SurveyDATA!E:E,"*BRGY.165*",SurveyDATA!#REF!,"&gt;8")</f>
        <v>#REF!</v>
      </c>
      <c r="H67" s="599" t="e">
        <f t="shared" si="3"/>
        <v>#REF!</v>
      </c>
      <c r="P67" s="590" t="s">
        <v>7389</v>
      </c>
      <c r="Q67" s="702" t="e">
        <f>Q66/SUM(Q66:Y66)</f>
        <v>#REF!</v>
      </c>
      <c r="R67" s="702" t="e">
        <f>R66/SUM(Q66:Y66)</f>
        <v>#REF!</v>
      </c>
      <c r="S67" s="702" t="e">
        <f>S66/SUM(Q66:Y66)</f>
        <v>#REF!</v>
      </c>
      <c r="T67" s="702" t="e">
        <f>T66/SUM(Q66:Y66)</f>
        <v>#REF!</v>
      </c>
      <c r="U67" s="702" t="e">
        <f>U66/SUM(Q66:Y66)</f>
        <v>#REF!</v>
      </c>
      <c r="V67" s="702" t="e">
        <f>V66/SUM(Q66:Y66)</f>
        <v>#REF!</v>
      </c>
      <c r="W67" s="702" t="e">
        <f>W66/SUM(Q66:Y66)</f>
        <v>#REF!</v>
      </c>
      <c r="X67" s="702" t="e">
        <f>X66/SUM(Q66:Y66)</f>
        <v>#REF!</v>
      </c>
      <c r="Y67" s="702" t="e">
        <f>Y66/SUM(Q66:Y66)</f>
        <v>#REF!</v>
      </c>
    </row>
    <row r="68" spans="1:27">
      <c r="A68" s="572"/>
      <c r="B68" s="573" t="s">
        <v>5405</v>
      </c>
      <c r="C68" s="597" t="e">
        <f>COUNTIFS(SurveyDATA!#REF!,"ISF",SurveyDATA!E:E,"*MANILA*",SurveyDATA!E:E,"*BRGY.184*",SurveyDATA!#REF!,"&lt;3")</f>
        <v>#REF!</v>
      </c>
      <c r="D68" s="597" t="e">
        <f>COUNTIFS(SurveyDATA!#REF!,"ISF",SurveyDATA!F:F,"*MANILA*",SurveyDATA!F:F,"*BRGY.184*",SurveyDATA!#REF!,"&lt;5",SurveyDATA!#REF!,"&gt;2")</f>
        <v>#REF!</v>
      </c>
      <c r="E68" s="597" t="e">
        <f>COUNTIFS(SurveyDATA!#REF!,"ISF",SurveyDATA!E:E,"*MANILA*",SurveyDATA!E:E,"*BRGY.184*",SurveyDATA!#REF!,"&lt;7",SurveyDATA!#REF!,"&gt;4")</f>
        <v>#REF!</v>
      </c>
      <c r="F68" s="597" t="e">
        <f>COUNTIFS(SurveyDATA!#REF!,"ISF",SurveyDATA!E:E,"*MANILA*",SurveyDATA!E:E,"*BRGY.184*",SurveyDATA!#REF!,"&lt;9",SurveyDATA!#REF!,"&gt;6")</f>
        <v>#REF!</v>
      </c>
      <c r="G68" s="597" t="e">
        <f>COUNTIFS(SurveyDATA!#REF!,"ISF",SurveyDATA!E:E,"*MANILA*",SurveyDATA!E:E,"*BRGY.184*",SurveyDATA!#REF!,"&gt;8")</f>
        <v>#REF!</v>
      </c>
      <c r="H68" s="599" t="e">
        <f t="shared" si="3"/>
        <v>#REF!</v>
      </c>
    </row>
    <row r="69" spans="1:27">
      <c r="A69" s="572"/>
      <c r="B69" s="573" t="s">
        <v>5406</v>
      </c>
      <c r="C69" s="597" t="e">
        <f>COUNTIFS(SurveyDATA!#REF!,"ISF",SurveyDATA!E:E,"*MANILA*",SurveyDATA!E:E,"*BRGY.185*",SurveyDATA!#REF!,"&lt;3")</f>
        <v>#REF!</v>
      </c>
      <c r="D69" s="597" t="e">
        <f>COUNTIFS(SurveyDATA!#REF!,"ISF",SurveyDATA!F:F,"*MANILA*",SurveyDATA!F:F,"*BRGY.185*",SurveyDATA!#REF!,"&lt;5",SurveyDATA!#REF!,"&gt;2")</f>
        <v>#REF!</v>
      </c>
      <c r="E69" s="597" t="e">
        <f>COUNTIFS(SurveyDATA!#REF!,"ISF",SurveyDATA!E:E,"*MANILA*",SurveyDATA!E:E,"*BRGY.185*",SurveyDATA!#REF!,"&lt;7",SurveyDATA!#REF!,"&gt;4")</f>
        <v>#REF!</v>
      </c>
      <c r="F69" s="597" t="e">
        <f>COUNTIFS(SurveyDATA!#REF!,"ISF",SurveyDATA!E:E,"*MANILA*",SurveyDATA!E:E,"*BRGY.185*",SurveyDATA!#REF!,"&lt;9",SurveyDATA!#REF!,"&gt;6")</f>
        <v>#REF!</v>
      </c>
      <c r="G69" s="597" t="e">
        <f>COUNTIFS(SurveyDATA!#REF!,"ISF",SurveyDATA!E:E,"*MANILA*",SurveyDATA!E:E,"*BRGY.185*",SurveyDATA!#REF!,"&gt;8")</f>
        <v>#REF!</v>
      </c>
      <c r="H69" s="599" t="e">
        <f t="shared" si="3"/>
        <v>#REF!</v>
      </c>
    </row>
    <row r="70" spans="1:27">
      <c r="A70" s="572"/>
      <c r="B70" s="573" t="s">
        <v>5803</v>
      </c>
      <c r="C70" s="597" t="e">
        <f>COUNTIFS(SurveyDATA!#REF!,"ISF",SurveyDATA!E:E,"*MANILA*",SurveyDATA!E:E,"*BRGY.186*",SurveyDATA!#REF!,"&lt;3")</f>
        <v>#REF!</v>
      </c>
      <c r="D70" s="597" t="e">
        <f>COUNTIFS(SurveyDATA!#REF!,"ISF",SurveyDATA!F:F,"*MANILA*",SurveyDATA!F:F,"*BRGY.186*",SurveyDATA!#REF!,"&lt;5",SurveyDATA!#REF!,"&gt;2")</f>
        <v>#REF!</v>
      </c>
      <c r="E70" s="597" t="e">
        <f>COUNTIFS(SurveyDATA!#REF!,"ISF",SurveyDATA!E:E,"*MANILA*",SurveyDATA!E:E,"*BRGY.186*",SurveyDATA!#REF!,"&lt;7",SurveyDATA!#REF!,"&gt;4")</f>
        <v>#REF!</v>
      </c>
      <c r="F70" s="597" t="e">
        <f>COUNTIFS(SurveyDATA!#REF!,"ISF",SurveyDATA!E:E,"*MANILA*",SurveyDATA!E:E,"*BRGY.186*",SurveyDATA!#REF!,"&lt;9",SurveyDATA!#REF!,"&gt;6")</f>
        <v>#REF!</v>
      </c>
      <c r="G70" s="597" t="e">
        <f>COUNTIFS(SurveyDATA!#REF!,"ISF",SurveyDATA!E:E,"*MANILA*",SurveyDATA!E:E,"*BRGY.186*",SurveyDATA!#REF!,"&gt;8")</f>
        <v>#REF!</v>
      </c>
      <c r="H70" s="599" t="e">
        <f t="shared" si="3"/>
        <v>#REF!</v>
      </c>
      <c r="P70" s="635" t="s">
        <v>7392</v>
      </c>
      <c r="AA70" s="248"/>
    </row>
    <row r="71" spans="1:27">
      <c r="A71" s="572"/>
      <c r="B71" s="573" t="s">
        <v>5410</v>
      </c>
      <c r="C71" s="597" t="e">
        <f>COUNTIFS(SurveyDATA!#REF!,"ISF",SurveyDATA!E:E,"*MANILA*",SurveyDATA!E:E,"*BRGY.199*",SurveyDATA!#REF!,"&lt;3")</f>
        <v>#REF!</v>
      </c>
      <c r="D71" s="597" t="e">
        <f>COUNTIFS(SurveyDATA!#REF!,"ISF",SurveyDATA!F:F,"*MANILA*",SurveyDATA!F:F,"*BRGY.199*",SurveyDATA!#REF!,"&lt;5",SurveyDATA!#REF!,"&gt;2")</f>
        <v>#REF!</v>
      </c>
      <c r="E71" s="597" t="e">
        <f>COUNTIFS(SurveyDATA!#REF!,"ISF",SurveyDATA!E:E,"*MANILA*",SurveyDATA!E:E,"*BRGY.199*",SurveyDATA!#REF!,"&lt;7",SurveyDATA!#REF!,"&gt;4")</f>
        <v>#REF!</v>
      </c>
      <c r="F71" s="597" t="e">
        <f>COUNTIFS(SurveyDATA!#REF!,"ISF",SurveyDATA!E:E,"*MANILA*",SurveyDATA!E:E,"*BRGY.199*",SurveyDATA!#REF!,"&lt;9",SurveyDATA!#REF!,"&gt;6")</f>
        <v>#REF!</v>
      </c>
      <c r="G71" s="597" t="e">
        <f>COUNTIFS(SurveyDATA!#REF!,"ISF",SurveyDATA!E:E,"*MANILA*",SurveyDATA!E:E,"*BRGY.199*",SurveyDATA!#REF!,"&gt;8")</f>
        <v>#REF!</v>
      </c>
      <c r="H71" s="599" t="e">
        <f t="shared" si="3"/>
        <v>#REF!</v>
      </c>
      <c r="AA71" s="248"/>
    </row>
    <row r="72" spans="1:27" ht="15.75" thickBot="1">
      <c r="A72" s="572"/>
      <c r="B72" s="573" t="s">
        <v>5798</v>
      </c>
      <c r="C72" s="597" t="e">
        <f>COUNTIFS(SurveyDATA!#REF!,"ISF",SurveyDATA!E:E,"*MANILA*",SurveyDATA!E:E,"*BRGY.200*",SurveyDATA!#REF!,"&lt;3")</f>
        <v>#REF!</v>
      </c>
      <c r="D72" s="597" t="e">
        <f>COUNTIFS(SurveyDATA!#REF!,"ISF",SurveyDATA!F:F,"*MANILA*",SurveyDATA!F:F,"*BRGY.200*",SurveyDATA!#REF!,"&lt;5",SurveyDATA!#REF!,"&gt;2")</f>
        <v>#REF!</v>
      </c>
      <c r="E72" s="597" t="e">
        <f>COUNTIFS(SurveyDATA!#REF!,"ISF",SurveyDATA!E:E,"*MANILA*",SurveyDATA!E:E,"*BRGY.200*",SurveyDATA!#REF!,"&lt;7",SurveyDATA!#REF!,"&gt;4")</f>
        <v>#REF!</v>
      </c>
      <c r="F72" s="597" t="e">
        <f>COUNTIFS(SurveyDATA!#REF!,"ISF",SurveyDATA!E:E,"*MANILA*",SurveyDATA!E:E,"*BRGY.200*",SurveyDATA!#REF!,"&lt;9",SurveyDATA!#REF!,"&gt;6")</f>
        <v>#REF!</v>
      </c>
      <c r="G72" s="597" t="e">
        <f>COUNTIFS(SurveyDATA!#REF!,"ISF",SurveyDATA!E:E,"*MANILA*",SurveyDATA!E:E,"*BRGY.200*",SurveyDATA!#REF!,"&gt;8")</f>
        <v>#REF!</v>
      </c>
      <c r="H72" s="599" t="e">
        <f t="shared" si="3"/>
        <v>#REF!</v>
      </c>
    </row>
    <row r="73" spans="1:27" ht="15.75" thickBot="1">
      <c r="A73" s="572"/>
      <c r="B73" s="573" t="s">
        <v>5799</v>
      </c>
      <c r="C73" s="597" t="e">
        <f>COUNTIFS(SurveyDATA!#REF!,"ISF",SurveyDATA!E:E,"*MANILA*",SurveyDATA!E:E,"*BRGY.204*",SurveyDATA!#REF!,"&lt;3")</f>
        <v>#REF!</v>
      </c>
      <c r="D73" s="597" t="e">
        <f>COUNTIFS(SurveyDATA!#REF!,"ISF",SurveyDATA!F:F,"*MANILA*",SurveyDATA!F:F,"*BRGY.204*",SurveyDATA!#REF!,"&lt;5",SurveyDATA!#REF!,"&gt;2")</f>
        <v>#REF!</v>
      </c>
      <c r="E73" s="597" t="e">
        <f>COUNTIFS(SurveyDATA!#REF!,"ISF",SurveyDATA!E:E,"*MANILA*",SurveyDATA!E:E,"*BRGY.204*",SurveyDATA!#REF!,"&lt;7",SurveyDATA!#REF!,"&gt;4")</f>
        <v>#REF!</v>
      </c>
      <c r="F73" s="597" t="e">
        <f>COUNTIFS(SurveyDATA!#REF!,"ISF",SurveyDATA!E:E,"*MANILA*",SurveyDATA!E:E,"*BRGY.204*",SurveyDATA!#REF!,"&lt;9",SurveyDATA!#REF!,"&gt;6")</f>
        <v>#REF!</v>
      </c>
      <c r="G73" s="597" t="e">
        <f>COUNTIFS(SurveyDATA!#REF!,"ISF",SurveyDATA!E:E,"*MANILA*",SurveyDATA!E:E,"*BRGY.204*",SurveyDATA!#REF!,"&gt;8")</f>
        <v>#REF!</v>
      </c>
      <c r="H73" s="599" t="e">
        <f t="shared" si="3"/>
        <v>#REF!</v>
      </c>
      <c r="P73" s="1901" t="s">
        <v>7214</v>
      </c>
      <c r="Q73" s="1897" t="s">
        <v>7393</v>
      </c>
      <c r="R73" s="1898"/>
      <c r="S73" s="1897" t="s">
        <v>2143</v>
      </c>
      <c r="T73" s="1898"/>
      <c r="U73" s="1897" t="s">
        <v>7394</v>
      </c>
      <c r="V73" s="1898"/>
      <c r="W73" s="1897" t="s">
        <v>704</v>
      </c>
      <c r="X73" s="1898"/>
      <c r="Y73" s="1897" t="s">
        <v>2034</v>
      </c>
      <c r="Z73" s="1898"/>
    </row>
    <row r="74" spans="1:27" ht="15.75" thickBot="1">
      <c r="A74" s="572"/>
      <c r="B74" s="574" t="s">
        <v>7216</v>
      </c>
      <c r="C74" s="575" t="e">
        <f>SUM(C59:C73)</f>
        <v>#REF!</v>
      </c>
      <c r="D74" s="575" t="e">
        <f>SUM(D59:D73)</f>
        <v>#REF!</v>
      </c>
      <c r="E74" s="575" t="e">
        <f>SUM(E59:E73)</f>
        <v>#REF!</v>
      </c>
      <c r="F74" s="575" t="e">
        <f>SUM(F59:F73)</f>
        <v>#REF!</v>
      </c>
      <c r="G74" s="575" t="e">
        <f>SUM(G59:G73)</f>
        <v>#REF!</v>
      </c>
      <c r="H74" s="599" t="e">
        <f t="shared" si="3"/>
        <v>#REF!</v>
      </c>
      <c r="P74" s="1902"/>
      <c r="Q74" s="733" t="s">
        <v>7281</v>
      </c>
      <c r="R74" s="733" t="s">
        <v>5805</v>
      </c>
      <c r="S74" s="733" t="s">
        <v>7281</v>
      </c>
      <c r="T74" s="733" t="s">
        <v>5805</v>
      </c>
      <c r="U74" s="733" t="s">
        <v>7281</v>
      </c>
      <c r="V74" s="733" t="s">
        <v>5805</v>
      </c>
      <c r="W74" s="733" t="s">
        <v>7281</v>
      </c>
      <c r="X74" s="733" t="s">
        <v>5805</v>
      </c>
      <c r="Y74" s="733" t="s">
        <v>7281</v>
      </c>
      <c r="Z74" s="733" t="s">
        <v>5805</v>
      </c>
    </row>
    <row r="75" spans="1:27" ht="15.75" thickBot="1">
      <c r="A75" s="572"/>
      <c r="B75" s="574" t="s">
        <v>5824</v>
      </c>
      <c r="C75" s="575" t="e">
        <f>SUM(C74,C58,C49,C45,C41,C37,C33,C31,C28)</f>
        <v>#REF!</v>
      </c>
      <c r="D75" s="575" t="e">
        <f>SUM(D74,D58,D49,D45,D41,D37,D33,D31,D28)</f>
        <v>#REF!</v>
      </c>
      <c r="E75" s="575" t="e">
        <f>SUM(E74,E58,E49,E45,E41,E37,E33,E31,E28)</f>
        <v>#REF!</v>
      </c>
      <c r="F75" s="575" t="e">
        <f>SUM(F74,F58,F49,F45,F41,F37,F33,F31,F28)</f>
        <v>#REF!</v>
      </c>
      <c r="G75" s="575" t="e">
        <f>SUM(G74,G58,G49,G45,G41,G37,G33,G31,G28)</f>
        <v>#REF!</v>
      </c>
      <c r="H75" s="575" t="e">
        <f>SUM(C75:G75)</f>
        <v>#REF!</v>
      </c>
      <c r="P75" s="728" t="s">
        <v>5848</v>
      </c>
      <c r="Q75" s="587" t="e">
        <f>COUNTIFS(SurveyDATA!#REF!,"ISF",SurveyDATA!E:E,"*MALOLOS*",SurveyDATA!#REF!,"&gt;0",SurveyDATA!#REF!,"*JOB*")</f>
        <v>#REF!</v>
      </c>
      <c r="R75" s="702" t="e">
        <f>Q75/Q84</f>
        <v>#REF!</v>
      </c>
      <c r="S75" s="587" t="e">
        <f>COUNTIFS(SurveyDATA!#REF!,"ISF",SurveyDATA!E:E,"*MALOLOS*",SurveyDATA!#REF!,"&gt;0",SurveyDATA!#REF!,"*CAPITAL*")</f>
        <v>#REF!</v>
      </c>
      <c r="T75" s="702" t="e">
        <f>S75/S84</f>
        <v>#REF!</v>
      </c>
      <c r="U75" s="587" t="e">
        <f>COUNTIFS(SurveyDATA!#REF!,"ISF",SurveyDATA!E:E,"*MALOLOS*",SurveyDATA!#REF!,"&gt;0",SurveyDATA!#REF!,"*LIVELIHOOD*")</f>
        <v>#REF!</v>
      </c>
      <c r="V75" s="702" t="e">
        <f>U75/U84</f>
        <v>#REF!</v>
      </c>
      <c r="W75" s="587" t="e">
        <f>COUNTIFS(SurveyDATA!#REF!,"ISF",SurveyDATA!E:E,"*MALOLOS*",SurveyDATA!#REF!,"&gt;0",SurveyDATA!#REF!,"*OTHERS*")</f>
        <v>#REF!</v>
      </c>
      <c r="X75" s="702" t="e">
        <f>W75/W84</f>
        <v>#REF!</v>
      </c>
      <c r="Y75" s="587" t="e">
        <f>SUM(Q75,S75,U75,W75)</f>
        <v>#REF!</v>
      </c>
      <c r="Z75" s="702" t="e">
        <f>Y75/Y84</f>
        <v>#REF!</v>
      </c>
    </row>
    <row r="76" spans="1:27" ht="15.75" thickBot="1">
      <c r="A76" s="612"/>
      <c r="B76" s="613" t="s">
        <v>7243</v>
      </c>
      <c r="C76" s="616" t="e">
        <f>C75/H75</f>
        <v>#REF!</v>
      </c>
      <c r="D76" s="617" t="e">
        <f>D75/H75</f>
        <v>#REF!</v>
      </c>
      <c r="E76" s="617" t="e">
        <f>E75/H75</f>
        <v>#REF!</v>
      </c>
      <c r="F76" s="617" t="e">
        <f>F75/H75</f>
        <v>#REF!</v>
      </c>
      <c r="G76" s="617" t="e">
        <f>G75/H75</f>
        <v>#REF!</v>
      </c>
      <c r="H76" s="618" t="e">
        <f>SUM(C76:G76)</f>
        <v>#REF!</v>
      </c>
      <c r="P76" s="728" t="s">
        <v>5494</v>
      </c>
      <c r="Q76" s="587" t="e">
        <f>COUNTIFS(SurveyDATA!#REF!,"ISF",SurveyDATA!E:E,"*GUIGUINTO*",SurveyDATA!#REF!,"&gt;0",SurveyDATA!#REF!,"*JOB*")</f>
        <v>#REF!</v>
      </c>
      <c r="R76" s="741" t="e">
        <f>Q76/Q84</f>
        <v>#REF!</v>
      </c>
      <c r="S76" s="587" t="e">
        <f>COUNTIFS(SurveyDATA!#REF!,"ISF",SurveyDATA!E:E,"*GUIGUINTO*",SurveyDATA!#REF!,"&gt;0",SurveyDATA!#REF!,"*CAPITAL*")</f>
        <v>#REF!</v>
      </c>
      <c r="T76" s="741" t="e">
        <f>S76/S84</f>
        <v>#REF!</v>
      </c>
      <c r="U76" s="587" t="e">
        <f>COUNTIFS(SurveyDATA!#REF!,"ISF",SurveyDATA!E:E,"*GUIGUINTO*",SurveyDATA!#REF!,"&gt;0",SurveyDATA!#REF!,"*LIVELIHOOD*")</f>
        <v>#REF!</v>
      </c>
      <c r="V76" s="741" t="e">
        <f>U76/U84</f>
        <v>#REF!</v>
      </c>
      <c r="W76" s="587" t="e">
        <f>COUNTIFS(SurveyDATA!#REF!,"ISF",SurveyDATA!E:E,"*GUIGUINTO*",SurveyDATA!#REF!,"&gt;0",SurveyDATA!#REF!,"*OTHERS*")</f>
        <v>#REF!</v>
      </c>
      <c r="X76" s="741" t="e">
        <f>W76/W84</f>
        <v>#REF!</v>
      </c>
      <c r="Y76" s="587" t="e">
        <f t="shared" ref="Y76:Y83" si="7">SUM(Q76,S76,U76,W76)</f>
        <v>#REF!</v>
      </c>
      <c r="Z76" s="741" t="e">
        <f>Y76/Y84</f>
        <v>#REF!</v>
      </c>
    </row>
    <row r="77" spans="1:27" ht="15.75" thickBot="1">
      <c r="P77" s="728" t="s">
        <v>5847</v>
      </c>
      <c r="Q77" s="587" t="e">
        <f>COUNTIFS(SurveyDATA!#REF!,"ISF",SurveyDATA!E:E,"*BALAGTAS*",SurveyDATA!#REF!,"&gt;0",SurveyDATA!#REF!,"*JOB*")</f>
        <v>#REF!</v>
      </c>
      <c r="R77" s="702" t="e">
        <f>Q77/Q84</f>
        <v>#REF!</v>
      </c>
      <c r="S77" s="587" t="e">
        <f>COUNTIFS(SurveyDATA!#REF!,"ISF",SurveyDATA!E:E,"*BALAGTAS*",SurveyDATA!#REF!,"&gt;0",SurveyDATA!#REF!,"*CAPITAL*")</f>
        <v>#REF!</v>
      </c>
      <c r="T77" s="702" t="e">
        <f>S77/S84</f>
        <v>#REF!</v>
      </c>
      <c r="U77" s="587" t="e">
        <f>COUNTIFS(SurveyDATA!#REF!,"ISF",SurveyDATA!E:E,"*BALAGTAS*",SurveyDATA!#REF!,"&gt;0",SurveyDATA!#REF!,"*LIVELIHOOD*")</f>
        <v>#REF!</v>
      </c>
      <c r="V77" s="702" t="e">
        <f>U77/U84</f>
        <v>#REF!</v>
      </c>
      <c r="W77" s="587" t="e">
        <f>COUNTIFS(SurveyDATA!#REF!,"ISF",SurveyDATA!E:E,"*BALAGTAS*",SurveyDATA!#REF!,"&gt;0",SurveyDATA!#REF!,"*OTHERS*")</f>
        <v>#REF!</v>
      </c>
      <c r="X77" s="702" t="e">
        <f>W77/W84</f>
        <v>#REF!</v>
      </c>
      <c r="Y77" s="587" t="e">
        <f t="shared" si="7"/>
        <v>#REF!</v>
      </c>
      <c r="Z77" s="702" t="e">
        <f>Y77/Y84</f>
        <v>#REF!</v>
      </c>
    </row>
    <row r="78" spans="1:27" ht="15.75" thickBot="1">
      <c r="P78" s="728" t="s">
        <v>771</v>
      </c>
      <c r="Q78" s="587" t="e">
        <f>COUNTIFS(SurveyDATA!#REF!,"ISF",SurveyDATA!E:E,"*BOCAUE*",SurveyDATA!#REF!,"&gt;0",SurveyDATA!#REF!,"*JOB*")</f>
        <v>#REF!</v>
      </c>
      <c r="R78" s="702" t="e">
        <f>Q78/Q84</f>
        <v>#REF!</v>
      </c>
      <c r="S78" s="587" t="e">
        <f>COUNTIFS(SurveyDATA!#REF!,"ISF",SurveyDATA!E:E,"*BOCAUE*",SurveyDATA!#REF!,"&gt;0",SurveyDATA!#REF!,"*CAPITAL*")</f>
        <v>#REF!</v>
      </c>
      <c r="T78" s="702" t="e">
        <f>S78/S84</f>
        <v>#REF!</v>
      </c>
      <c r="U78" s="587" t="e">
        <f>COUNTIFS(SurveyDATA!#REF!,"ISF",SurveyDATA!E:E,"*BOCAUE*",SurveyDATA!#REF!,"&gt;0",SurveyDATA!#REF!,"*LIVELIHOOD*")</f>
        <v>#REF!</v>
      </c>
      <c r="V78" s="702" t="e">
        <f>U78/U84</f>
        <v>#REF!</v>
      </c>
      <c r="W78" s="587" t="e">
        <f>COUNTIFS(SurveyDATA!#REF!,"ISF",SurveyDATA!E:E,"*BOCAUE*",SurveyDATA!#REF!,"&gt;0",SurveyDATA!#REF!,"*OTHERS*")</f>
        <v>#REF!</v>
      </c>
      <c r="X78" s="702" t="e">
        <f>W78/W84</f>
        <v>#REF!</v>
      </c>
      <c r="Y78" s="587" t="e">
        <f t="shared" si="7"/>
        <v>#REF!</v>
      </c>
      <c r="Z78" s="702" t="e">
        <f>Y78/Y84</f>
        <v>#REF!</v>
      </c>
    </row>
    <row r="79" spans="1:27" ht="15.75" thickBot="1">
      <c r="A79" s="594" t="s">
        <v>7261</v>
      </c>
      <c r="P79" s="728" t="s">
        <v>5495</v>
      </c>
      <c r="Q79" s="587" t="e">
        <f>COUNTIFS(SurveyDATA!#REF!,"ISF",SurveyDATA!E:E,"*MARILAO*",SurveyDATA!#REF!,"&gt;0",SurveyDATA!#REF!,"*JOB*")</f>
        <v>#REF!</v>
      </c>
      <c r="R79" s="741" t="e">
        <f>Q79/Q84</f>
        <v>#REF!</v>
      </c>
      <c r="S79" s="587" t="e">
        <f>COUNTIFS(SurveyDATA!#REF!,"ISF",SurveyDATA!E:E,"*MARILAO*",SurveyDATA!#REF!,"&gt;0",SurveyDATA!#REF!,"*CAPITAL*")</f>
        <v>#REF!</v>
      </c>
      <c r="T79" s="741" t="e">
        <f>S79/S84</f>
        <v>#REF!</v>
      </c>
      <c r="U79" s="587" t="e">
        <f>COUNTIFS(SurveyDATA!#REF!,"ISF",SurveyDATA!E:E,"*MARILAO*",SurveyDATA!#REF!,"&gt;0",SurveyDATA!#REF!,"*LIVELIHOOD*")</f>
        <v>#REF!</v>
      </c>
      <c r="V79" s="741" t="e">
        <f>U79/U84</f>
        <v>#REF!</v>
      </c>
      <c r="W79" s="587" t="e">
        <f>COUNTIFS(SurveyDATA!#REF!,"ISF",SurveyDATA!E:E,"*MARILAO*",SurveyDATA!#REF!,"&gt;0",SurveyDATA!#REF!,"*OTHERS*")</f>
        <v>#REF!</v>
      </c>
      <c r="X79" s="741" t="e">
        <f>W79/W84</f>
        <v>#REF!</v>
      </c>
      <c r="Y79" s="587" t="e">
        <f t="shared" si="7"/>
        <v>#REF!</v>
      </c>
      <c r="Z79" s="741" t="e">
        <f>Y79/Y84</f>
        <v>#REF!</v>
      </c>
    </row>
    <row r="80" spans="1:27" ht="15.75" thickBot="1">
      <c r="P80" s="728" t="s">
        <v>5496</v>
      </c>
      <c r="Q80" s="587" t="e">
        <f>COUNTIFS(SurveyDATA!#REF!,"ISF",SurveyDATA!E:E,"*MEYCAUAYAN*",SurveyDATA!#REF!,"&gt;0",SurveyDATA!#REF!,"*JOB*")</f>
        <v>#REF!</v>
      </c>
      <c r="R80" s="741" t="e">
        <f>Q80/Q84</f>
        <v>#REF!</v>
      </c>
      <c r="S80" s="587" t="e">
        <f>COUNTIFS(SurveyDATA!#REF!,"ISF",SurveyDATA!E:E,"*MEYCAUAYAN*",SurveyDATA!#REF!,"&gt;0",SurveyDATA!#REF!,"*CAPITAL*")</f>
        <v>#REF!</v>
      </c>
      <c r="T80" s="741" t="e">
        <f>S80/S84</f>
        <v>#REF!</v>
      </c>
      <c r="U80" s="587" t="e">
        <f>COUNTIFS(SurveyDATA!#REF!,"ISF",SurveyDATA!E:E,"*MEYCAUAYAN*",SurveyDATA!#REF!,"&gt;0",SurveyDATA!#REF!,"*LIVELIHOOD*")</f>
        <v>#REF!</v>
      </c>
      <c r="V80" s="741" t="e">
        <f>U80/U84</f>
        <v>#REF!</v>
      </c>
      <c r="W80" s="587" t="e">
        <f>COUNTIFS(SurveyDATA!#REF!,"ISF",SurveyDATA!E:E,"*MEYCAUAYAN*",SurveyDATA!#REF!,"&gt;0",SurveyDATA!#REF!,"*OTHERS*")</f>
        <v>#REF!</v>
      </c>
      <c r="X80" s="741" t="e">
        <f>W80/W84</f>
        <v>#REF!</v>
      </c>
      <c r="Y80" s="587" t="e">
        <f t="shared" si="7"/>
        <v>#REF!</v>
      </c>
      <c r="Z80" s="741" t="e">
        <f>Y80/Y84</f>
        <v>#REF!</v>
      </c>
    </row>
    <row r="81" spans="1:26" ht="15.75" thickBot="1">
      <c r="A81" s="584" t="s">
        <v>7214</v>
      </c>
      <c r="B81" s="620" t="s">
        <v>7262</v>
      </c>
      <c r="C81" s="620" t="s">
        <v>5500</v>
      </c>
      <c r="D81" s="620" t="s">
        <v>5501</v>
      </c>
      <c r="E81" s="620" t="s">
        <v>7263</v>
      </c>
      <c r="F81" s="620" t="s">
        <v>5502</v>
      </c>
      <c r="G81" s="620" t="s">
        <v>2034</v>
      </c>
      <c r="P81" s="728" t="s">
        <v>778</v>
      </c>
      <c r="Q81" s="587" t="e">
        <f>COUNTIFS(SurveyDATA!#REF!,"ISF",SurveyDATA!E:E,"*VALENZUELA*",SurveyDATA!#REF!,"&gt;0",SurveyDATA!#REF!,"*JOB*")</f>
        <v>#REF!</v>
      </c>
      <c r="R81" s="741" t="e">
        <f>Q81/Q84</f>
        <v>#REF!</v>
      </c>
      <c r="S81" s="587" t="e">
        <f>COUNTIFS(SurveyDATA!#REF!,"ISF",SurveyDATA!E:E,"*VALENZUELA*",SurveyDATA!#REF!,"&gt;0",SurveyDATA!#REF!,"*CAPITAL*")</f>
        <v>#REF!</v>
      </c>
      <c r="T81" s="741" t="e">
        <f>S81/S84</f>
        <v>#REF!</v>
      </c>
      <c r="U81" s="587" t="e">
        <f>COUNTIFS(SurveyDATA!#REF!,"ISF",SurveyDATA!E:E,"*VALENZUELA*",SurveyDATA!#REF!,"&gt;0",SurveyDATA!#REF!,"*LIVELIHOOD*")</f>
        <v>#REF!</v>
      </c>
      <c r="V81" s="741" t="e">
        <f>U81/U84</f>
        <v>#REF!</v>
      </c>
      <c r="W81" s="587" t="e">
        <f>COUNTIFS(SurveyDATA!#REF!,"ISF",SurveyDATA!E:E,"*VALENZUELA*",SurveyDATA!#REF!,"&gt;0",SurveyDATA!#REF!,"*OTHERS*")</f>
        <v>#REF!</v>
      </c>
      <c r="X81" s="741" t="e">
        <f>W81/W84</f>
        <v>#REF!</v>
      </c>
      <c r="Y81" s="587" t="e">
        <f t="shared" si="7"/>
        <v>#REF!</v>
      </c>
      <c r="Z81" s="741" t="e">
        <f>Y81/Y84</f>
        <v>#REF!</v>
      </c>
    </row>
    <row r="82" spans="1:26" ht="15.75" thickBot="1">
      <c r="A82" s="586" t="s">
        <v>5848</v>
      </c>
      <c r="B82" s="587" t="e">
        <f>SUM(SUMIFS(SurveyDATA!#REF!,SurveyDATA!#REF!,"ISF",SurveyDATA!E:E,"*MALOLOS*"),SUMIFS(SurveyDATA!#REF!,SurveyDATA!#REF!,"ISF",SurveyDATA!E:E,"*MALOLOS*"))</f>
        <v>#REF!</v>
      </c>
      <c r="C82" s="587" t="e">
        <f>SUM(SUMIFS(SurveyDATA!#REF!,SurveyDATA!#REF!,"ISF",SurveyDATA!E:E,"*MALOLOS*"),SUMIFS(SurveyDATA!#REF!,SurveyDATA!#REF!,"ISF",SurveyDATA!E:E,"*MALOLOS*"))</f>
        <v>#REF!</v>
      </c>
      <c r="D82" s="587" t="e">
        <f>SUM(SUMIFS(SurveyDATA!#REF!,SurveyDATA!#REF!,"ISF",SurveyDATA!E:E,"*MALOLOS*"),SUMIFS(SurveyDATA!#REF!,SurveyDATA!#REF!,"ISF",SurveyDATA!E:E,"*MALOLOS*"))</f>
        <v>#REF!</v>
      </c>
      <c r="E82" s="587" t="e">
        <f>SUM(SUMIFS(SurveyDATA!#REF!,SurveyDATA!#REF!,"ISF",SurveyDATA!E:E,"*MALOLOS*"),SUMIFS(SurveyDATA!#REF!,SurveyDATA!#REF!,"ISF",SurveyDATA!E:E,"*MALOLOS*"))</f>
        <v>#REF!</v>
      </c>
      <c r="F82" s="587" t="e">
        <f>SUM(SUMIFS(SurveyDATA!#REF!,SurveyDATA!#REF!,"ISF",SurveyDATA!E:E,"*MALOLOS*"),SUMIFS(SurveyDATA!#REF!,SurveyDATA!#REF!,"ISF",SurveyDATA!E:E,"*MALOLOS*"))</f>
        <v>#REF!</v>
      </c>
      <c r="G82" s="587" t="e">
        <f t="shared" ref="G82:G92" si="8">SUM(B82:F82)</f>
        <v>#REF!</v>
      </c>
      <c r="P82" s="728" t="s">
        <v>5493</v>
      </c>
      <c r="Q82" s="587" t="e">
        <f>COUNTIFS(SurveyDATA!#REF!,"ISF",SurveyDATA!E:E,"*CALOOCAN*",SurveyDATA!#REF!,"&gt;0",SurveyDATA!#REF!,"*JOB*")</f>
        <v>#REF!</v>
      </c>
      <c r="R82" s="741" t="e">
        <f>Q82/Q84</f>
        <v>#REF!</v>
      </c>
      <c r="S82" s="587" t="e">
        <f>COUNTIFS(SurveyDATA!#REF!,"ISF",SurveyDATA!E:E,"*CALOOCAN*",SurveyDATA!#REF!,"&gt;0",SurveyDATA!#REF!,"*CAPITAL*")</f>
        <v>#REF!</v>
      </c>
      <c r="T82" s="741" t="e">
        <f>S82/S84</f>
        <v>#REF!</v>
      </c>
      <c r="U82" s="587" t="e">
        <f>COUNTIFS(SurveyDATA!#REF!,"ISF",SurveyDATA!E:E,"*CALOOCAN*",SurveyDATA!#REF!,"&gt;0",SurveyDATA!#REF!,"*LIVELIHOOD*")</f>
        <v>#REF!</v>
      </c>
      <c r="V82" s="741" t="e">
        <f>U82/U84</f>
        <v>#REF!</v>
      </c>
      <c r="W82" s="587" t="e">
        <f>COUNTIFS(SurveyDATA!#REF!,"ISF",SurveyDATA!E:E,"*CALOOCAN*",SurveyDATA!#REF!,"&gt;0",SurveyDATA!#REF!,"*OTHERS*")</f>
        <v>#REF!</v>
      </c>
      <c r="X82" s="741" t="e">
        <f>W82/W84</f>
        <v>#REF!</v>
      </c>
      <c r="Y82" s="587" t="e">
        <f t="shared" si="7"/>
        <v>#REF!</v>
      </c>
      <c r="Z82" s="741" t="e">
        <f>Y82/Y84</f>
        <v>#REF!</v>
      </c>
    </row>
    <row r="83" spans="1:26" ht="15.75" thickBot="1">
      <c r="A83" s="586" t="s">
        <v>5494</v>
      </c>
      <c r="B83" s="587" t="e">
        <f>SUM(SUMIFS(SurveyDATA!#REF!,SurveyDATA!#REF!,"ISF",SurveyDATA!E:E,"*GUIGUINTO*"),SUMIFS(SurveyDATA!#REF!,SurveyDATA!#REF!,"ISF",SurveyDATA!E:E,"*GUIGUINTO*"))</f>
        <v>#REF!</v>
      </c>
      <c r="C83" s="587" t="e">
        <f>SUM(SUMIFS(SurveyDATA!#REF!,SurveyDATA!#REF!,"ISF",SurveyDATA!E:E,"*GUIGUINTO*"),SUMIFS(SurveyDATA!#REF!,SurveyDATA!#REF!,"ISF",SurveyDATA!E:E,"*GUIGUINTO*"))</f>
        <v>#REF!</v>
      </c>
      <c r="D83" s="587" t="e">
        <f>SUM(SUMIFS(SurveyDATA!#REF!,SurveyDATA!#REF!,"ISF",SurveyDATA!E:E,"*GUIGUINTO*"),SUMIFS(SurveyDATA!#REF!,SurveyDATA!#REF!,"ISF",SurveyDATA!E:E,"*GUIGUINTO*"))</f>
        <v>#REF!</v>
      </c>
      <c r="E83" s="587" t="e">
        <f>SUM(SUMIFS(SurveyDATA!#REF!,SurveyDATA!#REF!,"ISF",SurveyDATA!E:E,"*GUIGUINTO*"),SUMIFS(SurveyDATA!#REF!,SurveyDATA!#REF!,"ISF",SurveyDATA!E:E,"*GUIGUINTO*"))</f>
        <v>#REF!</v>
      </c>
      <c r="F83" s="587" t="e">
        <f>SUM(SUMIFS(SurveyDATA!#REF!,SurveyDATA!#REF!,"ISF",SurveyDATA!E:E,"*GUIGUINTO*"),SUMIFS(SurveyDATA!#REF!,SurveyDATA!#REF!,"ISF",SurveyDATA!E:E,"*GUIGUINTO*"))</f>
        <v>#REF!</v>
      </c>
      <c r="G83" s="587" t="e">
        <f t="shared" si="8"/>
        <v>#REF!</v>
      </c>
      <c r="P83" s="728" t="s">
        <v>1020</v>
      </c>
      <c r="Q83" s="587" t="e">
        <f>COUNTIFS(SurveyDATA!#REF!,"ISF",SurveyDATA!E:E,"*MANILA*",SurveyDATA!#REF!,"&gt;0",SurveyDATA!#REF!,"*JOB*")</f>
        <v>#REF!</v>
      </c>
      <c r="R83" s="741" t="e">
        <f>Q83/Q84</f>
        <v>#REF!</v>
      </c>
      <c r="S83" s="587" t="e">
        <f>COUNTIFS(SurveyDATA!#REF!,"ISF",SurveyDATA!E:E,"*MANILA*",SurveyDATA!#REF!,"&gt;0",SurveyDATA!#REF!,"*CAPITAL*")</f>
        <v>#REF!</v>
      </c>
      <c r="T83" s="741" t="e">
        <f>S83/S84</f>
        <v>#REF!</v>
      </c>
      <c r="U83" s="587" t="e">
        <f>COUNTIFS(SurveyDATA!#REF!,"ISF",SurveyDATA!E:E,"*MANILA*",SurveyDATA!#REF!,"&gt;0",SurveyDATA!#REF!,"*LIVELIHOOD*")</f>
        <v>#REF!</v>
      </c>
      <c r="V83" s="741" t="e">
        <f>U83/U84</f>
        <v>#REF!</v>
      </c>
      <c r="W83" s="587" t="e">
        <f>COUNTIFS(SurveyDATA!#REF!,"ISF",SurveyDATA!E:E,"*MANILA*",SurveyDATA!#REF!,"&gt;0",SurveyDATA!#REF!,"*OTHERS*")</f>
        <v>#REF!</v>
      </c>
      <c r="X83" s="741" t="e">
        <f>W83/W84</f>
        <v>#REF!</v>
      </c>
      <c r="Y83" s="587" t="e">
        <f t="shared" si="7"/>
        <v>#REF!</v>
      </c>
      <c r="Z83" s="741" t="e">
        <f>Y83/Y84</f>
        <v>#REF!</v>
      </c>
    </row>
    <row r="84" spans="1:26" ht="15.75" thickBot="1">
      <c r="A84" s="586" t="s">
        <v>5847</v>
      </c>
      <c r="B84" s="587" t="e">
        <f>SUM(SUMIFS(SurveyDATA!#REF!,SurveyDATA!#REF!,"ISF",SurveyDATA!E:E,"*BALAGTAS*"),SUMIFS(SurveyDATA!#REF!,SurveyDATA!#REF!,"ISF",SurveyDATA!E:E,"*BALAGTAS*"))</f>
        <v>#REF!</v>
      </c>
      <c r="C84" s="587" t="e">
        <f>SUM(SUMIFS(SurveyDATA!#REF!,SurveyDATA!#REF!,"ISF",SurveyDATA!E:E,"*BALAGTAS*"),SUMIFS(SurveyDATA!#REF!,SurveyDATA!#REF!,"ISF",SurveyDATA!E:E,"*BALAGTAS*"))</f>
        <v>#REF!</v>
      </c>
      <c r="D84" s="587" t="e">
        <f>SUM(SUMIFS(SurveyDATA!#REF!,SurveyDATA!#REF!,"ISF",SurveyDATA!E:E,"*BALAGTAS*"),SUMIFS(SurveyDATA!#REF!,SurveyDATA!#REF!,"ISF",SurveyDATA!E:E,"*BALAGTAS*"))</f>
        <v>#REF!</v>
      </c>
      <c r="E84" s="587" t="e">
        <f>SUM(SUMIFS(SurveyDATA!#REF!,SurveyDATA!#REF!,"ISF",SurveyDATA!E:E,"*BALAGTAS*"),SUMIFS(SurveyDATA!#REF!,SurveyDATA!#REF!,"ISF",SurveyDATA!E:E,"*BALAGTAS*"))</f>
        <v>#REF!</v>
      </c>
      <c r="F84" s="587" t="e">
        <f>SUM(SUMIFS(SurveyDATA!#REF!,SurveyDATA!#REF!,"ISF",SurveyDATA!E:E,"*BALAGTAS*"),SUMIFS(SurveyDATA!#REF!,SurveyDATA!#REF!,"ISF",SurveyDATA!E:E,"*BALAGTAS*"))</f>
        <v>#REF!</v>
      </c>
      <c r="G84" s="587" t="e">
        <f t="shared" si="8"/>
        <v>#REF!</v>
      </c>
      <c r="P84" s="588" t="s">
        <v>2034</v>
      </c>
      <c r="Q84" s="619" t="e">
        <f>SUM(Q75:Q83)</f>
        <v>#REF!</v>
      </c>
      <c r="R84" s="742" t="e">
        <f>Q84/Y84</f>
        <v>#REF!</v>
      </c>
      <c r="S84" s="619" t="e">
        <f>SUM(S75:S83)</f>
        <v>#REF!</v>
      </c>
      <c r="T84" s="742" t="e">
        <f>S84/Y84</f>
        <v>#REF!</v>
      </c>
      <c r="U84" s="619" t="e">
        <f>SUM(U75:U83)</f>
        <v>#REF!</v>
      </c>
      <c r="V84" s="742" t="e">
        <f>U84/Y84</f>
        <v>#REF!</v>
      </c>
      <c r="W84" s="619" t="e">
        <f>SUM(W75:W83)</f>
        <v>#REF!</v>
      </c>
      <c r="X84" s="742" t="e">
        <f>W84/Y84</f>
        <v>#REF!</v>
      </c>
      <c r="Y84" s="619" t="e">
        <f>SUM(Y75:Y83)</f>
        <v>#REF!</v>
      </c>
      <c r="Z84" s="742" t="e">
        <f>Y84/Y84</f>
        <v>#REF!</v>
      </c>
    </row>
    <row r="85" spans="1:26" ht="15.75" thickBot="1">
      <c r="A85" s="586" t="s">
        <v>771</v>
      </c>
      <c r="B85" s="587" t="e">
        <f>SUM(SUMIFS(SurveyDATA!#REF!,SurveyDATA!#REF!,"ISF",SurveyDATA!E:E,"*BOCAUE*"),SUMIFS(SurveyDATA!#REF!,SurveyDATA!#REF!,"ISF",SurveyDATA!E:E,"*BOCAUE*"))</f>
        <v>#REF!</v>
      </c>
      <c r="C85" s="587" t="e">
        <f>SUM(SUMIFS(SurveyDATA!#REF!,SurveyDATA!#REF!,"ISF",SurveyDATA!E:E,"*BOCAUE*"),SUMIFS(SurveyDATA!#REF!,SurveyDATA!#REF!,"ISF",SurveyDATA!E:E,"*BOCAUE*"))</f>
        <v>#REF!</v>
      </c>
      <c r="D85" s="587" t="e">
        <f>SUM(SUMIFS(SurveyDATA!#REF!,SurveyDATA!#REF!,"ISF",SurveyDATA!E:E,"*BOCAUE*"),SUMIFS(SurveyDATA!#REF!,SurveyDATA!#REF!,"ISF",SurveyDATA!E:E,"*BOCAUE*"))</f>
        <v>#REF!</v>
      </c>
      <c r="E85" s="587" t="e">
        <f>SUM(SUMIFS(SurveyDATA!#REF!,SurveyDATA!#REF!,"ISF",SurveyDATA!E:E,"*BOCAUE*"),SUMIFS(SurveyDATA!#REF!,SurveyDATA!#REF!,"ISF",SurveyDATA!E:E,"*BOCAUE*"))</f>
        <v>#REF!</v>
      </c>
      <c r="F85" s="587" t="e">
        <f>SUM(SUMIFS(SurveyDATA!#REF!,SurveyDATA!#REF!,"ISF",SurveyDATA!E:E,"*BOCAUE*"),SUMIFS(SurveyDATA!#REF!,SurveyDATA!#REF!,"ISF",SurveyDATA!E:E,"*BOCAUE*"))</f>
        <v>#REF!</v>
      </c>
      <c r="G85" s="587" t="e">
        <f>SUM(B85:F85)</f>
        <v>#REF!</v>
      </c>
    </row>
    <row r="86" spans="1:26" ht="15.75" thickBot="1">
      <c r="A86" s="586" t="s">
        <v>5495</v>
      </c>
      <c r="B86" s="587" t="e">
        <f>SUM(SUMIFS(SurveyDATA!#REF!,SurveyDATA!#REF!,"ISF",SurveyDATA!E:E,"*MARILAO*"),SUMIFS(SurveyDATA!#REF!,SurveyDATA!#REF!,"ISF",SurveyDATA!E:E,"*MARILAO*"))</f>
        <v>#REF!</v>
      </c>
      <c r="C86" s="587" t="e">
        <f>SUM(SUMIFS(SurveyDATA!#REF!,SurveyDATA!#REF!,"ISF",SurveyDATA!E:E,"*MARILAO*"),SUMIFS(SurveyDATA!#REF!,SurveyDATA!#REF!,"ISF",SurveyDATA!E:E,"*MARILAO*"))</f>
        <v>#REF!</v>
      </c>
      <c r="D86" s="587" t="e">
        <f>SUM(SUMIFS(SurveyDATA!#REF!,SurveyDATA!#REF!,"ISF",SurveyDATA!E:E,"*MARILAO*"),SUMIFS(SurveyDATA!#REF!,SurveyDATA!#REF!,"ISF",SurveyDATA!E:E,"*MARILAO*"))</f>
        <v>#REF!</v>
      </c>
      <c r="E86" s="587" t="e">
        <f>SUM(SUMIFS(SurveyDATA!#REF!,SurveyDATA!#REF!,"ISF",SurveyDATA!E:E,"*MARILAO*"),SUMIFS(SurveyDATA!#REF!,SurveyDATA!#REF!,"ISF",SurveyDATA!E:E,"*MARILAO*"))</f>
        <v>#REF!</v>
      </c>
      <c r="F86" s="587" t="e">
        <f>SUM(SUMIFS(SurveyDATA!#REF!,SurveyDATA!#REF!,"ISF",SurveyDATA!E:E,"*MARILAO*"),SUMIFS(SurveyDATA!#REF!,SurveyDATA!#REF!,"ISF",SurveyDATA!E:E,"*MARILAO*"))</f>
        <v>#REF!</v>
      </c>
      <c r="G86" s="587" t="e">
        <f t="shared" si="8"/>
        <v>#REF!</v>
      </c>
    </row>
    <row r="87" spans="1:26" ht="15.75" thickBot="1">
      <c r="A87" s="586" t="s">
        <v>5496</v>
      </c>
      <c r="B87" s="587" t="e">
        <f>SUM(SUMIFS(SurveyDATA!#REF!,SurveyDATA!#REF!,"ISF",SurveyDATA!E:E,"*MEYCAUAYAN*"),SUMIFS(SurveyDATA!#REF!,SurveyDATA!#REF!,"ISF",SurveyDATA!E:E,"*MEYCAUAYAN*"))</f>
        <v>#REF!</v>
      </c>
      <c r="C87" s="587" t="e">
        <f>SUM(SUMIFS(SurveyDATA!#REF!,SurveyDATA!#REF!,"ISF",SurveyDATA!E:E,"*MEYCAUAYAN*"),SUMIFS(SurveyDATA!#REF!,SurveyDATA!#REF!,"ISF",SurveyDATA!E:E,"*MEYCAUAYAN*"))</f>
        <v>#REF!</v>
      </c>
      <c r="D87" s="587" t="e">
        <f>SUM(SUMIFS(SurveyDATA!#REF!,SurveyDATA!#REF!,"ISF",SurveyDATA!E:E,"*MEYCAUAYAN*"),SUMIFS(SurveyDATA!#REF!,SurveyDATA!#REF!,"ISF",SurveyDATA!E:E,"*MEYCAUAYAN*"))</f>
        <v>#REF!</v>
      </c>
      <c r="E87" s="587" t="e">
        <f>SUM(SUMIFS(SurveyDATA!#REF!,SurveyDATA!#REF!,"ISF",SurveyDATA!E:E,"*MEYCAUAYAN*"),SUMIFS(SurveyDATA!#REF!,SurveyDATA!#REF!,"ISF",SurveyDATA!E:E,"*MEYCAUAYAN*"))</f>
        <v>#REF!</v>
      </c>
      <c r="F87" s="587" t="e">
        <f>SUM(SUMIFS(SurveyDATA!#REF!,SurveyDATA!#REF!,"ISF",SurveyDATA!E:E,"*MEYCAUAYAN*"),SUMIFS(SurveyDATA!#REF!,SurveyDATA!#REF!,"ISF",SurveyDATA!E:E,"*MEYCAUAYAN*"))</f>
        <v>#REF!</v>
      </c>
      <c r="G87" s="587" t="e">
        <f t="shared" si="8"/>
        <v>#REF!</v>
      </c>
    </row>
    <row r="88" spans="1:26" ht="15.75" thickBot="1">
      <c r="A88" s="586" t="s">
        <v>778</v>
      </c>
      <c r="B88" s="587" t="e">
        <f>SUM(SUMIFS(SurveyDATA!#REF!,SurveyDATA!#REF!,"ISF",SurveyDATA!E:E,"*VALENZUELA*"),SUMIFS(SurveyDATA!#REF!,SurveyDATA!#REF!,"ISF",SurveyDATA!E:E,"*VALENZUELA*"))</f>
        <v>#REF!</v>
      </c>
      <c r="C88" s="587" t="e">
        <f>SUM(SUMIFS(SurveyDATA!#REF!,SurveyDATA!#REF!,"ISF",SurveyDATA!E:E,"*VALENZUELA*"),SUMIFS(SurveyDATA!#REF!,SurveyDATA!#REF!,"ISF",SurveyDATA!E:E,"*VALENZUELA*"))</f>
        <v>#REF!</v>
      </c>
      <c r="D88" s="587" t="e">
        <f>SUM(SUMIFS(SurveyDATA!#REF!,SurveyDATA!#REF!,"ISF",SurveyDATA!E:E,"*VALENZUELA*"),SUMIFS(SurveyDATA!#REF!,SurveyDATA!#REF!,"ISF",SurveyDATA!E:E,"*VALENZUELA*"))</f>
        <v>#REF!</v>
      </c>
      <c r="E88" s="587" t="e">
        <f>SUM(SUMIFS(SurveyDATA!#REF!,SurveyDATA!#REF!,"ISF",SurveyDATA!E:E,"*VALENZUELA*"),SUMIFS(SurveyDATA!#REF!,SurveyDATA!#REF!,"ISF",SurveyDATA!E:E,"*VALENZUELA*"))</f>
        <v>#REF!</v>
      </c>
      <c r="F88" s="587" t="e">
        <f>SUM(SUMIFS(SurveyDATA!#REF!,SurveyDATA!#REF!,"ISF",SurveyDATA!E:E,"*VALENZUELA*"),SUMIFS(SurveyDATA!#REF!,SurveyDATA!#REF!,"ISF",SurveyDATA!E:E,"*VALENZUELA*"))</f>
        <v>#REF!</v>
      </c>
      <c r="G88" s="587" t="e">
        <f t="shared" si="8"/>
        <v>#REF!</v>
      </c>
    </row>
    <row r="89" spans="1:26" ht="15.75" thickBot="1">
      <c r="A89" s="586" t="s">
        <v>5493</v>
      </c>
      <c r="B89" s="587" t="e">
        <f>SUM(SUMIFS(SurveyDATA!#REF!,SurveyDATA!#REF!,"ISF",SurveyDATA!E:E,"*CALOOCAN*"),SUMIFS(SurveyDATA!#REF!,SurveyDATA!#REF!,"ISF",SurveyDATA!E:E,"*CALOOCAN*"))</f>
        <v>#REF!</v>
      </c>
      <c r="C89" s="587" t="e">
        <f>SUM(SUMIFS(SurveyDATA!#REF!,SurveyDATA!#REF!,"ISF",SurveyDATA!E:E,"*CALOOCAN*"),SUMIFS(SurveyDATA!#REF!,SurveyDATA!#REF!,"ISF",SurveyDATA!E:E,"*CALOOCAN*"))</f>
        <v>#REF!</v>
      </c>
      <c r="D89" s="587" t="e">
        <f>SUM(SUMIFS(SurveyDATA!#REF!,SurveyDATA!#REF!,"ISF",SurveyDATA!E:E,"*CALOOCAN*"),SUMIFS(SurveyDATA!#REF!,SurveyDATA!#REF!,"ISF",SurveyDATA!E:E,"*CALOOCAN*"))</f>
        <v>#REF!</v>
      </c>
      <c r="E89" s="587" t="e">
        <f>SUM(SUMIFS(SurveyDATA!#REF!,SurveyDATA!#REF!,"ISF",SurveyDATA!E:E,"*CALOOCAN*"),SUMIFS(SurveyDATA!#REF!,SurveyDATA!#REF!,"ISF",SurveyDATA!E:E,"*CALOOCAN*"))</f>
        <v>#REF!</v>
      </c>
      <c r="F89" s="587" t="e">
        <f>SUM(SUMIFS(SurveyDATA!#REF!,SurveyDATA!#REF!,"ISF",SurveyDATA!E:E,"*CALOOCAN*"),SUMIFS(SurveyDATA!#REF!,SurveyDATA!#REF!,"ISF",SurveyDATA!E:E,"*CALOOCAN*"))</f>
        <v>#REF!</v>
      </c>
      <c r="G89" s="587" t="e">
        <f t="shared" si="8"/>
        <v>#REF!</v>
      </c>
    </row>
    <row r="90" spans="1:26" ht="15.75" thickBot="1">
      <c r="A90" s="586" t="s">
        <v>1020</v>
      </c>
      <c r="B90" s="587" t="e">
        <f>SUM(SUMIFS(SurveyDATA!#REF!,SurveyDATA!#REF!,"ISF",SurveyDATA!E:E,"*MANILA*"),SUMIFS(SurveyDATA!#REF!,SurveyDATA!#REF!,"ISF",SurveyDATA!E:E,"*MANILA*"))</f>
        <v>#REF!</v>
      </c>
      <c r="C90" s="587" t="e">
        <f>SUM(SUMIFS(SurveyDATA!#REF!,SurveyDATA!#REF!,"ISF",SurveyDATA!E:E,"*MANILA*"),SUMIFS(SurveyDATA!#REF!,SurveyDATA!#REF!,"ISF",SurveyDATA!E:E,"*MANILA*"))</f>
        <v>#REF!</v>
      </c>
      <c r="D90" s="587" t="e">
        <f>SUM(SUMIFS(SurveyDATA!#REF!,SurveyDATA!#REF!,"ISF",SurveyDATA!E:E,"*MANILA*"),SUMIFS(SurveyDATA!#REF!,SurveyDATA!#REF!,"ISF",SurveyDATA!E:E,"*MANILA*"))</f>
        <v>#REF!</v>
      </c>
      <c r="E90" s="587" t="e">
        <f>SUM(SUMIFS(SurveyDATA!#REF!,SurveyDATA!#REF!,"ISF",SurveyDATA!E:E,"*MANILA*"),SUMIFS(SurveyDATA!#REF!,SurveyDATA!#REF!,"ISF",SurveyDATA!E:E,"*MANILA*"))</f>
        <v>#REF!</v>
      </c>
      <c r="F90" s="587" t="e">
        <f>SUM(SUMIFS(SurveyDATA!#REF!,SurveyDATA!#REF!,"ISF",SurveyDATA!E:E,"*MANILA*"),SUMIFS(SurveyDATA!#REF!,SurveyDATA!#REF!,"ISF",SurveyDATA!E:E,"*MANILA*"))</f>
        <v>#REF!</v>
      </c>
      <c r="G90" s="587" t="e">
        <f t="shared" si="8"/>
        <v>#REF!</v>
      </c>
    </row>
    <row r="91" spans="1:26" ht="15.75" thickBot="1">
      <c r="A91" s="588" t="s">
        <v>2034</v>
      </c>
      <c r="B91" s="619" t="e">
        <f>SUM(B82:B90)</f>
        <v>#REF!</v>
      </c>
      <c r="C91" s="619" t="e">
        <f>SUM(C82:C90)</f>
        <v>#REF!</v>
      </c>
      <c r="D91" s="619" t="e">
        <f>SUM(D82:D90)</f>
        <v>#REF!</v>
      </c>
      <c r="E91" s="619" t="e">
        <f>SUM(E82:E90)</f>
        <v>#REF!</v>
      </c>
      <c r="F91" s="619" t="e">
        <f>SUM(F82:F90)</f>
        <v>#REF!</v>
      </c>
      <c r="G91" s="619" t="e">
        <f t="shared" si="8"/>
        <v>#REF!</v>
      </c>
    </row>
    <row r="92" spans="1:26" ht="15.75" thickBot="1">
      <c r="A92" s="590" t="s">
        <v>7243</v>
      </c>
      <c r="B92" s="591" t="e">
        <f>G91/B91</f>
        <v>#REF!</v>
      </c>
      <c r="C92" s="591" t="e">
        <f>B91/G91</f>
        <v>#REF!</v>
      </c>
      <c r="D92" s="591" t="e">
        <f>D91/G91</f>
        <v>#REF!</v>
      </c>
      <c r="E92" s="591" t="e">
        <f>E91/G91</f>
        <v>#REF!</v>
      </c>
      <c r="F92" s="591" t="e">
        <f>F91/G91</f>
        <v>#REF!</v>
      </c>
      <c r="G92" s="591" t="e">
        <f t="shared" si="8"/>
        <v>#REF!</v>
      </c>
    </row>
    <row r="95" spans="1:26">
      <c r="A95" s="635" t="s">
        <v>7264</v>
      </c>
    </row>
    <row r="97" spans="1:6">
      <c r="A97" s="630"/>
      <c r="B97" s="632"/>
      <c r="C97" s="632" t="s">
        <v>7266</v>
      </c>
      <c r="D97" s="632" t="s">
        <v>7267</v>
      </c>
      <c r="E97" s="632" t="s">
        <v>7268</v>
      </c>
      <c r="F97" s="632"/>
    </row>
    <row r="98" spans="1:6">
      <c r="A98" s="631" t="s">
        <v>7214</v>
      </c>
      <c r="B98" s="634" t="s">
        <v>7265</v>
      </c>
      <c r="C98" s="633" t="s">
        <v>7269</v>
      </c>
      <c r="D98" s="633" t="s">
        <v>7269</v>
      </c>
      <c r="E98" s="633" t="s">
        <v>7269</v>
      </c>
      <c r="F98" s="633" t="s">
        <v>2034</v>
      </c>
    </row>
    <row r="99" spans="1:6" ht="15.75" thickBot="1">
      <c r="A99" s="586" t="s">
        <v>5848</v>
      </c>
      <c r="B99" s="587" t="e">
        <f>SUM(SUMIFS(SurveyDATA!#REF!,SurveyDATA!#REF!,"ISF",SurveyDATA!E:E,"*BOCAUE*"),SUMIFS(SurveyDATA!#REF!,SurveyDATA!#REF!,"ISF",SurveyDATA!E:E,"*BOCAUE*"))</f>
        <v>#REF!</v>
      </c>
      <c r="C99" s="587" t="e">
        <f>SUM(SUMIFS(SurveyDATA!#REF!,SurveyDATA!#REF!,"ISF",SurveyDATA!E:E,"*MALOLOS*"),SUMIFS(SurveyDATA!#REF!,SurveyDATA!#REF!,"ISF",SurveyDATA!E:E,"*MALOLOS*"))</f>
        <v>#REF!</v>
      </c>
      <c r="D99" s="587" t="e">
        <f>SUM(SUMIFS(SurveyDATA!#REF!,SurveyDATA!#REF!,"ISF",SurveyDATA!E:E,"*MALOLOS*"),SUMIFS(SurveyDATA!#REF!,SurveyDATA!#REF!,"ISF",SurveyDATA!E:E,"*MALOLOS*"))</f>
        <v>#REF!</v>
      </c>
      <c r="E99" s="587" t="e">
        <f>SUM(SUMIFS(SurveyDATA!#REF!,SurveyDATA!#REF!,"ISF",SurveyDATA!E:E,"*MALOLOS*"),SUMIFS(SurveyDATA!#REF!,SurveyDATA!#REF!,"ISF",SurveyDATA!E:E,"*MALOLOS*"))</f>
        <v>#REF!</v>
      </c>
      <c r="F99" s="587" t="e">
        <f>SUM(B99:E99)</f>
        <v>#REF!</v>
      </c>
    </row>
    <row r="100" spans="1:6" ht="15.75" thickBot="1">
      <c r="A100" s="586" t="s">
        <v>5494</v>
      </c>
      <c r="B100" s="587" t="e">
        <f>SUM(SUMIFS(SurveyDATA!#REF!,SurveyDATA!#REF!,"ISF",SurveyDATA!E:E,"*GUIGUINTO*"),SUMIFS(SurveyDATA!#REF!,SurveyDATA!#REF!,"ISF",SurveyDATA!E:E,"*GUIGUINTO*"))</f>
        <v>#REF!</v>
      </c>
      <c r="C100" s="587" t="e">
        <f>SUM(SUMIFS(SurveyDATA!#REF!,SurveyDATA!#REF!,"ISF",SurveyDATA!E:E,"*GUIGUINTO*"),SUMIFS(SurveyDATA!#REF!,SurveyDATA!#REF!,"ISF",SurveyDATA!E:E,"*GUIGUINTO*"))</f>
        <v>#REF!</v>
      </c>
      <c r="D100" s="587" t="e">
        <f>SUM(SUMIFS(SurveyDATA!#REF!,SurveyDATA!#REF!,"ISF",SurveyDATA!E:E,"*GUIGUINTO*"),SUMIFS(SurveyDATA!#REF!,SurveyDATA!#REF!,"ISF",SurveyDATA!E:E,"*GUIGUINTO*"))</f>
        <v>#REF!</v>
      </c>
      <c r="E100" s="587" t="e">
        <f>SUM(SUMIFS(SurveyDATA!#REF!,SurveyDATA!#REF!,"ISF",SurveyDATA!E:E,"*GUIGUINTO*"),SUMIFS(SurveyDATA!#REF!,SurveyDATA!#REF!,"ISF",SurveyDATA!E:E,"*GUIGUINTO*"))</f>
        <v>#REF!</v>
      </c>
      <c r="F100" s="587" t="e">
        <f t="shared" ref="F100:F109" si="9">SUM(B100:E100)</f>
        <v>#REF!</v>
      </c>
    </row>
    <row r="101" spans="1:6" ht="15.75" thickBot="1">
      <c r="A101" s="586" t="s">
        <v>5847</v>
      </c>
      <c r="B101" s="587" t="e">
        <f>SUM(SUMIFS(SurveyDATA!#REF!,SurveyDATA!#REF!,"ISF",SurveyDATA!E:E,"*BALAGTAS*"),SUMIFS(SurveyDATA!#REF!,SurveyDATA!#REF!,"ISF",SurveyDATA!E:E,"*BALAGTAS*"))</f>
        <v>#REF!</v>
      </c>
      <c r="C101" s="587" t="e">
        <f>SUM(SUMIFS(SurveyDATA!#REF!,SurveyDATA!#REF!,"ISF",SurveyDATA!E:E,"*BALAGTAS*"),SUMIFS(SurveyDATA!#REF!,SurveyDATA!#REF!,"ISF",SurveyDATA!E:E,"*BALAGTAS*"))</f>
        <v>#REF!</v>
      </c>
      <c r="D101" s="587" t="e">
        <f>SUM(SUMIFS(SurveyDATA!#REF!,SurveyDATA!#REF!,"ISF",SurveyDATA!E:E,"*BALAGTAS*"),SUMIFS(SurveyDATA!#REF!,SurveyDATA!#REF!,"ISF",SurveyDATA!E:E,"*BALAGTAS*"))</f>
        <v>#REF!</v>
      </c>
      <c r="E101" s="587" t="e">
        <f>SUM(SUMIFS(SurveyDATA!#REF!,SurveyDATA!#REF!,"ISF",SurveyDATA!E:E,"*BALAGTAS*"),SUMIFS(SurveyDATA!#REF!,SurveyDATA!#REF!,"ISF",SurveyDATA!E:E,"*BALAGTAS*"))</f>
        <v>#REF!</v>
      </c>
      <c r="F101" s="587" t="e">
        <f t="shared" si="9"/>
        <v>#REF!</v>
      </c>
    </row>
    <row r="102" spans="1:6" ht="15.75" thickBot="1">
      <c r="A102" s="586" t="s">
        <v>771</v>
      </c>
      <c r="B102" s="587" t="e">
        <f>SUM(SUMIFS(SurveyDATA!#REF!,SurveyDATA!#REF!,"ISF",SurveyDATA!E:E,"*BOCAUE*"),SUMIFS(SurveyDATA!#REF!,SurveyDATA!#REF!,"ISF",SurveyDATA!E:E,"*BOCAUE*"))</f>
        <v>#REF!</v>
      </c>
      <c r="C102" s="587" t="e">
        <f>SUM(SUMIFS(SurveyDATA!#REF!,SurveyDATA!#REF!,"ISF",SurveyDATA!E:E,"*BOCAUE*"),SUMIFS(SurveyDATA!#REF!,SurveyDATA!#REF!,"ISF",SurveyDATA!E:E,"*BOCAUE*"))</f>
        <v>#REF!</v>
      </c>
      <c r="D102" s="587" t="e">
        <f>SUM(SUMIFS(SurveyDATA!#REF!,SurveyDATA!#REF!,"ISF",SurveyDATA!E:E,"*BOCAUE*"),SUMIFS(SurveyDATA!#REF!,SurveyDATA!#REF!,"ISF",SurveyDATA!E:E,"*BOCAUE*"))</f>
        <v>#REF!</v>
      </c>
      <c r="E102" s="587" t="e">
        <f>SUM(SUMIFS(SurveyDATA!#REF!,SurveyDATA!#REF!,"ISF",SurveyDATA!E:E,"*BOCAUE*"),SUMIFS(SurveyDATA!#REF!,SurveyDATA!#REF!,"ISF",SurveyDATA!E:E,"*BOCAUE*"))</f>
        <v>#REF!</v>
      </c>
      <c r="F102" s="587" t="e">
        <f t="shared" si="9"/>
        <v>#REF!</v>
      </c>
    </row>
    <row r="103" spans="1:6" ht="15.75" thickBot="1">
      <c r="A103" s="586" t="s">
        <v>5495</v>
      </c>
      <c r="B103" s="587" t="e">
        <f>SUM(SUMIFS(SurveyDATA!#REF!,SurveyDATA!#REF!,"ISF",SurveyDATA!E:E,"*MARILAO*"),SUMIFS(SurveyDATA!#REF!,SurveyDATA!#REF!,"ISF",SurveyDATA!E:E,"*MARILAO*"))</f>
        <v>#REF!</v>
      </c>
      <c r="C103" s="587" t="e">
        <f>SUM(SUMIFS(SurveyDATA!#REF!,SurveyDATA!#REF!,"ISF",SurveyDATA!E:E,"*MARILAO*"),SUMIFS(SurveyDATA!#REF!,SurveyDATA!#REF!,"ISF",SurveyDATA!E:E,"*MARILAO*"))</f>
        <v>#REF!</v>
      </c>
      <c r="D103" s="587" t="e">
        <f>SUM(SUMIFS(SurveyDATA!#REF!,SurveyDATA!#REF!,"ISF",SurveyDATA!E:E,"*MARILAO*"),SUMIFS(SurveyDATA!#REF!,SurveyDATA!#REF!,"ISF",SurveyDATA!E:E,"*MARILAO*"))</f>
        <v>#REF!</v>
      </c>
      <c r="E103" s="587" t="e">
        <f>SUM(SUMIFS(SurveyDATA!#REF!,SurveyDATA!#REF!,"ISF",SurveyDATA!E:E,"*MARILAO*"),SUMIFS(SurveyDATA!#REF!,SurveyDATA!#REF!,"ISF",SurveyDATA!E:E,"*MARILAO*"))</f>
        <v>#REF!</v>
      </c>
      <c r="F103" s="587" t="e">
        <f t="shared" si="9"/>
        <v>#REF!</v>
      </c>
    </row>
    <row r="104" spans="1:6" ht="15.75" thickBot="1">
      <c r="A104" s="586" t="s">
        <v>5496</v>
      </c>
      <c r="B104" s="587" t="e">
        <f>SUM(SUMIFS(SurveyDATA!#REF!,SurveyDATA!#REF!,"ISF",SurveyDATA!E:E,"*MEYCAUAYAN*"),SUMIFS(SurveyDATA!#REF!,SurveyDATA!#REF!,"ISF",SurveyDATA!E:E,"*MEYCAUAYAN*"))</f>
        <v>#REF!</v>
      </c>
      <c r="C104" s="587" t="e">
        <f>SUM(SUMIFS(SurveyDATA!#REF!,SurveyDATA!#REF!,"ISF",SurveyDATA!E:E,"*MEYCAUAYAN*"),SUMIFS(SurveyDATA!#REF!,SurveyDATA!#REF!,"ISF",SurveyDATA!E:E,"*MEYCAUAYAN*"))</f>
        <v>#REF!</v>
      </c>
      <c r="D104" s="587" t="e">
        <f>SUM(SUMIFS(SurveyDATA!#REF!,SurveyDATA!#REF!,"ISF",SurveyDATA!E:E,"*MEYCAUAYAN*"),SUMIFS(SurveyDATA!#REF!,SurveyDATA!#REF!,"ISF",SurveyDATA!E:E,"*MEYCAUAYAN*"))</f>
        <v>#REF!</v>
      </c>
      <c r="E104" s="587" t="e">
        <f>SUM(SUMIFS(SurveyDATA!#REF!,SurveyDATA!#REF!,"ISF",SurveyDATA!E:E,"*MEYCAUAYAN*"),SUMIFS(SurveyDATA!#REF!,SurveyDATA!#REF!,"ISF",SurveyDATA!E:E,"*MEYCAUAYAN*"))</f>
        <v>#REF!</v>
      </c>
      <c r="F104" s="587" t="e">
        <f t="shared" si="9"/>
        <v>#REF!</v>
      </c>
    </row>
    <row r="105" spans="1:6" ht="15.75" thickBot="1">
      <c r="A105" s="586" t="s">
        <v>778</v>
      </c>
      <c r="B105" s="587" t="e">
        <f>SUM(SUMIFS(SurveyDATA!#REF!,SurveyDATA!#REF!,"ISF",SurveyDATA!E:E,"*VALENZUELA*"),SUMIFS(SurveyDATA!#REF!,SurveyDATA!#REF!,"ISF",SurveyDATA!E:E,"*VALENZUELA*"))</f>
        <v>#REF!</v>
      </c>
      <c r="C105" s="587" t="e">
        <f>SUM(SUMIFS(SurveyDATA!#REF!,SurveyDATA!#REF!,"ISF",SurveyDATA!E:E,"*VALENZUELA*"),SUMIFS(SurveyDATA!#REF!,SurveyDATA!#REF!,"ISF",SurveyDATA!E:E,"*VALENZUELA*"))</f>
        <v>#REF!</v>
      </c>
      <c r="D105" s="587" t="e">
        <f>SUM(SUMIFS(SurveyDATA!#REF!,SurveyDATA!#REF!,"ISF",SurveyDATA!E:E,"*VALENZUELA*"),SUMIFS(SurveyDATA!#REF!,SurveyDATA!#REF!,"ISF",SurveyDATA!E:E,"*VALENZUELA*"))</f>
        <v>#REF!</v>
      </c>
      <c r="E105" s="587" t="e">
        <f>SUM(SUMIFS(SurveyDATA!#REF!,SurveyDATA!#REF!,"ISF",SurveyDATA!E:E,"*VALENZUELA*"),SUMIFS(SurveyDATA!#REF!,SurveyDATA!#REF!,"ISF",SurveyDATA!E:E,"*VALENZUELA*"))</f>
        <v>#REF!</v>
      </c>
      <c r="F105" s="587" t="e">
        <f t="shared" si="9"/>
        <v>#REF!</v>
      </c>
    </row>
    <row r="106" spans="1:6" ht="15.75" thickBot="1">
      <c r="A106" s="586" t="s">
        <v>5493</v>
      </c>
      <c r="B106" s="587" t="e">
        <f>SUM(SUMIFS(SurveyDATA!#REF!,SurveyDATA!#REF!,"ISF",SurveyDATA!E:E,"*CALOOCAN*"),SUMIFS(SurveyDATA!#REF!,SurveyDATA!#REF!,"ISF",SurveyDATA!E:E,"*CALOOCAN*"))</f>
        <v>#REF!</v>
      </c>
      <c r="C106" s="587" t="e">
        <f>SUM(SUMIFS(SurveyDATA!#REF!,SurveyDATA!#REF!,"ISF",SurveyDATA!E:E,"*CALOOCAN*"),SUMIFS(SurveyDATA!#REF!,SurveyDATA!#REF!,"ISF",SurveyDATA!E:E,"*CALOCAN*"))</f>
        <v>#REF!</v>
      </c>
      <c r="D106" s="587" t="e">
        <f>SUM(SUMIFS(SurveyDATA!#REF!,SurveyDATA!#REF!,"ISF",SurveyDATA!E:E,"*CALOOCAN*"),SUMIFS(SurveyDATA!#REF!,SurveyDATA!#REF!,"ISF",SurveyDATA!E:E,"*CALOOCAN*"))</f>
        <v>#REF!</v>
      </c>
      <c r="E106" s="587" t="e">
        <f>SUM(SUMIFS(SurveyDATA!#REF!,SurveyDATA!#REF!,"ISF",SurveyDATA!E:E,"*CALOOCAN*"),SUMIFS(SurveyDATA!#REF!,SurveyDATA!#REF!,"ISF",SurveyDATA!E:E,"*CALOOCAN*"))</f>
        <v>#REF!</v>
      </c>
      <c r="F106" s="587" t="e">
        <f t="shared" si="9"/>
        <v>#REF!</v>
      </c>
    </row>
    <row r="107" spans="1:6" ht="15.75" thickBot="1">
      <c r="A107" s="586" t="s">
        <v>1020</v>
      </c>
      <c r="B107" s="587" t="e">
        <f>SUM(SUMIFS(SurveyDATA!#REF!,SurveyDATA!#REF!,"ISF",SurveyDATA!E:E,"*MANILA*"),SUMIFS(SurveyDATA!#REF!,SurveyDATA!#REF!,"ISF",SurveyDATA!E:E,"*MANILA*"))</f>
        <v>#REF!</v>
      </c>
      <c r="C107" s="587" t="e">
        <f>SUM(SUMIFS(SurveyDATA!#REF!,SurveyDATA!#REF!,"ISF",SurveyDATA!E:E,"*MANILA*"),SUMIFS(SurveyDATA!#REF!,SurveyDATA!#REF!,"ISF",SurveyDATA!E:E,"*MANILA*"))</f>
        <v>#REF!</v>
      </c>
      <c r="D107" s="587" t="e">
        <f>SUM(SUMIFS(SurveyDATA!#REF!,SurveyDATA!#REF!,"ISF",SurveyDATA!E:E,"*MANILA*"),SUMIFS(SurveyDATA!#REF!,SurveyDATA!#REF!,"ISF",SurveyDATA!E:E,"*MANILA*"))</f>
        <v>#REF!</v>
      </c>
      <c r="E107" s="587" t="e">
        <f>SUM(SUMIFS(SurveyDATA!#REF!,SurveyDATA!#REF!,"ISF",SurveyDATA!E:E,"*MANILA*"),SUMIFS(SurveyDATA!#REF!,SurveyDATA!#REF!,"ISF",SurveyDATA!E:E,"*MANILA*"))</f>
        <v>#REF!</v>
      </c>
      <c r="F107" s="587" t="e">
        <f t="shared" si="9"/>
        <v>#REF!</v>
      </c>
    </row>
    <row r="108" spans="1:6" ht="15.75" thickBot="1">
      <c r="A108" s="588" t="s">
        <v>2034</v>
      </c>
      <c r="B108" s="619" t="e">
        <f>SUM(B99:B107)</f>
        <v>#REF!</v>
      </c>
      <c r="C108" s="619" t="e">
        <f>SUM(C99:C107)</f>
        <v>#REF!</v>
      </c>
      <c r="D108" s="619" t="e">
        <f>SUM(D99:D107)</f>
        <v>#REF!</v>
      </c>
      <c r="E108" s="619" t="e">
        <f>SUM(E99:E107)</f>
        <v>#REF!</v>
      </c>
      <c r="F108" s="619" t="e">
        <f t="shared" si="9"/>
        <v>#REF!</v>
      </c>
    </row>
    <row r="109" spans="1:6" ht="15.75" thickBot="1">
      <c r="A109" s="590" t="s">
        <v>7243</v>
      </c>
      <c r="B109" s="591" t="e">
        <f>B108/F108</f>
        <v>#REF!</v>
      </c>
      <c r="C109" s="591" t="e">
        <f>C108/F108</f>
        <v>#REF!</v>
      </c>
      <c r="D109" s="591" t="e">
        <f>D108/F108</f>
        <v>#REF!</v>
      </c>
      <c r="E109" s="591" t="e">
        <f>E108/F108</f>
        <v>#REF!</v>
      </c>
      <c r="F109" s="629" t="e">
        <f t="shared" si="9"/>
        <v>#REF!</v>
      </c>
    </row>
    <row r="112" spans="1:6">
      <c r="A112" s="594" t="s">
        <v>7272</v>
      </c>
    </row>
    <row r="114" spans="1:5">
      <c r="A114" s="643"/>
      <c r="B114" s="645" t="s">
        <v>7270</v>
      </c>
      <c r="C114" s="645" t="s">
        <v>7277</v>
      </c>
      <c r="D114" s="647" t="s">
        <v>7271</v>
      </c>
      <c r="E114" s="643"/>
    </row>
    <row r="115" spans="1:5">
      <c r="A115" s="644" t="s">
        <v>7214</v>
      </c>
      <c r="B115" s="646"/>
      <c r="C115" s="646" t="s">
        <v>7276</v>
      </c>
      <c r="D115" s="648"/>
      <c r="E115" s="644" t="s">
        <v>2034</v>
      </c>
    </row>
    <row r="116" spans="1:5">
      <c r="A116" s="641" t="s">
        <v>5848</v>
      </c>
      <c r="B116" s="642" t="e">
        <f>COUNTIFS(SurveyDATA!#REF!,"ISF",SurveyDATA!E:E,"*MALOLOS*",SurveyDATA!AB:AB,"*LESS*")</f>
        <v>#REF!</v>
      </c>
      <c r="C116" s="642" t="e">
        <f>COUNTIFS(SurveyDATA!#REF!,"ISF",SurveyDATA!E:E,"*MALOLOS*",SurveyDATA!AB:AB,"*YRS*")</f>
        <v>#REF!</v>
      </c>
      <c r="D116" s="642" t="e">
        <f>COUNTIFS(SurveyDATA!#REF!,"ISF",SurveyDATA!E:E,"*MALOLOS*",SurveyDATA!AB:AB,"*15*")</f>
        <v>#REF!</v>
      </c>
      <c r="E116" s="642" t="e">
        <f>SUM(B116:D116)</f>
        <v>#REF!</v>
      </c>
    </row>
    <row r="117" spans="1:5">
      <c r="A117" s="636" t="s">
        <v>5494</v>
      </c>
      <c r="B117" s="637" t="e">
        <f>COUNTIFS(SurveyDATA!#REF!,"ISF",SurveyDATA!E:E,"*GUIGUINTO*",SurveyDATA!AB:AB,"*LESS*")</f>
        <v>#REF!</v>
      </c>
      <c r="C117" s="637" t="e">
        <f>COUNTIFS(SurveyDATA!#REF!,"ISF",SurveyDATA!E:E,"*GUIGUINTO*",SurveyDATA!AB:AB,"*YRS*")</f>
        <v>#REF!</v>
      </c>
      <c r="D117" s="637" t="e">
        <f>COUNTIFS(SurveyDATA!#REF!,"ISF",SurveyDATA!E:E,"*GUIGUINTO*",SurveyDATA!AB:AB,"*15*")</f>
        <v>#REF!</v>
      </c>
      <c r="E117" s="637" t="e">
        <f t="shared" ref="E117:E124" si="10">SUM(B117:D117)</f>
        <v>#REF!</v>
      </c>
    </row>
    <row r="118" spans="1:5">
      <c r="A118" s="636" t="s">
        <v>5847</v>
      </c>
      <c r="B118" s="637" t="e">
        <f>COUNTIFS(SurveyDATA!#REF!,"ISF",SurveyDATA!E:E,"*BALAGTAS*",SurveyDATA!AB:AB,"*LESS*")</f>
        <v>#REF!</v>
      </c>
      <c r="C118" s="637" t="e">
        <f>COUNTIFS(SurveyDATA!#REF!,"ISF",SurveyDATA!E:E,"*BALAGTAS*",SurveyDATA!AB:AB,"*YRS*")</f>
        <v>#REF!</v>
      </c>
      <c r="D118" s="637" t="e">
        <f>COUNTIFS(SurveyDATA!#REF!,"ISF",SurveyDATA!E:E,"*BALAGTAS*",SurveyDATA!AB:AB,"*15*")</f>
        <v>#REF!</v>
      </c>
      <c r="E118" s="637" t="e">
        <f t="shared" si="10"/>
        <v>#REF!</v>
      </c>
    </row>
    <row r="119" spans="1:5">
      <c r="A119" s="636" t="s">
        <v>771</v>
      </c>
      <c r="B119" s="637" t="e">
        <f>COUNTIFS(SurveyDATA!#REF!,"ISF",SurveyDATA!E:E,"*BOCAUE*",SurveyDATA!AB:AB,"*LESS*")</f>
        <v>#REF!</v>
      </c>
      <c r="C119" s="637" t="e">
        <f>COUNTIFS(SurveyDATA!#REF!,"ISF",SurveyDATA!E:E,"*BOCAUE*",SurveyDATA!AB:AB,"*YRS*")</f>
        <v>#REF!</v>
      </c>
      <c r="D119" s="637" t="e">
        <f>COUNTIFS(SurveyDATA!#REF!,"ISF",SurveyDATA!E:E,"*BOCAUE*",SurveyDATA!AB:AB,"*15*")</f>
        <v>#REF!</v>
      </c>
      <c r="E119" s="637" t="e">
        <f t="shared" si="10"/>
        <v>#REF!</v>
      </c>
    </row>
    <row r="120" spans="1:5">
      <c r="A120" s="636" t="s">
        <v>5495</v>
      </c>
      <c r="B120" s="637" t="e">
        <f>COUNTIFS(SurveyDATA!#REF!,"ISF",SurveyDATA!E:E,"*MARILAO*",SurveyDATA!AB:AB,"*LESS*")</f>
        <v>#REF!</v>
      </c>
      <c r="C120" s="637" t="e">
        <f>COUNTIFS(SurveyDATA!#REF!,"ISF",SurveyDATA!E:E,"*MARILAO*",SurveyDATA!AB:AB,"*YRS*")</f>
        <v>#REF!</v>
      </c>
      <c r="D120" s="637" t="e">
        <f>COUNTIFS(SurveyDATA!#REF!,"ISF",SurveyDATA!E:E,"*NARILAO*",SurveyDATA!AB:AB,"*15*")</f>
        <v>#REF!</v>
      </c>
      <c r="E120" s="637" t="e">
        <f t="shared" si="10"/>
        <v>#REF!</v>
      </c>
    </row>
    <row r="121" spans="1:5">
      <c r="A121" s="636" t="s">
        <v>5496</v>
      </c>
      <c r="B121" s="637" t="e">
        <f>COUNTIFS(SurveyDATA!#REF!,"ISF",SurveyDATA!E:E,"*MEYCAUAYAN*",SurveyDATA!AB:AB,"*LESS*")</f>
        <v>#REF!</v>
      </c>
      <c r="C121" s="637" t="e">
        <f>COUNTIFS(SurveyDATA!#REF!,"ISF",SurveyDATA!E:E,"*MEYCAUAYAN*",SurveyDATA!AB:AB,"*YRS*")</f>
        <v>#REF!</v>
      </c>
      <c r="D121" s="637" t="e">
        <f>COUNTIFS(SurveyDATA!#REF!,"ISF",SurveyDATA!E:E,"*MEYCAUAYAN*",SurveyDATA!AB:AB,"*15*")</f>
        <v>#REF!</v>
      </c>
      <c r="E121" s="637" t="e">
        <f t="shared" si="10"/>
        <v>#REF!</v>
      </c>
    </row>
    <row r="122" spans="1:5">
      <c r="A122" s="636" t="s">
        <v>778</v>
      </c>
      <c r="B122" s="637" t="e">
        <f>COUNTIFS(SurveyDATA!#REF!,"ISF",SurveyDATA!E:E,"*VALENZUELA*",SurveyDATA!AB:AB,"*LESS*")</f>
        <v>#REF!</v>
      </c>
      <c r="C122" s="637" t="e">
        <f>COUNTIFS(SurveyDATA!#REF!,"ISF",SurveyDATA!E:E,"*VALENZUELA*",SurveyDATA!AB:AB,"*YRS*")</f>
        <v>#REF!</v>
      </c>
      <c r="D122" s="637" t="e">
        <f>COUNTIFS(SurveyDATA!#REF!,"ISF",SurveyDATA!E:E,"*VALENZUELA*",SurveyDATA!AB:AB,"*15*")</f>
        <v>#REF!</v>
      </c>
      <c r="E122" s="637" t="e">
        <f t="shared" si="10"/>
        <v>#REF!</v>
      </c>
    </row>
    <row r="123" spans="1:5">
      <c r="A123" s="636" t="s">
        <v>5493</v>
      </c>
      <c r="B123" s="637" t="e">
        <f>COUNTIFS(SurveyDATA!#REF!,"ISF",SurveyDATA!E:E,"*CALOOCAN*",SurveyDATA!AB:AB,"*LESS*")</f>
        <v>#REF!</v>
      </c>
      <c r="C123" s="637" t="e">
        <f>COUNTIFS(SurveyDATA!#REF!,"ISF",SurveyDATA!E:E,"*CALOOCAN*",SurveyDATA!AB:AB,"*YRS*")</f>
        <v>#REF!</v>
      </c>
      <c r="D123" s="637" t="e">
        <f>COUNTIFS(SurveyDATA!#REF!,"ISF",SurveyDATA!E:E,"*CALOOCAN*",SurveyDATA!AB:AB,"*15*")</f>
        <v>#REF!</v>
      </c>
      <c r="E123" s="637" t="e">
        <f t="shared" si="10"/>
        <v>#REF!</v>
      </c>
    </row>
    <row r="124" spans="1:5">
      <c r="A124" s="636" t="s">
        <v>1020</v>
      </c>
      <c r="B124" s="637" t="e">
        <f>COUNTIFS(SurveyDATA!#REF!,"ISF",SurveyDATA!E:E,"*MANILA*",SurveyDATA!AB:AB,"*LESS*")</f>
        <v>#REF!</v>
      </c>
      <c r="C124" s="637" t="e">
        <f>COUNTIFS(SurveyDATA!#REF!,"ISF",SurveyDATA!E:E,"*MANILA*",SurveyDATA!AB:AB,"*YRS*")</f>
        <v>#REF!</v>
      </c>
      <c r="D124" s="637" t="e">
        <f>COUNTIFS(SurveyDATA!#REF!,"ISF",SurveyDATA!E:E,"*MANILA*",SurveyDATA!AB:AB,"*15*")</f>
        <v>#REF!</v>
      </c>
      <c r="E124" s="637" t="e">
        <f t="shared" si="10"/>
        <v>#REF!</v>
      </c>
    </row>
    <row r="125" spans="1:5">
      <c r="A125" s="638" t="s">
        <v>2034</v>
      </c>
      <c r="B125" s="638" t="e">
        <f>SUM(B116:B124)</f>
        <v>#REF!</v>
      </c>
      <c r="C125" s="638" t="e">
        <f>SUM(C116:C124)</f>
        <v>#REF!</v>
      </c>
      <c r="D125" s="638" t="e">
        <f>SUM(D116:D124)</f>
        <v>#REF!</v>
      </c>
      <c r="E125" s="694" t="e">
        <f>SUM(E116:E124)</f>
        <v>#REF!</v>
      </c>
    </row>
    <row r="126" spans="1:5">
      <c r="A126" s="637" t="s">
        <v>7243</v>
      </c>
      <c r="B126" s="640" t="e">
        <f>B125/E125</f>
        <v>#REF!</v>
      </c>
      <c r="C126" s="640" t="e">
        <f>C125/E125</f>
        <v>#REF!</v>
      </c>
      <c r="D126" s="640" t="e">
        <f>D125/E125</f>
        <v>#REF!</v>
      </c>
      <c r="E126" s="640" t="e">
        <f>SUM(B126:D126)</f>
        <v>#REF!</v>
      </c>
    </row>
    <row r="129" spans="1:5">
      <c r="A129" s="635" t="s">
        <v>7278</v>
      </c>
    </row>
    <row r="130" spans="1:5" ht="15.75" thickBot="1"/>
    <row r="131" spans="1:5" ht="15.75" thickBot="1">
      <c r="A131" s="649" t="s">
        <v>7279</v>
      </c>
      <c r="B131" s="1897" t="s">
        <v>1096</v>
      </c>
      <c r="C131" s="1898"/>
      <c r="D131" s="1897" t="s">
        <v>7280</v>
      </c>
      <c r="E131" s="1898"/>
    </row>
    <row r="132" spans="1:5" ht="15.75" thickBot="1">
      <c r="A132" s="650"/>
      <c r="B132" s="652" t="s">
        <v>7281</v>
      </c>
      <c r="C132" s="652" t="s">
        <v>5805</v>
      </c>
      <c r="D132" s="652" t="s">
        <v>7281</v>
      </c>
      <c r="E132" s="652" t="s">
        <v>5805</v>
      </c>
    </row>
    <row r="133" spans="1:5">
      <c r="A133" s="672" t="s">
        <v>991</v>
      </c>
      <c r="B133" s="642" t="e">
        <f>COUNTIFS(SurveyDATA!#REF!,"ISF",SurveyDATA!#REF!,"&gt;0",SurveyDATA!AC:AC,"*PROXIMITY*")</f>
        <v>#REF!</v>
      </c>
      <c r="C133" s="653" t="e">
        <f>B133/B147</f>
        <v>#REF!</v>
      </c>
      <c r="D133" s="642" t="e">
        <f>COUNTIFS(SurveyDATA!#REF!,"ISF",SurveyDATA!IR:IR,"*",SurveyDATA!AC:AC,"*PROXIMITY*")</f>
        <v>#REF!</v>
      </c>
      <c r="E133" s="653" t="e">
        <f>D133/D147</f>
        <v>#REF!</v>
      </c>
    </row>
    <row r="134" spans="1:5">
      <c r="A134" s="662" t="s">
        <v>1071</v>
      </c>
      <c r="B134" s="642" t="e">
        <f>COUNTIFS(SurveyDATA!#REF!,"ISF",SurveyDATA!#REF!,"&gt;0",SurveyDATA!AC:AC,"*RENT FREE*")</f>
        <v>#REF!</v>
      </c>
      <c r="C134" s="654" t="e">
        <f>B134/B147</f>
        <v>#REF!</v>
      </c>
      <c r="D134" s="637" t="e">
        <f>COUNTIFS(SurveyDATA!#REF!,"ISF",SurveyDATA!IR:IR,"*",SurveyDATA!AC:AC,"*RENT FREE*")</f>
        <v>#REF!</v>
      </c>
      <c r="E134" s="663" t="e">
        <f>D134/D147</f>
        <v>#REF!</v>
      </c>
    </row>
    <row r="135" spans="1:5" ht="15.75" thickBot="1">
      <c r="A135" s="674" t="s">
        <v>880</v>
      </c>
      <c r="B135" s="655" t="e">
        <f>COUNTIFS(SurveyDATA!#REF!,"ISF",SurveyDATA!#REF!,"&gt;0",SurveyDATA!AC:AC,"*AFFORDABLE*")</f>
        <v>#REF!</v>
      </c>
      <c r="C135" s="656" t="e">
        <f>B135/B147</f>
        <v>#REF!</v>
      </c>
      <c r="D135" s="657" t="e">
        <f>COUNTIFS(SurveyDATA!#REF!,"ISF",SurveyDATA!IR:IR,"*",SurveyDATA!AC:AC,"*AFFORDABLE*")</f>
        <v>#REF!</v>
      </c>
      <c r="E135" s="675" t="e">
        <f>D135/D147</f>
        <v>#REF!</v>
      </c>
    </row>
    <row r="136" spans="1:5">
      <c r="A136" s="658" t="s">
        <v>770</v>
      </c>
      <c r="B136" s="659" t="e">
        <f>COUNTIFS(SurveyDATA!#REF!,"ISF",SurveyDATA!#REF!,"&gt;0",SurveyDATA!AD:AD,"*FAMILY*")</f>
        <v>#REF!</v>
      </c>
      <c r="C136" s="660" t="e">
        <f>B136/B147</f>
        <v>#REF!</v>
      </c>
      <c r="D136" s="659" t="e">
        <f>COUNTIFS(SurveyDATA!#REF!,"ISF",SurveyDATA!IR:IR,"*",SurveyDATA!AD:AD,"*FAMILY*")</f>
        <v>#REF!</v>
      </c>
      <c r="E136" s="661" t="e">
        <f>D136/D147</f>
        <v>#REF!</v>
      </c>
    </row>
    <row r="137" spans="1:5">
      <c r="A137" s="662" t="s">
        <v>1005</v>
      </c>
      <c r="B137" s="642" t="e">
        <f>COUNTIFS(SurveyDATA!#REF!,"ISF",SurveyDATA!#REF!,"&gt;0",SurveyDATA!AD:AD,"*SCHOOL*")</f>
        <v>#REF!</v>
      </c>
      <c r="C137" s="654" t="e">
        <f>B137/B147</f>
        <v>#REF!</v>
      </c>
      <c r="D137" s="637" t="e">
        <f>COUNTIFS(SurveyDATA!#REF!,"ISF",SurveyDATA!IR:IR,"*",SurveyDATA!AD:AD,"*SCHOOL*")</f>
        <v>#REF!</v>
      </c>
      <c r="E137" s="663" t="e">
        <f>D137/D147</f>
        <v>#REF!</v>
      </c>
    </row>
    <row r="138" spans="1:5" ht="15.75" thickBot="1">
      <c r="A138" s="664" t="s">
        <v>937</v>
      </c>
      <c r="B138" s="665" t="e">
        <f>COUNTIFS(SurveyDATA!#REF!,"ISF",SurveyDATA!#REF!,"&gt;0",SurveyDATA!AD:AD,"*MARRIED*")</f>
        <v>#REF!</v>
      </c>
      <c r="C138" s="666" t="e">
        <f>B138/B147</f>
        <v>#REF!</v>
      </c>
      <c r="D138" s="667" t="e">
        <f>COUNTIFS(SurveyDATA!#REF!,"ISF",SurveyDATA!IR:IR,"*",SurveyDATA!AD:AD,"*MARRIED*")</f>
        <v>#REF!</v>
      </c>
      <c r="E138" s="668" t="e">
        <f>D138/D147</f>
        <v>#REF!</v>
      </c>
    </row>
    <row r="139" spans="1:5">
      <c r="A139" s="672" t="s">
        <v>4335</v>
      </c>
      <c r="B139" s="642" t="e">
        <f>COUNTIFS(SurveyDATA!#REF!,"ISF",SurveyDATA!#REF!,"&gt;0",SurveyDATA!AE:AE,"*AWARDEE*")</f>
        <v>#REF!</v>
      </c>
      <c r="C139" s="653" t="e">
        <f>B139/B147</f>
        <v>#REF!</v>
      </c>
      <c r="D139" s="642" t="e">
        <f>COUNTIFS(SurveyDATA!#REF!,"ISF",SurveyDATA!IR:IR,"*",SurveyDATA!AE:AE,"*AWARDEE*")</f>
        <v>#REF!</v>
      </c>
      <c r="E139" s="673" t="e">
        <f>D139/D147</f>
        <v>#REF!</v>
      </c>
    </row>
    <row r="140" spans="1:5">
      <c r="A140" s="662" t="s">
        <v>7282</v>
      </c>
      <c r="B140" s="642" t="e">
        <f>COUNTIFS(SurveyDATA!#REF!,"ISF",SurveyDATA!#REF!,"&gt;0",SurveyDATA!AE:AE,"*RIGHTS*")</f>
        <v>#REF!</v>
      </c>
      <c r="C140" s="654" t="e">
        <f>B140/B147</f>
        <v>#REF!</v>
      </c>
      <c r="D140" s="637" t="e">
        <f>COUNTIFS(SurveyDATA!#REF!,"ISF",SurveyDATA!IR:IR,"*",SurveyDATA!AE:AE,"*RIGHTS*")</f>
        <v>#REF!</v>
      </c>
      <c r="E140" s="663" t="e">
        <f>D140/D147</f>
        <v>#REF!</v>
      </c>
    </row>
    <row r="141" spans="1:5">
      <c r="A141" s="662" t="s">
        <v>888</v>
      </c>
      <c r="B141" s="642" t="e">
        <f>COUNTIFS(SurveyDATA!#REF!,"ISF",SurveyDATA!#REF!,"&gt;0",SurveyDATA!AE:AE,"*AGREEMENT*")</f>
        <v>#REF!</v>
      </c>
      <c r="C141" s="654" t="e">
        <f>B141/B147</f>
        <v>#REF!</v>
      </c>
      <c r="D141" s="637" t="e">
        <f>COUNTIFS(SurveyDATA!#REF!,"ISF",SurveyDATA!IR:IR,"*",SurveyDATA!AE:AE,"*AGREMENT*")</f>
        <v>#REF!</v>
      </c>
      <c r="E141" s="663" t="e">
        <f>D141/D147</f>
        <v>#REF!</v>
      </c>
    </row>
    <row r="142" spans="1:5">
      <c r="A142" s="662" t="s">
        <v>7283</v>
      </c>
      <c r="B142" s="642" t="e">
        <f>SUM(COUNTIFS(SurveyDATA!#REF!,"ISF",SurveyDATA!#REF!,"&gt;0",SurveyDATA!AE:AE,"*NO OTHER*"),COUNTIFS(SurveyDATA!#REF!,"ISF",SurveyDATA!#REF!,"&gt;0",SurveyDATA!AE:AE,"*POVERTY*"),COUNTIFS(SurveyDATA!#REF!,"ISF",SurveyDATA!#REF!,"&gt;0",SurveyDATA!AE:AE,"*RELOCATE*"))</f>
        <v>#REF!</v>
      </c>
      <c r="C142" s="654" t="e">
        <f>B142/B147</f>
        <v>#REF!</v>
      </c>
      <c r="D142" s="637" t="e">
        <f>SUM(COUNTIFS(SurveyDATA!#REF!,"ISF",SurveyDATA!IR:IR,"*",SurveyDATA!AE:AE,"*NO OTHER*"),COUNTIFS(SurveyDATA!#REF!,"ISF",SurveyDATA!IR:IR,"*",SurveyDATA!AE:AE,"*POVERTY*"),COUNTIFS(SurveyDATA!#REF!,"ISF",SurveyDATA!IR:IR,"*",SurveyDATA!AE:AE,"*RELOCATE*"))</f>
        <v>#REF!</v>
      </c>
      <c r="E142" s="663" t="e">
        <f>D142/D147</f>
        <v>#REF!</v>
      </c>
    </row>
    <row r="143" spans="1:5">
      <c r="A143" s="662" t="s">
        <v>7284</v>
      </c>
      <c r="B143" s="642" t="e">
        <f>SUM(COUNTIFS(SurveyDATA!#REF!,"ISF",SurveyDATA!#REF!,"&gt;0",SurveyDATA!AE:AE,"*SINCE BIRTH*"),COUNTIFS(SurveyDATA!#REF!,"ISF",SurveyDATA!#REF!,"&gt;0",SurveyDATA!AE:AE,"*BORN HERE*"),COUNTIFS(SurveyDATA!#REF!,"ISF",SurveyDATA!#REF!,"&gt;0",SurveyDATA!AE:AE,"*INHERIT*"))</f>
        <v>#REF!</v>
      </c>
      <c r="C143" s="654" t="e">
        <f>B143/B147</f>
        <v>#REF!</v>
      </c>
      <c r="D143" s="642">
        <f>SUM(COUNTIFS(SurveyDATA!A:A,"ISF",SurveyDATA!IR:IR,"*",SurveyDATA!AE:AE,"*SINCE BIRTH*"),COUNTIFS(SurveyDATA!A:A,"ISF",SurveyDATA!IR:IR,"*",SurveyDATA!AE:AE,"*BORN HERE*"),COUNTIFS(SurveyDATA!A:A,"ISF",SurveyDATA!IR:IR,"*",SurveyDATA!AE:AE,"*INHERIT*"))</f>
        <v>1</v>
      </c>
      <c r="E143" s="663" t="e">
        <f>D143/D147</f>
        <v>#REF!</v>
      </c>
    </row>
    <row r="144" spans="1:5">
      <c r="A144" s="674" t="s">
        <v>796</v>
      </c>
      <c r="B144" s="642" t="e">
        <f>COUNTIFS(SurveyDATA!#REF!,"ISF",SurveyDATA!#REF!,"&gt;0",SurveyDATA!AE:AE,"*PURCHASED*")</f>
        <v>#REF!</v>
      </c>
      <c r="C144" s="654" t="e">
        <f>B144/B147</f>
        <v>#REF!</v>
      </c>
      <c r="D144" s="642" t="e">
        <f>COUNTIFS(SurveyDATA!#REF!,"ISF",SurveyDATA!IR:IR,"*",SurveyDATA!AE:AE,"*PURCHASED*")</f>
        <v>#REF!</v>
      </c>
      <c r="E144" s="663" t="e">
        <f>D144/D147</f>
        <v>#REF!</v>
      </c>
    </row>
    <row r="145" spans="1:8">
      <c r="A145" s="674" t="s">
        <v>7286</v>
      </c>
      <c r="B145" s="642" t="e">
        <f>SUM(COUNTIFS(SurveyDATA!#REF!,"ISF",SurveyDATA!#REF!,"&gt;0",SurveyDATA!AE:AE,"*LESS FLOOD*"),COUNTIFS(SurveyDATA!#REF!,"ISF",SurveyDATA!#REF!,"&gt;0",SurveyDATA!AE:AE,"*SAFETY*"))</f>
        <v>#REF!</v>
      </c>
      <c r="C145" s="654" t="e">
        <f>B145/B147</f>
        <v>#REF!</v>
      </c>
      <c r="D145" s="642" t="e">
        <f>SUM(COUNTIFS(SurveyDATA!#REF!,"ISF",SurveyDATA!IR:IR,"*",SurveyDATA!AE:AE,"*LESS FLOOD*"),COUNTIFS(SurveyDATA!#REF!,"ISF",SurveyDATA!IR:IR,"*",SurveyDATA!AE:AE,"*SAFETY*"))</f>
        <v>#REF!</v>
      </c>
      <c r="E145" s="663" t="e">
        <f>D145/D147</f>
        <v>#REF!</v>
      </c>
    </row>
    <row r="146" spans="1:8">
      <c r="A146" s="674" t="s">
        <v>7287</v>
      </c>
      <c r="B146" s="642" t="e">
        <f>SUM(COUNTIFS(SurveyDATA!#REF!,"ISF",SurveyDATA!#REF!,"&gt;0",SurveyDATA!AE:AE,"*KNEW*"),COUNTIFS(SurveyDATA!#REF!,"ISF",SurveyDATA!#REF!,"&gt;0",SurveyDATA!AE:AE,"*DECEASED*"))</f>
        <v>#REF!</v>
      </c>
      <c r="C146" s="654" t="e">
        <f>B146/B147</f>
        <v>#REF!</v>
      </c>
      <c r="D146" s="642" t="e">
        <f>SUM(COUNTIFS(SurveyDATA!#REF!,"ISF",SurveyDATA!IR:IR,"*",SurveyDATA!AE:AE,"**KNEW"),COUNTIFS(SurveyDATA!#REF!,"ISF",SurveyDATA!IR:IR,"*",SurveyDATA!AE:AE,"*DECEASED*"))</f>
        <v>#REF!</v>
      </c>
      <c r="E146" s="663" t="e">
        <f>D146/D147</f>
        <v>#REF!</v>
      </c>
    </row>
    <row r="147" spans="1:8" ht="15.75" thickBot="1">
      <c r="A147" s="676" t="s">
        <v>2034</v>
      </c>
      <c r="B147" s="667" t="e">
        <f>SUM(B133:B146)</f>
        <v>#REF!</v>
      </c>
      <c r="C147" s="666" t="e">
        <f>SUM(C133:C146)</f>
        <v>#REF!</v>
      </c>
      <c r="D147" s="667" t="e">
        <f>SUM(D133:D146)</f>
        <v>#REF!</v>
      </c>
      <c r="E147" s="668" t="e">
        <f>SUM(E133:E146)</f>
        <v>#REF!</v>
      </c>
    </row>
    <row r="150" spans="1:8">
      <c r="A150" s="635" t="s">
        <v>7288</v>
      </c>
    </row>
    <row r="151" spans="1:8" ht="15.75" thickBot="1"/>
    <row r="152" spans="1:8" ht="15.75" thickBot="1">
      <c r="A152" s="1888" t="s">
        <v>7214</v>
      </c>
      <c r="B152" s="1890" t="s">
        <v>7289</v>
      </c>
      <c r="C152" s="1891"/>
      <c r="D152" s="1892"/>
      <c r="E152" s="1890" t="s">
        <v>7290</v>
      </c>
      <c r="F152" s="1892"/>
      <c r="G152" s="1888" t="s">
        <v>2213</v>
      </c>
      <c r="H152" s="1888" t="s">
        <v>2034</v>
      </c>
    </row>
    <row r="153" spans="1:8" ht="15.75" thickBot="1">
      <c r="A153" s="1889"/>
      <c r="B153" s="677" t="s">
        <v>2040</v>
      </c>
      <c r="C153" s="677" t="s">
        <v>2041</v>
      </c>
      <c r="D153" s="677" t="s">
        <v>7291</v>
      </c>
      <c r="E153" s="677" t="s">
        <v>7292</v>
      </c>
      <c r="F153" s="677" t="s">
        <v>7293</v>
      </c>
      <c r="G153" s="1889"/>
      <c r="H153" s="1889"/>
    </row>
    <row r="154" spans="1:8" ht="15.75" thickBot="1">
      <c r="A154" s="678" t="s">
        <v>5848</v>
      </c>
      <c r="B154" s="679" t="e">
        <f>SUMIFS(SurveyDATA!#REF!,SurveyDATA!#REF!,"ISF",SurveyDATA!E:E,"*MALOLOS*")</f>
        <v>#REF!</v>
      </c>
      <c r="C154" s="679" t="e">
        <f>SUMIFS(SurveyDATA!#REF!,SurveyDATA!#REF!,"ISF",SurveyDATA!E:E,"*MALOLOS*")</f>
        <v>#REF!</v>
      </c>
      <c r="D154" s="679" t="e">
        <f>SUMIFS(SurveyDATA!#REF!,SurveyDATA!#REF!,"ISF",SurveyDATA!E:E,"*MALOLOS*")</f>
        <v>#REF!</v>
      </c>
      <c r="E154" s="679" t="e">
        <f>SUMIFS(SurveyDATA!#REF!,SurveyDATA!#REF!,"ISF",SurveyDATA!E:E,"*MALOLOS*")</f>
        <v>#REF!</v>
      </c>
      <c r="F154" s="679" t="e">
        <f>SUMIFS(SurveyDATA!#REF!,SurveyDATA!#REF!,"ISF",SurveyDATA!E:E,"*MALOLOS*")</f>
        <v>#REF!</v>
      </c>
      <c r="G154" s="679" t="e">
        <f>COUNTIFS(#REF!,"LEGAL-MC",#REF!,"&lt;65",#REF!,"&gt;17",#REF!,"x")</f>
        <v>#REF!</v>
      </c>
      <c r="H154" s="679" t="e">
        <f>SUM(B154:G154)</f>
        <v>#REF!</v>
      </c>
    </row>
    <row r="155" spans="1:8" ht="15.75" thickBot="1">
      <c r="A155" s="678" t="s">
        <v>5494</v>
      </c>
      <c r="B155" s="679" t="e">
        <f>SUMIFS(SurveyDATA!#REF!,SurveyDATA!#REF!,"ISF",SurveyDATA!E:E,"*GUIGUINTO*")</f>
        <v>#REF!</v>
      </c>
      <c r="C155" s="679" t="e">
        <f>SUMIFS(SurveyDATA!#REF!,SurveyDATA!#REF!,"ISF",SurveyDATA!E:E,"*GUIGUINTO*")</f>
        <v>#REF!</v>
      </c>
      <c r="D155" s="679" t="e">
        <f>SUMIFS(SurveyDATA!#REF!,SurveyDATA!#REF!,"ISF",SurveyDATA!E:E,"*GUIGUINTO*")</f>
        <v>#REF!</v>
      </c>
      <c r="E155" s="679" t="e">
        <f>SUMIFS(SurveyDATA!#REF!,SurveyDATA!#REF!,"ISF",SurveyDATA!E:E,"*GUIGUINTO*")</f>
        <v>#REF!</v>
      </c>
      <c r="F155" s="679" t="e">
        <f>SUMIFS(SurveyDATA!#REF!,SurveyDATA!#REF!,"ISF",SurveyDATA!E:E,"*GUIGUINTO*")</f>
        <v>#REF!</v>
      </c>
      <c r="G155" s="679" t="e">
        <f>COUNTIFS(#REF!,"LEGAL-GG",#REF!,"&lt;65",#REF!,"&gt;17",#REF!,"x")</f>
        <v>#REF!</v>
      </c>
      <c r="H155" s="679" t="e">
        <f t="shared" ref="H155:H162" si="11">SUM(B155:G155)</f>
        <v>#REF!</v>
      </c>
    </row>
    <row r="156" spans="1:8" ht="15.75" thickBot="1">
      <c r="A156" s="678" t="s">
        <v>5847</v>
      </c>
      <c r="B156" s="679" t="e">
        <f>SUMIFS(SurveyDATA!#REF!,SurveyDATA!#REF!,"ISF",SurveyDATA!E:E,"*BALAGTAS*")</f>
        <v>#REF!</v>
      </c>
      <c r="C156" s="679" t="e">
        <f>SUMIFS(SurveyDATA!#REF!,SurveyDATA!#REF!,"ISF",SurveyDATA!E:E,"*BALAGTAS*")</f>
        <v>#REF!</v>
      </c>
      <c r="D156" s="679" t="e">
        <f>SUMIFS(SurveyDATA!#REF!,SurveyDATA!#REF!,"ISF",SurveyDATA!E:E,"*BALAGTAS*")</f>
        <v>#REF!</v>
      </c>
      <c r="E156" s="679" t="e">
        <f>SUMIFS(SurveyDATA!#REF!,SurveyDATA!#REF!,"ISF",SurveyDATA!E:E,"*BALAGTAS*")</f>
        <v>#REF!</v>
      </c>
      <c r="F156" s="679" t="e">
        <f>SUMIFS(SurveyDATA!#REF!,SurveyDATA!#REF!,"ISF",SurveyDATA!E:E,"*BALAGTAS*")</f>
        <v>#REF!</v>
      </c>
      <c r="G156" s="679" t="e">
        <f>COUNTIFS(#REF!,"LEGAL-BA",#REF!,"&lt;65",#REF!,"&gt;17",#REF!,"x")</f>
        <v>#REF!</v>
      </c>
      <c r="H156" s="679" t="e">
        <f t="shared" si="11"/>
        <v>#REF!</v>
      </c>
    </row>
    <row r="157" spans="1:8" ht="15.75" thickBot="1">
      <c r="A157" s="678" t="s">
        <v>771</v>
      </c>
      <c r="B157" s="679" t="e">
        <f>SUMIFS(SurveyDATA!#REF!,SurveyDATA!#REF!,"ISF",SurveyDATA!E:E,"*BOCAUE*")</f>
        <v>#REF!</v>
      </c>
      <c r="C157" s="679" t="e">
        <f>SUMIFS(SurveyDATA!#REF!,SurveyDATA!#REF!,"ISF",SurveyDATA!E:E,"*BOCAUE*")</f>
        <v>#REF!</v>
      </c>
      <c r="D157" s="679" t="e">
        <f>SUMIFS(SurveyDATA!#REF!,SurveyDATA!#REF!,"ISF",SurveyDATA!E:E,"*BOCAUE*")</f>
        <v>#REF!</v>
      </c>
      <c r="E157" s="679" t="e">
        <f>SUMIFS(SurveyDATA!#REF!,SurveyDATA!#REF!,"ISF",SurveyDATA!E:E,"*BOCAUE*")</f>
        <v>#REF!</v>
      </c>
      <c r="F157" s="679" t="e">
        <f>SUMIFS(SurveyDATA!#REF!,SurveyDATA!#REF!,"ISF",SurveyDATA!E:E,"*BOCAUE*")</f>
        <v>#REF!</v>
      </c>
      <c r="G157" s="679" t="e">
        <f>COUNTIFS(#REF!,"LEGAL-BO",#REF!,"&lt;65",#REF!,"&gt;17",#REF!,"x")</f>
        <v>#REF!</v>
      </c>
      <c r="H157" s="679" t="e">
        <f t="shared" si="11"/>
        <v>#REF!</v>
      </c>
    </row>
    <row r="158" spans="1:8" ht="15.75" thickBot="1">
      <c r="A158" s="678" t="s">
        <v>5495</v>
      </c>
      <c r="B158" s="679" t="e">
        <f>SUMIFS(SurveyDATA!#REF!,SurveyDATA!#REF!,"ISF",SurveyDATA!E:E,"*MARILAO*")</f>
        <v>#REF!</v>
      </c>
      <c r="C158" s="679" t="e">
        <f>SUMIFS(SurveyDATA!#REF!,SurveyDATA!#REF!,"ISF",SurveyDATA!E:E,"*MARILAO*")</f>
        <v>#REF!</v>
      </c>
      <c r="D158" s="679" t="e">
        <f>SUMIFS(SurveyDATA!#REF!,SurveyDATA!#REF!,"ISF",SurveyDATA!E:E,"*MARILAO*")</f>
        <v>#REF!</v>
      </c>
      <c r="E158" s="679" t="e">
        <f>SUMIFS(SurveyDATA!#REF!,SurveyDATA!#REF!,"ISF",SurveyDATA!E:E,"*MARILAO*")</f>
        <v>#REF!</v>
      </c>
      <c r="F158" s="679" t="e">
        <f>SUMIFS(SurveyDATA!#REF!,SurveyDATA!#REF!,"ISF",SurveyDATA!E:E,"*MARILAO*")</f>
        <v>#REF!</v>
      </c>
      <c r="G158" s="679" t="e">
        <f>COUNTIFS(#REF!,"LEGAL-MA",#REF!,"&lt;65",#REF!,"&gt;17",#REF!,"x")</f>
        <v>#REF!</v>
      </c>
      <c r="H158" s="679" t="e">
        <f t="shared" si="11"/>
        <v>#REF!</v>
      </c>
    </row>
    <row r="159" spans="1:8" ht="15.75" thickBot="1">
      <c r="A159" s="678" t="s">
        <v>5496</v>
      </c>
      <c r="B159" s="679" t="e">
        <f>SUMIFS(SurveyDATA!#REF!,SurveyDATA!#REF!,"ISF",SurveyDATA!E:E,"*MEYCAUAYAN*")</f>
        <v>#REF!</v>
      </c>
      <c r="C159" s="679" t="e">
        <f>SUMIFS(SurveyDATA!#REF!,SurveyDATA!#REF!,"ISF",SurveyDATA!E:E,"*MEYCAUAYAN*")</f>
        <v>#REF!</v>
      </c>
      <c r="D159" s="679" t="e">
        <f>SUMIFS(SurveyDATA!#REF!,SurveyDATA!#REF!,"ISF",SurveyDATA!E:E,"*MEYCAUAYAN*")</f>
        <v>#REF!</v>
      </c>
      <c r="E159" s="679" t="e">
        <f>SUMIFS(SurveyDATA!#REF!,SurveyDATA!#REF!,"ISF",SurveyDATA!E:E,"*MEYCAUAYAN*")</f>
        <v>#REF!</v>
      </c>
      <c r="F159" s="679" t="e">
        <f>SUMIFS(SurveyDATA!#REF!,SurveyDATA!#REF!,"ISF",SurveyDATA!E:E,"*MEYCAUAYAN*")</f>
        <v>#REF!</v>
      </c>
      <c r="G159" s="679" t="e">
        <f>COUNTIFS(#REF!,"LEGAL-MY",#REF!,"&lt;65",#REF!,"&gt;17",#REF!,"x")</f>
        <v>#REF!</v>
      </c>
      <c r="H159" s="679" t="e">
        <f t="shared" si="11"/>
        <v>#REF!</v>
      </c>
    </row>
    <row r="160" spans="1:8" ht="15.75" thickBot="1">
      <c r="A160" s="678" t="s">
        <v>778</v>
      </c>
      <c r="B160" s="679" t="e">
        <f>SUMIFS(SurveyDATA!#REF!,SurveyDATA!#REF!,"ISF",SurveyDATA!E:E,"*VALENZUELA*")</f>
        <v>#REF!</v>
      </c>
      <c r="C160" s="679" t="e">
        <f>SUMIFS(SurveyDATA!#REF!,SurveyDATA!#REF!,"ISF",SurveyDATA!E:E,"*VALENZUELA*")</f>
        <v>#REF!</v>
      </c>
      <c r="D160" s="679" t="e">
        <f>SUMIFS(SurveyDATA!#REF!,SurveyDATA!#REF!,"ISF",SurveyDATA!E:E,"*VALENZUELA*")</f>
        <v>#REF!</v>
      </c>
      <c r="E160" s="679" t="e">
        <f>SUMIFS(SurveyDATA!#REF!,SurveyDATA!#REF!,"ISF",SurveyDATA!E:E,"*VALENZUELA*")</f>
        <v>#REF!</v>
      </c>
      <c r="F160" s="679" t="e">
        <f>SUMIFS(SurveyDATA!#REF!,SurveyDATA!#REF!,"ISF",SurveyDATA!E:E,"*VALENZUELA*")</f>
        <v>#REF!</v>
      </c>
      <c r="G160" s="679" t="e">
        <f>COUNTIFS(#REF!,"LEGAL-VAL",#REF!,"&lt;65",#REF!,"&gt;17",#REF!,"x")</f>
        <v>#REF!</v>
      </c>
      <c r="H160" s="679" t="e">
        <f t="shared" si="11"/>
        <v>#REF!</v>
      </c>
    </row>
    <row r="161" spans="1:8" ht="15.75" thickBot="1">
      <c r="A161" s="678" t="s">
        <v>5493</v>
      </c>
      <c r="B161" s="679" t="e">
        <f>SUMIFS(SurveyDATA!#REF!,SurveyDATA!#REF!,"ISF",SurveyDATA!E:E,"*CALOOCAN*")</f>
        <v>#REF!</v>
      </c>
      <c r="C161" s="679" t="e">
        <f>SUMIFS(SurveyDATA!#REF!,SurveyDATA!#REF!,"ISF",SurveyDATA!E:E,"*CALOOCAN*")</f>
        <v>#REF!</v>
      </c>
      <c r="D161" s="679" t="e">
        <f>SUMIFS(SurveyDATA!#REF!,SurveyDATA!#REF!,"ISF",SurveyDATA!E:E,"*CALOOCAN*")</f>
        <v>#REF!</v>
      </c>
      <c r="E161" s="679" t="e">
        <f>SUMIFS(SurveyDATA!#REF!,SurveyDATA!#REF!,"ISF",SurveyDATA!E:E,"*CALOOCAN*")</f>
        <v>#REF!</v>
      </c>
      <c r="F161" s="679" t="e">
        <f>SUMIFS(SurveyDATA!#REF!,SurveyDATA!#REF!,"ISF",SurveyDATA!E:E,"*CALOOCAN*")</f>
        <v>#REF!</v>
      </c>
      <c r="G161" s="679" t="e">
        <f>COUNTIFS(#REF!,"LEGAL-CA",#REF!,"&lt;65",#REF!,"&gt;17",#REF!,"x")</f>
        <v>#REF!</v>
      </c>
      <c r="H161" s="679" t="e">
        <f t="shared" si="11"/>
        <v>#REF!</v>
      </c>
    </row>
    <row r="162" spans="1:8" ht="15.75" thickBot="1">
      <c r="A162" s="678" t="s">
        <v>1020</v>
      </c>
      <c r="B162" s="679" t="e">
        <f>SUMIFS(SurveyDATA!#REF!,SurveyDATA!#REF!,"ISF",SurveyDATA!E:E,"*MANILA*")</f>
        <v>#REF!</v>
      </c>
      <c r="C162" s="679" t="e">
        <f>SUMIFS(SurveyDATA!#REF!,SurveyDATA!#REF!,"ISF",SurveyDATA!E:E,"*MANILA*")</f>
        <v>#REF!</v>
      </c>
      <c r="D162" s="679" t="e">
        <f>SUMIFS(SurveyDATA!#REF!,SurveyDATA!#REF!,"ISF",SurveyDATA!E:E,"*MANILA*")</f>
        <v>#REF!</v>
      </c>
      <c r="E162" s="679" t="e">
        <f>SUMIFS(SurveyDATA!#REF!,SurveyDATA!#REF!,"ISF",SurveyDATA!E:E,"*MANILA*")</f>
        <v>#REF!</v>
      </c>
      <c r="F162" s="679" t="e">
        <f>SUMIFS(SurveyDATA!#REF!,SurveyDATA!#REF!,"ISF",SurveyDATA!E:E,"*MANILA*")</f>
        <v>#REF!</v>
      </c>
      <c r="G162" s="679" t="e">
        <f>COUNTIFS(#REF!,"LEGAL-MN",#REF!,"&lt;65",#REF!,"&gt;17",#REF!,"x")</f>
        <v>#REF!</v>
      </c>
      <c r="H162" s="679" t="e">
        <f t="shared" si="11"/>
        <v>#REF!</v>
      </c>
    </row>
    <row r="163" spans="1:8" ht="15.75" thickBot="1">
      <c r="A163" s="681" t="s">
        <v>2034</v>
      </c>
      <c r="B163" s="681" t="e">
        <f t="shared" ref="B163:G163" si="12">SUM(B154:B162)</f>
        <v>#REF!</v>
      </c>
      <c r="C163" s="681" t="e">
        <f t="shared" si="12"/>
        <v>#REF!</v>
      </c>
      <c r="D163" s="681" t="e">
        <f t="shared" si="12"/>
        <v>#REF!</v>
      </c>
      <c r="E163" s="681" t="e">
        <f t="shared" si="12"/>
        <v>#REF!</v>
      </c>
      <c r="F163" s="681" t="e">
        <f t="shared" si="12"/>
        <v>#REF!</v>
      </c>
      <c r="G163" s="681" t="e">
        <f t="shared" si="12"/>
        <v>#REF!</v>
      </c>
      <c r="H163" s="681" t="e">
        <f>SUM(B163:G163)</f>
        <v>#REF!</v>
      </c>
    </row>
    <row r="164" spans="1:8" ht="15.75" thickBot="1">
      <c r="A164" s="682" t="s">
        <v>7243</v>
      </c>
      <c r="B164" s="683" t="e">
        <f>B163/H163</f>
        <v>#REF!</v>
      </c>
      <c r="C164" s="683" t="e">
        <f>C163/H163</f>
        <v>#REF!</v>
      </c>
      <c r="D164" s="683" t="e">
        <f>D163/H163</f>
        <v>#REF!</v>
      </c>
      <c r="E164" s="683" t="e">
        <f>E163/H163</f>
        <v>#REF!</v>
      </c>
      <c r="F164" s="683" t="e">
        <f>F163/H163</f>
        <v>#REF!</v>
      </c>
      <c r="G164" s="683" t="e">
        <f>G163/H163</f>
        <v>#REF!</v>
      </c>
      <c r="H164" s="683" t="e">
        <f>SUM(B164:G164)</f>
        <v>#REF!</v>
      </c>
    </row>
    <row r="167" spans="1:8">
      <c r="A167" s="594" t="s">
        <v>7294</v>
      </c>
    </row>
    <row r="168" spans="1:8" ht="15.75" thickBot="1"/>
    <row r="169" spans="1:8" ht="15.75" thickBot="1">
      <c r="A169" s="684" t="s">
        <v>7295</v>
      </c>
      <c r="B169" s="685" t="s">
        <v>386</v>
      </c>
      <c r="C169" s="686" t="s">
        <v>7296</v>
      </c>
      <c r="D169" s="685" t="s">
        <v>7297</v>
      </c>
      <c r="E169" s="685" t="s">
        <v>7298</v>
      </c>
      <c r="F169" s="686" t="s">
        <v>7299</v>
      </c>
    </row>
    <row r="170" spans="1:8" ht="15.75" thickBot="1">
      <c r="A170" s="678" t="s">
        <v>7300</v>
      </c>
      <c r="B170" s="689">
        <v>1</v>
      </c>
      <c r="C170" s="690">
        <v>0</v>
      </c>
      <c r="D170" s="689">
        <v>0</v>
      </c>
      <c r="E170" s="691">
        <v>1</v>
      </c>
      <c r="F170" s="692">
        <f>B170/E170</f>
        <v>1</v>
      </c>
    </row>
    <row r="171" spans="1:8" ht="15.75" thickBot="1">
      <c r="A171" s="678" t="s">
        <v>2212</v>
      </c>
      <c r="B171" s="689">
        <v>2</v>
      </c>
      <c r="C171" s="690">
        <v>0</v>
      </c>
      <c r="D171" s="689">
        <v>0</v>
      </c>
      <c r="E171" s="691">
        <v>2</v>
      </c>
      <c r="F171" s="692">
        <f t="shared" ref="F171:F190" si="13">B171/E171</f>
        <v>1</v>
      </c>
    </row>
    <row r="172" spans="1:8" ht="15.75" thickBot="1">
      <c r="A172" s="678" t="s">
        <v>3617</v>
      </c>
      <c r="B172" s="689">
        <v>5</v>
      </c>
      <c r="C172" s="690">
        <v>0</v>
      </c>
      <c r="D172" s="689">
        <v>0</v>
      </c>
      <c r="E172" s="691">
        <v>5</v>
      </c>
      <c r="F172" s="692">
        <f t="shared" si="13"/>
        <v>1</v>
      </c>
    </row>
    <row r="173" spans="1:8" ht="15.75" thickBot="1">
      <c r="A173" s="678" t="s">
        <v>2214</v>
      </c>
      <c r="B173" s="689">
        <v>26</v>
      </c>
      <c r="C173" s="690">
        <v>0</v>
      </c>
      <c r="D173" s="689">
        <v>3</v>
      </c>
      <c r="E173" s="691">
        <v>29</v>
      </c>
      <c r="F173" s="692">
        <f t="shared" si="13"/>
        <v>0.89655172413793105</v>
      </c>
    </row>
    <row r="174" spans="1:8" ht="15.75" thickBot="1">
      <c r="A174" s="678" t="s">
        <v>7301</v>
      </c>
      <c r="B174" s="689">
        <v>6</v>
      </c>
      <c r="C174" s="690">
        <v>1</v>
      </c>
      <c r="D174" s="689">
        <v>7</v>
      </c>
      <c r="E174" s="691">
        <v>14</v>
      </c>
      <c r="F174" s="692">
        <f t="shared" si="13"/>
        <v>0.42857142857142855</v>
      </c>
    </row>
    <row r="175" spans="1:8" ht="15.75" thickBot="1">
      <c r="A175" s="678" t="s">
        <v>7302</v>
      </c>
      <c r="B175" s="689">
        <v>25</v>
      </c>
      <c r="C175" s="690">
        <v>0</v>
      </c>
      <c r="D175" s="689">
        <v>5</v>
      </c>
      <c r="E175" s="691">
        <v>30</v>
      </c>
      <c r="F175" s="692">
        <f t="shared" si="13"/>
        <v>0.83333333333333337</v>
      </c>
    </row>
    <row r="176" spans="1:8" ht="15.75" thickBot="1">
      <c r="A176" s="678" t="s">
        <v>7303</v>
      </c>
      <c r="B176" s="689">
        <v>7</v>
      </c>
      <c r="C176" s="690">
        <v>0</v>
      </c>
      <c r="D176" s="689">
        <v>0</v>
      </c>
      <c r="E176" s="691">
        <v>7</v>
      </c>
      <c r="F176" s="692">
        <f t="shared" si="13"/>
        <v>1</v>
      </c>
    </row>
    <row r="177" spans="1:6" ht="15.75" thickBot="1">
      <c r="A177" s="678" t="s">
        <v>7304</v>
      </c>
      <c r="B177" s="689">
        <v>3</v>
      </c>
      <c r="C177" s="690">
        <v>6</v>
      </c>
      <c r="D177" s="689">
        <v>2</v>
      </c>
      <c r="E177" s="691">
        <v>11</v>
      </c>
      <c r="F177" s="692">
        <f t="shared" si="13"/>
        <v>0.27272727272727271</v>
      </c>
    </row>
    <row r="178" spans="1:6" ht="15.75" thickBot="1">
      <c r="A178" s="678" t="s">
        <v>2223</v>
      </c>
      <c r="B178" s="689">
        <v>9</v>
      </c>
      <c r="C178" s="690">
        <v>0</v>
      </c>
      <c r="D178" s="689">
        <v>0</v>
      </c>
      <c r="E178" s="691">
        <v>9</v>
      </c>
      <c r="F178" s="692">
        <f t="shared" si="13"/>
        <v>1</v>
      </c>
    </row>
    <row r="179" spans="1:6" ht="15.75" thickBot="1">
      <c r="A179" s="678" t="s">
        <v>7305</v>
      </c>
      <c r="B179" s="689">
        <v>0</v>
      </c>
      <c r="C179" s="690">
        <v>0</v>
      </c>
      <c r="D179" s="689">
        <v>0</v>
      </c>
      <c r="E179" s="691">
        <v>0</v>
      </c>
      <c r="F179" s="692" t="e">
        <f t="shared" si="13"/>
        <v>#DIV/0!</v>
      </c>
    </row>
    <row r="180" spans="1:6" ht="15.75" thickBot="1">
      <c r="A180" s="678" t="s">
        <v>2968</v>
      </c>
      <c r="B180" s="689">
        <v>10</v>
      </c>
      <c r="C180" s="690">
        <v>18</v>
      </c>
      <c r="D180" s="689">
        <v>5</v>
      </c>
      <c r="E180" s="691">
        <v>33</v>
      </c>
      <c r="F180" s="692">
        <f t="shared" si="13"/>
        <v>0.30303030303030304</v>
      </c>
    </row>
    <row r="181" spans="1:6" ht="15.75" thickBot="1">
      <c r="A181" s="678" t="s">
        <v>7306</v>
      </c>
      <c r="B181" s="689">
        <v>5</v>
      </c>
      <c r="C181" s="690">
        <v>4</v>
      </c>
      <c r="D181" s="689">
        <v>3</v>
      </c>
      <c r="E181" s="691">
        <v>12</v>
      </c>
      <c r="F181" s="692">
        <f t="shared" si="13"/>
        <v>0.41666666666666669</v>
      </c>
    </row>
    <row r="182" spans="1:6" ht="15.75" thickBot="1">
      <c r="A182" s="678" t="s">
        <v>3387</v>
      </c>
      <c r="B182" s="689">
        <v>5</v>
      </c>
      <c r="C182" s="690">
        <v>0</v>
      </c>
      <c r="D182" s="689">
        <v>0</v>
      </c>
      <c r="E182" s="691">
        <v>5</v>
      </c>
      <c r="F182" s="692">
        <f t="shared" si="13"/>
        <v>1</v>
      </c>
    </row>
    <row r="183" spans="1:6" ht="15.75" thickBot="1">
      <c r="A183" s="678" t="s">
        <v>7307</v>
      </c>
      <c r="B183" s="689">
        <v>2</v>
      </c>
      <c r="C183" s="690">
        <v>0</v>
      </c>
      <c r="D183" s="689">
        <v>1</v>
      </c>
      <c r="E183" s="691">
        <v>3</v>
      </c>
      <c r="F183" s="692">
        <f t="shared" si="13"/>
        <v>0.66666666666666663</v>
      </c>
    </row>
    <row r="184" spans="1:6" ht="15.75" thickBot="1">
      <c r="A184" s="678" t="s">
        <v>7308</v>
      </c>
      <c r="B184" s="689">
        <v>21</v>
      </c>
      <c r="C184" s="690">
        <v>10</v>
      </c>
      <c r="D184" s="689">
        <v>12</v>
      </c>
      <c r="E184" s="691">
        <v>43</v>
      </c>
      <c r="F184" s="692">
        <f t="shared" si="13"/>
        <v>0.48837209302325579</v>
      </c>
    </row>
    <row r="185" spans="1:6" ht="15.75" thickBot="1">
      <c r="A185" s="678" t="s">
        <v>2236</v>
      </c>
      <c r="B185" s="689">
        <v>0</v>
      </c>
      <c r="C185" s="690">
        <v>0</v>
      </c>
      <c r="D185" s="689">
        <v>3</v>
      </c>
      <c r="E185" s="691">
        <v>3</v>
      </c>
      <c r="F185" s="692">
        <f t="shared" si="13"/>
        <v>0</v>
      </c>
    </row>
    <row r="186" spans="1:6" ht="15.75" thickBot="1">
      <c r="A186" s="678" t="s">
        <v>2226</v>
      </c>
      <c r="B186" s="689">
        <v>0</v>
      </c>
      <c r="C186" s="690">
        <v>1</v>
      </c>
      <c r="D186" s="689">
        <v>0</v>
      </c>
      <c r="E186" s="691">
        <v>1</v>
      </c>
      <c r="F186" s="692">
        <f t="shared" si="13"/>
        <v>0</v>
      </c>
    </row>
    <row r="187" spans="1:6" ht="15.75" thickBot="1">
      <c r="A187" s="678" t="s">
        <v>2200</v>
      </c>
      <c r="B187" s="689">
        <v>0</v>
      </c>
      <c r="C187" s="690">
        <v>1</v>
      </c>
      <c r="D187" s="689">
        <v>0</v>
      </c>
      <c r="E187" s="691">
        <v>1</v>
      </c>
      <c r="F187" s="692">
        <f t="shared" si="13"/>
        <v>0</v>
      </c>
    </row>
    <row r="188" spans="1:6" ht="15.75" thickBot="1">
      <c r="A188" s="678" t="s">
        <v>3421</v>
      </c>
      <c r="B188" s="689">
        <v>0</v>
      </c>
      <c r="C188" s="690">
        <v>2</v>
      </c>
      <c r="D188" s="689">
        <v>0</v>
      </c>
      <c r="E188" s="691">
        <v>2</v>
      </c>
      <c r="F188" s="692">
        <f t="shared" si="13"/>
        <v>0</v>
      </c>
    </row>
    <row r="189" spans="1:6" ht="15.75" thickBot="1">
      <c r="A189" s="678" t="s">
        <v>2235</v>
      </c>
      <c r="B189" s="689">
        <v>0</v>
      </c>
      <c r="C189" s="690">
        <v>4</v>
      </c>
      <c r="D189" s="689">
        <v>0</v>
      </c>
      <c r="E189" s="691">
        <v>4</v>
      </c>
      <c r="F189" s="692">
        <f t="shared" si="13"/>
        <v>0</v>
      </c>
    </row>
    <row r="190" spans="1:6" ht="15.75" thickBot="1">
      <c r="A190" s="678" t="s">
        <v>704</v>
      </c>
      <c r="B190" s="689">
        <v>78</v>
      </c>
      <c r="C190" s="690">
        <v>30</v>
      </c>
      <c r="D190" s="689">
        <v>53</v>
      </c>
      <c r="E190" s="691">
        <v>161</v>
      </c>
      <c r="F190" s="692">
        <f t="shared" si="13"/>
        <v>0.48447204968944102</v>
      </c>
    </row>
    <row r="191" spans="1:6" ht="15.75" thickBot="1">
      <c r="A191" s="680" t="s">
        <v>2034</v>
      </c>
      <c r="B191" s="687">
        <f>SUM(B170:B190)</f>
        <v>205</v>
      </c>
      <c r="C191" s="687">
        <f>SUM(C170:C190)</f>
        <v>77</v>
      </c>
      <c r="D191" s="687">
        <f>SUM(D170:D190)</f>
        <v>94</v>
      </c>
      <c r="E191" s="687">
        <f>SUM(E170:E190)</f>
        <v>376</v>
      </c>
      <c r="F191" s="688" t="e">
        <f>SUM(F170:F190)</f>
        <v>#DIV/0!</v>
      </c>
    </row>
    <row r="194" spans="1:9">
      <c r="A194" s="594" t="s">
        <v>7309</v>
      </c>
    </row>
    <row r="195" spans="1:9" ht="15.75" thickBot="1"/>
    <row r="196" spans="1:9" ht="15.75" thickBot="1">
      <c r="A196" s="1901" t="s">
        <v>7214</v>
      </c>
      <c r="B196" s="1897" t="s">
        <v>7317</v>
      </c>
      <c r="C196" s="1904"/>
      <c r="D196" s="1904"/>
      <c r="E196" s="1904"/>
      <c r="F196" s="1904"/>
      <c r="G196" s="1904"/>
      <c r="H196" s="1898"/>
      <c r="I196" s="1901" t="s">
        <v>2034</v>
      </c>
    </row>
    <row r="197" spans="1:9">
      <c r="A197" s="1903"/>
      <c r="B197" s="1901" t="s">
        <v>7310</v>
      </c>
      <c r="C197" s="651" t="s">
        <v>7311</v>
      </c>
      <c r="D197" s="1901" t="s">
        <v>7312</v>
      </c>
      <c r="E197" s="1901" t="s">
        <v>7313</v>
      </c>
      <c r="F197" s="1901" t="s">
        <v>7314</v>
      </c>
      <c r="G197" s="1901" t="s">
        <v>7315</v>
      </c>
      <c r="H197" s="1901" t="s">
        <v>7316</v>
      </c>
      <c r="I197" s="1903"/>
    </row>
    <row r="198" spans="1:9" ht="15.75" thickBot="1">
      <c r="A198" s="1902"/>
      <c r="B198" s="1902"/>
      <c r="C198" s="693">
        <v>10000</v>
      </c>
      <c r="D198" s="1902"/>
      <c r="E198" s="1902"/>
      <c r="F198" s="1902"/>
      <c r="G198" s="1902"/>
      <c r="H198" s="1902"/>
      <c r="I198" s="1902"/>
    </row>
    <row r="199" spans="1:9" ht="15.75" thickBot="1">
      <c r="A199" s="586" t="s">
        <v>5848</v>
      </c>
      <c r="B199" s="587" t="e">
        <f>COUNTIFS(SurveyDATA!#REF!,"ISF",SurveyDATA!E:E,"*MALOLOS*",SurveyDATA!#REF!,"&gt;0",SurveyDATA!#REF!,"&lt;5000")</f>
        <v>#REF!</v>
      </c>
      <c r="C199" s="587" t="e">
        <f>COUNTIFS(SurveyDATA!#REF!,"ISF",SurveyDATA!E:E,"*MALOLOS*",SurveyDATA!#REF!,"&gt;0",SurveyDATA!#REF!,"&lt;10001",SurveyDATA!#REF!,"&gt;5000")</f>
        <v>#REF!</v>
      </c>
      <c r="D199" s="587" t="e">
        <f>COUNTIFS(SurveyDATA!#REF!,"ISF",SurveyDATA!E:E,"*MALOLOS*",SurveyDATA!#REF!,"&gt;0",SurveyDATA!#REF!,"&lt;15001",SurveyDATA!#REF!,"&gt;10000")</f>
        <v>#REF!</v>
      </c>
      <c r="E199" s="587" t="e">
        <f>COUNTIFS(SurveyDATA!#REF!,"ISF",SurveyDATA!E:E,"*MALOLOS*",SurveyDATA!#REF!,"&gt;0",SurveyDATA!#REF!,"&lt;20001",SurveyDATA!#REF!,"&gt;15000")</f>
        <v>#REF!</v>
      </c>
      <c r="F199" s="587" t="e">
        <f>COUNTIFS(SurveyDATA!#REF!,"ISF",SurveyDATA!E:E,"*MALOLOS*",SurveyDATA!#REF!,"&gt;0",SurveyDATA!#REF!,"&lt;30001",SurveyDATA!#REF!,"&gt;20000")</f>
        <v>#REF!</v>
      </c>
      <c r="G199" s="587" t="e">
        <f>COUNTIFS(SurveyDATA!#REF!,"ISF",SurveyDATA!E:E,"*MALOLOS*",SurveyDATA!#REF!,"&gt;0",SurveyDATA!#REF!,"&lt;50001",SurveyDATA!#REF!,"&gt;30000")</f>
        <v>#REF!</v>
      </c>
      <c r="H199" s="587" t="e">
        <f>COUNTIFS(SurveyDATA!#REF!,"ISF",SurveyDATA!E:E,"*MALOLOS*",SurveyDATA!#REF!,"&gt;0",SurveyDATA!#REF!,"&gt;50001")</f>
        <v>#REF!</v>
      </c>
      <c r="I199" s="587" t="e">
        <f>SUM(B199:H199)</f>
        <v>#REF!</v>
      </c>
    </row>
    <row r="200" spans="1:9" ht="15.75" thickBot="1">
      <c r="A200" s="586" t="s">
        <v>5494</v>
      </c>
      <c r="B200" s="587" t="e">
        <f>COUNTIFS(SurveyDATA!#REF!,"ISF",SurveyDATA!E:E,"*GUIGUINTO*",SurveyDATA!#REF!,"&gt;0",SurveyDATA!#REF!,"&lt;5000")</f>
        <v>#REF!</v>
      </c>
      <c r="C200" s="587" t="e">
        <f>COUNTIFS(SurveyDATA!#REF!,"ISF",SurveyDATA!E:E,"*GUIGUINTO*",SurveyDATA!#REF!,"&gt;0",SurveyDATA!#REF!,"&lt;10001",SurveyDATA!#REF!,"&gt;5000")</f>
        <v>#REF!</v>
      </c>
      <c r="D200" s="587" t="e">
        <f>COUNTIFS(SurveyDATA!#REF!,"ISF",SurveyDATA!E:E,"*GUIGUINTO*",SurveyDATA!#REF!,"&gt;0",SurveyDATA!#REF!,"&lt;15001",SurveyDATA!#REF!,"&gt;10000")</f>
        <v>#REF!</v>
      </c>
      <c r="E200" s="587" t="e">
        <f>COUNTIFS(SurveyDATA!#REF!,"ISF",SurveyDATA!E:E,"*GUIGUINTO*",SurveyDATA!#REF!,"&gt;0",SurveyDATA!#REF!,"&lt;20001",SurveyDATA!#REF!,"&gt;15000")</f>
        <v>#REF!</v>
      </c>
      <c r="F200" s="587" t="e">
        <f>COUNTIFS(SurveyDATA!#REF!,"ISF",SurveyDATA!E:E,"*BALAGTAS*",SurveyDATA!#REF!,"&gt;0",SurveyDATA!#REF!,"&lt;30001",SurveyDATA!#REF!,"&gt;20000")</f>
        <v>#REF!</v>
      </c>
      <c r="G200" s="587" t="e">
        <f>COUNTIFS(SurveyDATA!#REF!,"ISF",SurveyDATA!E:E,"*GUIGUINTO*",SurveyDATA!#REF!,"&gt;0",SurveyDATA!#REF!,"&lt;50001",SurveyDATA!#REF!,"&gt;30000")</f>
        <v>#REF!</v>
      </c>
      <c r="H200" s="587" t="e">
        <f>COUNTIFS(SurveyDATA!#REF!,"ISF",SurveyDATA!E:E,"*GUIGUINTO*",SurveyDATA!#REF!,"&gt;0",SurveyDATA!#REF!,"&gt;50001")</f>
        <v>#REF!</v>
      </c>
      <c r="I200" s="587" t="e">
        <f t="shared" ref="I200:I208" si="14">SUM(B200:H200)</f>
        <v>#REF!</v>
      </c>
    </row>
    <row r="201" spans="1:9" ht="15.75" thickBot="1">
      <c r="A201" s="586" t="s">
        <v>5847</v>
      </c>
      <c r="B201" s="587" t="e">
        <f>COUNTIFS(SurveyDATA!#REF!,"ISF",SurveyDATA!E:E,"*BALAGTAS*",SurveyDATA!#REF!,"&gt;0",SurveyDATA!#REF!,"&lt;5000")</f>
        <v>#REF!</v>
      </c>
      <c r="C201" s="587" t="e">
        <f>COUNTIFS(SurveyDATA!#REF!,"ISF",SurveyDATA!E:E,"*BALAGTAS*",SurveyDATA!#REF!,"&gt;0",SurveyDATA!#REF!,"&lt;10001",SurveyDATA!#REF!,"&gt;5000")</f>
        <v>#REF!</v>
      </c>
      <c r="D201" s="587" t="e">
        <f>COUNTIFS(SurveyDATA!#REF!,"ISF",SurveyDATA!E:E,"*BALAGTAS*",SurveyDATA!#REF!,"&gt;0",SurveyDATA!#REF!,"&lt;15001",SurveyDATA!#REF!,"&gt;10000")</f>
        <v>#REF!</v>
      </c>
      <c r="E201" s="587" t="e">
        <f>COUNTIFS(SurveyDATA!#REF!,"ISF",SurveyDATA!E:E,"*BALAGTAS*",SurveyDATA!#REF!,"&gt;0",SurveyDATA!#REF!,"&lt;20001",SurveyDATA!#REF!,"&gt;15000")</f>
        <v>#REF!</v>
      </c>
      <c r="F201" s="587" t="e">
        <f>COUNTIFS(SurveyDATA!#REF!,"ISF",SurveyDATA!E:E,"*BALAGTAS*",SurveyDATA!#REF!,"&gt;0",SurveyDATA!#REF!,"&lt;30001",SurveyDATA!#REF!,"&gt;20000")</f>
        <v>#REF!</v>
      </c>
      <c r="G201" s="587" t="e">
        <f>COUNTIFS(SurveyDATA!#REF!,"ISF",SurveyDATA!E:E,"*BALAGTAS*",SurveyDATA!#REF!,"&gt;0",SurveyDATA!#REF!,"&lt;50001",SurveyDATA!#REF!,"&gt;30000")</f>
        <v>#REF!</v>
      </c>
      <c r="H201" s="587" t="e">
        <f>COUNTIFS(SurveyDATA!#REF!,"ISF",SurveyDATA!E:E,"*BALAGTAS*",SurveyDATA!#REF!,"&gt;0",SurveyDATA!#REF!,"&gt;50001")</f>
        <v>#REF!</v>
      </c>
      <c r="I201" s="587" t="e">
        <f t="shared" si="14"/>
        <v>#REF!</v>
      </c>
    </row>
    <row r="202" spans="1:9" ht="15.75" thickBot="1">
      <c r="A202" s="586" t="s">
        <v>771</v>
      </c>
      <c r="B202" s="587" t="e">
        <f>COUNTIFS(SurveyDATA!#REF!,"ISF",SurveyDATA!E:E,"*BOCAUE*",SurveyDATA!#REF!,"&gt;0",SurveyDATA!#REF!,"&lt;5000")</f>
        <v>#REF!</v>
      </c>
      <c r="C202" s="587" t="e">
        <f>COUNTIFS(SurveyDATA!#REF!,"ISF",SurveyDATA!E:E,"*BOCAUE*",SurveyDATA!#REF!,"&gt;0",SurveyDATA!#REF!,"&lt;10001",SurveyDATA!#REF!,"&gt;5000")</f>
        <v>#REF!</v>
      </c>
      <c r="D202" s="587" t="e">
        <f>COUNTIFS(SurveyDATA!#REF!,"ISF",SurveyDATA!E:E,"*BOCAUE*",SurveyDATA!#REF!,"&gt;0",SurveyDATA!#REF!,"&lt;15001",SurveyDATA!#REF!,"&gt;10000")</f>
        <v>#REF!</v>
      </c>
      <c r="E202" s="587" t="e">
        <f>COUNTIFS(SurveyDATA!#REF!,"ISF",SurveyDATA!E:E,"*BOCAUE*",SurveyDATA!#REF!,"&gt;0",SurveyDATA!#REF!,"&lt;20001",SurveyDATA!#REF!,"&gt;15000")</f>
        <v>#REF!</v>
      </c>
      <c r="F202" s="587" t="e">
        <f>COUNTIFS(SurveyDATA!#REF!,"ISF",SurveyDATA!E:E,"*BOCAUE*",SurveyDATA!#REF!,"&gt;0",SurveyDATA!#REF!,"&lt;30001",SurveyDATA!#REF!,"&gt;20000")</f>
        <v>#REF!</v>
      </c>
      <c r="G202" s="587" t="e">
        <f>COUNTIFS(SurveyDATA!#REF!,"ISF",SurveyDATA!E:E,"*BOCAUE*",SurveyDATA!#REF!,"&gt;0",SurveyDATA!#REF!,"&lt;50001",SurveyDATA!#REF!,"&gt;30000")</f>
        <v>#REF!</v>
      </c>
      <c r="H202" s="587" t="e">
        <f>COUNTIFS(SurveyDATA!#REF!,"ISF",SurveyDATA!E:E,"*BOCAUE*",SurveyDATA!#REF!,"&gt;0",SurveyDATA!#REF!,"&gt;50001")</f>
        <v>#REF!</v>
      </c>
      <c r="I202" s="587" t="e">
        <f>SUM(B202:H202)</f>
        <v>#REF!</v>
      </c>
    </row>
    <row r="203" spans="1:9" ht="15.75" thickBot="1">
      <c r="A203" s="586" t="s">
        <v>5495</v>
      </c>
      <c r="B203" s="587" t="e">
        <f>COUNTIFS(SurveyDATA!#REF!,"ISF",SurveyDATA!E:E,"*MARILAO*",SurveyDATA!#REF!,"&gt;0",SurveyDATA!#REF!,"&lt;5000")</f>
        <v>#REF!</v>
      </c>
      <c r="C203" s="587" t="e">
        <f>COUNTIFS(SurveyDATA!#REF!,"ISF",SurveyDATA!E:E,"*MARILAO*",SurveyDATA!#REF!,"&gt;0",SurveyDATA!#REF!,"&lt;10001",SurveyDATA!#REF!,"&gt;5000")</f>
        <v>#REF!</v>
      </c>
      <c r="D203" s="587" t="e">
        <f>COUNTIFS(SurveyDATA!#REF!,"ISF",SurveyDATA!E:E,"*MARILAO*",SurveyDATA!#REF!,"&gt;0",SurveyDATA!#REF!,"&lt;15001",SurveyDATA!#REF!,"&gt;10000")</f>
        <v>#REF!</v>
      </c>
      <c r="E203" s="587" t="e">
        <f>COUNTIFS(SurveyDATA!#REF!,"ISF",SurveyDATA!E:E,"*MARILAO*",SurveyDATA!#REF!,"&gt;0",SurveyDATA!#REF!,"&lt;20001",SurveyDATA!#REF!,"&gt;15000")</f>
        <v>#REF!</v>
      </c>
      <c r="F203" s="587" t="e">
        <f>COUNTIFS(SurveyDATA!#REF!,"ISF",SurveyDATA!E:E,"*MARILAO*",SurveyDATA!#REF!,"&gt;0",SurveyDATA!#REF!,"&lt;30001",SurveyDATA!#REF!,"&gt;20000")</f>
        <v>#REF!</v>
      </c>
      <c r="G203" s="587" t="e">
        <f>COUNTIFS(SurveyDATA!#REF!,"ISF",SurveyDATA!E:E,"*MARILAO*",SurveyDATA!#REF!,"&gt;0",SurveyDATA!#REF!,"&lt;50001",SurveyDATA!#REF!,"&gt;30000")</f>
        <v>#REF!</v>
      </c>
      <c r="H203" s="587" t="e">
        <f>COUNTIFS(SurveyDATA!#REF!,"ISF",SurveyDATA!E:E,"*MAARILAO*",SurveyDATA!#REF!,"&gt;0",SurveyDATA!#REF!,"&gt;50001")</f>
        <v>#REF!</v>
      </c>
      <c r="I203" s="587" t="e">
        <f t="shared" si="14"/>
        <v>#REF!</v>
      </c>
    </row>
    <row r="204" spans="1:9" ht="15.75" thickBot="1">
      <c r="A204" s="586" t="s">
        <v>5496</v>
      </c>
      <c r="B204" s="587" t="e">
        <f>COUNTIFS(SurveyDATA!#REF!,"ISF",SurveyDATA!E:E,"*MEYCAUAYAN*",SurveyDATA!#REF!,"&gt;0",SurveyDATA!#REF!,"&lt;5000")</f>
        <v>#REF!</v>
      </c>
      <c r="C204" s="587" t="e">
        <f>COUNTIFS(SurveyDATA!#REF!,"ISF",SurveyDATA!E:E,"*MEYCAUAYAN*",SurveyDATA!#REF!,"&gt;0",SurveyDATA!#REF!,"&lt;10001",SurveyDATA!#REF!,"&gt;5000")</f>
        <v>#REF!</v>
      </c>
      <c r="D204" s="587" t="e">
        <f>COUNTIFS(SurveyDATA!#REF!,"ISF",SurveyDATA!E:E,"*MEYCAUAYAN*",SurveyDATA!#REF!,"&gt;0",SurveyDATA!#REF!,"&lt;15001",SurveyDATA!#REF!,"&gt;10000")</f>
        <v>#REF!</v>
      </c>
      <c r="E204" s="587" t="e">
        <f>COUNTIFS(SurveyDATA!#REF!,"ISF",SurveyDATA!E:E,"*MEYCAUAYAN*",SurveyDATA!#REF!,"&gt;0",SurveyDATA!#REF!,"&lt;20001",SurveyDATA!#REF!,"&gt;15000")</f>
        <v>#REF!</v>
      </c>
      <c r="F204" s="587" t="e">
        <f>COUNTIFS(SurveyDATA!#REF!,"ISF",SurveyDATA!E:E,"*MEYCAUAYAN*",SurveyDATA!#REF!,"&gt;0",SurveyDATA!#REF!,"&lt;30001",SurveyDATA!#REF!,"&gt;20000")</f>
        <v>#REF!</v>
      </c>
      <c r="G204" s="587" t="e">
        <f>COUNTIFS(SurveyDATA!#REF!,"ISF",SurveyDATA!E:E,"*MEYCAUAYAN*",SurveyDATA!#REF!,"&gt;0",SurveyDATA!#REF!,"&lt;50001",SurveyDATA!#REF!,"&gt;30000")</f>
        <v>#REF!</v>
      </c>
      <c r="H204" s="587" t="e">
        <f>COUNTIFS(SurveyDATA!#REF!,"ISF",SurveyDATA!E:E,"*MEYCAUAYAN*",SurveyDATA!#REF!,"&gt;0",SurveyDATA!#REF!,"&gt;50001")</f>
        <v>#REF!</v>
      </c>
      <c r="I204" s="587" t="e">
        <f t="shared" si="14"/>
        <v>#REF!</v>
      </c>
    </row>
    <row r="205" spans="1:9" ht="15.75" thickBot="1">
      <c r="A205" s="586" t="s">
        <v>778</v>
      </c>
      <c r="B205" s="587" t="e">
        <f>COUNTIFS(SurveyDATA!#REF!,"ISF",SurveyDATA!E:E,"*VALENZUELA*",SurveyDATA!#REF!,"&gt;0",SurveyDATA!#REF!,"&lt;5000")</f>
        <v>#REF!</v>
      </c>
      <c r="C205" s="587" t="e">
        <f>COUNTIFS(SurveyDATA!#REF!,"ISF",SurveyDATA!E:E,"*VALENZUELA*",SurveyDATA!#REF!,"&gt;0",SurveyDATA!#REF!,"&lt;10001",SurveyDATA!#REF!,"&gt;5000")</f>
        <v>#REF!</v>
      </c>
      <c r="D205" s="587" t="e">
        <f>COUNTIFS(SurveyDATA!#REF!,"ISF",SurveyDATA!E:E,"*VALENZUELA*",SurveyDATA!#REF!,"&gt;0",SurveyDATA!#REF!,"&lt;15001",SurveyDATA!#REF!,"&gt;10000")</f>
        <v>#REF!</v>
      </c>
      <c r="E205" s="587" t="e">
        <f>COUNTIFS(SurveyDATA!#REF!,"ISF",SurveyDATA!E:E,"*VALENZUELA*",SurveyDATA!#REF!,"&gt;0",SurveyDATA!#REF!,"&lt;20001",SurveyDATA!#REF!,"&gt;15000")</f>
        <v>#REF!</v>
      </c>
      <c r="F205" s="587" t="e">
        <f>COUNTIFS(SurveyDATA!#REF!,"ISF",SurveyDATA!E:E,"*VALENZUELA*",SurveyDATA!#REF!,"&gt;0",SurveyDATA!#REF!,"&lt;30001",SurveyDATA!#REF!,"&gt;20000")</f>
        <v>#REF!</v>
      </c>
      <c r="G205" s="587" t="e">
        <f>COUNTIFS(SurveyDATA!#REF!,"ISF",SurveyDATA!E:E,"*VALENZUELA*",SurveyDATA!#REF!,"&gt;0",SurveyDATA!#REF!,"&lt;50001",SurveyDATA!#REF!,"&gt;30000")</f>
        <v>#REF!</v>
      </c>
      <c r="H205" s="587" t="e">
        <f>COUNTIFS(SurveyDATA!#REF!,"ISF",SurveyDATA!E:E,"*VALENZUELA*",SurveyDATA!#REF!,"&gt;0",SurveyDATA!#REF!,"&gt;50001")</f>
        <v>#REF!</v>
      </c>
      <c r="I205" s="587" t="e">
        <f t="shared" si="14"/>
        <v>#REF!</v>
      </c>
    </row>
    <row r="206" spans="1:9" ht="15.75" thickBot="1">
      <c r="A206" s="586" t="s">
        <v>5493</v>
      </c>
      <c r="B206" s="587" t="e">
        <f>COUNTIFS(SurveyDATA!#REF!,"ISF",SurveyDATA!E:E,"*MALOCALOOCANLOS*",SurveyDATA!#REF!,"&gt;0",SurveyDATA!#REF!,"&lt;5000")</f>
        <v>#REF!</v>
      </c>
      <c r="C206" s="587" t="e">
        <f>COUNTIFS(SurveyDATA!#REF!,"ISF",SurveyDATA!E:E,"*CALOOCAN*",SurveyDATA!#REF!,"&gt;0",SurveyDATA!#REF!,"&lt;10001",SurveyDATA!#REF!,"&gt;5000")</f>
        <v>#REF!</v>
      </c>
      <c r="D206" s="587" t="e">
        <f>COUNTIFS(SurveyDATA!#REF!,"ISF",SurveyDATA!E:E,"*CALOOCAN*",SurveyDATA!#REF!,"&gt;0",SurveyDATA!#REF!,"&lt;15001",SurveyDATA!#REF!,"&gt;10000")</f>
        <v>#REF!</v>
      </c>
      <c r="E206" s="587" t="e">
        <f>COUNTIFS(SurveyDATA!#REF!,"ISF",SurveyDATA!E:E,"*CALOOCAN*",SurveyDATA!#REF!,"&gt;0",SurveyDATA!#REF!,"&lt;20001",SurveyDATA!#REF!,"&gt;15000")</f>
        <v>#REF!</v>
      </c>
      <c r="F206" s="587" t="e">
        <f>COUNTIFS(SurveyDATA!#REF!,"ISF",SurveyDATA!E:E,"*CALOOCAN*",SurveyDATA!#REF!,"&gt;0",SurveyDATA!#REF!,"&lt;30001",SurveyDATA!#REF!,"&gt;20000")</f>
        <v>#REF!</v>
      </c>
      <c r="G206" s="587" t="e">
        <f>COUNTIFS(SurveyDATA!#REF!,"ISF",SurveyDATA!E:E,"*CALOOCAN*",SurveyDATA!#REF!,"&gt;0",SurveyDATA!#REF!,"&lt;50001",SurveyDATA!#REF!,"&gt;30000")</f>
        <v>#REF!</v>
      </c>
      <c r="H206" s="587" t="e">
        <f>COUNTIFS(SurveyDATA!#REF!,"ISF",SurveyDATA!E:E,"*CALOOCAN*",SurveyDATA!#REF!,"&gt;0",SurveyDATA!#REF!,"&gt;50001")</f>
        <v>#REF!</v>
      </c>
      <c r="I206" s="587" t="e">
        <f t="shared" si="14"/>
        <v>#REF!</v>
      </c>
    </row>
    <row r="207" spans="1:9" ht="15.75" thickBot="1">
      <c r="A207" s="586" t="s">
        <v>1020</v>
      </c>
      <c r="B207" s="587" t="e">
        <f>COUNTIFS(SurveyDATA!#REF!,"ISF",SurveyDATA!E:E,"*MANILA*",SurveyDATA!#REF!,"&gt;0",SurveyDATA!#REF!,"&lt;5000")</f>
        <v>#REF!</v>
      </c>
      <c r="C207" s="587" t="e">
        <f>COUNTIFS(SurveyDATA!#REF!,"ISF",SurveyDATA!E:E,"*MANILA*",SurveyDATA!#REF!,"&gt;0",SurveyDATA!#REF!,"&lt;10001",SurveyDATA!#REF!,"&gt;5000")</f>
        <v>#REF!</v>
      </c>
      <c r="D207" s="587" t="e">
        <f>COUNTIFS(SurveyDATA!#REF!,"ISF",SurveyDATA!E:E,"*MANILA*",SurveyDATA!#REF!,"&gt;0",SurveyDATA!#REF!,"&lt;15001",SurveyDATA!#REF!,"&gt;10000")</f>
        <v>#REF!</v>
      </c>
      <c r="E207" s="587" t="e">
        <f>COUNTIFS(SurveyDATA!#REF!,"ISF",SurveyDATA!E:E,"*MANILA*",SurveyDATA!#REF!,"&gt;0",SurveyDATA!#REF!,"&lt;20001",SurveyDATA!#REF!,"&gt;15000")</f>
        <v>#REF!</v>
      </c>
      <c r="F207" s="587" t="e">
        <f>COUNTIFS(SurveyDATA!#REF!,"ISF",SurveyDATA!E:E,"*MANILA*",SurveyDATA!#REF!,"&gt;0",SurveyDATA!#REF!,"&lt;30001",SurveyDATA!#REF!,"&gt;20000")</f>
        <v>#REF!</v>
      </c>
      <c r="G207" s="587" t="e">
        <f>COUNTIFS(SurveyDATA!#REF!,"ISF",SurveyDATA!E:E,"*MANILA*",SurveyDATA!#REF!,"&gt;0",SurveyDATA!#REF!,"&lt;50001",SurveyDATA!#REF!,"&gt;30000")</f>
        <v>#REF!</v>
      </c>
      <c r="H207" s="587" t="e">
        <f>COUNTIFS(SurveyDATA!#REF!,"ISF",SurveyDATA!E:E,"*MANILA*",SurveyDATA!#REF!,"&gt;0",SurveyDATA!#REF!,"&gt;50001")</f>
        <v>#REF!</v>
      </c>
      <c r="I207" s="587" t="e">
        <f t="shared" si="14"/>
        <v>#REF!</v>
      </c>
    </row>
    <row r="208" spans="1:9" ht="15.75" thickBot="1">
      <c r="A208" s="588" t="s">
        <v>2034</v>
      </c>
      <c r="B208" s="619" t="e">
        <f>SUM(B199:B207)</f>
        <v>#REF!</v>
      </c>
      <c r="C208" s="619" t="e">
        <f t="shared" ref="C208:H208" si="15">SUM(C199:C207)</f>
        <v>#REF!</v>
      </c>
      <c r="D208" s="619" t="e">
        <f t="shared" si="15"/>
        <v>#REF!</v>
      </c>
      <c r="E208" s="619" t="e">
        <f t="shared" si="15"/>
        <v>#REF!</v>
      </c>
      <c r="F208" s="619" t="e">
        <f t="shared" si="15"/>
        <v>#REF!</v>
      </c>
      <c r="G208" s="619" t="e">
        <f t="shared" si="15"/>
        <v>#REF!</v>
      </c>
      <c r="H208" s="619" t="e">
        <f t="shared" si="15"/>
        <v>#REF!</v>
      </c>
      <c r="I208" s="619" t="e">
        <f t="shared" si="14"/>
        <v>#REF!</v>
      </c>
    </row>
    <row r="209" spans="1:9" ht="15.75" thickBot="1">
      <c r="A209" s="590" t="s">
        <v>7243</v>
      </c>
      <c r="B209" s="591" t="e">
        <f>B208/I208</f>
        <v>#REF!</v>
      </c>
      <c r="C209" s="591" t="e">
        <f>C208/I208</f>
        <v>#REF!</v>
      </c>
      <c r="D209" s="591" t="e">
        <f>D208/I208</f>
        <v>#REF!</v>
      </c>
      <c r="E209" s="591" t="e">
        <f>E208/I208</f>
        <v>#REF!</v>
      </c>
      <c r="F209" s="591" t="e">
        <f>F208/I208</f>
        <v>#REF!</v>
      </c>
      <c r="G209" s="591" t="e">
        <f>G208/I208</f>
        <v>#REF!</v>
      </c>
      <c r="H209" s="591" t="e">
        <f>H208/I208</f>
        <v>#REF!</v>
      </c>
      <c r="I209" s="591" t="e">
        <f>SUM(B209:H209)</f>
        <v>#REF!</v>
      </c>
    </row>
    <row r="212" spans="1:9">
      <c r="A212" s="635" t="s">
        <v>7323</v>
      </c>
    </row>
    <row r="213" spans="1:9" ht="15.75" thickBot="1"/>
    <row r="214" spans="1:9" ht="15.75" thickBot="1">
      <c r="A214" s="584" t="s">
        <v>7214</v>
      </c>
      <c r="B214" s="585" t="s">
        <v>7318</v>
      </c>
      <c r="C214" s="585" t="s">
        <v>7319</v>
      </c>
      <c r="D214" s="585" t="s">
        <v>7320</v>
      </c>
      <c r="E214" s="585" t="s">
        <v>7321</v>
      </c>
      <c r="F214" s="585" t="s">
        <v>7322</v>
      </c>
      <c r="G214" s="585" t="s">
        <v>2034</v>
      </c>
    </row>
    <row r="215" spans="1:9" ht="15.75" thickBot="1">
      <c r="A215" s="586" t="s">
        <v>5848</v>
      </c>
      <c r="B215" s="587" t="e">
        <f>COUNTIFS(SurveyDATA!#REF!,"ISF",SurveyDATA!E:E,"*MALOLOS*",SurveyDATA!#REF!,"&gt;0",SurveyDATA!#REF!,"&lt;3000")</f>
        <v>#REF!</v>
      </c>
      <c r="C215" s="587" t="e">
        <f>COUNTIFS(SurveyDATA!#REF!,"ISF",SurveyDATA!E:E,"*MALOLOS*",SurveyDATA!#REF!,"&gt;0",SurveyDATA!#REF!,"&lt;5001",SurveyDATA!#REF!,"&gt;3000")</f>
        <v>#REF!</v>
      </c>
      <c r="D215" s="587" t="e">
        <f>COUNTIFS(SurveyDATA!#REF!,"ISF",SurveyDATA!E:E,"*MALOLOS*",SurveyDATA!#REF!,"&gt;0",SurveyDATA!#REF!,"&lt;10001",SurveyDATA!#REF!,"&gt;5000")</f>
        <v>#REF!</v>
      </c>
      <c r="E215" s="587" t="e">
        <f>COUNTIFS(SurveyDATA!#REF!,"ISF",SurveyDATA!E:E,"*MALOLOS*",SurveyDATA!#REF!,"&gt;0",SurveyDATA!#REF!,"&lt;30001",SurveyDATA!#REF!,"&gt;10000")</f>
        <v>#REF!</v>
      </c>
      <c r="F215" s="587" t="e">
        <f>COUNTIFS(SurveyDATA!#REF!,"ISF",SurveyDATA!E:E,"*MALOLOS*",SurveyDATA!#REF!,"&gt;0",SurveyDATA!#REF!,"&gt;30000")</f>
        <v>#REF!</v>
      </c>
      <c r="G215" s="587" t="e">
        <f>SUM(B215:F215)</f>
        <v>#REF!</v>
      </c>
    </row>
    <row r="216" spans="1:9" ht="15.75" thickBot="1">
      <c r="A216" s="586" t="s">
        <v>5494</v>
      </c>
      <c r="B216" s="587" t="e">
        <f>COUNTIFS(SurveyDATA!#REF!,"ISF",SurveyDATA!E:E,"*GUIGUINTO*",SurveyDATA!#REF!,"&gt;0",SurveyDATA!#REF!,"&lt;3000")</f>
        <v>#REF!</v>
      </c>
      <c r="C216" s="587" t="e">
        <f>COUNTIFS(SurveyDATA!#REF!,"ISF",SurveyDATA!E:E,"*GUIGUINTO*",SurveyDATA!#REF!,"&gt;0",SurveyDATA!#REF!,"&lt;5001",SurveyDATA!#REF!,"&gt;3000")</f>
        <v>#REF!</v>
      </c>
      <c r="D216" s="587" t="e">
        <f>COUNTIFS(SurveyDATA!#REF!,"ISF",SurveyDATA!E:E,"*GUIGUINTO*",SurveyDATA!#REF!,"&gt;0",SurveyDATA!#REF!,"&lt;10001",SurveyDATA!#REF!,"&gt;5000")</f>
        <v>#REF!</v>
      </c>
      <c r="E216" s="587" t="e">
        <f>COUNTIFS(SurveyDATA!#REF!,"ISF",SurveyDATA!E:E,"*GUIGUINTO*",SurveyDATA!#REF!,"&gt;0",SurveyDATA!#REF!,"&lt;30001",SurveyDATA!#REF!,"&gt;10000")</f>
        <v>#REF!</v>
      </c>
      <c r="F216" s="587" t="e">
        <f>COUNTIFS(SurveyDATA!#REF!,"ISF",SurveyDATA!E:E,"*GUIGUINTO*",SurveyDATA!#REF!,"&gt;0",SurveyDATA!#REF!,"&gt;30000")</f>
        <v>#REF!</v>
      </c>
      <c r="G216" s="587" t="e">
        <f t="shared" ref="G216:G223" si="16">SUM(B216:F216)</f>
        <v>#REF!</v>
      </c>
    </row>
    <row r="217" spans="1:9" ht="15.75" thickBot="1">
      <c r="A217" s="586" t="s">
        <v>5847</v>
      </c>
      <c r="B217" s="587" t="e">
        <f>COUNTIFS(SurveyDATA!#REF!,"ISF",SurveyDATA!E:E,"*BALAGTAS*",SurveyDATA!#REF!,"&gt;0",SurveyDATA!#REF!,"&lt;3000")</f>
        <v>#REF!</v>
      </c>
      <c r="C217" s="587" t="e">
        <f>COUNTIFS(SurveyDATA!#REF!,"ISF",SurveyDATA!E:E,"*BALAGTAS*",SurveyDATA!#REF!,"&gt;0",SurveyDATA!#REF!,"&lt;5001",SurveyDATA!#REF!,"&gt;3000")</f>
        <v>#REF!</v>
      </c>
      <c r="D217" s="587" t="e">
        <f>COUNTIFS(SurveyDATA!#REF!,"ISF",SurveyDATA!E:E,"*BALAGTAS*",SurveyDATA!#REF!,"&gt;0",SurveyDATA!#REF!,"&lt;10001",SurveyDATA!#REF!,"&gt;5000")</f>
        <v>#REF!</v>
      </c>
      <c r="E217" s="587" t="e">
        <f>COUNTIFS(SurveyDATA!#REF!,"ISF",SurveyDATA!E:E,"*BALAGTAS*",SurveyDATA!#REF!,"&gt;0",SurveyDATA!#REF!,"&lt;30001",SurveyDATA!#REF!,"&gt;10000")</f>
        <v>#REF!</v>
      </c>
      <c r="F217" s="587" t="e">
        <f>COUNTIFS(SurveyDATA!#REF!,"ISF",SurveyDATA!E:E,"*BALAGTAS*",SurveyDATA!#REF!,"&gt;0",SurveyDATA!#REF!,"&gt;30000")</f>
        <v>#REF!</v>
      </c>
      <c r="G217" s="587" t="e">
        <f t="shared" si="16"/>
        <v>#REF!</v>
      </c>
    </row>
    <row r="218" spans="1:9" ht="15.75" thickBot="1">
      <c r="A218" s="586" t="s">
        <v>771</v>
      </c>
      <c r="B218" s="587" t="e">
        <f>COUNTIFS(SurveyDATA!#REF!,"ISF",SurveyDATA!E:E,"*BOCAUE*",SurveyDATA!#REF!,"&gt;0",SurveyDATA!#REF!,"&lt;3000")</f>
        <v>#REF!</v>
      </c>
      <c r="C218" s="587" t="e">
        <f>COUNTIFS(SurveyDATA!#REF!,"ISF",SurveyDATA!E:E,"*BOCAUE*",SurveyDATA!#REF!,"&gt;0",SurveyDATA!#REF!,"&lt;5001",SurveyDATA!#REF!,"&gt;3000")</f>
        <v>#REF!</v>
      </c>
      <c r="D218" s="587" t="e">
        <f>COUNTIFS(SurveyDATA!#REF!,"ISF",SurveyDATA!E:E,"*BOCAUE*",SurveyDATA!#REF!,"&gt;0",SurveyDATA!#REF!,"&lt;10001",SurveyDATA!#REF!,"&gt;5000")</f>
        <v>#REF!</v>
      </c>
      <c r="E218" s="587" t="e">
        <f>COUNTIFS(SurveyDATA!#REF!,"ISF",SurveyDATA!E:E,"*BOCAUE*",SurveyDATA!#REF!,"&gt;0",SurveyDATA!#REF!,"&lt;30001",SurveyDATA!#REF!,"&gt;10000")</f>
        <v>#REF!</v>
      </c>
      <c r="F218" s="587" t="e">
        <f>COUNTIFS(SurveyDATA!#REF!,"ISF",SurveyDATA!E:E,"*BOCAUE*",SurveyDATA!#REF!,"&gt;0",SurveyDATA!#REF!,"&gt;30000")</f>
        <v>#REF!</v>
      </c>
      <c r="G218" s="587" t="e">
        <f t="shared" si="16"/>
        <v>#REF!</v>
      </c>
    </row>
    <row r="219" spans="1:9" ht="15.75" thickBot="1">
      <c r="A219" s="586" t="s">
        <v>5495</v>
      </c>
      <c r="B219" s="587" t="e">
        <f>COUNTIFS(SurveyDATA!#REF!,"ISF",SurveyDATA!E:E,"*C*",SurveyDATA!#REF!,"&gt;0",SurveyDATA!#REF!,"&lt;3000")</f>
        <v>#REF!</v>
      </c>
      <c r="C219" s="587" t="e">
        <f>COUNTIFS(SurveyDATA!#REF!,"ISF",SurveyDATA!E:E,"*BOCAUE*",SurveyDATA!#REF!,"&gt;0",SurveyDATA!#REF!,"&lt;5001",SurveyDATA!#REF!,"&gt;3000")</f>
        <v>#REF!</v>
      </c>
      <c r="D219" s="587" t="e">
        <f>COUNTIFS(SurveyDATA!#REF!,"ISF",SurveyDATA!E:E,"*BOCAUE*",SurveyDATA!#REF!,"&gt;0",SurveyDATA!#REF!,"&lt;10001",SurveyDATA!#REF!,"&gt;5000")</f>
        <v>#REF!</v>
      </c>
      <c r="E219" s="587" t="e">
        <f>COUNTIFS(SurveyDATA!#REF!,"ISF",SurveyDATA!E:E,"*BOCAUE*",SurveyDATA!#REF!,"&gt;0",SurveyDATA!#REF!,"&lt;30001",SurveyDATA!#REF!,"&gt;10000")</f>
        <v>#REF!</v>
      </c>
      <c r="F219" s="587" t="e">
        <f>COUNTIFS(SurveyDATA!#REF!,"ISF",SurveyDATA!E:E,"*BOCAUE*",SurveyDATA!#REF!,"&gt;0",SurveyDATA!#REF!,"&gt;30000")</f>
        <v>#REF!</v>
      </c>
      <c r="G219" s="587" t="e">
        <f t="shared" si="16"/>
        <v>#REF!</v>
      </c>
    </row>
    <row r="220" spans="1:9" ht="15.75" thickBot="1">
      <c r="A220" s="586" t="s">
        <v>5496</v>
      </c>
      <c r="B220" s="587" t="e">
        <f>COUNTIFS(SurveyDATA!#REF!,"ISF",SurveyDATA!E:E,"*MEYCAUAYAN*",SurveyDATA!#REF!,"&gt;0",SurveyDATA!#REF!,"&lt;3000")</f>
        <v>#REF!</v>
      </c>
      <c r="C220" s="587" t="e">
        <f>COUNTIFS(SurveyDATA!#REF!,"ISF",SurveyDATA!E:E,"*MEYCAUAYAN*",SurveyDATA!#REF!,"&gt;0",SurveyDATA!#REF!,"&lt;5001",SurveyDATA!#REF!,"&gt;3000")</f>
        <v>#REF!</v>
      </c>
      <c r="D220" s="587" t="e">
        <f>COUNTIFS(SurveyDATA!#REF!,"ISF",SurveyDATA!E:E,"*MEYCAUAYAN*",SurveyDATA!#REF!,"&gt;0",SurveyDATA!#REF!,"&lt;10001",SurveyDATA!#REF!,"&gt;5000")</f>
        <v>#REF!</v>
      </c>
      <c r="E220" s="587" t="e">
        <f>COUNTIFS(SurveyDATA!#REF!,"ISF",SurveyDATA!E:E,"*MEYCAUAYAN*",SurveyDATA!#REF!,"&gt;0",SurveyDATA!#REF!,"&lt;30001",SurveyDATA!#REF!,"&gt;10000")</f>
        <v>#REF!</v>
      </c>
      <c r="F220" s="587" t="e">
        <f>COUNTIFS(SurveyDATA!#REF!,"ISF",SurveyDATA!E:E,"*MEYCAUAYAN*",SurveyDATA!#REF!,"&gt;0",SurveyDATA!#REF!,"&gt;30000")</f>
        <v>#REF!</v>
      </c>
      <c r="G220" s="587" t="e">
        <f t="shared" si="16"/>
        <v>#REF!</v>
      </c>
    </row>
    <row r="221" spans="1:9" ht="15.75" thickBot="1">
      <c r="A221" s="586" t="s">
        <v>778</v>
      </c>
      <c r="B221" s="587" t="e">
        <f>COUNTIFS(SurveyDATA!#REF!,"ISF",SurveyDATA!E:E,"*VALENZUELA*",SurveyDATA!#REF!,"&gt;0",SurveyDATA!#REF!,"&lt;3000")</f>
        <v>#REF!</v>
      </c>
      <c r="C221" s="587" t="e">
        <f>COUNTIFS(SurveyDATA!#REF!,"ISF",SurveyDATA!E:E,"*VALENZUELA*",SurveyDATA!#REF!,"&gt;0",SurveyDATA!#REF!,"&lt;5001",SurveyDATA!#REF!,"&gt;3000")</f>
        <v>#REF!</v>
      </c>
      <c r="D221" s="587" t="e">
        <f>COUNTIFS(SurveyDATA!#REF!,"ISF",SurveyDATA!E:E,"*VALENZUELA*",SurveyDATA!#REF!,"&gt;0",SurveyDATA!#REF!,"&lt;10001",SurveyDATA!#REF!,"&gt;5000")</f>
        <v>#REF!</v>
      </c>
      <c r="E221" s="587" t="e">
        <f>COUNTIFS(SurveyDATA!#REF!,"ISF",SurveyDATA!E:E,"*VALENZUELA*",SurveyDATA!#REF!,"&gt;0",SurveyDATA!#REF!,"&lt;30001",SurveyDATA!#REF!,"&gt;10000")</f>
        <v>#REF!</v>
      </c>
      <c r="F221" s="587" t="e">
        <f>COUNTIFS(SurveyDATA!#REF!,"ISF",SurveyDATA!E:E,"*VALENZUELA*",SurveyDATA!#REF!,"&gt;0",SurveyDATA!#REF!,"&gt;30000")</f>
        <v>#REF!</v>
      </c>
      <c r="G221" s="587" t="e">
        <f t="shared" si="16"/>
        <v>#REF!</v>
      </c>
    </row>
    <row r="222" spans="1:9" ht="15.75" thickBot="1">
      <c r="A222" s="586" t="s">
        <v>5493</v>
      </c>
      <c r="B222" s="587" t="e">
        <f>COUNTIFS(SurveyDATA!#REF!,"ISF",SurveyDATA!E:E,"*CALOOCAN*",SurveyDATA!#REF!,"&gt;0",SurveyDATA!#REF!,"&lt;3000")</f>
        <v>#REF!</v>
      </c>
      <c r="C222" s="587" t="e">
        <f>COUNTIFS(SurveyDATA!#REF!,"ISF",SurveyDATA!E:E,"*CALOOCAN*",SurveyDATA!#REF!,"&gt;0",SurveyDATA!#REF!,"&lt;5001",SurveyDATA!#REF!,"&gt;3000")</f>
        <v>#REF!</v>
      </c>
      <c r="D222" s="587" t="e">
        <f>COUNTIFS(SurveyDATA!#REF!,"ISF",SurveyDATA!E:E,"*CALOOCAN*",SurveyDATA!#REF!,"&gt;0",SurveyDATA!#REF!,"&lt;10001",SurveyDATA!#REF!,"&gt;5000")</f>
        <v>#REF!</v>
      </c>
      <c r="E222" s="587" t="e">
        <f>COUNTIFS(SurveyDATA!#REF!,"ISF",SurveyDATA!E:E,"*CALOOCAN*",SurveyDATA!#REF!,"&gt;0",SurveyDATA!#REF!,"&lt;30001",SurveyDATA!#REF!,"&gt;10000")</f>
        <v>#REF!</v>
      </c>
      <c r="F222" s="587" t="e">
        <f>COUNTIFS(SurveyDATA!#REF!,"ISF",SurveyDATA!E:E,"*CALOOCAN*",SurveyDATA!#REF!,"&gt;0",SurveyDATA!#REF!,"&gt;30000")</f>
        <v>#REF!</v>
      </c>
      <c r="G222" s="587" t="e">
        <f t="shared" si="16"/>
        <v>#REF!</v>
      </c>
    </row>
    <row r="223" spans="1:9" ht="15.75" thickBot="1">
      <c r="A223" s="586" t="s">
        <v>1020</v>
      </c>
      <c r="B223" s="587" t="e">
        <f>COUNTIFS(SurveyDATA!#REF!,"ISF",SurveyDATA!E:E,"*MANILA*",SurveyDATA!#REF!,"&gt;0",SurveyDATA!#REF!,"&lt;3000")</f>
        <v>#REF!</v>
      </c>
      <c r="C223" s="587" t="e">
        <f>COUNTIFS(SurveyDATA!#REF!,"ISF",SurveyDATA!E:E,"*MANILA*",SurveyDATA!#REF!,"&gt;0",SurveyDATA!#REF!,"&lt;5001",SurveyDATA!#REF!,"&gt;3000")</f>
        <v>#REF!</v>
      </c>
      <c r="D223" s="587" t="e">
        <f>COUNTIFS(SurveyDATA!#REF!,"ISF",SurveyDATA!E:E,"*MANILA*",SurveyDATA!#REF!,"&gt;0",SurveyDATA!#REF!,"&lt;10001",SurveyDATA!#REF!,"&gt;5000")</f>
        <v>#REF!</v>
      </c>
      <c r="E223" s="587" t="e">
        <f>COUNTIFS(SurveyDATA!#REF!,"ISF",SurveyDATA!E:E,"*MANILA*",SurveyDATA!#REF!,"&gt;0",SurveyDATA!#REF!,"&lt;30001",SurveyDATA!#REF!,"&gt;10000")</f>
        <v>#REF!</v>
      </c>
      <c r="F223" s="587" t="e">
        <f>COUNTIFS(SurveyDATA!#REF!,"ISF",SurveyDATA!E:E,"*MANILA*",SurveyDATA!#REF!,"&gt;0",SurveyDATA!#REF!,"&gt;30000")</f>
        <v>#REF!</v>
      </c>
      <c r="G223" s="587" t="e">
        <f t="shared" si="16"/>
        <v>#REF!</v>
      </c>
    </row>
    <row r="224" spans="1:9" ht="15.75" thickBot="1">
      <c r="A224" s="588" t="s">
        <v>2034</v>
      </c>
      <c r="B224" s="619" t="e">
        <f t="shared" ref="B224:G224" si="17">SUM(B215:B223)</f>
        <v>#REF!</v>
      </c>
      <c r="C224" s="619" t="e">
        <f t="shared" si="17"/>
        <v>#REF!</v>
      </c>
      <c r="D224" s="619" t="e">
        <f t="shared" si="17"/>
        <v>#REF!</v>
      </c>
      <c r="E224" s="619" t="e">
        <f t="shared" si="17"/>
        <v>#REF!</v>
      </c>
      <c r="F224" s="619" t="e">
        <f t="shared" si="17"/>
        <v>#REF!</v>
      </c>
      <c r="G224" s="619" t="e">
        <f t="shared" si="17"/>
        <v>#REF!</v>
      </c>
    </row>
    <row r="225" spans="1:12" ht="15.75" thickBot="1">
      <c r="A225" s="590" t="s">
        <v>7243</v>
      </c>
      <c r="B225" s="591" t="e">
        <f>B224/G224</f>
        <v>#REF!</v>
      </c>
      <c r="C225" s="591" t="e">
        <f>C224/G224</f>
        <v>#REF!</v>
      </c>
      <c r="D225" s="591" t="e">
        <f>D224/G224</f>
        <v>#REF!</v>
      </c>
      <c r="E225" s="591" t="e">
        <f>E224/G224</f>
        <v>#REF!</v>
      </c>
      <c r="F225" s="591" t="e">
        <f>F224/G224</f>
        <v>#REF!</v>
      </c>
      <c r="G225" s="591" t="e">
        <f>SUM(B225:F225)</f>
        <v>#REF!</v>
      </c>
    </row>
    <row r="228" spans="1:12">
      <c r="A228" s="635" t="s">
        <v>7324</v>
      </c>
    </row>
    <row r="229" spans="1:12" ht="15.75" thickBot="1"/>
    <row r="230" spans="1:12" ht="15.75" thickBot="1">
      <c r="A230" s="1905" t="s">
        <v>7214</v>
      </c>
      <c r="B230" s="1907" t="s">
        <v>7329</v>
      </c>
      <c r="C230" s="1908"/>
      <c r="D230" s="1907" t="s">
        <v>7325</v>
      </c>
      <c r="E230" s="1908"/>
      <c r="F230" s="1907" t="s">
        <v>7326</v>
      </c>
      <c r="G230" s="1908"/>
      <c r="H230" s="1907" t="s">
        <v>7327</v>
      </c>
      <c r="I230" s="1908"/>
      <c r="J230" s="1907" t="s">
        <v>7328</v>
      </c>
      <c r="K230" s="1908"/>
      <c r="L230" s="1905" t="s">
        <v>2034</v>
      </c>
    </row>
    <row r="231" spans="1:12" ht="15.75" thickBot="1">
      <c r="A231" s="1906"/>
      <c r="B231" s="696" t="s">
        <v>7281</v>
      </c>
      <c r="C231" s="696" t="s">
        <v>5805</v>
      </c>
      <c r="D231" s="696" t="s">
        <v>7281</v>
      </c>
      <c r="E231" s="696" t="s">
        <v>5805</v>
      </c>
      <c r="F231" s="696" t="s">
        <v>7281</v>
      </c>
      <c r="G231" s="696" t="s">
        <v>5805</v>
      </c>
      <c r="H231" s="696" t="s">
        <v>7281</v>
      </c>
      <c r="I231" s="696" t="s">
        <v>5805</v>
      </c>
      <c r="J231" s="696" t="s">
        <v>7281</v>
      </c>
      <c r="K231" s="696" t="s">
        <v>5805</v>
      </c>
      <c r="L231" s="1906"/>
    </row>
    <row r="232" spans="1:12" ht="15.75" thickBot="1">
      <c r="A232" s="697" t="s">
        <v>5848</v>
      </c>
      <c r="B232" s="703" t="e">
        <f>COUNTIFS(SurveyDATA!#REF!,"ISF",SurveyDATA!E:E,"*MALOLOS*",SurveyDATA!S:S,"FEMALE",SurveyDATA!#REF!,"0")</f>
        <v>#REF!</v>
      </c>
      <c r="C232" s="700" t="e">
        <f>B232/B241</f>
        <v>#REF!</v>
      </c>
      <c r="D232" s="587" t="e">
        <f>COUNTIFS(SurveyDATA!#REF!,"ISF",SurveyDATA!E:E,"*MALOLOS*",SurveyDATA!S:S,"FEMALE",SurveyDATA!#REF!,"1")</f>
        <v>#REF!</v>
      </c>
      <c r="E232" s="700" t="e">
        <f>D232/D241</f>
        <v>#REF!</v>
      </c>
      <c r="F232" s="587" t="e">
        <f>COUNTIFS(SurveyDATA!#REF!,"ISF",SurveyDATA!E:E,"*MALOLOS*",SurveyDATA!S:S,"FEMALE",SurveyDATA!#REF!,"2")</f>
        <v>#REF!</v>
      </c>
      <c r="G232" s="700" t="e">
        <f>F232/F241</f>
        <v>#REF!</v>
      </c>
      <c r="H232" s="587" t="e">
        <f>COUNTIFS(SurveyDATA!#REF!,"ISF",SurveyDATA!E:E,"*MALOLOS*",SurveyDATA!S:S,"FEMALE",SurveyDATA!#REF!,"3")</f>
        <v>#REF!</v>
      </c>
      <c r="I232" s="700" t="e">
        <f>H232/H241</f>
        <v>#REF!</v>
      </c>
      <c r="J232" s="587" t="e">
        <f>COUNTIFS(SurveyDATA!#REF!,"ISF",SurveyDATA!E:E,"*MALOLOS*",SurveyDATA!S:S,"FEMALE",SurveyDATA!#REF!,"4")</f>
        <v>#REF!</v>
      </c>
      <c r="K232" s="700" t="e">
        <f>J232/J241</f>
        <v>#REF!</v>
      </c>
      <c r="L232" s="619" t="e">
        <f>SUM(B232,D232,F232,H232,J232)</f>
        <v>#REF!</v>
      </c>
    </row>
    <row r="233" spans="1:12" ht="15.75" thickBot="1">
      <c r="A233" s="697" t="s">
        <v>5494</v>
      </c>
      <c r="B233" s="703" t="e">
        <f>COUNTIFS(SurveyDATA!#REF!,"ISF",SurveyDATA!E:E,"*GUIGUINTO*",SurveyDATA!S:S,"FEMALE",SurveyDATA!#REF!,"0")</f>
        <v>#REF!</v>
      </c>
      <c r="C233" s="700" t="e">
        <f>B233/B241</f>
        <v>#REF!</v>
      </c>
      <c r="D233" s="587" t="e">
        <f>COUNTIFS(SurveyDATA!#REF!,"ISF",SurveyDATA!E:E,"*GUIGUINTO*",SurveyDATA!S:S,"FEMALE",SurveyDATA!#REF!,"1")</f>
        <v>#REF!</v>
      </c>
      <c r="E233" s="700" t="e">
        <f>D233/D241</f>
        <v>#REF!</v>
      </c>
      <c r="F233" s="587" t="e">
        <f>COUNTIFS(SurveyDATA!#REF!,"ISF",SurveyDATA!E:E,"*GUIGUINTO*",SurveyDATA!S:S,"FEMALE",SurveyDATA!#REF!,"2")</f>
        <v>#REF!</v>
      </c>
      <c r="G233" s="700" t="e">
        <f>F233/F241</f>
        <v>#REF!</v>
      </c>
      <c r="H233" s="587" t="e">
        <f>COUNTIFS(SurveyDATA!#REF!,"ISF",SurveyDATA!E:E,"*GUIGUINTO*",SurveyDATA!S:S,"FEMALE",SurveyDATA!#REF!,"3")</f>
        <v>#REF!</v>
      </c>
      <c r="I233" s="700" t="e">
        <f>H233/H241</f>
        <v>#REF!</v>
      </c>
      <c r="J233" s="587" t="e">
        <f>COUNTIFS(SurveyDATA!#REF!,"ISF",SurveyDATA!E:E,"*GUIGUINTO*",SurveyDATA!S:S,"FEMALE",SurveyDATA!#REF!,"4")</f>
        <v>#REF!</v>
      </c>
      <c r="K233" s="700" t="e">
        <f>J233/J241</f>
        <v>#REF!</v>
      </c>
      <c r="L233" s="619" t="e">
        <f t="shared" ref="L233:L241" si="18">SUM(B233,D233,F233,H233,J233)</f>
        <v>#REF!</v>
      </c>
    </row>
    <row r="234" spans="1:12" ht="15.75" thickBot="1">
      <c r="A234" s="697" t="s">
        <v>5847</v>
      </c>
      <c r="B234" s="703" t="e">
        <f>COUNTIFS(SurveyDATA!#REF!,"ISF",SurveyDATA!E:E,"*BALAGTAS*",SurveyDATA!S:S,"FEMALE",SurveyDATA!#REF!,"0")</f>
        <v>#REF!</v>
      </c>
      <c r="C234" s="700" t="e">
        <f>B234/B241</f>
        <v>#REF!</v>
      </c>
      <c r="D234" s="587" t="e">
        <f>COUNTIFS(SurveyDATA!#REF!,"ISF",SurveyDATA!E:E,"*BALAGTAS*",SurveyDATA!S:S,"FEMALE",SurveyDATA!#REF!,"1")</f>
        <v>#REF!</v>
      </c>
      <c r="E234" s="700" t="e">
        <f>D234/D241</f>
        <v>#REF!</v>
      </c>
      <c r="F234" s="587" t="e">
        <f>COUNTIFS(SurveyDATA!#REF!,"ISF",SurveyDATA!E:E,"*BALAGTAS*",SurveyDATA!S:S,"FEMALE",SurveyDATA!#REF!,"2")</f>
        <v>#REF!</v>
      </c>
      <c r="G234" s="700" t="e">
        <f>F234/F241</f>
        <v>#REF!</v>
      </c>
      <c r="H234" s="587" t="e">
        <f>COUNTIFS(SurveyDATA!#REF!,"ISF",SurveyDATA!E:E,"*BALAGTAS*",SurveyDATA!S:S,"FEMALE",SurveyDATA!#REF!,"3")</f>
        <v>#REF!</v>
      </c>
      <c r="I234" s="700" t="e">
        <f>H234/H241</f>
        <v>#REF!</v>
      </c>
      <c r="J234" s="587" t="e">
        <f>COUNTIFS(SurveyDATA!#REF!,"ISF",SurveyDATA!E:E,"*BALAGTAS*",SurveyDATA!S:S,"FEMALE",SurveyDATA!#REF!,"4")</f>
        <v>#REF!</v>
      </c>
      <c r="K234" s="700" t="e">
        <f>J234/J241</f>
        <v>#REF!</v>
      </c>
      <c r="L234" s="619" t="e">
        <f t="shared" si="18"/>
        <v>#REF!</v>
      </c>
    </row>
    <row r="235" spans="1:12" ht="15.75" thickBot="1">
      <c r="A235" s="697" t="s">
        <v>771</v>
      </c>
      <c r="B235" s="703" t="e">
        <f>COUNTIFS(SurveyDATA!#REF!,"ISF",SurveyDATA!E:E,"*BOCAUE*",SurveyDATA!S:S,"FEMALE",SurveyDATA!#REF!,"0")</f>
        <v>#REF!</v>
      </c>
      <c r="C235" s="700" t="e">
        <f>B235/B241</f>
        <v>#REF!</v>
      </c>
      <c r="D235" s="587" t="e">
        <f>COUNTIFS(SurveyDATA!#REF!,"ISF",SurveyDATA!E:E,"*BOCAUE*",SurveyDATA!S:S,"FEMALE",SurveyDATA!#REF!,"1")</f>
        <v>#REF!</v>
      </c>
      <c r="E235" s="700" t="e">
        <f>D235/D241</f>
        <v>#REF!</v>
      </c>
      <c r="F235" s="587" t="e">
        <f>COUNTIFS(SurveyDATA!#REF!,"ISF",SurveyDATA!E:E,"*BOCAUE*",SurveyDATA!S:S,"FEMALE",SurveyDATA!#REF!,"2")</f>
        <v>#REF!</v>
      </c>
      <c r="G235" s="700" t="e">
        <f>F235/F241</f>
        <v>#REF!</v>
      </c>
      <c r="H235" s="587" t="e">
        <f>COUNTIFS(SurveyDATA!#REF!,"ISF",SurveyDATA!E:E,"*BOCAUE*",SurveyDATA!S:S,"FEMALE",SurveyDATA!#REF!,"3")</f>
        <v>#REF!</v>
      </c>
      <c r="I235" s="700" t="e">
        <f>H235/H241</f>
        <v>#REF!</v>
      </c>
      <c r="J235" s="587" t="e">
        <f>COUNTIFS(SurveyDATA!#REF!,"ISF",SurveyDATA!E:E,"*BOCAUE*",SurveyDATA!S:S,"MALE",SurveyDATA!#REF!,"4")</f>
        <v>#REF!</v>
      </c>
      <c r="K235" s="700" t="e">
        <f>J235/J241</f>
        <v>#REF!</v>
      </c>
      <c r="L235" s="619" t="e">
        <f t="shared" si="18"/>
        <v>#REF!</v>
      </c>
    </row>
    <row r="236" spans="1:12" ht="15.75" thickBot="1">
      <c r="A236" s="697" t="s">
        <v>5495</v>
      </c>
      <c r="B236" s="703" t="e">
        <f>COUNTIFS(SurveyDATA!#REF!,"ISF",SurveyDATA!E:E,"*MARILAO*",SurveyDATA!S:S,"FEMALE",SurveyDATA!#REF!,"0")</f>
        <v>#REF!</v>
      </c>
      <c r="C236" s="700" t="e">
        <f>B236/B241</f>
        <v>#REF!</v>
      </c>
      <c r="D236" s="587" t="e">
        <f>COUNTIFS(SurveyDATA!#REF!,"ISF",SurveyDATA!E:E,"*MARILAO*",SurveyDATA!S:S,"FEMALE",SurveyDATA!#REF!,"1")</f>
        <v>#REF!</v>
      </c>
      <c r="E236" s="700" t="e">
        <f>D236/D241</f>
        <v>#REF!</v>
      </c>
      <c r="F236" s="587" t="e">
        <f>COUNTIFS(SurveyDATA!#REF!,"ISF",SurveyDATA!E:E,"*MARILAO*",SurveyDATA!S:S,"FEMALE",SurveyDATA!#REF!,"2")</f>
        <v>#REF!</v>
      </c>
      <c r="G236" s="700" t="e">
        <f ca="1">F236:G236/F241</f>
        <v>#REF!</v>
      </c>
      <c r="H236" s="587" t="e">
        <f>COUNTIFS(SurveyDATA!#REF!,"ISF",SurveyDATA!E:E,"*MARILAO*",SurveyDATA!S:S,"FEMALE",SurveyDATA!#REF!,"3")</f>
        <v>#REF!</v>
      </c>
      <c r="I236" s="700" t="e">
        <f ca="1">H236:I236/H241</f>
        <v>#REF!</v>
      </c>
      <c r="J236" s="587" t="e">
        <f>COUNTIFS(SurveyDATA!#REF!,"ISF",SurveyDATA!E:E,"*MARILAO*",SurveyDATA!S:S,"FEMALE",SurveyDATA!#REF!,"4")</f>
        <v>#REF!</v>
      </c>
      <c r="K236" s="700" t="e">
        <f ca="1">J236:K236/J241</f>
        <v>#REF!</v>
      </c>
      <c r="L236" s="619" t="e">
        <f t="shared" si="18"/>
        <v>#REF!</v>
      </c>
    </row>
    <row r="237" spans="1:12" ht="15.75" thickBot="1">
      <c r="A237" s="697" t="s">
        <v>5496</v>
      </c>
      <c r="B237" s="703" t="e">
        <f>COUNTIFS(SurveyDATA!#REF!,"ISF",SurveyDATA!E:E,"*MEYCAUAYAN*",SurveyDATA!S:S,"FEMALE",SurveyDATA!#REF!,"0")</f>
        <v>#REF!</v>
      </c>
      <c r="C237" s="700" t="e">
        <f>B237/B241</f>
        <v>#REF!</v>
      </c>
      <c r="D237" s="587" t="e">
        <f>COUNTIFS(SurveyDATA!#REF!,"ISF",SurveyDATA!E:E,"*MEYCAUAYAN*",SurveyDATA!S:S,"FEMALE",SurveyDATA!#REF!,"1")</f>
        <v>#REF!</v>
      </c>
      <c r="E237" s="700" t="e">
        <f>D237/D241</f>
        <v>#REF!</v>
      </c>
      <c r="F237" s="587" t="e">
        <f>COUNTIFS(SurveyDATA!#REF!,"ISF",SurveyDATA!E:E,"*MEYCAUAYAN*",SurveyDATA!S:S,"FEMALE",SurveyDATA!#REF!,"2")</f>
        <v>#REF!</v>
      </c>
      <c r="G237" s="700" t="e">
        <f>F237/F241</f>
        <v>#REF!</v>
      </c>
      <c r="H237" s="587" t="e">
        <f>COUNTIFS(SurveyDATA!#REF!,"ISF",SurveyDATA!E:E,"*MEYCAUAYAN*",SurveyDATA!S:S,"FEMALE",SurveyDATA!#REF!,"3")</f>
        <v>#REF!</v>
      </c>
      <c r="I237" s="700" t="e">
        <f>H237/H241</f>
        <v>#REF!</v>
      </c>
      <c r="J237" s="587" t="e">
        <f>COUNTIFS(SurveyDATA!#REF!,"ISF",SurveyDATA!E:E,"*MEYCAUAYAN*",SurveyDATA!S:S,"MALE",SurveyDATA!#REF!,"4")</f>
        <v>#REF!</v>
      </c>
      <c r="K237" s="700" t="e">
        <f>J237/J241</f>
        <v>#REF!</v>
      </c>
      <c r="L237" s="619" t="e">
        <f t="shared" si="18"/>
        <v>#REF!</v>
      </c>
    </row>
    <row r="238" spans="1:12" ht="15.75" thickBot="1">
      <c r="A238" s="697" t="s">
        <v>778</v>
      </c>
      <c r="B238" s="703" t="e">
        <f>COUNTIFS(SurveyDATA!#REF!,"ISF",SurveyDATA!E:E,"*VALENZUELA*",SurveyDATA!S:S,"MALE",SurveyDATA!#REF!,"0")</f>
        <v>#REF!</v>
      </c>
      <c r="C238" s="700" t="e">
        <f>B238/B241</f>
        <v>#REF!</v>
      </c>
      <c r="D238" s="587" t="e">
        <f>COUNTIFS(SurveyDATA!#REF!,"ISF",SurveyDATA!E:E,"*VALENZUELA*",SurveyDATA!S:S,"FEMALE",SurveyDATA!#REF!,"1")</f>
        <v>#REF!</v>
      </c>
      <c r="E238" s="700" t="e">
        <f>D238/D241</f>
        <v>#REF!</v>
      </c>
      <c r="F238" s="587" t="e">
        <f>COUNTIFS(SurveyDATA!#REF!,"ISF",SurveyDATA!E:E,"*VALENZUELA*",SurveyDATA!S:S,"FEMALE",SurveyDATA!#REF!,"2")</f>
        <v>#REF!</v>
      </c>
      <c r="G238" s="700" t="e">
        <f>F238/F241</f>
        <v>#REF!</v>
      </c>
      <c r="H238" s="587" t="e">
        <f>COUNTIFS(SurveyDATA!#REF!,"ISF",SurveyDATA!E:E,"*VAENZUELA*",SurveyDATA!S:S,"FEMALE",SurveyDATA!#REF!,"3")</f>
        <v>#REF!</v>
      </c>
      <c r="I238" s="700" t="e">
        <f>H238/H241</f>
        <v>#REF!</v>
      </c>
      <c r="J238" s="587" t="e">
        <f>COUNTIFS(SurveyDATA!#REF!,"ISF",SurveyDATA!E:E,"*VALENZUELA*",SurveyDATA!S:S,"FEMALE",SurveyDATA!#REF!,"4")</f>
        <v>#REF!</v>
      </c>
      <c r="K238" s="700" t="e">
        <f>J238/J241</f>
        <v>#REF!</v>
      </c>
      <c r="L238" s="619" t="e">
        <f t="shared" si="18"/>
        <v>#REF!</v>
      </c>
    </row>
    <row r="239" spans="1:12" ht="15.75" thickBot="1">
      <c r="A239" s="697" t="s">
        <v>5493</v>
      </c>
      <c r="B239" s="703" t="e">
        <f>COUNTIFS(SurveyDATA!#REF!,"ISF",SurveyDATA!E:E,"*CALOOCAN*",SurveyDATA!S:S,"FEMALE",SurveyDATA!#REF!,"0")</f>
        <v>#REF!</v>
      </c>
      <c r="C239" s="700" t="e">
        <f>B239/B241</f>
        <v>#REF!</v>
      </c>
      <c r="D239" s="587" t="e">
        <f>COUNTIFS(SurveyDATA!#REF!,"ISF",SurveyDATA!E:E,"*CALOOCAN*",SurveyDATA!S:S,"FEMALE",SurveyDATA!#REF!,"1")</f>
        <v>#REF!</v>
      </c>
      <c r="E239" s="700" t="e">
        <f>D239/D241</f>
        <v>#REF!</v>
      </c>
      <c r="F239" s="587" t="e">
        <f>COUNTIFS(SurveyDATA!#REF!,"ISF",SurveyDATA!E:E,"*CALOOCAN*",SurveyDATA!S:S,"FEMALE",SurveyDATA!#REF!,"2")</f>
        <v>#REF!</v>
      </c>
      <c r="G239" s="700" t="e">
        <f>F239/F241</f>
        <v>#REF!</v>
      </c>
      <c r="H239" s="587" t="e">
        <f>COUNTIFS(SurveyDATA!#REF!,"ISF",SurveyDATA!E:E,"*CALOOCAN*",SurveyDATA!S:S,"FEMALE",SurveyDATA!#REF!,"3")</f>
        <v>#REF!</v>
      </c>
      <c r="I239" s="700" t="e">
        <f>H239/H241</f>
        <v>#REF!</v>
      </c>
      <c r="J239" s="587" t="e">
        <f>COUNTIFS(SurveyDATA!#REF!,"ISF",SurveyDATA!E:E,"*CALOOCAN*",SurveyDATA!S:S,"FEMALE",SurveyDATA!#REF!,"4")</f>
        <v>#REF!</v>
      </c>
      <c r="K239" s="700" t="e">
        <f>J239/J241</f>
        <v>#REF!</v>
      </c>
      <c r="L239" s="619" t="e">
        <f t="shared" si="18"/>
        <v>#REF!</v>
      </c>
    </row>
    <row r="240" spans="1:12" ht="15.75" thickBot="1">
      <c r="A240" s="697" t="s">
        <v>1020</v>
      </c>
      <c r="B240" s="703" t="e">
        <f>COUNTIFS(SurveyDATA!#REF!,"ISF",SurveyDATA!E:E,"*MANILA*",SurveyDATA!S:S,"FEMALE",SurveyDATA!#REF!,"0")</f>
        <v>#REF!</v>
      </c>
      <c r="C240" s="700" t="e">
        <f>B240/B241</f>
        <v>#REF!</v>
      </c>
      <c r="D240" s="587" t="e">
        <f>COUNTIFS(SurveyDATA!#REF!,"ISF",SurveyDATA!E:E,"*MANILA*",SurveyDATA!S:S,"FEMALE",SurveyDATA!#REF!,"1")</f>
        <v>#REF!</v>
      </c>
      <c r="E240" s="700" t="e">
        <f>D240/D241</f>
        <v>#REF!</v>
      </c>
      <c r="F240" s="587" t="e">
        <f>COUNTIFS(SurveyDATA!#REF!,"ISF",SurveyDATA!E:E,"*MANILA*",SurveyDATA!S:S,"FEMALE",SurveyDATA!#REF!,"2")</f>
        <v>#REF!</v>
      </c>
      <c r="G240" s="700" t="e">
        <f>F240/F241</f>
        <v>#REF!</v>
      </c>
      <c r="H240" s="587" t="e">
        <f>COUNTIFS(SurveyDATA!#REF!,"ISF",SurveyDATA!E:E,"*MANILA*",SurveyDATA!S:S,"FEMALE",SurveyDATA!#REF!,"3")</f>
        <v>#REF!</v>
      </c>
      <c r="I240" s="700" t="e">
        <f>H240/H241</f>
        <v>#REF!</v>
      </c>
      <c r="J240" s="587" t="e">
        <f>COUNTIFS(SurveyDATA!#REF!,"ISF",SurveyDATA!E:E,"*MANILA*",SurveyDATA!S:S,"FEMALE",SurveyDATA!#REF!,"4")</f>
        <v>#REF!</v>
      </c>
      <c r="K240" s="700" t="e">
        <f>J240/J241</f>
        <v>#REF!</v>
      </c>
      <c r="L240" s="619" t="e">
        <f t="shared" si="18"/>
        <v>#REF!</v>
      </c>
    </row>
    <row r="241" spans="1:12" ht="15.75" thickBot="1">
      <c r="A241" s="698" t="s">
        <v>4348</v>
      </c>
      <c r="B241" s="699" t="e">
        <f t="shared" ref="B241:K241" si="19">SUM(B232:B240)</f>
        <v>#REF!</v>
      </c>
      <c r="C241" s="701" t="e">
        <f t="shared" si="19"/>
        <v>#REF!</v>
      </c>
      <c r="D241" s="699" t="e">
        <f t="shared" si="19"/>
        <v>#REF!</v>
      </c>
      <c r="E241" s="701" t="e">
        <f t="shared" si="19"/>
        <v>#REF!</v>
      </c>
      <c r="F241" s="699" t="e">
        <f t="shared" si="19"/>
        <v>#REF!</v>
      </c>
      <c r="G241" s="701" t="e">
        <f t="shared" si="19"/>
        <v>#REF!</v>
      </c>
      <c r="H241" s="699" t="e">
        <f t="shared" si="19"/>
        <v>#REF!</v>
      </c>
      <c r="I241" s="701" t="e">
        <f t="shared" si="19"/>
        <v>#REF!</v>
      </c>
      <c r="J241" s="699" t="e">
        <f t="shared" si="19"/>
        <v>#REF!</v>
      </c>
      <c r="K241" s="701" t="e">
        <f t="shared" si="19"/>
        <v>#REF!</v>
      </c>
      <c r="L241" s="619" t="e">
        <f t="shared" si="18"/>
        <v>#REF!</v>
      </c>
    </row>
  </sheetData>
  <mergeCells count="48">
    <mergeCell ref="J230:K230"/>
    <mergeCell ref="P5:P6"/>
    <mergeCell ref="Q5:R5"/>
    <mergeCell ref="S5:T5"/>
    <mergeCell ref="W5:W6"/>
    <mergeCell ref="U5:V5"/>
    <mergeCell ref="L230:L231"/>
    <mergeCell ref="W21:X21"/>
    <mergeCell ref="W73:X73"/>
    <mergeCell ref="H152:H153"/>
    <mergeCell ref="B230:C230"/>
    <mergeCell ref="A230:A231"/>
    <mergeCell ref="D230:E230"/>
    <mergeCell ref="F230:G230"/>
    <mergeCell ref="H230:I230"/>
    <mergeCell ref="I196:I198"/>
    <mergeCell ref="B197:B198"/>
    <mergeCell ref="D197:D198"/>
    <mergeCell ref="E197:E198"/>
    <mergeCell ref="F197:F198"/>
    <mergeCell ref="G197:G198"/>
    <mergeCell ref="H197:H198"/>
    <mergeCell ref="A196:A198"/>
    <mergeCell ref="B196:H196"/>
    <mergeCell ref="G152:G153"/>
    <mergeCell ref="A22:A24"/>
    <mergeCell ref="B22:B24"/>
    <mergeCell ref="C22:G22"/>
    <mergeCell ref="C23:C24"/>
    <mergeCell ref="D23:D24"/>
    <mergeCell ref="E23:E24"/>
    <mergeCell ref="F23:F24"/>
    <mergeCell ref="G23:G24"/>
    <mergeCell ref="B131:C131"/>
    <mergeCell ref="D131:E131"/>
    <mergeCell ref="A152:A153"/>
    <mergeCell ref="B152:D152"/>
    <mergeCell ref="E152:F152"/>
    <mergeCell ref="Y73:Z73"/>
    <mergeCell ref="P73:P74"/>
    <mergeCell ref="Q73:R73"/>
    <mergeCell ref="S73:T73"/>
    <mergeCell ref="U73:V73"/>
    <mergeCell ref="Y21:Z21"/>
    <mergeCell ref="P21:P22"/>
    <mergeCell ref="Q21:R21"/>
    <mergeCell ref="S21:T21"/>
    <mergeCell ref="U21:V2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3:IV236"/>
  <sheetViews>
    <sheetView topLeftCell="A67" workbookViewId="0">
      <selection activeCell="B86" sqref="B86"/>
    </sheetView>
  </sheetViews>
  <sheetFormatPr defaultRowHeight="15"/>
  <sheetData>
    <row r="3" spans="1:256" s="11" customFormat="1" ht="12.75" customHeight="1">
      <c r="A3" s="19"/>
      <c r="B3" s="19"/>
      <c r="C3" s="7"/>
      <c r="D3" s="19"/>
      <c r="E3" s="7"/>
      <c r="F3" s="7"/>
      <c r="G3" s="7"/>
      <c r="H3" s="19"/>
      <c r="I3" s="8"/>
      <c r="J3" s="19" t="str">
        <f ca="1">IF(F3="Head",CELL("contents",D3),"")</f>
        <v/>
      </c>
      <c r="K3" s="7"/>
      <c r="L3" s="7"/>
      <c r="M3" s="7"/>
      <c r="N3" s="7"/>
      <c r="O3" s="7"/>
      <c r="P3" s="7"/>
      <c r="Q3" s="29"/>
      <c r="R3" s="30"/>
      <c r="S3" s="7"/>
      <c r="T3" s="7"/>
      <c r="U3" s="31"/>
      <c r="V3" s="7"/>
      <c r="W3" s="7"/>
      <c r="X3" s="7"/>
      <c r="Y3" s="7"/>
      <c r="Z3" s="7"/>
      <c r="AA3" s="7"/>
      <c r="AB3" s="7"/>
      <c r="AC3" s="7"/>
      <c r="AD3" s="7"/>
      <c r="AE3" s="7"/>
      <c r="AF3" s="7"/>
      <c r="AG3" s="7"/>
      <c r="AH3" s="7"/>
      <c r="AI3" s="7"/>
      <c r="AJ3" s="122"/>
      <c r="AK3" s="41"/>
      <c r="AL3" s="52"/>
      <c r="AM3" s="20"/>
      <c r="AN3" s="20"/>
      <c r="AO3" s="20"/>
      <c r="AP3" s="20"/>
      <c r="AQ3" s="7"/>
      <c r="AR3" s="7"/>
      <c r="AS3" s="7"/>
      <c r="AT3" s="7"/>
      <c r="AU3" s="7"/>
      <c r="AV3" s="7"/>
      <c r="AW3" s="7"/>
      <c r="AX3" s="7"/>
      <c r="AY3" s="7"/>
      <c r="AZ3" s="7"/>
      <c r="BA3" s="7"/>
      <c r="BB3" s="7"/>
      <c r="BC3" s="7"/>
      <c r="BD3" s="55"/>
      <c r="BE3" s="55"/>
      <c r="BF3" s="7"/>
      <c r="BG3" s="7"/>
      <c r="BH3" s="7"/>
      <c r="BI3" s="7"/>
      <c r="BJ3" s="7"/>
      <c r="BK3" s="7"/>
      <c r="BL3" s="7"/>
      <c r="BM3" s="7"/>
      <c r="BN3" s="61"/>
      <c r="BO3" s="62"/>
      <c r="BP3" s="50"/>
      <c r="BQ3" s="20"/>
      <c r="BR3" s="7"/>
      <c r="BS3" s="7"/>
      <c r="BT3" s="7"/>
      <c r="BU3" s="7"/>
      <c r="BV3" s="55"/>
      <c r="BW3" s="7"/>
      <c r="BX3" s="55"/>
      <c r="BY3" s="7"/>
      <c r="BZ3" s="7"/>
      <c r="CA3" s="7"/>
      <c r="CB3" s="7"/>
      <c r="CC3" s="55"/>
      <c r="CD3" s="104"/>
      <c r="CE3" s="105"/>
      <c r="CF3" s="7"/>
      <c r="CG3" s="7"/>
      <c r="CH3" s="7"/>
      <c r="CI3" s="7"/>
      <c r="CJ3" s="7"/>
      <c r="CK3" s="7"/>
      <c r="CL3" s="7"/>
      <c r="CM3" s="7"/>
      <c r="CN3" s="7"/>
      <c r="CO3" s="7"/>
      <c r="CP3" s="55"/>
      <c r="CQ3" s="7"/>
      <c r="CR3" s="7"/>
      <c r="CS3" s="130"/>
      <c r="CT3" s="7"/>
      <c r="CU3" s="7"/>
      <c r="CV3" s="7"/>
      <c r="CW3" s="7"/>
      <c r="CX3" s="7"/>
      <c r="CY3" s="73"/>
      <c r="CZ3" s="7"/>
      <c r="DA3" s="7"/>
      <c r="DB3" s="7"/>
      <c r="DC3" s="48"/>
      <c r="DD3" s="7"/>
      <c r="DE3" s="7"/>
      <c r="DF3" s="7"/>
      <c r="DG3" s="7"/>
      <c r="DH3" s="7"/>
      <c r="DI3" s="7"/>
      <c r="DJ3" s="7"/>
      <c r="DK3" s="7"/>
      <c r="DL3" s="74"/>
      <c r="DM3" s="7"/>
      <c r="DN3" s="7"/>
      <c r="DO3" s="7"/>
      <c r="DP3" s="7"/>
      <c r="DQ3" s="58"/>
      <c r="DR3" s="7"/>
      <c r="DS3" s="7"/>
      <c r="DT3" s="7"/>
      <c r="DU3" s="73"/>
      <c r="DV3" s="73"/>
      <c r="DW3" s="152"/>
      <c r="DX3" s="7"/>
      <c r="DY3" s="7"/>
      <c r="DZ3" s="7"/>
      <c r="EA3" s="7"/>
      <c r="EB3" s="7"/>
      <c r="EC3" s="7"/>
      <c r="ED3" s="7"/>
      <c r="EE3" s="7"/>
      <c r="EF3" s="7"/>
      <c r="EG3" s="7"/>
      <c r="EH3" s="7"/>
      <c r="EI3" s="7"/>
      <c r="EJ3" s="7"/>
      <c r="EK3" s="7"/>
      <c r="EL3" s="7"/>
      <c r="EM3" s="7"/>
      <c r="EN3" s="19"/>
      <c r="EO3" s="7"/>
      <c r="EP3" s="7"/>
      <c r="EQ3" s="7"/>
      <c r="ER3" s="7"/>
      <c r="ES3" s="7"/>
      <c r="ET3" s="55"/>
      <c r="EU3" s="7"/>
      <c r="EV3" s="7"/>
      <c r="EW3" s="7"/>
      <c r="EX3" s="7"/>
      <c r="EY3" s="7"/>
      <c r="EZ3" s="7"/>
      <c r="FA3" s="7"/>
      <c r="FB3" s="7"/>
      <c r="FC3" s="55"/>
      <c r="FD3" s="55"/>
      <c r="FE3" s="55"/>
      <c r="FF3" s="7"/>
      <c r="FG3" s="7"/>
      <c r="FH3" s="7"/>
      <c r="FI3" s="7"/>
      <c r="FJ3" s="7"/>
      <c r="FK3" s="7"/>
      <c r="FL3" s="7"/>
      <c r="FM3" s="7"/>
      <c r="FN3" s="7"/>
      <c r="FO3" s="7"/>
      <c r="FP3" s="7"/>
      <c r="FQ3" s="7"/>
      <c r="FR3" s="7"/>
      <c r="FS3" s="77"/>
      <c r="FT3" s="30"/>
      <c r="FU3" s="7"/>
      <c r="FV3" s="55"/>
      <c r="FW3" s="55"/>
      <c r="FX3" s="7"/>
      <c r="FY3" s="7"/>
      <c r="FZ3" s="7"/>
      <c r="GA3" s="7"/>
      <c r="GB3" s="7"/>
      <c r="GC3" s="7"/>
      <c r="GD3" s="103"/>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29"/>
      <c r="IF3" s="7"/>
      <c r="IG3" s="7"/>
      <c r="IH3" s="7"/>
      <c r="II3" s="7"/>
      <c r="IJ3" s="7"/>
      <c r="IK3" s="7"/>
      <c r="IL3" s="7"/>
      <c r="IM3" s="7"/>
      <c r="IN3" s="7"/>
      <c r="IO3" s="7"/>
      <c r="IP3" s="7"/>
      <c r="IQ3" s="7"/>
      <c r="IR3" s="7"/>
      <c r="IS3" s="7"/>
      <c r="IT3" s="55"/>
      <c r="IU3" s="7"/>
      <c r="IV3" s="7"/>
    </row>
    <row r="4" spans="1:256" s="11" customFormat="1" ht="12.75" customHeight="1">
      <c r="A4" s="19"/>
      <c r="B4" s="19"/>
      <c r="C4" s="564" t="s">
        <v>5374</v>
      </c>
      <c r="D4" s="7" t="e">
        <f>COUNTIF(SurveyDATA!#REF!,"*Tikay*")</f>
        <v>#REF!</v>
      </c>
      <c r="E4" s="7"/>
      <c r="F4" s="7"/>
      <c r="G4" s="7"/>
      <c r="H4" s="19"/>
      <c r="I4" s="8"/>
      <c r="J4" s="19"/>
      <c r="K4" s="7"/>
      <c r="L4" s="7"/>
      <c r="M4" s="7"/>
      <c r="N4" s="7"/>
      <c r="O4" s="7"/>
      <c r="P4" s="7"/>
      <c r="Q4" s="29"/>
      <c r="R4" s="30"/>
      <c r="S4" s="7"/>
      <c r="T4" s="7"/>
      <c r="U4" s="31"/>
      <c r="V4" s="7"/>
      <c r="W4" s="7"/>
      <c r="X4" s="7"/>
      <c r="Y4" s="7"/>
      <c r="Z4" s="7"/>
      <c r="AA4" s="7"/>
      <c r="AB4" s="7"/>
      <c r="AC4" s="7"/>
      <c r="AD4" s="7"/>
      <c r="AE4" s="7"/>
      <c r="AF4" s="7"/>
      <c r="AG4" s="7"/>
      <c r="AH4" s="7"/>
      <c r="AI4" s="7"/>
      <c r="AJ4" s="122"/>
      <c r="AK4" s="41"/>
      <c r="AL4" s="52"/>
      <c r="AM4" s="20"/>
      <c r="AN4" s="20"/>
      <c r="AO4" s="20"/>
      <c r="AP4" s="20"/>
      <c r="AQ4" s="7"/>
      <c r="AR4" s="7"/>
      <c r="AS4" s="7"/>
      <c r="AT4" s="7"/>
      <c r="AU4" s="7"/>
      <c r="AV4" s="7"/>
      <c r="AW4" s="7"/>
      <c r="AX4" s="7"/>
      <c r="AY4" s="7"/>
      <c r="AZ4" s="7"/>
      <c r="BA4" s="7"/>
      <c r="BB4" s="7"/>
      <c r="BC4" s="7"/>
      <c r="BD4" s="55"/>
      <c r="BE4" s="55"/>
      <c r="BF4" s="7"/>
      <c r="BG4" s="7"/>
      <c r="BH4" s="7"/>
      <c r="BI4" s="7"/>
      <c r="BJ4" s="7"/>
      <c r="BK4" s="7"/>
      <c r="BL4" s="7"/>
      <c r="BM4" s="7"/>
      <c r="BN4" s="61"/>
      <c r="BO4" s="62"/>
      <c r="BP4" s="50"/>
      <c r="BQ4" s="20"/>
      <c r="BR4" s="7"/>
      <c r="BS4" s="7"/>
      <c r="BT4" s="7"/>
      <c r="BU4" s="7"/>
      <c r="BV4" s="55"/>
      <c r="BW4" s="7"/>
      <c r="BX4" s="55"/>
      <c r="BY4" s="7"/>
      <c r="BZ4" s="7"/>
      <c r="CA4" s="7"/>
      <c r="CB4" s="7"/>
      <c r="CC4" s="55"/>
      <c r="CD4" s="104"/>
      <c r="CE4" s="105"/>
      <c r="CF4" s="7"/>
      <c r="CG4" s="7"/>
      <c r="CH4" s="7"/>
      <c r="CI4" s="7"/>
      <c r="CJ4" s="7"/>
      <c r="CK4" s="7"/>
      <c r="CL4" s="7"/>
      <c r="CM4" s="7"/>
      <c r="CN4" s="7"/>
      <c r="CO4" s="7"/>
      <c r="CP4" s="55"/>
      <c r="CQ4" s="7"/>
      <c r="CR4" s="7"/>
      <c r="CS4" s="130"/>
      <c r="CT4" s="7"/>
      <c r="CU4" s="7"/>
      <c r="CV4" s="7"/>
      <c r="CW4" s="7"/>
      <c r="CX4" s="7"/>
      <c r="CY4" s="73"/>
      <c r="CZ4" s="7"/>
      <c r="DA4" s="7"/>
      <c r="DB4" s="7"/>
      <c r="DC4" s="48"/>
      <c r="DD4" s="7"/>
      <c r="DE4" s="7"/>
      <c r="DF4" s="7"/>
      <c r="DG4" s="7"/>
      <c r="DH4" s="7"/>
      <c r="DI4" s="7"/>
      <c r="DJ4" s="7"/>
      <c r="DK4" s="7"/>
      <c r="DL4" s="74"/>
      <c r="DM4" s="7"/>
      <c r="DN4" s="7"/>
      <c r="DO4" s="7"/>
      <c r="DP4" s="7"/>
      <c r="DQ4" s="58"/>
      <c r="DR4" s="7"/>
      <c r="DS4" s="7"/>
      <c r="DT4" s="7"/>
      <c r="DU4" s="73"/>
      <c r="DV4" s="73"/>
      <c r="DW4" s="152"/>
      <c r="DX4" s="7"/>
      <c r="DY4" s="7"/>
      <c r="DZ4" s="7"/>
      <c r="EA4" s="7"/>
      <c r="EB4" s="7"/>
      <c r="EC4" s="7"/>
      <c r="ED4" s="7"/>
      <c r="EE4" s="7"/>
      <c r="EF4" s="7"/>
      <c r="EG4" s="7"/>
      <c r="EH4" s="7"/>
      <c r="EI4" s="7"/>
      <c r="EJ4" s="7"/>
      <c r="EK4" s="7"/>
      <c r="EL4" s="7"/>
      <c r="EM4" s="7"/>
      <c r="EN4" s="19"/>
      <c r="EO4" s="7"/>
      <c r="EP4" s="7"/>
      <c r="EQ4" s="7"/>
      <c r="ER4" s="7"/>
      <c r="ES4" s="7"/>
      <c r="ET4" s="55"/>
      <c r="EU4" s="7"/>
      <c r="EV4" s="7"/>
      <c r="EW4" s="7"/>
      <c r="EX4" s="7"/>
      <c r="EY4" s="7"/>
      <c r="EZ4" s="7"/>
      <c r="FA4" s="7"/>
      <c r="FB4" s="7"/>
      <c r="FC4" s="55"/>
      <c r="FD4" s="55"/>
      <c r="FE4" s="55"/>
      <c r="FF4" s="7"/>
      <c r="FG4" s="7"/>
      <c r="FH4" s="7"/>
      <c r="FI4" s="7"/>
      <c r="FJ4" s="7"/>
      <c r="FK4" s="7"/>
      <c r="FL4" s="7"/>
      <c r="FM4" s="7"/>
      <c r="FN4" s="7"/>
      <c r="FO4" s="7"/>
      <c r="FP4" s="7"/>
      <c r="FQ4" s="7"/>
      <c r="FR4" s="7"/>
      <c r="FS4" s="77"/>
      <c r="FT4" s="30"/>
      <c r="FU4" s="7"/>
      <c r="FV4" s="55"/>
      <c r="FW4" s="55"/>
      <c r="FX4" s="7"/>
      <c r="FY4" s="7"/>
      <c r="FZ4" s="7"/>
      <c r="GA4" s="7"/>
      <c r="GB4" s="7"/>
      <c r="GC4" s="7"/>
      <c r="GD4" s="103"/>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29"/>
      <c r="IF4" s="7"/>
      <c r="IG4" s="7"/>
      <c r="IH4" s="7"/>
      <c r="II4" s="7"/>
      <c r="IJ4" s="7"/>
      <c r="IK4" s="7"/>
      <c r="IL4" s="7"/>
      <c r="IM4" s="7"/>
      <c r="IN4" s="7"/>
      <c r="IO4" s="7"/>
      <c r="IP4" s="7"/>
      <c r="IQ4" s="7"/>
      <c r="IR4" s="7"/>
      <c r="IS4" s="7"/>
      <c r="IT4" s="55"/>
      <c r="IU4" s="7"/>
      <c r="IV4" s="7"/>
    </row>
    <row r="5" spans="1:256" s="11" customFormat="1" ht="12.75" customHeight="1">
      <c r="A5" s="19"/>
      <c r="B5" s="19"/>
      <c r="C5" s="564" t="s">
        <v>5375</v>
      </c>
      <c r="D5" s="7" t="e">
        <f>COUNTIF(SurveyDATA!#REF!,"*Bulihan*")</f>
        <v>#REF!</v>
      </c>
      <c r="E5" s="7"/>
      <c r="F5" s="7"/>
      <c r="G5" s="7"/>
      <c r="H5" s="19"/>
      <c r="I5" s="8"/>
      <c r="J5" s="19"/>
      <c r="K5" s="7"/>
      <c r="L5" s="7"/>
      <c r="M5" s="7"/>
      <c r="N5" s="7"/>
      <c r="O5" s="7"/>
      <c r="P5" s="7"/>
      <c r="Q5" s="29"/>
      <c r="R5" s="30"/>
      <c r="S5" s="7"/>
      <c r="T5" s="7"/>
      <c r="U5" s="31"/>
      <c r="V5" s="7"/>
      <c r="W5" s="7"/>
      <c r="X5" s="7"/>
      <c r="Y5" s="7"/>
      <c r="Z5" s="7"/>
      <c r="AA5" s="7"/>
      <c r="AB5" s="7"/>
      <c r="AC5" s="7"/>
      <c r="AD5" s="7"/>
      <c r="AE5" s="7"/>
      <c r="AF5" s="7"/>
      <c r="AG5" s="7"/>
      <c r="AH5" s="7"/>
      <c r="AI5" s="7"/>
      <c r="AJ5" s="122"/>
      <c r="AK5" s="41"/>
      <c r="AL5" s="52"/>
      <c r="AM5" s="20"/>
      <c r="AN5" s="20"/>
      <c r="AO5" s="20"/>
      <c r="AP5" s="20"/>
      <c r="AQ5" s="7"/>
      <c r="AR5" s="7"/>
      <c r="AS5" s="7"/>
      <c r="AT5" s="7"/>
      <c r="AU5" s="7"/>
      <c r="AV5" s="7"/>
      <c r="AW5" s="7"/>
      <c r="AX5" s="7"/>
      <c r="AY5" s="7"/>
      <c r="AZ5" s="7"/>
      <c r="BA5" s="7"/>
      <c r="BB5" s="7"/>
      <c r="BC5" s="7"/>
      <c r="BD5" s="55"/>
      <c r="BE5" s="55"/>
      <c r="BF5" s="7"/>
      <c r="BG5" s="7"/>
      <c r="BH5" s="7"/>
      <c r="BI5" s="7"/>
      <c r="BJ5" s="7"/>
      <c r="BK5" s="7"/>
      <c r="BL5" s="7"/>
      <c r="BM5" s="7"/>
      <c r="BN5" s="61"/>
      <c r="BO5" s="62"/>
      <c r="BP5" s="50"/>
      <c r="BQ5" s="20"/>
      <c r="BR5" s="7"/>
      <c r="BS5" s="7"/>
      <c r="BT5" s="7"/>
      <c r="BU5" s="7"/>
      <c r="BV5" s="55"/>
      <c r="BW5" s="7"/>
      <c r="BX5" s="55"/>
      <c r="BY5" s="7"/>
      <c r="BZ5" s="7"/>
      <c r="CA5" s="7"/>
      <c r="CB5" s="7"/>
      <c r="CC5" s="55"/>
      <c r="CD5" s="104"/>
      <c r="CE5" s="105"/>
      <c r="CF5" s="7"/>
      <c r="CG5" s="7"/>
      <c r="CH5" s="7"/>
      <c r="CI5" s="7"/>
      <c r="CJ5" s="7"/>
      <c r="CK5" s="7"/>
      <c r="CL5" s="7"/>
      <c r="CM5" s="7"/>
      <c r="CN5" s="7"/>
      <c r="CO5" s="7"/>
      <c r="CP5" s="55"/>
      <c r="CQ5" s="7"/>
      <c r="CR5" s="7"/>
      <c r="CS5" s="130"/>
      <c r="CT5" s="7"/>
      <c r="CU5" s="7"/>
      <c r="CV5" s="7"/>
      <c r="CW5" s="7"/>
      <c r="CX5" s="7"/>
      <c r="CY5" s="73"/>
      <c r="CZ5" s="7"/>
      <c r="DA5" s="7"/>
      <c r="DB5" s="7"/>
      <c r="DC5" s="48"/>
      <c r="DD5" s="7"/>
      <c r="DE5" s="7"/>
      <c r="DF5" s="7"/>
      <c r="DG5" s="7"/>
      <c r="DH5" s="7"/>
      <c r="DI5" s="7"/>
      <c r="DJ5" s="7"/>
      <c r="DK5" s="7"/>
      <c r="DL5" s="74"/>
      <c r="DM5" s="7"/>
      <c r="DN5" s="7"/>
      <c r="DO5" s="7"/>
      <c r="DP5" s="7"/>
      <c r="DQ5" s="58"/>
      <c r="DR5" s="7"/>
      <c r="DS5" s="7"/>
      <c r="DT5" s="7"/>
      <c r="DU5" s="73"/>
      <c r="DV5" s="73"/>
      <c r="DW5" s="152"/>
      <c r="DX5" s="7"/>
      <c r="DY5" s="7"/>
      <c r="DZ5" s="7"/>
      <c r="EA5" s="7"/>
      <c r="EB5" s="7"/>
      <c r="EC5" s="7"/>
      <c r="ED5" s="7"/>
      <c r="EE5" s="7"/>
      <c r="EF5" s="7"/>
      <c r="EG5" s="7"/>
      <c r="EH5" s="7"/>
      <c r="EI5" s="7"/>
      <c r="EJ5" s="7"/>
      <c r="EK5" s="7"/>
      <c r="EL5" s="7"/>
      <c r="EM5" s="7"/>
      <c r="EN5" s="19"/>
      <c r="EO5" s="7"/>
      <c r="EP5" s="7"/>
      <c r="EQ5" s="7"/>
      <c r="ER5" s="7"/>
      <c r="ES5" s="7"/>
      <c r="ET5" s="55"/>
      <c r="EU5" s="7"/>
      <c r="EV5" s="7"/>
      <c r="EW5" s="7"/>
      <c r="EX5" s="7"/>
      <c r="EY5" s="7"/>
      <c r="EZ5" s="7"/>
      <c r="FA5" s="7"/>
      <c r="FB5" s="7"/>
      <c r="FC5" s="55"/>
      <c r="FD5" s="55"/>
      <c r="FE5" s="55"/>
      <c r="FF5" s="7"/>
      <c r="FG5" s="7"/>
      <c r="FH5" s="7"/>
      <c r="FI5" s="7"/>
      <c r="FJ5" s="7"/>
      <c r="FK5" s="7"/>
      <c r="FL5" s="7"/>
      <c r="FM5" s="7"/>
      <c r="FN5" s="7"/>
      <c r="FO5" s="7"/>
      <c r="FP5" s="7"/>
      <c r="FQ5" s="7"/>
      <c r="FR5" s="7"/>
      <c r="FS5" s="77"/>
      <c r="FT5" s="30"/>
      <c r="FU5" s="7"/>
      <c r="FV5" s="55"/>
      <c r="FW5" s="55"/>
      <c r="FX5" s="7"/>
      <c r="FY5" s="7"/>
      <c r="FZ5" s="7"/>
      <c r="GA5" s="7"/>
      <c r="GB5" s="7"/>
      <c r="GC5" s="7"/>
      <c r="GD5" s="103"/>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29"/>
      <c r="IF5" s="7"/>
      <c r="IG5" s="7"/>
      <c r="IH5" s="7"/>
      <c r="II5" s="7"/>
      <c r="IJ5" s="7"/>
      <c r="IK5" s="7"/>
      <c r="IL5" s="7"/>
      <c r="IM5" s="7"/>
      <c r="IN5" s="7"/>
      <c r="IO5" s="7"/>
      <c r="IP5" s="7"/>
      <c r="IQ5" s="7"/>
      <c r="IR5" s="7"/>
      <c r="IS5" s="7"/>
      <c r="IT5" s="55"/>
      <c r="IU5" s="7"/>
      <c r="IV5" s="7"/>
    </row>
    <row r="6" spans="1:256" s="11" customFormat="1" ht="12.75" customHeight="1">
      <c r="A6" s="19"/>
      <c r="B6" s="19"/>
      <c r="C6" s="564" t="s">
        <v>5376</v>
      </c>
      <c r="D6" s="7" t="e">
        <f>COUNTIF(SurveyDATA!#REF!,"*San Pablo*")</f>
        <v>#REF!</v>
      </c>
      <c r="E6" s="7"/>
      <c r="F6" s="7"/>
      <c r="G6" s="7"/>
      <c r="H6" s="19"/>
      <c r="I6" s="8"/>
      <c r="J6" s="19"/>
      <c r="K6" s="7"/>
      <c r="L6" s="7"/>
      <c r="M6" s="7"/>
      <c r="N6" s="7"/>
      <c r="O6" s="7"/>
      <c r="P6" s="7"/>
      <c r="Q6" s="29"/>
      <c r="R6" s="30"/>
      <c r="S6" s="7"/>
      <c r="T6" s="7"/>
      <c r="U6" s="31"/>
      <c r="V6" s="7"/>
      <c r="W6" s="7"/>
      <c r="X6" s="7"/>
      <c r="Y6" s="7"/>
      <c r="Z6" s="7"/>
      <c r="AA6" s="7"/>
      <c r="AB6" s="7"/>
      <c r="AC6" s="7"/>
      <c r="AD6" s="7"/>
      <c r="AE6" s="7"/>
      <c r="AF6" s="7"/>
      <c r="AG6" s="7"/>
      <c r="AH6" s="7"/>
      <c r="AI6" s="7"/>
      <c r="AJ6" s="122"/>
      <c r="AK6" s="41"/>
      <c r="AL6" s="52"/>
      <c r="AM6" s="20"/>
      <c r="AN6" s="20"/>
      <c r="AO6" s="20"/>
      <c r="AP6" s="20"/>
      <c r="AQ6" s="7"/>
      <c r="AR6" s="7"/>
      <c r="AS6" s="7"/>
      <c r="AT6" s="7"/>
      <c r="AU6" s="7"/>
      <c r="AV6" s="7"/>
      <c r="AW6" s="7"/>
      <c r="AX6" s="7"/>
      <c r="AY6" s="7"/>
      <c r="AZ6" s="7"/>
      <c r="BA6" s="7"/>
      <c r="BB6" s="7"/>
      <c r="BC6" s="7"/>
      <c r="BD6" s="55"/>
      <c r="BE6" s="55"/>
      <c r="BF6" s="7"/>
      <c r="BG6" s="7"/>
      <c r="BH6" s="7"/>
      <c r="BI6" s="7"/>
      <c r="BJ6" s="7"/>
      <c r="BK6" s="7"/>
      <c r="BL6" s="7"/>
      <c r="BM6" s="7"/>
      <c r="BN6" s="61"/>
      <c r="BO6" s="62"/>
      <c r="BP6" s="50"/>
      <c r="BQ6" s="20"/>
      <c r="BR6" s="7"/>
      <c r="BS6" s="7"/>
      <c r="BT6" s="7"/>
      <c r="BU6" s="7"/>
      <c r="BV6" s="55"/>
      <c r="BW6" s="7"/>
      <c r="BX6" s="55"/>
      <c r="BY6" s="7"/>
      <c r="BZ6" s="7"/>
      <c r="CA6" s="7"/>
      <c r="CB6" s="7"/>
      <c r="CC6" s="55"/>
      <c r="CD6" s="104"/>
      <c r="CE6" s="105"/>
      <c r="CF6" s="7"/>
      <c r="CG6" s="7"/>
      <c r="CH6" s="7"/>
      <c r="CI6" s="7"/>
      <c r="CJ6" s="7"/>
      <c r="CK6" s="7"/>
      <c r="CL6" s="7"/>
      <c r="CM6" s="7"/>
      <c r="CN6" s="7"/>
      <c r="CO6" s="7"/>
      <c r="CP6" s="55"/>
      <c r="CQ6" s="7"/>
      <c r="CR6" s="7"/>
      <c r="CS6" s="130"/>
      <c r="CT6" s="7"/>
      <c r="CU6" s="7"/>
      <c r="CV6" s="7"/>
      <c r="CW6" s="7"/>
      <c r="CX6" s="7"/>
      <c r="CY6" s="73"/>
      <c r="CZ6" s="7"/>
      <c r="DA6" s="7"/>
      <c r="DB6" s="7"/>
      <c r="DC6" s="48"/>
      <c r="DD6" s="7"/>
      <c r="DE6" s="7"/>
      <c r="DF6" s="7"/>
      <c r="DG6" s="7"/>
      <c r="DH6" s="7"/>
      <c r="DI6" s="7"/>
      <c r="DJ6" s="7"/>
      <c r="DK6" s="7"/>
      <c r="DL6" s="74"/>
      <c r="DM6" s="7"/>
      <c r="DN6" s="7"/>
      <c r="DO6" s="7"/>
      <c r="DP6" s="7"/>
      <c r="DQ6" s="58"/>
      <c r="DR6" s="7"/>
      <c r="DS6" s="7"/>
      <c r="DT6" s="7"/>
      <c r="DU6" s="73"/>
      <c r="DV6" s="73"/>
      <c r="DW6" s="152"/>
      <c r="DX6" s="7"/>
      <c r="DY6" s="7"/>
      <c r="DZ6" s="7"/>
      <c r="EA6" s="7"/>
      <c r="EB6" s="7"/>
      <c r="EC6" s="7"/>
      <c r="ED6" s="7"/>
      <c r="EE6" s="7"/>
      <c r="EF6" s="7"/>
      <c r="EG6" s="7"/>
      <c r="EH6" s="7"/>
      <c r="EI6" s="7"/>
      <c r="EJ6" s="7"/>
      <c r="EK6" s="7"/>
      <c r="EL6" s="7"/>
      <c r="EM6" s="7"/>
      <c r="EN6" s="19"/>
      <c r="EO6" s="7"/>
      <c r="EP6" s="7"/>
      <c r="EQ6" s="7"/>
      <c r="ER6" s="7"/>
      <c r="ES6" s="7"/>
      <c r="ET6" s="55"/>
      <c r="EU6" s="7"/>
      <c r="EV6" s="7"/>
      <c r="EW6" s="7"/>
      <c r="EX6" s="7"/>
      <c r="EY6" s="7"/>
      <c r="EZ6" s="7"/>
      <c r="FA6" s="7"/>
      <c r="FB6" s="7"/>
      <c r="FC6" s="55"/>
      <c r="FD6" s="55"/>
      <c r="FE6" s="55"/>
      <c r="FF6" s="7"/>
      <c r="FG6" s="7"/>
      <c r="FH6" s="7"/>
      <c r="FI6" s="7"/>
      <c r="FJ6" s="7"/>
      <c r="FK6" s="7"/>
      <c r="FL6" s="7"/>
      <c r="FM6" s="7"/>
      <c r="FN6" s="7"/>
      <c r="FO6" s="7"/>
      <c r="FP6" s="7"/>
      <c r="FQ6" s="7"/>
      <c r="FR6" s="7"/>
      <c r="FS6" s="77"/>
      <c r="FT6" s="30"/>
      <c r="FU6" s="7"/>
      <c r="FV6" s="55"/>
      <c r="FW6" s="55"/>
      <c r="FX6" s="7"/>
      <c r="FY6" s="7"/>
      <c r="FZ6" s="7"/>
      <c r="GA6" s="7"/>
      <c r="GB6" s="7"/>
      <c r="GC6" s="7"/>
      <c r="GD6" s="103"/>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29"/>
      <c r="IF6" s="7"/>
      <c r="IG6" s="7"/>
      <c r="IH6" s="7"/>
      <c r="II6" s="7"/>
      <c r="IJ6" s="7"/>
      <c r="IK6" s="7"/>
      <c r="IL6" s="7"/>
      <c r="IM6" s="7"/>
      <c r="IN6" s="7"/>
      <c r="IO6" s="7"/>
      <c r="IP6" s="7"/>
      <c r="IQ6" s="7"/>
      <c r="IR6" s="7"/>
      <c r="IS6" s="7"/>
      <c r="IT6" s="55"/>
      <c r="IU6" s="7"/>
      <c r="IV6" s="7"/>
    </row>
    <row r="7" spans="1:256" s="11" customFormat="1" ht="12.75" customHeight="1">
      <c r="A7" s="19"/>
      <c r="B7" s="19"/>
      <c r="C7" s="564"/>
      <c r="D7" s="7" t="e">
        <f>SUBTOTAL(9,D4:D6)</f>
        <v>#REF!</v>
      </c>
      <c r="E7" s="7"/>
      <c r="F7" s="7"/>
      <c r="G7" s="7"/>
      <c r="H7" s="19"/>
      <c r="I7" s="8"/>
      <c r="J7" s="19"/>
      <c r="K7" s="7"/>
      <c r="L7" s="7"/>
      <c r="M7" s="7"/>
      <c r="N7" s="7"/>
      <c r="O7" s="7"/>
      <c r="P7" s="7"/>
      <c r="Q7" s="29"/>
      <c r="R7" s="30"/>
      <c r="S7" s="7"/>
      <c r="T7" s="7"/>
      <c r="U7" s="31"/>
      <c r="V7" s="7"/>
      <c r="W7" s="7"/>
      <c r="X7" s="7"/>
      <c r="Y7" s="7"/>
      <c r="Z7" s="7"/>
      <c r="AA7" s="7"/>
      <c r="AB7" s="7"/>
      <c r="AC7" s="7"/>
      <c r="AD7" s="7"/>
      <c r="AE7" s="7"/>
      <c r="AF7" s="7"/>
      <c r="AG7" s="7"/>
      <c r="AH7" s="7"/>
      <c r="AI7" s="7"/>
      <c r="AJ7" s="122"/>
      <c r="AK7" s="41"/>
      <c r="AL7" s="52"/>
      <c r="AM7" s="20"/>
      <c r="AN7" s="20"/>
      <c r="AO7" s="20"/>
      <c r="AP7" s="20"/>
      <c r="AQ7" s="7"/>
      <c r="AR7" s="7"/>
      <c r="AS7" s="7"/>
      <c r="AT7" s="7"/>
      <c r="AU7" s="7"/>
      <c r="AV7" s="7"/>
      <c r="AW7" s="7"/>
      <c r="AX7" s="7"/>
      <c r="AY7" s="7"/>
      <c r="AZ7" s="7"/>
      <c r="BA7" s="7"/>
      <c r="BB7" s="7"/>
      <c r="BC7" s="7"/>
      <c r="BD7" s="55"/>
      <c r="BE7" s="55"/>
      <c r="BF7" s="7"/>
      <c r="BG7" s="7"/>
      <c r="BH7" s="7"/>
      <c r="BI7" s="7"/>
      <c r="BJ7" s="7"/>
      <c r="BK7" s="7"/>
      <c r="BL7" s="7"/>
      <c r="BM7" s="7"/>
      <c r="BN7" s="61"/>
      <c r="BO7" s="62"/>
      <c r="BP7" s="50"/>
      <c r="BQ7" s="20"/>
      <c r="BR7" s="7"/>
      <c r="BS7" s="7"/>
      <c r="BT7" s="7"/>
      <c r="BU7" s="7"/>
      <c r="BV7" s="55"/>
      <c r="BW7" s="7"/>
      <c r="BX7" s="55"/>
      <c r="BY7" s="7"/>
      <c r="BZ7" s="7"/>
      <c r="CA7" s="7"/>
      <c r="CB7" s="7"/>
      <c r="CC7" s="55"/>
      <c r="CD7" s="104"/>
      <c r="CE7" s="105"/>
      <c r="CF7" s="7"/>
      <c r="CG7" s="7"/>
      <c r="CH7" s="7"/>
      <c r="CI7" s="7"/>
      <c r="CJ7" s="7"/>
      <c r="CK7" s="7"/>
      <c r="CL7" s="7"/>
      <c r="CM7" s="7"/>
      <c r="CN7" s="7"/>
      <c r="CO7" s="7"/>
      <c r="CP7" s="55"/>
      <c r="CQ7" s="7"/>
      <c r="CR7" s="7"/>
      <c r="CS7" s="130"/>
      <c r="CT7" s="7"/>
      <c r="CU7" s="7"/>
      <c r="CV7" s="7"/>
      <c r="CW7" s="7"/>
      <c r="CX7" s="7"/>
      <c r="CY7" s="73"/>
      <c r="CZ7" s="7"/>
      <c r="DA7" s="7"/>
      <c r="DB7" s="7"/>
      <c r="DC7" s="48"/>
      <c r="DD7" s="7"/>
      <c r="DE7" s="7"/>
      <c r="DF7" s="7"/>
      <c r="DG7" s="7"/>
      <c r="DH7" s="7"/>
      <c r="DI7" s="7"/>
      <c r="DJ7" s="7"/>
      <c r="DK7" s="7"/>
      <c r="DL7" s="74"/>
      <c r="DM7" s="7"/>
      <c r="DN7" s="7"/>
      <c r="DO7" s="7"/>
      <c r="DP7" s="7"/>
      <c r="DQ7" s="58"/>
      <c r="DR7" s="7"/>
      <c r="DS7" s="7"/>
      <c r="DT7" s="7"/>
      <c r="DU7" s="73"/>
      <c r="DV7" s="73"/>
      <c r="DW7" s="152"/>
      <c r="DX7" s="7"/>
      <c r="DY7" s="7"/>
      <c r="DZ7" s="7"/>
      <c r="EA7" s="7"/>
      <c r="EB7" s="7"/>
      <c r="EC7" s="7"/>
      <c r="ED7" s="7"/>
      <c r="EE7" s="7"/>
      <c r="EF7" s="7"/>
      <c r="EG7" s="7"/>
      <c r="EH7" s="7"/>
      <c r="EI7" s="7"/>
      <c r="EJ7" s="7"/>
      <c r="EK7" s="7"/>
      <c r="EL7" s="7"/>
      <c r="EM7" s="7"/>
      <c r="EN7" s="19"/>
      <c r="EO7" s="7"/>
      <c r="EP7" s="7"/>
      <c r="EQ7" s="7"/>
      <c r="ER7" s="7"/>
      <c r="ES7" s="7"/>
      <c r="ET7" s="55"/>
      <c r="EU7" s="7"/>
      <c r="EV7" s="7"/>
      <c r="EW7" s="7"/>
      <c r="EX7" s="7"/>
      <c r="EY7" s="7"/>
      <c r="EZ7" s="7"/>
      <c r="FA7" s="7"/>
      <c r="FB7" s="7"/>
      <c r="FC7" s="55"/>
      <c r="FD7" s="55"/>
      <c r="FE7" s="55"/>
      <c r="FF7" s="7"/>
      <c r="FG7" s="7"/>
      <c r="FH7" s="7"/>
      <c r="FI7" s="7"/>
      <c r="FJ7" s="7"/>
      <c r="FK7" s="7"/>
      <c r="FL7" s="7"/>
      <c r="FM7" s="7"/>
      <c r="FN7" s="7"/>
      <c r="FO7" s="7"/>
      <c r="FP7" s="7"/>
      <c r="FQ7" s="7"/>
      <c r="FR7" s="7"/>
      <c r="FS7" s="77"/>
      <c r="FT7" s="30"/>
      <c r="FU7" s="7"/>
      <c r="FV7" s="55"/>
      <c r="FW7" s="55"/>
      <c r="FX7" s="7"/>
      <c r="FY7" s="7"/>
      <c r="FZ7" s="7"/>
      <c r="GA7" s="7"/>
      <c r="GB7" s="7"/>
      <c r="GC7" s="7"/>
      <c r="GD7" s="103"/>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29"/>
      <c r="IF7" s="7"/>
      <c r="IG7" s="7"/>
      <c r="IH7" s="7"/>
      <c r="II7" s="7"/>
      <c r="IJ7" s="7"/>
      <c r="IK7" s="7"/>
      <c r="IL7" s="7"/>
      <c r="IM7" s="7"/>
      <c r="IN7" s="7"/>
      <c r="IO7" s="7"/>
      <c r="IP7" s="7"/>
      <c r="IQ7" s="7"/>
      <c r="IR7" s="7"/>
      <c r="IS7" s="7"/>
      <c r="IT7" s="55"/>
      <c r="IU7" s="7"/>
      <c r="IV7" s="7"/>
    </row>
    <row r="8" spans="1:256" s="11" customFormat="1" ht="12.75" customHeight="1">
      <c r="A8" s="19"/>
      <c r="B8" s="19"/>
      <c r="C8" s="7"/>
      <c r="D8" s="19"/>
      <c r="E8" s="7"/>
      <c r="F8" s="7"/>
      <c r="G8" s="7"/>
      <c r="H8" s="19"/>
      <c r="I8" s="8"/>
      <c r="J8" s="19" t="str">
        <f ca="1">IF(F8="Head",CELL("contents",D8),"")</f>
        <v/>
      </c>
      <c r="K8" s="7"/>
      <c r="L8" s="7"/>
      <c r="M8" s="7"/>
      <c r="N8" s="7"/>
      <c r="O8" s="7"/>
      <c r="P8" s="7"/>
      <c r="Q8" s="29"/>
      <c r="R8" s="30"/>
      <c r="S8" s="7"/>
      <c r="T8" s="7"/>
      <c r="U8" s="31"/>
      <c r="V8" s="7"/>
      <c r="W8" s="7"/>
      <c r="X8" s="7"/>
      <c r="Y8" s="7"/>
      <c r="Z8" s="7"/>
      <c r="AA8" s="7"/>
      <c r="AB8" s="7"/>
      <c r="AC8" s="7"/>
      <c r="AD8" s="7"/>
      <c r="AE8" s="7"/>
      <c r="AF8" s="7"/>
      <c r="AG8" s="7"/>
      <c r="AH8" s="7"/>
      <c r="AI8" s="7"/>
      <c r="AJ8" s="122"/>
      <c r="AK8" s="41"/>
      <c r="AL8" s="52"/>
      <c r="AM8" s="20"/>
      <c r="AN8" s="20"/>
      <c r="AO8" s="20"/>
      <c r="AP8" s="20"/>
      <c r="AQ8" s="7"/>
      <c r="AR8" s="7"/>
      <c r="AS8" s="7"/>
      <c r="AT8" s="7"/>
      <c r="AU8" s="7"/>
      <c r="AV8" s="7"/>
      <c r="AW8" s="7"/>
      <c r="AX8" s="7"/>
      <c r="AY8" s="7"/>
      <c r="AZ8" s="7"/>
      <c r="BA8" s="7"/>
      <c r="BB8" s="7"/>
      <c r="BC8" s="7"/>
      <c r="BD8" s="55"/>
      <c r="BE8" s="55"/>
      <c r="BF8" s="7"/>
      <c r="BG8" s="7"/>
      <c r="BH8" s="7"/>
      <c r="BI8" s="7"/>
      <c r="BJ8" s="7"/>
      <c r="BK8" s="7"/>
      <c r="BL8" s="7"/>
      <c r="BM8" s="7"/>
      <c r="BN8" s="61"/>
      <c r="BO8" s="62"/>
      <c r="BP8" s="50"/>
      <c r="BQ8" s="20"/>
      <c r="BR8" s="7"/>
      <c r="BS8" s="7"/>
      <c r="BT8" s="7"/>
      <c r="BU8" s="7"/>
      <c r="BV8" s="55"/>
      <c r="BW8" s="7"/>
      <c r="BX8" s="55"/>
      <c r="BY8" s="7"/>
      <c r="BZ8" s="7"/>
      <c r="CA8" s="7"/>
      <c r="CB8" s="7"/>
      <c r="CC8" s="55"/>
      <c r="CD8" s="104"/>
      <c r="CE8" s="105"/>
      <c r="CF8" s="7"/>
      <c r="CG8" s="7"/>
      <c r="CH8" s="7"/>
      <c r="CI8" s="7"/>
      <c r="CJ8" s="7"/>
      <c r="CK8" s="7"/>
      <c r="CL8" s="7"/>
      <c r="CM8" s="7"/>
      <c r="CN8" s="7"/>
      <c r="CO8" s="7"/>
      <c r="CP8" s="55"/>
      <c r="CQ8" s="7"/>
      <c r="CR8" s="7"/>
      <c r="CS8" s="130"/>
      <c r="CT8" s="7"/>
      <c r="CU8" s="7"/>
      <c r="CV8" s="7"/>
      <c r="CW8" s="7"/>
      <c r="CX8" s="7"/>
      <c r="CY8" s="73"/>
      <c r="CZ8" s="7"/>
      <c r="DA8" s="7"/>
      <c r="DB8" s="7"/>
      <c r="DC8" s="48"/>
      <c r="DD8" s="7"/>
      <c r="DE8" s="7"/>
      <c r="DF8" s="7"/>
      <c r="DG8" s="7"/>
      <c r="DH8" s="7"/>
      <c r="DI8" s="7"/>
      <c r="DJ8" s="7"/>
      <c r="DK8" s="7"/>
      <c r="DL8" s="74"/>
      <c r="DM8" s="7"/>
      <c r="DN8" s="7"/>
      <c r="DO8" s="7"/>
      <c r="DP8" s="7"/>
      <c r="DQ8" s="58"/>
      <c r="DR8" s="7"/>
      <c r="DS8" s="7"/>
      <c r="DT8" s="7"/>
      <c r="DU8" s="73"/>
      <c r="DV8" s="73"/>
      <c r="DW8" s="152"/>
      <c r="DX8" s="7"/>
      <c r="DY8" s="7"/>
      <c r="DZ8" s="7"/>
      <c r="EA8" s="7"/>
      <c r="EB8" s="7"/>
      <c r="EC8" s="7"/>
      <c r="ED8" s="7"/>
      <c r="EE8" s="7"/>
      <c r="EF8" s="7"/>
      <c r="EG8" s="7"/>
      <c r="EH8" s="7"/>
      <c r="EI8" s="7"/>
      <c r="EJ8" s="7"/>
      <c r="EK8" s="7"/>
      <c r="EL8" s="7"/>
      <c r="EM8" s="7"/>
      <c r="EN8" s="19"/>
      <c r="EO8" s="7"/>
      <c r="EP8" s="7"/>
      <c r="EQ8" s="7"/>
      <c r="ER8" s="7"/>
      <c r="ES8" s="7"/>
      <c r="ET8" s="55"/>
      <c r="EU8" s="7"/>
      <c r="EV8" s="7"/>
      <c r="EW8" s="7"/>
      <c r="EX8" s="7"/>
      <c r="EY8" s="7"/>
      <c r="EZ8" s="7"/>
      <c r="FA8" s="7"/>
      <c r="FB8" s="7"/>
      <c r="FC8" s="55"/>
      <c r="FD8" s="55"/>
      <c r="FE8" s="55"/>
      <c r="FF8" s="7"/>
      <c r="FG8" s="7"/>
      <c r="FH8" s="7"/>
      <c r="FI8" s="7"/>
      <c r="FJ8" s="7"/>
      <c r="FK8" s="7"/>
      <c r="FL8" s="7"/>
      <c r="FM8" s="7"/>
      <c r="FN8" s="7"/>
      <c r="FO8" s="7"/>
      <c r="FP8" s="7"/>
      <c r="FQ8" s="7"/>
      <c r="FR8" s="7"/>
      <c r="FS8" s="77"/>
      <c r="FT8" s="30"/>
      <c r="FU8" s="7"/>
      <c r="FV8" s="55"/>
      <c r="FW8" s="55"/>
      <c r="FX8" s="7"/>
      <c r="FY8" s="7"/>
      <c r="FZ8" s="7"/>
      <c r="GA8" s="7"/>
      <c r="GB8" s="7"/>
      <c r="GC8" s="7"/>
      <c r="GD8" s="103"/>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29"/>
      <c r="IF8" s="7"/>
      <c r="IG8" s="7"/>
      <c r="IH8" s="7"/>
      <c r="II8" s="7"/>
      <c r="IJ8" s="7"/>
      <c r="IK8" s="7"/>
      <c r="IL8" s="7"/>
      <c r="IM8" s="7"/>
      <c r="IN8" s="7"/>
      <c r="IO8" s="7"/>
      <c r="IP8" s="7"/>
      <c r="IQ8" s="7"/>
      <c r="IR8" s="7"/>
      <c r="IS8" s="7"/>
      <c r="IT8" s="55"/>
      <c r="IU8" s="7"/>
      <c r="IV8" s="7"/>
    </row>
    <row r="9" spans="1:256" s="11" customFormat="1" ht="12.75" customHeight="1">
      <c r="A9" s="19"/>
      <c r="B9" s="19"/>
      <c r="C9" s="7"/>
      <c r="D9" s="19"/>
      <c r="E9" s="7"/>
      <c r="F9" s="7"/>
      <c r="G9" s="7"/>
      <c r="H9" s="19"/>
      <c r="I9" s="8"/>
      <c r="J9" s="19" t="str">
        <f ca="1">IF(F9="Head",CELL("contents",D9),"")</f>
        <v/>
      </c>
      <c r="K9" s="7"/>
      <c r="L9" s="7"/>
      <c r="M9" s="7"/>
      <c r="N9" s="7"/>
      <c r="O9" s="7"/>
      <c r="P9" s="7"/>
      <c r="Q9" s="29"/>
      <c r="R9" s="30"/>
      <c r="S9" s="7"/>
      <c r="T9" s="7"/>
      <c r="U9" s="31"/>
      <c r="V9" s="7"/>
      <c r="W9" s="7"/>
      <c r="X9" s="7"/>
      <c r="Y9" s="7"/>
      <c r="Z9" s="7"/>
      <c r="AA9" s="7"/>
      <c r="AB9" s="7"/>
      <c r="AC9" s="7"/>
      <c r="AD9" s="7"/>
      <c r="AE9" s="7"/>
      <c r="AF9" s="7"/>
      <c r="AG9" s="7"/>
      <c r="AH9" s="7"/>
      <c r="AI9" s="7"/>
      <c r="AJ9" s="122"/>
      <c r="AK9" s="41"/>
      <c r="AL9" s="52"/>
      <c r="AM9" s="20"/>
      <c r="AN9" s="20"/>
      <c r="AO9" s="20"/>
      <c r="AP9" s="20"/>
      <c r="AQ9" s="7"/>
      <c r="AR9" s="7"/>
      <c r="AS9" s="7"/>
      <c r="AT9" s="7"/>
      <c r="AU9" s="7"/>
      <c r="AV9" s="7"/>
      <c r="AW9" s="7"/>
      <c r="AX9" s="7"/>
      <c r="AY9" s="7"/>
      <c r="AZ9" s="7"/>
      <c r="BA9" s="7"/>
      <c r="BB9" s="7"/>
      <c r="BC9" s="7"/>
      <c r="BD9" s="55"/>
      <c r="BE9" s="55"/>
      <c r="BF9" s="7"/>
      <c r="BG9" s="7"/>
      <c r="BH9" s="7"/>
      <c r="BI9" s="7"/>
      <c r="BJ9" s="7"/>
      <c r="BK9" s="7"/>
      <c r="BL9" s="7"/>
      <c r="BM9" s="7"/>
      <c r="BN9" s="61"/>
      <c r="BO9" s="62"/>
      <c r="BP9" s="50"/>
      <c r="BQ9" s="20"/>
      <c r="BR9" s="7"/>
      <c r="BS9" s="7"/>
      <c r="BT9" s="7"/>
      <c r="BU9" s="7"/>
      <c r="BV9" s="55"/>
      <c r="BW9" s="7"/>
      <c r="BX9" s="55"/>
      <c r="BY9" s="7"/>
      <c r="BZ9" s="7"/>
      <c r="CA9" s="7"/>
      <c r="CB9" s="7"/>
      <c r="CC9" s="55"/>
      <c r="CD9" s="104"/>
      <c r="CE9" s="105"/>
      <c r="CF9" s="7"/>
      <c r="CG9" s="7"/>
      <c r="CH9" s="7"/>
      <c r="CI9" s="7"/>
      <c r="CJ9" s="7"/>
      <c r="CK9" s="7"/>
      <c r="CL9" s="7"/>
      <c r="CM9" s="7"/>
      <c r="CN9" s="7"/>
      <c r="CO9" s="7"/>
      <c r="CP9" s="55"/>
      <c r="CQ9" s="7"/>
      <c r="CR9" s="7"/>
      <c r="CS9" s="130"/>
      <c r="CT9" s="7"/>
      <c r="CU9" s="7"/>
      <c r="CV9" s="7"/>
      <c r="CW9" s="7"/>
      <c r="CX9" s="7"/>
      <c r="CY9" s="73"/>
      <c r="CZ9" s="7"/>
      <c r="DA9" s="7"/>
      <c r="DB9" s="7"/>
      <c r="DC9" s="48"/>
      <c r="DD9" s="7"/>
      <c r="DE9" s="7"/>
      <c r="DF9" s="7"/>
      <c r="DG9" s="7"/>
      <c r="DH9" s="7"/>
      <c r="DI9" s="7"/>
      <c r="DJ9" s="7"/>
      <c r="DK9" s="7"/>
      <c r="DL9" s="74"/>
      <c r="DM9" s="7"/>
      <c r="DN9" s="7"/>
      <c r="DO9" s="7"/>
      <c r="DP9" s="7"/>
      <c r="DQ9" s="58"/>
      <c r="DR9" s="7"/>
      <c r="DS9" s="7"/>
      <c r="DT9" s="7"/>
      <c r="DU9" s="73"/>
      <c r="DV9" s="73"/>
      <c r="DW9" s="152"/>
      <c r="DX9" s="7"/>
      <c r="DY9" s="7"/>
      <c r="DZ9" s="7"/>
      <c r="EA9" s="7"/>
      <c r="EB9" s="7"/>
      <c r="EC9" s="7"/>
      <c r="ED9" s="7"/>
      <c r="EE9" s="7"/>
      <c r="EF9" s="7"/>
      <c r="EG9" s="7"/>
      <c r="EH9" s="7"/>
      <c r="EI9" s="7"/>
      <c r="EJ9" s="7"/>
      <c r="EK9" s="7"/>
      <c r="EL9" s="7"/>
      <c r="EM9" s="7"/>
      <c r="EN9" s="19"/>
      <c r="EO9" s="7"/>
      <c r="EP9" s="7"/>
      <c r="EQ9" s="7"/>
      <c r="ER9" s="7"/>
      <c r="ES9" s="7"/>
      <c r="ET9" s="55"/>
      <c r="EU9" s="7"/>
      <c r="EV9" s="7"/>
      <c r="EW9" s="7"/>
      <c r="EX9" s="7"/>
      <c r="EY9" s="7"/>
      <c r="EZ9" s="7"/>
      <c r="FA9" s="7"/>
      <c r="FB9" s="7"/>
      <c r="FC9" s="55"/>
      <c r="FD9" s="55"/>
      <c r="FE9" s="55"/>
      <c r="FF9" s="7"/>
      <c r="FG9" s="7"/>
      <c r="FH9" s="7"/>
      <c r="FI9" s="7"/>
      <c r="FJ9" s="7"/>
      <c r="FK9" s="7"/>
      <c r="FL9" s="7"/>
      <c r="FM9" s="7"/>
      <c r="FN9" s="7"/>
      <c r="FO9" s="7"/>
      <c r="FP9" s="7"/>
      <c r="FQ9" s="7"/>
      <c r="FR9" s="7"/>
      <c r="FS9" s="77"/>
      <c r="FT9" s="30"/>
      <c r="FU9" s="7"/>
      <c r="FV9" s="55"/>
      <c r="FW9" s="55"/>
      <c r="FX9" s="7"/>
      <c r="FY9" s="7"/>
      <c r="FZ9" s="7"/>
      <c r="GA9" s="7"/>
      <c r="GB9" s="7"/>
      <c r="GC9" s="7"/>
      <c r="GD9" s="103"/>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29"/>
      <c r="IF9" s="7"/>
      <c r="IG9" s="7"/>
      <c r="IH9" s="7"/>
      <c r="II9" s="7"/>
      <c r="IJ9" s="7"/>
      <c r="IK9" s="7"/>
      <c r="IL9" s="7"/>
      <c r="IM9" s="7"/>
      <c r="IN9" s="7"/>
      <c r="IO9" s="7"/>
      <c r="IP9" s="7"/>
      <c r="IQ9" s="7"/>
      <c r="IR9" s="7"/>
      <c r="IS9" s="7"/>
      <c r="IT9" s="55"/>
      <c r="IU9" s="7"/>
      <c r="IV9" s="7"/>
    </row>
    <row r="10" spans="1:256" s="337" customFormat="1" ht="12.75" customHeight="1">
      <c r="C10" s="562" t="s">
        <v>53</v>
      </c>
      <c r="D10" s="15" t="s">
        <v>54</v>
      </c>
      <c r="E10" s="15" t="s">
        <v>55</v>
      </c>
      <c r="F10" s="15"/>
      <c r="G10" s="15"/>
      <c r="H10" s="15"/>
      <c r="I10" s="328"/>
      <c r="J10" s="15"/>
      <c r="K10" s="15" t="s">
        <v>56</v>
      </c>
      <c r="L10" s="15" t="s">
        <v>57</v>
      </c>
      <c r="M10" s="15"/>
      <c r="N10" s="15"/>
      <c r="O10" s="15" t="s">
        <v>58</v>
      </c>
      <c r="P10" s="15" t="s">
        <v>729</v>
      </c>
      <c r="Q10" s="329">
        <v>26471</v>
      </c>
      <c r="R10" s="330">
        <v>43</v>
      </c>
      <c r="S10" s="4" t="s">
        <v>18</v>
      </c>
      <c r="T10" s="15"/>
      <c r="U10" s="331" t="s">
        <v>730</v>
      </c>
      <c r="V10" s="15" t="s">
        <v>707</v>
      </c>
      <c r="W10" s="15" t="s">
        <v>5476</v>
      </c>
      <c r="X10" s="15" t="s">
        <v>731</v>
      </c>
      <c r="Y10" s="15" t="s">
        <v>732</v>
      </c>
      <c r="Z10" s="15" t="s">
        <v>7275</v>
      </c>
      <c r="AA10" s="15" t="s">
        <v>724</v>
      </c>
      <c r="AB10" s="15"/>
      <c r="AC10" s="15"/>
      <c r="AD10" s="15" t="s">
        <v>733</v>
      </c>
      <c r="AE10" s="332" t="s">
        <v>1095</v>
      </c>
      <c r="AF10" s="15" t="s">
        <v>1096</v>
      </c>
      <c r="AG10" s="15" t="s">
        <v>1115</v>
      </c>
      <c r="AH10" s="332"/>
      <c r="AI10" s="332" t="s">
        <v>1101</v>
      </c>
      <c r="AJ10" s="333">
        <f>PRODUCT(6,10)</f>
        <v>60</v>
      </c>
      <c r="AK10" s="559">
        <f>PRODUCT(6,10)</f>
        <v>60</v>
      </c>
      <c r="AL10" s="560">
        <f>AK10/AJ10</f>
        <v>1</v>
      </c>
      <c r="AM10" s="15" t="s">
        <v>1102</v>
      </c>
      <c r="AN10" s="15"/>
      <c r="AO10" s="15"/>
      <c r="AP10" s="15"/>
      <c r="AQ10" s="15"/>
      <c r="AR10" s="4"/>
      <c r="AS10" s="4"/>
      <c r="AT10" s="4"/>
      <c r="AU10" s="4"/>
      <c r="AV10" s="13"/>
      <c r="AW10" s="4"/>
      <c r="AX10" s="4"/>
      <c r="AY10" s="4"/>
      <c r="AZ10" s="4"/>
      <c r="BA10" s="4" t="s">
        <v>796</v>
      </c>
      <c r="BB10" s="4" t="s">
        <v>110</v>
      </c>
      <c r="BC10" s="4"/>
      <c r="BD10" s="54"/>
      <c r="BE10" s="54"/>
      <c r="BF10" s="4"/>
      <c r="BG10" s="4"/>
      <c r="BH10" s="4"/>
      <c r="BI10" s="561" t="s">
        <v>1095</v>
      </c>
      <c r="BJ10" s="561" t="s">
        <v>1115</v>
      </c>
      <c r="BK10" s="15" t="s">
        <v>1096</v>
      </c>
      <c r="BL10" s="561" t="s">
        <v>1230</v>
      </c>
      <c r="BM10" s="6" t="s">
        <v>1259</v>
      </c>
      <c r="BN10" s="60">
        <v>20</v>
      </c>
      <c r="BO10" s="46">
        <v>20</v>
      </c>
      <c r="BP10" s="47"/>
      <c r="BQ10" s="6" t="s">
        <v>1257</v>
      </c>
      <c r="BR10" s="20" t="s">
        <v>1355</v>
      </c>
      <c r="BS10" s="6" t="s">
        <v>1261</v>
      </c>
      <c r="BT10" s="6" t="s">
        <v>1262</v>
      </c>
      <c r="BU10" s="6">
        <v>2011</v>
      </c>
      <c r="BV10" s="96"/>
      <c r="BW10" s="6"/>
      <c r="BX10" s="64"/>
      <c r="BY10" s="6"/>
      <c r="BZ10" s="561"/>
      <c r="CA10" s="15"/>
      <c r="CB10" s="15"/>
      <c r="CC10" s="15"/>
      <c r="CD10" s="437"/>
      <c r="CE10" s="437"/>
      <c r="CF10" s="15"/>
      <c r="CG10" s="15"/>
      <c r="CH10" s="15"/>
      <c r="CI10" s="15"/>
      <c r="CJ10" s="15"/>
      <c r="CK10" s="15"/>
      <c r="CL10" s="15"/>
      <c r="CM10" s="15"/>
      <c r="CN10" s="15"/>
      <c r="CO10" s="15"/>
      <c r="CP10" s="336"/>
      <c r="CQ10" s="15"/>
      <c r="CR10" s="15"/>
      <c r="CS10" s="432"/>
      <c r="CT10" s="15"/>
      <c r="CU10" s="15"/>
      <c r="CV10" s="15"/>
      <c r="CW10" s="15" t="s">
        <v>1443</v>
      </c>
      <c r="CX10" s="15" t="s">
        <v>110</v>
      </c>
      <c r="CY10" s="15"/>
      <c r="CZ10" s="15" t="s">
        <v>1444</v>
      </c>
      <c r="DA10" s="15" t="s">
        <v>1445</v>
      </c>
      <c r="DB10" s="15" t="s">
        <v>1446</v>
      </c>
      <c r="DC10" s="15">
        <f>2*2.5</f>
        <v>5</v>
      </c>
      <c r="DD10" s="15">
        <v>1</v>
      </c>
      <c r="DE10" s="15"/>
      <c r="DF10" s="15"/>
      <c r="DG10" s="15"/>
      <c r="DH10" s="15"/>
      <c r="DI10" s="15"/>
      <c r="DJ10" s="15"/>
      <c r="DK10" s="15"/>
      <c r="DL10" s="15"/>
      <c r="DM10" s="15"/>
      <c r="DN10" s="15"/>
      <c r="DO10" s="15"/>
      <c r="DP10" s="15"/>
      <c r="DQ10" s="341"/>
      <c r="DR10" s="15"/>
      <c r="DS10" s="15"/>
      <c r="DT10" s="15"/>
      <c r="DU10" s="340"/>
      <c r="DV10" s="340"/>
      <c r="DW10" s="15"/>
      <c r="DX10" s="4"/>
      <c r="DY10" s="4"/>
      <c r="DZ10" s="4"/>
      <c r="EA10" s="4"/>
      <c r="EB10" s="4"/>
      <c r="EC10" s="4"/>
      <c r="ED10" s="4"/>
      <c r="EE10" s="4"/>
      <c r="EF10" s="4"/>
      <c r="EG10" s="4"/>
      <c r="EH10" s="4"/>
      <c r="EI10" s="4"/>
      <c r="EJ10" s="4"/>
      <c r="EK10" s="4"/>
      <c r="EL10" s="4"/>
      <c r="EM10" s="4"/>
      <c r="EN10" s="4"/>
      <c r="EO10" s="4"/>
      <c r="EP10" s="15"/>
      <c r="EQ10" s="15"/>
      <c r="ER10" s="15"/>
      <c r="ES10" s="15"/>
      <c r="ET10" s="336"/>
      <c r="EU10" s="15"/>
      <c r="EV10" s="15"/>
      <c r="EW10" s="15"/>
      <c r="EX10" s="15" t="s">
        <v>478</v>
      </c>
      <c r="EY10" s="15"/>
      <c r="EZ10" s="15"/>
      <c r="FA10" s="15"/>
      <c r="FB10" s="15"/>
      <c r="FC10" s="336"/>
      <c r="FD10" s="336"/>
      <c r="FE10" s="336"/>
      <c r="FF10" s="15" t="s">
        <v>1602</v>
      </c>
      <c r="FG10" s="15" t="s">
        <v>1660</v>
      </c>
      <c r="FH10" s="15"/>
      <c r="FI10" s="15"/>
      <c r="FJ10" s="15"/>
      <c r="FK10" s="15"/>
      <c r="FL10" s="15"/>
      <c r="FM10" s="15"/>
      <c r="FN10" s="15"/>
      <c r="FO10" s="15"/>
      <c r="FP10" s="15"/>
      <c r="FQ10" s="15"/>
      <c r="FR10" s="15" t="s">
        <v>1692</v>
      </c>
      <c r="FS10" s="338" t="s">
        <v>1701</v>
      </c>
      <c r="FT10" s="330"/>
      <c r="FU10" s="15"/>
      <c r="FV10" s="336"/>
      <c r="FW10" s="336"/>
      <c r="FX10" s="15" t="s">
        <v>1828</v>
      </c>
      <c r="FY10" s="15"/>
      <c r="FZ10" s="15"/>
      <c r="GA10" s="15"/>
      <c r="GB10" s="15"/>
      <c r="GC10" s="15"/>
      <c r="GD10" s="339"/>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v>1</v>
      </c>
      <c r="HI10" s="15"/>
      <c r="HJ10" s="15">
        <v>2</v>
      </c>
      <c r="HK10" s="15"/>
      <c r="HL10" s="15"/>
      <c r="HM10" s="15"/>
      <c r="HN10" s="15"/>
      <c r="HO10" s="15"/>
      <c r="HP10" s="15"/>
      <c r="HQ10" s="15"/>
      <c r="HR10" s="15"/>
      <c r="HS10" s="15" t="s">
        <v>1207</v>
      </c>
      <c r="HT10" s="15"/>
      <c r="HU10" s="15" t="s">
        <v>1207</v>
      </c>
      <c r="HV10" s="15"/>
      <c r="HW10" s="15"/>
      <c r="HX10" s="15"/>
      <c r="HY10" s="15"/>
      <c r="HZ10" s="15"/>
      <c r="IA10" s="15"/>
      <c r="IB10" s="15"/>
      <c r="IC10" s="15"/>
      <c r="ID10" s="15"/>
      <c r="IE10" s="329"/>
      <c r="IF10" s="15"/>
      <c r="IG10" s="15" t="s">
        <v>1896</v>
      </c>
      <c r="IH10" s="154" t="s">
        <v>2716</v>
      </c>
      <c r="II10" s="15"/>
      <c r="IJ10" s="15"/>
      <c r="IK10" s="15"/>
      <c r="IL10" s="15"/>
      <c r="IM10" s="15"/>
      <c r="IN10" s="15"/>
      <c r="IO10" s="15"/>
      <c r="IP10" s="15"/>
      <c r="IQ10" s="15"/>
      <c r="IR10" s="15"/>
      <c r="IS10" s="15"/>
      <c r="IT10" s="336"/>
      <c r="IU10" s="15"/>
      <c r="IV10" s="15"/>
    </row>
    <row r="11" spans="1:256" s="337" customFormat="1" ht="12.75" customHeight="1">
      <c r="C11" s="563" t="s">
        <v>61</v>
      </c>
      <c r="D11" s="15" t="s">
        <v>62</v>
      </c>
      <c r="E11" s="15" t="s">
        <v>55</v>
      </c>
      <c r="J11" s="154"/>
      <c r="K11" s="15" t="s">
        <v>56</v>
      </c>
      <c r="L11" s="15" t="s">
        <v>57</v>
      </c>
      <c r="M11" s="15"/>
      <c r="N11" s="15"/>
      <c r="O11" s="15" t="s">
        <v>58</v>
      </c>
      <c r="P11" s="15" t="s">
        <v>741</v>
      </c>
      <c r="Q11" s="329">
        <v>20271</v>
      </c>
      <c r="R11" s="330">
        <v>61</v>
      </c>
      <c r="S11" s="4" t="s">
        <v>18</v>
      </c>
      <c r="T11" s="15"/>
      <c r="U11" s="331" t="s">
        <v>742</v>
      </c>
      <c r="V11" s="15" t="s">
        <v>707</v>
      </c>
      <c r="W11" s="15" t="s">
        <v>743</v>
      </c>
      <c r="X11" s="15" t="s">
        <v>708</v>
      </c>
      <c r="Y11" s="15" t="s">
        <v>732</v>
      </c>
      <c r="Z11" s="15" t="s">
        <v>744</v>
      </c>
      <c r="AA11" s="15" t="s">
        <v>724</v>
      </c>
      <c r="AB11" s="15"/>
      <c r="AC11" s="15"/>
      <c r="AD11" s="15" t="s">
        <v>746</v>
      </c>
      <c r="AE11" s="15" t="s">
        <v>1095</v>
      </c>
      <c r="AF11" s="15" t="s">
        <v>1117</v>
      </c>
      <c r="AG11" s="15" t="s">
        <v>1118</v>
      </c>
      <c r="AH11" s="332"/>
      <c r="AI11" s="15" t="s">
        <v>1116</v>
      </c>
      <c r="AJ11" s="333">
        <v>80</v>
      </c>
      <c r="AK11" s="559"/>
      <c r="AL11" s="560">
        <v>1</v>
      </c>
      <c r="AM11" s="15" t="s">
        <v>1113</v>
      </c>
      <c r="AN11" s="15"/>
      <c r="AO11" s="15"/>
      <c r="AP11" s="15"/>
      <c r="AQ11" s="15"/>
      <c r="AR11" s="4"/>
      <c r="AS11" s="4"/>
      <c r="AT11" s="4"/>
      <c r="AU11" s="4"/>
      <c r="AV11" s="13" t="s">
        <v>1208</v>
      </c>
      <c r="AW11" s="4"/>
      <c r="AX11" s="4"/>
      <c r="AY11" s="4"/>
      <c r="AZ11" s="4"/>
      <c r="BA11" s="4"/>
      <c r="BB11" s="4"/>
      <c r="BC11" s="4" t="s">
        <v>110</v>
      </c>
      <c r="BD11" s="54"/>
      <c r="BE11" s="54"/>
      <c r="BF11" s="4"/>
      <c r="BG11" s="4"/>
      <c r="BH11" s="4"/>
      <c r="BI11" s="15" t="s">
        <v>1095</v>
      </c>
      <c r="BJ11" s="15" t="s">
        <v>1266</v>
      </c>
      <c r="BK11" s="15" t="s">
        <v>1131</v>
      </c>
      <c r="BL11" s="15" t="s">
        <v>1230</v>
      </c>
      <c r="BM11" s="4" t="s">
        <v>1259</v>
      </c>
      <c r="BN11" s="57">
        <v>80</v>
      </c>
      <c r="BO11" s="39">
        <v>25</v>
      </c>
      <c r="BP11" s="40"/>
      <c r="BQ11" s="4" t="s">
        <v>1268</v>
      </c>
      <c r="BR11" s="20" t="s">
        <v>1355</v>
      </c>
      <c r="BS11" s="4" t="s">
        <v>1267</v>
      </c>
      <c r="BT11" s="4" t="s">
        <v>1247</v>
      </c>
      <c r="BU11" s="4">
        <v>2016</v>
      </c>
      <c r="BV11" s="95">
        <v>50000</v>
      </c>
      <c r="BW11" s="4" t="s">
        <v>1207</v>
      </c>
      <c r="BX11" s="54">
        <v>80000</v>
      </c>
      <c r="BY11" s="4"/>
      <c r="BZ11" s="15"/>
      <c r="CA11" s="15"/>
      <c r="CB11" s="15"/>
      <c r="CC11" s="15"/>
      <c r="CD11" s="437"/>
      <c r="CE11" s="437"/>
      <c r="CF11" s="15"/>
      <c r="CG11" s="15"/>
      <c r="CH11" s="15"/>
      <c r="CI11" s="15"/>
      <c r="CJ11" s="15"/>
      <c r="CK11" s="15"/>
      <c r="CL11" s="15"/>
      <c r="CM11" s="15"/>
      <c r="CN11" s="15"/>
      <c r="CO11" s="15"/>
      <c r="CP11" s="336"/>
      <c r="CQ11" s="15"/>
      <c r="CR11" s="15"/>
      <c r="CS11" s="432"/>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341"/>
      <c r="DR11" s="15"/>
      <c r="DS11" s="15"/>
      <c r="DT11" s="15"/>
      <c r="DU11" s="340"/>
      <c r="DV11" s="340"/>
      <c r="DW11" s="15"/>
      <c r="DX11" s="4"/>
      <c r="DY11" s="4"/>
      <c r="DZ11" s="4"/>
      <c r="EA11" s="4"/>
      <c r="EB11" s="4"/>
      <c r="EC11" s="4"/>
      <c r="ED11" s="4"/>
      <c r="EE11" s="4"/>
      <c r="EF11" s="4"/>
      <c r="EG11" s="4"/>
      <c r="EH11" s="4"/>
      <c r="EI11" s="4"/>
      <c r="EJ11" s="4"/>
      <c r="EK11" s="4"/>
      <c r="EL11" s="4"/>
      <c r="EM11" s="4"/>
      <c r="EN11" s="4"/>
      <c r="EO11" s="4"/>
      <c r="EP11" s="15"/>
      <c r="EQ11" s="15"/>
      <c r="ER11" s="15"/>
      <c r="ES11" s="15"/>
      <c r="ET11" s="336"/>
      <c r="EU11" s="15"/>
      <c r="EV11" s="15"/>
      <c r="EW11" s="15"/>
      <c r="EX11" s="15" t="s">
        <v>478</v>
      </c>
      <c r="EY11" s="15">
        <v>1</v>
      </c>
      <c r="EZ11" s="15"/>
      <c r="FA11" s="15"/>
      <c r="FB11" s="15"/>
      <c r="FC11" s="336"/>
      <c r="FD11" s="336"/>
      <c r="FE11" s="336"/>
      <c r="FF11" s="15" t="s">
        <v>1602</v>
      </c>
      <c r="FG11" s="15" t="s">
        <v>1660</v>
      </c>
      <c r="FH11" s="15"/>
      <c r="FI11" s="15"/>
      <c r="FJ11" s="15"/>
      <c r="FK11" s="15"/>
      <c r="FL11" s="15"/>
      <c r="FM11" s="15"/>
      <c r="FN11" s="15"/>
      <c r="FO11" s="15"/>
      <c r="FP11" s="15"/>
      <c r="FQ11" s="15"/>
      <c r="FR11" s="15"/>
      <c r="FS11" s="338"/>
      <c r="FT11" s="330"/>
      <c r="FU11" s="15"/>
      <c r="FV11" s="336"/>
      <c r="FW11" s="336"/>
      <c r="FX11" s="15" t="s">
        <v>1828</v>
      </c>
      <c r="FY11" s="15"/>
      <c r="FZ11" s="15"/>
      <c r="GA11" s="15"/>
      <c r="GB11" s="15"/>
      <c r="GC11" s="15"/>
      <c r="GD11" s="339"/>
      <c r="GE11" s="15"/>
      <c r="GF11" s="15"/>
      <c r="GG11" s="15"/>
      <c r="GH11" s="15"/>
      <c r="GI11" s="15"/>
      <c r="GJ11" s="15"/>
      <c r="GK11" s="15"/>
      <c r="GL11" s="15"/>
      <c r="GM11" s="15"/>
      <c r="GN11" s="15"/>
      <c r="GO11" s="15"/>
      <c r="GP11" s="15"/>
      <c r="GQ11" s="15"/>
      <c r="GR11" s="15"/>
      <c r="GS11" s="15"/>
      <c r="GT11" s="15"/>
      <c r="GU11" s="15"/>
      <c r="GV11" s="15"/>
      <c r="GW11" s="15"/>
      <c r="GX11" s="15"/>
      <c r="GY11" s="15" t="s">
        <v>1207</v>
      </c>
      <c r="GZ11" s="15" t="s">
        <v>1798</v>
      </c>
      <c r="HA11" s="15"/>
      <c r="HB11" s="15"/>
      <c r="HC11" s="15"/>
      <c r="HD11" s="15"/>
      <c r="HE11" s="15"/>
      <c r="HF11" s="15"/>
      <c r="HG11" s="15"/>
      <c r="HH11" s="15">
        <v>1</v>
      </c>
      <c r="HI11" s="15"/>
      <c r="HJ11" s="15"/>
      <c r="HK11" s="15"/>
      <c r="HL11" s="15"/>
      <c r="HM11" s="15"/>
      <c r="HN11" s="15"/>
      <c r="HO11" s="15"/>
      <c r="HP11" s="15"/>
      <c r="HQ11" s="15"/>
      <c r="HR11" s="15"/>
      <c r="HS11" s="15" t="s">
        <v>1207</v>
      </c>
      <c r="HT11" s="15" t="s">
        <v>1207</v>
      </c>
      <c r="HU11" s="15"/>
      <c r="HV11" s="15"/>
      <c r="HW11" s="15"/>
      <c r="HX11" s="15"/>
      <c r="HY11" s="15"/>
      <c r="HZ11" s="15"/>
      <c r="IA11" s="15"/>
      <c r="IB11" s="15"/>
      <c r="IC11" s="15"/>
      <c r="ID11" s="15"/>
      <c r="IE11" s="329"/>
      <c r="IF11" s="15"/>
      <c r="IG11" s="15"/>
      <c r="IH11" s="15"/>
      <c r="II11" s="15"/>
      <c r="IJ11" s="15"/>
      <c r="IK11" s="15"/>
      <c r="IL11" s="15"/>
      <c r="IM11" s="15"/>
      <c r="IN11" s="15"/>
      <c r="IO11" s="15"/>
      <c r="IP11" s="15"/>
      <c r="IQ11" s="15"/>
      <c r="IR11" s="15"/>
      <c r="IS11" s="15"/>
      <c r="IT11" s="336"/>
      <c r="IU11" s="15"/>
      <c r="IV11" s="15"/>
    </row>
    <row r="12" spans="1:256" s="11" customFormat="1" ht="12.75" customHeight="1">
      <c r="A12" s="19"/>
      <c r="B12" s="19"/>
      <c r="C12" s="188" t="s">
        <v>115</v>
      </c>
      <c r="D12" s="4" t="s">
        <v>116</v>
      </c>
      <c r="E12" s="4" t="s">
        <v>5412</v>
      </c>
      <c r="F12" s="4" t="s">
        <v>20</v>
      </c>
      <c r="G12" s="4" t="s">
        <v>18</v>
      </c>
      <c r="H12" s="4"/>
      <c r="I12" s="5" t="s">
        <v>118</v>
      </c>
      <c r="J12" s="14" t="s">
        <v>119</v>
      </c>
      <c r="K12" s="4" t="s">
        <v>120</v>
      </c>
      <c r="L12" s="4" t="s">
        <v>121</v>
      </c>
      <c r="M12" s="4"/>
      <c r="N12" s="4"/>
      <c r="O12" s="4" t="s">
        <v>122</v>
      </c>
      <c r="P12" s="4" t="s">
        <v>761</v>
      </c>
      <c r="Q12" s="24">
        <v>21767</v>
      </c>
      <c r="R12" s="25">
        <v>57</v>
      </c>
      <c r="S12" s="4" t="s">
        <v>18</v>
      </c>
      <c r="T12" s="4"/>
      <c r="U12" s="26" t="s">
        <v>118</v>
      </c>
      <c r="V12" s="4" t="s">
        <v>707</v>
      </c>
      <c r="W12" s="4" t="s">
        <v>117</v>
      </c>
      <c r="X12" s="4" t="s">
        <v>708</v>
      </c>
      <c r="Y12" s="4" t="s">
        <v>709</v>
      </c>
      <c r="Z12" s="4" t="s">
        <v>762</v>
      </c>
      <c r="AA12" s="4" t="s">
        <v>724</v>
      </c>
      <c r="AB12" s="4" t="s">
        <v>716</v>
      </c>
      <c r="AC12" s="4"/>
      <c r="AD12" s="4" t="s">
        <v>763</v>
      </c>
      <c r="AE12" s="4" t="s">
        <v>1095</v>
      </c>
      <c r="AF12" s="4" t="s">
        <v>1096</v>
      </c>
      <c r="AG12" s="10" t="s">
        <v>1130</v>
      </c>
      <c r="AH12" s="158"/>
      <c r="AI12" s="4" t="s">
        <v>1097</v>
      </c>
      <c r="AJ12" s="122"/>
      <c r="AK12" s="39">
        <v>75</v>
      </c>
      <c r="AL12" s="42"/>
      <c r="AM12" s="4" t="s">
        <v>1098</v>
      </c>
      <c r="AN12" s="4"/>
      <c r="AO12" s="4"/>
      <c r="AP12" s="4"/>
      <c r="AQ12" s="4" t="s">
        <v>1207</v>
      </c>
      <c r="AR12" s="4" t="s">
        <v>1208</v>
      </c>
      <c r="AS12" s="4"/>
      <c r="AT12" s="4"/>
      <c r="AU12" s="4"/>
      <c r="AV12" s="13"/>
      <c r="AW12" s="4"/>
      <c r="AX12" s="4"/>
      <c r="AY12" s="4"/>
      <c r="AZ12" s="4"/>
      <c r="BA12" s="4" t="s">
        <v>853</v>
      </c>
      <c r="BB12" s="4" t="s">
        <v>1207</v>
      </c>
      <c r="BC12" s="4"/>
      <c r="BD12" s="54"/>
      <c r="BE12" s="54"/>
      <c r="BF12" s="4"/>
      <c r="BG12" s="4"/>
      <c r="BH12" s="4"/>
      <c r="BI12" s="4" t="s">
        <v>1095</v>
      </c>
      <c r="BJ12" s="4" t="s">
        <v>1279</v>
      </c>
      <c r="BK12" s="4" t="s">
        <v>1096</v>
      </c>
      <c r="BL12" s="4" t="s">
        <v>1230</v>
      </c>
      <c r="BM12" s="4"/>
      <c r="BN12" s="57"/>
      <c r="BO12" s="39">
        <v>3.5</v>
      </c>
      <c r="BP12" s="40"/>
      <c r="BQ12" s="4"/>
      <c r="BR12" s="4"/>
      <c r="BS12" s="4"/>
      <c r="BT12" s="4"/>
      <c r="BU12" s="4"/>
      <c r="BV12" s="95"/>
      <c r="BW12" s="54"/>
      <c r="BX12" s="54"/>
      <c r="BY12" s="4"/>
      <c r="BZ12" s="4" t="s">
        <v>1207</v>
      </c>
      <c r="CA12" s="4" t="s">
        <v>1462</v>
      </c>
      <c r="CB12" s="4">
        <v>1981</v>
      </c>
      <c r="CC12" s="4"/>
      <c r="CD12" s="67">
        <v>0.45</v>
      </c>
      <c r="CE12" s="111">
        <v>3</v>
      </c>
      <c r="CF12" s="4"/>
      <c r="CG12" s="4" t="s">
        <v>5647</v>
      </c>
      <c r="CH12" s="4" t="s">
        <v>1463</v>
      </c>
      <c r="CI12" s="4">
        <v>1</v>
      </c>
      <c r="CJ12" s="4"/>
      <c r="CK12" s="4" t="s">
        <v>1464</v>
      </c>
      <c r="CL12" s="4"/>
      <c r="CM12" s="4" t="s">
        <v>1257</v>
      </c>
      <c r="CN12" s="4"/>
      <c r="CO12" s="4"/>
      <c r="CP12" s="54"/>
      <c r="CQ12" s="4"/>
      <c r="CR12" s="4"/>
      <c r="CS12" s="129"/>
      <c r="CT12" s="4"/>
      <c r="CU12" s="4"/>
      <c r="CV12" s="4"/>
      <c r="CW12" s="4"/>
      <c r="CX12" s="4"/>
      <c r="CY12" s="66"/>
      <c r="CZ12" s="4"/>
      <c r="DA12" s="4"/>
      <c r="DB12" s="4"/>
      <c r="DC12" s="36"/>
      <c r="DD12" s="4"/>
      <c r="DE12" s="4"/>
      <c r="DF12" s="4"/>
      <c r="DG12" s="4"/>
      <c r="DH12" s="4"/>
      <c r="DI12" s="4"/>
      <c r="DJ12" s="4"/>
      <c r="DK12" s="4"/>
      <c r="DL12" s="44"/>
      <c r="DM12" s="4"/>
      <c r="DN12" s="4"/>
      <c r="DO12" s="4"/>
      <c r="DP12" s="4"/>
      <c r="DQ12" s="59"/>
      <c r="DR12" s="4"/>
      <c r="DS12" s="4"/>
      <c r="DT12" s="4"/>
      <c r="DU12" s="66"/>
      <c r="DV12" s="66"/>
      <c r="DW12" s="4"/>
      <c r="DX12" s="4"/>
      <c r="DY12" s="4"/>
      <c r="DZ12" s="4"/>
      <c r="EA12" s="4"/>
      <c r="EB12" s="4"/>
      <c r="EC12" s="4"/>
      <c r="ED12" s="4"/>
      <c r="EE12" s="4"/>
      <c r="EF12" s="4"/>
      <c r="EG12" s="4"/>
      <c r="EH12" s="4"/>
      <c r="EI12" s="4"/>
      <c r="EJ12" s="4"/>
      <c r="EK12" s="4"/>
      <c r="EL12" s="4"/>
      <c r="EM12" s="4"/>
      <c r="EN12" s="14"/>
      <c r="EO12" s="4"/>
      <c r="EP12" s="4"/>
      <c r="EQ12" s="4"/>
      <c r="ER12" s="4"/>
      <c r="ES12" s="4"/>
      <c r="ET12" s="54"/>
      <c r="EU12" s="4"/>
      <c r="EV12" s="4"/>
      <c r="EW12" s="4"/>
      <c r="EX12" s="4" t="s">
        <v>478</v>
      </c>
      <c r="EY12" s="4">
        <v>1</v>
      </c>
      <c r="EZ12" s="4"/>
      <c r="FA12" s="4"/>
      <c r="FB12" s="4"/>
      <c r="FC12" s="54"/>
      <c r="FD12" s="54"/>
      <c r="FE12" s="54"/>
      <c r="FF12" s="4" t="s">
        <v>1600</v>
      </c>
      <c r="FG12" s="4" t="s">
        <v>1642</v>
      </c>
      <c r="FH12" s="4" t="s">
        <v>1207</v>
      </c>
      <c r="FI12" s="4"/>
      <c r="FJ12" s="4"/>
      <c r="FK12" s="4"/>
      <c r="FL12" s="4"/>
      <c r="FM12" s="4"/>
      <c r="FN12" s="4"/>
      <c r="FO12" s="4"/>
      <c r="FP12" s="4"/>
      <c r="FQ12" s="4"/>
      <c r="FR12" s="4" t="s">
        <v>853</v>
      </c>
      <c r="FS12" s="75" t="s">
        <v>1706</v>
      </c>
      <c r="FT12" s="25" t="s">
        <v>1707</v>
      </c>
      <c r="FU12" s="4" t="s">
        <v>1698</v>
      </c>
      <c r="FV12" s="54"/>
      <c r="FW12" s="54"/>
      <c r="FX12" s="4"/>
      <c r="FY12" s="4"/>
      <c r="FZ12" s="4"/>
      <c r="GA12" s="4"/>
      <c r="GB12" s="4"/>
      <c r="GC12" s="4"/>
      <c r="GD12" s="82"/>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v>1</v>
      </c>
      <c r="HJ12" s="4"/>
      <c r="HK12" s="4"/>
      <c r="HL12" s="4"/>
      <c r="HM12" s="4"/>
      <c r="HN12" s="4"/>
      <c r="HO12" s="4"/>
      <c r="HP12" s="4"/>
      <c r="HQ12" s="4"/>
      <c r="HR12" s="4"/>
      <c r="HS12" s="4" t="s">
        <v>1207</v>
      </c>
      <c r="HT12" s="4" t="s">
        <v>1207</v>
      </c>
      <c r="HU12" s="4"/>
      <c r="HV12" s="4"/>
      <c r="HW12" s="4"/>
      <c r="HX12" s="4"/>
      <c r="HY12" s="4"/>
      <c r="HZ12" s="4" t="s">
        <v>1904</v>
      </c>
      <c r="IA12" s="4" t="s">
        <v>1888</v>
      </c>
      <c r="IB12" s="4" t="s">
        <v>761</v>
      </c>
      <c r="IC12" s="4" t="s">
        <v>110</v>
      </c>
      <c r="ID12" s="4" t="s">
        <v>761</v>
      </c>
      <c r="IE12" s="24">
        <v>21767</v>
      </c>
      <c r="IF12" s="4" t="s">
        <v>478</v>
      </c>
      <c r="IG12" s="4" t="s">
        <v>1905</v>
      </c>
      <c r="IH12" s="4" t="s">
        <v>1900</v>
      </c>
      <c r="II12" s="4" t="s">
        <v>1883</v>
      </c>
      <c r="IJ12" s="4"/>
      <c r="IK12" s="4"/>
      <c r="IL12" s="4"/>
      <c r="IM12" s="4" t="s">
        <v>761</v>
      </c>
      <c r="IN12" s="4"/>
      <c r="IO12" s="4" t="s">
        <v>118</v>
      </c>
      <c r="IP12" s="4"/>
      <c r="IQ12" s="4" t="s">
        <v>1880</v>
      </c>
      <c r="IR12" s="4"/>
      <c r="IS12" s="4"/>
      <c r="IT12" s="54"/>
      <c r="IU12" s="4"/>
      <c r="IV12" s="4"/>
    </row>
    <row r="13" spans="1:256" s="11" customFormat="1" ht="12.75" customHeight="1">
      <c r="A13" s="19"/>
      <c r="B13" s="19"/>
      <c r="C13" s="7"/>
      <c r="D13" s="19"/>
      <c r="E13" s="7"/>
      <c r="F13" s="7"/>
      <c r="G13" s="7"/>
      <c r="H13" s="19"/>
      <c r="I13" s="8"/>
      <c r="J13" s="19" t="str">
        <f ca="1">IF(F13="Head",CELL("contents",D13),"")</f>
        <v/>
      </c>
      <c r="K13" s="7"/>
      <c r="L13" s="7"/>
      <c r="M13" s="7"/>
      <c r="N13" s="7"/>
      <c r="O13" s="7"/>
      <c r="P13" s="7"/>
      <c r="Q13" s="29"/>
      <c r="R13" s="30"/>
      <c r="S13" s="7"/>
      <c r="T13" s="7"/>
      <c r="U13" s="31"/>
      <c r="V13" s="7"/>
      <c r="W13" s="7"/>
      <c r="X13" s="7"/>
      <c r="Y13" s="7"/>
      <c r="Z13" s="7"/>
      <c r="AA13" s="7"/>
      <c r="AB13" s="7"/>
      <c r="AC13" s="7"/>
      <c r="AD13" s="7"/>
      <c r="AE13" s="7"/>
      <c r="AF13" s="7"/>
      <c r="AG13" s="7"/>
      <c r="AH13" s="7"/>
      <c r="AI13" s="7"/>
      <c r="AJ13" s="122"/>
      <c r="AK13" s="41"/>
      <c r="AL13" s="52"/>
      <c r="AM13" s="20"/>
      <c r="AN13" s="20"/>
      <c r="AO13" s="20"/>
      <c r="AP13" s="20"/>
      <c r="AQ13" s="7"/>
      <c r="AR13" s="7"/>
      <c r="AS13" s="7"/>
      <c r="AT13" s="7"/>
      <c r="AU13" s="7"/>
      <c r="AV13" s="7"/>
      <c r="AW13" s="7"/>
      <c r="AX13" s="7"/>
      <c r="AY13" s="7"/>
      <c r="AZ13" s="7"/>
      <c r="BA13" s="7"/>
      <c r="BB13" s="7"/>
      <c r="BC13" s="7"/>
      <c r="BD13" s="55"/>
      <c r="BE13" s="55"/>
      <c r="BF13" s="7"/>
      <c r="BG13" s="7"/>
      <c r="BH13" s="7"/>
      <c r="BI13" s="7"/>
      <c r="BJ13" s="7"/>
      <c r="BK13" s="7"/>
      <c r="BL13" s="7"/>
      <c r="BM13" s="7"/>
      <c r="BN13" s="61"/>
      <c r="BO13" s="62"/>
      <c r="BP13" s="50"/>
      <c r="BQ13" s="20"/>
      <c r="BR13" s="7"/>
      <c r="BS13" s="7"/>
      <c r="BT13" s="7"/>
      <c r="BU13" s="7"/>
      <c r="BV13" s="55"/>
      <c r="BW13" s="7"/>
      <c r="BX13" s="55"/>
      <c r="BY13" s="7"/>
      <c r="BZ13" s="7"/>
      <c r="CA13" s="7"/>
      <c r="CB13" s="7"/>
      <c r="CC13" s="55"/>
      <c r="CD13" s="104"/>
      <c r="CE13" s="105"/>
      <c r="CF13" s="7"/>
      <c r="CG13" s="7"/>
      <c r="CH13" s="7"/>
      <c r="CI13" s="7"/>
      <c r="CJ13" s="7"/>
      <c r="CK13" s="7"/>
      <c r="CL13" s="7"/>
      <c r="CM13" s="7"/>
      <c r="CN13" s="7"/>
      <c r="CO13" s="7"/>
      <c r="CP13" s="55"/>
      <c r="CQ13" s="7"/>
      <c r="CR13" s="7"/>
      <c r="CS13" s="130"/>
      <c r="CT13" s="7"/>
      <c r="CU13" s="7"/>
      <c r="CV13" s="7"/>
      <c r="CW13" s="7"/>
      <c r="CX13" s="7"/>
      <c r="CY13" s="73"/>
      <c r="CZ13" s="7"/>
      <c r="DA13" s="7"/>
      <c r="DB13" s="7"/>
      <c r="DC13" s="48"/>
      <c r="DD13" s="7"/>
      <c r="DE13" s="7"/>
      <c r="DF13" s="7"/>
      <c r="DG13" s="7"/>
      <c r="DH13" s="7"/>
      <c r="DI13" s="7"/>
      <c r="DJ13" s="7"/>
      <c r="DK13" s="7"/>
      <c r="DL13" s="74"/>
      <c r="DM13" s="7"/>
      <c r="DN13" s="7"/>
      <c r="DO13" s="7"/>
      <c r="DP13" s="7"/>
      <c r="DQ13" s="58"/>
      <c r="DR13" s="7"/>
      <c r="DS13" s="7"/>
      <c r="DT13" s="7"/>
      <c r="DU13" s="73"/>
      <c r="DV13" s="73"/>
      <c r="DW13" s="152"/>
      <c r="DX13" s="7"/>
      <c r="DY13" s="7"/>
      <c r="DZ13" s="7"/>
      <c r="EA13" s="7"/>
      <c r="EB13" s="7"/>
      <c r="EC13" s="7"/>
      <c r="ED13" s="7"/>
      <c r="EE13" s="7"/>
      <c r="EF13" s="7"/>
      <c r="EG13" s="7"/>
      <c r="EH13" s="7"/>
      <c r="EI13" s="7"/>
      <c r="EJ13" s="7"/>
      <c r="EK13" s="7"/>
      <c r="EL13" s="7"/>
      <c r="EM13" s="7"/>
      <c r="EN13" s="19"/>
      <c r="EO13" s="7"/>
      <c r="EP13" s="7"/>
      <c r="EQ13" s="7"/>
      <c r="ER13" s="7"/>
      <c r="ES13" s="7"/>
      <c r="ET13" s="55"/>
      <c r="EU13" s="7"/>
      <c r="EV13" s="7"/>
      <c r="EW13" s="7"/>
      <c r="EX13" s="7"/>
      <c r="EY13" s="7"/>
      <c r="EZ13" s="7"/>
      <c r="FA13" s="7"/>
      <c r="FB13" s="7"/>
      <c r="FC13" s="55"/>
      <c r="FD13" s="55"/>
      <c r="FE13" s="55"/>
      <c r="FF13" s="7"/>
      <c r="FG13" s="7"/>
      <c r="FH13" s="7"/>
      <c r="FI13" s="7"/>
      <c r="FJ13" s="7"/>
      <c r="FK13" s="7"/>
      <c r="FL13" s="7"/>
      <c r="FM13" s="7"/>
      <c r="FN13" s="7"/>
      <c r="FO13" s="7"/>
      <c r="FP13" s="7"/>
      <c r="FQ13" s="7"/>
      <c r="FR13" s="7"/>
      <c r="FS13" s="77"/>
      <c r="FT13" s="30"/>
      <c r="FU13" s="7"/>
      <c r="FV13" s="55"/>
      <c r="FW13" s="55"/>
      <c r="FX13" s="7"/>
      <c r="FY13" s="7"/>
      <c r="FZ13" s="7"/>
      <c r="GA13" s="7"/>
      <c r="GB13" s="7"/>
      <c r="GC13" s="7"/>
      <c r="GD13" s="103"/>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29"/>
      <c r="IF13" s="7"/>
      <c r="IG13" s="7"/>
      <c r="IH13" s="7"/>
      <c r="II13" s="7"/>
      <c r="IJ13" s="7"/>
      <c r="IK13" s="7"/>
      <c r="IL13" s="7"/>
      <c r="IM13" s="7"/>
      <c r="IN13" s="7"/>
      <c r="IO13" s="7"/>
      <c r="IP13" s="7"/>
      <c r="IQ13" s="7"/>
      <c r="IR13" s="7"/>
      <c r="IS13" s="7"/>
      <c r="IT13" s="55"/>
      <c r="IU13" s="7"/>
      <c r="IV13" s="7"/>
    </row>
    <row r="14" spans="1:256" s="11" customFormat="1" ht="12.75" customHeight="1">
      <c r="A14" s="19"/>
      <c r="B14" s="19"/>
      <c r="C14" s="439" t="s">
        <v>5387</v>
      </c>
      <c r="D14" s="7">
        <f>COUNTIF(SurveyDATA!E105:E130,"*Abangan Norte*")</f>
        <v>3</v>
      </c>
      <c r="E14" s="7"/>
      <c r="F14" s="7"/>
      <c r="G14" s="7"/>
      <c r="H14" s="19"/>
      <c r="I14" s="8"/>
      <c r="J14" s="19"/>
      <c r="K14" s="7"/>
      <c r="L14" s="7"/>
      <c r="M14" s="7"/>
      <c r="N14" s="7"/>
      <c r="O14" s="7"/>
      <c r="P14" s="7"/>
      <c r="Q14" s="29"/>
      <c r="R14" s="30"/>
      <c r="S14" s="7"/>
      <c r="T14" s="7"/>
      <c r="U14" s="31"/>
      <c r="V14" s="7"/>
      <c r="W14" s="7"/>
      <c r="X14" s="7"/>
      <c r="Y14" s="7"/>
      <c r="Z14" s="7"/>
      <c r="AA14" s="7"/>
      <c r="AB14" s="7"/>
      <c r="AC14" s="7"/>
      <c r="AD14" s="7"/>
      <c r="AE14" s="7"/>
      <c r="AF14" s="7"/>
      <c r="AG14" s="7"/>
      <c r="AH14" s="7"/>
      <c r="AI14" s="7"/>
      <c r="AJ14" s="122"/>
      <c r="AK14" s="41"/>
      <c r="AL14" s="52"/>
      <c r="AM14" s="20"/>
      <c r="AN14" s="20"/>
      <c r="AO14" s="20"/>
      <c r="AP14" s="20"/>
      <c r="AQ14" s="7"/>
      <c r="AR14" s="7"/>
      <c r="AS14" s="7"/>
      <c r="AT14" s="7"/>
      <c r="AU14" s="7"/>
      <c r="AV14" s="7"/>
      <c r="AW14" s="7"/>
      <c r="AX14" s="7"/>
      <c r="AY14" s="7"/>
      <c r="AZ14" s="7"/>
      <c r="BA14" s="7"/>
      <c r="BB14" s="7"/>
      <c r="BC14" s="7"/>
      <c r="BD14" s="55"/>
      <c r="BE14" s="55"/>
      <c r="BF14" s="7"/>
      <c r="BG14" s="7"/>
      <c r="BH14" s="7"/>
      <c r="BI14" s="7"/>
      <c r="BJ14" s="7"/>
      <c r="BK14" s="7"/>
      <c r="BL14" s="7"/>
      <c r="BM14" s="7"/>
      <c r="BN14" s="61"/>
      <c r="BO14" s="62"/>
      <c r="BP14" s="50"/>
      <c r="BQ14" s="20"/>
      <c r="BR14" s="7"/>
      <c r="BS14" s="7"/>
      <c r="BT14" s="7"/>
      <c r="BU14" s="7"/>
      <c r="BV14" s="55"/>
      <c r="BW14" s="7"/>
      <c r="BX14" s="55"/>
      <c r="BY14" s="7"/>
      <c r="BZ14" s="7"/>
      <c r="CA14" s="7"/>
      <c r="CB14" s="7"/>
      <c r="CC14" s="55"/>
      <c r="CD14" s="104"/>
      <c r="CE14" s="105"/>
      <c r="CF14" s="7"/>
      <c r="CG14" s="7"/>
      <c r="CH14" s="7"/>
      <c r="CI14" s="7"/>
      <c r="CJ14" s="7"/>
      <c r="CK14" s="7"/>
      <c r="CL14" s="7"/>
      <c r="CM14" s="7"/>
      <c r="CN14" s="7"/>
      <c r="CO14" s="7"/>
      <c r="CP14" s="55"/>
      <c r="CQ14" s="7"/>
      <c r="CR14" s="7"/>
      <c r="CS14" s="130"/>
      <c r="CT14" s="7"/>
      <c r="CU14" s="7"/>
      <c r="CV14" s="7"/>
      <c r="CW14" s="7"/>
      <c r="CX14" s="7"/>
      <c r="CY14" s="73"/>
      <c r="CZ14" s="7"/>
      <c r="DA14" s="7"/>
      <c r="DB14" s="7"/>
      <c r="DC14" s="48"/>
      <c r="DD14" s="7"/>
      <c r="DE14" s="7"/>
      <c r="DF14" s="7"/>
      <c r="DG14" s="7"/>
      <c r="DH14" s="7"/>
      <c r="DI14" s="7"/>
      <c r="DJ14" s="7"/>
      <c r="DK14" s="7"/>
      <c r="DL14" s="74"/>
      <c r="DM14" s="7"/>
      <c r="DN14" s="7"/>
      <c r="DO14" s="7"/>
      <c r="DP14" s="7"/>
      <c r="DQ14" s="58"/>
      <c r="DR14" s="7"/>
      <c r="DS14" s="7"/>
      <c r="DT14" s="7"/>
      <c r="DU14" s="73"/>
      <c r="DV14" s="73"/>
      <c r="DW14" s="152"/>
      <c r="DX14" s="7"/>
      <c r="DY14" s="7"/>
      <c r="DZ14" s="7"/>
      <c r="EA14" s="7"/>
      <c r="EB14" s="7"/>
      <c r="EC14" s="7"/>
      <c r="ED14" s="7"/>
      <c r="EE14" s="7"/>
      <c r="EF14" s="7"/>
      <c r="EG14" s="7"/>
      <c r="EH14" s="7"/>
      <c r="EI14" s="7"/>
      <c r="EJ14" s="7"/>
      <c r="EK14" s="7"/>
      <c r="EL14" s="7"/>
      <c r="EM14" s="7"/>
      <c r="EN14" s="19"/>
      <c r="EO14" s="7"/>
      <c r="EP14" s="7"/>
      <c r="EQ14" s="7"/>
      <c r="ER14" s="7"/>
      <c r="ES14" s="7"/>
      <c r="ET14" s="55"/>
      <c r="EU14" s="7"/>
      <c r="EV14" s="7"/>
      <c r="EW14" s="7"/>
      <c r="EX14" s="7"/>
      <c r="EY14" s="7"/>
      <c r="EZ14" s="7"/>
      <c r="FA14" s="7"/>
      <c r="FB14" s="7"/>
      <c r="FC14" s="55"/>
      <c r="FD14" s="55"/>
      <c r="FE14" s="55"/>
      <c r="FF14" s="7"/>
      <c r="FG14" s="7"/>
      <c r="FH14" s="7"/>
      <c r="FI14" s="7"/>
      <c r="FJ14" s="7"/>
      <c r="FK14" s="7"/>
      <c r="FL14" s="7"/>
      <c r="FM14" s="7"/>
      <c r="FN14" s="7"/>
      <c r="FO14" s="7"/>
      <c r="FP14" s="7"/>
      <c r="FQ14" s="7"/>
      <c r="FR14" s="7"/>
      <c r="FS14" s="77"/>
      <c r="FT14" s="30"/>
      <c r="FU14" s="7"/>
      <c r="FV14" s="55"/>
      <c r="FW14" s="55"/>
      <c r="FX14" s="7"/>
      <c r="FY14" s="7"/>
      <c r="FZ14" s="7"/>
      <c r="GA14" s="7"/>
      <c r="GB14" s="7"/>
      <c r="GC14" s="7"/>
      <c r="GD14" s="103"/>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29"/>
      <c r="IF14" s="7"/>
      <c r="IG14" s="7"/>
      <c r="IH14" s="7"/>
      <c r="II14" s="7"/>
      <c r="IJ14" s="7"/>
      <c r="IK14" s="7"/>
      <c r="IL14" s="7"/>
      <c r="IM14" s="7"/>
      <c r="IN14" s="7"/>
      <c r="IO14" s="7"/>
      <c r="IP14" s="7"/>
      <c r="IQ14" s="7"/>
      <c r="IR14" s="7"/>
      <c r="IS14" s="7"/>
      <c r="IT14" s="55"/>
      <c r="IU14" s="7"/>
      <c r="IV14" s="7"/>
    </row>
    <row r="15" spans="1:256" s="11" customFormat="1" ht="12.75" customHeight="1">
      <c r="A15" s="19"/>
      <c r="B15" s="19"/>
      <c r="C15" s="439" t="s">
        <v>5388</v>
      </c>
      <c r="D15" s="7">
        <f>COUNTIF(SurveyDATA!E105:E130,"*Saog*")</f>
        <v>20</v>
      </c>
      <c r="E15" s="7"/>
      <c r="F15" s="7"/>
      <c r="G15" s="7"/>
      <c r="H15" s="19"/>
      <c r="I15" s="8"/>
      <c r="J15" s="19"/>
      <c r="K15" s="7"/>
      <c r="L15" s="7"/>
      <c r="M15" s="7"/>
      <c r="N15" s="7"/>
      <c r="O15" s="7"/>
      <c r="P15" s="7"/>
      <c r="Q15" s="29"/>
      <c r="R15" s="30"/>
      <c r="S15" s="7"/>
      <c r="T15" s="7"/>
      <c r="U15" s="31"/>
      <c r="V15" s="7"/>
      <c r="W15" s="7"/>
      <c r="X15" s="7"/>
      <c r="Y15" s="7"/>
      <c r="Z15" s="7"/>
      <c r="AA15" s="7"/>
      <c r="AB15" s="7"/>
      <c r="AC15" s="7"/>
      <c r="AD15" s="7"/>
      <c r="AE15" s="7"/>
      <c r="AF15" s="7"/>
      <c r="AG15" s="7"/>
      <c r="AH15" s="7"/>
      <c r="AI15" s="7"/>
      <c r="AJ15" s="122"/>
      <c r="AK15" s="41"/>
      <c r="AL15" s="52"/>
      <c r="AM15" s="20"/>
      <c r="AN15" s="20"/>
      <c r="AO15" s="20"/>
      <c r="AP15" s="20"/>
      <c r="AQ15" s="7"/>
      <c r="AR15" s="7"/>
      <c r="AS15" s="7"/>
      <c r="AT15" s="7"/>
      <c r="AU15" s="7"/>
      <c r="AV15" s="7"/>
      <c r="AW15" s="7"/>
      <c r="AX15" s="7"/>
      <c r="AY15" s="7"/>
      <c r="AZ15" s="7"/>
      <c r="BA15" s="7"/>
      <c r="BB15" s="7"/>
      <c r="BC15" s="7"/>
      <c r="BD15" s="55"/>
      <c r="BE15" s="55"/>
      <c r="BF15" s="7"/>
      <c r="BG15" s="7"/>
      <c r="BH15" s="7"/>
      <c r="BI15" s="7"/>
      <c r="BJ15" s="7"/>
      <c r="BK15" s="7"/>
      <c r="BL15" s="7"/>
      <c r="BM15" s="7"/>
      <c r="BN15" s="61"/>
      <c r="BO15" s="62"/>
      <c r="BP15" s="50"/>
      <c r="BQ15" s="20"/>
      <c r="BR15" s="7"/>
      <c r="BS15" s="7"/>
      <c r="BT15" s="7"/>
      <c r="BU15" s="7"/>
      <c r="BV15" s="55"/>
      <c r="BW15" s="7"/>
      <c r="BX15" s="55"/>
      <c r="BY15" s="7"/>
      <c r="BZ15" s="7"/>
      <c r="CA15" s="7"/>
      <c r="CB15" s="7"/>
      <c r="CC15" s="55"/>
      <c r="CD15" s="104"/>
      <c r="CE15" s="105"/>
      <c r="CF15" s="7"/>
      <c r="CG15" s="7"/>
      <c r="CH15" s="7"/>
      <c r="CI15" s="7"/>
      <c r="CJ15" s="7"/>
      <c r="CK15" s="7"/>
      <c r="CL15" s="7"/>
      <c r="CM15" s="7"/>
      <c r="CN15" s="7"/>
      <c r="CO15" s="7"/>
      <c r="CP15" s="55"/>
      <c r="CQ15" s="7"/>
      <c r="CR15" s="7"/>
      <c r="CS15" s="130"/>
      <c r="CT15" s="7"/>
      <c r="CU15" s="7"/>
      <c r="CV15" s="7"/>
      <c r="CW15" s="7"/>
      <c r="CX15" s="7"/>
      <c r="CY15" s="73"/>
      <c r="CZ15" s="7"/>
      <c r="DA15" s="7"/>
      <c r="DB15" s="7"/>
      <c r="DC15" s="48"/>
      <c r="DD15" s="7"/>
      <c r="DE15" s="7"/>
      <c r="DF15" s="7"/>
      <c r="DG15" s="7"/>
      <c r="DH15" s="7"/>
      <c r="DI15" s="7"/>
      <c r="DJ15" s="7"/>
      <c r="DK15" s="7"/>
      <c r="DL15" s="74"/>
      <c r="DM15" s="7"/>
      <c r="DN15" s="7"/>
      <c r="DO15" s="7"/>
      <c r="DP15" s="7"/>
      <c r="DQ15" s="58"/>
      <c r="DR15" s="7"/>
      <c r="DS15" s="7"/>
      <c r="DT15" s="7"/>
      <c r="DU15" s="73"/>
      <c r="DV15" s="73"/>
      <c r="DW15" s="152"/>
      <c r="DX15" s="7"/>
      <c r="DY15" s="7"/>
      <c r="DZ15" s="7"/>
      <c r="EA15" s="7"/>
      <c r="EB15" s="7"/>
      <c r="EC15" s="7"/>
      <c r="ED15" s="7"/>
      <c r="EE15" s="7"/>
      <c r="EF15" s="7"/>
      <c r="EG15" s="7"/>
      <c r="EH15" s="7"/>
      <c r="EI15" s="7"/>
      <c r="EJ15" s="7"/>
      <c r="EK15" s="7"/>
      <c r="EL15" s="7"/>
      <c r="EM15" s="7"/>
      <c r="EN15" s="19"/>
      <c r="EO15" s="7"/>
      <c r="EP15" s="7"/>
      <c r="EQ15" s="7"/>
      <c r="ER15" s="7"/>
      <c r="ES15" s="7"/>
      <c r="ET15" s="55"/>
      <c r="EU15" s="7"/>
      <c r="EV15" s="7"/>
      <c r="EW15" s="7"/>
      <c r="EX15" s="7"/>
      <c r="EY15" s="7"/>
      <c r="EZ15" s="7"/>
      <c r="FA15" s="7"/>
      <c r="FB15" s="7"/>
      <c r="FC15" s="55"/>
      <c r="FD15" s="55"/>
      <c r="FE15" s="55"/>
      <c r="FF15" s="7"/>
      <c r="FG15" s="7"/>
      <c r="FH15" s="7"/>
      <c r="FI15" s="7"/>
      <c r="FJ15" s="7"/>
      <c r="FK15" s="7"/>
      <c r="FL15" s="7"/>
      <c r="FM15" s="7"/>
      <c r="FN15" s="7"/>
      <c r="FO15" s="7"/>
      <c r="FP15" s="7"/>
      <c r="FQ15" s="7"/>
      <c r="FR15" s="7"/>
      <c r="FS15" s="77"/>
      <c r="FT15" s="30"/>
      <c r="FU15" s="7"/>
      <c r="FV15" s="55"/>
      <c r="FW15" s="55"/>
      <c r="FX15" s="7"/>
      <c r="FY15" s="7"/>
      <c r="FZ15" s="7"/>
      <c r="GA15" s="7"/>
      <c r="GB15" s="7"/>
      <c r="GC15" s="7"/>
      <c r="GD15" s="103"/>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29"/>
      <c r="IF15" s="7"/>
      <c r="IG15" s="7"/>
      <c r="IH15" s="7"/>
      <c r="II15" s="7"/>
      <c r="IJ15" s="7"/>
      <c r="IK15" s="7"/>
      <c r="IL15" s="7"/>
      <c r="IM15" s="7"/>
      <c r="IN15" s="7"/>
      <c r="IO15" s="7"/>
      <c r="IP15" s="7"/>
      <c r="IQ15" s="7"/>
      <c r="IR15" s="7"/>
      <c r="IS15" s="7"/>
      <c r="IT15" s="55"/>
      <c r="IU15" s="7"/>
      <c r="IV15" s="7"/>
    </row>
    <row r="16" spans="1:256" s="11" customFormat="1" ht="12.75" customHeight="1">
      <c r="A16" s="19"/>
      <c r="B16" s="19"/>
      <c r="C16" s="439" t="s">
        <v>5489</v>
      </c>
      <c r="D16" s="7">
        <f>COUNTIF(SurveyDATA!E105:E130,"*Ibayo*")</f>
        <v>3</v>
      </c>
      <c r="E16" s="7"/>
      <c r="F16" s="7"/>
      <c r="G16" s="7"/>
      <c r="H16" s="19"/>
      <c r="I16" s="8"/>
      <c r="J16" s="19"/>
      <c r="K16" s="7"/>
      <c r="L16" s="7"/>
      <c r="M16" s="7"/>
      <c r="N16" s="7"/>
      <c r="O16" s="7"/>
      <c r="P16" s="7"/>
      <c r="Q16" s="29"/>
      <c r="R16" s="30"/>
      <c r="S16" s="7"/>
      <c r="T16" s="7"/>
      <c r="U16" s="31"/>
      <c r="V16" s="7"/>
      <c r="W16" s="7"/>
      <c r="X16" s="7"/>
      <c r="Y16" s="7"/>
      <c r="Z16" s="7"/>
      <c r="AA16" s="7"/>
      <c r="AB16" s="7"/>
      <c r="AC16" s="7"/>
      <c r="AD16" s="7"/>
      <c r="AE16" s="7"/>
      <c r="AF16" s="7"/>
      <c r="AG16" s="7"/>
      <c r="AH16" s="7"/>
      <c r="AI16" s="7"/>
      <c r="AJ16" s="122"/>
      <c r="AK16" s="41"/>
      <c r="AL16" s="52"/>
      <c r="AM16" s="20"/>
      <c r="AN16" s="20"/>
      <c r="AO16" s="20"/>
      <c r="AP16" s="20"/>
      <c r="AQ16" s="7"/>
      <c r="AR16" s="7"/>
      <c r="AS16" s="7"/>
      <c r="AT16" s="7"/>
      <c r="AU16" s="7"/>
      <c r="AV16" s="7"/>
      <c r="AW16" s="7"/>
      <c r="AX16" s="7"/>
      <c r="AY16" s="7"/>
      <c r="AZ16" s="7"/>
      <c r="BA16" s="7"/>
      <c r="BB16" s="7"/>
      <c r="BC16" s="7"/>
      <c r="BD16" s="55"/>
      <c r="BE16" s="55"/>
      <c r="BF16" s="7"/>
      <c r="BG16" s="7"/>
      <c r="BH16" s="7"/>
      <c r="BI16" s="7"/>
      <c r="BJ16" s="7"/>
      <c r="BK16" s="7"/>
      <c r="BL16" s="7"/>
      <c r="BM16" s="7"/>
      <c r="BN16" s="61"/>
      <c r="BO16" s="62"/>
      <c r="BP16" s="50"/>
      <c r="BQ16" s="20"/>
      <c r="BR16" s="7"/>
      <c r="BS16" s="7"/>
      <c r="BT16" s="7"/>
      <c r="BU16" s="7"/>
      <c r="BV16" s="55"/>
      <c r="BW16" s="7"/>
      <c r="BX16" s="55"/>
      <c r="BY16" s="7"/>
      <c r="BZ16" s="7"/>
      <c r="CA16" s="7"/>
      <c r="CB16" s="7"/>
      <c r="CC16" s="55"/>
      <c r="CD16" s="104"/>
      <c r="CE16" s="105"/>
      <c r="CF16" s="7"/>
      <c r="CG16" s="7"/>
      <c r="CH16" s="7"/>
      <c r="CI16" s="7"/>
      <c r="CJ16" s="7"/>
      <c r="CK16" s="7"/>
      <c r="CL16" s="7"/>
      <c r="CM16" s="7"/>
      <c r="CN16" s="7"/>
      <c r="CO16" s="7"/>
      <c r="CP16" s="55"/>
      <c r="CQ16" s="7"/>
      <c r="CR16" s="7"/>
      <c r="CS16" s="130"/>
      <c r="CT16" s="7"/>
      <c r="CU16" s="7"/>
      <c r="CV16" s="7"/>
      <c r="CW16" s="7"/>
      <c r="CX16" s="7"/>
      <c r="CY16" s="73"/>
      <c r="CZ16" s="7"/>
      <c r="DA16" s="7"/>
      <c r="DB16" s="7"/>
      <c r="DC16" s="48"/>
      <c r="DD16" s="7"/>
      <c r="DE16" s="7"/>
      <c r="DF16" s="7"/>
      <c r="DG16" s="7"/>
      <c r="DH16" s="7"/>
      <c r="DI16" s="7"/>
      <c r="DJ16" s="7"/>
      <c r="DK16" s="7"/>
      <c r="DL16" s="74"/>
      <c r="DM16" s="7"/>
      <c r="DN16" s="7"/>
      <c r="DO16" s="7"/>
      <c r="DP16" s="7"/>
      <c r="DQ16" s="58"/>
      <c r="DR16" s="7"/>
      <c r="DS16" s="7"/>
      <c r="DT16" s="7"/>
      <c r="DU16" s="73"/>
      <c r="DV16" s="73"/>
      <c r="DW16" s="152"/>
      <c r="DX16" s="7"/>
      <c r="DY16" s="7"/>
      <c r="DZ16" s="7"/>
      <c r="EA16" s="7"/>
      <c r="EB16" s="7"/>
      <c r="EC16" s="7"/>
      <c r="ED16" s="7"/>
      <c r="EE16" s="7"/>
      <c r="EF16" s="7"/>
      <c r="EG16" s="7"/>
      <c r="EH16" s="7"/>
      <c r="EI16" s="7"/>
      <c r="EJ16" s="7"/>
      <c r="EK16" s="7"/>
      <c r="EL16" s="7"/>
      <c r="EM16" s="7"/>
      <c r="EN16" s="19"/>
      <c r="EO16" s="7"/>
      <c r="EP16" s="7"/>
      <c r="EQ16" s="7"/>
      <c r="ER16" s="7"/>
      <c r="ES16" s="7"/>
      <c r="ET16" s="55"/>
      <c r="EU16" s="7"/>
      <c r="EV16" s="7"/>
      <c r="EW16" s="7"/>
      <c r="EX16" s="7"/>
      <c r="EY16" s="7"/>
      <c r="EZ16" s="7"/>
      <c r="FA16" s="7"/>
      <c r="FB16" s="7"/>
      <c r="FC16" s="55"/>
      <c r="FD16" s="55"/>
      <c r="FE16" s="55"/>
      <c r="FF16" s="7"/>
      <c r="FG16" s="7"/>
      <c r="FH16" s="7"/>
      <c r="FI16" s="7"/>
      <c r="FJ16" s="7"/>
      <c r="FK16" s="7"/>
      <c r="FL16" s="7"/>
      <c r="FM16" s="7"/>
      <c r="FN16" s="7"/>
      <c r="FO16" s="7"/>
      <c r="FP16" s="7"/>
      <c r="FQ16" s="7"/>
      <c r="FR16" s="7"/>
      <c r="FS16" s="77"/>
      <c r="FT16" s="30"/>
      <c r="FU16" s="7"/>
      <c r="FV16" s="55"/>
      <c r="FW16" s="55"/>
      <c r="FX16" s="7"/>
      <c r="FY16" s="7"/>
      <c r="FZ16" s="7"/>
      <c r="GA16" s="7"/>
      <c r="GB16" s="7"/>
      <c r="GC16" s="7"/>
      <c r="GD16" s="103"/>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29"/>
      <c r="IF16" s="7"/>
      <c r="IG16" s="7"/>
      <c r="IH16" s="7"/>
      <c r="II16" s="7"/>
      <c r="IJ16" s="7"/>
      <c r="IK16" s="7"/>
      <c r="IL16" s="7"/>
      <c r="IM16" s="7"/>
      <c r="IN16" s="7"/>
      <c r="IO16" s="7"/>
      <c r="IP16" s="7"/>
      <c r="IQ16" s="7"/>
      <c r="IR16" s="7"/>
      <c r="IS16" s="7"/>
      <c r="IT16" s="55"/>
      <c r="IU16" s="7"/>
      <c r="IV16" s="7"/>
    </row>
    <row r="17" spans="1:256" s="11" customFormat="1" ht="12.75" customHeight="1">
      <c r="A17" s="19"/>
      <c r="B17" s="19"/>
      <c r="C17" s="439"/>
      <c r="D17" s="19">
        <f>SUBTOTAL(9,D14:D16)</f>
        <v>26</v>
      </c>
      <c r="E17" s="7"/>
      <c r="F17" s="7"/>
      <c r="G17" s="7"/>
      <c r="H17" s="19"/>
      <c r="I17" s="8"/>
      <c r="J17" s="19"/>
      <c r="K17" s="7"/>
      <c r="L17" s="7"/>
      <c r="M17" s="7"/>
      <c r="N17" s="7"/>
      <c r="O17" s="7"/>
      <c r="P17" s="7"/>
      <c r="Q17" s="29"/>
      <c r="R17" s="30"/>
      <c r="S17" s="7"/>
      <c r="T17" s="7"/>
      <c r="U17" s="31"/>
      <c r="V17" s="7"/>
      <c r="W17" s="7"/>
      <c r="X17" s="7"/>
      <c r="Y17" s="7"/>
      <c r="Z17" s="7"/>
      <c r="AA17" s="7"/>
      <c r="AB17" s="7"/>
      <c r="AC17" s="7"/>
      <c r="AD17" s="7"/>
      <c r="AE17" s="7"/>
      <c r="AF17" s="7"/>
      <c r="AG17" s="7"/>
      <c r="AH17" s="7"/>
      <c r="AI17" s="7"/>
      <c r="AJ17" s="122"/>
      <c r="AK17" s="41"/>
      <c r="AL17" s="52"/>
      <c r="AM17" s="20"/>
      <c r="AN17" s="20"/>
      <c r="AO17" s="20"/>
      <c r="AP17" s="20"/>
      <c r="AQ17" s="7"/>
      <c r="AR17" s="7"/>
      <c r="AS17" s="7"/>
      <c r="AT17" s="7"/>
      <c r="AU17" s="7"/>
      <c r="AV17" s="7"/>
      <c r="AW17" s="7"/>
      <c r="AX17" s="7"/>
      <c r="AY17" s="7"/>
      <c r="AZ17" s="7"/>
      <c r="BA17" s="7"/>
      <c r="BB17" s="7"/>
      <c r="BC17" s="7"/>
      <c r="BD17" s="55"/>
      <c r="BE17" s="55"/>
      <c r="BF17" s="7"/>
      <c r="BG17" s="7"/>
      <c r="BH17" s="7"/>
      <c r="BI17" s="7"/>
      <c r="BJ17" s="7"/>
      <c r="BK17" s="7"/>
      <c r="BL17" s="7"/>
      <c r="BM17" s="7"/>
      <c r="BN17" s="61"/>
      <c r="BO17" s="62"/>
      <c r="BP17" s="50"/>
      <c r="BQ17" s="20"/>
      <c r="BR17" s="7"/>
      <c r="BS17" s="7"/>
      <c r="BT17" s="7"/>
      <c r="BU17" s="7"/>
      <c r="BV17" s="55"/>
      <c r="BW17" s="7"/>
      <c r="BX17" s="55"/>
      <c r="BY17" s="7"/>
      <c r="BZ17" s="7"/>
      <c r="CA17" s="7"/>
      <c r="CB17" s="7"/>
      <c r="CC17" s="55"/>
      <c r="CD17" s="104"/>
      <c r="CE17" s="105"/>
      <c r="CF17" s="7"/>
      <c r="CG17" s="7"/>
      <c r="CH17" s="7"/>
      <c r="CI17" s="7"/>
      <c r="CJ17" s="7"/>
      <c r="CK17" s="7"/>
      <c r="CL17" s="7"/>
      <c r="CM17" s="7"/>
      <c r="CN17" s="7"/>
      <c r="CO17" s="7"/>
      <c r="CP17" s="55"/>
      <c r="CQ17" s="7"/>
      <c r="CR17" s="7"/>
      <c r="CS17" s="130"/>
      <c r="CT17" s="7"/>
      <c r="CU17" s="7"/>
      <c r="CV17" s="7"/>
      <c r="CW17" s="7"/>
      <c r="CX17" s="7"/>
      <c r="CY17" s="73"/>
      <c r="CZ17" s="7"/>
      <c r="DA17" s="7"/>
      <c r="DB17" s="7"/>
      <c r="DC17" s="48"/>
      <c r="DD17" s="7"/>
      <c r="DE17" s="7"/>
      <c r="DF17" s="7"/>
      <c r="DG17" s="7"/>
      <c r="DH17" s="7"/>
      <c r="DI17" s="7"/>
      <c r="DJ17" s="7"/>
      <c r="DK17" s="7"/>
      <c r="DL17" s="74"/>
      <c r="DM17" s="7"/>
      <c r="DN17" s="7"/>
      <c r="DO17" s="7"/>
      <c r="DP17" s="7"/>
      <c r="DQ17" s="58"/>
      <c r="DR17" s="7"/>
      <c r="DS17" s="7"/>
      <c r="DT17" s="7"/>
      <c r="DU17" s="73"/>
      <c r="DV17" s="73"/>
      <c r="DW17" s="152"/>
      <c r="DX17" s="7"/>
      <c r="DY17" s="7"/>
      <c r="DZ17" s="7"/>
      <c r="EA17" s="7"/>
      <c r="EB17" s="7"/>
      <c r="EC17" s="7"/>
      <c r="ED17" s="7"/>
      <c r="EE17" s="7"/>
      <c r="EF17" s="7"/>
      <c r="EG17" s="7"/>
      <c r="EH17" s="7"/>
      <c r="EI17" s="7"/>
      <c r="EJ17" s="7"/>
      <c r="EK17" s="7"/>
      <c r="EL17" s="7"/>
      <c r="EM17" s="7"/>
      <c r="EN17" s="19"/>
      <c r="EO17" s="7"/>
      <c r="EP17" s="7"/>
      <c r="EQ17" s="7"/>
      <c r="ER17" s="7"/>
      <c r="ES17" s="7"/>
      <c r="ET17" s="55"/>
      <c r="EU17" s="7"/>
      <c r="EV17" s="7"/>
      <c r="EW17" s="7"/>
      <c r="EX17" s="7"/>
      <c r="EY17" s="7"/>
      <c r="EZ17" s="7"/>
      <c r="FA17" s="7"/>
      <c r="FB17" s="7"/>
      <c r="FC17" s="55"/>
      <c r="FD17" s="55"/>
      <c r="FE17" s="55"/>
      <c r="FF17" s="7"/>
      <c r="FG17" s="7"/>
      <c r="FH17" s="7"/>
      <c r="FI17" s="7"/>
      <c r="FJ17" s="7"/>
      <c r="FK17" s="7"/>
      <c r="FL17" s="7"/>
      <c r="FM17" s="7"/>
      <c r="FN17" s="7"/>
      <c r="FO17" s="7"/>
      <c r="FP17" s="7"/>
      <c r="FQ17" s="7"/>
      <c r="FR17" s="7"/>
      <c r="FS17" s="77"/>
      <c r="FT17" s="30"/>
      <c r="FU17" s="7"/>
      <c r="FV17" s="55"/>
      <c r="FW17" s="55"/>
      <c r="FX17" s="7"/>
      <c r="FY17" s="7"/>
      <c r="FZ17" s="7"/>
      <c r="GA17" s="7"/>
      <c r="GB17" s="7"/>
      <c r="GC17" s="7"/>
      <c r="GD17" s="103"/>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29"/>
      <c r="IF17" s="7"/>
      <c r="IG17" s="7"/>
      <c r="IH17" s="7"/>
      <c r="II17" s="7"/>
      <c r="IJ17" s="7"/>
      <c r="IK17" s="7"/>
      <c r="IL17" s="7"/>
      <c r="IM17" s="7"/>
      <c r="IN17" s="7"/>
      <c r="IO17" s="7"/>
      <c r="IP17" s="7"/>
      <c r="IQ17" s="7"/>
      <c r="IR17" s="7"/>
      <c r="IS17" s="7"/>
      <c r="IT17" s="55"/>
      <c r="IU17" s="7"/>
      <c r="IV17" s="7"/>
    </row>
    <row r="18" spans="1:256" s="337" customFormat="1" ht="12.75" customHeight="1">
      <c r="C18" s="165" t="s">
        <v>140</v>
      </c>
      <c r="D18" s="15" t="s">
        <v>141</v>
      </c>
      <c r="E18" s="15" t="s">
        <v>134</v>
      </c>
      <c r="F18" s="15" t="s">
        <v>28</v>
      </c>
      <c r="G18" s="15" t="s">
        <v>10</v>
      </c>
      <c r="H18" s="15"/>
      <c r="I18" s="328"/>
      <c r="J18" s="15" t="s">
        <v>141</v>
      </c>
      <c r="K18" s="15" t="s">
        <v>138</v>
      </c>
      <c r="L18" s="15" t="s">
        <v>135</v>
      </c>
      <c r="M18" s="15"/>
      <c r="N18" s="15"/>
      <c r="O18" s="15" t="s">
        <v>136</v>
      </c>
      <c r="P18" s="15" t="s">
        <v>774</v>
      </c>
      <c r="Q18" s="329">
        <v>24403</v>
      </c>
      <c r="R18" s="330">
        <v>50</v>
      </c>
      <c r="S18" s="15" t="s">
        <v>10</v>
      </c>
      <c r="T18" s="15"/>
      <c r="U18" s="331" t="s">
        <v>775</v>
      </c>
      <c r="V18" s="15" t="s">
        <v>707</v>
      </c>
      <c r="W18" s="15" t="s">
        <v>776</v>
      </c>
      <c r="X18" s="15" t="s">
        <v>708</v>
      </c>
      <c r="Y18" s="15" t="s">
        <v>723</v>
      </c>
      <c r="Z18" s="15" t="s">
        <v>762</v>
      </c>
      <c r="AA18" s="15" t="s">
        <v>777</v>
      </c>
      <c r="AB18" s="15" t="s">
        <v>770</v>
      </c>
      <c r="AC18" s="15"/>
      <c r="AD18" s="15" t="s">
        <v>760</v>
      </c>
      <c r="AE18" s="15" t="s">
        <v>1095</v>
      </c>
      <c r="AF18" s="15" t="s">
        <v>1096</v>
      </c>
      <c r="AG18" s="15" t="s">
        <v>1134</v>
      </c>
      <c r="AH18" s="332"/>
      <c r="AI18" s="15" t="s">
        <v>1135</v>
      </c>
      <c r="AJ18" s="333" t="s">
        <v>1136</v>
      </c>
      <c r="AK18" s="334" t="s">
        <v>110</v>
      </c>
      <c r="AL18" s="335"/>
      <c r="AM18" s="15" t="s">
        <v>1109</v>
      </c>
      <c r="AN18" s="15"/>
      <c r="AO18" s="15"/>
      <c r="AP18" s="15"/>
      <c r="AQ18" s="332"/>
      <c r="AR18" s="332"/>
      <c r="AS18" s="332"/>
      <c r="AT18" s="332"/>
      <c r="AU18" s="332"/>
      <c r="AV18" s="332"/>
      <c r="AW18" s="332"/>
      <c r="AX18" s="332"/>
      <c r="AY18" s="332"/>
      <c r="AZ18" s="15"/>
      <c r="BA18" s="15"/>
      <c r="BB18" s="15"/>
      <c r="BC18" s="15"/>
      <c r="BD18" s="336"/>
      <c r="BE18" s="336"/>
      <c r="BF18" s="15"/>
      <c r="BG18" s="15"/>
      <c r="BH18" s="15"/>
      <c r="BI18" s="15" t="s">
        <v>1095</v>
      </c>
      <c r="BJ18" s="15" t="s">
        <v>1289</v>
      </c>
      <c r="BK18" s="15" t="s">
        <v>1096</v>
      </c>
      <c r="BL18" s="712" t="s">
        <v>1230</v>
      </c>
      <c r="BM18" s="15" t="s">
        <v>1252</v>
      </c>
      <c r="BN18" s="429">
        <v>39</v>
      </c>
      <c r="BO18" s="334">
        <v>9</v>
      </c>
      <c r="BP18" s="335"/>
      <c r="BQ18" s="15" t="s">
        <v>1242</v>
      </c>
      <c r="BR18" s="154" t="s">
        <v>1355</v>
      </c>
      <c r="BS18" s="15" t="s">
        <v>1290</v>
      </c>
      <c r="BT18" s="15" t="s">
        <v>1247</v>
      </c>
      <c r="BU18" s="15">
        <v>2010</v>
      </c>
      <c r="BV18" s="430">
        <v>70000</v>
      </c>
      <c r="BW18" s="15" t="s">
        <v>1207</v>
      </c>
      <c r="BX18" s="336">
        <v>100000</v>
      </c>
      <c r="BY18" s="15"/>
      <c r="BZ18" s="15"/>
      <c r="CA18" s="15"/>
      <c r="CB18" s="15"/>
      <c r="CC18" s="15"/>
      <c r="CD18" s="342"/>
      <c r="CE18" s="431"/>
      <c r="CF18" s="15"/>
      <c r="CG18" s="15"/>
      <c r="CH18" s="15"/>
      <c r="CI18" s="15"/>
      <c r="CJ18" s="15"/>
      <c r="CK18" s="15"/>
      <c r="CL18" s="15"/>
      <c r="CM18" s="15"/>
      <c r="CN18" s="15"/>
      <c r="CO18" s="15"/>
      <c r="CP18" s="336"/>
      <c r="CQ18" s="15"/>
      <c r="CR18" s="15"/>
      <c r="CS18" s="432"/>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341"/>
      <c r="DR18" s="15"/>
      <c r="DS18" s="15"/>
      <c r="DT18" s="15"/>
      <c r="DU18" s="340"/>
      <c r="DV18" s="340"/>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336"/>
      <c r="EU18" s="15"/>
      <c r="EV18" s="15"/>
      <c r="EW18" s="15"/>
      <c r="EX18" s="15" t="s">
        <v>478</v>
      </c>
      <c r="EY18" s="15">
        <v>1</v>
      </c>
      <c r="EZ18" s="15"/>
      <c r="FA18" s="437"/>
      <c r="FB18" s="15"/>
      <c r="FC18" s="336"/>
      <c r="FD18" s="336"/>
      <c r="FE18" s="336"/>
      <c r="FF18" s="15" t="s">
        <v>1600</v>
      </c>
      <c r="FG18" s="15" t="s">
        <v>1601</v>
      </c>
      <c r="FH18" s="15" t="s">
        <v>1207</v>
      </c>
      <c r="FI18" s="15"/>
      <c r="FJ18" s="15"/>
      <c r="FK18" s="15"/>
      <c r="FL18" s="15"/>
      <c r="FM18" s="15"/>
      <c r="FN18" s="15"/>
      <c r="FO18" s="15"/>
      <c r="FP18" s="15"/>
      <c r="FQ18" s="15"/>
      <c r="FR18" s="15" t="s">
        <v>796</v>
      </c>
      <c r="FS18" s="338" t="s">
        <v>1609</v>
      </c>
      <c r="FT18" s="330" t="s">
        <v>1709</v>
      </c>
      <c r="FU18" s="15" t="s">
        <v>1426</v>
      </c>
      <c r="FV18" s="336">
        <v>1400</v>
      </c>
      <c r="FW18" s="336">
        <f>PRODUCT(FV18,12)</f>
        <v>16800</v>
      </c>
      <c r="FX18" s="15" t="s">
        <v>1828</v>
      </c>
      <c r="FY18" s="15"/>
      <c r="FZ18" s="15"/>
      <c r="GA18" s="15"/>
      <c r="GB18" s="15"/>
      <c r="GC18" s="15"/>
      <c r="GD18" s="339"/>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t="s">
        <v>141</v>
      </c>
      <c r="HW18" s="15" t="s">
        <v>10</v>
      </c>
      <c r="HX18" s="15" t="s">
        <v>478</v>
      </c>
      <c r="HY18" s="15" t="s">
        <v>1608</v>
      </c>
      <c r="HZ18" s="15" t="s">
        <v>1835</v>
      </c>
      <c r="IA18" s="15" t="s">
        <v>1888</v>
      </c>
      <c r="IB18" s="15" t="s">
        <v>1609</v>
      </c>
      <c r="IC18" s="15"/>
      <c r="ID18" s="15" t="s">
        <v>1609</v>
      </c>
      <c r="IE18" s="329">
        <v>24403</v>
      </c>
      <c r="IF18" s="15" t="s">
        <v>478</v>
      </c>
      <c r="IG18" s="15" t="s">
        <v>1882</v>
      </c>
      <c r="IH18" s="154" t="s">
        <v>2716</v>
      </c>
      <c r="II18" s="15" t="s">
        <v>1917</v>
      </c>
      <c r="IJ18" s="15"/>
      <c r="IK18" s="15" t="s">
        <v>1208</v>
      </c>
      <c r="IL18" s="15"/>
      <c r="IM18" s="15" t="s">
        <v>141</v>
      </c>
      <c r="IN18" s="15"/>
      <c r="IO18" s="15" t="s">
        <v>775</v>
      </c>
      <c r="IP18" s="15"/>
      <c r="IQ18" s="15" t="s">
        <v>1886</v>
      </c>
      <c r="IR18" s="15"/>
      <c r="IS18" s="15"/>
      <c r="IT18" s="336">
        <v>1400</v>
      </c>
      <c r="IU18" s="15"/>
      <c r="IV18" s="15"/>
    </row>
    <row r="19" spans="1:256" s="337" customFormat="1" ht="12.75" customHeight="1">
      <c r="C19" s="165" t="s">
        <v>200</v>
      </c>
      <c r="D19" s="15"/>
      <c r="E19" s="332" t="s">
        <v>196</v>
      </c>
      <c r="F19" s="15"/>
      <c r="G19" s="15"/>
      <c r="H19" s="15"/>
      <c r="I19" s="328"/>
      <c r="J19" s="15"/>
      <c r="K19" s="15"/>
      <c r="L19" s="15"/>
      <c r="M19" s="15"/>
      <c r="N19" s="15"/>
      <c r="O19" s="15"/>
      <c r="P19" s="15" t="s">
        <v>811</v>
      </c>
      <c r="Q19" s="329">
        <v>17052</v>
      </c>
      <c r="R19" s="330">
        <v>70</v>
      </c>
      <c r="S19" s="4" t="s">
        <v>18</v>
      </c>
      <c r="T19" s="15"/>
      <c r="U19" s="331" t="s">
        <v>812</v>
      </c>
      <c r="V19" s="15" t="s">
        <v>783</v>
      </c>
      <c r="W19" s="15" t="s">
        <v>813</v>
      </c>
      <c r="X19" s="15" t="s">
        <v>708</v>
      </c>
      <c r="Y19" s="15" t="s">
        <v>709</v>
      </c>
      <c r="Z19" s="15" t="s">
        <v>814</v>
      </c>
      <c r="AA19" s="15"/>
      <c r="AB19" s="15" t="s">
        <v>711</v>
      </c>
      <c r="AC19" s="15"/>
      <c r="AD19" s="15"/>
      <c r="AE19" s="332"/>
      <c r="AF19" s="332"/>
      <c r="AG19" s="332"/>
      <c r="AH19" s="332"/>
      <c r="AI19" s="15"/>
      <c r="AJ19" s="333"/>
      <c r="AK19" s="334"/>
      <c r="AL19" s="335"/>
      <c r="AM19" s="15"/>
      <c r="AN19" s="15"/>
      <c r="AO19" s="15"/>
      <c r="AP19" s="15"/>
      <c r="AQ19" s="332"/>
      <c r="AR19" s="332"/>
      <c r="AS19" s="332"/>
      <c r="AT19" s="332"/>
      <c r="AU19" s="332"/>
      <c r="AV19" s="332"/>
      <c r="AW19" s="332"/>
      <c r="AX19" s="332"/>
      <c r="AY19" s="332"/>
      <c r="AZ19" s="15"/>
      <c r="BA19" s="15"/>
      <c r="BB19" s="15"/>
      <c r="BC19" s="15"/>
      <c r="BD19" s="336"/>
      <c r="BE19" s="336"/>
      <c r="BF19" s="15"/>
      <c r="BG19" s="15"/>
      <c r="BH19" s="15"/>
      <c r="BI19" s="332" t="s">
        <v>1095</v>
      </c>
      <c r="BJ19" s="332" t="s">
        <v>1303</v>
      </c>
      <c r="BK19" s="332" t="s">
        <v>1131</v>
      </c>
      <c r="BL19" s="15" t="s">
        <v>1299</v>
      </c>
      <c r="BM19" s="154"/>
      <c r="BN19" s="367"/>
      <c r="BO19" s="348"/>
      <c r="BP19" s="360"/>
      <c r="BQ19" s="154"/>
      <c r="BR19" s="154"/>
      <c r="BS19" s="154"/>
      <c r="BT19" s="154"/>
      <c r="BU19" s="15"/>
      <c r="BV19" s="430"/>
      <c r="BW19" s="15"/>
      <c r="BX19" s="336"/>
      <c r="BY19" s="15"/>
      <c r="BZ19" s="15"/>
      <c r="CA19" s="15"/>
      <c r="CB19" s="15"/>
      <c r="CC19" s="15"/>
      <c r="CD19" s="342"/>
      <c r="CE19" s="431"/>
      <c r="CF19" s="15"/>
      <c r="CG19" s="15"/>
      <c r="CH19" s="15"/>
      <c r="CI19" s="15"/>
      <c r="CJ19" s="15"/>
      <c r="CK19" s="15"/>
      <c r="CL19" s="15"/>
      <c r="CM19" s="15"/>
      <c r="CN19" s="15"/>
      <c r="CO19" s="15"/>
      <c r="CP19" s="336"/>
      <c r="CQ19" s="15"/>
      <c r="CR19" s="15"/>
      <c r="CS19" s="432"/>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341"/>
      <c r="DR19" s="15"/>
      <c r="DS19" s="15"/>
      <c r="DT19" s="15"/>
      <c r="DU19" s="340"/>
      <c r="DV19" s="340"/>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336"/>
      <c r="EU19" s="15"/>
      <c r="EV19" s="15"/>
      <c r="EW19" s="15"/>
      <c r="EX19" s="15"/>
      <c r="EY19" s="15"/>
      <c r="EZ19" s="15"/>
      <c r="FA19" s="437"/>
      <c r="FB19" s="15"/>
      <c r="FC19" s="336"/>
      <c r="FD19" s="336"/>
      <c r="FE19" s="336"/>
      <c r="FF19" s="15" t="s">
        <v>1602</v>
      </c>
      <c r="FG19" s="15" t="s">
        <v>1660</v>
      </c>
      <c r="FH19" s="15"/>
      <c r="FI19" s="15"/>
      <c r="FJ19" s="15"/>
      <c r="FK19" s="15"/>
      <c r="FL19" s="15"/>
      <c r="FM19" s="15"/>
      <c r="FN19" s="15"/>
      <c r="FO19" s="15"/>
      <c r="FP19" s="15"/>
      <c r="FQ19" s="15"/>
      <c r="FR19" s="15"/>
      <c r="FS19" s="338"/>
      <c r="FT19" s="330"/>
      <c r="FU19" s="15"/>
      <c r="FV19" s="336"/>
      <c r="FW19" s="336"/>
      <c r="FX19" s="15" t="s">
        <v>1828</v>
      </c>
      <c r="FY19" s="15"/>
      <c r="FZ19" s="15"/>
      <c r="GA19" s="15"/>
      <c r="GB19" s="15"/>
      <c r="GC19" s="15"/>
      <c r="GD19" s="339"/>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t="s">
        <v>1207</v>
      </c>
      <c r="HT19" s="15" t="s">
        <v>1207</v>
      </c>
      <c r="HU19" s="15"/>
      <c r="HV19" s="15" t="s">
        <v>1925</v>
      </c>
      <c r="HW19" s="15" t="s">
        <v>18</v>
      </c>
      <c r="HX19" s="15" t="s">
        <v>478</v>
      </c>
      <c r="HY19" s="15" t="s">
        <v>1926</v>
      </c>
      <c r="HZ19" s="15" t="s">
        <v>1835</v>
      </c>
      <c r="IA19" s="15" t="s">
        <v>1888</v>
      </c>
      <c r="IB19" s="15" t="s">
        <v>1616</v>
      </c>
      <c r="IC19" s="15"/>
      <c r="ID19" s="15" t="s">
        <v>1927</v>
      </c>
      <c r="IE19" s="329">
        <v>17052</v>
      </c>
      <c r="IF19" s="15"/>
      <c r="IG19" s="15" t="s">
        <v>1909</v>
      </c>
      <c r="IH19" s="154" t="s">
        <v>2716</v>
      </c>
      <c r="II19" s="15" t="s">
        <v>1883</v>
      </c>
      <c r="IJ19" s="15"/>
      <c r="IK19" s="15"/>
      <c r="IL19" s="15"/>
      <c r="IM19" s="15" t="s">
        <v>811</v>
      </c>
      <c r="IN19" s="15"/>
      <c r="IO19" s="15"/>
      <c r="IP19" s="15"/>
      <c r="IQ19" s="15"/>
      <c r="IR19" s="15"/>
      <c r="IS19" s="15"/>
      <c r="IT19" s="336"/>
      <c r="IU19" s="15">
        <v>1</v>
      </c>
      <c r="IV19" s="15"/>
    </row>
    <row r="20" spans="1:256" s="35" customFormat="1" ht="12.75" customHeight="1">
      <c r="C20" s="148" t="s">
        <v>5391</v>
      </c>
      <c r="D20" s="4">
        <f>COUNTIF(SurveyDATA!E218:E417,"*Malanday*")</f>
        <v>35</v>
      </c>
      <c r="E20" s="158"/>
      <c r="F20" s="4"/>
      <c r="G20" s="4"/>
      <c r="H20" s="4"/>
      <c r="I20" s="5"/>
      <c r="J20" s="4"/>
      <c r="K20" s="4"/>
      <c r="L20" s="4"/>
      <c r="M20" s="4"/>
      <c r="N20" s="4"/>
      <c r="O20" s="4"/>
      <c r="P20" s="4"/>
      <c r="Q20" s="24"/>
      <c r="R20" s="25"/>
      <c r="S20" s="4"/>
      <c r="T20" s="4"/>
      <c r="U20" s="26"/>
      <c r="V20" s="4"/>
      <c r="W20" s="4"/>
      <c r="X20" s="4"/>
      <c r="Y20" s="4"/>
      <c r="Z20" s="4"/>
      <c r="AA20" s="4"/>
      <c r="AB20" s="4"/>
      <c r="AC20" s="4"/>
      <c r="AD20" s="4"/>
      <c r="AE20" s="158"/>
      <c r="AF20" s="158"/>
      <c r="AG20" s="158"/>
      <c r="AH20" s="158"/>
      <c r="AI20" s="4"/>
      <c r="AJ20" s="121"/>
      <c r="AK20" s="36"/>
      <c r="AL20" s="40"/>
      <c r="AM20" s="4"/>
      <c r="AN20" s="4"/>
      <c r="AO20" s="4"/>
      <c r="AP20" s="4"/>
      <c r="AQ20" s="158"/>
      <c r="AR20" s="158"/>
      <c r="AS20" s="158"/>
      <c r="AT20" s="158"/>
      <c r="AU20" s="158"/>
      <c r="AV20" s="158"/>
      <c r="AW20" s="158"/>
      <c r="AX20" s="158"/>
      <c r="AY20" s="158"/>
      <c r="AZ20" s="4"/>
      <c r="BA20" s="4"/>
      <c r="BB20" s="4"/>
      <c r="BC20" s="4"/>
      <c r="BD20" s="54"/>
      <c r="BE20" s="54"/>
      <c r="BF20" s="4"/>
      <c r="BG20" s="4"/>
      <c r="BH20" s="4"/>
      <c r="BI20" s="158"/>
      <c r="BJ20" s="158"/>
      <c r="BK20" s="158"/>
      <c r="BL20" s="4"/>
      <c r="BM20" s="20"/>
      <c r="BN20" s="63"/>
      <c r="BO20" s="62"/>
      <c r="BP20" s="50"/>
      <c r="BQ20" s="20"/>
      <c r="BR20" s="20"/>
      <c r="BS20" s="20"/>
      <c r="BT20" s="20"/>
      <c r="BU20" s="4"/>
      <c r="BV20" s="95"/>
      <c r="BW20" s="4"/>
      <c r="BX20" s="54"/>
      <c r="BY20" s="4"/>
      <c r="BZ20" s="4"/>
      <c r="CA20" s="4"/>
      <c r="CB20" s="4"/>
      <c r="CC20" s="4"/>
      <c r="CD20" s="67"/>
      <c r="CE20" s="68"/>
      <c r="CF20" s="4"/>
      <c r="CG20" s="4"/>
      <c r="CH20" s="4"/>
      <c r="CI20" s="4"/>
      <c r="CJ20" s="4"/>
      <c r="CK20" s="4"/>
      <c r="CL20" s="4"/>
      <c r="CM20" s="4"/>
      <c r="CN20" s="4"/>
      <c r="CO20" s="4"/>
      <c r="CP20" s="54"/>
      <c r="CQ20" s="4"/>
      <c r="CR20" s="4"/>
      <c r="CS20" s="129"/>
      <c r="CT20" s="4"/>
      <c r="CU20" s="4"/>
      <c r="CV20" s="4"/>
      <c r="CW20" s="4"/>
      <c r="CX20" s="4"/>
      <c r="CY20" s="4"/>
      <c r="CZ20" s="4"/>
      <c r="DA20" s="4"/>
      <c r="DB20" s="4"/>
      <c r="DC20" s="4"/>
      <c r="DD20" s="4"/>
      <c r="DE20" s="4"/>
      <c r="DF20" s="4"/>
      <c r="DG20" s="4"/>
      <c r="DH20" s="4"/>
      <c r="DI20" s="4"/>
      <c r="DJ20" s="4"/>
      <c r="DK20" s="4"/>
      <c r="DL20" s="4"/>
      <c r="DM20" s="4"/>
      <c r="DN20" s="4"/>
      <c r="DO20" s="4"/>
      <c r="DP20" s="4"/>
      <c r="DQ20" s="59"/>
      <c r="DR20" s="4"/>
      <c r="DS20" s="4"/>
      <c r="DT20" s="4"/>
      <c r="DU20" s="66"/>
      <c r="DV20" s="66"/>
      <c r="DW20" s="4"/>
      <c r="DX20" s="4"/>
      <c r="DY20" s="4"/>
      <c r="DZ20" s="4"/>
      <c r="EA20" s="4"/>
      <c r="EB20" s="4"/>
      <c r="EC20" s="4"/>
      <c r="ED20" s="4"/>
      <c r="EE20" s="4"/>
      <c r="EF20" s="4"/>
      <c r="EG20" s="4"/>
      <c r="EH20" s="4"/>
      <c r="EI20" s="4"/>
      <c r="EJ20" s="4"/>
      <c r="EK20" s="4"/>
      <c r="EL20" s="4"/>
      <c r="EM20" s="4"/>
      <c r="EN20" s="4"/>
      <c r="EO20" s="4"/>
      <c r="EP20" s="4"/>
      <c r="EQ20" s="4"/>
      <c r="ER20" s="4"/>
      <c r="ES20" s="4"/>
      <c r="ET20" s="54"/>
      <c r="EU20" s="4"/>
      <c r="EV20" s="4"/>
      <c r="EW20" s="4"/>
      <c r="EX20" s="4"/>
      <c r="EY20" s="4"/>
      <c r="EZ20" s="4"/>
      <c r="FA20" s="231"/>
      <c r="FB20" s="4"/>
      <c r="FC20" s="54"/>
      <c r="FD20" s="54"/>
      <c r="FE20" s="54"/>
      <c r="FF20" s="4"/>
      <c r="FG20" s="4"/>
      <c r="FH20" s="4"/>
      <c r="FI20" s="4"/>
      <c r="FJ20" s="4"/>
      <c r="FK20" s="4"/>
      <c r="FL20" s="4"/>
      <c r="FM20" s="4"/>
      <c r="FN20" s="4"/>
      <c r="FO20" s="4"/>
      <c r="FP20" s="4"/>
      <c r="FQ20" s="4"/>
      <c r="FR20" s="4"/>
      <c r="FS20" s="75"/>
      <c r="FT20" s="25"/>
      <c r="FU20" s="4"/>
      <c r="FV20" s="54"/>
      <c r="FW20" s="54"/>
      <c r="FX20" s="4"/>
      <c r="FY20" s="4"/>
      <c r="FZ20" s="4"/>
      <c r="GA20" s="4"/>
      <c r="GB20" s="4"/>
      <c r="GC20" s="4"/>
      <c r="GD20" s="82"/>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24"/>
      <c r="IF20" s="4"/>
      <c r="IG20" s="4"/>
      <c r="IH20" s="20"/>
      <c r="II20" s="4"/>
      <c r="IJ20" s="4"/>
      <c r="IK20" s="4"/>
      <c r="IL20" s="4"/>
      <c r="IM20" s="4"/>
      <c r="IN20" s="4"/>
      <c r="IO20" s="4"/>
      <c r="IP20" s="4"/>
      <c r="IQ20" s="4"/>
      <c r="IR20" s="4"/>
      <c r="IS20" s="4"/>
      <c r="IT20" s="54"/>
      <c r="IU20" s="4"/>
      <c r="IV20" s="4"/>
    </row>
    <row r="21" spans="1:256" s="35" customFormat="1" ht="12.75" customHeight="1">
      <c r="C21" s="148" t="s">
        <v>5818</v>
      </c>
      <c r="D21" s="4">
        <f>COUNTIF(SurveyDATA!E218:E417,"*Dalandanan*")</f>
        <v>6</v>
      </c>
      <c r="E21" s="158"/>
      <c r="F21" s="4"/>
      <c r="G21" s="4"/>
      <c r="H21" s="4"/>
      <c r="I21" s="5"/>
      <c r="J21" s="4"/>
      <c r="K21" s="4"/>
      <c r="L21" s="4"/>
      <c r="M21" s="4"/>
      <c r="N21" s="4"/>
      <c r="O21" s="4"/>
      <c r="P21" s="4"/>
      <c r="Q21" s="24"/>
      <c r="R21" s="25"/>
      <c r="S21" s="4"/>
      <c r="T21" s="4"/>
      <c r="U21" s="26"/>
      <c r="V21" s="4"/>
      <c r="W21" s="4"/>
      <c r="X21" s="4"/>
      <c r="Y21" s="4"/>
      <c r="Z21" s="4"/>
      <c r="AA21" s="4"/>
      <c r="AB21" s="4"/>
      <c r="AC21" s="4"/>
      <c r="AD21" s="4"/>
      <c r="AE21" s="158"/>
      <c r="AF21" s="158"/>
      <c r="AG21" s="158"/>
      <c r="AH21" s="158"/>
      <c r="AI21" s="4"/>
      <c r="AJ21" s="121"/>
      <c r="AK21" s="36"/>
      <c r="AL21" s="40"/>
      <c r="AM21" s="4"/>
      <c r="AN21" s="4"/>
      <c r="AO21" s="4"/>
      <c r="AP21" s="4"/>
      <c r="AQ21" s="158"/>
      <c r="AR21" s="158"/>
      <c r="AS21" s="158"/>
      <c r="AT21" s="158"/>
      <c r="AU21" s="158"/>
      <c r="AV21" s="158"/>
      <c r="AW21" s="158"/>
      <c r="AX21" s="158"/>
      <c r="AY21" s="158"/>
      <c r="AZ21" s="4"/>
      <c r="BA21" s="4"/>
      <c r="BB21" s="4"/>
      <c r="BC21" s="4"/>
      <c r="BD21" s="54"/>
      <c r="BE21" s="54"/>
      <c r="BF21" s="4"/>
      <c r="BG21" s="4"/>
      <c r="BH21" s="4"/>
      <c r="BI21" s="158"/>
      <c r="BJ21" s="158"/>
      <c r="BK21" s="158"/>
      <c r="BL21" s="4"/>
      <c r="BM21" s="20"/>
      <c r="BN21" s="63"/>
      <c r="BO21" s="62"/>
      <c r="BP21" s="50"/>
      <c r="BQ21" s="20"/>
      <c r="BR21" s="20"/>
      <c r="BS21" s="20"/>
      <c r="BT21" s="20"/>
      <c r="BU21" s="4"/>
      <c r="BV21" s="95"/>
      <c r="BW21" s="4"/>
      <c r="BX21" s="54"/>
      <c r="BY21" s="4"/>
      <c r="BZ21" s="4"/>
      <c r="CA21" s="4"/>
      <c r="CB21" s="4"/>
      <c r="CC21" s="4"/>
      <c r="CD21" s="67"/>
      <c r="CE21" s="68"/>
      <c r="CF21" s="4"/>
      <c r="CG21" s="4"/>
      <c r="CH21" s="4"/>
      <c r="CI21" s="4"/>
      <c r="CJ21" s="4"/>
      <c r="CK21" s="4"/>
      <c r="CL21" s="4"/>
      <c r="CM21" s="4"/>
      <c r="CN21" s="4"/>
      <c r="CO21" s="4"/>
      <c r="CP21" s="54"/>
      <c r="CQ21" s="4"/>
      <c r="CR21" s="4"/>
      <c r="CS21" s="129"/>
      <c r="CT21" s="4"/>
      <c r="CU21" s="4"/>
      <c r="CV21" s="4"/>
      <c r="CW21" s="4"/>
      <c r="CX21" s="4"/>
      <c r="CY21" s="4"/>
      <c r="CZ21" s="4"/>
      <c r="DA21" s="4"/>
      <c r="DB21" s="4"/>
      <c r="DC21" s="4"/>
      <c r="DD21" s="4"/>
      <c r="DE21" s="4"/>
      <c r="DF21" s="4"/>
      <c r="DG21" s="4"/>
      <c r="DH21" s="4"/>
      <c r="DI21" s="4"/>
      <c r="DJ21" s="4"/>
      <c r="DK21" s="4"/>
      <c r="DL21" s="4"/>
      <c r="DM21" s="4"/>
      <c r="DN21" s="4"/>
      <c r="DO21" s="4"/>
      <c r="DP21" s="4"/>
      <c r="DQ21" s="59"/>
      <c r="DR21" s="4"/>
      <c r="DS21" s="4"/>
      <c r="DT21" s="4"/>
      <c r="DU21" s="66"/>
      <c r="DV21" s="66"/>
      <c r="DW21" s="4"/>
      <c r="DX21" s="4"/>
      <c r="DY21" s="4"/>
      <c r="DZ21" s="4"/>
      <c r="EA21" s="4"/>
      <c r="EB21" s="4"/>
      <c r="EC21" s="4"/>
      <c r="ED21" s="4"/>
      <c r="EE21" s="4"/>
      <c r="EF21" s="4"/>
      <c r="EG21" s="4"/>
      <c r="EH21" s="4"/>
      <c r="EI21" s="4"/>
      <c r="EJ21" s="4"/>
      <c r="EK21" s="4"/>
      <c r="EL21" s="4"/>
      <c r="EM21" s="4"/>
      <c r="EN21" s="4"/>
      <c r="EO21" s="4"/>
      <c r="EP21" s="4"/>
      <c r="EQ21" s="4"/>
      <c r="ER21" s="4"/>
      <c r="ES21" s="4"/>
      <c r="ET21" s="54"/>
      <c r="EU21" s="4"/>
      <c r="EV21" s="4"/>
      <c r="EW21" s="4"/>
      <c r="EX21" s="4"/>
      <c r="EY21" s="4"/>
      <c r="EZ21" s="4"/>
      <c r="FA21" s="231"/>
      <c r="FB21" s="4"/>
      <c r="FC21" s="54"/>
      <c r="FD21" s="54"/>
      <c r="FE21" s="54"/>
      <c r="FF21" s="4"/>
      <c r="FG21" s="4"/>
      <c r="FH21" s="4"/>
      <c r="FI21" s="4"/>
      <c r="FJ21" s="4"/>
      <c r="FK21" s="4"/>
      <c r="FL21" s="4"/>
      <c r="FM21" s="4"/>
      <c r="FN21" s="4"/>
      <c r="FO21" s="4"/>
      <c r="FP21" s="4"/>
      <c r="FQ21" s="4"/>
      <c r="FR21" s="4"/>
      <c r="FS21" s="75"/>
      <c r="FT21" s="25"/>
      <c r="FU21" s="4"/>
      <c r="FV21" s="54"/>
      <c r="FW21" s="54"/>
      <c r="FX21" s="4"/>
      <c r="FY21" s="4"/>
      <c r="FZ21" s="4"/>
      <c r="GA21" s="4"/>
      <c r="GB21" s="4"/>
      <c r="GC21" s="4"/>
      <c r="GD21" s="82"/>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24"/>
      <c r="IF21" s="4"/>
      <c r="IG21" s="4"/>
      <c r="IH21" s="20"/>
      <c r="II21" s="4"/>
      <c r="IJ21" s="4"/>
      <c r="IK21" s="4"/>
      <c r="IL21" s="4"/>
      <c r="IM21" s="4"/>
      <c r="IN21" s="4"/>
      <c r="IO21" s="4"/>
      <c r="IP21" s="4"/>
      <c r="IQ21" s="4"/>
      <c r="IR21" s="4"/>
      <c r="IS21" s="4"/>
      <c r="IT21" s="54"/>
      <c r="IU21" s="4"/>
      <c r="IV21" s="4"/>
    </row>
    <row r="22" spans="1:256" s="35" customFormat="1" ht="12.75" customHeight="1">
      <c r="C22" s="148" t="s">
        <v>5817</v>
      </c>
      <c r="D22" s="4">
        <f>COUNTIF(SurveyDATA!E218:E417,"*Veinte*")</f>
        <v>0</v>
      </c>
      <c r="E22" s="158"/>
      <c r="F22" s="4"/>
      <c r="G22" s="4"/>
      <c r="H22" s="4"/>
      <c r="I22" s="5"/>
      <c r="J22" s="4"/>
      <c r="K22" s="4"/>
      <c r="L22" s="4"/>
      <c r="M22" s="4"/>
      <c r="N22" s="4"/>
      <c r="O22" s="4"/>
      <c r="P22" s="4"/>
      <c r="Q22" s="24"/>
      <c r="R22" s="25"/>
      <c r="S22" s="4"/>
      <c r="T22" s="4"/>
      <c r="U22" s="26"/>
      <c r="V22" s="4"/>
      <c r="W22" s="4"/>
      <c r="X22" s="4"/>
      <c r="Y22" s="4"/>
      <c r="Z22" s="4"/>
      <c r="AA22" s="4"/>
      <c r="AB22" s="4"/>
      <c r="AC22" s="4"/>
      <c r="AD22" s="4"/>
      <c r="AE22" s="158"/>
      <c r="AF22" s="158"/>
      <c r="AG22" s="158"/>
      <c r="AH22" s="158"/>
      <c r="AI22" s="4"/>
      <c r="AJ22" s="121"/>
      <c r="AK22" s="36"/>
      <c r="AL22" s="40"/>
      <c r="AM22" s="4"/>
      <c r="AN22" s="4"/>
      <c r="AO22" s="4"/>
      <c r="AP22" s="4"/>
      <c r="AQ22" s="158"/>
      <c r="AR22" s="158"/>
      <c r="AS22" s="158"/>
      <c r="AT22" s="158"/>
      <c r="AU22" s="158"/>
      <c r="AV22" s="158"/>
      <c r="AW22" s="158"/>
      <c r="AX22" s="158"/>
      <c r="AY22" s="158"/>
      <c r="AZ22" s="4"/>
      <c r="BA22" s="4"/>
      <c r="BB22" s="4"/>
      <c r="BC22" s="4"/>
      <c r="BD22" s="54"/>
      <c r="BE22" s="54"/>
      <c r="BF22" s="4"/>
      <c r="BG22" s="4"/>
      <c r="BH22" s="4"/>
      <c r="BI22" s="158"/>
      <c r="BJ22" s="158"/>
      <c r="BK22" s="158"/>
      <c r="BL22" s="4"/>
      <c r="BM22" s="20"/>
      <c r="BN22" s="63"/>
      <c r="BO22" s="62"/>
      <c r="BP22" s="50"/>
      <c r="BQ22" s="20"/>
      <c r="BR22" s="20"/>
      <c r="BS22" s="20"/>
      <c r="BT22" s="20"/>
      <c r="BU22" s="4"/>
      <c r="BV22" s="95"/>
      <c r="BW22" s="4"/>
      <c r="BX22" s="54"/>
      <c r="BY22" s="4"/>
      <c r="BZ22" s="4"/>
      <c r="CA22" s="4"/>
      <c r="CB22" s="4"/>
      <c r="CC22" s="4"/>
      <c r="CD22" s="67"/>
      <c r="CE22" s="68"/>
      <c r="CF22" s="4"/>
      <c r="CG22" s="4"/>
      <c r="CH22" s="4"/>
      <c r="CI22" s="4"/>
      <c r="CJ22" s="4"/>
      <c r="CK22" s="4"/>
      <c r="CL22" s="4"/>
      <c r="CM22" s="4"/>
      <c r="CN22" s="4"/>
      <c r="CO22" s="4"/>
      <c r="CP22" s="54"/>
      <c r="CQ22" s="4"/>
      <c r="CR22" s="4"/>
      <c r="CS22" s="129"/>
      <c r="CT22" s="4"/>
      <c r="CU22" s="4"/>
      <c r="CV22" s="4"/>
      <c r="CW22" s="4"/>
      <c r="CX22" s="4"/>
      <c r="CY22" s="4"/>
      <c r="CZ22" s="4"/>
      <c r="DA22" s="4"/>
      <c r="DB22" s="4"/>
      <c r="DC22" s="4"/>
      <c r="DD22" s="4"/>
      <c r="DE22" s="4"/>
      <c r="DF22" s="4"/>
      <c r="DG22" s="4"/>
      <c r="DH22" s="4"/>
      <c r="DI22" s="4"/>
      <c r="DJ22" s="4"/>
      <c r="DK22" s="4"/>
      <c r="DL22" s="4"/>
      <c r="DM22" s="4"/>
      <c r="DN22" s="4"/>
      <c r="DO22" s="4"/>
      <c r="DP22" s="4"/>
      <c r="DQ22" s="59"/>
      <c r="DR22" s="4"/>
      <c r="DS22" s="4"/>
      <c r="DT22" s="4"/>
      <c r="DU22" s="66"/>
      <c r="DV22" s="66"/>
      <c r="DW22" s="4"/>
      <c r="DX22" s="4"/>
      <c r="DY22" s="4"/>
      <c r="DZ22" s="4"/>
      <c r="EA22" s="4"/>
      <c r="EB22" s="4"/>
      <c r="EC22" s="4"/>
      <c r="ED22" s="4"/>
      <c r="EE22" s="4"/>
      <c r="EF22" s="4"/>
      <c r="EG22" s="4"/>
      <c r="EH22" s="4"/>
      <c r="EI22" s="4"/>
      <c r="EJ22" s="4"/>
      <c r="EK22" s="4"/>
      <c r="EL22" s="4"/>
      <c r="EM22" s="4"/>
      <c r="EN22" s="4"/>
      <c r="EO22" s="4"/>
      <c r="EP22" s="4"/>
      <c r="EQ22" s="4"/>
      <c r="ER22" s="4"/>
      <c r="ES22" s="4"/>
      <c r="ET22" s="54"/>
      <c r="EU22" s="4"/>
      <c r="EV22" s="4"/>
      <c r="EW22" s="4"/>
      <c r="EX22" s="4"/>
      <c r="EY22" s="4"/>
      <c r="EZ22" s="4"/>
      <c r="FA22" s="231"/>
      <c r="FB22" s="4"/>
      <c r="FC22" s="54"/>
      <c r="FD22" s="54"/>
      <c r="FE22" s="54"/>
      <c r="FF22" s="4"/>
      <c r="FG22" s="4"/>
      <c r="FH22" s="4"/>
      <c r="FI22" s="4"/>
      <c r="FJ22" s="4"/>
      <c r="FK22" s="4"/>
      <c r="FL22" s="4"/>
      <c r="FM22" s="4"/>
      <c r="FN22" s="4"/>
      <c r="FO22" s="4"/>
      <c r="FP22" s="4"/>
      <c r="FQ22" s="4"/>
      <c r="FR22" s="4"/>
      <c r="FS22" s="75"/>
      <c r="FT22" s="25"/>
      <c r="FU22" s="4"/>
      <c r="FV22" s="54"/>
      <c r="FW22" s="54"/>
      <c r="FX22" s="4"/>
      <c r="FY22" s="4"/>
      <c r="FZ22" s="4"/>
      <c r="GA22" s="4"/>
      <c r="GB22" s="4"/>
      <c r="GC22" s="4"/>
      <c r="GD22" s="82"/>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24"/>
      <c r="IF22" s="4"/>
      <c r="IG22" s="4"/>
      <c r="IH22" s="20"/>
      <c r="II22" s="4"/>
      <c r="IJ22" s="4"/>
      <c r="IK22" s="4"/>
      <c r="IL22" s="4"/>
      <c r="IM22" s="4"/>
      <c r="IN22" s="4"/>
      <c r="IO22" s="4"/>
      <c r="IP22" s="4"/>
      <c r="IQ22" s="4"/>
      <c r="IR22" s="4"/>
      <c r="IS22" s="4"/>
      <c r="IT22" s="54"/>
      <c r="IU22" s="4"/>
      <c r="IV22" s="4"/>
    </row>
    <row r="23" spans="1:256" s="35" customFormat="1" ht="12.75" customHeight="1">
      <c r="C23" s="148" t="s">
        <v>5392</v>
      </c>
      <c r="D23" s="4">
        <f>COUNTIF(SurveyDATA!E218:E417,"*Malinta*")</f>
        <v>154</v>
      </c>
      <c r="E23" s="158"/>
      <c r="F23" s="4"/>
      <c r="G23" s="4"/>
      <c r="H23" s="4"/>
      <c r="I23" s="5"/>
      <c r="J23" s="4"/>
      <c r="K23" s="4"/>
      <c r="L23" s="4"/>
      <c r="M23" s="4"/>
      <c r="N23" s="4"/>
      <c r="O23" s="4"/>
      <c r="P23" s="4"/>
      <c r="Q23" s="24"/>
      <c r="R23" s="25"/>
      <c r="S23" s="4"/>
      <c r="T23" s="4"/>
      <c r="U23" s="26"/>
      <c r="V23" s="4"/>
      <c r="W23" s="4"/>
      <c r="X23" s="4"/>
      <c r="Y23" s="4"/>
      <c r="Z23" s="4"/>
      <c r="AA23" s="4"/>
      <c r="AB23" s="4"/>
      <c r="AC23" s="4"/>
      <c r="AD23" s="4"/>
      <c r="AE23" s="158"/>
      <c r="AF23" s="158"/>
      <c r="AG23" s="158"/>
      <c r="AH23" s="158"/>
      <c r="AI23" s="4"/>
      <c r="AJ23" s="121"/>
      <c r="AK23" s="36"/>
      <c r="AL23" s="40"/>
      <c r="AM23" s="4"/>
      <c r="AN23" s="4"/>
      <c r="AO23" s="4"/>
      <c r="AP23" s="4"/>
      <c r="AQ23" s="158"/>
      <c r="AR23" s="158"/>
      <c r="AS23" s="158"/>
      <c r="AT23" s="158"/>
      <c r="AU23" s="158"/>
      <c r="AV23" s="158"/>
      <c r="AW23" s="158"/>
      <c r="AX23" s="158"/>
      <c r="AY23" s="158"/>
      <c r="AZ23" s="4"/>
      <c r="BA23" s="4"/>
      <c r="BB23" s="4"/>
      <c r="BC23" s="4"/>
      <c r="BD23" s="54"/>
      <c r="BE23" s="54"/>
      <c r="BF23" s="4"/>
      <c r="BG23" s="4"/>
      <c r="BH23" s="4"/>
      <c r="BI23" s="158"/>
      <c r="BJ23" s="158"/>
      <c r="BK23" s="158"/>
      <c r="BL23" s="4"/>
      <c r="BM23" s="20"/>
      <c r="BN23" s="63"/>
      <c r="BO23" s="62"/>
      <c r="BP23" s="50"/>
      <c r="BQ23" s="20"/>
      <c r="BR23" s="20"/>
      <c r="BS23" s="20"/>
      <c r="BT23" s="20"/>
      <c r="BU23" s="4"/>
      <c r="BV23" s="95"/>
      <c r="BW23" s="4"/>
      <c r="BX23" s="54"/>
      <c r="BY23" s="4"/>
      <c r="BZ23" s="4"/>
      <c r="CA23" s="4"/>
      <c r="CB23" s="4"/>
      <c r="CC23" s="4"/>
      <c r="CD23" s="67"/>
      <c r="CE23" s="68"/>
      <c r="CF23" s="4"/>
      <c r="CG23" s="4"/>
      <c r="CH23" s="4"/>
      <c r="CI23" s="4"/>
      <c r="CJ23" s="4"/>
      <c r="CK23" s="4"/>
      <c r="CL23" s="4"/>
      <c r="CM23" s="4"/>
      <c r="CN23" s="4"/>
      <c r="CO23" s="4"/>
      <c r="CP23" s="54"/>
      <c r="CQ23" s="4"/>
      <c r="CR23" s="4"/>
      <c r="CS23" s="129"/>
      <c r="CT23" s="4"/>
      <c r="CU23" s="4"/>
      <c r="CV23" s="4"/>
      <c r="CW23" s="4"/>
      <c r="CX23" s="4"/>
      <c r="CY23" s="4"/>
      <c r="CZ23" s="4"/>
      <c r="DA23" s="4"/>
      <c r="DB23" s="4"/>
      <c r="DC23" s="4"/>
      <c r="DD23" s="4"/>
      <c r="DE23" s="4"/>
      <c r="DF23" s="4"/>
      <c r="DG23" s="4"/>
      <c r="DH23" s="4"/>
      <c r="DI23" s="4"/>
      <c r="DJ23" s="4"/>
      <c r="DK23" s="4"/>
      <c r="DL23" s="4"/>
      <c r="DM23" s="4"/>
      <c r="DN23" s="4"/>
      <c r="DO23" s="4"/>
      <c r="DP23" s="4"/>
      <c r="DQ23" s="59"/>
      <c r="DR23" s="4"/>
      <c r="DS23" s="4"/>
      <c r="DT23" s="4"/>
      <c r="DU23" s="66"/>
      <c r="DV23" s="66"/>
      <c r="DW23" s="4"/>
      <c r="DX23" s="4"/>
      <c r="DY23" s="4"/>
      <c r="DZ23" s="4"/>
      <c r="EA23" s="4"/>
      <c r="EB23" s="4"/>
      <c r="EC23" s="4"/>
      <c r="ED23" s="4"/>
      <c r="EE23" s="4"/>
      <c r="EF23" s="4"/>
      <c r="EG23" s="4"/>
      <c r="EH23" s="4"/>
      <c r="EI23" s="4"/>
      <c r="EJ23" s="4"/>
      <c r="EK23" s="4"/>
      <c r="EL23" s="4"/>
      <c r="EM23" s="4"/>
      <c r="EN23" s="4"/>
      <c r="EO23" s="4"/>
      <c r="EP23" s="4"/>
      <c r="EQ23" s="4"/>
      <c r="ER23" s="4"/>
      <c r="ES23" s="4"/>
      <c r="ET23" s="54"/>
      <c r="EU23" s="4"/>
      <c r="EV23" s="4"/>
      <c r="EW23" s="4"/>
      <c r="EX23" s="4"/>
      <c r="EY23" s="4"/>
      <c r="EZ23" s="4"/>
      <c r="FA23" s="231"/>
      <c r="FB23" s="4"/>
      <c r="FC23" s="54"/>
      <c r="FD23" s="54"/>
      <c r="FE23" s="54"/>
      <c r="FF23" s="4"/>
      <c r="FG23" s="4"/>
      <c r="FH23" s="4"/>
      <c r="FI23" s="4"/>
      <c r="FJ23" s="4"/>
      <c r="FK23" s="4"/>
      <c r="FL23" s="4"/>
      <c r="FM23" s="4"/>
      <c r="FN23" s="4"/>
      <c r="FO23" s="4"/>
      <c r="FP23" s="4"/>
      <c r="FQ23" s="4"/>
      <c r="FR23" s="4"/>
      <c r="FS23" s="75"/>
      <c r="FT23" s="25"/>
      <c r="FU23" s="4"/>
      <c r="FV23" s="54"/>
      <c r="FW23" s="54"/>
      <c r="FX23" s="4"/>
      <c r="FY23" s="4"/>
      <c r="FZ23" s="4"/>
      <c r="GA23" s="4"/>
      <c r="GB23" s="4"/>
      <c r="GC23" s="4"/>
      <c r="GD23" s="82"/>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24"/>
      <c r="IF23" s="4"/>
      <c r="IG23" s="4"/>
      <c r="IH23" s="20"/>
      <c r="II23" s="4"/>
      <c r="IJ23" s="4"/>
      <c r="IK23" s="4"/>
      <c r="IL23" s="4"/>
      <c r="IM23" s="4"/>
      <c r="IN23" s="4"/>
      <c r="IO23" s="4"/>
      <c r="IP23" s="4"/>
      <c r="IQ23" s="4"/>
      <c r="IR23" s="4"/>
      <c r="IS23" s="4"/>
      <c r="IT23" s="54"/>
      <c r="IU23" s="4"/>
      <c r="IV23" s="4"/>
    </row>
    <row r="24" spans="1:256" s="35" customFormat="1" ht="12.75" customHeight="1">
      <c r="C24" s="148"/>
      <c r="D24" s="4">
        <f>SUM(D20:D23)</f>
        <v>195</v>
      </c>
      <c r="E24" s="158"/>
      <c r="F24" s="4"/>
      <c r="G24" s="4"/>
      <c r="H24" s="4"/>
      <c r="I24" s="5"/>
      <c r="J24" s="4"/>
      <c r="K24" s="4"/>
      <c r="L24" s="4"/>
      <c r="M24" s="4"/>
      <c r="N24" s="4"/>
      <c r="O24" s="4"/>
      <c r="P24" s="4"/>
      <c r="Q24" s="24"/>
      <c r="R24" s="25"/>
      <c r="S24" s="4"/>
      <c r="T24" s="4"/>
      <c r="U24" s="26"/>
      <c r="V24" s="4"/>
      <c r="W24" s="4"/>
      <c r="X24" s="4"/>
      <c r="Y24" s="4"/>
      <c r="Z24" s="4"/>
      <c r="AA24" s="4"/>
      <c r="AB24" s="4"/>
      <c r="AC24" s="4"/>
      <c r="AD24" s="4"/>
      <c r="AE24" s="158"/>
      <c r="AF24" s="158"/>
      <c r="AG24" s="158"/>
      <c r="AH24" s="158"/>
      <c r="AI24" s="4"/>
      <c r="AJ24" s="121"/>
      <c r="AK24" s="36"/>
      <c r="AL24" s="40"/>
      <c r="AM24" s="4"/>
      <c r="AN24" s="4"/>
      <c r="AO24" s="4"/>
      <c r="AP24" s="4"/>
      <c r="AQ24" s="158"/>
      <c r="AR24" s="158"/>
      <c r="AS24" s="158"/>
      <c r="AT24" s="158"/>
      <c r="AU24" s="158"/>
      <c r="AV24" s="158"/>
      <c r="AW24" s="158"/>
      <c r="AX24" s="158"/>
      <c r="AY24" s="158"/>
      <c r="AZ24" s="4"/>
      <c r="BA24" s="4"/>
      <c r="BB24" s="4"/>
      <c r="BC24" s="4"/>
      <c r="BD24" s="54"/>
      <c r="BE24" s="54"/>
      <c r="BF24" s="4"/>
      <c r="BG24" s="4"/>
      <c r="BH24" s="4"/>
      <c r="BI24" s="158"/>
      <c r="BJ24" s="158"/>
      <c r="BK24" s="158"/>
      <c r="BL24" s="4"/>
      <c r="BM24" s="20"/>
      <c r="BN24" s="63"/>
      <c r="BO24" s="62"/>
      <c r="BP24" s="50"/>
      <c r="BQ24" s="20"/>
      <c r="BR24" s="20"/>
      <c r="BS24" s="20"/>
      <c r="BT24" s="20"/>
      <c r="BU24" s="4"/>
      <c r="BV24" s="95"/>
      <c r="BW24" s="4"/>
      <c r="BX24" s="54"/>
      <c r="BY24" s="4"/>
      <c r="BZ24" s="4"/>
      <c r="CA24" s="4"/>
      <c r="CB24" s="4"/>
      <c r="CC24" s="4"/>
      <c r="CD24" s="67"/>
      <c r="CE24" s="68"/>
      <c r="CF24" s="4"/>
      <c r="CG24" s="4"/>
      <c r="CH24" s="4"/>
      <c r="CI24" s="4"/>
      <c r="CJ24" s="4"/>
      <c r="CK24" s="4"/>
      <c r="CL24" s="4"/>
      <c r="CM24" s="4"/>
      <c r="CN24" s="4"/>
      <c r="CO24" s="4"/>
      <c r="CP24" s="54"/>
      <c r="CQ24" s="4"/>
      <c r="CR24" s="4"/>
      <c r="CS24" s="129"/>
      <c r="CT24" s="4"/>
      <c r="CU24" s="4"/>
      <c r="CV24" s="4"/>
      <c r="CW24" s="4"/>
      <c r="CX24" s="4"/>
      <c r="CY24" s="4"/>
      <c r="CZ24" s="4"/>
      <c r="DA24" s="4"/>
      <c r="DB24" s="4"/>
      <c r="DC24" s="4"/>
      <c r="DD24" s="4"/>
      <c r="DE24" s="4"/>
      <c r="DF24" s="4"/>
      <c r="DG24" s="4"/>
      <c r="DH24" s="4"/>
      <c r="DI24" s="4"/>
      <c r="DJ24" s="4"/>
      <c r="DK24" s="4"/>
      <c r="DL24" s="4"/>
      <c r="DM24" s="4"/>
      <c r="DN24" s="4"/>
      <c r="DO24" s="4"/>
      <c r="DP24" s="4"/>
      <c r="DQ24" s="59"/>
      <c r="DR24" s="4"/>
      <c r="DS24" s="4"/>
      <c r="DT24" s="4"/>
      <c r="DU24" s="66"/>
      <c r="DV24" s="66"/>
      <c r="DW24" s="4"/>
      <c r="DX24" s="4"/>
      <c r="DY24" s="4"/>
      <c r="DZ24" s="4"/>
      <c r="EA24" s="4"/>
      <c r="EB24" s="4"/>
      <c r="EC24" s="4"/>
      <c r="ED24" s="4"/>
      <c r="EE24" s="4"/>
      <c r="EF24" s="4"/>
      <c r="EG24" s="4"/>
      <c r="EH24" s="4"/>
      <c r="EI24" s="4"/>
      <c r="EJ24" s="4"/>
      <c r="EK24" s="4"/>
      <c r="EL24" s="4"/>
      <c r="EM24" s="4"/>
      <c r="EN24" s="4"/>
      <c r="EO24" s="4"/>
      <c r="EP24" s="4"/>
      <c r="EQ24" s="4"/>
      <c r="ER24" s="4"/>
      <c r="ES24" s="4"/>
      <c r="ET24" s="54"/>
      <c r="EU24" s="4"/>
      <c r="EV24" s="4"/>
      <c r="EW24" s="4"/>
      <c r="EX24" s="4"/>
      <c r="EY24" s="4"/>
      <c r="EZ24" s="4"/>
      <c r="FA24" s="231"/>
      <c r="FB24" s="4"/>
      <c r="FC24" s="54"/>
      <c r="FD24" s="54"/>
      <c r="FE24" s="54"/>
      <c r="FF24" s="4"/>
      <c r="FG24" s="4"/>
      <c r="FH24" s="4"/>
      <c r="FI24" s="4"/>
      <c r="FJ24" s="4"/>
      <c r="FK24" s="4"/>
      <c r="FL24" s="4"/>
      <c r="FM24" s="4"/>
      <c r="FN24" s="4"/>
      <c r="FO24" s="4"/>
      <c r="FP24" s="4"/>
      <c r="FQ24" s="4"/>
      <c r="FR24" s="4"/>
      <c r="FS24" s="75"/>
      <c r="FT24" s="25"/>
      <c r="FU24" s="4"/>
      <c r="FV24" s="54"/>
      <c r="FW24" s="54"/>
      <c r="FX24" s="4"/>
      <c r="FY24" s="4"/>
      <c r="FZ24" s="4"/>
      <c r="GA24" s="4"/>
      <c r="GB24" s="4"/>
      <c r="GC24" s="4"/>
      <c r="GD24" s="82"/>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24"/>
      <c r="IF24" s="4"/>
      <c r="IG24" s="4"/>
      <c r="IH24" s="20"/>
      <c r="II24" s="4"/>
      <c r="IJ24" s="4"/>
      <c r="IK24" s="4"/>
      <c r="IL24" s="4"/>
      <c r="IM24" s="4"/>
      <c r="IN24" s="4"/>
      <c r="IO24" s="4"/>
      <c r="IP24" s="4"/>
      <c r="IQ24" s="4"/>
      <c r="IR24" s="4"/>
      <c r="IS24" s="4"/>
      <c r="IT24" s="54"/>
      <c r="IU24" s="4"/>
      <c r="IV24" s="4"/>
    </row>
    <row r="25" spans="1:256" s="337" customFormat="1" ht="12.75" customHeight="1">
      <c r="C25" s="148"/>
      <c r="D25" s="327" t="s">
        <v>404</v>
      </c>
      <c r="E25" s="15" t="s">
        <v>5433</v>
      </c>
      <c r="F25" s="15" t="s">
        <v>28</v>
      </c>
      <c r="G25" s="15" t="s">
        <v>10</v>
      </c>
      <c r="H25" s="15"/>
      <c r="I25" s="328"/>
      <c r="J25" s="327"/>
      <c r="K25" s="15" t="s">
        <v>399</v>
      </c>
      <c r="L25" s="15" t="s">
        <v>400</v>
      </c>
      <c r="M25" s="15"/>
      <c r="N25" s="15"/>
      <c r="O25" s="15"/>
      <c r="P25" s="15" t="s">
        <v>929</v>
      </c>
      <c r="Q25" s="329">
        <v>31173</v>
      </c>
      <c r="R25" s="330">
        <v>31</v>
      </c>
      <c r="S25" s="15" t="s">
        <v>10</v>
      </c>
      <c r="T25" s="15"/>
      <c r="U25" s="331" t="s">
        <v>930</v>
      </c>
      <c r="V25" s="15" t="s">
        <v>722</v>
      </c>
      <c r="W25" s="15" t="s">
        <v>931</v>
      </c>
      <c r="X25" s="15" t="s">
        <v>708</v>
      </c>
      <c r="Y25" s="15" t="s">
        <v>739</v>
      </c>
      <c r="Z25" s="15" t="s">
        <v>710</v>
      </c>
      <c r="AA25" s="15" t="s">
        <v>724</v>
      </c>
      <c r="AB25" s="15"/>
      <c r="AC25" s="15" t="s">
        <v>909</v>
      </c>
      <c r="AD25" s="15" t="s">
        <v>906</v>
      </c>
      <c r="AE25" s="15" t="s">
        <v>1165</v>
      </c>
      <c r="AF25" s="15" t="s">
        <v>1096</v>
      </c>
      <c r="AG25" s="15"/>
      <c r="AH25" s="332" t="s">
        <v>427</v>
      </c>
      <c r="AI25" s="15" t="s">
        <v>1101</v>
      </c>
      <c r="AJ25" s="333"/>
      <c r="AK25" s="334"/>
      <c r="AL25" s="335"/>
      <c r="AM25" s="15" t="s">
        <v>1122</v>
      </c>
      <c r="AN25" s="15"/>
      <c r="AO25" s="15"/>
      <c r="AP25" s="15"/>
      <c r="AQ25" s="15"/>
      <c r="AR25" s="15"/>
      <c r="AS25" s="15"/>
      <c r="AT25" s="15"/>
      <c r="AU25" s="15"/>
      <c r="AV25" s="15"/>
      <c r="AW25" s="15"/>
      <c r="AX25" s="15"/>
      <c r="AY25" s="15"/>
      <c r="AZ25" s="15"/>
      <c r="BA25" s="15"/>
      <c r="BB25" s="15"/>
      <c r="BC25" s="15"/>
      <c r="BD25" s="336"/>
      <c r="BE25" s="336"/>
      <c r="BF25" s="15"/>
      <c r="BG25" s="15"/>
      <c r="BH25" s="15"/>
      <c r="BI25" s="15" t="s">
        <v>1165</v>
      </c>
      <c r="BJ25" s="15" t="s">
        <v>2085</v>
      </c>
      <c r="BK25" s="154" t="s">
        <v>1096</v>
      </c>
      <c r="BL25" s="15" t="s">
        <v>1299</v>
      </c>
      <c r="BM25" s="15" t="s">
        <v>1246</v>
      </c>
      <c r="BU25" s="15">
        <v>2016</v>
      </c>
      <c r="BV25" s="336">
        <v>2500</v>
      </c>
      <c r="BW25" s="15"/>
      <c r="BX25" s="336"/>
      <c r="BY25" s="15"/>
      <c r="BZ25" s="15"/>
      <c r="CA25" s="15"/>
      <c r="CB25" s="15"/>
      <c r="CC25" s="15"/>
      <c r="CD25" s="342"/>
      <c r="CE25" s="437"/>
      <c r="CF25" s="15"/>
      <c r="CG25" s="15"/>
      <c r="CH25" s="15"/>
      <c r="CI25" s="15"/>
      <c r="CJ25" s="15"/>
      <c r="CK25" s="15"/>
      <c r="CL25" s="15"/>
      <c r="CM25" s="15"/>
      <c r="CN25" s="15"/>
      <c r="CO25" s="15"/>
      <c r="CP25" s="336"/>
      <c r="CQ25" s="15"/>
      <c r="CR25" s="15"/>
      <c r="CS25" s="432"/>
      <c r="CT25" s="15"/>
      <c r="CU25" s="15"/>
      <c r="CV25" s="15"/>
      <c r="CW25" s="15"/>
      <c r="CX25" s="15"/>
      <c r="CY25" s="340"/>
      <c r="CZ25" s="15"/>
      <c r="DA25" s="15"/>
      <c r="DB25" s="15"/>
      <c r="DC25" s="334"/>
      <c r="DD25" s="15"/>
      <c r="DE25" s="15"/>
      <c r="DF25" s="15"/>
      <c r="DG25" s="15"/>
      <c r="DH25" s="15"/>
      <c r="DI25" s="15"/>
      <c r="DJ25" s="15"/>
      <c r="DK25" s="15"/>
      <c r="DL25" s="515"/>
      <c r="DM25" s="15"/>
      <c r="DN25" s="15"/>
      <c r="DO25" s="15"/>
      <c r="DP25" s="15"/>
      <c r="DQ25" s="341"/>
      <c r="DR25" s="15"/>
      <c r="DS25" s="15"/>
      <c r="DT25" s="15"/>
      <c r="DU25" s="340"/>
      <c r="DV25" s="340"/>
      <c r="DW25" s="15"/>
      <c r="DX25" s="15"/>
      <c r="DY25" s="15"/>
      <c r="DZ25" s="15"/>
      <c r="EA25" s="15"/>
      <c r="EB25" s="15"/>
      <c r="EC25" s="15"/>
      <c r="ED25" s="15"/>
      <c r="EE25" s="15"/>
      <c r="EF25" s="15"/>
      <c r="EG25" s="15"/>
      <c r="EH25" s="15"/>
      <c r="EI25" s="15"/>
      <c r="EJ25" s="15"/>
      <c r="EK25" s="15"/>
      <c r="EL25" s="15"/>
      <c r="EM25" s="15"/>
      <c r="EN25" s="327"/>
      <c r="EO25" s="15"/>
      <c r="EP25" s="15"/>
      <c r="EQ25" s="15"/>
      <c r="ER25" s="15"/>
      <c r="ES25" s="15"/>
      <c r="ET25" s="336"/>
      <c r="EU25" s="15"/>
      <c r="EV25" s="15"/>
      <c r="EW25" s="15"/>
      <c r="EX25" s="15" t="s">
        <v>478</v>
      </c>
      <c r="EY25" s="15">
        <v>1</v>
      </c>
      <c r="EZ25" s="15"/>
      <c r="FA25" s="15"/>
      <c r="FB25" s="15"/>
      <c r="FC25" s="336"/>
      <c r="FD25" s="336"/>
      <c r="FE25" s="336"/>
      <c r="FF25" s="15" t="s">
        <v>1602</v>
      </c>
      <c r="FG25" s="15" t="s">
        <v>1660</v>
      </c>
      <c r="FH25" s="15"/>
      <c r="FI25" s="15"/>
      <c r="FJ25" s="15"/>
      <c r="FK25" s="15"/>
      <c r="FL25" s="15"/>
      <c r="FM25" s="15"/>
      <c r="FN25" s="15"/>
      <c r="FO25" s="15"/>
      <c r="FP25" s="15"/>
      <c r="FQ25" s="15"/>
      <c r="FR25" s="15"/>
      <c r="FS25" s="338"/>
      <c r="FT25" s="330"/>
      <c r="FU25" s="15"/>
      <c r="FV25" s="336"/>
      <c r="FW25" s="336"/>
      <c r="FX25" s="15" t="s">
        <v>1791</v>
      </c>
      <c r="FY25" s="15"/>
      <c r="FZ25" s="15" t="s">
        <v>110</v>
      </c>
      <c r="GA25" s="154" t="s">
        <v>2345</v>
      </c>
      <c r="GB25" s="15" t="s">
        <v>1800</v>
      </c>
      <c r="GC25" s="15"/>
      <c r="GD25" s="339">
        <v>60</v>
      </c>
      <c r="GE25" s="15"/>
      <c r="GF25" s="15" t="s">
        <v>1208</v>
      </c>
      <c r="GG25" s="15"/>
      <c r="GH25" s="15"/>
      <c r="GI25" s="15"/>
      <c r="GJ25" s="15"/>
      <c r="GK25" s="15"/>
      <c r="GL25" s="15"/>
      <c r="GM25" s="15" t="s">
        <v>1207</v>
      </c>
      <c r="GN25" s="15"/>
      <c r="GO25" s="15"/>
      <c r="GP25" s="15"/>
      <c r="GQ25" s="15" t="s">
        <v>1208</v>
      </c>
      <c r="GR25" s="15"/>
      <c r="GS25" s="15"/>
      <c r="GT25" s="15" t="s">
        <v>1208</v>
      </c>
      <c r="GU25" s="15" t="s">
        <v>1208</v>
      </c>
      <c r="GV25" s="15"/>
      <c r="GW25" s="15"/>
      <c r="GX25" s="15"/>
      <c r="GY25" s="15"/>
      <c r="GZ25" s="15"/>
      <c r="HA25" s="15"/>
      <c r="HB25" s="15"/>
      <c r="HC25" s="15"/>
      <c r="HD25" s="15"/>
      <c r="HE25" s="15"/>
      <c r="HF25" s="15"/>
      <c r="HG25" s="15"/>
      <c r="HH25" s="15"/>
      <c r="HI25" s="15"/>
      <c r="HJ25" s="15"/>
      <c r="HK25" s="15"/>
      <c r="HL25" s="15"/>
      <c r="HM25" s="15"/>
      <c r="HN25" s="15"/>
      <c r="HO25" s="15"/>
      <c r="HP25" s="15"/>
      <c r="HQ25" s="15"/>
      <c r="HR25" s="327"/>
      <c r="HS25" s="15"/>
      <c r="HT25" s="327"/>
      <c r="HU25" s="327"/>
      <c r="HV25" s="15"/>
      <c r="HW25" s="15"/>
      <c r="HX25" s="15"/>
      <c r="HY25" s="15"/>
      <c r="HZ25" s="15"/>
      <c r="IA25" s="15"/>
      <c r="IB25" s="15"/>
      <c r="IC25" s="15"/>
      <c r="ID25" s="15"/>
      <c r="IE25" s="329"/>
      <c r="IF25" s="15"/>
      <c r="IG25" s="15"/>
      <c r="IH25" s="15"/>
      <c r="II25" s="15"/>
      <c r="IJ25" s="15"/>
      <c r="IK25" s="15"/>
      <c r="IL25" s="15"/>
      <c r="IM25" s="15"/>
      <c r="IN25" s="15"/>
      <c r="IO25" s="15"/>
      <c r="IP25" s="15"/>
      <c r="IQ25" s="15"/>
      <c r="IR25" s="15"/>
      <c r="IS25" s="15"/>
      <c r="IT25" s="336"/>
      <c r="IU25" s="15"/>
      <c r="IV25" s="15"/>
    </row>
    <row r="26" spans="1:256" s="337" customFormat="1" ht="12.75" customHeight="1">
      <c r="C26" s="140" t="s">
        <v>443</v>
      </c>
      <c r="D26" s="343"/>
      <c r="E26" s="154"/>
      <c r="F26" s="154"/>
      <c r="G26" s="154"/>
      <c r="H26" s="343"/>
      <c r="I26" s="324"/>
      <c r="J26" s="343"/>
      <c r="K26" s="154"/>
      <c r="L26" s="154"/>
      <c r="M26" s="154"/>
      <c r="N26" s="154"/>
      <c r="O26" s="154"/>
      <c r="P26" s="343"/>
      <c r="Q26" s="344"/>
      <c r="R26" s="345"/>
      <c r="S26" s="154"/>
      <c r="T26" s="154"/>
      <c r="U26" s="346"/>
      <c r="V26" s="154"/>
      <c r="W26" s="154"/>
      <c r="X26" s="154"/>
      <c r="Y26" s="154"/>
      <c r="Z26" s="154"/>
      <c r="AA26" s="154"/>
      <c r="AB26" s="154"/>
      <c r="AC26" s="154"/>
      <c r="AD26" s="154"/>
      <c r="AE26" s="154"/>
      <c r="AF26" s="154"/>
      <c r="AG26" s="154"/>
      <c r="AH26" s="332" t="s">
        <v>1137</v>
      </c>
      <c r="AI26" s="154"/>
      <c r="AJ26" s="347"/>
      <c r="AK26" s="348"/>
      <c r="AL26" s="349"/>
      <c r="AM26" s="154"/>
      <c r="AN26" s="154"/>
      <c r="AO26" s="154"/>
      <c r="AP26" s="154"/>
      <c r="AQ26" s="154"/>
      <c r="AR26" s="154"/>
      <c r="AS26" s="154"/>
      <c r="AT26" s="154"/>
      <c r="AU26" s="154"/>
      <c r="AV26" s="154"/>
      <c r="AW26" s="154"/>
      <c r="AX26" s="154"/>
      <c r="AY26" s="154"/>
      <c r="AZ26" s="154"/>
      <c r="BA26" s="154"/>
      <c r="BB26" s="154"/>
      <c r="BC26" s="154"/>
      <c r="BD26" s="350"/>
      <c r="BE26" s="350"/>
      <c r="BF26" s="154"/>
      <c r="BG26" s="154"/>
      <c r="BH26" s="154"/>
      <c r="BI26" s="154" t="s">
        <v>1095</v>
      </c>
      <c r="BJ26" s="154" t="s">
        <v>5577</v>
      </c>
      <c r="BK26" s="154" t="s">
        <v>3037</v>
      </c>
      <c r="BL26" s="154" t="s">
        <v>1230</v>
      </c>
      <c r="BM26" s="332" t="s">
        <v>1353</v>
      </c>
      <c r="BN26" s="351">
        <v>31.5</v>
      </c>
      <c r="BO26" s="352">
        <v>31.5</v>
      </c>
      <c r="BP26" s="353">
        <f>BO26/BN26</f>
        <v>1</v>
      </c>
      <c r="BQ26" s="332" t="s">
        <v>1257</v>
      </c>
      <c r="BR26" s="332" t="s">
        <v>1240</v>
      </c>
      <c r="BS26" s="332" t="s">
        <v>1249</v>
      </c>
      <c r="BT26" s="332" t="s">
        <v>1247</v>
      </c>
      <c r="BU26" s="154"/>
      <c r="BV26" s="350"/>
      <c r="BW26" s="154"/>
      <c r="BX26" s="350"/>
      <c r="BY26" s="154"/>
      <c r="BZ26" s="154"/>
      <c r="CA26" s="154"/>
      <c r="CB26" s="154"/>
      <c r="CC26" s="358"/>
      <c r="CD26" s="516"/>
      <c r="CE26" s="517"/>
      <c r="CF26" s="154"/>
      <c r="CG26" s="154"/>
      <c r="CH26" s="154"/>
      <c r="CI26" s="154"/>
      <c r="CJ26" s="154"/>
      <c r="CK26" s="154"/>
      <c r="CL26" s="154"/>
      <c r="CM26" s="154"/>
      <c r="CN26" s="154"/>
      <c r="CO26" s="154"/>
      <c r="CP26" s="350"/>
      <c r="CQ26" s="154"/>
      <c r="CR26" s="154"/>
      <c r="CS26" s="434"/>
      <c r="CT26" s="154"/>
      <c r="CU26" s="154"/>
      <c r="CV26" s="154"/>
      <c r="CW26" s="154"/>
      <c r="CX26" s="154"/>
      <c r="CY26" s="358"/>
      <c r="CZ26" s="154"/>
      <c r="DA26" s="154"/>
      <c r="DB26" s="154"/>
      <c r="DC26" s="359"/>
      <c r="DD26" s="154"/>
      <c r="DE26" s="154"/>
      <c r="DF26" s="154"/>
      <c r="DG26" s="154"/>
      <c r="DH26" s="154"/>
      <c r="DI26" s="154"/>
      <c r="DJ26" s="154"/>
      <c r="DK26" s="154"/>
      <c r="DL26" s="435"/>
      <c r="DM26" s="154"/>
      <c r="DN26" s="154"/>
      <c r="DO26" s="154"/>
      <c r="DP26" s="154"/>
      <c r="DQ26" s="356"/>
      <c r="DR26" s="154"/>
      <c r="DS26" s="154"/>
      <c r="DT26" s="154"/>
      <c r="DU26" s="358"/>
      <c r="DV26" s="358"/>
      <c r="DW26" s="436"/>
      <c r="DX26" s="154"/>
      <c r="DY26" s="154"/>
      <c r="DZ26" s="154"/>
      <c r="EA26" s="154"/>
      <c r="EB26" s="154"/>
      <c r="EC26" s="154"/>
      <c r="ED26" s="154"/>
      <c r="EE26" s="154"/>
      <c r="EF26" s="154"/>
      <c r="EG26" s="154"/>
      <c r="EH26" s="154"/>
      <c r="EI26" s="154"/>
      <c r="EJ26" s="154"/>
      <c r="EK26" s="154"/>
      <c r="EL26" s="154"/>
      <c r="EM26" s="154"/>
      <c r="EN26" s="343"/>
      <c r="EO26" s="154"/>
      <c r="EP26" s="154"/>
      <c r="EQ26" s="154"/>
      <c r="ER26" s="154"/>
      <c r="ES26" s="154"/>
      <c r="ET26" s="350"/>
      <c r="EU26" s="154"/>
      <c r="EV26" s="154"/>
      <c r="EW26" s="154"/>
      <c r="EX26" s="154" t="s">
        <v>1263</v>
      </c>
      <c r="EY26" s="154">
        <v>1</v>
      </c>
      <c r="EZ26" s="154" t="s">
        <v>5578</v>
      </c>
      <c r="FA26" s="154"/>
      <c r="FB26" s="154"/>
      <c r="FC26" s="350"/>
      <c r="FD26" s="350"/>
      <c r="FE26" s="350"/>
      <c r="FF26" s="154" t="s">
        <v>1602</v>
      </c>
      <c r="FG26" s="154" t="s">
        <v>1660</v>
      </c>
      <c r="FH26" s="154"/>
      <c r="FI26" s="154"/>
      <c r="FJ26" s="154"/>
      <c r="FK26" s="154"/>
      <c r="FL26" s="154"/>
      <c r="FM26" s="154"/>
      <c r="FN26" s="154"/>
      <c r="FO26" s="154"/>
      <c r="FP26" s="154"/>
      <c r="FQ26" s="154"/>
      <c r="FR26" s="154"/>
      <c r="FS26" s="354"/>
      <c r="FT26" s="345"/>
      <c r="FU26" s="154"/>
      <c r="FV26" s="350"/>
      <c r="FW26" s="350"/>
      <c r="FX26" s="154"/>
      <c r="FY26" s="154"/>
      <c r="FZ26" s="154"/>
      <c r="GA26" s="154"/>
      <c r="GB26" s="154"/>
      <c r="GC26" s="154"/>
      <c r="GD26" s="355"/>
      <c r="GE26" s="154"/>
      <c r="GF26" s="154"/>
      <c r="GG26" s="154"/>
      <c r="GH26" s="154"/>
      <c r="GI26" s="154"/>
      <c r="GJ26" s="154"/>
      <c r="GK26" s="154"/>
      <c r="GL26" s="154"/>
      <c r="GM26" s="154"/>
      <c r="GN26" s="154"/>
      <c r="GO26" s="154"/>
      <c r="GP26" s="154"/>
      <c r="GQ26" s="154"/>
      <c r="GR26" s="154"/>
      <c r="GS26" s="154"/>
      <c r="GT26" s="154"/>
      <c r="GU26" s="154"/>
      <c r="GV26" s="154"/>
      <c r="GW26" s="154"/>
      <c r="GX26" s="154"/>
      <c r="GY26" s="154"/>
      <c r="GZ26" s="154"/>
      <c r="HA26" s="154"/>
      <c r="HB26" s="154"/>
      <c r="HC26" s="154"/>
      <c r="HD26" s="154"/>
      <c r="HE26" s="154"/>
      <c r="HF26" s="154"/>
      <c r="HG26" s="154"/>
      <c r="HH26" s="154"/>
      <c r="HI26" s="154"/>
      <c r="HJ26" s="154"/>
      <c r="HK26" s="154"/>
      <c r="HL26" s="154"/>
      <c r="HM26" s="154"/>
      <c r="HN26" s="154"/>
      <c r="HO26" s="154"/>
      <c r="HP26" s="154"/>
      <c r="HQ26" s="154"/>
      <c r="HR26" s="154"/>
      <c r="HS26" s="154"/>
      <c r="HT26" s="154"/>
      <c r="HU26" s="154"/>
      <c r="HV26" s="154"/>
      <c r="HW26" s="154"/>
      <c r="HX26" s="154"/>
      <c r="HY26" s="154"/>
      <c r="HZ26" s="154"/>
      <c r="IA26" s="154"/>
      <c r="IB26" s="154"/>
      <c r="IC26" s="154"/>
      <c r="ID26" s="154"/>
      <c r="IE26" s="344"/>
      <c r="IF26" s="154"/>
      <c r="IG26" s="154"/>
      <c r="IH26" s="154"/>
      <c r="II26" s="154"/>
      <c r="IJ26" s="154"/>
      <c r="IK26" s="154"/>
      <c r="IL26" s="154"/>
      <c r="IM26" s="154"/>
      <c r="IN26" s="154"/>
      <c r="IO26" s="154"/>
      <c r="IP26" s="154"/>
      <c r="IQ26" s="154"/>
      <c r="IR26" s="154"/>
      <c r="IS26" s="154"/>
      <c r="IT26" s="350"/>
      <c r="IU26" s="154"/>
      <c r="IV26" s="154"/>
    </row>
    <row r="27" spans="1:256" s="337" customFormat="1" ht="12.75" customHeight="1">
      <c r="C27" s="140" t="s">
        <v>452</v>
      </c>
      <c r="D27" s="154"/>
      <c r="E27" s="154"/>
      <c r="F27" s="154"/>
      <c r="G27" s="154"/>
      <c r="H27" s="154"/>
      <c r="I27" s="324"/>
      <c r="J27" s="343"/>
      <c r="K27" s="154"/>
      <c r="L27" s="154"/>
      <c r="M27" s="154"/>
      <c r="N27" s="154"/>
      <c r="O27" s="154"/>
      <c r="P27" s="154"/>
      <c r="Q27" s="344"/>
      <c r="R27" s="345"/>
      <c r="S27" s="154"/>
      <c r="T27" s="154"/>
      <c r="U27" s="346"/>
      <c r="V27" s="154"/>
      <c r="W27" s="154"/>
      <c r="X27" s="154"/>
      <c r="Y27" s="154"/>
      <c r="Z27" s="154"/>
      <c r="AA27" s="154"/>
      <c r="AB27" s="154"/>
      <c r="AC27" s="154"/>
      <c r="AD27" s="154"/>
      <c r="AE27" s="154"/>
      <c r="AF27" s="154"/>
      <c r="AG27" s="332"/>
      <c r="AH27" s="332" t="s">
        <v>1137</v>
      </c>
      <c r="AI27" s="154"/>
      <c r="AJ27" s="355"/>
      <c r="AK27" s="359"/>
      <c r="AL27" s="360"/>
      <c r="AM27" s="154"/>
      <c r="AN27" s="154"/>
      <c r="AO27" s="154"/>
      <c r="AP27" s="154"/>
      <c r="AQ27" s="154"/>
      <c r="AR27" s="154"/>
      <c r="AS27" s="154"/>
      <c r="AT27" s="154"/>
      <c r="AU27" s="154"/>
      <c r="AV27" s="154"/>
      <c r="AW27" s="154"/>
      <c r="AX27" s="154"/>
      <c r="AY27" s="154"/>
      <c r="AZ27" s="154"/>
      <c r="BA27" s="154"/>
      <c r="BB27" s="154"/>
      <c r="BC27" s="154"/>
      <c r="BD27" s="350"/>
      <c r="BE27" s="350"/>
      <c r="BF27" s="154"/>
      <c r="BG27" s="154"/>
      <c r="BH27" s="154"/>
      <c r="BI27" s="154" t="s">
        <v>1095</v>
      </c>
      <c r="BJ27" s="154" t="s">
        <v>5593</v>
      </c>
      <c r="BK27" s="154" t="s">
        <v>1096</v>
      </c>
      <c r="BL27" s="154" t="s">
        <v>1230</v>
      </c>
      <c r="BM27" s="154" t="s">
        <v>1353</v>
      </c>
      <c r="BN27" s="348">
        <v>18</v>
      </c>
      <c r="BO27" s="359">
        <v>3</v>
      </c>
      <c r="BP27" s="360">
        <f>BO27/BN27</f>
        <v>0.16666666666666666</v>
      </c>
      <c r="BQ27" s="154" t="s">
        <v>1242</v>
      </c>
      <c r="BR27" s="154" t="s">
        <v>1355</v>
      </c>
      <c r="BS27" s="154" t="s">
        <v>1356</v>
      </c>
      <c r="BT27" s="154" t="s">
        <v>1247</v>
      </c>
      <c r="BU27" s="154">
        <v>1994</v>
      </c>
      <c r="BV27" s="350"/>
      <c r="BW27" s="154"/>
      <c r="BX27" s="350"/>
      <c r="BY27" s="154"/>
      <c r="BZ27" s="154"/>
      <c r="CA27" s="154"/>
      <c r="CB27" s="154"/>
      <c r="CC27" s="154"/>
      <c r="CD27" s="357"/>
      <c r="CE27" s="433"/>
      <c r="CF27" s="154"/>
      <c r="CG27" s="154"/>
      <c r="CH27" s="154"/>
      <c r="CI27" s="154"/>
      <c r="CJ27" s="154"/>
      <c r="CK27" s="154"/>
      <c r="CL27" s="154"/>
      <c r="CM27" s="154"/>
      <c r="CN27" s="154"/>
      <c r="CO27" s="154"/>
      <c r="CP27" s="350"/>
      <c r="CQ27" s="154"/>
      <c r="CR27" s="154"/>
      <c r="CS27" s="434"/>
      <c r="CT27" s="154"/>
      <c r="CU27" s="154"/>
      <c r="CV27" s="154"/>
      <c r="CW27" s="154"/>
      <c r="CX27" s="154"/>
      <c r="CY27" s="358"/>
      <c r="CZ27" s="154"/>
      <c r="DA27" s="154"/>
      <c r="DB27" s="154"/>
      <c r="DC27" s="359"/>
      <c r="DD27" s="154"/>
      <c r="DE27" s="154"/>
      <c r="DF27" s="154"/>
      <c r="DG27" s="154"/>
      <c r="DH27" s="154"/>
      <c r="DI27" s="154"/>
      <c r="DJ27" s="154"/>
      <c r="DK27" s="154"/>
      <c r="DL27" s="435"/>
      <c r="DM27" s="154"/>
      <c r="DN27" s="154"/>
      <c r="DO27" s="154"/>
      <c r="DP27" s="154"/>
      <c r="DQ27" s="356"/>
      <c r="DR27" s="154"/>
      <c r="DS27" s="154"/>
      <c r="DT27" s="154"/>
      <c r="DU27" s="358"/>
      <c r="DV27" s="358"/>
      <c r="DW27" s="154"/>
      <c r="DX27" s="154"/>
      <c r="DY27" s="154"/>
      <c r="DZ27" s="154"/>
      <c r="EA27" s="154"/>
      <c r="EB27" s="154"/>
      <c r="EC27" s="154"/>
      <c r="ED27" s="154"/>
      <c r="EE27" s="154"/>
      <c r="EF27" s="154"/>
      <c r="EG27" s="154"/>
      <c r="EH27" s="154"/>
      <c r="EI27" s="154"/>
      <c r="EJ27" s="154"/>
      <c r="EK27" s="154"/>
      <c r="EL27" s="154"/>
      <c r="EM27" s="154"/>
      <c r="EN27" s="343"/>
      <c r="EO27" s="154"/>
      <c r="EP27" s="154"/>
      <c r="EQ27" s="154"/>
      <c r="ER27" s="154"/>
      <c r="ES27" s="154"/>
      <c r="ET27" s="350"/>
      <c r="EU27" s="154"/>
      <c r="EV27" s="154"/>
      <c r="EW27" s="154"/>
      <c r="EX27" s="154"/>
      <c r="EY27" s="154"/>
      <c r="EZ27" s="154"/>
      <c r="FA27" s="154"/>
      <c r="FB27" s="154"/>
      <c r="FC27" s="350"/>
      <c r="FD27" s="350"/>
      <c r="FE27" s="350"/>
      <c r="FF27" s="154"/>
      <c r="FG27" s="154"/>
      <c r="FH27" s="154"/>
      <c r="FI27" s="154"/>
      <c r="FJ27" s="154"/>
      <c r="FK27" s="154"/>
      <c r="FL27" s="154"/>
      <c r="FM27" s="154"/>
      <c r="FN27" s="154"/>
      <c r="FO27" s="154"/>
      <c r="FP27" s="154"/>
      <c r="FQ27" s="154"/>
      <c r="FR27" s="154"/>
      <c r="FS27" s="354"/>
      <c r="FT27" s="345"/>
      <c r="FU27" s="154"/>
      <c r="FV27" s="350"/>
      <c r="FW27" s="350"/>
      <c r="FX27" s="154"/>
      <c r="FY27" s="154"/>
      <c r="FZ27" s="154"/>
      <c r="GA27" s="154"/>
      <c r="GB27" s="154"/>
      <c r="GC27" s="154"/>
      <c r="GD27" s="361"/>
      <c r="GE27" s="154"/>
      <c r="GF27" s="154"/>
      <c r="GG27" s="154"/>
      <c r="GH27" s="154"/>
      <c r="GI27" s="154"/>
      <c r="GJ27" s="154"/>
      <c r="GK27" s="154"/>
      <c r="GL27" s="154"/>
      <c r="GM27" s="154"/>
      <c r="GN27" s="154"/>
      <c r="GO27" s="154"/>
      <c r="GP27" s="154"/>
      <c r="GQ27" s="154"/>
      <c r="GR27" s="154"/>
      <c r="GS27" s="154"/>
      <c r="GT27" s="154"/>
      <c r="GU27" s="154"/>
      <c r="GV27" s="154"/>
      <c r="GW27" s="154"/>
      <c r="GX27" s="154"/>
      <c r="GY27" s="154"/>
      <c r="GZ27" s="154"/>
      <c r="HA27" s="154"/>
      <c r="HB27" s="154"/>
      <c r="HC27" s="154"/>
      <c r="HD27" s="154"/>
      <c r="HE27" s="154"/>
      <c r="HF27" s="154"/>
      <c r="HG27" s="154"/>
      <c r="HH27" s="154"/>
      <c r="HI27" s="154"/>
      <c r="HJ27" s="154"/>
      <c r="HK27" s="154"/>
      <c r="HL27" s="154"/>
      <c r="HM27" s="154"/>
      <c r="HN27" s="154"/>
      <c r="HO27" s="154"/>
      <c r="HP27" s="154"/>
      <c r="HQ27" s="154"/>
      <c r="HR27" s="154"/>
      <c r="HS27" s="154"/>
      <c r="HT27" s="154"/>
      <c r="HU27" s="154"/>
      <c r="HV27" s="154"/>
      <c r="HW27" s="154"/>
      <c r="HX27" s="154"/>
      <c r="HY27" s="154"/>
      <c r="HZ27" s="154"/>
      <c r="IA27" s="154"/>
      <c r="IB27" s="154"/>
      <c r="IC27" s="154"/>
      <c r="ID27" s="154"/>
      <c r="IE27" s="344"/>
      <c r="IF27" s="154"/>
      <c r="IG27" s="154"/>
      <c r="IH27" s="154"/>
      <c r="II27" s="154"/>
      <c r="IJ27" s="154"/>
      <c r="IK27" s="154"/>
      <c r="IL27" s="154"/>
      <c r="IM27" s="154"/>
      <c r="IN27" s="154"/>
      <c r="IO27" s="154"/>
      <c r="IP27" s="154"/>
      <c r="IQ27" s="154"/>
      <c r="IR27" s="154"/>
      <c r="IS27" s="154"/>
      <c r="IT27" s="350"/>
      <c r="IU27" s="154"/>
      <c r="IV27" s="154"/>
    </row>
    <row r="28" spans="1:256" s="337" customFormat="1" ht="12.75" customHeight="1">
      <c r="C28" s="282"/>
      <c r="D28" s="343" t="s">
        <v>460</v>
      </c>
      <c r="E28" s="154" t="s">
        <v>5606</v>
      </c>
      <c r="F28" s="154" t="s">
        <v>20</v>
      </c>
      <c r="G28" s="154" t="s">
        <v>18</v>
      </c>
      <c r="H28" s="154"/>
      <c r="I28" s="324" t="s">
        <v>461</v>
      </c>
      <c r="J28" s="343" t="s">
        <v>462</v>
      </c>
      <c r="K28" s="154"/>
      <c r="L28" s="154"/>
      <c r="M28" s="154"/>
      <c r="N28" s="154"/>
      <c r="O28" s="154"/>
      <c r="P28" s="154" t="s">
        <v>971</v>
      </c>
      <c r="Q28" s="344">
        <v>31860</v>
      </c>
      <c r="R28" s="345">
        <v>30</v>
      </c>
      <c r="S28" s="154" t="s">
        <v>10</v>
      </c>
      <c r="T28" s="154"/>
      <c r="U28" s="346" t="s">
        <v>461</v>
      </c>
      <c r="V28" s="154" t="s">
        <v>707</v>
      </c>
      <c r="W28" s="154" t="s">
        <v>972</v>
      </c>
      <c r="X28" s="154" t="s">
        <v>973</v>
      </c>
      <c r="Y28" s="154" t="s">
        <v>709</v>
      </c>
      <c r="Z28" s="154" t="s">
        <v>710</v>
      </c>
      <c r="AA28" s="154"/>
      <c r="AB28" s="154" t="s">
        <v>711</v>
      </c>
      <c r="AC28" s="154"/>
      <c r="AD28" s="154" t="s">
        <v>712</v>
      </c>
      <c r="AE28" s="154" t="s">
        <v>1132</v>
      </c>
      <c r="AF28" s="332" t="s">
        <v>1100</v>
      </c>
      <c r="AG28" s="332"/>
      <c r="AH28" s="332" t="s">
        <v>1137</v>
      </c>
      <c r="AI28" s="154" t="s">
        <v>1101</v>
      </c>
      <c r="AJ28" s="355"/>
      <c r="AK28" s="359"/>
      <c r="AL28" s="360"/>
      <c r="AM28" s="154" t="s">
        <v>1122</v>
      </c>
      <c r="AN28" s="154"/>
      <c r="AO28" s="154"/>
      <c r="AP28" s="154"/>
      <c r="AQ28" s="154"/>
      <c r="AR28" s="154"/>
      <c r="AS28" s="154"/>
      <c r="AT28" s="154"/>
      <c r="AU28" s="154"/>
      <c r="AV28" s="154"/>
      <c r="AW28" s="154"/>
      <c r="AX28" s="154"/>
      <c r="AY28" s="154"/>
      <c r="AZ28" s="154"/>
      <c r="BA28" s="154"/>
      <c r="BB28" s="154"/>
      <c r="BC28" s="154"/>
      <c r="BD28" s="350"/>
      <c r="BE28" s="350"/>
      <c r="BF28" s="154"/>
      <c r="BG28" s="154"/>
      <c r="BH28" s="154"/>
      <c r="BI28" s="332" t="s">
        <v>1095</v>
      </c>
      <c r="BJ28" s="332" t="s">
        <v>5598</v>
      </c>
      <c r="BK28" s="332" t="s">
        <v>1100</v>
      </c>
      <c r="BL28" s="332" t="s">
        <v>1230</v>
      </c>
      <c r="BM28" s="154"/>
      <c r="BN28" s="348"/>
      <c r="BO28" s="359"/>
      <c r="BP28" s="360"/>
      <c r="BQ28" s="154"/>
      <c r="BR28" s="154"/>
      <c r="BS28" s="154"/>
      <c r="BT28" s="154"/>
      <c r="BU28" s="154"/>
      <c r="BV28" s="350"/>
      <c r="BW28" s="154"/>
      <c r="BX28" s="350"/>
      <c r="BY28" s="154"/>
      <c r="BZ28" s="154"/>
      <c r="CA28" s="154"/>
      <c r="CB28" s="154"/>
      <c r="CC28" s="154"/>
      <c r="CD28" s="154"/>
      <c r="CE28" s="154"/>
      <c r="CF28" s="154"/>
      <c r="CG28" s="154"/>
      <c r="CH28" s="154"/>
      <c r="CI28" s="154"/>
      <c r="CJ28" s="154"/>
      <c r="CK28" s="154"/>
      <c r="CL28" s="154"/>
      <c r="CM28" s="154"/>
      <c r="CN28" s="154"/>
      <c r="CO28" s="154"/>
      <c r="CP28" s="350"/>
      <c r="CQ28" s="154"/>
      <c r="CR28" s="154"/>
      <c r="CS28" s="434"/>
      <c r="CT28" s="154"/>
      <c r="CU28" s="154"/>
      <c r="CV28" s="154"/>
      <c r="CW28" s="154"/>
      <c r="CX28" s="154"/>
      <c r="CY28" s="154"/>
      <c r="CZ28" s="154"/>
      <c r="DA28" s="154"/>
      <c r="DB28" s="154"/>
      <c r="DC28" s="154"/>
      <c r="DD28" s="154"/>
      <c r="DE28" s="154"/>
      <c r="DF28" s="154"/>
      <c r="DG28" s="154"/>
      <c r="DH28" s="154"/>
      <c r="DI28" s="154"/>
      <c r="DJ28" s="154"/>
      <c r="DK28" s="154"/>
      <c r="DL28" s="154"/>
      <c r="DM28" s="154"/>
      <c r="DN28" s="154"/>
      <c r="DO28" s="154"/>
      <c r="DP28" s="154"/>
      <c r="DQ28" s="356"/>
      <c r="DR28" s="154"/>
      <c r="DS28" s="154"/>
      <c r="DT28" s="154"/>
      <c r="DU28" s="358"/>
      <c r="DV28" s="358"/>
      <c r="DW28" s="154"/>
      <c r="DX28" s="154"/>
      <c r="DY28" s="154"/>
      <c r="DZ28" s="154"/>
      <c r="EA28" s="154"/>
      <c r="EB28" s="154"/>
      <c r="EC28" s="154"/>
      <c r="ED28" s="154"/>
      <c r="EE28" s="154"/>
      <c r="EF28" s="154"/>
      <c r="EG28" s="154"/>
      <c r="EH28" s="154"/>
      <c r="EI28" s="154"/>
      <c r="EJ28" s="154"/>
      <c r="EK28" s="154"/>
      <c r="EL28" s="154"/>
      <c r="EM28" s="154"/>
      <c r="EN28" s="154"/>
      <c r="EO28" s="154"/>
      <c r="EP28" s="154"/>
      <c r="EQ28" s="154"/>
      <c r="ER28" s="154"/>
      <c r="ES28" s="154"/>
      <c r="ET28" s="350"/>
      <c r="EU28" s="154"/>
      <c r="EV28" s="154"/>
      <c r="EW28" s="154"/>
      <c r="EX28" s="154" t="s">
        <v>1299</v>
      </c>
      <c r="EY28" s="154"/>
      <c r="EZ28" s="154" t="s">
        <v>5600</v>
      </c>
      <c r="FA28" s="154"/>
      <c r="FB28" s="154"/>
      <c r="FC28" s="350"/>
      <c r="FD28" s="350"/>
      <c r="FE28" s="350"/>
      <c r="FF28" s="154"/>
      <c r="FG28" s="154"/>
      <c r="FH28" s="154"/>
      <c r="FI28" s="154"/>
      <c r="FJ28" s="154"/>
      <c r="FK28" s="154"/>
      <c r="FL28" s="154"/>
      <c r="FM28" s="154"/>
      <c r="FN28" s="154"/>
      <c r="FO28" s="154"/>
      <c r="FP28" s="154"/>
      <c r="FQ28" s="154"/>
      <c r="FR28" s="154"/>
      <c r="FS28" s="354"/>
      <c r="FT28" s="345"/>
      <c r="FU28" s="154"/>
      <c r="FV28" s="350"/>
      <c r="FW28" s="350"/>
      <c r="FX28" s="154"/>
      <c r="FY28" s="154"/>
      <c r="FZ28" s="154"/>
      <c r="GA28" s="154"/>
      <c r="GB28" s="154"/>
      <c r="GC28" s="154"/>
      <c r="GD28" s="361"/>
      <c r="GE28" s="154"/>
      <c r="GF28" s="154"/>
      <c r="GG28" s="154"/>
      <c r="GH28" s="154"/>
      <c r="GI28" s="154"/>
      <c r="GJ28" s="154"/>
      <c r="GK28" s="154"/>
      <c r="GL28" s="154"/>
      <c r="GM28" s="154"/>
      <c r="GN28" s="154"/>
      <c r="GO28" s="154"/>
      <c r="GP28" s="154"/>
      <c r="GQ28" s="154"/>
      <c r="GR28" s="154"/>
      <c r="GS28" s="154"/>
      <c r="GT28" s="154"/>
      <c r="GU28" s="154"/>
      <c r="GV28" s="154"/>
      <c r="GW28" s="154"/>
      <c r="GX28" s="154"/>
      <c r="GY28" s="154"/>
      <c r="GZ28" s="154"/>
      <c r="HA28" s="154"/>
      <c r="HB28" s="154"/>
      <c r="HC28" s="154"/>
      <c r="HD28" s="154"/>
      <c r="HE28" s="154"/>
      <c r="HF28" s="154"/>
      <c r="HG28" s="154"/>
      <c r="HH28" s="154"/>
      <c r="HI28" s="154"/>
      <c r="HJ28" s="154"/>
      <c r="HK28" s="154"/>
      <c r="HL28" s="154"/>
      <c r="HM28" s="154"/>
      <c r="HN28" s="154"/>
      <c r="HO28" s="154"/>
      <c r="HP28" s="154"/>
      <c r="HQ28" s="154"/>
      <c r="HR28" s="154"/>
      <c r="HS28" s="154"/>
      <c r="HT28" s="154"/>
      <c r="HU28" s="154"/>
      <c r="HV28" s="154" t="s">
        <v>460</v>
      </c>
      <c r="HW28" s="154" t="s">
        <v>18</v>
      </c>
      <c r="HX28" s="154" t="s">
        <v>1985</v>
      </c>
      <c r="HY28" s="154" t="s">
        <v>978</v>
      </c>
      <c r="HZ28" s="154" t="s">
        <v>1835</v>
      </c>
      <c r="IA28" s="15" t="s">
        <v>1888</v>
      </c>
      <c r="IB28" s="154" t="s">
        <v>1986</v>
      </c>
      <c r="IC28" s="154">
        <v>2016</v>
      </c>
      <c r="ID28" s="154" t="s">
        <v>2237</v>
      </c>
      <c r="IE28" s="344">
        <v>35411</v>
      </c>
      <c r="IF28" s="154" t="s">
        <v>478</v>
      </c>
      <c r="IG28" s="154" t="s">
        <v>1987</v>
      </c>
      <c r="IH28" s="154" t="s">
        <v>2716</v>
      </c>
      <c r="II28" s="154" t="s">
        <v>1988</v>
      </c>
      <c r="IJ28" s="154"/>
      <c r="IK28" s="154" t="s">
        <v>1208</v>
      </c>
      <c r="IL28" s="154"/>
      <c r="IM28" s="154" t="s">
        <v>1989</v>
      </c>
      <c r="IN28" s="154"/>
      <c r="IO28" s="154"/>
      <c r="IP28" s="154"/>
      <c r="IQ28" s="154"/>
      <c r="IR28" s="154"/>
      <c r="IS28" s="154"/>
      <c r="IT28" s="350">
        <v>700</v>
      </c>
      <c r="IU28" s="154"/>
      <c r="IV28" s="154"/>
    </row>
    <row r="29" spans="1:256" s="337" customFormat="1" ht="12.75" customHeight="1">
      <c r="C29" s="140" t="s">
        <v>471</v>
      </c>
      <c r="D29" s="154" t="s">
        <v>472</v>
      </c>
      <c r="E29" s="154" t="s">
        <v>5606</v>
      </c>
      <c r="F29" s="154" t="s">
        <v>20</v>
      </c>
      <c r="G29" s="154" t="s">
        <v>18</v>
      </c>
      <c r="H29" s="154"/>
      <c r="I29" s="324"/>
      <c r="J29" s="343" t="s">
        <v>473</v>
      </c>
      <c r="K29" s="154"/>
      <c r="L29" s="154"/>
      <c r="M29" s="154"/>
      <c r="N29" s="154"/>
      <c r="O29" s="154"/>
      <c r="P29" s="154" t="s">
        <v>473</v>
      </c>
      <c r="Q29" s="344">
        <v>33008</v>
      </c>
      <c r="R29" s="345">
        <v>26</v>
      </c>
      <c r="S29" s="154" t="s">
        <v>10</v>
      </c>
      <c r="T29" s="154"/>
      <c r="U29" s="346" t="s">
        <v>983</v>
      </c>
      <c r="V29" s="154" t="s">
        <v>707</v>
      </c>
      <c r="W29" s="154" t="s">
        <v>984</v>
      </c>
      <c r="X29" s="154" t="s">
        <v>708</v>
      </c>
      <c r="Y29" s="154" t="s">
        <v>709</v>
      </c>
      <c r="Z29" s="154" t="s">
        <v>710</v>
      </c>
      <c r="AA29" s="154" t="s">
        <v>724</v>
      </c>
      <c r="AB29" s="154"/>
      <c r="AC29" s="154" t="s">
        <v>909</v>
      </c>
      <c r="AD29" s="154" t="s">
        <v>712</v>
      </c>
      <c r="AE29" s="154" t="s">
        <v>1132</v>
      </c>
      <c r="AF29" s="154" t="s">
        <v>1096</v>
      </c>
      <c r="AG29" s="332"/>
      <c r="AH29" s="154" t="s">
        <v>1137</v>
      </c>
      <c r="AI29" s="154" t="s">
        <v>1101</v>
      </c>
      <c r="AJ29" s="355"/>
      <c r="AK29" s="359"/>
      <c r="AL29" s="360"/>
      <c r="AM29" s="154" t="s">
        <v>1122</v>
      </c>
      <c r="AN29" s="154"/>
      <c r="AO29" s="154"/>
      <c r="AP29" s="154"/>
      <c r="AQ29" s="154"/>
      <c r="AR29" s="154"/>
      <c r="AS29" s="154"/>
      <c r="AT29" s="154"/>
      <c r="AU29" s="154"/>
      <c r="AV29" s="154"/>
      <c r="AW29" s="154"/>
      <c r="AX29" s="154"/>
      <c r="AY29" s="154"/>
      <c r="AZ29" s="154"/>
      <c r="BA29" s="154"/>
      <c r="BB29" s="154"/>
      <c r="BC29" s="154"/>
      <c r="BD29" s="350"/>
      <c r="BE29" s="350"/>
      <c r="BF29" s="154"/>
      <c r="BG29" s="154"/>
      <c r="BH29" s="154"/>
      <c r="BI29" s="154" t="s">
        <v>1095</v>
      </c>
      <c r="BJ29" s="154" t="s">
        <v>1360</v>
      </c>
      <c r="BK29" s="154" t="s">
        <v>1096</v>
      </c>
      <c r="BL29" s="154" t="s">
        <v>1230</v>
      </c>
      <c r="BM29" s="154" t="s">
        <v>1252</v>
      </c>
      <c r="BN29" s="348">
        <v>20</v>
      </c>
      <c r="BO29" s="359">
        <v>20</v>
      </c>
      <c r="BP29" s="360">
        <f>BO29/BN29</f>
        <v>1</v>
      </c>
      <c r="BQ29" s="154" t="s">
        <v>1257</v>
      </c>
      <c r="BR29" s="154" t="s">
        <v>1326</v>
      </c>
      <c r="BS29" s="154" t="s">
        <v>1267</v>
      </c>
      <c r="BT29" s="154" t="s">
        <v>1247</v>
      </c>
      <c r="BU29" s="154"/>
      <c r="BV29" s="350"/>
      <c r="BW29" s="154"/>
      <c r="BX29" s="350"/>
      <c r="BY29" s="154"/>
      <c r="BZ29" s="154"/>
      <c r="CA29" s="154"/>
      <c r="CB29" s="154"/>
      <c r="CC29" s="154"/>
      <c r="CD29" s="357"/>
      <c r="CE29" s="433"/>
      <c r="CF29" s="154"/>
      <c r="CG29" s="154"/>
      <c r="CH29" s="154"/>
      <c r="CI29" s="154"/>
      <c r="CJ29" s="154"/>
      <c r="CK29" s="154"/>
      <c r="CL29" s="154"/>
      <c r="CM29" s="154"/>
      <c r="CN29" s="154"/>
      <c r="CO29" s="154"/>
      <c r="CP29" s="350"/>
      <c r="CQ29" s="154"/>
      <c r="CR29" s="154"/>
      <c r="CS29" s="434"/>
      <c r="CT29" s="154"/>
      <c r="CU29" s="154"/>
      <c r="CV29" s="154"/>
      <c r="CW29" s="154"/>
      <c r="CX29" s="154"/>
      <c r="CY29" s="358"/>
      <c r="CZ29" s="154"/>
      <c r="DA29" s="154"/>
      <c r="DB29" s="154"/>
      <c r="DC29" s="359"/>
      <c r="DD29" s="154"/>
      <c r="DE29" s="154"/>
      <c r="DF29" s="154"/>
      <c r="DG29" s="154"/>
      <c r="DH29" s="154"/>
      <c r="DI29" s="154"/>
      <c r="DJ29" s="154"/>
      <c r="DK29" s="154"/>
      <c r="DL29" s="435"/>
      <c r="DM29" s="154"/>
      <c r="DN29" s="154"/>
      <c r="DO29" s="154"/>
      <c r="DP29" s="154"/>
      <c r="DQ29" s="356"/>
      <c r="DR29" s="154"/>
      <c r="DS29" s="154"/>
      <c r="DT29" s="154"/>
      <c r="DU29" s="358"/>
      <c r="DV29" s="358"/>
      <c r="DW29" s="154"/>
      <c r="DX29" s="154"/>
      <c r="DY29" s="154"/>
      <c r="DZ29" s="154"/>
      <c r="EA29" s="154"/>
      <c r="EB29" s="154"/>
      <c r="EC29" s="154"/>
      <c r="ED29" s="154"/>
      <c r="EE29" s="154"/>
      <c r="EF29" s="154"/>
      <c r="EG29" s="154"/>
      <c r="EH29" s="154"/>
      <c r="EI29" s="154"/>
      <c r="EJ29" s="154"/>
      <c r="EK29" s="154"/>
      <c r="EL29" s="154"/>
      <c r="EM29" s="154"/>
      <c r="EN29" s="343"/>
      <c r="EO29" s="154"/>
      <c r="EP29" s="154"/>
      <c r="EQ29" s="154"/>
      <c r="ER29" s="154"/>
      <c r="ES29" s="154"/>
      <c r="ET29" s="350"/>
      <c r="EU29" s="154"/>
      <c r="EV29" s="154"/>
      <c r="EW29" s="154"/>
      <c r="EX29" s="154" t="s">
        <v>478</v>
      </c>
      <c r="EY29" s="154">
        <v>1</v>
      </c>
      <c r="EZ29" s="154"/>
      <c r="FA29" s="154"/>
      <c r="FB29" s="154"/>
      <c r="FC29" s="350"/>
      <c r="FD29" s="350"/>
      <c r="FE29" s="350"/>
      <c r="FF29" s="332" t="s">
        <v>1602</v>
      </c>
      <c r="FG29" s="332" t="s">
        <v>1660</v>
      </c>
      <c r="FH29" s="154" t="s">
        <v>1214</v>
      </c>
      <c r="FI29" s="154"/>
      <c r="FJ29" s="154"/>
      <c r="FK29" s="154"/>
      <c r="FL29" s="154"/>
      <c r="FM29" s="154"/>
      <c r="FN29" s="154"/>
      <c r="FO29" s="154"/>
      <c r="FP29" s="154"/>
      <c r="FQ29" s="154"/>
      <c r="FR29" s="154"/>
      <c r="FS29" s="354"/>
      <c r="FT29" s="345"/>
      <c r="FU29" s="154" t="s">
        <v>1207</v>
      </c>
      <c r="FV29" s="350">
        <v>2000</v>
      </c>
      <c r="FW29" s="350">
        <f>FV29*12</f>
        <v>24000</v>
      </c>
      <c r="FX29" s="49"/>
      <c r="FY29" s="154"/>
      <c r="FZ29" s="154"/>
      <c r="GA29" s="154"/>
      <c r="GB29" s="154"/>
      <c r="GC29" s="154"/>
      <c r="GD29" s="361"/>
      <c r="GE29" s="154"/>
      <c r="GF29" s="154"/>
      <c r="GG29" s="154"/>
      <c r="GH29" s="154"/>
      <c r="GI29" s="154"/>
      <c r="GJ29" s="154"/>
      <c r="GK29" s="154"/>
      <c r="GL29" s="154"/>
      <c r="GM29" s="154"/>
      <c r="GN29" s="154"/>
      <c r="GO29" s="154"/>
      <c r="GP29" s="154"/>
      <c r="GQ29" s="154"/>
      <c r="GR29" s="154"/>
      <c r="GS29" s="154"/>
      <c r="GT29" s="154"/>
      <c r="GU29" s="154"/>
      <c r="GV29" s="154"/>
      <c r="GW29" s="154"/>
      <c r="GX29" s="154"/>
      <c r="GY29" s="154" t="s">
        <v>1214</v>
      </c>
      <c r="GZ29" s="154"/>
      <c r="HA29" s="154"/>
      <c r="HB29" s="154" t="s">
        <v>1214</v>
      </c>
      <c r="HC29" s="154"/>
      <c r="HD29" s="154"/>
      <c r="HE29" s="154"/>
      <c r="HF29" s="154"/>
      <c r="HG29" s="154"/>
      <c r="HH29" s="154"/>
      <c r="HI29" s="154"/>
      <c r="HJ29" s="154"/>
      <c r="HK29" s="154"/>
      <c r="HL29" s="154"/>
      <c r="HM29" s="154"/>
      <c r="HN29" s="154"/>
      <c r="HO29" s="154"/>
      <c r="HP29" s="154"/>
      <c r="HQ29" s="154"/>
      <c r="HR29" s="154"/>
      <c r="HS29" s="154"/>
      <c r="HT29" s="154"/>
      <c r="HU29" s="154">
        <v>1</v>
      </c>
      <c r="HV29" s="154" t="s">
        <v>1990</v>
      </c>
      <c r="HW29" s="154" t="s">
        <v>18</v>
      </c>
      <c r="HX29" s="154" t="s">
        <v>478</v>
      </c>
      <c r="HY29" s="154" t="s">
        <v>978</v>
      </c>
      <c r="HZ29" s="154" t="s">
        <v>1835</v>
      </c>
      <c r="IA29" s="15" t="s">
        <v>1888</v>
      </c>
      <c r="IB29" s="154" t="s">
        <v>5607</v>
      </c>
      <c r="IC29" s="154">
        <v>2000</v>
      </c>
      <c r="ID29" s="154" t="s">
        <v>472</v>
      </c>
      <c r="IE29" s="344">
        <v>33873</v>
      </c>
      <c r="IF29" s="154" t="s">
        <v>1991</v>
      </c>
      <c r="IG29" s="154" t="s">
        <v>5498</v>
      </c>
      <c r="IH29" s="154" t="s">
        <v>2716</v>
      </c>
      <c r="II29" s="154"/>
      <c r="IJ29" s="154"/>
      <c r="IK29" s="154" t="s">
        <v>1208</v>
      </c>
      <c r="IL29" s="154"/>
      <c r="IM29" s="154" t="s">
        <v>1992</v>
      </c>
      <c r="IN29" s="154"/>
      <c r="IO29" s="154" t="s">
        <v>1993</v>
      </c>
      <c r="IP29" s="154"/>
      <c r="IQ29" s="154"/>
      <c r="IR29" s="154"/>
      <c r="IS29" s="154"/>
      <c r="IT29" s="350">
        <v>2000</v>
      </c>
      <c r="IU29" s="154"/>
      <c r="IV29" s="154"/>
    </row>
    <row r="30" spans="1:256" s="337" customFormat="1" ht="12.75" customHeight="1">
      <c r="C30" s="282" t="s">
        <v>489</v>
      </c>
      <c r="D30" s="343" t="s">
        <v>490</v>
      </c>
      <c r="E30" s="154" t="s">
        <v>484</v>
      </c>
      <c r="F30" s="154" t="s">
        <v>20</v>
      </c>
      <c r="G30" s="154" t="s">
        <v>18</v>
      </c>
      <c r="H30" s="154"/>
      <c r="I30" s="324" t="s">
        <v>999</v>
      </c>
      <c r="J30" s="343" t="s">
        <v>491</v>
      </c>
      <c r="K30" s="154"/>
      <c r="L30" s="154"/>
      <c r="M30" s="154"/>
      <c r="N30" s="154"/>
      <c r="O30" s="154"/>
      <c r="P30" s="154" t="s">
        <v>998</v>
      </c>
      <c r="Q30" s="344">
        <v>31146</v>
      </c>
      <c r="R30" s="345">
        <v>31</v>
      </c>
      <c r="S30" s="4" t="s">
        <v>18</v>
      </c>
      <c r="T30" s="154"/>
      <c r="U30" s="346" t="s">
        <v>999</v>
      </c>
      <c r="V30" s="154" t="s">
        <v>722</v>
      </c>
      <c r="W30" s="154" t="s">
        <v>1000</v>
      </c>
      <c r="X30" s="154" t="s">
        <v>988</v>
      </c>
      <c r="Y30" s="154" t="s">
        <v>709</v>
      </c>
      <c r="Z30" s="154" t="s">
        <v>710</v>
      </c>
      <c r="AA30" s="154"/>
      <c r="AB30" s="154"/>
      <c r="AC30" s="154" t="s">
        <v>968</v>
      </c>
      <c r="AD30" s="154" t="s">
        <v>968</v>
      </c>
      <c r="AE30" s="154" t="s">
        <v>1132</v>
      </c>
      <c r="AF30" s="154" t="s">
        <v>1096</v>
      </c>
      <c r="AG30" s="332"/>
      <c r="AH30" s="154" t="s">
        <v>1137</v>
      </c>
      <c r="AI30" s="154" t="s">
        <v>1101</v>
      </c>
      <c r="AJ30" s="355"/>
      <c r="AK30" s="359"/>
      <c r="AL30" s="360"/>
      <c r="AM30" s="154" t="s">
        <v>1122</v>
      </c>
      <c r="AN30" s="154"/>
      <c r="AO30" s="154"/>
      <c r="AP30" s="154"/>
      <c r="AQ30" s="154"/>
      <c r="AR30" s="154"/>
      <c r="AS30" s="154"/>
      <c r="AT30" s="154"/>
      <c r="AU30" s="154"/>
      <c r="AV30" s="154"/>
      <c r="AW30" s="154"/>
      <c r="AX30" s="154"/>
      <c r="AY30" s="154"/>
      <c r="AZ30" s="154"/>
      <c r="BA30" s="154"/>
      <c r="BB30" s="154"/>
      <c r="BC30" s="154"/>
      <c r="BD30" s="350"/>
      <c r="BE30" s="350"/>
      <c r="BF30" s="154"/>
      <c r="BG30" s="154"/>
      <c r="BH30" s="154"/>
      <c r="BI30" s="154" t="s">
        <v>1095</v>
      </c>
      <c r="BJ30" s="154" t="s">
        <v>1363</v>
      </c>
      <c r="BK30" s="154" t="s">
        <v>1096</v>
      </c>
      <c r="BL30" s="154" t="s">
        <v>1230</v>
      </c>
      <c r="BM30" s="154" t="s">
        <v>1252</v>
      </c>
      <c r="BN30" s="348">
        <v>25</v>
      </c>
      <c r="BO30" s="359">
        <v>25</v>
      </c>
      <c r="BP30" s="360">
        <f>BO30/BN30</f>
        <v>1</v>
      </c>
      <c r="BQ30" s="154" t="s">
        <v>1257</v>
      </c>
      <c r="BR30" s="154" t="s">
        <v>1265</v>
      </c>
      <c r="BS30" s="154" t="s">
        <v>1249</v>
      </c>
      <c r="BT30" s="154" t="s">
        <v>1364</v>
      </c>
      <c r="BU30" s="154">
        <v>2008</v>
      </c>
      <c r="BV30" s="350"/>
      <c r="BW30" s="362"/>
      <c r="BX30" s="154"/>
      <c r="BY30" s="350"/>
      <c r="BZ30" s="350"/>
      <c r="CA30" s="154"/>
      <c r="CB30" s="154"/>
      <c r="CC30" s="154"/>
      <c r="CD30" s="357"/>
      <c r="CE30" s="433"/>
      <c r="CF30" s="154"/>
      <c r="CG30" s="154"/>
      <c r="CH30" s="154"/>
      <c r="CI30" s="154"/>
      <c r="CJ30" s="154"/>
      <c r="CK30" s="154"/>
      <c r="CL30" s="154"/>
      <c r="CM30" s="154"/>
      <c r="CN30" s="154"/>
      <c r="CO30" s="154"/>
      <c r="CP30" s="154"/>
      <c r="CQ30" s="350"/>
      <c r="CR30" s="154"/>
      <c r="CS30" s="434"/>
      <c r="CT30" s="154"/>
      <c r="CU30" s="154"/>
      <c r="CV30" s="154"/>
      <c r="CW30" s="154"/>
      <c r="CX30" s="154"/>
      <c r="CY30" s="358"/>
      <c r="CZ30" s="154"/>
      <c r="DA30" s="154"/>
      <c r="DB30" s="154"/>
      <c r="DC30" s="359"/>
      <c r="DD30" s="154"/>
      <c r="DE30" s="154"/>
      <c r="DF30" s="154"/>
      <c r="DG30" s="154"/>
      <c r="DH30" s="154"/>
      <c r="DI30" s="154"/>
      <c r="DJ30" s="154"/>
      <c r="DK30" s="154"/>
      <c r="DL30" s="435"/>
      <c r="DM30" s="154"/>
      <c r="DN30" s="154"/>
      <c r="DO30" s="154"/>
      <c r="DP30" s="154"/>
      <c r="DQ30" s="356"/>
      <c r="DR30" s="154"/>
      <c r="DS30" s="154"/>
      <c r="DT30" s="154"/>
      <c r="DU30" s="358"/>
      <c r="DV30" s="358"/>
      <c r="DW30" s="154"/>
      <c r="DX30" s="154"/>
      <c r="DY30" s="154"/>
      <c r="DZ30" s="154"/>
      <c r="EA30" s="154"/>
      <c r="EB30" s="154"/>
      <c r="EC30" s="154"/>
      <c r="ED30" s="154"/>
      <c r="EE30" s="154"/>
      <c r="EF30" s="154"/>
      <c r="EG30" s="154"/>
      <c r="EH30" s="154"/>
      <c r="EI30" s="154"/>
      <c r="EJ30" s="154"/>
      <c r="EK30" s="154"/>
      <c r="EL30" s="154"/>
      <c r="EM30" s="154"/>
      <c r="EN30" s="343"/>
      <c r="EO30" s="154"/>
      <c r="EP30" s="154"/>
      <c r="EQ30" s="154"/>
      <c r="ER30" s="154"/>
      <c r="ES30" s="154"/>
      <c r="ET30" s="350"/>
      <c r="EU30" s="154"/>
      <c r="EV30" s="154"/>
      <c r="EW30" s="154"/>
      <c r="EX30" s="154" t="s">
        <v>478</v>
      </c>
      <c r="EY30" s="154">
        <v>2</v>
      </c>
      <c r="EZ30" s="154" t="s">
        <v>1639</v>
      </c>
      <c r="FA30" s="154" t="s">
        <v>999</v>
      </c>
      <c r="FB30" s="154" t="s">
        <v>978</v>
      </c>
      <c r="FC30" s="350"/>
      <c r="FD30" s="350"/>
      <c r="FE30" s="350"/>
      <c r="FF30" s="154" t="s">
        <v>1602</v>
      </c>
      <c r="FG30" s="154" t="s">
        <v>1660</v>
      </c>
      <c r="FH30" s="154" t="s">
        <v>1214</v>
      </c>
      <c r="FI30" s="154"/>
      <c r="FJ30" s="154"/>
      <c r="FK30" s="154"/>
      <c r="FL30" s="154"/>
      <c r="FM30" s="154"/>
      <c r="FN30" s="154"/>
      <c r="FO30" s="154"/>
      <c r="FP30" s="154"/>
      <c r="FQ30" s="154"/>
      <c r="FR30" s="154"/>
      <c r="FS30" s="354"/>
      <c r="FT30" s="345"/>
      <c r="FU30" s="154"/>
      <c r="FV30" s="350"/>
      <c r="FW30" s="350"/>
      <c r="FX30" s="154" t="s">
        <v>1791</v>
      </c>
      <c r="FY30" s="154"/>
      <c r="FZ30" s="154"/>
      <c r="GA30" s="154" t="s">
        <v>2345</v>
      </c>
      <c r="GB30" s="154"/>
      <c r="GC30" s="154"/>
      <c r="GD30" s="361">
        <f>PRODUCT(42,24)</f>
        <v>1008</v>
      </c>
      <c r="GE30" s="154"/>
      <c r="GF30" s="154"/>
      <c r="GG30" s="154"/>
      <c r="GH30" s="154"/>
      <c r="GI30" s="154"/>
      <c r="GJ30" s="154"/>
      <c r="GK30" s="154"/>
      <c r="GL30" s="154" t="s">
        <v>1829</v>
      </c>
      <c r="GM30" s="154" t="s">
        <v>1207</v>
      </c>
      <c r="GN30" s="154"/>
      <c r="GO30" s="154"/>
      <c r="GP30" s="154"/>
      <c r="GQ30" s="154"/>
      <c r="GR30" s="154"/>
      <c r="GS30" s="154"/>
      <c r="GT30" s="154"/>
      <c r="GU30" s="154" t="s">
        <v>1208</v>
      </c>
      <c r="GV30" s="154"/>
      <c r="GW30" s="154"/>
      <c r="GX30" s="154"/>
      <c r="GY30" s="154" t="s">
        <v>1214</v>
      </c>
      <c r="GZ30" s="154"/>
      <c r="HA30" s="154"/>
      <c r="HB30" s="154" t="s">
        <v>1214</v>
      </c>
      <c r="HC30" s="154"/>
      <c r="HD30" s="154"/>
      <c r="HE30" s="154"/>
      <c r="HF30" s="154"/>
      <c r="HG30" s="154"/>
      <c r="HH30" s="154"/>
      <c r="HI30" s="154"/>
      <c r="HJ30" s="154"/>
      <c r="HK30" s="154"/>
      <c r="HL30" s="154"/>
      <c r="HM30" s="154"/>
      <c r="HN30" s="154"/>
      <c r="HO30" s="154"/>
      <c r="HP30" s="154"/>
      <c r="HQ30" s="154"/>
      <c r="HR30" s="154"/>
      <c r="HS30" s="154"/>
      <c r="HT30" s="154"/>
      <c r="HU30" s="154"/>
      <c r="HV30" s="154" t="s">
        <v>998</v>
      </c>
      <c r="HW30" s="154" t="s">
        <v>18</v>
      </c>
      <c r="HX30" s="154" t="s">
        <v>478</v>
      </c>
      <c r="HY30" s="154" t="s">
        <v>978</v>
      </c>
      <c r="HZ30" s="154" t="s">
        <v>1835</v>
      </c>
      <c r="IA30" s="15" t="s">
        <v>1888</v>
      </c>
      <c r="IB30" s="154" t="s">
        <v>5626</v>
      </c>
      <c r="IC30" s="154">
        <v>2008</v>
      </c>
      <c r="ID30" s="154" t="s">
        <v>5626</v>
      </c>
      <c r="IE30" s="344">
        <v>31146</v>
      </c>
      <c r="IF30" s="154" t="s">
        <v>478</v>
      </c>
      <c r="IG30" s="154" t="s">
        <v>5498</v>
      </c>
      <c r="IH30" s="154" t="s">
        <v>2716</v>
      </c>
      <c r="II30" s="154" t="s">
        <v>1984</v>
      </c>
      <c r="IJ30" s="154"/>
      <c r="IK30" s="154" t="s">
        <v>1208</v>
      </c>
      <c r="IL30" s="154"/>
      <c r="IM30" s="154" t="s">
        <v>5627</v>
      </c>
      <c r="IN30" s="154"/>
      <c r="IO30" s="154" t="s">
        <v>999</v>
      </c>
      <c r="IP30" s="154"/>
      <c r="IQ30" s="154"/>
      <c r="IR30" s="154"/>
      <c r="IS30" s="154"/>
      <c r="IT30" s="350">
        <v>1500</v>
      </c>
      <c r="IU30" s="154"/>
      <c r="IV30" s="154"/>
    </row>
    <row r="31" spans="1:256" s="337" customFormat="1" ht="12.75" customHeight="1">
      <c r="C31" s="140"/>
      <c r="D31" s="154" t="s">
        <v>5631</v>
      </c>
      <c r="E31" s="154" t="s">
        <v>500</v>
      </c>
      <c r="F31" s="154" t="s">
        <v>3139</v>
      </c>
      <c r="G31" s="154" t="s">
        <v>18</v>
      </c>
      <c r="H31" s="154"/>
      <c r="I31" s="324" t="s">
        <v>5632</v>
      </c>
      <c r="J31" s="343" t="s">
        <v>503</v>
      </c>
      <c r="K31" s="154"/>
      <c r="L31" s="154"/>
      <c r="M31" s="154"/>
      <c r="N31" s="154"/>
      <c r="O31" s="154"/>
      <c r="P31" s="154"/>
      <c r="Q31" s="344"/>
      <c r="R31" s="345"/>
      <c r="S31" s="154"/>
      <c r="T31" s="154"/>
      <c r="U31" s="346"/>
      <c r="V31" s="154"/>
      <c r="W31" s="154"/>
      <c r="X31" s="154"/>
      <c r="Y31" s="154"/>
      <c r="Z31" s="154"/>
      <c r="AA31" s="154"/>
      <c r="AB31" s="154"/>
      <c r="AC31" s="154"/>
      <c r="AD31" s="154"/>
      <c r="AE31" s="154" t="s">
        <v>1132</v>
      </c>
      <c r="AF31" s="154" t="s">
        <v>1096</v>
      </c>
      <c r="AG31" s="332" t="s">
        <v>5637</v>
      </c>
      <c r="AH31" s="154" t="s">
        <v>5634</v>
      </c>
      <c r="AI31" s="154"/>
      <c r="AJ31" s="355"/>
      <c r="AK31" s="359"/>
      <c r="AL31" s="360"/>
      <c r="AM31" s="154" t="s">
        <v>1122</v>
      </c>
      <c r="AN31" s="154"/>
      <c r="AO31" s="154"/>
      <c r="AP31" s="154"/>
      <c r="AQ31" s="154"/>
      <c r="AR31" s="154"/>
      <c r="AS31" s="154"/>
      <c r="AT31" s="154"/>
      <c r="AU31" s="154"/>
      <c r="AV31" s="154"/>
      <c r="AW31" s="154"/>
      <c r="AX31" s="154"/>
      <c r="AY31" s="154"/>
      <c r="BC31" s="154"/>
      <c r="BD31" s="350"/>
      <c r="BE31" s="350"/>
      <c r="BF31" s="154"/>
      <c r="BG31" s="154"/>
      <c r="BH31" s="154"/>
      <c r="BI31" s="154" t="s">
        <v>1095</v>
      </c>
      <c r="BJ31" s="332" t="s">
        <v>5633</v>
      </c>
      <c r="BK31" s="154" t="s">
        <v>1096</v>
      </c>
      <c r="BL31" s="154" t="s">
        <v>1230</v>
      </c>
      <c r="BM31" s="154" t="s">
        <v>1353</v>
      </c>
      <c r="BN31" s="348">
        <v>8.4</v>
      </c>
      <c r="BO31" s="359">
        <v>8.4</v>
      </c>
      <c r="BP31" s="360">
        <f>BO31/BN31</f>
        <v>1</v>
      </c>
      <c r="BQ31" s="154" t="s">
        <v>1257</v>
      </c>
      <c r="BR31" s="154" t="s">
        <v>1265</v>
      </c>
      <c r="BS31" s="154" t="s">
        <v>1249</v>
      </c>
      <c r="BT31" s="154" t="s">
        <v>1247</v>
      </c>
      <c r="BU31" s="154"/>
      <c r="BV31" s="350"/>
      <c r="BW31" s="362"/>
      <c r="BX31" s="154"/>
      <c r="BY31" s="350"/>
      <c r="BZ31" s="350"/>
      <c r="CA31" s="154"/>
      <c r="CB31" s="154"/>
      <c r="CC31" s="154"/>
      <c r="CD31" s="154"/>
      <c r="CE31" s="154"/>
      <c r="CF31" s="154"/>
      <c r="CG31" s="154"/>
      <c r="CH31" s="154"/>
      <c r="CI31" s="154"/>
      <c r="CJ31" s="154"/>
      <c r="CK31" s="154"/>
      <c r="CL31" s="154"/>
      <c r="CM31" s="154"/>
      <c r="CN31" s="154"/>
      <c r="CO31" s="154"/>
      <c r="CP31" s="154"/>
      <c r="CQ31" s="350"/>
      <c r="CR31" s="154"/>
      <c r="CS31" s="434"/>
      <c r="CT31" s="154"/>
      <c r="CU31" s="154"/>
      <c r="CV31" s="154"/>
      <c r="CW31" s="154"/>
      <c r="CX31" s="154"/>
      <c r="CY31" s="154"/>
      <c r="CZ31" s="154"/>
      <c r="DA31" s="154"/>
      <c r="DB31" s="154"/>
      <c r="DC31" s="154"/>
      <c r="DD31" s="154"/>
      <c r="DE31" s="154"/>
      <c r="DF31" s="154"/>
      <c r="DG31" s="154"/>
      <c r="DH31" s="154"/>
      <c r="DI31" s="154"/>
      <c r="DJ31" s="154"/>
      <c r="DK31" s="154"/>
      <c r="DL31" s="154"/>
      <c r="DM31" s="154"/>
      <c r="DN31" s="154"/>
      <c r="DO31" s="154"/>
      <c r="DP31" s="154"/>
      <c r="DQ31" s="356"/>
      <c r="DR31" s="154"/>
      <c r="DS31" s="154"/>
      <c r="DT31" s="154"/>
      <c r="DU31" s="358"/>
      <c r="DV31" s="358"/>
      <c r="DW31" s="154"/>
      <c r="DX31" s="154"/>
      <c r="DY31" s="154"/>
      <c r="DZ31" s="154"/>
      <c r="EA31" s="154"/>
      <c r="EB31" s="154"/>
      <c r="EC31" s="154"/>
      <c r="ED31" s="154"/>
      <c r="EE31" s="154"/>
      <c r="EF31" s="154"/>
      <c r="EG31" s="154"/>
      <c r="EH31" s="154"/>
      <c r="EI31" s="154"/>
      <c r="EJ31" s="154"/>
      <c r="EK31" s="154"/>
      <c r="EL31" s="154"/>
      <c r="EM31" s="154"/>
      <c r="EN31" s="154"/>
      <c r="EO31" s="154"/>
      <c r="EP31" s="154"/>
      <c r="EQ31" s="154"/>
      <c r="ER31" s="154"/>
      <c r="ES31" s="154"/>
      <c r="ET31" s="350"/>
      <c r="EU31" s="154"/>
      <c r="EV31" s="154"/>
      <c r="EW31" s="154"/>
      <c r="EX31" s="154" t="s">
        <v>478</v>
      </c>
      <c r="EY31" s="154"/>
      <c r="EZ31" s="154"/>
      <c r="FA31" s="154"/>
      <c r="FB31" s="154"/>
      <c r="FC31" s="350"/>
      <c r="FD31" s="350"/>
      <c r="FE31" s="350"/>
      <c r="FF31" s="154"/>
      <c r="FG31" s="154"/>
      <c r="FH31" s="154"/>
      <c r="FI31" s="154"/>
      <c r="FJ31" s="154"/>
      <c r="FK31" s="154"/>
      <c r="FL31" s="154"/>
      <c r="FM31" s="154"/>
      <c r="FN31" s="154"/>
      <c r="FO31" s="154"/>
      <c r="FP31" s="154"/>
      <c r="FQ31" s="154"/>
      <c r="FR31" s="154"/>
      <c r="FS31" s="354"/>
      <c r="FT31" s="345"/>
      <c r="FU31" s="154"/>
      <c r="FV31" s="350"/>
      <c r="FW31" s="350"/>
      <c r="FX31" s="154"/>
      <c r="FY31" s="154"/>
      <c r="FZ31" s="154"/>
      <c r="GA31" s="154"/>
      <c r="GB31" s="154"/>
      <c r="GC31" s="154"/>
      <c r="GD31" s="361"/>
      <c r="GE31" s="154"/>
      <c r="GF31" s="154"/>
      <c r="GG31" s="154"/>
      <c r="GH31" s="154"/>
      <c r="GI31" s="154"/>
      <c r="GJ31" s="154"/>
      <c r="GK31" s="154"/>
      <c r="GL31" s="154"/>
      <c r="GM31" s="154"/>
      <c r="GN31" s="154"/>
      <c r="GO31" s="154"/>
      <c r="GP31" s="154"/>
      <c r="GQ31" s="154"/>
      <c r="GR31" s="154"/>
      <c r="GS31" s="154"/>
      <c r="GT31" s="154"/>
      <c r="GU31" s="154"/>
      <c r="GV31" s="154"/>
      <c r="GW31" s="154"/>
      <c r="GX31" s="154"/>
      <c r="GY31" s="154"/>
      <c r="GZ31" s="154"/>
      <c r="HA31" s="154"/>
      <c r="HB31" s="154"/>
      <c r="HC31" s="154"/>
      <c r="HD31" s="154"/>
      <c r="HE31" s="154"/>
      <c r="HF31" s="154"/>
      <c r="HG31" s="154"/>
      <c r="HH31" s="154"/>
      <c r="HI31" s="154"/>
      <c r="HJ31" s="154"/>
      <c r="HK31" s="154"/>
      <c r="HL31" s="154"/>
      <c r="HM31" s="154"/>
      <c r="HN31" s="154"/>
      <c r="HO31" s="154"/>
      <c r="HP31" s="154"/>
      <c r="HQ31" s="154"/>
      <c r="HR31" s="154" t="s">
        <v>1207</v>
      </c>
      <c r="HS31" s="154"/>
      <c r="HT31" s="154"/>
      <c r="HU31" s="154"/>
      <c r="HV31" s="154"/>
      <c r="HW31" s="154"/>
      <c r="HX31" s="154"/>
      <c r="HY31" s="154"/>
      <c r="HZ31" s="154"/>
      <c r="IA31" s="154"/>
      <c r="IB31" s="154"/>
      <c r="IC31" s="154"/>
      <c r="ID31" s="154"/>
      <c r="IE31" s="344"/>
      <c r="IF31" s="154"/>
      <c r="IG31" s="154"/>
      <c r="IH31" s="154"/>
      <c r="II31" s="154"/>
      <c r="IJ31" s="154"/>
      <c r="IK31" s="154"/>
      <c r="IL31" s="154"/>
      <c r="IM31" s="154"/>
      <c r="IN31" s="154"/>
      <c r="IO31" s="154"/>
      <c r="IP31" s="154"/>
      <c r="IQ31" s="154"/>
      <c r="IR31" s="154"/>
      <c r="IS31" s="154"/>
      <c r="IT31" s="350"/>
      <c r="IU31" s="154"/>
      <c r="IV31" s="154"/>
    </row>
    <row r="32" spans="1:256" s="337" customFormat="1" ht="12.75" customHeight="1">
      <c r="C32" s="140" t="s">
        <v>504</v>
      </c>
      <c r="D32" s="154" t="s">
        <v>505</v>
      </c>
      <c r="E32" s="154" t="s">
        <v>484</v>
      </c>
      <c r="F32" s="154"/>
      <c r="G32" s="154"/>
      <c r="H32" s="154"/>
      <c r="I32" s="324"/>
      <c r="J32" s="154"/>
      <c r="K32" s="154"/>
      <c r="L32" s="154"/>
      <c r="M32" s="154"/>
      <c r="N32" s="154"/>
      <c r="O32" s="154"/>
      <c r="P32" s="154"/>
      <c r="Q32" s="344"/>
      <c r="R32" s="345"/>
      <c r="S32" s="154"/>
      <c r="T32" s="154"/>
      <c r="U32" s="346"/>
      <c r="V32" s="154"/>
      <c r="W32" s="154"/>
      <c r="X32" s="154"/>
      <c r="Y32" s="154"/>
      <c r="Z32" s="154"/>
      <c r="AA32" s="154"/>
      <c r="AB32" s="154"/>
      <c r="AC32" s="154"/>
      <c r="AD32" s="154"/>
      <c r="AE32" s="332" t="s">
        <v>1095</v>
      </c>
      <c r="AF32" s="332" t="s">
        <v>1096</v>
      </c>
      <c r="AG32" s="332" t="s">
        <v>5638</v>
      </c>
      <c r="AH32" s="332"/>
      <c r="AI32" s="154"/>
      <c r="AJ32" s="355"/>
      <c r="AK32" s="359"/>
      <c r="AL32" s="360"/>
      <c r="AM32" s="154" t="s">
        <v>1122</v>
      </c>
      <c r="AN32" s="154"/>
      <c r="AO32" s="154"/>
      <c r="AP32" s="154"/>
      <c r="AQ32" s="154" t="s">
        <v>1207</v>
      </c>
      <c r="AR32" s="154" t="s">
        <v>1208</v>
      </c>
      <c r="AS32" s="154"/>
      <c r="AT32" s="154"/>
      <c r="AU32" s="154"/>
      <c r="AV32" s="154"/>
      <c r="AW32" s="154"/>
      <c r="AX32" s="154"/>
      <c r="AY32" s="154"/>
      <c r="AZ32" s="154"/>
      <c r="BA32" s="154" t="s">
        <v>853</v>
      </c>
      <c r="BB32" s="154" t="s">
        <v>1207</v>
      </c>
      <c r="BC32" s="154"/>
      <c r="BD32" s="350"/>
      <c r="BE32" s="350"/>
      <c r="BF32" s="154"/>
      <c r="BG32" s="154"/>
      <c r="BH32" s="154"/>
      <c r="BI32" s="332"/>
      <c r="BJ32" s="332"/>
      <c r="BK32" s="332"/>
      <c r="BL32" s="332"/>
      <c r="BM32" s="154"/>
      <c r="BN32" s="348"/>
      <c r="BO32" s="359"/>
      <c r="BP32" s="360"/>
      <c r="BQ32" s="154"/>
      <c r="BR32" s="154"/>
      <c r="BS32" s="154"/>
      <c r="BT32" s="154"/>
      <c r="BU32" s="154"/>
      <c r="BV32" s="350"/>
      <c r="BW32" s="362"/>
      <c r="BX32" s="154"/>
      <c r="BY32" s="350"/>
      <c r="BZ32" s="350"/>
      <c r="CA32" s="154"/>
      <c r="CB32" s="154"/>
      <c r="CC32" s="154"/>
      <c r="CD32" s="154"/>
      <c r="CE32" s="154"/>
      <c r="CF32" s="154"/>
      <c r="CG32" s="154"/>
      <c r="CH32" s="154"/>
      <c r="CI32" s="154"/>
      <c r="CJ32" s="154"/>
      <c r="CK32" s="154"/>
      <c r="CL32" s="154"/>
      <c r="CM32" s="154"/>
      <c r="CN32" s="154"/>
      <c r="CO32" s="154"/>
      <c r="CP32" s="154"/>
      <c r="CQ32" s="350"/>
      <c r="CR32" s="154"/>
      <c r="CS32" s="434"/>
      <c r="CT32" s="154"/>
      <c r="CU32" s="154"/>
      <c r="CV32" s="154"/>
      <c r="CW32" s="154"/>
      <c r="CX32" s="154"/>
      <c r="CY32" s="154"/>
      <c r="CZ32" s="154"/>
      <c r="DA32" s="154"/>
      <c r="DB32" s="154"/>
      <c r="DC32" s="154"/>
      <c r="DD32" s="154"/>
      <c r="DE32" s="154"/>
      <c r="DF32" s="154"/>
      <c r="DG32" s="154"/>
      <c r="DH32" s="154"/>
      <c r="DI32" s="154"/>
      <c r="DJ32" s="154"/>
      <c r="DK32" s="154"/>
      <c r="DL32" s="154"/>
      <c r="DM32" s="154"/>
      <c r="DN32" s="154"/>
      <c r="DO32" s="154"/>
      <c r="DP32" s="154"/>
      <c r="DQ32" s="356"/>
      <c r="DR32" s="154"/>
      <c r="DS32" s="154"/>
      <c r="DT32" s="154"/>
      <c r="DU32" s="358"/>
      <c r="DV32" s="358"/>
      <c r="DW32" s="154"/>
      <c r="DX32" s="154"/>
      <c r="DY32" s="154"/>
      <c r="DZ32" s="154"/>
      <c r="EA32" s="154"/>
      <c r="EB32" s="154"/>
      <c r="EC32" s="154"/>
      <c r="ED32" s="154"/>
      <c r="EE32" s="154"/>
      <c r="EF32" s="154"/>
      <c r="EG32" s="154"/>
      <c r="EH32" s="154"/>
      <c r="EI32" s="154"/>
      <c r="EJ32" s="154"/>
      <c r="EK32" s="154"/>
      <c r="EL32" s="154"/>
      <c r="EM32" s="154"/>
      <c r="EN32" s="154"/>
      <c r="EO32" s="154"/>
      <c r="EP32" s="154"/>
      <c r="EQ32" s="154"/>
      <c r="ER32" s="154"/>
      <c r="ES32" s="154"/>
      <c r="ET32" s="350"/>
      <c r="EU32" s="154"/>
      <c r="EV32" s="154"/>
      <c r="EW32" s="154"/>
      <c r="EX32" s="154"/>
      <c r="EY32" s="154"/>
      <c r="EZ32" s="154"/>
      <c r="FA32" s="154"/>
      <c r="FB32" s="154"/>
      <c r="FC32" s="350"/>
      <c r="FD32" s="350"/>
      <c r="FE32" s="350"/>
      <c r="FF32" s="154"/>
      <c r="FG32" s="154"/>
      <c r="FH32" s="154"/>
      <c r="FI32" s="154"/>
      <c r="FJ32" s="154"/>
      <c r="FK32" s="154"/>
      <c r="FL32" s="154"/>
      <c r="FM32" s="154"/>
      <c r="FN32" s="154"/>
      <c r="FO32" s="154"/>
      <c r="FP32" s="154"/>
      <c r="FQ32" s="154"/>
      <c r="FR32" s="154"/>
      <c r="FS32" s="354"/>
      <c r="FT32" s="345"/>
      <c r="FU32" s="154"/>
      <c r="FV32" s="350"/>
      <c r="FW32" s="350"/>
      <c r="FX32" s="154"/>
      <c r="FY32" s="154"/>
      <c r="FZ32" s="154"/>
      <c r="GA32" s="154"/>
      <c r="GB32" s="154"/>
      <c r="GC32" s="154"/>
      <c r="GD32" s="361"/>
      <c r="GE32" s="154"/>
      <c r="GF32" s="154"/>
      <c r="GG32" s="154"/>
      <c r="GH32" s="154"/>
      <c r="GI32" s="154"/>
      <c r="GJ32" s="154"/>
      <c r="GK32" s="154"/>
      <c r="GL32" s="154"/>
      <c r="GM32" s="154"/>
      <c r="GN32" s="154"/>
      <c r="GO32" s="154"/>
      <c r="GP32" s="154"/>
      <c r="GQ32" s="154"/>
      <c r="GR32" s="154"/>
      <c r="GS32" s="154"/>
      <c r="GT32" s="154"/>
      <c r="GU32" s="154"/>
      <c r="GV32" s="154"/>
      <c r="GW32" s="154"/>
      <c r="GX32" s="154"/>
      <c r="GY32" s="154"/>
      <c r="GZ32" s="154"/>
      <c r="HA32" s="154"/>
      <c r="HB32" s="154"/>
      <c r="HC32" s="154"/>
      <c r="HD32" s="154"/>
      <c r="HE32" s="154"/>
      <c r="HF32" s="154"/>
      <c r="HG32" s="154"/>
      <c r="HH32" s="154"/>
      <c r="HI32" s="154"/>
      <c r="HJ32" s="154"/>
      <c r="HK32" s="154"/>
      <c r="HL32" s="154"/>
      <c r="HM32" s="154"/>
      <c r="HN32" s="154"/>
      <c r="HO32" s="154"/>
      <c r="HP32" s="154"/>
      <c r="HQ32" s="154"/>
      <c r="HR32" s="154"/>
      <c r="HS32" s="154"/>
      <c r="HT32" s="154"/>
      <c r="HU32" s="154"/>
      <c r="HV32" s="154"/>
      <c r="HW32" s="154"/>
      <c r="HX32" s="154"/>
      <c r="HY32" s="154"/>
      <c r="HZ32" s="154"/>
      <c r="IA32" s="154"/>
      <c r="IB32" s="154"/>
      <c r="IC32" s="154"/>
      <c r="ID32" s="154"/>
      <c r="IE32" s="344"/>
      <c r="IF32" s="154"/>
      <c r="IG32" s="154"/>
      <c r="IH32" s="154"/>
      <c r="II32" s="154"/>
      <c r="IJ32" s="154"/>
      <c r="IK32" s="154"/>
      <c r="IL32" s="154"/>
      <c r="IM32" s="154"/>
      <c r="IN32" s="154"/>
      <c r="IO32" s="154"/>
      <c r="IP32" s="154"/>
      <c r="IQ32" s="154"/>
      <c r="IR32" s="154"/>
      <c r="IS32" s="154"/>
      <c r="IT32" s="350"/>
      <c r="IU32" s="154"/>
      <c r="IV32" s="154"/>
    </row>
    <row r="33" spans="1:256" s="337" customFormat="1" ht="12.75" customHeight="1">
      <c r="C33" s="140" t="s">
        <v>507</v>
      </c>
      <c r="D33" s="343" t="s">
        <v>5653</v>
      </c>
      <c r="E33" s="154" t="s">
        <v>508</v>
      </c>
      <c r="F33" s="154" t="s">
        <v>509</v>
      </c>
      <c r="G33" s="154" t="s">
        <v>10</v>
      </c>
      <c r="H33" s="154"/>
      <c r="I33" s="324"/>
      <c r="J33" s="343"/>
      <c r="K33" s="154"/>
      <c r="L33" s="154"/>
      <c r="M33" s="154"/>
      <c r="N33" s="154"/>
      <c r="O33" s="154"/>
      <c r="P33" s="154"/>
      <c r="Q33" s="344"/>
      <c r="R33" s="345"/>
      <c r="S33" s="154"/>
      <c r="T33" s="154"/>
      <c r="U33" s="346"/>
      <c r="V33" s="154"/>
      <c r="W33" s="154"/>
      <c r="X33" s="154"/>
      <c r="Y33" s="154"/>
      <c r="Z33" s="154"/>
      <c r="AA33" s="154"/>
      <c r="AB33" s="154"/>
      <c r="AC33" s="154"/>
      <c r="AD33" s="154"/>
      <c r="AE33" s="154" t="s">
        <v>1132</v>
      </c>
      <c r="AF33" s="332" t="s">
        <v>1096</v>
      </c>
      <c r="AG33" s="332"/>
      <c r="AH33" s="154" t="s">
        <v>1137</v>
      </c>
      <c r="AI33" s="154" t="s">
        <v>1101</v>
      </c>
      <c r="AJ33" s="355"/>
      <c r="AK33" s="359"/>
      <c r="AL33" s="360"/>
      <c r="AM33" s="154" t="s">
        <v>1122</v>
      </c>
      <c r="AN33" s="154"/>
      <c r="AO33" s="154"/>
      <c r="AP33" s="154"/>
      <c r="AQ33" s="154"/>
      <c r="AR33" s="154"/>
      <c r="AS33" s="154"/>
      <c r="AT33" s="154"/>
      <c r="AU33" s="154"/>
      <c r="AV33" s="154"/>
      <c r="AW33" s="154"/>
      <c r="AX33" s="154"/>
      <c r="AY33" s="154"/>
      <c r="AZ33" s="154"/>
      <c r="BA33" s="154"/>
      <c r="BB33" s="154"/>
      <c r="BC33" s="154"/>
      <c r="BD33" s="350"/>
      <c r="BE33" s="350"/>
      <c r="BF33" s="154"/>
      <c r="BG33" s="154"/>
      <c r="BH33" s="154"/>
      <c r="BI33" s="154" t="s">
        <v>1095</v>
      </c>
      <c r="BJ33" s="154" t="s">
        <v>1369</v>
      </c>
      <c r="BK33" s="154" t="s">
        <v>1096</v>
      </c>
      <c r="BL33" s="154" t="s">
        <v>1230</v>
      </c>
      <c r="BM33" s="154" t="s">
        <v>1353</v>
      </c>
      <c r="BN33" s="348">
        <v>12.25</v>
      </c>
      <c r="BO33" s="359">
        <v>12.25</v>
      </c>
      <c r="BP33" s="360">
        <f>BO33/BN33</f>
        <v>1</v>
      </c>
      <c r="BQ33" s="154" t="s">
        <v>1257</v>
      </c>
      <c r="BR33" s="154" t="s">
        <v>1334</v>
      </c>
      <c r="BS33" s="154" t="s">
        <v>1370</v>
      </c>
      <c r="BT33" s="154" t="s">
        <v>1291</v>
      </c>
      <c r="BU33" s="154"/>
      <c r="BV33" s="350"/>
      <c r="BW33" s="362"/>
      <c r="BX33" s="154"/>
      <c r="BY33" s="350"/>
      <c r="BZ33" s="350"/>
      <c r="CA33" s="154"/>
      <c r="CB33" s="154"/>
      <c r="CC33" s="154"/>
      <c r="CD33" s="357"/>
      <c r="CE33" s="433"/>
      <c r="CF33" s="154"/>
      <c r="CG33" s="154"/>
      <c r="CH33" s="154"/>
      <c r="CI33" s="154"/>
      <c r="CJ33" s="154"/>
      <c r="CK33" s="154"/>
      <c r="CL33" s="154"/>
      <c r="CM33" s="154"/>
      <c r="CN33" s="154"/>
      <c r="CO33" s="154"/>
      <c r="CP33" s="154"/>
      <c r="CQ33" s="350"/>
      <c r="CR33" s="154"/>
      <c r="CS33" s="434"/>
      <c r="CT33" s="154"/>
      <c r="CU33" s="154"/>
      <c r="CV33" s="154"/>
      <c r="CW33" s="154"/>
      <c r="CX33" s="154"/>
      <c r="CY33" s="358"/>
      <c r="CZ33" s="154"/>
      <c r="DA33" s="154"/>
      <c r="DB33" s="154"/>
      <c r="DC33" s="359"/>
      <c r="DD33" s="154"/>
      <c r="DE33" s="154"/>
      <c r="DF33" s="154"/>
      <c r="DG33" s="154"/>
      <c r="DH33" s="154"/>
      <c r="DI33" s="154"/>
      <c r="DJ33" s="154"/>
      <c r="DK33" s="154"/>
      <c r="DL33" s="435"/>
      <c r="DM33" s="154"/>
      <c r="DN33" s="154"/>
      <c r="DO33" s="154"/>
      <c r="DP33" s="154"/>
      <c r="DQ33" s="356"/>
      <c r="DR33" s="154"/>
      <c r="DS33" s="154"/>
      <c r="DT33" s="154"/>
      <c r="DU33" s="358"/>
      <c r="DV33" s="358"/>
      <c r="DW33" s="154"/>
      <c r="DX33" s="154"/>
      <c r="DY33" s="154"/>
      <c r="DZ33" s="154"/>
      <c r="EA33" s="154"/>
      <c r="EB33" s="154"/>
      <c r="EC33" s="154"/>
      <c r="ED33" s="154"/>
      <c r="EE33" s="154"/>
      <c r="EF33" s="154"/>
      <c r="EG33" s="154"/>
      <c r="EH33" s="154"/>
      <c r="EI33" s="154"/>
      <c r="EJ33" s="154"/>
      <c r="EK33" s="154"/>
      <c r="EL33" s="154"/>
      <c r="EM33" s="154"/>
      <c r="EN33" s="343"/>
      <c r="EO33" s="154"/>
      <c r="EP33" s="154"/>
      <c r="EQ33" s="154"/>
      <c r="ER33" s="154"/>
      <c r="ES33" s="154"/>
      <c r="ET33" s="154"/>
      <c r="EU33" s="350"/>
      <c r="EV33" s="154"/>
      <c r="EW33" s="154"/>
      <c r="EX33" s="154" t="s">
        <v>478</v>
      </c>
      <c r="EY33" s="154">
        <v>2</v>
      </c>
      <c r="EZ33" s="154"/>
      <c r="FA33" s="154"/>
      <c r="FB33" s="154"/>
      <c r="FC33" s="350"/>
      <c r="FD33" s="350"/>
      <c r="FE33" s="350"/>
      <c r="FF33" s="154"/>
      <c r="FG33" s="154"/>
      <c r="FH33" s="154"/>
      <c r="FI33" s="154"/>
      <c r="FJ33" s="154"/>
      <c r="FK33" s="154"/>
      <c r="FL33" s="154"/>
      <c r="FM33" s="154"/>
      <c r="FN33" s="154"/>
      <c r="FO33" s="154"/>
      <c r="FP33" s="154"/>
      <c r="FQ33" s="154"/>
      <c r="FR33" s="154"/>
      <c r="FS33" s="354"/>
      <c r="FT33" s="345"/>
      <c r="FU33" s="154"/>
      <c r="FV33" s="350"/>
      <c r="FW33" s="350"/>
      <c r="FX33" s="154"/>
      <c r="FY33" s="154"/>
      <c r="FZ33" s="154"/>
      <c r="GA33" s="154"/>
      <c r="GB33" s="154"/>
      <c r="GC33" s="154"/>
      <c r="GD33" s="361"/>
      <c r="GE33" s="154"/>
      <c r="GF33" s="154"/>
      <c r="GG33" s="154"/>
      <c r="GH33" s="154"/>
      <c r="GI33" s="154"/>
      <c r="GJ33" s="154"/>
      <c r="GK33" s="154"/>
      <c r="GL33" s="154"/>
      <c r="GM33" s="154"/>
      <c r="GN33" s="154"/>
      <c r="GO33" s="154"/>
      <c r="GP33" s="154"/>
      <c r="GQ33" s="154"/>
      <c r="GR33" s="154"/>
      <c r="GS33" s="154"/>
      <c r="GT33" s="154"/>
      <c r="GU33" s="154"/>
      <c r="GV33" s="154"/>
      <c r="GW33" s="154"/>
      <c r="GX33" s="154"/>
      <c r="GY33" s="154"/>
      <c r="GZ33" s="154"/>
      <c r="HA33" s="154"/>
      <c r="HB33" s="154"/>
      <c r="HC33" s="154"/>
      <c r="HD33" s="154"/>
      <c r="HE33" s="154"/>
      <c r="HF33" s="154"/>
      <c r="HG33" s="154"/>
      <c r="HH33" s="154"/>
      <c r="HI33" s="154">
        <v>3</v>
      </c>
      <c r="HJ33" s="154"/>
      <c r="HK33" s="154"/>
      <c r="HL33" s="154"/>
      <c r="HM33" s="154"/>
      <c r="HN33" s="154"/>
      <c r="HO33" s="154"/>
      <c r="HP33" s="154"/>
      <c r="HQ33" s="154"/>
      <c r="HR33" s="154"/>
      <c r="HS33" s="154"/>
      <c r="HT33" s="154"/>
      <c r="HU33" s="154"/>
      <c r="HV33" s="154"/>
      <c r="HW33" s="154"/>
      <c r="HX33" s="154"/>
      <c r="HY33" s="154"/>
      <c r="HZ33" s="154"/>
      <c r="IA33" s="154"/>
      <c r="IB33" s="154"/>
      <c r="IC33" s="154"/>
      <c r="ID33" s="154"/>
      <c r="IE33" s="344"/>
      <c r="IF33" s="154"/>
      <c r="IG33" s="154"/>
      <c r="IH33" s="154"/>
      <c r="II33" s="154"/>
      <c r="IJ33" s="154"/>
      <c r="IK33" s="154"/>
      <c r="IL33" s="154"/>
      <c r="IM33" s="154"/>
      <c r="IN33" s="154"/>
      <c r="IO33" s="154"/>
      <c r="IP33" s="154"/>
      <c r="IQ33" s="154"/>
      <c r="IR33" s="154"/>
      <c r="IS33" s="154"/>
      <c r="IT33" s="350"/>
      <c r="IU33" s="154"/>
      <c r="IV33" s="154"/>
    </row>
    <row r="34" spans="1:256" s="337" customFormat="1" ht="12.75" customHeight="1">
      <c r="C34" s="140" t="s">
        <v>543</v>
      </c>
      <c r="D34" s="154"/>
      <c r="E34" s="332" t="s">
        <v>544</v>
      </c>
      <c r="F34" s="154"/>
      <c r="G34" s="154"/>
      <c r="H34" s="154"/>
      <c r="I34" s="324"/>
      <c r="J34" s="343"/>
      <c r="K34" s="154"/>
      <c r="L34" s="154"/>
      <c r="M34" s="154"/>
      <c r="N34" s="154"/>
      <c r="O34" s="154"/>
      <c r="P34" s="154" t="s">
        <v>1026</v>
      </c>
      <c r="Q34" s="344">
        <v>24007</v>
      </c>
      <c r="R34" s="345">
        <v>51</v>
      </c>
      <c r="S34" s="4" t="s">
        <v>18</v>
      </c>
      <c r="T34" s="154"/>
      <c r="U34" s="346" t="s">
        <v>5352</v>
      </c>
      <c r="V34" s="154" t="s">
        <v>707</v>
      </c>
      <c r="W34" s="154" t="s">
        <v>1027</v>
      </c>
      <c r="X34" s="154" t="s">
        <v>708</v>
      </c>
      <c r="Y34" s="154" t="s">
        <v>759</v>
      </c>
      <c r="Z34" s="154" t="s">
        <v>7273</v>
      </c>
      <c r="AA34" s="154"/>
      <c r="AB34" s="154"/>
      <c r="AC34" s="154" t="s">
        <v>1028</v>
      </c>
      <c r="AD34" s="154" t="s">
        <v>798</v>
      </c>
      <c r="AE34" s="332" t="s">
        <v>1132</v>
      </c>
      <c r="AF34" s="332" t="s">
        <v>1096</v>
      </c>
      <c r="AG34" s="332"/>
      <c r="AH34" s="332" t="s">
        <v>1137</v>
      </c>
      <c r="AI34" s="332" t="s">
        <v>1101</v>
      </c>
      <c r="AJ34" s="363"/>
      <c r="AK34" s="352"/>
      <c r="AL34" s="353"/>
      <c r="AM34" s="332" t="s">
        <v>1122</v>
      </c>
      <c r="AN34" s="332"/>
      <c r="AO34" s="332"/>
      <c r="AP34" s="332"/>
      <c r="AQ34" s="154"/>
      <c r="AR34" s="154"/>
      <c r="AS34" s="154"/>
      <c r="AT34" s="154"/>
      <c r="AU34" s="154"/>
      <c r="AV34" s="154"/>
      <c r="AW34" s="154"/>
      <c r="AX34" s="154"/>
      <c r="AY34" s="154"/>
      <c r="AZ34" s="154"/>
      <c r="BA34" s="154"/>
      <c r="BB34" s="154"/>
      <c r="BC34" s="154"/>
      <c r="BD34" s="350"/>
      <c r="BE34" s="350"/>
      <c r="BF34" s="154"/>
      <c r="BG34" s="154"/>
      <c r="BH34" s="154"/>
      <c r="BI34" s="332" t="s">
        <v>1095</v>
      </c>
      <c r="BJ34" s="332" t="s">
        <v>2114</v>
      </c>
      <c r="BK34" s="332" t="s">
        <v>1096</v>
      </c>
      <c r="BL34" s="332" t="s">
        <v>1230</v>
      </c>
      <c r="BM34" s="332" t="s">
        <v>1353</v>
      </c>
      <c r="BN34" s="351">
        <v>10</v>
      </c>
      <c r="BO34" s="352">
        <v>10</v>
      </c>
      <c r="BP34" s="353">
        <f>BO34/BN34</f>
        <v>1</v>
      </c>
      <c r="BQ34" s="332" t="s">
        <v>1257</v>
      </c>
      <c r="BR34" s="332" t="s">
        <v>1240</v>
      </c>
      <c r="BS34" s="332" t="s">
        <v>1308</v>
      </c>
      <c r="BT34" s="332" t="s">
        <v>1247</v>
      </c>
      <c r="BU34" s="332"/>
      <c r="BV34" s="364"/>
      <c r="BW34" s="365"/>
      <c r="BX34" s="332"/>
      <c r="BY34" s="364"/>
      <c r="BZ34" s="364"/>
      <c r="CA34" s="154"/>
      <c r="CB34" s="154"/>
      <c r="CC34" s="154"/>
      <c r="CD34" s="357"/>
      <c r="CE34" s="433"/>
      <c r="CF34" s="154"/>
      <c r="CG34" s="154"/>
      <c r="CH34" s="154"/>
      <c r="CI34" s="154"/>
      <c r="CJ34" s="154"/>
      <c r="CK34" s="154"/>
      <c r="CL34" s="154"/>
      <c r="CM34" s="154"/>
      <c r="CN34" s="154"/>
      <c r="CO34" s="154"/>
      <c r="CP34" s="154"/>
      <c r="CQ34" s="350"/>
      <c r="CR34" s="154"/>
      <c r="CS34" s="434"/>
      <c r="CT34" s="154"/>
      <c r="CU34" s="154"/>
      <c r="CV34" s="154"/>
      <c r="CW34" s="154"/>
      <c r="CX34" s="154"/>
      <c r="CY34" s="358"/>
      <c r="CZ34" s="154"/>
      <c r="DA34" s="154"/>
      <c r="DB34" s="154"/>
      <c r="DC34" s="359"/>
      <c r="DD34" s="154"/>
      <c r="DE34" s="154"/>
      <c r="DF34" s="154"/>
      <c r="DG34" s="154"/>
      <c r="DH34" s="154"/>
      <c r="DI34" s="154"/>
      <c r="DJ34" s="154"/>
      <c r="DK34" s="154"/>
      <c r="DL34" s="435"/>
      <c r="DM34" s="154"/>
      <c r="DN34" s="154"/>
      <c r="DO34" s="154"/>
      <c r="DP34" s="154"/>
      <c r="DQ34" s="356"/>
      <c r="DR34" s="154"/>
      <c r="DS34" s="154"/>
      <c r="DT34" s="154"/>
      <c r="DU34" s="358"/>
      <c r="DV34" s="358"/>
      <c r="DW34" s="154"/>
      <c r="DX34" s="154"/>
      <c r="DY34" s="154"/>
      <c r="DZ34" s="154"/>
      <c r="EA34" s="154"/>
      <c r="EB34" s="154"/>
      <c r="EC34" s="154"/>
      <c r="ED34" s="154"/>
      <c r="EE34" s="154"/>
      <c r="EF34" s="154"/>
      <c r="EG34" s="154"/>
      <c r="EH34" s="154"/>
      <c r="EI34" s="154"/>
      <c r="EJ34" s="154"/>
      <c r="EK34" s="154"/>
      <c r="EL34" s="154"/>
      <c r="EM34" s="154"/>
      <c r="EN34" s="343"/>
      <c r="EO34" s="154"/>
      <c r="EP34" s="154"/>
      <c r="EQ34" s="154"/>
      <c r="ER34" s="154"/>
      <c r="ES34" s="154"/>
      <c r="ET34" s="350"/>
      <c r="EU34" s="154"/>
      <c r="EV34" s="154"/>
      <c r="EW34" s="154"/>
      <c r="EX34" s="154" t="s">
        <v>478</v>
      </c>
      <c r="EY34" s="154">
        <v>1</v>
      </c>
      <c r="EZ34" s="154"/>
      <c r="FA34" s="154"/>
      <c r="FB34" s="154"/>
      <c r="FC34" s="350"/>
      <c r="FD34" s="350"/>
      <c r="FE34" s="350"/>
      <c r="FF34" s="154"/>
      <c r="FG34" s="154"/>
      <c r="FH34" s="154" t="s">
        <v>1214</v>
      </c>
      <c r="FI34" s="154"/>
      <c r="FJ34" s="154"/>
      <c r="FK34" s="154"/>
      <c r="FL34" s="154"/>
      <c r="FM34" s="154"/>
      <c r="FN34" s="154"/>
      <c r="FO34" s="154"/>
      <c r="FP34" s="154"/>
      <c r="FQ34" s="154"/>
      <c r="FR34" s="154"/>
      <c r="FS34" s="354" t="s">
        <v>1746</v>
      </c>
      <c r="FT34" s="345"/>
      <c r="FU34" s="154"/>
      <c r="FV34" s="350"/>
      <c r="FW34" s="350"/>
      <c r="FX34" s="49"/>
      <c r="FY34" s="154"/>
      <c r="FZ34" s="154"/>
      <c r="GA34" s="154"/>
      <c r="GB34" s="154"/>
      <c r="GC34" s="154"/>
      <c r="GD34" s="361"/>
      <c r="GE34" s="154"/>
      <c r="GF34" s="154"/>
      <c r="GG34" s="154"/>
      <c r="GH34" s="154"/>
      <c r="GI34" s="154"/>
      <c r="GJ34" s="154"/>
      <c r="GK34" s="154"/>
      <c r="GL34" s="154"/>
      <c r="GM34" s="154"/>
      <c r="GN34" s="154"/>
      <c r="GO34" s="154"/>
      <c r="GP34" s="154"/>
      <c r="GQ34" s="154"/>
      <c r="GR34" s="154"/>
      <c r="GS34" s="154"/>
      <c r="GT34" s="154"/>
      <c r="GU34" s="154"/>
      <c r="GV34" s="154"/>
      <c r="GW34" s="154"/>
      <c r="GX34" s="154"/>
      <c r="GY34" s="154" t="s">
        <v>1214</v>
      </c>
      <c r="GZ34" s="154"/>
      <c r="HA34" s="154"/>
      <c r="HB34" s="154"/>
      <c r="HC34" s="154"/>
      <c r="HD34" s="154"/>
      <c r="HE34" s="154"/>
      <c r="HF34" s="154"/>
      <c r="HG34" s="154"/>
      <c r="HH34" s="154"/>
      <c r="HI34" s="154"/>
      <c r="HJ34" s="154"/>
      <c r="HK34" s="154"/>
      <c r="HL34" s="154"/>
      <c r="HM34" s="154"/>
      <c r="HN34" s="154"/>
      <c r="HO34" s="154"/>
      <c r="HP34" s="154"/>
      <c r="HQ34" s="154"/>
      <c r="HR34" s="154"/>
      <c r="HS34" s="154" t="s">
        <v>1207</v>
      </c>
      <c r="HT34" s="154"/>
      <c r="HU34" s="154"/>
      <c r="HV34" s="154" t="s">
        <v>1026</v>
      </c>
      <c r="HW34" s="154" t="s">
        <v>18</v>
      </c>
      <c r="HX34" s="154" t="s">
        <v>478</v>
      </c>
      <c r="HY34" s="154"/>
      <c r="HZ34" s="154" t="s">
        <v>1835</v>
      </c>
      <c r="IA34" s="15" t="s">
        <v>1888</v>
      </c>
      <c r="IB34" s="154" t="s">
        <v>2006</v>
      </c>
      <c r="IC34" s="154">
        <v>1997</v>
      </c>
      <c r="ID34" s="154" t="s">
        <v>2006</v>
      </c>
      <c r="IE34" s="344">
        <v>24007</v>
      </c>
      <c r="IF34" s="154"/>
      <c r="IG34" s="154" t="s">
        <v>5498</v>
      </c>
      <c r="IH34" s="154" t="s">
        <v>2716</v>
      </c>
      <c r="II34" s="154" t="s">
        <v>1931</v>
      </c>
      <c r="IJ34" s="154"/>
      <c r="IK34" s="154" t="s">
        <v>1208</v>
      </c>
      <c r="IL34" s="154"/>
      <c r="IM34" s="154" t="s">
        <v>2007</v>
      </c>
      <c r="IN34" s="154"/>
      <c r="IO34" s="154" t="s">
        <v>2008</v>
      </c>
      <c r="IP34" s="154"/>
      <c r="IQ34" s="154"/>
      <c r="IR34" s="154"/>
      <c r="IS34" s="154"/>
      <c r="IT34" s="350">
        <v>1000</v>
      </c>
      <c r="IU34" s="154"/>
      <c r="IV34" s="154"/>
    </row>
    <row r="35" spans="1:256" s="11" customFormat="1" ht="12.75" customHeight="1">
      <c r="A35" s="19"/>
      <c r="B35" s="19"/>
      <c r="C35" s="19"/>
      <c r="D35" s="19"/>
      <c r="E35" s="7"/>
      <c r="F35" s="7"/>
      <c r="G35" s="7"/>
      <c r="H35" s="19"/>
      <c r="I35" s="8"/>
      <c r="J35" s="19"/>
      <c r="K35" s="7"/>
      <c r="L35" s="7"/>
      <c r="M35" s="7"/>
      <c r="N35" s="80"/>
      <c r="O35" s="80"/>
      <c r="P35" s="19"/>
      <c r="Q35" s="29"/>
      <c r="R35" s="30"/>
      <c r="S35" s="7"/>
      <c r="T35" s="7"/>
      <c r="U35" s="31"/>
      <c r="V35" s="7"/>
      <c r="W35" s="7"/>
      <c r="X35" s="7"/>
      <c r="Y35" s="7"/>
      <c r="Z35" s="7"/>
      <c r="AA35" s="7"/>
      <c r="AB35" s="7"/>
      <c r="AC35" s="7"/>
      <c r="AD35" s="7"/>
      <c r="AE35" s="7"/>
      <c r="AF35" s="7"/>
      <c r="AG35" s="7"/>
      <c r="AH35" s="7"/>
      <c r="AI35" s="7"/>
      <c r="AJ35" s="122"/>
      <c r="AK35" s="41"/>
      <c r="AL35" s="52"/>
      <c r="AM35" s="20"/>
      <c r="AN35" s="20"/>
      <c r="AO35" s="20"/>
      <c r="AP35" s="20"/>
      <c r="AQ35" s="7"/>
      <c r="AR35" s="7"/>
      <c r="AS35" s="7"/>
      <c r="AT35" s="7"/>
      <c r="AU35" s="7"/>
      <c r="AV35" s="20"/>
      <c r="AW35" s="7"/>
      <c r="AX35" s="7"/>
      <c r="AY35" s="7"/>
      <c r="AZ35" s="7"/>
      <c r="BA35" s="7"/>
      <c r="BB35" s="7"/>
      <c r="BC35" s="7"/>
      <c r="BD35" s="55"/>
      <c r="BE35" s="55"/>
      <c r="BF35" s="7"/>
      <c r="BG35" s="7"/>
      <c r="BH35" s="7"/>
      <c r="BI35" s="7"/>
      <c r="BJ35" s="7"/>
      <c r="BK35" s="7"/>
      <c r="BL35" s="7"/>
      <c r="BM35" s="7"/>
      <c r="BN35" s="41"/>
      <c r="BO35" s="62"/>
      <c r="BP35" s="50"/>
      <c r="BQ35" s="20"/>
      <c r="BR35" s="7"/>
      <c r="BS35" s="7"/>
      <c r="BT35" s="7"/>
      <c r="BU35" s="7"/>
      <c r="BV35" s="55"/>
      <c r="BW35" s="7"/>
      <c r="BX35" s="55"/>
      <c r="BY35" s="7"/>
      <c r="BZ35" s="7"/>
      <c r="CA35" s="7"/>
      <c r="CB35" s="7"/>
      <c r="CC35" s="73"/>
      <c r="CD35" s="71"/>
      <c r="CE35" s="72"/>
      <c r="CF35" s="7"/>
      <c r="CG35" s="7"/>
      <c r="CH35" s="7"/>
      <c r="CI35" s="7"/>
      <c r="CJ35" s="7"/>
      <c r="CK35" s="7"/>
      <c r="CL35" s="7"/>
      <c r="CM35" s="7"/>
      <c r="CN35" s="7"/>
      <c r="CO35" s="7"/>
      <c r="CP35" s="55"/>
      <c r="CQ35" s="7"/>
      <c r="CR35" s="7"/>
      <c r="CS35" s="130"/>
      <c r="CT35" s="7"/>
      <c r="CU35" s="7"/>
      <c r="CV35" s="7"/>
      <c r="CW35" s="7"/>
      <c r="CX35" s="7"/>
      <c r="CY35" s="73"/>
      <c r="CZ35" s="7"/>
      <c r="DA35" s="7"/>
      <c r="DB35" s="7"/>
      <c r="DC35" s="48"/>
      <c r="DD35" s="7"/>
      <c r="DE35" s="7"/>
      <c r="DF35" s="7"/>
      <c r="DG35" s="7"/>
      <c r="DH35" s="7"/>
      <c r="DI35" s="7"/>
      <c r="DJ35" s="7"/>
      <c r="DK35" s="7"/>
      <c r="DL35" s="74"/>
      <c r="DM35" s="7"/>
      <c r="DN35" s="7"/>
      <c r="DO35" s="7"/>
      <c r="DP35" s="7"/>
      <c r="DQ35" s="58"/>
      <c r="DR35" s="7"/>
      <c r="DS35" s="7"/>
      <c r="DT35" s="7"/>
      <c r="DU35" s="73"/>
      <c r="DV35" s="73"/>
      <c r="DW35" s="152"/>
      <c r="DX35" s="7"/>
      <c r="DY35" s="7"/>
      <c r="DZ35" s="7"/>
      <c r="EA35" s="7"/>
      <c r="EB35" s="7"/>
      <c r="EC35" s="7"/>
      <c r="ED35" s="7"/>
      <c r="EE35" s="7"/>
      <c r="EF35" s="7"/>
      <c r="EG35" s="7"/>
      <c r="EH35" s="7"/>
      <c r="EI35" s="7"/>
      <c r="EJ35" s="7"/>
      <c r="EK35" s="7"/>
      <c r="EL35" s="7"/>
      <c r="EM35" s="7"/>
      <c r="EN35" s="19"/>
      <c r="EO35" s="7"/>
      <c r="EP35" s="7"/>
      <c r="EQ35" s="7"/>
      <c r="ER35" s="7"/>
      <c r="ES35" s="7"/>
      <c r="ET35" s="55"/>
      <c r="EU35" s="7"/>
      <c r="EV35" s="7"/>
      <c r="EW35" s="7"/>
      <c r="EX35" s="7"/>
      <c r="EY35" s="7"/>
      <c r="EZ35" s="7"/>
      <c r="FA35" s="72"/>
      <c r="FB35" s="7"/>
      <c r="FC35" s="55"/>
      <c r="FD35" s="55"/>
      <c r="FE35" s="55"/>
      <c r="FF35" s="7"/>
      <c r="FG35" s="7"/>
      <c r="FH35" s="7"/>
      <c r="FI35" s="7"/>
      <c r="FJ35" s="7"/>
      <c r="FK35" s="7"/>
      <c r="FL35" s="7"/>
      <c r="FM35" s="7"/>
      <c r="FN35" s="7"/>
      <c r="FO35" s="7"/>
      <c r="FP35" s="7"/>
      <c r="FQ35" s="7"/>
      <c r="FR35" s="7"/>
      <c r="FS35" s="77"/>
      <c r="FT35" s="30"/>
      <c r="FU35" s="7"/>
      <c r="FV35" s="55"/>
      <c r="FW35" s="55"/>
      <c r="FX35" s="7"/>
      <c r="FY35" s="7"/>
      <c r="FZ35" s="7"/>
      <c r="GA35" s="7"/>
      <c r="GB35" s="7"/>
      <c r="GC35" s="7"/>
      <c r="GD35" s="103"/>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29"/>
      <c r="IF35" s="7"/>
      <c r="IG35" s="7"/>
      <c r="IH35" s="7"/>
      <c r="II35" s="7"/>
      <c r="IJ35" s="7"/>
      <c r="IK35" s="7"/>
      <c r="IL35" s="7"/>
      <c r="IM35" s="7"/>
      <c r="IN35" s="7"/>
      <c r="IO35" s="7"/>
      <c r="IP35" s="7"/>
      <c r="IQ35" s="7"/>
      <c r="IR35" s="7"/>
      <c r="IS35" s="7"/>
      <c r="IT35" s="55"/>
      <c r="IU35" s="7"/>
      <c r="IV35" s="7"/>
    </row>
    <row r="36" spans="1:256" s="337" customFormat="1" ht="12.75" customHeight="1">
      <c r="C36" s="140" t="s">
        <v>672</v>
      </c>
      <c r="D36" s="343" t="s">
        <v>673</v>
      </c>
      <c r="E36" s="154" t="s">
        <v>674</v>
      </c>
      <c r="F36" s="154" t="s">
        <v>20</v>
      </c>
      <c r="G36" s="154" t="s">
        <v>18</v>
      </c>
      <c r="H36" s="154"/>
      <c r="I36" s="324"/>
      <c r="J36" s="343" t="s">
        <v>675</v>
      </c>
      <c r="K36" s="154"/>
      <c r="L36" s="154"/>
      <c r="M36" s="154"/>
      <c r="N36" s="154"/>
      <c r="O36" s="154"/>
      <c r="P36" s="154" t="s">
        <v>673</v>
      </c>
      <c r="Q36" s="344">
        <v>17917</v>
      </c>
      <c r="R36" s="345">
        <v>67</v>
      </c>
      <c r="S36" s="4" t="s">
        <v>18</v>
      </c>
      <c r="T36" s="154"/>
      <c r="U36" s="346" t="s">
        <v>5738</v>
      </c>
      <c r="V36" s="154" t="s">
        <v>707</v>
      </c>
      <c r="W36" s="154" t="s">
        <v>1069</v>
      </c>
      <c r="X36" s="154" t="s">
        <v>708</v>
      </c>
      <c r="Y36" s="154" t="s">
        <v>709</v>
      </c>
      <c r="Z36" s="154" t="s">
        <v>710</v>
      </c>
      <c r="AA36" s="154"/>
      <c r="AB36" s="154"/>
      <c r="AC36" s="154" t="s">
        <v>968</v>
      </c>
      <c r="AD36" s="154" t="s">
        <v>712</v>
      </c>
      <c r="AE36" s="15" t="s">
        <v>1095</v>
      </c>
      <c r="AF36" s="15" t="s">
        <v>1096</v>
      </c>
      <c r="AG36" s="15" t="s">
        <v>1196</v>
      </c>
      <c r="AH36" s="15"/>
      <c r="AI36" s="15" t="s">
        <v>1101</v>
      </c>
      <c r="AJ36" s="355">
        <v>3000</v>
      </c>
      <c r="AK36" s="359"/>
      <c r="AL36" s="360"/>
      <c r="AM36" s="154" t="s">
        <v>1122</v>
      </c>
      <c r="AN36" s="154"/>
      <c r="AO36" s="154"/>
      <c r="AP36" s="154"/>
      <c r="AQ36" s="154"/>
      <c r="AR36" s="154"/>
      <c r="AS36" s="154"/>
      <c r="AT36" s="154"/>
      <c r="AU36" s="154"/>
      <c r="AV36" s="154"/>
      <c r="AW36" s="154"/>
      <c r="AX36" s="154"/>
      <c r="AY36" s="154"/>
      <c r="AZ36" s="154"/>
      <c r="BA36" s="154"/>
      <c r="BB36" s="154"/>
      <c r="BC36" s="154"/>
      <c r="BD36" s="350"/>
      <c r="BE36" s="350"/>
      <c r="BF36" s="154"/>
      <c r="BG36" s="154"/>
      <c r="BH36" s="154"/>
      <c r="BI36" s="15" t="s">
        <v>1095</v>
      </c>
      <c r="BJ36" s="154" t="s">
        <v>2248</v>
      </c>
      <c r="BK36" s="154" t="s">
        <v>1096</v>
      </c>
      <c r="BL36" s="154" t="s">
        <v>1230</v>
      </c>
      <c r="BM36" s="154" t="s">
        <v>1246</v>
      </c>
      <c r="BN36" s="348">
        <v>6.25</v>
      </c>
      <c r="BO36" s="359">
        <v>6.25</v>
      </c>
      <c r="BP36" s="360">
        <f>BO36/BN36</f>
        <v>1</v>
      </c>
      <c r="BQ36" s="154" t="s">
        <v>1257</v>
      </c>
      <c r="BR36" s="154" t="s">
        <v>1386</v>
      </c>
      <c r="BS36" s="154" t="s">
        <v>1378</v>
      </c>
      <c r="BT36" s="154" t="s">
        <v>1387</v>
      </c>
      <c r="BU36" s="154"/>
      <c r="BV36" s="350"/>
      <c r="BW36" s="362"/>
      <c r="BX36" s="154"/>
      <c r="BY36" s="350"/>
      <c r="BZ36" s="350"/>
      <c r="CA36" s="154"/>
      <c r="CB36" s="154"/>
      <c r="CC36" s="154"/>
      <c r="CD36" s="357"/>
      <c r="CE36" s="433"/>
      <c r="CF36" s="154"/>
      <c r="CG36" s="154"/>
      <c r="CH36" s="154"/>
      <c r="CI36" s="154"/>
      <c r="CJ36" s="154"/>
      <c r="CK36" s="154"/>
      <c r="CL36" s="154"/>
      <c r="CM36" s="154"/>
      <c r="CN36" s="154"/>
      <c r="CO36" s="154"/>
      <c r="CP36" s="154"/>
      <c r="CQ36" s="350"/>
      <c r="CR36" s="154"/>
      <c r="CS36" s="434"/>
      <c r="CT36" s="154"/>
      <c r="CU36" s="154"/>
      <c r="CV36" s="154"/>
      <c r="CW36" s="154"/>
      <c r="CX36" s="154"/>
      <c r="CY36" s="358"/>
      <c r="CZ36" s="154"/>
      <c r="DA36" s="154"/>
      <c r="DB36" s="154"/>
      <c r="DC36" s="359"/>
      <c r="DD36" s="154"/>
      <c r="DE36" s="154"/>
      <c r="DF36" s="154"/>
      <c r="DG36" s="154"/>
      <c r="DH36" s="154"/>
      <c r="DI36" s="154"/>
      <c r="DJ36" s="154"/>
      <c r="DK36" s="154"/>
      <c r="DL36" s="435"/>
      <c r="DM36" s="154"/>
      <c r="DN36" s="154"/>
      <c r="DO36" s="154"/>
      <c r="DP36" s="154"/>
      <c r="DQ36" s="356"/>
      <c r="DR36" s="154"/>
      <c r="DS36" s="154"/>
      <c r="DT36" s="154"/>
      <c r="DU36" s="358"/>
      <c r="DV36" s="358"/>
      <c r="DW36" s="154"/>
      <c r="DX36" s="154"/>
      <c r="DY36" s="154"/>
      <c r="DZ36" s="154"/>
      <c r="EA36" s="154"/>
      <c r="EB36" s="154"/>
      <c r="EC36" s="154"/>
      <c r="ED36" s="154"/>
      <c r="EE36" s="154"/>
      <c r="EF36" s="154"/>
      <c r="EG36" s="154"/>
      <c r="EH36" s="154"/>
      <c r="EI36" s="154"/>
      <c r="EJ36" s="154"/>
      <c r="EK36" s="154"/>
      <c r="EL36" s="154"/>
      <c r="EM36" s="154"/>
      <c r="EN36" s="343"/>
      <c r="EO36" s="154"/>
      <c r="EP36" s="154"/>
      <c r="EQ36" s="154"/>
      <c r="ER36" s="154"/>
      <c r="ES36" s="154"/>
      <c r="ET36" s="350"/>
      <c r="EU36" s="154"/>
      <c r="EV36" s="154"/>
      <c r="EW36" s="154"/>
      <c r="EX36" s="154" t="s">
        <v>478</v>
      </c>
      <c r="EY36" s="154">
        <v>1</v>
      </c>
      <c r="EZ36" s="154"/>
      <c r="FA36" s="154"/>
      <c r="FB36" s="154"/>
      <c r="FC36" s="350"/>
      <c r="FD36" s="350"/>
      <c r="FE36" s="350"/>
      <c r="FF36" s="154"/>
      <c r="FG36" s="154"/>
      <c r="FH36" s="154"/>
      <c r="FI36" s="154"/>
      <c r="FJ36" s="154"/>
      <c r="FK36" s="154"/>
      <c r="FL36" s="154"/>
      <c r="FM36" s="154"/>
      <c r="FN36" s="154"/>
      <c r="FO36" s="154"/>
      <c r="FP36" s="154"/>
      <c r="FQ36" s="154"/>
      <c r="FR36" s="154"/>
      <c r="FS36" s="354"/>
      <c r="FT36" s="345"/>
      <c r="FU36" s="154"/>
      <c r="FV36" s="350"/>
      <c r="FW36" s="350"/>
      <c r="FX36" s="154" t="s">
        <v>1828</v>
      </c>
      <c r="FY36" s="154"/>
      <c r="FZ36" s="154"/>
      <c r="GA36" s="154"/>
      <c r="GB36" s="154"/>
      <c r="GC36" s="154"/>
      <c r="GD36" s="361"/>
      <c r="GE36" s="154"/>
      <c r="GF36" s="154"/>
      <c r="GG36" s="154"/>
      <c r="GH36" s="154"/>
      <c r="GI36" s="154"/>
      <c r="GJ36" s="154"/>
      <c r="GK36" s="154"/>
      <c r="GL36" s="154"/>
      <c r="GM36" s="154"/>
      <c r="GN36" s="154"/>
      <c r="GO36" s="154"/>
      <c r="GP36" s="154"/>
      <c r="GQ36" s="154"/>
      <c r="GR36" s="154"/>
      <c r="GS36" s="154"/>
      <c r="GT36" s="154"/>
      <c r="GU36" s="154"/>
      <c r="GV36" s="154"/>
      <c r="GW36" s="154"/>
      <c r="GX36" s="154"/>
      <c r="GY36" s="154" t="s">
        <v>1214</v>
      </c>
      <c r="GZ36" s="154"/>
      <c r="HA36" s="154"/>
      <c r="HB36" s="154"/>
      <c r="HC36" s="154"/>
      <c r="HD36" s="154"/>
      <c r="HE36" s="154"/>
      <c r="HF36" s="154"/>
      <c r="HG36" s="154"/>
      <c r="HH36" s="154"/>
      <c r="HI36" s="154"/>
      <c r="HJ36" s="154"/>
      <c r="HK36" s="154"/>
      <c r="HL36" s="154"/>
      <c r="HM36" s="154"/>
      <c r="HN36" s="154"/>
      <c r="HO36" s="154"/>
      <c r="HP36" s="154"/>
      <c r="HQ36" s="154"/>
      <c r="HR36" s="154"/>
      <c r="HS36" s="154"/>
      <c r="HT36" s="154">
        <v>2</v>
      </c>
      <c r="HU36" s="154">
        <v>2</v>
      </c>
      <c r="HV36" s="154"/>
      <c r="HW36" s="154"/>
      <c r="HX36" s="154"/>
      <c r="HY36" s="154"/>
      <c r="HZ36" s="154"/>
      <c r="IA36" s="154"/>
      <c r="IB36" s="154"/>
      <c r="IC36" s="154"/>
      <c r="ID36" s="154"/>
      <c r="IE36" s="344"/>
      <c r="IF36" s="154"/>
      <c r="IG36" s="154"/>
      <c r="IH36" s="154"/>
      <c r="II36" s="154"/>
      <c r="IJ36" s="154"/>
      <c r="IK36" s="154"/>
      <c r="IL36" s="154"/>
      <c r="IM36" s="154"/>
      <c r="IN36" s="154"/>
      <c r="IO36" s="154"/>
      <c r="IP36" s="154"/>
      <c r="IQ36" s="154"/>
      <c r="IR36" s="154"/>
      <c r="IS36" s="154"/>
      <c r="IT36" s="350"/>
      <c r="IU36" s="154"/>
      <c r="IV36" s="154"/>
    </row>
    <row r="37" spans="1:256" s="337" customFormat="1" ht="12.75" customHeight="1">
      <c r="C37" s="140" t="s">
        <v>690</v>
      </c>
      <c r="D37" s="154"/>
      <c r="E37" s="154"/>
      <c r="F37" s="154"/>
      <c r="G37" s="154"/>
      <c r="H37" s="154"/>
      <c r="I37" s="324"/>
      <c r="J37" s="343"/>
      <c r="K37" s="154"/>
      <c r="L37" s="154"/>
      <c r="M37" s="154"/>
      <c r="N37" s="154"/>
      <c r="O37" s="154"/>
      <c r="P37" s="154"/>
      <c r="Q37" s="344"/>
      <c r="R37" s="345"/>
      <c r="S37" s="154"/>
      <c r="T37" s="154"/>
      <c r="U37" s="346"/>
      <c r="V37" s="154"/>
      <c r="W37" s="154"/>
      <c r="X37" s="154"/>
      <c r="Y37" s="154"/>
      <c r="Z37" s="154"/>
      <c r="AA37" s="154"/>
      <c r="AB37" s="154"/>
      <c r="AC37" s="154"/>
      <c r="AD37" s="154"/>
      <c r="AE37" s="332"/>
      <c r="AF37" s="332" t="s">
        <v>5326</v>
      </c>
      <c r="AG37" s="332"/>
      <c r="AH37" s="332"/>
      <c r="AI37" s="154"/>
      <c r="AJ37" s="355"/>
      <c r="AK37" s="359"/>
      <c r="AL37" s="360"/>
      <c r="AM37" s="154"/>
      <c r="AN37" s="154"/>
      <c r="AO37" s="154"/>
      <c r="AP37" s="154"/>
      <c r="AQ37" s="154"/>
      <c r="AR37" s="154"/>
      <c r="AS37" s="154"/>
      <c r="AT37" s="154"/>
      <c r="AU37" s="154"/>
      <c r="AV37" s="154"/>
      <c r="AW37" s="154"/>
      <c r="AX37" s="154"/>
      <c r="AY37" s="154"/>
      <c r="AZ37" s="154"/>
      <c r="BA37" s="154"/>
      <c r="BB37" s="154"/>
      <c r="BC37" s="154"/>
      <c r="BD37" s="350"/>
      <c r="BE37" s="350"/>
      <c r="BF37" s="154"/>
      <c r="BG37" s="154"/>
      <c r="BH37" s="154"/>
      <c r="BI37" s="332"/>
      <c r="BJ37" s="332"/>
      <c r="BK37" s="332" t="s">
        <v>1096</v>
      </c>
      <c r="BL37" s="332"/>
      <c r="BM37" s="154"/>
      <c r="BN37" s="348"/>
      <c r="BO37" s="359"/>
      <c r="BP37" s="360"/>
      <c r="BQ37" s="154"/>
      <c r="BR37" s="154"/>
      <c r="BS37" s="154"/>
      <c r="BT37" s="154"/>
      <c r="BU37" s="154"/>
      <c r="BV37" s="350"/>
      <c r="BW37" s="154"/>
      <c r="BX37" s="350"/>
      <c r="BY37" s="154"/>
      <c r="BZ37" s="154"/>
      <c r="CA37" s="154"/>
      <c r="CB37" s="154"/>
      <c r="CC37" s="154"/>
      <c r="CD37" s="357"/>
      <c r="CE37" s="433"/>
      <c r="CF37" s="154"/>
      <c r="CG37" s="154"/>
      <c r="CH37" s="154"/>
      <c r="CI37" s="154"/>
      <c r="CJ37" s="154"/>
      <c r="CK37" s="154"/>
      <c r="CL37" s="154"/>
      <c r="CM37" s="154"/>
      <c r="CN37" s="154"/>
      <c r="CO37" s="154"/>
      <c r="CP37" s="350"/>
      <c r="CQ37" s="154"/>
      <c r="CR37" s="154"/>
      <c r="CS37" s="434"/>
      <c r="CT37" s="154"/>
      <c r="CU37" s="154"/>
      <c r="CV37" s="154"/>
      <c r="CW37" s="154"/>
      <c r="CX37" s="154"/>
      <c r="CY37" s="358"/>
      <c r="CZ37" s="154"/>
      <c r="DA37" s="154"/>
      <c r="DB37" s="154"/>
      <c r="DC37" s="359"/>
      <c r="DD37" s="154"/>
      <c r="DE37" s="154"/>
      <c r="DF37" s="154"/>
      <c r="DG37" s="154"/>
      <c r="DH37" s="154"/>
      <c r="DI37" s="154"/>
      <c r="DJ37" s="154"/>
      <c r="DK37" s="154"/>
      <c r="DL37" s="435"/>
      <c r="DM37" s="154"/>
      <c r="DN37" s="154"/>
      <c r="DO37" s="154"/>
      <c r="DP37" s="154"/>
      <c r="DQ37" s="356"/>
      <c r="DR37" s="154"/>
      <c r="DS37" s="154"/>
      <c r="DT37" s="154"/>
      <c r="DU37" s="358"/>
      <c r="DV37" s="358"/>
      <c r="DW37" s="154"/>
      <c r="DX37" s="154"/>
      <c r="DY37" s="154"/>
      <c r="DZ37" s="154"/>
      <c r="EA37" s="154"/>
      <c r="EB37" s="154"/>
      <c r="EC37" s="154"/>
      <c r="ED37" s="154"/>
      <c r="EE37" s="154"/>
      <c r="EF37" s="154"/>
      <c r="EG37" s="154"/>
      <c r="EH37" s="154"/>
      <c r="EI37" s="154"/>
      <c r="EJ37" s="154"/>
      <c r="EK37" s="154"/>
      <c r="EL37" s="154"/>
      <c r="EM37" s="154"/>
      <c r="EN37" s="343"/>
      <c r="EO37" s="154"/>
      <c r="EP37" s="154"/>
      <c r="EQ37" s="154"/>
      <c r="ER37" s="154"/>
      <c r="ES37" s="154"/>
      <c r="ET37" s="350"/>
      <c r="EU37" s="154"/>
      <c r="EV37" s="154"/>
      <c r="EW37" s="154"/>
      <c r="EX37" s="154"/>
      <c r="EY37" s="154"/>
      <c r="EZ37" s="154"/>
      <c r="FA37" s="154"/>
      <c r="FB37" s="154"/>
      <c r="FC37" s="350"/>
      <c r="FD37" s="350"/>
      <c r="FE37" s="350"/>
      <c r="FF37" s="154"/>
      <c r="FG37" s="154"/>
      <c r="FH37" s="154"/>
      <c r="FI37" s="154"/>
      <c r="FJ37" s="154"/>
      <c r="FK37" s="154"/>
      <c r="FL37" s="154"/>
      <c r="FM37" s="154"/>
      <c r="FN37" s="154"/>
      <c r="FO37" s="154"/>
      <c r="FP37" s="154"/>
      <c r="FQ37" s="154"/>
      <c r="FR37" s="154"/>
      <c r="FS37" s="354"/>
      <c r="FT37" s="345"/>
      <c r="FU37" s="154"/>
      <c r="FV37" s="350"/>
      <c r="FW37" s="350"/>
      <c r="FX37" s="154"/>
      <c r="FY37" s="154"/>
      <c r="FZ37" s="154"/>
      <c r="GA37" s="154"/>
      <c r="GB37" s="154"/>
      <c r="GC37" s="154"/>
      <c r="GD37" s="361"/>
      <c r="GE37" s="154"/>
      <c r="GF37" s="154"/>
      <c r="GG37" s="154"/>
      <c r="GH37" s="154"/>
      <c r="GI37" s="154"/>
      <c r="GJ37" s="154"/>
      <c r="GK37" s="154"/>
      <c r="GL37" s="154"/>
      <c r="GM37" s="154"/>
      <c r="GN37" s="154"/>
      <c r="GO37" s="154"/>
      <c r="GP37" s="154"/>
      <c r="GQ37" s="154"/>
      <c r="GR37" s="154"/>
      <c r="GS37" s="154"/>
      <c r="GT37" s="154"/>
      <c r="GU37" s="154"/>
      <c r="GV37" s="154"/>
      <c r="GW37" s="154"/>
      <c r="GX37" s="154"/>
      <c r="GY37" s="154"/>
      <c r="GZ37" s="154"/>
      <c r="HA37" s="154"/>
      <c r="HB37" s="154"/>
      <c r="HC37" s="154"/>
      <c r="HD37" s="154"/>
      <c r="HE37" s="154"/>
      <c r="HF37" s="154"/>
      <c r="HG37" s="154"/>
      <c r="HH37" s="154"/>
      <c r="HI37" s="154"/>
      <c r="HJ37" s="154"/>
      <c r="HK37" s="154"/>
      <c r="HL37" s="154"/>
      <c r="HM37" s="154"/>
      <c r="HN37" s="154"/>
      <c r="HO37" s="154"/>
      <c r="HP37" s="154"/>
      <c r="HQ37" s="154"/>
      <c r="HR37" s="154"/>
      <c r="HS37" s="154"/>
      <c r="HT37" s="154"/>
      <c r="HU37" s="154"/>
      <c r="HV37" s="154"/>
      <c r="HW37" s="154"/>
      <c r="HX37" s="154"/>
      <c r="HY37" s="154"/>
      <c r="HZ37" s="154"/>
      <c r="IA37" s="154"/>
      <c r="IB37" s="154"/>
      <c r="IC37" s="154"/>
      <c r="ID37" s="154"/>
      <c r="IE37" s="344"/>
      <c r="IF37" s="154"/>
      <c r="IG37" s="154"/>
      <c r="IH37" s="154"/>
      <c r="II37" s="154"/>
      <c r="IJ37" s="154"/>
      <c r="IK37" s="154"/>
      <c r="IL37" s="154"/>
      <c r="IM37" s="154"/>
      <c r="IN37" s="154"/>
      <c r="IO37" s="154"/>
      <c r="IP37" s="154"/>
      <c r="IQ37" s="154"/>
      <c r="IR37" s="154"/>
      <c r="IS37" s="154"/>
      <c r="IT37" s="350"/>
      <c r="IU37" s="154"/>
      <c r="IV37" s="154"/>
    </row>
    <row r="38" spans="1:256" s="337" customFormat="1" ht="12.75" customHeight="1">
      <c r="C38" s="140"/>
      <c r="D38" s="154"/>
      <c r="E38" s="154"/>
      <c r="F38" s="154"/>
      <c r="G38" s="154"/>
      <c r="H38" s="154"/>
      <c r="I38" s="324"/>
      <c r="J38" s="154"/>
      <c r="K38" s="154"/>
      <c r="L38" s="154"/>
      <c r="M38" s="154"/>
      <c r="N38" s="154"/>
      <c r="O38" s="154"/>
      <c r="P38" s="154" t="s">
        <v>1079</v>
      </c>
      <c r="Q38" s="344">
        <v>15117</v>
      </c>
      <c r="R38" s="345">
        <v>75</v>
      </c>
      <c r="S38" s="154" t="s">
        <v>10</v>
      </c>
      <c r="T38" s="154"/>
      <c r="U38" s="346" t="s">
        <v>1080</v>
      </c>
      <c r="V38" s="154" t="s">
        <v>722</v>
      </c>
      <c r="W38" s="154"/>
      <c r="X38" s="154" t="s">
        <v>708</v>
      </c>
      <c r="Y38" s="154" t="s">
        <v>709</v>
      </c>
      <c r="Z38" s="154" t="s">
        <v>710</v>
      </c>
      <c r="AA38" s="154" t="s">
        <v>777</v>
      </c>
      <c r="AB38" s="154"/>
      <c r="AC38" s="154"/>
      <c r="AD38" s="154" t="s">
        <v>962</v>
      </c>
      <c r="AE38" s="332"/>
      <c r="AF38" s="332" t="s">
        <v>1096</v>
      </c>
      <c r="AG38" s="332"/>
      <c r="AH38" s="332"/>
      <c r="AI38" s="154"/>
      <c r="AJ38" s="355"/>
      <c r="AK38" s="359"/>
      <c r="AL38" s="360"/>
      <c r="AM38" s="154"/>
      <c r="AN38" s="154"/>
      <c r="AO38" s="154"/>
      <c r="AP38" s="154"/>
      <c r="AQ38" s="154"/>
      <c r="AR38" s="154"/>
      <c r="AS38" s="154"/>
      <c r="AT38" s="154"/>
      <c r="AU38" s="154"/>
      <c r="AV38" s="154"/>
      <c r="AW38" s="154"/>
      <c r="AX38" s="154"/>
      <c r="AY38" s="154"/>
      <c r="AZ38" s="154"/>
      <c r="BA38" s="154"/>
      <c r="BB38" s="154"/>
      <c r="BC38" s="154"/>
      <c r="BD38" s="350"/>
      <c r="BE38" s="350"/>
      <c r="BF38" s="154"/>
      <c r="BG38" s="154"/>
      <c r="BH38" s="154"/>
      <c r="BI38" s="332"/>
      <c r="BJ38" s="332"/>
      <c r="BK38" s="332" t="s">
        <v>1096</v>
      </c>
      <c r="BL38" s="332"/>
      <c r="BM38" s="154"/>
      <c r="BN38" s="348"/>
      <c r="BO38" s="359"/>
      <c r="BP38" s="360"/>
      <c r="BQ38" s="154"/>
      <c r="BR38" s="154"/>
      <c r="BS38" s="154"/>
      <c r="BT38" s="154"/>
      <c r="BU38" s="154"/>
      <c r="BV38" s="350"/>
      <c r="BW38" s="154"/>
      <c r="BX38" s="350"/>
      <c r="BY38" s="154"/>
      <c r="BZ38" s="154"/>
      <c r="CA38" s="154"/>
      <c r="CB38" s="154"/>
      <c r="CC38" s="154"/>
      <c r="CD38" s="154"/>
      <c r="CE38" s="154"/>
      <c r="CF38" s="154"/>
      <c r="CG38" s="154"/>
      <c r="CH38" s="154"/>
      <c r="CI38" s="154"/>
      <c r="CJ38" s="154"/>
      <c r="CK38" s="154"/>
      <c r="CL38" s="154"/>
      <c r="CM38" s="154"/>
      <c r="CN38" s="154"/>
      <c r="CO38" s="154"/>
      <c r="CP38" s="350"/>
      <c r="CQ38" s="154"/>
      <c r="CR38" s="154"/>
      <c r="CS38" s="434"/>
      <c r="CT38" s="154"/>
      <c r="CU38" s="154"/>
      <c r="CV38" s="154"/>
      <c r="CW38" s="154"/>
      <c r="CX38" s="154"/>
      <c r="CY38" s="154"/>
      <c r="CZ38" s="154"/>
      <c r="DA38" s="154"/>
      <c r="DB38" s="154"/>
      <c r="DC38" s="154"/>
      <c r="DD38" s="154"/>
      <c r="DE38" s="154"/>
      <c r="DF38" s="154"/>
      <c r="DG38" s="154"/>
      <c r="DH38" s="154"/>
      <c r="DI38" s="154"/>
      <c r="DJ38" s="154"/>
      <c r="DK38" s="154"/>
      <c r="DL38" s="154"/>
      <c r="DM38" s="154"/>
      <c r="DN38" s="154"/>
      <c r="DO38" s="154"/>
      <c r="DP38" s="154"/>
      <c r="DQ38" s="356"/>
      <c r="DR38" s="154"/>
      <c r="DS38" s="154"/>
      <c r="DT38" s="154"/>
      <c r="DU38" s="358"/>
      <c r="DV38" s="358"/>
      <c r="DW38" s="154"/>
      <c r="DX38" s="154"/>
      <c r="DY38" s="154"/>
      <c r="DZ38" s="154"/>
      <c r="EA38" s="154"/>
      <c r="EB38" s="154"/>
      <c r="EC38" s="154"/>
      <c r="ED38" s="154"/>
      <c r="EE38" s="154"/>
      <c r="EF38" s="154"/>
      <c r="EG38" s="154"/>
      <c r="EH38" s="154"/>
      <c r="EI38" s="154"/>
      <c r="EJ38" s="154"/>
      <c r="EK38" s="154"/>
      <c r="EL38" s="154"/>
      <c r="EM38" s="154"/>
      <c r="EN38" s="154"/>
      <c r="EO38" s="154"/>
      <c r="EP38" s="154"/>
      <c r="EQ38" s="154"/>
      <c r="ER38" s="154"/>
      <c r="ES38" s="154"/>
      <c r="ET38" s="350"/>
      <c r="EU38" s="154"/>
      <c r="EV38" s="154"/>
      <c r="EW38" s="154"/>
      <c r="EX38" s="154" t="s">
        <v>478</v>
      </c>
      <c r="EY38" s="154">
        <v>1</v>
      </c>
      <c r="EZ38" s="154"/>
      <c r="FA38" s="154"/>
      <c r="FB38" s="154"/>
      <c r="FC38" s="350"/>
      <c r="FD38" s="350"/>
      <c r="FE38" s="350"/>
      <c r="FF38" s="154"/>
      <c r="FG38" s="154"/>
      <c r="FH38" s="154"/>
      <c r="FI38" s="154"/>
      <c r="FJ38" s="154"/>
      <c r="FK38" s="154"/>
      <c r="FL38" s="154"/>
      <c r="FM38" s="154"/>
      <c r="FN38" s="154"/>
      <c r="FO38" s="154"/>
      <c r="FP38" s="154"/>
      <c r="FQ38" s="154"/>
      <c r="FR38" s="154"/>
      <c r="FS38" s="354"/>
      <c r="FT38" s="345"/>
      <c r="FU38" s="154"/>
      <c r="FV38" s="350"/>
      <c r="FW38" s="350"/>
      <c r="FX38" s="154"/>
      <c r="FY38" s="154"/>
      <c r="FZ38" s="154"/>
      <c r="GA38" s="154"/>
      <c r="GB38" s="154"/>
      <c r="GC38" s="154"/>
      <c r="GD38" s="361"/>
      <c r="GE38" s="154"/>
      <c r="GF38" s="154"/>
      <c r="GG38" s="154"/>
      <c r="GH38" s="154"/>
      <c r="GI38" s="154"/>
      <c r="GJ38" s="154"/>
      <c r="GK38" s="154"/>
      <c r="GL38" s="154"/>
      <c r="GM38" s="154"/>
      <c r="GN38" s="154"/>
      <c r="GO38" s="154"/>
      <c r="GP38" s="154"/>
      <c r="GQ38" s="154"/>
      <c r="GR38" s="154"/>
      <c r="GS38" s="154"/>
      <c r="GT38" s="154"/>
      <c r="GU38" s="154"/>
      <c r="GV38" s="154"/>
      <c r="GW38" s="154"/>
      <c r="GX38" s="154"/>
      <c r="GY38" s="154"/>
      <c r="GZ38" s="154"/>
      <c r="HA38" s="154"/>
      <c r="HB38" s="154"/>
      <c r="HC38" s="154"/>
      <c r="HD38" s="154"/>
      <c r="HE38" s="154"/>
      <c r="HF38" s="154"/>
      <c r="HG38" s="154"/>
      <c r="HH38" s="154"/>
      <c r="HI38" s="154"/>
      <c r="HJ38" s="154"/>
      <c r="HK38" s="154"/>
      <c r="HL38" s="154"/>
      <c r="HM38" s="154"/>
      <c r="HN38" s="154"/>
      <c r="HO38" s="154"/>
      <c r="HP38" s="154"/>
      <c r="HQ38" s="154"/>
      <c r="HR38" s="154" t="s">
        <v>1207</v>
      </c>
      <c r="HS38" s="154"/>
      <c r="HT38" s="154" t="s">
        <v>1207</v>
      </c>
      <c r="HU38" s="154"/>
      <c r="HV38" s="154"/>
      <c r="HW38" s="154"/>
      <c r="HX38" s="154"/>
      <c r="HY38" s="154"/>
      <c r="HZ38" s="154"/>
      <c r="IA38" s="154"/>
      <c r="IB38" s="154"/>
      <c r="IC38" s="154"/>
      <c r="ID38" s="154"/>
      <c r="IE38" s="344"/>
      <c r="IF38" s="154"/>
      <c r="IG38" s="154"/>
      <c r="IH38" s="154"/>
      <c r="II38" s="154"/>
      <c r="IJ38" s="154"/>
      <c r="IK38" s="154"/>
      <c r="IL38" s="154"/>
      <c r="IM38" s="154"/>
      <c r="IN38" s="154"/>
      <c r="IO38" s="154"/>
      <c r="IP38" s="154"/>
      <c r="IQ38" s="154"/>
      <c r="IR38" s="154"/>
      <c r="IS38" s="154"/>
      <c r="IT38" s="350"/>
      <c r="IU38" s="154"/>
      <c r="IV38" s="154"/>
    </row>
    <row r="39" spans="1:256" s="337" customFormat="1" ht="12.75" customHeight="1">
      <c r="C39" s="140"/>
      <c r="D39" s="154"/>
      <c r="E39" s="154"/>
      <c r="F39" s="154"/>
      <c r="G39" s="154"/>
      <c r="H39" s="154"/>
      <c r="I39" s="324"/>
      <c r="J39" s="154"/>
      <c r="K39" s="154"/>
      <c r="L39" s="154"/>
      <c r="M39" s="154"/>
      <c r="N39" s="154"/>
      <c r="O39" s="154"/>
      <c r="P39" s="154" t="s">
        <v>1081</v>
      </c>
      <c r="Q39" s="344">
        <v>34405</v>
      </c>
      <c r="R39" s="345">
        <v>23</v>
      </c>
      <c r="S39" s="154" t="s">
        <v>10</v>
      </c>
      <c r="T39" s="154"/>
      <c r="U39" s="346" t="s">
        <v>1082</v>
      </c>
      <c r="V39" s="154" t="s">
        <v>722</v>
      </c>
      <c r="W39" s="154" t="s">
        <v>1083</v>
      </c>
      <c r="X39" s="154" t="s">
        <v>850</v>
      </c>
      <c r="Y39" s="154" t="s">
        <v>709</v>
      </c>
      <c r="Z39" s="154" t="s">
        <v>710</v>
      </c>
      <c r="AA39" s="154"/>
      <c r="AB39" s="154" t="s">
        <v>711</v>
      </c>
      <c r="AC39" s="154" t="s">
        <v>968</v>
      </c>
      <c r="AD39" s="154" t="s">
        <v>712</v>
      </c>
      <c r="AE39" s="332"/>
      <c r="AF39" s="332" t="s">
        <v>1096</v>
      </c>
      <c r="AG39" s="332"/>
      <c r="AH39" s="332"/>
      <c r="AI39" s="154"/>
      <c r="AJ39" s="355"/>
      <c r="AK39" s="359"/>
      <c r="AL39" s="360"/>
      <c r="AM39" s="154"/>
      <c r="AN39" s="154"/>
      <c r="AO39" s="154"/>
      <c r="AP39" s="154"/>
      <c r="AQ39" s="154"/>
      <c r="AR39" s="154"/>
      <c r="AS39" s="154"/>
      <c r="AT39" s="154"/>
      <c r="AU39" s="154"/>
      <c r="AV39" s="154"/>
      <c r="AW39" s="154"/>
      <c r="AX39" s="154"/>
      <c r="AY39" s="154"/>
      <c r="AZ39" s="154"/>
      <c r="BA39" s="154"/>
      <c r="BB39" s="154"/>
      <c r="BC39" s="154"/>
      <c r="BD39" s="350"/>
      <c r="BE39" s="350"/>
      <c r="BF39" s="154"/>
      <c r="BG39" s="154"/>
      <c r="BH39" s="154"/>
      <c r="BI39" s="332"/>
      <c r="BJ39" s="332"/>
      <c r="BK39" s="332" t="s">
        <v>1096</v>
      </c>
      <c r="BL39" s="332"/>
      <c r="BM39" s="154"/>
      <c r="BN39" s="348"/>
      <c r="BO39" s="359"/>
      <c r="BP39" s="360"/>
      <c r="BQ39" s="154"/>
      <c r="BR39" s="154"/>
      <c r="BS39" s="154"/>
      <c r="BT39" s="154"/>
      <c r="BU39" s="154"/>
      <c r="BV39" s="350"/>
      <c r="BW39" s="154"/>
      <c r="BX39" s="350"/>
      <c r="BY39" s="154"/>
      <c r="BZ39" s="154"/>
      <c r="CA39" s="154"/>
      <c r="CB39" s="154"/>
      <c r="CC39" s="154"/>
      <c r="CD39" s="154"/>
      <c r="CE39" s="154"/>
      <c r="CF39" s="154"/>
      <c r="CG39" s="154"/>
      <c r="CH39" s="154"/>
      <c r="CI39" s="154"/>
      <c r="CJ39" s="154"/>
      <c r="CK39" s="154"/>
      <c r="CL39" s="154"/>
      <c r="CM39" s="154"/>
      <c r="CN39" s="154"/>
      <c r="CO39" s="154"/>
      <c r="CP39" s="350"/>
      <c r="CQ39" s="154"/>
      <c r="CR39" s="154"/>
      <c r="CS39" s="434"/>
      <c r="CT39" s="154"/>
      <c r="CU39" s="154"/>
      <c r="CV39" s="154"/>
      <c r="CW39" s="154"/>
      <c r="CX39" s="154"/>
      <c r="CY39" s="154"/>
      <c r="CZ39" s="154"/>
      <c r="DA39" s="154"/>
      <c r="DB39" s="154"/>
      <c r="DC39" s="154"/>
      <c r="DD39" s="154"/>
      <c r="DE39" s="154"/>
      <c r="DF39" s="154"/>
      <c r="DG39" s="154"/>
      <c r="DH39" s="154"/>
      <c r="DI39" s="154"/>
      <c r="DJ39" s="154"/>
      <c r="DK39" s="154"/>
      <c r="DL39" s="154"/>
      <c r="DM39" s="154"/>
      <c r="DN39" s="154"/>
      <c r="DO39" s="154"/>
      <c r="DP39" s="154"/>
      <c r="DQ39" s="356"/>
      <c r="DR39" s="154"/>
      <c r="DS39" s="154"/>
      <c r="DT39" s="154"/>
      <c r="DU39" s="358"/>
      <c r="DV39" s="358"/>
      <c r="DW39" s="154"/>
      <c r="DX39" s="154"/>
      <c r="DY39" s="154"/>
      <c r="DZ39" s="154"/>
      <c r="EA39" s="154"/>
      <c r="EB39" s="154"/>
      <c r="EC39" s="154"/>
      <c r="ED39" s="154"/>
      <c r="EE39" s="154"/>
      <c r="EF39" s="154"/>
      <c r="EG39" s="154"/>
      <c r="EH39" s="154"/>
      <c r="EI39" s="154"/>
      <c r="EJ39" s="154"/>
      <c r="EK39" s="154"/>
      <c r="EL39" s="154"/>
      <c r="EM39" s="154"/>
      <c r="EN39" s="154"/>
      <c r="EO39" s="154"/>
      <c r="EP39" s="154"/>
      <c r="EQ39" s="154"/>
      <c r="ER39" s="154"/>
      <c r="ES39" s="154"/>
      <c r="ET39" s="350"/>
      <c r="EU39" s="154"/>
      <c r="EV39" s="154"/>
      <c r="EW39" s="154"/>
      <c r="EX39" s="154" t="s">
        <v>478</v>
      </c>
      <c r="EY39" s="154">
        <v>1</v>
      </c>
      <c r="EZ39" s="154"/>
      <c r="FA39" s="154"/>
      <c r="FB39" s="154"/>
      <c r="FC39" s="350"/>
      <c r="FD39" s="350"/>
      <c r="FE39" s="350"/>
      <c r="FF39" s="154"/>
      <c r="FG39" s="154"/>
      <c r="FH39" s="154" t="s">
        <v>1214</v>
      </c>
      <c r="FI39" s="154"/>
      <c r="FJ39" s="154"/>
      <c r="FK39" s="154"/>
      <c r="FL39" s="154"/>
      <c r="FM39" s="154"/>
      <c r="FN39" s="154"/>
      <c r="FO39" s="154"/>
      <c r="FP39" s="154"/>
      <c r="FQ39" s="154"/>
      <c r="FR39" s="154"/>
      <c r="FS39" s="354"/>
      <c r="FT39" s="345"/>
      <c r="FU39" s="154"/>
      <c r="FV39" s="350"/>
      <c r="FW39" s="350"/>
      <c r="FX39" s="154"/>
      <c r="FY39" s="154"/>
      <c r="FZ39" s="154"/>
      <c r="GA39" s="154"/>
      <c r="GB39" s="154"/>
      <c r="GC39" s="154"/>
      <c r="GD39" s="361"/>
      <c r="GE39" s="154"/>
      <c r="GF39" s="154"/>
      <c r="GG39" s="154"/>
      <c r="GH39" s="154"/>
      <c r="GI39" s="154"/>
      <c r="GJ39" s="154"/>
      <c r="GK39" s="154"/>
      <c r="GL39" s="154"/>
      <c r="GM39" s="154"/>
      <c r="GN39" s="154"/>
      <c r="GO39" s="154"/>
      <c r="GP39" s="154"/>
      <c r="GQ39" s="154"/>
      <c r="GR39" s="154"/>
      <c r="GS39" s="154"/>
      <c r="GT39" s="154"/>
      <c r="GU39" s="154"/>
      <c r="GV39" s="154"/>
      <c r="GW39" s="154"/>
      <c r="GX39" s="154"/>
      <c r="GY39" s="154"/>
      <c r="GZ39" s="154"/>
      <c r="HA39" s="154"/>
      <c r="HB39" s="154"/>
      <c r="HC39" s="154"/>
      <c r="HD39" s="154"/>
      <c r="HE39" s="154"/>
      <c r="HF39" s="154"/>
      <c r="HG39" s="154"/>
      <c r="HH39" s="154"/>
      <c r="HI39" s="154"/>
      <c r="HJ39" s="154"/>
      <c r="HK39" s="154"/>
      <c r="HL39" s="154"/>
      <c r="HM39" s="154"/>
      <c r="HN39" s="154"/>
      <c r="HO39" s="154"/>
      <c r="HP39" s="154"/>
      <c r="HQ39" s="154"/>
      <c r="HR39" s="154"/>
      <c r="HS39" s="154" t="s">
        <v>1207</v>
      </c>
      <c r="HT39" s="154"/>
      <c r="HU39" s="154"/>
      <c r="HV39" s="154"/>
      <c r="HW39" s="154"/>
      <c r="HX39" s="154"/>
      <c r="HY39" s="154"/>
      <c r="HZ39" s="154"/>
      <c r="IA39" s="154"/>
      <c r="IB39" s="154"/>
      <c r="IC39" s="154"/>
      <c r="ID39" s="154"/>
      <c r="IE39" s="344"/>
      <c r="IF39" s="154"/>
      <c r="IG39" s="154"/>
      <c r="IH39" s="154"/>
      <c r="II39" s="154"/>
      <c r="IJ39" s="154"/>
      <c r="IK39" s="154"/>
      <c r="IL39" s="154"/>
      <c r="IM39" s="154"/>
      <c r="IN39" s="154"/>
      <c r="IO39" s="154"/>
      <c r="IP39" s="154"/>
      <c r="IQ39" s="154"/>
      <c r="IR39" s="154"/>
      <c r="IS39" s="154"/>
      <c r="IT39" s="350"/>
      <c r="IU39" s="154"/>
      <c r="IV39" s="154"/>
    </row>
    <row r="40" spans="1:256" s="337" customFormat="1" ht="12.75" customHeight="1">
      <c r="C40" s="140"/>
      <c r="D40" s="154"/>
      <c r="E40" s="154"/>
      <c r="F40" s="154"/>
      <c r="G40" s="154"/>
      <c r="H40" s="154"/>
      <c r="I40" s="324"/>
      <c r="J40" s="154"/>
      <c r="K40" s="154"/>
      <c r="L40" s="154"/>
      <c r="M40" s="154"/>
      <c r="N40" s="154"/>
      <c r="O40" s="154"/>
      <c r="P40" s="154" t="s">
        <v>1084</v>
      </c>
      <c r="Q40" s="344">
        <v>32996</v>
      </c>
      <c r="R40" s="345">
        <v>27</v>
      </c>
      <c r="S40" s="154" t="s">
        <v>10</v>
      </c>
      <c r="T40" s="154"/>
      <c r="U40" s="346" t="s">
        <v>1085</v>
      </c>
      <c r="V40" s="154" t="s">
        <v>722</v>
      </c>
      <c r="W40" s="154" t="s">
        <v>1086</v>
      </c>
      <c r="X40" s="154" t="s">
        <v>850</v>
      </c>
      <c r="Y40" s="154" t="s">
        <v>709</v>
      </c>
      <c r="Z40" s="154" t="s">
        <v>710</v>
      </c>
      <c r="AA40" s="154"/>
      <c r="AB40" s="154" t="s">
        <v>711</v>
      </c>
      <c r="AC40" s="154"/>
      <c r="AD40" s="154" t="s">
        <v>712</v>
      </c>
      <c r="AE40" s="332"/>
      <c r="AF40" s="332" t="s">
        <v>1096</v>
      </c>
      <c r="AG40" s="332"/>
      <c r="AH40" s="332"/>
      <c r="AI40" s="154"/>
      <c r="AJ40" s="355"/>
      <c r="AK40" s="359"/>
      <c r="AL40" s="360"/>
      <c r="AM40" s="154"/>
      <c r="AN40" s="154"/>
      <c r="AO40" s="154"/>
      <c r="AP40" s="154"/>
      <c r="AQ40" s="154"/>
      <c r="AR40" s="154"/>
      <c r="AS40" s="154"/>
      <c r="AT40" s="154"/>
      <c r="AU40" s="154"/>
      <c r="AV40" s="154"/>
      <c r="AW40" s="154"/>
      <c r="AX40" s="154"/>
      <c r="AY40" s="154"/>
      <c r="AZ40" s="154"/>
      <c r="BA40" s="154"/>
      <c r="BB40" s="154"/>
      <c r="BC40" s="154"/>
      <c r="BD40" s="350"/>
      <c r="BE40" s="350"/>
      <c r="BF40" s="154"/>
      <c r="BG40" s="154"/>
      <c r="BH40" s="154"/>
      <c r="BI40" s="332"/>
      <c r="BJ40" s="332"/>
      <c r="BK40" s="332" t="s">
        <v>1096</v>
      </c>
      <c r="BL40" s="332"/>
      <c r="BM40" s="154"/>
      <c r="BN40" s="348"/>
      <c r="BO40" s="359"/>
      <c r="BP40" s="360"/>
      <c r="BQ40" s="154"/>
      <c r="BR40" s="154"/>
      <c r="BS40" s="154"/>
      <c r="BT40" s="154"/>
      <c r="BU40" s="154"/>
      <c r="BV40" s="350"/>
      <c r="BW40" s="154"/>
      <c r="BX40" s="350"/>
      <c r="BY40" s="154"/>
      <c r="BZ40" s="154"/>
      <c r="CA40" s="154"/>
      <c r="CB40" s="154"/>
      <c r="CC40" s="154"/>
      <c r="CD40" s="154"/>
      <c r="CE40" s="154"/>
      <c r="CF40" s="154"/>
      <c r="CG40" s="154"/>
      <c r="CH40" s="154"/>
      <c r="CI40" s="154"/>
      <c r="CJ40" s="154"/>
      <c r="CK40" s="154"/>
      <c r="CL40" s="154"/>
      <c r="CM40" s="154"/>
      <c r="CN40" s="154"/>
      <c r="CO40" s="154"/>
      <c r="CP40" s="350"/>
      <c r="CQ40" s="154"/>
      <c r="CR40" s="154"/>
      <c r="CS40" s="434"/>
      <c r="CT40" s="154"/>
      <c r="CU40" s="154"/>
      <c r="CV40" s="154"/>
      <c r="CW40" s="154"/>
      <c r="CX40" s="154"/>
      <c r="CY40" s="154"/>
      <c r="CZ40" s="154"/>
      <c r="DA40" s="154"/>
      <c r="DB40" s="154"/>
      <c r="DC40" s="154"/>
      <c r="DD40" s="154"/>
      <c r="DE40" s="154"/>
      <c r="DF40" s="154"/>
      <c r="DG40" s="154"/>
      <c r="DH40" s="154"/>
      <c r="DI40" s="154"/>
      <c r="DJ40" s="154"/>
      <c r="DK40" s="154"/>
      <c r="DL40" s="154"/>
      <c r="DM40" s="154"/>
      <c r="DN40" s="154"/>
      <c r="DO40" s="154"/>
      <c r="DP40" s="154"/>
      <c r="DQ40" s="356"/>
      <c r="DR40" s="154"/>
      <c r="DS40" s="154"/>
      <c r="DT40" s="154"/>
      <c r="DU40" s="358"/>
      <c r="DV40" s="358"/>
      <c r="DW40" s="154"/>
      <c r="DX40" s="154"/>
      <c r="DY40" s="154"/>
      <c r="DZ40" s="154"/>
      <c r="EA40" s="154"/>
      <c r="EB40" s="154"/>
      <c r="EC40" s="154"/>
      <c r="ED40" s="154"/>
      <c r="EE40" s="154"/>
      <c r="EF40" s="154"/>
      <c r="EG40" s="154"/>
      <c r="EH40" s="154"/>
      <c r="EI40" s="154"/>
      <c r="EJ40" s="154"/>
      <c r="EK40" s="154"/>
      <c r="EL40" s="154"/>
      <c r="EM40" s="154"/>
      <c r="EN40" s="154"/>
      <c r="EO40" s="154"/>
      <c r="EP40" s="154"/>
      <c r="EQ40" s="154"/>
      <c r="ER40" s="154"/>
      <c r="ES40" s="154"/>
      <c r="ET40" s="350"/>
      <c r="EU40" s="154"/>
      <c r="EV40" s="154"/>
      <c r="EW40" s="154"/>
      <c r="EX40" s="154" t="s">
        <v>1299</v>
      </c>
      <c r="EY40" s="154">
        <v>1</v>
      </c>
      <c r="EZ40" s="154" t="s">
        <v>1675</v>
      </c>
      <c r="FA40" s="154"/>
      <c r="FB40" s="154"/>
      <c r="FC40" s="350"/>
      <c r="FD40" s="350"/>
      <c r="FE40" s="350"/>
      <c r="FF40" s="154" t="s">
        <v>1600</v>
      </c>
      <c r="FG40" s="154" t="s">
        <v>1660</v>
      </c>
      <c r="FH40" s="154"/>
      <c r="FI40" s="154"/>
      <c r="FJ40" s="154"/>
      <c r="FK40" s="154"/>
      <c r="FL40" s="154"/>
      <c r="FM40" s="154"/>
      <c r="FN40" s="154"/>
      <c r="FO40" s="154"/>
      <c r="FP40" s="154"/>
      <c r="FQ40" s="154"/>
      <c r="FR40" s="154"/>
      <c r="FS40" s="354"/>
      <c r="FT40" s="345"/>
      <c r="FU40" s="154"/>
      <c r="FV40" s="350"/>
      <c r="FW40" s="350"/>
      <c r="FX40" s="154"/>
      <c r="FY40" s="154"/>
      <c r="FZ40" s="154"/>
      <c r="GA40" s="154"/>
      <c r="GB40" s="154"/>
      <c r="GC40" s="154"/>
      <c r="GD40" s="361"/>
      <c r="GE40" s="154"/>
      <c r="GF40" s="154"/>
      <c r="GG40" s="154"/>
      <c r="GH40" s="154"/>
      <c r="GI40" s="154"/>
      <c r="GJ40" s="154"/>
      <c r="GK40" s="154"/>
      <c r="GL40" s="154"/>
      <c r="GM40" s="154"/>
      <c r="GN40" s="154"/>
      <c r="GO40" s="154"/>
      <c r="GP40" s="154"/>
      <c r="GQ40" s="154"/>
      <c r="GR40" s="154"/>
      <c r="GS40" s="154"/>
      <c r="GT40" s="154"/>
      <c r="GU40" s="154"/>
      <c r="GV40" s="154"/>
      <c r="GW40" s="154"/>
      <c r="GX40" s="154"/>
      <c r="GY40" s="154"/>
      <c r="GZ40" s="154"/>
      <c r="HA40" s="154"/>
      <c r="HB40" s="154"/>
      <c r="HC40" s="154"/>
      <c r="HD40" s="154"/>
      <c r="HE40" s="154"/>
      <c r="HF40" s="154"/>
      <c r="HG40" s="154"/>
      <c r="HH40" s="154"/>
      <c r="HI40" s="154"/>
      <c r="HJ40" s="154"/>
      <c r="HK40" s="154"/>
      <c r="HL40" s="154"/>
      <c r="HM40" s="154"/>
      <c r="HN40" s="154"/>
      <c r="HO40" s="154"/>
      <c r="HP40" s="154"/>
      <c r="HQ40" s="154"/>
      <c r="HR40" s="154"/>
      <c r="HS40" s="154"/>
      <c r="HT40" s="154"/>
      <c r="HU40" s="154"/>
      <c r="HV40" s="154"/>
      <c r="HW40" s="154"/>
      <c r="HX40" s="154"/>
      <c r="HY40" s="154"/>
      <c r="HZ40" s="154"/>
      <c r="IA40" s="154"/>
      <c r="IB40" s="154"/>
      <c r="IC40" s="154"/>
      <c r="ID40" s="154"/>
      <c r="IE40" s="344"/>
      <c r="IF40" s="154"/>
      <c r="IG40" s="154"/>
      <c r="IH40" s="154"/>
      <c r="II40" s="154"/>
      <c r="IJ40" s="154"/>
      <c r="IK40" s="154"/>
      <c r="IL40" s="154"/>
      <c r="IM40" s="154"/>
      <c r="IN40" s="154"/>
      <c r="IO40" s="154"/>
      <c r="IP40" s="154"/>
      <c r="IQ40" s="154"/>
      <c r="IR40" s="154"/>
      <c r="IS40" s="154"/>
      <c r="IT40" s="350"/>
      <c r="IU40" s="154"/>
      <c r="IV40" s="154"/>
    </row>
    <row r="41" spans="1:256" s="11" customFormat="1" ht="12.75" customHeight="1">
      <c r="A41" s="19"/>
      <c r="B41" s="19"/>
      <c r="C41" s="133" t="s">
        <v>5822</v>
      </c>
      <c r="D41" s="19">
        <f>COUNTIF(SurveyDATA!E418:E659,"*Brgy.09*")</f>
        <v>4</v>
      </c>
      <c r="E41" s="7"/>
      <c r="F41" s="7"/>
      <c r="G41" s="7"/>
      <c r="H41" s="19"/>
      <c r="I41" s="8"/>
      <c r="J41" s="19"/>
      <c r="K41" s="7"/>
      <c r="L41" s="7"/>
      <c r="M41" s="7"/>
      <c r="N41" s="7"/>
      <c r="O41" s="7"/>
      <c r="P41" s="19"/>
      <c r="Q41" s="29"/>
      <c r="R41" s="30"/>
      <c r="S41" s="7"/>
      <c r="T41" s="7"/>
      <c r="U41" s="31"/>
      <c r="V41" s="7"/>
      <c r="W41" s="7"/>
      <c r="X41" s="7"/>
      <c r="Y41" s="7"/>
      <c r="Z41" s="7"/>
      <c r="AA41" s="7"/>
      <c r="AB41" s="7"/>
      <c r="AC41" s="7"/>
      <c r="AD41" s="7"/>
      <c r="AE41" s="7"/>
      <c r="AF41" s="7"/>
      <c r="AG41" s="7"/>
      <c r="AH41" s="7"/>
      <c r="AI41" s="7"/>
      <c r="AJ41" s="122"/>
      <c r="AK41" s="41"/>
      <c r="AL41" s="52"/>
      <c r="AM41" s="20"/>
      <c r="AN41" s="20"/>
      <c r="AO41" s="20"/>
      <c r="AP41" s="20"/>
      <c r="AQ41" s="7"/>
      <c r="AR41" s="7"/>
      <c r="AS41" s="7"/>
      <c r="AT41" s="7"/>
      <c r="AU41" s="7"/>
      <c r="AV41" s="20"/>
      <c r="AW41" s="7"/>
      <c r="AX41" s="7"/>
      <c r="AY41" s="7"/>
      <c r="AZ41" s="7"/>
      <c r="BA41" s="7"/>
      <c r="BB41" s="7"/>
      <c r="BC41" s="7"/>
      <c r="BD41" s="55"/>
      <c r="BE41" s="55"/>
      <c r="BF41" s="7"/>
      <c r="BG41" s="7"/>
      <c r="BH41" s="7"/>
      <c r="BI41" s="7"/>
      <c r="BJ41" s="7"/>
      <c r="BK41" s="7"/>
      <c r="BL41" s="7"/>
      <c r="BM41" s="7"/>
      <c r="BN41" s="41"/>
      <c r="BO41" s="62"/>
      <c r="BP41" s="50"/>
      <c r="BQ41" s="20"/>
      <c r="BR41" s="7"/>
      <c r="BS41" s="7"/>
      <c r="BT41" s="7"/>
      <c r="BU41" s="7"/>
      <c r="BV41" s="55"/>
      <c r="BW41" s="7"/>
      <c r="BX41" s="55"/>
      <c r="BY41" s="7"/>
      <c r="BZ41" s="7"/>
      <c r="CA41" s="7"/>
      <c r="CB41" s="7"/>
      <c r="CC41" s="73"/>
      <c r="CD41" s="71"/>
      <c r="CE41" s="72"/>
      <c r="CF41" s="7"/>
      <c r="CG41" s="7"/>
      <c r="CH41" s="7"/>
      <c r="CI41" s="7"/>
      <c r="CJ41" s="7"/>
      <c r="CK41" s="7"/>
      <c r="CL41" s="7"/>
      <c r="CM41" s="7"/>
      <c r="CN41" s="7"/>
      <c r="CO41" s="7"/>
      <c r="CP41" s="55"/>
      <c r="CQ41" s="7"/>
      <c r="CR41" s="7"/>
      <c r="CS41" s="130"/>
      <c r="CT41" s="7"/>
      <c r="CU41" s="7"/>
      <c r="CV41" s="7"/>
      <c r="CW41" s="7"/>
      <c r="CX41" s="7"/>
      <c r="CY41" s="73"/>
      <c r="CZ41" s="7"/>
      <c r="DA41" s="7"/>
      <c r="DB41" s="7"/>
      <c r="DC41" s="48"/>
      <c r="DD41" s="7"/>
      <c r="DE41" s="7"/>
      <c r="DF41" s="7"/>
      <c r="DG41" s="7"/>
      <c r="DH41" s="7"/>
      <c r="DI41" s="7"/>
      <c r="DJ41" s="7"/>
      <c r="DK41" s="7"/>
      <c r="DL41" s="74"/>
      <c r="DM41" s="7"/>
      <c r="DN41" s="7"/>
      <c r="DO41" s="7"/>
      <c r="DP41" s="7"/>
      <c r="DQ41" s="58"/>
      <c r="DR41" s="7"/>
      <c r="DS41" s="7"/>
      <c r="DT41" s="7"/>
      <c r="DU41" s="73"/>
      <c r="DV41" s="73"/>
      <c r="DW41" s="152"/>
      <c r="DX41" s="7"/>
      <c r="DY41" s="7"/>
      <c r="DZ41" s="7"/>
      <c r="EA41" s="7"/>
      <c r="EB41" s="7"/>
      <c r="EC41" s="7"/>
      <c r="ED41" s="7"/>
      <c r="EE41" s="7"/>
      <c r="EF41" s="7"/>
      <c r="EG41" s="7"/>
      <c r="EH41" s="7"/>
      <c r="EI41" s="7"/>
      <c r="EJ41" s="7"/>
      <c r="EK41" s="7"/>
      <c r="EL41" s="7"/>
      <c r="EM41" s="7"/>
      <c r="EN41" s="19"/>
      <c r="EO41" s="7"/>
      <c r="EP41" s="7"/>
      <c r="EQ41" s="7"/>
      <c r="ER41" s="7"/>
      <c r="ES41" s="7"/>
      <c r="ET41" s="55"/>
      <c r="EU41" s="7"/>
      <c r="EV41" s="7"/>
      <c r="EW41" s="7"/>
      <c r="EX41" s="7"/>
      <c r="EY41" s="7"/>
      <c r="EZ41" s="7"/>
      <c r="FA41" s="72"/>
      <c r="FB41" s="7"/>
      <c r="FC41" s="55"/>
      <c r="FD41" s="55"/>
      <c r="FE41" s="55"/>
      <c r="FF41" s="7"/>
      <c r="FG41" s="7"/>
      <c r="FH41" s="7"/>
      <c r="FI41" s="7"/>
      <c r="FJ41" s="7"/>
      <c r="FK41" s="7"/>
      <c r="FL41" s="7"/>
      <c r="FM41" s="7"/>
      <c r="FN41" s="7"/>
      <c r="FO41" s="7"/>
      <c r="FP41" s="7"/>
      <c r="FQ41" s="7"/>
      <c r="FR41" s="7"/>
      <c r="FS41" s="77"/>
      <c r="FT41" s="30"/>
      <c r="FU41" s="7"/>
      <c r="FV41" s="55"/>
      <c r="FW41" s="55"/>
      <c r="FX41" s="7"/>
      <c r="FY41" s="7"/>
      <c r="FZ41" s="7"/>
      <c r="GA41" s="7"/>
      <c r="GB41" s="7"/>
      <c r="GC41" s="7"/>
      <c r="GD41" s="103"/>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29"/>
      <c r="IF41" s="7"/>
      <c r="IG41" s="7"/>
      <c r="IH41" s="7"/>
      <c r="II41" s="7"/>
      <c r="IJ41" s="7"/>
      <c r="IK41" s="7"/>
      <c r="IL41" s="7"/>
      <c r="IM41" s="7"/>
      <c r="IN41" s="7"/>
      <c r="IO41" s="7"/>
      <c r="IP41" s="7"/>
      <c r="IQ41" s="7"/>
      <c r="IR41" s="7"/>
      <c r="IS41" s="7"/>
      <c r="IT41" s="55"/>
      <c r="IU41" s="7"/>
      <c r="IV41" s="7"/>
    </row>
    <row r="42" spans="1:256" s="11" customFormat="1" ht="12.75" customHeight="1">
      <c r="A42" s="19"/>
      <c r="B42" s="19"/>
      <c r="C42" s="133" t="s">
        <v>5393</v>
      </c>
      <c r="D42" s="19">
        <f>COUNTIF(SurveyDATA!E418:E659,"*Brgy.15*")</f>
        <v>30</v>
      </c>
      <c r="E42" s="7"/>
      <c r="F42" s="7"/>
      <c r="G42" s="7"/>
      <c r="H42" s="19"/>
      <c r="I42" s="8"/>
      <c r="J42" s="19"/>
      <c r="K42" s="7"/>
      <c r="L42" s="7"/>
      <c r="M42" s="7"/>
      <c r="N42" s="7"/>
      <c r="O42" s="7"/>
      <c r="P42" s="19"/>
      <c r="Q42" s="29"/>
      <c r="R42" s="30"/>
      <c r="S42" s="7"/>
      <c r="T42" s="7"/>
      <c r="U42" s="31"/>
      <c r="V42" s="7"/>
      <c r="W42" s="7"/>
      <c r="X42" s="7"/>
      <c r="Y42" s="7"/>
      <c r="Z42" s="7"/>
      <c r="AA42" s="7"/>
      <c r="AB42" s="7"/>
      <c r="AC42" s="7"/>
      <c r="AD42" s="7"/>
      <c r="AE42" s="7"/>
      <c r="AF42" s="7"/>
      <c r="AG42" s="7"/>
      <c r="AH42" s="7"/>
      <c r="AI42" s="7"/>
      <c r="AJ42" s="122"/>
      <c r="AK42" s="41"/>
      <c r="AL42" s="52"/>
      <c r="AM42" s="20"/>
      <c r="AN42" s="20"/>
      <c r="AO42" s="20"/>
      <c r="AP42" s="20"/>
      <c r="AQ42" s="7"/>
      <c r="AR42" s="7"/>
      <c r="AS42" s="7"/>
      <c r="AT42" s="7"/>
      <c r="AU42" s="7"/>
      <c r="AV42" s="20"/>
      <c r="AW42" s="7"/>
      <c r="AX42" s="7"/>
      <c r="AY42" s="7"/>
      <c r="AZ42" s="7"/>
      <c r="BA42" s="7"/>
      <c r="BB42" s="7"/>
      <c r="BC42" s="7"/>
      <c r="BD42" s="55"/>
      <c r="BE42" s="55"/>
      <c r="BF42" s="7"/>
      <c r="BG42" s="7"/>
      <c r="BH42" s="7"/>
      <c r="BI42" s="7"/>
      <c r="BJ42" s="7"/>
      <c r="BK42" s="7"/>
      <c r="BL42" s="7"/>
      <c r="BM42" s="7"/>
      <c r="BN42" s="41"/>
      <c r="BO42" s="62"/>
      <c r="BP42" s="50"/>
      <c r="BQ42" s="20"/>
      <c r="BR42" s="7"/>
      <c r="BS42" s="7"/>
      <c r="BT42" s="7"/>
      <c r="BU42" s="7"/>
      <c r="BV42" s="55"/>
      <c r="BW42" s="7"/>
      <c r="BX42" s="55"/>
      <c r="BY42" s="7"/>
      <c r="BZ42" s="7"/>
      <c r="CA42" s="7"/>
      <c r="CB42" s="7"/>
      <c r="CC42" s="73"/>
      <c r="CD42" s="71"/>
      <c r="CE42" s="72"/>
      <c r="CF42" s="7"/>
      <c r="CG42" s="7"/>
      <c r="CH42" s="7"/>
      <c r="CI42" s="7"/>
      <c r="CJ42" s="7"/>
      <c r="CK42" s="7"/>
      <c r="CL42" s="7"/>
      <c r="CM42" s="7"/>
      <c r="CN42" s="7"/>
      <c r="CO42" s="7"/>
      <c r="CP42" s="55"/>
      <c r="CQ42" s="7"/>
      <c r="CR42" s="7"/>
      <c r="CS42" s="130"/>
      <c r="CT42" s="7"/>
      <c r="CU42" s="7"/>
      <c r="CV42" s="7"/>
      <c r="CW42" s="7"/>
      <c r="CX42" s="7"/>
      <c r="CY42" s="73"/>
      <c r="CZ42" s="7"/>
      <c r="DA42" s="7"/>
      <c r="DB42" s="7"/>
      <c r="DC42" s="48"/>
      <c r="DD42" s="7"/>
      <c r="DE42" s="7"/>
      <c r="DF42" s="7"/>
      <c r="DG42" s="7"/>
      <c r="DH42" s="7"/>
      <c r="DI42" s="7"/>
      <c r="DJ42" s="7"/>
      <c r="DK42" s="7"/>
      <c r="DL42" s="74"/>
      <c r="DM42" s="7"/>
      <c r="DN42" s="7"/>
      <c r="DO42" s="7"/>
      <c r="DP42" s="7"/>
      <c r="DQ42" s="58"/>
      <c r="DR42" s="7"/>
      <c r="DS42" s="7"/>
      <c r="DT42" s="7"/>
      <c r="DU42" s="73"/>
      <c r="DV42" s="73"/>
      <c r="DW42" s="152"/>
      <c r="DX42" s="7"/>
      <c r="DY42" s="7"/>
      <c r="DZ42" s="7"/>
      <c r="EA42" s="7"/>
      <c r="EB42" s="7"/>
      <c r="EC42" s="7"/>
      <c r="ED42" s="7"/>
      <c r="EE42" s="7"/>
      <c r="EF42" s="7"/>
      <c r="EG42" s="7"/>
      <c r="EH42" s="7"/>
      <c r="EI42" s="7"/>
      <c r="EJ42" s="7"/>
      <c r="EK42" s="7"/>
      <c r="EL42" s="7"/>
      <c r="EM42" s="7"/>
      <c r="EN42" s="19"/>
      <c r="EO42" s="7"/>
      <c r="EP42" s="7"/>
      <c r="EQ42" s="7"/>
      <c r="ER42" s="7"/>
      <c r="ES42" s="7"/>
      <c r="ET42" s="55"/>
      <c r="EU42" s="7"/>
      <c r="EV42" s="7"/>
      <c r="EW42" s="7"/>
      <c r="EX42" s="7"/>
      <c r="EY42" s="7"/>
      <c r="EZ42" s="7"/>
      <c r="FA42" s="72"/>
      <c r="FB42" s="7"/>
      <c r="FC42" s="55"/>
      <c r="FD42" s="55"/>
      <c r="FE42" s="55"/>
      <c r="FF42" s="7"/>
      <c r="FG42" s="7"/>
      <c r="FH42" s="7"/>
      <c r="FI42" s="7"/>
      <c r="FJ42" s="7"/>
      <c r="FK42" s="7"/>
      <c r="FL42" s="7"/>
      <c r="FM42" s="7"/>
      <c r="FN42" s="7"/>
      <c r="FO42" s="7"/>
      <c r="FP42" s="7"/>
      <c r="FQ42" s="7"/>
      <c r="FR42" s="7"/>
      <c r="FS42" s="77"/>
      <c r="FT42" s="30"/>
      <c r="FU42" s="7"/>
      <c r="FV42" s="55"/>
      <c r="FW42" s="55"/>
      <c r="FX42" s="7"/>
      <c r="FY42" s="7"/>
      <c r="FZ42" s="7"/>
      <c r="GA42" s="7"/>
      <c r="GB42" s="7"/>
      <c r="GC42" s="7"/>
      <c r="GD42" s="103"/>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29"/>
      <c r="IF42" s="7"/>
      <c r="IG42" s="7"/>
      <c r="IH42" s="7"/>
      <c r="II42" s="7"/>
      <c r="IJ42" s="7"/>
      <c r="IK42" s="7"/>
      <c r="IL42" s="7"/>
      <c r="IM42" s="7"/>
      <c r="IN42" s="7"/>
      <c r="IO42" s="7"/>
      <c r="IP42" s="7"/>
      <c r="IQ42" s="7"/>
      <c r="IR42" s="7"/>
      <c r="IS42" s="7"/>
      <c r="IT42" s="55"/>
      <c r="IU42" s="7"/>
      <c r="IV42" s="7"/>
    </row>
    <row r="43" spans="1:256" s="11" customFormat="1" ht="12.75" customHeight="1">
      <c r="A43" s="19"/>
      <c r="B43" s="19"/>
      <c r="C43" s="133" t="s">
        <v>5395</v>
      </c>
      <c r="D43" s="19">
        <f>COUNTIF(SurveyDATA!E418:E659,"*Brgy.17*")</f>
        <v>8</v>
      </c>
      <c r="E43" s="7"/>
      <c r="F43" s="7"/>
      <c r="G43" s="7"/>
      <c r="H43" s="19"/>
      <c r="I43" s="8"/>
      <c r="J43" s="19"/>
      <c r="K43" s="7"/>
      <c r="L43" s="7"/>
      <c r="M43" s="7"/>
      <c r="N43" s="7"/>
      <c r="O43" s="7"/>
      <c r="P43" s="19"/>
      <c r="Q43" s="29"/>
      <c r="R43" s="30"/>
      <c r="S43" s="7"/>
      <c r="T43" s="7"/>
      <c r="U43" s="31"/>
      <c r="V43" s="7"/>
      <c r="W43" s="7"/>
      <c r="X43" s="7"/>
      <c r="Y43" s="7"/>
      <c r="Z43" s="7"/>
      <c r="AA43" s="7"/>
      <c r="AB43" s="7"/>
      <c r="AC43" s="7"/>
      <c r="AD43" s="7"/>
      <c r="AE43" s="7"/>
      <c r="AF43" s="7"/>
      <c r="AG43" s="7"/>
      <c r="AH43" s="7"/>
      <c r="AI43" s="7"/>
      <c r="AJ43" s="122"/>
      <c r="AK43" s="41"/>
      <c r="AL43" s="52"/>
      <c r="AM43" s="20"/>
      <c r="AN43" s="20"/>
      <c r="AO43" s="20"/>
      <c r="AP43" s="20"/>
      <c r="AQ43" s="7"/>
      <c r="AR43" s="7"/>
      <c r="AS43" s="7"/>
      <c r="AT43" s="7"/>
      <c r="AU43" s="7"/>
      <c r="AV43" s="20"/>
      <c r="AW43" s="7"/>
      <c r="AX43" s="7"/>
      <c r="AY43" s="7"/>
      <c r="AZ43" s="7"/>
      <c r="BA43" s="7"/>
      <c r="BB43" s="7"/>
      <c r="BC43" s="7"/>
      <c r="BD43" s="55"/>
      <c r="BE43" s="55"/>
      <c r="BF43" s="7"/>
      <c r="BG43" s="7"/>
      <c r="BH43" s="7"/>
      <c r="BI43" s="7"/>
      <c r="BJ43" s="7"/>
      <c r="BK43" s="7"/>
      <c r="BL43" s="7"/>
      <c r="BM43" s="7"/>
      <c r="BN43" s="41"/>
      <c r="BO43" s="62"/>
      <c r="BP43" s="50"/>
      <c r="BQ43" s="20"/>
      <c r="BR43" s="7"/>
      <c r="BS43" s="7"/>
      <c r="BT43" s="7"/>
      <c r="BU43" s="7"/>
      <c r="BV43" s="55"/>
      <c r="BW43" s="7"/>
      <c r="BX43" s="55"/>
      <c r="BY43" s="7"/>
      <c r="BZ43" s="7"/>
      <c r="CA43" s="7"/>
      <c r="CB43" s="7"/>
      <c r="CC43" s="73"/>
      <c r="CD43" s="71"/>
      <c r="CE43" s="72"/>
      <c r="CF43" s="7"/>
      <c r="CG43" s="7"/>
      <c r="CH43" s="7"/>
      <c r="CI43" s="7"/>
      <c r="CJ43" s="7"/>
      <c r="CK43" s="7"/>
      <c r="CL43" s="7"/>
      <c r="CM43" s="7"/>
      <c r="CN43" s="7"/>
      <c r="CO43" s="7"/>
      <c r="CP43" s="55"/>
      <c r="CQ43" s="7"/>
      <c r="CR43" s="7"/>
      <c r="CS43" s="130"/>
      <c r="CT43" s="7"/>
      <c r="CU43" s="7"/>
      <c r="CV43" s="7"/>
      <c r="CW43" s="7"/>
      <c r="CX43" s="7"/>
      <c r="CY43" s="73"/>
      <c r="CZ43" s="7"/>
      <c r="DA43" s="7"/>
      <c r="DB43" s="7"/>
      <c r="DC43" s="48"/>
      <c r="DD43" s="7"/>
      <c r="DE43" s="7"/>
      <c r="DF43" s="7"/>
      <c r="DG43" s="7"/>
      <c r="DH43" s="7"/>
      <c r="DI43" s="7"/>
      <c r="DJ43" s="7"/>
      <c r="DK43" s="7"/>
      <c r="DL43" s="74"/>
      <c r="DM43" s="7"/>
      <c r="DN43" s="7"/>
      <c r="DO43" s="7"/>
      <c r="DP43" s="7"/>
      <c r="DQ43" s="58"/>
      <c r="DR43" s="7"/>
      <c r="DS43" s="7"/>
      <c r="DT43" s="7"/>
      <c r="DU43" s="73"/>
      <c r="DV43" s="73"/>
      <c r="DW43" s="152"/>
      <c r="DX43" s="7"/>
      <c r="DY43" s="7"/>
      <c r="DZ43" s="7"/>
      <c r="EA43" s="7"/>
      <c r="EB43" s="7"/>
      <c r="EC43" s="7"/>
      <c r="ED43" s="7"/>
      <c r="EE43" s="7"/>
      <c r="EF43" s="7"/>
      <c r="EG43" s="7"/>
      <c r="EH43" s="7"/>
      <c r="EI43" s="7"/>
      <c r="EJ43" s="7"/>
      <c r="EK43" s="7"/>
      <c r="EL43" s="7"/>
      <c r="EM43" s="7"/>
      <c r="EN43" s="19"/>
      <c r="EO43" s="7"/>
      <c r="EP43" s="7"/>
      <c r="EQ43" s="7"/>
      <c r="ER43" s="7"/>
      <c r="ES43" s="7"/>
      <c r="ET43" s="55"/>
      <c r="EU43" s="7"/>
      <c r="EV43" s="7"/>
      <c r="EW43" s="7"/>
      <c r="EX43" s="7"/>
      <c r="EY43" s="7"/>
      <c r="EZ43" s="7"/>
      <c r="FA43" s="72"/>
      <c r="FB43" s="7"/>
      <c r="FC43" s="55"/>
      <c r="FD43" s="55"/>
      <c r="FE43" s="55"/>
      <c r="FF43" s="7"/>
      <c r="FG43" s="7"/>
      <c r="FH43" s="7"/>
      <c r="FI43" s="7"/>
      <c r="FJ43" s="7"/>
      <c r="FK43" s="7"/>
      <c r="FL43" s="7"/>
      <c r="FM43" s="7"/>
      <c r="FN43" s="7"/>
      <c r="FO43" s="7"/>
      <c r="FP43" s="7"/>
      <c r="FQ43" s="7"/>
      <c r="FR43" s="7"/>
      <c r="FS43" s="77"/>
      <c r="FT43" s="30"/>
      <c r="FU43" s="7"/>
      <c r="FV43" s="55"/>
      <c r="FW43" s="55"/>
      <c r="FX43" s="7"/>
      <c r="FY43" s="7"/>
      <c r="FZ43" s="7"/>
      <c r="GA43" s="7"/>
      <c r="GB43" s="7"/>
      <c r="GC43" s="7"/>
      <c r="GD43" s="103"/>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29"/>
      <c r="IF43" s="7"/>
      <c r="IG43" s="7"/>
      <c r="IH43" s="7"/>
      <c r="II43" s="7"/>
      <c r="IJ43" s="7"/>
      <c r="IK43" s="7"/>
      <c r="IL43" s="7"/>
      <c r="IM43" s="7"/>
      <c r="IN43" s="7"/>
      <c r="IO43" s="7"/>
      <c r="IP43" s="7"/>
      <c r="IQ43" s="7"/>
      <c r="IR43" s="7"/>
      <c r="IS43" s="7"/>
      <c r="IT43" s="55"/>
      <c r="IU43" s="7"/>
      <c r="IV43" s="7"/>
    </row>
    <row r="44" spans="1:256" s="11" customFormat="1" ht="12.75" customHeight="1">
      <c r="A44" s="19"/>
      <c r="B44" s="19"/>
      <c r="C44" s="133" t="s">
        <v>5394</v>
      </c>
      <c r="D44" s="19">
        <f>COUNTIF(SurveyDATA!E418:E659,"*Brgy.19*")</f>
        <v>43</v>
      </c>
      <c r="E44" s="7"/>
      <c r="F44" s="7"/>
      <c r="G44" s="7"/>
      <c r="H44" s="19"/>
      <c r="I44" s="8"/>
      <c r="J44" s="19"/>
      <c r="K44" s="7"/>
      <c r="L44" s="7"/>
      <c r="M44" s="7"/>
      <c r="N44" s="7"/>
      <c r="O44" s="7"/>
      <c r="P44" s="19"/>
      <c r="Q44" s="29"/>
      <c r="R44" s="30"/>
      <c r="S44" s="7"/>
      <c r="T44" s="7"/>
      <c r="U44" s="31"/>
      <c r="V44" s="7"/>
      <c r="W44" s="7"/>
      <c r="X44" s="7"/>
      <c r="Y44" s="7"/>
      <c r="Z44" s="7"/>
      <c r="AA44" s="7"/>
      <c r="AB44" s="7"/>
      <c r="AC44" s="7"/>
      <c r="AD44" s="7"/>
      <c r="AE44" s="7"/>
      <c r="AF44" s="7"/>
      <c r="AG44" s="7"/>
      <c r="AH44" s="7"/>
      <c r="AI44" s="7"/>
      <c r="AJ44" s="122"/>
      <c r="AK44" s="41"/>
      <c r="AL44" s="52"/>
      <c r="AM44" s="20"/>
      <c r="AN44" s="20"/>
      <c r="AO44" s="20"/>
      <c r="AP44" s="20"/>
      <c r="AQ44" s="7"/>
      <c r="AR44" s="7"/>
      <c r="AS44" s="7"/>
      <c r="AT44" s="7"/>
      <c r="AU44" s="7"/>
      <c r="AV44" s="20"/>
      <c r="AW44" s="7"/>
      <c r="AX44" s="7"/>
      <c r="AY44" s="7"/>
      <c r="AZ44" s="7"/>
      <c r="BA44" s="7"/>
      <c r="BB44" s="7"/>
      <c r="BC44" s="7"/>
      <c r="BD44" s="55"/>
      <c r="BE44" s="55"/>
      <c r="BF44" s="7"/>
      <c r="BG44" s="7"/>
      <c r="BH44" s="7"/>
      <c r="BI44" s="7"/>
      <c r="BJ44" s="7"/>
      <c r="BK44" s="7"/>
      <c r="BL44" s="7"/>
      <c r="BM44" s="7"/>
      <c r="BN44" s="41"/>
      <c r="BO44" s="62"/>
      <c r="BP44" s="50"/>
      <c r="BQ44" s="20"/>
      <c r="BR44" s="7"/>
      <c r="BS44" s="7"/>
      <c r="BT44" s="7"/>
      <c r="BU44" s="7"/>
      <c r="BV44" s="55"/>
      <c r="BW44" s="7"/>
      <c r="BX44" s="55"/>
      <c r="BY44" s="7"/>
      <c r="BZ44" s="7"/>
      <c r="CA44" s="7"/>
      <c r="CB44" s="7"/>
      <c r="CC44" s="73"/>
      <c r="CD44" s="71"/>
      <c r="CE44" s="72"/>
      <c r="CF44" s="7"/>
      <c r="CG44" s="7"/>
      <c r="CH44" s="7"/>
      <c r="CI44" s="7"/>
      <c r="CJ44" s="7"/>
      <c r="CK44" s="7"/>
      <c r="CL44" s="7"/>
      <c r="CM44" s="7"/>
      <c r="CN44" s="7"/>
      <c r="CO44" s="7"/>
      <c r="CP44" s="55"/>
      <c r="CQ44" s="7"/>
      <c r="CR44" s="7"/>
      <c r="CS44" s="130"/>
      <c r="CT44" s="7"/>
      <c r="CU44" s="7"/>
      <c r="CV44" s="7"/>
      <c r="CW44" s="7"/>
      <c r="CX44" s="7"/>
      <c r="CY44" s="73"/>
      <c r="CZ44" s="7"/>
      <c r="DA44" s="7"/>
      <c r="DB44" s="7"/>
      <c r="DC44" s="48"/>
      <c r="DD44" s="7"/>
      <c r="DE44" s="7"/>
      <c r="DF44" s="7"/>
      <c r="DG44" s="7"/>
      <c r="DH44" s="7"/>
      <c r="DI44" s="7"/>
      <c r="DJ44" s="7"/>
      <c r="DK44" s="7"/>
      <c r="DL44" s="74"/>
      <c r="DM44" s="7"/>
      <c r="DN44" s="7"/>
      <c r="DO44" s="7"/>
      <c r="DP44" s="7"/>
      <c r="DQ44" s="58"/>
      <c r="DR44" s="7"/>
      <c r="DS44" s="7"/>
      <c r="DT44" s="7"/>
      <c r="DU44" s="73"/>
      <c r="DV44" s="73"/>
      <c r="DW44" s="152"/>
      <c r="DX44" s="7"/>
      <c r="DY44" s="7"/>
      <c r="DZ44" s="7"/>
      <c r="EA44" s="7"/>
      <c r="EB44" s="7"/>
      <c r="EC44" s="7"/>
      <c r="ED44" s="7"/>
      <c r="EE44" s="7"/>
      <c r="EF44" s="7"/>
      <c r="EG44" s="7"/>
      <c r="EH44" s="7"/>
      <c r="EI44" s="7"/>
      <c r="EJ44" s="7"/>
      <c r="EK44" s="7"/>
      <c r="EL44" s="7"/>
      <c r="EM44" s="7"/>
      <c r="EN44" s="19"/>
      <c r="EO44" s="7"/>
      <c r="EP44" s="7"/>
      <c r="EQ44" s="7"/>
      <c r="ER44" s="7"/>
      <c r="ES44" s="7"/>
      <c r="ET44" s="55"/>
      <c r="EU44" s="7"/>
      <c r="EV44" s="7"/>
      <c r="EW44" s="7"/>
      <c r="EX44" s="7"/>
      <c r="EY44" s="7"/>
      <c r="EZ44" s="7"/>
      <c r="FA44" s="72"/>
      <c r="FB44" s="7"/>
      <c r="FC44" s="55"/>
      <c r="FD44" s="55"/>
      <c r="FE44" s="55"/>
      <c r="FF44" s="7"/>
      <c r="FG44" s="7"/>
      <c r="FH44" s="7"/>
      <c r="FI44" s="7"/>
      <c r="FJ44" s="7"/>
      <c r="FK44" s="7"/>
      <c r="FL44" s="7"/>
      <c r="FM44" s="7"/>
      <c r="FN44" s="7"/>
      <c r="FO44" s="7"/>
      <c r="FP44" s="7"/>
      <c r="FQ44" s="7"/>
      <c r="FR44" s="7"/>
      <c r="FS44" s="77"/>
      <c r="FT44" s="30"/>
      <c r="FU44" s="7"/>
      <c r="FV44" s="55"/>
      <c r="FW44" s="55"/>
      <c r="FX44" s="7"/>
      <c r="FY44" s="7"/>
      <c r="FZ44" s="7"/>
      <c r="GA44" s="7"/>
      <c r="GB44" s="7"/>
      <c r="GC44" s="7"/>
      <c r="GD44" s="103"/>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29"/>
      <c r="IF44" s="7"/>
      <c r="IG44" s="7"/>
      <c r="IH44" s="7"/>
      <c r="II44" s="7"/>
      <c r="IJ44" s="7"/>
      <c r="IK44" s="7"/>
      <c r="IL44" s="7"/>
      <c r="IM44" s="7"/>
      <c r="IN44" s="7"/>
      <c r="IO44" s="7"/>
      <c r="IP44" s="7"/>
      <c r="IQ44" s="7"/>
      <c r="IR44" s="7"/>
      <c r="IS44" s="7"/>
      <c r="IT44" s="55"/>
      <c r="IU44" s="7"/>
      <c r="IV44" s="7"/>
    </row>
    <row r="45" spans="1:256" s="11" customFormat="1" ht="12.75" customHeight="1">
      <c r="A45" s="19"/>
      <c r="B45" s="19"/>
      <c r="C45" s="133" t="s">
        <v>5396</v>
      </c>
      <c r="D45" s="19">
        <f>COUNTIF(SurveyDATA!E418:E659,"*Brgy.21*")</f>
        <v>41</v>
      </c>
      <c r="E45" s="7"/>
      <c r="F45" s="7"/>
      <c r="G45" s="7"/>
      <c r="H45" s="19"/>
      <c r="I45" s="8"/>
      <c r="J45" s="19"/>
      <c r="K45" s="7"/>
      <c r="L45" s="7"/>
      <c r="M45" s="7"/>
      <c r="N45" s="7"/>
      <c r="O45" s="7"/>
      <c r="P45" s="19"/>
      <c r="Q45" s="29"/>
      <c r="R45" s="30"/>
      <c r="S45" s="7"/>
      <c r="T45" s="7"/>
      <c r="U45" s="31"/>
      <c r="V45" s="7"/>
      <c r="W45" s="7"/>
      <c r="X45" s="7"/>
      <c r="Y45" s="7"/>
      <c r="Z45" s="7"/>
      <c r="AA45" s="7"/>
      <c r="AB45" s="7"/>
      <c r="AC45" s="7"/>
      <c r="AD45" s="7"/>
      <c r="AE45" s="7"/>
      <c r="AF45" s="7"/>
      <c r="AG45" s="7"/>
      <c r="AH45" s="7"/>
      <c r="AI45" s="7"/>
      <c r="AJ45" s="122"/>
      <c r="AK45" s="41"/>
      <c r="AL45" s="52"/>
      <c r="AM45" s="20"/>
      <c r="AN45" s="20"/>
      <c r="AO45" s="20"/>
      <c r="AP45" s="20"/>
      <c r="AQ45" s="7"/>
      <c r="AR45" s="7"/>
      <c r="AS45" s="7"/>
      <c r="AT45" s="7"/>
      <c r="AU45" s="7"/>
      <c r="AV45" s="20"/>
      <c r="AW45" s="7"/>
      <c r="AX45" s="7"/>
      <c r="AY45" s="7"/>
      <c r="AZ45" s="7"/>
      <c r="BA45" s="7"/>
      <c r="BB45" s="7"/>
      <c r="BC45" s="7"/>
      <c r="BD45" s="55"/>
      <c r="BE45" s="55"/>
      <c r="BF45" s="7"/>
      <c r="BG45" s="7"/>
      <c r="BH45" s="7"/>
      <c r="BI45" s="7"/>
      <c r="BJ45" s="7"/>
      <c r="BK45" s="7"/>
      <c r="BL45" s="7"/>
      <c r="BM45" s="7"/>
      <c r="BN45" s="41"/>
      <c r="BO45" s="62"/>
      <c r="BP45" s="50"/>
      <c r="BQ45" s="20"/>
      <c r="BR45" s="7"/>
      <c r="BS45" s="7"/>
      <c r="BT45" s="7"/>
      <c r="BU45" s="7"/>
      <c r="BV45" s="55"/>
      <c r="BW45" s="7"/>
      <c r="BX45" s="55"/>
      <c r="BY45" s="7"/>
      <c r="BZ45" s="7"/>
      <c r="CA45" s="7"/>
      <c r="CB45" s="7"/>
      <c r="CC45" s="73"/>
      <c r="CD45" s="71"/>
      <c r="CE45" s="72"/>
      <c r="CF45" s="7"/>
      <c r="CG45" s="7"/>
      <c r="CH45" s="7"/>
      <c r="CI45" s="7"/>
      <c r="CJ45" s="7"/>
      <c r="CK45" s="7"/>
      <c r="CL45" s="7"/>
      <c r="CM45" s="7"/>
      <c r="CN45" s="7"/>
      <c r="CO45" s="7"/>
      <c r="CP45" s="55"/>
      <c r="CQ45" s="7"/>
      <c r="CR45" s="7"/>
      <c r="CS45" s="130"/>
      <c r="CT45" s="7"/>
      <c r="CU45" s="7"/>
      <c r="CV45" s="7"/>
      <c r="CW45" s="7"/>
      <c r="CX45" s="7"/>
      <c r="CY45" s="73"/>
      <c r="CZ45" s="7"/>
      <c r="DA45" s="7"/>
      <c r="DB45" s="7"/>
      <c r="DC45" s="48"/>
      <c r="DD45" s="7"/>
      <c r="DE45" s="7"/>
      <c r="DF45" s="7"/>
      <c r="DG45" s="7"/>
      <c r="DH45" s="7"/>
      <c r="DI45" s="7"/>
      <c r="DJ45" s="7"/>
      <c r="DK45" s="7"/>
      <c r="DL45" s="74"/>
      <c r="DM45" s="7"/>
      <c r="DN45" s="7"/>
      <c r="DO45" s="7"/>
      <c r="DP45" s="7"/>
      <c r="DQ45" s="58"/>
      <c r="DR45" s="7"/>
      <c r="DS45" s="7"/>
      <c r="DT45" s="7"/>
      <c r="DU45" s="73"/>
      <c r="DV45" s="73"/>
      <c r="DW45" s="152"/>
      <c r="DX45" s="7"/>
      <c r="DY45" s="7"/>
      <c r="DZ45" s="7"/>
      <c r="EA45" s="7"/>
      <c r="EB45" s="7"/>
      <c r="EC45" s="7"/>
      <c r="ED45" s="7"/>
      <c r="EE45" s="7"/>
      <c r="EF45" s="7"/>
      <c r="EG45" s="7"/>
      <c r="EH45" s="7"/>
      <c r="EI45" s="7"/>
      <c r="EJ45" s="7"/>
      <c r="EK45" s="7"/>
      <c r="EL45" s="7"/>
      <c r="EM45" s="7"/>
      <c r="EN45" s="19"/>
      <c r="EO45" s="7"/>
      <c r="EP45" s="7"/>
      <c r="EQ45" s="7"/>
      <c r="ER45" s="7"/>
      <c r="ES45" s="7"/>
      <c r="ET45" s="55"/>
      <c r="EU45" s="7"/>
      <c r="EV45" s="7"/>
      <c r="EW45" s="7"/>
      <c r="EX45" s="7"/>
      <c r="EY45" s="7"/>
      <c r="EZ45" s="7"/>
      <c r="FA45" s="72"/>
      <c r="FB45" s="7"/>
      <c r="FC45" s="55"/>
      <c r="FD45" s="55"/>
      <c r="FE45" s="55"/>
      <c r="FF45" s="7"/>
      <c r="FG45" s="7"/>
      <c r="FH45" s="7"/>
      <c r="FI45" s="7"/>
      <c r="FJ45" s="7"/>
      <c r="FK45" s="7"/>
      <c r="FL45" s="7"/>
      <c r="FM45" s="7"/>
      <c r="FN45" s="7"/>
      <c r="FO45" s="7"/>
      <c r="FP45" s="7"/>
      <c r="FQ45" s="7"/>
      <c r="FR45" s="7"/>
      <c r="FS45" s="77"/>
      <c r="FT45" s="30"/>
      <c r="FU45" s="7"/>
      <c r="FV45" s="55"/>
      <c r="FW45" s="55"/>
      <c r="FX45" s="7"/>
      <c r="FY45" s="7"/>
      <c r="FZ45" s="7"/>
      <c r="GA45" s="7"/>
      <c r="GB45" s="7"/>
      <c r="GC45" s="7"/>
      <c r="GD45" s="103"/>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29"/>
      <c r="IF45" s="7"/>
      <c r="IG45" s="7"/>
      <c r="IH45" s="7"/>
      <c r="II45" s="7"/>
      <c r="IJ45" s="7"/>
      <c r="IK45" s="7"/>
      <c r="IL45" s="7"/>
      <c r="IM45" s="7"/>
      <c r="IN45" s="7"/>
      <c r="IO45" s="7"/>
      <c r="IP45" s="7"/>
      <c r="IQ45" s="7"/>
      <c r="IR45" s="7"/>
      <c r="IS45" s="7"/>
      <c r="IT45" s="55"/>
      <c r="IU45" s="7"/>
      <c r="IV45" s="7"/>
    </row>
    <row r="46" spans="1:256" s="11" customFormat="1" ht="12.75" customHeight="1">
      <c r="A46" s="19"/>
      <c r="B46" s="19"/>
      <c r="C46" s="133" t="s">
        <v>5397</v>
      </c>
      <c r="D46" s="19">
        <f>COUNTIF(SurveyDATA!E418:E659,"*Brgy.25*")</f>
        <v>71</v>
      </c>
      <c r="E46" s="7"/>
      <c r="F46" s="7"/>
      <c r="G46" s="7"/>
      <c r="H46" s="19"/>
      <c r="I46" s="8"/>
      <c r="J46" s="19"/>
      <c r="K46" s="7"/>
      <c r="L46" s="7"/>
      <c r="M46" s="7"/>
      <c r="N46" s="7"/>
      <c r="O46" s="7"/>
      <c r="P46" s="19"/>
      <c r="Q46" s="29"/>
      <c r="R46" s="30"/>
      <c r="S46" s="7"/>
      <c r="T46" s="7"/>
      <c r="U46" s="31"/>
      <c r="V46" s="7"/>
      <c r="W46" s="7"/>
      <c r="X46" s="7"/>
      <c r="Y46" s="7"/>
      <c r="Z46" s="7"/>
      <c r="AA46" s="7"/>
      <c r="AB46" s="7"/>
      <c r="AC46" s="7"/>
      <c r="AD46" s="7"/>
      <c r="AE46" s="7"/>
      <c r="AF46" s="7"/>
      <c r="AG46" s="7"/>
      <c r="AH46" s="7"/>
      <c r="AI46" s="7"/>
      <c r="AJ46" s="122"/>
      <c r="AK46" s="41"/>
      <c r="AL46" s="52"/>
      <c r="AM46" s="20"/>
      <c r="AN46" s="20"/>
      <c r="AO46" s="20"/>
      <c r="AP46" s="20"/>
      <c r="AQ46" s="7"/>
      <c r="AR46" s="7"/>
      <c r="AS46" s="7"/>
      <c r="AT46" s="7"/>
      <c r="AU46" s="7"/>
      <c r="AV46" s="20"/>
      <c r="AW46" s="7"/>
      <c r="AX46" s="7"/>
      <c r="AY46" s="7"/>
      <c r="AZ46" s="7"/>
      <c r="BA46" s="7"/>
      <c r="BB46" s="7"/>
      <c r="BC46" s="7"/>
      <c r="BD46" s="55"/>
      <c r="BE46" s="55"/>
      <c r="BF46" s="7"/>
      <c r="BG46" s="7"/>
      <c r="BH46" s="7"/>
      <c r="BI46" s="7"/>
      <c r="BJ46" s="7"/>
      <c r="BK46" s="7"/>
      <c r="BL46" s="7"/>
      <c r="BM46" s="7"/>
      <c r="BN46" s="41"/>
      <c r="BO46" s="62"/>
      <c r="BP46" s="50"/>
      <c r="BQ46" s="20"/>
      <c r="BR46" s="7"/>
      <c r="BS46" s="7"/>
      <c r="BT46" s="7"/>
      <c r="BU46" s="7"/>
      <c r="BV46" s="55"/>
      <c r="BW46" s="7"/>
      <c r="BX46" s="55"/>
      <c r="BY46" s="7"/>
      <c r="BZ46" s="7"/>
      <c r="CA46" s="7"/>
      <c r="CB46" s="7"/>
      <c r="CC46" s="73"/>
      <c r="CD46" s="71"/>
      <c r="CE46" s="72"/>
      <c r="CF46" s="7"/>
      <c r="CG46" s="7"/>
      <c r="CH46" s="7"/>
      <c r="CI46" s="7"/>
      <c r="CJ46" s="7"/>
      <c r="CK46" s="7"/>
      <c r="CL46" s="7"/>
      <c r="CM46" s="7"/>
      <c r="CN46" s="7"/>
      <c r="CO46" s="7"/>
      <c r="CP46" s="55"/>
      <c r="CQ46" s="7"/>
      <c r="CR46" s="7"/>
      <c r="CS46" s="130"/>
      <c r="CT46" s="7"/>
      <c r="CU46" s="7"/>
      <c r="CV46" s="7"/>
      <c r="CW46" s="7"/>
      <c r="CX46" s="7"/>
      <c r="CY46" s="73"/>
      <c r="CZ46" s="7"/>
      <c r="DA46" s="7"/>
      <c r="DB46" s="7"/>
      <c r="DC46" s="48"/>
      <c r="DD46" s="7"/>
      <c r="DE46" s="7"/>
      <c r="DF46" s="7"/>
      <c r="DG46" s="7"/>
      <c r="DH46" s="7"/>
      <c r="DI46" s="7"/>
      <c r="DJ46" s="7"/>
      <c r="DK46" s="7"/>
      <c r="DL46" s="74"/>
      <c r="DM46" s="7"/>
      <c r="DN46" s="7"/>
      <c r="DO46" s="7"/>
      <c r="DP46" s="7"/>
      <c r="DQ46" s="58"/>
      <c r="DR46" s="7"/>
      <c r="DS46" s="7"/>
      <c r="DT46" s="7"/>
      <c r="DU46" s="73"/>
      <c r="DV46" s="73"/>
      <c r="DW46" s="152"/>
      <c r="DX46" s="7"/>
      <c r="DY46" s="7"/>
      <c r="DZ46" s="7"/>
      <c r="EA46" s="7"/>
      <c r="EB46" s="7"/>
      <c r="EC46" s="7"/>
      <c r="ED46" s="7"/>
      <c r="EE46" s="7"/>
      <c r="EF46" s="7"/>
      <c r="EG46" s="7"/>
      <c r="EH46" s="7"/>
      <c r="EI46" s="7"/>
      <c r="EJ46" s="7"/>
      <c r="EK46" s="7"/>
      <c r="EL46" s="7"/>
      <c r="EM46" s="7"/>
      <c r="EN46" s="19"/>
      <c r="EO46" s="7"/>
      <c r="EP46" s="7"/>
      <c r="EQ46" s="7"/>
      <c r="ER46" s="7"/>
      <c r="ES46" s="7"/>
      <c r="ET46" s="55"/>
      <c r="EU46" s="7"/>
      <c r="EV46" s="7"/>
      <c r="EW46" s="7"/>
      <c r="EX46" s="7"/>
      <c r="EY46" s="7"/>
      <c r="EZ46" s="7"/>
      <c r="FA46" s="72"/>
      <c r="FB46" s="7"/>
      <c r="FC46" s="55"/>
      <c r="FD46" s="55"/>
      <c r="FE46" s="55"/>
      <c r="FF46" s="7"/>
      <c r="FG46" s="7"/>
      <c r="FH46" s="7"/>
      <c r="FI46" s="7"/>
      <c r="FJ46" s="7"/>
      <c r="FK46" s="7"/>
      <c r="FL46" s="7"/>
      <c r="FM46" s="7"/>
      <c r="FN46" s="7"/>
      <c r="FO46" s="7"/>
      <c r="FP46" s="7"/>
      <c r="FQ46" s="7"/>
      <c r="FR46" s="7"/>
      <c r="FS46" s="77"/>
      <c r="FT46" s="30"/>
      <c r="FU46" s="7"/>
      <c r="FV46" s="55"/>
      <c r="FW46" s="55"/>
      <c r="FX46" s="7"/>
      <c r="FY46" s="7"/>
      <c r="FZ46" s="7"/>
      <c r="GA46" s="7"/>
      <c r="GB46" s="7"/>
      <c r="GC46" s="7"/>
      <c r="GD46" s="103"/>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29"/>
      <c r="IF46" s="7"/>
      <c r="IG46" s="7"/>
      <c r="IH46" s="7"/>
      <c r="II46" s="7"/>
      <c r="IJ46" s="7"/>
      <c r="IK46" s="7"/>
      <c r="IL46" s="7"/>
      <c r="IM46" s="7"/>
      <c r="IN46" s="7"/>
      <c r="IO46" s="7"/>
      <c r="IP46" s="7"/>
      <c r="IQ46" s="7"/>
      <c r="IR46" s="7"/>
      <c r="IS46" s="7"/>
      <c r="IT46" s="55"/>
      <c r="IU46" s="7"/>
      <c r="IV46" s="7"/>
    </row>
    <row r="47" spans="1:256" s="11" customFormat="1" ht="12.75" customHeight="1">
      <c r="A47" s="19"/>
      <c r="B47" s="19"/>
      <c r="C47" s="133" t="s">
        <v>5398</v>
      </c>
      <c r="D47" s="19">
        <f>COUNTIF(SurveyDATA!E418:E659,"*Brgy.29*")</f>
        <v>20</v>
      </c>
      <c r="E47" s="7"/>
      <c r="F47" s="7"/>
      <c r="G47" s="7"/>
      <c r="H47" s="19"/>
      <c r="I47" s="8"/>
      <c r="J47" s="19"/>
      <c r="K47" s="7"/>
      <c r="L47" s="7"/>
      <c r="M47" s="7"/>
      <c r="N47" s="7"/>
      <c r="O47" s="7"/>
      <c r="P47" s="19"/>
      <c r="Q47" s="29"/>
      <c r="R47" s="30"/>
      <c r="S47" s="7"/>
      <c r="T47" s="7"/>
      <c r="U47" s="31"/>
      <c r="V47" s="7"/>
      <c r="W47" s="7"/>
      <c r="X47" s="7"/>
      <c r="Y47" s="7"/>
      <c r="Z47" s="7"/>
      <c r="AA47" s="7"/>
      <c r="AB47" s="7"/>
      <c r="AC47" s="7"/>
      <c r="AD47" s="7"/>
      <c r="AE47" s="7"/>
      <c r="AF47" s="7"/>
      <c r="AG47" s="7"/>
      <c r="AH47" s="7"/>
      <c r="AI47" s="7"/>
      <c r="AJ47" s="122"/>
      <c r="AK47" s="41"/>
      <c r="AL47" s="52"/>
      <c r="AM47" s="20"/>
      <c r="AN47" s="20"/>
      <c r="AO47" s="20"/>
      <c r="AP47" s="20"/>
      <c r="AQ47" s="7"/>
      <c r="AR47" s="7"/>
      <c r="AS47" s="7"/>
      <c r="AT47" s="7"/>
      <c r="AU47" s="7"/>
      <c r="AV47" s="20"/>
      <c r="AW47" s="7"/>
      <c r="AX47" s="7"/>
      <c r="AY47" s="7"/>
      <c r="AZ47" s="7"/>
      <c r="BA47" s="7"/>
      <c r="BB47" s="7"/>
      <c r="BC47" s="7"/>
      <c r="BD47" s="55"/>
      <c r="BE47" s="55"/>
      <c r="BF47" s="7"/>
      <c r="BG47" s="7"/>
      <c r="BH47" s="7"/>
      <c r="BI47" s="7"/>
      <c r="BJ47" s="7"/>
      <c r="BK47" s="7"/>
      <c r="BL47" s="7"/>
      <c r="BM47" s="7"/>
      <c r="BN47" s="41"/>
      <c r="BO47" s="62"/>
      <c r="BP47" s="50"/>
      <c r="BQ47" s="20"/>
      <c r="BR47" s="7"/>
      <c r="BS47" s="7"/>
      <c r="BT47" s="7"/>
      <c r="BU47" s="7"/>
      <c r="BV47" s="55"/>
      <c r="BW47" s="7"/>
      <c r="BX47" s="55"/>
      <c r="BY47" s="7"/>
      <c r="BZ47" s="7"/>
      <c r="CA47" s="7"/>
      <c r="CB47" s="7"/>
      <c r="CC47" s="73"/>
      <c r="CD47" s="71"/>
      <c r="CE47" s="72"/>
      <c r="CF47" s="7"/>
      <c r="CG47" s="7"/>
      <c r="CH47" s="7"/>
      <c r="CI47" s="7"/>
      <c r="CJ47" s="7"/>
      <c r="CK47" s="7"/>
      <c r="CL47" s="7"/>
      <c r="CM47" s="7"/>
      <c r="CN47" s="7"/>
      <c r="CO47" s="7"/>
      <c r="CP47" s="55"/>
      <c r="CQ47" s="7"/>
      <c r="CR47" s="7"/>
      <c r="CS47" s="130"/>
      <c r="CT47" s="7"/>
      <c r="CU47" s="7"/>
      <c r="CV47" s="7"/>
      <c r="CW47" s="7"/>
      <c r="CX47" s="7"/>
      <c r="CY47" s="73"/>
      <c r="CZ47" s="7"/>
      <c r="DA47" s="7"/>
      <c r="DB47" s="7"/>
      <c r="DC47" s="48"/>
      <c r="DD47" s="7"/>
      <c r="DE47" s="7"/>
      <c r="DF47" s="7"/>
      <c r="DG47" s="7"/>
      <c r="DH47" s="7"/>
      <c r="DI47" s="7"/>
      <c r="DJ47" s="7"/>
      <c r="DK47" s="7"/>
      <c r="DL47" s="74"/>
      <c r="DM47" s="7"/>
      <c r="DN47" s="7"/>
      <c r="DO47" s="7"/>
      <c r="DP47" s="7"/>
      <c r="DQ47" s="58"/>
      <c r="DR47" s="7"/>
      <c r="DS47" s="7"/>
      <c r="DT47" s="7"/>
      <c r="DU47" s="73"/>
      <c r="DV47" s="73"/>
      <c r="DW47" s="152"/>
      <c r="DX47" s="7"/>
      <c r="DY47" s="7"/>
      <c r="DZ47" s="7"/>
      <c r="EA47" s="7"/>
      <c r="EB47" s="7"/>
      <c r="EC47" s="7"/>
      <c r="ED47" s="7"/>
      <c r="EE47" s="7"/>
      <c r="EF47" s="7"/>
      <c r="EG47" s="7"/>
      <c r="EH47" s="7"/>
      <c r="EI47" s="7"/>
      <c r="EJ47" s="7"/>
      <c r="EK47" s="7"/>
      <c r="EL47" s="7"/>
      <c r="EM47" s="7"/>
      <c r="EN47" s="19"/>
      <c r="EO47" s="7"/>
      <c r="EP47" s="7"/>
      <c r="EQ47" s="7"/>
      <c r="ER47" s="7"/>
      <c r="ES47" s="7"/>
      <c r="ET47" s="55"/>
      <c r="EU47" s="7"/>
      <c r="EV47" s="7"/>
      <c r="EW47" s="7"/>
      <c r="EX47" s="7"/>
      <c r="EY47" s="7"/>
      <c r="EZ47" s="7"/>
      <c r="FA47" s="72"/>
      <c r="FB47" s="7"/>
      <c r="FC47" s="55"/>
      <c r="FD47" s="55"/>
      <c r="FE47" s="55"/>
      <c r="FF47" s="7"/>
      <c r="FG47" s="7"/>
      <c r="FH47" s="7"/>
      <c r="FI47" s="7"/>
      <c r="FJ47" s="7"/>
      <c r="FK47" s="7"/>
      <c r="FL47" s="7"/>
      <c r="FM47" s="7"/>
      <c r="FN47" s="7"/>
      <c r="FO47" s="7"/>
      <c r="FP47" s="7"/>
      <c r="FQ47" s="7"/>
      <c r="FR47" s="7"/>
      <c r="FS47" s="77"/>
      <c r="FT47" s="30"/>
      <c r="FU47" s="7"/>
      <c r="FV47" s="55"/>
      <c r="FW47" s="55"/>
      <c r="FX47" s="7"/>
      <c r="FY47" s="7"/>
      <c r="FZ47" s="7"/>
      <c r="GA47" s="7"/>
      <c r="GB47" s="7"/>
      <c r="GC47" s="7"/>
      <c r="GD47" s="103"/>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29"/>
      <c r="IF47" s="7"/>
      <c r="IG47" s="7"/>
      <c r="IH47" s="7"/>
      <c r="II47" s="7"/>
      <c r="IJ47" s="7"/>
      <c r="IK47" s="7"/>
      <c r="IL47" s="7"/>
      <c r="IM47" s="7"/>
      <c r="IN47" s="7"/>
      <c r="IO47" s="7"/>
      <c r="IP47" s="7"/>
      <c r="IQ47" s="7"/>
      <c r="IR47" s="7"/>
      <c r="IS47" s="7"/>
      <c r="IT47" s="55"/>
      <c r="IU47" s="7"/>
      <c r="IV47" s="7"/>
    </row>
    <row r="48" spans="1:256" s="11" customFormat="1" ht="12.75" customHeight="1">
      <c r="A48" s="19"/>
      <c r="B48" s="19"/>
      <c r="C48" s="133" t="s">
        <v>5399</v>
      </c>
      <c r="D48" s="19">
        <f>COUNTIF(SurveyDATA!E418:E659,"*Brgy.32*")</f>
        <v>7</v>
      </c>
      <c r="E48" s="7"/>
      <c r="F48" s="7"/>
      <c r="G48" s="7"/>
      <c r="H48" s="19"/>
      <c r="I48" s="8"/>
      <c r="J48" s="19"/>
      <c r="K48" s="7"/>
      <c r="L48" s="7"/>
      <c r="M48" s="7"/>
      <c r="N48" s="7"/>
      <c r="O48" s="7"/>
      <c r="P48" s="19"/>
      <c r="Q48" s="29"/>
      <c r="R48" s="30"/>
      <c r="S48" s="7"/>
      <c r="T48" s="7"/>
      <c r="U48" s="31"/>
      <c r="V48" s="7"/>
      <c r="W48" s="7"/>
      <c r="X48" s="7"/>
      <c r="Y48" s="7"/>
      <c r="Z48" s="7"/>
      <c r="AA48" s="7"/>
      <c r="AB48" s="7"/>
      <c r="AC48" s="7"/>
      <c r="AD48" s="7"/>
      <c r="AE48" s="7"/>
      <c r="AF48" s="7"/>
      <c r="AG48" s="7"/>
      <c r="AH48" s="7"/>
      <c r="AI48" s="7"/>
      <c r="AJ48" s="122"/>
      <c r="AK48" s="41"/>
      <c r="AL48" s="52"/>
      <c r="AM48" s="20"/>
      <c r="AN48" s="20"/>
      <c r="AO48" s="20"/>
      <c r="AP48" s="20"/>
      <c r="AQ48" s="7"/>
      <c r="AR48" s="7"/>
      <c r="AS48" s="7"/>
      <c r="AT48" s="7"/>
      <c r="AU48" s="7"/>
      <c r="AV48" s="20"/>
      <c r="AW48" s="7"/>
      <c r="AX48" s="7"/>
      <c r="AY48" s="7"/>
      <c r="AZ48" s="7"/>
      <c r="BA48" s="7"/>
      <c r="BB48" s="7"/>
      <c r="BC48" s="7"/>
      <c r="BD48" s="55"/>
      <c r="BE48" s="55"/>
      <c r="BF48" s="7"/>
      <c r="BG48" s="7"/>
      <c r="BH48" s="7"/>
      <c r="BI48" s="7"/>
      <c r="BJ48" s="7"/>
      <c r="BK48" s="7"/>
      <c r="BL48" s="7"/>
      <c r="BM48" s="7"/>
      <c r="BN48" s="41"/>
      <c r="BO48" s="62"/>
      <c r="BP48" s="50"/>
      <c r="BQ48" s="20"/>
      <c r="BR48" s="7"/>
      <c r="BS48" s="7"/>
      <c r="BT48" s="7"/>
      <c r="BU48" s="7"/>
      <c r="BV48" s="55"/>
      <c r="BW48" s="7"/>
      <c r="BX48" s="55"/>
      <c r="BY48" s="7"/>
      <c r="BZ48" s="7"/>
      <c r="CA48" s="7"/>
      <c r="CB48" s="7"/>
      <c r="CC48" s="73"/>
      <c r="CD48" s="71"/>
      <c r="CE48" s="72"/>
      <c r="CF48" s="7"/>
      <c r="CG48" s="7"/>
      <c r="CH48" s="7"/>
      <c r="CI48" s="7"/>
      <c r="CJ48" s="7"/>
      <c r="CK48" s="7"/>
      <c r="CL48" s="7"/>
      <c r="CM48" s="7"/>
      <c r="CN48" s="7"/>
      <c r="CO48" s="7"/>
      <c r="CP48" s="55"/>
      <c r="CQ48" s="7"/>
      <c r="CR48" s="7"/>
      <c r="CS48" s="130"/>
      <c r="CT48" s="7"/>
      <c r="CU48" s="7"/>
      <c r="CV48" s="7"/>
      <c r="CW48" s="7"/>
      <c r="CX48" s="7"/>
      <c r="CY48" s="73"/>
      <c r="CZ48" s="7"/>
      <c r="DA48" s="7"/>
      <c r="DB48" s="7"/>
      <c r="DC48" s="48"/>
      <c r="DD48" s="7"/>
      <c r="DE48" s="7"/>
      <c r="DF48" s="7"/>
      <c r="DG48" s="7"/>
      <c r="DH48" s="7"/>
      <c r="DI48" s="7"/>
      <c r="DJ48" s="7"/>
      <c r="DK48" s="7"/>
      <c r="DL48" s="74"/>
      <c r="DM48" s="7"/>
      <c r="DN48" s="7"/>
      <c r="DO48" s="7"/>
      <c r="DP48" s="7"/>
      <c r="DQ48" s="58"/>
      <c r="DR48" s="7"/>
      <c r="DS48" s="7"/>
      <c r="DT48" s="7"/>
      <c r="DU48" s="73"/>
      <c r="DV48" s="73"/>
      <c r="DW48" s="152"/>
      <c r="DX48" s="7"/>
      <c r="DY48" s="7"/>
      <c r="DZ48" s="7"/>
      <c r="EA48" s="7"/>
      <c r="EB48" s="7"/>
      <c r="EC48" s="7"/>
      <c r="ED48" s="7"/>
      <c r="EE48" s="7"/>
      <c r="EF48" s="7"/>
      <c r="EG48" s="7"/>
      <c r="EH48" s="7"/>
      <c r="EI48" s="7"/>
      <c r="EJ48" s="7"/>
      <c r="EK48" s="7"/>
      <c r="EL48" s="7"/>
      <c r="EM48" s="7"/>
      <c r="EN48" s="19"/>
      <c r="EO48" s="7"/>
      <c r="EP48" s="7"/>
      <c r="EQ48" s="7"/>
      <c r="ER48" s="7"/>
      <c r="ES48" s="7"/>
      <c r="ET48" s="55"/>
      <c r="EU48" s="7"/>
      <c r="EV48" s="7"/>
      <c r="EW48" s="7"/>
      <c r="EX48" s="7"/>
      <c r="EY48" s="7"/>
      <c r="EZ48" s="7"/>
      <c r="FA48" s="72"/>
      <c r="FB48" s="7"/>
      <c r="FC48" s="55"/>
      <c r="FD48" s="55"/>
      <c r="FE48" s="55"/>
      <c r="FF48" s="7"/>
      <c r="FG48" s="7"/>
      <c r="FH48" s="7"/>
      <c r="FI48" s="7"/>
      <c r="FJ48" s="7"/>
      <c r="FK48" s="7"/>
      <c r="FL48" s="7"/>
      <c r="FM48" s="7"/>
      <c r="FN48" s="7"/>
      <c r="FO48" s="7"/>
      <c r="FP48" s="7"/>
      <c r="FQ48" s="7"/>
      <c r="FR48" s="7"/>
      <c r="FS48" s="77"/>
      <c r="FT48" s="30"/>
      <c r="FU48" s="7"/>
      <c r="FV48" s="55"/>
      <c r="FW48" s="55"/>
      <c r="FX48" s="7"/>
      <c r="FY48" s="7"/>
      <c r="FZ48" s="7"/>
      <c r="GA48" s="7"/>
      <c r="GB48" s="7"/>
      <c r="GC48" s="7"/>
      <c r="GD48" s="103"/>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29"/>
      <c r="IF48" s="7"/>
      <c r="IG48" s="7"/>
      <c r="IH48" s="7"/>
      <c r="II48" s="7"/>
      <c r="IJ48" s="7"/>
      <c r="IK48" s="7"/>
      <c r="IL48" s="7"/>
      <c r="IM48" s="7"/>
      <c r="IN48" s="7"/>
      <c r="IO48" s="7"/>
      <c r="IP48" s="7"/>
      <c r="IQ48" s="7"/>
      <c r="IR48" s="7"/>
      <c r="IS48" s="7"/>
      <c r="IT48" s="55"/>
      <c r="IU48" s="7"/>
      <c r="IV48" s="7"/>
    </row>
    <row r="49" spans="1:256" s="11" customFormat="1" ht="12.75" customHeight="1">
      <c r="A49" s="19"/>
      <c r="B49" s="19"/>
      <c r="C49" s="133" t="s">
        <v>5400</v>
      </c>
      <c r="D49" s="19">
        <f>COUNTIF(SurveyDATA!E418:E659,"*Brgy.33*")</f>
        <v>16</v>
      </c>
      <c r="E49" s="7"/>
      <c r="F49" s="7"/>
      <c r="G49" s="7"/>
      <c r="H49" s="19"/>
      <c r="I49" s="8"/>
      <c r="J49" s="19"/>
      <c r="K49" s="7"/>
      <c r="L49" s="7"/>
      <c r="M49" s="7"/>
      <c r="N49" s="7"/>
      <c r="O49" s="7"/>
      <c r="P49" s="19"/>
      <c r="Q49" s="29"/>
      <c r="R49" s="30"/>
      <c r="S49" s="7"/>
      <c r="T49" s="7"/>
      <c r="U49" s="31"/>
      <c r="V49" s="7"/>
      <c r="W49" s="7"/>
      <c r="X49" s="7"/>
      <c r="Y49" s="7"/>
      <c r="Z49" s="7"/>
      <c r="AA49" s="7"/>
      <c r="AB49" s="7"/>
      <c r="AC49" s="7"/>
      <c r="AD49" s="7"/>
      <c r="AE49" s="7"/>
      <c r="AF49" s="7"/>
      <c r="AG49" s="7"/>
      <c r="AH49" s="7"/>
      <c r="AI49" s="7"/>
      <c r="AJ49" s="122"/>
      <c r="AK49" s="41"/>
      <c r="AL49" s="52"/>
      <c r="AM49" s="20"/>
      <c r="AN49" s="20"/>
      <c r="AO49" s="20"/>
      <c r="AP49" s="20"/>
      <c r="AQ49" s="7"/>
      <c r="AR49" s="7"/>
      <c r="AS49" s="7"/>
      <c r="AT49" s="7"/>
      <c r="AU49" s="7"/>
      <c r="AV49" s="20"/>
      <c r="AW49" s="7"/>
      <c r="AX49" s="7"/>
      <c r="AY49" s="7"/>
      <c r="AZ49" s="7"/>
      <c r="BA49" s="7"/>
      <c r="BB49" s="7"/>
      <c r="BC49" s="7"/>
      <c r="BD49" s="55"/>
      <c r="BE49" s="55"/>
      <c r="BF49" s="7"/>
      <c r="BG49" s="7"/>
      <c r="BH49" s="7"/>
      <c r="BI49" s="7"/>
      <c r="BJ49" s="7"/>
      <c r="BK49" s="7"/>
      <c r="BL49" s="7"/>
      <c r="BM49" s="7"/>
      <c r="BN49" s="41"/>
      <c r="BO49" s="62"/>
      <c r="BP49" s="50"/>
      <c r="BQ49" s="20"/>
      <c r="BR49" s="7"/>
      <c r="BS49" s="7"/>
      <c r="BT49" s="7"/>
      <c r="BU49" s="7"/>
      <c r="BV49" s="55"/>
      <c r="BW49" s="7"/>
      <c r="BX49" s="55"/>
      <c r="BY49" s="7"/>
      <c r="BZ49" s="7"/>
      <c r="CA49" s="7"/>
      <c r="CB49" s="7"/>
      <c r="CC49" s="73"/>
      <c r="CD49" s="71"/>
      <c r="CE49" s="72"/>
      <c r="CF49" s="7"/>
      <c r="CG49" s="7"/>
      <c r="CH49" s="7"/>
      <c r="CI49" s="7"/>
      <c r="CJ49" s="7"/>
      <c r="CK49" s="7"/>
      <c r="CL49" s="7"/>
      <c r="CM49" s="7"/>
      <c r="CN49" s="7"/>
      <c r="CO49" s="7"/>
      <c r="CP49" s="55"/>
      <c r="CQ49" s="7"/>
      <c r="CR49" s="7"/>
      <c r="CS49" s="130"/>
      <c r="CT49" s="7"/>
      <c r="CU49" s="7"/>
      <c r="CV49" s="7"/>
      <c r="CW49" s="7"/>
      <c r="CX49" s="7"/>
      <c r="CY49" s="73"/>
      <c r="CZ49" s="7"/>
      <c r="DA49" s="7"/>
      <c r="DB49" s="7"/>
      <c r="DC49" s="48"/>
      <c r="DD49" s="7"/>
      <c r="DE49" s="7"/>
      <c r="DF49" s="7"/>
      <c r="DG49" s="7"/>
      <c r="DH49" s="7"/>
      <c r="DI49" s="7"/>
      <c r="DJ49" s="7"/>
      <c r="DK49" s="7"/>
      <c r="DL49" s="74"/>
      <c r="DM49" s="7"/>
      <c r="DN49" s="7"/>
      <c r="DO49" s="7"/>
      <c r="DP49" s="7"/>
      <c r="DQ49" s="58"/>
      <c r="DR49" s="7"/>
      <c r="DS49" s="7"/>
      <c r="DT49" s="7"/>
      <c r="DU49" s="73"/>
      <c r="DV49" s="73"/>
      <c r="DW49" s="152"/>
      <c r="DX49" s="7"/>
      <c r="DY49" s="7"/>
      <c r="DZ49" s="7"/>
      <c r="EA49" s="7"/>
      <c r="EB49" s="7"/>
      <c r="EC49" s="7"/>
      <c r="ED49" s="7"/>
      <c r="EE49" s="7"/>
      <c r="EF49" s="7"/>
      <c r="EG49" s="7"/>
      <c r="EH49" s="7"/>
      <c r="EI49" s="7"/>
      <c r="EJ49" s="7"/>
      <c r="EK49" s="7"/>
      <c r="EL49" s="7"/>
      <c r="EM49" s="7"/>
      <c r="EN49" s="19"/>
      <c r="EO49" s="7"/>
      <c r="EP49" s="7"/>
      <c r="EQ49" s="7"/>
      <c r="ER49" s="7"/>
      <c r="ES49" s="7"/>
      <c r="ET49" s="55"/>
      <c r="EU49" s="7"/>
      <c r="EV49" s="7"/>
      <c r="EW49" s="7"/>
      <c r="EX49" s="7"/>
      <c r="EY49" s="7"/>
      <c r="EZ49" s="7"/>
      <c r="FA49" s="72"/>
      <c r="FB49" s="7"/>
      <c r="FC49" s="55"/>
      <c r="FD49" s="55"/>
      <c r="FE49" s="55"/>
      <c r="FF49" s="7"/>
      <c r="FG49" s="7"/>
      <c r="FH49" s="7"/>
      <c r="FI49" s="7"/>
      <c r="FJ49" s="7"/>
      <c r="FK49" s="7"/>
      <c r="FL49" s="7"/>
      <c r="FM49" s="7"/>
      <c r="FN49" s="7"/>
      <c r="FO49" s="7"/>
      <c r="FP49" s="7"/>
      <c r="FQ49" s="7"/>
      <c r="FR49" s="7"/>
      <c r="FS49" s="77"/>
      <c r="FT49" s="30"/>
      <c r="FU49" s="7"/>
      <c r="FV49" s="55"/>
      <c r="FW49" s="55"/>
      <c r="FX49" s="7"/>
      <c r="FY49" s="7"/>
      <c r="FZ49" s="7"/>
      <c r="GA49" s="7"/>
      <c r="GB49" s="7"/>
      <c r="GC49" s="7"/>
      <c r="GD49" s="103"/>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29"/>
      <c r="IF49" s="7"/>
      <c r="IG49" s="7"/>
      <c r="IH49" s="7"/>
      <c r="II49" s="7"/>
      <c r="IJ49" s="7"/>
      <c r="IK49" s="7"/>
      <c r="IL49" s="7"/>
      <c r="IM49" s="7"/>
      <c r="IN49" s="7"/>
      <c r="IO49" s="7"/>
      <c r="IP49" s="7"/>
      <c r="IQ49" s="7"/>
      <c r="IR49" s="7"/>
      <c r="IS49" s="7"/>
      <c r="IT49" s="55"/>
      <c r="IU49" s="7"/>
      <c r="IV49" s="7"/>
    </row>
    <row r="50" spans="1:256" s="11" customFormat="1" ht="12.75" customHeight="1">
      <c r="A50" s="19"/>
      <c r="B50" s="19"/>
      <c r="C50" s="133"/>
      <c r="D50" s="19">
        <f>SUBTOTAL(9,D41:D49)</f>
        <v>240</v>
      </c>
      <c r="E50" s="7"/>
      <c r="F50" s="7"/>
      <c r="G50" s="7"/>
      <c r="H50" s="19"/>
      <c r="I50" s="8"/>
      <c r="J50" s="19"/>
      <c r="K50" s="7"/>
      <c r="L50" s="7"/>
      <c r="M50" s="7"/>
      <c r="N50" s="7"/>
      <c r="O50" s="7"/>
      <c r="P50" s="19"/>
      <c r="Q50" s="29"/>
      <c r="R50" s="30"/>
      <c r="S50" s="7"/>
      <c r="T50" s="7"/>
      <c r="U50" s="31"/>
      <c r="V50" s="7"/>
      <c r="W50" s="7"/>
      <c r="X50" s="7"/>
      <c r="Y50" s="7"/>
      <c r="Z50" s="7"/>
      <c r="AA50" s="7"/>
      <c r="AB50" s="7"/>
      <c r="AC50" s="7"/>
      <c r="AD50" s="7"/>
      <c r="AE50" s="7"/>
      <c r="AF50" s="7"/>
      <c r="AG50" s="7"/>
      <c r="AH50" s="7"/>
      <c r="AI50" s="7"/>
      <c r="AJ50" s="122"/>
      <c r="AK50" s="41"/>
      <c r="AL50" s="52"/>
      <c r="AM50" s="20"/>
      <c r="AN50" s="20"/>
      <c r="AO50" s="20"/>
      <c r="AP50" s="20"/>
      <c r="AQ50" s="7"/>
      <c r="AR50" s="7"/>
      <c r="AS50" s="7"/>
      <c r="AT50" s="7"/>
      <c r="AU50" s="7"/>
      <c r="AV50" s="20"/>
      <c r="AW50" s="7"/>
      <c r="AX50" s="7"/>
      <c r="AY50" s="7"/>
      <c r="AZ50" s="7"/>
      <c r="BA50" s="7"/>
      <c r="BB50" s="7"/>
      <c r="BC50" s="7"/>
      <c r="BD50" s="55"/>
      <c r="BE50" s="55"/>
      <c r="BF50" s="7"/>
      <c r="BG50" s="7"/>
      <c r="BH50" s="7"/>
      <c r="BI50" s="7"/>
      <c r="BJ50" s="7"/>
      <c r="BK50" s="7"/>
      <c r="BL50" s="7"/>
      <c r="BM50" s="7"/>
      <c r="BN50" s="41"/>
      <c r="BO50" s="62"/>
      <c r="BP50" s="50"/>
      <c r="BQ50" s="20"/>
      <c r="BR50" s="7"/>
      <c r="BS50" s="7"/>
      <c r="BT50" s="7"/>
      <c r="BU50" s="7"/>
      <c r="BV50" s="55"/>
      <c r="BW50" s="7"/>
      <c r="BX50" s="55"/>
      <c r="BY50" s="7"/>
      <c r="BZ50" s="7"/>
      <c r="CA50" s="7"/>
      <c r="CB50" s="7"/>
      <c r="CC50" s="73"/>
      <c r="CD50" s="71"/>
      <c r="CE50" s="72"/>
      <c r="CF50" s="7"/>
      <c r="CG50" s="7"/>
      <c r="CH50" s="7"/>
      <c r="CI50" s="7"/>
      <c r="CJ50" s="7"/>
      <c r="CK50" s="7"/>
      <c r="CL50" s="7"/>
      <c r="CM50" s="7"/>
      <c r="CN50" s="7"/>
      <c r="CO50" s="7"/>
      <c r="CP50" s="55"/>
      <c r="CQ50" s="7"/>
      <c r="CR50" s="7"/>
      <c r="CS50" s="130"/>
      <c r="CT50" s="7"/>
      <c r="CU50" s="7"/>
      <c r="CV50" s="7"/>
      <c r="CW50" s="7"/>
      <c r="CX50" s="7"/>
      <c r="CY50" s="73"/>
      <c r="CZ50" s="7"/>
      <c r="DA50" s="7"/>
      <c r="DB50" s="7"/>
      <c r="DC50" s="48"/>
      <c r="DD50" s="7"/>
      <c r="DE50" s="7"/>
      <c r="DF50" s="7"/>
      <c r="DG50" s="7"/>
      <c r="DH50" s="7"/>
      <c r="DI50" s="7"/>
      <c r="DJ50" s="7"/>
      <c r="DK50" s="7"/>
      <c r="DL50" s="74"/>
      <c r="DM50" s="7"/>
      <c r="DN50" s="7"/>
      <c r="DO50" s="7"/>
      <c r="DP50" s="7"/>
      <c r="DQ50" s="58"/>
      <c r="DR50" s="7"/>
      <c r="DS50" s="7"/>
      <c r="DT50" s="7"/>
      <c r="DU50" s="73"/>
      <c r="DV50" s="73"/>
      <c r="DW50" s="152"/>
      <c r="DX50" s="7"/>
      <c r="DY50" s="7"/>
      <c r="DZ50" s="7"/>
      <c r="EA50" s="7"/>
      <c r="EB50" s="7"/>
      <c r="EC50" s="7"/>
      <c r="ED50" s="7"/>
      <c r="EE50" s="7"/>
      <c r="EF50" s="7"/>
      <c r="EG50" s="7"/>
      <c r="EH50" s="7"/>
      <c r="EI50" s="7"/>
      <c r="EJ50" s="7"/>
      <c r="EK50" s="7"/>
      <c r="EL50" s="7"/>
      <c r="EM50" s="7"/>
      <c r="EN50" s="19"/>
      <c r="EO50" s="7"/>
      <c r="EP50" s="7"/>
      <c r="EQ50" s="7"/>
      <c r="ER50" s="7"/>
      <c r="ES50" s="7"/>
      <c r="ET50" s="55"/>
      <c r="EU50" s="7"/>
      <c r="EV50" s="7"/>
      <c r="EW50" s="7"/>
      <c r="EX50" s="7"/>
      <c r="EY50" s="7"/>
      <c r="EZ50" s="7"/>
      <c r="FA50" s="72"/>
      <c r="FB50" s="7"/>
      <c r="FC50" s="55"/>
      <c r="FD50" s="55"/>
      <c r="FE50" s="55"/>
      <c r="FF50" s="7"/>
      <c r="FG50" s="7"/>
      <c r="FH50" s="7"/>
      <c r="FI50" s="7"/>
      <c r="FJ50" s="7"/>
      <c r="FK50" s="7"/>
      <c r="FL50" s="7"/>
      <c r="FM50" s="7"/>
      <c r="FN50" s="7"/>
      <c r="FO50" s="7"/>
      <c r="FP50" s="7"/>
      <c r="FQ50" s="7"/>
      <c r="FR50" s="7"/>
      <c r="FS50" s="77"/>
      <c r="FT50" s="30"/>
      <c r="FU50" s="7"/>
      <c r="FV50" s="55"/>
      <c r="FW50" s="55"/>
      <c r="FX50" s="7"/>
      <c r="FY50" s="7"/>
      <c r="FZ50" s="7"/>
      <c r="GA50" s="7"/>
      <c r="GB50" s="7"/>
      <c r="GC50" s="7"/>
      <c r="GD50" s="103"/>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29"/>
      <c r="IF50" s="7"/>
      <c r="IG50" s="7"/>
      <c r="IH50" s="7"/>
      <c r="II50" s="7"/>
      <c r="IJ50" s="7"/>
      <c r="IK50" s="7"/>
      <c r="IL50" s="7"/>
      <c r="IM50" s="7"/>
      <c r="IN50" s="7"/>
      <c r="IO50" s="7"/>
      <c r="IP50" s="7"/>
      <c r="IQ50" s="7"/>
      <c r="IR50" s="7"/>
      <c r="IS50" s="7"/>
      <c r="IT50" s="55"/>
      <c r="IU50" s="7"/>
      <c r="IV50" s="7"/>
    </row>
    <row r="51" spans="1:256" s="337" customFormat="1" ht="12.75" customHeight="1">
      <c r="C51" s="133" t="s">
        <v>2471</v>
      </c>
      <c r="D51" s="343" t="s">
        <v>2472</v>
      </c>
      <c r="E51" s="154" t="s">
        <v>2473</v>
      </c>
      <c r="F51" s="154" t="s">
        <v>28</v>
      </c>
      <c r="G51" s="154" t="s">
        <v>18</v>
      </c>
      <c r="H51" s="154"/>
      <c r="I51" s="154" t="s">
        <v>2476</v>
      </c>
      <c r="J51" s="343" t="s">
        <v>2472</v>
      </c>
      <c r="K51" s="154"/>
      <c r="L51" s="154"/>
      <c r="M51" s="154"/>
      <c r="N51" s="154"/>
      <c r="O51" s="154" t="s">
        <v>2403</v>
      </c>
      <c r="P51" s="154" t="s">
        <v>2474</v>
      </c>
      <c r="Q51" s="344"/>
      <c r="R51" s="345"/>
      <c r="S51" s="4" t="s">
        <v>18</v>
      </c>
      <c r="T51" s="154"/>
      <c r="U51" s="154" t="s">
        <v>2476</v>
      </c>
      <c r="V51" s="154" t="s">
        <v>783</v>
      </c>
      <c r="W51" s="154" t="s">
        <v>2483</v>
      </c>
      <c r="X51" s="154"/>
      <c r="Y51" s="154"/>
      <c r="Z51" s="154"/>
      <c r="AA51" s="154"/>
      <c r="AB51" s="154"/>
      <c r="AC51" s="154"/>
      <c r="AD51" s="154"/>
      <c r="AE51" s="332"/>
      <c r="AF51" s="332" t="s">
        <v>1096</v>
      </c>
      <c r="AG51" s="332"/>
      <c r="AH51" s="332"/>
      <c r="AI51" s="154"/>
      <c r="AJ51" s="347"/>
      <c r="AK51" s="348"/>
      <c r="AL51" s="349"/>
      <c r="AM51" s="154"/>
      <c r="AN51" s="154"/>
      <c r="AO51" s="154"/>
      <c r="AP51" s="154"/>
      <c r="AQ51" s="154"/>
      <c r="AR51" s="154"/>
      <c r="AS51" s="154"/>
      <c r="AT51" s="154"/>
      <c r="AU51" s="154"/>
      <c r="AV51" s="154"/>
      <c r="AW51" s="154"/>
      <c r="AX51" s="154"/>
      <c r="AY51" s="154"/>
      <c r="AZ51" s="154"/>
      <c r="BA51" s="154"/>
      <c r="BB51" s="154"/>
      <c r="BC51" s="154"/>
      <c r="BD51" s="350"/>
      <c r="BE51" s="350"/>
      <c r="BF51" s="154"/>
      <c r="BG51" s="154"/>
      <c r="BH51" s="154"/>
      <c r="BI51" s="154" t="s">
        <v>1095</v>
      </c>
      <c r="BJ51" s="154" t="s">
        <v>2475</v>
      </c>
      <c r="BK51" s="154" t="s">
        <v>1096</v>
      </c>
      <c r="BL51" s="154" t="s">
        <v>1230</v>
      </c>
      <c r="BM51" s="154"/>
      <c r="BN51" s="367"/>
      <c r="BO51" s="348"/>
      <c r="BP51" s="360"/>
      <c r="BQ51" s="154"/>
      <c r="BR51" s="154"/>
      <c r="BS51" s="154"/>
      <c r="BT51" s="154"/>
      <c r="BU51" s="154"/>
      <c r="BV51" s="350"/>
      <c r="BW51" s="154"/>
      <c r="BX51" s="350"/>
      <c r="BY51" s="154"/>
      <c r="BZ51" s="154"/>
      <c r="CA51" s="154"/>
      <c r="CB51" s="154"/>
      <c r="CC51" s="154"/>
      <c r="CD51" s="516"/>
      <c r="CE51" s="517"/>
      <c r="CF51" s="154"/>
      <c r="CG51" s="154"/>
      <c r="CH51" s="154"/>
      <c r="CI51" s="154"/>
      <c r="CJ51" s="154"/>
      <c r="CK51" s="154"/>
      <c r="CL51" s="154"/>
      <c r="CM51" s="154"/>
      <c r="CN51" s="154"/>
      <c r="CO51" s="154"/>
      <c r="CP51" s="350"/>
      <c r="CQ51" s="154"/>
      <c r="CR51" s="154"/>
      <c r="CS51" s="434"/>
      <c r="CT51" s="154"/>
      <c r="CU51" s="154"/>
      <c r="CV51" s="154"/>
      <c r="CW51" s="154"/>
      <c r="CX51" s="154"/>
      <c r="CY51" s="358"/>
      <c r="CZ51" s="154"/>
      <c r="DA51" s="154"/>
      <c r="DB51" s="154"/>
      <c r="DC51" s="359"/>
      <c r="DD51" s="154"/>
      <c r="DE51" s="154"/>
      <c r="DF51" s="154"/>
      <c r="DG51" s="154"/>
      <c r="DH51" s="154"/>
      <c r="DI51" s="154"/>
      <c r="DJ51" s="154"/>
      <c r="DK51" s="154"/>
      <c r="DL51" s="435"/>
      <c r="DM51" s="154"/>
      <c r="DN51" s="154"/>
      <c r="DO51" s="154"/>
      <c r="DP51" s="154"/>
      <c r="DQ51" s="356"/>
      <c r="DR51" s="154"/>
      <c r="DS51" s="154"/>
      <c r="DT51" s="154"/>
      <c r="DU51" s="358"/>
      <c r="DV51" s="358"/>
      <c r="DW51" s="154"/>
      <c r="DX51" s="154"/>
      <c r="DY51" s="154"/>
      <c r="DZ51" s="154"/>
      <c r="EA51" s="154"/>
      <c r="EB51" s="154"/>
      <c r="EC51" s="154"/>
      <c r="ED51" s="154"/>
      <c r="EE51" s="154"/>
      <c r="EF51" s="154"/>
      <c r="EG51" s="154"/>
      <c r="EH51" s="154"/>
      <c r="EI51" s="154"/>
      <c r="EJ51" s="154"/>
      <c r="EK51" s="154"/>
      <c r="EL51" s="154"/>
      <c r="EM51" s="154"/>
      <c r="EN51" s="343"/>
      <c r="EO51" s="154"/>
      <c r="EP51" s="154"/>
      <c r="EQ51" s="154"/>
      <c r="ER51" s="154"/>
      <c r="ES51" s="154"/>
      <c r="ET51" s="350"/>
      <c r="EU51" s="154"/>
      <c r="EV51" s="154"/>
      <c r="EW51" s="154"/>
      <c r="EX51" s="154" t="s">
        <v>478</v>
      </c>
      <c r="EY51" s="154">
        <v>2</v>
      </c>
      <c r="EZ51" s="154"/>
      <c r="FA51" s="154"/>
      <c r="FB51" s="154"/>
      <c r="FC51" s="350"/>
      <c r="FD51" s="350"/>
      <c r="FE51" s="350"/>
      <c r="FF51" s="154" t="s">
        <v>1602</v>
      </c>
      <c r="FG51" s="154" t="s">
        <v>1660</v>
      </c>
      <c r="FH51" s="154" t="s">
        <v>1214</v>
      </c>
      <c r="FI51" s="154"/>
      <c r="FJ51" s="154"/>
      <c r="FK51" s="154"/>
      <c r="FL51" s="154"/>
      <c r="FM51" s="154"/>
      <c r="FN51" s="154"/>
      <c r="FO51" s="154"/>
      <c r="FP51" s="154"/>
      <c r="FQ51" s="154"/>
      <c r="FR51" s="154"/>
      <c r="FS51" s="354"/>
      <c r="FT51" s="345"/>
      <c r="FU51" s="154" t="s">
        <v>2477</v>
      </c>
      <c r="FV51" s="350">
        <v>2500</v>
      </c>
      <c r="FW51" s="350">
        <f>FV51*12</f>
        <v>30000</v>
      </c>
      <c r="FX51" s="154"/>
      <c r="FY51" s="154"/>
      <c r="FZ51" s="154"/>
      <c r="GA51" s="154"/>
      <c r="GB51" s="154"/>
      <c r="GC51" s="154"/>
      <c r="GD51" s="355"/>
      <c r="GE51" s="154"/>
      <c r="GF51" s="154"/>
      <c r="GG51" s="154"/>
      <c r="GH51" s="154"/>
      <c r="GI51" s="154"/>
      <c r="GJ51" s="154"/>
      <c r="GK51" s="154"/>
      <c r="GL51" s="154"/>
      <c r="GM51" s="154"/>
      <c r="GN51" s="154"/>
      <c r="GO51" s="154"/>
      <c r="GP51" s="154"/>
      <c r="GQ51" s="154"/>
      <c r="GR51" s="154"/>
      <c r="GS51" s="154"/>
      <c r="GT51" s="154"/>
      <c r="GU51" s="154"/>
      <c r="GV51" s="154"/>
      <c r="GW51" s="154"/>
      <c r="GX51" s="154"/>
      <c r="GY51" s="154" t="s">
        <v>1214</v>
      </c>
      <c r="GZ51" s="154"/>
      <c r="HA51" s="154"/>
      <c r="HB51" s="154"/>
      <c r="HC51" s="154"/>
      <c r="HD51" s="154"/>
      <c r="HE51" s="154"/>
      <c r="HF51" s="154"/>
      <c r="HG51" s="154"/>
      <c r="HH51" s="154"/>
      <c r="HI51" s="154"/>
      <c r="HJ51" s="154"/>
      <c r="HK51" s="154"/>
      <c r="HL51" s="154"/>
      <c r="HM51" s="154"/>
      <c r="HN51" s="154"/>
      <c r="HO51" s="154"/>
      <c r="HP51" s="154"/>
      <c r="HQ51" s="154"/>
      <c r="HR51" s="154" t="s">
        <v>1207</v>
      </c>
      <c r="HS51" s="154" t="s">
        <v>1207</v>
      </c>
      <c r="HT51" s="154"/>
      <c r="HU51" s="154"/>
      <c r="HV51" s="154" t="s">
        <v>2478</v>
      </c>
      <c r="HW51" s="154" t="s">
        <v>18</v>
      </c>
      <c r="HX51" s="154"/>
      <c r="HY51" s="154" t="s">
        <v>2479</v>
      </c>
      <c r="HZ51" s="154" t="s">
        <v>1835</v>
      </c>
      <c r="IA51" s="15" t="s">
        <v>1888</v>
      </c>
      <c r="IB51" s="154"/>
      <c r="IC51" s="154"/>
      <c r="ID51" s="154" t="s">
        <v>2475</v>
      </c>
      <c r="IE51" s="344"/>
      <c r="IF51" s="154"/>
      <c r="IG51" s="154" t="s">
        <v>2480</v>
      </c>
      <c r="IH51" s="154" t="s">
        <v>2716</v>
      </c>
      <c r="II51" s="154" t="s">
        <v>2028</v>
      </c>
      <c r="IJ51" s="154"/>
      <c r="IK51" s="154"/>
      <c r="IL51" s="154"/>
      <c r="IM51" s="154" t="s">
        <v>2481</v>
      </c>
      <c r="IN51" s="154"/>
      <c r="IO51" s="154" t="s">
        <v>2476</v>
      </c>
      <c r="IP51" s="154"/>
      <c r="IQ51" s="154"/>
      <c r="IR51" s="154"/>
      <c r="IS51" s="154"/>
      <c r="IT51" s="350">
        <v>2500</v>
      </c>
      <c r="IU51" s="154"/>
      <c r="IV51" s="154"/>
    </row>
    <row r="52" spans="1:256" s="337" customFormat="1" ht="12.75" customHeight="1">
      <c r="C52" s="133" t="s">
        <v>2497</v>
      </c>
      <c r="D52" s="343" t="s">
        <v>2457</v>
      </c>
      <c r="E52" s="154" t="s">
        <v>2468</v>
      </c>
      <c r="F52" s="154" t="s">
        <v>28</v>
      </c>
      <c r="G52" s="154" t="s">
        <v>10</v>
      </c>
      <c r="H52" s="154"/>
      <c r="I52" s="324"/>
      <c r="J52" s="343" t="s">
        <v>2457</v>
      </c>
      <c r="K52" s="15" t="s">
        <v>2460</v>
      </c>
      <c r="L52" s="15" t="s">
        <v>2461</v>
      </c>
      <c r="M52" s="154"/>
      <c r="N52" s="154"/>
      <c r="O52" s="154" t="s">
        <v>2403</v>
      </c>
      <c r="P52" s="154"/>
      <c r="Q52" s="344"/>
      <c r="R52" s="345"/>
      <c r="S52" s="154"/>
      <c r="T52" s="154"/>
      <c r="U52" s="346"/>
      <c r="V52" s="154"/>
      <c r="W52" s="154"/>
      <c r="X52" s="154"/>
      <c r="Y52" s="154"/>
      <c r="Z52" s="154"/>
      <c r="AA52" s="154"/>
      <c r="AB52" s="154"/>
      <c r="AC52" s="154"/>
      <c r="AD52" s="154"/>
      <c r="AE52" s="154" t="s">
        <v>1132</v>
      </c>
      <c r="AF52" s="332" t="s">
        <v>1100</v>
      </c>
      <c r="AG52" s="332"/>
      <c r="AH52" s="332"/>
      <c r="AI52" s="154" t="s">
        <v>1101</v>
      </c>
      <c r="AJ52" s="347">
        <v>2.625</v>
      </c>
      <c r="AK52" s="348">
        <v>2.625</v>
      </c>
      <c r="AL52" s="349">
        <f>AK52/AJ52</f>
        <v>1</v>
      </c>
      <c r="AM52" s="154" t="s">
        <v>1122</v>
      </c>
      <c r="AN52" s="154"/>
      <c r="AO52" s="154"/>
      <c r="AP52" s="154"/>
      <c r="AQ52" s="154"/>
      <c r="AR52" s="154"/>
      <c r="AS52" s="154"/>
      <c r="AT52" s="154"/>
      <c r="AU52" s="154"/>
      <c r="AV52" s="154"/>
      <c r="AW52" s="154"/>
      <c r="AX52" s="154"/>
      <c r="AY52" s="154"/>
      <c r="AZ52" s="154"/>
      <c r="BA52" s="154"/>
      <c r="BB52" s="154"/>
      <c r="BC52" s="154"/>
      <c r="BD52" s="350"/>
      <c r="BE52" s="350"/>
      <c r="BF52" s="154"/>
      <c r="BG52" s="154"/>
      <c r="BH52" s="154"/>
      <c r="BI52" s="154" t="s">
        <v>1095</v>
      </c>
      <c r="BJ52" s="154" t="s">
        <v>2469</v>
      </c>
      <c r="BK52" s="154" t="s">
        <v>1100</v>
      </c>
      <c r="BL52" s="154" t="s">
        <v>1230</v>
      </c>
      <c r="BM52" s="154" t="s">
        <v>1246</v>
      </c>
      <c r="BN52" s="367">
        <v>2.625</v>
      </c>
      <c r="BO52" s="348">
        <v>2.625</v>
      </c>
      <c r="BP52" s="360">
        <f>BO52/BN52</f>
        <v>1</v>
      </c>
      <c r="BQ52" s="154" t="s">
        <v>1257</v>
      </c>
      <c r="BR52" s="154" t="s">
        <v>1334</v>
      </c>
      <c r="BS52" s="154" t="s">
        <v>2334</v>
      </c>
      <c r="BT52" s="154" t="s">
        <v>1291</v>
      </c>
      <c r="BU52" s="154"/>
      <c r="BV52" s="350"/>
      <c r="BW52" s="154"/>
      <c r="BX52" s="350"/>
      <c r="BY52" s="154"/>
      <c r="BZ52" s="154"/>
      <c r="CA52" s="154"/>
      <c r="CB52" s="154"/>
      <c r="CC52" s="154"/>
      <c r="CD52" s="516"/>
      <c r="CE52" s="517"/>
      <c r="CF52" s="154"/>
      <c r="CG52" s="154"/>
      <c r="CH52" s="154"/>
      <c r="CI52" s="154"/>
      <c r="CJ52" s="154"/>
      <c r="CK52" s="154"/>
      <c r="CL52" s="154"/>
      <c r="CM52" s="154"/>
      <c r="CN52" s="154"/>
      <c r="CO52" s="154"/>
      <c r="CP52" s="350"/>
      <c r="CQ52" s="154"/>
      <c r="CR52" s="154"/>
      <c r="CS52" s="434"/>
      <c r="CT52" s="154"/>
      <c r="CU52" s="154"/>
      <c r="CV52" s="154"/>
      <c r="CW52" s="154"/>
      <c r="CX52" s="154"/>
      <c r="CY52" s="358"/>
      <c r="CZ52" s="154"/>
      <c r="DA52" s="154"/>
      <c r="DB52" s="154"/>
      <c r="DC52" s="359"/>
      <c r="DD52" s="154"/>
      <c r="DE52" s="154"/>
      <c r="DF52" s="154"/>
      <c r="DG52" s="154"/>
      <c r="DH52" s="154"/>
      <c r="DI52" s="154"/>
      <c r="DJ52" s="154"/>
      <c r="DK52" s="154"/>
      <c r="DL52" s="435"/>
      <c r="DM52" s="154"/>
      <c r="DN52" s="154"/>
      <c r="DO52" s="154"/>
      <c r="DP52" s="154"/>
      <c r="DQ52" s="356"/>
      <c r="DR52" s="154"/>
      <c r="DS52" s="154"/>
      <c r="DT52" s="154"/>
      <c r="DU52" s="358"/>
      <c r="DV52" s="358"/>
      <c r="DW52" s="154"/>
      <c r="DX52" s="154"/>
      <c r="DY52" s="154"/>
      <c r="DZ52" s="154"/>
      <c r="EA52" s="154"/>
      <c r="EB52" s="154"/>
      <c r="EC52" s="154"/>
      <c r="ED52" s="154"/>
      <c r="EE52" s="154"/>
      <c r="EF52" s="154"/>
      <c r="EG52" s="154"/>
      <c r="EH52" s="154"/>
      <c r="EI52" s="154"/>
      <c r="EJ52" s="154"/>
      <c r="EK52" s="154"/>
      <c r="EL52" s="154"/>
      <c r="EM52" s="154"/>
      <c r="EN52" s="343"/>
      <c r="EO52" s="154"/>
      <c r="EP52" s="154"/>
      <c r="EQ52" s="154"/>
      <c r="ER52" s="154"/>
      <c r="ES52" s="154"/>
      <c r="ET52" s="350"/>
      <c r="EU52" s="154"/>
      <c r="EV52" s="154"/>
      <c r="EW52" s="154"/>
      <c r="EX52" s="154"/>
      <c r="EY52" s="154"/>
      <c r="EZ52" s="154"/>
      <c r="FA52" s="154"/>
      <c r="FB52" s="154"/>
      <c r="FC52" s="350"/>
      <c r="FD52" s="350"/>
      <c r="FE52" s="350"/>
      <c r="FF52" s="154"/>
      <c r="FG52" s="154"/>
      <c r="FH52" s="154" t="s">
        <v>1214</v>
      </c>
      <c r="FI52" s="154"/>
      <c r="FJ52" s="154"/>
      <c r="FK52" s="154"/>
      <c r="FL52" s="154"/>
      <c r="FM52" s="154"/>
      <c r="FN52" s="154"/>
      <c r="FO52" s="154"/>
      <c r="FP52" s="154"/>
      <c r="FQ52" s="154"/>
      <c r="FR52" s="154"/>
      <c r="FS52" s="354"/>
      <c r="FT52" s="345"/>
      <c r="FU52" s="154" t="s">
        <v>2498</v>
      </c>
      <c r="FV52" s="350">
        <v>3000</v>
      </c>
      <c r="FW52" s="350">
        <f>FV52*12</f>
        <v>36000</v>
      </c>
      <c r="FX52" s="154"/>
      <c r="FY52" s="154"/>
      <c r="FZ52" s="154"/>
      <c r="GA52" s="154"/>
      <c r="GB52" s="154"/>
      <c r="GC52" s="154"/>
      <c r="GD52" s="355"/>
      <c r="GE52" s="154"/>
      <c r="GF52" s="154"/>
      <c r="GG52" s="154"/>
      <c r="GH52" s="154"/>
      <c r="GI52" s="154"/>
      <c r="GJ52" s="154"/>
      <c r="GK52" s="154"/>
      <c r="GL52" s="154"/>
      <c r="GM52" s="154"/>
      <c r="GN52" s="154"/>
      <c r="GO52" s="154"/>
      <c r="GP52" s="154"/>
      <c r="GQ52" s="154"/>
      <c r="GR52" s="154"/>
      <c r="GS52" s="154"/>
      <c r="GT52" s="154"/>
      <c r="GU52" s="154"/>
      <c r="GV52" s="154"/>
      <c r="GW52" s="154"/>
      <c r="GX52" s="154"/>
      <c r="GY52" s="154"/>
      <c r="GZ52" s="154"/>
      <c r="HA52" s="154"/>
      <c r="HB52" s="154"/>
      <c r="HC52" s="154"/>
      <c r="HD52" s="154"/>
      <c r="HE52" s="154"/>
      <c r="HF52" s="154"/>
      <c r="HG52" s="154"/>
      <c r="HH52" s="154"/>
      <c r="HI52" s="154"/>
      <c r="HJ52" s="154"/>
      <c r="HK52" s="154"/>
      <c r="HL52" s="154"/>
      <c r="HM52" s="154"/>
      <c r="HN52" s="154"/>
      <c r="HO52" s="154"/>
      <c r="HP52" s="154"/>
      <c r="HQ52" s="154"/>
      <c r="HR52" s="154"/>
      <c r="HS52" s="154"/>
      <c r="HT52" s="154"/>
      <c r="HU52" s="154"/>
      <c r="HV52" s="154" t="s">
        <v>2499</v>
      </c>
      <c r="HW52" s="154" t="s">
        <v>10</v>
      </c>
      <c r="HX52" s="154" t="s">
        <v>478</v>
      </c>
      <c r="HY52" s="154" t="s">
        <v>3484</v>
      </c>
      <c r="HZ52" s="154" t="s">
        <v>1835</v>
      </c>
      <c r="IA52" s="15" t="s">
        <v>1888</v>
      </c>
      <c r="IB52" s="154" t="s">
        <v>2500</v>
      </c>
      <c r="IC52" s="154">
        <v>2010</v>
      </c>
      <c r="ID52" s="154" t="s">
        <v>2498</v>
      </c>
      <c r="IE52" s="344">
        <v>20077</v>
      </c>
      <c r="IF52" s="154" t="s">
        <v>478</v>
      </c>
      <c r="IG52" s="154" t="s">
        <v>1909</v>
      </c>
      <c r="IH52" s="154" t="s">
        <v>2716</v>
      </c>
      <c r="II52" s="154" t="s">
        <v>1879</v>
      </c>
      <c r="IJ52" s="154"/>
      <c r="IK52" s="154"/>
      <c r="IL52" s="154"/>
      <c r="IM52" s="154" t="s">
        <v>2466</v>
      </c>
      <c r="IN52" s="154"/>
      <c r="IO52" s="154" t="s">
        <v>2459</v>
      </c>
      <c r="IP52" s="154"/>
      <c r="IQ52" s="154"/>
      <c r="IR52" s="154"/>
      <c r="IS52" s="154"/>
      <c r="IT52" s="350">
        <v>3000</v>
      </c>
      <c r="IU52" s="154"/>
      <c r="IV52" s="154"/>
    </row>
    <row r="53" spans="1:256" s="337" customFormat="1" ht="12.75" customHeight="1">
      <c r="C53" s="132" t="s">
        <v>2900</v>
      </c>
      <c r="D53" s="343" t="s">
        <v>488</v>
      </c>
      <c r="E53" s="154" t="s">
        <v>2621</v>
      </c>
      <c r="F53" s="154"/>
      <c r="G53" s="154"/>
      <c r="H53" s="154"/>
      <c r="I53" s="324"/>
      <c r="J53" s="343"/>
      <c r="K53" s="15" t="s">
        <v>2901</v>
      </c>
      <c r="L53" s="15" t="s">
        <v>2902</v>
      </c>
      <c r="M53" s="154" t="s">
        <v>1238</v>
      </c>
      <c r="N53" s="154"/>
      <c r="O53" s="154" t="s">
        <v>2604</v>
      </c>
      <c r="P53" s="154" t="s">
        <v>7411</v>
      </c>
      <c r="Q53" s="344"/>
      <c r="R53" s="345"/>
      <c r="S53" s="154"/>
      <c r="T53" s="154"/>
      <c r="U53" s="324"/>
      <c r="V53" s="154"/>
      <c r="W53" s="154"/>
      <c r="X53" s="154"/>
      <c r="Y53" s="154"/>
      <c r="Z53" s="154"/>
      <c r="AA53" s="154"/>
      <c r="AB53" s="154"/>
      <c r="AC53" s="154"/>
      <c r="AD53" s="154"/>
      <c r="AE53" s="154" t="s">
        <v>1132</v>
      </c>
      <c r="AF53" s="154" t="s">
        <v>1100</v>
      </c>
      <c r="AG53" s="332"/>
      <c r="AH53" s="332"/>
      <c r="AI53" s="154" t="s">
        <v>1101</v>
      </c>
      <c r="AJ53" s="347"/>
      <c r="AK53" s="348">
        <v>19.95</v>
      </c>
      <c r="AL53" s="349"/>
      <c r="AM53" s="154"/>
      <c r="AN53" s="154"/>
      <c r="AO53" s="154"/>
      <c r="AP53" s="154"/>
      <c r="AQ53" s="154"/>
      <c r="AR53" s="154"/>
      <c r="AS53" s="154"/>
      <c r="AT53" s="154"/>
      <c r="AU53" s="154"/>
      <c r="AV53" s="154"/>
      <c r="AW53" s="154"/>
      <c r="AX53" s="154"/>
      <c r="AY53" s="154"/>
      <c r="AZ53" s="154"/>
      <c r="BA53" s="154"/>
      <c r="BB53" s="154"/>
      <c r="BC53" s="154"/>
      <c r="BD53" s="350"/>
      <c r="BE53" s="350"/>
      <c r="BF53" s="154"/>
      <c r="BG53" s="154"/>
      <c r="BH53" s="154"/>
      <c r="BI53" s="154" t="s">
        <v>1099</v>
      </c>
      <c r="BJ53" s="154" t="s">
        <v>3512</v>
      </c>
      <c r="BK53" s="332" t="s">
        <v>1100</v>
      </c>
      <c r="BL53" s="154" t="s">
        <v>1260</v>
      </c>
      <c r="BM53" s="154" t="s">
        <v>1333</v>
      </c>
      <c r="BN53" s="367"/>
      <c r="BO53" s="348"/>
      <c r="BP53" s="360"/>
      <c r="BQ53" s="154" t="s">
        <v>1257</v>
      </c>
      <c r="BR53" s="154" t="s">
        <v>2904</v>
      </c>
      <c r="BS53" s="154"/>
      <c r="BT53" s="154"/>
      <c r="BU53" s="154">
        <v>2005</v>
      </c>
      <c r="BV53" s="350"/>
      <c r="BW53" s="154"/>
      <c r="BX53" s="350"/>
      <c r="BY53" s="154"/>
      <c r="BZ53" s="154"/>
      <c r="CA53" s="154"/>
      <c r="CB53" s="154"/>
      <c r="CC53" s="154"/>
      <c r="CD53" s="516"/>
      <c r="CE53" s="517"/>
      <c r="CF53" s="154"/>
      <c r="CG53" s="154"/>
      <c r="CH53" s="154"/>
      <c r="CI53" s="154"/>
      <c r="CJ53" s="154"/>
      <c r="CK53" s="154"/>
      <c r="CL53" s="154"/>
      <c r="CM53" s="154"/>
      <c r="CN53" s="154"/>
      <c r="CO53" s="154"/>
      <c r="CP53" s="350"/>
      <c r="CQ53" s="154"/>
      <c r="CR53" s="154"/>
      <c r="CS53" s="434"/>
      <c r="CT53" s="154"/>
      <c r="CU53" s="154"/>
      <c r="CV53" s="154"/>
      <c r="CW53" s="154"/>
      <c r="CX53" s="154"/>
      <c r="CY53" s="358"/>
      <c r="CZ53" s="154"/>
      <c r="DA53" s="154"/>
      <c r="DB53" s="154"/>
      <c r="DC53" s="359"/>
      <c r="DD53" s="154"/>
      <c r="DE53" s="154"/>
      <c r="DF53" s="154"/>
      <c r="DG53" s="154"/>
      <c r="DH53" s="154"/>
      <c r="DI53" s="154"/>
      <c r="DJ53" s="154"/>
      <c r="DK53" s="154"/>
      <c r="DL53" s="435"/>
      <c r="DM53" s="154"/>
      <c r="DN53" s="154"/>
      <c r="DO53" s="154"/>
      <c r="DP53" s="154"/>
      <c r="DQ53" s="356"/>
      <c r="DR53" s="154"/>
      <c r="DS53" s="154"/>
      <c r="DT53" s="154"/>
      <c r="DU53" s="358"/>
      <c r="DV53" s="358"/>
      <c r="DW53" s="154"/>
      <c r="DX53" s="154"/>
      <c r="DY53" s="154"/>
      <c r="DZ53" s="154"/>
      <c r="EA53" s="154"/>
      <c r="EB53" s="154"/>
      <c r="EC53" s="154"/>
      <c r="ED53" s="154"/>
      <c r="EE53" s="154"/>
      <c r="EF53" s="154"/>
      <c r="EG53" s="154"/>
      <c r="EH53" s="154"/>
      <c r="EI53" s="154"/>
      <c r="EJ53" s="154"/>
      <c r="EK53" s="154"/>
      <c r="EL53" s="154"/>
      <c r="EM53" s="154"/>
      <c r="EN53" s="343"/>
      <c r="EO53" s="154"/>
      <c r="EP53" s="154"/>
      <c r="EQ53" s="154"/>
      <c r="ER53" s="154"/>
      <c r="ES53" s="154"/>
      <c r="ET53" s="350"/>
      <c r="EU53" s="154"/>
      <c r="EV53" s="154"/>
      <c r="EW53" s="154"/>
      <c r="EX53" s="154"/>
      <c r="EY53" s="154"/>
      <c r="EZ53" s="154"/>
      <c r="FA53" s="154"/>
      <c r="FB53" s="154"/>
      <c r="FC53" s="350"/>
      <c r="FD53" s="350"/>
      <c r="FE53" s="350"/>
      <c r="FF53" s="154"/>
      <c r="FG53" s="154"/>
      <c r="FH53" s="154"/>
      <c r="FI53" s="154"/>
      <c r="FJ53" s="154"/>
      <c r="FK53" s="154"/>
      <c r="FL53" s="154"/>
      <c r="FM53" s="154"/>
      <c r="FN53" s="154"/>
      <c r="FO53" s="154"/>
      <c r="FP53" s="154"/>
      <c r="FQ53" s="154"/>
      <c r="FR53" s="154"/>
      <c r="FS53" s="354"/>
      <c r="FT53" s="345"/>
      <c r="FU53" s="154"/>
      <c r="FV53" s="350"/>
      <c r="FW53" s="350"/>
      <c r="FX53" s="154"/>
      <c r="FY53" s="154"/>
      <c r="FZ53" s="154"/>
      <c r="GA53" s="154"/>
      <c r="GB53" s="154"/>
      <c r="GC53" s="154"/>
      <c r="GD53" s="355"/>
      <c r="GE53" s="154"/>
      <c r="GF53" s="154"/>
      <c r="GG53" s="154"/>
      <c r="GH53" s="154"/>
      <c r="GI53" s="154"/>
      <c r="GJ53" s="154"/>
      <c r="GK53" s="154"/>
      <c r="GL53" s="154"/>
      <c r="GM53" s="154"/>
      <c r="GN53" s="154"/>
      <c r="GO53" s="154"/>
      <c r="GP53" s="154"/>
      <c r="GQ53" s="154"/>
      <c r="GR53" s="154"/>
      <c r="GS53" s="154"/>
      <c r="GT53" s="154"/>
      <c r="GU53" s="154"/>
      <c r="GV53" s="154"/>
      <c r="GW53" s="154"/>
      <c r="GX53" s="154"/>
      <c r="GY53" s="154"/>
      <c r="GZ53" s="154"/>
      <c r="HA53" s="154"/>
      <c r="HB53" s="154"/>
      <c r="HC53" s="154"/>
      <c r="HD53" s="154"/>
      <c r="HE53" s="154"/>
      <c r="HF53" s="154"/>
      <c r="HG53" s="154"/>
      <c r="HH53" s="154"/>
      <c r="HI53" s="154"/>
      <c r="HJ53" s="154"/>
      <c r="HK53" s="154"/>
      <c r="HL53" s="154"/>
      <c r="HM53" s="154"/>
      <c r="HN53" s="154"/>
      <c r="HO53" s="154"/>
      <c r="HP53" s="154"/>
      <c r="HQ53" s="154"/>
      <c r="HR53" s="154"/>
      <c r="HS53" s="154"/>
      <c r="HT53" s="154"/>
      <c r="HU53" s="154"/>
      <c r="HV53" s="154"/>
      <c r="HW53" s="154"/>
      <c r="HX53" s="154"/>
      <c r="HY53" s="154"/>
      <c r="HZ53" s="154"/>
      <c r="IA53" s="154"/>
      <c r="IB53" s="154"/>
      <c r="IC53" s="154"/>
      <c r="ID53" s="154"/>
      <c r="IE53" s="344"/>
      <c r="IF53" s="154"/>
      <c r="IG53" s="154"/>
      <c r="IH53" s="154"/>
      <c r="II53" s="154"/>
      <c r="IJ53" s="154"/>
      <c r="IK53" s="154"/>
      <c r="IL53" s="154"/>
      <c r="IM53" s="154"/>
      <c r="IN53" s="154"/>
      <c r="IO53" s="154"/>
      <c r="IP53" s="154"/>
      <c r="IQ53" s="154"/>
      <c r="IR53" s="154"/>
      <c r="IS53" s="154"/>
      <c r="IT53" s="350"/>
      <c r="IU53" s="154"/>
      <c r="IV53" s="154"/>
    </row>
    <row r="54" spans="1:256" s="337" customFormat="1" ht="12.75" customHeight="1">
      <c r="C54" s="133" t="s">
        <v>3356</v>
      </c>
      <c r="D54" s="343" t="s">
        <v>3560</v>
      </c>
      <c r="E54" s="154" t="s">
        <v>3561</v>
      </c>
      <c r="F54" s="154" t="s">
        <v>28</v>
      </c>
      <c r="G54" s="154" t="s">
        <v>10</v>
      </c>
      <c r="H54" s="154"/>
      <c r="I54" s="324" t="s">
        <v>3390</v>
      </c>
      <c r="J54" s="343" t="s">
        <v>3560</v>
      </c>
      <c r="K54" s="15" t="s">
        <v>3361</v>
      </c>
      <c r="L54" s="15" t="s">
        <v>2263</v>
      </c>
      <c r="M54" s="154" t="s">
        <v>1238</v>
      </c>
      <c r="N54" s="154"/>
      <c r="O54" s="154" t="s">
        <v>2922</v>
      </c>
      <c r="P54" s="154"/>
      <c r="Q54" s="344"/>
      <c r="R54" s="345"/>
      <c r="S54" s="154"/>
      <c r="T54" s="154"/>
      <c r="U54" s="324"/>
      <c r="V54" s="154"/>
      <c r="W54" s="154"/>
      <c r="X54" s="154"/>
      <c r="Y54" s="154"/>
      <c r="Z54" s="154"/>
      <c r="AA54" s="154"/>
      <c r="AB54" s="154"/>
      <c r="AC54" s="154"/>
      <c r="AD54" s="154"/>
      <c r="AE54" s="154" t="s">
        <v>1132</v>
      </c>
      <c r="AF54" s="154" t="s">
        <v>1096</v>
      </c>
      <c r="AG54" s="332"/>
      <c r="AH54" s="332"/>
      <c r="AI54" s="154" t="s">
        <v>478</v>
      </c>
      <c r="AJ54" s="347">
        <v>25.92</v>
      </c>
      <c r="AK54" s="348">
        <v>1.9259999999999999</v>
      </c>
      <c r="AL54" s="349">
        <f>AK54/AJ54</f>
        <v>7.4305555555555541E-2</v>
      </c>
      <c r="AM54" s="154" t="s">
        <v>1098</v>
      </c>
      <c r="AN54" s="154"/>
      <c r="AO54" s="154"/>
      <c r="AP54" s="154"/>
      <c r="AQ54" s="154" t="s">
        <v>1207</v>
      </c>
      <c r="AR54" s="154" t="s">
        <v>1208</v>
      </c>
      <c r="AS54" s="154"/>
      <c r="AT54" s="154"/>
      <c r="AU54" s="154"/>
      <c r="AV54" s="154"/>
      <c r="AW54" s="154"/>
      <c r="AX54" s="154"/>
      <c r="AY54" s="154"/>
      <c r="AZ54" s="154"/>
      <c r="BA54" s="154" t="s">
        <v>853</v>
      </c>
      <c r="BB54" s="154" t="s">
        <v>1214</v>
      </c>
      <c r="BC54" s="154"/>
      <c r="BD54" s="350"/>
      <c r="BE54" s="350"/>
      <c r="BF54" s="154"/>
      <c r="BG54" s="154"/>
      <c r="BH54" s="154"/>
      <c r="BI54" s="154" t="s">
        <v>1095</v>
      </c>
      <c r="BJ54" s="154" t="s">
        <v>3363</v>
      </c>
      <c r="BK54" s="154" t="s">
        <v>1096</v>
      </c>
      <c r="BL54" s="154" t="s">
        <v>1230</v>
      </c>
      <c r="BM54" s="154" t="s">
        <v>2648</v>
      </c>
      <c r="BN54" s="367">
        <v>45.22</v>
      </c>
      <c r="BO54" s="348">
        <v>3.8519999999999999</v>
      </c>
      <c r="BP54" s="360">
        <f>BO54/BN54</f>
        <v>8.5183547103051746E-2</v>
      </c>
      <c r="BQ54" s="154" t="s">
        <v>1242</v>
      </c>
      <c r="BR54" s="154" t="s">
        <v>2904</v>
      </c>
      <c r="BS54" s="154" t="s">
        <v>1249</v>
      </c>
      <c r="BT54" s="154" t="s">
        <v>1247</v>
      </c>
      <c r="BU54" s="154"/>
      <c r="BV54" s="350"/>
      <c r="BW54" s="154"/>
      <c r="BX54" s="350"/>
      <c r="BY54" s="154"/>
      <c r="BZ54" s="154"/>
      <c r="CA54" s="154"/>
      <c r="CB54" s="154"/>
      <c r="CC54" s="154"/>
      <c r="CD54" s="516"/>
      <c r="CE54" s="517"/>
      <c r="CF54" s="154"/>
      <c r="CG54" s="154"/>
      <c r="CH54" s="154"/>
      <c r="CI54" s="154"/>
      <c r="CJ54" s="154"/>
      <c r="CK54" s="154"/>
      <c r="CL54" s="154"/>
      <c r="CM54" s="154"/>
      <c r="CN54" s="154"/>
      <c r="CO54" s="154"/>
      <c r="CP54" s="350"/>
      <c r="CQ54" s="154"/>
      <c r="CR54" s="154"/>
      <c r="CS54" s="434"/>
      <c r="CT54" s="154"/>
      <c r="CU54" s="154"/>
      <c r="CV54" s="154"/>
      <c r="CW54" s="154"/>
      <c r="CX54" s="154"/>
      <c r="CY54" s="358"/>
      <c r="CZ54" s="154"/>
      <c r="DA54" s="154"/>
      <c r="DB54" s="154"/>
      <c r="DC54" s="359"/>
      <c r="DD54" s="154"/>
      <c r="DE54" s="154"/>
      <c r="DF54" s="154"/>
      <c r="DG54" s="154"/>
      <c r="DH54" s="154"/>
      <c r="DI54" s="154"/>
      <c r="DJ54" s="154"/>
      <c r="DK54" s="154"/>
      <c r="DL54" s="435"/>
      <c r="DM54" s="154"/>
      <c r="DN54" s="154"/>
      <c r="DO54" s="154"/>
      <c r="DP54" s="154"/>
      <c r="DQ54" s="356"/>
      <c r="DR54" s="154"/>
      <c r="DS54" s="154"/>
      <c r="DT54" s="154"/>
      <c r="DU54" s="358"/>
      <c r="DV54" s="358"/>
      <c r="DW54" s="154"/>
      <c r="DX54" s="154"/>
      <c r="DY54" s="154"/>
      <c r="DZ54" s="154"/>
      <c r="EA54" s="154"/>
      <c r="EB54" s="154"/>
      <c r="EC54" s="154"/>
      <c r="ED54" s="154"/>
      <c r="EE54" s="154"/>
      <c r="EF54" s="154"/>
      <c r="EG54" s="154"/>
      <c r="EH54" s="154"/>
      <c r="EI54" s="154"/>
      <c r="EJ54" s="154"/>
      <c r="EK54" s="154"/>
      <c r="EL54" s="154"/>
      <c r="EM54" s="154"/>
      <c r="EN54" s="343"/>
      <c r="EO54" s="154"/>
      <c r="EP54" s="154"/>
      <c r="EQ54" s="154"/>
      <c r="ER54" s="154"/>
      <c r="ES54" s="154"/>
      <c r="ET54" s="350"/>
      <c r="EU54" s="154"/>
      <c r="EV54" s="154"/>
      <c r="EW54" s="154"/>
      <c r="EX54" s="154" t="s">
        <v>478</v>
      </c>
      <c r="EY54" s="154">
        <v>1</v>
      </c>
      <c r="EZ54" s="154"/>
      <c r="FA54" s="154"/>
      <c r="FB54" s="154"/>
      <c r="FC54" s="350"/>
      <c r="FD54" s="350"/>
      <c r="FE54" s="350"/>
      <c r="FF54" s="154" t="s">
        <v>1600</v>
      </c>
      <c r="FG54" s="154" t="s">
        <v>1660</v>
      </c>
      <c r="FH54" s="154" t="s">
        <v>1214</v>
      </c>
      <c r="FI54" s="154"/>
      <c r="FJ54" s="154"/>
      <c r="FK54" s="154"/>
      <c r="FL54" s="154"/>
      <c r="FM54" s="154"/>
      <c r="FN54" s="154"/>
      <c r="FO54" s="154"/>
      <c r="FP54" s="154"/>
      <c r="FQ54" s="154"/>
      <c r="FR54" s="154"/>
      <c r="FS54" s="354"/>
      <c r="FT54" s="345"/>
      <c r="FU54" s="154" t="s">
        <v>1207</v>
      </c>
      <c r="FV54" s="350">
        <v>1500</v>
      </c>
      <c r="FW54" s="350">
        <f>FV54*12</f>
        <v>18000</v>
      </c>
      <c r="FX54" s="154"/>
      <c r="FY54" s="154"/>
      <c r="FZ54" s="154"/>
      <c r="GA54" s="154"/>
      <c r="GB54" s="154"/>
      <c r="GC54" s="154"/>
      <c r="GD54" s="355"/>
      <c r="GE54" s="154"/>
      <c r="GF54" s="154"/>
      <c r="GG54" s="154"/>
      <c r="GH54" s="154"/>
      <c r="GI54" s="154"/>
      <c r="GJ54" s="154"/>
      <c r="GK54" s="154"/>
      <c r="GL54" s="154"/>
      <c r="GM54" s="154"/>
      <c r="GN54" s="154"/>
      <c r="GO54" s="154"/>
      <c r="GP54" s="154"/>
      <c r="GQ54" s="154"/>
      <c r="GR54" s="154"/>
      <c r="GS54" s="154"/>
      <c r="GT54" s="154"/>
      <c r="GU54" s="154"/>
      <c r="GV54" s="154"/>
      <c r="GW54" s="154"/>
      <c r="GX54" s="154"/>
      <c r="GY54" s="154"/>
      <c r="GZ54" s="154"/>
      <c r="HA54" s="154"/>
      <c r="HB54" s="154"/>
      <c r="HC54" s="154"/>
      <c r="HD54" s="154"/>
      <c r="HE54" s="154"/>
      <c r="HF54" s="154"/>
      <c r="HG54" s="154"/>
      <c r="HH54" s="154">
        <v>1</v>
      </c>
      <c r="HI54" s="154"/>
      <c r="HJ54" s="154"/>
      <c r="HK54" s="154"/>
      <c r="HL54" s="154"/>
      <c r="HM54" s="154"/>
      <c r="HN54" s="154"/>
      <c r="HO54" s="154"/>
      <c r="HP54" s="154"/>
      <c r="HQ54" s="154"/>
      <c r="HR54" s="154"/>
      <c r="HS54" s="154"/>
      <c r="HT54" s="154"/>
      <c r="HU54" s="154"/>
      <c r="HV54" s="154" t="s">
        <v>3560</v>
      </c>
      <c r="HW54" s="154" t="s">
        <v>10</v>
      </c>
      <c r="HX54" s="154" t="s">
        <v>478</v>
      </c>
      <c r="HY54" s="154" t="s">
        <v>3358</v>
      </c>
      <c r="HZ54" s="154" t="s">
        <v>3562</v>
      </c>
      <c r="IA54" s="154" t="s">
        <v>2639</v>
      </c>
      <c r="IB54" s="154" t="s">
        <v>3363</v>
      </c>
      <c r="IC54" s="154">
        <v>2015</v>
      </c>
      <c r="ID54" s="154" t="s">
        <v>3363</v>
      </c>
      <c r="IE54" s="344"/>
      <c r="IF54" s="154" t="s">
        <v>478</v>
      </c>
      <c r="IG54" s="154" t="s">
        <v>1882</v>
      </c>
      <c r="IH54" s="154" t="s">
        <v>2716</v>
      </c>
      <c r="II54" s="154" t="s">
        <v>1966</v>
      </c>
      <c r="IJ54" s="154"/>
      <c r="IK54" s="154" t="s">
        <v>1208</v>
      </c>
      <c r="IL54" s="154"/>
      <c r="IM54" s="154" t="s">
        <v>3563</v>
      </c>
      <c r="IN54" s="154"/>
      <c r="IO54" s="154" t="s">
        <v>3390</v>
      </c>
      <c r="IP54" s="154"/>
      <c r="IQ54" s="154" t="s">
        <v>1880</v>
      </c>
      <c r="IR54" s="154" t="s">
        <v>1901</v>
      </c>
      <c r="IS54" s="154"/>
      <c r="IT54" s="350">
        <v>1500</v>
      </c>
      <c r="IU54" s="154"/>
      <c r="IV54" s="154"/>
    </row>
    <row r="55" spans="1:256" s="337" customFormat="1" ht="12.75" customHeight="1">
      <c r="C55" s="133" t="s">
        <v>2924</v>
      </c>
      <c r="D55" s="343" t="s">
        <v>3605</v>
      </c>
      <c r="E55" s="154" t="s">
        <v>3611</v>
      </c>
      <c r="F55" s="154" t="s">
        <v>28</v>
      </c>
      <c r="G55" s="154" t="s">
        <v>10</v>
      </c>
      <c r="H55" s="154"/>
      <c r="I55" s="324" t="s">
        <v>3606</v>
      </c>
      <c r="J55" s="343" t="str">
        <f ca="1">IF(F55="Head",CELL("contents",D55))</f>
        <v>Solomon, Vincent Modesto</v>
      </c>
      <c r="K55" s="15" t="s">
        <v>3607</v>
      </c>
      <c r="L55" s="15" t="s">
        <v>3608</v>
      </c>
      <c r="M55" s="154" t="s">
        <v>1238</v>
      </c>
      <c r="N55" s="154"/>
      <c r="O55" s="154" t="s">
        <v>3593</v>
      </c>
      <c r="P55" s="154" t="s">
        <v>3609</v>
      </c>
      <c r="Q55" s="344">
        <v>27079</v>
      </c>
      <c r="R55" s="345">
        <v>43</v>
      </c>
      <c r="S55" s="154" t="s">
        <v>10</v>
      </c>
      <c r="T55" s="154"/>
      <c r="U55" s="324" t="s">
        <v>3606</v>
      </c>
      <c r="V55" s="154" t="s">
        <v>722</v>
      </c>
      <c r="W55" s="154" t="s">
        <v>3611</v>
      </c>
      <c r="X55" s="154" t="s">
        <v>708</v>
      </c>
      <c r="Y55" s="154" t="s">
        <v>709</v>
      </c>
      <c r="Z55" s="154" t="s">
        <v>7275</v>
      </c>
      <c r="AA55" s="154" t="s">
        <v>724</v>
      </c>
      <c r="AB55" s="154" t="s">
        <v>711</v>
      </c>
      <c r="AC55" s="154"/>
      <c r="AD55" s="154" t="s">
        <v>712</v>
      </c>
      <c r="AE55" s="154" t="s">
        <v>1132</v>
      </c>
      <c r="AF55" s="154" t="s">
        <v>1096</v>
      </c>
      <c r="AG55" s="332"/>
      <c r="AH55" s="154" t="s">
        <v>1137</v>
      </c>
      <c r="AI55" s="154" t="s">
        <v>1101</v>
      </c>
      <c r="AJ55" s="347">
        <v>12</v>
      </c>
      <c r="AK55" s="348">
        <v>4</v>
      </c>
      <c r="AL55" s="349">
        <f>AK55/AJ55</f>
        <v>0.33333333333333331</v>
      </c>
      <c r="AM55" s="154" t="s">
        <v>1149</v>
      </c>
      <c r="AN55" s="154"/>
      <c r="AO55" s="154"/>
      <c r="AP55" s="154"/>
      <c r="AQ55" s="154"/>
      <c r="AR55" s="154"/>
      <c r="AS55" s="154"/>
      <c r="AT55" s="154"/>
      <c r="AU55" s="154"/>
      <c r="AV55" s="154"/>
      <c r="AW55" s="154"/>
      <c r="AX55" s="154"/>
      <c r="AY55" s="154"/>
      <c r="AZ55" s="154"/>
      <c r="BA55" s="154"/>
      <c r="BB55" s="154"/>
      <c r="BC55" s="154"/>
      <c r="BD55" s="350"/>
      <c r="BE55" s="350"/>
      <c r="BF55" s="154"/>
      <c r="BG55" s="154"/>
      <c r="BH55" s="154"/>
      <c r="BI55" s="154" t="s">
        <v>1095</v>
      </c>
      <c r="BJ55" s="154" t="s">
        <v>2929</v>
      </c>
      <c r="BK55" s="154" t="s">
        <v>1096</v>
      </c>
      <c r="BL55" s="154" t="s">
        <v>1230</v>
      </c>
      <c r="BM55" s="154" t="s">
        <v>2648</v>
      </c>
      <c r="BN55" s="367">
        <v>12</v>
      </c>
      <c r="BO55" s="348">
        <v>4</v>
      </c>
      <c r="BP55" s="360">
        <f>BO55/BN55</f>
        <v>0.33333333333333331</v>
      </c>
      <c r="BQ55" s="154" t="s">
        <v>1149</v>
      </c>
      <c r="BR55" s="154" t="s">
        <v>2930</v>
      </c>
      <c r="BS55" s="154" t="s">
        <v>2334</v>
      </c>
      <c r="BT55" s="154" t="s">
        <v>1247</v>
      </c>
      <c r="BU55" s="154" t="s">
        <v>3436</v>
      </c>
      <c r="BV55" s="350"/>
      <c r="BW55" s="154"/>
      <c r="BX55" s="350"/>
      <c r="BY55" s="154"/>
      <c r="BZ55" s="154"/>
      <c r="CA55" s="154"/>
      <c r="CB55" s="154"/>
      <c r="CC55" s="154"/>
      <c r="CD55" s="516"/>
      <c r="CE55" s="517"/>
      <c r="CF55" s="154"/>
      <c r="CG55" s="154"/>
      <c r="CH55" s="154"/>
      <c r="CI55" s="154"/>
      <c r="CJ55" s="154"/>
      <c r="CK55" s="154"/>
      <c r="CL55" s="154"/>
      <c r="CM55" s="154"/>
      <c r="CN55" s="154"/>
      <c r="CO55" s="154"/>
      <c r="CP55" s="350"/>
      <c r="CQ55" s="154"/>
      <c r="CR55" s="154"/>
      <c r="CS55" s="434"/>
      <c r="CT55" s="154"/>
      <c r="CU55" s="154"/>
      <c r="CV55" s="154"/>
      <c r="CW55" s="154"/>
      <c r="CX55" s="154"/>
      <c r="CY55" s="358"/>
      <c r="CZ55" s="154"/>
      <c r="DA55" s="154"/>
      <c r="DB55" s="154"/>
      <c r="DC55" s="359"/>
      <c r="DD55" s="154"/>
      <c r="DE55" s="154"/>
      <c r="DF55" s="154"/>
      <c r="DG55" s="154"/>
      <c r="DH55" s="154"/>
      <c r="DI55" s="154"/>
      <c r="DJ55" s="154"/>
      <c r="DK55" s="154"/>
      <c r="DL55" s="435"/>
      <c r="DM55" s="154"/>
      <c r="DN55" s="154"/>
      <c r="DO55" s="154"/>
      <c r="DP55" s="154"/>
      <c r="DQ55" s="356"/>
      <c r="DR55" s="154"/>
      <c r="DS55" s="154"/>
      <c r="DT55" s="154"/>
      <c r="DU55" s="358"/>
      <c r="DV55" s="358"/>
      <c r="DW55" s="154"/>
      <c r="DX55" s="154"/>
      <c r="DY55" s="154"/>
      <c r="DZ55" s="154"/>
      <c r="EA55" s="154"/>
      <c r="EB55" s="154"/>
      <c r="EC55" s="154"/>
      <c r="ED55" s="154"/>
      <c r="EE55" s="154"/>
      <c r="EF55" s="154"/>
      <c r="EG55" s="154"/>
      <c r="EH55" s="154"/>
      <c r="EI55" s="154"/>
      <c r="EJ55" s="154"/>
      <c r="EK55" s="154"/>
      <c r="EL55" s="154"/>
      <c r="EM55" s="154"/>
      <c r="EN55" s="343"/>
      <c r="EO55" s="154"/>
      <c r="EP55" s="154"/>
      <c r="EQ55" s="154"/>
      <c r="ER55" s="154"/>
      <c r="ES55" s="154"/>
      <c r="ET55" s="350"/>
      <c r="EU55" s="154"/>
      <c r="EV55" s="154"/>
      <c r="EW55" s="154"/>
      <c r="EX55" s="154" t="s">
        <v>478</v>
      </c>
      <c r="EY55" s="154">
        <v>1</v>
      </c>
      <c r="EZ55" s="154"/>
      <c r="FA55" s="154"/>
      <c r="FB55" s="154"/>
      <c r="FC55" s="350"/>
      <c r="FD55" s="350"/>
      <c r="FE55" s="350"/>
      <c r="FF55" s="154" t="s">
        <v>1602</v>
      </c>
      <c r="FG55" s="154" t="s">
        <v>1660</v>
      </c>
      <c r="FH55" s="154" t="s">
        <v>1214</v>
      </c>
      <c r="FI55" s="154"/>
      <c r="FJ55" s="154"/>
      <c r="FK55" s="154"/>
      <c r="FL55" s="154"/>
      <c r="FM55" s="154"/>
      <c r="FN55" s="154"/>
      <c r="FO55" s="154"/>
      <c r="FP55" s="154"/>
      <c r="FQ55" s="154"/>
      <c r="FR55" s="154"/>
      <c r="FS55" s="354"/>
      <c r="FT55" s="345"/>
      <c r="FU55" s="154" t="s">
        <v>1207</v>
      </c>
      <c r="FV55" s="350">
        <v>2300</v>
      </c>
      <c r="FW55" s="350">
        <f>FV55*12</f>
        <v>27600</v>
      </c>
      <c r="FX55" s="154" t="s">
        <v>1791</v>
      </c>
      <c r="FY55" s="154" t="s">
        <v>1008</v>
      </c>
      <c r="FZ55" s="154"/>
      <c r="GA55" s="154" t="s">
        <v>2335</v>
      </c>
      <c r="GB55" s="154"/>
      <c r="GC55" s="154" t="s">
        <v>1835</v>
      </c>
      <c r="GD55" s="355" t="s">
        <v>1217</v>
      </c>
      <c r="GE55" s="154"/>
      <c r="GF55" s="154"/>
      <c r="GG55" s="154"/>
      <c r="GH55" s="154"/>
      <c r="GI55" s="154"/>
      <c r="GJ55" s="154"/>
      <c r="GK55" s="154"/>
      <c r="GL55" s="154"/>
      <c r="GM55" s="154"/>
      <c r="GN55" s="154"/>
      <c r="GO55" s="154"/>
      <c r="GP55" s="154"/>
      <c r="GQ55" s="154"/>
      <c r="GR55" s="154"/>
      <c r="GS55" s="154"/>
      <c r="GT55" s="154"/>
      <c r="GU55" s="154"/>
      <c r="GV55" s="154"/>
      <c r="GW55" s="154"/>
      <c r="GX55" s="154"/>
      <c r="GY55" s="154" t="s">
        <v>1214</v>
      </c>
      <c r="GZ55" s="154"/>
      <c r="HA55" s="154"/>
      <c r="HB55" s="154" t="s">
        <v>1698</v>
      </c>
      <c r="HC55" s="154"/>
      <c r="HD55" s="154"/>
      <c r="HE55" s="154"/>
      <c r="HF55" s="154"/>
      <c r="HG55" s="154"/>
      <c r="HH55" s="154"/>
      <c r="HI55" s="154"/>
      <c r="HJ55" s="154"/>
      <c r="HK55" s="154"/>
      <c r="HL55" s="154"/>
      <c r="HM55" s="154"/>
      <c r="HN55" s="154"/>
      <c r="HO55" s="154"/>
      <c r="HP55" s="154"/>
      <c r="HQ55" s="154"/>
      <c r="HR55" s="154" t="s">
        <v>1207</v>
      </c>
      <c r="HS55" s="154"/>
      <c r="HT55" s="154"/>
      <c r="HU55" s="154"/>
      <c r="HV55" s="154" t="s">
        <v>3605</v>
      </c>
      <c r="HW55" s="154" t="s">
        <v>10</v>
      </c>
      <c r="HX55" s="154" t="s">
        <v>478</v>
      </c>
      <c r="HY55" s="154" t="s">
        <v>3611</v>
      </c>
      <c r="HZ55" s="154" t="s">
        <v>1835</v>
      </c>
      <c r="IA55" s="154" t="s">
        <v>2639</v>
      </c>
      <c r="IB55" s="154" t="s">
        <v>3612</v>
      </c>
      <c r="IC55" s="154">
        <v>2008</v>
      </c>
      <c r="ID55" s="154" t="s">
        <v>3612</v>
      </c>
      <c r="IE55" s="344">
        <v>27079</v>
      </c>
      <c r="IF55" s="154" t="s">
        <v>478</v>
      </c>
      <c r="IG55" s="154" t="s">
        <v>1882</v>
      </c>
      <c r="IH55" s="154" t="s">
        <v>2716</v>
      </c>
      <c r="II55" s="154" t="s">
        <v>1879</v>
      </c>
      <c r="IJ55" s="154"/>
      <c r="IK55" s="154" t="s">
        <v>1208</v>
      </c>
      <c r="IL55" s="154"/>
      <c r="IM55" s="154" t="s">
        <v>3613</v>
      </c>
      <c r="IN55" s="154"/>
      <c r="IO55" s="154" t="s">
        <v>3606</v>
      </c>
      <c r="IP55" s="154"/>
      <c r="IQ55" s="154" t="s">
        <v>1880</v>
      </c>
      <c r="IR55" s="154" t="s">
        <v>1901</v>
      </c>
      <c r="IS55" s="154"/>
      <c r="IT55" s="350">
        <v>2500</v>
      </c>
      <c r="IU55" s="154"/>
      <c r="IV55" s="154"/>
    </row>
    <row r="56" spans="1:256" s="337" customFormat="1" ht="12.75" customHeight="1">
      <c r="C56" s="132"/>
      <c r="D56" s="343" t="s">
        <v>2939</v>
      </c>
      <c r="E56" s="154" t="s">
        <v>3626</v>
      </c>
      <c r="F56" s="154" t="s">
        <v>20</v>
      </c>
      <c r="G56" s="154" t="s">
        <v>18</v>
      </c>
      <c r="H56" s="154"/>
      <c r="I56" s="324"/>
      <c r="J56" s="343" t="s">
        <v>2940</v>
      </c>
      <c r="K56" s="154"/>
      <c r="L56" s="154"/>
      <c r="M56" s="154"/>
      <c r="N56" s="154"/>
      <c r="O56" s="154"/>
      <c r="P56" s="154" t="s">
        <v>2941</v>
      </c>
      <c r="Q56" s="344">
        <v>18284</v>
      </c>
      <c r="R56" s="345">
        <v>66</v>
      </c>
      <c r="S56" s="154" t="s">
        <v>10</v>
      </c>
      <c r="T56" s="154"/>
      <c r="U56" s="324" t="s">
        <v>2942</v>
      </c>
      <c r="V56" s="154" t="s">
        <v>707</v>
      </c>
      <c r="W56" s="154" t="s">
        <v>3626</v>
      </c>
      <c r="X56" s="154" t="s">
        <v>708</v>
      </c>
      <c r="Y56" s="154" t="s">
        <v>759</v>
      </c>
      <c r="Z56" s="154" t="s">
        <v>710</v>
      </c>
      <c r="AA56" s="154" t="s">
        <v>724</v>
      </c>
      <c r="AB56" s="154" t="s">
        <v>711</v>
      </c>
      <c r="AC56" s="154"/>
      <c r="AD56" s="154" t="s">
        <v>712</v>
      </c>
      <c r="AE56" s="154" t="s">
        <v>1132</v>
      </c>
      <c r="AF56" s="154" t="s">
        <v>1096</v>
      </c>
      <c r="AG56" s="332"/>
      <c r="AH56" s="332"/>
      <c r="AI56" s="154" t="s">
        <v>1101</v>
      </c>
      <c r="AJ56" s="347"/>
      <c r="AK56" s="348"/>
      <c r="AL56" s="349"/>
      <c r="AM56" s="154"/>
      <c r="AN56" s="154"/>
      <c r="AO56" s="154"/>
      <c r="AP56" s="154"/>
      <c r="AQ56" s="154"/>
      <c r="AR56" s="154"/>
      <c r="AS56" s="154"/>
      <c r="AT56" s="154"/>
      <c r="AU56" s="154"/>
      <c r="AV56" s="154"/>
      <c r="AW56" s="154"/>
      <c r="AX56" s="154"/>
      <c r="AY56" s="154"/>
      <c r="AZ56" s="154"/>
      <c r="BA56" s="154"/>
      <c r="BB56" s="154"/>
      <c r="BC56" s="154"/>
      <c r="BD56" s="350"/>
      <c r="BE56" s="350"/>
      <c r="BF56" s="154"/>
      <c r="BG56" s="154"/>
      <c r="BH56" s="154"/>
      <c r="BI56" s="332"/>
      <c r="BJ56" s="332"/>
      <c r="BK56" s="332" t="s">
        <v>1096</v>
      </c>
      <c r="BL56" s="332"/>
      <c r="BM56" s="154"/>
      <c r="BN56" s="367"/>
      <c r="BO56" s="348"/>
      <c r="BP56" s="360"/>
      <c r="BQ56" s="154"/>
      <c r="BR56" s="154"/>
      <c r="BS56" s="154"/>
      <c r="BT56" s="154"/>
      <c r="BU56" s="154"/>
      <c r="BV56" s="350"/>
      <c r="BW56" s="154"/>
      <c r="BX56" s="350"/>
      <c r="BY56" s="154"/>
      <c r="BZ56" s="154"/>
      <c r="CA56" s="154"/>
      <c r="CB56" s="154"/>
      <c r="CC56" s="154"/>
      <c r="CD56" s="516"/>
      <c r="CE56" s="517"/>
      <c r="CF56" s="154"/>
      <c r="CG56" s="154"/>
      <c r="CH56" s="154"/>
      <c r="CI56" s="154"/>
      <c r="CJ56" s="154"/>
      <c r="CK56" s="154"/>
      <c r="CL56" s="154"/>
      <c r="CM56" s="154"/>
      <c r="CN56" s="154"/>
      <c r="CO56" s="154"/>
      <c r="CP56" s="350"/>
      <c r="CQ56" s="154"/>
      <c r="CR56" s="154"/>
      <c r="CS56" s="434"/>
      <c r="CT56" s="154"/>
      <c r="CU56" s="154"/>
      <c r="CV56" s="154"/>
      <c r="CW56" s="154"/>
      <c r="CX56" s="154"/>
      <c r="CY56" s="358"/>
      <c r="CZ56" s="154"/>
      <c r="DA56" s="154"/>
      <c r="DB56" s="154"/>
      <c r="DC56" s="359"/>
      <c r="DD56" s="154"/>
      <c r="DE56" s="154"/>
      <c r="DF56" s="154"/>
      <c r="DG56" s="154"/>
      <c r="DH56" s="154"/>
      <c r="DI56" s="154"/>
      <c r="DJ56" s="154"/>
      <c r="DK56" s="154"/>
      <c r="DL56" s="435"/>
      <c r="DM56" s="154"/>
      <c r="DN56" s="154"/>
      <c r="DO56" s="154"/>
      <c r="DP56" s="154"/>
      <c r="DQ56" s="356"/>
      <c r="DR56" s="154"/>
      <c r="DS56" s="154"/>
      <c r="DT56" s="154"/>
      <c r="DU56" s="358"/>
      <c r="DV56" s="358"/>
      <c r="DW56" s="154"/>
      <c r="DX56" s="154"/>
      <c r="DY56" s="154"/>
      <c r="DZ56" s="154"/>
      <c r="EA56" s="154"/>
      <c r="EB56" s="154"/>
      <c r="EC56" s="154"/>
      <c r="ED56" s="154"/>
      <c r="EE56" s="154"/>
      <c r="EF56" s="154"/>
      <c r="EG56" s="154"/>
      <c r="EH56" s="154"/>
      <c r="EI56" s="154"/>
      <c r="EJ56" s="154"/>
      <c r="EK56" s="154"/>
      <c r="EL56" s="154"/>
      <c r="EM56" s="154"/>
      <c r="EN56" s="343"/>
      <c r="EO56" s="154"/>
      <c r="EP56" s="154"/>
      <c r="EQ56" s="154"/>
      <c r="ER56" s="154"/>
      <c r="ES56" s="154"/>
      <c r="ET56" s="350"/>
      <c r="EU56" s="154"/>
      <c r="EV56" s="154"/>
      <c r="EW56" s="154"/>
      <c r="EX56" s="154" t="s">
        <v>478</v>
      </c>
      <c r="EY56" s="154">
        <v>1</v>
      </c>
      <c r="EZ56" s="154" t="s">
        <v>2943</v>
      </c>
      <c r="FA56" s="154"/>
      <c r="FB56" s="154" t="s">
        <v>2944</v>
      </c>
      <c r="FC56" s="350"/>
      <c r="FD56" s="350"/>
      <c r="FE56" s="350"/>
      <c r="FF56" s="154"/>
      <c r="FG56" s="154"/>
      <c r="FH56" s="154" t="s">
        <v>1214</v>
      </c>
      <c r="FI56" s="154"/>
      <c r="FJ56" s="154"/>
      <c r="FK56" s="154"/>
      <c r="FL56" s="154"/>
      <c r="FM56" s="154"/>
      <c r="FN56" s="154"/>
      <c r="FO56" s="154"/>
      <c r="FP56" s="154"/>
      <c r="FQ56" s="154"/>
      <c r="FR56" s="154"/>
      <c r="FS56" s="354"/>
      <c r="FT56" s="345"/>
      <c r="FU56" s="154"/>
      <c r="FV56" s="350"/>
      <c r="FW56" s="350"/>
      <c r="FX56" s="154"/>
      <c r="FY56" s="154"/>
      <c r="FZ56" s="154"/>
      <c r="GA56" s="154"/>
      <c r="GB56" s="154"/>
      <c r="GC56" s="154"/>
      <c r="GD56" s="355"/>
      <c r="GE56" s="154"/>
      <c r="GF56" s="154"/>
      <c r="GG56" s="154"/>
      <c r="GH56" s="154"/>
      <c r="GI56" s="154"/>
      <c r="GJ56" s="154"/>
      <c r="GK56" s="154"/>
      <c r="GL56" s="154"/>
      <c r="GM56" s="154"/>
      <c r="GN56" s="154"/>
      <c r="GO56" s="154"/>
      <c r="GP56" s="154"/>
      <c r="GQ56" s="154"/>
      <c r="GR56" s="154"/>
      <c r="GS56" s="154"/>
      <c r="GT56" s="154"/>
      <c r="GU56" s="154"/>
      <c r="GV56" s="154"/>
      <c r="GW56" s="154"/>
      <c r="GX56" s="154"/>
      <c r="GY56" s="154"/>
      <c r="GZ56" s="154"/>
      <c r="HA56" s="154"/>
      <c r="HB56" s="154"/>
      <c r="HC56" s="154"/>
      <c r="HD56" s="154"/>
      <c r="HE56" s="154"/>
      <c r="HF56" s="154"/>
      <c r="HG56" s="154"/>
      <c r="HH56" s="154"/>
      <c r="HI56" s="154"/>
      <c r="HJ56" s="154"/>
      <c r="HK56" s="154"/>
      <c r="HL56" s="154"/>
      <c r="HM56" s="154"/>
      <c r="HN56" s="154"/>
      <c r="HO56" s="154"/>
      <c r="HP56" s="154"/>
      <c r="HQ56" s="154"/>
      <c r="HR56" s="154" t="s">
        <v>1207</v>
      </c>
      <c r="HS56" s="154"/>
      <c r="HT56" s="154">
        <v>2</v>
      </c>
      <c r="HU56" s="154">
        <v>1</v>
      </c>
      <c r="HV56" s="154"/>
      <c r="HW56" s="154"/>
      <c r="HX56" s="154"/>
      <c r="HY56" s="154"/>
      <c r="HZ56" s="154"/>
      <c r="IA56" s="154"/>
      <c r="IB56" s="154"/>
      <c r="IC56" s="154"/>
      <c r="ID56" s="154"/>
      <c r="IE56" s="344"/>
      <c r="IF56" s="154"/>
      <c r="IG56" s="154"/>
      <c r="IH56" s="154"/>
      <c r="II56" s="154"/>
      <c r="IJ56" s="154"/>
      <c r="IK56" s="154"/>
      <c r="IL56" s="154"/>
      <c r="IM56" s="154"/>
      <c r="IN56" s="154"/>
      <c r="IO56" s="154"/>
      <c r="IP56" s="154"/>
      <c r="IQ56" s="154"/>
      <c r="IR56" s="154"/>
      <c r="IS56" s="154"/>
      <c r="IT56" s="350"/>
      <c r="IU56" s="154"/>
      <c r="IV56" s="154"/>
    </row>
    <row r="57" spans="1:256" s="337" customFormat="1" ht="12.75" customHeight="1">
      <c r="C57" s="133"/>
      <c r="D57" s="343" t="s">
        <v>2946</v>
      </c>
      <c r="E57" s="154" t="s">
        <v>2947</v>
      </c>
      <c r="F57" s="154"/>
      <c r="G57" s="154" t="s">
        <v>10</v>
      </c>
      <c r="H57" s="154"/>
      <c r="I57" s="324" t="s">
        <v>2948</v>
      </c>
      <c r="J57" s="343" t="s">
        <v>2946</v>
      </c>
      <c r="K57" s="154"/>
      <c r="L57" s="154"/>
      <c r="M57" s="154"/>
      <c r="N57" s="154"/>
      <c r="O57" s="154"/>
      <c r="P57" s="343" t="s">
        <v>2949</v>
      </c>
      <c r="Q57" s="344">
        <v>20939</v>
      </c>
      <c r="R57" s="345">
        <v>59</v>
      </c>
      <c r="S57" s="154" t="s">
        <v>10</v>
      </c>
      <c r="T57" s="154"/>
      <c r="U57" s="324" t="s">
        <v>2948</v>
      </c>
      <c r="V57" s="154" t="s">
        <v>707</v>
      </c>
      <c r="W57" s="154" t="s">
        <v>2947</v>
      </c>
      <c r="X57" s="154"/>
      <c r="Y57" s="154" t="s">
        <v>709</v>
      </c>
      <c r="Z57" s="154"/>
      <c r="AA57" s="154"/>
      <c r="AB57" s="154"/>
      <c r="AC57" s="154"/>
      <c r="AD57" s="154"/>
      <c r="AE57" s="332"/>
      <c r="AF57" s="332" t="s">
        <v>1096</v>
      </c>
      <c r="AG57" s="332"/>
      <c r="AH57" s="154" t="s">
        <v>1137</v>
      </c>
      <c r="AI57" s="154"/>
      <c r="AJ57" s="347"/>
      <c r="AK57" s="348"/>
      <c r="AL57" s="349"/>
      <c r="AM57" s="154"/>
      <c r="AN57" s="154"/>
      <c r="AO57" s="154"/>
      <c r="AP57" s="154"/>
      <c r="AQ57" s="154"/>
      <c r="AR57" s="154"/>
      <c r="AS57" s="154"/>
      <c r="AT57" s="154"/>
      <c r="AU57" s="154"/>
      <c r="AV57" s="154"/>
      <c r="AW57" s="154"/>
      <c r="AX57" s="154"/>
      <c r="AY57" s="154"/>
      <c r="AZ57" s="154"/>
      <c r="BA57" s="154"/>
      <c r="BB57" s="154"/>
      <c r="BC57" s="154"/>
      <c r="BD57" s="350"/>
      <c r="BE57" s="350"/>
      <c r="BF57" s="154"/>
      <c r="BG57" s="154"/>
      <c r="BH57" s="154"/>
      <c r="BI57" s="332"/>
      <c r="BJ57" s="332"/>
      <c r="BK57" s="154" t="s">
        <v>1100</v>
      </c>
      <c r="BL57" s="332"/>
      <c r="BM57" s="154"/>
      <c r="BN57" s="367"/>
      <c r="BO57" s="348"/>
      <c r="BP57" s="360"/>
      <c r="BQ57" s="154"/>
      <c r="BR57" s="154"/>
      <c r="BS57" s="154"/>
      <c r="BT57" s="154"/>
      <c r="BU57" s="154"/>
      <c r="BV57" s="350"/>
      <c r="BW57" s="154"/>
      <c r="BX57" s="350"/>
      <c r="BY57" s="154"/>
      <c r="BZ57" s="154"/>
      <c r="CA57" s="154"/>
      <c r="CB57" s="154"/>
      <c r="CC57" s="154"/>
      <c r="CD57" s="516"/>
      <c r="CE57" s="517"/>
      <c r="CF57" s="154"/>
      <c r="CG57" s="154"/>
      <c r="CH57" s="154"/>
      <c r="CI57" s="154"/>
      <c r="CJ57" s="154"/>
      <c r="CK57" s="154"/>
      <c r="CL57" s="154"/>
      <c r="CM57" s="154"/>
      <c r="CN57" s="154"/>
      <c r="CO57" s="154"/>
      <c r="CP57" s="350"/>
      <c r="CQ57" s="154"/>
      <c r="CR57" s="154"/>
      <c r="CS57" s="434"/>
      <c r="CT57" s="154"/>
      <c r="CU57" s="154"/>
      <c r="CV57" s="154"/>
      <c r="CW57" s="154"/>
      <c r="CX57" s="154"/>
      <c r="CY57" s="358"/>
      <c r="CZ57" s="154"/>
      <c r="DA57" s="154"/>
      <c r="DB57" s="154"/>
      <c r="DC57" s="359"/>
      <c r="DD57" s="154"/>
      <c r="DE57" s="154"/>
      <c r="DF57" s="154"/>
      <c r="DG57" s="154"/>
      <c r="DH57" s="154"/>
      <c r="DI57" s="154"/>
      <c r="DJ57" s="154"/>
      <c r="DK57" s="154"/>
      <c r="DL57" s="435"/>
      <c r="DM57" s="154"/>
      <c r="DN57" s="154"/>
      <c r="DO57" s="154"/>
      <c r="DP57" s="154"/>
      <c r="DQ57" s="356"/>
      <c r="DR57" s="154"/>
      <c r="DS57" s="154"/>
      <c r="DT57" s="154"/>
      <c r="DU57" s="358"/>
      <c r="DV57" s="358"/>
      <c r="DW57" s="154"/>
      <c r="DX57" s="154"/>
      <c r="DY57" s="154"/>
      <c r="DZ57" s="154"/>
      <c r="EA57" s="154"/>
      <c r="EB57" s="154"/>
      <c r="EC57" s="154"/>
      <c r="ED57" s="154"/>
      <c r="EE57" s="154"/>
      <c r="EF57" s="154"/>
      <c r="EG57" s="154"/>
      <c r="EH57" s="154"/>
      <c r="EI57" s="154"/>
      <c r="EJ57" s="154"/>
      <c r="EK57" s="154"/>
      <c r="EL57" s="154"/>
      <c r="EM57" s="154"/>
      <c r="EN57" s="343"/>
      <c r="EO57" s="154"/>
      <c r="EP57" s="154"/>
      <c r="EQ57" s="154"/>
      <c r="ER57" s="154"/>
      <c r="ES57" s="154"/>
      <c r="ET57" s="350"/>
      <c r="EU57" s="154"/>
      <c r="EV57" s="154"/>
      <c r="EW57" s="154"/>
      <c r="EX57" s="154" t="s">
        <v>478</v>
      </c>
      <c r="EY57" s="154">
        <v>1</v>
      </c>
      <c r="EZ57" s="154"/>
      <c r="FA57" s="154"/>
      <c r="FB57" s="154"/>
      <c r="FC57" s="350">
        <v>600</v>
      </c>
      <c r="FD57" s="350"/>
      <c r="FE57" s="350"/>
      <c r="FF57" s="154"/>
      <c r="FG57" s="154"/>
      <c r="FH57" s="154"/>
      <c r="FI57" s="154"/>
      <c r="FJ57" s="154"/>
      <c r="FK57" s="154"/>
      <c r="FL57" s="154"/>
      <c r="FM57" s="154"/>
      <c r="FN57" s="154"/>
      <c r="FO57" s="154"/>
      <c r="FP57" s="154"/>
      <c r="FQ57" s="154"/>
      <c r="FR57" s="154"/>
      <c r="FS57" s="354"/>
      <c r="FT57" s="345"/>
      <c r="FU57" s="154"/>
      <c r="FV57" s="350"/>
      <c r="FW57" s="350"/>
      <c r="FX57" s="154"/>
      <c r="FY57" s="154"/>
      <c r="FZ57" s="154"/>
      <c r="GA57" s="154"/>
      <c r="GB57" s="154"/>
      <c r="GC57" s="154"/>
      <c r="GD57" s="355"/>
      <c r="GE57" s="154"/>
      <c r="GF57" s="154"/>
      <c r="GG57" s="154"/>
      <c r="GH57" s="154"/>
      <c r="GI57" s="154"/>
      <c r="GJ57" s="154"/>
      <c r="GK57" s="154"/>
      <c r="GL57" s="154"/>
      <c r="GM57" s="154"/>
      <c r="GN57" s="154"/>
      <c r="GO57" s="154"/>
      <c r="GP57" s="154"/>
      <c r="GQ57" s="154"/>
      <c r="GR57" s="154"/>
      <c r="GS57" s="154"/>
      <c r="GT57" s="154"/>
      <c r="GU57" s="154"/>
      <c r="GV57" s="154"/>
      <c r="GW57" s="154"/>
      <c r="GX57" s="154"/>
      <c r="GY57" s="154" t="s">
        <v>1207</v>
      </c>
      <c r="GZ57" s="154" t="s">
        <v>2950</v>
      </c>
      <c r="HA57" s="154"/>
      <c r="HB57" s="154"/>
      <c r="HC57" s="154"/>
      <c r="HD57" s="154"/>
      <c r="HE57" s="154"/>
      <c r="HF57" s="154"/>
      <c r="HG57" s="154"/>
      <c r="HH57" s="154"/>
      <c r="HI57" s="154"/>
      <c r="HJ57" s="154"/>
      <c r="HK57" s="154"/>
      <c r="HL57" s="154"/>
      <c r="HM57" s="154"/>
      <c r="HN57" s="154"/>
      <c r="HO57" s="154"/>
      <c r="HP57" s="154"/>
      <c r="HQ57" s="154"/>
      <c r="HR57" s="154"/>
      <c r="HS57" s="154"/>
      <c r="HT57" s="154" t="s">
        <v>2951</v>
      </c>
      <c r="HU57" s="154"/>
      <c r="HV57" s="154" t="s">
        <v>2946</v>
      </c>
      <c r="HW57" s="154" t="s">
        <v>10</v>
      </c>
      <c r="HX57" s="154" t="s">
        <v>478</v>
      </c>
      <c r="HY57" s="154"/>
      <c r="HZ57" s="154" t="s">
        <v>1835</v>
      </c>
      <c r="IA57" s="154" t="s">
        <v>2639</v>
      </c>
      <c r="IB57" s="154"/>
      <c r="IC57" s="154"/>
      <c r="ID57" s="154"/>
      <c r="IE57" s="344"/>
      <c r="IF57" s="154"/>
      <c r="IG57" s="154" t="s">
        <v>4349</v>
      </c>
      <c r="IH57" s="154" t="s">
        <v>2716</v>
      </c>
      <c r="II57" s="154"/>
      <c r="IJ57" s="154"/>
      <c r="IK57" s="154"/>
      <c r="IL57" s="154"/>
      <c r="IM57" s="154"/>
      <c r="IN57" s="154"/>
      <c r="IO57" s="154"/>
      <c r="IP57" s="154"/>
      <c r="IQ57" s="154"/>
      <c r="IR57" s="154"/>
      <c r="IS57" s="154"/>
      <c r="IT57" s="350"/>
      <c r="IU57" s="154"/>
      <c r="IV57" s="154"/>
    </row>
    <row r="58" spans="1:256" s="337" customFormat="1" ht="12.75" customHeight="1">
      <c r="C58" s="133" t="s">
        <v>2952</v>
      </c>
      <c r="D58" s="343" t="s">
        <v>3450</v>
      </c>
      <c r="E58" s="154" t="s">
        <v>3627</v>
      </c>
      <c r="F58" s="154" t="s">
        <v>28</v>
      </c>
      <c r="G58" s="154" t="s">
        <v>18</v>
      </c>
      <c r="H58" s="154"/>
      <c r="I58" s="324" t="s">
        <v>3451</v>
      </c>
      <c r="J58" s="343" t="str">
        <f ca="1">IF(F58="Head",CELL("contents",D58))</f>
        <v>Jose, Rowena Castro</v>
      </c>
      <c r="K58" s="15" t="s">
        <v>3445</v>
      </c>
      <c r="L58" s="15" t="s">
        <v>2429</v>
      </c>
      <c r="M58" s="154" t="s">
        <v>1238</v>
      </c>
      <c r="N58" s="154"/>
      <c r="O58" s="154" t="s">
        <v>3446</v>
      </c>
      <c r="P58" s="343"/>
      <c r="Q58" s="344"/>
      <c r="R58" s="345"/>
      <c r="S58" s="154"/>
      <c r="T58" s="154"/>
      <c r="U58" s="324"/>
      <c r="V58" s="154"/>
      <c r="W58" s="154"/>
      <c r="X58" s="154"/>
      <c r="Y58" s="154"/>
      <c r="Z58" s="154"/>
      <c r="AA58" s="154"/>
      <c r="AB58" s="154"/>
      <c r="AC58" s="154"/>
      <c r="AD58" s="154"/>
      <c r="AE58" s="154" t="s">
        <v>1095</v>
      </c>
      <c r="AF58" s="154" t="s">
        <v>1096</v>
      </c>
      <c r="AG58" s="154" t="s">
        <v>3294</v>
      </c>
      <c r="AH58" s="332"/>
      <c r="AI58" s="154" t="s">
        <v>1101</v>
      </c>
      <c r="AJ58" s="347">
        <v>9.75</v>
      </c>
      <c r="AK58" s="348">
        <v>4.8</v>
      </c>
      <c r="AL58" s="349">
        <f>AK58/AJ58</f>
        <v>0.49230769230769228</v>
      </c>
      <c r="AM58" s="154" t="s">
        <v>1149</v>
      </c>
      <c r="AN58" s="154"/>
      <c r="AO58" s="154"/>
      <c r="AP58" s="154"/>
      <c r="AQ58" s="154"/>
      <c r="AR58" s="154"/>
      <c r="AS58" s="154"/>
      <c r="AT58" s="154"/>
      <c r="AU58" s="154"/>
      <c r="AV58" s="154"/>
      <c r="AW58" s="154"/>
      <c r="AX58" s="154"/>
      <c r="AY58" s="154"/>
      <c r="AZ58" s="154"/>
      <c r="BA58" s="154"/>
      <c r="BB58" s="154"/>
      <c r="BC58" s="154"/>
      <c r="BD58" s="350"/>
      <c r="BE58" s="350"/>
      <c r="BF58" s="154"/>
      <c r="BG58" s="154"/>
      <c r="BH58" s="154"/>
      <c r="BI58" s="154" t="s">
        <v>1095</v>
      </c>
      <c r="BJ58" s="154" t="s">
        <v>3452</v>
      </c>
      <c r="BK58" s="154" t="s">
        <v>1096</v>
      </c>
      <c r="BL58" s="154" t="s">
        <v>1230</v>
      </c>
      <c r="BM58" s="154" t="s">
        <v>1252</v>
      </c>
      <c r="BN58" s="367">
        <v>19.5</v>
      </c>
      <c r="BO58" s="348">
        <v>9.6</v>
      </c>
      <c r="BP58" s="360">
        <f>BO58/BN58</f>
        <v>0.49230769230769228</v>
      </c>
      <c r="BQ58" s="154" t="s">
        <v>1149</v>
      </c>
      <c r="BR58" s="154" t="s">
        <v>2904</v>
      </c>
      <c r="BS58" s="154" t="s">
        <v>1249</v>
      </c>
      <c r="BT58" s="154" t="s">
        <v>1247</v>
      </c>
      <c r="BU58" s="154">
        <v>1987</v>
      </c>
      <c r="BV58" s="350">
        <v>60000</v>
      </c>
      <c r="BW58" s="154" t="s">
        <v>1207</v>
      </c>
      <c r="BX58" s="350" t="s">
        <v>3453</v>
      </c>
      <c r="BY58" s="154"/>
      <c r="BZ58" s="154"/>
      <c r="CA58" s="154"/>
      <c r="CB58" s="154"/>
      <c r="CC58" s="154"/>
      <c r="CD58" s="516"/>
      <c r="CE58" s="517"/>
      <c r="CF58" s="154"/>
      <c r="CG58" s="154"/>
      <c r="CH58" s="154"/>
      <c r="CI58" s="154"/>
      <c r="CJ58" s="154"/>
      <c r="CK58" s="154"/>
      <c r="CL58" s="154"/>
      <c r="CM58" s="154"/>
      <c r="CN58" s="154"/>
      <c r="CO58" s="154"/>
      <c r="CP58" s="350"/>
      <c r="CQ58" s="154"/>
      <c r="CR58" s="154"/>
      <c r="CS58" s="434"/>
      <c r="CT58" s="154"/>
      <c r="CU58" s="154"/>
      <c r="CV58" s="154"/>
      <c r="CW58" s="154"/>
      <c r="CX58" s="154"/>
      <c r="CY58" s="358"/>
      <c r="CZ58" s="154"/>
      <c r="DA58" s="154"/>
      <c r="DB58" s="154"/>
      <c r="DC58" s="359"/>
      <c r="DD58" s="154"/>
      <c r="DE58" s="154"/>
      <c r="DF58" s="154"/>
      <c r="DG58" s="154"/>
      <c r="DH58" s="154"/>
      <c r="DI58" s="154"/>
      <c r="DJ58" s="154"/>
      <c r="DK58" s="154"/>
      <c r="DL58" s="435"/>
      <c r="DM58" s="154"/>
      <c r="DN58" s="154"/>
      <c r="DO58" s="154"/>
      <c r="DP58" s="154"/>
      <c r="DQ58" s="356"/>
      <c r="DR58" s="154"/>
      <c r="DS58" s="154"/>
      <c r="DT58" s="154"/>
      <c r="DU58" s="358"/>
      <c r="DV58" s="358"/>
      <c r="DW58" s="154"/>
      <c r="DX58" s="154"/>
      <c r="DY58" s="154"/>
      <c r="DZ58" s="154"/>
      <c r="EA58" s="154"/>
      <c r="EB58" s="154"/>
      <c r="EC58" s="154"/>
      <c r="ED58" s="154"/>
      <c r="EE58" s="154"/>
      <c r="EF58" s="154"/>
      <c r="EG58" s="154"/>
      <c r="EH58" s="154"/>
      <c r="EI58" s="154"/>
      <c r="EJ58" s="154"/>
      <c r="EK58" s="154"/>
      <c r="EL58" s="154"/>
      <c r="EM58" s="154"/>
      <c r="EN58" s="343"/>
      <c r="EO58" s="154"/>
      <c r="EP58" s="154"/>
      <c r="EQ58" s="154"/>
      <c r="ER58" s="154"/>
      <c r="ES58" s="154"/>
      <c r="ET58" s="350"/>
      <c r="EU58" s="154"/>
      <c r="EV58" s="154"/>
      <c r="EW58" s="154"/>
      <c r="EX58" s="154" t="s">
        <v>478</v>
      </c>
      <c r="EY58" s="154">
        <v>1</v>
      </c>
      <c r="EZ58" s="154"/>
      <c r="FA58" s="154"/>
      <c r="FB58" s="154"/>
      <c r="FC58" s="350"/>
      <c r="FD58" s="350"/>
      <c r="FE58" s="350"/>
      <c r="FF58" s="154" t="s">
        <v>1602</v>
      </c>
      <c r="FG58" s="154" t="s">
        <v>1660</v>
      </c>
      <c r="FH58" s="154" t="s">
        <v>1214</v>
      </c>
      <c r="FI58" s="154"/>
      <c r="FJ58" s="154"/>
      <c r="FK58" s="154"/>
      <c r="FL58" s="154"/>
      <c r="FM58" s="154"/>
      <c r="FN58" s="154"/>
      <c r="FO58" s="154"/>
      <c r="FP58" s="154"/>
      <c r="FQ58" s="154"/>
      <c r="FR58" s="154"/>
      <c r="FS58" s="354"/>
      <c r="FT58" s="345"/>
      <c r="FU58" s="154"/>
      <c r="FV58" s="350"/>
      <c r="FW58" s="350"/>
      <c r="FX58" s="154"/>
      <c r="FY58" s="154"/>
      <c r="FZ58" s="154"/>
      <c r="GA58" s="154"/>
      <c r="GB58" s="154"/>
      <c r="GC58" s="154"/>
      <c r="GD58" s="355"/>
      <c r="GE58" s="154"/>
      <c r="GF58" s="154"/>
      <c r="GG58" s="154"/>
      <c r="GH58" s="154"/>
      <c r="GI58" s="154"/>
      <c r="GJ58" s="154"/>
      <c r="GK58" s="154"/>
      <c r="GL58" s="154"/>
      <c r="GM58" s="154"/>
      <c r="GN58" s="154"/>
      <c r="GO58" s="154"/>
      <c r="GP58" s="154"/>
      <c r="GQ58" s="154"/>
      <c r="GR58" s="154"/>
      <c r="GS58" s="154"/>
      <c r="GT58" s="154"/>
      <c r="GU58" s="154"/>
      <c r="GV58" s="154"/>
      <c r="GW58" s="154"/>
      <c r="GX58" s="154"/>
      <c r="GY58" s="154"/>
      <c r="GZ58" s="154"/>
      <c r="HA58" s="154"/>
      <c r="HB58" s="154"/>
      <c r="HC58" s="154"/>
      <c r="HD58" s="154"/>
      <c r="HE58" s="154"/>
      <c r="HF58" s="154"/>
      <c r="HG58" s="154"/>
      <c r="HH58" s="154"/>
      <c r="HI58" s="154"/>
      <c r="HJ58" s="154"/>
      <c r="HK58" s="154"/>
      <c r="HL58" s="154"/>
      <c r="HM58" s="154"/>
      <c r="HN58" s="154"/>
      <c r="HO58" s="154"/>
      <c r="HP58" s="154"/>
      <c r="HQ58" s="154"/>
      <c r="HR58" s="154" t="s">
        <v>1207</v>
      </c>
      <c r="HS58" s="154" t="s">
        <v>1207</v>
      </c>
      <c r="HT58" s="154"/>
      <c r="HU58" s="154"/>
      <c r="HV58" s="154" t="s">
        <v>3450</v>
      </c>
      <c r="HW58" s="154" t="s">
        <v>18</v>
      </c>
      <c r="HX58" s="154" t="s">
        <v>478</v>
      </c>
      <c r="HY58" s="154" t="s">
        <v>3454</v>
      </c>
      <c r="HZ58" s="154" t="s">
        <v>1835</v>
      </c>
      <c r="IA58" s="154" t="s">
        <v>2639</v>
      </c>
      <c r="IB58" s="154" t="s">
        <v>3455</v>
      </c>
      <c r="IC58" s="154">
        <v>1987</v>
      </c>
      <c r="ID58" s="154" t="s">
        <v>3455</v>
      </c>
      <c r="IE58" s="344">
        <v>26502</v>
      </c>
      <c r="IF58" s="154" t="s">
        <v>478</v>
      </c>
      <c r="IG58" s="154" t="s">
        <v>1882</v>
      </c>
      <c r="IH58" s="154" t="s">
        <v>2716</v>
      </c>
      <c r="II58" s="154" t="s">
        <v>1879</v>
      </c>
      <c r="IJ58" s="154"/>
      <c r="IK58" s="154" t="s">
        <v>1208</v>
      </c>
      <c r="IL58" s="154"/>
      <c r="IM58" s="154" t="s">
        <v>3456</v>
      </c>
      <c r="IN58" s="154"/>
      <c r="IO58" s="154" t="s">
        <v>3451</v>
      </c>
      <c r="IP58" s="154"/>
      <c r="IQ58" s="154" t="s">
        <v>1880</v>
      </c>
      <c r="IR58" s="154" t="s">
        <v>1918</v>
      </c>
      <c r="IS58" s="154"/>
      <c r="IT58" s="350">
        <v>1500</v>
      </c>
      <c r="IU58" s="154"/>
      <c r="IV58" s="154"/>
    </row>
    <row r="59" spans="1:256" s="337" customFormat="1" ht="12.75" customHeight="1">
      <c r="C59" s="133"/>
      <c r="D59" s="343" t="s">
        <v>2956</v>
      </c>
      <c r="E59" s="154" t="s">
        <v>3630</v>
      </c>
      <c r="F59" s="154" t="s">
        <v>28</v>
      </c>
      <c r="G59" s="154" t="s">
        <v>10</v>
      </c>
      <c r="H59" s="154"/>
      <c r="I59" s="324"/>
      <c r="J59" s="343" t="s">
        <v>2956</v>
      </c>
      <c r="K59" s="154"/>
      <c r="L59" s="154"/>
      <c r="M59" s="154"/>
      <c r="N59" s="154"/>
      <c r="O59" s="154"/>
      <c r="P59" s="154"/>
      <c r="Q59" s="344"/>
      <c r="R59" s="345"/>
      <c r="S59" s="154"/>
      <c r="T59" s="154"/>
      <c r="U59" s="324"/>
      <c r="V59" s="154"/>
      <c r="W59" s="154"/>
      <c r="X59" s="154"/>
      <c r="Y59" s="343"/>
      <c r="Z59" s="154"/>
      <c r="AA59" s="154"/>
      <c r="AB59" s="154"/>
      <c r="AC59" s="154"/>
      <c r="AD59" s="154"/>
      <c r="AE59" s="332"/>
      <c r="AF59" s="332" t="s">
        <v>1100</v>
      </c>
      <c r="AG59" s="332" t="s">
        <v>3294</v>
      </c>
      <c r="AH59" s="332"/>
      <c r="AI59" s="154"/>
      <c r="AJ59" s="347"/>
      <c r="AK59" s="348"/>
      <c r="AL59" s="349"/>
      <c r="AM59" s="154"/>
      <c r="AN59" s="154"/>
      <c r="AO59" s="154"/>
      <c r="AP59" s="154"/>
      <c r="AQ59" s="154"/>
      <c r="AR59" s="154"/>
      <c r="AS59" s="154"/>
      <c r="AT59" s="154"/>
      <c r="AU59" s="154"/>
      <c r="AV59" s="154"/>
      <c r="AW59" s="154"/>
      <c r="AX59" s="154"/>
      <c r="AY59" s="154"/>
      <c r="AZ59" s="154"/>
      <c r="BA59" s="154"/>
      <c r="BB59" s="154"/>
      <c r="BC59" s="154"/>
      <c r="BD59" s="350"/>
      <c r="BE59" s="350"/>
      <c r="BF59" s="154"/>
      <c r="BG59" s="154"/>
      <c r="BH59" s="154"/>
      <c r="BI59" s="332"/>
      <c r="BJ59" s="332"/>
      <c r="BK59" s="332" t="s">
        <v>1100</v>
      </c>
      <c r="BL59" s="332"/>
      <c r="BM59" s="154"/>
      <c r="BN59" s="367"/>
      <c r="BO59" s="348"/>
      <c r="BP59" s="360"/>
      <c r="BQ59" s="154"/>
      <c r="BR59" s="154"/>
      <c r="BS59" s="154"/>
      <c r="BT59" s="154"/>
      <c r="BU59" s="154"/>
      <c r="BV59" s="350"/>
      <c r="BW59" s="154"/>
      <c r="BX59" s="350"/>
      <c r="BY59" s="154"/>
      <c r="BZ59" s="154"/>
      <c r="CA59" s="154"/>
      <c r="CB59" s="154"/>
      <c r="CC59" s="154"/>
      <c r="CD59" s="516"/>
      <c r="CE59" s="517"/>
      <c r="CF59" s="154"/>
      <c r="CG59" s="154"/>
      <c r="CH59" s="154"/>
      <c r="CI59" s="154"/>
      <c r="CJ59" s="154"/>
      <c r="CK59" s="154"/>
      <c r="CL59" s="154"/>
      <c r="CM59" s="154"/>
      <c r="CN59" s="154"/>
      <c r="CO59" s="154"/>
      <c r="CP59" s="350"/>
      <c r="CQ59" s="154"/>
      <c r="CR59" s="154"/>
      <c r="CS59" s="434"/>
      <c r="CT59" s="154"/>
      <c r="CU59" s="154"/>
      <c r="CV59" s="154"/>
      <c r="CW59" s="154"/>
      <c r="CX59" s="154"/>
      <c r="CY59" s="358"/>
      <c r="CZ59" s="154"/>
      <c r="DA59" s="154"/>
      <c r="DB59" s="154"/>
      <c r="DC59" s="359"/>
      <c r="DD59" s="154"/>
      <c r="DE59" s="154"/>
      <c r="DF59" s="154"/>
      <c r="DG59" s="154"/>
      <c r="DH59" s="154"/>
      <c r="DI59" s="154"/>
      <c r="DJ59" s="154"/>
      <c r="DK59" s="154"/>
      <c r="DL59" s="435"/>
      <c r="DM59" s="154"/>
      <c r="DN59" s="154"/>
      <c r="DO59" s="154"/>
      <c r="DP59" s="154"/>
      <c r="DQ59" s="356"/>
      <c r="DR59" s="154"/>
      <c r="DS59" s="154"/>
      <c r="DT59" s="154"/>
      <c r="DU59" s="358"/>
      <c r="DV59" s="358"/>
      <c r="DW59" s="154"/>
      <c r="DX59" s="154"/>
      <c r="DY59" s="154"/>
      <c r="DZ59" s="154"/>
      <c r="EA59" s="154"/>
      <c r="EB59" s="154"/>
      <c r="EC59" s="154"/>
      <c r="ED59" s="154"/>
      <c r="EE59" s="154"/>
      <c r="EF59" s="154"/>
      <c r="EG59" s="154"/>
      <c r="EH59" s="154"/>
      <c r="EI59" s="154"/>
      <c r="EJ59" s="154"/>
      <c r="EK59" s="154"/>
      <c r="EL59" s="154"/>
      <c r="EM59" s="154"/>
      <c r="EN59" s="343"/>
      <c r="EO59" s="154"/>
      <c r="EP59" s="154"/>
      <c r="EQ59" s="154"/>
      <c r="ER59" s="154"/>
      <c r="ES59" s="154"/>
      <c r="ET59" s="350"/>
      <c r="EU59" s="154"/>
      <c r="EV59" s="154"/>
      <c r="EW59" s="154"/>
      <c r="EX59" s="154"/>
      <c r="EY59" s="154"/>
      <c r="EZ59" s="154"/>
      <c r="FA59" s="154"/>
      <c r="FB59" s="154"/>
      <c r="FC59" s="350"/>
      <c r="FD59" s="350"/>
      <c r="FE59" s="350"/>
      <c r="FF59" s="154"/>
      <c r="FG59" s="154"/>
      <c r="FH59" s="154" t="s">
        <v>1214</v>
      </c>
      <c r="FI59" s="154"/>
      <c r="FJ59" s="154"/>
      <c r="FK59" s="154"/>
      <c r="FL59" s="154"/>
      <c r="FM59" s="154"/>
      <c r="FN59" s="154"/>
      <c r="FO59" s="154"/>
      <c r="FP59" s="154"/>
      <c r="FQ59" s="154"/>
      <c r="FR59" s="154"/>
      <c r="FS59" s="354"/>
      <c r="FT59" s="345"/>
      <c r="FU59" s="154"/>
      <c r="FV59" s="350"/>
      <c r="FW59" s="350"/>
      <c r="FX59" s="154"/>
      <c r="FY59" s="154"/>
      <c r="FZ59" s="154"/>
      <c r="GA59" s="154"/>
      <c r="GB59" s="154"/>
      <c r="GC59" s="154"/>
      <c r="GD59" s="355"/>
      <c r="GE59" s="154"/>
      <c r="GF59" s="154"/>
      <c r="GG59" s="154"/>
      <c r="GH59" s="154"/>
      <c r="GI59" s="154"/>
      <c r="GJ59" s="154"/>
      <c r="GK59" s="154"/>
      <c r="GL59" s="154"/>
      <c r="GM59" s="154"/>
      <c r="GN59" s="154"/>
      <c r="GO59" s="154"/>
      <c r="GP59" s="154"/>
      <c r="GQ59" s="154"/>
      <c r="GR59" s="154"/>
      <c r="GS59" s="154"/>
      <c r="GT59" s="154"/>
      <c r="GU59" s="154"/>
      <c r="GV59" s="154"/>
      <c r="GW59" s="154"/>
      <c r="GX59" s="154"/>
      <c r="GY59" s="154"/>
      <c r="GZ59" s="154"/>
      <c r="HA59" s="154"/>
      <c r="HB59" s="154"/>
      <c r="HC59" s="154"/>
      <c r="HD59" s="154"/>
      <c r="HE59" s="154"/>
      <c r="HF59" s="154"/>
      <c r="HG59" s="154"/>
      <c r="HH59" s="154"/>
      <c r="HI59" s="154"/>
      <c r="HJ59" s="154"/>
      <c r="HK59" s="154"/>
      <c r="HL59" s="154"/>
      <c r="HM59" s="154"/>
      <c r="HN59" s="154"/>
      <c r="HO59" s="154"/>
      <c r="HP59" s="154"/>
      <c r="HQ59" s="154"/>
      <c r="HR59" s="154"/>
      <c r="HS59" s="154"/>
      <c r="HT59" s="154"/>
      <c r="HU59" s="154"/>
      <c r="HV59" s="154" t="s">
        <v>2958</v>
      </c>
      <c r="HW59" s="154" t="s">
        <v>10</v>
      </c>
      <c r="HX59" s="154" t="s">
        <v>478</v>
      </c>
      <c r="HY59" s="154" t="s">
        <v>2957</v>
      </c>
      <c r="HZ59" s="154" t="s">
        <v>2959</v>
      </c>
      <c r="IA59" s="154" t="s">
        <v>2639</v>
      </c>
      <c r="IB59" s="154" t="s">
        <v>2960</v>
      </c>
      <c r="IC59" s="154">
        <v>1983</v>
      </c>
      <c r="ID59" s="154" t="s">
        <v>2960</v>
      </c>
      <c r="IE59" s="344">
        <v>22051</v>
      </c>
      <c r="IF59" s="154" t="s">
        <v>478</v>
      </c>
      <c r="IG59" s="154" t="s">
        <v>2963</v>
      </c>
      <c r="IH59" s="154" t="s">
        <v>2716</v>
      </c>
      <c r="II59" s="154" t="s">
        <v>1883</v>
      </c>
      <c r="IJ59" s="154"/>
      <c r="IK59" s="154" t="s">
        <v>1208</v>
      </c>
      <c r="IL59" s="154"/>
      <c r="IM59" s="154" t="s">
        <v>2961</v>
      </c>
      <c r="IN59" s="154"/>
      <c r="IO59" s="154" t="s">
        <v>2962</v>
      </c>
      <c r="IP59" s="154"/>
      <c r="IQ59" s="154" t="s">
        <v>1950</v>
      </c>
      <c r="IR59" s="154" t="s">
        <v>1951</v>
      </c>
      <c r="IS59" s="154"/>
      <c r="IT59" s="350">
        <v>1500</v>
      </c>
      <c r="IU59" s="154"/>
      <c r="IV59" s="154"/>
    </row>
    <row r="60" spans="1:256" s="337" customFormat="1" ht="12.75" customHeight="1">
      <c r="C60" s="133" t="s">
        <v>2853</v>
      </c>
      <c r="D60" s="343" t="s">
        <v>3974</v>
      </c>
      <c r="E60" s="154" t="s">
        <v>2836</v>
      </c>
      <c r="F60" s="154" t="s">
        <v>28</v>
      </c>
      <c r="G60" s="154" t="s">
        <v>10</v>
      </c>
      <c r="H60" s="154"/>
      <c r="I60" s="324"/>
      <c r="J60" s="343" t="s">
        <v>3974</v>
      </c>
      <c r="K60" s="15" t="s">
        <v>3975</v>
      </c>
      <c r="L60" s="15" t="s">
        <v>3976</v>
      </c>
      <c r="M60" s="154"/>
      <c r="N60" s="154"/>
      <c r="O60" s="154" t="s">
        <v>3897</v>
      </c>
      <c r="P60" s="154"/>
      <c r="Q60" s="344"/>
      <c r="R60" s="345"/>
      <c r="S60" s="154"/>
      <c r="T60" s="154"/>
      <c r="U60" s="324"/>
      <c r="V60" s="154"/>
      <c r="W60" s="154"/>
      <c r="X60" s="154"/>
      <c r="Y60" s="154"/>
      <c r="Z60" s="154"/>
      <c r="AA60" s="154"/>
      <c r="AB60" s="154"/>
      <c r="AC60" s="154"/>
      <c r="AD60" s="154"/>
      <c r="AE60" s="332"/>
      <c r="AF60" s="332" t="s">
        <v>1096</v>
      </c>
      <c r="AG60" s="332" t="s">
        <v>3294</v>
      </c>
      <c r="AH60" s="332"/>
      <c r="AI60" s="154"/>
      <c r="AJ60" s="347">
        <v>25.245000000000001</v>
      </c>
      <c r="AK60" s="348">
        <v>5.9669999999999996</v>
      </c>
      <c r="AL60" s="349">
        <v>0.24</v>
      </c>
      <c r="AM60" s="154" t="s">
        <v>1149</v>
      </c>
      <c r="AN60" s="154"/>
      <c r="AO60" s="154"/>
      <c r="AP60" s="154"/>
      <c r="AQ60" s="154"/>
      <c r="AR60" s="154"/>
      <c r="AS60" s="154"/>
      <c r="AT60" s="154"/>
      <c r="AU60" s="154"/>
      <c r="AV60" s="154"/>
      <c r="AW60" s="154"/>
      <c r="AX60" s="154"/>
      <c r="AY60" s="154"/>
      <c r="AZ60" s="154"/>
      <c r="BA60" s="154"/>
      <c r="BB60" s="154"/>
      <c r="BC60" s="154"/>
      <c r="BD60" s="350"/>
      <c r="BE60" s="350"/>
      <c r="BF60" s="154"/>
      <c r="BG60" s="154"/>
      <c r="BH60" s="154"/>
      <c r="BI60" s="154" t="s">
        <v>1095</v>
      </c>
      <c r="BJ60" s="332"/>
      <c r="BK60" s="332" t="s">
        <v>1131</v>
      </c>
      <c r="BL60" s="332"/>
      <c r="BM60" s="154"/>
      <c r="BN60" s="367">
        <v>100.98</v>
      </c>
      <c r="BO60" s="348">
        <v>23.867999999999999</v>
      </c>
      <c r="BP60" s="360">
        <f>BO60/BN60</f>
        <v>0.23636363636363633</v>
      </c>
      <c r="BQ60" s="154" t="s">
        <v>1149</v>
      </c>
      <c r="BR60" s="154"/>
      <c r="BS60" s="154"/>
      <c r="BT60" s="154"/>
      <c r="BU60" s="154"/>
      <c r="BV60" s="350"/>
      <c r="BW60" s="154"/>
      <c r="BX60" s="350"/>
      <c r="BY60" s="154"/>
      <c r="BZ60" s="154"/>
      <c r="CA60" s="154"/>
      <c r="CB60" s="154"/>
      <c r="CC60" s="154"/>
      <c r="CD60" s="516"/>
      <c r="CE60" s="517"/>
      <c r="CF60" s="154"/>
      <c r="CG60" s="154"/>
      <c r="CH60" s="154"/>
      <c r="CI60" s="154"/>
      <c r="CJ60" s="154"/>
      <c r="CK60" s="154"/>
      <c r="CL60" s="154"/>
      <c r="CM60" s="154"/>
      <c r="CN60" s="154"/>
      <c r="CO60" s="154"/>
      <c r="CP60" s="350"/>
      <c r="CQ60" s="154"/>
      <c r="CR60" s="154"/>
      <c r="CS60" s="434"/>
      <c r="CT60" s="154"/>
      <c r="CU60" s="154"/>
      <c r="CV60" s="154"/>
      <c r="CW60" s="154"/>
      <c r="CX60" s="154"/>
      <c r="CY60" s="358"/>
      <c r="CZ60" s="154"/>
      <c r="DA60" s="154"/>
      <c r="DB60" s="154"/>
      <c r="DC60" s="359"/>
      <c r="DD60" s="154"/>
      <c r="DE60" s="154"/>
      <c r="DF60" s="154"/>
      <c r="DG60" s="154"/>
      <c r="DH60" s="154"/>
      <c r="DI60" s="154"/>
      <c r="DJ60" s="154"/>
      <c r="DK60" s="154"/>
      <c r="DL60" s="435"/>
      <c r="DM60" s="154"/>
      <c r="DN60" s="154"/>
      <c r="DO60" s="154"/>
      <c r="DP60" s="154"/>
      <c r="DQ60" s="356"/>
      <c r="DR60" s="154"/>
      <c r="DS60" s="154"/>
      <c r="DT60" s="154"/>
      <c r="DU60" s="358"/>
      <c r="DV60" s="358"/>
      <c r="DW60" s="154"/>
      <c r="DX60" s="154"/>
      <c r="DY60" s="154"/>
      <c r="DZ60" s="154"/>
      <c r="EA60" s="154"/>
      <c r="EB60" s="154"/>
      <c r="EC60" s="154"/>
      <c r="ED60" s="154"/>
      <c r="EE60" s="154"/>
      <c r="EF60" s="154"/>
      <c r="EG60" s="154"/>
      <c r="EH60" s="154"/>
      <c r="EI60" s="154"/>
      <c r="EJ60" s="154"/>
      <c r="EK60" s="154"/>
      <c r="EL60" s="154"/>
      <c r="EM60" s="154"/>
      <c r="EN60" s="343"/>
      <c r="EO60" s="154"/>
      <c r="EP60" s="154"/>
      <c r="EQ60" s="154"/>
      <c r="ER60" s="154"/>
      <c r="ES60" s="154"/>
      <c r="ET60" s="350"/>
      <c r="EU60" s="154"/>
      <c r="EV60" s="154"/>
      <c r="EW60" s="154"/>
      <c r="EX60" s="154" t="s">
        <v>478</v>
      </c>
      <c r="EY60" s="154">
        <v>1</v>
      </c>
      <c r="EZ60" s="154"/>
      <c r="FA60" s="154"/>
      <c r="FB60" s="154"/>
      <c r="FC60" s="350"/>
      <c r="FD60" s="350"/>
      <c r="FE60" s="350"/>
      <c r="FF60" s="154"/>
      <c r="FG60" s="154"/>
      <c r="FH60" s="154" t="s">
        <v>1214</v>
      </c>
      <c r="FI60" s="154"/>
      <c r="FJ60" s="154"/>
      <c r="FK60" s="154"/>
      <c r="FL60" s="154"/>
      <c r="FM60" s="154"/>
      <c r="FN60" s="154"/>
      <c r="FO60" s="154"/>
      <c r="FP60" s="154"/>
      <c r="FQ60" s="154"/>
      <c r="FR60" s="154" t="s">
        <v>1734</v>
      </c>
      <c r="FS60" s="354"/>
      <c r="FT60" s="345">
        <v>1980</v>
      </c>
      <c r="FU60" s="154" t="s">
        <v>1207</v>
      </c>
      <c r="FV60" s="350">
        <v>10000</v>
      </c>
      <c r="FW60" s="350">
        <f>FV60*12</f>
        <v>120000</v>
      </c>
      <c r="FX60" s="154"/>
      <c r="FY60" s="154"/>
      <c r="FZ60" s="154"/>
      <c r="GA60" s="154"/>
      <c r="GB60" s="154"/>
      <c r="GC60" s="154"/>
      <c r="GD60" s="355"/>
      <c r="GE60" s="154"/>
      <c r="GF60" s="154"/>
      <c r="GG60" s="154"/>
      <c r="GH60" s="154"/>
      <c r="GI60" s="154"/>
      <c r="GJ60" s="154"/>
      <c r="GK60" s="154"/>
      <c r="GL60" s="154"/>
      <c r="GM60" s="154"/>
      <c r="GN60" s="154"/>
      <c r="GO60" s="154"/>
      <c r="GP60" s="154"/>
      <c r="GQ60" s="154"/>
      <c r="GR60" s="154"/>
      <c r="GS60" s="154"/>
      <c r="GT60" s="154"/>
      <c r="GU60" s="154"/>
      <c r="GV60" s="154"/>
      <c r="GW60" s="154"/>
      <c r="GX60" s="154"/>
      <c r="GY60" s="154"/>
      <c r="GZ60" s="154"/>
      <c r="HA60" s="154"/>
      <c r="HB60" s="154"/>
      <c r="HC60" s="154"/>
      <c r="HD60" s="154"/>
      <c r="HE60" s="154"/>
      <c r="HF60" s="154"/>
      <c r="HG60" s="154"/>
      <c r="HH60" s="154"/>
      <c r="HI60" s="154"/>
      <c r="HJ60" s="154"/>
      <c r="HK60" s="154"/>
      <c r="HL60" s="154"/>
      <c r="HM60" s="154"/>
      <c r="HN60" s="154"/>
      <c r="HO60" s="154"/>
      <c r="HP60" s="154"/>
      <c r="HQ60" s="154"/>
      <c r="HR60" s="154"/>
      <c r="HS60" s="154"/>
      <c r="HT60" s="154"/>
      <c r="HU60" s="154"/>
      <c r="HV60" s="154" t="s">
        <v>3974</v>
      </c>
      <c r="HW60" s="154" t="s">
        <v>10</v>
      </c>
      <c r="HX60" s="154" t="s">
        <v>478</v>
      </c>
      <c r="HY60" s="154" t="s">
        <v>2852</v>
      </c>
      <c r="HZ60" s="154" t="s">
        <v>1835</v>
      </c>
      <c r="IA60" s="154" t="s">
        <v>2639</v>
      </c>
      <c r="IB60" s="154" t="s">
        <v>2847</v>
      </c>
      <c r="IC60" s="154">
        <v>2015</v>
      </c>
      <c r="ID60" s="154" t="s">
        <v>2847</v>
      </c>
      <c r="IE60" s="344">
        <v>19261</v>
      </c>
      <c r="IF60" s="154" t="s">
        <v>478</v>
      </c>
      <c r="IG60" s="154" t="s">
        <v>3977</v>
      </c>
      <c r="IH60" s="154" t="s">
        <v>2716</v>
      </c>
      <c r="II60" s="154" t="s">
        <v>1931</v>
      </c>
      <c r="IJ60" s="154"/>
      <c r="IK60" s="154" t="s">
        <v>1208</v>
      </c>
      <c r="IL60" s="154"/>
      <c r="IM60" s="154" t="s">
        <v>3978</v>
      </c>
      <c r="IN60" s="154"/>
      <c r="IO60" s="154"/>
      <c r="IP60" s="154"/>
      <c r="IQ60" s="154" t="s">
        <v>1950</v>
      </c>
      <c r="IR60" s="154" t="s">
        <v>1951</v>
      </c>
      <c r="IS60" s="154"/>
      <c r="IT60" s="350">
        <v>10000</v>
      </c>
      <c r="IU60" s="154"/>
      <c r="IV60" s="154"/>
    </row>
    <row r="61" spans="1:256" s="337" customFormat="1" ht="12.75" customHeight="1">
      <c r="C61" s="133" t="s">
        <v>4232</v>
      </c>
      <c r="D61" s="343" t="s">
        <v>4233</v>
      </c>
      <c r="E61" s="154" t="s">
        <v>5401</v>
      </c>
      <c r="F61" s="154" t="s">
        <v>3044</v>
      </c>
      <c r="G61" s="154" t="s">
        <v>10</v>
      </c>
      <c r="H61" s="154"/>
      <c r="I61" s="324" t="s">
        <v>4238</v>
      </c>
      <c r="J61" s="343" t="s">
        <v>4233</v>
      </c>
      <c r="K61" s="15" t="s">
        <v>4240</v>
      </c>
      <c r="L61" s="15" t="s">
        <v>4127</v>
      </c>
      <c r="M61" s="154" t="s">
        <v>1238</v>
      </c>
      <c r="N61" s="154"/>
      <c r="O61" s="154" t="s">
        <v>4213</v>
      </c>
      <c r="P61" s="343" t="s">
        <v>4241</v>
      </c>
      <c r="Q61" s="344">
        <v>33540</v>
      </c>
      <c r="R61" s="345">
        <v>25</v>
      </c>
      <c r="S61" s="4" t="s">
        <v>18</v>
      </c>
      <c r="T61" s="154"/>
      <c r="U61" s="324" t="s">
        <v>4242</v>
      </c>
      <c r="V61" s="154" t="s">
        <v>2970</v>
      </c>
      <c r="W61" s="154" t="s">
        <v>4234</v>
      </c>
      <c r="X61" s="154" t="s">
        <v>708</v>
      </c>
      <c r="Y61" s="154" t="s">
        <v>709</v>
      </c>
      <c r="Z61" s="324" t="s">
        <v>710</v>
      </c>
      <c r="AA61" s="154" t="s">
        <v>724</v>
      </c>
      <c r="AB61" s="154" t="s">
        <v>711</v>
      </c>
      <c r="AC61" s="154"/>
      <c r="AD61" s="154" t="s">
        <v>712</v>
      </c>
      <c r="AE61" s="154" t="s">
        <v>1132</v>
      </c>
      <c r="AF61" s="154" t="s">
        <v>1096</v>
      </c>
      <c r="AG61" s="332"/>
      <c r="AH61" s="332"/>
      <c r="AI61" s="154" t="s">
        <v>1101</v>
      </c>
      <c r="AJ61" s="347">
        <v>14.62</v>
      </c>
      <c r="AK61" s="348">
        <v>2.15</v>
      </c>
      <c r="AL61" s="349">
        <f>AK61/AJ61</f>
        <v>0.14705882352941177</v>
      </c>
      <c r="AM61" s="154" t="s">
        <v>1109</v>
      </c>
      <c r="AN61" s="154"/>
      <c r="AO61" s="154"/>
      <c r="AP61" s="154"/>
      <c r="AQ61" s="154"/>
      <c r="AR61" s="154"/>
      <c r="AS61" s="154"/>
      <c r="AT61" s="154"/>
      <c r="AU61" s="154"/>
      <c r="AV61" s="154"/>
      <c r="AW61" s="154"/>
      <c r="AX61" s="154"/>
      <c r="AY61" s="154"/>
      <c r="AZ61" s="154"/>
      <c r="BA61" s="154"/>
      <c r="BB61" s="154"/>
      <c r="BC61" s="154"/>
      <c r="BD61" s="350"/>
      <c r="BE61" s="350"/>
      <c r="BF61" s="154"/>
      <c r="BG61" s="154"/>
      <c r="BH61" s="154"/>
      <c r="BI61" s="154" t="s">
        <v>1095</v>
      </c>
      <c r="BJ61" s="154" t="s">
        <v>4243</v>
      </c>
      <c r="BK61" s="154" t="s">
        <v>1096</v>
      </c>
      <c r="BL61" s="154" t="s">
        <v>1230</v>
      </c>
      <c r="BM61" s="154" t="s">
        <v>1246</v>
      </c>
      <c r="BN61" s="367">
        <v>14.62</v>
      </c>
      <c r="BO61" s="348">
        <v>2.15</v>
      </c>
      <c r="BP61" s="360">
        <f>BO61/BN61</f>
        <v>0.14705882352941177</v>
      </c>
      <c r="BQ61" s="154" t="s">
        <v>1242</v>
      </c>
      <c r="BR61" s="154" t="s">
        <v>2904</v>
      </c>
      <c r="BS61" s="154" t="s">
        <v>4244</v>
      </c>
      <c r="BT61" s="154" t="s">
        <v>1247</v>
      </c>
      <c r="BU61" s="154">
        <v>2016</v>
      </c>
      <c r="BV61" s="350"/>
      <c r="BW61" s="154"/>
      <c r="BX61" s="350"/>
      <c r="BY61" s="154"/>
      <c r="BZ61" s="154" t="s">
        <v>1207</v>
      </c>
      <c r="CA61" s="154"/>
      <c r="CB61" s="154"/>
      <c r="CC61" s="154"/>
      <c r="CD61" s="516">
        <v>2</v>
      </c>
      <c r="CE61" s="517">
        <v>21.6</v>
      </c>
      <c r="CF61" s="154" t="s">
        <v>4245</v>
      </c>
      <c r="CG61" s="154"/>
      <c r="CH61" s="154" t="s">
        <v>4246</v>
      </c>
      <c r="CI61" s="154">
        <v>11</v>
      </c>
      <c r="CJ61" s="154"/>
      <c r="CK61" s="154" t="s">
        <v>3399</v>
      </c>
      <c r="CL61" s="154"/>
      <c r="CM61" s="154"/>
      <c r="CN61" s="154"/>
      <c r="CO61" s="154"/>
      <c r="CP61" s="350"/>
      <c r="CQ61" s="154"/>
      <c r="CR61" s="154"/>
      <c r="CS61" s="434"/>
      <c r="CT61" s="154"/>
      <c r="CU61" s="154"/>
      <c r="CV61" s="154"/>
      <c r="CW61" s="154"/>
      <c r="CX61" s="154"/>
      <c r="CY61" s="358"/>
      <c r="CZ61" s="154"/>
      <c r="DA61" s="154"/>
      <c r="DB61" s="154"/>
      <c r="DC61" s="359"/>
      <c r="DD61" s="154"/>
      <c r="DE61" s="154"/>
      <c r="DF61" s="154"/>
      <c r="DG61" s="154"/>
      <c r="DH61" s="154"/>
      <c r="DI61" s="154"/>
      <c r="DJ61" s="154"/>
      <c r="DK61" s="154"/>
      <c r="DL61" s="435"/>
      <c r="DM61" s="154"/>
      <c r="DN61" s="154"/>
      <c r="DO61" s="154"/>
      <c r="DP61" s="154"/>
      <c r="DQ61" s="356"/>
      <c r="DS61" s="154"/>
      <c r="DT61" s="154"/>
      <c r="DU61" s="358"/>
      <c r="DV61" s="358"/>
      <c r="DW61" s="154"/>
      <c r="DX61" s="154"/>
      <c r="DY61" s="154"/>
      <c r="DZ61" s="154"/>
      <c r="EA61" s="154"/>
      <c r="EB61" s="154"/>
      <c r="EC61" s="154"/>
      <c r="ED61" s="154"/>
      <c r="EE61" s="154"/>
      <c r="EF61" s="154"/>
      <c r="EG61" s="154"/>
      <c r="EH61" s="154"/>
      <c r="EI61" s="154"/>
      <c r="EJ61" s="154"/>
      <c r="EK61" s="154"/>
      <c r="EL61" s="154"/>
      <c r="EM61" s="154"/>
      <c r="EN61" s="343"/>
      <c r="EO61" s="154"/>
      <c r="EP61" s="154"/>
      <c r="EQ61" s="154"/>
      <c r="ER61" s="154"/>
      <c r="ES61" s="154"/>
      <c r="ET61" s="350"/>
      <c r="EV61" s="154"/>
      <c r="EX61" s="154" t="s">
        <v>478</v>
      </c>
      <c r="EY61" s="154">
        <v>1</v>
      </c>
      <c r="EZ61" s="154"/>
      <c r="FA61" s="154"/>
      <c r="FB61" s="154"/>
      <c r="FC61" s="350"/>
      <c r="FD61" s="350"/>
      <c r="FE61" s="350"/>
      <c r="FF61" s="154" t="s">
        <v>1600</v>
      </c>
      <c r="FG61" s="154" t="s">
        <v>1660</v>
      </c>
      <c r="FH61" s="154" t="s">
        <v>1214</v>
      </c>
      <c r="FI61" s="154"/>
      <c r="FJ61" s="154"/>
      <c r="FK61" s="154"/>
      <c r="FL61" s="154"/>
      <c r="FM61" s="154"/>
      <c r="FN61" s="154"/>
      <c r="FO61" s="154"/>
      <c r="FP61" s="154"/>
      <c r="FQ61" s="154"/>
      <c r="FR61" s="154" t="s">
        <v>1734</v>
      </c>
      <c r="FS61" s="354"/>
      <c r="FT61" s="345">
        <v>2016</v>
      </c>
      <c r="FU61" s="154" t="s">
        <v>1214</v>
      </c>
      <c r="FV61" s="350"/>
      <c r="FW61" s="350"/>
      <c r="FX61" s="154"/>
      <c r="FY61" s="154"/>
      <c r="FZ61" s="154"/>
      <c r="GA61" s="154"/>
      <c r="GB61" s="154"/>
      <c r="GC61" s="154"/>
      <c r="GD61" s="355"/>
      <c r="GE61" s="154"/>
      <c r="GF61" s="154"/>
      <c r="GG61" s="154"/>
      <c r="GH61" s="154"/>
      <c r="GI61" s="154"/>
      <c r="GJ61" s="154"/>
      <c r="GK61" s="154"/>
      <c r="GL61" s="154"/>
      <c r="GM61" s="154"/>
      <c r="GN61" s="154"/>
      <c r="GO61" s="154"/>
      <c r="GP61" s="154"/>
      <c r="GQ61" s="154"/>
      <c r="GR61" s="154"/>
      <c r="GS61" s="154"/>
      <c r="GT61" s="154"/>
      <c r="GU61" s="154"/>
      <c r="GV61" s="154"/>
      <c r="GW61" s="154"/>
      <c r="GX61" s="154"/>
      <c r="GY61" s="154"/>
      <c r="GZ61" s="154"/>
      <c r="HA61" s="154"/>
      <c r="HB61" s="154"/>
      <c r="HC61" s="154"/>
      <c r="HD61" s="154"/>
      <c r="HE61" s="154"/>
      <c r="HF61" s="154"/>
      <c r="HG61" s="154"/>
      <c r="HH61" s="154">
        <v>6</v>
      </c>
      <c r="HI61" s="154"/>
      <c r="HJ61" s="154"/>
      <c r="HK61" s="154"/>
      <c r="HL61" s="154"/>
      <c r="HM61" s="154"/>
      <c r="HN61" s="154"/>
      <c r="HO61" s="154"/>
      <c r="HP61" s="154"/>
      <c r="HQ61" s="154"/>
      <c r="HR61" s="154"/>
      <c r="HS61" s="154"/>
      <c r="HT61" s="154"/>
      <c r="HU61" s="154"/>
      <c r="HV61" s="154" t="s">
        <v>4233</v>
      </c>
      <c r="HW61" s="154" t="s">
        <v>10</v>
      </c>
      <c r="HX61" s="154" t="s">
        <v>1903</v>
      </c>
      <c r="HY61" s="154" t="s">
        <v>4234</v>
      </c>
      <c r="HZ61" s="154" t="s">
        <v>1835</v>
      </c>
      <c r="IA61" s="154" t="s">
        <v>1876</v>
      </c>
      <c r="IB61" s="154" t="s">
        <v>4247</v>
      </c>
      <c r="IC61" s="154">
        <v>2008</v>
      </c>
      <c r="ID61" s="154" t="s">
        <v>4247</v>
      </c>
      <c r="IE61" s="344">
        <v>33540</v>
      </c>
      <c r="IF61" s="154" t="s">
        <v>478</v>
      </c>
      <c r="IG61" s="154" t="s">
        <v>3971</v>
      </c>
      <c r="IH61" s="154" t="s">
        <v>1900</v>
      </c>
      <c r="II61" s="154" t="s">
        <v>1917</v>
      </c>
      <c r="IJ61" s="154"/>
      <c r="IK61" s="154" t="s">
        <v>1208</v>
      </c>
      <c r="IL61" s="154"/>
      <c r="IM61" s="154" t="s">
        <v>4248</v>
      </c>
      <c r="IN61" s="154"/>
      <c r="IO61" s="324" t="s">
        <v>4242</v>
      </c>
      <c r="IP61" s="154"/>
      <c r="IQ61" s="154" t="s">
        <v>1880</v>
      </c>
      <c r="IR61" s="154" t="s">
        <v>1918</v>
      </c>
      <c r="IS61" s="154"/>
      <c r="IT61" s="350">
        <v>2000</v>
      </c>
      <c r="IU61" s="154"/>
      <c r="IV61" s="154"/>
    </row>
    <row r="62" spans="1:256" s="11" customFormat="1" ht="12.75" customHeight="1">
      <c r="A62" s="19"/>
      <c r="B62" s="19"/>
      <c r="C62" s="388" t="s">
        <v>5800</v>
      </c>
      <c r="D62" s="19">
        <f>COUNTIF(SurveyDATA!E660:E831,"*Brgy.50*")</f>
        <v>2</v>
      </c>
      <c r="E62" s="7"/>
      <c r="F62" s="7"/>
      <c r="G62" s="7"/>
      <c r="H62" s="19"/>
      <c r="I62" s="8"/>
      <c r="J62" s="19"/>
      <c r="K62" s="7"/>
      <c r="L62" s="7"/>
      <c r="M62" s="7"/>
      <c r="N62" s="80"/>
      <c r="O62" s="80"/>
      <c r="P62" s="19"/>
      <c r="Q62" s="29"/>
      <c r="R62" s="30"/>
      <c r="S62" s="7"/>
      <c r="T62" s="7"/>
      <c r="U62" s="31"/>
      <c r="V62" s="7"/>
      <c r="W62" s="7"/>
      <c r="X62" s="7"/>
      <c r="Y62" s="7"/>
      <c r="Z62" s="7"/>
      <c r="AA62" s="7"/>
      <c r="AB62" s="7"/>
      <c r="AC62" s="7"/>
      <c r="AD62" s="7"/>
      <c r="AE62" s="7"/>
      <c r="AF62" s="7"/>
      <c r="AG62" s="7"/>
      <c r="AH62" s="7"/>
      <c r="AI62" s="7"/>
      <c r="AJ62" s="122"/>
      <c r="AK62" s="41"/>
      <c r="AL62" s="52"/>
      <c r="AM62" s="20"/>
      <c r="AN62" s="20"/>
      <c r="AO62" s="20"/>
      <c r="AP62" s="20"/>
      <c r="AQ62" s="7"/>
      <c r="AR62" s="7"/>
      <c r="AS62" s="7"/>
      <c r="AT62" s="7"/>
      <c r="AU62" s="7"/>
      <c r="AV62" s="20"/>
      <c r="AW62" s="7"/>
      <c r="AX62" s="7"/>
      <c r="AY62" s="7"/>
      <c r="AZ62" s="7"/>
      <c r="BA62" s="7"/>
      <c r="BB62" s="7"/>
      <c r="BC62" s="7"/>
      <c r="BD62" s="55"/>
      <c r="BE62" s="55"/>
      <c r="BF62" s="7"/>
      <c r="BG62" s="7"/>
      <c r="BH62" s="7"/>
      <c r="BI62" s="7"/>
      <c r="BJ62" s="7"/>
      <c r="BK62" s="7"/>
      <c r="BL62" s="7"/>
      <c r="BM62" s="7"/>
      <c r="BN62" s="41"/>
      <c r="BO62" s="62"/>
      <c r="BP62" s="50"/>
      <c r="BQ62" s="20"/>
      <c r="BR62" s="7"/>
      <c r="BS62" s="7"/>
      <c r="BT62" s="7"/>
      <c r="BU62" s="7"/>
      <c r="BV62" s="55"/>
      <c r="BW62" s="7"/>
      <c r="BX62" s="55"/>
      <c r="BY62" s="7"/>
      <c r="BZ62" s="7"/>
      <c r="CA62" s="7"/>
      <c r="CB62" s="7"/>
      <c r="CC62" s="73"/>
      <c r="CD62" s="71"/>
      <c r="CE62" s="72"/>
      <c r="CF62" s="7"/>
      <c r="CG62" s="7"/>
      <c r="CH62" s="7"/>
      <c r="CI62" s="7"/>
      <c r="CJ62" s="7"/>
      <c r="CK62" s="7"/>
      <c r="CL62" s="7"/>
      <c r="CM62" s="7"/>
      <c r="CN62" s="7"/>
      <c r="CO62" s="7"/>
      <c r="CP62" s="55"/>
      <c r="CQ62" s="7"/>
      <c r="CR62" s="7"/>
      <c r="CS62" s="130"/>
      <c r="CT62" s="7"/>
      <c r="CU62" s="7"/>
      <c r="CV62" s="7"/>
      <c r="CW62" s="7"/>
      <c r="CX62" s="7"/>
      <c r="CY62" s="73"/>
      <c r="CZ62" s="7"/>
      <c r="DA62" s="7"/>
      <c r="DB62" s="7"/>
      <c r="DC62" s="48"/>
      <c r="DD62" s="7"/>
      <c r="DE62" s="7"/>
      <c r="DF62" s="7"/>
      <c r="DG62" s="7"/>
      <c r="DH62" s="7"/>
      <c r="DI62" s="7"/>
      <c r="DJ62" s="7"/>
      <c r="DK62" s="7"/>
      <c r="DL62" s="74"/>
      <c r="DM62" s="7"/>
      <c r="DN62" s="7"/>
      <c r="DO62" s="7"/>
      <c r="DP62" s="7"/>
      <c r="DQ62" s="58"/>
      <c r="DR62" s="7"/>
      <c r="DS62" s="7"/>
      <c r="DT62" s="7"/>
      <c r="DU62" s="73"/>
      <c r="DV62" s="73"/>
      <c r="DW62" s="152"/>
      <c r="DX62" s="7"/>
      <c r="DY62" s="7"/>
      <c r="DZ62" s="7"/>
      <c r="EA62" s="7"/>
      <c r="EB62" s="7"/>
      <c r="EC62" s="7"/>
      <c r="ED62" s="7"/>
      <c r="EE62" s="7"/>
      <c r="EF62" s="7"/>
      <c r="EG62" s="7"/>
      <c r="EH62" s="7"/>
      <c r="EI62" s="7"/>
      <c r="EJ62" s="7"/>
      <c r="EK62" s="7"/>
      <c r="EL62" s="7"/>
      <c r="EM62" s="7"/>
      <c r="EN62" s="19"/>
      <c r="EO62" s="7"/>
      <c r="EP62" s="7"/>
      <c r="EQ62" s="7"/>
      <c r="ER62" s="7"/>
      <c r="ES62" s="7"/>
      <c r="ET62" s="55"/>
      <c r="EU62" s="7"/>
      <c r="EV62" s="7"/>
      <c r="EW62" s="7"/>
      <c r="EX62" s="7"/>
      <c r="EY62" s="7"/>
      <c r="EZ62" s="7"/>
      <c r="FA62" s="7"/>
      <c r="FB62" s="7"/>
      <c r="FC62" s="55"/>
      <c r="FD62" s="55"/>
      <c r="FE62" s="55"/>
      <c r="FF62" s="7"/>
      <c r="FG62" s="7"/>
      <c r="FH62" s="7"/>
      <c r="FI62" s="7"/>
      <c r="FJ62" s="7"/>
      <c r="FK62" s="7"/>
      <c r="FL62" s="7"/>
      <c r="FM62" s="7"/>
      <c r="FN62" s="7"/>
      <c r="FO62" s="7"/>
      <c r="FP62" s="7"/>
      <c r="FQ62" s="7"/>
      <c r="FR62" s="7"/>
      <c r="FS62" s="77"/>
      <c r="FT62" s="30"/>
      <c r="FU62" s="7"/>
      <c r="FV62" s="55"/>
      <c r="FW62" s="55"/>
      <c r="FX62" s="7"/>
      <c r="FY62" s="7"/>
      <c r="FZ62" s="7"/>
      <c r="GA62" s="7"/>
      <c r="GB62" s="7"/>
      <c r="GC62" s="7"/>
      <c r="GD62" s="103"/>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29"/>
      <c r="IF62" s="7"/>
      <c r="IG62" s="7"/>
      <c r="IH62" s="7"/>
      <c r="II62" s="7"/>
      <c r="IJ62" s="7"/>
      <c r="IK62" s="7"/>
      <c r="IL62" s="7"/>
      <c r="IM62" s="7"/>
      <c r="IN62" s="7"/>
      <c r="IO62" s="7"/>
      <c r="IP62" s="7"/>
      <c r="IQ62" s="7"/>
      <c r="IR62" s="7"/>
      <c r="IS62" s="7"/>
      <c r="IT62" s="55"/>
      <c r="IU62" s="7"/>
      <c r="IV62" s="7"/>
    </row>
    <row r="63" spans="1:256" s="11" customFormat="1" ht="12.75" customHeight="1">
      <c r="A63" s="19"/>
      <c r="B63" s="19"/>
      <c r="C63" s="388" t="s">
        <v>5801</v>
      </c>
      <c r="D63" s="19">
        <f>COUNTIF(SurveyDATA!E660:E831,"*Brgy.51*")</f>
        <v>4</v>
      </c>
      <c r="E63" s="7"/>
      <c r="F63" s="7"/>
      <c r="G63" s="7"/>
      <c r="H63" s="19"/>
      <c r="I63" s="8"/>
      <c r="J63" s="19"/>
      <c r="K63" s="7"/>
      <c r="L63" s="7"/>
      <c r="M63" s="7"/>
      <c r="N63" s="80"/>
      <c r="O63" s="80"/>
      <c r="P63" s="19"/>
      <c r="Q63" s="29"/>
      <c r="R63" s="30"/>
      <c r="S63" s="7"/>
      <c r="T63" s="7"/>
      <c r="U63" s="31"/>
      <c r="V63" s="7"/>
      <c r="W63" s="7"/>
      <c r="X63" s="7"/>
      <c r="Y63" s="7"/>
      <c r="Z63" s="7"/>
      <c r="AA63" s="7"/>
      <c r="AB63" s="7"/>
      <c r="AC63" s="7"/>
      <c r="AD63" s="7"/>
      <c r="AE63" s="7"/>
      <c r="AF63" s="7"/>
      <c r="AG63" s="7"/>
      <c r="AH63" s="7"/>
      <c r="AI63" s="7"/>
      <c r="AJ63" s="122"/>
      <c r="AK63" s="41"/>
      <c r="AL63" s="52"/>
      <c r="AM63" s="20"/>
      <c r="AN63" s="20"/>
      <c r="AO63" s="20"/>
      <c r="AP63" s="20"/>
      <c r="AQ63" s="7"/>
      <c r="AR63" s="7"/>
      <c r="AS63" s="7"/>
      <c r="AT63" s="7"/>
      <c r="AU63" s="7"/>
      <c r="AV63" s="20"/>
      <c r="AW63" s="7"/>
      <c r="AX63" s="7"/>
      <c r="AY63" s="7"/>
      <c r="AZ63" s="7"/>
      <c r="BA63" s="7"/>
      <c r="BB63" s="7"/>
      <c r="BC63" s="7"/>
      <c r="BD63" s="55"/>
      <c r="BE63" s="55"/>
      <c r="BF63" s="7"/>
      <c r="BG63" s="7"/>
      <c r="BH63" s="7"/>
      <c r="BI63" s="7"/>
      <c r="BJ63" s="7"/>
      <c r="BK63" s="7"/>
      <c r="BL63" s="7"/>
      <c r="BM63" s="7"/>
      <c r="BN63" s="41"/>
      <c r="BO63" s="62"/>
      <c r="BP63" s="50"/>
      <c r="BQ63" s="20"/>
      <c r="BR63" s="7"/>
      <c r="BS63" s="7"/>
      <c r="BT63" s="7"/>
      <c r="BU63" s="7"/>
      <c r="BV63" s="55"/>
      <c r="BW63" s="7"/>
      <c r="BX63" s="55"/>
      <c r="BY63" s="7"/>
      <c r="BZ63" s="7"/>
      <c r="CA63" s="7"/>
      <c r="CB63" s="7"/>
      <c r="CC63" s="73"/>
      <c r="CD63" s="71"/>
      <c r="CE63" s="72"/>
      <c r="CF63" s="7"/>
      <c r="CG63" s="7"/>
      <c r="CH63" s="7"/>
      <c r="CI63" s="7"/>
      <c r="CJ63" s="7"/>
      <c r="CK63" s="7"/>
      <c r="CL63" s="7"/>
      <c r="CM63" s="7"/>
      <c r="CN63" s="7"/>
      <c r="CO63" s="7"/>
      <c r="CP63" s="55"/>
      <c r="CQ63" s="7"/>
      <c r="CR63" s="7"/>
      <c r="CS63" s="130"/>
      <c r="CT63" s="7"/>
      <c r="CU63" s="7"/>
      <c r="CV63" s="7"/>
      <c r="CW63" s="7"/>
      <c r="CX63" s="7"/>
      <c r="CY63" s="73"/>
      <c r="CZ63" s="7"/>
      <c r="DA63" s="7"/>
      <c r="DB63" s="7"/>
      <c r="DC63" s="48"/>
      <c r="DD63" s="7"/>
      <c r="DE63" s="7"/>
      <c r="DF63" s="7"/>
      <c r="DG63" s="7"/>
      <c r="DH63" s="7"/>
      <c r="DI63" s="7"/>
      <c r="DJ63" s="7"/>
      <c r="DK63" s="7"/>
      <c r="DL63" s="74"/>
      <c r="DM63" s="7"/>
      <c r="DN63" s="7"/>
      <c r="DO63" s="7"/>
      <c r="DP63" s="7"/>
      <c r="DQ63" s="58"/>
      <c r="DR63" s="7"/>
      <c r="DS63" s="7"/>
      <c r="DT63" s="7"/>
      <c r="DU63" s="73"/>
      <c r="DV63" s="73"/>
      <c r="DW63" s="152"/>
      <c r="DX63" s="7"/>
      <c r="DY63" s="7"/>
      <c r="DZ63" s="7"/>
      <c r="EA63" s="7"/>
      <c r="EB63" s="7"/>
      <c r="EC63" s="7"/>
      <c r="ED63" s="7"/>
      <c r="EE63" s="7"/>
      <c r="EF63" s="7"/>
      <c r="EG63" s="7"/>
      <c r="EH63" s="7"/>
      <c r="EI63" s="7"/>
      <c r="EJ63" s="7"/>
      <c r="EK63" s="7"/>
      <c r="EL63" s="7"/>
      <c r="EM63" s="7"/>
      <c r="EN63" s="19"/>
      <c r="EO63" s="7"/>
      <c r="EP63" s="7"/>
      <c r="EQ63" s="7"/>
      <c r="ER63" s="7"/>
      <c r="ES63" s="7"/>
      <c r="ET63" s="55"/>
      <c r="EU63" s="7"/>
      <c r="EV63" s="7"/>
      <c r="EW63" s="7"/>
      <c r="EX63" s="7"/>
      <c r="EY63" s="7"/>
      <c r="EZ63" s="7"/>
      <c r="FA63" s="7"/>
      <c r="FB63" s="7"/>
      <c r="FC63" s="55"/>
      <c r="FD63" s="55"/>
      <c r="FE63" s="55"/>
      <c r="FF63" s="7"/>
      <c r="FG63" s="7"/>
      <c r="FH63" s="7"/>
      <c r="FI63" s="7"/>
      <c r="FJ63" s="7"/>
      <c r="FK63" s="7"/>
      <c r="FL63" s="7"/>
      <c r="FM63" s="7"/>
      <c r="FN63" s="7"/>
      <c r="FO63" s="7"/>
      <c r="FP63" s="7"/>
      <c r="FQ63" s="7"/>
      <c r="FR63" s="7"/>
      <c r="FS63" s="77"/>
      <c r="FT63" s="30"/>
      <c r="FU63" s="7"/>
      <c r="FV63" s="55"/>
      <c r="FW63" s="55"/>
      <c r="FX63" s="7"/>
      <c r="FY63" s="7"/>
      <c r="FZ63" s="7"/>
      <c r="GA63" s="7"/>
      <c r="GB63" s="7"/>
      <c r="GC63" s="7"/>
      <c r="GD63" s="103"/>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29"/>
      <c r="IF63" s="7"/>
      <c r="IG63" s="7"/>
      <c r="IH63" s="7"/>
      <c r="II63" s="7"/>
      <c r="IJ63" s="7"/>
      <c r="IK63" s="7"/>
      <c r="IL63" s="7"/>
      <c r="IM63" s="7"/>
      <c r="IN63" s="7"/>
      <c r="IO63" s="7"/>
      <c r="IP63" s="7"/>
      <c r="IQ63" s="7"/>
      <c r="IR63" s="7"/>
      <c r="IS63" s="7"/>
      <c r="IT63" s="55"/>
      <c r="IU63" s="7"/>
      <c r="IV63" s="7"/>
    </row>
    <row r="64" spans="1:256" s="11" customFormat="1" ht="12.75" customHeight="1">
      <c r="A64" s="19"/>
      <c r="B64" s="19"/>
      <c r="C64" s="388" t="s">
        <v>5802</v>
      </c>
      <c r="D64" s="19">
        <f>COUNTIF(SurveyDATA!E660:E831,"*Brgy.53*")</f>
        <v>2</v>
      </c>
      <c r="E64" s="7"/>
      <c r="F64" s="7"/>
      <c r="G64" s="7"/>
      <c r="H64" s="19"/>
      <c r="I64" s="8"/>
      <c r="J64" s="19"/>
      <c r="K64" s="7"/>
      <c r="L64" s="7"/>
      <c r="M64" s="7"/>
      <c r="N64" s="80"/>
      <c r="O64" s="80"/>
      <c r="P64" s="19"/>
      <c r="Q64" s="29"/>
      <c r="R64" s="30"/>
      <c r="S64" s="7"/>
      <c r="T64" s="7"/>
      <c r="U64" s="31"/>
      <c r="V64" s="7"/>
      <c r="W64" s="7"/>
      <c r="X64" s="7"/>
      <c r="Y64" s="7"/>
      <c r="Z64" s="7"/>
      <c r="AA64" s="7"/>
      <c r="AB64" s="7"/>
      <c r="AC64" s="7"/>
      <c r="AD64" s="7"/>
      <c r="AE64" s="7"/>
      <c r="AF64" s="7"/>
      <c r="AG64" s="7"/>
      <c r="AH64" s="7"/>
      <c r="AI64" s="7"/>
      <c r="AJ64" s="122"/>
      <c r="AK64" s="41"/>
      <c r="AL64" s="52"/>
      <c r="AM64" s="20"/>
      <c r="AN64" s="20"/>
      <c r="AO64" s="20"/>
      <c r="AP64" s="20"/>
      <c r="AQ64" s="7"/>
      <c r="AR64" s="7"/>
      <c r="AS64" s="7"/>
      <c r="AT64" s="7"/>
      <c r="AU64" s="7"/>
      <c r="AV64" s="20"/>
      <c r="AW64" s="7"/>
      <c r="AX64" s="7"/>
      <c r="AY64" s="7"/>
      <c r="AZ64" s="7"/>
      <c r="BA64" s="7"/>
      <c r="BB64" s="7"/>
      <c r="BC64" s="7"/>
      <c r="BD64" s="55"/>
      <c r="BE64" s="55"/>
      <c r="BF64" s="7"/>
      <c r="BG64" s="7"/>
      <c r="BH64" s="7"/>
      <c r="BI64" s="7"/>
      <c r="BJ64" s="7"/>
      <c r="BK64" s="7"/>
      <c r="BL64" s="7"/>
      <c r="BM64" s="7"/>
      <c r="BN64" s="41"/>
      <c r="BO64" s="62"/>
      <c r="BP64" s="50"/>
      <c r="BQ64" s="20"/>
      <c r="BR64" s="7"/>
      <c r="BS64" s="7"/>
      <c r="BT64" s="7"/>
      <c r="BU64" s="7"/>
      <c r="BV64" s="55"/>
      <c r="BW64" s="7"/>
      <c r="BX64" s="55"/>
      <c r="BY64" s="7"/>
      <c r="BZ64" s="7"/>
      <c r="CA64" s="7"/>
      <c r="CB64" s="7"/>
      <c r="CC64" s="73"/>
      <c r="CD64" s="71"/>
      <c r="CE64" s="72"/>
      <c r="CF64" s="7"/>
      <c r="CG64" s="7"/>
      <c r="CH64" s="7"/>
      <c r="CI64" s="7"/>
      <c r="CJ64" s="7"/>
      <c r="CK64" s="7"/>
      <c r="CL64" s="7"/>
      <c r="CM64" s="7"/>
      <c r="CN64" s="7"/>
      <c r="CO64" s="7"/>
      <c r="CP64" s="55"/>
      <c r="CQ64" s="7"/>
      <c r="CR64" s="7"/>
      <c r="CS64" s="130"/>
      <c r="CT64" s="7"/>
      <c r="CU64" s="7"/>
      <c r="CV64" s="7"/>
      <c r="CW64" s="7"/>
      <c r="CX64" s="7"/>
      <c r="CY64" s="73"/>
      <c r="CZ64" s="7"/>
      <c r="DA64" s="7"/>
      <c r="DB64" s="7"/>
      <c r="DC64" s="48"/>
      <c r="DD64" s="7"/>
      <c r="DE64" s="7"/>
      <c r="DF64" s="7"/>
      <c r="DG64" s="7"/>
      <c r="DH64" s="7"/>
      <c r="DI64" s="7"/>
      <c r="DJ64" s="7"/>
      <c r="DK64" s="7"/>
      <c r="DL64" s="74"/>
      <c r="DM64" s="7"/>
      <c r="DN64" s="7"/>
      <c r="DO64" s="7"/>
      <c r="DP64" s="7"/>
      <c r="DQ64" s="58"/>
      <c r="DR64" s="7"/>
      <c r="DS64" s="7"/>
      <c r="DT64" s="7"/>
      <c r="DU64" s="73"/>
      <c r="DV64" s="73"/>
      <c r="DW64" s="152"/>
      <c r="DX64" s="7"/>
      <c r="DY64" s="7"/>
      <c r="DZ64" s="7"/>
      <c r="EA64" s="7"/>
      <c r="EB64" s="7"/>
      <c r="EC64" s="7"/>
      <c r="ED64" s="7"/>
      <c r="EE64" s="7"/>
      <c r="EF64" s="7"/>
      <c r="EG64" s="7"/>
      <c r="EH64" s="7"/>
      <c r="EI64" s="7"/>
      <c r="EJ64" s="7"/>
      <c r="EK64" s="7"/>
      <c r="EL64" s="7"/>
      <c r="EM64" s="7"/>
      <c r="EN64" s="19"/>
      <c r="EO64" s="7"/>
      <c r="EP64" s="7"/>
      <c r="EQ64" s="7"/>
      <c r="ER64" s="7"/>
      <c r="ES64" s="7"/>
      <c r="ET64" s="55"/>
      <c r="EU64" s="7"/>
      <c r="EV64" s="7"/>
      <c r="EW64" s="7"/>
      <c r="EX64" s="7"/>
      <c r="EY64" s="7"/>
      <c r="EZ64" s="7"/>
      <c r="FA64" s="7"/>
      <c r="FB64" s="7"/>
      <c r="FC64" s="55"/>
      <c r="FD64" s="55"/>
      <c r="FE64" s="55"/>
      <c r="FF64" s="7"/>
      <c r="FG64" s="7"/>
      <c r="FH64" s="7"/>
      <c r="FI64" s="7"/>
      <c r="FJ64" s="7"/>
      <c r="FK64" s="7"/>
      <c r="FL64" s="7"/>
      <c r="FM64" s="7"/>
      <c r="FN64" s="7"/>
      <c r="FO64" s="7"/>
      <c r="FP64" s="7"/>
      <c r="FQ64" s="7"/>
      <c r="FR64" s="7"/>
      <c r="FS64" s="77"/>
      <c r="FT64" s="30"/>
      <c r="FU64" s="7"/>
      <c r="FV64" s="55"/>
      <c r="FW64" s="55"/>
      <c r="FX64" s="7"/>
      <c r="FY64" s="7"/>
      <c r="FZ64" s="7"/>
      <c r="GA64" s="7"/>
      <c r="GB64" s="7"/>
      <c r="GC64" s="7"/>
      <c r="GD64" s="103"/>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29"/>
      <c r="IF64" s="7"/>
      <c r="IG64" s="7"/>
      <c r="IH64" s="7"/>
      <c r="II64" s="7"/>
      <c r="IJ64" s="7"/>
      <c r="IK64" s="7"/>
      <c r="IL64" s="7"/>
      <c r="IM64" s="7"/>
      <c r="IN64" s="7"/>
      <c r="IO64" s="7"/>
      <c r="IP64" s="7"/>
      <c r="IQ64" s="7"/>
      <c r="IR64" s="7"/>
      <c r="IS64" s="7"/>
      <c r="IT64" s="55"/>
      <c r="IU64" s="7"/>
      <c r="IV64" s="7"/>
    </row>
    <row r="65" spans="1:256" s="11" customFormat="1" ht="12.75" customHeight="1">
      <c r="A65" s="19"/>
      <c r="B65" s="19"/>
      <c r="C65" s="388" t="s">
        <v>5407</v>
      </c>
      <c r="D65" s="19">
        <f>COUNTIF(SurveyDATA!E660:E831,"*Brgy.152*")</f>
        <v>2</v>
      </c>
      <c r="E65" s="7"/>
      <c r="F65" s="7"/>
      <c r="G65" s="7"/>
      <c r="H65" s="19"/>
      <c r="I65" s="8"/>
      <c r="J65" s="19"/>
      <c r="K65" s="7"/>
      <c r="L65" s="7"/>
      <c r="M65" s="7"/>
      <c r="N65" s="80"/>
      <c r="O65" s="80"/>
      <c r="P65" s="19"/>
      <c r="Q65" s="29"/>
      <c r="R65" s="30"/>
      <c r="S65" s="7"/>
      <c r="T65" s="7"/>
      <c r="U65" s="31"/>
      <c r="V65" s="7"/>
      <c r="W65" s="7"/>
      <c r="X65" s="7"/>
      <c r="Y65" s="7"/>
      <c r="Z65" s="7"/>
      <c r="AA65" s="7"/>
      <c r="AB65" s="7"/>
      <c r="AC65" s="7"/>
      <c r="AD65" s="7"/>
      <c r="AE65" s="7"/>
      <c r="AF65" s="7"/>
      <c r="AG65" s="7"/>
      <c r="AH65" s="7"/>
      <c r="AI65" s="7"/>
      <c r="AJ65" s="122"/>
      <c r="AK65" s="41"/>
      <c r="AL65" s="52"/>
      <c r="AM65" s="20"/>
      <c r="AN65" s="20"/>
      <c r="AO65" s="20"/>
      <c r="AP65" s="20"/>
      <c r="AQ65" s="7"/>
      <c r="AR65" s="7"/>
      <c r="AS65" s="7"/>
      <c r="AT65" s="7"/>
      <c r="AU65" s="7"/>
      <c r="AV65" s="20"/>
      <c r="AW65" s="7"/>
      <c r="AX65" s="7"/>
      <c r="AY65" s="7"/>
      <c r="AZ65" s="7"/>
      <c r="BA65" s="7"/>
      <c r="BB65" s="7"/>
      <c r="BC65" s="7"/>
      <c r="BD65" s="55"/>
      <c r="BE65" s="55"/>
      <c r="BF65" s="7"/>
      <c r="BG65" s="7"/>
      <c r="BH65" s="7"/>
      <c r="BI65" s="7"/>
      <c r="BJ65" s="7"/>
      <c r="BK65" s="7"/>
      <c r="BL65" s="7"/>
      <c r="BM65" s="7"/>
      <c r="BN65" s="41"/>
      <c r="BO65" s="62"/>
      <c r="BP65" s="50"/>
      <c r="BQ65" s="20"/>
      <c r="BR65" s="7"/>
      <c r="BS65" s="7"/>
      <c r="BT65" s="7"/>
      <c r="BU65" s="7"/>
      <c r="BV65" s="55"/>
      <c r="BW65" s="7"/>
      <c r="BX65" s="55"/>
      <c r="BY65" s="7"/>
      <c r="BZ65" s="7"/>
      <c r="CA65" s="7"/>
      <c r="CB65" s="7"/>
      <c r="CC65" s="73"/>
      <c r="CD65" s="71"/>
      <c r="CE65" s="72"/>
      <c r="CF65" s="7"/>
      <c r="CG65" s="7"/>
      <c r="CH65" s="7"/>
      <c r="CI65" s="7"/>
      <c r="CJ65" s="7"/>
      <c r="CK65" s="7"/>
      <c r="CL65" s="7"/>
      <c r="CM65" s="7"/>
      <c r="CN65" s="7"/>
      <c r="CO65" s="7"/>
      <c r="CP65" s="55"/>
      <c r="CQ65" s="7"/>
      <c r="CR65" s="7"/>
      <c r="CS65" s="130"/>
      <c r="CT65" s="7"/>
      <c r="CU65" s="7"/>
      <c r="CV65" s="7"/>
      <c r="CW65" s="7"/>
      <c r="CX65" s="7"/>
      <c r="CY65" s="73"/>
      <c r="CZ65" s="7"/>
      <c r="DA65" s="7"/>
      <c r="DB65" s="7"/>
      <c r="DC65" s="48"/>
      <c r="DD65" s="7"/>
      <c r="DE65" s="7"/>
      <c r="DF65" s="7"/>
      <c r="DG65" s="7"/>
      <c r="DH65" s="7"/>
      <c r="DI65" s="7"/>
      <c r="DJ65" s="7"/>
      <c r="DK65" s="7"/>
      <c r="DL65" s="74"/>
      <c r="DM65" s="7"/>
      <c r="DN65" s="7"/>
      <c r="DO65" s="7"/>
      <c r="DP65" s="7"/>
      <c r="DQ65" s="58"/>
      <c r="DR65" s="7"/>
      <c r="DS65" s="7"/>
      <c r="DT65" s="7"/>
      <c r="DU65" s="73"/>
      <c r="DV65" s="73"/>
      <c r="DW65" s="152"/>
      <c r="DX65" s="7"/>
      <c r="DY65" s="7"/>
      <c r="DZ65" s="7"/>
      <c r="EA65" s="7"/>
      <c r="EB65" s="7"/>
      <c r="EC65" s="7"/>
      <c r="ED65" s="7"/>
      <c r="EE65" s="7"/>
      <c r="EF65" s="7"/>
      <c r="EG65" s="7"/>
      <c r="EH65" s="7"/>
      <c r="EI65" s="7"/>
      <c r="EJ65" s="7"/>
      <c r="EK65" s="7"/>
      <c r="EL65" s="7"/>
      <c r="EM65" s="7"/>
      <c r="EN65" s="19"/>
      <c r="EO65" s="7"/>
      <c r="EP65" s="7"/>
      <c r="EQ65" s="7"/>
      <c r="ER65" s="7"/>
      <c r="ES65" s="7"/>
      <c r="ET65" s="55"/>
      <c r="EU65" s="7"/>
      <c r="EV65" s="7"/>
      <c r="EW65" s="7"/>
      <c r="EX65" s="7"/>
      <c r="EY65" s="7"/>
      <c r="EZ65" s="7"/>
      <c r="FA65" s="7"/>
      <c r="FB65" s="7"/>
      <c r="FC65" s="55"/>
      <c r="FD65" s="55"/>
      <c r="FE65" s="55"/>
      <c r="FF65" s="7"/>
      <c r="FG65" s="7"/>
      <c r="FH65" s="7"/>
      <c r="FI65" s="7"/>
      <c r="FJ65" s="7"/>
      <c r="FK65" s="7"/>
      <c r="FL65" s="7"/>
      <c r="FM65" s="7"/>
      <c r="FN65" s="7"/>
      <c r="FO65" s="7"/>
      <c r="FP65" s="7"/>
      <c r="FQ65" s="7"/>
      <c r="FR65" s="7"/>
      <c r="FS65" s="77"/>
      <c r="FT65" s="30"/>
      <c r="FU65" s="7"/>
      <c r="FV65" s="55"/>
      <c r="FW65" s="55"/>
      <c r="FX65" s="7"/>
      <c r="FY65" s="7"/>
      <c r="FZ65" s="7"/>
      <c r="GA65" s="7"/>
      <c r="GB65" s="7"/>
      <c r="GC65" s="7"/>
      <c r="GD65" s="103"/>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29"/>
      <c r="IF65" s="7"/>
      <c r="IG65" s="7"/>
      <c r="IH65" s="7"/>
      <c r="II65" s="7"/>
      <c r="IJ65" s="7"/>
      <c r="IK65" s="7"/>
      <c r="IL65" s="7"/>
      <c r="IM65" s="7"/>
      <c r="IN65" s="7"/>
      <c r="IO65" s="7"/>
      <c r="IP65" s="7"/>
      <c r="IQ65" s="7"/>
      <c r="IR65" s="7"/>
      <c r="IS65" s="7"/>
      <c r="IT65" s="55"/>
      <c r="IU65" s="7"/>
      <c r="IV65" s="7"/>
    </row>
    <row r="66" spans="1:256" s="11" customFormat="1" ht="12.75" customHeight="1">
      <c r="A66" s="19"/>
      <c r="B66" s="19"/>
      <c r="C66" s="388" t="s">
        <v>5408</v>
      </c>
      <c r="D66" s="19">
        <f>COUNTIF(SurveyDATA!E660:E831,"*Brgy.155*")</f>
        <v>6</v>
      </c>
      <c r="E66" s="7"/>
      <c r="F66" s="7"/>
      <c r="G66" s="7"/>
      <c r="H66" s="19"/>
      <c r="I66" s="8"/>
      <c r="J66" s="19"/>
      <c r="K66" s="7"/>
      <c r="L66" s="7"/>
      <c r="M66" s="7"/>
      <c r="N66" s="80"/>
      <c r="O66" s="80"/>
      <c r="P66" s="19"/>
      <c r="Q66" s="29"/>
      <c r="R66" s="30"/>
      <c r="S66" s="7"/>
      <c r="T66" s="7"/>
      <c r="U66" s="31"/>
      <c r="V66" s="7"/>
      <c r="W66" s="7"/>
      <c r="X66" s="7"/>
      <c r="Y66" s="7"/>
      <c r="Z66" s="7"/>
      <c r="AA66" s="7"/>
      <c r="AB66" s="7"/>
      <c r="AC66" s="7"/>
      <c r="AD66" s="7"/>
      <c r="AE66" s="7"/>
      <c r="AF66" s="7"/>
      <c r="AG66" s="7"/>
      <c r="AH66" s="7"/>
      <c r="AI66" s="7"/>
      <c r="AJ66" s="122"/>
      <c r="AK66" s="41"/>
      <c r="AL66" s="52"/>
      <c r="AM66" s="20"/>
      <c r="AN66" s="20"/>
      <c r="AO66" s="20"/>
      <c r="AP66" s="20"/>
      <c r="AQ66" s="7"/>
      <c r="AR66" s="7"/>
      <c r="AS66" s="7"/>
      <c r="AT66" s="7"/>
      <c r="AU66" s="7"/>
      <c r="AV66" s="20"/>
      <c r="AW66" s="7"/>
      <c r="AX66" s="7"/>
      <c r="AY66" s="7"/>
      <c r="AZ66" s="7"/>
      <c r="BA66" s="7"/>
      <c r="BB66" s="7"/>
      <c r="BC66" s="7"/>
      <c r="BD66" s="55"/>
      <c r="BE66" s="55"/>
      <c r="BF66" s="7"/>
      <c r="BG66" s="7"/>
      <c r="BH66" s="7"/>
      <c r="BI66" s="7"/>
      <c r="BJ66" s="7"/>
      <c r="BK66" s="7"/>
      <c r="BL66" s="7"/>
      <c r="BM66" s="7"/>
      <c r="BN66" s="41"/>
      <c r="BO66" s="62"/>
      <c r="BP66" s="50"/>
      <c r="BQ66" s="20"/>
      <c r="BR66" s="7"/>
      <c r="BS66" s="7"/>
      <c r="BT66" s="7"/>
      <c r="BU66" s="7"/>
      <c r="BV66" s="55"/>
      <c r="BW66" s="7"/>
      <c r="BX66" s="55"/>
      <c r="BY66" s="7"/>
      <c r="BZ66" s="7"/>
      <c r="CA66" s="7"/>
      <c r="CB66" s="7"/>
      <c r="CC66" s="73"/>
      <c r="CD66" s="71"/>
      <c r="CE66" s="72"/>
      <c r="CF66" s="7"/>
      <c r="CG66" s="7"/>
      <c r="CH66" s="7"/>
      <c r="CI66" s="7"/>
      <c r="CJ66" s="7"/>
      <c r="CK66" s="7"/>
      <c r="CL66" s="7"/>
      <c r="CM66" s="7"/>
      <c r="CN66" s="7"/>
      <c r="CO66" s="7"/>
      <c r="CP66" s="55"/>
      <c r="CQ66" s="7"/>
      <c r="CR66" s="7"/>
      <c r="CS66" s="130"/>
      <c r="CT66" s="7"/>
      <c r="CU66" s="7"/>
      <c r="CV66" s="7"/>
      <c r="CW66" s="7"/>
      <c r="CX66" s="7"/>
      <c r="CY66" s="73"/>
      <c r="CZ66" s="7"/>
      <c r="DA66" s="7"/>
      <c r="DB66" s="7"/>
      <c r="DC66" s="48"/>
      <c r="DD66" s="7"/>
      <c r="DE66" s="7"/>
      <c r="DF66" s="7"/>
      <c r="DG66" s="7"/>
      <c r="DH66" s="7"/>
      <c r="DI66" s="7"/>
      <c r="DJ66" s="7"/>
      <c r="DK66" s="7"/>
      <c r="DL66" s="74"/>
      <c r="DM66" s="7"/>
      <c r="DN66" s="7"/>
      <c r="DO66" s="7"/>
      <c r="DP66" s="7"/>
      <c r="DQ66" s="58"/>
      <c r="DR66" s="7"/>
      <c r="DS66" s="7"/>
      <c r="DT66" s="7"/>
      <c r="DU66" s="73"/>
      <c r="DV66" s="73"/>
      <c r="DW66" s="152"/>
      <c r="DX66" s="7"/>
      <c r="DY66" s="7"/>
      <c r="DZ66" s="7"/>
      <c r="EA66" s="7"/>
      <c r="EB66" s="7"/>
      <c r="EC66" s="7"/>
      <c r="ED66" s="7"/>
      <c r="EE66" s="7"/>
      <c r="EF66" s="7"/>
      <c r="EG66" s="7"/>
      <c r="EH66" s="7"/>
      <c r="EI66" s="7"/>
      <c r="EJ66" s="7"/>
      <c r="EK66" s="7"/>
      <c r="EL66" s="7"/>
      <c r="EM66" s="7"/>
      <c r="EN66" s="19"/>
      <c r="EO66" s="7"/>
      <c r="EP66" s="7"/>
      <c r="EQ66" s="7"/>
      <c r="ER66" s="7"/>
      <c r="ES66" s="7"/>
      <c r="ET66" s="55"/>
      <c r="EU66" s="7"/>
      <c r="EV66" s="7"/>
      <c r="EW66" s="7"/>
      <c r="EX66" s="7"/>
      <c r="EY66" s="7"/>
      <c r="EZ66" s="7"/>
      <c r="FA66" s="7"/>
      <c r="FB66" s="7"/>
      <c r="FC66" s="55"/>
      <c r="FD66" s="55"/>
      <c r="FE66" s="55"/>
      <c r="FF66" s="7"/>
      <c r="FG66" s="7"/>
      <c r="FH66" s="7"/>
      <c r="FI66" s="7"/>
      <c r="FJ66" s="7"/>
      <c r="FK66" s="7"/>
      <c r="FL66" s="7"/>
      <c r="FM66" s="7"/>
      <c r="FN66" s="7"/>
      <c r="FO66" s="7"/>
      <c r="FP66" s="7"/>
      <c r="FQ66" s="7"/>
      <c r="FR66" s="7"/>
      <c r="FS66" s="77"/>
      <c r="FT66" s="30"/>
      <c r="FU66" s="7"/>
      <c r="FV66" s="55"/>
      <c r="FW66" s="55"/>
      <c r="FX66" s="7"/>
      <c r="FY66" s="7"/>
      <c r="FZ66" s="7"/>
      <c r="GA66" s="7"/>
      <c r="GB66" s="7"/>
      <c r="GC66" s="7"/>
      <c r="GD66" s="103"/>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29"/>
      <c r="IF66" s="7"/>
      <c r="IG66" s="7"/>
      <c r="IH66" s="7"/>
      <c r="II66" s="7"/>
      <c r="IJ66" s="7"/>
      <c r="IK66" s="7"/>
      <c r="IL66" s="7"/>
      <c r="IM66" s="7"/>
      <c r="IN66" s="7"/>
      <c r="IO66" s="7"/>
      <c r="IP66" s="7"/>
      <c r="IQ66" s="7"/>
      <c r="IR66" s="7"/>
      <c r="IS66" s="7"/>
      <c r="IT66" s="55"/>
      <c r="IU66" s="7"/>
      <c r="IV66" s="7"/>
    </row>
    <row r="67" spans="1:256" s="11" customFormat="1" ht="12.75" customHeight="1">
      <c r="A67" s="19"/>
      <c r="B67" s="19"/>
      <c r="C67" s="388" t="s">
        <v>5413</v>
      </c>
      <c r="D67" s="19">
        <f>COUNTIF(SurveyDATA!E660:E831,"*Brgy.156*")</f>
        <v>15</v>
      </c>
      <c r="E67" s="7"/>
      <c r="F67" s="7"/>
      <c r="G67" s="7"/>
      <c r="H67" s="19"/>
      <c r="I67" s="8"/>
      <c r="J67" s="19"/>
      <c r="K67" s="7"/>
      <c r="L67" s="7"/>
      <c r="M67" s="7"/>
      <c r="N67" s="80"/>
      <c r="O67" s="80"/>
      <c r="P67" s="19"/>
      <c r="Q67" s="29"/>
      <c r="R67" s="30"/>
      <c r="S67" s="7"/>
      <c r="T67" s="7"/>
      <c r="U67" s="31"/>
      <c r="V67" s="7"/>
      <c r="W67" s="7"/>
      <c r="X67" s="7"/>
      <c r="Y67" s="7"/>
      <c r="Z67" s="7"/>
      <c r="AA67" s="7"/>
      <c r="AB67" s="7"/>
      <c r="AC67" s="7"/>
      <c r="AD67" s="7"/>
      <c r="AE67" s="7"/>
      <c r="AF67" s="7"/>
      <c r="AG67" s="7"/>
      <c r="AH67" s="7"/>
      <c r="AI67" s="7"/>
      <c r="AJ67" s="122"/>
      <c r="AK67" s="41"/>
      <c r="AL67" s="52"/>
      <c r="AM67" s="20"/>
      <c r="AN67" s="20"/>
      <c r="AO67" s="20"/>
      <c r="AP67" s="20"/>
      <c r="AQ67" s="7"/>
      <c r="AR67" s="7"/>
      <c r="AS67" s="7"/>
      <c r="AT67" s="7"/>
      <c r="AU67" s="7"/>
      <c r="AV67" s="20"/>
      <c r="AW67" s="7"/>
      <c r="AX67" s="7"/>
      <c r="AY67" s="7"/>
      <c r="AZ67" s="7"/>
      <c r="BA67" s="7"/>
      <c r="BB67" s="7"/>
      <c r="BC67" s="7"/>
      <c r="BD67" s="55"/>
      <c r="BE67" s="55"/>
      <c r="BF67" s="7"/>
      <c r="BG67" s="7"/>
      <c r="BH67" s="7"/>
      <c r="BI67" s="7"/>
      <c r="BJ67" s="7"/>
      <c r="BK67" s="7"/>
      <c r="BL67" s="7"/>
      <c r="BM67" s="7"/>
      <c r="BN67" s="41"/>
      <c r="BO67" s="62"/>
      <c r="BP67" s="50"/>
      <c r="BQ67" s="20"/>
      <c r="BR67" s="7"/>
      <c r="BS67" s="7"/>
      <c r="BT67" s="7"/>
      <c r="BU67" s="7"/>
      <c r="BV67" s="55"/>
      <c r="BW67" s="7"/>
      <c r="BX67" s="55"/>
      <c r="BY67" s="7"/>
      <c r="BZ67" s="7"/>
      <c r="CA67" s="7"/>
      <c r="CB67" s="7"/>
      <c r="CC67" s="73"/>
      <c r="CD67" s="71"/>
      <c r="CE67" s="72"/>
      <c r="CF67" s="7"/>
      <c r="CG67" s="7"/>
      <c r="CH67" s="7"/>
      <c r="CI67" s="7"/>
      <c r="CJ67" s="7"/>
      <c r="CK67" s="7"/>
      <c r="CL67" s="7"/>
      <c r="CM67" s="7"/>
      <c r="CN67" s="7"/>
      <c r="CO67" s="7"/>
      <c r="CP67" s="55"/>
      <c r="CQ67" s="7"/>
      <c r="CR67" s="7"/>
      <c r="CS67" s="130"/>
      <c r="CT67" s="7"/>
      <c r="CU67" s="7"/>
      <c r="CV67" s="7"/>
      <c r="CW67" s="7"/>
      <c r="CX67" s="7"/>
      <c r="CY67" s="73"/>
      <c r="CZ67" s="7"/>
      <c r="DA67" s="7"/>
      <c r="DB67" s="7"/>
      <c r="DC67" s="48"/>
      <c r="DD67" s="7"/>
      <c r="DE67" s="7"/>
      <c r="DF67" s="7"/>
      <c r="DG67" s="7"/>
      <c r="DH67" s="7"/>
      <c r="DI67" s="7"/>
      <c r="DJ67" s="7"/>
      <c r="DK67" s="7"/>
      <c r="DL67" s="74"/>
      <c r="DM67" s="7"/>
      <c r="DN67" s="7"/>
      <c r="DO67" s="7"/>
      <c r="DP67" s="7"/>
      <c r="DQ67" s="58"/>
      <c r="DR67" s="7"/>
      <c r="DS67" s="7"/>
      <c r="DT67" s="7"/>
      <c r="DU67" s="73"/>
      <c r="DV67" s="73"/>
      <c r="DW67" s="152"/>
      <c r="DX67" s="7"/>
      <c r="DY67" s="7"/>
      <c r="DZ67" s="7"/>
      <c r="EA67" s="7"/>
      <c r="EB67" s="7"/>
      <c r="EC67" s="7"/>
      <c r="ED67" s="7"/>
      <c r="EE67" s="7"/>
      <c r="EF67" s="7"/>
      <c r="EG67" s="7"/>
      <c r="EH67" s="7"/>
      <c r="EI67" s="7"/>
      <c r="EJ67" s="7"/>
      <c r="EK67" s="7"/>
      <c r="EL67" s="7"/>
      <c r="EM67" s="7"/>
      <c r="EN67" s="19"/>
      <c r="EO67" s="7"/>
      <c r="EP67" s="7"/>
      <c r="EQ67" s="7"/>
      <c r="ER67" s="7"/>
      <c r="ES67" s="7"/>
      <c r="ET67" s="55"/>
      <c r="EU67" s="7"/>
      <c r="EV67" s="7"/>
      <c r="EW67" s="7"/>
      <c r="EX67" s="7"/>
      <c r="EY67" s="7"/>
      <c r="EZ67" s="7"/>
      <c r="FA67" s="7"/>
      <c r="FB67" s="7"/>
      <c r="FC67" s="55"/>
      <c r="FD67" s="55"/>
      <c r="FE67" s="55"/>
      <c r="FF67" s="7"/>
      <c r="FG67" s="7"/>
      <c r="FH67" s="7"/>
      <c r="FI67" s="7"/>
      <c r="FJ67" s="7"/>
      <c r="FK67" s="7"/>
      <c r="FL67" s="7"/>
      <c r="FM67" s="7"/>
      <c r="FN67" s="7"/>
      <c r="FO67" s="7"/>
      <c r="FP67" s="7"/>
      <c r="FQ67" s="7"/>
      <c r="FR67" s="7"/>
      <c r="FS67" s="77"/>
      <c r="FT67" s="30"/>
      <c r="FU67" s="7"/>
      <c r="FV67" s="55"/>
      <c r="FW67" s="55"/>
      <c r="FX67" s="7"/>
      <c r="FY67" s="7"/>
      <c r="FZ67" s="7"/>
      <c r="GA67" s="7"/>
      <c r="GB67" s="7"/>
      <c r="GC67" s="7"/>
      <c r="GD67" s="103"/>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29"/>
      <c r="IF67" s="7"/>
      <c r="IG67" s="7"/>
      <c r="IH67" s="7"/>
      <c r="II67" s="7"/>
      <c r="IJ67" s="7"/>
      <c r="IK67" s="7"/>
      <c r="IL67" s="7"/>
      <c r="IM67" s="7"/>
      <c r="IN67" s="7"/>
      <c r="IO67" s="7"/>
      <c r="IP67" s="7"/>
      <c r="IQ67" s="7"/>
      <c r="IR67" s="7"/>
      <c r="IS67" s="7"/>
      <c r="IT67" s="55"/>
      <c r="IU67" s="7"/>
      <c r="IV67" s="7"/>
    </row>
    <row r="68" spans="1:256" s="11" customFormat="1" ht="12.75" customHeight="1">
      <c r="A68" s="19"/>
      <c r="B68" s="19"/>
      <c r="C68" s="388" t="s">
        <v>5409</v>
      </c>
      <c r="D68" s="19">
        <f>COUNTIF(SurveyDATA!E660:E831,"*Brgy.159*")</f>
        <v>50</v>
      </c>
      <c r="E68" s="7"/>
      <c r="F68" s="7"/>
      <c r="G68" s="7"/>
      <c r="H68" s="19"/>
      <c r="I68" s="8"/>
      <c r="J68" s="19"/>
      <c r="K68" s="7"/>
      <c r="L68" s="7"/>
      <c r="M68" s="7"/>
      <c r="N68" s="80"/>
      <c r="O68" s="80"/>
      <c r="P68" s="19"/>
      <c r="Q68" s="29"/>
      <c r="R68" s="30"/>
      <c r="S68" s="7"/>
      <c r="T68" s="7"/>
      <c r="U68" s="31"/>
      <c r="V68" s="7"/>
      <c r="W68" s="7"/>
      <c r="X68" s="7"/>
      <c r="Y68" s="7"/>
      <c r="Z68" s="7"/>
      <c r="AA68" s="7"/>
      <c r="AB68" s="7"/>
      <c r="AC68" s="7"/>
      <c r="AD68" s="7"/>
      <c r="AE68" s="7"/>
      <c r="AF68" s="7"/>
      <c r="AG68" s="7"/>
      <c r="AH68" s="7"/>
      <c r="AI68" s="7"/>
      <c r="AJ68" s="122"/>
      <c r="AK68" s="41"/>
      <c r="AL68" s="52"/>
      <c r="AM68" s="20"/>
      <c r="AN68" s="20"/>
      <c r="AO68" s="20"/>
      <c r="AP68" s="20"/>
      <c r="AQ68" s="7"/>
      <c r="AR68" s="7"/>
      <c r="AS68" s="7"/>
      <c r="AT68" s="7"/>
      <c r="AU68" s="7"/>
      <c r="AV68" s="20"/>
      <c r="AW68" s="7"/>
      <c r="AX68" s="7"/>
      <c r="AY68" s="7"/>
      <c r="AZ68" s="7"/>
      <c r="BA68" s="7"/>
      <c r="BB68" s="7"/>
      <c r="BC68" s="7"/>
      <c r="BD68" s="55"/>
      <c r="BE68" s="55"/>
      <c r="BF68" s="7"/>
      <c r="BG68" s="7"/>
      <c r="BH68" s="7"/>
      <c r="BI68" s="7"/>
      <c r="BJ68" s="7"/>
      <c r="BK68" s="7"/>
      <c r="BL68" s="7"/>
      <c r="BM68" s="7"/>
      <c r="BN68" s="41"/>
      <c r="BO68" s="62"/>
      <c r="BP68" s="50"/>
      <c r="BQ68" s="20"/>
      <c r="BR68" s="7"/>
      <c r="BS68" s="7"/>
      <c r="BT68" s="7"/>
      <c r="BU68" s="7"/>
      <c r="BV68" s="55"/>
      <c r="BW68" s="7"/>
      <c r="BX68" s="55"/>
      <c r="BY68" s="7"/>
      <c r="BZ68" s="7"/>
      <c r="CA68" s="7"/>
      <c r="CB68" s="7"/>
      <c r="CC68" s="73"/>
      <c r="CD68" s="71"/>
      <c r="CE68" s="72"/>
      <c r="CF68" s="7"/>
      <c r="CG68" s="7"/>
      <c r="CH68" s="7"/>
      <c r="CI68" s="7"/>
      <c r="CJ68" s="7"/>
      <c r="CK68" s="7"/>
      <c r="CL68" s="7"/>
      <c r="CM68" s="7"/>
      <c r="CN68" s="7"/>
      <c r="CO68" s="7"/>
      <c r="CP68" s="55"/>
      <c r="CQ68" s="7"/>
      <c r="CR68" s="7"/>
      <c r="CS68" s="130"/>
      <c r="CT68" s="7"/>
      <c r="CU68" s="7"/>
      <c r="CV68" s="7"/>
      <c r="CW68" s="7"/>
      <c r="CX68" s="7"/>
      <c r="CY68" s="73"/>
      <c r="CZ68" s="7"/>
      <c r="DA68" s="7"/>
      <c r="DB68" s="7"/>
      <c r="DC68" s="48"/>
      <c r="DD68" s="7"/>
      <c r="DE68" s="7"/>
      <c r="DF68" s="7"/>
      <c r="DG68" s="7"/>
      <c r="DH68" s="7"/>
      <c r="DI68" s="7"/>
      <c r="DJ68" s="7"/>
      <c r="DK68" s="7"/>
      <c r="DL68" s="74"/>
      <c r="DM68" s="7"/>
      <c r="DN68" s="7"/>
      <c r="DO68" s="7"/>
      <c r="DP68" s="7"/>
      <c r="DQ68" s="58"/>
      <c r="DR68" s="7"/>
      <c r="DS68" s="7"/>
      <c r="DT68" s="7"/>
      <c r="DU68" s="73"/>
      <c r="DV68" s="73"/>
      <c r="DW68" s="152"/>
      <c r="DX68" s="7"/>
      <c r="DY68" s="7"/>
      <c r="DZ68" s="7"/>
      <c r="EA68" s="7"/>
      <c r="EB68" s="7"/>
      <c r="EC68" s="7"/>
      <c r="ED68" s="7"/>
      <c r="EE68" s="7"/>
      <c r="EF68" s="7"/>
      <c r="EG68" s="7"/>
      <c r="EH68" s="7"/>
      <c r="EI68" s="7"/>
      <c r="EJ68" s="7"/>
      <c r="EK68" s="7"/>
      <c r="EL68" s="7"/>
      <c r="EM68" s="7"/>
      <c r="EN68" s="19"/>
      <c r="EO68" s="7"/>
      <c r="EP68" s="7"/>
      <c r="EQ68" s="7"/>
      <c r="ER68" s="7"/>
      <c r="ES68" s="7"/>
      <c r="ET68" s="55"/>
      <c r="EU68" s="7"/>
      <c r="EV68" s="7"/>
      <c r="EW68" s="7"/>
      <c r="EX68" s="7"/>
      <c r="EY68" s="7"/>
      <c r="EZ68" s="7"/>
      <c r="FA68" s="7"/>
      <c r="FB68" s="7"/>
      <c r="FC68" s="55"/>
      <c r="FD68" s="55"/>
      <c r="FE68" s="55"/>
      <c r="FF68" s="7"/>
      <c r="FG68" s="7"/>
      <c r="FH68" s="7"/>
      <c r="FI68" s="7"/>
      <c r="FJ68" s="7"/>
      <c r="FK68" s="7"/>
      <c r="FL68" s="7"/>
      <c r="FM68" s="7"/>
      <c r="FN68" s="7"/>
      <c r="FO68" s="7"/>
      <c r="FP68" s="7"/>
      <c r="FQ68" s="7"/>
      <c r="FR68" s="7"/>
      <c r="FS68" s="77"/>
      <c r="FT68" s="30"/>
      <c r="FU68" s="7"/>
      <c r="FV68" s="55"/>
      <c r="FW68" s="55"/>
      <c r="FX68" s="7"/>
      <c r="FY68" s="7"/>
      <c r="FZ68" s="7"/>
      <c r="GA68" s="7"/>
      <c r="GB68" s="7"/>
      <c r="GC68" s="7"/>
      <c r="GD68" s="103"/>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29"/>
      <c r="IF68" s="7"/>
      <c r="IG68" s="7"/>
      <c r="IH68" s="7"/>
      <c r="II68" s="7"/>
      <c r="IJ68" s="7"/>
      <c r="IK68" s="7"/>
      <c r="IL68" s="7"/>
      <c r="IM68" s="7"/>
      <c r="IN68" s="7"/>
      <c r="IO68" s="7"/>
      <c r="IP68" s="7"/>
      <c r="IQ68" s="7"/>
      <c r="IR68" s="7"/>
      <c r="IS68" s="7"/>
      <c r="IT68" s="55"/>
      <c r="IU68" s="7"/>
      <c r="IV68" s="7"/>
    </row>
    <row r="69" spans="1:256" s="11" customFormat="1" ht="12.75" customHeight="1">
      <c r="A69" s="19"/>
      <c r="B69" s="19"/>
      <c r="C69" s="388" t="s">
        <v>5403</v>
      </c>
      <c r="D69" s="19">
        <f>COUNTIF(SurveyDATA!E660:E831,"*Brgy.164*")</f>
        <v>5</v>
      </c>
      <c r="E69" s="7"/>
      <c r="F69" s="7"/>
      <c r="G69" s="7"/>
      <c r="H69" s="19"/>
      <c r="I69" s="8"/>
      <c r="J69" s="19"/>
      <c r="K69" s="7"/>
      <c r="L69" s="7"/>
      <c r="M69" s="7"/>
      <c r="N69" s="80"/>
      <c r="O69" s="80"/>
      <c r="P69" s="19"/>
      <c r="Q69" s="29"/>
      <c r="R69" s="30"/>
      <c r="S69" s="7"/>
      <c r="T69" s="7"/>
      <c r="U69" s="31"/>
      <c r="V69" s="7"/>
      <c r="W69" s="7"/>
      <c r="X69" s="7"/>
      <c r="Y69" s="7"/>
      <c r="Z69" s="7"/>
      <c r="AA69" s="7"/>
      <c r="AB69" s="7"/>
      <c r="AC69" s="7"/>
      <c r="AD69" s="7"/>
      <c r="AE69" s="7"/>
      <c r="AF69" s="7"/>
      <c r="AG69" s="7"/>
      <c r="AH69" s="7"/>
      <c r="AI69" s="7"/>
      <c r="AJ69" s="122"/>
      <c r="AK69" s="41"/>
      <c r="AL69" s="52"/>
      <c r="AM69" s="20"/>
      <c r="AN69" s="20"/>
      <c r="AO69" s="20"/>
      <c r="AP69" s="20"/>
      <c r="AQ69" s="7"/>
      <c r="AR69" s="7"/>
      <c r="AS69" s="7"/>
      <c r="AT69" s="7"/>
      <c r="AU69" s="7"/>
      <c r="AV69" s="20"/>
      <c r="AW69" s="7"/>
      <c r="AX69" s="7"/>
      <c r="AY69" s="7"/>
      <c r="AZ69" s="7"/>
      <c r="BA69" s="7"/>
      <c r="BB69" s="7"/>
      <c r="BC69" s="7"/>
      <c r="BD69" s="55"/>
      <c r="BE69" s="55"/>
      <c r="BF69" s="7"/>
      <c r="BG69" s="7"/>
      <c r="BH69" s="7"/>
      <c r="BI69" s="7"/>
      <c r="BJ69" s="7"/>
      <c r="BK69" s="7"/>
      <c r="BL69" s="7"/>
      <c r="BM69" s="7"/>
      <c r="BN69" s="41"/>
      <c r="BO69" s="62"/>
      <c r="BP69" s="50"/>
      <c r="BQ69" s="20"/>
      <c r="BR69" s="7"/>
      <c r="BS69" s="7"/>
      <c r="BT69" s="7"/>
      <c r="BU69" s="7"/>
      <c r="BV69" s="55"/>
      <c r="BW69" s="7"/>
      <c r="BX69" s="55"/>
      <c r="BY69" s="7"/>
      <c r="BZ69" s="7"/>
      <c r="CA69" s="7"/>
      <c r="CB69" s="7"/>
      <c r="CC69" s="73"/>
      <c r="CD69" s="71"/>
      <c r="CE69" s="72"/>
      <c r="CF69" s="7"/>
      <c r="CG69" s="7"/>
      <c r="CH69" s="7"/>
      <c r="CI69" s="7"/>
      <c r="CJ69" s="7"/>
      <c r="CK69" s="7"/>
      <c r="CL69" s="7"/>
      <c r="CM69" s="7"/>
      <c r="CN69" s="7"/>
      <c r="CO69" s="7"/>
      <c r="CP69" s="55"/>
      <c r="CQ69" s="7"/>
      <c r="CR69" s="7"/>
      <c r="CS69" s="130"/>
      <c r="CT69" s="7"/>
      <c r="CU69" s="7"/>
      <c r="CV69" s="7"/>
      <c r="CW69" s="7"/>
      <c r="CX69" s="7"/>
      <c r="CY69" s="73"/>
      <c r="CZ69" s="7"/>
      <c r="DA69" s="7"/>
      <c r="DB69" s="7"/>
      <c r="DC69" s="48"/>
      <c r="DD69" s="7"/>
      <c r="DE69" s="7"/>
      <c r="DF69" s="7"/>
      <c r="DG69" s="7"/>
      <c r="DH69" s="7"/>
      <c r="DI69" s="7"/>
      <c r="DJ69" s="7"/>
      <c r="DK69" s="7"/>
      <c r="DL69" s="74"/>
      <c r="DM69" s="7"/>
      <c r="DN69" s="7"/>
      <c r="DO69" s="7"/>
      <c r="DP69" s="7"/>
      <c r="DQ69" s="58"/>
      <c r="DR69" s="7"/>
      <c r="DS69" s="7"/>
      <c r="DT69" s="7"/>
      <c r="DU69" s="73"/>
      <c r="DV69" s="73"/>
      <c r="DW69" s="152"/>
      <c r="DX69" s="7"/>
      <c r="DY69" s="7"/>
      <c r="DZ69" s="7"/>
      <c r="EA69" s="7"/>
      <c r="EB69" s="7"/>
      <c r="EC69" s="7"/>
      <c r="ED69" s="7"/>
      <c r="EE69" s="7"/>
      <c r="EF69" s="7"/>
      <c r="EG69" s="7"/>
      <c r="EH69" s="7"/>
      <c r="EI69" s="7"/>
      <c r="EJ69" s="7"/>
      <c r="EK69" s="7"/>
      <c r="EL69" s="7"/>
      <c r="EM69" s="7"/>
      <c r="EN69" s="19"/>
      <c r="EO69" s="7"/>
      <c r="EP69" s="7"/>
      <c r="EQ69" s="7"/>
      <c r="ER69" s="7"/>
      <c r="ES69" s="7"/>
      <c r="ET69" s="55"/>
      <c r="EU69" s="7"/>
      <c r="EV69" s="7"/>
      <c r="EW69" s="7"/>
      <c r="EX69" s="7"/>
      <c r="EY69" s="7"/>
      <c r="EZ69" s="7"/>
      <c r="FA69" s="7"/>
      <c r="FB69" s="7"/>
      <c r="FC69" s="55"/>
      <c r="FD69" s="55"/>
      <c r="FE69" s="55"/>
      <c r="FF69" s="7"/>
      <c r="FG69" s="7"/>
      <c r="FH69" s="7"/>
      <c r="FI69" s="7"/>
      <c r="FJ69" s="7"/>
      <c r="FK69" s="7"/>
      <c r="FL69" s="7"/>
      <c r="FM69" s="7"/>
      <c r="FN69" s="7"/>
      <c r="FO69" s="7"/>
      <c r="FP69" s="7"/>
      <c r="FQ69" s="7"/>
      <c r="FR69" s="7"/>
      <c r="FS69" s="77"/>
      <c r="FT69" s="30"/>
      <c r="FU69" s="7"/>
      <c r="FV69" s="55"/>
      <c r="FW69" s="55"/>
      <c r="FX69" s="7"/>
      <c r="FY69" s="7"/>
      <c r="FZ69" s="7"/>
      <c r="GA69" s="7"/>
      <c r="GB69" s="7"/>
      <c r="GC69" s="7"/>
      <c r="GD69" s="103"/>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29"/>
      <c r="IF69" s="7"/>
      <c r="IG69" s="7"/>
      <c r="IH69" s="7"/>
      <c r="II69" s="7"/>
      <c r="IJ69" s="7"/>
      <c r="IK69" s="7"/>
      <c r="IL69" s="7"/>
      <c r="IM69" s="7"/>
      <c r="IN69" s="7"/>
      <c r="IO69" s="7"/>
      <c r="IP69" s="7"/>
      <c r="IQ69" s="7"/>
      <c r="IR69" s="7"/>
      <c r="IS69" s="7"/>
      <c r="IT69" s="55"/>
      <c r="IU69" s="7"/>
      <c r="IV69" s="7"/>
    </row>
    <row r="70" spans="1:256" s="11" customFormat="1" ht="12.75" customHeight="1">
      <c r="A70" s="19"/>
      <c r="B70" s="19"/>
      <c r="C70" s="388" t="s">
        <v>5404</v>
      </c>
      <c r="D70" s="19">
        <f>COUNTIF(SurveyDATA!E660:E831,"*Brgy.165*")</f>
        <v>4</v>
      </c>
      <c r="E70" s="7"/>
      <c r="F70" s="7"/>
      <c r="G70" s="7"/>
      <c r="H70" s="19"/>
      <c r="I70" s="8"/>
      <c r="J70" s="19"/>
      <c r="K70" s="7"/>
      <c r="L70" s="7"/>
      <c r="M70" s="7"/>
      <c r="N70" s="80"/>
      <c r="O70" s="80"/>
      <c r="P70" s="19"/>
      <c r="Q70" s="29"/>
      <c r="R70" s="30"/>
      <c r="S70" s="7"/>
      <c r="T70" s="7"/>
      <c r="U70" s="31"/>
      <c r="V70" s="7"/>
      <c r="W70" s="7"/>
      <c r="X70" s="7"/>
      <c r="Y70" s="7"/>
      <c r="Z70" s="7"/>
      <c r="AA70" s="7"/>
      <c r="AB70" s="7"/>
      <c r="AC70" s="7"/>
      <c r="AD70" s="7"/>
      <c r="AE70" s="7"/>
      <c r="AF70" s="7"/>
      <c r="AG70" s="7"/>
      <c r="AH70" s="7"/>
      <c r="AI70" s="7"/>
      <c r="AJ70" s="122"/>
      <c r="AK70" s="41"/>
      <c r="AL70" s="52"/>
      <c r="AM70" s="20"/>
      <c r="AN70" s="20"/>
      <c r="AO70" s="20"/>
      <c r="AP70" s="20"/>
      <c r="AQ70" s="7"/>
      <c r="AR70" s="7"/>
      <c r="AS70" s="7"/>
      <c r="AT70" s="7"/>
      <c r="AU70" s="7"/>
      <c r="AV70" s="20"/>
      <c r="AW70" s="7"/>
      <c r="AX70" s="7"/>
      <c r="AY70" s="7"/>
      <c r="AZ70" s="7"/>
      <c r="BA70" s="7"/>
      <c r="BB70" s="7"/>
      <c r="BC70" s="7"/>
      <c r="BD70" s="55"/>
      <c r="BE70" s="55"/>
      <c r="BF70" s="7"/>
      <c r="BG70" s="7"/>
      <c r="BH70" s="7"/>
      <c r="BI70" s="7"/>
      <c r="BJ70" s="7"/>
      <c r="BK70" s="7"/>
      <c r="BL70" s="7"/>
      <c r="BM70" s="7"/>
      <c r="BN70" s="41"/>
      <c r="BO70" s="62"/>
      <c r="BP70" s="50"/>
      <c r="BQ70" s="20"/>
      <c r="BR70" s="7"/>
      <c r="BS70" s="7"/>
      <c r="BT70" s="7"/>
      <c r="BU70" s="7"/>
      <c r="BV70" s="55"/>
      <c r="BW70" s="7"/>
      <c r="BX70" s="55"/>
      <c r="BY70" s="7"/>
      <c r="BZ70" s="7"/>
      <c r="CA70" s="7"/>
      <c r="CB70" s="7"/>
      <c r="CC70" s="73"/>
      <c r="CD70" s="71"/>
      <c r="CE70" s="72"/>
      <c r="CF70" s="7"/>
      <c r="CG70" s="7"/>
      <c r="CH70" s="7"/>
      <c r="CI70" s="7"/>
      <c r="CJ70" s="7"/>
      <c r="CK70" s="7"/>
      <c r="CL70" s="7"/>
      <c r="CM70" s="7"/>
      <c r="CN70" s="7"/>
      <c r="CO70" s="7"/>
      <c r="CP70" s="55"/>
      <c r="CQ70" s="7"/>
      <c r="CR70" s="7"/>
      <c r="CS70" s="130"/>
      <c r="CT70" s="7"/>
      <c r="CU70" s="7"/>
      <c r="CV70" s="7"/>
      <c r="CW70" s="7"/>
      <c r="CX70" s="7"/>
      <c r="CY70" s="73"/>
      <c r="CZ70" s="7"/>
      <c r="DA70" s="7"/>
      <c r="DB70" s="7"/>
      <c r="DC70" s="48"/>
      <c r="DD70" s="7"/>
      <c r="DE70" s="7"/>
      <c r="DF70" s="7"/>
      <c r="DG70" s="7"/>
      <c r="DH70" s="7"/>
      <c r="DI70" s="7"/>
      <c r="DJ70" s="7"/>
      <c r="DK70" s="7"/>
      <c r="DL70" s="74"/>
      <c r="DM70" s="7"/>
      <c r="DN70" s="7"/>
      <c r="DO70" s="7"/>
      <c r="DP70" s="7"/>
      <c r="DQ70" s="58"/>
      <c r="DR70" s="7"/>
      <c r="DS70" s="7"/>
      <c r="DT70" s="7"/>
      <c r="DU70" s="73"/>
      <c r="DV70" s="73"/>
      <c r="DW70" s="152"/>
      <c r="DX70" s="7"/>
      <c r="DY70" s="7"/>
      <c r="DZ70" s="7"/>
      <c r="EA70" s="7"/>
      <c r="EB70" s="7"/>
      <c r="EC70" s="7"/>
      <c r="ED70" s="7"/>
      <c r="EE70" s="7"/>
      <c r="EF70" s="7"/>
      <c r="EG70" s="7"/>
      <c r="EH70" s="7"/>
      <c r="EI70" s="7"/>
      <c r="EJ70" s="7"/>
      <c r="EK70" s="7"/>
      <c r="EL70" s="7"/>
      <c r="EM70" s="7"/>
      <c r="EN70" s="19"/>
      <c r="EO70" s="7"/>
      <c r="EP70" s="7"/>
      <c r="EQ70" s="7"/>
      <c r="ER70" s="7"/>
      <c r="ES70" s="7"/>
      <c r="ET70" s="55"/>
      <c r="EU70" s="7"/>
      <c r="EV70" s="7"/>
      <c r="EW70" s="7"/>
      <c r="EX70" s="7"/>
      <c r="EY70" s="7"/>
      <c r="EZ70" s="7"/>
      <c r="FA70" s="7"/>
      <c r="FB70" s="7"/>
      <c r="FC70" s="55"/>
      <c r="FD70" s="55"/>
      <c r="FE70" s="55"/>
      <c r="FF70" s="7"/>
      <c r="FG70" s="7"/>
      <c r="FH70" s="7"/>
      <c r="FI70" s="7"/>
      <c r="FJ70" s="7"/>
      <c r="FK70" s="7"/>
      <c r="FL70" s="7"/>
      <c r="FM70" s="7"/>
      <c r="FN70" s="7"/>
      <c r="FO70" s="7"/>
      <c r="FP70" s="7"/>
      <c r="FQ70" s="7"/>
      <c r="FR70" s="7"/>
      <c r="FS70" s="77"/>
      <c r="FT70" s="30"/>
      <c r="FU70" s="7"/>
      <c r="FV70" s="55"/>
      <c r="FW70" s="55"/>
      <c r="FX70" s="7"/>
      <c r="FY70" s="7"/>
      <c r="FZ70" s="7"/>
      <c r="GA70" s="7"/>
      <c r="GB70" s="7"/>
      <c r="GC70" s="7"/>
      <c r="GD70" s="103"/>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29"/>
      <c r="IF70" s="7"/>
      <c r="IG70" s="7"/>
      <c r="IH70" s="7"/>
      <c r="II70" s="7"/>
      <c r="IJ70" s="7"/>
      <c r="IK70" s="7"/>
      <c r="IL70" s="7"/>
      <c r="IM70" s="7"/>
      <c r="IN70" s="7"/>
      <c r="IO70" s="7"/>
      <c r="IP70" s="7"/>
      <c r="IQ70" s="7"/>
      <c r="IR70" s="7"/>
      <c r="IS70" s="7"/>
      <c r="IT70" s="55"/>
      <c r="IU70" s="7"/>
      <c r="IV70" s="7"/>
    </row>
    <row r="71" spans="1:256" s="11" customFormat="1" ht="12.75" customHeight="1">
      <c r="A71" s="19"/>
      <c r="B71" s="19"/>
      <c r="C71" s="388" t="s">
        <v>5405</v>
      </c>
      <c r="D71" s="19">
        <f>COUNTIF(SurveyDATA!E660:E831,"*Brgy.184*")</f>
        <v>53</v>
      </c>
      <c r="E71" s="7"/>
      <c r="F71" s="7"/>
      <c r="G71" s="7"/>
      <c r="H71" s="19"/>
      <c r="I71" s="8"/>
      <c r="J71" s="19"/>
      <c r="K71" s="7"/>
      <c r="L71" s="7"/>
      <c r="M71" s="7"/>
      <c r="N71" s="80"/>
      <c r="O71" s="80"/>
      <c r="P71" s="19"/>
      <c r="Q71" s="29"/>
      <c r="R71" s="30"/>
      <c r="S71" s="7"/>
      <c r="T71" s="7"/>
      <c r="U71" s="31"/>
      <c r="V71" s="7"/>
      <c r="W71" s="7"/>
      <c r="X71" s="7"/>
      <c r="Y71" s="7"/>
      <c r="Z71" s="7"/>
      <c r="AA71" s="7"/>
      <c r="AB71" s="7"/>
      <c r="AC71" s="7"/>
      <c r="AD71" s="7"/>
      <c r="AE71" s="7"/>
      <c r="AF71" s="7"/>
      <c r="AG71" s="7"/>
      <c r="AH71" s="7"/>
      <c r="AI71" s="7"/>
      <c r="AJ71" s="122"/>
      <c r="AK71" s="41"/>
      <c r="AL71" s="52"/>
      <c r="AM71" s="20"/>
      <c r="AN71" s="20"/>
      <c r="AO71" s="20"/>
      <c r="AP71" s="20"/>
      <c r="AQ71" s="7"/>
      <c r="AR71" s="7"/>
      <c r="AS71" s="7"/>
      <c r="AT71" s="7"/>
      <c r="AU71" s="7"/>
      <c r="AV71" s="20"/>
      <c r="AW71" s="7"/>
      <c r="AX71" s="7"/>
      <c r="AY71" s="7"/>
      <c r="AZ71" s="7"/>
      <c r="BA71" s="7"/>
      <c r="BB71" s="7"/>
      <c r="BC71" s="7"/>
      <c r="BD71" s="55"/>
      <c r="BE71" s="55"/>
      <c r="BF71" s="7"/>
      <c r="BG71" s="7"/>
      <c r="BH71" s="7"/>
      <c r="BI71" s="7"/>
      <c r="BJ71" s="7"/>
      <c r="BK71" s="7"/>
      <c r="BL71" s="7"/>
      <c r="BM71" s="7"/>
      <c r="BN71" s="41"/>
      <c r="BO71" s="62"/>
      <c r="BP71" s="50"/>
      <c r="BQ71" s="20"/>
      <c r="BR71" s="7"/>
      <c r="BS71" s="7"/>
      <c r="BT71" s="7"/>
      <c r="BU71" s="7"/>
      <c r="BV71" s="55"/>
      <c r="BW71" s="7"/>
      <c r="BX71" s="55"/>
      <c r="BY71" s="7"/>
      <c r="BZ71" s="7"/>
      <c r="CA71" s="7"/>
      <c r="CB71" s="7"/>
      <c r="CC71" s="73"/>
      <c r="CD71" s="71"/>
      <c r="CE71" s="72"/>
      <c r="CF71" s="7"/>
      <c r="CG71" s="7"/>
      <c r="CH71" s="7"/>
      <c r="CI71" s="7"/>
      <c r="CJ71" s="7"/>
      <c r="CK71" s="7"/>
      <c r="CL71" s="7"/>
      <c r="CM71" s="7"/>
      <c r="CN71" s="7"/>
      <c r="CO71" s="7"/>
      <c r="CP71" s="55"/>
      <c r="CQ71" s="7"/>
      <c r="CR71" s="7"/>
      <c r="CS71" s="130"/>
      <c r="CT71" s="7"/>
      <c r="CU71" s="7"/>
      <c r="CV71" s="7"/>
      <c r="CW71" s="7"/>
      <c r="CX71" s="7"/>
      <c r="CY71" s="73"/>
      <c r="CZ71" s="7"/>
      <c r="DA71" s="7"/>
      <c r="DB71" s="7"/>
      <c r="DC71" s="48"/>
      <c r="DD71" s="7"/>
      <c r="DE71" s="7"/>
      <c r="DF71" s="7"/>
      <c r="DG71" s="7"/>
      <c r="DH71" s="7"/>
      <c r="DI71" s="7"/>
      <c r="DJ71" s="7"/>
      <c r="DK71" s="7"/>
      <c r="DL71" s="74"/>
      <c r="DM71" s="7"/>
      <c r="DN71" s="7"/>
      <c r="DO71" s="7"/>
      <c r="DP71" s="7"/>
      <c r="DQ71" s="58"/>
      <c r="DR71" s="7"/>
      <c r="DS71" s="7"/>
      <c r="DT71" s="7"/>
      <c r="DU71" s="73"/>
      <c r="DV71" s="73"/>
      <c r="DW71" s="152"/>
      <c r="DX71" s="7"/>
      <c r="DY71" s="7"/>
      <c r="DZ71" s="7"/>
      <c r="EA71" s="7"/>
      <c r="EB71" s="7"/>
      <c r="EC71" s="7"/>
      <c r="ED71" s="7"/>
      <c r="EE71" s="7"/>
      <c r="EF71" s="7"/>
      <c r="EG71" s="7"/>
      <c r="EH71" s="7"/>
      <c r="EI71" s="7"/>
      <c r="EJ71" s="7"/>
      <c r="EK71" s="7"/>
      <c r="EL71" s="7"/>
      <c r="EM71" s="7"/>
      <c r="EN71" s="19"/>
      <c r="EO71" s="7"/>
      <c r="EP71" s="7"/>
      <c r="EQ71" s="7"/>
      <c r="ER71" s="7"/>
      <c r="ES71" s="7"/>
      <c r="ET71" s="55"/>
      <c r="EU71" s="7"/>
      <c r="EV71" s="7"/>
      <c r="EW71" s="7"/>
      <c r="EX71" s="7"/>
      <c r="EY71" s="7"/>
      <c r="EZ71" s="7"/>
      <c r="FA71" s="7"/>
      <c r="FB71" s="7"/>
      <c r="FC71" s="55"/>
      <c r="FD71" s="55"/>
      <c r="FE71" s="55"/>
      <c r="FF71" s="7"/>
      <c r="FG71" s="7"/>
      <c r="FH71" s="7"/>
      <c r="FI71" s="7"/>
      <c r="FJ71" s="7"/>
      <c r="FK71" s="7"/>
      <c r="FL71" s="7"/>
      <c r="FM71" s="7"/>
      <c r="FN71" s="7"/>
      <c r="FO71" s="7"/>
      <c r="FP71" s="7"/>
      <c r="FQ71" s="7"/>
      <c r="FR71" s="7"/>
      <c r="FS71" s="77"/>
      <c r="FT71" s="30"/>
      <c r="FU71" s="7"/>
      <c r="FV71" s="55"/>
      <c r="FW71" s="55"/>
      <c r="FX71" s="7"/>
      <c r="FY71" s="7"/>
      <c r="FZ71" s="7"/>
      <c r="GA71" s="7"/>
      <c r="GB71" s="7"/>
      <c r="GC71" s="7"/>
      <c r="GD71" s="103"/>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29"/>
      <c r="IF71" s="7"/>
      <c r="IG71" s="7"/>
      <c r="IH71" s="7"/>
      <c r="II71" s="7"/>
      <c r="IJ71" s="7"/>
      <c r="IK71" s="7"/>
      <c r="IL71" s="7"/>
      <c r="IM71" s="7"/>
      <c r="IN71" s="7"/>
      <c r="IO71" s="7"/>
      <c r="IP71" s="7"/>
      <c r="IQ71" s="7"/>
      <c r="IR71" s="7"/>
      <c r="IS71" s="7"/>
      <c r="IT71" s="55"/>
      <c r="IU71" s="7"/>
      <c r="IV71" s="7"/>
    </row>
    <row r="72" spans="1:256" s="11" customFormat="1" ht="12.75" customHeight="1">
      <c r="A72" s="19"/>
      <c r="B72" s="19"/>
      <c r="C72" s="388" t="s">
        <v>5406</v>
      </c>
      <c r="D72" s="19">
        <f>COUNTIF(SurveyDATA!E660:E831,"*Brgy.185*")</f>
        <v>1</v>
      </c>
      <c r="E72" s="7"/>
      <c r="F72" s="7"/>
      <c r="G72" s="7"/>
      <c r="H72" s="19"/>
      <c r="I72" s="8"/>
      <c r="J72" s="19"/>
      <c r="K72" s="7"/>
      <c r="L72" s="7"/>
      <c r="M72" s="7"/>
      <c r="N72" s="80"/>
      <c r="O72" s="80"/>
      <c r="P72" s="19"/>
      <c r="Q72" s="29"/>
      <c r="R72" s="30"/>
      <c r="S72" s="7"/>
      <c r="T72" s="7"/>
      <c r="U72" s="31"/>
      <c r="V72" s="7"/>
      <c r="W72" s="7"/>
      <c r="X72" s="7"/>
      <c r="Y72" s="7"/>
      <c r="Z72" s="7"/>
      <c r="AA72" s="7"/>
      <c r="AB72" s="7"/>
      <c r="AC72" s="7"/>
      <c r="AD72" s="7"/>
      <c r="AE72" s="7"/>
      <c r="AF72" s="7"/>
      <c r="AG72" s="7"/>
      <c r="AH72" s="7"/>
      <c r="AI72" s="7"/>
      <c r="AJ72" s="122"/>
      <c r="AK72" s="41"/>
      <c r="AL72" s="52"/>
      <c r="AM72" s="20"/>
      <c r="AN72" s="20"/>
      <c r="AO72" s="20"/>
      <c r="AP72" s="20"/>
      <c r="AQ72" s="7"/>
      <c r="AR72" s="7"/>
      <c r="AS72" s="7"/>
      <c r="AT72" s="7"/>
      <c r="AU72" s="7"/>
      <c r="AV72" s="20"/>
      <c r="AW72" s="7"/>
      <c r="AX72" s="7"/>
      <c r="AY72" s="7"/>
      <c r="AZ72" s="7"/>
      <c r="BA72" s="7"/>
      <c r="BB72" s="7"/>
      <c r="BC72" s="7"/>
      <c r="BD72" s="55"/>
      <c r="BE72" s="55"/>
      <c r="BF72" s="7"/>
      <c r="BG72" s="7"/>
      <c r="BH72" s="7"/>
      <c r="BI72" s="7"/>
      <c r="BJ72" s="7"/>
      <c r="BK72" s="7"/>
      <c r="BL72" s="7"/>
      <c r="BM72" s="7"/>
      <c r="BN72" s="41"/>
      <c r="BO72" s="62"/>
      <c r="BP72" s="50"/>
      <c r="BQ72" s="20"/>
      <c r="BR72" s="7"/>
      <c r="BS72" s="7"/>
      <c r="BT72" s="7"/>
      <c r="BU72" s="7"/>
      <c r="BV72" s="55"/>
      <c r="BW72" s="7"/>
      <c r="BX72" s="55"/>
      <c r="BY72" s="7"/>
      <c r="BZ72" s="7"/>
      <c r="CA72" s="7"/>
      <c r="CB72" s="7"/>
      <c r="CC72" s="73"/>
      <c r="CD72" s="71"/>
      <c r="CE72" s="72"/>
      <c r="CF72" s="7"/>
      <c r="CG72" s="7"/>
      <c r="CH72" s="7"/>
      <c r="CI72" s="7"/>
      <c r="CJ72" s="7"/>
      <c r="CK72" s="7"/>
      <c r="CL72" s="7"/>
      <c r="CM72" s="7"/>
      <c r="CN72" s="7"/>
      <c r="CO72" s="7"/>
      <c r="CP72" s="55"/>
      <c r="CQ72" s="7"/>
      <c r="CR72" s="7"/>
      <c r="CS72" s="130"/>
      <c r="CT72" s="7"/>
      <c r="CU72" s="7"/>
      <c r="CV72" s="7"/>
      <c r="CW72" s="7"/>
      <c r="CX72" s="7"/>
      <c r="CY72" s="73"/>
      <c r="CZ72" s="7"/>
      <c r="DA72" s="7"/>
      <c r="DB72" s="7"/>
      <c r="DC72" s="48"/>
      <c r="DD72" s="7"/>
      <c r="DE72" s="7"/>
      <c r="DF72" s="7"/>
      <c r="DG72" s="7"/>
      <c r="DH72" s="7"/>
      <c r="DI72" s="7"/>
      <c r="DJ72" s="7"/>
      <c r="DK72" s="7"/>
      <c r="DL72" s="74"/>
      <c r="DM72" s="7"/>
      <c r="DN72" s="7"/>
      <c r="DO72" s="7"/>
      <c r="DP72" s="7"/>
      <c r="DQ72" s="58"/>
      <c r="DR72" s="7"/>
      <c r="DS72" s="7"/>
      <c r="DT72" s="7"/>
      <c r="DU72" s="73"/>
      <c r="DV72" s="73"/>
      <c r="DW72" s="152"/>
      <c r="DX72" s="7"/>
      <c r="DY72" s="7"/>
      <c r="DZ72" s="7"/>
      <c r="EA72" s="7"/>
      <c r="EB72" s="7"/>
      <c r="EC72" s="7"/>
      <c r="ED72" s="7"/>
      <c r="EE72" s="7"/>
      <c r="EF72" s="7"/>
      <c r="EG72" s="7"/>
      <c r="EH72" s="7"/>
      <c r="EI72" s="7"/>
      <c r="EJ72" s="7"/>
      <c r="EK72" s="7"/>
      <c r="EL72" s="7"/>
      <c r="EM72" s="7"/>
      <c r="EN72" s="19"/>
      <c r="EO72" s="7"/>
      <c r="EP72" s="7"/>
      <c r="EQ72" s="7"/>
      <c r="ER72" s="7"/>
      <c r="ES72" s="7"/>
      <c r="ET72" s="55"/>
      <c r="EU72" s="7"/>
      <c r="EV72" s="7"/>
      <c r="EW72" s="7"/>
      <c r="EX72" s="7"/>
      <c r="EY72" s="7"/>
      <c r="EZ72" s="7"/>
      <c r="FA72" s="7"/>
      <c r="FB72" s="7"/>
      <c r="FC72" s="55"/>
      <c r="FD72" s="55"/>
      <c r="FE72" s="55"/>
      <c r="FF72" s="7"/>
      <c r="FG72" s="7"/>
      <c r="FH72" s="7"/>
      <c r="FI72" s="7"/>
      <c r="FJ72" s="7"/>
      <c r="FK72" s="7"/>
      <c r="FL72" s="7"/>
      <c r="FM72" s="7"/>
      <c r="FN72" s="7"/>
      <c r="FO72" s="7"/>
      <c r="FP72" s="7"/>
      <c r="FQ72" s="7"/>
      <c r="FR72" s="7"/>
      <c r="FS72" s="77"/>
      <c r="FT72" s="30"/>
      <c r="FU72" s="7"/>
      <c r="FV72" s="55"/>
      <c r="FW72" s="55"/>
      <c r="FX72" s="7"/>
      <c r="FY72" s="7"/>
      <c r="FZ72" s="7"/>
      <c r="GA72" s="7"/>
      <c r="GB72" s="7"/>
      <c r="GC72" s="7"/>
      <c r="GD72" s="103"/>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29"/>
      <c r="IF72" s="7"/>
      <c r="IG72" s="7"/>
      <c r="IH72" s="7"/>
      <c r="II72" s="7"/>
      <c r="IJ72" s="7"/>
      <c r="IK72" s="7"/>
      <c r="IL72" s="7"/>
      <c r="IM72" s="7"/>
      <c r="IN72" s="7"/>
      <c r="IO72" s="7"/>
      <c r="IP72" s="7"/>
      <c r="IQ72" s="7"/>
      <c r="IR72" s="7"/>
      <c r="IS72" s="7"/>
      <c r="IT72" s="55"/>
      <c r="IU72" s="7"/>
      <c r="IV72" s="7"/>
    </row>
    <row r="73" spans="1:256" s="11" customFormat="1" ht="12.75" customHeight="1">
      <c r="A73" s="19"/>
      <c r="B73" s="19"/>
      <c r="C73" s="388" t="s">
        <v>5803</v>
      </c>
      <c r="D73" s="19">
        <f>COUNTIF(SurveyDATA!E661:E831,"*Brgy.186*")</f>
        <v>1</v>
      </c>
      <c r="E73" s="7"/>
      <c r="F73" s="7"/>
      <c r="G73" s="7"/>
      <c r="H73" s="19"/>
      <c r="I73" s="8"/>
      <c r="J73" s="19"/>
      <c r="K73" s="7"/>
      <c r="L73" s="7"/>
      <c r="M73" s="7"/>
      <c r="N73" s="80"/>
      <c r="O73" s="80"/>
      <c r="P73" s="19"/>
      <c r="Q73" s="29"/>
      <c r="R73" s="30"/>
      <c r="S73" s="7"/>
      <c r="T73" s="7"/>
      <c r="U73" s="31"/>
      <c r="V73" s="7"/>
      <c r="W73" s="7"/>
      <c r="X73" s="7"/>
      <c r="Y73" s="7"/>
      <c r="Z73" s="7"/>
      <c r="AA73" s="7"/>
      <c r="AB73" s="7"/>
      <c r="AC73" s="7"/>
      <c r="AD73" s="7"/>
      <c r="AE73" s="7"/>
      <c r="AF73" s="7"/>
      <c r="AG73" s="7"/>
      <c r="AH73" s="7"/>
      <c r="AI73" s="7"/>
      <c r="AJ73" s="122"/>
      <c r="AK73" s="41"/>
      <c r="AL73" s="52"/>
      <c r="AM73" s="20"/>
      <c r="AN73" s="20"/>
      <c r="AO73" s="20"/>
      <c r="AP73" s="20"/>
      <c r="AQ73" s="7"/>
      <c r="AR73" s="7"/>
      <c r="AS73" s="7"/>
      <c r="AT73" s="7"/>
      <c r="AU73" s="7"/>
      <c r="AV73" s="20"/>
      <c r="AW73" s="7"/>
      <c r="AX73" s="7"/>
      <c r="AY73" s="7"/>
      <c r="AZ73" s="7"/>
      <c r="BA73" s="7"/>
      <c r="BB73" s="7"/>
      <c r="BC73" s="7"/>
      <c r="BD73" s="55"/>
      <c r="BE73" s="55"/>
      <c r="BF73" s="7"/>
      <c r="BG73" s="7"/>
      <c r="BH73" s="7"/>
      <c r="BI73" s="7"/>
      <c r="BJ73" s="7"/>
      <c r="BK73" s="7"/>
      <c r="BL73" s="7"/>
      <c r="BM73" s="7"/>
      <c r="BN73" s="41"/>
      <c r="BO73" s="62"/>
      <c r="BP73" s="50"/>
      <c r="BQ73" s="20"/>
      <c r="BR73" s="7"/>
      <c r="BS73" s="7"/>
      <c r="BT73" s="7"/>
      <c r="BU73" s="7"/>
      <c r="BV73" s="55"/>
      <c r="BW73" s="7"/>
      <c r="BX73" s="55"/>
      <c r="BY73" s="7"/>
      <c r="BZ73" s="7"/>
      <c r="CA73" s="7"/>
      <c r="CB73" s="7"/>
      <c r="CC73" s="73"/>
      <c r="CD73" s="71"/>
      <c r="CE73" s="72"/>
      <c r="CF73" s="7"/>
      <c r="CG73" s="7"/>
      <c r="CH73" s="7"/>
      <c r="CI73" s="7"/>
      <c r="CJ73" s="7"/>
      <c r="CK73" s="7"/>
      <c r="CL73" s="7"/>
      <c r="CM73" s="7"/>
      <c r="CN73" s="7"/>
      <c r="CO73" s="7"/>
      <c r="CP73" s="55"/>
      <c r="CQ73" s="7"/>
      <c r="CR73" s="7"/>
      <c r="CS73" s="130"/>
      <c r="CT73" s="7"/>
      <c r="CU73" s="7"/>
      <c r="CV73" s="7"/>
      <c r="CW73" s="7"/>
      <c r="CX73" s="7"/>
      <c r="CY73" s="73"/>
      <c r="CZ73" s="7"/>
      <c r="DA73" s="7"/>
      <c r="DB73" s="7"/>
      <c r="DC73" s="48"/>
      <c r="DD73" s="7"/>
      <c r="DE73" s="7"/>
      <c r="DF73" s="7"/>
      <c r="DG73" s="7"/>
      <c r="DH73" s="7"/>
      <c r="DI73" s="7"/>
      <c r="DJ73" s="7"/>
      <c r="DK73" s="7"/>
      <c r="DL73" s="74"/>
      <c r="DM73" s="7"/>
      <c r="DN73" s="7"/>
      <c r="DO73" s="7"/>
      <c r="DP73" s="7"/>
      <c r="DQ73" s="58"/>
      <c r="DR73" s="7"/>
      <c r="DS73" s="7"/>
      <c r="DT73" s="7"/>
      <c r="DU73" s="73"/>
      <c r="DV73" s="73"/>
      <c r="DW73" s="152"/>
      <c r="DX73" s="7"/>
      <c r="DY73" s="7"/>
      <c r="DZ73" s="7"/>
      <c r="EA73" s="7"/>
      <c r="EB73" s="7"/>
      <c r="EC73" s="7"/>
      <c r="ED73" s="7"/>
      <c r="EE73" s="7"/>
      <c r="EF73" s="7"/>
      <c r="EG73" s="7"/>
      <c r="EH73" s="7"/>
      <c r="EI73" s="7"/>
      <c r="EJ73" s="7"/>
      <c r="EK73" s="7"/>
      <c r="EL73" s="7"/>
      <c r="EM73" s="7"/>
      <c r="EN73" s="19"/>
      <c r="EO73" s="7"/>
      <c r="EP73" s="7"/>
      <c r="EQ73" s="7"/>
      <c r="ER73" s="7"/>
      <c r="ES73" s="7"/>
      <c r="ET73" s="55"/>
      <c r="EU73" s="7"/>
      <c r="EV73" s="7"/>
      <c r="EW73" s="7"/>
      <c r="EX73" s="7"/>
      <c r="EY73" s="7"/>
      <c r="EZ73" s="7"/>
      <c r="FA73" s="7"/>
      <c r="FB73" s="7"/>
      <c r="FC73" s="55"/>
      <c r="FD73" s="55"/>
      <c r="FE73" s="55"/>
      <c r="FF73" s="7"/>
      <c r="FG73" s="7"/>
      <c r="FH73" s="7"/>
      <c r="FI73" s="7"/>
      <c r="FJ73" s="7"/>
      <c r="FK73" s="7"/>
      <c r="FL73" s="7"/>
      <c r="FM73" s="7"/>
      <c r="FN73" s="7"/>
      <c r="FO73" s="7"/>
      <c r="FP73" s="7"/>
      <c r="FQ73" s="7"/>
      <c r="FR73" s="7"/>
      <c r="FS73" s="77"/>
      <c r="FT73" s="30"/>
      <c r="FU73" s="7"/>
      <c r="FV73" s="55"/>
      <c r="FW73" s="55"/>
      <c r="FX73" s="7"/>
      <c r="FY73" s="7"/>
      <c r="FZ73" s="7"/>
      <c r="GA73" s="7"/>
      <c r="GB73" s="7"/>
      <c r="GC73" s="7"/>
      <c r="GD73" s="103"/>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29"/>
      <c r="IF73" s="7"/>
      <c r="IG73" s="7"/>
      <c r="IH73" s="7"/>
      <c r="II73" s="7"/>
      <c r="IJ73" s="7"/>
      <c r="IK73" s="7"/>
      <c r="IL73" s="7"/>
      <c r="IM73" s="7"/>
      <c r="IN73" s="7"/>
      <c r="IO73" s="7"/>
      <c r="IP73" s="7"/>
      <c r="IQ73" s="7"/>
      <c r="IR73" s="7"/>
      <c r="IS73" s="7"/>
      <c r="IT73" s="55"/>
      <c r="IU73" s="7"/>
      <c r="IV73" s="7"/>
    </row>
    <row r="74" spans="1:256" s="11" customFormat="1" ht="12.75" customHeight="1">
      <c r="A74" s="19"/>
      <c r="B74" s="19"/>
      <c r="C74" s="388" t="s">
        <v>5410</v>
      </c>
      <c r="D74" s="19">
        <f>COUNTIF(SurveyDATA!E660:E831,"*Brgy.199*")</f>
        <v>24</v>
      </c>
      <c r="E74" s="7"/>
      <c r="F74" s="7"/>
      <c r="G74" s="7"/>
      <c r="H74" s="19"/>
      <c r="I74" s="8"/>
      <c r="J74" s="19"/>
      <c r="K74" s="7"/>
      <c r="L74" s="7"/>
      <c r="M74" s="7"/>
      <c r="N74" s="80"/>
      <c r="O74" s="80"/>
      <c r="P74" s="19"/>
      <c r="Q74" s="29"/>
      <c r="R74" s="30"/>
      <c r="S74" s="7"/>
      <c r="T74" s="7"/>
      <c r="U74" s="31"/>
      <c r="V74" s="7"/>
      <c r="W74" s="7"/>
      <c r="X74" s="7"/>
      <c r="Y74" s="7"/>
      <c r="Z74" s="7"/>
      <c r="AA74" s="7"/>
      <c r="AB74" s="7"/>
      <c r="AC74" s="7"/>
      <c r="AD74" s="7"/>
      <c r="AE74" s="7"/>
      <c r="AF74" s="7"/>
      <c r="AG74" s="7"/>
      <c r="AH74" s="7"/>
      <c r="AI74" s="7"/>
      <c r="AJ74" s="122"/>
      <c r="AK74" s="41"/>
      <c r="AL74" s="52"/>
      <c r="AM74" s="20"/>
      <c r="AN74" s="20"/>
      <c r="AO74" s="20"/>
      <c r="AP74" s="20"/>
      <c r="AQ74" s="7"/>
      <c r="AR74" s="7"/>
      <c r="AS74" s="7"/>
      <c r="AT74" s="7"/>
      <c r="AU74" s="7"/>
      <c r="AV74" s="20"/>
      <c r="AW74" s="7"/>
      <c r="AX74" s="7"/>
      <c r="AY74" s="7"/>
      <c r="AZ74" s="7"/>
      <c r="BA74" s="7"/>
      <c r="BB74" s="7"/>
      <c r="BC74" s="7"/>
      <c r="BD74" s="55"/>
      <c r="BE74" s="55"/>
      <c r="BF74" s="7"/>
      <c r="BG74" s="7"/>
      <c r="BH74" s="7"/>
      <c r="BI74" s="7"/>
      <c r="BJ74" s="7"/>
      <c r="BK74" s="7"/>
      <c r="BL74" s="7"/>
      <c r="BM74" s="7"/>
      <c r="BN74" s="41"/>
      <c r="BO74" s="62"/>
      <c r="BP74" s="50"/>
      <c r="BQ74" s="20"/>
      <c r="BR74" s="7"/>
      <c r="BS74" s="7"/>
      <c r="BT74" s="7"/>
      <c r="BU74" s="7"/>
      <c r="BV74" s="55"/>
      <c r="BW74" s="7"/>
      <c r="BX74" s="55"/>
      <c r="BY74" s="7"/>
      <c r="BZ74" s="7"/>
      <c r="CA74" s="7"/>
      <c r="CB74" s="7"/>
      <c r="CC74" s="73"/>
      <c r="CD74" s="71"/>
      <c r="CE74" s="72"/>
      <c r="CF74" s="7"/>
      <c r="CG74" s="7"/>
      <c r="CH74" s="7"/>
      <c r="CI74" s="7"/>
      <c r="CJ74" s="7"/>
      <c r="CK74" s="7"/>
      <c r="CL74" s="7"/>
      <c r="CM74" s="7"/>
      <c r="CN74" s="7"/>
      <c r="CO74" s="7"/>
      <c r="CP74" s="55"/>
      <c r="CQ74" s="7"/>
      <c r="CR74" s="7"/>
      <c r="CS74" s="130"/>
      <c r="CT74" s="7"/>
      <c r="CU74" s="7"/>
      <c r="CV74" s="7"/>
      <c r="CW74" s="7"/>
      <c r="CX74" s="7"/>
      <c r="CY74" s="73"/>
      <c r="CZ74" s="7"/>
      <c r="DA74" s="7"/>
      <c r="DB74" s="7"/>
      <c r="DC74" s="48"/>
      <c r="DD74" s="7"/>
      <c r="DE74" s="7"/>
      <c r="DF74" s="7"/>
      <c r="DG74" s="7"/>
      <c r="DH74" s="7"/>
      <c r="DI74" s="7"/>
      <c r="DJ74" s="7"/>
      <c r="DK74" s="7"/>
      <c r="DL74" s="74"/>
      <c r="DM74" s="7"/>
      <c r="DN74" s="7"/>
      <c r="DO74" s="7"/>
      <c r="DP74" s="7"/>
      <c r="DQ74" s="58"/>
      <c r="DR74" s="7"/>
      <c r="DS74" s="7"/>
      <c r="DT74" s="7"/>
      <c r="DU74" s="73"/>
      <c r="DV74" s="73"/>
      <c r="DW74" s="152"/>
      <c r="DX74" s="7"/>
      <c r="DY74" s="7"/>
      <c r="DZ74" s="7"/>
      <c r="EA74" s="7"/>
      <c r="EB74" s="7"/>
      <c r="EC74" s="7"/>
      <c r="ED74" s="7"/>
      <c r="EE74" s="7"/>
      <c r="EF74" s="7"/>
      <c r="EG74" s="7"/>
      <c r="EH74" s="7"/>
      <c r="EI74" s="7"/>
      <c r="EJ74" s="7"/>
      <c r="EK74" s="7"/>
      <c r="EL74" s="7"/>
      <c r="EM74" s="7"/>
      <c r="EN74" s="19"/>
      <c r="EO74" s="7"/>
      <c r="EP74" s="7"/>
      <c r="EQ74" s="7"/>
      <c r="ER74" s="7"/>
      <c r="ES74" s="7"/>
      <c r="ET74" s="55"/>
      <c r="EU74" s="7"/>
      <c r="EV74" s="7"/>
      <c r="EW74" s="7"/>
      <c r="EX74" s="7"/>
      <c r="EY74" s="7"/>
      <c r="EZ74" s="7"/>
      <c r="FA74" s="7"/>
      <c r="FB74" s="7"/>
      <c r="FC74" s="55"/>
      <c r="FD74" s="55"/>
      <c r="FE74" s="55"/>
      <c r="FF74" s="7"/>
      <c r="FG74" s="7"/>
      <c r="FH74" s="7"/>
      <c r="FI74" s="7"/>
      <c r="FJ74" s="7"/>
      <c r="FK74" s="7"/>
      <c r="FL74" s="7"/>
      <c r="FM74" s="7"/>
      <c r="FN74" s="7"/>
      <c r="FO74" s="7"/>
      <c r="FP74" s="7"/>
      <c r="FQ74" s="7"/>
      <c r="FR74" s="7"/>
      <c r="FS74" s="77"/>
      <c r="FT74" s="30"/>
      <c r="FU74" s="7"/>
      <c r="FV74" s="55"/>
      <c r="FW74" s="55"/>
      <c r="FX74" s="7"/>
      <c r="FY74" s="7"/>
      <c r="FZ74" s="7"/>
      <c r="GA74" s="7"/>
      <c r="GB74" s="7"/>
      <c r="GC74" s="7"/>
      <c r="GD74" s="103"/>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29"/>
      <c r="IF74" s="7"/>
      <c r="IG74" s="7"/>
      <c r="IH74" s="7"/>
      <c r="II74" s="7"/>
      <c r="IJ74" s="7"/>
      <c r="IK74" s="7"/>
      <c r="IL74" s="7"/>
      <c r="IM74" s="7"/>
      <c r="IN74" s="7"/>
      <c r="IO74" s="7"/>
      <c r="IP74" s="7"/>
      <c r="IQ74" s="7"/>
      <c r="IR74" s="7"/>
      <c r="IS74" s="7"/>
      <c r="IT74" s="55"/>
      <c r="IU74" s="7"/>
      <c r="IV74" s="7"/>
    </row>
    <row r="75" spans="1:256" s="11" customFormat="1" ht="12.75" customHeight="1">
      <c r="A75" s="19"/>
      <c r="B75" s="19"/>
      <c r="C75" s="388" t="s">
        <v>5798</v>
      </c>
      <c r="D75" s="19">
        <f>COUNTIF(SurveyDATA!E660:E831,"*Brgy.200*")</f>
        <v>1</v>
      </c>
      <c r="E75" s="7"/>
      <c r="F75" s="7"/>
      <c r="G75" s="7"/>
      <c r="H75" s="19"/>
      <c r="I75" s="8"/>
      <c r="J75" s="19"/>
      <c r="K75" s="7"/>
      <c r="L75" s="7"/>
      <c r="M75" s="7"/>
      <c r="N75" s="80"/>
      <c r="O75" s="80"/>
      <c r="P75" s="19"/>
      <c r="Q75" s="29"/>
      <c r="R75" s="30"/>
      <c r="S75" s="7"/>
      <c r="T75" s="7"/>
      <c r="U75" s="31"/>
      <c r="V75" s="7"/>
      <c r="W75" s="7"/>
      <c r="X75" s="7"/>
      <c r="Y75" s="7"/>
      <c r="Z75" s="7"/>
      <c r="AA75" s="7"/>
      <c r="AB75" s="7"/>
      <c r="AC75" s="7"/>
      <c r="AD75" s="7"/>
      <c r="AE75" s="7"/>
      <c r="AF75" s="7"/>
      <c r="AG75" s="7"/>
      <c r="AH75" s="7"/>
      <c r="AI75" s="7"/>
      <c r="AJ75" s="122"/>
      <c r="AK75" s="41"/>
      <c r="AL75" s="52"/>
      <c r="AM75" s="20"/>
      <c r="AN75" s="20"/>
      <c r="AO75" s="20"/>
      <c r="AP75" s="20"/>
      <c r="AQ75" s="7"/>
      <c r="AR75" s="7"/>
      <c r="AS75" s="7"/>
      <c r="AT75" s="7"/>
      <c r="AU75" s="7"/>
      <c r="AV75" s="20"/>
      <c r="AW75" s="7"/>
      <c r="AX75" s="7"/>
      <c r="AY75" s="7"/>
      <c r="AZ75" s="7"/>
      <c r="BA75" s="7"/>
      <c r="BB75" s="7"/>
      <c r="BC75" s="7"/>
      <c r="BD75" s="55"/>
      <c r="BE75" s="55"/>
      <c r="BF75" s="7"/>
      <c r="BG75" s="7"/>
      <c r="BH75" s="7"/>
      <c r="BI75" s="7"/>
      <c r="BJ75" s="7"/>
      <c r="BK75" s="7"/>
      <c r="BL75" s="7"/>
      <c r="BM75" s="7"/>
      <c r="BN75" s="41"/>
      <c r="BO75" s="62"/>
      <c r="BP75" s="50"/>
      <c r="BQ75" s="20"/>
      <c r="BR75" s="7"/>
      <c r="BS75" s="7"/>
      <c r="BT75" s="7"/>
      <c r="BU75" s="7"/>
      <c r="BV75" s="55"/>
      <c r="BW75" s="7"/>
      <c r="BX75" s="55"/>
      <c r="BY75" s="7"/>
      <c r="BZ75" s="7"/>
      <c r="CA75" s="7"/>
      <c r="CB75" s="7"/>
      <c r="CC75" s="73"/>
      <c r="CD75" s="71"/>
      <c r="CE75" s="72"/>
      <c r="CF75" s="7"/>
      <c r="CG75" s="7"/>
      <c r="CH75" s="7"/>
      <c r="CI75" s="7"/>
      <c r="CJ75" s="7"/>
      <c r="CK75" s="7"/>
      <c r="CL75" s="7"/>
      <c r="CM75" s="7"/>
      <c r="CN75" s="7"/>
      <c r="CO75" s="7"/>
      <c r="CP75" s="55"/>
      <c r="CQ75" s="7"/>
      <c r="CR75" s="7"/>
      <c r="CS75" s="130"/>
      <c r="CT75" s="7"/>
      <c r="CU75" s="7"/>
      <c r="CV75" s="7"/>
      <c r="CW75" s="7"/>
      <c r="CX75" s="7"/>
      <c r="CY75" s="73"/>
      <c r="CZ75" s="7"/>
      <c r="DA75" s="7"/>
      <c r="DB75" s="7"/>
      <c r="DC75" s="48"/>
      <c r="DD75" s="7"/>
      <c r="DE75" s="7"/>
      <c r="DF75" s="7"/>
      <c r="DG75" s="7"/>
      <c r="DH75" s="7"/>
      <c r="DI75" s="7"/>
      <c r="DJ75" s="7"/>
      <c r="DK75" s="7"/>
      <c r="DL75" s="74"/>
      <c r="DM75" s="7"/>
      <c r="DN75" s="7"/>
      <c r="DO75" s="7"/>
      <c r="DP75" s="7"/>
      <c r="DQ75" s="58"/>
      <c r="DR75" s="7"/>
      <c r="DS75" s="7"/>
      <c r="DT75" s="7"/>
      <c r="DU75" s="73"/>
      <c r="DV75" s="73"/>
      <c r="DW75" s="152"/>
      <c r="DX75" s="7"/>
      <c r="DY75" s="7"/>
      <c r="DZ75" s="7"/>
      <c r="EA75" s="7"/>
      <c r="EB75" s="7"/>
      <c r="EC75" s="7"/>
      <c r="ED75" s="7"/>
      <c r="EE75" s="7"/>
      <c r="EF75" s="7"/>
      <c r="EG75" s="7"/>
      <c r="EH75" s="7"/>
      <c r="EI75" s="7"/>
      <c r="EJ75" s="7"/>
      <c r="EK75" s="7"/>
      <c r="EL75" s="7"/>
      <c r="EM75" s="7"/>
      <c r="EN75" s="19"/>
      <c r="EO75" s="7"/>
      <c r="EP75" s="7"/>
      <c r="EQ75" s="7"/>
      <c r="ER75" s="7"/>
      <c r="ES75" s="7"/>
      <c r="ET75" s="55"/>
      <c r="EU75" s="7"/>
      <c r="EV75" s="7"/>
      <c r="EW75" s="7"/>
      <c r="EX75" s="7"/>
      <c r="EY75" s="7"/>
      <c r="EZ75" s="7"/>
      <c r="FA75" s="7"/>
      <c r="FB75" s="7"/>
      <c r="FC75" s="55"/>
      <c r="FD75" s="55"/>
      <c r="FE75" s="55"/>
      <c r="FF75" s="7"/>
      <c r="FG75" s="7"/>
      <c r="FH75" s="7"/>
      <c r="FI75" s="7"/>
      <c r="FJ75" s="7"/>
      <c r="FK75" s="7"/>
      <c r="FL75" s="7"/>
      <c r="FM75" s="7"/>
      <c r="FN75" s="7"/>
      <c r="FO75" s="7"/>
      <c r="FP75" s="7"/>
      <c r="FQ75" s="7"/>
      <c r="FR75" s="7"/>
      <c r="FS75" s="77"/>
      <c r="FT75" s="30"/>
      <c r="FU75" s="7"/>
      <c r="FV75" s="55"/>
      <c r="FW75" s="55"/>
      <c r="FX75" s="7"/>
      <c r="FY75" s="7"/>
      <c r="FZ75" s="7"/>
      <c r="GA75" s="7"/>
      <c r="GB75" s="7"/>
      <c r="GC75" s="7"/>
      <c r="GD75" s="103"/>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29"/>
      <c r="IF75" s="7"/>
      <c r="IG75" s="7"/>
      <c r="IH75" s="7"/>
      <c r="II75" s="7"/>
      <c r="IJ75" s="7"/>
      <c r="IK75" s="7"/>
      <c r="IL75" s="7"/>
      <c r="IM75" s="7"/>
      <c r="IN75" s="7"/>
      <c r="IO75" s="7"/>
      <c r="IP75" s="7"/>
      <c r="IQ75" s="7"/>
      <c r="IR75" s="7"/>
      <c r="IS75" s="7"/>
      <c r="IT75" s="55"/>
      <c r="IU75" s="7"/>
      <c r="IV75" s="7"/>
    </row>
    <row r="76" spans="1:256" s="11" customFormat="1" ht="12.75" customHeight="1">
      <c r="A76" s="19"/>
      <c r="B76" s="19"/>
      <c r="C76" s="388" t="s">
        <v>5799</v>
      </c>
      <c r="D76" s="19">
        <f>COUNTIF(SurveyDATA!E660:E831,"*Brgy.204*")</f>
        <v>1</v>
      </c>
      <c r="E76" s="7"/>
      <c r="F76" s="7"/>
      <c r="G76" s="7"/>
      <c r="H76" s="19"/>
      <c r="I76" s="8"/>
      <c r="J76" s="19"/>
      <c r="K76" s="7"/>
      <c r="L76" s="7"/>
      <c r="M76" s="7"/>
      <c r="N76" s="80"/>
      <c r="O76" s="80"/>
      <c r="P76" s="19"/>
      <c r="Q76" s="29"/>
      <c r="R76" s="30"/>
      <c r="S76" s="7"/>
      <c r="T76" s="7"/>
      <c r="U76" s="31"/>
      <c r="V76" s="7"/>
      <c r="W76" s="7"/>
      <c r="X76" s="7"/>
      <c r="Y76" s="7"/>
      <c r="Z76" s="7"/>
      <c r="AA76" s="7"/>
      <c r="AB76" s="7"/>
      <c r="AC76" s="7"/>
      <c r="AD76" s="7"/>
      <c r="AE76" s="7"/>
      <c r="AF76" s="7"/>
      <c r="AG76" s="7"/>
      <c r="AH76" s="7"/>
      <c r="AI76" s="7"/>
      <c r="AJ76" s="122"/>
      <c r="AK76" s="41"/>
      <c r="AL76" s="52"/>
      <c r="AM76" s="20"/>
      <c r="AN76" s="20"/>
      <c r="AO76" s="20"/>
      <c r="AP76" s="20"/>
      <c r="AQ76" s="7"/>
      <c r="AR76" s="7"/>
      <c r="AS76" s="7"/>
      <c r="AT76" s="7"/>
      <c r="AU76" s="7"/>
      <c r="AV76" s="20"/>
      <c r="AW76" s="7"/>
      <c r="AX76" s="7"/>
      <c r="AY76" s="7"/>
      <c r="AZ76" s="7"/>
      <c r="BA76" s="7"/>
      <c r="BB76" s="7"/>
      <c r="BC76" s="7"/>
      <c r="BD76" s="55"/>
      <c r="BE76" s="55"/>
      <c r="BF76" s="7"/>
      <c r="BG76" s="7"/>
      <c r="BH76" s="7"/>
      <c r="BI76" s="7"/>
      <c r="BJ76" s="7"/>
      <c r="BK76" s="7"/>
      <c r="BL76" s="7"/>
      <c r="BM76" s="7"/>
      <c r="BN76" s="41"/>
      <c r="BO76" s="62"/>
      <c r="BP76" s="50"/>
      <c r="BQ76" s="20"/>
      <c r="BR76" s="7"/>
      <c r="BS76" s="7"/>
      <c r="BT76" s="7"/>
      <c r="BU76" s="7"/>
      <c r="BV76" s="55"/>
      <c r="BW76" s="7"/>
      <c r="BX76" s="55"/>
      <c r="BY76" s="7"/>
      <c r="BZ76" s="7"/>
      <c r="CA76" s="7"/>
      <c r="CB76" s="7"/>
      <c r="CC76" s="73"/>
      <c r="CD76" s="71"/>
      <c r="CE76" s="72"/>
      <c r="CF76" s="7"/>
      <c r="CG76" s="7"/>
      <c r="CH76" s="7"/>
      <c r="CI76" s="7"/>
      <c r="CJ76" s="7"/>
      <c r="CK76" s="7"/>
      <c r="CL76" s="7"/>
      <c r="CM76" s="7"/>
      <c r="CN76" s="7"/>
      <c r="CO76" s="7"/>
      <c r="CP76" s="55"/>
      <c r="CQ76" s="7"/>
      <c r="CR76" s="7"/>
      <c r="CS76" s="130"/>
      <c r="CT76" s="7"/>
      <c r="CU76" s="7"/>
      <c r="CV76" s="7"/>
      <c r="CW76" s="7"/>
      <c r="CX76" s="7"/>
      <c r="CY76" s="73"/>
      <c r="CZ76" s="7"/>
      <c r="DA76" s="7"/>
      <c r="DB76" s="7"/>
      <c r="DC76" s="48"/>
      <c r="DD76" s="7"/>
      <c r="DE76" s="7"/>
      <c r="DF76" s="7"/>
      <c r="DG76" s="7"/>
      <c r="DH76" s="7"/>
      <c r="DI76" s="7"/>
      <c r="DJ76" s="7"/>
      <c r="DK76" s="7"/>
      <c r="DL76" s="74"/>
      <c r="DM76" s="7"/>
      <c r="DN76" s="7"/>
      <c r="DO76" s="7"/>
      <c r="DP76" s="7"/>
      <c r="DQ76" s="58"/>
      <c r="DR76" s="7"/>
      <c r="DS76" s="7"/>
      <c r="DT76" s="7"/>
      <c r="DU76" s="73"/>
      <c r="DV76" s="73"/>
      <c r="DW76" s="152"/>
      <c r="DX76" s="7"/>
      <c r="DY76" s="7"/>
      <c r="DZ76" s="7"/>
      <c r="EA76" s="7"/>
      <c r="EB76" s="7"/>
      <c r="EC76" s="7"/>
      <c r="ED76" s="7"/>
      <c r="EE76" s="7"/>
      <c r="EF76" s="7"/>
      <c r="EG76" s="7"/>
      <c r="EH76" s="7"/>
      <c r="EI76" s="7"/>
      <c r="EJ76" s="7"/>
      <c r="EK76" s="7"/>
      <c r="EL76" s="7"/>
      <c r="EM76" s="7"/>
      <c r="EN76" s="19"/>
      <c r="EO76" s="7"/>
      <c r="EP76" s="7"/>
      <c r="EQ76" s="7"/>
      <c r="ER76" s="7"/>
      <c r="ES76" s="7"/>
      <c r="ET76" s="55"/>
      <c r="EU76" s="7"/>
      <c r="EV76" s="7"/>
      <c r="EW76" s="7"/>
      <c r="EX76" s="7"/>
      <c r="EY76" s="7"/>
      <c r="EZ76" s="7"/>
      <c r="FA76" s="7"/>
      <c r="FB76" s="7"/>
      <c r="FC76" s="55"/>
      <c r="FD76" s="55"/>
      <c r="FE76" s="55"/>
      <c r="FF76" s="7"/>
      <c r="FG76" s="7"/>
      <c r="FH76" s="7"/>
      <c r="FI76" s="7"/>
      <c r="FJ76" s="7"/>
      <c r="FK76" s="7"/>
      <c r="FL76" s="7"/>
      <c r="FM76" s="7"/>
      <c r="FN76" s="7"/>
      <c r="FO76" s="7"/>
      <c r="FP76" s="7"/>
      <c r="FQ76" s="7"/>
      <c r="FR76" s="7"/>
      <c r="FS76" s="77"/>
      <c r="FT76" s="30"/>
      <c r="FU76" s="7"/>
      <c r="FV76" s="55"/>
      <c r="FW76" s="55"/>
      <c r="FX76" s="7"/>
      <c r="FY76" s="7"/>
      <c r="FZ76" s="7"/>
      <c r="GA76" s="7"/>
      <c r="GB76" s="7"/>
      <c r="GC76" s="7"/>
      <c r="GD76" s="103"/>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29"/>
      <c r="IF76" s="7"/>
      <c r="IG76" s="7"/>
      <c r="IH76" s="7"/>
      <c r="II76" s="7"/>
      <c r="IJ76" s="7"/>
      <c r="IK76" s="7"/>
      <c r="IL76" s="7"/>
      <c r="IM76" s="7"/>
      <c r="IN76" s="7"/>
      <c r="IO76" s="7"/>
      <c r="IP76" s="7"/>
      <c r="IQ76" s="7"/>
      <c r="IR76" s="7"/>
      <c r="IS76" s="7"/>
      <c r="IT76" s="55"/>
      <c r="IU76" s="7"/>
      <c r="IV76" s="7"/>
    </row>
    <row r="77" spans="1:256" s="11" customFormat="1" ht="12.75" customHeight="1">
      <c r="A77" s="19"/>
      <c r="B77" s="19"/>
      <c r="C77" s="388"/>
      <c r="D77" s="19">
        <f>SUM(D62:D76)</f>
        <v>171</v>
      </c>
      <c r="E77" s="7"/>
      <c r="F77" s="7"/>
      <c r="G77" s="7"/>
      <c r="H77" s="19"/>
      <c r="I77" s="8"/>
      <c r="J77" s="19"/>
      <c r="K77" s="7"/>
      <c r="L77" s="7"/>
      <c r="M77" s="7"/>
      <c r="N77" s="80"/>
      <c r="O77" s="80"/>
      <c r="P77" s="19"/>
      <c r="Q77" s="29"/>
      <c r="R77" s="30"/>
      <c r="S77" s="7"/>
      <c r="T77" s="7"/>
      <c r="U77" s="31"/>
      <c r="V77" s="7"/>
      <c r="W77" s="7"/>
      <c r="X77" s="7"/>
      <c r="Y77" s="7"/>
      <c r="Z77" s="7"/>
      <c r="AA77" s="7"/>
      <c r="AB77" s="7"/>
      <c r="AC77" s="7"/>
      <c r="AD77" s="7"/>
      <c r="AE77" s="7"/>
      <c r="AF77" s="7"/>
      <c r="AG77" s="7"/>
      <c r="AH77" s="7"/>
      <c r="AI77" s="7"/>
      <c r="AJ77" s="122"/>
      <c r="AK77" s="41"/>
      <c r="AL77" s="52"/>
      <c r="AM77" s="20"/>
      <c r="AN77" s="20"/>
      <c r="AO77" s="20"/>
      <c r="AP77" s="20"/>
      <c r="AQ77" s="7"/>
      <c r="AR77" s="7"/>
      <c r="AS77" s="7"/>
      <c r="AT77" s="7"/>
      <c r="AU77" s="7"/>
      <c r="AV77" s="20"/>
      <c r="AW77" s="7"/>
      <c r="AX77" s="7"/>
      <c r="AY77" s="7"/>
      <c r="AZ77" s="7"/>
      <c r="BA77" s="7"/>
      <c r="BB77" s="7"/>
      <c r="BC77" s="7"/>
      <c r="BD77" s="55"/>
      <c r="BE77" s="55"/>
      <c r="BF77" s="7"/>
      <c r="BG77" s="7"/>
      <c r="BH77" s="7"/>
      <c r="BI77" s="7"/>
      <c r="BJ77" s="7"/>
      <c r="BK77" s="7"/>
      <c r="BL77" s="7"/>
      <c r="BM77" s="7"/>
      <c r="BN77" s="41"/>
      <c r="BO77" s="62"/>
      <c r="BP77" s="50"/>
      <c r="BQ77" s="20"/>
      <c r="BR77" s="7"/>
      <c r="BS77" s="7"/>
      <c r="BT77" s="7"/>
      <c r="BU77" s="7"/>
      <c r="BV77" s="55"/>
      <c r="BW77" s="7"/>
      <c r="BX77" s="55"/>
      <c r="BY77" s="7"/>
      <c r="BZ77" s="7"/>
      <c r="CA77" s="7"/>
      <c r="CB77" s="7"/>
      <c r="CC77" s="73"/>
      <c r="CD77" s="71"/>
      <c r="CE77" s="72"/>
      <c r="CF77" s="7"/>
      <c r="CG77" s="7"/>
      <c r="CH77" s="7"/>
      <c r="CI77" s="7"/>
      <c r="CJ77" s="7"/>
      <c r="CK77" s="7"/>
      <c r="CL77" s="7"/>
      <c r="CM77" s="7"/>
      <c r="CN77" s="7"/>
      <c r="CO77" s="7"/>
      <c r="CP77" s="55"/>
      <c r="CQ77" s="7"/>
      <c r="CR77" s="7"/>
      <c r="CS77" s="130"/>
      <c r="CT77" s="7"/>
      <c r="CU77" s="7"/>
      <c r="CV77" s="7"/>
      <c r="CW77" s="7"/>
      <c r="CX77" s="7"/>
      <c r="CY77" s="73"/>
      <c r="CZ77" s="7"/>
      <c r="DA77" s="7"/>
      <c r="DB77" s="7"/>
      <c r="DC77" s="48"/>
      <c r="DD77" s="7"/>
      <c r="DE77" s="7"/>
      <c r="DF77" s="7"/>
      <c r="DG77" s="7"/>
      <c r="DH77" s="7"/>
      <c r="DI77" s="7"/>
      <c r="DJ77" s="7"/>
      <c r="DK77" s="7"/>
      <c r="DL77" s="74"/>
      <c r="DM77" s="7"/>
      <c r="DN77" s="7"/>
      <c r="DO77" s="7"/>
      <c r="DP77" s="7"/>
      <c r="DQ77" s="58"/>
      <c r="DR77" s="7"/>
      <c r="DS77" s="7"/>
      <c r="DT77" s="7"/>
      <c r="DU77" s="73"/>
      <c r="DV77" s="73"/>
      <c r="DW77" s="152"/>
      <c r="DX77" s="7"/>
      <c r="DY77" s="7"/>
      <c r="DZ77" s="7"/>
      <c r="EA77" s="7"/>
      <c r="EB77" s="7"/>
      <c r="EC77" s="7"/>
      <c r="ED77" s="7"/>
      <c r="EE77" s="7"/>
      <c r="EF77" s="7"/>
      <c r="EG77" s="7"/>
      <c r="EH77" s="7"/>
      <c r="EI77" s="7"/>
      <c r="EJ77" s="7"/>
      <c r="EK77" s="7"/>
      <c r="EL77" s="7"/>
      <c r="EM77" s="7"/>
      <c r="EN77" s="19"/>
      <c r="EO77" s="7"/>
      <c r="EP77" s="7"/>
      <c r="EQ77" s="7"/>
      <c r="ER77" s="7"/>
      <c r="ES77" s="7"/>
      <c r="ET77" s="55"/>
      <c r="EU77" s="7"/>
      <c r="EV77" s="7"/>
      <c r="EW77" s="7"/>
      <c r="EX77" s="7"/>
      <c r="EY77" s="7"/>
      <c r="EZ77" s="7"/>
      <c r="FA77" s="7"/>
      <c r="FB77" s="7"/>
      <c r="FC77" s="55"/>
      <c r="FD77" s="55"/>
      <c r="FE77" s="55"/>
      <c r="FF77" s="7"/>
      <c r="FG77" s="7"/>
      <c r="FH77" s="7"/>
      <c r="FI77" s="7"/>
      <c r="FJ77" s="7"/>
      <c r="FK77" s="7"/>
      <c r="FL77" s="7"/>
      <c r="FM77" s="7"/>
      <c r="FN77" s="7"/>
      <c r="FO77" s="7"/>
      <c r="FP77" s="7"/>
      <c r="FQ77" s="7"/>
      <c r="FR77" s="7"/>
      <c r="FS77" s="77"/>
      <c r="FT77" s="30"/>
      <c r="FU77" s="7"/>
      <c r="FV77" s="55"/>
      <c r="FW77" s="55"/>
      <c r="FX77" s="7"/>
      <c r="FY77" s="7"/>
      <c r="FZ77" s="7"/>
      <c r="GA77" s="7"/>
      <c r="GB77" s="7"/>
      <c r="GC77" s="7"/>
      <c r="GD77" s="103"/>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29"/>
      <c r="IF77" s="7"/>
      <c r="IG77" s="7"/>
      <c r="IH77" s="7"/>
      <c r="II77" s="7"/>
      <c r="IJ77" s="7"/>
      <c r="IK77" s="7"/>
      <c r="IL77" s="7"/>
      <c r="IM77" s="7"/>
      <c r="IN77" s="7"/>
      <c r="IO77" s="7"/>
      <c r="IP77" s="7"/>
      <c r="IQ77" s="7"/>
      <c r="IR77" s="7"/>
      <c r="IS77" s="7"/>
      <c r="IT77" s="55"/>
      <c r="IU77" s="7"/>
      <c r="IV77" s="7"/>
    </row>
    <row r="78" spans="1:256" s="35" customFormat="1" ht="12.75" customHeight="1">
      <c r="C78" s="149" t="s">
        <v>4548</v>
      </c>
      <c r="D78" s="17"/>
      <c r="E78" s="158" t="s">
        <v>5793</v>
      </c>
      <c r="F78" s="20"/>
      <c r="G78" s="20"/>
      <c r="I78" s="21"/>
      <c r="J78" s="17"/>
      <c r="K78" s="4" t="s">
        <v>4552</v>
      </c>
      <c r="L78" s="4" t="s">
        <v>4687</v>
      </c>
      <c r="M78" s="20"/>
      <c r="N78" s="581"/>
      <c r="O78" s="581" t="s">
        <v>3078</v>
      </c>
      <c r="P78" s="20"/>
      <c r="Q78" s="32"/>
      <c r="R78" s="33"/>
      <c r="S78" s="20"/>
      <c r="T78" s="20"/>
      <c r="U78" s="21"/>
      <c r="V78" s="20"/>
      <c r="W78" s="20"/>
      <c r="X78" s="20"/>
      <c r="Y78" s="20"/>
      <c r="Z78" s="20"/>
      <c r="AA78" s="20"/>
      <c r="AB78" s="20"/>
      <c r="AC78" s="20"/>
      <c r="AD78" s="20"/>
      <c r="AE78" s="20" t="s">
        <v>3036</v>
      </c>
      <c r="AF78" s="20" t="s">
        <v>1096</v>
      </c>
      <c r="AG78" s="158"/>
      <c r="AH78" s="158"/>
      <c r="AI78" s="158"/>
      <c r="AJ78" s="125">
        <v>24.5</v>
      </c>
      <c r="AK78" s="62">
        <v>5.25</v>
      </c>
      <c r="AL78" s="51">
        <f>AK78/AJ78</f>
        <v>0.21428571428571427</v>
      </c>
      <c r="AM78" s="20" t="s">
        <v>1149</v>
      </c>
      <c r="AN78" s="20"/>
      <c r="AO78" s="20"/>
      <c r="AP78" s="20"/>
      <c r="AQ78" s="20"/>
      <c r="AR78" s="20"/>
      <c r="AS78" s="20"/>
      <c r="AT78" s="20"/>
      <c r="AU78" s="20"/>
      <c r="AV78" s="20"/>
      <c r="AW78" s="20"/>
      <c r="AX78" s="20"/>
      <c r="AY78" s="20"/>
      <c r="AZ78" s="20"/>
      <c r="BA78" s="20"/>
      <c r="BB78" s="20"/>
      <c r="BC78" s="20"/>
      <c r="BD78" s="56"/>
      <c r="BE78" s="56"/>
      <c r="BF78" s="20"/>
      <c r="BG78" s="20"/>
      <c r="BH78" s="20"/>
      <c r="BI78" s="20" t="s">
        <v>1095</v>
      </c>
      <c r="BJ78" s="20" t="s">
        <v>3087</v>
      </c>
      <c r="BK78" s="20" t="s">
        <v>1096</v>
      </c>
      <c r="BL78" s="20" t="s">
        <v>1230</v>
      </c>
      <c r="BM78" s="20" t="s">
        <v>1252</v>
      </c>
      <c r="BN78" s="63">
        <v>49</v>
      </c>
      <c r="BO78" s="62">
        <v>5.25</v>
      </c>
      <c r="BP78" s="50">
        <f>BO78/BN78</f>
        <v>0.10714285714285714</v>
      </c>
      <c r="BQ78" s="20" t="s">
        <v>1242</v>
      </c>
      <c r="BR78" s="154" t="s">
        <v>1249</v>
      </c>
      <c r="BS78" s="154" t="s">
        <v>1249</v>
      </c>
      <c r="BT78" s="154" t="s">
        <v>1247</v>
      </c>
      <c r="BU78" s="154">
        <v>1949</v>
      </c>
      <c r="BV78" s="350"/>
      <c r="BW78" s="154"/>
      <c r="BX78" s="350"/>
      <c r="BY78" s="154"/>
      <c r="BZ78" s="20"/>
      <c r="CA78" s="154"/>
      <c r="CB78" s="154"/>
      <c r="CC78" s="350"/>
      <c r="CD78" s="357"/>
      <c r="CE78" s="433"/>
      <c r="CF78" s="154"/>
      <c r="CG78" s="154"/>
      <c r="CH78" s="154"/>
      <c r="CI78" s="154"/>
      <c r="CJ78" s="154"/>
      <c r="CK78" s="154"/>
      <c r="CL78" s="154"/>
      <c r="CM78" s="154"/>
      <c r="CN78" s="154"/>
      <c r="CO78" s="154"/>
      <c r="CP78" s="350"/>
      <c r="CQ78" s="154"/>
      <c r="CR78" s="154"/>
      <c r="CS78" s="434"/>
      <c r="CT78" s="154"/>
      <c r="CU78" s="154"/>
      <c r="CV78" s="154"/>
      <c r="CW78" s="154"/>
      <c r="CX78" s="154"/>
      <c r="CY78" s="358"/>
      <c r="CZ78" s="154"/>
      <c r="DA78" s="154"/>
      <c r="DB78" s="154"/>
      <c r="DC78" s="359"/>
      <c r="DD78" s="154"/>
      <c r="DE78" s="154"/>
      <c r="DF78" s="154"/>
      <c r="DG78" s="154"/>
      <c r="DH78" s="154"/>
      <c r="DI78" s="154"/>
      <c r="DJ78" s="154"/>
      <c r="DK78" s="154"/>
      <c r="DL78" s="435"/>
      <c r="DM78" s="154"/>
      <c r="DN78" s="154"/>
      <c r="DO78" s="154"/>
      <c r="DP78" s="154"/>
      <c r="DQ78" s="356"/>
      <c r="DR78" s="154"/>
      <c r="DS78" s="154"/>
      <c r="DT78" s="154"/>
      <c r="DU78" s="358"/>
      <c r="DV78" s="358"/>
      <c r="DW78" s="436"/>
      <c r="DX78" s="154"/>
      <c r="DY78" s="154"/>
      <c r="DZ78" s="154"/>
      <c r="EA78" s="154"/>
      <c r="EB78" s="154"/>
      <c r="EC78" s="154"/>
      <c r="ED78" s="154"/>
      <c r="EE78" s="154"/>
      <c r="EF78" s="154"/>
      <c r="EG78" s="154"/>
      <c r="EH78" s="154"/>
      <c r="EI78" s="154"/>
      <c r="EJ78" s="154"/>
      <c r="EK78" s="154"/>
      <c r="EL78" s="154"/>
      <c r="EM78" s="154"/>
      <c r="EN78" s="343"/>
      <c r="EO78" s="154"/>
      <c r="EP78" s="154"/>
      <c r="EQ78" s="154" t="s">
        <v>3099</v>
      </c>
      <c r="ER78" s="154" t="s">
        <v>1257</v>
      </c>
      <c r="ES78" s="154"/>
      <c r="ET78" s="350"/>
      <c r="EU78" s="154" t="s">
        <v>3100</v>
      </c>
      <c r="EV78" s="154" t="s">
        <v>3081</v>
      </c>
      <c r="EW78" s="154"/>
      <c r="EX78" s="20" t="s">
        <v>478</v>
      </c>
      <c r="EY78" s="20"/>
      <c r="EZ78" s="158"/>
      <c r="FA78" s="158"/>
      <c r="FB78" s="158"/>
      <c r="FC78" s="56"/>
      <c r="FD78" s="56"/>
      <c r="FE78" s="56"/>
      <c r="FF78" s="20" t="s">
        <v>1600</v>
      </c>
      <c r="FG78" s="20" t="s">
        <v>1660</v>
      </c>
      <c r="FH78" s="20" t="s">
        <v>1214</v>
      </c>
      <c r="FI78" s="20"/>
      <c r="FJ78" s="20"/>
      <c r="FK78" s="20"/>
      <c r="FL78" s="20"/>
      <c r="FM78" s="20"/>
      <c r="FN78" s="20"/>
      <c r="FO78" s="20"/>
      <c r="FP78" s="20"/>
      <c r="FQ78" s="20"/>
      <c r="FR78" s="20" t="s">
        <v>1734</v>
      </c>
      <c r="FS78" s="79"/>
      <c r="FT78" s="33">
        <v>1949</v>
      </c>
      <c r="FU78" s="20"/>
      <c r="FV78" s="56"/>
      <c r="FW78" s="56"/>
      <c r="FX78" s="20"/>
      <c r="FY78" s="20"/>
      <c r="FZ78" s="20"/>
      <c r="GA78" s="20"/>
      <c r="GB78" s="20"/>
      <c r="GC78" s="20"/>
      <c r="GD78" s="119"/>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32"/>
      <c r="IF78" s="20"/>
      <c r="IG78" s="20"/>
      <c r="IH78" s="20"/>
      <c r="II78" s="20"/>
      <c r="IJ78" s="20"/>
      <c r="IK78" s="20"/>
      <c r="IL78" s="20"/>
      <c r="IM78" s="20"/>
      <c r="IN78" s="20"/>
      <c r="IO78" s="20"/>
      <c r="IP78" s="20"/>
      <c r="IQ78" s="20"/>
      <c r="IR78" s="20"/>
      <c r="IS78" s="20"/>
      <c r="IT78" s="56"/>
      <c r="IU78" s="20"/>
      <c r="IV78" s="20"/>
    </row>
    <row r="79" spans="1:256" s="11" customFormat="1" ht="12.75" customHeight="1">
      <c r="A79" s="19"/>
      <c r="B79" s="19"/>
      <c r="C79" s="19"/>
      <c r="D79" s="19"/>
      <c r="E79" s="7"/>
      <c r="F79" s="7"/>
      <c r="G79" s="7"/>
      <c r="H79" s="19"/>
      <c r="I79" s="8"/>
      <c r="J79" s="19"/>
      <c r="K79" s="7"/>
      <c r="L79" s="7"/>
      <c r="M79" s="7"/>
      <c r="N79" s="80"/>
      <c r="O79" s="80"/>
      <c r="P79" s="19"/>
      <c r="Q79" s="29"/>
      <c r="R79" s="30"/>
      <c r="S79" s="7"/>
      <c r="T79" s="7"/>
      <c r="U79" s="31"/>
      <c r="V79" s="7"/>
      <c r="W79" s="7"/>
      <c r="X79" s="7"/>
      <c r="Y79" s="7"/>
      <c r="Z79" s="7"/>
      <c r="AA79" s="7"/>
      <c r="AB79" s="7"/>
      <c r="AC79" s="7"/>
      <c r="AD79" s="7"/>
      <c r="AE79" s="7"/>
      <c r="AF79" s="7"/>
      <c r="AG79" s="7"/>
      <c r="AH79" s="7"/>
      <c r="AI79" s="7"/>
      <c r="AJ79" s="122"/>
      <c r="AK79" s="41"/>
      <c r="AL79" s="52"/>
      <c r="AM79" s="20"/>
      <c r="AN79" s="20"/>
      <c r="AO79" s="20"/>
      <c r="AP79" s="20"/>
      <c r="AQ79" s="7"/>
      <c r="AR79" s="7"/>
      <c r="AS79" s="7"/>
      <c r="AT79" s="7"/>
      <c r="AU79" s="7"/>
      <c r="AV79" s="20"/>
      <c r="AW79" s="7"/>
      <c r="AX79" s="7"/>
      <c r="AY79" s="7"/>
      <c r="AZ79" s="7"/>
      <c r="BA79" s="7"/>
      <c r="BB79" s="7"/>
      <c r="BC79" s="7"/>
      <c r="BD79" s="55"/>
      <c r="BE79" s="55"/>
      <c r="BF79" s="7"/>
      <c r="BG79" s="7"/>
      <c r="BH79" s="7"/>
      <c r="BI79" s="7"/>
      <c r="BJ79" s="7"/>
      <c r="BK79" s="7"/>
      <c r="BL79" s="7"/>
      <c r="BM79" s="7"/>
      <c r="BN79" s="41"/>
      <c r="BO79" s="62"/>
      <c r="BP79" s="50"/>
      <c r="BQ79" s="20"/>
      <c r="BR79" s="7"/>
      <c r="BS79" s="7"/>
      <c r="BT79" s="7"/>
      <c r="BU79" s="7"/>
      <c r="BV79" s="55"/>
      <c r="BW79" s="7"/>
      <c r="BX79" s="55"/>
      <c r="BY79" s="7"/>
      <c r="BZ79" s="7"/>
      <c r="CA79" s="7"/>
      <c r="CB79" s="7"/>
      <c r="CC79" s="73"/>
      <c r="CD79" s="71"/>
      <c r="CE79" s="72"/>
      <c r="CF79" s="7"/>
      <c r="CG79" s="7"/>
      <c r="CH79" s="7"/>
      <c r="CI79" s="7"/>
      <c r="CJ79" s="7"/>
      <c r="CK79" s="7"/>
      <c r="CL79" s="7"/>
      <c r="CM79" s="7"/>
      <c r="CN79" s="7"/>
      <c r="CO79" s="7"/>
      <c r="CP79" s="55"/>
      <c r="CQ79" s="7"/>
      <c r="CR79" s="7"/>
      <c r="CS79" s="130"/>
      <c r="CT79" s="7"/>
      <c r="CU79" s="7"/>
      <c r="CV79" s="7"/>
      <c r="CW79" s="7"/>
      <c r="CX79" s="7"/>
      <c r="CY79" s="73"/>
      <c r="CZ79" s="7"/>
      <c r="DA79" s="7"/>
      <c r="DB79" s="7"/>
      <c r="DC79" s="48"/>
      <c r="DD79" s="7"/>
      <c r="DE79" s="7"/>
      <c r="DF79" s="7"/>
      <c r="DG79" s="7"/>
      <c r="DH79" s="7"/>
      <c r="DI79" s="7"/>
      <c r="DJ79" s="7"/>
      <c r="DK79" s="7"/>
      <c r="DL79" s="74"/>
      <c r="DM79" s="7"/>
      <c r="DN79" s="7"/>
      <c r="DO79" s="7"/>
      <c r="DP79" s="7"/>
      <c r="DQ79" s="58"/>
      <c r="DR79" s="7"/>
      <c r="DS79" s="7"/>
      <c r="DT79" s="7"/>
      <c r="DU79" s="73"/>
      <c r="DV79" s="73"/>
      <c r="DW79" s="152"/>
      <c r="DX79" s="7"/>
      <c r="DY79" s="7"/>
      <c r="DZ79" s="7"/>
      <c r="EA79" s="7"/>
      <c r="EB79" s="7"/>
      <c r="EC79" s="7"/>
      <c r="ED79" s="7"/>
      <c r="EE79" s="7"/>
      <c r="EF79" s="7"/>
      <c r="EG79" s="7"/>
      <c r="EH79" s="7"/>
      <c r="EI79" s="7"/>
      <c r="EJ79" s="7"/>
      <c r="EK79" s="7"/>
      <c r="EL79" s="7"/>
      <c r="EM79" s="7"/>
      <c r="EN79" s="19"/>
      <c r="EO79" s="7"/>
      <c r="EP79" s="7"/>
      <c r="EQ79" s="7"/>
      <c r="ER79" s="7"/>
      <c r="ES79" s="7"/>
      <c r="ET79" s="55"/>
      <c r="EU79" s="7"/>
      <c r="EV79" s="7"/>
      <c r="EW79" s="7"/>
      <c r="EX79" s="7"/>
      <c r="EY79" s="7"/>
      <c r="EZ79" s="7"/>
      <c r="FA79" s="72"/>
      <c r="FB79" s="7"/>
      <c r="FC79" s="55"/>
      <c r="FD79" s="55"/>
      <c r="FE79" s="55"/>
      <c r="FF79" s="7"/>
      <c r="FG79" s="7"/>
      <c r="FH79" s="7"/>
      <c r="FI79" s="7"/>
      <c r="FJ79" s="7"/>
      <c r="FK79" s="7"/>
      <c r="FL79" s="7"/>
      <c r="FM79" s="7"/>
      <c r="FN79" s="7"/>
      <c r="FO79" s="7"/>
      <c r="FP79" s="7"/>
      <c r="FQ79" s="7"/>
      <c r="FR79" s="7"/>
      <c r="FS79" s="77"/>
      <c r="FT79" s="30"/>
      <c r="FU79" s="7"/>
      <c r="FV79" s="55"/>
      <c r="FW79" s="55"/>
      <c r="FX79" s="7"/>
      <c r="FY79" s="7"/>
      <c r="FZ79" s="7"/>
      <c r="GA79" s="7"/>
      <c r="GB79" s="7"/>
      <c r="GC79" s="7"/>
      <c r="GD79" s="103"/>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29"/>
      <c r="IF79" s="7"/>
      <c r="IG79" s="7"/>
      <c r="IH79" s="7"/>
      <c r="II79" s="7"/>
      <c r="IJ79" s="7"/>
      <c r="IK79" s="7"/>
      <c r="IL79" s="7"/>
      <c r="IM79" s="7"/>
      <c r="IN79" s="7"/>
      <c r="IO79" s="7"/>
      <c r="IP79" s="7"/>
      <c r="IQ79" s="7"/>
      <c r="IR79" s="7"/>
      <c r="IS79" s="7"/>
      <c r="IT79" s="55"/>
      <c r="IU79" s="7"/>
      <c r="IV79" s="7"/>
    </row>
    <row r="80" spans="1:256" s="11" customFormat="1" ht="12.75" customHeight="1">
      <c r="A80" s="19"/>
      <c r="B80" s="19"/>
      <c r="C80" s="19"/>
      <c r="D80" s="19"/>
      <c r="E80" s="7"/>
      <c r="F80" s="7"/>
      <c r="G80" s="7"/>
      <c r="H80" s="19"/>
      <c r="I80" s="8"/>
      <c r="J80" s="19"/>
      <c r="K80" s="7"/>
      <c r="L80" s="7"/>
      <c r="M80" s="7"/>
      <c r="N80" s="80"/>
      <c r="O80" s="80"/>
      <c r="P80" s="19"/>
      <c r="Q80" s="29"/>
      <c r="R80" s="30"/>
      <c r="S80" s="7"/>
      <c r="T80" s="7"/>
      <c r="U80" s="31"/>
      <c r="V80" s="7"/>
      <c r="W80" s="7"/>
      <c r="X80" s="7"/>
      <c r="Y80" s="7"/>
      <c r="Z80" s="7"/>
      <c r="AA80" s="7"/>
      <c r="AB80" s="7"/>
      <c r="AC80" s="7"/>
      <c r="AD80" s="7"/>
      <c r="AE80" s="7"/>
      <c r="AF80" s="7"/>
      <c r="AG80" s="7"/>
      <c r="AH80" s="7"/>
      <c r="AI80" s="7"/>
      <c r="AJ80" s="122"/>
      <c r="AK80" s="41"/>
      <c r="AL80" s="52"/>
      <c r="AM80" s="20"/>
      <c r="AN80" s="20"/>
      <c r="AO80" s="20"/>
      <c r="AP80" s="20"/>
      <c r="AQ80" s="7"/>
      <c r="AR80" s="7"/>
      <c r="AS80" s="7"/>
      <c r="AT80" s="7"/>
      <c r="AU80" s="7"/>
      <c r="AV80" s="20"/>
      <c r="AW80" s="7"/>
      <c r="AX80" s="7"/>
      <c r="AY80" s="7"/>
      <c r="AZ80" s="7"/>
      <c r="BA80" s="7"/>
      <c r="BB80" s="7"/>
      <c r="BC80" s="7"/>
      <c r="BD80" s="55"/>
      <c r="BE80" s="55"/>
      <c r="BF80" s="7"/>
      <c r="BG80" s="7"/>
      <c r="BH80" s="7"/>
      <c r="BI80" s="7"/>
      <c r="BJ80" s="7"/>
      <c r="BK80" s="7"/>
      <c r="BL80" s="7"/>
      <c r="BM80" s="7"/>
      <c r="BN80" s="41"/>
      <c r="BO80" s="62"/>
      <c r="BP80" s="50"/>
      <c r="BQ80" s="20"/>
      <c r="BR80" s="7"/>
      <c r="BS80" s="7"/>
      <c r="BT80" s="7"/>
      <c r="BU80" s="7"/>
      <c r="BV80" s="55"/>
      <c r="BW80" s="7"/>
      <c r="BX80" s="55"/>
      <c r="BY80" s="7"/>
      <c r="BZ80" s="7"/>
      <c r="CA80" s="7"/>
      <c r="CB80" s="7"/>
      <c r="CC80" s="73"/>
      <c r="CD80" s="71"/>
      <c r="CE80" s="72"/>
      <c r="CF80" s="7"/>
      <c r="CG80" s="7"/>
      <c r="CH80" s="7"/>
      <c r="CI80" s="7"/>
      <c r="CJ80" s="7"/>
      <c r="CK80" s="7"/>
      <c r="CL80" s="7"/>
      <c r="CM80" s="7"/>
      <c r="CN80" s="7"/>
      <c r="CO80" s="7"/>
      <c r="CP80" s="55"/>
      <c r="CQ80" s="7"/>
      <c r="CR80" s="7"/>
      <c r="CS80" s="130"/>
      <c r="CT80" s="7"/>
      <c r="CU80" s="7"/>
      <c r="CV80" s="7"/>
      <c r="CW80" s="7"/>
      <c r="CX80" s="7"/>
      <c r="CY80" s="73"/>
      <c r="CZ80" s="7"/>
      <c r="DA80" s="7"/>
      <c r="DB80" s="7"/>
      <c r="DC80" s="48"/>
      <c r="DD80" s="7"/>
      <c r="DE80" s="7"/>
      <c r="DF80" s="7"/>
      <c r="DG80" s="7"/>
      <c r="DH80" s="7"/>
      <c r="DI80" s="7"/>
      <c r="DJ80" s="7"/>
      <c r="DK80" s="7"/>
      <c r="DL80" s="74"/>
      <c r="DM80" s="7"/>
      <c r="DN80" s="7"/>
      <c r="DO80" s="7"/>
      <c r="DP80" s="7"/>
      <c r="DQ80" s="58"/>
      <c r="DR80" s="7"/>
      <c r="DS80" s="7"/>
      <c r="DT80" s="7"/>
      <c r="DU80" s="73"/>
      <c r="DV80" s="73"/>
      <c r="DW80" s="152"/>
      <c r="DX80" s="7"/>
      <c r="DY80" s="7"/>
      <c r="DZ80" s="7"/>
      <c r="EA80" s="7"/>
      <c r="EB80" s="7"/>
      <c r="EC80" s="7"/>
      <c r="ED80" s="7"/>
      <c r="EE80" s="7"/>
      <c r="EF80" s="7"/>
      <c r="EG80" s="7"/>
      <c r="EH80" s="7"/>
      <c r="EI80" s="7"/>
      <c r="EJ80" s="7"/>
      <c r="EK80" s="7"/>
      <c r="EL80" s="7"/>
      <c r="EM80" s="7"/>
      <c r="EN80" s="19"/>
      <c r="EO80" s="7"/>
      <c r="EP80" s="7"/>
      <c r="EQ80" s="7"/>
      <c r="ER80" s="7"/>
      <c r="ES80" s="7"/>
      <c r="ET80" s="55"/>
      <c r="EU80" s="7"/>
      <c r="EV80" s="7"/>
      <c r="EW80" s="7"/>
      <c r="EX80" s="7"/>
      <c r="EY80" s="7"/>
      <c r="EZ80" s="7"/>
      <c r="FA80" s="72"/>
      <c r="FB80" s="7"/>
      <c r="FC80" s="55"/>
      <c r="FD80" s="55"/>
      <c r="FE80" s="55"/>
      <c r="FF80" s="7"/>
      <c r="FG80" s="7"/>
      <c r="FH80" s="7"/>
      <c r="FI80" s="7"/>
      <c r="FJ80" s="7"/>
      <c r="FK80" s="7"/>
      <c r="FL80" s="7"/>
      <c r="FM80" s="7"/>
      <c r="FN80" s="7"/>
      <c r="FO80" s="7"/>
      <c r="FP80" s="7"/>
      <c r="FQ80" s="7"/>
      <c r="FR80" s="7"/>
      <c r="FS80" s="77"/>
      <c r="FT80" s="30"/>
      <c r="FU80" s="7"/>
      <c r="FV80" s="55"/>
      <c r="FW80" s="55"/>
      <c r="FX80" s="7"/>
      <c r="FY80" s="7"/>
      <c r="FZ80" s="7"/>
      <c r="GA80" s="7"/>
      <c r="GB80" s="7"/>
      <c r="GC80" s="7"/>
      <c r="GD80" s="103"/>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29"/>
      <c r="IF80" s="7"/>
      <c r="IG80" s="7"/>
      <c r="IH80" s="7"/>
      <c r="II80" s="7"/>
      <c r="IJ80" s="7"/>
      <c r="IK80" s="7"/>
      <c r="IL80" s="7"/>
      <c r="IM80" s="7"/>
      <c r="IN80" s="7"/>
      <c r="IO80" s="7"/>
      <c r="IP80" s="7"/>
      <c r="IQ80" s="7"/>
      <c r="IR80" s="7"/>
      <c r="IS80" s="7"/>
      <c r="IT80" s="55"/>
      <c r="IU80" s="7"/>
      <c r="IV80" s="7"/>
    </row>
    <row r="81" spans="1:256" s="35" customFormat="1" ht="12.75" customHeight="1">
      <c r="C81" s="149" t="s">
        <v>3142</v>
      </c>
      <c r="D81" s="17" t="s">
        <v>4653</v>
      </c>
      <c r="E81" s="20" t="s">
        <v>3145</v>
      </c>
      <c r="F81" s="20" t="s">
        <v>2371</v>
      </c>
      <c r="G81" s="20" t="s">
        <v>18</v>
      </c>
      <c r="I81" s="21" t="s">
        <v>4654</v>
      </c>
      <c r="J81" s="17" t="s">
        <v>4655</v>
      </c>
      <c r="K81" s="4" t="s">
        <v>4647</v>
      </c>
      <c r="L81" s="4" t="s">
        <v>4593</v>
      </c>
      <c r="M81" s="20" t="s">
        <v>1238</v>
      </c>
      <c r="N81" s="581"/>
      <c r="O81" s="581" t="s">
        <v>3154</v>
      </c>
      <c r="P81" s="20" t="s">
        <v>4656</v>
      </c>
      <c r="Q81" s="32">
        <v>25518</v>
      </c>
      <c r="R81" s="33">
        <v>47</v>
      </c>
      <c r="S81" s="20" t="s">
        <v>18</v>
      </c>
      <c r="T81" s="20"/>
      <c r="U81" s="34" t="s">
        <v>4657</v>
      </c>
      <c r="V81" s="20" t="s">
        <v>2970</v>
      </c>
      <c r="W81" s="20" t="s">
        <v>3145</v>
      </c>
      <c r="X81" s="20" t="s">
        <v>708</v>
      </c>
      <c r="Y81" s="20" t="s">
        <v>709</v>
      </c>
      <c r="Z81" s="20"/>
      <c r="AA81" s="20" t="s">
        <v>4658</v>
      </c>
      <c r="AB81" s="20" t="s">
        <v>711</v>
      </c>
      <c r="AC81" s="20"/>
      <c r="AD81" s="20" t="s">
        <v>712</v>
      </c>
      <c r="AE81" s="20" t="s">
        <v>3036</v>
      </c>
      <c r="AF81" s="20" t="s">
        <v>1096</v>
      </c>
      <c r="AG81" s="158"/>
      <c r="AH81" s="158"/>
      <c r="AI81" s="20" t="s">
        <v>1101</v>
      </c>
      <c r="AJ81" s="125">
        <v>18.375</v>
      </c>
      <c r="AK81" s="62">
        <v>2.83</v>
      </c>
      <c r="AL81" s="51">
        <f>AK81/AJ81</f>
        <v>0.15401360544217688</v>
      </c>
      <c r="AM81" s="20" t="s">
        <v>1109</v>
      </c>
      <c r="AN81" s="20"/>
      <c r="AO81" s="20"/>
      <c r="AP81" s="20"/>
      <c r="AQ81" s="20"/>
      <c r="AR81" s="20"/>
      <c r="AS81" s="20"/>
      <c r="AT81" s="20"/>
      <c r="AU81" s="20"/>
      <c r="AV81" s="20"/>
      <c r="AW81" s="20"/>
      <c r="AX81" s="20"/>
      <c r="AY81" s="20"/>
      <c r="AZ81" s="20"/>
      <c r="BA81" s="20"/>
      <c r="BB81" s="20"/>
      <c r="BC81" s="20"/>
      <c r="BD81" s="56"/>
      <c r="BE81" s="56"/>
      <c r="BF81" s="20"/>
      <c r="BG81" s="20"/>
      <c r="BH81" s="20"/>
      <c r="BI81" s="20" t="s">
        <v>1095</v>
      </c>
      <c r="BJ81" s="20" t="s">
        <v>4659</v>
      </c>
      <c r="BK81" s="20" t="s">
        <v>1096</v>
      </c>
      <c r="BL81" s="20" t="s">
        <v>1230</v>
      </c>
      <c r="BM81" s="20" t="s">
        <v>1252</v>
      </c>
      <c r="BN81" s="63">
        <v>33.25</v>
      </c>
      <c r="BO81" s="62">
        <v>2.8</v>
      </c>
      <c r="BP81" s="50">
        <f>BO81/BN81</f>
        <v>8.4210526315789472E-2</v>
      </c>
      <c r="BQ81" s="20" t="s">
        <v>1242</v>
      </c>
      <c r="BR81" s="154" t="s">
        <v>1240</v>
      </c>
      <c r="BS81" s="154" t="s">
        <v>1249</v>
      </c>
      <c r="BT81" s="154" t="s">
        <v>1247</v>
      </c>
      <c r="BU81" s="154">
        <v>2015</v>
      </c>
      <c r="BV81" s="350"/>
      <c r="BW81" s="154"/>
      <c r="BX81" s="350"/>
      <c r="BY81" s="154"/>
      <c r="BZ81" s="20"/>
      <c r="CA81" s="154"/>
      <c r="CB81" s="154"/>
      <c r="CC81" s="350"/>
      <c r="CD81" s="357"/>
      <c r="CE81" s="433"/>
      <c r="CF81" s="154"/>
      <c r="CG81" s="154"/>
      <c r="CH81" s="154"/>
      <c r="CI81" s="154"/>
      <c r="CJ81" s="154"/>
      <c r="CK81" s="154"/>
      <c r="CL81" s="154"/>
      <c r="CM81" s="154"/>
      <c r="CN81" s="154"/>
      <c r="CO81" s="154"/>
      <c r="CP81" s="350"/>
      <c r="CQ81" s="154"/>
      <c r="CR81" s="154"/>
      <c r="CS81" s="434"/>
      <c r="CT81" s="154"/>
      <c r="CU81" s="154"/>
      <c r="CV81" s="154"/>
      <c r="CW81" s="154"/>
      <c r="CX81" s="154"/>
      <c r="CY81" s="358"/>
      <c r="CZ81" s="154"/>
      <c r="DA81" s="154"/>
      <c r="DB81" s="154"/>
      <c r="DC81" s="359"/>
      <c r="DD81" s="154"/>
      <c r="DE81" s="154"/>
      <c r="DF81" s="154"/>
      <c r="DG81" s="154"/>
      <c r="DH81" s="154"/>
      <c r="DI81" s="154"/>
      <c r="DJ81" s="154"/>
      <c r="DK81" s="154"/>
      <c r="DL81" s="435"/>
      <c r="DM81" s="154"/>
      <c r="DN81" s="154"/>
      <c r="DO81" s="154"/>
      <c r="DP81" s="154"/>
      <c r="DQ81" s="356"/>
      <c r="DR81" s="154"/>
      <c r="DS81" s="154"/>
      <c r="DT81" s="154"/>
      <c r="DU81" s="358"/>
      <c r="DV81" s="358"/>
      <c r="DW81" s="436"/>
      <c r="DX81" s="154"/>
      <c r="DY81" s="154"/>
      <c r="DZ81" s="154"/>
      <c r="EA81" s="154"/>
      <c r="EB81" s="154"/>
      <c r="EC81" s="154"/>
      <c r="ED81" s="154"/>
      <c r="EE81" s="154"/>
      <c r="EF81" s="154"/>
      <c r="EG81" s="154"/>
      <c r="EH81" s="154"/>
      <c r="EI81" s="154"/>
      <c r="EJ81" s="154"/>
      <c r="EK81" s="154"/>
      <c r="EL81" s="154"/>
      <c r="EM81" s="154"/>
      <c r="EN81" s="343"/>
      <c r="EO81" s="154"/>
      <c r="EP81" s="154"/>
      <c r="EQ81" s="154"/>
      <c r="ER81" s="154"/>
      <c r="ES81" s="154"/>
      <c r="ET81" s="350"/>
      <c r="EU81" s="154"/>
      <c r="EV81" s="154"/>
      <c r="EW81" s="154"/>
      <c r="EX81" s="20" t="s">
        <v>1263</v>
      </c>
      <c r="EY81" s="20">
        <v>1</v>
      </c>
      <c r="EZ81" s="158"/>
      <c r="FA81" s="158"/>
      <c r="FB81" s="158"/>
      <c r="FC81" s="56"/>
      <c r="FD81" s="56"/>
      <c r="FE81" s="56"/>
      <c r="FF81" s="20" t="s">
        <v>1600</v>
      </c>
      <c r="FG81" s="20" t="s">
        <v>1660</v>
      </c>
      <c r="FH81" s="20" t="s">
        <v>1214</v>
      </c>
      <c r="FI81" s="20"/>
      <c r="FJ81" s="20"/>
      <c r="FK81" s="20"/>
      <c r="FL81" s="20"/>
      <c r="FM81" s="20"/>
      <c r="FN81" s="20"/>
      <c r="FO81" s="20"/>
      <c r="FP81" s="20"/>
      <c r="FQ81" s="20"/>
      <c r="FR81" s="20" t="s">
        <v>1734</v>
      </c>
      <c r="FS81" s="79"/>
      <c r="FT81" s="33">
        <v>2015</v>
      </c>
      <c r="FU81" s="20" t="s">
        <v>1207</v>
      </c>
      <c r="FV81" s="56">
        <v>3000</v>
      </c>
      <c r="FW81" s="56">
        <f>FV81*12</f>
        <v>36000</v>
      </c>
      <c r="FX81" s="20"/>
      <c r="FY81" s="20"/>
      <c r="FZ81" s="20"/>
      <c r="GA81" s="20"/>
      <c r="GB81" s="20"/>
      <c r="GC81" s="20"/>
      <c r="GD81" s="119"/>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t="s">
        <v>4660</v>
      </c>
      <c r="HW81" s="20" t="s">
        <v>18</v>
      </c>
      <c r="HX81" s="20" t="s">
        <v>1263</v>
      </c>
      <c r="HY81" s="20" t="s">
        <v>3145</v>
      </c>
      <c r="HZ81" s="20" t="s">
        <v>1835</v>
      </c>
      <c r="IA81" s="20" t="s">
        <v>2639</v>
      </c>
      <c r="IB81" s="20" t="s">
        <v>3148</v>
      </c>
      <c r="IC81" s="20">
        <v>1969</v>
      </c>
      <c r="ID81" s="20" t="s">
        <v>3148</v>
      </c>
      <c r="IE81" s="32">
        <v>25518</v>
      </c>
      <c r="IF81" s="20" t="s">
        <v>478</v>
      </c>
      <c r="IG81" s="20" t="s">
        <v>3703</v>
      </c>
      <c r="IH81" s="20" t="s">
        <v>2716</v>
      </c>
      <c r="II81" s="20" t="s">
        <v>1883</v>
      </c>
      <c r="IJ81" s="20"/>
      <c r="IK81" s="20" t="s">
        <v>1208</v>
      </c>
      <c r="IL81" s="20"/>
      <c r="IM81" s="20" t="s">
        <v>4661</v>
      </c>
      <c r="IN81" s="20"/>
      <c r="IO81" s="20" t="s">
        <v>4657</v>
      </c>
      <c r="IP81" s="20"/>
      <c r="IQ81" s="20" t="s">
        <v>1880</v>
      </c>
      <c r="IR81" s="20" t="s">
        <v>1901</v>
      </c>
      <c r="IS81" s="20"/>
      <c r="IT81" s="56">
        <v>3000</v>
      </c>
      <c r="IU81" s="20"/>
      <c r="IV81" s="20"/>
    </row>
    <row r="82" spans="1:256" s="35" customFormat="1" ht="12.75" customHeight="1">
      <c r="C82" s="149" t="s">
        <v>3173</v>
      </c>
      <c r="D82" s="17" t="s">
        <v>4849</v>
      </c>
      <c r="E82" s="20" t="s">
        <v>4850</v>
      </c>
      <c r="F82" s="20" t="s">
        <v>587</v>
      </c>
      <c r="G82" s="20" t="s">
        <v>18</v>
      </c>
      <c r="H82" s="20"/>
      <c r="I82" s="21" t="s">
        <v>4851</v>
      </c>
      <c r="J82" s="17" t="s">
        <v>4852</v>
      </c>
      <c r="K82" s="4" t="s">
        <v>4853</v>
      </c>
      <c r="L82" s="4" t="s">
        <v>4854</v>
      </c>
      <c r="M82" s="20" t="s">
        <v>1238</v>
      </c>
      <c r="N82" s="581"/>
      <c r="O82" s="581" t="s">
        <v>3153</v>
      </c>
      <c r="P82" s="20" t="s">
        <v>4855</v>
      </c>
      <c r="Q82" s="32">
        <v>19263</v>
      </c>
      <c r="R82" s="33">
        <v>65</v>
      </c>
      <c r="S82" s="20" t="s">
        <v>18</v>
      </c>
      <c r="T82" s="20"/>
      <c r="U82" s="21" t="s">
        <v>4856</v>
      </c>
      <c r="V82" s="20"/>
      <c r="W82" s="20" t="s">
        <v>4850</v>
      </c>
      <c r="X82" s="20"/>
      <c r="Y82" s="20" t="s">
        <v>709</v>
      </c>
      <c r="Z82" s="21" t="s">
        <v>710</v>
      </c>
      <c r="AA82" s="20" t="s">
        <v>724</v>
      </c>
      <c r="AB82" s="20"/>
      <c r="AC82" s="20"/>
      <c r="AD82" s="20" t="s">
        <v>712</v>
      </c>
      <c r="AE82" s="20" t="s">
        <v>3036</v>
      </c>
      <c r="AF82" s="20" t="s">
        <v>1096</v>
      </c>
      <c r="AG82" s="158"/>
      <c r="AH82" s="158"/>
      <c r="AI82" s="20" t="s">
        <v>1101</v>
      </c>
      <c r="AJ82" s="125">
        <v>44.4</v>
      </c>
      <c r="AK82" s="62">
        <v>2.96</v>
      </c>
      <c r="AL82" s="51">
        <f>AK82/AJ82</f>
        <v>6.6666666666666666E-2</v>
      </c>
      <c r="AM82" s="20" t="s">
        <v>1098</v>
      </c>
      <c r="AN82" s="20"/>
      <c r="AO82" s="20"/>
      <c r="AP82" s="20"/>
      <c r="AQ82" s="20" t="s">
        <v>1207</v>
      </c>
      <c r="AR82" s="20"/>
      <c r="AS82" s="20"/>
      <c r="AT82" s="20"/>
      <c r="AU82" s="20"/>
      <c r="AV82" s="20"/>
      <c r="AW82" s="20"/>
      <c r="AX82" s="20"/>
      <c r="AY82" s="20" t="s">
        <v>1208</v>
      </c>
      <c r="AZ82" s="20" t="s">
        <v>4857</v>
      </c>
      <c r="BA82" s="20" t="s">
        <v>4335</v>
      </c>
      <c r="BB82" s="20"/>
      <c r="BC82" s="20"/>
      <c r="BD82" s="56"/>
      <c r="BE82" s="56"/>
      <c r="BF82" s="20"/>
      <c r="BG82" s="20"/>
      <c r="BH82" s="20"/>
      <c r="BI82" s="20" t="s">
        <v>1095</v>
      </c>
      <c r="BJ82" s="20" t="s">
        <v>4858</v>
      </c>
      <c r="BK82" s="20" t="s">
        <v>1096</v>
      </c>
      <c r="BL82" s="20" t="s">
        <v>1230</v>
      </c>
      <c r="BM82" s="20" t="s">
        <v>1246</v>
      </c>
      <c r="BN82" s="63">
        <v>44.4</v>
      </c>
      <c r="BO82" s="62">
        <v>2.96</v>
      </c>
      <c r="BP82" s="50">
        <f>BO82/BN82</f>
        <v>6.6666666666666666E-2</v>
      </c>
      <c r="BQ82" s="20"/>
      <c r="BR82" s="154" t="s">
        <v>2904</v>
      </c>
      <c r="BS82" s="154" t="s">
        <v>1249</v>
      </c>
      <c r="BT82" s="154" t="s">
        <v>1247</v>
      </c>
      <c r="BU82" s="154"/>
      <c r="BV82" s="350"/>
      <c r="BW82" s="154"/>
      <c r="BX82" s="350"/>
      <c r="BY82" s="154"/>
      <c r="BZ82" s="20"/>
      <c r="CA82" s="154"/>
      <c r="CB82" s="154"/>
      <c r="CC82" s="350"/>
      <c r="CD82" s="357"/>
      <c r="CE82" s="433"/>
      <c r="CF82" s="154"/>
      <c r="CG82" s="154"/>
      <c r="CH82" s="154"/>
      <c r="CI82" s="154"/>
      <c r="CJ82" s="154"/>
      <c r="CK82" s="154"/>
      <c r="CL82" s="154"/>
      <c r="CM82" s="154"/>
      <c r="CN82" s="154"/>
      <c r="CO82" s="154"/>
      <c r="CP82" s="350"/>
      <c r="CQ82" s="154"/>
      <c r="CR82" s="154"/>
      <c r="CS82" s="434"/>
      <c r="CT82" s="154"/>
      <c r="CU82" s="154"/>
      <c r="CV82" s="154"/>
      <c r="CW82" s="154"/>
      <c r="CX82" s="154"/>
      <c r="CY82" s="358"/>
      <c r="CZ82" s="154"/>
      <c r="DA82" s="154"/>
      <c r="DB82" s="154"/>
      <c r="DC82" s="359"/>
      <c r="DD82" s="154"/>
      <c r="DE82" s="154"/>
      <c r="DF82" s="154"/>
      <c r="DG82" s="154"/>
      <c r="DH82" s="154"/>
      <c r="DI82" s="154"/>
      <c r="DJ82" s="154"/>
      <c r="DK82" s="154"/>
      <c r="DL82" s="435"/>
      <c r="DM82" s="154"/>
      <c r="DN82" s="154"/>
      <c r="DO82" s="154"/>
      <c r="DP82" s="154"/>
      <c r="DQ82" s="356"/>
      <c r="DR82" s="154"/>
      <c r="DS82" s="154"/>
      <c r="DT82" s="154"/>
      <c r="DU82" s="358"/>
      <c r="DV82" s="358"/>
      <c r="DW82" s="436"/>
      <c r="DX82" s="154"/>
      <c r="DY82" s="154"/>
      <c r="DZ82" s="154"/>
      <c r="EA82" s="154"/>
      <c r="EB82" s="154"/>
      <c r="EC82" s="154"/>
      <c r="ED82" s="154"/>
      <c r="EE82" s="154"/>
      <c r="EF82" s="154"/>
      <c r="EG82" s="154"/>
      <c r="EH82" s="154"/>
      <c r="EI82" s="154"/>
      <c r="EJ82" s="154"/>
      <c r="EK82" s="154"/>
      <c r="EL82" s="154"/>
      <c r="EM82" s="154"/>
      <c r="EN82" s="343"/>
      <c r="EO82" s="154"/>
      <c r="EP82" s="154"/>
      <c r="EQ82" s="154"/>
      <c r="ER82" s="154"/>
      <c r="ES82" s="154"/>
      <c r="ET82" s="350"/>
      <c r="EU82" s="154"/>
      <c r="EV82" s="154"/>
      <c r="EW82" s="154"/>
      <c r="EX82" s="20" t="s">
        <v>478</v>
      </c>
      <c r="EY82" s="20">
        <v>1</v>
      </c>
      <c r="EZ82" s="20" t="s">
        <v>3174</v>
      </c>
      <c r="FA82" s="20" t="s">
        <v>3175</v>
      </c>
      <c r="FB82" s="20" t="s">
        <v>3176</v>
      </c>
      <c r="FC82" s="56"/>
      <c r="FD82" s="56"/>
      <c r="FE82" s="56"/>
      <c r="FF82" s="20" t="s">
        <v>1600</v>
      </c>
      <c r="FG82" s="20" t="s">
        <v>1660</v>
      </c>
      <c r="FH82" s="20" t="s">
        <v>1214</v>
      </c>
      <c r="FI82" s="20"/>
      <c r="FJ82" s="20"/>
      <c r="FK82" s="20"/>
      <c r="FL82" s="20"/>
      <c r="FM82" s="20"/>
      <c r="FN82" s="20"/>
      <c r="FO82" s="20"/>
      <c r="FP82" s="20"/>
      <c r="FQ82" s="20"/>
      <c r="FR82" s="20" t="s">
        <v>1734</v>
      </c>
      <c r="FS82" s="79"/>
      <c r="FT82" s="33"/>
      <c r="FU82" s="20" t="s">
        <v>1207</v>
      </c>
      <c r="FV82" s="56"/>
      <c r="FW82" s="56"/>
      <c r="FX82" s="20"/>
      <c r="FY82" s="20"/>
      <c r="FZ82" s="20"/>
      <c r="GA82" s="20"/>
      <c r="GB82" s="20"/>
      <c r="GC82" s="20"/>
      <c r="GD82" s="119"/>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t="s">
        <v>1207</v>
      </c>
      <c r="HT82" s="20">
        <v>1</v>
      </c>
      <c r="HU82" s="20"/>
      <c r="HV82" s="20"/>
      <c r="HW82" s="20"/>
      <c r="HX82" s="20"/>
      <c r="HY82" s="20"/>
      <c r="HZ82" s="20"/>
      <c r="IA82" s="20"/>
      <c r="IB82" s="20"/>
      <c r="IC82" s="20"/>
      <c r="ID82" s="20"/>
      <c r="IE82" s="32"/>
      <c r="IF82" s="20"/>
      <c r="IG82" s="20"/>
      <c r="IH82" s="20"/>
      <c r="II82" s="20"/>
      <c r="IJ82" s="20"/>
      <c r="IK82" s="20"/>
      <c r="IL82" s="20"/>
      <c r="IM82" s="20"/>
      <c r="IN82" s="20"/>
      <c r="IO82" s="20"/>
      <c r="IP82" s="20"/>
      <c r="IQ82" s="20"/>
      <c r="IR82" s="20"/>
      <c r="IS82" s="20"/>
      <c r="IT82" s="56"/>
      <c r="IU82" s="20"/>
      <c r="IV82" s="20"/>
    </row>
    <row r="83" spans="1:256" s="35" customFormat="1" ht="12.75" customHeight="1">
      <c r="C83" s="149" t="s">
        <v>5258</v>
      </c>
      <c r="D83" s="17" t="s">
        <v>5261</v>
      </c>
      <c r="E83" s="20" t="s">
        <v>5298</v>
      </c>
      <c r="F83" s="20" t="s">
        <v>28</v>
      </c>
      <c r="G83" s="20" t="s">
        <v>18</v>
      </c>
      <c r="H83" s="21" t="s">
        <v>5260</v>
      </c>
      <c r="J83" s="17" t="s">
        <v>5261</v>
      </c>
      <c r="K83" s="4" t="s">
        <v>5262</v>
      </c>
      <c r="L83" s="4" t="s">
        <v>2429</v>
      </c>
      <c r="M83" s="20" t="s">
        <v>1238</v>
      </c>
      <c r="N83" s="581"/>
      <c r="O83" s="581" t="s">
        <v>4830</v>
      </c>
      <c r="P83" s="20"/>
      <c r="Q83" s="32"/>
      <c r="R83" s="33"/>
      <c r="S83" s="20"/>
      <c r="T83" s="20"/>
      <c r="U83" s="21"/>
      <c r="V83" s="20"/>
      <c r="W83" s="20"/>
      <c r="X83" s="20"/>
      <c r="Y83" s="20"/>
      <c r="Z83" s="20"/>
      <c r="AA83" s="20"/>
      <c r="AB83" s="20"/>
      <c r="AC83" s="20"/>
      <c r="AD83" s="20"/>
      <c r="AE83" s="20" t="s">
        <v>1095</v>
      </c>
      <c r="AF83" s="20" t="s">
        <v>1096</v>
      </c>
      <c r="AG83" s="20" t="s">
        <v>3294</v>
      </c>
      <c r="AH83" s="158"/>
      <c r="AI83" s="20" t="s">
        <v>1101</v>
      </c>
      <c r="AJ83" s="125">
        <v>13.94</v>
      </c>
      <c r="AK83" s="62">
        <v>9.52</v>
      </c>
      <c r="AL83" s="51">
        <f>AK83/AJ83</f>
        <v>0.68292682926829262</v>
      </c>
      <c r="AM83" s="20" t="s">
        <v>1105</v>
      </c>
      <c r="AN83" s="571" t="s">
        <v>7224</v>
      </c>
      <c r="AO83" s="20" t="s">
        <v>5316</v>
      </c>
      <c r="AP83" s="20"/>
      <c r="AQ83" s="20" t="s">
        <v>1207</v>
      </c>
      <c r="AR83" s="20"/>
      <c r="AS83" s="20"/>
      <c r="AT83" s="20"/>
      <c r="AU83" s="20"/>
      <c r="AV83" s="20"/>
      <c r="AW83" s="20"/>
      <c r="AX83" s="20"/>
      <c r="AY83" s="20"/>
      <c r="AZ83" s="20"/>
      <c r="BA83" s="20"/>
      <c r="BB83" s="20"/>
      <c r="BC83" s="20"/>
      <c r="BD83" s="56"/>
      <c r="BE83" s="56"/>
      <c r="BF83" s="20"/>
      <c r="BG83" s="20"/>
      <c r="BH83" s="20"/>
      <c r="BI83" s="20" t="s">
        <v>1095</v>
      </c>
      <c r="BJ83" s="20" t="s">
        <v>5266</v>
      </c>
      <c r="BK83" s="20" t="s">
        <v>1096</v>
      </c>
      <c r="BL83" s="20" t="s">
        <v>1230</v>
      </c>
      <c r="BM83" s="20" t="s">
        <v>1252</v>
      </c>
      <c r="BN83" s="63">
        <v>27.88</v>
      </c>
      <c r="BO83" s="62">
        <v>19.04</v>
      </c>
      <c r="BP83" s="50">
        <f>BO83/BN83</f>
        <v>0.68292682926829262</v>
      </c>
      <c r="BQ83" s="20" t="s">
        <v>1105</v>
      </c>
      <c r="BR83" s="154" t="s">
        <v>1240</v>
      </c>
      <c r="BS83" s="154" t="s">
        <v>1249</v>
      </c>
      <c r="BT83" s="154" t="s">
        <v>1247</v>
      </c>
      <c r="BU83" s="154">
        <v>1979</v>
      </c>
      <c r="BV83" s="350"/>
      <c r="BW83" s="154"/>
      <c r="BX83" s="350"/>
      <c r="BY83" s="154"/>
      <c r="BZ83" s="20"/>
      <c r="CA83" s="154"/>
      <c r="CB83" s="154"/>
      <c r="CC83" s="350"/>
      <c r="CD83" s="357"/>
      <c r="CE83" s="433"/>
      <c r="CF83" s="154"/>
      <c r="CG83" s="154"/>
      <c r="CH83" s="154"/>
      <c r="CI83" s="154"/>
      <c r="CJ83" s="154"/>
      <c r="CK83" s="154"/>
      <c r="CL83" s="154"/>
      <c r="CM83" s="154"/>
      <c r="CN83" s="154"/>
      <c r="CO83" s="154"/>
      <c r="CP83" s="350"/>
      <c r="CQ83" s="154"/>
      <c r="CR83" s="154"/>
      <c r="CS83" s="434"/>
      <c r="CT83" s="154"/>
      <c r="CU83" s="154"/>
      <c r="CV83" s="154"/>
      <c r="CW83" s="154"/>
      <c r="CX83" s="154"/>
      <c r="CY83" s="358"/>
      <c r="CZ83" s="154"/>
      <c r="DA83" s="154"/>
      <c r="DB83" s="154"/>
      <c r="DC83" s="359"/>
      <c r="DD83" s="154"/>
      <c r="DE83" s="154"/>
      <c r="DF83" s="154"/>
      <c r="DG83" s="154"/>
      <c r="DH83" s="154"/>
      <c r="DI83" s="154"/>
      <c r="DJ83" s="154"/>
      <c r="DK83" s="154"/>
      <c r="DL83" s="435"/>
      <c r="DM83" s="154"/>
      <c r="DN83" s="154"/>
      <c r="DO83" s="154"/>
      <c r="DP83" s="154"/>
      <c r="DQ83" s="356"/>
      <c r="DR83" s="154"/>
      <c r="DS83" s="154"/>
      <c r="DT83" s="154"/>
      <c r="DU83" s="358"/>
      <c r="DV83" s="358"/>
      <c r="DW83" s="436"/>
      <c r="DX83" s="154"/>
      <c r="DY83" s="154"/>
      <c r="DZ83" s="154"/>
      <c r="EA83" s="154"/>
      <c r="EB83" s="154"/>
      <c r="EC83" s="154"/>
      <c r="ED83" s="154"/>
      <c r="EE83" s="154"/>
      <c r="EF83" s="154"/>
      <c r="EG83" s="154"/>
      <c r="EH83" s="154"/>
      <c r="EI83" s="154"/>
      <c r="EJ83" s="154"/>
      <c r="EK83" s="154"/>
      <c r="EL83" s="154"/>
      <c r="EM83" s="154"/>
      <c r="EN83" s="343"/>
      <c r="EO83" s="154"/>
      <c r="EP83" s="154"/>
      <c r="EQ83" s="154"/>
      <c r="ER83" s="154"/>
      <c r="ES83" s="154"/>
      <c r="ET83" s="350"/>
      <c r="EU83" s="154"/>
      <c r="EV83" s="154"/>
      <c r="EW83" s="154"/>
      <c r="EX83" s="20" t="s">
        <v>478</v>
      </c>
      <c r="EY83" s="20">
        <v>1</v>
      </c>
      <c r="EZ83" s="158"/>
      <c r="FA83" s="158"/>
      <c r="FB83" s="158"/>
      <c r="FC83" s="56"/>
      <c r="FD83" s="56"/>
      <c r="FE83" s="56"/>
      <c r="FF83" s="20" t="s">
        <v>1602</v>
      </c>
      <c r="FG83" s="20" t="s">
        <v>1660</v>
      </c>
      <c r="FH83" s="20" t="s">
        <v>1214</v>
      </c>
      <c r="FI83" s="20"/>
      <c r="FJ83" s="20"/>
      <c r="FK83" s="20"/>
      <c r="FL83" s="20"/>
      <c r="FM83" s="20"/>
      <c r="FN83" s="20"/>
      <c r="FO83" s="20"/>
      <c r="FP83" s="20"/>
      <c r="FQ83" s="20"/>
      <c r="FR83" s="20" t="s">
        <v>2208</v>
      </c>
      <c r="FS83" s="79"/>
      <c r="FT83" s="33">
        <v>1979</v>
      </c>
      <c r="FU83" s="20" t="s">
        <v>1214</v>
      </c>
      <c r="FV83" s="56"/>
      <c r="FW83" s="56"/>
      <c r="FX83" s="4"/>
      <c r="FY83" s="20"/>
      <c r="FZ83" s="20"/>
      <c r="GA83" s="20"/>
      <c r="GB83" s="20"/>
      <c r="GC83" s="20"/>
      <c r="GD83" s="119"/>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32"/>
      <c r="IF83" s="20"/>
      <c r="IG83" s="20"/>
      <c r="IH83" s="20"/>
      <c r="II83" s="20"/>
      <c r="IJ83" s="20"/>
      <c r="IK83" s="20"/>
      <c r="IL83" s="20"/>
      <c r="IM83" s="20"/>
      <c r="IN83" s="20"/>
      <c r="IO83" s="20"/>
      <c r="IP83" s="20"/>
      <c r="IQ83" s="20"/>
      <c r="IR83" s="20"/>
      <c r="IS83" s="20"/>
      <c r="IT83" s="56"/>
      <c r="IU83" s="20"/>
      <c r="IV83" s="20"/>
    </row>
    <row r="84" spans="1:256" s="11" customFormat="1" ht="12.75" customHeight="1">
      <c r="A84" s="19"/>
      <c r="B84" s="19"/>
      <c r="C84" s="168" t="s">
        <v>43</v>
      </c>
      <c r="D84" s="4" t="s">
        <v>44</v>
      </c>
      <c r="E84" s="4" t="s">
        <v>7245</v>
      </c>
      <c r="F84" s="4" t="s">
        <v>28</v>
      </c>
      <c r="G84" s="4" t="s">
        <v>18</v>
      </c>
      <c r="H84" s="4"/>
      <c r="I84" s="5"/>
      <c r="J84" s="4" t="s">
        <v>44</v>
      </c>
      <c r="K84" s="158" t="s">
        <v>5480</v>
      </c>
      <c r="L84" s="158" t="s">
        <v>5481</v>
      </c>
      <c r="M84" s="158"/>
      <c r="N84" s="158" t="s">
        <v>5473</v>
      </c>
      <c r="O84" s="158" t="s">
        <v>5474</v>
      </c>
      <c r="P84" s="14" t="s">
        <v>717</v>
      </c>
      <c r="Q84" s="24">
        <v>17418</v>
      </c>
      <c r="R84" s="25">
        <v>69</v>
      </c>
      <c r="S84" s="4" t="s">
        <v>18</v>
      </c>
      <c r="T84" s="4"/>
      <c r="U84" s="26" t="s">
        <v>718</v>
      </c>
      <c r="V84" s="4" t="s">
        <v>719</v>
      </c>
      <c r="W84" s="4" t="s">
        <v>720</v>
      </c>
      <c r="X84" s="4" t="s">
        <v>708</v>
      </c>
      <c r="Y84" s="4" t="s">
        <v>709</v>
      </c>
      <c r="Z84" s="4" t="s">
        <v>710</v>
      </c>
      <c r="AA84" s="4"/>
      <c r="AB84" s="4" t="s">
        <v>711</v>
      </c>
      <c r="AC84" s="4"/>
      <c r="AD84" s="4"/>
      <c r="AE84" s="4" t="s">
        <v>1095</v>
      </c>
      <c r="AF84" s="4" t="s">
        <v>1096</v>
      </c>
      <c r="AG84" s="4" t="s">
        <v>1103</v>
      </c>
      <c r="AH84" s="158"/>
      <c r="AI84" s="4" t="s">
        <v>1101</v>
      </c>
      <c r="AJ84" s="120"/>
      <c r="AK84" s="36">
        <v>11.25</v>
      </c>
      <c r="AL84" s="37"/>
      <c r="AM84" s="4" t="s">
        <v>1113</v>
      </c>
      <c r="AN84" s="4"/>
      <c r="AO84" s="4"/>
      <c r="AP84" s="4"/>
      <c r="AQ84" s="4"/>
      <c r="AR84" s="4"/>
      <c r="AS84" s="158"/>
      <c r="AT84" s="158"/>
      <c r="AU84" s="158"/>
      <c r="AV84" s="158"/>
      <c r="AW84" s="158"/>
      <c r="AX84" s="158"/>
      <c r="AY84" s="158"/>
      <c r="AZ84" s="158"/>
      <c r="BA84" s="4"/>
      <c r="BB84" s="4"/>
      <c r="BC84" s="4" t="s">
        <v>110</v>
      </c>
      <c r="BD84" s="54"/>
      <c r="BE84" s="54"/>
      <c r="BF84" s="4"/>
      <c r="BG84" s="4"/>
      <c r="BH84" s="4"/>
      <c r="BI84" s="4" t="s">
        <v>1095</v>
      </c>
      <c r="BJ84" s="4" t="s">
        <v>1254</v>
      </c>
      <c r="BK84" s="4" t="s">
        <v>1096</v>
      </c>
      <c r="BL84" s="4" t="s">
        <v>1230</v>
      </c>
      <c r="BM84" s="4" t="s">
        <v>1246</v>
      </c>
      <c r="BN84" s="57"/>
      <c r="BO84" s="36">
        <v>11.25</v>
      </c>
      <c r="BP84" s="40"/>
      <c r="BQ84" s="4" t="s">
        <v>1149</v>
      </c>
      <c r="BR84" s="4" t="s">
        <v>1255</v>
      </c>
      <c r="BS84" s="4" t="s">
        <v>1249</v>
      </c>
      <c r="BT84" s="4" t="s">
        <v>1247</v>
      </c>
      <c r="BU84" s="4"/>
      <c r="BV84" s="95"/>
      <c r="BW84" s="4"/>
      <c r="BX84" s="54"/>
      <c r="BY84" s="4"/>
      <c r="BZ84" s="4"/>
      <c r="CA84" s="4"/>
      <c r="CB84" s="4"/>
      <c r="CC84" s="4"/>
      <c r="CD84" s="111"/>
      <c r="CE84" s="111"/>
      <c r="CF84" s="4"/>
      <c r="CG84" s="4"/>
      <c r="CH84" s="4"/>
      <c r="CI84" s="4"/>
      <c r="CJ84" s="4"/>
      <c r="CK84" s="4"/>
      <c r="CL84" s="4"/>
      <c r="CM84" s="4"/>
      <c r="CN84" s="4"/>
      <c r="CO84" s="4"/>
      <c r="CP84" s="54"/>
      <c r="CQ84" s="4"/>
      <c r="CR84" s="4"/>
      <c r="CS84" s="129"/>
      <c r="CT84" s="4"/>
      <c r="CU84" s="4"/>
      <c r="CV84" s="4"/>
      <c r="CW84" s="4"/>
      <c r="CX84" s="4"/>
      <c r="CY84" s="4"/>
      <c r="CZ84" s="4"/>
      <c r="DA84" s="4"/>
      <c r="DB84" s="4"/>
      <c r="DC84" s="4"/>
      <c r="DD84" s="4"/>
      <c r="DE84" s="4"/>
      <c r="DF84" s="4"/>
      <c r="DG84" s="4"/>
      <c r="DH84" s="4"/>
      <c r="DI84" s="4"/>
      <c r="DJ84" s="4"/>
      <c r="DK84" s="4"/>
      <c r="DL84" s="4"/>
      <c r="DM84" s="4"/>
      <c r="DN84" s="4"/>
      <c r="DO84" s="4"/>
      <c r="DP84" s="4"/>
      <c r="DQ84" s="59"/>
      <c r="DR84" s="4"/>
      <c r="DS84" s="4"/>
      <c r="DT84" s="4"/>
      <c r="DU84" s="66"/>
      <c r="DV84" s="66"/>
      <c r="DW84" s="4"/>
      <c r="DX84" s="4"/>
      <c r="DY84" s="4"/>
      <c r="DZ84" s="4"/>
      <c r="EA84" s="4"/>
      <c r="EB84" s="4"/>
      <c r="EC84" s="4"/>
      <c r="ED84" s="4"/>
      <c r="EE84" s="4"/>
      <c r="EF84" s="4"/>
      <c r="EG84" s="4"/>
      <c r="EH84" s="4"/>
      <c r="EI84" s="4"/>
      <c r="EJ84" s="4"/>
      <c r="EK84" s="4"/>
      <c r="EL84" s="4"/>
      <c r="EM84" s="4"/>
      <c r="EN84" s="4"/>
      <c r="EO84" s="4"/>
      <c r="EP84" s="4"/>
      <c r="EQ84" s="4"/>
      <c r="ER84" s="4"/>
      <c r="ES84" s="4"/>
      <c r="ET84" s="54"/>
      <c r="EU84" s="4"/>
      <c r="EV84" s="4"/>
      <c r="EW84" s="4"/>
      <c r="EX84" s="158"/>
      <c r="EY84" s="4" t="s">
        <v>110</v>
      </c>
      <c r="EZ84" s="4"/>
      <c r="FA84" s="4"/>
      <c r="FB84" s="4"/>
      <c r="FC84" s="54"/>
      <c r="FD84" s="54"/>
      <c r="FE84" s="54"/>
      <c r="FF84" s="4"/>
      <c r="FG84" s="4"/>
      <c r="FH84" s="4"/>
      <c r="FI84" s="4"/>
      <c r="FJ84" s="4"/>
      <c r="FK84" s="4"/>
      <c r="FL84" s="4"/>
      <c r="FM84" s="4"/>
      <c r="FN84" s="4"/>
      <c r="FO84" s="4"/>
      <c r="FP84" s="4"/>
      <c r="FQ84" s="4"/>
      <c r="FR84" s="4"/>
      <c r="FS84" s="75"/>
      <c r="FT84" s="25"/>
      <c r="FU84" s="4" t="s">
        <v>1207</v>
      </c>
      <c r="FV84" s="239">
        <v>1400</v>
      </c>
      <c r="FW84" s="54"/>
      <c r="FX84" s="11" t="s">
        <v>1828</v>
      </c>
      <c r="GA84" s="11" t="s">
        <v>1604</v>
      </c>
      <c r="GB84" s="103"/>
      <c r="GD84" s="7"/>
      <c r="GE84" s="7"/>
      <c r="GF84" s="7"/>
      <c r="GG84" s="7"/>
      <c r="GH84" s="7"/>
      <c r="GJ84" s="7"/>
      <c r="GK84" s="7"/>
      <c r="GL84" s="7"/>
      <c r="GN84" s="7"/>
      <c r="GO84" s="7"/>
      <c r="GP84" s="7"/>
      <c r="GQ84" s="7"/>
      <c r="GR84" s="7"/>
      <c r="GS84" s="7"/>
      <c r="GT84" s="7"/>
      <c r="GV84" s="7"/>
      <c r="GW84" s="7"/>
      <c r="GX84" s="7"/>
      <c r="GY84" s="7" t="s">
        <v>1214</v>
      </c>
      <c r="HB84" s="11" t="s">
        <v>1214</v>
      </c>
      <c r="HD84" s="4"/>
      <c r="HE84" s="4"/>
      <c r="HF84" s="4"/>
      <c r="HG84" s="4"/>
      <c r="HH84" s="4">
        <v>2</v>
      </c>
      <c r="HI84" s="4"/>
      <c r="HJ84" s="4"/>
      <c r="HK84" s="4"/>
      <c r="HL84" s="4"/>
      <c r="HM84" s="4"/>
      <c r="HN84" s="4"/>
      <c r="HO84" s="4"/>
      <c r="HP84" s="4"/>
      <c r="HQ84" s="4"/>
      <c r="HR84" s="4"/>
      <c r="HS84" s="4"/>
      <c r="HT84" s="4"/>
      <c r="HU84" s="4"/>
      <c r="HV84" s="4" t="s">
        <v>44</v>
      </c>
      <c r="HW84" s="4" t="s">
        <v>18</v>
      </c>
      <c r="HX84" s="4" t="s">
        <v>478</v>
      </c>
      <c r="HY84" s="4" t="s">
        <v>1887</v>
      </c>
      <c r="HZ84" s="4" t="s">
        <v>1835</v>
      </c>
      <c r="IA84" s="4" t="s">
        <v>1888</v>
      </c>
      <c r="IB84" s="4" t="s">
        <v>1889</v>
      </c>
      <c r="IC84" s="4">
        <v>2007</v>
      </c>
      <c r="ID84" s="4" t="s">
        <v>1889</v>
      </c>
      <c r="IE84" s="24">
        <v>17418</v>
      </c>
      <c r="IF84" s="4" t="s">
        <v>478</v>
      </c>
      <c r="IG84" s="4" t="s">
        <v>5498</v>
      </c>
      <c r="IH84" s="7" t="s">
        <v>2716</v>
      </c>
      <c r="II84" s="54" t="s">
        <v>1879</v>
      </c>
      <c r="IJ84" s="4"/>
      <c r="IK84" s="4" t="s">
        <v>1208</v>
      </c>
      <c r="IL84" s="4"/>
      <c r="IM84" s="158" t="s">
        <v>717</v>
      </c>
      <c r="IN84" s="4"/>
      <c r="IO84" s="4" t="s">
        <v>718</v>
      </c>
      <c r="IP84" s="4" t="s">
        <v>1890</v>
      </c>
      <c r="IQ84" s="4"/>
      <c r="IR84" s="4"/>
      <c r="IS84" s="4"/>
      <c r="IT84" s="54">
        <v>1400</v>
      </c>
      <c r="IU84" s="76"/>
      <c r="IV84" s="76"/>
    </row>
    <row r="85" spans="1:256" s="11" customFormat="1" ht="12.75">
      <c r="A85" s="7"/>
      <c r="B85" s="7"/>
      <c r="C85" s="7"/>
      <c r="D85" s="19"/>
      <c r="E85" s="7"/>
      <c r="F85" s="7"/>
      <c r="G85" s="7"/>
      <c r="H85" s="19"/>
      <c r="I85" s="8"/>
      <c r="J85" s="19" t="str">
        <f ca="1">IF(F85="Head",CELL("contents",D85),"")</f>
        <v/>
      </c>
      <c r="K85" s="7"/>
      <c r="L85" s="7"/>
      <c r="M85" s="7"/>
      <c r="N85" s="80"/>
      <c r="O85" s="80"/>
      <c r="P85" s="7"/>
      <c r="Q85" s="29"/>
      <c r="R85" s="30"/>
      <c r="S85" s="4"/>
      <c r="T85" s="7"/>
      <c r="U85" s="31"/>
      <c r="V85" s="7"/>
      <c r="W85" s="7"/>
      <c r="X85" s="7"/>
      <c r="Y85" s="7"/>
      <c r="Z85" s="7"/>
      <c r="AA85" s="7"/>
      <c r="AB85" s="7"/>
      <c r="AC85" s="7"/>
      <c r="AD85" s="7"/>
      <c r="AE85" s="7"/>
      <c r="AF85" s="7"/>
      <c r="AG85" s="7"/>
      <c r="AH85" s="7"/>
      <c r="AI85" s="7"/>
      <c r="AJ85" s="122"/>
      <c r="AK85" s="41"/>
      <c r="AL85" s="52"/>
      <c r="AM85" s="20"/>
      <c r="AN85" s="20"/>
      <c r="AO85" s="20"/>
      <c r="AP85" s="20"/>
      <c r="AQ85" s="7"/>
      <c r="AR85" s="7"/>
      <c r="AS85" s="7"/>
      <c r="AT85" s="7"/>
      <c r="AU85" s="7"/>
      <c r="AV85" s="7"/>
      <c r="AW85" s="7"/>
      <c r="AX85" s="7"/>
      <c r="AY85" s="7"/>
      <c r="AZ85" s="7"/>
      <c r="BA85" s="7"/>
      <c r="BB85" s="7"/>
      <c r="BC85" s="7"/>
      <c r="BD85" s="55"/>
      <c r="BE85" s="55"/>
      <c r="BF85" s="7"/>
      <c r="BG85" s="7"/>
      <c r="BH85" s="7"/>
      <c r="BI85" s="7"/>
      <c r="BJ85" s="7"/>
      <c r="BK85" s="7"/>
      <c r="BL85" s="7"/>
      <c r="BM85" s="7"/>
      <c r="BN85" s="61"/>
      <c r="BO85" s="62"/>
      <c r="BP85" s="50"/>
      <c r="BQ85" s="20"/>
      <c r="BR85" s="7"/>
      <c r="BS85" s="7"/>
      <c r="BT85" s="7"/>
      <c r="BU85" s="7"/>
      <c r="BV85" s="55"/>
      <c r="BW85" s="7"/>
      <c r="BX85" s="55"/>
      <c r="BY85" s="7"/>
      <c r="BZ85" s="7"/>
      <c r="CA85" s="7"/>
      <c r="CB85" s="7"/>
      <c r="CC85" s="55"/>
      <c r="CD85" s="104"/>
      <c r="CE85" s="105"/>
      <c r="CF85" s="7"/>
      <c r="CG85" s="7"/>
      <c r="CH85" s="7"/>
      <c r="CI85" s="7"/>
      <c r="CJ85" s="7"/>
      <c r="CK85" s="7"/>
      <c r="CL85" s="7"/>
      <c r="CM85" s="7"/>
      <c r="CN85" s="7"/>
      <c r="CO85" s="7"/>
      <c r="CP85" s="55"/>
      <c r="CQ85" s="7"/>
      <c r="CR85" s="7"/>
      <c r="CS85" s="130"/>
      <c r="CT85" s="7"/>
      <c r="CU85" s="7"/>
      <c r="CV85" s="7"/>
      <c r="CW85" s="7"/>
      <c r="CX85" s="7"/>
      <c r="CY85" s="73"/>
      <c r="CZ85" s="7"/>
      <c r="DA85" s="7"/>
      <c r="DB85" s="7"/>
      <c r="DC85" s="48"/>
      <c r="DD85" s="7"/>
      <c r="DE85" s="7"/>
      <c r="DF85" s="7"/>
      <c r="DG85" s="7"/>
      <c r="DH85" s="7"/>
      <c r="DI85" s="7"/>
      <c r="DJ85" s="7"/>
      <c r="DK85" s="7"/>
      <c r="DL85" s="74"/>
      <c r="DM85" s="7"/>
      <c r="DN85" s="7"/>
      <c r="DO85" s="7"/>
      <c r="DP85" s="7"/>
      <c r="DQ85" s="58"/>
      <c r="DR85" s="7"/>
      <c r="DS85" s="7"/>
      <c r="DT85" s="7"/>
      <c r="DU85" s="73"/>
      <c r="DV85" s="73"/>
      <c r="DW85" s="152"/>
      <c r="DX85" s="7"/>
      <c r="DY85" s="7"/>
      <c r="DZ85" s="7"/>
      <c r="EA85" s="7"/>
      <c r="EB85" s="7"/>
      <c r="EC85" s="7"/>
      <c r="ED85" s="7"/>
      <c r="EE85" s="7"/>
      <c r="EF85" s="7"/>
      <c r="EG85" s="7"/>
      <c r="EH85" s="7"/>
      <c r="EI85" s="7"/>
      <c r="EJ85" s="7"/>
      <c r="EK85" s="7"/>
      <c r="EL85" s="7"/>
      <c r="EM85" s="7"/>
      <c r="EN85" s="19"/>
      <c r="EO85" s="7"/>
      <c r="EP85" s="7"/>
      <c r="EQ85" s="7"/>
      <c r="ER85" s="7"/>
      <c r="ES85" s="7"/>
      <c r="ET85" s="55"/>
      <c r="EU85" s="7"/>
      <c r="EV85" s="7"/>
      <c r="EW85" s="7"/>
      <c r="EX85" s="7"/>
      <c r="EY85" s="7"/>
      <c r="EZ85" s="7"/>
      <c r="FA85" s="7"/>
      <c r="FB85" s="7"/>
      <c r="FC85" s="55"/>
      <c r="FD85" s="55"/>
      <c r="FE85" s="55"/>
      <c r="FF85" s="7"/>
      <c r="FG85" s="7"/>
      <c r="FH85" s="7"/>
      <c r="FI85" s="7"/>
      <c r="FJ85" s="7"/>
      <c r="FK85" s="7"/>
      <c r="FL85" s="7"/>
      <c r="FM85" s="7"/>
      <c r="FN85" s="7"/>
      <c r="FO85" s="7"/>
      <c r="FP85" s="7"/>
      <c r="FQ85" s="7"/>
      <c r="FR85" s="7"/>
      <c r="FS85" s="77"/>
      <c r="FT85" s="30"/>
      <c r="FU85" s="7"/>
      <c r="FV85" s="55"/>
      <c r="FW85" s="55"/>
      <c r="FX85" s="7"/>
      <c r="FY85" s="7"/>
      <c r="FZ85" s="7"/>
      <c r="GA85" s="7"/>
      <c r="GB85" s="7"/>
      <c r="GC85" s="7"/>
      <c r="GD85" s="103"/>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29"/>
      <c r="IF85" s="7"/>
      <c r="IG85" s="7"/>
      <c r="IH85" s="7"/>
      <c r="II85" s="7"/>
      <c r="IJ85" s="7"/>
      <c r="IK85" s="7"/>
      <c r="IL85" s="7"/>
      <c r="IM85" s="7"/>
      <c r="IN85" s="7"/>
      <c r="IO85" s="7"/>
      <c r="IP85" s="7"/>
      <c r="IQ85" s="7"/>
      <c r="IR85" s="7"/>
      <c r="IS85" s="7"/>
      <c r="IT85" s="55"/>
      <c r="IU85" s="7"/>
      <c r="IV85" s="7"/>
    </row>
    <row r="88" spans="1:256" s="136" customFormat="1" ht="13.5" customHeight="1" thickBot="1">
      <c r="B88" s="19"/>
      <c r="C88" s="182">
        <f>COUNTA(SurveyDATA!#REF!)</f>
        <v>1</v>
      </c>
      <c r="D88" s="180">
        <f>COUNTA(SurveyDATA!#REF!)</f>
        <v>1</v>
      </c>
      <c r="E88" s="180">
        <f>COUNTA(SurveyDATA!#REF!)</f>
        <v>1</v>
      </c>
      <c r="F88" s="145">
        <f>COUNTA(SurveyDATA!F101:F318)</f>
        <v>153</v>
      </c>
      <c r="G88" s="145">
        <f>COUNTA(SurveyDATA!G101:G318)</f>
        <v>155</v>
      </c>
      <c r="H88" s="145">
        <f>COUNTA(SurveyDATA!H101:H318)</f>
        <v>4</v>
      </c>
      <c r="I88" s="145">
        <f>COUNTA(SurveyDATA!I101:I318)</f>
        <v>71</v>
      </c>
      <c r="J88" s="145">
        <f>COUNTA(SurveyDATA!J101:J318)</f>
        <v>130</v>
      </c>
      <c r="K88" s="145">
        <f>COUNTA(SurveyDATA!K101:K318)</f>
        <v>90</v>
      </c>
      <c r="L88" s="145">
        <f>COUNTA(SurveyDATA!L101:L318)</f>
        <v>90</v>
      </c>
      <c r="M88" s="145">
        <f>COUNTA(SurveyDATA!M101:M318)</f>
        <v>0</v>
      </c>
      <c r="N88" s="145"/>
      <c r="O88" s="145">
        <f>COUNTA(SurveyDATA!O101:O318)</f>
        <v>57</v>
      </c>
      <c r="P88" s="145">
        <f>COUNTA(SurveyDATA!P101:P318)</f>
        <v>140</v>
      </c>
      <c r="Q88" s="145"/>
      <c r="R88" s="145"/>
      <c r="S88" s="145">
        <f>COUNTA(SurveyDATA!S101:S191)</f>
        <v>59</v>
      </c>
      <c r="T88" s="145">
        <f>COUNTA(SurveyDATA!T101:T318)</f>
        <v>7</v>
      </c>
      <c r="U88" s="145">
        <f>COUNTA(SurveyDATA!U101:U318)</f>
        <v>115</v>
      </c>
      <c r="V88" s="145">
        <f>COUNTA(SurveyDATA!V101:V318)</f>
        <v>130</v>
      </c>
      <c r="W88" s="145">
        <f>COUNTA(SurveyDATA!Y101:Y318)</f>
        <v>132</v>
      </c>
      <c r="X88" s="145">
        <f>COUNTA(SurveyDATA!Z101:Z318)</f>
        <v>126</v>
      </c>
      <c r="Y88" s="145">
        <f>COUNTA(SurveyDATA!AA101:AA318)</f>
        <v>126</v>
      </c>
      <c r="Z88" s="145">
        <f>COUNTA(SurveyDATA!AB101:AB318)</f>
        <v>121</v>
      </c>
      <c r="AA88" s="145">
        <f>COUNTA(SurveyDATA!AC101:AC318)</f>
        <v>61</v>
      </c>
      <c r="AB88" s="145">
        <f>COUNTA(SurveyDATA!AD101:AD318)</f>
        <v>55</v>
      </c>
      <c r="AC88" s="145">
        <f>COUNTA(SurveyDATA!AE101:AE318)</f>
        <v>31</v>
      </c>
      <c r="AD88" s="145">
        <f>COUNTA(SurveyDATA!AF101:AF318)</f>
        <v>90</v>
      </c>
      <c r="AE88" s="180">
        <f>COUNTA(SurveyDATA!#REF!)</f>
        <v>1</v>
      </c>
      <c r="AF88" s="180">
        <f>COUNTA(SurveyDATA!#REF!)</f>
        <v>1</v>
      </c>
      <c r="AG88" s="180">
        <f>COUNTA(SurveyDATA!#REF!)</f>
        <v>1</v>
      </c>
      <c r="AH88" s="180">
        <f>COUNTA(SurveyDATA!#REF!)</f>
        <v>1</v>
      </c>
      <c r="AI88" s="180">
        <f>COUNTA(SurveyDATA!#REF!)</f>
        <v>1</v>
      </c>
      <c r="AJ88" s="180">
        <f>COUNTA(SurveyDATA!#REF!)</f>
        <v>1</v>
      </c>
      <c r="AK88" s="180">
        <f>COUNTA(SurveyDATA!#REF!)</f>
        <v>1</v>
      </c>
      <c r="AL88" s="180">
        <f>COUNTA(SurveyDATA!#REF!)</f>
        <v>1</v>
      </c>
      <c r="AM88" s="180">
        <f>COUNTA(SurveyDATA!#REF!)</f>
        <v>1</v>
      </c>
      <c r="AN88" s="180">
        <f>COUNTA(SurveyDATA!#REF!)</f>
        <v>1</v>
      </c>
      <c r="AO88" s="180">
        <f>COUNTA(SurveyDATA!#REF!)</f>
        <v>1</v>
      </c>
      <c r="AP88" s="180">
        <f>COUNTA(SurveyDATA!#REF!)</f>
        <v>1</v>
      </c>
      <c r="AQ88" s="180">
        <f>COUNTA(SurveyDATA!#REF!)</f>
        <v>1</v>
      </c>
      <c r="AR88" s="180">
        <f>COUNTA(SurveyDATA!#REF!)</f>
        <v>1</v>
      </c>
      <c r="AS88" s="180">
        <f>COUNTA(SurveyDATA!#REF!)</f>
        <v>1</v>
      </c>
      <c r="AT88" s="180">
        <f>COUNTA(SurveyDATA!#REF!)</f>
        <v>1</v>
      </c>
      <c r="AU88" s="180">
        <f>COUNTA(SurveyDATA!#REF!)</f>
        <v>1</v>
      </c>
      <c r="AV88" s="180">
        <f>COUNTA(SurveyDATA!#REF!)</f>
        <v>1</v>
      </c>
      <c r="AW88" s="180">
        <f>COUNTA(SurveyDATA!#REF!)</f>
        <v>1</v>
      </c>
      <c r="AX88" s="180">
        <f>COUNTA(SurveyDATA!#REF!)</f>
        <v>1</v>
      </c>
      <c r="AY88" s="180">
        <f>COUNTA(SurveyDATA!#REF!)</f>
        <v>1</v>
      </c>
      <c r="AZ88" s="180">
        <f>COUNTA(SurveyDATA!#REF!)</f>
        <v>1</v>
      </c>
      <c r="BA88" s="180">
        <f>COUNTA(SurveyDATA!#REF!)</f>
        <v>1</v>
      </c>
      <c r="BB88" s="180">
        <f>COUNTA(SurveyDATA!#REF!)</f>
        <v>1</v>
      </c>
      <c r="BC88" s="180">
        <f>COUNTA(SurveyDATA!#REF!)</f>
        <v>1</v>
      </c>
      <c r="BD88" s="180">
        <f>COUNTA(SurveyDATA!#REF!)</f>
        <v>1</v>
      </c>
      <c r="BE88" s="180">
        <f>COUNTA(SurveyDATA!#REF!)</f>
        <v>1</v>
      </c>
      <c r="BF88" s="180">
        <f>COUNTA(SurveyDATA!#REF!)</f>
        <v>1</v>
      </c>
      <c r="BG88" s="180">
        <f>COUNTA(SurveyDATA!#REF!)</f>
        <v>1</v>
      </c>
      <c r="BH88" s="180">
        <f>COUNTA(SurveyDATA!#REF!)</f>
        <v>1</v>
      </c>
      <c r="BI88" s="180">
        <f>COUNTA(SurveyDATA!#REF!)</f>
        <v>1</v>
      </c>
      <c r="BJ88" s="180">
        <f>COUNTA(SurveyDATA!#REF!)</f>
        <v>1</v>
      </c>
      <c r="BK88" s="180">
        <f>COUNTA(SurveyDATA!#REF!)</f>
        <v>1</v>
      </c>
      <c r="BL88" s="180">
        <f>COUNTA(SurveyDATA!#REF!)</f>
        <v>1</v>
      </c>
      <c r="BM88" s="180">
        <f>COUNTA(SurveyDATA!#REF!)</f>
        <v>1</v>
      </c>
      <c r="BN88" s="180">
        <f>COUNTA(SurveyDATA!#REF!)</f>
        <v>1</v>
      </c>
      <c r="BO88" s="289">
        <f>COUNTA(SurveyDATA!#REF!)</f>
        <v>1</v>
      </c>
      <c r="BP88" s="180">
        <f>COUNTA(SurveyDATA!#REF!)</f>
        <v>1</v>
      </c>
      <c r="BQ88" s="180">
        <f>COUNTA(SurveyDATA!#REF!)</f>
        <v>1</v>
      </c>
      <c r="BR88" s="180">
        <f>COUNTA(SurveyDATA!#REF!)</f>
        <v>1</v>
      </c>
      <c r="BS88" s="180">
        <f>COUNTA(SurveyDATA!#REF!)</f>
        <v>1</v>
      </c>
      <c r="BT88" s="180">
        <f>COUNTA(SurveyDATA!#REF!)</f>
        <v>1</v>
      </c>
      <c r="BU88" s="180">
        <f>COUNTA(SurveyDATA!#REF!)</f>
        <v>1</v>
      </c>
      <c r="BV88" s="180">
        <f>COUNTA(SurveyDATA!#REF!)</f>
        <v>1</v>
      </c>
      <c r="BW88" s="180">
        <f>COUNTA(SurveyDATA!#REF!)</f>
        <v>1</v>
      </c>
      <c r="BX88" s="180">
        <f>COUNTA(SurveyDATA!#REF!)</f>
        <v>1</v>
      </c>
      <c r="BY88" s="180">
        <f>COUNTA(SurveyDATA!#REF!)</f>
        <v>1</v>
      </c>
      <c r="BZ88" s="180"/>
      <c r="CA88" s="180">
        <f>COUNTA(SurveyDATA!#REF!)</f>
        <v>1</v>
      </c>
      <c r="CB88" s="180">
        <f>COUNTA(SurveyDATA!#REF!)</f>
        <v>1</v>
      </c>
      <c r="CC88" s="180">
        <f>COUNTA(SurveyDATA!#REF!)</f>
        <v>1</v>
      </c>
      <c r="CD88" s="180">
        <f>COUNTA(SurveyDATA!#REF!)</f>
        <v>1</v>
      </c>
      <c r="CE88" s="180">
        <f>COUNTA(SurveyDATA!#REF!)</f>
        <v>1</v>
      </c>
      <c r="CF88" s="180">
        <f>COUNTA(SurveyDATA!#REF!)</f>
        <v>1</v>
      </c>
      <c r="CG88" s="180">
        <f>COUNTA(SurveyDATA!#REF!)</f>
        <v>1</v>
      </c>
      <c r="CH88" s="180">
        <f>COUNTA(SurveyDATA!#REF!)</f>
        <v>1</v>
      </c>
      <c r="CI88" s="180">
        <f>COUNTA(SurveyDATA!#REF!)</f>
        <v>1</v>
      </c>
      <c r="CJ88" s="180">
        <f>COUNTA(SurveyDATA!#REF!)</f>
        <v>1</v>
      </c>
      <c r="CK88" s="180">
        <f>COUNTA(SurveyDATA!#REF!)</f>
        <v>1</v>
      </c>
      <c r="CL88" s="180">
        <f>COUNTA(SurveyDATA!#REF!)</f>
        <v>1</v>
      </c>
      <c r="CM88" s="180">
        <f>COUNTA(SurveyDATA!#REF!)</f>
        <v>1</v>
      </c>
      <c r="CN88" s="180">
        <f>COUNTA(SurveyDATA!#REF!)</f>
        <v>1</v>
      </c>
      <c r="CO88" s="180">
        <f>COUNTA(SurveyDATA!#REF!)</f>
        <v>1</v>
      </c>
      <c r="CP88" s="180">
        <f>COUNTA(SurveyDATA!#REF!)</f>
        <v>1</v>
      </c>
      <c r="CQ88" s="180">
        <f>COUNTA(SurveyDATA!#REF!)</f>
        <v>1</v>
      </c>
      <c r="CR88" s="180">
        <f>COUNTA(SurveyDATA!#REF!)</f>
        <v>1</v>
      </c>
      <c r="CS88" s="180">
        <f>COUNTA(SurveyDATA!#REF!)</f>
        <v>1</v>
      </c>
      <c r="CT88" s="180">
        <f>COUNTA(SurveyDATA!#REF!)</f>
        <v>1</v>
      </c>
      <c r="CU88" s="180">
        <f>COUNTA(SurveyDATA!#REF!)</f>
        <v>1</v>
      </c>
      <c r="CV88" s="180">
        <f>COUNTA(SurveyDATA!#REF!)</f>
        <v>1</v>
      </c>
      <c r="CW88" s="180">
        <f>COUNTA(SurveyDATA!#REF!)</f>
        <v>1</v>
      </c>
      <c r="CX88" s="180">
        <f>COUNTA(SurveyDATA!#REF!)</f>
        <v>1</v>
      </c>
      <c r="CY88" s="180">
        <f>COUNTA(SurveyDATA!#REF!)</f>
        <v>1</v>
      </c>
      <c r="CZ88" s="180">
        <f>COUNTA(SurveyDATA!#REF!)</f>
        <v>1</v>
      </c>
      <c r="DA88" s="180">
        <f>COUNTA(SurveyDATA!#REF!)</f>
        <v>1</v>
      </c>
      <c r="DB88" s="180">
        <f>COUNTA(SurveyDATA!#REF!)</f>
        <v>1</v>
      </c>
      <c r="DC88" s="180">
        <f>COUNTA(SurveyDATA!#REF!)</f>
        <v>1</v>
      </c>
      <c r="DD88" s="180">
        <f>COUNTA(SurveyDATA!#REF!)</f>
        <v>1</v>
      </c>
      <c r="DE88" s="180">
        <f>COUNTA(SurveyDATA!#REF!)</f>
        <v>1</v>
      </c>
      <c r="DF88" s="180">
        <f>COUNTA(SurveyDATA!#REF!)</f>
        <v>1</v>
      </c>
      <c r="DG88" s="180">
        <f>COUNTA(SurveyDATA!#REF!)</f>
        <v>1</v>
      </c>
      <c r="DH88" s="180">
        <f>COUNTA(SurveyDATA!#REF!)</f>
        <v>1</v>
      </c>
      <c r="DI88" s="180">
        <f>COUNTA(SurveyDATA!#REF!)</f>
        <v>1</v>
      </c>
      <c r="DJ88" s="180">
        <f>COUNTA(SurveyDATA!#REF!)</f>
        <v>1</v>
      </c>
      <c r="DK88" s="180">
        <f>COUNTA(SurveyDATA!#REF!)</f>
        <v>1</v>
      </c>
      <c r="DL88" s="180">
        <f>COUNTA(SurveyDATA!#REF!)</f>
        <v>1</v>
      </c>
      <c r="DM88" s="180">
        <f>COUNTA(SurveyDATA!#REF!)</f>
        <v>1</v>
      </c>
      <c r="DN88" s="180">
        <f>COUNTA(SurveyDATA!#REF!)</f>
        <v>1</v>
      </c>
      <c r="DO88" s="180">
        <f>COUNTA(SurveyDATA!#REF!)</f>
        <v>1</v>
      </c>
      <c r="DP88" s="180">
        <f>COUNTA(SurveyDATA!#REF!)</f>
        <v>1</v>
      </c>
      <c r="DQ88" s="180">
        <f>COUNTA(SurveyDATA!#REF!)</f>
        <v>1</v>
      </c>
      <c r="DR88" s="180">
        <f>COUNTA(SurveyDATA!#REF!)</f>
        <v>1</v>
      </c>
      <c r="DS88" s="180">
        <f>COUNTA(SurveyDATA!#REF!)</f>
        <v>1</v>
      </c>
      <c r="DT88" s="180">
        <f>COUNTA(SurveyDATA!#REF!)</f>
        <v>1</v>
      </c>
      <c r="DU88" s="180">
        <f>COUNTA(SurveyDATA!#REF!)</f>
        <v>1</v>
      </c>
      <c r="DV88" s="180">
        <f>COUNTA(SurveyDATA!#REF!)</f>
        <v>1</v>
      </c>
      <c r="DW88" s="180">
        <f>COUNTA(SurveyDATA!#REF!)</f>
        <v>1</v>
      </c>
      <c r="DX88" s="180">
        <f>COUNTA(SurveyDATA!#REF!)</f>
        <v>1</v>
      </c>
      <c r="DY88" s="180">
        <f>COUNTA(SurveyDATA!#REF!)</f>
        <v>1</v>
      </c>
      <c r="DZ88" s="180">
        <f>COUNTA(SurveyDATA!#REF!)</f>
        <v>1</v>
      </c>
      <c r="EA88" s="180">
        <f>COUNTA(SurveyDATA!#REF!)</f>
        <v>1</v>
      </c>
      <c r="EB88" s="180">
        <f>COUNTA(SurveyDATA!#REF!)</f>
        <v>1</v>
      </c>
      <c r="EC88" s="180">
        <f>COUNTA(SurveyDATA!#REF!)</f>
        <v>1</v>
      </c>
      <c r="ED88" s="180">
        <f>COUNTA(SurveyDATA!#REF!)</f>
        <v>1</v>
      </c>
      <c r="EE88" s="180">
        <f>COUNTA(SurveyDATA!#REF!)</f>
        <v>1</v>
      </c>
      <c r="EF88" s="180">
        <f>COUNTA(SurveyDATA!#REF!)</f>
        <v>1</v>
      </c>
      <c r="EG88" s="180">
        <f>COUNTA(SurveyDATA!#REF!)</f>
        <v>1</v>
      </c>
      <c r="EH88" s="180">
        <f>COUNTA(SurveyDATA!#REF!)</f>
        <v>1</v>
      </c>
      <c r="EI88" s="180">
        <f>COUNTA(SurveyDATA!#REF!)</f>
        <v>1</v>
      </c>
      <c r="EJ88" s="180">
        <f>COUNTA(SurveyDATA!#REF!)</f>
        <v>1</v>
      </c>
      <c r="EK88" s="180">
        <f>COUNTA(SurveyDATA!#REF!)</f>
        <v>1</v>
      </c>
      <c r="EL88" s="180">
        <f>COUNTA(SurveyDATA!#REF!)</f>
        <v>1</v>
      </c>
      <c r="EM88" s="180">
        <f>COUNTA(SurveyDATA!#REF!)</f>
        <v>1</v>
      </c>
      <c r="EN88" s="180">
        <f>COUNTA(SurveyDATA!#REF!)</f>
        <v>1</v>
      </c>
      <c r="EO88" s="180">
        <f>COUNTA(SurveyDATA!#REF!)</f>
        <v>1</v>
      </c>
      <c r="EP88" s="180">
        <f>COUNTA(SurveyDATA!#REF!)</f>
        <v>1</v>
      </c>
      <c r="EQ88" s="180">
        <f>COUNTA(SurveyDATA!#REF!)</f>
        <v>1</v>
      </c>
      <c r="ER88" s="180">
        <f>COUNTA(SurveyDATA!#REF!)</f>
        <v>1</v>
      </c>
      <c r="ES88" s="180">
        <f>COUNTA(SurveyDATA!#REF!)</f>
        <v>1</v>
      </c>
      <c r="ET88" s="180">
        <f>COUNTA(SurveyDATA!#REF!)</f>
        <v>1</v>
      </c>
      <c r="EU88" s="180">
        <f>COUNTA(SurveyDATA!#REF!)</f>
        <v>1</v>
      </c>
      <c r="EV88" s="180">
        <f>COUNTA(SurveyDATA!#REF!)</f>
        <v>1</v>
      </c>
      <c r="EW88" s="180">
        <f>COUNTA(SurveyDATA!#REF!)</f>
        <v>1</v>
      </c>
      <c r="EX88" s="180">
        <f>COUNTA(SurveyDATA!#REF!)</f>
        <v>1</v>
      </c>
      <c r="EY88" s="180">
        <f>COUNTA(SurveyDATA!#REF!)</f>
        <v>1</v>
      </c>
      <c r="EZ88" s="180">
        <f>COUNTA(SurveyDATA!#REF!)</f>
        <v>1</v>
      </c>
      <c r="FA88" s="180">
        <f>COUNTA(SurveyDATA!#REF!)</f>
        <v>1</v>
      </c>
      <c r="FB88" s="180">
        <f>COUNTA(SurveyDATA!#REF!)</f>
        <v>1</v>
      </c>
      <c r="FC88" s="180">
        <f>COUNTA(SurveyDATA!#REF!)</f>
        <v>1</v>
      </c>
      <c r="FD88" s="180">
        <f>COUNTA(SurveyDATA!#REF!)</f>
        <v>1</v>
      </c>
      <c r="FE88" s="180">
        <f>COUNTA(SurveyDATA!#REF!)</f>
        <v>1</v>
      </c>
      <c r="FF88" s="180">
        <f>COUNTA(SurveyDATA!#REF!)</f>
        <v>1</v>
      </c>
      <c r="FG88" s="180">
        <f>COUNTA(SurveyDATA!#REF!)</f>
        <v>1</v>
      </c>
      <c r="FH88" s="180">
        <f>COUNTA(SurveyDATA!#REF!)</f>
        <v>1</v>
      </c>
      <c r="FI88" s="180">
        <f>COUNTA(SurveyDATA!#REF!)</f>
        <v>1</v>
      </c>
      <c r="FJ88" s="180">
        <f>COUNTA(SurveyDATA!#REF!)</f>
        <v>1</v>
      </c>
      <c r="FK88" s="180">
        <f>COUNTA(SurveyDATA!#REF!)</f>
        <v>1</v>
      </c>
      <c r="FL88" s="180">
        <f>COUNTA(SurveyDATA!#REF!)</f>
        <v>1</v>
      </c>
      <c r="FM88" s="180">
        <f>COUNTA(SurveyDATA!#REF!)</f>
        <v>1</v>
      </c>
      <c r="FN88" s="180">
        <f>COUNTA(SurveyDATA!#REF!)</f>
        <v>1</v>
      </c>
      <c r="FO88" s="180">
        <f>COUNTA(SurveyDATA!#REF!)</f>
        <v>1</v>
      </c>
      <c r="FP88" s="180">
        <f>COUNTA(SurveyDATA!#REF!)</f>
        <v>1</v>
      </c>
      <c r="FQ88" s="180">
        <f>COUNTA(SurveyDATA!#REF!)</f>
        <v>1</v>
      </c>
      <c r="FR88" s="180">
        <f>COUNTA(SurveyDATA!#REF!)</f>
        <v>1</v>
      </c>
      <c r="FS88" s="180">
        <f>COUNTA(SurveyDATA!#REF!)</f>
        <v>1</v>
      </c>
      <c r="FT88" s="180">
        <f>COUNTA(SurveyDATA!#REF!)</f>
        <v>1</v>
      </c>
      <c r="FU88" s="180">
        <f>COUNTA(SurveyDATA!#REF!)</f>
        <v>1</v>
      </c>
      <c r="FV88" s="180">
        <f>COUNTA(SurveyDATA!#REF!)</f>
        <v>1</v>
      </c>
      <c r="FW88" s="180">
        <f>COUNTA(SurveyDATA!#REF!)</f>
        <v>1</v>
      </c>
      <c r="FX88" s="180">
        <f>COUNTA(SurveyDATA!#REF!)</f>
        <v>1</v>
      </c>
      <c r="FY88" s="180">
        <f>COUNTA(SurveyDATA!#REF!)</f>
        <v>1</v>
      </c>
      <c r="FZ88" s="180">
        <f>COUNTA(SurveyDATA!#REF!)</f>
        <v>1</v>
      </c>
      <c r="GA88" s="180">
        <f>COUNTA(SurveyDATA!#REF!)</f>
        <v>1</v>
      </c>
      <c r="GB88" s="180">
        <f>COUNTA(SurveyDATA!#REF!)</f>
        <v>1</v>
      </c>
      <c r="GC88" s="180">
        <f>COUNTA(SurveyDATA!#REF!)</f>
        <v>1</v>
      </c>
      <c r="GD88" s="180">
        <f>COUNTA(SurveyDATA!#REF!)</f>
        <v>1</v>
      </c>
      <c r="GE88" s="180">
        <f>COUNTA(SurveyDATA!#REF!)</f>
        <v>1</v>
      </c>
      <c r="GF88" s="180">
        <f>COUNTA(SurveyDATA!#REF!)</f>
        <v>1</v>
      </c>
      <c r="GG88" s="180">
        <f>COUNTA(SurveyDATA!#REF!)</f>
        <v>1</v>
      </c>
      <c r="GH88" s="180">
        <f>COUNTA(SurveyDATA!#REF!)</f>
        <v>1</v>
      </c>
      <c r="GI88" s="180">
        <f>COUNTA(SurveyDATA!#REF!)</f>
        <v>1</v>
      </c>
      <c r="GJ88" s="180">
        <f>COUNTA(SurveyDATA!#REF!)</f>
        <v>1</v>
      </c>
      <c r="GK88" s="180">
        <f>COUNTA(SurveyDATA!#REF!)</f>
        <v>1</v>
      </c>
      <c r="GL88" s="180">
        <f>COUNTA(SurveyDATA!#REF!)</f>
        <v>1</v>
      </c>
      <c r="GM88" s="180">
        <f>COUNTA(SurveyDATA!#REF!)</f>
        <v>1</v>
      </c>
      <c r="GN88" s="180">
        <f>COUNTA(SurveyDATA!#REF!)</f>
        <v>1</v>
      </c>
      <c r="GO88" s="180">
        <f>COUNTA(SurveyDATA!#REF!)</f>
        <v>1</v>
      </c>
      <c r="GP88" s="180">
        <f>COUNTA(SurveyDATA!#REF!)</f>
        <v>1</v>
      </c>
      <c r="GQ88" s="180">
        <f>COUNTA(SurveyDATA!#REF!)</f>
        <v>1</v>
      </c>
      <c r="GR88" s="180">
        <f>COUNTA(SurveyDATA!#REF!)</f>
        <v>1</v>
      </c>
      <c r="GS88" s="180">
        <f>COUNTA(SurveyDATA!#REF!)</f>
        <v>1</v>
      </c>
      <c r="GT88" s="180">
        <f>COUNTA(SurveyDATA!#REF!)</f>
        <v>1</v>
      </c>
      <c r="GU88" s="180">
        <f>COUNTA(SurveyDATA!#REF!)</f>
        <v>1</v>
      </c>
      <c r="GV88" s="180">
        <f>COUNTA(SurveyDATA!#REF!)</f>
        <v>1</v>
      </c>
      <c r="GW88" s="180">
        <f>COUNTA(SurveyDATA!#REF!)</f>
        <v>1</v>
      </c>
      <c r="GX88" s="180">
        <f>COUNTA(SurveyDATA!#REF!)</f>
        <v>1</v>
      </c>
      <c r="GY88" s="180">
        <f>COUNTA(SurveyDATA!#REF!)</f>
        <v>1</v>
      </c>
      <c r="GZ88" s="180">
        <f>COUNTA(SurveyDATA!#REF!)</f>
        <v>1</v>
      </c>
      <c r="HA88" s="180">
        <f>COUNTA(SurveyDATA!#REF!)</f>
        <v>1</v>
      </c>
      <c r="HB88" s="180">
        <f>COUNTA(SurveyDATA!#REF!)</f>
        <v>1</v>
      </c>
      <c r="HC88" s="180">
        <f>COUNTA(SurveyDATA!#REF!)</f>
        <v>1</v>
      </c>
      <c r="HD88" s="180">
        <f>COUNTA(SurveyDATA!#REF!)</f>
        <v>1</v>
      </c>
      <c r="HE88" s="180">
        <f>COUNTA(SurveyDATA!#REF!)</f>
        <v>1</v>
      </c>
      <c r="HF88" s="180">
        <f>COUNTA(SurveyDATA!#REF!)</f>
        <v>1</v>
      </c>
      <c r="HG88" s="180">
        <f>COUNTA(SurveyDATA!#REF!)</f>
        <v>1</v>
      </c>
      <c r="HH88" s="180">
        <f>COUNTA(SurveyDATA!#REF!)</f>
        <v>1</v>
      </c>
      <c r="HI88" s="180">
        <f>COUNTA(SurveyDATA!#REF!)</f>
        <v>1</v>
      </c>
      <c r="HJ88" s="180">
        <f>COUNTA(SurveyDATA!#REF!)</f>
        <v>1</v>
      </c>
      <c r="HK88" s="180">
        <f>COUNTA(SurveyDATA!#REF!)</f>
        <v>1</v>
      </c>
      <c r="HL88" s="180">
        <f>COUNTA(SurveyDATA!#REF!)</f>
        <v>1</v>
      </c>
      <c r="HM88" s="180">
        <f>COUNTA(SurveyDATA!#REF!)</f>
        <v>1</v>
      </c>
      <c r="HN88" s="180">
        <f>COUNTA(SurveyDATA!#REF!)</f>
        <v>1</v>
      </c>
      <c r="HO88" s="180">
        <f>COUNTA(SurveyDATA!#REF!)</f>
        <v>1</v>
      </c>
      <c r="HP88" s="180">
        <f>COUNTA(SurveyDATA!#REF!)</f>
        <v>1</v>
      </c>
      <c r="HQ88" s="180">
        <f>COUNTA(SurveyDATA!#REF!)</f>
        <v>1</v>
      </c>
      <c r="HR88" s="180">
        <f>COUNTA(SurveyDATA!#REF!)</f>
        <v>1</v>
      </c>
      <c r="HS88" s="180">
        <f>COUNTA(SurveyDATA!#REF!)</f>
        <v>1</v>
      </c>
      <c r="HT88" s="180">
        <f>COUNTA(SurveyDATA!#REF!)</f>
        <v>1</v>
      </c>
      <c r="HU88" s="180">
        <f>COUNTA(SurveyDATA!#REF!)</f>
        <v>1</v>
      </c>
      <c r="HV88" s="180">
        <f>COUNTA(SurveyDATA!#REF!)</f>
        <v>1</v>
      </c>
      <c r="HW88" s="180">
        <f>COUNTA(SurveyDATA!#REF!)</f>
        <v>1</v>
      </c>
      <c r="HX88" s="180">
        <f>COUNTA(SurveyDATA!#REF!)</f>
        <v>1</v>
      </c>
      <c r="HY88" s="180">
        <f>COUNTA(SurveyDATA!#REF!)</f>
        <v>1</v>
      </c>
      <c r="HZ88" s="180">
        <f>COUNTA(SurveyDATA!#REF!)</f>
        <v>1</v>
      </c>
      <c r="IA88" s="180">
        <f>COUNTA(SurveyDATA!#REF!)</f>
        <v>1</v>
      </c>
      <c r="IB88" s="180">
        <f>COUNTA(SurveyDATA!#REF!)</f>
        <v>1</v>
      </c>
      <c r="IC88" s="180">
        <f>COUNTA(SurveyDATA!#REF!)</f>
        <v>1</v>
      </c>
      <c r="ID88" s="180">
        <f>COUNTA(SurveyDATA!#REF!)</f>
        <v>1</v>
      </c>
      <c r="IE88" s="180">
        <f>COUNTA(SurveyDATA!#REF!)</f>
        <v>1</v>
      </c>
      <c r="IF88" s="180">
        <f>COUNTA(SurveyDATA!#REF!)</f>
        <v>1</v>
      </c>
      <c r="IG88" s="180">
        <f>COUNTA(SurveyDATA!#REF!)</f>
        <v>1</v>
      </c>
      <c r="IH88" s="180">
        <f>COUNTA(SurveyDATA!#REF!)</f>
        <v>1</v>
      </c>
      <c r="II88" s="180">
        <f>COUNTA(SurveyDATA!#REF!)</f>
        <v>1</v>
      </c>
      <c r="IJ88" s="180">
        <f>COUNTA(SurveyDATA!#REF!)</f>
        <v>1</v>
      </c>
      <c r="IK88" s="180">
        <f>COUNTA(SurveyDATA!#REF!)</f>
        <v>1</v>
      </c>
      <c r="IL88" s="180">
        <f>COUNTA(SurveyDATA!#REF!)</f>
        <v>1</v>
      </c>
      <c r="IM88" s="180">
        <f>COUNTA(SurveyDATA!#REF!)</f>
        <v>1</v>
      </c>
      <c r="IN88" s="180">
        <f>COUNTA(SurveyDATA!#REF!)</f>
        <v>1</v>
      </c>
      <c r="IO88" s="180">
        <f>COUNTA(SurveyDATA!#REF!)</f>
        <v>1</v>
      </c>
      <c r="IP88" s="180">
        <f>COUNTA(SurveyDATA!#REF!)</f>
        <v>1</v>
      </c>
      <c r="IQ88" s="180">
        <f>COUNTA(SurveyDATA!#REF!)</f>
        <v>1</v>
      </c>
      <c r="IR88" s="180">
        <f>COUNTA(SurveyDATA!#REF!)</f>
        <v>1</v>
      </c>
      <c r="IS88" s="180">
        <f>COUNTA(SurveyDATA!#REF!)</f>
        <v>1</v>
      </c>
      <c r="IT88" s="180">
        <f>COUNTA(SurveyDATA!#REF!)</f>
        <v>1</v>
      </c>
      <c r="IU88" s="180">
        <f>COUNTA(SurveyDATA!#REF!)</f>
        <v>1</v>
      </c>
      <c r="IV88" s="180">
        <f>COUNTA(SurveyDATA!#REF!)</f>
        <v>1</v>
      </c>
    </row>
    <row r="89" spans="1:256" s="11" customFormat="1" ht="13.5" customHeight="1" thickTop="1">
      <c r="A89" s="19"/>
      <c r="B89" s="19"/>
      <c r="C89" s="183" t="s">
        <v>4295</v>
      </c>
      <c r="D89" s="19"/>
      <c r="E89" s="7"/>
      <c r="F89" s="7"/>
      <c r="G89" s="7"/>
      <c r="H89" s="7"/>
      <c r="I89" s="8"/>
      <c r="J89" s="19" t="str">
        <f ca="1">IF(F89="Head",CELL("contents",D89),"")</f>
        <v/>
      </c>
      <c r="K89" s="7"/>
      <c r="L89" s="7"/>
      <c r="M89" s="7"/>
      <c r="N89" s="7"/>
      <c r="O89" s="7"/>
      <c r="P89" s="19"/>
      <c r="Q89" s="29"/>
      <c r="R89" s="30"/>
      <c r="S89" s="7"/>
      <c r="T89" s="7"/>
      <c r="U89" s="31"/>
      <c r="V89" s="7"/>
      <c r="W89" s="7"/>
      <c r="X89" s="7"/>
      <c r="Y89" s="7"/>
      <c r="Z89" s="7"/>
      <c r="AA89" s="7"/>
      <c r="AB89" s="7"/>
      <c r="AC89" s="7"/>
      <c r="AD89" s="7"/>
      <c r="AE89" s="7"/>
      <c r="AF89" s="7"/>
      <c r="AG89" s="7"/>
      <c r="AH89" s="7"/>
      <c r="AI89" s="7"/>
      <c r="AJ89" s="122"/>
      <c r="AK89" s="41"/>
      <c r="AL89" s="52"/>
      <c r="AM89" s="20"/>
      <c r="AN89" s="20"/>
      <c r="AO89" s="20"/>
      <c r="AP89" s="20"/>
      <c r="AQ89" s="7"/>
      <c r="AR89" s="7"/>
      <c r="AS89" s="7"/>
      <c r="AT89" s="7"/>
      <c r="AU89" s="7"/>
      <c r="AV89" s="7"/>
      <c r="AW89" s="7"/>
      <c r="AX89" s="7"/>
      <c r="AY89" s="7"/>
      <c r="AZ89" s="7"/>
      <c r="BA89" s="7"/>
      <c r="BB89" s="7"/>
      <c r="BC89" s="7"/>
      <c r="BD89" s="55"/>
      <c r="BE89" s="55"/>
      <c r="BF89" s="7"/>
      <c r="BG89" s="7"/>
      <c r="BH89" s="7"/>
      <c r="BI89" s="7"/>
      <c r="BJ89" s="7"/>
      <c r="BK89" s="7"/>
      <c r="BL89" s="7"/>
      <c r="BM89" s="7"/>
      <c r="BN89" s="61"/>
      <c r="BO89" s="62"/>
      <c r="BP89" s="50"/>
      <c r="BQ89" s="20"/>
      <c r="BR89" s="7"/>
      <c r="BS89" s="7"/>
      <c r="BT89" s="7"/>
      <c r="BU89" s="7"/>
      <c r="BV89" s="55"/>
      <c r="BW89" s="7"/>
      <c r="BX89" s="55"/>
      <c r="BY89" s="7"/>
      <c r="BZ89" s="7"/>
      <c r="CA89" s="7"/>
      <c r="CB89" s="7"/>
      <c r="CC89" s="7"/>
      <c r="CD89" s="104"/>
      <c r="CE89" s="105"/>
      <c r="CF89" s="7"/>
      <c r="CG89" s="7"/>
      <c r="CH89" s="7"/>
      <c r="CI89" s="7"/>
      <c r="CJ89" s="7"/>
      <c r="CK89" s="7"/>
      <c r="CL89" s="7"/>
      <c r="CM89" s="7"/>
      <c r="CN89" s="7"/>
      <c r="CO89" s="7"/>
      <c r="CP89" s="55"/>
      <c r="CQ89" s="7"/>
      <c r="CR89" s="7"/>
      <c r="CS89" s="130"/>
      <c r="CT89" s="7"/>
      <c r="CU89" s="7"/>
      <c r="CV89" s="7"/>
      <c r="CW89" s="7"/>
      <c r="CX89" s="7"/>
      <c r="CY89" s="73"/>
      <c r="CZ89" s="7"/>
      <c r="DA89" s="7"/>
      <c r="DB89" s="7"/>
      <c r="DC89" s="48"/>
      <c r="DD89" s="7"/>
      <c r="DE89" s="7"/>
      <c r="DF89" s="7"/>
      <c r="DG89" s="7"/>
      <c r="DH89" s="7"/>
      <c r="DI89" s="7"/>
      <c r="DJ89" s="7"/>
      <c r="DK89" s="7"/>
      <c r="DL89" s="74"/>
      <c r="DM89" s="7"/>
      <c r="DN89" s="7"/>
      <c r="DO89" s="7"/>
      <c r="DP89" s="7"/>
      <c r="DQ89" s="58"/>
      <c r="DR89" s="7"/>
      <c r="DS89" s="7"/>
      <c r="DT89" s="7"/>
      <c r="DU89" s="73"/>
      <c r="DV89" s="73"/>
      <c r="DW89" s="7"/>
      <c r="DX89" s="7"/>
      <c r="DY89" s="7"/>
      <c r="DZ89" s="7"/>
      <c r="EA89" s="7"/>
      <c r="EB89" s="7"/>
      <c r="EC89" s="7"/>
      <c r="ED89" s="7"/>
      <c r="EE89" s="7"/>
      <c r="EF89" s="7"/>
      <c r="EG89" s="7"/>
      <c r="EH89" s="7"/>
      <c r="EI89" s="7"/>
      <c r="EJ89" s="7"/>
      <c r="EK89" s="7"/>
      <c r="EL89" s="7"/>
      <c r="EM89" s="7"/>
      <c r="EN89" s="19"/>
      <c r="EO89" s="7"/>
      <c r="EP89" s="7"/>
      <c r="EQ89" s="7"/>
      <c r="ER89" s="7"/>
      <c r="ES89" s="7"/>
      <c r="ET89" s="55"/>
      <c r="EU89" s="7"/>
      <c r="EV89" s="7"/>
      <c r="EW89" s="7"/>
      <c r="EX89" s="7"/>
      <c r="EY89" s="7"/>
      <c r="EZ89" s="7"/>
      <c r="FA89" s="7"/>
      <c r="FB89" s="7"/>
      <c r="FC89" s="55"/>
      <c r="FD89" s="55"/>
      <c r="FE89" s="55"/>
      <c r="FF89" s="7"/>
      <c r="FG89" s="7"/>
      <c r="FH89" s="7"/>
      <c r="FI89" s="7"/>
      <c r="FJ89" s="7"/>
      <c r="FK89" s="7"/>
      <c r="FL89" s="7"/>
      <c r="FM89" s="7"/>
      <c r="FN89" s="7"/>
      <c r="FO89" s="7"/>
      <c r="FP89" s="7"/>
      <c r="FQ89" s="7"/>
      <c r="FR89" s="7"/>
      <c r="FS89" s="77"/>
      <c r="FT89" s="30"/>
      <c r="FU89" s="7"/>
      <c r="FV89" s="55"/>
      <c r="FW89" s="55"/>
      <c r="FX89" s="7"/>
      <c r="FY89" s="7"/>
      <c r="FZ89" s="7"/>
      <c r="GA89" s="7"/>
      <c r="GB89" s="7"/>
      <c r="GC89" s="7"/>
      <c r="GD89" s="103"/>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29"/>
      <c r="IF89" s="7"/>
      <c r="IG89" s="7"/>
      <c r="IH89" s="7"/>
      <c r="II89" s="7"/>
      <c r="IJ89" s="7"/>
      <c r="IK89" s="7"/>
      <c r="IL89" s="7"/>
      <c r="IM89" s="7"/>
      <c r="IN89" s="7"/>
      <c r="IO89" s="7"/>
      <c r="IP89" s="7"/>
      <c r="IQ89" s="7"/>
      <c r="IR89" s="7"/>
      <c r="IS89" s="7"/>
      <c r="IT89" s="55"/>
      <c r="IU89" s="7"/>
      <c r="IV89" s="7"/>
    </row>
    <row r="90" spans="1:256" s="11" customFormat="1" ht="12.75" customHeight="1">
      <c r="A90" s="19"/>
      <c r="B90" s="19"/>
      <c r="C90" s="184"/>
      <c r="D90" s="19"/>
      <c r="E90" s="7"/>
      <c r="F90" s="7"/>
      <c r="G90" s="7"/>
      <c r="H90" s="7"/>
      <c r="I90" s="8"/>
      <c r="J90" s="19" t="str">
        <f ca="1">IF(F90="Head",CELL("contents",D90),"")</f>
        <v/>
      </c>
      <c r="K90" s="7"/>
      <c r="L90" s="7"/>
      <c r="M90" s="7"/>
      <c r="N90" s="7"/>
      <c r="O90" s="7"/>
      <c r="P90" s="19"/>
      <c r="Q90" s="29"/>
      <c r="R90" s="30"/>
      <c r="S90" s="7"/>
      <c r="T90" s="7"/>
      <c r="U90" s="31"/>
      <c r="V90" s="7"/>
      <c r="W90" s="7"/>
      <c r="X90" s="7"/>
      <c r="Y90" s="7"/>
      <c r="Z90" s="7"/>
      <c r="AA90" s="7"/>
      <c r="AB90" s="7"/>
      <c r="AC90" s="7"/>
      <c r="AD90" s="7"/>
      <c r="AE90" s="7"/>
      <c r="AF90" s="7"/>
      <c r="AG90" s="7"/>
      <c r="AH90" s="7"/>
      <c r="AI90" s="7"/>
      <c r="AJ90" s="122"/>
      <c r="AK90" s="41"/>
      <c r="AL90" s="52"/>
      <c r="AM90" s="20"/>
      <c r="AN90" s="20"/>
      <c r="AO90" s="20"/>
      <c r="AP90" s="20"/>
      <c r="AQ90" s="7"/>
      <c r="AR90" s="7"/>
      <c r="AS90" s="7"/>
      <c r="AT90" s="7"/>
      <c r="AU90" s="7"/>
      <c r="AV90" s="7"/>
      <c r="AW90" s="7"/>
      <c r="AX90" s="7"/>
      <c r="AY90" s="7"/>
      <c r="AZ90" s="7"/>
      <c r="BA90" s="7"/>
      <c r="BB90" s="7"/>
      <c r="BC90" s="7"/>
      <c r="BD90" s="55"/>
      <c r="BE90" s="55"/>
      <c r="BF90" s="7"/>
      <c r="BG90" s="7"/>
      <c r="BH90" s="7"/>
      <c r="BI90" s="7"/>
      <c r="BJ90" s="7"/>
      <c r="BK90" s="7"/>
      <c r="BL90" s="7"/>
      <c r="BM90" s="7"/>
      <c r="BN90" s="61"/>
      <c r="BO90" s="62"/>
      <c r="BP90" s="50"/>
      <c r="BQ90" s="20"/>
      <c r="BR90" s="7"/>
      <c r="BS90" s="7"/>
      <c r="BT90" s="7"/>
      <c r="BU90" s="7"/>
      <c r="BV90" s="55"/>
      <c r="BW90" s="7"/>
      <c r="BX90" s="55"/>
      <c r="BY90" s="7"/>
      <c r="BZ90" s="7"/>
      <c r="CA90" s="7"/>
      <c r="CB90" s="7"/>
      <c r="CC90" s="7"/>
      <c r="CD90" s="104"/>
      <c r="CE90" s="105"/>
      <c r="CF90" s="7"/>
      <c r="CG90" s="7"/>
      <c r="CH90" s="7"/>
      <c r="CI90" s="7"/>
      <c r="CJ90" s="7"/>
      <c r="CK90" s="7"/>
      <c r="CL90" s="7"/>
      <c r="CM90" s="7"/>
      <c r="CN90" s="7"/>
      <c r="CO90" s="7"/>
      <c r="CP90" s="55"/>
      <c r="CQ90" s="7"/>
      <c r="CR90" s="7"/>
      <c r="CS90" s="130"/>
      <c r="CT90" s="7"/>
      <c r="CU90" s="7"/>
      <c r="CV90" s="7"/>
      <c r="CW90" s="7"/>
      <c r="CX90" s="7"/>
      <c r="CY90" s="73"/>
      <c r="CZ90" s="7"/>
      <c r="DA90" s="7"/>
      <c r="DB90" s="7"/>
      <c r="DC90" s="48"/>
      <c r="DD90" s="7"/>
      <c r="DE90" s="7"/>
      <c r="DF90" s="7"/>
      <c r="DG90" s="7"/>
      <c r="DH90" s="7"/>
      <c r="DI90" s="7"/>
      <c r="DJ90" s="7"/>
      <c r="DK90" s="7"/>
      <c r="DL90" s="74"/>
      <c r="DM90" s="7"/>
      <c r="DN90" s="7"/>
      <c r="DO90" s="7"/>
      <c r="DP90" s="7"/>
      <c r="DQ90" s="58"/>
      <c r="DR90" s="7"/>
      <c r="DS90" s="7"/>
      <c r="DT90" s="7"/>
      <c r="DU90" s="73"/>
      <c r="DV90" s="73"/>
      <c r="DW90" s="7"/>
      <c r="DX90" s="7"/>
      <c r="DY90" s="7"/>
      <c r="DZ90" s="7"/>
      <c r="EA90" s="7"/>
      <c r="EB90" s="7"/>
      <c r="EC90" s="7"/>
      <c r="ED90" s="7"/>
      <c r="EE90" s="7"/>
      <c r="EF90" s="7"/>
      <c r="EG90" s="7"/>
      <c r="EH90" s="7"/>
      <c r="EI90" s="7"/>
      <c r="EJ90" s="7"/>
      <c r="EK90" s="7"/>
      <c r="EL90" s="7"/>
      <c r="EM90" s="7"/>
      <c r="EN90" s="19"/>
      <c r="EO90" s="7"/>
      <c r="EP90" s="7"/>
      <c r="EQ90" s="7"/>
      <c r="ER90" s="7"/>
      <c r="ES90" s="7"/>
      <c r="ET90" s="55"/>
      <c r="EU90" s="7"/>
      <c r="EV90" s="7"/>
      <c r="EW90" s="7"/>
      <c r="EX90" s="7"/>
      <c r="EY90" s="7"/>
      <c r="EZ90" s="7"/>
      <c r="FA90" s="7"/>
      <c r="FB90" s="7"/>
      <c r="FC90" s="55"/>
      <c r="FD90" s="55"/>
      <c r="FE90" s="55"/>
      <c r="FF90" s="7"/>
      <c r="FG90" s="7"/>
      <c r="FH90" s="7"/>
      <c r="FI90" s="7"/>
      <c r="FJ90" s="7"/>
      <c r="FK90" s="7"/>
      <c r="FL90" s="7"/>
      <c r="FM90" s="7"/>
      <c r="FN90" s="7"/>
      <c r="FO90" s="7"/>
      <c r="FP90" s="7"/>
      <c r="FQ90" s="7"/>
      <c r="FR90" s="7"/>
      <c r="FS90" s="77"/>
      <c r="FT90" s="30"/>
      <c r="FU90" s="7"/>
      <c r="FV90" s="55"/>
      <c r="FW90" s="55"/>
      <c r="FX90" s="7"/>
      <c r="FY90" s="7"/>
      <c r="FZ90" s="7"/>
      <c r="GA90" s="7"/>
      <c r="GB90" s="7"/>
      <c r="GC90" s="7"/>
      <c r="GD90" s="103"/>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29"/>
      <c r="IF90" s="7"/>
      <c r="IG90" s="7"/>
      <c r="IH90" s="7"/>
      <c r="II90" s="7"/>
      <c r="IJ90" s="7"/>
      <c r="IK90" s="7"/>
      <c r="IL90" s="7"/>
      <c r="IM90" s="7"/>
      <c r="IN90" s="7"/>
      <c r="IO90" s="7"/>
      <c r="IP90" s="7"/>
      <c r="IQ90" s="7"/>
      <c r="IR90" s="7"/>
      <c r="IS90" s="7"/>
      <c r="IT90" s="55"/>
      <c r="IU90" s="7"/>
      <c r="IV90" s="7"/>
    </row>
    <row r="91" spans="1:256" s="11" customFormat="1" ht="12.75" customHeight="1">
      <c r="A91" s="19"/>
      <c r="B91" s="19"/>
      <c r="C91" s="184" t="s">
        <v>4293</v>
      </c>
      <c r="D91" s="19"/>
      <c r="E91" s="7"/>
      <c r="F91" s="7"/>
      <c r="G91" s="7"/>
      <c r="H91" s="7"/>
      <c r="I91" s="8"/>
      <c r="J91" s="19" t="str">
        <f ca="1">IF(F91="Head",CELL("contents",D91),"")</f>
        <v/>
      </c>
      <c r="K91" s="7"/>
      <c r="L91" s="7"/>
      <c r="M91" s="7"/>
      <c r="N91" s="7"/>
      <c r="O91" s="7"/>
      <c r="P91" s="19"/>
      <c r="Q91" s="29"/>
      <c r="R91" s="30"/>
      <c r="S91" s="7"/>
      <c r="T91" s="7"/>
      <c r="U91" s="31"/>
      <c r="V91" s="7"/>
      <c r="W91" s="7"/>
      <c r="X91" s="7"/>
      <c r="Y91" s="7"/>
      <c r="Z91" s="7"/>
      <c r="AA91" s="7"/>
      <c r="AB91" s="7"/>
      <c r="AC91" s="7"/>
      <c r="AD91" s="7"/>
      <c r="AE91" s="7"/>
      <c r="AF91" s="7"/>
      <c r="AG91" s="7"/>
      <c r="AH91" s="7"/>
      <c r="AI91" s="7"/>
      <c r="AJ91" s="122"/>
      <c r="AK91" s="41"/>
      <c r="AL91" s="52"/>
      <c r="AM91" s="20"/>
      <c r="AN91" s="20"/>
      <c r="AO91" s="20"/>
      <c r="AP91" s="20"/>
      <c r="AQ91" s="7"/>
      <c r="AR91" s="7"/>
      <c r="AS91" s="7"/>
      <c r="AT91" s="7"/>
      <c r="AU91" s="7"/>
      <c r="AV91" s="7"/>
      <c r="AW91" s="7"/>
      <c r="AX91" s="7"/>
      <c r="AY91" s="7"/>
      <c r="AZ91" s="7"/>
      <c r="BA91" s="7"/>
      <c r="BB91" s="7"/>
      <c r="BC91" s="7"/>
      <c r="BD91" s="55"/>
      <c r="BE91" s="55"/>
      <c r="BF91" s="7"/>
      <c r="BG91" s="7"/>
      <c r="BH91" s="7"/>
      <c r="BI91" s="7"/>
      <c r="BJ91" s="7"/>
      <c r="BK91" s="7"/>
      <c r="BL91" s="7"/>
      <c r="BM91" s="7"/>
      <c r="BN91" s="61"/>
      <c r="BO91" s="62"/>
      <c r="BP91" s="50"/>
      <c r="BQ91" s="20"/>
      <c r="BR91" s="7"/>
      <c r="BS91" s="7"/>
      <c r="BT91" s="7"/>
      <c r="BU91" s="7"/>
      <c r="BV91" s="55"/>
      <c r="BW91" s="7"/>
      <c r="BX91" s="55"/>
      <c r="BY91" s="7"/>
      <c r="BZ91" s="7"/>
      <c r="CA91" s="7"/>
      <c r="CB91" s="7"/>
      <c r="CC91" s="7"/>
      <c r="CD91" s="104"/>
      <c r="CE91" s="105"/>
      <c r="CF91" s="7"/>
      <c r="CG91" s="7"/>
      <c r="CH91" s="7"/>
      <c r="CI91" s="7"/>
      <c r="CJ91" s="7"/>
      <c r="CK91" s="7"/>
      <c r="CL91" s="7"/>
      <c r="CM91" s="7"/>
      <c r="CN91" s="7"/>
      <c r="CO91" s="7"/>
      <c r="CP91" s="55"/>
      <c r="CQ91" s="7"/>
      <c r="CR91" s="7"/>
      <c r="CS91" s="130"/>
      <c r="CT91" s="7"/>
      <c r="CU91" s="7"/>
      <c r="CV91" s="7"/>
      <c r="CW91" s="7"/>
      <c r="CX91" s="7"/>
      <c r="CY91" s="73"/>
      <c r="CZ91" s="7"/>
      <c r="DA91" s="7"/>
      <c r="DB91" s="7"/>
      <c r="DC91" s="48"/>
      <c r="DD91" s="7"/>
      <c r="DE91" s="7"/>
      <c r="DF91" s="7"/>
      <c r="DG91" s="7"/>
      <c r="DH91" s="7"/>
      <c r="DI91" s="7"/>
      <c r="DJ91" s="7"/>
      <c r="DK91" s="7"/>
      <c r="DL91" s="74"/>
      <c r="DM91" s="7"/>
      <c r="DN91" s="7"/>
      <c r="DO91" s="7"/>
      <c r="DP91" s="7"/>
      <c r="DQ91" s="58"/>
      <c r="DR91" s="7"/>
      <c r="DS91" s="7"/>
      <c r="DT91" s="7"/>
      <c r="DU91" s="73"/>
      <c r="DV91" s="73"/>
      <c r="DW91" s="7"/>
      <c r="DX91" s="7"/>
      <c r="DY91" s="7"/>
      <c r="DZ91" s="7"/>
      <c r="EA91" s="7"/>
      <c r="EB91" s="7"/>
      <c r="EC91" s="7"/>
      <c r="ED91" s="7"/>
      <c r="EE91" s="7"/>
      <c r="EF91" s="7"/>
      <c r="EG91" s="7"/>
      <c r="EH91" s="7"/>
      <c r="EI91" s="7"/>
      <c r="EJ91" s="7"/>
      <c r="EK91" s="7"/>
      <c r="EL91" s="7"/>
      <c r="EM91" s="7"/>
      <c r="EN91" s="19"/>
      <c r="EO91" s="7"/>
      <c r="EP91" s="7"/>
      <c r="EQ91" s="7"/>
      <c r="ER91" s="7"/>
      <c r="ES91" s="7"/>
      <c r="ET91" s="55"/>
      <c r="EU91" s="7"/>
      <c r="EV91" s="7"/>
      <c r="EW91" s="7"/>
      <c r="EX91" s="7"/>
      <c r="EY91" s="7"/>
      <c r="EZ91" s="7"/>
      <c r="FA91" s="7"/>
      <c r="FB91" s="7"/>
      <c r="FC91" s="55"/>
      <c r="FD91" s="55"/>
      <c r="FE91" s="55"/>
      <c r="FF91" s="7"/>
      <c r="FG91" s="7"/>
      <c r="FH91" s="7"/>
      <c r="FI91" s="7"/>
      <c r="FJ91" s="7"/>
      <c r="FK91" s="7"/>
      <c r="FL91" s="7"/>
      <c r="FM91" s="7"/>
      <c r="FN91" s="7"/>
      <c r="FO91" s="7"/>
      <c r="FP91" s="7"/>
      <c r="FQ91" s="7"/>
      <c r="FR91" s="7"/>
      <c r="FS91" s="77"/>
      <c r="FT91" s="30"/>
      <c r="FU91" s="7"/>
      <c r="FV91" s="55"/>
      <c r="FW91" s="55"/>
      <c r="FX91" s="7"/>
      <c r="FY91" s="7"/>
      <c r="FZ91" s="7"/>
      <c r="GA91" s="7"/>
      <c r="GB91" s="7"/>
      <c r="GC91" s="7"/>
      <c r="GD91" s="103"/>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29"/>
      <c r="IF91" s="7"/>
      <c r="IG91" s="7"/>
      <c r="IH91" s="7"/>
      <c r="II91" s="7"/>
      <c r="IJ91" s="7"/>
      <c r="IK91" s="7"/>
      <c r="IL91" s="7"/>
      <c r="IM91" s="7"/>
      <c r="IN91" s="7"/>
      <c r="IO91" s="7"/>
      <c r="IP91" s="7"/>
      <c r="IQ91" s="7"/>
      <c r="IR91" s="7"/>
      <c r="IS91" s="7"/>
      <c r="IT91" s="55"/>
      <c r="IU91" s="7"/>
      <c r="IV91" s="7"/>
    </row>
    <row r="92" spans="1:256" s="11" customFormat="1" ht="12.75" customHeight="1">
      <c r="A92" s="19"/>
      <c r="B92" s="19"/>
      <c r="C92" s="184" t="s">
        <v>4296</v>
      </c>
      <c r="D92" s="19"/>
      <c r="E92" s="319" t="s">
        <v>5589</v>
      </c>
      <c r="F92" s="317" t="e">
        <f>COUNTIF(SurveyDATA!#REF!,"Structure Owner")</f>
        <v>#REF!</v>
      </c>
      <c r="G92" s="7"/>
      <c r="H92" s="7"/>
      <c r="I92" s="8"/>
      <c r="J92" s="19" t="e">
        <f ca="1">IF(F92="Head",CELL("contents",remove!C4),"")</f>
        <v>#REF!</v>
      </c>
      <c r="K92" s="7"/>
      <c r="L92" s="7"/>
      <c r="M92" s="7"/>
      <c r="N92" s="7"/>
      <c r="O92" s="7"/>
      <c r="P92" s="19"/>
      <c r="Q92" s="29"/>
      <c r="R92" s="30"/>
      <c r="S92" s="7"/>
      <c r="T92" s="7"/>
      <c r="U92" s="31"/>
      <c r="V92" s="7"/>
      <c r="W92" s="7"/>
      <c r="X92" s="7"/>
      <c r="Y92" s="7"/>
      <c r="Z92" s="7"/>
      <c r="AA92" s="7"/>
      <c r="AB92" s="7"/>
      <c r="AC92" s="7"/>
      <c r="AD92" s="7"/>
      <c r="AE92" s="7"/>
      <c r="AF92" s="7"/>
      <c r="AG92" s="7"/>
      <c r="AH92" s="7"/>
      <c r="AI92" s="7"/>
      <c r="AJ92" s="122"/>
      <c r="AK92" s="41"/>
      <c r="AL92" s="52"/>
      <c r="AM92" s="20"/>
      <c r="AN92" s="20"/>
      <c r="AO92" s="20"/>
      <c r="AP92" s="20"/>
      <c r="AQ92" s="7"/>
      <c r="AR92" s="7"/>
      <c r="AS92" s="7"/>
      <c r="AT92" s="7"/>
      <c r="AU92" s="7"/>
      <c r="AV92" s="7"/>
      <c r="AW92" s="7"/>
      <c r="AX92" s="7"/>
      <c r="AY92" s="7"/>
      <c r="AZ92" s="7"/>
      <c r="BA92" s="7"/>
      <c r="BB92" s="7"/>
      <c r="BC92" s="7"/>
      <c r="BD92" s="55"/>
      <c r="BE92" s="55"/>
      <c r="BF92" s="7"/>
      <c r="BG92" s="7"/>
      <c r="BH92" s="7"/>
      <c r="BI92" s="7"/>
      <c r="BJ92" s="7"/>
      <c r="BK92" s="7"/>
      <c r="BL92" s="7"/>
      <c r="BM92" s="7"/>
      <c r="BN92" s="61"/>
      <c r="BO92" s="62"/>
      <c r="BP92" s="50"/>
      <c r="BQ92" s="20"/>
      <c r="BR92" s="7"/>
      <c r="BS92" s="7"/>
      <c r="BT92" s="7"/>
      <c r="BU92" s="7"/>
      <c r="BV92" s="55"/>
      <c r="BW92" s="7"/>
      <c r="BX92" s="55"/>
      <c r="BY92" s="7"/>
      <c r="BZ92" s="7"/>
      <c r="CA92" s="7"/>
      <c r="CB92" s="7"/>
      <c r="CC92" s="7"/>
      <c r="CD92" s="104"/>
      <c r="CE92" s="105"/>
      <c r="CF92" s="7"/>
      <c r="CG92" s="7"/>
      <c r="CH92" s="7"/>
      <c r="CI92" s="7"/>
      <c r="CJ92" s="7"/>
      <c r="CK92" s="7"/>
      <c r="CL92" s="7"/>
      <c r="CM92" s="7"/>
      <c r="CN92" s="7"/>
      <c r="CO92" s="7"/>
      <c r="CP92" s="55"/>
      <c r="CQ92" s="7"/>
      <c r="CR92" s="7"/>
      <c r="CS92" s="130"/>
      <c r="CT92" s="7"/>
      <c r="CU92" s="7"/>
      <c r="CV92" s="7"/>
      <c r="CW92" s="7"/>
      <c r="CX92" s="7"/>
      <c r="CY92" s="73"/>
      <c r="CZ92" s="7"/>
      <c r="DA92" s="7"/>
      <c r="DB92" s="7"/>
      <c r="DC92" s="48"/>
      <c r="DD92" s="7"/>
      <c r="DE92" s="7"/>
      <c r="DF92" s="7"/>
      <c r="DG92" s="7"/>
      <c r="DH92" s="7"/>
      <c r="DI92" s="7"/>
      <c r="DJ92" s="7"/>
      <c r="DK92" s="7"/>
      <c r="DL92" s="74"/>
      <c r="DM92" s="7"/>
      <c r="DN92" s="7"/>
      <c r="DO92" s="7"/>
      <c r="DP92" s="7"/>
      <c r="DQ92" s="58"/>
      <c r="DR92" s="7"/>
      <c r="DS92" s="7"/>
      <c r="DT92" s="7"/>
      <c r="DU92" s="73"/>
      <c r="DV92" s="73"/>
      <c r="DW92" s="7"/>
      <c r="DX92" s="7"/>
      <c r="DY92" s="7"/>
      <c r="DZ92" s="7"/>
      <c r="EA92" s="7"/>
      <c r="EB92" s="7"/>
      <c r="EC92" s="7"/>
      <c r="ED92" s="7"/>
      <c r="EE92" s="7"/>
      <c r="EF92" s="7"/>
      <c r="EG92" s="7"/>
      <c r="EH92" s="7"/>
      <c r="EI92" s="7"/>
      <c r="EJ92" s="7"/>
      <c r="EK92" s="7"/>
      <c r="EL92" s="7"/>
      <c r="EM92" s="7"/>
      <c r="EN92" s="19"/>
      <c r="EO92" s="7"/>
      <c r="EP92" s="7"/>
      <c r="EQ92" s="7"/>
      <c r="ER92" s="7"/>
      <c r="ES92" s="7"/>
      <c r="ET92" s="55"/>
      <c r="EU92" s="7"/>
      <c r="EV92" s="7"/>
      <c r="EW92" s="7"/>
      <c r="EX92" s="7"/>
      <c r="EY92" s="7"/>
      <c r="EZ92" s="7"/>
      <c r="FA92" s="7"/>
      <c r="FB92" s="7"/>
      <c r="FC92" s="55"/>
      <c r="FD92" s="55"/>
      <c r="FE92" s="55"/>
      <c r="FF92" s="7"/>
      <c r="FG92" s="7"/>
      <c r="FH92" s="7"/>
      <c r="FI92" s="7"/>
      <c r="FJ92" s="7"/>
      <c r="FK92" s="7"/>
      <c r="FL92" s="7"/>
      <c r="FM92" s="7"/>
      <c r="FN92" s="7"/>
      <c r="FO92" s="7"/>
      <c r="FP92" s="7"/>
      <c r="FQ92" s="7"/>
      <c r="FR92" s="7"/>
      <c r="FS92" s="77"/>
      <c r="FT92" s="30"/>
      <c r="FU92" s="7"/>
      <c r="FV92" s="55"/>
      <c r="FW92" s="55"/>
      <c r="FX92" s="7"/>
      <c r="FY92" s="7"/>
      <c r="FZ92" s="7"/>
      <c r="GA92" s="7"/>
      <c r="GB92" s="7"/>
      <c r="GC92" s="7"/>
      <c r="GD92" s="103"/>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29"/>
      <c r="IF92" s="7"/>
      <c r="IG92" s="7"/>
      <c r="IH92" s="7"/>
      <c r="II92" s="7"/>
      <c r="IJ92" s="7"/>
      <c r="IK92" s="7"/>
      <c r="IL92" s="7"/>
      <c r="IM92" s="7"/>
      <c r="IN92" s="7"/>
      <c r="IO92" s="7"/>
      <c r="IP92" s="7"/>
      <c r="IQ92" s="7"/>
      <c r="IR92" s="7"/>
      <c r="IS92" s="7"/>
      <c r="IT92" s="55"/>
      <c r="IU92" s="7"/>
      <c r="IV92" s="7"/>
    </row>
    <row r="93" spans="1:256" s="11" customFormat="1" ht="12.75" customHeight="1">
      <c r="A93" s="19"/>
      <c r="B93" s="19"/>
      <c r="C93" s="184" t="s">
        <v>4301</v>
      </c>
      <c r="D93" s="19"/>
      <c r="E93" s="319" t="s">
        <v>1101</v>
      </c>
      <c r="F93" s="49" t="e">
        <f>COUNTIFS(SurveyDATA!#REF!,"",SurveyDATA!#REF!,"Structure Owner")</f>
        <v>#REF!</v>
      </c>
      <c r="G93" s="7"/>
      <c r="H93" s="7"/>
      <c r="I93" s="8"/>
      <c r="J93" s="19" t="e">
        <f ca="1">IF(F93="Head",CELL("contents",remove!C5),"")</f>
        <v>#REF!</v>
      </c>
      <c r="K93" s="7"/>
      <c r="L93" s="7"/>
      <c r="M93" s="7"/>
      <c r="N93" s="7"/>
      <c r="O93" s="7"/>
      <c r="P93" s="19"/>
      <c r="Q93" s="29"/>
      <c r="R93" s="30"/>
      <c r="S93" s="7"/>
      <c r="T93" s="7"/>
      <c r="U93" s="31"/>
      <c r="V93" s="7"/>
      <c r="W93" s="7"/>
      <c r="X93" s="7"/>
      <c r="Y93" s="7"/>
      <c r="Z93" s="7"/>
      <c r="AA93" s="7"/>
      <c r="AB93" s="7"/>
      <c r="AC93" s="7"/>
      <c r="AD93" s="7"/>
      <c r="AE93" s="7"/>
      <c r="AF93" s="7"/>
      <c r="AG93" s="7"/>
      <c r="AH93" s="7"/>
      <c r="AI93" s="7"/>
      <c r="AJ93" s="122"/>
      <c r="AK93" s="41"/>
      <c r="AL93" s="52"/>
      <c r="AM93" s="20"/>
      <c r="AN93" s="20"/>
      <c r="AO93" s="20"/>
      <c r="AP93" s="20"/>
      <c r="AQ93" s="7"/>
      <c r="AR93" s="7"/>
      <c r="AS93" s="7"/>
      <c r="AT93" s="7"/>
      <c r="AU93" s="7"/>
      <c r="AV93" s="7"/>
      <c r="AW93" s="7"/>
      <c r="AX93" s="7"/>
      <c r="AY93" s="7"/>
      <c r="AZ93" s="7"/>
      <c r="BA93" s="7"/>
      <c r="BB93" s="7"/>
      <c r="BC93" s="7"/>
      <c r="BD93" s="55"/>
      <c r="BE93" s="55"/>
      <c r="BF93" s="7"/>
      <c r="BG93" s="7"/>
      <c r="BH93" s="7"/>
      <c r="BI93" s="7"/>
      <c r="BJ93" s="7"/>
      <c r="BK93" s="7"/>
      <c r="BL93" s="7"/>
      <c r="BM93" s="7"/>
      <c r="BN93" s="61"/>
      <c r="BO93" s="62"/>
      <c r="BP93" s="50"/>
      <c r="BQ93" s="20"/>
      <c r="BR93" s="7"/>
      <c r="BS93" s="7"/>
      <c r="BT93" s="7"/>
      <c r="BU93" s="7"/>
      <c r="BV93" s="55"/>
      <c r="BW93" s="7"/>
      <c r="BX93" s="55"/>
      <c r="BY93" s="7"/>
      <c r="BZ93" s="7"/>
      <c r="CA93" s="7"/>
      <c r="CB93" s="7"/>
      <c r="CC93" s="7"/>
      <c r="CD93" s="104"/>
      <c r="CE93" s="105"/>
      <c r="CF93" s="7"/>
      <c r="CG93" s="7"/>
      <c r="CH93" s="7"/>
      <c r="CI93" s="7"/>
      <c r="CJ93" s="7"/>
      <c r="CK93" s="7"/>
      <c r="CL93" s="7"/>
      <c r="CM93" s="7"/>
      <c r="CN93" s="7"/>
      <c r="CO93" s="7"/>
      <c r="CP93" s="55"/>
      <c r="CQ93" s="7"/>
      <c r="CR93" s="7"/>
      <c r="CS93" s="130"/>
      <c r="CT93" s="7"/>
      <c r="CU93" s="7"/>
      <c r="CV93" s="7"/>
      <c r="CW93" s="7"/>
      <c r="CX93" s="7"/>
      <c r="CY93" s="73"/>
      <c r="CZ93" s="7"/>
      <c r="DA93" s="7"/>
      <c r="DB93" s="7"/>
      <c r="DC93" s="48"/>
      <c r="DD93" s="7"/>
      <c r="DE93" s="7"/>
      <c r="DF93" s="7"/>
      <c r="DG93" s="7"/>
      <c r="DH93" s="7"/>
      <c r="DI93" s="7"/>
      <c r="DJ93" s="7"/>
      <c r="DK93" s="7"/>
      <c r="DL93" s="74"/>
      <c r="DM93" s="7"/>
      <c r="DN93" s="7"/>
      <c r="DO93" s="7"/>
      <c r="DP93" s="7"/>
      <c r="DQ93" s="58"/>
      <c r="DR93" s="7"/>
      <c r="DS93" s="7"/>
      <c r="DT93" s="7"/>
      <c r="DU93" s="73"/>
      <c r="DV93" s="73"/>
      <c r="DW93" s="7"/>
      <c r="DX93" s="7"/>
      <c r="DY93" s="7"/>
      <c r="DZ93" s="7"/>
      <c r="EA93" s="7"/>
      <c r="EB93" s="7"/>
      <c r="EC93" s="7"/>
      <c r="ED93" s="7"/>
      <c r="EE93" s="7"/>
      <c r="EF93" s="7"/>
      <c r="EG93" s="7"/>
      <c r="EH93" s="7"/>
      <c r="EI93" s="7"/>
      <c r="EJ93" s="7"/>
      <c r="EK93" s="7"/>
      <c r="EL93" s="7"/>
      <c r="EM93" s="7"/>
      <c r="EN93" s="19"/>
      <c r="EO93" s="7"/>
      <c r="EP93" s="7"/>
      <c r="EQ93" s="7"/>
      <c r="ER93" s="7"/>
      <c r="ES93" s="7"/>
      <c r="ET93" s="55"/>
      <c r="EU93" s="7"/>
      <c r="EV93" s="7"/>
      <c r="EW93" s="7"/>
      <c r="EX93" s="7"/>
      <c r="EY93" s="7"/>
      <c r="EZ93" s="7"/>
      <c r="FA93" s="7"/>
      <c r="FB93" s="7"/>
      <c r="FC93" s="55"/>
      <c r="FD93" s="55"/>
      <c r="FE93" s="55"/>
      <c r="FF93" s="7"/>
      <c r="FG93" s="7"/>
      <c r="FH93" s="7"/>
      <c r="FI93" s="7"/>
      <c r="FJ93" s="7"/>
      <c r="FK93" s="7"/>
      <c r="FL93" s="7"/>
      <c r="FM93" s="7"/>
      <c r="FN93" s="7"/>
      <c r="FO93" s="7"/>
      <c r="FP93" s="7"/>
      <c r="FQ93" s="7"/>
      <c r="FR93" s="7"/>
      <c r="FS93" s="77"/>
      <c r="FT93" s="30"/>
      <c r="FU93" s="7"/>
      <c r="FV93" s="55"/>
      <c r="FW93" s="55"/>
      <c r="FX93" s="7"/>
      <c r="FY93" s="7"/>
      <c r="FZ93" s="7"/>
      <c r="GA93" s="7"/>
      <c r="GB93" s="7"/>
      <c r="GC93" s="7"/>
      <c r="GD93" s="103"/>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29"/>
      <c r="IF93" s="7"/>
      <c r="IG93" s="7"/>
      <c r="IH93" s="7"/>
      <c r="II93" s="7"/>
      <c r="IJ93" s="7"/>
      <c r="IK93" s="7"/>
      <c r="IL93" s="7"/>
      <c r="IM93" s="7"/>
      <c r="IN93" s="7"/>
      <c r="IO93" s="7"/>
      <c r="IP93" s="7"/>
      <c r="IQ93" s="7"/>
      <c r="IR93" s="7"/>
      <c r="IS93" s="7"/>
      <c r="IT93" s="55"/>
      <c r="IU93" s="7"/>
      <c r="IV93" s="7"/>
    </row>
    <row r="94" spans="1:256" s="11" customFormat="1" ht="12.75" customHeight="1">
      <c r="A94" s="19"/>
      <c r="B94" s="19"/>
      <c r="C94" s="184"/>
      <c r="D94" s="19"/>
      <c r="E94" s="319" t="s">
        <v>2209</v>
      </c>
      <c r="F94" s="154" t="e">
        <f>COUNTIFS(SurveyDATA!#REF!,"Y",SurveyDATA!#REF!,"Structure Owner")</f>
        <v>#REF!</v>
      </c>
      <c r="G94" s="7"/>
      <c r="H94" s="7"/>
      <c r="I94" s="8"/>
      <c r="J94" s="19" t="e">
        <f ca="1">IF(F94="Head",CELL("contents",remove!C6),"")</f>
        <v>#REF!</v>
      </c>
      <c r="K94" s="7"/>
      <c r="L94" s="7"/>
      <c r="M94" s="7"/>
      <c r="N94" s="7"/>
      <c r="O94" s="7"/>
      <c r="P94" s="19"/>
      <c r="Q94" s="29"/>
      <c r="R94" s="30"/>
      <c r="S94" s="7"/>
      <c r="T94" s="7"/>
      <c r="U94" s="31"/>
      <c r="V94" s="7"/>
      <c r="W94" s="7"/>
      <c r="X94" s="7"/>
      <c r="Y94" s="7"/>
      <c r="Z94" s="7"/>
      <c r="AA94" s="7"/>
      <c r="AB94" s="7"/>
      <c r="AC94" s="7"/>
      <c r="AD94" s="7"/>
      <c r="AE94" s="7"/>
      <c r="AF94" s="7"/>
      <c r="AG94" s="7"/>
      <c r="AH94" s="7"/>
      <c r="AI94" s="7"/>
      <c r="AJ94" s="122"/>
      <c r="AK94" s="41"/>
      <c r="AL94" s="52"/>
      <c r="AM94" s="20"/>
      <c r="AN94" s="20"/>
      <c r="AO94" s="20"/>
      <c r="AP94" s="20"/>
      <c r="AQ94" s="7"/>
      <c r="AR94" s="7"/>
      <c r="AS94" s="7"/>
      <c r="AT94" s="7"/>
      <c r="AU94" s="7"/>
      <c r="AV94" s="7"/>
      <c r="AW94" s="7"/>
      <c r="AX94" s="7"/>
      <c r="AY94" s="7"/>
      <c r="AZ94" s="7"/>
      <c r="BA94" s="7"/>
      <c r="BB94" s="7"/>
      <c r="BC94" s="7"/>
      <c r="BD94" s="55"/>
      <c r="BE94" s="55"/>
      <c r="BF94" s="7"/>
      <c r="BG94" s="7"/>
      <c r="BH94" s="7"/>
      <c r="BI94" s="7"/>
      <c r="BJ94" s="7"/>
      <c r="BK94" s="7"/>
      <c r="BL94" s="7"/>
      <c r="BM94" s="7"/>
      <c r="BN94" s="61"/>
      <c r="BO94" s="62"/>
      <c r="BP94" s="50"/>
      <c r="BQ94" s="20"/>
      <c r="BR94" s="7"/>
      <c r="BS94" s="7"/>
      <c r="BT94" s="7"/>
      <c r="BU94" s="7"/>
      <c r="BV94" s="55"/>
      <c r="BW94" s="7"/>
      <c r="BX94" s="55"/>
      <c r="BY94" s="7"/>
      <c r="BZ94" s="7"/>
      <c r="CA94" s="7"/>
      <c r="CB94" s="7"/>
      <c r="CC94" s="7"/>
      <c r="CD94" s="104"/>
      <c r="CE94" s="105"/>
      <c r="CF94" s="7"/>
      <c r="CG94" s="7"/>
      <c r="CH94" s="7"/>
      <c r="CI94" s="7"/>
      <c r="CJ94" s="7"/>
      <c r="CK94" s="7"/>
      <c r="CL94" s="7"/>
      <c r="CM94" s="7"/>
      <c r="CN94" s="7"/>
      <c r="CO94" s="7"/>
      <c r="CP94" s="55"/>
      <c r="CQ94" s="7"/>
      <c r="CR94" s="7"/>
      <c r="CS94" s="130"/>
      <c r="CT94" s="7"/>
      <c r="CU94" s="7"/>
      <c r="CV94" s="7"/>
      <c r="CW94" s="7"/>
      <c r="CX94" s="7"/>
      <c r="CY94" s="73"/>
      <c r="CZ94" s="7"/>
      <c r="DA94" s="7"/>
      <c r="DB94" s="7"/>
      <c r="DC94" s="48"/>
      <c r="DD94" s="7"/>
      <c r="DE94" s="7"/>
      <c r="DF94" s="7"/>
      <c r="DG94" s="7"/>
      <c r="DH94" s="7"/>
      <c r="DI94" s="7"/>
      <c r="DJ94" s="7"/>
      <c r="DK94" s="7"/>
      <c r="DL94" s="74"/>
      <c r="DM94" s="7"/>
      <c r="DN94" s="7"/>
      <c r="DO94" s="7"/>
      <c r="DP94" s="7"/>
      <c r="DQ94" s="58"/>
      <c r="DR94" s="7"/>
      <c r="DS94" s="7"/>
      <c r="DT94" s="7"/>
      <c r="DU94" s="73"/>
      <c r="DV94" s="73"/>
      <c r="DW94" s="7"/>
      <c r="DX94" s="7"/>
      <c r="DY94" s="7"/>
      <c r="DZ94" s="7"/>
      <c r="EA94" s="7"/>
      <c r="EB94" s="7"/>
      <c r="EC94" s="7"/>
      <c r="ED94" s="7"/>
      <c r="EE94" s="7"/>
      <c r="EF94" s="7"/>
      <c r="EG94" s="7"/>
      <c r="EH94" s="7"/>
      <c r="EI94" s="7"/>
      <c r="EJ94" s="7"/>
      <c r="EK94" s="7"/>
      <c r="EL94" s="7"/>
      <c r="EM94" s="7"/>
      <c r="EN94" s="19"/>
      <c r="EO94" s="7"/>
      <c r="EP94" s="7"/>
      <c r="EQ94" s="7"/>
      <c r="ER94" s="7"/>
      <c r="ES94" s="7"/>
      <c r="ET94" s="55"/>
      <c r="EU94" s="7"/>
      <c r="EV94" s="7"/>
      <c r="EW94" s="7"/>
      <c r="EX94" s="7"/>
      <c r="EY94" s="7"/>
      <c r="EZ94" s="7"/>
      <c r="FA94" s="7"/>
      <c r="FB94" s="7"/>
      <c r="FC94" s="55"/>
      <c r="FD94" s="55"/>
      <c r="FE94" s="55"/>
      <c r="FF94" s="7"/>
      <c r="FG94" s="7"/>
      <c r="FH94" s="7"/>
      <c r="FI94" s="7"/>
      <c r="FJ94" s="7"/>
      <c r="FK94" s="7"/>
      <c r="FL94" s="7"/>
      <c r="FM94" s="7"/>
      <c r="FN94" s="7"/>
      <c r="FO94" s="7"/>
      <c r="FP94" s="7"/>
      <c r="FQ94" s="7"/>
      <c r="FR94" s="7"/>
      <c r="FS94" s="77"/>
      <c r="FT94" s="30"/>
      <c r="FU94" s="7"/>
      <c r="FV94" s="55"/>
      <c r="FW94" s="55"/>
      <c r="FX94" s="7"/>
      <c r="FY94" s="7"/>
      <c r="FZ94" s="7"/>
      <c r="GA94" s="7"/>
      <c r="GB94" s="7"/>
      <c r="GC94" s="7"/>
      <c r="GD94" s="103"/>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29"/>
      <c r="IF94" s="7"/>
      <c r="IG94" s="7"/>
      <c r="IH94" s="7"/>
      <c r="II94" s="7"/>
      <c r="IJ94" s="7"/>
      <c r="IK94" s="7"/>
      <c r="IL94" s="7"/>
      <c r="IM94" s="7"/>
      <c r="IN94" s="7"/>
      <c r="IO94" s="7"/>
      <c r="IP94" s="7"/>
      <c r="IQ94" s="7"/>
      <c r="IR94" s="7"/>
      <c r="IS94" s="7"/>
      <c r="IT94" s="55"/>
      <c r="IU94" s="7"/>
      <c r="IV94" s="7"/>
    </row>
    <row r="95" spans="1:256" s="11" customFormat="1" ht="12.75" customHeight="1">
      <c r="A95" s="19"/>
      <c r="B95" s="19"/>
      <c r="C95" s="184"/>
      <c r="D95" s="19"/>
      <c r="E95" s="320" t="s">
        <v>5590</v>
      </c>
      <c r="F95" s="318" t="e">
        <f>COUNTIFS(SurveyDATA!#REF!,"Y")</f>
        <v>#REF!</v>
      </c>
      <c r="G95" s="7"/>
      <c r="H95" s="7"/>
      <c r="I95" s="8"/>
      <c r="J95" s="19" t="e">
        <f ca="1">IF(F95="Head",CELL("contents",remove!C7),"")</f>
        <v>#REF!</v>
      </c>
      <c r="K95" s="7"/>
      <c r="L95" s="7"/>
      <c r="M95" s="7"/>
      <c r="N95" s="7"/>
      <c r="O95" s="7"/>
      <c r="P95" s="19"/>
      <c r="Q95" s="29"/>
      <c r="R95" s="30"/>
      <c r="S95" s="7"/>
      <c r="T95" s="7"/>
      <c r="U95" s="31"/>
      <c r="V95" s="7"/>
      <c r="W95" s="7"/>
      <c r="X95" s="7"/>
      <c r="Y95" s="7"/>
      <c r="Z95" s="7"/>
      <c r="AA95" s="7"/>
      <c r="AB95" s="7"/>
      <c r="AC95" s="7"/>
      <c r="AD95" s="7"/>
      <c r="AE95" s="7"/>
      <c r="AF95" s="7"/>
      <c r="AG95" s="7"/>
      <c r="AH95" s="7"/>
      <c r="AI95" s="7"/>
      <c r="AJ95" s="122"/>
      <c r="AK95" s="41"/>
      <c r="AL95" s="52"/>
      <c r="AM95" s="20"/>
      <c r="AN95" s="20"/>
      <c r="AO95" s="20"/>
      <c r="AP95" s="20"/>
      <c r="AQ95" s="7"/>
      <c r="AR95" s="7"/>
      <c r="AS95" s="7"/>
      <c r="AT95" s="7"/>
      <c r="AU95" s="7"/>
      <c r="AV95" s="7"/>
      <c r="AW95" s="7"/>
      <c r="AX95" s="7"/>
      <c r="AY95" s="7"/>
      <c r="AZ95" s="7"/>
      <c r="BA95" s="7"/>
      <c r="BB95" s="7"/>
      <c r="BC95" s="7"/>
      <c r="BD95" s="55"/>
      <c r="BE95" s="55"/>
      <c r="BF95" s="7"/>
      <c r="BG95" s="7"/>
      <c r="BH95" s="7"/>
      <c r="BI95" s="7"/>
      <c r="BJ95" s="7"/>
      <c r="BK95" s="7"/>
      <c r="BL95" s="7"/>
      <c r="BM95" s="7"/>
      <c r="BN95" s="61"/>
      <c r="BO95" s="62"/>
      <c r="BP95" s="50"/>
      <c r="BQ95" s="20"/>
      <c r="BR95" s="7"/>
      <c r="BS95" s="7"/>
      <c r="BT95" s="7"/>
      <c r="BU95" s="7"/>
      <c r="BV95" s="55"/>
      <c r="BW95" s="7"/>
      <c r="BX95" s="55"/>
      <c r="BY95" s="7"/>
      <c r="BZ95" s="7"/>
      <c r="CA95" s="7"/>
      <c r="CB95" s="7"/>
      <c r="CC95" s="7"/>
      <c r="CD95" s="104"/>
      <c r="CE95" s="105"/>
      <c r="CF95" s="7"/>
      <c r="CG95" s="7"/>
      <c r="CH95" s="7"/>
      <c r="CI95" s="7"/>
      <c r="CJ95" s="7"/>
      <c r="CK95" s="7"/>
      <c r="CL95" s="7"/>
      <c r="CM95" s="7"/>
      <c r="CN95" s="7"/>
      <c r="CO95" s="7"/>
      <c r="CP95" s="55"/>
      <c r="CQ95" s="7"/>
      <c r="CR95" s="7"/>
      <c r="CS95" s="130"/>
      <c r="CT95" s="7"/>
      <c r="CU95" s="7"/>
      <c r="CV95" s="7"/>
      <c r="CW95" s="7"/>
      <c r="CX95" s="7"/>
      <c r="CY95" s="73"/>
      <c r="CZ95" s="7"/>
      <c r="DA95" s="7"/>
      <c r="DB95" s="7"/>
      <c r="DC95" s="48"/>
      <c r="DD95" s="7"/>
      <c r="DE95" s="7"/>
      <c r="DF95" s="7"/>
      <c r="DG95" s="7"/>
      <c r="DH95" s="7"/>
      <c r="DI95" s="7"/>
      <c r="DJ95" s="7"/>
      <c r="DK95" s="7"/>
      <c r="DL95" s="74"/>
      <c r="DM95" s="7"/>
      <c r="DN95" s="7"/>
      <c r="DO95" s="7"/>
      <c r="DP95" s="7"/>
      <c r="DQ95" s="58"/>
      <c r="DR95" s="7"/>
      <c r="DS95" s="7"/>
      <c r="DT95" s="7"/>
      <c r="DU95" s="73"/>
      <c r="DV95" s="73"/>
      <c r="DW95" s="7"/>
      <c r="DX95" s="7"/>
      <c r="DY95" s="7"/>
      <c r="DZ95" s="7"/>
      <c r="EA95" s="7"/>
      <c r="EB95" s="7"/>
      <c r="EC95" s="7"/>
      <c r="ED95" s="7"/>
      <c r="EE95" s="7"/>
      <c r="EF95" s="7"/>
      <c r="EG95" s="7"/>
      <c r="EH95" s="7"/>
      <c r="EI95" s="7"/>
      <c r="EJ95" s="7"/>
      <c r="EK95" s="7"/>
      <c r="EL95" s="7"/>
      <c r="EM95" s="7"/>
      <c r="EN95" s="19"/>
      <c r="EO95" s="7"/>
      <c r="EP95" s="7"/>
      <c r="EQ95" s="7"/>
      <c r="ER95" s="7"/>
      <c r="ES95" s="7"/>
      <c r="ET95" s="55"/>
      <c r="EU95" s="7"/>
      <c r="EV95" s="7"/>
      <c r="EW95" s="7"/>
      <c r="EX95" s="7"/>
      <c r="EY95" s="7"/>
      <c r="EZ95" s="7"/>
      <c r="FA95" s="7"/>
      <c r="FB95" s="7"/>
      <c r="FC95" s="55"/>
      <c r="FD95" s="55"/>
      <c r="FE95" s="55"/>
      <c r="FF95" s="7"/>
      <c r="FG95" s="7"/>
      <c r="FH95" s="7"/>
      <c r="FI95" s="7"/>
      <c r="FJ95" s="7"/>
      <c r="FK95" s="7"/>
      <c r="FL95" s="7"/>
      <c r="FM95" s="7"/>
      <c r="FN95" s="7"/>
      <c r="FO95" s="7"/>
      <c r="FP95" s="7"/>
      <c r="FQ95" s="7"/>
      <c r="FR95" s="7"/>
      <c r="FS95" s="77"/>
      <c r="FT95" s="30"/>
      <c r="FU95" s="7"/>
      <c r="FV95" s="55"/>
      <c r="FW95" s="55"/>
      <c r="FX95" s="7"/>
      <c r="FY95" s="7"/>
      <c r="FZ95" s="7"/>
      <c r="GA95" s="7"/>
      <c r="GB95" s="7"/>
      <c r="GC95" s="7"/>
      <c r="GD95" s="103"/>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29"/>
      <c r="IF95" s="7"/>
      <c r="IG95" s="7"/>
      <c r="IH95" s="7"/>
      <c r="II95" s="7"/>
      <c r="IJ95" s="7"/>
      <c r="IK95" s="7"/>
      <c r="IL95" s="7"/>
      <c r="IM95" s="7"/>
      <c r="IN95" s="7"/>
      <c r="IO95" s="7"/>
      <c r="IP95" s="7"/>
      <c r="IQ95" s="7"/>
      <c r="IR95" s="7"/>
      <c r="IS95" s="7"/>
      <c r="IT95" s="55"/>
      <c r="IU95" s="7"/>
      <c r="IV95" s="7"/>
    </row>
    <row r="96" spans="1:256" s="11" customFormat="1" ht="12.75" customHeight="1">
      <c r="A96" s="19"/>
      <c r="B96" s="19"/>
      <c r="C96" s="184" t="s">
        <v>4294</v>
      </c>
      <c r="D96" s="19"/>
      <c r="E96" s="320"/>
      <c r="F96" s="7"/>
      <c r="G96" s="7"/>
      <c r="H96" s="7"/>
      <c r="I96" s="8"/>
      <c r="J96" s="19"/>
      <c r="K96" s="7"/>
      <c r="L96" s="7"/>
      <c r="M96" s="7"/>
      <c r="N96" s="7"/>
      <c r="O96" s="7"/>
      <c r="P96" s="19"/>
      <c r="Q96" s="29"/>
      <c r="R96" s="30"/>
      <c r="S96" s="7"/>
      <c r="T96" s="7"/>
      <c r="U96" s="31"/>
      <c r="V96" s="7"/>
      <c r="W96" s="7"/>
      <c r="X96" s="7"/>
      <c r="Y96" s="7"/>
      <c r="Z96" s="7"/>
      <c r="AA96" s="7"/>
      <c r="AB96" s="7"/>
      <c r="AC96" s="7"/>
      <c r="AD96" s="7"/>
      <c r="AE96" s="7"/>
      <c r="AF96" s="7"/>
      <c r="AG96" s="7"/>
      <c r="AH96" s="7"/>
      <c r="AI96" s="7"/>
      <c r="AJ96" s="122"/>
      <c r="AK96" s="41"/>
      <c r="AL96" s="52"/>
      <c r="AM96" s="20"/>
      <c r="AN96" s="20"/>
      <c r="AO96" s="20"/>
      <c r="AP96" s="20"/>
      <c r="AQ96" s="7"/>
      <c r="AR96" s="7"/>
      <c r="AS96" s="7"/>
      <c r="AT96" s="7"/>
      <c r="AU96" s="7"/>
      <c r="AV96" s="7"/>
      <c r="AW96" s="7"/>
      <c r="AX96" s="7"/>
      <c r="AY96" s="7"/>
      <c r="AZ96" s="7"/>
      <c r="BA96" s="7"/>
      <c r="BB96" s="7"/>
      <c r="BC96" s="7"/>
      <c r="BD96" s="55"/>
      <c r="BE96" s="55"/>
      <c r="BF96" s="7"/>
      <c r="BG96" s="7"/>
      <c r="BH96" s="7"/>
      <c r="BI96" s="7"/>
      <c r="BJ96" s="7"/>
      <c r="BK96" s="7"/>
      <c r="BL96" s="7"/>
      <c r="BM96" s="7"/>
      <c r="BN96" s="61"/>
      <c r="BO96" s="62"/>
      <c r="BP96" s="50"/>
      <c r="BQ96" s="20"/>
      <c r="BR96" s="7"/>
      <c r="BS96" s="7"/>
      <c r="BT96" s="7"/>
      <c r="BU96" s="7"/>
      <c r="BV96" s="55"/>
      <c r="BW96" s="7"/>
      <c r="BX96" s="55"/>
      <c r="BY96" s="7"/>
      <c r="BZ96" s="7"/>
      <c r="CA96" s="7"/>
      <c r="CB96" s="7"/>
      <c r="CC96" s="7"/>
      <c r="CD96" s="104"/>
      <c r="CE96" s="105"/>
      <c r="CF96" s="7"/>
      <c r="CG96" s="7"/>
      <c r="CH96" s="7"/>
      <c r="CI96" s="7"/>
      <c r="CJ96" s="7"/>
      <c r="CK96" s="7"/>
      <c r="CL96" s="7"/>
      <c r="CM96" s="7"/>
      <c r="CN96" s="7"/>
      <c r="CO96" s="7"/>
      <c r="CP96" s="55"/>
      <c r="CQ96" s="7"/>
      <c r="CR96" s="7"/>
      <c r="CS96" s="130"/>
      <c r="CT96" s="7"/>
      <c r="CU96" s="7"/>
      <c r="CV96" s="7"/>
      <c r="CW96" s="7"/>
      <c r="CX96" s="7"/>
      <c r="CY96" s="73"/>
      <c r="CZ96" s="7"/>
      <c r="DA96" s="7"/>
      <c r="DB96" s="7"/>
      <c r="DC96" s="48"/>
      <c r="DD96" s="7"/>
      <c r="DE96" s="7"/>
      <c r="DF96" s="7"/>
      <c r="DG96" s="7"/>
      <c r="DH96" s="7"/>
      <c r="DI96" s="7"/>
      <c r="DJ96" s="7"/>
      <c r="DK96" s="7"/>
      <c r="DL96" s="74"/>
      <c r="DM96" s="7"/>
      <c r="DN96" s="7"/>
      <c r="DO96" s="7"/>
      <c r="DP96" s="7"/>
      <c r="DQ96" s="58"/>
      <c r="DR96" s="7"/>
      <c r="DS96" s="7"/>
      <c r="DT96" s="7"/>
      <c r="DU96" s="73"/>
      <c r="DV96" s="73"/>
      <c r="DW96" s="7"/>
      <c r="DX96" s="7"/>
      <c r="DY96" s="7"/>
      <c r="DZ96" s="7"/>
      <c r="EA96" s="7"/>
      <c r="EB96" s="7"/>
      <c r="EC96" s="7"/>
      <c r="ED96" s="7"/>
      <c r="EE96" s="7"/>
      <c r="EF96" s="7"/>
      <c r="EG96" s="7"/>
      <c r="EH96" s="7"/>
      <c r="EI96" s="7"/>
      <c r="EJ96" s="7"/>
      <c r="EK96" s="7"/>
      <c r="EL96" s="7"/>
      <c r="EM96" s="7"/>
      <c r="EN96" s="19"/>
      <c r="EO96" s="7"/>
      <c r="EP96" s="7"/>
      <c r="EQ96" s="7"/>
      <c r="ER96" s="7"/>
      <c r="ES96" s="7"/>
      <c r="ET96" s="55"/>
      <c r="EU96" s="7"/>
      <c r="EV96" s="7"/>
      <c r="EW96" s="7"/>
      <c r="EX96" s="7"/>
      <c r="EY96" s="7"/>
      <c r="EZ96" s="7"/>
      <c r="FA96" s="7"/>
      <c r="FB96" s="7"/>
      <c r="FC96" s="55"/>
      <c r="FD96" s="55"/>
      <c r="FE96" s="55"/>
      <c r="FF96" s="7"/>
      <c r="FG96" s="7"/>
      <c r="FH96" s="7"/>
      <c r="FI96" s="7"/>
      <c r="FJ96" s="7"/>
      <c r="FK96" s="7"/>
      <c r="FL96" s="7"/>
      <c r="FM96" s="7"/>
      <c r="FN96" s="7"/>
      <c r="FO96" s="7"/>
      <c r="FP96" s="7"/>
      <c r="FQ96" s="7"/>
      <c r="FR96" s="7"/>
      <c r="FS96" s="77"/>
      <c r="FT96" s="30"/>
      <c r="FU96" s="7"/>
      <c r="FV96" s="55"/>
      <c r="FW96" s="55"/>
      <c r="FX96" s="7"/>
      <c r="FY96" s="7"/>
      <c r="FZ96" s="7"/>
      <c r="GA96" s="7"/>
      <c r="GB96" s="7"/>
      <c r="GC96" s="7"/>
      <c r="GD96" s="103"/>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29"/>
      <c r="IF96" s="7"/>
      <c r="IG96" s="7"/>
      <c r="IH96" s="7"/>
      <c r="II96" s="7"/>
      <c r="IJ96" s="7"/>
      <c r="IK96" s="7"/>
      <c r="IL96" s="7"/>
      <c r="IM96" s="7"/>
      <c r="IN96" s="7"/>
      <c r="IO96" s="7"/>
      <c r="IP96" s="7"/>
      <c r="IQ96" s="7"/>
      <c r="IR96" s="7"/>
      <c r="IS96" s="7"/>
      <c r="IT96" s="55"/>
      <c r="IU96" s="7"/>
      <c r="IV96" s="7"/>
    </row>
    <row r="97" spans="1:256" s="11" customFormat="1" ht="12.75" customHeight="1">
      <c r="A97" s="19"/>
      <c r="B97" s="19"/>
      <c r="C97" s="184" t="s">
        <v>4300</v>
      </c>
      <c r="D97" s="19"/>
      <c r="E97" s="320"/>
      <c r="F97" s="7"/>
      <c r="G97" s="7"/>
      <c r="H97" s="7"/>
      <c r="I97" s="8"/>
      <c r="J97" s="19" t="str">
        <f t="shared" ref="J97:J103" ca="1" si="0">IF(F97="Head",CELL("contents",D97),"")</f>
        <v/>
      </c>
      <c r="K97" s="7"/>
      <c r="L97" s="7"/>
      <c r="M97" s="7"/>
      <c r="N97" s="7"/>
      <c r="O97" s="7"/>
      <c r="P97" s="19"/>
      <c r="Q97" s="29"/>
      <c r="R97" s="30"/>
      <c r="S97" s="7"/>
      <c r="T97" s="7"/>
      <c r="U97" s="31"/>
      <c r="V97" s="7"/>
      <c r="W97" s="7"/>
      <c r="X97" s="7"/>
      <c r="Y97" s="7"/>
      <c r="Z97" s="7"/>
      <c r="AA97" s="7"/>
      <c r="AB97" s="7"/>
      <c r="AC97" s="7"/>
      <c r="AD97" s="7"/>
      <c r="AE97" s="7"/>
      <c r="AF97" s="7"/>
      <c r="AG97" s="7"/>
      <c r="AH97" s="7"/>
      <c r="AI97" s="7"/>
      <c r="AJ97" s="122"/>
      <c r="AK97" s="41"/>
      <c r="AL97" s="52"/>
      <c r="AM97" s="20"/>
      <c r="AN97" s="20"/>
      <c r="AO97" s="20"/>
      <c r="AP97" s="20"/>
      <c r="AQ97" s="7"/>
      <c r="AR97" s="7"/>
      <c r="AS97" s="7"/>
      <c r="AT97" s="7"/>
      <c r="AU97" s="7"/>
      <c r="AV97" s="7"/>
      <c r="AW97" s="7"/>
      <c r="AX97" s="7"/>
      <c r="AY97" s="7"/>
      <c r="AZ97" s="7"/>
      <c r="BA97" s="7"/>
      <c r="BB97" s="7"/>
      <c r="BC97" s="7"/>
      <c r="BD97" s="55"/>
      <c r="BE97" s="55"/>
      <c r="BF97" s="7"/>
      <c r="BG97" s="7"/>
      <c r="BH97" s="7"/>
      <c r="BI97" s="7"/>
      <c r="BJ97" s="7"/>
      <c r="BK97" s="7"/>
      <c r="BL97" s="7"/>
      <c r="BM97" s="7"/>
      <c r="BN97" s="61"/>
      <c r="BO97" s="62"/>
      <c r="BP97" s="50"/>
      <c r="BQ97" s="20"/>
      <c r="BR97" s="7"/>
      <c r="BS97" s="7"/>
      <c r="BT97" s="7"/>
      <c r="BU97" s="7"/>
      <c r="BV97" s="55"/>
      <c r="BW97" s="7"/>
      <c r="BX97" s="55"/>
      <c r="BY97" s="7"/>
      <c r="BZ97" s="7"/>
      <c r="CA97" s="7"/>
      <c r="CB97" s="7"/>
      <c r="CC97" s="7"/>
      <c r="CD97" s="104"/>
      <c r="CE97" s="105"/>
      <c r="CF97" s="7"/>
      <c r="CG97" s="7"/>
      <c r="CH97" s="7"/>
      <c r="CI97" s="7"/>
      <c r="CJ97" s="7"/>
      <c r="CK97" s="7"/>
      <c r="CL97" s="7"/>
      <c r="CM97" s="7"/>
      <c r="CN97" s="7"/>
      <c r="CO97" s="7"/>
      <c r="CP97" s="55"/>
      <c r="CQ97" s="7"/>
      <c r="CR97" s="7"/>
      <c r="CS97" s="130"/>
      <c r="CT97" s="7"/>
      <c r="CU97" s="7"/>
      <c r="CV97" s="7"/>
      <c r="CW97" s="7"/>
      <c r="CX97" s="7"/>
      <c r="CY97" s="73"/>
      <c r="CZ97" s="7"/>
      <c r="DA97" s="7"/>
      <c r="DB97" s="7"/>
      <c r="DC97" s="48"/>
      <c r="DD97" s="7"/>
      <c r="DE97" s="7"/>
      <c r="DF97" s="7"/>
      <c r="DG97" s="7"/>
      <c r="DH97" s="7"/>
      <c r="DI97" s="7"/>
      <c r="DJ97" s="7"/>
      <c r="DK97" s="7"/>
      <c r="DL97" s="74"/>
      <c r="DM97" s="7"/>
      <c r="DN97" s="7"/>
      <c r="DO97" s="7"/>
      <c r="DP97" s="7"/>
      <c r="DQ97" s="58"/>
      <c r="DR97" s="7"/>
      <c r="DS97" s="7"/>
      <c r="DT97" s="7"/>
      <c r="DU97" s="73"/>
      <c r="DV97" s="73"/>
      <c r="DW97" s="7"/>
      <c r="DX97" s="7"/>
      <c r="DY97" s="7"/>
      <c r="DZ97" s="7"/>
      <c r="EA97" s="7"/>
      <c r="EB97" s="7"/>
      <c r="EC97" s="7"/>
      <c r="ED97" s="7"/>
      <c r="EE97" s="7"/>
      <c r="EF97" s="7"/>
      <c r="EG97" s="7"/>
      <c r="EH97" s="7"/>
      <c r="EI97" s="7"/>
      <c r="EJ97" s="7"/>
      <c r="EK97" s="7"/>
      <c r="EL97" s="7"/>
      <c r="EM97" s="7"/>
      <c r="EN97" s="19"/>
      <c r="EO97" s="7"/>
      <c r="EP97" s="7"/>
      <c r="EQ97" s="7"/>
      <c r="ER97" s="7"/>
      <c r="ES97" s="7"/>
      <c r="ET97" s="55"/>
      <c r="EU97" s="7"/>
      <c r="EV97" s="7"/>
      <c r="EW97" s="7"/>
      <c r="EX97" s="7"/>
      <c r="EY97" s="7"/>
      <c r="EZ97" s="7"/>
      <c r="FA97" s="7"/>
      <c r="FB97" s="7"/>
      <c r="FC97" s="55"/>
      <c r="FD97" s="55"/>
      <c r="FE97" s="55"/>
      <c r="FF97" s="7"/>
      <c r="FG97" s="7"/>
      <c r="FH97" s="7"/>
      <c r="FI97" s="7"/>
      <c r="FJ97" s="7"/>
      <c r="FK97" s="7"/>
      <c r="FL97" s="7"/>
      <c r="FM97" s="7"/>
      <c r="FN97" s="7"/>
      <c r="FO97" s="7"/>
      <c r="FP97" s="7"/>
      <c r="FQ97" s="7"/>
      <c r="FR97" s="7"/>
      <c r="FS97" s="77"/>
      <c r="FT97" s="30"/>
      <c r="FU97" s="7"/>
      <c r="FV97" s="55"/>
      <c r="FW97" s="55"/>
      <c r="FX97" s="7"/>
      <c r="FY97" s="7"/>
      <c r="FZ97" s="7"/>
      <c r="GA97" s="7"/>
      <c r="GB97" s="7"/>
      <c r="GC97" s="7"/>
      <c r="GD97" s="103"/>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29"/>
      <c r="IF97" s="7"/>
      <c r="IG97" s="7"/>
      <c r="IH97" s="7"/>
      <c r="II97" s="7"/>
      <c r="IJ97" s="7"/>
      <c r="IK97" s="7"/>
      <c r="IL97" s="7"/>
      <c r="IM97" s="7"/>
      <c r="IN97" s="7"/>
      <c r="IO97" s="7"/>
      <c r="IP97" s="7"/>
      <c r="IQ97" s="7"/>
      <c r="IR97" s="7"/>
      <c r="IS97" s="7"/>
      <c r="IT97" s="55"/>
      <c r="IU97" s="7"/>
      <c r="IV97" s="7"/>
    </row>
    <row r="98" spans="1:256" s="11" customFormat="1" ht="12.75" customHeight="1">
      <c r="A98" s="19"/>
      <c r="B98" s="19"/>
      <c r="C98" s="184" t="s">
        <v>4297</v>
      </c>
      <c r="D98" s="19"/>
      <c r="E98" s="7"/>
      <c r="F98" s="7"/>
      <c r="G98" s="7"/>
      <c r="H98" s="7"/>
      <c r="I98" s="8"/>
      <c r="J98" s="19" t="str">
        <f t="shared" ca="1" si="0"/>
        <v/>
      </c>
      <c r="K98" s="7"/>
      <c r="L98" s="7"/>
      <c r="M98" s="7"/>
      <c r="N98" s="7"/>
      <c r="O98" s="7"/>
      <c r="P98" s="19"/>
      <c r="Q98" s="29"/>
      <c r="R98" s="30"/>
      <c r="S98" s="7"/>
      <c r="T98" s="7"/>
      <c r="U98" s="31"/>
      <c r="V98" s="7"/>
      <c r="W98" s="7"/>
      <c r="X98" s="7"/>
      <c r="Y98" s="7"/>
      <c r="Z98" s="7"/>
      <c r="AA98" s="7"/>
      <c r="AB98" s="7"/>
      <c r="AC98" s="7"/>
      <c r="AD98" s="7"/>
      <c r="AE98" s="7"/>
      <c r="AF98" s="7"/>
      <c r="AG98" s="7"/>
      <c r="AH98" s="7"/>
      <c r="AI98" s="7"/>
      <c r="AJ98" s="122"/>
      <c r="AK98" s="41"/>
      <c r="AL98" s="52"/>
      <c r="AM98" s="20"/>
      <c r="AN98" s="20"/>
      <c r="AO98" s="20"/>
      <c r="AP98" s="20"/>
      <c r="AQ98" s="7"/>
      <c r="AR98" s="7"/>
      <c r="AS98" s="7"/>
      <c r="AT98" s="7"/>
      <c r="AU98" s="7"/>
      <c r="AV98" s="7"/>
      <c r="AW98" s="7"/>
      <c r="AX98" s="7"/>
      <c r="AY98" s="7"/>
      <c r="AZ98" s="7"/>
      <c r="BA98" s="7"/>
      <c r="BB98" s="7"/>
      <c r="BC98" s="7"/>
      <c r="BD98" s="55"/>
      <c r="BE98" s="55"/>
      <c r="BF98" s="7"/>
      <c r="BG98" s="7"/>
      <c r="BH98" s="7"/>
      <c r="BI98" s="7"/>
      <c r="BJ98" s="7"/>
      <c r="BK98" s="7"/>
      <c r="BL98" s="7"/>
      <c r="BM98" s="7"/>
      <c r="BN98" s="61"/>
      <c r="BO98" s="62"/>
      <c r="BP98" s="50"/>
      <c r="BQ98" s="20"/>
      <c r="BR98" s="7"/>
      <c r="BS98" s="7"/>
      <c r="BT98" s="7"/>
      <c r="BU98" s="7"/>
      <c r="BV98" s="55"/>
      <c r="BW98" s="7"/>
      <c r="BX98" s="55"/>
      <c r="BY98" s="7"/>
      <c r="BZ98" s="7"/>
      <c r="CA98" s="7"/>
      <c r="CB98" s="7"/>
      <c r="CC98" s="7"/>
      <c r="CD98" s="104"/>
      <c r="CE98" s="105"/>
      <c r="CF98" s="7"/>
      <c r="CG98" s="7"/>
      <c r="CH98" s="7"/>
      <c r="CI98" s="7"/>
      <c r="CJ98" s="7"/>
      <c r="CK98" s="7"/>
      <c r="CL98" s="7"/>
      <c r="CM98" s="7"/>
      <c r="CN98" s="7"/>
      <c r="CO98" s="7"/>
      <c r="CP98" s="55"/>
      <c r="CQ98" s="7"/>
      <c r="CR98" s="7"/>
      <c r="CS98" s="130"/>
      <c r="CT98" s="7"/>
      <c r="CU98" s="7"/>
      <c r="CV98" s="7"/>
      <c r="CW98" s="7"/>
      <c r="CX98" s="7"/>
      <c r="CY98" s="73"/>
      <c r="CZ98" s="7"/>
      <c r="DA98" s="7"/>
      <c r="DB98" s="7"/>
      <c r="DC98" s="48"/>
      <c r="DD98" s="7"/>
      <c r="DE98" s="7"/>
      <c r="DF98" s="7"/>
      <c r="DG98" s="7"/>
      <c r="DH98" s="7"/>
      <c r="DI98" s="7"/>
      <c r="DJ98" s="7"/>
      <c r="DK98" s="7"/>
      <c r="DL98" s="74"/>
      <c r="DM98" s="7"/>
      <c r="DN98" s="7"/>
      <c r="DO98" s="7"/>
      <c r="DP98" s="7"/>
      <c r="DQ98" s="58"/>
      <c r="DR98" s="7"/>
      <c r="DS98" s="7"/>
      <c r="DT98" s="7"/>
      <c r="DU98" s="73"/>
      <c r="DV98" s="73"/>
      <c r="DW98" s="7"/>
      <c r="DX98" s="7"/>
      <c r="DY98" s="7"/>
      <c r="DZ98" s="7"/>
      <c r="EA98" s="7"/>
      <c r="EB98" s="7"/>
      <c r="EC98" s="7"/>
      <c r="ED98" s="7"/>
      <c r="EE98" s="7"/>
      <c r="EF98" s="7"/>
      <c r="EG98" s="7"/>
      <c r="EH98" s="7"/>
      <c r="EI98" s="7"/>
      <c r="EJ98" s="7"/>
      <c r="EK98" s="7"/>
      <c r="EL98" s="7"/>
      <c r="EM98" s="7"/>
      <c r="EN98" s="19"/>
      <c r="EO98" s="7"/>
      <c r="EP98" s="7"/>
      <c r="EQ98" s="7"/>
      <c r="ER98" s="7"/>
      <c r="ES98" s="7"/>
      <c r="ET98" s="55"/>
      <c r="EU98" s="7"/>
      <c r="EV98" s="7"/>
      <c r="EW98" s="7"/>
      <c r="EX98" s="7"/>
      <c r="EY98" s="7"/>
      <c r="EZ98" s="7"/>
      <c r="FA98" s="7"/>
      <c r="FB98" s="7"/>
      <c r="FC98" s="55"/>
      <c r="FD98" s="55"/>
      <c r="FE98" s="55"/>
      <c r="FF98" s="7"/>
      <c r="FG98" s="7"/>
      <c r="FH98" s="7"/>
      <c r="FI98" s="7"/>
      <c r="FJ98" s="7"/>
      <c r="FK98" s="7"/>
      <c r="FL98" s="7"/>
      <c r="FM98" s="7"/>
      <c r="FN98" s="7"/>
      <c r="FO98" s="7"/>
      <c r="FP98" s="7"/>
      <c r="FQ98" s="7"/>
      <c r="FR98" s="7"/>
      <c r="FS98" s="77"/>
      <c r="FT98" s="30"/>
      <c r="FU98" s="7"/>
      <c r="FV98" s="55"/>
      <c r="FW98" s="55"/>
      <c r="FX98" s="7"/>
      <c r="FY98" s="7"/>
      <c r="FZ98" s="7"/>
      <c r="GA98" s="7"/>
      <c r="GB98" s="7"/>
      <c r="GC98" s="7"/>
      <c r="GD98" s="103"/>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29"/>
      <c r="IF98" s="7"/>
      <c r="IG98" s="7"/>
      <c r="IH98" s="7"/>
      <c r="II98" s="7"/>
      <c r="IJ98" s="7"/>
      <c r="IK98" s="7"/>
      <c r="IL98" s="7"/>
      <c r="IM98" s="7"/>
      <c r="IN98" s="7"/>
      <c r="IO98" s="7"/>
      <c r="IP98" s="7"/>
      <c r="IQ98" s="7"/>
      <c r="IR98" s="7"/>
      <c r="IS98" s="7"/>
      <c r="IT98" s="55"/>
      <c r="IU98" s="7"/>
      <c r="IV98" s="7"/>
    </row>
    <row r="99" spans="1:256" s="11" customFormat="1" ht="12.75" customHeight="1">
      <c r="A99" s="19"/>
      <c r="B99" s="19"/>
      <c r="C99" s="184" t="s">
        <v>4301</v>
      </c>
      <c r="D99" s="19"/>
      <c r="E99" s="7"/>
      <c r="F99" s="7"/>
      <c r="G99" s="7"/>
      <c r="H99" s="7"/>
      <c r="I99" s="8"/>
      <c r="J99" s="19" t="str">
        <f t="shared" ca="1" si="0"/>
        <v/>
      </c>
      <c r="K99" s="7"/>
      <c r="L99" s="7"/>
      <c r="M99" s="7"/>
      <c r="N99" s="7"/>
      <c r="O99" s="7"/>
      <c r="P99" s="19"/>
      <c r="Q99" s="29"/>
      <c r="R99" s="30"/>
      <c r="S99" s="7"/>
      <c r="T99" s="7"/>
      <c r="U99" s="31"/>
      <c r="V99" s="7"/>
      <c r="W99" s="7"/>
      <c r="X99" s="7"/>
      <c r="Y99" s="7"/>
      <c r="Z99" s="7"/>
      <c r="AA99" s="7"/>
      <c r="AB99" s="7"/>
      <c r="AC99" s="7"/>
      <c r="AD99" s="7"/>
      <c r="AE99" s="7"/>
      <c r="AF99" s="7"/>
      <c r="AG99" s="7"/>
      <c r="AH99" s="7"/>
      <c r="AI99" s="7"/>
      <c r="AJ99" s="122"/>
      <c r="AK99" s="41"/>
      <c r="AL99" s="52"/>
      <c r="AM99" s="20"/>
      <c r="AN99" s="20"/>
      <c r="AO99" s="20"/>
      <c r="AP99" s="20"/>
      <c r="AQ99" s="7"/>
      <c r="AR99" s="7"/>
      <c r="AS99" s="7"/>
      <c r="AT99" s="7"/>
      <c r="AU99" s="7"/>
      <c r="AV99" s="7"/>
      <c r="AW99" s="7"/>
      <c r="AX99" s="7"/>
      <c r="AY99" s="7"/>
      <c r="AZ99" s="7"/>
      <c r="BA99" s="7"/>
      <c r="BB99" s="7"/>
      <c r="BC99" s="7"/>
      <c r="BD99" s="55"/>
      <c r="BE99" s="55"/>
      <c r="BF99" s="7"/>
      <c r="BG99" s="7"/>
      <c r="BH99" s="7"/>
      <c r="BI99" s="7"/>
      <c r="BJ99" s="7"/>
      <c r="BK99" s="7"/>
      <c r="BL99" s="7"/>
      <c r="BM99" s="7"/>
      <c r="BN99" s="61"/>
      <c r="BO99" s="62"/>
      <c r="BP99" s="50"/>
      <c r="BQ99" s="20"/>
      <c r="BR99" s="7"/>
      <c r="BS99" s="7"/>
      <c r="BT99" s="7"/>
      <c r="BU99" s="7"/>
      <c r="BV99" s="55"/>
      <c r="BW99" s="7"/>
      <c r="BX99" s="55"/>
      <c r="BY99" s="7"/>
      <c r="BZ99" s="7"/>
      <c r="CA99" s="7"/>
      <c r="CB99" s="7"/>
      <c r="CC99" s="7"/>
      <c r="CD99" s="104"/>
      <c r="CE99" s="105"/>
      <c r="CF99" s="7"/>
      <c r="CG99" s="7"/>
      <c r="CH99" s="7"/>
      <c r="CI99" s="7"/>
      <c r="CJ99" s="7"/>
      <c r="CK99" s="7"/>
      <c r="CL99" s="7"/>
      <c r="CM99" s="7"/>
      <c r="CN99" s="7"/>
      <c r="CO99" s="7"/>
      <c r="CP99" s="55"/>
      <c r="CQ99" s="7"/>
      <c r="CR99" s="7"/>
      <c r="CS99" s="130"/>
      <c r="CT99" s="7"/>
      <c r="CU99" s="7"/>
      <c r="CV99" s="7"/>
      <c r="CW99" s="7"/>
      <c r="CX99" s="7"/>
      <c r="CY99" s="73"/>
      <c r="CZ99" s="7"/>
      <c r="DA99" s="7"/>
      <c r="DB99" s="7"/>
      <c r="DC99" s="48"/>
      <c r="DD99" s="7"/>
      <c r="DE99" s="7"/>
      <c r="DF99" s="7"/>
      <c r="DG99" s="7"/>
      <c r="DH99" s="7"/>
      <c r="DI99" s="7"/>
      <c r="DJ99" s="7"/>
      <c r="DK99" s="7"/>
      <c r="DL99" s="74"/>
      <c r="DM99" s="7"/>
      <c r="DN99" s="7"/>
      <c r="DO99" s="7"/>
      <c r="DP99" s="7"/>
      <c r="DQ99" s="58"/>
      <c r="DR99" s="7"/>
      <c r="DS99" s="7"/>
      <c r="DT99" s="7"/>
      <c r="DU99" s="73"/>
      <c r="DV99" s="73"/>
      <c r="DW99" s="7"/>
      <c r="DX99" s="7"/>
      <c r="DY99" s="7"/>
      <c r="DZ99" s="7"/>
      <c r="EA99" s="7"/>
      <c r="EB99" s="7"/>
      <c r="EC99" s="7"/>
      <c r="ED99" s="7"/>
      <c r="EE99" s="7"/>
      <c r="EF99" s="7"/>
      <c r="EG99" s="7"/>
      <c r="EH99" s="7"/>
      <c r="EI99" s="7"/>
      <c r="EJ99" s="7"/>
      <c r="EK99" s="7"/>
      <c r="EL99" s="7"/>
      <c r="EM99" s="7"/>
      <c r="EN99" s="19"/>
      <c r="EO99" s="7"/>
      <c r="EP99" s="7"/>
      <c r="EQ99" s="7"/>
      <c r="ER99" s="7"/>
      <c r="ES99" s="7"/>
      <c r="ET99" s="55"/>
      <c r="EU99" s="7"/>
      <c r="EV99" s="7"/>
      <c r="EW99" s="7"/>
      <c r="EX99" s="7"/>
      <c r="EY99" s="7"/>
      <c r="EZ99" s="7"/>
      <c r="FA99" s="7"/>
      <c r="FB99" s="7"/>
      <c r="FC99" s="55"/>
      <c r="FD99" s="55"/>
      <c r="FE99" s="55"/>
      <c r="FF99" s="7"/>
      <c r="FG99" s="7"/>
      <c r="FH99" s="7"/>
      <c r="FI99" s="7"/>
      <c r="FJ99" s="7"/>
      <c r="FK99" s="7"/>
      <c r="FL99" s="7"/>
      <c r="FM99" s="7"/>
      <c r="FN99" s="7"/>
      <c r="FO99" s="7"/>
      <c r="FP99" s="7"/>
      <c r="FQ99" s="7"/>
      <c r="FR99" s="7"/>
      <c r="FS99" s="77"/>
      <c r="FT99" s="30"/>
      <c r="FU99" s="7"/>
      <c r="FV99" s="55"/>
      <c r="FW99" s="55"/>
      <c r="FX99" s="7"/>
      <c r="FY99" s="7"/>
      <c r="FZ99" s="7"/>
      <c r="GA99" s="7"/>
      <c r="GB99" s="7"/>
      <c r="GC99" s="7"/>
      <c r="GD99" s="103"/>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29"/>
      <c r="IF99" s="7"/>
      <c r="IG99" s="7"/>
      <c r="IH99" s="7"/>
      <c r="II99" s="7"/>
      <c r="IJ99" s="7"/>
      <c r="IK99" s="7"/>
      <c r="IL99" s="7"/>
      <c r="IM99" s="7"/>
      <c r="IN99" s="7"/>
      <c r="IO99" s="7"/>
      <c r="IP99" s="7"/>
      <c r="IQ99" s="7"/>
      <c r="IR99" s="7"/>
      <c r="IS99" s="7"/>
      <c r="IT99" s="55"/>
      <c r="IU99" s="7"/>
      <c r="IV99" s="7"/>
    </row>
    <row r="100" spans="1:256" s="11" customFormat="1" ht="12.75" customHeight="1">
      <c r="A100" s="19"/>
      <c r="B100" s="19"/>
      <c r="C100" s="184"/>
      <c r="D100" s="19"/>
      <c r="E100" s="7"/>
      <c r="F100" s="7"/>
      <c r="G100" s="7"/>
      <c r="H100" s="7"/>
      <c r="I100" s="8"/>
      <c r="J100" s="19" t="str">
        <f t="shared" ca="1" si="0"/>
        <v/>
      </c>
      <c r="K100" s="7"/>
      <c r="L100" s="7"/>
      <c r="M100" s="7"/>
      <c r="N100" s="7"/>
      <c r="O100" s="7"/>
      <c r="P100" s="19"/>
      <c r="Q100" s="29"/>
      <c r="R100" s="30"/>
      <c r="S100" s="7"/>
      <c r="T100" s="7"/>
      <c r="U100" s="31"/>
      <c r="V100" s="7"/>
      <c r="W100" s="7"/>
      <c r="X100" s="7"/>
      <c r="Y100" s="7"/>
      <c r="Z100" s="7"/>
      <c r="AA100" s="7"/>
      <c r="AB100" s="7"/>
      <c r="AC100" s="7"/>
      <c r="AD100" s="7"/>
      <c r="AE100" s="7"/>
      <c r="AF100" s="7"/>
      <c r="AG100" s="7"/>
      <c r="AH100" s="7"/>
      <c r="AI100" s="7"/>
      <c r="AJ100" s="122"/>
      <c r="AK100" s="41"/>
      <c r="AL100" s="52"/>
      <c r="AM100" s="20"/>
      <c r="AN100" s="20"/>
      <c r="AO100" s="20"/>
      <c r="AP100" s="20"/>
      <c r="AQ100" s="7"/>
      <c r="AR100" s="7"/>
      <c r="AS100" s="7"/>
      <c r="AT100" s="7"/>
      <c r="AU100" s="7"/>
      <c r="AV100" s="7"/>
      <c r="AW100" s="7"/>
      <c r="AX100" s="7"/>
      <c r="AY100" s="7"/>
      <c r="AZ100" s="7"/>
      <c r="BA100" s="7"/>
      <c r="BB100" s="7"/>
      <c r="BC100" s="7"/>
      <c r="BD100" s="55"/>
      <c r="BE100" s="55"/>
      <c r="BF100" s="7"/>
      <c r="BG100" s="7"/>
      <c r="BH100" s="7"/>
      <c r="BI100" s="7"/>
      <c r="BJ100" s="7"/>
      <c r="BK100" s="7"/>
      <c r="BL100" s="7"/>
      <c r="BM100" s="7"/>
      <c r="BN100" s="61"/>
      <c r="BO100" s="62"/>
      <c r="BP100" s="50"/>
      <c r="BQ100" s="20"/>
      <c r="BR100" s="7"/>
      <c r="BS100" s="7"/>
      <c r="BT100" s="7"/>
      <c r="BU100" s="7"/>
      <c r="BV100" s="55"/>
      <c r="BW100" s="7"/>
      <c r="BX100" s="55"/>
      <c r="BY100" s="7"/>
      <c r="BZ100" s="7"/>
      <c r="CA100" s="7"/>
      <c r="CB100" s="7"/>
      <c r="CC100" s="7"/>
      <c r="CD100" s="104"/>
      <c r="CE100" s="105"/>
      <c r="CF100" s="7"/>
      <c r="CG100" s="7"/>
      <c r="CH100" s="7"/>
      <c r="CI100" s="7"/>
      <c r="CJ100" s="7"/>
      <c r="CK100" s="7"/>
      <c r="CL100" s="7"/>
      <c r="CM100" s="7"/>
      <c r="CN100" s="7"/>
      <c r="CO100" s="7"/>
      <c r="CP100" s="55"/>
      <c r="CQ100" s="7"/>
      <c r="CR100" s="7"/>
      <c r="CS100" s="130"/>
      <c r="CT100" s="7"/>
      <c r="CU100" s="7"/>
      <c r="CV100" s="7"/>
      <c r="CW100" s="7"/>
      <c r="CX100" s="7"/>
      <c r="CY100" s="73"/>
      <c r="CZ100" s="7"/>
      <c r="DA100" s="7"/>
      <c r="DB100" s="7"/>
      <c r="DC100" s="48"/>
      <c r="DD100" s="7"/>
      <c r="DE100" s="7"/>
      <c r="DF100" s="7"/>
      <c r="DG100" s="7"/>
      <c r="DH100" s="7"/>
      <c r="DI100" s="7"/>
      <c r="DJ100" s="7"/>
      <c r="DK100" s="7"/>
      <c r="DL100" s="74"/>
      <c r="DM100" s="7"/>
      <c r="DN100" s="7"/>
      <c r="DO100" s="7"/>
      <c r="DP100" s="7"/>
      <c r="DQ100" s="58"/>
      <c r="DR100" s="7"/>
      <c r="DS100" s="7"/>
      <c r="DT100" s="7"/>
      <c r="DU100" s="73"/>
      <c r="DV100" s="73"/>
      <c r="DW100" s="7"/>
      <c r="DX100" s="7"/>
      <c r="DY100" s="7"/>
      <c r="DZ100" s="7"/>
      <c r="EA100" s="7"/>
      <c r="EB100" s="7"/>
      <c r="EC100" s="7"/>
      <c r="ED100" s="7"/>
      <c r="EE100" s="7"/>
      <c r="EF100" s="7"/>
      <c r="EG100" s="7"/>
      <c r="EH100" s="7"/>
      <c r="EI100" s="7"/>
      <c r="EJ100" s="7"/>
      <c r="EK100" s="7"/>
      <c r="EL100" s="7"/>
      <c r="EM100" s="7"/>
      <c r="EN100" s="19"/>
      <c r="EO100" s="7"/>
      <c r="EP100" s="7"/>
      <c r="EQ100" s="7"/>
      <c r="ER100" s="7"/>
      <c r="ES100" s="7"/>
      <c r="ET100" s="55"/>
      <c r="EU100" s="7"/>
      <c r="EV100" s="7"/>
      <c r="EW100" s="7"/>
      <c r="EX100" s="7"/>
      <c r="EY100" s="7"/>
      <c r="EZ100" s="7"/>
      <c r="FA100" s="7"/>
      <c r="FB100" s="7"/>
      <c r="FC100" s="55"/>
      <c r="FD100" s="55"/>
      <c r="FE100" s="55"/>
      <c r="FF100" s="7"/>
      <c r="FG100" s="7"/>
      <c r="FH100" s="7"/>
      <c r="FI100" s="7"/>
      <c r="FJ100" s="7"/>
      <c r="FK100" s="7"/>
      <c r="FL100" s="7"/>
      <c r="FM100" s="7"/>
      <c r="FN100" s="7"/>
      <c r="FO100" s="7"/>
      <c r="FP100" s="7"/>
      <c r="FQ100" s="7"/>
      <c r="FR100" s="7"/>
      <c r="FS100" s="77"/>
      <c r="FT100" s="30"/>
      <c r="FU100" s="7"/>
      <c r="FV100" s="55"/>
      <c r="FW100" s="55"/>
      <c r="FX100" s="7"/>
      <c r="FY100" s="7"/>
      <c r="FZ100" s="7"/>
      <c r="GA100" s="7"/>
      <c r="GB100" s="7"/>
      <c r="GC100" s="7"/>
      <c r="GD100" s="103"/>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29"/>
      <c r="IF100" s="7"/>
      <c r="IG100" s="7"/>
      <c r="IH100" s="7"/>
      <c r="II100" s="7"/>
      <c r="IJ100" s="7"/>
      <c r="IK100" s="7"/>
      <c r="IL100" s="7"/>
      <c r="IM100" s="7"/>
      <c r="IN100" s="7"/>
      <c r="IO100" s="7"/>
      <c r="IP100" s="7"/>
      <c r="IQ100" s="7"/>
      <c r="IR100" s="7"/>
      <c r="IS100" s="7"/>
      <c r="IT100" s="55"/>
      <c r="IU100" s="7"/>
      <c r="IV100" s="7"/>
    </row>
    <row r="101" spans="1:256" s="11" customFormat="1" ht="12.75" customHeight="1">
      <c r="A101" s="19"/>
      <c r="B101" s="19"/>
      <c r="C101" s="184" t="s">
        <v>4353</v>
      </c>
      <c r="D101" s="19"/>
      <c r="E101" s="7"/>
      <c r="F101" s="7"/>
      <c r="G101" s="7"/>
      <c r="H101" s="7"/>
      <c r="I101" s="8"/>
      <c r="J101" s="19" t="str">
        <f t="shared" ca="1" si="0"/>
        <v/>
      </c>
      <c r="K101" s="7"/>
      <c r="L101" s="7"/>
      <c r="M101" s="7"/>
      <c r="N101" s="7"/>
      <c r="O101" s="7"/>
      <c r="P101" s="19"/>
      <c r="Q101" s="29"/>
      <c r="R101" s="30"/>
      <c r="S101" s="7"/>
      <c r="T101" s="7"/>
      <c r="U101" s="31"/>
      <c r="V101" s="7"/>
      <c r="W101" s="7"/>
      <c r="X101" s="7"/>
      <c r="Y101" s="7"/>
      <c r="Z101" s="7"/>
      <c r="AA101" s="7"/>
      <c r="AB101" s="7"/>
      <c r="AC101" s="7"/>
      <c r="AD101" s="7"/>
      <c r="AE101" s="7"/>
      <c r="AF101" s="7"/>
      <c r="AG101" s="7"/>
      <c r="AH101" s="7"/>
      <c r="AI101" s="7"/>
      <c r="AJ101" s="122"/>
      <c r="AK101" s="41"/>
      <c r="AL101" s="52"/>
      <c r="AM101" s="20"/>
      <c r="AN101" s="20"/>
      <c r="AO101" s="20"/>
      <c r="AP101" s="20"/>
      <c r="AQ101" s="7"/>
      <c r="AR101" s="7"/>
      <c r="AS101" s="7"/>
      <c r="AT101" s="7"/>
      <c r="AU101" s="7"/>
      <c r="AV101" s="7"/>
      <c r="AW101" s="7"/>
      <c r="AX101" s="7"/>
      <c r="AY101" s="7"/>
      <c r="AZ101" s="7"/>
      <c r="BA101" s="7"/>
      <c r="BB101" s="7"/>
      <c r="BC101" s="7"/>
      <c r="BD101" s="55"/>
      <c r="BE101" s="55"/>
      <c r="BF101" s="7"/>
      <c r="BG101" s="7"/>
      <c r="BH101" s="7"/>
      <c r="BI101" s="7"/>
      <c r="BJ101" s="7"/>
      <c r="BK101" s="7"/>
      <c r="BL101" s="7"/>
      <c r="BM101" s="7"/>
      <c r="BN101" s="61"/>
      <c r="BO101" s="62"/>
      <c r="BP101" s="50"/>
      <c r="BQ101" s="20"/>
      <c r="BR101" s="7"/>
      <c r="BS101" s="7"/>
      <c r="BT101" s="7"/>
      <c r="BU101" s="7"/>
      <c r="BV101" s="55"/>
      <c r="BW101" s="7"/>
      <c r="BX101" s="55"/>
      <c r="BY101" s="7"/>
      <c r="BZ101" s="7"/>
      <c r="CA101" s="7"/>
      <c r="CB101" s="7"/>
      <c r="CC101" s="7"/>
      <c r="CD101" s="104"/>
      <c r="CE101" s="105"/>
      <c r="CF101" s="7"/>
      <c r="CG101" s="7"/>
      <c r="CH101" s="7"/>
      <c r="CI101" s="7"/>
      <c r="CJ101" s="7"/>
      <c r="CK101" s="7"/>
      <c r="CL101" s="7"/>
      <c r="CM101" s="7"/>
      <c r="CN101" s="7"/>
      <c r="CO101" s="7"/>
      <c r="CP101" s="55"/>
      <c r="CQ101" s="7"/>
      <c r="CR101" s="7"/>
      <c r="CS101" s="130"/>
      <c r="CT101" s="7"/>
      <c r="CU101" s="7"/>
      <c r="CV101" s="7"/>
      <c r="CW101" s="7"/>
      <c r="CX101" s="7"/>
      <c r="CY101" s="73"/>
      <c r="CZ101" s="7"/>
      <c r="DA101" s="7"/>
      <c r="DB101" s="7"/>
      <c r="DC101" s="48"/>
      <c r="DD101" s="7"/>
      <c r="DE101" s="7"/>
      <c r="DF101" s="7"/>
      <c r="DG101" s="7"/>
      <c r="DH101" s="7"/>
      <c r="DI101" s="7"/>
      <c r="DJ101" s="7"/>
      <c r="DK101" s="7"/>
      <c r="DL101" s="74"/>
      <c r="DM101" s="7"/>
      <c r="DN101" s="7"/>
      <c r="DO101" s="7"/>
      <c r="DP101" s="7"/>
      <c r="DQ101" s="58"/>
      <c r="DR101" s="7"/>
      <c r="DS101" s="7"/>
      <c r="DT101" s="7"/>
      <c r="DU101" s="73"/>
      <c r="DV101" s="73"/>
      <c r="DW101" s="7"/>
      <c r="DX101" s="7"/>
      <c r="DY101" s="7"/>
      <c r="DZ101" s="7"/>
      <c r="EA101" s="7"/>
      <c r="EB101" s="7"/>
      <c r="EC101" s="7"/>
      <c r="ED101" s="7"/>
      <c r="EE101" s="7"/>
      <c r="EF101" s="7"/>
      <c r="EG101" s="7"/>
      <c r="EH101" s="7"/>
      <c r="EI101" s="7"/>
      <c r="EJ101" s="7"/>
      <c r="EK101" s="7"/>
      <c r="EL101" s="7"/>
      <c r="EM101" s="7"/>
      <c r="EN101" s="19"/>
      <c r="EO101" s="7"/>
      <c r="EP101" s="7"/>
      <c r="EQ101" s="7"/>
      <c r="ER101" s="7"/>
      <c r="ES101" s="7"/>
      <c r="ET101" s="55"/>
      <c r="EU101" s="7"/>
      <c r="EV101" s="7"/>
      <c r="EW101" s="7"/>
      <c r="EX101" s="7"/>
      <c r="EY101" s="7"/>
      <c r="EZ101" s="7"/>
      <c r="FA101" s="7"/>
      <c r="FB101" s="7"/>
      <c r="FC101" s="55"/>
      <c r="FD101" s="55"/>
      <c r="FE101" s="55"/>
      <c r="FF101" s="7"/>
      <c r="FG101" s="7"/>
      <c r="FH101" s="7"/>
      <c r="FI101" s="7"/>
      <c r="FJ101" s="7"/>
      <c r="FK101" s="7"/>
      <c r="FL101" s="7"/>
      <c r="FM101" s="7"/>
      <c r="FN101" s="7"/>
      <c r="FO101" s="7"/>
      <c r="FP101" s="7"/>
      <c r="FQ101" s="7"/>
      <c r="FR101" s="7"/>
      <c r="FS101" s="77"/>
      <c r="FT101" s="30"/>
      <c r="FU101" s="7"/>
      <c r="FV101" s="55"/>
      <c r="FW101" s="55"/>
      <c r="FX101" s="7"/>
      <c r="FY101" s="7"/>
      <c r="FZ101" s="7"/>
      <c r="GA101" s="7"/>
      <c r="GB101" s="7"/>
      <c r="GC101" s="7"/>
      <c r="GD101" s="103"/>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29"/>
      <c r="IF101" s="7"/>
      <c r="IG101" s="7"/>
      <c r="IH101" s="7"/>
      <c r="II101" s="7"/>
      <c r="IJ101" s="7"/>
      <c r="IK101" s="7"/>
      <c r="IL101" s="7"/>
      <c r="IM101" s="7"/>
      <c r="IN101" s="7"/>
      <c r="IO101" s="7"/>
      <c r="IP101" s="7"/>
      <c r="IQ101" s="7"/>
      <c r="IR101" s="7"/>
      <c r="IS101" s="7"/>
      <c r="IT101" s="55"/>
      <c r="IU101" s="7"/>
      <c r="IV101" s="7"/>
    </row>
    <row r="102" spans="1:256" s="11" customFormat="1" ht="12.75" customHeight="1">
      <c r="A102" s="19"/>
      <c r="B102" s="19"/>
      <c r="C102" s="184" t="s">
        <v>1352</v>
      </c>
      <c r="D102" s="19"/>
      <c r="E102" s="7"/>
      <c r="F102" s="7"/>
      <c r="G102" s="7"/>
      <c r="H102" s="7"/>
      <c r="I102" s="8"/>
      <c r="J102" s="19" t="str">
        <f t="shared" ca="1" si="0"/>
        <v/>
      </c>
      <c r="K102" s="7"/>
      <c r="L102" s="7"/>
      <c r="M102" s="7"/>
      <c r="N102" s="7"/>
      <c r="O102" s="7"/>
      <c r="P102" s="19"/>
      <c r="Q102" s="29"/>
      <c r="R102" s="30"/>
      <c r="S102" s="7"/>
      <c r="T102" s="7"/>
      <c r="U102" s="31"/>
      <c r="V102" s="7"/>
      <c r="W102" s="7"/>
      <c r="X102" s="7"/>
      <c r="Y102" s="7"/>
      <c r="Z102" s="7"/>
      <c r="AA102" s="7"/>
      <c r="AB102" s="7"/>
      <c r="AC102" s="7"/>
      <c r="AD102" s="7"/>
      <c r="AE102" s="7"/>
      <c r="AF102" s="7"/>
      <c r="AG102" s="7"/>
      <c r="AH102" s="7"/>
      <c r="AI102" s="7"/>
      <c r="AJ102" s="122"/>
      <c r="AK102" s="41"/>
      <c r="AL102" s="52"/>
      <c r="AM102" s="20"/>
      <c r="AN102" s="20"/>
      <c r="AO102" s="20"/>
      <c r="AP102" s="20"/>
      <c r="AQ102" s="7"/>
      <c r="AR102" s="7"/>
      <c r="AS102" s="7"/>
      <c r="AT102" s="7"/>
      <c r="AU102" s="7"/>
      <c r="AV102" s="7"/>
      <c r="AW102" s="7"/>
      <c r="AX102" s="7"/>
      <c r="AY102" s="7"/>
      <c r="AZ102" s="7"/>
      <c r="BA102" s="7"/>
      <c r="BB102" s="7"/>
      <c r="BC102" s="7"/>
      <c r="BD102" s="55"/>
      <c r="BE102" s="55"/>
      <c r="BF102" s="7"/>
      <c r="BG102" s="7"/>
      <c r="BH102" s="7"/>
      <c r="BI102" s="7"/>
      <c r="BJ102" s="7"/>
      <c r="BK102" s="7"/>
      <c r="BL102" s="7"/>
      <c r="BM102" s="7"/>
      <c r="BN102" s="61"/>
      <c r="BO102" s="62"/>
      <c r="BP102" s="50"/>
      <c r="BQ102" s="20"/>
      <c r="BR102" s="7"/>
      <c r="BS102" s="7"/>
      <c r="BT102" s="7"/>
      <c r="BU102" s="7"/>
      <c r="BV102" s="55"/>
      <c r="BW102" s="7"/>
      <c r="BX102" s="55"/>
      <c r="BY102" s="7"/>
      <c r="BZ102" s="7"/>
      <c r="CA102" s="7"/>
      <c r="CB102" s="7"/>
      <c r="CC102" s="7"/>
      <c r="CD102" s="104"/>
      <c r="CE102" s="105"/>
      <c r="CF102" s="7"/>
      <c r="CG102" s="7"/>
      <c r="CH102" s="7"/>
      <c r="CI102" s="7"/>
      <c r="CJ102" s="7"/>
      <c r="CK102" s="7"/>
      <c r="CL102" s="7"/>
      <c r="CM102" s="7"/>
      <c r="CN102" s="7"/>
      <c r="CO102" s="7"/>
      <c r="CP102" s="55"/>
      <c r="CQ102" s="7"/>
      <c r="CR102" s="7"/>
      <c r="CS102" s="130"/>
      <c r="CT102" s="7"/>
      <c r="CU102" s="7"/>
      <c r="CV102" s="7"/>
      <c r="CW102" s="7"/>
      <c r="CX102" s="7"/>
      <c r="CY102" s="73"/>
      <c r="CZ102" s="7"/>
      <c r="DA102" s="7"/>
      <c r="DB102" s="7"/>
      <c r="DC102" s="48"/>
      <c r="DD102" s="7"/>
      <c r="DE102" s="7"/>
      <c r="DF102" s="7"/>
      <c r="DG102" s="7"/>
      <c r="DH102" s="7"/>
      <c r="DI102" s="7"/>
      <c r="DJ102" s="7"/>
      <c r="DK102" s="7"/>
      <c r="DL102" s="74"/>
      <c r="DM102" s="7"/>
      <c r="DN102" s="7"/>
      <c r="DO102" s="7"/>
      <c r="DP102" s="7"/>
      <c r="DQ102" s="58"/>
      <c r="DR102" s="7"/>
      <c r="DS102" s="7"/>
      <c r="DT102" s="7"/>
      <c r="DU102" s="73"/>
      <c r="DV102" s="73"/>
      <c r="DW102" s="7"/>
      <c r="DX102" s="7"/>
      <c r="DY102" s="7"/>
      <c r="DZ102" s="7"/>
      <c r="EA102" s="7"/>
      <c r="EB102" s="7"/>
      <c r="EC102" s="7"/>
      <c r="ED102" s="7"/>
      <c r="EE102" s="7"/>
      <c r="EF102" s="7"/>
      <c r="EG102" s="7"/>
      <c r="EH102" s="7"/>
      <c r="EI102" s="7"/>
      <c r="EJ102" s="7"/>
      <c r="EK102" s="7"/>
      <c r="EL102" s="7"/>
      <c r="EM102" s="7"/>
      <c r="EN102" s="19"/>
      <c r="EO102" s="7"/>
      <c r="EP102" s="7"/>
      <c r="EQ102" s="7"/>
      <c r="ER102" s="7"/>
      <c r="ES102" s="7"/>
      <c r="ET102" s="55"/>
      <c r="EU102" s="7"/>
      <c r="EV102" s="7"/>
      <c r="EW102" s="7"/>
      <c r="EX102" s="7"/>
      <c r="EY102" s="7"/>
      <c r="EZ102" s="7"/>
      <c r="FA102" s="7"/>
      <c r="FB102" s="7"/>
      <c r="FC102" s="55"/>
      <c r="FD102" s="55"/>
      <c r="FE102" s="55"/>
      <c r="FF102" s="7"/>
      <c r="FG102" s="7"/>
      <c r="FH102" s="7"/>
      <c r="FI102" s="7"/>
      <c r="FJ102" s="7"/>
      <c r="FK102" s="7"/>
      <c r="FL102" s="7"/>
      <c r="FM102" s="7"/>
      <c r="FN102" s="7"/>
      <c r="FO102" s="7"/>
      <c r="FP102" s="7"/>
      <c r="FQ102" s="7"/>
      <c r="FR102" s="7"/>
      <c r="FS102" s="77"/>
      <c r="FT102" s="30"/>
      <c r="FU102" s="7"/>
      <c r="FV102" s="55"/>
      <c r="FW102" s="55"/>
      <c r="FX102" s="7"/>
      <c r="FY102" s="7"/>
      <c r="FZ102" s="7"/>
      <c r="GA102" s="7"/>
      <c r="GB102" s="7"/>
      <c r="GC102" s="7"/>
      <c r="GD102" s="103"/>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29"/>
      <c r="IF102" s="7"/>
      <c r="IG102" s="7"/>
      <c r="IH102" s="7"/>
      <c r="II102" s="7"/>
      <c r="IJ102" s="7"/>
      <c r="IK102" s="7"/>
      <c r="IL102" s="7"/>
      <c r="IM102" s="7"/>
      <c r="IN102" s="7"/>
      <c r="IO102" s="7"/>
      <c r="IP102" s="7"/>
      <c r="IQ102" s="7"/>
      <c r="IR102" s="7"/>
      <c r="IS102" s="7"/>
      <c r="IT102" s="55"/>
      <c r="IU102" s="7"/>
      <c r="IV102" s="7"/>
    </row>
    <row r="103" spans="1:256" s="11" customFormat="1" ht="12.75" customHeight="1">
      <c r="A103" s="19"/>
      <c r="B103" s="19"/>
      <c r="C103" s="184" t="s">
        <v>5324</v>
      </c>
      <c r="D103" s="19"/>
      <c r="E103" s="7"/>
      <c r="F103" s="7"/>
      <c r="G103" s="7"/>
      <c r="H103" s="7"/>
      <c r="I103" s="8"/>
      <c r="J103" s="19" t="str">
        <f t="shared" ca="1" si="0"/>
        <v/>
      </c>
      <c r="K103" s="7"/>
      <c r="L103" s="7"/>
      <c r="M103" s="7"/>
      <c r="N103" s="7"/>
      <c r="O103" s="7"/>
      <c r="P103" s="19"/>
      <c r="Q103" s="29"/>
      <c r="R103" s="30"/>
      <c r="S103" s="7"/>
      <c r="T103" s="7"/>
      <c r="U103" s="31"/>
      <c r="V103" s="7"/>
      <c r="W103" s="7"/>
      <c r="X103" s="7"/>
      <c r="Y103" s="7"/>
      <c r="Z103" s="7"/>
      <c r="AA103" s="7"/>
      <c r="AB103" s="7"/>
      <c r="AC103" s="7"/>
      <c r="AD103" s="7"/>
      <c r="AE103" s="7"/>
      <c r="AF103" s="7"/>
      <c r="AG103" s="7"/>
      <c r="AH103" s="7"/>
      <c r="AI103" s="7"/>
      <c r="AJ103" s="122"/>
      <c r="AK103" s="41"/>
      <c r="AL103" s="52"/>
      <c r="AM103" s="20"/>
      <c r="AN103" s="20"/>
      <c r="AO103" s="20"/>
      <c r="AP103" s="20"/>
      <c r="AQ103" s="7"/>
      <c r="AR103" s="7"/>
      <c r="AS103" s="7"/>
      <c r="AT103" s="7"/>
      <c r="AU103" s="7"/>
      <c r="AV103" s="7"/>
      <c r="AW103" s="7"/>
      <c r="AX103" s="7"/>
      <c r="AY103" s="7"/>
      <c r="AZ103" s="7"/>
      <c r="BA103" s="7"/>
      <c r="BB103" s="7"/>
      <c r="BC103" s="7"/>
      <c r="BD103" s="55"/>
      <c r="BE103" s="55"/>
      <c r="BF103" s="7"/>
      <c r="BG103" s="7"/>
      <c r="BH103" s="7"/>
      <c r="BI103" s="7"/>
      <c r="BJ103" s="7"/>
      <c r="BK103" s="7"/>
      <c r="BL103" s="7"/>
      <c r="BM103" s="7"/>
      <c r="BN103" s="61"/>
      <c r="BO103" s="62"/>
      <c r="BP103" s="50"/>
      <c r="BQ103" s="20"/>
      <c r="BR103" s="7"/>
      <c r="BS103" s="7"/>
      <c r="BT103" s="7"/>
      <c r="BU103" s="7"/>
      <c r="BV103" s="55"/>
      <c r="BW103" s="7"/>
      <c r="BX103" s="55"/>
      <c r="BY103" s="7"/>
      <c r="BZ103" s="7"/>
      <c r="CA103" s="7"/>
      <c r="CB103" s="7"/>
      <c r="CC103" s="7"/>
      <c r="CD103" s="104"/>
      <c r="CE103" s="105"/>
      <c r="CF103" s="7"/>
      <c r="CG103" s="7"/>
      <c r="CH103" s="7"/>
      <c r="CI103" s="7"/>
      <c r="CJ103" s="7"/>
      <c r="CK103" s="7"/>
      <c r="CL103" s="7"/>
      <c r="CM103" s="7"/>
      <c r="CN103" s="7"/>
      <c r="CO103" s="7"/>
      <c r="CP103" s="55"/>
      <c r="CQ103" s="7"/>
      <c r="CR103" s="7"/>
      <c r="CS103" s="130"/>
      <c r="CT103" s="7"/>
      <c r="CU103" s="7"/>
      <c r="CV103" s="7"/>
      <c r="CW103" s="7"/>
      <c r="CX103" s="7"/>
      <c r="CY103" s="73"/>
      <c r="CZ103" s="7"/>
      <c r="DA103" s="7"/>
      <c r="DB103" s="7"/>
      <c r="DC103" s="48"/>
      <c r="DD103" s="7"/>
      <c r="DE103" s="7"/>
      <c r="DF103" s="7"/>
      <c r="DG103" s="7"/>
      <c r="DH103" s="7"/>
      <c r="DI103" s="7"/>
      <c r="DJ103" s="7"/>
      <c r="DK103" s="7"/>
      <c r="DL103" s="74"/>
      <c r="DM103" s="7"/>
      <c r="DN103" s="7"/>
      <c r="DO103" s="7"/>
      <c r="DP103" s="7"/>
      <c r="DQ103" s="58"/>
      <c r="DR103" s="7"/>
      <c r="DS103" s="7"/>
      <c r="DT103" s="7"/>
      <c r="DU103" s="73"/>
      <c r="DV103" s="73"/>
      <c r="DW103" s="7"/>
      <c r="DX103" s="7"/>
      <c r="DY103" s="7"/>
      <c r="DZ103" s="7"/>
      <c r="EA103" s="7"/>
      <c r="EB103" s="7"/>
      <c r="EC103" s="7"/>
      <c r="ED103" s="7"/>
      <c r="EE103" s="7"/>
      <c r="EF103" s="7"/>
      <c r="EG103" s="7"/>
      <c r="EH103" s="7"/>
      <c r="EI103" s="7"/>
      <c r="EJ103" s="7"/>
      <c r="EK103" s="7"/>
      <c r="EL103" s="7"/>
      <c r="EM103" s="7"/>
      <c r="EN103" s="19"/>
      <c r="EO103" s="7"/>
      <c r="EP103" s="7"/>
      <c r="EQ103" s="7"/>
      <c r="ER103" s="7"/>
      <c r="ES103" s="7"/>
      <c r="ET103" s="55"/>
      <c r="EU103" s="7"/>
      <c r="EV103" s="7"/>
      <c r="EW103" s="7"/>
      <c r="EX103" s="7"/>
      <c r="EY103" s="7"/>
      <c r="EZ103" s="7"/>
      <c r="FA103" s="7"/>
      <c r="FB103" s="7"/>
      <c r="FC103" s="55"/>
      <c r="FD103" s="55"/>
      <c r="FE103" s="55"/>
      <c r="FF103" s="7"/>
      <c r="FG103" s="7"/>
      <c r="FH103" s="7"/>
      <c r="FI103" s="7"/>
      <c r="FJ103" s="7"/>
      <c r="FK103" s="7"/>
      <c r="FL103" s="7"/>
      <c r="FM103" s="7"/>
      <c r="FN103" s="7"/>
      <c r="FO103" s="7"/>
      <c r="FP103" s="7"/>
      <c r="FQ103" s="7"/>
      <c r="FR103" s="7"/>
      <c r="FS103" s="77"/>
      <c r="FT103" s="30"/>
      <c r="FU103" s="7"/>
      <c r="FV103" s="55"/>
      <c r="FW103" s="55"/>
      <c r="FX103" s="7"/>
      <c r="FY103" s="7"/>
      <c r="FZ103" s="7"/>
      <c r="GA103" s="7"/>
      <c r="GB103" s="7"/>
      <c r="GC103" s="7"/>
      <c r="GD103" s="103"/>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29"/>
      <c r="IF103" s="7"/>
      <c r="IG103" s="7"/>
      <c r="IH103" s="7"/>
      <c r="II103" s="7"/>
      <c r="IJ103" s="7"/>
      <c r="IK103" s="7"/>
      <c r="IL103" s="7"/>
      <c r="IM103" s="7"/>
      <c r="IN103" s="7"/>
      <c r="IO103" s="7"/>
      <c r="IP103" s="7"/>
      <c r="IQ103" s="7"/>
      <c r="IR103" s="7"/>
      <c r="IS103" s="7"/>
      <c r="IT103" s="55"/>
      <c r="IU103" s="7"/>
      <c r="IV103" s="7"/>
    </row>
    <row r="104" spans="1:256" s="136" customFormat="1" ht="13.5" customHeight="1" thickBot="1">
      <c r="C104" s="185">
        <f>COUNTA(SurveyDATA!#REF!)</f>
        <v>1</v>
      </c>
      <c r="D104" s="146">
        <f>COUNTA(SurveyDATA!#REF!)</f>
        <v>1</v>
      </c>
      <c r="E104" s="146">
        <f>COUNTA(SurveyDATA!#REF!)</f>
        <v>1</v>
      </c>
      <c r="F104" s="146">
        <f>COUNTA(SurveyDATA!#REF!)</f>
        <v>1</v>
      </c>
      <c r="G104" s="146">
        <f>COUNTA(SurveyDATA!#REF!)</f>
        <v>1</v>
      </c>
      <c r="H104" s="146">
        <f>COUNTA(SurveyDATA!#REF!)</f>
        <v>1</v>
      </c>
      <c r="I104" s="146">
        <f>COUNTA(SurveyDATA!#REF!)</f>
        <v>1</v>
      </c>
      <c r="J104" s="146">
        <f>COUNTA(SurveyDATA!#REF!)</f>
        <v>1</v>
      </c>
      <c r="K104" s="146">
        <f>COUNTA(SurveyDATA!#REF!)</f>
        <v>1</v>
      </c>
      <c r="L104" s="146">
        <f>COUNTA(SurveyDATA!#REF!)</f>
        <v>1</v>
      </c>
      <c r="M104" s="146">
        <f>COUNTA(SurveyDATA!#REF!)</f>
        <v>1</v>
      </c>
      <c r="N104" s="146">
        <f>COUNTA(SurveyDATA!#REF!)</f>
        <v>1</v>
      </c>
      <c r="O104" s="146">
        <f>COUNTA(SurveyDATA!#REF!)</f>
        <v>1</v>
      </c>
      <c r="P104" s="146">
        <f>COUNTA(SurveyDATA!#REF!)</f>
        <v>1</v>
      </c>
      <c r="Q104" s="146">
        <f>COUNTA(SurveyDATA!Q97:Q100)</f>
        <v>2</v>
      </c>
      <c r="R104" s="146">
        <f>COUNTA(SurveyDATA!R97:R100)</f>
        <v>2</v>
      </c>
      <c r="S104" s="146">
        <f>COUNTA(SurveyDATA!S97:S100)</f>
        <v>2</v>
      </c>
      <c r="T104" s="146">
        <f>COUNTA(SurveyDATA!T97:T100)</f>
        <v>0</v>
      </c>
      <c r="U104" s="146">
        <f>COUNTA(SurveyDATA!U97:U100)</f>
        <v>2</v>
      </c>
      <c r="V104" s="146">
        <f>COUNTA(SurveyDATA!V97:V100)</f>
        <v>2</v>
      </c>
      <c r="W104" s="146">
        <f>COUNTA(SurveyDATA!#REF!)</f>
        <v>1</v>
      </c>
      <c r="X104" s="146">
        <f>COUNTA(SurveyDATA!#REF!)</f>
        <v>1</v>
      </c>
      <c r="Y104" s="146">
        <f>COUNTA(SurveyDATA!#REF!)</f>
        <v>1</v>
      </c>
      <c r="Z104" s="146">
        <f>COUNTA(SurveyDATA!#REF!)</f>
        <v>1</v>
      </c>
      <c r="AA104" s="146">
        <f>COUNTA(SurveyDATA!#REF!)</f>
        <v>1</v>
      </c>
      <c r="AB104" s="146">
        <f>COUNTA(SurveyDATA!#REF!)</f>
        <v>1</v>
      </c>
      <c r="AC104" s="146">
        <f>COUNTA(SurveyDATA!#REF!)</f>
        <v>1</v>
      </c>
      <c r="AD104" s="146">
        <f>COUNTA(SurveyDATA!#REF!)</f>
        <v>1</v>
      </c>
      <c r="AE104" s="146">
        <f>COUNTA(SurveyDATA!#REF!)</f>
        <v>1</v>
      </c>
      <c r="AF104" s="146">
        <f>COUNTA(SurveyDATA!#REF!)</f>
        <v>1</v>
      </c>
      <c r="AG104" s="146">
        <f>COUNTA(SurveyDATA!#REF!)</f>
        <v>1</v>
      </c>
      <c r="AH104" s="146">
        <f>COUNTA(SurveyDATA!#REF!)</f>
        <v>1</v>
      </c>
      <c r="AI104" s="146">
        <f>COUNTA(SurveyDATA!#REF!)</f>
        <v>1</v>
      </c>
      <c r="AJ104" s="146">
        <f>COUNTA(SurveyDATA!#REF!)</f>
        <v>1</v>
      </c>
      <c r="AK104" s="146">
        <f>COUNTA(SurveyDATA!#REF!)</f>
        <v>1</v>
      </c>
      <c r="AL104" s="146">
        <f>COUNTA(SurveyDATA!#REF!)</f>
        <v>1</v>
      </c>
      <c r="AM104" s="146">
        <f>COUNTA(SurveyDATA!#REF!)</f>
        <v>1</v>
      </c>
      <c r="AN104" s="146">
        <f>COUNTA(SurveyDATA!#REF!)</f>
        <v>1</v>
      </c>
      <c r="AO104" s="146">
        <f>COUNTA(SurveyDATA!#REF!)</f>
        <v>1</v>
      </c>
      <c r="AP104" s="146">
        <f>COUNTA(SurveyDATA!#REF!)</f>
        <v>1</v>
      </c>
      <c r="AQ104" s="146">
        <f>COUNTA(SurveyDATA!#REF!)</f>
        <v>1</v>
      </c>
      <c r="AR104" s="146">
        <f>COUNTA(SurveyDATA!#REF!)</f>
        <v>1</v>
      </c>
      <c r="AS104" s="146">
        <f>COUNTA(SurveyDATA!#REF!)</f>
        <v>1</v>
      </c>
      <c r="AT104" s="146">
        <f>COUNTA(SurveyDATA!#REF!)</f>
        <v>1</v>
      </c>
      <c r="AU104" s="146">
        <f>COUNTA(SurveyDATA!#REF!)</f>
        <v>1</v>
      </c>
      <c r="AV104" s="245">
        <f>COUNTA(SurveyDATA!#REF!)</f>
        <v>1</v>
      </c>
      <c r="AW104" s="146">
        <f>COUNTA(SurveyDATA!#REF!)</f>
        <v>1</v>
      </c>
      <c r="AX104" s="146">
        <f>COUNTA(SurveyDATA!#REF!)</f>
        <v>1</v>
      </c>
      <c r="AY104" s="146">
        <f>COUNTA(SurveyDATA!#REF!)</f>
        <v>1</v>
      </c>
      <c r="AZ104" s="146">
        <f>COUNTA(SurveyDATA!#REF!)</f>
        <v>1</v>
      </c>
      <c r="BA104" s="146">
        <f>COUNTA(SurveyDATA!#REF!)</f>
        <v>1</v>
      </c>
      <c r="BB104" s="146">
        <f>COUNTA(SurveyDATA!#REF!)</f>
        <v>1</v>
      </c>
      <c r="BC104" s="146">
        <f>COUNTA(SurveyDATA!#REF!)</f>
        <v>1</v>
      </c>
      <c r="BD104" s="146">
        <f>COUNTA(SurveyDATA!#REF!)</f>
        <v>1</v>
      </c>
      <c r="BE104" s="146">
        <f>COUNTA(SurveyDATA!#REF!)</f>
        <v>1</v>
      </c>
      <c r="BF104" s="146">
        <f>COUNTA(SurveyDATA!#REF!)</f>
        <v>1</v>
      </c>
      <c r="BG104" s="146">
        <f>COUNTA(SurveyDATA!#REF!)</f>
        <v>1</v>
      </c>
      <c r="BH104" s="146">
        <f>COUNTA(SurveyDATA!#REF!)</f>
        <v>1</v>
      </c>
      <c r="BI104" s="146">
        <f>COUNTA(SurveyDATA!#REF!)</f>
        <v>1</v>
      </c>
      <c r="BJ104" s="146">
        <f>COUNTA(SurveyDATA!#REF!)</f>
        <v>1</v>
      </c>
      <c r="BK104" s="146">
        <f>COUNTA(SurveyDATA!#REF!)</f>
        <v>1</v>
      </c>
      <c r="BL104" s="146">
        <f>COUNTA(SurveyDATA!#REF!)</f>
        <v>1</v>
      </c>
      <c r="BM104" s="146">
        <f>COUNTA(SurveyDATA!#REF!)</f>
        <v>1</v>
      </c>
      <c r="BN104" s="146">
        <f>COUNTA(SurveyDATA!#REF!)</f>
        <v>1</v>
      </c>
      <c r="BO104" s="290">
        <f>COUNTA(SurveyDATA!#REF!)</f>
        <v>1</v>
      </c>
      <c r="BP104" s="146">
        <f>COUNTA(SurveyDATA!#REF!)</f>
        <v>1</v>
      </c>
      <c r="BQ104" s="146">
        <f>COUNTA(SurveyDATA!#REF!)</f>
        <v>1</v>
      </c>
      <c r="BR104" s="146">
        <f>COUNTA(SurveyDATA!#REF!)</f>
        <v>1</v>
      </c>
      <c r="BS104" s="146">
        <f>COUNTA(SurveyDATA!#REF!)</f>
        <v>1</v>
      </c>
      <c r="BT104" s="146">
        <f>COUNTA(SurveyDATA!#REF!)</f>
        <v>1</v>
      </c>
      <c r="BU104" s="146">
        <f>COUNTA(SurveyDATA!#REF!)</f>
        <v>1</v>
      </c>
      <c r="BV104" s="146">
        <f>COUNTA(SurveyDATA!#REF!)</f>
        <v>1</v>
      </c>
      <c r="BW104" s="146">
        <f>COUNTA(SurveyDATA!#REF!)</f>
        <v>1</v>
      </c>
      <c r="BX104" s="146">
        <f>COUNTA(SurveyDATA!#REF!)</f>
        <v>1</v>
      </c>
      <c r="BY104" s="146">
        <f>COUNTA(SurveyDATA!#REF!)</f>
        <v>1</v>
      </c>
      <c r="BZ104" s="146"/>
      <c r="CA104" s="146">
        <f>COUNTA(SurveyDATA!#REF!)</f>
        <v>1</v>
      </c>
      <c r="CB104" s="146">
        <f>COUNTA(SurveyDATA!#REF!)</f>
        <v>1</v>
      </c>
      <c r="CC104" s="146">
        <f>COUNTA(SurveyDATA!#REF!)</f>
        <v>1</v>
      </c>
      <c r="CD104" s="146">
        <f>COUNTA(SurveyDATA!#REF!)</f>
        <v>1</v>
      </c>
      <c r="CE104" s="146">
        <f>COUNTA(SurveyDATA!#REF!)</f>
        <v>1</v>
      </c>
      <c r="CF104" s="146">
        <f>COUNTA(SurveyDATA!#REF!)</f>
        <v>1</v>
      </c>
      <c r="CG104" s="146">
        <f>COUNTA(SurveyDATA!#REF!)</f>
        <v>1</v>
      </c>
      <c r="CH104" s="146">
        <f>COUNTA(SurveyDATA!#REF!)</f>
        <v>1</v>
      </c>
      <c r="CI104" s="146">
        <f>COUNTA(SurveyDATA!#REF!)</f>
        <v>1</v>
      </c>
      <c r="CJ104" s="146">
        <f>COUNTA(SurveyDATA!#REF!)</f>
        <v>1</v>
      </c>
      <c r="CK104" s="146">
        <f>COUNTA(SurveyDATA!#REF!)</f>
        <v>1</v>
      </c>
      <c r="CL104" s="146">
        <f>COUNTA(SurveyDATA!#REF!)</f>
        <v>1</v>
      </c>
      <c r="CM104" s="146">
        <f>COUNTA(SurveyDATA!#REF!)</f>
        <v>1</v>
      </c>
      <c r="CN104" s="146">
        <f>COUNTA(SurveyDATA!#REF!)</f>
        <v>1</v>
      </c>
      <c r="CO104" s="146">
        <f>COUNTA(SurveyDATA!#REF!)</f>
        <v>1</v>
      </c>
      <c r="CP104" s="146">
        <f>COUNTA(SurveyDATA!#REF!)</f>
        <v>1</v>
      </c>
      <c r="CQ104" s="146">
        <f>COUNTA(SurveyDATA!#REF!)</f>
        <v>1</v>
      </c>
      <c r="CR104" s="146">
        <f>COUNTA(SurveyDATA!#REF!)</f>
        <v>1</v>
      </c>
      <c r="CS104" s="146">
        <f>COUNTA(SurveyDATA!#REF!)</f>
        <v>1</v>
      </c>
      <c r="CT104" s="146">
        <f>COUNTA(SurveyDATA!#REF!)</f>
        <v>1</v>
      </c>
      <c r="CU104" s="146">
        <f>COUNTA(SurveyDATA!#REF!)</f>
        <v>1</v>
      </c>
      <c r="CV104" s="146">
        <f>COUNTA(SurveyDATA!#REF!)</f>
        <v>1</v>
      </c>
      <c r="CW104" s="146">
        <f>COUNTA(SurveyDATA!#REF!)</f>
        <v>1</v>
      </c>
      <c r="CX104" s="146">
        <f>COUNTA(SurveyDATA!#REF!)</f>
        <v>1</v>
      </c>
      <c r="CY104" s="146">
        <f>COUNTA(SurveyDATA!#REF!)</f>
        <v>1</v>
      </c>
      <c r="CZ104" s="146">
        <f>COUNTA(SurveyDATA!#REF!)</f>
        <v>1</v>
      </c>
      <c r="DA104" s="146">
        <f>COUNTA(SurveyDATA!#REF!)</f>
        <v>1</v>
      </c>
      <c r="DB104" s="146">
        <f>COUNTA(SurveyDATA!#REF!)</f>
        <v>1</v>
      </c>
      <c r="DC104" s="146">
        <f>COUNTA(SurveyDATA!#REF!)</f>
        <v>1</v>
      </c>
      <c r="DD104" s="146">
        <f>COUNTA(SurveyDATA!#REF!)</f>
        <v>1</v>
      </c>
      <c r="DE104" s="146">
        <f>COUNTA(SurveyDATA!#REF!)</f>
        <v>1</v>
      </c>
      <c r="DF104" s="146">
        <f>COUNTA(SurveyDATA!#REF!)</f>
        <v>1</v>
      </c>
      <c r="DG104" s="146">
        <f>COUNTA(SurveyDATA!#REF!)</f>
        <v>1</v>
      </c>
      <c r="DH104" s="146">
        <f>COUNTA(SurveyDATA!#REF!)</f>
        <v>1</v>
      </c>
      <c r="DI104" s="146">
        <f>COUNTA(SurveyDATA!#REF!)</f>
        <v>1</v>
      </c>
      <c r="DJ104" s="146">
        <f>COUNTA(SurveyDATA!#REF!)</f>
        <v>1</v>
      </c>
      <c r="DK104" s="146">
        <f>COUNTA(SurveyDATA!#REF!)</f>
        <v>1</v>
      </c>
      <c r="DL104" s="146">
        <f>COUNTA(SurveyDATA!#REF!)</f>
        <v>1</v>
      </c>
      <c r="DM104" s="146">
        <f>COUNTA(SurveyDATA!#REF!)</f>
        <v>1</v>
      </c>
      <c r="DN104" s="146">
        <f>COUNTA(SurveyDATA!#REF!)</f>
        <v>1</v>
      </c>
      <c r="DO104" s="146">
        <f>COUNTA(SurveyDATA!#REF!)</f>
        <v>1</v>
      </c>
      <c r="DP104" s="146">
        <f>COUNTA(SurveyDATA!#REF!)</f>
        <v>1</v>
      </c>
      <c r="DQ104" s="146">
        <f>COUNTA(SurveyDATA!#REF!)</f>
        <v>1</v>
      </c>
      <c r="DR104" s="146">
        <f>COUNTA(SurveyDATA!#REF!)</f>
        <v>1</v>
      </c>
      <c r="DS104" s="146">
        <f>COUNTA(SurveyDATA!#REF!)</f>
        <v>1</v>
      </c>
      <c r="DT104" s="146">
        <f>COUNTA(SurveyDATA!#REF!)</f>
        <v>1</v>
      </c>
      <c r="DU104" s="146">
        <f>COUNTA(SurveyDATA!#REF!)</f>
        <v>1</v>
      </c>
      <c r="DV104" s="146">
        <f>COUNTA(SurveyDATA!#REF!)</f>
        <v>1</v>
      </c>
      <c r="DW104" s="146">
        <f>COUNTA(SurveyDATA!#REF!)</f>
        <v>1</v>
      </c>
      <c r="DX104" s="146">
        <f>COUNTA(SurveyDATA!#REF!)</f>
        <v>1</v>
      </c>
      <c r="DY104" s="146">
        <f>COUNTA(SurveyDATA!#REF!)</f>
        <v>1</v>
      </c>
      <c r="DZ104" s="146">
        <f>COUNTA(SurveyDATA!#REF!)</f>
        <v>1</v>
      </c>
      <c r="EA104" s="146">
        <f>COUNTA(SurveyDATA!#REF!)</f>
        <v>1</v>
      </c>
      <c r="EB104" s="146">
        <f>COUNTA(SurveyDATA!#REF!)</f>
        <v>1</v>
      </c>
      <c r="EC104" s="146">
        <f>COUNTA(SurveyDATA!#REF!)</f>
        <v>1</v>
      </c>
      <c r="ED104" s="146">
        <f>COUNTA(SurveyDATA!#REF!)</f>
        <v>1</v>
      </c>
      <c r="EE104" s="146">
        <f>COUNTA(SurveyDATA!#REF!)</f>
        <v>1</v>
      </c>
      <c r="EF104" s="146">
        <f>COUNTA(SurveyDATA!#REF!)</f>
        <v>1</v>
      </c>
      <c r="EG104" s="146">
        <f>COUNTA(SurveyDATA!#REF!)</f>
        <v>1</v>
      </c>
      <c r="EH104" s="146">
        <f>COUNTA(SurveyDATA!#REF!)</f>
        <v>1</v>
      </c>
      <c r="EI104" s="146">
        <f>COUNTA(SurveyDATA!#REF!)</f>
        <v>1</v>
      </c>
      <c r="EJ104" s="146">
        <f>COUNTA(SurveyDATA!#REF!)</f>
        <v>1</v>
      </c>
      <c r="EK104" s="146">
        <f>COUNTA(SurveyDATA!#REF!)</f>
        <v>1</v>
      </c>
      <c r="EL104" s="146">
        <f>COUNTA(SurveyDATA!#REF!)</f>
        <v>1</v>
      </c>
      <c r="EM104" s="146">
        <f>COUNTA(SurveyDATA!#REF!)</f>
        <v>1</v>
      </c>
      <c r="EN104" s="146">
        <f>COUNTA(SurveyDATA!#REF!)</f>
        <v>1</v>
      </c>
      <c r="EO104" s="146">
        <f>COUNTA(SurveyDATA!#REF!)</f>
        <v>1</v>
      </c>
      <c r="EP104" s="146">
        <f>COUNTA(SurveyDATA!#REF!)</f>
        <v>1</v>
      </c>
      <c r="EQ104" s="146">
        <f>COUNTA(SurveyDATA!#REF!)</f>
        <v>1</v>
      </c>
      <c r="ER104" s="146">
        <f>COUNTA(SurveyDATA!#REF!)</f>
        <v>1</v>
      </c>
      <c r="ES104" s="146">
        <f>COUNTA(SurveyDATA!#REF!)</f>
        <v>1</v>
      </c>
      <c r="ET104" s="146">
        <f>COUNTA(SurveyDATA!#REF!)</f>
        <v>1</v>
      </c>
      <c r="EU104" s="146">
        <f>COUNTA(SurveyDATA!#REF!)</f>
        <v>1</v>
      </c>
      <c r="EV104" s="146">
        <f>COUNTA(SurveyDATA!#REF!)</f>
        <v>1</v>
      </c>
      <c r="EW104" s="146">
        <f>COUNTA(SurveyDATA!#REF!)</f>
        <v>1</v>
      </c>
      <c r="EX104" s="146">
        <f>COUNTA(SurveyDATA!#REF!)</f>
        <v>1</v>
      </c>
      <c r="EY104" s="146">
        <f>COUNTA(SurveyDATA!#REF!)</f>
        <v>1</v>
      </c>
      <c r="EZ104" s="146">
        <f>COUNTA(SurveyDATA!#REF!)</f>
        <v>1</v>
      </c>
      <c r="FA104" s="146">
        <f>COUNTA(SurveyDATA!#REF!)</f>
        <v>1</v>
      </c>
      <c r="FB104" s="146">
        <f>COUNTA(SurveyDATA!#REF!)</f>
        <v>1</v>
      </c>
      <c r="FC104" s="146">
        <f>COUNTA(SurveyDATA!#REF!)</f>
        <v>1</v>
      </c>
      <c r="FD104" s="146">
        <f>COUNTA(SurveyDATA!#REF!)</f>
        <v>1</v>
      </c>
      <c r="FE104" s="146">
        <f>COUNTA(SurveyDATA!#REF!)</f>
        <v>1</v>
      </c>
      <c r="FF104" s="146">
        <f>COUNTA(SurveyDATA!#REF!)</f>
        <v>1</v>
      </c>
      <c r="FG104" s="146">
        <f>COUNTA(SurveyDATA!#REF!)</f>
        <v>1</v>
      </c>
      <c r="FH104" s="146">
        <f>COUNTA(SurveyDATA!#REF!)</f>
        <v>1</v>
      </c>
      <c r="FI104" s="146">
        <f>COUNTA(SurveyDATA!#REF!)</f>
        <v>1</v>
      </c>
      <c r="FJ104" s="146">
        <f>COUNTA(SurveyDATA!#REF!)</f>
        <v>1</v>
      </c>
      <c r="FK104" s="146">
        <f>COUNTA(SurveyDATA!#REF!)</f>
        <v>1</v>
      </c>
      <c r="FL104" s="146">
        <f>COUNTA(SurveyDATA!#REF!)</f>
        <v>1</v>
      </c>
      <c r="FM104" s="146">
        <f>COUNTA(SurveyDATA!#REF!)</f>
        <v>1</v>
      </c>
      <c r="FN104" s="146">
        <f>COUNTA(SurveyDATA!#REF!)</f>
        <v>1</v>
      </c>
      <c r="FO104" s="146">
        <f>COUNTA(SurveyDATA!#REF!)</f>
        <v>1</v>
      </c>
      <c r="FP104" s="146">
        <f>COUNTA(SurveyDATA!#REF!)</f>
        <v>1</v>
      </c>
      <c r="FQ104" s="146">
        <f>COUNTA(SurveyDATA!#REF!)</f>
        <v>1</v>
      </c>
      <c r="FR104" s="146">
        <f>COUNTA(SurveyDATA!#REF!)</f>
        <v>1</v>
      </c>
      <c r="FS104" s="146">
        <f>COUNTA(SurveyDATA!#REF!)</f>
        <v>1</v>
      </c>
      <c r="FT104" s="146">
        <f>COUNTA(SurveyDATA!#REF!)</f>
        <v>1</v>
      </c>
      <c r="FU104" s="146">
        <f>COUNTA(SurveyDATA!#REF!)</f>
        <v>1</v>
      </c>
      <c r="FV104" s="146">
        <f>COUNTA(SurveyDATA!#REF!)</f>
        <v>1</v>
      </c>
      <c r="FW104" s="146">
        <f>COUNTA(SurveyDATA!#REF!)</f>
        <v>1</v>
      </c>
      <c r="FX104" s="146">
        <f>COUNTA(SurveyDATA!#REF!)</f>
        <v>1</v>
      </c>
      <c r="FY104" s="146">
        <f>COUNTA(SurveyDATA!#REF!)</f>
        <v>1</v>
      </c>
      <c r="FZ104" s="146">
        <f>COUNTA(SurveyDATA!#REF!)</f>
        <v>1</v>
      </c>
      <c r="GA104" s="146">
        <f>COUNTA(SurveyDATA!#REF!)</f>
        <v>1</v>
      </c>
      <c r="GB104" s="146">
        <f>COUNTA(SurveyDATA!#REF!)</f>
        <v>1</v>
      </c>
      <c r="GC104" s="146">
        <f>COUNTA(SurveyDATA!#REF!)</f>
        <v>1</v>
      </c>
      <c r="GD104" s="146">
        <f>COUNTA(SurveyDATA!#REF!)</f>
        <v>1</v>
      </c>
      <c r="GE104" s="146">
        <f>COUNTA(SurveyDATA!#REF!)</f>
        <v>1</v>
      </c>
      <c r="GF104" s="146">
        <f>COUNTA(SurveyDATA!#REF!)</f>
        <v>1</v>
      </c>
      <c r="GG104" s="146">
        <f>COUNTA(SurveyDATA!#REF!)</f>
        <v>1</v>
      </c>
      <c r="GH104" s="146">
        <f>COUNTA(SurveyDATA!#REF!)</f>
        <v>1</v>
      </c>
      <c r="GI104" s="146">
        <f>COUNTA(SurveyDATA!#REF!)</f>
        <v>1</v>
      </c>
      <c r="GJ104" s="146">
        <f>COUNTA(SurveyDATA!#REF!)</f>
        <v>1</v>
      </c>
      <c r="GK104" s="146">
        <f>COUNTA(SurveyDATA!#REF!)</f>
        <v>1</v>
      </c>
      <c r="GL104" s="146">
        <f>COUNTA(SurveyDATA!#REF!)</f>
        <v>1</v>
      </c>
      <c r="GM104" s="146">
        <f>COUNTA(SurveyDATA!#REF!)</f>
        <v>1</v>
      </c>
      <c r="GN104" s="146">
        <f>COUNTA(SurveyDATA!#REF!)</f>
        <v>1</v>
      </c>
      <c r="GO104" s="146">
        <f>COUNTA(SurveyDATA!#REF!)</f>
        <v>1</v>
      </c>
      <c r="GP104" s="146">
        <f>COUNTA(SurveyDATA!#REF!)</f>
        <v>1</v>
      </c>
      <c r="GQ104" s="146">
        <f>COUNTA(SurveyDATA!#REF!)</f>
        <v>1</v>
      </c>
      <c r="GR104" s="146">
        <f>COUNTA(SurveyDATA!#REF!)</f>
        <v>1</v>
      </c>
      <c r="GS104" s="146">
        <f>COUNTA(SurveyDATA!#REF!)</f>
        <v>1</v>
      </c>
      <c r="GT104" s="146">
        <f>COUNTA(SurveyDATA!#REF!)</f>
        <v>1</v>
      </c>
      <c r="GU104" s="146">
        <f>COUNTA(SurveyDATA!#REF!)</f>
        <v>1</v>
      </c>
      <c r="GV104" s="146">
        <f>COUNTA(SurveyDATA!#REF!)</f>
        <v>1</v>
      </c>
      <c r="GW104" s="146">
        <f>COUNTA(SurveyDATA!#REF!)</f>
        <v>1</v>
      </c>
      <c r="GX104" s="146">
        <f>COUNTA(SurveyDATA!#REF!)</f>
        <v>1</v>
      </c>
      <c r="GY104" s="146">
        <f>COUNTA(SurveyDATA!#REF!)</f>
        <v>1</v>
      </c>
      <c r="GZ104" s="146">
        <f>COUNTA(SurveyDATA!#REF!)</f>
        <v>1</v>
      </c>
      <c r="HA104" s="146">
        <f>COUNTA(SurveyDATA!#REF!)</f>
        <v>1</v>
      </c>
      <c r="HB104" s="146">
        <f>COUNTA(SurveyDATA!#REF!)</f>
        <v>1</v>
      </c>
      <c r="HC104" s="146">
        <f>COUNTA(SurveyDATA!#REF!)</f>
        <v>1</v>
      </c>
      <c r="HD104" s="146">
        <f>COUNTA(SurveyDATA!#REF!)</f>
        <v>1</v>
      </c>
      <c r="HE104" s="146">
        <f>COUNTA(SurveyDATA!#REF!)</f>
        <v>1</v>
      </c>
      <c r="HF104" s="146">
        <f>COUNTA(SurveyDATA!#REF!)</f>
        <v>1</v>
      </c>
      <c r="HG104" s="146">
        <f>COUNTA(SurveyDATA!#REF!)</f>
        <v>1</v>
      </c>
      <c r="HH104" s="146">
        <f>COUNTA(SurveyDATA!#REF!)</f>
        <v>1</v>
      </c>
      <c r="HI104" s="146">
        <f>COUNTA(SurveyDATA!#REF!)</f>
        <v>1</v>
      </c>
      <c r="HJ104" s="146">
        <f>COUNTA(SurveyDATA!#REF!)</f>
        <v>1</v>
      </c>
      <c r="HK104" s="146">
        <f>COUNTA(SurveyDATA!#REF!)</f>
        <v>1</v>
      </c>
      <c r="HL104" s="146">
        <f>COUNTA(SurveyDATA!#REF!)</f>
        <v>1</v>
      </c>
      <c r="HM104" s="146">
        <f>COUNTA(SurveyDATA!#REF!)</f>
        <v>1</v>
      </c>
      <c r="HN104" s="146">
        <f>COUNTA(SurveyDATA!#REF!)</f>
        <v>1</v>
      </c>
      <c r="HO104" s="146">
        <f>COUNTA(SurveyDATA!#REF!)</f>
        <v>1</v>
      </c>
      <c r="HP104" s="146">
        <f>COUNTA(SurveyDATA!#REF!)</f>
        <v>1</v>
      </c>
      <c r="HQ104" s="146">
        <f>COUNTA(SurveyDATA!#REF!)</f>
        <v>1</v>
      </c>
      <c r="HR104" s="146">
        <f>COUNTA(SurveyDATA!#REF!)</f>
        <v>1</v>
      </c>
      <c r="HS104" s="146">
        <f>COUNTA(SurveyDATA!#REF!)</f>
        <v>1</v>
      </c>
      <c r="HT104" s="146">
        <f>COUNTA(SurveyDATA!#REF!)</f>
        <v>1</v>
      </c>
      <c r="HU104" s="146">
        <f>COUNTA(SurveyDATA!#REF!)</f>
        <v>1</v>
      </c>
      <c r="HV104" s="146">
        <f>COUNTA(SurveyDATA!#REF!)</f>
        <v>1</v>
      </c>
      <c r="HW104" s="146">
        <f>COUNTA(SurveyDATA!#REF!)</f>
        <v>1</v>
      </c>
      <c r="HX104" s="146">
        <f>COUNTA(SurveyDATA!#REF!)</f>
        <v>1</v>
      </c>
      <c r="HY104" s="146">
        <f>COUNTA(SurveyDATA!#REF!)</f>
        <v>1</v>
      </c>
      <c r="HZ104" s="146">
        <f>COUNTA(SurveyDATA!#REF!)</f>
        <v>1</v>
      </c>
      <c r="IA104" s="146">
        <f>COUNTA(SurveyDATA!#REF!)</f>
        <v>1</v>
      </c>
      <c r="IB104" s="146">
        <f>COUNTA(SurveyDATA!#REF!)</f>
        <v>1</v>
      </c>
      <c r="IC104" s="146">
        <f>COUNTA(SurveyDATA!#REF!)</f>
        <v>1</v>
      </c>
      <c r="ID104" s="146">
        <f>COUNTA(SurveyDATA!#REF!)</f>
        <v>1</v>
      </c>
      <c r="IE104" s="146">
        <f>COUNTA(SurveyDATA!#REF!)</f>
        <v>1</v>
      </c>
      <c r="IF104" s="146">
        <f>COUNTA(SurveyDATA!#REF!)</f>
        <v>1</v>
      </c>
      <c r="IG104" s="146">
        <f>COUNTA(SurveyDATA!#REF!)</f>
        <v>1</v>
      </c>
      <c r="IH104" s="146">
        <f>COUNTA(SurveyDATA!#REF!)</f>
        <v>1</v>
      </c>
      <c r="II104" s="146">
        <f>COUNTA(SurveyDATA!#REF!)</f>
        <v>1</v>
      </c>
      <c r="IJ104" s="146">
        <f>COUNTA(SurveyDATA!#REF!)</f>
        <v>1</v>
      </c>
      <c r="IK104" s="146">
        <f>COUNTA(SurveyDATA!#REF!)</f>
        <v>1</v>
      </c>
      <c r="IL104" s="146">
        <f>COUNTA(SurveyDATA!#REF!)</f>
        <v>1</v>
      </c>
      <c r="IM104" s="146">
        <f>COUNTA(SurveyDATA!#REF!)</f>
        <v>1</v>
      </c>
      <c r="IN104" s="146">
        <f>COUNTA(SurveyDATA!#REF!)</f>
        <v>1</v>
      </c>
      <c r="IO104" s="146">
        <f>COUNTA(SurveyDATA!#REF!)</f>
        <v>1</v>
      </c>
      <c r="IP104" s="146">
        <f>COUNTA(SurveyDATA!#REF!)</f>
        <v>1</v>
      </c>
      <c r="IQ104" s="146">
        <f>COUNTA(SurveyDATA!#REF!)</f>
        <v>1</v>
      </c>
      <c r="IR104" s="146">
        <f>COUNTA(SurveyDATA!#REF!)</f>
        <v>1</v>
      </c>
      <c r="IS104" s="146">
        <f>COUNTA(SurveyDATA!#REF!)</f>
        <v>1</v>
      </c>
      <c r="IT104" s="146">
        <f>COUNTA(SurveyDATA!#REF!)</f>
        <v>1</v>
      </c>
      <c r="IU104" s="146">
        <f>COUNTA(SurveyDATA!#REF!)</f>
        <v>1</v>
      </c>
      <c r="IV104" s="146">
        <f>COUNTA(SurveyDATA!#REF!)</f>
        <v>1</v>
      </c>
    </row>
    <row r="105" spans="1:256" s="11" customFormat="1" ht="14.25" customHeight="1" thickTop="1" thickBot="1">
      <c r="A105" s="19"/>
      <c r="B105" s="19"/>
      <c r="C105" s="186" t="s">
        <v>4295</v>
      </c>
      <c r="D105" s="19"/>
      <c r="E105" s="7"/>
      <c r="F105" s="7"/>
      <c r="G105" s="7"/>
      <c r="H105" s="7"/>
      <c r="I105" s="8"/>
      <c r="J105" s="19" t="str">
        <f t="shared" ref="J105:J119" ca="1" si="1">IF(F105="Head",CELL("contents",D105),"")</f>
        <v/>
      </c>
      <c r="K105" s="7"/>
      <c r="L105" s="7"/>
      <c r="M105" s="7"/>
      <c r="N105" s="7"/>
      <c r="O105" s="7"/>
      <c r="P105" s="7"/>
      <c r="Q105" s="29"/>
      <c r="R105" s="30"/>
      <c r="S105" s="7"/>
      <c r="T105" s="7"/>
      <c r="U105" s="31"/>
      <c r="V105" s="7"/>
      <c r="W105" s="7"/>
      <c r="X105" s="7"/>
      <c r="Y105" s="7"/>
      <c r="Z105" s="7"/>
      <c r="AA105" s="7"/>
      <c r="AB105" s="7"/>
      <c r="AC105" s="7"/>
      <c r="AD105" s="7"/>
      <c r="AE105" s="7"/>
      <c r="AF105" s="7"/>
      <c r="AG105" s="7"/>
      <c r="AH105" s="7"/>
      <c r="AI105" s="7"/>
      <c r="AJ105" s="122"/>
      <c r="AK105" s="41"/>
      <c r="AL105" s="52"/>
      <c r="AM105" s="20"/>
      <c r="AN105" s="20"/>
      <c r="AO105" s="20"/>
      <c r="AP105" s="20"/>
      <c r="AQ105" s="7"/>
      <c r="AR105" s="7"/>
      <c r="AS105" s="7"/>
      <c r="AT105" s="7"/>
      <c r="AU105" s="7"/>
      <c r="AV105" s="49"/>
      <c r="AW105" s="7"/>
      <c r="AX105" s="7"/>
      <c r="AY105" s="7"/>
      <c r="AZ105" s="7"/>
      <c r="BA105" s="7"/>
      <c r="BB105" s="7"/>
      <c r="BC105" s="7"/>
      <c r="BD105" s="55"/>
      <c r="BE105" s="55"/>
      <c r="BF105" s="7"/>
      <c r="BG105" s="7"/>
      <c r="BH105" s="7"/>
      <c r="BI105" s="7"/>
      <c r="BJ105" s="7"/>
      <c r="BK105" s="7"/>
      <c r="BL105" s="7"/>
      <c r="BM105" s="7"/>
      <c r="BN105" s="61"/>
      <c r="BO105" s="62"/>
      <c r="BP105" s="50"/>
      <c r="BQ105" s="20"/>
      <c r="BR105" s="7"/>
      <c r="BS105" s="7"/>
      <c r="BT105" s="7"/>
      <c r="BU105" s="7"/>
      <c r="BV105" s="55"/>
      <c r="BW105" s="7"/>
      <c r="BX105" s="55"/>
      <c r="BY105" s="7"/>
      <c r="BZ105" s="7"/>
      <c r="CA105" s="7"/>
      <c r="CB105" s="7"/>
      <c r="CC105" s="7"/>
      <c r="CD105" s="104"/>
      <c r="CE105" s="105"/>
      <c r="CF105" s="7"/>
      <c r="CG105" s="7"/>
      <c r="CH105" s="7"/>
      <c r="CI105" s="7"/>
      <c r="CJ105" s="7"/>
      <c r="CK105" s="7"/>
      <c r="CL105" s="7"/>
      <c r="CM105" s="7"/>
      <c r="CN105" s="7"/>
      <c r="CO105" s="7"/>
      <c r="CP105" s="55"/>
      <c r="CQ105" s="7"/>
      <c r="CR105" s="7"/>
      <c r="CS105" s="130"/>
      <c r="CT105" s="7"/>
      <c r="CU105" s="7"/>
      <c r="CV105" s="7"/>
      <c r="CW105" s="7"/>
      <c r="CX105" s="7"/>
      <c r="CY105" s="73"/>
      <c r="CZ105" s="7"/>
      <c r="DA105" s="7"/>
      <c r="DB105" s="7"/>
      <c r="DC105" s="48"/>
      <c r="DD105" s="7"/>
      <c r="DE105" s="7"/>
      <c r="DF105" s="7"/>
      <c r="DG105" s="7"/>
      <c r="DH105" s="7"/>
      <c r="DI105" s="7"/>
      <c r="DJ105" s="7"/>
      <c r="DK105" s="7"/>
      <c r="DL105" s="74"/>
      <c r="DM105" s="7"/>
      <c r="DN105" s="7"/>
      <c r="DO105" s="7"/>
      <c r="DP105" s="7"/>
      <c r="DQ105" s="58"/>
      <c r="DR105" s="7"/>
      <c r="DS105" s="7"/>
      <c r="DT105" s="7"/>
      <c r="DU105" s="73"/>
      <c r="DV105" s="73"/>
      <c r="DW105" s="7"/>
      <c r="DX105" s="7"/>
      <c r="DY105" s="7"/>
      <c r="DZ105" s="7"/>
      <c r="EA105" s="7"/>
      <c r="EB105" s="7"/>
      <c r="EC105" s="7"/>
      <c r="ED105" s="7"/>
      <c r="EE105" s="7"/>
      <c r="EF105" s="7"/>
      <c r="EG105" s="7"/>
      <c r="EH105" s="7"/>
      <c r="EI105" s="7"/>
      <c r="EJ105" s="7"/>
      <c r="EK105" s="7"/>
      <c r="EL105" s="7"/>
      <c r="EM105" s="7"/>
      <c r="EN105" s="19"/>
      <c r="EO105" s="7"/>
      <c r="EP105" s="7"/>
      <c r="EQ105" s="7"/>
      <c r="ER105" s="7"/>
      <c r="ES105" s="7"/>
      <c r="ET105" s="55"/>
      <c r="EU105" s="7"/>
      <c r="EV105" s="7"/>
      <c r="EW105" s="7"/>
      <c r="EX105" s="7"/>
      <c r="EY105" s="7"/>
      <c r="EZ105" s="7"/>
      <c r="FA105" s="7"/>
      <c r="FB105" s="7"/>
      <c r="FC105" s="55"/>
      <c r="FD105" s="55"/>
      <c r="FE105" s="55"/>
      <c r="FF105" s="7"/>
      <c r="FG105" s="7"/>
      <c r="FH105" s="7"/>
      <c r="FI105" s="7"/>
      <c r="FJ105" s="7"/>
      <c r="FK105" s="7"/>
      <c r="FL105" s="7"/>
      <c r="FM105" s="7"/>
      <c r="FN105" s="7"/>
      <c r="FO105" s="7"/>
      <c r="FP105" s="7"/>
      <c r="FQ105" s="7"/>
      <c r="FR105" s="7"/>
      <c r="FS105" s="77"/>
      <c r="FT105" s="30"/>
      <c r="FU105" s="7"/>
      <c r="FV105" s="55"/>
      <c r="FW105" s="55"/>
      <c r="FX105" s="7"/>
      <c r="FY105" s="7"/>
      <c r="FZ105" s="7"/>
      <c r="GA105" s="7"/>
      <c r="GB105" s="7"/>
      <c r="GC105" s="7"/>
      <c r="GD105" s="103"/>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29"/>
      <c r="IF105" s="7"/>
      <c r="IG105" s="7"/>
      <c r="IH105" s="7"/>
      <c r="II105" s="7"/>
      <c r="IJ105" s="7"/>
      <c r="IK105" s="7"/>
      <c r="IL105" s="7"/>
      <c r="IM105" s="7"/>
      <c r="IN105" s="7"/>
      <c r="IO105" s="7"/>
      <c r="IP105" s="7"/>
      <c r="IQ105" s="7"/>
      <c r="IR105" s="7"/>
      <c r="IS105" s="7"/>
      <c r="IT105" s="55"/>
      <c r="IU105" s="7"/>
      <c r="IV105" s="7"/>
    </row>
    <row r="106" spans="1:256" s="11" customFormat="1" ht="13.5" customHeight="1" thickTop="1">
      <c r="A106" s="19"/>
      <c r="B106" s="19"/>
      <c r="C106" s="187"/>
      <c r="D106" s="19"/>
      <c r="E106" s="7"/>
      <c r="F106" s="7"/>
      <c r="G106" s="7"/>
      <c r="H106" s="7"/>
      <c r="I106" s="8"/>
      <c r="J106" s="19" t="str">
        <f t="shared" ca="1" si="1"/>
        <v/>
      </c>
      <c r="K106" s="7"/>
      <c r="L106" s="7"/>
      <c r="M106" s="7"/>
      <c r="N106" s="7"/>
      <c r="O106" s="7"/>
      <c r="P106" s="7"/>
      <c r="Q106" s="29"/>
      <c r="R106" s="30"/>
      <c r="S106" s="7"/>
      <c r="T106" s="7"/>
      <c r="U106" s="31"/>
      <c r="V106" s="7"/>
      <c r="W106" s="7"/>
      <c r="X106" s="7"/>
      <c r="Y106" s="7"/>
      <c r="Z106" s="7"/>
      <c r="AA106" s="7"/>
      <c r="AB106" s="7"/>
      <c r="AC106" s="7"/>
      <c r="AD106" s="7"/>
      <c r="AE106" s="7"/>
      <c r="AF106" s="7"/>
      <c r="AG106" s="7"/>
      <c r="AH106" s="7"/>
      <c r="AI106" s="7"/>
      <c r="AJ106" s="122"/>
      <c r="AK106" s="41"/>
      <c r="AL106" s="52"/>
      <c r="AM106" s="20"/>
      <c r="AN106" s="20"/>
      <c r="AO106" s="20"/>
      <c r="AP106" s="20"/>
      <c r="AQ106" s="7"/>
      <c r="AR106" s="7"/>
      <c r="AS106" s="7"/>
      <c r="AT106" s="7"/>
      <c r="AU106" s="7"/>
      <c r="AV106" s="49"/>
      <c r="AW106" s="7"/>
      <c r="AX106" s="7"/>
      <c r="AY106" s="7"/>
      <c r="AZ106" s="7"/>
      <c r="BA106" s="7"/>
      <c r="BB106" s="7"/>
      <c r="BC106" s="7"/>
      <c r="BD106" s="55"/>
      <c r="BE106" s="55"/>
      <c r="BF106" s="7"/>
      <c r="BG106" s="7"/>
      <c r="BH106" s="7"/>
      <c r="BI106" s="7"/>
      <c r="BJ106" s="7"/>
      <c r="BK106" s="7"/>
      <c r="BL106" s="7"/>
      <c r="BM106" s="7"/>
      <c r="BN106" s="61"/>
      <c r="BO106" s="62"/>
      <c r="BP106" s="50"/>
      <c r="BQ106" s="20"/>
      <c r="BR106" s="7"/>
      <c r="BS106" s="7"/>
      <c r="BT106" s="7"/>
      <c r="BU106" s="7"/>
      <c r="BV106" s="55"/>
      <c r="BW106" s="7"/>
      <c r="BX106" s="55"/>
      <c r="BY106" s="7"/>
      <c r="BZ106" s="7"/>
      <c r="CA106" s="7"/>
      <c r="CB106" s="7"/>
      <c r="CC106" s="7"/>
      <c r="CD106" s="104"/>
      <c r="CE106" s="105"/>
      <c r="CF106" s="7"/>
      <c r="CG106" s="7"/>
      <c r="CH106" s="7"/>
      <c r="CI106" s="7"/>
      <c r="CJ106" s="7"/>
      <c r="CK106" s="7"/>
      <c r="CL106" s="7"/>
      <c r="CM106" s="7"/>
      <c r="CN106" s="7"/>
      <c r="CO106" s="7"/>
      <c r="CP106" s="55"/>
      <c r="CQ106" s="7"/>
      <c r="CR106" s="7"/>
      <c r="CS106" s="130"/>
      <c r="CT106" s="7"/>
      <c r="CU106" s="7"/>
      <c r="CV106" s="7"/>
      <c r="CW106" s="7"/>
      <c r="CX106" s="7"/>
      <c r="CY106" s="73"/>
      <c r="CZ106" s="7"/>
      <c r="DA106" s="7"/>
      <c r="DB106" s="7"/>
      <c r="DC106" s="48"/>
      <c r="DD106" s="7"/>
      <c r="DE106" s="7"/>
      <c r="DF106" s="7"/>
      <c r="DG106" s="7"/>
      <c r="DH106" s="7"/>
      <c r="DI106" s="7"/>
      <c r="DJ106" s="7"/>
      <c r="DK106" s="7"/>
      <c r="DL106" s="74"/>
      <c r="DM106" s="7"/>
      <c r="DN106" s="7"/>
      <c r="DO106" s="7"/>
      <c r="DP106" s="7"/>
      <c r="DQ106" s="58"/>
      <c r="DR106" s="7"/>
      <c r="DS106" s="7"/>
      <c r="DT106" s="7"/>
      <c r="DU106" s="73"/>
      <c r="DV106" s="73"/>
      <c r="DW106" s="7"/>
      <c r="DX106" s="7"/>
      <c r="DY106" s="7"/>
      <c r="DZ106" s="7"/>
      <c r="EA106" s="7"/>
      <c r="EB106" s="7"/>
      <c r="EC106" s="7"/>
      <c r="ED106" s="7"/>
      <c r="EE106" s="7"/>
      <c r="EF106" s="7"/>
      <c r="EG106" s="7"/>
      <c r="EH106" s="7"/>
      <c r="EI106" s="7"/>
      <c r="EJ106" s="7"/>
      <c r="EK106" s="7"/>
      <c r="EL106" s="7"/>
      <c r="EM106" s="7"/>
      <c r="EN106" s="19"/>
      <c r="EO106" s="7"/>
      <c r="EP106" s="7"/>
      <c r="EQ106" s="7"/>
      <c r="ER106" s="7"/>
      <c r="ES106" s="7"/>
      <c r="ET106" s="55"/>
      <c r="EU106" s="7"/>
      <c r="EV106" s="7"/>
      <c r="EW106" s="7"/>
      <c r="EX106" s="7"/>
      <c r="EY106" s="7"/>
      <c r="EZ106" s="7"/>
      <c r="FA106" s="7"/>
      <c r="FB106" s="7"/>
      <c r="FC106" s="55"/>
      <c r="FD106" s="55"/>
      <c r="FE106" s="55"/>
      <c r="FF106" s="7"/>
      <c r="FG106" s="7"/>
      <c r="FH106" s="7"/>
      <c r="FI106" s="7"/>
      <c r="FJ106" s="7"/>
      <c r="FK106" s="7"/>
      <c r="FL106" s="7"/>
      <c r="FM106" s="7"/>
      <c r="FN106" s="7"/>
      <c r="FO106" s="7"/>
      <c r="FP106" s="7"/>
      <c r="FQ106" s="7"/>
      <c r="FR106" s="7"/>
      <c r="FS106" s="77"/>
      <c r="FT106" s="30"/>
      <c r="FU106" s="7"/>
      <c r="FV106" s="55"/>
      <c r="FW106" s="55"/>
      <c r="FX106" s="7"/>
      <c r="FY106" s="7"/>
      <c r="FZ106" s="7"/>
      <c r="GA106" s="7"/>
      <c r="GB106" s="7"/>
      <c r="GC106" s="7"/>
      <c r="GD106" s="103"/>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29"/>
      <c r="IF106" s="7"/>
      <c r="IG106" s="7"/>
      <c r="IH106" s="7"/>
      <c r="II106" s="7"/>
      <c r="IJ106" s="7"/>
      <c r="IK106" s="7"/>
      <c r="IL106" s="7"/>
      <c r="IM106" s="7"/>
      <c r="IN106" s="7"/>
      <c r="IO106" s="7"/>
      <c r="IP106" s="7"/>
      <c r="IQ106" s="7"/>
      <c r="IR106" s="7"/>
      <c r="IS106" s="7"/>
      <c r="IT106" s="55"/>
      <c r="IU106" s="7"/>
      <c r="IV106" s="7"/>
    </row>
    <row r="107" spans="1:256" s="11" customFormat="1" ht="12.75" customHeight="1">
      <c r="A107" s="19"/>
      <c r="B107" s="19"/>
      <c r="C107" s="187" t="s">
        <v>4293</v>
      </c>
      <c r="D107" s="19"/>
      <c r="E107" s="7"/>
      <c r="F107" s="7"/>
      <c r="G107" s="7"/>
      <c r="H107" s="7"/>
      <c r="I107" s="8"/>
      <c r="J107" s="19" t="str">
        <f t="shared" ca="1" si="1"/>
        <v/>
      </c>
      <c r="K107" s="7"/>
      <c r="L107" s="7"/>
      <c r="M107" s="7"/>
      <c r="N107" s="7"/>
      <c r="O107" s="7"/>
      <c r="P107" s="7"/>
      <c r="Q107" s="29"/>
      <c r="R107" s="30"/>
      <c r="S107" s="7"/>
      <c r="T107" s="7"/>
      <c r="U107" s="31"/>
      <c r="V107" s="7"/>
      <c r="W107" s="7"/>
      <c r="X107" s="7"/>
      <c r="Y107" s="7"/>
      <c r="Z107" s="7"/>
      <c r="AA107" s="7"/>
      <c r="AB107" s="7"/>
      <c r="AC107" s="7"/>
      <c r="AD107" s="7"/>
      <c r="AE107" s="7"/>
      <c r="AF107" s="7"/>
      <c r="AG107" s="7"/>
      <c r="AH107" s="7"/>
      <c r="AI107" s="7"/>
      <c r="AJ107" s="122"/>
      <c r="AK107" s="41"/>
      <c r="AL107" s="52"/>
      <c r="AM107" s="20"/>
      <c r="AN107" s="20"/>
      <c r="AO107" s="20"/>
      <c r="AP107" s="20"/>
      <c r="AQ107" s="7"/>
      <c r="AR107" s="7"/>
      <c r="AS107" s="7"/>
      <c r="AT107" s="7"/>
      <c r="AU107" s="7"/>
      <c r="AV107" s="49"/>
      <c r="AW107" s="7"/>
      <c r="AX107" s="7"/>
      <c r="AY107" s="7"/>
      <c r="AZ107" s="7"/>
      <c r="BA107" s="7"/>
      <c r="BB107" s="7"/>
      <c r="BC107" s="7"/>
      <c r="BD107" s="55"/>
      <c r="BE107" s="55"/>
      <c r="BF107" s="7"/>
      <c r="BG107" s="7"/>
      <c r="BH107" s="7"/>
      <c r="BI107" s="7"/>
      <c r="BJ107" s="7"/>
      <c r="BK107" s="7"/>
      <c r="BL107" s="7"/>
      <c r="BM107" s="7"/>
      <c r="BN107" s="61"/>
      <c r="BO107" s="62"/>
      <c r="BP107" s="50"/>
      <c r="BQ107" s="20"/>
      <c r="BR107" s="7"/>
      <c r="BS107" s="7"/>
      <c r="BT107" s="7"/>
      <c r="BU107" s="7"/>
      <c r="BV107" s="55"/>
      <c r="BW107" s="7"/>
      <c r="BX107" s="55"/>
      <c r="BY107" s="7"/>
      <c r="BZ107" s="7"/>
      <c r="CA107" s="7"/>
      <c r="CB107" s="7"/>
      <c r="CC107" s="7"/>
      <c r="CD107" s="104"/>
      <c r="CE107" s="105"/>
      <c r="CF107" s="7"/>
      <c r="CG107" s="7"/>
      <c r="CH107" s="7"/>
      <c r="CI107" s="7"/>
      <c r="CJ107" s="7"/>
      <c r="CK107" s="7"/>
      <c r="CL107" s="7"/>
      <c r="CM107" s="7"/>
      <c r="CN107" s="7"/>
      <c r="CO107" s="7"/>
      <c r="CP107" s="55"/>
      <c r="CQ107" s="7"/>
      <c r="CR107" s="7"/>
      <c r="CS107" s="130"/>
      <c r="CT107" s="7"/>
      <c r="CU107" s="7"/>
      <c r="CV107" s="7"/>
      <c r="CW107" s="7"/>
      <c r="CX107" s="7"/>
      <c r="CY107" s="73"/>
      <c r="CZ107" s="7"/>
      <c r="DA107" s="7"/>
      <c r="DB107" s="7"/>
      <c r="DC107" s="48"/>
      <c r="DD107" s="7"/>
      <c r="DE107" s="7"/>
      <c r="DF107" s="7"/>
      <c r="DG107" s="7"/>
      <c r="DH107" s="7"/>
      <c r="DI107" s="7"/>
      <c r="DJ107" s="7"/>
      <c r="DK107" s="7"/>
      <c r="DL107" s="74"/>
      <c r="DM107" s="7"/>
      <c r="DN107" s="7"/>
      <c r="DO107" s="7"/>
      <c r="DP107" s="7"/>
      <c r="DQ107" s="58"/>
      <c r="DR107" s="7"/>
      <c r="DS107" s="7"/>
      <c r="DT107" s="7"/>
      <c r="DU107" s="73"/>
      <c r="DV107" s="73"/>
      <c r="DW107" s="7"/>
      <c r="DX107" s="7"/>
      <c r="DY107" s="7"/>
      <c r="DZ107" s="7"/>
      <c r="EA107" s="7"/>
      <c r="EB107" s="7"/>
      <c r="EC107" s="7"/>
      <c r="ED107" s="7"/>
      <c r="EE107" s="7"/>
      <c r="EF107" s="7"/>
      <c r="EG107" s="7"/>
      <c r="EH107" s="7"/>
      <c r="EI107" s="7"/>
      <c r="EJ107" s="7"/>
      <c r="EK107" s="7"/>
      <c r="EL107" s="7"/>
      <c r="EM107" s="7"/>
      <c r="EN107" s="19"/>
      <c r="EO107" s="7"/>
      <c r="EP107" s="7"/>
      <c r="EQ107" s="7"/>
      <c r="ER107" s="7"/>
      <c r="ES107" s="7"/>
      <c r="ET107" s="55"/>
      <c r="EU107" s="7"/>
      <c r="EV107" s="7"/>
      <c r="EW107" s="7"/>
      <c r="EX107" s="7"/>
      <c r="EY107" s="7"/>
      <c r="EZ107" s="7"/>
      <c r="FA107" s="7"/>
      <c r="FB107" s="7"/>
      <c r="FC107" s="55"/>
      <c r="FD107" s="55"/>
      <c r="FE107" s="55"/>
      <c r="FF107" s="7"/>
      <c r="FG107" s="7"/>
      <c r="FH107" s="7"/>
      <c r="FI107" s="7"/>
      <c r="FJ107" s="7"/>
      <c r="FK107" s="7"/>
      <c r="FL107" s="7"/>
      <c r="FM107" s="7"/>
      <c r="FN107" s="7"/>
      <c r="FO107" s="7"/>
      <c r="FP107" s="7"/>
      <c r="FQ107" s="7"/>
      <c r="FR107" s="7"/>
      <c r="FS107" s="77"/>
      <c r="FT107" s="30"/>
      <c r="FU107" s="7"/>
      <c r="FV107" s="55"/>
      <c r="FW107" s="55"/>
      <c r="FX107" s="7"/>
      <c r="FY107" s="7"/>
      <c r="FZ107" s="7"/>
      <c r="GA107" s="7"/>
      <c r="GB107" s="7"/>
      <c r="GC107" s="7"/>
      <c r="GD107" s="103"/>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29"/>
      <c r="IF107" s="7"/>
      <c r="IG107" s="7"/>
      <c r="IH107" s="7"/>
      <c r="II107" s="7"/>
      <c r="IJ107" s="7"/>
      <c r="IK107" s="7"/>
      <c r="IL107" s="7"/>
      <c r="IM107" s="7"/>
      <c r="IN107" s="7"/>
      <c r="IO107" s="7"/>
      <c r="IP107" s="7"/>
      <c r="IQ107" s="7"/>
      <c r="IR107" s="7"/>
      <c r="IS107" s="7"/>
      <c r="IT107" s="55"/>
      <c r="IU107" s="7"/>
      <c r="IV107" s="7"/>
    </row>
    <row r="108" spans="1:256" s="11" customFormat="1" ht="12.75" customHeight="1">
      <c r="A108" s="19"/>
      <c r="B108" s="19"/>
      <c r="C108" s="187" t="s">
        <v>4296</v>
      </c>
      <c r="D108" s="19"/>
      <c r="E108" s="7"/>
      <c r="F108" s="7"/>
      <c r="G108" s="7"/>
      <c r="H108" s="7"/>
      <c r="I108" s="8"/>
      <c r="J108" s="19" t="str">
        <f t="shared" ca="1" si="1"/>
        <v/>
      </c>
      <c r="K108" s="7"/>
      <c r="L108" s="7"/>
      <c r="M108" s="7"/>
      <c r="N108" s="7"/>
      <c r="O108" s="7"/>
      <c r="P108" s="7"/>
      <c r="Q108" s="29"/>
      <c r="R108" s="30"/>
      <c r="S108" s="7"/>
      <c r="T108" s="7"/>
      <c r="U108" s="31"/>
      <c r="V108" s="7"/>
      <c r="W108" s="7"/>
      <c r="X108" s="7"/>
      <c r="Y108" s="7"/>
      <c r="Z108" s="7"/>
      <c r="AA108" s="7"/>
      <c r="AB108" s="7"/>
      <c r="AC108" s="7"/>
      <c r="AD108" s="7"/>
      <c r="AE108" s="7"/>
      <c r="AF108" s="7"/>
      <c r="AG108" s="7"/>
      <c r="AH108" s="7"/>
      <c r="AI108" s="7"/>
      <c r="AJ108" s="122"/>
      <c r="AK108" s="41"/>
      <c r="AL108" s="52"/>
      <c r="AM108" s="20"/>
      <c r="AN108" s="20"/>
      <c r="AO108" s="20"/>
      <c r="AP108" s="20"/>
      <c r="AQ108" s="7"/>
      <c r="AR108" s="7"/>
      <c r="AS108" s="7"/>
      <c r="AT108" s="7"/>
      <c r="AU108" s="7"/>
      <c r="AV108" s="49"/>
      <c r="AW108" s="7"/>
      <c r="AX108" s="7"/>
      <c r="AY108" s="7"/>
      <c r="AZ108" s="7"/>
      <c r="BA108" s="7"/>
      <c r="BB108" s="7"/>
      <c r="BC108" s="7"/>
      <c r="BD108" s="55"/>
      <c r="BE108" s="55"/>
      <c r="BF108" s="7"/>
      <c r="BG108" s="7"/>
      <c r="BH108" s="7"/>
      <c r="BI108" s="7"/>
      <c r="BJ108" s="7"/>
      <c r="BK108" s="7"/>
      <c r="BL108" s="7"/>
      <c r="BM108" s="7"/>
      <c r="BN108" s="61"/>
      <c r="BO108" s="62"/>
      <c r="BP108" s="50"/>
      <c r="BQ108" s="20"/>
      <c r="BR108" s="7"/>
      <c r="BS108" s="7"/>
      <c r="BT108" s="7"/>
      <c r="BU108" s="7"/>
      <c r="BV108" s="55"/>
      <c r="BW108" s="7"/>
      <c r="BX108" s="55"/>
      <c r="BY108" s="7"/>
      <c r="BZ108" s="7"/>
      <c r="CA108" s="7"/>
      <c r="CB108" s="7"/>
      <c r="CC108" s="7"/>
      <c r="CD108" s="104"/>
      <c r="CE108" s="105"/>
      <c r="CF108" s="7"/>
      <c r="CG108" s="7"/>
      <c r="CH108" s="7"/>
      <c r="CI108" s="7"/>
      <c r="CJ108" s="7"/>
      <c r="CK108" s="7"/>
      <c r="CL108" s="7"/>
      <c r="CM108" s="7"/>
      <c r="CN108" s="7"/>
      <c r="CO108" s="7"/>
      <c r="CP108" s="55"/>
      <c r="CQ108" s="7"/>
      <c r="CR108" s="7"/>
      <c r="CS108" s="130"/>
      <c r="CT108" s="7"/>
      <c r="CU108" s="7"/>
      <c r="CV108" s="7"/>
      <c r="CW108" s="7"/>
      <c r="CX108" s="7"/>
      <c r="CY108" s="73"/>
      <c r="CZ108" s="7"/>
      <c r="DA108" s="7"/>
      <c r="DB108" s="7"/>
      <c r="DC108" s="48"/>
      <c r="DD108" s="7"/>
      <c r="DE108" s="7"/>
      <c r="DF108" s="7"/>
      <c r="DG108" s="7"/>
      <c r="DH108" s="7"/>
      <c r="DI108" s="7"/>
      <c r="DJ108" s="7"/>
      <c r="DK108" s="7"/>
      <c r="DL108" s="74"/>
      <c r="DM108" s="7"/>
      <c r="DN108" s="7"/>
      <c r="DO108" s="7"/>
      <c r="DP108" s="7"/>
      <c r="DQ108" s="58"/>
      <c r="DR108" s="7"/>
      <c r="DS108" s="7"/>
      <c r="DT108" s="7"/>
      <c r="DU108" s="73"/>
      <c r="DV108" s="73"/>
      <c r="DW108" s="7"/>
      <c r="DX108" s="7"/>
      <c r="DY108" s="7"/>
      <c r="DZ108" s="7"/>
      <c r="EA108" s="7"/>
      <c r="EB108" s="7"/>
      <c r="EC108" s="7"/>
      <c r="ED108" s="7"/>
      <c r="EE108" s="7"/>
      <c r="EF108" s="7"/>
      <c r="EG108" s="7"/>
      <c r="EH108" s="7"/>
      <c r="EI108" s="7"/>
      <c r="EJ108" s="7"/>
      <c r="EK108" s="7"/>
      <c r="EL108" s="7"/>
      <c r="EM108" s="7"/>
      <c r="EN108" s="19"/>
      <c r="EO108" s="7"/>
      <c r="EP108" s="7"/>
      <c r="EQ108" s="7"/>
      <c r="ER108" s="7"/>
      <c r="ES108" s="7"/>
      <c r="ET108" s="55"/>
      <c r="EU108" s="7"/>
      <c r="EV108" s="7"/>
      <c r="EW108" s="7"/>
      <c r="EX108" s="7"/>
      <c r="EY108" s="7"/>
      <c r="EZ108" s="7"/>
      <c r="FA108" s="7"/>
      <c r="FB108" s="7"/>
      <c r="FC108" s="55"/>
      <c r="FD108" s="55"/>
      <c r="FE108" s="55"/>
      <c r="FF108" s="7"/>
      <c r="FG108" s="7"/>
      <c r="FH108" s="7"/>
      <c r="FI108" s="7"/>
      <c r="FJ108" s="7"/>
      <c r="FK108" s="7"/>
      <c r="FL108" s="7"/>
      <c r="FM108" s="7"/>
      <c r="FN108" s="7"/>
      <c r="FO108" s="7"/>
      <c r="FP108" s="7"/>
      <c r="FQ108" s="7"/>
      <c r="FR108" s="7"/>
      <c r="FS108" s="77"/>
      <c r="FT108" s="30"/>
      <c r="FU108" s="7"/>
      <c r="FV108" s="55"/>
      <c r="FW108" s="55"/>
      <c r="FX108" s="7"/>
      <c r="FY108" s="7"/>
      <c r="FZ108" s="7"/>
      <c r="GA108" s="7"/>
      <c r="GB108" s="7"/>
      <c r="GC108" s="7"/>
      <c r="GD108" s="103"/>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29"/>
      <c r="IF108" s="7"/>
      <c r="IG108" s="7"/>
      <c r="IH108" s="7"/>
      <c r="II108" s="7"/>
      <c r="IJ108" s="7"/>
      <c r="IK108" s="7"/>
      <c r="IL108" s="7"/>
      <c r="IM108" s="7"/>
      <c r="IN108" s="7"/>
      <c r="IO108" s="7"/>
      <c r="IP108" s="7"/>
      <c r="IQ108" s="7"/>
      <c r="IR108" s="7"/>
      <c r="IS108" s="7"/>
      <c r="IT108" s="55"/>
      <c r="IU108" s="7"/>
      <c r="IV108" s="7"/>
    </row>
    <row r="109" spans="1:256" s="11" customFormat="1" ht="12.75" customHeight="1">
      <c r="A109" s="19"/>
      <c r="B109" s="19"/>
      <c r="C109" s="187" t="s">
        <v>4301</v>
      </c>
      <c r="D109" s="19"/>
      <c r="E109" s="7"/>
      <c r="F109" s="7"/>
      <c r="G109" s="7"/>
      <c r="H109" s="7"/>
      <c r="I109" s="8"/>
      <c r="J109" s="19" t="str">
        <f t="shared" ca="1" si="1"/>
        <v/>
      </c>
      <c r="K109" s="7"/>
      <c r="L109" s="7"/>
      <c r="M109" s="7"/>
      <c r="N109" s="7"/>
      <c r="O109" s="7"/>
      <c r="P109" s="7"/>
      <c r="Q109" s="29"/>
      <c r="R109" s="30"/>
      <c r="S109" s="7"/>
      <c r="T109" s="7"/>
      <c r="U109" s="31"/>
      <c r="V109" s="7"/>
      <c r="W109" s="7"/>
      <c r="X109" s="7"/>
      <c r="Y109" s="7"/>
      <c r="Z109" s="7"/>
      <c r="AA109" s="7"/>
      <c r="AB109" s="7"/>
      <c r="AC109" s="7"/>
      <c r="AD109" s="7"/>
      <c r="AE109" s="7"/>
      <c r="AF109" s="7"/>
      <c r="AG109" s="7"/>
      <c r="AH109" s="7"/>
      <c r="AI109" s="7"/>
      <c r="AJ109" s="122"/>
      <c r="AK109" s="41"/>
      <c r="AL109" s="52"/>
      <c r="AM109" s="20"/>
      <c r="AN109" s="20"/>
      <c r="AO109" s="20"/>
      <c r="AP109" s="20"/>
      <c r="AQ109" s="7"/>
      <c r="AR109" s="7"/>
      <c r="AS109" s="7"/>
      <c r="AT109" s="7"/>
      <c r="AU109" s="7"/>
      <c r="AV109" s="49"/>
      <c r="AW109" s="7"/>
      <c r="AX109" s="7"/>
      <c r="AY109" s="7"/>
      <c r="AZ109" s="7"/>
      <c r="BA109" s="7"/>
      <c r="BB109" s="7"/>
      <c r="BC109" s="7"/>
      <c r="BD109" s="55"/>
      <c r="BE109" s="55"/>
      <c r="BF109" s="7"/>
      <c r="BG109" s="7"/>
      <c r="BH109" s="7"/>
      <c r="BI109" s="7"/>
      <c r="BJ109" s="7"/>
      <c r="BK109" s="7"/>
      <c r="BL109" s="7"/>
      <c r="BM109" s="7"/>
      <c r="BN109" s="61"/>
      <c r="BO109" s="62"/>
      <c r="BP109" s="50"/>
      <c r="BQ109" s="20"/>
      <c r="BR109" s="7"/>
      <c r="BS109" s="7"/>
      <c r="BT109" s="7"/>
      <c r="BU109" s="7"/>
      <c r="BV109" s="55"/>
      <c r="BW109" s="7"/>
      <c r="BX109" s="55"/>
      <c r="BY109" s="7"/>
      <c r="BZ109" s="7"/>
      <c r="CA109" s="7"/>
      <c r="CB109" s="7"/>
      <c r="CC109" s="7"/>
      <c r="CD109" s="104"/>
      <c r="CE109" s="105"/>
      <c r="CF109" s="7"/>
      <c r="CG109" s="7"/>
      <c r="CH109" s="7"/>
      <c r="CI109" s="7"/>
      <c r="CJ109" s="7"/>
      <c r="CK109" s="7"/>
      <c r="CL109" s="7"/>
      <c r="CM109" s="7"/>
      <c r="CN109" s="7"/>
      <c r="CO109" s="7"/>
      <c r="CP109" s="55"/>
      <c r="CQ109" s="7"/>
      <c r="CR109" s="7"/>
      <c r="CS109" s="130"/>
      <c r="CT109" s="7"/>
      <c r="CU109" s="7"/>
      <c r="CV109" s="7"/>
      <c r="CW109" s="7"/>
      <c r="CX109" s="7"/>
      <c r="CY109" s="73"/>
      <c r="CZ109" s="7"/>
      <c r="DA109" s="7"/>
      <c r="DB109" s="7"/>
      <c r="DC109" s="48"/>
      <c r="DD109" s="7"/>
      <c r="DE109" s="7"/>
      <c r="DF109" s="7"/>
      <c r="DG109" s="7"/>
      <c r="DH109" s="7"/>
      <c r="DI109" s="7"/>
      <c r="DJ109" s="7"/>
      <c r="DK109" s="7"/>
      <c r="DL109" s="74"/>
      <c r="DM109" s="7"/>
      <c r="DN109" s="7"/>
      <c r="DO109" s="7"/>
      <c r="DP109" s="7"/>
      <c r="DQ109" s="58"/>
      <c r="DR109" s="7"/>
      <c r="DS109" s="7"/>
      <c r="DT109" s="7"/>
      <c r="DU109" s="73"/>
      <c r="DV109" s="73"/>
      <c r="DW109" s="7"/>
      <c r="DX109" s="7"/>
      <c r="DY109" s="7"/>
      <c r="DZ109" s="7"/>
      <c r="EA109" s="7"/>
      <c r="EB109" s="7"/>
      <c r="EC109" s="7"/>
      <c r="ED109" s="7"/>
      <c r="EE109" s="7"/>
      <c r="EF109" s="7"/>
      <c r="EG109" s="7"/>
      <c r="EH109" s="7"/>
      <c r="EI109" s="7"/>
      <c r="EJ109" s="7"/>
      <c r="EK109" s="7"/>
      <c r="EL109" s="7"/>
      <c r="EM109" s="7"/>
      <c r="EN109" s="19"/>
      <c r="EO109" s="7"/>
      <c r="EP109" s="7"/>
      <c r="EQ109" s="7"/>
      <c r="ER109" s="7"/>
      <c r="ES109" s="7"/>
      <c r="ET109" s="55"/>
      <c r="EU109" s="7"/>
      <c r="EV109" s="7"/>
      <c r="EW109" s="7"/>
      <c r="EX109" s="7"/>
      <c r="EY109" s="7"/>
      <c r="EZ109" s="7"/>
      <c r="FA109" s="7"/>
      <c r="FB109" s="7"/>
      <c r="FC109" s="55"/>
      <c r="FD109" s="55"/>
      <c r="FE109" s="55"/>
      <c r="FF109" s="7"/>
      <c r="FG109" s="7"/>
      <c r="FH109" s="7"/>
      <c r="FI109" s="7"/>
      <c r="FJ109" s="7"/>
      <c r="FK109" s="7"/>
      <c r="FL109" s="7"/>
      <c r="FM109" s="7"/>
      <c r="FN109" s="7"/>
      <c r="FO109" s="7"/>
      <c r="FP109" s="7"/>
      <c r="FQ109" s="7"/>
      <c r="FR109" s="7"/>
      <c r="FS109" s="77"/>
      <c r="FT109" s="30"/>
      <c r="FU109" s="7"/>
      <c r="FV109" s="55"/>
      <c r="FW109" s="55"/>
      <c r="FX109" s="7"/>
      <c r="FY109" s="7"/>
      <c r="FZ109" s="7"/>
      <c r="GA109" s="7"/>
      <c r="GB109" s="7"/>
      <c r="GC109" s="7"/>
      <c r="GD109" s="103"/>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29"/>
      <c r="IF109" s="7"/>
      <c r="IG109" s="7"/>
      <c r="IH109" s="7"/>
      <c r="II109" s="7"/>
      <c r="IJ109" s="7"/>
      <c r="IK109" s="7"/>
      <c r="IL109" s="7"/>
      <c r="IM109" s="7"/>
      <c r="IN109" s="7"/>
      <c r="IO109" s="7"/>
      <c r="IP109" s="7"/>
      <c r="IQ109" s="7"/>
      <c r="IR109" s="7"/>
      <c r="IS109" s="7"/>
      <c r="IT109" s="55"/>
      <c r="IU109" s="7"/>
      <c r="IV109" s="7"/>
    </row>
    <row r="110" spans="1:256" s="11" customFormat="1" ht="12.75" customHeight="1">
      <c r="A110" s="19"/>
      <c r="B110" s="19"/>
      <c r="C110" s="187"/>
      <c r="D110" s="19"/>
      <c r="E110" s="17"/>
      <c r="F110" s="7"/>
      <c r="G110" s="7"/>
      <c r="H110" s="7"/>
      <c r="I110" s="8"/>
      <c r="J110" s="19" t="str">
        <f t="shared" ca="1" si="1"/>
        <v/>
      </c>
      <c r="K110" s="7"/>
      <c r="L110" s="7"/>
      <c r="M110" s="7"/>
      <c r="N110" s="7"/>
      <c r="O110" s="7"/>
      <c r="P110" s="7"/>
      <c r="Q110" s="29"/>
      <c r="R110" s="30"/>
      <c r="S110" s="7"/>
      <c r="T110" s="7"/>
      <c r="U110" s="31"/>
      <c r="V110" s="7"/>
      <c r="W110" s="7"/>
      <c r="X110" s="7"/>
      <c r="Y110" s="7"/>
      <c r="Z110" s="7"/>
      <c r="AA110" s="7"/>
      <c r="AB110" s="7"/>
      <c r="AC110" s="7"/>
      <c r="AD110" s="7"/>
      <c r="AE110" s="7"/>
      <c r="AF110" s="7"/>
      <c r="AG110" s="7"/>
      <c r="AH110" s="7"/>
      <c r="AI110" s="7"/>
      <c r="AJ110" s="122"/>
      <c r="AK110" s="41"/>
      <c r="AL110" s="52"/>
      <c r="AM110" s="20"/>
      <c r="AN110" s="20"/>
      <c r="AO110" s="20"/>
      <c r="AP110" s="20"/>
      <c r="AQ110" s="7"/>
      <c r="AR110" s="7"/>
      <c r="AS110" s="7"/>
      <c r="AT110" s="7"/>
      <c r="AU110" s="7"/>
      <c r="AV110" s="49"/>
      <c r="AW110" s="7"/>
      <c r="AX110" s="7"/>
      <c r="AY110" s="7"/>
      <c r="AZ110" s="7"/>
      <c r="BA110" s="7"/>
      <c r="BB110" s="7"/>
      <c r="BC110" s="7"/>
      <c r="BD110" s="55"/>
      <c r="BE110" s="55"/>
      <c r="BF110" s="7"/>
      <c r="BG110" s="7"/>
      <c r="BH110" s="7"/>
      <c r="BI110" s="7"/>
      <c r="BJ110" s="7"/>
      <c r="BK110" s="7"/>
      <c r="BL110" s="7"/>
      <c r="BM110" s="7"/>
      <c r="BN110" s="61"/>
      <c r="BO110" s="62"/>
      <c r="BP110" s="50"/>
      <c r="BQ110" s="20"/>
      <c r="BR110" s="7"/>
      <c r="BS110" s="7"/>
      <c r="BT110" s="7"/>
      <c r="BU110" s="7"/>
      <c r="BV110" s="55"/>
      <c r="BW110" s="7"/>
      <c r="BX110" s="55"/>
      <c r="BY110" s="7"/>
      <c r="BZ110" s="7"/>
      <c r="CA110" s="7"/>
      <c r="CB110" s="7"/>
      <c r="CC110" s="7"/>
      <c r="CD110" s="104"/>
      <c r="CE110" s="105"/>
      <c r="CF110" s="7"/>
      <c r="CG110" s="7"/>
      <c r="CH110" s="7"/>
      <c r="CI110" s="7"/>
      <c r="CJ110" s="7"/>
      <c r="CK110" s="7"/>
      <c r="CL110" s="7"/>
      <c r="CM110" s="7"/>
      <c r="CN110" s="7"/>
      <c r="CO110" s="7"/>
      <c r="CP110" s="55"/>
      <c r="CQ110" s="7"/>
      <c r="CR110" s="7"/>
      <c r="CS110" s="130"/>
      <c r="CT110" s="7"/>
      <c r="CU110" s="7"/>
      <c r="CV110" s="7"/>
      <c r="CW110" s="7"/>
      <c r="CX110" s="7"/>
      <c r="CY110" s="73"/>
      <c r="CZ110" s="7"/>
      <c r="DA110" s="7"/>
      <c r="DB110" s="7"/>
      <c r="DC110" s="48"/>
      <c r="DD110" s="7"/>
      <c r="DE110" s="7"/>
      <c r="DF110" s="7"/>
      <c r="DG110" s="7"/>
      <c r="DH110" s="7"/>
      <c r="DI110" s="7"/>
      <c r="DJ110" s="7"/>
      <c r="DK110" s="7"/>
      <c r="DL110" s="74"/>
      <c r="DM110" s="7"/>
      <c r="DN110" s="7"/>
      <c r="DO110" s="7"/>
      <c r="DP110" s="7"/>
      <c r="DQ110" s="58"/>
      <c r="DR110" s="7"/>
      <c r="DS110" s="7"/>
      <c r="DT110" s="7"/>
      <c r="DU110" s="73"/>
      <c r="DV110" s="73"/>
      <c r="DW110" s="7"/>
      <c r="DX110" s="7"/>
      <c r="DY110" s="7"/>
      <c r="DZ110" s="7"/>
      <c r="EA110" s="7"/>
      <c r="EB110" s="7"/>
      <c r="EC110" s="7"/>
      <c r="ED110" s="7"/>
      <c r="EE110" s="7"/>
      <c r="EF110" s="7"/>
      <c r="EG110" s="7"/>
      <c r="EH110" s="7"/>
      <c r="EI110" s="7"/>
      <c r="EJ110" s="7"/>
      <c r="EK110" s="7"/>
      <c r="EL110" s="7"/>
      <c r="EM110" s="7"/>
      <c r="EN110" s="19"/>
      <c r="EO110" s="7"/>
      <c r="EP110" s="7"/>
      <c r="EQ110" s="7"/>
      <c r="ER110" s="7"/>
      <c r="ES110" s="7"/>
      <c r="ET110" s="55"/>
      <c r="EU110" s="7"/>
      <c r="EV110" s="7"/>
      <c r="EW110" s="7"/>
      <c r="EX110" s="7"/>
      <c r="EY110" s="7"/>
      <c r="EZ110" s="7"/>
      <c r="FA110" s="7"/>
      <c r="FB110" s="7"/>
      <c r="FC110" s="55"/>
      <c r="FD110" s="55"/>
      <c r="FE110" s="55"/>
      <c r="FF110" s="7"/>
      <c r="FG110" s="7"/>
      <c r="FH110" s="7"/>
      <c r="FI110" s="7"/>
      <c r="FJ110" s="7"/>
      <c r="FK110" s="7"/>
      <c r="FL110" s="7"/>
      <c r="FM110" s="7"/>
      <c r="FN110" s="7"/>
      <c r="FO110" s="7"/>
      <c r="FP110" s="7"/>
      <c r="FQ110" s="7"/>
      <c r="FR110" s="7"/>
      <c r="FS110" s="77"/>
      <c r="FT110" s="30"/>
      <c r="FU110" s="7"/>
      <c r="FV110" s="55"/>
      <c r="FW110" s="55"/>
      <c r="FX110" s="7"/>
      <c r="FY110" s="7"/>
      <c r="FZ110" s="7"/>
      <c r="GA110" s="7"/>
      <c r="GB110" s="7"/>
      <c r="GC110" s="7"/>
      <c r="GD110" s="103"/>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29"/>
      <c r="IF110" s="7"/>
      <c r="IG110" s="7"/>
      <c r="IH110" s="7"/>
      <c r="II110" s="7"/>
      <c r="IJ110" s="7"/>
      <c r="IK110" s="7"/>
      <c r="IL110" s="7"/>
      <c r="IM110" s="7"/>
      <c r="IN110" s="7"/>
      <c r="IO110" s="7"/>
      <c r="IP110" s="7"/>
      <c r="IQ110" s="7"/>
      <c r="IR110" s="7"/>
      <c r="IS110" s="7"/>
      <c r="IT110" s="55"/>
      <c r="IU110" s="7"/>
      <c r="IV110" s="7"/>
    </row>
    <row r="111" spans="1:256" s="11" customFormat="1" ht="12.75" customHeight="1">
      <c r="A111" s="19"/>
      <c r="B111" s="19"/>
      <c r="C111" s="187"/>
      <c r="D111" s="19"/>
      <c r="E111" s="7"/>
      <c r="F111" s="7"/>
      <c r="G111" s="7"/>
      <c r="H111" s="7"/>
      <c r="I111" s="8"/>
      <c r="J111" s="19" t="str">
        <f t="shared" ca="1" si="1"/>
        <v/>
      </c>
      <c r="K111" s="7"/>
      <c r="L111" s="7"/>
      <c r="M111" s="7"/>
      <c r="N111" s="7"/>
      <c r="O111" s="7"/>
      <c r="P111" s="7"/>
      <c r="Q111" s="29"/>
      <c r="R111" s="30"/>
      <c r="S111" s="7"/>
      <c r="T111" s="7"/>
      <c r="U111" s="31"/>
      <c r="V111" s="7"/>
      <c r="W111" s="7"/>
      <c r="X111" s="7"/>
      <c r="Y111" s="7"/>
      <c r="Z111" s="7"/>
      <c r="AA111" s="7"/>
      <c r="AB111" s="7"/>
      <c r="AC111" s="7"/>
      <c r="AD111" s="7"/>
      <c r="AE111" s="7"/>
      <c r="AF111" s="7"/>
      <c r="AG111" s="7"/>
      <c r="AH111" s="7"/>
      <c r="AI111" s="7"/>
      <c r="AJ111" s="122"/>
      <c r="AK111" s="41"/>
      <c r="AL111" s="52"/>
      <c r="AM111" s="20"/>
      <c r="AN111" s="20"/>
      <c r="AO111" s="20"/>
      <c r="AP111" s="20"/>
      <c r="AQ111" s="7"/>
      <c r="AR111" s="7"/>
      <c r="AS111" s="7"/>
      <c r="AT111" s="7"/>
      <c r="AU111" s="7"/>
      <c r="AV111" s="49"/>
      <c r="AW111" s="7"/>
      <c r="AX111" s="7"/>
      <c r="AY111" s="7"/>
      <c r="AZ111" s="7"/>
      <c r="BA111" s="7"/>
      <c r="BB111" s="7"/>
      <c r="BC111" s="7"/>
      <c r="BD111" s="55"/>
      <c r="BE111" s="55"/>
      <c r="BF111" s="7"/>
      <c r="BG111" s="7"/>
      <c r="BH111" s="7"/>
      <c r="BI111" s="7"/>
      <c r="BJ111" s="7"/>
      <c r="BK111" s="7"/>
      <c r="BL111" s="7"/>
      <c r="BM111" s="7"/>
      <c r="BN111" s="61"/>
      <c r="BO111" s="62"/>
      <c r="BP111" s="50"/>
      <c r="BQ111" s="20"/>
      <c r="BR111" s="7"/>
      <c r="BS111" s="7"/>
      <c r="BT111" s="7"/>
      <c r="BU111" s="7"/>
      <c r="BV111" s="55"/>
      <c r="BW111" s="7"/>
      <c r="BX111" s="55"/>
      <c r="BY111" s="7"/>
      <c r="BZ111" s="7"/>
      <c r="CA111" s="7"/>
      <c r="CB111" s="7"/>
      <c r="CC111" s="7"/>
      <c r="CD111" s="104"/>
      <c r="CE111" s="105"/>
      <c r="CF111" s="7"/>
      <c r="CG111" s="7"/>
      <c r="CH111" s="7"/>
      <c r="CI111" s="7"/>
      <c r="CJ111" s="7"/>
      <c r="CK111" s="7"/>
      <c r="CL111" s="7"/>
      <c r="CM111" s="7"/>
      <c r="CN111" s="7"/>
      <c r="CO111" s="7"/>
      <c r="CP111" s="55"/>
      <c r="CQ111" s="7"/>
      <c r="CR111" s="7"/>
      <c r="CS111" s="130"/>
      <c r="CT111" s="7"/>
      <c r="CU111" s="7"/>
      <c r="CV111" s="7"/>
      <c r="CW111" s="7"/>
      <c r="CX111" s="7"/>
      <c r="CY111" s="73"/>
      <c r="CZ111" s="7"/>
      <c r="DA111" s="7"/>
      <c r="DB111" s="7"/>
      <c r="DC111" s="48"/>
      <c r="DD111" s="7"/>
      <c r="DE111" s="7"/>
      <c r="DF111" s="7"/>
      <c r="DG111" s="7"/>
      <c r="DH111" s="7"/>
      <c r="DI111" s="7"/>
      <c r="DJ111" s="7"/>
      <c r="DK111" s="7"/>
      <c r="DL111" s="74"/>
      <c r="DM111" s="7"/>
      <c r="DN111" s="7"/>
      <c r="DO111" s="7"/>
      <c r="DP111" s="7"/>
      <c r="DQ111" s="58"/>
      <c r="DR111" s="7"/>
      <c r="DS111" s="7"/>
      <c r="DT111" s="7"/>
      <c r="DU111" s="73"/>
      <c r="DV111" s="73"/>
      <c r="DW111" s="7"/>
      <c r="DX111" s="7"/>
      <c r="DY111" s="7"/>
      <c r="DZ111" s="7"/>
      <c r="EA111" s="7"/>
      <c r="EB111" s="7"/>
      <c r="EC111" s="7"/>
      <c r="ED111" s="7"/>
      <c r="EE111" s="7"/>
      <c r="EF111" s="7"/>
      <c r="EG111" s="7"/>
      <c r="EH111" s="7"/>
      <c r="EI111" s="7"/>
      <c r="EJ111" s="7"/>
      <c r="EK111" s="7"/>
      <c r="EL111" s="7"/>
      <c r="EM111" s="7"/>
      <c r="EN111" s="19"/>
      <c r="EO111" s="7"/>
      <c r="EP111" s="7"/>
      <c r="EQ111" s="7"/>
      <c r="ER111" s="7"/>
      <c r="ES111" s="7"/>
      <c r="ET111" s="55"/>
      <c r="EU111" s="7"/>
      <c r="EV111" s="7"/>
      <c r="EW111" s="7"/>
      <c r="EX111" s="7"/>
      <c r="EY111" s="7"/>
      <c r="EZ111" s="7"/>
      <c r="FA111" s="7"/>
      <c r="FB111" s="7"/>
      <c r="FC111" s="55"/>
      <c r="FD111" s="55"/>
      <c r="FE111" s="55"/>
      <c r="FF111" s="7"/>
      <c r="FG111" s="7"/>
      <c r="FH111" s="7"/>
      <c r="FI111" s="7"/>
      <c r="FJ111" s="7"/>
      <c r="FK111" s="7"/>
      <c r="FL111" s="7"/>
      <c r="FM111" s="7"/>
      <c r="FN111" s="7"/>
      <c r="FO111" s="7"/>
      <c r="FP111" s="7"/>
      <c r="FQ111" s="7"/>
      <c r="FR111" s="7"/>
      <c r="FS111" s="77"/>
      <c r="FT111" s="30"/>
      <c r="FU111" s="7"/>
      <c r="FV111" s="55"/>
      <c r="FW111" s="55"/>
      <c r="FX111" s="7"/>
      <c r="FY111" s="7"/>
      <c r="FZ111" s="7"/>
      <c r="GA111" s="7"/>
      <c r="GB111" s="7"/>
      <c r="GC111" s="7"/>
      <c r="GD111" s="103"/>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29"/>
      <c r="IF111" s="7"/>
      <c r="IG111" s="7"/>
      <c r="IH111" s="7"/>
      <c r="II111" s="7"/>
      <c r="IJ111" s="7"/>
      <c r="IK111" s="7"/>
      <c r="IL111" s="7"/>
      <c r="IM111" s="7"/>
      <c r="IN111" s="7"/>
      <c r="IO111" s="7"/>
      <c r="IP111" s="7"/>
      <c r="IQ111" s="7"/>
      <c r="IR111" s="7"/>
      <c r="IS111" s="7"/>
      <c r="IT111" s="55"/>
      <c r="IU111" s="7"/>
      <c r="IV111" s="7"/>
    </row>
    <row r="112" spans="1:256" s="11" customFormat="1" ht="12.75" customHeight="1">
      <c r="A112" s="19"/>
      <c r="B112" s="19"/>
      <c r="C112" s="187" t="s">
        <v>4294</v>
      </c>
      <c r="D112" s="19"/>
      <c r="E112" s="7"/>
      <c r="F112" s="7"/>
      <c r="G112" s="7"/>
      <c r="H112" s="7"/>
      <c r="I112" s="8"/>
      <c r="J112" s="19" t="str">
        <f t="shared" ca="1" si="1"/>
        <v/>
      </c>
      <c r="K112" s="7"/>
      <c r="L112" s="7"/>
      <c r="M112" s="7"/>
      <c r="N112" s="7"/>
      <c r="O112" s="7"/>
      <c r="P112" s="7"/>
      <c r="Q112" s="29"/>
      <c r="R112" s="30"/>
      <c r="S112" s="7"/>
      <c r="T112" s="7"/>
      <c r="U112" s="31"/>
      <c r="V112" s="7"/>
      <c r="W112" s="7"/>
      <c r="X112" s="7"/>
      <c r="Y112" s="7"/>
      <c r="Z112" s="7"/>
      <c r="AA112" s="7"/>
      <c r="AB112" s="7"/>
      <c r="AC112" s="7"/>
      <c r="AD112" s="7"/>
      <c r="AE112" s="7"/>
      <c r="AF112" s="7"/>
      <c r="AG112" s="7"/>
      <c r="AH112" s="7"/>
      <c r="AI112" s="7"/>
      <c r="AJ112" s="122"/>
      <c r="AK112" s="41"/>
      <c r="AL112" s="52"/>
      <c r="AM112" s="20"/>
      <c r="AN112" s="20"/>
      <c r="AO112" s="20"/>
      <c r="AP112" s="20"/>
      <c r="AQ112" s="7"/>
      <c r="AR112" s="7"/>
      <c r="AS112" s="7"/>
      <c r="AT112" s="7"/>
      <c r="AU112" s="7"/>
      <c r="AV112" s="49"/>
      <c r="AW112" s="7"/>
      <c r="AX112" s="7"/>
      <c r="AY112" s="7"/>
      <c r="AZ112" s="7"/>
      <c r="BA112" s="7"/>
      <c r="BB112" s="7"/>
      <c r="BC112" s="7"/>
      <c r="BD112" s="55"/>
      <c r="BE112" s="55"/>
      <c r="BF112" s="7"/>
      <c r="BG112" s="7"/>
      <c r="BH112" s="7"/>
      <c r="BI112" s="7"/>
      <c r="BJ112" s="7"/>
      <c r="BK112" s="7"/>
      <c r="BL112" s="7"/>
      <c r="BM112" s="7"/>
      <c r="BN112" s="61"/>
      <c r="BO112" s="62"/>
      <c r="BP112" s="50"/>
      <c r="BQ112" s="20"/>
      <c r="BR112" s="7"/>
      <c r="BS112" s="7"/>
      <c r="BT112" s="7"/>
      <c r="BU112" s="7"/>
      <c r="BV112" s="55"/>
      <c r="BW112" s="7"/>
      <c r="BX112" s="55"/>
      <c r="BY112" s="7"/>
      <c r="BZ112" s="7"/>
      <c r="CA112" s="7"/>
      <c r="CB112" s="7"/>
      <c r="CC112" s="7"/>
      <c r="CD112" s="104"/>
      <c r="CE112" s="105"/>
      <c r="CF112" s="7"/>
      <c r="CG112" s="7"/>
      <c r="CH112" s="7"/>
      <c r="CI112" s="7"/>
      <c r="CJ112" s="7"/>
      <c r="CK112" s="7"/>
      <c r="CL112" s="7"/>
      <c r="CM112" s="7"/>
      <c r="CN112" s="7"/>
      <c r="CO112" s="7"/>
      <c r="CP112" s="55"/>
      <c r="CQ112" s="7"/>
      <c r="CR112" s="7"/>
      <c r="CS112" s="130"/>
      <c r="CT112" s="7"/>
      <c r="CU112" s="7"/>
      <c r="CV112" s="7"/>
      <c r="CW112" s="7"/>
      <c r="CX112" s="7"/>
      <c r="CY112" s="73"/>
      <c r="CZ112" s="7"/>
      <c r="DA112" s="7"/>
      <c r="DB112" s="7"/>
      <c r="DC112" s="48"/>
      <c r="DD112" s="7"/>
      <c r="DE112" s="7"/>
      <c r="DF112" s="7"/>
      <c r="DG112" s="7"/>
      <c r="DH112" s="7"/>
      <c r="DI112" s="7"/>
      <c r="DJ112" s="7"/>
      <c r="DK112" s="7"/>
      <c r="DL112" s="74"/>
      <c r="DM112" s="7"/>
      <c r="DN112" s="7"/>
      <c r="DO112" s="7"/>
      <c r="DP112" s="7"/>
      <c r="DQ112" s="58"/>
      <c r="DR112" s="7"/>
      <c r="DS112" s="7"/>
      <c r="DT112" s="7"/>
      <c r="DU112" s="73"/>
      <c r="DV112" s="73"/>
      <c r="DW112" s="7"/>
      <c r="DX112" s="7"/>
      <c r="DY112" s="7"/>
      <c r="DZ112" s="7"/>
      <c r="EA112" s="7"/>
      <c r="EB112" s="7"/>
      <c r="EC112" s="7"/>
      <c r="ED112" s="7"/>
      <c r="EE112" s="7"/>
      <c r="EF112" s="7"/>
      <c r="EG112" s="7"/>
      <c r="EH112" s="7"/>
      <c r="EI112" s="7"/>
      <c r="EJ112" s="7"/>
      <c r="EK112" s="7"/>
      <c r="EL112" s="7"/>
      <c r="EM112" s="7"/>
      <c r="EN112" s="19"/>
      <c r="EO112" s="7"/>
      <c r="EP112" s="7"/>
      <c r="EQ112" s="7"/>
      <c r="ER112" s="7"/>
      <c r="ES112" s="7"/>
      <c r="ET112" s="55"/>
      <c r="EU112" s="7"/>
      <c r="EV112" s="7"/>
      <c r="EW112" s="7"/>
      <c r="EX112" s="7"/>
      <c r="EY112" s="7"/>
      <c r="EZ112" s="7"/>
      <c r="FA112" s="7"/>
      <c r="FB112" s="7"/>
      <c r="FC112" s="55"/>
      <c r="FD112" s="55"/>
      <c r="FE112" s="55"/>
      <c r="FF112" s="7"/>
      <c r="FG112" s="7"/>
      <c r="FH112" s="7"/>
      <c r="FI112" s="7"/>
      <c r="FJ112" s="7"/>
      <c r="FK112" s="7"/>
      <c r="FL112" s="7"/>
      <c r="FM112" s="7"/>
      <c r="FN112" s="7"/>
      <c r="FO112" s="7"/>
      <c r="FP112" s="7"/>
      <c r="FQ112" s="7"/>
      <c r="FR112" s="7"/>
      <c r="FS112" s="77"/>
      <c r="FT112" s="30"/>
      <c r="FU112" s="7"/>
      <c r="FV112" s="55"/>
      <c r="FW112" s="55"/>
      <c r="FX112" s="7"/>
      <c r="FY112" s="7"/>
      <c r="FZ112" s="7"/>
      <c r="GA112" s="7"/>
      <c r="GB112" s="7"/>
      <c r="GC112" s="7"/>
      <c r="GD112" s="103"/>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29"/>
      <c r="IF112" s="7"/>
      <c r="IG112" s="7"/>
      <c r="IH112" s="7"/>
      <c r="II112" s="7"/>
      <c r="IJ112" s="7"/>
      <c r="IK112" s="7"/>
      <c r="IL112" s="7"/>
      <c r="IM112" s="7"/>
      <c r="IN112" s="7"/>
      <c r="IO112" s="7"/>
      <c r="IP112" s="7"/>
      <c r="IQ112" s="7"/>
      <c r="IR112" s="7"/>
      <c r="IS112" s="7"/>
      <c r="IT112" s="55"/>
      <c r="IU112" s="7"/>
      <c r="IV112" s="7"/>
    </row>
    <row r="113" spans="1:256" s="11" customFormat="1" ht="12.75" customHeight="1">
      <c r="A113" s="19"/>
      <c r="B113" s="19"/>
      <c r="C113" s="187" t="s">
        <v>4300</v>
      </c>
      <c r="D113" s="19"/>
      <c r="E113" s="7"/>
      <c r="F113" s="7"/>
      <c r="G113" s="7"/>
      <c r="H113" s="7"/>
      <c r="I113" s="8"/>
      <c r="J113" s="19" t="str">
        <f t="shared" ca="1" si="1"/>
        <v/>
      </c>
      <c r="K113" s="7"/>
      <c r="L113" s="7"/>
      <c r="M113" s="7"/>
      <c r="N113" s="7"/>
      <c r="O113" s="7"/>
      <c r="P113" s="7"/>
      <c r="Q113" s="29"/>
      <c r="R113" s="30"/>
      <c r="S113" s="7"/>
      <c r="T113" s="7"/>
      <c r="U113" s="31"/>
      <c r="V113" s="7"/>
      <c r="W113" s="7"/>
      <c r="X113" s="7"/>
      <c r="Y113" s="7"/>
      <c r="Z113" s="7"/>
      <c r="AA113" s="7"/>
      <c r="AB113" s="7"/>
      <c r="AC113" s="7"/>
      <c r="AD113" s="7"/>
      <c r="AE113" s="7"/>
      <c r="AF113" s="7"/>
      <c r="AG113" s="7"/>
      <c r="AH113" s="7"/>
      <c r="AI113" s="7"/>
      <c r="AJ113" s="122"/>
      <c r="AK113" s="41"/>
      <c r="AL113" s="52"/>
      <c r="AM113" s="20"/>
      <c r="AN113" s="20"/>
      <c r="AO113" s="20"/>
      <c r="AP113" s="20"/>
      <c r="AQ113" s="7"/>
      <c r="AR113" s="7"/>
      <c r="AS113" s="7"/>
      <c r="AT113" s="7"/>
      <c r="AU113" s="7"/>
      <c r="AV113" s="49"/>
      <c r="AW113" s="7"/>
      <c r="AX113" s="7"/>
      <c r="AY113" s="7"/>
      <c r="AZ113" s="7"/>
      <c r="BA113" s="7"/>
      <c r="BB113" s="7"/>
      <c r="BC113" s="7"/>
      <c r="BD113" s="55"/>
      <c r="BE113" s="55"/>
      <c r="BF113" s="7"/>
      <c r="BG113" s="7"/>
      <c r="BH113" s="7"/>
      <c r="BI113" s="7"/>
      <c r="BJ113" s="7"/>
      <c r="BK113" s="7"/>
      <c r="BL113" s="7"/>
      <c r="BM113" s="7"/>
      <c r="BN113" s="61"/>
      <c r="BO113" s="62"/>
      <c r="BP113" s="50"/>
      <c r="BQ113" s="20"/>
      <c r="BR113" s="7"/>
      <c r="BS113" s="7"/>
      <c r="BT113" s="7"/>
      <c r="BU113" s="7"/>
      <c r="BV113" s="55"/>
      <c r="BW113" s="7"/>
      <c r="BX113" s="55"/>
      <c r="BY113" s="7"/>
      <c r="BZ113" s="7"/>
      <c r="CA113" s="7"/>
      <c r="CB113" s="7"/>
      <c r="CC113" s="7"/>
      <c r="CD113" s="104"/>
      <c r="CE113" s="105"/>
      <c r="CF113" s="7"/>
      <c r="CG113" s="7"/>
      <c r="CH113" s="7"/>
      <c r="CI113" s="7"/>
      <c r="CJ113" s="7"/>
      <c r="CK113" s="7"/>
      <c r="CL113" s="7"/>
      <c r="CM113" s="7"/>
      <c r="CN113" s="7"/>
      <c r="CO113" s="7"/>
      <c r="CP113" s="55"/>
      <c r="CQ113" s="7"/>
      <c r="CR113" s="7"/>
      <c r="CS113" s="130"/>
      <c r="CT113" s="7"/>
      <c r="CU113" s="7"/>
      <c r="CV113" s="7"/>
      <c r="CW113" s="7"/>
      <c r="CX113" s="7"/>
      <c r="CY113" s="73"/>
      <c r="CZ113" s="7"/>
      <c r="DA113" s="7"/>
      <c r="DB113" s="7"/>
      <c r="DC113" s="48"/>
      <c r="DD113" s="7"/>
      <c r="DE113" s="7"/>
      <c r="DF113" s="7"/>
      <c r="DG113" s="7"/>
      <c r="DH113" s="7"/>
      <c r="DI113" s="7"/>
      <c r="DJ113" s="7"/>
      <c r="DK113" s="7"/>
      <c r="DL113" s="74"/>
      <c r="DM113" s="7"/>
      <c r="DN113" s="7"/>
      <c r="DO113" s="7"/>
      <c r="DP113" s="7"/>
      <c r="DQ113" s="58"/>
      <c r="DR113" s="7"/>
      <c r="DS113" s="7"/>
      <c r="DT113" s="7"/>
      <c r="DU113" s="73"/>
      <c r="DV113" s="73"/>
      <c r="DW113" s="7"/>
      <c r="DX113" s="7"/>
      <c r="DY113" s="7"/>
      <c r="DZ113" s="7"/>
      <c r="EA113" s="7"/>
      <c r="EB113" s="7"/>
      <c r="EC113" s="7"/>
      <c r="ED113" s="7"/>
      <c r="EE113" s="7"/>
      <c r="EF113" s="7"/>
      <c r="EG113" s="7"/>
      <c r="EH113" s="7"/>
      <c r="EI113" s="7"/>
      <c r="EJ113" s="7"/>
      <c r="EK113" s="7"/>
      <c r="EL113" s="7"/>
      <c r="EM113" s="7"/>
      <c r="EN113" s="19"/>
      <c r="EO113" s="7"/>
      <c r="EP113" s="7"/>
      <c r="EQ113" s="7"/>
      <c r="ER113" s="7"/>
      <c r="ES113" s="7"/>
      <c r="ET113" s="55"/>
      <c r="EU113" s="7"/>
      <c r="EV113" s="7"/>
      <c r="EW113" s="7"/>
      <c r="EX113" s="7"/>
      <c r="EY113" s="7"/>
      <c r="EZ113" s="7"/>
      <c r="FA113" s="7"/>
      <c r="FB113" s="7"/>
      <c r="FC113" s="55"/>
      <c r="FD113" s="55"/>
      <c r="FE113" s="55"/>
      <c r="FF113" s="7"/>
      <c r="FG113" s="7"/>
      <c r="FH113" s="7"/>
      <c r="FI113" s="7"/>
      <c r="FJ113" s="7"/>
      <c r="FK113" s="7"/>
      <c r="FL113" s="7"/>
      <c r="FM113" s="7"/>
      <c r="FN113" s="7"/>
      <c r="FO113" s="7"/>
      <c r="FP113" s="7"/>
      <c r="FQ113" s="7"/>
      <c r="FR113" s="7"/>
      <c r="FS113" s="77"/>
      <c r="FT113" s="30"/>
      <c r="FU113" s="7"/>
      <c r="FV113" s="55"/>
      <c r="FW113" s="55"/>
      <c r="FX113" s="7"/>
      <c r="FY113" s="7"/>
      <c r="FZ113" s="7"/>
      <c r="GA113" s="7"/>
      <c r="GB113" s="7"/>
      <c r="GC113" s="7"/>
      <c r="GD113" s="103"/>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29"/>
      <c r="IF113" s="7"/>
      <c r="IG113" s="7"/>
      <c r="IH113" s="7"/>
      <c r="II113" s="7"/>
      <c r="IJ113" s="7"/>
      <c r="IK113" s="7"/>
      <c r="IL113" s="7"/>
      <c r="IM113" s="7"/>
      <c r="IN113" s="7"/>
      <c r="IO113" s="7"/>
      <c r="IP113" s="7"/>
      <c r="IQ113" s="7"/>
      <c r="IR113" s="7"/>
      <c r="IS113" s="7"/>
      <c r="IT113" s="55"/>
      <c r="IU113" s="7"/>
      <c r="IV113" s="7"/>
    </row>
    <row r="114" spans="1:256" s="11" customFormat="1" ht="12.75" customHeight="1">
      <c r="A114" s="19"/>
      <c r="B114" s="19"/>
      <c r="C114" s="187" t="s">
        <v>4297</v>
      </c>
      <c r="D114" s="19"/>
      <c r="E114" s="7"/>
      <c r="F114" s="7"/>
      <c r="G114" s="7"/>
      <c r="H114" s="7"/>
      <c r="I114" s="8"/>
      <c r="J114" s="19" t="str">
        <f t="shared" ca="1" si="1"/>
        <v/>
      </c>
      <c r="K114" s="7"/>
      <c r="L114" s="7"/>
      <c r="M114" s="7"/>
      <c r="N114" s="7"/>
      <c r="O114" s="7"/>
      <c r="P114" s="7"/>
      <c r="Q114" s="29"/>
      <c r="R114" s="30"/>
      <c r="S114" s="7"/>
      <c r="T114" s="7"/>
      <c r="U114" s="31"/>
      <c r="V114" s="7"/>
      <c r="W114" s="7"/>
      <c r="X114" s="7"/>
      <c r="Y114" s="7"/>
      <c r="Z114" s="7"/>
      <c r="AA114" s="7"/>
      <c r="AB114" s="7"/>
      <c r="AC114" s="7"/>
      <c r="AD114" s="7"/>
      <c r="AE114" s="7"/>
      <c r="AF114" s="7"/>
      <c r="AG114" s="7"/>
      <c r="AH114" s="7"/>
      <c r="AI114" s="7"/>
      <c r="AJ114" s="122"/>
      <c r="AK114" s="41"/>
      <c r="AL114" s="52"/>
      <c r="AM114" s="20"/>
      <c r="AN114" s="20"/>
      <c r="AO114" s="20"/>
      <c r="AP114" s="20"/>
      <c r="AQ114" s="7"/>
      <c r="AR114" s="7"/>
      <c r="AS114" s="7"/>
      <c r="AT114" s="7"/>
      <c r="AU114" s="7"/>
      <c r="AV114" s="49"/>
      <c r="AW114" s="7"/>
      <c r="AX114" s="7"/>
      <c r="AY114" s="7"/>
      <c r="AZ114" s="7"/>
      <c r="BA114" s="7"/>
      <c r="BB114" s="7"/>
      <c r="BC114" s="7"/>
      <c r="BD114" s="55"/>
      <c r="BE114" s="55"/>
      <c r="BF114" s="7"/>
      <c r="BG114" s="7"/>
      <c r="BH114" s="7"/>
      <c r="BI114" s="7"/>
      <c r="BJ114" s="7"/>
      <c r="BK114" s="7"/>
      <c r="BL114" s="7"/>
      <c r="BM114" s="7"/>
      <c r="BN114" s="61"/>
      <c r="BO114" s="62"/>
      <c r="BP114" s="50"/>
      <c r="BQ114" s="20"/>
      <c r="BR114" s="7"/>
      <c r="BS114" s="7"/>
      <c r="BT114" s="7"/>
      <c r="BU114" s="7"/>
      <c r="BV114" s="55"/>
      <c r="BW114" s="7"/>
      <c r="BX114" s="55"/>
      <c r="BY114" s="7"/>
      <c r="BZ114" s="7"/>
      <c r="CA114" s="7"/>
      <c r="CB114" s="7"/>
      <c r="CC114" s="7"/>
      <c r="CD114" s="104"/>
      <c r="CE114" s="105"/>
      <c r="CF114" s="7"/>
      <c r="CG114" s="7"/>
      <c r="CH114" s="7"/>
      <c r="CI114" s="7"/>
      <c r="CJ114" s="7"/>
      <c r="CK114" s="7"/>
      <c r="CL114" s="7"/>
      <c r="CM114" s="7"/>
      <c r="CN114" s="7"/>
      <c r="CO114" s="7"/>
      <c r="CP114" s="55"/>
      <c r="CQ114" s="7"/>
      <c r="CR114" s="7"/>
      <c r="CS114" s="130"/>
      <c r="CT114" s="7"/>
      <c r="CU114" s="7"/>
      <c r="CV114" s="7"/>
      <c r="CW114" s="7"/>
      <c r="CX114" s="7"/>
      <c r="CY114" s="73"/>
      <c r="CZ114" s="7"/>
      <c r="DA114" s="7"/>
      <c r="DB114" s="7"/>
      <c r="DC114" s="48"/>
      <c r="DD114" s="7"/>
      <c r="DE114" s="7"/>
      <c r="DF114" s="7"/>
      <c r="DG114" s="7"/>
      <c r="DH114" s="7"/>
      <c r="DI114" s="7"/>
      <c r="DJ114" s="7"/>
      <c r="DK114" s="7"/>
      <c r="DL114" s="74"/>
      <c r="DM114" s="7"/>
      <c r="DN114" s="7"/>
      <c r="DO114" s="7"/>
      <c r="DP114" s="7"/>
      <c r="DQ114" s="58"/>
      <c r="DR114" s="7"/>
      <c r="DS114" s="7"/>
      <c r="DT114" s="7"/>
      <c r="DU114" s="73"/>
      <c r="DV114" s="73"/>
      <c r="DW114" s="7"/>
      <c r="DX114" s="7"/>
      <c r="DY114" s="7"/>
      <c r="DZ114" s="7"/>
      <c r="EA114" s="7"/>
      <c r="EB114" s="7"/>
      <c r="EC114" s="7"/>
      <c r="ED114" s="7"/>
      <c r="EE114" s="7"/>
      <c r="EF114" s="7"/>
      <c r="EG114" s="7"/>
      <c r="EH114" s="7"/>
      <c r="EI114" s="7"/>
      <c r="EJ114" s="7"/>
      <c r="EK114" s="7"/>
      <c r="EL114" s="7"/>
      <c r="EM114" s="7"/>
      <c r="EN114" s="19"/>
      <c r="EO114" s="7"/>
      <c r="EP114" s="7"/>
      <c r="EQ114" s="7"/>
      <c r="ER114" s="7"/>
      <c r="ES114" s="7"/>
      <c r="ET114" s="55"/>
      <c r="EU114" s="7"/>
      <c r="EV114" s="7"/>
      <c r="EW114" s="7"/>
      <c r="EX114" s="7"/>
      <c r="EY114" s="7"/>
      <c r="EZ114" s="7"/>
      <c r="FA114" s="7"/>
      <c r="FB114" s="7"/>
      <c r="FC114" s="55"/>
      <c r="FD114" s="55"/>
      <c r="FE114" s="55"/>
      <c r="FF114" s="7"/>
      <c r="FG114" s="7"/>
      <c r="FH114" s="7"/>
      <c r="FI114" s="7"/>
      <c r="FJ114" s="7"/>
      <c r="FK114" s="7"/>
      <c r="FL114" s="7"/>
      <c r="FM114" s="7"/>
      <c r="FN114" s="7"/>
      <c r="FO114" s="7"/>
      <c r="FP114" s="7"/>
      <c r="FQ114" s="7"/>
      <c r="FR114" s="7"/>
      <c r="FS114" s="77"/>
      <c r="FT114" s="30"/>
      <c r="FU114" s="7"/>
      <c r="FV114" s="55"/>
      <c r="FW114" s="55"/>
      <c r="FX114" s="7"/>
      <c r="FY114" s="7"/>
      <c r="FZ114" s="7"/>
      <c r="GA114" s="7"/>
      <c r="GB114" s="7"/>
      <c r="GC114" s="7"/>
      <c r="GD114" s="103"/>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29"/>
      <c r="IF114" s="7"/>
      <c r="IG114" s="7"/>
      <c r="IH114" s="7"/>
      <c r="II114" s="7"/>
      <c r="IJ114" s="7"/>
      <c r="IK114" s="7"/>
      <c r="IL114" s="7"/>
      <c r="IM114" s="7"/>
      <c r="IN114" s="7"/>
      <c r="IO114" s="7"/>
      <c r="IP114" s="7"/>
      <c r="IQ114" s="7"/>
      <c r="IR114" s="7"/>
      <c r="IS114" s="7"/>
      <c r="IT114" s="55"/>
      <c r="IU114" s="7"/>
      <c r="IV114" s="7"/>
    </row>
    <row r="115" spans="1:256" s="11" customFormat="1" ht="12.75" customHeight="1">
      <c r="A115" s="19"/>
      <c r="B115" s="19"/>
      <c r="C115" s="187" t="s">
        <v>4301</v>
      </c>
      <c r="D115" s="19"/>
      <c r="E115" s="7"/>
      <c r="F115" s="7"/>
      <c r="G115" s="7"/>
      <c r="H115" s="7"/>
      <c r="I115" s="8"/>
      <c r="J115" s="19" t="str">
        <f t="shared" ca="1" si="1"/>
        <v/>
      </c>
      <c r="K115" s="7"/>
      <c r="L115" s="7"/>
      <c r="M115" s="7"/>
      <c r="N115" s="7"/>
      <c r="O115" s="7"/>
      <c r="P115" s="7"/>
      <c r="Q115" s="29"/>
      <c r="R115" s="30"/>
      <c r="S115" s="7"/>
      <c r="T115" s="7"/>
      <c r="U115" s="31"/>
      <c r="V115" s="7"/>
      <c r="W115" s="7"/>
      <c r="X115" s="7"/>
      <c r="Y115" s="7"/>
      <c r="Z115" s="7"/>
      <c r="AA115" s="7"/>
      <c r="AB115" s="7"/>
      <c r="AC115" s="7"/>
      <c r="AD115" s="7"/>
      <c r="AE115" s="7"/>
      <c r="AF115" s="7"/>
      <c r="AG115" s="7"/>
      <c r="AH115" s="7"/>
      <c r="AI115" s="7"/>
      <c r="AJ115" s="122"/>
      <c r="AK115" s="41"/>
      <c r="AL115" s="52"/>
      <c r="AM115" s="20"/>
      <c r="AN115" s="20"/>
      <c r="AO115" s="20"/>
      <c r="AP115" s="20"/>
      <c r="AQ115" s="7"/>
      <c r="AR115" s="7"/>
      <c r="AS115" s="7"/>
      <c r="AT115" s="7"/>
      <c r="AU115" s="7"/>
      <c r="AV115" s="49"/>
      <c r="AW115" s="7"/>
      <c r="AX115" s="7"/>
      <c r="AY115" s="7"/>
      <c r="AZ115" s="7"/>
      <c r="BA115" s="7"/>
      <c r="BB115" s="7"/>
      <c r="BC115" s="7"/>
      <c r="BD115" s="55"/>
      <c r="BE115" s="55"/>
      <c r="BF115" s="7"/>
      <c r="BG115" s="7"/>
      <c r="BH115" s="7"/>
      <c r="BI115" s="7"/>
      <c r="BJ115" s="7"/>
      <c r="BK115" s="7"/>
      <c r="BL115" s="7"/>
      <c r="BM115" s="7"/>
      <c r="BN115" s="61"/>
      <c r="BO115" s="62"/>
      <c r="BP115" s="50"/>
      <c r="BQ115" s="20"/>
      <c r="BR115" s="7"/>
      <c r="BS115" s="7"/>
      <c r="BT115" s="7"/>
      <c r="BU115" s="7"/>
      <c r="BV115" s="55"/>
      <c r="BW115" s="7"/>
      <c r="BX115" s="55"/>
      <c r="BY115" s="7"/>
      <c r="BZ115" s="7"/>
      <c r="CA115" s="7"/>
      <c r="CB115" s="7"/>
      <c r="CC115" s="7"/>
      <c r="CD115" s="104"/>
      <c r="CE115" s="105"/>
      <c r="CF115" s="7"/>
      <c r="CG115" s="7"/>
      <c r="CH115" s="7"/>
      <c r="CI115" s="7"/>
      <c r="CJ115" s="7"/>
      <c r="CK115" s="7"/>
      <c r="CL115" s="7"/>
      <c r="CM115" s="7"/>
      <c r="CN115" s="7"/>
      <c r="CO115" s="7"/>
      <c r="CP115" s="55"/>
      <c r="CQ115" s="7"/>
      <c r="CR115" s="7"/>
      <c r="CS115" s="130"/>
      <c r="CT115" s="7"/>
      <c r="CU115" s="7"/>
      <c r="CV115" s="7"/>
      <c r="CW115" s="7"/>
      <c r="CX115" s="7"/>
      <c r="CY115" s="73"/>
      <c r="CZ115" s="7"/>
      <c r="DA115" s="7"/>
      <c r="DB115" s="7"/>
      <c r="DC115" s="48"/>
      <c r="DD115" s="7"/>
      <c r="DE115" s="7"/>
      <c r="DF115" s="7"/>
      <c r="DG115" s="7"/>
      <c r="DH115" s="7"/>
      <c r="DI115" s="7"/>
      <c r="DJ115" s="7"/>
      <c r="DK115" s="7"/>
      <c r="DL115" s="74"/>
      <c r="DM115" s="7"/>
      <c r="DN115" s="7"/>
      <c r="DO115" s="7"/>
      <c r="DP115" s="7"/>
      <c r="DQ115" s="58"/>
      <c r="DR115" s="7"/>
      <c r="DS115" s="7"/>
      <c r="DT115" s="7"/>
      <c r="DU115" s="73"/>
      <c r="DV115" s="73"/>
      <c r="DW115" s="7"/>
      <c r="DX115" s="7"/>
      <c r="DY115" s="7"/>
      <c r="DZ115" s="7"/>
      <c r="EA115" s="7"/>
      <c r="EB115" s="7"/>
      <c r="EC115" s="7"/>
      <c r="ED115" s="7"/>
      <c r="EE115" s="7"/>
      <c r="EF115" s="7"/>
      <c r="EG115" s="7"/>
      <c r="EH115" s="7"/>
      <c r="EI115" s="7"/>
      <c r="EJ115" s="7"/>
      <c r="EK115" s="7"/>
      <c r="EL115" s="7"/>
      <c r="EM115" s="7"/>
      <c r="EN115" s="19"/>
      <c r="EO115" s="7"/>
      <c r="EP115" s="7"/>
      <c r="EQ115" s="7"/>
      <c r="ER115" s="7"/>
      <c r="ES115" s="7"/>
      <c r="ET115" s="55"/>
      <c r="EU115" s="7"/>
      <c r="EV115" s="7"/>
      <c r="EW115" s="7"/>
      <c r="EX115" s="7"/>
      <c r="EY115" s="7"/>
      <c r="EZ115" s="7"/>
      <c r="FA115" s="7"/>
      <c r="FB115" s="7"/>
      <c r="FC115" s="55"/>
      <c r="FD115" s="55"/>
      <c r="FE115" s="55"/>
      <c r="FF115" s="7"/>
      <c r="FG115" s="7"/>
      <c r="FH115" s="7"/>
      <c r="FI115" s="7"/>
      <c r="FJ115" s="7"/>
      <c r="FK115" s="7"/>
      <c r="FL115" s="7"/>
      <c r="FM115" s="7"/>
      <c r="FN115" s="7"/>
      <c r="FO115" s="7"/>
      <c r="FP115" s="7"/>
      <c r="FQ115" s="7"/>
      <c r="FR115" s="7"/>
      <c r="FS115" s="77"/>
      <c r="FT115" s="30"/>
      <c r="FU115" s="7"/>
      <c r="FV115" s="55"/>
      <c r="FW115" s="55"/>
      <c r="FX115" s="7"/>
      <c r="FY115" s="7"/>
      <c r="FZ115" s="7"/>
      <c r="GA115" s="7"/>
      <c r="GB115" s="7"/>
      <c r="GC115" s="7"/>
      <c r="GD115" s="103"/>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29"/>
      <c r="IF115" s="7"/>
      <c r="IG115" s="7"/>
      <c r="IH115" s="7"/>
      <c r="II115" s="7"/>
      <c r="IJ115" s="7"/>
      <c r="IK115" s="7"/>
      <c r="IL115" s="7"/>
      <c r="IM115" s="7"/>
      <c r="IN115" s="7"/>
      <c r="IO115" s="7"/>
      <c r="IP115" s="7"/>
      <c r="IQ115" s="7"/>
      <c r="IR115" s="7"/>
      <c r="IS115" s="7"/>
      <c r="IT115" s="55"/>
      <c r="IU115" s="7"/>
      <c r="IV115" s="7"/>
    </row>
    <row r="116" spans="1:256" s="11" customFormat="1" ht="12.75" customHeight="1">
      <c r="A116" s="19"/>
      <c r="B116" s="19"/>
      <c r="C116" s="187"/>
      <c r="D116" s="19"/>
      <c r="E116" s="7"/>
      <c r="F116" s="7"/>
      <c r="G116" s="7"/>
      <c r="H116" s="7"/>
      <c r="I116" s="8"/>
      <c r="J116" s="19" t="str">
        <f t="shared" ca="1" si="1"/>
        <v/>
      </c>
      <c r="K116" s="7"/>
      <c r="L116" s="7"/>
      <c r="M116" s="7"/>
      <c r="N116" s="7"/>
      <c r="O116" s="7"/>
      <c r="P116" s="7"/>
      <c r="Q116" s="29"/>
      <c r="R116" s="30"/>
      <c r="S116" s="7"/>
      <c r="T116" s="7"/>
      <c r="U116" s="31"/>
      <c r="V116" s="7"/>
      <c r="W116" s="7"/>
      <c r="X116" s="7"/>
      <c r="Y116" s="7"/>
      <c r="Z116" s="7"/>
      <c r="AA116" s="7"/>
      <c r="AB116" s="7"/>
      <c r="AC116" s="7"/>
      <c r="AD116" s="7"/>
      <c r="AE116" s="7"/>
      <c r="AF116" s="7"/>
      <c r="AG116" s="7"/>
      <c r="AH116" s="7"/>
      <c r="AI116" s="7"/>
      <c r="AJ116" s="122"/>
      <c r="AK116" s="41"/>
      <c r="AL116" s="52"/>
      <c r="AM116" s="20"/>
      <c r="AN116" s="20"/>
      <c r="AO116" s="20"/>
      <c r="AP116" s="20"/>
      <c r="AQ116" s="7"/>
      <c r="AR116" s="7"/>
      <c r="AS116" s="7"/>
      <c r="AT116" s="7"/>
      <c r="AU116" s="7"/>
      <c r="AV116" s="49"/>
      <c r="AW116" s="7"/>
      <c r="AX116" s="7"/>
      <c r="AY116" s="7"/>
      <c r="AZ116" s="7"/>
      <c r="BA116" s="7"/>
      <c r="BB116" s="7"/>
      <c r="BC116" s="7"/>
      <c r="BD116" s="55"/>
      <c r="BE116" s="55"/>
      <c r="BF116" s="7"/>
      <c r="BG116" s="7"/>
      <c r="BH116" s="7"/>
      <c r="BI116" s="7"/>
      <c r="BJ116" s="7"/>
      <c r="BK116" s="7"/>
      <c r="BL116" s="7"/>
      <c r="BM116" s="7"/>
      <c r="BN116" s="61"/>
      <c r="BO116" s="62"/>
      <c r="BP116" s="50"/>
      <c r="BQ116" s="20"/>
      <c r="BR116" s="7"/>
      <c r="BS116" s="7"/>
      <c r="BT116" s="7"/>
      <c r="BU116" s="7"/>
      <c r="BV116" s="55"/>
      <c r="BW116" s="7"/>
      <c r="BX116" s="55"/>
      <c r="BY116" s="7"/>
      <c r="BZ116" s="7"/>
      <c r="CA116" s="7"/>
      <c r="CB116" s="7"/>
      <c r="CC116" s="7"/>
      <c r="CD116" s="104"/>
      <c r="CE116" s="105"/>
      <c r="CF116" s="7"/>
      <c r="CG116" s="7"/>
      <c r="CH116" s="7"/>
      <c r="CI116" s="7"/>
      <c r="CJ116" s="7"/>
      <c r="CK116" s="7"/>
      <c r="CL116" s="7"/>
      <c r="CM116" s="7"/>
      <c r="CN116" s="7"/>
      <c r="CO116" s="7"/>
      <c r="CP116" s="55"/>
      <c r="CQ116" s="7"/>
      <c r="CR116" s="7"/>
      <c r="CS116" s="130"/>
      <c r="CT116" s="7"/>
      <c r="CU116" s="7"/>
      <c r="CV116" s="7"/>
      <c r="CW116" s="7"/>
      <c r="CX116" s="7"/>
      <c r="CY116" s="73"/>
      <c r="CZ116" s="7"/>
      <c r="DA116" s="7"/>
      <c r="DB116" s="7"/>
      <c r="DC116" s="48"/>
      <c r="DD116" s="7"/>
      <c r="DE116" s="7"/>
      <c r="DF116" s="7"/>
      <c r="DG116" s="7"/>
      <c r="DH116" s="7"/>
      <c r="DI116" s="7"/>
      <c r="DJ116" s="7"/>
      <c r="DK116" s="7"/>
      <c r="DL116" s="74"/>
      <c r="DM116" s="7"/>
      <c r="DN116" s="7"/>
      <c r="DO116" s="7"/>
      <c r="DP116" s="7"/>
      <c r="DQ116" s="58"/>
      <c r="DR116" s="7"/>
      <c r="DS116" s="7"/>
      <c r="DT116" s="7"/>
      <c r="DU116" s="73"/>
      <c r="DV116" s="73"/>
      <c r="DW116" s="7"/>
      <c r="DX116" s="7"/>
      <c r="DY116" s="7"/>
      <c r="DZ116" s="7"/>
      <c r="EA116" s="7"/>
      <c r="EB116" s="7"/>
      <c r="EC116" s="7"/>
      <c r="ED116" s="7"/>
      <c r="EE116" s="7"/>
      <c r="EF116" s="7"/>
      <c r="EG116" s="7"/>
      <c r="EH116" s="7"/>
      <c r="EI116" s="7"/>
      <c r="EJ116" s="7"/>
      <c r="EK116" s="7"/>
      <c r="EL116" s="7"/>
      <c r="EM116" s="7"/>
      <c r="EN116" s="19"/>
      <c r="EO116" s="7"/>
      <c r="EP116" s="7"/>
      <c r="EQ116" s="7"/>
      <c r="ER116" s="7"/>
      <c r="ES116" s="7"/>
      <c r="ET116" s="55"/>
      <c r="EU116" s="7"/>
      <c r="EV116" s="7"/>
      <c r="EW116" s="7"/>
      <c r="EX116" s="7"/>
      <c r="EY116" s="7"/>
      <c r="EZ116" s="7"/>
      <c r="FA116" s="7"/>
      <c r="FB116" s="7"/>
      <c r="FC116" s="55"/>
      <c r="FD116" s="55"/>
      <c r="FE116" s="55"/>
      <c r="FF116" s="7"/>
      <c r="FG116" s="7"/>
      <c r="FH116" s="7"/>
      <c r="FI116" s="7"/>
      <c r="FJ116" s="7"/>
      <c r="FK116" s="7"/>
      <c r="FL116" s="7"/>
      <c r="FM116" s="7"/>
      <c r="FN116" s="7"/>
      <c r="FO116" s="7"/>
      <c r="FP116" s="7"/>
      <c r="FQ116" s="7"/>
      <c r="FR116" s="7"/>
      <c r="FS116" s="77"/>
      <c r="FT116" s="30"/>
      <c r="FU116" s="7"/>
      <c r="FV116" s="55"/>
      <c r="FW116" s="55"/>
      <c r="FX116" s="7"/>
      <c r="FY116" s="7"/>
      <c r="FZ116" s="7"/>
      <c r="GA116" s="7"/>
      <c r="GB116" s="7"/>
      <c r="GC116" s="7"/>
      <c r="GD116" s="103"/>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29"/>
      <c r="IF116" s="7"/>
      <c r="IG116" s="7"/>
      <c r="IH116" s="7"/>
      <c r="II116" s="7"/>
      <c r="IJ116" s="7"/>
      <c r="IK116" s="7"/>
      <c r="IL116" s="7"/>
      <c r="IM116" s="7"/>
      <c r="IN116" s="7"/>
      <c r="IO116" s="7"/>
      <c r="IP116" s="7"/>
      <c r="IQ116" s="7"/>
      <c r="IR116" s="7"/>
      <c r="IS116" s="7"/>
      <c r="IT116" s="55"/>
      <c r="IU116" s="7"/>
      <c r="IV116" s="7"/>
    </row>
    <row r="117" spans="1:256" s="11" customFormat="1" ht="12.75" customHeight="1">
      <c r="A117" s="19"/>
      <c r="B117" s="19"/>
      <c r="C117" s="187" t="s">
        <v>4350</v>
      </c>
      <c r="D117" s="19"/>
      <c r="E117" s="7"/>
      <c r="F117" s="7"/>
      <c r="G117" s="7"/>
      <c r="H117" s="7"/>
      <c r="I117" s="8"/>
      <c r="J117" s="19" t="str">
        <f t="shared" ca="1" si="1"/>
        <v/>
      </c>
      <c r="K117" s="7"/>
      <c r="L117" s="7"/>
      <c r="M117" s="7"/>
      <c r="N117" s="7"/>
      <c r="O117" s="7"/>
      <c r="P117" s="7"/>
      <c r="Q117" s="29"/>
      <c r="R117" s="30"/>
      <c r="S117" s="7"/>
      <c r="T117" s="7"/>
      <c r="U117" s="31"/>
      <c r="V117" s="7"/>
      <c r="W117" s="7"/>
      <c r="X117" s="7"/>
      <c r="Y117" s="7"/>
      <c r="Z117" s="7"/>
      <c r="AA117" s="7"/>
      <c r="AB117" s="7"/>
      <c r="AC117" s="7"/>
      <c r="AD117" s="7"/>
      <c r="AE117" s="7"/>
      <c r="AF117" s="7"/>
      <c r="AG117" s="7"/>
      <c r="AH117" s="7"/>
      <c r="AI117" s="7"/>
      <c r="AJ117" s="122"/>
      <c r="AK117" s="41"/>
      <c r="AL117" s="52"/>
      <c r="AM117" s="20"/>
      <c r="AN117" s="20"/>
      <c r="AO117" s="20"/>
      <c r="AP117" s="20"/>
      <c r="AQ117" s="7"/>
      <c r="AR117" s="7"/>
      <c r="AS117" s="7"/>
      <c r="AT117" s="7"/>
      <c r="AU117" s="7"/>
      <c r="AV117" s="49"/>
      <c r="AW117" s="7"/>
      <c r="AX117" s="7"/>
      <c r="AY117" s="7"/>
      <c r="AZ117" s="7"/>
      <c r="BA117" s="7"/>
      <c r="BB117" s="7"/>
      <c r="BC117" s="7"/>
      <c r="BD117" s="55"/>
      <c r="BE117" s="55"/>
      <c r="BF117" s="7"/>
      <c r="BG117" s="7"/>
      <c r="BH117" s="7"/>
      <c r="BI117" s="7"/>
      <c r="BJ117" s="7"/>
      <c r="BK117" s="7"/>
      <c r="BL117" s="7"/>
      <c r="BM117" s="7"/>
      <c r="BN117" s="61"/>
      <c r="BO117" s="62"/>
      <c r="BP117" s="50"/>
      <c r="BQ117" s="20"/>
      <c r="BR117" s="7"/>
      <c r="BS117" s="7"/>
      <c r="BT117" s="7"/>
      <c r="BU117" s="7"/>
      <c r="BV117" s="55"/>
      <c r="BW117" s="7"/>
      <c r="BX117" s="55"/>
      <c r="BY117" s="7"/>
      <c r="BZ117" s="7"/>
      <c r="CA117" s="7"/>
      <c r="CB117" s="7"/>
      <c r="CC117" s="7"/>
      <c r="CD117" s="104"/>
      <c r="CE117" s="105"/>
      <c r="CF117" s="7"/>
      <c r="CG117" s="7"/>
      <c r="CH117" s="7"/>
      <c r="CI117" s="7"/>
      <c r="CJ117" s="7"/>
      <c r="CK117" s="7"/>
      <c r="CL117" s="7"/>
      <c r="CM117" s="7"/>
      <c r="CN117" s="7"/>
      <c r="CO117" s="7"/>
      <c r="CP117" s="55"/>
      <c r="CQ117" s="7"/>
      <c r="CR117" s="7"/>
      <c r="CS117" s="130"/>
      <c r="CT117" s="7"/>
      <c r="CU117" s="7"/>
      <c r="CV117" s="7"/>
      <c r="CW117" s="7"/>
      <c r="CX117" s="7"/>
      <c r="CY117" s="73"/>
      <c r="CZ117" s="7"/>
      <c r="DA117" s="7"/>
      <c r="DB117" s="7"/>
      <c r="DC117" s="48"/>
      <c r="DD117" s="7"/>
      <c r="DE117" s="7"/>
      <c r="DF117" s="7"/>
      <c r="DG117" s="7"/>
      <c r="DH117" s="7"/>
      <c r="DI117" s="7"/>
      <c r="DJ117" s="7"/>
      <c r="DK117" s="7"/>
      <c r="DL117" s="74"/>
      <c r="DM117" s="7"/>
      <c r="DN117" s="7"/>
      <c r="DO117" s="7"/>
      <c r="DP117" s="7"/>
      <c r="DQ117" s="58"/>
      <c r="DR117" s="7"/>
      <c r="DS117" s="7"/>
      <c r="DT117" s="7"/>
      <c r="DU117" s="73"/>
      <c r="DV117" s="73"/>
      <c r="DW117" s="7"/>
      <c r="DX117" s="7"/>
      <c r="DY117" s="7"/>
      <c r="DZ117" s="7"/>
      <c r="EA117" s="7"/>
      <c r="EB117" s="7"/>
      <c r="EC117" s="7"/>
      <c r="ED117" s="7"/>
      <c r="EE117" s="7"/>
      <c r="EF117" s="7"/>
      <c r="EG117" s="7"/>
      <c r="EH117" s="7"/>
      <c r="EI117" s="7"/>
      <c r="EJ117" s="7"/>
      <c r="EK117" s="7"/>
      <c r="EL117" s="7"/>
      <c r="EM117" s="7"/>
      <c r="EN117" s="19"/>
      <c r="EO117" s="7"/>
      <c r="EP117" s="7"/>
      <c r="EQ117" s="7"/>
      <c r="ER117" s="7"/>
      <c r="ES117" s="7"/>
      <c r="ET117" s="55"/>
      <c r="EU117" s="7"/>
      <c r="EV117" s="7"/>
      <c r="EW117" s="7"/>
      <c r="EX117" s="7"/>
      <c r="EY117" s="7"/>
      <c r="EZ117" s="7"/>
      <c r="FA117" s="7"/>
      <c r="FB117" s="7"/>
      <c r="FC117" s="55"/>
      <c r="FD117" s="55"/>
      <c r="FE117" s="55"/>
      <c r="FF117" s="7"/>
      <c r="FG117" s="7"/>
      <c r="FH117" s="7"/>
      <c r="FI117" s="7"/>
      <c r="FJ117" s="7"/>
      <c r="FK117" s="7"/>
      <c r="FL117" s="7"/>
      <c r="FM117" s="7"/>
      <c r="FN117" s="7"/>
      <c r="FO117" s="7"/>
      <c r="FP117" s="7"/>
      <c r="FQ117" s="7"/>
      <c r="FR117" s="7"/>
      <c r="FS117" s="77"/>
      <c r="FT117" s="30"/>
      <c r="FU117" s="7"/>
      <c r="FV117" s="55"/>
      <c r="FW117" s="55"/>
      <c r="FX117" s="7"/>
      <c r="FY117" s="7"/>
      <c r="FZ117" s="7"/>
      <c r="GA117" s="7"/>
      <c r="GB117" s="7"/>
      <c r="GC117" s="7"/>
      <c r="GD117" s="103"/>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29"/>
      <c r="IF117" s="7"/>
      <c r="IG117" s="7"/>
      <c r="IH117" s="7"/>
      <c r="II117" s="7"/>
      <c r="IJ117" s="7"/>
      <c r="IK117" s="7"/>
      <c r="IL117" s="7"/>
      <c r="IM117" s="7"/>
      <c r="IN117" s="7"/>
      <c r="IO117" s="7"/>
      <c r="IP117" s="7"/>
      <c r="IQ117" s="7"/>
      <c r="IR117" s="7"/>
      <c r="IS117" s="7"/>
      <c r="IT117" s="55"/>
      <c r="IU117" s="7"/>
      <c r="IV117" s="7"/>
    </row>
    <row r="118" spans="1:256" s="11" customFormat="1" ht="12.75" customHeight="1">
      <c r="A118" s="19"/>
      <c r="B118" s="19"/>
      <c r="C118" s="187" t="s">
        <v>1352</v>
      </c>
      <c r="D118" s="19"/>
      <c r="E118" s="7"/>
      <c r="F118" s="7"/>
      <c r="G118" s="7"/>
      <c r="H118" s="7"/>
      <c r="I118" s="8"/>
      <c r="J118" s="19" t="str">
        <f t="shared" ca="1" si="1"/>
        <v/>
      </c>
      <c r="K118" s="7"/>
      <c r="L118" s="7"/>
      <c r="M118" s="7"/>
      <c r="N118" s="7"/>
      <c r="O118" s="7"/>
      <c r="P118" s="7"/>
      <c r="Q118" s="29"/>
      <c r="R118" s="30"/>
      <c r="S118" s="7"/>
      <c r="T118" s="7"/>
      <c r="U118" s="31"/>
      <c r="V118" s="7"/>
      <c r="W118" s="7"/>
      <c r="X118" s="7"/>
      <c r="Y118" s="7"/>
      <c r="Z118" s="7"/>
      <c r="AA118" s="7"/>
      <c r="AB118" s="7"/>
      <c r="AC118" s="7"/>
      <c r="AD118" s="7"/>
      <c r="AE118" s="7"/>
      <c r="AF118" s="7"/>
      <c r="AG118" s="7"/>
      <c r="AH118" s="7"/>
      <c r="AI118" s="7"/>
      <c r="AJ118" s="122"/>
      <c r="AK118" s="41"/>
      <c r="AL118" s="52"/>
      <c r="AM118" s="20"/>
      <c r="AN118" s="20"/>
      <c r="AO118" s="20"/>
      <c r="AP118" s="20"/>
      <c r="AQ118" s="7"/>
      <c r="AR118" s="7"/>
      <c r="AS118" s="7"/>
      <c r="AT118" s="7"/>
      <c r="AU118" s="7"/>
      <c r="AV118" s="49"/>
      <c r="AW118" s="7"/>
      <c r="AX118" s="7"/>
      <c r="AY118" s="7"/>
      <c r="AZ118" s="7"/>
      <c r="BA118" s="7"/>
      <c r="BB118" s="7"/>
      <c r="BC118" s="7"/>
      <c r="BD118" s="55"/>
      <c r="BE118" s="55"/>
      <c r="BF118" s="7"/>
      <c r="BG118" s="7"/>
      <c r="BH118" s="7"/>
      <c r="BI118" s="7"/>
      <c r="BJ118" s="7"/>
      <c r="BK118" s="7"/>
      <c r="BL118" s="7"/>
      <c r="BM118" s="7"/>
      <c r="BN118" s="61"/>
      <c r="BO118" s="62"/>
      <c r="BP118" s="50"/>
      <c r="BQ118" s="20"/>
      <c r="BR118" s="7"/>
      <c r="BS118" s="7"/>
      <c r="BT118" s="7"/>
      <c r="BU118" s="7"/>
      <c r="BV118" s="55"/>
      <c r="BW118" s="7"/>
      <c r="BX118" s="55"/>
      <c r="BY118" s="7"/>
      <c r="BZ118" s="7"/>
      <c r="CA118" s="7"/>
      <c r="CB118" s="7"/>
      <c r="CC118" s="7"/>
      <c r="CD118" s="104"/>
      <c r="CE118" s="105"/>
      <c r="CF118" s="7"/>
      <c r="CG118" s="7"/>
      <c r="CH118" s="7"/>
      <c r="CI118" s="7"/>
      <c r="CJ118" s="7"/>
      <c r="CK118" s="7"/>
      <c r="CL118" s="7"/>
      <c r="CM118" s="7"/>
      <c r="CN118" s="7"/>
      <c r="CO118" s="7"/>
      <c r="CP118" s="55"/>
      <c r="CQ118" s="7"/>
      <c r="CR118" s="7"/>
      <c r="CS118" s="130"/>
      <c r="CT118" s="7"/>
      <c r="CU118" s="7"/>
      <c r="CV118" s="7"/>
      <c r="CW118" s="7"/>
      <c r="CX118" s="7"/>
      <c r="CY118" s="73"/>
      <c r="CZ118" s="7"/>
      <c r="DA118" s="7"/>
      <c r="DB118" s="7"/>
      <c r="DC118" s="48"/>
      <c r="DD118" s="7"/>
      <c r="DE118" s="7"/>
      <c r="DF118" s="7"/>
      <c r="DG118" s="7"/>
      <c r="DH118" s="7"/>
      <c r="DI118" s="7"/>
      <c r="DJ118" s="7"/>
      <c r="DK118" s="7"/>
      <c r="DL118" s="74"/>
      <c r="DM118" s="7"/>
      <c r="DN118" s="7"/>
      <c r="DO118" s="7"/>
      <c r="DP118" s="7"/>
      <c r="DQ118" s="58"/>
      <c r="DR118" s="7"/>
      <c r="DS118" s="7"/>
      <c r="DT118" s="7"/>
      <c r="DU118" s="73"/>
      <c r="DV118" s="73"/>
      <c r="DW118" s="7"/>
      <c r="DX118" s="7"/>
      <c r="DY118" s="7"/>
      <c r="DZ118" s="7"/>
      <c r="EA118" s="7"/>
      <c r="EB118" s="7"/>
      <c r="EC118" s="7"/>
      <c r="ED118" s="7"/>
      <c r="EE118" s="7"/>
      <c r="EF118" s="7"/>
      <c r="EG118" s="7"/>
      <c r="EH118" s="7"/>
      <c r="EI118" s="7"/>
      <c r="EJ118" s="7"/>
      <c r="EK118" s="7"/>
      <c r="EL118" s="7"/>
      <c r="EM118" s="7"/>
      <c r="EN118" s="19"/>
      <c r="EO118" s="7"/>
      <c r="EP118" s="7"/>
      <c r="EQ118" s="7"/>
      <c r="ER118" s="7"/>
      <c r="ES118" s="7"/>
      <c r="ET118" s="55"/>
      <c r="EU118" s="7"/>
      <c r="EV118" s="7"/>
      <c r="EW118" s="7"/>
      <c r="EX118" s="7"/>
      <c r="EY118" s="7"/>
      <c r="EZ118" s="7"/>
      <c r="FA118" s="7"/>
      <c r="FB118" s="7"/>
      <c r="FC118" s="55"/>
      <c r="FD118" s="55"/>
      <c r="FE118" s="55"/>
      <c r="FF118" s="7"/>
      <c r="FG118" s="7"/>
      <c r="FH118" s="7"/>
      <c r="FI118" s="7"/>
      <c r="FJ118" s="7"/>
      <c r="FK118" s="7"/>
      <c r="FL118" s="7"/>
      <c r="FM118" s="7"/>
      <c r="FN118" s="7"/>
      <c r="FO118" s="7"/>
      <c r="FP118" s="7"/>
      <c r="FQ118" s="7"/>
      <c r="FR118" s="7"/>
      <c r="FS118" s="77"/>
      <c r="FT118" s="30"/>
      <c r="FU118" s="7"/>
      <c r="FV118" s="55"/>
      <c r="FW118" s="55"/>
      <c r="FX118" s="7"/>
      <c r="FY118" s="7"/>
      <c r="FZ118" s="7"/>
      <c r="GA118" s="7"/>
      <c r="GB118" s="7"/>
      <c r="GC118" s="7"/>
      <c r="GD118" s="103"/>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29"/>
      <c r="IF118" s="7"/>
      <c r="IG118" s="7"/>
      <c r="IH118" s="7"/>
      <c r="II118" s="7"/>
      <c r="IJ118" s="7"/>
      <c r="IK118" s="7"/>
      <c r="IL118" s="7"/>
      <c r="IM118" s="7"/>
      <c r="IN118" s="7"/>
      <c r="IO118" s="7"/>
      <c r="IP118" s="7"/>
      <c r="IQ118" s="7"/>
      <c r="IR118" s="7"/>
      <c r="IS118" s="7"/>
      <c r="IT118" s="55"/>
      <c r="IU118" s="7"/>
      <c r="IV118" s="7"/>
    </row>
    <row r="119" spans="1:256" s="11" customFormat="1" ht="12.75" customHeight="1">
      <c r="A119" s="19"/>
      <c r="B119" s="19"/>
      <c r="C119" s="187" t="s">
        <v>5324</v>
      </c>
      <c r="D119" s="19"/>
      <c r="E119" s="7"/>
      <c r="F119" s="7"/>
      <c r="G119" s="7"/>
      <c r="H119" s="7"/>
      <c r="I119" s="8"/>
      <c r="J119" s="19" t="str">
        <f t="shared" ca="1" si="1"/>
        <v/>
      </c>
      <c r="K119" s="7"/>
      <c r="L119" s="7"/>
      <c r="M119" s="7"/>
      <c r="N119" s="7"/>
      <c r="O119" s="7"/>
      <c r="P119" s="7"/>
      <c r="Q119" s="29"/>
      <c r="R119" s="30"/>
      <c r="S119" s="7"/>
      <c r="T119" s="7"/>
      <c r="U119" s="31"/>
      <c r="V119" s="7"/>
      <c r="W119" s="7"/>
      <c r="X119" s="7"/>
      <c r="Y119" s="7"/>
      <c r="Z119" s="7"/>
      <c r="AA119" s="7"/>
      <c r="AB119" s="7"/>
      <c r="AC119" s="7"/>
      <c r="AD119" s="7"/>
      <c r="AE119" s="7"/>
      <c r="AF119" s="7"/>
      <c r="AG119" s="7"/>
      <c r="AH119" s="7"/>
      <c r="AI119" s="7"/>
      <c r="AJ119" s="122"/>
      <c r="AK119" s="41"/>
      <c r="AL119" s="52"/>
      <c r="AM119" s="20"/>
      <c r="AN119" s="20"/>
      <c r="AO119" s="20"/>
      <c r="AP119" s="20"/>
      <c r="AQ119" s="7"/>
      <c r="AR119" s="7"/>
      <c r="AS119" s="7"/>
      <c r="AT119" s="7"/>
      <c r="AU119" s="7"/>
      <c r="AV119" s="49"/>
      <c r="AW119" s="7"/>
      <c r="AX119" s="7"/>
      <c r="AY119" s="7"/>
      <c r="AZ119" s="7"/>
      <c r="BA119" s="7"/>
      <c r="BB119" s="7"/>
      <c r="BC119" s="7"/>
      <c r="BD119" s="55"/>
      <c r="BE119" s="55"/>
      <c r="BF119" s="7"/>
      <c r="BG119" s="7"/>
      <c r="BH119" s="7"/>
      <c r="BI119" s="7"/>
      <c r="BJ119" s="7"/>
      <c r="BK119" s="7"/>
      <c r="BL119" s="7"/>
      <c r="BM119" s="7"/>
      <c r="BN119" s="61"/>
      <c r="BO119" s="62"/>
      <c r="BP119" s="50"/>
      <c r="BQ119" s="20"/>
      <c r="BR119" s="7"/>
      <c r="BS119" s="7"/>
      <c r="BT119" s="7"/>
      <c r="BU119" s="7"/>
      <c r="BV119" s="55"/>
      <c r="BW119" s="7"/>
      <c r="BX119" s="55"/>
      <c r="BY119" s="7"/>
      <c r="BZ119" s="7"/>
      <c r="CA119" s="7"/>
      <c r="CB119" s="7"/>
      <c r="CC119" s="7"/>
      <c r="CD119" s="104"/>
      <c r="CE119" s="105"/>
      <c r="CF119" s="7"/>
      <c r="CG119" s="7"/>
      <c r="CH119" s="7"/>
      <c r="CI119" s="7"/>
      <c r="CJ119" s="7"/>
      <c r="CK119" s="7"/>
      <c r="CL119" s="7"/>
      <c r="CM119" s="7"/>
      <c r="CN119" s="7"/>
      <c r="CO119" s="7"/>
      <c r="CP119" s="55"/>
      <c r="CQ119" s="7"/>
      <c r="CR119" s="7"/>
      <c r="CS119" s="130"/>
      <c r="CT119" s="7"/>
      <c r="CU119" s="7"/>
      <c r="CV119" s="7"/>
      <c r="CW119" s="7"/>
      <c r="CX119" s="7"/>
      <c r="CY119" s="73"/>
      <c r="CZ119" s="7"/>
      <c r="DA119" s="7"/>
      <c r="DB119" s="7"/>
      <c r="DC119" s="48"/>
      <c r="DD119" s="7"/>
      <c r="DE119" s="7"/>
      <c r="DF119" s="7"/>
      <c r="DG119" s="7"/>
      <c r="DH119" s="7"/>
      <c r="DI119" s="7"/>
      <c r="DJ119" s="7"/>
      <c r="DK119" s="7"/>
      <c r="DL119" s="74"/>
      <c r="DM119" s="7"/>
      <c r="DN119" s="7"/>
      <c r="DO119" s="7"/>
      <c r="DP119" s="7"/>
      <c r="DQ119" s="58"/>
      <c r="DR119" s="7"/>
      <c r="DS119" s="7"/>
      <c r="DT119" s="7"/>
      <c r="DU119" s="73"/>
      <c r="DV119" s="73"/>
      <c r="DW119" s="7"/>
      <c r="DX119" s="7"/>
      <c r="DY119" s="7"/>
      <c r="DZ119" s="7"/>
      <c r="EA119" s="7"/>
      <c r="EB119" s="7"/>
      <c r="EC119" s="7"/>
      <c r="ED119" s="7"/>
      <c r="EE119" s="7"/>
      <c r="EF119" s="7"/>
      <c r="EG119" s="7"/>
      <c r="EH119" s="7"/>
      <c r="EI119" s="7"/>
      <c r="EJ119" s="7"/>
      <c r="EK119" s="7"/>
      <c r="EL119" s="7"/>
      <c r="EM119" s="7"/>
      <c r="EN119" s="19"/>
      <c r="EO119" s="7"/>
      <c r="EP119" s="7"/>
      <c r="EQ119" s="7"/>
      <c r="ER119" s="7"/>
      <c r="ES119" s="7"/>
      <c r="ET119" s="55"/>
      <c r="EU119" s="7"/>
      <c r="EV119" s="7"/>
      <c r="EW119" s="7"/>
      <c r="EX119" s="7"/>
      <c r="EY119" s="7"/>
      <c r="EZ119" s="7"/>
      <c r="FA119" s="7"/>
      <c r="FB119" s="7"/>
      <c r="FC119" s="55"/>
      <c r="FD119" s="55"/>
      <c r="FE119" s="55"/>
      <c r="FF119" s="7"/>
      <c r="FG119" s="7"/>
      <c r="FH119" s="7"/>
      <c r="FI119" s="7"/>
      <c r="FJ119" s="7"/>
      <c r="FK119" s="7"/>
      <c r="FL119" s="7"/>
      <c r="FM119" s="7"/>
      <c r="FN119" s="7"/>
      <c r="FO119" s="7"/>
      <c r="FP119" s="7"/>
      <c r="FQ119" s="7"/>
      <c r="FR119" s="7"/>
      <c r="FS119" s="77"/>
      <c r="FT119" s="30"/>
      <c r="FU119" s="7"/>
      <c r="FV119" s="55"/>
      <c r="FW119" s="55"/>
      <c r="FX119" s="7"/>
      <c r="FY119" s="7"/>
      <c r="FZ119" s="7"/>
      <c r="GA119" s="7"/>
      <c r="GB119" s="7"/>
      <c r="GC119" s="7"/>
      <c r="GD119" s="103"/>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29"/>
      <c r="IF119" s="7"/>
      <c r="IG119" s="7"/>
      <c r="IH119" s="7"/>
      <c r="II119" s="7"/>
      <c r="IJ119" s="7"/>
      <c r="IK119" s="7"/>
      <c r="IL119" s="7"/>
      <c r="IM119" s="7"/>
      <c r="IN119" s="7"/>
      <c r="IO119" s="7"/>
      <c r="IP119" s="7"/>
      <c r="IQ119" s="7"/>
      <c r="IR119" s="7"/>
      <c r="IS119" s="7"/>
      <c r="IT119" s="55"/>
      <c r="IU119" s="7"/>
      <c r="IV119" s="7"/>
    </row>
    <row r="120" spans="1:256" s="136" customFormat="1" ht="13.5" customHeight="1" thickBot="1">
      <c r="C120" s="189">
        <f>COUNTA(SurveyDATA!C97:C100)</f>
        <v>4</v>
      </c>
      <c r="D120" s="145">
        <f>COUNTA(SurveyDATA!D97:D100)</f>
        <v>2</v>
      </c>
      <c r="E120" s="145">
        <f>COUNTA(SurveyDATA!E97:E100)</f>
        <v>3</v>
      </c>
      <c r="F120" s="145">
        <f>COUNTA(SurveyDATA!F97:F100)</f>
        <v>0</v>
      </c>
      <c r="G120" s="145">
        <f>COUNTA(SurveyDATA!G98:G100)</f>
        <v>1</v>
      </c>
      <c r="H120" s="145">
        <f>COUNTA(SurveyDATA!H98:H100)</f>
        <v>0</v>
      </c>
      <c r="I120" s="145">
        <f>COUNTA(SurveyDATA!I98:I100)</f>
        <v>1</v>
      </c>
      <c r="J120" s="145">
        <f>COUNTA(SurveyDATA!J98:J100)</f>
        <v>1</v>
      </c>
      <c r="K120" s="145">
        <f>COUNTA(SurveyDATA!K98:K100)</f>
        <v>2</v>
      </c>
      <c r="L120" s="145">
        <f>COUNTA(SurveyDATA!L98:L100)</f>
        <v>2</v>
      </c>
      <c r="M120" s="145">
        <f>COUNTA(SurveyDATA!M98:M100)</f>
        <v>0</v>
      </c>
      <c r="N120" s="145">
        <f>COUNTA(SurveyDATA!N98:N100)</f>
        <v>1</v>
      </c>
      <c r="O120" s="145">
        <f>COUNTA(SurveyDATA!O98:O100)</f>
        <v>1</v>
      </c>
      <c r="P120" s="145">
        <f>COUNTA(SurveyDATA!P98:P100)</f>
        <v>2</v>
      </c>
      <c r="Q120" s="145">
        <f>COUNTA(SurveyDATA!Q101:Q131)</f>
        <v>18</v>
      </c>
      <c r="R120" s="145">
        <f>COUNTA(SurveyDATA!R101:R131)</f>
        <v>18</v>
      </c>
      <c r="S120" s="145">
        <f>COUNTA(SurveyDATA!S101:S131)</f>
        <v>18</v>
      </c>
      <c r="T120" s="145">
        <f>COUNTA(SurveyDATA!T101:T131)</f>
        <v>0</v>
      </c>
      <c r="U120" s="145">
        <f>COUNTA(SurveyDATA!U101:U131)</f>
        <v>14</v>
      </c>
      <c r="V120" s="145">
        <f>COUNTA(SurveyDATA!V101:V131)</f>
        <v>18</v>
      </c>
      <c r="W120" s="145">
        <f>COUNTA(SurveyDATA!Y98:Y100)</f>
        <v>2</v>
      </c>
      <c r="X120" s="145">
        <f>COUNTA(SurveyDATA!Z98:Z100)</f>
        <v>2</v>
      </c>
      <c r="Y120" s="145">
        <f>COUNTA(SurveyDATA!AA98:AA100)</f>
        <v>2</v>
      </c>
      <c r="Z120" s="145">
        <f>COUNTA(SurveyDATA!AB98:AB100)</f>
        <v>2</v>
      </c>
      <c r="AA120" s="145">
        <f>COUNTA(SurveyDATA!AC98:AC100)</f>
        <v>2</v>
      </c>
      <c r="AB120" s="145">
        <f>COUNTA(SurveyDATA!AD98:AD100)</f>
        <v>0</v>
      </c>
      <c r="AC120" s="145">
        <f>COUNTA(SurveyDATA!AE98:AE100)</f>
        <v>0</v>
      </c>
      <c r="AD120" s="145">
        <f>COUNTA(SurveyDATA!AF98:AF100)</f>
        <v>2</v>
      </c>
      <c r="AE120" s="145">
        <f>COUNTA(SurveyDATA!AG97:AG100)</f>
        <v>2</v>
      </c>
      <c r="AF120" s="145">
        <f>COUNTA(SurveyDATA!AH97:AH100)</f>
        <v>2</v>
      </c>
      <c r="AG120" s="145">
        <f>COUNTA(SurveyDATA!AI97:AI100)</f>
        <v>2</v>
      </c>
      <c r="AH120" s="145">
        <f>COUNTA(SurveyDATA!AJ97:AJ100)</f>
        <v>0</v>
      </c>
      <c r="AI120" s="145">
        <f>COUNTA(SurveyDATA!AK97:AK100)</f>
        <v>4</v>
      </c>
      <c r="AJ120" s="145">
        <f>COUNTA(SurveyDATA!AL97:AL100)</f>
        <v>1</v>
      </c>
      <c r="AK120" s="145">
        <f>COUNTA(SurveyDATA!AM97:AM100)</f>
        <v>1</v>
      </c>
      <c r="AL120" s="145">
        <f>COUNTA(SurveyDATA!AN97:AN100)</f>
        <v>0</v>
      </c>
      <c r="AM120" s="145">
        <f>COUNTA(SurveyDATA!AO97:AO100)</f>
        <v>2</v>
      </c>
      <c r="AN120" s="145">
        <f>COUNTA(SurveyDATA!AP98:AP100)</f>
        <v>0</v>
      </c>
      <c r="AO120" s="145">
        <f>COUNTA(SurveyDATA!AQ98:AQ100)</f>
        <v>0</v>
      </c>
      <c r="AP120" s="145">
        <f>COUNTA(SurveyDATA!AR98:AR100)</f>
        <v>0</v>
      </c>
      <c r="AQ120" s="145">
        <f>COUNTA(SurveyDATA!AS98:AS100)</f>
        <v>1</v>
      </c>
      <c r="AR120" s="145">
        <f>COUNTA(SurveyDATA!AT98:AT100)</f>
        <v>1</v>
      </c>
      <c r="AS120" s="145">
        <f>COUNTA(SurveyDATA!AU98:AU100)</f>
        <v>0</v>
      </c>
      <c r="AT120" s="145">
        <f>COUNTA(SurveyDATA!AV98:AV100)</f>
        <v>0</v>
      </c>
      <c r="AU120" s="145">
        <f>COUNTA(SurveyDATA!AW98:AW100)</f>
        <v>0</v>
      </c>
      <c r="AV120" s="245">
        <f>COUNTA(SurveyDATA!AX98:AX100)</f>
        <v>0</v>
      </c>
      <c r="AW120" s="145">
        <f>COUNTA(SurveyDATA!AY98:AY100)</f>
        <v>0</v>
      </c>
      <c r="AX120" s="145">
        <f>COUNTA(SurveyDATA!AZ98:AZ100)</f>
        <v>0</v>
      </c>
      <c r="AY120" s="145">
        <f>COUNTA(SurveyDATA!BA98:BA100)</f>
        <v>0</v>
      </c>
      <c r="AZ120" s="145">
        <f>COUNTA(SurveyDATA!BB98:BB100)</f>
        <v>0</v>
      </c>
      <c r="BA120" s="145">
        <f>COUNTA(SurveyDATA!BC98:BC100)</f>
        <v>1</v>
      </c>
      <c r="BB120" s="145">
        <f>COUNTA(SurveyDATA!BD98:BD100)</f>
        <v>1</v>
      </c>
      <c r="BC120" s="145">
        <f>COUNTA(SurveyDATA!BE98:BE100)</f>
        <v>1</v>
      </c>
      <c r="BD120" s="145">
        <f>COUNTA(SurveyDATA!BF98:BF100)</f>
        <v>1</v>
      </c>
      <c r="BE120" s="145">
        <f>COUNTA(SurveyDATA!BG98:BG100)</f>
        <v>1</v>
      </c>
      <c r="BF120" s="145">
        <f>COUNTA(SurveyDATA!BH98:BH100)</f>
        <v>1</v>
      </c>
      <c r="BG120" s="145">
        <f>COUNTA(SurveyDATA!BI98:BI100)</f>
        <v>1</v>
      </c>
      <c r="BH120" s="145">
        <f>COUNTA(SurveyDATA!BJ98:BJ100)</f>
        <v>0</v>
      </c>
      <c r="BI120" s="145">
        <f>COUNTA(SurveyDATA!BK98:BK100)</f>
        <v>1</v>
      </c>
      <c r="BJ120" s="145">
        <f>COUNTA(SurveyDATA!BL98:BL100)</f>
        <v>1</v>
      </c>
      <c r="BK120" s="145">
        <f>COUNTA(SurveyDATA!BM98:BM100)</f>
        <v>2</v>
      </c>
      <c r="BL120" s="145">
        <f>COUNTA(SurveyDATA!BN98:BN100)</f>
        <v>2</v>
      </c>
      <c r="BM120" s="145">
        <f>COUNTA(SurveyDATA!BO98:BO100)</f>
        <v>1</v>
      </c>
      <c r="BN120" s="145">
        <f>COUNTA(SurveyDATA!BP98:BP100)</f>
        <v>2</v>
      </c>
      <c r="BO120" s="291">
        <f>COUNTA(SurveyDATA!BQ98:BQ100)</f>
        <v>2</v>
      </c>
      <c r="BP120" s="145">
        <f>COUNTA(SurveyDATA!BR98:BR100)</f>
        <v>2</v>
      </c>
      <c r="BQ120" s="145">
        <f>COUNTA(SurveyDATA!BS98:BS100)</f>
        <v>2</v>
      </c>
      <c r="BR120" s="145">
        <f>COUNTA(SurveyDATA!BT98:BT100)</f>
        <v>2</v>
      </c>
      <c r="BS120" s="145">
        <f>COUNTA(SurveyDATA!BU98:BU100)</f>
        <v>2</v>
      </c>
      <c r="BT120" s="145">
        <f>COUNTA(SurveyDATA!BV98:BV100)</f>
        <v>2</v>
      </c>
      <c r="BU120" s="145">
        <f>COUNTA(SurveyDATA!BW98:BW100)</f>
        <v>1</v>
      </c>
      <c r="BV120" s="145">
        <f>COUNTA(SurveyDATA!BX98:BX100)</f>
        <v>1</v>
      </c>
      <c r="BW120" s="145">
        <f>COUNTA(SurveyDATA!BY98:BY100)</f>
        <v>1</v>
      </c>
      <c r="BX120" s="145">
        <f>COUNTA(SurveyDATA!BZ98:BZ100)</f>
        <v>1</v>
      </c>
      <c r="BY120" s="145">
        <f>COUNTA(SurveyDATA!CA98:CA100)</f>
        <v>0</v>
      </c>
      <c r="BZ120" s="145"/>
      <c r="CA120" s="145">
        <f>COUNTA(SurveyDATA!CC98:CC100)</f>
        <v>1</v>
      </c>
      <c r="CB120" s="145">
        <f>COUNTA(SurveyDATA!CD98:CD100)</f>
        <v>0</v>
      </c>
      <c r="CC120" s="145">
        <f>COUNTA(SurveyDATA!CE98:CE100)</f>
        <v>0</v>
      </c>
      <c r="CD120" s="145">
        <f>COUNTA(SurveyDATA!CF98:CF100)</f>
        <v>1</v>
      </c>
      <c r="CE120" s="145">
        <f>COUNTA(SurveyDATA!CG98:CG100)</f>
        <v>1</v>
      </c>
      <c r="CF120" s="145">
        <f>COUNTA(SurveyDATA!CH98:CH100)</f>
        <v>1</v>
      </c>
      <c r="CG120" s="145">
        <f>COUNTA(SurveyDATA!CI98:CI100)</f>
        <v>0</v>
      </c>
      <c r="CH120" s="145">
        <f>COUNTA(SurveyDATA!CJ98:CJ100)</f>
        <v>0</v>
      </c>
      <c r="CI120" s="145">
        <f>COUNTA(SurveyDATA!CK98:CK100)</f>
        <v>1</v>
      </c>
      <c r="CJ120" s="145">
        <f>COUNTA(SurveyDATA!CL98:CL100)</f>
        <v>1</v>
      </c>
      <c r="CK120" s="145">
        <f>COUNTA(SurveyDATA!CM98:CM100)</f>
        <v>1</v>
      </c>
      <c r="CL120" s="145">
        <f>COUNTA(SurveyDATA!CN98:CN100)</f>
        <v>0</v>
      </c>
      <c r="CM120" s="145">
        <f>COUNTA(SurveyDATA!CO98:CO100)</f>
        <v>1</v>
      </c>
      <c r="CN120" s="145">
        <f>COUNTA(SurveyDATA!CP98:CP100)</f>
        <v>0</v>
      </c>
      <c r="CO120" s="145">
        <f>COUNTA(SurveyDATA!CQ98:CQ100)</f>
        <v>0</v>
      </c>
      <c r="CP120" s="145">
        <f>COUNTA(SurveyDATA!CR98:CR100)</f>
        <v>0</v>
      </c>
      <c r="CQ120" s="145">
        <f>COUNTA(SurveyDATA!CS98:CS100)</f>
        <v>0</v>
      </c>
      <c r="CR120" s="145">
        <f>COUNTA(SurveyDATA!CT98:CT100)</f>
        <v>0</v>
      </c>
      <c r="CS120" s="145">
        <f>COUNTA(SurveyDATA!CU98:CU100)</f>
        <v>0</v>
      </c>
      <c r="CT120" s="145">
        <f>COUNTA(SurveyDATA!CV98:CV100)</f>
        <v>0</v>
      </c>
      <c r="CU120" s="145">
        <f>COUNTA(SurveyDATA!CW98:CW100)</f>
        <v>0</v>
      </c>
      <c r="CV120" s="145">
        <f>COUNTA(SurveyDATA!CX98:CX100)</f>
        <v>0</v>
      </c>
      <c r="CW120" s="145">
        <f>COUNTA(SurveyDATA!CY98:CY100)</f>
        <v>0</v>
      </c>
      <c r="CX120" s="145">
        <f>COUNTA(SurveyDATA!CZ98:CZ100)</f>
        <v>0</v>
      </c>
      <c r="CY120" s="145">
        <f>COUNTA(SurveyDATA!DA98:DA100)</f>
        <v>0</v>
      </c>
      <c r="CZ120" s="145">
        <f>COUNTA(SurveyDATA!DB98:DB100)</f>
        <v>0</v>
      </c>
      <c r="DA120" s="145">
        <f>COUNTA(SurveyDATA!DC98:DC100)</f>
        <v>0</v>
      </c>
      <c r="DB120" s="145">
        <f>COUNTA(SurveyDATA!DD98:DD100)</f>
        <v>0</v>
      </c>
      <c r="DC120" s="145">
        <f>COUNTA(SurveyDATA!DE98:DE100)</f>
        <v>0</v>
      </c>
      <c r="DD120" s="145">
        <f>COUNTA(SurveyDATA!DF98:DF100)</f>
        <v>0</v>
      </c>
      <c r="DE120" s="145">
        <f>COUNTA(SurveyDATA!DG98:DG100)</f>
        <v>0</v>
      </c>
      <c r="DF120" s="145">
        <f>COUNTA(SurveyDATA!DH98:DH100)</f>
        <v>0</v>
      </c>
      <c r="DG120" s="145">
        <f>COUNTA(SurveyDATA!DI98:DI100)</f>
        <v>0</v>
      </c>
      <c r="DH120" s="145">
        <f>COUNTA(SurveyDATA!DJ98:DJ100)</f>
        <v>0</v>
      </c>
      <c r="DI120" s="145">
        <f>COUNTA(SurveyDATA!DK98:DK100)</f>
        <v>0</v>
      </c>
      <c r="DJ120" s="145">
        <f>COUNTA(SurveyDATA!DL98:DL100)</f>
        <v>0</v>
      </c>
      <c r="DK120" s="145">
        <f>COUNTA(SurveyDATA!DM98:DM100)</f>
        <v>0</v>
      </c>
      <c r="DL120" s="145">
        <f>COUNTA(SurveyDATA!DN98:DN100)</f>
        <v>0</v>
      </c>
      <c r="DM120" s="145">
        <f>COUNTA(SurveyDATA!DO98:DO100)</f>
        <v>0</v>
      </c>
      <c r="DN120" s="145">
        <f>COUNTA(SurveyDATA!DP98:DP100)</f>
        <v>0</v>
      </c>
      <c r="DO120" s="145">
        <f>COUNTA(SurveyDATA!DQ98:DQ100)</f>
        <v>0</v>
      </c>
      <c r="DP120" s="145">
        <f>COUNTA(SurveyDATA!DR98:DR100)</f>
        <v>0</v>
      </c>
      <c r="DQ120" s="145">
        <f>COUNTA(SurveyDATA!DS98:DS100)</f>
        <v>0</v>
      </c>
      <c r="DR120" s="145">
        <f>COUNTA(SurveyDATA!DT98:DT100)</f>
        <v>0</v>
      </c>
      <c r="DS120" s="145">
        <f>COUNTA(SurveyDATA!DU98:DU100)</f>
        <v>0</v>
      </c>
      <c r="DT120" s="145">
        <f>COUNTA(SurveyDATA!DV98:DV100)</f>
        <v>0</v>
      </c>
      <c r="DU120" s="145">
        <f>COUNTA(SurveyDATA!DW98:DW100)</f>
        <v>0</v>
      </c>
      <c r="DV120" s="145">
        <f>COUNTA(SurveyDATA!DX98:DX100)</f>
        <v>0</v>
      </c>
      <c r="DW120" s="145">
        <f>COUNTA(SurveyDATA!DY98:DY100)</f>
        <v>0</v>
      </c>
      <c r="DX120" s="145">
        <f>COUNTA(SurveyDATA!DZ98:DZ100)</f>
        <v>0</v>
      </c>
      <c r="DY120" s="145">
        <f>COUNTA(SurveyDATA!EA98:EA100)</f>
        <v>0</v>
      </c>
      <c r="DZ120" s="145">
        <f>COUNTA(SurveyDATA!EB98:EB100)</f>
        <v>0</v>
      </c>
      <c r="EA120" s="145">
        <f>COUNTA(SurveyDATA!EC98:EC100)</f>
        <v>0</v>
      </c>
      <c r="EB120" s="145">
        <f>COUNTA(SurveyDATA!ED98:ED100)</f>
        <v>0</v>
      </c>
      <c r="EC120" s="145">
        <f>COUNTA(SurveyDATA!EE98:EE100)</f>
        <v>0</v>
      </c>
      <c r="ED120" s="145">
        <f>COUNTA(SurveyDATA!EF98:EF100)</f>
        <v>0</v>
      </c>
      <c r="EE120" s="145">
        <f>COUNTA(SurveyDATA!EG98:EG100)</f>
        <v>0</v>
      </c>
      <c r="EF120" s="145">
        <f>COUNTA(SurveyDATA!EH98:EH100)</f>
        <v>0</v>
      </c>
      <c r="EG120" s="145">
        <f>COUNTA(SurveyDATA!EI98:EI100)</f>
        <v>0</v>
      </c>
      <c r="EH120" s="145">
        <f>COUNTA(SurveyDATA!EJ98:EJ100)</f>
        <v>0</v>
      </c>
      <c r="EI120" s="145">
        <f>COUNTA(SurveyDATA!EK98:EK100)</f>
        <v>0</v>
      </c>
      <c r="EJ120" s="145">
        <f>COUNTA(SurveyDATA!EL98:EL100)</f>
        <v>0</v>
      </c>
      <c r="EK120" s="145">
        <f>COUNTA(SurveyDATA!EM98:EM100)</f>
        <v>0</v>
      </c>
      <c r="EL120" s="145">
        <f>COUNTA(SurveyDATA!EN98:EN100)</f>
        <v>0</v>
      </c>
      <c r="EM120" s="145">
        <f>COUNTA(SurveyDATA!EO98:EO100)</f>
        <v>0</v>
      </c>
      <c r="EN120" s="145">
        <f>COUNTA(SurveyDATA!EP98:EP100)</f>
        <v>0</v>
      </c>
      <c r="EO120" s="145">
        <f>COUNTA(SurveyDATA!EQ98:EQ100)</f>
        <v>0</v>
      </c>
      <c r="EP120" s="145">
        <f>COUNTA(SurveyDATA!EZ98:EZ100)</f>
        <v>0</v>
      </c>
      <c r="EQ120" s="145">
        <f>COUNTA(SurveyDATA!FA98:FA100)</f>
        <v>0</v>
      </c>
      <c r="ER120" s="145">
        <f>COUNTA(SurveyDATA!FB98:FB100)</f>
        <v>0</v>
      </c>
      <c r="ES120" s="145">
        <f>COUNTA(SurveyDATA!FC98:FC100)</f>
        <v>0</v>
      </c>
      <c r="ET120" s="145">
        <f>COUNTA(SurveyDATA!FD98:FD100)</f>
        <v>0</v>
      </c>
      <c r="EU120" s="145">
        <f>COUNTA(SurveyDATA!FE98:FE100)</f>
        <v>0</v>
      </c>
      <c r="EV120" s="145">
        <f>COUNTA(SurveyDATA!FF98:FF100)</f>
        <v>0</v>
      </c>
      <c r="EW120" s="145">
        <f>COUNTA(SurveyDATA!FG98:FG100)</f>
        <v>0</v>
      </c>
      <c r="EX120" s="145">
        <f>COUNTA(SurveyDATA!FH98:FH100)</f>
        <v>2</v>
      </c>
      <c r="EY120" s="145">
        <f>COUNTA(SurveyDATA!FI98:FI100)</f>
        <v>2</v>
      </c>
      <c r="EZ120" s="145">
        <f>COUNTA(SurveyDATA!FJ98:FJ100)</f>
        <v>1</v>
      </c>
      <c r="FA120" s="145">
        <f>COUNTA(SurveyDATA!FK98:FK100)</f>
        <v>0</v>
      </c>
      <c r="FB120" s="145">
        <f>COUNTA(SurveyDATA!FL98:FL100)</f>
        <v>0</v>
      </c>
      <c r="FC120" s="145">
        <f>COUNTA(SurveyDATA!FM98:FM100)</f>
        <v>1</v>
      </c>
      <c r="FD120" s="145">
        <f>COUNTA(SurveyDATA!FN98:FN100)</f>
        <v>0</v>
      </c>
      <c r="FE120" s="145">
        <f>COUNTA(SurveyDATA!FO98:FO100)</f>
        <v>0</v>
      </c>
      <c r="FF120" s="145">
        <f>COUNTA(SurveyDATA!FP98:FP100)</f>
        <v>2</v>
      </c>
      <c r="FG120" s="145">
        <f>COUNTA(SurveyDATA!FQ98:FQ100)</f>
        <v>2</v>
      </c>
      <c r="FH120" s="145">
        <f>COUNTA(SurveyDATA!FR98:FR100)</f>
        <v>0</v>
      </c>
      <c r="FI120" s="145">
        <f>COUNTA(SurveyDATA!FS98:FS100)</f>
        <v>0</v>
      </c>
      <c r="FJ120" s="145">
        <f>COUNTA(SurveyDATA!FT98:FT100)</f>
        <v>0</v>
      </c>
      <c r="FK120" s="145">
        <f>COUNTA(SurveyDATA!FU98:FU100)</f>
        <v>0</v>
      </c>
      <c r="FL120" s="145">
        <f>COUNTA(SurveyDATA!FV98:FV100)</f>
        <v>0</v>
      </c>
      <c r="FM120" s="145">
        <f>COUNTA(SurveyDATA!FW98:FW100)</f>
        <v>0</v>
      </c>
      <c r="FN120" s="145">
        <f>COUNTA(SurveyDATA!FX98:FX100)</f>
        <v>0</v>
      </c>
      <c r="FO120" s="145">
        <f>COUNTA(SurveyDATA!FY98:FY100)</f>
        <v>0</v>
      </c>
      <c r="FP120" s="145">
        <f>COUNTA(SurveyDATA!FZ98:FZ100)</f>
        <v>0</v>
      </c>
      <c r="FQ120" s="145">
        <f>COUNTA(SurveyDATA!GA98:GA100)</f>
        <v>0</v>
      </c>
      <c r="FR120" s="145">
        <f>COUNTA(SurveyDATA!GB98:GB100)</f>
        <v>0</v>
      </c>
      <c r="FS120" s="145">
        <f>COUNTA(SurveyDATA!GC98:GC100)</f>
        <v>0</v>
      </c>
      <c r="FT120" s="145">
        <f>COUNTA(SurveyDATA!GD98:GD100)</f>
        <v>0</v>
      </c>
      <c r="FU120" s="145">
        <f>COUNTA(SurveyDATA!GE98:GE100)</f>
        <v>0</v>
      </c>
      <c r="FV120" s="145">
        <f>COUNTA(SurveyDATA!GF98:GF100)</f>
        <v>0</v>
      </c>
      <c r="FW120" s="145">
        <f>COUNTA(SurveyDATA!GG98:GG100)</f>
        <v>0</v>
      </c>
      <c r="FX120" s="145">
        <f>COUNTA(SurveyDATA!GH98:GH100)</f>
        <v>1</v>
      </c>
      <c r="FY120" s="145">
        <f>COUNTA(SurveyDATA!GI98:GI100)</f>
        <v>0</v>
      </c>
      <c r="FZ120" s="145">
        <f>COUNTA(SurveyDATA!GJ98:GJ100)</f>
        <v>0</v>
      </c>
      <c r="GA120" s="145">
        <f>COUNTA(SurveyDATA!GK98:GK100)</f>
        <v>0</v>
      </c>
      <c r="GB120" s="145">
        <f>COUNTA(SurveyDATA!GL98:GL100)</f>
        <v>0</v>
      </c>
      <c r="GC120" s="145">
        <f>COUNTA(SurveyDATA!GM98:GM100)</f>
        <v>0</v>
      </c>
      <c r="GD120" s="145">
        <f>COUNTA(SurveyDATA!GN98:GN100)</f>
        <v>0</v>
      </c>
      <c r="GE120" s="145">
        <f>COUNTA(SurveyDATA!GO98:GO100)</f>
        <v>0</v>
      </c>
      <c r="GF120" s="145">
        <f>COUNTA(SurveyDATA!GP98:GP100)</f>
        <v>0</v>
      </c>
      <c r="GG120" s="145">
        <f>COUNTA(SurveyDATA!GQ98:GQ100)</f>
        <v>0</v>
      </c>
      <c r="GH120" s="145">
        <f>COUNTA(SurveyDATA!GR98:GR100)</f>
        <v>0</v>
      </c>
      <c r="GI120" s="145">
        <f>COUNTA(SurveyDATA!GS98:GS100)</f>
        <v>0</v>
      </c>
      <c r="GJ120" s="145">
        <f>COUNTA(SurveyDATA!GT98:GT100)</f>
        <v>0</v>
      </c>
      <c r="GK120" s="145">
        <f>COUNTA(SurveyDATA!GU98:GU100)</f>
        <v>0</v>
      </c>
      <c r="GL120" s="145">
        <f>COUNTA(SurveyDATA!GV98:GV100)</f>
        <v>0</v>
      </c>
      <c r="GM120" s="145">
        <f>COUNTA(SurveyDATA!GW98:GW100)</f>
        <v>0</v>
      </c>
      <c r="GN120" s="145">
        <f>COUNTA(SurveyDATA!GX98:GX100)</f>
        <v>0</v>
      </c>
      <c r="GO120" s="145">
        <f>COUNTA(SurveyDATA!GY98:GY100)</f>
        <v>0</v>
      </c>
      <c r="GP120" s="145">
        <f>COUNTA(SurveyDATA!GZ98:GZ100)</f>
        <v>0</v>
      </c>
      <c r="GQ120" s="145">
        <f>COUNTA(SurveyDATA!HA98:HA100)</f>
        <v>0</v>
      </c>
      <c r="GR120" s="145">
        <f>COUNTA(SurveyDATA!HB98:HB100)</f>
        <v>0</v>
      </c>
      <c r="GS120" s="145">
        <f>COUNTA(SurveyDATA!HC98:HC100)</f>
        <v>0</v>
      </c>
      <c r="GT120" s="145">
        <f>COUNTA(SurveyDATA!HD98:HD100)</f>
        <v>0</v>
      </c>
      <c r="GU120" s="145">
        <f>COUNTA(SurveyDATA!HE98:HE100)</f>
        <v>0</v>
      </c>
      <c r="GV120" s="145">
        <f>COUNTA(SurveyDATA!HF98:HF100)</f>
        <v>0</v>
      </c>
      <c r="GW120" s="145">
        <f>COUNTA(SurveyDATA!HG98:HG100)</f>
        <v>0</v>
      </c>
      <c r="GX120" s="145">
        <f>COUNTA(SurveyDATA!HH98:HH100)</f>
        <v>0</v>
      </c>
      <c r="GY120" s="145">
        <f>COUNTA(SurveyDATA!HI98:HI100)</f>
        <v>0</v>
      </c>
      <c r="GZ120" s="145">
        <f>COUNTA(SurveyDATA!HJ98:HJ100)</f>
        <v>0</v>
      </c>
      <c r="HA120" s="145">
        <f>COUNTA(SurveyDATA!HK98:HK100)</f>
        <v>0</v>
      </c>
      <c r="HB120" s="145">
        <f>COUNTA(SurveyDATA!HL98:HL100)</f>
        <v>0</v>
      </c>
      <c r="HC120" s="145">
        <f>COUNTA(SurveyDATA!HM98:HM100)</f>
        <v>0</v>
      </c>
      <c r="HD120" s="145">
        <f>COUNTA(SurveyDATA!HN98:HN100)</f>
        <v>0</v>
      </c>
      <c r="HE120" s="145">
        <f>COUNTA(SurveyDATA!HO98:HO100)</f>
        <v>0</v>
      </c>
      <c r="HF120" s="145">
        <f>COUNTA(SurveyDATA!HP98:HP100)</f>
        <v>0</v>
      </c>
      <c r="HG120" s="145">
        <f>COUNTA(SurveyDATA!HQ98:HQ100)</f>
        <v>0</v>
      </c>
      <c r="HH120" s="145">
        <f>COUNTA(SurveyDATA!HR98:HR100)</f>
        <v>0</v>
      </c>
      <c r="HI120" s="145">
        <f>COUNTA(SurveyDATA!HS98:HS100)</f>
        <v>1</v>
      </c>
      <c r="HJ120" s="145">
        <f>COUNTA(SurveyDATA!HT98:HT100)</f>
        <v>1</v>
      </c>
      <c r="HK120" s="145">
        <f>COUNTA(SurveyDATA!HU98:HU100)</f>
        <v>0</v>
      </c>
      <c r="HL120" s="145">
        <f>COUNTA(SurveyDATA!HV98:HV100)</f>
        <v>0</v>
      </c>
      <c r="HM120" s="145">
        <f>COUNTA(SurveyDATA!HW98:HW100)</f>
        <v>0</v>
      </c>
      <c r="HN120" s="145">
        <f>COUNTA(SurveyDATA!HX98:HX100)</f>
        <v>0</v>
      </c>
      <c r="HO120" s="145">
        <f>COUNTA(SurveyDATA!HY98:HY100)</f>
        <v>0</v>
      </c>
      <c r="HP120" s="145">
        <f>COUNTA(SurveyDATA!HZ98:HZ100)</f>
        <v>0</v>
      </c>
      <c r="HQ120" s="145">
        <f>COUNTA(SurveyDATA!IA98:IA100)</f>
        <v>0</v>
      </c>
      <c r="HR120" s="145">
        <f>COUNTA(SurveyDATA!IB98:IB100)</f>
        <v>1</v>
      </c>
      <c r="HS120" s="145">
        <f>COUNTA(SurveyDATA!IC98:IC100)</f>
        <v>0</v>
      </c>
      <c r="HT120" s="145">
        <f>COUNTA(SurveyDATA!ID98:ID100)</f>
        <v>0</v>
      </c>
      <c r="HU120" s="145">
        <f>COUNTA(SurveyDATA!IE98:IE100)</f>
        <v>0</v>
      </c>
      <c r="HV120" s="145">
        <f>COUNTA(SurveyDATA!IF98:IF100)</f>
        <v>0</v>
      </c>
      <c r="HW120" s="145">
        <f>COUNTA(SurveyDATA!IG98:IG100)</f>
        <v>0</v>
      </c>
      <c r="HX120" s="145">
        <f>COUNTA(SurveyDATA!IH98:IH100)</f>
        <v>0</v>
      </c>
      <c r="HY120" s="145">
        <f>COUNTA(SurveyDATA!II98:II100)</f>
        <v>0</v>
      </c>
      <c r="HZ120" s="145">
        <f>COUNTA(SurveyDATA!IJ98:IJ100)</f>
        <v>0</v>
      </c>
      <c r="IA120" s="145">
        <f>COUNTA(SurveyDATA!IK98:IK100)</f>
        <v>0</v>
      </c>
      <c r="IB120" s="145">
        <f>COUNTA(SurveyDATA!IL98:IL100)</f>
        <v>0</v>
      </c>
      <c r="IC120" s="145">
        <f>COUNTA(SurveyDATA!IM98:IM100)</f>
        <v>0</v>
      </c>
      <c r="ID120" s="145">
        <f>COUNTA(SurveyDATA!IN98:IN100)</f>
        <v>0</v>
      </c>
      <c r="IE120" s="145">
        <f>COUNTA(SurveyDATA!IO98:IO100)</f>
        <v>0</v>
      </c>
      <c r="IF120" s="145">
        <f>COUNTA(SurveyDATA!IP98:IP100)</f>
        <v>0</v>
      </c>
      <c r="IG120" s="145">
        <f>COUNTA(SurveyDATA!IQ98:IQ100)</f>
        <v>0</v>
      </c>
      <c r="IH120" s="145">
        <f>COUNTA(SurveyDATA!IR98:IR100)</f>
        <v>0</v>
      </c>
      <c r="II120" s="145">
        <f>COUNTA(SurveyDATA!IS98:IS100)</f>
        <v>0</v>
      </c>
      <c r="IJ120" s="145">
        <f>COUNTA(SurveyDATA!IT98:IT100)</f>
        <v>0</v>
      </c>
      <c r="IK120" s="145">
        <f>COUNTA(SurveyDATA!IU98:IU100)</f>
        <v>0</v>
      </c>
      <c r="IL120" s="145">
        <f>COUNTA(SurveyDATA!IV98:IV100)</f>
        <v>0</v>
      </c>
      <c r="IM120" s="145">
        <f>COUNTA(SurveyDATA!#REF!)</f>
        <v>1</v>
      </c>
      <c r="IN120" s="145">
        <f>COUNTA(SurveyDATA!#REF!)</f>
        <v>1</v>
      </c>
      <c r="IO120" s="145">
        <f>COUNTA(SurveyDATA!#REF!)</f>
        <v>1</v>
      </c>
      <c r="IP120" s="145">
        <f>COUNTA(SurveyDATA!#REF!)</f>
        <v>1</v>
      </c>
      <c r="IQ120" s="145">
        <f>COUNTA(SurveyDATA!#REF!)</f>
        <v>1</v>
      </c>
      <c r="IR120" s="145">
        <f>COUNTA(SurveyDATA!#REF!)</f>
        <v>1</v>
      </c>
      <c r="IS120" s="145">
        <f>COUNTA(SurveyDATA!#REF!)</f>
        <v>1</v>
      </c>
      <c r="IT120" s="145">
        <f>COUNTA(SurveyDATA!#REF!)</f>
        <v>1</v>
      </c>
      <c r="IU120" s="145">
        <f>COUNTA(SurveyDATA!#REF!)</f>
        <v>1</v>
      </c>
      <c r="IV120" s="145">
        <f>COUNTA(SurveyDATA!#REF!)</f>
        <v>1</v>
      </c>
    </row>
    <row r="121" spans="1:256" s="11" customFormat="1" ht="14.25" customHeight="1" thickTop="1" thickBot="1">
      <c r="A121" s="19"/>
      <c r="B121" s="19"/>
      <c r="C121" s="190" t="s">
        <v>4295</v>
      </c>
      <c r="D121" s="19"/>
      <c r="E121" s="7"/>
      <c r="F121" s="7"/>
      <c r="G121" s="7"/>
      <c r="H121" s="7"/>
      <c r="I121" s="8"/>
      <c r="J121" s="19" t="str">
        <f t="shared" ref="J121:J135" ca="1" si="2">IF(F121="Head",CELL("contents",D121),"")</f>
        <v/>
      </c>
      <c r="K121" s="7"/>
      <c r="L121" s="7"/>
      <c r="M121" s="7"/>
      <c r="N121" s="7"/>
      <c r="O121" s="7"/>
      <c r="P121" s="7"/>
      <c r="Q121" s="29"/>
      <c r="R121" s="30"/>
      <c r="S121" s="7"/>
      <c r="T121" s="7"/>
      <c r="U121" s="31"/>
      <c r="V121" s="7"/>
      <c r="W121" s="7"/>
      <c r="X121" s="7"/>
      <c r="Y121" s="7"/>
      <c r="Z121" s="7"/>
      <c r="AA121" s="7"/>
      <c r="AB121" s="7"/>
      <c r="AC121" s="7"/>
      <c r="AD121" s="7"/>
      <c r="AE121" s="7"/>
      <c r="AF121" s="7"/>
      <c r="AG121" s="7"/>
      <c r="AH121" s="7"/>
      <c r="AI121" s="7"/>
      <c r="AJ121" s="122"/>
      <c r="AK121" s="41"/>
      <c r="AL121" s="52"/>
      <c r="AM121" s="20"/>
      <c r="AN121" s="20"/>
      <c r="AO121" s="20"/>
      <c r="AP121" s="20"/>
      <c r="AQ121" s="7"/>
      <c r="AR121" s="7"/>
      <c r="AS121" s="7"/>
      <c r="AT121" s="7"/>
      <c r="AU121" s="7"/>
      <c r="AV121" s="49"/>
      <c r="AW121" s="7"/>
      <c r="AX121" s="7"/>
      <c r="AY121" s="7"/>
      <c r="AZ121" s="7"/>
      <c r="BA121" s="7"/>
      <c r="BB121" s="7"/>
      <c r="BC121" s="7"/>
      <c r="BD121" s="55"/>
      <c r="BE121" s="55"/>
      <c r="BF121" s="7"/>
      <c r="BG121" s="7"/>
      <c r="BH121" s="7"/>
      <c r="BI121" s="7"/>
      <c r="BJ121" s="7"/>
      <c r="BK121" s="7"/>
      <c r="BL121" s="7"/>
      <c r="BM121" s="7"/>
      <c r="BN121" s="61"/>
      <c r="BO121" s="62"/>
      <c r="BP121" s="50"/>
      <c r="BQ121" s="20"/>
      <c r="BR121" s="7"/>
      <c r="BS121" s="7"/>
      <c r="BT121" s="7"/>
      <c r="BU121" s="7"/>
      <c r="BV121" s="55"/>
      <c r="BW121" s="7"/>
      <c r="BX121" s="55"/>
      <c r="BY121" s="7"/>
      <c r="BZ121" s="7"/>
      <c r="CA121" s="7"/>
      <c r="CB121" s="7"/>
      <c r="CC121" s="55"/>
      <c r="CD121" s="104"/>
      <c r="CE121" s="105"/>
      <c r="CF121" s="7"/>
      <c r="CG121" s="7"/>
      <c r="CH121" s="7"/>
      <c r="CI121" s="7"/>
      <c r="CJ121" s="7"/>
      <c r="CK121" s="7"/>
      <c r="CL121" s="7"/>
      <c r="CM121" s="7"/>
      <c r="CN121" s="7"/>
      <c r="CO121" s="7"/>
      <c r="CP121" s="55"/>
      <c r="CQ121" s="7"/>
      <c r="CR121" s="7"/>
      <c r="CS121" s="130"/>
      <c r="CT121" s="7"/>
      <c r="CU121" s="7"/>
      <c r="CV121" s="7"/>
      <c r="CW121" s="7"/>
      <c r="CX121" s="7"/>
      <c r="CY121" s="73"/>
      <c r="CZ121" s="7"/>
      <c r="DA121" s="7"/>
      <c r="DB121" s="7"/>
      <c r="DC121" s="48"/>
      <c r="DD121" s="7"/>
      <c r="DE121" s="7"/>
      <c r="DF121" s="7"/>
      <c r="DG121" s="7"/>
      <c r="DH121" s="7"/>
      <c r="DI121" s="7"/>
      <c r="DJ121" s="7"/>
      <c r="DK121" s="7"/>
      <c r="DL121" s="74"/>
      <c r="DM121" s="7"/>
      <c r="DN121" s="7"/>
      <c r="DO121" s="7"/>
      <c r="DP121" s="7"/>
      <c r="DQ121" s="58"/>
      <c r="DR121" s="7"/>
      <c r="DS121" s="7"/>
      <c r="DT121" s="7"/>
      <c r="DU121" s="73"/>
      <c r="DV121" s="73"/>
      <c r="DW121" s="152"/>
      <c r="DX121" s="7"/>
      <c r="DY121" s="7"/>
      <c r="DZ121" s="7"/>
      <c r="EA121" s="7"/>
      <c r="EB121" s="7"/>
      <c r="EC121" s="7"/>
      <c r="ED121" s="7"/>
      <c r="EE121" s="7"/>
      <c r="EF121" s="7"/>
      <c r="EG121" s="7"/>
      <c r="EH121" s="7"/>
      <c r="EI121" s="7"/>
      <c r="EJ121" s="7"/>
      <c r="EK121" s="7"/>
      <c r="EL121" s="7"/>
      <c r="EM121" s="7"/>
      <c r="EN121" s="19"/>
      <c r="EO121" s="7"/>
      <c r="EP121" s="7"/>
      <c r="EQ121" s="7"/>
      <c r="ER121" s="7"/>
      <c r="ES121" s="7"/>
      <c r="ET121" s="55"/>
      <c r="EU121" s="7"/>
      <c r="EV121" s="7"/>
      <c r="EW121" s="7"/>
      <c r="EX121" s="7"/>
      <c r="EY121" s="7"/>
      <c r="EZ121" s="7"/>
      <c r="FA121" s="7"/>
      <c r="FB121" s="7"/>
      <c r="FC121" s="55"/>
      <c r="FD121" s="55"/>
      <c r="FE121" s="55"/>
      <c r="FF121" s="7"/>
      <c r="FG121" s="7"/>
      <c r="FH121" s="7"/>
      <c r="FI121" s="7"/>
      <c r="FJ121" s="7"/>
      <c r="FK121" s="7"/>
      <c r="FL121" s="7"/>
      <c r="FM121" s="7"/>
      <c r="FN121" s="7"/>
      <c r="FO121" s="7"/>
      <c r="FP121" s="7"/>
      <c r="FQ121" s="7"/>
      <c r="FR121" s="7"/>
      <c r="FS121" s="77"/>
      <c r="FT121" s="30"/>
      <c r="FU121" s="7"/>
      <c r="FV121" s="55"/>
      <c r="FW121" s="55"/>
      <c r="FX121" s="7"/>
      <c r="FY121" s="7"/>
      <c r="FZ121" s="7"/>
      <c r="GA121" s="7"/>
      <c r="GB121" s="7"/>
      <c r="GC121" s="7"/>
      <c r="GD121" s="103"/>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29"/>
      <c r="IF121" s="7"/>
      <c r="IG121" s="7"/>
      <c r="IH121" s="7"/>
      <c r="II121" s="7"/>
      <c r="IJ121" s="7"/>
      <c r="IK121" s="7"/>
      <c r="IL121" s="7"/>
      <c r="IM121" s="7"/>
      <c r="IN121" s="7"/>
      <c r="IO121" s="7"/>
      <c r="IP121" s="7"/>
      <c r="IQ121" s="7"/>
      <c r="IR121" s="7"/>
      <c r="IS121" s="7"/>
      <c r="IT121" s="55"/>
      <c r="IU121" s="7"/>
      <c r="IV121" s="7"/>
    </row>
    <row r="122" spans="1:256" s="11" customFormat="1" ht="13.5" customHeight="1" thickTop="1">
      <c r="A122" s="19"/>
      <c r="B122" s="19"/>
      <c r="C122" s="191"/>
      <c r="D122" s="19"/>
      <c r="E122" s="7"/>
      <c r="F122" s="7"/>
      <c r="G122" s="7"/>
      <c r="H122" s="7"/>
      <c r="I122" s="8"/>
      <c r="J122" s="19" t="str">
        <f t="shared" ca="1" si="2"/>
        <v/>
      </c>
      <c r="K122" s="7"/>
      <c r="L122" s="7"/>
      <c r="M122" s="7"/>
      <c r="N122" s="7"/>
      <c r="O122" s="7"/>
      <c r="P122" s="7"/>
      <c r="Q122" s="29"/>
      <c r="R122" s="30"/>
      <c r="S122" s="7"/>
      <c r="T122" s="7"/>
      <c r="U122" s="31"/>
      <c r="V122" s="7"/>
      <c r="W122" s="7"/>
      <c r="X122" s="7"/>
      <c r="Y122" s="7"/>
      <c r="Z122" s="7"/>
      <c r="AA122" s="7"/>
      <c r="AB122" s="7"/>
      <c r="AC122" s="7"/>
      <c r="AD122" s="7"/>
      <c r="AE122" s="7"/>
      <c r="AF122" s="7"/>
      <c r="AG122" s="7"/>
      <c r="AH122" s="7"/>
      <c r="AI122" s="7"/>
      <c r="AJ122" s="122"/>
      <c r="AK122" s="41"/>
      <c r="AL122" s="52"/>
      <c r="AM122" s="20"/>
      <c r="AN122" s="20"/>
      <c r="AO122" s="20"/>
      <c r="AP122" s="20"/>
      <c r="AQ122" s="7"/>
      <c r="AR122" s="7"/>
      <c r="AS122" s="7"/>
      <c r="AT122" s="7"/>
      <c r="AU122" s="7"/>
      <c r="AV122" s="49"/>
      <c r="AW122" s="7"/>
      <c r="AX122" s="7"/>
      <c r="AY122" s="7"/>
      <c r="AZ122" s="7"/>
      <c r="BA122" s="7"/>
      <c r="BB122" s="7"/>
      <c r="BC122" s="7"/>
      <c r="BD122" s="55"/>
      <c r="BE122" s="55"/>
      <c r="BF122" s="7"/>
      <c r="BG122" s="7"/>
      <c r="BH122" s="7"/>
      <c r="BI122" s="7"/>
      <c r="BJ122" s="7"/>
      <c r="BK122" s="7"/>
      <c r="BL122" s="7"/>
      <c r="BM122" s="7"/>
      <c r="BN122" s="61"/>
      <c r="BO122" s="62"/>
      <c r="BP122" s="50"/>
      <c r="BQ122" s="20"/>
      <c r="BR122" s="7"/>
      <c r="BS122" s="7"/>
      <c r="BT122" s="7"/>
      <c r="BU122" s="7"/>
      <c r="BV122" s="55"/>
      <c r="BW122" s="7"/>
      <c r="BX122" s="55"/>
      <c r="BY122" s="7"/>
      <c r="BZ122" s="7"/>
      <c r="CA122" s="7"/>
      <c r="CB122" s="7"/>
      <c r="CC122" s="55"/>
      <c r="CD122" s="104"/>
      <c r="CE122" s="105"/>
      <c r="CF122" s="7"/>
      <c r="CG122" s="7"/>
      <c r="CH122" s="7"/>
      <c r="CI122" s="7"/>
      <c r="CJ122" s="7"/>
      <c r="CK122" s="7"/>
      <c r="CL122" s="7"/>
      <c r="CM122" s="7"/>
      <c r="CN122" s="7"/>
      <c r="CO122" s="7"/>
      <c r="CP122" s="55"/>
      <c r="CQ122" s="7"/>
      <c r="CR122" s="7"/>
      <c r="CS122" s="130"/>
      <c r="CT122" s="7"/>
      <c r="CU122" s="7"/>
      <c r="CV122" s="7"/>
      <c r="CW122" s="7"/>
      <c r="CX122" s="7"/>
      <c r="CY122" s="73"/>
      <c r="CZ122" s="7"/>
      <c r="DA122" s="7"/>
      <c r="DB122" s="7"/>
      <c r="DC122" s="48"/>
      <c r="DD122" s="7"/>
      <c r="DE122" s="7"/>
      <c r="DF122" s="7"/>
      <c r="DG122" s="7"/>
      <c r="DH122" s="7"/>
      <c r="DI122" s="7"/>
      <c r="DJ122" s="7"/>
      <c r="DK122" s="7"/>
      <c r="DL122" s="74"/>
      <c r="DM122" s="7"/>
      <c r="DN122" s="7"/>
      <c r="DO122" s="7"/>
      <c r="DP122" s="7"/>
      <c r="DQ122" s="58"/>
      <c r="DR122" s="7"/>
      <c r="DS122" s="7"/>
      <c r="DT122" s="7"/>
      <c r="DU122" s="73"/>
      <c r="DV122" s="73"/>
      <c r="DW122" s="152"/>
      <c r="DX122" s="7"/>
      <c r="DY122" s="7"/>
      <c r="DZ122" s="7"/>
      <c r="EA122" s="7"/>
      <c r="EB122" s="7"/>
      <c r="EC122" s="7"/>
      <c r="ED122" s="7"/>
      <c r="EE122" s="7"/>
      <c r="EF122" s="7"/>
      <c r="EG122" s="7"/>
      <c r="EH122" s="7"/>
      <c r="EI122" s="7"/>
      <c r="EJ122" s="7"/>
      <c r="EK122" s="7"/>
      <c r="EL122" s="7"/>
      <c r="EM122" s="7"/>
      <c r="EN122" s="19"/>
      <c r="EO122" s="7"/>
      <c r="EP122" s="7"/>
      <c r="EQ122" s="7"/>
      <c r="ER122" s="7"/>
      <c r="ES122" s="7"/>
      <c r="ET122" s="55"/>
      <c r="EU122" s="7"/>
      <c r="EV122" s="7"/>
      <c r="EW122" s="7"/>
      <c r="EX122" s="7"/>
      <c r="EY122" s="7"/>
      <c r="EZ122" s="7"/>
      <c r="FA122" s="7"/>
      <c r="FB122" s="7"/>
      <c r="FC122" s="55"/>
      <c r="FD122" s="55"/>
      <c r="FE122" s="55"/>
      <c r="FF122" s="7"/>
      <c r="FG122" s="7"/>
      <c r="FH122" s="7"/>
      <c r="FI122" s="7"/>
      <c r="FJ122" s="7"/>
      <c r="FK122" s="7"/>
      <c r="FL122" s="7"/>
      <c r="FM122" s="7"/>
      <c r="FN122" s="7"/>
      <c r="FO122" s="7"/>
      <c r="FP122" s="7"/>
      <c r="FQ122" s="7"/>
      <c r="FR122" s="7"/>
      <c r="FS122" s="77"/>
      <c r="FT122" s="30"/>
      <c r="FU122" s="7"/>
      <c r="FV122" s="55"/>
      <c r="FW122" s="55"/>
      <c r="FX122" s="7"/>
      <c r="FY122" s="7"/>
      <c r="FZ122" s="7"/>
      <c r="GA122" s="7"/>
      <c r="GB122" s="7"/>
      <c r="GC122" s="7"/>
      <c r="GD122" s="103"/>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29"/>
      <c r="IF122" s="7"/>
      <c r="IG122" s="7"/>
      <c r="IH122" s="7"/>
      <c r="II122" s="7"/>
      <c r="IJ122" s="7"/>
      <c r="IK122" s="7"/>
      <c r="IL122" s="7"/>
      <c r="IM122" s="7"/>
      <c r="IN122" s="7"/>
      <c r="IO122" s="7"/>
      <c r="IP122" s="7"/>
      <c r="IQ122" s="7"/>
      <c r="IR122" s="7"/>
      <c r="IS122" s="7"/>
      <c r="IT122" s="55"/>
      <c r="IU122" s="7"/>
      <c r="IV122" s="7"/>
    </row>
    <row r="123" spans="1:256" s="11" customFormat="1" ht="12.75" customHeight="1">
      <c r="A123" s="19"/>
      <c r="B123" s="19"/>
      <c r="C123" s="191" t="s">
        <v>1101</v>
      </c>
      <c r="D123" s="19"/>
      <c r="E123" s="7"/>
      <c r="F123" s="7"/>
      <c r="G123" s="7"/>
      <c r="H123" s="7"/>
      <c r="I123" s="8"/>
      <c r="J123" s="19" t="str">
        <f t="shared" ca="1" si="2"/>
        <v/>
      </c>
      <c r="K123" s="7"/>
      <c r="L123" s="7"/>
      <c r="M123" s="7"/>
      <c r="N123" s="7"/>
      <c r="O123" s="7"/>
      <c r="P123" s="7"/>
      <c r="Q123" s="29"/>
      <c r="R123" s="30"/>
      <c r="S123" s="7"/>
      <c r="T123" s="7"/>
      <c r="U123" s="31"/>
      <c r="V123" s="7"/>
      <c r="W123" s="7"/>
      <c r="X123" s="7"/>
      <c r="Y123" s="7"/>
      <c r="Z123" s="7"/>
      <c r="AA123" s="7"/>
      <c r="AB123" s="7"/>
      <c r="AC123" s="7"/>
      <c r="AD123" s="7"/>
      <c r="AE123" s="7"/>
      <c r="AF123" s="7"/>
      <c r="AG123" s="7"/>
      <c r="AH123" s="7"/>
      <c r="AI123" s="7"/>
      <c r="AJ123" s="122"/>
      <c r="AK123" s="41"/>
      <c r="AL123" s="52"/>
      <c r="AM123" s="20"/>
      <c r="AN123" s="20"/>
      <c r="AO123" s="20"/>
      <c r="AP123" s="20"/>
      <c r="AQ123" s="7"/>
      <c r="AR123" s="7"/>
      <c r="AS123" s="7"/>
      <c r="AT123" s="7"/>
      <c r="AU123" s="7"/>
      <c r="AV123" s="49"/>
      <c r="AW123" s="7"/>
      <c r="AX123" s="7"/>
      <c r="AY123" s="7"/>
      <c r="AZ123" s="7"/>
      <c r="BA123" s="7"/>
      <c r="BB123" s="7"/>
      <c r="BC123" s="7"/>
      <c r="BD123" s="55"/>
      <c r="BE123" s="55"/>
      <c r="BF123" s="7"/>
      <c r="BG123" s="7"/>
      <c r="BH123" s="7"/>
      <c r="BI123" s="7"/>
      <c r="BJ123" s="7"/>
      <c r="BK123" s="7"/>
      <c r="BL123" s="7"/>
      <c r="BM123" s="7"/>
      <c r="BN123" s="61"/>
      <c r="BO123" s="62"/>
      <c r="BP123" s="50"/>
      <c r="BQ123" s="20"/>
      <c r="BR123" s="7"/>
      <c r="BS123" s="7"/>
      <c r="BT123" s="7"/>
      <c r="BU123" s="7"/>
      <c r="BV123" s="55"/>
      <c r="BW123" s="7"/>
      <c r="BX123" s="55"/>
      <c r="BY123" s="7"/>
      <c r="BZ123" s="7"/>
      <c r="CA123" s="7"/>
      <c r="CB123" s="7"/>
      <c r="CC123" s="55"/>
      <c r="CD123" s="104"/>
      <c r="CE123" s="105"/>
      <c r="CF123" s="7"/>
      <c r="CG123" s="7"/>
      <c r="CH123" s="7"/>
      <c r="CI123" s="7"/>
      <c r="CJ123" s="7"/>
      <c r="CK123" s="7"/>
      <c r="CL123" s="7"/>
      <c r="CM123" s="7"/>
      <c r="CN123" s="7"/>
      <c r="CO123" s="7"/>
      <c r="CP123" s="55"/>
      <c r="CQ123" s="7"/>
      <c r="CR123" s="7"/>
      <c r="CS123" s="130"/>
      <c r="CT123" s="7"/>
      <c r="CU123" s="7"/>
      <c r="CV123" s="7"/>
      <c r="CW123" s="7"/>
      <c r="CX123" s="7"/>
      <c r="CY123" s="73"/>
      <c r="CZ123" s="7"/>
      <c r="DA123" s="7"/>
      <c r="DB123" s="7"/>
      <c r="DC123" s="48"/>
      <c r="DD123" s="7"/>
      <c r="DE123" s="7"/>
      <c r="DF123" s="7"/>
      <c r="DG123" s="7"/>
      <c r="DH123" s="7"/>
      <c r="DI123" s="7"/>
      <c r="DJ123" s="7"/>
      <c r="DK123" s="7"/>
      <c r="DL123" s="74"/>
      <c r="DM123" s="7"/>
      <c r="DN123" s="7"/>
      <c r="DO123" s="7"/>
      <c r="DP123" s="7"/>
      <c r="DQ123" s="58"/>
      <c r="DR123" s="7"/>
      <c r="DS123" s="7"/>
      <c r="DT123" s="7"/>
      <c r="DU123" s="73"/>
      <c r="DV123" s="73"/>
      <c r="DW123" s="152"/>
      <c r="DX123" s="7"/>
      <c r="DY123" s="7"/>
      <c r="DZ123" s="7"/>
      <c r="EA123" s="7"/>
      <c r="EB123" s="7"/>
      <c r="EC123" s="7"/>
      <c r="ED123" s="7"/>
      <c r="EE123" s="7"/>
      <c r="EF123" s="7"/>
      <c r="EG123" s="7"/>
      <c r="EH123" s="7"/>
      <c r="EI123" s="7"/>
      <c r="EJ123" s="7"/>
      <c r="EK123" s="7"/>
      <c r="EL123" s="7"/>
      <c r="EM123" s="7"/>
      <c r="EN123" s="19"/>
      <c r="EO123" s="7"/>
      <c r="EP123" s="7"/>
      <c r="EQ123" s="7"/>
      <c r="ER123" s="7"/>
      <c r="ES123" s="7"/>
      <c r="ET123" s="55"/>
      <c r="EU123" s="7"/>
      <c r="EV123" s="7"/>
      <c r="EW123" s="7"/>
      <c r="EX123" s="7"/>
      <c r="EY123" s="7"/>
      <c r="EZ123" s="7"/>
      <c r="FA123" s="7"/>
      <c r="FB123" s="7"/>
      <c r="FC123" s="55"/>
      <c r="FD123" s="55"/>
      <c r="FE123" s="55"/>
      <c r="FF123" s="7"/>
      <c r="FG123" s="7"/>
      <c r="FH123" s="7"/>
      <c r="FI123" s="7"/>
      <c r="FJ123" s="7"/>
      <c r="FK123" s="7"/>
      <c r="FL123" s="7"/>
      <c r="FM123" s="7"/>
      <c r="FN123" s="7"/>
      <c r="FO123" s="7"/>
      <c r="FP123" s="7"/>
      <c r="FQ123" s="7"/>
      <c r="FR123" s="7"/>
      <c r="FS123" s="77"/>
      <c r="FT123" s="30"/>
      <c r="FU123" s="7"/>
      <c r="FV123" s="55"/>
      <c r="FW123" s="55"/>
      <c r="FX123" s="7"/>
      <c r="FY123" s="7"/>
      <c r="FZ123" s="7"/>
      <c r="GA123" s="7"/>
      <c r="GB123" s="7"/>
      <c r="GC123" s="7"/>
      <c r="GD123" s="103"/>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29"/>
      <c r="IF123" s="7"/>
      <c r="IG123" s="7"/>
      <c r="IH123" s="7"/>
      <c r="II123" s="7"/>
      <c r="IJ123" s="7"/>
      <c r="IK123" s="7"/>
      <c r="IL123" s="7"/>
      <c r="IM123" s="7"/>
      <c r="IN123" s="7"/>
      <c r="IO123" s="7"/>
      <c r="IP123" s="7"/>
      <c r="IQ123" s="7"/>
      <c r="IR123" s="7"/>
      <c r="IS123" s="7"/>
      <c r="IT123" s="55"/>
      <c r="IU123" s="7"/>
      <c r="IV123" s="7"/>
    </row>
    <row r="124" spans="1:256" s="11" customFormat="1" ht="12.75" customHeight="1">
      <c r="A124" s="19"/>
      <c r="B124" s="19"/>
      <c r="C124" s="191" t="s">
        <v>4296</v>
      </c>
      <c r="D124" s="19"/>
      <c r="E124" s="7"/>
      <c r="F124" s="7"/>
      <c r="G124" s="7"/>
      <c r="H124" s="7"/>
      <c r="I124" s="8"/>
      <c r="J124" s="19" t="str">
        <f t="shared" ca="1" si="2"/>
        <v/>
      </c>
      <c r="K124" s="7"/>
      <c r="L124" s="7"/>
      <c r="M124" s="7"/>
      <c r="N124" s="7"/>
      <c r="O124" s="7"/>
      <c r="P124" s="7"/>
      <c r="Q124" s="29"/>
      <c r="R124" s="30"/>
      <c r="S124" s="7"/>
      <c r="T124" s="7"/>
      <c r="U124" s="31"/>
      <c r="V124" s="7"/>
      <c r="W124" s="7"/>
      <c r="X124" s="7"/>
      <c r="Y124" s="7"/>
      <c r="Z124" s="7"/>
      <c r="AA124" s="7"/>
      <c r="AB124" s="7"/>
      <c r="AC124" s="7"/>
      <c r="AD124" s="7"/>
      <c r="AE124" s="7"/>
      <c r="AF124" s="7"/>
      <c r="AG124" s="7"/>
      <c r="AH124" s="7"/>
      <c r="AI124" s="7"/>
      <c r="AJ124" s="122"/>
      <c r="AK124" s="41"/>
      <c r="AL124" s="52"/>
      <c r="AM124" s="20"/>
      <c r="AN124" s="20"/>
      <c r="AO124" s="20"/>
      <c r="AP124" s="20"/>
      <c r="AQ124" s="7"/>
      <c r="AR124" s="7"/>
      <c r="AS124" s="7"/>
      <c r="AT124" s="7"/>
      <c r="AU124" s="7"/>
      <c r="AV124" s="49"/>
      <c r="AW124" s="7"/>
      <c r="AX124" s="7"/>
      <c r="AY124" s="7"/>
      <c r="AZ124" s="7"/>
      <c r="BA124" s="7"/>
      <c r="BB124" s="7"/>
      <c r="BC124" s="7"/>
      <c r="BD124" s="55"/>
      <c r="BE124" s="55"/>
      <c r="BF124" s="7"/>
      <c r="BG124" s="7"/>
      <c r="BH124" s="7"/>
      <c r="BI124" s="7"/>
      <c r="BJ124" s="7"/>
      <c r="BK124" s="7"/>
      <c r="BL124" s="7"/>
      <c r="BM124" s="7"/>
      <c r="BN124" s="61"/>
      <c r="BO124" s="62"/>
      <c r="BP124" s="50"/>
      <c r="BQ124" s="20"/>
      <c r="BR124" s="7"/>
      <c r="BS124" s="7"/>
      <c r="BT124" s="7"/>
      <c r="BU124" s="7"/>
      <c r="BV124" s="55"/>
      <c r="BW124" s="7"/>
      <c r="BX124" s="55"/>
      <c r="BY124" s="7"/>
      <c r="BZ124" s="7"/>
      <c r="CA124" s="7"/>
      <c r="CB124" s="7"/>
      <c r="CC124" s="55"/>
      <c r="CD124" s="104"/>
      <c r="CE124" s="105"/>
      <c r="CF124" s="7"/>
      <c r="CG124" s="7"/>
      <c r="CH124" s="7"/>
      <c r="CI124" s="7"/>
      <c r="CJ124" s="7"/>
      <c r="CK124" s="7"/>
      <c r="CL124" s="7"/>
      <c r="CM124" s="7"/>
      <c r="CN124" s="7"/>
      <c r="CO124" s="7"/>
      <c r="CP124" s="55"/>
      <c r="CQ124" s="7"/>
      <c r="CR124" s="7"/>
      <c r="CS124" s="130"/>
      <c r="CT124" s="7"/>
      <c r="CU124" s="7"/>
      <c r="CV124" s="7"/>
      <c r="CW124" s="7"/>
      <c r="CX124" s="7"/>
      <c r="CY124" s="73"/>
      <c r="CZ124" s="7"/>
      <c r="DA124" s="7"/>
      <c r="DB124" s="7"/>
      <c r="DC124" s="48"/>
      <c r="DD124" s="7"/>
      <c r="DE124" s="7"/>
      <c r="DF124" s="7"/>
      <c r="DG124" s="7"/>
      <c r="DH124" s="7"/>
      <c r="DI124" s="7"/>
      <c r="DJ124" s="7"/>
      <c r="DK124" s="7"/>
      <c r="DL124" s="74"/>
      <c r="DM124" s="7"/>
      <c r="DN124" s="7"/>
      <c r="DO124" s="7"/>
      <c r="DP124" s="7"/>
      <c r="DQ124" s="58"/>
      <c r="DR124" s="7"/>
      <c r="DS124" s="7"/>
      <c r="DT124" s="7"/>
      <c r="DU124" s="73"/>
      <c r="DV124" s="73"/>
      <c r="DW124" s="152"/>
      <c r="DX124" s="7"/>
      <c r="DY124" s="7"/>
      <c r="DZ124" s="7"/>
      <c r="EA124" s="7"/>
      <c r="EB124" s="7"/>
      <c r="EC124" s="7"/>
      <c r="ED124" s="7"/>
      <c r="EE124" s="7"/>
      <c r="EF124" s="7"/>
      <c r="EG124" s="7"/>
      <c r="EH124" s="7"/>
      <c r="EI124" s="7"/>
      <c r="EJ124" s="7"/>
      <c r="EK124" s="7"/>
      <c r="EL124" s="7"/>
      <c r="EM124" s="7"/>
      <c r="EN124" s="19"/>
      <c r="EO124" s="7"/>
      <c r="EP124" s="7"/>
      <c r="EQ124" s="7"/>
      <c r="ER124" s="7"/>
      <c r="ES124" s="7"/>
      <c r="ET124" s="55"/>
      <c r="EU124" s="7"/>
      <c r="EV124" s="7"/>
      <c r="EW124" s="7"/>
      <c r="EX124" s="7"/>
      <c r="EY124" s="7"/>
      <c r="EZ124" s="7"/>
      <c r="FA124" s="7"/>
      <c r="FB124" s="7"/>
      <c r="FC124" s="55"/>
      <c r="FD124" s="55"/>
      <c r="FE124" s="55"/>
      <c r="FF124" s="7"/>
      <c r="FG124" s="7"/>
      <c r="FH124" s="7"/>
      <c r="FI124" s="7"/>
      <c r="FJ124" s="7"/>
      <c r="FK124" s="7"/>
      <c r="FL124" s="7"/>
      <c r="FM124" s="7"/>
      <c r="FN124" s="7"/>
      <c r="FO124" s="7"/>
      <c r="FP124" s="7"/>
      <c r="FQ124" s="7"/>
      <c r="FR124" s="7"/>
      <c r="FS124" s="77"/>
      <c r="FT124" s="30"/>
      <c r="FU124" s="7"/>
      <c r="FV124" s="55"/>
      <c r="FW124" s="55"/>
      <c r="FX124" s="7"/>
      <c r="FY124" s="7"/>
      <c r="FZ124" s="7"/>
      <c r="GA124" s="7"/>
      <c r="GB124" s="7"/>
      <c r="GC124" s="7"/>
      <c r="GD124" s="103"/>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29"/>
      <c r="IF124" s="7"/>
      <c r="IG124" s="7"/>
      <c r="IH124" s="7"/>
      <c r="II124" s="7"/>
      <c r="IJ124" s="7"/>
      <c r="IK124" s="7"/>
      <c r="IL124" s="7"/>
      <c r="IM124" s="7"/>
      <c r="IN124" s="7"/>
      <c r="IO124" s="7"/>
      <c r="IP124" s="7"/>
      <c r="IQ124" s="7"/>
      <c r="IR124" s="7"/>
      <c r="IS124" s="7"/>
      <c r="IT124" s="55"/>
      <c r="IU124" s="7"/>
      <c r="IV124" s="7"/>
    </row>
    <row r="125" spans="1:256" s="11" customFormat="1" ht="12.75" customHeight="1">
      <c r="A125" s="19"/>
      <c r="B125" s="19"/>
      <c r="C125" s="191" t="s">
        <v>4301</v>
      </c>
      <c r="D125" s="19"/>
      <c r="E125" s="7"/>
      <c r="F125" s="7"/>
      <c r="G125" s="7"/>
      <c r="H125" s="7"/>
      <c r="I125" s="8"/>
      <c r="J125" s="19" t="str">
        <f t="shared" ca="1" si="2"/>
        <v/>
      </c>
      <c r="K125" s="7"/>
      <c r="L125" s="7"/>
      <c r="M125" s="7"/>
      <c r="N125" s="7"/>
      <c r="O125" s="7"/>
      <c r="P125" s="7"/>
      <c r="Q125" s="29"/>
      <c r="R125" s="30"/>
      <c r="S125" s="7"/>
      <c r="T125" s="7"/>
      <c r="U125" s="31"/>
      <c r="V125" s="7"/>
      <c r="W125" s="7"/>
      <c r="X125" s="7"/>
      <c r="Y125" s="7"/>
      <c r="Z125" s="7"/>
      <c r="AA125" s="7"/>
      <c r="AB125" s="7"/>
      <c r="AC125" s="7"/>
      <c r="AD125" s="7"/>
      <c r="AE125" s="7"/>
      <c r="AF125" s="7"/>
      <c r="AG125" s="7"/>
      <c r="AH125" s="7"/>
      <c r="AI125" s="7"/>
      <c r="AJ125" s="122"/>
      <c r="AK125" s="41"/>
      <c r="AL125" s="52"/>
      <c r="AM125" s="20"/>
      <c r="AN125" s="20"/>
      <c r="AO125" s="20"/>
      <c r="AP125" s="20"/>
      <c r="AQ125" s="7"/>
      <c r="AR125" s="7"/>
      <c r="AS125" s="7"/>
      <c r="AT125" s="7"/>
      <c r="AU125" s="7"/>
      <c r="AV125" s="49"/>
      <c r="AW125" s="7"/>
      <c r="AX125" s="7"/>
      <c r="AY125" s="7"/>
      <c r="AZ125" s="7"/>
      <c r="BA125" s="7"/>
      <c r="BB125" s="7"/>
      <c r="BC125" s="7"/>
      <c r="BD125" s="55"/>
      <c r="BE125" s="55"/>
      <c r="BF125" s="7"/>
      <c r="BG125" s="7"/>
      <c r="BH125" s="7"/>
      <c r="BI125" s="7"/>
      <c r="BJ125" s="7"/>
      <c r="BK125" s="7"/>
      <c r="BL125" s="7"/>
      <c r="BM125" s="7"/>
      <c r="BN125" s="61"/>
      <c r="BO125" s="62"/>
      <c r="BP125" s="50"/>
      <c r="BQ125" s="20"/>
      <c r="BR125" s="7"/>
      <c r="BS125" s="7"/>
      <c r="BT125" s="7"/>
      <c r="BU125" s="7"/>
      <c r="BV125" s="55"/>
      <c r="BW125" s="7"/>
      <c r="BX125" s="55"/>
      <c r="BY125" s="7"/>
      <c r="BZ125" s="7"/>
      <c r="CA125" s="7"/>
      <c r="CB125" s="7"/>
      <c r="CC125" s="55"/>
      <c r="CD125" s="104"/>
      <c r="CE125" s="105"/>
      <c r="CF125" s="7"/>
      <c r="CG125" s="7"/>
      <c r="CH125" s="7"/>
      <c r="CI125" s="7"/>
      <c r="CJ125" s="7"/>
      <c r="CK125" s="7"/>
      <c r="CL125" s="7"/>
      <c r="CM125" s="7"/>
      <c r="CN125" s="7"/>
      <c r="CO125" s="7"/>
      <c r="CP125" s="55"/>
      <c r="CQ125" s="7"/>
      <c r="CR125" s="7"/>
      <c r="CS125" s="130"/>
      <c r="CT125" s="7"/>
      <c r="CU125" s="7"/>
      <c r="CV125" s="7"/>
      <c r="CW125" s="7"/>
      <c r="CX125" s="7"/>
      <c r="CY125" s="73"/>
      <c r="CZ125" s="7"/>
      <c r="DA125" s="7"/>
      <c r="DB125" s="7"/>
      <c r="DC125" s="48"/>
      <c r="DD125" s="7"/>
      <c r="DE125" s="7"/>
      <c r="DF125" s="7"/>
      <c r="DG125" s="7"/>
      <c r="DH125" s="7"/>
      <c r="DI125" s="7"/>
      <c r="DJ125" s="7"/>
      <c r="DK125" s="7"/>
      <c r="DL125" s="74"/>
      <c r="DM125" s="7"/>
      <c r="DN125" s="7"/>
      <c r="DO125" s="7"/>
      <c r="DP125" s="7"/>
      <c r="DQ125" s="58"/>
      <c r="DR125" s="7"/>
      <c r="DS125" s="7"/>
      <c r="DT125" s="7"/>
      <c r="DU125" s="73"/>
      <c r="DV125" s="73"/>
      <c r="DW125" s="152"/>
      <c r="DX125" s="7"/>
      <c r="DY125" s="7"/>
      <c r="DZ125" s="7"/>
      <c r="EA125" s="7"/>
      <c r="EB125" s="7"/>
      <c r="EC125" s="7"/>
      <c r="ED125" s="7"/>
      <c r="EE125" s="7"/>
      <c r="EF125" s="7"/>
      <c r="EG125" s="7"/>
      <c r="EH125" s="7"/>
      <c r="EI125" s="7"/>
      <c r="EJ125" s="7"/>
      <c r="EK125" s="7"/>
      <c r="EL125" s="7"/>
      <c r="EM125" s="7"/>
      <c r="EN125" s="19"/>
      <c r="EO125" s="7"/>
      <c r="EP125" s="7"/>
      <c r="EQ125" s="7"/>
      <c r="ER125" s="7"/>
      <c r="ES125" s="7"/>
      <c r="ET125" s="55"/>
      <c r="EU125" s="7"/>
      <c r="EV125" s="7"/>
      <c r="EW125" s="7"/>
      <c r="EX125" s="7"/>
      <c r="EY125" s="7"/>
      <c r="EZ125" s="7"/>
      <c r="FA125" s="7"/>
      <c r="FB125" s="7"/>
      <c r="FC125" s="55"/>
      <c r="FD125" s="55"/>
      <c r="FE125" s="55"/>
      <c r="FF125" s="7"/>
      <c r="FG125" s="7"/>
      <c r="FH125" s="7"/>
      <c r="FI125" s="7"/>
      <c r="FJ125" s="7"/>
      <c r="FK125" s="7"/>
      <c r="FL125" s="7"/>
      <c r="FM125" s="7"/>
      <c r="FN125" s="7"/>
      <c r="FO125" s="7"/>
      <c r="FP125" s="7"/>
      <c r="FQ125" s="7"/>
      <c r="FR125" s="7"/>
      <c r="FS125" s="77"/>
      <c r="FT125" s="30"/>
      <c r="FU125" s="7"/>
      <c r="FV125" s="55"/>
      <c r="FW125" s="55"/>
      <c r="FX125" s="7"/>
      <c r="FY125" s="7"/>
      <c r="FZ125" s="7"/>
      <c r="GA125" s="7"/>
      <c r="GB125" s="7"/>
      <c r="GC125" s="7"/>
      <c r="GD125" s="103"/>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29"/>
      <c r="IF125" s="7"/>
      <c r="IG125" s="7"/>
      <c r="IH125" s="7"/>
      <c r="II125" s="7"/>
      <c r="IJ125" s="7"/>
      <c r="IK125" s="7"/>
      <c r="IL125" s="7"/>
      <c r="IM125" s="7"/>
      <c r="IN125" s="7"/>
      <c r="IO125" s="7"/>
      <c r="IP125" s="7"/>
      <c r="IQ125" s="7"/>
      <c r="IR125" s="7"/>
      <c r="IS125" s="7"/>
      <c r="IT125" s="55"/>
      <c r="IU125" s="7"/>
      <c r="IV125" s="7"/>
    </row>
    <row r="126" spans="1:256" s="11" customFormat="1" ht="12.75" customHeight="1">
      <c r="A126" s="19"/>
      <c r="B126" s="19"/>
      <c r="C126" s="191"/>
      <c r="D126" s="19"/>
      <c r="E126" s="17"/>
      <c r="F126" s="7"/>
      <c r="G126" s="7"/>
      <c r="H126" s="7"/>
      <c r="I126" s="8"/>
      <c r="J126" s="19" t="str">
        <f t="shared" ca="1" si="2"/>
        <v/>
      </c>
      <c r="K126" s="7"/>
      <c r="L126" s="7"/>
      <c r="M126" s="7"/>
      <c r="N126" s="7"/>
      <c r="O126" s="7"/>
      <c r="P126" s="7"/>
      <c r="Q126" s="29"/>
      <c r="R126" s="30"/>
      <c r="S126" s="7"/>
      <c r="T126" s="7"/>
      <c r="U126" s="31"/>
      <c r="V126" s="7"/>
      <c r="W126" s="7"/>
      <c r="X126" s="7"/>
      <c r="Y126" s="7"/>
      <c r="Z126" s="7"/>
      <c r="AA126" s="7"/>
      <c r="AB126" s="7"/>
      <c r="AC126" s="7"/>
      <c r="AD126" s="7"/>
      <c r="AE126" s="7"/>
      <c r="AF126" s="7"/>
      <c r="AG126" s="7"/>
      <c r="AH126" s="7"/>
      <c r="AI126" s="7"/>
      <c r="AJ126" s="122"/>
      <c r="AK126" s="41"/>
      <c r="AL126" s="52"/>
      <c r="AM126" s="20"/>
      <c r="AN126" s="20"/>
      <c r="AO126" s="20"/>
      <c r="AP126" s="20"/>
      <c r="AQ126" s="7"/>
      <c r="AR126" s="7"/>
      <c r="AS126" s="7"/>
      <c r="AT126" s="7"/>
      <c r="AU126" s="7"/>
      <c r="AV126" s="49"/>
      <c r="AW126" s="7"/>
      <c r="AX126" s="7"/>
      <c r="AY126" s="7"/>
      <c r="AZ126" s="7"/>
      <c r="BA126" s="7"/>
      <c r="BB126" s="7"/>
      <c r="BC126" s="7"/>
      <c r="BD126" s="55"/>
      <c r="BE126" s="55"/>
      <c r="BF126" s="7"/>
      <c r="BG126" s="7"/>
      <c r="BH126" s="7"/>
      <c r="BI126" s="7"/>
      <c r="BJ126" s="7"/>
      <c r="BK126" s="7"/>
      <c r="BL126" s="7"/>
      <c r="BM126" s="7"/>
      <c r="BN126" s="61"/>
      <c r="BO126" s="62"/>
      <c r="BP126" s="50"/>
      <c r="BQ126" s="20"/>
      <c r="BR126" s="7"/>
      <c r="BS126" s="7"/>
      <c r="BT126" s="7"/>
      <c r="BU126" s="7"/>
      <c r="BV126" s="55"/>
      <c r="BW126" s="7"/>
      <c r="BX126" s="55"/>
      <c r="BY126" s="7"/>
      <c r="BZ126" s="7"/>
      <c r="CA126" s="7"/>
      <c r="CB126" s="7"/>
      <c r="CC126" s="55"/>
      <c r="CD126" s="104"/>
      <c r="CE126" s="105"/>
      <c r="CF126" s="7"/>
      <c r="CG126" s="7"/>
      <c r="CH126" s="7"/>
      <c r="CI126" s="7"/>
      <c r="CJ126" s="7"/>
      <c r="CK126" s="7"/>
      <c r="CL126" s="7"/>
      <c r="CM126" s="7"/>
      <c r="CN126" s="7"/>
      <c r="CO126" s="7"/>
      <c r="CP126" s="55"/>
      <c r="CQ126" s="7"/>
      <c r="CR126" s="7"/>
      <c r="CS126" s="130"/>
      <c r="CT126" s="7"/>
      <c r="CU126" s="7"/>
      <c r="CV126" s="7"/>
      <c r="CW126" s="7"/>
      <c r="CX126" s="7"/>
      <c r="CY126" s="73"/>
      <c r="CZ126" s="7"/>
      <c r="DA126" s="7"/>
      <c r="DB126" s="7"/>
      <c r="DC126" s="48"/>
      <c r="DD126" s="7"/>
      <c r="DE126" s="7"/>
      <c r="DF126" s="7"/>
      <c r="DG126" s="7"/>
      <c r="DH126" s="7"/>
      <c r="DI126" s="7"/>
      <c r="DJ126" s="7"/>
      <c r="DK126" s="7"/>
      <c r="DL126" s="74"/>
      <c r="DM126" s="7"/>
      <c r="DN126" s="7"/>
      <c r="DO126" s="7"/>
      <c r="DP126" s="7"/>
      <c r="DQ126" s="58"/>
      <c r="DR126" s="7"/>
      <c r="DS126" s="7"/>
      <c r="DT126" s="7"/>
      <c r="DU126" s="73"/>
      <c r="DV126" s="73"/>
      <c r="DW126" s="152"/>
      <c r="DX126" s="7"/>
      <c r="DY126" s="7"/>
      <c r="DZ126" s="7"/>
      <c r="EA126" s="7"/>
      <c r="EB126" s="7"/>
      <c r="EC126" s="7"/>
      <c r="ED126" s="7"/>
      <c r="EE126" s="7"/>
      <c r="EF126" s="7"/>
      <c r="EG126" s="7"/>
      <c r="EH126" s="7"/>
      <c r="EI126" s="7"/>
      <c r="EJ126" s="7"/>
      <c r="EK126" s="7"/>
      <c r="EL126" s="7"/>
      <c r="EM126" s="7"/>
      <c r="EN126" s="19"/>
      <c r="EO126" s="7"/>
      <c r="EP126" s="7"/>
      <c r="EQ126" s="7"/>
      <c r="ER126" s="7"/>
      <c r="ES126" s="7"/>
      <c r="ET126" s="55"/>
      <c r="EU126" s="7"/>
      <c r="EV126" s="7"/>
      <c r="EW126" s="7"/>
      <c r="EX126" s="7"/>
      <c r="EY126" s="7"/>
      <c r="EZ126" s="7"/>
      <c r="FA126" s="7"/>
      <c r="FB126" s="7"/>
      <c r="FC126" s="55"/>
      <c r="FD126" s="55"/>
      <c r="FE126" s="55"/>
      <c r="FF126" s="7"/>
      <c r="FG126" s="7"/>
      <c r="FH126" s="7"/>
      <c r="FI126" s="7"/>
      <c r="FJ126" s="7"/>
      <c r="FK126" s="7"/>
      <c r="FL126" s="7"/>
      <c r="FM126" s="7"/>
      <c r="FN126" s="7"/>
      <c r="FO126" s="7"/>
      <c r="FP126" s="7"/>
      <c r="FQ126" s="7"/>
      <c r="FR126" s="7"/>
      <c r="FS126" s="77"/>
      <c r="FT126" s="30"/>
      <c r="FU126" s="7"/>
      <c r="FV126" s="55"/>
      <c r="FW126" s="55"/>
      <c r="FX126" s="7"/>
      <c r="FY126" s="7"/>
      <c r="FZ126" s="7"/>
      <c r="GA126" s="7"/>
      <c r="GB126" s="7"/>
      <c r="GC126" s="7"/>
      <c r="GD126" s="103"/>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29"/>
      <c r="IF126" s="7"/>
      <c r="IG126" s="7"/>
      <c r="IH126" s="7"/>
      <c r="II126" s="7"/>
      <c r="IJ126" s="7"/>
      <c r="IK126" s="7"/>
      <c r="IL126" s="7"/>
      <c r="IM126" s="7"/>
      <c r="IN126" s="7"/>
      <c r="IO126" s="7"/>
      <c r="IP126" s="7"/>
      <c r="IQ126" s="7"/>
      <c r="IR126" s="7"/>
      <c r="IS126" s="7"/>
      <c r="IT126" s="55"/>
      <c r="IU126" s="7"/>
      <c r="IV126" s="7"/>
    </row>
    <row r="127" spans="1:256" s="11" customFormat="1" ht="12.75" customHeight="1">
      <c r="A127" s="19"/>
      <c r="B127" s="19"/>
      <c r="C127" s="191"/>
      <c r="D127" s="19"/>
      <c r="E127" s="7"/>
      <c r="F127" s="7"/>
      <c r="G127" s="7"/>
      <c r="H127" s="7"/>
      <c r="I127" s="8"/>
      <c r="J127" s="19" t="str">
        <f t="shared" ca="1" si="2"/>
        <v/>
      </c>
      <c r="K127" s="7"/>
      <c r="L127" s="7"/>
      <c r="M127" s="7"/>
      <c r="N127" s="7"/>
      <c r="O127" s="7"/>
      <c r="P127" s="7"/>
      <c r="Q127" s="29"/>
      <c r="R127" s="30"/>
      <c r="S127" s="7"/>
      <c r="T127" s="7"/>
      <c r="U127" s="31"/>
      <c r="V127" s="7"/>
      <c r="W127" s="7"/>
      <c r="X127" s="7"/>
      <c r="Y127" s="7"/>
      <c r="Z127" s="7"/>
      <c r="AA127" s="7"/>
      <c r="AB127" s="7"/>
      <c r="AC127" s="7"/>
      <c r="AD127" s="7"/>
      <c r="AE127" s="7"/>
      <c r="AF127" s="7"/>
      <c r="AG127" s="7"/>
      <c r="AH127" s="7"/>
      <c r="AI127" s="7"/>
      <c r="AJ127" s="122"/>
      <c r="AK127" s="41"/>
      <c r="AL127" s="52"/>
      <c r="AM127" s="20"/>
      <c r="AN127" s="20"/>
      <c r="AO127" s="20"/>
      <c r="AP127" s="20"/>
      <c r="AQ127" s="7"/>
      <c r="AR127" s="7"/>
      <c r="AS127" s="7"/>
      <c r="AT127" s="7"/>
      <c r="AU127" s="7"/>
      <c r="AV127" s="49"/>
      <c r="AW127" s="7"/>
      <c r="AX127" s="7"/>
      <c r="AY127" s="7"/>
      <c r="AZ127" s="7"/>
      <c r="BA127" s="7"/>
      <c r="BB127" s="7"/>
      <c r="BC127" s="7"/>
      <c r="BD127" s="55"/>
      <c r="BE127" s="55"/>
      <c r="BF127" s="7"/>
      <c r="BG127" s="7"/>
      <c r="BH127" s="7"/>
      <c r="BI127" s="7"/>
      <c r="BJ127" s="7"/>
      <c r="BK127" s="7"/>
      <c r="BL127" s="7"/>
      <c r="BM127" s="7"/>
      <c r="BN127" s="61"/>
      <c r="BO127" s="62"/>
      <c r="BP127" s="50"/>
      <c r="BQ127" s="20"/>
      <c r="BR127" s="7"/>
      <c r="BS127" s="7"/>
      <c r="BT127" s="7"/>
      <c r="BU127" s="7"/>
      <c r="BV127" s="55"/>
      <c r="BW127" s="7"/>
      <c r="BX127" s="55"/>
      <c r="BY127" s="7"/>
      <c r="BZ127" s="7"/>
      <c r="CA127" s="7"/>
      <c r="CB127" s="7"/>
      <c r="CC127" s="55"/>
      <c r="CD127" s="104"/>
      <c r="CE127" s="105"/>
      <c r="CF127" s="7"/>
      <c r="CG127" s="7"/>
      <c r="CH127" s="7"/>
      <c r="CI127" s="7"/>
      <c r="CJ127" s="7"/>
      <c r="CK127" s="7"/>
      <c r="CL127" s="7"/>
      <c r="CM127" s="7"/>
      <c r="CN127" s="7"/>
      <c r="CO127" s="7"/>
      <c r="CP127" s="55"/>
      <c r="CQ127" s="7"/>
      <c r="CR127" s="7"/>
      <c r="CS127" s="130"/>
      <c r="CT127" s="7"/>
      <c r="CU127" s="7"/>
      <c r="CV127" s="7"/>
      <c r="CW127" s="7"/>
      <c r="CX127" s="7"/>
      <c r="CY127" s="73"/>
      <c r="CZ127" s="7"/>
      <c r="DA127" s="7"/>
      <c r="DB127" s="7"/>
      <c r="DC127" s="48"/>
      <c r="DD127" s="7"/>
      <c r="DE127" s="7"/>
      <c r="DF127" s="7"/>
      <c r="DG127" s="7"/>
      <c r="DH127" s="7"/>
      <c r="DI127" s="7"/>
      <c r="DJ127" s="7"/>
      <c r="DK127" s="7"/>
      <c r="DL127" s="74"/>
      <c r="DM127" s="7"/>
      <c r="DN127" s="7"/>
      <c r="DO127" s="7"/>
      <c r="DP127" s="7"/>
      <c r="DQ127" s="58"/>
      <c r="DR127" s="7"/>
      <c r="DS127" s="7"/>
      <c r="DT127" s="7"/>
      <c r="DU127" s="73"/>
      <c r="DV127" s="73"/>
      <c r="DW127" s="152"/>
      <c r="DX127" s="7"/>
      <c r="DY127" s="7"/>
      <c r="DZ127" s="7"/>
      <c r="EA127" s="7"/>
      <c r="EB127" s="7"/>
      <c r="EC127" s="7"/>
      <c r="ED127" s="7"/>
      <c r="EE127" s="7"/>
      <c r="EF127" s="7"/>
      <c r="EG127" s="7"/>
      <c r="EH127" s="7"/>
      <c r="EI127" s="7"/>
      <c r="EJ127" s="7"/>
      <c r="EK127" s="7"/>
      <c r="EL127" s="7"/>
      <c r="EM127" s="7"/>
      <c r="EN127" s="19"/>
      <c r="EO127" s="7"/>
      <c r="EP127" s="7"/>
      <c r="EQ127" s="7"/>
      <c r="ER127" s="7"/>
      <c r="ES127" s="7"/>
      <c r="ET127" s="55"/>
      <c r="EU127" s="7"/>
      <c r="EV127" s="7"/>
      <c r="EW127" s="7"/>
      <c r="EX127" s="7"/>
      <c r="EY127" s="7"/>
      <c r="EZ127" s="7"/>
      <c r="FA127" s="7"/>
      <c r="FB127" s="7"/>
      <c r="FC127" s="55"/>
      <c r="FD127" s="55"/>
      <c r="FE127" s="55"/>
      <c r="FF127" s="7"/>
      <c r="FG127" s="7"/>
      <c r="FH127" s="7"/>
      <c r="FI127" s="7"/>
      <c r="FJ127" s="7"/>
      <c r="FK127" s="7"/>
      <c r="FL127" s="7"/>
      <c r="FM127" s="7"/>
      <c r="FN127" s="7"/>
      <c r="FO127" s="7"/>
      <c r="FP127" s="7"/>
      <c r="FQ127" s="7"/>
      <c r="FR127" s="7"/>
      <c r="FS127" s="77"/>
      <c r="FT127" s="30"/>
      <c r="FU127" s="7"/>
      <c r="FV127" s="55"/>
      <c r="FW127" s="55"/>
      <c r="FX127" s="7"/>
      <c r="FY127" s="7"/>
      <c r="FZ127" s="7"/>
      <c r="GA127" s="7"/>
      <c r="GB127" s="7"/>
      <c r="GC127" s="7"/>
      <c r="GD127" s="103"/>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29"/>
      <c r="IF127" s="7"/>
      <c r="IG127" s="7"/>
      <c r="IH127" s="7"/>
      <c r="II127" s="7"/>
      <c r="IJ127" s="7"/>
      <c r="IK127" s="7"/>
      <c r="IL127" s="7"/>
      <c r="IM127" s="7"/>
      <c r="IN127" s="7"/>
      <c r="IO127" s="7"/>
      <c r="IP127" s="7"/>
      <c r="IQ127" s="7"/>
      <c r="IR127" s="7"/>
      <c r="IS127" s="7"/>
      <c r="IT127" s="55"/>
      <c r="IU127" s="7"/>
      <c r="IV127" s="7"/>
    </row>
    <row r="128" spans="1:256" s="11" customFormat="1" ht="12.75" customHeight="1">
      <c r="A128" s="19"/>
      <c r="B128" s="19"/>
      <c r="C128" s="191" t="s">
        <v>2209</v>
      </c>
      <c r="D128" s="19"/>
      <c r="E128" s="7"/>
      <c r="F128" s="7"/>
      <c r="G128" s="7"/>
      <c r="H128" s="7"/>
      <c r="I128" s="8"/>
      <c r="J128" s="19" t="str">
        <f t="shared" ca="1" si="2"/>
        <v/>
      </c>
      <c r="K128" s="7"/>
      <c r="L128" s="7"/>
      <c r="M128" s="7"/>
      <c r="N128" s="7"/>
      <c r="O128" s="7"/>
      <c r="P128" s="7"/>
      <c r="Q128" s="29"/>
      <c r="R128" s="30"/>
      <c r="S128" s="7"/>
      <c r="T128" s="7"/>
      <c r="U128" s="31"/>
      <c r="V128" s="7"/>
      <c r="W128" s="7"/>
      <c r="X128" s="7"/>
      <c r="Y128" s="7"/>
      <c r="Z128" s="7"/>
      <c r="AA128" s="7"/>
      <c r="AB128" s="7"/>
      <c r="AC128" s="7"/>
      <c r="AD128" s="7"/>
      <c r="AE128" s="7"/>
      <c r="AF128" s="7"/>
      <c r="AG128" s="7"/>
      <c r="AH128" s="7"/>
      <c r="AI128" s="7"/>
      <c r="AJ128" s="122"/>
      <c r="AK128" s="41"/>
      <c r="AL128" s="52"/>
      <c r="AM128" s="20"/>
      <c r="AN128" s="20"/>
      <c r="AO128" s="20"/>
      <c r="AP128" s="20"/>
      <c r="AQ128" s="7"/>
      <c r="AR128" s="7"/>
      <c r="AS128" s="7"/>
      <c r="AT128" s="7"/>
      <c r="AU128" s="7"/>
      <c r="AV128" s="49"/>
      <c r="AW128" s="7"/>
      <c r="AX128" s="7"/>
      <c r="AY128" s="7"/>
      <c r="AZ128" s="7"/>
      <c r="BA128" s="7"/>
      <c r="BB128" s="7"/>
      <c r="BC128" s="7"/>
      <c r="BD128" s="55"/>
      <c r="BE128" s="55"/>
      <c r="BF128" s="7"/>
      <c r="BG128" s="7"/>
      <c r="BH128" s="7"/>
      <c r="BI128" s="7"/>
      <c r="BJ128" s="7"/>
      <c r="BK128" s="7"/>
      <c r="BL128" s="7"/>
      <c r="BM128" s="7"/>
      <c r="BN128" s="61"/>
      <c r="BO128" s="62"/>
      <c r="BP128" s="50"/>
      <c r="BQ128" s="20"/>
      <c r="BR128" s="7"/>
      <c r="BS128" s="7"/>
      <c r="BT128" s="7"/>
      <c r="BU128" s="7"/>
      <c r="BV128" s="55"/>
      <c r="BW128" s="7"/>
      <c r="BX128" s="55"/>
      <c r="BY128" s="7"/>
      <c r="BZ128" s="7"/>
      <c r="CA128" s="7"/>
      <c r="CB128" s="7"/>
      <c r="CC128" s="55"/>
      <c r="CD128" s="104"/>
      <c r="CE128" s="105"/>
      <c r="CF128" s="7"/>
      <c r="CG128" s="7"/>
      <c r="CH128" s="7"/>
      <c r="CI128" s="7"/>
      <c r="CJ128" s="7"/>
      <c r="CK128" s="7"/>
      <c r="CL128" s="7"/>
      <c r="CM128" s="7"/>
      <c r="CN128" s="7"/>
      <c r="CO128" s="7"/>
      <c r="CP128" s="55"/>
      <c r="CQ128" s="7"/>
      <c r="CR128" s="7"/>
      <c r="CS128" s="130"/>
      <c r="CT128" s="7"/>
      <c r="CU128" s="7"/>
      <c r="CV128" s="7"/>
      <c r="CW128" s="7"/>
      <c r="CX128" s="7"/>
      <c r="CY128" s="73"/>
      <c r="CZ128" s="7"/>
      <c r="DA128" s="7"/>
      <c r="DB128" s="7"/>
      <c r="DC128" s="48"/>
      <c r="DD128" s="7"/>
      <c r="DE128" s="7"/>
      <c r="DF128" s="7"/>
      <c r="DG128" s="7"/>
      <c r="DH128" s="7"/>
      <c r="DI128" s="7"/>
      <c r="DJ128" s="7"/>
      <c r="DK128" s="7"/>
      <c r="DL128" s="74"/>
      <c r="DM128" s="7"/>
      <c r="DN128" s="7"/>
      <c r="DO128" s="7"/>
      <c r="DP128" s="7"/>
      <c r="DQ128" s="58"/>
      <c r="DR128" s="7"/>
      <c r="DS128" s="7"/>
      <c r="DT128" s="7"/>
      <c r="DU128" s="73"/>
      <c r="DV128" s="73"/>
      <c r="DW128" s="152"/>
      <c r="DX128" s="7"/>
      <c r="DY128" s="7"/>
      <c r="DZ128" s="7"/>
      <c r="EA128" s="7"/>
      <c r="EB128" s="7"/>
      <c r="EC128" s="7"/>
      <c r="ED128" s="7"/>
      <c r="EE128" s="7"/>
      <c r="EF128" s="7"/>
      <c r="EG128" s="7"/>
      <c r="EH128" s="7"/>
      <c r="EI128" s="7"/>
      <c r="EJ128" s="7"/>
      <c r="EK128" s="7"/>
      <c r="EL128" s="7"/>
      <c r="EM128" s="7"/>
      <c r="EN128" s="19"/>
      <c r="EO128" s="7"/>
      <c r="EP128" s="7"/>
      <c r="EQ128" s="7"/>
      <c r="ER128" s="7"/>
      <c r="ES128" s="7"/>
      <c r="ET128" s="55"/>
      <c r="EU128" s="7"/>
      <c r="EV128" s="7"/>
      <c r="EW128" s="7"/>
      <c r="EX128" s="7"/>
      <c r="EY128" s="7"/>
      <c r="EZ128" s="7"/>
      <c r="FA128" s="7"/>
      <c r="FB128" s="7"/>
      <c r="FC128" s="55"/>
      <c r="FD128" s="55"/>
      <c r="FE128" s="55"/>
      <c r="FF128" s="7"/>
      <c r="FG128" s="7"/>
      <c r="FH128" s="7"/>
      <c r="FI128" s="7"/>
      <c r="FJ128" s="7"/>
      <c r="FK128" s="7"/>
      <c r="FL128" s="7"/>
      <c r="FM128" s="7"/>
      <c r="FN128" s="7"/>
      <c r="FO128" s="7"/>
      <c r="FP128" s="7"/>
      <c r="FQ128" s="7"/>
      <c r="FR128" s="7"/>
      <c r="FS128" s="77"/>
      <c r="FT128" s="30"/>
      <c r="FU128" s="7"/>
      <c r="FV128" s="55"/>
      <c r="FW128" s="55"/>
      <c r="FX128" s="7"/>
      <c r="FY128" s="7"/>
      <c r="FZ128" s="7"/>
      <c r="GA128" s="7"/>
      <c r="GB128" s="7"/>
      <c r="GC128" s="7"/>
      <c r="GD128" s="103"/>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29"/>
      <c r="IF128" s="7"/>
      <c r="IG128" s="7"/>
      <c r="IH128" s="7"/>
      <c r="II128" s="7"/>
      <c r="IJ128" s="7"/>
      <c r="IK128" s="7"/>
      <c r="IL128" s="7"/>
      <c r="IM128" s="7"/>
      <c r="IN128" s="7"/>
      <c r="IO128" s="7"/>
      <c r="IP128" s="7"/>
      <c r="IQ128" s="7"/>
      <c r="IR128" s="7"/>
      <c r="IS128" s="7"/>
      <c r="IT128" s="55"/>
      <c r="IU128" s="7"/>
      <c r="IV128" s="7"/>
    </row>
    <row r="129" spans="1:256" s="11" customFormat="1" ht="12.75" customHeight="1">
      <c r="A129" s="19"/>
      <c r="B129" s="19"/>
      <c r="C129" s="191" t="s">
        <v>4300</v>
      </c>
      <c r="D129" s="19"/>
      <c r="E129" s="7"/>
      <c r="F129" s="7"/>
      <c r="G129" s="7"/>
      <c r="H129" s="7"/>
      <c r="I129" s="8"/>
      <c r="J129" s="19" t="str">
        <f t="shared" ca="1" si="2"/>
        <v/>
      </c>
      <c r="K129" s="7"/>
      <c r="L129" s="7"/>
      <c r="M129" s="7"/>
      <c r="N129" s="7"/>
      <c r="O129" s="7"/>
      <c r="P129" s="7"/>
      <c r="Q129" s="29"/>
      <c r="R129" s="30"/>
      <c r="S129" s="7"/>
      <c r="T129" s="7"/>
      <c r="U129" s="31"/>
      <c r="V129" s="7"/>
      <c r="W129" s="7"/>
      <c r="X129" s="7"/>
      <c r="Y129" s="7"/>
      <c r="Z129" s="7"/>
      <c r="AA129" s="7"/>
      <c r="AB129" s="7"/>
      <c r="AC129" s="7"/>
      <c r="AD129" s="7"/>
      <c r="AE129" s="7"/>
      <c r="AF129" s="7"/>
      <c r="AG129" s="7"/>
      <c r="AH129" s="7"/>
      <c r="AI129" s="7"/>
      <c r="AJ129" s="122"/>
      <c r="AK129" s="41"/>
      <c r="AL129" s="52"/>
      <c r="AM129" s="20"/>
      <c r="AN129" s="20"/>
      <c r="AO129" s="20"/>
      <c r="AP129" s="20"/>
      <c r="AQ129" s="7"/>
      <c r="AR129" s="7"/>
      <c r="AS129" s="7"/>
      <c r="AT129" s="7"/>
      <c r="AU129" s="7"/>
      <c r="AV129" s="49"/>
      <c r="AW129" s="7"/>
      <c r="AX129" s="7"/>
      <c r="AY129" s="7"/>
      <c r="AZ129" s="7"/>
      <c r="BA129" s="7"/>
      <c r="BB129" s="7"/>
      <c r="BC129" s="7"/>
      <c r="BD129" s="55"/>
      <c r="BE129" s="55"/>
      <c r="BF129" s="7"/>
      <c r="BG129" s="7"/>
      <c r="BH129" s="7"/>
      <c r="BI129" s="7"/>
      <c r="BJ129" s="7"/>
      <c r="BK129" s="7"/>
      <c r="BL129" s="7"/>
      <c r="BM129" s="7"/>
      <c r="BN129" s="61"/>
      <c r="BO129" s="62"/>
      <c r="BP129" s="50"/>
      <c r="BQ129" s="20"/>
      <c r="BR129" s="7"/>
      <c r="BS129" s="7"/>
      <c r="BT129" s="7"/>
      <c r="BU129" s="7"/>
      <c r="BV129" s="55"/>
      <c r="BW129" s="7"/>
      <c r="BX129" s="55"/>
      <c r="BY129" s="7"/>
      <c r="BZ129" s="7"/>
      <c r="CA129" s="7"/>
      <c r="CB129" s="7"/>
      <c r="CC129" s="55"/>
      <c r="CD129" s="104"/>
      <c r="CE129" s="105"/>
      <c r="CF129" s="7"/>
      <c r="CG129" s="7"/>
      <c r="CH129" s="7"/>
      <c r="CI129" s="7"/>
      <c r="CJ129" s="7"/>
      <c r="CK129" s="7"/>
      <c r="CL129" s="7"/>
      <c r="CM129" s="7"/>
      <c r="CN129" s="7"/>
      <c r="CO129" s="7"/>
      <c r="CP129" s="55"/>
      <c r="CQ129" s="7"/>
      <c r="CR129" s="7"/>
      <c r="CS129" s="130"/>
      <c r="CT129" s="7"/>
      <c r="CU129" s="7"/>
      <c r="CV129" s="7"/>
      <c r="CW129" s="7"/>
      <c r="CX129" s="7"/>
      <c r="CY129" s="73"/>
      <c r="CZ129" s="7"/>
      <c r="DA129" s="7"/>
      <c r="DB129" s="7"/>
      <c r="DC129" s="48"/>
      <c r="DD129" s="7"/>
      <c r="DE129" s="7"/>
      <c r="DF129" s="7"/>
      <c r="DG129" s="7"/>
      <c r="DH129" s="7"/>
      <c r="DI129" s="7"/>
      <c r="DJ129" s="7"/>
      <c r="DK129" s="7"/>
      <c r="DL129" s="74"/>
      <c r="DM129" s="7"/>
      <c r="DN129" s="7"/>
      <c r="DO129" s="7"/>
      <c r="DP129" s="7"/>
      <c r="DQ129" s="58"/>
      <c r="DR129" s="7"/>
      <c r="DS129" s="7"/>
      <c r="DT129" s="7"/>
      <c r="DU129" s="73"/>
      <c r="DV129" s="73"/>
      <c r="DW129" s="152"/>
      <c r="DX129" s="7"/>
      <c r="DY129" s="7"/>
      <c r="DZ129" s="7"/>
      <c r="EA129" s="7"/>
      <c r="EB129" s="7"/>
      <c r="EC129" s="7"/>
      <c r="ED129" s="7"/>
      <c r="EE129" s="7"/>
      <c r="EF129" s="7"/>
      <c r="EG129" s="7"/>
      <c r="EH129" s="7"/>
      <c r="EI129" s="7"/>
      <c r="EJ129" s="7"/>
      <c r="EK129" s="7"/>
      <c r="EL129" s="7"/>
      <c r="EM129" s="7"/>
      <c r="EN129" s="19"/>
      <c r="EO129" s="7"/>
      <c r="EP129" s="7"/>
      <c r="EQ129" s="7"/>
      <c r="ER129" s="7"/>
      <c r="ES129" s="7"/>
      <c r="ET129" s="55"/>
      <c r="EU129" s="7"/>
      <c r="EV129" s="7"/>
      <c r="EW129" s="7"/>
      <c r="EX129" s="7"/>
      <c r="EY129" s="7"/>
      <c r="EZ129" s="7"/>
      <c r="FA129" s="7"/>
      <c r="FB129" s="7"/>
      <c r="FC129" s="55"/>
      <c r="FD129" s="55"/>
      <c r="FE129" s="55"/>
      <c r="FF129" s="7"/>
      <c r="FG129" s="7"/>
      <c r="FH129" s="7"/>
      <c r="FI129" s="7"/>
      <c r="FJ129" s="7"/>
      <c r="FK129" s="7"/>
      <c r="FL129" s="7"/>
      <c r="FM129" s="7"/>
      <c r="FN129" s="7"/>
      <c r="FO129" s="7"/>
      <c r="FP129" s="7"/>
      <c r="FQ129" s="7"/>
      <c r="FR129" s="7"/>
      <c r="FS129" s="77"/>
      <c r="FT129" s="30"/>
      <c r="FU129" s="7"/>
      <c r="FV129" s="55"/>
      <c r="FW129" s="55"/>
      <c r="FX129" s="7"/>
      <c r="FY129" s="7"/>
      <c r="FZ129" s="7"/>
      <c r="GA129" s="7"/>
      <c r="GB129" s="7"/>
      <c r="GC129" s="7"/>
      <c r="GD129" s="103"/>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29"/>
      <c r="IF129" s="7"/>
      <c r="IG129" s="7"/>
      <c r="IH129" s="7"/>
      <c r="II129" s="7"/>
      <c r="IJ129" s="7"/>
      <c r="IK129" s="7"/>
      <c r="IL129" s="7"/>
      <c r="IM129" s="7"/>
      <c r="IN129" s="7"/>
      <c r="IO129" s="7"/>
      <c r="IP129" s="7"/>
      <c r="IQ129" s="7"/>
      <c r="IR129" s="7"/>
      <c r="IS129" s="7"/>
      <c r="IT129" s="55"/>
      <c r="IU129" s="7"/>
      <c r="IV129" s="7"/>
    </row>
    <row r="130" spans="1:256" s="11" customFormat="1" ht="12.75" customHeight="1">
      <c r="A130" s="19"/>
      <c r="B130" s="19"/>
      <c r="C130" s="191" t="s">
        <v>4297</v>
      </c>
      <c r="D130" s="19"/>
      <c r="E130" s="7"/>
      <c r="F130" s="7"/>
      <c r="G130" s="7"/>
      <c r="H130" s="7"/>
      <c r="I130" s="8"/>
      <c r="J130" s="19" t="str">
        <f t="shared" ca="1" si="2"/>
        <v/>
      </c>
      <c r="K130" s="7"/>
      <c r="L130" s="7"/>
      <c r="M130" s="7"/>
      <c r="N130" s="7"/>
      <c r="O130" s="7"/>
      <c r="P130" s="7"/>
      <c r="Q130" s="29"/>
      <c r="R130" s="30"/>
      <c r="S130" s="7"/>
      <c r="T130" s="7"/>
      <c r="U130" s="31"/>
      <c r="V130" s="7"/>
      <c r="W130" s="7"/>
      <c r="X130" s="7"/>
      <c r="Y130" s="7"/>
      <c r="Z130" s="7"/>
      <c r="AA130" s="7"/>
      <c r="AB130" s="7"/>
      <c r="AC130" s="7"/>
      <c r="AD130" s="7"/>
      <c r="AE130" s="7"/>
      <c r="AF130" s="7"/>
      <c r="AG130" s="7"/>
      <c r="AH130" s="7"/>
      <c r="AI130" s="7"/>
      <c r="AJ130" s="122"/>
      <c r="AK130" s="41"/>
      <c r="AL130" s="52"/>
      <c r="AM130" s="20"/>
      <c r="AN130" s="20"/>
      <c r="AO130" s="20"/>
      <c r="AP130" s="20"/>
      <c r="AQ130" s="7"/>
      <c r="AR130" s="7"/>
      <c r="AS130" s="7"/>
      <c r="AT130" s="7"/>
      <c r="AU130" s="7"/>
      <c r="AV130" s="49"/>
      <c r="AW130" s="7"/>
      <c r="AX130" s="7"/>
      <c r="AY130" s="7"/>
      <c r="AZ130" s="7"/>
      <c r="BA130" s="7"/>
      <c r="BB130" s="7"/>
      <c r="BC130" s="7"/>
      <c r="BD130" s="55"/>
      <c r="BE130" s="55"/>
      <c r="BF130" s="7"/>
      <c r="BG130" s="7"/>
      <c r="BH130" s="7"/>
      <c r="BI130" s="7"/>
      <c r="BJ130" s="7"/>
      <c r="BK130" s="7"/>
      <c r="BL130" s="7"/>
      <c r="BM130" s="7"/>
      <c r="BN130" s="61"/>
      <c r="BO130" s="62"/>
      <c r="BP130" s="50"/>
      <c r="BQ130" s="20"/>
      <c r="BR130" s="7"/>
      <c r="BS130" s="7"/>
      <c r="BT130" s="7"/>
      <c r="BU130" s="7"/>
      <c r="BV130" s="55"/>
      <c r="BW130" s="7"/>
      <c r="BX130" s="55"/>
      <c r="BY130" s="7"/>
      <c r="BZ130" s="7"/>
      <c r="CA130" s="7"/>
      <c r="CB130" s="7"/>
      <c r="CC130" s="55"/>
      <c r="CD130" s="104"/>
      <c r="CE130" s="105"/>
      <c r="CF130" s="7"/>
      <c r="CG130" s="7"/>
      <c r="CH130" s="7"/>
      <c r="CI130" s="7"/>
      <c r="CJ130" s="7"/>
      <c r="CK130" s="7"/>
      <c r="CL130" s="7"/>
      <c r="CM130" s="7"/>
      <c r="CN130" s="7"/>
      <c r="CO130" s="7"/>
      <c r="CP130" s="55"/>
      <c r="CQ130" s="7"/>
      <c r="CR130" s="7"/>
      <c r="CS130" s="130"/>
      <c r="CT130" s="7"/>
      <c r="CU130" s="7"/>
      <c r="CV130" s="7"/>
      <c r="CW130" s="7"/>
      <c r="CX130" s="7"/>
      <c r="CY130" s="73"/>
      <c r="CZ130" s="7"/>
      <c r="DA130" s="7"/>
      <c r="DB130" s="7"/>
      <c r="DC130" s="48"/>
      <c r="DD130" s="7"/>
      <c r="DE130" s="7"/>
      <c r="DF130" s="7"/>
      <c r="DG130" s="7"/>
      <c r="DH130" s="7"/>
      <c r="DI130" s="7"/>
      <c r="DJ130" s="7"/>
      <c r="DK130" s="7"/>
      <c r="DL130" s="74"/>
      <c r="DM130" s="7"/>
      <c r="DN130" s="7"/>
      <c r="DO130" s="7"/>
      <c r="DP130" s="7"/>
      <c r="DQ130" s="58"/>
      <c r="DR130" s="7"/>
      <c r="DS130" s="7"/>
      <c r="DT130" s="7"/>
      <c r="DU130" s="73"/>
      <c r="DV130" s="73"/>
      <c r="DW130" s="152"/>
      <c r="DX130" s="7"/>
      <c r="DY130" s="7"/>
      <c r="DZ130" s="7"/>
      <c r="EA130" s="7"/>
      <c r="EB130" s="7"/>
      <c r="EC130" s="7"/>
      <c r="ED130" s="7"/>
      <c r="EE130" s="7"/>
      <c r="EF130" s="7"/>
      <c r="EG130" s="7"/>
      <c r="EH130" s="7"/>
      <c r="EI130" s="7"/>
      <c r="EJ130" s="7"/>
      <c r="EK130" s="7"/>
      <c r="EL130" s="7"/>
      <c r="EM130" s="7"/>
      <c r="EN130" s="19"/>
      <c r="EO130" s="7"/>
      <c r="EP130" s="7"/>
      <c r="EQ130" s="7"/>
      <c r="ER130" s="7"/>
      <c r="ES130" s="7"/>
      <c r="ET130" s="55"/>
      <c r="EU130" s="7"/>
      <c r="EV130" s="7"/>
      <c r="EW130" s="7"/>
      <c r="EX130" s="7"/>
      <c r="EY130" s="7"/>
      <c r="EZ130" s="7"/>
      <c r="FA130" s="7"/>
      <c r="FB130" s="7"/>
      <c r="FC130" s="55"/>
      <c r="FD130" s="55"/>
      <c r="FE130" s="55"/>
      <c r="FF130" s="7"/>
      <c r="FG130" s="7"/>
      <c r="FH130" s="7"/>
      <c r="FI130" s="7"/>
      <c r="FJ130" s="7"/>
      <c r="FK130" s="7"/>
      <c r="FL130" s="7"/>
      <c r="FM130" s="7"/>
      <c r="FN130" s="7"/>
      <c r="FO130" s="7"/>
      <c r="FP130" s="7"/>
      <c r="FQ130" s="7"/>
      <c r="FR130" s="7"/>
      <c r="FS130" s="77"/>
      <c r="FT130" s="30"/>
      <c r="FU130" s="7"/>
      <c r="FV130" s="55"/>
      <c r="FW130" s="55"/>
      <c r="FX130" s="7"/>
      <c r="FY130" s="7"/>
      <c r="FZ130" s="7"/>
      <c r="GA130" s="7"/>
      <c r="GB130" s="7"/>
      <c r="GC130" s="7"/>
      <c r="GD130" s="103"/>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29"/>
      <c r="IF130" s="7"/>
      <c r="IG130" s="7"/>
      <c r="IH130" s="7"/>
      <c r="II130" s="7"/>
      <c r="IJ130" s="7"/>
      <c r="IK130" s="7"/>
      <c r="IL130" s="7"/>
      <c r="IM130" s="7"/>
      <c r="IN130" s="7"/>
      <c r="IO130" s="7"/>
      <c r="IP130" s="7"/>
      <c r="IQ130" s="7"/>
      <c r="IR130" s="7"/>
      <c r="IS130" s="7"/>
      <c r="IT130" s="55"/>
      <c r="IU130" s="7"/>
      <c r="IV130" s="7"/>
    </row>
    <row r="131" spans="1:256" s="11" customFormat="1" ht="12.75" customHeight="1">
      <c r="A131" s="19"/>
      <c r="B131" s="19"/>
      <c r="C131" s="191" t="s">
        <v>4301</v>
      </c>
      <c r="D131" s="19"/>
      <c r="E131" s="7"/>
      <c r="F131" s="7"/>
      <c r="G131" s="7"/>
      <c r="H131" s="7"/>
      <c r="I131" s="8"/>
      <c r="J131" s="19" t="str">
        <f t="shared" ca="1" si="2"/>
        <v/>
      </c>
      <c r="K131" s="7"/>
      <c r="L131" s="7"/>
      <c r="M131" s="7"/>
      <c r="N131" s="7"/>
      <c r="O131" s="7"/>
      <c r="P131" s="7"/>
      <c r="Q131" s="29"/>
      <c r="R131" s="30"/>
      <c r="S131" s="7"/>
      <c r="T131" s="7"/>
      <c r="U131" s="31"/>
      <c r="V131" s="7"/>
      <c r="W131" s="7"/>
      <c r="X131" s="7"/>
      <c r="Y131" s="7"/>
      <c r="Z131" s="7"/>
      <c r="AA131" s="7"/>
      <c r="AB131" s="7"/>
      <c r="AC131" s="7"/>
      <c r="AD131" s="7"/>
      <c r="AE131" s="7"/>
      <c r="AF131" s="7"/>
      <c r="AG131" s="7"/>
      <c r="AH131" s="7"/>
      <c r="AI131" s="7"/>
      <c r="AJ131" s="122"/>
      <c r="AK131" s="41"/>
      <c r="AL131" s="52"/>
      <c r="AM131" s="20"/>
      <c r="AN131" s="20"/>
      <c r="AO131" s="20"/>
      <c r="AP131" s="20"/>
      <c r="AQ131" s="7"/>
      <c r="AR131" s="7"/>
      <c r="AS131" s="7"/>
      <c r="AT131" s="7"/>
      <c r="AU131" s="7"/>
      <c r="AV131" s="49"/>
      <c r="AW131" s="7"/>
      <c r="AX131" s="7"/>
      <c r="AY131" s="7"/>
      <c r="AZ131" s="7"/>
      <c r="BA131" s="7"/>
      <c r="BB131" s="7"/>
      <c r="BC131" s="7"/>
      <c r="BD131" s="55"/>
      <c r="BE131" s="55"/>
      <c r="BF131" s="7"/>
      <c r="BG131" s="7"/>
      <c r="BH131" s="7"/>
      <c r="BI131" s="7"/>
      <c r="BJ131" s="7"/>
      <c r="BK131" s="7"/>
      <c r="BL131" s="7"/>
      <c r="BM131" s="7"/>
      <c r="BN131" s="61"/>
      <c r="BO131" s="62"/>
      <c r="BP131" s="50"/>
      <c r="BQ131" s="20"/>
      <c r="BR131" s="7"/>
      <c r="BS131" s="7"/>
      <c r="BT131" s="7"/>
      <c r="BU131" s="7"/>
      <c r="BV131" s="55"/>
      <c r="BW131" s="7"/>
      <c r="BX131" s="55"/>
      <c r="BY131" s="7"/>
      <c r="BZ131" s="7"/>
      <c r="CA131" s="7"/>
      <c r="CB131" s="7"/>
      <c r="CC131" s="55"/>
      <c r="CD131" s="104"/>
      <c r="CE131" s="105"/>
      <c r="CF131" s="7"/>
      <c r="CG131" s="7"/>
      <c r="CH131" s="7"/>
      <c r="CI131" s="7"/>
      <c r="CJ131" s="7"/>
      <c r="CK131" s="7"/>
      <c r="CL131" s="7"/>
      <c r="CM131" s="7"/>
      <c r="CN131" s="7"/>
      <c r="CO131" s="7"/>
      <c r="CP131" s="55"/>
      <c r="CQ131" s="7"/>
      <c r="CR131" s="7"/>
      <c r="CS131" s="130"/>
      <c r="CT131" s="7"/>
      <c r="CU131" s="7"/>
      <c r="CV131" s="7"/>
      <c r="CW131" s="7"/>
      <c r="CX131" s="7"/>
      <c r="CY131" s="73"/>
      <c r="CZ131" s="7"/>
      <c r="DA131" s="7"/>
      <c r="DB131" s="7"/>
      <c r="DC131" s="48"/>
      <c r="DD131" s="7"/>
      <c r="DE131" s="7"/>
      <c r="DF131" s="7"/>
      <c r="DG131" s="7"/>
      <c r="DH131" s="7"/>
      <c r="DI131" s="7"/>
      <c r="DJ131" s="7"/>
      <c r="DK131" s="7"/>
      <c r="DL131" s="74"/>
      <c r="DM131" s="7"/>
      <c r="DN131" s="7"/>
      <c r="DO131" s="7"/>
      <c r="DP131" s="7"/>
      <c r="DQ131" s="58"/>
      <c r="DR131" s="7"/>
      <c r="DS131" s="7"/>
      <c r="DT131" s="7"/>
      <c r="DU131" s="73"/>
      <c r="DV131" s="73"/>
      <c r="DW131" s="152"/>
      <c r="DX131" s="7"/>
      <c r="DY131" s="7"/>
      <c r="DZ131" s="7"/>
      <c r="EA131" s="7"/>
      <c r="EB131" s="7"/>
      <c r="EC131" s="7"/>
      <c r="ED131" s="7"/>
      <c r="EE131" s="7"/>
      <c r="EF131" s="7"/>
      <c r="EG131" s="7"/>
      <c r="EH131" s="7"/>
      <c r="EI131" s="7"/>
      <c r="EJ131" s="7"/>
      <c r="EK131" s="7"/>
      <c r="EL131" s="7"/>
      <c r="EM131" s="7"/>
      <c r="EN131" s="19"/>
      <c r="EO131" s="7"/>
      <c r="EP131" s="7"/>
      <c r="EQ131" s="7"/>
      <c r="ER131" s="7"/>
      <c r="ES131" s="7"/>
      <c r="ET131" s="55"/>
      <c r="EU131" s="7"/>
      <c r="EV131" s="7"/>
      <c r="EW131" s="7"/>
      <c r="EX131" s="7"/>
      <c r="EY131" s="7"/>
      <c r="EZ131" s="7"/>
      <c r="FA131" s="7"/>
      <c r="FB131" s="7"/>
      <c r="FC131" s="55"/>
      <c r="FD131" s="55"/>
      <c r="FE131" s="55"/>
      <c r="FF131" s="7"/>
      <c r="FG131" s="7"/>
      <c r="FH131" s="7"/>
      <c r="FI131" s="7"/>
      <c r="FJ131" s="7"/>
      <c r="FK131" s="7"/>
      <c r="FL131" s="7"/>
      <c r="FM131" s="7"/>
      <c r="FN131" s="7"/>
      <c r="FO131" s="7"/>
      <c r="FP131" s="7"/>
      <c r="FQ131" s="7"/>
      <c r="FR131" s="7"/>
      <c r="FS131" s="77"/>
      <c r="FT131" s="30"/>
      <c r="FU131" s="7"/>
      <c r="FV131" s="55"/>
      <c r="FW131" s="55"/>
      <c r="FX131" s="7"/>
      <c r="FY131" s="7"/>
      <c r="FZ131" s="7"/>
      <c r="GA131" s="7"/>
      <c r="GB131" s="7"/>
      <c r="GC131" s="7"/>
      <c r="GD131" s="103"/>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29"/>
      <c r="IF131" s="7"/>
      <c r="IG131" s="7"/>
      <c r="IH131" s="7"/>
      <c r="II131" s="7"/>
      <c r="IJ131" s="7"/>
      <c r="IK131" s="7"/>
      <c r="IL131" s="7"/>
      <c r="IM131" s="7"/>
      <c r="IN131" s="7"/>
      <c r="IO131" s="7"/>
      <c r="IP131" s="7"/>
      <c r="IQ131" s="7"/>
      <c r="IR131" s="7"/>
      <c r="IS131" s="7"/>
      <c r="IT131" s="55"/>
      <c r="IU131" s="7"/>
      <c r="IV131" s="7"/>
    </row>
    <row r="132" spans="1:256" s="11" customFormat="1" ht="12.75" customHeight="1">
      <c r="A132" s="19"/>
      <c r="B132" s="19"/>
      <c r="C132" s="191"/>
      <c r="D132" s="19"/>
      <c r="E132" s="7"/>
      <c r="F132" s="7"/>
      <c r="G132" s="7"/>
      <c r="H132" s="7"/>
      <c r="I132" s="8"/>
      <c r="J132" s="19" t="str">
        <f t="shared" ca="1" si="2"/>
        <v/>
      </c>
      <c r="K132" s="7"/>
      <c r="L132" s="7"/>
      <c r="M132" s="7"/>
      <c r="N132" s="7"/>
      <c r="O132" s="7"/>
      <c r="P132" s="7"/>
      <c r="Q132" s="29"/>
      <c r="R132" s="30"/>
      <c r="S132" s="7"/>
      <c r="T132" s="7"/>
      <c r="U132" s="31"/>
      <c r="V132" s="7"/>
      <c r="W132" s="7"/>
      <c r="X132" s="7"/>
      <c r="Y132" s="7"/>
      <c r="Z132" s="7"/>
      <c r="AA132" s="7"/>
      <c r="AB132" s="7"/>
      <c r="AC132" s="7"/>
      <c r="AD132" s="7"/>
      <c r="AE132" s="7"/>
      <c r="AF132" s="7"/>
      <c r="AG132" s="7"/>
      <c r="AH132" s="7"/>
      <c r="AI132" s="7"/>
      <c r="AJ132" s="122"/>
      <c r="AK132" s="41"/>
      <c r="AL132" s="52"/>
      <c r="AM132" s="20"/>
      <c r="AN132" s="20"/>
      <c r="AO132" s="20"/>
      <c r="AP132" s="20"/>
      <c r="AQ132" s="7"/>
      <c r="AR132" s="7"/>
      <c r="AS132" s="7"/>
      <c r="AT132" s="7"/>
      <c r="AU132" s="7"/>
      <c r="AV132" s="49"/>
      <c r="AW132" s="7"/>
      <c r="AX132" s="7"/>
      <c r="AY132" s="7"/>
      <c r="AZ132" s="7"/>
      <c r="BA132" s="7"/>
      <c r="BB132" s="7"/>
      <c r="BC132" s="7"/>
      <c r="BD132" s="55"/>
      <c r="BE132" s="55"/>
      <c r="BF132" s="7"/>
      <c r="BG132" s="7"/>
      <c r="BH132" s="7"/>
      <c r="BI132" s="7"/>
      <c r="BJ132" s="7"/>
      <c r="BK132" s="7"/>
      <c r="BL132" s="7"/>
      <c r="BM132" s="7"/>
      <c r="BN132" s="61"/>
      <c r="BO132" s="62"/>
      <c r="BP132" s="50"/>
      <c r="BQ132" s="20"/>
      <c r="BR132" s="7"/>
      <c r="BS132" s="7"/>
      <c r="BT132" s="7"/>
      <c r="BU132" s="7"/>
      <c r="BV132" s="55"/>
      <c r="BW132" s="7"/>
      <c r="BX132" s="55"/>
      <c r="BY132" s="7"/>
      <c r="BZ132" s="7"/>
      <c r="CA132" s="7"/>
      <c r="CB132" s="7"/>
      <c r="CC132" s="55"/>
      <c r="CD132" s="104"/>
      <c r="CE132" s="105"/>
      <c r="CF132" s="7"/>
      <c r="CG132" s="7"/>
      <c r="CH132" s="7"/>
      <c r="CI132" s="7"/>
      <c r="CJ132" s="7"/>
      <c r="CK132" s="7"/>
      <c r="CL132" s="7"/>
      <c r="CM132" s="7"/>
      <c r="CN132" s="7"/>
      <c r="CO132" s="7"/>
      <c r="CP132" s="55"/>
      <c r="CQ132" s="7"/>
      <c r="CR132" s="7"/>
      <c r="CS132" s="130"/>
      <c r="CT132" s="7"/>
      <c r="CU132" s="7"/>
      <c r="CV132" s="7"/>
      <c r="CW132" s="7"/>
      <c r="CX132" s="7"/>
      <c r="CY132" s="73"/>
      <c r="CZ132" s="7"/>
      <c r="DA132" s="7"/>
      <c r="DB132" s="7"/>
      <c r="DC132" s="48"/>
      <c r="DD132" s="7"/>
      <c r="DE132" s="7"/>
      <c r="DF132" s="7"/>
      <c r="DG132" s="7"/>
      <c r="DH132" s="7"/>
      <c r="DI132" s="7"/>
      <c r="DJ132" s="7"/>
      <c r="DK132" s="7"/>
      <c r="DL132" s="74"/>
      <c r="DM132" s="7"/>
      <c r="DN132" s="7"/>
      <c r="DO132" s="7"/>
      <c r="DP132" s="7"/>
      <c r="DQ132" s="58"/>
      <c r="DR132" s="7"/>
      <c r="DS132" s="7"/>
      <c r="DT132" s="7"/>
      <c r="DU132" s="73"/>
      <c r="DV132" s="73"/>
      <c r="DW132" s="152"/>
      <c r="DX132" s="7"/>
      <c r="DY132" s="7"/>
      <c r="DZ132" s="7"/>
      <c r="EA132" s="7"/>
      <c r="EB132" s="7"/>
      <c r="EC132" s="7"/>
      <c r="ED132" s="7"/>
      <c r="EE132" s="7"/>
      <c r="EF132" s="7"/>
      <c r="EG132" s="7"/>
      <c r="EH132" s="7"/>
      <c r="EI132" s="7"/>
      <c r="EJ132" s="7"/>
      <c r="EK132" s="7"/>
      <c r="EL132" s="7"/>
      <c r="EM132" s="7"/>
      <c r="EN132" s="19"/>
      <c r="EO132" s="7"/>
      <c r="EP132" s="7"/>
      <c r="EQ132" s="7"/>
      <c r="ER132" s="7"/>
      <c r="ES132" s="7"/>
      <c r="ET132" s="55"/>
      <c r="EU132" s="7"/>
      <c r="EV132" s="7"/>
      <c r="EW132" s="7"/>
      <c r="EX132" s="7"/>
      <c r="EY132" s="7"/>
      <c r="EZ132" s="7"/>
      <c r="FA132" s="7"/>
      <c r="FB132" s="7"/>
      <c r="FC132" s="55"/>
      <c r="FD132" s="55"/>
      <c r="FE132" s="55"/>
      <c r="FF132" s="7"/>
      <c r="FG132" s="7"/>
      <c r="FH132" s="7"/>
      <c r="FI132" s="7"/>
      <c r="FJ132" s="7"/>
      <c r="FK132" s="7"/>
      <c r="FL132" s="7"/>
      <c r="FM132" s="7"/>
      <c r="FN132" s="7"/>
      <c r="FO132" s="7"/>
      <c r="FP132" s="7"/>
      <c r="FQ132" s="7"/>
      <c r="FR132" s="7"/>
      <c r="FS132" s="77"/>
      <c r="FT132" s="30"/>
      <c r="FU132" s="7"/>
      <c r="FV132" s="55"/>
      <c r="FW132" s="55"/>
      <c r="FX132" s="7"/>
      <c r="FY132" s="7"/>
      <c r="FZ132" s="7"/>
      <c r="GA132" s="7"/>
      <c r="GB132" s="7"/>
      <c r="GC132" s="7"/>
      <c r="GD132" s="103"/>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29"/>
      <c r="IF132" s="7"/>
      <c r="IG132" s="7"/>
      <c r="IH132" s="7"/>
      <c r="II132" s="7"/>
      <c r="IJ132" s="7"/>
      <c r="IK132" s="7"/>
      <c r="IL132" s="7"/>
      <c r="IM132" s="7"/>
      <c r="IN132" s="7"/>
      <c r="IO132" s="7"/>
      <c r="IP132" s="7"/>
      <c r="IQ132" s="7"/>
      <c r="IR132" s="7"/>
      <c r="IS132" s="7"/>
      <c r="IT132" s="55"/>
      <c r="IU132" s="7"/>
      <c r="IV132" s="7"/>
    </row>
    <row r="133" spans="1:256" s="11" customFormat="1" ht="12.75" customHeight="1">
      <c r="A133" s="19"/>
      <c r="B133" s="19"/>
      <c r="C133" s="191" t="s">
        <v>4350</v>
      </c>
      <c r="D133" s="19"/>
      <c r="E133" s="7"/>
      <c r="F133" s="7"/>
      <c r="G133" s="7"/>
      <c r="H133" s="7"/>
      <c r="I133" s="8"/>
      <c r="J133" s="19" t="str">
        <f t="shared" ca="1" si="2"/>
        <v/>
      </c>
      <c r="K133" s="7"/>
      <c r="L133" s="7"/>
      <c r="M133" s="7"/>
      <c r="N133" s="7"/>
      <c r="O133" s="7"/>
      <c r="P133" s="7"/>
      <c r="Q133" s="29"/>
      <c r="R133" s="30"/>
      <c r="S133" s="7"/>
      <c r="T133" s="7"/>
      <c r="U133" s="31"/>
      <c r="V133" s="7"/>
      <c r="W133" s="7"/>
      <c r="X133" s="7"/>
      <c r="Y133" s="7"/>
      <c r="Z133" s="7"/>
      <c r="AA133" s="7"/>
      <c r="AB133" s="7"/>
      <c r="AC133" s="7"/>
      <c r="AD133" s="7"/>
      <c r="AE133" s="7"/>
      <c r="AF133" s="7"/>
      <c r="AG133" s="7"/>
      <c r="AH133" s="7"/>
      <c r="AI133" s="7"/>
      <c r="AJ133" s="122"/>
      <c r="AK133" s="41"/>
      <c r="AL133" s="52"/>
      <c r="AM133" s="20"/>
      <c r="AN133" s="20"/>
      <c r="AO133" s="20"/>
      <c r="AP133" s="20"/>
      <c r="AQ133" s="7"/>
      <c r="AR133" s="7"/>
      <c r="AS133" s="7"/>
      <c r="AT133" s="7"/>
      <c r="AU133" s="7"/>
      <c r="AV133" s="49"/>
      <c r="AW133" s="7"/>
      <c r="AX133" s="7"/>
      <c r="AY133" s="7"/>
      <c r="AZ133" s="7"/>
      <c r="BA133" s="7"/>
      <c r="BB133" s="7"/>
      <c r="BC133" s="7"/>
      <c r="BD133" s="55"/>
      <c r="BE133" s="55"/>
      <c r="BF133" s="7"/>
      <c r="BG133" s="7"/>
      <c r="BH133" s="7"/>
      <c r="BI133" s="7"/>
      <c r="BJ133" s="7"/>
      <c r="BK133" s="7"/>
      <c r="BL133" s="7"/>
      <c r="BM133" s="7"/>
      <c r="BN133" s="61"/>
      <c r="BO133" s="62"/>
      <c r="BP133" s="50"/>
      <c r="BQ133" s="20"/>
      <c r="BR133" s="7"/>
      <c r="BS133" s="7"/>
      <c r="BT133" s="7"/>
      <c r="BU133" s="7"/>
      <c r="BV133" s="55"/>
      <c r="BW133" s="7"/>
      <c r="BX133" s="55"/>
      <c r="BY133" s="7"/>
      <c r="BZ133" s="7"/>
      <c r="CA133" s="7"/>
      <c r="CB133" s="7"/>
      <c r="CC133" s="55"/>
      <c r="CD133" s="104"/>
      <c r="CE133" s="105"/>
      <c r="CF133" s="7"/>
      <c r="CG133" s="7"/>
      <c r="CH133" s="7"/>
      <c r="CI133" s="7"/>
      <c r="CJ133" s="7"/>
      <c r="CK133" s="7"/>
      <c r="CL133" s="7"/>
      <c r="CM133" s="7"/>
      <c r="CN133" s="7"/>
      <c r="CO133" s="7"/>
      <c r="CP133" s="55"/>
      <c r="CQ133" s="7"/>
      <c r="CR133" s="7"/>
      <c r="CS133" s="130"/>
      <c r="CT133" s="7"/>
      <c r="CU133" s="7"/>
      <c r="CV133" s="7"/>
      <c r="CW133" s="7"/>
      <c r="CX133" s="7"/>
      <c r="CY133" s="73"/>
      <c r="CZ133" s="7"/>
      <c r="DA133" s="7"/>
      <c r="DB133" s="7"/>
      <c r="DC133" s="48"/>
      <c r="DD133" s="7"/>
      <c r="DE133" s="7"/>
      <c r="DF133" s="7"/>
      <c r="DG133" s="7"/>
      <c r="DH133" s="7"/>
      <c r="DI133" s="7"/>
      <c r="DJ133" s="7"/>
      <c r="DK133" s="7"/>
      <c r="DL133" s="74"/>
      <c r="DM133" s="7"/>
      <c r="DN133" s="7"/>
      <c r="DO133" s="7"/>
      <c r="DP133" s="7"/>
      <c r="DQ133" s="58"/>
      <c r="DR133" s="7"/>
      <c r="DS133" s="7"/>
      <c r="DT133" s="7"/>
      <c r="DU133" s="73"/>
      <c r="DV133" s="73"/>
      <c r="DW133" s="152"/>
      <c r="DX133" s="7"/>
      <c r="DY133" s="7"/>
      <c r="DZ133" s="7"/>
      <c r="EA133" s="7"/>
      <c r="EB133" s="7"/>
      <c r="EC133" s="7"/>
      <c r="ED133" s="7"/>
      <c r="EE133" s="7"/>
      <c r="EF133" s="7"/>
      <c r="EG133" s="7"/>
      <c r="EH133" s="7"/>
      <c r="EI133" s="7"/>
      <c r="EJ133" s="7"/>
      <c r="EK133" s="7"/>
      <c r="EL133" s="7"/>
      <c r="EM133" s="7"/>
      <c r="EN133" s="19"/>
      <c r="EO133" s="7"/>
      <c r="EP133" s="7"/>
      <c r="EQ133" s="7"/>
      <c r="ER133" s="7"/>
      <c r="ES133" s="7"/>
      <c r="ET133" s="55"/>
      <c r="EU133" s="7"/>
      <c r="EV133" s="7"/>
      <c r="EW133" s="7"/>
      <c r="EX133" s="7"/>
      <c r="EY133" s="7"/>
      <c r="EZ133" s="7"/>
      <c r="FA133" s="7"/>
      <c r="FB133" s="7"/>
      <c r="FC133" s="55"/>
      <c r="FD133" s="55"/>
      <c r="FE133" s="55"/>
      <c r="FF133" s="7"/>
      <c r="FG133" s="7"/>
      <c r="FH133" s="7"/>
      <c r="FI133" s="7"/>
      <c r="FJ133" s="7"/>
      <c r="FK133" s="7"/>
      <c r="FL133" s="7"/>
      <c r="FM133" s="7"/>
      <c r="FN133" s="7"/>
      <c r="FO133" s="7"/>
      <c r="FP133" s="7"/>
      <c r="FQ133" s="7"/>
      <c r="FR133" s="7"/>
      <c r="FS133" s="77"/>
      <c r="FT133" s="30"/>
      <c r="FU133" s="7"/>
      <c r="FV133" s="55"/>
      <c r="FW133" s="55"/>
      <c r="FX133" s="7"/>
      <c r="FY133" s="7"/>
      <c r="FZ133" s="7"/>
      <c r="GA133" s="7"/>
      <c r="GB133" s="7"/>
      <c r="GC133" s="7"/>
      <c r="GD133" s="103"/>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29"/>
      <c r="IF133" s="7"/>
      <c r="IG133" s="7"/>
      <c r="IH133" s="7"/>
      <c r="II133" s="7"/>
      <c r="IJ133" s="7"/>
      <c r="IK133" s="7"/>
      <c r="IL133" s="7"/>
      <c r="IM133" s="7"/>
      <c r="IN133" s="7"/>
      <c r="IO133" s="7"/>
      <c r="IP133" s="7"/>
      <c r="IQ133" s="7"/>
      <c r="IR133" s="7"/>
      <c r="IS133" s="7"/>
      <c r="IT133" s="55"/>
      <c r="IU133" s="7"/>
      <c r="IV133" s="7"/>
    </row>
    <row r="134" spans="1:256" s="11" customFormat="1" ht="12.75" customHeight="1">
      <c r="A134" s="19"/>
      <c r="B134" s="19"/>
      <c r="C134" s="191" t="s">
        <v>1352</v>
      </c>
      <c r="D134" s="19"/>
      <c r="E134" s="7"/>
      <c r="F134" s="7"/>
      <c r="G134" s="7"/>
      <c r="H134" s="7"/>
      <c r="I134" s="8"/>
      <c r="J134" s="19" t="str">
        <f t="shared" ca="1" si="2"/>
        <v/>
      </c>
      <c r="K134" s="7"/>
      <c r="L134" s="7"/>
      <c r="M134" s="7"/>
      <c r="N134" s="7"/>
      <c r="O134" s="7"/>
      <c r="P134" s="7"/>
      <c r="Q134" s="29"/>
      <c r="R134" s="30"/>
      <c r="S134" s="7"/>
      <c r="T134" s="7"/>
      <c r="U134" s="31"/>
      <c r="V134" s="7"/>
      <c r="W134" s="7"/>
      <c r="X134" s="7"/>
      <c r="Y134" s="7"/>
      <c r="Z134" s="7"/>
      <c r="AA134" s="7"/>
      <c r="AB134" s="7"/>
      <c r="AC134" s="7"/>
      <c r="AD134" s="7"/>
      <c r="AE134" s="7"/>
      <c r="AF134" s="7"/>
      <c r="AG134" s="7"/>
      <c r="AH134" s="7"/>
      <c r="AI134" s="7"/>
      <c r="AJ134" s="122"/>
      <c r="AK134" s="41"/>
      <c r="AL134" s="52"/>
      <c r="AM134" s="20"/>
      <c r="AN134" s="20"/>
      <c r="AO134" s="20"/>
      <c r="AP134" s="20"/>
      <c r="AQ134" s="7"/>
      <c r="AR134" s="7"/>
      <c r="AS134" s="7"/>
      <c r="AT134" s="7"/>
      <c r="AU134" s="7"/>
      <c r="AV134" s="49"/>
      <c r="AW134" s="7"/>
      <c r="AX134" s="7"/>
      <c r="AY134" s="7"/>
      <c r="AZ134" s="7"/>
      <c r="BA134" s="7"/>
      <c r="BB134" s="7"/>
      <c r="BC134" s="7"/>
      <c r="BD134" s="55"/>
      <c r="BE134" s="55"/>
      <c r="BF134" s="7"/>
      <c r="BG134" s="7"/>
      <c r="BH134" s="7"/>
      <c r="BI134" s="7"/>
      <c r="BJ134" s="7"/>
      <c r="BK134" s="7"/>
      <c r="BL134" s="7"/>
      <c r="BM134" s="7"/>
      <c r="BN134" s="61"/>
      <c r="BO134" s="62"/>
      <c r="BP134" s="50"/>
      <c r="BQ134" s="20"/>
      <c r="BR134" s="7"/>
      <c r="BS134" s="7"/>
      <c r="BT134" s="7"/>
      <c r="BU134" s="7"/>
      <c r="BV134" s="55"/>
      <c r="BW134" s="7"/>
      <c r="BX134" s="55"/>
      <c r="BY134" s="7"/>
      <c r="BZ134" s="7"/>
      <c r="CA134" s="7"/>
      <c r="CB134" s="7"/>
      <c r="CC134" s="55"/>
      <c r="CD134" s="104"/>
      <c r="CE134" s="105"/>
      <c r="CF134" s="7"/>
      <c r="CG134" s="7"/>
      <c r="CH134" s="7"/>
      <c r="CI134" s="7"/>
      <c r="CJ134" s="7"/>
      <c r="CK134" s="7"/>
      <c r="CL134" s="7"/>
      <c r="CM134" s="7"/>
      <c r="CN134" s="7"/>
      <c r="CO134" s="7"/>
      <c r="CP134" s="55"/>
      <c r="CQ134" s="7"/>
      <c r="CR134" s="7"/>
      <c r="CS134" s="130"/>
      <c r="CT134" s="7"/>
      <c r="CU134" s="7"/>
      <c r="CV134" s="7"/>
      <c r="CW134" s="7"/>
      <c r="CX134" s="7"/>
      <c r="CY134" s="73"/>
      <c r="CZ134" s="7"/>
      <c r="DA134" s="7"/>
      <c r="DB134" s="7"/>
      <c r="DC134" s="48"/>
      <c r="DD134" s="7"/>
      <c r="DE134" s="7"/>
      <c r="DF134" s="7"/>
      <c r="DG134" s="7"/>
      <c r="DH134" s="7"/>
      <c r="DI134" s="7"/>
      <c r="DJ134" s="7"/>
      <c r="DK134" s="7"/>
      <c r="DL134" s="74"/>
      <c r="DM134" s="7"/>
      <c r="DN134" s="7"/>
      <c r="DO134" s="7"/>
      <c r="DP134" s="7"/>
      <c r="DQ134" s="58"/>
      <c r="DR134" s="7"/>
      <c r="DS134" s="7"/>
      <c r="DT134" s="7"/>
      <c r="DU134" s="73"/>
      <c r="DV134" s="73"/>
      <c r="DW134" s="152"/>
      <c r="DX134" s="7"/>
      <c r="DY134" s="7"/>
      <c r="DZ134" s="7"/>
      <c r="EA134" s="7"/>
      <c r="EB134" s="7"/>
      <c r="EC134" s="7"/>
      <c r="ED134" s="7"/>
      <c r="EE134" s="7"/>
      <c r="EF134" s="7"/>
      <c r="EG134" s="7"/>
      <c r="EH134" s="7"/>
      <c r="EI134" s="7"/>
      <c r="EJ134" s="7"/>
      <c r="EK134" s="7"/>
      <c r="EL134" s="7"/>
      <c r="EM134" s="7"/>
      <c r="EN134" s="19"/>
      <c r="EO134" s="7"/>
      <c r="EP134" s="7"/>
      <c r="EQ134" s="7"/>
      <c r="ER134" s="7"/>
      <c r="ES134" s="7"/>
      <c r="ET134" s="55"/>
      <c r="EU134" s="7"/>
      <c r="EV134" s="7"/>
      <c r="EW134" s="7"/>
      <c r="EX134" s="7"/>
      <c r="EY134" s="7"/>
      <c r="EZ134" s="7"/>
      <c r="FA134" s="7"/>
      <c r="FB134" s="7"/>
      <c r="FC134" s="55"/>
      <c r="FD134" s="55"/>
      <c r="FE134" s="55"/>
      <c r="FF134" s="7"/>
      <c r="FG134" s="7"/>
      <c r="FH134" s="7"/>
      <c r="FI134" s="7"/>
      <c r="FJ134" s="7"/>
      <c r="FK134" s="7"/>
      <c r="FL134" s="7"/>
      <c r="FM134" s="7"/>
      <c r="FN134" s="7"/>
      <c r="FO134" s="7"/>
      <c r="FP134" s="7"/>
      <c r="FQ134" s="7"/>
      <c r="FR134" s="7"/>
      <c r="FS134" s="77"/>
      <c r="FT134" s="30"/>
      <c r="FU134" s="7"/>
      <c r="FV134" s="55"/>
      <c r="FW134" s="55"/>
      <c r="FX134" s="7"/>
      <c r="FY134" s="7"/>
      <c r="FZ134" s="7"/>
      <c r="GA134" s="7"/>
      <c r="GB134" s="7"/>
      <c r="GC134" s="7"/>
      <c r="GD134" s="103"/>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29"/>
      <c r="IF134" s="7"/>
      <c r="IG134" s="7"/>
      <c r="IH134" s="7"/>
      <c r="II134" s="7"/>
      <c r="IJ134" s="7"/>
      <c r="IK134" s="7"/>
      <c r="IL134" s="7"/>
      <c r="IM134" s="7"/>
      <c r="IN134" s="7"/>
      <c r="IO134" s="7"/>
      <c r="IP134" s="7"/>
      <c r="IQ134" s="7"/>
      <c r="IR134" s="7"/>
      <c r="IS134" s="7"/>
      <c r="IT134" s="55"/>
      <c r="IU134" s="7"/>
      <c r="IV134" s="7"/>
    </row>
    <row r="135" spans="1:256" s="11" customFormat="1" ht="12.75" customHeight="1">
      <c r="A135" s="19"/>
      <c r="B135" s="19"/>
      <c r="C135" s="191" t="s">
        <v>5324</v>
      </c>
      <c r="D135" s="19"/>
      <c r="E135" s="7"/>
      <c r="F135" s="7"/>
      <c r="G135" s="7"/>
      <c r="H135" s="7"/>
      <c r="I135" s="8"/>
      <c r="J135" s="19" t="str">
        <f t="shared" ca="1" si="2"/>
        <v/>
      </c>
      <c r="K135" s="7"/>
      <c r="L135" s="7"/>
      <c r="M135" s="7"/>
      <c r="N135" s="7"/>
      <c r="O135" s="7"/>
      <c r="P135" s="7"/>
      <c r="Q135" s="29"/>
      <c r="R135" s="30"/>
      <c r="S135" s="7"/>
      <c r="T135" s="7"/>
      <c r="U135" s="31"/>
      <c r="V135" s="7"/>
      <c r="W135" s="7"/>
      <c r="X135" s="7"/>
      <c r="Y135" s="7"/>
      <c r="Z135" s="7"/>
      <c r="AA135" s="7"/>
      <c r="AB135" s="7"/>
      <c r="AC135" s="7"/>
      <c r="AD135" s="7"/>
      <c r="AE135" s="7"/>
      <c r="AF135" s="7"/>
      <c r="AG135" s="7"/>
      <c r="AH135" s="7"/>
      <c r="AI135" s="7"/>
      <c r="AJ135" s="122"/>
      <c r="AK135" s="41"/>
      <c r="AL135" s="52"/>
      <c r="AM135" s="20"/>
      <c r="AN135" s="20"/>
      <c r="AO135" s="20"/>
      <c r="AP135" s="20"/>
      <c r="AQ135" s="7"/>
      <c r="AR135" s="7"/>
      <c r="AS135" s="7"/>
      <c r="AT135" s="7"/>
      <c r="AU135" s="7"/>
      <c r="AV135" s="49"/>
      <c r="AW135" s="7"/>
      <c r="AX135" s="7"/>
      <c r="AY135" s="7"/>
      <c r="AZ135" s="7"/>
      <c r="BA135" s="7"/>
      <c r="BB135" s="7"/>
      <c r="BC135" s="7"/>
      <c r="BD135" s="55"/>
      <c r="BE135" s="55"/>
      <c r="BF135" s="7"/>
      <c r="BG135" s="7"/>
      <c r="BH135" s="7"/>
      <c r="BI135" s="7"/>
      <c r="BJ135" s="7"/>
      <c r="BK135" s="7"/>
      <c r="BL135" s="7"/>
      <c r="BM135" s="7"/>
      <c r="BN135" s="61"/>
      <c r="BO135" s="62"/>
      <c r="BP135" s="50"/>
      <c r="BQ135" s="20"/>
      <c r="BR135" s="7"/>
      <c r="BS135" s="7"/>
      <c r="BT135" s="7"/>
      <c r="BU135" s="7"/>
      <c r="BV135" s="55"/>
      <c r="BW135" s="7"/>
      <c r="BX135" s="55"/>
      <c r="BY135" s="7"/>
      <c r="BZ135" s="7"/>
      <c r="CA135" s="7"/>
      <c r="CB135" s="7"/>
      <c r="CC135" s="55"/>
      <c r="CD135" s="104"/>
      <c r="CE135" s="105"/>
      <c r="CF135" s="7"/>
      <c r="CG135" s="7"/>
      <c r="CH135" s="7"/>
      <c r="CI135" s="7"/>
      <c r="CJ135" s="7"/>
      <c r="CK135" s="7"/>
      <c r="CL135" s="7"/>
      <c r="CM135" s="7"/>
      <c r="CN135" s="7"/>
      <c r="CO135" s="7"/>
      <c r="CP135" s="55"/>
      <c r="CQ135" s="7"/>
      <c r="CR135" s="7"/>
      <c r="CS135" s="130"/>
      <c r="CT135" s="7"/>
      <c r="CU135" s="7"/>
      <c r="CV135" s="7"/>
      <c r="CW135" s="7"/>
      <c r="CX135" s="7"/>
      <c r="CY135" s="73"/>
      <c r="CZ135" s="7"/>
      <c r="DA135" s="7"/>
      <c r="DB135" s="7"/>
      <c r="DC135" s="48"/>
      <c r="DD135" s="7"/>
      <c r="DE135" s="7"/>
      <c r="DF135" s="7"/>
      <c r="DG135" s="7"/>
      <c r="DH135" s="7"/>
      <c r="DI135" s="7"/>
      <c r="DJ135" s="7"/>
      <c r="DK135" s="7"/>
      <c r="DL135" s="74"/>
      <c r="DM135" s="7"/>
      <c r="DN135" s="7"/>
      <c r="DO135" s="7"/>
      <c r="DP135" s="7"/>
      <c r="DQ135" s="58"/>
      <c r="DR135" s="7"/>
      <c r="DS135" s="7"/>
      <c r="DT135" s="7"/>
      <c r="DU135" s="73"/>
      <c r="DV135" s="73"/>
      <c r="DW135" s="152"/>
      <c r="DX135" s="7"/>
      <c r="DY135" s="7"/>
      <c r="DZ135" s="7"/>
      <c r="EA135" s="7"/>
      <c r="EB135" s="7"/>
      <c r="EC135" s="7"/>
      <c r="ED135" s="7"/>
      <c r="EE135" s="7"/>
      <c r="EF135" s="7"/>
      <c r="EG135" s="7"/>
      <c r="EH135" s="7"/>
      <c r="EI135" s="7"/>
      <c r="EJ135" s="7"/>
      <c r="EK135" s="7"/>
      <c r="EL135" s="7"/>
      <c r="EM135" s="7"/>
      <c r="EN135" s="19"/>
      <c r="EO135" s="7"/>
      <c r="EP135" s="7"/>
      <c r="EQ135" s="7"/>
      <c r="ER135" s="7"/>
      <c r="ES135" s="7"/>
      <c r="ET135" s="55"/>
      <c r="EU135" s="7"/>
      <c r="EV135" s="7"/>
      <c r="EW135" s="7"/>
      <c r="EX135" s="7"/>
      <c r="EY135" s="7"/>
      <c r="EZ135" s="7"/>
      <c r="FA135" s="7"/>
      <c r="FB135" s="7"/>
      <c r="FC135" s="55"/>
      <c r="FD135" s="55"/>
      <c r="FE135" s="55"/>
      <c r="FF135" s="7"/>
      <c r="FG135" s="7"/>
      <c r="FH135" s="7"/>
      <c r="FI135" s="7"/>
      <c r="FJ135" s="7"/>
      <c r="FK135" s="7"/>
      <c r="FL135" s="7"/>
      <c r="FM135" s="7"/>
      <c r="FN135" s="7"/>
      <c r="FO135" s="7"/>
      <c r="FP135" s="7"/>
      <c r="FQ135" s="7"/>
      <c r="FR135" s="7"/>
      <c r="FS135" s="77"/>
      <c r="FT135" s="30"/>
      <c r="FU135" s="7"/>
      <c r="FV135" s="55"/>
      <c r="FW135" s="55"/>
      <c r="FX135" s="7"/>
      <c r="FY135" s="7"/>
      <c r="FZ135" s="7"/>
      <c r="GA135" s="7"/>
      <c r="GB135" s="7"/>
      <c r="GC135" s="7"/>
      <c r="GD135" s="103"/>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29"/>
      <c r="IF135" s="7"/>
      <c r="IG135" s="7"/>
      <c r="IH135" s="7"/>
      <c r="II135" s="7"/>
      <c r="IJ135" s="7"/>
      <c r="IK135" s="7"/>
      <c r="IL135" s="7"/>
      <c r="IM135" s="7"/>
      <c r="IN135" s="7"/>
      <c r="IO135" s="7"/>
      <c r="IP135" s="7"/>
      <c r="IQ135" s="7"/>
      <c r="IR135" s="7"/>
      <c r="IS135" s="7"/>
      <c r="IT135" s="55"/>
      <c r="IU135" s="7"/>
      <c r="IV135" s="7"/>
    </row>
    <row r="136" spans="1:256" s="136" customFormat="1" ht="13.5" customHeight="1" thickBot="1">
      <c r="C136" s="181">
        <f>COUNTA(SurveyDATA!C103:C104)</f>
        <v>2</v>
      </c>
      <c r="D136" s="180">
        <f>COUNTA(SurveyDATA!D103:D104)</f>
        <v>2</v>
      </c>
      <c r="E136" s="180">
        <f>COUNTA(SurveyDATA!E103:E104)</f>
        <v>2</v>
      </c>
      <c r="F136" s="145">
        <f>COUNTA(SurveyDATA!F132:F371)</f>
        <v>173</v>
      </c>
      <c r="G136" s="145">
        <f>COUNTA(SurveyDATA!G132:G371)</f>
        <v>173</v>
      </c>
      <c r="H136" s="145">
        <f>COUNTA(SurveyDATA!H132:H371)</f>
        <v>4</v>
      </c>
      <c r="I136" s="145">
        <f>COUNTA(SurveyDATA!I132:I371)</f>
        <v>80</v>
      </c>
      <c r="J136" s="145">
        <f>COUNTA(SurveyDATA!J132:J371)</f>
        <v>141</v>
      </c>
      <c r="K136" s="145">
        <f>COUNTA(SurveyDATA!K132:K371)</f>
        <v>77</v>
      </c>
      <c r="L136" s="145">
        <f>COUNTA(SurveyDATA!L132:L371)</f>
        <v>77</v>
      </c>
      <c r="M136" s="145">
        <f>COUNTA(SurveyDATA!M132:M371)</f>
        <v>0</v>
      </c>
      <c r="N136" s="145"/>
      <c r="O136" s="145">
        <f>COUNTA(SurveyDATA!O132:O371)</f>
        <v>54</v>
      </c>
      <c r="P136" s="145">
        <f>COUNTA(SurveyDATA!P132:P371)</f>
        <v>145</v>
      </c>
      <c r="Q136" s="145"/>
      <c r="R136" s="145"/>
      <c r="S136" s="145">
        <f>COUNTA(SurveyDATA!S132:S371)</f>
        <v>136</v>
      </c>
      <c r="T136" s="145">
        <f>COUNTA(SurveyDATA!T132:T371)</f>
        <v>7</v>
      </c>
      <c r="U136" s="145">
        <f>COUNTA(SurveyDATA!U132:U371)</f>
        <v>107</v>
      </c>
      <c r="V136" s="145">
        <f>COUNTA(SurveyDATA!V132:V371)</f>
        <v>125</v>
      </c>
      <c r="W136" s="145">
        <f>COUNTA(SurveyDATA!Y132:Y371)</f>
        <v>119</v>
      </c>
      <c r="X136" s="145">
        <f>COUNTA(SurveyDATA!Z132:Z371)</f>
        <v>119</v>
      </c>
      <c r="Y136" s="145">
        <f>COUNTA(SurveyDATA!AA132:AA371)</f>
        <v>120</v>
      </c>
      <c r="Z136" s="145">
        <f>COUNTA(SurveyDATA!AB132:AB371)</f>
        <v>118</v>
      </c>
      <c r="AA136" s="145">
        <f>COUNTA(SurveyDATA!AC132:AC371)</f>
        <v>59</v>
      </c>
      <c r="AB136" s="145">
        <f>COUNTA(SurveyDATA!AD132:AD371)</f>
        <v>49</v>
      </c>
      <c r="AC136" s="145">
        <f>COUNTA(SurveyDATA!AE132:AE371)</f>
        <v>30</v>
      </c>
      <c r="AD136" s="145">
        <f>COUNTA(SurveyDATA!AF132:AF371)</f>
        <v>84</v>
      </c>
      <c r="AE136" s="180">
        <f>COUNTA(SurveyDATA!AG103:AG104)</f>
        <v>2</v>
      </c>
      <c r="AF136" s="180">
        <f>COUNTA(SurveyDATA!AH103:AH104)</f>
        <v>2</v>
      </c>
      <c r="AG136" s="180">
        <f>COUNTA(SurveyDATA!AI103:AI104)</f>
        <v>1</v>
      </c>
      <c r="AH136" s="180">
        <f>COUNTA(SurveyDATA!AJ103:AJ104)</f>
        <v>1</v>
      </c>
      <c r="AI136" s="180">
        <f>COUNTA(SurveyDATA!AK103:AK104)</f>
        <v>2</v>
      </c>
      <c r="AJ136" s="180">
        <f>COUNTA(SurveyDATA!AL103:AL104)</f>
        <v>2</v>
      </c>
      <c r="AK136" s="180">
        <f>COUNTA(SurveyDATA!AM103:AM104)</f>
        <v>2</v>
      </c>
      <c r="AL136" s="180">
        <f>COUNTA(SurveyDATA!AN103:AN104)</f>
        <v>2</v>
      </c>
      <c r="AM136" s="180">
        <f>COUNTA(SurveyDATA!AO103:AO104)</f>
        <v>2</v>
      </c>
      <c r="AN136" s="180">
        <f>COUNTA(SurveyDATA!AP103:AP104)</f>
        <v>0</v>
      </c>
      <c r="AO136" s="180">
        <f>COUNTA(SurveyDATA!AQ103:AQ104)</f>
        <v>0</v>
      </c>
      <c r="AP136" s="180">
        <f>COUNTA(SurveyDATA!AR103:AR104)</f>
        <v>0</v>
      </c>
      <c r="AQ136" s="180">
        <f>COUNTA(SurveyDATA!AS103:AS104)</f>
        <v>1</v>
      </c>
      <c r="AR136" s="180">
        <f>COUNTA(SurveyDATA!AT103:AT104)</f>
        <v>1</v>
      </c>
      <c r="AS136" s="180">
        <f>COUNTA(SurveyDATA!AU103:AU104)</f>
        <v>0</v>
      </c>
      <c r="AT136" s="180">
        <f>COUNTA(SurveyDATA!AV103:AV104)</f>
        <v>0</v>
      </c>
      <c r="AU136" s="180">
        <f>COUNTA(SurveyDATA!AW103:AW104)</f>
        <v>0</v>
      </c>
      <c r="AV136" s="180">
        <f>COUNTA(SurveyDATA!AX103:AX104)</f>
        <v>0</v>
      </c>
      <c r="AW136" s="180">
        <f>COUNTA(SurveyDATA!AY103:AY104)</f>
        <v>0</v>
      </c>
      <c r="AX136" s="180">
        <f>COUNTA(SurveyDATA!AZ103:AZ104)</f>
        <v>0</v>
      </c>
      <c r="AY136" s="180">
        <f>COUNTA(SurveyDATA!BA103:BA104)</f>
        <v>0</v>
      </c>
      <c r="AZ136" s="180">
        <f>COUNTA(SurveyDATA!BB103:BB104)</f>
        <v>0</v>
      </c>
      <c r="BA136" s="180">
        <f>COUNTA(SurveyDATA!BC103:BC104)</f>
        <v>1</v>
      </c>
      <c r="BB136" s="180">
        <f>COUNTA(SurveyDATA!BD103:BD104)</f>
        <v>1</v>
      </c>
      <c r="BC136" s="180">
        <f>COUNTA(SurveyDATA!BE103:BE104)</f>
        <v>0</v>
      </c>
      <c r="BD136" s="180">
        <f>COUNTA(SurveyDATA!BF103:BF104)</f>
        <v>0</v>
      </c>
      <c r="BE136" s="180">
        <f>COUNTA(SurveyDATA!BG103:BG104)</f>
        <v>0</v>
      </c>
      <c r="BF136" s="180">
        <f>COUNTA(SurveyDATA!BH103:BH104)</f>
        <v>0</v>
      </c>
      <c r="BG136" s="180">
        <f>COUNTA(SurveyDATA!BI103:BI104)</f>
        <v>0</v>
      </c>
      <c r="BH136" s="180">
        <f>COUNTA(SurveyDATA!BJ103:BJ104)</f>
        <v>0</v>
      </c>
      <c r="BI136" s="180">
        <f>COUNTA(SurveyDATA!BK103:BK104)</f>
        <v>1</v>
      </c>
      <c r="BJ136" s="180">
        <f>COUNTA(SurveyDATA!BL103:BL104)</f>
        <v>1</v>
      </c>
      <c r="BK136" s="180">
        <f>COUNTA(SurveyDATA!BM103:BM104)</f>
        <v>1</v>
      </c>
      <c r="BL136" s="180">
        <f>COUNTA(SurveyDATA!BN103:BN104)</f>
        <v>1</v>
      </c>
      <c r="BM136" s="180">
        <f>COUNTA(SurveyDATA!BO103:BO104)</f>
        <v>1</v>
      </c>
      <c r="BN136" s="180">
        <f>COUNTA(SurveyDATA!BP103:BP104)</f>
        <v>1</v>
      </c>
      <c r="BO136" s="289">
        <f>COUNTA(SurveyDATA!BQ103:BQ104)</f>
        <v>1</v>
      </c>
      <c r="BP136" s="180">
        <f>COUNTA(SurveyDATA!BR103:BR104)</f>
        <v>1</v>
      </c>
      <c r="BQ136" s="180">
        <f>COUNTA(SurveyDATA!BS103:BS104)</f>
        <v>1</v>
      </c>
      <c r="BR136" s="180">
        <f>COUNTA(SurveyDATA!BT103:BT104)</f>
        <v>1</v>
      </c>
      <c r="BS136" s="180">
        <f>COUNTA(SurveyDATA!BU103:BU104)</f>
        <v>1</v>
      </c>
      <c r="BT136" s="180">
        <f>COUNTA(SurveyDATA!BV103:BV104)</f>
        <v>1</v>
      </c>
      <c r="BU136" s="180">
        <f>COUNTA(SurveyDATA!BW103:BW104)</f>
        <v>1</v>
      </c>
      <c r="BV136" s="180">
        <f>COUNTA(SurveyDATA!BX103:BX104)</f>
        <v>1</v>
      </c>
      <c r="BW136" s="180">
        <f>COUNTA(SurveyDATA!BY103:BY104)</f>
        <v>1</v>
      </c>
      <c r="BX136" s="180">
        <f>COUNTA(SurveyDATA!BZ103:BZ104)</f>
        <v>1</v>
      </c>
      <c r="BY136" s="180">
        <f>COUNTA(SurveyDATA!CA103:CA104)</f>
        <v>0</v>
      </c>
      <c r="BZ136" s="180"/>
      <c r="CA136" s="180">
        <f>COUNTA(SurveyDATA!CC103:CC104)</f>
        <v>1</v>
      </c>
      <c r="CB136" s="180">
        <f>COUNTA(SurveyDATA!CD103:CD104)</f>
        <v>0</v>
      </c>
      <c r="CC136" s="180">
        <f>COUNTA(SurveyDATA!CE103:CE104)</f>
        <v>0</v>
      </c>
      <c r="CD136" s="180">
        <f>COUNTA(SurveyDATA!CF103:CF104)</f>
        <v>1</v>
      </c>
      <c r="CE136" s="180">
        <f>COUNTA(SurveyDATA!CG103:CG104)</f>
        <v>1</v>
      </c>
      <c r="CF136" s="180">
        <f>COUNTA(SurveyDATA!CH103:CH104)</f>
        <v>1</v>
      </c>
      <c r="CG136" s="180">
        <f>COUNTA(SurveyDATA!CI103:CI104)</f>
        <v>0</v>
      </c>
      <c r="CH136" s="180">
        <f>COUNTA(SurveyDATA!CJ103:CJ104)</f>
        <v>0</v>
      </c>
      <c r="CI136" s="180">
        <f>COUNTA(SurveyDATA!CK103:CK104)</f>
        <v>1</v>
      </c>
      <c r="CJ136" s="180">
        <f>COUNTA(SurveyDATA!CL103:CL104)</f>
        <v>1</v>
      </c>
      <c r="CK136" s="180">
        <f>COUNTA(SurveyDATA!CM103:CM104)</f>
        <v>0</v>
      </c>
      <c r="CL136" s="180">
        <f>COUNTA(SurveyDATA!CN103:CN104)</f>
        <v>0</v>
      </c>
      <c r="CM136" s="180">
        <f>COUNTA(SurveyDATA!CO103:CO104)</f>
        <v>1</v>
      </c>
      <c r="CN136" s="180">
        <f>COUNTA(SurveyDATA!CP103:CP104)</f>
        <v>0</v>
      </c>
      <c r="CO136" s="180">
        <f>COUNTA(SurveyDATA!CQ103:CQ104)</f>
        <v>0</v>
      </c>
      <c r="CP136" s="180">
        <f>COUNTA(SurveyDATA!CR103:CR104)</f>
        <v>0</v>
      </c>
      <c r="CQ136" s="180">
        <f>COUNTA(SurveyDATA!CS103:CS104)</f>
        <v>0</v>
      </c>
      <c r="CR136" s="180">
        <f>COUNTA(SurveyDATA!CT103:CT104)</f>
        <v>0</v>
      </c>
      <c r="CS136" s="180">
        <f>COUNTA(SurveyDATA!CU103:CU104)</f>
        <v>0</v>
      </c>
      <c r="CT136" s="180">
        <f>COUNTA(SurveyDATA!CV103:CV104)</f>
        <v>0</v>
      </c>
      <c r="CU136" s="180">
        <f>COUNTA(SurveyDATA!CW103:CW104)</f>
        <v>0</v>
      </c>
      <c r="CV136" s="180">
        <f>COUNTA(SurveyDATA!CX103:CX104)</f>
        <v>0</v>
      </c>
      <c r="CW136" s="180">
        <f>COUNTA(SurveyDATA!CY103:CY104)</f>
        <v>0</v>
      </c>
      <c r="CX136" s="180">
        <f>COUNTA(SurveyDATA!CZ103:CZ104)</f>
        <v>0</v>
      </c>
      <c r="CY136" s="180">
        <f>COUNTA(SurveyDATA!DA103:DA104)</f>
        <v>0</v>
      </c>
      <c r="CZ136" s="180">
        <f>COUNTA(SurveyDATA!DB103:DB104)</f>
        <v>0</v>
      </c>
      <c r="DA136" s="180">
        <f>COUNTA(SurveyDATA!DC103:DC104)</f>
        <v>0</v>
      </c>
      <c r="DB136" s="180">
        <f>COUNTA(SurveyDATA!DD103:DD104)</f>
        <v>0</v>
      </c>
      <c r="DC136" s="180">
        <f>COUNTA(SurveyDATA!DE103:DE104)</f>
        <v>0</v>
      </c>
      <c r="DD136" s="180">
        <f>COUNTA(SurveyDATA!DF103:DF104)</f>
        <v>0</v>
      </c>
      <c r="DE136" s="180">
        <f>COUNTA(SurveyDATA!DG103:DG104)</f>
        <v>0</v>
      </c>
      <c r="DF136" s="180">
        <f>COUNTA(SurveyDATA!DH103:DH104)</f>
        <v>0</v>
      </c>
      <c r="DG136" s="180">
        <f>COUNTA(SurveyDATA!DI103:DI104)</f>
        <v>0</v>
      </c>
      <c r="DH136" s="180">
        <f>COUNTA(SurveyDATA!DJ103:DJ104)</f>
        <v>0</v>
      </c>
      <c r="DI136" s="180">
        <f>COUNTA(SurveyDATA!DK103:DK104)</f>
        <v>0</v>
      </c>
      <c r="DJ136" s="180">
        <f>COUNTA(SurveyDATA!DL103:DL104)</f>
        <v>0</v>
      </c>
      <c r="DK136" s="180">
        <f>COUNTA(SurveyDATA!DM103:DM104)</f>
        <v>0</v>
      </c>
      <c r="DL136" s="180">
        <f>COUNTA(SurveyDATA!DN103:DN104)</f>
        <v>0</v>
      </c>
      <c r="DM136" s="180">
        <f>COUNTA(SurveyDATA!DO103:DO104)</f>
        <v>0</v>
      </c>
      <c r="DN136" s="180">
        <f>COUNTA(SurveyDATA!DP103:DP104)</f>
        <v>0</v>
      </c>
      <c r="DO136" s="180">
        <f>COUNTA(SurveyDATA!DQ103:DQ104)</f>
        <v>0</v>
      </c>
      <c r="DP136" s="180">
        <f>COUNTA(SurveyDATA!DR103:DR104)</f>
        <v>0</v>
      </c>
      <c r="DQ136" s="180">
        <f>COUNTA(SurveyDATA!DS103:DS104)</f>
        <v>0</v>
      </c>
      <c r="DR136" s="180">
        <f>COUNTA(SurveyDATA!DT103:DT104)</f>
        <v>0</v>
      </c>
      <c r="DS136" s="180">
        <f>COUNTA(SurveyDATA!DU103:DU104)</f>
        <v>0</v>
      </c>
      <c r="DT136" s="180">
        <f>COUNTA(SurveyDATA!DV103:DV104)</f>
        <v>0</v>
      </c>
      <c r="DU136" s="180">
        <f>COUNTA(SurveyDATA!DW103:DW104)</f>
        <v>0</v>
      </c>
      <c r="DV136" s="180">
        <f>COUNTA(SurveyDATA!DX103:DX104)</f>
        <v>0</v>
      </c>
      <c r="DW136" s="180">
        <f>COUNTA(SurveyDATA!DY103:DY104)</f>
        <v>0</v>
      </c>
      <c r="DX136" s="180">
        <f>COUNTA(SurveyDATA!DZ103:DZ104)</f>
        <v>0</v>
      </c>
      <c r="DY136" s="180">
        <f>COUNTA(SurveyDATA!EA103:EA104)</f>
        <v>0</v>
      </c>
      <c r="DZ136" s="180">
        <f>COUNTA(SurveyDATA!EB103:EB104)</f>
        <v>0</v>
      </c>
      <c r="EA136" s="180">
        <f>COUNTA(SurveyDATA!EC103:EC104)</f>
        <v>0</v>
      </c>
      <c r="EB136" s="180">
        <f>COUNTA(SurveyDATA!ED103:ED104)</f>
        <v>0</v>
      </c>
      <c r="EC136" s="180">
        <f>COUNTA(SurveyDATA!EE103:EE104)</f>
        <v>0</v>
      </c>
      <c r="ED136" s="180">
        <f>COUNTA(SurveyDATA!EF103:EF104)</f>
        <v>0</v>
      </c>
      <c r="EE136" s="180">
        <f>COUNTA(SurveyDATA!EG103:EG104)</f>
        <v>0</v>
      </c>
      <c r="EF136" s="180">
        <f>COUNTA(SurveyDATA!EH103:EH104)</f>
        <v>0</v>
      </c>
      <c r="EG136" s="180">
        <f>COUNTA(SurveyDATA!EI103:EI104)</f>
        <v>0</v>
      </c>
      <c r="EH136" s="180">
        <f>COUNTA(SurveyDATA!EJ103:EJ104)</f>
        <v>0</v>
      </c>
      <c r="EI136" s="180">
        <f>COUNTA(SurveyDATA!EK103:EK104)</f>
        <v>0</v>
      </c>
      <c r="EJ136" s="180">
        <f>COUNTA(SurveyDATA!EL103:EL104)</f>
        <v>0</v>
      </c>
      <c r="EK136" s="180">
        <f>COUNTA(SurveyDATA!EM103:EM104)</f>
        <v>0</v>
      </c>
      <c r="EL136" s="180">
        <f>COUNTA(SurveyDATA!EN103:EN104)</f>
        <v>0</v>
      </c>
      <c r="EM136" s="180">
        <f>COUNTA(SurveyDATA!EO103:EO104)</f>
        <v>0</v>
      </c>
      <c r="EN136" s="180">
        <f>COUNTA(SurveyDATA!EP103:EP104)</f>
        <v>0</v>
      </c>
      <c r="EO136" s="180">
        <f>COUNTA(SurveyDATA!EQ103:EQ104)</f>
        <v>0</v>
      </c>
      <c r="EP136" s="180">
        <f>COUNTA(SurveyDATA!EZ103:EZ104)</f>
        <v>0</v>
      </c>
      <c r="EQ136" s="180">
        <f>COUNTA(SurveyDATA!FA103:FA104)</f>
        <v>0</v>
      </c>
      <c r="ER136" s="180">
        <f>COUNTA(SurveyDATA!FB103:FB104)</f>
        <v>0</v>
      </c>
      <c r="ES136" s="180">
        <f>COUNTA(SurveyDATA!FC103:FC104)</f>
        <v>0</v>
      </c>
      <c r="ET136" s="180">
        <f>COUNTA(SurveyDATA!FD103:FD104)</f>
        <v>0</v>
      </c>
      <c r="EU136" s="180">
        <f>COUNTA(SurveyDATA!FE103:FE104)</f>
        <v>0</v>
      </c>
      <c r="EV136" s="180">
        <f>COUNTA(SurveyDATA!FF103:FF104)</f>
        <v>0</v>
      </c>
      <c r="EW136" s="180">
        <f>COUNTA(SurveyDATA!FG103:FG104)</f>
        <v>0</v>
      </c>
      <c r="EX136" s="180">
        <f>COUNTA(SurveyDATA!FH103:FH104)</f>
        <v>2</v>
      </c>
      <c r="EY136" s="180">
        <f>COUNTA(SurveyDATA!FI103:FI104)</f>
        <v>1</v>
      </c>
      <c r="EZ136" s="180">
        <f>COUNTA(SurveyDATA!FJ103:FJ104)</f>
        <v>0</v>
      </c>
      <c r="FA136" s="180">
        <f>COUNTA(SurveyDATA!FK103:FK104)</f>
        <v>0</v>
      </c>
      <c r="FB136" s="180">
        <f>COUNTA(SurveyDATA!FL103:FL104)</f>
        <v>0</v>
      </c>
      <c r="FC136" s="180">
        <f>COUNTA(SurveyDATA!FM103:FM104)</f>
        <v>0</v>
      </c>
      <c r="FD136" s="180">
        <f>COUNTA(SurveyDATA!FN103:FN104)</f>
        <v>0</v>
      </c>
      <c r="FE136" s="180">
        <f>COUNTA(SurveyDATA!FO103:FO104)</f>
        <v>0</v>
      </c>
      <c r="FF136" s="180">
        <f>COUNTA(SurveyDATA!FP103:FP104)</f>
        <v>2</v>
      </c>
      <c r="FG136" s="180">
        <f>COUNTA(SurveyDATA!FQ103:FQ104)</f>
        <v>2</v>
      </c>
      <c r="FH136" s="180">
        <f>COUNTA(SurveyDATA!FR103:FR104)</f>
        <v>1</v>
      </c>
      <c r="FI136" s="180">
        <f>COUNTA(SurveyDATA!FS103:FS104)</f>
        <v>0</v>
      </c>
      <c r="FJ136" s="180">
        <f>COUNTA(SurveyDATA!FT103:FT104)</f>
        <v>0</v>
      </c>
      <c r="FK136" s="180">
        <f>COUNTA(SurveyDATA!FU103:FU104)</f>
        <v>0</v>
      </c>
      <c r="FL136" s="180">
        <f>COUNTA(SurveyDATA!FV103:FV104)</f>
        <v>0</v>
      </c>
      <c r="FM136" s="180">
        <f>COUNTA(SurveyDATA!FW103:FW104)</f>
        <v>0</v>
      </c>
      <c r="FN136" s="180">
        <f>COUNTA(SurveyDATA!FX103:FX104)</f>
        <v>0</v>
      </c>
      <c r="FO136" s="180">
        <f>COUNTA(SurveyDATA!FY103:FY104)</f>
        <v>0</v>
      </c>
      <c r="FP136" s="180">
        <f>COUNTA(SurveyDATA!FZ103:FZ104)</f>
        <v>0</v>
      </c>
      <c r="FQ136" s="180">
        <f>COUNTA(SurveyDATA!GA103:GA104)</f>
        <v>0</v>
      </c>
      <c r="FR136" s="180">
        <f>COUNTA(SurveyDATA!GB103:GB104)</f>
        <v>2</v>
      </c>
      <c r="FS136" s="180">
        <f>COUNTA(SurveyDATA!GC103:GC104)</f>
        <v>1</v>
      </c>
      <c r="FT136" s="180">
        <f>COUNTA(SurveyDATA!GD103:GD104)</f>
        <v>1</v>
      </c>
      <c r="FU136" s="180">
        <f>COUNTA(SurveyDATA!GE103:GE104)</f>
        <v>1</v>
      </c>
      <c r="FV136" s="180">
        <f>COUNTA(SurveyDATA!GF103:GF104)</f>
        <v>0</v>
      </c>
      <c r="FW136" s="180">
        <f>COUNTA(SurveyDATA!GG103:GG104)</f>
        <v>0</v>
      </c>
      <c r="FX136" s="180">
        <f>COUNTA(SurveyDATA!GH103:GH104)</f>
        <v>1</v>
      </c>
      <c r="FY136" s="180">
        <f>COUNTA(SurveyDATA!GI103:GI104)</f>
        <v>0</v>
      </c>
      <c r="FZ136" s="180">
        <f>COUNTA(SurveyDATA!GJ103:GJ104)</f>
        <v>1</v>
      </c>
      <c r="GA136" s="180">
        <f>COUNTA(SurveyDATA!GK103:GK104)</f>
        <v>1</v>
      </c>
      <c r="GB136" s="180">
        <f>COUNTA(SurveyDATA!GL103:GL104)</f>
        <v>0</v>
      </c>
      <c r="GC136" s="180">
        <f>COUNTA(SurveyDATA!GM103:GM104)</f>
        <v>0</v>
      </c>
      <c r="GD136" s="180">
        <f>COUNTA(SurveyDATA!GN103:GN104)</f>
        <v>1</v>
      </c>
      <c r="GE136" s="180">
        <f>COUNTA(SurveyDATA!GO103:GO104)</f>
        <v>0</v>
      </c>
      <c r="GF136" s="180">
        <f>COUNTA(SurveyDATA!GP103:GP104)</f>
        <v>1</v>
      </c>
      <c r="GG136" s="180">
        <f>COUNTA(SurveyDATA!GQ103:GQ104)</f>
        <v>1</v>
      </c>
      <c r="GH136" s="180">
        <f>COUNTA(SurveyDATA!GR103:GR104)</f>
        <v>0</v>
      </c>
      <c r="GI136" s="180">
        <f>COUNTA(SurveyDATA!GS103:GS104)</f>
        <v>0</v>
      </c>
      <c r="GJ136" s="180">
        <f>COUNTA(SurveyDATA!GT103:GT104)</f>
        <v>1</v>
      </c>
      <c r="GK136" s="180">
        <f>COUNTA(SurveyDATA!GU103:GU104)</f>
        <v>0</v>
      </c>
      <c r="GL136" s="180">
        <f>COUNTA(SurveyDATA!GV103:GV104)</f>
        <v>0</v>
      </c>
      <c r="GM136" s="180">
        <f>COUNTA(SurveyDATA!GW103:GW104)</f>
        <v>1</v>
      </c>
      <c r="GN136" s="180">
        <f>COUNTA(SurveyDATA!GX103:GX104)</f>
        <v>0</v>
      </c>
      <c r="GO136" s="180">
        <f>COUNTA(SurveyDATA!GY103:GY104)</f>
        <v>0</v>
      </c>
      <c r="GP136" s="180">
        <f>COUNTA(SurveyDATA!GZ103:GZ104)</f>
        <v>0</v>
      </c>
      <c r="GQ136" s="180">
        <f>COUNTA(SurveyDATA!HA103:HA104)</f>
        <v>1</v>
      </c>
      <c r="GR136" s="180">
        <f>COUNTA(SurveyDATA!HB103:HB104)</f>
        <v>1</v>
      </c>
      <c r="GS136" s="180">
        <f>COUNTA(SurveyDATA!HC103:HC104)</f>
        <v>0</v>
      </c>
      <c r="GT136" s="180">
        <f>COUNTA(SurveyDATA!HD103:HD104)</f>
        <v>0</v>
      </c>
      <c r="GU136" s="180">
        <f>COUNTA(SurveyDATA!HE103:HE104)</f>
        <v>0</v>
      </c>
      <c r="GV136" s="180">
        <f>COUNTA(SurveyDATA!HF103:HF104)</f>
        <v>0</v>
      </c>
      <c r="GW136" s="180">
        <f>COUNTA(SurveyDATA!HG103:HG104)</f>
        <v>0</v>
      </c>
      <c r="GX136" s="180">
        <f>COUNTA(SurveyDATA!HH103:HH104)</f>
        <v>0</v>
      </c>
      <c r="GY136" s="180">
        <f>COUNTA(SurveyDATA!HI103:HI104)</f>
        <v>1</v>
      </c>
      <c r="GZ136" s="180">
        <f>COUNTA(SurveyDATA!HJ103:HJ104)</f>
        <v>1</v>
      </c>
      <c r="HA136" s="180">
        <f>COUNTA(SurveyDATA!HK103:HK104)</f>
        <v>1</v>
      </c>
      <c r="HB136" s="180">
        <f>COUNTA(SurveyDATA!HL103:HL104)</f>
        <v>0</v>
      </c>
      <c r="HC136" s="180">
        <f>COUNTA(SurveyDATA!HM103:HM104)</f>
        <v>0</v>
      </c>
      <c r="HD136" s="180">
        <f>COUNTA(SurveyDATA!HN103:HN104)</f>
        <v>0</v>
      </c>
      <c r="HE136" s="180">
        <f>COUNTA(SurveyDATA!HO103:HO104)</f>
        <v>1</v>
      </c>
      <c r="HF136" s="180">
        <f>COUNTA(SurveyDATA!HP103:HP104)</f>
        <v>0</v>
      </c>
      <c r="HG136" s="180">
        <f>COUNTA(SurveyDATA!HQ103:HQ104)</f>
        <v>1</v>
      </c>
      <c r="HH136" s="180">
        <f>COUNTA(SurveyDATA!HR103:HR104)</f>
        <v>1</v>
      </c>
      <c r="HI136" s="180">
        <f>COUNTA(SurveyDATA!HS103:HS104)</f>
        <v>1</v>
      </c>
      <c r="HJ136" s="180">
        <f>COUNTA(SurveyDATA!HT103:HT104)</f>
        <v>2</v>
      </c>
      <c r="HK136" s="180">
        <f>COUNTA(SurveyDATA!HU103:HU104)</f>
        <v>0</v>
      </c>
      <c r="HL136" s="180">
        <f>COUNTA(SurveyDATA!HV103:HV104)</f>
        <v>0</v>
      </c>
      <c r="HM136" s="180">
        <f>COUNTA(SurveyDATA!HW103:HW104)</f>
        <v>0</v>
      </c>
      <c r="HN136" s="180">
        <f>COUNTA(SurveyDATA!HX103:HX104)</f>
        <v>0</v>
      </c>
      <c r="HO136" s="180">
        <f>COUNTA(SurveyDATA!HY103:HY104)</f>
        <v>0</v>
      </c>
      <c r="HP136" s="180">
        <f>COUNTA(SurveyDATA!HZ103:HZ104)</f>
        <v>0</v>
      </c>
      <c r="HQ136" s="180">
        <f>COUNTA(SurveyDATA!IA103:IA104)</f>
        <v>0</v>
      </c>
      <c r="HR136" s="180">
        <f>COUNTA(SurveyDATA!IB103:IB104)</f>
        <v>1</v>
      </c>
      <c r="HS136" s="180">
        <f>COUNTA(SurveyDATA!IC103:IC104)</f>
        <v>1</v>
      </c>
      <c r="HT136" s="180">
        <f>COUNTA(SurveyDATA!ID103:ID104)</f>
        <v>1</v>
      </c>
      <c r="HU136" s="180">
        <f>COUNTA(SurveyDATA!IE103:IE104)</f>
        <v>1</v>
      </c>
      <c r="HV136" s="180">
        <f>COUNTA(SurveyDATA!IF103:IF104)</f>
        <v>1</v>
      </c>
      <c r="HW136" s="180">
        <f>COUNTA(SurveyDATA!IG103:IG104)</f>
        <v>1</v>
      </c>
      <c r="HX136" s="180">
        <f>COUNTA(SurveyDATA!IH103:IH104)</f>
        <v>1</v>
      </c>
      <c r="HY136" s="180">
        <f>COUNTA(SurveyDATA!II103:II104)</f>
        <v>0</v>
      </c>
      <c r="HZ136" s="180">
        <f>COUNTA(SurveyDATA!IJ103:IJ104)</f>
        <v>1</v>
      </c>
      <c r="IA136" s="180">
        <f>COUNTA(SurveyDATA!IK103:IK104)</f>
        <v>1</v>
      </c>
      <c r="IB136" s="180">
        <f>COUNTA(SurveyDATA!IL103:IL104)</f>
        <v>1</v>
      </c>
      <c r="IC136" s="180">
        <f>COUNTA(SurveyDATA!IM103:IM104)</f>
        <v>0</v>
      </c>
      <c r="ID136" s="180">
        <f>COUNTA(SurveyDATA!IN103:IN104)</f>
        <v>1</v>
      </c>
      <c r="IE136" s="180">
        <f>COUNTA(SurveyDATA!IO103:IO104)</f>
        <v>1</v>
      </c>
      <c r="IF136" s="180">
        <f>COUNTA(SurveyDATA!IP103:IP104)</f>
        <v>1</v>
      </c>
      <c r="IG136" s="180">
        <f>COUNTA(SurveyDATA!IQ103:IQ104)</f>
        <v>1</v>
      </c>
      <c r="IH136" s="180">
        <f>COUNTA(SurveyDATA!IR103:IR104)</f>
        <v>1</v>
      </c>
      <c r="II136" s="180">
        <f>COUNTA(SurveyDATA!IS103:IS104)</f>
        <v>1</v>
      </c>
      <c r="IJ136" s="180">
        <f>COUNTA(SurveyDATA!IT103:IT104)</f>
        <v>0</v>
      </c>
      <c r="IK136" s="180">
        <f>COUNTA(SurveyDATA!IU103:IU104)</f>
        <v>0</v>
      </c>
      <c r="IL136" s="180">
        <f>COUNTA(SurveyDATA!IV103:IV104)</f>
        <v>0</v>
      </c>
      <c r="IM136" s="180">
        <f>COUNTA(SurveyDATA!#REF!)</f>
        <v>1</v>
      </c>
      <c r="IN136" s="180">
        <f>COUNTA(SurveyDATA!#REF!)</f>
        <v>1</v>
      </c>
      <c r="IO136" s="180">
        <f>COUNTA(SurveyDATA!#REF!)</f>
        <v>1</v>
      </c>
      <c r="IP136" s="180">
        <f>COUNTA(SurveyDATA!#REF!)</f>
        <v>1</v>
      </c>
      <c r="IQ136" s="180">
        <f>COUNTA(SurveyDATA!#REF!)</f>
        <v>1</v>
      </c>
      <c r="IR136" s="180">
        <f>COUNTA(SurveyDATA!#REF!)</f>
        <v>1</v>
      </c>
      <c r="IS136" s="180">
        <f>COUNTA(SurveyDATA!#REF!)</f>
        <v>1</v>
      </c>
      <c r="IT136" s="180">
        <f>COUNTA(SurveyDATA!#REF!)</f>
        <v>1</v>
      </c>
      <c r="IU136" s="180">
        <f>COUNTA(SurveyDATA!#REF!)</f>
        <v>1</v>
      </c>
      <c r="IV136" s="180">
        <f>COUNTA(SurveyDATA!#REF!)</f>
        <v>1</v>
      </c>
    </row>
    <row r="137" spans="1:256" s="11" customFormat="1" ht="13.5" customHeight="1" thickTop="1">
      <c r="A137" s="19"/>
      <c r="B137" s="19"/>
      <c r="C137" s="177" t="s">
        <v>4295</v>
      </c>
      <c r="D137" s="19"/>
      <c r="E137" s="7"/>
      <c r="F137" s="7"/>
      <c r="G137" s="7"/>
      <c r="H137" s="7"/>
      <c r="I137" s="8"/>
      <c r="J137" s="19" t="str">
        <f t="shared" ref="J137:J143" ca="1" si="3">IF(F137="Head",CELL("contents",D137),"")</f>
        <v/>
      </c>
      <c r="K137" s="7"/>
      <c r="L137" s="7"/>
      <c r="M137" s="7"/>
      <c r="N137" s="7"/>
      <c r="O137" s="7"/>
      <c r="P137" s="7"/>
      <c r="Q137" s="29"/>
      <c r="R137" s="30"/>
      <c r="S137" s="7"/>
      <c r="T137" s="7"/>
      <c r="U137" s="31"/>
      <c r="V137" s="7"/>
      <c r="W137" s="7"/>
      <c r="X137" s="7"/>
      <c r="Y137" s="7"/>
      <c r="Z137" s="7"/>
      <c r="AA137" s="7"/>
      <c r="AB137" s="7"/>
      <c r="AC137" s="7"/>
      <c r="AD137" s="7"/>
      <c r="AE137" s="7"/>
      <c r="AF137" s="7"/>
      <c r="AG137" s="7"/>
      <c r="AH137" s="7"/>
      <c r="AI137" s="7"/>
      <c r="AJ137" s="122"/>
      <c r="AK137" s="41"/>
      <c r="AL137" s="52"/>
      <c r="AM137" s="20"/>
      <c r="AN137" s="20"/>
      <c r="AO137" s="20"/>
      <c r="AP137" s="20"/>
      <c r="AQ137" s="7"/>
      <c r="AR137" s="7"/>
      <c r="AS137" s="7"/>
      <c r="AT137" s="7"/>
      <c r="AU137" s="7"/>
      <c r="AV137" s="7"/>
      <c r="AW137" s="7"/>
      <c r="AX137" s="7"/>
      <c r="AY137" s="7"/>
      <c r="AZ137" s="7"/>
      <c r="BA137" s="7"/>
      <c r="BB137" s="7"/>
      <c r="BC137" s="7"/>
      <c r="BD137" s="55"/>
      <c r="BE137" s="55"/>
      <c r="BF137" s="7"/>
      <c r="BG137" s="7"/>
      <c r="BH137" s="7"/>
      <c r="BI137" s="7"/>
      <c r="BJ137" s="7"/>
      <c r="BK137" s="7"/>
      <c r="BL137" s="7"/>
      <c r="BM137" s="7"/>
      <c r="BN137" s="61"/>
      <c r="BO137" s="62"/>
      <c r="BP137" s="50"/>
      <c r="BQ137" s="20"/>
      <c r="BR137" s="7"/>
      <c r="BS137" s="7"/>
      <c r="BT137" s="7"/>
      <c r="BU137" s="7"/>
      <c r="BV137" s="55"/>
      <c r="BW137" s="7"/>
      <c r="BX137" s="55"/>
      <c r="BY137" s="7"/>
      <c r="BZ137" s="7"/>
      <c r="CA137" s="7"/>
      <c r="CB137" s="7"/>
      <c r="CC137" s="7"/>
      <c r="CD137" s="104"/>
      <c r="CE137" s="105"/>
      <c r="CF137" s="7"/>
      <c r="CG137" s="7"/>
      <c r="CH137" s="7"/>
      <c r="CI137" s="7"/>
      <c r="CJ137" s="7"/>
      <c r="CK137" s="7"/>
      <c r="CL137" s="7"/>
      <c r="CM137" s="7"/>
      <c r="CN137" s="7"/>
      <c r="CO137" s="7"/>
      <c r="CP137" s="55"/>
      <c r="CQ137" s="7"/>
      <c r="CR137" s="7"/>
      <c r="CS137" s="130"/>
      <c r="CT137" s="7"/>
      <c r="CU137" s="7"/>
      <c r="CV137" s="7"/>
      <c r="CW137" s="7"/>
      <c r="CX137" s="7"/>
      <c r="CY137" s="73"/>
      <c r="CZ137" s="7"/>
      <c r="DA137" s="7"/>
      <c r="DB137" s="7"/>
      <c r="DC137" s="48"/>
      <c r="DD137" s="7"/>
      <c r="DE137" s="7"/>
      <c r="DF137" s="7"/>
      <c r="DG137" s="7"/>
      <c r="DH137" s="7"/>
      <c r="DI137" s="7"/>
      <c r="DJ137" s="7"/>
      <c r="DK137" s="7"/>
      <c r="DL137" s="74"/>
      <c r="DM137" s="7"/>
      <c r="DN137" s="7"/>
      <c r="DO137" s="7"/>
      <c r="DP137" s="7"/>
      <c r="DQ137" s="58"/>
      <c r="DR137" s="7"/>
      <c r="DS137" s="7"/>
      <c r="DT137" s="7"/>
      <c r="DU137" s="73"/>
      <c r="DV137" s="73"/>
      <c r="DW137" s="7"/>
      <c r="DX137" s="7"/>
      <c r="DY137" s="7"/>
      <c r="DZ137" s="7"/>
      <c r="EA137" s="7"/>
      <c r="EB137" s="7"/>
      <c r="EC137" s="7"/>
      <c r="ED137" s="7"/>
      <c r="EE137" s="7"/>
      <c r="EF137" s="7"/>
      <c r="EG137" s="7"/>
      <c r="EH137" s="7"/>
      <c r="EI137" s="7"/>
      <c r="EJ137" s="7"/>
      <c r="EK137" s="7"/>
      <c r="EL137" s="7"/>
      <c r="EM137" s="7"/>
      <c r="EN137" s="19"/>
      <c r="EO137" s="7"/>
      <c r="EP137" s="7"/>
      <c r="EQ137" s="7"/>
      <c r="ER137" s="7"/>
      <c r="ES137" s="7"/>
      <c r="ET137" s="55"/>
      <c r="EU137" s="7"/>
      <c r="EV137" s="7"/>
      <c r="EW137" s="7"/>
      <c r="EX137" s="7"/>
      <c r="EY137" s="7"/>
      <c r="EZ137" s="7"/>
      <c r="FA137" s="7"/>
      <c r="FB137" s="7"/>
      <c r="FC137" s="55"/>
      <c r="FD137" s="55"/>
      <c r="FE137" s="55"/>
      <c r="FF137" s="7"/>
      <c r="FG137" s="7"/>
      <c r="FH137" s="7"/>
      <c r="FI137" s="7"/>
      <c r="FJ137" s="7"/>
      <c r="FK137" s="7"/>
      <c r="FL137" s="7"/>
      <c r="FM137" s="7"/>
      <c r="FN137" s="7"/>
      <c r="FO137" s="7"/>
      <c r="FP137" s="7"/>
      <c r="FQ137" s="7"/>
      <c r="FR137" s="7"/>
      <c r="FS137" s="77"/>
      <c r="FT137" s="30"/>
      <c r="FU137" s="7"/>
      <c r="FV137" s="55"/>
      <c r="FW137" s="55"/>
      <c r="FX137" s="7"/>
      <c r="FY137" s="7"/>
      <c r="FZ137" s="7"/>
      <c r="GA137" s="7"/>
      <c r="GB137" s="7"/>
      <c r="GC137" s="7"/>
      <c r="GD137" s="103"/>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29"/>
      <c r="IF137" s="7"/>
      <c r="IG137" s="7"/>
      <c r="IH137" s="7"/>
      <c r="II137" s="7"/>
      <c r="IJ137" s="7"/>
      <c r="IK137" s="7"/>
      <c r="IL137" s="7"/>
      <c r="IM137" s="7"/>
      <c r="IN137" s="7"/>
      <c r="IO137" s="7"/>
      <c r="IP137" s="7"/>
      <c r="IQ137" s="7"/>
      <c r="IR137" s="7"/>
      <c r="IS137" s="7"/>
      <c r="IT137" s="55"/>
      <c r="IU137" s="7"/>
      <c r="IV137" s="7"/>
    </row>
    <row r="138" spans="1:256" s="11" customFormat="1" ht="12.75" customHeight="1">
      <c r="A138" s="19"/>
      <c r="B138" s="19"/>
      <c r="C138" s="178"/>
      <c r="D138" s="19"/>
      <c r="E138" s="7"/>
      <c r="F138" s="7"/>
      <c r="G138" s="7"/>
      <c r="H138" s="7"/>
      <c r="I138" s="8"/>
      <c r="J138" s="19" t="str">
        <f t="shared" ca="1" si="3"/>
        <v/>
      </c>
      <c r="K138" s="7"/>
      <c r="L138" s="7"/>
      <c r="M138" s="7"/>
      <c r="N138" s="7"/>
      <c r="O138" s="7"/>
      <c r="P138" s="7"/>
      <c r="Q138" s="29"/>
      <c r="R138" s="30"/>
      <c r="S138" s="7"/>
      <c r="T138" s="7"/>
      <c r="U138" s="31"/>
      <c r="V138" s="7"/>
      <c r="W138" s="7"/>
      <c r="X138" s="7"/>
      <c r="Y138" s="7"/>
      <c r="Z138" s="7"/>
      <c r="AA138" s="7"/>
      <c r="AB138" s="7"/>
      <c r="AC138" s="7"/>
      <c r="AD138" s="7"/>
      <c r="AE138" s="7"/>
      <c r="AF138" s="7"/>
      <c r="AG138" s="7"/>
      <c r="AH138" s="7"/>
      <c r="AI138" s="7"/>
      <c r="AJ138" s="122"/>
      <c r="AK138" s="41"/>
      <c r="AL138" s="52"/>
      <c r="AM138" s="20"/>
      <c r="AN138" s="20"/>
      <c r="AO138" s="20"/>
      <c r="AP138" s="20"/>
      <c r="AQ138" s="7"/>
      <c r="AR138" s="7"/>
      <c r="AS138" s="7"/>
      <c r="AT138" s="7"/>
      <c r="AU138" s="7"/>
      <c r="AV138" s="7"/>
      <c r="AW138" s="7"/>
      <c r="AX138" s="7"/>
      <c r="AY138" s="7"/>
      <c r="AZ138" s="7"/>
      <c r="BA138" s="7"/>
      <c r="BB138" s="7"/>
      <c r="BC138" s="7"/>
      <c r="BD138" s="55"/>
      <c r="BE138" s="55"/>
      <c r="BF138" s="7"/>
      <c r="BG138" s="7"/>
      <c r="BH138" s="7"/>
      <c r="BI138" s="7"/>
      <c r="BJ138" s="7"/>
      <c r="BK138" s="7"/>
      <c r="BL138" s="7"/>
      <c r="BM138" s="7"/>
      <c r="BN138" s="61"/>
      <c r="BO138" s="62"/>
      <c r="BP138" s="50"/>
      <c r="BQ138" s="20"/>
      <c r="BR138" s="7"/>
      <c r="BS138" s="7"/>
      <c r="BT138" s="7"/>
      <c r="BU138" s="7"/>
      <c r="BV138" s="55"/>
      <c r="BW138" s="7"/>
      <c r="BX138" s="55"/>
      <c r="BY138" s="7"/>
      <c r="BZ138" s="7"/>
      <c r="CA138" s="7"/>
      <c r="CB138" s="7"/>
      <c r="CC138" s="7"/>
      <c r="CD138" s="104"/>
      <c r="CE138" s="105"/>
      <c r="CF138" s="7"/>
      <c r="CG138" s="7"/>
      <c r="CH138" s="7"/>
      <c r="CI138" s="7"/>
      <c r="CJ138" s="7"/>
      <c r="CK138" s="7"/>
      <c r="CL138" s="7"/>
      <c r="CM138" s="7"/>
      <c r="CN138" s="7"/>
      <c r="CO138" s="7"/>
      <c r="CP138" s="55"/>
      <c r="CQ138" s="7"/>
      <c r="CR138" s="7"/>
      <c r="CS138" s="130"/>
      <c r="CT138" s="7"/>
      <c r="CU138" s="7"/>
      <c r="CV138" s="7"/>
      <c r="CW138" s="7"/>
      <c r="CX138" s="7"/>
      <c r="CY138" s="73"/>
      <c r="CZ138" s="7"/>
      <c r="DA138" s="7"/>
      <c r="DB138" s="7"/>
      <c r="DC138" s="48"/>
      <c r="DD138" s="7"/>
      <c r="DE138" s="7"/>
      <c r="DF138" s="7"/>
      <c r="DG138" s="7"/>
      <c r="DH138" s="7"/>
      <c r="DI138" s="7"/>
      <c r="DJ138" s="7"/>
      <c r="DK138" s="7"/>
      <c r="DL138" s="74"/>
      <c r="DM138" s="7"/>
      <c r="DN138" s="7"/>
      <c r="DO138" s="7"/>
      <c r="DP138" s="7"/>
      <c r="DQ138" s="58"/>
      <c r="DR138" s="7"/>
      <c r="DS138" s="7"/>
      <c r="DT138" s="7"/>
      <c r="DU138" s="73"/>
      <c r="DV138" s="73"/>
      <c r="DW138" s="7"/>
      <c r="DX138" s="7"/>
      <c r="DY138" s="7"/>
      <c r="DZ138" s="7"/>
      <c r="EA138" s="7"/>
      <c r="EB138" s="7"/>
      <c r="EC138" s="7"/>
      <c r="ED138" s="7"/>
      <c r="EE138" s="7"/>
      <c r="EF138" s="7"/>
      <c r="EG138" s="7"/>
      <c r="EH138" s="7"/>
      <c r="EI138" s="7"/>
      <c r="EJ138" s="7"/>
      <c r="EK138" s="7"/>
      <c r="EL138" s="7"/>
      <c r="EM138" s="7"/>
      <c r="EN138" s="19"/>
      <c r="EO138" s="7"/>
      <c r="EP138" s="7"/>
      <c r="EQ138" s="7"/>
      <c r="ER138" s="7"/>
      <c r="ES138" s="7"/>
      <c r="ET138" s="55"/>
      <c r="EU138" s="7"/>
      <c r="EV138" s="7"/>
      <c r="EW138" s="7"/>
      <c r="EX138" s="7"/>
      <c r="EY138" s="7"/>
      <c r="EZ138" s="7"/>
      <c r="FA138" s="7"/>
      <c r="FB138" s="7"/>
      <c r="FC138" s="55"/>
      <c r="FD138" s="55"/>
      <c r="FE138" s="55"/>
      <c r="FF138" s="7"/>
      <c r="FG138" s="7"/>
      <c r="FH138" s="7"/>
      <c r="FI138" s="7"/>
      <c r="FJ138" s="7"/>
      <c r="FK138" s="7"/>
      <c r="FL138" s="7"/>
      <c r="FM138" s="7"/>
      <c r="FN138" s="7"/>
      <c r="FO138" s="7"/>
      <c r="FP138" s="7"/>
      <c r="FQ138" s="7"/>
      <c r="FR138" s="7"/>
      <c r="FS138" s="77"/>
      <c r="FT138" s="30"/>
      <c r="FU138" s="7"/>
      <c r="FV138" s="55"/>
      <c r="FW138" s="55"/>
      <c r="FX138" s="7"/>
      <c r="FY138" s="7"/>
      <c r="FZ138" s="7"/>
      <c r="GA138" s="7"/>
      <c r="GB138" s="7"/>
      <c r="GC138" s="7"/>
      <c r="GD138" s="103"/>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29"/>
      <c r="IF138" s="7"/>
      <c r="IG138" s="7"/>
      <c r="IH138" s="7"/>
      <c r="II138" s="7"/>
      <c r="IJ138" s="7"/>
      <c r="IK138" s="7"/>
      <c r="IL138" s="7"/>
      <c r="IM138" s="7"/>
      <c r="IN138" s="7"/>
      <c r="IO138" s="7"/>
      <c r="IP138" s="7"/>
      <c r="IQ138" s="7"/>
      <c r="IR138" s="7"/>
      <c r="IS138" s="7"/>
      <c r="IT138" s="55"/>
      <c r="IU138" s="7"/>
      <c r="IV138" s="7"/>
    </row>
    <row r="139" spans="1:256" s="11" customFormat="1" ht="12.75" customHeight="1">
      <c r="A139" s="19"/>
      <c r="B139" s="19"/>
      <c r="C139" s="178" t="s">
        <v>4293</v>
      </c>
      <c r="D139" s="19"/>
      <c r="E139" s="7"/>
      <c r="F139" s="7"/>
      <c r="G139" s="7"/>
      <c r="H139" s="7"/>
      <c r="I139" s="8"/>
      <c r="J139" s="19" t="str">
        <f t="shared" ca="1" si="3"/>
        <v/>
      </c>
      <c r="K139" s="7"/>
      <c r="L139" s="7"/>
      <c r="M139" s="7"/>
      <c r="N139" s="7"/>
      <c r="O139" s="7"/>
      <c r="P139" s="7"/>
      <c r="Q139" s="29"/>
      <c r="R139" s="30"/>
      <c r="S139" s="7"/>
      <c r="T139" s="7"/>
      <c r="U139" s="31"/>
      <c r="V139" s="7"/>
      <c r="W139" s="7"/>
      <c r="X139" s="7"/>
      <c r="Y139" s="7"/>
      <c r="Z139" s="7"/>
      <c r="AA139" s="7"/>
      <c r="AB139" s="7"/>
      <c r="AC139" s="7"/>
      <c r="AD139" s="7"/>
      <c r="AE139" s="7"/>
      <c r="AF139" s="7"/>
      <c r="AG139" s="7"/>
      <c r="AH139" s="7"/>
      <c r="AI139" s="7"/>
      <c r="AJ139" s="122"/>
      <c r="AK139" s="41"/>
      <c r="AL139" s="52"/>
      <c r="AM139" s="20"/>
      <c r="AN139" s="20"/>
      <c r="AO139" s="20"/>
      <c r="AP139" s="20"/>
      <c r="AQ139" s="7"/>
      <c r="AR139" s="7"/>
      <c r="AS139" s="7"/>
      <c r="AT139" s="7"/>
      <c r="AU139" s="7"/>
      <c r="AV139" s="7"/>
      <c r="AW139" s="7"/>
      <c r="AX139" s="7"/>
      <c r="AY139" s="7"/>
      <c r="AZ139" s="7"/>
      <c r="BA139" s="7"/>
      <c r="BB139" s="7"/>
      <c r="BC139" s="7"/>
      <c r="BD139" s="55"/>
      <c r="BE139" s="55"/>
      <c r="BF139" s="7"/>
      <c r="BG139" s="7"/>
      <c r="BH139" s="7"/>
      <c r="BI139" s="7"/>
      <c r="BJ139" s="7"/>
      <c r="BK139" s="7"/>
      <c r="BL139" s="7"/>
      <c r="BM139" s="7"/>
      <c r="BN139" s="61"/>
      <c r="BO139" s="62"/>
      <c r="BP139" s="50"/>
      <c r="BQ139" s="20"/>
      <c r="BR139" s="7"/>
      <c r="BS139" s="7"/>
      <c r="BT139" s="7"/>
      <c r="BU139" s="7"/>
      <c r="BV139" s="55"/>
      <c r="BW139" s="7"/>
      <c r="BX139" s="55"/>
      <c r="BY139" s="7"/>
      <c r="BZ139" s="7"/>
      <c r="CA139" s="7"/>
      <c r="CB139" s="7"/>
      <c r="CC139" s="7"/>
      <c r="CD139" s="104"/>
      <c r="CE139" s="105"/>
      <c r="CF139" s="7"/>
      <c r="CG139" s="7"/>
      <c r="CH139" s="7"/>
      <c r="CI139" s="7"/>
      <c r="CJ139" s="7"/>
      <c r="CK139" s="7"/>
      <c r="CL139" s="7"/>
      <c r="CM139" s="7"/>
      <c r="CN139" s="7"/>
      <c r="CO139" s="7"/>
      <c r="CP139" s="55"/>
      <c r="CQ139" s="7"/>
      <c r="CR139" s="7"/>
      <c r="CS139" s="130"/>
      <c r="CT139" s="7"/>
      <c r="CU139" s="7"/>
      <c r="CV139" s="7"/>
      <c r="CW139" s="7"/>
      <c r="CX139" s="7"/>
      <c r="CY139" s="73"/>
      <c r="CZ139" s="7"/>
      <c r="DA139" s="7"/>
      <c r="DB139" s="7"/>
      <c r="DC139" s="48"/>
      <c r="DD139" s="7"/>
      <c r="DE139" s="7"/>
      <c r="DF139" s="7"/>
      <c r="DG139" s="7"/>
      <c r="DH139" s="7"/>
      <c r="DI139" s="7"/>
      <c r="DJ139" s="7"/>
      <c r="DK139" s="7"/>
      <c r="DL139" s="74"/>
      <c r="DM139" s="7"/>
      <c r="DN139" s="7"/>
      <c r="DO139" s="7"/>
      <c r="DP139" s="7"/>
      <c r="DQ139" s="58"/>
      <c r="DR139" s="7"/>
      <c r="DS139" s="7"/>
      <c r="DT139" s="7"/>
      <c r="DU139" s="73"/>
      <c r="DV139" s="73"/>
      <c r="DW139" s="7"/>
      <c r="DX139" s="7"/>
      <c r="DY139" s="7"/>
      <c r="DZ139" s="7"/>
      <c r="EA139" s="7"/>
      <c r="EB139" s="7"/>
      <c r="EC139" s="7"/>
      <c r="ED139" s="7"/>
      <c r="EE139" s="7"/>
      <c r="EF139" s="7"/>
      <c r="EG139" s="7"/>
      <c r="EH139" s="7"/>
      <c r="EI139" s="7"/>
      <c r="EJ139" s="7"/>
      <c r="EK139" s="7"/>
      <c r="EL139" s="7"/>
      <c r="EM139" s="7"/>
      <c r="EN139" s="19"/>
      <c r="EO139" s="7"/>
      <c r="EP139" s="7"/>
      <c r="EQ139" s="7"/>
      <c r="ER139" s="7"/>
      <c r="ES139" s="7"/>
      <c r="ET139" s="55"/>
      <c r="EU139" s="7"/>
      <c r="EV139" s="7"/>
      <c r="EW139" s="7"/>
      <c r="EX139" s="7"/>
      <c r="EY139" s="7"/>
      <c r="EZ139" s="7"/>
      <c r="FA139" s="7"/>
      <c r="FB139" s="7"/>
      <c r="FC139" s="55"/>
      <c r="FD139" s="55"/>
      <c r="FE139" s="55"/>
      <c r="FF139" s="7"/>
      <c r="FG139" s="7"/>
      <c r="FH139" s="7"/>
      <c r="FI139" s="7"/>
      <c r="FJ139" s="7"/>
      <c r="FK139" s="7"/>
      <c r="FL139" s="7"/>
      <c r="FM139" s="7"/>
      <c r="FN139" s="7"/>
      <c r="FO139" s="7"/>
      <c r="FP139" s="7"/>
      <c r="FQ139" s="7"/>
      <c r="FR139" s="7"/>
      <c r="FS139" s="77"/>
      <c r="FT139" s="30"/>
      <c r="FU139" s="7"/>
      <c r="FV139" s="55"/>
      <c r="FW139" s="55"/>
      <c r="FX139" s="7"/>
      <c r="FY139" s="7"/>
      <c r="FZ139" s="7"/>
      <c r="GA139" s="7"/>
      <c r="GB139" s="7"/>
      <c r="GC139" s="7"/>
      <c r="GD139" s="103"/>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29"/>
      <c r="IF139" s="7"/>
      <c r="IG139" s="7"/>
      <c r="IH139" s="7"/>
      <c r="II139" s="7"/>
      <c r="IJ139" s="7"/>
      <c r="IK139" s="7"/>
      <c r="IL139" s="7"/>
      <c r="IM139" s="7"/>
      <c r="IN139" s="7"/>
      <c r="IO139" s="7"/>
      <c r="IP139" s="7"/>
      <c r="IQ139" s="7"/>
      <c r="IR139" s="7"/>
      <c r="IS139" s="7"/>
      <c r="IT139" s="55"/>
      <c r="IU139" s="7"/>
      <c r="IV139" s="7"/>
    </row>
    <row r="140" spans="1:256" s="11" customFormat="1" ht="12.75" customHeight="1">
      <c r="A140" s="19"/>
      <c r="B140" s="19"/>
      <c r="C140" s="178" t="s">
        <v>4296</v>
      </c>
      <c r="D140" s="19"/>
      <c r="E140" s="7"/>
      <c r="F140" s="7"/>
      <c r="G140" s="7"/>
      <c r="H140" s="7"/>
      <c r="I140" s="8"/>
      <c r="J140" s="19" t="str">
        <f t="shared" ca="1" si="3"/>
        <v/>
      </c>
      <c r="K140" s="7"/>
      <c r="L140" s="7"/>
      <c r="M140" s="7"/>
      <c r="N140" s="7"/>
      <c r="O140" s="7"/>
      <c r="P140" s="7"/>
      <c r="Q140" s="29"/>
      <c r="R140" s="30"/>
      <c r="S140" s="7"/>
      <c r="T140" s="7"/>
      <c r="U140" s="31"/>
      <c r="V140" s="7"/>
      <c r="W140" s="7"/>
      <c r="X140" s="7"/>
      <c r="Y140" s="7"/>
      <c r="Z140" s="7"/>
      <c r="AA140" s="7"/>
      <c r="AB140" s="7"/>
      <c r="AC140" s="7"/>
      <c r="AD140" s="7"/>
      <c r="AE140" s="7"/>
      <c r="AF140" s="7"/>
      <c r="AG140" s="7"/>
      <c r="AH140" s="7"/>
      <c r="AI140" s="7"/>
      <c r="AJ140" s="122"/>
      <c r="AK140" s="41"/>
      <c r="AL140" s="52"/>
      <c r="AM140" s="20"/>
      <c r="AN140" s="20"/>
      <c r="AO140" s="20"/>
      <c r="AP140" s="20"/>
      <c r="AQ140" s="7"/>
      <c r="AR140" s="7"/>
      <c r="AS140" s="7"/>
      <c r="AT140" s="7"/>
      <c r="AU140" s="7"/>
      <c r="AV140" s="7"/>
      <c r="AW140" s="7"/>
      <c r="AX140" s="7"/>
      <c r="AY140" s="7"/>
      <c r="AZ140" s="7"/>
      <c r="BA140" s="7"/>
      <c r="BB140" s="7"/>
      <c r="BC140" s="7"/>
      <c r="BD140" s="55"/>
      <c r="BE140" s="55"/>
      <c r="BF140" s="7"/>
      <c r="BG140" s="7"/>
      <c r="BH140" s="7"/>
      <c r="BI140" s="7"/>
      <c r="BJ140" s="7"/>
      <c r="BK140" s="7"/>
      <c r="BL140" s="7"/>
      <c r="BM140" s="7"/>
      <c r="BN140" s="61"/>
      <c r="BO140" s="62"/>
      <c r="BP140" s="50"/>
      <c r="BQ140" s="20"/>
      <c r="BR140" s="7"/>
      <c r="BS140" s="7"/>
      <c r="BT140" s="7"/>
      <c r="BU140" s="7"/>
      <c r="BV140" s="55"/>
      <c r="BW140" s="7"/>
      <c r="BX140" s="55"/>
      <c r="BY140" s="7"/>
      <c r="BZ140" s="7"/>
      <c r="CA140" s="7"/>
      <c r="CB140" s="7"/>
      <c r="CC140" s="7"/>
      <c r="CD140" s="104"/>
      <c r="CE140" s="105"/>
      <c r="CF140" s="7"/>
      <c r="CG140" s="7"/>
      <c r="CH140" s="7"/>
      <c r="CI140" s="7"/>
      <c r="CJ140" s="7"/>
      <c r="CK140" s="7"/>
      <c r="CL140" s="7"/>
      <c r="CM140" s="7"/>
      <c r="CN140" s="7"/>
      <c r="CO140" s="7"/>
      <c r="CP140" s="55"/>
      <c r="CQ140" s="7"/>
      <c r="CR140" s="7"/>
      <c r="CS140" s="130"/>
      <c r="CT140" s="7"/>
      <c r="CU140" s="7"/>
      <c r="CV140" s="7"/>
      <c r="CW140" s="7"/>
      <c r="CX140" s="7"/>
      <c r="CY140" s="73"/>
      <c r="CZ140" s="7"/>
      <c r="DA140" s="7"/>
      <c r="DB140" s="7"/>
      <c r="DC140" s="48"/>
      <c r="DD140" s="7"/>
      <c r="DE140" s="7"/>
      <c r="DF140" s="7"/>
      <c r="DG140" s="7"/>
      <c r="DH140" s="7"/>
      <c r="DI140" s="7"/>
      <c r="DJ140" s="7"/>
      <c r="DK140" s="7"/>
      <c r="DL140" s="74"/>
      <c r="DM140" s="7"/>
      <c r="DN140" s="7"/>
      <c r="DO140" s="7"/>
      <c r="DP140" s="7"/>
      <c r="DQ140" s="58"/>
      <c r="DR140" s="7"/>
      <c r="DS140" s="7"/>
      <c r="DT140" s="7"/>
      <c r="DU140" s="73"/>
      <c r="DV140" s="73"/>
      <c r="DW140" s="7"/>
      <c r="DX140" s="7"/>
      <c r="DY140" s="7"/>
      <c r="DZ140" s="7"/>
      <c r="EA140" s="7"/>
      <c r="EB140" s="7"/>
      <c r="EC140" s="7"/>
      <c r="ED140" s="7"/>
      <c r="EE140" s="7"/>
      <c r="EF140" s="7"/>
      <c r="EG140" s="7"/>
      <c r="EH140" s="7"/>
      <c r="EI140" s="7"/>
      <c r="EJ140" s="7"/>
      <c r="EK140" s="7"/>
      <c r="EL140" s="7"/>
      <c r="EM140" s="7"/>
      <c r="EN140" s="19"/>
      <c r="EO140" s="7"/>
      <c r="EP140" s="7"/>
      <c r="EQ140" s="7"/>
      <c r="ER140" s="7"/>
      <c r="ES140" s="7"/>
      <c r="ET140" s="55"/>
      <c r="EU140" s="7"/>
      <c r="EV140" s="7"/>
      <c r="EW140" s="7"/>
      <c r="EX140" s="7"/>
      <c r="EY140" s="7"/>
      <c r="EZ140" s="7"/>
      <c r="FA140" s="7"/>
      <c r="FB140" s="7"/>
      <c r="FC140" s="55"/>
      <c r="FD140" s="55"/>
      <c r="FE140" s="55"/>
      <c r="FF140" s="7"/>
      <c r="FG140" s="7"/>
      <c r="FH140" s="7"/>
      <c r="FI140" s="7"/>
      <c r="FJ140" s="7"/>
      <c r="FK140" s="7"/>
      <c r="FL140" s="7"/>
      <c r="FM140" s="7"/>
      <c r="FN140" s="7"/>
      <c r="FO140" s="7"/>
      <c r="FP140" s="7"/>
      <c r="FQ140" s="7"/>
      <c r="FR140" s="7"/>
      <c r="FS140" s="77"/>
      <c r="FT140" s="30"/>
      <c r="FU140" s="7"/>
      <c r="FV140" s="55"/>
      <c r="FW140" s="55"/>
      <c r="FX140" s="7"/>
      <c r="FY140" s="7"/>
      <c r="FZ140" s="7"/>
      <c r="GA140" s="7"/>
      <c r="GB140" s="7"/>
      <c r="GC140" s="7"/>
      <c r="GD140" s="103"/>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29"/>
      <c r="IF140" s="7"/>
      <c r="IG140" s="7"/>
      <c r="IH140" s="7"/>
      <c r="II140" s="7"/>
      <c r="IJ140" s="7"/>
      <c r="IK140" s="7"/>
      <c r="IL140" s="7"/>
      <c r="IM140" s="7"/>
      <c r="IN140" s="7"/>
      <c r="IO140" s="7"/>
      <c r="IP140" s="7"/>
      <c r="IQ140" s="7"/>
      <c r="IR140" s="7"/>
      <c r="IS140" s="7"/>
      <c r="IT140" s="55"/>
      <c r="IU140" s="7"/>
      <c r="IV140" s="7"/>
    </row>
    <row r="141" spans="1:256" s="11" customFormat="1" ht="12.75" customHeight="1">
      <c r="A141" s="19"/>
      <c r="B141" s="19"/>
      <c r="C141" s="178" t="s">
        <v>4301</v>
      </c>
      <c r="D141" s="19"/>
      <c r="E141" s="7"/>
      <c r="F141" s="7"/>
      <c r="G141" s="7"/>
      <c r="H141" s="7"/>
      <c r="I141" s="8"/>
      <c r="J141" s="19" t="str">
        <f t="shared" ca="1" si="3"/>
        <v/>
      </c>
      <c r="K141" s="7"/>
      <c r="L141" s="7"/>
      <c r="M141" s="7"/>
      <c r="N141" s="7"/>
      <c r="O141" s="7"/>
      <c r="P141" s="7"/>
      <c r="Q141" s="29"/>
      <c r="R141" s="30"/>
      <c r="S141" s="7"/>
      <c r="T141" s="7"/>
      <c r="U141" s="31"/>
      <c r="V141" s="7"/>
      <c r="W141" s="7"/>
      <c r="X141" s="7"/>
      <c r="Y141" s="7"/>
      <c r="Z141" s="7"/>
      <c r="AA141" s="7"/>
      <c r="AB141" s="7"/>
      <c r="AC141" s="7"/>
      <c r="AD141" s="7"/>
      <c r="AE141" s="7"/>
      <c r="AF141" s="7"/>
      <c r="AG141" s="7"/>
      <c r="AH141" s="7"/>
      <c r="AI141" s="7"/>
      <c r="AJ141" s="122"/>
      <c r="AK141" s="41"/>
      <c r="AL141" s="52"/>
      <c r="AM141" s="20"/>
      <c r="AN141" s="20"/>
      <c r="AO141" s="20"/>
      <c r="AP141" s="20"/>
      <c r="AQ141" s="7"/>
      <c r="AR141" s="7"/>
      <c r="AS141" s="7"/>
      <c r="AT141" s="7"/>
      <c r="AU141" s="7"/>
      <c r="AV141" s="7"/>
      <c r="AW141" s="7"/>
      <c r="AX141" s="7"/>
      <c r="AY141" s="7"/>
      <c r="AZ141" s="7"/>
      <c r="BA141" s="7"/>
      <c r="BB141" s="7"/>
      <c r="BC141" s="7"/>
      <c r="BD141" s="55"/>
      <c r="BE141" s="55"/>
      <c r="BF141" s="7"/>
      <c r="BG141" s="7"/>
      <c r="BH141" s="7"/>
      <c r="BI141" s="7"/>
      <c r="BJ141" s="7"/>
      <c r="BK141" s="7"/>
      <c r="BL141" s="7"/>
      <c r="BM141" s="7"/>
      <c r="BN141" s="61"/>
      <c r="BO141" s="62"/>
      <c r="BP141" s="50"/>
      <c r="BQ141" s="20"/>
      <c r="BR141" s="7"/>
      <c r="BS141" s="7"/>
      <c r="BT141" s="7"/>
      <c r="BU141" s="7"/>
      <c r="BV141" s="55"/>
      <c r="BW141" s="7"/>
      <c r="BX141" s="55"/>
      <c r="BY141" s="7"/>
      <c r="BZ141" s="7"/>
      <c r="CA141" s="7"/>
      <c r="CB141" s="7"/>
      <c r="CC141" s="7"/>
      <c r="CD141" s="104"/>
      <c r="CE141" s="105"/>
      <c r="CF141" s="7"/>
      <c r="CG141" s="7"/>
      <c r="CH141" s="7"/>
      <c r="CI141" s="7"/>
      <c r="CJ141" s="7"/>
      <c r="CK141" s="7"/>
      <c r="CL141" s="7"/>
      <c r="CM141" s="7"/>
      <c r="CN141" s="7"/>
      <c r="CO141" s="7"/>
      <c r="CP141" s="55"/>
      <c r="CQ141" s="7"/>
      <c r="CR141" s="7"/>
      <c r="CS141" s="130"/>
      <c r="CT141" s="7"/>
      <c r="CU141" s="7"/>
      <c r="CV141" s="7"/>
      <c r="CW141" s="7"/>
      <c r="CX141" s="7"/>
      <c r="CY141" s="73"/>
      <c r="CZ141" s="7"/>
      <c r="DA141" s="7"/>
      <c r="DB141" s="7"/>
      <c r="DC141" s="48"/>
      <c r="DD141" s="7"/>
      <c r="DE141" s="7"/>
      <c r="DF141" s="7"/>
      <c r="DG141" s="7"/>
      <c r="DH141" s="7"/>
      <c r="DI141" s="7"/>
      <c r="DJ141" s="7"/>
      <c r="DK141" s="7"/>
      <c r="DL141" s="74"/>
      <c r="DM141" s="7"/>
      <c r="DN141" s="7"/>
      <c r="DO141" s="7"/>
      <c r="DP141" s="7"/>
      <c r="DQ141" s="58"/>
      <c r="DR141" s="7"/>
      <c r="DS141" s="7"/>
      <c r="DT141" s="7"/>
      <c r="DU141" s="73"/>
      <c r="DV141" s="73"/>
      <c r="DW141" s="7"/>
      <c r="DX141" s="7"/>
      <c r="DY141" s="7"/>
      <c r="DZ141" s="7"/>
      <c r="EA141" s="7"/>
      <c r="EB141" s="7"/>
      <c r="EC141" s="7"/>
      <c r="ED141" s="7"/>
      <c r="EE141" s="7"/>
      <c r="EF141" s="7"/>
      <c r="EG141" s="7"/>
      <c r="EH141" s="7"/>
      <c r="EI141" s="7"/>
      <c r="EJ141" s="7"/>
      <c r="EK141" s="7"/>
      <c r="EL141" s="7"/>
      <c r="EM141" s="7"/>
      <c r="EN141" s="19"/>
      <c r="EO141" s="7"/>
      <c r="EP141" s="7"/>
      <c r="EQ141" s="7"/>
      <c r="ER141" s="7"/>
      <c r="ES141" s="7"/>
      <c r="ET141" s="55"/>
      <c r="EU141" s="7"/>
      <c r="EV141" s="7"/>
      <c r="EW141" s="7"/>
      <c r="EX141" s="7"/>
      <c r="EY141" s="7"/>
      <c r="EZ141" s="7"/>
      <c r="FA141" s="7"/>
      <c r="FB141" s="7"/>
      <c r="FC141" s="55"/>
      <c r="FD141" s="55"/>
      <c r="FE141" s="55"/>
      <c r="FF141" s="7"/>
      <c r="FG141" s="7"/>
      <c r="FH141" s="7"/>
      <c r="FI141" s="7"/>
      <c r="FJ141" s="7"/>
      <c r="FK141" s="7"/>
      <c r="FL141" s="7"/>
      <c r="FM141" s="7"/>
      <c r="FN141" s="7"/>
      <c r="FO141" s="7"/>
      <c r="FP141" s="7"/>
      <c r="FQ141" s="7"/>
      <c r="FR141" s="7"/>
      <c r="FS141" s="77"/>
      <c r="FT141" s="30"/>
      <c r="FU141" s="7"/>
      <c r="FV141" s="55"/>
      <c r="FW141" s="55"/>
      <c r="FX141" s="7"/>
      <c r="FY141" s="7"/>
      <c r="FZ141" s="7"/>
      <c r="GA141" s="7"/>
      <c r="GB141" s="7"/>
      <c r="GC141" s="7"/>
      <c r="GD141" s="103"/>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7"/>
      <c r="HD141" s="7"/>
      <c r="HE141" s="7"/>
      <c r="HF141" s="7"/>
      <c r="HG141" s="7"/>
      <c r="HH141" s="7"/>
      <c r="HI141" s="7"/>
      <c r="HJ141" s="7"/>
      <c r="HK141" s="7"/>
      <c r="HL141" s="7"/>
      <c r="HM141" s="7"/>
      <c r="HN141" s="7"/>
      <c r="HO141" s="7"/>
      <c r="HP141" s="7"/>
      <c r="HQ141" s="7"/>
      <c r="HR141" s="7"/>
      <c r="HS141" s="7"/>
      <c r="HT141" s="7"/>
      <c r="HU141" s="7"/>
      <c r="HV141" s="7"/>
      <c r="HW141" s="7"/>
      <c r="HX141" s="7"/>
      <c r="HY141" s="7"/>
      <c r="HZ141" s="7"/>
      <c r="IA141" s="7"/>
      <c r="IB141" s="7"/>
      <c r="IC141" s="7"/>
      <c r="ID141" s="7"/>
      <c r="IE141" s="29"/>
      <c r="IF141" s="7"/>
      <c r="IG141" s="7"/>
      <c r="IH141" s="7"/>
      <c r="II141" s="7"/>
      <c r="IJ141" s="7"/>
      <c r="IK141" s="7"/>
      <c r="IL141" s="7"/>
      <c r="IM141" s="7"/>
      <c r="IN141" s="7"/>
      <c r="IO141" s="7"/>
      <c r="IP141" s="7"/>
      <c r="IQ141" s="7"/>
      <c r="IR141" s="7"/>
      <c r="IS141" s="7"/>
      <c r="IT141" s="55"/>
      <c r="IU141" s="7"/>
      <c r="IV141" s="7"/>
    </row>
    <row r="142" spans="1:256" s="11" customFormat="1" ht="12.75" customHeight="1">
      <c r="A142" s="19"/>
      <c r="B142" s="19"/>
      <c r="C142" s="178"/>
      <c r="D142" s="19"/>
      <c r="E142" s="7"/>
      <c r="F142" s="7"/>
      <c r="G142" s="7"/>
      <c r="H142" s="7"/>
      <c r="I142" s="8"/>
      <c r="J142" s="19" t="str">
        <f t="shared" ca="1" si="3"/>
        <v/>
      </c>
      <c r="K142" s="7"/>
      <c r="L142" s="7"/>
      <c r="M142" s="7"/>
      <c r="N142" s="7"/>
      <c r="O142" s="7"/>
      <c r="P142" s="7"/>
      <c r="Q142" s="29"/>
      <c r="R142" s="30"/>
      <c r="S142" s="7"/>
      <c r="T142" s="7"/>
      <c r="U142" s="31"/>
      <c r="V142" s="7"/>
      <c r="W142" s="7"/>
      <c r="X142" s="7"/>
      <c r="Y142" s="7"/>
      <c r="Z142" s="7"/>
      <c r="AA142" s="7"/>
      <c r="AB142" s="7"/>
      <c r="AC142" s="7"/>
      <c r="AD142" s="7"/>
      <c r="AE142" s="7"/>
      <c r="AF142" s="7"/>
      <c r="AG142" s="7"/>
      <c r="AH142" s="7"/>
      <c r="AI142" s="7"/>
      <c r="AJ142" s="122"/>
      <c r="AK142" s="41"/>
      <c r="AL142" s="52"/>
      <c r="AM142" s="20"/>
      <c r="AN142" s="20"/>
      <c r="AO142" s="20"/>
      <c r="AP142" s="20"/>
      <c r="AQ142" s="7"/>
      <c r="AR142" s="7"/>
      <c r="AS142" s="7"/>
      <c r="AT142" s="7"/>
      <c r="AU142" s="7"/>
      <c r="AV142" s="7"/>
      <c r="AW142" s="7"/>
      <c r="AX142" s="7"/>
      <c r="AY142" s="7"/>
      <c r="AZ142" s="7"/>
      <c r="BA142" s="7"/>
      <c r="BB142" s="7"/>
      <c r="BC142" s="7"/>
      <c r="BD142" s="55"/>
      <c r="BE142" s="55"/>
      <c r="BF142" s="7"/>
      <c r="BG142" s="7"/>
      <c r="BH142" s="7"/>
      <c r="BI142" s="7"/>
      <c r="BJ142" s="7"/>
      <c r="BK142" s="7"/>
      <c r="BL142" s="7"/>
      <c r="BM142" s="7"/>
      <c r="BN142" s="61"/>
      <c r="BO142" s="62"/>
      <c r="BP142" s="50"/>
      <c r="BQ142" s="20"/>
      <c r="BR142" s="7"/>
      <c r="BS142" s="7"/>
      <c r="BT142" s="7"/>
      <c r="BU142" s="7"/>
      <c r="BV142" s="55"/>
      <c r="BW142" s="7"/>
      <c r="BX142" s="55"/>
      <c r="BY142" s="7"/>
      <c r="BZ142" s="7"/>
      <c r="CA142" s="7"/>
      <c r="CB142" s="7"/>
      <c r="CC142" s="7"/>
      <c r="CD142" s="104"/>
      <c r="CE142" s="105"/>
      <c r="CF142" s="7"/>
      <c r="CG142" s="7"/>
      <c r="CH142" s="7"/>
      <c r="CI142" s="7"/>
      <c r="CJ142" s="7"/>
      <c r="CK142" s="7"/>
      <c r="CL142" s="7"/>
      <c r="CM142" s="7"/>
      <c r="CN142" s="7"/>
      <c r="CO142" s="7"/>
      <c r="CP142" s="55"/>
      <c r="CQ142" s="7"/>
      <c r="CR142" s="7"/>
      <c r="CS142" s="130"/>
      <c r="CT142" s="7"/>
      <c r="CU142" s="7"/>
      <c r="CV142" s="7"/>
      <c r="CW142" s="7"/>
      <c r="CX142" s="7"/>
      <c r="CY142" s="73"/>
      <c r="CZ142" s="7"/>
      <c r="DA142" s="7"/>
      <c r="DB142" s="7"/>
      <c r="DC142" s="48"/>
      <c r="DD142" s="7"/>
      <c r="DE142" s="7"/>
      <c r="DF142" s="7"/>
      <c r="DG142" s="7"/>
      <c r="DH142" s="7"/>
      <c r="DI142" s="7"/>
      <c r="DJ142" s="7"/>
      <c r="DK142" s="7"/>
      <c r="DL142" s="74"/>
      <c r="DM142" s="7"/>
      <c r="DN142" s="7"/>
      <c r="DO142" s="7"/>
      <c r="DP142" s="7"/>
      <c r="DQ142" s="58"/>
      <c r="DR142" s="7"/>
      <c r="DS142" s="7"/>
      <c r="DT142" s="7"/>
      <c r="DU142" s="73"/>
      <c r="DV142" s="73"/>
      <c r="DW142" s="7"/>
      <c r="DX142" s="7"/>
      <c r="DY142" s="7"/>
      <c r="DZ142" s="7"/>
      <c r="EA142" s="7"/>
      <c r="EB142" s="7"/>
      <c r="EC142" s="7"/>
      <c r="ED142" s="7"/>
      <c r="EE142" s="7"/>
      <c r="EF142" s="7"/>
      <c r="EG142" s="7"/>
      <c r="EH142" s="7"/>
      <c r="EI142" s="7"/>
      <c r="EJ142" s="7"/>
      <c r="EK142" s="7"/>
      <c r="EL142" s="7"/>
      <c r="EM142" s="7"/>
      <c r="EN142" s="19"/>
      <c r="EO142" s="7"/>
      <c r="EP142" s="7"/>
      <c r="EQ142" s="7"/>
      <c r="ER142" s="7"/>
      <c r="ES142" s="7"/>
      <c r="ET142" s="55"/>
      <c r="EU142" s="7"/>
      <c r="EV142" s="7"/>
      <c r="EW142" s="7"/>
      <c r="EX142" s="7"/>
      <c r="EY142" s="7"/>
      <c r="EZ142" s="7"/>
      <c r="FA142" s="7"/>
      <c r="FB142" s="7"/>
      <c r="FC142" s="55"/>
      <c r="FD142" s="55"/>
      <c r="FE142" s="55"/>
      <c r="FF142" s="7"/>
      <c r="FG142" s="7"/>
      <c r="FH142" s="7"/>
      <c r="FI142" s="7"/>
      <c r="FJ142" s="7"/>
      <c r="FK142" s="7"/>
      <c r="FL142" s="7"/>
      <c r="FM142" s="7"/>
      <c r="FN142" s="7"/>
      <c r="FO142" s="7"/>
      <c r="FP142" s="7"/>
      <c r="FQ142" s="7"/>
      <c r="FR142" s="7"/>
      <c r="FS142" s="77"/>
      <c r="FT142" s="30"/>
      <c r="FU142" s="7"/>
      <c r="FV142" s="55"/>
      <c r="FW142" s="55"/>
      <c r="FX142" s="7"/>
      <c r="FY142" s="7"/>
      <c r="FZ142" s="7"/>
      <c r="GA142" s="7"/>
      <c r="GB142" s="7"/>
      <c r="GC142" s="7"/>
      <c r="GD142" s="103"/>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7"/>
      <c r="ID142" s="7"/>
      <c r="IE142" s="29"/>
      <c r="IF142" s="7"/>
      <c r="IG142" s="7"/>
      <c r="IH142" s="7"/>
      <c r="II142" s="7"/>
      <c r="IJ142" s="7"/>
      <c r="IK142" s="7"/>
      <c r="IL142" s="7"/>
      <c r="IM142" s="7"/>
      <c r="IN142" s="7"/>
      <c r="IO142" s="7"/>
      <c r="IP142" s="7"/>
      <c r="IQ142" s="7"/>
      <c r="IR142" s="7"/>
      <c r="IS142" s="7"/>
      <c r="IT142" s="55"/>
      <c r="IU142" s="7"/>
      <c r="IV142" s="7"/>
    </row>
    <row r="143" spans="1:256" s="11" customFormat="1" ht="12.75" customHeight="1">
      <c r="A143" s="19"/>
      <c r="B143" s="19"/>
      <c r="C143" s="178"/>
      <c r="D143" s="19"/>
      <c r="E143" s="7"/>
      <c r="F143" s="7"/>
      <c r="G143" s="7"/>
      <c r="H143" s="7"/>
      <c r="I143" s="8"/>
      <c r="J143" s="19" t="str">
        <f t="shared" ca="1" si="3"/>
        <v/>
      </c>
      <c r="K143" s="7"/>
      <c r="L143" s="7"/>
      <c r="M143" s="7"/>
      <c r="N143" s="7"/>
      <c r="O143" s="7"/>
      <c r="P143" s="7"/>
      <c r="Q143" s="29"/>
      <c r="R143" s="30"/>
      <c r="S143" s="7"/>
      <c r="T143" s="7"/>
      <c r="U143" s="31"/>
      <c r="V143" s="7"/>
      <c r="W143" s="7"/>
      <c r="X143" s="7"/>
      <c r="Y143" s="7"/>
      <c r="Z143" s="7"/>
      <c r="AA143" s="7"/>
      <c r="AB143" s="7"/>
      <c r="AC143" s="7"/>
      <c r="AD143" s="7"/>
      <c r="AE143" s="7"/>
      <c r="AF143" s="7"/>
      <c r="AG143" s="7"/>
      <c r="AH143" s="7"/>
      <c r="AI143" s="7"/>
      <c r="AJ143" s="122"/>
      <c r="AK143" s="41"/>
      <c r="AL143" s="52"/>
      <c r="AM143" s="20"/>
      <c r="AN143" s="20"/>
      <c r="AO143" s="20"/>
      <c r="AP143" s="20"/>
      <c r="AQ143" s="7"/>
      <c r="AR143" s="7"/>
      <c r="AS143" s="7"/>
      <c r="AT143" s="7"/>
      <c r="AU143" s="7"/>
      <c r="AV143" s="7"/>
      <c r="AW143" s="7"/>
      <c r="AX143" s="7"/>
      <c r="AY143" s="7"/>
      <c r="AZ143" s="7"/>
      <c r="BA143" s="7"/>
      <c r="BB143" s="7"/>
      <c r="BC143" s="7"/>
      <c r="BD143" s="55"/>
      <c r="BE143" s="55"/>
      <c r="BF143" s="7"/>
      <c r="BG143" s="7"/>
      <c r="BH143" s="7"/>
      <c r="BI143" s="7"/>
      <c r="BJ143" s="7"/>
      <c r="BK143" s="7"/>
      <c r="BL143" s="7"/>
      <c r="BM143" s="7"/>
      <c r="BN143" s="61"/>
      <c r="BO143" s="62"/>
      <c r="BP143" s="50"/>
      <c r="BQ143" s="20"/>
      <c r="BR143" s="7"/>
      <c r="BS143" s="7"/>
      <c r="BT143" s="7"/>
      <c r="BU143" s="7"/>
      <c r="BV143" s="55"/>
      <c r="BW143" s="7"/>
      <c r="BX143" s="55"/>
      <c r="BY143" s="7"/>
      <c r="BZ143" s="7"/>
      <c r="CA143" s="7"/>
      <c r="CB143" s="7"/>
      <c r="CC143" s="7"/>
      <c r="CD143" s="104"/>
      <c r="CE143" s="105"/>
      <c r="CF143" s="7"/>
      <c r="CG143" s="7"/>
      <c r="CH143" s="7"/>
      <c r="CI143" s="7"/>
      <c r="CJ143" s="7"/>
      <c r="CK143" s="7"/>
      <c r="CL143" s="7"/>
      <c r="CM143" s="7"/>
      <c r="CN143" s="7"/>
      <c r="CO143" s="7"/>
      <c r="CP143" s="55"/>
      <c r="CQ143" s="7"/>
      <c r="CR143" s="7"/>
      <c r="CS143" s="130"/>
      <c r="CT143" s="7"/>
      <c r="CU143" s="7"/>
      <c r="CV143" s="7"/>
      <c r="CW143" s="7"/>
      <c r="CX143" s="7"/>
      <c r="CY143" s="73"/>
      <c r="CZ143" s="7"/>
      <c r="DA143" s="7"/>
      <c r="DB143" s="7"/>
      <c r="DC143" s="48"/>
      <c r="DD143" s="7"/>
      <c r="DE143" s="7"/>
      <c r="DF143" s="7"/>
      <c r="DG143" s="7"/>
      <c r="DH143" s="7"/>
      <c r="DI143" s="7"/>
      <c r="DJ143" s="7"/>
      <c r="DK143" s="7"/>
      <c r="DL143" s="74"/>
      <c r="DM143" s="7"/>
      <c r="DN143" s="7"/>
      <c r="DO143" s="7"/>
      <c r="DP143" s="7"/>
      <c r="DQ143" s="58"/>
      <c r="DR143" s="7"/>
      <c r="DS143" s="7"/>
      <c r="DT143" s="7"/>
      <c r="DU143" s="73"/>
      <c r="DV143" s="73"/>
      <c r="DW143" s="7"/>
      <c r="DX143" s="7"/>
      <c r="DY143" s="7"/>
      <c r="DZ143" s="7"/>
      <c r="EA143" s="7"/>
      <c r="EB143" s="7"/>
      <c r="EC143" s="7"/>
      <c r="ED143" s="7"/>
      <c r="EE143" s="7"/>
      <c r="EF143" s="7"/>
      <c r="EG143" s="7"/>
      <c r="EH143" s="7"/>
      <c r="EI143" s="7"/>
      <c r="EJ143" s="7"/>
      <c r="EK143" s="7"/>
      <c r="EL143" s="7"/>
      <c r="EM143" s="7"/>
      <c r="EN143" s="19"/>
      <c r="EO143" s="7"/>
      <c r="EP143" s="7"/>
      <c r="EQ143" s="7"/>
      <c r="ER143" s="7"/>
      <c r="ES143" s="7"/>
      <c r="ET143" s="55"/>
      <c r="EU143" s="7"/>
      <c r="EV143" s="7"/>
      <c r="EW143" s="7"/>
      <c r="EX143" s="7"/>
      <c r="EY143" s="7"/>
      <c r="EZ143" s="7"/>
      <c r="FA143" s="7"/>
      <c r="FB143" s="7"/>
      <c r="FC143" s="55"/>
      <c r="FD143" s="55"/>
      <c r="FE143" s="55"/>
      <c r="FF143" s="7"/>
      <c r="FG143" s="7"/>
      <c r="FH143" s="7"/>
      <c r="FI143" s="7"/>
      <c r="FJ143" s="7"/>
      <c r="FK143" s="7"/>
      <c r="FL143" s="7"/>
      <c r="FM143" s="7"/>
      <c r="FN143" s="7"/>
      <c r="FO143" s="7"/>
      <c r="FP143" s="7"/>
      <c r="FQ143" s="7"/>
      <c r="FR143" s="7"/>
      <c r="FS143" s="77"/>
      <c r="FT143" s="30"/>
      <c r="FU143" s="7"/>
      <c r="FV143" s="55"/>
      <c r="FW143" s="55"/>
      <c r="FX143" s="7"/>
      <c r="FY143" s="7"/>
      <c r="FZ143" s="7"/>
      <c r="GA143" s="7"/>
      <c r="GB143" s="7"/>
      <c r="GC143" s="7"/>
      <c r="GD143" s="103"/>
      <c r="GE143" s="7"/>
      <c r="GF143" s="7"/>
      <c r="GG143" s="7"/>
      <c r="GH143" s="7"/>
      <c r="GI143" s="7"/>
      <c r="GJ143" s="7"/>
      <c r="GK143" s="7"/>
      <c r="GL143" s="7"/>
      <c r="GM143" s="7"/>
      <c r="GN143" s="7"/>
      <c r="GO143" s="7"/>
      <c r="GP143" s="7"/>
      <c r="GQ143" s="7"/>
      <c r="GR143" s="7"/>
      <c r="GS143" s="7"/>
      <c r="GT143" s="7"/>
      <c r="GU143" s="7"/>
      <c r="GV143" s="7"/>
      <c r="GW143" s="7"/>
      <c r="GX143" s="7"/>
      <c r="GY143" s="7"/>
      <c r="GZ143" s="7"/>
      <c r="HA143" s="7"/>
      <c r="HB143" s="7"/>
      <c r="HC143" s="7"/>
      <c r="HD143" s="7"/>
      <c r="HE143" s="7"/>
      <c r="HF143" s="7"/>
      <c r="HG143" s="7"/>
      <c r="HH143" s="7"/>
      <c r="HI143" s="7"/>
      <c r="HJ143" s="7"/>
      <c r="HK143" s="7"/>
      <c r="HL143" s="7"/>
      <c r="HM143" s="7"/>
      <c r="HN143" s="7"/>
      <c r="HO143" s="7"/>
      <c r="HP143" s="7"/>
      <c r="HQ143" s="7"/>
      <c r="HR143" s="7"/>
      <c r="HS143" s="7"/>
      <c r="HT143" s="7"/>
      <c r="HU143" s="7"/>
      <c r="HV143" s="7"/>
      <c r="HW143" s="7"/>
      <c r="HX143" s="7"/>
      <c r="HY143" s="7"/>
      <c r="HZ143" s="7"/>
      <c r="IA143" s="7"/>
      <c r="IB143" s="7"/>
      <c r="IC143" s="7"/>
      <c r="ID143" s="7"/>
      <c r="IE143" s="29"/>
      <c r="IF143" s="7"/>
      <c r="IG143" s="7"/>
      <c r="IH143" s="7"/>
      <c r="II143" s="7"/>
      <c r="IJ143" s="7"/>
      <c r="IK143" s="7"/>
      <c r="IL143" s="7"/>
      <c r="IM143" s="7"/>
      <c r="IN143" s="7"/>
      <c r="IO143" s="7"/>
      <c r="IP143" s="7"/>
      <c r="IQ143" s="7"/>
      <c r="IR143" s="7"/>
      <c r="IS143" s="7"/>
      <c r="IT143" s="55"/>
      <c r="IU143" s="7"/>
      <c r="IV143" s="7"/>
    </row>
    <row r="144" spans="1:256" s="11" customFormat="1" ht="12.75" customHeight="1">
      <c r="A144" s="19"/>
      <c r="B144" s="19"/>
      <c r="C144" s="178" t="s">
        <v>4294</v>
      </c>
      <c r="D144" s="19"/>
      <c r="E144" s="7"/>
      <c r="F144" s="7"/>
      <c r="G144" s="7"/>
      <c r="H144" s="7"/>
      <c r="I144" s="8"/>
      <c r="J144" s="19"/>
      <c r="K144" s="7"/>
      <c r="L144" s="7"/>
      <c r="M144" s="7"/>
      <c r="N144" s="7"/>
      <c r="O144" s="7"/>
      <c r="P144" s="7"/>
      <c r="Q144" s="29"/>
      <c r="R144" s="30"/>
      <c r="S144" s="7"/>
      <c r="T144" s="7"/>
      <c r="U144" s="31"/>
      <c r="V144" s="7"/>
      <c r="W144" s="7"/>
      <c r="X144" s="7"/>
      <c r="Y144" s="7"/>
      <c r="Z144" s="7"/>
      <c r="AA144" s="7"/>
      <c r="AB144" s="7"/>
      <c r="AC144" s="7"/>
      <c r="AD144" s="7"/>
      <c r="AE144" s="7"/>
      <c r="AF144" s="7"/>
      <c r="AG144" s="7"/>
      <c r="AH144" s="7"/>
      <c r="AI144" s="7"/>
      <c r="AJ144" s="122"/>
      <c r="AK144" s="41"/>
      <c r="AL144" s="52"/>
      <c r="AM144" s="20"/>
      <c r="AN144" s="20"/>
      <c r="AO144" s="20"/>
      <c r="AP144" s="20"/>
      <c r="AQ144" s="7"/>
      <c r="AR144" s="7"/>
      <c r="AS144" s="7"/>
      <c r="AT144" s="7"/>
      <c r="AU144" s="7"/>
      <c r="AV144" s="7"/>
      <c r="AW144" s="7"/>
      <c r="AX144" s="7"/>
      <c r="AY144" s="7"/>
      <c r="AZ144" s="7"/>
      <c r="BA144" s="7"/>
      <c r="BB144" s="7"/>
      <c r="BC144" s="7"/>
      <c r="BD144" s="55"/>
      <c r="BE144" s="55"/>
      <c r="BF144" s="7"/>
      <c r="BG144" s="7"/>
      <c r="BH144" s="7"/>
      <c r="BI144" s="7"/>
      <c r="BJ144" s="7"/>
      <c r="BK144" s="7"/>
      <c r="BL144" s="7"/>
      <c r="BM144" s="7"/>
      <c r="BN144" s="61"/>
      <c r="BO144" s="62"/>
      <c r="BP144" s="50"/>
      <c r="BQ144" s="20"/>
      <c r="BR144" s="7"/>
      <c r="BS144" s="7"/>
      <c r="BT144" s="7"/>
      <c r="BU144" s="7"/>
      <c r="BV144" s="55"/>
      <c r="BW144" s="7"/>
      <c r="BX144" s="55"/>
      <c r="BY144" s="7"/>
      <c r="BZ144" s="7"/>
      <c r="CA144" s="7"/>
      <c r="CB144" s="7"/>
      <c r="CC144" s="7"/>
      <c r="CD144" s="104"/>
      <c r="CE144" s="105"/>
      <c r="CF144" s="7"/>
      <c r="CG144" s="7"/>
      <c r="CH144" s="7"/>
      <c r="CI144" s="7"/>
      <c r="CJ144" s="7"/>
      <c r="CK144" s="7"/>
      <c r="CL144" s="7"/>
      <c r="CM144" s="7"/>
      <c r="CN144" s="7"/>
      <c r="CO144" s="7"/>
      <c r="CP144" s="55"/>
      <c r="CQ144" s="7"/>
      <c r="CR144" s="7"/>
      <c r="CS144" s="130"/>
      <c r="CT144" s="7"/>
      <c r="CU144" s="7"/>
      <c r="CV144" s="7"/>
      <c r="CW144" s="7"/>
      <c r="CX144" s="7"/>
      <c r="CY144" s="73"/>
      <c r="CZ144" s="7"/>
      <c r="DA144" s="7"/>
      <c r="DB144" s="7"/>
      <c r="DC144" s="48"/>
      <c r="DD144" s="7"/>
      <c r="DE144" s="7"/>
      <c r="DF144" s="7"/>
      <c r="DG144" s="7"/>
      <c r="DH144" s="7"/>
      <c r="DI144" s="7"/>
      <c r="DJ144" s="7"/>
      <c r="DK144" s="7"/>
      <c r="DL144" s="74"/>
      <c r="DM144" s="7"/>
      <c r="DN144" s="7"/>
      <c r="DO144" s="7"/>
      <c r="DP144" s="7"/>
      <c r="DQ144" s="58"/>
      <c r="DR144" s="7"/>
      <c r="DS144" s="7"/>
      <c r="DT144" s="7"/>
      <c r="DU144" s="73"/>
      <c r="DV144" s="73"/>
      <c r="DW144" s="7"/>
      <c r="DX144" s="7"/>
      <c r="DY144" s="7"/>
      <c r="DZ144" s="7"/>
      <c r="EA144" s="7"/>
      <c r="EB144" s="7"/>
      <c r="EC144" s="7"/>
      <c r="ED144" s="7"/>
      <c r="EE144" s="7"/>
      <c r="EF144" s="7"/>
      <c r="EG144" s="7"/>
      <c r="EH144" s="7"/>
      <c r="EI144" s="7"/>
      <c r="EJ144" s="7"/>
      <c r="EK144" s="7"/>
      <c r="EL144" s="7"/>
      <c r="EM144" s="7"/>
      <c r="EN144" s="19"/>
      <c r="EO144" s="7"/>
      <c r="EP144" s="7"/>
      <c r="EQ144" s="7"/>
      <c r="ER144" s="7"/>
      <c r="ES144" s="7"/>
      <c r="ET144" s="55"/>
      <c r="EU144" s="7"/>
      <c r="EV144" s="7"/>
      <c r="EW144" s="7"/>
      <c r="EX144" s="7"/>
      <c r="EY144" s="7"/>
      <c r="EZ144" s="7"/>
      <c r="FA144" s="7"/>
      <c r="FB144" s="7"/>
      <c r="FC144" s="55"/>
      <c r="FD144" s="55"/>
      <c r="FE144" s="55"/>
      <c r="FF144" s="7"/>
      <c r="FG144" s="7"/>
      <c r="FH144" s="7"/>
      <c r="FI144" s="7"/>
      <c r="FJ144" s="7"/>
      <c r="FK144" s="7"/>
      <c r="FL144" s="7"/>
      <c r="FM144" s="7"/>
      <c r="FN144" s="7"/>
      <c r="FO144" s="7"/>
      <c r="FP144" s="7"/>
      <c r="FQ144" s="7"/>
      <c r="FR144" s="7"/>
      <c r="FS144" s="77"/>
      <c r="FT144" s="30"/>
      <c r="FU144" s="7"/>
      <c r="FV144" s="55"/>
      <c r="FW144" s="55"/>
      <c r="FX144" s="7"/>
      <c r="FY144" s="7"/>
      <c r="FZ144" s="7"/>
      <c r="GA144" s="7"/>
      <c r="GB144" s="7"/>
      <c r="GC144" s="7"/>
      <c r="GD144" s="103"/>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7"/>
      <c r="HD144" s="7"/>
      <c r="HE144" s="7"/>
      <c r="HF144" s="7"/>
      <c r="HG144" s="7"/>
      <c r="HH144" s="7"/>
      <c r="HI144" s="7"/>
      <c r="HJ144" s="7"/>
      <c r="HK144" s="7"/>
      <c r="HL144" s="7"/>
      <c r="HM144" s="7"/>
      <c r="HN144" s="7"/>
      <c r="HO144" s="7"/>
      <c r="HP144" s="7"/>
      <c r="HQ144" s="7"/>
      <c r="HR144" s="7"/>
      <c r="HS144" s="7"/>
      <c r="HT144" s="7"/>
      <c r="HU144" s="7"/>
      <c r="HV144" s="7"/>
      <c r="HW144" s="7"/>
      <c r="HX144" s="7"/>
      <c r="HY144" s="7"/>
      <c r="HZ144" s="7"/>
      <c r="IA144" s="7"/>
      <c r="IB144" s="7"/>
      <c r="IC144" s="7"/>
      <c r="ID144" s="7"/>
      <c r="IE144" s="29"/>
      <c r="IF144" s="7"/>
      <c r="IG144" s="7"/>
      <c r="IH144" s="7"/>
      <c r="II144" s="7"/>
      <c r="IJ144" s="7"/>
      <c r="IK144" s="7"/>
      <c r="IL144" s="7"/>
      <c r="IM144" s="7"/>
      <c r="IN144" s="7"/>
      <c r="IO144" s="7"/>
      <c r="IP144" s="7"/>
      <c r="IQ144" s="7"/>
      <c r="IR144" s="7"/>
      <c r="IS144" s="7"/>
      <c r="IT144" s="55"/>
      <c r="IU144" s="7"/>
      <c r="IV144" s="7"/>
    </row>
    <row r="145" spans="1:256" s="11" customFormat="1" ht="12.75" customHeight="1">
      <c r="A145" s="19"/>
      <c r="B145" s="19"/>
      <c r="C145" s="178" t="s">
        <v>4300</v>
      </c>
      <c r="D145" s="19"/>
      <c r="E145" s="7"/>
      <c r="F145" s="7"/>
      <c r="G145" s="7"/>
      <c r="H145" s="7"/>
      <c r="I145" s="8"/>
      <c r="J145" s="19" t="str">
        <f t="shared" ref="J145:J151" ca="1" si="4">IF(F145="Head",CELL("contents",D145),"")</f>
        <v/>
      </c>
      <c r="K145" s="7"/>
      <c r="L145" s="7"/>
      <c r="M145" s="7"/>
      <c r="N145" s="7"/>
      <c r="O145" s="7"/>
      <c r="P145" s="7"/>
      <c r="Q145" s="29"/>
      <c r="R145" s="30"/>
      <c r="S145" s="7"/>
      <c r="T145" s="7"/>
      <c r="U145" s="31"/>
      <c r="V145" s="7"/>
      <c r="W145" s="7"/>
      <c r="X145" s="7"/>
      <c r="Y145" s="7"/>
      <c r="Z145" s="7"/>
      <c r="AA145" s="7"/>
      <c r="AB145" s="7"/>
      <c r="AC145" s="7"/>
      <c r="AD145" s="7"/>
      <c r="AE145" s="7"/>
      <c r="AF145" s="7"/>
      <c r="AG145" s="7"/>
      <c r="AH145" s="7"/>
      <c r="AI145" s="7"/>
      <c r="AJ145" s="122"/>
      <c r="AK145" s="41"/>
      <c r="AL145" s="52"/>
      <c r="AM145" s="20"/>
      <c r="AN145" s="20"/>
      <c r="AO145" s="20"/>
      <c r="AP145" s="20"/>
      <c r="AQ145" s="7"/>
      <c r="AR145" s="7"/>
      <c r="AS145" s="7"/>
      <c r="AT145" s="7"/>
      <c r="AU145" s="7"/>
      <c r="AV145" s="7"/>
      <c r="AW145" s="7"/>
      <c r="AX145" s="7"/>
      <c r="AY145" s="7"/>
      <c r="AZ145" s="7"/>
      <c r="BA145" s="7"/>
      <c r="BB145" s="7"/>
      <c r="BC145" s="7"/>
      <c r="BD145" s="55"/>
      <c r="BE145" s="55"/>
      <c r="BF145" s="7"/>
      <c r="BG145" s="7"/>
      <c r="BH145" s="7"/>
      <c r="BI145" s="7"/>
      <c r="BJ145" s="7"/>
      <c r="BK145" s="7"/>
      <c r="BL145" s="7"/>
      <c r="BM145" s="7"/>
      <c r="BN145" s="61"/>
      <c r="BO145" s="62"/>
      <c r="BP145" s="50"/>
      <c r="BQ145" s="20"/>
      <c r="BR145" s="7"/>
      <c r="BS145" s="7"/>
      <c r="BT145" s="7"/>
      <c r="BU145" s="7"/>
      <c r="BV145" s="55"/>
      <c r="BW145" s="7"/>
      <c r="BX145" s="55"/>
      <c r="BY145" s="7"/>
      <c r="BZ145" s="7"/>
      <c r="CA145" s="7"/>
      <c r="CB145" s="7"/>
      <c r="CC145" s="7"/>
      <c r="CD145" s="104"/>
      <c r="CE145" s="105"/>
      <c r="CF145" s="7"/>
      <c r="CG145" s="7"/>
      <c r="CH145" s="7"/>
      <c r="CI145" s="7"/>
      <c r="CJ145" s="7"/>
      <c r="CK145" s="7"/>
      <c r="CL145" s="7"/>
      <c r="CM145" s="7"/>
      <c r="CN145" s="7"/>
      <c r="CO145" s="7"/>
      <c r="CP145" s="55"/>
      <c r="CQ145" s="7"/>
      <c r="CR145" s="7"/>
      <c r="CS145" s="130"/>
      <c r="CT145" s="7"/>
      <c r="CU145" s="7"/>
      <c r="CV145" s="7"/>
      <c r="CW145" s="7"/>
      <c r="CX145" s="7"/>
      <c r="CY145" s="73"/>
      <c r="CZ145" s="7"/>
      <c r="DA145" s="7"/>
      <c r="DB145" s="7"/>
      <c r="DC145" s="48"/>
      <c r="DD145" s="7"/>
      <c r="DE145" s="7"/>
      <c r="DF145" s="7"/>
      <c r="DG145" s="7"/>
      <c r="DH145" s="7"/>
      <c r="DI145" s="7"/>
      <c r="DJ145" s="7"/>
      <c r="DK145" s="7"/>
      <c r="DL145" s="74"/>
      <c r="DM145" s="7"/>
      <c r="DN145" s="7"/>
      <c r="DO145" s="7"/>
      <c r="DP145" s="7"/>
      <c r="DQ145" s="58"/>
      <c r="DR145" s="7"/>
      <c r="DS145" s="7"/>
      <c r="DT145" s="7"/>
      <c r="DU145" s="73"/>
      <c r="DV145" s="73"/>
      <c r="DW145" s="7"/>
      <c r="DX145" s="7"/>
      <c r="DY145" s="7"/>
      <c r="DZ145" s="7"/>
      <c r="EA145" s="7"/>
      <c r="EB145" s="7"/>
      <c r="EC145" s="7"/>
      <c r="ED145" s="7"/>
      <c r="EE145" s="7"/>
      <c r="EF145" s="7"/>
      <c r="EG145" s="7"/>
      <c r="EH145" s="7"/>
      <c r="EI145" s="7"/>
      <c r="EJ145" s="7"/>
      <c r="EK145" s="7"/>
      <c r="EL145" s="7"/>
      <c r="EM145" s="7"/>
      <c r="EN145" s="19"/>
      <c r="EO145" s="7"/>
      <c r="EP145" s="7"/>
      <c r="EQ145" s="7"/>
      <c r="ER145" s="7"/>
      <c r="ES145" s="7"/>
      <c r="ET145" s="55"/>
      <c r="EU145" s="7"/>
      <c r="EV145" s="7"/>
      <c r="EW145" s="7"/>
      <c r="EX145" s="7"/>
      <c r="EY145" s="7"/>
      <c r="EZ145" s="7"/>
      <c r="FA145" s="7"/>
      <c r="FB145" s="7"/>
      <c r="FC145" s="55"/>
      <c r="FD145" s="55"/>
      <c r="FE145" s="55"/>
      <c r="FF145" s="7"/>
      <c r="FG145" s="7"/>
      <c r="FH145" s="7"/>
      <c r="FI145" s="7"/>
      <c r="FJ145" s="7"/>
      <c r="FK145" s="7"/>
      <c r="FL145" s="7"/>
      <c r="FM145" s="7"/>
      <c r="FN145" s="7"/>
      <c r="FO145" s="7"/>
      <c r="FP145" s="7"/>
      <c r="FQ145" s="7"/>
      <c r="FR145" s="7"/>
      <c r="FS145" s="77"/>
      <c r="FT145" s="30"/>
      <c r="FU145" s="7"/>
      <c r="FV145" s="55"/>
      <c r="FW145" s="55"/>
      <c r="FX145" s="7"/>
      <c r="FY145" s="7"/>
      <c r="FZ145" s="7"/>
      <c r="GA145" s="7"/>
      <c r="GB145" s="7"/>
      <c r="GC145" s="7"/>
      <c r="GD145" s="103"/>
      <c r="GE145" s="7"/>
      <c r="GF145" s="7"/>
      <c r="GG145" s="7"/>
      <c r="GH145" s="7"/>
      <c r="GI145" s="7"/>
      <c r="GJ145" s="7"/>
      <c r="GK145" s="7"/>
      <c r="GL145" s="7"/>
      <c r="GM145" s="7"/>
      <c r="GN145" s="7"/>
      <c r="GO145" s="7"/>
      <c r="GP145" s="7"/>
      <c r="GQ145" s="7"/>
      <c r="GR145" s="7"/>
      <c r="GS145" s="7"/>
      <c r="GT145" s="7"/>
      <c r="GU145" s="7"/>
      <c r="GV145" s="7"/>
      <c r="GW145" s="7"/>
      <c r="GX145" s="7"/>
      <c r="GY145" s="7"/>
      <c r="GZ145" s="7"/>
      <c r="HA145" s="7"/>
      <c r="HB145" s="7"/>
      <c r="HC145" s="7"/>
      <c r="HD145" s="7"/>
      <c r="HE145" s="7"/>
      <c r="HF145" s="7"/>
      <c r="HG145" s="7"/>
      <c r="HH145" s="7"/>
      <c r="HI145" s="7"/>
      <c r="HJ145" s="7"/>
      <c r="HK145" s="7"/>
      <c r="HL145" s="7"/>
      <c r="HM145" s="7"/>
      <c r="HN145" s="7"/>
      <c r="HO145" s="7"/>
      <c r="HP145" s="7"/>
      <c r="HQ145" s="7"/>
      <c r="HR145" s="7"/>
      <c r="HS145" s="7"/>
      <c r="HT145" s="7"/>
      <c r="HU145" s="7"/>
      <c r="HV145" s="7"/>
      <c r="HW145" s="7"/>
      <c r="HX145" s="7"/>
      <c r="HY145" s="7"/>
      <c r="HZ145" s="7"/>
      <c r="IA145" s="7"/>
      <c r="IB145" s="7"/>
      <c r="IC145" s="7"/>
      <c r="ID145" s="7"/>
      <c r="IE145" s="29"/>
      <c r="IF145" s="7"/>
      <c r="IG145" s="7"/>
      <c r="IH145" s="7"/>
      <c r="II145" s="7"/>
      <c r="IJ145" s="7"/>
      <c r="IK145" s="7"/>
      <c r="IL145" s="7"/>
      <c r="IM145" s="7"/>
      <c r="IN145" s="7"/>
      <c r="IO145" s="7"/>
      <c r="IP145" s="7"/>
      <c r="IQ145" s="7"/>
      <c r="IR145" s="7"/>
      <c r="IS145" s="7"/>
      <c r="IT145" s="55"/>
      <c r="IU145" s="7"/>
      <c r="IV145" s="7"/>
    </row>
    <row r="146" spans="1:256" s="11" customFormat="1" ht="12.75" customHeight="1">
      <c r="A146" s="19"/>
      <c r="B146" s="19"/>
      <c r="C146" s="178" t="s">
        <v>4297</v>
      </c>
      <c r="D146" s="19"/>
      <c r="E146" s="7"/>
      <c r="F146" s="7"/>
      <c r="G146" s="7"/>
      <c r="H146" s="7"/>
      <c r="I146" s="8"/>
      <c r="J146" s="19" t="str">
        <f t="shared" ca="1" si="4"/>
        <v/>
      </c>
      <c r="K146" s="7"/>
      <c r="L146" s="7"/>
      <c r="M146" s="7"/>
      <c r="N146" s="7"/>
      <c r="O146" s="7"/>
      <c r="P146" s="7"/>
      <c r="Q146" s="29"/>
      <c r="R146" s="30"/>
      <c r="S146" s="7"/>
      <c r="T146" s="7"/>
      <c r="U146" s="31"/>
      <c r="V146" s="7"/>
      <c r="W146" s="7"/>
      <c r="X146" s="7"/>
      <c r="Y146" s="7"/>
      <c r="Z146" s="7"/>
      <c r="AA146" s="7"/>
      <c r="AB146" s="7"/>
      <c r="AC146" s="7"/>
      <c r="AD146" s="7"/>
      <c r="AE146" s="7"/>
      <c r="AF146" s="7"/>
      <c r="AG146" s="7"/>
      <c r="AH146" s="7"/>
      <c r="AI146" s="7"/>
      <c r="AJ146" s="122"/>
      <c r="AK146" s="41"/>
      <c r="AL146" s="52"/>
      <c r="AM146" s="20"/>
      <c r="AN146" s="20"/>
      <c r="AO146" s="20"/>
      <c r="AP146" s="20"/>
      <c r="AQ146" s="7"/>
      <c r="AR146" s="7"/>
      <c r="AS146" s="7"/>
      <c r="AT146" s="7"/>
      <c r="AU146" s="7"/>
      <c r="AV146" s="7"/>
      <c r="AW146" s="7"/>
      <c r="AX146" s="7"/>
      <c r="AY146" s="7"/>
      <c r="AZ146" s="7"/>
      <c r="BA146" s="7"/>
      <c r="BB146" s="7"/>
      <c r="BC146" s="7"/>
      <c r="BD146" s="55"/>
      <c r="BE146" s="55"/>
      <c r="BF146" s="7"/>
      <c r="BG146" s="7"/>
      <c r="BH146" s="7"/>
      <c r="BI146" s="7"/>
      <c r="BJ146" s="7"/>
      <c r="BK146" s="7"/>
      <c r="BL146" s="7"/>
      <c r="BM146" s="7"/>
      <c r="BN146" s="61"/>
      <c r="BO146" s="62"/>
      <c r="BP146" s="50"/>
      <c r="BQ146" s="20"/>
      <c r="BR146" s="7"/>
      <c r="BS146" s="7"/>
      <c r="BT146" s="7"/>
      <c r="BU146" s="7"/>
      <c r="BV146" s="55"/>
      <c r="BW146" s="7"/>
      <c r="BX146" s="55"/>
      <c r="BY146" s="7"/>
      <c r="BZ146" s="7"/>
      <c r="CA146" s="7"/>
      <c r="CB146" s="7"/>
      <c r="CC146" s="7"/>
      <c r="CD146" s="104"/>
      <c r="CE146" s="105"/>
      <c r="CF146" s="7"/>
      <c r="CG146" s="7"/>
      <c r="CH146" s="7"/>
      <c r="CI146" s="7"/>
      <c r="CJ146" s="7"/>
      <c r="CK146" s="7"/>
      <c r="CL146" s="7"/>
      <c r="CM146" s="7"/>
      <c r="CN146" s="7"/>
      <c r="CO146" s="7"/>
      <c r="CP146" s="55"/>
      <c r="CQ146" s="7"/>
      <c r="CR146" s="7"/>
      <c r="CS146" s="130"/>
      <c r="CT146" s="7"/>
      <c r="CU146" s="7"/>
      <c r="CV146" s="7"/>
      <c r="CW146" s="7"/>
      <c r="CX146" s="7"/>
      <c r="CY146" s="73"/>
      <c r="CZ146" s="7"/>
      <c r="DA146" s="7"/>
      <c r="DB146" s="7"/>
      <c r="DC146" s="48"/>
      <c r="DD146" s="7"/>
      <c r="DE146" s="7"/>
      <c r="DF146" s="7"/>
      <c r="DG146" s="7"/>
      <c r="DH146" s="7"/>
      <c r="DI146" s="7"/>
      <c r="DJ146" s="7"/>
      <c r="DK146" s="7"/>
      <c r="DL146" s="74"/>
      <c r="DM146" s="7"/>
      <c r="DN146" s="7"/>
      <c r="DO146" s="7"/>
      <c r="DP146" s="7"/>
      <c r="DQ146" s="58"/>
      <c r="DR146" s="7"/>
      <c r="DS146" s="7"/>
      <c r="DT146" s="7"/>
      <c r="DU146" s="73"/>
      <c r="DV146" s="73"/>
      <c r="DW146" s="7"/>
      <c r="DX146" s="7"/>
      <c r="DY146" s="7"/>
      <c r="DZ146" s="7"/>
      <c r="EA146" s="7"/>
      <c r="EB146" s="7"/>
      <c r="EC146" s="7"/>
      <c r="ED146" s="7"/>
      <c r="EE146" s="7"/>
      <c r="EF146" s="7"/>
      <c r="EG146" s="7"/>
      <c r="EH146" s="7"/>
      <c r="EI146" s="7"/>
      <c r="EJ146" s="7"/>
      <c r="EK146" s="7"/>
      <c r="EL146" s="7"/>
      <c r="EM146" s="7"/>
      <c r="EN146" s="19"/>
      <c r="EO146" s="7"/>
      <c r="EP146" s="7"/>
      <c r="EQ146" s="7"/>
      <c r="ER146" s="7"/>
      <c r="ES146" s="7"/>
      <c r="ET146" s="55"/>
      <c r="EU146" s="7"/>
      <c r="EV146" s="7"/>
      <c r="EW146" s="7"/>
      <c r="EX146" s="7"/>
      <c r="EY146" s="7"/>
      <c r="EZ146" s="7"/>
      <c r="FA146" s="7"/>
      <c r="FB146" s="7"/>
      <c r="FC146" s="55"/>
      <c r="FD146" s="55"/>
      <c r="FE146" s="55"/>
      <c r="FF146" s="7"/>
      <c r="FG146" s="7"/>
      <c r="FH146" s="7"/>
      <c r="FI146" s="7"/>
      <c r="FJ146" s="7"/>
      <c r="FK146" s="7"/>
      <c r="FL146" s="7"/>
      <c r="FM146" s="7"/>
      <c r="FN146" s="7"/>
      <c r="FO146" s="7"/>
      <c r="FP146" s="7"/>
      <c r="FQ146" s="7"/>
      <c r="FR146" s="7"/>
      <c r="FS146" s="77"/>
      <c r="FT146" s="30"/>
      <c r="FU146" s="7"/>
      <c r="FV146" s="55"/>
      <c r="FW146" s="55"/>
      <c r="FX146" s="7"/>
      <c r="FY146" s="7"/>
      <c r="FZ146" s="7"/>
      <c r="GA146" s="7"/>
      <c r="GB146" s="7"/>
      <c r="GC146" s="7"/>
      <c r="GD146" s="103"/>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7"/>
      <c r="HD146" s="7"/>
      <c r="HE146" s="7"/>
      <c r="HF146" s="7"/>
      <c r="HG146" s="7"/>
      <c r="HH146" s="7"/>
      <c r="HI146" s="7"/>
      <c r="HJ146" s="7"/>
      <c r="HK146" s="7"/>
      <c r="HL146" s="7"/>
      <c r="HM146" s="7"/>
      <c r="HN146" s="7"/>
      <c r="HO146" s="7"/>
      <c r="HP146" s="7"/>
      <c r="HQ146" s="7"/>
      <c r="HR146" s="7"/>
      <c r="HS146" s="7"/>
      <c r="HT146" s="7"/>
      <c r="HU146" s="7"/>
      <c r="HV146" s="7"/>
      <c r="HW146" s="7"/>
      <c r="HX146" s="7"/>
      <c r="HY146" s="7"/>
      <c r="HZ146" s="7"/>
      <c r="IA146" s="7"/>
      <c r="IB146" s="7"/>
      <c r="IC146" s="7"/>
      <c r="ID146" s="7"/>
      <c r="IE146" s="29"/>
      <c r="IF146" s="7"/>
      <c r="IG146" s="7"/>
      <c r="IH146" s="7"/>
      <c r="II146" s="7"/>
      <c r="IJ146" s="7"/>
      <c r="IK146" s="7"/>
      <c r="IL146" s="7"/>
      <c r="IM146" s="7"/>
      <c r="IN146" s="7"/>
      <c r="IO146" s="7"/>
      <c r="IP146" s="7"/>
      <c r="IQ146" s="7"/>
      <c r="IR146" s="7"/>
      <c r="IS146" s="7"/>
      <c r="IT146" s="55"/>
      <c r="IU146" s="7"/>
      <c r="IV146" s="7"/>
    </row>
    <row r="147" spans="1:256" s="11" customFormat="1" ht="12.75" customHeight="1">
      <c r="A147" s="19"/>
      <c r="B147" s="19"/>
      <c r="C147" s="178" t="s">
        <v>4301</v>
      </c>
      <c r="D147" s="19"/>
      <c r="E147" s="7"/>
      <c r="F147" s="7"/>
      <c r="G147" s="7"/>
      <c r="H147" s="7"/>
      <c r="I147" s="8"/>
      <c r="J147" s="19" t="str">
        <f t="shared" ca="1" si="4"/>
        <v/>
      </c>
      <c r="K147" s="7"/>
      <c r="L147" s="7"/>
      <c r="M147" s="7"/>
      <c r="N147" s="7"/>
      <c r="O147" s="7"/>
      <c r="P147" s="7"/>
      <c r="Q147" s="29"/>
      <c r="R147" s="30"/>
      <c r="S147" s="7"/>
      <c r="T147" s="7"/>
      <c r="U147" s="31"/>
      <c r="V147" s="7"/>
      <c r="W147" s="7"/>
      <c r="X147" s="7"/>
      <c r="Y147" s="7"/>
      <c r="Z147" s="7"/>
      <c r="AA147" s="7"/>
      <c r="AB147" s="7"/>
      <c r="AC147" s="7"/>
      <c r="AD147" s="7"/>
      <c r="AE147" s="7"/>
      <c r="AF147" s="7"/>
      <c r="AG147" s="7"/>
      <c r="AH147" s="7"/>
      <c r="AI147" s="7"/>
      <c r="AJ147" s="122"/>
      <c r="AK147" s="41"/>
      <c r="AL147" s="52"/>
      <c r="AM147" s="20"/>
      <c r="AN147" s="20"/>
      <c r="AO147" s="20"/>
      <c r="AP147" s="20"/>
      <c r="AQ147" s="7"/>
      <c r="AR147" s="7"/>
      <c r="AS147" s="7"/>
      <c r="AT147" s="7"/>
      <c r="AU147" s="7"/>
      <c r="AV147" s="7"/>
      <c r="AW147" s="7"/>
      <c r="AX147" s="7"/>
      <c r="AY147" s="7"/>
      <c r="AZ147" s="7"/>
      <c r="BA147" s="7"/>
      <c r="BB147" s="7"/>
      <c r="BC147" s="7"/>
      <c r="BD147" s="55"/>
      <c r="BE147" s="55"/>
      <c r="BF147" s="7"/>
      <c r="BG147" s="7"/>
      <c r="BH147" s="7"/>
      <c r="BI147" s="7"/>
      <c r="BJ147" s="7"/>
      <c r="BK147" s="7"/>
      <c r="BL147" s="7"/>
      <c r="BM147" s="7"/>
      <c r="BN147" s="61"/>
      <c r="BO147" s="62"/>
      <c r="BP147" s="50"/>
      <c r="BQ147" s="20"/>
      <c r="BR147" s="7"/>
      <c r="BS147" s="7"/>
      <c r="BT147" s="7"/>
      <c r="BU147" s="7"/>
      <c r="BV147" s="55"/>
      <c r="BW147" s="7"/>
      <c r="BX147" s="55"/>
      <c r="BY147" s="7"/>
      <c r="BZ147" s="7"/>
      <c r="CA147" s="7"/>
      <c r="CB147" s="7"/>
      <c r="CC147" s="7"/>
      <c r="CD147" s="104"/>
      <c r="CE147" s="105"/>
      <c r="CF147" s="7"/>
      <c r="CG147" s="7"/>
      <c r="CH147" s="7"/>
      <c r="CI147" s="7"/>
      <c r="CJ147" s="7"/>
      <c r="CK147" s="7"/>
      <c r="CL147" s="7"/>
      <c r="CM147" s="7"/>
      <c r="CN147" s="7"/>
      <c r="CO147" s="7"/>
      <c r="CP147" s="55"/>
      <c r="CQ147" s="7"/>
      <c r="CR147" s="7"/>
      <c r="CS147" s="130"/>
      <c r="CT147" s="7"/>
      <c r="CU147" s="7"/>
      <c r="CV147" s="7"/>
      <c r="CW147" s="7"/>
      <c r="CX147" s="7"/>
      <c r="CY147" s="73"/>
      <c r="CZ147" s="7"/>
      <c r="DA147" s="7"/>
      <c r="DB147" s="7"/>
      <c r="DC147" s="48"/>
      <c r="DD147" s="7"/>
      <c r="DE147" s="7"/>
      <c r="DF147" s="7"/>
      <c r="DG147" s="7"/>
      <c r="DH147" s="7"/>
      <c r="DI147" s="7"/>
      <c r="DJ147" s="7"/>
      <c r="DK147" s="7"/>
      <c r="DL147" s="74"/>
      <c r="DM147" s="7"/>
      <c r="DN147" s="7"/>
      <c r="DO147" s="7"/>
      <c r="DP147" s="7"/>
      <c r="DQ147" s="58"/>
      <c r="DR147" s="7"/>
      <c r="DS147" s="7"/>
      <c r="DT147" s="7"/>
      <c r="DU147" s="73"/>
      <c r="DV147" s="73"/>
      <c r="DW147" s="7"/>
      <c r="DX147" s="7"/>
      <c r="DY147" s="7"/>
      <c r="DZ147" s="7"/>
      <c r="EA147" s="7"/>
      <c r="EB147" s="7"/>
      <c r="EC147" s="7"/>
      <c r="ED147" s="7"/>
      <c r="EE147" s="7"/>
      <c r="EF147" s="7"/>
      <c r="EG147" s="7"/>
      <c r="EH147" s="7"/>
      <c r="EI147" s="7"/>
      <c r="EJ147" s="7"/>
      <c r="EK147" s="7"/>
      <c r="EL147" s="7"/>
      <c r="EM147" s="7"/>
      <c r="EN147" s="19"/>
      <c r="EO147" s="7"/>
      <c r="EP147" s="7"/>
      <c r="EQ147" s="7"/>
      <c r="ER147" s="7"/>
      <c r="ES147" s="7"/>
      <c r="ET147" s="55"/>
      <c r="EU147" s="7"/>
      <c r="EV147" s="7"/>
      <c r="EW147" s="7"/>
      <c r="EX147" s="7"/>
      <c r="EY147" s="7"/>
      <c r="EZ147" s="7"/>
      <c r="FA147" s="7"/>
      <c r="FB147" s="7"/>
      <c r="FC147" s="55"/>
      <c r="FD147" s="55"/>
      <c r="FE147" s="55"/>
      <c r="FF147" s="7"/>
      <c r="FG147" s="7"/>
      <c r="FH147" s="7"/>
      <c r="FI147" s="7"/>
      <c r="FJ147" s="7"/>
      <c r="FK147" s="7"/>
      <c r="FL147" s="7"/>
      <c r="FM147" s="7"/>
      <c r="FN147" s="7"/>
      <c r="FO147" s="7"/>
      <c r="FP147" s="7"/>
      <c r="FQ147" s="7"/>
      <c r="FR147" s="7"/>
      <c r="FS147" s="77"/>
      <c r="FT147" s="30"/>
      <c r="FU147" s="7"/>
      <c r="FV147" s="55"/>
      <c r="FW147" s="55"/>
      <c r="FX147" s="7"/>
      <c r="FY147" s="7"/>
      <c r="FZ147" s="7"/>
      <c r="GA147" s="7"/>
      <c r="GB147" s="7"/>
      <c r="GC147" s="7"/>
      <c r="GD147" s="103"/>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c r="IB147" s="7"/>
      <c r="IC147" s="7"/>
      <c r="ID147" s="7"/>
      <c r="IE147" s="29"/>
      <c r="IF147" s="7"/>
      <c r="IG147" s="7"/>
      <c r="IH147" s="7"/>
      <c r="II147" s="7"/>
      <c r="IJ147" s="7"/>
      <c r="IK147" s="7"/>
      <c r="IL147" s="7"/>
      <c r="IM147" s="7"/>
      <c r="IN147" s="7"/>
      <c r="IO147" s="7"/>
      <c r="IP147" s="7"/>
      <c r="IQ147" s="7"/>
      <c r="IR147" s="7"/>
      <c r="IS147" s="7"/>
      <c r="IT147" s="55"/>
      <c r="IU147" s="7"/>
      <c r="IV147" s="7"/>
    </row>
    <row r="148" spans="1:256" s="11" customFormat="1" ht="12.75" customHeight="1">
      <c r="A148" s="19"/>
      <c r="B148" s="19"/>
      <c r="C148" s="178"/>
      <c r="D148" s="19"/>
      <c r="E148" s="7"/>
      <c r="F148" s="7"/>
      <c r="G148" s="7"/>
      <c r="H148" s="7"/>
      <c r="I148" s="8"/>
      <c r="J148" s="19" t="str">
        <f t="shared" ca="1" si="4"/>
        <v/>
      </c>
      <c r="K148" s="7"/>
      <c r="L148" s="7"/>
      <c r="M148" s="7"/>
      <c r="N148" s="7"/>
      <c r="O148" s="7"/>
      <c r="P148" s="7"/>
      <c r="Q148" s="29"/>
      <c r="R148" s="30"/>
      <c r="S148" s="7"/>
      <c r="T148" s="7"/>
      <c r="U148" s="31"/>
      <c r="V148" s="7"/>
      <c r="W148" s="7"/>
      <c r="X148" s="7"/>
      <c r="Y148" s="7"/>
      <c r="Z148" s="7"/>
      <c r="AA148" s="7"/>
      <c r="AB148" s="7"/>
      <c r="AC148" s="7"/>
      <c r="AD148" s="7"/>
      <c r="AE148" s="7"/>
      <c r="AF148" s="7"/>
      <c r="AG148" s="7"/>
      <c r="AH148" s="7"/>
      <c r="AI148" s="7"/>
      <c r="AJ148" s="122"/>
      <c r="AK148" s="41"/>
      <c r="AL148" s="52"/>
      <c r="AM148" s="20"/>
      <c r="AN148" s="20"/>
      <c r="AO148" s="20"/>
      <c r="AP148" s="20"/>
      <c r="AQ148" s="7"/>
      <c r="AR148" s="7"/>
      <c r="AS148" s="7"/>
      <c r="AT148" s="7"/>
      <c r="AU148" s="7"/>
      <c r="AV148" s="7"/>
      <c r="AW148" s="7"/>
      <c r="AX148" s="7"/>
      <c r="AY148" s="7"/>
      <c r="AZ148" s="7"/>
      <c r="BA148" s="7"/>
      <c r="BB148" s="7"/>
      <c r="BC148" s="7"/>
      <c r="BD148" s="55"/>
      <c r="BE148" s="55"/>
      <c r="BF148" s="7"/>
      <c r="BG148" s="7"/>
      <c r="BH148" s="7"/>
      <c r="BI148" s="7"/>
      <c r="BJ148" s="7"/>
      <c r="BK148" s="7"/>
      <c r="BL148" s="7"/>
      <c r="BM148" s="7"/>
      <c r="BN148" s="61"/>
      <c r="BO148" s="62"/>
      <c r="BP148" s="50"/>
      <c r="BQ148" s="20"/>
      <c r="BR148" s="7"/>
      <c r="BS148" s="7"/>
      <c r="BT148" s="7"/>
      <c r="BU148" s="7"/>
      <c r="BV148" s="55"/>
      <c r="BW148" s="7"/>
      <c r="BX148" s="55"/>
      <c r="BY148" s="7"/>
      <c r="BZ148" s="7"/>
      <c r="CA148" s="7"/>
      <c r="CB148" s="7"/>
      <c r="CC148" s="7"/>
      <c r="CD148" s="104"/>
      <c r="CE148" s="105"/>
      <c r="CF148" s="7"/>
      <c r="CG148" s="7"/>
      <c r="CH148" s="7"/>
      <c r="CI148" s="7"/>
      <c r="CJ148" s="7"/>
      <c r="CK148" s="7"/>
      <c r="CL148" s="7"/>
      <c r="CM148" s="7"/>
      <c r="CN148" s="7"/>
      <c r="CO148" s="7"/>
      <c r="CP148" s="55"/>
      <c r="CQ148" s="7"/>
      <c r="CR148" s="7"/>
      <c r="CS148" s="130"/>
      <c r="CT148" s="7"/>
      <c r="CU148" s="7"/>
      <c r="CV148" s="7"/>
      <c r="CW148" s="7"/>
      <c r="CX148" s="7"/>
      <c r="CY148" s="73"/>
      <c r="CZ148" s="7"/>
      <c r="DA148" s="7"/>
      <c r="DB148" s="7"/>
      <c r="DC148" s="48"/>
      <c r="DD148" s="7"/>
      <c r="DE148" s="7"/>
      <c r="DF148" s="7"/>
      <c r="DG148" s="7"/>
      <c r="DH148" s="7"/>
      <c r="DI148" s="7"/>
      <c r="DJ148" s="7"/>
      <c r="DK148" s="7"/>
      <c r="DL148" s="74"/>
      <c r="DM148" s="7"/>
      <c r="DN148" s="7"/>
      <c r="DO148" s="7"/>
      <c r="DP148" s="7"/>
      <c r="DQ148" s="58"/>
      <c r="DR148" s="7"/>
      <c r="DS148" s="7"/>
      <c r="DT148" s="7"/>
      <c r="DU148" s="73"/>
      <c r="DV148" s="73"/>
      <c r="DW148" s="7"/>
      <c r="DX148" s="7"/>
      <c r="DY148" s="7"/>
      <c r="DZ148" s="7"/>
      <c r="EA148" s="7"/>
      <c r="EB148" s="7"/>
      <c r="EC148" s="7"/>
      <c r="ED148" s="7"/>
      <c r="EE148" s="7"/>
      <c r="EF148" s="7"/>
      <c r="EG148" s="7"/>
      <c r="EH148" s="7"/>
      <c r="EI148" s="7"/>
      <c r="EJ148" s="7"/>
      <c r="EK148" s="7"/>
      <c r="EL148" s="7"/>
      <c r="EM148" s="7"/>
      <c r="EN148" s="19"/>
      <c r="EO148" s="7"/>
      <c r="EP148" s="7"/>
      <c r="EQ148" s="7"/>
      <c r="ER148" s="7"/>
      <c r="ES148" s="7"/>
      <c r="ET148" s="55"/>
      <c r="EU148" s="7"/>
      <c r="EV148" s="7"/>
      <c r="EW148" s="7"/>
      <c r="EX148" s="7"/>
      <c r="EY148" s="7"/>
      <c r="EZ148" s="7"/>
      <c r="FA148" s="7"/>
      <c r="FB148" s="7"/>
      <c r="FC148" s="55"/>
      <c r="FD148" s="55"/>
      <c r="FE148" s="55"/>
      <c r="FF148" s="7"/>
      <c r="FG148" s="7"/>
      <c r="FH148" s="7"/>
      <c r="FI148" s="7"/>
      <c r="FJ148" s="7"/>
      <c r="FK148" s="7"/>
      <c r="FL148" s="7"/>
      <c r="FM148" s="7"/>
      <c r="FN148" s="7"/>
      <c r="FO148" s="7"/>
      <c r="FP148" s="7"/>
      <c r="FQ148" s="7"/>
      <c r="FR148" s="7"/>
      <c r="FS148" s="77"/>
      <c r="FT148" s="30"/>
      <c r="FU148" s="7"/>
      <c r="FV148" s="55"/>
      <c r="FW148" s="55"/>
      <c r="FX148" s="7"/>
      <c r="FY148" s="7"/>
      <c r="FZ148" s="7"/>
      <c r="GA148" s="7"/>
      <c r="GB148" s="7"/>
      <c r="GC148" s="7"/>
      <c r="GD148" s="103"/>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7"/>
      <c r="HD148" s="7"/>
      <c r="HE148" s="7"/>
      <c r="HF148" s="7"/>
      <c r="HG148" s="7"/>
      <c r="HH148" s="7"/>
      <c r="HI148" s="7"/>
      <c r="HJ148" s="7"/>
      <c r="HK148" s="7"/>
      <c r="HL148" s="7"/>
      <c r="HM148" s="7"/>
      <c r="HN148" s="7"/>
      <c r="HO148" s="7"/>
      <c r="HP148" s="7"/>
      <c r="HQ148" s="7"/>
      <c r="HR148" s="7"/>
      <c r="HS148" s="7"/>
      <c r="HT148" s="7"/>
      <c r="HU148" s="7"/>
      <c r="HV148" s="7"/>
      <c r="HW148" s="7"/>
      <c r="HX148" s="7"/>
      <c r="HY148" s="7"/>
      <c r="HZ148" s="7"/>
      <c r="IA148" s="7"/>
      <c r="IB148" s="7"/>
      <c r="IC148" s="7"/>
      <c r="ID148" s="7"/>
      <c r="IE148" s="29"/>
      <c r="IF148" s="7"/>
      <c r="IG148" s="7"/>
      <c r="IH148" s="7"/>
      <c r="II148" s="7"/>
      <c r="IJ148" s="7"/>
      <c r="IK148" s="7"/>
      <c r="IL148" s="7"/>
      <c r="IM148" s="7"/>
      <c r="IN148" s="7"/>
      <c r="IO148" s="7"/>
      <c r="IP148" s="7"/>
      <c r="IQ148" s="7"/>
      <c r="IR148" s="7"/>
      <c r="IS148" s="7"/>
      <c r="IT148" s="55"/>
      <c r="IU148" s="7"/>
      <c r="IV148" s="7"/>
    </row>
    <row r="149" spans="1:256" s="11" customFormat="1" ht="12.75" customHeight="1">
      <c r="A149" s="19"/>
      <c r="B149" s="19"/>
      <c r="C149" s="178" t="s">
        <v>4353</v>
      </c>
      <c r="D149" s="19"/>
      <c r="E149" s="7"/>
      <c r="F149" s="7"/>
      <c r="G149" s="7"/>
      <c r="H149" s="7"/>
      <c r="I149" s="8"/>
      <c r="J149" s="19" t="str">
        <f t="shared" ca="1" si="4"/>
        <v/>
      </c>
      <c r="K149" s="7"/>
      <c r="L149" s="7"/>
      <c r="M149" s="7"/>
      <c r="N149" s="7"/>
      <c r="O149" s="7"/>
      <c r="P149" s="7"/>
      <c r="Q149" s="29"/>
      <c r="R149" s="30"/>
      <c r="S149" s="7"/>
      <c r="T149" s="7"/>
      <c r="U149" s="31"/>
      <c r="V149" s="7"/>
      <c r="W149" s="7"/>
      <c r="X149" s="7"/>
      <c r="Y149" s="7"/>
      <c r="Z149" s="7"/>
      <c r="AA149" s="7"/>
      <c r="AB149" s="7"/>
      <c r="AC149" s="7"/>
      <c r="AD149" s="7"/>
      <c r="AE149" s="7"/>
      <c r="AF149" s="7"/>
      <c r="AG149" s="7"/>
      <c r="AH149" s="7"/>
      <c r="AI149" s="7"/>
      <c r="AJ149" s="122"/>
      <c r="AK149" s="41"/>
      <c r="AL149" s="52"/>
      <c r="AM149" s="20"/>
      <c r="AN149" s="20"/>
      <c r="AO149" s="20"/>
      <c r="AP149" s="20"/>
      <c r="AQ149" s="7"/>
      <c r="AR149" s="7"/>
      <c r="AS149" s="7"/>
      <c r="AT149" s="7"/>
      <c r="AU149" s="7"/>
      <c r="AV149" s="7"/>
      <c r="AW149" s="7"/>
      <c r="AX149" s="7"/>
      <c r="AY149" s="7"/>
      <c r="AZ149" s="7"/>
      <c r="BA149" s="7"/>
      <c r="BB149" s="7"/>
      <c r="BC149" s="7"/>
      <c r="BD149" s="55"/>
      <c r="BE149" s="55"/>
      <c r="BF149" s="7"/>
      <c r="BG149" s="7"/>
      <c r="BH149" s="7"/>
      <c r="BI149" s="7"/>
      <c r="BJ149" s="7"/>
      <c r="BK149" s="7"/>
      <c r="BL149" s="7"/>
      <c r="BM149" s="7"/>
      <c r="BN149" s="61"/>
      <c r="BO149" s="62"/>
      <c r="BP149" s="50"/>
      <c r="BQ149" s="20"/>
      <c r="BR149" s="7"/>
      <c r="BS149" s="7"/>
      <c r="BT149" s="7"/>
      <c r="BU149" s="7"/>
      <c r="BV149" s="55"/>
      <c r="BW149" s="7"/>
      <c r="BX149" s="55"/>
      <c r="BY149" s="7"/>
      <c r="BZ149" s="7"/>
      <c r="CA149" s="7"/>
      <c r="CB149" s="7"/>
      <c r="CC149" s="7"/>
      <c r="CD149" s="104"/>
      <c r="CE149" s="105"/>
      <c r="CF149" s="7"/>
      <c r="CG149" s="7"/>
      <c r="CH149" s="7"/>
      <c r="CI149" s="7"/>
      <c r="CJ149" s="7"/>
      <c r="CK149" s="7"/>
      <c r="CL149" s="7"/>
      <c r="CM149" s="7"/>
      <c r="CN149" s="7"/>
      <c r="CO149" s="7"/>
      <c r="CP149" s="55"/>
      <c r="CQ149" s="7"/>
      <c r="CR149" s="7"/>
      <c r="CS149" s="130"/>
      <c r="CT149" s="7"/>
      <c r="CU149" s="7"/>
      <c r="CV149" s="7"/>
      <c r="CW149" s="7"/>
      <c r="CX149" s="7"/>
      <c r="CY149" s="73"/>
      <c r="CZ149" s="7"/>
      <c r="DA149" s="7"/>
      <c r="DB149" s="7"/>
      <c r="DC149" s="48"/>
      <c r="DD149" s="7"/>
      <c r="DE149" s="7"/>
      <c r="DF149" s="7"/>
      <c r="DG149" s="7"/>
      <c r="DH149" s="7"/>
      <c r="DI149" s="7"/>
      <c r="DJ149" s="7"/>
      <c r="DK149" s="7"/>
      <c r="DL149" s="74"/>
      <c r="DM149" s="7"/>
      <c r="DN149" s="7"/>
      <c r="DO149" s="7"/>
      <c r="DP149" s="7"/>
      <c r="DQ149" s="58"/>
      <c r="DR149" s="7"/>
      <c r="DS149" s="7"/>
      <c r="DT149" s="7"/>
      <c r="DU149" s="73"/>
      <c r="DV149" s="73"/>
      <c r="DW149" s="7"/>
      <c r="DX149" s="7"/>
      <c r="DY149" s="7"/>
      <c r="DZ149" s="7"/>
      <c r="EA149" s="7"/>
      <c r="EB149" s="7"/>
      <c r="EC149" s="7"/>
      <c r="ED149" s="7"/>
      <c r="EE149" s="7"/>
      <c r="EF149" s="7"/>
      <c r="EG149" s="7"/>
      <c r="EH149" s="7"/>
      <c r="EI149" s="7"/>
      <c r="EJ149" s="7"/>
      <c r="EK149" s="7"/>
      <c r="EL149" s="7"/>
      <c r="EM149" s="7"/>
      <c r="EN149" s="19"/>
      <c r="EO149" s="7"/>
      <c r="EP149" s="7"/>
      <c r="EQ149" s="7"/>
      <c r="ER149" s="7"/>
      <c r="ES149" s="7"/>
      <c r="ET149" s="55"/>
      <c r="EU149" s="7"/>
      <c r="EV149" s="7"/>
      <c r="EW149" s="7"/>
      <c r="EX149" s="7"/>
      <c r="EY149" s="7"/>
      <c r="EZ149" s="7"/>
      <c r="FA149" s="7"/>
      <c r="FB149" s="7"/>
      <c r="FC149" s="55"/>
      <c r="FD149" s="55"/>
      <c r="FE149" s="55"/>
      <c r="FF149" s="7"/>
      <c r="FG149" s="7"/>
      <c r="FH149" s="7"/>
      <c r="FI149" s="7"/>
      <c r="FJ149" s="7"/>
      <c r="FK149" s="7"/>
      <c r="FL149" s="7"/>
      <c r="FM149" s="7"/>
      <c r="FN149" s="7"/>
      <c r="FO149" s="7"/>
      <c r="FP149" s="7"/>
      <c r="FQ149" s="7"/>
      <c r="FR149" s="7"/>
      <c r="FS149" s="77"/>
      <c r="FT149" s="30"/>
      <c r="FU149" s="7"/>
      <c r="FV149" s="55"/>
      <c r="FW149" s="55"/>
      <c r="FX149" s="7"/>
      <c r="FY149" s="7"/>
      <c r="FZ149" s="7"/>
      <c r="GA149" s="7"/>
      <c r="GB149" s="7"/>
      <c r="GC149" s="7"/>
      <c r="GD149" s="103"/>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29"/>
      <c r="IF149" s="7"/>
      <c r="IG149" s="7"/>
      <c r="IH149" s="7"/>
      <c r="II149" s="7"/>
      <c r="IJ149" s="7"/>
      <c r="IK149" s="7"/>
      <c r="IL149" s="7"/>
      <c r="IM149" s="7"/>
      <c r="IN149" s="7"/>
      <c r="IO149" s="7"/>
      <c r="IP149" s="7"/>
      <c r="IQ149" s="7"/>
      <c r="IR149" s="7"/>
      <c r="IS149" s="7"/>
      <c r="IT149" s="55"/>
      <c r="IU149" s="7"/>
      <c r="IV149" s="7"/>
    </row>
    <row r="150" spans="1:256" s="11" customFormat="1" ht="12.75" customHeight="1">
      <c r="A150" s="19"/>
      <c r="B150" s="19"/>
      <c r="C150" s="178" t="s">
        <v>1352</v>
      </c>
      <c r="D150" s="19"/>
      <c r="E150" s="7"/>
      <c r="F150" s="7"/>
      <c r="G150" s="7"/>
      <c r="H150" s="7"/>
      <c r="I150" s="8"/>
      <c r="J150" s="19" t="str">
        <f t="shared" ca="1" si="4"/>
        <v/>
      </c>
      <c r="K150" s="7"/>
      <c r="L150" s="7"/>
      <c r="M150" s="7"/>
      <c r="N150" s="7"/>
      <c r="O150" s="7"/>
      <c r="P150" s="7"/>
      <c r="Q150" s="29"/>
      <c r="R150" s="30"/>
      <c r="S150" s="7"/>
      <c r="T150" s="7"/>
      <c r="U150" s="31"/>
      <c r="V150" s="7"/>
      <c r="W150" s="7"/>
      <c r="X150" s="7"/>
      <c r="Y150" s="7"/>
      <c r="Z150" s="7"/>
      <c r="AA150" s="7"/>
      <c r="AB150" s="7"/>
      <c r="AC150" s="7"/>
      <c r="AD150" s="7"/>
      <c r="AE150" s="7"/>
      <c r="AF150" s="7"/>
      <c r="AG150" s="7"/>
      <c r="AH150" s="7"/>
      <c r="AI150" s="7"/>
      <c r="AJ150" s="122"/>
      <c r="AK150" s="41"/>
      <c r="AL150" s="52"/>
      <c r="AM150" s="20"/>
      <c r="AN150" s="20"/>
      <c r="AO150" s="20"/>
      <c r="AP150" s="20"/>
      <c r="AQ150" s="7"/>
      <c r="AR150" s="7"/>
      <c r="AS150" s="7"/>
      <c r="AT150" s="7"/>
      <c r="AU150" s="7"/>
      <c r="AV150" s="7"/>
      <c r="AW150" s="7"/>
      <c r="AX150" s="7"/>
      <c r="AY150" s="7"/>
      <c r="AZ150" s="7"/>
      <c r="BA150" s="7"/>
      <c r="BB150" s="7"/>
      <c r="BC150" s="7"/>
      <c r="BD150" s="55"/>
      <c r="BE150" s="55"/>
      <c r="BF150" s="7"/>
      <c r="BG150" s="7"/>
      <c r="BH150" s="7"/>
      <c r="BI150" s="7"/>
      <c r="BJ150" s="7"/>
      <c r="BK150" s="7"/>
      <c r="BL150" s="7"/>
      <c r="BM150" s="7"/>
      <c r="BN150" s="61"/>
      <c r="BO150" s="62"/>
      <c r="BP150" s="50"/>
      <c r="BQ150" s="20"/>
      <c r="BR150" s="7"/>
      <c r="BS150" s="7"/>
      <c r="BT150" s="7"/>
      <c r="BU150" s="7"/>
      <c r="BV150" s="55"/>
      <c r="BW150" s="7"/>
      <c r="BX150" s="55"/>
      <c r="BY150" s="7"/>
      <c r="BZ150" s="7"/>
      <c r="CA150" s="7"/>
      <c r="CB150" s="7"/>
      <c r="CC150" s="7"/>
      <c r="CD150" s="104"/>
      <c r="CE150" s="105"/>
      <c r="CF150" s="7"/>
      <c r="CG150" s="7"/>
      <c r="CH150" s="7"/>
      <c r="CI150" s="7"/>
      <c r="CJ150" s="7"/>
      <c r="CK150" s="7"/>
      <c r="CL150" s="7"/>
      <c r="CM150" s="7"/>
      <c r="CN150" s="7"/>
      <c r="CO150" s="7"/>
      <c r="CP150" s="55"/>
      <c r="CQ150" s="7"/>
      <c r="CR150" s="7"/>
      <c r="CS150" s="130"/>
      <c r="CT150" s="7"/>
      <c r="CU150" s="7"/>
      <c r="CV150" s="7"/>
      <c r="CW150" s="7"/>
      <c r="CX150" s="7"/>
      <c r="CY150" s="73"/>
      <c r="CZ150" s="7"/>
      <c r="DA150" s="7"/>
      <c r="DB150" s="7"/>
      <c r="DC150" s="48"/>
      <c r="DD150" s="7"/>
      <c r="DE150" s="7"/>
      <c r="DF150" s="7"/>
      <c r="DG150" s="7"/>
      <c r="DH150" s="7"/>
      <c r="DI150" s="7"/>
      <c r="DJ150" s="7"/>
      <c r="DK150" s="7"/>
      <c r="DL150" s="74"/>
      <c r="DM150" s="7"/>
      <c r="DN150" s="7"/>
      <c r="DO150" s="7"/>
      <c r="DP150" s="7"/>
      <c r="DQ150" s="58"/>
      <c r="DR150" s="7"/>
      <c r="DS150" s="7"/>
      <c r="DT150" s="7"/>
      <c r="DU150" s="73"/>
      <c r="DV150" s="73"/>
      <c r="DW150" s="7"/>
      <c r="DX150" s="7"/>
      <c r="DY150" s="7"/>
      <c r="DZ150" s="7"/>
      <c r="EA150" s="7"/>
      <c r="EB150" s="7"/>
      <c r="EC150" s="7"/>
      <c r="ED150" s="7"/>
      <c r="EE150" s="7"/>
      <c r="EF150" s="7"/>
      <c r="EG150" s="7"/>
      <c r="EH150" s="7"/>
      <c r="EI150" s="7"/>
      <c r="EJ150" s="7"/>
      <c r="EK150" s="7"/>
      <c r="EL150" s="7"/>
      <c r="EM150" s="7"/>
      <c r="EN150" s="19"/>
      <c r="EO150" s="7"/>
      <c r="EP150" s="7"/>
      <c r="EQ150" s="7"/>
      <c r="ER150" s="7"/>
      <c r="ES150" s="7"/>
      <c r="ET150" s="55"/>
      <c r="EU150" s="7"/>
      <c r="EV150" s="7"/>
      <c r="EW150" s="7"/>
      <c r="EX150" s="7"/>
      <c r="EY150" s="7"/>
      <c r="EZ150" s="7"/>
      <c r="FA150" s="7"/>
      <c r="FB150" s="7"/>
      <c r="FC150" s="55"/>
      <c r="FD150" s="55"/>
      <c r="FE150" s="55"/>
      <c r="FF150" s="7"/>
      <c r="FG150" s="7"/>
      <c r="FH150" s="7"/>
      <c r="FI150" s="7"/>
      <c r="FJ150" s="7"/>
      <c r="FK150" s="7"/>
      <c r="FL150" s="7"/>
      <c r="FM150" s="7"/>
      <c r="FN150" s="7"/>
      <c r="FO150" s="7"/>
      <c r="FP150" s="7"/>
      <c r="FQ150" s="7"/>
      <c r="FR150" s="7"/>
      <c r="FS150" s="77"/>
      <c r="FT150" s="30"/>
      <c r="FU150" s="7"/>
      <c r="FV150" s="55"/>
      <c r="FW150" s="55"/>
      <c r="FX150" s="7"/>
      <c r="FY150" s="7"/>
      <c r="FZ150" s="7"/>
      <c r="GA150" s="7"/>
      <c r="GB150" s="7"/>
      <c r="GC150" s="7"/>
      <c r="GD150" s="103"/>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29"/>
      <c r="IF150" s="7"/>
      <c r="IG150" s="7"/>
      <c r="IH150" s="7"/>
      <c r="II150" s="7"/>
      <c r="IJ150" s="7"/>
      <c r="IK150" s="7"/>
      <c r="IL150" s="7"/>
      <c r="IM150" s="7"/>
      <c r="IN150" s="7"/>
      <c r="IO150" s="7"/>
      <c r="IP150" s="7"/>
      <c r="IQ150" s="7"/>
      <c r="IR150" s="7"/>
      <c r="IS150" s="7"/>
      <c r="IT150" s="55"/>
      <c r="IU150" s="7"/>
      <c r="IV150" s="7"/>
    </row>
    <row r="151" spans="1:256" s="11" customFormat="1" ht="12.75" customHeight="1">
      <c r="A151" s="19"/>
      <c r="B151" s="19"/>
      <c r="C151" s="178" t="s">
        <v>5324</v>
      </c>
      <c r="D151" s="19"/>
      <c r="E151" s="7"/>
      <c r="F151" s="7"/>
      <c r="G151" s="7"/>
      <c r="H151" s="7"/>
      <c r="I151" s="8"/>
      <c r="J151" s="19" t="str">
        <f t="shared" ca="1" si="4"/>
        <v/>
      </c>
      <c r="K151" s="7"/>
      <c r="L151" s="7"/>
      <c r="M151" s="7"/>
      <c r="N151" s="7"/>
      <c r="O151" s="7"/>
      <c r="P151" s="7"/>
      <c r="Q151" s="29"/>
      <c r="R151" s="30"/>
      <c r="S151" s="7"/>
      <c r="T151" s="7"/>
      <c r="U151" s="31"/>
      <c r="V151" s="7"/>
      <c r="W151" s="7"/>
      <c r="X151" s="7"/>
      <c r="Y151" s="7"/>
      <c r="Z151" s="7"/>
      <c r="AA151" s="7"/>
      <c r="AB151" s="7"/>
      <c r="AC151" s="7"/>
      <c r="AD151" s="7"/>
      <c r="AE151" s="7"/>
      <c r="AF151" s="7"/>
      <c r="AG151" s="7"/>
      <c r="AH151" s="7"/>
      <c r="AI151" s="7"/>
      <c r="AJ151" s="122"/>
      <c r="AK151" s="41"/>
      <c r="AL151" s="52"/>
      <c r="AM151" s="20"/>
      <c r="AN151" s="20"/>
      <c r="AO151" s="20"/>
      <c r="AP151" s="20"/>
      <c r="AQ151" s="7"/>
      <c r="AR151" s="7"/>
      <c r="AS151" s="7"/>
      <c r="AT151" s="7"/>
      <c r="AU151" s="7"/>
      <c r="AV151" s="7"/>
      <c r="AW151" s="7"/>
      <c r="AX151" s="7"/>
      <c r="AY151" s="7"/>
      <c r="AZ151" s="7"/>
      <c r="BA151" s="7"/>
      <c r="BB151" s="7"/>
      <c r="BC151" s="7"/>
      <c r="BD151" s="55"/>
      <c r="BE151" s="55"/>
      <c r="BF151" s="7"/>
      <c r="BG151" s="7"/>
      <c r="BH151" s="7"/>
      <c r="BI151" s="7"/>
      <c r="BJ151" s="7"/>
      <c r="BK151" s="7"/>
      <c r="BL151" s="7"/>
      <c r="BM151" s="7"/>
      <c r="BN151" s="61"/>
      <c r="BO151" s="62"/>
      <c r="BP151" s="50"/>
      <c r="BQ151" s="20"/>
      <c r="BR151" s="7"/>
      <c r="BS151" s="7"/>
      <c r="BT151" s="7"/>
      <c r="BU151" s="7"/>
      <c r="BV151" s="55"/>
      <c r="BW151" s="7"/>
      <c r="BX151" s="55"/>
      <c r="BY151" s="7"/>
      <c r="BZ151" s="7"/>
      <c r="CA151" s="7"/>
      <c r="CB151" s="7"/>
      <c r="CC151" s="7"/>
      <c r="CD151" s="104"/>
      <c r="CE151" s="105"/>
      <c r="CF151" s="7"/>
      <c r="CG151" s="7"/>
      <c r="CH151" s="7"/>
      <c r="CI151" s="7"/>
      <c r="CJ151" s="7"/>
      <c r="CK151" s="7"/>
      <c r="CL151" s="7"/>
      <c r="CM151" s="7"/>
      <c r="CN151" s="7"/>
      <c r="CO151" s="7"/>
      <c r="CP151" s="55"/>
      <c r="CQ151" s="7"/>
      <c r="CR151" s="7"/>
      <c r="CS151" s="130"/>
      <c r="CT151" s="7"/>
      <c r="CU151" s="7"/>
      <c r="CV151" s="7"/>
      <c r="CW151" s="7"/>
      <c r="CX151" s="7"/>
      <c r="CY151" s="73"/>
      <c r="CZ151" s="7"/>
      <c r="DA151" s="7"/>
      <c r="DB151" s="7"/>
      <c r="DC151" s="48"/>
      <c r="DD151" s="7"/>
      <c r="DE151" s="7"/>
      <c r="DF151" s="7"/>
      <c r="DG151" s="7"/>
      <c r="DH151" s="7"/>
      <c r="DI151" s="7"/>
      <c r="DJ151" s="7"/>
      <c r="DK151" s="7"/>
      <c r="DL151" s="74"/>
      <c r="DM151" s="7"/>
      <c r="DN151" s="7"/>
      <c r="DO151" s="7"/>
      <c r="DP151" s="7"/>
      <c r="DQ151" s="58"/>
      <c r="DR151" s="7"/>
      <c r="DS151" s="7"/>
      <c r="DT151" s="7"/>
      <c r="DU151" s="73"/>
      <c r="DV151" s="73"/>
      <c r="DW151" s="7"/>
      <c r="DX151" s="7"/>
      <c r="DY151" s="7"/>
      <c r="DZ151" s="7"/>
      <c r="EA151" s="7"/>
      <c r="EB151" s="7"/>
      <c r="EC151" s="7"/>
      <c r="ED151" s="7"/>
      <c r="EE151" s="7"/>
      <c r="EF151" s="7"/>
      <c r="EG151" s="7"/>
      <c r="EH151" s="7"/>
      <c r="EI151" s="7"/>
      <c r="EJ151" s="7"/>
      <c r="EK151" s="7"/>
      <c r="EL151" s="7"/>
      <c r="EM151" s="7"/>
      <c r="EN151" s="19"/>
      <c r="EO151" s="7"/>
      <c r="EP151" s="7"/>
      <c r="EQ151" s="7"/>
      <c r="ER151" s="7"/>
      <c r="ES151" s="7"/>
      <c r="ET151" s="55"/>
      <c r="EU151" s="7"/>
      <c r="EV151" s="7"/>
      <c r="EW151" s="7"/>
      <c r="EX151" s="7"/>
      <c r="EY151" s="7"/>
      <c r="EZ151" s="7"/>
      <c r="FA151" s="7"/>
      <c r="FB151" s="7"/>
      <c r="FC151" s="55"/>
      <c r="FD151" s="55"/>
      <c r="FE151" s="55"/>
      <c r="FF151" s="7"/>
      <c r="FG151" s="7"/>
      <c r="FH151" s="7"/>
      <c r="FI151" s="7"/>
      <c r="FJ151" s="7"/>
      <c r="FK151" s="7"/>
      <c r="FL151" s="7"/>
      <c r="FM151" s="7"/>
      <c r="FN151" s="7"/>
      <c r="FO151" s="7"/>
      <c r="FP151" s="7"/>
      <c r="FQ151" s="7"/>
      <c r="FR151" s="7"/>
      <c r="FS151" s="77"/>
      <c r="FT151" s="30"/>
      <c r="FU151" s="7"/>
      <c r="FV151" s="55"/>
      <c r="FW151" s="55"/>
      <c r="FX151" s="7"/>
      <c r="FY151" s="7"/>
      <c r="FZ151" s="7"/>
      <c r="GA151" s="7"/>
      <c r="GB151" s="7"/>
      <c r="GC151" s="7"/>
      <c r="GD151" s="103"/>
      <c r="GE151" s="7"/>
      <c r="GF151" s="7"/>
      <c r="GG151" s="7"/>
      <c r="GH151" s="7"/>
      <c r="GI151" s="7"/>
      <c r="GJ151" s="7"/>
      <c r="GK151" s="7"/>
      <c r="GL151" s="7"/>
      <c r="GM151" s="7"/>
      <c r="GN151" s="7"/>
      <c r="GO151" s="7"/>
      <c r="GP151" s="7"/>
      <c r="GQ151" s="7"/>
      <c r="GR151" s="7"/>
      <c r="GS151" s="7"/>
      <c r="GT151" s="7"/>
      <c r="GU151" s="7"/>
      <c r="GV151" s="7"/>
      <c r="GW151" s="7"/>
      <c r="GX151" s="7"/>
      <c r="GY151" s="7"/>
      <c r="GZ151" s="7"/>
      <c r="HA151" s="7"/>
      <c r="HB151" s="7"/>
      <c r="HC151" s="7"/>
      <c r="HD151" s="7"/>
      <c r="HE151" s="7"/>
      <c r="HF151" s="7"/>
      <c r="HG151" s="7"/>
      <c r="HH151" s="7"/>
      <c r="HI151" s="7"/>
      <c r="HJ151" s="7"/>
      <c r="HK151" s="7"/>
      <c r="HL151" s="7"/>
      <c r="HM151" s="7"/>
      <c r="HN151" s="7"/>
      <c r="HO151" s="7"/>
      <c r="HP151" s="7"/>
      <c r="HQ151" s="7"/>
      <c r="HR151" s="7"/>
      <c r="HS151" s="7"/>
      <c r="HT151" s="7"/>
      <c r="HU151" s="7"/>
      <c r="HV151" s="7"/>
      <c r="HW151" s="7"/>
      <c r="HX151" s="7"/>
      <c r="HY151" s="7"/>
      <c r="HZ151" s="7"/>
      <c r="IA151" s="7"/>
      <c r="IB151" s="7"/>
      <c r="IC151" s="7"/>
      <c r="ID151" s="7"/>
      <c r="IE151" s="29"/>
      <c r="IF151" s="7"/>
      <c r="IG151" s="7"/>
      <c r="IH151" s="7"/>
      <c r="II151" s="7"/>
      <c r="IJ151" s="7"/>
      <c r="IK151" s="7"/>
      <c r="IL151" s="7"/>
      <c r="IM151" s="7"/>
      <c r="IN151" s="7"/>
      <c r="IO151" s="7"/>
      <c r="IP151" s="7"/>
      <c r="IQ151" s="7"/>
      <c r="IR151" s="7"/>
      <c r="IS151" s="7"/>
      <c r="IT151" s="55"/>
      <c r="IU151" s="7"/>
      <c r="IV151" s="7"/>
    </row>
    <row r="152" spans="1:256" s="136" customFormat="1" ht="13.5" customHeight="1" thickBot="1">
      <c r="C152" s="179">
        <f>COUNTA(SurveyDATA!C105:C130)</f>
        <v>26</v>
      </c>
      <c r="D152" s="146">
        <f>COUNTA(SurveyDATA!D105:D130)</f>
        <v>24</v>
      </c>
      <c r="E152" s="146">
        <f>COUNTA(SurveyDATA!E105:E130)</f>
        <v>26</v>
      </c>
      <c r="F152" s="146">
        <f>COUNTA(SurveyDATA!F105:F130)</f>
        <v>19</v>
      </c>
      <c r="G152" s="146">
        <f>COUNTA(SurveyDATA!G105:G130)</f>
        <v>19</v>
      </c>
      <c r="H152" s="146">
        <f>COUNTA(SurveyDATA!H105:H130)</f>
        <v>1</v>
      </c>
      <c r="I152" s="146">
        <f>COUNTA(SurveyDATA!I105:I130)</f>
        <v>5</v>
      </c>
      <c r="J152" s="146">
        <f>COUNTA(SurveyDATA!J105:J130)</f>
        <v>15</v>
      </c>
      <c r="K152" s="146">
        <f>COUNTA(SurveyDATA!K105:K130)</f>
        <v>11</v>
      </c>
      <c r="L152" s="146">
        <f>COUNTA(SurveyDATA!L105:L130)</f>
        <v>11</v>
      </c>
      <c r="M152" s="146">
        <f>COUNTA(SurveyDATA!M105:M130)</f>
        <v>0</v>
      </c>
      <c r="N152" s="146"/>
      <c r="O152" s="146">
        <f>COUNTA(SurveyDATA!O105:O130)</f>
        <v>1</v>
      </c>
      <c r="P152" s="146">
        <f>COUNTA(SurveyDATA!P105:P130)</f>
        <v>16</v>
      </c>
      <c r="Q152" s="146">
        <f>COUNTA(SurveyDATA!Q105:Q130)</f>
        <v>15</v>
      </c>
      <c r="R152" s="146">
        <f>COUNTA(SurveyDATA!R105:R130)</f>
        <v>15</v>
      </c>
      <c r="S152" s="146">
        <f>COUNTA(SurveyDATA!S105:S130)</f>
        <v>15</v>
      </c>
      <c r="T152" s="146">
        <f>COUNTA(SurveyDATA!T105:T130)</f>
        <v>0</v>
      </c>
      <c r="U152" s="146">
        <f>COUNTA(SurveyDATA!U105:U130)</f>
        <v>13</v>
      </c>
      <c r="V152" s="146">
        <f>COUNTA(SurveyDATA!V105:V130)</f>
        <v>15</v>
      </c>
      <c r="W152" s="146">
        <f>COUNTA(SurveyDATA!Y105:Y130)</f>
        <v>15</v>
      </c>
      <c r="X152" s="146">
        <f>COUNTA(SurveyDATA!Z105:Z130)</f>
        <v>14</v>
      </c>
      <c r="Y152" s="146">
        <f>COUNTA(SurveyDATA!AA105:AA130)</f>
        <v>15</v>
      </c>
      <c r="Z152" s="146">
        <f>COUNTA(SurveyDATA!AB105:AB130)</f>
        <v>12</v>
      </c>
      <c r="AA152" s="146">
        <f>COUNTA(SurveyDATA!AC105:AC130)</f>
        <v>6</v>
      </c>
      <c r="AB152" s="146">
        <f>COUNTA(SurveyDATA!AD105:AD130)</f>
        <v>10</v>
      </c>
      <c r="AC152" s="146">
        <f>COUNTA(SurveyDATA!AE105:AE130)</f>
        <v>2</v>
      </c>
      <c r="AD152" s="146">
        <f>COUNTA(SurveyDATA!AF105:AF130)</f>
        <v>11</v>
      </c>
      <c r="AE152" s="146">
        <f>COUNTA(SurveyDATA!AG105:AG130)</f>
        <v>10</v>
      </c>
      <c r="AF152" s="146">
        <f>COUNTA(SurveyDATA!AH105:AH130)</f>
        <v>10</v>
      </c>
      <c r="AG152" s="146">
        <f>COUNTA(SurveyDATA!AI105:AI130)</f>
        <v>8</v>
      </c>
      <c r="AH152" s="146">
        <f>COUNTA(SurveyDATA!AJ105:AJ130)</f>
        <v>2</v>
      </c>
      <c r="AI152" s="146">
        <f>COUNTA(SurveyDATA!AK105:AK130)</f>
        <v>26</v>
      </c>
      <c r="AJ152" s="146">
        <f>COUNTA(SurveyDATA!AL105:AL130)</f>
        <v>8</v>
      </c>
      <c r="AK152" s="146">
        <f>COUNTA(SurveyDATA!AM105:AM130)</f>
        <v>9</v>
      </c>
      <c r="AL152" s="146">
        <f>COUNTA(SurveyDATA!AN105:AN130)</f>
        <v>8</v>
      </c>
      <c r="AM152" s="146">
        <f>COUNTA(SurveyDATA!AO105:AO130)</f>
        <v>9</v>
      </c>
      <c r="AN152" s="146">
        <f>COUNTA(SurveyDATA!AP105:AP130)</f>
        <v>0</v>
      </c>
      <c r="AO152" s="146">
        <f>COUNTA(SurveyDATA!AQ105:AQ130)</f>
        <v>0</v>
      </c>
      <c r="AP152" s="146">
        <f>COUNTA(SurveyDATA!AR105:AR130)</f>
        <v>0</v>
      </c>
      <c r="AQ152" s="146">
        <f>COUNTA(SurveyDATA!AS105:AS130)</f>
        <v>7</v>
      </c>
      <c r="AR152" s="146">
        <f>COUNTA(SurveyDATA!AT105:AT130)</f>
        <v>7</v>
      </c>
      <c r="AS152" s="146">
        <f>COUNTA(SurveyDATA!AU105:AU130)</f>
        <v>0</v>
      </c>
      <c r="AT152" s="146">
        <f>COUNTA(SurveyDATA!AV105:AV130)</f>
        <v>2</v>
      </c>
      <c r="AU152" s="146">
        <f>COUNTA(SurveyDATA!AW105:AW130)</f>
        <v>2</v>
      </c>
      <c r="AV152" s="146">
        <f>COUNTA(SurveyDATA!AX105:AX130)</f>
        <v>0</v>
      </c>
      <c r="AW152" s="146">
        <f>COUNTA(SurveyDATA!AY105:AY130)</f>
        <v>0</v>
      </c>
      <c r="AX152" s="146">
        <f>COUNTA(SurveyDATA!AZ105:AZ130)</f>
        <v>1</v>
      </c>
      <c r="AY152" s="146">
        <f>COUNTA(SurveyDATA!BA105:BA130)</f>
        <v>0</v>
      </c>
      <c r="AZ152" s="146">
        <f>COUNTA(SurveyDATA!BB105:BB130)</f>
        <v>0</v>
      </c>
      <c r="BA152" s="146">
        <f>COUNTA(SurveyDATA!BC105:BC130)</f>
        <v>8</v>
      </c>
      <c r="BB152" s="146">
        <f>COUNTA(SurveyDATA!BD105:BD130)</f>
        <v>6</v>
      </c>
      <c r="BC152" s="146">
        <f>COUNTA(SurveyDATA!BE105:BE130)</f>
        <v>0</v>
      </c>
      <c r="BD152" s="146">
        <f>COUNTA(SurveyDATA!BF105:BF130)</f>
        <v>1</v>
      </c>
      <c r="BE152" s="146">
        <f>COUNTA(SurveyDATA!BG105:BG130)</f>
        <v>0</v>
      </c>
      <c r="BF152" s="146">
        <f>COUNTA(SurveyDATA!BH105:BH130)</f>
        <v>0</v>
      </c>
      <c r="BG152" s="146">
        <f>COUNTA(SurveyDATA!BI105:BI130)</f>
        <v>0</v>
      </c>
      <c r="BH152" s="146">
        <f>COUNTA(SurveyDATA!BJ105:BJ130)</f>
        <v>0</v>
      </c>
      <c r="BI152" s="146">
        <f>COUNTA(SurveyDATA!BK105:BK130)</f>
        <v>10</v>
      </c>
      <c r="BJ152" s="146">
        <f>COUNTA(SurveyDATA!BL105:BL130)</f>
        <v>10</v>
      </c>
      <c r="BK152" s="146">
        <f>COUNTA(SurveyDATA!BM105:BM130)</f>
        <v>22</v>
      </c>
      <c r="BL152" s="146">
        <f>COUNTA(SurveyDATA!BN105:BN130)</f>
        <v>23</v>
      </c>
      <c r="BM152" s="146">
        <f>COUNTA(SurveyDATA!BO105:BO130)</f>
        <v>10</v>
      </c>
      <c r="BN152" s="146">
        <f>COUNTA(SurveyDATA!BP105:BP130)</f>
        <v>10</v>
      </c>
      <c r="BO152" s="290">
        <f>COUNTA(SurveyDATA!BQ105:BQ130)</f>
        <v>10</v>
      </c>
      <c r="BP152" s="146">
        <f>COUNTA(SurveyDATA!BR105:BR130)</f>
        <v>10</v>
      </c>
      <c r="BQ152" s="146">
        <f>COUNTA(SurveyDATA!BS105:BS130)</f>
        <v>22</v>
      </c>
      <c r="BR152" s="146">
        <f>COUNTA(SurveyDATA!BT105:BT130)</f>
        <v>15</v>
      </c>
      <c r="BS152" s="146">
        <f>COUNTA(SurveyDATA!BU105:BU130)</f>
        <v>16</v>
      </c>
      <c r="BT152" s="146">
        <f>COUNTA(SurveyDATA!BV105:BV130)</f>
        <v>16</v>
      </c>
      <c r="BU152" s="146">
        <f>COUNTA(SurveyDATA!BW105:BW130)</f>
        <v>10</v>
      </c>
      <c r="BV152" s="146">
        <f>COUNTA(SurveyDATA!BX105:BX130)</f>
        <v>5</v>
      </c>
      <c r="BW152" s="146">
        <f>COUNTA(SurveyDATA!BY105:BY130)</f>
        <v>7</v>
      </c>
      <c r="BX152" s="146">
        <f>COUNTA(SurveyDATA!BZ105:BZ130)</f>
        <v>5</v>
      </c>
      <c r="BY152" s="146">
        <f>COUNTA(SurveyDATA!CA105:CA130)</f>
        <v>0</v>
      </c>
      <c r="BZ152" s="146"/>
      <c r="CA152" s="146">
        <f>COUNTA(SurveyDATA!CC105:CC130)</f>
        <v>2</v>
      </c>
      <c r="CB152" s="146">
        <f>COUNTA(SurveyDATA!CD105:CD130)</f>
        <v>0</v>
      </c>
      <c r="CC152" s="146">
        <f>COUNTA(SurveyDATA!CE105:CE130)</f>
        <v>0</v>
      </c>
      <c r="CD152" s="146">
        <f>COUNTA(SurveyDATA!CF105:CF130)</f>
        <v>2</v>
      </c>
      <c r="CE152" s="146">
        <f>COUNTA(SurveyDATA!CG105:CG130)</f>
        <v>2</v>
      </c>
      <c r="CF152" s="146">
        <f>COUNTA(SurveyDATA!CH105:CH130)</f>
        <v>2</v>
      </c>
      <c r="CG152" s="146">
        <f>COUNTA(SurveyDATA!CI105:CI130)</f>
        <v>1</v>
      </c>
      <c r="CH152" s="146">
        <f>COUNTA(SurveyDATA!CJ105:CJ130)</f>
        <v>0</v>
      </c>
      <c r="CI152" s="146">
        <f>COUNTA(SurveyDATA!CK105:CK130)</f>
        <v>2</v>
      </c>
      <c r="CJ152" s="146">
        <f>COUNTA(SurveyDATA!CL105:CL130)</f>
        <v>2</v>
      </c>
      <c r="CK152" s="146">
        <f>COUNTA(SurveyDATA!CM105:CM130)</f>
        <v>2</v>
      </c>
      <c r="CL152" s="146">
        <f>COUNTA(SurveyDATA!CN105:CN130)</f>
        <v>0</v>
      </c>
      <c r="CM152" s="146">
        <f>COUNTA(SurveyDATA!CO105:CO130)</f>
        <v>2</v>
      </c>
      <c r="CN152" s="146">
        <f>COUNTA(SurveyDATA!CP105:CP130)</f>
        <v>2</v>
      </c>
      <c r="CO152" s="146">
        <f>COUNTA(SurveyDATA!CQ105:CQ130)</f>
        <v>1</v>
      </c>
      <c r="CP152" s="146">
        <f>COUNTA(SurveyDATA!CR105:CR130)</f>
        <v>1</v>
      </c>
      <c r="CQ152" s="146">
        <f>COUNTA(SurveyDATA!CS105:CS130)</f>
        <v>0</v>
      </c>
      <c r="CR152" s="146">
        <f>COUNTA(SurveyDATA!CT105:CT130)</f>
        <v>3</v>
      </c>
      <c r="CS152" s="146">
        <f>COUNTA(SurveyDATA!CU105:CU130)</f>
        <v>3</v>
      </c>
      <c r="CT152" s="146">
        <f>COUNTA(SurveyDATA!CV105:CV130)</f>
        <v>3</v>
      </c>
      <c r="CU152" s="146">
        <f>COUNTA(SurveyDATA!CW105:CW130)</f>
        <v>3</v>
      </c>
      <c r="CV152" s="146">
        <f>COUNTA(SurveyDATA!CX105:CX130)</f>
        <v>1</v>
      </c>
      <c r="CW152" s="146">
        <f>COUNTA(SurveyDATA!CY105:CY130)</f>
        <v>0</v>
      </c>
      <c r="CX152" s="146">
        <f>COUNTA(SurveyDATA!CZ105:CZ130)</f>
        <v>0</v>
      </c>
      <c r="CY152" s="146">
        <f>COUNTA(SurveyDATA!DA105:DA130)</f>
        <v>0</v>
      </c>
      <c r="CZ152" s="146">
        <f>COUNTA(SurveyDATA!DB105:DB130)</f>
        <v>0</v>
      </c>
      <c r="DA152" s="146">
        <f>COUNTA(SurveyDATA!DC105:DC130)</f>
        <v>0</v>
      </c>
      <c r="DB152" s="146">
        <f>COUNTA(SurveyDATA!DD105:DD130)</f>
        <v>0</v>
      </c>
      <c r="DC152" s="146">
        <f>COUNTA(SurveyDATA!DE105:DE130)</f>
        <v>0</v>
      </c>
      <c r="DD152" s="146">
        <f>COUNTA(SurveyDATA!DF105:DF130)</f>
        <v>0</v>
      </c>
      <c r="DE152" s="146">
        <f>COUNTA(SurveyDATA!DG105:DG130)</f>
        <v>0</v>
      </c>
      <c r="DF152" s="146">
        <f>COUNTA(SurveyDATA!DH105:DH130)</f>
        <v>0</v>
      </c>
      <c r="DG152" s="146">
        <f>COUNTA(SurveyDATA!DI105:DI130)</f>
        <v>0</v>
      </c>
      <c r="DH152" s="146">
        <f>COUNTA(SurveyDATA!DJ105:DJ130)</f>
        <v>0</v>
      </c>
      <c r="DI152" s="146">
        <f>COUNTA(SurveyDATA!DK105:DK130)</f>
        <v>0</v>
      </c>
      <c r="DJ152" s="146">
        <f>COUNTA(SurveyDATA!DL105:DL130)</f>
        <v>0</v>
      </c>
      <c r="DK152" s="146">
        <f>COUNTA(SurveyDATA!DM105:DM130)</f>
        <v>0</v>
      </c>
      <c r="DL152" s="146">
        <f>COUNTA(SurveyDATA!DN105:DN130)</f>
        <v>0</v>
      </c>
      <c r="DM152" s="146">
        <f>COUNTA(SurveyDATA!DO105:DO130)</f>
        <v>0</v>
      </c>
      <c r="DN152" s="146">
        <f>COUNTA(SurveyDATA!DP105:DP130)</f>
        <v>0</v>
      </c>
      <c r="DO152" s="146">
        <f>COUNTA(SurveyDATA!DQ105:DQ130)</f>
        <v>0</v>
      </c>
      <c r="DP152" s="146">
        <f>COUNTA(SurveyDATA!DR105:DR130)</f>
        <v>0</v>
      </c>
      <c r="DQ152" s="146">
        <f>COUNTA(SurveyDATA!DS105:DS130)</f>
        <v>0</v>
      </c>
      <c r="DR152" s="146">
        <f>COUNTA(SurveyDATA!DT105:DT130)</f>
        <v>0</v>
      </c>
      <c r="DS152" s="146">
        <f>COUNTA(SurveyDATA!DU105:DU130)</f>
        <v>0</v>
      </c>
      <c r="DT152" s="146">
        <f>COUNTA(SurveyDATA!DV105:DV130)</f>
        <v>0</v>
      </c>
      <c r="DU152" s="146">
        <f>COUNTA(SurveyDATA!DW105:DW130)</f>
        <v>0</v>
      </c>
      <c r="DV152" s="146">
        <f>COUNTA(SurveyDATA!DX105:DX130)</f>
        <v>0</v>
      </c>
      <c r="DW152" s="146">
        <f>COUNTA(SurveyDATA!DY105:DY130)</f>
        <v>0</v>
      </c>
      <c r="DX152" s="146">
        <f>COUNTA(SurveyDATA!DZ105:DZ130)</f>
        <v>1</v>
      </c>
      <c r="DY152" s="146">
        <f>COUNTA(SurveyDATA!EA105:EA130)</f>
        <v>1</v>
      </c>
      <c r="DZ152" s="146">
        <f>COUNTA(SurveyDATA!EB105:EB130)</f>
        <v>0</v>
      </c>
      <c r="EA152" s="146">
        <f>COUNTA(SurveyDATA!EC105:EC130)</f>
        <v>0</v>
      </c>
      <c r="EB152" s="146">
        <f>COUNTA(SurveyDATA!ED105:ED130)</f>
        <v>1</v>
      </c>
      <c r="EC152" s="146">
        <f>COUNTA(SurveyDATA!EE105:EE130)</f>
        <v>1</v>
      </c>
      <c r="ED152" s="146">
        <f>COUNTA(SurveyDATA!EF105:EF130)</f>
        <v>1</v>
      </c>
      <c r="EE152" s="146">
        <f>COUNTA(SurveyDATA!EG105:EG130)</f>
        <v>1</v>
      </c>
      <c r="EF152" s="146">
        <f>COUNTA(SurveyDATA!EH105:EH130)</f>
        <v>0</v>
      </c>
      <c r="EG152" s="146">
        <f>COUNTA(SurveyDATA!EI105:EI130)</f>
        <v>0</v>
      </c>
      <c r="EH152" s="146">
        <f>COUNTA(SurveyDATA!EJ105:EJ130)</f>
        <v>1</v>
      </c>
      <c r="EI152" s="146">
        <f>COUNTA(SurveyDATA!EK105:EK130)</f>
        <v>0</v>
      </c>
      <c r="EJ152" s="146">
        <f>COUNTA(SurveyDATA!EL105:EL130)</f>
        <v>1</v>
      </c>
      <c r="EK152" s="146">
        <f>COUNTA(SurveyDATA!EM105:EM130)</f>
        <v>1</v>
      </c>
      <c r="EL152" s="146">
        <f>COUNTA(SurveyDATA!EN105:EN130)</f>
        <v>0</v>
      </c>
      <c r="EM152" s="146">
        <f>COUNTA(SurveyDATA!EO105:EO130)</f>
        <v>0</v>
      </c>
      <c r="EN152" s="146">
        <f>COUNTA(SurveyDATA!EP105:EP130)</f>
        <v>1</v>
      </c>
      <c r="EO152" s="146">
        <f>COUNTA(SurveyDATA!EQ105:EQ130)</f>
        <v>0</v>
      </c>
      <c r="EP152" s="146">
        <f>COUNTA(SurveyDATA!EZ105:EZ130)</f>
        <v>1</v>
      </c>
      <c r="EQ152" s="146">
        <f>COUNTA(SurveyDATA!FA105:FA130)</f>
        <v>1</v>
      </c>
      <c r="ER152" s="146">
        <f>COUNTA(SurveyDATA!FB105:FB130)</f>
        <v>1</v>
      </c>
      <c r="ES152" s="146">
        <f>COUNTA(SurveyDATA!FC105:FC130)</f>
        <v>0</v>
      </c>
      <c r="ET152" s="146">
        <f>COUNTA(SurveyDATA!FD105:FD130)</f>
        <v>0</v>
      </c>
      <c r="EU152" s="146">
        <f>COUNTA(SurveyDATA!FE105:FE130)</f>
        <v>0</v>
      </c>
      <c r="EV152" s="146">
        <f>COUNTA(SurveyDATA!FF105:FF130)</f>
        <v>0</v>
      </c>
      <c r="EW152" s="146">
        <f>COUNTA(SurveyDATA!FG105:FG130)</f>
        <v>0</v>
      </c>
      <c r="EX152" s="146">
        <f>COUNTA(SurveyDATA!FH105:FH130)</f>
        <v>16</v>
      </c>
      <c r="EY152" s="146">
        <f>COUNTA(SurveyDATA!FI105:FI130)</f>
        <v>15</v>
      </c>
      <c r="EZ152" s="146">
        <f>COUNTA(SurveyDATA!FJ105:FJ130)</f>
        <v>7</v>
      </c>
      <c r="FA152" s="438">
        <f>COUNTA(SurveyDATA!FK105:FK130)</f>
        <v>4</v>
      </c>
      <c r="FB152" s="146">
        <f>COUNTA(SurveyDATA!FL105:FL130)</f>
        <v>5</v>
      </c>
      <c r="FC152" s="146">
        <f>COUNTA(SurveyDATA!FM105:FM130)</f>
        <v>2</v>
      </c>
      <c r="FD152" s="146">
        <f>COUNTA(SurveyDATA!FN105:FN130)</f>
        <v>4</v>
      </c>
      <c r="FE152" s="146">
        <f>COUNTA(SurveyDATA!FO105:FO130)</f>
        <v>4</v>
      </c>
      <c r="FF152" s="146">
        <f>COUNTA(SurveyDATA!FP105:FP130)</f>
        <v>13</v>
      </c>
      <c r="FG152" s="146">
        <f>COUNTA(SurveyDATA!FQ105:FQ130)</f>
        <v>13</v>
      </c>
      <c r="FH152" s="146">
        <f>COUNTA(SurveyDATA!FR105:FR130)</f>
        <v>8</v>
      </c>
      <c r="FI152" s="146">
        <f>COUNTA(SurveyDATA!FS105:FS130)</f>
        <v>5</v>
      </c>
      <c r="FJ152" s="146">
        <f>COUNTA(SurveyDATA!FT105:FT130)</f>
        <v>0</v>
      </c>
      <c r="FK152" s="146">
        <f>COUNTA(SurveyDATA!FU105:FU130)</f>
        <v>0</v>
      </c>
      <c r="FL152" s="146">
        <f>COUNTA(SurveyDATA!FV105:FV130)</f>
        <v>1</v>
      </c>
      <c r="FM152" s="146">
        <f>COUNTA(SurveyDATA!FW105:FW130)</f>
        <v>0</v>
      </c>
      <c r="FN152" s="146">
        <f>COUNTA(SurveyDATA!FX105:FX130)</f>
        <v>0</v>
      </c>
      <c r="FO152" s="146">
        <f>COUNTA(SurveyDATA!FY105:FY130)</f>
        <v>0</v>
      </c>
      <c r="FP152" s="146">
        <f>COUNTA(SurveyDATA!FZ105:FZ130)</f>
        <v>0</v>
      </c>
      <c r="FQ152" s="146">
        <f>COUNTA(SurveyDATA!GA105:GA130)</f>
        <v>0</v>
      </c>
      <c r="FR152" s="146">
        <f>COUNTA(SurveyDATA!GB105:GB130)</f>
        <v>9</v>
      </c>
      <c r="FS152" s="146">
        <f>COUNTA(SurveyDATA!GC105:GC130)</f>
        <v>9</v>
      </c>
      <c r="FT152" s="146">
        <f>COUNTA(SurveyDATA!GD105:GD130)</f>
        <v>7</v>
      </c>
      <c r="FU152" s="146">
        <f>COUNTA(SurveyDATA!GE105:GE130)</f>
        <v>8</v>
      </c>
      <c r="FV152" s="146">
        <f>COUNTA(SurveyDATA!GF105:GF130)</f>
        <v>1</v>
      </c>
      <c r="FW152" s="146">
        <f>COUNTA(SurveyDATA!GG105:GG130)</f>
        <v>1</v>
      </c>
      <c r="FX152" s="146">
        <f>COUNTA(SurveyDATA!GH105:GH130)</f>
        <v>4</v>
      </c>
      <c r="FY152" s="146">
        <f>COUNTA(SurveyDATA!GI105:GI130)</f>
        <v>0</v>
      </c>
      <c r="FZ152" s="146">
        <f>COUNTA(SurveyDATA!GJ105:GJ130)</f>
        <v>3</v>
      </c>
      <c r="GA152" s="146">
        <f>COUNTA(SurveyDATA!GK105:GK130)</f>
        <v>3</v>
      </c>
      <c r="GB152" s="146">
        <f>COUNTA(SurveyDATA!GL105:GL130)</f>
        <v>0</v>
      </c>
      <c r="GC152" s="146">
        <f>COUNTA(SurveyDATA!GM105:GM130)</f>
        <v>3</v>
      </c>
      <c r="GD152" s="146">
        <f>COUNTA(SurveyDATA!GN105:GN130)</f>
        <v>3</v>
      </c>
      <c r="GE152" s="146">
        <f>COUNTA(SurveyDATA!GO105:GO130)</f>
        <v>3</v>
      </c>
      <c r="GF152" s="146">
        <f>COUNTA(SurveyDATA!GP105:GP130)</f>
        <v>0</v>
      </c>
      <c r="GG152" s="146">
        <f>COUNTA(SurveyDATA!GQ105:GQ130)</f>
        <v>3</v>
      </c>
      <c r="GH152" s="146">
        <f>COUNTA(SurveyDATA!GR105:GR130)</f>
        <v>2</v>
      </c>
      <c r="GI152" s="146">
        <f>COUNTA(SurveyDATA!GS105:GS130)</f>
        <v>3</v>
      </c>
      <c r="GJ152" s="146">
        <f>COUNTA(SurveyDATA!GT105:GT130)</f>
        <v>1</v>
      </c>
      <c r="GK152" s="146">
        <f>COUNTA(SurveyDATA!GU105:GU130)</f>
        <v>0</v>
      </c>
      <c r="GL152" s="146">
        <f>COUNTA(SurveyDATA!GV105:GV130)</f>
        <v>0</v>
      </c>
      <c r="GM152" s="146">
        <f>COUNTA(SurveyDATA!GW105:GW130)</f>
        <v>3</v>
      </c>
      <c r="GN152" s="146">
        <f>COUNTA(SurveyDATA!GX105:GX130)</f>
        <v>0</v>
      </c>
      <c r="GO152" s="146">
        <f>COUNTA(SurveyDATA!GY105:GY130)</f>
        <v>0</v>
      </c>
      <c r="GP152" s="146">
        <f>COUNTA(SurveyDATA!GZ105:GZ130)</f>
        <v>0</v>
      </c>
      <c r="GQ152" s="146">
        <f>COUNTA(SurveyDATA!HA105:HA130)</f>
        <v>3</v>
      </c>
      <c r="GR152" s="146">
        <f>COUNTA(SurveyDATA!HB105:HB130)</f>
        <v>1</v>
      </c>
      <c r="GS152" s="146">
        <f>COUNTA(SurveyDATA!HC105:HC130)</f>
        <v>2</v>
      </c>
      <c r="GT152" s="146">
        <f>COUNTA(SurveyDATA!HD105:HD130)</f>
        <v>2</v>
      </c>
      <c r="GU152" s="146">
        <f>COUNTA(SurveyDATA!HE105:HE130)</f>
        <v>2</v>
      </c>
      <c r="GV152" s="146">
        <f>COUNTA(SurveyDATA!HF105:HF130)</f>
        <v>0</v>
      </c>
      <c r="GW152" s="146">
        <f>COUNTA(SurveyDATA!HG105:HG130)</f>
        <v>0</v>
      </c>
      <c r="GX152" s="146">
        <f>COUNTA(SurveyDATA!HH105:HH130)</f>
        <v>0</v>
      </c>
      <c r="GY152" s="146">
        <f>COUNTA(SurveyDATA!HI105:HI130)</f>
        <v>0</v>
      </c>
      <c r="GZ152" s="146">
        <f>COUNTA(SurveyDATA!HJ105:HJ130)</f>
        <v>0</v>
      </c>
      <c r="HA152" s="146">
        <f>COUNTA(SurveyDATA!HK105:HK130)</f>
        <v>0</v>
      </c>
      <c r="HB152" s="146">
        <f>COUNTA(SurveyDATA!HL105:HL130)</f>
        <v>0</v>
      </c>
      <c r="HC152" s="146">
        <f>COUNTA(SurveyDATA!HM105:HM130)</f>
        <v>0</v>
      </c>
      <c r="HD152" s="146">
        <f>COUNTA(SurveyDATA!HN105:HN130)</f>
        <v>0</v>
      </c>
      <c r="HE152" s="146">
        <f>COUNTA(SurveyDATA!HO105:HO130)</f>
        <v>0</v>
      </c>
      <c r="HF152" s="146">
        <f>COUNTA(SurveyDATA!HP105:HP130)</f>
        <v>0</v>
      </c>
      <c r="HG152" s="146">
        <f>COUNTA(SurveyDATA!HQ105:HQ130)</f>
        <v>0</v>
      </c>
      <c r="HH152" s="146">
        <f>COUNTA(SurveyDATA!HR105:HR130)</f>
        <v>4</v>
      </c>
      <c r="HI152" s="146">
        <f>COUNTA(SurveyDATA!HS105:HS130)</f>
        <v>4</v>
      </c>
      <c r="HJ152" s="146">
        <f>COUNTA(SurveyDATA!HT105:HT130)</f>
        <v>0</v>
      </c>
      <c r="HK152" s="146">
        <f>COUNTA(SurveyDATA!HU105:HU130)</f>
        <v>0</v>
      </c>
      <c r="HL152" s="146">
        <f>COUNTA(SurveyDATA!HV105:HV130)</f>
        <v>0</v>
      </c>
      <c r="HM152" s="146">
        <f>COUNTA(SurveyDATA!HW105:HW130)</f>
        <v>0</v>
      </c>
      <c r="HN152" s="146">
        <f>COUNTA(SurveyDATA!HX105:HX130)</f>
        <v>0</v>
      </c>
      <c r="HO152" s="146">
        <f>COUNTA(SurveyDATA!HY105:HY130)</f>
        <v>0</v>
      </c>
      <c r="HP152" s="146">
        <f>COUNTA(SurveyDATA!HZ105:HZ130)</f>
        <v>0</v>
      </c>
      <c r="HQ152" s="146">
        <f>COUNTA(SurveyDATA!IA105:IA130)</f>
        <v>0</v>
      </c>
      <c r="HR152" s="146">
        <f>COUNTA(SurveyDATA!IB105:IB130)</f>
        <v>7</v>
      </c>
      <c r="HS152" s="146">
        <f>COUNTA(SurveyDATA!IC105:IC130)</f>
        <v>7</v>
      </c>
      <c r="HT152" s="146">
        <f>COUNTA(SurveyDATA!ID105:ID130)</f>
        <v>4</v>
      </c>
      <c r="HU152" s="146">
        <f>COUNTA(SurveyDATA!IE105:IE130)</f>
        <v>1</v>
      </c>
      <c r="HV152" s="146">
        <f>COUNTA(SurveyDATA!IF105:IF130)</f>
        <v>8</v>
      </c>
      <c r="HW152" s="146">
        <f>COUNTA(SurveyDATA!IG105:IG130)</f>
        <v>7</v>
      </c>
      <c r="HX152" s="146">
        <f>COUNTA(SurveyDATA!IH105:IH130)</f>
        <v>7</v>
      </c>
      <c r="HY152" s="146">
        <f>COUNTA(SurveyDATA!II105:II130)</f>
        <v>7</v>
      </c>
      <c r="HZ152" s="146">
        <f>COUNTA(SurveyDATA!IJ105:IJ130)</f>
        <v>7</v>
      </c>
      <c r="IA152" s="146">
        <f>COUNTA(SurveyDATA!IK105:IK130)</f>
        <v>6</v>
      </c>
      <c r="IB152" s="146">
        <f>COUNTA(SurveyDATA!IL105:IL130)</f>
        <v>7</v>
      </c>
      <c r="IC152" s="146">
        <f>COUNTA(SurveyDATA!IM105:IM130)</f>
        <v>7</v>
      </c>
      <c r="ID152" s="146">
        <f>COUNTA(SurveyDATA!IN105:IN130)</f>
        <v>6</v>
      </c>
      <c r="IE152" s="146">
        <f>COUNTA(SurveyDATA!IO105:IO130)</f>
        <v>4</v>
      </c>
      <c r="IF152" s="146">
        <f>COUNTA(SurveyDATA!IP105:IP130)</f>
        <v>7</v>
      </c>
      <c r="IG152" s="146">
        <f>COUNTA(SurveyDATA!IQ105:IQ130)</f>
        <v>8</v>
      </c>
      <c r="IH152" s="146">
        <f>COUNTA(SurveyDATA!IR105:IR130)</f>
        <v>6</v>
      </c>
      <c r="II152" s="146">
        <f>COUNTA(SurveyDATA!IS105:IS130)</f>
        <v>5</v>
      </c>
      <c r="IJ152" s="146">
        <f>COUNTA(SurveyDATA!IT105:IT130)</f>
        <v>1</v>
      </c>
      <c r="IK152" s="146">
        <f>COUNTA(SurveyDATA!IU105:IU130)</f>
        <v>1</v>
      </c>
      <c r="IL152" s="146">
        <f>COUNTA(SurveyDATA!IV105:IV130)</f>
        <v>1</v>
      </c>
      <c r="IM152" s="146">
        <f>COUNTA(SurveyDATA!#REF!)</f>
        <v>1</v>
      </c>
      <c r="IN152" s="146">
        <f>COUNTA(SurveyDATA!#REF!)</f>
        <v>1</v>
      </c>
      <c r="IO152" s="146">
        <f>COUNTA(SurveyDATA!#REF!)</f>
        <v>1</v>
      </c>
      <c r="IP152" s="146">
        <f>COUNTA(SurveyDATA!#REF!)</f>
        <v>1</v>
      </c>
      <c r="IQ152" s="146">
        <f>COUNTA(SurveyDATA!#REF!)</f>
        <v>1</v>
      </c>
      <c r="IR152" s="146">
        <f>COUNTA(SurveyDATA!#REF!)</f>
        <v>1</v>
      </c>
      <c r="IS152" s="146">
        <f>COUNTA(SurveyDATA!#REF!)</f>
        <v>1</v>
      </c>
      <c r="IT152" s="146">
        <f>COUNTA(SurveyDATA!#REF!)</f>
        <v>1</v>
      </c>
      <c r="IU152" s="146">
        <f>COUNTA(SurveyDATA!#REF!)</f>
        <v>1</v>
      </c>
      <c r="IV152" s="146">
        <f>COUNTA(SurveyDATA!#REF!)</f>
        <v>1</v>
      </c>
    </row>
    <row r="153" spans="1:256" s="11" customFormat="1" ht="14.25" customHeight="1" thickTop="1" thickBot="1">
      <c r="A153" s="19"/>
      <c r="B153" s="19"/>
      <c r="C153" s="175" t="s">
        <v>4295</v>
      </c>
      <c r="D153" s="19"/>
      <c r="E153" s="7"/>
      <c r="F153" s="7"/>
      <c r="G153" s="7"/>
      <c r="H153" s="7"/>
      <c r="I153" s="8"/>
      <c r="J153" s="19" t="str">
        <f ca="1">IF(F153="Head",CELL("contents",D153),"")</f>
        <v/>
      </c>
      <c r="K153" s="7"/>
      <c r="L153" s="7"/>
      <c r="M153" s="7"/>
      <c r="N153" s="7"/>
      <c r="O153" s="7"/>
      <c r="P153" s="7"/>
      <c r="Q153" s="29"/>
      <c r="R153" s="30"/>
      <c r="S153" s="7"/>
      <c r="T153" s="7"/>
      <c r="U153" s="31"/>
      <c r="V153" s="7"/>
      <c r="W153" s="7"/>
      <c r="X153" s="7"/>
      <c r="Y153" s="7"/>
      <c r="Z153" s="7"/>
      <c r="AA153" s="7"/>
      <c r="AB153" s="7"/>
      <c r="AC153" s="7"/>
      <c r="AD153" s="7"/>
      <c r="AE153" s="7"/>
      <c r="AF153" s="7"/>
      <c r="AG153" s="7"/>
      <c r="AH153" s="7"/>
      <c r="AI153" s="7"/>
      <c r="AJ153" s="122"/>
      <c r="AK153" s="41"/>
      <c r="AL153" s="52"/>
      <c r="AM153" s="20"/>
      <c r="AN153" s="20"/>
      <c r="AO153" s="20"/>
      <c r="AP153" s="20"/>
      <c r="AQ153" s="7"/>
      <c r="AR153" s="7"/>
      <c r="AS153" s="7"/>
      <c r="AT153" s="7"/>
      <c r="AU153" s="7"/>
      <c r="AV153" s="7"/>
      <c r="AW153" s="7"/>
      <c r="AX153" s="7"/>
      <c r="AY153" s="7"/>
      <c r="AZ153" s="7"/>
      <c r="BA153" s="7"/>
      <c r="BB153" s="7"/>
      <c r="BC153" s="7"/>
      <c r="BD153" s="55"/>
      <c r="BE153" s="55"/>
      <c r="BF153" s="7"/>
      <c r="BG153" s="7"/>
      <c r="BH153" s="7"/>
      <c r="BI153" s="7"/>
      <c r="BJ153" s="7"/>
      <c r="BK153" s="7"/>
      <c r="BL153" s="7"/>
      <c r="BM153" s="7"/>
      <c r="BN153" s="61"/>
      <c r="BO153" s="62"/>
      <c r="BP153" s="50"/>
      <c r="BQ153" s="20"/>
      <c r="BR153" s="7"/>
      <c r="BS153" s="7"/>
      <c r="BT153" s="7"/>
      <c r="BU153" s="7"/>
      <c r="BV153" s="55"/>
      <c r="BW153" s="7"/>
      <c r="BX153" s="55"/>
      <c r="BY153" s="7"/>
      <c r="BZ153" s="7"/>
      <c r="CA153" s="7"/>
      <c r="CB153" s="7"/>
      <c r="CC153" s="7"/>
      <c r="CD153" s="104"/>
      <c r="CE153" s="105"/>
      <c r="CF153" s="7"/>
      <c r="CG153" s="7"/>
      <c r="CH153" s="7"/>
      <c r="CI153" s="7"/>
      <c r="CJ153" s="7"/>
      <c r="CK153" s="7"/>
      <c r="CL153" s="7"/>
      <c r="CM153" s="7"/>
      <c r="CN153" s="7"/>
      <c r="CO153" s="7"/>
      <c r="CP153" s="55"/>
      <c r="CQ153" s="7"/>
      <c r="CR153" s="7"/>
      <c r="CS153" s="130"/>
      <c r="CT153" s="7"/>
      <c r="CU153" s="7"/>
      <c r="CV153" s="7"/>
      <c r="CW153" s="7"/>
      <c r="CX153" s="7"/>
      <c r="CY153" s="73"/>
      <c r="CZ153" s="7"/>
      <c r="DA153" s="7"/>
      <c r="DB153" s="7"/>
      <c r="DC153" s="48"/>
      <c r="DD153" s="7"/>
      <c r="DE153" s="7"/>
      <c r="DF153" s="7"/>
      <c r="DG153" s="7"/>
      <c r="DH153" s="7"/>
      <c r="DI153" s="7"/>
      <c r="DJ153" s="7"/>
      <c r="DK153" s="7"/>
      <c r="DL153" s="74"/>
      <c r="DM153" s="7"/>
      <c r="DN153" s="7"/>
      <c r="DO153" s="7"/>
      <c r="DP153" s="7"/>
      <c r="DQ153" s="58"/>
      <c r="DR153" s="7"/>
      <c r="DS153" s="7"/>
      <c r="DT153" s="7"/>
      <c r="DU153" s="73"/>
      <c r="DV153" s="73"/>
      <c r="DW153" s="7"/>
      <c r="DX153" s="7"/>
      <c r="DY153" s="7"/>
      <c r="DZ153" s="7"/>
      <c r="EA153" s="7"/>
      <c r="EB153" s="7"/>
      <c r="EC153" s="7"/>
      <c r="ED153" s="7"/>
      <c r="EE153" s="7"/>
      <c r="EF153" s="7"/>
      <c r="EG153" s="7"/>
      <c r="EH153" s="7"/>
      <c r="EI153" s="7"/>
      <c r="EJ153" s="7"/>
      <c r="EK153" s="7"/>
      <c r="EL153" s="7"/>
      <c r="EM153" s="7"/>
      <c r="EN153" s="19"/>
      <c r="EO153" s="7"/>
      <c r="EP153" s="7"/>
      <c r="EQ153" s="7"/>
      <c r="ER153" s="7"/>
      <c r="ES153" s="7"/>
      <c r="ET153" s="55"/>
      <c r="EU153" s="7"/>
      <c r="EV153" s="7"/>
      <c r="EW153" s="7"/>
      <c r="EX153" s="7"/>
      <c r="EY153" s="7"/>
      <c r="EZ153" s="7"/>
      <c r="FA153" s="30"/>
      <c r="FB153" s="7"/>
      <c r="FC153" s="55"/>
      <c r="FD153" s="55"/>
      <c r="FE153" s="55"/>
      <c r="FF153" s="7"/>
      <c r="FG153" s="7"/>
      <c r="FH153" s="7"/>
      <c r="FI153" s="7"/>
      <c r="FJ153" s="7"/>
      <c r="FK153" s="7"/>
      <c r="FL153" s="7"/>
      <c r="FM153" s="7"/>
      <c r="FN153" s="7"/>
      <c r="FO153" s="7"/>
      <c r="FP153" s="7"/>
      <c r="FQ153" s="7"/>
      <c r="FR153" s="7"/>
      <c r="FS153" s="77"/>
      <c r="FT153" s="30"/>
      <c r="FU153" s="7"/>
      <c r="FV153" s="55"/>
      <c r="FW153" s="55"/>
      <c r="FX153" s="7"/>
      <c r="FY153" s="7"/>
      <c r="FZ153" s="7"/>
      <c r="GA153" s="7"/>
      <c r="GB153" s="7"/>
      <c r="GC153" s="7"/>
      <c r="GD153" s="103"/>
      <c r="GE153" s="7"/>
      <c r="GF153" s="7"/>
      <c r="GG153" s="7"/>
      <c r="GH153" s="7"/>
      <c r="GI153" s="7"/>
      <c r="GJ153" s="7"/>
      <c r="GK153" s="7"/>
      <c r="GL153" s="7"/>
      <c r="GM153" s="7"/>
      <c r="GN153" s="7"/>
      <c r="GO153" s="7"/>
      <c r="GP153" s="7"/>
      <c r="GQ153" s="7"/>
      <c r="GR153" s="7"/>
      <c r="GS153" s="7"/>
      <c r="GT153" s="7"/>
      <c r="GU153" s="7"/>
      <c r="GV153" s="7"/>
      <c r="GW153" s="7"/>
      <c r="GX153" s="7"/>
      <c r="GY153" s="7"/>
      <c r="GZ153" s="7"/>
      <c r="HA153" s="7"/>
      <c r="HB153" s="7"/>
      <c r="HC153" s="7"/>
      <c r="HD153" s="7"/>
      <c r="HE153" s="7"/>
      <c r="HF153" s="7"/>
      <c r="HG153" s="7"/>
      <c r="HH153" s="7"/>
      <c r="HI153" s="7"/>
      <c r="HJ153" s="7"/>
      <c r="HK153" s="7"/>
      <c r="HL153" s="7"/>
      <c r="HM153" s="7"/>
      <c r="HN153" s="7"/>
      <c r="HO153" s="7"/>
      <c r="HP153" s="7"/>
      <c r="HQ153" s="7"/>
      <c r="HR153" s="7"/>
      <c r="HS153" s="7"/>
      <c r="HT153" s="7"/>
      <c r="HU153" s="7"/>
      <c r="HV153" s="7"/>
      <c r="HW153" s="7"/>
      <c r="HX153" s="7"/>
      <c r="HY153" s="7"/>
      <c r="HZ153" s="7"/>
      <c r="IA153" s="7"/>
      <c r="IB153" s="7"/>
      <c r="IC153" s="7"/>
      <c r="ID153" s="7"/>
      <c r="IE153" s="29"/>
      <c r="IF153" s="7"/>
      <c r="IG153" s="7"/>
      <c r="IH153" s="7"/>
      <c r="II153" s="7"/>
      <c r="IJ153" s="7"/>
      <c r="IK153" s="7"/>
      <c r="IL153" s="7"/>
      <c r="IM153" s="7"/>
      <c r="IN153" s="7"/>
      <c r="IO153" s="7"/>
      <c r="IP153" s="7"/>
      <c r="IQ153" s="7"/>
      <c r="IR153" s="7"/>
      <c r="IS153" s="7"/>
      <c r="IT153" s="55"/>
      <c r="IU153" s="7"/>
      <c r="IV153" s="7"/>
    </row>
    <row r="154" spans="1:256" s="11" customFormat="1" ht="13.5" customHeight="1" thickTop="1">
      <c r="A154" s="19"/>
      <c r="B154" s="19"/>
      <c r="C154" s="176"/>
      <c r="D154" s="19"/>
      <c r="E154" s="7"/>
      <c r="F154" s="7"/>
      <c r="G154" s="7"/>
      <c r="H154" s="7"/>
      <c r="I154" s="8"/>
      <c r="J154" s="19" t="str">
        <f ca="1">IF(remove!D14="Head",CELL("contents",D154),"")</f>
        <v/>
      </c>
      <c r="K154" s="7"/>
      <c r="L154" s="7"/>
      <c r="M154" s="7"/>
      <c r="N154" s="7"/>
      <c r="O154" s="7"/>
      <c r="P154" s="7"/>
      <c r="Q154" s="29"/>
      <c r="R154" s="30"/>
      <c r="S154" s="7"/>
      <c r="T154" s="7"/>
      <c r="U154" s="31"/>
      <c r="V154" s="7"/>
      <c r="W154" s="7"/>
      <c r="X154" s="7"/>
      <c r="Y154" s="7"/>
      <c r="Z154" s="7"/>
      <c r="AA154" s="7"/>
      <c r="AB154" s="7"/>
      <c r="AC154" s="7"/>
      <c r="AD154" s="7"/>
      <c r="AE154" s="7"/>
      <c r="AF154" s="7"/>
      <c r="AG154" s="7"/>
      <c r="AH154" s="7"/>
      <c r="AI154" s="7"/>
      <c r="AJ154" s="122"/>
      <c r="AK154" s="41"/>
      <c r="AL154" s="52"/>
      <c r="AM154" s="20"/>
      <c r="AN154" s="20"/>
      <c r="AO154" s="20"/>
      <c r="AP154" s="20"/>
      <c r="AQ154" s="7"/>
      <c r="AR154" s="7"/>
      <c r="AS154" s="7"/>
      <c r="AT154" s="7"/>
      <c r="AU154" s="7"/>
      <c r="AV154" s="7"/>
      <c r="AW154" s="7"/>
      <c r="AX154" s="7"/>
      <c r="AY154" s="7"/>
      <c r="AZ154" s="7"/>
      <c r="BA154" s="7"/>
      <c r="BB154" s="7"/>
      <c r="BC154" s="7"/>
      <c r="BD154" s="55"/>
      <c r="BE154" s="55"/>
      <c r="BF154" s="7"/>
      <c r="BG154" s="7"/>
      <c r="BH154" s="7"/>
      <c r="BI154" s="7"/>
      <c r="BJ154" s="7"/>
      <c r="BK154" s="7"/>
      <c r="BL154" s="7"/>
      <c r="BM154" s="7"/>
      <c r="BN154" s="61"/>
      <c r="BO154" s="62"/>
      <c r="BP154" s="50"/>
      <c r="BQ154" s="20"/>
      <c r="BR154" s="7"/>
      <c r="BS154" s="7"/>
      <c r="BT154" s="7"/>
      <c r="BU154" s="7"/>
      <c r="BV154" s="55"/>
      <c r="BW154" s="7"/>
      <c r="BX154" s="55"/>
      <c r="BY154" s="7"/>
      <c r="BZ154" s="7"/>
      <c r="CA154" s="7"/>
      <c r="CB154" s="7"/>
      <c r="CC154" s="7"/>
      <c r="CD154" s="104"/>
      <c r="CE154" s="105"/>
      <c r="CF154" s="7"/>
      <c r="CG154" s="7"/>
      <c r="CH154" s="7"/>
      <c r="CI154" s="7"/>
      <c r="CJ154" s="7"/>
      <c r="CK154" s="7"/>
      <c r="CL154" s="7"/>
      <c r="CM154" s="7"/>
      <c r="CN154" s="7"/>
      <c r="CO154" s="7"/>
      <c r="CP154" s="55"/>
      <c r="CQ154" s="7"/>
      <c r="CR154" s="7"/>
      <c r="CS154" s="130"/>
      <c r="CT154" s="7"/>
      <c r="CU154" s="7"/>
      <c r="CV154" s="7"/>
      <c r="CW154" s="7"/>
      <c r="CX154" s="7"/>
      <c r="CY154" s="73"/>
      <c r="CZ154" s="7"/>
      <c r="DA154" s="7"/>
      <c r="DB154" s="7"/>
      <c r="DC154" s="48"/>
      <c r="DD154" s="7"/>
      <c r="DE154" s="7"/>
      <c r="DF154" s="7"/>
      <c r="DG154" s="7"/>
      <c r="DH154" s="7"/>
      <c r="DI154" s="7"/>
      <c r="DJ154" s="7"/>
      <c r="DK154" s="7"/>
      <c r="DL154" s="74"/>
      <c r="DM154" s="7"/>
      <c r="DN154" s="7"/>
      <c r="DO154" s="7"/>
      <c r="DP154" s="7"/>
      <c r="DQ154" s="58"/>
      <c r="DR154" s="7"/>
      <c r="DS154" s="7"/>
      <c r="DT154" s="7"/>
      <c r="DU154" s="73"/>
      <c r="DV154" s="73"/>
      <c r="DW154" s="7"/>
      <c r="DX154" s="7"/>
      <c r="DY154" s="7"/>
      <c r="DZ154" s="7"/>
      <c r="EA154" s="7"/>
      <c r="EB154" s="7"/>
      <c r="EC154" s="7"/>
      <c r="ED154" s="7"/>
      <c r="EE154" s="7"/>
      <c r="EF154" s="7"/>
      <c r="EG154" s="7"/>
      <c r="EH154" s="7"/>
      <c r="EI154" s="7"/>
      <c r="EJ154" s="7"/>
      <c r="EK154" s="7"/>
      <c r="EL154" s="7"/>
      <c r="EM154" s="7"/>
      <c r="EN154" s="19"/>
      <c r="EO154" s="7"/>
      <c r="EP154" s="7"/>
      <c r="EQ154" s="7"/>
      <c r="ER154" s="7"/>
      <c r="ES154" s="7"/>
      <c r="ET154" s="55"/>
      <c r="EU154" s="7"/>
      <c r="EV154" s="7"/>
      <c r="EW154" s="7"/>
      <c r="EX154" s="7"/>
      <c r="EY154" s="7"/>
      <c r="EZ154" s="7"/>
      <c r="FA154" s="72"/>
      <c r="FB154" s="7"/>
      <c r="FC154" s="55"/>
      <c r="FD154" s="55"/>
      <c r="FE154" s="55"/>
      <c r="FF154" s="7"/>
      <c r="FG154" s="7"/>
      <c r="FH154" s="7"/>
      <c r="FI154" s="7"/>
      <c r="FJ154" s="7"/>
      <c r="FK154" s="7"/>
      <c r="FL154" s="7"/>
      <c r="FM154" s="7"/>
      <c r="FN154" s="7"/>
      <c r="FO154" s="7"/>
      <c r="FP154" s="7"/>
      <c r="FQ154" s="7"/>
      <c r="FR154" s="7"/>
      <c r="FS154" s="77"/>
      <c r="FT154" s="30"/>
      <c r="FU154" s="7"/>
      <c r="FV154" s="55"/>
      <c r="FW154" s="55"/>
      <c r="FX154" s="7"/>
      <c r="FY154" s="7"/>
      <c r="FZ154" s="7"/>
      <c r="GA154" s="7"/>
      <c r="GB154" s="7"/>
      <c r="GC154" s="7"/>
      <c r="GD154" s="103"/>
      <c r="GE154" s="7"/>
      <c r="GF154" s="7"/>
      <c r="GG154" s="7"/>
      <c r="GH154" s="7"/>
      <c r="GI154" s="7"/>
      <c r="GJ154" s="7"/>
      <c r="GK154" s="7"/>
      <c r="GL154" s="7"/>
      <c r="GM154" s="7"/>
      <c r="GN154" s="7"/>
      <c r="GO154" s="7"/>
      <c r="GP154" s="7"/>
      <c r="GQ154" s="7"/>
      <c r="GR154" s="7"/>
      <c r="GS154" s="7"/>
      <c r="GT154" s="7"/>
      <c r="GU154" s="7"/>
      <c r="GV154" s="7"/>
      <c r="GW154" s="7"/>
      <c r="GX154" s="7"/>
      <c r="GY154" s="7"/>
      <c r="GZ154" s="7"/>
      <c r="HA154" s="7"/>
      <c r="HB154" s="7"/>
      <c r="HC154" s="7"/>
      <c r="HD154" s="7"/>
      <c r="HE154" s="7"/>
      <c r="HF154" s="7"/>
      <c r="HG154" s="7"/>
      <c r="HH154" s="7"/>
      <c r="HI154" s="7"/>
      <c r="HJ154" s="7"/>
      <c r="HK154" s="7"/>
      <c r="HL154" s="7"/>
      <c r="HM154" s="7"/>
      <c r="HN154" s="7"/>
      <c r="HO154" s="7"/>
      <c r="HP154" s="7"/>
      <c r="HQ154" s="7"/>
      <c r="HR154" s="7"/>
      <c r="HS154" s="7"/>
      <c r="HT154" s="7"/>
      <c r="HU154" s="7"/>
      <c r="HV154" s="7"/>
      <c r="HW154" s="7"/>
      <c r="HX154" s="7"/>
      <c r="HY154" s="7"/>
      <c r="HZ154" s="7"/>
      <c r="IA154" s="7"/>
      <c r="IB154" s="7"/>
      <c r="IC154" s="7"/>
      <c r="ID154" s="7"/>
      <c r="IE154" s="29"/>
      <c r="IF154" s="7"/>
      <c r="IG154" s="7"/>
      <c r="IH154" s="7"/>
      <c r="II154" s="7"/>
      <c r="IJ154" s="7"/>
      <c r="IK154" s="7"/>
      <c r="IL154" s="7"/>
      <c r="IM154" s="7"/>
      <c r="IN154" s="7"/>
      <c r="IO154" s="7"/>
      <c r="IP154" s="7"/>
      <c r="IQ154" s="7"/>
      <c r="IR154" s="7"/>
      <c r="IS154" s="7"/>
      <c r="IT154" s="55"/>
      <c r="IU154" s="7"/>
      <c r="IV154" s="7"/>
    </row>
    <row r="155" spans="1:256" s="11" customFormat="1" ht="12.75" customHeight="1">
      <c r="A155" s="19"/>
      <c r="B155" s="19"/>
      <c r="C155" s="176" t="s">
        <v>4293</v>
      </c>
      <c r="D155" s="19"/>
      <c r="E155" s="7"/>
      <c r="F155" s="7"/>
      <c r="G155" s="7"/>
      <c r="H155" s="7"/>
      <c r="I155" s="8"/>
      <c r="J155" s="19" t="str">
        <f ca="1">IF(remove!D15="Head",CELL("contents",D155),"")</f>
        <v/>
      </c>
      <c r="K155" s="7"/>
      <c r="L155" s="7"/>
      <c r="M155" s="7"/>
      <c r="N155" s="7"/>
      <c r="O155" s="7"/>
      <c r="P155" s="7"/>
      <c r="Q155" s="29"/>
      <c r="R155" s="30"/>
      <c r="S155" s="7"/>
      <c r="T155" s="7"/>
      <c r="U155" s="31"/>
      <c r="V155" s="7"/>
      <c r="W155" s="7"/>
      <c r="X155" s="7"/>
      <c r="Y155" s="7"/>
      <c r="Z155" s="7"/>
      <c r="AA155" s="7"/>
      <c r="AB155" s="7"/>
      <c r="AC155" s="7"/>
      <c r="AD155" s="7"/>
      <c r="AE155" s="7"/>
      <c r="AF155" s="7"/>
      <c r="AG155" s="7"/>
      <c r="AH155" s="7"/>
      <c r="AI155" s="7"/>
      <c r="AJ155" s="122"/>
      <c r="AK155" s="41"/>
      <c r="AL155" s="52"/>
      <c r="AM155" s="20"/>
      <c r="AN155" s="20"/>
      <c r="AO155" s="20"/>
      <c r="AP155" s="20"/>
      <c r="AQ155" s="7"/>
      <c r="AR155" s="7"/>
      <c r="AS155" s="7"/>
      <c r="AT155" s="7"/>
      <c r="AU155" s="7"/>
      <c r="AV155" s="7"/>
      <c r="AW155" s="7"/>
      <c r="AX155" s="7"/>
      <c r="AY155" s="7"/>
      <c r="AZ155" s="7"/>
      <c r="BA155" s="7"/>
      <c r="BB155" s="7"/>
      <c r="BC155" s="7"/>
      <c r="BD155" s="55"/>
      <c r="BE155" s="55"/>
      <c r="BF155" s="7"/>
      <c r="BG155" s="7"/>
      <c r="BH155" s="7"/>
      <c r="BI155" s="7"/>
      <c r="BJ155" s="7"/>
      <c r="BK155" s="7"/>
      <c r="BL155" s="7"/>
      <c r="BM155" s="7"/>
      <c r="BN155" s="61"/>
      <c r="BO155" s="62"/>
      <c r="BP155" s="50"/>
      <c r="BQ155" s="20"/>
      <c r="BR155" s="7"/>
      <c r="BS155" s="7"/>
      <c r="BT155" s="7"/>
      <c r="BU155" s="7"/>
      <c r="BV155" s="55"/>
      <c r="BW155" s="7"/>
      <c r="BX155" s="55"/>
      <c r="BY155" s="7"/>
      <c r="BZ155" s="7"/>
      <c r="CA155" s="7"/>
      <c r="CB155" s="7"/>
      <c r="CC155" s="7"/>
      <c r="CD155" s="104"/>
      <c r="CE155" s="105"/>
      <c r="CF155" s="7"/>
      <c r="CG155" s="7"/>
      <c r="CH155" s="7"/>
      <c r="CI155" s="7"/>
      <c r="CJ155" s="7"/>
      <c r="CK155" s="7"/>
      <c r="CL155" s="7"/>
      <c r="CM155" s="7"/>
      <c r="CN155" s="7"/>
      <c r="CO155" s="7"/>
      <c r="CP155" s="55"/>
      <c r="CQ155" s="7"/>
      <c r="CR155" s="7"/>
      <c r="CS155" s="130"/>
      <c r="CT155" s="7"/>
      <c r="CU155" s="7"/>
      <c r="CV155" s="7"/>
      <c r="CW155" s="7"/>
      <c r="CX155" s="7"/>
      <c r="CY155" s="73"/>
      <c r="CZ155" s="7"/>
      <c r="DA155" s="7"/>
      <c r="DB155" s="7"/>
      <c r="DC155" s="48"/>
      <c r="DD155" s="7"/>
      <c r="DE155" s="7"/>
      <c r="DF155" s="7"/>
      <c r="DG155" s="7"/>
      <c r="DH155" s="7"/>
      <c r="DI155" s="7"/>
      <c r="DJ155" s="7"/>
      <c r="DK155" s="7"/>
      <c r="DL155" s="74"/>
      <c r="DM155" s="7"/>
      <c r="DN155" s="7"/>
      <c r="DO155" s="7"/>
      <c r="DP155" s="7"/>
      <c r="DQ155" s="58"/>
      <c r="DR155" s="7"/>
      <c r="DS155" s="7"/>
      <c r="DT155" s="7"/>
      <c r="DU155" s="73"/>
      <c r="DV155" s="73"/>
      <c r="DW155" s="7"/>
      <c r="DX155" s="7"/>
      <c r="DY155" s="7"/>
      <c r="DZ155" s="7"/>
      <c r="EA155" s="7"/>
      <c r="EB155" s="7"/>
      <c r="EC155" s="7"/>
      <c r="ED155" s="7"/>
      <c r="EE155" s="7"/>
      <c r="EF155" s="7"/>
      <c r="EG155" s="7"/>
      <c r="EH155" s="7"/>
      <c r="EI155" s="7"/>
      <c r="EJ155" s="7"/>
      <c r="EK155" s="7"/>
      <c r="EL155" s="7"/>
      <c r="EM155" s="7"/>
      <c r="EN155" s="19"/>
      <c r="EO155" s="7"/>
      <c r="EP155" s="7"/>
      <c r="EQ155" s="7"/>
      <c r="ER155" s="7"/>
      <c r="ES155" s="7"/>
      <c r="ET155" s="55"/>
      <c r="EU155" s="7"/>
      <c r="EV155" s="7"/>
      <c r="EW155" s="7"/>
      <c r="EX155" s="7"/>
      <c r="EY155" s="7"/>
      <c r="EZ155" s="7"/>
      <c r="FA155" s="72"/>
      <c r="FB155" s="7"/>
      <c r="FC155" s="55"/>
      <c r="FD155" s="55"/>
      <c r="FE155" s="55"/>
      <c r="FF155" s="7"/>
      <c r="FG155" s="7"/>
      <c r="FH155" s="7"/>
      <c r="FI155" s="7"/>
      <c r="FJ155" s="7"/>
      <c r="FK155" s="7"/>
      <c r="FL155" s="7"/>
      <c r="FM155" s="7"/>
      <c r="FN155" s="7"/>
      <c r="FO155" s="7"/>
      <c r="FP155" s="7"/>
      <c r="FQ155" s="7"/>
      <c r="FR155" s="7"/>
      <c r="FS155" s="77"/>
      <c r="FT155" s="30"/>
      <c r="FU155" s="7"/>
      <c r="FV155" s="55"/>
      <c r="FW155" s="55"/>
      <c r="FX155" s="7"/>
      <c r="FY155" s="7"/>
      <c r="FZ155" s="7"/>
      <c r="GA155" s="7"/>
      <c r="GB155" s="7"/>
      <c r="GC155" s="7"/>
      <c r="GD155" s="103"/>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29"/>
      <c r="IF155" s="7"/>
      <c r="IG155" s="7"/>
      <c r="IH155" s="7"/>
      <c r="II155" s="7"/>
      <c r="IJ155" s="7"/>
      <c r="IK155" s="7"/>
      <c r="IL155" s="7"/>
      <c r="IM155" s="7"/>
      <c r="IN155" s="7"/>
      <c r="IO155" s="7"/>
      <c r="IP155" s="7"/>
      <c r="IQ155" s="7"/>
      <c r="IR155" s="7"/>
      <c r="IS155" s="7"/>
      <c r="IT155" s="55"/>
      <c r="IU155" s="7"/>
      <c r="IV155" s="7"/>
    </row>
    <row r="156" spans="1:256" s="11" customFormat="1" ht="12.75" customHeight="1">
      <c r="A156" s="19"/>
      <c r="B156" s="19"/>
      <c r="C156" s="176" t="s">
        <v>4296</v>
      </c>
      <c r="D156" s="19"/>
      <c r="E156" s="7"/>
      <c r="F156" s="7"/>
      <c r="G156" s="7"/>
      <c r="H156" s="7"/>
      <c r="I156" s="8"/>
      <c r="J156" s="19" t="str">
        <f ca="1">IF(remove!D16="Head",CELL("contents",D156),"")</f>
        <v/>
      </c>
      <c r="K156" s="7"/>
      <c r="L156" s="7"/>
      <c r="M156" s="7"/>
      <c r="N156" s="7"/>
      <c r="O156" s="7"/>
      <c r="P156" s="7"/>
      <c r="Q156" s="29"/>
      <c r="R156" s="30"/>
      <c r="S156" s="7"/>
      <c r="T156" s="7"/>
      <c r="U156" s="31"/>
      <c r="V156" s="7"/>
      <c r="W156" s="7"/>
      <c r="X156" s="7"/>
      <c r="Y156" s="7"/>
      <c r="Z156" s="7"/>
      <c r="AA156" s="7"/>
      <c r="AB156" s="7"/>
      <c r="AC156" s="7"/>
      <c r="AD156" s="7"/>
      <c r="AE156" s="7"/>
      <c r="AF156" s="7"/>
      <c r="AG156" s="7"/>
      <c r="AH156" s="7"/>
      <c r="AI156" s="7"/>
      <c r="AJ156" s="122"/>
      <c r="AK156" s="41"/>
      <c r="AL156" s="52"/>
      <c r="AM156" s="20"/>
      <c r="AN156" s="20"/>
      <c r="AO156" s="20"/>
      <c r="AP156" s="20"/>
      <c r="AQ156" s="7"/>
      <c r="AR156" s="7"/>
      <c r="AS156" s="7"/>
      <c r="AT156" s="7"/>
      <c r="AU156" s="7"/>
      <c r="AV156" s="7"/>
      <c r="AW156" s="7"/>
      <c r="AX156" s="7"/>
      <c r="AY156" s="7"/>
      <c r="AZ156" s="7"/>
      <c r="BA156" s="7"/>
      <c r="BB156" s="7"/>
      <c r="BC156" s="7"/>
      <c r="BD156" s="55"/>
      <c r="BE156" s="55"/>
      <c r="BF156" s="7"/>
      <c r="BG156" s="7"/>
      <c r="BH156" s="7"/>
      <c r="BI156" s="7"/>
      <c r="BJ156" s="7"/>
      <c r="BK156" s="7"/>
      <c r="BL156" s="7"/>
      <c r="BM156" s="7"/>
      <c r="BN156" s="61"/>
      <c r="BO156" s="62"/>
      <c r="BP156" s="50"/>
      <c r="BQ156" s="20"/>
      <c r="BR156" s="7"/>
      <c r="BS156" s="7"/>
      <c r="BT156" s="7"/>
      <c r="BU156" s="7"/>
      <c r="BV156" s="55"/>
      <c r="BW156" s="7"/>
      <c r="BX156" s="55"/>
      <c r="BY156" s="7"/>
      <c r="BZ156" s="7"/>
      <c r="CA156" s="7"/>
      <c r="CB156" s="7"/>
      <c r="CC156" s="7"/>
      <c r="CD156" s="104"/>
      <c r="CE156" s="105"/>
      <c r="CF156" s="7"/>
      <c r="CG156" s="7"/>
      <c r="CH156" s="7"/>
      <c r="CI156" s="7"/>
      <c r="CJ156" s="7"/>
      <c r="CK156" s="7"/>
      <c r="CL156" s="7"/>
      <c r="CM156" s="7"/>
      <c r="CN156" s="7"/>
      <c r="CO156" s="7"/>
      <c r="CP156" s="55"/>
      <c r="CQ156" s="7"/>
      <c r="CR156" s="7"/>
      <c r="CS156" s="130"/>
      <c r="CT156" s="7"/>
      <c r="CU156" s="7"/>
      <c r="CV156" s="7"/>
      <c r="CW156" s="7"/>
      <c r="CX156" s="7"/>
      <c r="CY156" s="73"/>
      <c r="CZ156" s="7"/>
      <c r="DA156" s="7"/>
      <c r="DB156" s="7"/>
      <c r="DC156" s="48"/>
      <c r="DD156" s="7"/>
      <c r="DE156" s="7"/>
      <c r="DF156" s="7"/>
      <c r="DG156" s="7"/>
      <c r="DH156" s="7"/>
      <c r="DI156" s="7"/>
      <c r="DJ156" s="7"/>
      <c r="DK156" s="7"/>
      <c r="DL156" s="74"/>
      <c r="DM156" s="7"/>
      <c r="DN156" s="7"/>
      <c r="DO156" s="7"/>
      <c r="DP156" s="7"/>
      <c r="DQ156" s="58"/>
      <c r="DR156" s="7"/>
      <c r="DS156" s="7"/>
      <c r="DT156" s="7"/>
      <c r="DU156" s="73"/>
      <c r="DV156" s="73"/>
      <c r="DW156" s="7"/>
      <c r="DX156" s="7"/>
      <c r="DY156" s="7"/>
      <c r="DZ156" s="7"/>
      <c r="EA156" s="7"/>
      <c r="EB156" s="7"/>
      <c r="EC156" s="7"/>
      <c r="ED156" s="7"/>
      <c r="EE156" s="7"/>
      <c r="EF156" s="7"/>
      <c r="EG156" s="7"/>
      <c r="EH156" s="7"/>
      <c r="EI156" s="7"/>
      <c r="EJ156" s="7"/>
      <c r="EK156" s="7"/>
      <c r="EL156" s="7"/>
      <c r="EM156" s="7"/>
      <c r="EN156" s="19"/>
      <c r="EO156" s="7"/>
      <c r="EP156" s="7"/>
      <c r="EQ156" s="7"/>
      <c r="ER156" s="7"/>
      <c r="ES156" s="7"/>
      <c r="ET156" s="55"/>
      <c r="EU156" s="7"/>
      <c r="EV156" s="7"/>
      <c r="EW156" s="7"/>
      <c r="EX156" s="7"/>
      <c r="EY156" s="7"/>
      <c r="EZ156" s="7"/>
      <c r="FA156" s="72"/>
      <c r="FB156" s="7"/>
      <c r="FC156" s="55"/>
      <c r="FD156" s="55"/>
      <c r="FE156" s="55"/>
      <c r="FF156" s="7"/>
      <c r="FG156" s="7"/>
      <c r="FH156" s="7"/>
      <c r="FI156" s="7"/>
      <c r="FJ156" s="7"/>
      <c r="FK156" s="7"/>
      <c r="FL156" s="7"/>
      <c r="FM156" s="7"/>
      <c r="FN156" s="7"/>
      <c r="FO156" s="7"/>
      <c r="FP156" s="7"/>
      <c r="FQ156" s="7"/>
      <c r="FR156" s="7"/>
      <c r="FS156" s="77"/>
      <c r="FT156" s="30"/>
      <c r="FU156" s="7"/>
      <c r="FV156" s="55"/>
      <c r="FW156" s="55"/>
      <c r="FX156" s="7"/>
      <c r="FY156" s="7"/>
      <c r="FZ156" s="7"/>
      <c r="GA156" s="7"/>
      <c r="GB156" s="7"/>
      <c r="GC156" s="7"/>
      <c r="GD156" s="103"/>
      <c r="GE156" s="7"/>
      <c r="GF156" s="7"/>
      <c r="GG156" s="7"/>
      <c r="GH156" s="7"/>
      <c r="GI156" s="7"/>
      <c r="GJ156" s="7"/>
      <c r="GK156" s="7"/>
      <c r="GL156" s="7"/>
      <c r="GM156" s="7"/>
      <c r="GN156" s="7"/>
      <c r="GO156" s="7"/>
      <c r="GP156" s="7"/>
      <c r="GQ156" s="7"/>
      <c r="GR156" s="7"/>
      <c r="GS156" s="7"/>
      <c r="GT156" s="7"/>
      <c r="GU156" s="7"/>
      <c r="GV156" s="7"/>
      <c r="GW156" s="7"/>
      <c r="GX156" s="7"/>
      <c r="GY156" s="7"/>
      <c r="GZ156" s="7"/>
      <c r="HA156" s="7"/>
      <c r="HB156" s="7"/>
      <c r="HC156" s="7"/>
      <c r="HD156" s="7"/>
      <c r="HE156" s="7"/>
      <c r="HF156" s="7"/>
      <c r="HG156" s="7"/>
      <c r="HH156" s="7"/>
      <c r="HI156" s="7"/>
      <c r="HJ156" s="7"/>
      <c r="HK156" s="7"/>
      <c r="HL156" s="7"/>
      <c r="HM156" s="7"/>
      <c r="HN156" s="7"/>
      <c r="HO156" s="7"/>
      <c r="HP156" s="7"/>
      <c r="HQ156" s="7"/>
      <c r="HR156" s="7"/>
      <c r="HS156" s="7"/>
      <c r="HT156" s="7"/>
      <c r="HU156" s="7"/>
      <c r="HV156" s="7"/>
      <c r="HW156" s="7"/>
      <c r="HX156" s="7"/>
      <c r="HY156" s="7"/>
      <c r="HZ156" s="7"/>
      <c r="IA156" s="7"/>
      <c r="IB156" s="7"/>
      <c r="IC156" s="7"/>
      <c r="ID156" s="7"/>
      <c r="IE156" s="29"/>
      <c r="IF156" s="7"/>
      <c r="IG156" s="7"/>
      <c r="IH156" s="7"/>
      <c r="II156" s="7"/>
      <c r="IJ156" s="7"/>
      <c r="IK156" s="7"/>
      <c r="IL156" s="7"/>
      <c r="IM156" s="7"/>
      <c r="IN156" s="7"/>
      <c r="IO156" s="7"/>
      <c r="IP156" s="7"/>
      <c r="IQ156" s="7"/>
      <c r="IR156" s="7"/>
      <c r="IS156" s="7"/>
      <c r="IT156" s="55"/>
      <c r="IU156" s="7"/>
      <c r="IV156" s="7"/>
    </row>
    <row r="157" spans="1:256" s="11" customFormat="1" ht="12.75" customHeight="1">
      <c r="A157" s="19"/>
      <c r="B157" s="19"/>
      <c r="C157" s="176" t="s">
        <v>4301</v>
      </c>
      <c r="D157" s="19"/>
      <c r="E157" s="7"/>
      <c r="F157" s="7"/>
      <c r="G157" s="7"/>
      <c r="H157" s="7"/>
      <c r="I157" s="8"/>
      <c r="J157" s="19" t="str">
        <f t="shared" ref="J157:J167" ca="1" si="5">IF(F157="Head",CELL("contents",D157),"")</f>
        <v/>
      </c>
      <c r="K157" s="7"/>
      <c r="L157" s="7"/>
      <c r="M157" s="7"/>
      <c r="N157" s="7"/>
      <c r="O157" s="7"/>
      <c r="P157" s="7"/>
      <c r="Q157" s="29"/>
      <c r="R157" s="30"/>
      <c r="S157" s="7"/>
      <c r="T157" s="7"/>
      <c r="U157" s="31"/>
      <c r="V157" s="7"/>
      <c r="W157" s="7"/>
      <c r="X157" s="7"/>
      <c r="Y157" s="7"/>
      <c r="Z157" s="7"/>
      <c r="AA157" s="7"/>
      <c r="AB157" s="7"/>
      <c r="AC157" s="7"/>
      <c r="AD157" s="7"/>
      <c r="AE157" s="7"/>
      <c r="AF157" s="7"/>
      <c r="AG157" s="7"/>
      <c r="AH157" s="7"/>
      <c r="AI157" s="7"/>
      <c r="AJ157" s="122"/>
      <c r="AK157" s="41"/>
      <c r="AL157" s="52"/>
      <c r="AM157" s="20"/>
      <c r="AN157" s="20"/>
      <c r="AO157" s="20"/>
      <c r="AP157" s="20"/>
      <c r="AQ157" s="7"/>
      <c r="AR157" s="7"/>
      <c r="AS157" s="7"/>
      <c r="AT157" s="7"/>
      <c r="AU157" s="7"/>
      <c r="AV157" s="7"/>
      <c r="AW157" s="7"/>
      <c r="AX157" s="7"/>
      <c r="AY157" s="7"/>
      <c r="AZ157" s="7"/>
      <c r="BA157" s="7"/>
      <c r="BB157" s="7"/>
      <c r="BC157" s="7"/>
      <c r="BD157" s="55"/>
      <c r="BE157" s="55"/>
      <c r="BF157" s="7"/>
      <c r="BG157" s="7"/>
      <c r="BH157" s="7"/>
      <c r="BI157" s="7"/>
      <c r="BJ157" s="7"/>
      <c r="BK157" s="7"/>
      <c r="BL157" s="7"/>
      <c r="BM157" s="7"/>
      <c r="BN157" s="61"/>
      <c r="BO157" s="62"/>
      <c r="BP157" s="50"/>
      <c r="BQ157" s="20"/>
      <c r="BR157" s="7"/>
      <c r="BS157" s="7"/>
      <c r="BT157" s="7"/>
      <c r="BU157" s="7"/>
      <c r="BV157" s="55"/>
      <c r="BW157" s="7"/>
      <c r="BX157" s="55"/>
      <c r="BY157" s="7"/>
      <c r="BZ157" s="7"/>
      <c r="CA157" s="7"/>
      <c r="CB157" s="7"/>
      <c r="CC157" s="7"/>
      <c r="CD157" s="104"/>
      <c r="CE157" s="105"/>
      <c r="CF157" s="7"/>
      <c r="CG157" s="7"/>
      <c r="CH157" s="7"/>
      <c r="CI157" s="7"/>
      <c r="CJ157" s="7"/>
      <c r="CK157" s="7"/>
      <c r="CL157" s="7"/>
      <c r="CM157" s="7"/>
      <c r="CN157" s="7"/>
      <c r="CO157" s="7"/>
      <c r="CP157" s="55"/>
      <c r="CQ157" s="7"/>
      <c r="CR157" s="7"/>
      <c r="CS157" s="130"/>
      <c r="CT157" s="7"/>
      <c r="CU157" s="7"/>
      <c r="CV157" s="7"/>
      <c r="CW157" s="7"/>
      <c r="CX157" s="7"/>
      <c r="CY157" s="73"/>
      <c r="CZ157" s="7"/>
      <c r="DA157" s="7"/>
      <c r="DB157" s="7"/>
      <c r="DC157" s="48"/>
      <c r="DD157" s="7"/>
      <c r="DE157" s="7"/>
      <c r="DF157" s="7"/>
      <c r="DG157" s="7"/>
      <c r="DH157" s="7"/>
      <c r="DI157" s="7"/>
      <c r="DJ157" s="7"/>
      <c r="DK157" s="7"/>
      <c r="DL157" s="74"/>
      <c r="DM157" s="7"/>
      <c r="DN157" s="7"/>
      <c r="DO157" s="7"/>
      <c r="DP157" s="7"/>
      <c r="DQ157" s="58"/>
      <c r="DR157" s="7"/>
      <c r="DS157" s="7"/>
      <c r="DT157" s="7"/>
      <c r="DU157" s="73"/>
      <c r="DV157" s="73"/>
      <c r="DW157" s="7"/>
      <c r="DX157" s="7"/>
      <c r="DY157" s="7"/>
      <c r="DZ157" s="7"/>
      <c r="EA157" s="7"/>
      <c r="EB157" s="7"/>
      <c r="EC157" s="7"/>
      <c r="ED157" s="7"/>
      <c r="EE157" s="7"/>
      <c r="EF157" s="7"/>
      <c r="EG157" s="7"/>
      <c r="EH157" s="7"/>
      <c r="EI157" s="7"/>
      <c r="EJ157" s="7"/>
      <c r="EK157" s="7"/>
      <c r="EL157" s="7"/>
      <c r="EM157" s="7"/>
      <c r="EN157" s="19"/>
      <c r="EO157" s="7"/>
      <c r="EP157" s="7"/>
      <c r="EQ157" s="7"/>
      <c r="ER157" s="7"/>
      <c r="ES157" s="7"/>
      <c r="ET157" s="55"/>
      <c r="EU157" s="7"/>
      <c r="EV157" s="7"/>
      <c r="EW157" s="7"/>
      <c r="EX157" s="7"/>
      <c r="EY157" s="7"/>
      <c r="EZ157" s="7"/>
      <c r="FA157" s="72"/>
      <c r="FB157" s="7"/>
      <c r="FC157" s="55"/>
      <c r="FD157" s="55"/>
      <c r="FE157" s="55"/>
      <c r="FF157" s="7"/>
      <c r="FG157" s="7"/>
      <c r="FH157" s="7"/>
      <c r="FI157" s="7"/>
      <c r="FJ157" s="7"/>
      <c r="FK157" s="7"/>
      <c r="FL157" s="7"/>
      <c r="FM157" s="7"/>
      <c r="FN157" s="7"/>
      <c r="FO157" s="7"/>
      <c r="FP157" s="7"/>
      <c r="FQ157" s="7"/>
      <c r="FR157" s="7"/>
      <c r="FS157" s="77"/>
      <c r="FT157" s="30"/>
      <c r="FU157" s="7"/>
      <c r="FV157" s="55"/>
      <c r="FW157" s="55"/>
      <c r="FX157" s="7"/>
      <c r="FY157" s="7"/>
      <c r="FZ157" s="7"/>
      <c r="GA157" s="7"/>
      <c r="GB157" s="7"/>
      <c r="GC157" s="7"/>
      <c r="GD157" s="103"/>
      <c r="GE157" s="7"/>
      <c r="GF157" s="7"/>
      <c r="GG157" s="7"/>
      <c r="GH157" s="7"/>
      <c r="GI157" s="7"/>
      <c r="GJ157" s="7"/>
      <c r="GK157" s="7"/>
      <c r="GL157" s="7"/>
      <c r="GM157" s="7"/>
      <c r="GN157" s="7"/>
      <c r="GO157" s="7"/>
      <c r="GP157" s="7"/>
      <c r="GQ157" s="7"/>
      <c r="GR157" s="7"/>
      <c r="GS157" s="7"/>
      <c r="GT157" s="7"/>
      <c r="GU157" s="7"/>
      <c r="GV157" s="7"/>
      <c r="GW157" s="7"/>
      <c r="GX157" s="7"/>
      <c r="GY157" s="7"/>
      <c r="GZ157" s="7"/>
      <c r="HA157" s="7"/>
      <c r="HB157" s="7"/>
      <c r="HC157" s="7"/>
      <c r="HD157" s="7"/>
      <c r="HE157" s="7"/>
      <c r="HF157" s="7"/>
      <c r="HG157" s="7"/>
      <c r="HH157" s="7"/>
      <c r="HI157" s="7"/>
      <c r="HJ157" s="7"/>
      <c r="HK157" s="7"/>
      <c r="HL157" s="7"/>
      <c r="HM157" s="7"/>
      <c r="HN157" s="7"/>
      <c r="HO157" s="7"/>
      <c r="HP157" s="7"/>
      <c r="HQ157" s="7"/>
      <c r="HR157" s="7"/>
      <c r="HS157" s="7"/>
      <c r="HT157" s="7"/>
      <c r="HU157" s="7"/>
      <c r="HV157" s="7"/>
      <c r="HW157" s="7"/>
      <c r="HX157" s="7"/>
      <c r="HY157" s="7"/>
      <c r="HZ157" s="7"/>
      <c r="IA157" s="7"/>
      <c r="IB157" s="7"/>
      <c r="IC157" s="7"/>
      <c r="ID157" s="7"/>
      <c r="IE157" s="29"/>
      <c r="IF157" s="7"/>
      <c r="IG157" s="7"/>
      <c r="IH157" s="7"/>
      <c r="II157" s="7"/>
      <c r="IJ157" s="7"/>
      <c r="IK157" s="7"/>
      <c r="IL157" s="7"/>
      <c r="IM157" s="7"/>
      <c r="IN157" s="7"/>
      <c r="IO157" s="7"/>
      <c r="IP157" s="7"/>
      <c r="IQ157" s="7"/>
      <c r="IR157" s="7"/>
      <c r="IS157" s="7"/>
      <c r="IT157" s="55"/>
      <c r="IU157" s="7"/>
      <c r="IV157" s="7"/>
    </row>
    <row r="158" spans="1:256" s="11" customFormat="1" ht="12.75" customHeight="1">
      <c r="A158" s="19"/>
      <c r="B158" s="19"/>
      <c r="C158" s="176"/>
      <c r="D158" s="19"/>
      <c r="E158" s="17"/>
      <c r="F158" s="7"/>
      <c r="G158" s="7"/>
      <c r="H158" s="7"/>
      <c r="I158" s="8"/>
      <c r="J158" s="19" t="str">
        <f t="shared" ca="1" si="5"/>
        <v/>
      </c>
      <c r="K158" s="7"/>
      <c r="L158" s="7"/>
      <c r="M158" s="7"/>
      <c r="N158" s="7"/>
      <c r="O158" s="7"/>
      <c r="P158" s="7"/>
      <c r="Q158" s="29"/>
      <c r="R158" s="30"/>
      <c r="S158" s="7"/>
      <c r="T158" s="7"/>
      <c r="U158" s="31"/>
      <c r="V158" s="7"/>
      <c r="W158" s="7"/>
      <c r="X158" s="7"/>
      <c r="Y158" s="7"/>
      <c r="Z158" s="7"/>
      <c r="AA158" s="7"/>
      <c r="AB158" s="7"/>
      <c r="AC158" s="7"/>
      <c r="AD158" s="7"/>
      <c r="AE158" s="7"/>
      <c r="AF158" s="7"/>
      <c r="AG158" s="7"/>
      <c r="AH158" s="7"/>
      <c r="AI158" s="7"/>
      <c r="AJ158" s="122"/>
      <c r="AK158" s="41"/>
      <c r="AL158" s="52"/>
      <c r="AM158" s="20"/>
      <c r="AN158" s="20"/>
      <c r="AO158" s="20"/>
      <c r="AP158" s="20"/>
      <c r="AQ158" s="7"/>
      <c r="AR158" s="7"/>
      <c r="AS158" s="7"/>
      <c r="AT158" s="7"/>
      <c r="AU158" s="7"/>
      <c r="AV158" s="7"/>
      <c r="AW158" s="7"/>
      <c r="AX158" s="7"/>
      <c r="AY158" s="7"/>
      <c r="AZ158" s="7"/>
      <c r="BA158" s="7"/>
      <c r="BB158" s="7"/>
      <c r="BC158" s="7"/>
      <c r="BD158" s="55"/>
      <c r="BE158" s="55"/>
      <c r="BF158" s="7"/>
      <c r="BG158" s="7"/>
      <c r="BH158" s="7"/>
      <c r="BI158" s="7"/>
      <c r="BJ158" s="7"/>
      <c r="BK158" s="7"/>
      <c r="BL158" s="7"/>
      <c r="BM158" s="7"/>
      <c r="BN158" s="61"/>
      <c r="BO158" s="62"/>
      <c r="BP158" s="50"/>
      <c r="BQ158" s="20"/>
      <c r="BR158" s="7"/>
      <c r="BS158" s="7"/>
      <c r="BT158" s="7"/>
      <c r="BU158" s="7"/>
      <c r="BV158" s="55"/>
      <c r="BW158" s="7"/>
      <c r="BX158" s="55"/>
      <c r="BY158" s="7"/>
      <c r="BZ158" s="7"/>
      <c r="CA158" s="7"/>
      <c r="CB158" s="7"/>
      <c r="CC158" s="7"/>
      <c r="CD158" s="104"/>
      <c r="CE158" s="105"/>
      <c r="CF158" s="7"/>
      <c r="CG158" s="7"/>
      <c r="CH158" s="7"/>
      <c r="CI158" s="7"/>
      <c r="CJ158" s="7"/>
      <c r="CK158" s="7"/>
      <c r="CL158" s="7"/>
      <c r="CM158" s="7"/>
      <c r="CN158" s="7"/>
      <c r="CO158" s="7"/>
      <c r="CP158" s="55"/>
      <c r="CQ158" s="7"/>
      <c r="CR158" s="7"/>
      <c r="CS158" s="130"/>
      <c r="CT158" s="7"/>
      <c r="CU158" s="7"/>
      <c r="CV158" s="7"/>
      <c r="CW158" s="7"/>
      <c r="CX158" s="7"/>
      <c r="CY158" s="73"/>
      <c r="CZ158" s="7"/>
      <c r="DA158" s="7"/>
      <c r="DB158" s="7"/>
      <c r="DC158" s="48"/>
      <c r="DD158" s="7"/>
      <c r="DE158" s="7"/>
      <c r="DF158" s="7"/>
      <c r="DG158" s="7"/>
      <c r="DH158" s="7"/>
      <c r="DI158" s="7"/>
      <c r="DJ158" s="7"/>
      <c r="DK158" s="7"/>
      <c r="DL158" s="74"/>
      <c r="DM158" s="7"/>
      <c r="DN158" s="7"/>
      <c r="DO158" s="7"/>
      <c r="DP158" s="7"/>
      <c r="DQ158" s="58"/>
      <c r="DR158" s="7"/>
      <c r="DS158" s="7"/>
      <c r="DT158" s="7"/>
      <c r="DU158" s="73"/>
      <c r="DV158" s="73"/>
      <c r="DW158" s="7"/>
      <c r="DX158" s="7"/>
      <c r="DY158" s="7"/>
      <c r="DZ158" s="7"/>
      <c r="EA158" s="7"/>
      <c r="EB158" s="7"/>
      <c r="EC158" s="7"/>
      <c r="ED158" s="7"/>
      <c r="EE158" s="7"/>
      <c r="EF158" s="7"/>
      <c r="EG158" s="7"/>
      <c r="EH158" s="7"/>
      <c r="EI158" s="7"/>
      <c r="EJ158" s="7"/>
      <c r="EK158" s="7"/>
      <c r="EL158" s="7"/>
      <c r="EM158" s="7"/>
      <c r="EN158" s="19"/>
      <c r="EO158" s="7"/>
      <c r="EP158" s="7"/>
      <c r="EQ158" s="7"/>
      <c r="ER158" s="7"/>
      <c r="ES158" s="7"/>
      <c r="ET158" s="55"/>
      <c r="EU158" s="7"/>
      <c r="EV158" s="7"/>
      <c r="EW158" s="7"/>
      <c r="EX158" s="7"/>
      <c r="EY158" s="7"/>
      <c r="EZ158" s="7"/>
      <c r="FA158" s="72"/>
      <c r="FB158" s="7"/>
      <c r="FC158" s="55"/>
      <c r="FD158" s="55"/>
      <c r="FE158" s="55"/>
      <c r="FF158" s="7"/>
      <c r="FG158" s="7"/>
      <c r="FH158" s="7"/>
      <c r="FI158" s="7"/>
      <c r="FJ158" s="7"/>
      <c r="FK158" s="7"/>
      <c r="FL158" s="7"/>
      <c r="FM158" s="7"/>
      <c r="FN158" s="7"/>
      <c r="FO158" s="7"/>
      <c r="FP158" s="7"/>
      <c r="FQ158" s="7"/>
      <c r="FR158" s="7"/>
      <c r="FS158" s="77"/>
      <c r="FT158" s="30"/>
      <c r="FU158" s="7"/>
      <c r="FV158" s="55"/>
      <c r="FW158" s="55"/>
      <c r="FX158" s="7"/>
      <c r="FY158" s="7"/>
      <c r="FZ158" s="7"/>
      <c r="GA158" s="7"/>
      <c r="GB158" s="7"/>
      <c r="GC158" s="7"/>
      <c r="GD158" s="103"/>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29"/>
      <c r="IF158" s="7"/>
      <c r="IG158" s="7"/>
      <c r="IH158" s="7"/>
      <c r="II158" s="7"/>
      <c r="IJ158" s="7"/>
      <c r="IK158" s="7"/>
      <c r="IL158" s="7"/>
      <c r="IM158" s="7"/>
      <c r="IN158" s="7"/>
      <c r="IO158" s="7"/>
      <c r="IP158" s="7"/>
      <c r="IQ158" s="7"/>
      <c r="IR158" s="7"/>
      <c r="IS158" s="7"/>
      <c r="IT158" s="55"/>
      <c r="IU158" s="7"/>
      <c r="IV158" s="7"/>
    </row>
    <row r="159" spans="1:256" s="11" customFormat="1" ht="12.75" customHeight="1">
      <c r="A159" s="19"/>
      <c r="B159" s="19"/>
      <c r="C159" s="176"/>
      <c r="D159" s="19"/>
      <c r="E159" s="7"/>
      <c r="F159" s="7"/>
      <c r="G159" s="7"/>
      <c r="H159" s="7"/>
      <c r="I159" s="8"/>
      <c r="J159" s="19" t="str">
        <f t="shared" ca="1" si="5"/>
        <v/>
      </c>
      <c r="K159" s="7"/>
      <c r="L159" s="7"/>
      <c r="M159" s="7"/>
      <c r="N159" s="7"/>
      <c r="O159" s="7"/>
      <c r="P159" s="7"/>
      <c r="Q159" s="29"/>
      <c r="R159" s="30"/>
      <c r="S159" s="7"/>
      <c r="T159" s="7"/>
      <c r="U159" s="31"/>
      <c r="V159" s="7"/>
      <c r="W159" s="7"/>
      <c r="X159" s="7"/>
      <c r="Y159" s="7"/>
      <c r="Z159" s="7"/>
      <c r="AA159" s="7"/>
      <c r="AB159" s="7"/>
      <c r="AC159" s="7"/>
      <c r="AD159" s="7"/>
      <c r="AE159" s="7"/>
      <c r="AF159" s="7"/>
      <c r="AG159" s="7"/>
      <c r="AH159" s="7"/>
      <c r="AI159" s="7"/>
      <c r="AJ159" s="122"/>
      <c r="AK159" s="41"/>
      <c r="AL159" s="52"/>
      <c r="AM159" s="20"/>
      <c r="AN159" s="20"/>
      <c r="AO159" s="20"/>
      <c r="AP159" s="20"/>
      <c r="AQ159" s="7"/>
      <c r="AR159" s="7"/>
      <c r="AS159" s="7"/>
      <c r="AT159" s="7"/>
      <c r="AU159" s="7"/>
      <c r="AV159" s="7"/>
      <c r="AW159" s="7"/>
      <c r="AX159" s="7"/>
      <c r="AY159" s="7"/>
      <c r="AZ159" s="7"/>
      <c r="BA159" s="7"/>
      <c r="BB159" s="7"/>
      <c r="BC159" s="7"/>
      <c r="BD159" s="55"/>
      <c r="BE159" s="55"/>
      <c r="BF159" s="7"/>
      <c r="BG159" s="7"/>
      <c r="BH159" s="7"/>
      <c r="BI159" s="7"/>
      <c r="BJ159" s="7"/>
      <c r="BK159" s="7"/>
      <c r="BL159" s="7"/>
      <c r="BM159" s="7"/>
      <c r="BN159" s="61"/>
      <c r="BO159" s="62"/>
      <c r="BP159" s="50"/>
      <c r="BQ159" s="20"/>
      <c r="BR159" s="7"/>
      <c r="BS159" s="7"/>
      <c r="BT159" s="7"/>
      <c r="BU159" s="7"/>
      <c r="BV159" s="55"/>
      <c r="BW159" s="7"/>
      <c r="BX159" s="55"/>
      <c r="BY159" s="7"/>
      <c r="BZ159" s="7"/>
      <c r="CA159" s="7"/>
      <c r="CB159" s="7"/>
      <c r="CC159" s="7"/>
      <c r="CD159" s="104"/>
      <c r="CE159" s="105"/>
      <c r="CF159" s="7"/>
      <c r="CG159" s="7"/>
      <c r="CH159" s="7"/>
      <c r="CI159" s="7"/>
      <c r="CJ159" s="7"/>
      <c r="CK159" s="7"/>
      <c r="CL159" s="7"/>
      <c r="CM159" s="7"/>
      <c r="CN159" s="7"/>
      <c r="CO159" s="7"/>
      <c r="CP159" s="55"/>
      <c r="CQ159" s="7"/>
      <c r="CR159" s="7"/>
      <c r="CS159" s="130"/>
      <c r="CT159" s="7"/>
      <c r="CU159" s="7"/>
      <c r="CV159" s="7"/>
      <c r="CW159" s="7"/>
      <c r="CX159" s="7"/>
      <c r="CY159" s="73"/>
      <c r="CZ159" s="7"/>
      <c r="DA159" s="7"/>
      <c r="DB159" s="7"/>
      <c r="DC159" s="48"/>
      <c r="DD159" s="7"/>
      <c r="DE159" s="7"/>
      <c r="DF159" s="7"/>
      <c r="DG159" s="7"/>
      <c r="DH159" s="7"/>
      <c r="DI159" s="7"/>
      <c r="DJ159" s="7"/>
      <c r="DK159" s="7"/>
      <c r="DL159" s="74"/>
      <c r="DM159" s="7"/>
      <c r="DN159" s="7"/>
      <c r="DO159" s="7"/>
      <c r="DP159" s="7"/>
      <c r="DQ159" s="58"/>
      <c r="DR159" s="7"/>
      <c r="DS159" s="7"/>
      <c r="DT159" s="7"/>
      <c r="DU159" s="73"/>
      <c r="DV159" s="73"/>
      <c r="DW159" s="7"/>
      <c r="DX159" s="7"/>
      <c r="DY159" s="7"/>
      <c r="DZ159" s="7"/>
      <c r="EA159" s="7"/>
      <c r="EB159" s="7"/>
      <c r="EC159" s="7"/>
      <c r="ED159" s="7"/>
      <c r="EE159" s="7"/>
      <c r="EF159" s="7"/>
      <c r="EG159" s="7"/>
      <c r="EH159" s="7"/>
      <c r="EI159" s="7"/>
      <c r="EJ159" s="7"/>
      <c r="EK159" s="7"/>
      <c r="EL159" s="7"/>
      <c r="EM159" s="7"/>
      <c r="EN159" s="19"/>
      <c r="EO159" s="7"/>
      <c r="EP159" s="7"/>
      <c r="EQ159" s="7"/>
      <c r="ER159" s="7"/>
      <c r="ES159" s="7"/>
      <c r="ET159" s="55"/>
      <c r="EU159" s="7"/>
      <c r="EV159" s="7"/>
      <c r="EW159" s="7"/>
      <c r="EX159" s="7"/>
      <c r="EY159" s="7"/>
      <c r="EZ159" s="7"/>
      <c r="FA159" s="72"/>
      <c r="FB159" s="7"/>
      <c r="FC159" s="55"/>
      <c r="FD159" s="55"/>
      <c r="FE159" s="55"/>
      <c r="FF159" s="7"/>
      <c r="FG159" s="7"/>
      <c r="FH159" s="7"/>
      <c r="FI159" s="7"/>
      <c r="FJ159" s="7"/>
      <c r="FK159" s="7"/>
      <c r="FL159" s="7"/>
      <c r="FM159" s="7"/>
      <c r="FN159" s="7"/>
      <c r="FO159" s="7"/>
      <c r="FP159" s="7"/>
      <c r="FQ159" s="7"/>
      <c r="FR159" s="7"/>
      <c r="FS159" s="77"/>
      <c r="FT159" s="30"/>
      <c r="FU159" s="7"/>
      <c r="FV159" s="55"/>
      <c r="FW159" s="55"/>
      <c r="FX159" s="7"/>
      <c r="FY159" s="7"/>
      <c r="FZ159" s="7"/>
      <c r="GA159" s="7"/>
      <c r="GB159" s="7"/>
      <c r="GC159" s="7"/>
      <c r="GD159" s="103"/>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c r="HS159" s="7"/>
      <c r="HT159" s="7"/>
      <c r="HU159" s="7"/>
      <c r="HV159" s="7"/>
      <c r="HW159" s="7"/>
      <c r="HX159" s="7"/>
      <c r="HY159" s="7"/>
      <c r="HZ159" s="7"/>
      <c r="IA159" s="7"/>
      <c r="IB159" s="7"/>
      <c r="IC159" s="7"/>
      <c r="ID159" s="7"/>
      <c r="IE159" s="29"/>
      <c r="IF159" s="7"/>
      <c r="IG159" s="7"/>
      <c r="IH159" s="7"/>
      <c r="II159" s="7"/>
      <c r="IJ159" s="7"/>
      <c r="IK159" s="7"/>
      <c r="IL159" s="7"/>
      <c r="IM159" s="7"/>
      <c r="IN159" s="7"/>
      <c r="IO159" s="7"/>
      <c r="IP159" s="7"/>
      <c r="IQ159" s="7"/>
      <c r="IR159" s="7"/>
      <c r="IS159" s="7"/>
      <c r="IT159" s="55"/>
      <c r="IU159" s="7"/>
      <c r="IV159" s="7"/>
    </row>
    <row r="160" spans="1:256" s="11" customFormat="1" ht="12.75" customHeight="1">
      <c r="A160" s="19"/>
      <c r="B160" s="19"/>
      <c r="C160" s="176" t="s">
        <v>4294</v>
      </c>
      <c r="D160" s="19"/>
      <c r="E160" s="7"/>
      <c r="F160" s="7"/>
      <c r="G160" s="7"/>
      <c r="H160" s="7"/>
      <c r="I160" s="8"/>
      <c r="J160" s="19" t="str">
        <f t="shared" ca="1" si="5"/>
        <v/>
      </c>
      <c r="K160" s="7"/>
      <c r="L160" s="7"/>
      <c r="M160" s="7"/>
      <c r="N160" s="7"/>
      <c r="O160" s="7"/>
      <c r="P160" s="7"/>
      <c r="Q160" s="29"/>
      <c r="R160" s="30"/>
      <c r="S160" s="7"/>
      <c r="T160" s="7"/>
      <c r="U160" s="31"/>
      <c r="V160" s="7"/>
      <c r="W160" s="7"/>
      <c r="X160" s="7"/>
      <c r="Y160" s="7"/>
      <c r="Z160" s="7"/>
      <c r="AA160" s="7"/>
      <c r="AB160" s="7"/>
      <c r="AC160" s="7"/>
      <c r="AD160" s="7"/>
      <c r="AE160" s="7"/>
      <c r="AF160" s="7"/>
      <c r="AG160" s="7"/>
      <c r="AH160" s="7"/>
      <c r="AI160" s="7"/>
      <c r="AJ160" s="122"/>
      <c r="AK160" s="41"/>
      <c r="AL160" s="52"/>
      <c r="AM160" s="20"/>
      <c r="AN160" s="20"/>
      <c r="AO160" s="20"/>
      <c r="AP160" s="20"/>
      <c r="AQ160" s="7"/>
      <c r="AR160" s="7"/>
      <c r="AS160" s="7"/>
      <c r="AT160" s="7"/>
      <c r="AU160" s="7"/>
      <c r="AV160" s="7"/>
      <c r="AW160" s="7"/>
      <c r="AX160" s="7"/>
      <c r="AY160" s="7"/>
      <c r="AZ160" s="7"/>
      <c r="BA160" s="7"/>
      <c r="BB160" s="7"/>
      <c r="BC160" s="7"/>
      <c r="BD160" s="55"/>
      <c r="BE160" s="55"/>
      <c r="BF160" s="7"/>
      <c r="BG160" s="7"/>
      <c r="BH160" s="7"/>
      <c r="BI160" s="7"/>
      <c r="BJ160" s="7"/>
      <c r="BK160" s="7"/>
      <c r="BL160" s="7"/>
      <c r="BM160" s="7"/>
      <c r="BN160" s="61"/>
      <c r="BO160" s="62"/>
      <c r="BP160" s="50"/>
      <c r="BQ160" s="20"/>
      <c r="BR160" s="7"/>
      <c r="BS160" s="7"/>
      <c r="BT160" s="7"/>
      <c r="BU160" s="7"/>
      <c r="BV160" s="55"/>
      <c r="BW160" s="7"/>
      <c r="BX160" s="55"/>
      <c r="BY160" s="7"/>
      <c r="BZ160" s="7"/>
      <c r="CA160" s="7"/>
      <c r="CB160" s="7"/>
      <c r="CC160" s="7"/>
      <c r="CD160" s="104"/>
      <c r="CE160" s="105"/>
      <c r="CF160" s="7"/>
      <c r="CG160" s="7"/>
      <c r="CH160" s="7"/>
      <c r="CI160" s="7"/>
      <c r="CJ160" s="7"/>
      <c r="CK160" s="7"/>
      <c r="CL160" s="7"/>
      <c r="CM160" s="7"/>
      <c r="CN160" s="7"/>
      <c r="CO160" s="7"/>
      <c r="CP160" s="55"/>
      <c r="CQ160" s="7"/>
      <c r="CR160" s="7"/>
      <c r="CS160" s="130"/>
      <c r="CT160" s="7"/>
      <c r="CU160" s="7"/>
      <c r="CV160" s="7"/>
      <c r="CW160" s="7"/>
      <c r="CX160" s="7"/>
      <c r="CY160" s="73"/>
      <c r="CZ160" s="7"/>
      <c r="DA160" s="7"/>
      <c r="DB160" s="7"/>
      <c r="DC160" s="48"/>
      <c r="DD160" s="7"/>
      <c r="DE160" s="7"/>
      <c r="DF160" s="7"/>
      <c r="DG160" s="7"/>
      <c r="DH160" s="7"/>
      <c r="DI160" s="7"/>
      <c r="DJ160" s="7"/>
      <c r="DK160" s="7"/>
      <c r="DL160" s="74"/>
      <c r="DM160" s="7"/>
      <c r="DN160" s="7"/>
      <c r="DO160" s="7"/>
      <c r="DP160" s="7"/>
      <c r="DQ160" s="58"/>
      <c r="DR160" s="7"/>
      <c r="DS160" s="7"/>
      <c r="DT160" s="7"/>
      <c r="DU160" s="73"/>
      <c r="DV160" s="73"/>
      <c r="DW160" s="7"/>
      <c r="DX160" s="7"/>
      <c r="DY160" s="7"/>
      <c r="DZ160" s="7"/>
      <c r="EA160" s="7"/>
      <c r="EB160" s="7"/>
      <c r="EC160" s="7"/>
      <c r="ED160" s="7"/>
      <c r="EE160" s="7"/>
      <c r="EF160" s="7"/>
      <c r="EG160" s="7"/>
      <c r="EH160" s="7"/>
      <c r="EI160" s="7"/>
      <c r="EJ160" s="7"/>
      <c r="EK160" s="7"/>
      <c r="EL160" s="7"/>
      <c r="EM160" s="7"/>
      <c r="EN160" s="19"/>
      <c r="EO160" s="7"/>
      <c r="EP160" s="7"/>
      <c r="EQ160" s="7"/>
      <c r="ER160" s="7"/>
      <c r="ES160" s="7"/>
      <c r="ET160" s="55"/>
      <c r="EU160" s="7"/>
      <c r="EV160" s="7"/>
      <c r="EW160" s="7"/>
      <c r="EX160" s="7"/>
      <c r="EY160" s="7"/>
      <c r="EZ160" s="7"/>
      <c r="FA160" s="72"/>
      <c r="FB160" s="7"/>
      <c r="FC160" s="55"/>
      <c r="FD160" s="55"/>
      <c r="FE160" s="55"/>
      <c r="FF160" s="7"/>
      <c r="FG160" s="7"/>
      <c r="FH160" s="7"/>
      <c r="FI160" s="7"/>
      <c r="FJ160" s="7"/>
      <c r="FK160" s="7"/>
      <c r="FL160" s="7"/>
      <c r="FM160" s="7"/>
      <c r="FN160" s="7"/>
      <c r="FO160" s="7"/>
      <c r="FP160" s="7"/>
      <c r="FQ160" s="7"/>
      <c r="FR160" s="7"/>
      <c r="FS160" s="77"/>
      <c r="FT160" s="30"/>
      <c r="FU160" s="7"/>
      <c r="FV160" s="55"/>
      <c r="FW160" s="55"/>
      <c r="FX160" s="7"/>
      <c r="FY160" s="7"/>
      <c r="FZ160" s="7"/>
      <c r="GA160" s="7"/>
      <c r="GB160" s="7"/>
      <c r="GC160" s="7"/>
      <c r="GD160" s="103"/>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29"/>
      <c r="IF160" s="7"/>
      <c r="IG160" s="7"/>
      <c r="IH160" s="7"/>
      <c r="II160" s="7"/>
      <c r="IJ160" s="7"/>
      <c r="IK160" s="7"/>
      <c r="IL160" s="7"/>
      <c r="IM160" s="7"/>
      <c r="IN160" s="7"/>
      <c r="IO160" s="7"/>
      <c r="IP160" s="7"/>
      <c r="IQ160" s="7"/>
      <c r="IR160" s="7"/>
      <c r="IS160" s="7"/>
      <c r="IT160" s="55"/>
      <c r="IU160" s="7"/>
      <c r="IV160" s="7"/>
    </row>
    <row r="161" spans="1:256" s="11" customFormat="1" ht="12.75" customHeight="1">
      <c r="A161" s="19"/>
      <c r="B161" s="19"/>
      <c r="C161" s="176" t="s">
        <v>4300</v>
      </c>
      <c r="D161" s="19"/>
      <c r="E161" s="7"/>
      <c r="F161" s="7"/>
      <c r="G161" s="7"/>
      <c r="H161" s="7"/>
      <c r="I161" s="8"/>
      <c r="J161" s="19" t="str">
        <f t="shared" ca="1" si="5"/>
        <v/>
      </c>
      <c r="K161" s="7"/>
      <c r="L161" s="7"/>
      <c r="M161" s="7"/>
      <c r="N161" s="7"/>
      <c r="O161" s="7"/>
      <c r="P161" s="7"/>
      <c r="Q161" s="29"/>
      <c r="R161" s="30"/>
      <c r="S161" s="7"/>
      <c r="T161" s="7"/>
      <c r="U161" s="31"/>
      <c r="V161" s="7"/>
      <c r="W161" s="7"/>
      <c r="X161" s="7"/>
      <c r="Y161" s="7"/>
      <c r="Z161" s="7"/>
      <c r="AA161" s="7"/>
      <c r="AB161" s="7"/>
      <c r="AC161" s="7"/>
      <c r="AD161" s="7"/>
      <c r="AE161" s="7"/>
      <c r="AF161" s="7"/>
      <c r="AG161" s="7"/>
      <c r="AH161" s="7"/>
      <c r="AI161" s="7"/>
      <c r="AJ161" s="122"/>
      <c r="AK161" s="41"/>
      <c r="AL161" s="52"/>
      <c r="AM161" s="20"/>
      <c r="AN161" s="20"/>
      <c r="AO161" s="20"/>
      <c r="AP161" s="20"/>
      <c r="AQ161" s="7"/>
      <c r="AR161" s="7"/>
      <c r="AS161" s="7"/>
      <c r="AT161" s="7"/>
      <c r="AU161" s="7"/>
      <c r="AV161" s="7"/>
      <c r="AW161" s="7"/>
      <c r="AX161" s="7"/>
      <c r="AY161" s="7"/>
      <c r="AZ161" s="7"/>
      <c r="BA161" s="7"/>
      <c r="BB161" s="7"/>
      <c r="BC161" s="7"/>
      <c r="BD161" s="55"/>
      <c r="BE161" s="55"/>
      <c r="BF161" s="7"/>
      <c r="BG161" s="7"/>
      <c r="BH161" s="7"/>
      <c r="BI161" s="7"/>
      <c r="BJ161" s="7"/>
      <c r="BK161" s="7"/>
      <c r="BL161" s="7"/>
      <c r="BM161" s="7"/>
      <c r="BN161" s="61"/>
      <c r="BO161" s="62"/>
      <c r="BP161" s="50"/>
      <c r="BQ161" s="20"/>
      <c r="BR161" s="7"/>
      <c r="BS161" s="7"/>
      <c r="BT161" s="7"/>
      <c r="BU161" s="7"/>
      <c r="BV161" s="55"/>
      <c r="BW161" s="7"/>
      <c r="BX161" s="55"/>
      <c r="BY161" s="7"/>
      <c r="BZ161" s="7"/>
      <c r="CA161" s="7"/>
      <c r="CB161" s="7"/>
      <c r="CC161" s="7"/>
      <c r="CD161" s="104"/>
      <c r="CE161" s="105"/>
      <c r="CF161" s="7"/>
      <c r="CG161" s="7"/>
      <c r="CH161" s="7"/>
      <c r="CI161" s="7"/>
      <c r="CJ161" s="7"/>
      <c r="CK161" s="7"/>
      <c r="CL161" s="7"/>
      <c r="CM161" s="7"/>
      <c r="CN161" s="7"/>
      <c r="CO161" s="7"/>
      <c r="CP161" s="55"/>
      <c r="CQ161" s="7"/>
      <c r="CR161" s="7"/>
      <c r="CS161" s="130"/>
      <c r="CT161" s="7"/>
      <c r="CU161" s="7"/>
      <c r="CV161" s="7"/>
      <c r="CW161" s="7"/>
      <c r="CX161" s="7"/>
      <c r="CY161" s="73"/>
      <c r="CZ161" s="7"/>
      <c r="DA161" s="7"/>
      <c r="DB161" s="7"/>
      <c r="DC161" s="48"/>
      <c r="DD161" s="7"/>
      <c r="DE161" s="7"/>
      <c r="DF161" s="7"/>
      <c r="DG161" s="7"/>
      <c r="DH161" s="7"/>
      <c r="DI161" s="7"/>
      <c r="DJ161" s="7"/>
      <c r="DK161" s="7"/>
      <c r="DL161" s="74"/>
      <c r="DM161" s="7"/>
      <c r="DN161" s="7"/>
      <c r="DO161" s="7"/>
      <c r="DP161" s="7"/>
      <c r="DQ161" s="58"/>
      <c r="DR161" s="7"/>
      <c r="DS161" s="7"/>
      <c r="DT161" s="7"/>
      <c r="DU161" s="73"/>
      <c r="DV161" s="73"/>
      <c r="DW161" s="7"/>
      <c r="DX161" s="7"/>
      <c r="DY161" s="7"/>
      <c r="DZ161" s="7"/>
      <c r="EA161" s="7"/>
      <c r="EB161" s="7"/>
      <c r="EC161" s="7"/>
      <c r="ED161" s="7"/>
      <c r="EE161" s="7"/>
      <c r="EF161" s="7"/>
      <c r="EG161" s="7"/>
      <c r="EH161" s="7"/>
      <c r="EI161" s="7"/>
      <c r="EJ161" s="7"/>
      <c r="EK161" s="7"/>
      <c r="EL161" s="7"/>
      <c r="EM161" s="7"/>
      <c r="EN161" s="19"/>
      <c r="EO161" s="7"/>
      <c r="EP161" s="7"/>
      <c r="EQ161" s="7"/>
      <c r="ER161" s="7"/>
      <c r="ES161" s="7"/>
      <c r="ET161" s="55"/>
      <c r="EU161" s="7"/>
      <c r="EV161" s="7"/>
      <c r="EW161" s="7"/>
      <c r="EX161" s="7"/>
      <c r="EY161" s="7"/>
      <c r="EZ161" s="7"/>
      <c r="FA161" s="72"/>
      <c r="FB161" s="7"/>
      <c r="FC161" s="55"/>
      <c r="FD161" s="55"/>
      <c r="FE161" s="55"/>
      <c r="FF161" s="7"/>
      <c r="FG161" s="7"/>
      <c r="FH161" s="7"/>
      <c r="FI161" s="7"/>
      <c r="FJ161" s="7"/>
      <c r="FK161" s="7"/>
      <c r="FL161" s="7"/>
      <c r="FM161" s="7"/>
      <c r="FN161" s="7"/>
      <c r="FO161" s="7"/>
      <c r="FP161" s="7"/>
      <c r="FQ161" s="7"/>
      <c r="FR161" s="7"/>
      <c r="FS161" s="77"/>
      <c r="FT161" s="30"/>
      <c r="FU161" s="7"/>
      <c r="FV161" s="55"/>
      <c r="FW161" s="55"/>
      <c r="FX161" s="7"/>
      <c r="FY161" s="7"/>
      <c r="FZ161" s="7"/>
      <c r="GA161" s="7"/>
      <c r="GB161" s="7"/>
      <c r="GC161" s="7"/>
      <c r="GD161" s="103"/>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c r="HS161" s="7"/>
      <c r="HT161" s="7"/>
      <c r="HU161" s="7"/>
      <c r="HV161" s="7"/>
      <c r="HW161" s="7"/>
      <c r="HX161" s="7"/>
      <c r="HY161" s="7"/>
      <c r="HZ161" s="7"/>
      <c r="IA161" s="7"/>
      <c r="IB161" s="7"/>
      <c r="IC161" s="7"/>
      <c r="ID161" s="7"/>
      <c r="IE161" s="29"/>
      <c r="IF161" s="7"/>
      <c r="IG161" s="7"/>
      <c r="IH161" s="7"/>
      <c r="II161" s="7"/>
      <c r="IJ161" s="7"/>
      <c r="IK161" s="7"/>
      <c r="IL161" s="7"/>
      <c r="IM161" s="7"/>
      <c r="IN161" s="7"/>
      <c r="IO161" s="7"/>
      <c r="IP161" s="7"/>
      <c r="IQ161" s="7"/>
      <c r="IR161" s="7"/>
      <c r="IS161" s="7"/>
      <c r="IT161" s="55"/>
      <c r="IU161" s="7"/>
      <c r="IV161" s="7"/>
    </row>
    <row r="162" spans="1:256" s="11" customFormat="1" ht="12.75" customHeight="1">
      <c r="A162" s="19"/>
      <c r="B162" s="19"/>
      <c r="C162" s="176" t="s">
        <v>4297</v>
      </c>
      <c r="D162" s="19"/>
      <c r="E162" s="7"/>
      <c r="F162" s="7"/>
      <c r="G162" s="7"/>
      <c r="H162" s="7"/>
      <c r="I162" s="8"/>
      <c r="J162" s="19" t="str">
        <f t="shared" ca="1" si="5"/>
        <v/>
      </c>
      <c r="K162" s="7"/>
      <c r="L162" s="7"/>
      <c r="M162" s="7"/>
      <c r="N162" s="7"/>
      <c r="O162" s="7"/>
      <c r="P162" s="7"/>
      <c r="Q162" s="29"/>
      <c r="R162" s="30"/>
      <c r="S162" s="7"/>
      <c r="T162" s="7"/>
      <c r="U162" s="31"/>
      <c r="V162" s="7"/>
      <c r="W162" s="7"/>
      <c r="X162" s="7"/>
      <c r="Y162" s="7"/>
      <c r="Z162" s="7"/>
      <c r="AA162" s="7"/>
      <c r="AB162" s="7"/>
      <c r="AC162" s="7"/>
      <c r="AD162" s="7"/>
      <c r="AE162" s="7"/>
      <c r="AF162" s="7"/>
      <c r="AG162" s="7"/>
      <c r="AH162" s="7"/>
      <c r="AI162" s="7"/>
      <c r="AJ162" s="122"/>
      <c r="AK162" s="41"/>
      <c r="AL162" s="52"/>
      <c r="AM162" s="20"/>
      <c r="AN162" s="20"/>
      <c r="AO162" s="20"/>
      <c r="AP162" s="20"/>
      <c r="AQ162" s="7"/>
      <c r="AR162" s="7"/>
      <c r="AS162" s="7"/>
      <c r="AT162" s="7"/>
      <c r="AU162" s="7"/>
      <c r="AV162" s="7"/>
      <c r="AW162" s="7"/>
      <c r="AX162" s="7"/>
      <c r="AY162" s="7"/>
      <c r="AZ162" s="7"/>
      <c r="BA162" s="7"/>
      <c r="BB162" s="7"/>
      <c r="BC162" s="7"/>
      <c r="BD162" s="55"/>
      <c r="BE162" s="55"/>
      <c r="BF162" s="7"/>
      <c r="BG162" s="7"/>
      <c r="BH162" s="7"/>
      <c r="BI162" s="7"/>
      <c r="BJ162" s="7"/>
      <c r="BK162" s="7"/>
      <c r="BL162" s="7"/>
      <c r="BM162" s="7"/>
      <c r="BN162" s="61"/>
      <c r="BO162" s="62"/>
      <c r="BP162" s="50"/>
      <c r="BQ162" s="20"/>
      <c r="BR162" s="7"/>
      <c r="BS162" s="7"/>
      <c r="BT162" s="7"/>
      <c r="BU162" s="7"/>
      <c r="BV162" s="55"/>
      <c r="BW162" s="7"/>
      <c r="BX162" s="55"/>
      <c r="BY162" s="7"/>
      <c r="BZ162" s="7"/>
      <c r="CA162" s="7"/>
      <c r="CB162" s="7"/>
      <c r="CC162" s="7"/>
      <c r="CD162" s="104"/>
      <c r="CE162" s="105"/>
      <c r="CF162" s="7"/>
      <c r="CG162" s="7"/>
      <c r="CH162" s="7"/>
      <c r="CI162" s="7"/>
      <c r="CJ162" s="7"/>
      <c r="CK162" s="7"/>
      <c r="CL162" s="7"/>
      <c r="CM162" s="7"/>
      <c r="CN162" s="7"/>
      <c r="CO162" s="7"/>
      <c r="CP162" s="55"/>
      <c r="CQ162" s="7"/>
      <c r="CR162" s="7"/>
      <c r="CS162" s="130"/>
      <c r="CT162" s="7"/>
      <c r="CU162" s="7"/>
      <c r="CV162" s="7"/>
      <c r="CW162" s="7"/>
      <c r="CX162" s="7"/>
      <c r="CY162" s="73"/>
      <c r="CZ162" s="7"/>
      <c r="DA162" s="7"/>
      <c r="DB162" s="7"/>
      <c r="DC162" s="48"/>
      <c r="DD162" s="7"/>
      <c r="DE162" s="7"/>
      <c r="DF162" s="7"/>
      <c r="DG162" s="7"/>
      <c r="DH162" s="7"/>
      <c r="DI162" s="7"/>
      <c r="DJ162" s="7"/>
      <c r="DK162" s="7"/>
      <c r="DL162" s="74"/>
      <c r="DM162" s="7"/>
      <c r="DN162" s="7"/>
      <c r="DO162" s="7"/>
      <c r="DP162" s="7"/>
      <c r="DQ162" s="58"/>
      <c r="DR162" s="7"/>
      <c r="DS162" s="7"/>
      <c r="DT162" s="7"/>
      <c r="DU162" s="73"/>
      <c r="DV162" s="73"/>
      <c r="DW162" s="7"/>
      <c r="DX162" s="7"/>
      <c r="DY162" s="7"/>
      <c r="DZ162" s="7"/>
      <c r="EA162" s="7"/>
      <c r="EB162" s="7"/>
      <c r="EC162" s="7"/>
      <c r="ED162" s="7"/>
      <c r="EE162" s="7"/>
      <c r="EF162" s="7"/>
      <c r="EG162" s="7"/>
      <c r="EH162" s="7"/>
      <c r="EI162" s="7"/>
      <c r="EJ162" s="7"/>
      <c r="EK162" s="7"/>
      <c r="EL162" s="7"/>
      <c r="EM162" s="7"/>
      <c r="EN162" s="19"/>
      <c r="EO162" s="7"/>
      <c r="EP162" s="7"/>
      <c r="EQ162" s="7"/>
      <c r="ER162" s="7"/>
      <c r="ES162" s="7"/>
      <c r="ET162" s="55"/>
      <c r="EU162" s="7"/>
      <c r="EV162" s="7"/>
      <c r="EW162" s="7"/>
      <c r="EX162" s="7"/>
      <c r="EY162" s="7"/>
      <c r="EZ162" s="7"/>
      <c r="FA162" s="72"/>
      <c r="FB162" s="7"/>
      <c r="FC162" s="55"/>
      <c r="FD162" s="55"/>
      <c r="FE162" s="55"/>
      <c r="FF162" s="7"/>
      <c r="FG162" s="7"/>
      <c r="FH162" s="7"/>
      <c r="FI162" s="7"/>
      <c r="FJ162" s="7"/>
      <c r="FK162" s="7"/>
      <c r="FL162" s="7"/>
      <c r="FM162" s="7"/>
      <c r="FN162" s="7"/>
      <c r="FO162" s="7"/>
      <c r="FP162" s="7"/>
      <c r="FQ162" s="7"/>
      <c r="FR162" s="7"/>
      <c r="FS162" s="77"/>
      <c r="FT162" s="30"/>
      <c r="FU162" s="7"/>
      <c r="FV162" s="55"/>
      <c r="FW162" s="55"/>
      <c r="FX162" s="7"/>
      <c r="FY162" s="7"/>
      <c r="FZ162" s="7"/>
      <c r="GA162" s="7"/>
      <c r="GB162" s="7"/>
      <c r="GC162" s="7"/>
      <c r="GD162" s="103"/>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c r="HS162" s="7"/>
      <c r="HT162" s="7"/>
      <c r="HU162" s="7"/>
      <c r="HV162" s="7"/>
      <c r="HW162" s="7"/>
      <c r="HX162" s="7"/>
      <c r="HY162" s="7"/>
      <c r="HZ162" s="7"/>
      <c r="IA162" s="7"/>
      <c r="IB162" s="7"/>
      <c r="IC162" s="7"/>
      <c r="ID162" s="7"/>
      <c r="IE162" s="29"/>
      <c r="IF162" s="7"/>
      <c r="IG162" s="7"/>
      <c r="IH162" s="7"/>
      <c r="II162" s="7"/>
      <c r="IJ162" s="7"/>
      <c r="IK162" s="7"/>
      <c r="IL162" s="7"/>
      <c r="IM162" s="7"/>
      <c r="IN162" s="7"/>
      <c r="IO162" s="7"/>
      <c r="IP162" s="7"/>
      <c r="IQ162" s="7"/>
      <c r="IR162" s="7"/>
      <c r="IS162" s="7"/>
      <c r="IT162" s="55"/>
      <c r="IU162" s="7"/>
      <c r="IV162" s="7"/>
    </row>
    <row r="163" spans="1:256" s="11" customFormat="1" ht="12.75" customHeight="1">
      <c r="A163" s="19"/>
      <c r="B163" s="19"/>
      <c r="C163" s="176" t="s">
        <v>4301</v>
      </c>
      <c r="D163" s="19"/>
      <c r="E163" s="7"/>
      <c r="F163" s="7"/>
      <c r="G163" s="7"/>
      <c r="H163" s="7"/>
      <c r="I163" s="8"/>
      <c r="J163" s="19" t="str">
        <f t="shared" ca="1" si="5"/>
        <v/>
      </c>
      <c r="K163" s="7"/>
      <c r="L163" s="7"/>
      <c r="M163" s="7"/>
      <c r="N163" s="7"/>
      <c r="O163" s="7"/>
      <c r="P163" s="7"/>
      <c r="Q163" s="29"/>
      <c r="R163" s="30"/>
      <c r="S163" s="7"/>
      <c r="T163" s="7"/>
      <c r="U163" s="31"/>
      <c r="V163" s="7"/>
      <c r="W163" s="7"/>
      <c r="X163" s="7"/>
      <c r="Y163" s="7"/>
      <c r="Z163" s="7"/>
      <c r="AA163" s="7"/>
      <c r="AB163" s="7"/>
      <c r="AC163" s="7"/>
      <c r="AD163" s="7"/>
      <c r="AE163" s="7"/>
      <c r="AF163" s="7"/>
      <c r="AG163" s="7"/>
      <c r="AH163" s="7"/>
      <c r="AI163" s="7"/>
      <c r="AJ163" s="122"/>
      <c r="AK163" s="41"/>
      <c r="AL163" s="52"/>
      <c r="AM163" s="20"/>
      <c r="AN163" s="20"/>
      <c r="AO163" s="20"/>
      <c r="AP163" s="20"/>
      <c r="AQ163" s="7"/>
      <c r="AR163" s="7"/>
      <c r="AS163" s="7"/>
      <c r="AT163" s="7"/>
      <c r="AU163" s="7"/>
      <c r="AV163" s="7"/>
      <c r="AW163" s="7"/>
      <c r="AX163" s="7"/>
      <c r="AY163" s="7"/>
      <c r="AZ163" s="7"/>
      <c r="BA163" s="7"/>
      <c r="BB163" s="7"/>
      <c r="BC163" s="7"/>
      <c r="BD163" s="55"/>
      <c r="BE163" s="55"/>
      <c r="BF163" s="7"/>
      <c r="BG163" s="7"/>
      <c r="BH163" s="7"/>
      <c r="BI163" s="7"/>
      <c r="BJ163" s="7"/>
      <c r="BK163" s="7"/>
      <c r="BL163" s="7"/>
      <c r="BM163" s="7"/>
      <c r="BN163" s="61"/>
      <c r="BO163" s="62"/>
      <c r="BP163" s="50"/>
      <c r="BQ163" s="20"/>
      <c r="BR163" s="7"/>
      <c r="BS163" s="7"/>
      <c r="BT163" s="7"/>
      <c r="BU163" s="7"/>
      <c r="BV163" s="55"/>
      <c r="BW163" s="7"/>
      <c r="BX163" s="55"/>
      <c r="BY163" s="7"/>
      <c r="BZ163" s="7"/>
      <c r="CA163" s="7"/>
      <c r="CB163" s="7"/>
      <c r="CC163" s="7"/>
      <c r="CD163" s="104"/>
      <c r="CE163" s="105"/>
      <c r="CF163" s="7"/>
      <c r="CG163" s="7"/>
      <c r="CH163" s="7"/>
      <c r="CI163" s="7"/>
      <c r="CJ163" s="7"/>
      <c r="CK163" s="7"/>
      <c r="CL163" s="7"/>
      <c r="CM163" s="7"/>
      <c r="CN163" s="7"/>
      <c r="CO163" s="7"/>
      <c r="CP163" s="55"/>
      <c r="CQ163" s="7"/>
      <c r="CR163" s="7"/>
      <c r="CS163" s="130"/>
      <c r="CT163" s="7"/>
      <c r="CU163" s="7"/>
      <c r="CV163" s="7"/>
      <c r="CW163" s="7"/>
      <c r="CX163" s="7"/>
      <c r="CY163" s="73"/>
      <c r="CZ163" s="7"/>
      <c r="DA163" s="7"/>
      <c r="DB163" s="7"/>
      <c r="DC163" s="48"/>
      <c r="DD163" s="7"/>
      <c r="DE163" s="7"/>
      <c r="DF163" s="7"/>
      <c r="DG163" s="7"/>
      <c r="DH163" s="7"/>
      <c r="DI163" s="7"/>
      <c r="DJ163" s="7"/>
      <c r="DK163" s="7"/>
      <c r="DL163" s="74"/>
      <c r="DM163" s="7"/>
      <c r="DN163" s="7"/>
      <c r="DO163" s="7"/>
      <c r="DP163" s="7"/>
      <c r="DQ163" s="58"/>
      <c r="DR163" s="7"/>
      <c r="DS163" s="7"/>
      <c r="DT163" s="7"/>
      <c r="DU163" s="73"/>
      <c r="DV163" s="73"/>
      <c r="DW163" s="7"/>
      <c r="DX163" s="7"/>
      <c r="DY163" s="7"/>
      <c r="DZ163" s="7"/>
      <c r="EA163" s="7"/>
      <c r="EB163" s="7"/>
      <c r="EC163" s="7"/>
      <c r="ED163" s="7"/>
      <c r="EE163" s="7"/>
      <c r="EF163" s="7"/>
      <c r="EG163" s="7"/>
      <c r="EH163" s="7"/>
      <c r="EI163" s="7"/>
      <c r="EJ163" s="7"/>
      <c r="EK163" s="7"/>
      <c r="EL163" s="7"/>
      <c r="EM163" s="7"/>
      <c r="EN163" s="19"/>
      <c r="EO163" s="7"/>
      <c r="EP163" s="7"/>
      <c r="EQ163" s="7"/>
      <c r="ER163" s="7"/>
      <c r="ES163" s="7"/>
      <c r="ET163" s="55"/>
      <c r="EU163" s="7"/>
      <c r="EV163" s="7"/>
      <c r="EW163" s="7"/>
      <c r="EX163" s="7"/>
      <c r="EY163" s="7"/>
      <c r="EZ163" s="7"/>
      <c r="FA163" s="72"/>
      <c r="FB163" s="7"/>
      <c r="FC163" s="55"/>
      <c r="FD163" s="55"/>
      <c r="FE163" s="55"/>
      <c r="FF163" s="7"/>
      <c r="FG163" s="7"/>
      <c r="FH163" s="7"/>
      <c r="FI163" s="7"/>
      <c r="FJ163" s="7"/>
      <c r="FK163" s="7"/>
      <c r="FL163" s="7"/>
      <c r="FM163" s="7"/>
      <c r="FN163" s="7"/>
      <c r="FO163" s="7"/>
      <c r="FP163" s="7"/>
      <c r="FQ163" s="7"/>
      <c r="FR163" s="7"/>
      <c r="FS163" s="77"/>
      <c r="FT163" s="30"/>
      <c r="FU163" s="7"/>
      <c r="FV163" s="55"/>
      <c r="FW163" s="55"/>
      <c r="FX163" s="7"/>
      <c r="FY163" s="7"/>
      <c r="FZ163" s="7"/>
      <c r="GA163" s="7"/>
      <c r="GB163" s="7"/>
      <c r="GC163" s="7"/>
      <c r="GD163" s="103"/>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c r="HS163" s="7"/>
      <c r="HT163" s="7"/>
      <c r="HU163" s="7"/>
      <c r="HV163" s="7"/>
      <c r="HW163" s="7"/>
      <c r="HX163" s="7"/>
      <c r="HY163" s="7"/>
      <c r="HZ163" s="7"/>
      <c r="IA163" s="7"/>
      <c r="IB163" s="7"/>
      <c r="IC163" s="7"/>
      <c r="ID163" s="7"/>
      <c r="IE163" s="29"/>
      <c r="IF163" s="7"/>
      <c r="IG163" s="7"/>
      <c r="IH163" s="7"/>
      <c r="II163" s="7"/>
      <c r="IJ163" s="7"/>
      <c r="IK163" s="7"/>
      <c r="IL163" s="7"/>
      <c r="IM163" s="7"/>
      <c r="IN163" s="7"/>
      <c r="IO163" s="7"/>
      <c r="IP163" s="7"/>
      <c r="IQ163" s="7"/>
      <c r="IR163" s="7"/>
      <c r="IS163" s="7"/>
      <c r="IT163" s="55"/>
      <c r="IU163" s="7"/>
      <c r="IV163" s="7"/>
    </row>
    <row r="164" spans="1:256" s="11" customFormat="1" ht="12.75" customHeight="1">
      <c r="A164" s="19"/>
      <c r="B164" s="19"/>
      <c r="C164" s="176"/>
      <c r="D164" s="19"/>
      <c r="E164" s="7"/>
      <c r="F164" s="7"/>
      <c r="G164" s="7"/>
      <c r="H164" s="7"/>
      <c r="I164" s="8"/>
      <c r="J164" s="19" t="str">
        <f t="shared" ca="1" si="5"/>
        <v/>
      </c>
      <c r="K164" s="7"/>
      <c r="L164" s="7"/>
      <c r="M164" s="7"/>
      <c r="N164" s="7"/>
      <c r="O164" s="7"/>
      <c r="P164" s="7"/>
      <c r="Q164" s="29"/>
      <c r="R164" s="30"/>
      <c r="S164" s="7"/>
      <c r="T164" s="7"/>
      <c r="U164" s="31"/>
      <c r="V164" s="7"/>
      <c r="W164" s="7"/>
      <c r="X164" s="7"/>
      <c r="Y164" s="7"/>
      <c r="Z164" s="7"/>
      <c r="AA164" s="7"/>
      <c r="AB164" s="7"/>
      <c r="AC164" s="7"/>
      <c r="AD164" s="7"/>
      <c r="AE164" s="7"/>
      <c r="AF164" s="7"/>
      <c r="AG164" s="7"/>
      <c r="AH164" s="7"/>
      <c r="AI164" s="7"/>
      <c r="AJ164" s="122"/>
      <c r="AK164" s="41"/>
      <c r="AL164" s="52"/>
      <c r="AM164" s="20"/>
      <c r="AN164" s="20"/>
      <c r="AO164" s="20"/>
      <c r="AP164" s="20"/>
      <c r="AQ164" s="7"/>
      <c r="AR164" s="7"/>
      <c r="AS164" s="7"/>
      <c r="AT164" s="7"/>
      <c r="AU164" s="7"/>
      <c r="AV164" s="7"/>
      <c r="AW164" s="7"/>
      <c r="AX164" s="7"/>
      <c r="AY164" s="7"/>
      <c r="AZ164" s="7"/>
      <c r="BA164" s="7"/>
      <c r="BB164" s="7"/>
      <c r="BC164" s="7"/>
      <c r="BD164" s="55"/>
      <c r="BE164" s="55"/>
      <c r="BF164" s="7"/>
      <c r="BG164" s="7"/>
      <c r="BH164" s="7"/>
      <c r="BI164" s="7"/>
      <c r="BJ164" s="7"/>
      <c r="BK164" s="7"/>
      <c r="BL164" s="7"/>
      <c r="BM164" s="7"/>
      <c r="BN164" s="61"/>
      <c r="BO164" s="62"/>
      <c r="BP164" s="50"/>
      <c r="BQ164" s="20"/>
      <c r="BR164" s="7"/>
      <c r="BS164" s="7"/>
      <c r="BT164" s="7"/>
      <c r="BU164" s="7"/>
      <c r="BV164" s="55"/>
      <c r="BW164" s="7"/>
      <c r="BX164" s="55"/>
      <c r="BY164" s="7"/>
      <c r="BZ164" s="7"/>
      <c r="CA164" s="7"/>
      <c r="CB164" s="7"/>
      <c r="CC164" s="7"/>
      <c r="CD164" s="104"/>
      <c r="CE164" s="105"/>
      <c r="CF164" s="7"/>
      <c r="CG164" s="7"/>
      <c r="CH164" s="7"/>
      <c r="CI164" s="7"/>
      <c r="CJ164" s="7"/>
      <c r="CK164" s="7"/>
      <c r="CL164" s="7"/>
      <c r="CM164" s="7"/>
      <c r="CN164" s="7"/>
      <c r="CO164" s="7"/>
      <c r="CP164" s="55"/>
      <c r="CQ164" s="7"/>
      <c r="CR164" s="7"/>
      <c r="CS164" s="130"/>
      <c r="CT164" s="7"/>
      <c r="CU164" s="7"/>
      <c r="CV164" s="7"/>
      <c r="CW164" s="7"/>
      <c r="CX164" s="7"/>
      <c r="CY164" s="73"/>
      <c r="CZ164" s="7"/>
      <c r="DA164" s="7"/>
      <c r="DB164" s="7"/>
      <c r="DC164" s="48"/>
      <c r="DD164" s="7"/>
      <c r="DE164" s="7"/>
      <c r="DF164" s="7"/>
      <c r="DG164" s="7"/>
      <c r="DH164" s="7"/>
      <c r="DI164" s="7"/>
      <c r="DJ164" s="7"/>
      <c r="DK164" s="7"/>
      <c r="DL164" s="74"/>
      <c r="DM164" s="7"/>
      <c r="DN164" s="7"/>
      <c r="DO164" s="7"/>
      <c r="DP164" s="7"/>
      <c r="DQ164" s="58"/>
      <c r="DR164" s="7"/>
      <c r="DS164" s="7"/>
      <c r="DT164" s="7"/>
      <c r="DU164" s="73"/>
      <c r="DV164" s="73"/>
      <c r="DW164" s="7"/>
      <c r="DX164" s="7"/>
      <c r="DY164" s="7"/>
      <c r="DZ164" s="7"/>
      <c r="EA164" s="7"/>
      <c r="EB164" s="7"/>
      <c r="EC164" s="7"/>
      <c r="ED164" s="7"/>
      <c r="EE164" s="7"/>
      <c r="EF164" s="7"/>
      <c r="EG164" s="7"/>
      <c r="EH164" s="7"/>
      <c r="EI164" s="7"/>
      <c r="EJ164" s="7"/>
      <c r="EK164" s="7"/>
      <c r="EL164" s="7"/>
      <c r="EM164" s="7"/>
      <c r="EN164" s="19"/>
      <c r="EO164" s="7"/>
      <c r="EP164" s="7"/>
      <c r="EQ164" s="7"/>
      <c r="ER164" s="7"/>
      <c r="ES164" s="7"/>
      <c r="ET164" s="55"/>
      <c r="EU164" s="7"/>
      <c r="EV164" s="7"/>
      <c r="EW164" s="7"/>
      <c r="EX164" s="7"/>
      <c r="EY164" s="7"/>
      <c r="EZ164" s="7"/>
      <c r="FA164" s="72"/>
      <c r="FB164" s="7"/>
      <c r="FC164" s="55"/>
      <c r="FD164" s="55"/>
      <c r="FE164" s="55"/>
      <c r="FF164" s="7"/>
      <c r="FG164" s="7"/>
      <c r="FH164" s="7"/>
      <c r="FI164" s="7"/>
      <c r="FJ164" s="7"/>
      <c r="FK164" s="7"/>
      <c r="FL164" s="7"/>
      <c r="FM164" s="7"/>
      <c r="FN164" s="7"/>
      <c r="FO164" s="7"/>
      <c r="FP164" s="7"/>
      <c r="FQ164" s="7"/>
      <c r="FR164" s="7"/>
      <c r="FS164" s="77"/>
      <c r="FT164" s="30"/>
      <c r="FU164" s="7"/>
      <c r="FV164" s="55"/>
      <c r="FW164" s="55"/>
      <c r="FX164" s="7"/>
      <c r="FY164" s="7"/>
      <c r="FZ164" s="7"/>
      <c r="GA164" s="7"/>
      <c r="GB164" s="7"/>
      <c r="GC164" s="7"/>
      <c r="GD164" s="103"/>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c r="HC164" s="7"/>
      <c r="HD164" s="7"/>
      <c r="HE164" s="7"/>
      <c r="HF164" s="7"/>
      <c r="HG164" s="7"/>
      <c r="HH164" s="7"/>
      <c r="HI164" s="7"/>
      <c r="HJ164" s="7"/>
      <c r="HK164" s="7"/>
      <c r="HL164" s="7"/>
      <c r="HM164" s="7"/>
      <c r="HN164" s="7"/>
      <c r="HO164" s="7"/>
      <c r="HP164" s="7"/>
      <c r="HQ164" s="7"/>
      <c r="HR164" s="7"/>
      <c r="HS164" s="7"/>
      <c r="HT164" s="7"/>
      <c r="HU164" s="7"/>
      <c r="HV164" s="7"/>
      <c r="HW164" s="7"/>
      <c r="HX164" s="7"/>
      <c r="HY164" s="7"/>
      <c r="HZ164" s="7"/>
      <c r="IA164" s="7"/>
      <c r="IB164" s="7"/>
      <c r="IC164" s="7"/>
      <c r="ID164" s="7"/>
      <c r="IE164" s="29"/>
      <c r="IF164" s="7"/>
      <c r="IG164" s="7"/>
      <c r="IH164" s="7"/>
      <c r="II164" s="7"/>
      <c r="IJ164" s="7"/>
      <c r="IK164" s="7"/>
      <c r="IL164" s="7"/>
      <c r="IM164" s="7"/>
      <c r="IN164" s="7"/>
      <c r="IO164" s="7"/>
      <c r="IP164" s="7"/>
      <c r="IQ164" s="7"/>
      <c r="IR164" s="7"/>
      <c r="IS164" s="7"/>
      <c r="IT164" s="55"/>
      <c r="IU164" s="7"/>
      <c r="IV164" s="7"/>
    </row>
    <row r="165" spans="1:256" s="11" customFormat="1" ht="12.75" customHeight="1">
      <c r="A165" s="19"/>
      <c r="B165" s="19"/>
      <c r="C165" s="176" t="s">
        <v>4350</v>
      </c>
      <c r="D165" s="19"/>
      <c r="E165" s="7"/>
      <c r="F165" s="7"/>
      <c r="G165" s="7"/>
      <c r="H165" s="7"/>
      <c r="I165" s="8"/>
      <c r="J165" s="19" t="str">
        <f t="shared" ca="1" si="5"/>
        <v/>
      </c>
      <c r="K165" s="7"/>
      <c r="L165" s="7"/>
      <c r="M165" s="7"/>
      <c r="N165" s="7"/>
      <c r="O165" s="7"/>
      <c r="P165" s="7"/>
      <c r="Q165" s="29"/>
      <c r="R165" s="30"/>
      <c r="S165" s="7"/>
      <c r="T165" s="7"/>
      <c r="U165" s="31"/>
      <c r="V165" s="7"/>
      <c r="W165" s="7"/>
      <c r="X165" s="7"/>
      <c r="Y165" s="7"/>
      <c r="Z165" s="7"/>
      <c r="AA165" s="7"/>
      <c r="AB165" s="7"/>
      <c r="AC165" s="7"/>
      <c r="AD165" s="7"/>
      <c r="AE165" s="7"/>
      <c r="AF165" s="7"/>
      <c r="AG165" s="7"/>
      <c r="AH165" s="7"/>
      <c r="AI165" s="7"/>
      <c r="AJ165" s="122"/>
      <c r="AK165" s="41"/>
      <c r="AL165" s="52"/>
      <c r="AM165" s="20"/>
      <c r="AN165" s="20"/>
      <c r="AO165" s="20"/>
      <c r="AP165" s="20"/>
      <c r="AQ165" s="7"/>
      <c r="AR165" s="7"/>
      <c r="AS165" s="7"/>
      <c r="AT165" s="7"/>
      <c r="AU165" s="7"/>
      <c r="AV165" s="7"/>
      <c r="AW165" s="7"/>
      <c r="AX165" s="7"/>
      <c r="AY165" s="7"/>
      <c r="AZ165" s="7"/>
      <c r="BA165" s="7"/>
      <c r="BB165" s="7"/>
      <c r="BC165" s="7"/>
      <c r="BD165" s="55"/>
      <c r="BE165" s="55"/>
      <c r="BF165" s="7"/>
      <c r="BG165" s="7"/>
      <c r="BH165" s="7"/>
      <c r="BI165" s="7"/>
      <c r="BJ165" s="7"/>
      <c r="BK165" s="7"/>
      <c r="BL165" s="7"/>
      <c r="BM165" s="7"/>
      <c r="BN165" s="61"/>
      <c r="BO165" s="62"/>
      <c r="BP165" s="50"/>
      <c r="BQ165" s="20"/>
      <c r="BR165" s="7"/>
      <c r="BS165" s="7"/>
      <c r="BT165" s="7"/>
      <c r="BU165" s="7"/>
      <c r="BV165" s="55"/>
      <c r="BW165" s="7"/>
      <c r="BX165" s="55"/>
      <c r="BY165" s="7"/>
      <c r="BZ165" s="7"/>
      <c r="CA165" s="7"/>
      <c r="CB165" s="7"/>
      <c r="CC165" s="7"/>
      <c r="CD165" s="104"/>
      <c r="CE165" s="105"/>
      <c r="CF165" s="7"/>
      <c r="CG165" s="7"/>
      <c r="CH165" s="7"/>
      <c r="CI165" s="7"/>
      <c r="CJ165" s="7"/>
      <c r="CK165" s="7"/>
      <c r="CL165" s="7"/>
      <c r="CM165" s="7"/>
      <c r="CN165" s="7"/>
      <c r="CO165" s="7"/>
      <c r="CP165" s="55"/>
      <c r="CQ165" s="7"/>
      <c r="CR165" s="7"/>
      <c r="CS165" s="130"/>
      <c r="CT165" s="7"/>
      <c r="CU165" s="7"/>
      <c r="CV165" s="7"/>
      <c r="CW165" s="7"/>
      <c r="CX165" s="7"/>
      <c r="CY165" s="73"/>
      <c r="CZ165" s="7"/>
      <c r="DA165" s="7"/>
      <c r="DB165" s="7"/>
      <c r="DC165" s="48"/>
      <c r="DD165" s="7"/>
      <c r="DE165" s="7"/>
      <c r="DF165" s="7"/>
      <c r="DG165" s="7"/>
      <c r="DH165" s="7"/>
      <c r="DI165" s="7"/>
      <c r="DJ165" s="7"/>
      <c r="DK165" s="7"/>
      <c r="DL165" s="74"/>
      <c r="DM165" s="7"/>
      <c r="DN165" s="7"/>
      <c r="DO165" s="7"/>
      <c r="DP165" s="7"/>
      <c r="DQ165" s="58"/>
      <c r="DR165" s="7"/>
      <c r="DS165" s="7"/>
      <c r="DT165" s="7"/>
      <c r="DU165" s="73"/>
      <c r="DV165" s="73"/>
      <c r="DW165" s="7"/>
      <c r="DX165" s="7"/>
      <c r="DY165" s="7"/>
      <c r="DZ165" s="7"/>
      <c r="EA165" s="7"/>
      <c r="EB165" s="7"/>
      <c r="EC165" s="7"/>
      <c r="ED165" s="7"/>
      <c r="EE165" s="7"/>
      <c r="EF165" s="7"/>
      <c r="EG165" s="7"/>
      <c r="EH165" s="7"/>
      <c r="EI165" s="7"/>
      <c r="EJ165" s="7"/>
      <c r="EK165" s="7"/>
      <c r="EL165" s="7"/>
      <c r="EM165" s="7"/>
      <c r="EN165" s="19"/>
      <c r="EO165" s="7"/>
      <c r="EP165" s="7"/>
      <c r="EQ165" s="7"/>
      <c r="ER165" s="7"/>
      <c r="ES165" s="7"/>
      <c r="ET165" s="55"/>
      <c r="EU165" s="7"/>
      <c r="EV165" s="7"/>
      <c r="EW165" s="7"/>
      <c r="EX165" s="7"/>
      <c r="EY165" s="7"/>
      <c r="EZ165" s="7"/>
      <c r="FA165" s="72"/>
      <c r="FB165" s="7"/>
      <c r="FC165" s="55"/>
      <c r="FD165" s="55"/>
      <c r="FE165" s="55"/>
      <c r="FF165" s="7"/>
      <c r="FG165" s="7"/>
      <c r="FH165" s="7"/>
      <c r="FI165" s="7"/>
      <c r="FJ165" s="7"/>
      <c r="FK165" s="7"/>
      <c r="FL165" s="7"/>
      <c r="FM165" s="7"/>
      <c r="FN165" s="7"/>
      <c r="FO165" s="7"/>
      <c r="FP165" s="7"/>
      <c r="FQ165" s="7"/>
      <c r="FR165" s="7"/>
      <c r="FS165" s="77"/>
      <c r="FT165" s="30"/>
      <c r="FU165" s="7"/>
      <c r="FV165" s="55"/>
      <c r="FW165" s="55"/>
      <c r="FX165" s="7"/>
      <c r="FY165" s="7"/>
      <c r="FZ165" s="7"/>
      <c r="GA165" s="7"/>
      <c r="GB165" s="7"/>
      <c r="GC165" s="7"/>
      <c r="GD165" s="103"/>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29"/>
      <c r="IF165" s="7"/>
      <c r="IG165" s="7"/>
      <c r="IH165" s="7"/>
      <c r="II165" s="7"/>
      <c r="IJ165" s="7"/>
      <c r="IK165" s="7"/>
      <c r="IL165" s="7"/>
      <c r="IM165" s="7"/>
      <c r="IN165" s="7"/>
      <c r="IO165" s="7"/>
      <c r="IP165" s="7"/>
      <c r="IQ165" s="7"/>
      <c r="IR165" s="7"/>
      <c r="IS165" s="7"/>
      <c r="IT165" s="55"/>
      <c r="IU165" s="7"/>
      <c r="IV165" s="7"/>
    </row>
    <row r="166" spans="1:256" s="11" customFormat="1" ht="12.75" customHeight="1">
      <c r="A166" s="19"/>
      <c r="B166" s="19"/>
      <c r="C166" s="176" t="s">
        <v>1352</v>
      </c>
      <c r="D166" s="19"/>
      <c r="E166" s="7"/>
      <c r="F166" s="7"/>
      <c r="G166" s="7"/>
      <c r="H166" s="7"/>
      <c r="I166" s="8"/>
      <c r="J166" s="19" t="str">
        <f t="shared" ca="1" si="5"/>
        <v/>
      </c>
      <c r="K166" s="7"/>
      <c r="L166" s="7"/>
      <c r="M166" s="7"/>
      <c r="N166" s="7"/>
      <c r="O166" s="7"/>
      <c r="P166" s="7"/>
      <c r="Q166" s="29"/>
      <c r="R166" s="30"/>
      <c r="S166" s="7"/>
      <c r="T166" s="7"/>
      <c r="U166" s="31"/>
      <c r="V166" s="7"/>
      <c r="W166" s="7"/>
      <c r="X166" s="7"/>
      <c r="Y166" s="7"/>
      <c r="Z166" s="7"/>
      <c r="AA166" s="7"/>
      <c r="AB166" s="7"/>
      <c r="AC166" s="7"/>
      <c r="AD166" s="7"/>
      <c r="AE166" s="7"/>
      <c r="AF166" s="7"/>
      <c r="AG166" s="7"/>
      <c r="AH166" s="7"/>
      <c r="AI166" s="7"/>
      <c r="AJ166" s="122"/>
      <c r="AK166" s="41"/>
      <c r="AL166" s="52"/>
      <c r="AM166" s="20"/>
      <c r="AN166" s="20"/>
      <c r="AO166" s="20"/>
      <c r="AP166" s="20"/>
      <c r="AQ166" s="7"/>
      <c r="AR166" s="7"/>
      <c r="AS166" s="7"/>
      <c r="AT166" s="7"/>
      <c r="AU166" s="7"/>
      <c r="AV166" s="7"/>
      <c r="AW166" s="7"/>
      <c r="AX166" s="7"/>
      <c r="AY166" s="7"/>
      <c r="AZ166" s="7"/>
      <c r="BA166" s="7"/>
      <c r="BB166" s="7"/>
      <c r="BC166" s="7"/>
      <c r="BD166" s="55"/>
      <c r="BE166" s="55"/>
      <c r="BF166" s="7"/>
      <c r="BG166" s="7"/>
      <c r="BH166" s="7"/>
      <c r="BI166" s="7"/>
      <c r="BJ166" s="7"/>
      <c r="BK166" s="7"/>
      <c r="BL166" s="7"/>
      <c r="BM166" s="7"/>
      <c r="BN166" s="61"/>
      <c r="BO166" s="62"/>
      <c r="BP166" s="50"/>
      <c r="BQ166" s="20"/>
      <c r="BR166" s="7"/>
      <c r="BS166" s="7"/>
      <c r="BT166" s="7"/>
      <c r="BU166" s="7"/>
      <c r="BV166" s="55"/>
      <c r="BW166" s="7"/>
      <c r="BX166" s="55"/>
      <c r="BY166" s="7"/>
      <c r="BZ166" s="7"/>
      <c r="CA166" s="7"/>
      <c r="CB166" s="7"/>
      <c r="CC166" s="7"/>
      <c r="CD166" s="104"/>
      <c r="CE166" s="105"/>
      <c r="CF166" s="7"/>
      <c r="CG166" s="7"/>
      <c r="CH166" s="7"/>
      <c r="CI166" s="7"/>
      <c r="CJ166" s="7"/>
      <c r="CK166" s="7"/>
      <c r="CL166" s="7"/>
      <c r="CM166" s="7"/>
      <c r="CN166" s="7"/>
      <c r="CO166" s="7"/>
      <c r="CP166" s="55"/>
      <c r="CQ166" s="7"/>
      <c r="CR166" s="7"/>
      <c r="CS166" s="130"/>
      <c r="CT166" s="7"/>
      <c r="CU166" s="7"/>
      <c r="CV166" s="7"/>
      <c r="CW166" s="7"/>
      <c r="CX166" s="7"/>
      <c r="CY166" s="73"/>
      <c r="CZ166" s="7"/>
      <c r="DA166" s="7"/>
      <c r="DB166" s="7"/>
      <c r="DC166" s="48"/>
      <c r="DD166" s="7"/>
      <c r="DE166" s="7"/>
      <c r="DF166" s="7"/>
      <c r="DG166" s="7"/>
      <c r="DH166" s="7"/>
      <c r="DI166" s="7"/>
      <c r="DJ166" s="7"/>
      <c r="DK166" s="7"/>
      <c r="DL166" s="74"/>
      <c r="DM166" s="7"/>
      <c r="DN166" s="7"/>
      <c r="DO166" s="7"/>
      <c r="DP166" s="7"/>
      <c r="DQ166" s="58"/>
      <c r="DR166" s="7"/>
      <c r="DS166" s="7"/>
      <c r="DT166" s="7"/>
      <c r="DU166" s="73"/>
      <c r="DV166" s="73"/>
      <c r="DW166" s="7"/>
      <c r="DX166" s="7"/>
      <c r="DY166" s="7"/>
      <c r="DZ166" s="7"/>
      <c r="EA166" s="7"/>
      <c r="EB166" s="7"/>
      <c r="EC166" s="7"/>
      <c r="ED166" s="7"/>
      <c r="EE166" s="7"/>
      <c r="EF166" s="7"/>
      <c r="EG166" s="7"/>
      <c r="EH166" s="7"/>
      <c r="EI166" s="7"/>
      <c r="EJ166" s="7"/>
      <c r="EK166" s="7"/>
      <c r="EL166" s="7"/>
      <c r="EM166" s="7"/>
      <c r="EN166" s="19"/>
      <c r="EO166" s="7"/>
      <c r="EP166" s="7"/>
      <c r="EQ166" s="7"/>
      <c r="ER166" s="7"/>
      <c r="ES166" s="7"/>
      <c r="ET166" s="55"/>
      <c r="EU166" s="7"/>
      <c r="EV166" s="7"/>
      <c r="EW166" s="7"/>
      <c r="EX166" s="7"/>
      <c r="EY166" s="7"/>
      <c r="EZ166" s="7"/>
      <c r="FA166" s="72"/>
      <c r="FB166" s="7"/>
      <c r="FC166" s="55"/>
      <c r="FD166" s="55"/>
      <c r="FE166" s="55"/>
      <c r="FF166" s="7"/>
      <c r="FG166" s="7"/>
      <c r="FH166" s="7"/>
      <c r="FI166" s="7"/>
      <c r="FJ166" s="7"/>
      <c r="FK166" s="7"/>
      <c r="FL166" s="7"/>
      <c r="FM166" s="7"/>
      <c r="FN166" s="7"/>
      <c r="FO166" s="7"/>
      <c r="FP166" s="7"/>
      <c r="FQ166" s="7"/>
      <c r="FR166" s="7"/>
      <c r="FS166" s="77"/>
      <c r="FT166" s="30"/>
      <c r="FU166" s="7"/>
      <c r="FV166" s="55"/>
      <c r="FW166" s="55"/>
      <c r="FX166" s="7"/>
      <c r="FY166" s="7"/>
      <c r="FZ166" s="7"/>
      <c r="GA166" s="7"/>
      <c r="GB166" s="7"/>
      <c r="GC166" s="7"/>
      <c r="GD166" s="103"/>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7"/>
      <c r="HD166" s="7"/>
      <c r="HE166" s="7"/>
      <c r="HF166" s="7"/>
      <c r="HG166" s="7"/>
      <c r="HH166" s="7"/>
      <c r="HI166" s="7"/>
      <c r="HJ166" s="7"/>
      <c r="HK166" s="7"/>
      <c r="HL166" s="7"/>
      <c r="HM166" s="7"/>
      <c r="HN166" s="7"/>
      <c r="HO166" s="7"/>
      <c r="HP166" s="7"/>
      <c r="HQ166" s="7"/>
      <c r="HR166" s="7"/>
      <c r="HS166" s="7"/>
      <c r="HT166" s="7"/>
      <c r="HU166" s="7"/>
      <c r="HV166" s="7"/>
      <c r="HW166" s="7"/>
      <c r="HX166" s="7"/>
      <c r="HY166" s="7"/>
      <c r="HZ166" s="7"/>
      <c r="IA166" s="7"/>
      <c r="IB166" s="7"/>
      <c r="IC166" s="7"/>
      <c r="ID166" s="7"/>
      <c r="IE166" s="29"/>
      <c r="IF166" s="7"/>
      <c r="IG166" s="7"/>
      <c r="IH166" s="7"/>
      <c r="II166" s="7"/>
      <c r="IJ166" s="7"/>
      <c r="IK166" s="7"/>
      <c r="IL166" s="7"/>
      <c r="IM166" s="7"/>
      <c r="IN166" s="7"/>
      <c r="IO166" s="7"/>
      <c r="IP166" s="7"/>
      <c r="IQ166" s="7"/>
      <c r="IR166" s="7"/>
      <c r="IS166" s="7"/>
      <c r="IT166" s="55"/>
      <c r="IU166" s="7"/>
      <c r="IV166" s="7"/>
    </row>
    <row r="167" spans="1:256" s="11" customFormat="1" ht="12.75" customHeight="1">
      <c r="A167" s="19"/>
      <c r="B167" s="19"/>
      <c r="C167" s="176" t="s">
        <v>5324</v>
      </c>
      <c r="D167" s="19"/>
      <c r="E167" s="7"/>
      <c r="F167" s="7"/>
      <c r="G167" s="7"/>
      <c r="H167" s="7"/>
      <c r="I167" s="8"/>
      <c r="J167" s="19" t="str">
        <f t="shared" ca="1" si="5"/>
        <v/>
      </c>
      <c r="K167" s="7"/>
      <c r="L167" s="7"/>
      <c r="M167" s="7"/>
      <c r="N167" s="7"/>
      <c r="O167" s="7"/>
      <c r="P167" s="7"/>
      <c r="Q167" s="29"/>
      <c r="R167" s="30"/>
      <c r="S167" s="7"/>
      <c r="T167" s="7"/>
      <c r="U167" s="31"/>
      <c r="V167" s="7"/>
      <c r="W167" s="7"/>
      <c r="X167" s="7"/>
      <c r="Y167" s="7"/>
      <c r="Z167" s="7"/>
      <c r="AA167" s="7"/>
      <c r="AB167" s="7"/>
      <c r="AC167" s="7"/>
      <c r="AD167" s="7"/>
      <c r="AE167" s="7"/>
      <c r="AF167" s="7"/>
      <c r="AG167" s="7"/>
      <c r="AH167" s="7"/>
      <c r="AI167" s="7"/>
      <c r="AJ167" s="122"/>
      <c r="AK167" s="41"/>
      <c r="AL167" s="52"/>
      <c r="AM167" s="20"/>
      <c r="AN167" s="20"/>
      <c r="AO167" s="20"/>
      <c r="AP167" s="20"/>
      <c r="AQ167" s="7"/>
      <c r="AR167" s="7"/>
      <c r="AS167" s="7"/>
      <c r="AT167" s="7"/>
      <c r="AU167" s="7"/>
      <c r="AV167" s="7"/>
      <c r="AW167" s="7"/>
      <c r="AX167" s="7"/>
      <c r="AY167" s="7"/>
      <c r="AZ167" s="7"/>
      <c r="BA167" s="7"/>
      <c r="BB167" s="7"/>
      <c r="BC167" s="7"/>
      <c r="BD167" s="55"/>
      <c r="BE167" s="55"/>
      <c r="BF167" s="7"/>
      <c r="BG167" s="7"/>
      <c r="BH167" s="7"/>
      <c r="BI167" s="7"/>
      <c r="BJ167" s="7"/>
      <c r="BK167" s="7"/>
      <c r="BL167" s="7"/>
      <c r="BM167" s="7"/>
      <c r="BN167" s="61"/>
      <c r="BO167" s="62"/>
      <c r="BP167" s="50"/>
      <c r="BQ167" s="20"/>
      <c r="BR167" s="7"/>
      <c r="BS167" s="7"/>
      <c r="BT167" s="7"/>
      <c r="BU167" s="7"/>
      <c r="BV167" s="55"/>
      <c r="BW167" s="7"/>
      <c r="BX167" s="55"/>
      <c r="BY167" s="7"/>
      <c r="BZ167" s="7"/>
      <c r="CA167" s="7"/>
      <c r="CB167" s="7"/>
      <c r="CC167" s="7"/>
      <c r="CD167" s="104"/>
      <c r="CE167" s="105"/>
      <c r="CF167" s="7"/>
      <c r="CG167" s="7"/>
      <c r="CH167" s="7"/>
      <c r="CI167" s="7"/>
      <c r="CJ167" s="7"/>
      <c r="CK167" s="7"/>
      <c r="CL167" s="7"/>
      <c r="CM167" s="7"/>
      <c r="CN167" s="7"/>
      <c r="CO167" s="7"/>
      <c r="CP167" s="55"/>
      <c r="CQ167" s="7"/>
      <c r="CR167" s="7"/>
      <c r="CS167" s="130"/>
      <c r="CT167" s="7"/>
      <c r="CU167" s="7"/>
      <c r="CV167" s="7"/>
      <c r="CW167" s="7"/>
      <c r="CX167" s="7"/>
      <c r="CY167" s="73"/>
      <c r="CZ167" s="7"/>
      <c r="DA167" s="7"/>
      <c r="DB167" s="7"/>
      <c r="DC167" s="48"/>
      <c r="DD167" s="7"/>
      <c r="DE167" s="7"/>
      <c r="DF167" s="7"/>
      <c r="DG167" s="7"/>
      <c r="DH167" s="7"/>
      <c r="DI167" s="7"/>
      <c r="DJ167" s="7"/>
      <c r="DK167" s="7"/>
      <c r="DL167" s="74"/>
      <c r="DM167" s="7"/>
      <c r="DN167" s="7"/>
      <c r="DO167" s="7"/>
      <c r="DP167" s="7"/>
      <c r="DQ167" s="58"/>
      <c r="DR167" s="7"/>
      <c r="DS167" s="7"/>
      <c r="DT167" s="7"/>
      <c r="DU167" s="73"/>
      <c r="DV167" s="73"/>
      <c r="DW167" s="7"/>
      <c r="DX167" s="7"/>
      <c r="DY167" s="7"/>
      <c r="DZ167" s="7"/>
      <c r="EA167" s="7"/>
      <c r="EB167" s="7"/>
      <c r="EC167" s="7"/>
      <c r="ED167" s="7"/>
      <c r="EE167" s="7"/>
      <c r="EF167" s="7"/>
      <c r="EG167" s="7"/>
      <c r="EH167" s="7"/>
      <c r="EI167" s="7"/>
      <c r="EJ167" s="7"/>
      <c r="EK167" s="7"/>
      <c r="EL167" s="7"/>
      <c r="EM167" s="7"/>
      <c r="EN167" s="19"/>
      <c r="EO167" s="7"/>
      <c r="EP167" s="7"/>
      <c r="EQ167" s="7"/>
      <c r="ER167" s="7"/>
      <c r="ES167" s="7"/>
      <c r="ET167" s="55"/>
      <c r="EU167" s="7"/>
      <c r="EV167" s="7"/>
      <c r="EW167" s="7"/>
      <c r="EX167" s="7"/>
      <c r="EY167" s="7"/>
      <c r="EZ167" s="7"/>
      <c r="FA167" s="72"/>
      <c r="FB167" s="7"/>
      <c r="FC167" s="55"/>
      <c r="FD167" s="55"/>
      <c r="FE167" s="55"/>
      <c r="FF167" s="7"/>
      <c r="FG167" s="7"/>
      <c r="FH167" s="7"/>
      <c r="FI167" s="7"/>
      <c r="FJ167" s="7"/>
      <c r="FK167" s="7"/>
      <c r="FL167" s="7"/>
      <c r="FM167" s="7"/>
      <c r="FN167" s="7"/>
      <c r="FO167" s="7"/>
      <c r="FP167" s="7"/>
      <c r="FQ167" s="7"/>
      <c r="FR167" s="7"/>
      <c r="FS167" s="77"/>
      <c r="FT167" s="30"/>
      <c r="FU167" s="7"/>
      <c r="FV167" s="55"/>
      <c r="FW167" s="55"/>
      <c r="FX167" s="7"/>
      <c r="FY167" s="7"/>
      <c r="FZ167" s="7"/>
      <c r="GA167" s="7"/>
      <c r="GB167" s="7"/>
      <c r="GC167" s="7"/>
      <c r="GD167" s="103"/>
      <c r="GE167" s="7"/>
      <c r="GF167" s="7"/>
      <c r="GG167" s="7"/>
      <c r="GH167" s="7"/>
      <c r="GI167" s="7"/>
      <c r="GJ167" s="7"/>
      <c r="GK167" s="7"/>
      <c r="GL167" s="7"/>
      <c r="GM167" s="7"/>
      <c r="GN167" s="7"/>
      <c r="GO167" s="7"/>
      <c r="GP167" s="7"/>
      <c r="GQ167" s="7"/>
      <c r="GR167" s="7"/>
      <c r="GS167" s="7"/>
      <c r="GT167" s="7"/>
      <c r="GU167" s="7"/>
      <c r="GV167" s="7"/>
      <c r="GW167" s="7"/>
      <c r="GX167" s="7"/>
      <c r="GY167" s="7"/>
      <c r="GZ167" s="7"/>
      <c r="HA167" s="7"/>
      <c r="HB167" s="7"/>
      <c r="HC167" s="7"/>
      <c r="HD167" s="7"/>
      <c r="HE167" s="7"/>
      <c r="HF167" s="7"/>
      <c r="HG167" s="7"/>
      <c r="HH167" s="7"/>
      <c r="HI167" s="7"/>
      <c r="HJ167" s="7"/>
      <c r="HK167" s="7"/>
      <c r="HL167" s="7"/>
      <c r="HM167" s="7"/>
      <c r="HN167" s="7"/>
      <c r="HO167" s="7"/>
      <c r="HP167" s="7"/>
      <c r="HQ167" s="7"/>
      <c r="HR167" s="7"/>
      <c r="HS167" s="7"/>
      <c r="HT167" s="7"/>
      <c r="HU167" s="7"/>
      <c r="HV167" s="7"/>
      <c r="HW167" s="7"/>
      <c r="HX167" s="7"/>
      <c r="HY167" s="7"/>
      <c r="HZ167" s="7"/>
      <c r="IA167" s="7"/>
      <c r="IB167" s="7"/>
      <c r="IC167" s="7"/>
      <c r="ID167" s="7"/>
      <c r="IE167" s="29"/>
      <c r="IF167" s="7"/>
      <c r="IG167" s="7"/>
      <c r="IH167" s="7"/>
      <c r="II167" s="7"/>
      <c r="IJ167" s="7"/>
      <c r="IK167" s="7"/>
      <c r="IL167" s="7"/>
      <c r="IM167" s="7"/>
      <c r="IN167" s="7"/>
      <c r="IO167" s="7"/>
      <c r="IP167" s="7"/>
      <c r="IQ167" s="7"/>
      <c r="IR167" s="7"/>
      <c r="IS167" s="7"/>
      <c r="IT167" s="55"/>
      <c r="IU167" s="7"/>
      <c r="IV167" s="7"/>
    </row>
    <row r="168" spans="1:256" s="136" customFormat="1" ht="13.5" customHeight="1" thickBot="1">
      <c r="C168" s="172">
        <f>COUNTA(SurveyDATA!C131:C209)</f>
        <v>79</v>
      </c>
      <c r="D168" s="145">
        <f>COUNTA(SurveyDATA!D131:D209)</f>
        <v>79</v>
      </c>
      <c r="E168" s="145">
        <f>COUNTA(SurveyDATA!E131:E209)</f>
        <v>73</v>
      </c>
      <c r="F168" s="145">
        <f>COUNTA(SurveyDATA!F131:F209)</f>
        <v>60</v>
      </c>
      <c r="G168" s="145">
        <f>COUNTA(SurveyDATA!G131:G209)</f>
        <v>59</v>
      </c>
      <c r="H168" s="145">
        <f>COUNTA(SurveyDATA!H131:H209)</f>
        <v>0</v>
      </c>
      <c r="I168" s="145">
        <f>COUNTA(SurveyDATA!I131:I209)</f>
        <v>34</v>
      </c>
      <c r="J168" s="145">
        <f>COUNTA(SurveyDATA!J131:J209)</f>
        <v>55</v>
      </c>
      <c r="K168" s="145">
        <f>COUNTA(SurveyDATA!K131:K209)</f>
        <v>44</v>
      </c>
      <c r="L168" s="145">
        <f>COUNTA(SurveyDATA!L131:L209)</f>
        <v>44</v>
      </c>
      <c r="M168" s="145">
        <f>COUNTA(SurveyDATA!M131:M209)</f>
        <v>0</v>
      </c>
      <c r="N168" s="145"/>
      <c r="O168" s="145">
        <f>COUNTA(SurveyDATA!O131:O209)</f>
        <v>40</v>
      </c>
      <c r="P168" s="145">
        <f>COUNTA(SurveyDATA!P131:P209)</f>
        <v>57</v>
      </c>
      <c r="Q168" s="145">
        <f>COUNTA(SurveyDATA!Q131:Q209)</f>
        <v>54</v>
      </c>
      <c r="R168" s="145">
        <f>COUNTA(SurveyDATA!R131:R194)</f>
        <v>41</v>
      </c>
      <c r="S168" s="145">
        <f>COUNTA(SurveyDATA!S131:S191)</f>
        <v>41</v>
      </c>
      <c r="T168" s="145">
        <f>COUNTA(SurveyDATA!T131:T209)</f>
        <v>0</v>
      </c>
      <c r="U168" s="145">
        <f>COUNTA(SurveyDATA!U131:U209)</f>
        <v>51</v>
      </c>
      <c r="V168" s="145">
        <f>COUNTA(SurveyDATA!V131:V209)</f>
        <v>53</v>
      </c>
      <c r="W168" s="145">
        <f>COUNTA(SurveyDATA!Y131:Y209)</f>
        <v>54</v>
      </c>
      <c r="X168" s="145">
        <f>COUNTA(SurveyDATA!Z131:Z209)</f>
        <v>54</v>
      </c>
      <c r="Y168" s="145">
        <f>COUNTA(SurveyDATA!AA131:AA209)</f>
        <v>53</v>
      </c>
      <c r="Z168" s="145">
        <f>COUNTA(SurveyDATA!AB131:AB209)</f>
        <v>54</v>
      </c>
      <c r="AA168" s="145">
        <f>COUNTA(SurveyDATA!AC131:AC209)</f>
        <v>24</v>
      </c>
      <c r="AB168" s="145">
        <f>COUNTA(SurveyDATA!AD131:AD209)</f>
        <v>24</v>
      </c>
      <c r="AC168" s="145">
        <f>COUNTA(SurveyDATA!AE131:AE209)</f>
        <v>11</v>
      </c>
      <c r="AD168" s="145">
        <f>COUNTA(SurveyDATA!AF131:AF209)</f>
        <v>32</v>
      </c>
      <c r="AE168" s="145">
        <f>COUNTA(SurveyDATA!AG131:AG209)</f>
        <v>29</v>
      </c>
      <c r="AF168" s="145">
        <f>COUNTA(SurveyDATA!AH131:AH209)</f>
        <v>29</v>
      </c>
      <c r="AG168" s="145">
        <f>COUNTA(SurveyDATA!AI131:AI209)</f>
        <v>27</v>
      </c>
      <c r="AH168" s="145">
        <f>COUNTA(SurveyDATA!AJ131:AJ209)</f>
        <v>1</v>
      </c>
      <c r="AI168" s="145">
        <f>COUNTA(SurveyDATA!AK131:AK209)</f>
        <v>73</v>
      </c>
      <c r="AJ168" s="145">
        <f>COUNTA(SurveyDATA!AL131:AL209)</f>
        <v>28</v>
      </c>
      <c r="AK168" s="145">
        <f>COUNTA(SurveyDATA!AM131:AM209)</f>
        <v>30</v>
      </c>
      <c r="AL168" s="145">
        <f>COUNTA(SurveyDATA!AN131:AN209)</f>
        <v>27</v>
      </c>
      <c r="AM168" s="145">
        <f>COUNTA(SurveyDATA!AO131:AO209)</f>
        <v>33</v>
      </c>
      <c r="AN168" s="145">
        <f>COUNTA(SurveyDATA!AP131:AP209)</f>
        <v>0</v>
      </c>
      <c r="AO168" s="145">
        <f>COUNTA(SurveyDATA!AQ131:AQ209)</f>
        <v>0</v>
      </c>
      <c r="AP168" s="145">
        <f>COUNTA(SurveyDATA!AR131:AR209)</f>
        <v>0</v>
      </c>
      <c r="AQ168" s="145">
        <f>COUNTA(SurveyDATA!AS131:AS209)</f>
        <v>16</v>
      </c>
      <c r="AR168" s="145">
        <f>COUNTA(SurveyDATA!AT131:AT209)</f>
        <v>17</v>
      </c>
      <c r="AS168" s="145">
        <f>COUNTA(SurveyDATA!AU131:AU209)</f>
        <v>2</v>
      </c>
      <c r="AT168" s="145">
        <f>COUNTA(SurveyDATA!AV131:AV209)</f>
        <v>0</v>
      </c>
      <c r="AU168" s="145">
        <f>COUNTA(SurveyDATA!AW131:AW209)</f>
        <v>0</v>
      </c>
      <c r="AV168" s="145">
        <f>COUNTA(SurveyDATA!AX131:AX209)</f>
        <v>0</v>
      </c>
      <c r="AW168" s="145">
        <f>COUNTA(SurveyDATA!AY131:AY209)</f>
        <v>0</v>
      </c>
      <c r="AX168" s="145">
        <f>COUNTA(SurveyDATA!AZ131:AZ209)</f>
        <v>0</v>
      </c>
      <c r="AY168" s="145">
        <f>COUNTA(SurveyDATA!BA131:BA209)</f>
        <v>0</v>
      </c>
      <c r="AZ168" s="145">
        <f>COUNTA(SurveyDATA!BB131:BB209)</f>
        <v>0</v>
      </c>
      <c r="BA168" s="145">
        <f>COUNTA(SurveyDATA!BC131:BC209)</f>
        <v>19</v>
      </c>
      <c r="BB168" s="145">
        <f>COUNTA(SurveyDATA!BD131:BD209)</f>
        <v>15</v>
      </c>
      <c r="BC168" s="145">
        <f>COUNTA(SurveyDATA!BE131:BE209)</f>
        <v>0</v>
      </c>
      <c r="BD168" s="145">
        <f>COUNTA(SurveyDATA!BF131:BF209)</f>
        <v>1</v>
      </c>
      <c r="BE168" s="145">
        <f>COUNTA(SurveyDATA!BG131:BG209)</f>
        <v>1</v>
      </c>
      <c r="BF168" s="145">
        <f>COUNTA(SurveyDATA!BH131:BH209)</f>
        <v>0</v>
      </c>
      <c r="BG168" s="145">
        <f>COUNTA(SurveyDATA!BI131:BI209)</f>
        <v>0</v>
      </c>
      <c r="BH168" s="145">
        <f>COUNTA(SurveyDATA!BJ131:BJ209)</f>
        <v>0</v>
      </c>
      <c r="BI168" s="145">
        <f>COUNTA(SurveyDATA!BK131:BK209)</f>
        <v>42</v>
      </c>
      <c r="BJ168" s="145">
        <f>COUNTA(SurveyDATA!BL131:BL209)</f>
        <v>35</v>
      </c>
      <c r="BK168" s="145">
        <f>COUNTA(SurveyDATA!BM131:BM209)</f>
        <v>74</v>
      </c>
      <c r="BL168" s="145">
        <f>COUNTA(SurveyDATA!BN131:BN209)</f>
        <v>74</v>
      </c>
      <c r="BM168" s="145">
        <f>COUNTA(SurveyDATA!BO131:BO209)</f>
        <v>42</v>
      </c>
      <c r="BN168" s="145">
        <f>COUNTA(SurveyDATA!BP131:BP209)</f>
        <v>35</v>
      </c>
      <c r="BO168" s="291">
        <f>COUNTA(SurveyDATA!BQ131:BQ209)</f>
        <v>35</v>
      </c>
      <c r="BP168" s="145">
        <f>COUNTA(SurveyDATA!BR131:BR209)</f>
        <v>35</v>
      </c>
      <c r="BQ168" s="145">
        <f>COUNTA(SurveyDATA!BS131:BS209)</f>
        <v>74</v>
      </c>
      <c r="BR168" s="145">
        <f>COUNTA(SurveyDATA!BT131:BT209)</f>
        <v>32</v>
      </c>
      <c r="BS168" s="145">
        <f>COUNTA(SurveyDATA!BU131:BU209)</f>
        <v>32</v>
      </c>
      <c r="BT168" s="145">
        <f>COUNTA(SurveyDATA!BV131:BV209)</f>
        <v>32</v>
      </c>
      <c r="BU168" s="145">
        <f>COUNTA(SurveyDATA!BW131:BW209)</f>
        <v>19</v>
      </c>
      <c r="BV168" s="145">
        <f>COUNTA(SurveyDATA!BX131:BX209)</f>
        <v>9</v>
      </c>
      <c r="BW168" s="145">
        <f>COUNTA(SurveyDATA!BY131:BY209)</f>
        <v>6</v>
      </c>
      <c r="BX168" s="145">
        <f>COUNTA(SurveyDATA!BZ131:BZ209)</f>
        <v>4</v>
      </c>
      <c r="BY168" s="145">
        <f>COUNTA(SurveyDATA!CA131:CA209)</f>
        <v>0</v>
      </c>
      <c r="BZ168" s="145">
        <f>COUNTA(SurveyDATA!CB131:CB209)</f>
        <v>11</v>
      </c>
      <c r="CA168" s="145">
        <f>COUNTA(SurveyDATA!CC131:CC209)</f>
        <v>5</v>
      </c>
      <c r="CB168" s="145">
        <f>COUNTA(SurveyDATA!CD131:CD209)</f>
        <v>0</v>
      </c>
      <c r="CC168" s="145">
        <f>COUNTA(SurveyDATA!CE131:CE209)</f>
        <v>0</v>
      </c>
      <c r="CD168" s="145">
        <f>COUNTA(SurveyDATA!CF131:CF209)</f>
        <v>5</v>
      </c>
      <c r="CE168" s="145">
        <f>COUNTA(SurveyDATA!CG131:CG209)</f>
        <v>5</v>
      </c>
      <c r="CF168" s="145">
        <f>COUNTA(SurveyDATA!CH131:CH209)</f>
        <v>3</v>
      </c>
      <c r="CG168" s="145">
        <f>COUNTA(SurveyDATA!CI131:CI209)</f>
        <v>1</v>
      </c>
      <c r="CH168" s="145">
        <f>COUNTA(SurveyDATA!CJ131:CJ209)</f>
        <v>1</v>
      </c>
      <c r="CI168" s="145">
        <f>COUNTA(SurveyDATA!CK131:CK209)</f>
        <v>4</v>
      </c>
      <c r="CJ168" s="145">
        <f>COUNTA(SurveyDATA!CL131:CL209)</f>
        <v>2</v>
      </c>
      <c r="CK168" s="145">
        <f>COUNTA(SurveyDATA!CM131:CM209)</f>
        <v>4</v>
      </c>
      <c r="CL168" s="145">
        <f>COUNTA(SurveyDATA!CN131:CN209)</f>
        <v>0</v>
      </c>
      <c r="CM168" s="145">
        <f>COUNTA(SurveyDATA!CO131:CO209)</f>
        <v>1</v>
      </c>
      <c r="CN168" s="145">
        <f>COUNTA(SurveyDATA!CP131:CP209)</f>
        <v>0</v>
      </c>
      <c r="CO168" s="145">
        <f>COUNTA(SurveyDATA!CQ131:CQ209)</f>
        <v>0</v>
      </c>
      <c r="CP168" s="145">
        <f>COUNTA(SurveyDATA!CR131:CR209)</f>
        <v>0</v>
      </c>
      <c r="CQ168" s="145">
        <f>COUNTA(SurveyDATA!CS131:CS209)</f>
        <v>0</v>
      </c>
      <c r="CR168" s="145">
        <f>COUNTA(SurveyDATA!CT131:CT209)</f>
        <v>0</v>
      </c>
      <c r="CS168" s="145">
        <f>COUNTA(SurveyDATA!CU131:CU209)</f>
        <v>0</v>
      </c>
      <c r="CT168" s="145">
        <f>COUNTA(SurveyDATA!CV131:CV209)</f>
        <v>0</v>
      </c>
      <c r="CU168" s="145">
        <f>COUNTA(SurveyDATA!CW131:CW209)</f>
        <v>0</v>
      </c>
      <c r="CV168" s="145">
        <f>COUNTA(SurveyDATA!CX131:CX209)</f>
        <v>0</v>
      </c>
      <c r="CW168" s="145">
        <f>COUNTA(SurveyDATA!CY131:CY209)</f>
        <v>0</v>
      </c>
      <c r="CX168" s="145">
        <f>COUNTA(SurveyDATA!CZ131:CZ209)</f>
        <v>0</v>
      </c>
      <c r="CY168" s="145">
        <f>COUNTA(SurveyDATA!DA131:DA209)</f>
        <v>0</v>
      </c>
      <c r="CZ168" s="145">
        <f>COUNTA(SurveyDATA!DB131:DB209)</f>
        <v>0</v>
      </c>
      <c r="DA168" s="145">
        <f>COUNTA(SurveyDATA!DC131:DC209)</f>
        <v>0</v>
      </c>
      <c r="DB168" s="145">
        <f>COUNTA(SurveyDATA!DD131:DD209)</f>
        <v>0</v>
      </c>
      <c r="DC168" s="145">
        <f>COUNTA(SurveyDATA!DE131:DE209)</f>
        <v>0</v>
      </c>
      <c r="DD168" s="145">
        <f>COUNTA(SurveyDATA!DF131:DF209)</f>
        <v>0</v>
      </c>
      <c r="DE168" s="145">
        <f>COUNTA(SurveyDATA!DG131:DG209)</f>
        <v>0</v>
      </c>
      <c r="DF168" s="145">
        <f>COUNTA(SurveyDATA!DH131:DH209)</f>
        <v>0</v>
      </c>
      <c r="DG168" s="145">
        <f>COUNTA(SurveyDATA!DI131:DI209)</f>
        <v>0</v>
      </c>
      <c r="DH168" s="145">
        <f>COUNTA(SurveyDATA!DJ131:DJ209)</f>
        <v>0</v>
      </c>
      <c r="DI168" s="145">
        <f>COUNTA(SurveyDATA!DK131:DK209)</f>
        <v>0</v>
      </c>
      <c r="DJ168" s="145">
        <f>COUNTA(SurveyDATA!DL131:DL209)</f>
        <v>0</v>
      </c>
      <c r="DK168" s="145">
        <f>COUNTA(SurveyDATA!DM131:DM209)</f>
        <v>0</v>
      </c>
      <c r="DL168" s="145">
        <f>COUNTA(SurveyDATA!DN131:DN209)</f>
        <v>0</v>
      </c>
      <c r="DM168" s="145">
        <f>COUNTA(SurveyDATA!DO131:DO209)</f>
        <v>0</v>
      </c>
      <c r="DN168" s="145">
        <f>COUNTA(SurveyDATA!DP131:DP209)</f>
        <v>0</v>
      </c>
      <c r="DO168" s="145">
        <f>COUNTA(SurveyDATA!DQ131:DQ209)</f>
        <v>1</v>
      </c>
      <c r="DP168" s="145">
        <f>COUNTA(SurveyDATA!DR131:DR209)</f>
        <v>0</v>
      </c>
      <c r="DQ168" s="145">
        <f>COUNTA(SurveyDATA!DS131:DS209)</f>
        <v>0</v>
      </c>
      <c r="DR168" s="145">
        <f>COUNTA(SurveyDATA!DT131:DT209)</f>
        <v>1</v>
      </c>
      <c r="DS168" s="145">
        <f>COUNTA(SurveyDATA!DU131:DU209)</f>
        <v>0</v>
      </c>
      <c r="DT168" s="145">
        <f>COUNTA(SurveyDATA!DV131:DV209)</f>
        <v>0</v>
      </c>
      <c r="DU168" s="145">
        <f>COUNTA(SurveyDATA!DW131:DW209)</f>
        <v>1</v>
      </c>
      <c r="DV168" s="145">
        <f>COUNTA(SurveyDATA!DX131:DX209)</f>
        <v>0</v>
      </c>
      <c r="DW168" s="145">
        <f>COUNTA(SurveyDATA!DY131:DY209)</f>
        <v>0</v>
      </c>
      <c r="DX168" s="145">
        <f>COUNTA(SurveyDATA!DZ131:DZ209)</f>
        <v>1</v>
      </c>
      <c r="DY168" s="145">
        <f>COUNTA(SurveyDATA!EA131:EA209)</f>
        <v>1</v>
      </c>
      <c r="DZ168" s="145">
        <f>COUNTA(SurveyDATA!EB131:EB209)</f>
        <v>1</v>
      </c>
      <c r="EA168" s="145">
        <f>COUNTA(SurveyDATA!EC131:EC209)</f>
        <v>0</v>
      </c>
      <c r="EB168" s="145">
        <f>COUNTA(SurveyDATA!ED131:ED209)</f>
        <v>1</v>
      </c>
      <c r="EC168" s="145">
        <f>COUNTA(SurveyDATA!EE131:EE209)</f>
        <v>1</v>
      </c>
      <c r="ED168" s="145">
        <f>COUNTA(SurveyDATA!EF131:EF209)</f>
        <v>0</v>
      </c>
      <c r="EE168" s="145">
        <f>COUNTA(SurveyDATA!EG131:EG209)</f>
        <v>0</v>
      </c>
      <c r="EF168" s="145">
        <f>COUNTA(SurveyDATA!EH131:EH209)</f>
        <v>0</v>
      </c>
      <c r="EG168" s="145">
        <f>COUNTA(SurveyDATA!EI131:EI209)</f>
        <v>0</v>
      </c>
      <c r="EH168" s="145">
        <f>COUNTA(SurveyDATA!EJ131:EJ209)</f>
        <v>0</v>
      </c>
      <c r="EI168" s="145">
        <f>COUNTA(SurveyDATA!EK131:EK209)</f>
        <v>0</v>
      </c>
      <c r="EJ168" s="145">
        <f>COUNTA(SurveyDATA!EL131:EL209)</f>
        <v>0</v>
      </c>
      <c r="EK168" s="145">
        <f>COUNTA(SurveyDATA!EM131:EM209)</f>
        <v>0</v>
      </c>
      <c r="EL168" s="145">
        <f>COUNTA(SurveyDATA!EN131:EN209)</f>
        <v>0</v>
      </c>
      <c r="EM168" s="145">
        <f>COUNTA(SurveyDATA!EO131:EO209)</f>
        <v>0</v>
      </c>
      <c r="EN168" s="145">
        <f>COUNTA(SurveyDATA!EP131:EP209)</f>
        <v>0</v>
      </c>
      <c r="EO168" s="145">
        <f>COUNTA(SurveyDATA!EQ131:EQ209)</f>
        <v>0</v>
      </c>
      <c r="EP168" s="145">
        <f>COUNTA(SurveyDATA!EZ131:EZ209)</f>
        <v>5</v>
      </c>
      <c r="EQ168" s="145">
        <f>COUNTA(SurveyDATA!FA131:FA209)</f>
        <v>6</v>
      </c>
      <c r="ER168" s="145">
        <f>COUNTA(SurveyDATA!FB131:FB209)</f>
        <v>4</v>
      </c>
      <c r="ES168" s="145">
        <f>COUNTA(SurveyDATA!FC131:FC209)</f>
        <v>0</v>
      </c>
      <c r="ET168" s="145">
        <f>COUNTA(SurveyDATA!FD131:FD209)</f>
        <v>0</v>
      </c>
      <c r="EU168" s="145">
        <f>COUNTA(SurveyDATA!FE131:FE209)</f>
        <v>6</v>
      </c>
      <c r="EV168" s="145">
        <f>COUNTA(SurveyDATA!FF131:FF209)</f>
        <v>3</v>
      </c>
      <c r="EW168" s="145">
        <f>COUNTA(SurveyDATA!FG131:FG209)</f>
        <v>4</v>
      </c>
      <c r="EX168" s="145">
        <f>COUNTA(SurveyDATA!FH131:FH209)</f>
        <v>61</v>
      </c>
      <c r="EY168" s="145">
        <f>COUNTA(SurveyDATA!FI131:FI209)</f>
        <v>53</v>
      </c>
      <c r="EZ168" s="145">
        <f>COUNTA(SurveyDATA!FJ131:FJ209)</f>
        <v>44</v>
      </c>
      <c r="FA168" s="145">
        <f>COUNTA(SurveyDATA!FK131:FK209)</f>
        <v>16</v>
      </c>
      <c r="FB168" s="145">
        <f>COUNTA(SurveyDATA!FL131:FL209)</f>
        <v>20</v>
      </c>
      <c r="FC168" s="145">
        <f>COUNTA(SurveyDATA!FM131:FM209)</f>
        <v>19</v>
      </c>
      <c r="FD168" s="145">
        <f>COUNTA(SurveyDATA!FN131:FN209)</f>
        <v>18</v>
      </c>
      <c r="FE168" s="145">
        <f>COUNTA(SurveyDATA!FO131:FO209)</f>
        <v>17</v>
      </c>
      <c r="FF168" s="145">
        <f>COUNTA(SurveyDATA!FP131:FP209)</f>
        <v>57</v>
      </c>
      <c r="FG168" s="145">
        <f>COUNTA(SurveyDATA!FQ131:FQ209)</f>
        <v>57</v>
      </c>
      <c r="FH168" s="145">
        <f>COUNTA(SurveyDATA!FR131:FR209)</f>
        <v>17</v>
      </c>
      <c r="FI168" s="145">
        <f>COUNTA(SurveyDATA!FS131:FS209)</f>
        <v>16</v>
      </c>
      <c r="FJ168" s="145">
        <f>COUNTA(SurveyDATA!FT131:FT209)</f>
        <v>0</v>
      </c>
      <c r="FK168" s="145">
        <f>COUNTA(SurveyDATA!FU131:FU209)</f>
        <v>0</v>
      </c>
      <c r="FL168" s="145">
        <f>COUNTA(SurveyDATA!FV131:FV209)</f>
        <v>1</v>
      </c>
      <c r="FM168" s="145">
        <f>COUNTA(SurveyDATA!FW131:FW209)</f>
        <v>0</v>
      </c>
      <c r="FN168" s="145">
        <f>COUNTA(SurveyDATA!FX131:FX209)</f>
        <v>0</v>
      </c>
      <c r="FO168" s="145">
        <f>COUNTA(SurveyDATA!FY131:FY209)</f>
        <v>0</v>
      </c>
      <c r="FP168" s="145">
        <f>COUNTA(SurveyDATA!FZ131:FZ209)</f>
        <v>1</v>
      </c>
      <c r="FQ168" s="145">
        <f>COUNTA(SurveyDATA!GA131:GA209)</f>
        <v>0</v>
      </c>
      <c r="FR168" s="145">
        <f>COUNTA(SurveyDATA!GB131:GB209)</f>
        <v>18</v>
      </c>
      <c r="FS168" s="145">
        <f>COUNTA(SurveyDATA!GC131:GC209)</f>
        <v>17</v>
      </c>
      <c r="FT168" s="145">
        <f>COUNTA(SurveyDATA!GD131:GD209)</f>
        <v>15</v>
      </c>
      <c r="FU168" s="145">
        <f>COUNTA(SurveyDATA!GE131:GE209)</f>
        <v>14</v>
      </c>
      <c r="FV168" s="145">
        <f>COUNTA(SurveyDATA!GF131:GF209)</f>
        <v>0</v>
      </c>
      <c r="FW168" s="145">
        <f>COUNTA(SurveyDATA!GG131:GG209)</f>
        <v>0</v>
      </c>
      <c r="FX168" s="145">
        <f>COUNTA(SurveyDATA!GH131:GH209)</f>
        <v>7</v>
      </c>
      <c r="FY168" s="145">
        <f>COUNTA(SurveyDATA!GI131:GI209)</f>
        <v>0</v>
      </c>
      <c r="FZ168" s="145">
        <f>COUNTA(SurveyDATA!GJ131:GJ209)</f>
        <v>4</v>
      </c>
      <c r="GA168" s="145">
        <f>COUNTA(SurveyDATA!GK131:GK209)</f>
        <v>0</v>
      </c>
      <c r="GB168" s="145">
        <f>COUNTA(SurveyDATA!GL131:GL209)</f>
        <v>0</v>
      </c>
      <c r="GC168" s="145">
        <f>COUNTA(SurveyDATA!GM131:GM209)</f>
        <v>2</v>
      </c>
      <c r="GD168" s="145">
        <f>COUNTA(SurveyDATA!GN131:GN209)</f>
        <v>0</v>
      </c>
      <c r="GE168" s="145">
        <f>COUNTA(SurveyDATA!GO131:GO209)</f>
        <v>0</v>
      </c>
      <c r="GF168" s="145">
        <f>COUNTA(SurveyDATA!GP131:GP209)</f>
        <v>0</v>
      </c>
      <c r="GG168" s="145">
        <f>COUNTA(SurveyDATA!GQ131:GQ209)</f>
        <v>0</v>
      </c>
      <c r="GH168" s="145">
        <f>COUNTA(SurveyDATA!GR131:GR209)</f>
        <v>0</v>
      </c>
      <c r="GI168" s="145">
        <f>COUNTA(SurveyDATA!GS131:GS209)</f>
        <v>0</v>
      </c>
      <c r="GJ168" s="145">
        <f>COUNTA(SurveyDATA!GT131:GT209)</f>
        <v>0</v>
      </c>
      <c r="GK168" s="145">
        <f>COUNTA(SurveyDATA!GU131:GU209)</f>
        <v>0</v>
      </c>
      <c r="GL168" s="145">
        <f>COUNTA(SurveyDATA!GV131:GV209)</f>
        <v>0</v>
      </c>
      <c r="GM168" s="145">
        <f>COUNTA(SurveyDATA!GW131:GW209)</f>
        <v>0</v>
      </c>
      <c r="GN168" s="145">
        <f>COUNTA(SurveyDATA!GX131:GX209)</f>
        <v>0</v>
      </c>
      <c r="GO168" s="145">
        <f>COUNTA(SurveyDATA!GY131:GY209)</f>
        <v>0</v>
      </c>
      <c r="GP168" s="145">
        <f>COUNTA(SurveyDATA!GZ131:GZ209)</f>
        <v>0</v>
      </c>
      <c r="GQ168" s="145">
        <f>COUNTA(SurveyDATA!HA131:HA209)</f>
        <v>0</v>
      </c>
      <c r="GR168" s="145">
        <f>COUNTA(SurveyDATA!HB131:HB209)</f>
        <v>0</v>
      </c>
      <c r="GS168" s="145">
        <f>COUNTA(SurveyDATA!HC131:HC209)</f>
        <v>0</v>
      </c>
      <c r="GT168" s="145">
        <f>COUNTA(SurveyDATA!HD131:HD209)</f>
        <v>0</v>
      </c>
      <c r="GU168" s="145">
        <f>COUNTA(SurveyDATA!HE131:HE209)</f>
        <v>0</v>
      </c>
      <c r="GV168" s="145">
        <f>COUNTA(SurveyDATA!HF131:HF209)</f>
        <v>0</v>
      </c>
      <c r="GW168" s="145">
        <f>COUNTA(SurveyDATA!HG131:HG209)</f>
        <v>0</v>
      </c>
      <c r="GX168" s="145">
        <f>COUNTA(SurveyDATA!HH131:HH209)</f>
        <v>0</v>
      </c>
      <c r="GY168" s="145">
        <f>COUNTA(SurveyDATA!HI131:HI209)</f>
        <v>0</v>
      </c>
      <c r="GZ168" s="145">
        <f>COUNTA(SurveyDATA!HJ131:HJ209)</f>
        <v>0</v>
      </c>
      <c r="HA168" s="145">
        <f>COUNTA(SurveyDATA!HK131:HK209)</f>
        <v>0</v>
      </c>
      <c r="HB168" s="145">
        <f>COUNTA(SurveyDATA!HL131:HL209)</f>
        <v>0</v>
      </c>
      <c r="HC168" s="145">
        <f>COUNTA(SurveyDATA!HM131:HM209)</f>
        <v>0</v>
      </c>
      <c r="HD168" s="145">
        <f>COUNTA(SurveyDATA!HN131:HN209)</f>
        <v>0</v>
      </c>
      <c r="HE168" s="145">
        <f>COUNTA(SurveyDATA!HO131:HO209)</f>
        <v>0</v>
      </c>
      <c r="HF168" s="145">
        <f>COUNTA(SurveyDATA!HP131:HP209)</f>
        <v>0</v>
      </c>
      <c r="HG168" s="145">
        <f>COUNTA(SurveyDATA!HQ131:HQ209)</f>
        <v>0</v>
      </c>
      <c r="HH168" s="145">
        <f>COUNTA(SurveyDATA!HR131:HR209)</f>
        <v>4</v>
      </c>
      <c r="HI168" s="145">
        <f>COUNTA(SurveyDATA!HS131:HS209)</f>
        <v>2</v>
      </c>
      <c r="HJ168" s="145">
        <f>COUNTA(SurveyDATA!HT131:HT209)</f>
        <v>5</v>
      </c>
      <c r="HK168" s="145">
        <f>COUNTA(SurveyDATA!HU131:HU209)</f>
        <v>0</v>
      </c>
      <c r="HL168" s="145">
        <f>COUNTA(SurveyDATA!HV131:HV209)</f>
        <v>0</v>
      </c>
      <c r="HM168" s="145">
        <f>COUNTA(SurveyDATA!HW131:HW209)</f>
        <v>0</v>
      </c>
      <c r="HN168" s="145">
        <f>COUNTA(SurveyDATA!HX131:HX209)</f>
        <v>0</v>
      </c>
      <c r="HO168" s="145">
        <f>COUNTA(SurveyDATA!HY131:HY209)</f>
        <v>0</v>
      </c>
      <c r="HP168" s="145">
        <f>COUNTA(SurveyDATA!HZ131:HZ209)</f>
        <v>0</v>
      </c>
      <c r="HQ168" s="145">
        <f>COUNTA(SurveyDATA!IA131:IA209)</f>
        <v>0</v>
      </c>
      <c r="HR168" s="145">
        <f>COUNTA(SurveyDATA!IB131:IB209)</f>
        <v>25</v>
      </c>
      <c r="HS168" s="145">
        <f>COUNTA(SurveyDATA!IC131:IC209)</f>
        <v>13</v>
      </c>
      <c r="HT168" s="145">
        <f>COUNTA(SurveyDATA!ID131:ID209)</f>
        <v>13</v>
      </c>
      <c r="HU168" s="145">
        <f>COUNTA(SurveyDATA!IE131:IE209)</f>
        <v>4</v>
      </c>
      <c r="HV168" s="145">
        <f>COUNTA(SurveyDATA!IF131:IF209)</f>
        <v>8</v>
      </c>
      <c r="HW168" s="145">
        <f>COUNTA(SurveyDATA!IG131:IG209)</f>
        <v>7</v>
      </c>
      <c r="HX168" s="145">
        <f>COUNTA(SurveyDATA!IH131:IH209)</f>
        <v>7</v>
      </c>
      <c r="HY168" s="145">
        <f>COUNTA(SurveyDATA!II131:II209)</f>
        <v>6</v>
      </c>
      <c r="HZ168" s="145">
        <f>COUNTA(SurveyDATA!IJ131:IJ209)</f>
        <v>7</v>
      </c>
      <c r="IA168" s="145">
        <f>COUNTA(SurveyDATA!IK131:IK209)</f>
        <v>5</v>
      </c>
      <c r="IB168" s="145">
        <f>COUNTA(SurveyDATA!IL131:IL209)</f>
        <v>6</v>
      </c>
      <c r="IC168" s="145">
        <f>COUNTA(SurveyDATA!IM131:IM209)</f>
        <v>6</v>
      </c>
      <c r="ID168" s="145">
        <f>COUNTA(SurveyDATA!IN131:IN209)</f>
        <v>5</v>
      </c>
      <c r="IE168" s="145">
        <f>COUNTA(SurveyDATA!IO131:IO209)</f>
        <v>5</v>
      </c>
      <c r="IF168" s="145">
        <f>COUNTA(SurveyDATA!IP131:IP209)</f>
        <v>7</v>
      </c>
      <c r="IG168" s="145">
        <f>COUNTA(SurveyDATA!IQ131:IQ209)</f>
        <v>6</v>
      </c>
      <c r="IH168" s="145">
        <f>COUNTA(SurveyDATA!IR131:IR209)</f>
        <v>6</v>
      </c>
      <c r="II168" s="145">
        <f>COUNTA(SurveyDATA!IS131:IS209)</f>
        <v>6</v>
      </c>
      <c r="IJ168" s="145">
        <f>COUNTA(SurveyDATA!IT131:IT209)</f>
        <v>3</v>
      </c>
      <c r="IK168" s="145">
        <f>COUNTA(SurveyDATA!IU131:IU209)</f>
        <v>3</v>
      </c>
      <c r="IL168" s="145">
        <f>COUNTA(SurveyDATA!IV131:IV209)</f>
        <v>3</v>
      </c>
      <c r="IM168" s="145">
        <f>COUNTA(SurveyDATA!#REF!)</f>
        <v>1</v>
      </c>
      <c r="IN168" s="145">
        <f>COUNTA(SurveyDATA!#REF!)</f>
        <v>1</v>
      </c>
      <c r="IO168" s="145">
        <f>COUNTA(SurveyDATA!#REF!)</f>
        <v>1</v>
      </c>
      <c r="IP168" s="145">
        <f>COUNTA(SurveyDATA!#REF!)</f>
        <v>1</v>
      </c>
      <c r="IQ168" s="145">
        <f>COUNTA(SurveyDATA!#REF!)</f>
        <v>1</v>
      </c>
      <c r="IR168" s="145">
        <f>COUNTA(SurveyDATA!#REF!)</f>
        <v>1</v>
      </c>
      <c r="IS168" s="145">
        <f>COUNTA(SurveyDATA!#REF!)</f>
        <v>1</v>
      </c>
      <c r="IT168" s="145">
        <f>COUNTA(SurveyDATA!#REF!)</f>
        <v>1</v>
      </c>
      <c r="IU168" s="145">
        <f>COUNTA(SurveyDATA!#REF!)</f>
        <v>1</v>
      </c>
      <c r="IV168" s="145">
        <f>COUNTA(SurveyDATA!#REF!)</f>
        <v>1</v>
      </c>
    </row>
    <row r="169" spans="1:256" s="11" customFormat="1" ht="14.25" customHeight="1" thickTop="1" thickBot="1">
      <c r="A169" s="19"/>
      <c r="B169" s="19"/>
      <c r="C169" s="173" t="s">
        <v>4295</v>
      </c>
      <c r="D169" s="19"/>
      <c r="E169" s="7"/>
      <c r="F169" s="7"/>
      <c r="G169" s="7"/>
      <c r="H169" s="7"/>
      <c r="I169" s="8"/>
      <c r="J169" s="19" t="str">
        <f t="shared" ref="J169:J183" ca="1" si="6">IF(F169="Head",CELL("contents",D169),"")</f>
        <v/>
      </c>
      <c r="K169" s="7"/>
      <c r="L169" s="7"/>
      <c r="M169" s="7"/>
      <c r="N169" s="7"/>
      <c r="O169" s="7"/>
      <c r="P169" s="7"/>
      <c r="Q169" s="29"/>
      <c r="R169" s="30"/>
      <c r="S169" s="7"/>
      <c r="T169" s="7"/>
      <c r="U169" s="31"/>
      <c r="V169" s="7"/>
      <c r="W169" s="7"/>
      <c r="X169" s="7"/>
      <c r="Y169" s="7"/>
      <c r="Z169" s="7"/>
      <c r="AA169" s="7"/>
      <c r="AB169" s="7"/>
      <c r="AC169" s="7"/>
      <c r="AD169" s="7"/>
      <c r="AE169" s="7"/>
      <c r="AF169" s="7"/>
      <c r="AG169" s="7"/>
      <c r="AH169" s="7"/>
      <c r="AI169" s="7"/>
      <c r="AJ169" s="122"/>
      <c r="AK169" s="41"/>
      <c r="AL169" s="52"/>
      <c r="AM169" s="20"/>
      <c r="AN169" s="20"/>
      <c r="AO169" s="20"/>
      <c r="AP169" s="20"/>
      <c r="AQ169" s="7"/>
      <c r="AR169" s="7"/>
      <c r="AS169" s="7"/>
      <c r="AT169" s="7"/>
      <c r="AU169" s="7"/>
      <c r="AV169" s="7"/>
      <c r="AW169" s="7"/>
      <c r="AX169" s="7"/>
      <c r="AY169" s="7"/>
      <c r="AZ169" s="7"/>
      <c r="BA169" s="7"/>
      <c r="BB169" s="7"/>
      <c r="BC169" s="7"/>
      <c r="BD169" s="55"/>
      <c r="BE169" s="55"/>
      <c r="BF169" s="7"/>
      <c r="BG169" s="7"/>
      <c r="BH169" s="7"/>
      <c r="BI169" s="7"/>
      <c r="BJ169" s="7"/>
      <c r="BK169" s="7"/>
      <c r="BL169" s="7"/>
      <c r="BM169" s="7"/>
      <c r="BN169" s="61"/>
      <c r="BO169" s="62"/>
      <c r="BP169" s="50"/>
      <c r="BQ169" s="20"/>
      <c r="BR169" s="7"/>
      <c r="BS169" s="7"/>
      <c r="BT169" s="7"/>
      <c r="BU169" s="7"/>
      <c r="BV169" s="55"/>
      <c r="BW169" s="7"/>
      <c r="BX169" s="55"/>
      <c r="BY169" s="7"/>
      <c r="BZ169" s="7"/>
      <c r="CA169" s="7"/>
      <c r="CB169" s="7"/>
      <c r="CC169" s="55"/>
      <c r="CD169" s="104"/>
      <c r="CE169" s="105"/>
      <c r="CF169" s="7"/>
      <c r="CG169" s="7"/>
      <c r="CH169" s="7"/>
      <c r="CI169" s="7"/>
      <c r="CJ169" s="7"/>
      <c r="CK169" s="7"/>
      <c r="CL169" s="7"/>
      <c r="CM169" s="7"/>
      <c r="CN169" s="7"/>
      <c r="CO169" s="7"/>
      <c r="CP169" s="55"/>
      <c r="CQ169" s="7"/>
      <c r="CR169" s="7"/>
      <c r="CS169" s="130"/>
      <c r="CT169" s="7"/>
      <c r="CU169" s="7"/>
      <c r="CV169" s="7"/>
      <c r="CW169" s="7"/>
      <c r="CX169" s="7"/>
      <c r="CY169" s="73"/>
      <c r="CZ169" s="7"/>
      <c r="DA169" s="7"/>
      <c r="DB169" s="7"/>
      <c r="DC169" s="48"/>
      <c r="DD169" s="7"/>
      <c r="DE169" s="7"/>
      <c r="DF169" s="7"/>
      <c r="DG169" s="7"/>
      <c r="DH169" s="7"/>
      <c r="DI169" s="7"/>
      <c r="DJ169" s="7"/>
      <c r="DK169" s="7"/>
      <c r="DL169" s="74"/>
      <c r="DM169" s="7"/>
      <c r="DN169" s="7"/>
      <c r="DO169" s="7"/>
      <c r="DP169" s="7"/>
      <c r="DQ169" s="58"/>
      <c r="DR169" s="7"/>
      <c r="DS169" s="7"/>
      <c r="DT169" s="7"/>
      <c r="DU169" s="73"/>
      <c r="DV169" s="73"/>
      <c r="DW169" s="152"/>
      <c r="DX169" s="7"/>
      <c r="DY169" s="7"/>
      <c r="DZ169" s="7"/>
      <c r="EA169" s="7"/>
      <c r="EB169" s="7"/>
      <c r="EC169" s="7"/>
      <c r="ED169" s="7"/>
      <c r="EE169" s="7"/>
      <c r="EF169" s="7"/>
      <c r="EG169" s="7"/>
      <c r="EH169" s="7"/>
      <c r="EI169" s="7"/>
      <c r="EJ169" s="7"/>
      <c r="EK169" s="7"/>
      <c r="EL169" s="7"/>
      <c r="EM169" s="7"/>
      <c r="EN169" s="19"/>
      <c r="EO169" s="7"/>
      <c r="EP169" s="7"/>
      <c r="EQ169" s="7"/>
      <c r="ER169" s="7"/>
      <c r="ES169" s="7"/>
      <c r="ET169" s="55"/>
      <c r="EU169" s="7"/>
      <c r="EV169" s="7"/>
      <c r="EW169" s="7"/>
      <c r="EX169" s="7"/>
      <c r="EY169" s="7"/>
      <c r="EZ169" s="7"/>
      <c r="FA169" s="7"/>
      <c r="FB169" s="7"/>
      <c r="FC169" s="55"/>
      <c r="FD169" s="55"/>
      <c r="FE169" s="55"/>
      <c r="FF169" s="7"/>
      <c r="FG169" s="7"/>
      <c r="FH169" s="7"/>
      <c r="FI169" s="7"/>
      <c r="FJ169" s="7"/>
      <c r="FK169" s="7"/>
      <c r="FL169" s="7"/>
      <c r="FM169" s="7"/>
      <c r="FN169" s="7"/>
      <c r="FO169" s="7"/>
      <c r="FP169" s="7"/>
      <c r="FQ169" s="7"/>
      <c r="FR169" s="7"/>
      <c r="FS169" s="77"/>
      <c r="FT169" s="30"/>
      <c r="FU169" s="7"/>
      <c r="FV169" s="55"/>
      <c r="FW169" s="55"/>
      <c r="FX169" s="7"/>
      <c r="FY169" s="7"/>
      <c r="FZ169" s="7"/>
      <c r="GA169" s="7"/>
      <c r="GB169" s="7"/>
      <c r="GC169" s="7"/>
      <c r="GD169" s="103"/>
      <c r="GE169" s="7"/>
      <c r="GF169" s="7"/>
      <c r="GG169" s="7"/>
      <c r="GH169" s="7"/>
      <c r="GI169" s="7"/>
      <c r="GJ169" s="7"/>
      <c r="GK169" s="7"/>
      <c r="GL169" s="7"/>
      <c r="GM169" s="7"/>
      <c r="GN169" s="7"/>
      <c r="GO169" s="7"/>
      <c r="GP169" s="7"/>
      <c r="GQ169" s="7"/>
      <c r="GR169" s="7"/>
      <c r="GS169" s="7"/>
      <c r="GT169" s="7"/>
      <c r="GU169" s="7"/>
      <c r="GV169" s="7"/>
      <c r="GW169" s="7"/>
      <c r="GX169" s="7"/>
      <c r="GY169" s="7"/>
      <c r="GZ169" s="7"/>
      <c r="HA169" s="7"/>
      <c r="HB169" s="7"/>
      <c r="HC169" s="7"/>
      <c r="HD169" s="7"/>
      <c r="HE169" s="7"/>
      <c r="HF169" s="7"/>
      <c r="HG169" s="7"/>
      <c r="HH169" s="7"/>
      <c r="HI169" s="7"/>
      <c r="HJ169" s="7"/>
      <c r="HK169" s="7"/>
      <c r="HL169" s="7"/>
      <c r="HM169" s="7"/>
      <c r="HN169" s="7"/>
      <c r="HO169" s="7"/>
      <c r="HP169" s="7"/>
      <c r="HQ169" s="7"/>
      <c r="HR169" s="7"/>
      <c r="HS169" s="7"/>
      <c r="HT169" s="7"/>
      <c r="HU169" s="7"/>
      <c r="HV169" s="7"/>
      <c r="HW169" s="7"/>
      <c r="HX169" s="7"/>
      <c r="HY169" s="7"/>
      <c r="HZ169" s="7"/>
      <c r="IA169" s="7"/>
      <c r="IB169" s="7"/>
      <c r="IC169" s="7"/>
      <c r="ID169" s="7"/>
      <c r="IE169" s="29"/>
      <c r="IF169" s="7"/>
      <c r="IG169" s="7"/>
      <c r="IH169" s="7"/>
      <c r="II169" s="7"/>
      <c r="IJ169" s="7"/>
      <c r="IK169" s="7"/>
      <c r="IL169" s="7"/>
      <c r="IM169" s="7"/>
      <c r="IN169" s="7"/>
      <c r="IO169" s="7"/>
      <c r="IP169" s="7"/>
      <c r="IQ169" s="7"/>
      <c r="IR169" s="7"/>
      <c r="IS169" s="7"/>
      <c r="IT169" s="55"/>
      <c r="IU169" s="7"/>
      <c r="IV169" s="7"/>
    </row>
    <row r="170" spans="1:256" s="11" customFormat="1" ht="13.5" customHeight="1" thickTop="1">
      <c r="A170" s="19"/>
      <c r="B170" s="19"/>
      <c r="C170" s="174"/>
      <c r="D170" s="19"/>
      <c r="E170" s="7"/>
      <c r="F170" s="7"/>
      <c r="G170" s="7"/>
      <c r="H170" s="7"/>
      <c r="I170" s="8"/>
      <c r="J170" s="19" t="str">
        <f t="shared" ca="1" si="6"/>
        <v/>
      </c>
      <c r="K170" s="7"/>
      <c r="L170" s="7"/>
      <c r="M170" s="7"/>
      <c r="N170" s="7"/>
      <c r="O170" s="7"/>
      <c r="P170" s="7"/>
      <c r="Q170" s="29"/>
      <c r="R170" s="30"/>
      <c r="S170" s="7"/>
      <c r="T170" s="7"/>
      <c r="U170" s="31"/>
      <c r="V170" s="7"/>
      <c r="W170" s="7"/>
      <c r="X170" s="7"/>
      <c r="Y170" s="7"/>
      <c r="Z170" s="7"/>
      <c r="AA170" s="7"/>
      <c r="AB170" s="7"/>
      <c r="AC170" s="7"/>
      <c r="AD170" s="7"/>
      <c r="AE170" s="7"/>
      <c r="AF170" s="7"/>
      <c r="AG170" s="7"/>
      <c r="AH170" s="7"/>
      <c r="AI170" s="7"/>
      <c r="AJ170" s="122"/>
      <c r="AK170" s="41"/>
      <c r="AL170" s="52"/>
      <c r="AM170" s="20"/>
      <c r="AN170" s="20"/>
      <c r="AO170" s="20"/>
      <c r="AP170" s="20"/>
      <c r="AQ170" s="7"/>
      <c r="AR170" s="7"/>
      <c r="AS170" s="7"/>
      <c r="AT170" s="7"/>
      <c r="AU170" s="7"/>
      <c r="AV170" s="7"/>
      <c r="AW170" s="7"/>
      <c r="AX170" s="7"/>
      <c r="AY170" s="7"/>
      <c r="AZ170" s="7"/>
      <c r="BA170" s="7"/>
      <c r="BB170" s="7"/>
      <c r="BC170" s="7"/>
      <c r="BD170" s="55"/>
      <c r="BE170" s="55"/>
      <c r="BF170" s="7"/>
      <c r="BG170" s="7"/>
      <c r="BH170" s="7"/>
      <c r="BI170" s="7"/>
      <c r="BJ170" s="7"/>
      <c r="BK170" s="7"/>
      <c r="BL170" s="7"/>
      <c r="BM170" s="7"/>
      <c r="BN170" s="61"/>
      <c r="BO170" s="62"/>
      <c r="BP170" s="50"/>
      <c r="BQ170" s="20"/>
      <c r="BR170" s="7"/>
      <c r="BS170" s="7"/>
      <c r="BT170" s="7"/>
      <c r="BU170" s="7"/>
      <c r="BV170" s="55"/>
      <c r="BW170" s="7"/>
      <c r="BX170" s="55"/>
      <c r="BY170" s="7"/>
      <c r="BZ170" s="7"/>
      <c r="CA170" s="7"/>
      <c r="CB170" s="7"/>
      <c r="CC170" s="55"/>
      <c r="CD170" s="104"/>
      <c r="CE170" s="105"/>
      <c r="CF170" s="7"/>
      <c r="CG170" s="7"/>
      <c r="CH170" s="7"/>
      <c r="CI170" s="7"/>
      <c r="CJ170" s="7"/>
      <c r="CK170" s="7"/>
      <c r="CL170" s="7"/>
      <c r="CM170" s="7"/>
      <c r="CN170" s="7"/>
      <c r="CO170" s="7"/>
      <c r="CP170" s="55"/>
      <c r="CQ170" s="7"/>
      <c r="CR170" s="7"/>
      <c r="CS170" s="130"/>
      <c r="CT170" s="7"/>
      <c r="CU170" s="7"/>
      <c r="CV170" s="7"/>
      <c r="CW170" s="7"/>
      <c r="CX170" s="7"/>
      <c r="CY170" s="73"/>
      <c r="CZ170" s="7"/>
      <c r="DA170" s="7"/>
      <c r="DB170" s="7"/>
      <c r="DC170" s="48"/>
      <c r="DD170" s="7"/>
      <c r="DE170" s="7"/>
      <c r="DF170" s="7"/>
      <c r="DG170" s="7"/>
      <c r="DH170" s="7"/>
      <c r="DI170" s="7"/>
      <c r="DJ170" s="7"/>
      <c r="DK170" s="7"/>
      <c r="DL170" s="74"/>
      <c r="DM170" s="7"/>
      <c r="DN170" s="7"/>
      <c r="DO170" s="7"/>
      <c r="DP170" s="7"/>
      <c r="DQ170" s="58"/>
      <c r="DR170" s="7"/>
      <c r="DS170" s="7"/>
      <c r="DT170" s="7"/>
      <c r="DU170" s="73"/>
      <c r="DV170" s="73"/>
      <c r="DW170" s="152"/>
      <c r="DX170" s="7"/>
      <c r="DY170" s="7"/>
      <c r="DZ170" s="7"/>
      <c r="EA170" s="7"/>
      <c r="EB170" s="7"/>
      <c r="EC170" s="7"/>
      <c r="ED170" s="7"/>
      <c r="EE170" s="7"/>
      <c r="EF170" s="7"/>
      <c r="EG170" s="7"/>
      <c r="EH170" s="7"/>
      <c r="EI170" s="7"/>
      <c r="EJ170" s="7"/>
      <c r="EK170" s="7"/>
      <c r="EL170" s="7"/>
      <c r="EM170" s="7"/>
      <c r="EN170" s="19"/>
      <c r="EO170" s="7"/>
      <c r="EP170" s="7"/>
      <c r="EQ170" s="7"/>
      <c r="ER170" s="7"/>
      <c r="ES170" s="7"/>
      <c r="ET170" s="55"/>
      <c r="EU170" s="7"/>
      <c r="EV170" s="7"/>
      <c r="EW170" s="7"/>
      <c r="EX170" s="7"/>
      <c r="EY170" s="7"/>
      <c r="EZ170" s="7"/>
      <c r="FA170" s="7"/>
      <c r="FB170" s="7"/>
      <c r="FC170" s="55"/>
      <c r="FD170" s="55"/>
      <c r="FE170" s="55"/>
      <c r="FF170" s="7"/>
      <c r="FG170" s="7"/>
      <c r="FH170" s="7"/>
      <c r="FI170" s="7"/>
      <c r="FJ170" s="7"/>
      <c r="FK170" s="7"/>
      <c r="FL170" s="7"/>
      <c r="FM170" s="7"/>
      <c r="FN170" s="7"/>
      <c r="FO170" s="7"/>
      <c r="FP170" s="7"/>
      <c r="FQ170" s="7"/>
      <c r="FR170" s="7"/>
      <c r="FS170" s="77"/>
      <c r="FT170" s="30"/>
      <c r="FU170" s="7"/>
      <c r="FV170" s="55"/>
      <c r="FW170" s="55"/>
      <c r="FX170" s="7"/>
      <c r="FY170" s="7"/>
      <c r="FZ170" s="7"/>
      <c r="GA170" s="7"/>
      <c r="GB170" s="7"/>
      <c r="GC170" s="7"/>
      <c r="GD170" s="103"/>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7"/>
      <c r="HD170" s="7"/>
      <c r="HE170" s="7"/>
      <c r="HF170" s="7"/>
      <c r="HG170" s="7"/>
      <c r="HH170" s="7"/>
      <c r="HI170" s="7"/>
      <c r="HJ170" s="7"/>
      <c r="HK170" s="7"/>
      <c r="HL170" s="7"/>
      <c r="HM170" s="7"/>
      <c r="HN170" s="7"/>
      <c r="HO170" s="7"/>
      <c r="HP170" s="7"/>
      <c r="HQ170" s="7"/>
      <c r="HR170" s="7"/>
      <c r="HS170" s="7"/>
      <c r="HT170" s="7"/>
      <c r="HU170" s="7"/>
      <c r="HV170" s="7"/>
      <c r="HW170" s="7"/>
      <c r="HX170" s="7"/>
      <c r="HY170" s="7"/>
      <c r="HZ170" s="7"/>
      <c r="IA170" s="7"/>
      <c r="IB170" s="7"/>
      <c r="IC170" s="7"/>
      <c r="ID170" s="7"/>
      <c r="IE170" s="29"/>
      <c r="IF170" s="7"/>
      <c r="IG170" s="7"/>
      <c r="IH170" s="7"/>
      <c r="II170" s="7"/>
      <c r="IJ170" s="7"/>
      <c r="IK170" s="7"/>
      <c r="IL170" s="7"/>
      <c r="IM170" s="7"/>
      <c r="IN170" s="7"/>
      <c r="IO170" s="7"/>
      <c r="IP170" s="7"/>
      <c r="IQ170" s="7"/>
      <c r="IR170" s="7"/>
      <c r="IS170" s="7"/>
      <c r="IT170" s="55"/>
      <c r="IU170" s="7"/>
      <c r="IV170" s="7"/>
    </row>
    <row r="171" spans="1:256" s="11" customFormat="1" ht="12.75" customHeight="1">
      <c r="A171" s="19"/>
      <c r="B171" s="19"/>
      <c r="C171" s="174" t="s">
        <v>4293</v>
      </c>
      <c r="D171" s="19"/>
      <c r="E171" s="7"/>
      <c r="F171" s="7"/>
      <c r="G171" s="7"/>
      <c r="H171" s="7"/>
      <c r="I171" s="8"/>
      <c r="J171" s="19" t="str">
        <f t="shared" ca="1" si="6"/>
        <v/>
      </c>
      <c r="K171" s="7"/>
      <c r="L171" s="7"/>
      <c r="M171" s="7"/>
      <c r="N171" s="7"/>
      <c r="O171" s="7"/>
      <c r="P171" s="7"/>
      <c r="Q171" s="29"/>
      <c r="R171" s="30"/>
      <c r="S171" s="7"/>
      <c r="T171" s="7"/>
      <c r="U171" s="31"/>
      <c r="V171" s="7"/>
      <c r="W171" s="7"/>
      <c r="X171" s="7"/>
      <c r="Y171" s="7"/>
      <c r="Z171" s="7"/>
      <c r="AA171" s="7"/>
      <c r="AB171" s="7"/>
      <c r="AC171" s="7"/>
      <c r="AD171" s="7"/>
      <c r="AE171" s="7"/>
      <c r="AF171" s="7"/>
      <c r="AG171" s="7"/>
      <c r="AH171" s="7"/>
      <c r="AI171" s="7"/>
      <c r="AJ171" s="122"/>
      <c r="AK171" s="41"/>
      <c r="AL171" s="52"/>
      <c r="AM171" s="20"/>
      <c r="AN171" s="20"/>
      <c r="AO171" s="20"/>
      <c r="AP171" s="20"/>
      <c r="AQ171" s="7"/>
      <c r="AR171" s="7"/>
      <c r="AS171" s="7"/>
      <c r="AT171" s="7"/>
      <c r="AU171" s="7"/>
      <c r="AV171" s="7"/>
      <c r="AW171" s="7"/>
      <c r="AX171" s="7"/>
      <c r="AY171" s="7"/>
      <c r="AZ171" s="7"/>
      <c r="BA171" s="7"/>
      <c r="BB171" s="7"/>
      <c r="BC171" s="7"/>
      <c r="BD171" s="55"/>
      <c r="BE171" s="55"/>
      <c r="BF171" s="7"/>
      <c r="BG171" s="7"/>
      <c r="BH171" s="7"/>
      <c r="BI171" s="7"/>
      <c r="BJ171" s="7"/>
      <c r="BK171" s="7"/>
      <c r="BL171" s="7"/>
      <c r="BM171" s="7"/>
      <c r="BN171" s="61"/>
      <c r="BO171" s="62"/>
      <c r="BP171" s="50"/>
      <c r="BQ171" s="20"/>
      <c r="BR171" s="7"/>
      <c r="BS171" s="7"/>
      <c r="BT171" s="7"/>
      <c r="BU171" s="7"/>
      <c r="BV171" s="55"/>
      <c r="BW171" s="7"/>
      <c r="BX171" s="55"/>
      <c r="BY171" s="7"/>
      <c r="BZ171" s="7"/>
      <c r="CA171" s="7"/>
      <c r="CB171" s="7"/>
      <c r="CC171" s="55"/>
      <c r="CD171" s="104"/>
      <c r="CE171" s="105"/>
      <c r="CF171" s="7"/>
      <c r="CG171" s="7"/>
      <c r="CH171" s="7"/>
      <c r="CI171" s="7"/>
      <c r="CJ171" s="7"/>
      <c r="CK171" s="7"/>
      <c r="CL171" s="7"/>
      <c r="CM171" s="7"/>
      <c r="CN171" s="7"/>
      <c r="CO171" s="7"/>
      <c r="CP171" s="55"/>
      <c r="CQ171" s="7"/>
      <c r="CR171" s="7"/>
      <c r="CS171" s="130"/>
      <c r="CT171" s="7"/>
      <c r="CU171" s="7"/>
      <c r="CV171" s="7"/>
      <c r="CW171" s="7"/>
      <c r="CX171" s="7"/>
      <c r="CY171" s="73"/>
      <c r="CZ171" s="7"/>
      <c r="DA171" s="7"/>
      <c r="DB171" s="7"/>
      <c r="DC171" s="48"/>
      <c r="DD171" s="7"/>
      <c r="DE171" s="7"/>
      <c r="DF171" s="7"/>
      <c r="DG171" s="7"/>
      <c r="DH171" s="7"/>
      <c r="DI171" s="7"/>
      <c r="DJ171" s="7"/>
      <c r="DK171" s="7"/>
      <c r="DL171" s="74"/>
      <c r="DM171" s="7"/>
      <c r="DN171" s="7"/>
      <c r="DO171" s="7"/>
      <c r="DP171" s="7"/>
      <c r="DQ171" s="58"/>
      <c r="DR171" s="7"/>
      <c r="DS171" s="7"/>
      <c r="DT171" s="7"/>
      <c r="DU171" s="73"/>
      <c r="DV171" s="73"/>
      <c r="DW171" s="152"/>
      <c r="DX171" s="7"/>
      <c r="DY171" s="7"/>
      <c r="DZ171" s="7"/>
      <c r="EA171" s="7"/>
      <c r="EB171" s="7"/>
      <c r="EC171" s="7"/>
      <c r="ED171" s="7"/>
      <c r="EE171" s="7"/>
      <c r="EF171" s="7"/>
      <c r="EG171" s="7"/>
      <c r="EH171" s="7"/>
      <c r="EI171" s="7"/>
      <c r="EJ171" s="7"/>
      <c r="EK171" s="7"/>
      <c r="EL171" s="7"/>
      <c r="EM171" s="7"/>
      <c r="EN171" s="19"/>
      <c r="EO171" s="7"/>
      <c r="EP171" s="7"/>
      <c r="EQ171" s="7"/>
      <c r="ER171" s="7"/>
      <c r="ES171" s="7"/>
      <c r="ET171" s="55"/>
      <c r="EU171" s="7"/>
      <c r="EV171" s="7"/>
      <c r="EW171" s="7"/>
      <c r="EX171" s="7"/>
      <c r="EY171" s="7"/>
      <c r="EZ171" s="7"/>
      <c r="FA171" s="7"/>
      <c r="FB171" s="7"/>
      <c r="FC171" s="55"/>
      <c r="FD171" s="55"/>
      <c r="FE171" s="55"/>
      <c r="FF171" s="7"/>
      <c r="FG171" s="7"/>
      <c r="FH171" s="7"/>
      <c r="FI171" s="7"/>
      <c r="FJ171" s="7"/>
      <c r="FK171" s="7"/>
      <c r="FL171" s="7"/>
      <c r="FM171" s="7"/>
      <c r="FN171" s="7"/>
      <c r="FO171" s="7"/>
      <c r="FP171" s="7"/>
      <c r="FQ171" s="7"/>
      <c r="FR171" s="7"/>
      <c r="FS171" s="77"/>
      <c r="FT171" s="30"/>
      <c r="FU171" s="7"/>
      <c r="FV171" s="55"/>
      <c r="FW171" s="55"/>
      <c r="FX171" s="7"/>
      <c r="FY171" s="7"/>
      <c r="FZ171" s="7"/>
      <c r="GA171" s="7"/>
      <c r="GB171" s="7"/>
      <c r="GC171" s="7"/>
      <c r="GD171" s="103"/>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29"/>
      <c r="IF171" s="7"/>
      <c r="IG171" s="7"/>
      <c r="IH171" s="7"/>
      <c r="II171" s="7"/>
      <c r="IJ171" s="7"/>
      <c r="IK171" s="7"/>
      <c r="IL171" s="7"/>
      <c r="IM171" s="7"/>
      <c r="IN171" s="7"/>
      <c r="IO171" s="7"/>
      <c r="IP171" s="7"/>
      <c r="IQ171" s="7"/>
      <c r="IR171" s="7"/>
      <c r="IS171" s="7"/>
      <c r="IT171" s="55"/>
      <c r="IU171" s="7"/>
      <c r="IV171" s="7"/>
    </row>
    <row r="172" spans="1:256" s="11" customFormat="1" ht="12.75" customHeight="1">
      <c r="A172" s="19"/>
      <c r="B172" s="19"/>
      <c r="C172" s="174" t="s">
        <v>4296</v>
      </c>
      <c r="D172" s="19"/>
      <c r="E172" s="7"/>
      <c r="F172" s="7"/>
      <c r="G172" s="7"/>
      <c r="H172" s="7"/>
      <c r="I172" s="8"/>
      <c r="J172" s="19" t="str">
        <f t="shared" ca="1" si="6"/>
        <v/>
      </c>
      <c r="K172" s="7"/>
      <c r="L172" s="7"/>
      <c r="M172" s="7"/>
      <c r="N172" s="7"/>
      <c r="O172" s="7"/>
      <c r="P172" s="7"/>
      <c r="Q172" s="29"/>
      <c r="R172" s="30"/>
      <c r="S172" s="7"/>
      <c r="T172" s="7"/>
      <c r="U172" s="31"/>
      <c r="V172" s="7"/>
      <c r="W172" s="7"/>
      <c r="X172" s="7"/>
      <c r="Y172" s="7"/>
      <c r="Z172" s="7"/>
      <c r="AA172" s="7"/>
      <c r="AB172" s="7"/>
      <c r="AC172" s="7"/>
      <c r="AD172" s="7"/>
      <c r="AE172" s="7"/>
      <c r="AF172" s="7"/>
      <c r="AG172" s="7"/>
      <c r="AH172" s="7"/>
      <c r="AI172" s="7"/>
      <c r="AJ172" s="122"/>
      <c r="AK172" s="41"/>
      <c r="AL172" s="52"/>
      <c r="AM172" s="20"/>
      <c r="AN172" s="20"/>
      <c r="AO172" s="20"/>
      <c r="AP172" s="20"/>
      <c r="AQ172" s="7"/>
      <c r="AR172" s="7"/>
      <c r="AS172" s="7"/>
      <c r="AT172" s="7"/>
      <c r="AU172" s="7"/>
      <c r="AV172" s="7"/>
      <c r="AW172" s="7"/>
      <c r="AX172" s="7"/>
      <c r="AY172" s="7"/>
      <c r="AZ172" s="7"/>
      <c r="BA172" s="7"/>
      <c r="BB172" s="7"/>
      <c r="BC172" s="7"/>
      <c r="BD172" s="55"/>
      <c r="BE172" s="55"/>
      <c r="BF172" s="7"/>
      <c r="BG172" s="7"/>
      <c r="BH172" s="7"/>
      <c r="BI172" s="7"/>
      <c r="BJ172" s="7"/>
      <c r="BK172" s="7"/>
      <c r="BL172" s="7"/>
      <c r="BM172" s="7"/>
      <c r="BN172" s="61"/>
      <c r="BO172" s="62"/>
      <c r="BP172" s="50"/>
      <c r="BQ172" s="20"/>
      <c r="BR172" s="7"/>
      <c r="BS172" s="7"/>
      <c r="BT172" s="7"/>
      <c r="BU172" s="7"/>
      <c r="BV172" s="55"/>
      <c r="BW172" s="7"/>
      <c r="BX172" s="55"/>
      <c r="BY172" s="7"/>
      <c r="BZ172" s="7"/>
      <c r="CA172" s="7"/>
      <c r="CB172" s="7"/>
      <c r="CC172" s="55"/>
      <c r="CD172" s="104"/>
      <c r="CE172" s="105"/>
      <c r="CF172" s="7"/>
      <c r="CG172" s="7"/>
      <c r="CH172" s="7"/>
      <c r="CI172" s="7"/>
      <c r="CJ172" s="7"/>
      <c r="CK172" s="7"/>
      <c r="CL172" s="7"/>
      <c r="CM172" s="7"/>
      <c r="CN172" s="7"/>
      <c r="CO172" s="7"/>
      <c r="CP172" s="55"/>
      <c r="CQ172" s="7"/>
      <c r="CR172" s="7"/>
      <c r="CS172" s="130"/>
      <c r="CT172" s="7"/>
      <c r="CU172" s="7"/>
      <c r="CV172" s="7"/>
      <c r="CW172" s="7"/>
      <c r="CX172" s="7"/>
      <c r="CY172" s="73"/>
      <c r="CZ172" s="7"/>
      <c r="DA172" s="7"/>
      <c r="DB172" s="7"/>
      <c r="DC172" s="48"/>
      <c r="DD172" s="7"/>
      <c r="DE172" s="7"/>
      <c r="DF172" s="7"/>
      <c r="DG172" s="7"/>
      <c r="DH172" s="7"/>
      <c r="DI172" s="7"/>
      <c r="DJ172" s="7"/>
      <c r="DK172" s="7"/>
      <c r="DL172" s="74"/>
      <c r="DM172" s="7"/>
      <c r="DN172" s="7"/>
      <c r="DO172" s="7"/>
      <c r="DP172" s="7"/>
      <c r="DQ172" s="58"/>
      <c r="DR172" s="7"/>
      <c r="DS172" s="7"/>
      <c r="DT172" s="7"/>
      <c r="DU172" s="73"/>
      <c r="DV172" s="73"/>
      <c r="DW172" s="152"/>
      <c r="DX172" s="7"/>
      <c r="DY172" s="7"/>
      <c r="DZ172" s="7"/>
      <c r="EA172" s="7"/>
      <c r="EB172" s="7"/>
      <c r="EC172" s="7"/>
      <c r="ED172" s="7"/>
      <c r="EE172" s="7"/>
      <c r="EF172" s="7"/>
      <c r="EG172" s="7"/>
      <c r="EH172" s="7"/>
      <c r="EI172" s="7"/>
      <c r="EJ172" s="7"/>
      <c r="EK172" s="7"/>
      <c r="EL172" s="7"/>
      <c r="EM172" s="7"/>
      <c r="EN172" s="19"/>
      <c r="EO172" s="7"/>
      <c r="EP172" s="7"/>
      <c r="EQ172" s="7"/>
      <c r="ER172" s="7"/>
      <c r="ES172" s="7"/>
      <c r="ET172" s="55"/>
      <c r="EU172" s="7"/>
      <c r="EV172" s="7"/>
      <c r="EW172" s="7"/>
      <c r="EX172" s="7"/>
      <c r="EY172" s="7"/>
      <c r="EZ172" s="7"/>
      <c r="FA172" s="7"/>
      <c r="FB172" s="7"/>
      <c r="FC172" s="55"/>
      <c r="FD172" s="55"/>
      <c r="FE172" s="55"/>
      <c r="FF172" s="7"/>
      <c r="FG172" s="7"/>
      <c r="FH172" s="7"/>
      <c r="FI172" s="7"/>
      <c r="FJ172" s="7"/>
      <c r="FK172" s="7"/>
      <c r="FL172" s="7"/>
      <c r="FM172" s="7"/>
      <c r="FN172" s="7"/>
      <c r="FO172" s="7"/>
      <c r="FP172" s="7"/>
      <c r="FQ172" s="7"/>
      <c r="FR172" s="7"/>
      <c r="FS172" s="77"/>
      <c r="FT172" s="30"/>
      <c r="FU172" s="7"/>
      <c r="FV172" s="55"/>
      <c r="FW172" s="55"/>
      <c r="FX172" s="7"/>
      <c r="FY172" s="7"/>
      <c r="FZ172" s="7"/>
      <c r="GA172" s="7"/>
      <c r="GB172" s="7"/>
      <c r="GC172" s="7"/>
      <c r="GD172" s="103"/>
      <c r="GE172" s="7"/>
      <c r="GF172" s="7"/>
      <c r="GG172" s="7"/>
      <c r="GH172" s="7"/>
      <c r="GI172" s="7"/>
      <c r="GJ172" s="7"/>
      <c r="GK172" s="7"/>
      <c r="GL172" s="7"/>
      <c r="GM172" s="7"/>
      <c r="GN172" s="7"/>
      <c r="GO172" s="7"/>
      <c r="GP172" s="7"/>
      <c r="GQ172" s="7"/>
      <c r="GR172" s="7"/>
      <c r="GS172" s="7"/>
      <c r="GT172" s="7"/>
      <c r="GU172" s="7"/>
      <c r="GV172" s="7"/>
      <c r="GW172" s="7"/>
      <c r="GX172" s="7"/>
      <c r="GY172" s="7"/>
      <c r="GZ172" s="7"/>
      <c r="HA172" s="7"/>
      <c r="HB172" s="7"/>
      <c r="HC172" s="7"/>
      <c r="HD172" s="7"/>
      <c r="HE172" s="7"/>
      <c r="HF172" s="7"/>
      <c r="HG172" s="7"/>
      <c r="HH172" s="7"/>
      <c r="HI172" s="7"/>
      <c r="HJ172" s="7"/>
      <c r="HK172" s="7"/>
      <c r="HL172" s="7"/>
      <c r="HM172" s="7"/>
      <c r="HN172" s="7"/>
      <c r="HO172" s="7"/>
      <c r="HP172" s="7"/>
      <c r="HQ172" s="7"/>
      <c r="HR172" s="7"/>
      <c r="HS172" s="7"/>
      <c r="HT172" s="7"/>
      <c r="HU172" s="7"/>
      <c r="HV172" s="7"/>
      <c r="HW172" s="7"/>
      <c r="HX172" s="7"/>
      <c r="HY172" s="7"/>
      <c r="HZ172" s="7"/>
      <c r="IA172" s="7"/>
      <c r="IB172" s="7"/>
      <c r="IC172" s="7"/>
      <c r="ID172" s="7"/>
      <c r="IE172" s="29"/>
      <c r="IF172" s="7"/>
      <c r="IG172" s="7"/>
      <c r="IH172" s="7"/>
      <c r="II172" s="7"/>
      <c r="IJ172" s="7"/>
      <c r="IK172" s="7"/>
      <c r="IL172" s="7"/>
      <c r="IM172" s="7"/>
      <c r="IN172" s="7"/>
      <c r="IO172" s="7"/>
      <c r="IP172" s="7"/>
      <c r="IQ172" s="7"/>
      <c r="IR172" s="7"/>
      <c r="IS172" s="7"/>
      <c r="IT172" s="55"/>
      <c r="IU172" s="7"/>
      <c r="IV172" s="7"/>
    </row>
    <row r="173" spans="1:256" s="11" customFormat="1" ht="12.75" customHeight="1">
      <c r="A173" s="19"/>
      <c r="B173" s="19"/>
      <c r="C173" s="174" t="s">
        <v>4301</v>
      </c>
      <c r="D173" s="19"/>
      <c r="E173" s="7"/>
      <c r="F173" s="7"/>
      <c r="G173" s="7"/>
      <c r="H173" s="7"/>
      <c r="I173" s="8"/>
      <c r="J173" s="19" t="str">
        <f t="shared" ca="1" si="6"/>
        <v/>
      </c>
      <c r="K173" s="7"/>
      <c r="L173" s="7"/>
      <c r="M173" s="7"/>
      <c r="N173" s="7"/>
      <c r="O173" s="7"/>
      <c r="P173" s="7"/>
      <c r="Q173" s="29"/>
      <c r="R173" s="30"/>
      <c r="S173" s="7"/>
      <c r="T173" s="7"/>
      <c r="U173" s="31"/>
      <c r="V173" s="7"/>
      <c r="W173" s="7"/>
      <c r="X173" s="7"/>
      <c r="Y173" s="7"/>
      <c r="Z173" s="7"/>
      <c r="AA173" s="7"/>
      <c r="AB173" s="7"/>
      <c r="AC173" s="7"/>
      <c r="AD173" s="7"/>
      <c r="AE173" s="7"/>
      <c r="AF173" s="7"/>
      <c r="AG173" s="7"/>
      <c r="AH173" s="7"/>
      <c r="AI173" s="7"/>
      <c r="AJ173" s="122"/>
      <c r="AK173" s="41"/>
      <c r="AL173" s="52"/>
      <c r="AM173" s="20"/>
      <c r="AN173" s="20"/>
      <c r="AO173" s="20"/>
      <c r="AP173" s="20"/>
      <c r="AQ173" s="7"/>
      <c r="AR173" s="7"/>
      <c r="AS173" s="7"/>
      <c r="AT173" s="7"/>
      <c r="AU173" s="7"/>
      <c r="AV173" s="7"/>
      <c r="AW173" s="7"/>
      <c r="AX173" s="7"/>
      <c r="AY173" s="7"/>
      <c r="AZ173" s="7"/>
      <c r="BA173" s="7"/>
      <c r="BB173" s="7"/>
      <c r="BC173" s="7"/>
      <c r="BD173" s="55"/>
      <c r="BE173" s="55"/>
      <c r="BF173" s="7"/>
      <c r="BG173" s="7"/>
      <c r="BH173" s="7"/>
      <c r="BI173" s="7"/>
      <c r="BJ173" s="7"/>
      <c r="BK173" s="7"/>
      <c r="BL173" s="7"/>
      <c r="BM173" s="7"/>
      <c r="BN173" s="61"/>
      <c r="BO173" s="62"/>
      <c r="BP173" s="50"/>
      <c r="BQ173" s="20"/>
      <c r="BR173" s="7"/>
      <c r="BS173" s="7"/>
      <c r="BT173" s="7"/>
      <c r="BU173" s="7"/>
      <c r="BV173" s="55"/>
      <c r="BW173" s="7"/>
      <c r="BX173" s="55"/>
      <c r="BY173" s="7"/>
      <c r="BZ173" s="7"/>
      <c r="CA173" s="7"/>
      <c r="CB173" s="7"/>
      <c r="CC173" s="55"/>
      <c r="CD173" s="104"/>
      <c r="CE173" s="105"/>
      <c r="CF173" s="7"/>
      <c r="CG173" s="7"/>
      <c r="CH173" s="7"/>
      <c r="CI173" s="7"/>
      <c r="CJ173" s="7"/>
      <c r="CK173" s="7"/>
      <c r="CL173" s="7"/>
      <c r="CM173" s="7"/>
      <c r="CN173" s="7"/>
      <c r="CO173" s="7"/>
      <c r="CP173" s="55"/>
      <c r="CQ173" s="7"/>
      <c r="CR173" s="7"/>
      <c r="CS173" s="130"/>
      <c r="CT173" s="7"/>
      <c r="CU173" s="7"/>
      <c r="CV173" s="7"/>
      <c r="CW173" s="7"/>
      <c r="CX173" s="7"/>
      <c r="CY173" s="73"/>
      <c r="CZ173" s="7"/>
      <c r="DA173" s="7"/>
      <c r="DB173" s="7"/>
      <c r="DC173" s="48"/>
      <c r="DD173" s="7"/>
      <c r="DE173" s="7"/>
      <c r="DF173" s="7"/>
      <c r="DG173" s="7"/>
      <c r="DH173" s="7"/>
      <c r="DI173" s="7"/>
      <c r="DJ173" s="7"/>
      <c r="DK173" s="7"/>
      <c r="DL173" s="74"/>
      <c r="DM173" s="7"/>
      <c r="DN173" s="7"/>
      <c r="DO173" s="7"/>
      <c r="DP173" s="7"/>
      <c r="DQ173" s="58"/>
      <c r="DR173" s="7"/>
      <c r="DS173" s="7"/>
      <c r="DT173" s="7"/>
      <c r="DU173" s="73"/>
      <c r="DV173" s="73"/>
      <c r="DW173" s="152"/>
      <c r="DX173" s="7"/>
      <c r="DY173" s="7"/>
      <c r="DZ173" s="7"/>
      <c r="EA173" s="7"/>
      <c r="EB173" s="7"/>
      <c r="EC173" s="7"/>
      <c r="ED173" s="7"/>
      <c r="EE173" s="7"/>
      <c r="EF173" s="7"/>
      <c r="EG173" s="7"/>
      <c r="EH173" s="7"/>
      <c r="EI173" s="7"/>
      <c r="EJ173" s="7"/>
      <c r="EK173" s="7"/>
      <c r="EL173" s="7"/>
      <c r="EM173" s="7"/>
      <c r="EN173" s="19"/>
      <c r="EO173" s="7"/>
      <c r="EP173" s="7"/>
      <c r="EQ173" s="7"/>
      <c r="ER173" s="7"/>
      <c r="ES173" s="7"/>
      <c r="ET173" s="55"/>
      <c r="EU173" s="7"/>
      <c r="EV173" s="7"/>
      <c r="EW173" s="7"/>
      <c r="EX173" s="7"/>
      <c r="EY173" s="7"/>
      <c r="EZ173" s="7"/>
      <c r="FA173" s="7"/>
      <c r="FB173" s="7"/>
      <c r="FC173" s="55"/>
      <c r="FD173" s="55"/>
      <c r="FE173" s="55"/>
      <c r="FF173" s="7"/>
      <c r="FG173" s="7"/>
      <c r="FH173" s="7"/>
      <c r="FI173" s="7"/>
      <c r="FJ173" s="7"/>
      <c r="FK173" s="7"/>
      <c r="FL173" s="7"/>
      <c r="FM173" s="7"/>
      <c r="FN173" s="7"/>
      <c r="FO173" s="7"/>
      <c r="FP173" s="7"/>
      <c r="FQ173" s="7"/>
      <c r="FR173" s="7"/>
      <c r="FS173" s="77"/>
      <c r="FT173" s="30"/>
      <c r="FU173" s="7"/>
      <c r="FV173" s="55"/>
      <c r="FW173" s="55"/>
      <c r="FX173" s="7"/>
      <c r="FY173" s="7"/>
      <c r="FZ173" s="7"/>
      <c r="GA173" s="7"/>
      <c r="GB173" s="7"/>
      <c r="GC173" s="7"/>
      <c r="GD173" s="103"/>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29"/>
      <c r="IF173" s="7"/>
      <c r="IG173" s="7"/>
      <c r="IH173" s="7"/>
      <c r="II173" s="7"/>
      <c r="IJ173" s="7"/>
      <c r="IK173" s="7"/>
      <c r="IL173" s="7"/>
      <c r="IM173" s="7"/>
      <c r="IN173" s="7"/>
      <c r="IO173" s="7"/>
      <c r="IP173" s="7"/>
      <c r="IQ173" s="7"/>
      <c r="IR173" s="7"/>
      <c r="IS173" s="7"/>
      <c r="IT173" s="55"/>
      <c r="IU173" s="7"/>
      <c r="IV173" s="7"/>
    </row>
    <row r="174" spans="1:256" s="11" customFormat="1" ht="12.75" customHeight="1">
      <c r="A174" s="19"/>
      <c r="B174" s="19"/>
      <c r="C174" s="174"/>
      <c r="D174" s="19"/>
      <c r="E174" s="17"/>
      <c r="F174" s="7"/>
      <c r="G174" s="7"/>
      <c r="H174" s="7"/>
      <c r="I174" s="8"/>
      <c r="J174" s="19" t="str">
        <f t="shared" ca="1" si="6"/>
        <v/>
      </c>
      <c r="K174" s="7"/>
      <c r="L174" s="7"/>
      <c r="M174" s="7"/>
      <c r="N174" s="7"/>
      <c r="O174" s="7"/>
      <c r="P174" s="7"/>
      <c r="Q174" s="29"/>
      <c r="R174" s="30"/>
      <c r="S174" s="7"/>
      <c r="T174" s="7"/>
      <c r="U174" s="31"/>
      <c r="V174" s="7"/>
      <c r="W174" s="7"/>
      <c r="X174" s="7"/>
      <c r="Y174" s="7"/>
      <c r="Z174" s="7"/>
      <c r="AA174" s="7"/>
      <c r="AB174" s="7"/>
      <c r="AC174" s="7"/>
      <c r="AD174" s="7"/>
      <c r="AE174" s="7"/>
      <c r="AF174" s="7"/>
      <c r="AG174" s="7"/>
      <c r="AH174" s="7"/>
      <c r="AI174" s="7"/>
      <c r="AJ174" s="122"/>
      <c r="AK174" s="41"/>
      <c r="AL174" s="52"/>
      <c r="AM174" s="20"/>
      <c r="AN174" s="20"/>
      <c r="AO174" s="20"/>
      <c r="AP174" s="20"/>
      <c r="AQ174" s="7"/>
      <c r="AR174" s="7"/>
      <c r="AS174" s="7"/>
      <c r="AT174" s="7"/>
      <c r="AU174" s="7"/>
      <c r="AV174" s="7"/>
      <c r="AW174" s="7"/>
      <c r="AX174" s="7"/>
      <c r="AY174" s="7"/>
      <c r="AZ174" s="7"/>
      <c r="BA174" s="7"/>
      <c r="BB174" s="7"/>
      <c r="BC174" s="7"/>
      <c r="BD174" s="55"/>
      <c r="BE174" s="55"/>
      <c r="BF174" s="7"/>
      <c r="BG174" s="7"/>
      <c r="BH174" s="7"/>
      <c r="BI174" s="7"/>
      <c r="BJ174" s="7"/>
      <c r="BK174" s="7"/>
      <c r="BL174" s="7"/>
      <c r="BM174" s="7"/>
      <c r="BN174" s="61"/>
      <c r="BO174" s="62"/>
      <c r="BP174" s="50"/>
      <c r="BQ174" s="20"/>
      <c r="BR174" s="7"/>
      <c r="BS174" s="7"/>
      <c r="BT174" s="7"/>
      <c r="BU174" s="7"/>
      <c r="BV174" s="55"/>
      <c r="BW174" s="7"/>
      <c r="BX174" s="55"/>
      <c r="BY174" s="7"/>
      <c r="BZ174" s="7"/>
      <c r="CA174" s="7"/>
      <c r="CB174" s="7"/>
      <c r="CC174" s="55"/>
      <c r="CD174" s="104"/>
      <c r="CE174" s="105"/>
      <c r="CF174" s="7"/>
      <c r="CG174" s="7"/>
      <c r="CH174" s="7"/>
      <c r="CI174" s="7"/>
      <c r="CJ174" s="7"/>
      <c r="CK174" s="7"/>
      <c r="CL174" s="7"/>
      <c r="CM174" s="7"/>
      <c r="CN174" s="7"/>
      <c r="CO174" s="7"/>
      <c r="CP174" s="55"/>
      <c r="CQ174" s="7"/>
      <c r="CR174" s="7"/>
      <c r="CS174" s="130"/>
      <c r="CT174" s="7"/>
      <c r="CU174" s="7"/>
      <c r="CV174" s="7"/>
      <c r="CW174" s="7"/>
      <c r="CX174" s="7"/>
      <c r="CY174" s="73"/>
      <c r="CZ174" s="7"/>
      <c r="DA174" s="7"/>
      <c r="DB174" s="7"/>
      <c r="DC174" s="48"/>
      <c r="DD174" s="7"/>
      <c r="DE174" s="7"/>
      <c r="DF174" s="7"/>
      <c r="DG174" s="7"/>
      <c r="DH174" s="7"/>
      <c r="DI174" s="7"/>
      <c r="DJ174" s="7"/>
      <c r="DK174" s="7"/>
      <c r="DL174" s="74"/>
      <c r="DM174" s="7"/>
      <c r="DN174" s="7"/>
      <c r="DO174" s="7"/>
      <c r="DP174" s="7"/>
      <c r="DQ174" s="58"/>
      <c r="DR174" s="7"/>
      <c r="DS174" s="7"/>
      <c r="DT174" s="7"/>
      <c r="DU174" s="73"/>
      <c r="DV174" s="73"/>
      <c r="DW174" s="152"/>
      <c r="DX174" s="7"/>
      <c r="DY174" s="7"/>
      <c r="DZ174" s="7"/>
      <c r="EA174" s="7"/>
      <c r="EB174" s="7"/>
      <c r="EC174" s="7"/>
      <c r="ED174" s="7"/>
      <c r="EE174" s="7"/>
      <c r="EF174" s="7"/>
      <c r="EG174" s="7"/>
      <c r="EH174" s="7"/>
      <c r="EI174" s="7"/>
      <c r="EJ174" s="7"/>
      <c r="EK174" s="7"/>
      <c r="EL174" s="7"/>
      <c r="EM174" s="7"/>
      <c r="EN174" s="19"/>
      <c r="EO174" s="7"/>
      <c r="EP174" s="7"/>
      <c r="EQ174" s="7"/>
      <c r="ER174" s="7"/>
      <c r="ES174" s="7"/>
      <c r="ET174" s="55"/>
      <c r="EU174" s="7"/>
      <c r="EV174" s="7"/>
      <c r="EW174" s="7"/>
      <c r="EX174" s="7"/>
      <c r="EY174" s="7"/>
      <c r="EZ174" s="7"/>
      <c r="FA174" s="7"/>
      <c r="FB174" s="7"/>
      <c r="FC174" s="55"/>
      <c r="FD174" s="55"/>
      <c r="FE174" s="55"/>
      <c r="FF174" s="7"/>
      <c r="FG174" s="7"/>
      <c r="FH174" s="7"/>
      <c r="FI174" s="7"/>
      <c r="FJ174" s="7"/>
      <c r="FK174" s="7"/>
      <c r="FL174" s="7"/>
      <c r="FM174" s="7"/>
      <c r="FN174" s="7"/>
      <c r="FO174" s="7"/>
      <c r="FP174" s="7"/>
      <c r="FQ174" s="7"/>
      <c r="FR174" s="7"/>
      <c r="FS174" s="77"/>
      <c r="FT174" s="30"/>
      <c r="FU174" s="7"/>
      <c r="FV174" s="55"/>
      <c r="FW174" s="55"/>
      <c r="FX174" s="7"/>
      <c r="FY174" s="7"/>
      <c r="FZ174" s="7"/>
      <c r="GA174" s="7"/>
      <c r="GB174" s="7"/>
      <c r="GC174" s="7"/>
      <c r="GD174" s="103"/>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c r="HD174" s="7"/>
      <c r="HE174" s="7"/>
      <c r="HF174" s="7"/>
      <c r="HG174" s="7"/>
      <c r="HH174" s="7"/>
      <c r="HI174" s="7"/>
      <c r="HJ174" s="7"/>
      <c r="HK174" s="7"/>
      <c r="HL174" s="7"/>
      <c r="HM174" s="7"/>
      <c r="HN174" s="7"/>
      <c r="HO174" s="7"/>
      <c r="HP174" s="7"/>
      <c r="HQ174" s="7"/>
      <c r="HR174" s="7"/>
      <c r="HS174" s="7"/>
      <c r="HT174" s="7"/>
      <c r="HU174" s="7"/>
      <c r="HV174" s="7"/>
      <c r="HW174" s="7"/>
      <c r="HX174" s="7"/>
      <c r="HY174" s="7"/>
      <c r="HZ174" s="7"/>
      <c r="IA174" s="7"/>
      <c r="IB174" s="7"/>
      <c r="IC174" s="7"/>
      <c r="ID174" s="7"/>
      <c r="IE174" s="29"/>
      <c r="IF174" s="7"/>
      <c r="IG174" s="7"/>
      <c r="IH174" s="7"/>
      <c r="II174" s="7"/>
      <c r="IJ174" s="7"/>
      <c r="IK174" s="7"/>
      <c r="IL174" s="7"/>
      <c r="IM174" s="7"/>
      <c r="IN174" s="7"/>
      <c r="IO174" s="7"/>
      <c r="IP174" s="7"/>
      <c r="IQ174" s="7"/>
      <c r="IR174" s="7"/>
      <c r="IS174" s="7"/>
      <c r="IT174" s="55"/>
      <c r="IU174" s="7"/>
      <c r="IV174" s="7"/>
    </row>
    <row r="175" spans="1:256" s="11" customFormat="1" ht="12.75" customHeight="1">
      <c r="A175" s="19"/>
      <c r="B175" s="19"/>
      <c r="C175" s="174"/>
      <c r="D175" s="19"/>
      <c r="E175" s="7"/>
      <c r="F175" s="7"/>
      <c r="G175" s="7"/>
      <c r="H175" s="7"/>
      <c r="I175" s="8"/>
      <c r="J175" s="19" t="str">
        <f t="shared" ca="1" si="6"/>
        <v/>
      </c>
      <c r="K175" s="7"/>
      <c r="L175" s="7"/>
      <c r="M175" s="7"/>
      <c r="N175" s="7"/>
      <c r="O175" s="7"/>
      <c r="P175" s="7"/>
      <c r="Q175" s="29"/>
      <c r="R175" s="30"/>
      <c r="S175" s="7"/>
      <c r="T175" s="7"/>
      <c r="U175" s="31"/>
      <c r="V175" s="7"/>
      <c r="W175" s="7"/>
      <c r="X175" s="7"/>
      <c r="Y175" s="7"/>
      <c r="Z175" s="7"/>
      <c r="AA175" s="7"/>
      <c r="AB175" s="7"/>
      <c r="AC175" s="7"/>
      <c r="AD175" s="7"/>
      <c r="AE175" s="7"/>
      <c r="AF175" s="7"/>
      <c r="AG175" s="7"/>
      <c r="AH175" s="7"/>
      <c r="AI175" s="7"/>
      <c r="AJ175" s="122"/>
      <c r="AK175" s="41"/>
      <c r="AL175" s="52"/>
      <c r="AM175" s="20"/>
      <c r="AN175" s="20"/>
      <c r="AO175" s="20"/>
      <c r="AP175" s="20"/>
      <c r="AQ175" s="7"/>
      <c r="AR175" s="7"/>
      <c r="AS175" s="7"/>
      <c r="AT175" s="7"/>
      <c r="AU175" s="7"/>
      <c r="AV175" s="7"/>
      <c r="AW175" s="7"/>
      <c r="AX175" s="7"/>
      <c r="AY175" s="7"/>
      <c r="AZ175" s="7"/>
      <c r="BA175" s="7"/>
      <c r="BB175" s="7"/>
      <c r="BC175" s="7"/>
      <c r="BD175" s="55"/>
      <c r="BE175" s="55"/>
      <c r="BF175" s="7"/>
      <c r="BG175" s="7"/>
      <c r="BH175" s="7"/>
      <c r="BI175" s="7"/>
      <c r="BJ175" s="7"/>
      <c r="BK175" s="7"/>
      <c r="BL175" s="7"/>
      <c r="BM175" s="7"/>
      <c r="BN175" s="61"/>
      <c r="BO175" s="62"/>
      <c r="BP175" s="50"/>
      <c r="BQ175" s="20"/>
      <c r="BR175" s="7"/>
      <c r="BS175" s="7"/>
      <c r="BT175" s="7"/>
      <c r="BU175" s="7"/>
      <c r="BV175" s="55"/>
      <c r="BW175" s="7"/>
      <c r="BX175" s="55"/>
      <c r="BY175" s="7"/>
      <c r="BZ175" s="7"/>
      <c r="CA175" s="7"/>
      <c r="CB175" s="7"/>
      <c r="CC175" s="55"/>
      <c r="CD175" s="104"/>
      <c r="CE175" s="105"/>
      <c r="CF175" s="7"/>
      <c r="CG175" s="7"/>
      <c r="CH175" s="7"/>
      <c r="CI175" s="7"/>
      <c r="CJ175" s="7"/>
      <c r="CK175" s="7"/>
      <c r="CL175" s="7"/>
      <c r="CM175" s="7"/>
      <c r="CN175" s="7"/>
      <c r="CO175" s="7"/>
      <c r="CP175" s="55"/>
      <c r="CQ175" s="7"/>
      <c r="CR175" s="7"/>
      <c r="CS175" s="130"/>
      <c r="CT175" s="7"/>
      <c r="CU175" s="7"/>
      <c r="CV175" s="7"/>
      <c r="CW175" s="7"/>
      <c r="CX175" s="7"/>
      <c r="CY175" s="73"/>
      <c r="CZ175" s="7"/>
      <c r="DA175" s="7"/>
      <c r="DB175" s="7"/>
      <c r="DC175" s="48"/>
      <c r="DD175" s="7"/>
      <c r="DE175" s="7"/>
      <c r="DF175" s="7"/>
      <c r="DG175" s="7"/>
      <c r="DH175" s="7"/>
      <c r="DI175" s="7"/>
      <c r="DJ175" s="7"/>
      <c r="DK175" s="7"/>
      <c r="DL175" s="74"/>
      <c r="DM175" s="7"/>
      <c r="DN175" s="7"/>
      <c r="DO175" s="7"/>
      <c r="DP175" s="7"/>
      <c r="DQ175" s="58"/>
      <c r="DR175" s="7"/>
      <c r="DS175" s="7"/>
      <c r="DT175" s="7"/>
      <c r="DU175" s="73"/>
      <c r="DV175" s="73"/>
      <c r="DW175" s="152"/>
      <c r="DX175" s="7"/>
      <c r="DY175" s="7"/>
      <c r="DZ175" s="7"/>
      <c r="EA175" s="7"/>
      <c r="EB175" s="7"/>
      <c r="EC175" s="7"/>
      <c r="ED175" s="7"/>
      <c r="EE175" s="7"/>
      <c r="EF175" s="7"/>
      <c r="EG175" s="7"/>
      <c r="EH175" s="7"/>
      <c r="EI175" s="7"/>
      <c r="EJ175" s="7"/>
      <c r="EK175" s="7"/>
      <c r="EL175" s="7"/>
      <c r="EM175" s="7"/>
      <c r="EN175" s="19"/>
      <c r="EO175" s="7"/>
      <c r="EP175" s="7"/>
      <c r="EQ175" s="7"/>
      <c r="ER175" s="7"/>
      <c r="ES175" s="7"/>
      <c r="ET175" s="55"/>
      <c r="EU175" s="7"/>
      <c r="EV175" s="7"/>
      <c r="EW175" s="7"/>
      <c r="EX175" s="7"/>
      <c r="EY175" s="7"/>
      <c r="EZ175" s="7"/>
      <c r="FA175" s="7"/>
      <c r="FB175" s="7"/>
      <c r="FC175" s="55"/>
      <c r="FD175" s="55"/>
      <c r="FE175" s="55"/>
      <c r="FF175" s="7"/>
      <c r="FG175" s="7"/>
      <c r="FH175" s="7"/>
      <c r="FI175" s="7"/>
      <c r="FJ175" s="7"/>
      <c r="FK175" s="7"/>
      <c r="FL175" s="7"/>
      <c r="FM175" s="7"/>
      <c r="FN175" s="7"/>
      <c r="FO175" s="7"/>
      <c r="FP175" s="7"/>
      <c r="FQ175" s="7"/>
      <c r="FR175" s="7"/>
      <c r="FS175" s="77"/>
      <c r="FT175" s="30"/>
      <c r="FU175" s="7"/>
      <c r="FV175" s="55"/>
      <c r="FW175" s="55"/>
      <c r="FX175" s="7"/>
      <c r="FY175" s="7"/>
      <c r="FZ175" s="7"/>
      <c r="GA175" s="7"/>
      <c r="GB175" s="7"/>
      <c r="GC175" s="7"/>
      <c r="GD175" s="103"/>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c r="HD175" s="7"/>
      <c r="HE175" s="7"/>
      <c r="HF175" s="7"/>
      <c r="HG175" s="7"/>
      <c r="HH175" s="7"/>
      <c r="HI175" s="7"/>
      <c r="HJ175" s="7"/>
      <c r="HK175" s="7"/>
      <c r="HL175" s="7"/>
      <c r="HM175" s="7"/>
      <c r="HN175" s="7"/>
      <c r="HO175" s="7"/>
      <c r="HP175" s="7"/>
      <c r="HQ175" s="7"/>
      <c r="HR175" s="7"/>
      <c r="HS175" s="7"/>
      <c r="HT175" s="7"/>
      <c r="HU175" s="7"/>
      <c r="HV175" s="7"/>
      <c r="HW175" s="7"/>
      <c r="HX175" s="7"/>
      <c r="HY175" s="7"/>
      <c r="HZ175" s="7"/>
      <c r="IA175" s="7"/>
      <c r="IB175" s="7"/>
      <c r="IC175" s="7"/>
      <c r="ID175" s="7"/>
      <c r="IE175" s="29"/>
      <c r="IF175" s="7"/>
      <c r="IG175" s="7"/>
      <c r="IH175" s="7"/>
      <c r="II175" s="7"/>
      <c r="IJ175" s="7"/>
      <c r="IK175" s="7"/>
      <c r="IL175" s="7"/>
      <c r="IM175" s="7"/>
      <c r="IN175" s="7"/>
      <c r="IO175" s="7"/>
      <c r="IP175" s="7"/>
      <c r="IQ175" s="7"/>
      <c r="IR175" s="7"/>
      <c r="IS175" s="7"/>
      <c r="IT175" s="55"/>
      <c r="IU175" s="7"/>
      <c r="IV175" s="7"/>
    </row>
    <row r="176" spans="1:256" s="11" customFormat="1" ht="12.75" customHeight="1">
      <c r="A176" s="19"/>
      <c r="B176" s="19"/>
      <c r="C176" s="174" t="s">
        <v>4294</v>
      </c>
      <c r="D176" s="19"/>
      <c r="E176" s="7"/>
      <c r="F176" s="7"/>
      <c r="G176" s="7"/>
      <c r="H176" s="7"/>
      <c r="I176" s="8"/>
      <c r="J176" s="19" t="str">
        <f t="shared" ca="1" si="6"/>
        <v/>
      </c>
      <c r="K176" s="7"/>
      <c r="L176" s="7"/>
      <c r="M176" s="7"/>
      <c r="N176" s="7"/>
      <c r="O176" s="7"/>
      <c r="P176" s="7"/>
      <c r="Q176" s="29"/>
      <c r="R176" s="30"/>
      <c r="S176" s="7"/>
      <c r="T176" s="7"/>
      <c r="U176" s="31"/>
      <c r="V176" s="7"/>
      <c r="W176" s="7"/>
      <c r="X176" s="7"/>
      <c r="Y176" s="7"/>
      <c r="Z176" s="7"/>
      <c r="AA176" s="7"/>
      <c r="AB176" s="7"/>
      <c r="AC176" s="7"/>
      <c r="AD176" s="7"/>
      <c r="AE176" s="7"/>
      <c r="AF176" s="7"/>
      <c r="AG176" s="7"/>
      <c r="AH176" s="7"/>
      <c r="AI176" s="7"/>
      <c r="AJ176" s="122"/>
      <c r="AK176" s="41"/>
      <c r="AL176" s="52"/>
      <c r="AM176" s="20"/>
      <c r="AN176" s="20"/>
      <c r="AO176" s="20"/>
      <c r="AP176" s="20"/>
      <c r="AQ176" s="7"/>
      <c r="AR176" s="7"/>
      <c r="AS176" s="7"/>
      <c r="AT176" s="7"/>
      <c r="AU176" s="7"/>
      <c r="AV176" s="7"/>
      <c r="AW176" s="7"/>
      <c r="AX176" s="7"/>
      <c r="AY176" s="7"/>
      <c r="AZ176" s="7"/>
      <c r="BA176" s="7"/>
      <c r="BB176" s="7"/>
      <c r="BC176" s="7"/>
      <c r="BD176" s="55"/>
      <c r="BE176" s="55"/>
      <c r="BF176" s="7"/>
      <c r="BG176" s="7"/>
      <c r="BH176" s="7"/>
      <c r="BI176" s="7"/>
      <c r="BJ176" s="7"/>
      <c r="BK176" s="7"/>
      <c r="BL176" s="7"/>
      <c r="BM176" s="7"/>
      <c r="BN176" s="61"/>
      <c r="BO176" s="62"/>
      <c r="BP176" s="50"/>
      <c r="BQ176" s="20"/>
      <c r="BR176" s="7"/>
      <c r="BS176" s="7"/>
      <c r="BT176" s="7"/>
      <c r="BU176" s="7"/>
      <c r="BV176" s="55"/>
      <c r="BW176" s="7"/>
      <c r="BX176" s="55"/>
      <c r="BY176" s="7"/>
      <c r="BZ176" s="7"/>
      <c r="CA176" s="7"/>
      <c r="CB176" s="7"/>
      <c r="CC176" s="55"/>
      <c r="CD176" s="104"/>
      <c r="CE176" s="105"/>
      <c r="CF176" s="7"/>
      <c r="CG176" s="7"/>
      <c r="CH176" s="7"/>
      <c r="CI176" s="7"/>
      <c r="CJ176" s="7"/>
      <c r="CK176" s="7"/>
      <c r="CL176" s="7"/>
      <c r="CM176" s="7"/>
      <c r="CN176" s="7"/>
      <c r="CO176" s="7"/>
      <c r="CP176" s="55"/>
      <c r="CQ176" s="7"/>
      <c r="CR176" s="7"/>
      <c r="CS176" s="130"/>
      <c r="CT176" s="7"/>
      <c r="CU176" s="7"/>
      <c r="CV176" s="7"/>
      <c r="CW176" s="7"/>
      <c r="CX176" s="7"/>
      <c r="CY176" s="73"/>
      <c r="CZ176" s="7"/>
      <c r="DA176" s="7"/>
      <c r="DB176" s="7"/>
      <c r="DC176" s="48"/>
      <c r="DD176" s="7"/>
      <c r="DE176" s="7"/>
      <c r="DF176" s="7"/>
      <c r="DG176" s="7"/>
      <c r="DH176" s="7"/>
      <c r="DI176" s="7"/>
      <c r="DJ176" s="7"/>
      <c r="DK176" s="7"/>
      <c r="DL176" s="74"/>
      <c r="DM176" s="7"/>
      <c r="DN176" s="7"/>
      <c r="DO176" s="7"/>
      <c r="DP176" s="7"/>
      <c r="DQ176" s="58"/>
      <c r="DR176" s="7"/>
      <c r="DS176" s="7"/>
      <c r="DT176" s="7"/>
      <c r="DU176" s="73"/>
      <c r="DV176" s="73"/>
      <c r="DW176" s="152"/>
      <c r="DX176" s="7"/>
      <c r="DY176" s="7"/>
      <c r="DZ176" s="7"/>
      <c r="EA176" s="7"/>
      <c r="EB176" s="7"/>
      <c r="EC176" s="7"/>
      <c r="ED176" s="7"/>
      <c r="EE176" s="7"/>
      <c r="EF176" s="7"/>
      <c r="EG176" s="7"/>
      <c r="EH176" s="7"/>
      <c r="EI176" s="7"/>
      <c r="EJ176" s="7"/>
      <c r="EK176" s="7"/>
      <c r="EL176" s="7"/>
      <c r="EM176" s="7"/>
      <c r="EN176" s="19"/>
      <c r="EO176" s="7"/>
      <c r="EP176" s="7"/>
      <c r="EQ176" s="7"/>
      <c r="ER176" s="7"/>
      <c r="ES176" s="7"/>
      <c r="ET176" s="55"/>
      <c r="EU176" s="7"/>
      <c r="EV176" s="7"/>
      <c r="EW176" s="7"/>
      <c r="EX176" s="7"/>
      <c r="EY176" s="7"/>
      <c r="EZ176" s="7"/>
      <c r="FA176" s="7"/>
      <c r="FB176" s="7"/>
      <c r="FC176" s="55"/>
      <c r="FD176" s="55"/>
      <c r="FE176" s="55"/>
      <c r="FF176" s="7"/>
      <c r="FG176" s="7"/>
      <c r="FH176" s="7"/>
      <c r="FI176" s="7"/>
      <c r="FJ176" s="7"/>
      <c r="FK176" s="7"/>
      <c r="FL176" s="7"/>
      <c r="FM176" s="7"/>
      <c r="FN176" s="7"/>
      <c r="FO176" s="7"/>
      <c r="FP176" s="7"/>
      <c r="FQ176" s="7"/>
      <c r="FR176" s="7"/>
      <c r="FS176" s="77"/>
      <c r="FT176" s="30"/>
      <c r="FU176" s="7"/>
      <c r="FV176" s="55"/>
      <c r="FW176" s="55"/>
      <c r="FX176" s="7"/>
      <c r="FY176" s="7"/>
      <c r="FZ176" s="7"/>
      <c r="GA176" s="7"/>
      <c r="GB176" s="7"/>
      <c r="GC176" s="7"/>
      <c r="GD176" s="103"/>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c r="HD176" s="7"/>
      <c r="HE176" s="7"/>
      <c r="HF176" s="7"/>
      <c r="HG176" s="7"/>
      <c r="HH176" s="7"/>
      <c r="HI176" s="7"/>
      <c r="HJ176" s="7"/>
      <c r="HK176" s="7"/>
      <c r="HL176" s="7"/>
      <c r="HM176" s="7"/>
      <c r="HN176" s="7"/>
      <c r="HO176" s="7"/>
      <c r="HP176" s="7"/>
      <c r="HQ176" s="7"/>
      <c r="HR176" s="7"/>
      <c r="HS176" s="7"/>
      <c r="HT176" s="7"/>
      <c r="HU176" s="7"/>
      <c r="HV176" s="7"/>
      <c r="HW176" s="7"/>
      <c r="HX176" s="7"/>
      <c r="HY176" s="7"/>
      <c r="HZ176" s="7"/>
      <c r="IA176" s="7"/>
      <c r="IB176" s="7"/>
      <c r="IC176" s="7"/>
      <c r="ID176" s="7"/>
      <c r="IE176" s="29"/>
      <c r="IF176" s="7"/>
      <c r="IG176" s="7"/>
      <c r="IH176" s="7"/>
      <c r="II176" s="7"/>
      <c r="IJ176" s="7"/>
      <c r="IK176" s="7"/>
      <c r="IL176" s="7"/>
      <c r="IM176" s="7"/>
      <c r="IN176" s="7"/>
      <c r="IO176" s="7"/>
      <c r="IP176" s="7"/>
      <c r="IQ176" s="7"/>
      <c r="IR176" s="7"/>
      <c r="IS176" s="7"/>
      <c r="IT176" s="55"/>
      <c r="IU176" s="7"/>
      <c r="IV176" s="7"/>
    </row>
    <row r="177" spans="1:256" s="11" customFormat="1" ht="12.75" customHeight="1">
      <c r="A177" s="19"/>
      <c r="B177" s="19"/>
      <c r="C177" s="174" t="s">
        <v>4300</v>
      </c>
      <c r="D177" s="19"/>
      <c r="E177" s="7"/>
      <c r="F177" s="7"/>
      <c r="G177" s="7"/>
      <c r="H177" s="7"/>
      <c r="I177" s="8"/>
      <c r="J177" s="19" t="str">
        <f t="shared" ca="1" si="6"/>
        <v/>
      </c>
      <c r="K177" s="7"/>
      <c r="L177" s="7"/>
      <c r="M177" s="7"/>
      <c r="N177" s="7"/>
      <c r="O177" s="7"/>
      <c r="P177" s="7"/>
      <c r="Q177" s="29"/>
      <c r="R177" s="30"/>
      <c r="S177" s="7"/>
      <c r="T177" s="7"/>
      <c r="U177" s="31"/>
      <c r="V177" s="7"/>
      <c r="W177" s="7"/>
      <c r="X177" s="7"/>
      <c r="Y177" s="7"/>
      <c r="Z177" s="7"/>
      <c r="AA177" s="7"/>
      <c r="AB177" s="7"/>
      <c r="AC177" s="7"/>
      <c r="AD177" s="7"/>
      <c r="AE177" s="7"/>
      <c r="AF177" s="7"/>
      <c r="AG177" s="7"/>
      <c r="AH177" s="7"/>
      <c r="AI177" s="7"/>
      <c r="AJ177" s="122"/>
      <c r="AK177" s="41"/>
      <c r="AL177" s="52"/>
      <c r="AM177" s="20"/>
      <c r="AN177" s="20"/>
      <c r="AO177" s="20"/>
      <c r="AP177" s="20"/>
      <c r="AQ177" s="7"/>
      <c r="AR177" s="7"/>
      <c r="AS177" s="7"/>
      <c r="AT177" s="7"/>
      <c r="AU177" s="7"/>
      <c r="AV177" s="7"/>
      <c r="AW177" s="7"/>
      <c r="AX177" s="7"/>
      <c r="AY177" s="7"/>
      <c r="AZ177" s="7"/>
      <c r="BA177" s="7"/>
      <c r="BB177" s="7"/>
      <c r="BC177" s="7"/>
      <c r="BD177" s="55"/>
      <c r="BE177" s="55"/>
      <c r="BF177" s="7"/>
      <c r="BG177" s="7"/>
      <c r="BH177" s="7"/>
      <c r="BI177" s="7"/>
      <c r="BJ177" s="7"/>
      <c r="BK177" s="7"/>
      <c r="BL177" s="7"/>
      <c r="BM177" s="7"/>
      <c r="BN177" s="61"/>
      <c r="BO177" s="62"/>
      <c r="BP177" s="50"/>
      <c r="BQ177" s="20"/>
      <c r="BR177" s="7"/>
      <c r="BS177" s="7"/>
      <c r="BT177" s="7"/>
      <c r="BU177" s="7"/>
      <c r="BV177" s="55"/>
      <c r="BW177" s="7"/>
      <c r="BX177" s="55"/>
      <c r="BY177" s="7"/>
      <c r="BZ177" s="7"/>
      <c r="CA177" s="7"/>
      <c r="CB177" s="7"/>
      <c r="CC177" s="55"/>
      <c r="CD177" s="104"/>
      <c r="CE177" s="105"/>
      <c r="CF177" s="7"/>
      <c r="CG177" s="7"/>
      <c r="CH177" s="7"/>
      <c r="CI177" s="7"/>
      <c r="CJ177" s="7"/>
      <c r="CK177" s="7"/>
      <c r="CL177" s="7"/>
      <c r="CM177" s="7"/>
      <c r="CN177" s="7"/>
      <c r="CO177" s="7"/>
      <c r="CP177" s="55"/>
      <c r="CQ177" s="7"/>
      <c r="CR177" s="7"/>
      <c r="CS177" s="130"/>
      <c r="CT177" s="7"/>
      <c r="CU177" s="7"/>
      <c r="CV177" s="7"/>
      <c r="CW177" s="7"/>
      <c r="CX177" s="7"/>
      <c r="CY177" s="73"/>
      <c r="CZ177" s="7"/>
      <c r="DA177" s="7"/>
      <c r="DB177" s="7"/>
      <c r="DC177" s="48"/>
      <c r="DD177" s="7"/>
      <c r="DE177" s="7"/>
      <c r="DF177" s="7"/>
      <c r="DG177" s="7"/>
      <c r="DH177" s="7"/>
      <c r="DI177" s="7"/>
      <c r="DJ177" s="7"/>
      <c r="DK177" s="7"/>
      <c r="DL177" s="74"/>
      <c r="DM177" s="7"/>
      <c r="DN177" s="7"/>
      <c r="DO177" s="7"/>
      <c r="DP177" s="7"/>
      <c r="DQ177" s="58"/>
      <c r="DR177" s="7"/>
      <c r="DS177" s="7"/>
      <c r="DT177" s="7"/>
      <c r="DU177" s="73"/>
      <c r="DV177" s="73"/>
      <c r="DW177" s="152"/>
      <c r="DX177" s="7"/>
      <c r="DY177" s="7"/>
      <c r="DZ177" s="7"/>
      <c r="EA177" s="7"/>
      <c r="EB177" s="7"/>
      <c r="EC177" s="7"/>
      <c r="ED177" s="7"/>
      <c r="EE177" s="7"/>
      <c r="EF177" s="7"/>
      <c r="EG177" s="7"/>
      <c r="EH177" s="7"/>
      <c r="EI177" s="7"/>
      <c r="EJ177" s="7"/>
      <c r="EK177" s="7"/>
      <c r="EL177" s="7"/>
      <c r="EM177" s="7"/>
      <c r="EN177" s="19"/>
      <c r="EO177" s="7"/>
      <c r="EP177" s="7"/>
      <c r="EQ177" s="7"/>
      <c r="ER177" s="7"/>
      <c r="ES177" s="7"/>
      <c r="ET177" s="55"/>
      <c r="EU177" s="7"/>
      <c r="EV177" s="7"/>
      <c r="EW177" s="7"/>
      <c r="EX177" s="7"/>
      <c r="EY177" s="7"/>
      <c r="EZ177" s="7"/>
      <c r="FA177" s="7"/>
      <c r="FB177" s="7"/>
      <c r="FC177" s="55"/>
      <c r="FD177" s="55"/>
      <c r="FE177" s="55"/>
      <c r="FF177" s="7"/>
      <c r="FG177" s="7"/>
      <c r="FH177" s="7"/>
      <c r="FI177" s="7"/>
      <c r="FJ177" s="7"/>
      <c r="FK177" s="7"/>
      <c r="FL177" s="7"/>
      <c r="FM177" s="7"/>
      <c r="FN177" s="7"/>
      <c r="FO177" s="7"/>
      <c r="FP177" s="7"/>
      <c r="FQ177" s="7"/>
      <c r="FR177" s="7"/>
      <c r="FS177" s="77"/>
      <c r="FT177" s="30"/>
      <c r="FU177" s="7"/>
      <c r="FV177" s="55"/>
      <c r="FW177" s="55"/>
      <c r="FX177" s="7"/>
      <c r="FY177" s="7"/>
      <c r="FZ177" s="7"/>
      <c r="GA177" s="7"/>
      <c r="GB177" s="7"/>
      <c r="GC177" s="7"/>
      <c r="GD177" s="103"/>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29"/>
      <c r="IF177" s="7"/>
      <c r="IG177" s="7"/>
      <c r="IH177" s="7"/>
      <c r="II177" s="7"/>
      <c r="IJ177" s="7"/>
      <c r="IK177" s="7"/>
      <c r="IL177" s="7"/>
      <c r="IM177" s="7"/>
      <c r="IN177" s="7"/>
      <c r="IO177" s="7"/>
      <c r="IP177" s="7"/>
      <c r="IQ177" s="7"/>
      <c r="IR177" s="7"/>
      <c r="IS177" s="7"/>
      <c r="IT177" s="55"/>
      <c r="IU177" s="7"/>
      <c r="IV177" s="7"/>
    </row>
    <row r="178" spans="1:256" s="11" customFormat="1" ht="12.75" customHeight="1">
      <c r="A178" s="19"/>
      <c r="B178" s="19"/>
      <c r="C178" s="174" t="s">
        <v>4297</v>
      </c>
      <c r="D178" s="19"/>
      <c r="E178" s="7"/>
      <c r="F178" s="7"/>
      <c r="G178" s="7"/>
      <c r="H178" s="7"/>
      <c r="I178" s="8"/>
      <c r="J178" s="19" t="str">
        <f t="shared" ca="1" si="6"/>
        <v/>
      </c>
      <c r="K178" s="7"/>
      <c r="L178" s="7"/>
      <c r="M178" s="7"/>
      <c r="N178" s="7"/>
      <c r="O178" s="7"/>
      <c r="P178" s="7"/>
      <c r="Q178" s="29"/>
      <c r="R178" s="30"/>
      <c r="S178" s="7"/>
      <c r="T178" s="7"/>
      <c r="U178" s="31"/>
      <c r="V178" s="7"/>
      <c r="W178" s="7"/>
      <c r="X178" s="7"/>
      <c r="Y178" s="7"/>
      <c r="Z178" s="7"/>
      <c r="AA178" s="7"/>
      <c r="AB178" s="7"/>
      <c r="AC178" s="7"/>
      <c r="AD178" s="7"/>
      <c r="AE178" s="7"/>
      <c r="AF178" s="7"/>
      <c r="AG178" s="7"/>
      <c r="AH178" s="7"/>
      <c r="AI178" s="7"/>
      <c r="AJ178" s="122"/>
      <c r="AK178" s="41"/>
      <c r="AL178" s="52"/>
      <c r="AM178" s="20"/>
      <c r="AN178" s="20"/>
      <c r="AO178" s="20"/>
      <c r="AP178" s="20"/>
      <c r="AQ178" s="7"/>
      <c r="AR178" s="7"/>
      <c r="AS178" s="7"/>
      <c r="AT178" s="7"/>
      <c r="AU178" s="7"/>
      <c r="AV178" s="7"/>
      <c r="AW178" s="7"/>
      <c r="AX178" s="7"/>
      <c r="AY178" s="7"/>
      <c r="AZ178" s="7"/>
      <c r="BA178" s="7"/>
      <c r="BB178" s="7"/>
      <c r="BC178" s="7"/>
      <c r="BD178" s="55"/>
      <c r="BE178" s="55"/>
      <c r="BF178" s="7"/>
      <c r="BG178" s="7"/>
      <c r="BH178" s="7"/>
      <c r="BI178" s="7"/>
      <c r="BJ178" s="7"/>
      <c r="BK178" s="7"/>
      <c r="BL178" s="7"/>
      <c r="BM178" s="7"/>
      <c r="BN178" s="61"/>
      <c r="BO178" s="62"/>
      <c r="BP178" s="50"/>
      <c r="BQ178" s="20"/>
      <c r="BR178" s="7"/>
      <c r="BS178" s="7"/>
      <c r="BT178" s="7"/>
      <c r="BU178" s="7"/>
      <c r="BV178" s="55"/>
      <c r="BW178" s="7"/>
      <c r="BX178" s="55"/>
      <c r="BY178" s="7"/>
      <c r="BZ178" s="7"/>
      <c r="CA178" s="7"/>
      <c r="CB178" s="7"/>
      <c r="CC178" s="55"/>
      <c r="CD178" s="104"/>
      <c r="CE178" s="105"/>
      <c r="CF178" s="7"/>
      <c r="CG178" s="7"/>
      <c r="CH178" s="7"/>
      <c r="CI178" s="7"/>
      <c r="CJ178" s="7"/>
      <c r="CK178" s="7"/>
      <c r="CL178" s="7"/>
      <c r="CM178" s="7"/>
      <c r="CN178" s="7"/>
      <c r="CO178" s="7"/>
      <c r="CP178" s="55"/>
      <c r="CQ178" s="7"/>
      <c r="CR178" s="7"/>
      <c r="CS178" s="130"/>
      <c r="CT178" s="7"/>
      <c r="CU178" s="7"/>
      <c r="CV178" s="7"/>
      <c r="CW178" s="7"/>
      <c r="CX178" s="7"/>
      <c r="CY178" s="73"/>
      <c r="CZ178" s="7"/>
      <c r="DA178" s="7"/>
      <c r="DB178" s="7"/>
      <c r="DC178" s="48"/>
      <c r="DD178" s="7"/>
      <c r="DE178" s="7"/>
      <c r="DF178" s="7"/>
      <c r="DG178" s="7"/>
      <c r="DH178" s="7"/>
      <c r="DI178" s="7"/>
      <c r="DJ178" s="7"/>
      <c r="DK178" s="7"/>
      <c r="DL178" s="74"/>
      <c r="DM178" s="7"/>
      <c r="DN178" s="7"/>
      <c r="DO178" s="7"/>
      <c r="DP178" s="7"/>
      <c r="DQ178" s="58"/>
      <c r="DR178" s="7"/>
      <c r="DS178" s="7"/>
      <c r="DT178" s="7"/>
      <c r="DU178" s="73"/>
      <c r="DV178" s="73"/>
      <c r="DW178" s="152"/>
      <c r="DX178" s="7"/>
      <c r="DY178" s="7"/>
      <c r="DZ178" s="7"/>
      <c r="EA178" s="7"/>
      <c r="EB178" s="7"/>
      <c r="EC178" s="7"/>
      <c r="ED178" s="7"/>
      <c r="EE178" s="7"/>
      <c r="EF178" s="7"/>
      <c r="EG178" s="7"/>
      <c r="EH178" s="7"/>
      <c r="EI178" s="7"/>
      <c r="EJ178" s="7"/>
      <c r="EK178" s="7"/>
      <c r="EL178" s="7"/>
      <c r="EM178" s="7"/>
      <c r="EN178" s="19"/>
      <c r="EO178" s="7"/>
      <c r="EP178" s="7"/>
      <c r="EQ178" s="7"/>
      <c r="ER178" s="7"/>
      <c r="ES178" s="7"/>
      <c r="ET178" s="55"/>
      <c r="EU178" s="7"/>
      <c r="EV178" s="7"/>
      <c r="EW178" s="7"/>
      <c r="EX178" s="7"/>
      <c r="EY178" s="7"/>
      <c r="EZ178" s="7"/>
      <c r="FA178" s="7"/>
      <c r="FB178" s="7"/>
      <c r="FC178" s="55"/>
      <c r="FD178" s="55"/>
      <c r="FE178" s="55"/>
      <c r="FF178" s="7"/>
      <c r="FG178" s="7"/>
      <c r="FH178" s="7"/>
      <c r="FI178" s="7"/>
      <c r="FJ178" s="7"/>
      <c r="FK178" s="7"/>
      <c r="FL178" s="7"/>
      <c r="FM178" s="7"/>
      <c r="FN178" s="7"/>
      <c r="FO178" s="7"/>
      <c r="FP178" s="7"/>
      <c r="FQ178" s="7"/>
      <c r="FR178" s="7"/>
      <c r="FS178" s="77"/>
      <c r="FT178" s="30"/>
      <c r="FU178" s="7"/>
      <c r="FV178" s="55"/>
      <c r="FW178" s="55"/>
      <c r="FX178" s="7"/>
      <c r="FY178" s="7"/>
      <c r="FZ178" s="7"/>
      <c r="GA178" s="7"/>
      <c r="GB178" s="7"/>
      <c r="GC178" s="7"/>
      <c r="GD178" s="103"/>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29"/>
      <c r="IF178" s="7"/>
      <c r="IG178" s="7"/>
      <c r="IH178" s="7"/>
      <c r="II178" s="7"/>
      <c r="IJ178" s="7"/>
      <c r="IK178" s="7"/>
      <c r="IL178" s="7"/>
      <c r="IM178" s="7"/>
      <c r="IN178" s="7"/>
      <c r="IO178" s="7"/>
      <c r="IP178" s="7"/>
      <c r="IQ178" s="7"/>
      <c r="IR178" s="7"/>
      <c r="IS178" s="7"/>
      <c r="IT178" s="55"/>
      <c r="IU178" s="7"/>
      <c r="IV178" s="7"/>
    </row>
    <row r="179" spans="1:256" s="11" customFormat="1" ht="12.75" customHeight="1">
      <c r="A179" s="19"/>
      <c r="B179" s="19"/>
      <c r="C179" s="174" t="s">
        <v>4301</v>
      </c>
      <c r="D179" s="19"/>
      <c r="E179" s="7"/>
      <c r="F179" s="7"/>
      <c r="G179" s="7"/>
      <c r="H179" s="7"/>
      <c r="I179" s="8"/>
      <c r="J179" s="19" t="str">
        <f t="shared" ca="1" si="6"/>
        <v/>
      </c>
      <c r="K179" s="7"/>
      <c r="L179" s="7"/>
      <c r="M179" s="7"/>
      <c r="N179" s="7"/>
      <c r="O179" s="7"/>
      <c r="P179" s="7"/>
      <c r="Q179" s="29"/>
      <c r="R179" s="30"/>
      <c r="S179" s="7"/>
      <c r="T179" s="7"/>
      <c r="U179" s="31"/>
      <c r="V179" s="7"/>
      <c r="W179" s="7"/>
      <c r="X179" s="7"/>
      <c r="Y179" s="7"/>
      <c r="Z179" s="7"/>
      <c r="AA179" s="7"/>
      <c r="AB179" s="7"/>
      <c r="AC179" s="7"/>
      <c r="AD179" s="7"/>
      <c r="AE179" s="7"/>
      <c r="AF179" s="7"/>
      <c r="AG179" s="7"/>
      <c r="AH179" s="7"/>
      <c r="AI179" s="7"/>
      <c r="AJ179" s="122"/>
      <c r="AK179" s="41"/>
      <c r="AL179" s="52"/>
      <c r="AM179" s="20"/>
      <c r="AN179" s="20"/>
      <c r="AO179" s="20"/>
      <c r="AP179" s="20"/>
      <c r="AQ179" s="7"/>
      <c r="AR179" s="7"/>
      <c r="AS179" s="7"/>
      <c r="AT179" s="7"/>
      <c r="AU179" s="7"/>
      <c r="AV179" s="7"/>
      <c r="AW179" s="7"/>
      <c r="AX179" s="7"/>
      <c r="AY179" s="7"/>
      <c r="AZ179" s="7"/>
      <c r="BA179" s="7"/>
      <c r="BB179" s="7"/>
      <c r="BC179" s="7"/>
      <c r="BD179" s="55"/>
      <c r="BE179" s="55"/>
      <c r="BF179" s="7"/>
      <c r="BG179" s="7"/>
      <c r="BH179" s="7"/>
      <c r="BI179" s="7"/>
      <c r="BJ179" s="7"/>
      <c r="BK179" s="7"/>
      <c r="BL179" s="7"/>
      <c r="BM179" s="7"/>
      <c r="BN179" s="61"/>
      <c r="BO179" s="62"/>
      <c r="BP179" s="50"/>
      <c r="BQ179" s="20"/>
      <c r="BR179" s="7"/>
      <c r="BS179" s="7"/>
      <c r="BT179" s="7"/>
      <c r="BU179" s="7"/>
      <c r="BV179" s="55"/>
      <c r="BW179" s="7"/>
      <c r="BX179" s="55"/>
      <c r="BY179" s="7"/>
      <c r="BZ179" s="7"/>
      <c r="CA179" s="7"/>
      <c r="CB179" s="7"/>
      <c r="CC179" s="55"/>
      <c r="CD179" s="104"/>
      <c r="CE179" s="105"/>
      <c r="CF179" s="7"/>
      <c r="CG179" s="7"/>
      <c r="CH179" s="7"/>
      <c r="CI179" s="7"/>
      <c r="CJ179" s="7"/>
      <c r="CK179" s="7"/>
      <c r="CL179" s="7"/>
      <c r="CM179" s="7"/>
      <c r="CN179" s="7"/>
      <c r="CO179" s="7"/>
      <c r="CP179" s="55"/>
      <c r="CQ179" s="7"/>
      <c r="CR179" s="7"/>
      <c r="CS179" s="130"/>
      <c r="CT179" s="7"/>
      <c r="CU179" s="7"/>
      <c r="CV179" s="7"/>
      <c r="CW179" s="7"/>
      <c r="CX179" s="7"/>
      <c r="CY179" s="73"/>
      <c r="CZ179" s="7"/>
      <c r="DA179" s="7"/>
      <c r="DB179" s="7"/>
      <c r="DC179" s="48"/>
      <c r="DD179" s="7"/>
      <c r="DE179" s="7"/>
      <c r="DF179" s="7"/>
      <c r="DG179" s="7"/>
      <c r="DH179" s="7"/>
      <c r="DI179" s="7"/>
      <c r="DJ179" s="7"/>
      <c r="DK179" s="7"/>
      <c r="DL179" s="74"/>
      <c r="DM179" s="7"/>
      <c r="DN179" s="7"/>
      <c r="DO179" s="7"/>
      <c r="DP179" s="7"/>
      <c r="DQ179" s="58"/>
      <c r="DR179" s="7"/>
      <c r="DS179" s="7"/>
      <c r="DT179" s="7"/>
      <c r="DU179" s="73"/>
      <c r="DV179" s="73"/>
      <c r="DW179" s="152"/>
      <c r="DX179" s="7"/>
      <c r="DY179" s="7"/>
      <c r="DZ179" s="7"/>
      <c r="EA179" s="7"/>
      <c r="EB179" s="7"/>
      <c r="EC179" s="7"/>
      <c r="ED179" s="7"/>
      <c r="EE179" s="7"/>
      <c r="EF179" s="7"/>
      <c r="EG179" s="7"/>
      <c r="EH179" s="7"/>
      <c r="EI179" s="7"/>
      <c r="EJ179" s="7"/>
      <c r="EK179" s="7"/>
      <c r="EL179" s="7"/>
      <c r="EM179" s="7"/>
      <c r="EN179" s="19"/>
      <c r="EO179" s="7"/>
      <c r="EP179" s="7"/>
      <c r="EQ179" s="7"/>
      <c r="ER179" s="7"/>
      <c r="ES179" s="7"/>
      <c r="ET179" s="55"/>
      <c r="EU179" s="7"/>
      <c r="EV179" s="7"/>
      <c r="EW179" s="7"/>
      <c r="EX179" s="7"/>
      <c r="EY179" s="7"/>
      <c r="EZ179" s="7"/>
      <c r="FA179" s="7"/>
      <c r="FB179" s="7"/>
      <c r="FC179" s="55"/>
      <c r="FD179" s="55"/>
      <c r="FE179" s="55"/>
      <c r="FF179" s="7"/>
      <c r="FG179" s="7"/>
      <c r="FH179" s="7"/>
      <c r="FI179" s="7"/>
      <c r="FJ179" s="7"/>
      <c r="FK179" s="7"/>
      <c r="FL179" s="7"/>
      <c r="FM179" s="7"/>
      <c r="FN179" s="7"/>
      <c r="FO179" s="7"/>
      <c r="FP179" s="7"/>
      <c r="FQ179" s="7"/>
      <c r="FR179" s="7"/>
      <c r="FS179" s="77"/>
      <c r="FT179" s="30"/>
      <c r="FU179" s="7"/>
      <c r="FV179" s="55"/>
      <c r="FW179" s="55"/>
      <c r="FX179" s="7"/>
      <c r="FY179" s="7"/>
      <c r="FZ179" s="7"/>
      <c r="GA179" s="7"/>
      <c r="GB179" s="7"/>
      <c r="GC179" s="7"/>
      <c r="GD179" s="103"/>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29"/>
      <c r="IF179" s="7"/>
      <c r="IG179" s="7"/>
      <c r="IH179" s="7"/>
      <c r="II179" s="7"/>
      <c r="IJ179" s="7"/>
      <c r="IK179" s="7"/>
      <c r="IL179" s="7"/>
      <c r="IM179" s="7"/>
      <c r="IN179" s="7"/>
      <c r="IO179" s="7"/>
      <c r="IP179" s="7"/>
      <c r="IQ179" s="7"/>
      <c r="IR179" s="7"/>
      <c r="IS179" s="7"/>
      <c r="IT179" s="55"/>
      <c r="IU179" s="7"/>
      <c r="IV179" s="7"/>
    </row>
    <row r="180" spans="1:256" s="11" customFormat="1" ht="12.75" customHeight="1">
      <c r="A180" s="19"/>
      <c r="B180" s="19"/>
      <c r="C180" s="174"/>
      <c r="D180" s="19"/>
      <c r="E180" s="7"/>
      <c r="F180" s="7"/>
      <c r="G180" s="7"/>
      <c r="H180" s="7"/>
      <c r="I180" s="8"/>
      <c r="J180" s="19" t="str">
        <f t="shared" ca="1" si="6"/>
        <v/>
      </c>
      <c r="K180" s="7"/>
      <c r="L180" s="7"/>
      <c r="M180" s="7"/>
      <c r="N180" s="7"/>
      <c r="O180" s="7"/>
      <c r="P180" s="7"/>
      <c r="Q180" s="29"/>
      <c r="R180" s="30"/>
      <c r="S180" s="7"/>
      <c r="T180" s="7"/>
      <c r="U180" s="31"/>
      <c r="V180" s="7"/>
      <c r="W180" s="7"/>
      <c r="X180" s="7"/>
      <c r="Y180" s="7"/>
      <c r="Z180" s="7"/>
      <c r="AA180" s="7"/>
      <c r="AB180" s="7"/>
      <c r="AC180" s="7"/>
      <c r="AD180" s="7"/>
      <c r="AE180" s="7"/>
      <c r="AF180" s="7"/>
      <c r="AG180" s="7"/>
      <c r="AH180" s="7"/>
      <c r="AI180" s="7"/>
      <c r="AJ180" s="122"/>
      <c r="AK180" s="41"/>
      <c r="AL180" s="52"/>
      <c r="AM180" s="20"/>
      <c r="AN180" s="20"/>
      <c r="AO180" s="20"/>
      <c r="AP180" s="20"/>
      <c r="AQ180" s="7"/>
      <c r="AR180" s="7"/>
      <c r="AS180" s="7"/>
      <c r="AT180" s="7"/>
      <c r="AU180" s="7"/>
      <c r="AV180" s="7"/>
      <c r="AW180" s="7"/>
      <c r="AX180" s="7"/>
      <c r="AY180" s="7"/>
      <c r="AZ180" s="7"/>
      <c r="BA180" s="7"/>
      <c r="BB180" s="7"/>
      <c r="BC180" s="7"/>
      <c r="BD180" s="55"/>
      <c r="BE180" s="55"/>
      <c r="BF180" s="7"/>
      <c r="BG180" s="7"/>
      <c r="BH180" s="7"/>
      <c r="BI180" s="7"/>
      <c r="BJ180" s="7"/>
      <c r="BK180" s="7"/>
      <c r="BL180" s="7"/>
      <c r="BM180" s="7"/>
      <c r="BN180" s="61"/>
      <c r="BO180" s="62"/>
      <c r="BP180" s="50"/>
      <c r="BQ180" s="20"/>
      <c r="BR180" s="7"/>
      <c r="BS180" s="7"/>
      <c r="BT180" s="7"/>
      <c r="BU180" s="7"/>
      <c r="BV180" s="55"/>
      <c r="BW180" s="7"/>
      <c r="BX180" s="55"/>
      <c r="BY180" s="7"/>
      <c r="BZ180" s="7"/>
      <c r="CA180" s="7"/>
      <c r="CB180" s="7"/>
      <c r="CC180" s="55"/>
      <c r="CD180" s="104"/>
      <c r="CE180" s="105"/>
      <c r="CF180" s="7"/>
      <c r="CG180" s="7"/>
      <c r="CH180" s="7"/>
      <c r="CI180" s="7"/>
      <c r="CJ180" s="7"/>
      <c r="CK180" s="7"/>
      <c r="CL180" s="7"/>
      <c r="CM180" s="7"/>
      <c r="CN180" s="7"/>
      <c r="CO180" s="7"/>
      <c r="CP180" s="55"/>
      <c r="CQ180" s="7"/>
      <c r="CR180" s="7"/>
      <c r="CS180" s="130"/>
      <c r="CT180" s="7"/>
      <c r="CU180" s="7"/>
      <c r="CV180" s="7"/>
      <c r="CW180" s="7"/>
      <c r="CX180" s="7"/>
      <c r="CY180" s="73"/>
      <c r="CZ180" s="7"/>
      <c r="DA180" s="7"/>
      <c r="DB180" s="7"/>
      <c r="DC180" s="48"/>
      <c r="DD180" s="7"/>
      <c r="DE180" s="7"/>
      <c r="DF180" s="7"/>
      <c r="DG180" s="7"/>
      <c r="DH180" s="7"/>
      <c r="DI180" s="7"/>
      <c r="DJ180" s="7"/>
      <c r="DK180" s="7"/>
      <c r="DL180" s="74"/>
      <c r="DM180" s="7"/>
      <c r="DN180" s="7"/>
      <c r="DO180" s="7"/>
      <c r="DP180" s="7"/>
      <c r="DQ180" s="58"/>
      <c r="DR180" s="7"/>
      <c r="DS180" s="7"/>
      <c r="DT180" s="7"/>
      <c r="DU180" s="73"/>
      <c r="DV180" s="73"/>
      <c r="DW180" s="152"/>
      <c r="DX180" s="7"/>
      <c r="DY180" s="7"/>
      <c r="DZ180" s="7"/>
      <c r="EA180" s="7"/>
      <c r="EB180" s="7"/>
      <c r="EC180" s="7"/>
      <c r="ED180" s="7"/>
      <c r="EE180" s="7"/>
      <c r="EF180" s="7"/>
      <c r="EG180" s="7"/>
      <c r="EH180" s="7"/>
      <c r="EI180" s="7"/>
      <c r="EJ180" s="7"/>
      <c r="EK180" s="7"/>
      <c r="EL180" s="7"/>
      <c r="EM180" s="7"/>
      <c r="EN180" s="19"/>
      <c r="EO180" s="7"/>
      <c r="EP180" s="7"/>
      <c r="EQ180" s="7"/>
      <c r="ER180" s="7"/>
      <c r="ES180" s="7"/>
      <c r="ET180" s="55"/>
      <c r="EU180" s="7"/>
      <c r="EV180" s="7"/>
      <c r="EW180" s="7"/>
      <c r="EX180" s="7"/>
      <c r="EY180" s="7"/>
      <c r="EZ180" s="7"/>
      <c r="FA180" s="7"/>
      <c r="FB180" s="7"/>
      <c r="FC180" s="55"/>
      <c r="FD180" s="55"/>
      <c r="FE180" s="55"/>
      <c r="FF180" s="7"/>
      <c r="FG180" s="7"/>
      <c r="FH180" s="7"/>
      <c r="FI180" s="7"/>
      <c r="FJ180" s="7"/>
      <c r="FK180" s="7"/>
      <c r="FL180" s="7"/>
      <c r="FM180" s="7"/>
      <c r="FN180" s="7"/>
      <c r="FO180" s="7"/>
      <c r="FP180" s="7"/>
      <c r="FQ180" s="7"/>
      <c r="FR180" s="7"/>
      <c r="FS180" s="77"/>
      <c r="FT180" s="30"/>
      <c r="FU180" s="7"/>
      <c r="FV180" s="55"/>
      <c r="FW180" s="55"/>
      <c r="FX180" s="7"/>
      <c r="FY180" s="7"/>
      <c r="FZ180" s="7"/>
      <c r="GA180" s="7"/>
      <c r="GB180" s="7"/>
      <c r="GC180" s="7"/>
      <c r="GD180" s="103"/>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29"/>
      <c r="IF180" s="7"/>
      <c r="IG180" s="7"/>
      <c r="IH180" s="7"/>
      <c r="II180" s="7"/>
      <c r="IJ180" s="7"/>
      <c r="IK180" s="7"/>
      <c r="IL180" s="7"/>
      <c r="IM180" s="7"/>
      <c r="IN180" s="7"/>
      <c r="IO180" s="7"/>
      <c r="IP180" s="7"/>
      <c r="IQ180" s="7"/>
      <c r="IR180" s="7"/>
      <c r="IS180" s="7"/>
      <c r="IT180" s="55"/>
      <c r="IU180" s="7"/>
      <c r="IV180" s="7"/>
    </row>
    <row r="181" spans="1:256" s="11" customFormat="1" ht="12.75" customHeight="1">
      <c r="A181" s="19"/>
      <c r="B181" s="19"/>
      <c r="C181" s="174" t="s">
        <v>4350</v>
      </c>
      <c r="D181" s="19"/>
      <c r="E181" s="7"/>
      <c r="F181" s="7"/>
      <c r="G181" s="7"/>
      <c r="H181" s="7"/>
      <c r="I181" s="8"/>
      <c r="J181" s="19" t="str">
        <f t="shared" ca="1" si="6"/>
        <v/>
      </c>
      <c r="K181" s="7"/>
      <c r="L181" s="7"/>
      <c r="M181" s="7"/>
      <c r="N181" s="7"/>
      <c r="O181" s="7"/>
      <c r="P181" s="7"/>
      <c r="Q181" s="29"/>
      <c r="R181" s="30"/>
      <c r="S181" s="7"/>
      <c r="T181" s="7"/>
      <c r="U181" s="31"/>
      <c r="V181" s="7"/>
      <c r="W181" s="7"/>
      <c r="X181" s="7"/>
      <c r="Y181" s="7"/>
      <c r="Z181" s="7"/>
      <c r="AA181" s="7"/>
      <c r="AB181" s="7"/>
      <c r="AC181" s="7"/>
      <c r="AD181" s="7"/>
      <c r="AE181" s="7"/>
      <c r="AF181" s="7"/>
      <c r="AG181" s="7"/>
      <c r="AH181" s="7"/>
      <c r="AI181" s="7"/>
      <c r="AJ181" s="122"/>
      <c r="AK181" s="41"/>
      <c r="AL181" s="52"/>
      <c r="AM181" s="20"/>
      <c r="AN181" s="20"/>
      <c r="AO181" s="20"/>
      <c r="AP181" s="20"/>
      <c r="AQ181" s="7"/>
      <c r="AR181" s="7"/>
      <c r="AS181" s="7"/>
      <c r="AT181" s="7"/>
      <c r="AU181" s="7"/>
      <c r="AV181" s="7"/>
      <c r="AW181" s="7"/>
      <c r="AX181" s="7"/>
      <c r="AY181" s="7"/>
      <c r="AZ181" s="7"/>
      <c r="BA181" s="7"/>
      <c r="BB181" s="7"/>
      <c r="BC181" s="7"/>
      <c r="BD181" s="55"/>
      <c r="BE181" s="55"/>
      <c r="BF181" s="7"/>
      <c r="BG181" s="7"/>
      <c r="BH181" s="7"/>
      <c r="BI181" s="7"/>
      <c r="BJ181" s="7"/>
      <c r="BK181" s="7"/>
      <c r="BL181" s="7"/>
      <c r="BM181" s="7"/>
      <c r="BN181" s="61"/>
      <c r="BO181" s="62"/>
      <c r="BP181" s="50"/>
      <c r="BQ181" s="20"/>
      <c r="BR181" s="7"/>
      <c r="BS181" s="7"/>
      <c r="BT181" s="7"/>
      <c r="BU181" s="7"/>
      <c r="BV181" s="55"/>
      <c r="BW181" s="7"/>
      <c r="BX181" s="55"/>
      <c r="BY181" s="7"/>
      <c r="BZ181" s="7"/>
      <c r="CA181" s="7"/>
      <c r="CB181" s="7"/>
      <c r="CC181" s="55"/>
      <c r="CD181" s="104"/>
      <c r="CE181" s="105"/>
      <c r="CF181" s="7"/>
      <c r="CG181" s="7"/>
      <c r="CH181" s="7"/>
      <c r="CI181" s="7"/>
      <c r="CJ181" s="7"/>
      <c r="CK181" s="7"/>
      <c r="CL181" s="7"/>
      <c r="CM181" s="7"/>
      <c r="CN181" s="7"/>
      <c r="CO181" s="7"/>
      <c r="CP181" s="55"/>
      <c r="CQ181" s="7"/>
      <c r="CR181" s="7"/>
      <c r="CS181" s="130"/>
      <c r="CT181" s="7"/>
      <c r="CU181" s="7"/>
      <c r="CV181" s="7"/>
      <c r="CW181" s="7"/>
      <c r="CX181" s="7"/>
      <c r="CY181" s="73"/>
      <c r="CZ181" s="7"/>
      <c r="DA181" s="7"/>
      <c r="DB181" s="7"/>
      <c r="DC181" s="48"/>
      <c r="DD181" s="7"/>
      <c r="DE181" s="7"/>
      <c r="DF181" s="7"/>
      <c r="DG181" s="7"/>
      <c r="DH181" s="7"/>
      <c r="DI181" s="7"/>
      <c r="DJ181" s="7"/>
      <c r="DK181" s="7"/>
      <c r="DL181" s="74"/>
      <c r="DM181" s="7"/>
      <c r="DN181" s="7"/>
      <c r="DO181" s="7"/>
      <c r="DP181" s="7"/>
      <c r="DQ181" s="58"/>
      <c r="DR181" s="7"/>
      <c r="DS181" s="7"/>
      <c r="DT181" s="7"/>
      <c r="DU181" s="73"/>
      <c r="DV181" s="73"/>
      <c r="DW181" s="152"/>
      <c r="DX181" s="7"/>
      <c r="DY181" s="7"/>
      <c r="DZ181" s="7"/>
      <c r="EA181" s="7"/>
      <c r="EB181" s="7"/>
      <c r="EC181" s="7"/>
      <c r="ED181" s="7"/>
      <c r="EE181" s="7"/>
      <c r="EF181" s="7"/>
      <c r="EG181" s="7"/>
      <c r="EH181" s="7"/>
      <c r="EI181" s="7"/>
      <c r="EJ181" s="7"/>
      <c r="EK181" s="7"/>
      <c r="EL181" s="7"/>
      <c r="EM181" s="7"/>
      <c r="EN181" s="19"/>
      <c r="EO181" s="7"/>
      <c r="EP181" s="7"/>
      <c r="EQ181" s="7"/>
      <c r="ER181" s="7"/>
      <c r="ES181" s="7"/>
      <c r="ET181" s="55"/>
      <c r="EU181" s="7"/>
      <c r="EV181" s="7"/>
      <c r="EW181" s="7"/>
      <c r="EX181" s="7"/>
      <c r="EY181" s="7"/>
      <c r="EZ181" s="7"/>
      <c r="FA181" s="7"/>
      <c r="FB181" s="7"/>
      <c r="FC181" s="55"/>
      <c r="FD181" s="55"/>
      <c r="FE181" s="55"/>
      <c r="FF181" s="7"/>
      <c r="FG181" s="7"/>
      <c r="FH181" s="7"/>
      <c r="FI181" s="7"/>
      <c r="FJ181" s="7"/>
      <c r="FK181" s="7"/>
      <c r="FL181" s="7"/>
      <c r="FM181" s="7"/>
      <c r="FN181" s="7"/>
      <c r="FO181" s="7"/>
      <c r="FP181" s="7"/>
      <c r="FQ181" s="7"/>
      <c r="FR181" s="7"/>
      <c r="FS181" s="77"/>
      <c r="FT181" s="30"/>
      <c r="FU181" s="7"/>
      <c r="FV181" s="55"/>
      <c r="FW181" s="55"/>
      <c r="FX181" s="7"/>
      <c r="FY181" s="7"/>
      <c r="FZ181" s="7"/>
      <c r="GA181" s="7"/>
      <c r="GB181" s="7"/>
      <c r="GC181" s="7"/>
      <c r="GD181" s="103"/>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29"/>
      <c r="IF181" s="7"/>
      <c r="IG181" s="7"/>
      <c r="IH181" s="7"/>
      <c r="II181" s="7"/>
      <c r="IJ181" s="7"/>
      <c r="IK181" s="7"/>
      <c r="IL181" s="7"/>
      <c r="IM181" s="7"/>
      <c r="IN181" s="7"/>
      <c r="IO181" s="7"/>
      <c r="IP181" s="7"/>
      <c r="IQ181" s="7"/>
      <c r="IR181" s="7"/>
      <c r="IS181" s="7"/>
      <c r="IT181" s="55"/>
      <c r="IU181" s="7"/>
      <c r="IV181" s="7"/>
    </row>
    <row r="182" spans="1:256" s="11" customFormat="1" ht="12.75" customHeight="1">
      <c r="A182" s="19"/>
      <c r="B182" s="19"/>
      <c r="C182" s="174" t="s">
        <v>1352</v>
      </c>
      <c r="D182" s="19"/>
      <c r="E182" s="7"/>
      <c r="F182" s="7"/>
      <c r="G182" s="7"/>
      <c r="H182" s="7"/>
      <c r="I182" s="8"/>
      <c r="J182" s="19" t="str">
        <f t="shared" ca="1" si="6"/>
        <v/>
      </c>
      <c r="K182" s="7"/>
      <c r="L182" s="7"/>
      <c r="M182" s="7"/>
      <c r="N182" s="7"/>
      <c r="O182" s="7"/>
      <c r="P182" s="7"/>
      <c r="Q182" s="29"/>
      <c r="R182" s="30"/>
      <c r="S182" s="7"/>
      <c r="T182" s="7"/>
      <c r="U182" s="31"/>
      <c r="V182" s="7"/>
      <c r="W182" s="7"/>
      <c r="X182" s="7"/>
      <c r="Y182" s="7"/>
      <c r="Z182" s="7"/>
      <c r="AA182" s="7"/>
      <c r="AB182" s="7"/>
      <c r="AC182" s="7"/>
      <c r="AD182" s="7"/>
      <c r="AE182" s="7"/>
      <c r="AF182" s="7"/>
      <c r="AG182" s="7"/>
      <c r="AH182" s="7"/>
      <c r="AI182" s="7"/>
      <c r="AJ182" s="122"/>
      <c r="AK182" s="41"/>
      <c r="AL182" s="52"/>
      <c r="AM182" s="20"/>
      <c r="AN182" s="20"/>
      <c r="AO182" s="20"/>
      <c r="AP182" s="20"/>
      <c r="AQ182" s="7"/>
      <c r="AR182" s="7"/>
      <c r="AS182" s="7"/>
      <c r="AT182" s="7"/>
      <c r="AU182" s="7"/>
      <c r="AV182" s="7"/>
      <c r="AW182" s="7"/>
      <c r="AX182" s="7"/>
      <c r="AY182" s="7"/>
      <c r="AZ182" s="7"/>
      <c r="BA182" s="7"/>
      <c r="BB182" s="7"/>
      <c r="BC182" s="7"/>
      <c r="BD182" s="55"/>
      <c r="BE182" s="55"/>
      <c r="BF182" s="7"/>
      <c r="BG182" s="7"/>
      <c r="BH182" s="7"/>
      <c r="BI182" s="7"/>
      <c r="BJ182" s="7"/>
      <c r="BK182" s="7"/>
      <c r="BL182" s="7"/>
      <c r="BM182" s="7"/>
      <c r="BN182" s="61"/>
      <c r="BO182" s="62"/>
      <c r="BP182" s="50"/>
      <c r="BQ182" s="20"/>
      <c r="BR182" s="7"/>
      <c r="BS182" s="7"/>
      <c r="BT182" s="7"/>
      <c r="BU182" s="7"/>
      <c r="BV182" s="55"/>
      <c r="BW182" s="7"/>
      <c r="BX182" s="55"/>
      <c r="BY182" s="7"/>
      <c r="BZ182" s="7"/>
      <c r="CA182" s="7"/>
      <c r="CB182" s="7"/>
      <c r="CC182" s="55"/>
      <c r="CD182" s="104"/>
      <c r="CE182" s="105"/>
      <c r="CF182" s="7"/>
      <c r="CG182" s="7"/>
      <c r="CH182" s="7"/>
      <c r="CI182" s="7"/>
      <c r="CJ182" s="7"/>
      <c r="CK182" s="7"/>
      <c r="CL182" s="7"/>
      <c r="CM182" s="7"/>
      <c r="CN182" s="7"/>
      <c r="CO182" s="7"/>
      <c r="CP182" s="55"/>
      <c r="CQ182" s="7"/>
      <c r="CR182" s="7"/>
      <c r="CS182" s="130"/>
      <c r="CT182" s="7"/>
      <c r="CU182" s="7"/>
      <c r="CV182" s="7"/>
      <c r="CW182" s="7"/>
      <c r="CX182" s="7"/>
      <c r="CY182" s="73"/>
      <c r="CZ182" s="7"/>
      <c r="DA182" s="7"/>
      <c r="DB182" s="7"/>
      <c r="DC182" s="48"/>
      <c r="DD182" s="7"/>
      <c r="DE182" s="7"/>
      <c r="DF182" s="7"/>
      <c r="DG182" s="7"/>
      <c r="DH182" s="7"/>
      <c r="DI182" s="7"/>
      <c r="DJ182" s="7"/>
      <c r="DK182" s="7"/>
      <c r="DL182" s="74"/>
      <c r="DM182" s="7"/>
      <c r="DN182" s="7"/>
      <c r="DO182" s="7"/>
      <c r="DP182" s="7"/>
      <c r="DQ182" s="58"/>
      <c r="DR182" s="7"/>
      <c r="DS182" s="7"/>
      <c r="DT182" s="7"/>
      <c r="DU182" s="73"/>
      <c r="DV182" s="73"/>
      <c r="DW182" s="152"/>
      <c r="DX182" s="7"/>
      <c r="DY182" s="7"/>
      <c r="DZ182" s="7"/>
      <c r="EA182" s="7"/>
      <c r="EB182" s="7"/>
      <c r="EC182" s="7"/>
      <c r="ED182" s="7"/>
      <c r="EE182" s="7"/>
      <c r="EF182" s="7"/>
      <c r="EG182" s="7"/>
      <c r="EH182" s="7"/>
      <c r="EI182" s="7"/>
      <c r="EJ182" s="7"/>
      <c r="EK182" s="7"/>
      <c r="EL182" s="7"/>
      <c r="EM182" s="7"/>
      <c r="EN182" s="19"/>
      <c r="EO182" s="7"/>
      <c r="EP182" s="7"/>
      <c r="EQ182" s="7"/>
      <c r="ER182" s="7"/>
      <c r="ES182" s="7"/>
      <c r="ET182" s="55"/>
      <c r="EU182" s="7"/>
      <c r="EV182" s="7"/>
      <c r="EW182" s="7"/>
      <c r="EX182" s="7"/>
      <c r="EY182" s="7"/>
      <c r="EZ182" s="7"/>
      <c r="FA182" s="7"/>
      <c r="FB182" s="7"/>
      <c r="FC182" s="55"/>
      <c r="FD182" s="55"/>
      <c r="FE182" s="55"/>
      <c r="FF182" s="7"/>
      <c r="FG182" s="7"/>
      <c r="FH182" s="7"/>
      <c r="FI182" s="7"/>
      <c r="FJ182" s="7"/>
      <c r="FK182" s="7"/>
      <c r="FL182" s="7"/>
      <c r="FM182" s="7"/>
      <c r="FN182" s="7"/>
      <c r="FO182" s="7"/>
      <c r="FP182" s="7"/>
      <c r="FQ182" s="7"/>
      <c r="FR182" s="7"/>
      <c r="FS182" s="77"/>
      <c r="FT182" s="30"/>
      <c r="FU182" s="7"/>
      <c r="FV182" s="55"/>
      <c r="FW182" s="55"/>
      <c r="FX182" s="7"/>
      <c r="FY182" s="7"/>
      <c r="FZ182" s="7"/>
      <c r="GA182" s="7"/>
      <c r="GB182" s="7"/>
      <c r="GC182" s="7"/>
      <c r="GD182" s="103"/>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29"/>
      <c r="IF182" s="7"/>
      <c r="IG182" s="7"/>
      <c r="IH182" s="7"/>
      <c r="II182" s="7"/>
      <c r="IJ182" s="7"/>
      <c r="IK182" s="7"/>
      <c r="IL182" s="7"/>
      <c r="IM182" s="7"/>
      <c r="IN182" s="7"/>
      <c r="IO182" s="7"/>
      <c r="IP182" s="7"/>
      <c r="IQ182" s="7"/>
      <c r="IR182" s="7"/>
      <c r="IS182" s="7"/>
      <c r="IT182" s="55"/>
      <c r="IU182" s="7"/>
      <c r="IV182" s="7"/>
    </row>
    <row r="183" spans="1:256" s="11" customFormat="1" ht="12.75" customHeight="1">
      <c r="A183" s="19"/>
      <c r="B183" s="19"/>
      <c r="C183" s="174" t="s">
        <v>5324</v>
      </c>
      <c r="D183" s="19"/>
      <c r="E183" s="7"/>
      <c r="F183" s="7"/>
      <c r="G183" s="7"/>
      <c r="H183" s="7"/>
      <c r="I183" s="8"/>
      <c r="J183" s="19" t="str">
        <f t="shared" ca="1" si="6"/>
        <v/>
      </c>
      <c r="K183" s="7"/>
      <c r="L183" s="7"/>
      <c r="M183" s="7"/>
      <c r="N183" s="7"/>
      <c r="O183" s="7"/>
      <c r="P183" s="7"/>
      <c r="Q183" s="29"/>
      <c r="R183" s="30"/>
      <c r="S183" s="7"/>
      <c r="T183" s="7"/>
      <c r="U183" s="31"/>
      <c r="V183" s="7"/>
      <c r="W183" s="7"/>
      <c r="X183" s="7"/>
      <c r="Y183" s="7"/>
      <c r="Z183" s="7"/>
      <c r="AA183" s="7"/>
      <c r="AB183" s="7"/>
      <c r="AC183" s="7"/>
      <c r="AD183" s="7"/>
      <c r="AE183" s="7"/>
      <c r="AF183" s="7"/>
      <c r="AG183" s="7"/>
      <c r="AH183" s="7"/>
      <c r="AI183" s="7"/>
      <c r="AJ183" s="122"/>
      <c r="AK183" s="41"/>
      <c r="AL183" s="52"/>
      <c r="AM183" s="20"/>
      <c r="AN183" s="20"/>
      <c r="AO183" s="20"/>
      <c r="AP183" s="20"/>
      <c r="AQ183" s="7"/>
      <c r="AR183" s="7"/>
      <c r="AS183" s="7"/>
      <c r="AT183" s="7"/>
      <c r="AU183" s="7"/>
      <c r="AV183" s="7"/>
      <c r="AW183" s="7"/>
      <c r="AX183" s="7"/>
      <c r="AY183" s="7"/>
      <c r="AZ183" s="7"/>
      <c r="BA183" s="7"/>
      <c r="BB183" s="7"/>
      <c r="BC183" s="7"/>
      <c r="BD183" s="55"/>
      <c r="BE183" s="55"/>
      <c r="BF183" s="7"/>
      <c r="BG183" s="7"/>
      <c r="BH183" s="7"/>
      <c r="BI183" s="7"/>
      <c r="BJ183" s="7"/>
      <c r="BK183" s="7"/>
      <c r="BL183" s="7"/>
      <c r="BM183" s="7"/>
      <c r="BN183" s="61"/>
      <c r="BO183" s="62"/>
      <c r="BP183" s="50"/>
      <c r="BQ183" s="20"/>
      <c r="BR183" s="7"/>
      <c r="BS183" s="7"/>
      <c r="BT183" s="7"/>
      <c r="BU183" s="7"/>
      <c r="BV183" s="55"/>
      <c r="BW183" s="7"/>
      <c r="BX183" s="55"/>
      <c r="BY183" s="7"/>
      <c r="BZ183" s="7"/>
      <c r="CA183" s="7"/>
      <c r="CB183" s="7"/>
      <c r="CC183" s="55"/>
      <c r="CD183" s="104"/>
      <c r="CE183" s="105"/>
      <c r="CF183" s="7"/>
      <c r="CG183" s="7"/>
      <c r="CH183" s="7"/>
      <c r="CI183" s="7"/>
      <c r="CJ183" s="7"/>
      <c r="CK183" s="7"/>
      <c r="CL183" s="7"/>
      <c r="CM183" s="7"/>
      <c r="CN183" s="7"/>
      <c r="CO183" s="7"/>
      <c r="CP183" s="55"/>
      <c r="CQ183" s="7"/>
      <c r="CR183" s="7"/>
      <c r="CS183" s="130"/>
      <c r="CT183" s="7"/>
      <c r="CU183" s="7"/>
      <c r="CV183" s="7"/>
      <c r="CW183" s="7"/>
      <c r="CX183" s="7"/>
      <c r="CY183" s="73"/>
      <c r="CZ183" s="7"/>
      <c r="DA183" s="7"/>
      <c r="DB183" s="7"/>
      <c r="DC183" s="48"/>
      <c r="DD183" s="7"/>
      <c r="DE183" s="7"/>
      <c r="DF183" s="7"/>
      <c r="DG183" s="7"/>
      <c r="DH183" s="7"/>
      <c r="DI183" s="7"/>
      <c r="DJ183" s="7"/>
      <c r="DK183" s="7"/>
      <c r="DL183" s="74"/>
      <c r="DM183" s="7"/>
      <c r="DN183" s="7"/>
      <c r="DO183" s="7"/>
      <c r="DP183" s="7"/>
      <c r="DQ183" s="58"/>
      <c r="DR183" s="7"/>
      <c r="DS183" s="7"/>
      <c r="DT183" s="7"/>
      <c r="DU183" s="73"/>
      <c r="DV183" s="73"/>
      <c r="DW183" s="152"/>
      <c r="DX183" s="7"/>
      <c r="DY183" s="7"/>
      <c r="DZ183" s="7"/>
      <c r="EA183" s="7"/>
      <c r="EB183" s="7"/>
      <c r="EC183" s="7"/>
      <c r="ED183" s="7"/>
      <c r="EE183" s="7"/>
      <c r="EF183" s="7"/>
      <c r="EG183" s="7"/>
      <c r="EH183" s="7"/>
      <c r="EI183" s="7"/>
      <c r="EJ183" s="7"/>
      <c r="EK183" s="7"/>
      <c r="EL183" s="7"/>
      <c r="EM183" s="7"/>
      <c r="EN183" s="19"/>
      <c r="EO183" s="7"/>
      <c r="EP183" s="7"/>
      <c r="EQ183" s="7"/>
      <c r="ER183" s="7"/>
      <c r="ES183" s="7"/>
      <c r="ET183" s="55"/>
      <c r="EU183" s="7"/>
      <c r="EV183" s="7"/>
      <c r="EW183" s="7"/>
      <c r="EX183" s="7"/>
      <c r="EY183" s="7"/>
      <c r="EZ183" s="7"/>
      <c r="FA183" s="7"/>
      <c r="FB183" s="7"/>
      <c r="FC183" s="55"/>
      <c r="FD183" s="55"/>
      <c r="FE183" s="55"/>
      <c r="FF183" s="7"/>
      <c r="FG183" s="7"/>
      <c r="FH183" s="7"/>
      <c r="FI183" s="7"/>
      <c r="FJ183" s="7"/>
      <c r="FK183" s="7"/>
      <c r="FL183" s="7"/>
      <c r="FM183" s="7"/>
      <c r="FN183" s="7"/>
      <c r="FO183" s="7"/>
      <c r="FP183" s="7"/>
      <c r="FQ183" s="7"/>
      <c r="FR183" s="7"/>
      <c r="FS183" s="77"/>
      <c r="FT183" s="30"/>
      <c r="FU183" s="7"/>
      <c r="FV183" s="55"/>
      <c r="FW183" s="55"/>
      <c r="FX183" s="7"/>
      <c r="FY183" s="7"/>
      <c r="FZ183" s="7"/>
      <c r="GA183" s="7"/>
      <c r="GB183" s="7"/>
      <c r="GC183" s="7"/>
      <c r="GD183" s="103"/>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29"/>
      <c r="IF183" s="7"/>
      <c r="IG183" s="7"/>
      <c r="IH183" s="7"/>
      <c r="II183" s="7"/>
      <c r="IJ183" s="7"/>
      <c r="IK183" s="7"/>
      <c r="IL183" s="7"/>
      <c r="IM183" s="7"/>
      <c r="IN183" s="7"/>
      <c r="IO183" s="7"/>
      <c r="IP183" s="7"/>
      <c r="IQ183" s="7"/>
      <c r="IR183" s="7"/>
      <c r="IS183" s="7"/>
      <c r="IT183" s="55"/>
      <c r="IU183" s="7"/>
      <c r="IV183" s="7"/>
    </row>
    <row r="184" spans="1:256" s="136" customFormat="1" ht="13.5" customHeight="1" thickBot="1">
      <c r="C184" s="142">
        <f ca="1">COUNTA(C88:C236)</f>
        <v>108</v>
      </c>
      <c r="D184" s="145">
        <f>COUNTA(SurveyDATA!D218:D417)</f>
        <v>191</v>
      </c>
      <c r="E184" s="145">
        <f>COUNTA(SurveyDATA!E218:E417)</f>
        <v>200</v>
      </c>
      <c r="F184" s="145">
        <f>COUNTA(SurveyDATA!F218:F417)</f>
        <v>150</v>
      </c>
      <c r="G184" s="145">
        <f>COUNTA(SurveyDATA!G218:G417)</f>
        <v>152</v>
      </c>
      <c r="H184" s="145">
        <f>COUNTA(SurveyDATA!H218:H417)</f>
        <v>6</v>
      </c>
      <c r="I184" s="145">
        <f>COUNTA(SurveyDATA!I218:I417)</f>
        <v>72</v>
      </c>
      <c r="J184" s="145">
        <f>COUNTA(SurveyDATA!J218:J417)</f>
        <v>123</v>
      </c>
      <c r="K184" s="145">
        <f>COUNTA(SurveyDATA!K218:K417)</f>
        <v>31</v>
      </c>
      <c r="L184" s="145">
        <f>COUNTA(SurveyDATA!L218:L417)</f>
        <v>31</v>
      </c>
      <c r="M184" s="145">
        <f>COUNTA(SurveyDATA!M218:M417)</f>
        <v>0</v>
      </c>
      <c r="N184" s="145">
        <f>COUNTA(SurveyDATA!N218:N417)</f>
        <v>12</v>
      </c>
      <c r="O184" s="145">
        <f>COUNTA(SurveyDATA!O218:O417)</f>
        <v>12</v>
      </c>
      <c r="P184" s="145">
        <f>COUNTA(SurveyDATA!P218:P417)</f>
        <v>117</v>
      </c>
      <c r="Q184" s="145">
        <f>COUNTA(SurveyDATA!Q218:Q417)</f>
        <v>87</v>
      </c>
      <c r="R184" s="145">
        <f>COUNTA(SurveyDATA!R341:R417)</f>
        <v>33</v>
      </c>
      <c r="S184" s="145">
        <f>COUNTA(SurveyDATA!S343:S417)</f>
        <v>41</v>
      </c>
      <c r="T184" s="145">
        <f>COUNTA(SurveyDATA!T218:T417)</f>
        <v>10</v>
      </c>
      <c r="U184" s="145">
        <f>COUNTA(SurveyDATA!U218:U417)</f>
        <v>77</v>
      </c>
      <c r="V184" s="145">
        <f>COUNTA(SurveyDATA!V218:V417)</f>
        <v>92</v>
      </c>
      <c r="W184" s="145">
        <f>COUNTA(SurveyDATA!Y218:Y417)</f>
        <v>87</v>
      </c>
      <c r="X184" s="145">
        <f>COUNTA(SurveyDATA!Z218:Z417)</f>
        <v>83</v>
      </c>
      <c r="Y184" s="145">
        <f>COUNTA(SurveyDATA!AA218:AA417)</f>
        <v>85</v>
      </c>
      <c r="Z184" s="145">
        <f>COUNTA(SurveyDATA!AB218:AB417)</f>
        <v>81</v>
      </c>
      <c r="AA184" s="145">
        <f>COUNTA(SurveyDATA!AC218:AC417)</f>
        <v>42</v>
      </c>
      <c r="AB184" s="145">
        <f>COUNTA(SurveyDATA!AD218:AD417)</f>
        <v>28</v>
      </c>
      <c r="AC184" s="145">
        <f>COUNTA(SurveyDATA!AE218:AE417)</f>
        <v>25</v>
      </c>
      <c r="AD184" s="145">
        <f>COUNTA(SurveyDATA!AF218:AF417)</f>
        <v>61</v>
      </c>
      <c r="AE184" s="145">
        <f>COUNTA(SurveyDATA!AG218:AG417)</f>
        <v>113</v>
      </c>
      <c r="AF184" s="145">
        <f>COUNTA(SurveyDATA!AH218:AH417)</f>
        <v>113</v>
      </c>
      <c r="AG184" s="145">
        <f>COUNTA(SurveyDATA!AI218:AI417)</f>
        <v>56</v>
      </c>
      <c r="AH184" s="145">
        <f>COUNTA(SurveyDATA!AJ218:AJ417)</f>
        <v>56</v>
      </c>
      <c r="AI184" s="145">
        <f>COUNTA(SurveyDATA!AK218:AK417)</f>
        <v>186</v>
      </c>
      <c r="AJ184" s="145">
        <f>COUNTA(SurveyDATA!AL218:AL417)</f>
        <v>100</v>
      </c>
      <c r="AK184" s="145">
        <f>COUNTA(SurveyDATA!AM218:AM417)</f>
        <v>99</v>
      </c>
      <c r="AL184" s="145">
        <f>COUNTA(SurveyDATA!AN218:AN417)</f>
        <v>99</v>
      </c>
      <c r="AM184" s="145">
        <f>COUNTA(SurveyDATA!AO218:AO417)</f>
        <v>130</v>
      </c>
      <c r="AN184" s="145">
        <f>COUNTA(SurveyDATA!AP218:AP417)</f>
        <v>1</v>
      </c>
      <c r="AO184" s="145">
        <f>COUNTA(SurveyDATA!AQ218:AQ417)</f>
        <v>0</v>
      </c>
      <c r="AP184" s="145">
        <f>COUNTA(SurveyDATA!AR218:AR417)</f>
        <v>0</v>
      </c>
      <c r="AQ184" s="145">
        <f>COUNTA(SurveyDATA!AS218:AS417)</f>
        <v>43</v>
      </c>
      <c r="AR184" s="145">
        <f>COUNTA(SurveyDATA!AT218:AT417)</f>
        <v>40</v>
      </c>
      <c r="AS184" s="145">
        <f>COUNTA(SurveyDATA!AU218:AU417)</f>
        <v>4</v>
      </c>
      <c r="AT184" s="145">
        <f>COUNTA(SurveyDATA!AV218:AV417)</f>
        <v>10</v>
      </c>
      <c r="AU184" s="145">
        <f>COUNTA(SurveyDATA!AW218:AW417)</f>
        <v>0</v>
      </c>
      <c r="AV184" s="145">
        <f>COUNTA(SurveyDATA!AX218:AX417)</f>
        <v>0</v>
      </c>
      <c r="AW184" s="145">
        <f>COUNTA(SurveyDATA!AY218:AY417)</f>
        <v>1</v>
      </c>
      <c r="AX184" s="145">
        <f>COUNTA(SurveyDATA!AZ218:AZ417)</f>
        <v>0</v>
      </c>
      <c r="AY184" s="145">
        <f>COUNTA(SurveyDATA!BA218:BA417)</f>
        <v>0</v>
      </c>
      <c r="AZ184" s="145">
        <f>COUNTA(SurveyDATA!BB218:BB417)</f>
        <v>3</v>
      </c>
      <c r="BA184" s="145">
        <f>COUNTA(SurveyDATA!BC218:BC417)</f>
        <v>41</v>
      </c>
      <c r="BB184" s="145">
        <f>COUNTA(SurveyDATA!BD218:BD417)</f>
        <v>34</v>
      </c>
      <c r="BC184" s="145">
        <f>COUNTA(SurveyDATA!BE218:BE417)</f>
        <v>19</v>
      </c>
      <c r="BD184" s="145">
        <f>COUNTA(SurveyDATA!BF218:BF417)</f>
        <v>3</v>
      </c>
      <c r="BE184" s="145">
        <f>COUNTA(SurveyDATA!BG218:BG417)</f>
        <v>3</v>
      </c>
      <c r="BF184" s="145">
        <f>COUNTA(SurveyDATA!BH218:BH417)</f>
        <v>6</v>
      </c>
      <c r="BG184" s="145">
        <f>COUNTA(SurveyDATA!BI218:BI417)</f>
        <v>5</v>
      </c>
      <c r="BH184" s="145">
        <f>COUNTA(SurveyDATA!BJ218:BJ417)</f>
        <v>2</v>
      </c>
      <c r="BI184" s="145">
        <f>COUNTA(SurveyDATA!BK218:BK417)</f>
        <v>105</v>
      </c>
      <c r="BJ184" s="145">
        <f>COUNTA(SurveyDATA!BL218:BL417)</f>
        <v>103</v>
      </c>
      <c r="BK184" s="145">
        <f>COUNTA(SurveyDATA!BM218:BM417)</f>
        <v>167</v>
      </c>
      <c r="BL184" s="145">
        <f>COUNTA(SurveyDATA!BN218:BN417)</f>
        <v>167</v>
      </c>
      <c r="BM184" s="145">
        <f>COUNTA(SurveyDATA!BO218:BO417)</f>
        <v>103</v>
      </c>
      <c r="BN184" s="145">
        <f>COUNTA(SurveyDATA!BP218:BP417)</f>
        <v>116</v>
      </c>
      <c r="BO184" s="145">
        <f>COUNTA(SurveyDATA!BQ218:BQ417)</f>
        <v>116</v>
      </c>
      <c r="BP184" s="145">
        <f>COUNTA(SurveyDATA!BR218:BR417)</f>
        <v>116</v>
      </c>
      <c r="BQ184" s="145">
        <f>COUNTA(SurveyDATA!BS218:BS417)</f>
        <v>176</v>
      </c>
      <c r="BR184" s="145">
        <f>COUNTA(SurveyDATA!BT218:BT417)</f>
        <v>103</v>
      </c>
      <c r="BS184" s="145">
        <f>COUNTA(SurveyDATA!BU218:BU417)</f>
        <v>98</v>
      </c>
      <c r="BT184" s="145">
        <f>COUNTA(SurveyDATA!BV218:BV417)</f>
        <v>101</v>
      </c>
      <c r="BU184" s="145">
        <f>COUNTA(SurveyDATA!BW218:BW417)</f>
        <v>35</v>
      </c>
      <c r="BV184" s="145">
        <f>COUNTA(SurveyDATA!BX218:BX417)</f>
        <v>13</v>
      </c>
      <c r="BW184" s="145">
        <f>COUNTA(SurveyDATA!BY218:BY417)</f>
        <v>2</v>
      </c>
      <c r="BX184" s="145">
        <f>COUNTA(SurveyDATA!BZ218:BZ417)</f>
        <v>0</v>
      </c>
      <c r="BY184" s="145">
        <f>COUNTA(SurveyDATA!CA218:CA417)</f>
        <v>0</v>
      </c>
      <c r="BZ184" s="145">
        <f>COUNTA(SurveyDATA!CB218:CB417)</f>
        <v>40</v>
      </c>
      <c r="CA184" s="145">
        <f>COUNTA(SurveyDATA!CC218:CC417)</f>
        <v>25</v>
      </c>
      <c r="CB184" s="145">
        <f>COUNTA(SurveyDATA!CD218:CD417)</f>
        <v>0</v>
      </c>
      <c r="CC184" s="145">
        <f>COUNTA(SurveyDATA!CE218:CE417)</f>
        <v>0</v>
      </c>
      <c r="CD184" s="145">
        <f>COUNTA(SurveyDATA!CF218:CF417)</f>
        <v>27</v>
      </c>
      <c r="CE184" s="145">
        <f>COUNTA(SurveyDATA!CG218:CG417)</f>
        <v>27</v>
      </c>
      <c r="CF184" s="145">
        <f>COUNTA(SurveyDATA!CH218:CH417)</f>
        <v>27</v>
      </c>
      <c r="CG184" s="145">
        <f>COUNTA(SurveyDATA!CI218:CI417)</f>
        <v>9</v>
      </c>
      <c r="CH184" s="145">
        <f>COUNTA(SurveyDATA!CJ218:CJ417)</f>
        <v>12</v>
      </c>
      <c r="CI184" s="145">
        <f>COUNTA(SurveyDATA!CK218:CK417)</f>
        <v>17</v>
      </c>
      <c r="CJ184" s="145">
        <f>COUNTA(SurveyDATA!CL218:CL417)</f>
        <v>18</v>
      </c>
      <c r="CK184" s="145">
        <f>COUNTA(SurveyDATA!CM218:CM417)</f>
        <v>9</v>
      </c>
      <c r="CL184" s="145">
        <f>COUNTA(SurveyDATA!CN218:CN417)</f>
        <v>0</v>
      </c>
      <c r="CM184" s="145">
        <f>COUNTA(SurveyDATA!CO218:CO417)</f>
        <v>15</v>
      </c>
      <c r="CN184" s="145">
        <f>COUNTA(SurveyDATA!CP218:CP417)</f>
        <v>0</v>
      </c>
      <c r="CO184" s="145">
        <f>COUNTA(SurveyDATA!CQ218:CQ417)</f>
        <v>0</v>
      </c>
      <c r="CP184" s="145">
        <f>COUNTA(SurveyDATA!CR218:CR417)</f>
        <v>0</v>
      </c>
      <c r="CQ184" s="145">
        <f>COUNTA(SurveyDATA!CS218:CS417)</f>
        <v>2</v>
      </c>
      <c r="CR184" s="145">
        <f>COUNTA(SurveyDATA!CT218:CT417)</f>
        <v>0</v>
      </c>
      <c r="CS184" s="145">
        <f>COUNTA(SurveyDATA!CU218:CU417)</f>
        <v>1</v>
      </c>
      <c r="CT184" s="145">
        <f>COUNTA(SurveyDATA!CV218:CV417)</f>
        <v>1</v>
      </c>
      <c r="CU184" s="145">
        <f>COUNTA(SurveyDATA!CW218:CW417)</f>
        <v>2</v>
      </c>
      <c r="CV184" s="145">
        <f>COUNTA(SurveyDATA!CX218:CX417)</f>
        <v>0</v>
      </c>
      <c r="CW184" s="145">
        <f>COUNTA(SurveyDATA!CY218:CY417)</f>
        <v>2</v>
      </c>
      <c r="CX184" s="145">
        <f>COUNTA(SurveyDATA!CZ218:CZ417)</f>
        <v>1</v>
      </c>
      <c r="CY184" s="145">
        <f>COUNTA(SurveyDATA!DA218:DA417)</f>
        <v>1</v>
      </c>
      <c r="CZ184" s="145">
        <f>COUNTA(SurveyDATA!DB218:DB417)</f>
        <v>1</v>
      </c>
      <c r="DA184" s="145">
        <f>COUNTA(SurveyDATA!DC218:DC417)</f>
        <v>2</v>
      </c>
      <c r="DB184" s="145">
        <f>COUNTA(SurveyDATA!DD218:DD417)</f>
        <v>2</v>
      </c>
      <c r="DC184" s="145">
        <f>COUNTA(SurveyDATA!DE218:DE417)</f>
        <v>2</v>
      </c>
      <c r="DD184" s="145">
        <f>COUNTA(SurveyDATA!DF218:DF417)</f>
        <v>2</v>
      </c>
      <c r="DE184" s="145">
        <f>COUNTA(SurveyDATA!DG218:DG417)</f>
        <v>1</v>
      </c>
      <c r="DF184" s="145">
        <f>COUNTA(SurveyDATA!DH218:DH417)</f>
        <v>3</v>
      </c>
      <c r="DG184" s="145">
        <f>COUNTA(SurveyDATA!DI218:DI417)</f>
        <v>0</v>
      </c>
      <c r="DH184" s="145">
        <f>COUNTA(SurveyDATA!DJ218:DJ417)</f>
        <v>1</v>
      </c>
      <c r="DI184" s="145">
        <f>COUNTA(SurveyDATA!DK218:DK417)</f>
        <v>0</v>
      </c>
      <c r="DJ184" s="145">
        <f>COUNTA(SurveyDATA!DL218:DL417)</f>
        <v>2</v>
      </c>
      <c r="DK184" s="145">
        <f>COUNTA(SurveyDATA!DM218:DM417)</f>
        <v>3</v>
      </c>
      <c r="DL184" s="145">
        <f>COUNTA(SurveyDATA!DN218:DN417)</f>
        <v>2</v>
      </c>
      <c r="DM184" s="145">
        <f>COUNTA(SurveyDATA!DO218:DO417)</f>
        <v>0</v>
      </c>
      <c r="DN184" s="145">
        <f>COUNTA(SurveyDATA!DP218:DP417)</f>
        <v>3</v>
      </c>
      <c r="DO184" s="145">
        <f>COUNTA(SurveyDATA!DQ218:DQ417)</f>
        <v>1</v>
      </c>
      <c r="DP184" s="145">
        <f>COUNTA(SurveyDATA!DR218:DR417)</f>
        <v>1</v>
      </c>
      <c r="DQ184" s="145">
        <f>COUNTA(SurveyDATA!DS218:DS417)</f>
        <v>1</v>
      </c>
      <c r="DR184" s="145">
        <f>COUNTA(SurveyDATA!DT218:DT417)</f>
        <v>2</v>
      </c>
      <c r="DS184" s="145">
        <f>COUNTA(SurveyDATA!DU218:DU417)</f>
        <v>2</v>
      </c>
      <c r="DT184" s="145">
        <f>COUNTA(SurveyDATA!DV218:DV417)</f>
        <v>2</v>
      </c>
      <c r="DU184" s="145">
        <f>COUNTA(SurveyDATA!DW218:DW417)</f>
        <v>2</v>
      </c>
      <c r="DV184" s="145">
        <f>COUNTA(SurveyDATA!DX218:DX417)</f>
        <v>1</v>
      </c>
      <c r="DW184" s="145">
        <f>COUNTA(SurveyDATA!DY218:DY417)</f>
        <v>2</v>
      </c>
      <c r="DX184" s="145">
        <f>COUNTA(SurveyDATA!DZ218:DZ417)</f>
        <v>0</v>
      </c>
      <c r="DY184" s="145">
        <f>COUNTA(SurveyDATA!EA218:EA417)</f>
        <v>0</v>
      </c>
      <c r="DZ184" s="145">
        <f>COUNTA(SurveyDATA!EB218:EB417)</f>
        <v>0</v>
      </c>
      <c r="EA184" s="145">
        <f>COUNTA(SurveyDATA!EC218:EC417)</f>
        <v>0</v>
      </c>
      <c r="EB184" s="145">
        <f>COUNTA(SurveyDATA!ED218:ED417)</f>
        <v>0</v>
      </c>
      <c r="EC184" s="145">
        <f>COUNTA(SurveyDATA!EE218:EE417)</f>
        <v>0</v>
      </c>
      <c r="ED184" s="145">
        <f>COUNTA(SurveyDATA!EF218:EF417)</f>
        <v>0</v>
      </c>
      <c r="EE184" s="145">
        <f>COUNTA(SurveyDATA!EG218:EG417)</f>
        <v>0</v>
      </c>
      <c r="EF184" s="145">
        <f>COUNTA(SurveyDATA!EH218:EH417)</f>
        <v>0</v>
      </c>
      <c r="EG184" s="145">
        <f>COUNTA(SurveyDATA!EI218:EI417)</f>
        <v>0</v>
      </c>
      <c r="EH184" s="145">
        <f>COUNTA(SurveyDATA!EJ218:EJ417)</f>
        <v>0</v>
      </c>
      <c r="EI184" s="145">
        <f>COUNTA(SurveyDATA!EK218:EK417)</f>
        <v>0</v>
      </c>
      <c r="EJ184" s="145">
        <f>COUNTA(SurveyDATA!EL218:EL417)</f>
        <v>0</v>
      </c>
      <c r="EK184" s="145">
        <f>COUNTA(SurveyDATA!EM218:EM417)</f>
        <v>0</v>
      </c>
      <c r="EL184" s="145">
        <f>COUNTA(SurveyDATA!EN218:EN417)</f>
        <v>0</v>
      </c>
      <c r="EM184" s="145">
        <f>COUNTA(SurveyDATA!EO218:EO417)</f>
        <v>0</v>
      </c>
      <c r="EN184" s="145">
        <f>COUNTA(SurveyDATA!EP218:EP417)</f>
        <v>0</v>
      </c>
      <c r="EO184" s="145">
        <f>COUNTA(SurveyDATA!EQ218:EQ417)</f>
        <v>0</v>
      </c>
      <c r="EP184" s="145">
        <f>COUNTA(SurveyDATA!EZ218:EZ417)</f>
        <v>10</v>
      </c>
      <c r="EQ184" s="145">
        <f>COUNTA(SurveyDATA!FA218:FA417)</f>
        <v>9</v>
      </c>
      <c r="ER184" s="145">
        <f>COUNTA(SurveyDATA!FB218:FB417)</f>
        <v>13</v>
      </c>
      <c r="ES184" s="145">
        <f>COUNTA(SurveyDATA!FC218:FC417)</f>
        <v>1</v>
      </c>
      <c r="ET184" s="145">
        <f>COUNTA(SurveyDATA!FD218:FD417)</f>
        <v>5</v>
      </c>
      <c r="EU184" s="145">
        <f>COUNTA(SurveyDATA!FE218:FE417)</f>
        <v>10</v>
      </c>
      <c r="EV184" s="145">
        <f>COUNTA(SurveyDATA!FF218:FF417)</f>
        <v>15</v>
      </c>
      <c r="EW184" s="145">
        <f>COUNTA(SurveyDATA!FG218:FG417)</f>
        <v>2</v>
      </c>
      <c r="EX184" s="145">
        <f>COUNTA(SurveyDATA!FH218:FH417)</f>
        <v>147</v>
      </c>
      <c r="EY184" s="145">
        <f>COUNTA(SurveyDATA!FI218:FI417)</f>
        <v>134</v>
      </c>
      <c r="EZ184" s="145">
        <f>COUNTA(SurveyDATA!FJ218:FJ417)</f>
        <v>74</v>
      </c>
      <c r="FA184" s="145">
        <f>COUNTA(SurveyDATA!FK218:FK417)</f>
        <v>45</v>
      </c>
      <c r="FB184" s="145">
        <f>COUNTA(SurveyDATA!FL218:FL417)</f>
        <v>37</v>
      </c>
      <c r="FC184" s="145">
        <f>COUNTA(SurveyDATA!FM218:FM417)</f>
        <v>47</v>
      </c>
      <c r="FD184" s="145">
        <f>COUNTA(SurveyDATA!FN218:FN417)</f>
        <v>51</v>
      </c>
      <c r="FE184" s="145">
        <f>COUNTA(SurveyDATA!FO218:FO417)</f>
        <v>50</v>
      </c>
      <c r="FF184" s="145">
        <f>COUNTA(SurveyDATA!FP218:FP417)</f>
        <v>126</v>
      </c>
      <c r="FG184" s="145">
        <f>COUNTA(SurveyDATA!FQ218:FQ417)</f>
        <v>126</v>
      </c>
      <c r="FH184" s="145">
        <f>COUNTA(SurveyDATA!FR218:FR417)</f>
        <v>69</v>
      </c>
      <c r="FI184" s="145">
        <f>COUNTA(SurveyDATA!FS218:FS417)</f>
        <v>36</v>
      </c>
      <c r="FJ184" s="145">
        <f>COUNTA(SurveyDATA!FT218:FT417)</f>
        <v>14</v>
      </c>
      <c r="FK184" s="145">
        <f>COUNTA(SurveyDATA!FU218:FU417)</f>
        <v>2</v>
      </c>
      <c r="FL184" s="145">
        <f>COUNTA(SurveyDATA!FV218:FV417)</f>
        <v>0</v>
      </c>
      <c r="FM184" s="145">
        <f>COUNTA(SurveyDATA!FW218:FW417)</f>
        <v>5</v>
      </c>
      <c r="FN184" s="145">
        <f>COUNTA(SurveyDATA!FX218:FX417)</f>
        <v>5</v>
      </c>
      <c r="FO184" s="145">
        <f>COUNTA(SurveyDATA!FY218:FY417)</f>
        <v>0</v>
      </c>
      <c r="FP184" s="145">
        <f>COUNTA(SurveyDATA!FZ218:FZ417)</f>
        <v>0</v>
      </c>
      <c r="FQ184" s="145">
        <f>COUNTA(SurveyDATA!GA218:GA417)</f>
        <v>1</v>
      </c>
      <c r="FR184" s="145">
        <f>COUNTA(SurveyDATA!GB218:GB417)</f>
        <v>36</v>
      </c>
      <c r="FS184" s="145">
        <f>COUNTA(SurveyDATA!GC218:GC417)</f>
        <v>33</v>
      </c>
      <c r="FT184" s="145">
        <f>COUNTA(SurveyDATA!GD218:GD417)</f>
        <v>20</v>
      </c>
      <c r="FU184" s="145">
        <f>COUNTA(SurveyDATA!GE218:GE417)</f>
        <v>27</v>
      </c>
      <c r="FV184" s="145">
        <f>COUNTA(SurveyDATA!GF218:GF417)</f>
        <v>14</v>
      </c>
      <c r="FW184" s="145">
        <f>COUNTA(SurveyDATA!GG218:GG417)</f>
        <v>14</v>
      </c>
      <c r="FX184" s="145">
        <f>COUNTA(SurveyDATA!GH221:GH417)</f>
        <v>56</v>
      </c>
      <c r="FY184" s="145">
        <f>COUNTA(SurveyDATA!GI221:GI417)</f>
        <v>9</v>
      </c>
      <c r="FZ184" s="145">
        <f>COUNTA(SurveyDATA!GJ221:GJ417)</f>
        <v>18</v>
      </c>
      <c r="GA184" s="145">
        <f>COUNTA(SurveyDATA!GK221:GK417)</f>
        <v>33</v>
      </c>
      <c r="GB184" s="145">
        <f>COUNTA(SurveyDATA!GL221:GL417)</f>
        <v>10</v>
      </c>
      <c r="GC184" s="145">
        <f>COUNTA(SurveyDATA!GM221:GM417)</f>
        <v>8</v>
      </c>
      <c r="GD184" s="145">
        <f>COUNTA(SurveyDATA!GN221:GN417)</f>
        <v>22</v>
      </c>
      <c r="GE184" s="145">
        <f>COUNTA(SurveyDATA!GO221:GO417)</f>
        <v>8</v>
      </c>
      <c r="GF184" s="145">
        <f>COUNTA(SurveyDATA!GP221:GP417)</f>
        <v>19</v>
      </c>
      <c r="GG184" s="145">
        <f>COUNTA(SurveyDATA!GQ221:GQ417)</f>
        <v>16</v>
      </c>
      <c r="GH184" s="145">
        <f>COUNTA(SurveyDATA!GR221:GR417)</f>
        <v>8</v>
      </c>
      <c r="GI184" s="145">
        <f>COUNTA(SurveyDATA!GS221:GS417)</f>
        <v>8</v>
      </c>
      <c r="GJ184" s="145">
        <f>COUNTA(SurveyDATA!GT221:GT417)</f>
        <v>7</v>
      </c>
      <c r="GK184" s="145">
        <f>COUNTA(SurveyDATA!GU221:GU417)</f>
        <v>1</v>
      </c>
      <c r="GL184" s="145">
        <f>COUNTA(SurveyDATA!GV221:GV417)</f>
        <v>3</v>
      </c>
      <c r="GM184" s="145">
        <f>COUNTA(SurveyDATA!GW221:GW417)</f>
        <v>25</v>
      </c>
      <c r="GN184" s="145">
        <f>COUNTA(SurveyDATA!GX221:GX417)</f>
        <v>4</v>
      </c>
      <c r="GO184" s="145">
        <f>COUNTA(SurveyDATA!GY221:GY417)</f>
        <v>18</v>
      </c>
      <c r="GP184" s="145">
        <f>COUNTA(SurveyDATA!GZ221:GZ417)</f>
        <v>8</v>
      </c>
      <c r="GQ184" s="145">
        <f>COUNTA(SurveyDATA!HA221:HA417)</f>
        <v>17</v>
      </c>
      <c r="GR184" s="145">
        <f>COUNTA(SurveyDATA!HB221:HB417)</f>
        <v>14</v>
      </c>
      <c r="GS184" s="145">
        <f>COUNTA(SurveyDATA!HC221:HC417)</f>
        <v>19</v>
      </c>
      <c r="GT184" s="145">
        <f>COUNTA(SurveyDATA!HD221:HD417)</f>
        <v>12</v>
      </c>
      <c r="GU184" s="145">
        <f>COUNTA(SurveyDATA!HE221:HE417)</f>
        <v>14</v>
      </c>
      <c r="GV184" s="145">
        <f>COUNTA(SurveyDATA!HF221:HF417)</f>
        <v>1</v>
      </c>
      <c r="GW184" s="145">
        <f>COUNTA(SurveyDATA!HG221:HG417)</f>
        <v>0</v>
      </c>
      <c r="GX184" s="145">
        <f>COUNTA(SurveyDATA!HH221:HH417)</f>
        <v>0</v>
      </c>
      <c r="GY184" s="145">
        <f>COUNTA(SurveyDATA!HI221:HI417)</f>
        <v>34</v>
      </c>
      <c r="GZ184" s="145">
        <f>COUNTA(SurveyDATA!HJ221:HJ417)</f>
        <v>0</v>
      </c>
      <c r="HA184" s="145">
        <f>COUNTA(SurveyDATA!HK221:HK417)</f>
        <v>0</v>
      </c>
      <c r="HB184" s="145">
        <f>COUNTA(SurveyDATA!HL221:HL417)</f>
        <v>17</v>
      </c>
      <c r="HC184" s="145">
        <f>COUNTA(SurveyDATA!HM221:HM417)</f>
        <v>0</v>
      </c>
      <c r="HD184" s="145">
        <f>COUNTA(SurveyDATA!HN221:HN417)</f>
        <v>0</v>
      </c>
      <c r="HE184" s="145">
        <f>COUNTA(SurveyDATA!HO221:HO417)</f>
        <v>0</v>
      </c>
      <c r="HF184" s="145">
        <f>COUNTA(SurveyDATA!HP221:HP417)</f>
        <v>0</v>
      </c>
      <c r="HG184" s="145">
        <f>COUNTA(SurveyDATA!HQ221:HQ417)</f>
        <v>0</v>
      </c>
      <c r="HH184" s="145">
        <f>COUNTA(SurveyDATA!HR221:HR417)</f>
        <v>5</v>
      </c>
      <c r="HI184" s="145">
        <f>COUNTA(SurveyDATA!HS221:HS417)</f>
        <v>2</v>
      </c>
      <c r="HJ184" s="145">
        <f>COUNTA(SurveyDATA!HT221:HT417)</f>
        <v>5</v>
      </c>
      <c r="HK184" s="145">
        <f>COUNTA(SurveyDATA!HU221:HU417)</f>
        <v>0</v>
      </c>
      <c r="HL184" s="145">
        <f>COUNTA(SurveyDATA!HV221:HV417)</f>
        <v>0</v>
      </c>
      <c r="HM184" s="145">
        <f>COUNTA(SurveyDATA!HW221:HW417)</f>
        <v>0</v>
      </c>
      <c r="HN184" s="145">
        <f>COUNTA(SurveyDATA!HX221:HX417)</f>
        <v>0</v>
      </c>
      <c r="HO184" s="145">
        <f>COUNTA(SurveyDATA!HY221:HY417)</f>
        <v>0</v>
      </c>
      <c r="HP184" s="145">
        <f>COUNTA(SurveyDATA!HZ221:HZ417)</f>
        <v>0</v>
      </c>
      <c r="HQ184" s="145">
        <f>COUNTA(SurveyDATA!IA221:IA417)</f>
        <v>0</v>
      </c>
      <c r="HR184" s="145">
        <f>COUNTA(SurveyDATA!IB221:IB417)</f>
        <v>182</v>
      </c>
      <c r="HS184" s="145">
        <f>COUNTA(SurveyDATA!IC221:IC417)</f>
        <v>37</v>
      </c>
      <c r="HT184" s="145">
        <f>COUNTA(SurveyDATA!ID221:ID417)</f>
        <v>29</v>
      </c>
      <c r="HU184" s="145">
        <f>COUNTA(SurveyDATA!IE221:IE417)</f>
        <v>24</v>
      </c>
      <c r="HV184" s="145">
        <f>COUNTA(SurveyDATA!IF221:IF417)</f>
        <v>30</v>
      </c>
      <c r="HW184" s="145">
        <f>COUNTA(SurveyDATA!IG221:IG417)</f>
        <v>27</v>
      </c>
      <c r="HX184" s="145">
        <f>COUNTA(SurveyDATA!IH221:IH417)</f>
        <v>24</v>
      </c>
      <c r="HY184" s="145">
        <f>COUNTA(SurveyDATA!II221:II417)</f>
        <v>20</v>
      </c>
      <c r="HZ184" s="145">
        <f>COUNTA(SurveyDATA!IJ221:IJ417)</f>
        <v>31</v>
      </c>
      <c r="IA184" s="145">
        <f>COUNTA(SurveyDATA!IK221:IK417)</f>
        <v>28</v>
      </c>
      <c r="IB184" s="145">
        <f>COUNTA(SurveyDATA!IL221:IL417)</f>
        <v>30</v>
      </c>
      <c r="IC184" s="145">
        <f>COUNTA(SurveyDATA!IM221:IM417)</f>
        <v>23</v>
      </c>
      <c r="ID184" s="145">
        <f>COUNTA(SurveyDATA!IN221:IN417)</f>
        <v>26</v>
      </c>
      <c r="IE184" s="145">
        <f>COUNTA(SurveyDATA!IO221:IO417)</f>
        <v>17</v>
      </c>
      <c r="IF184" s="145">
        <f>COUNTA(SurveyDATA!IP221:IP417)</f>
        <v>23</v>
      </c>
      <c r="IG184" s="145">
        <f>COUNTA(SurveyDATA!IQ221:IQ417)</f>
        <v>35</v>
      </c>
      <c r="IH184" s="145">
        <f>COUNTA(SurveyDATA!IR221:IR417)</f>
        <v>32</v>
      </c>
      <c r="II184" s="145">
        <f>COUNTA(SurveyDATA!IS221:IS417)</f>
        <v>27</v>
      </c>
      <c r="IJ184" s="145">
        <f>COUNTA(SurveyDATA!IT221:IT417)</f>
        <v>7</v>
      </c>
      <c r="IK184" s="145">
        <f>COUNTA(SurveyDATA!IU221:IU417)</f>
        <v>16</v>
      </c>
      <c r="IL184" s="145">
        <f>COUNTA(SurveyDATA!IV221:IV417)</f>
        <v>2</v>
      </c>
      <c r="IM184" s="145">
        <f>COUNTA(SurveyDATA!#REF!)</f>
        <v>1</v>
      </c>
      <c r="IN184" s="145">
        <f>COUNTA(SurveyDATA!#REF!)</f>
        <v>1</v>
      </c>
      <c r="IO184" s="145">
        <f>COUNTA(SurveyDATA!#REF!)</f>
        <v>1</v>
      </c>
      <c r="IP184" s="145">
        <f>COUNTA(SurveyDATA!#REF!)</f>
        <v>1</v>
      </c>
      <c r="IQ184" s="145">
        <f>COUNTA(SurveyDATA!#REF!)</f>
        <v>1</v>
      </c>
      <c r="IR184" s="145">
        <f>COUNTA(SurveyDATA!#REF!)</f>
        <v>1</v>
      </c>
      <c r="IS184" s="145">
        <f>COUNTA(SurveyDATA!#REF!)</f>
        <v>1</v>
      </c>
      <c r="IT184" s="145">
        <f>COUNTA(SurveyDATA!#REF!)</f>
        <v>1</v>
      </c>
      <c r="IU184" s="145">
        <f>COUNTA(SurveyDATA!#REF!)</f>
        <v>1</v>
      </c>
      <c r="IV184" s="145">
        <f>COUNTA(SurveyDATA!#REF!)</f>
        <v>1</v>
      </c>
    </row>
    <row r="185" spans="1:256" s="492" customFormat="1" ht="13.5" customHeight="1" thickTop="1">
      <c r="C185" s="143" t="s">
        <v>4295</v>
      </c>
      <c r="D185" s="141"/>
      <c r="E185" s="140"/>
      <c r="F185" s="140"/>
      <c r="G185" s="140"/>
      <c r="H185" s="140"/>
      <c r="I185" s="474"/>
      <c r="J185" s="141"/>
      <c r="K185" s="140"/>
      <c r="L185" s="140"/>
      <c r="M185" s="140"/>
      <c r="N185" s="140"/>
      <c r="O185" s="140"/>
      <c r="P185" s="140"/>
      <c r="Q185" s="475"/>
      <c r="R185" s="476"/>
      <c r="S185" s="140"/>
      <c r="T185" s="140"/>
      <c r="U185" s="477"/>
      <c r="V185" s="140"/>
      <c r="W185" s="140"/>
      <c r="X185" s="140"/>
      <c r="Y185" s="140"/>
      <c r="Z185" s="140"/>
      <c r="AA185" s="140"/>
      <c r="AB185" s="140"/>
      <c r="AC185" s="140"/>
      <c r="AD185" s="140"/>
      <c r="AE185" s="140"/>
      <c r="AF185" s="140"/>
      <c r="AG185" s="140"/>
      <c r="AH185" s="140"/>
      <c r="AI185" s="140"/>
      <c r="AJ185" s="478"/>
      <c r="AK185" s="479"/>
      <c r="AL185" s="480"/>
      <c r="AM185" s="140"/>
      <c r="AN185" s="140"/>
      <c r="AO185" s="140"/>
      <c r="AP185" s="140"/>
      <c r="AQ185" s="140"/>
      <c r="AR185" s="140"/>
      <c r="AS185" s="140"/>
      <c r="AT185" s="140"/>
      <c r="AU185" s="140"/>
      <c r="AV185" s="140"/>
      <c r="AW185" s="140"/>
      <c r="AX185" s="140"/>
      <c r="AY185" s="140"/>
      <c r="AZ185" s="140"/>
      <c r="BA185" s="140"/>
      <c r="BB185" s="140"/>
      <c r="BC185" s="140"/>
      <c r="BD185" s="481"/>
      <c r="BE185" s="481"/>
      <c r="BF185" s="140"/>
      <c r="BG185" s="140"/>
      <c r="BH185" s="140"/>
      <c r="BI185" s="140"/>
      <c r="BJ185" s="140"/>
      <c r="BK185" s="140"/>
      <c r="BL185" s="140"/>
      <c r="BM185" s="140"/>
      <c r="BN185" s="479"/>
      <c r="BO185" s="479"/>
      <c r="BP185" s="482"/>
      <c r="BQ185" s="140"/>
      <c r="BR185" s="140"/>
      <c r="BS185" s="140"/>
      <c r="BT185" s="140"/>
      <c r="BU185" s="140"/>
      <c r="BV185" s="481"/>
      <c r="BW185" s="140"/>
      <c r="BX185" s="481"/>
      <c r="BY185" s="140"/>
      <c r="BZ185" s="140"/>
      <c r="CA185" s="140"/>
      <c r="CB185" s="140"/>
      <c r="CC185" s="140"/>
      <c r="CD185" s="483"/>
      <c r="CE185" s="484"/>
      <c r="CF185" s="140"/>
      <c r="CG185" s="140"/>
      <c r="CH185" s="140"/>
      <c r="CI185" s="140"/>
      <c r="CJ185" s="140"/>
      <c r="CK185" s="140"/>
      <c r="CL185" s="140"/>
      <c r="CM185" s="140"/>
      <c r="CN185" s="140"/>
      <c r="CO185" s="140"/>
      <c r="CP185" s="481"/>
      <c r="CQ185" s="140"/>
      <c r="CR185" s="140"/>
      <c r="CS185" s="485"/>
      <c r="CT185" s="140"/>
      <c r="CU185" s="140"/>
      <c r="CV185" s="140"/>
      <c r="CW185" s="140"/>
      <c r="CX185" s="140"/>
      <c r="CY185" s="486"/>
      <c r="CZ185" s="140"/>
      <c r="DA185" s="140"/>
      <c r="DB185" s="140"/>
      <c r="DC185" s="487"/>
      <c r="DD185" s="140"/>
      <c r="DE185" s="140"/>
      <c r="DF185" s="140"/>
      <c r="DG185" s="140"/>
      <c r="DH185" s="140"/>
      <c r="DI185" s="140"/>
      <c r="DJ185" s="140"/>
      <c r="DK185" s="140"/>
      <c r="DL185" s="488"/>
      <c r="DM185" s="140"/>
      <c r="DN185" s="140"/>
      <c r="DO185" s="140"/>
      <c r="DP185" s="140"/>
      <c r="DQ185" s="489"/>
      <c r="DR185" s="140"/>
      <c r="DS185" s="140"/>
      <c r="DT185" s="140"/>
      <c r="DU185" s="486"/>
      <c r="DV185" s="486"/>
      <c r="DW185" s="140"/>
      <c r="DX185" s="140"/>
      <c r="DY185" s="140"/>
      <c r="DZ185" s="140"/>
      <c r="EA185" s="140"/>
      <c r="EB185" s="140"/>
      <c r="EC185" s="140"/>
      <c r="ED185" s="140"/>
      <c r="EE185" s="140"/>
      <c r="EF185" s="140"/>
      <c r="EG185" s="140"/>
      <c r="EH185" s="140"/>
      <c r="EI185" s="140"/>
      <c r="EJ185" s="140"/>
      <c r="EK185" s="140"/>
      <c r="EL185" s="140"/>
      <c r="EM185" s="140"/>
      <c r="EN185" s="141"/>
      <c r="EO185" s="140"/>
      <c r="EP185" s="140"/>
      <c r="EQ185" s="140"/>
      <c r="ER185" s="140"/>
      <c r="ES185" s="140"/>
      <c r="ET185" s="481"/>
      <c r="EU185" s="140"/>
      <c r="EV185" s="140"/>
      <c r="EW185" s="140"/>
      <c r="EX185" s="140"/>
      <c r="EY185" s="140"/>
      <c r="EZ185" s="140"/>
      <c r="FA185" s="140"/>
      <c r="FB185" s="140"/>
      <c r="FC185" s="481"/>
      <c r="FD185" s="481"/>
      <c r="FE185" s="481"/>
      <c r="FF185" s="140"/>
      <c r="FG185" s="140"/>
      <c r="FH185" s="140"/>
      <c r="FI185" s="140"/>
      <c r="FJ185" s="140"/>
      <c r="FK185" s="140"/>
      <c r="FL185" s="140"/>
      <c r="FM185" s="140"/>
      <c r="FN185" s="140"/>
      <c r="FO185" s="140"/>
      <c r="FP185" s="140"/>
      <c r="FQ185" s="140"/>
      <c r="FR185" s="140"/>
      <c r="FS185" s="490"/>
      <c r="FT185" s="476"/>
      <c r="FU185" s="140"/>
      <c r="FV185" s="481"/>
      <c r="FW185" s="481"/>
      <c r="FX185" s="140"/>
      <c r="FY185" s="140"/>
      <c r="FZ185" s="140"/>
      <c r="GA185" s="140"/>
      <c r="GB185" s="140"/>
      <c r="GC185" s="140"/>
      <c r="GD185" s="491"/>
      <c r="GE185" s="140"/>
      <c r="GF185" s="140"/>
      <c r="GG185" s="140"/>
      <c r="GH185" s="140"/>
      <c r="GI185" s="140"/>
      <c r="GJ185" s="140"/>
      <c r="GK185" s="140"/>
      <c r="GL185" s="140"/>
      <c r="GM185" s="140"/>
      <c r="GN185" s="140"/>
      <c r="GO185" s="140"/>
      <c r="GP185" s="140"/>
      <c r="GQ185" s="140"/>
      <c r="GR185" s="140"/>
      <c r="GS185" s="140"/>
      <c r="GT185" s="140"/>
      <c r="GU185" s="140"/>
      <c r="GV185" s="140"/>
      <c r="GW185" s="140"/>
      <c r="GX185" s="140"/>
      <c r="GY185" s="140"/>
      <c r="GZ185" s="140"/>
      <c r="HA185" s="140"/>
      <c r="HB185" s="140"/>
      <c r="HC185" s="140"/>
      <c r="HD185" s="140"/>
      <c r="HE185" s="140"/>
      <c r="HF185" s="140"/>
      <c r="HG185" s="140"/>
      <c r="HH185" s="140"/>
      <c r="HI185" s="140"/>
      <c r="HJ185" s="140"/>
      <c r="HK185" s="140"/>
      <c r="HL185" s="140"/>
      <c r="HM185" s="140"/>
      <c r="HN185" s="140"/>
      <c r="HO185" s="140"/>
      <c r="HP185" s="140"/>
      <c r="HQ185" s="140"/>
      <c r="HR185" s="140"/>
      <c r="HS185" s="140"/>
      <c r="HT185" s="140"/>
      <c r="HU185" s="140"/>
      <c r="HV185" s="140"/>
      <c r="HW185" s="140"/>
      <c r="HX185" s="140"/>
      <c r="HY185" s="140"/>
      <c r="HZ185" s="140"/>
      <c r="IA185" s="140"/>
      <c r="IB185" s="140"/>
      <c r="IC185" s="140"/>
      <c r="ID185" s="140"/>
      <c r="IE185" s="475"/>
      <c r="IF185" s="140"/>
      <c r="IG185" s="140"/>
      <c r="IH185" s="140"/>
      <c r="II185" s="140"/>
      <c r="IJ185" s="140"/>
      <c r="IK185" s="140"/>
      <c r="IL185" s="140"/>
      <c r="IM185" s="140"/>
      <c r="IN185" s="140"/>
      <c r="IO185" s="140"/>
      <c r="IP185" s="140"/>
      <c r="IQ185" s="140"/>
      <c r="IR185" s="140"/>
      <c r="IS185" s="140"/>
      <c r="IT185" s="481"/>
      <c r="IU185" s="140"/>
      <c r="IV185" s="140"/>
    </row>
    <row r="186" spans="1:256" s="492" customFormat="1" ht="12.75" customHeight="1">
      <c r="C186" s="144" t="s">
        <v>4293</v>
      </c>
      <c r="D186" s="141"/>
      <c r="E186" s="140"/>
      <c r="F186" s="140"/>
      <c r="G186" s="140"/>
      <c r="H186" s="140"/>
      <c r="I186" s="474"/>
      <c r="J186" s="141"/>
      <c r="K186" s="140"/>
      <c r="L186" s="140"/>
      <c r="M186" s="140"/>
      <c r="N186" s="140"/>
      <c r="O186" s="140"/>
      <c r="P186" s="140"/>
      <c r="Q186" s="475"/>
      <c r="R186" s="476"/>
      <c r="S186" s="140"/>
      <c r="T186" s="140"/>
      <c r="U186" s="477"/>
      <c r="V186" s="140"/>
      <c r="W186" s="140"/>
      <c r="X186" s="140"/>
      <c r="Y186" s="140"/>
      <c r="Z186" s="140"/>
      <c r="AA186" s="140"/>
      <c r="AB186" s="140"/>
      <c r="AC186" s="140"/>
      <c r="AD186" s="140"/>
      <c r="AE186" s="140"/>
      <c r="AF186" s="140"/>
      <c r="AG186" s="140"/>
      <c r="AH186" s="140"/>
      <c r="AI186" s="140"/>
      <c r="AJ186" s="478"/>
      <c r="AK186" s="479"/>
      <c r="AL186" s="480"/>
      <c r="AM186" s="140"/>
      <c r="AN186" s="140"/>
      <c r="AO186" s="140"/>
      <c r="AP186" s="140"/>
      <c r="AQ186" s="140"/>
      <c r="AR186" s="140"/>
      <c r="AS186" s="140"/>
      <c r="AT186" s="140"/>
      <c r="AU186" s="140"/>
      <c r="AV186" s="140"/>
      <c r="AW186" s="140"/>
      <c r="AX186" s="140"/>
      <c r="AY186" s="140"/>
      <c r="AZ186" s="140"/>
      <c r="BA186" s="140"/>
      <c r="BB186" s="140"/>
      <c r="BC186" s="140"/>
      <c r="BD186" s="481"/>
      <c r="BE186" s="481"/>
      <c r="BF186" s="140"/>
      <c r="BG186" s="140"/>
      <c r="BH186" s="140"/>
      <c r="BI186" s="140"/>
      <c r="BJ186" s="140"/>
      <c r="BK186" s="140"/>
      <c r="BL186" s="140"/>
      <c r="BM186" s="140"/>
      <c r="BN186" s="479"/>
      <c r="BO186" s="479"/>
      <c r="BP186" s="482"/>
      <c r="BQ186" s="140"/>
      <c r="BR186" s="140"/>
      <c r="BS186" s="140"/>
      <c r="BT186" s="140"/>
      <c r="BU186" s="140"/>
      <c r="BV186" s="481"/>
      <c r="BW186" s="140"/>
      <c r="BX186" s="481"/>
      <c r="BY186" s="140"/>
      <c r="BZ186" s="140"/>
      <c r="CA186" s="140"/>
      <c r="CB186" s="140"/>
      <c r="CC186" s="140"/>
      <c r="CD186" s="483"/>
      <c r="CE186" s="484"/>
      <c r="CF186" s="140"/>
      <c r="CG186" s="140"/>
      <c r="CH186" s="140"/>
      <c r="CI186" s="140"/>
      <c r="CJ186" s="140"/>
      <c r="CK186" s="140"/>
      <c r="CL186" s="140"/>
      <c r="CM186" s="140"/>
      <c r="CN186" s="140"/>
      <c r="CO186" s="140"/>
      <c r="CP186" s="481"/>
      <c r="CQ186" s="140"/>
      <c r="CR186" s="140"/>
      <c r="CS186" s="485"/>
      <c r="CT186" s="140"/>
      <c r="CU186" s="140"/>
      <c r="CV186" s="140"/>
      <c r="CW186" s="140"/>
      <c r="CX186" s="140"/>
      <c r="CY186" s="486"/>
      <c r="CZ186" s="140"/>
      <c r="DA186" s="140"/>
      <c r="DB186" s="140"/>
      <c r="DC186" s="487"/>
      <c r="DD186" s="140"/>
      <c r="DE186" s="140"/>
      <c r="DF186" s="140"/>
      <c r="DG186" s="140"/>
      <c r="DH186" s="140"/>
      <c r="DI186" s="140"/>
      <c r="DJ186" s="140"/>
      <c r="DK186" s="140"/>
      <c r="DL186" s="488"/>
      <c r="DM186" s="140"/>
      <c r="DN186" s="140"/>
      <c r="DO186" s="140"/>
      <c r="DP186" s="140"/>
      <c r="DQ186" s="489"/>
      <c r="DR186" s="140"/>
      <c r="DS186" s="140"/>
      <c r="DT186" s="140"/>
      <c r="DU186" s="486"/>
      <c r="DV186" s="486"/>
      <c r="DW186" s="140"/>
      <c r="DX186" s="140"/>
      <c r="DY186" s="140"/>
      <c r="DZ186" s="140"/>
      <c r="EA186" s="140"/>
      <c r="EB186" s="140"/>
      <c r="EC186" s="140"/>
      <c r="ED186" s="140"/>
      <c r="EE186" s="140"/>
      <c r="EF186" s="140"/>
      <c r="EG186" s="140"/>
      <c r="EH186" s="140"/>
      <c r="EI186" s="140"/>
      <c r="EJ186" s="140"/>
      <c r="EK186" s="140"/>
      <c r="EL186" s="140"/>
      <c r="EM186" s="140"/>
      <c r="EN186" s="141"/>
      <c r="EO186" s="140"/>
      <c r="EP186" s="140"/>
      <c r="EQ186" s="140"/>
      <c r="ER186" s="140"/>
      <c r="ES186" s="140"/>
      <c r="ET186" s="481"/>
      <c r="EU186" s="140"/>
      <c r="EV186" s="140"/>
      <c r="EW186" s="140"/>
      <c r="EX186" s="140"/>
      <c r="EY186" s="140"/>
      <c r="EZ186" s="140"/>
      <c r="FA186" s="140"/>
      <c r="FB186" s="140"/>
      <c r="FC186" s="481"/>
      <c r="FD186" s="481"/>
      <c r="FE186" s="481"/>
      <c r="FF186" s="140"/>
      <c r="FG186" s="140"/>
      <c r="FH186" s="140"/>
      <c r="FI186" s="140"/>
      <c r="FJ186" s="140"/>
      <c r="FK186" s="140"/>
      <c r="FL186" s="140"/>
      <c r="FM186" s="140"/>
      <c r="FN186" s="140"/>
      <c r="FO186" s="140"/>
      <c r="FP186" s="140"/>
      <c r="FQ186" s="140"/>
      <c r="FR186" s="140"/>
      <c r="FS186" s="490"/>
      <c r="FT186" s="476"/>
      <c r="FU186" s="140"/>
      <c r="FV186" s="481"/>
      <c r="FW186" s="481"/>
      <c r="FX186" s="140"/>
      <c r="FY186" s="140"/>
      <c r="FZ186" s="140"/>
      <c r="GA186" s="140"/>
      <c r="GB186" s="140"/>
      <c r="GC186" s="140"/>
      <c r="GD186" s="491"/>
      <c r="GE186" s="140"/>
      <c r="GF186" s="140"/>
      <c r="GG186" s="140"/>
      <c r="GH186" s="140"/>
      <c r="GI186" s="140"/>
      <c r="GJ186" s="140"/>
      <c r="GK186" s="140"/>
      <c r="GL186" s="140"/>
      <c r="GM186" s="140"/>
      <c r="GN186" s="140"/>
      <c r="GO186" s="140"/>
      <c r="GP186" s="140"/>
      <c r="GQ186" s="140"/>
      <c r="GR186" s="140"/>
      <c r="GS186" s="140"/>
      <c r="GT186" s="140"/>
      <c r="GU186" s="140"/>
      <c r="GV186" s="140"/>
      <c r="GW186" s="140"/>
      <c r="GX186" s="140"/>
      <c r="GY186" s="140"/>
      <c r="GZ186" s="140"/>
      <c r="HA186" s="140"/>
      <c r="HB186" s="140"/>
      <c r="HC186" s="140"/>
      <c r="HD186" s="140"/>
      <c r="HE186" s="140"/>
      <c r="HF186" s="140"/>
      <c r="HG186" s="140"/>
      <c r="HH186" s="140"/>
      <c r="HI186" s="140"/>
      <c r="HJ186" s="140"/>
      <c r="HK186" s="140"/>
      <c r="HL186" s="140"/>
      <c r="HM186" s="140"/>
      <c r="HN186" s="140"/>
      <c r="HO186" s="140"/>
      <c r="HP186" s="140"/>
      <c r="HQ186" s="140"/>
      <c r="HR186" s="140"/>
      <c r="HS186" s="140"/>
      <c r="HT186" s="140"/>
      <c r="HU186" s="140"/>
      <c r="HV186" s="140"/>
      <c r="HW186" s="140"/>
      <c r="HX186" s="140"/>
      <c r="HY186" s="140"/>
      <c r="HZ186" s="140"/>
      <c r="IA186" s="140"/>
      <c r="IB186" s="140"/>
      <c r="IC186" s="140"/>
      <c r="ID186" s="140"/>
      <c r="IE186" s="475"/>
      <c r="IF186" s="140"/>
      <c r="IG186" s="140"/>
      <c r="IH186" s="140"/>
      <c r="II186" s="140"/>
      <c r="IJ186" s="140"/>
      <c r="IK186" s="140"/>
      <c r="IL186" s="140"/>
      <c r="IM186" s="140"/>
      <c r="IN186" s="140"/>
      <c r="IO186" s="140"/>
      <c r="IP186" s="140"/>
      <c r="IQ186" s="140"/>
      <c r="IR186" s="140"/>
      <c r="IS186" s="140"/>
      <c r="IT186" s="481"/>
      <c r="IU186" s="140"/>
      <c r="IV186" s="140"/>
    </row>
    <row r="187" spans="1:256" s="492" customFormat="1" ht="15" customHeight="1">
      <c r="C187" s="144" t="s">
        <v>4296</v>
      </c>
      <c r="D187" s="141"/>
      <c r="E187" s="317" t="s">
        <v>5589</v>
      </c>
      <c r="F187" s="317">
        <f>COUNTIF(SurveyDATA!BN218:BN417,"Structure Owner")</f>
        <v>102</v>
      </c>
      <c r="G187" s="140"/>
      <c r="H187" s="493"/>
      <c r="I187" s="493"/>
      <c r="J187" s="493"/>
      <c r="K187" s="140"/>
      <c r="L187" s="140"/>
      <c r="M187" s="140"/>
      <c r="N187" s="140"/>
      <c r="O187" s="140"/>
      <c r="P187" s="140"/>
      <c r="Q187" s="475"/>
      <c r="R187" s="476"/>
      <c r="S187" s="140"/>
      <c r="T187" s="140"/>
      <c r="U187" s="477"/>
      <c r="V187" s="140"/>
      <c r="W187" s="140"/>
      <c r="X187" s="140"/>
      <c r="Y187" s="140"/>
      <c r="Z187" s="140"/>
      <c r="AA187" s="140"/>
      <c r="AB187" s="140"/>
      <c r="AC187" s="140"/>
      <c r="AD187" s="140"/>
      <c r="AE187" s="140"/>
      <c r="AF187" s="140"/>
      <c r="AG187" s="140"/>
      <c r="AH187" s="140"/>
      <c r="AI187" s="140"/>
      <c r="AJ187" s="478"/>
      <c r="AK187" s="479"/>
      <c r="AL187" s="480"/>
      <c r="AM187" s="140"/>
      <c r="AN187" s="140"/>
      <c r="AO187" s="140"/>
      <c r="AP187" s="140"/>
      <c r="AQ187" s="140"/>
      <c r="AR187" s="140"/>
      <c r="AS187" s="140"/>
      <c r="AT187" s="140"/>
      <c r="AU187" s="140"/>
      <c r="AV187" s="140"/>
      <c r="AW187" s="140"/>
      <c r="AX187" s="140"/>
      <c r="AY187" s="140"/>
      <c r="AZ187" s="140"/>
      <c r="BA187" s="140"/>
      <c r="BB187" s="140"/>
      <c r="BC187" s="140"/>
      <c r="BD187" s="481"/>
      <c r="BE187" s="481"/>
      <c r="BF187" s="140"/>
      <c r="BG187" s="140"/>
      <c r="BH187" s="140"/>
      <c r="BI187" s="140"/>
      <c r="BJ187" s="140"/>
      <c r="BK187" s="140"/>
      <c r="BM187" s="140"/>
      <c r="BN187" s="479"/>
      <c r="BO187" s="479"/>
      <c r="BP187" s="482"/>
      <c r="BQ187" s="140"/>
      <c r="BR187" s="140"/>
      <c r="BS187" s="140"/>
      <c r="BT187" s="140"/>
      <c r="BU187" s="140"/>
      <c r="BV187" s="481"/>
      <c r="BW187" s="140"/>
      <c r="BX187" s="481"/>
      <c r="BY187" s="140"/>
      <c r="BZ187" s="140"/>
      <c r="CA187" s="140"/>
      <c r="CB187" s="140"/>
      <c r="CC187" s="140"/>
      <c r="CD187" s="483"/>
      <c r="CE187" s="484"/>
      <c r="CF187" s="140"/>
      <c r="CG187" s="140"/>
      <c r="CH187" s="140"/>
      <c r="CI187" s="140"/>
      <c r="CJ187" s="140"/>
      <c r="CK187" s="140"/>
      <c r="CL187" s="140"/>
      <c r="CM187" s="140"/>
      <c r="CN187" s="140"/>
      <c r="CO187" s="140"/>
      <c r="CP187" s="481"/>
      <c r="CQ187" s="140"/>
      <c r="CR187" s="140"/>
      <c r="CS187" s="485"/>
      <c r="CT187" s="140"/>
      <c r="CU187" s="140"/>
      <c r="CV187" s="140"/>
      <c r="CW187" s="140"/>
      <c r="CX187" s="140"/>
      <c r="CY187" s="486"/>
      <c r="CZ187" s="140"/>
      <c r="DA187" s="140"/>
      <c r="DB187" s="140"/>
      <c r="DC187" s="487"/>
      <c r="DD187" s="140"/>
      <c r="DE187" s="140"/>
      <c r="DF187" s="140"/>
      <c r="DG187" s="140"/>
      <c r="DH187" s="140"/>
      <c r="DI187" s="140"/>
      <c r="DJ187" s="140"/>
      <c r="DK187" s="140"/>
      <c r="DL187" s="488"/>
      <c r="DM187" s="140"/>
      <c r="DN187" s="140"/>
      <c r="DO187" s="140"/>
      <c r="DP187" s="140"/>
      <c r="DQ187" s="489"/>
      <c r="DR187" s="140"/>
      <c r="DS187" s="140"/>
      <c r="DT187" s="140"/>
      <c r="DU187" s="486"/>
      <c r="DV187" s="486"/>
      <c r="DW187" s="140"/>
      <c r="DX187" s="140"/>
      <c r="DY187" s="140"/>
      <c r="DZ187" s="140"/>
      <c r="EA187" s="140"/>
      <c r="EB187" s="140"/>
      <c r="EC187" s="140"/>
      <c r="ED187" s="140"/>
      <c r="EE187" s="140"/>
      <c r="EF187" s="140"/>
      <c r="EG187" s="140"/>
      <c r="EH187" s="140"/>
      <c r="EI187" s="140"/>
      <c r="EJ187" s="140"/>
      <c r="EK187" s="140"/>
      <c r="EL187" s="140"/>
      <c r="EM187" s="140"/>
      <c r="EN187" s="141"/>
      <c r="EO187" s="140"/>
      <c r="EP187" s="140"/>
      <c r="EQ187" s="140"/>
      <c r="ER187" s="140"/>
      <c r="ES187" s="140"/>
      <c r="ET187" s="481"/>
      <c r="EU187" s="140"/>
      <c r="EV187" s="140"/>
      <c r="EW187" s="140"/>
      <c r="EX187" s="140"/>
      <c r="EY187" s="140"/>
      <c r="EZ187" s="140"/>
      <c r="FA187" s="140"/>
      <c r="FB187" s="140"/>
      <c r="FC187" s="481"/>
      <c r="FD187" s="481"/>
      <c r="FE187" s="481"/>
      <c r="FF187" s="140"/>
      <c r="FG187" s="140"/>
      <c r="FH187" s="140"/>
      <c r="FI187" s="140"/>
      <c r="FJ187" s="140"/>
      <c r="FK187" s="140"/>
      <c r="FL187" s="140"/>
      <c r="FM187" s="140"/>
      <c r="FN187" s="140"/>
      <c r="FO187" s="140"/>
      <c r="FP187" s="140"/>
      <c r="FQ187" s="140"/>
      <c r="FR187" s="140"/>
      <c r="FS187" s="490"/>
      <c r="FT187" s="476"/>
      <c r="FU187" s="140"/>
      <c r="FV187" s="481"/>
      <c r="FW187" s="481"/>
      <c r="FX187" s="140"/>
      <c r="FY187" s="140"/>
      <c r="FZ187" s="140"/>
      <c r="GA187" s="140"/>
      <c r="GB187" s="140"/>
      <c r="GC187" s="140"/>
      <c r="GD187" s="491"/>
      <c r="GE187" s="140"/>
      <c r="GF187" s="140"/>
      <c r="GG187" s="140"/>
      <c r="GH187" s="140"/>
      <c r="GI187" s="140"/>
      <c r="GJ187" s="140"/>
      <c r="GK187" s="140"/>
      <c r="GL187" s="140"/>
      <c r="GM187" s="140"/>
      <c r="GN187" s="140"/>
      <c r="GO187" s="140"/>
      <c r="GP187" s="140"/>
      <c r="GQ187" s="140"/>
      <c r="GR187" s="140"/>
      <c r="GS187" s="140"/>
      <c r="GT187" s="140"/>
      <c r="GU187" s="140"/>
      <c r="GV187" s="140"/>
      <c r="GW187" s="140"/>
      <c r="GX187" s="140"/>
      <c r="GY187" s="140"/>
      <c r="GZ187" s="140"/>
      <c r="HA187" s="140"/>
      <c r="HB187" s="140"/>
      <c r="HC187" s="140"/>
      <c r="HD187" s="140"/>
      <c r="HE187" s="140"/>
      <c r="HF187" s="140"/>
      <c r="HG187" s="140"/>
      <c r="HH187" s="140"/>
      <c r="HI187" s="140"/>
      <c r="HJ187" s="140"/>
      <c r="HK187" s="140"/>
      <c r="HL187" s="140"/>
      <c r="HM187" s="140"/>
      <c r="HN187" s="140"/>
      <c r="HO187" s="140"/>
      <c r="HP187" s="140"/>
      <c r="HQ187" s="140"/>
      <c r="HR187" s="140"/>
      <c r="HS187" s="140"/>
      <c r="HT187" s="140"/>
      <c r="HU187" s="140"/>
      <c r="HV187" s="140"/>
      <c r="HW187" s="140"/>
      <c r="HX187" s="140"/>
      <c r="HY187" s="140"/>
      <c r="HZ187" s="140"/>
      <c r="IA187" s="140"/>
      <c r="IB187" s="140"/>
      <c r="IC187" s="140"/>
      <c r="ID187" s="140"/>
      <c r="IE187" s="475"/>
      <c r="IF187" s="140"/>
      <c r="IG187" s="140"/>
      <c r="IH187" s="140"/>
      <c r="II187" s="140"/>
      <c r="IJ187" s="140"/>
      <c r="IK187" s="140"/>
      <c r="IL187" s="140"/>
      <c r="IM187" s="140"/>
      <c r="IN187" s="140"/>
      <c r="IO187" s="140"/>
      <c r="IP187" s="140"/>
      <c r="IQ187" s="140"/>
      <c r="IR187" s="140"/>
      <c r="IS187" s="140"/>
      <c r="IT187" s="481"/>
      <c r="IU187" s="140"/>
      <c r="IV187" s="140"/>
    </row>
    <row r="188" spans="1:256" s="492" customFormat="1" ht="12.75" customHeight="1">
      <c r="C188" s="144" t="s">
        <v>4301</v>
      </c>
      <c r="D188" s="141"/>
      <c r="E188" s="319" t="s">
        <v>1101</v>
      </c>
      <c r="F188" s="49">
        <f>COUNTIFS(SurveyDATA!AS218:AS417,"",SurveyDATA!BN218:BN417,"Structure Owner")</f>
        <v>66</v>
      </c>
      <c r="G188" s="140"/>
      <c r="H188" s="140"/>
      <c r="I188" s="474"/>
      <c r="J188" s="141"/>
      <c r="K188" s="140"/>
      <c r="L188" s="140"/>
      <c r="M188" s="140"/>
      <c r="N188" s="140"/>
      <c r="O188" s="140"/>
      <c r="P188" s="140"/>
      <c r="Q188" s="475"/>
      <c r="R188" s="476"/>
      <c r="S188" s="140"/>
      <c r="T188" s="140"/>
      <c r="U188" s="477"/>
      <c r="V188" s="140"/>
      <c r="W188" s="140"/>
      <c r="X188" s="140"/>
      <c r="Y188" s="140"/>
      <c r="Z188" s="140"/>
      <c r="AA188" s="140"/>
      <c r="AB188" s="140"/>
      <c r="AC188" s="140"/>
      <c r="AD188" s="140"/>
      <c r="AE188" s="140"/>
      <c r="AF188" s="140"/>
      <c r="AG188" s="140"/>
      <c r="AH188" s="140"/>
      <c r="AI188" s="140"/>
      <c r="AJ188" s="478"/>
      <c r="AK188" s="479"/>
      <c r="AL188" s="480"/>
      <c r="AM188" s="140"/>
      <c r="AN188" s="140"/>
      <c r="AO188" s="140"/>
      <c r="AP188" s="140"/>
      <c r="AQ188" s="140"/>
      <c r="AR188" s="140"/>
      <c r="AS188" s="140"/>
      <c r="AT188" s="140"/>
      <c r="AU188" s="140"/>
      <c r="AV188" s="140"/>
      <c r="AW188" s="140"/>
      <c r="AX188" s="140"/>
      <c r="AY188" s="140"/>
      <c r="AZ188" s="140"/>
      <c r="BA188" s="140"/>
      <c r="BB188" s="140"/>
      <c r="BC188" s="140"/>
      <c r="BD188" s="481"/>
      <c r="BE188" s="481"/>
      <c r="BF188" s="140"/>
      <c r="BG188" s="140"/>
      <c r="BH188" s="140"/>
      <c r="BI188" s="140"/>
      <c r="BJ188" s="140"/>
      <c r="BK188" s="140"/>
      <c r="BL188" s="140"/>
      <c r="BM188" s="140"/>
      <c r="BN188" s="479"/>
      <c r="BO188" s="479"/>
      <c r="BP188" s="482"/>
      <c r="BQ188" s="140"/>
      <c r="BR188" s="140"/>
      <c r="BS188" s="140"/>
      <c r="BT188" s="140"/>
      <c r="BU188" s="140"/>
      <c r="BV188" s="481"/>
      <c r="BW188" s="140"/>
      <c r="BX188" s="481"/>
      <c r="BY188" s="140"/>
      <c r="BZ188" s="140"/>
      <c r="CA188" s="140"/>
      <c r="CB188" s="140"/>
      <c r="CC188" s="140"/>
      <c r="CD188" s="483"/>
      <c r="CE188" s="484"/>
      <c r="CF188" s="140"/>
      <c r="CG188" s="140"/>
      <c r="CH188" s="140"/>
      <c r="CI188" s="140"/>
      <c r="CJ188" s="140"/>
      <c r="CK188" s="140"/>
      <c r="CL188" s="140"/>
      <c r="CM188" s="140"/>
      <c r="CN188" s="140"/>
      <c r="CO188" s="140"/>
      <c r="CP188" s="481"/>
      <c r="CQ188" s="140"/>
      <c r="CR188" s="140"/>
      <c r="CS188" s="485"/>
      <c r="CT188" s="140"/>
      <c r="CU188" s="140"/>
      <c r="CV188" s="140"/>
      <c r="CW188" s="140"/>
      <c r="CX188" s="140"/>
      <c r="CY188" s="486"/>
      <c r="CZ188" s="140"/>
      <c r="DA188" s="140"/>
      <c r="DB188" s="140"/>
      <c r="DC188" s="487"/>
      <c r="DD188" s="140"/>
      <c r="DE188" s="140"/>
      <c r="DF188" s="140"/>
      <c r="DG188" s="140"/>
      <c r="DH188" s="140"/>
      <c r="DI188" s="140"/>
      <c r="DJ188" s="140"/>
      <c r="DK188" s="140"/>
      <c r="DL188" s="488"/>
      <c r="DM188" s="140"/>
      <c r="DN188" s="140"/>
      <c r="DO188" s="140"/>
      <c r="DP188" s="140"/>
      <c r="DQ188" s="489"/>
      <c r="DR188" s="140"/>
      <c r="DS188" s="140"/>
      <c r="DT188" s="140"/>
      <c r="DU188" s="486"/>
      <c r="DV188" s="486"/>
      <c r="DW188" s="140"/>
      <c r="DX188" s="140"/>
      <c r="DY188" s="140"/>
      <c r="DZ188" s="140"/>
      <c r="EA188" s="140"/>
      <c r="EB188" s="140"/>
      <c r="EC188" s="140"/>
      <c r="ED188" s="140"/>
      <c r="EE188" s="140"/>
      <c r="EF188" s="140"/>
      <c r="EG188" s="140"/>
      <c r="EH188" s="140"/>
      <c r="EI188" s="140"/>
      <c r="EJ188" s="140"/>
      <c r="EK188" s="140"/>
      <c r="EL188" s="140"/>
      <c r="EM188" s="140"/>
      <c r="EN188" s="141"/>
      <c r="EO188" s="140"/>
      <c r="EP188" s="140"/>
      <c r="EQ188" s="140"/>
      <c r="ER188" s="140"/>
      <c r="ES188" s="140"/>
      <c r="ET188" s="481"/>
      <c r="EU188" s="140"/>
      <c r="EV188" s="140"/>
      <c r="EW188" s="140"/>
      <c r="EX188" s="140"/>
      <c r="EY188" s="140"/>
      <c r="EZ188" s="140"/>
      <c r="FA188" s="140"/>
      <c r="FB188" s="140"/>
      <c r="FC188" s="481"/>
      <c r="FD188" s="481"/>
      <c r="FE188" s="481"/>
      <c r="FF188" s="140"/>
      <c r="FG188" s="140"/>
      <c r="FH188" s="140"/>
      <c r="FI188" s="140"/>
      <c r="FJ188" s="140"/>
      <c r="FK188" s="140"/>
      <c r="FL188" s="140"/>
      <c r="FM188" s="140"/>
      <c r="FN188" s="140"/>
      <c r="FO188" s="140"/>
      <c r="FP188" s="140"/>
      <c r="FQ188" s="140"/>
      <c r="FR188" s="140"/>
      <c r="FS188" s="490"/>
      <c r="FT188" s="476"/>
      <c r="FU188" s="140"/>
      <c r="FV188" s="481"/>
      <c r="FW188" s="481"/>
      <c r="FX188" s="140"/>
      <c r="FY188" s="140"/>
      <c r="FZ188" s="140"/>
      <c r="GA188" s="140"/>
      <c r="GB188" s="140"/>
      <c r="GC188" s="140"/>
      <c r="GD188" s="491"/>
      <c r="GE188" s="140"/>
      <c r="GF188" s="140"/>
      <c r="GG188" s="140"/>
      <c r="GH188" s="140"/>
      <c r="GI188" s="140"/>
      <c r="GJ188" s="140"/>
      <c r="GK188" s="140"/>
      <c r="GL188" s="140"/>
      <c r="GM188" s="140"/>
      <c r="GN188" s="140"/>
      <c r="GO188" s="140"/>
      <c r="GP188" s="140"/>
      <c r="GQ188" s="140"/>
      <c r="GR188" s="140"/>
      <c r="GS188" s="140"/>
      <c r="GT188" s="140"/>
      <c r="GU188" s="140"/>
      <c r="GV188" s="140"/>
      <c r="GW188" s="140"/>
      <c r="GX188" s="140"/>
      <c r="GY188" s="140"/>
      <c r="GZ188" s="140"/>
      <c r="HA188" s="140"/>
      <c r="HB188" s="140"/>
      <c r="HC188" s="140"/>
      <c r="HD188" s="140"/>
      <c r="HE188" s="140"/>
      <c r="HF188" s="140"/>
      <c r="HG188" s="140"/>
      <c r="HH188" s="140"/>
      <c r="HI188" s="140"/>
      <c r="HJ188" s="140"/>
      <c r="HK188" s="140"/>
      <c r="HL188" s="140"/>
      <c r="HM188" s="140"/>
      <c r="HN188" s="140"/>
      <c r="HO188" s="140"/>
      <c r="HP188" s="140"/>
      <c r="HQ188" s="140"/>
      <c r="HR188" s="140"/>
      <c r="HS188" s="140"/>
      <c r="HT188" s="140"/>
      <c r="HU188" s="140"/>
      <c r="HV188" s="140"/>
      <c r="HW188" s="140"/>
      <c r="HX188" s="140"/>
      <c r="HY188" s="140"/>
      <c r="HZ188" s="140"/>
      <c r="IA188" s="140"/>
      <c r="IB188" s="140"/>
      <c r="IC188" s="140"/>
      <c r="ID188" s="140"/>
      <c r="IE188" s="475"/>
      <c r="IF188" s="140"/>
      <c r="IG188" s="140"/>
      <c r="IH188" s="140"/>
      <c r="II188" s="140"/>
      <c r="IJ188" s="140"/>
      <c r="IK188" s="140"/>
      <c r="IL188" s="140"/>
      <c r="IM188" s="140"/>
      <c r="IN188" s="140"/>
      <c r="IO188" s="140"/>
      <c r="IP188" s="140"/>
      <c r="IQ188" s="140"/>
      <c r="IR188" s="140"/>
      <c r="IS188" s="140"/>
      <c r="IT188" s="481"/>
      <c r="IU188" s="140"/>
      <c r="IV188" s="140"/>
    </row>
    <row r="189" spans="1:256" s="492" customFormat="1" ht="12.75" customHeight="1">
      <c r="C189" s="325"/>
      <c r="D189" s="141"/>
      <c r="E189" s="319" t="s">
        <v>2209</v>
      </c>
      <c r="F189" s="154">
        <f>COUNTIFS(SurveyDATA!AS218:AS417,"Y",SurveyDATA!BN218:BN417,"Structure Owner")</f>
        <v>36</v>
      </c>
      <c r="G189" s="140"/>
      <c r="H189" s="140"/>
      <c r="I189" s="474"/>
      <c r="J189" s="141"/>
      <c r="K189" s="140"/>
      <c r="L189" s="140"/>
      <c r="M189" s="140"/>
      <c r="N189" s="140"/>
      <c r="O189" s="140"/>
      <c r="P189" s="140"/>
      <c r="Q189" s="475"/>
      <c r="R189" s="476"/>
      <c r="S189" s="140"/>
      <c r="T189" s="140"/>
      <c r="U189" s="477"/>
      <c r="V189" s="140"/>
      <c r="W189" s="140"/>
      <c r="X189" s="140"/>
      <c r="Y189" s="140"/>
      <c r="Z189" s="140"/>
      <c r="AA189" s="140"/>
      <c r="AB189" s="140"/>
      <c r="AC189" s="140"/>
      <c r="AD189" s="140"/>
      <c r="AE189" s="140"/>
      <c r="AF189" s="140"/>
      <c r="AG189" s="140"/>
      <c r="AH189" s="140"/>
      <c r="AI189" s="140"/>
      <c r="AJ189" s="478"/>
      <c r="AK189" s="479"/>
      <c r="AL189" s="480"/>
      <c r="AM189" s="140"/>
      <c r="AN189" s="140"/>
      <c r="AO189" s="140"/>
      <c r="AP189" s="140"/>
      <c r="AQ189" s="140"/>
      <c r="AR189" s="140"/>
      <c r="AS189" s="140"/>
      <c r="AT189" s="140"/>
      <c r="AU189" s="140"/>
      <c r="AV189" s="140"/>
      <c r="AW189" s="140"/>
      <c r="AX189" s="140"/>
      <c r="AY189" s="140"/>
      <c r="AZ189" s="140"/>
      <c r="BA189" s="140"/>
      <c r="BB189" s="140"/>
      <c r="BC189" s="140"/>
      <c r="BD189" s="481"/>
      <c r="BE189" s="481"/>
      <c r="BF189" s="140"/>
      <c r="BG189" s="140"/>
      <c r="BH189" s="140"/>
      <c r="BI189" s="140"/>
      <c r="BJ189" s="140"/>
      <c r="BK189" s="140"/>
      <c r="BL189" s="140"/>
      <c r="BM189" s="140"/>
      <c r="BN189" s="479"/>
      <c r="BO189" s="479"/>
      <c r="BP189" s="482"/>
      <c r="BQ189" s="140"/>
      <c r="BR189" s="140"/>
      <c r="BS189" s="140"/>
      <c r="BT189" s="140"/>
      <c r="BU189" s="140"/>
      <c r="BV189" s="481"/>
      <c r="BW189" s="140"/>
      <c r="BX189" s="481"/>
      <c r="BY189" s="140"/>
      <c r="BZ189" s="140"/>
      <c r="CA189" s="140"/>
      <c r="CB189" s="140"/>
      <c r="CC189" s="140"/>
      <c r="CD189" s="483"/>
      <c r="CE189" s="484"/>
      <c r="CF189" s="140"/>
      <c r="CG189" s="140"/>
      <c r="CH189" s="140"/>
      <c r="CI189" s="140"/>
      <c r="CJ189" s="140"/>
      <c r="CK189" s="140"/>
      <c r="CL189" s="140"/>
      <c r="CM189" s="140"/>
      <c r="CN189" s="140"/>
      <c r="CO189" s="140"/>
      <c r="CP189" s="481"/>
      <c r="CQ189" s="140"/>
      <c r="CR189" s="140"/>
      <c r="CS189" s="485"/>
      <c r="CT189" s="140"/>
      <c r="CU189" s="140"/>
      <c r="CV189" s="140"/>
      <c r="CW189" s="140"/>
      <c r="CX189" s="140"/>
      <c r="CY189" s="486"/>
      <c r="CZ189" s="140"/>
      <c r="DA189" s="140"/>
      <c r="DB189" s="140"/>
      <c r="DC189" s="487"/>
      <c r="DD189" s="140"/>
      <c r="DE189" s="140"/>
      <c r="DF189" s="140"/>
      <c r="DG189" s="140"/>
      <c r="DH189" s="140"/>
      <c r="DI189" s="140"/>
      <c r="DJ189" s="140"/>
      <c r="DK189" s="140"/>
      <c r="DL189" s="488"/>
      <c r="DM189" s="140"/>
      <c r="DN189" s="140"/>
      <c r="DO189" s="140"/>
      <c r="DP189" s="140"/>
      <c r="DQ189" s="489"/>
      <c r="DR189" s="140"/>
      <c r="DS189" s="140"/>
      <c r="DT189" s="140"/>
      <c r="DU189" s="486"/>
      <c r="DV189" s="486"/>
      <c r="DW189" s="140"/>
      <c r="DX189" s="140"/>
      <c r="DY189" s="140"/>
      <c r="DZ189" s="140"/>
      <c r="EA189" s="140"/>
      <c r="EB189" s="140"/>
      <c r="EC189" s="140"/>
      <c r="ED189" s="140"/>
      <c r="EE189" s="140"/>
      <c r="EF189" s="140"/>
      <c r="EG189" s="140"/>
      <c r="EH189" s="140"/>
      <c r="EI189" s="140"/>
      <c r="EJ189" s="140"/>
      <c r="EK189" s="140"/>
      <c r="EL189" s="140"/>
      <c r="EM189" s="140"/>
      <c r="EN189" s="141"/>
      <c r="EO189" s="140"/>
      <c r="EP189" s="140"/>
      <c r="EQ189" s="140"/>
      <c r="ER189" s="140"/>
      <c r="ES189" s="140"/>
      <c r="ET189" s="481"/>
      <c r="EU189" s="140"/>
      <c r="EV189" s="140"/>
      <c r="EW189" s="140"/>
      <c r="EX189" s="140"/>
      <c r="EY189" s="140"/>
      <c r="EZ189" s="140"/>
      <c r="FA189" s="140"/>
      <c r="FB189" s="140"/>
      <c r="FC189" s="481"/>
      <c r="FD189" s="481"/>
      <c r="FE189" s="481"/>
      <c r="FF189" s="140"/>
      <c r="FG189" s="140"/>
      <c r="FH189" s="140"/>
      <c r="FI189" s="140"/>
      <c r="FJ189" s="140"/>
      <c r="FK189" s="140"/>
      <c r="FL189" s="140"/>
      <c r="FM189" s="140"/>
      <c r="FN189" s="140"/>
      <c r="FO189" s="140"/>
      <c r="FP189" s="140"/>
      <c r="FQ189" s="140"/>
      <c r="FR189" s="140"/>
      <c r="FS189" s="490"/>
      <c r="FT189" s="476"/>
      <c r="FU189" s="140"/>
      <c r="FV189" s="481"/>
      <c r="FW189" s="481"/>
      <c r="FX189" s="140"/>
      <c r="FY189" s="140"/>
      <c r="FZ189" s="140"/>
      <c r="GA189" s="140"/>
      <c r="GB189" s="140"/>
      <c r="GC189" s="140"/>
      <c r="GD189" s="491"/>
      <c r="GE189" s="140"/>
      <c r="GF189" s="140"/>
      <c r="GG189" s="140"/>
      <c r="GH189" s="140"/>
      <c r="GI189" s="140"/>
      <c r="GJ189" s="140"/>
      <c r="GK189" s="140"/>
      <c r="GL189" s="140"/>
      <c r="GM189" s="140"/>
      <c r="GN189" s="140"/>
      <c r="GO189" s="140"/>
      <c r="GP189" s="140"/>
      <c r="GQ189" s="140"/>
      <c r="GR189" s="140"/>
      <c r="GS189" s="140"/>
      <c r="GT189" s="140"/>
      <c r="GU189" s="140"/>
      <c r="GV189" s="140"/>
      <c r="GW189" s="140"/>
      <c r="GX189" s="140"/>
      <c r="GY189" s="140"/>
      <c r="GZ189" s="140"/>
      <c r="HA189" s="140"/>
      <c r="HB189" s="140"/>
      <c r="HC189" s="140"/>
      <c r="HD189" s="140"/>
      <c r="HE189" s="140"/>
      <c r="HF189" s="140"/>
      <c r="HG189" s="140"/>
      <c r="HH189" s="140"/>
      <c r="HI189" s="140"/>
      <c r="HJ189" s="140"/>
      <c r="HK189" s="140"/>
      <c r="HL189" s="140"/>
      <c r="HM189" s="140"/>
      <c r="HN189" s="140"/>
      <c r="HO189" s="140"/>
      <c r="HP189" s="140"/>
      <c r="HQ189" s="140"/>
      <c r="HR189" s="140"/>
      <c r="HS189" s="140"/>
      <c r="HT189" s="140"/>
      <c r="HU189" s="140"/>
      <c r="HV189" s="140"/>
      <c r="HW189" s="140"/>
      <c r="HX189" s="140"/>
      <c r="HY189" s="140"/>
      <c r="HZ189" s="140"/>
      <c r="IA189" s="140"/>
      <c r="IB189" s="140"/>
      <c r="IC189" s="140"/>
      <c r="ID189" s="140"/>
      <c r="IE189" s="475"/>
      <c r="IF189" s="140"/>
      <c r="IG189" s="140"/>
      <c r="IH189" s="140"/>
      <c r="II189" s="140"/>
      <c r="IJ189" s="140"/>
      <c r="IK189" s="140"/>
      <c r="IL189" s="140"/>
      <c r="IM189" s="140"/>
      <c r="IN189" s="140"/>
      <c r="IO189" s="140"/>
      <c r="IP189" s="140"/>
      <c r="IQ189" s="140"/>
      <c r="IR189" s="140"/>
      <c r="IS189" s="140"/>
      <c r="IT189" s="481"/>
      <c r="IU189" s="140"/>
      <c r="IV189" s="140"/>
    </row>
    <row r="190" spans="1:256" s="492" customFormat="1" ht="12.75" customHeight="1">
      <c r="C190" s="326"/>
      <c r="D190" s="141"/>
      <c r="E190" s="318" t="s">
        <v>5590</v>
      </c>
      <c r="F190" s="318">
        <f>COUNTIF(SurveyDATA!AS218:AS417,"Y")</f>
        <v>43</v>
      </c>
      <c r="G190" s="140"/>
      <c r="H190" s="141"/>
      <c r="I190" s="474"/>
      <c r="J190" s="141"/>
      <c r="K190" s="140"/>
      <c r="L190" s="140"/>
      <c r="M190" s="140"/>
      <c r="N190" s="140"/>
      <c r="O190" s="140"/>
      <c r="P190" s="140"/>
      <c r="Q190" s="475"/>
      <c r="R190" s="476"/>
      <c r="S190" s="140"/>
      <c r="T190" s="140"/>
      <c r="U190" s="477"/>
      <c r="V190" s="140"/>
      <c r="W190" s="140"/>
      <c r="X190" s="140"/>
      <c r="Y190" s="140"/>
      <c r="Z190" s="140"/>
      <c r="AA190" s="140"/>
      <c r="AB190" s="140"/>
      <c r="AC190" s="140"/>
      <c r="AD190" s="140"/>
      <c r="AE190" s="140"/>
      <c r="AF190" s="140"/>
      <c r="AG190" s="140"/>
      <c r="AH190" s="140"/>
      <c r="AI190" s="140"/>
      <c r="AJ190" s="478"/>
      <c r="AK190" s="479"/>
      <c r="AL190" s="480"/>
      <c r="AM190" s="140"/>
      <c r="AN190" s="140"/>
      <c r="AO190" s="140"/>
      <c r="AP190" s="140"/>
      <c r="AQ190" s="140"/>
      <c r="AR190" s="140"/>
      <c r="AS190" s="140"/>
      <c r="AT190" s="140"/>
      <c r="AU190" s="140"/>
      <c r="AV190" s="140"/>
      <c r="AW190" s="140"/>
      <c r="AX190" s="140"/>
      <c r="AY190" s="140"/>
      <c r="AZ190" s="140"/>
      <c r="BA190" s="140"/>
      <c r="BB190" s="140"/>
      <c r="BC190" s="140"/>
      <c r="BD190" s="481"/>
      <c r="BE190" s="481"/>
      <c r="BF190" s="140"/>
      <c r="BG190" s="140"/>
      <c r="BH190" s="140"/>
      <c r="BI190" s="140"/>
      <c r="BJ190" s="140"/>
      <c r="BK190" s="140"/>
      <c r="BL190" s="140"/>
      <c r="BM190" s="140"/>
      <c r="BN190" s="479"/>
      <c r="BO190" s="479"/>
      <c r="BP190" s="482"/>
      <c r="BQ190" s="140"/>
      <c r="BR190" s="140"/>
      <c r="BS190" s="140"/>
      <c r="BT190" s="140"/>
      <c r="BU190" s="140"/>
      <c r="BV190" s="481"/>
      <c r="BW190" s="140"/>
      <c r="BX190" s="481"/>
      <c r="BY190" s="140"/>
      <c r="BZ190" s="140"/>
      <c r="CA190" s="140"/>
      <c r="CB190" s="140"/>
      <c r="CC190" s="140"/>
      <c r="CD190" s="483"/>
      <c r="CE190" s="484"/>
      <c r="CF190" s="140"/>
      <c r="CG190" s="140"/>
      <c r="CH190" s="140"/>
      <c r="CI190" s="140"/>
      <c r="CJ190" s="140"/>
      <c r="CK190" s="140"/>
      <c r="CL190" s="140"/>
      <c r="CM190" s="140"/>
      <c r="CN190" s="140"/>
      <c r="CO190" s="140"/>
      <c r="CP190" s="481"/>
      <c r="CQ190" s="140"/>
      <c r="CR190" s="140"/>
      <c r="CS190" s="485"/>
      <c r="CT190" s="140"/>
      <c r="CU190" s="140"/>
      <c r="CV190" s="140"/>
      <c r="CW190" s="140"/>
      <c r="CX190" s="140"/>
      <c r="CY190" s="486"/>
      <c r="CZ190" s="140"/>
      <c r="DA190" s="140"/>
      <c r="DB190" s="140"/>
      <c r="DC190" s="487"/>
      <c r="DD190" s="140"/>
      <c r="DE190" s="140"/>
      <c r="DF190" s="140"/>
      <c r="DG190" s="140"/>
      <c r="DH190" s="140"/>
      <c r="DI190" s="140"/>
      <c r="DJ190" s="140"/>
      <c r="DK190" s="140"/>
      <c r="DL190" s="488"/>
      <c r="DM190" s="140"/>
      <c r="DN190" s="140"/>
      <c r="DO190" s="140"/>
      <c r="DP190" s="140"/>
      <c r="DQ190" s="489"/>
      <c r="DR190" s="140"/>
      <c r="DS190" s="140"/>
      <c r="DT190" s="140"/>
      <c r="DU190" s="486"/>
      <c r="DV190" s="486"/>
      <c r="DW190" s="140"/>
      <c r="DX190" s="140"/>
      <c r="DY190" s="140"/>
      <c r="DZ190" s="140"/>
      <c r="EA190" s="140"/>
      <c r="EB190" s="140"/>
      <c r="EC190" s="140"/>
      <c r="ED190" s="140"/>
      <c r="EE190" s="140"/>
      <c r="EF190" s="140"/>
      <c r="EG190" s="140"/>
      <c r="EH190" s="140"/>
      <c r="EI190" s="140"/>
      <c r="EJ190" s="140"/>
      <c r="EK190" s="140"/>
      <c r="EL190" s="140"/>
      <c r="EM190" s="140"/>
      <c r="EN190" s="141"/>
      <c r="EO190" s="140"/>
      <c r="EP190" s="140"/>
      <c r="EQ190" s="140"/>
      <c r="ER190" s="140"/>
      <c r="ES190" s="140"/>
      <c r="ET190" s="481"/>
      <c r="EU190" s="140"/>
      <c r="EV190" s="140"/>
      <c r="EW190" s="140"/>
      <c r="EX190" s="140"/>
      <c r="EY190" s="140"/>
      <c r="EZ190" s="140"/>
      <c r="FA190" s="140"/>
      <c r="FB190" s="140"/>
      <c r="FC190" s="481"/>
      <c r="FD190" s="481"/>
      <c r="FE190" s="481"/>
      <c r="FF190" s="140"/>
      <c r="FG190" s="140"/>
      <c r="FH190" s="140"/>
      <c r="FI190" s="140"/>
      <c r="FJ190" s="140"/>
      <c r="FK190" s="140"/>
      <c r="FL190" s="140"/>
      <c r="FM190" s="140"/>
      <c r="FN190" s="140"/>
      <c r="FO190" s="140"/>
      <c r="FP190" s="140"/>
      <c r="FQ190" s="140"/>
      <c r="FR190" s="140"/>
      <c r="FS190" s="490"/>
      <c r="FT190" s="476"/>
      <c r="FU190" s="140"/>
      <c r="FV190" s="481"/>
      <c r="FW190" s="481"/>
      <c r="FX190" s="140"/>
      <c r="FY190" s="140"/>
      <c r="FZ190" s="140"/>
      <c r="GA190" s="140"/>
      <c r="GB190" s="140"/>
      <c r="GC190" s="140"/>
      <c r="GD190" s="491"/>
      <c r="GE190" s="140"/>
      <c r="GF190" s="140"/>
      <c r="GG190" s="140"/>
      <c r="GH190" s="140"/>
      <c r="GI190" s="140"/>
      <c r="GJ190" s="140"/>
      <c r="GK190" s="140"/>
      <c r="GL190" s="140"/>
      <c r="GM190" s="140"/>
      <c r="GN190" s="140"/>
      <c r="GO190" s="140"/>
      <c r="GP190" s="140"/>
      <c r="GQ190" s="140"/>
      <c r="GR190" s="140"/>
      <c r="GS190" s="140"/>
      <c r="GT190" s="140"/>
      <c r="GU190" s="140"/>
      <c r="GV190" s="140"/>
      <c r="GW190" s="140"/>
      <c r="GX190" s="140"/>
      <c r="GY190" s="140"/>
      <c r="GZ190" s="140"/>
      <c r="HA190" s="140"/>
      <c r="HB190" s="140"/>
      <c r="HC190" s="140"/>
      <c r="HD190" s="140"/>
      <c r="HE190" s="140"/>
      <c r="HF190" s="140"/>
      <c r="HG190" s="140"/>
      <c r="HH190" s="140"/>
      <c r="HI190" s="140"/>
      <c r="HJ190" s="140"/>
      <c r="HK190" s="140"/>
      <c r="HL190" s="140"/>
      <c r="HM190" s="140"/>
      <c r="HN190" s="140"/>
      <c r="HO190" s="140"/>
      <c r="HP190" s="140"/>
      <c r="HQ190" s="140"/>
      <c r="HR190" s="140"/>
      <c r="HS190" s="140"/>
      <c r="HT190" s="140"/>
      <c r="HU190" s="140"/>
      <c r="HV190" s="140"/>
      <c r="HW190" s="140"/>
      <c r="HX190" s="140"/>
      <c r="HY190" s="140"/>
      <c r="HZ190" s="140"/>
      <c r="IA190" s="140"/>
      <c r="IB190" s="140"/>
      <c r="IC190" s="140"/>
      <c r="ID190" s="140"/>
      <c r="IE190" s="475"/>
      <c r="IF190" s="140"/>
      <c r="IG190" s="140"/>
      <c r="IH190" s="140"/>
      <c r="II190" s="140"/>
      <c r="IJ190" s="140"/>
      <c r="IK190" s="140"/>
      <c r="IL190" s="140"/>
      <c r="IM190" s="140"/>
      <c r="IN190" s="140"/>
      <c r="IO190" s="140"/>
      <c r="IP190" s="140"/>
      <c r="IQ190" s="140"/>
      <c r="IR190" s="140"/>
      <c r="IS190" s="140"/>
      <c r="IT190" s="481"/>
      <c r="IU190" s="140"/>
      <c r="IV190" s="140"/>
    </row>
    <row r="191" spans="1:256" s="492" customFormat="1" ht="12.75" customHeight="1">
      <c r="C191" s="144" t="s">
        <v>4294</v>
      </c>
      <c r="D191" s="141"/>
      <c r="E191" s="320"/>
      <c r="F191" s="7"/>
      <c r="G191" s="140"/>
      <c r="H191" s="140"/>
      <c r="I191" s="474"/>
      <c r="J191" s="141"/>
      <c r="K191" s="140"/>
      <c r="L191" s="140"/>
      <c r="M191" s="140"/>
      <c r="N191" s="140"/>
      <c r="O191" s="140"/>
      <c r="P191" s="140"/>
      <c r="Q191" s="475"/>
      <c r="R191" s="476"/>
      <c r="S191" s="140"/>
      <c r="T191" s="140"/>
      <c r="U191" s="477"/>
      <c r="V191" s="140"/>
      <c r="W191" s="140"/>
      <c r="X191" s="140"/>
      <c r="Y191" s="140"/>
      <c r="Z191" s="140"/>
      <c r="AA191" s="140"/>
      <c r="AB191" s="140"/>
      <c r="AC191" s="140"/>
      <c r="AD191" s="140"/>
      <c r="AE191" s="140"/>
      <c r="AF191" s="140"/>
      <c r="AG191" s="140"/>
      <c r="AH191" s="140"/>
      <c r="AI191" s="140"/>
      <c r="AJ191" s="478"/>
      <c r="AK191" s="479"/>
      <c r="AL191" s="480"/>
      <c r="AM191" s="140"/>
      <c r="AN191" s="140"/>
      <c r="AO191" s="140"/>
      <c r="AP191" s="140"/>
      <c r="AQ191" s="140"/>
      <c r="AR191" s="140"/>
      <c r="AS191" s="140"/>
      <c r="AT191" s="140"/>
      <c r="AU191" s="140"/>
      <c r="AV191" s="140"/>
      <c r="AW191" s="140"/>
      <c r="AX191" s="140"/>
      <c r="AY191" s="140"/>
      <c r="AZ191" s="140"/>
      <c r="BA191" s="140"/>
      <c r="BB191" s="140"/>
      <c r="BC191" s="140"/>
      <c r="BD191" s="481"/>
      <c r="BE191" s="481"/>
      <c r="BF191" s="140"/>
      <c r="BG191" s="140"/>
      <c r="BH191" s="140"/>
      <c r="BI191" s="140"/>
      <c r="BJ191" s="140"/>
      <c r="BK191" s="140"/>
      <c r="BL191" s="140"/>
      <c r="BM191" s="140"/>
      <c r="BN191" s="479"/>
      <c r="BO191" s="479"/>
      <c r="BP191" s="482"/>
      <c r="BQ191" s="140"/>
      <c r="BR191" s="140"/>
      <c r="BS191" s="140"/>
      <c r="BT191" s="140"/>
      <c r="BU191" s="140"/>
      <c r="BV191" s="481"/>
      <c r="BW191" s="140"/>
      <c r="BX191" s="481"/>
      <c r="BY191" s="140"/>
      <c r="BZ191" s="140"/>
      <c r="CA191" s="140"/>
      <c r="CB191" s="140"/>
      <c r="CC191" s="140"/>
      <c r="CD191" s="483"/>
      <c r="CE191" s="484"/>
      <c r="CF191" s="140"/>
      <c r="CG191" s="140"/>
      <c r="CH191" s="140"/>
      <c r="CI191" s="140"/>
      <c r="CJ191" s="140"/>
      <c r="CK191" s="140"/>
      <c r="CL191" s="140"/>
      <c r="CM191" s="140"/>
      <c r="CN191" s="140"/>
      <c r="CO191" s="140"/>
      <c r="CP191" s="481"/>
      <c r="CQ191" s="140"/>
      <c r="CR191" s="140"/>
      <c r="CS191" s="485"/>
      <c r="CT191" s="140"/>
      <c r="CU191" s="140"/>
      <c r="CV191" s="140"/>
      <c r="CW191" s="140"/>
      <c r="CX191" s="140"/>
      <c r="CY191" s="486"/>
      <c r="CZ191" s="140"/>
      <c r="DA191" s="140"/>
      <c r="DB191" s="140"/>
      <c r="DC191" s="487"/>
      <c r="DD191" s="140"/>
      <c r="DE191" s="140"/>
      <c r="DF191" s="140"/>
      <c r="DG191" s="140"/>
      <c r="DH191" s="140"/>
      <c r="DI191" s="140"/>
      <c r="DJ191" s="140"/>
      <c r="DK191" s="140"/>
      <c r="DL191" s="488"/>
      <c r="DM191" s="140"/>
      <c r="DN191" s="140"/>
      <c r="DO191" s="140"/>
      <c r="DP191" s="140"/>
      <c r="DQ191" s="489"/>
      <c r="DR191" s="140"/>
      <c r="DS191" s="140"/>
      <c r="DT191" s="140"/>
      <c r="DU191" s="486"/>
      <c r="DV191" s="486"/>
      <c r="DW191" s="140"/>
      <c r="DX191" s="140"/>
      <c r="DY191" s="140"/>
      <c r="DZ191" s="140"/>
      <c r="EA191" s="140"/>
      <c r="EB191" s="140"/>
      <c r="EC191" s="140"/>
      <c r="ED191" s="140"/>
      <c r="EE191" s="140"/>
      <c r="EF191" s="140"/>
      <c r="EG191" s="140"/>
      <c r="EH191" s="140"/>
      <c r="EI191" s="140"/>
      <c r="EJ191" s="140"/>
      <c r="EK191" s="140"/>
      <c r="EL191" s="140"/>
      <c r="EM191" s="140"/>
      <c r="EN191" s="141"/>
      <c r="EO191" s="140"/>
      <c r="EP191" s="140"/>
      <c r="EQ191" s="140"/>
      <c r="ER191" s="140"/>
      <c r="ES191" s="140"/>
      <c r="ET191" s="481"/>
      <c r="EU191" s="140"/>
      <c r="EV191" s="140"/>
      <c r="EW191" s="140"/>
      <c r="EX191" s="140"/>
      <c r="EY191" s="140"/>
      <c r="EZ191" s="140"/>
      <c r="FA191" s="140"/>
      <c r="FB191" s="140"/>
      <c r="FC191" s="481"/>
      <c r="FD191" s="481"/>
      <c r="FE191" s="481"/>
      <c r="FF191" s="140"/>
      <c r="FG191" s="140"/>
      <c r="FH191" s="140"/>
      <c r="FI191" s="140"/>
      <c r="FJ191" s="140"/>
      <c r="FK191" s="140"/>
      <c r="FL191" s="140"/>
      <c r="FM191" s="140"/>
      <c r="FN191" s="140"/>
      <c r="FO191" s="140"/>
      <c r="FP191" s="140"/>
      <c r="FQ191" s="140"/>
      <c r="FR191" s="140"/>
      <c r="FS191" s="490"/>
      <c r="FT191" s="476"/>
      <c r="FU191" s="140"/>
      <c r="FV191" s="481"/>
      <c r="FW191" s="481"/>
      <c r="FX191" s="140"/>
      <c r="FY191" s="140"/>
      <c r="FZ191" s="140"/>
      <c r="GA191" s="140"/>
      <c r="GB191" s="140"/>
      <c r="GC191" s="140"/>
      <c r="GD191" s="491"/>
      <c r="GE191" s="140"/>
      <c r="GF191" s="140"/>
      <c r="GG191" s="140"/>
      <c r="GH191" s="140"/>
      <c r="GI191" s="140"/>
      <c r="GJ191" s="140"/>
      <c r="GK191" s="140"/>
      <c r="GL191" s="140"/>
      <c r="GM191" s="140"/>
      <c r="GN191" s="140"/>
      <c r="GO191" s="140"/>
      <c r="GP191" s="140"/>
      <c r="GQ191" s="140"/>
      <c r="GR191" s="140"/>
      <c r="GS191" s="140"/>
      <c r="GT191" s="140"/>
      <c r="GU191" s="140"/>
      <c r="GV191" s="140"/>
      <c r="GW191" s="140"/>
      <c r="GX191" s="140"/>
      <c r="GY191" s="140"/>
      <c r="GZ191" s="140"/>
      <c r="HA191" s="140"/>
      <c r="HB191" s="140"/>
      <c r="HC191" s="140"/>
      <c r="HD191" s="140"/>
      <c r="HE191" s="140"/>
      <c r="HF191" s="140"/>
      <c r="HG191" s="140"/>
      <c r="HH191" s="140"/>
      <c r="HI191" s="140"/>
      <c r="HJ191" s="140"/>
      <c r="HK191" s="140"/>
      <c r="HL191" s="140"/>
      <c r="HM191" s="140"/>
      <c r="HN191" s="140"/>
      <c r="HO191" s="140"/>
      <c r="HP191" s="140"/>
      <c r="HQ191" s="140"/>
      <c r="HR191" s="140"/>
      <c r="HS191" s="140"/>
      <c r="HT191" s="140"/>
      <c r="HU191" s="140"/>
      <c r="HV191" s="140"/>
      <c r="HW191" s="140"/>
      <c r="HX191" s="140"/>
      <c r="HY191" s="140"/>
      <c r="HZ191" s="140"/>
      <c r="IA191" s="140"/>
      <c r="IB191" s="140"/>
      <c r="IC191" s="140"/>
      <c r="ID191" s="140"/>
      <c r="IE191" s="475"/>
      <c r="IF191" s="140"/>
      <c r="IG191" s="140"/>
      <c r="IH191" s="140"/>
      <c r="II191" s="140"/>
      <c r="IJ191" s="140"/>
      <c r="IK191" s="140"/>
      <c r="IL191" s="140"/>
      <c r="IM191" s="140"/>
      <c r="IN191" s="140"/>
      <c r="IO191" s="140"/>
      <c r="IP191" s="140"/>
      <c r="IQ191" s="140"/>
      <c r="IR191" s="140"/>
      <c r="IS191" s="140"/>
      <c r="IT191" s="481"/>
      <c r="IU191" s="140"/>
      <c r="IV191" s="140"/>
    </row>
    <row r="192" spans="1:256" s="492" customFormat="1" ht="12.75" customHeight="1">
      <c r="C192" s="144" t="s">
        <v>1306</v>
      </c>
      <c r="D192" s="141"/>
      <c r="E192" s="320"/>
      <c r="F192" s="7"/>
      <c r="G192" s="140"/>
      <c r="H192" s="140"/>
      <c r="I192" s="474"/>
      <c r="J192" s="141"/>
      <c r="K192" s="140"/>
      <c r="L192" s="140"/>
      <c r="M192" s="140"/>
      <c r="N192" s="140"/>
      <c r="O192" s="140"/>
      <c r="P192" s="140"/>
      <c r="Q192" s="475"/>
      <c r="R192" s="476"/>
      <c r="S192" s="140"/>
      <c r="T192" s="140"/>
      <c r="U192" s="477"/>
      <c r="V192" s="140"/>
      <c r="W192" s="140"/>
      <c r="X192" s="140"/>
      <c r="Y192" s="140"/>
      <c r="Z192" s="140"/>
      <c r="AA192" s="140"/>
      <c r="AB192" s="140"/>
      <c r="AC192" s="140"/>
      <c r="AD192" s="140"/>
      <c r="AE192" s="140"/>
      <c r="AF192" s="140"/>
      <c r="AG192" s="140"/>
      <c r="AH192" s="140"/>
      <c r="AI192" s="140"/>
      <c r="AJ192" s="478"/>
      <c r="AK192" s="479"/>
      <c r="AL192" s="480"/>
      <c r="AM192" s="140"/>
      <c r="AN192" s="140"/>
      <c r="AO192" s="140"/>
      <c r="AP192" s="140"/>
      <c r="AQ192" s="140"/>
      <c r="AR192" s="140"/>
      <c r="AS192" s="140"/>
      <c r="AT192" s="140"/>
      <c r="AU192" s="140"/>
      <c r="AV192" s="140"/>
      <c r="AW192" s="140"/>
      <c r="AX192" s="140"/>
      <c r="AY192" s="140"/>
      <c r="AZ192" s="140"/>
      <c r="BA192" s="140"/>
      <c r="BB192" s="140"/>
      <c r="BC192" s="140"/>
      <c r="BD192" s="481"/>
      <c r="BE192" s="481"/>
      <c r="BF192" s="140"/>
      <c r="BG192" s="140"/>
      <c r="BH192" s="140"/>
      <c r="BI192" s="140"/>
      <c r="BJ192" s="140"/>
      <c r="BK192" s="140"/>
      <c r="BL192" s="140"/>
      <c r="BM192" s="140"/>
      <c r="BN192" s="479"/>
      <c r="BO192" s="479"/>
      <c r="BP192" s="482"/>
      <c r="BQ192" s="140"/>
      <c r="BR192" s="140"/>
      <c r="BS192" s="140"/>
      <c r="BT192" s="140"/>
      <c r="BU192" s="140"/>
      <c r="BV192" s="481"/>
      <c r="BW192" s="140"/>
      <c r="BX192" s="481"/>
      <c r="BY192" s="140"/>
      <c r="BZ192" s="140"/>
      <c r="CA192" s="140"/>
      <c r="CB192" s="140"/>
      <c r="CC192" s="140"/>
      <c r="CD192" s="483"/>
      <c r="CE192" s="484"/>
      <c r="CF192" s="140"/>
      <c r="CG192" s="140"/>
      <c r="CH192" s="140"/>
      <c r="CI192" s="140"/>
      <c r="CJ192" s="140"/>
      <c r="CK192" s="140"/>
      <c r="CL192" s="140"/>
      <c r="CM192" s="140"/>
      <c r="CN192" s="140"/>
      <c r="CO192" s="140"/>
      <c r="CP192" s="481"/>
      <c r="CQ192" s="140"/>
      <c r="CR192" s="140"/>
      <c r="CS192" s="485"/>
      <c r="CT192" s="140"/>
      <c r="CU192" s="140"/>
      <c r="CV192" s="140"/>
      <c r="CW192" s="140"/>
      <c r="CX192" s="140"/>
      <c r="CY192" s="486"/>
      <c r="CZ192" s="140"/>
      <c r="DA192" s="140"/>
      <c r="DB192" s="140"/>
      <c r="DC192" s="487"/>
      <c r="DD192" s="140"/>
      <c r="DE192" s="140"/>
      <c r="DF192" s="140"/>
      <c r="DG192" s="140"/>
      <c r="DH192" s="140"/>
      <c r="DI192" s="140"/>
      <c r="DJ192" s="140"/>
      <c r="DK192" s="140"/>
      <c r="DL192" s="488"/>
      <c r="DM192" s="140"/>
      <c r="DN192" s="140"/>
      <c r="DO192" s="140"/>
      <c r="DP192" s="140"/>
      <c r="DQ192" s="489"/>
      <c r="DR192" s="140"/>
      <c r="DS192" s="140"/>
      <c r="DT192" s="140"/>
      <c r="DU192" s="486"/>
      <c r="DV192" s="486"/>
      <c r="DW192" s="140"/>
      <c r="DX192" s="140"/>
      <c r="DY192" s="140"/>
      <c r="DZ192" s="140"/>
      <c r="EA192" s="140"/>
      <c r="EB192" s="140"/>
      <c r="EC192" s="140"/>
      <c r="ED192" s="140"/>
      <c r="EE192" s="140"/>
      <c r="EF192" s="140"/>
      <c r="EG192" s="140"/>
      <c r="EH192" s="140"/>
      <c r="EI192" s="140"/>
      <c r="EJ192" s="140"/>
      <c r="EK192" s="140"/>
      <c r="EL192" s="140"/>
      <c r="EM192" s="140"/>
      <c r="EN192" s="141"/>
      <c r="EO192" s="140"/>
      <c r="EP192" s="140"/>
      <c r="EQ192" s="140"/>
      <c r="ER192" s="140"/>
      <c r="ES192" s="140"/>
      <c r="ET192" s="481"/>
      <c r="EU192" s="140"/>
      <c r="EV192" s="140"/>
      <c r="EW192" s="140"/>
      <c r="EX192" s="140"/>
      <c r="EY192" s="140"/>
      <c r="EZ192" s="140"/>
      <c r="FA192" s="140"/>
      <c r="FB192" s="140"/>
      <c r="FC192" s="481"/>
      <c r="FD192" s="481"/>
      <c r="FE192" s="481"/>
      <c r="FF192" s="140"/>
      <c r="FG192" s="140"/>
      <c r="FH192" s="140"/>
      <c r="FI192" s="140"/>
      <c r="FJ192" s="140"/>
      <c r="FK192" s="140"/>
      <c r="FL192" s="140"/>
      <c r="FM192" s="140"/>
      <c r="FN192" s="140"/>
      <c r="FO192" s="140"/>
      <c r="FP192" s="140"/>
      <c r="FQ192" s="140"/>
      <c r="FR192" s="140"/>
      <c r="FS192" s="490"/>
      <c r="FT192" s="476"/>
      <c r="FU192" s="140"/>
      <c r="FV192" s="481"/>
      <c r="FW192" s="481"/>
      <c r="FX192" s="140"/>
      <c r="FY192" s="140"/>
      <c r="FZ192" s="140"/>
      <c r="GA192" s="140"/>
      <c r="GB192" s="140"/>
      <c r="GC192" s="140"/>
      <c r="GD192" s="491"/>
      <c r="GE192" s="140"/>
      <c r="GF192" s="140"/>
      <c r="GG192" s="140"/>
      <c r="GH192" s="140"/>
      <c r="GI192" s="140"/>
      <c r="GJ192" s="140"/>
      <c r="GK192" s="140"/>
      <c r="GL192" s="140"/>
      <c r="GM192" s="140"/>
      <c r="GN192" s="140"/>
      <c r="GO192" s="140"/>
      <c r="GP192" s="140"/>
      <c r="GQ192" s="140"/>
      <c r="GR192" s="140"/>
      <c r="GS192" s="140"/>
      <c r="GT192" s="140"/>
      <c r="GU192" s="140"/>
      <c r="GV192" s="140"/>
      <c r="GW192" s="140"/>
      <c r="GX192" s="140"/>
      <c r="GY192" s="140"/>
      <c r="GZ192" s="140"/>
      <c r="HA192" s="140"/>
      <c r="HB192" s="140"/>
      <c r="HC192" s="140"/>
      <c r="HD192" s="140"/>
      <c r="HE192" s="140"/>
      <c r="HF192" s="140"/>
      <c r="HG192" s="140"/>
      <c r="HH192" s="140"/>
      <c r="HI192" s="140"/>
      <c r="HJ192" s="140"/>
      <c r="HK192" s="140"/>
      <c r="HL192" s="140"/>
      <c r="HM192" s="140"/>
      <c r="HN192" s="140"/>
      <c r="HO192" s="140"/>
      <c r="HP192" s="140"/>
      <c r="HQ192" s="140"/>
      <c r="HR192" s="140"/>
      <c r="HS192" s="140"/>
      <c r="HT192" s="140"/>
      <c r="HU192" s="140"/>
      <c r="HV192" s="140"/>
      <c r="HW192" s="140"/>
      <c r="HX192" s="140"/>
      <c r="HY192" s="140"/>
      <c r="HZ192" s="140"/>
      <c r="IA192" s="140"/>
      <c r="IB192" s="140"/>
      <c r="IC192" s="140"/>
      <c r="ID192" s="140"/>
      <c r="IE192" s="475"/>
      <c r="IF192" s="140"/>
      <c r="IG192" s="140"/>
      <c r="IH192" s="140"/>
      <c r="II192" s="140"/>
      <c r="IJ192" s="140"/>
      <c r="IK192" s="140"/>
      <c r="IL192" s="140"/>
      <c r="IM192" s="140"/>
      <c r="IN192" s="140"/>
      <c r="IO192" s="140"/>
      <c r="IP192" s="140"/>
      <c r="IQ192" s="140"/>
      <c r="IR192" s="140"/>
      <c r="IS192" s="140"/>
      <c r="IT192" s="481"/>
      <c r="IU192" s="140"/>
      <c r="IV192" s="140"/>
    </row>
    <row r="193" spans="3:256" s="492" customFormat="1" ht="12.75" customHeight="1">
      <c r="C193" s="144" t="s">
        <v>4297</v>
      </c>
      <c r="D193" s="141"/>
      <c r="E193" s="140"/>
      <c r="F193" s="140"/>
      <c r="G193" s="140"/>
      <c r="H193" s="140"/>
      <c r="I193" s="474"/>
      <c r="J193" s="141"/>
      <c r="K193" s="140"/>
      <c r="L193" s="140"/>
      <c r="M193" s="140"/>
      <c r="N193" s="140"/>
      <c r="O193" s="140"/>
      <c r="P193" s="140"/>
      <c r="Q193" s="475"/>
      <c r="R193" s="476"/>
      <c r="S193" s="140"/>
      <c r="T193" s="140"/>
      <c r="U193" s="477"/>
      <c r="V193" s="140"/>
      <c r="W193" s="140"/>
      <c r="X193" s="140"/>
      <c r="Y193" s="140"/>
      <c r="Z193" s="140"/>
      <c r="AA193" s="140"/>
      <c r="AB193" s="140"/>
      <c r="AC193" s="140"/>
      <c r="AD193" s="140"/>
      <c r="AE193" s="140"/>
      <c r="AF193" s="140"/>
      <c r="AG193" s="140"/>
      <c r="AH193" s="140"/>
      <c r="AI193" s="140"/>
      <c r="AJ193" s="478"/>
      <c r="AK193" s="479"/>
      <c r="AL193" s="480"/>
      <c r="AM193" s="140"/>
      <c r="AN193" s="140"/>
      <c r="AO193" s="140"/>
      <c r="AP193" s="140"/>
      <c r="AQ193" s="140"/>
      <c r="AR193" s="140"/>
      <c r="AS193" s="140"/>
      <c r="AT193" s="140"/>
      <c r="AU193" s="140"/>
      <c r="AV193" s="140"/>
      <c r="AW193" s="140"/>
      <c r="AX193" s="140"/>
      <c r="AY193" s="140"/>
      <c r="AZ193" s="140"/>
      <c r="BA193" s="140"/>
      <c r="BB193" s="140"/>
      <c r="BC193" s="140"/>
      <c r="BD193" s="481"/>
      <c r="BE193" s="481"/>
      <c r="BF193" s="140"/>
      <c r="BG193" s="140"/>
      <c r="BH193" s="140"/>
      <c r="BI193" s="140"/>
      <c r="BJ193" s="140"/>
      <c r="BK193" s="140"/>
      <c r="BL193" s="140"/>
      <c r="BM193" s="140"/>
      <c r="BN193" s="479"/>
      <c r="BO193" s="479"/>
      <c r="BP193" s="482"/>
      <c r="BQ193" s="140"/>
      <c r="BR193" s="140"/>
      <c r="BS193" s="140"/>
      <c r="BT193" s="140"/>
      <c r="BU193" s="140"/>
      <c r="BV193" s="481"/>
      <c r="BW193" s="140"/>
      <c r="BX193" s="481"/>
      <c r="BY193" s="140"/>
      <c r="BZ193" s="140"/>
      <c r="CA193" s="140"/>
      <c r="CB193" s="140"/>
      <c r="CC193" s="140"/>
      <c r="CD193" s="483"/>
      <c r="CE193" s="484"/>
      <c r="CF193" s="140"/>
      <c r="CG193" s="140"/>
      <c r="CH193" s="140"/>
      <c r="CI193" s="140"/>
      <c r="CJ193" s="140"/>
      <c r="CK193" s="140"/>
      <c r="CL193" s="140"/>
      <c r="CM193" s="140"/>
      <c r="CN193" s="140"/>
      <c r="CO193" s="140"/>
      <c r="CP193" s="481"/>
      <c r="CQ193" s="140"/>
      <c r="CR193" s="140"/>
      <c r="CS193" s="485"/>
      <c r="CT193" s="140"/>
      <c r="CU193" s="140"/>
      <c r="CV193" s="140"/>
      <c r="CW193" s="140"/>
      <c r="CX193" s="140"/>
      <c r="CY193" s="486"/>
      <c r="CZ193" s="140"/>
      <c r="DA193" s="140"/>
      <c r="DB193" s="140"/>
      <c r="DC193" s="487"/>
      <c r="DD193" s="140"/>
      <c r="DE193" s="140"/>
      <c r="DF193" s="140"/>
      <c r="DG193" s="140"/>
      <c r="DH193" s="140"/>
      <c r="DI193" s="140"/>
      <c r="DJ193" s="140"/>
      <c r="DK193" s="140"/>
      <c r="DL193" s="488"/>
      <c r="DM193" s="140"/>
      <c r="DN193" s="140"/>
      <c r="DO193" s="140"/>
      <c r="DP193" s="140"/>
      <c r="DQ193" s="489"/>
      <c r="DR193" s="140"/>
      <c r="DS193" s="140"/>
      <c r="DT193" s="140"/>
      <c r="DU193" s="486"/>
      <c r="DV193" s="486"/>
      <c r="DW193" s="140"/>
      <c r="DX193" s="140"/>
      <c r="DY193" s="140"/>
      <c r="DZ193" s="140"/>
      <c r="EA193" s="140"/>
      <c r="EB193" s="140"/>
      <c r="EC193" s="140"/>
      <c r="ED193" s="140"/>
      <c r="EE193" s="140"/>
      <c r="EF193" s="140"/>
      <c r="EG193" s="140"/>
      <c r="EH193" s="140"/>
      <c r="EI193" s="140"/>
      <c r="EJ193" s="140"/>
      <c r="EK193" s="140"/>
      <c r="EL193" s="140"/>
      <c r="EM193" s="140"/>
      <c r="EN193" s="141"/>
      <c r="EO193" s="140"/>
      <c r="EP193" s="140"/>
      <c r="EQ193" s="140"/>
      <c r="ER193" s="140"/>
      <c r="ES193" s="140"/>
      <c r="ET193" s="481"/>
      <c r="EU193" s="140"/>
      <c r="EV193" s="140"/>
      <c r="EW193" s="140"/>
      <c r="EX193" s="140"/>
      <c r="EY193" s="140"/>
      <c r="EZ193" s="140"/>
      <c r="FA193" s="140"/>
      <c r="FB193" s="140"/>
      <c r="FC193" s="481"/>
      <c r="FD193" s="481"/>
      <c r="FE193" s="481"/>
      <c r="FF193" s="140"/>
      <c r="FG193" s="140"/>
      <c r="FH193" s="140"/>
      <c r="FI193" s="140"/>
      <c r="FJ193" s="140"/>
      <c r="FK193" s="140"/>
      <c r="FL193" s="140"/>
      <c r="FM193" s="140"/>
      <c r="FN193" s="140"/>
      <c r="FO193" s="140"/>
      <c r="FP193" s="140"/>
      <c r="FQ193" s="140"/>
      <c r="FR193" s="140"/>
      <c r="FS193" s="490"/>
      <c r="FT193" s="476"/>
      <c r="FU193" s="140"/>
      <c r="FV193" s="481"/>
      <c r="FW193" s="481"/>
      <c r="FX193" s="140"/>
      <c r="FY193" s="140"/>
      <c r="FZ193" s="140"/>
      <c r="GA193" s="140"/>
      <c r="GB193" s="140"/>
      <c r="GC193" s="140"/>
      <c r="GD193" s="491"/>
      <c r="GE193" s="140"/>
      <c r="GF193" s="140"/>
      <c r="GG193" s="140"/>
      <c r="GH193" s="140"/>
      <c r="GI193" s="140"/>
      <c r="GJ193" s="140"/>
      <c r="GK193" s="140"/>
      <c r="GL193" s="140"/>
      <c r="GM193" s="140"/>
      <c r="GN193" s="140"/>
      <c r="GO193" s="140"/>
      <c r="GP193" s="140"/>
      <c r="GQ193" s="140"/>
      <c r="GR193" s="140"/>
      <c r="GS193" s="140"/>
      <c r="GT193" s="140"/>
      <c r="GU193" s="140"/>
      <c r="GV193" s="140"/>
      <c r="GW193" s="140"/>
      <c r="GX193" s="140"/>
      <c r="GY193" s="140"/>
      <c r="GZ193" s="140"/>
      <c r="HA193" s="140"/>
      <c r="HB193" s="140"/>
      <c r="HC193" s="140"/>
      <c r="HD193" s="140"/>
      <c r="HE193" s="140"/>
      <c r="HF193" s="140"/>
      <c r="HG193" s="140"/>
      <c r="HH193" s="140"/>
      <c r="HI193" s="140"/>
      <c r="HJ193" s="140"/>
      <c r="HK193" s="140"/>
      <c r="HL193" s="140"/>
      <c r="HM193" s="140"/>
      <c r="HN193" s="140"/>
      <c r="HO193" s="140"/>
      <c r="HP193" s="140"/>
      <c r="HQ193" s="140"/>
      <c r="HR193" s="140"/>
      <c r="HS193" s="140"/>
      <c r="HT193" s="140"/>
      <c r="HU193" s="140"/>
      <c r="HV193" s="140"/>
      <c r="HW193" s="140"/>
      <c r="HX193" s="140"/>
      <c r="HY193" s="140"/>
      <c r="HZ193" s="140"/>
      <c r="IA193" s="140"/>
      <c r="IB193" s="140"/>
      <c r="IC193" s="140"/>
      <c r="ID193" s="140"/>
      <c r="IE193" s="475"/>
      <c r="IF193" s="140"/>
      <c r="IG193" s="140"/>
      <c r="IH193" s="140"/>
      <c r="II193" s="140"/>
      <c r="IJ193" s="140"/>
      <c r="IK193" s="140"/>
      <c r="IL193" s="140"/>
      <c r="IM193" s="140"/>
      <c r="IN193" s="140"/>
      <c r="IO193" s="140"/>
      <c r="IP193" s="140"/>
      <c r="IQ193" s="140"/>
      <c r="IR193" s="140"/>
      <c r="IS193" s="140"/>
      <c r="IT193" s="481"/>
      <c r="IU193" s="140"/>
      <c r="IV193" s="140"/>
    </row>
    <row r="194" spans="3:256" s="492" customFormat="1" ht="12.75" customHeight="1">
      <c r="C194" s="144" t="s">
        <v>4301</v>
      </c>
      <c r="D194" s="141"/>
      <c r="E194" s="140"/>
      <c r="F194" s="140"/>
      <c r="G194" s="140"/>
      <c r="H194" s="140"/>
      <c r="I194" s="474"/>
      <c r="J194" s="141"/>
      <c r="K194" s="140"/>
      <c r="L194" s="140"/>
      <c r="M194" s="140"/>
      <c r="N194" s="140"/>
      <c r="O194" s="140"/>
      <c r="P194" s="140"/>
      <c r="Q194" s="475"/>
      <c r="R194" s="476"/>
      <c r="S194" s="140"/>
      <c r="T194" s="140"/>
      <c r="U194" s="477"/>
      <c r="V194" s="140"/>
      <c r="W194" s="140"/>
      <c r="X194" s="140"/>
      <c r="Y194" s="140"/>
      <c r="Z194" s="140"/>
      <c r="AA194" s="140"/>
      <c r="AB194" s="140"/>
      <c r="AC194" s="140"/>
      <c r="AD194" s="140"/>
      <c r="AE194" s="140"/>
      <c r="AF194" s="140"/>
      <c r="AG194" s="140"/>
      <c r="AH194" s="140"/>
      <c r="AI194" s="140"/>
      <c r="AJ194" s="478"/>
      <c r="AK194" s="479"/>
      <c r="AL194" s="480"/>
      <c r="AM194" s="140"/>
      <c r="AN194" s="140"/>
      <c r="AO194" s="140"/>
      <c r="AP194" s="140"/>
      <c r="AQ194" s="140"/>
      <c r="AR194" s="140"/>
      <c r="AS194" s="140"/>
      <c r="AT194" s="140"/>
      <c r="AU194" s="140"/>
      <c r="AV194" s="140"/>
      <c r="AW194" s="140"/>
      <c r="AX194" s="140"/>
      <c r="AY194" s="140"/>
      <c r="AZ194" s="140"/>
      <c r="BA194" s="140"/>
      <c r="BB194" s="140"/>
      <c r="BC194" s="140"/>
      <c r="BD194" s="481"/>
      <c r="BE194" s="481"/>
      <c r="BF194" s="140"/>
      <c r="BG194" s="140"/>
      <c r="BH194" s="140"/>
      <c r="BI194" s="140"/>
      <c r="BJ194" s="140"/>
      <c r="BK194" s="140"/>
      <c r="BL194" s="140"/>
      <c r="BM194" s="140"/>
      <c r="BN194" s="479"/>
      <c r="BO194" s="479"/>
      <c r="BP194" s="482"/>
      <c r="BQ194" s="140"/>
      <c r="BR194" s="140"/>
      <c r="BS194" s="140"/>
      <c r="BT194" s="140"/>
      <c r="BU194" s="140"/>
      <c r="BV194" s="481"/>
      <c r="BW194" s="140"/>
      <c r="BX194" s="481"/>
      <c r="BY194" s="140"/>
      <c r="BZ194" s="140"/>
      <c r="CA194" s="140"/>
      <c r="CB194" s="140"/>
      <c r="CC194" s="140"/>
      <c r="CD194" s="483"/>
      <c r="CE194" s="484"/>
      <c r="CF194" s="140"/>
      <c r="CG194" s="140"/>
      <c r="CH194" s="140"/>
      <c r="CI194" s="140"/>
      <c r="CJ194" s="140"/>
      <c r="CK194" s="140"/>
      <c r="CL194" s="140"/>
      <c r="CM194" s="140"/>
      <c r="CN194" s="140"/>
      <c r="CO194" s="140"/>
      <c r="CP194" s="481"/>
      <c r="CQ194" s="140"/>
      <c r="CR194" s="140"/>
      <c r="CS194" s="485"/>
      <c r="CT194" s="140"/>
      <c r="CU194" s="140"/>
      <c r="CV194" s="140"/>
      <c r="CW194" s="140"/>
      <c r="CX194" s="140"/>
      <c r="CY194" s="486"/>
      <c r="CZ194" s="140"/>
      <c r="DA194" s="140"/>
      <c r="DB194" s="140"/>
      <c r="DC194" s="487"/>
      <c r="DD194" s="140"/>
      <c r="DE194" s="140"/>
      <c r="DF194" s="140"/>
      <c r="DG194" s="140"/>
      <c r="DH194" s="140"/>
      <c r="DI194" s="140"/>
      <c r="DJ194" s="140"/>
      <c r="DK194" s="140"/>
      <c r="DL194" s="488"/>
      <c r="DM194" s="140"/>
      <c r="DN194" s="140"/>
      <c r="DO194" s="140"/>
      <c r="DP194" s="140"/>
      <c r="DQ194" s="489"/>
      <c r="DR194" s="140"/>
      <c r="DS194" s="140"/>
      <c r="DT194" s="140"/>
      <c r="DU194" s="486"/>
      <c r="DV194" s="486"/>
      <c r="DW194" s="140"/>
      <c r="DX194" s="140"/>
      <c r="DY194" s="140"/>
      <c r="DZ194" s="140"/>
      <c r="EA194" s="140"/>
      <c r="EB194" s="140"/>
      <c r="EC194" s="140"/>
      <c r="ED194" s="140"/>
      <c r="EE194" s="140"/>
      <c r="EF194" s="140"/>
      <c r="EG194" s="140"/>
      <c r="EH194" s="140"/>
      <c r="EI194" s="140"/>
      <c r="EJ194" s="140"/>
      <c r="EK194" s="140"/>
      <c r="EL194" s="140"/>
      <c r="EM194" s="140"/>
      <c r="EN194" s="141"/>
      <c r="EO194" s="140"/>
      <c r="EP194" s="140"/>
      <c r="EQ194" s="140"/>
      <c r="ER194" s="140"/>
      <c r="ES194" s="140"/>
      <c r="ET194" s="481"/>
      <c r="EU194" s="140"/>
      <c r="EV194" s="140"/>
      <c r="EW194" s="140"/>
      <c r="EX194" s="140"/>
      <c r="EY194" s="140"/>
      <c r="EZ194" s="140"/>
      <c r="FA194" s="140"/>
      <c r="FB194" s="140"/>
      <c r="FC194" s="481"/>
      <c r="FD194" s="481"/>
      <c r="FE194" s="481"/>
      <c r="FF194" s="140"/>
      <c r="FG194" s="140"/>
      <c r="FH194" s="140"/>
      <c r="FI194" s="140"/>
      <c r="FJ194" s="140"/>
      <c r="FK194" s="140"/>
      <c r="FL194" s="140"/>
      <c r="FM194" s="140"/>
      <c r="FN194" s="140"/>
      <c r="FO194" s="140"/>
      <c r="FP194" s="140"/>
      <c r="FQ194" s="140"/>
      <c r="FR194" s="140"/>
      <c r="FS194" s="490"/>
      <c r="FT194" s="476"/>
      <c r="FU194" s="140"/>
      <c r="FV194" s="481"/>
      <c r="FW194" s="481"/>
      <c r="FX194" s="140"/>
      <c r="FY194" s="140"/>
      <c r="FZ194" s="140"/>
      <c r="GA194" s="140"/>
      <c r="GB194" s="140"/>
      <c r="GC194" s="140"/>
      <c r="GD194" s="491"/>
      <c r="GE194" s="140"/>
      <c r="GF194" s="140"/>
      <c r="GG194" s="140"/>
      <c r="GH194" s="140"/>
      <c r="GI194" s="140"/>
      <c r="GJ194" s="140"/>
      <c r="GK194" s="140"/>
      <c r="GL194" s="140"/>
      <c r="GM194" s="140"/>
      <c r="GN194" s="140"/>
      <c r="GO194" s="140"/>
      <c r="GP194" s="140"/>
      <c r="GQ194" s="140"/>
      <c r="GR194" s="140"/>
      <c r="GS194" s="140"/>
      <c r="GT194" s="140"/>
      <c r="GU194" s="140"/>
      <c r="GV194" s="140"/>
      <c r="GW194" s="140"/>
      <c r="GX194" s="140"/>
      <c r="GY194" s="140"/>
      <c r="GZ194" s="140"/>
      <c r="HA194" s="140"/>
      <c r="HB194" s="140"/>
      <c r="HC194" s="140"/>
      <c r="HD194" s="140"/>
      <c r="HE194" s="140"/>
      <c r="HF194" s="140"/>
      <c r="HG194" s="140"/>
      <c r="HH194" s="140"/>
      <c r="HI194" s="140"/>
      <c r="HJ194" s="140"/>
      <c r="HK194" s="140"/>
      <c r="HL194" s="140"/>
      <c r="HM194" s="140"/>
      <c r="HN194" s="140"/>
      <c r="HO194" s="140"/>
      <c r="HP194" s="140"/>
      <c r="HQ194" s="140"/>
      <c r="HR194" s="140"/>
      <c r="HS194" s="140"/>
      <c r="HT194" s="140"/>
      <c r="HU194" s="140"/>
      <c r="HV194" s="140"/>
      <c r="HW194" s="140"/>
      <c r="HX194" s="140"/>
      <c r="HY194" s="140"/>
      <c r="HZ194" s="140"/>
      <c r="IA194" s="140"/>
      <c r="IB194" s="140"/>
      <c r="IC194" s="140"/>
      <c r="ID194" s="140"/>
      <c r="IE194" s="475"/>
      <c r="IF194" s="140"/>
      <c r="IG194" s="140"/>
      <c r="IH194" s="140"/>
      <c r="II194" s="140"/>
      <c r="IJ194" s="140"/>
      <c r="IK194" s="140"/>
      <c r="IL194" s="140"/>
      <c r="IM194" s="140"/>
      <c r="IN194" s="140"/>
      <c r="IO194" s="140"/>
      <c r="IP194" s="140"/>
      <c r="IQ194" s="140"/>
      <c r="IR194" s="140"/>
      <c r="IS194" s="140"/>
      <c r="IT194" s="481"/>
      <c r="IU194" s="140"/>
      <c r="IV194" s="140"/>
    </row>
    <row r="195" spans="3:256" s="492" customFormat="1" ht="12.75" customHeight="1">
      <c r="C195" s="325"/>
      <c r="D195" s="141"/>
      <c r="E195" s="140"/>
      <c r="F195" s="140"/>
      <c r="G195" s="140"/>
      <c r="H195" s="140"/>
      <c r="I195" s="474"/>
      <c r="J195" s="141"/>
      <c r="K195" s="140"/>
      <c r="L195" s="140"/>
      <c r="M195" s="140"/>
      <c r="N195" s="140"/>
      <c r="O195" s="140"/>
      <c r="P195" s="140"/>
      <c r="Q195" s="475"/>
      <c r="R195" s="476"/>
      <c r="S195" s="140"/>
      <c r="T195" s="140"/>
      <c r="U195" s="477"/>
      <c r="V195" s="140"/>
      <c r="W195" s="140"/>
      <c r="X195" s="140"/>
      <c r="Y195" s="140"/>
      <c r="Z195" s="140"/>
      <c r="AA195" s="140"/>
      <c r="AB195" s="140"/>
      <c r="AC195" s="140"/>
      <c r="AD195" s="140"/>
      <c r="AE195" s="140"/>
      <c r="AF195" s="140"/>
      <c r="AG195" s="140"/>
      <c r="AH195" s="140"/>
      <c r="AI195" s="140"/>
      <c r="AJ195" s="478"/>
      <c r="AK195" s="479"/>
      <c r="AL195" s="480"/>
      <c r="AM195" s="140"/>
      <c r="AN195" s="140"/>
      <c r="AO195" s="140"/>
      <c r="AP195" s="140"/>
      <c r="AQ195" s="140"/>
      <c r="AR195" s="140"/>
      <c r="AS195" s="140"/>
      <c r="AT195" s="140"/>
      <c r="AU195" s="140"/>
      <c r="AV195" s="140"/>
      <c r="AW195" s="140"/>
      <c r="AX195" s="140"/>
      <c r="AY195" s="140"/>
      <c r="AZ195" s="140"/>
      <c r="BA195" s="140"/>
      <c r="BB195" s="140"/>
      <c r="BC195" s="140"/>
      <c r="BD195" s="481"/>
      <c r="BE195" s="481"/>
      <c r="BF195" s="140"/>
      <c r="BG195" s="140"/>
      <c r="BH195" s="140"/>
      <c r="BI195" s="140"/>
      <c r="BJ195" s="140"/>
      <c r="BK195" s="140"/>
      <c r="BL195" s="140"/>
      <c r="BM195" s="140"/>
      <c r="BN195" s="479"/>
      <c r="BO195" s="479"/>
      <c r="BP195" s="482"/>
      <c r="BQ195" s="140"/>
      <c r="BR195" s="140"/>
      <c r="BS195" s="140"/>
      <c r="BT195" s="140"/>
      <c r="BU195" s="140"/>
      <c r="BV195" s="481"/>
      <c r="BW195" s="140"/>
      <c r="BX195" s="481"/>
      <c r="BY195" s="140"/>
      <c r="BZ195" s="140"/>
      <c r="CA195" s="140"/>
      <c r="CB195" s="140"/>
      <c r="CC195" s="140"/>
      <c r="CD195" s="483"/>
      <c r="CE195" s="484"/>
      <c r="CF195" s="140"/>
      <c r="CG195" s="140"/>
      <c r="CH195" s="140"/>
      <c r="CI195" s="140"/>
      <c r="CJ195" s="140"/>
      <c r="CK195" s="140"/>
      <c r="CL195" s="140"/>
      <c r="CM195" s="140"/>
      <c r="CN195" s="140"/>
      <c r="CO195" s="140"/>
      <c r="CP195" s="481"/>
      <c r="CQ195" s="140"/>
      <c r="CR195" s="140"/>
      <c r="CS195" s="485"/>
      <c r="CT195" s="140"/>
      <c r="CU195" s="140"/>
      <c r="CV195" s="140"/>
      <c r="CW195" s="140"/>
      <c r="CX195" s="140"/>
      <c r="CY195" s="486"/>
      <c r="CZ195" s="140"/>
      <c r="DA195" s="140"/>
      <c r="DB195" s="140"/>
      <c r="DC195" s="487"/>
      <c r="DD195" s="140"/>
      <c r="DE195" s="140"/>
      <c r="DF195" s="140"/>
      <c r="DG195" s="140"/>
      <c r="DH195" s="140"/>
      <c r="DI195" s="140"/>
      <c r="DJ195" s="140"/>
      <c r="DK195" s="140"/>
      <c r="DL195" s="488"/>
      <c r="DM195" s="140"/>
      <c r="DN195" s="140"/>
      <c r="DO195" s="140"/>
      <c r="DP195" s="140"/>
      <c r="DQ195" s="489"/>
      <c r="DR195" s="140"/>
      <c r="DS195" s="140"/>
      <c r="DT195" s="140"/>
      <c r="DU195" s="486"/>
      <c r="DV195" s="486"/>
      <c r="DW195" s="140"/>
      <c r="DX195" s="140"/>
      <c r="DY195" s="140"/>
      <c r="DZ195" s="140"/>
      <c r="EA195" s="140"/>
      <c r="EB195" s="140"/>
      <c r="EC195" s="140"/>
      <c r="ED195" s="140"/>
      <c r="EE195" s="140"/>
      <c r="EF195" s="140"/>
      <c r="EG195" s="140"/>
      <c r="EH195" s="140"/>
      <c r="EI195" s="140"/>
      <c r="EJ195" s="140"/>
      <c r="EK195" s="140"/>
      <c r="EL195" s="140"/>
      <c r="EM195" s="140"/>
      <c r="EN195" s="141"/>
      <c r="EO195" s="140"/>
      <c r="EP195" s="140"/>
      <c r="EQ195" s="140"/>
      <c r="ER195" s="140"/>
      <c r="ES195" s="140"/>
      <c r="ET195" s="481"/>
      <c r="EU195" s="140"/>
      <c r="EV195" s="140"/>
      <c r="EW195" s="140"/>
      <c r="EX195" s="140"/>
      <c r="EY195" s="140"/>
      <c r="EZ195" s="140"/>
      <c r="FA195" s="140"/>
      <c r="FB195" s="140"/>
      <c r="FC195" s="481"/>
      <c r="FD195" s="481"/>
      <c r="FE195" s="481"/>
      <c r="FF195" s="140"/>
      <c r="FG195" s="140"/>
      <c r="FH195" s="140"/>
      <c r="FI195" s="140"/>
      <c r="FJ195" s="140"/>
      <c r="FK195" s="140"/>
      <c r="FL195" s="140"/>
      <c r="FM195" s="140"/>
      <c r="FN195" s="140"/>
      <c r="FO195" s="140"/>
      <c r="FP195" s="140"/>
      <c r="FQ195" s="140"/>
      <c r="FR195" s="140"/>
      <c r="FS195" s="490"/>
      <c r="FT195" s="476"/>
      <c r="FU195" s="140"/>
      <c r="FV195" s="481"/>
      <c r="FW195" s="481"/>
      <c r="FX195" s="140"/>
      <c r="FY195" s="140"/>
      <c r="FZ195" s="140"/>
      <c r="GA195" s="140"/>
      <c r="GB195" s="140"/>
      <c r="GC195" s="140"/>
      <c r="GD195" s="491"/>
      <c r="GE195" s="140"/>
      <c r="GF195" s="140"/>
      <c r="GG195" s="140"/>
      <c r="GH195" s="140"/>
      <c r="GI195" s="140"/>
      <c r="GJ195" s="140"/>
      <c r="GK195" s="140"/>
      <c r="GL195" s="140"/>
      <c r="GM195" s="140"/>
      <c r="GN195" s="140"/>
      <c r="GO195" s="140"/>
      <c r="GP195" s="140"/>
      <c r="GQ195" s="140"/>
      <c r="GR195" s="140"/>
      <c r="GS195" s="140"/>
      <c r="GT195" s="140"/>
      <c r="GU195" s="140"/>
      <c r="GV195" s="140"/>
      <c r="GW195" s="140"/>
      <c r="GX195" s="140"/>
      <c r="GY195" s="140"/>
      <c r="GZ195" s="140"/>
      <c r="HA195" s="140"/>
      <c r="HB195" s="140"/>
      <c r="HC195" s="140"/>
      <c r="HD195" s="140"/>
      <c r="HE195" s="140"/>
      <c r="HF195" s="140"/>
      <c r="HG195" s="140"/>
      <c r="HH195" s="140"/>
      <c r="HI195" s="140"/>
      <c r="HJ195" s="140"/>
      <c r="HK195" s="140"/>
      <c r="HL195" s="140"/>
      <c r="HM195" s="140"/>
      <c r="HN195" s="140"/>
      <c r="HO195" s="140"/>
      <c r="HP195" s="140"/>
      <c r="HQ195" s="140"/>
      <c r="HR195" s="140"/>
      <c r="HS195" s="140"/>
      <c r="HT195" s="140"/>
      <c r="HU195" s="140"/>
      <c r="HV195" s="140"/>
      <c r="HW195" s="140"/>
      <c r="HX195" s="140"/>
      <c r="HY195" s="140"/>
      <c r="HZ195" s="140"/>
      <c r="IA195" s="140"/>
      <c r="IB195" s="140"/>
      <c r="IC195" s="140"/>
      <c r="ID195" s="140"/>
      <c r="IE195" s="475"/>
      <c r="IF195" s="140"/>
      <c r="IG195" s="140"/>
      <c r="IH195" s="140"/>
      <c r="II195" s="140"/>
      <c r="IJ195" s="140"/>
      <c r="IK195" s="140"/>
      <c r="IL195" s="140"/>
      <c r="IM195" s="140"/>
      <c r="IN195" s="140"/>
      <c r="IO195" s="140"/>
      <c r="IP195" s="140"/>
      <c r="IQ195" s="140"/>
      <c r="IR195" s="140"/>
      <c r="IS195" s="140"/>
      <c r="IT195" s="481"/>
      <c r="IU195" s="140"/>
      <c r="IV195" s="140"/>
    </row>
    <row r="196" spans="3:256" s="492" customFormat="1" ht="12.75" customHeight="1">
      <c r="C196" s="326"/>
      <c r="D196" s="141"/>
      <c r="E196" s="140"/>
      <c r="F196" s="140"/>
      <c r="G196" s="140"/>
      <c r="H196" s="140"/>
      <c r="I196" s="474"/>
      <c r="J196" s="141"/>
      <c r="K196" s="140"/>
      <c r="L196" s="140"/>
      <c r="M196" s="140"/>
      <c r="N196" s="140"/>
      <c r="O196" s="140"/>
      <c r="P196" s="140"/>
      <c r="Q196" s="475"/>
      <c r="R196" s="476"/>
      <c r="S196" s="140"/>
      <c r="T196" s="140"/>
      <c r="U196" s="477"/>
      <c r="V196" s="140"/>
      <c r="W196" s="140"/>
      <c r="X196" s="140"/>
      <c r="Y196" s="140"/>
      <c r="Z196" s="140"/>
      <c r="AA196" s="140"/>
      <c r="AB196" s="140"/>
      <c r="AC196" s="140"/>
      <c r="AD196" s="140"/>
      <c r="AE196" s="140"/>
      <c r="AF196" s="140"/>
      <c r="AG196" s="140"/>
      <c r="AH196" s="140"/>
      <c r="AI196" s="140"/>
      <c r="AJ196" s="478"/>
      <c r="AK196" s="479"/>
      <c r="AL196" s="480"/>
      <c r="AM196" s="140"/>
      <c r="AN196" s="140"/>
      <c r="AO196" s="140"/>
      <c r="AP196" s="140"/>
      <c r="AQ196" s="140"/>
      <c r="AR196" s="140"/>
      <c r="AS196" s="140"/>
      <c r="AT196" s="140"/>
      <c r="AU196" s="140"/>
      <c r="AV196" s="140"/>
      <c r="AW196" s="140"/>
      <c r="AX196" s="140"/>
      <c r="AY196" s="140"/>
      <c r="AZ196" s="140"/>
      <c r="BA196" s="140"/>
      <c r="BB196" s="140"/>
      <c r="BC196" s="140"/>
      <c r="BD196" s="481"/>
      <c r="BE196" s="481"/>
      <c r="BF196" s="140"/>
      <c r="BG196" s="140"/>
      <c r="BH196" s="140"/>
      <c r="BI196" s="140"/>
      <c r="BJ196" s="140"/>
      <c r="BK196" s="140"/>
      <c r="BL196" s="140"/>
      <c r="BM196" s="140"/>
      <c r="BN196" s="479"/>
      <c r="BO196" s="479"/>
      <c r="BP196" s="482"/>
      <c r="BQ196" s="140"/>
      <c r="BR196" s="140"/>
      <c r="BS196" s="140"/>
      <c r="BT196" s="140"/>
      <c r="BU196" s="140"/>
      <c r="BV196" s="481"/>
      <c r="BW196" s="140"/>
      <c r="BX196" s="481"/>
      <c r="BY196" s="140"/>
      <c r="BZ196" s="140"/>
      <c r="CA196" s="140"/>
      <c r="CB196" s="140"/>
      <c r="CC196" s="140"/>
      <c r="CD196" s="483"/>
      <c r="CE196" s="484"/>
      <c r="CF196" s="140"/>
      <c r="CG196" s="140"/>
      <c r="CH196" s="140"/>
      <c r="CI196" s="140"/>
      <c r="CJ196" s="140"/>
      <c r="CK196" s="140"/>
      <c r="CL196" s="140"/>
      <c r="CM196" s="140"/>
      <c r="CN196" s="140"/>
      <c r="CO196" s="140"/>
      <c r="CP196" s="481"/>
      <c r="CQ196" s="140"/>
      <c r="CR196" s="140"/>
      <c r="CS196" s="485"/>
      <c r="CT196" s="140"/>
      <c r="CU196" s="140"/>
      <c r="CV196" s="140"/>
      <c r="CW196" s="140"/>
      <c r="CX196" s="140"/>
      <c r="CY196" s="486"/>
      <c r="CZ196" s="140"/>
      <c r="DA196" s="140"/>
      <c r="DB196" s="140"/>
      <c r="DC196" s="487"/>
      <c r="DD196" s="140"/>
      <c r="DE196" s="140"/>
      <c r="DF196" s="140"/>
      <c r="DG196" s="140"/>
      <c r="DH196" s="140"/>
      <c r="DI196" s="140"/>
      <c r="DJ196" s="140"/>
      <c r="DK196" s="140"/>
      <c r="DL196" s="488"/>
      <c r="DM196" s="140"/>
      <c r="DN196" s="140"/>
      <c r="DO196" s="140"/>
      <c r="DP196" s="140"/>
      <c r="DQ196" s="489"/>
      <c r="DR196" s="140"/>
      <c r="DS196" s="140"/>
      <c r="DT196" s="140"/>
      <c r="DU196" s="486"/>
      <c r="DV196" s="486"/>
      <c r="DW196" s="140"/>
      <c r="DX196" s="140"/>
      <c r="DY196" s="140"/>
      <c r="DZ196" s="140"/>
      <c r="EA196" s="140"/>
      <c r="EB196" s="140"/>
      <c r="EC196" s="140"/>
      <c r="ED196" s="140"/>
      <c r="EE196" s="140"/>
      <c r="EF196" s="140"/>
      <c r="EG196" s="140"/>
      <c r="EH196" s="140"/>
      <c r="EI196" s="140"/>
      <c r="EJ196" s="140"/>
      <c r="EK196" s="140"/>
      <c r="EL196" s="140"/>
      <c r="EM196" s="140"/>
      <c r="EN196" s="141"/>
      <c r="EO196" s="140"/>
      <c r="EP196" s="140"/>
      <c r="EQ196" s="140"/>
      <c r="ER196" s="140"/>
      <c r="ES196" s="140"/>
      <c r="ET196" s="481"/>
      <c r="EU196" s="140"/>
      <c r="EV196" s="140"/>
      <c r="EW196" s="140"/>
      <c r="EX196" s="140"/>
      <c r="EY196" s="140"/>
      <c r="EZ196" s="140"/>
      <c r="FA196" s="140"/>
      <c r="FB196" s="140"/>
      <c r="FC196" s="481"/>
      <c r="FD196" s="481"/>
      <c r="FE196" s="481"/>
      <c r="FF196" s="140"/>
      <c r="FG196" s="140"/>
      <c r="FH196" s="140"/>
      <c r="FI196" s="140"/>
      <c r="FJ196" s="140"/>
      <c r="FK196" s="140"/>
      <c r="FL196" s="140"/>
      <c r="FM196" s="140"/>
      <c r="FN196" s="140"/>
      <c r="FO196" s="140"/>
      <c r="FP196" s="140"/>
      <c r="FQ196" s="140"/>
      <c r="FR196" s="140"/>
      <c r="FS196" s="490"/>
      <c r="FT196" s="476"/>
      <c r="FU196" s="140"/>
      <c r="FV196" s="481"/>
      <c r="FW196" s="481"/>
      <c r="FX196" s="140"/>
      <c r="FY196" s="140"/>
      <c r="FZ196" s="140"/>
      <c r="GA196" s="140"/>
      <c r="GB196" s="140"/>
      <c r="GC196" s="140"/>
      <c r="GD196" s="491"/>
      <c r="GE196" s="140"/>
      <c r="GF196" s="140"/>
      <c r="GG196" s="140"/>
      <c r="GH196" s="140"/>
      <c r="GI196" s="140"/>
      <c r="GJ196" s="140"/>
      <c r="GK196" s="140"/>
      <c r="GL196" s="140"/>
      <c r="GM196" s="140"/>
      <c r="GN196" s="140"/>
      <c r="GO196" s="140"/>
      <c r="GP196" s="140"/>
      <c r="GQ196" s="140"/>
      <c r="GR196" s="140"/>
      <c r="GS196" s="140"/>
      <c r="GT196" s="140"/>
      <c r="GU196" s="140"/>
      <c r="GV196" s="140"/>
      <c r="GW196" s="140"/>
      <c r="GX196" s="140"/>
      <c r="GY196" s="140"/>
      <c r="GZ196" s="140"/>
      <c r="HA196" s="140"/>
      <c r="HB196" s="140"/>
      <c r="HC196" s="140"/>
      <c r="HD196" s="140"/>
      <c r="HE196" s="140"/>
      <c r="HF196" s="140"/>
      <c r="HG196" s="140"/>
      <c r="HH196" s="140"/>
      <c r="HI196" s="140"/>
      <c r="HJ196" s="140"/>
      <c r="HK196" s="140"/>
      <c r="HL196" s="140"/>
      <c r="HM196" s="140"/>
      <c r="HN196" s="140"/>
      <c r="HO196" s="140"/>
      <c r="HP196" s="140"/>
      <c r="HQ196" s="140"/>
      <c r="HR196" s="140"/>
      <c r="HS196" s="140"/>
      <c r="HT196" s="140"/>
      <c r="HU196" s="140"/>
      <c r="HV196" s="140"/>
      <c r="HW196" s="140"/>
      <c r="HX196" s="140"/>
      <c r="HY196" s="140"/>
      <c r="HZ196" s="140"/>
      <c r="IA196" s="140"/>
      <c r="IB196" s="140"/>
      <c r="IC196" s="140"/>
      <c r="ID196" s="140"/>
      <c r="IE196" s="475"/>
      <c r="IF196" s="140"/>
      <c r="IG196" s="140"/>
      <c r="IH196" s="140"/>
      <c r="II196" s="140"/>
      <c r="IJ196" s="140"/>
      <c r="IK196" s="140"/>
      <c r="IL196" s="140"/>
      <c r="IM196" s="140"/>
      <c r="IN196" s="140"/>
      <c r="IO196" s="140"/>
      <c r="IP196" s="140"/>
      <c r="IQ196" s="140"/>
      <c r="IR196" s="140"/>
      <c r="IS196" s="140"/>
      <c r="IT196" s="481"/>
      <c r="IU196" s="140"/>
      <c r="IV196" s="140"/>
    </row>
    <row r="197" spans="3:256" s="492" customFormat="1" ht="12.75" customHeight="1">
      <c r="C197" s="144" t="s">
        <v>4353</v>
      </c>
      <c r="D197" s="141"/>
      <c r="E197" s="140"/>
      <c r="F197" s="140"/>
      <c r="G197" s="140"/>
      <c r="H197" s="140"/>
      <c r="I197" s="474"/>
      <c r="J197" s="141"/>
      <c r="K197" s="140"/>
      <c r="L197" s="140"/>
      <c r="M197" s="140"/>
      <c r="N197" s="140"/>
      <c r="O197" s="140"/>
      <c r="P197" s="140"/>
      <c r="Q197" s="475"/>
      <c r="R197" s="476"/>
      <c r="S197" s="140"/>
      <c r="T197" s="140"/>
      <c r="U197" s="477"/>
      <c r="V197" s="140"/>
      <c r="W197" s="140"/>
      <c r="X197" s="140"/>
      <c r="Y197" s="140"/>
      <c r="Z197" s="140"/>
      <c r="AA197" s="140"/>
      <c r="AB197" s="140"/>
      <c r="AC197" s="140"/>
      <c r="AD197" s="140"/>
      <c r="AE197" s="140"/>
      <c r="AF197" s="140"/>
      <c r="AG197" s="140"/>
      <c r="AH197" s="140"/>
      <c r="AI197" s="140"/>
      <c r="AJ197" s="478"/>
      <c r="AK197" s="479"/>
      <c r="AL197" s="480"/>
      <c r="AM197" s="140"/>
      <c r="AN197" s="140"/>
      <c r="AO197" s="140"/>
      <c r="AP197" s="140"/>
      <c r="AQ197" s="140"/>
      <c r="AR197" s="140"/>
      <c r="AS197" s="140"/>
      <c r="AT197" s="140"/>
      <c r="AU197" s="140"/>
      <c r="AV197" s="140"/>
      <c r="AW197" s="140"/>
      <c r="AX197" s="140"/>
      <c r="AY197" s="140"/>
      <c r="AZ197" s="140"/>
      <c r="BA197" s="140"/>
      <c r="BB197" s="140"/>
      <c r="BC197" s="140"/>
      <c r="BD197" s="481"/>
      <c r="BE197" s="481"/>
      <c r="BF197" s="140"/>
      <c r="BG197" s="140"/>
      <c r="BH197" s="140"/>
      <c r="BI197" s="140"/>
      <c r="BJ197" s="140"/>
      <c r="BK197" s="140"/>
      <c r="BL197" s="140"/>
      <c r="BM197" s="140"/>
      <c r="BN197" s="479"/>
      <c r="BO197" s="479"/>
      <c r="BP197" s="482"/>
      <c r="BQ197" s="140"/>
      <c r="BR197" s="140"/>
      <c r="BS197" s="140"/>
      <c r="BT197" s="140"/>
      <c r="BU197" s="140"/>
      <c r="BV197" s="481"/>
      <c r="BW197" s="140"/>
      <c r="BX197" s="481"/>
      <c r="BY197" s="140"/>
      <c r="BZ197" s="140"/>
      <c r="CA197" s="140"/>
      <c r="CB197" s="140"/>
      <c r="CC197" s="140"/>
      <c r="CD197" s="483"/>
      <c r="CE197" s="484"/>
      <c r="CF197" s="140"/>
      <c r="CG197" s="140"/>
      <c r="CH197" s="140"/>
      <c r="CI197" s="140"/>
      <c r="CJ197" s="140"/>
      <c r="CK197" s="140"/>
      <c r="CL197" s="140"/>
      <c r="CM197" s="140"/>
      <c r="CN197" s="140"/>
      <c r="CO197" s="140"/>
      <c r="CP197" s="481"/>
      <c r="CQ197" s="140"/>
      <c r="CR197" s="140"/>
      <c r="CS197" s="485"/>
      <c r="CT197" s="140"/>
      <c r="CU197" s="140"/>
      <c r="CV197" s="140"/>
      <c r="CW197" s="140"/>
      <c r="CX197" s="140"/>
      <c r="CY197" s="486"/>
      <c r="CZ197" s="140"/>
      <c r="DA197" s="140"/>
      <c r="DB197" s="140"/>
      <c r="DC197" s="487"/>
      <c r="DD197" s="140"/>
      <c r="DE197" s="140"/>
      <c r="DF197" s="140"/>
      <c r="DG197" s="140"/>
      <c r="DH197" s="140"/>
      <c r="DI197" s="140"/>
      <c r="DJ197" s="140"/>
      <c r="DK197" s="140"/>
      <c r="DL197" s="488"/>
      <c r="DM197" s="140"/>
      <c r="DN197" s="140"/>
      <c r="DO197" s="140"/>
      <c r="DP197" s="140"/>
      <c r="DQ197" s="489"/>
      <c r="DR197" s="140"/>
      <c r="DS197" s="140"/>
      <c r="DT197" s="140"/>
      <c r="DU197" s="486"/>
      <c r="DV197" s="486"/>
      <c r="DW197" s="140"/>
      <c r="DX197" s="140"/>
      <c r="DY197" s="140"/>
      <c r="DZ197" s="140"/>
      <c r="EA197" s="140"/>
      <c r="EB197" s="140"/>
      <c r="EC197" s="140"/>
      <c r="ED197" s="140"/>
      <c r="EE197" s="140"/>
      <c r="EF197" s="140"/>
      <c r="EG197" s="140"/>
      <c r="EH197" s="140"/>
      <c r="EI197" s="140"/>
      <c r="EJ197" s="140"/>
      <c r="EK197" s="140"/>
      <c r="EL197" s="140"/>
      <c r="EM197" s="140"/>
      <c r="EN197" s="141"/>
      <c r="EO197" s="140"/>
      <c r="EP197" s="140"/>
      <c r="EQ197" s="140"/>
      <c r="ER197" s="140"/>
      <c r="ES197" s="140"/>
      <c r="ET197" s="481"/>
      <c r="EU197" s="140"/>
      <c r="EV197" s="140"/>
      <c r="EW197" s="140"/>
      <c r="EX197" s="140"/>
      <c r="EY197" s="140"/>
      <c r="EZ197" s="140"/>
      <c r="FA197" s="140"/>
      <c r="FB197" s="140"/>
      <c r="FC197" s="481"/>
      <c r="FD197" s="481"/>
      <c r="FE197" s="481"/>
      <c r="FF197" s="140"/>
      <c r="FG197" s="140"/>
      <c r="FH197" s="140"/>
      <c r="FI197" s="140"/>
      <c r="FJ197" s="140"/>
      <c r="FK197" s="140"/>
      <c r="FL197" s="140"/>
      <c r="FM197" s="140"/>
      <c r="FN197" s="140"/>
      <c r="FO197" s="140"/>
      <c r="FP197" s="140"/>
      <c r="FQ197" s="140"/>
      <c r="FR197" s="140"/>
      <c r="FS197" s="490"/>
      <c r="FT197" s="476"/>
      <c r="FU197" s="140"/>
      <c r="FV197" s="481"/>
      <c r="FW197" s="481"/>
      <c r="FX197" s="140"/>
      <c r="FY197" s="140"/>
      <c r="FZ197" s="140"/>
      <c r="GA197" s="140"/>
      <c r="GB197" s="140"/>
      <c r="GC197" s="140"/>
      <c r="GD197" s="491"/>
      <c r="GE197" s="140"/>
      <c r="GF197" s="140"/>
      <c r="GG197" s="140"/>
      <c r="GH197" s="140"/>
      <c r="GI197" s="140"/>
      <c r="GJ197" s="140"/>
      <c r="GK197" s="140"/>
      <c r="GL197" s="140"/>
      <c r="GM197" s="140"/>
      <c r="GN197" s="140"/>
      <c r="GO197" s="140"/>
      <c r="GP197" s="140"/>
      <c r="GQ197" s="140"/>
      <c r="GR197" s="140"/>
      <c r="GS197" s="140"/>
      <c r="GT197" s="140"/>
      <c r="GU197" s="140"/>
      <c r="GV197" s="140"/>
      <c r="GW197" s="140"/>
      <c r="GX197" s="140"/>
      <c r="GY197" s="140"/>
      <c r="GZ197" s="140"/>
      <c r="HA197" s="140"/>
      <c r="HB197" s="140"/>
      <c r="HC197" s="140"/>
      <c r="HD197" s="140"/>
      <c r="HE197" s="140"/>
      <c r="HF197" s="140"/>
      <c r="HG197" s="140"/>
      <c r="HH197" s="140"/>
      <c r="HI197" s="140"/>
      <c r="HJ197" s="140"/>
      <c r="HK197" s="140"/>
      <c r="HL197" s="140"/>
      <c r="HM197" s="140"/>
      <c r="HN197" s="140"/>
      <c r="HO197" s="140"/>
      <c r="HP197" s="140"/>
      <c r="HQ197" s="140"/>
      <c r="HR197" s="140"/>
      <c r="HS197" s="140"/>
      <c r="HT197" s="140"/>
      <c r="HU197" s="140"/>
      <c r="HV197" s="140"/>
      <c r="HW197" s="140"/>
      <c r="HX197" s="140"/>
      <c r="HY197" s="140"/>
      <c r="HZ197" s="140"/>
      <c r="IA197" s="140"/>
      <c r="IB197" s="140"/>
      <c r="IC197" s="140"/>
      <c r="ID197" s="140"/>
      <c r="IE197" s="475"/>
      <c r="IF197" s="140"/>
      <c r="IG197" s="140"/>
      <c r="IH197" s="140"/>
      <c r="II197" s="140"/>
      <c r="IJ197" s="140"/>
      <c r="IK197" s="140"/>
      <c r="IL197" s="140"/>
      <c r="IM197" s="140"/>
      <c r="IN197" s="140"/>
      <c r="IO197" s="140"/>
      <c r="IP197" s="140"/>
      <c r="IQ197" s="140"/>
      <c r="IR197" s="140"/>
      <c r="IS197" s="140"/>
      <c r="IT197" s="481"/>
      <c r="IU197" s="140"/>
      <c r="IV197" s="140"/>
    </row>
    <row r="198" spans="3:256" s="492" customFormat="1" ht="12.75" customHeight="1">
      <c r="C198" s="144" t="s">
        <v>1352</v>
      </c>
      <c r="D198" s="141"/>
      <c r="E198" s="140"/>
      <c r="F198" s="140"/>
      <c r="G198" s="140"/>
      <c r="H198" s="140"/>
      <c r="I198" s="474"/>
      <c r="J198" s="141"/>
      <c r="K198" s="140"/>
      <c r="L198" s="140"/>
      <c r="M198" s="140"/>
      <c r="N198" s="140"/>
      <c r="O198" s="140"/>
      <c r="P198" s="140"/>
      <c r="Q198" s="475"/>
      <c r="R198" s="476"/>
      <c r="S198" s="140"/>
      <c r="T198" s="140"/>
      <c r="U198" s="477"/>
      <c r="V198" s="140"/>
      <c r="W198" s="140"/>
      <c r="X198" s="140"/>
      <c r="Y198" s="140"/>
      <c r="Z198" s="140"/>
      <c r="AA198" s="140"/>
      <c r="AB198" s="140"/>
      <c r="AC198" s="140"/>
      <c r="AD198" s="140"/>
      <c r="AE198" s="140"/>
      <c r="AF198" s="140"/>
      <c r="AG198" s="140"/>
      <c r="AH198" s="140"/>
      <c r="AI198" s="140"/>
      <c r="AJ198" s="478"/>
      <c r="AK198" s="479"/>
      <c r="AL198" s="480"/>
      <c r="AM198" s="140"/>
      <c r="AN198" s="140"/>
      <c r="AO198" s="140"/>
      <c r="AP198" s="140"/>
      <c r="AQ198" s="140"/>
      <c r="AR198" s="140"/>
      <c r="AS198" s="140"/>
      <c r="AT198" s="140"/>
      <c r="AU198" s="140"/>
      <c r="AV198" s="140"/>
      <c r="AW198" s="140"/>
      <c r="AX198" s="140"/>
      <c r="AY198" s="140"/>
      <c r="AZ198" s="140"/>
      <c r="BA198" s="140"/>
      <c r="BB198" s="140"/>
      <c r="BC198" s="140"/>
      <c r="BD198" s="481"/>
      <c r="BE198" s="481"/>
      <c r="BF198" s="140"/>
      <c r="BG198" s="140"/>
      <c r="BH198" s="140"/>
      <c r="BI198" s="140"/>
      <c r="BJ198" s="140"/>
      <c r="BK198" s="140"/>
      <c r="BL198" s="140"/>
      <c r="BM198" s="140"/>
      <c r="BN198" s="479"/>
      <c r="BO198" s="479"/>
      <c r="BP198" s="482"/>
      <c r="BQ198" s="140"/>
      <c r="BR198" s="140"/>
      <c r="BS198" s="140"/>
      <c r="BT198" s="140"/>
      <c r="BU198" s="140"/>
      <c r="BV198" s="481"/>
      <c r="BW198" s="140"/>
      <c r="BX198" s="481"/>
      <c r="BY198" s="140"/>
      <c r="BZ198" s="140"/>
      <c r="CA198" s="140"/>
      <c r="CB198" s="140"/>
      <c r="CC198" s="140"/>
      <c r="CD198" s="483"/>
      <c r="CE198" s="484"/>
      <c r="CF198" s="140"/>
      <c r="CG198" s="140"/>
      <c r="CH198" s="140"/>
      <c r="CI198" s="140"/>
      <c r="CJ198" s="140"/>
      <c r="CK198" s="140"/>
      <c r="CL198" s="140"/>
      <c r="CM198" s="140"/>
      <c r="CN198" s="140"/>
      <c r="CO198" s="140"/>
      <c r="CP198" s="481"/>
      <c r="CQ198" s="140"/>
      <c r="CR198" s="140"/>
      <c r="CS198" s="485"/>
      <c r="CT198" s="140"/>
      <c r="CU198" s="140"/>
      <c r="CV198" s="140"/>
      <c r="CW198" s="140"/>
      <c r="CX198" s="140"/>
      <c r="CY198" s="486"/>
      <c r="CZ198" s="140"/>
      <c r="DA198" s="140"/>
      <c r="DB198" s="140"/>
      <c r="DC198" s="487"/>
      <c r="DD198" s="140"/>
      <c r="DE198" s="140"/>
      <c r="DF198" s="140"/>
      <c r="DG198" s="140"/>
      <c r="DH198" s="140"/>
      <c r="DI198" s="140"/>
      <c r="DJ198" s="140"/>
      <c r="DK198" s="140"/>
      <c r="DL198" s="488"/>
      <c r="DM198" s="140"/>
      <c r="DN198" s="140"/>
      <c r="DO198" s="140"/>
      <c r="DP198" s="140"/>
      <c r="DQ198" s="489"/>
      <c r="DR198" s="140"/>
      <c r="DS198" s="140"/>
      <c r="DT198" s="140"/>
      <c r="DU198" s="486"/>
      <c r="DV198" s="486"/>
      <c r="DW198" s="140"/>
      <c r="DX198" s="140"/>
      <c r="DY198" s="140"/>
      <c r="DZ198" s="140"/>
      <c r="EA198" s="140"/>
      <c r="EB198" s="140"/>
      <c r="EC198" s="140"/>
      <c r="ED198" s="140"/>
      <c r="EE198" s="140"/>
      <c r="EF198" s="140"/>
      <c r="EG198" s="140"/>
      <c r="EH198" s="140"/>
      <c r="EI198" s="140"/>
      <c r="EJ198" s="140"/>
      <c r="EK198" s="140"/>
      <c r="EL198" s="140"/>
      <c r="EM198" s="140"/>
      <c r="EN198" s="141"/>
      <c r="EO198" s="140"/>
      <c r="EP198" s="140"/>
      <c r="EQ198" s="140"/>
      <c r="ER198" s="140"/>
      <c r="ES198" s="140"/>
      <c r="ET198" s="481"/>
      <c r="EU198" s="140"/>
      <c r="EV198" s="140"/>
      <c r="EW198" s="140"/>
      <c r="EX198" s="140"/>
      <c r="EY198" s="140"/>
      <c r="EZ198" s="140"/>
      <c r="FA198" s="140"/>
      <c r="FB198" s="140"/>
      <c r="FC198" s="481"/>
      <c r="FD198" s="481"/>
      <c r="FE198" s="481"/>
      <c r="FF198" s="140"/>
      <c r="FG198" s="140"/>
      <c r="FH198" s="140"/>
      <c r="FI198" s="140"/>
      <c r="FJ198" s="140"/>
      <c r="FK198" s="140"/>
      <c r="FL198" s="140"/>
      <c r="FM198" s="140"/>
      <c r="FN198" s="140"/>
      <c r="FO198" s="140"/>
      <c r="FP198" s="140"/>
      <c r="FQ198" s="140"/>
      <c r="FR198" s="140"/>
      <c r="FS198" s="490"/>
      <c r="FT198" s="476"/>
      <c r="FU198" s="140"/>
      <c r="FV198" s="481"/>
      <c r="FW198" s="481"/>
      <c r="FX198" s="140"/>
      <c r="FY198" s="140"/>
      <c r="FZ198" s="140"/>
      <c r="GA198" s="140"/>
      <c r="GB198" s="140"/>
      <c r="GC198" s="140"/>
      <c r="GD198" s="491"/>
      <c r="GE198" s="140"/>
      <c r="GF198" s="140"/>
      <c r="GG198" s="140"/>
      <c r="GH198" s="140"/>
      <c r="GI198" s="140"/>
      <c r="GJ198" s="140"/>
      <c r="GK198" s="140"/>
      <c r="GL198" s="140"/>
      <c r="GM198" s="140"/>
      <c r="GN198" s="140"/>
      <c r="GO198" s="140"/>
      <c r="GP198" s="140"/>
      <c r="GQ198" s="140"/>
      <c r="GR198" s="140"/>
      <c r="GS198" s="140"/>
      <c r="GT198" s="140"/>
      <c r="GU198" s="140"/>
      <c r="GV198" s="140"/>
      <c r="GW198" s="140"/>
      <c r="GX198" s="140"/>
      <c r="GY198" s="140"/>
      <c r="GZ198" s="140"/>
      <c r="HA198" s="140"/>
      <c r="HB198" s="140"/>
      <c r="HC198" s="140"/>
      <c r="HD198" s="140"/>
      <c r="HE198" s="140"/>
      <c r="HF198" s="140"/>
      <c r="HG198" s="140"/>
      <c r="HH198" s="140"/>
      <c r="HI198" s="140"/>
      <c r="HJ198" s="140"/>
      <c r="HK198" s="140"/>
      <c r="HL198" s="140"/>
      <c r="HM198" s="140"/>
      <c r="HN198" s="140"/>
      <c r="HO198" s="140"/>
      <c r="HP198" s="140"/>
      <c r="HQ198" s="140"/>
      <c r="HR198" s="140"/>
      <c r="HS198" s="140"/>
      <c r="HT198" s="140"/>
      <c r="HU198" s="140"/>
      <c r="HV198" s="140"/>
      <c r="HW198" s="140"/>
      <c r="HX198" s="140"/>
      <c r="HY198" s="140"/>
      <c r="HZ198" s="140"/>
      <c r="IA198" s="140"/>
      <c r="IB198" s="140"/>
      <c r="IC198" s="140"/>
      <c r="ID198" s="140"/>
      <c r="IE198" s="475"/>
      <c r="IF198" s="140"/>
      <c r="IG198" s="140"/>
      <c r="IH198" s="140"/>
      <c r="II198" s="140"/>
      <c r="IJ198" s="140"/>
      <c r="IK198" s="140"/>
      <c r="IL198" s="140"/>
      <c r="IM198" s="140"/>
      <c r="IN198" s="140"/>
      <c r="IO198" s="140"/>
      <c r="IP198" s="140"/>
      <c r="IQ198" s="140"/>
      <c r="IR198" s="140"/>
      <c r="IS198" s="140"/>
      <c r="IT198" s="481"/>
      <c r="IU198" s="140"/>
      <c r="IV198" s="140"/>
    </row>
    <row r="199" spans="3:256" s="492" customFormat="1" ht="12.75" customHeight="1">
      <c r="C199" s="144" t="s">
        <v>5324</v>
      </c>
      <c r="D199" s="141"/>
      <c r="E199" s="140"/>
      <c r="F199" s="140"/>
      <c r="G199" s="140"/>
      <c r="H199" s="140"/>
      <c r="I199" s="474"/>
      <c r="J199" s="141"/>
      <c r="K199" s="140"/>
      <c r="L199" s="140"/>
      <c r="M199" s="140"/>
      <c r="N199" s="140"/>
      <c r="O199" s="140"/>
      <c r="P199" s="140"/>
      <c r="Q199" s="475"/>
      <c r="R199" s="476"/>
      <c r="S199" s="140"/>
      <c r="T199" s="140"/>
      <c r="U199" s="477"/>
      <c r="V199" s="140"/>
      <c r="W199" s="140"/>
      <c r="X199" s="140"/>
      <c r="Y199" s="140"/>
      <c r="Z199" s="140"/>
      <c r="AA199" s="140"/>
      <c r="AB199" s="140"/>
      <c r="AC199" s="140"/>
      <c r="AD199" s="140"/>
      <c r="AE199" s="140"/>
      <c r="AF199" s="140"/>
      <c r="AG199" s="140"/>
      <c r="AH199" s="140"/>
      <c r="AI199" s="140"/>
      <c r="AJ199" s="478"/>
      <c r="AK199" s="479"/>
      <c r="AL199" s="480"/>
      <c r="AM199" s="140"/>
      <c r="AN199" s="140"/>
      <c r="AO199" s="140"/>
      <c r="AP199" s="140"/>
      <c r="AQ199" s="140"/>
      <c r="AR199" s="140"/>
      <c r="AS199" s="140"/>
      <c r="AT199" s="140"/>
      <c r="AU199" s="140"/>
      <c r="AV199" s="140"/>
      <c r="AW199" s="140"/>
      <c r="AX199" s="140"/>
      <c r="AY199" s="140"/>
      <c r="AZ199" s="140"/>
      <c r="BA199" s="140"/>
      <c r="BB199" s="140"/>
      <c r="BC199" s="140"/>
      <c r="BD199" s="481"/>
      <c r="BE199" s="481"/>
      <c r="BF199" s="140"/>
      <c r="BG199" s="140"/>
      <c r="BH199" s="140"/>
      <c r="BI199" s="140"/>
      <c r="BJ199" s="140"/>
      <c r="BK199" s="140"/>
      <c r="BL199" s="140"/>
      <c r="BM199" s="140"/>
      <c r="BN199" s="479"/>
      <c r="BO199" s="479"/>
      <c r="BP199" s="482"/>
      <c r="BQ199" s="140"/>
      <c r="BR199" s="140"/>
      <c r="BS199" s="140"/>
      <c r="BT199" s="140"/>
      <c r="BU199" s="140"/>
      <c r="BV199" s="481"/>
      <c r="BW199" s="140"/>
      <c r="BX199" s="481"/>
      <c r="BY199" s="140"/>
      <c r="BZ199" s="140"/>
      <c r="CA199" s="140"/>
      <c r="CB199" s="140"/>
      <c r="CC199" s="140"/>
      <c r="CD199" s="483"/>
      <c r="CE199" s="484"/>
      <c r="CF199" s="140"/>
      <c r="CG199" s="140"/>
      <c r="CH199" s="140"/>
      <c r="CI199" s="140"/>
      <c r="CJ199" s="140"/>
      <c r="CK199" s="140"/>
      <c r="CL199" s="140"/>
      <c r="CM199" s="140"/>
      <c r="CN199" s="140"/>
      <c r="CO199" s="140"/>
      <c r="CP199" s="481"/>
      <c r="CQ199" s="140"/>
      <c r="CR199" s="140"/>
      <c r="CS199" s="485"/>
      <c r="CT199" s="140"/>
      <c r="CU199" s="140"/>
      <c r="CV199" s="140"/>
      <c r="CW199" s="140"/>
      <c r="CX199" s="140"/>
      <c r="CY199" s="486"/>
      <c r="CZ199" s="140"/>
      <c r="DA199" s="140"/>
      <c r="DB199" s="140"/>
      <c r="DC199" s="487"/>
      <c r="DD199" s="140"/>
      <c r="DE199" s="140"/>
      <c r="DF199" s="140"/>
      <c r="DG199" s="140"/>
      <c r="DH199" s="140"/>
      <c r="DI199" s="140"/>
      <c r="DJ199" s="140"/>
      <c r="DK199" s="140"/>
      <c r="DL199" s="488"/>
      <c r="DM199" s="140"/>
      <c r="DN199" s="140"/>
      <c r="DO199" s="140"/>
      <c r="DP199" s="140"/>
      <c r="DQ199" s="489"/>
      <c r="DR199" s="140"/>
      <c r="DS199" s="140"/>
      <c r="DT199" s="140"/>
      <c r="DU199" s="486"/>
      <c r="DV199" s="486"/>
      <c r="DW199" s="140"/>
      <c r="DX199" s="140"/>
      <c r="DY199" s="140"/>
      <c r="DZ199" s="140"/>
      <c r="EA199" s="140"/>
      <c r="EB199" s="140"/>
      <c r="EC199" s="140"/>
      <c r="ED199" s="140"/>
      <c r="EE199" s="140"/>
      <c r="EF199" s="140"/>
      <c r="EG199" s="140"/>
      <c r="EH199" s="140"/>
      <c r="EI199" s="140"/>
      <c r="EJ199" s="140"/>
      <c r="EK199" s="140"/>
      <c r="EL199" s="140"/>
      <c r="EM199" s="140"/>
      <c r="EN199" s="141"/>
      <c r="EO199" s="140"/>
      <c r="EP199" s="140"/>
      <c r="EQ199" s="140"/>
      <c r="ER199" s="140"/>
      <c r="ES199" s="140"/>
      <c r="ET199" s="481"/>
      <c r="EU199" s="140"/>
      <c r="EV199" s="140"/>
      <c r="EW199" s="140"/>
      <c r="EX199" s="140"/>
      <c r="EY199" s="140"/>
      <c r="EZ199" s="140"/>
      <c r="FA199" s="140"/>
      <c r="FB199" s="140"/>
      <c r="FC199" s="481"/>
      <c r="FD199" s="481"/>
      <c r="FE199" s="481"/>
      <c r="FF199" s="140"/>
      <c r="FG199" s="140"/>
      <c r="FH199" s="140"/>
      <c r="FI199" s="140"/>
      <c r="FJ199" s="140"/>
      <c r="FK199" s="140"/>
      <c r="FL199" s="140"/>
      <c r="FM199" s="140"/>
      <c r="FN199" s="140"/>
      <c r="FO199" s="140"/>
      <c r="FP199" s="140"/>
      <c r="FQ199" s="140"/>
      <c r="FR199" s="140"/>
      <c r="FS199" s="490"/>
      <c r="FT199" s="476"/>
      <c r="FU199" s="140"/>
      <c r="FV199" s="481"/>
      <c r="FW199" s="481"/>
      <c r="FX199" s="140"/>
      <c r="FY199" s="140"/>
      <c r="FZ199" s="140"/>
      <c r="GA199" s="140"/>
      <c r="GB199" s="140"/>
      <c r="GC199" s="140"/>
      <c r="GD199" s="491"/>
      <c r="GE199" s="140"/>
      <c r="GF199" s="140"/>
      <c r="GG199" s="140"/>
      <c r="GH199" s="140"/>
      <c r="GI199" s="140"/>
      <c r="GJ199" s="140"/>
      <c r="GK199" s="140"/>
      <c r="GL199" s="140"/>
      <c r="GM199" s="140"/>
      <c r="GN199" s="140"/>
      <c r="GO199" s="140"/>
      <c r="GP199" s="140"/>
      <c r="GQ199" s="140"/>
      <c r="GR199" s="140"/>
      <c r="GS199" s="140"/>
      <c r="GT199" s="140"/>
      <c r="GU199" s="140"/>
      <c r="GV199" s="140"/>
      <c r="GW199" s="140"/>
      <c r="GX199" s="140"/>
      <c r="GY199" s="140"/>
      <c r="GZ199" s="140"/>
      <c r="HA199" s="140"/>
      <c r="HB199" s="140"/>
      <c r="HC199" s="140"/>
      <c r="HD199" s="140"/>
      <c r="HE199" s="140"/>
      <c r="HF199" s="140"/>
      <c r="HG199" s="140"/>
      <c r="HH199" s="140"/>
      <c r="HI199" s="140"/>
      <c r="HJ199" s="140"/>
      <c r="HK199" s="140"/>
      <c r="HL199" s="140"/>
      <c r="HM199" s="140"/>
      <c r="HN199" s="140"/>
      <c r="HO199" s="140"/>
      <c r="HP199" s="140"/>
      <c r="HQ199" s="140"/>
      <c r="HR199" s="140"/>
      <c r="HS199" s="140"/>
      <c r="HT199" s="140"/>
      <c r="HU199" s="140"/>
      <c r="HV199" s="140"/>
      <c r="HW199" s="140"/>
      <c r="HX199" s="140"/>
      <c r="HY199" s="140"/>
      <c r="HZ199" s="140"/>
      <c r="IA199" s="140"/>
      <c r="IB199" s="140"/>
      <c r="IC199" s="140"/>
      <c r="ID199" s="140"/>
      <c r="IE199" s="475"/>
      <c r="IF199" s="140"/>
      <c r="IG199" s="140"/>
      <c r="IH199" s="140"/>
      <c r="II199" s="140"/>
      <c r="IJ199" s="140"/>
      <c r="IK199" s="140"/>
      <c r="IL199" s="140"/>
      <c r="IM199" s="140"/>
      <c r="IN199" s="140"/>
      <c r="IO199" s="140"/>
      <c r="IP199" s="140"/>
      <c r="IQ199" s="140"/>
      <c r="IR199" s="140"/>
      <c r="IS199" s="140"/>
      <c r="IT199" s="481"/>
      <c r="IU199" s="140"/>
      <c r="IV199" s="140"/>
    </row>
    <row r="200" spans="3:256" s="136" customFormat="1" ht="13.5" customHeight="1" thickBot="1">
      <c r="C200" s="138">
        <f>COUNTA(SurveyDATA!C418:C659)</f>
        <v>242</v>
      </c>
      <c r="D200" s="135">
        <f>COUNTA(SurveyDATA!D418:D659)</f>
        <v>239</v>
      </c>
      <c r="E200" s="135">
        <f>COUNTA(SurveyDATA!E418:E659)</f>
        <v>242</v>
      </c>
      <c r="F200" s="135">
        <f>COUNTA(SurveyDATA!F418:F659)</f>
        <v>219</v>
      </c>
      <c r="G200" s="135">
        <f>COUNTA(SurveyDATA!G418:G659)</f>
        <v>220</v>
      </c>
      <c r="H200" s="146">
        <f>COUNTA(SurveyDATA!H418:H659)</f>
        <v>14</v>
      </c>
      <c r="I200" s="135">
        <f>COUNTA(SurveyDATA!I418:I659)</f>
        <v>152</v>
      </c>
      <c r="J200" s="135">
        <f ca="1">COUNTA(SurveyDATA!J418:J659)</f>
        <v>214</v>
      </c>
      <c r="K200" s="135">
        <f>COUNTA(SurveyDATA!K418:K659)</f>
        <v>223</v>
      </c>
      <c r="L200" s="135">
        <f>COUNTA(SurveyDATA!L418:L659)</f>
        <v>215</v>
      </c>
      <c r="M200" s="135">
        <f>COUNTA(SurveyDATA!M418:M659)</f>
        <v>217</v>
      </c>
      <c r="N200" s="135"/>
      <c r="O200" s="135">
        <f>COUNTA(SurveyDATA!O418:O659)</f>
        <v>219</v>
      </c>
      <c r="P200" s="135">
        <f>COUNTA(SurveyDATA!P418:P659)</f>
        <v>207</v>
      </c>
      <c r="Q200" s="135">
        <f>COUNTA(SurveyDATA!Q418:Q659)</f>
        <v>191</v>
      </c>
      <c r="R200" s="135">
        <f>COUNTA(SurveyDATA!R418:R659)</f>
        <v>197</v>
      </c>
      <c r="S200" s="135">
        <f>COUNTA(SurveyDATA!S418:S659)</f>
        <v>207</v>
      </c>
      <c r="T200" s="135"/>
      <c r="U200" s="135">
        <f>COUNTA(SurveyDATA!U418:U659)</f>
        <v>135</v>
      </c>
      <c r="V200" s="135">
        <f>COUNTA(SurveyDATA!V418:V659)</f>
        <v>187</v>
      </c>
      <c r="W200" s="135">
        <f>COUNTA(SurveyDATA!Y418:Y659)</f>
        <v>198</v>
      </c>
      <c r="X200" s="135">
        <f>COUNTA(SurveyDATA!Z418:Z659)</f>
        <v>195</v>
      </c>
      <c r="Y200" s="135">
        <f>COUNTA(SurveyDATA!AA418:AA659)</f>
        <v>198</v>
      </c>
      <c r="Z200" s="135">
        <f>COUNTA(SurveyDATA!AB418:AB659)</f>
        <v>193</v>
      </c>
      <c r="AA200" s="135">
        <f>COUNTA(SurveyDATA!AC418:AC659)</f>
        <v>124</v>
      </c>
      <c r="AB200" s="135">
        <f>COUNTA(SurveyDATA!AD418:AD659)</f>
        <v>160</v>
      </c>
      <c r="AC200" s="135">
        <f>COUNTA(SurveyDATA!AE418:AE659)</f>
        <v>21</v>
      </c>
      <c r="AD200" s="135">
        <f>COUNTA(SurveyDATA!AF418:AF659)</f>
        <v>187</v>
      </c>
      <c r="AE200" s="135">
        <f>COUNTA(SurveyDATA!AG418:AG659)</f>
        <v>184</v>
      </c>
      <c r="AF200" s="135">
        <f>COUNTA(SurveyDATA!AH418:AH659)</f>
        <v>184</v>
      </c>
      <c r="AG200" s="135">
        <f>COUNTA(SurveyDATA!AI418:AI659)</f>
        <v>62</v>
      </c>
      <c r="AH200" s="135">
        <f>COUNTA(SurveyDATA!AJ418:AJ659)</f>
        <v>131</v>
      </c>
      <c r="AI200" s="135">
        <f>COUNTA(SurveyDATA!AK418:AK659)</f>
        <v>240</v>
      </c>
      <c r="AJ200" s="135">
        <f>COUNTA(SurveyDATA!AL418:AL659)</f>
        <v>171</v>
      </c>
      <c r="AK200" s="135">
        <f>COUNTA(SurveyDATA!AM418:AM659)</f>
        <v>173</v>
      </c>
      <c r="AL200" s="135">
        <f>COUNTA(SurveyDATA!AN418:AN659)</f>
        <v>171</v>
      </c>
      <c r="AM200" s="135">
        <f>COUNTA(SurveyDATA!AO418:AO659)</f>
        <v>172</v>
      </c>
      <c r="AN200" s="135"/>
      <c r="AO200" s="135"/>
      <c r="AP200" s="135"/>
      <c r="AQ200" s="135">
        <f>COUNTA(SurveyDATA!AS418:AS659)</f>
        <v>23</v>
      </c>
      <c r="AR200" s="135">
        <f>COUNTA(SurveyDATA!AT418:AT659)</f>
        <v>23</v>
      </c>
      <c r="AS200" s="135">
        <f>COUNTA(SurveyDATA!AU418:AU659)</f>
        <v>6</v>
      </c>
      <c r="AT200" s="135">
        <f>COUNTA(SurveyDATA!AV418:AV659)</f>
        <v>0</v>
      </c>
      <c r="AU200" s="135">
        <f>COUNTA(SurveyDATA!AW418:AW659)</f>
        <v>0</v>
      </c>
      <c r="AV200" s="227">
        <f>COUNTA(SurveyDATA!AX418:AX659)</f>
        <v>0</v>
      </c>
      <c r="AW200" s="135">
        <f>COUNTA(SurveyDATA!AY418:AY659)</f>
        <v>1</v>
      </c>
      <c r="AX200" s="135">
        <f>COUNTA(SurveyDATA!AZ418:AZ659)</f>
        <v>1</v>
      </c>
      <c r="AY200" s="135"/>
      <c r="AZ200" s="135"/>
      <c r="BA200" s="135">
        <f>COUNTA(SurveyDATA!BC418:BC659)</f>
        <v>14</v>
      </c>
      <c r="BB200" s="135">
        <f>COUNTA(SurveyDATA!BD418:BD659)</f>
        <v>10</v>
      </c>
      <c r="BC200" s="135">
        <f>COUNTA(SurveyDATA!BE418:BE659)</f>
        <v>9</v>
      </c>
      <c r="BD200" s="135">
        <f>COUNTA(SurveyDATA!BF418:BF659)</f>
        <v>2</v>
      </c>
      <c r="BE200" s="135">
        <f>COUNTA(SurveyDATA!BG418:BG659)</f>
        <v>2</v>
      </c>
      <c r="BF200" s="135">
        <f>COUNTA(SurveyDATA!BH418:BH659)</f>
        <v>0</v>
      </c>
      <c r="BG200" s="135">
        <f>COUNTA(SurveyDATA!BI418:BI659)</f>
        <v>0</v>
      </c>
      <c r="BH200" s="135">
        <f>COUNTA(SurveyDATA!BJ418:BJ659)</f>
        <v>0</v>
      </c>
      <c r="BI200" s="135">
        <f>COUNTA(SurveyDATA!BK418:BK659)</f>
        <v>146</v>
      </c>
      <c r="BJ200" s="135">
        <f>COUNTA(SurveyDATA!BL418:BL659)</f>
        <v>145</v>
      </c>
      <c r="BK200" s="135">
        <f>COUNTA(SurveyDATA!BM418:BM659)</f>
        <v>197</v>
      </c>
      <c r="BL200" s="135">
        <f>COUNTA(SurveyDATA!BN418:BN659)</f>
        <v>197</v>
      </c>
      <c r="BM200" s="135">
        <f>COUNTA(SurveyDATA!BO418:BO659)</f>
        <v>144</v>
      </c>
      <c r="BN200" s="135">
        <f>COUNTA(SurveyDATA!BP418:BP659)</f>
        <v>145</v>
      </c>
      <c r="BO200" s="294">
        <f>COUNTA(SurveyDATA!BQ418:BQ659)</f>
        <v>144</v>
      </c>
      <c r="BP200" s="135">
        <f>COUNTA(SurveyDATA!BR418:BR659)</f>
        <v>144</v>
      </c>
      <c r="BQ200" s="135">
        <f>COUNTA(SurveyDATA!BS418:BS659)</f>
        <v>197</v>
      </c>
      <c r="BR200" s="135">
        <f>COUNTA(SurveyDATA!BT418:BT659)</f>
        <v>141</v>
      </c>
      <c r="BS200" s="135">
        <f>COUNTA(SurveyDATA!BU418:BU659)</f>
        <v>131</v>
      </c>
      <c r="BT200" s="135">
        <f>COUNTA(SurveyDATA!BV418:BV659)</f>
        <v>131</v>
      </c>
      <c r="BU200" s="135">
        <f>COUNTA(SurveyDATA!BW418:BW659)</f>
        <v>95</v>
      </c>
      <c r="BV200" s="135">
        <f>COUNTA(SurveyDATA!BX418:BX659)</f>
        <v>31</v>
      </c>
      <c r="BW200" s="135">
        <f>COUNTA(SurveyDATA!BY418:BY659)</f>
        <v>38</v>
      </c>
      <c r="BX200" s="135">
        <f>COUNTA(SurveyDATA!BZ418:BZ659)</f>
        <v>19</v>
      </c>
      <c r="BY200" s="135">
        <f>COUNTA(SurveyDATA!CA418:CA659)</f>
        <v>2</v>
      </c>
      <c r="BZ200" s="135">
        <f>COUNTA(SurveyDATA!CB418:CB659)</f>
        <v>79</v>
      </c>
      <c r="CA200" s="135">
        <f>COUNTA(SurveyDATA!CC418:CC659)</f>
        <v>55</v>
      </c>
      <c r="CB200" s="135">
        <f>COUNTA(SurveyDATA!CD418:CD659)</f>
        <v>19</v>
      </c>
      <c r="CC200" s="135">
        <f>COUNTA(SurveyDATA!CE418:CE659)</f>
        <v>0</v>
      </c>
      <c r="CD200" s="135">
        <f>COUNTA(SurveyDATA!CF418:CF659)</f>
        <v>47</v>
      </c>
      <c r="CE200" s="135">
        <f>COUNTA(SurveyDATA!CG418:CG659)</f>
        <v>47</v>
      </c>
      <c r="CF200" s="135">
        <f>COUNTA(SurveyDATA!CH418:CH659)</f>
        <v>46</v>
      </c>
      <c r="CG200" s="135">
        <f>COUNTA(SurveyDATA!CI418:CI659)</f>
        <v>1</v>
      </c>
      <c r="CH200" s="135">
        <f>COUNTA(SurveyDATA!CJ418:CJ659)</f>
        <v>20</v>
      </c>
      <c r="CI200" s="135">
        <f>COUNTA(SurveyDATA!CK418:CK659)</f>
        <v>45</v>
      </c>
      <c r="CJ200" s="135">
        <f>COUNTA(SurveyDATA!CL418:CL659)</f>
        <v>33</v>
      </c>
      <c r="CK200" s="135">
        <f>COUNTA(SurveyDATA!CM418:CM659)</f>
        <v>36</v>
      </c>
      <c r="CL200" s="135">
        <f>COUNTA(SurveyDATA!CN418:CN659)</f>
        <v>0</v>
      </c>
      <c r="CM200" s="135">
        <f>COUNTA(SurveyDATA!CO418:CO659)</f>
        <v>34</v>
      </c>
      <c r="CN200" s="135">
        <f>COUNTA(SurveyDATA!CP418:CP659)</f>
        <v>4</v>
      </c>
      <c r="CO200" s="135">
        <f>COUNTA(SurveyDATA!CQ418:CQ659)</f>
        <v>5</v>
      </c>
      <c r="CP200" s="135">
        <f>COUNTA(SurveyDATA!CR418:CR659)</f>
        <v>0</v>
      </c>
      <c r="CQ200" s="135">
        <f>COUNTA(SurveyDATA!CS418:CS659)</f>
        <v>0</v>
      </c>
      <c r="CR200" s="135">
        <f>COUNTA(SurveyDATA!CT418:CT659)</f>
        <v>5</v>
      </c>
      <c r="CS200" s="135">
        <f>COUNTA(SurveyDATA!CU418:CU659)</f>
        <v>4</v>
      </c>
      <c r="CT200" s="135">
        <f>COUNTA(SurveyDATA!CV418:CV659)</f>
        <v>4</v>
      </c>
      <c r="CU200" s="135">
        <f>COUNTA(SurveyDATA!CW418:CW659)</f>
        <v>3</v>
      </c>
      <c r="CV200" s="135">
        <f>COUNTA(SurveyDATA!CX418:CX659)</f>
        <v>0</v>
      </c>
      <c r="CW200" s="135">
        <f>COUNTA(SurveyDATA!CY418:CY659)</f>
        <v>2</v>
      </c>
      <c r="CX200" s="135">
        <f>COUNTA(SurveyDATA!CZ418:CZ659)</f>
        <v>1</v>
      </c>
      <c r="CY200" s="135">
        <f>COUNTA(SurveyDATA!DA418:DA659)</f>
        <v>0</v>
      </c>
      <c r="CZ200" s="135">
        <f>COUNTA(SurveyDATA!DB418:DB659)</f>
        <v>0</v>
      </c>
      <c r="DA200" s="135">
        <f>COUNTA(SurveyDATA!DC418:DC659)</f>
        <v>2</v>
      </c>
      <c r="DB200" s="135">
        <f>COUNTA(SurveyDATA!DD418:DD659)</f>
        <v>0</v>
      </c>
      <c r="DC200" s="135">
        <f>COUNTA(SurveyDATA!DE418:DE659)</f>
        <v>2</v>
      </c>
      <c r="DD200" s="135">
        <f>COUNTA(SurveyDATA!DF418:DF659)</f>
        <v>2</v>
      </c>
      <c r="DE200" s="135">
        <f>COUNTA(SurveyDATA!DG418:DG659)</f>
        <v>2</v>
      </c>
      <c r="DF200" s="135">
        <f>COUNTA(SurveyDATA!DH418:DH659)</f>
        <v>0</v>
      </c>
      <c r="DG200" s="135">
        <f>COUNTA(SurveyDATA!DI418:DI659)</f>
        <v>0</v>
      </c>
      <c r="DH200" s="135">
        <f>COUNTA(SurveyDATA!DJ418:DJ659)</f>
        <v>0</v>
      </c>
      <c r="DI200" s="135">
        <f>COUNTA(SurveyDATA!DK418:DK659)</f>
        <v>0</v>
      </c>
      <c r="DJ200" s="135">
        <f>COUNTA(SurveyDATA!DL418:DL659)</f>
        <v>0</v>
      </c>
      <c r="DK200" s="135">
        <f>COUNTA(SurveyDATA!DM418:DM659)</f>
        <v>0</v>
      </c>
      <c r="DL200" s="135">
        <f>COUNTA(SurveyDATA!DN418:DN659)</f>
        <v>0</v>
      </c>
      <c r="DM200" s="135">
        <f>COUNTA(SurveyDATA!DO418:DO659)</f>
        <v>0</v>
      </c>
      <c r="DN200" s="135">
        <f>COUNTA(SurveyDATA!DP418:DP659)</f>
        <v>0</v>
      </c>
      <c r="DO200" s="135">
        <f>COUNTA(SurveyDATA!DQ418:DQ659)</f>
        <v>2</v>
      </c>
      <c r="DP200" s="135">
        <f>COUNTA(SurveyDATA!DR418:DR659)</f>
        <v>1</v>
      </c>
      <c r="DQ200" s="135">
        <f>COUNTA(SurveyDATA!DS418:DS659)</f>
        <v>1</v>
      </c>
      <c r="DR200" s="135">
        <f>COUNTA(SurveyDATA!DT418:DT659)</f>
        <v>2</v>
      </c>
      <c r="DS200" s="135">
        <f>COUNTA(SurveyDATA!DU418:DU659)</f>
        <v>2</v>
      </c>
      <c r="DT200" s="135">
        <f>COUNTA(SurveyDATA!DV418:DV659)</f>
        <v>2</v>
      </c>
      <c r="DU200" s="135">
        <f>COUNTA(SurveyDATA!DW418:DW659)</f>
        <v>2</v>
      </c>
      <c r="DV200" s="135">
        <f>COUNTA(SurveyDATA!DX418:DX659)</f>
        <v>1</v>
      </c>
      <c r="DW200" s="135">
        <f>COUNTA(SurveyDATA!DY418:DY659)</f>
        <v>2</v>
      </c>
      <c r="DX200" s="135">
        <f>COUNTA(SurveyDATA!DZ418:DZ659)</f>
        <v>0</v>
      </c>
      <c r="DY200" s="135">
        <f>COUNTA(SurveyDATA!EA418:EA659)</f>
        <v>0</v>
      </c>
      <c r="DZ200" s="135">
        <f>COUNTA(SurveyDATA!EB418:EB659)</f>
        <v>0</v>
      </c>
      <c r="EA200" s="135">
        <f>COUNTA(SurveyDATA!EC418:EC659)</f>
        <v>0</v>
      </c>
      <c r="EB200" s="135">
        <f>COUNTA(SurveyDATA!ED418:ED659)</f>
        <v>0</v>
      </c>
      <c r="EC200" s="135">
        <f>COUNTA(SurveyDATA!EE418:EE659)</f>
        <v>0</v>
      </c>
      <c r="ED200" s="135">
        <f>COUNTA(SurveyDATA!EF418:EF659)</f>
        <v>0</v>
      </c>
      <c r="EE200" s="135">
        <f>COUNTA(SurveyDATA!EG418:EG659)</f>
        <v>0</v>
      </c>
      <c r="EF200" s="135">
        <f>COUNTA(SurveyDATA!EH418:EH659)</f>
        <v>0</v>
      </c>
      <c r="EG200" s="135">
        <f>COUNTA(SurveyDATA!EI418:EI659)</f>
        <v>0</v>
      </c>
      <c r="EH200" s="135">
        <f>COUNTA(SurveyDATA!EJ418:EJ659)</f>
        <v>0</v>
      </c>
      <c r="EI200" s="135">
        <f>COUNTA(SurveyDATA!EK418:EK659)</f>
        <v>0</v>
      </c>
      <c r="EJ200" s="135">
        <f>COUNTA(SurveyDATA!EL418:EL659)</f>
        <v>0</v>
      </c>
      <c r="EK200" s="135">
        <f>COUNTA(SurveyDATA!EM418:EM659)</f>
        <v>0</v>
      </c>
      <c r="EL200" s="135">
        <f>COUNTA(SurveyDATA!EN418:EN659)</f>
        <v>0</v>
      </c>
      <c r="EM200" s="135">
        <f>COUNTA(SurveyDATA!EO418:EO659)</f>
        <v>0</v>
      </c>
      <c r="EN200" s="135">
        <f>COUNTA(SurveyDATA!EP418:EP659)</f>
        <v>0</v>
      </c>
      <c r="EO200" s="135">
        <f>COUNTA(SurveyDATA!EQ418:EQ659)</f>
        <v>0</v>
      </c>
      <c r="EP200" s="135">
        <f>COUNTA(SurveyDATA!EZ418:EZ659)</f>
        <v>33</v>
      </c>
      <c r="EQ200" s="135">
        <f>COUNTA(SurveyDATA!FA418:FA659)</f>
        <v>31</v>
      </c>
      <c r="ER200" s="135">
        <f>COUNTA(SurveyDATA!FB418:FB659)</f>
        <v>24</v>
      </c>
      <c r="ES200" s="135">
        <f>COUNTA(SurveyDATA!FC418:FC659)</f>
        <v>6</v>
      </c>
      <c r="ET200" s="135">
        <f>COUNTA(SurveyDATA!FD418:FD659)</f>
        <v>1</v>
      </c>
      <c r="EU200" s="135">
        <f>COUNTA(SurveyDATA!FE418:FE659)</f>
        <v>15</v>
      </c>
      <c r="EV200" s="135">
        <f>COUNTA(SurveyDATA!FF418:FF659)</f>
        <v>15</v>
      </c>
      <c r="EW200" s="135">
        <f>COUNTA(SurveyDATA!FG418:FG659)</f>
        <v>20</v>
      </c>
      <c r="EX200" s="135">
        <f>COUNTA(SurveyDATA!FH418:FH659)</f>
        <v>179</v>
      </c>
      <c r="EY200" s="135">
        <f>COUNTA(SurveyDATA!FI418:FI659)</f>
        <v>159</v>
      </c>
      <c r="EZ200" s="135">
        <f>COUNTA(SurveyDATA!FJ418:FJ659)</f>
        <v>51</v>
      </c>
      <c r="FA200" s="135">
        <f>COUNTA(SurveyDATA!FK418:FK659)</f>
        <v>14</v>
      </c>
      <c r="FB200" s="135">
        <f>COUNTA(SurveyDATA!FL418:FL659)</f>
        <v>37</v>
      </c>
      <c r="FC200" s="135">
        <f>COUNTA(SurveyDATA!FM418:FM659)</f>
        <v>25</v>
      </c>
      <c r="FD200" s="135">
        <f>COUNTA(SurveyDATA!FN418:FN659)</f>
        <v>26</v>
      </c>
      <c r="FE200" s="135">
        <f>COUNTA(SurveyDATA!FO418:FO659)</f>
        <v>26</v>
      </c>
      <c r="FF200" s="135">
        <f>COUNTA(SurveyDATA!FP418:FP659)</f>
        <v>178</v>
      </c>
      <c r="FG200" s="135">
        <f>COUNTA(SurveyDATA!FQ418:FQ659)</f>
        <v>178</v>
      </c>
      <c r="FH200" s="135">
        <f>COUNTIF(SurveyDATA!FR418:FR659,"Y")</f>
        <v>23</v>
      </c>
      <c r="FI200" s="135">
        <f>COUNTA(SurveyDATA!FS418:FS659)</f>
        <v>8</v>
      </c>
      <c r="FJ200" s="135">
        <f>COUNTA(SurveyDATA!FT418:FT659)</f>
        <v>4</v>
      </c>
      <c r="FK200" s="135">
        <f>COUNTA(SurveyDATA!FU418:FU659)</f>
        <v>4</v>
      </c>
      <c r="FL200" s="135">
        <f>COUNTA(SurveyDATA!FV418:FV659)</f>
        <v>2</v>
      </c>
      <c r="FM200" s="135">
        <f>COUNTA(SurveyDATA!FW418:FW659)</f>
        <v>3</v>
      </c>
      <c r="FN200" s="135">
        <f>COUNTA(SurveyDATA!FX418:FX659)</f>
        <v>8</v>
      </c>
      <c r="FO200" s="135">
        <f>COUNTA(SurveyDATA!FY418:FY659)</f>
        <v>0</v>
      </c>
      <c r="FP200" s="135">
        <f>COUNTA(SurveyDATA!FZ418:FZ659)</f>
        <v>1</v>
      </c>
      <c r="FQ200" s="135">
        <f>COUNTA(SurveyDATA!GA418:GA659)</f>
        <v>3</v>
      </c>
      <c r="FR200" s="135">
        <f>COUNTA(SurveyDATA!GB418:GB659)</f>
        <v>97</v>
      </c>
      <c r="FS200" s="135">
        <f>COUNTA(SurveyDATA!GC418:GC659)</f>
        <v>24</v>
      </c>
      <c r="FT200" s="135">
        <f>COUNTA(SurveyDATA!GD418:GD659)</f>
        <v>84</v>
      </c>
      <c r="FU200" s="135">
        <f>COUNTA(SurveyDATA!GE418:GE659)</f>
        <v>111</v>
      </c>
      <c r="FV200" s="135">
        <f>COUNTA(SurveyDATA!GF418:GF659)</f>
        <v>6</v>
      </c>
      <c r="FW200" s="135">
        <f>COUNTA(SurveyDATA!GG418:GG659)</f>
        <v>5</v>
      </c>
      <c r="FX200" s="135">
        <f>COUNTA(SurveyDATA!GH418:GH659)</f>
        <v>113</v>
      </c>
      <c r="FY200" s="135">
        <f>COUNTA(SurveyDATA!GI418:GI659)</f>
        <v>56</v>
      </c>
      <c r="FZ200" s="135">
        <f>COUNTA(SurveyDATA!GJ418:GJ659)</f>
        <v>39</v>
      </c>
      <c r="GA200" s="135">
        <f>COUNTA(SurveyDATA!GK418:GK659)</f>
        <v>69</v>
      </c>
      <c r="GB200" s="135">
        <f>COUNTA(SurveyDATA!GL418:GL659)</f>
        <v>5</v>
      </c>
      <c r="GC200" s="135">
        <f>COUNTA(SurveyDATA!GM418:GM659)</f>
        <v>20</v>
      </c>
      <c r="GD200" s="135">
        <f>COUNTA(SurveyDATA!GN418:GN659)</f>
        <v>43</v>
      </c>
      <c r="GE200" s="135">
        <f>COUNTA(SurveyDATA!GO418:GO659)</f>
        <v>43</v>
      </c>
      <c r="GF200" s="135">
        <f>COUNTA(SurveyDATA!GP418:GP659)</f>
        <v>36</v>
      </c>
      <c r="GG200" s="135">
        <f>COUNTA(SurveyDATA!GQ418:GQ659)</f>
        <v>47</v>
      </c>
      <c r="GH200" s="135">
        <f>COUNTA(SurveyDATA!GR418:GR659)</f>
        <v>39</v>
      </c>
      <c r="GI200" s="135">
        <f>COUNTA(SurveyDATA!GS418:GS659)</f>
        <v>34</v>
      </c>
      <c r="GJ200" s="135">
        <f>COUNTA(SurveyDATA!GT418:GT659)</f>
        <v>33</v>
      </c>
      <c r="GK200" s="135">
        <f>COUNTA(SurveyDATA!GU418:GU659)</f>
        <v>0</v>
      </c>
      <c r="GL200" s="135">
        <f>COUNTA(SurveyDATA!GV418:GV659)</f>
        <v>1</v>
      </c>
      <c r="GM200" s="135">
        <f>COUNTA(SurveyDATA!GW418:GW659)</f>
        <v>63</v>
      </c>
      <c r="GN200" s="135">
        <f>COUNTA(SurveyDATA!GX418:GX659)</f>
        <v>1</v>
      </c>
      <c r="GO200" s="135">
        <f>COUNTA(SurveyDATA!GY418:GY659)</f>
        <v>57</v>
      </c>
      <c r="GP200" s="135">
        <f>COUNTA(SurveyDATA!GZ418:GZ659)</f>
        <v>43</v>
      </c>
      <c r="GQ200" s="135">
        <f>COUNTA(SurveyDATA!HA418:HA659)</f>
        <v>53</v>
      </c>
      <c r="GR200" s="135">
        <f>COUNTA(SurveyDATA!HB418:HB659)</f>
        <v>52</v>
      </c>
      <c r="GS200" s="135">
        <f>COUNTA(SurveyDATA!HC418:HC659)</f>
        <v>48</v>
      </c>
      <c r="GT200" s="135">
        <f>COUNTA(SurveyDATA!HD418:HD659)</f>
        <v>52</v>
      </c>
      <c r="GU200" s="135">
        <f>COUNTA(SurveyDATA!HE418:HE659)</f>
        <v>52</v>
      </c>
      <c r="GV200" s="135">
        <f>COUNTA(SurveyDATA!HF418:HF659)</f>
        <v>0</v>
      </c>
      <c r="GW200" s="135">
        <f>COUNTA(SurveyDATA!HG418:HG659)</f>
        <v>1</v>
      </c>
      <c r="GX200" s="135">
        <f>COUNTA(SurveyDATA!HH418:HH659)</f>
        <v>2</v>
      </c>
      <c r="GY200" s="135">
        <f>COUNTA(SurveyDATA!HI418:HI659)</f>
        <v>99</v>
      </c>
      <c r="GZ200" s="135">
        <f>COUNTA(SurveyDATA!HJ418:HJ659)</f>
        <v>11</v>
      </c>
      <c r="HA200" s="135">
        <f>COUNTA(SurveyDATA!HK418:HK659)</f>
        <v>11</v>
      </c>
      <c r="HB200" s="135">
        <f>COUNTA(SurveyDATA!HL418:HL659)</f>
        <v>71</v>
      </c>
      <c r="HC200" s="135">
        <f>COUNTA(SurveyDATA!HM418:HM659)</f>
        <v>1</v>
      </c>
      <c r="HD200" s="135">
        <f>COUNTA(SurveyDATA!HN418:HN659)</f>
        <v>1</v>
      </c>
      <c r="HE200" s="135">
        <f>COUNTA(SurveyDATA!HO418:HO659)</f>
        <v>3</v>
      </c>
      <c r="HF200" s="135">
        <f>COUNTA(SurveyDATA!HP418:HP659)</f>
        <v>2</v>
      </c>
      <c r="HG200" s="135">
        <f>COUNTA(SurveyDATA!HQ418:HQ659)</f>
        <v>2</v>
      </c>
      <c r="HH200" s="135">
        <f>COUNTA(SurveyDATA!HR418:HR659)</f>
        <v>51</v>
      </c>
      <c r="HI200" s="135">
        <f>COUNTA(SurveyDATA!HS418:HS659)</f>
        <v>22</v>
      </c>
      <c r="HJ200" s="135">
        <f>COUNTA(SurveyDATA!HT418:HT659)</f>
        <v>23</v>
      </c>
      <c r="HK200" s="135">
        <f>COUNTA(SurveyDATA!HU418:HU659)</f>
        <v>0</v>
      </c>
      <c r="HL200" s="135">
        <f>COUNTA(SurveyDATA!HV418:HV659)</f>
        <v>0</v>
      </c>
      <c r="HM200" s="135">
        <f>COUNTA(SurveyDATA!HW418:HW659)</f>
        <v>0</v>
      </c>
      <c r="HN200" s="135">
        <f>COUNTA(SurveyDATA!HX418:HX659)</f>
        <v>0</v>
      </c>
      <c r="HO200" s="135">
        <f>COUNTA(SurveyDATA!HY418:HY659)</f>
        <v>0</v>
      </c>
      <c r="HP200" s="135">
        <f>COUNTA(SurveyDATA!HZ418:HZ659)</f>
        <v>0</v>
      </c>
      <c r="HQ200" s="135">
        <f>COUNTA(SurveyDATA!IA418:IA659)</f>
        <v>0</v>
      </c>
      <c r="HR200" s="135">
        <f>COUNTA(SurveyDATA!IB418:IB659)</f>
        <v>155</v>
      </c>
      <c r="HS200" s="135">
        <f>COUNTA(SurveyDATA!IC418:IC659)</f>
        <v>57</v>
      </c>
      <c r="HT200" s="135">
        <f>COUNTA(SurveyDATA!ID418:ID659)</f>
        <v>49</v>
      </c>
      <c r="HU200" s="135">
        <f>COUNTA(SurveyDATA!IE418:IE659)</f>
        <v>41</v>
      </c>
      <c r="HV200" s="135">
        <f>COUNTA(SurveyDATA!IF418:IF659)</f>
        <v>44</v>
      </c>
      <c r="HW200" s="135">
        <f>COUNTA(SurveyDATA!IG418:IG659)</f>
        <v>43</v>
      </c>
      <c r="HX200" s="135">
        <f>COUNTA(SurveyDATA!IH418:IH659)</f>
        <v>41</v>
      </c>
      <c r="HY200" s="135">
        <f>COUNTA(SurveyDATA!II418:II659)</f>
        <v>43</v>
      </c>
      <c r="HZ200" s="135">
        <f>COUNTA(SurveyDATA!IJ418:IJ659)</f>
        <v>44</v>
      </c>
      <c r="IA200" s="135">
        <f>COUNTA(SurveyDATA!IK418:IK659)</f>
        <v>40</v>
      </c>
      <c r="IB200" s="135">
        <f>COUNTA(SurveyDATA!IL418:IL659)</f>
        <v>43</v>
      </c>
      <c r="IC200" s="135">
        <f>COUNTA(SurveyDATA!IM418:IM659)</f>
        <v>34</v>
      </c>
      <c r="ID200" s="135">
        <f>COUNTA(SurveyDATA!IN418:IN659)</f>
        <v>41</v>
      </c>
      <c r="IE200" s="135">
        <f>COUNTA(SurveyDATA!IO418:IO659)</f>
        <v>29</v>
      </c>
      <c r="IF200" s="135">
        <f>COUNTA(SurveyDATA!IP418:IP659)</f>
        <v>40</v>
      </c>
      <c r="IG200" s="135">
        <f>COUNTA(SurveyDATA!IQ418:IQ659)</f>
        <v>39</v>
      </c>
      <c r="IH200" s="135">
        <f>COUNTA(SurveyDATA!IR418:IR659)</f>
        <v>38</v>
      </c>
      <c r="II200" s="135">
        <f>COUNTA(SurveyDATA!IS418:IS659)</f>
        <v>38</v>
      </c>
      <c r="IJ200" s="135">
        <f>COUNTA(SurveyDATA!IT418:IT659)</f>
        <v>7</v>
      </c>
      <c r="IK200" s="135">
        <f>COUNTA(SurveyDATA!IU418:IU659)</f>
        <v>29</v>
      </c>
      <c r="IL200" s="135">
        <f>COUNTA(SurveyDATA!IV418:IV659)</f>
        <v>6</v>
      </c>
      <c r="IM200" s="135">
        <f>COUNTA(SurveyDATA!#REF!)</f>
        <v>1</v>
      </c>
      <c r="IN200" s="135">
        <f>COUNTA(SurveyDATA!#REF!)</f>
        <v>1</v>
      </c>
      <c r="IO200" s="135">
        <f>COUNTA(SurveyDATA!#REF!)</f>
        <v>1</v>
      </c>
      <c r="IP200" s="135">
        <f>COUNTA(SurveyDATA!#REF!)</f>
        <v>1</v>
      </c>
      <c r="IQ200" s="135">
        <f>COUNTA(SurveyDATA!#REF!)</f>
        <v>1</v>
      </c>
      <c r="IR200" s="135">
        <f>COUNTA(SurveyDATA!#REF!)</f>
        <v>1</v>
      </c>
      <c r="IS200" s="135">
        <f>COUNTA(SurveyDATA!#REF!)</f>
        <v>1</v>
      </c>
      <c r="IT200" s="135">
        <f>COUNTA(SurveyDATA!#REF!)</f>
        <v>1</v>
      </c>
      <c r="IU200" s="135">
        <f>COUNTA(SurveyDATA!#REF!)</f>
        <v>1</v>
      </c>
      <c r="IV200" s="135">
        <f>COUNTA(SurveyDATA!#REF!)</f>
        <v>1</v>
      </c>
    </row>
    <row r="201" spans="3:256" s="513" customFormat="1" ht="14.25" customHeight="1" thickTop="1" thickBot="1">
      <c r="C201" s="137" t="s">
        <v>4295</v>
      </c>
      <c r="D201" s="133"/>
      <c r="E201" s="533"/>
      <c r="F201" s="132"/>
      <c r="G201" s="132"/>
      <c r="H201" s="132"/>
      <c r="I201" s="494"/>
      <c r="J201" s="133" t="str">
        <f t="shared" ref="J201:J215" ca="1" si="7">IF(F201="Head",CELL("contents",D201),"")</f>
        <v/>
      </c>
      <c r="K201" s="132"/>
      <c r="L201" s="132"/>
      <c r="M201" s="132"/>
      <c r="N201" s="132"/>
      <c r="O201" s="132"/>
      <c r="P201" s="132"/>
      <c r="Q201" s="495"/>
      <c r="R201" s="496"/>
      <c r="S201" s="132"/>
      <c r="T201" s="132"/>
      <c r="U201" s="497"/>
      <c r="V201" s="132"/>
      <c r="W201" s="132"/>
      <c r="X201" s="132"/>
      <c r="Y201" s="132"/>
      <c r="Z201" s="132"/>
      <c r="AA201" s="132"/>
      <c r="AB201" s="132"/>
      <c r="AC201" s="132"/>
      <c r="AD201" s="132"/>
      <c r="AE201" s="132"/>
      <c r="AF201" s="132"/>
      <c r="AG201" s="132"/>
      <c r="AH201" s="132"/>
      <c r="AI201" s="132"/>
      <c r="AJ201" s="498"/>
      <c r="AK201" s="499"/>
      <c r="AL201" s="500"/>
      <c r="AM201" s="132"/>
      <c r="AN201" s="132"/>
      <c r="AO201" s="132"/>
      <c r="AP201" s="132"/>
      <c r="AQ201" s="132"/>
      <c r="AR201" s="132"/>
      <c r="AS201" s="132"/>
      <c r="AT201" s="132"/>
      <c r="AU201" s="132"/>
      <c r="AV201" s="132"/>
      <c r="AW201" s="132"/>
      <c r="AX201" s="132"/>
      <c r="AY201" s="132"/>
      <c r="AZ201" s="132"/>
      <c r="BA201" s="132"/>
      <c r="BB201" s="132"/>
      <c r="BC201" s="132"/>
      <c r="BD201" s="501"/>
      <c r="BE201" s="501"/>
      <c r="BF201" s="132"/>
      <c r="BG201" s="132"/>
      <c r="BH201" s="132"/>
      <c r="BI201" s="132"/>
      <c r="BJ201" s="132"/>
      <c r="BK201" s="132"/>
      <c r="BL201" s="132"/>
      <c r="BM201" s="132"/>
      <c r="BN201" s="502"/>
      <c r="BO201" s="499"/>
      <c r="BP201" s="503"/>
      <c r="BQ201" s="132"/>
      <c r="BR201" s="132"/>
      <c r="BS201" s="132"/>
      <c r="BT201" s="132"/>
      <c r="BU201" s="132"/>
      <c r="BV201" s="501"/>
      <c r="BW201" s="132"/>
      <c r="BX201" s="501"/>
      <c r="BY201" s="132"/>
      <c r="BZ201" s="132"/>
      <c r="CA201" s="132"/>
      <c r="CB201" s="132"/>
      <c r="CC201" s="132"/>
      <c r="CD201" s="504"/>
      <c r="CE201" s="505"/>
      <c r="CF201" s="132"/>
      <c r="CG201" s="132"/>
      <c r="CH201" s="132"/>
      <c r="CI201" s="132"/>
      <c r="CJ201" s="132"/>
      <c r="CK201" s="132"/>
      <c r="CL201" s="132"/>
      <c r="CM201" s="132"/>
      <c r="CN201" s="132"/>
      <c r="CO201" s="132"/>
      <c r="CP201" s="501"/>
      <c r="CQ201" s="132"/>
      <c r="CR201" s="132"/>
      <c r="CS201" s="506"/>
      <c r="CT201" s="132"/>
      <c r="CU201" s="132"/>
      <c r="CV201" s="132"/>
      <c r="CW201" s="132"/>
      <c r="CX201" s="132"/>
      <c r="CY201" s="507"/>
      <c r="CZ201" s="132"/>
      <c r="DA201" s="132"/>
      <c r="DB201" s="132"/>
      <c r="DC201" s="508"/>
      <c r="DD201" s="132"/>
      <c r="DE201" s="132"/>
      <c r="DF201" s="132"/>
      <c r="DG201" s="132"/>
      <c r="DH201" s="132"/>
      <c r="DI201" s="132"/>
      <c r="DJ201" s="132"/>
      <c r="DK201" s="132"/>
      <c r="DL201" s="509"/>
      <c r="DM201" s="132"/>
      <c r="DN201" s="132"/>
      <c r="DO201" s="132"/>
      <c r="DP201" s="132"/>
      <c r="DQ201" s="510"/>
      <c r="DR201" s="132"/>
      <c r="DS201" s="132"/>
      <c r="DT201" s="132"/>
      <c r="DU201" s="507"/>
      <c r="DV201" s="507"/>
      <c r="DW201" s="132"/>
      <c r="DX201" s="132"/>
      <c r="DY201" s="132"/>
      <c r="DZ201" s="132"/>
      <c r="EA201" s="132"/>
      <c r="EB201" s="132"/>
      <c r="EC201" s="132"/>
      <c r="ED201" s="132"/>
      <c r="EE201" s="132"/>
      <c r="EF201" s="132"/>
      <c r="EG201" s="132"/>
      <c r="EH201" s="132"/>
      <c r="EI201" s="132"/>
      <c r="EJ201" s="132"/>
      <c r="EK201" s="132"/>
      <c r="EL201" s="132"/>
      <c r="EM201" s="132"/>
      <c r="EN201" s="133"/>
      <c r="EO201" s="132"/>
      <c r="EP201" s="132"/>
      <c r="EQ201" s="132"/>
      <c r="ER201" s="132"/>
      <c r="ES201" s="132"/>
      <c r="ET201" s="501"/>
      <c r="EU201" s="132"/>
      <c r="EV201" s="132"/>
      <c r="EW201" s="132"/>
      <c r="EX201" s="132"/>
      <c r="EY201" s="132"/>
      <c r="EZ201" s="132"/>
      <c r="FA201" s="132"/>
      <c r="FB201" s="132"/>
      <c r="FC201" s="501"/>
      <c r="FD201" s="501"/>
      <c r="FE201" s="501"/>
      <c r="FF201" s="132"/>
      <c r="FG201" s="132"/>
      <c r="FH201" s="132"/>
      <c r="FI201" s="132"/>
      <c r="FJ201" s="132"/>
      <c r="FK201" s="132"/>
      <c r="FL201" s="132"/>
      <c r="FM201" s="132"/>
      <c r="FN201" s="132"/>
      <c r="FO201" s="132"/>
      <c r="FP201" s="132"/>
      <c r="FQ201" s="132"/>
      <c r="FR201" s="132"/>
      <c r="FS201" s="511"/>
      <c r="FT201" s="496"/>
      <c r="FU201" s="132"/>
      <c r="FV201" s="501"/>
      <c r="FW201" s="501"/>
      <c r="FX201" s="132"/>
      <c r="FY201" s="132"/>
      <c r="FZ201" s="132"/>
      <c r="GA201" s="132"/>
      <c r="GB201" s="132"/>
      <c r="GC201" s="132"/>
      <c r="GD201" s="512"/>
      <c r="GE201" s="132"/>
      <c r="GF201" s="132"/>
      <c r="GG201" s="132"/>
      <c r="GH201" s="132"/>
      <c r="GI201" s="132"/>
      <c r="GJ201" s="132"/>
      <c r="GK201" s="132"/>
      <c r="GL201" s="132"/>
      <c r="GM201" s="132"/>
      <c r="GN201" s="132"/>
      <c r="GO201" s="132"/>
      <c r="GP201" s="132"/>
      <c r="GQ201" s="132"/>
      <c r="GR201" s="132"/>
      <c r="GS201" s="132"/>
      <c r="GT201" s="132"/>
      <c r="GU201" s="132"/>
      <c r="GV201" s="132"/>
      <c r="GW201" s="132"/>
      <c r="GX201" s="132"/>
      <c r="GY201" s="132"/>
      <c r="GZ201" s="132"/>
      <c r="HA201" s="132"/>
      <c r="HB201" s="132"/>
      <c r="HC201" s="132"/>
      <c r="HD201" s="132"/>
      <c r="HE201" s="132"/>
      <c r="HF201" s="132"/>
      <c r="HG201" s="132"/>
      <c r="HH201" s="132"/>
      <c r="HI201" s="132"/>
      <c r="HJ201" s="132"/>
      <c r="HK201" s="132"/>
      <c r="HL201" s="132"/>
      <c r="HM201" s="132"/>
      <c r="HN201" s="132"/>
      <c r="HO201" s="132"/>
      <c r="HP201" s="132"/>
      <c r="HQ201" s="132"/>
      <c r="HR201" s="132"/>
      <c r="HS201" s="132"/>
      <c r="HT201" s="132"/>
      <c r="HU201" s="132"/>
      <c r="HV201" s="132"/>
      <c r="HW201" s="132"/>
      <c r="HX201" s="132"/>
      <c r="HY201" s="132"/>
      <c r="HZ201" s="132"/>
      <c r="IA201" s="132"/>
      <c r="IB201" s="132"/>
      <c r="IC201" s="132"/>
      <c r="ID201" s="132"/>
      <c r="IE201" s="495"/>
      <c r="IF201" s="132"/>
      <c r="IG201" s="132"/>
      <c r="IH201" s="132"/>
      <c r="II201" s="132"/>
      <c r="IJ201" s="132"/>
      <c r="IK201" s="132"/>
      <c r="IL201" s="132"/>
      <c r="IM201" s="132"/>
      <c r="IN201" s="132"/>
      <c r="IO201" s="132"/>
      <c r="IP201" s="132"/>
      <c r="IQ201" s="132"/>
      <c r="IR201" s="132"/>
      <c r="IS201" s="132"/>
      <c r="IT201" s="501"/>
      <c r="IU201" s="132"/>
      <c r="IV201" s="132"/>
    </row>
    <row r="202" spans="3:256" s="513" customFormat="1" ht="13.5" customHeight="1" thickTop="1">
      <c r="C202" s="134"/>
      <c r="D202" s="133"/>
      <c r="E202" s="533"/>
      <c r="F202" s="132"/>
      <c r="G202" s="132"/>
      <c r="H202" s="132"/>
      <c r="I202" s="494"/>
      <c r="J202" s="133" t="str">
        <f t="shared" ca="1" si="7"/>
        <v/>
      </c>
      <c r="K202" s="132"/>
      <c r="L202" s="132"/>
      <c r="M202" s="132"/>
      <c r="N202" s="132"/>
      <c r="O202" s="132"/>
      <c r="P202" s="132"/>
      <c r="Q202" s="495"/>
      <c r="R202" s="496"/>
      <c r="S202" s="132"/>
      <c r="T202" s="132"/>
      <c r="U202" s="497"/>
      <c r="V202" s="132"/>
      <c r="W202" s="132"/>
      <c r="X202" s="132"/>
      <c r="Y202" s="132"/>
      <c r="Z202" s="132"/>
      <c r="AA202" s="132"/>
      <c r="AB202" s="132"/>
      <c r="AC202" s="132"/>
      <c r="AD202" s="132"/>
      <c r="AE202" s="132"/>
      <c r="AF202" s="132"/>
      <c r="AG202" s="132"/>
      <c r="AH202" s="132"/>
      <c r="AI202" s="132"/>
      <c r="AJ202" s="498"/>
      <c r="AK202" s="499"/>
      <c r="AL202" s="500"/>
      <c r="AM202" s="132"/>
      <c r="AN202" s="132"/>
      <c r="AO202" s="132"/>
      <c r="AP202" s="132"/>
      <c r="AQ202" s="132"/>
      <c r="AR202" s="132"/>
      <c r="AS202" s="132"/>
      <c r="AT202" s="132"/>
      <c r="AU202" s="132"/>
      <c r="AV202" s="132"/>
      <c r="AW202" s="132"/>
      <c r="AX202" s="132"/>
      <c r="AY202" s="132"/>
      <c r="AZ202" s="132"/>
      <c r="BA202" s="132"/>
      <c r="BB202" s="132"/>
      <c r="BC202" s="132"/>
      <c r="BD202" s="501"/>
      <c r="BE202" s="501"/>
      <c r="BF202" s="132"/>
      <c r="BG202" s="132"/>
      <c r="BH202" s="132"/>
      <c r="BI202" s="132"/>
      <c r="BJ202" s="132"/>
      <c r="BK202" s="132"/>
      <c r="BL202" s="132"/>
      <c r="BM202" s="132"/>
      <c r="BN202" s="502"/>
      <c r="BO202" s="499"/>
      <c r="BP202" s="503"/>
      <c r="BQ202" s="132"/>
      <c r="BR202" s="132"/>
      <c r="BS202" s="132"/>
      <c r="BT202" s="132"/>
      <c r="BU202" s="132"/>
      <c r="BV202" s="501"/>
      <c r="BW202" s="132"/>
      <c r="BX202" s="501"/>
      <c r="BY202" s="132"/>
      <c r="BZ202" s="132"/>
      <c r="CA202" s="132"/>
      <c r="CB202" s="132"/>
      <c r="CC202" s="132"/>
      <c r="CD202" s="504"/>
      <c r="CE202" s="505"/>
      <c r="CF202" s="132"/>
      <c r="CG202" s="132"/>
      <c r="CH202" s="132"/>
      <c r="CI202" s="132"/>
      <c r="CJ202" s="132"/>
      <c r="CK202" s="132"/>
      <c r="CL202" s="132"/>
      <c r="CM202" s="132"/>
      <c r="CN202" s="132"/>
      <c r="CO202" s="132"/>
      <c r="CP202" s="501"/>
      <c r="CQ202" s="132"/>
      <c r="CR202" s="132"/>
      <c r="CS202" s="506"/>
      <c r="CT202" s="132"/>
      <c r="CU202" s="132"/>
      <c r="CV202" s="132"/>
      <c r="CW202" s="132"/>
      <c r="CX202" s="132"/>
      <c r="CY202" s="507"/>
      <c r="CZ202" s="132"/>
      <c r="DA202" s="132"/>
      <c r="DB202" s="132"/>
      <c r="DC202" s="508"/>
      <c r="DD202" s="132"/>
      <c r="DE202" s="132"/>
      <c r="DF202" s="132"/>
      <c r="DG202" s="132"/>
      <c r="DH202" s="132"/>
      <c r="DI202" s="132"/>
      <c r="DJ202" s="132"/>
      <c r="DK202" s="132"/>
      <c r="DL202" s="509"/>
      <c r="DM202" s="132"/>
      <c r="DN202" s="132"/>
      <c r="DO202" s="132"/>
      <c r="DP202" s="132"/>
      <c r="DQ202" s="510"/>
      <c r="DR202" s="132"/>
      <c r="DS202" s="132"/>
      <c r="DT202" s="132"/>
      <c r="DU202" s="507"/>
      <c r="DV202" s="507"/>
      <c r="DW202" s="132"/>
      <c r="DX202" s="132"/>
      <c r="DY202" s="132"/>
      <c r="DZ202" s="132"/>
      <c r="EA202" s="132"/>
      <c r="EB202" s="132"/>
      <c r="EC202" s="132"/>
      <c r="ED202" s="132"/>
      <c r="EE202" s="132"/>
      <c r="EF202" s="132"/>
      <c r="EG202" s="132"/>
      <c r="EH202" s="132"/>
      <c r="EI202" s="132"/>
      <c r="EJ202" s="132"/>
      <c r="EK202" s="132"/>
      <c r="EL202" s="132"/>
      <c r="EM202" s="132"/>
      <c r="EN202" s="133"/>
      <c r="EO202" s="132"/>
      <c r="EP202" s="132"/>
      <c r="EQ202" s="132"/>
      <c r="ER202" s="132"/>
      <c r="ES202" s="132"/>
      <c r="ET202" s="501"/>
      <c r="EU202" s="132"/>
      <c r="EV202" s="132"/>
      <c r="EW202" s="132"/>
      <c r="EX202" s="132"/>
      <c r="EY202" s="132"/>
      <c r="EZ202" s="132"/>
      <c r="FA202" s="132"/>
      <c r="FB202" s="132"/>
      <c r="FC202" s="501"/>
      <c r="FD202" s="501"/>
      <c r="FE202" s="501"/>
      <c r="FF202" s="132"/>
      <c r="FG202" s="132"/>
      <c r="FH202" s="132"/>
      <c r="FI202" s="132"/>
      <c r="FJ202" s="132"/>
      <c r="FK202" s="132"/>
      <c r="FL202" s="132"/>
      <c r="FM202" s="132"/>
      <c r="FN202" s="132"/>
      <c r="FO202" s="132"/>
      <c r="FP202" s="132"/>
      <c r="FQ202" s="132"/>
      <c r="FR202" s="132"/>
      <c r="FS202" s="511"/>
      <c r="FT202" s="496"/>
      <c r="FU202" s="132"/>
      <c r="FV202" s="501"/>
      <c r="FW202" s="501"/>
      <c r="FX202" s="132"/>
      <c r="FY202" s="132"/>
      <c r="FZ202" s="132"/>
      <c r="GA202" s="132"/>
      <c r="GB202" s="132"/>
      <c r="GC202" s="132"/>
      <c r="GD202" s="512"/>
      <c r="GE202" s="132"/>
      <c r="GF202" s="132"/>
      <c r="GG202" s="132"/>
      <c r="GH202" s="132"/>
      <c r="GI202" s="132"/>
      <c r="GJ202" s="132"/>
      <c r="GK202" s="132"/>
      <c r="GL202" s="132"/>
      <c r="GM202" s="132"/>
      <c r="GN202" s="132"/>
      <c r="GO202" s="132"/>
      <c r="GP202" s="132"/>
      <c r="GQ202" s="132"/>
      <c r="GR202" s="132"/>
      <c r="GS202" s="132"/>
      <c r="GT202" s="132"/>
      <c r="GU202" s="132"/>
      <c r="GV202" s="132"/>
      <c r="GW202" s="132"/>
      <c r="GX202" s="132"/>
      <c r="GY202" s="132"/>
      <c r="GZ202" s="132"/>
      <c r="HA202" s="132"/>
      <c r="HB202" s="132"/>
      <c r="HC202" s="132"/>
      <c r="HD202" s="132"/>
      <c r="HE202" s="132"/>
      <c r="HF202" s="132"/>
      <c r="HG202" s="132"/>
      <c r="HH202" s="132"/>
      <c r="HI202" s="132"/>
      <c r="HJ202" s="132"/>
      <c r="HK202" s="132"/>
      <c r="HL202" s="132"/>
      <c r="HM202" s="132"/>
      <c r="HN202" s="132"/>
      <c r="HO202" s="132"/>
      <c r="HP202" s="132"/>
      <c r="HQ202" s="132"/>
      <c r="HR202" s="132"/>
      <c r="HS202" s="132"/>
      <c r="HT202" s="132"/>
      <c r="HU202" s="132"/>
      <c r="HV202" s="132"/>
      <c r="HW202" s="132"/>
      <c r="HX202" s="132"/>
      <c r="HY202" s="132"/>
      <c r="HZ202" s="132"/>
      <c r="IA202" s="132"/>
      <c r="IB202" s="132"/>
      <c r="IC202" s="132"/>
      <c r="ID202" s="132"/>
      <c r="IE202" s="495"/>
      <c r="IF202" s="132"/>
      <c r="IG202" s="132"/>
      <c r="IH202" s="132"/>
      <c r="II202" s="132"/>
      <c r="IJ202" s="132"/>
      <c r="IK202" s="132"/>
      <c r="IL202" s="132"/>
      <c r="IM202" s="132"/>
      <c r="IN202" s="132"/>
      <c r="IO202" s="132"/>
      <c r="IP202" s="132"/>
      <c r="IQ202" s="132"/>
      <c r="IR202" s="132"/>
      <c r="IS202" s="132"/>
      <c r="IT202" s="501"/>
      <c r="IU202" s="132"/>
      <c r="IV202" s="132"/>
    </row>
    <row r="203" spans="3:256" s="513" customFormat="1" ht="12.75" customHeight="1">
      <c r="C203" s="134" t="s">
        <v>4293</v>
      </c>
      <c r="D203" s="133"/>
      <c r="E203" s="132"/>
      <c r="F203" s="132"/>
      <c r="G203" s="132"/>
      <c r="H203" s="132"/>
      <c r="I203" s="494"/>
      <c r="J203" s="133" t="str">
        <f t="shared" ca="1" si="7"/>
        <v/>
      </c>
      <c r="K203" s="132"/>
      <c r="L203" s="132"/>
      <c r="M203" s="132"/>
      <c r="N203" s="132"/>
      <c r="O203" s="132"/>
      <c r="P203" s="132"/>
      <c r="Q203" s="495"/>
      <c r="R203" s="496"/>
      <c r="S203" s="132"/>
      <c r="T203" s="132"/>
      <c r="U203" s="497"/>
      <c r="V203" s="132"/>
      <c r="W203" s="132"/>
      <c r="X203" s="132"/>
      <c r="Y203" s="132"/>
      <c r="Z203" s="132"/>
      <c r="AA203" s="132"/>
      <c r="AB203" s="132"/>
      <c r="AC203" s="132"/>
      <c r="AD203" s="132"/>
      <c r="AE203" s="132"/>
      <c r="AF203" s="132"/>
      <c r="AG203" s="132"/>
      <c r="AH203" s="132"/>
      <c r="AI203" s="132"/>
      <c r="AJ203" s="498"/>
      <c r="AK203" s="499"/>
      <c r="AL203" s="500"/>
      <c r="AM203" s="132"/>
      <c r="AN203" s="132"/>
      <c r="AO203" s="132"/>
      <c r="AP203" s="132"/>
      <c r="AQ203" s="132"/>
      <c r="AR203" s="132"/>
      <c r="AS203" s="132"/>
      <c r="AT203" s="132"/>
      <c r="AU203" s="132"/>
      <c r="AV203" s="132"/>
      <c r="AW203" s="132"/>
      <c r="AX203" s="132"/>
      <c r="AY203" s="132"/>
      <c r="AZ203" s="132"/>
      <c r="BA203" s="132"/>
      <c r="BB203" s="132"/>
      <c r="BC203" s="132"/>
      <c r="BD203" s="501"/>
      <c r="BE203" s="501"/>
      <c r="BF203" s="132"/>
      <c r="BG203" s="132"/>
      <c r="BH203" s="132"/>
      <c r="BI203" s="132"/>
      <c r="BJ203" s="132"/>
      <c r="BK203" s="132"/>
      <c r="BL203" s="132"/>
      <c r="BM203" s="132"/>
      <c r="BN203" s="502"/>
      <c r="BO203" s="499"/>
      <c r="BP203" s="503"/>
      <c r="BQ203" s="132"/>
      <c r="BR203" s="132"/>
      <c r="BS203" s="132"/>
      <c r="BT203" s="132"/>
      <c r="BU203" s="132"/>
      <c r="BV203" s="501"/>
      <c r="BW203" s="132"/>
      <c r="BX203" s="501"/>
      <c r="BY203" s="132"/>
      <c r="BZ203" s="132"/>
      <c r="CA203" s="132"/>
      <c r="CB203" s="132"/>
      <c r="CC203" s="132"/>
      <c r="CD203" s="504"/>
      <c r="CE203" s="505"/>
      <c r="CF203" s="132"/>
      <c r="CG203" s="132"/>
      <c r="CH203" s="132"/>
      <c r="CI203" s="132"/>
      <c r="CJ203" s="132"/>
      <c r="CK203" s="132"/>
      <c r="CL203" s="132"/>
      <c r="CM203" s="132"/>
      <c r="CN203" s="132"/>
      <c r="CO203" s="132"/>
      <c r="CP203" s="501"/>
      <c r="CQ203" s="132"/>
      <c r="CR203" s="132"/>
      <c r="CS203" s="506"/>
      <c r="CT203" s="132"/>
      <c r="CU203" s="132"/>
      <c r="CV203" s="132"/>
      <c r="CW203" s="132"/>
      <c r="CX203" s="132"/>
      <c r="CY203" s="507"/>
      <c r="CZ203" s="132"/>
      <c r="DA203" s="132"/>
      <c r="DB203" s="132"/>
      <c r="DC203" s="508"/>
      <c r="DD203" s="132"/>
      <c r="DE203" s="132"/>
      <c r="DF203" s="132"/>
      <c r="DG203" s="132"/>
      <c r="DH203" s="132"/>
      <c r="DI203" s="132"/>
      <c r="DJ203" s="132"/>
      <c r="DK203" s="132"/>
      <c r="DL203" s="509"/>
      <c r="DM203" s="132"/>
      <c r="DN203" s="132"/>
      <c r="DO203" s="132"/>
      <c r="DP203" s="132"/>
      <c r="DQ203" s="510"/>
      <c r="DR203" s="132"/>
      <c r="DS203" s="132"/>
      <c r="DT203" s="132"/>
      <c r="DU203" s="507"/>
      <c r="DV203" s="507"/>
      <c r="DW203" s="132"/>
      <c r="DX203" s="132"/>
      <c r="DY203" s="132"/>
      <c r="DZ203" s="132"/>
      <c r="EA203" s="132"/>
      <c r="EB203" s="132"/>
      <c r="EC203" s="132"/>
      <c r="ED203" s="132"/>
      <c r="EE203" s="132"/>
      <c r="EF203" s="132"/>
      <c r="EG203" s="132"/>
      <c r="EH203" s="132"/>
      <c r="EI203" s="132"/>
      <c r="EJ203" s="132"/>
      <c r="EK203" s="132"/>
      <c r="EL203" s="132"/>
      <c r="EM203" s="132"/>
      <c r="EN203" s="133"/>
      <c r="EO203" s="132"/>
      <c r="EP203" s="132"/>
      <c r="EQ203" s="132"/>
      <c r="ER203" s="132"/>
      <c r="ES203" s="132"/>
      <c r="ET203" s="501"/>
      <c r="EU203" s="132"/>
      <c r="EV203" s="132"/>
      <c r="EW203" s="132"/>
      <c r="EX203" s="132"/>
      <c r="EY203" s="132"/>
      <c r="EZ203" s="132"/>
      <c r="FA203" s="132"/>
      <c r="FB203" s="132"/>
      <c r="FC203" s="501"/>
      <c r="FD203" s="501"/>
      <c r="FE203" s="501"/>
      <c r="FF203" s="132"/>
      <c r="FG203" s="132"/>
      <c r="FH203" s="132"/>
      <c r="FI203" s="132"/>
      <c r="FJ203" s="132"/>
      <c r="FK203" s="132"/>
      <c r="FL203" s="132"/>
      <c r="FM203" s="132"/>
      <c r="FN203" s="132"/>
      <c r="FO203" s="132"/>
      <c r="FP203" s="132"/>
      <c r="FQ203" s="132"/>
      <c r="FR203" s="132"/>
      <c r="FS203" s="511"/>
      <c r="FT203" s="496"/>
      <c r="FU203" s="132"/>
      <c r="FV203" s="501"/>
      <c r="FW203" s="501"/>
      <c r="FX203" s="132"/>
      <c r="FY203" s="132"/>
      <c r="FZ203" s="132"/>
      <c r="GA203" s="132"/>
      <c r="GB203" s="132"/>
      <c r="GC203" s="132"/>
      <c r="GD203" s="512"/>
      <c r="GE203" s="132"/>
      <c r="GF203" s="132"/>
      <c r="GG203" s="132"/>
      <c r="GH203" s="132"/>
      <c r="GI203" s="132"/>
      <c r="GJ203" s="132"/>
      <c r="GK203" s="132"/>
      <c r="GL203" s="132"/>
      <c r="GM203" s="132"/>
      <c r="GN203" s="132"/>
      <c r="GO203" s="132"/>
      <c r="GP203" s="132"/>
      <c r="GQ203" s="132"/>
      <c r="GR203" s="132"/>
      <c r="GS203" s="132"/>
      <c r="GT203" s="132"/>
      <c r="GU203" s="132"/>
      <c r="GV203" s="132"/>
      <c r="GW203" s="132"/>
      <c r="GX203" s="132"/>
      <c r="GY203" s="132"/>
      <c r="GZ203" s="132"/>
      <c r="HA203" s="132"/>
      <c r="HB203" s="132"/>
      <c r="HC203" s="132"/>
      <c r="HD203" s="132"/>
      <c r="HE203" s="132"/>
      <c r="HF203" s="132"/>
      <c r="HG203" s="132"/>
      <c r="HH203" s="132"/>
      <c r="HI203" s="132"/>
      <c r="HJ203" s="132"/>
      <c r="HK203" s="132"/>
      <c r="HL203" s="132"/>
      <c r="HM203" s="132"/>
      <c r="HN203" s="132"/>
      <c r="HO203" s="132"/>
      <c r="HP203" s="132"/>
      <c r="HQ203" s="132"/>
      <c r="HR203" s="132"/>
      <c r="HS203" s="132"/>
      <c r="HT203" s="132"/>
      <c r="HU203" s="132"/>
      <c r="HV203" s="132"/>
      <c r="HW203" s="132"/>
      <c r="HX203" s="132"/>
      <c r="HY203" s="132"/>
      <c r="HZ203" s="132"/>
      <c r="IA203" s="132"/>
      <c r="IB203" s="132"/>
      <c r="IC203" s="132"/>
      <c r="ID203" s="132"/>
      <c r="IE203" s="495"/>
      <c r="IF203" s="132"/>
      <c r="IG203" s="132"/>
      <c r="IH203" s="132"/>
      <c r="II203" s="132"/>
      <c r="IJ203" s="132"/>
      <c r="IK203" s="132"/>
      <c r="IL203" s="132"/>
      <c r="IM203" s="132"/>
      <c r="IN203" s="132"/>
      <c r="IO203" s="132"/>
      <c r="IP203" s="132"/>
      <c r="IQ203" s="132"/>
      <c r="IR203" s="132"/>
      <c r="IS203" s="132"/>
      <c r="IT203" s="501"/>
      <c r="IU203" s="132"/>
      <c r="IV203" s="132"/>
    </row>
    <row r="204" spans="3:256" s="513" customFormat="1" ht="12.75" customHeight="1">
      <c r="C204" s="134" t="s">
        <v>4296</v>
      </c>
      <c r="D204" s="133"/>
      <c r="E204" s="319" t="s">
        <v>5589</v>
      </c>
      <c r="F204" s="317">
        <f>COUNTIF(SurveyDATA!BN418:BN659,"Structure Owner")</f>
        <v>135</v>
      </c>
      <c r="G204" s="132"/>
      <c r="H204" s="132"/>
      <c r="I204" s="494"/>
      <c r="J204" s="133" t="str">
        <f t="shared" ca="1" si="7"/>
        <v/>
      </c>
      <c r="K204" s="132"/>
      <c r="L204" s="132"/>
      <c r="M204" s="132"/>
      <c r="N204" s="132"/>
      <c r="O204" s="132"/>
      <c r="P204" s="132"/>
      <c r="Q204" s="495"/>
      <c r="R204" s="496"/>
      <c r="S204" s="132"/>
      <c r="T204" s="132"/>
      <c r="U204" s="497"/>
      <c r="V204" s="132"/>
      <c r="W204" s="132"/>
      <c r="X204" s="132"/>
      <c r="Y204" s="132"/>
      <c r="Z204" s="132"/>
      <c r="AA204" s="132"/>
      <c r="AB204" s="132"/>
      <c r="AC204" s="132"/>
      <c r="AD204" s="132"/>
      <c r="AE204" s="132"/>
      <c r="AF204" s="132"/>
      <c r="AG204" s="132"/>
      <c r="AH204" s="132"/>
      <c r="AI204" s="132"/>
      <c r="AJ204" s="498"/>
      <c r="AK204" s="499"/>
      <c r="AL204" s="500"/>
      <c r="AM204" s="132"/>
      <c r="AN204" s="132"/>
      <c r="AO204" s="132"/>
      <c r="AP204" s="132"/>
      <c r="AQ204" s="132"/>
      <c r="AR204" s="132"/>
      <c r="AS204" s="132"/>
      <c r="AT204" s="132"/>
      <c r="AU204" s="132"/>
      <c r="AV204" s="132"/>
      <c r="AW204" s="132"/>
      <c r="AX204" s="132"/>
      <c r="AY204" s="132"/>
      <c r="AZ204" s="132"/>
      <c r="BA204" s="132"/>
      <c r="BB204" s="132"/>
      <c r="BC204" s="132"/>
      <c r="BD204" s="501"/>
      <c r="BE204" s="501"/>
      <c r="BF204" s="132"/>
      <c r="BG204" s="132"/>
      <c r="BH204" s="132"/>
      <c r="BI204" s="132"/>
      <c r="BJ204" s="132"/>
      <c r="BK204" s="132"/>
      <c r="BL204" s="132"/>
      <c r="BM204" s="132"/>
      <c r="BN204" s="502"/>
      <c r="BO204" s="499"/>
      <c r="BP204" s="503"/>
      <c r="BQ204" s="132"/>
      <c r="BR204" s="132"/>
      <c r="BS204" s="132"/>
      <c r="BT204" s="132"/>
      <c r="BU204" s="132"/>
      <c r="BV204" s="501"/>
      <c r="BW204" s="132"/>
      <c r="BX204" s="501"/>
      <c r="BY204" s="132"/>
      <c r="BZ204" s="132"/>
      <c r="CA204" s="132"/>
      <c r="CB204" s="132"/>
      <c r="CC204" s="132"/>
      <c r="CD204" s="504"/>
      <c r="CE204" s="505"/>
      <c r="CF204" s="132"/>
      <c r="CG204" s="132"/>
      <c r="CH204" s="132"/>
      <c r="CI204" s="132"/>
      <c r="CJ204" s="132"/>
      <c r="CK204" s="132"/>
      <c r="CL204" s="132"/>
      <c r="CM204" s="132"/>
      <c r="CN204" s="132"/>
      <c r="CO204" s="132"/>
      <c r="CP204" s="501"/>
      <c r="CQ204" s="132"/>
      <c r="CR204" s="132"/>
      <c r="CS204" s="506"/>
      <c r="CT204" s="132"/>
      <c r="CU204" s="132"/>
      <c r="CV204" s="132"/>
      <c r="CW204" s="132"/>
      <c r="CX204" s="132"/>
      <c r="CY204" s="507"/>
      <c r="CZ204" s="132"/>
      <c r="DA204" s="132"/>
      <c r="DB204" s="132"/>
      <c r="DC204" s="508"/>
      <c r="DD204" s="132"/>
      <c r="DE204" s="132"/>
      <c r="DF204" s="132"/>
      <c r="DG204" s="132"/>
      <c r="DH204" s="132"/>
      <c r="DI204" s="132"/>
      <c r="DJ204" s="132"/>
      <c r="DK204" s="132"/>
      <c r="DL204" s="509"/>
      <c r="DM204" s="132"/>
      <c r="DN204" s="132"/>
      <c r="DO204" s="132"/>
      <c r="DP204" s="132"/>
      <c r="DQ204" s="510"/>
      <c r="DR204" s="132"/>
      <c r="DS204" s="132"/>
      <c r="DT204" s="132"/>
      <c r="DU204" s="507"/>
      <c r="DV204" s="507"/>
      <c r="DW204" s="132"/>
      <c r="DX204" s="132"/>
      <c r="DY204" s="132"/>
      <c r="DZ204" s="132"/>
      <c r="EA204" s="132"/>
      <c r="EB204" s="132"/>
      <c r="EC204" s="132"/>
      <c r="ED204" s="132"/>
      <c r="EE204" s="132"/>
      <c r="EF204" s="132"/>
      <c r="EG204" s="132"/>
      <c r="EH204" s="132"/>
      <c r="EI204" s="132"/>
      <c r="EJ204" s="132"/>
      <c r="EK204" s="132"/>
      <c r="EL204" s="132"/>
      <c r="EM204" s="132"/>
      <c r="EN204" s="133"/>
      <c r="EO204" s="132"/>
      <c r="EP204" s="132"/>
      <c r="EQ204" s="132"/>
      <c r="ER204" s="132"/>
      <c r="ES204" s="132"/>
      <c r="ET204" s="501"/>
      <c r="EU204" s="132"/>
      <c r="EV204" s="132"/>
      <c r="EW204" s="132"/>
      <c r="EX204" s="132"/>
      <c r="EY204" s="132"/>
      <c r="EZ204" s="132"/>
      <c r="FA204" s="132"/>
      <c r="FB204" s="132"/>
      <c r="FC204" s="501"/>
      <c r="FD204" s="501"/>
      <c r="FE204" s="501"/>
      <c r="FF204" s="132"/>
      <c r="FG204" s="132"/>
      <c r="FH204" s="132"/>
      <c r="FI204" s="132"/>
      <c r="FJ204" s="132"/>
      <c r="FK204" s="132"/>
      <c r="FL204" s="132"/>
      <c r="FM204" s="132"/>
      <c r="FN204" s="132"/>
      <c r="FO204" s="132"/>
      <c r="FP204" s="132"/>
      <c r="FQ204" s="132"/>
      <c r="FR204" s="132"/>
      <c r="FS204" s="511"/>
      <c r="FT204" s="496"/>
      <c r="FU204" s="132"/>
      <c r="FV204" s="501"/>
      <c r="FW204" s="501"/>
      <c r="FX204" s="132"/>
      <c r="FY204" s="132"/>
      <c r="FZ204" s="132"/>
      <c r="GA204" s="132"/>
      <c r="GB204" s="132"/>
      <c r="GC204" s="132"/>
      <c r="GD204" s="512"/>
      <c r="GE204" s="132"/>
      <c r="GF204" s="132"/>
      <c r="GG204" s="132"/>
      <c r="GH204" s="132"/>
      <c r="GI204" s="132"/>
      <c r="GJ204" s="132"/>
      <c r="GK204" s="132"/>
      <c r="GL204" s="132"/>
      <c r="GM204" s="132"/>
      <c r="GN204" s="132"/>
      <c r="GO204" s="132"/>
      <c r="GP204" s="132"/>
      <c r="GQ204" s="132"/>
      <c r="GR204" s="132"/>
      <c r="GS204" s="132"/>
      <c r="GT204" s="132"/>
      <c r="GU204" s="132"/>
      <c r="GV204" s="132"/>
      <c r="GW204" s="132"/>
      <c r="GX204" s="132"/>
      <c r="GY204" s="132"/>
      <c r="GZ204" s="132"/>
      <c r="HA204" s="132"/>
      <c r="HB204" s="132"/>
      <c r="HC204" s="132"/>
      <c r="HD204" s="132"/>
      <c r="HE204" s="132"/>
      <c r="HF204" s="132"/>
      <c r="HG204" s="132"/>
      <c r="HH204" s="132"/>
      <c r="HI204" s="132"/>
      <c r="HJ204" s="132"/>
      <c r="HK204" s="132"/>
      <c r="HL204" s="132"/>
      <c r="HM204" s="132"/>
      <c r="HN204" s="132"/>
      <c r="HO204" s="132"/>
      <c r="HP204" s="132"/>
      <c r="HQ204" s="132"/>
      <c r="HR204" s="132"/>
      <c r="HS204" s="132"/>
      <c r="HT204" s="132"/>
      <c r="HU204" s="132"/>
      <c r="HV204" s="132"/>
      <c r="HW204" s="132"/>
      <c r="HX204" s="132"/>
      <c r="HY204" s="132"/>
      <c r="HZ204" s="132"/>
      <c r="IA204" s="132"/>
      <c r="IB204" s="132"/>
      <c r="IC204" s="132"/>
      <c r="ID204" s="132"/>
      <c r="IE204" s="495"/>
      <c r="IF204" s="132"/>
      <c r="IG204" s="132"/>
      <c r="IH204" s="132"/>
      <c r="II204" s="132"/>
      <c r="IJ204" s="132"/>
      <c r="IK204" s="132"/>
      <c r="IL204" s="132"/>
      <c r="IM204" s="132"/>
      <c r="IN204" s="132"/>
      <c r="IO204" s="132"/>
      <c r="IP204" s="132"/>
      <c r="IQ204" s="132"/>
      <c r="IR204" s="132"/>
      <c r="IS204" s="132"/>
      <c r="IT204" s="501"/>
      <c r="IU204" s="132"/>
      <c r="IV204" s="132"/>
    </row>
    <row r="205" spans="3:256" s="513" customFormat="1" ht="12.75" customHeight="1">
      <c r="C205" s="134" t="s">
        <v>4301</v>
      </c>
      <c r="D205" s="133"/>
      <c r="E205" s="319" t="s">
        <v>1101</v>
      </c>
      <c r="F205" s="49">
        <f>COUNTIFS(SurveyDATA!AS418:AS659,"",SurveyDATA!BN418:BN659,"Structure Owner")</f>
        <v>125</v>
      </c>
      <c r="G205" s="132"/>
      <c r="H205" s="132"/>
      <c r="I205" s="494"/>
      <c r="J205" s="133" t="str">
        <f t="shared" ca="1" si="7"/>
        <v/>
      </c>
      <c r="K205" s="132"/>
      <c r="L205" s="132"/>
      <c r="M205" s="132"/>
      <c r="N205" s="132"/>
      <c r="O205" s="132"/>
      <c r="P205" s="132"/>
      <c r="Q205" s="495"/>
      <c r="R205" s="496"/>
      <c r="S205" s="132"/>
      <c r="T205" s="132"/>
      <c r="U205" s="497"/>
      <c r="V205" s="132"/>
      <c r="W205" s="132"/>
      <c r="X205" s="132"/>
      <c r="Y205" s="132"/>
      <c r="Z205" s="132"/>
      <c r="AA205" s="132"/>
      <c r="AB205" s="132"/>
      <c r="AC205" s="132"/>
      <c r="AD205" s="132"/>
      <c r="AE205" s="132"/>
      <c r="AF205" s="132"/>
      <c r="AG205" s="132"/>
      <c r="AH205" s="132"/>
      <c r="AI205" s="132"/>
      <c r="AJ205" s="498"/>
      <c r="AK205" s="499"/>
      <c r="AL205" s="500"/>
      <c r="AM205" s="132"/>
      <c r="AN205" s="132"/>
      <c r="AO205" s="132"/>
      <c r="AP205" s="132"/>
      <c r="AQ205" s="132"/>
      <c r="AR205" s="132"/>
      <c r="AS205" s="132"/>
      <c r="AT205" s="132"/>
      <c r="AU205" s="132"/>
      <c r="AV205" s="132"/>
      <c r="AW205" s="132"/>
      <c r="AX205" s="132"/>
      <c r="AY205" s="132"/>
      <c r="AZ205" s="132"/>
      <c r="BA205" s="132"/>
      <c r="BB205" s="132"/>
      <c r="BC205" s="132"/>
      <c r="BD205" s="501"/>
      <c r="BE205" s="501"/>
      <c r="BF205" s="132"/>
      <c r="BG205" s="132"/>
      <c r="BH205" s="132"/>
      <c r="BI205" s="132"/>
      <c r="BJ205" s="132"/>
      <c r="BK205" s="132"/>
      <c r="BL205" s="132"/>
      <c r="BM205" s="132"/>
      <c r="BN205" s="502"/>
      <c r="BO205" s="499"/>
      <c r="BP205" s="503"/>
      <c r="BQ205" s="132"/>
      <c r="BR205" s="132"/>
      <c r="BS205" s="132"/>
      <c r="BT205" s="132"/>
      <c r="BU205" s="132"/>
      <c r="BV205" s="501"/>
      <c r="BW205" s="132"/>
      <c r="BX205" s="501"/>
      <c r="BY205" s="132"/>
      <c r="BZ205" s="132"/>
      <c r="CA205" s="132"/>
      <c r="CB205" s="132"/>
      <c r="CC205" s="132"/>
      <c r="CD205" s="504"/>
      <c r="CE205" s="505"/>
      <c r="CF205" s="132"/>
      <c r="CG205" s="132"/>
      <c r="CH205" s="132"/>
      <c r="CI205" s="132"/>
      <c r="CJ205" s="132"/>
      <c r="CK205" s="132"/>
      <c r="CL205" s="132"/>
      <c r="CM205" s="132"/>
      <c r="CN205" s="132"/>
      <c r="CO205" s="132"/>
      <c r="CP205" s="501"/>
      <c r="CQ205" s="132"/>
      <c r="CR205" s="132"/>
      <c r="CS205" s="506"/>
      <c r="CT205" s="132"/>
      <c r="CU205" s="132"/>
      <c r="CV205" s="132"/>
      <c r="CW205" s="132"/>
      <c r="CX205" s="132"/>
      <c r="CY205" s="507"/>
      <c r="CZ205" s="132"/>
      <c r="DA205" s="132"/>
      <c r="DB205" s="132"/>
      <c r="DC205" s="508"/>
      <c r="DD205" s="132"/>
      <c r="DE205" s="132"/>
      <c r="DF205" s="132"/>
      <c r="DG205" s="132"/>
      <c r="DH205" s="132"/>
      <c r="DI205" s="132"/>
      <c r="DJ205" s="132"/>
      <c r="DK205" s="132"/>
      <c r="DL205" s="509"/>
      <c r="DM205" s="132"/>
      <c r="DN205" s="132"/>
      <c r="DO205" s="132"/>
      <c r="DP205" s="132"/>
      <c r="DQ205" s="510"/>
      <c r="DR205" s="132"/>
      <c r="DS205" s="132"/>
      <c r="DT205" s="132"/>
      <c r="DU205" s="507"/>
      <c r="DV205" s="507"/>
      <c r="DW205" s="132"/>
      <c r="DX205" s="132"/>
      <c r="DY205" s="132"/>
      <c r="DZ205" s="132"/>
      <c r="EA205" s="132"/>
      <c r="EB205" s="132"/>
      <c r="EC205" s="132"/>
      <c r="ED205" s="132"/>
      <c r="EE205" s="132"/>
      <c r="EF205" s="132"/>
      <c r="EG205" s="132"/>
      <c r="EH205" s="132"/>
      <c r="EI205" s="132"/>
      <c r="EJ205" s="132"/>
      <c r="EK205" s="132"/>
      <c r="EL205" s="132"/>
      <c r="EM205" s="132"/>
      <c r="EN205" s="133"/>
      <c r="EO205" s="132"/>
      <c r="EP205" s="132"/>
      <c r="EQ205" s="132"/>
      <c r="ER205" s="132"/>
      <c r="ES205" s="132"/>
      <c r="ET205" s="501"/>
      <c r="EU205" s="132"/>
      <c r="EV205" s="132"/>
      <c r="EW205" s="132"/>
      <c r="EX205" s="132"/>
      <c r="EY205" s="132"/>
      <c r="EZ205" s="132"/>
      <c r="FA205" s="132"/>
      <c r="FB205" s="132"/>
      <c r="FC205" s="501"/>
      <c r="FD205" s="501"/>
      <c r="FE205" s="501"/>
      <c r="FF205" s="132"/>
      <c r="FG205" s="132"/>
      <c r="FH205" s="132"/>
      <c r="FI205" s="132"/>
      <c r="FJ205" s="132"/>
      <c r="FK205" s="132"/>
      <c r="FL205" s="132"/>
      <c r="FM205" s="132"/>
      <c r="FN205" s="132"/>
      <c r="FO205" s="132"/>
      <c r="FP205" s="132"/>
      <c r="FQ205" s="132"/>
      <c r="FR205" s="132"/>
      <c r="FS205" s="511"/>
      <c r="FT205" s="496"/>
      <c r="FU205" s="132"/>
      <c r="FV205" s="501"/>
      <c r="FW205" s="501"/>
      <c r="FX205" s="132"/>
      <c r="FY205" s="132"/>
      <c r="FZ205" s="132"/>
      <c r="GA205" s="132"/>
      <c r="GB205" s="132"/>
      <c r="GC205" s="132"/>
      <c r="GD205" s="512"/>
      <c r="GE205" s="132"/>
      <c r="GF205" s="132"/>
      <c r="GG205" s="132"/>
      <c r="GH205" s="132"/>
      <c r="GI205" s="132"/>
      <c r="GJ205" s="132"/>
      <c r="GK205" s="132"/>
      <c r="GL205" s="132"/>
      <c r="GM205" s="132"/>
      <c r="GN205" s="132"/>
      <c r="GO205" s="132"/>
      <c r="GP205" s="132"/>
      <c r="GQ205" s="132"/>
      <c r="GR205" s="132"/>
      <c r="GS205" s="132"/>
      <c r="GT205" s="132"/>
      <c r="GU205" s="132"/>
      <c r="GV205" s="132"/>
      <c r="GW205" s="132"/>
      <c r="GX205" s="132"/>
      <c r="GY205" s="132"/>
      <c r="GZ205" s="132"/>
      <c r="HA205" s="132"/>
      <c r="HB205" s="132"/>
      <c r="HC205" s="132"/>
      <c r="HD205" s="132"/>
      <c r="HE205" s="132"/>
      <c r="HF205" s="132"/>
      <c r="HG205" s="132"/>
      <c r="HH205" s="132"/>
      <c r="HI205" s="132"/>
      <c r="HJ205" s="132"/>
      <c r="HK205" s="132"/>
      <c r="HL205" s="132"/>
      <c r="HM205" s="132"/>
      <c r="HN205" s="132"/>
      <c r="HO205" s="132"/>
      <c r="HP205" s="132"/>
      <c r="HQ205" s="132"/>
      <c r="HR205" s="132"/>
      <c r="HS205" s="132"/>
      <c r="HT205" s="132"/>
      <c r="HU205" s="132"/>
      <c r="HV205" s="132"/>
      <c r="HW205" s="132"/>
      <c r="HX205" s="132"/>
      <c r="HY205" s="132"/>
      <c r="HZ205" s="132"/>
      <c r="IA205" s="132"/>
      <c r="IB205" s="132"/>
      <c r="IC205" s="132"/>
      <c r="ID205" s="132"/>
      <c r="IE205" s="495"/>
      <c r="IF205" s="132"/>
      <c r="IG205" s="132"/>
      <c r="IH205" s="132"/>
      <c r="II205" s="132"/>
      <c r="IJ205" s="132"/>
      <c r="IK205" s="132"/>
      <c r="IL205" s="132"/>
      <c r="IM205" s="132"/>
      <c r="IN205" s="132"/>
      <c r="IO205" s="132"/>
      <c r="IP205" s="132"/>
      <c r="IQ205" s="132"/>
      <c r="IR205" s="132"/>
      <c r="IS205" s="132"/>
      <c r="IT205" s="501"/>
      <c r="IU205" s="132"/>
      <c r="IV205" s="132"/>
    </row>
    <row r="206" spans="3:256" s="513" customFormat="1" ht="12.75" customHeight="1">
      <c r="C206" s="134"/>
      <c r="D206" s="133"/>
      <c r="E206" s="319" t="s">
        <v>2209</v>
      </c>
      <c r="F206" s="154">
        <f>COUNTIFS(SurveyDATA!AS418:AS659,"Y",SurveyDATA!BN418:BN659,"Structure Owner")</f>
        <v>10</v>
      </c>
      <c r="G206" s="132"/>
      <c r="H206" s="132"/>
      <c r="I206" s="494"/>
      <c r="J206" s="133" t="str">
        <f t="shared" ca="1" si="7"/>
        <v/>
      </c>
      <c r="K206" s="132"/>
      <c r="L206" s="132"/>
      <c r="M206" s="132"/>
      <c r="N206" s="132"/>
      <c r="O206" s="132"/>
      <c r="P206" s="132"/>
      <c r="Q206" s="495"/>
      <c r="R206" s="496"/>
      <c r="S206" s="132"/>
      <c r="T206" s="132"/>
      <c r="U206" s="497"/>
      <c r="V206" s="132"/>
      <c r="W206" s="132"/>
      <c r="X206" s="132"/>
      <c r="Y206" s="132"/>
      <c r="Z206" s="132"/>
      <c r="AA206" s="132"/>
      <c r="AB206" s="132"/>
      <c r="AC206" s="132"/>
      <c r="AD206" s="132"/>
      <c r="AE206" s="132"/>
      <c r="AF206" s="132"/>
      <c r="AG206" s="132"/>
      <c r="AH206" s="132"/>
      <c r="AI206" s="132"/>
      <c r="AJ206" s="498"/>
      <c r="AK206" s="499"/>
      <c r="AL206" s="500"/>
      <c r="AM206" s="132"/>
      <c r="AN206" s="132"/>
      <c r="AO206" s="132"/>
      <c r="AP206" s="132"/>
      <c r="AQ206" s="132"/>
      <c r="AR206" s="132"/>
      <c r="AS206" s="132"/>
      <c r="AT206" s="132"/>
      <c r="AU206" s="132"/>
      <c r="AV206" s="132"/>
      <c r="AW206" s="132"/>
      <c r="AX206" s="132"/>
      <c r="AY206" s="132"/>
      <c r="AZ206" s="132"/>
      <c r="BA206" s="132"/>
      <c r="BB206" s="132"/>
      <c r="BC206" s="132"/>
      <c r="BD206" s="501"/>
      <c r="BE206" s="501"/>
      <c r="BF206" s="132"/>
      <c r="BG206" s="132"/>
      <c r="BH206" s="132"/>
      <c r="BI206" s="132"/>
      <c r="BJ206" s="132"/>
      <c r="BK206" s="132"/>
      <c r="BL206" s="132"/>
      <c r="BM206" s="132"/>
      <c r="BN206" s="502"/>
      <c r="BO206" s="499"/>
      <c r="BP206" s="503"/>
      <c r="BQ206" s="132"/>
      <c r="BR206" s="132"/>
      <c r="BS206" s="132"/>
      <c r="BT206" s="132"/>
      <c r="BU206" s="132"/>
      <c r="BV206" s="501"/>
      <c r="BW206" s="132"/>
      <c r="BX206" s="501"/>
      <c r="BY206" s="132"/>
      <c r="BZ206" s="132"/>
      <c r="CA206" s="132"/>
      <c r="CB206" s="132"/>
      <c r="CC206" s="132"/>
      <c r="CD206" s="504"/>
      <c r="CE206" s="505"/>
      <c r="CF206" s="132"/>
      <c r="CG206" s="132"/>
      <c r="CH206" s="132"/>
      <c r="CI206" s="132"/>
      <c r="CJ206" s="132"/>
      <c r="CK206" s="132"/>
      <c r="CL206" s="132"/>
      <c r="CM206" s="132"/>
      <c r="CN206" s="132"/>
      <c r="CO206" s="132"/>
      <c r="CP206" s="501"/>
      <c r="CQ206" s="132"/>
      <c r="CR206" s="132"/>
      <c r="CS206" s="506"/>
      <c r="CT206" s="132"/>
      <c r="CU206" s="132"/>
      <c r="CV206" s="132"/>
      <c r="CW206" s="132"/>
      <c r="CX206" s="132"/>
      <c r="CY206" s="507"/>
      <c r="CZ206" s="132"/>
      <c r="DA206" s="132"/>
      <c r="DB206" s="132"/>
      <c r="DC206" s="508"/>
      <c r="DD206" s="132"/>
      <c r="DE206" s="132"/>
      <c r="DF206" s="132"/>
      <c r="DG206" s="132"/>
      <c r="DH206" s="132"/>
      <c r="DI206" s="132"/>
      <c r="DJ206" s="132"/>
      <c r="DK206" s="132"/>
      <c r="DL206" s="509"/>
      <c r="DM206" s="132"/>
      <c r="DN206" s="132"/>
      <c r="DO206" s="132"/>
      <c r="DP206" s="132"/>
      <c r="DQ206" s="510"/>
      <c r="DR206" s="132"/>
      <c r="DS206" s="132"/>
      <c r="DT206" s="132"/>
      <c r="DU206" s="507"/>
      <c r="DV206" s="507"/>
      <c r="DW206" s="132"/>
      <c r="DX206" s="132"/>
      <c r="DY206" s="132"/>
      <c r="DZ206" s="132"/>
      <c r="EA206" s="132"/>
      <c r="EB206" s="132"/>
      <c r="EC206" s="132"/>
      <c r="ED206" s="132"/>
      <c r="EE206" s="132"/>
      <c r="EF206" s="132"/>
      <c r="EG206" s="132"/>
      <c r="EH206" s="132"/>
      <c r="EI206" s="132"/>
      <c r="EJ206" s="132"/>
      <c r="EK206" s="132"/>
      <c r="EL206" s="132"/>
      <c r="EM206" s="132"/>
      <c r="EN206" s="133"/>
      <c r="EO206" s="132"/>
      <c r="EP206" s="132"/>
      <c r="EQ206" s="132"/>
      <c r="ER206" s="132"/>
      <c r="ES206" s="132"/>
      <c r="ET206" s="501"/>
      <c r="EU206" s="132"/>
      <c r="EV206" s="132"/>
      <c r="EW206" s="132"/>
      <c r="EX206" s="132"/>
      <c r="EY206" s="132"/>
      <c r="EZ206" s="132"/>
      <c r="FA206" s="132"/>
      <c r="FB206" s="132"/>
      <c r="FC206" s="501"/>
      <c r="FD206" s="501"/>
      <c r="FE206" s="501"/>
      <c r="FF206" s="132"/>
      <c r="FG206" s="132"/>
      <c r="FH206" s="132"/>
      <c r="FI206" s="132"/>
      <c r="FJ206" s="132"/>
      <c r="FK206" s="132"/>
      <c r="FL206" s="132"/>
      <c r="FM206" s="132"/>
      <c r="FN206" s="132"/>
      <c r="FO206" s="132"/>
      <c r="FP206" s="132"/>
      <c r="FQ206" s="132"/>
      <c r="FR206" s="132"/>
      <c r="FS206" s="511"/>
      <c r="FT206" s="496"/>
      <c r="FU206" s="132"/>
      <c r="FV206" s="501"/>
      <c r="FW206" s="501"/>
      <c r="FX206" s="132"/>
      <c r="FY206" s="132"/>
      <c r="FZ206" s="132"/>
      <c r="GA206" s="132"/>
      <c r="GB206" s="132"/>
      <c r="GC206" s="132"/>
      <c r="GD206" s="512"/>
      <c r="GE206" s="132"/>
      <c r="GF206" s="132"/>
      <c r="GG206" s="132"/>
      <c r="GH206" s="132"/>
      <c r="GI206" s="132"/>
      <c r="GJ206" s="132"/>
      <c r="GK206" s="132"/>
      <c r="GL206" s="132"/>
      <c r="GM206" s="132"/>
      <c r="GN206" s="132"/>
      <c r="GO206" s="132"/>
      <c r="GP206" s="132"/>
      <c r="GQ206" s="132"/>
      <c r="GR206" s="132"/>
      <c r="GS206" s="132"/>
      <c r="GT206" s="132"/>
      <c r="GU206" s="132"/>
      <c r="GV206" s="132"/>
      <c r="GW206" s="132"/>
      <c r="GX206" s="132"/>
      <c r="GY206" s="132"/>
      <c r="GZ206" s="132"/>
      <c r="HA206" s="132"/>
      <c r="HB206" s="132"/>
      <c r="HC206" s="132"/>
      <c r="HD206" s="132"/>
      <c r="HE206" s="132"/>
      <c r="HF206" s="132"/>
      <c r="HG206" s="132"/>
      <c r="HH206" s="132"/>
      <c r="HI206" s="132"/>
      <c r="HJ206" s="132"/>
      <c r="HK206" s="132"/>
      <c r="HL206" s="132"/>
      <c r="HM206" s="132"/>
      <c r="HN206" s="132"/>
      <c r="HO206" s="132"/>
      <c r="HP206" s="132"/>
      <c r="HQ206" s="132"/>
      <c r="HR206" s="132"/>
      <c r="HS206" s="132"/>
      <c r="HT206" s="132"/>
      <c r="HU206" s="132"/>
      <c r="HV206" s="132"/>
      <c r="HW206" s="132"/>
      <c r="HX206" s="132"/>
      <c r="HY206" s="132"/>
      <c r="HZ206" s="132"/>
      <c r="IA206" s="132"/>
      <c r="IB206" s="132"/>
      <c r="IC206" s="132"/>
      <c r="ID206" s="132"/>
      <c r="IE206" s="495"/>
      <c r="IF206" s="132"/>
      <c r="IG206" s="132"/>
      <c r="IH206" s="132"/>
      <c r="II206" s="132"/>
      <c r="IJ206" s="132"/>
      <c r="IK206" s="132"/>
      <c r="IL206" s="132"/>
      <c r="IM206" s="132"/>
      <c r="IN206" s="132"/>
      <c r="IO206" s="132"/>
      <c r="IP206" s="132"/>
      <c r="IQ206" s="132"/>
      <c r="IR206" s="132"/>
      <c r="IS206" s="132"/>
      <c r="IT206" s="501"/>
      <c r="IU206" s="132"/>
      <c r="IV206" s="132"/>
    </row>
    <row r="207" spans="3:256" s="513" customFormat="1" ht="12.75" customHeight="1">
      <c r="C207" s="134"/>
      <c r="D207" s="133"/>
      <c r="E207" s="320" t="s">
        <v>5590</v>
      </c>
      <c r="F207" s="318">
        <f>COUNTIFS(SurveyDATA!AS418:AS659,"Y")</f>
        <v>23</v>
      </c>
      <c r="G207" s="132"/>
      <c r="H207" s="132"/>
      <c r="I207" s="494"/>
      <c r="J207" s="133" t="str">
        <f t="shared" ca="1" si="7"/>
        <v/>
      </c>
      <c r="K207" s="132"/>
      <c r="L207" s="132"/>
      <c r="M207" s="132"/>
      <c r="N207" s="132"/>
      <c r="O207" s="132"/>
      <c r="P207" s="132"/>
      <c r="Q207" s="495"/>
      <c r="R207" s="496"/>
      <c r="S207" s="132"/>
      <c r="T207" s="132"/>
      <c r="U207" s="497"/>
      <c r="V207" s="132"/>
      <c r="W207" s="132"/>
      <c r="X207" s="132"/>
      <c r="Y207" s="132"/>
      <c r="Z207" s="132"/>
      <c r="AA207" s="132"/>
      <c r="AB207" s="132"/>
      <c r="AC207" s="132"/>
      <c r="AD207" s="132"/>
      <c r="AE207" s="132"/>
      <c r="AF207" s="132"/>
      <c r="AG207" s="132"/>
      <c r="AH207" s="132"/>
      <c r="AI207" s="132"/>
      <c r="AJ207" s="498"/>
      <c r="AK207" s="499"/>
      <c r="AL207" s="500"/>
      <c r="AM207" s="132"/>
      <c r="AN207" s="132"/>
      <c r="AO207" s="132"/>
      <c r="AP207" s="132"/>
      <c r="AQ207" s="132"/>
      <c r="AR207" s="132"/>
      <c r="AS207" s="132"/>
      <c r="AT207" s="132"/>
      <c r="AU207" s="132"/>
      <c r="AV207" s="132"/>
      <c r="AW207" s="132"/>
      <c r="AX207" s="132"/>
      <c r="AY207" s="132"/>
      <c r="AZ207" s="132"/>
      <c r="BA207" s="132"/>
      <c r="BB207" s="132"/>
      <c r="BC207" s="132"/>
      <c r="BD207" s="501"/>
      <c r="BE207" s="501"/>
      <c r="BF207" s="132"/>
      <c r="BG207" s="132"/>
      <c r="BH207" s="132"/>
      <c r="BI207" s="132"/>
      <c r="BJ207" s="132"/>
      <c r="BK207" s="132"/>
      <c r="BL207" s="132"/>
      <c r="BM207" s="132"/>
      <c r="BN207" s="502"/>
      <c r="BO207" s="499"/>
      <c r="BP207" s="503"/>
      <c r="BQ207" s="132"/>
      <c r="BR207" s="132"/>
      <c r="BS207" s="132"/>
      <c r="BT207" s="132"/>
      <c r="BU207" s="132"/>
      <c r="BV207" s="501"/>
      <c r="BW207" s="132"/>
      <c r="BX207" s="501"/>
      <c r="BY207" s="132"/>
      <c r="BZ207" s="132"/>
      <c r="CA207" s="132"/>
      <c r="CB207" s="132"/>
      <c r="CC207" s="132"/>
      <c r="CD207" s="504"/>
      <c r="CE207" s="505"/>
      <c r="CF207" s="132"/>
      <c r="CG207" s="132"/>
      <c r="CH207" s="132"/>
      <c r="CI207" s="132"/>
      <c r="CJ207" s="132"/>
      <c r="CK207" s="132"/>
      <c r="CL207" s="132"/>
      <c r="CM207" s="132"/>
      <c r="CN207" s="132"/>
      <c r="CO207" s="132"/>
      <c r="CP207" s="501"/>
      <c r="CQ207" s="132"/>
      <c r="CR207" s="132"/>
      <c r="CS207" s="506"/>
      <c r="CT207" s="132"/>
      <c r="CU207" s="132"/>
      <c r="CV207" s="132"/>
      <c r="CW207" s="132"/>
      <c r="CX207" s="132"/>
      <c r="CY207" s="507"/>
      <c r="CZ207" s="132"/>
      <c r="DA207" s="132"/>
      <c r="DB207" s="132"/>
      <c r="DC207" s="508"/>
      <c r="DD207" s="132"/>
      <c r="DE207" s="132"/>
      <c r="DF207" s="132"/>
      <c r="DG207" s="132"/>
      <c r="DH207" s="132"/>
      <c r="DI207" s="132"/>
      <c r="DJ207" s="132"/>
      <c r="DK207" s="132"/>
      <c r="DL207" s="509"/>
      <c r="DM207" s="132"/>
      <c r="DN207" s="132"/>
      <c r="DO207" s="132"/>
      <c r="DP207" s="132"/>
      <c r="DQ207" s="510"/>
      <c r="DR207" s="132"/>
      <c r="DS207" s="132"/>
      <c r="DT207" s="132"/>
      <c r="DU207" s="507"/>
      <c r="DV207" s="507"/>
      <c r="DW207" s="132"/>
      <c r="DX207" s="132"/>
      <c r="DY207" s="132"/>
      <c r="DZ207" s="132"/>
      <c r="EA207" s="132"/>
      <c r="EB207" s="132"/>
      <c r="EC207" s="132"/>
      <c r="ED207" s="132"/>
      <c r="EE207" s="132"/>
      <c r="EF207" s="132"/>
      <c r="EG207" s="132"/>
      <c r="EH207" s="132"/>
      <c r="EI207" s="132"/>
      <c r="EJ207" s="132"/>
      <c r="EK207" s="132"/>
      <c r="EL207" s="132"/>
      <c r="EM207" s="132"/>
      <c r="EN207" s="133"/>
      <c r="EO207" s="132"/>
      <c r="EP207" s="132"/>
      <c r="EQ207" s="132"/>
      <c r="ER207" s="132"/>
      <c r="ES207" s="132"/>
      <c r="ET207" s="501"/>
      <c r="EU207" s="132"/>
      <c r="EV207" s="132"/>
      <c r="EW207" s="132"/>
      <c r="EX207" s="132"/>
      <c r="EY207" s="132"/>
      <c r="EZ207" s="132"/>
      <c r="FA207" s="132"/>
      <c r="FB207" s="132"/>
      <c r="FC207" s="501"/>
      <c r="FD207" s="501"/>
      <c r="FE207" s="501"/>
      <c r="FF207" s="132"/>
      <c r="FG207" s="132"/>
      <c r="FH207" s="132"/>
      <c r="FI207" s="132"/>
      <c r="FJ207" s="132"/>
      <c r="FK207" s="132"/>
      <c r="FL207" s="132"/>
      <c r="FM207" s="132"/>
      <c r="FN207" s="132"/>
      <c r="FO207" s="132"/>
      <c r="FP207" s="132"/>
      <c r="FQ207" s="132"/>
      <c r="FR207" s="132"/>
      <c r="FS207" s="511"/>
      <c r="FT207" s="496"/>
      <c r="FU207" s="132"/>
      <c r="FV207" s="501"/>
      <c r="FW207" s="501"/>
      <c r="FX207" s="132"/>
      <c r="FY207" s="132"/>
      <c r="FZ207" s="132"/>
      <c r="GA207" s="132"/>
      <c r="GB207" s="132"/>
      <c r="GC207" s="132"/>
      <c r="GD207" s="512"/>
      <c r="GE207" s="132"/>
      <c r="GF207" s="132"/>
      <c r="GG207" s="132"/>
      <c r="GH207" s="132"/>
      <c r="GI207" s="132"/>
      <c r="GJ207" s="132"/>
      <c r="GK207" s="132"/>
      <c r="GL207" s="132"/>
      <c r="GM207" s="132"/>
      <c r="GN207" s="132"/>
      <c r="GO207" s="132"/>
      <c r="GP207" s="132"/>
      <c r="GQ207" s="132"/>
      <c r="GR207" s="132"/>
      <c r="GS207" s="132"/>
      <c r="GT207" s="132"/>
      <c r="GU207" s="132"/>
      <c r="GV207" s="132"/>
      <c r="GW207" s="132"/>
      <c r="GX207" s="132"/>
      <c r="GY207" s="132"/>
      <c r="GZ207" s="132"/>
      <c r="HA207" s="132"/>
      <c r="HB207" s="132"/>
      <c r="HC207" s="132"/>
      <c r="HD207" s="132"/>
      <c r="HE207" s="132"/>
      <c r="HF207" s="132"/>
      <c r="HG207" s="132"/>
      <c r="HH207" s="132"/>
      <c r="HI207" s="132"/>
      <c r="HJ207" s="132"/>
      <c r="HK207" s="132"/>
      <c r="HL207" s="132"/>
      <c r="HM207" s="132"/>
      <c r="HN207" s="132"/>
      <c r="HO207" s="132"/>
      <c r="HP207" s="132"/>
      <c r="HQ207" s="132"/>
      <c r="HR207" s="132"/>
      <c r="HS207" s="132"/>
      <c r="HT207" s="132"/>
      <c r="HU207" s="132"/>
      <c r="HV207" s="132"/>
      <c r="HW207" s="132"/>
      <c r="HX207" s="132"/>
      <c r="HY207" s="132"/>
      <c r="HZ207" s="132"/>
      <c r="IA207" s="132"/>
      <c r="IB207" s="132"/>
      <c r="IC207" s="132"/>
      <c r="ID207" s="132"/>
      <c r="IE207" s="495"/>
      <c r="IF207" s="132"/>
      <c r="IG207" s="132"/>
      <c r="IH207" s="132"/>
      <c r="II207" s="132"/>
      <c r="IJ207" s="132"/>
      <c r="IK207" s="132"/>
      <c r="IL207" s="132"/>
      <c r="IM207" s="132"/>
      <c r="IN207" s="132"/>
      <c r="IO207" s="132"/>
      <c r="IP207" s="132"/>
      <c r="IQ207" s="132"/>
      <c r="IR207" s="132"/>
      <c r="IS207" s="132"/>
      <c r="IT207" s="501"/>
      <c r="IU207" s="132"/>
      <c r="IV207" s="132"/>
    </row>
    <row r="208" spans="3:256" s="513" customFormat="1" ht="12.75" customHeight="1">
      <c r="C208" s="134" t="s">
        <v>4294</v>
      </c>
      <c r="D208" s="133"/>
      <c r="E208" s="320"/>
      <c r="F208" s="7"/>
      <c r="G208" s="132"/>
      <c r="H208" s="132"/>
      <c r="I208" s="494"/>
      <c r="J208" s="133" t="str">
        <f t="shared" ca="1" si="7"/>
        <v/>
      </c>
      <c r="K208" s="132"/>
      <c r="L208" s="132"/>
      <c r="M208" s="132"/>
      <c r="N208" s="132"/>
      <c r="O208" s="132"/>
      <c r="P208" s="132"/>
      <c r="Q208" s="495"/>
      <c r="R208" s="496"/>
      <c r="S208" s="132"/>
      <c r="T208" s="132"/>
      <c r="U208" s="497"/>
      <c r="V208" s="132"/>
      <c r="W208" s="132"/>
      <c r="X208" s="132"/>
      <c r="Y208" s="132"/>
      <c r="Z208" s="132"/>
      <c r="AA208" s="132"/>
      <c r="AB208" s="132"/>
      <c r="AC208" s="132"/>
      <c r="AD208" s="132"/>
      <c r="AE208" s="132"/>
      <c r="AF208" s="132"/>
      <c r="AG208" s="132"/>
      <c r="AH208" s="132"/>
      <c r="AI208" s="132"/>
      <c r="AJ208" s="498"/>
      <c r="AK208" s="499"/>
      <c r="AL208" s="500"/>
      <c r="AM208" s="132"/>
      <c r="AN208" s="132"/>
      <c r="AO208" s="132"/>
      <c r="AP208" s="132"/>
      <c r="AQ208" s="132"/>
      <c r="AR208" s="132"/>
      <c r="AS208" s="132"/>
      <c r="AT208" s="132"/>
      <c r="AU208" s="132"/>
      <c r="AV208" s="132"/>
      <c r="AW208" s="132"/>
      <c r="AX208" s="132"/>
      <c r="AY208" s="132"/>
      <c r="AZ208" s="132"/>
      <c r="BA208" s="132"/>
      <c r="BB208" s="132"/>
      <c r="BC208" s="132"/>
      <c r="BD208" s="501"/>
      <c r="BE208" s="501"/>
      <c r="BF208" s="132"/>
      <c r="BG208" s="132"/>
      <c r="BH208" s="132"/>
      <c r="BI208" s="132"/>
      <c r="BJ208" s="132"/>
      <c r="BK208" s="132"/>
      <c r="BL208" s="132"/>
      <c r="BM208" s="132"/>
      <c r="BN208" s="502"/>
      <c r="BO208" s="499"/>
      <c r="BP208" s="503"/>
      <c r="BQ208" s="132"/>
      <c r="BR208" s="132"/>
      <c r="BS208" s="132"/>
      <c r="BT208" s="132"/>
      <c r="BU208" s="132"/>
      <c r="BV208" s="501"/>
      <c r="BW208" s="132"/>
      <c r="BX208" s="501"/>
      <c r="BY208" s="132"/>
      <c r="BZ208" s="132"/>
      <c r="CA208" s="132"/>
      <c r="CB208" s="132"/>
      <c r="CC208" s="132"/>
      <c r="CD208" s="504"/>
      <c r="CE208" s="505"/>
      <c r="CF208" s="132"/>
      <c r="CG208" s="132"/>
      <c r="CH208" s="132"/>
      <c r="CI208" s="132"/>
      <c r="CJ208" s="132"/>
      <c r="CK208" s="132"/>
      <c r="CL208" s="132"/>
      <c r="CM208" s="132"/>
      <c r="CN208" s="132"/>
      <c r="CO208" s="132"/>
      <c r="CP208" s="501"/>
      <c r="CQ208" s="132"/>
      <c r="CR208" s="132"/>
      <c r="CS208" s="506"/>
      <c r="CT208" s="132"/>
      <c r="CU208" s="132"/>
      <c r="CV208" s="132"/>
      <c r="CW208" s="132"/>
      <c r="CX208" s="132"/>
      <c r="CY208" s="507"/>
      <c r="CZ208" s="132"/>
      <c r="DA208" s="132"/>
      <c r="DB208" s="132"/>
      <c r="DC208" s="508"/>
      <c r="DD208" s="132"/>
      <c r="DE208" s="132"/>
      <c r="DF208" s="132"/>
      <c r="DG208" s="132"/>
      <c r="DH208" s="132"/>
      <c r="DI208" s="132"/>
      <c r="DJ208" s="132"/>
      <c r="DK208" s="132"/>
      <c r="DL208" s="509"/>
      <c r="DM208" s="132"/>
      <c r="DN208" s="132"/>
      <c r="DO208" s="132"/>
      <c r="DP208" s="132"/>
      <c r="DQ208" s="510"/>
      <c r="DR208" s="132"/>
      <c r="DS208" s="132"/>
      <c r="DT208" s="132"/>
      <c r="DU208" s="507"/>
      <c r="DV208" s="507"/>
      <c r="DW208" s="132"/>
      <c r="DX208" s="132"/>
      <c r="DY208" s="132"/>
      <c r="DZ208" s="132"/>
      <c r="EA208" s="132"/>
      <c r="EB208" s="132"/>
      <c r="EC208" s="132"/>
      <c r="ED208" s="132"/>
      <c r="EE208" s="132"/>
      <c r="EF208" s="132"/>
      <c r="EG208" s="132"/>
      <c r="EH208" s="132"/>
      <c r="EI208" s="132"/>
      <c r="EJ208" s="132"/>
      <c r="EK208" s="132"/>
      <c r="EL208" s="132"/>
      <c r="EM208" s="132"/>
      <c r="EN208" s="133"/>
      <c r="EO208" s="132"/>
      <c r="EP208" s="132"/>
      <c r="EQ208" s="132"/>
      <c r="ER208" s="132"/>
      <c r="ES208" s="132"/>
      <c r="ET208" s="501"/>
      <c r="EU208" s="132"/>
      <c r="EV208" s="132"/>
      <c r="EW208" s="132"/>
      <c r="EX208" s="132"/>
      <c r="EY208" s="132"/>
      <c r="EZ208" s="132"/>
      <c r="FA208" s="132"/>
      <c r="FB208" s="132"/>
      <c r="FC208" s="501"/>
      <c r="FD208" s="501"/>
      <c r="FE208" s="501"/>
      <c r="FF208" s="132"/>
      <c r="FG208" s="132"/>
      <c r="FH208" s="132"/>
      <c r="FI208" s="132"/>
      <c r="FJ208" s="132"/>
      <c r="FK208" s="132"/>
      <c r="FL208" s="132"/>
      <c r="FM208" s="132"/>
      <c r="FN208" s="132"/>
      <c r="FO208" s="132"/>
      <c r="FP208" s="132"/>
      <c r="FQ208" s="132"/>
      <c r="FR208" s="132"/>
      <c r="FS208" s="511"/>
      <c r="FT208" s="496"/>
      <c r="FU208" s="132"/>
      <c r="FV208" s="501"/>
      <c r="FW208" s="501"/>
      <c r="FX208" s="132"/>
      <c r="FY208" s="132"/>
      <c r="FZ208" s="132"/>
      <c r="GA208" s="132"/>
      <c r="GB208" s="132"/>
      <c r="GC208" s="132"/>
      <c r="GD208" s="512"/>
      <c r="GE208" s="132"/>
      <c r="GF208" s="132"/>
      <c r="GG208" s="132"/>
      <c r="GH208" s="132"/>
      <c r="GI208" s="132"/>
      <c r="GJ208" s="132"/>
      <c r="GK208" s="132"/>
      <c r="GL208" s="132"/>
      <c r="GM208" s="132"/>
      <c r="GN208" s="132"/>
      <c r="GO208" s="132"/>
      <c r="GP208" s="132"/>
      <c r="GQ208" s="132"/>
      <c r="GR208" s="132"/>
      <c r="GS208" s="132"/>
      <c r="GT208" s="132"/>
      <c r="GU208" s="132"/>
      <c r="GV208" s="132"/>
      <c r="GW208" s="132"/>
      <c r="GX208" s="132"/>
      <c r="GY208" s="132"/>
      <c r="GZ208" s="132"/>
      <c r="HA208" s="132"/>
      <c r="HB208" s="132"/>
      <c r="HC208" s="132"/>
      <c r="HD208" s="132"/>
      <c r="HE208" s="132"/>
      <c r="HF208" s="132"/>
      <c r="HG208" s="132"/>
      <c r="HH208" s="132"/>
      <c r="HI208" s="132"/>
      <c r="HJ208" s="132"/>
      <c r="HK208" s="132"/>
      <c r="HL208" s="132"/>
      <c r="HM208" s="132"/>
      <c r="HN208" s="132"/>
      <c r="HO208" s="132"/>
      <c r="HP208" s="132"/>
      <c r="HQ208" s="132"/>
      <c r="HR208" s="132"/>
      <c r="HS208" s="132"/>
      <c r="HT208" s="132"/>
      <c r="HU208" s="132"/>
      <c r="HV208" s="132"/>
      <c r="HW208" s="132"/>
      <c r="HX208" s="132"/>
      <c r="HY208" s="132"/>
      <c r="HZ208" s="132"/>
      <c r="IA208" s="132"/>
      <c r="IB208" s="132"/>
      <c r="IC208" s="132"/>
      <c r="ID208" s="132"/>
      <c r="IE208" s="495"/>
      <c r="IF208" s="132"/>
      <c r="IG208" s="132"/>
      <c r="IH208" s="132"/>
      <c r="II208" s="132"/>
      <c r="IJ208" s="132"/>
      <c r="IK208" s="132"/>
      <c r="IL208" s="132"/>
      <c r="IM208" s="132"/>
      <c r="IN208" s="132"/>
      <c r="IO208" s="132"/>
      <c r="IP208" s="132"/>
      <c r="IQ208" s="132"/>
      <c r="IR208" s="132"/>
      <c r="IS208" s="132"/>
      <c r="IT208" s="501"/>
      <c r="IU208" s="132"/>
      <c r="IV208" s="132"/>
    </row>
    <row r="209" spans="2:256" s="513" customFormat="1" ht="12.75" customHeight="1">
      <c r="C209" s="134" t="s">
        <v>4300</v>
      </c>
      <c r="D209" s="133"/>
      <c r="E209" s="320"/>
      <c r="F209" s="7"/>
      <c r="G209" s="132"/>
      <c r="H209" s="132"/>
      <c r="I209" s="494"/>
      <c r="J209" s="133" t="str">
        <f t="shared" ca="1" si="7"/>
        <v/>
      </c>
      <c r="K209" s="132"/>
      <c r="L209" s="132"/>
      <c r="M209" s="132"/>
      <c r="N209" s="132"/>
      <c r="O209" s="132"/>
      <c r="P209" s="132"/>
      <c r="Q209" s="495"/>
      <c r="R209" s="496"/>
      <c r="S209" s="132"/>
      <c r="T209" s="132"/>
      <c r="U209" s="497"/>
      <c r="V209" s="132"/>
      <c r="W209" s="132"/>
      <c r="X209" s="132"/>
      <c r="Y209" s="132"/>
      <c r="Z209" s="132"/>
      <c r="AA209" s="132"/>
      <c r="AB209" s="132"/>
      <c r="AC209" s="132"/>
      <c r="AD209" s="132"/>
      <c r="AE209" s="132"/>
      <c r="AF209" s="132"/>
      <c r="AG209" s="132"/>
      <c r="AH209" s="132"/>
      <c r="AI209" s="132"/>
      <c r="AJ209" s="498"/>
      <c r="AK209" s="499"/>
      <c r="AL209" s="500"/>
      <c r="AM209" s="132"/>
      <c r="AN209" s="132"/>
      <c r="AO209" s="132"/>
      <c r="AP209" s="132"/>
      <c r="AQ209" s="132"/>
      <c r="AR209" s="132"/>
      <c r="AS209" s="132"/>
      <c r="AT209" s="132"/>
      <c r="AU209" s="132"/>
      <c r="AV209" s="132"/>
      <c r="AW209" s="132"/>
      <c r="AX209" s="132"/>
      <c r="AY209" s="132"/>
      <c r="AZ209" s="132"/>
      <c r="BA209" s="132"/>
      <c r="BB209" s="132"/>
      <c r="BC209" s="132"/>
      <c r="BD209" s="501"/>
      <c r="BE209" s="501"/>
      <c r="BF209" s="132"/>
      <c r="BG209" s="132"/>
      <c r="BH209" s="132"/>
      <c r="BI209" s="132"/>
      <c r="BJ209" s="132"/>
      <c r="BK209" s="132"/>
      <c r="BL209" s="132"/>
      <c r="BM209" s="132"/>
      <c r="BN209" s="502"/>
      <c r="BO209" s="499"/>
      <c r="BP209" s="503"/>
      <c r="BQ209" s="132"/>
      <c r="BR209" s="132"/>
      <c r="BS209" s="132"/>
      <c r="BT209" s="132"/>
      <c r="BU209" s="132"/>
      <c r="BV209" s="501"/>
      <c r="BW209" s="132"/>
      <c r="BX209" s="501"/>
      <c r="BY209" s="132"/>
      <c r="BZ209" s="132"/>
      <c r="CA209" s="132"/>
      <c r="CB209" s="132"/>
      <c r="CC209" s="132"/>
      <c r="CD209" s="504"/>
      <c r="CE209" s="505"/>
      <c r="CF209" s="132"/>
      <c r="CG209" s="132"/>
      <c r="CH209" s="132"/>
      <c r="CI209" s="132"/>
      <c r="CJ209" s="132"/>
      <c r="CK209" s="132"/>
      <c r="CL209" s="132"/>
      <c r="CM209" s="132"/>
      <c r="CN209" s="132"/>
      <c r="CO209" s="132"/>
      <c r="CP209" s="501"/>
      <c r="CQ209" s="132"/>
      <c r="CR209" s="132"/>
      <c r="CS209" s="506"/>
      <c r="CT209" s="132"/>
      <c r="CU209" s="132"/>
      <c r="CV209" s="132"/>
      <c r="CW209" s="132"/>
      <c r="CX209" s="132"/>
      <c r="CY209" s="507"/>
      <c r="CZ209" s="132"/>
      <c r="DA209" s="132"/>
      <c r="DB209" s="132"/>
      <c r="DC209" s="508"/>
      <c r="DD209" s="132"/>
      <c r="DE209" s="132"/>
      <c r="DF209" s="132"/>
      <c r="DG209" s="132"/>
      <c r="DH209" s="132"/>
      <c r="DI209" s="132"/>
      <c r="DJ209" s="132"/>
      <c r="DK209" s="132"/>
      <c r="DL209" s="509"/>
      <c r="DM209" s="132"/>
      <c r="DN209" s="132"/>
      <c r="DO209" s="132"/>
      <c r="DP209" s="132"/>
      <c r="DQ209" s="510"/>
      <c r="DR209" s="132"/>
      <c r="DS209" s="132"/>
      <c r="DT209" s="132"/>
      <c r="DU209" s="507"/>
      <c r="DV209" s="507"/>
      <c r="DW209" s="132"/>
      <c r="DX209" s="132"/>
      <c r="DY209" s="132"/>
      <c r="DZ209" s="132"/>
      <c r="EA209" s="132"/>
      <c r="EB209" s="132"/>
      <c r="EC209" s="132"/>
      <c r="ED209" s="132"/>
      <c r="EE209" s="132"/>
      <c r="EF209" s="132"/>
      <c r="EG209" s="132"/>
      <c r="EH209" s="132"/>
      <c r="EI209" s="132"/>
      <c r="EJ209" s="132"/>
      <c r="EK209" s="132"/>
      <c r="EL209" s="132"/>
      <c r="EM209" s="132"/>
      <c r="EN209" s="133"/>
      <c r="EO209" s="132"/>
      <c r="EP209" s="132"/>
      <c r="EQ209" s="132"/>
      <c r="ER209" s="132"/>
      <c r="ES209" s="132"/>
      <c r="ET209" s="501"/>
      <c r="EU209" s="132"/>
      <c r="EV209" s="132"/>
      <c r="EW209" s="132"/>
      <c r="EX209" s="132"/>
      <c r="EY209" s="132"/>
      <c r="EZ209" s="132"/>
      <c r="FA209" s="132"/>
      <c r="FB209" s="132"/>
      <c r="FC209" s="501"/>
      <c r="FD209" s="501"/>
      <c r="FE209" s="501"/>
      <c r="FF209" s="132"/>
      <c r="FG209" s="132"/>
      <c r="FH209" s="132"/>
      <c r="FI209" s="132"/>
      <c r="FJ209" s="132"/>
      <c r="FK209" s="132"/>
      <c r="FL209" s="132"/>
      <c r="FM209" s="132"/>
      <c r="FN209" s="132"/>
      <c r="FO209" s="132"/>
      <c r="FP209" s="132"/>
      <c r="FQ209" s="132"/>
      <c r="FR209" s="132"/>
      <c r="FS209" s="511"/>
      <c r="FT209" s="496"/>
      <c r="FU209" s="132"/>
      <c r="FV209" s="501"/>
      <c r="FW209" s="501"/>
      <c r="FX209" s="132"/>
      <c r="FY209" s="132"/>
      <c r="FZ209" s="132"/>
      <c r="GA209" s="132"/>
      <c r="GB209" s="132"/>
      <c r="GC209" s="132"/>
      <c r="GD209" s="512"/>
      <c r="GE209" s="132"/>
      <c r="GF209" s="132"/>
      <c r="GG209" s="132"/>
      <c r="GH209" s="132"/>
      <c r="GI209" s="132"/>
      <c r="GJ209" s="132"/>
      <c r="GK209" s="132"/>
      <c r="GL209" s="132"/>
      <c r="GM209" s="132"/>
      <c r="GN209" s="132"/>
      <c r="GO209" s="132"/>
      <c r="GP209" s="132"/>
      <c r="GQ209" s="132"/>
      <c r="GR209" s="132"/>
      <c r="GS209" s="132"/>
      <c r="GT209" s="132"/>
      <c r="GU209" s="132"/>
      <c r="GV209" s="132"/>
      <c r="GW209" s="132"/>
      <c r="GX209" s="132"/>
      <c r="GY209" s="132"/>
      <c r="GZ209" s="132"/>
      <c r="HA209" s="132"/>
      <c r="HB209" s="132"/>
      <c r="HC209" s="132"/>
      <c r="HD209" s="132"/>
      <c r="HE209" s="132"/>
      <c r="HF209" s="132"/>
      <c r="HG209" s="132"/>
      <c r="HH209" s="132"/>
      <c r="HI209" s="132"/>
      <c r="HJ209" s="132"/>
      <c r="HK209" s="132"/>
      <c r="HL209" s="132"/>
      <c r="HM209" s="132"/>
      <c r="HN209" s="132"/>
      <c r="HO209" s="132"/>
      <c r="HP209" s="132"/>
      <c r="HQ209" s="132"/>
      <c r="HR209" s="132"/>
      <c r="HS209" s="132"/>
      <c r="HT209" s="132"/>
      <c r="HU209" s="132"/>
      <c r="HV209" s="132"/>
      <c r="HW209" s="132"/>
      <c r="HX209" s="132"/>
      <c r="HY209" s="132"/>
      <c r="HZ209" s="132"/>
      <c r="IA209" s="132"/>
      <c r="IB209" s="132"/>
      <c r="IC209" s="132"/>
      <c r="ID209" s="132"/>
      <c r="IE209" s="495"/>
      <c r="IF209" s="132"/>
      <c r="IG209" s="132"/>
      <c r="IH209" s="132"/>
      <c r="II209" s="132"/>
      <c r="IJ209" s="132"/>
      <c r="IK209" s="132"/>
      <c r="IL209" s="132"/>
      <c r="IM209" s="132"/>
      <c r="IN209" s="132"/>
      <c r="IO209" s="132"/>
      <c r="IP209" s="132"/>
      <c r="IQ209" s="132"/>
      <c r="IR209" s="132"/>
      <c r="IS209" s="132"/>
      <c r="IT209" s="501"/>
      <c r="IU209" s="132"/>
      <c r="IV209" s="132"/>
    </row>
    <row r="210" spans="2:256" s="513" customFormat="1" ht="12.75" customHeight="1">
      <c r="C210" s="134" t="s">
        <v>4297</v>
      </c>
      <c r="D210" s="133"/>
      <c r="E210" s="132"/>
      <c r="F210" s="132"/>
      <c r="G210" s="132"/>
      <c r="H210" s="132"/>
      <c r="I210" s="494"/>
      <c r="J210" s="133" t="str">
        <f t="shared" ca="1" si="7"/>
        <v/>
      </c>
      <c r="K210" s="132"/>
      <c r="L210" s="132"/>
      <c r="M210" s="132"/>
      <c r="N210" s="132"/>
      <c r="O210" s="132"/>
      <c r="P210" s="132"/>
      <c r="Q210" s="495"/>
      <c r="R210" s="496"/>
      <c r="S210" s="132"/>
      <c r="T210" s="132"/>
      <c r="U210" s="497"/>
      <c r="V210" s="132"/>
      <c r="W210" s="132"/>
      <c r="X210" s="132"/>
      <c r="Y210" s="132"/>
      <c r="Z210" s="132"/>
      <c r="AA210" s="132"/>
      <c r="AB210" s="132"/>
      <c r="AC210" s="132"/>
      <c r="AD210" s="132"/>
      <c r="AE210" s="132"/>
      <c r="AF210" s="132"/>
      <c r="AG210" s="132"/>
      <c r="AH210" s="132"/>
      <c r="AI210" s="132"/>
      <c r="AJ210" s="498"/>
      <c r="AK210" s="499"/>
      <c r="AL210" s="500"/>
      <c r="AM210" s="132"/>
      <c r="AN210" s="132"/>
      <c r="AO210" s="132"/>
      <c r="AP210" s="132"/>
      <c r="AQ210" s="132"/>
      <c r="AR210" s="132"/>
      <c r="AS210" s="132"/>
      <c r="AT210" s="132"/>
      <c r="AU210" s="132"/>
      <c r="AV210" s="132"/>
      <c r="AW210" s="132"/>
      <c r="AX210" s="132"/>
      <c r="AY210" s="132"/>
      <c r="AZ210" s="132"/>
      <c r="BA210" s="132"/>
      <c r="BB210" s="132"/>
      <c r="BC210" s="132"/>
      <c r="BD210" s="501"/>
      <c r="BE210" s="501"/>
      <c r="BF210" s="132"/>
      <c r="BG210" s="132"/>
      <c r="BH210" s="132"/>
      <c r="BI210" s="132"/>
      <c r="BJ210" s="132"/>
      <c r="BK210" s="132"/>
      <c r="BL210" s="132"/>
      <c r="BM210" s="132"/>
      <c r="BN210" s="502"/>
      <c r="BO210" s="499"/>
      <c r="BP210" s="503"/>
      <c r="BQ210" s="132"/>
      <c r="BR210" s="132"/>
      <c r="BS210" s="132"/>
      <c r="BT210" s="132"/>
      <c r="BU210" s="132"/>
      <c r="BV210" s="501"/>
      <c r="BW210" s="132"/>
      <c r="BX210" s="501"/>
      <c r="BY210" s="132"/>
      <c r="BZ210" s="132"/>
      <c r="CA210" s="132"/>
      <c r="CB210" s="132"/>
      <c r="CC210" s="132"/>
      <c r="CD210" s="504"/>
      <c r="CE210" s="505"/>
      <c r="CF210" s="132"/>
      <c r="CG210" s="132"/>
      <c r="CH210" s="132"/>
      <c r="CI210" s="132"/>
      <c r="CJ210" s="132"/>
      <c r="CK210" s="132"/>
      <c r="CL210" s="132"/>
      <c r="CM210" s="132"/>
      <c r="CN210" s="132"/>
      <c r="CO210" s="132"/>
      <c r="CP210" s="501"/>
      <c r="CQ210" s="132"/>
      <c r="CR210" s="132"/>
      <c r="CS210" s="506"/>
      <c r="CT210" s="132"/>
      <c r="CU210" s="132"/>
      <c r="CV210" s="132"/>
      <c r="CW210" s="132"/>
      <c r="CX210" s="132"/>
      <c r="CY210" s="507"/>
      <c r="CZ210" s="132"/>
      <c r="DA210" s="132"/>
      <c r="DB210" s="132"/>
      <c r="DC210" s="508"/>
      <c r="DD210" s="132"/>
      <c r="DE210" s="132"/>
      <c r="DF210" s="132"/>
      <c r="DG210" s="132"/>
      <c r="DH210" s="132"/>
      <c r="DI210" s="132"/>
      <c r="DJ210" s="132"/>
      <c r="DK210" s="132"/>
      <c r="DL210" s="509"/>
      <c r="DM210" s="132"/>
      <c r="DN210" s="132"/>
      <c r="DO210" s="132"/>
      <c r="DP210" s="132"/>
      <c r="DQ210" s="510"/>
      <c r="DR210" s="132"/>
      <c r="DS210" s="132"/>
      <c r="DT210" s="132"/>
      <c r="DU210" s="507"/>
      <c r="DV210" s="507"/>
      <c r="DW210" s="132"/>
      <c r="DX210" s="132"/>
      <c r="DY210" s="132"/>
      <c r="DZ210" s="132"/>
      <c r="EA210" s="132"/>
      <c r="EB210" s="132"/>
      <c r="EC210" s="132"/>
      <c r="ED210" s="132"/>
      <c r="EE210" s="132"/>
      <c r="EF210" s="132"/>
      <c r="EG210" s="132"/>
      <c r="EH210" s="132"/>
      <c r="EI210" s="132"/>
      <c r="EJ210" s="132"/>
      <c r="EK210" s="132"/>
      <c r="EL210" s="132"/>
      <c r="EM210" s="132"/>
      <c r="EN210" s="133"/>
      <c r="EO210" s="132"/>
      <c r="EP210" s="132"/>
      <c r="EQ210" s="132"/>
      <c r="ER210" s="132"/>
      <c r="ES210" s="132"/>
      <c r="ET210" s="501"/>
      <c r="EU210" s="132"/>
      <c r="EV210" s="132"/>
      <c r="EW210" s="132"/>
      <c r="EX210" s="132"/>
      <c r="EY210" s="132"/>
      <c r="EZ210" s="132"/>
      <c r="FA210" s="132"/>
      <c r="FB210" s="132"/>
      <c r="FC210" s="501"/>
      <c r="FD210" s="501"/>
      <c r="FE210" s="501"/>
      <c r="FF210" s="132"/>
      <c r="FG210" s="132"/>
      <c r="FH210" s="132"/>
      <c r="FI210" s="132"/>
      <c r="FJ210" s="132"/>
      <c r="FK210" s="132"/>
      <c r="FL210" s="132"/>
      <c r="FM210" s="132"/>
      <c r="FN210" s="132"/>
      <c r="FO210" s="132"/>
      <c r="FP210" s="132"/>
      <c r="FQ210" s="132"/>
      <c r="FR210" s="132"/>
      <c r="FS210" s="511"/>
      <c r="FT210" s="496"/>
      <c r="FU210" s="132"/>
      <c r="FV210" s="501"/>
      <c r="FW210" s="501"/>
      <c r="FX210" s="132"/>
      <c r="FY210" s="132"/>
      <c r="FZ210" s="132"/>
      <c r="GA210" s="132"/>
      <c r="GB210" s="132"/>
      <c r="GC210" s="132"/>
      <c r="GD210" s="512"/>
      <c r="GE210" s="132"/>
      <c r="GF210" s="132"/>
      <c r="GG210" s="132"/>
      <c r="GH210" s="132"/>
      <c r="GI210" s="132"/>
      <c r="GJ210" s="132"/>
      <c r="GK210" s="132"/>
      <c r="GL210" s="132"/>
      <c r="GM210" s="132"/>
      <c r="GN210" s="132"/>
      <c r="GO210" s="132"/>
      <c r="GP210" s="132"/>
      <c r="GQ210" s="132"/>
      <c r="GR210" s="132"/>
      <c r="GS210" s="132"/>
      <c r="GT210" s="132"/>
      <c r="GU210" s="132"/>
      <c r="GV210" s="132"/>
      <c r="GW210" s="132"/>
      <c r="GX210" s="132"/>
      <c r="GY210" s="132"/>
      <c r="GZ210" s="132"/>
      <c r="HA210" s="132"/>
      <c r="HB210" s="132"/>
      <c r="HC210" s="132"/>
      <c r="HD210" s="132"/>
      <c r="HE210" s="132"/>
      <c r="HF210" s="132"/>
      <c r="HG210" s="132"/>
      <c r="HH210" s="132"/>
      <c r="HI210" s="132"/>
      <c r="HJ210" s="132"/>
      <c r="HK210" s="132"/>
      <c r="HL210" s="132"/>
      <c r="HM210" s="132"/>
      <c r="HN210" s="132"/>
      <c r="HO210" s="132"/>
      <c r="HP210" s="132"/>
      <c r="HQ210" s="132"/>
      <c r="HR210" s="132"/>
      <c r="HS210" s="132"/>
      <c r="HT210" s="132"/>
      <c r="HU210" s="132"/>
      <c r="HV210" s="132"/>
      <c r="HW210" s="132"/>
      <c r="HX210" s="132"/>
      <c r="HY210" s="132"/>
      <c r="HZ210" s="132"/>
      <c r="IA210" s="132"/>
      <c r="IB210" s="132"/>
      <c r="IC210" s="132"/>
      <c r="ID210" s="132"/>
      <c r="IE210" s="495"/>
      <c r="IF210" s="132"/>
      <c r="IG210" s="132"/>
      <c r="IH210" s="132"/>
      <c r="II210" s="132"/>
      <c r="IJ210" s="132"/>
      <c r="IK210" s="132"/>
      <c r="IL210" s="132"/>
      <c r="IM210" s="132"/>
      <c r="IN210" s="132"/>
      <c r="IO210" s="132"/>
      <c r="IP210" s="132"/>
      <c r="IQ210" s="132"/>
      <c r="IR210" s="132"/>
      <c r="IS210" s="132"/>
      <c r="IT210" s="501"/>
      <c r="IU210" s="132"/>
      <c r="IV210" s="132"/>
    </row>
    <row r="211" spans="2:256" s="513" customFormat="1" ht="12.75" customHeight="1">
      <c r="C211" s="134" t="s">
        <v>4301</v>
      </c>
      <c r="D211" s="133"/>
      <c r="E211" s="132"/>
      <c r="F211" s="132"/>
      <c r="G211" s="132"/>
      <c r="H211" s="132"/>
      <c r="I211" s="494"/>
      <c r="J211" s="133" t="str">
        <f t="shared" ca="1" si="7"/>
        <v/>
      </c>
      <c r="K211" s="132"/>
      <c r="L211" s="132"/>
      <c r="M211" s="132"/>
      <c r="N211" s="132"/>
      <c r="O211" s="132"/>
      <c r="P211" s="132"/>
      <c r="Q211" s="495"/>
      <c r="R211" s="496"/>
      <c r="S211" s="132"/>
      <c r="T211" s="132"/>
      <c r="U211" s="497"/>
      <c r="V211" s="132"/>
      <c r="W211" s="132"/>
      <c r="X211" s="132"/>
      <c r="Y211" s="132"/>
      <c r="Z211" s="132"/>
      <c r="AA211" s="132"/>
      <c r="AB211" s="132"/>
      <c r="AC211" s="132"/>
      <c r="AD211" s="132"/>
      <c r="AE211" s="132"/>
      <c r="AF211" s="132"/>
      <c r="AG211" s="132"/>
      <c r="AH211" s="132"/>
      <c r="AI211" s="132"/>
      <c r="AJ211" s="498"/>
      <c r="AK211" s="499"/>
      <c r="AL211" s="500"/>
      <c r="AM211" s="132"/>
      <c r="AN211" s="132"/>
      <c r="AO211" s="132"/>
      <c r="AP211" s="132"/>
      <c r="AQ211" s="132"/>
      <c r="AR211" s="132"/>
      <c r="AS211" s="132"/>
      <c r="AT211" s="132"/>
      <c r="AU211" s="132"/>
      <c r="AV211" s="132"/>
      <c r="AW211" s="132"/>
      <c r="AX211" s="132"/>
      <c r="AY211" s="132"/>
      <c r="AZ211" s="132"/>
      <c r="BA211" s="132"/>
      <c r="BB211" s="132"/>
      <c r="BC211" s="132"/>
      <c r="BD211" s="501"/>
      <c r="BE211" s="501"/>
      <c r="BF211" s="132"/>
      <c r="BG211" s="132"/>
      <c r="BH211" s="132"/>
      <c r="BI211" s="132"/>
      <c r="BJ211" s="132"/>
      <c r="BK211" s="132"/>
      <c r="BL211" s="132"/>
      <c r="BM211" s="132"/>
      <c r="BN211" s="502"/>
      <c r="BO211" s="499"/>
      <c r="BP211" s="503"/>
      <c r="BQ211" s="132"/>
      <c r="BR211" s="132"/>
      <c r="BS211" s="132"/>
      <c r="BT211" s="132"/>
      <c r="BU211" s="132"/>
      <c r="BV211" s="501"/>
      <c r="BW211" s="132"/>
      <c r="BX211" s="501"/>
      <c r="BY211" s="132"/>
      <c r="BZ211" s="132"/>
      <c r="CA211" s="132"/>
      <c r="CB211" s="132"/>
      <c r="CC211" s="132"/>
      <c r="CD211" s="504"/>
      <c r="CE211" s="505"/>
      <c r="CF211" s="132"/>
      <c r="CG211" s="132"/>
      <c r="CH211" s="132"/>
      <c r="CI211" s="132"/>
      <c r="CJ211" s="132"/>
      <c r="CK211" s="132"/>
      <c r="CL211" s="132"/>
      <c r="CM211" s="132"/>
      <c r="CN211" s="132"/>
      <c r="CO211" s="132"/>
      <c r="CP211" s="501"/>
      <c r="CQ211" s="132"/>
      <c r="CR211" s="132"/>
      <c r="CS211" s="506"/>
      <c r="CT211" s="132"/>
      <c r="CU211" s="132"/>
      <c r="CV211" s="132"/>
      <c r="CW211" s="132"/>
      <c r="CX211" s="132"/>
      <c r="CY211" s="507"/>
      <c r="CZ211" s="132"/>
      <c r="DA211" s="132"/>
      <c r="DB211" s="132"/>
      <c r="DC211" s="508"/>
      <c r="DD211" s="132"/>
      <c r="DE211" s="132"/>
      <c r="DF211" s="132"/>
      <c r="DG211" s="132"/>
      <c r="DH211" s="132"/>
      <c r="DI211" s="132"/>
      <c r="DJ211" s="132"/>
      <c r="DK211" s="132"/>
      <c r="DL211" s="509"/>
      <c r="DM211" s="132"/>
      <c r="DN211" s="132"/>
      <c r="DO211" s="132"/>
      <c r="DP211" s="132"/>
      <c r="DQ211" s="510"/>
      <c r="DR211" s="132"/>
      <c r="DS211" s="132"/>
      <c r="DT211" s="132"/>
      <c r="DU211" s="507"/>
      <c r="DV211" s="507"/>
      <c r="DW211" s="132"/>
      <c r="DX211" s="132"/>
      <c r="DY211" s="132"/>
      <c r="DZ211" s="132"/>
      <c r="EA211" s="132"/>
      <c r="EB211" s="132"/>
      <c r="EC211" s="132"/>
      <c r="ED211" s="132"/>
      <c r="EE211" s="132"/>
      <c r="EF211" s="132"/>
      <c r="EG211" s="132"/>
      <c r="EH211" s="132"/>
      <c r="EI211" s="132"/>
      <c r="EJ211" s="132"/>
      <c r="EK211" s="132"/>
      <c r="EL211" s="132"/>
      <c r="EM211" s="132"/>
      <c r="EN211" s="133"/>
      <c r="EO211" s="132"/>
      <c r="EP211" s="132"/>
      <c r="EQ211" s="132"/>
      <c r="ER211" s="132"/>
      <c r="ES211" s="132"/>
      <c r="ET211" s="501"/>
      <c r="EU211" s="132"/>
      <c r="EV211" s="132"/>
      <c r="EW211" s="132"/>
      <c r="EX211" s="132"/>
      <c r="EY211" s="132"/>
      <c r="EZ211" s="132"/>
      <c r="FA211" s="132"/>
      <c r="FB211" s="132"/>
      <c r="FC211" s="501"/>
      <c r="FD211" s="501"/>
      <c r="FE211" s="501"/>
      <c r="FF211" s="132"/>
      <c r="FG211" s="132"/>
      <c r="FH211" s="132"/>
      <c r="FI211" s="132"/>
      <c r="FJ211" s="132"/>
      <c r="FK211" s="132"/>
      <c r="FL211" s="132"/>
      <c r="FM211" s="132"/>
      <c r="FN211" s="132"/>
      <c r="FO211" s="132"/>
      <c r="FP211" s="132"/>
      <c r="FQ211" s="132"/>
      <c r="FR211" s="132"/>
      <c r="FS211" s="511"/>
      <c r="FT211" s="496"/>
      <c r="FU211" s="132"/>
      <c r="FV211" s="501"/>
      <c r="FW211" s="501"/>
      <c r="FX211" s="132"/>
      <c r="FY211" s="132"/>
      <c r="FZ211" s="132"/>
      <c r="GA211" s="132"/>
      <c r="GB211" s="132"/>
      <c r="GC211" s="132"/>
      <c r="GD211" s="512"/>
      <c r="GE211" s="132"/>
      <c r="GF211" s="132"/>
      <c r="GG211" s="132"/>
      <c r="GH211" s="132"/>
      <c r="GI211" s="132"/>
      <c r="GJ211" s="132"/>
      <c r="GK211" s="132"/>
      <c r="GL211" s="132"/>
      <c r="GM211" s="132"/>
      <c r="GN211" s="132"/>
      <c r="GO211" s="132"/>
      <c r="GP211" s="132"/>
      <c r="GQ211" s="132"/>
      <c r="GR211" s="132"/>
      <c r="GS211" s="132"/>
      <c r="GT211" s="132"/>
      <c r="GU211" s="132"/>
      <c r="GV211" s="132"/>
      <c r="GW211" s="132"/>
      <c r="GX211" s="132"/>
      <c r="GY211" s="132"/>
      <c r="GZ211" s="132"/>
      <c r="HA211" s="132"/>
      <c r="HB211" s="132"/>
      <c r="HC211" s="132"/>
      <c r="HD211" s="132"/>
      <c r="HE211" s="132"/>
      <c r="HF211" s="132"/>
      <c r="HG211" s="132"/>
      <c r="HH211" s="132"/>
      <c r="HI211" s="132"/>
      <c r="HJ211" s="132"/>
      <c r="HK211" s="132"/>
      <c r="HL211" s="132"/>
      <c r="HM211" s="132"/>
      <c r="HN211" s="132"/>
      <c r="HO211" s="132"/>
      <c r="HP211" s="132"/>
      <c r="HQ211" s="132"/>
      <c r="HR211" s="132"/>
      <c r="HS211" s="132"/>
      <c r="HT211" s="132"/>
      <c r="HU211" s="132"/>
      <c r="HV211" s="132"/>
      <c r="HW211" s="132"/>
      <c r="HX211" s="132"/>
      <c r="HY211" s="132"/>
      <c r="HZ211" s="132"/>
      <c r="IA211" s="132"/>
      <c r="IB211" s="132"/>
      <c r="IC211" s="132"/>
      <c r="ID211" s="132"/>
      <c r="IE211" s="495"/>
      <c r="IF211" s="132"/>
      <c r="IG211" s="132"/>
      <c r="IH211" s="132"/>
      <c r="II211" s="132"/>
      <c r="IJ211" s="132"/>
      <c r="IK211" s="132"/>
      <c r="IL211" s="132"/>
      <c r="IM211" s="132"/>
      <c r="IN211" s="132"/>
      <c r="IO211" s="132"/>
      <c r="IP211" s="132"/>
      <c r="IQ211" s="132"/>
      <c r="IR211" s="132"/>
      <c r="IS211" s="132"/>
      <c r="IT211" s="501"/>
      <c r="IU211" s="132"/>
      <c r="IV211" s="132"/>
    </row>
    <row r="212" spans="2:256" s="513" customFormat="1" ht="12.75" customHeight="1">
      <c r="C212" s="134"/>
      <c r="D212" s="133"/>
      <c r="E212" s="132"/>
      <c r="F212" s="132"/>
      <c r="G212" s="132"/>
      <c r="H212" s="132"/>
      <c r="I212" s="494"/>
      <c r="J212" s="133" t="str">
        <f t="shared" ca="1" si="7"/>
        <v/>
      </c>
      <c r="K212" s="132"/>
      <c r="L212" s="132"/>
      <c r="M212" s="132"/>
      <c r="N212" s="132"/>
      <c r="O212" s="132"/>
      <c r="P212" s="132"/>
      <c r="Q212" s="495"/>
      <c r="R212" s="496"/>
      <c r="S212" s="132"/>
      <c r="T212" s="132"/>
      <c r="U212" s="497"/>
      <c r="V212" s="132"/>
      <c r="W212" s="132"/>
      <c r="X212" s="132"/>
      <c r="Y212" s="132"/>
      <c r="Z212" s="132"/>
      <c r="AA212" s="132"/>
      <c r="AB212" s="132"/>
      <c r="AC212" s="132"/>
      <c r="AD212" s="132"/>
      <c r="AE212" s="132"/>
      <c r="AF212" s="132"/>
      <c r="AG212" s="132"/>
      <c r="AH212" s="132"/>
      <c r="AI212" s="132"/>
      <c r="AJ212" s="498"/>
      <c r="AK212" s="499"/>
      <c r="AL212" s="500"/>
      <c r="AM212" s="132"/>
      <c r="AN212" s="132"/>
      <c r="AO212" s="132"/>
      <c r="AP212" s="132"/>
      <c r="AQ212" s="132"/>
      <c r="AR212" s="132"/>
      <c r="AS212" s="132"/>
      <c r="AT212" s="132"/>
      <c r="AU212" s="132"/>
      <c r="AV212" s="132"/>
      <c r="AW212" s="132"/>
      <c r="AX212" s="132"/>
      <c r="AY212" s="132"/>
      <c r="AZ212" s="132"/>
      <c r="BA212" s="132"/>
      <c r="BB212" s="132"/>
      <c r="BC212" s="132"/>
      <c r="BD212" s="501"/>
      <c r="BE212" s="501"/>
      <c r="BF212" s="132"/>
      <c r="BG212" s="132"/>
      <c r="BH212" s="132"/>
      <c r="BI212" s="132"/>
      <c r="BJ212" s="132"/>
      <c r="BK212" s="132"/>
      <c r="BL212" s="132"/>
      <c r="BM212" s="132"/>
      <c r="BN212" s="502"/>
      <c r="BO212" s="499"/>
      <c r="BP212" s="503"/>
      <c r="BQ212" s="132"/>
      <c r="BR212" s="132"/>
      <c r="BS212" s="132"/>
      <c r="BT212" s="132"/>
      <c r="BU212" s="132"/>
      <c r="BV212" s="501"/>
      <c r="BW212" s="132"/>
      <c r="BX212" s="501"/>
      <c r="BY212" s="132"/>
      <c r="BZ212" s="132"/>
      <c r="CA212" s="132"/>
      <c r="CB212" s="132"/>
      <c r="CC212" s="132"/>
      <c r="CD212" s="504"/>
      <c r="CE212" s="505"/>
      <c r="CF212" s="132"/>
      <c r="CG212" s="132"/>
      <c r="CH212" s="132"/>
      <c r="CI212" s="132"/>
      <c r="CJ212" s="132"/>
      <c r="CK212" s="132"/>
      <c r="CL212" s="132"/>
      <c r="CM212" s="132"/>
      <c r="CN212" s="132"/>
      <c r="CO212" s="132"/>
      <c r="CP212" s="501"/>
      <c r="CQ212" s="132"/>
      <c r="CR212" s="132"/>
      <c r="CS212" s="506"/>
      <c r="CT212" s="132"/>
      <c r="CU212" s="132"/>
      <c r="CV212" s="132"/>
      <c r="CW212" s="132"/>
      <c r="CX212" s="132"/>
      <c r="CY212" s="507"/>
      <c r="CZ212" s="132"/>
      <c r="DA212" s="132"/>
      <c r="DB212" s="132"/>
      <c r="DC212" s="508"/>
      <c r="DD212" s="132"/>
      <c r="DE212" s="132"/>
      <c r="DF212" s="132"/>
      <c r="DG212" s="132"/>
      <c r="DH212" s="132"/>
      <c r="DI212" s="132"/>
      <c r="DJ212" s="132"/>
      <c r="DK212" s="132"/>
      <c r="DL212" s="509"/>
      <c r="DM212" s="132"/>
      <c r="DN212" s="132"/>
      <c r="DO212" s="132"/>
      <c r="DP212" s="132"/>
      <c r="DQ212" s="510"/>
      <c r="DR212" s="132"/>
      <c r="DS212" s="132"/>
      <c r="DT212" s="132"/>
      <c r="DU212" s="507"/>
      <c r="DV212" s="507"/>
      <c r="DW212" s="132"/>
      <c r="DX212" s="132"/>
      <c r="DY212" s="132"/>
      <c r="DZ212" s="132"/>
      <c r="EA212" s="132"/>
      <c r="EB212" s="132"/>
      <c r="EC212" s="132"/>
      <c r="ED212" s="132"/>
      <c r="EE212" s="132"/>
      <c r="EF212" s="132"/>
      <c r="EG212" s="132"/>
      <c r="EH212" s="132"/>
      <c r="EI212" s="132"/>
      <c r="EJ212" s="132"/>
      <c r="EK212" s="132"/>
      <c r="EL212" s="132"/>
      <c r="EM212" s="132"/>
      <c r="EN212" s="133"/>
      <c r="EO212" s="132"/>
      <c r="EP212" s="132"/>
      <c r="EQ212" s="132"/>
      <c r="ER212" s="132"/>
      <c r="ES212" s="132"/>
      <c r="ET212" s="501"/>
      <c r="EU212" s="132"/>
      <c r="EV212" s="132"/>
      <c r="EW212" s="132"/>
      <c r="EX212" s="132"/>
      <c r="EY212" s="132"/>
      <c r="EZ212" s="132"/>
      <c r="FA212" s="132"/>
      <c r="FB212" s="132"/>
      <c r="FC212" s="501"/>
      <c r="FD212" s="501"/>
      <c r="FE212" s="501"/>
      <c r="FF212" s="132"/>
      <c r="FG212" s="132"/>
      <c r="FH212" s="132"/>
      <c r="FI212" s="132"/>
      <c r="FJ212" s="132"/>
      <c r="FK212" s="132"/>
      <c r="FL212" s="132"/>
      <c r="FM212" s="132"/>
      <c r="FN212" s="132"/>
      <c r="FO212" s="132"/>
      <c r="FP212" s="132"/>
      <c r="FQ212" s="132"/>
      <c r="FR212" s="132"/>
      <c r="FS212" s="511"/>
      <c r="FT212" s="496"/>
      <c r="FU212" s="132"/>
      <c r="FV212" s="501"/>
      <c r="FW212" s="501"/>
      <c r="FX212" s="132"/>
      <c r="FY212" s="132"/>
      <c r="FZ212" s="132"/>
      <c r="GA212" s="132"/>
      <c r="GB212" s="132"/>
      <c r="GC212" s="132"/>
      <c r="GD212" s="512"/>
      <c r="GE212" s="132"/>
      <c r="GF212" s="132"/>
      <c r="GG212" s="132"/>
      <c r="GH212" s="132"/>
      <c r="GI212" s="132"/>
      <c r="GJ212" s="132"/>
      <c r="GK212" s="132"/>
      <c r="GL212" s="132"/>
      <c r="GM212" s="132"/>
      <c r="GN212" s="132"/>
      <c r="GO212" s="132"/>
      <c r="GP212" s="132"/>
      <c r="GQ212" s="132"/>
      <c r="GR212" s="132"/>
      <c r="GS212" s="132"/>
      <c r="GT212" s="132"/>
      <c r="GU212" s="132"/>
      <c r="GV212" s="132"/>
      <c r="GW212" s="132"/>
      <c r="GX212" s="132"/>
      <c r="GY212" s="132"/>
      <c r="GZ212" s="132"/>
      <c r="HA212" s="132"/>
      <c r="HB212" s="132"/>
      <c r="HC212" s="132"/>
      <c r="HD212" s="132"/>
      <c r="HE212" s="132"/>
      <c r="HF212" s="132"/>
      <c r="HG212" s="132"/>
      <c r="HH212" s="132"/>
      <c r="HI212" s="132"/>
      <c r="HJ212" s="132"/>
      <c r="HK212" s="132"/>
      <c r="HL212" s="132"/>
      <c r="HM212" s="132"/>
      <c r="HN212" s="132"/>
      <c r="HO212" s="132"/>
      <c r="HP212" s="132"/>
      <c r="HQ212" s="132"/>
      <c r="HR212" s="132"/>
      <c r="HS212" s="132"/>
      <c r="HT212" s="132"/>
      <c r="HU212" s="132"/>
      <c r="HV212" s="132"/>
      <c r="HW212" s="132"/>
      <c r="HX212" s="132"/>
      <c r="HY212" s="132"/>
      <c r="HZ212" s="132"/>
      <c r="IA212" s="132"/>
      <c r="IB212" s="132"/>
      <c r="IC212" s="132"/>
      <c r="ID212" s="132"/>
      <c r="IE212" s="495"/>
      <c r="IF212" s="132"/>
      <c r="IG212" s="132"/>
      <c r="IH212" s="132"/>
      <c r="II212" s="132"/>
      <c r="IJ212" s="132"/>
      <c r="IK212" s="132"/>
      <c r="IL212" s="132"/>
      <c r="IM212" s="132"/>
      <c r="IN212" s="132"/>
      <c r="IO212" s="132"/>
      <c r="IP212" s="132"/>
      <c r="IQ212" s="132"/>
      <c r="IR212" s="132"/>
      <c r="IS212" s="132"/>
      <c r="IT212" s="501"/>
      <c r="IU212" s="132"/>
      <c r="IV212" s="132"/>
    </row>
    <row r="213" spans="2:256" s="513" customFormat="1" ht="12.75" customHeight="1">
      <c r="C213" s="134" t="s">
        <v>4350</v>
      </c>
      <c r="D213" s="133"/>
      <c r="E213" s="132"/>
      <c r="F213" s="132"/>
      <c r="G213" s="132"/>
      <c r="H213" s="132"/>
      <c r="I213" s="494"/>
      <c r="J213" s="133" t="str">
        <f t="shared" ca="1" si="7"/>
        <v/>
      </c>
      <c r="K213" s="132"/>
      <c r="L213" s="132"/>
      <c r="M213" s="132"/>
      <c r="N213" s="132"/>
      <c r="O213" s="132"/>
      <c r="P213" s="132"/>
      <c r="Q213" s="495"/>
      <c r="R213" s="496"/>
      <c r="S213" s="132"/>
      <c r="T213" s="132"/>
      <c r="U213" s="497"/>
      <c r="V213" s="132"/>
      <c r="W213" s="132"/>
      <c r="X213" s="132"/>
      <c r="Y213" s="132"/>
      <c r="Z213" s="132"/>
      <c r="AA213" s="132"/>
      <c r="AB213" s="132"/>
      <c r="AC213" s="132"/>
      <c r="AD213" s="132"/>
      <c r="AE213" s="132"/>
      <c r="AF213" s="132"/>
      <c r="AG213" s="132"/>
      <c r="AH213" s="132"/>
      <c r="AI213" s="132"/>
      <c r="AJ213" s="498"/>
      <c r="AK213" s="499"/>
      <c r="AL213" s="500"/>
      <c r="AM213" s="132"/>
      <c r="AN213" s="132"/>
      <c r="AO213" s="132"/>
      <c r="AP213" s="132"/>
      <c r="AQ213" s="132"/>
      <c r="AR213" s="132"/>
      <c r="AS213" s="132"/>
      <c r="AT213" s="132"/>
      <c r="AU213" s="132"/>
      <c r="AV213" s="132"/>
      <c r="AW213" s="132"/>
      <c r="AX213" s="132"/>
      <c r="AY213" s="132"/>
      <c r="AZ213" s="132"/>
      <c r="BA213" s="132"/>
      <c r="BB213" s="132"/>
      <c r="BC213" s="132"/>
      <c r="BD213" s="501"/>
      <c r="BE213" s="501"/>
      <c r="BF213" s="132"/>
      <c r="BG213" s="132"/>
      <c r="BH213" s="132"/>
      <c r="BI213" s="132"/>
      <c r="BJ213" s="132"/>
      <c r="BK213" s="132"/>
      <c r="BL213" s="132"/>
      <c r="BM213" s="132"/>
      <c r="BN213" s="502"/>
      <c r="BO213" s="499"/>
      <c r="BP213" s="503"/>
      <c r="BQ213" s="132"/>
      <c r="BR213" s="132"/>
      <c r="BS213" s="132"/>
      <c r="BT213" s="132"/>
      <c r="BU213" s="132"/>
      <c r="BV213" s="501"/>
      <c r="BW213" s="132"/>
      <c r="BX213" s="501"/>
      <c r="BY213" s="132"/>
      <c r="BZ213" s="132"/>
      <c r="CA213" s="514"/>
      <c r="CB213" s="514"/>
      <c r="CC213" s="514"/>
      <c r="CD213" s="514"/>
      <c r="CE213" s="514"/>
      <c r="CF213" s="514"/>
      <c r="CG213" s="514"/>
      <c r="CH213" s="514"/>
      <c r="CI213" s="514"/>
      <c r="CJ213" s="514"/>
      <c r="CK213" s="514"/>
      <c r="CL213" s="514"/>
      <c r="CM213" s="514"/>
      <c r="CN213" s="514"/>
      <c r="CO213" s="514"/>
      <c r="CP213" s="514"/>
      <c r="CQ213" s="514"/>
      <c r="CR213" s="514"/>
      <c r="CS213" s="514"/>
      <c r="CT213" s="514"/>
      <c r="CU213" s="514"/>
      <c r="CV213" s="514"/>
      <c r="CW213" s="514"/>
      <c r="CX213" s="514"/>
      <c r="CY213" s="514"/>
      <c r="CZ213" s="514"/>
      <c r="DA213" s="514"/>
      <c r="DB213" s="514"/>
      <c r="DC213" s="514"/>
      <c r="DD213" s="514"/>
      <c r="DE213" s="514"/>
      <c r="DF213" s="514"/>
      <c r="DG213" s="514"/>
      <c r="DH213" s="514"/>
      <c r="DI213" s="514"/>
      <c r="DJ213" s="514"/>
      <c r="DK213" s="514"/>
      <c r="DL213" s="514"/>
      <c r="DM213" s="514"/>
      <c r="DN213" s="514"/>
      <c r="DO213" s="514"/>
      <c r="DP213" s="514"/>
      <c r="DQ213" s="514"/>
      <c r="DR213" s="514"/>
      <c r="DS213" s="514"/>
      <c r="DT213" s="514"/>
      <c r="DU213" s="514"/>
      <c r="DV213" s="514"/>
      <c r="DW213" s="514"/>
      <c r="DX213" s="514"/>
      <c r="DY213" s="514"/>
      <c r="DZ213" s="514"/>
      <c r="EA213" s="514"/>
      <c r="EB213" s="514"/>
      <c r="EC213" s="514"/>
      <c r="ED213" s="514"/>
      <c r="EE213" s="514"/>
      <c r="EF213" s="514"/>
      <c r="EG213" s="514"/>
      <c r="EH213" s="514"/>
      <c r="EI213" s="514"/>
      <c r="EJ213" s="514"/>
      <c r="EK213" s="514"/>
      <c r="EL213" s="514"/>
      <c r="EM213" s="514"/>
      <c r="EN213" s="514"/>
      <c r="EO213" s="514"/>
      <c r="EP213" s="514"/>
      <c r="EQ213" s="514"/>
      <c r="ER213" s="514"/>
      <c r="ES213" s="514"/>
      <c r="ET213" s="514"/>
      <c r="EU213" s="514"/>
      <c r="EV213" s="514"/>
      <c r="EW213" s="514"/>
      <c r="EX213" s="132"/>
      <c r="EY213" s="132"/>
      <c r="EZ213" s="132"/>
      <c r="FA213" s="132"/>
      <c r="FB213" s="132"/>
      <c r="FC213" s="501"/>
      <c r="FD213" s="501"/>
      <c r="FE213" s="501"/>
      <c r="FF213" s="132"/>
      <c r="FG213" s="132"/>
      <c r="FH213" s="132"/>
      <c r="FI213" s="132"/>
      <c r="FJ213" s="132"/>
      <c r="FK213" s="132"/>
      <c r="FL213" s="132"/>
      <c r="FM213" s="132"/>
      <c r="FN213" s="132"/>
      <c r="FO213" s="132"/>
      <c r="FP213" s="132"/>
      <c r="FQ213" s="132"/>
      <c r="FR213" s="132"/>
      <c r="FS213" s="511"/>
      <c r="FT213" s="496"/>
      <c r="FU213" s="132"/>
      <c r="FV213" s="501"/>
      <c r="FW213" s="501"/>
      <c r="FX213" s="132"/>
      <c r="FY213" s="132"/>
      <c r="FZ213" s="132"/>
      <c r="GA213" s="132"/>
      <c r="GB213" s="132"/>
      <c r="GC213" s="132"/>
      <c r="GD213" s="512"/>
      <c r="GE213" s="132"/>
      <c r="GF213" s="132"/>
      <c r="GG213" s="132"/>
      <c r="GH213" s="132"/>
      <c r="GI213" s="132"/>
      <c r="GJ213" s="132"/>
      <c r="GK213" s="132"/>
      <c r="GL213" s="132"/>
      <c r="GM213" s="132"/>
      <c r="GN213" s="132"/>
      <c r="GO213" s="132"/>
      <c r="GP213" s="132"/>
      <c r="GQ213" s="132"/>
      <c r="GR213" s="132"/>
      <c r="GS213" s="132"/>
      <c r="GT213" s="132"/>
      <c r="GU213" s="132"/>
      <c r="GV213" s="132"/>
      <c r="GW213" s="132"/>
      <c r="GX213" s="132"/>
      <c r="GY213" s="132"/>
      <c r="GZ213" s="132"/>
      <c r="HA213" s="132"/>
      <c r="HB213" s="132"/>
      <c r="HC213" s="132"/>
      <c r="HD213" s="132"/>
      <c r="HE213" s="132"/>
      <c r="HF213" s="132"/>
      <c r="HG213" s="132"/>
      <c r="HH213" s="132"/>
      <c r="HI213" s="132"/>
      <c r="HJ213" s="132"/>
      <c r="HK213" s="132"/>
      <c r="HL213" s="132"/>
      <c r="HM213" s="132"/>
      <c r="HN213" s="132"/>
      <c r="HO213" s="132"/>
      <c r="HP213" s="132"/>
      <c r="HQ213" s="132"/>
      <c r="HR213" s="132"/>
      <c r="HS213" s="132"/>
      <c r="HT213" s="132"/>
      <c r="HU213" s="132"/>
      <c r="HV213" s="132"/>
      <c r="HW213" s="132"/>
      <c r="HX213" s="132"/>
      <c r="HY213" s="132"/>
      <c r="HZ213" s="132"/>
      <c r="IA213" s="132"/>
      <c r="IB213" s="132"/>
      <c r="IC213" s="132"/>
      <c r="ID213" s="132"/>
      <c r="IE213" s="495"/>
      <c r="IF213" s="132"/>
      <c r="IG213" s="132"/>
      <c r="IH213" s="132"/>
      <c r="II213" s="132"/>
      <c r="IJ213" s="132"/>
      <c r="IK213" s="132"/>
      <c r="IL213" s="132"/>
      <c r="IM213" s="132"/>
      <c r="IN213" s="132"/>
      <c r="IO213" s="132"/>
      <c r="IP213" s="132"/>
      <c r="IQ213" s="132"/>
      <c r="IR213" s="132"/>
      <c r="IS213" s="132"/>
      <c r="IT213" s="501"/>
      <c r="IU213" s="132"/>
      <c r="IV213" s="132"/>
    </row>
    <row r="214" spans="2:256" s="513" customFormat="1" ht="12.75" customHeight="1">
      <c r="C214" s="134" t="s">
        <v>1352</v>
      </c>
      <c r="D214" s="133"/>
      <c r="E214" s="132"/>
      <c r="F214" s="132"/>
      <c r="G214" s="132"/>
      <c r="H214" s="132"/>
      <c r="I214" s="494"/>
      <c r="J214" s="133" t="str">
        <f t="shared" ca="1" si="7"/>
        <v/>
      </c>
      <c r="K214" s="132"/>
      <c r="L214" s="132"/>
      <c r="M214" s="132"/>
      <c r="N214" s="132"/>
      <c r="O214" s="132"/>
      <c r="P214" s="132"/>
      <c r="Q214" s="495"/>
      <c r="R214" s="496"/>
      <c r="S214" s="132"/>
      <c r="T214" s="132"/>
      <c r="U214" s="497"/>
      <c r="V214" s="132"/>
      <c r="W214" s="132"/>
      <c r="X214" s="132"/>
      <c r="Y214" s="132"/>
      <c r="Z214" s="132"/>
      <c r="AA214" s="132"/>
      <c r="AB214" s="132"/>
      <c r="AC214" s="132"/>
      <c r="AD214" s="132"/>
      <c r="AE214" s="132"/>
      <c r="AF214" s="132"/>
      <c r="AG214" s="132"/>
      <c r="AH214" s="132"/>
      <c r="AI214" s="132"/>
      <c r="AJ214" s="498"/>
      <c r="AK214" s="499"/>
      <c r="AL214" s="500"/>
      <c r="AM214" s="132"/>
      <c r="AN214" s="132"/>
      <c r="AO214" s="132"/>
      <c r="AP214" s="132"/>
      <c r="AQ214" s="132"/>
      <c r="AR214" s="132"/>
      <c r="AS214" s="132"/>
      <c r="AT214" s="132"/>
      <c r="AU214" s="132"/>
      <c r="AV214" s="132"/>
      <c r="AW214" s="132"/>
      <c r="AX214" s="132"/>
      <c r="AY214" s="132"/>
      <c r="AZ214" s="132"/>
      <c r="BA214" s="132"/>
      <c r="BB214" s="132"/>
      <c r="BC214" s="132"/>
      <c r="BD214" s="501"/>
      <c r="BE214" s="501"/>
      <c r="BF214" s="132"/>
      <c r="BG214" s="132"/>
      <c r="BH214" s="132"/>
      <c r="BI214" s="132"/>
      <c r="BJ214" s="132"/>
      <c r="BK214" s="132"/>
      <c r="BL214" s="132"/>
      <c r="BM214" s="132"/>
      <c r="BN214" s="502"/>
      <c r="BO214" s="499"/>
      <c r="BP214" s="503"/>
      <c r="BQ214" s="132"/>
      <c r="BR214" s="132"/>
      <c r="BS214" s="132"/>
      <c r="BT214" s="132"/>
      <c r="BU214" s="132"/>
      <c r="BV214" s="501"/>
      <c r="BW214" s="132"/>
      <c r="BX214" s="501"/>
      <c r="BY214" s="132"/>
      <c r="BZ214" s="132"/>
      <c r="CA214" s="132"/>
      <c r="CB214" s="132"/>
      <c r="CC214" s="132"/>
      <c r="CD214" s="504"/>
      <c r="CE214" s="505"/>
      <c r="CF214" s="132"/>
      <c r="CG214" s="132"/>
      <c r="CH214" s="132"/>
      <c r="CI214" s="132"/>
      <c r="CJ214" s="132"/>
      <c r="CK214" s="132"/>
      <c r="CL214" s="132"/>
      <c r="CM214" s="132"/>
      <c r="CN214" s="132"/>
      <c r="CO214" s="132"/>
      <c r="CP214" s="501"/>
      <c r="CQ214" s="132"/>
      <c r="CR214" s="132"/>
      <c r="CS214" s="506"/>
      <c r="CT214" s="132"/>
      <c r="CU214" s="132"/>
      <c r="CV214" s="132"/>
      <c r="CW214" s="132"/>
      <c r="CX214" s="132"/>
      <c r="CY214" s="507"/>
      <c r="CZ214" s="132"/>
      <c r="DA214" s="132"/>
      <c r="DB214" s="132"/>
      <c r="DC214" s="508"/>
      <c r="DD214" s="132"/>
      <c r="DE214" s="132"/>
      <c r="DF214" s="132"/>
      <c r="DG214" s="132"/>
      <c r="DH214" s="132"/>
      <c r="DI214" s="132"/>
      <c r="DJ214" s="132"/>
      <c r="DK214" s="132"/>
      <c r="DL214" s="509"/>
      <c r="DM214" s="132"/>
      <c r="DN214" s="132"/>
      <c r="DO214" s="132"/>
      <c r="DP214" s="132"/>
      <c r="DQ214" s="510"/>
      <c r="DR214" s="132"/>
      <c r="DS214" s="132"/>
      <c r="DT214" s="132"/>
      <c r="DU214" s="507"/>
      <c r="DV214" s="507"/>
      <c r="DW214" s="132"/>
      <c r="DX214" s="132"/>
      <c r="DY214" s="132"/>
      <c r="DZ214" s="132"/>
      <c r="EA214" s="132"/>
      <c r="EB214" s="132"/>
      <c r="EC214" s="132"/>
      <c r="ED214" s="132"/>
      <c r="EE214" s="132"/>
      <c r="EF214" s="132"/>
      <c r="EG214" s="132"/>
      <c r="EH214" s="132"/>
      <c r="EI214" s="132"/>
      <c r="EJ214" s="132"/>
      <c r="EK214" s="132"/>
      <c r="EL214" s="132"/>
      <c r="EM214" s="132"/>
      <c r="EN214" s="133"/>
      <c r="EO214" s="132"/>
      <c r="EP214" s="132"/>
      <c r="EQ214" s="132"/>
      <c r="ER214" s="132"/>
      <c r="ES214" s="132"/>
      <c r="ET214" s="501"/>
      <c r="EU214" s="132"/>
      <c r="EV214" s="132"/>
      <c r="EW214" s="132"/>
      <c r="EX214" s="132"/>
      <c r="EY214" s="132"/>
      <c r="EZ214" s="132"/>
      <c r="FA214" s="132"/>
      <c r="FB214" s="132"/>
      <c r="FC214" s="501"/>
      <c r="FD214" s="501"/>
      <c r="FE214" s="501"/>
      <c r="FF214" s="132"/>
      <c r="FG214" s="132"/>
      <c r="FH214" s="132"/>
      <c r="FI214" s="132"/>
      <c r="FJ214" s="132"/>
      <c r="FK214" s="132"/>
      <c r="FL214" s="132"/>
      <c r="FM214" s="132"/>
      <c r="FN214" s="132"/>
      <c r="FO214" s="132"/>
      <c r="FP214" s="132"/>
      <c r="FQ214" s="132"/>
      <c r="FR214" s="132"/>
      <c r="FS214" s="511"/>
      <c r="FT214" s="496"/>
      <c r="FU214" s="132"/>
      <c r="FV214" s="501"/>
      <c r="FW214" s="501"/>
      <c r="FX214" s="132"/>
      <c r="FY214" s="132"/>
      <c r="FZ214" s="132"/>
      <c r="GA214" s="132"/>
      <c r="GB214" s="132"/>
      <c r="GC214" s="132"/>
      <c r="GD214" s="512"/>
      <c r="GE214" s="132"/>
      <c r="GF214" s="132"/>
      <c r="GG214" s="132"/>
      <c r="GH214" s="132"/>
      <c r="GI214" s="132"/>
      <c r="GJ214" s="132"/>
      <c r="GK214" s="132"/>
      <c r="GL214" s="132"/>
      <c r="GM214" s="132"/>
      <c r="GN214" s="132"/>
      <c r="GO214" s="132"/>
      <c r="GP214" s="132"/>
      <c r="GQ214" s="132"/>
      <c r="GR214" s="132"/>
      <c r="GS214" s="132"/>
      <c r="GT214" s="132"/>
      <c r="GU214" s="132"/>
      <c r="GV214" s="132"/>
      <c r="GW214" s="132"/>
      <c r="GX214" s="132"/>
      <c r="GY214" s="132"/>
      <c r="GZ214" s="132"/>
      <c r="HA214" s="132"/>
      <c r="HB214" s="132"/>
      <c r="HC214" s="132"/>
      <c r="HD214" s="132"/>
      <c r="HE214" s="132"/>
      <c r="HF214" s="132"/>
      <c r="HG214" s="132"/>
      <c r="HH214" s="132"/>
      <c r="HI214" s="132"/>
      <c r="HJ214" s="132"/>
      <c r="HK214" s="132"/>
      <c r="HL214" s="132"/>
      <c r="HM214" s="132"/>
      <c r="HN214" s="132"/>
      <c r="HO214" s="132"/>
      <c r="HP214" s="132"/>
      <c r="HQ214" s="132"/>
      <c r="HR214" s="132"/>
      <c r="HS214" s="132"/>
      <c r="HT214" s="132"/>
      <c r="HU214" s="132"/>
      <c r="HV214" s="132"/>
      <c r="HW214" s="132"/>
      <c r="HX214" s="132"/>
      <c r="HY214" s="132"/>
      <c r="HZ214" s="132"/>
      <c r="IA214" s="132"/>
      <c r="IB214" s="132"/>
      <c r="IC214" s="132"/>
      <c r="ID214" s="132"/>
      <c r="IE214" s="495"/>
      <c r="IF214" s="132"/>
      <c r="IG214" s="132"/>
      <c r="IH214" s="132"/>
      <c r="II214" s="132"/>
      <c r="IJ214" s="132"/>
      <c r="IK214" s="132"/>
      <c r="IL214" s="132"/>
      <c r="IM214" s="132"/>
      <c r="IN214" s="132"/>
      <c r="IO214" s="132"/>
      <c r="IP214" s="132"/>
      <c r="IQ214" s="132"/>
      <c r="IR214" s="132"/>
      <c r="IS214" s="132"/>
      <c r="IT214" s="501"/>
      <c r="IU214" s="132"/>
      <c r="IV214" s="132"/>
    </row>
    <row r="215" spans="2:256" s="513" customFormat="1" ht="12.75" customHeight="1">
      <c r="C215" s="134" t="s">
        <v>5324</v>
      </c>
      <c r="D215" s="133"/>
      <c r="E215" s="132"/>
      <c r="F215" s="132"/>
      <c r="G215" s="132"/>
      <c r="H215" s="132"/>
      <c r="I215" s="494"/>
      <c r="J215" s="133" t="str">
        <f t="shared" ca="1" si="7"/>
        <v/>
      </c>
      <c r="K215" s="132"/>
      <c r="L215" s="132"/>
      <c r="M215" s="132"/>
      <c r="N215" s="132"/>
      <c r="O215" s="132"/>
      <c r="P215" s="132"/>
      <c r="Q215" s="495"/>
      <c r="R215" s="496"/>
      <c r="S215" s="132"/>
      <c r="T215" s="132"/>
      <c r="U215" s="497"/>
      <c r="V215" s="132"/>
      <c r="W215" s="132"/>
      <c r="X215" s="132"/>
      <c r="Y215" s="132"/>
      <c r="Z215" s="132"/>
      <c r="AA215" s="132"/>
      <c r="AB215" s="132"/>
      <c r="AC215" s="132"/>
      <c r="AD215" s="132"/>
      <c r="AE215" s="132"/>
      <c r="AF215" s="132"/>
      <c r="AG215" s="132"/>
      <c r="AH215" s="132"/>
      <c r="AI215" s="132"/>
      <c r="AJ215" s="498"/>
      <c r="AK215" s="499"/>
      <c r="AL215" s="500"/>
      <c r="AM215" s="132"/>
      <c r="AN215" s="132"/>
      <c r="AO215" s="132"/>
      <c r="AP215" s="132"/>
      <c r="AQ215" s="132"/>
      <c r="AR215" s="132"/>
      <c r="AS215" s="132"/>
      <c r="AT215" s="132"/>
      <c r="AU215" s="132"/>
      <c r="AV215" s="132"/>
      <c r="AW215" s="132"/>
      <c r="AX215" s="132"/>
      <c r="AY215" s="132"/>
      <c r="AZ215" s="132"/>
      <c r="BA215" s="132"/>
      <c r="BB215" s="132"/>
      <c r="BC215" s="132"/>
      <c r="BD215" s="501"/>
      <c r="BE215" s="501"/>
      <c r="BF215" s="132"/>
      <c r="BG215" s="132"/>
      <c r="BH215" s="132"/>
      <c r="BI215" s="132"/>
      <c r="BJ215" s="132"/>
      <c r="BK215" s="132"/>
      <c r="BL215" s="132"/>
      <c r="BM215" s="132"/>
      <c r="BN215" s="502"/>
      <c r="BO215" s="499"/>
      <c r="BP215" s="503"/>
      <c r="BQ215" s="132"/>
      <c r="BR215" s="132"/>
      <c r="BS215" s="132"/>
      <c r="BT215" s="132"/>
      <c r="BU215" s="132"/>
      <c r="BV215" s="501"/>
      <c r="BW215" s="132"/>
      <c r="BX215" s="501"/>
      <c r="BY215" s="132"/>
      <c r="BZ215" s="132"/>
      <c r="CA215" s="132"/>
      <c r="CB215" s="132"/>
      <c r="CC215" s="132"/>
      <c r="CD215" s="504"/>
      <c r="CE215" s="505"/>
      <c r="CF215" s="132"/>
      <c r="CG215" s="132"/>
      <c r="CH215" s="132"/>
      <c r="CI215" s="132"/>
      <c r="CJ215" s="132"/>
      <c r="CK215" s="132"/>
      <c r="CL215" s="132"/>
      <c r="CM215" s="132"/>
      <c r="CN215" s="132"/>
      <c r="CO215" s="132"/>
      <c r="CP215" s="501"/>
      <c r="CQ215" s="132"/>
      <c r="CR215" s="132"/>
      <c r="CS215" s="506"/>
      <c r="CT215" s="132"/>
      <c r="CU215" s="132"/>
      <c r="CV215" s="132"/>
      <c r="CW215" s="132"/>
      <c r="CX215" s="132"/>
      <c r="CY215" s="507"/>
      <c r="CZ215" s="132"/>
      <c r="DA215" s="132"/>
      <c r="DB215" s="132"/>
      <c r="DC215" s="508"/>
      <c r="DD215" s="132"/>
      <c r="DE215" s="132"/>
      <c r="DF215" s="132"/>
      <c r="DG215" s="132"/>
      <c r="DH215" s="132"/>
      <c r="DI215" s="132"/>
      <c r="DJ215" s="132"/>
      <c r="DK215" s="132"/>
      <c r="DL215" s="509"/>
      <c r="DM215" s="132"/>
      <c r="DN215" s="132"/>
      <c r="DO215" s="132"/>
      <c r="DP215" s="132"/>
      <c r="DQ215" s="510"/>
      <c r="DR215" s="132"/>
      <c r="DS215" s="132"/>
      <c r="DT215" s="132"/>
      <c r="DU215" s="507"/>
      <c r="DV215" s="507"/>
      <c r="DW215" s="132"/>
      <c r="DX215" s="132"/>
      <c r="DY215" s="132"/>
      <c r="DZ215" s="132"/>
      <c r="EA215" s="132"/>
      <c r="EB215" s="132"/>
      <c r="EC215" s="132"/>
      <c r="ED215" s="132"/>
      <c r="EE215" s="132"/>
      <c r="EF215" s="132"/>
      <c r="EG215" s="132"/>
      <c r="EH215" s="132"/>
      <c r="EI215" s="132"/>
      <c r="EJ215" s="132"/>
      <c r="EK215" s="132"/>
      <c r="EL215" s="132"/>
      <c r="EM215" s="132"/>
      <c r="EN215" s="133"/>
      <c r="EO215" s="132"/>
      <c r="EP215" s="132"/>
      <c r="EQ215" s="132"/>
      <c r="ER215" s="132"/>
      <c r="ES215" s="132"/>
      <c r="ET215" s="501"/>
      <c r="EU215" s="132"/>
      <c r="EV215" s="132"/>
      <c r="EW215" s="132"/>
      <c r="EX215" s="132"/>
      <c r="EY215" s="132"/>
      <c r="EZ215" s="132"/>
      <c r="FA215" s="132"/>
      <c r="FB215" s="132"/>
      <c r="FC215" s="501"/>
      <c r="FD215" s="501"/>
      <c r="FE215" s="501"/>
      <c r="FF215" s="132"/>
      <c r="FG215" s="132"/>
      <c r="FH215" s="132"/>
      <c r="FI215" s="132"/>
      <c r="FJ215" s="132"/>
      <c r="FK215" s="132"/>
      <c r="FL215" s="132"/>
      <c r="FM215" s="132"/>
      <c r="FN215" s="132"/>
      <c r="FO215" s="132"/>
      <c r="FP215" s="132"/>
      <c r="FQ215" s="132"/>
      <c r="FR215" s="132"/>
      <c r="FS215" s="511"/>
      <c r="FT215" s="496"/>
      <c r="FU215" s="132"/>
      <c r="FV215" s="501"/>
      <c r="FW215" s="501"/>
      <c r="FX215" s="132"/>
      <c r="FY215" s="132"/>
      <c r="FZ215" s="132"/>
      <c r="GA215" s="132"/>
      <c r="GB215" s="132"/>
      <c r="GC215" s="132"/>
      <c r="GD215" s="512"/>
      <c r="GE215" s="132"/>
      <c r="GF215" s="132"/>
      <c r="GG215" s="132"/>
      <c r="GH215" s="132"/>
      <c r="GI215" s="132"/>
      <c r="GJ215" s="132"/>
      <c r="GK215" s="132"/>
      <c r="GL215" s="132"/>
      <c r="GM215" s="132"/>
      <c r="GN215" s="132"/>
      <c r="GO215" s="132"/>
      <c r="GP215" s="132"/>
      <c r="GQ215" s="132"/>
      <c r="GR215" s="132"/>
      <c r="GS215" s="132"/>
      <c r="GT215" s="132"/>
      <c r="GU215" s="132"/>
      <c r="GV215" s="132"/>
      <c r="GW215" s="132"/>
      <c r="GX215" s="132"/>
      <c r="GY215" s="132"/>
      <c r="GZ215" s="132"/>
      <c r="HA215" s="132"/>
      <c r="HB215" s="132"/>
      <c r="HC215" s="132"/>
      <c r="HD215" s="132"/>
      <c r="HE215" s="132"/>
      <c r="HF215" s="132"/>
      <c r="HG215" s="132"/>
      <c r="HH215" s="132"/>
      <c r="HI215" s="132"/>
      <c r="HJ215" s="132"/>
      <c r="HK215" s="132"/>
      <c r="HL215" s="132"/>
      <c r="HM215" s="132"/>
      <c r="HN215" s="132"/>
      <c r="HO215" s="132"/>
      <c r="HP215" s="132"/>
      <c r="HQ215" s="132"/>
      <c r="HR215" s="132"/>
      <c r="HS215" s="132"/>
      <c r="HT215" s="132"/>
      <c r="HU215" s="132"/>
      <c r="HV215" s="132"/>
      <c r="HW215" s="132"/>
      <c r="HX215" s="132"/>
      <c r="HY215" s="132"/>
      <c r="HZ215" s="132"/>
      <c r="IA215" s="132"/>
      <c r="IB215" s="132"/>
      <c r="IC215" s="132"/>
      <c r="ID215" s="132"/>
      <c r="IE215" s="495"/>
      <c r="IF215" s="132"/>
      <c r="IG215" s="132"/>
      <c r="IH215" s="132"/>
      <c r="II215" s="132"/>
      <c r="IJ215" s="132"/>
      <c r="IK215" s="132"/>
      <c r="IL215" s="132"/>
      <c r="IM215" s="132"/>
      <c r="IN215" s="132"/>
      <c r="IO215" s="132"/>
      <c r="IP215" s="132"/>
      <c r="IQ215" s="132"/>
      <c r="IR215" s="132"/>
      <c r="IS215" s="132"/>
      <c r="IT215" s="501"/>
      <c r="IU215" s="132"/>
      <c r="IV215" s="132"/>
    </row>
    <row r="216" spans="2:256" s="136" customFormat="1" ht="13.5" customHeight="1" thickBot="1">
      <c r="B216" s="743"/>
      <c r="C216" s="412">
        <f>COUNTA(SurveyDATA!C660:C831)</f>
        <v>172</v>
      </c>
      <c r="D216" s="145">
        <f>COUNTA(SurveyDATA!D660:D831)</f>
        <v>172</v>
      </c>
      <c r="E216" s="193">
        <f>COUNTIF(SurveyDATA!E660:E831,"*Brgy*")</f>
        <v>172</v>
      </c>
      <c r="F216" s="145">
        <f>COUNTA(SurveyDATA!F660:F831)</f>
        <v>149</v>
      </c>
      <c r="G216" s="145">
        <f>COUNTA(SurveyDATA!G660:G831)</f>
        <v>152</v>
      </c>
      <c r="H216" s="145">
        <f>COUNTA(SurveyDATA!H660:H831)</f>
        <v>27</v>
      </c>
      <c r="I216" s="145">
        <f>COUNTA(SurveyDATA!I660:I831)</f>
        <v>101</v>
      </c>
      <c r="J216" s="145">
        <f ca="1">COUNTA(SurveyDATA!J660:J831)</f>
        <v>152</v>
      </c>
      <c r="K216" s="145">
        <f>COUNTA(SurveyDATA!K660:K831)</f>
        <v>125</v>
      </c>
      <c r="L216" s="145">
        <f>COUNTA(SurveyDATA!L660:L831)</f>
        <v>125</v>
      </c>
      <c r="M216" s="145">
        <f>COUNTA(SurveyDATA!M660:M831)</f>
        <v>126</v>
      </c>
      <c r="N216" s="579"/>
      <c r="O216" s="579">
        <f>COUNTA(SurveyDATA!O660:O831)</f>
        <v>143</v>
      </c>
      <c r="P216" s="145">
        <f>COUNTA(SurveyDATA!P660:P831)</f>
        <v>120</v>
      </c>
      <c r="Q216" s="145">
        <f>COUNTA(SurveyDATA!Q660:Q831)</f>
        <v>116</v>
      </c>
      <c r="R216" s="145">
        <f>COUNTA(SurveyDATA!R660:R831)</f>
        <v>117</v>
      </c>
      <c r="S216" s="145">
        <f>COUNTA(SurveyDATA!S660:S831)</f>
        <v>120</v>
      </c>
      <c r="T216" s="145">
        <f>COUNTA(SurveyDATA!T660:T831)</f>
        <v>11</v>
      </c>
      <c r="U216" s="145">
        <f>COUNTA(SurveyDATA!U660:U831)</f>
        <v>87</v>
      </c>
      <c r="V216" s="145">
        <f>COUNTA(SurveyDATA!V660:V831)</f>
        <v>115</v>
      </c>
      <c r="W216" s="145">
        <f>COUNTA(SurveyDATA!Y660:Y831)</f>
        <v>116</v>
      </c>
      <c r="X216" s="145">
        <f>COUNTA(SurveyDATA!Z660:Z831)</f>
        <v>115</v>
      </c>
      <c r="Y216" s="145">
        <f>COUNTA(SurveyDATA!AA660:AA831)</f>
        <v>117</v>
      </c>
      <c r="Z216" s="145">
        <f>COUNTA(SurveyDATA!AB660:AB831)</f>
        <v>114</v>
      </c>
      <c r="AA216" s="145">
        <f>COUNTA(SurveyDATA!AC660:AC831)</f>
        <v>63</v>
      </c>
      <c r="AB216" s="145">
        <f>COUNTA(SurveyDATA!AD660:AD831)</f>
        <v>101</v>
      </c>
      <c r="AC216" s="145">
        <f>COUNTA(SurveyDATA!AE660:AE831)</f>
        <v>7</v>
      </c>
      <c r="AD216" s="145">
        <f>COUNTA(SurveyDATA!AF660:AF831)</f>
        <v>111</v>
      </c>
      <c r="AE216" s="145">
        <f>COUNTA(SurveyDATA!AG660:AG831)</f>
        <v>128</v>
      </c>
      <c r="AF216" s="145">
        <f>COUNTA(SurveyDATA!AH660:AH831)</f>
        <v>128</v>
      </c>
      <c r="AG216" s="145">
        <f>COUNTA(SurveyDATA!AI660:AI831)</f>
        <v>27</v>
      </c>
      <c r="AH216" s="145">
        <f>COUNTA(SurveyDATA!AJ660:AJ831)</f>
        <v>102</v>
      </c>
      <c r="AI216" s="145">
        <f>COUNTA(SurveyDATA!AK660:AK831)</f>
        <v>172</v>
      </c>
      <c r="AJ216" s="145">
        <f>COUNTA(SurveyDATA!AL660:AL831)</f>
        <v>118</v>
      </c>
      <c r="AK216" s="145">
        <f>COUNTA(SurveyDATA!AM660:AM831)</f>
        <v>118</v>
      </c>
      <c r="AL216" s="145">
        <f>COUNTA(SurveyDATA!AN660:AN831)</f>
        <v>118</v>
      </c>
      <c r="AM216" s="145">
        <f>COUNTA(SurveyDATA!AO660:AO831)</f>
        <v>119</v>
      </c>
      <c r="AN216" s="145">
        <f>COUNTA(SurveyDATA!AP660:AP831)</f>
        <v>38</v>
      </c>
      <c r="AO216" s="145">
        <f>COUNTA(SurveyDATA!AQ660:AQ831)</f>
        <v>28</v>
      </c>
      <c r="AP216" s="145">
        <f>COUNTA(SurveyDATA!AR660:AR831)</f>
        <v>6</v>
      </c>
      <c r="AQ216" s="145">
        <f>COUNTA(SurveyDATA!AS660:AS831)</f>
        <v>23</v>
      </c>
      <c r="AR216" s="145">
        <f>COUNTA(SurveyDATA!AT660:AT831)</f>
        <v>5</v>
      </c>
      <c r="AS216" s="145">
        <f>COUNTA(SurveyDATA!AU660:AU831)</f>
        <v>6</v>
      </c>
      <c r="AT216" s="145">
        <f>COUNTA(SurveyDATA!AV660:AV831)</f>
        <v>1</v>
      </c>
      <c r="AU216" s="145">
        <f>COUNTA(SurveyDATA!AW660:AW831)</f>
        <v>0</v>
      </c>
      <c r="AV216" s="145">
        <f>COUNTA(SurveyDATA!AX660:AX831)</f>
        <v>0</v>
      </c>
      <c r="AW216" s="145">
        <f>COUNTA(SurveyDATA!AY660:AY831)</f>
        <v>0</v>
      </c>
      <c r="AX216" s="145">
        <f>COUNTA(SurveyDATA!AZ660:AZ831)</f>
        <v>4</v>
      </c>
      <c r="AY216" s="145">
        <f>COUNTA(SurveyDATA!BA660:BA831)</f>
        <v>7</v>
      </c>
      <c r="AZ216" s="145">
        <f>COUNTA(SurveyDATA!BB660:BB831)</f>
        <v>11</v>
      </c>
      <c r="BA216" s="145">
        <f>COUNTA(SurveyDATA!BC660:BC831)</f>
        <v>12</v>
      </c>
      <c r="BB216" s="145">
        <f>COUNTA(SurveyDATA!BD660:BD831)</f>
        <v>11</v>
      </c>
      <c r="BC216" s="145">
        <f>COUNTA(SurveyDATA!BE660:BE831)</f>
        <v>6</v>
      </c>
      <c r="BD216" s="145">
        <f>COUNTA(SurveyDATA!BF660:BF831)</f>
        <v>3</v>
      </c>
      <c r="BE216" s="145">
        <f>COUNTA(SurveyDATA!BG660:BG831)</f>
        <v>3</v>
      </c>
      <c r="BF216" s="145">
        <f>COUNTA(SurveyDATA!BH660:BH831)</f>
        <v>0</v>
      </c>
      <c r="BG216" s="145">
        <f>COUNTA(SurveyDATA!BI660:BI831)</f>
        <v>0</v>
      </c>
      <c r="BH216" s="145">
        <f>COUNTA(SurveyDATA!BJ660:BJ831)</f>
        <v>0</v>
      </c>
      <c r="BI216" s="145">
        <f>COUNTA(SurveyDATA!BK660:BK831)</f>
        <v>98</v>
      </c>
      <c r="BJ216" s="145">
        <f>COUNTA(SurveyDATA!BL660:BL831)</f>
        <v>98</v>
      </c>
      <c r="BK216" s="145">
        <f>COUNTA(SurveyDATA!BM660:BM831)</f>
        <v>134</v>
      </c>
      <c r="BL216" s="145">
        <f>COUNTA(SurveyDATA!BN660:BN831)</f>
        <v>134</v>
      </c>
      <c r="BM216" s="145">
        <f>COUNTA(SurveyDATA!BO660:BO831)</f>
        <v>97</v>
      </c>
      <c r="BN216" s="145">
        <f>COUNTA(SurveyDATA!BP660:BP831)</f>
        <v>97</v>
      </c>
      <c r="BO216" s="291">
        <f>COUNTA(SurveyDATA!BQ660:BQ831)</f>
        <v>97</v>
      </c>
      <c r="BP216" s="145">
        <f>COUNTA(SurveyDATA!BR660:BR831)</f>
        <v>97</v>
      </c>
      <c r="BQ216" s="145">
        <f>COUNTA(SurveyDATA!BS660:BS831)</f>
        <v>134</v>
      </c>
      <c r="BR216" s="145">
        <f>COUNTA(SurveyDATA!BT660:BT831)</f>
        <v>96</v>
      </c>
      <c r="BS216" s="145">
        <f>COUNTA(SurveyDATA!BU660:BU831)</f>
        <v>88</v>
      </c>
      <c r="BT216" s="145">
        <f>COUNTA(SurveyDATA!BV660:BV831)</f>
        <v>82</v>
      </c>
      <c r="BU216" s="145">
        <f>COUNTA(SurveyDATA!BW660:BW831)</f>
        <v>75</v>
      </c>
      <c r="BV216" s="145">
        <f>COUNTA(SurveyDATA!BX660:BX831)</f>
        <v>20</v>
      </c>
      <c r="BW216" s="145">
        <f>COUNTA(SurveyDATA!BY660:BY831)</f>
        <v>20</v>
      </c>
      <c r="BX216" s="145">
        <f>COUNTA(SurveyDATA!BZ660:BZ831)</f>
        <v>7</v>
      </c>
      <c r="BY216" s="145">
        <f>COUNTA(SurveyDATA!CA660:CA831)</f>
        <v>4</v>
      </c>
      <c r="BZ216" s="145">
        <f>COUNTA(SurveyDATA!CB660:CB831)</f>
        <v>56</v>
      </c>
      <c r="CA216" s="145">
        <f>COUNTA(SurveyDATA!CC660:CC831)</f>
        <v>32</v>
      </c>
      <c r="CB216" s="145">
        <f>COUNTA(SurveyDATA!CD660:CD831)</f>
        <v>29</v>
      </c>
      <c r="CC216" s="145">
        <f>COUNTA(SurveyDATA!CE660:CE831)</f>
        <v>4</v>
      </c>
      <c r="CD216" s="386">
        <f>COUNTA(SurveyDATA!CF660:CF831)</f>
        <v>32</v>
      </c>
      <c r="CE216" s="386">
        <f>COUNTA(SurveyDATA!CG660:CG831)</f>
        <v>32</v>
      </c>
      <c r="CF216" s="145">
        <f>COUNTA(SurveyDATA!CH660:CH831)</f>
        <v>32</v>
      </c>
      <c r="CG216" s="145">
        <f>COUNTA(SurveyDATA!CI660:CI831)</f>
        <v>0</v>
      </c>
      <c r="CH216" s="145">
        <f>COUNTA(SurveyDATA!CJ660:CJ831)</f>
        <v>19</v>
      </c>
      <c r="CI216" s="145">
        <f>COUNTA(SurveyDATA!CK660:CK831)</f>
        <v>29</v>
      </c>
      <c r="CJ216" s="145">
        <f>COUNTA(SurveyDATA!CL660:CL831)</f>
        <v>17</v>
      </c>
      <c r="CK216" s="145">
        <f>COUNTA(SurveyDATA!CM660:CM831)</f>
        <v>18</v>
      </c>
      <c r="CL216" s="145">
        <f>COUNTA(SurveyDATA!CN660:CN831)</f>
        <v>0</v>
      </c>
      <c r="CM216" s="145">
        <f>COUNTA(SurveyDATA!CO660:CO831)</f>
        <v>24</v>
      </c>
      <c r="CN216" s="145">
        <f>COUNTA(SurveyDATA!CP660:CP831)</f>
        <v>1</v>
      </c>
      <c r="CO216" s="145">
        <f>COUNTA(SurveyDATA!CQ660:CQ831)</f>
        <v>1</v>
      </c>
      <c r="CP216" s="145">
        <f>COUNTA(SurveyDATA!CR660:CR831)</f>
        <v>1</v>
      </c>
      <c r="CQ216" s="145">
        <f>COUNTA(SurveyDATA!CS660:CS831)</f>
        <v>0</v>
      </c>
      <c r="CR216" s="145">
        <f>COUNTA(SurveyDATA!CT660:CT831)</f>
        <v>1</v>
      </c>
      <c r="CS216" s="145">
        <f>COUNTA(SurveyDATA!CU660:CU831)</f>
        <v>1</v>
      </c>
      <c r="CT216" s="145">
        <f>COUNTA(SurveyDATA!CV660:CV831)</f>
        <v>1</v>
      </c>
      <c r="CU216" s="145">
        <f>COUNTA(SurveyDATA!CW660:CW831)</f>
        <v>1</v>
      </c>
      <c r="CV216" s="145">
        <f>COUNTA(SurveyDATA!CX660:CX831)</f>
        <v>0</v>
      </c>
      <c r="CW216" s="145">
        <f>COUNTA(SurveyDATA!CY660:CY831)</f>
        <v>0</v>
      </c>
      <c r="CX216" s="145">
        <f>COUNTA(SurveyDATA!CZ660:CZ831)</f>
        <v>0</v>
      </c>
      <c r="CY216" s="145">
        <f>COUNTA(SurveyDATA!DA660:DA831)</f>
        <v>0</v>
      </c>
      <c r="CZ216" s="145">
        <f>COUNTA(SurveyDATA!DB660:DB831)</f>
        <v>0</v>
      </c>
      <c r="DA216" s="145">
        <f>COUNTA(SurveyDATA!DC660:DC831)</f>
        <v>0</v>
      </c>
      <c r="DB216" s="145">
        <f>COUNTA(SurveyDATA!DD660:DD831)</f>
        <v>0</v>
      </c>
      <c r="DC216" s="145">
        <f>COUNTA(SurveyDATA!DE660:DE831)</f>
        <v>0</v>
      </c>
      <c r="DD216" s="145">
        <f>COUNTA(SurveyDATA!DF660:DF831)</f>
        <v>0</v>
      </c>
      <c r="DE216" s="145">
        <f>COUNTA(SurveyDATA!DG660:DG831)</f>
        <v>0</v>
      </c>
      <c r="DF216" s="145">
        <f>COUNTA(SurveyDATA!DH660:DH831)</f>
        <v>0</v>
      </c>
      <c r="DG216" s="145">
        <f>COUNTA(SurveyDATA!DI660:DI831)</f>
        <v>0</v>
      </c>
      <c r="DH216" s="145">
        <f>COUNTA(SurveyDATA!DJ660:DJ831)</f>
        <v>0</v>
      </c>
      <c r="DI216" s="145">
        <f>COUNTA(SurveyDATA!DK660:DK831)</f>
        <v>0</v>
      </c>
      <c r="DJ216" s="145">
        <f>COUNTA(SurveyDATA!DL660:DL831)</f>
        <v>0</v>
      </c>
      <c r="DK216" s="145">
        <f>COUNTA(SurveyDATA!DM660:DM831)</f>
        <v>0</v>
      </c>
      <c r="DL216" s="145">
        <f>COUNTA(SurveyDATA!DN660:DN831)</f>
        <v>0</v>
      </c>
      <c r="DM216" s="145">
        <f>COUNTA(SurveyDATA!DO660:DO831)</f>
        <v>0</v>
      </c>
      <c r="DN216" s="145">
        <f>COUNTA(SurveyDATA!DP660:DP831)</f>
        <v>0</v>
      </c>
      <c r="DO216" s="145">
        <f>COUNTA(SurveyDATA!DQ660:DQ831)</f>
        <v>1</v>
      </c>
      <c r="DP216" s="145">
        <f>COUNTA(SurveyDATA!DR660:DR831)</f>
        <v>1</v>
      </c>
      <c r="DQ216" s="145">
        <f>COUNTA(SurveyDATA!DS660:DS831)</f>
        <v>0</v>
      </c>
      <c r="DR216" s="145">
        <f>COUNTA(SurveyDATA!DT660:DT831)</f>
        <v>1</v>
      </c>
      <c r="DS216" s="145">
        <f>COUNTA(SurveyDATA!DU660:DU831)</f>
        <v>1</v>
      </c>
      <c r="DT216" s="145">
        <f>COUNTA(SurveyDATA!DV660:DV831)</f>
        <v>1</v>
      </c>
      <c r="DU216" s="145">
        <f>COUNTA(SurveyDATA!DW660:DW831)</f>
        <v>1</v>
      </c>
      <c r="DV216" s="145">
        <f>COUNTA(SurveyDATA!DX660:DX831)</f>
        <v>1</v>
      </c>
      <c r="DW216" s="145">
        <f>COUNTA(SurveyDATA!DY660:DY831)</f>
        <v>1</v>
      </c>
      <c r="DX216" s="145">
        <f>COUNTA(SurveyDATA!DZ660:DZ831)</f>
        <v>0</v>
      </c>
      <c r="DY216" s="145">
        <f>COUNTA(SurveyDATA!EA660:EA831)</f>
        <v>0</v>
      </c>
      <c r="DZ216" s="145">
        <f>COUNTA(SurveyDATA!EB660:EB831)</f>
        <v>0</v>
      </c>
      <c r="EA216" s="145">
        <f>COUNTA(SurveyDATA!EC660:EC831)</f>
        <v>0</v>
      </c>
      <c r="EB216" s="145">
        <f>COUNTA(SurveyDATA!ED660:ED831)</f>
        <v>0</v>
      </c>
      <c r="EC216" s="145">
        <f>COUNTA(SurveyDATA!EE660:EE831)</f>
        <v>0</v>
      </c>
      <c r="ED216" s="145">
        <f>COUNTA(SurveyDATA!EF660:EF831)</f>
        <v>0</v>
      </c>
      <c r="EE216" s="145">
        <f>COUNTA(SurveyDATA!EG660:EG831)</f>
        <v>0</v>
      </c>
      <c r="EF216" s="145">
        <f>COUNTA(SurveyDATA!EH660:EH831)</f>
        <v>0</v>
      </c>
      <c r="EG216" s="145">
        <f>COUNTA(SurveyDATA!EI660:EI831)</f>
        <v>0</v>
      </c>
      <c r="EH216" s="145">
        <f>COUNTA(SurveyDATA!EJ660:EJ831)</f>
        <v>0</v>
      </c>
      <c r="EI216" s="145">
        <f>COUNTA(SurveyDATA!EK660:EK831)</f>
        <v>0</v>
      </c>
      <c r="EJ216" s="145">
        <f>COUNTA(SurveyDATA!EL660:EL831)</f>
        <v>0</v>
      </c>
      <c r="EK216" s="145">
        <f>COUNTA(SurveyDATA!EM660:EM831)</f>
        <v>0</v>
      </c>
      <c r="EL216" s="145">
        <f>COUNTA(SurveyDATA!EN660:EN831)</f>
        <v>0</v>
      </c>
      <c r="EM216" s="145">
        <f>COUNTA(SurveyDATA!EO660:EO831)</f>
        <v>0</v>
      </c>
      <c r="EN216" s="145">
        <f>COUNTA(SurveyDATA!EP660:EP831)</f>
        <v>0</v>
      </c>
      <c r="EO216" s="145">
        <f>COUNTA(SurveyDATA!EQ660:EQ831)</f>
        <v>0</v>
      </c>
      <c r="EP216" s="145">
        <f>COUNTA(SurveyDATA!EZ660:EZ831)</f>
        <v>27</v>
      </c>
      <c r="EQ216" s="145">
        <f>COUNTA(SurveyDATA!FA660:FA831)</f>
        <v>28</v>
      </c>
      <c r="ER216" s="145">
        <f>COUNTA(SurveyDATA!FB660:FB831)</f>
        <v>27</v>
      </c>
      <c r="ES216" s="145">
        <f>COUNTA(SurveyDATA!FC660:FC831)</f>
        <v>8</v>
      </c>
      <c r="ET216" s="145">
        <f>COUNTA(SurveyDATA!FD660:FD831)</f>
        <v>1</v>
      </c>
      <c r="EU216" s="145">
        <f>COUNTA(SurveyDATA!FE660:FE831)</f>
        <v>24</v>
      </c>
      <c r="EV216" s="145">
        <f>COUNTA(SurveyDATA!FF660:FF831)</f>
        <v>8</v>
      </c>
      <c r="EW216" s="145">
        <f>COUNTA(SurveyDATA!FG660:FG831)</f>
        <v>24</v>
      </c>
      <c r="EX216" s="145">
        <f>COUNTA(SurveyDATA!FH660:FH831)</f>
        <v>116</v>
      </c>
      <c r="EY216" s="145">
        <f>COUNTA(SurveyDATA!FI660:FI831)</f>
        <v>110</v>
      </c>
      <c r="EZ216" s="145">
        <f>COUNTA(SurveyDATA!FJ660:FJ831)</f>
        <v>37</v>
      </c>
      <c r="FA216" s="145">
        <f>COUNTA(SurveyDATA!FK660:FK831)</f>
        <v>8</v>
      </c>
      <c r="FB216" s="145">
        <f>COUNTA(SurveyDATA!FL660:FL831)</f>
        <v>23</v>
      </c>
      <c r="FC216" s="145">
        <f>COUNTA(SurveyDATA!FM660:FM831)</f>
        <v>13</v>
      </c>
      <c r="FD216" s="145">
        <f>COUNTA(SurveyDATA!FN660:FN831)</f>
        <v>15</v>
      </c>
      <c r="FE216" s="145">
        <f>COUNTA(SurveyDATA!FO660:FO831)</f>
        <v>13</v>
      </c>
      <c r="FF216" s="145">
        <f>COUNTA(SurveyDATA!FP660:FP831)</f>
        <v>126</v>
      </c>
      <c r="FG216" s="145">
        <f>COUNTA(SurveyDATA!FQ660:FQ831)</f>
        <v>126</v>
      </c>
      <c r="FH216" s="145">
        <f>COUNTA(SurveyDATA!FR660:FR831)</f>
        <v>98</v>
      </c>
      <c r="FI216" s="145">
        <f>COUNTA(SurveyDATA!FS660:FS831)</f>
        <v>4</v>
      </c>
      <c r="FJ216" s="145">
        <f>COUNTA(SurveyDATA!FT660:FT831)</f>
        <v>3</v>
      </c>
      <c r="FK216" s="145">
        <f>COUNTA(SurveyDATA!FU660:FU831)</f>
        <v>0</v>
      </c>
      <c r="FL216" s="145">
        <f>COUNTA(SurveyDATA!FV660:FV831)</f>
        <v>1</v>
      </c>
      <c r="FM216" s="145">
        <f>COUNTA(SurveyDATA!FW660:FW831)</f>
        <v>1</v>
      </c>
      <c r="FN216" s="145">
        <f>COUNTA(SurveyDATA!FX660:FX831)</f>
        <v>3</v>
      </c>
      <c r="FO216" s="145">
        <f>COUNTA(SurveyDATA!FY660:FY831)</f>
        <v>0</v>
      </c>
      <c r="FP216" s="145">
        <f>COUNTA(SurveyDATA!FZ660:FZ831)</f>
        <v>0</v>
      </c>
      <c r="FQ216" s="145">
        <f>COUNTA(SurveyDATA!GA660:GA831)</f>
        <v>1</v>
      </c>
      <c r="FR216" s="145">
        <f>COUNTA(SurveyDATA!GB660:GB831)</f>
        <v>79</v>
      </c>
      <c r="FS216" s="145">
        <f>COUNTA(SurveyDATA!GC660:GC831)</f>
        <v>7</v>
      </c>
      <c r="FT216" s="145">
        <f>COUNTA(SurveyDATA!GD660:GD831)</f>
        <v>59</v>
      </c>
      <c r="FU216" s="145">
        <f>COUNTA(SurveyDATA!GE660:GE831)</f>
        <v>90</v>
      </c>
      <c r="FV216" s="145">
        <f>COUNTA(SurveyDATA!GF660:GF831)</f>
        <v>6</v>
      </c>
      <c r="FW216" s="145">
        <f>COUNTA(SurveyDATA!GG660:GG831)</f>
        <v>6</v>
      </c>
      <c r="FX216" s="145">
        <f>COUNTA(SurveyDATA!GH660:GH831)</f>
        <v>52</v>
      </c>
      <c r="FY216" s="145">
        <f>COUNTA(SurveyDATA!GI660:GI831)</f>
        <v>28</v>
      </c>
      <c r="FZ216" s="145">
        <f>COUNTA(SurveyDATA!GJ660:GJ831)</f>
        <v>21</v>
      </c>
      <c r="GA216" s="145">
        <f>COUNTA(SurveyDATA!GK660:GK831)</f>
        <v>34</v>
      </c>
      <c r="GB216" s="145">
        <f>COUNTA(SurveyDATA!GL660:GL831)</f>
        <v>0</v>
      </c>
      <c r="GC216" s="145">
        <f>COUNTA(SurveyDATA!GM660:GM831)</f>
        <v>5</v>
      </c>
      <c r="GD216" s="145">
        <f>COUNTA(SurveyDATA!GN660:GN831)</f>
        <v>27</v>
      </c>
      <c r="GE216" s="145">
        <f>COUNTA(SurveyDATA!GO660:GO831)</f>
        <v>18</v>
      </c>
      <c r="GF216" s="145">
        <f>COUNTA(SurveyDATA!GP660:GP831)</f>
        <v>19</v>
      </c>
      <c r="GG216" s="145">
        <f>COUNTA(SurveyDATA!GQ660:GQ831)</f>
        <v>23</v>
      </c>
      <c r="GH216" s="145">
        <f>COUNTA(SurveyDATA!GR660:GR831)</f>
        <v>20</v>
      </c>
      <c r="GI216" s="145">
        <f>COUNTA(SurveyDATA!GS660:GS831)</f>
        <v>18</v>
      </c>
      <c r="GJ216" s="145">
        <f>COUNTA(SurveyDATA!GT660:GT831)</f>
        <v>19</v>
      </c>
      <c r="GK216" s="145">
        <f>COUNTA(SurveyDATA!GU660:GU831)</f>
        <v>0</v>
      </c>
      <c r="GL216" s="145">
        <f>COUNTA(SurveyDATA!GV660:GV831)</f>
        <v>0</v>
      </c>
      <c r="GM216" s="145">
        <f>COUNTA(SurveyDATA!GW660:GW831)</f>
        <v>33</v>
      </c>
      <c r="GN216" s="145">
        <f>COUNTA(SurveyDATA!GX660:GX831)</f>
        <v>2</v>
      </c>
      <c r="GO216" s="145">
        <f>COUNTA(SurveyDATA!GY660:GY831)</f>
        <v>28</v>
      </c>
      <c r="GP216" s="145">
        <f>COUNTA(SurveyDATA!GZ660:GZ831)</f>
        <v>15</v>
      </c>
      <c r="GQ216" s="145">
        <f>COUNTA(SurveyDATA!HA660:HA831)</f>
        <v>27</v>
      </c>
      <c r="GR216" s="145">
        <f>COUNTA(SurveyDATA!HB660:HB831)</f>
        <v>23</v>
      </c>
      <c r="GS216" s="145">
        <f>COUNTA(SurveyDATA!HC660:HC831)</f>
        <v>21</v>
      </c>
      <c r="GT216" s="145">
        <f>COUNTA(SurveyDATA!HD660:HD831)</f>
        <v>26</v>
      </c>
      <c r="GU216" s="145">
        <f>COUNTA(SurveyDATA!HE660:HE831)</f>
        <v>23</v>
      </c>
      <c r="GV216" s="145">
        <f>COUNTA(SurveyDATA!HF660:HF831)</f>
        <v>0</v>
      </c>
      <c r="GW216" s="145">
        <f>COUNTA(SurveyDATA!HG660:HG831)</f>
        <v>0</v>
      </c>
      <c r="GX216" s="145">
        <f>COUNTA(SurveyDATA!HH660:HH831)</f>
        <v>2</v>
      </c>
      <c r="GY216" s="145">
        <f>COUNTA(SurveyDATA!HI660:HI831)</f>
        <v>49</v>
      </c>
      <c r="GZ216" s="145">
        <f>COUNTA(SurveyDATA!HJ660:HJ831)</f>
        <v>3</v>
      </c>
      <c r="HA216" s="145">
        <f>COUNTA(SurveyDATA!HK660:HK831)</f>
        <v>2</v>
      </c>
      <c r="HB216" s="145">
        <f>COUNTA(SurveyDATA!HL660:HL831)</f>
        <v>43</v>
      </c>
      <c r="HC216" s="145">
        <f>COUNTA(SurveyDATA!HM660:HM831)</f>
        <v>0</v>
      </c>
      <c r="HD216" s="145">
        <f>COUNTA(SurveyDATA!HN660:HN831)</f>
        <v>0</v>
      </c>
      <c r="HE216" s="145">
        <f>COUNTA(SurveyDATA!HO660:HO831)</f>
        <v>0</v>
      </c>
      <c r="HF216" s="145">
        <f>COUNTA(SurveyDATA!HP660:HP831)</f>
        <v>0</v>
      </c>
      <c r="HG216" s="145">
        <f>COUNTA(SurveyDATA!HQ660:HQ831)</f>
        <v>0</v>
      </c>
      <c r="HH216" s="145">
        <f>COUNTA(SurveyDATA!HR660:HR831)</f>
        <v>36</v>
      </c>
      <c r="HI216" s="145">
        <f>COUNTA(SurveyDATA!HS660:HS831)</f>
        <v>12</v>
      </c>
      <c r="HJ216" s="145">
        <f>COUNTA(SurveyDATA!HT660:HT831)</f>
        <v>15</v>
      </c>
      <c r="HK216" s="145">
        <f>COUNTA(SurveyDATA!HU660:HU831)</f>
        <v>0</v>
      </c>
      <c r="HL216" s="145">
        <f>COUNTA(SurveyDATA!HV660:HV831)</f>
        <v>0</v>
      </c>
      <c r="HM216" s="145">
        <f>COUNTA(SurveyDATA!HW660:HW831)</f>
        <v>0</v>
      </c>
      <c r="HN216" s="145">
        <f>COUNTA(SurveyDATA!HX660:HX831)</f>
        <v>0</v>
      </c>
      <c r="HO216" s="145">
        <f>COUNTA(SurveyDATA!HY660:HY831)</f>
        <v>0</v>
      </c>
      <c r="HP216" s="145">
        <f>COUNTA(SurveyDATA!HZ660:HZ831)</f>
        <v>0</v>
      </c>
      <c r="HQ216" s="145">
        <f>COUNTA(SurveyDATA!IA660:IA831)</f>
        <v>0</v>
      </c>
      <c r="HR216" s="145">
        <f>COUNTA(SurveyDATA!IB660:IB831)</f>
        <v>100</v>
      </c>
      <c r="HS216" s="145">
        <f>COUNTA(SurveyDATA!IC660:IC831)</f>
        <v>44</v>
      </c>
      <c r="HT216" s="145">
        <f>COUNTA(SurveyDATA!ID660:ID831)</f>
        <v>38</v>
      </c>
      <c r="HU216" s="145">
        <f>COUNTA(SurveyDATA!IE660:IE831)</f>
        <v>25</v>
      </c>
      <c r="HV216" s="145">
        <f>COUNTA(SurveyDATA!IF660:IF831)</f>
        <v>20</v>
      </c>
      <c r="HW216" s="145">
        <f>COUNTA(SurveyDATA!IG660:IG831)</f>
        <v>20</v>
      </c>
      <c r="HX216" s="145">
        <f>COUNTA(SurveyDATA!IH660:IH831)</f>
        <v>20</v>
      </c>
      <c r="HY216" s="145">
        <f>COUNTA(SurveyDATA!II660:II831)</f>
        <v>20</v>
      </c>
      <c r="HZ216" s="145">
        <f>COUNTA(SurveyDATA!IJ660:IJ831)</f>
        <v>20</v>
      </c>
      <c r="IA216" s="145">
        <f>COUNTA(SurveyDATA!IK660:IK831)</f>
        <v>20</v>
      </c>
      <c r="IB216" s="145">
        <f>COUNTA(SurveyDATA!IL660:IL831)</f>
        <v>20</v>
      </c>
      <c r="IC216" s="145">
        <f>COUNTA(SurveyDATA!IM660:IM831)</f>
        <v>20</v>
      </c>
      <c r="ID216" s="145">
        <f>COUNTA(SurveyDATA!IN660:IN831)</f>
        <v>20</v>
      </c>
      <c r="IE216" s="145">
        <f>COUNTA(SurveyDATA!IO660:IO831)</f>
        <v>18</v>
      </c>
      <c r="IF216" s="145">
        <f>COUNTA(SurveyDATA!IP660:IP831)</f>
        <v>20</v>
      </c>
      <c r="IG216" s="145">
        <f>COUNTA(SurveyDATA!IQ660:IQ831)</f>
        <v>20</v>
      </c>
      <c r="IH216" s="145">
        <f>COUNTA(SurveyDATA!IR660:IR831)</f>
        <v>20</v>
      </c>
      <c r="II216" s="145">
        <f>COUNTA(SurveyDATA!IS660:IS831)</f>
        <v>20</v>
      </c>
      <c r="IJ216" s="145">
        <f>COUNTA(SurveyDATA!IT660:IT831)</f>
        <v>5</v>
      </c>
      <c r="IK216" s="145">
        <f>COUNTA(SurveyDATA!IU660:IU831)</f>
        <v>14</v>
      </c>
      <c r="IL216" s="145">
        <f>COUNTA(SurveyDATA!IV660:IV831)</f>
        <v>3</v>
      </c>
      <c r="IM216" s="145">
        <f>COUNTA(SurveyDATA!#REF!)</f>
        <v>1</v>
      </c>
      <c r="IN216" s="145">
        <f>COUNTA(SurveyDATA!#REF!)</f>
        <v>1</v>
      </c>
      <c r="IO216" s="145">
        <f>COUNTA(SurveyDATA!#REF!)</f>
        <v>1</v>
      </c>
      <c r="IP216" s="145">
        <f>COUNTA(SurveyDATA!#REF!)</f>
        <v>1</v>
      </c>
      <c r="IQ216" s="145">
        <f>COUNTA(SurveyDATA!#REF!)</f>
        <v>1</v>
      </c>
      <c r="IR216" s="145">
        <f>COUNTA(SurveyDATA!#REF!)</f>
        <v>1</v>
      </c>
      <c r="IS216" s="145">
        <f>COUNTA(SurveyDATA!#REF!)</f>
        <v>1</v>
      </c>
      <c r="IT216" s="145">
        <f>COUNTA(SurveyDATA!#REF!)</f>
        <v>1</v>
      </c>
      <c r="IU216" s="145">
        <f>COUNTA(SurveyDATA!#REF!)</f>
        <v>1</v>
      </c>
      <c r="IV216" s="145">
        <f>COUNTA(SurveyDATA!#REF!)</f>
        <v>1</v>
      </c>
    </row>
    <row r="217" spans="2:256" s="411" customFormat="1" ht="14.25" customHeight="1" thickTop="1" thickBot="1">
      <c r="C217" s="413" t="s">
        <v>4295</v>
      </c>
      <c r="D217" s="388"/>
      <c r="E217" s="194" t="e">
        <f>E216-#REF!</f>
        <v>#REF!</v>
      </c>
      <c r="F217" s="149"/>
      <c r="G217" s="149"/>
      <c r="H217" s="149"/>
      <c r="I217" s="389"/>
      <c r="J217" s="388" t="str">
        <f t="shared" ref="J217:J236" ca="1" si="8">IF(F217="Head",CELL("contents",D217),"")</f>
        <v/>
      </c>
      <c r="K217" s="149"/>
      <c r="L217" s="149"/>
      <c r="M217" s="149"/>
      <c r="N217" s="580"/>
      <c r="O217" s="580"/>
      <c r="P217" s="149"/>
      <c r="Q217" s="390"/>
      <c r="R217" s="391"/>
      <c r="S217" s="149"/>
      <c r="T217" s="149"/>
      <c r="U217" s="392"/>
      <c r="V217" s="149"/>
      <c r="W217" s="149"/>
      <c r="X217" s="149"/>
      <c r="Y217" s="149"/>
      <c r="Z217" s="149"/>
      <c r="AA217" s="149"/>
      <c r="AB217" s="149"/>
      <c r="AC217" s="149"/>
      <c r="AD217" s="149"/>
      <c r="AE217" s="149"/>
      <c r="AF217" s="149"/>
      <c r="AG217" s="149"/>
      <c r="AH217" s="149"/>
      <c r="AI217" s="149"/>
      <c r="AJ217" s="393"/>
      <c r="AK217" s="394"/>
      <c r="AL217" s="395"/>
      <c r="AM217" s="149"/>
      <c r="AN217" s="149"/>
      <c r="AO217" s="149"/>
      <c r="AP217" s="149"/>
      <c r="AQ217" s="149"/>
      <c r="AR217" s="149"/>
      <c r="AS217" s="149"/>
      <c r="AT217" s="149"/>
      <c r="AU217" s="149"/>
      <c r="AV217" s="149"/>
      <c r="AW217" s="149"/>
      <c r="AX217" s="149"/>
      <c r="AY217" s="149"/>
      <c r="AZ217" s="149"/>
      <c r="BA217" s="149"/>
      <c r="BB217" s="149"/>
      <c r="BC217" s="149"/>
      <c r="BD217" s="396"/>
      <c r="BE217" s="396"/>
      <c r="BF217" s="149"/>
      <c r="BG217" s="149"/>
      <c r="BH217" s="149"/>
      <c r="BI217" s="149"/>
      <c r="BJ217" s="149"/>
      <c r="BK217" s="149"/>
      <c r="BL217" s="149"/>
      <c r="BM217" s="149"/>
      <c r="BN217" s="397"/>
      <c r="BO217" s="394"/>
      <c r="BP217" s="398"/>
      <c r="BQ217" s="149"/>
      <c r="BR217" s="149"/>
      <c r="BS217" s="149"/>
      <c r="BT217" s="149"/>
      <c r="BU217" s="149"/>
      <c r="BV217" s="396"/>
      <c r="BW217" s="149"/>
      <c r="BX217" s="396"/>
      <c r="BY217" s="149"/>
      <c r="BZ217" s="149"/>
      <c r="CA217" s="149"/>
      <c r="CB217" s="149"/>
      <c r="CC217" s="396"/>
      <c r="CD217" s="399"/>
      <c r="CE217" s="400"/>
      <c r="CF217" s="149"/>
      <c r="CG217" s="149"/>
      <c r="CH217" s="149"/>
      <c r="CI217" s="149"/>
      <c r="CJ217" s="149"/>
      <c r="CK217" s="149"/>
      <c r="CL217" s="149"/>
      <c r="CM217" s="149"/>
      <c r="CN217" s="149"/>
      <c r="CO217" s="149"/>
      <c r="CP217" s="396"/>
      <c r="CQ217" s="149"/>
      <c r="CR217" s="149"/>
      <c r="CS217" s="401"/>
      <c r="CT217" s="149"/>
      <c r="CU217" s="149"/>
      <c r="CV217" s="149"/>
      <c r="CW217" s="149"/>
      <c r="CX217" s="149"/>
      <c r="CY217" s="402"/>
      <c r="CZ217" s="149"/>
      <c r="DA217" s="149"/>
      <c r="DB217" s="149"/>
      <c r="DC217" s="403"/>
      <c r="DD217" s="149"/>
      <c r="DE217" s="149"/>
      <c r="DF217" s="149"/>
      <c r="DG217" s="149"/>
      <c r="DH217" s="149"/>
      <c r="DI217" s="149"/>
      <c r="DJ217" s="149"/>
      <c r="DK217" s="149"/>
      <c r="DL217" s="404"/>
      <c r="DM217" s="149"/>
      <c r="DN217" s="149"/>
      <c r="DO217" s="149"/>
      <c r="DP217" s="149"/>
      <c r="DQ217" s="405"/>
      <c r="DR217" s="149"/>
      <c r="DS217" s="149"/>
      <c r="DT217" s="149"/>
      <c r="DU217" s="402"/>
      <c r="DV217" s="402"/>
      <c r="DW217" s="406"/>
      <c r="DX217" s="149"/>
      <c r="DY217" s="149"/>
      <c r="DZ217" s="149"/>
      <c r="EA217" s="149"/>
      <c r="EB217" s="149"/>
      <c r="EC217" s="149"/>
      <c r="ED217" s="149"/>
      <c r="EE217" s="149"/>
      <c r="EF217" s="149"/>
      <c r="EG217" s="149"/>
      <c r="EH217" s="149"/>
      <c r="EI217" s="149"/>
      <c r="EJ217" s="149"/>
      <c r="EK217" s="149"/>
      <c r="EL217" s="149"/>
      <c r="EM217" s="149"/>
      <c r="EN217" s="388"/>
      <c r="EO217" s="149"/>
      <c r="EP217" s="149"/>
      <c r="EQ217" s="149"/>
      <c r="ER217" s="149"/>
      <c r="ES217" s="149"/>
      <c r="ET217" s="396"/>
      <c r="EU217" s="149"/>
      <c r="EV217" s="149"/>
      <c r="EW217" s="149"/>
      <c r="EX217" s="149"/>
      <c r="EY217" s="149"/>
      <c r="EZ217" s="149"/>
      <c r="FA217" s="149"/>
      <c r="FB217" s="149"/>
      <c r="FC217" s="396"/>
      <c r="FD217" s="396"/>
      <c r="FE217" s="396"/>
      <c r="FF217" s="149"/>
      <c r="FG217" s="149"/>
      <c r="FH217" s="149"/>
      <c r="FI217" s="149"/>
      <c r="FJ217" s="149"/>
      <c r="FK217" s="149"/>
      <c r="FL217" s="149"/>
      <c r="FM217" s="149"/>
      <c r="FN217" s="149"/>
      <c r="FO217" s="149"/>
      <c r="FP217" s="149"/>
      <c r="FQ217" s="149"/>
      <c r="FR217" s="149"/>
      <c r="FS217" s="407"/>
      <c r="FT217" s="391"/>
      <c r="FU217" s="149"/>
      <c r="FV217" s="396"/>
      <c r="FW217" s="396"/>
      <c r="FX217" s="149"/>
      <c r="FY217" s="149"/>
      <c r="FZ217" s="149"/>
      <c r="GA217" s="149"/>
      <c r="GB217" s="149"/>
      <c r="GC217" s="149"/>
      <c r="GD217" s="408"/>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49"/>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390"/>
      <c r="IF217" s="149"/>
      <c r="IG217" s="149"/>
      <c r="IH217" s="149"/>
      <c r="II217" s="149"/>
      <c r="IJ217" s="149"/>
      <c r="IK217" s="149"/>
      <c r="IL217" s="149"/>
      <c r="IM217" s="149"/>
      <c r="IN217" s="149"/>
      <c r="IO217" s="149"/>
      <c r="IP217" s="149"/>
      <c r="IQ217" s="149"/>
      <c r="IR217" s="149"/>
      <c r="IS217" s="149"/>
      <c r="IT217" s="396"/>
      <c r="IU217" s="149"/>
      <c r="IV217" s="149"/>
    </row>
    <row r="218" spans="2:256" s="411" customFormat="1" ht="13.5" customHeight="1" thickTop="1">
      <c r="C218" s="151"/>
      <c r="D218" s="388"/>
      <c r="E218" s="150" t="s">
        <v>5417</v>
      </c>
      <c r="F218" s="149"/>
      <c r="G218" s="149"/>
      <c r="H218" s="149"/>
      <c r="I218" s="389"/>
      <c r="J218" s="388" t="str">
        <f t="shared" ca="1" si="8"/>
        <v/>
      </c>
      <c r="K218" s="149"/>
      <c r="L218" s="149"/>
      <c r="M218" s="149"/>
      <c r="N218" s="580"/>
      <c r="O218" s="580"/>
      <c r="P218" s="149"/>
      <c r="Q218" s="390"/>
      <c r="R218" s="391"/>
      <c r="S218" s="149"/>
      <c r="T218" s="149"/>
      <c r="U218" s="392"/>
      <c r="V218" s="149"/>
      <c r="W218" s="149"/>
      <c r="X218" s="149"/>
      <c r="Y218" s="149"/>
      <c r="Z218" s="149"/>
      <c r="AA218" s="149"/>
      <c r="AB218" s="149"/>
      <c r="AC218" s="149"/>
      <c r="AD218" s="149"/>
      <c r="AE218" s="149"/>
      <c r="AF218" s="149"/>
      <c r="AG218" s="149"/>
      <c r="AH218" s="149"/>
      <c r="AI218" s="149"/>
      <c r="AJ218" s="393"/>
      <c r="AK218" s="394"/>
      <c r="AL218" s="395"/>
      <c r="AM218" s="149"/>
      <c r="AN218" s="149"/>
      <c r="AO218" s="149"/>
      <c r="AP218" s="149"/>
      <c r="AQ218" s="149"/>
      <c r="AR218" s="149"/>
      <c r="AS218" s="149"/>
      <c r="AT218" s="149"/>
      <c r="AU218" s="149"/>
      <c r="AV218" s="149"/>
      <c r="AW218" s="149"/>
      <c r="AX218" s="149"/>
      <c r="AY218" s="149"/>
      <c r="AZ218" s="149"/>
      <c r="BA218" s="149"/>
      <c r="BB218" s="149"/>
      <c r="BC218" s="149"/>
      <c r="BD218" s="396"/>
      <c r="BE218" s="396"/>
      <c r="BF218" s="149"/>
      <c r="BG218" s="149"/>
      <c r="BH218" s="149"/>
      <c r="BI218" s="149"/>
      <c r="BJ218" s="149"/>
      <c r="BK218" s="149"/>
      <c r="BL218" s="149"/>
      <c r="BM218" s="149"/>
      <c r="BN218" s="397"/>
      <c r="BO218" s="394"/>
      <c r="BP218" s="398"/>
      <c r="BQ218" s="149"/>
      <c r="BR218" s="149"/>
      <c r="BS218" s="149"/>
      <c r="BT218" s="149"/>
      <c r="BU218" s="149"/>
      <c r="BV218" s="396"/>
      <c r="BW218" s="149"/>
      <c r="BX218" s="396"/>
      <c r="BY218" s="149"/>
      <c r="BZ218" s="149"/>
      <c r="CA218" s="149"/>
      <c r="CB218" s="149"/>
      <c r="CC218" s="396"/>
      <c r="CD218" s="399"/>
      <c r="CE218" s="400"/>
      <c r="CF218" s="149"/>
      <c r="CG218" s="149"/>
      <c r="CH218" s="149"/>
      <c r="CI218" s="149"/>
      <c r="CJ218" s="149"/>
      <c r="CK218" s="149"/>
      <c r="CL218" s="149"/>
      <c r="CM218" s="149"/>
      <c r="CN218" s="149"/>
      <c r="CO218" s="149"/>
      <c r="CP218" s="396"/>
      <c r="CQ218" s="149"/>
      <c r="CR218" s="149"/>
      <c r="CS218" s="401"/>
      <c r="CT218" s="149"/>
      <c r="CU218" s="149"/>
      <c r="CV218" s="149"/>
      <c r="CW218" s="149"/>
      <c r="CX218" s="149"/>
      <c r="CY218" s="402"/>
      <c r="CZ218" s="149"/>
      <c r="DA218" s="149"/>
      <c r="DB218" s="149"/>
      <c r="DC218" s="403"/>
      <c r="DD218" s="149"/>
      <c r="DE218" s="149"/>
      <c r="DF218" s="149"/>
      <c r="DG218" s="149"/>
      <c r="DH218" s="149"/>
      <c r="DI218" s="149"/>
      <c r="DJ218" s="149"/>
      <c r="DK218" s="149"/>
      <c r="DL218" s="404"/>
      <c r="DM218" s="149"/>
      <c r="DN218" s="149"/>
      <c r="DO218" s="149"/>
      <c r="DP218" s="149"/>
      <c r="DQ218" s="405"/>
      <c r="DR218" s="149"/>
      <c r="DS218" s="149"/>
      <c r="DT218" s="149"/>
      <c r="DU218" s="402"/>
      <c r="DV218" s="402"/>
      <c r="DW218" s="406"/>
      <c r="DX218" s="149"/>
      <c r="DY218" s="149"/>
      <c r="DZ218" s="149"/>
      <c r="EA218" s="149"/>
      <c r="EB218" s="149"/>
      <c r="EC218" s="149"/>
      <c r="ED218" s="149"/>
      <c r="EE218" s="149"/>
      <c r="EF218" s="149"/>
      <c r="EG218" s="149"/>
      <c r="EH218" s="149"/>
      <c r="EI218" s="149"/>
      <c r="EJ218" s="149"/>
      <c r="EK218" s="149"/>
      <c r="EL218" s="149"/>
      <c r="EM218" s="149"/>
      <c r="EN218" s="388"/>
      <c r="EO218" s="149"/>
      <c r="EP218" s="149"/>
      <c r="EQ218" s="149"/>
      <c r="ER218" s="149"/>
      <c r="ES218" s="149"/>
      <c r="ET218" s="396"/>
      <c r="EU218" s="149"/>
      <c r="EV218" s="149"/>
      <c r="EW218" s="149"/>
      <c r="EX218" s="149"/>
      <c r="EY218" s="149"/>
      <c r="EZ218" s="149"/>
      <c r="FA218" s="149"/>
      <c r="FB218" s="149"/>
      <c r="FC218" s="396"/>
      <c r="FD218" s="396"/>
      <c r="FE218" s="396"/>
      <c r="FF218" s="149"/>
      <c r="FG218" s="149"/>
      <c r="FH218" s="149"/>
      <c r="FI218" s="149"/>
      <c r="FJ218" s="149"/>
      <c r="FK218" s="149"/>
      <c r="FL218" s="149"/>
      <c r="FM218" s="149"/>
      <c r="FN218" s="149"/>
      <c r="FO218" s="149"/>
      <c r="FP218" s="149"/>
      <c r="FQ218" s="149"/>
      <c r="FR218" s="149"/>
      <c r="FS218" s="407"/>
      <c r="FT218" s="391"/>
      <c r="FU218" s="149"/>
      <c r="FV218" s="396"/>
      <c r="FW218" s="396"/>
      <c r="FX218" s="149"/>
      <c r="FY218" s="149"/>
      <c r="FZ218" s="149"/>
      <c r="GA218" s="149"/>
      <c r="GB218" s="149"/>
      <c r="GC218" s="149"/>
      <c r="GD218" s="408"/>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49"/>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390"/>
      <c r="IF218" s="149"/>
      <c r="IG218" s="149"/>
      <c r="IH218" s="149"/>
      <c r="II218" s="149"/>
      <c r="IJ218" s="149"/>
      <c r="IK218" s="149"/>
      <c r="IL218" s="149"/>
      <c r="IM218" s="149"/>
      <c r="IN218" s="149"/>
      <c r="IO218" s="149"/>
      <c r="IP218" s="149"/>
      <c r="IQ218" s="149"/>
      <c r="IR218" s="149"/>
      <c r="IS218" s="149"/>
      <c r="IT218" s="396"/>
      <c r="IU218" s="149"/>
      <c r="IV218" s="149"/>
    </row>
    <row r="219" spans="2:256" s="411" customFormat="1" ht="12.75" customHeight="1">
      <c r="C219" s="151" t="s">
        <v>1101</v>
      </c>
      <c r="D219" s="388"/>
      <c r="E219" s="149"/>
      <c r="F219" s="149"/>
      <c r="G219" s="149"/>
      <c r="H219" s="149"/>
      <c r="I219" s="389"/>
      <c r="J219" s="388" t="str">
        <f t="shared" ca="1" si="8"/>
        <v/>
      </c>
      <c r="K219" s="149"/>
      <c r="L219" s="149"/>
      <c r="M219" s="149"/>
      <c r="N219" s="580"/>
      <c r="O219" s="580"/>
      <c r="P219" s="149"/>
      <c r="Q219" s="390"/>
      <c r="R219" s="391"/>
      <c r="S219" s="149"/>
      <c r="T219" s="149"/>
      <c r="U219" s="392"/>
      <c r="V219" s="149"/>
      <c r="W219" s="149"/>
      <c r="X219" s="149"/>
      <c r="Y219" s="149"/>
      <c r="Z219" s="149"/>
      <c r="AA219" s="149"/>
      <c r="AB219" s="149"/>
      <c r="AC219" s="149"/>
      <c r="AD219" s="149"/>
      <c r="AE219" s="149"/>
      <c r="AF219" s="149"/>
      <c r="AG219" s="149"/>
      <c r="AH219" s="149"/>
      <c r="AI219" s="149"/>
      <c r="AJ219" s="393"/>
      <c r="AK219" s="394"/>
      <c r="AL219" s="395"/>
      <c r="AM219" s="149"/>
      <c r="AN219" s="149"/>
      <c r="AO219" s="149"/>
      <c r="AP219" s="149"/>
      <c r="AQ219" s="149"/>
      <c r="AR219" s="149"/>
      <c r="AS219" s="149"/>
      <c r="AT219" s="149"/>
      <c r="AU219" s="149"/>
      <c r="AV219" s="149"/>
      <c r="AW219" s="149"/>
      <c r="AX219" s="149"/>
      <c r="AY219" s="149"/>
      <c r="AZ219" s="149"/>
      <c r="BA219" s="149"/>
      <c r="BB219" s="149"/>
      <c r="BC219" s="149"/>
      <c r="BD219" s="396"/>
      <c r="BE219" s="396"/>
      <c r="BF219" s="149"/>
      <c r="BG219" s="149"/>
      <c r="BH219" s="149"/>
      <c r="BI219" s="149"/>
      <c r="BJ219" s="149"/>
      <c r="BK219" s="149"/>
      <c r="BL219" s="149"/>
      <c r="BM219" s="149"/>
      <c r="BN219" s="397"/>
      <c r="BO219" s="394"/>
      <c r="BP219" s="398"/>
      <c r="BQ219" s="149"/>
      <c r="BR219" s="149"/>
      <c r="BS219" s="149"/>
      <c r="BT219" s="149"/>
      <c r="BU219" s="149"/>
      <c r="BV219" s="396"/>
      <c r="BW219" s="149"/>
      <c r="BX219" s="396"/>
      <c r="BY219" s="149"/>
      <c r="BZ219" s="149"/>
      <c r="CA219" s="149"/>
      <c r="CB219" s="149"/>
      <c r="CC219" s="396"/>
      <c r="CD219" s="399"/>
      <c r="CE219" s="400"/>
      <c r="CF219" s="149"/>
      <c r="CG219" s="149"/>
      <c r="CH219" s="149"/>
      <c r="CI219" s="149"/>
      <c r="CJ219" s="149"/>
      <c r="CK219" s="149"/>
      <c r="CL219" s="149"/>
      <c r="CM219" s="149"/>
      <c r="CN219" s="149"/>
      <c r="CO219" s="149"/>
      <c r="CP219" s="396"/>
      <c r="CQ219" s="149"/>
      <c r="CR219" s="149"/>
      <c r="CS219" s="401"/>
      <c r="CT219" s="149"/>
      <c r="CU219" s="149"/>
      <c r="CV219" s="149"/>
      <c r="CW219" s="149"/>
      <c r="CX219" s="149"/>
      <c r="CY219" s="402"/>
      <c r="CZ219" s="149"/>
      <c r="DA219" s="149"/>
      <c r="DB219" s="149"/>
      <c r="DC219" s="403"/>
      <c r="DD219" s="149"/>
      <c r="DE219" s="149"/>
      <c r="DF219" s="149"/>
      <c r="DG219" s="149"/>
      <c r="DH219" s="149"/>
      <c r="DI219" s="149"/>
      <c r="DJ219" s="149"/>
      <c r="DK219" s="149"/>
      <c r="DL219" s="404"/>
      <c r="DM219" s="149"/>
      <c r="DN219" s="149"/>
      <c r="DO219" s="149"/>
      <c r="DP219" s="149"/>
      <c r="DQ219" s="405"/>
      <c r="DR219" s="149"/>
      <c r="DS219" s="149"/>
      <c r="DT219" s="149"/>
      <c r="DU219" s="402"/>
      <c r="DV219" s="402"/>
      <c r="DW219" s="406"/>
      <c r="DX219" s="149"/>
      <c r="DY219" s="149"/>
      <c r="DZ219" s="149"/>
      <c r="EA219" s="149"/>
      <c r="EB219" s="149"/>
      <c r="EC219" s="149"/>
      <c r="ED219" s="149"/>
      <c r="EE219" s="149"/>
      <c r="EF219" s="149"/>
      <c r="EG219" s="149"/>
      <c r="EH219" s="149"/>
      <c r="EI219" s="149"/>
      <c r="EJ219" s="149"/>
      <c r="EK219" s="149"/>
      <c r="EL219" s="149"/>
      <c r="EM219" s="149"/>
      <c r="EN219" s="388"/>
      <c r="EO219" s="149"/>
      <c r="EP219" s="149"/>
      <c r="EQ219" s="149"/>
      <c r="ER219" s="149"/>
      <c r="ES219" s="149"/>
      <c r="ET219" s="396"/>
      <c r="EU219" s="149"/>
      <c r="EV219" s="149"/>
      <c r="EW219" s="149"/>
      <c r="EX219" s="149"/>
      <c r="EY219" s="149"/>
      <c r="EZ219" s="149"/>
      <c r="FA219" s="149"/>
      <c r="FB219" s="149"/>
      <c r="FC219" s="396"/>
      <c r="FD219" s="396"/>
      <c r="FE219" s="396"/>
      <c r="FF219" s="149"/>
      <c r="FG219" s="149"/>
      <c r="FH219" s="149"/>
      <c r="FI219" s="149"/>
      <c r="FJ219" s="149"/>
      <c r="FK219" s="149"/>
      <c r="FL219" s="149"/>
      <c r="FM219" s="149"/>
      <c r="FN219" s="149"/>
      <c r="FO219" s="149"/>
      <c r="FP219" s="149"/>
      <c r="FQ219" s="149"/>
      <c r="FR219" s="149"/>
      <c r="FS219" s="407"/>
      <c r="FT219" s="391"/>
      <c r="FU219" s="149"/>
      <c r="FV219" s="396"/>
      <c r="FW219" s="396"/>
      <c r="FX219" s="149"/>
      <c r="FY219" s="149"/>
      <c r="FZ219" s="149"/>
      <c r="GA219" s="149"/>
      <c r="GB219" s="149"/>
      <c r="GC219" s="149"/>
      <c r="GD219" s="408"/>
      <c r="GE219" s="149"/>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49"/>
      <c r="HE219" s="149"/>
      <c r="HF219" s="149"/>
      <c r="HG219" s="149"/>
      <c r="HH219" s="149"/>
      <c r="HI219" s="149"/>
      <c r="HJ219" s="149"/>
      <c r="HK219" s="149"/>
      <c r="HL219" s="149"/>
      <c r="HM219" s="149"/>
      <c r="HN219" s="149"/>
      <c r="HO219" s="149"/>
      <c r="HP219" s="149"/>
      <c r="HQ219" s="149"/>
      <c r="HR219" s="149"/>
      <c r="HS219" s="149"/>
      <c r="HT219" s="149"/>
      <c r="HU219" s="149"/>
      <c r="HV219" s="149"/>
      <c r="HW219" s="149"/>
      <c r="HX219" s="149"/>
      <c r="HY219" s="149"/>
      <c r="HZ219" s="149"/>
      <c r="IA219" s="149"/>
      <c r="IB219" s="149"/>
      <c r="IC219" s="149"/>
      <c r="ID219" s="149"/>
      <c r="IE219" s="390"/>
      <c r="IF219" s="149"/>
      <c r="IG219" s="149"/>
      <c r="IH219" s="149"/>
      <c r="II219" s="149"/>
      <c r="IJ219" s="149"/>
      <c r="IK219" s="149"/>
      <c r="IL219" s="149"/>
      <c r="IM219" s="149"/>
      <c r="IN219" s="149"/>
      <c r="IO219" s="149"/>
      <c r="IP219" s="149"/>
      <c r="IQ219" s="149"/>
      <c r="IR219" s="149"/>
      <c r="IS219" s="149"/>
      <c r="IT219" s="396"/>
      <c r="IU219" s="149"/>
      <c r="IV219" s="149"/>
    </row>
    <row r="220" spans="2:256" s="411" customFormat="1" ht="12.75" customHeight="1">
      <c r="C220" s="151" t="s">
        <v>4296</v>
      </c>
      <c r="D220" s="388"/>
      <c r="E220" s="317" t="s">
        <v>5589</v>
      </c>
      <c r="F220" s="317">
        <f>COUNTIF(SurveyDATA!BN660:BN831,"Structure Owner")</f>
        <v>93</v>
      </c>
      <c r="G220" s="149"/>
      <c r="H220" s="149"/>
      <c r="I220" s="389"/>
      <c r="J220" s="388" t="str">
        <f t="shared" ca="1" si="8"/>
        <v/>
      </c>
      <c r="K220" s="149"/>
      <c r="L220" s="149"/>
      <c r="M220" s="149"/>
      <c r="N220" s="580"/>
      <c r="O220" s="580"/>
      <c r="P220" s="149"/>
      <c r="Q220" s="390"/>
      <c r="R220" s="391"/>
      <c r="S220" s="149"/>
      <c r="T220" s="149"/>
      <c r="U220" s="392"/>
      <c r="V220" s="149"/>
      <c r="W220" s="149"/>
      <c r="X220" s="149"/>
      <c r="Y220" s="149"/>
      <c r="Z220" s="149"/>
      <c r="AA220" s="149"/>
      <c r="AB220" s="149"/>
      <c r="AC220" s="149"/>
      <c r="AD220" s="149"/>
      <c r="AE220" s="149"/>
      <c r="AF220" s="149"/>
      <c r="AG220" s="149"/>
      <c r="AH220" s="149"/>
      <c r="AI220" s="149"/>
      <c r="AJ220" s="393"/>
      <c r="AK220" s="394"/>
      <c r="AL220" s="395"/>
      <c r="AM220" s="149"/>
      <c r="AN220" s="149"/>
      <c r="AO220" s="149"/>
      <c r="AP220" s="149"/>
      <c r="AQ220" s="149"/>
      <c r="AR220" s="149"/>
      <c r="AS220" s="149"/>
      <c r="AT220" s="149"/>
      <c r="AU220" s="149"/>
      <c r="AV220" s="149"/>
      <c r="AW220" s="149"/>
      <c r="AX220" s="149"/>
      <c r="AY220" s="149"/>
      <c r="AZ220" s="149"/>
      <c r="BA220" s="149"/>
      <c r="BB220" s="149"/>
      <c r="BC220" s="149"/>
      <c r="BD220" s="396"/>
      <c r="BE220" s="396"/>
      <c r="BF220" s="149"/>
      <c r="BG220" s="149"/>
      <c r="BH220" s="149"/>
      <c r="BI220" s="149"/>
      <c r="BJ220" s="149"/>
      <c r="BK220" s="149"/>
      <c r="BL220" s="149"/>
      <c r="BM220" s="149"/>
      <c r="BN220" s="397"/>
      <c r="BO220" s="394"/>
      <c r="BP220" s="398"/>
      <c r="BQ220" s="149"/>
      <c r="BR220" s="149"/>
      <c r="BS220" s="149"/>
      <c r="BT220" s="149"/>
      <c r="BU220" s="149"/>
      <c r="BV220" s="396"/>
      <c r="BW220" s="149"/>
      <c r="BX220" s="396"/>
      <c r="BY220" s="149"/>
      <c r="BZ220" s="149"/>
      <c r="CA220" s="149"/>
      <c r="CB220" s="149"/>
      <c r="CC220" s="396"/>
      <c r="CD220" s="399"/>
      <c r="CE220" s="400"/>
      <c r="CF220" s="149"/>
      <c r="CG220" s="149"/>
      <c r="CH220" s="149"/>
      <c r="CI220" s="149"/>
      <c r="CJ220" s="149"/>
      <c r="CK220" s="149"/>
      <c r="CL220" s="149"/>
      <c r="CM220" s="149"/>
      <c r="CN220" s="149"/>
      <c r="CO220" s="149"/>
      <c r="CP220" s="396"/>
      <c r="CQ220" s="149"/>
      <c r="CR220" s="149"/>
      <c r="CS220" s="401"/>
      <c r="CT220" s="149"/>
      <c r="CU220" s="149"/>
      <c r="CV220" s="149"/>
      <c r="CW220" s="149"/>
      <c r="CX220" s="149"/>
      <c r="CY220" s="402"/>
      <c r="CZ220" s="149"/>
      <c r="DA220" s="149"/>
      <c r="DB220" s="149"/>
      <c r="DC220" s="403"/>
      <c r="DD220" s="149"/>
      <c r="DE220" s="149"/>
      <c r="DF220" s="149"/>
      <c r="DG220" s="149"/>
      <c r="DH220" s="149"/>
      <c r="DI220" s="149"/>
      <c r="DJ220" s="149"/>
      <c r="DK220" s="149"/>
      <c r="DL220" s="404"/>
      <c r="DM220" s="149"/>
      <c r="DN220" s="149"/>
      <c r="DO220" s="149"/>
      <c r="DP220" s="149"/>
      <c r="DQ220" s="405"/>
      <c r="DR220" s="149"/>
      <c r="DS220" s="149"/>
      <c r="DT220" s="149"/>
      <c r="DU220" s="402"/>
      <c r="DV220" s="402"/>
      <c r="DW220" s="406"/>
      <c r="DX220" s="149"/>
      <c r="DY220" s="149"/>
      <c r="DZ220" s="149"/>
      <c r="EA220" s="149"/>
      <c r="EB220" s="149"/>
      <c r="EC220" s="149"/>
      <c r="ED220" s="149"/>
      <c r="EE220" s="149"/>
      <c r="EF220" s="149"/>
      <c r="EG220" s="149"/>
      <c r="EH220" s="149"/>
      <c r="EI220" s="149"/>
      <c r="EJ220" s="149"/>
      <c r="EK220" s="149"/>
      <c r="EL220" s="149"/>
      <c r="EM220" s="149"/>
      <c r="EN220" s="388"/>
      <c r="EO220" s="149"/>
      <c r="EP220" s="149"/>
      <c r="EQ220" s="149"/>
      <c r="ER220" s="149"/>
      <c r="ES220" s="149"/>
      <c r="ET220" s="396"/>
      <c r="EU220" s="149"/>
      <c r="EV220" s="149"/>
      <c r="EW220" s="149"/>
      <c r="EX220" s="149"/>
      <c r="EY220" s="149"/>
      <c r="EZ220" s="149"/>
      <c r="FA220" s="149"/>
      <c r="FB220" s="149"/>
      <c r="FC220" s="396"/>
      <c r="FD220" s="396"/>
      <c r="FE220" s="396"/>
      <c r="FF220" s="149"/>
      <c r="FG220" s="149"/>
      <c r="FH220" s="149"/>
      <c r="FI220" s="149"/>
      <c r="FJ220" s="149"/>
      <c r="FK220" s="149"/>
      <c r="FL220" s="149"/>
      <c r="FM220" s="149"/>
      <c r="FN220" s="149"/>
      <c r="FO220" s="149"/>
      <c r="FP220" s="149"/>
      <c r="FQ220" s="149"/>
      <c r="FR220" s="149"/>
      <c r="FS220" s="407"/>
      <c r="FT220" s="391"/>
      <c r="FU220" s="149"/>
      <c r="FV220" s="396"/>
      <c r="FW220" s="396"/>
      <c r="FX220" s="149"/>
      <c r="FY220" s="149"/>
      <c r="FZ220" s="149"/>
      <c r="GA220" s="149"/>
      <c r="GB220" s="149"/>
      <c r="GC220" s="149"/>
      <c r="GD220" s="408"/>
      <c r="GE220" s="149"/>
      <c r="GF220" s="149"/>
      <c r="GG220" s="149"/>
      <c r="GH220" s="149"/>
      <c r="GI220" s="149"/>
      <c r="GJ220" s="149"/>
      <c r="GK220" s="149"/>
      <c r="GL220" s="149"/>
      <c r="GM220" s="149"/>
      <c r="GN220" s="149"/>
      <c r="GO220" s="149"/>
      <c r="GP220" s="149"/>
      <c r="GQ220" s="149"/>
      <c r="GR220" s="149"/>
      <c r="GS220" s="149"/>
      <c r="GT220" s="149"/>
      <c r="GU220" s="149"/>
      <c r="GV220" s="149"/>
      <c r="GW220" s="149"/>
      <c r="GX220" s="149"/>
      <c r="GY220" s="149"/>
      <c r="GZ220" s="149"/>
      <c r="HA220" s="149"/>
      <c r="HB220" s="149"/>
      <c r="HC220" s="149"/>
      <c r="HD220" s="149"/>
      <c r="HE220" s="149"/>
      <c r="HF220" s="149"/>
      <c r="HG220" s="149"/>
      <c r="HH220" s="149"/>
      <c r="HI220" s="149"/>
      <c r="HJ220" s="149"/>
      <c r="HK220" s="149"/>
      <c r="HL220" s="149"/>
      <c r="HM220" s="149"/>
      <c r="HN220" s="149"/>
      <c r="HO220" s="149"/>
      <c r="HP220" s="149"/>
      <c r="HQ220" s="149"/>
      <c r="HR220" s="149"/>
      <c r="HS220" s="149"/>
      <c r="HT220" s="149"/>
      <c r="HU220" s="149"/>
      <c r="HV220" s="149"/>
      <c r="HW220" s="149"/>
      <c r="HX220" s="149"/>
      <c r="HY220" s="149"/>
      <c r="HZ220" s="149"/>
      <c r="IA220" s="149"/>
      <c r="IB220" s="149"/>
      <c r="IC220" s="149"/>
      <c r="ID220" s="149"/>
      <c r="IE220" s="390"/>
      <c r="IF220" s="149"/>
      <c r="IG220" s="149"/>
      <c r="IH220" s="149"/>
      <c r="II220" s="149"/>
      <c r="IJ220" s="149"/>
      <c r="IK220" s="149"/>
      <c r="IL220" s="149"/>
      <c r="IM220" s="149"/>
      <c r="IN220" s="149"/>
      <c r="IO220" s="149"/>
      <c r="IP220" s="149"/>
      <c r="IQ220" s="149"/>
      <c r="IR220" s="149"/>
      <c r="IS220" s="149"/>
      <c r="IT220" s="396"/>
      <c r="IU220" s="149"/>
      <c r="IV220" s="149"/>
    </row>
    <row r="221" spans="2:256" s="411" customFormat="1" ht="12.75" customHeight="1">
      <c r="C221" s="151" t="s">
        <v>4301</v>
      </c>
      <c r="D221" s="388"/>
      <c r="E221" s="319" t="s">
        <v>1101</v>
      </c>
      <c r="F221" s="49">
        <f>COUNTIFS(SurveyDATA!AS660:AS831,"",SurveyDATA!BN660:BN831,"Structure Owner")</f>
        <v>77</v>
      </c>
      <c r="G221" s="149"/>
      <c r="H221" s="149"/>
      <c r="I221" s="389"/>
      <c r="J221" s="388" t="str">
        <f t="shared" ca="1" si="8"/>
        <v/>
      </c>
      <c r="K221" s="149"/>
      <c r="L221" s="149"/>
      <c r="M221" s="149"/>
      <c r="N221" s="580"/>
      <c r="O221" s="580"/>
      <c r="P221" s="149"/>
      <c r="Q221" s="390"/>
      <c r="R221" s="391"/>
      <c r="S221" s="149"/>
      <c r="T221" s="149"/>
      <c r="U221" s="392"/>
      <c r="V221" s="149"/>
      <c r="W221" s="149"/>
      <c r="X221" s="149"/>
      <c r="Y221" s="149"/>
      <c r="Z221" s="149"/>
      <c r="AA221" s="149"/>
      <c r="AB221" s="149"/>
      <c r="AC221" s="149"/>
      <c r="AD221" s="149"/>
      <c r="AE221" s="149"/>
      <c r="AF221" s="149"/>
      <c r="AG221" s="149"/>
      <c r="AH221" s="149"/>
      <c r="AI221" s="149"/>
      <c r="AJ221" s="393"/>
      <c r="AK221" s="394"/>
      <c r="AL221" s="395"/>
      <c r="AM221" s="149"/>
      <c r="AN221" s="149"/>
      <c r="AO221" s="149"/>
      <c r="AP221" s="149"/>
      <c r="AQ221" s="149"/>
      <c r="AR221" s="149"/>
      <c r="AS221" s="149"/>
      <c r="AT221" s="149"/>
      <c r="AU221" s="149"/>
      <c r="AV221" s="149"/>
      <c r="AW221" s="149"/>
      <c r="AX221" s="149"/>
      <c r="AY221" s="149"/>
      <c r="AZ221" s="149"/>
      <c r="BA221" s="149"/>
      <c r="BB221" s="149"/>
      <c r="BC221" s="149"/>
      <c r="BD221" s="396"/>
      <c r="BE221" s="396"/>
      <c r="BF221" s="149"/>
      <c r="BG221" s="149"/>
      <c r="BH221" s="149"/>
      <c r="BI221" s="149"/>
      <c r="BJ221" s="149"/>
      <c r="BK221" s="149"/>
      <c r="BL221" s="149"/>
      <c r="BM221" s="149"/>
      <c r="BN221" s="397"/>
      <c r="BO221" s="394"/>
      <c r="BP221" s="398"/>
      <c r="BQ221" s="149"/>
      <c r="BR221" s="149"/>
      <c r="BS221" s="149"/>
      <c r="BT221" s="149"/>
      <c r="BU221" s="149"/>
      <c r="BV221" s="396"/>
      <c r="BW221" s="149"/>
      <c r="BX221" s="396"/>
      <c r="BY221" s="149"/>
      <c r="BZ221" s="149"/>
      <c r="CA221" s="149"/>
      <c r="CB221" s="149"/>
      <c r="CC221" s="396"/>
      <c r="CD221" s="399"/>
      <c r="CE221" s="400"/>
      <c r="CF221" s="149"/>
      <c r="CG221" s="149"/>
      <c r="CH221" s="149"/>
      <c r="CI221" s="149"/>
      <c r="CJ221" s="149"/>
      <c r="CK221" s="149"/>
      <c r="CL221" s="149"/>
      <c r="CM221" s="149"/>
      <c r="CN221" s="149"/>
      <c r="CO221" s="149"/>
      <c r="CP221" s="396"/>
      <c r="CQ221" s="149"/>
      <c r="CR221" s="149"/>
      <c r="CS221" s="401"/>
      <c r="CT221" s="149"/>
      <c r="CU221" s="149"/>
      <c r="CV221" s="149"/>
      <c r="CW221" s="149"/>
      <c r="CX221" s="149"/>
      <c r="CY221" s="402"/>
      <c r="CZ221" s="149"/>
      <c r="DA221" s="149"/>
      <c r="DB221" s="149"/>
      <c r="DC221" s="403"/>
      <c r="DD221" s="149"/>
      <c r="DE221" s="149"/>
      <c r="DF221" s="149"/>
      <c r="DG221" s="149"/>
      <c r="DH221" s="149"/>
      <c r="DI221" s="149"/>
      <c r="DJ221" s="149"/>
      <c r="DK221" s="149"/>
      <c r="DL221" s="404"/>
      <c r="DM221" s="149"/>
      <c r="DN221" s="149"/>
      <c r="DO221" s="149"/>
      <c r="DP221" s="149"/>
      <c r="DQ221" s="405"/>
      <c r="DR221" s="149"/>
      <c r="DS221" s="149"/>
      <c r="DT221" s="149"/>
      <c r="DU221" s="402"/>
      <c r="DV221" s="402"/>
      <c r="DW221" s="406"/>
      <c r="DX221" s="149"/>
      <c r="DY221" s="149"/>
      <c r="DZ221" s="149"/>
      <c r="EA221" s="149"/>
      <c r="EB221" s="149"/>
      <c r="EC221" s="149"/>
      <c r="ED221" s="149"/>
      <c r="EE221" s="149"/>
      <c r="EF221" s="149"/>
      <c r="EG221" s="149"/>
      <c r="EH221" s="149"/>
      <c r="EI221" s="149"/>
      <c r="EJ221" s="149"/>
      <c r="EK221" s="149"/>
      <c r="EL221" s="149"/>
      <c r="EM221" s="149"/>
      <c r="EN221" s="388"/>
      <c r="EO221" s="149"/>
      <c r="EP221" s="149"/>
      <c r="EQ221" s="149"/>
      <c r="ER221" s="149"/>
      <c r="ES221" s="149"/>
      <c r="ET221" s="396"/>
      <c r="EU221" s="149"/>
      <c r="EV221" s="149"/>
      <c r="EW221" s="149"/>
      <c r="EX221" s="149"/>
      <c r="EY221" s="149"/>
      <c r="EZ221" s="149"/>
      <c r="FA221" s="149"/>
      <c r="FB221" s="149"/>
      <c r="FC221" s="396"/>
      <c r="FD221" s="396"/>
      <c r="FE221" s="396"/>
      <c r="FF221" s="149"/>
      <c r="FG221" s="149"/>
      <c r="FH221" s="149"/>
      <c r="FI221" s="149"/>
      <c r="FJ221" s="149"/>
      <c r="FK221" s="149"/>
      <c r="FL221" s="149"/>
      <c r="FM221" s="149"/>
      <c r="FN221" s="149"/>
      <c r="FO221" s="149"/>
      <c r="FP221" s="149"/>
      <c r="FQ221" s="149"/>
      <c r="FR221" s="149"/>
      <c r="FS221" s="407"/>
      <c r="FT221" s="391"/>
      <c r="FU221" s="149"/>
      <c r="FV221" s="396"/>
      <c r="FW221" s="396"/>
      <c r="FX221" s="149"/>
      <c r="FY221" s="149"/>
      <c r="FZ221" s="149"/>
      <c r="GA221" s="149"/>
      <c r="GB221" s="149"/>
      <c r="GC221" s="149"/>
      <c r="GD221" s="408"/>
      <c r="GE221" s="149"/>
      <c r="GF221" s="149"/>
      <c r="GG221" s="149"/>
      <c r="GH221" s="149"/>
      <c r="GI221" s="149"/>
      <c r="GJ221" s="149"/>
      <c r="GK221" s="149"/>
      <c r="GL221" s="149"/>
      <c r="GM221" s="149"/>
      <c r="GN221" s="149"/>
      <c r="GO221" s="149"/>
      <c r="GP221" s="149"/>
      <c r="GQ221" s="149"/>
      <c r="GR221" s="149"/>
      <c r="GS221" s="149"/>
      <c r="GT221" s="149"/>
      <c r="GU221" s="149"/>
      <c r="GV221" s="149"/>
      <c r="GW221" s="149"/>
      <c r="GX221" s="149"/>
      <c r="GY221" s="149"/>
      <c r="GZ221" s="149"/>
      <c r="HA221" s="149"/>
      <c r="HB221" s="149"/>
      <c r="HC221" s="149"/>
      <c r="HD221" s="149"/>
      <c r="HE221" s="149"/>
      <c r="HF221" s="149"/>
      <c r="HG221" s="149"/>
      <c r="HH221" s="149"/>
      <c r="HI221" s="149"/>
      <c r="HJ221" s="149"/>
      <c r="HK221" s="149"/>
      <c r="HL221" s="149"/>
      <c r="HM221" s="149"/>
      <c r="HN221" s="149"/>
      <c r="HO221" s="149"/>
      <c r="HP221" s="149"/>
      <c r="HQ221" s="149"/>
      <c r="HR221" s="149"/>
      <c r="HS221" s="149"/>
      <c r="HT221" s="149"/>
      <c r="HU221" s="149"/>
      <c r="HV221" s="149"/>
      <c r="HW221" s="149"/>
      <c r="HX221" s="149"/>
      <c r="HY221" s="149"/>
      <c r="HZ221" s="149"/>
      <c r="IA221" s="149"/>
      <c r="IB221" s="149"/>
      <c r="IC221" s="149"/>
      <c r="ID221" s="149"/>
      <c r="IE221" s="390"/>
      <c r="IF221" s="149"/>
      <c r="IG221" s="149"/>
      <c r="IH221" s="149"/>
      <c r="II221" s="149"/>
      <c r="IJ221" s="149"/>
      <c r="IK221" s="149"/>
      <c r="IL221" s="149"/>
      <c r="IM221" s="149"/>
      <c r="IN221" s="149"/>
      <c r="IO221" s="149"/>
      <c r="IP221" s="149"/>
      <c r="IQ221" s="149"/>
      <c r="IR221" s="149"/>
      <c r="IS221" s="149"/>
      <c r="IT221" s="396"/>
      <c r="IU221" s="149"/>
      <c r="IV221" s="149"/>
    </row>
    <row r="222" spans="2:256" s="411" customFormat="1" ht="12.75" customHeight="1">
      <c r="C222" s="151"/>
      <c r="D222" s="388"/>
      <c r="E222" s="319" t="s">
        <v>2209</v>
      </c>
      <c r="F222" s="154">
        <f>COUNTIFS(SurveyDATA!AS660:AS831,"Y",SurveyDATA!BN660:BN831,"Structure Owner")</f>
        <v>16</v>
      </c>
      <c r="G222" s="149"/>
      <c r="H222" s="149"/>
      <c r="I222" s="389"/>
      <c r="J222" s="388" t="str">
        <f t="shared" ca="1" si="8"/>
        <v/>
      </c>
      <c r="K222" s="149"/>
      <c r="L222" s="149"/>
      <c r="M222" s="149"/>
      <c r="N222" s="580"/>
      <c r="O222" s="580"/>
      <c r="P222" s="149"/>
      <c r="Q222" s="390"/>
      <c r="R222" s="391"/>
      <c r="S222" s="149"/>
      <c r="T222" s="149"/>
      <c r="U222" s="392"/>
      <c r="V222" s="149"/>
      <c r="W222" s="149"/>
      <c r="X222" s="149"/>
      <c r="Y222" s="149"/>
      <c r="Z222" s="149"/>
      <c r="AA222" s="149"/>
      <c r="AB222" s="149"/>
      <c r="AC222" s="149"/>
      <c r="AD222" s="149"/>
      <c r="AE222" s="149"/>
      <c r="AF222" s="149"/>
      <c r="AG222" s="149"/>
      <c r="AH222" s="149"/>
      <c r="AI222" s="149"/>
      <c r="AJ222" s="393"/>
      <c r="AK222" s="394"/>
      <c r="AL222" s="395"/>
      <c r="AM222" s="149"/>
      <c r="AN222" s="149"/>
      <c r="AO222" s="149"/>
      <c r="AP222" s="149"/>
      <c r="AQ222" s="149"/>
      <c r="AR222" s="149"/>
      <c r="AS222" s="149"/>
      <c r="AT222" s="149"/>
      <c r="AU222" s="149"/>
      <c r="AV222" s="149"/>
      <c r="AW222" s="149"/>
      <c r="AX222" s="149"/>
      <c r="AY222" s="149"/>
      <c r="AZ222" s="149"/>
      <c r="BA222" s="149"/>
      <c r="BB222" s="149"/>
      <c r="BC222" s="149"/>
      <c r="BD222" s="396"/>
      <c r="BE222" s="396"/>
      <c r="BF222" s="149"/>
      <c r="BG222" s="149"/>
      <c r="BH222" s="149"/>
      <c r="BI222" s="149"/>
      <c r="BJ222" s="149"/>
      <c r="BK222" s="149"/>
      <c r="BL222" s="149"/>
      <c r="BM222" s="149"/>
      <c r="BN222" s="397"/>
      <c r="BO222" s="394"/>
      <c r="BP222" s="398"/>
      <c r="BQ222" s="149"/>
      <c r="BR222" s="149"/>
      <c r="BS222" s="149"/>
      <c r="BT222" s="149"/>
      <c r="BU222" s="149"/>
      <c r="BV222" s="396"/>
      <c r="BW222" s="149"/>
      <c r="BX222" s="396"/>
      <c r="BY222" s="149"/>
      <c r="BZ222" s="149"/>
      <c r="CA222" s="149"/>
      <c r="CB222" s="149"/>
      <c r="CC222" s="396"/>
      <c r="CD222" s="399"/>
      <c r="CE222" s="400"/>
      <c r="CF222" s="149"/>
      <c r="CG222" s="149"/>
      <c r="CH222" s="149"/>
      <c r="CI222" s="149"/>
      <c r="CJ222" s="149"/>
      <c r="CK222" s="149"/>
      <c r="CL222" s="149"/>
      <c r="CM222" s="149"/>
      <c r="CN222" s="149"/>
      <c r="CO222" s="149"/>
      <c r="CP222" s="396"/>
      <c r="CQ222" s="149"/>
      <c r="CR222" s="149"/>
      <c r="CS222" s="401"/>
      <c r="CT222" s="149"/>
      <c r="CU222" s="149"/>
      <c r="CV222" s="149"/>
      <c r="CW222" s="149"/>
      <c r="CX222" s="149"/>
      <c r="CY222" s="402"/>
      <c r="CZ222" s="149"/>
      <c r="DA222" s="149"/>
      <c r="DB222" s="149"/>
      <c r="DC222" s="403"/>
      <c r="DD222" s="149"/>
      <c r="DE222" s="149"/>
      <c r="DF222" s="149"/>
      <c r="DG222" s="149"/>
      <c r="DH222" s="149"/>
      <c r="DI222" s="149"/>
      <c r="DJ222" s="149"/>
      <c r="DK222" s="149"/>
      <c r="DL222" s="404"/>
      <c r="DM222" s="149"/>
      <c r="DN222" s="149"/>
      <c r="DO222" s="149"/>
      <c r="DP222" s="149"/>
      <c r="DQ222" s="405"/>
      <c r="DR222" s="149"/>
      <c r="DS222" s="149"/>
      <c r="DT222" s="149"/>
      <c r="DU222" s="402"/>
      <c r="DV222" s="402"/>
      <c r="DW222" s="406"/>
      <c r="DX222" s="149"/>
      <c r="DY222" s="149"/>
      <c r="DZ222" s="149"/>
      <c r="EA222" s="149"/>
      <c r="EB222" s="149"/>
      <c r="EC222" s="149"/>
      <c r="ED222" s="149"/>
      <c r="EE222" s="149"/>
      <c r="EF222" s="149"/>
      <c r="EG222" s="149"/>
      <c r="EH222" s="149"/>
      <c r="EI222" s="149"/>
      <c r="EJ222" s="149"/>
      <c r="EK222" s="149"/>
      <c r="EL222" s="149"/>
      <c r="EM222" s="149"/>
      <c r="EN222" s="388"/>
      <c r="EO222" s="149"/>
      <c r="EP222" s="149"/>
      <c r="EQ222" s="149"/>
      <c r="ER222" s="149"/>
      <c r="ES222" s="149"/>
      <c r="ET222" s="396"/>
      <c r="EU222" s="149"/>
      <c r="EV222" s="149"/>
      <c r="EW222" s="149"/>
      <c r="EX222" s="149"/>
      <c r="EY222" s="149"/>
      <c r="EZ222" s="149"/>
      <c r="FA222" s="149"/>
      <c r="FB222" s="149"/>
      <c r="FC222" s="396"/>
      <c r="FD222" s="396"/>
      <c r="FE222" s="396"/>
      <c r="FF222" s="149"/>
      <c r="FG222" s="149"/>
      <c r="FH222" s="149"/>
      <c r="FI222" s="149"/>
      <c r="FJ222" s="149"/>
      <c r="FK222" s="149"/>
      <c r="FL222" s="149"/>
      <c r="FM222" s="149"/>
      <c r="FN222" s="149"/>
      <c r="FO222" s="149"/>
      <c r="FP222" s="149"/>
      <c r="FQ222" s="149"/>
      <c r="FR222" s="149"/>
      <c r="FS222" s="407"/>
      <c r="FT222" s="391"/>
      <c r="FU222" s="149"/>
      <c r="FV222" s="396"/>
      <c r="FW222" s="396"/>
      <c r="FX222" s="149"/>
      <c r="FY222" s="149"/>
      <c r="FZ222" s="149"/>
      <c r="GA222" s="149"/>
      <c r="GB222" s="149"/>
      <c r="GC222" s="149"/>
      <c r="GD222" s="408"/>
      <c r="GE222" s="149"/>
      <c r="GF222" s="149"/>
      <c r="GG222" s="149"/>
      <c r="GH222" s="149"/>
      <c r="GI222" s="149"/>
      <c r="GJ222" s="149"/>
      <c r="GK222" s="149"/>
      <c r="GL222" s="149"/>
      <c r="GM222" s="149"/>
      <c r="GN222" s="149"/>
      <c r="GO222" s="149"/>
      <c r="GP222" s="149"/>
      <c r="GQ222" s="149"/>
      <c r="GR222" s="149"/>
      <c r="GS222" s="149"/>
      <c r="GT222" s="149"/>
      <c r="GU222" s="149"/>
      <c r="GV222" s="149"/>
      <c r="GW222" s="149"/>
      <c r="GX222" s="149"/>
      <c r="GY222" s="149"/>
      <c r="GZ222" s="149"/>
      <c r="HA222" s="149"/>
      <c r="HB222" s="149"/>
      <c r="HC222" s="149"/>
      <c r="HD222" s="149"/>
      <c r="HE222" s="149"/>
      <c r="HF222" s="149"/>
      <c r="HG222" s="149"/>
      <c r="HH222" s="149"/>
      <c r="HI222" s="149"/>
      <c r="HJ222" s="149"/>
      <c r="HK222" s="149"/>
      <c r="HL222" s="149"/>
      <c r="HM222" s="149"/>
      <c r="HN222" s="149"/>
      <c r="HO222" s="149"/>
      <c r="HP222" s="149"/>
      <c r="HQ222" s="149"/>
      <c r="HR222" s="149"/>
      <c r="HS222" s="149"/>
      <c r="HT222" s="149"/>
      <c r="HU222" s="149"/>
      <c r="HV222" s="149"/>
      <c r="HW222" s="149"/>
      <c r="HX222" s="149"/>
      <c r="HY222" s="149"/>
      <c r="HZ222" s="149"/>
      <c r="IA222" s="149"/>
      <c r="IB222" s="149"/>
      <c r="IC222" s="149"/>
      <c r="ID222" s="149"/>
      <c r="IE222" s="390"/>
      <c r="IF222" s="149"/>
      <c r="IG222" s="149"/>
      <c r="IH222" s="149"/>
      <c r="II222" s="149"/>
      <c r="IJ222" s="149"/>
      <c r="IK222" s="149"/>
      <c r="IL222" s="149"/>
      <c r="IM222" s="149"/>
      <c r="IN222" s="149"/>
      <c r="IO222" s="149"/>
      <c r="IP222" s="149"/>
      <c r="IQ222" s="149"/>
      <c r="IR222" s="149"/>
      <c r="IS222" s="149"/>
      <c r="IT222" s="396"/>
      <c r="IU222" s="149"/>
      <c r="IV222" s="149"/>
    </row>
    <row r="223" spans="2:256" s="411" customFormat="1" ht="12.75" customHeight="1">
      <c r="C223" s="151"/>
      <c r="D223" s="388"/>
      <c r="E223" s="318" t="s">
        <v>5590</v>
      </c>
      <c r="F223" s="318">
        <f>COUNTIFS(SurveyDATA!AS660:AS831,"Y")</f>
        <v>23</v>
      </c>
      <c r="G223" s="149"/>
      <c r="H223" s="149"/>
      <c r="I223" s="389"/>
      <c r="J223" s="388" t="str">
        <f t="shared" ca="1" si="8"/>
        <v/>
      </c>
      <c r="K223" s="149"/>
      <c r="L223" s="149"/>
      <c r="M223" s="149"/>
      <c r="N223" s="580"/>
      <c r="O223" s="580"/>
      <c r="P223" s="149"/>
      <c r="Q223" s="390"/>
      <c r="R223" s="391"/>
      <c r="S223" s="149"/>
      <c r="T223" s="149"/>
      <c r="U223" s="392"/>
      <c r="V223" s="149"/>
      <c r="W223" s="149"/>
      <c r="X223" s="149"/>
      <c r="Y223" s="149"/>
      <c r="Z223" s="149"/>
      <c r="AA223" s="149"/>
      <c r="AB223" s="149"/>
      <c r="AC223" s="149"/>
      <c r="AD223" s="149"/>
      <c r="AE223" s="149"/>
      <c r="AF223" s="149"/>
      <c r="AG223" s="149"/>
      <c r="AH223" s="149"/>
      <c r="AI223" s="149"/>
      <c r="AJ223" s="393"/>
      <c r="AK223" s="394"/>
      <c r="AL223" s="395"/>
      <c r="AM223" s="149"/>
      <c r="AN223" s="149"/>
      <c r="AO223" s="149"/>
      <c r="AP223" s="149"/>
      <c r="AQ223" s="149"/>
      <c r="AR223" s="149"/>
      <c r="AS223" s="149"/>
      <c r="AT223" s="149"/>
      <c r="AU223" s="149"/>
      <c r="AV223" s="149"/>
      <c r="AW223" s="149"/>
      <c r="AX223" s="149"/>
      <c r="AY223" s="149"/>
      <c r="AZ223" s="149"/>
      <c r="BA223" s="149"/>
      <c r="BB223" s="149"/>
      <c r="BC223" s="149"/>
      <c r="BD223" s="396"/>
      <c r="BE223" s="396"/>
      <c r="BF223" s="149"/>
      <c r="BG223" s="149"/>
      <c r="BH223" s="149"/>
      <c r="BI223" s="149"/>
      <c r="BJ223" s="149"/>
      <c r="BK223" s="149"/>
      <c r="BL223" s="149"/>
      <c r="BM223" s="149"/>
      <c r="BN223" s="397"/>
      <c r="BO223" s="394"/>
      <c r="BP223" s="398"/>
      <c r="BQ223" s="149"/>
      <c r="BR223" s="149"/>
      <c r="BS223" s="149"/>
      <c r="BT223" s="149"/>
      <c r="BU223" s="149"/>
      <c r="BV223" s="396"/>
      <c r="BW223" s="149"/>
      <c r="BX223" s="396"/>
      <c r="BY223" s="149"/>
      <c r="BZ223" s="149"/>
      <c r="CA223" s="149"/>
      <c r="CB223" s="149"/>
      <c r="CC223" s="396"/>
      <c r="CD223" s="399"/>
      <c r="CE223" s="400"/>
      <c r="CF223" s="149"/>
      <c r="CG223" s="149"/>
      <c r="CH223" s="149"/>
      <c r="CI223" s="149"/>
      <c r="CJ223" s="149"/>
      <c r="CK223" s="149"/>
      <c r="CL223" s="149"/>
      <c r="CM223" s="149"/>
      <c r="CN223" s="149"/>
      <c r="CO223" s="149"/>
      <c r="CP223" s="396"/>
      <c r="CQ223" s="149"/>
      <c r="CR223" s="149"/>
      <c r="CS223" s="401"/>
      <c r="CT223" s="149"/>
      <c r="CU223" s="149"/>
      <c r="CV223" s="149"/>
      <c r="CW223" s="149"/>
      <c r="CX223" s="149"/>
      <c r="CY223" s="402"/>
      <c r="CZ223" s="149"/>
      <c r="DA223" s="149"/>
      <c r="DB223" s="149"/>
      <c r="DC223" s="403"/>
      <c r="DD223" s="149"/>
      <c r="DE223" s="149"/>
      <c r="DF223" s="149"/>
      <c r="DG223" s="149"/>
      <c r="DH223" s="149"/>
      <c r="DI223" s="149"/>
      <c r="DJ223" s="149"/>
      <c r="DK223" s="149"/>
      <c r="DL223" s="404"/>
      <c r="DM223" s="149"/>
      <c r="DN223" s="149"/>
      <c r="DO223" s="149"/>
      <c r="DP223" s="149"/>
      <c r="DQ223" s="405"/>
      <c r="DR223" s="149"/>
      <c r="DS223" s="149"/>
      <c r="DT223" s="149"/>
      <c r="DU223" s="402"/>
      <c r="DV223" s="402"/>
      <c r="DW223" s="406"/>
      <c r="DX223" s="149"/>
      <c r="DY223" s="149"/>
      <c r="DZ223" s="149"/>
      <c r="EA223" s="149"/>
      <c r="EB223" s="149"/>
      <c r="EC223" s="149"/>
      <c r="ED223" s="149"/>
      <c r="EE223" s="149"/>
      <c r="EF223" s="149"/>
      <c r="EG223" s="149"/>
      <c r="EH223" s="149"/>
      <c r="EI223" s="149"/>
      <c r="EJ223" s="149"/>
      <c r="EK223" s="149"/>
      <c r="EL223" s="149"/>
      <c r="EM223" s="149"/>
      <c r="EN223" s="388"/>
      <c r="EO223" s="149"/>
      <c r="EP223" s="149"/>
      <c r="EQ223" s="149"/>
      <c r="ER223" s="149"/>
      <c r="ES223" s="149"/>
      <c r="ET223" s="396"/>
      <c r="EU223" s="149"/>
      <c r="EV223" s="149"/>
      <c r="EW223" s="149"/>
      <c r="EX223" s="149"/>
      <c r="EY223" s="149"/>
      <c r="EZ223" s="149"/>
      <c r="FA223" s="149"/>
      <c r="FB223" s="149"/>
      <c r="FC223" s="396"/>
      <c r="FD223" s="396"/>
      <c r="FE223" s="396"/>
      <c r="FF223" s="149"/>
      <c r="FG223" s="149"/>
      <c r="FH223" s="149"/>
      <c r="FI223" s="149"/>
      <c r="FJ223" s="149"/>
      <c r="FK223" s="149"/>
      <c r="FL223" s="149"/>
      <c r="FM223" s="149"/>
      <c r="FN223" s="149"/>
      <c r="FO223" s="149"/>
      <c r="FP223" s="149"/>
      <c r="FQ223" s="149"/>
      <c r="FR223" s="149"/>
      <c r="FS223" s="407"/>
      <c r="FT223" s="391"/>
      <c r="FU223" s="149"/>
      <c r="FV223" s="396"/>
      <c r="FW223" s="396"/>
      <c r="FX223" s="149"/>
      <c r="FY223" s="149"/>
      <c r="FZ223" s="149"/>
      <c r="GA223" s="149"/>
      <c r="GB223" s="149"/>
      <c r="GC223" s="149"/>
      <c r="GD223" s="408"/>
      <c r="GE223" s="149"/>
      <c r="GF223" s="149"/>
      <c r="GG223" s="149"/>
      <c r="GH223" s="149"/>
      <c r="GI223" s="149"/>
      <c r="GJ223" s="149"/>
      <c r="GK223" s="149"/>
      <c r="GL223" s="149"/>
      <c r="GM223" s="149"/>
      <c r="GN223" s="149"/>
      <c r="GO223" s="149"/>
      <c r="GP223" s="149"/>
      <c r="GQ223" s="149"/>
      <c r="GR223" s="149"/>
      <c r="GS223" s="149"/>
      <c r="GT223" s="149"/>
      <c r="GU223" s="149"/>
      <c r="GV223" s="149"/>
      <c r="GW223" s="149"/>
      <c r="GX223" s="149"/>
      <c r="GY223" s="149"/>
      <c r="GZ223" s="149"/>
      <c r="HA223" s="149"/>
      <c r="HB223" s="149"/>
      <c r="HC223" s="149"/>
      <c r="HD223" s="149"/>
      <c r="HE223" s="149"/>
      <c r="HF223" s="149"/>
      <c r="HG223" s="149"/>
      <c r="HH223" s="149"/>
      <c r="HI223" s="149"/>
      <c r="HJ223" s="149"/>
      <c r="HK223" s="149"/>
      <c r="HL223" s="149"/>
      <c r="HM223" s="149"/>
      <c r="HN223" s="149"/>
      <c r="HO223" s="149"/>
      <c r="HP223" s="149"/>
      <c r="HQ223" s="149"/>
      <c r="HR223" s="149"/>
      <c r="HS223" s="149"/>
      <c r="HT223" s="149"/>
      <c r="HU223" s="149"/>
      <c r="HV223" s="149"/>
      <c r="HW223" s="149"/>
      <c r="HX223" s="149"/>
      <c r="HY223" s="149"/>
      <c r="HZ223" s="149"/>
      <c r="IA223" s="149"/>
      <c r="IB223" s="149"/>
      <c r="IC223" s="149"/>
      <c r="ID223" s="149"/>
      <c r="IE223" s="390"/>
      <c r="IF223" s="149"/>
      <c r="IG223" s="149"/>
      <c r="IH223" s="149"/>
      <c r="II223" s="149"/>
      <c r="IJ223" s="149"/>
      <c r="IK223" s="149"/>
      <c r="IL223" s="149"/>
      <c r="IM223" s="149"/>
      <c r="IN223" s="149"/>
      <c r="IO223" s="149"/>
      <c r="IP223" s="149"/>
      <c r="IQ223" s="149"/>
      <c r="IR223" s="149"/>
      <c r="IS223" s="149"/>
      <c r="IT223" s="396"/>
      <c r="IU223" s="149"/>
      <c r="IV223" s="149"/>
    </row>
    <row r="224" spans="2:256" s="411" customFormat="1" ht="12.75" customHeight="1">
      <c r="C224" s="151" t="s">
        <v>2209</v>
      </c>
      <c r="D224" s="388"/>
      <c r="E224" s="320"/>
      <c r="F224" s="7"/>
      <c r="G224" s="149"/>
      <c r="H224" s="149"/>
      <c r="I224" s="389"/>
      <c r="J224" s="388" t="str">
        <f t="shared" ca="1" si="8"/>
        <v/>
      </c>
      <c r="K224" s="149"/>
      <c r="L224" s="149"/>
      <c r="M224" s="149"/>
      <c r="N224" s="580"/>
      <c r="O224" s="580"/>
      <c r="P224" s="149"/>
      <c r="Q224" s="390"/>
      <c r="R224" s="391"/>
      <c r="S224" s="149"/>
      <c r="T224" s="149"/>
      <c r="U224" s="392"/>
      <c r="V224" s="149"/>
      <c r="W224" s="149"/>
      <c r="X224" s="149"/>
      <c r="Y224" s="149"/>
      <c r="Z224" s="149"/>
      <c r="AA224" s="149"/>
      <c r="AB224" s="149"/>
      <c r="AC224" s="149"/>
      <c r="AD224" s="149"/>
      <c r="AE224" s="149"/>
      <c r="AF224" s="149"/>
      <c r="AG224" s="149"/>
      <c r="AH224" s="149"/>
      <c r="AI224" s="149"/>
      <c r="AJ224" s="393"/>
      <c r="AK224" s="394"/>
      <c r="AL224" s="395"/>
      <c r="AM224" s="149"/>
      <c r="AN224" s="149"/>
      <c r="AO224" s="149"/>
      <c r="AP224" s="149"/>
      <c r="AQ224" s="149"/>
      <c r="AR224" s="149"/>
      <c r="AS224" s="149"/>
      <c r="AT224" s="149"/>
      <c r="AU224" s="149"/>
      <c r="AV224" s="149"/>
      <c r="AW224" s="149"/>
      <c r="AX224" s="149"/>
      <c r="AY224" s="149"/>
      <c r="AZ224" s="149"/>
      <c r="BA224" s="149"/>
      <c r="BB224" s="149"/>
      <c r="BC224" s="149"/>
      <c r="BD224" s="396"/>
      <c r="BE224" s="396"/>
      <c r="BF224" s="149"/>
      <c r="BG224" s="149"/>
      <c r="BH224" s="149"/>
      <c r="BI224" s="149"/>
      <c r="BJ224" s="149"/>
      <c r="BK224" s="149"/>
      <c r="BL224" s="149"/>
      <c r="BM224" s="149"/>
      <c r="BN224" s="397"/>
      <c r="BO224" s="394"/>
      <c r="BP224" s="398"/>
      <c r="BQ224" s="149"/>
      <c r="BR224" s="149"/>
      <c r="BS224" s="149"/>
      <c r="BT224" s="149"/>
      <c r="BU224" s="149"/>
      <c r="BV224" s="396"/>
      <c r="BW224" s="149"/>
      <c r="BX224" s="396"/>
      <c r="BY224" s="149"/>
      <c r="BZ224" s="149"/>
      <c r="CA224" s="149"/>
      <c r="CB224" s="149"/>
      <c r="CC224" s="396"/>
      <c r="CD224" s="399"/>
      <c r="CE224" s="400"/>
      <c r="CF224" s="149"/>
      <c r="CG224" s="149"/>
      <c r="CH224" s="149"/>
      <c r="CI224" s="149"/>
      <c r="CJ224" s="149"/>
      <c r="CK224" s="149"/>
      <c r="CL224" s="149"/>
      <c r="CM224" s="149"/>
      <c r="CN224" s="149"/>
      <c r="CO224" s="149"/>
      <c r="CP224" s="396"/>
      <c r="CQ224" s="149"/>
      <c r="CR224" s="149"/>
      <c r="CS224" s="401"/>
      <c r="CT224" s="149"/>
      <c r="CU224" s="149"/>
      <c r="CV224" s="149"/>
      <c r="CW224" s="149"/>
      <c r="CX224" s="149"/>
      <c r="CY224" s="402"/>
      <c r="CZ224" s="149"/>
      <c r="DA224" s="149"/>
      <c r="DB224" s="149"/>
      <c r="DC224" s="403"/>
      <c r="DD224" s="149"/>
      <c r="DE224" s="149"/>
      <c r="DF224" s="149"/>
      <c r="DG224" s="149"/>
      <c r="DH224" s="149"/>
      <c r="DI224" s="149"/>
      <c r="DJ224" s="149"/>
      <c r="DK224" s="149"/>
      <c r="DL224" s="404"/>
      <c r="DM224" s="149"/>
      <c r="DN224" s="149"/>
      <c r="DO224" s="149"/>
      <c r="DP224" s="149"/>
      <c r="DQ224" s="405"/>
      <c r="DR224" s="149"/>
      <c r="DS224" s="149"/>
      <c r="DT224" s="149"/>
      <c r="DU224" s="402"/>
      <c r="DV224" s="402"/>
      <c r="DW224" s="406"/>
      <c r="DX224" s="149"/>
      <c r="DY224" s="149"/>
      <c r="DZ224" s="149"/>
      <c r="EA224" s="149"/>
      <c r="EB224" s="149"/>
      <c r="EC224" s="149"/>
      <c r="ED224" s="149"/>
      <c r="EE224" s="149"/>
      <c r="EF224" s="149"/>
      <c r="EG224" s="149"/>
      <c r="EH224" s="149"/>
      <c r="EI224" s="149"/>
      <c r="EJ224" s="149"/>
      <c r="EK224" s="149"/>
      <c r="EL224" s="149"/>
      <c r="EM224" s="149"/>
      <c r="EN224" s="388"/>
      <c r="EO224" s="149"/>
      <c r="EP224" s="149"/>
      <c r="EQ224" s="149"/>
      <c r="ER224" s="149"/>
      <c r="ES224" s="149"/>
      <c r="ET224" s="396"/>
      <c r="EU224" s="149"/>
      <c r="EV224" s="149"/>
      <c r="EW224" s="149"/>
      <c r="EX224" s="149"/>
      <c r="EY224" s="149"/>
      <c r="EZ224" s="149"/>
      <c r="FA224" s="149"/>
      <c r="FB224" s="149"/>
      <c r="FC224" s="396"/>
      <c r="FD224" s="396"/>
      <c r="FE224" s="396"/>
      <c r="FF224" s="149"/>
      <c r="FG224" s="149"/>
      <c r="FH224" s="149"/>
      <c r="FI224" s="149"/>
      <c r="FJ224" s="149"/>
      <c r="FK224" s="149"/>
      <c r="FL224" s="149"/>
      <c r="FM224" s="149"/>
      <c r="FN224" s="149"/>
      <c r="FO224" s="149"/>
      <c r="FP224" s="149"/>
      <c r="FQ224" s="149"/>
      <c r="FR224" s="149"/>
      <c r="FS224" s="407"/>
      <c r="FT224" s="391"/>
      <c r="FU224" s="149"/>
      <c r="FV224" s="396"/>
      <c r="FW224" s="396"/>
      <c r="FX224" s="149"/>
      <c r="FY224" s="149"/>
      <c r="FZ224" s="149"/>
      <c r="GA224" s="149"/>
      <c r="GB224" s="149"/>
      <c r="GC224" s="149"/>
      <c r="GD224" s="408"/>
      <c r="GE224" s="149"/>
      <c r="GF224" s="149"/>
      <c r="GG224" s="149"/>
      <c r="GH224" s="149"/>
      <c r="GI224" s="149"/>
      <c r="GJ224" s="149"/>
      <c r="GK224" s="149"/>
      <c r="GL224" s="149"/>
      <c r="GM224" s="149"/>
      <c r="GN224" s="149"/>
      <c r="GO224" s="149"/>
      <c r="GP224" s="149"/>
      <c r="GQ224" s="149"/>
      <c r="GR224" s="149"/>
      <c r="GS224" s="149"/>
      <c r="GT224" s="149"/>
      <c r="GU224" s="149"/>
      <c r="GV224" s="149"/>
      <c r="GW224" s="149"/>
      <c r="GX224" s="149"/>
      <c r="GY224" s="149"/>
      <c r="GZ224" s="149"/>
      <c r="HA224" s="149"/>
      <c r="HB224" s="149"/>
      <c r="HC224" s="149"/>
      <c r="HD224" s="149"/>
      <c r="HE224" s="149"/>
      <c r="HF224" s="149"/>
      <c r="HG224" s="149"/>
      <c r="HH224" s="149"/>
      <c r="HI224" s="149"/>
      <c r="HJ224" s="149"/>
      <c r="HK224" s="149"/>
      <c r="HL224" s="149"/>
      <c r="HM224" s="149"/>
      <c r="HN224" s="149"/>
      <c r="HO224" s="149"/>
      <c r="HP224" s="149"/>
      <c r="HQ224" s="149"/>
      <c r="HR224" s="149"/>
      <c r="HS224" s="149"/>
      <c r="HT224" s="149"/>
      <c r="HU224" s="149"/>
      <c r="HV224" s="149"/>
      <c r="HW224" s="149"/>
      <c r="HX224" s="149"/>
      <c r="HY224" s="149"/>
      <c r="HZ224" s="149"/>
      <c r="IA224" s="149"/>
      <c r="IB224" s="149"/>
      <c r="IC224" s="149"/>
      <c r="ID224" s="149"/>
      <c r="IE224" s="390"/>
      <c r="IF224" s="149"/>
      <c r="IG224" s="149"/>
      <c r="IH224" s="149"/>
      <c r="II224" s="149"/>
      <c r="IJ224" s="149"/>
      <c r="IK224" s="149"/>
      <c r="IL224" s="149"/>
      <c r="IM224" s="149"/>
      <c r="IN224" s="149"/>
      <c r="IO224" s="149"/>
      <c r="IP224" s="149"/>
      <c r="IQ224" s="149"/>
      <c r="IR224" s="149"/>
      <c r="IS224" s="149"/>
      <c r="IT224" s="396"/>
      <c r="IU224" s="149"/>
      <c r="IV224" s="149"/>
    </row>
    <row r="225" spans="1:256" s="411" customFormat="1" ht="12.75" customHeight="1">
      <c r="C225" s="151" t="s">
        <v>1306</v>
      </c>
      <c r="D225" s="388"/>
      <c r="E225" s="320"/>
      <c r="F225" s="7"/>
      <c r="G225" s="149"/>
      <c r="H225" s="149"/>
      <c r="I225" s="389"/>
      <c r="J225" s="388" t="str">
        <f t="shared" ca="1" si="8"/>
        <v/>
      </c>
      <c r="K225" s="149"/>
      <c r="L225" s="149"/>
      <c r="M225" s="149"/>
      <c r="N225" s="580"/>
      <c r="O225" s="580"/>
      <c r="P225" s="149"/>
      <c r="Q225" s="390"/>
      <c r="R225" s="391"/>
      <c r="S225" s="149"/>
      <c r="T225" s="149"/>
      <c r="U225" s="392"/>
      <c r="V225" s="149"/>
      <c r="W225" s="149"/>
      <c r="X225" s="149"/>
      <c r="Y225" s="149"/>
      <c r="Z225" s="149"/>
      <c r="AA225" s="149"/>
      <c r="AB225" s="149"/>
      <c r="AC225" s="149"/>
      <c r="AD225" s="149"/>
      <c r="AE225" s="149"/>
      <c r="AF225" s="149"/>
      <c r="AG225" s="149"/>
      <c r="AH225" s="149"/>
      <c r="AI225" s="149"/>
      <c r="AJ225" s="393"/>
      <c r="AK225" s="394"/>
      <c r="AL225" s="395"/>
      <c r="AM225" s="149"/>
      <c r="AN225" s="149"/>
      <c r="AO225" s="149"/>
      <c r="AP225" s="149"/>
      <c r="AQ225" s="149"/>
      <c r="AR225" s="149"/>
      <c r="AS225" s="149"/>
      <c r="AT225" s="149"/>
      <c r="AU225" s="149"/>
      <c r="AV225" s="149"/>
      <c r="AW225" s="149"/>
      <c r="AX225" s="149"/>
      <c r="AY225" s="149"/>
      <c r="AZ225" s="149"/>
      <c r="BA225" s="149"/>
      <c r="BB225" s="149"/>
      <c r="BC225" s="149"/>
      <c r="BD225" s="396"/>
      <c r="BE225" s="396"/>
      <c r="BF225" s="149"/>
      <c r="BG225" s="149"/>
      <c r="BH225" s="149"/>
      <c r="BI225" s="149"/>
      <c r="BJ225" s="149"/>
      <c r="BK225" s="149"/>
      <c r="BL225" s="149"/>
      <c r="BM225" s="149"/>
      <c r="BN225" s="397"/>
      <c r="BO225" s="394"/>
      <c r="BP225" s="398"/>
      <c r="BQ225" s="149"/>
      <c r="BR225" s="149"/>
      <c r="BS225" s="149"/>
      <c r="BT225" s="149"/>
      <c r="BU225" s="149"/>
      <c r="BV225" s="396"/>
      <c r="BW225" s="149"/>
      <c r="BX225" s="396"/>
      <c r="BY225" s="149"/>
      <c r="BZ225" s="149"/>
      <c r="CA225" s="149"/>
      <c r="CB225" s="149"/>
      <c r="CC225" s="396"/>
      <c r="CD225" s="399"/>
      <c r="CE225" s="400"/>
      <c r="CF225" s="149"/>
      <c r="CG225" s="149"/>
      <c r="CH225" s="149"/>
      <c r="CI225" s="149"/>
      <c r="CJ225" s="149"/>
      <c r="CK225" s="149"/>
      <c r="CL225" s="149"/>
      <c r="CM225" s="149"/>
      <c r="CN225" s="149"/>
      <c r="CO225" s="149"/>
      <c r="CP225" s="396"/>
      <c r="CQ225" s="149"/>
      <c r="CR225" s="149"/>
      <c r="CS225" s="401"/>
      <c r="CT225" s="149"/>
      <c r="CU225" s="149"/>
      <c r="CV225" s="149"/>
      <c r="CW225" s="149"/>
      <c r="CX225" s="149"/>
      <c r="CY225" s="402"/>
      <c r="CZ225" s="149"/>
      <c r="DA225" s="149"/>
      <c r="DB225" s="149"/>
      <c r="DC225" s="403"/>
      <c r="DD225" s="149"/>
      <c r="DE225" s="149"/>
      <c r="DF225" s="149"/>
      <c r="DG225" s="149"/>
      <c r="DH225" s="149"/>
      <c r="DI225" s="149"/>
      <c r="DJ225" s="149"/>
      <c r="DK225" s="149"/>
      <c r="DL225" s="404"/>
      <c r="DM225" s="149"/>
      <c r="DN225" s="149"/>
      <c r="DO225" s="149"/>
      <c r="DP225" s="149"/>
      <c r="DQ225" s="405"/>
      <c r="DR225" s="149"/>
      <c r="DS225" s="149"/>
      <c r="DT225" s="149"/>
      <c r="DU225" s="402"/>
      <c r="DV225" s="402"/>
      <c r="DW225" s="406"/>
      <c r="DX225" s="149"/>
      <c r="DY225" s="149"/>
      <c r="DZ225" s="149"/>
      <c r="EA225" s="149"/>
      <c r="EB225" s="149"/>
      <c r="EC225" s="149"/>
      <c r="ED225" s="149"/>
      <c r="EE225" s="149"/>
      <c r="EF225" s="149"/>
      <c r="EG225" s="149"/>
      <c r="EH225" s="149"/>
      <c r="EI225" s="149"/>
      <c r="EJ225" s="149"/>
      <c r="EK225" s="149"/>
      <c r="EL225" s="149"/>
      <c r="EM225" s="149"/>
      <c r="EN225" s="388"/>
      <c r="EO225" s="149"/>
      <c r="EP225" s="149"/>
      <c r="EQ225" s="149"/>
      <c r="ER225" s="149"/>
      <c r="ES225" s="149"/>
      <c r="ET225" s="396"/>
      <c r="EU225" s="149"/>
      <c r="EV225" s="149"/>
      <c r="EW225" s="149"/>
      <c r="EX225" s="149"/>
      <c r="EY225" s="149"/>
      <c r="EZ225" s="149"/>
      <c r="FA225" s="149"/>
      <c r="FB225" s="149"/>
      <c r="FC225" s="396"/>
      <c r="FD225" s="396"/>
      <c r="FE225" s="396"/>
      <c r="FF225" s="149"/>
      <c r="FG225" s="149"/>
      <c r="FH225" s="149"/>
      <c r="FI225" s="149"/>
      <c r="FJ225" s="149"/>
      <c r="FK225" s="149"/>
      <c r="FL225" s="149"/>
      <c r="FM225" s="149"/>
      <c r="FN225" s="149"/>
      <c r="FO225" s="149"/>
      <c r="FP225" s="149"/>
      <c r="FQ225" s="149"/>
      <c r="FR225" s="149"/>
      <c r="FS225" s="407"/>
      <c r="FT225" s="391"/>
      <c r="FU225" s="149"/>
      <c r="FV225" s="396"/>
      <c r="FW225" s="396"/>
      <c r="FX225" s="149"/>
      <c r="FY225" s="149"/>
      <c r="FZ225" s="149"/>
      <c r="GA225" s="149"/>
      <c r="GB225" s="149"/>
      <c r="GC225" s="149"/>
      <c r="GD225" s="408"/>
      <c r="GE225" s="149"/>
      <c r="GF225" s="149"/>
      <c r="GG225" s="149"/>
      <c r="GH225" s="149"/>
      <c r="GI225" s="149"/>
      <c r="GJ225" s="149"/>
      <c r="GK225" s="149"/>
      <c r="GL225" s="149"/>
      <c r="GM225" s="149"/>
      <c r="GN225" s="149"/>
      <c r="GO225" s="149"/>
      <c r="GP225" s="149"/>
      <c r="GQ225" s="149"/>
      <c r="GR225" s="149"/>
      <c r="GS225" s="149"/>
      <c r="GT225" s="149"/>
      <c r="GU225" s="149"/>
      <c r="GV225" s="149"/>
      <c r="GW225" s="149"/>
      <c r="GX225" s="149"/>
      <c r="GY225" s="149"/>
      <c r="GZ225" s="149"/>
      <c r="HA225" s="149"/>
      <c r="HB225" s="149"/>
      <c r="HC225" s="149"/>
      <c r="HD225" s="149"/>
      <c r="HE225" s="149"/>
      <c r="HF225" s="149"/>
      <c r="HG225" s="149"/>
      <c r="HH225" s="149"/>
      <c r="HI225" s="149"/>
      <c r="HJ225" s="149"/>
      <c r="HK225" s="149"/>
      <c r="HL225" s="149"/>
      <c r="HM225" s="149"/>
      <c r="HN225" s="149"/>
      <c r="HO225" s="149"/>
      <c r="HP225" s="149"/>
      <c r="HQ225" s="149"/>
      <c r="HR225" s="149"/>
      <c r="HS225" s="149"/>
      <c r="HT225" s="149"/>
      <c r="HU225" s="149"/>
      <c r="HV225" s="149"/>
      <c r="HW225" s="149"/>
      <c r="HX225" s="149"/>
      <c r="HY225" s="149"/>
      <c r="HZ225" s="149"/>
      <c r="IA225" s="149"/>
      <c r="IB225" s="149"/>
      <c r="IC225" s="149"/>
      <c r="ID225" s="149"/>
      <c r="IE225" s="390"/>
      <c r="IF225" s="149"/>
      <c r="IG225" s="149"/>
      <c r="IH225" s="149"/>
      <c r="II225" s="149"/>
      <c r="IJ225" s="149"/>
      <c r="IK225" s="149"/>
      <c r="IL225" s="149"/>
      <c r="IM225" s="149"/>
      <c r="IN225" s="149"/>
      <c r="IO225" s="149"/>
      <c r="IP225" s="149"/>
      <c r="IQ225" s="149"/>
      <c r="IR225" s="149"/>
      <c r="IS225" s="149"/>
      <c r="IT225" s="396"/>
      <c r="IU225" s="149"/>
      <c r="IV225" s="149"/>
    </row>
    <row r="226" spans="1:256" s="411" customFormat="1" ht="12.75" customHeight="1">
      <c r="C226" s="151" t="s">
        <v>4297</v>
      </c>
      <c r="D226" s="388"/>
      <c r="E226" s="149"/>
      <c r="F226" s="149"/>
      <c r="G226" s="149"/>
      <c r="H226" s="149"/>
      <c r="I226" s="389"/>
      <c r="J226" s="388" t="str">
        <f t="shared" ca="1" si="8"/>
        <v/>
      </c>
      <c r="K226" s="149"/>
      <c r="L226" s="149"/>
      <c r="M226" s="149"/>
      <c r="N226" s="580"/>
      <c r="O226" s="580"/>
      <c r="P226" s="149"/>
      <c r="Q226" s="390"/>
      <c r="R226" s="391"/>
      <c r="S226" s="149"/>
      <c r="T226" s="149"/>
      <c r="U226" s="392"/>
      <c r="V226" s="149"/>
      <c r="W226" s="149"/>
      <c r="X226" s="149"/>
      <c r="Y226" s="149"/>
      <c r="Z226" s="149"/>
      <c r="AA226" s="149"/>
      <c r="AB226" s="149"/>
      <c r="AC226" s="149"/>
      <c r="AD226" s="149"/>
      <c r="AE226" s="149"/>
      <c r="AF226" s="149"/>
      <c r="AG226" s="149"/>
      <c r="AH226" s="149"/>
      <c r="AI226" s="149"/>
      <c r="AJ226" s="393"/>
      <c r="AK226" s="394"/>
      <c r="AL226" s="395"/>
      <c r="AM226" s="149"/>
      <c r="AN226" s="149"/>
      <c r="AO226" s="149"/>
      <c r="AP226" s="149"/>
      <c r="AQ226" s="149"/>
      <c r="AR226" s="149"/>
      <c r="AS226" s="149"/>
      <c r="AT226" s="149"/>
      <c r="AU226" s="149"/>
      <c r="AV226" s="149"/>
      <c r="AW226" s="149"/>
      <c r="AX226" s="149"/>
      <c r="AY226" s="149"/>
      <c r="AZ226" s="149"/>
      <c r="BA226" s="149"/>
      <c r="BB226" s="149"/>
      <c r="BC226" s="149"/>
      <c r="BD226" s="396"/>
      <c r="BE226" s="396"/>
      <c r="BF226" s="149"/>
      <c r="BG226" s="149"/>
      <c r="BH226" s="149"/>
      <c r="BI226" s="149"/>
      <c r="BJ226" s="149"/>
      <c r="BK226" s="149"/>
      <c r="BL226" s="149"/>
      <c r="BM226" s="149"/>
      <c r="BN226" s="397"/>
      <c r="BO226" s="394"/>
      <c r="BP226" s="398"/>
      <c r="BQ226" s="149"/>
      <c r="BR226" s="149"/>
      <c r="BS226" s="149"/>
      <c r="BT226" s="149"/>
      <c r="BU226" s="149"/>
      <c r="BV226" s="396"/>
      <c r="BW226" s="149"/>
      <c r="BX226" s="396"/>
      <c r="BY226" s="149"/>
      <c r="BZ226" s="149"/>
      <c r="CA226" s="149"/>
      <c r="CB226" s="149"/>
      <c r="CC226" s="396"/>
      <c r="CD226" s="399"/>
      <c r="CE226" s="400"/>
      <c r="CF226" s="149"/>
      <c r="CG226" s="149"/>
      <c r="CH226" s="149"/>
      <c r="CI226" s="149"/>
      <c r="CJ226" s="149"/>
      <c r="CK226" s="149"/>
      <c r="CL226" s="149"/>
      <c r="CM226" s="149"/>
      <c r="CN226" s="149"/>
      <c r="CO226" s="149"/>
      <c r="CP226" s="396"/>
      <c r="CQ226" s="149"/>
      <c r="CR226" s="149"/>
      <c r="CS226" s="401"/>
      <c r="CT226" s="149"/>
      <c r="CU226" s="149"/>
      <c r="CV226" s="149"/>
      <c r="CW226" s="149"/>
      <c r="CX226" s="149"/>
      <c r="CY226" s="402"/>
      <c r="CZ226" s="149"/>
      <c r="DA226" s="149"/>
      <c r="DB226" s="149"/>
      <c r="DC226" s="403"/>
      <c r="DD226" s="149"/>
      <c r="DE226" s="149"/>
      <c r="DF226" s="149"/>
      <c r="DG226" s="149"/>
      <c r="DH226" s="149"/>
      <c r="DI226" s="149"/>
      <c r="DJ226" s="149"/>
      <c r="DK226" s="149"/>
      <c r="DL226" s="404"/>
      <c r="DM226" s="149"/>
      <c r="DN226" s="149"/>
      <c r="DO226" s="149"/>
      <c r="DP226" s="149"/>
      <c r="DQ226" s="405"/>
      <c r="DR226" s="149"/>
      <c r="DS226" s="149"/>
      <c r="DT226" s="149"/>
      <c r="DU226" s="402"/>
      <c r="DV226" s="402"/>
      <c r="DW226" s="406"/>
      <c r="DX226" s="149"/>
      <c r="DY226" s="149"/>
      <c r="DZ226" s="149"/>
      <c r="EA226" s="149"/>
      <c r="EB226" s="149"/>
      <c r="EC226" s="149"/>
      <c r="ED226" s="149"/>
      <c r="EE226" s="149"/>
      <c r="EF226" s="149"/>
      <c r="EG226" s="149"/>
      <c r="EH226" s="149"/>
      <c r="EI226" s="149"/>
      <c r="EJ226" s="149"/>
      <c r="EK226" s="149"/>
      <c r="EL226" s="149"/>
      <c r="EM226" s="149"/>
      <c r="EN226" s="388"/>
      <c r="EO226" s="149"/>
      <c r="EP226" s="149"/>
      <c r="EQ226" s="149"/>
      <c r="ER226" s="149"/>
      <c r="ES226" s="149"/>
      <c r="ET226" s="396"/>
      <c r="EU226" s="149"/>
      <c r="EV226" s="149"/>
      <c r="EW226" s="149"/>
      <c r="EX226" s="149"/>
      <c r="EY226" s="149"/>
      <c r="EZ226" s="149"/>
      <c r="FA226" s="149"/>
      <c r="FB226" s="149"/>
      <c r="FC226" s="396"/>
      <c r="FD226" s="396"/>
      <c r="FE226" s="396"/>
      <c r="FF226" s="149"/>
      <c r="FG226" s="149"/>
      <c r="FH226" s="149"/>
      <c r="FI226" s="149"/>
      <c r="FJ226" s="149"/>
      <c r="FK226" s="149"/>
      <c r="FL226" s="149"/>
      <c r="FM226" s="149"/>
      <c r="FN226" s="149"/>
      <c r="FO226" s="149"/>
      <c r="FP226" s="149"/>
      <c r="FQ226" s="149"/>
      <c r="FR226" s="149"/>
      <c r="FS226" s="407"/>
      <c r="FT226" s="391"/>
      <c r="FU226" s="149"/>
      <c r="FV226" s="396"/>
      <c r="FW226" s="396"/>
      <c r="FX226" s="149"/>
      <c r="FY226" s="149"/>
      <c r="FZ226" s="149"/>
      <c r="GA226" s="149"/>
      <c r="GB226" s="149"/>
      <c r="GC226" s="149"/>
      <c r="GD226" s="408"/>
      <c r="GE226" s="149"/>
      <c r="GF226" s="149"/>
      <c r="GG226" s="149"/>
      <c r="GH226" s="149"/>
      <c r="GI226" s="149"/>
      <c r="GJ226" s="149"/>
      <c r="GK226" s="149"/>
      <c r="GL226" s="149"/>
      <c r="GM226" s="149"/>
      <c r="GN226" s="149"/>
      <c r="GO226" s="149"/>
      <c r="GP226" s="149"/>
      <c r="GQ226" s="149"/>
      <c r="GR226" s="149"/>
      <c r="GS226" s="149"/>
      <c r="GT226" s="149"/>
      <c r="GU226" s="149"/>
      <c r="GV226" s="149"/>
      <c r="GW226" s="149"/>
      <c r="GX226" s="149"/>
      <c r="GY226" s="149"/>
      <c r="GZ226" s="149"/>
      <c r="HA226" s="149"/>
      <c r="HB226" s="149"/>
      <c r="HC226" s="149"/>
      <c r="HD226" s="149"/>
      <c r="HE226" s="149"/>
      <c r="HF226" s="149"/>
      <c r="HG226" s="149"/>
      <c r="HH226" s="149"/>
      <c r="HI226" s="149"/>
      <c r="HJ226" s="149"/>
      <c r="HK226" s="149"/>
      <c r="HL226" s="149"/>
      <c r="HM226" s="149"/>
      <c r="HN226" s="149"/>
      <c r="HO226" s="149"/>
      <c r="HP226" s="149"/>
      <c r="HQ226" s="149"/>
      <c r="HR226" s="149"/>
      <c r="HS226" s="149"/>
      <c r="HT226" s="149"/>
      <c r="HU226" s="149"/>
      <c r="HV226" s="149"/>
      <c r="HW226" s="149"/>
      <c r="HX226" s="149"/>
      <c r="HY226" s="149"/>
      <c r="HZ226" s="149"/>
      <c r="IA226" s="149"/>
      <c r="IB226" s="149"/>
      <c r="IC226" s="149"/>
      <c r="ID226" s="149"/>
      <c r="IE226" s="390"/>
      <c r="IF226" s="149"/>
      <c r="IG226" s="149"/>
      <c r="IH226" s="149"/>
      <c r="II226" s="149"/>
      <c r="IJ226" s="149"/>
      <c r="IK226" s="149"/>
      <c r="IL226" s="149"/>
      <c r="IM226" s="149"/>
      <c r="IN226" s="149"/>
      <c r="IO226" s="149"/>
      <c r="IP226" s="149"/>
      <c r="IQ226" s="149"/>
      <c r="IR226" s="149"/>
      <c r="IS226" s="149"/>
      <c r="IT226" s="396"/>
      <c r="IU226" s="149"/>
      <c r="IV226" s="149"/>
    </row>
    <row r="227" spans="1:256" s="411" customFormat="1" ht="12.75" customHeight="1">
      <c r="C227" s="151" t="s">
        <v>4301</v>
      </c>
      <c r="D227" s="388"/>
      <c r="E227" s="149"/>
      <c r="F227" s="149"/>
      <c r="G227" s="149"/>
      <c r="H227" s="149"/>
      <c r="I227" s="389"/>
      <c r="J227" s="388" t="str">
        <f t="shared" ca="1" si="8"/>
        <v/>
      </c>
      <c r="K227" s="149"/>
      <c r="L227" s="149"/>
      <c r="M227" s="149"/>
      <c r="N227" s="580"/>
      <c r="O227" s="580"/>
      <c r="P227" s="149"/>
      <c r="Q227" s="390"/>
      <c r="R227" s="391"/>
      <c r="S227" s="149"/>
      <c r="T227" s="149"/>
      <c r="U227" s="392"/>
      <c r="V227" s="149"/>
      <c r="W227" s="149"/>
      <c r="X227" s="149"/>
      <c r="Y227" s="149"/>
      <c r="Z227" s="149"/>
      <c r="AA227" s="149"/>
      <c r="AB227" s="149"/>
      <c r="AC227" s="149"/>
      <c r="AD227" s="149"/>
      <c r="AE227" s="149"/>
      <c r="AF227" s="149"/>
      <c r="AG227" s="149"/>
      <c r="AH227" s="149"/>
      <c r="AI227" s="149"/>
      <c r="AJ227" s="393"/>
      <c r="AK227" s="394"/>
      <c r="AL227" s="395"/>
      <c r="AM227" s="149"/>
      <c r="AN227" s="149"/>
      <c r="AO227" s="149"/>
      <c r="AP227" s="149"/>
      <c r="AQ227" s="149"/>
      <c r="AR227" s="149"/>
      <c r="AS227" s="149"/>
      <c r="AT227" s="149"/>
      <c r="AU227" s="149"/>
      <c r="AV227" s="149"/>
      <c r="AW227" s="149"/>
      <c r="AX227" s="149"/>
      <c r="AY227" s="149"/>
      <c r="AZ227" s="149"/>
      <c r="BA227" s="149"/>
      <c r="BB227" s="149"/>
      <c r="BC227" s="149"/>
      <c r="BD227" s="396"/>
      <c r="BE227" s="396"/>
      <c r="BF227" s="149"/>
      <c r="BG227" s="149"/>
      <c r="BH227" s="149"/>
      <c r="BI227" s="149"/>
      <c r="BJ227" s="149"/>
      <c r="BK227" s="149"/>
      <c r="BL227" s="149"/>
      <c r="BM227" s="149"/>
      <c r="BN227" s="397"/>
      <c r="BO227" s="394"/>
      <c r="BP227" s="398"/>
      <c r="BQ227" s="149"/>
      <c r="BR227" s="149"/>
      <c r="BS227" s="149"/>
      <c r="BT227" s="149"/>
      <c r="BU227" s="149"/>
      <c r="BV227" s="396"/>
      <c r="BW227" s="149"/>
      <c r="BX227" s="396"/>
      <c r="BY227" s="149"/>
      <c r="BZ227" s="149"/>
      <c r="CA227" s="149"/>
      <c r="CB227" s="149"/>
      <c r="CC227" s="396"/>
      <c r="CD227" s="399"/>
      <c r="CE227" s="400"/>
      <c r="CF227" s="149"/>
      <c r="CG227" s="149"/>
      <c r="CH227" s="149"/>
      <c r="CI227" s="149"/>
      <c r="CJ227" s="149"/>
      <c r="CK227" s="149"/>
      <c r="CL227" s="149"/>
      <c r="CM227" s="149"/>
      <c r="CN227" s="149"/>
      <c r="CO227" s="149"/>
      <c r="CP227" s="396"/>
      <c r="CQ227" s="149"/>
      <c r="CR227" s="149"/>
      <c r="CS227" s="401"/>
      <c r="CT227" s="149"/>
      <c r="CU227" s="149"/>
      <c r="CV227" s="149"/>
      <c r="CW227" s="149"/>
      <c r="CX227" s="149"/>
      <c r="CY227" s="402"/>
      <c r="CZ227" s="149"/>
      <c r="DA227" s="149"/>
      <c r="DB227" s="149"/>
      <c r="DC227" s="403"/>
      <c r="DD227" s="149"/>
      <c r="DE227" s="149"/>
      <c r="DF227" s="149"/>
      <c r="DG227" s="149"/>
      <c r="DH227" s="149"/>
      <c r="DI227" s="149"/>
      <c r="DJ227" s="149"/>
      <c r="DK227" s="149"/>
      <c r="DL227" s="404"/>
      <c r="DM227" s="149"/>
      <c r="DN227" s="149"/>
      <c r="DO227" s="149"/>
      <c r="DP227" s="149"/>
      <c r="DQ227" s="405"/>
      <c r="DR227" s="149"/>
      <c r="DS227" s="149"/>
      <c r="DT227" s="149"/>
      <c r="DU227" s="402"/>
      <c r="DV227" s="402"/>
      <c r="DW227" s="406"/>
      <c r="DX227" s="149"/>
      <c r="DY227" s="149"/>
      <c r="DZ227" s="149"/>
      <c r="EA227" s="149"/>
      <c r="EB227" s="149"/>
      <c r="EC227" s="149"/>
      <c r="ED227" s="149"/>
      <c r="EE227" s="149"/>
      <c r="EF227" s="149"/>
      <c r="EG227" s="149"/>
      <c r="EH227" s="149"/>
      <c r="EI227" s="149"/>
      <c r="EJ227" s="149"/>
      <c r="EK227" s="149"/>
      <c r="EL227" s="149"/>
      <c r="EM227" s="149"/>
      <c r="EN227" s="388"/>
      <c r="EO227" s="149"/>
      <c r="EP227" s="149"/>
      <c r="EQ227" s="149"/>
      <c r="ER227" s="149"/>
      <c r="ES227" s="149"/>
      <c r="ET227" s="396"/>
      <c r="EU227" s="149"/>
      <c r="EV227" s="149"/>
      <c r="EW227" s="149"/>
      <c r="EX227" s="149"/>
      <c r="EY227" s="149"/>
      <c r="EZ227" s="149"/>
      <c r="FA227" s="149"/>
      <c r="FB227" s="149"/>
      <c r="FC227" s="396"/>
      <c r="FD227" s="396"/>
      <c r="FE227" s="396"/>
      <c r="FF227" s="149"/>
      <c r="FG227" s="149"/>
      <c r="FH227" s="149"/>
      <c r="FI227" s="149"/>
      <c r="FJ227" s="149"/>
      <c r="FK227" s="149"/>
      <c r="FL227" s="149"/>
      <c r="FM227" s="149"/>
      <c r="FN227" s="149"/>
      <c r="FO227" s="149"/>
      <c r="FP227" s="149"/>
      <c r="FQ227" s="149"/>
      <c r="FR227" s="149"/>
      <c r="FS227" s="407"/>
      <c r="FT227" s="391"/>
      <c r="FU227" s="149"/>
      <c r="FV227" s="396"/>
      <c r="FW227" s="396"/>
      <c r="FX227" s="149"/>
      <c r="FY227" s="149"/>
      <c r="FZ227" s="149"/>
      <c r="GA227" s="149"/>
      <c r="GB227" s="149"/>
      <c r="GC227" s="149"/>
      <c r="GD227" s="408"/>
      <c r="GE227" s="149"/>
      <c r="GF227" s="149"/>
      <c r="GG227" s="149"/>
      <c r="GH227" s="149"/>
      <c r="GI227" s="149"/>
      <c r="GJ227" s="149"/>
      <c r="GK227" s="149"/>
      <c r="GL227" s="149"/>
      <c r="GM227" s="149"/>
      <c r="GN227" s="149"/>
      <c r="GO227" s="149"/>
      <c r="GP227" s="149"/>
      <c r="GQ227" s="149"/>
      <c r="GR227" s="149"/>
      <c r="GS227" s="149"/>
      <c r="GT227" s="149"/>
      <c r="GU227" s="149"/>
      <c r="GV227" s="149"/>
      <c r="GW227" s="149"/>
      <c r="GX227" s="149"/>
      <c r="GY227" s="149"/>
      <c r="GZ227" s="149"/>
      <c r="HA227" s="149"/>
      <c r="HB227" s="149"/>
      <c r="HC227" s="149"/>
      <c r="HD227" s="149"/>
      <c r="HE227" s="149"/>
      <c r="HF227" s="149"/>
      <c r="HG227" s="149"/>
      <c r="HH227" s="149"/>
      <c r="HI227" s="149"/>
      <c r="HJ227" s="149"/>
      <c r="HK227" s="149"/>
      <c r="HL227" s="149"/>
      <c r="HM227" s="149"/>
      <c r="HN227" s="149"/>
      <c r="HO227" s="149"/>
      <c r="HP227" s="149"/>
      <c r="HQ227" s="149"/>
      <c r="HR227" s="149"/>
      <c r="HS227" s="149"/>
      <c r="HT227" s="149"/>
      <c r="HU227" s="149"/>
      <c r="HV227" s="149"/>
      <c r="HW227" s="149"/>
      <c r="HX227" s="149"/>
      <c r="HY227" s="149"/>
      <c r="HZ227" s="149"/>
      <c r="IA227" s="149"/>
      <c r="IB227" s="149"/>
      <c r="IC227" s="149"/>
      <c r="ID227" s="149"/>
      <c r="IE227" s="390"/>
      <c r="IF227" s="149"/>
      <c r="IG227" s="149"/>
      <c r="IH227" s="149"/>
      <c r="II227" s="149"/>
      <c r="IJ227" s="149"/>
      <c r="IK227" s="149"/>
      <c r="IL227" s="149"/>
      <c r="IM227" s="149"/>
      <c r="IN227" s="149"/>
      <c r="IO227" s="149"/>
      <c r="IP227" s="149"/>
      <c r="IQ227" s="149"/>
      <c r="IR227" s="149"/>
      <c r="IS227" s="149"/>
      <c r="IT227" s="396"/>
      <c r="IU227" s="149"/>
      <c r="IV227" s="149"/>
    </row>
    <row r="228" spans="1:256" s="411" customFormat="1" ht="12.75" customHeight="1">
      <c r="C228" s="151"/>
      <c r="D228" s="388"/>
      <c r="E228" s="149"/>
      <c r="F228" s="149"/>
      <c r="G228" s="149"/>
      <c r="H228" s="149"/>
      <c r="I228" s="389"/>
      <c r="J228" s="388" t="str">
        <f t="shared" ca="1" si="8"/>
        <v/>
      </c>
      <c r="K228" s="149"/>
      <c r="L228" s="149"/>
      <c r="M228" s="149"/>
      <c r="N228" s="580"/>
      <c r="O228" s="580"/>
      <c r="P228" s="149"/>
      <c r="Q228" s="390"/>
      <c r="R228" s="391"/>
      <c r="S228" s="149"/>
      <c r="T228" s="149"/>
      <c r="U228" s="392"/>
      <c r="V228" s="149"/>
      <c r="W228" s="149"/>
      <c r="X228" s="149"/>
      <c r="Y228" s="149"/>
      <c r="Z228" s="149"/>
      <c r="AA228" s="149"/>
      <c r="AB228" s="149"/>
      <c r="AC228" s="149"/>
      <c r="AD228" s="149"/>
      <c r="AE228" s="149"/>
      <c r="AF228" s="149"/>
      <c r="AG228" s="149"/>
      <c r="AH228" s="149"/>
      <c r="AI228" s="149"/>
      <c r="AJ228" s="393"/>
      <c r="AK228" s="394"/>
      <c r="AL228" s="395"/>
      <c r="AM228" s="149"/>
      <c r="AN228" s="149"/>
      <c r="AO228" s="149"/>
      <c r="AP228" s="149"/>
      <c r="AQ228" s="149"/>
      <c r="AR228" s="149"/>
      <c r="AS228" s="149"/>
      <c r="AT228" s="149"/>
      <c r="AU228" s="149"/>
      <c r="AV228" s="149"/>
      <c r="AW228" s="149"/>
      <c r="AX228" s="149"/>
      <c r="AY228" s="149"/>
      <c r="AZ228" s="149"/>
      <c r="BA228" s="149"/>
      <c r="BB228" s="149"/>
      <c r="BC228" s="149"/>
      <c r="BD228" s="396"/>
      <c r="BE228" s="396"/>
      <c r="BF228" s="149"/>
      <c r="BG228" s="149"/>
      <c r="BH228" s="149"/>
      <c r="BI228" s="149"/>
      <c r="BJ228" s="149"/>
      <c r="BK228" s="149"/>
      <c r="BL228" s="149"/>
      <c r="BM228" s="149"/>
      <c r="BN228" s="397"/>
      <c r="BO228" s="394"/>
      <c r="BP228" s="398"/>
      <c r="BQ228" s="149"/>
      <c r="BR228" s="149"/>
      <c r="BS228" s="149"/>
      <c r="BT228" s="149"/>
      <c r="BU228" s="149"/>
      <c r="BV228" s="396"/>
      <c r="BW228" s="149"/>
      <c r="BX228" s="396"/>
      <c r="BY228" s="149"/>
      <c r="BZ228" s="149"/>
      <c r="CA228" s="149"/>
      <c r="CB228" s="149"/>
      <c r="CC228" s="396"/>
      <c r="CD228" s="399"/>
      <c r="CE228" s="400"/>
      <c r="CF228" s="149"/>
      <c r="CG228" s="149"/>
      <c r="CH228" s="149"/>
      <c r="CI228" s="149"/>
      <c r="CJ228" s="149"/>
      <c r="CK228" s="149"/>
      <c r="CL228" s="149"/>
      <c r="CM228" s="149"/>
      <c r="CN228" s="149"/>
      <c r="CO228" s="149"/>
      <c r="CP228" s="396"/>
      <c r="CQ228" s="149"/>
      <c r="CR228" s="149"/>
      <c r="CS228" s="401"/>
      <c r="CT228" s="149"/>
      <c r="CU228" s="149"/>
      <c r="CV228" s="149"/>
      <c r="CW228" s="149"/>
      <c r="CX228" s="149"/>
      <c r="CY228" s="402"/>
      <c r="CZ228" s="149"/>
      <c r="DA228" s="149"/>
      <c r="DB228" s="149"/>
      <c r="DC228" s="403"/>
      <c r="DD228" s="149"/>
      <c r="DE228" s="149"/>
      <c r="DF228" s="149"/>
      <c r="DG228" s="149"/>
      <c r="DH228" s="149"/>
      <c r="DI228" s="149"/>
      <c r="DJ228" s="149"/>
      <c r="DK228" s="149"/>
      <c r="DL228" s="404"/>
      <c r="DM228" s="149"/>
      <c r="DN228" s="149"/>
      <c r="DO228" s="149"/>
      <c r="DP228" s="149"/>
      <c r="DQ228" s="405"/>
      <c r="DR228" s="149"/>
      <c r="DS228" s="149"/>
      <c r="DT228" s="149"/>
      <c r="DU228" s="402"/>
      <c r="DV228" s="402"/>
      <c r="DW228" s="406"/>
      <c r="DX228" s="149"/>
      <c r="DY228" s="149"/>
      <c r="DZ228" s="149"/>
      <c r="EA228" s="149"/>
      <c r="EB228" s="149"/>
      <c r="EC228" s="149"/>
      <c r="ED228" s="149"/>
      <c r="EE228" s="149"/>
      <c r="EF228" s="149"/>
      <c r="EG228" s="149"/>
      <c r="EH228" s="149"/>
      <c r="EI228" s="149"/>
      <c r="EJ228" s="149"/>
      <c r="EK228" s="149"/>
      <c r="EL228" s="149"/>
      <c r="EM228" s="149"/>
      <c r="EN228" s="388"/>
      <c r="EO228" s="149"/>
      <c r="EP228" s="149"/>
      <c r="EQ228" s="149"/>
      <c r="ER228" s="149"/>
      <c r="ES228" s="149"/>
      <c r="ET228" s="396"/>
      <c r="EU228" s="149"/>
      <c r="EV228" s="149"/>
      <c r="EW228" s="149"/>
      <c r="EX228" s="149"/>
      <c r="EY228" s="149"/>
      <c r="EZ228" s="149"/>
      <c r="FA228" s="149"/>
      <c r="FB228" s="149"/>
      <c r="FC228" s="396"/>
      <c r="FD228" s="396"/>
      <c r="FE228" s="396"/>
      <c r="FF228" s="149"/>
      <c r="FG228" s="149"/>
      <c r="FH228" s="149"/>
      <c r="FI228" s="149"/>
      <c r="FJ228" s="149"/>
      <c r="FK228" s="149"/>
      <c r="FL228" s="149"/>
      <c r="FM228" s="149"/>
      <c r="FN228" s="149"/>
      <c r="FO228" s="149"/>
      <c r="FP228" s="149"/>
      <c r="FQ228" s="149"/>
      <c r="FR228" s="149"/>
      <c r="FS228" s="407"/>
      <c r="FT228" s="391"/>
      <c r="FU228" s="149"/>
      <c r="FV228" s="396"/>
      <c r="FW228" s="396"/>
      <c r="FX228" s="149"/>
      <c r="FY228" s="149"/>
      <c r="FZ228" s="149"/>
      <c r="GA228" s="149"/>
      <c r="GB228" s="149"/>
      <c r="GC228" s="149"/>
      <c r="GD228" s="408"/>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49"/>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390"/>
      <c r="IF228" s="149"/>
      <c r="IG228" s="149"/>
      <c r="IH228" s="149"/>
      <c r="II228" s="149"/>
      <c r="IJ228" s="149"/>
      <c r="IK228" s="149"/>
      <c r="IL228" s="149"/>
      <c r="IM228" s="149"/>
      <c r="IN228" s="149"/>
      <c r="IO228" s="149"/>
      <c r="IP228" s="149"/>
      <c r="IQ228" s="149"/>
      <c r="IR228" s="149"/>
      <c r="IS228" s="149"/>
      <c r="IT228" s="396"/>
      <c r="IU228" s="149"/>
      <c r="IV228" s="149"/>
    </row>
    <row r="229" spans="1:256" s="411" customFormat="1" ht="12.75" customHeight="1">
      <c r="C229" s="151" t="s">
        <v>5360</v>
      </c>
      <c r="D229" s="388"/>
      <c r="E229" s="149"/>
      <c r="F229" s="149"/>
      <c r="G229" s="149"/>
      <c r="H229" s="149"/>
      <c r="I229" s="389"/>
      <c r="J229" s="388" t="str">
        <f t="shared" ca="1" si="8"/>
        <v/>
      </c>
      <c r="K229" s="149"/>
      <c r="L229" s="149"/>
      <c r="M229" s="149"/>
      <c r="N229" s="580"/>
      <c r="O229" s="580"/>
      <c r="P229" s="149"/>
      <c r="Q229" s="390"/>
      <c r="R229" s="391"/>
      <c r="S229" s="149"/>
      <c r="T229" s="149"/>
      <c r="U229" s="392"/>
      <c r="V229" s="149"/>
      <c r="W229" s="149"/>
      <c r="X229" s="149"/>
      <c r="Y229" s="149"/>
      <c r="Z229" s="149"/>
      <c r="AA229" s="149"/>
      <c r="AB229" s="149"/>
      <c r="AC229" s="149"/>
      <c r="AD229" s="149"/>
      <c r="AE229" s="149"/>
      <c r="AF229" s="149"/>
      <c r="AG229" s="149"/>
      <c r="AH229" s="149"/>
      <c r="AI229" s="149"/>
      <c r="AJ229" s="393"/>
      <c r="AK229" s="394"/>
      <c r="AL229" s="395"/>
      <c r="AM229" s="149"/>
      <c r="AN229" s="149"/>
      <c r="AO229" s="149"/>
      <c r="AP229" s="149"/>
      <c r="AQ229" s="149"/>
      <c r="AR229" s="149"/>
      <c r="AS229" s="149"/>
      <c r="AT229" s="149"/>
      <c r="AU229" s="149"/>
      <c r="AV229" s="149"/>
      <c r="AW229" s="149"/>
      <c r="AX229" s="149"/>
      <c r="AY229" s="149"/>
      <c r="AZ229" s="149"/>
      <c r="BA229" s="149"/>
      <c r="BB229" s="149"/>
      <c r="BC229" s="149"/>
      <c r="BD229" s="396"/>
      <c r="BE229" s="396"/>
      <c r="BF229" s="149"/>
      <c r="BG229" s="149"/>
      <c r="BH229" s="149"/>
      <c r="BI229" s="149"/>
      <c r="BJ229" s="149"/>
      <c r="BK229" s="149"/>
      <c r="BL229" s="149"/>
      <c r="BM229" s="149"/>
      <c r="BN229" s="397"/>
      <c r="BO229" s="394"/>
      <c r="BP229" s="398"/>
      <c r="BQ229" s="149"/>
      <c r="BR229" s="149"/>
      <c r="BS229" s="149"/>
      <c r="BT229" s="149"/>
      <c r="BU229" s="149"/>
      <c r="BV229" s="396"/>
      <c r="BW229" s="149"/>
      <c r="BX229" s="396"/>
      <c r="BY229" s="149"/>
      <c r="BZ229" s="149"/>
      <c r="CA229" s="149"/>
      <c r="CB229" s="149"/>
      <c r="CC229" s="396"/>
      <c r="CD229" s="399"/>
      <c r="CE229" s="400"/>
      <c r="CF229" s="149"/>
      <c r="CG229" s="149"/>
      <c r="CH229" s="149"/>
      <c r="CI229" s="149"/>
      <c r="CJ229" s="149"/>
      <c r="CK229" s="149"/>
      <c r="CL229" s="149"/>
      <c r="CM229" s="149"/>
      <c r="CN229" s="149"/>
      <c r="CO229" s="149"/>
      <c r="CP229" s="396"/>
      <c r="CQ229" s="149"/>
      <c r="CR229" s="149"/>
      <c r="CS229" s="401"/>
      <c r="CT229" s="149"/>
      <c r="CU229" s="149"/>
      <c r="CV229" s="149"/>
      <c r="CW229" s="149"/>
      <c r="CX229" s="149"/>
      <c r="CY229" s="402"/>
      <c r="CZ229" s="149"/>
      <c r="DA229" s="149"/>
      <c r="DB229" s="149"/>
      <c r="DC229" s="403"/>
      <c r="DD229" s="149"/>
      <c r="DE229" s="149"/>
      <c r="DF229" s="149"/>
      <c r="DG229" s="149"/>
      <c r="DH229" s="149"/>
      <c r="DI229" s="149"/>
      <c r="DJ229" s="149"/>
      <c r="DK229" s="149"/>
      <c r="DL229" s="404"/>
      <c r="DM229" s="149"/>
      <c r="DN229" s="149"/>
      <c r="DO229" s="149"/>
      <c r="DP229" s="149"/>
      <c r="DQ229" s="405"/>
      <c r="DR229" s="149"/>
      <c r="DS229" s="149"/>
      <c r="DT229" s="149"/>
      <c r="DU229" s="402"/>
      <c r="DV229" s="402"/>
      <c r="DW229" s="406"/>
      <c r="DX229" s="149"/>
      <c r="DY229" s="149"/>
      <c r="DZ229" s="149"/>
      <c r="EA229" s="149"/>
      <c r="EB229" s="149"/>
      <c r="EC229" s="149"/>
      <c r="ED229" s="149"/>
      <c r="EE229" s="149"/>
      <c r="EF229" s="149"/>
      <c r="EG229" s="149"/>
      <c r="EH229" s="149"/>
      <c r="EI229" s="149"/>
      <c r="EJ229" s="149"/>
      <c r="EK229" s="149"/>
      <c r="EL229" s="149"/>
      <c r="EM229" s="149"/>
      <c r="EN229" s="388"/>
      <c r="EO229" s="149"/>
      <c r="EP229" s="149"/>
      <c r="EQ229" s="149"/>
      <c r="ER229" s="149"/>
      <c r="ES229" s="149"/>
      <c r="ET229" s="396"/>
      <c r="EU229" s="149"/>
      <c r="EV229" s="149"/>
      <c r="EW229" s="149"/>
      <c r="EX229" s="149"/>
      <c r="EY229" s="149"/>
      <c r="EZ229" s="149"/>
      <c r="FA229" s="149"/>
      <c r="FB229" s="149"/>
      <c r="FC229" s="396"/>
      <c r="FD229" s="396"/>
      <c r="FE229" s="396"/>
      <c r="FF229" s="149"/>
      <c r="FG229" s="149"/>
      <c r="FH229" s="149"/>
      <c r="FI229" s="149"/>
      <c r="FJ229" s="149"/>
      <c r="FK229" s="149"/>
      <c r="FL229" s="149"/>
      <c r="FM229" s="149"/>
      <c r="FN229" s="149"/>
      <c r="FO229" s="149"/>
      <c r="FP229" s="149"/>
      <c r="FQ229" s="149"/>
      <c r="FR229" s="149"/>
      <c r="FS229" s="407"/>
      <c r="FT229" s="391"/>
      <c r="FU229" s="149"/>
      <c r="FV229" s="396"/>
      <c r="FW229" s="396"/>
      <c r="FX229" s="149"/>
      <c r="FY229" s="149"/>
      <c r="FZ229" s="149"/>
      <c r="GA229" s="149"/>
      <c r="GB229" s="149"/>
      <c r="GC229" s="149"/>
      <c r="GD229" s="408"/>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49"/>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390"/>
      <c r="IF229" s="149"/>
      <c r="IG229" s="149"/>
      <c r="IH229" s="149"/>
      <c r="II229" s="149"/>
      <c r="IJ229" s="149"/>
      <c r="IK229" s="149"/>
      <c r="IL229" s="149"/>
      <c r="IM229" s="149"/>
      <c r="IN229" s="149"/>
      <c r="IO229" s="149"/>
      <c r="IP229" s="149"/>
      <c r="IQ229" s="149"/>
      <c r="IR229" s="149"/>
      <c r="IS229" s="149"/>
      <c r="IT229" s="396"/>
      <c r="IU229" s="149"/>
      <c r="IV229" s="149"/>
    </row>
    <row r="230" spans="1:256" s="411" customFormat="1" ht="12.75" customHeight="1">
      <c r="C230" s="151" t="s">
        <v>1352</v>
      </c>
      <c r="D230" s="388"/>
      <c r="E230" s="149"/>
      <c r="F230" s="149"/>
      <c r="G230" s="149"/>
      <c r="H230" s="149"/>
      <c r="I230" s="389"/>
      <c r="J230" s="388" t="str">
        <f t="shared" ca="1" si="8"/>
        <v/>
      </c>
      <c r="K230" s="149"/>
      <c r="L230" s="149"/>
      <c r="M230" s="149"/>
      <c r="N230" s="580"/>
      <c r="O230" s="580"/>
      <c r="P230" s="149"/>
      <c r="Q230" s="390"/>
      <c r="R230" s="391"/>
      <c r="S230" s="149"/>
      <c r="T230" s="149"/>
      <c r="U230" s="392"/>
      <c r="V230" s="149"/>
      <c r="W230" s="149"/>
      <c r="X230" s="149"/>
      <c r="Y230" s="149"/>
      <c r="Z230" s="149"/>
      <c r="AA230" s="149"/>
      <c r="AB230" s="149"/>
      <c r="AC230" s="149"/>
      <c r="AD230" s="149"/>
      <c r="AE230" s="149"/>
      <c r="AF230" s="149"/>
      <c r="AG230" s="149"/>
      <c r="AH230" s="149"/>
      <c r="AI230" s="149"/>
      <c r="AJ230" s="393"/>
      <c r="AK230" s="394"/>
      <c r="AL230" s="395"/>
      <c r="AM230" s="149"/>
      <c r="AN230" s="149"/>
      <c r="AO230" s="149"/>
      <c r="AP230" s="149"/>
      <c r="AQ230" s="149"/>
      <c r="AR230" s="149"/>
      <c r="AS230" s="149"/>
      <c r="AT230" s="149"/>
      <c r="AU230" s="149"/>
      <c r="AV230" s="149"/>
      <c r="AW230" s="149"/>
      <c r="AX230" s="149"/>
      <c r="AY230" s="149"/>
      <c r="AZ230" s="149"/>
      <c r="BA230" s="149"/>
      <c r="BB230" s="149"/>
      <c r="BC230" s="149"/>
      <c r="BD230" s="396"/>
      <c r="BE230" s="396"/>
      <c r="BF230" s="149"/>
      <c r="BG230" s="149"/>
      <c r="BH230" s="149"/>
      <c r="BI230" s="149"/>
      <c r="BJ230" s="149"/>
      <c r="BK230" s="149"/>
      <c r="BL230" s="149"/>
      <c r="BM230" s="149"/>
      <c r="BN230" s="397"/>
      <c r="BO230" s="394"/>
      <c r="BP230" s="398"/>
      <c r="BQ230" s="149"/>
      <c r="BR230" s="149"/>
      <c r="BS230" s="149"/>
      <c r="BT230" s="149"/>
      <c r="BU230" s="149"/>
      <c r="BV230" s="396"/>
      <c r="BW230" s="149"/>
      <c r="BX230" s="396"/>
      <c r="BY230" s="149"/>
      <c r="BZ230" s="149"/>
      <c r="CA230" s="149"/>
      <c r="CB230" s="149"/>
      <c r="CC230" s="396"/>
      <c r="CD230" s="399"/>
      <c r="CE230" s="400"/>
      <c r="CF230" s="149"/>
      <c r="CG230" s="149"/>
      <c r="CH230" s="149"/>
      <c r="CI230" s="149"/>
      <c r="CJ230" s="149"/>
      <c r="CK230" s="149"/>
      <c r="CL230" s="149"/>
      <c r="CM230" s="149"/>
      <c r="CN230" s="149"/>
      <c r="CO230" s="149"/>
      <c r="CP230" s="396"/>
      <c r="CQ230" s="149"/>
      <c r="CR230" s="149"/>
      <c r="CS230" s="401"/>
      <c r="CT230" s="149"/>
      <c r="CU230" s="149"/>
      <c r="CV230" s="149"/>
      <c r="CW230" s="149"/>
      <c r="CX230" s="149"/>
      <c r="CY230" s="402"/>
      <c r="CZ230" s="149"/>
      <c r="DA230" s="149"/>
      <c r="DB230" s="149"/>
      <c r="DC230" s="403"/>
      <c r="DD230" s="149"/>
      <c r="DE230" s="149"/>
      <c r="DF230" s="149"/>
      <c r="DG230" s="149"/>
      <c r="DH230" s="149"/>
      <c r="DI230" s="149"/>
      <c r="DJ230" s="149"/>
      <c r="DK230" s="149"/>
      <c r="DL230" s="404"/>
      <c r="DM230" s="149"/>
      <c r="DN230" s="149"/>
      <c r="DO230" s="149"/>
      <c r="DP230" s="149"/>
      <c r="DQ230" s="405"/>
      <c r="DR230" s="149"/>
      <c r="DS230" s="149"/>
      <c r="DT230" s="149"/>
      <c r="DU230" s="402"/>
      <c r="DV230" s="402"/>
      <c r="DW230" s="406"/>
      <c r="DX230" s="149"/>
      <c r="DY230" s="149"/>
      <c r="DZ230" s="149"/>
      <c r="EA230" s="149"/>
      <c r="EB230" s="149"/>
      <c r="EC230" s="149"/>
      <c r="ED230" s="149"/>
      <c r="EE230" s="149"/>
      <c r="EF230" s="149"/>
      <c r="EG230" s="149"/>
      <c r="EH230" s="149"/>
      <c r="EI230" s="149"/>
      <c r="EJ230" s="149"/>
      <c r="EK230" s="149"/>
      <c r="EL230" s="149"/>
      <c r="EM230" s="149"/>
      <c r="EN230" s="388"/>
      <c r="EO230" s="149"/>
      <c r="EP230" s="149"/>
      <c r="EQ230" s="149"/>
      <c r="ER230" s="149"/>
      <c r="ES230" s="149"/>
      <c r="ET230" s="396"/>
      <c r="EU230" s="149"/>
      <c r="EV230" s="149"/>
      <c r="EW230" s="149"/>
      <c r="EX230" s="149"/>
      <c r="EY230" s="149"/>
      <c r="EZ230" s="149"/>
      <c r="FA230" s="149"/>
      <c r="FB230" s="149"/>
      <c r="FC230" s="396"/>
      <c r="FD230" s="396"/>
      <c r="FE230" s="396"/>
      <c r="FF230" s="149"/>
      <c r="FG230" s="149"/>
      <c r="FH230" s="149"/>
      <c r="FI230" s="149"/>
      <c r="FJ230" s="149"/>
      <c r="FK230" s="149"/>
      <c r="FL230" s="149"/>
      <c r="FM230" s="149"/>
      <c r="FN230" s="149"/>
      <c r="FO230" s="149"/>
      <c r="FP230" s="149"/>
      <c r="FQ230" s="149"/>
      <c r="FR230" s="149"/>
      <c r="FS230" s="407"/>
      <c r="FT230" s="391"/>
      <c r="FU230" s="149"/>
      <c r="FV230" s="396"/>
      <c r="FW230" s="396"/>
      <c r="FX230" s="149"/>
      <c r="FY230" s="149"/>
      <c r="FZ230" s="149"/>
      <c r="GA230" s="149"/>
      <c r="GB230" s="149"/>
      <c r="GC230" s="149"/>
      <c r="GD230" s="408"/>
      <c r="GE230" s="149"/>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49"/>
      <c r="HE230" s="149"/>
      <c r="HF230" s="149"/>
      <c r="HG230" s="149"/>
      <c r="HH230" s="149"/>
      <c r="HI230" s="149"/>
      <c r="HJ230" s="149"/>
      <c r="HK230" s="149"/>
      <c r="HL230" s="149"/>
      <c r="HM230" s="149"/>
      <c r="HN230" s="149"/>
      <c r="HO230" s="149"/>
      <c r="HP230" s="149"/>
      <c r="HQ230" s="149"/>
      <c r="HR230" s="149"/>
      <c r="HS230" s="149"/>
      <c r="HT230" s="149"/>
      <c r="HU230" s="149"/>
      <c r="HV230" s="149"/>
      <c r="HW230" s="149"/>
      <c r="HX230" s="149"/>
      <c r="HY230" s="149"/>
      <c r="HZ230" s="149"/>
      <c r="IA230" s="149"/>
      <c r="IB230" s="149"/>
      <c r="IC230" s="149"/>
      <c r="ID230" s="149"/>
      <c r="IE230" s="390"/>
      <c r="IF230" s="149"/>
      <c r="IG230" s="149"/>
      <c r="IH230" s="149"/>
      <c r="II230" s="149"/>
      <c r="IJ230" s="149"/>
      <c r="IK230" s="149"/>
      <c r="IL230" s="149"/>
      <c r="IM230" s="149"/>
      <c r="IN230" s="149"/>
      <c r="IO230" s="149"/>
      <c r="IP230" s="149"/>
      <c r="IQ230" s="149"/>
      <c r="IR230" s="149"/>
      <c r="IS230" s="149"/>
      <c r="IT230" s="396"/>
      <c r="IU230" s="149"/>
      <c r="IV230" s="149"/>
    </row>
    <row r="231" spans="1:256" s="411" customFormat="1" ht="12.75" customHeight="1">
      <c r="C231" s="151" t="s">
        <v>5324</v>
      </c>
      <c r="D231" s="388"/>
      <c r="E231" s="149"/>
      <c r="F231" s="149"/>
      <c r="G231" s="149"/>
      <c r="H231" s="149"/>
      <c r="I231" s="389"/>
      <c r="J231" s="388" t="str">
        <f t="shared" ca="1" si="8"/>
        <v/>
      </c>
      <c r="K231" s="149"/>
      <c r="L231" s="149"/>
      <c r="M231" s="149"/>
      <c r="N231" s="580"/>
      <c r="O231" s="580"/>
      <c r="P231" s="149"/>
      <c r="Q231" s="390"/>
      <c r="R231" s="391"/>
      <c r="S231" s="149"/>
      <c r="T231" s="149"/>
      <c r="U231" s="392"/>
      <c r="V231" s="149"/>
      <c r="W231" s="149"/>
      <c r="X231" s="149"/>
      <c r="Y231" s="149"/>
      <c r="Z231" s="149"/>
      <c r="AA231" s="149"/>
      <c r="AB231" s="149"/>
      <c r="AC231" s="149"/>
      <c r="AD231" s="149"/>
      <c r="AE231" s="149"/>
      <c r="AF231" s="149"/>
      <c r="AG231" s="149"/>
      <c r="AH231" s="149"/>
      <c r="AI231" s="149"/>
      <c r="AJ231" s="393"/>
      <c r="AK231" s="394"/>
      <c r="AL231" s="395"/>
      <c r="AM231" s="149"/>
      <c r="AN231" s="149"/>
      <c r="AO231" s="149"/>
      <c r="AP231" s="149"/>
      <c r="AQ231" s="149"/>
      <c r="AR231" s="149"/>
      <c r="AS231" s="149"/>
      <c r="AT231" s="149"/>
      <c r="AU231" s="149"/>
      <c r="AV231" s="149"/>
      <c r="AW231" s="149"/>
      <c r="AX231" s="149"/>
      <c r="AY231" s="149"/>
      <c r="AZ231" s="149"/>
      <c r="BA231" s="149"/>
      <c r="BB231" s="149"/>
      <c r="BC231" s="149"/>
      <c r="BD231" s="396"/>
      <c r="BE231" s="396"/>
      <c r="BF231" s="149"/>
      <c r="BG231" s="149"/>
      <c r="BH231" s="149"/>
      <c r="BI231" s="149"/>
      <c r="BJ231" s="149"/>
      <c r="BK231" s="149"/>
      <c r="BL231" s="149"/>
      <c r="BM231" s="149"/>
      <c r="BN231" s="397"/>
      <c r="BO231" s="394"/>
      <c r="BP231" s="398"/>
      <c r="BQ231" s="149"/>
      <c r="BR231" s="149"/>
      <c r="BS231" s="149"/>
      <c r="BT231" s="149"/>
      <c r="BU231" s="149"/>
      <c r="BV231" s="396"/>
      <c r="BW231" s="149"/>
      <c r="BX231" s="396"/>
      <c r="BY231" s="149"/>
      <c r="BZ231" s="149"/>
      <c r="CA231" s="149"/>
      <c r="CB231" s="149"/>
      <c r="CC231" s="396"/>
      <c r="CD231" s="399"/>
      <c r="CE231" s="400"/>
      <c r="CF231" s="149"/>
      <c r="CG231" s="149"/>
      <c r="CH231" s="149"/>
      <c r="CI231" s="149"/>
      <c r="CJ231" s="149"/>
      <c r="CK231" s="149"/>
      <c r="CL231" s="149"/>
      <c r="CM231" s="149"/>
      <c r="CN231" s="149"/>
      <c r="CO231" s="149"/>
      <c r="CP231" s="396"/>
      <c r="CQ231" s="149"/>
      <c r="CR231" s="149"/>
      <c r="CS231" s="401"/>
      <c r="CT231" s="149"/>
      <c r="CU231" s="149"/>
      <c r="CV231" s="149"/>
      <c r="CW231" s="149"/>
      <c r="CX231" s="149"/>
      <c r="CY231" s="402"/>
      <c r="CZ231" s="149"/>
      <c r="DA231" s="149"/>
      <c r="DB231" s="149"/>
      <c r="DC231" s="403"/>
      <c r="DD231" s="149"/>
      <c r="DE231" s="149"/>
      <c r="DF231" s="149"/>
      <c r="DG231" s="149"/>
      <c r="DH231" s="149"/>
      <c r="DI231" s="149"/>
      <c r="DJ231" s="149"/>
      <c r="DK231" s="149"/>
      <c r="DL231" s="404"/>
      <c r="DM231" s="149"/>
      <c r="DN231" s="149"/>
      <c r="DO231" s="149"/>
      <c r="DP231" s="149"/>
      <c r="DQ231" s="405"/>
      <c r="DR231" s="149"/>
      <c r="DS231" s="149"/>
      <c r="DT231" s="149"/>
      <c r="DU231" s="402"/>
      <c r="DV231" s="402"/>
      <c r="DW231" s="406"/>
      <c r="DX231" s="149"/>
      <c r="DY231" s="149"/>
      <c r="DZ231" s="149"/>
      <c r="EA231" s="149"/>
      <c r="EB231" s="149"/>
      <c r="EC231" s="149"/>
      <c r="ED231" s="149"/>
      <c r="EE231" s="149"/>
      <c r="EF231" s="149"/>
      <c r="EG231" s="149"/>
      <c r="EH231" s="149"/>
      <c r="EI231" s="149"/>
      <c r="EJ231" s="149"/>
      <c r="EK231" s="149"/>
      <c r="EL231" s="149"/>
      <c r="EM231" s="149"/>
      <c r="EN231" s="388"/>
      <c r="EO231" s="149"/>
      <c r="EP231" s="149"/>
      <c r="EQ231" s="149"/>
      <c r="ER231" s="149"/>
      <c r="ES231" s="149"/>
      <c r="ET231" s="396"/>
      <c r="EU231" s="149"/>
      <c r="EV231" s="149"/>
      <c r="EW231" s="149"/>
      <c r="EX231" s="149"/>
      <c r="EY231" s="149"/>
      <c r="EZ231" s="149"/>
      <c r="FA231" s="149"/>
      <c r="FB231" s="149"/>
      <c r="FC231" s="396"/>
      <c r="FD231" s="396"/>
      <c r="FE231" s="396"/>
      <c r="FF231" s="149"/>
      <c r="FG231" s="149"/>
      <c r="FH231" s="149"/>
      <c r="FI231" s="149"/>
      <c r="FJ231" s="149"/>
      <c r="FK231" s="149"/>
      <c r="FL231" s="149"/>
      <c r="FM231" s="149"/>
      <c r="FN231" s="149"/>
      <c r="FO231" s="149"/>
      <c r="FP231" s="149"/>
      <c r="FQ231" s="149"/>
      <c r="FR231" s="149"/>
      <c r="FS231" s="407"/>
      <c r="FT231" s="391"/>
      <c r="FU231" s="149"/>
      <c r="FV231" s="396"/>
      <c r="FW231" s="396"/>
      <c r="FX231" s="149"/>
      <c r="FY231" s="149"/>
      <c r="FZ231" s="149"/>
      <c r="GA231" s="149"/>
      <c r="GB231" s="149"/>
      <c r="GC231" s="149"/>
      <c r="GD231" s="408"/>
      <c r="GE231" s="149"/>
      <c r="GF231" s="149"/>
      <c r="GG231" s="149"/>
      <c r="GH231" s="149"/>
      <c r="GI231" s="149"/>
      <c r="GJ231" s="149"/>
      <c r="GK231" s="149"/>
      <c r="GL231" s="149"/>
      <c r="GM231" s="149"/>
      <c r="GN231" s="149"/>
      <c r="GO231" s="149"/>
      <c r="GP231" s="149"/>
      <c r="GQ231" s="149"/>
      <c r="GR231" s="149"/>
      <c r="GS231" s="149"/>
      <c r="GT231" s="149"/>
      <c r="GU231" s="149"/>
      <c r="GV231" s="149"/>
      <c r="GW231" s="149"/>
      <c r="GX231" s="149"/>
      <c r="GY231" s="149"/>
      <c r="GZ231" s="149"/>
      <c r="HA231" s="149"/>
      <c r="HB231" s="149"/>
      <c r="HC231" s="149"/>
      <c r="HD231" s="149"/>
      <c r="HE231" s="149"/>
      <c r="HF231" s="149"/>
      <c r="HG231" s="149"/>
      <c r="HH231" s="149"/>
      <c r="HI231" s="149"/>
      <c r="HJ231" s="149"/>
      <c r="HK231" s="149"/>
      <c r="HL231" s="149"/>
      <c r="HM231" s="149"/>
      <c r="HN231" s="149"/>
      <c r="HO231" s="149"/>
      <c r="HP231" s="149"/>
      <c r="HQ231" s="149"/>
      <c r="HR231" s="149"/>
      <c r="HS231" s="149"/>
      <c r="HT231" s="149"/>
      <c r="HU231" s="149"/>
      <c r="HV231" s="149"/>
      <c r="HW231" s="149"/>
      <c r="HX231" s="149"/>
      <c r="HY231" s="149"/>
      <c r="HZ231" s="149"/>
      <c r="IA231" s="149"/>
      <c r="IB231" s="149"/>
      <c r="IC231" s="149"/>
      <c r="ID231" s="149"/>
      <c r="IE231" s="390"/>
      <c r="IF231" s="149"/>
      <c r="IG231" s="149"/>
      <c r="IH231" s="149"/>
      <c r="II231" s="149"/>
      <c r="IJ231" s="149"/>
      <c r="IK231" s="149"/>
      <c r="IL231" s="149"/>
      <c r="IM231" s="149"/>
      <c r="IN231" s="149"/>
      <c r="IO231" s="149"/>
      <c r="IP231" s="149"/>
      <c r="IQ231" s="149"/>
      <c r="IR231" s="149"/>
      <c r="IS231" s="149"/>
      <c r="IT231" s="396"/>
      <c r="IU231" s="149"/>
      <c r="IV231" s="149"/>
    </row>
    <row r="232" spans="1:256" s="11" customFormat="1" ht="12.75" customHeight="1">
      <c r="A232" s="19"/>
      <c r="B232" s="19"/>
      <c r="C232" s="7"/>
      <c r="D232" s="19"/>
      <c r="E232" s="7"/>
      <c r="F232" s="7"/>
      <c r="G232" s="7"/>
      <c r="H232" s="19"/>
      <c r="I232" s="8"/>
      <c r="J232" s="19" t="str">
        <f t="shared" ca="1" si="8"/>
        <v/>
      </c>
      <c r="K232" s="7"/>
      <c r="L232" s="7"/>
      <c r="M232" s="7"/>
      <c r="N232" s="7"/>
      <c r="O232" s="7"/>
      <c r="P232" s="7"/>
      <c r="Q232" s="29"/>
      <c r="R232" s="30"/>
      <c r="S232" s="7"/>
      <c r="T232" s="7"/>
      <c r="U232" s="31"/>
      <c r="V232" s="7"/>
      <c r="W232" s="7"/>
      <c r="X232" s="7"/>
      <c r="Y232" s="7"/>
      <c r="Z232" s="7"/>
      <c r="AA232" s="7"/>
      <c r="AB232" s="7"/>
      <c r="AC232" s="7"/>
      <c r="AD232" s="7"/>
      <c r="AE232" s="7"/>
      <c r="AF232" s="7"/>
      <c r="AG232" s="7"/>
      <c r="AH232" s="7"/>
      <c r="AI232" s="7"/>
      <c r="AJ232" s="122"/>
      <c r="AK232" s="41"/>
      <c r="AL232" s="52"/>
      <c r="AM232" s="20"/>
      <c r="AN232" s="20"/>
      <c r="AO232" s="20"/>
      <c r="AP232" s="20"/>
      <c r="AQ232" s="7"/>
      <c r="AR232" s="7"/>
      <c r="AS232" s="7"/>
      <c r="AT232" s="7"/>
      <c r="AU232" s="7"/>
      <c r="AV232" s="7"/>
      <c r="AW232" s="7"/>
      <c r="AX232" s="7"/>
      <c r="AY232" s="7"/>
      <c r="AZ232" s="7"/>
      <c r="BA232" s="7"/>
      <c r="BB232" s="7"/>
      <c r="BC232" s="7"/>
      <c r="BD232" s="55"/>
      <c r="BE232" s="55"/>
      <c r="BF232" s="7"/>
      <c r="BG232" s="7"/>
      <c r="BH232" s="7"/>
      <c r="BI232" s="7"/>
      <c r="BJ232" s="7"/>
      <c r="BK232" s="7"/>
      <c r="BL232" s="7"/>
      <c r="BM232" s="7"/>
      <c r="BN232" s="61"/>
      <c r="BO232" s="62"/>
      <c r="BP232" s="50"/>
      <c r="BQ232" s="20"/>
      <c r="BR232" s="7"/>
      <c r="BS232" s="7"/>
      <c r="BT232" s="7"/>
      <c r="BU232" s="7"/>
      <c r="BV232" s="55"/>
      <c r="BW232" s="7"/>
      <c r="BX232" s="55"/>
      <c r="BY232" s="7"/>
      <c r="BZ232" s="7"/>
      <c r="CA232" s="7"/>
      <c r="CB232" s="7"/>
      <c r="CC232" s="55"/>
      <c r="CD232" s="104"/>
      <c r="CE232" s="105"/>
      <c r="CF232" s="7"/>
      <c r="CG232" s="7"/>
      <c r="CH232" s="7"/>
      <c r="CI232" s="7"/>
      <c r="CJ232" s="7"/>
      <c r="CK232" s="7"/>
      <c r="CL232" s="7"/>
      <c r="CM232" s="7"/>
      <c r="CN232" s="7"/>
      <c r="CO232" s="7"/>
      <c r="CP232" s="55"/>
      <c r="CQ232" s="7"/>
      <c r="CR232" s="7"/>
      <c r="CS232" s="130"/>
      <c r="CT232" s="7"/>
      <c r="CU232" s="7"/>
      <c r="CV232" s="7"/>
      <c r="CW232" s="7"/>
      <c r="CX232" s="7"/>
      <c r="CY232" s="73"/>
      <c r="CZ232" s="7"/>
      <c r="DA232" s="7"/>
      <c r="DB232" s="7"/>
      <c r="DC232" s="48"/>
      <c r="DD232" s="7"/>
      <c r="DE232" s="7"/>
      <c r="DF232" s="7"/>
      <c r="DG232" s="7"/>
      <c r="DH232" s="7"/>
      <c r="DI232" s="7"/>
      <c r="DJ232" s="7"/>
      <c r="DK232" s="7"/>
      <c r="DL232" s="74"/>
      <c r="DM232" s="7"/>
      <c r="DN232" s="7"/>
      <c r="DO232" s="7"/>
      <c r="DP232" s="7"/>
      <c r="DQ232" s="58"/>
      <c r="DR232" s="7"/>
      <c r="DS232" s="7"/>
      <c r="DT232" s="7"/>
      <c r="DU232" s="73"/>
      <c r="DV232" s="73"/>
      <c r="DW232" s="152"/>
      <c r="DX232" s="7"/>
      <c r="DY232" s="7"/>
      <c r="DZ232" s="7"/>
      <c r="EA232" s="7"/>
      <c r="EB232" s="7"/>
      <c r="EC232" s="7"/>
      <c r="ED232" s="7"/>
      <c r="EE232" s="7"/>
      <c r="EF232" s="7"/>
      <c r="EG232" s="7"/>
      <c r="EH232" s="7"/>
      <c r="EI232" s="7"/>
      <c r="EJ232" s="7"/>
      <c r="EK232" s="7"/>
      <c r="EL232" s="7"/>
      <c r="EM232" s="7"/>
      <c r="EN232" s="19"/>
      <c r="EO232" s="7"/>
      <c r="EP232" s="7"/>
      <c r="EQ232" s="7"/>
      <c r="ER232" s="7"/>
      <c r="ES232" s="7"/>
      <c r="ET232" s="55"/>
      <c r="EU232" s="7"/>
      <c r="EV232" s="7"/>
      <c r="EW232" s="7"/>
      <c r="EX232" s="7"/>
      <c r="EY232" s="7"/>
      <c r="EZ232" s="7"/>
      <c r="FA232" s="7"/>
      <c r="FB232" s="7"/>
      <c r="FC232" s="55"/>
      <c r="FD232" s="55"/>
      <c r="FE232" s="55"/>
      <c r="FF232" s="7"/>
      <c r="FG232" s="7"/>
      <c r="FH232" s="7"/>
      <c r="FI232" s="7"/>
      <c r="FJ232" s="7"/>
      <c r="FK232" s="7"/>
      <c r="FL232" s="7"/>
      <c r="FM232" s="7"/>
      <c r="FN232" s="7"/>
      <c r="FO232" s="7"/>
      <c r="FP232" s="7"/>
      <c r="FQ232" s="7"/>
      <c r="FR232" s="7"/>
      <c r="FS232" s="77"/>
      <c r="FT232" s="30"/>
      <c r="FU232" s="7"/>
      <c r="FV232" s="55"/>
      <c r="FW232" s="55"/>
      <c r="FX232" s="7"/>
      <c r="FY232" s="7"/>
      <c r="FZ232" s="7"/>
      <c r="GA232" s="7"/>
      <c r="GB232" s="7"/>
      <c r="GC232" s="7"/>
      <c r="GD232" s="103"/>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29"/>
      <c r="IF232" s="7"/>
      <c r="IG232" s="7"/>
      <c r="IH232" s="7"/>
      <c r="II232" s="7"/>
      <c r="IJ232" s="7"/>
      <c r="IK232" s="7"/>
      <c r="IL232" s="7"/>
      <c r="IM232" s="7"/>
      <c r="IN232" s="7"/>
      <c r="IO232" s="7"/>
      <c r="IP232" s="7"/>
      <c r="IQ232" s="7"/>
      <c r="IR232" s="7"/>
      <c r="IS232" s="7"/>
      <c r="IT232" s="55"/>
      <c r="IU232" s="7"/>
      <c r="IV232" s="7"/>
    </row>
    <row r="233" spans="1:256" s="11" customFormat="1" ht="12.75" customHeight="1">
      <c r="A233" s="19"/>
      <c r="B233" s="19"/>
      <c r="C233" s="7"/>
      <c r="D233" s="19"/>
      <c r="E233" s="7"/>
      <c r="F233" s="7"/>
      <c r="G233" s="7"/>
      <c r="H233" s="19"/>
      <c r="I233" s="8"/>
      <c r="J233" s="19" t="str">
        <f t="shared" ca="1" si="8"/>
        <v/>
      </c>
      <c r="K233" s="7"/>
      <c r="L233" s="7"/>
      <c r="M233" s="7"/>
      <c r="N233" s="7"/>
      <c r="O233" s="7"/>
      <c r="P233" s="7"/>
      <c r="Q233" s="29"/>
      <c r="R233" s="30"/>
      <c r="S233" s="7"/>
      <c r="T233" s="7"/>
      <c r="U233" s="31"/>
      <c r="V233" s="7"/>
      <c r="W233" s="7"/>
      <c r="X233" s="7"/>
      <c r="Y233" s="7"/>
      <c r="Z233" s="7"/>
      <c r="AA233" s="7"/>
      <c r="AB233" s="7"/>
      <c r="AC233" s="7"/>
      <c r="AD233" s="7"/>
      <c r="AE233" s="7"/>
      <c r="AF233" s="7"/>
      <c r="AG233" s="7"/>
      <c r="AH233" s="7"/>
      <c r="AI233" s="7"/>
      <c r="AJ233" s="122"/>
      <c r="AK233" s="41"/>
      <c r="AL233" s="52"/>
      <c r="AM233" s="20"/>
      <c r="AN233" s="20"/>
      <c r="AO233" s="20"/>
      <c r="AP233" s="20"/>
      <c r="AQ233" s="7"/>
      <c r="AR233" s="7"/>
      <c r="AS233" s="7"/>
      <c r="AT233" s="7"/>
      <c r="AU233" s="7"/>
      <c r="AV233" s="7"/>
      <c r="AW233" s="7"/>
      <c r="AX233" s="7"/>
      <c r="AY233" s="7"/>
      <c r="AZ233" s="7"/>
      <c r="BA233" s="7"/>
      <c r="BB233" s="7"/>
      <c r="BC233" s="7"/>
      <c r="BD233" s="55"/>
      <c r="BE233" s="55"/>
      <c r="BF233" s="7"/>
      <c r="BG233" s="7"/>
      <c r="BH233" s="7"/>
      <c r="BI233" s="7"/>
      <c r="BJ233" s="7"/>
      <c r="BK233" s="7"/>
      <c r="BL233" s="7"/>
      <c r="BM233" s="7"/>
      <c r="BN233" s="61"/>
      <c r="BO233" s="62"/>
      <c r="BP233" s="50"/>
      <c r="BQ233" s="20"/>
      <c r="BR233" s="7"/>
      <c r="BS233" s="7"/>
      <c r="BT233" s="7"/>
      <c r="BU233" s="7"/>
      <c r="BV233" s="55"/>
      <c r="BW233" s="7"/>
      <c r="BX233" s="55"/>
      <c r="BY233" s="7"/>
      <c r="BZ233" s="7"/>
      <c r="CA233" s="7"/>
      <c r="CB233" s="7"/>
      <c r="CC233" s="55"/>
      <c r="CD233" s="104"/>
      <c r="CE233" s="105"/>
      <c r="CF233" s="7"/>
      <c r="CG233" s="7"/>
      <c r="CH233" s="7"/>
      <c r="CI233" s="7"/>
      <c r="CJ233" s="7"/>
      <c r="CK233" s="7"/>
      <c r="CL233" s="7"/>
      <c r="CM233" s="7"/>
      <c r="CN233" s="7"/>
      <c r="CO233" s="7"/>
      <c r="CP233" s="55"/>
      <c r="CQ233" s="7"/>
      <c r="CR233" s="7"/>
      <c r="CS233" s="130"/>
      <c r="CT233" s="7"/>
      <c r="CU233" s="7"/>
      <c r="CV233" s="7"/>
      <c r="CW233" s="7"/>
      <c r="CX233" s="7"/>
      <c r="CY233" s="73"/>
      <c r="CZ233" s="7"/>
      <c r="DA233" s="7"/>
      <c r="DB233" s="7"/>
      <c r="DC233" s="48"/>
      <c r="DD233" s="7"/>
      <c r="DE233" s="7"/>
      <c r="DF233" s="7"/>
      <c r="DG233" s="7"/>
      <c r="DH233" s="7"/>
      <c r="DI233" s="7"/>
      <c r="DJ233" s="7"/>
      <c r="DK233" s="7"/>
      <c r="DL233" s="74"/>
      <c r="DM233" s="7"/>
      <c r="DN233" s="7"/>
      <c r="DO233" s="7"/>
      <c r="DP233" s="7"/>
      <c r="DQ233" s="58"/>
      <c r="DR233" s="7"/>
      <c r="DS233" s="7"/>
      <c r="DT233" s="7"/>
      <c r="DU233" s="73"/>
      <c r="DV233" s="73"/>
      <c r="DW233" s="152"/>
      <c r="DX233" s="7"/>
      <c r="DY233" s="7"/>
      <c r="DZ233" s="7"/>
      <c r="EA233" s="7"/>
      <c r="EB233" s="7"/>
      <c r="EC233" s="7"/>
      <c r="ED233" s="7"/>
      <c r="EE233" s="7"/>
      <c r="EF233" s="7"/>
      <c r="EG233" s="7"/>
      <c r="EH233" s="7"/>
      <c r="EI233" s="7"/>
      <c r="EJ233" s="7"/>
      <c r="EK233" s="7"/>
      <c r="EL233" s="7"/>
      <c r="EM233" s="7"/>
      <c r="EN233" s="19"/>
      <c r="EO233" s="7"/>
      <c r="EP233" s="7"/>
      <c r="EQ233" s="7"/>
      <c r="ER233" s="7"/>
      <c r="ES233" s="7"/>
      <c r="ET233" s="55"/>
      <c r="EU233" s="7"/>
      <c r="EV233" s="7"/>
      <c r="EW233" s="7"/>
      <c r="EX233" s="7"/>
      <c r="EY233" s="7"/>
      <c r="EZ233" s="7"/>
      <c r="FA233" s="7"/>
      <c r="FB233" s="7"/>
      <c r="FC233" s="55"/>
      <c r="FD233" s="55"/>
      <c r="FE233" s="55"/>
      <c r="FF233" s="7"/>
      <c r="FG233" s="7"/>
      <c r="FH233" s="7"/>
      <c r="FI233" s="7"/>
      <c r="FJ233" s="7"/>
      <c r="FK233" s="7"/>
      <c r="FL233" s="7"/>
      <c r="FM233" s="7"/>
      <c r="FN233" s="7"/>
      <c r="FO233" s="7"/>
      <c r="FP233" s="7"/>
      <c r="FQ233" s="7"/>
      <c r="FR233" s="7"/>
      <c r="FS233" s="77"/>
      <c r="FT233" s="30"/>
      <c r="FU233" s="7"/>
      <c r="FV233" s="55"/>
      <c r="FW233" s="55"/>
      <c r="FX233" s="7"/>
      <c r="FY233" s="7"/>
      <c r="FZ233" s="7"/>
      <c r="GA233" s="7"/>
      <c r="GB233" s="7"/>
      <c r="GC233" s="7"/>
      <c r="GD233" s="103"/>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29"/>
      <c r="IF233" s="7"/>
      <c r="IG233" s="7"/>
      <c r="IH233" s="7"/>
      <c r="II233" s="7"/>
      <c r="IJ233" s="7"/>
      <c r="IK233" s="7"/>
      <c r="IL233" s="7"/>
      <c r="IM233" s="7"/>
      <c r="IN233" s="7"/>
      <c r="IO233" s="7"/>
      <c r="IP233" s="7"/>
      <c r="IQ233" s="7"/>
      <c r="IR233" s="7"/>
      <c r="IS233" s="7"/>
      <c r="IT233" s="55"/>
      <c r="IU233" s="7"/>
      <c r="IV233" s="7"/>
    </row>
    <row r="234" spans="1:256" s="11" customFormat="1" ht="12.75" customHeight="1">
      <c r="A234" s="19"/>
      <c r="B234" s="19"/>
      <c r="C234" s="7"/>
      <c r="D234" s="19"/>
      <c r="E234" s="7"/>
      <c r="F234" s="7"/>
      <c r="G234" s="7"/>
      <c r="H234" s="19"/>
      <c r="I234" s="8"/>
      <c r="J234" s="19" t="str">
        <f t="shared" ca="1" si="8"/>
        <v/>
      </c>
      <c r="K234" s="7"/>
      <c r="L234" s="7"/>
      <c r="M234" s="7"/>
      <c r="N234" s="7"/>
      <c r="O234" s="7"/>
      <c r="P234" s="7"/>
      <c r="Q234" s="29"/>
      <c r="R234" s="30"/>
      <c r="S234" s="7"/>
      <c r="T234" s="7"/>
      <c r="U234" s="31"/>
      <c r="V234" s="7"/>
      <c r="W234" s="7"/>
      <c r="X234" s="7"/>
      <c r="Y234" s="7"/>
      <c r="Z234" s="7"/>
      <c r="AA234" s="7"/>
      <c r="AB234" s="7"/>
      <c r="AC234" s="7"/>
      <c r="AD234" s="7"/>
      <c r="AE234" s="7"/>
      <c r="AF234" s="7"/>
      <c r="AG234" s="7"/>
      <c r="AH234" s="7"/>
      <c r="AI234" s="7"/>
      <c r="AJ234" s="122"/>
      <c r="AK234" s="41"/>
      <c r="AL234" s="52"/>
      <c r="AM234" s="20"/>
      <c r="AN234" s="20"/>
      <c r="AO234" s="20"/>
      <c r="AP234" s="20"/>
      <c r="AQ234" s="7"/>
      <c r="AR234" s="7"/>
      <c r="AS234" s="7"/>
      <c r="AT234" s="7"/>
      <c r="AU234" s="7"/>
      <c r="AV234" s="7"/>
      <c r="AW234" s="7"/>
      <c r="AX234" s="7"/>
      <c r="AY234" s="7"/>
      <c r="AZ234" s="7"/>
      <c r="BA234" s="7"/>
      <c r="BB234" s="7"/>
      <c r="BC234" s="7"/>
      <c r="BD234" s="55"/>
      <c r="BE234" s="55"/>
      <c r="BF234" s="7"/>
      <c r="BG234" s="7"/>
      <c r="BH234" s="7"/>
      <c r="BI234" s="7"/>
      <c r="BJ234" s="7"/>
      <c r="BK234" s="7"/>
      <c r="BL234" s="7"/>
      <c r="BM234" s="7"/>
      <c r="BN234" s="61"/>
      <c r="BO234" s="62"/>
      <c r="BP234" s="50"/>
      <c r="BQ234" s="20"/>
      <c r="BR234" s="7"/>
      <c r="BS234" s="7"/>
      <c r="BT234" s="7"/>
      <c r="BU234" s="7"/>
      <c r="BV234" s="55"/>
      <c r="BW234" s="7"/>
      <c r="BX234" s="55"/>
      <c r="BY234" s="7"/>
      <c r="BZ234" s="7"/>
      <c r="CA234" s="7"/>
      <c r="CB234" s="7"/>
      <c r="CC234" s="55"/>
      <c r="CD234" s="104"/>
      <c r="CE234" s="105"/>
      <c r="CF234" s="7"/>
      <c r="CG234" s="7"/>
      <c r="CH234" s="7"/>
      <c r="CI234" s="7"/>
      <c r="CJ234" s="7"/>
      <c r="CK234" s="7"/>
      <c r="CL234" s="7"/>
      <c r="CM234" s="7"/>
      <c r="CN234" s="7"/>
      <c r="CO234" s="7"/>
      <c r="CP234" s="55"/>
      <c r="CQ234" s="7"/>
      <c r="CR234" s="7"/>
      <c r="CS234" s="130"/>
      <c r="CT234" s="7"/>
      <c r="CU234" s="7"/>
      <c r="CV234" s="7"/>
      <c r="CW234" s="7"/>
      <c r="CX234" s="7"/>
      <c r="CY234" s="73"/>
      <c r="CZ234" s="7"/>
      <c r="DA234" s="7"/>
      <c r="DB234" s="7"/>
      <c r="DC234" s="48"/>
      <c r="DD234" s="7"/>
      <c r="DE234" s="7"/>
      <c r="DF234" s="7"/>
      <c r="DG234" s="7"/>
      <c r="DH234" s="7"/>
      <c r="DI234" s="7"/>
      <c r="DJ234" s="7"/>
      <c r="DK234" s="7"/>
      <c r="DL234" s="74"/>
      <c r="DM234" s="7"/>
      <c r="DN234" s="7"/>
      <c r="DO234" s="7"/>
      <c r="DP234" s="7"/>
      <c r="DQ234" s="58"/>
      <c r="DR234" s="7"/>
      <c r="DS234" s="7"/>
      <c r="DT234" s="7"/>
      <c r="DU234" s="73"/>
      <c r="DV234" s="73"/>
      <c r="DW234" s="152"/>
      <c r="DX234" s="7"/>
      <c r="DY234" s="7"/>
      <c r="DZ234" s="7"/>
      <c r="EA234" s="7"/>
      <c r="EB234" s="7"/>
      <c r="EC234" s="7"/>
      <c r="ED234" s="7"/>
      <c r="EE234" s="7"/>
      <c r="EF234" s="7"/>
      <c r="EG234" s="7"/>
      <c r="EH234" s="7"/>
      <c r="EI234" s="7"/>
      <c r="EJ234" s="7"/>
      <c r="EK234" s="7"/>
      <c r="EL234" s="7"/>
      <c r="EM234" s="7"/>
      <c r="EN234" s="19"/>
      <c r="EO234" s="7"/>
      <c r="EP234" s="7"/>
      <c r="EQ234" s="7"/>
      <c r="ER234" s="7"/>
      <c r="ES234" s="7"/>
      <c r="ET234" s="55"/>
      <c r="EU234" s="7"/>
      <c r="EV234" s="7"/>
      <c r="EW234" s="7"/>
      <c r="EX234" s="7"/>
      <c r="EY234" s="7"/>
      <c r="EZ234" s="7"/>
      <c r="FA234" s="7"/>
      <c r="FB234" s="7"/>
      <c r="FC234" s="55"/>
      <c r="FD234" s="55"/>
      <c r="FE234" s="55"/>
      <c r="FF234" s="7"/>
      <c r="FG234" s="7"/>
      <c r="FH234" s="7"/>
      <c r="FI234" s="7"/>
      <c r="FJ234" s="7"/>
      <c r="FK234" s="7"/>
      <c r="FL234" s="7"/>
      <c r="FM234" s="7"/>
      <c r="FN234" s="7"/>
      <c r="FO234" s="7"/>
      <c r="FP234" s="7"/>
      <c r="FQ234" s="7"/>
      <c r="FR234" s="7"/>
      <c r="FS234" s="77"/>
      <c r="FT234" s="30"/>
      <c r="FU234" s="7"/>
      <c r="FV234" s="55"/>
      <c r="FW234" s="55"/>
      <c r="FX234" s="7"/>
      <c r="FY234" s="7"/>
      <c r="FZ234" s="7"/>
      <c r="GA234" s="7"/>
      <c r="GB234" s="7"/>
      <c r="GC234" s="7"/>
      <c r="GD234" s="103"/>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29"/>
      <c r="IF234" s="7"/>
      <c r="IG234" s="7"/>
      <c r="IH234" s="7"/>
      <c r="II234" s="7"/>
      <c r="IJ234" s="7"/>
      <c r="IK234" s="7"/>
      <c r="IL234" s="7"/>
      <c r="IM234" s="7"/>
      <c r="IN234" s="7"/>
      <c r="IO234" s="7"/>
      <c r="IP234" s="7"/>
      <c r="IQ234" s="7"/>
      <c r="IR234" s="7"/>
      <c r="IS234" s="7"/>
      <c r="IT234" s="55"/>
      <c r="IU234" s="7"/>
      <c r="IV234" s="7"/>
    </row>
    <row r="235" spans="1:256" s="11" customFormat="1" ht="12.75" customHeight="1">
      <c r="A235" s="19"/>
      <c r="B235" s="19"/>
      <c r="C235" s="7"/>
      <c r="D235" s="19"/>
      <c r="E235" s="7"/>
      <c r="F235" s="7"/>
      <c r="G235" s="7"/>
      <c r="H235" s="19"/>
      <c r="I235" s="8"/>
      <c r="J235" s="19" t="str">
        <f t="shared" ca="1" si="8"/>
        <v/>
      </c>
      <c r="K235" s="7"/>
      <c r="L235" s="7"/>
      <c r="M235" s="7"/>
      <c r="N235" s="7"/>
      <c r="O235" s="7"/>
      <c r="P235" s="7"/>
      <c r="Q235" s="29"/>
      <c r="R235" s="30"/>
      <c r="S235" s="7"/>
      <c r="T235" s="7"/>
      <c r="U235" s="31"/>
      <c r="V235" s="7"/>
      <c r="W235" s="7"/>
      <c r="X235" s="7"/>
      <c r="Y235" s="7"/>
      <c r="Z235" s="7"/>
      <c r="AA235" s="7"/>
      <c r="AB235" s="7"/>
      <c r="AC235" s="7"/>
      <c r="AD235" s="7"/>
      <c r="AE235" s="7"/>
      <c r="AF235" s="7"/>
      <c r="AG235" s="7"/>
      <c r="AH235" s="7"/>
      <c r="AI235" s="7"/>
      <c r="AJ235" s="122"/>
      <c r="AK235" s="41"/>
      <c r="AL235" s="52"/>
      <c r="AM235" s="20"/>
      <c r="AN235" s="20"/>
      <c r="AO235" s="20"/>
      <c r="AP235" s="20"/>
      <c r="AQ235" s="7"/>
      <c r="AR235" s="7"/>
      <c r="AS235" s="7"/>
      <c r="AT235" s="7"/>
      <c r="AU235" s="7"/>
      <c r="AV235" s="7"/>
      <c r="AW235" s="7"/>
      <c r="AX235" s="7"/>
      <c r="AY235" s="7"/>
      <c r="AZ235" s="7"/>
      <c r="BA235" s="7"/>
      <c r="BB235" s="7"/>
      <c r="BC235" s="7"/>
      <c r="BD235" s="55"/>
      <c r="BE235" s="55"/>
      <c r="BF235" s="7"/>
      <c r="BG235" s="7"/>
      <c r="BH235" s="7"/>
      <c r="BI235" s="7"/>
      <c r="BJ235" s="7"/>
      <c r="BK235" s="7"/>
      <c r="BL235" s="7"/>
      <c r="BM235" s="7"/>
      <c r="BN235" s="61"/>
      <c r="BO235" s="62"/>
      <c r="BP235" s="50"/>
      <c r="BQ235" s="20"/>
      <c r="BR235" s="7"/>
      <c r="BS235" s="7"/>
      <c r="BT235" s="7"/>
      <c r="BU235" s="7"/>
      <c r="BV235" s="55"/>
      <c r="BW235" s="7"/>
      <c r="BX235" s="55"/>
      <c r="BY235" s="7"/>
      <c r="BZ235" s="7"/>
      <c r="CA235" s="7"/>
      <c r="CB235" s="7"/>
      <c r="CC235" s="55"/>
      <c r="CD235" s="104"/>
      <c r="CE235" s="105"/>
      <c r="CF235" s="7"/>
      <c r="CG235" s="7"/>
      <c r="CH235" s="7"/>
      <c r="CI235" s="7"/>
      <c r="CJ235" s="7"/>
      <c r="CK235" s="7"/>
      <c r="CL235" s="7"/>
      <c r="CM235" s="7"/>
      <c r="CN235" s="7"/>
      <c r="CO235" s="7"/>
      <c r="CP235" s="55"/>
      <c r="CQ235" s="7"/>
      <c r="CR235" s="7"/>
      <c r="CS235" s="130"/>
      <c r="CT235" s="7"/>
      <c r="CU235" s="7"/>
      <c r="CV235" s="7"/>
      <c r="CW235" s="7"/>
      <c r="CX235" s="7"/>
      <c r="CY235" s="73"/>
      <c r="CZ235" s="7"/>
      <c r="DA235" s="7"/>
      <c r="DB235" s="7"/>
      <c r="DC235" s="48"/>
      <c r="DD235" s="7"/>
      <c r="DE235" s="7"/>
      <c r="DF235" s="7"/>
      <c r="DG235" s="7"/>
      <c r="DH235" s="7"/>
      <c r="DI235" s="7"/>
      <c r="DJ235" s="7"/>
      <c r="DK235" s="7"/>
      <c r="DL235" s="74"/>
      <c r="DM235" s="7"/>
      <c r="DN235" s="7"/>
      <c r="DO235" s="7"/>
      <c r="DP235" s="7"/>
      <c r="DQ235" s="58"/>
      <c r="DR235" s="7"/>
      <c r="DS235" s="7"/>
      <c r="DT235" s="7"/>
      <c r="DU235" s="73"/>
      <c r="DV235" s="73"/>
      <c r="DW235" s="152"/>
      <c r="DX235" s="7"/>
      <c r="DY235" s="7"/>
      <c r="DZ235" s="7"/>
      <c r="EA235" s="7"/>
      <c r="EB235" s="7"/>
      <c r="EC235" s="7"/>
      <c r="ED235" s="7"/>
      <c r="EE235" s="7"/>
      <c r="EF235" s="7"/>
      <c r="EG235" s="7"/>
      <c r="EH235" s="7"/>
      <c r="EI235" s="7"/>
      <c r="EJ235" s="7"/>
      <c r="EK235" s="7"/>
      <c r="EL235" s="7"/>
      <c r="EM235" s="7"/>
      <c r="EN235" s="19"/>
      <c r="EO235" s="7"/>
      <c r="EP235" s="7"/>
      <c r="EQ235" s="7"/>
      <c r="ER235" s="7"/>
      <c r="ES235" s="7"/>
      <c r="ET235" s="55"/>
      <c r="EU235" s="7"/>
      <c r="EV235" s="7"/>
      <c r="EW235" s="7"/>
      <c r="EX235" s="7"/>
      <c r="EY235" s="7"/>
      <c r="EZ235" s="7"/>
      <c r="FA235" s="7"/>
      <c r="FB235" s="7"/>
      <c r="FC235" s="55"/>
      <c r="FD235" s="55"/>
      <c r="FE235" s="55"/>
      <c r="FF235" s="7"/>
      <c r="FG235" s="7"/>
      <c r="FH235" s="7"/>
      <c r="FI235" s="7"/>
      <c r="FJ235" s="7"/>
      <c r="FK235" s="7"/>
      <c r="FL235" s="7"/>
      <c r="FM235" s="7"/>
      <c r="FN235" s="7"/>
      <c r="FO235" s="7"/>
      <c r="FP235" s="7"/>
      <c r="FQ235" s="7"/>
      <c r="FR235" s="7"/>
      <c r="FS235" s="77"/>
      <c r="FT235" s="30"/>
      <c r="FU235" s="7"/>
      <c r="FV235" s="55"/>
      <c r="FW235" s="55"/>
      <c r="FX235" s="7"/>
      <c r="FY235" s="7"/>
      <c r="FZ235" s="7"/>
      <c r="GA235" s="7"/>
      <c r="GB235" s="7"/>
      <c r="GC235" s="7"/>
      <c r="GD235" s="103"/>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29"/>
      <c r="IF235" s="7"/>
      <c r="IG235" s="7"/>
      <c r="IH235" s="7"/>
      <c r="II235" s="7"/>
      <c r="IJ235" s="7"/>
      <c r="IK235" s="7"/>
      <c r="IL235" s="7"/>
      <c r="IM235" s="7"/>
      <c r="IN235" s="7"/>
      <c r="IO235" s="7"/>
      <c r="IP235" s="7"/>
      <c r="IQ235" s="7"/>
      <c r="IR235" s="7"/>
      <c r="IS235" s="7"/>
      <c r="IT235" s="55"/>
      <c r="IU235" s="7"/>
      <c r="IV235" s="7"/>
    </row>
    <row r="236" spans="1:256" s="11" customFormat="1" ht="12.75" customHeight="1">
      <c r="A236" s="19"/>
      <c r="B236" s="19"/>
      <c r="C236" s="7"/>
      <c r="D236" s="19"/>
      <c r="E236" s="7"/>
      <c r="F236" s="7"/>
      <c r="G236" s="7"/>
      <c r="H236" s="19"/>
      <c r="I236" s="8"/>
      <c r="J236" s="19" t="str">
        <f t="shared" ca="1" si="8"/>
        <v/>
      </c>
      <c r="K236" s="7"/>
      <c r="L236" s="7"/>
      <c r="M236" s="7"/>
      <c r="N236" s="7"/>
      <c r="O236" s="7"/>
      <c r="P236" s="7"/>
      <c r="Q236" s="29"/>
      <c r="R236" s="30"/>
      <c r="S236" s="7"/>
      <c r="T236" s="7"/>
      <c r="U236" s="31"/>
      <c r="V236" s="7"/>
      <c r="W236" s="7"/>
      <c r="X236" s="7"/>
      <c r="Y236" s="7"/>
      <c r="Z236" s="7"/>
      <c r="AA236" s="7"/>
      <c r="AB236" s="7"/>
      <c r="AC236" s="7"/>
      <c r="AD236" s="7"/>
      <c r="AE236" s="7"/>
      <c r="AF236" s="7"/>
      <c r="AG236" s="7"/>
      <c r="AH236" s="7"/>
      <c r="AI236" s="7"/>
      <c r="AJ236" s="122"/>
      <c r="AK236" s="41"/>
      <c r="AL236" s="52"/>
      <c r="AM236" s="20"/>
      <c r="AN236" s="20"/>
      <c r="AO236" s="20"/>
      <c r="AP236" s="20"/>
      <c r="AQ236" s="7"/>
      <c r="AR236" s="7"/>
      <c r="AS236" s="7"/>
      <c r="AT236" s="7"/>
      <c r="AU236" s="7"/>
      <c r="AV236" s="7"/>
      <c r="AW236" s="7"/>
      <c r="AX236" s="7"/>
      <c r="AY236" s="7"/>
      <c r="AZ236" s="7"/>
      <c r="BA236" s="7"/>
      <c r="BB236" s="7"/>
      <c r="BC236" s="7"/>
      <c r="BD236" s="55"/>
      <c r="BE236" s="55"/>
      <c r="BF236" s="7"/>
      <c r="BG236" s="7"/>
      <c r="BH236" s="7"/>
      <c r="BI236" s="7"/>
      <c r="BJ236" s="7"/>
      <c r="BK236" s="7"/>
      <c r="BL236" s="7"/>
      <c r="BM236" s="7"/>
      <c r="BN236" s="61"/>
      <c r="BO236" s="62"/>
      <c r="BP236" s="50"/>
      <c r="BQ236" s="20"/>
      <c r="BR236" s="7"/>
      <c r="BS236" s="7"/>
      <c r="BT236" s="7"/>
      <c r="BU236" s="7"/>
      <c r="BV236" s="55"/>
      <c r="BW236" s="7"/>
      <c r="BX236" s="55"/>
      <c r="BY236" s="7"/>
      <c r="BZ236" s="7"/>
      <c r="CA236" s="7"/>
      <c r="CB236" s="7"/>
      <c r="CC236" s="55"/>
      <c r="CD236" s="104"/>
      <c r="CE236" s="105"/>
      <c r="CF236" s="7"/>
      <c r="CG236" s="7"/>
      <c r="CH236" s="7"/>
      <c r="CI236" s="7"/>
      <c r="CJ236" s="7"/>
      <c r="CK236" s="7"/>
      <c r="CL236" s="7"/>
      <c r="CM236" s="7"/>
      <c r="CN236" s="7"/>
      <c r="CO236" s="7"/>
      <c r="CP236" s="55"/>
      <c r="CQ236" s="7"/>
      <c r="CR236" s="7"/>
      <c r="CS236" s="130"/>
      <c r="CT236" s="7"/>
      <c r="CU236" s="7"/>
      <c r="CV236" s="7"/>
      <c r="CW236" s="7"/>
      <c r="CX236" s="7"/>
      <c r="CY236" s="73"/>
      <c r="CZ236" s="7"/>
      <c r="DA236" s="7"/>
      <c r="DB236" s="7"/>
      <c r="DC236" s="48"/>
      <c r="DD236" s="7"/>
      <c r="DE236" s="7"/>
      <c r="DF236" s="7"/>
      <c r="DG236" s="7"/>
      <c r="DH236" s="7"/>
      <c r="DI236" s="7"/>
      <c r="DJ236" s="7"/>
      <c r="DK236" s="7"/>
      <c r="DL236" s="74"/>
      <c r="DM236" s="7"/>
      <c r="DN236" s="7"/>
      <c r="DO236" s="7"/>
      <c r="DP236" s="7"/>
      <c r="DQ236" s="58"/>
      <c r="DR236" s="7"/>
      <c r="DS236" s="7"/>
      <c r="DT236" s="7"/>
      <c r="DU236" s="73"/>
      <c r="DV236" s="73"/>
      <c r="DW236" s="152"/>
      <c r="DX236" s="7"/>
      <c r="DY236" s="7"/>
      <c r="DZ236" s="7"/>
      <c r="EA236" s="7"/>
      <c r="EB236" s="7"/>
      <c r="EC236" s="7"/>
      <c r="ED236" s="7"/>
      <c r="EE236" s="7"/>
      <c r="EF236" s="7"/>
      <c r="EG236" s="7"/>
      <c r="EH236" s="7"/>
      <c r="EI236" s="7"/>
      <c r="EJ236" s="7"/>
      <c r="EK236" s="7"/>
      <c r="EL236" s="7"/>
      <c r="EM236" s="7"/>
      <c r="EN236" s="19"/>
      <c r="EO236" s="7"/>
      <c r="EP236" s="7"/>
      <c r="EQ236" s="7"/>
      <c r="ER236" s="7"/>
      <c r="ES236" s="7"/>
      <c r="ET236" s="55"/>
      <c r="EU236" s="7"/>
      <c r="EV236" s="7"/>
      <c r="EW236" s="7"/>
      <c r="EX236" s="7"/>
      <c r="EY236" s="7"/>
      <c r="EZ236" s="7"/>
      <c r="FA236" s="7"/>
      <c r="FB236" s="7"/>
      <c r="FC236" s="55"/>
      <c r="FD236" s="55"/>
      <c r="FE236" s="55"/>
      <c r="FF236" s="7"/>
      <c r="FG236" s="7"/>
      <c r="FH236" s="7"/>
      <c r="FI236" s="7"/>
      <c r="FJ236" s="7"/>
      <c r="FK236" s="7"/>
      <c r="FL236" s="7"/>
      <c r="FM236" s="7"/>
      <c r="FN236" s="7"/>
      <c r="FO236" s="7"/>
      <c r="FP236" s="7"/>
      <c r="FQ236" s="7"/>
      <c r="FR236" s="7"/>
      <c r="FS236" s="77"/>
      <c r="FT236" s="30"/>
      <c r="FU236" s="7"/>
      <c r="FV236" s="55"/>
      <c r="FW236" s="55"/>
      <c r="FX236" s="7"/>
      <c r="FY236" s="7"/>
      <c r="FZ236" s="7"/>
      <c r="GA236" s="7"/>
      <c r="GB236" s="7"/>
      <c r="GC236" s="7"/>
      <c r="GD236" s="103"/>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29"/>
      <c r="IF236" s="7"/>
      <c r="IG236" s="7"/>
      <c r="IH236" s="7"/>
      <c r="II236" s="7"/>
      <c r="IJ236" s="7"/>
      <c r="IK236" s="7"/>
      <c r="IL236" s="7"/>
      <c r="IM236" s="7"/>
      <c r="IN236" s="7"/>
      <c r="IO236" s="7"/>
      <c r="IP236" s="7"/>
      <c r="IQ236" s="7"/>
      <c r="IR236" s="7"/>
      <c r="IS236" s="7"/>
      <c r="IT236" s="55"/>
      <c r="IU236" s="7"/>
      <c r="IV236" s="7"/>
    </row>
  </sheetData>
  <conditionalFormatting sqref="AM27:AP30 AN31:AP31 AM51:AP78 AM32:AP34 AM36:AP49 AM81:AP85 AM3:AP25">
    <cfRule type="containsText" dxfId="204" priority="82" operator="containsText" text="Entire">
      <formula>NOT(ISERROR(SEARCH("Entire",AM3)))</formula>
    </cfRule>
    <cfRule type="containsText" dxfId="203" priority="83" operator="containsText" text="50%">
      <formula>NOT(ISERROR(SEARCH("50%",AM3)))</formula>
    </cfRule>
  </conditionalFormatting>
  <conditionalFormatting sqref="BQ28:BQ30 BQ32 BQ51:BQ78 BQ36:BQ49 BQ34 BQ81:BQ85 BQ3:BQ24">
    <cfRule type="containsText" dxfId="202" priority="80" operator="containsText" text="Entire">
      <formula>NOT(ISERROR(SEARCH("Entire",BQ3)))</formula>
    </cfRule>
    <cfRule type="containsText" dxfId="201" priority="81" operator="containsText" text="50%">
      <formula>NOT(ISERROR(SEARCH("50%",BQ3)))</formula>
    </cfRule>
  </conditionalFormatting>
  <conditionalFormatting sqref="AN51:AP78 AN27:AP34 AN36:AP49 AN81:AP85 AN3:AP25">
    <cfRule type="notContainsBlanks" dxfId="200" priority="79">
      <formula>LEN(TRIM(AN3))&gt;0</formula>
    </cfRule>
  </conditionalFormatting>
  <conditionalFormatting sqref="AE18:AH25 AE27:AH30 AG31 AE51:AH61 AE78:AH78 AE32:AH34 AE36:AH40 AE81:AH84 AE10:AH12">
    <cfRule type="containsBlanks" dxfId="199" priority="85">
      <formula>LEN(TRIM(AE10))=0</formula>
    </cfRule>
  </conditionalFormatting>
  <conditionalFormatting sqref="BI18:BL25 BI26:BI27 BK27:BL27 BI51:BL61 BI78:BL78 BI28:BL34 BI36:BL40 BI81:BL84 BI10:BL12">
    <cfRule type="containsBlanks" dxfId="198" priority="84">
      <formula>LEN(TRIM(BI10))=0</formula>
    </cfRule>
  </conditionalFormatting>
  <conditionalFormatting sqref="AQ18:AY25 AQ27:AY30 AQ51:AY61 AQ78:AY78 AQ32:AY34 AQ36:AY40 AQ81:AY84 AQ10:AY12">
    <cfRule type="containsBlanks" dxfId="197" priority="86">
      <formula>LEN(TRIM(AQ10))=0</formula>
    </cfRule>
  </conditionalFormatting>
  <conditionalFormatting sqref="BQ26">
    <cfRule type="containsText" dxfId="196" priority="77" operator="containsText" text="Entire">
      <formula>NOT(ISERROR(SEARCH("Entire",BQ26)))</formula>
    </cfRule>
    <cfRule type="containsText" dxfId="195" priority="78" operator="containsText" text="50%">
      <formula>NOT(ISERROR(SEARCH("50%",BQ26)))</formula>
    </cfRule>
  </conditionalFormatting>
  <conditionalFormatting sqref="AQ26:AY26">
    <cfRule type="containsBlanks" dxfId="194" priority="76">
      <formula>LEN(TRIM(AQ26))=0</formula>
    </cfRule>
  </conditionalFormatting>
  <conditionalFormatting sqref="BQ27">
    <cfRule type="containsText" dxfId="193" priority="74" operator="containsText" text="Entire">
      <formula>NOT(ISERROR(SEARCH("Entire",BQ27)))</formula>
    </cfRule>
    <cfRule type="containsText" dxfId="192" priority="75" operator="containsText" text="50%">
      <formula>NOT(ISERROR(SEARCH("50%",BQ27)))</formula>
    </cfRule>
  </conditionalFormatting>
  <conditionalFormatting sqref="BQ31">
    <cfRule type="containsText" dxfId="191" priority="72" operator="containsText" text="Entire">
      <formula>NOT(ISERROR(SEARCH("Entire",BQ31)))</formula>
    </cfRule>
    <cfRule type="containsText" dxfId="190" priority="73" operator="containsText" text="50%">
      <formula>NOT(ISERROR(SEARCH("50%",BQ31)))</formula>
    </cfRule>
  </conditionalFormatting>
  <conditionalFormatting sqref="AM31">
    <cfRule type="containsText" dxfId="189" priority="69" operator="containsText" text="Entire">
      <formula>NOT(ISERROR(SEARCH("Entire",AM31)))</formula>
    </cfRule>
    <cfRule type="containsText" dxfId="188" priority="70" operator="containsText" text="50%">
      <formula>NOT(ISERROR(SEARCH("50%",AM31)))</formula>
    </cfRule>
  </conditionalFormatting>
  <conditionalFormatting sqref="AE31:AF31 AH31">
    <cfRule type="containsBlanks" dxfId="187" priority="71">
      <formula>LEN(TRIM(AE31))=0</formula>
    </cfRule>
  </conditionalFormatting>
  <conditionalFormatting sqref="AQ31:AY31">
    <cfRule type="containsBlanks" dxfId="186" priority="68">
      <formula>LEN(TRIM(AQ31))=0</formula>
    </cfRule>
  </conditionalFormatting>
  <conditionalFormatting sqref="BQ33">
    <cfRule type="containsText" dxfId="185" priority="66" operator="containsText" text="Entire">
      <formula>NOT(ISERROR(SEARCH("Entire",BQ33)))</formula>
    </cfRule>
    <cfRule type="containsText" dxfId="184" priority="67" operator="containsText" text="50%">
      <formula>NOT(ISERROR(SEARCH("50%",BQ33)))</formula>
    </cfRule>
  </conditionalFormatting>
  <conditionalFormatting sqref="A3:A85">
    <cfRule type="containsText" dxfId="183" priority="64" operator="containsText" text="legal">
      <formula>NOT(ISERROR(SEARCH("legal",A3)))</formula>
    </cfRule>
    <cfRule type="containsText" dxfId="182" priority="65" operator="containsText" text="isf">
      <formula>NOT(ISERROR(SEARCH("isf",A3)))</formula>
    </cfRule>
  </conditionalFormatting>
  <conditionalFormatting sqref="AM201:AP215 AM232:AP236">
    <cfRule type="containsText" dxfId="181" priority="62" operator="containsText" text="Entire">
      <formula>NOT(ISERROR(SEARCH("Entire",AM201)))</formula>
    </cfRule>
    <cfRule type="containsText" dxfId="180" priority="63" operator="containsText" text="50%">
      <formula>NOT(ISERROR(SEARCH("50%",AM201)))</formula>
    </cfRule>
  </conditionalFormatting>
  <conditionalFormatting sqref="BQ201:BQ215 BQ232:BQ236">
    <cfRule type="containsText" dxfId="179" priority="60" operator="containsText" text="Entire">
      <formula>NOT(ISERROR(SEARCH("Entire",BQ201)))</formula>
    </cfRule>
    <cfRule type="containsText" dxfId="178" priority="61" operator="containsText" text="50%">
      <formula>NOT(ISERROR(SEARCH("50%",BQ201)))</formula>
    </cfRule>
  </conditionalFormatting>
  <conditionalFormatting sqref="AM185:AP199">
    <cfRule type="containsText" dxfId="177" priority="58" operator="containsText" text="Entire">
      <formula>NOT(ISERROR(SEARCH("Entire",AM185)))</formula>
    </cfRule>
    <cfRule type="containsText" dxfId="176" priority="59" operator="containsText" text="50%">
      <formula>NOT(ISERROR(SEARCH("50%",AM185)))</formula>
    </cfRule>
  </conditionalFormatting>
  <conditionalFormatting sqref="BQ185:BQ199">
    <cfRule type="containsText" dxfId="175" priority="56" operator="containsText" text="Entire">
      <formula>NOT(ISERROR(SEARCH("Entire",BQ185)))</formula>
    </cfRule>
    <cfRule type="containsText" dxfId="174" priority="57" operator="containsText" text="50%">
      <formula>NOT(ISERROR(SEARCH("50%",BQ185)))</formula>
    </cfRule>
  </conditionalFormatting>
  <conditionalFormatting sqref="CA213:EW213 AI216:IV216 BI168:IV168 F184:IV184 F104:IV104 F88:IV88 F136:IV136 F152:IV152 C184:D184 C104:D104 C88:D88 C136:D136 C152:D152">
    <cfRule type="containsText" dxfId="173" priority="55" operator="containsText" text="I-">
      <formula>NOT(ISERROR(SEARCH("I-",C88)))</formula>
    </cfRule>
  </conditionalFormatting>
  <conditionalFormatting sqref="AM217:AP231">
    <cfRule type="containsText" dxfId="172" priority="53" operator="containsText" text="Entire">
      <formula>NOT(ISERROR(SEARCH("Entire",AM217)))</formula>
    </cfRule>
    <cfRule type="containsText" dxfId="171" priority="54" operator="containsText" text="50%">
      <formula>NOT(ISERROR(SEARCH("50%",AM217)))</formula>
    </cfRule>
  </conditionalFormatting>
  <conditionalFormatting sqref="BQ217:BQ231">
    <cfRule type="containsText" dxfId="170" priority="51" operator="containsText" text="Entire">
      <formula>NOT(ISERROR(SEARCH("Entire",BQ217)))</formula>
    </cfRule>
    <cfRule type="containsText" dxfId="169" priority="52" operator="containsText" text="50%">
      <formula>NOT(ISERROR(SEARCH("50%",BQ217)))</formula>
    </cfRule>
  </conditionalFormatting>
  <conditionalFormatting sqref="AN184:AP215 AN217:AP236">
    <cfRule type="notContainsBlanks" dxfId="168" priority="50">
      <formula>LEN(TRIM(AN184))&gt;0</formula>
    </cfRule>
  </conditionalFormatting>
  <conditionalFormatting sqref="F216:S216">
    <cfRule type="containsText" dxfId="167" priority="49" operator="containsText" text="I-">
      <formula>NOT(ISERROR(SEARCH("I-",F216)))</formula>
    </cfRule>
  </conditionalFormatting>
  <conditionalFormatting sqref="D216">
    <cfRule type="containsText" dxfId="166" priority="48" operator="containsText" text="I-">
      <formula>NOT(ISERROR(SEARCH("I-",D216)))</formula>
    </cfRule>
  </conditionalFormatting>
  <conditionalFormatting sqref="AE216">
    <cfRule type="containsText" dxfId="165" priority="47" operator="containsText" text="I-">
      <formula>NOT(ISERROR(SEARCH("I-",AE216)))</formula>
    </cfRule>
  </conditionalFormatting>
  <conditionalFormatting sqref="AF216">
    <cfRule type="containsText" dxfId="164" priority="46" operator="containsText" text="I-">
      <formula>NOT(ISERROR(SEARCH("I-",AF216)))</formula>
    </cfRule>
  </conditionalFormatting>
  <conditionalFormatting sqref="AG216">
    <cfRule type="containsText" dxfId="163" priority="45" operator="containsText" text="I-">
      <formula>NOT(ISERROR(SEARCH("I-",AG216)))</formula>
    </cfRule>
  </conditionalFormatting>
  <conditionalFormatting sqref="AH216">
    <cfRule type="containsText" dxfId="162" priority="44" operator="containsText" text="I-">
      <formula>NOT(ISERROR(SEARCH("I-",AH216)))</formula>
    </cfRule>
  </conditionalFormatting>
  <conditionalFormatting sqref="U216:AD216">
    <cfRule type="containsText" dxfId="161" priority="43" operator="containsText" text="I-">
      <formula>NOT(ISERROR(SEARCH("I-",U216)))</formula>
    </cfRule>
  </conditionalFormatting>
  <conditionalFormatting sqref="T216">
    <cfRule type="containsText" dxfId="160" priority="33" operator="containsText" text="I-">
      <formula>NOT(ISERROR(SEARCH("I-",T216)))</formula>
    </cfRule>
  </conditionalFormatting>
  <conditionalFormatting sqref="AM153:AP167">
    <cfRule type="containsText" dxfId="159" priority="31" operator="containsText" text="Entire">
      <formula>NOT(ISERROR(SEARCH("Entire",AM153)))</formula>
    </cfRule>
    <cfRule type="containsText" dxfId="158" priority="32" operator="containsText" text="50%">
      <formula>NOT(ISERROR(SEARCH("50%",AM153)))</formula>
    </cfRule>
  </conditionalFormatting>
  <conditionalFormatting sqref="BQ153:BQ167">
    <cfRule type="containsText" dxfId="157" priority="29" operator="containsText" text="Entire">
      <formula>NOT(ISERROR(SEARCH("Entire",BQ153)))</formula>
    </cfRule>
    <cfRule type="containsText" dxfId="156" priority="30" operator="containsText" text="50%">
      <formula>NOT(ISERROR(SEARCH("50%",BQ153)))</formula>
    </cfRule>
  </conditionalFormatting>
  <conditionalFormatting sqref="AM137:AP151">
    <cfRule type="containsText" dxfId="155" priority="27" operator="containsText" text="Entire">
      <formula>NOT(ISERROR(SEARCH("Entire",AM137)))</formula>
    </cfRule>
    <cfRule type="containsText" dxfId="154" priority="28" operator="containsText" text="50%">
      <formula>NOT(ISERROR(SEARCH("50%",AM137)))</formula>
    </cfRule>
  </conditionalFormatting>
  <conditionalFormatting sqref="BQ137:BQ151">
    <cfRule type="containsText" dxfId="153" priority="25" operator="containsText" text="Entire">
      <formula>NOT(ISERROR(SEARCH("Entire",BQ137)))</formula>
    </cfRule>
    <cfRule type="containsText" dxfId="152" priority="26" operator="containsText" text="50%">
      <formula>NOT(ISERROR(SEARCH("50%",BQ137)))</formula>
    </cfRule>
  </conditionalFormatting>
  <conditionalFormatting sqref="AM169:AP183">
    <cfRule type="containsText" dxfId="151" priority="23" operator="containsText" text="Entire">
      <formula>NOT(ISERROR(SEARCH("Entire",AM169)))</formula>
    </cfRule>
    <cfRule type="containsText" dxfId="150" priority="24" operator="containsText" text="50%">
      <formula>NOT(ISERROR(SEARCH("50%",AM169)))</formula>
    </cfRule>
  </conditionalFormatting>
  <conditionalFormatting sqref="BQ169:BQ183">
    <cfRule type="containsText" dxfId="149" priority="21" operator="containsText" text="Entire">
      <formula>NOT(ISERROR(SEARCH("Entire",BQ169)))</formula>
    </cfRule>
    <cfRule type="containsText" dxfId="148" priority="22" operator="containsText" text="50%">
      <formula>NOT(ISERROR(SEARCH("50%",BQ169)))</formula>
    </cfRule>
  </conditionalFormatting>
  <conditionalFormatting sqref="AN169:AP183 AN136:AP167">
    <cfRule type="notContainsBlanks" dxfId="147" priority="20">
      <formula>LEN(TRIM(AN136))&gt;0</formula>
    </cfRule>
  </conditionalFormatting>
  <conditionalFormatting sqref="D168 F168:BH168">
    <cfRule type="containsText" dxfId="146" priority="18" operator="containsText" text="I-">
      <formula>NOT(ISERROR(SEARCH("I-",D168)))</formula>
    </cfRule>
  </conditionalFormatting>
  <conditionalFormatting sqref="AM105:AP119">
    <cfRule type="containsText" dxfId="145" priority="16" operator="containsText" text="Entire">
      <formula>NOT(ISERROR(SEARCH("Entire",AM105)))</formula>
    </cfRule>
    <cfRule type="containsText" dxfId="144" priority="17" operator="containsText" text="50%">
      <formula>NOT(ISERROR(SEARCH("50%",AM105)))</formula>
    </cfRule>
  </conditionalFormatting>
  <conditionalFormatting sqref="BQ105:BQ119">
    <cfRule type="containsText" dxfId="143" priority="14" operator="containsText" text="Entire">
      <formula>NOT(ISERROR(SEARCH("Entire",BQ105)))</formula>
    </cfRule>
    <cfRule type="containsText" dxfId="142" priority="15" operator="containsText" text="50%">
      <formula>NOT(ISERROR(SEARCH("50%",BQ105)))</formula>
    </cfRule>
  </conditionalFormatting>
  <conditionalFormatting sqref="AM89:AP103">
    <cfRule type="containsText" dxfId="141" priority="12" operator="containsText" text="Entire">
      <formula>NOT(ISERROR(SEARCH("Entire",AM89)))</formula>
    </cfRule>
    <cfRule type="containsText" dxfId="140" priority="13" operator="containsText" text="50%">
      <formula>NOT(ISERROR(SEARCH("50%",AM89)))</formula>
    </cfRule>
  </conditionalFormatting>
  <conditionalFormatting sqref="BQ89:BQ103">
    <cfRule type="containsText" dxfId="139" priority="10" operator="containsText" text="Entire">
      <formula>NOT(ISERROR(SEARCH("Entire",BQ89)))</formula>
    </cfRule>
    <cfRule type="containsText" dxfId="138" priority="11" operator="containsText" text="50%">
      <formula>NOT(ISERROR(SEARCH("50%",BQ89)))</formula>
    </cfRule>
  </conditionalFormatting>
  <conditionalFormatting sqref="AM121:AP135">
    <cfRule type="containsText" dxfId="137" priority="8" operator="containsText" text="Entire">
      <formula>NOT(ISERROR(SEARCH("Entire",AM121)))</formula>
    </cfRule>
    <cfRule type="containsText" dxfId="136" priority="9" operator="containsText" text="50%">
      <formula>NOT(ISERROR(SEARCH("50%",AM121)))</formula>
    </cfRule>
  </conditionalFormatting>
  <conditionalFormatting sqref="BQ121:BQ135">
    <cfRule type="containsText" dxfId="135" priority="6" operator="containsText" text="Entire">
      <formula>NOT(ISERROR(SEARCH("Entire",BQ121)))</formula>
    </cfRule>
    <cfRule type="containsText" dxfId="134" priority="7" operator="containsText" text="50%">
      <formula>NOT(ISERROR(SEARCH("50%",BQ121)))</formula>
    </cfRule>
  </conditionalFormatting>
  <conditionalFormatting sqref="AN121:AP135 AN88:AP119">
    <cfRule type="notContainsBlanks" dxfId="133" priority="5">
      <formula>LEN(TRIM(AN88))&gt;0</formula>
    </cfRule>
  </conditionalFormatting>
  <conditionalFormatting sqref="D120 F120:V120">
    <cfRule type="containsText" dxfId="132" priority="3" operator="containsText" text="I-">
      <formula>NOT(ISERROR(SEARCH("I-",D120)))</formula>
    </cfRule>
  </conditionalFormatting>
  <conditionalFormatting sqref="A88:A236">
    <cfRule type="containsText" dxfId="131" priority="1" operator="containsText" text="legal">
      <formula>NOT(ISERROR(SEARCH("legal",A88)))</formula>
    </cfRule>
    <cfRule type="containsText" dxfId="130" priority="2" operator="containsText" text="isf">
      <formula>NOT(ISERROR(SEARCH("isf",A88)))</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3:BA62"/>
  <sheetViews>
    <sheetView topLeftCell="AI1" zoomScale="70" zoomScaleNormal="70" workbookViewId="0">
      <selection activeCell="AR4" sqref="AR4:BA58"/>
    </sheetView>
  </sheetViews>
  <sheetFormatPr defaultRowHeight="15"/>
  <cols>
    <col min="1" max="1" width="31.5703125" customWidth="1"/>
    <col min="2" max="2" width="18.7109375" customWidth="1"/>
    <col min="4" max="4" width="24.28515625" bestFit="1" customWidth="1"/>
    <col min="5" max="5" width="13.140625" bestFit="1" customWidth="1"/>
    <col min="6" max="6" width="15.85546875" bestFit="1" customWidth="1"/>
    <col min="7" max="7" width="12.42578125" bestFit="1" customWidth="1"/>
    <col min="9" max="9" width="10.85546875" bestFit="1" customWidth="1"/>
    <col min="10" max="10" width="10.28515625" bestFit="1" customWidth="1"/>
    <col min="12" max="12" width="32.7109375" customWidth="1"/>
    <col min="16" max="18" width="10.5703125" customWidth="1"/>
    <col min="20" max="20" width="18" customWidth="1"/>
    <col min="21" max="21" width="21.5703125" bestFit="1" customWidth="1"/>
    <col min="22" max="23" width="11.5703125" customWidth="1"/>
    <col min="24" max="25" width="11.42578125" customWidth="1"/>
    <col min="26" max="27" width="12.42578125" customWidth="1"/>
    <col min="44" max="44" width="26.42578125" bestFit="1" customWidth="1"/>
    <col min="45" max="45" width="24.28515625" bestFit="1" customWidth="1"/>
  </cols>
  <sheetData>
    <row r="3" spans="1:53">
      <c r="A3" s="1258" t="s">
        <v>12643</v>
      </c>
      <c r="L3" s="1258" t="s">
        <v>12644</v>
      </c>
      <c r="T3" s="1258"/>
      <c r="AS3" s="1259"/>
      <c r="AT3" s="1260"/>
      <c r="AU3" s="1260"/>
      <c r="AV3" s="1260"/>
      <c r="AW3" s="1260"/>
      <c r="AX3" s="1260"/>
      <c r="AY3" s="1260"/>
      <c r="AZ3" s="1260"/>
      <c r="BA3" s="1260"/>
    </row>
    <row r="4" spans="1:53" ht="15.75" thickBot="1">
      <c r="T4" s="1258" t="s">
        <v>12646</v>
      </c>
      <c r="AR4" s="594" t="s">
        <v>12645</v>
      </c>
      <c r="AS4" s="1259"/>
      <c r="AT4" s="1260"/>
      <c r="AU4" s="1260"/>
      <c r="AV4" s="1260"/>
      <c r="AW4" s="1260"/>
      <c r="AX4" s="1260"/>
      <c r="AY4" s="1260"/>
      <c r="AZ4" s="1260"/>
      <c r="BA4" s="1260"/>
    </row>
    <row r="5" spans="1:53" ht="15" customHeight="1">
      <c r="A5" s="1932" t="s">
        <v>10998</v>
      </c>
      <c r="B5" s="1932"/>
      <c r="C5" s="1932"/>
      <c r="D5" s="1932"/>
      <c r="E5" s="1932"/>
      <c r="F5" s="1932"/>
      <c r="G5" s="1932"/>
      <c r="H5" s="1932"/>
      <c r="I5" s="1932"/>
      <c r="J5" s="1932"/>
      <c r="L5" s="1933" t="s">
        <v>12280</v>
      </c>
      <c r="M5" s="1935" t="s">
        <v>5354</v>
      </c>
      <c r="N5" s="1936"/>
      <c r="O5" s="1937"/>
      <c r="P5" s="1938" t="s">
        <v>12281</v>
      </c>
      <c r="Q5" s="1939"/>
      <c r="R5" s="1940"/>
      <c r="T5" s="1941" t="s">
        <v>7214</v>
      </c>
      <c r="U5" s="1941" t="s">
        <v>7215</v>
      </c>
      <c r="V5" s="1944" t="s">
        <v>12647</v>
      </c>
      <c r="W5" s="1945"/>
      <c r="X5" s="1944" t="s">
        <v>12648</v>
      </c>
      <c r="Y5" s="1945"/>
      <c r="Z5" s="1944" t="s">
        <v>12649</v>
      </c>
      <c r="AA5" s="1945"/>
      <c r="AB5" s="1948" t="s">
        <v>12295</v>
      </c>
      <c r="AC5" s="1949"/>
      <c r="AD5" s="1944" t="s">
        <v>12291</v>
      </c>
      <c r="AE5" s="1945"/>
      <c r="AF5" s="1948" t="s">
        <v>12650</v>
      </c>
      <c r="AG5" s="1949"/>
      <c r="AH5" s="1944" t="s">
        <v>12651</v>
      </c>
      <c r="AI5" s="1945"/>
      <c r="AJ5" s="1944" t="s">
        <v>12652</v>
      </c>
      <c r="AK5" s="1945"/>
      <c r="AL5" s="1944" t="s">
        <v>12653</v>
      </c>
      <c r="AM5" s="1945"/>
      <c r="AN5" s="1959" t="s">
        <v>4348</v>
      </c>
      <c r="AO5" s="1960"/>
      <c r="AR5" s="1941" t="s">
        <v>7214</v>
      </c>
      <c r="AS5" s="1941" t="s">
        <v>7215</v>
      </c>
      <c r="AT5" s="1958" t="s">
        <v>12647</v>
      </c>
      <c r="AU5" s="1958"/>
      <c r="AV5" s="1950" t="s">
        <v>12648</v>
      </c>
      <c r="AW5" s="1950"/>
      <c r="AX5" s="1950" t="s">
        <v>12295</v>
      </c>
      <c r="AY5" s="1951"/>
      <c r="AZ5" s="1952" t="s">
        <v>12654</v>
      </c>
      <c r="BA5" s="1953"/>
    </row>
    <row r="6" spans="1:53" ht="15" customHeight="1">
      <c r="A6" s="1206"/>
      <c r="B6" s="1261" t="s">
        <v>1020</v>
      </c>
      <c r="C6" s="1261" t="s">
        <v>5493</v>
      </c>
      <c r="D6" s="1261" t="s">
        <v>778</v>
      </c>
      <c r="E6" s="1261" t="s">
        <v>5496</v>
      </c>
      <c r="F6" s="1261" t="s">
        <v>5495</v>
      </c>
      <c r="G6" s="1261" t="s">
        <v>771</v>
      </c>
      <c r="H6" s="1261" t="s">
        <v>5847</v>
      </c>
      <c r="I6" s="1261" t="s">
        <v>5494</v>
      </c>
      <c r="J6" s="1261" t="s">
        <v>5848</v>
      </c>
      <c r="L6" s="1934"/>
      <c r="M6" s="1262" t="s">
        <v>12655</v>
      </c>
      <c r="N6" s="1262" t="s">
        <v>12656</v>
      </c>
      <c r="O6" s="1263" t="s">
        <v>2034</v>
      </c>
      <c r="P6" s="1262" t="s">
        <v>12655</v>
      </c>
      <c r="Q6" s="1262" t="s">
        <v>12657</v>
      </c>
      <c r="R6" s="1264" t="s">
        <v>2034</v>
      </c>
      <c r="T6" s="1942"/>
      <c r="U6" s="1942"/>
      <c r="V6" s="1946"/>
      <c r="W6" s="1947"/>
      <c r="X6" s="1946"/>
      <c r="Y6" s="1947"/>
      <c r="Z6" s="1946"/>
      <c r="AA6" s="1947"/>
      <c r="AB6" s="1948" t="s">
        <v>12294</v>
      </c>
      <c r="AC6" s="1949"/>
      <c r="AD6" s="1946"/>
      <c r="AE6" s="1947"/>
      <c r="AF6" s="1948" t="s">
        <v>12658</v>
      </c>
      <c r="AG6" s="1949"/>
      <c r="AH6" s="1946"/>
      <c r="AI6" s="1947"/>
      <c r="AJ6" s="1946"/>
      <c r="AK6" s="1947"/>
      <c r="AL6" s="1956" t="s">
        <v>12659</v>
      </c>
      <c r="AM6" s="1957"/>
      <c r="AN6" s="1961"/>
      <c r="AO6" s="1962"/>
      <c r="AR6" s="1942"/>
      <c r="AS6" s="1942"/>
      <c r="AT6" s="1958"/>
      <c r="AU6" s="1958"/>
      <c r="AV6" s="1950"/>
      <c r="AW6" s="1950"/>
      <c r="AX6" s="1950" t="s">
        <v>12294</v>
      </c>
      <c r="AY6" s="1951"/>
      <c r="AZ6" s="1954"/>
      <c r="BA6" s="1955"/>
    </row>
    <row r="7" spans="1:53" ht="15" customHeight="1">
      <c r="A7" s="1929" t="s">
        <v>10999</v>
      </c>
      <c r="B7" s="1265" t="s">
        <v>5800</v>
      </c>
      <c r="C7" s="1206" t="s">
        <v>5393</v>
      </c>
      <c r="D7" s="241" t="s">
        <v>12660</v>
      </c>
      <c r="E7" s="1206" t="s">
        <v>5849</v>
      </c>
      <c r="F7" s="1206" t="s">
        <v>5387</v>
      </c>
      <c r="G7" s="1206" t="s">
        <v>5382</v>
      </c>
      <c r="H7" s="1206" t="s">
        <v>5411</v>
      </c>
      <c r="I7" s="1206" t="s">
        <v>5378</v>
      </c>
      <c r="J7" s="1206" t="s">
        <v>5375</v>
      </c>
      <c r="L7" s="1266" t="s">
        <v>12283</v>
      </c>
      <c r="M7" s="1267"/>
      <c r="N7" s="1268"/>
      <c r="O7" s="1268"/>
      <c r="P7" s="1268"/>
      <c r="Q7" s="1268"/>
      <c r="R7" s="1269"/>
      <c r="T7" s="1943"/>
      <c r="U7" s="1943"/>
      <c r="V7" s="1261" t="s">
        <v>12661</v>
      </c>
      <c r="W7" s="1261" t="s">
        <v>12662</v>
      </c>
      <c r="X7" s="1261" t="s">
        <v>12661</v>
      </c>
      <c r="Y7" s="1261" t="s">
        <v>12662</v>
      </c>
      <c r="Z7" s="1261" t="s">
        <v>12661</v>
      </c>
      <c r="AA7" s="1261" t="s">
        <v>12662</v>
      </c>
      <c r="AB7" s="1261" t="s">
        <v>12661</v>
      </c>
      <c r="AC7" s="1261" t="s">
        <v>12662</v>
      </c>
      <c r="AD7" s="1261" t="s">
        <v>12661</v>
      </c>
      <c r="AE7" s="1261" t="s">
        <v>12662</v>
      </c>
      <c r="AF7" s="1261" t="s">
        <v>12661</v>
      </c>
      <c r="AG7" s="1261" t="s">
        <v>12662</v>
      </c>
      <c r="AH7" s="1261" t="s">
        <v>12661</v>
      </c>
      <c r="AI7" s="1261" t="s">
        <v>12662</v>
      </c>
      <c r="AJ7" s="1261" t="s">
        <v>12661</v>
      </c>
      <c r="AK7" s="1261" t="s">
        <v>12662</v>
      </c>
      <c r="AL7" s="1261" t="s">
        <v>12661</v>
      </c>
      <c r="AM7" s="1261" t="s">
        <v>12662</v>
      </c>
      <c r="AN7" s="1261" t="s">
        <v>12661</v>
      </c>
      <c r="AO7" s="1261" t="s">
        <v>12662</v>
      </c>
      <c r="AR7" s="1943"/>
      <c r="AS7" s="1943"/>
      <c r="AT7" s="1270" t="s">
        <v>12663</v>
      </c>
      <c r="AU7" s="1271" t="s">
        <v>12664</v>
      </c>
      <c r="AV7" s="1270" t="s">
        <v>12663</v>
      </c>
      <c r="AW7" s="1271" t="s">
        <v>12664</v>
      </c>
      <c r="AX7" s="1270" t="s">
        <v>12663</v>
      </c>
      <c r="AY7" s="1272" t="s">
        <v>12664</v>
      </c>
      <c r="AZ7" s="1273" t="s">
        <v>12663</v>
      </c>
      <c r="BA7" s="1274" t="s">
        <v>12664</v>
      </c>
    </row>
    <row r="8" spans="1:53" ht="15" customHeight="1">
      <c r="A8" s="1930"/>
      <c r="B8" s="1265" t="s">
        <v>5801</v>
      </c>
      <c r="C8" s="1206" t="s">
        <v>5395</v>
      </c>
      <c r="D8" s="241" t="s">
        <v>5818</v>
      </c>
      <c r="E8" s="1206" t="s">
        <v>5497</v>
      </c>
      <c r="F8" s="1206" t="s">
        <v>5388</v>
      </c>
      <c r="G8" s="1206" t="s">
        <v>7236</v>
      </c>
      <c r="H8" s="1206"/>
      <c r="I8" s="1206" t="s">
        <v>5379</v>
      </c>
      <c r="J8" s="1206" t="s">
        <v>5374</v>
      </c>
      <c r="L8" s="1275" t="s">
        <v>12647</v>
      </c>
      <c r="M8" s="1276" t="e">
        <f>COUNTIFS([1]SurveyDATA_1!AS$1:AS$65536,"Y",[1]SurveyDATA_1!BN$1:BN$65536,"*STRUCTURE OWNER*",[1]SurveyDATA_1!FQ$1:FQ$65536,"*NEED*")</f>
        <v>#VALUE!</v>
      </c>
      <c r="N8" s="1276" t="e">
        <f>COUNTIFS([1]SurveyDATA_1!AS$1:AS$65536,"",[1]SurveyDATA_1!BM$1:BM$65536,"*RESIDENTIAL*",[1]SurveyDATA_1!BN$1:BN$65536,"*Structure Owner*",[1]SurveyDATA_1!FQ$1:FQ$65536,"*Need*")</f>
        <v>#VALUE!</v>
      </c>
      <c r="O8" s="1277" t="e">
        <f>SUM(M8:N8)</f>
        <v>#VALUE!</v>
      </c>
      <c r="P8" s="1276" t="e">
        <f>SUMIFS([1]SurveyDATA_1!#REF!,[1]SurveyDATA_1!AS5:AS830,"Y",[1]SurveyDATA_1!BN5:BN830,"*Structure Owner*",[1]SurveyDATA_1!FQ5:FQ830,"*Need*")</f>
        <v>#REF!</v>
      </c>
      <c r="Q8" s="1276" t="e">
        <f>SUMIFS([1]SurveyDATA_1!#REF!,[1]SurveyDATA_1!AS5:AS830,"",[1]SurveyDATA_1!BN5:BN830,"*Structure Owner*",[1]SurveyDATA_1!FQ5:FQ830,"*Need*")</f>
        <v>#REF!</v>
      </c>
      <c r="R8" s="1278" t="e">
        <f>SUM(P8:Q8)</f>
        <v>#REF!</v>
      </c>
      <c r="V8" s="1279" t="e">
        <f>COUNTIFS(SurveyDATA!#REF!,"SAMPLING",SurveyDATA!E:E,"*TIKAY*",SurveyDATA!BM:BM,"RESIDENTIAL*",SurveyDATA!BN:BN,"*STRUCTURE OWNER*",SurveyDATA!A:A,"LEGAL",SurveyDATA!FQ:FQ,"*STAY*")</f>
        <v>#REF!</v>
      </c>
      <c r="W8" s="1279" t="e">
        <f>COUNTIFS(SurveyDATA!#REF!,"SAMPLING",SurveyDATA!E:E,"*TIKAY*",SurveyDATA!BM:BM,"RESIDENTIAL*",SurveyDATA!BN:BN,"*STRUCTURE OWNER*",SurveyDATA!A:A,"LEGAL",SurveyDATA!FQ:FQ,"*NEED*")</f>
        <v>#REF!</v>
      </c>
      <c r="X8" s="1279" t="e">
        <f>COUNTIFS(SurveyDATA!#REF!,"SAMPLING",SurveyDATA!E:E,"*TIKAY*",SurveyDATA!BM:BM,"*COMMERCIAL*",SurveyDATA!BN:BN,"*STRUCTURE OWNER*",SurveyDATA!A:A,"LEGAL",SurveyDATA!FQ:FQ,"*STAY*")</f>
        <v>#REF!</v>
      </c>
      <c r="Y8" s="1280" t="e">
        <f>COUNTIFS(SurveyDATA!#REF!,"SAMPLING",SurveyDATA!E:E,"*TIKAY*",SurveyDATA!BM:BM,"*COMMERCIAL*",SurveyDATA!BN:BN,"*STRUCTURE OWNER*",SurveyDATA!A:A,"LEGAL",SurveyDATA!FQ:FQ,"*NEED*")</f>
        <v>#REF!</v>
      </c>
      <c r="Z8" s="1279" t="e">
        <f>COUNTIFS(SurveyDATA!#REF!,"SAMPLING",SurveyDATA!E:E,"*TIKAY*",SurveyDATA!BM:BM,"*INSTITUTIONAL*",SurveyDATA!BN:BN,"*STRUCTURE OWNER*",SurveyDATA!A:A,"LEGAL",SurveyDATA!FQ:FQ,"*STAY*")</f>
        <v>#REF!</v>
      </c>
      <c r="AA8" s="1279" t="e">
        <f>COUNTIFS(SurveyDATA!#REF!,"SAMPLING",SurveyDATA!E:E,"*TIKAY*",SurveyDATA!BM:BM,"*INSTITUTIONAL*",SurveyDATA!BN:BN,"*STRUCTURE OWNER*",SurveyDATA!A:A,"LEGAL",SurveyDATA!FQ:FQ,"*NEED*")</f>
        <v>#REF!</v>
      </c>
      <c r="AB8" s="1279" t="e">
        <f>COUNTIFS(SurveyDATA!#REF!,"SAMPLING",SurveyDATA!E:E,"*TIKAY*",SurveyDATA!BM:BM,"*RESIDENTIAL*",SurveyDATA!BN:BN,"*RENTER*",SurveyDATA!A:A,"LEGAL",SurveyDATA!FQ:FQ,"*STAY*")</f>
        <v>#REF!</v>
      </c>
      <c r="AC8" s="1279" t="e">
        <f>COUNTIFS([1]SurveyDATA_1!E$1:E$65536,"*TIKAY*",[1]SurveyDATA_1!BN$1:BN$65536,"RENTER",[1]SurveyDATA_1!FQ$1:FQ$65536,"*NEED*")</f>
        <v>#VALUE!</v>
      </c>
      <c r="AD8" s="572"/>
      <c r="AE8" s="572"/>
      <c r="AF8" s="1279" t="e">
        <f>COUNTIFS([1]SurveyDATA_1!E$1:E$65536,"*TIKAY*",[1]SurveyDATA_1!AK$1:AK$65536,"*LAND OWNER*",[1]SurveyDATA_1!AS$1:AS$65536,"Y",[1]SurveyDATA_1!AN$1:AN$65536,"&lt;20%")</f>
        <v>#VALUE!</v>
      </c>
      <c r="AG8" s="1279" t="e">
        <f>COUNTIFS([1]SurveyDATA_1!E$1:E$65536,"*TIKAY*",[1]SurveyDATA_1!AK$1:AK$65536,"*LAND OWNER*",[1]SurveyDATA_1!AS$1:AS$65536,"Y",[1]SurveyDATA_1!AN$1:AN$65536,"&gt;19.99%")</f>
        <v>#VALUE!</v>
      </c>
      <c r="AH8" s="1279" t="e">
        <f>COUNTIFS([1]SurveyDATA_1!E$1:E$65536,"*TIKAY*",[1]SurveyDATA_1!BM$1:BM$65536,"Commercial",[1]SurveyDATA_1!BN$1:BN$65536,"Commercial Tenant",[1]SurveyDATA_1!BR$1:BR$65536,"&lt;20%")</f>
        <v>#VALUE!</v>
      </c>
      <c r="AI8" s="1279" t="e">
        <f>COUNTIFS([1]SurveyDATA_1!E$1:E$65536,"*TIKAY*",[1]SurveyDATA_1!BM$1:BM$65536,"Commercial",[1]SurveyDATA_1!BN$1:BN$65536,"Commercial Tenant",[1]SurveyDATA_1!BR$1:BR$65536,"&gt;19.99%")</f>
        <v>#VALUE!</v>
      </c>
      <c r="AJ8" s="1281">
        <v>0</v>
      </c>
      <c r="AK8" s="1281">
        <v>0</v>
      </c>
      <c r="AL8" s="1279" t="e">
        <f>SUMIFS([1]SurveyDATA_1!#REF!,[1]SurveyDATA_1!E$1:E$65536,"*TIKAY*",[1]SurveyDATA_1!BM$1:BM$65536,"Commercial",[1]SurveyDATA_1!BN$1:BN$65536,"Commercial Tenant",[1]SurveyDATA_1!BR$1:BR$65536,"&lt;20%")</f>
        <v>#REF!</v>
      </c>
      <c r="AM8" s="1279" t="e">
        <f>SUMIFS([1]SurveyDATA_1!#REF!,[1]SurveyDATA_1!E$1:E$65536,"*TIKAY*",[1]SurveyDATA_1!BM$1:BM$65536,"Commercial",[1]SurveyDATA_1!BN$1:BN$65536,"Commercial Tenant",[1]SurveyDATA_1!BR$1:BR$65536,"&gt;19.99%")</f>
        <v>#REF!</v>
      </c>
      <c r="AN8" s="1282" t="e">
        <f t="shared" ref="AN8:AO10" si="0">SUM(AL8,AJ8,AH8,AF8,AD8,AB8,Z8,X8,V8)</f>
        <v>#REF!</v>
      </c>
      <c r="AO8" s="1282" t="e">
        <f t="shared" si="0"/>
        <v>#REF!</v>
      </c>
      <c r="AR8" s="572" t="s">
        <v>5848</v>
      </c>
      <c r="AS8" s="573" t="s">
        <v>5374</v>
      </c>
      <c r="AT8" s="1283" t="e">
        <f>COUNTIFS([1]SurveyDATA_1!E$1:E$65536,"*TIKAY*",[1]SurveyDATA_1!BM$1:BM$65536,"*RESIDENTIAL*",[1]SurveyDATA_1!AS$1:AS$65536,"",[1]SurveyDATA_1!BN$1:BN$65536,"*Structure Owner*",[1]SurveyDATA_1!FQ$1:FQ$65536,"*STAY*")</f>
        <v>#VALUE!</v>
      </c>
      <c r="AU8" s="1284" t="e">
        <f>COUNTIFS([1]SurveyDATA_1!E$1:E$65536,"*TIKAY*",[1]SurveyDATA_1!BM$1:BM$65536,"*RESIDENTIAL*",[1]SurveyDATA_1!AS$1:AS$65536,"",[1]SurveyDATA_1!BN$1:BN$65536,"*Structure Owner*",[1]SurveyDATA_1!FQ$1:FQ$65536,"*NEED*")</f>
        <v>#VALUE!</v>
      </c>
      <c r="AV8" s="1284" t="e">
        <f>COUNTIFS([1]SurveyDATA_1!E$1:E$65536,"*TIKAY*",[1]SurveyDATA_1!AS$1:AS$65536,"",[1]SurveyDATA_1!FQ$1:FQ$65536,"*STAY*",[1]SurveyDATA_1!IP$1:IP$65536,"OWNER",[1]SurveyDATA_1!IR$1:IR$65536,"*")</f>
        <v>#VALUE!</v>
      </c>
      <c r="AW8" s="1284" t="e">
        <f>COUNTIFS([1]SurveyDATA_1!E$1:E$65536,"*TIKAY*",[1]SurveyDATA_1!AS$1:AS$65536,"",[1]SurveyDATA_1!FQ$1:FQ$65536,"*NEED*",[1]SurveyDATA_1!IP$1:IP$65536,"OWNER",[1]SurveyDATA_1!IR$1:IR$65536,"*")</f>
        <v>#VALUE!</v>
      </c>
      <c r="AX8" s="1149"/>
      <c r="AY8" s="1230"/>
      <c r="AZ8" s="1285" t="e">
        <f t="shared" ref="AZ8:BA10" si="1">SUM(AT8,AV8,AX8,)</f>
        <v>#VALUE!</v>
      </c>
      <c r="BA8" s="1286" t="e">
        <f t="shared" si="1"/>
        <v>#VALUE!</v>
      </c>
    </row>
    <row r="9" spans="1:53">
      <c r="A9" s="1930"/>
      <c r="B9" s="1265" t="s">
        <v>5802</v>
      </c>
      <c r="C9" s="1206" t="s">
        <v>5394</v>
      </c>
      <c r="D9" s="241" t="s">
        <v>5392</v>
      </c>
      <c r="E9" s="1206" t="s">
        <v>5389</v>
      </c>
      <c r="F9" s="1206" t="s">
        <v>5489</v>
      </c>
      <c r="G9" s="1206" t="s">
        <v>5384</v>
      </c>
      <c r="H9" s="1206"/>
      <c r="I9" s="1206"/>
      <c r="J9" s="1206" t="s">
        <v>10997</v>
      </c>
      <c r="L9" s="1275" t="s">
        <v>12648</v>
      </c>
      <c r="M9" s="1287" t="e">
        <f>COUNTIFS([1]SurveyDATA_1!AS$1:AS$65536,"Y",[1]SurveyDATA_1!FQ$1:FQ$65536,"*NEED*",[1]SurveyDATA_1!IP$1:IP$65536,"OWNER")</f>
        <v>#VALUE!</v>
      </c>
      <c r="N9" s="1287" t="e">
        <f>COUNTIFS([1]SurveyDATA_1!AS$1:AS$65536,"",[1]SurveyDATA_1!FQ$1:FQ$65536,"*NEED*",[1]SurveyDATA_1!IP$1:IP$65536,"OWNER",[1]SurveyDATA_1!IR$1:IR$65536,"*")</f>
        <v>#VALUE!</v>
      </c>
      <c r="O9" s="1277" t="e">
        <f>SUM(M9:N9)</f>
        <v>#VALUE!</v>
      </c>
      <c r="P9" s="1287" t="e">
        <f>SUMIFS([1]SurveyDATA_1!#REF!,[1]SurveyDATA_1!AS$1:AS$65536,"Y",[1]SurveyDATA_1!BN$1:BN$65536,"*Structure Owner*",[1]SurveyDATA_1!FQ$1:FQ$65536,"*Need*",[1]SurveyDATA_1!IR$1:IR$65536,"*")</f>
        <v>#REF!</v>
      </c>
      <c r="Q9" s="1287" t="e">
        <f>SUMIFS([1]SurveyDATA_1!#REF!,[1]SurveyDATA_1!AS$1:AS$65536,"",[1]SurveyDATA_1!BN$1:BN$65536,"*Structure Owner*",[1]SurveyDATA_1!FQ$1:FQ$65536,"*Need*",[1]SurveyDATA_1!IR$1:IR$65536,"*")</f>
        <v>#REF!</v>
      </c>
      <c r="R9" s="1278" t="e">
        <f>SUM(P9:Q9)</f>
        <v>#REF!</v>
      </c>
      <c r="V9" s="1279" t="e">
        <f>COUNTIFS([1]SurveyDATA_1!E$1:E$65536,"*BULIHAN*",[1]SurveyDATA_1!AS$1:AS$65536,"Y",[1]SurveyDATA_1!BN$1:BN$65536,"*Structure Owner*",[1]SurveyDATA_1!FQ$1:FQ$65536,"*Stay*")</f>
        <v>#VALUE!</v>
      </c>
      <c r="W9" s="1279" t="e">
        <f>COUNTIFS([1]SurveyDATA_1!E$1:E$65536,"*BULIHAN*",[1]SurveyDATA_1!AS$1:AS$65536,"Y",[1]SurveyDATA_1!BN$1:BN$65536,"*Structure Owner*",[1]SurveyDATA_1!FQ$1:FQ$65536,"*NEED*")</f>
        <v>#VALUE!</v>
      </c>
      <c r="X9" s="1279" t="e">
        <f>COUNTIFS([1]SurveyDATA_1!E$1:E$65536,"*Q*",[1]SurveyDATA_1!AS$1:AS$65536,"Y",[1]SurveyDATA_1!FQ$1:FQ$65536,"*Stay*",[1]SurveyDATA_1!IP$1:IP$65536,"OWNER")</f>
        <v>#VALUE!</v>
      </c>
      <c r="Y9" s="1280" t="e">
        <f>COUNTIFS([1]SurveyDATA_1!E$1:E$65536,"*BULIHAN*",[1]SurveyDATA_1!AS$1:AS$65536,"Y",[1]SurveyDATA_1!FQ$1:FQ$65536,"*NEED*",[1]SurveyDATA_1!IP$1:IP$65536,"OWNER")</f>
        <v>#VALUE!</v>
      </c>
      <c r="Z9" s="1279" t="e">
        <f>COUNTIFS([1]SurveyDATA_1!E$1:E$65536,"*BULIHAN*",[1]SurveyDATA_1!AS$1:AS$65536,"Y",[1]SurveyDATA_1!BM$1:BM$65536,"*INSTITUTIONAL*",[1]SurveyDATA_1!FQ$1:FQ$65536,"*STAY*")</f>
        <v>#VALUE!</v>
      </c>
      <c r="AA9" s="1279" t="e">
        <f>COUNTIFS([1]SurveyDATA_1!E$1:E$65536,"*BULIHAN*",[1]SurveyDATA_1!AS$1:AS$65536,"Y",[1]SurveyDATA_1!BM$1:BM$65536,"*INSTITUTIONAL*",[1]SurveyDATA_1!FQ$1:FQ$65536,"*STAY*")</f>
        <v>#VALUE!</v>
      </c>
      <c r="AB9" s="1279" t="e">
        <f>COUNTIFS([1]SurveyDATA_1!E$1:E$65536,"*BULIHAN*",[1]SurveyDATA_1!BN$1:BN$65536,"RENTER",[1]SurveyDATA_1!FQ$1:FQ$65536,"*STAY*")</f>
        <v>#VALUE!</v>
      </c>
      <c r="AC9" s="1279" t="e">
        <f>COUNTIFS([1]SurveyDATA_1!E$1:E$65536,"*BULIHAN*",[1]SurveyDATA_1!BN$1:BN$65536,"RENTER",[1]SurveyDATA_1!FQ$1:FQ$65536,"*NEED*")</f>
        <v>#VALUE!</v>
      </c>
      <c r="AD9" s="572"/>
      <c r="AE9" s="572"/>
      <c r="AF9" s="1279" t="e">
        <f>COUNTIFS([1]SurveyDATA_1!E$1:E$65536,"*BULIHAN*",[1]SurveyDATA_1!AK$1:AK$65536,"*LAND OWNER*",[1]SurveyDATA_1!AS$1:AS$65536,"Y",[1]SurveyDATA_1!AN$1:AN$65536,"&lt;20%")</f>
        <v>#VALUE!</v>
      </c>
      <c r="AG9" s="1279" t="e">
        <f>COUNTIFS([1]SurveyDATA_1!E$1:E$65536,"*BULIHAN*",[1]SurveyDATA_1!AK$1:AK$65536,"*LAND OWNER*",[1]SurveyDATA_1!AS$1:AS$65536,"Y",[1]SurveyDATA_1!AN$1:AN$65536,"&gt;19.99%")</f>
        <v>#VALUE!</v>
      </c>
      <c r="AH9" s="1279" t="e">
        <f>COUNTIFS([1]SurveyDATA_1!E$1:E$65536,"*BULIHAN*",[1]SurveyDATA_1!BM$1:BM$65536,"Commercial",[1]SurveyDATA_1!BN$1:BN$65536,"Commercial Tenant",[1]SurveyDATA_1!BR$1:BR$65536,"&lt;20%")</f>
        <v>#VALUE!</v>
      </c>
      <c r="AI9" s="1279" t="e">
        <f>COUNTIFS([1]SurveyDATA_1!E$1:E$65536,"*BULIHAN*",[1]SurveyDATA_1!BM$1:BM$65536,"Commercial",[1]SurveyDATA_1!BN$1:BN$65536,"Commercial Tenant",[1]SurveyDATA_1!BR$1:BR$65536,"&gt;19.99%")</f>
        <v>#VALUE!</v>
      </c>
      <c r="AJ9" s="1281">
        <v>0</v>
      </c>
      <c r="AK9" s="1281">
        <v>0</v>
      </c>
      <c r="AL9" s="1279" t="e">
        <f>SUMIFS([1]SurveyDATA_1!#REF!,[1]SurveyDATA_1!E$1:E$65536,"*BULIHAN*",[1]SurveyDATA_1!BM$1:BM$65536,"Commercial",[1]SurveyDATA_1!BN$1:BN$65536,"Commercial Tenant",[1]SurveyDATA_1!BR$1:BR$65536,"&lt;20%")</f>
        <v>#REF!</v>
      </c>
      <c r="AM9" s="1279" t="e">
        <f>SUMIFS([1]SurveyDATA_1!#REF!,[1]SurveyDATA_1!E$1:E$65536,"*BULIHAN*",[1]SurveyDATA_1!BM$1:BM$65536,"Commercial",[1]SurveyDATA_1!BN$1:BN$65536,"Commercial Tenant",[1]SurveyDATA_1!BR$1:BR$65536,"&gt;19.99%")</f>
        <v>#REF!</v>
      </c>
      <c r="AN9" s="1282" t="e">
        <f t="shared" si="0"/>
        <v>#REF!</v>
      </c>
      <c r="AO9" s="1282" t="e">
        <f t="shared" si="0"/>
        <v>#REF!</v>
      </c>
      <c r="AR9" s="572"/>
      <c r="AS9" s="573" t="s">
        <v>5375</v>
      </c>
      <c r="AT9" s="1283" t="e">
        <f>COUNTIFS([1]SurveyDATA_1!E$1:E$65536,"*BULIHAN*",[1]SurveyDATA_1!BM$1:BM$65536,"*RESIDENTIAL*",[1]SurveyDATA_1!AS$1:AS$65536,"",[1]SurveyDATA_1!BN$1:BN$65536,"*Structure Owner*",[1]SurveyDATA_1!FQ$1:FQ$65536,"*STAY*")</f>
        <v>#VALUE!</v>
      </c>
      <c r="AU9" s="1284" t="e">
        <f>COUNTIFS([1]SurveyDATA_1!E$1:E$65536,"*BULIHAN*",[1]SurveyDATA_1!BM$1:BM$65536,"*RESIDENTIAL*",[1]SurveyDATA_1!AS$1:AS$65536,"",[1]SurveyDATA_1!BN$1:BN$65536,"*Structure Owner*",[1]SurveyDATA_1!FQ$1:FQ$65536,"*NEED*")</f>
        <v>#VALUE!</v>
      </c>
      <c r="AV9" s="1284" t="e">
        <f>COUNTIFS([1]SurveyDATA_1!E$1:E$65536,"*BULIHAN*",[1]SurveyDATA_1!AS$1:AS$65536,"",[1]SurveyDATA_1!FQ$1:FQ$65536,"*STAY*",[1]SurveyDATA_1!IP$1:IP$65536,"OWNER",[1]SurveyDATA_1!IR$1:IR$65536,"*")</f>
        <v>#VALUE!</v>
      </c>
      <c r="AW9" s="1284" t="e">
        <f>COUNTIFS([1]SurveyDATA_1!E$1:E$65536,"*BULIHAN*",[1]SurveyDATA_1!AS$1:AS$65536,"",[1]SurveyDATA_1!FQ$1:FQ$65536,"*NEED*",[1]SurveyDATA_1!IP$1:IP$65536,"OWNER",[1]SurveyDATA_1!IR$1:IR$65536,"*")</f>
        <v>#VALUE!</v>
      </c>
      <c r="AX9" s="1149"/>
      <c r="AY9" s="1230"/>
      <c r="AZ9" s="1285" t="e">
        <f t="shared" si="1"/>
        <v>#VALUE!</v>
      </c>
      <c r="BA9" s="1286" t="e">
        <f t="shared" si="1"/>
        <v>#VALUE!</v>
      </c>
    </row>
    <row r="10" spans="1:53">
      <c r="A10" s="1930"/>
      <c r="B10" s="1206" t="s">
        <v>5407</v>
      </c>
      <c r="C10" s="1206" t="s">
        <v>5396</v>
      </c>
      <c r="D10" s="1206"/>
      <c r="E10" s="1206"/>
      <c r="F10" s="1206"/>
      <c r="G10" s="1206"/>
      <c r="H10" s="1206"/>
      <c r="I10" s="1206"/>
      <c r="J10" s="1206" t="s">
        <v>12665</v>
      </c>
      <c r="L10" s="1275" t="s">
        <v>12666</v>
      </c>
      <c r="M10" s="1287" t="e">
        <f>COUNTIFS([1]SurveyDATA_1!AS$1:AS$65536,"Y",[1]SurveyDATA_1!BN$1:BN$65536,"*Renter*",[1]SurveyDATA_1!FQ$1:FQ$65536,"*Need*")</f>
        <v>#VALUE!</v>
      </c>
      <c r="N10" s="1287" t="e">
        <f>COUNTIFS([1]SurveyDATA_1!AS$1:AS$65536,"",[1]SurveyDATA_1!BN$1:BN$65536,"*Renter*",[1]SurveyDATA_1!FQ$1:FQ$65536,"*Need*")</f>
        <v>#VALUE!</v>
      </c>
      <c r="O10" s="1277" t="e">
        <f>SUM(M10:N10)</f>
        <v>#VALUE!</v>
      </c>
      <c r="P10" s="1287" t="e">
        <f>SUMIFS([1]SurveyDATA_1!#REF!,[1]SurveyDATA_1!AS$1:AS$65536,"Y",[1]SurveyDATA_1!BN$1:BN$65536,"*Renter*",[1]SurveyDATA_1!FQ$1:FQ$65536,"*Need*")</f>
        <v>#REF!</v>
      </c>
      <c r="Q10" s="1287" t="e">
        <f>SUMIFS([1]SurveyDATA_1!#REF!,[1]SurveyDATA_1!AS$1:AS$65536,"",[1]SurveyDATA_1!BN$1:BN$65536,"*Renter*",[1]SurveyDATA_1!FQ$1:FQ$65536,"*Need*")</f>
        <v>#REF!</v>
      </c>
      <c r="R10" s="1278" t="e">
        <f>SUM(P10:Q10)</f>
        <v>#REF!</v>
      </c>
      <c r="V10" s="1279" t="e">
        <f>COUNTIFS([1]SurveyDATA_1!E$1:E$65536,"*PABLO*",[1]SurveyDATA_1!AS$1:AS$65536,"Y",[1]SurveyDATA_1!BN$1:BN$65536,"*Structure Owner*",[1]SurveyDATA_1!FQ$1:FQ$65536,"*Stay*")</f>
        <v>#VALUE!</v>
      </c>
      <c r="W10" s="1279" t="e">
        <f>COUNTIFS([1]SurveyDATA_1!E$1:E$65536,"*PABLO*",[1]SurveyDATA_1!AS$1:AS$65536,"Y",[1]SurveyDATA_1!BN$1:BN$65536,"*Structure Owner*",[1]SurveyDATA_1!FQ$1:FQ$65536,"*NEED*")</f>
        <v>#VALUE!</v>
      </c>
      <c r="X10" s="1279" t="e">
        <f>COUNTIFS([1]SurveyDATA_1!E$1:E$65536,"*PABLO*",[1]SurveyDATA_1!AS$1:AS$65536,"Y",[1]SurveyDATA_1!FQ$1:FQ$65536,"*Stay*",[1]SurveyDATA_1!IP$1:IP$65536,"OWNER")</f>
        <v>#VALUE!</v>
      </c>
      <c r="Y10" s="1280" t="e">
        <f>COUNTIFS([1]SurveyDATA_1!E$1:E$65536,"*PABLO*",[1]SurveyDATA_1!AS$1:AS$65536,"Y",[1]SurveyDATA_1!FQ$1:FQ$65536,"*NEED*",[1]SurveyDATA_1!IP$1:IP$65536,"OWNER")</f>
        <v>#VALUE!</v>
      </c>
      <c r="Z10" s="1279" t="e">
        <f>COUNTIFS([1]SurveyDATA_1!E$1:E$65536,"*PABLO*",[1]SurveyDATA_1!AS$1:AS$65536,"Y",[1]SurveyDATA_1!BM$1:BM$65536,"*INSTITUTIONAL*",[1]SurveyDATA_1!FQ$1:FQ$65536,"*STAY*")</f>
        <v>#VALUE!</v>
      </c>
      <c r="AA10" s="1279" t="e">
        <f>COUNTIFS([1]SurveyDATA_1!E$1:E$65536,"*PABLO*",[1]SurveyDATA_1!AS$1:AS$65536,"Y",[1]SurveyDATA_1!BM$1:BM$65536,"*INSTITUTIONAL*",[1]SurveyDATA_1!FQ$1:FQ$65536,"*STAY*")</f>
        <v>#VALUE!</v>
      </c>
      <c r="AB10" s="1279" t="e">
        <f>COUNTIFS([1]SurveyDATA_1!E$1:E$65536,"*PABLO*",[1]SurveyDATA_1!BN$1:BN$65536,"RENTER",[1]SurveyDATA_1!FQ$1:FQ$65536,"*STAY*")</f>
        <v>#VALUE!</v>
      </c>
      <c r="AC10" s="1279" t="e">
        <f>COUNTIFS([1]SurveyDATA_1!E$1:E$65536,"*PABLO*",[1]SurveyDATA_1!BN$1:BN$65536,"RENTER",[1]SurveyDATA_1!FQ$1:FQ$65536,"*NEED*")</f>
        <v>#VALUE!</v>
      </c>
      <c r="AD10" s="572"/>
      <c r="AE10" s="572"/>
      <c r="AF10" s="1279" t="e">
        <f>COUNTIFS([1]SurveyDATA_1!E$1:E$65536,"*PABLO*",[1]SurveyDATA_1!AK$1:AK$65536,"*LAND OWNER*",[1]SurveyDATA_1!AS$1:AS$65536,"Y",[1]SurveyDATA_1!AN$1:AN$65536,"&lt;20%")</f>
        <v>#VALUE!</v>
      </c>
      <c r="AG10" s="1279" t="e">
        <f>COUNTIFS([1]SurveyDATA_1!E$1:E$65536,"*PABLO*",[1]SurveyDATA_1!AK$1:AK$65536,"*LAND OWNER*",[1]SurveyDATA_1!AS$1:AS$65536,"Y",[1]SurveyDATA_1!AN$1:AN$65536,"&gt;19.99%")</f>
        <v>#VALUE!</v>
      </c>
      <c r="AH10" s="1279" t="e">
        <f>COUNTIFS([1]SurveyDATA_1!E$1:E$65536,"*PABLO*",[1]SurveyDATA_1!BM$1:BM$65536,"Commercial",[1]SurveyDATA_1!BN$1:BN$65536,"Commercial Tenant",[1]SurveyDATA_1!BR$1:BR$65536,"&lt;20%")</f>
        <v>#VALUE!</v>
      </c>
      <c r="AI10" s="1279" t="e">
        <f>COUNTIFS([1]SurveyDATA_1!E$1:E$65536,"*PABLO*",[1]SurveyDATA_1!BM$1:BM$65536,"Commercial",[1]SurveyDATA_1!BN$1:BN$65536,"Commercial Tenant",[1]SurveyDATA_1!BR$1:BR$65536,"&gt;19.99%")</f>
        <v>#VALUE!</v>
      </c>
      <c r="AJ10" s="1281">
        <v>0</v>
      </c>
      <c r="AK10" s="1281">
        <v>0</v>
      </c>
      <c r="AL10" s="1279" t="e">
        <f>SUMIFS([1]SurveyDATA_1!#REF!,[1]SurveyDATA_1!E$1:E$65536,"*PABLO*",[1]SurveyDATA_1!BM$1:BM$65536,"Commercial",[1]SurveyDATA_1!BN$1:BN$65536,"Commercial Tenant",[1]SurveyDATA_1!BR$1:BR$65536,"&lt;20%")</f>
        <v>#REF!</v>
      </c>
      <c r="AM10" s="1279" t="e">
        <f>SUMIFS([1]SurveyDATA_1!#REF!,[1]SurveyDATA_1!E$1:E$65536,"*PABLO*",[1]SurveyDATA_1!BM$1:BM$65536,"Commercial",[1]SurveyDATA_1!BN$1:BN$65536,"Commercial Tenant",[1]SurveyDATA_1!BR$1:BR$65536,"&gt;19.99%")</f>
        <v>#REF!</v>
      </c>
      <c r="AN10" s="1282" t="e">
        <f t="shared" si="0"/>
        <v>#REF!</v>
      </c>
      <c r="AO10" s="1282" t="e">
        <f t="shared" si="0"/>
        <v>#REF!</v>
      </c>
      <c r="AR10" s="572"/>
      <c r="AS10" s="573" t="s">
        <v>5376</v>
      </c>
      <c r="AT10" s="1283" t="e">
        <f>COUNTIFS([1]SurveyDATA_1!E$1:E$65536,"*PABLO*",[1]SurveyDATA_1!BM$1:BM$65536,"*RESIDENTIAL*",[1]SurveyDATA_1!AS$1:AS$65536,"",[1]SurveyDATA_1!BN$1:BN$65536,"*Structure Owner*",[1]SurveyDATA_1!FQ$1:FQ$65536,"*STAY*")</f>
        <v>#VALUE!</v>
      </c>
      <c r="AU10" s="1284" t="e">
        <f>COUNTIFS([1]SurveyDATA_1!E$1:E$65536,"*PABLO*",[1]SurveyDATA_1!BM$1:BM$65536,"*RESIDENTIAL*",[1]SurveyDATA_1!AS$1:AS$65536,"",[1]SurveyDATA_1!BN$1:BN$65536,"*Structure Owner*",[1]SurveyDATA_1!FQ$1:FQ$65536,"*NEED*")</f>
        <v>#VALUE!</v>
      </c>
      <c r="AV10" s="1284" t="e">
        <f>COUNTIFS([1]SurveyDATA_1!E$1:E$65536,"*PABLO*",[1]SurveyDATA_1!AS$1:AS$65536,"",[1]SurveyDATA_1!FQ$1:FQ$65536,"*STAY*",[1]SurveyDATA_1!IP$1:IP$65536,"OWNER",[1]SurveyDATA_1!IR$1:IR$65536,"*")</f>
        <v>#VALUE!</v>
      </c>
      <c r="AW10" s="1284" t="e">
        <f>COUNTIFS([1]SurveyDATA_1!E$1:E$65536,"*PABLO*",[1]SurveyDATA_1!AS$1:AS$65536,"",[1]SurveyDATA_1!FQ$1:FQ$65536,"*NEED*",[1]SurveyDATA_1!IP$1:IP$65536,"OWNER",[1]SurveyDATA_1!IR$1:IR$65536,"*")</f>
        <v>#VALUE!</v>
      </c>
      <c r="AX10" s="1149"/>
      <c r="AY10" s="1230"/>
      <c r="AZ10" s="1285" t="e">
        <f t="shared" si="1"/>
        <v>#VALUE!</v>
      </c>
      <c r="BA10" s="1286" t="e">
        <f t="shared" si="1"/>
        <v>#VALUE!</v>
      </c>
    </row>
    <row r="11" spans="1:53">
      <c r="A11" s="1930"/>
      <c r="B11" s="1206" t="s">
        <v>5408</v>
      </c>
      <c r="C11" s="1206" t="s">
        <v>5397</v>
      </c>
      <c r="D11" s="1206"/>
      <c r="E11" s="1206"/>
      <c r="F11" s="1206"/>
      <c r="G11" s="1206"/>
      <c r="H11" s="1206"/>
      <c r="I11" s="1206"/>
      <c r="J11" s="1206"/>
      <c r="L11" s="1275" t="s">
        <v>12651</v>
      </c>
      <c r="M11" s="1287" t="e">
        <f>COUNTIFS([1]SurveyDATA_1!AS$1:AS$65536,"Y",[1]SurveyDATA_1!BN$1:BN$65536,"*Commercial*",[1]SurveyDATA_1!FQ$1:FQ$65536,"*Need*")</f>
        <v>#VALUE!</v>
      </c>
      <c r="N11" s="1287" t="e">
        <f>COUNTIFS([1]SurveyDATA_1!AS$1:AS$65536,"",[1]SurveyDATA_1!BN$1:BN$65536,"*Commercial*",[1]SurveyDATA_1!FQ$1:FQ$65536,"*Need*")</f>
        <v>#VALUE!</v>
      </c>
      <c r="O11" s="1288" t="e">
        <f>SUM(M11:N11)</f>
        <v>#VALUE!</v>
      </c>
      <c r="P11" s="1287" t="e">
        <f>SUMIFS([1]SurveyDATA_1!#REF!,[1]SurveyDATA_1!AS$1:AS$65536,"Y",[1]SurveyDATA_1!BN$1:BN$65536,"*Commercial*",[1]SurveyDATA_1!FQ$1:FQ$65536,"*Need*")</f>
        <v>#REF!</v>
      </c>
      <c r="Q11" s="1287" t="e">
        <f>SUMIFS([1]SurveyDATA_1!#REF!,[1]SurveyDATA_1!AS$1:AS$65536,"",[1]SurveyDATA_1!BN$1:BN$65536,"*Commercial*",[1]SurveyDATA_1!FQ$1:FQ$65536,"*Need*")</f>
        <v>#REF!</v>
      </c>
      <c r="R11" s="1278" t="e">
        <f>SUM(P11:Q11)</f>
        <v>#REF!</v>
      </c>
      <c r="V11" s="1279" t="e">
        <f>COUNTIFS([1]SurveyDATA_1!E$1:E$65536,"*CATMON*",[1]SurveyDATA_1!AS$1:AS$65536,"Y",[1]SurveyDATA_1!BN$1:BN$65536,"*Structure Owner*",[1]SurveyDATA_1!FQ$1:FQ$65536,"*Stay*")</f>
        <v>#VALUE!</v>
      </c>
      <c r="W11" s="1279" t="e">
        <f>COUNTIFS([1]SurveyDATA_1!E$1:E$65536,"*CATMON*",[1]SurveyDATA_1!AS$1:AS$65536,"Y",[1]SurveyDATA_1!BN$1:BN$65536,"*Structure Owner*",[1]SurveyDATA_1!FQ$1:FQ$65536,"*NEED*")</f>
        <v>#VALUE!</v>
      </c>
      <c r="X11" s="1279" t="e">
        <f>COUNTIFS([1]SurveyDATA_1!E$1:E$65536,"*CATMON*",[1]SurveyDATA_1!AS$1:AS$65536,"Y",[1]SurveyDATA_1!FQ$1:FQ$65536,"*Stay*",[1]SurveyDATA_1!IP$1:IP$65536,"OWNER")</f>
        <v>#VALUE!</v>
      </c>
      <c r="Y11" s="1280" t="e">
        <f>COUNTIFS([1]SurveyDATA_1!E$1:E$65536,"*CATMON*",[1]SurveyDATA_1!AS$1:AS$65536,"Y",[1]SurveyDATA_1!FQ$1:FQ$65536,"*NEED*",[1]SurveyDATA_1!IP$1:IP$65536,"OWNER")</f>
        <v>#VALUE!</v>
      </c>
      <c r="Z11" s="1279" t="e">
        <f>COUNTIFS([1]SurveyDATA_1!E$1:E$65536,"*CATMON*",[1]SurveyDATA_1!AS$1:AS$65536,"Y",[1]SurveyDATA_1!BM$1:BM$65536,"*INSTITUTIONAL*",[1]SurveyDATA_1!FQ$1:FQ$65536,"*STAY*")</f>
        <v>#VALUE!</v>
      </c>
      <c r="AA11" s="1279" t="e">
        <f>COUNTIFS([1]SurveyDATA_1!E$1:E$65536,"*CATMON*",[1]SurveyDATA_1!AS$1:AS$65536,"Y",[1]SurveyDATA_1!BM$1:BM$65536,"*INSTITUTIONAL*",[1]SurveyDATA_1!FQ$1:FQ$65536,"*STAY*")</f>
        <v>#VALUE!</v>
      </c>
      <c r="AB11" s="1279" t="e">
        <f>COUNTIFS([1]SurveyDATA_1!E$1:E$65536,"*CATMON*",[1]SurveyDATA_1!BN$1:BN$65536,"RENTER",[1]SurveyDATA_1!FQ$1:FQ$65536,"*STAY*")</f>
        <v>#VALUE!</v>
      </c>
      <c r="AC11" s="1279" t="e">
        <f>COUNTIFS([1]SurveyDATA_1!E$1:E$65536,"*CATMON*",[1]SurveyDATA_1!BN$1:BN$65536,"RENTER",[1]SurveyDATA_1!FQ$1:FQ$65536,"*NEED*")</f>
        <v>#VALUE!</v>
      </c>
      <c r="AD11" s="572"/>
      <c r="AE11" s="572"/>
      <c r="AF11" s="1279"/>
      <c r="AG11" s="1279"/>
      <c r="AH11" s="1279"/>
      <c r="AI11" s="1279"/>
      <c r="AJ11" s="1281"/>
      <c r="AK11" s="1281"/>
      <c r="AL11" s="1279"/>
      <c r="AM11" s="1279"/>
      <c r="AN11" s="1282"/>
      <c r="AO11" s="1282"/>
      <c r="AR11" s="572"/>
      <c r="AS11" s="574" t="s">
        <v>7216</v>
      </c>
      <c r="AT11" s="638" t="e">
        <f>SUM(AT8:AT10)</f>
        <v>#VALUE!</v>
      </c>
      <c r="AU11" s="638" t="e">
        <f t="shared" ref="AU11:BA11" si="2">SUM(AU8:AU10)</f>
        <v>#VALUE!</v>
      </c>
      <c r="AV11" s="638" t="e">
        <f t="shared" si="2"/>
        <v>#VALUE!</v>
      </c>
      <c r="AW11" s="638" t="e">
        <f>SUM(AW8:AW10)</f>
        <v>#VALUE!</v>
      </c>
      <c r="AX11" s="638">
        <f t="shared" si="2"/>
        <v>0</v>
      </c>
      <c r="AY11" s="1289">
        <f t="shared" si="2"/>
        <v>0</v>
      </c>
      <c r="AZ11" s="1285" t="e">
        <f t="shared" si="2"/>
        <v>#VALUE!</v>
      </c>
      <c r="BA11" s="1286" t="e">
        <f t="shared" si="2"/>
        <v>#VALUE!</v>
      </c>
    </row>
    <row r="12" spans="1:53">
      <c r="A12" s="1930"/>
      <c r="B12" s="1206" t="s">
        <v>5413</v>
      </c>
      <c r="C12" s="1206" t="s">
        <v>5398</v>
      </c>
      <c r="D12" s="1206"/>
      <c r="E12" s="1206"/>
      <c r="F12" s="1206"/>
      <c r="G12" s="1206"/>
      <c r="H12" s="1206"/>
      <c r="I12" s="1206"/>
      <c r="J12" s="1206"/>
      <c r="L12" s="1290" t="s">
        <v>12285</v>
      </c>
      <c r="M12" s="1291" t="e">
        <f t="shared" ref="M12:R12" si="3">SUM(M8:M11)</f>
        <v>#VALUE!</v>
      </c>
      <c r="N12" s="1291" t="e">
        <f t="shared" si="3"/>
        <v>#VALUE!</v>
      </c>
      <c r="O12" s="1291" t="e">
        <f t="shared" si="3"/>
        <v>#VALUE!</v>
      </c>
      <c r="P12" s="1291" t="e">
        <f t="shared" si="3"/>
        <v>#REF!</v>
      </c>
      <c r="Q12" s="1291" t="e">
        <f t="shared" si="3"/>
        <v>#REF!</v>
      </c>
      <c r="R12" s="1292" t="e">
        <f t="shared" si="3"/>
        <v>#REF!</v>
      </c>
      <c r="V12" s="1293" t="e">
        <f>SUM(V8:V11)</f>
        <v>#REF!</v>
      </c>
      <c r="W12" s="1293" t="e">
        <f t="shared" ref="W12:AC12" si="4">SUM(W8:W11)</f>
        <v>#REF!</v>
      </c>
      <c r="X12" s="1293" t="e">
        <f t="shared" si="4"/>
        <v>#REF!</v>
      </c>
      <c r="Y12" s="1293" t="e">
        <f t="shared" si="4"/>
        <v>#REF!</v>
      </c>
      <c r="Z12" s="1293" t="e">
        <f t="shared" si="4"/>
        <v>#REF!</v>
      </c>
      <c r="AA12" s="1293" t="e">
        <f t="shared" si="4"/>
        <v>#REF!</v>
      </c>
      <c r="AB12" s="1293" t="e">
        <f t="shared" si="4"/>
        <v>#REF!</v>
      </c>
      <c r="AC12" s="1293" t="e">
        <f t="shared" si="4"/>
        <v>#VALUE!</v>
      </c>
      <c r="AD12" s="1293">
        <f t="shared" ref="AD12:AO12" si="5">SUM(AD8:AD10)</f>
        <v>0</v>
      </c>
      <c r="AE12" s="1293">
        <f t="shared" si="5"/>
        <v>0</v>
      </c>
      <c r="AF12" s="1293" t="e">
        <f t="shared" si="5"/>
        <v>#VALUE!</v>
      </c>
      <c r="AG12" s="1293" t="e">
        <f t="shared" si="5"/>
        <v>#VALUE!</v>
      </c>
      <c r="AH12" s="1293" t="e">
        <f t="shared" si="5"/>
        <v>#VALUE!</v>
      </c>
      <c r="AI12" s="1293" t="e">
        <f t="shared" si="5"/>
        <v>#VALUE!</v>
      </c>
      <c r="AJ12" s="1293">
        <f t="shared" si="5"/>
        <v>0</v>
      </c>
      <c r="AK12" s="1293">
        <f t="shared" si="5"/>
        <v>0</v>
      </c>
      <c r="AL12" s="1293" t="e">
        <f t="shared" si="5"/>
        <v>#REF!</v>
      </c>
      <c r="AM12" s="1293" t="e">
        <f t="shared" si="5"/>
        <v>#REF!</v>
      </c>
      <c r="AN12" s="1293" t="e">
        <f t="shared" si="5"/>
        <v>#REF!</v>
      </c>
      <c r="AO12" s="1293" t="e">
        <f t="shared" si="5"/>
        <v>#REF!</v>
      </c>
      <c r="AR12" s="572" t="s">
        <v>5494</v>
      </c>
      <c r="AS12" s="573" t="s">
        <v>5378</v>
      </c>
      <c r="AT12" s="1283" t="e">
        <f>COUNTIFS([1]SurveyDATA_1!E$1:E$65536,"*TUKTUKAN*",[1]SurveyDATA_1!BM$1:BM$65536,"*RESIDENTIAL*",[1]SurveyDATA_1!AS$1:AS$65536,"",[1]SurveyDATA_1!BN$1:BN$65536,"*Structure Owner*",[1]SurveyDATA_1!FQ$1:FQ$65536,"*STAY*")</f>
        <v>#VALUE!</v>
      </c>
      <c r="AU12" s="1284" t="e">
        <f>COUNTIFS([1]SurveyDATA_1!E$1:E$65536,"*TUKTUKAN*",[1]SurveyDATA_1!BM$1:BM$65536,"*RESIDENTIAL*",[1]SurveyDATA_1!AS$1:AS$65536,"",[1]SurveyDATA_1!BN$1:BN$65536,"*Structure Owner*",[1]SurveyDATA_1!FQ$1:FQ$65536,"*NEED*")</f>
        <v>#VALUE!</v>
      </c>
      <c r="AV12" s="1284" t="e">
        <f>COUNTIFS([1]SurveyDATA_1!E$1:E$65536,"*TUKTUKAN*",[1]SurveyDATA_1!AS$1:AS$65536,"",[1]SurveyDATA_1!FQ$1:FQ$65536,"*STAY*",[1]SurveyDATA_1!IP$1:IP$65536,"OWNER",[1]SurveyDATA_1!IR$1:IR$65536,"*")</f>
        <v>#VALUE!</v>
      </c>
      <c r="AW12" s="1284" t="e">
        <f>COUNTIFS([1]SurveyDATA_1!E$1:E$65536,"*TUKTUKAN*",[1]SurveyDATA_1!AS$1:AS$65536,"",[1]SurveyDATA_1!FQ$1:FQ$65536,"*NEED*",[1]SurveyDATA_1!IP$1:IP$65536,"OWNER",[1]SurveyDATA_1!IR$1:IR$65536,"*")</f>
        <v>#VALUE!</v>
      </c>
      <c r="AX12" s="1149"/>
      <c r="AY12" s="1230"/>
      <c r="AZ12" s="1285" t="e">
        <f>SUM(AT12,AV12,AX12,)</f>
        <v>#VALUE!</v>
      </c>
      <c r="BA12" s="1286" t="e">
        <f>SUM(AU12,AW12,AY12,)</f>
        <v>#VALUE!</v>
      </c>
    </row>
    <row r="13" spans="1:53">
      <c r="A13" s="1930"/>
      <c r="B13" s="1206" t="s">
        <v>5409</v>
      </c>
      <c r="C13" s="1206" t="s">
        <v>5399</v>
      </c>
      <c r="D13" s="1206"/>
      <c r="E13" s="1294"/>
      <c r="F13" s="1206"/>
      <c r="G13" s="1206"/>
      <c r="H13" s="1206"/>
      <c r="I13" s="1206"/>
      <c r="J13" s="1206"/>
      <c r="L13" s="1266" t="s">
        <v>12286</v>
      </c>
      <c r="M13" s="1267"/>
      <c r="N13" s="1268"/>
      <c r="O13" s="1268"/>
      <c r="P13" s="1268"/>
      <c r="Q13" s="1268"/>
      <c r="R13" s="1269"/>
      <c r="V13" s="1279" t="e">
        <f>COUNTIFS([1]SurveyDATA_1!E$1:E$65536,"*TUKTUKAN*",[1]SurveyDATA_1!AS$1:AS$65536,"Y",[1]SurveyDATA_1!BN$1:BN$65536,"*Structure Owner*",[1]SurveyDATA_1!FQ$1:FQ$65536,"*Stay*")</f>
        <v>#VALUE!</v>
      </c>
      <c r="W13" s="1279" t="e">
        <f>COUNTIFS([1]SurveyDATA_1!E$1:E$65536,"*TUKTUKAN*",[1]SurveyDATA_1!AS$1:AS$65536,"Y",[1]SurveyDATA_1!BN$1:BN$65536,"*Structure Owner*",[1]SurveyDATA_1!FQ$1:FQ$65536,"*NEED*")</f>
        <v>#VALUE!</v>
      </c>
      <c r="X13" s="1279" t="e">
        <f>COUNTIFS([1]SurveyDATA_1!E$1:E$65536,"*TUKTUKAN*",[1]SurveyDATA_1!AS$1:AS$65536,"Y",[1]SurveyDATA_1!FQ$1:FQ$65536,"*Stay*",[1]SurveyDATA_1!IP$1:IP$65536,"OWNER")</f>
        <v>#VALUE!</v>
      </c>
      <c r="Y13" s="1280" t="e">
        <f>COUNTIFS([1]SurveyDATA_1!E$1:E$65536,"*TUKTUKAN*",[1]SurveyDATA_1!AS$1:AS$65536,"Y",[1]SurveyDATA_1!FQ$1:FQ$65536,"*NEED*",[1]SurveyDATA_1!IP$1:IP$65536,"OWNER")</f>
        <v>#VALUE!</v>
      </c>
      <c r="Z13" s="1279" t="e">
        <f>COUNTIFS([1]SurveyDATA_1!E$1:E$65536,"*TUKTUKAN*",[1]SurveyDATA_1!AS$1:AS$65536,"Y",[1]SurveyDATA_1!BM$1:BM$65536,"*INSTITUTIONAL*",[1]SurveyDATA_1!FQ$1:FQ$65536,"*STAY*")</f>
        <v>#VALUE!</v>
      </c>
      <c r="AA13" s="1279" t="e">
        <f>COUNTIFS([1]SurveyDATA_1!E$1:E$65536,"*TUKTUKAN*",[1]SurveyDATA_1!AS$1:AS$65536,"Y",[1]SurveyDATA_1!BM$1:BM$65536,"*INSTITUTIONAL*",[1]SurveyDATA_1!FQ$1:FQ$65536,"*STAY*")</f>
        <v>#VALUE!</v>
      </c>
      <c r="AB13" s="1279" t="e">
        <f>COUNTIFS([1]SurveyDATA_1!E$1:E$65536,"*TUKTUKAN*",[1]SurveyDATA_1!BN$1:BN$65536,"RENTER",[1]SurveyDATA_1!FQ$1:FQ$65536,"*STAY*")</f>
        <v>#VALUE!</v>
      </c>
      <c r="AC13" s="1279" t="e">
        <f>COUNTIFS([1]SurveyDATA_1!E$1:E$65536,"*TUKTUKAN*",[1]SurveyDATA_1!BN$1:BN$65536,"RENTER",[1]SurveyDATA_1!FQ$1:FQ$65536,"*NEED*")</f>
        <v>#VALUE!</v>
      </c>
      <c r="AD13" s="572"/>
      <c r="AE13" s="572"/>
      <c r="AF13" s="1279" t="e">
        <f>COUNTIFS([1]SurveyDATA_1!E$1:E$65536,"*TUKTUKAN*",[1]SurveyDATA_1!AK$1:AK$65536,"*LAND OWNER*",[1]SurveyDATA_1!AS$1:AS$65536,"Y",[1]SurveyDATA_1!AN$1:AN$65536,"&lt;20%")</f>
        <v>#VALUE!</v>
      </c>
      <c r="AG13" s="1279" t="e">
        <f>COUNTIFS([1]SurveyDATA_1!E$1:E$65536,"*TUKTUKAN*",[1]SurveyDATA_1!AK$1:AK$65536,"*LAND OWNER*",[1]SurveyDATA_1!AS$1:AS$65536,"Y",[1]SurveyDATA_1!AN$1:AN$65536,"&gt;19.99%")</f>
        <v>#VALUE!</v>
      </c>
      <c r="AH13" s="1279" t="e">
        <f>COUNTIFS([1]SurveyDATA_1!E$1:E$65536,"*TUKTUKAN*",[1]SurveyDATA_1!BM$1:BM$65536,"Commercial",[1]SurveyDATA_1!BN$1:BN$65536,"Commercial Tenant",[1]SurveyDATA_1!BR$1:BR$65536,"&lt;20%")</f>
        <v>#VALUE!</v>
      </c>
      <c r="AI13" s="1279" t="e">
        <f>COUNTIFS([1]SurveyDATA_1!E$1:E$65536,"*TUKTUKAN*",[1]SurveyDATA_1!BM$1:BM$65536,"Commercial",[1]SurveyDATA_1!BN$1:BN$65536,"Commercial Tenant",[1]SurveyDATA_1!BR$1:BR$65536,"&gt;19.99%")</f>
        <v>#VALUE!</v>
      </c>
      <c r="AJ13" s="1281">
        <v>0</v>
      </c>
      <c r="AK13" s="1281">
        <v>0</v>
      </c>
      <c r="AL13" s="1279" t="e">
        <f>SUMIFS([1]SurveyDATA_1!#REF!,[1]SurveyDATA_1!E$1:E$65536,"*TUKTUKAN*",[1]SurveyDATA_1!BM$1:BM$65536,"Commercial",[1]SurveyDATA_1!BN$1:BN$65536,"Commercial Tenant",[1]SurveyDATA_1!BR$1:BR$65536,"&lt;20%")</f>
        <v>#REF!</v>
      </c>
      <c r="AM13" s="1279" t="e">
        <f>SUMIFS([1]SurveyDATA_1!#REF!,[1]SurveyDATA_1!E$1:E$65536,"*TUKTUKAN*",[1]SurveyDATA_1!BM$1:BM$65536,"Commercial",[1]SurveyDATA_1!BN$1:BN$65536,"Commercial Tenant",[1]SurveyDATA_1!BR$1:BR$65536,"&gt;19.99%")</f>
        <v>#REF!</v>
      </c>
      <c r="AN13" s="1282" t="e">
        <f>SUM(AL13,AJ13,AH13,AF13,AD13,AB13,Z13,X13,V13)</f>
        <v>#REF!</v>
      </c>
      <c r="AO13" s="1282" t="e">
        <f>SUM(AM13,AK13,AI13,AG13,AE13,AC13,AA13,Y13,W13)</f>
        <v>#REF!</v>
      </c>
      <c r="AR13" s="572"/>
      <c r="AS13" s="573" t="s">
        <v>5379</v>
      </c>
      <c r="AT13" s="1283" t="e">
        <f>COUNTIFS([1]SurveyDATA_1!E$1:E$65536,"*TABANG*",[1]SurveyDATA_1!BM$1:BM$65536,"*RESIDENTIAL*",[1]SurveyDATA_1!AS$1:AS$65536,"",[1]SurveyDATA_1!BN$1:BN$65536,"*Structure Owner*",[1]SurveyDATA_1!FQ$1:FQ$65536,"*STAY*")</f>
        <v>#VALUE!</v>
      </c>
      <c r="AU13" s="1284" t="e">
        <f>COUNTIFS([1]SurveyDATA_1!E$1:E$65536,"*TABANG*",[1]SurveyDATA_1!BM$1:BM$65536,"*RESIDENTIAL*",[1]SurveyDATA_1!AS$1:AS$65536,"",[1]SurveyDATA_1!BN$1:BN$65536,"*Structure Owner*",[1]SurveyDATA_1!FQ$1:FQ$65536,"*NEED*")</f>
        <v>#VALUE!</v>
      </c>
      <c r="AV13" s="1284" t="e">
        <f>COUNTIFS([1]SurveyDATA_1!E$1:E$65536,"*TABANG*",[1]SurveyDATA_1!AS$1:AS$65536,"",[1]SurveyDATA_1!FQ$1:FQ$65536,"*STAY*",[1]SurveyDATA_1!IP$1:IP$65536,"OWNER",[1]SurveyDATA_1!IR$1:IR$65536,"*")</f>
        <v>#VALUE!</v>
      </c>
      <c r="AW13" s="1284" t="e">
        <f>COUNTIFS([1]SurveyDATA_1!E$1:E$65536,"*TABANG*",[1]SurveyDATA_1!AS$1:AS$65536,"",[1]SurveyDATA_1!FQ$1:FQ$65536,"*NEED*",[1]SurveyDATA_1!IP$1:IP$65536,"OWNER",[1]SurveyDATA_1!IR$1:IR$65536,"*")</f>
        <v>#VALUE!</v>
      </c>
      <c r="AX13" s="1149"/>
      <c r="AY13" s="1230"/>
      <c r="AZ13" s="1285" t="e">
        <f>SUM(AT13,AV13,AX13,)</f>
        <v>#VALUE!</v>
      </c>
      <c r="BA13" s="1286" t="e">
        <f>SUM(AU13,AW13,AY13,)</f>
        <v>#VALUE!</v>
      </c>
    </row>
    <row r="14" spans="1:53">
      <c r="A14" s="1930"/>
      <c r="B14" s="1206" t="s">
        <v>5403</v>
      </c>
      <c r="C14" s="1206" t="s">
        <v>5400</v>
      </c>
      <c r="D14" s="1206"/>
      <c r="E14" s="1206"/>
      <c r="F14" s="1206"/>
      <c r="G14" s="1206"/>
      <c r="H14" s="1206"/>
      <c r="I14" s="1206"/>
      <c r="J14" s="1206"/>
      <c r="L14" s="1275" t="s">
        <v>12667</v>
      </c>
      <c r="M14" s="1276" t="e">
        <f>COUNTIFS([1]SurveyDATA_1!AK5:AK830,"*LAND OWNER*",[1]SurveyDATA_1!AN5:AN830,"&gt;0%",[1]SurveyDATA_1!AS5:AS830,"Y")</f>
        <v>#VALUE!</v>
      </c>
      <c r="N14" s="1276">
        <v>0</v>
      </c>
      <c r="O14" s="1288" t="e">
        <f t="shared" ref="O14:O19" si="6">SUM(M14:N14)</f>
        <v>#VALUE!</v>
      </c>
      <c r="P14" s="1276" t="e">
        <f>SUMIFS([1]SurveyDATA_1!#REF!,[1]SurveyDATA_1!AK$1:AK$65536,"*LAND OWNER*",[1]SurveyDATA_1!AS$1:AS$65536,"Y")</f>
        <v>#REF!</v>
      </c>
      <c r="Q14" s="1276">
        <v>0</v>
      </c>
      <c r="R14" s="1278" t="e">
        <f t="shared" ref="R14:R19" si="7">SUM(P14:Q14)</f>
        <v>#REF!</v>
      </c>
      <c r="V14" s="1279" t="e">
        <f>COUNTIFS([1]SurveyDATA_1!E$1:E$65536,"*TABANG*",[1]SurveyDATA_1!AS$1:AS$65536,"Y",[1]SurveyDATA_1!BN$1:BN$65536,"*Structure Owner*",[1]SurveyDATA_1!FQ$1:FQ$65536,"*Stay*")</f>
        <v>#VALUE!</v>
      </c>
      <c r="W14" s="1279" t="e">
        <f>COUNTIFS([1]SurveyDATA_1!E$1:E$65536,"*TABANG*",[1]SurveyDATA_1!AS$1:AS$65536,"Y",[1]SurveyDATA_1!BN$1:BN$65536,"*Structure Owner*",[1]SurveyDATA_1!FQ$1:FQ$65536,"*NEED*")</f>
        <v>#VALUE!</v>
      </c>
      <c r="X14" s="1279" t="e">
        <f>COUNTIFS([1]SurveyDATA_1!E$1:E$65536,"*TABANG*",[1]SurveyDATA_1!AS$1:AS$65536,"Y",[1]SurveyDATA_1!FQ$1:FQ$65536,"*Stay*",[1]SurveyDATA_1!IP$1:IP$65536,"OWNER")</f>
        <v>#VALUE!</v>
      </c>
      <c r="Y14" s="1280" t="e">
        <f>COUNTIFS([1]SurveyDATA_1!E$1:E$65536,"*TABANG*",[1]SurveyDATA_1!AS$1:AS$65536,"Y",[1]SurveyDATA_1!FQ$1:FQ$65536,"*NEED*",[1]SurveyDATA_1!IP$1:IP$65536,"OWNER")</f>
        <v>#VALUE!</v>
      </c>
      <c r="Z14" s="1279" t="e">
        <f>COUNTIFS([1]SurveyDATA_1!E$1:E$65536,"*TABANG*",[1]SurveyDATA_1!AS$1:AS$65536,"Y",[1]SurveyDATA_1!BM$1:BM$65536,"*INSTITUTIONAL*",[1]SurveyDATA_1!FQ$1:FQ$65536,"*STAY*")</f>
        <v>#VALUE!</v>
      </c>
      <c r="AA14" s="1279" t="e">
        <f>COUNTIFS([1]SurveyDATA_1!E$1:E$65536,"*TABANG*",[1]SurveyDATA_1!AS$1:AS$65536,"Y",[1]SurveyDATA_1!BM$1:BM$65536,"*INSTITUTIONAL*",[1]SurveyDATA_1!FQ$1:FQ$65536,"*STAY*")</f>
        <v>#VALUE!</v>
      </c>
      <c r="AB14" s="1279" t="e">
        <f>COUNTIFS([1]SurveyDATA_1!E$1:E$65536,"*TABANG*",[1]SurveyDATA_1!BN$1:BN$65536,"RENTER",[1]SurveyDATA_1!FQ$1:FQ$65536,"*STAY*")</f>
        <v>#VALUE!</v>
      </c>
      <c r="AC14" s="1279" t="e">
        <f>COUNTIFS([1]SurveyDATA_1!E$1:E$65536,"*TABANG*",[1]SurveyDATA_1!BN$1:BN$65536,"RENTER",[1]SurveyDATA_1!FQ$1:FQ$65536,"*NEED*")</f>
        <v>#VALUE!</v>
      </c>
      <c r="AD14" s="572"/>
      <c r="AE14" s="572"/>
      <c r="AF14" s="1279" t="e">
        <f>COUNTIFS([1]SurveyDATA_1!E$1:E$65536,"*TABANG*",[1]SurveyDATA_1!AK$1:AK$65536,"*LAND OWNER*",[1]SurveyDATA_1!AS$1:AS$65536,"Y",[1]SurveyDATA_1!AN$1:AN$65536,"&lt;20%")</f>
        <v>#VALUE!</v>
      </c>
      <c r="AG14" s="1279" t="e">
        <f>COUNTIFS([1]SurveyDATA_1!E$1:E$65536,"*TABANG*",[1]SurveyDATA_1!AK$1:AK$65536,"*LAND OWNER*",[1]SurveyDATA_1!AS$1:AS$65536,"Y",[1]SurveyDATA_1!AN$1:AN$65536,"&gt;19.99%")</f>
        <v>#VALUE!</v>
      </c>
      <c r="AH14" s="1279" t="e">
        <f>COUNTIFS([1]SurveyDATA_1!E$1:E$65536,"*TABANG*",[1]SurveyDATA_1!BM$1:BM$65536,"Commercial",[1]SurveyDATA_1!BN$1:BN$65536,"Commercial Tenant",[1]SurveyDATA_1!BR$1:BR$65536,"&lt;20%")</f>
        <v>#VALUE!</v>
      </c>
      <c r="AI14" s="1279" t="e">
        <f>COUNTIFS([1]SurveyDATA_1!E$1:E$65536,"*TABANG*",[1]SurveyDATA_1!BM$1:BM$65536,"Commercial",[1]SurveyDATA_1!BN$1:BN$65536,"Commercial Tenant",[1]SurveyDATA_1!BR$1:BR$65536,"&gt;19.99%")</f>
        <v>#VALUE!</v>
      </c>
      <c r="AJ14" s="1281">
        <v>0</v>
      </c>
      <c r="AK14" s="1281">
        <v>0</v>
      </c>
      <c r="AL14" s="1279" t="e">
        <f>SUMIFS([1]SurveyDATA_1!#REF!,[1]SurveyDATA_1!E$1:E$65536,"*TABANG*",[1]SurveyDATA_1!BM$1:BM$65536,"Commercial",[1]SurveyDATA_1!BN$1:BN$65536,"Commercial Tenant",[1]SurveyDATA_1!BR$1:BR$65536,"&lt;20%")</f>
        <v>#REF!</v>
      </c>
      <c r="AM14" s="1279" t="e">
        <f>SUMIFS([1]SurveyDATA_1!#REF!,[1]SurveyDATA_1!E$1:E$65536,"*TABANG*",[1]SurveyDATA_1!BM$1:BM$65536,"Commercial",[1]SurveyDATA_1!BN$1:BN$65536,"Commercial Tenant",[1]SurveyDATA_1!BR$1:BR$65536,"&gt;19.99%")</f>
        <v>#REF!</v>
      </c>
      <c r="AN14" s="1282" t="e">
        <f>SUM(AL14,AJ14,AH14,AF14,AD14,AB14,Z14,X14,V14)</f>
        <v>#REF!</v>
      </c>
      <c r="AO14" s="1282" t="e">
        <f>SUM(AM14,AK14,AI14,AG14,AE14,AC14,AA14,Y14,W14)</f>
        <v>#REF!</v>
      </c>
      <c r="AR14" s="572"/>
      <c r="AS14" s="574" t="s">
        <v>7216</v>
      </c>
      <c r="AT14" s="638" t="e">
        <f>SUM(AT11:AT13)</f>
        <v>#VALUE!</v>
      </c>
      <c r="AU14" s="638" t="e">
        <f>SUM(AU12:AU13)</f>
        <v>#VALUE!</v>
      </c>
      <c r="AV14" s="638" t="e">
        <f>SUM(AV11:AV13)</f>
        <v>#VALUE!</v>
      </c>
      <c r="AW14" s="638" t="e">
        <f>SUM(AW11:AW13)</f>
        <v>#VALUE!</v>
      </c>
      <c r="AX14" s="638">
        <f>SUM(AX11:AX13)</f>
        <v>0</v>
      </c>
      <c r="AY14" s="1289">
        <f>SUM(AY11:AY13)</f>
        <v>0</v>
      </c>
      <c r="AZ14" s="1285" t="e">
        <f>SUM(AZ12:AZ13)</f>
        <v>#VALUE!</v>
      </c>
      <c r="BA14" s="1295" t="e">
        <f>SUM(BA12:BA13)</f>
        <v>#VALUE!</v>
      </c>
    </row>
    <row r="15" spans="1:53">
      <c r="A15" s="1930"/>
      <c r="B15" s="1206" t="s">
        <v>5404</v>
      </c>
      <c r="C15" s="1206"/>
      <c r="D15" s="1206"/>
      <c r="E15" s="1206"/>
      <c r="F15" s="1206"/>
      <c r="G15" s="1206"/>
      <c r="H15" s="1206"/>
      <c r="I15" s="1206"/>
      <c r="J15" s="1206"/>
      <c r="L15" s="1275" t="s">
        <v>12647</v>
      </c>
      <c r="M15" s="1287" t="e">
        <f>COUNTIFS([1]SurveyDATA_1!AS$1:AS$65536,"Y",[1]SurveyDATA_1!BN$1:BN$65536,"*Structure Owner*",[1]SurveyDATA_1!FQ$1:FQ$65536,"*Stay*")</f>
        <v>#VALUE!</v>
      </c>
      <c r="N15" s="1296" t="e">
        <f>COUNTIFS([1]SurveyDATA_1!BM$1:BM$65536,"*RESIDENTIAL*",[1]SurveyDATA_1!AS$1:AS$65536,"",[1]SurveyDATA_1!BN$1:BN$65536,"*Structure Owner*",[1]SurveyDATA_1!FQ$1:FQ$65536,"*STAY*")</f>
        <v>#VALUE!</v>
      </c>
      <c r="O15" s="1288" t="e">
        <f t="shared" si="6"/>
        <v>#VALUE!</v>
      </c>
      <c r="P15" s="1287" t="e">
        <f>SUMIFS([1]SurveyDATA_1!#REF!,[1]SurveyDATA_1!AS$1:AS$65536,"Y",[1]SurveyDATA_1!BN$1:BN$65536,"*Structure Owner*",[1]SurveyDATA_1!FQ$1:FQ$65536,"*Stay*")</f>
        <v>#REF!</v>
      </c>
      <c r="Q15" s="1287" t="e">
        <f>SUMIFS([1]SurveyDATA_1!#REF!,[1]SurveyDATA_1!AS$1:AS$65536,"",[1]SurveyDATA_1!BN$1:BN$65536,"*Structure Owner*",[1]SurveyDATA_1!FQ$1:FQ$65536,"*Stay*",[1]SurveyDATA_1!IR$1:IR$65536,"*")</f>
        <v>#REF!</v>
      </c>
      <c r="R15" s="1278" t="e">
        <f t="shared" si="7"/>
        <v>#REF!</v>
      </c>
      <c r="V15" s="1293" t="e">
        <f t="shared" ref="V15:AO15" si="8">SUM(V13:V14)</f>
        <v>#VALUE!</v>
      </c>
      <c r="W15" s="1293" t="e">
        <f t="shared" si="8"/>
        <v>#VALUE!</v>
      </c>
      <c r="X15" s="1293" t="e">
        <f t="shared" si="8"/>
        <v>#VALUE!</v>
      </c>
      <c r="Y15" s="1293" t="e">
        <f t="shared" si="8"/>
        <v>#VALUE!</v>
      </c>
      <c r="Z15" s="1293" t="e">
        <f t="shared" si="8"/>
        <v>#VALUE!</v>
      </c>
      <c r="AA15" s="1293" t="e">
        <f t="shared" si="8"/>
        <v>#VALUE!</v>
      </c>
      <c r="AB15" s="1293" t="e">
        <f t="shared" si="8"/>
        <v>#VALUE!</v>
      </c>
      <c r="AC15" s="1293" t="e">
        <f t="shared" si="8"/>
        <v>#VALUE!</v>
      </c>
      <c r="AD15" s="1293">
        <f t="shared" si="8"/>
        <v>0</v>
      </c>
      <c r="AE15" s="1293">
        <f t="shared" si="8"/>
        <v>0</v>
      </c>
      <c r="AF15" s="1293" t="e">
        <f t="shared" si="8"/>
        <v>#VALUE!</v>
      </c>
      <c r="AG15" s="1293" t="e">
        <f t="shared" si="8"/>
        <v>#VALUE!</v>
      </c>
      <c r="AH15" s="1293" t="e">
        <f t="shared" si="8"/>
        <v>#VALUE!</v>
      </c>
      <c r="AI15" s="1293" t="e">
        <f t="shared" si="8"/>
        <v>#VALUE!</v>
      </c>
      <c r="AJ15" s="1293">
        <f t="shared" si="8"/>
        <v>0</v>
      </c>
      <c r="AK15" s="1293">
        <f t="shared" si="8"/>
        <v>0</v>
      </c>
      <c r="AL15" s="1293" t="e">
        <f t="shared" si="8"/>
        <v>#REF!</v>
      </c>
      <c r="AM15" s="1293" t="e">
        <f t="shared" si="8"/>
        <v>#REF!</v>
      </c>
      <c r="AN15" s="1293" t="e">
        <f t="shared" si="8"/>
        <v>#REF!</v>
      </c>
      <c r="AO15" s="1293" t="e">
        <f t="shared" si="8"/>
        <v>#REF!</v>
      </c>
      <c r="AR15" s="572" t="s">
        <v>5847</v>
      </c>
      <c r="AS15" s="573" t="s">
        <v>5411</v>
      </c>
      <c r="AT15" s="1283" t="e">
        <f>COUNTIFS([1]SurveyDATA_1!E$1:E$65536,"*BUROL*",[1]SurveyDATA_1!BM$1:BM$65536,"*RESIDENTIAL*",[1]SurveyDATA_1!AS$1:AS$65536,"",[1]SurveyDATA_1!BN$1:BN$65536,"*Structure Owner*",[1]SurveyDATA_1!FQ$1:FQ$65536,"*STAY*")</f>
        <v>#VALUE!</v>
      </c>
      <c r="AU15" s="1284" t="e">
        <f>COUNTIFS([1]SurveyDATA_1!E$1:E$65536,"*BUROL*",[1]SurveyDATA_1!BM$1:BM$65536,"*RESIDENTIAL*",[1]SurveyDATA_1!AS$1:AS$65536,"",[1]SurveyDATA_1!BN$1:BN$65536,"*Structure Owner*",[1]SurveyDATA_1!FQ$1:FQ$65536,"*NEED*")</f>
        <v>#VALUE!</v>
      </c>
      <c r="AV15" s="1284" t="e">
        <f>COUNTIFS([1]SurveyDATA_1!E$1:E$65536,"*BUROL*",[1]SurveyDATA_1!AS$1:AS$65536,"",[1]SurveyDATA_1!FQ$1:FQ$65536,"*STAY*",[1]SurveyDATA_1!IP$1:IP$65536,"OWNER",[1]SurveyDATA_1!IR$1:IR$65536,"*")</f>
        <v>#VALUE!</v>
      </c>
      <c r="AW15" s="1284" t="e">
        <f>COUNTIFS([1]SurveyDATA_1!E$1:E$65536,"*BUROL*",[1]SurveyDATA_1!AS$1:AS$65536,"",[1]SurveyDATA_1!FQ$1:FQ$65536,"*NEED*",[1]SurveyDATA_1!IP$1:IP$65536,"OWNER",[1]SurveyDATA_1!IR$1:IR$65536,"*")</f>
        <v>#VALUE!</v>
      </c>
      <c r="AX15" s="1149"/>
      <c r="AY15" s="1230"/>
      <c r="AZ15" s="1285" t="e">
        <f>SUM(AT15,AV15,AX15,)</f>
        <v>#VALUE!</v>
      </c>
      <c r="BA15" s="1286" t="e">
        <f>SUM(AU15,AW15,AY15,)</f>
        <v>#VALUE!</v>
      </c>
    </row>
    <row r="16" spans="1:53">
      <c r="A16" s="1930"/>
      <c r="B16" s="1206" t="s">
        <v>5405</v>
      </c>
      <c r="C16" s="1206"/>
      <c r="D16" s="1206"/>
      <c r="E16" s="1206"/>
      <c r="F16" s="1206"/>
      <c r="G16" s="1206"/>
      <c r="H16" s="1206"/>
      <c r="I16" s="1206"/>
      <c r="J16" s="1206"/>
      <c r="L16" s="1275" t="s">
        <v>12648</v>
      </c>
      <c r="M16" s="1287" t="e">
        <f>COUNTIFS([1]SurveyDATA_1!AS$1:AS$65536,"Y",[1]SurveyDATA_1!FQ$1:FQ$65536,"*Stay*",[1]SurveyDATA_1!IP$1:IP$65536,"OWNER")</f>
        <v>#VALUE!</v>
      </c>
      <c r="N16" s="1287" t="e">
        <f>COUNTIFS([1]SurveyDATA_1!AS$1:AS$65536,"",[1]SurveyDATA_1!FQ$1:FQ$65536,"*STAY*",[1]SurveyDATA_1!IP$1:IP$65536,"OWNER",[1]SurveyDATA_1!IR$1:IR$65536,"*")</f>
        <v>#VALUE!</v>
      </c>
      <c r="O16" s="1288" t="e">
        <f t="shared" si="6"/>
        <v>#VALUE!</v>
      </c>
      <c r="P16" s="1287" t="e">
        <f>SUMIFS([1]SurveyDATA_1!#REF!,[1]SurveyDATA_1!AS$1:AS$65536,"Y",[1]SurveyDATA_1!BN$1:BN$65536,"*Structure Owner*",[1]SurveyDATA_1!FQ$1:FQ$65536,"*Stay*",[1]SurveyDATA_1!IR$1:IR$65536,"*")</f>
        <v>#REF!</v>
      </c>
      <c r="Q16" s="1287" t="e">
        <f>SUMIFS([1]SurveyDATA_1!#REF!,[1]SurveyDATA_1!AS$1:AS$65536,"",[1]SurveyDATA_1!BN$1:BN$65536,"*Renter*",[1]SurveyDATA_1!FQ$1:FQ$65536,"*Stay*")</f>
        <v>#REF!</v>
      </c>
      <c r="R16" s="1278" t="e">
        <f t="shared" si="7"/>
        <v>#REF!</v>
      </c>
      <c r="V16" s="1279" t="e">
        <f>COUNTIFS([1]SurveyDATA_1!E$1:E$65536,"*BUROL*",[1]SurveyDATA_1!AS$1:AS$65536,"Y",[1]SurveyDATA_1!BN$1:BN$65536,"*Structure Owner*",[1]SurveyDATA_1!FQ$1:FQ$65536,"*Stay*")</f>
        <v>#VALUE!</v>
      </c>
      <c r="W16" s="1279" t="e">
        <f>COUNTIFS([1]SurveyDATA_1!E$1:E$65536,"*BUROL*",[1]SurveyDATA_1!AS$1:AS$65536,"Y",[1]SurveyDATA_1!BN$1:BN$65536,"*Structure Owner*",[1]SurveyDATA_1!FQ$1:FQ$65536,"*NEED*")</f>
        <v>#VALUE!</v>
      </c>
      <c r="X16" s="1279" t="e">
        <f>COUNTIFS([1]SurveyDATA_1!E$1:E$65536,"*BUROL*",[1]SurveyDATA_1!AS$1:AS$65536,"Y",[1]SurveyDATA_1!FQ$1:FQ$65536,"*Stay*",[1]SurveyDATA_1!IP$1:IP$65536,"OWNER")</f>
        <v>#VALUE!</v>
      </c>
      <c r="Y16" s="1280" t="e">
        <f>COUNTIFS([1]SurveyDATA_1!E$1:E$65536,"*BUROL*",[1]SurveyDATA_1!AS$1:AS$65536,"Y",[1]SurveyDATA_1!FQ$1:FQ$65536,"*NEED*",[1]SurveyDATA_1!IP$1:IP$65536,"OWNER")</f>
        <v>#VALUE!</v>
      </c>
      <c r="Z16" s="1279" t="e">
        <f>COUNTIFS([1]SurveyDATA_1!E$1:E$65536,"*BUROL*",[1]SurveyDATA_1!AS$1:AS$65536,"Y",[1]SurveyDATA_1!BM$1:BM$65536,"*INSTITUTIONAL*",[1]SurveyDATA_1!FQ$1:FQ$65536,"*STAY*")</f>
        <v>#VALUE!</v>
      </c>
      <c r="AA16" s="1279" t="e">
        <f>COUNTIFS([1]SurveyDATA_1!E$1:E$65536,"*BUROL*",[1]SurveyDATA_1!AS$1:AS$65536,"Y",[1]SurveyDATA_1!BM$1:BM$65536,"*INSTITUTIONAL*",[1]SurveyDATA_1!FQ$1:FQ$65536,"*STAY*")</f>
        <v>#VALUE!</v>
      </c>
      <c r="AB16" s="1279" t="e">
        <f>COUNTIFS([1]SurveyDATA_1!E$1:E$65536,"*BUROL*",[1]SurveyDATA_1!BN$1:BN$65536,"RENTER",[1]SurveyDATA_1!FQ$1:FQ$65536,"*STAY*")</f>
        <v>#VALUE!</v>
      </c>
      <c r="AC16" s="1279" t="e">
        <f>COUNTIFS([1]SurveyDATA_1!E$1:E$65536,"*BUROL*",[1]SurveyDATA_1!BN$1:BN$65536,"RENTER",[1]SurveyDATA_1!FQ$1:FQ$65536,"*NEED*")</f>
        <v>#VALUE!</v>
      </c>
      <c r="AD16" s="572"/>
      <c r="AE16" s="572"/>
      <c r="AF16" s="1279" t="e">
        <f>COUNTIFS([1]SurveyDATA_1!E$1:E$65536,"*BUROL*",[1]SurveyDATA_1!AK$1:AK$65536,"*LAND OWNER*",[1]SurveyDATA_1!AS$1:AS$65536,"Y",[1]SurveyDATA_1!AN$1:AN$65536,"&lt;20%")</f>
        <v>#VALUE!</v>
      </c>
      <c r="AG16" s="1279" t="e">
        <f>COUNTIFS([1]SurveyDATA_1!E$1:E$65536,"*BUROL*",[1]SurveyDATA_1!AK$1:AK$65536,"*LAND OWNER*",[1]SurveyDATA_1!AS$1:AS$65536,"Y",[1]SurveyDATA_1!AN$1:AN$65536,"&gt;19.99%")</f>
        <v>#VALUE!</v>
      </c>
      <c r="AH16" s="1279" t="e">
        <f>COUNTIFS([1]SurveyDATA_1!E$1:E$65536,"*BUROL*",[1]SurveyDATA_1!BM$1:BM$65536,"Commercial",[1]SurveyDATA_1!BN$1:BN$65536,"Commercial Tenant",[1]SurveyDATA_1!BR$1:BR$65536,"&lt;20%")</f>
        <v>#VALUE!</v>
      </c>
      <c r="AI16" s="1279" t="e">
        <f>COUNTIFS([1]SurveyDATA_1!E$1:E$65536,"*TIKAY*",[1]SurveyDATA_1!BM$1:BM$65536,"Commercial",[1]SurveyDATA_1!BN$1:BN$65536,"Commercial Tenant",[1]SurveyDATA_1!BR$1:BR$65536,"&gt;19.99%")</f>
        <v>#VALUE!</v>
      </c>
      <c r="AJ16" s="1281">
        <v>0</v>
      </c>
      <c r="AK16" s="1281">
        <v>0</v>
      </c>
      <c r="AL16" s="1279" t="e">
        <f>SUMIFS([1]SurveyDATA_1!#REF!,[1]SurveyDATA_1!E$1:E$65536,"*BUROL*",[1]SurveyDATA_1!BM$1:BM$65536,"Commercial",[1]SurveyDATA_1!BN$1:BN$65536,"Commercial Tenant",[1]SurveyDATA_1!BR$1:BR$65536,"&lt;20%")</f>
        <v>#REF!</v>
      </c>
      <c r="AM16" s="1279" t="e">
        <f>SUMIFS([1]SurveyDATA_1!#REF!,[1]SurveyDATA_1!E$1:E$65536,"*BUROL*",[1]SurveyDATA_1!BM$1:BM$65536,"Commercial",[1]SurveyDATA_1!BN$1:BN$65536,"Commercial Tenant",[1]SurveyDATA_1!BR$1:BR$65536,"&gt;19.99%")</f>
        <v>#REF!</v>
      </c>
      <c r="AN16" s="1282" t="e">
        <f>SUM(AL16,AJ16,AH16,AF16,AD16,AB16,Z16,X16,V16)</f>
        <v>#REF!</v>
      </c>
      <c r="AO16" s="1282" t="e">
        <f>SUM(AM16,AK16,AI16,AG16,AE16,AC16,AA16,Y16,W16)</f>
        <v>#REF!</v>
      </c>
      <c r="AR16" s="572"/>
      <c r="AS16" s="574" t="s">
        <v>7216</v>
      </c>
      <c r="AT16" s="638" t="e">
        <f t="shared" ref="AT16:AY16" si="9">SUM(AT13:AT15)</f>
        <v>#VALUE!</v>
      </c>
      <c r="AU16" s="638" t="e">
        <f t="shared" si="9"/>
        <v>#VALUE!</v>
      </c>
      <c r="AV16" s="638" t="e">
        <f t="shared" si="9"/>
        <v>#VALUE!</v>
      </c>
      <c r="AW16" s="638" t="e">
        <f t="shared" si="9"/>
        <v>#VALUE!</v>
      </c>
      <c r="AX16" s="638">
        <f t="shared" si="9"/>
        <v>0</v>
      </c>
      <c r="AY16" s="1289">
        <f t="shared" si="9"/>
        <v>0</v>
      </c>
      <c r="AZ16" s="1285" t="e">
        <f>SUM(AZ15)</f>
        <v>#VALUE!</v>
      </c>
      <c r="BA16" s="1286" t="e">
        <f>SUM(BA15)</f>
        <v>#VALUE!</v>
      </c>
    </row>
    <row r="17" spans="1:53">
      <c r="A17" s="1930"/>
      <c r="B17" s="1206" t="s">
        <v>5406</v>
      </c>
      <c r="C17" s="1206"/>
      <c r="D17" s="1206"/>
      <c r="E17" s="1206"/>
      <c r="F17" s="1206"/>
      <c r="G17" s="1206"/>
      <c r="H17" s="1206"/>
      <c r="I17" s="1206"/>
      <c r="J17" s="1206"/>
      <c r="L17" s="1297" t="s">
        <v>12649</v>
      </c>
      <c r="M17" s="1298" t="e">
        <f>COUNTIFS([1]SurveyDATA_1!E$1:E$65536,"*TABANG*",[1]SurveyDATA_1!AS$1:AS$65536,"Y",[1]SurveyDATA_1!BM$1:BM$65536,"*INSTITUTIONAL*",[1]SurveyDATA_1!FQ$1:FQ$65536,"*STAY*")</f>
        <v>#VALUE!</v>
      </c>
      <c r="N17" s="1299"/>
      <c r="O17" s="1288" t="e">
        <f>SUM(M17:N17)</f>
        <v>#VALUE!</v>
      </c>
      <c r="P17" s="1298"/>
      <c r="Q17" s="1298"/>
      <c r="R17" s="1278">
        <f t="shared" si="7"/>
        <v>0</v>
      </c>
      <c r="V17" s="575" t="e">
        <f t="shared" ref="V17:AO17" si="10">SUM(V16)</f>
        <v>#VALUE!</v>
      </c>
      <c r="W17" s="575" t="e">
        <f t="shared" si="10"/>
        <v>#VALUE!</v>
      </c>
      <c r="X17" s="575" t="e">
        <f t="shared" si="10"/>
        <v>#VALUE!</v>
      </c>
      <c r="Y17" s="575" t="e">
        <f t="shared" si="10"/>
        <v>#VALUE!</v>
      </c>
      <c r="Z17" s="575" t="e">
        <f t="shared" si="10"/>
        <v>#VALUE!</v>
      </c>
      <c r="AA17" s="575" t="e">
        <f t="shared" si="10"/>
        <v>#VALUE!</v>
      </c>
      <c r="AB17" s="575" t="e">
        <f t="shared" si="10"/>
        <v>#VALUE!</v>
      </c>
      <c r="AC17" s="575" t="e">
        <f t="shared" si="10"/>
        <v>#VALUE!</v>
      </c>
      <c r="AD17" s="575">
        <f t="shared" si="10"/>
        <v>0</v>
      </c>
      <c r="AE17" s="575">
        <f t="shared" si="10"/>
        <v>0</v>
      </c>
      <c r="AF17" s="575" t="e">
        <f t="shared" si="10"/>
        <v>#VALUE!</v>
      </c>
      <c r="AG17" s="575" t="e">
        <f t="shared" si="10"/>
        <v>#VALUE!</v>
      </c>
      <c r="AH17" s="575" t="e">
        <f t="shared" si="10"/>
        <v>#VALUE!</v>
      </c>
      <c r="AI17" s="575" t="e">
        <f t="shared" si="10"/>
        <v>#VALUE!</v>
      </c>
      <c r="AJ17" s="575">
        <f t="shared" si="10"/>
        <v>0</v>
      </c>
      <c r="AK17" s="575">
        <f t="shared" si="10"/>
        <v>0</v>
      </c>
      <c r="AL17" s="575" t="e">
        <f t="shared" si="10"/>
        <v>#REF!</v>
      </c>
      <c r="AM17" s="575" t="e">
        <f t="shared" si="10"/>
        <v>#REF!</v>
      </c>
      <c r="AN17" s="575" t="e">
        <f t="shared" si="10"/>
        <v>#REF!</v>
      </c>
      <c r="AO17" s="575" t="e">
        <f t="shared" si="10"/>
        <v>#REF!</v>
      </c>
      <c r="AR17" s="572" t="s">
        <v>771</v>
      </c>
      <c r="AS17" s="573" t="s">
        <v>5382</v>
      </c>
      <c r="AT17" s="1283" t="e">
        <f>COUNTIFS([1]SurveyDATA_1!E$1:E$65536,"*TAAL*",[1]SurveyDATA_1!BM$1:BM$65536,"*RESIDENTIAL*",[1]SurveyDATA_1!AS$1:AS$65536,"",[1]SurveyDATA_1!BN$1:BN$65536,"*Structure Owner*",[1]SurveyDATA_1!FQ$1:FQ$65536,"*STAY*")</f>
        <v>#VALUE!</v>
      </c>
      <c r="AU17" s="1284" t="e">
        <f>COUNTIFS([1]SurveyDATA_1!E$1:E$65536,"*TAAL*",[1]SurveyDATA_1!BM$1:BM$65536,"*RESIDENTIAL*",[1]SurveyDATA_1!AS$1:AS$65536,"",[1]SurveyDATA_1!BN$1:BN$65536,"*Structure Owner*",[1]SurveyDATA_1!FQ$1:FQ$65536,"*NEED*")</f>
        <v>#VALUE!</v>
      </c>
      <c r="AV17" s="1284" t="e">
        <f>COUNTIFS([1]SurveyDATA_1!E$1:E$65536,"*TAAL*",[1]SurveyDATA_1!AS$1:AS$65536,"",[1]SurveyDATA_1!FQ$1:FQ$65536,"*STAY*",[1]SurveyDATA_1!IP$1:IP$65536,"OWNER",[1]SurveyDATA_1!IR$1:IR$65536,"*")</f>
        <v>#VALUE!</v>
      </c>
      <c r="AW17" s="1284" t="e">
        <f>COUNTIFS([1]SurveyDATA_1!E$1:E$65536,"*TAAL*",[1]SurveyDATA_1!AS$1:AS$65536,"",[1]SurveyDATA_1!FQ$1:FQ$65536,"*NEED*",[1]SurveyDATA_1!IP$1:IP$65536,"OWNER",[1]SurveyDATA_1!IR$1:IR$65536,"*")</f>
        <v>#VALUE!</v>
      </c>
      <c r="AX17" s="1149"/>
      <c r="AY17" s="1230"/>
      <c r="AZ17" s="1285" t="e">
        <f t="shared" ref="AZ17:BA19" si="11">SUM(AT17,AV17,AX17,)</f>
        <v>#VALUE!</v>
      </c>
      <c r="BA17" s="1286" t="e">
        <f t="shared" si="11"/>
        <v>#VALUE!</v>
      </c>
    </row>
    <row r="18" spans="1:53">
      <c r="A18" s="1930"/>
      <c r="B18" s="1206" t="s">
        <v>5803</v>
      </c>
      <c r="C18" s="1206"/>
      <c r="D18" s="1206"/>
      <c r="E18" s="1206"/>
      <c r="F18" s="1206"/>
      <c r="G18" s="1206"/>
      <c r="H18" s="1206"/>
      <c r="I18" s="1206"/>
      <c r="J18" s="1206"/>
      <c r="L18" s="1275" t="s">
        <v>12666</v>
      </c>
      <c r="M18" s="1287" t="e">
        <f>COUNTIFS([1]SurveyDATA_1!AS$1:AS$65536,"Y",[1]SurveyDATA_1!BN$1:BN$65536,"*Renter*",[1]SurveyDATA_1!FQ$1:FQ$65536,"*Stay*")</f>
        <v>#VALUE!</v>
      </c>
      <c r="N18" s="1287" t="e">
        <f>COUNTIFS([1]SurveyDATA_1!AS$1:AS$65536,"",[1]SurveyDATA_1!BN$1:BN$65536,"*Renter*",[1]SurveyDATA_1!FQ$1:FQ$65536,"*Stay*")</f>
        <v>#VALUE!</v>
      </c>
      <c r="O18" s="1288" t="e">
        <f>SUM(M18:N18)</f>
        <v>#VALUE!</v>
      </c>
      <c r="P18" s="1287" t="e">
        <f>SUMIFS([1]SurveyDATA_1!#REF!,[1]SurveyDATA_1!AS$1:AS$65536,"Y",[1]SurveyDATA_1!BN$1:BN$65536,"*Renter*",[1]SurveyDATA_1!FQ$1:FQ$65536,"*Stay*")</f>
        <v>#REF!</v>
      </c>
      <c r="Q18" s="1287" t="e">
        <f>SUMIFS([1]SurveyDATA_1!#REF!,[1]SurveyDATA_1!AS$1:AS$65536,"",[1]SurveyDATA_1!BN$1:BN$65536,"*Renter*",[1]SurveyDATA_1!FQ$1:FQ$65536,"*Stay*")</f>
        <v>#REF!</v>
      </c>
      <c r="R18" s="1278" t="e">
        <f t="shared" si="7"/>
        <v>#REF!</v>
      </c>
      <c r="V18" s="1279" t="e">
        <f>COUNTIFS([1]SurveyDATA_1!E$1:E$65536,"*TAAL*",[1]SurveyDATA_1!AS$1:AS$65536,"Y",[1]SurveyDATA_1!BN$1:BN$65536,"*Structure Owner*",[1]SurveyDATA_1!FQ$1:FQ$65536,"*Stay*")</f>
        <v>#VALUE!</v>
      </c>
      <c r="W18" s="1279" t="e">
        <f>COUNTIFS([1]SurveyDATA_1!E$1:E$65536,"*TAAL*",[1]SurveyDATA_1!AS$1:AS$65536,"Y",[1]SurveyDATA_1!BN$1:BN$65536,"*Structure Owner*",[1]SurveyDATA_1!FQ$1:FQ$65536,"*NEED*")</f>
        <v>#VALUE!</v>
      </c>
      <c r="X18" s="1279" t="e">
        <f>COUNTIFS([1]SurveyDATA_1!E$1:E$65536,"*TAAL*",[1]SurveyDATA_1!AS$1:AS$65536,"Y",[1]SurveyDATA_1!FQ$1:FQ$65536,"*Stay*",[1]SurveyDATA_1!IP$1:IP$65536,"OWNER")</f>
        <v>#VALUE!</v>
      </c>
      <c r="Y18" s="1280" t="e">
        <f>COUNTIFS([1]SurveyDATA_1!E$1:E$65536,"*TAAL*",[1]SurveyDATA_1!AS$1:AS$65536,"Y",[1]SurveyDATA_1!FQ$1:FQ$65536,"*NEED*",[1]SurveyDATA_1!IP$1:IP$65536,"OWNER")</f>
        <v>#VALUE!</v>
      </c>
      <c r="Z18" s="1279" t="e">
        <f>COUNTIFS([1]SurveyDATA_1!E$1:E$65536,"*TAAL*",[1]SurveyDATA_1!AS$1:AS$65536,"Y",[1]SurveyDATA_1!BM$1:BM$65536,"*INSTITUTIONAL*",[1]SurveyDATA_1!FQ$1:FQ$65536,"*STAY*")</f>
        <v>#VALUE!</v>
      </c>
      <c r="AA18" s="1279" t="e">
        <f>COUNTIFS([1]SurveyDATA_1!E$1:E$65536,"*TAAL*",[1]SurveyDATA_1!AS$1:AS$65536,"Y",[1]SurveyDATA_1!BM$1:BM$65536,"*INSTITUTIONAL*",[1]SurveyDATA_1!FQ$1:FQ$65536,"*STAY*")</f>
        <v>#VALUE!</v>
      </c>
      <c r="AB18" s="1279" t="e">
        <f>COUNTIFS([1]SurveyDATA_1!E$1:E$65536,"*TAAL*",[1]SurveyDATA_1!BN$1:BN$65536,"RENTER",[1]SurveyDATA_1!FQ$1:FQ$65536,"*STAY*")</f>
        <v>#VALUE!</v>
      </c>
      <c r="AC18" s="1279" t="e">
        <f>COUNTIFS([1]SurveyDATA_1!E$1:E$65536,"*TAAL*",[1]SurveyDATA_1!BN$1:BN$65536,"RENTER",[1]SurveyDATA_1!FQ$1:FQ$65536,"*NEED*")</f>
        <v>#VALUE!</v>
      </c>
      <c r="AD18" s="575"/>
      <c r="AE18" s="575"/>
      <c r="AF18" s="1279" t="e">
        <f>COUNTIFS([1]SurveyDATA_1!E$1:E$65536,"*TAAL*",[1]SurveyDATA_1!AK$1:AK$65536,"*LAND OWNER*",[1]SurveyDATA_1!AS$1:AS$65536,"Y",[1]SurveyDATA_1!AN$1:AN$65536,"&lt;20%")</f>
        <v>#VALUE!</v>
      </c>
      <c r="AG18" s="1279" t="e">
        <f>COUNTIFS([1]SurveyDATA_1!E$1:E$65536,"*TAAL*",[1]SurveyDATA_1!AK$1:AK$65536,"*LAND OWNER*",[1]SurveyDATA_1!AS$1:AS$65536,"Y",[1]SurveyDATA_1!AN$1:AN$65536,"&gt;19.99%")</f>
        <v>#VALUE!</v>
      </c>
      <c r="AH18" s="1279" t="e">
        <f>COUNTIFS([1]SurveyDATA_1!E$1:E$65536,"*TAAL*",[1]SurveyDATA_1!BM$1:BM$65536,"Commercial",[1]SurveyDATA_1!BN$1:BN$65536,"Commercial Tenant",[1]SurveyDATA_1!BR$1:BR$65536,"&lt;20%")</f>
        <v>#VALUE!</v>
      </c>
      <c r="AI18" s="1279" t="e">
        <f>COUNTIFS([1]SurveyDATA_1!E$1:E$65536,"*TAAL*",[1]SurveyDATA_1!BM$1:BM$65536,"Commercial",[1]SurveyDATA_1!BN$1:BN$65536,"Commercial Tenant",[1]SurveyDATA_1!BR$1:BR$65536,"&gt;19.99%")</f>
        <v>#VALUE!</v>
      </c>
      <c r="AJ18" s="1300">
        <v>0</v>
      </c>
      <c r="AK18" s="1300">
        <v>0</v>
      </c>
      <c r="AL18" s="1279" t="e">
        <f>SUMIFS([1]SurveyDATA_1!#REF!,[1]SurveyDATA_1!E$1:E$65536,"*TAAL*",[1]SurveyDATA_1!BM$1:BM$65536,"Commercial",[1]SurveyDATA_1!BN$1:BN$65536,"Commercial Tenant",[1]SurveyDATA_1!BR$1:BR$65536,"&lt;20%")</f>
        <v>#REF!</v>
      </c>
      <c r="AM18" s="1279" t="e">
        <f>SUMIFS([1]SurveyDATA_1!#REF!,[1]SurveyDATA_1!E$1:E$65536,"*TAAL*",[1]SurveyDATA_1!BM$1:BM$65536,"Commercial",[1]SurveyDATA_1!BN$1:BN$65536,"Commercial Tenant",[1]SurveyDATA_1!BR$1:BR$65536,"&gt;19.99%")</f>
        <v>#REF!</v>
      </c>
      <c r="AN18" s="1282" t="e">
        <f t="shared" ref="AN18:AO20" si="12">SUM(AL18,AJ18,AH18,AF18,AD18,AB18,Z18,X18,V18)</f>
        <v>#REF!</v>
      </c>
      <c r="AO18" s="1282" t="e">
        <f t="shared" si="12"/>
        <v>#REF!</v>
      </c>
      <c r="AR18" s="572"/>
      <c r="AS18" s="573" t="s">
        <v>7236</v>
      </c>
      <c r="AT18" s="1283" t="e">
        <f>COUNTIFS([1]SurveyDATA_1!E$1:E$65536,"*IGOLOT*",[1]SurveyDATA_1!BM$1:BM$65536,"*RESIDENTIAL*",[1]SurveyDATA_1!AS$1:AS$65536,"",[1]SurveyDATA_1!BN$1:BN$65536,"*Structure Owner*",[1]SurveyDATA_1!FQ$1:FQ$65536,"*STAY*")</f>
        <v>#VALUE!</v>
      </c>
      <c r="AU18" s="1284" t="e">
        <f>COUNTIFS([1]SurveyDATA_1!E$1:E$65536,"*IGOLOT*",[1]SurveyDATA_1!BM$1:BM$65536,"*RESIDENTIAL*",[1]SurveyDATA_1!AS$1:AS$65536,"",[1]SurveyDATA_1!BN$1:BN$65536,"*Structure Owner*",[1]SurveyDATA_1!FQ$1:FQ$65536,"*NEED*")</f>
        <v>#VALUE!</v>
      </c>
      <c r="AV18" s="1284" t="e">
        <f>COUNTIFS([1]SurveyDATA_1!E$1:E$65536,"*IGOLOT*",[1]SurveyDATA_1!AS$1:AS$65536,"",[1]SurveyDATA_1!FQ$1:FQ$65536,"*STAY*",[1]SurveyDATA_1!IP$1:IP$65536,"OWNER",[1]SurveyDATA_1!IR$1:IR$65536,"*")</f>
        <v>#VALUE!</v>
      </c>
      <c r="AW18" s="1284" t="e">
        <f>COUNTIFS([1]SurveyDATA_1!E$1:E$65536,"*IGOLOT*",[1]SurveyDATA_1!AS$1:AS$65536,"",[1]SurveyDATA_1!FQ$1:FQ$65536,"*NEED*",[1]SurveyDATA_1!IP$1:IP$65536,"OWNER",[1]SurveyDATA_1!IR$1:IR$65536,"*")</f>
        <v>#VALUE!</v>
      </c>
      <c r="AX18" s="1149"/>
      <c r="AY18" s="1230"/>
      <c r="AZ18" s="1285" t="e">
        <f t="shared" si="11"/>
        <v>#VALUE!</v>
      </c>
      <c r="BA18" s="1286" t="e">
        <f t="shared" si="11"/>
        <v>#VALUE!</v>
      </c>
    </row>
    <row r="19" spans="1:53">
      <c r="A19" s="1930"/>
      <c r="B19" s="1206" t="s">
        <v>5410</v>
      </c>
      <c r="C19" s="1206"/>
      <c r="D19" s="1206"/>
      <c r="E19" s="1206"/>
      <c r="F19" s="1206"/>
      <c r="G19" s="1206"/>
      <c r="H19" s="1206"/>
      <c r="I19" s="1206"/>
      <c r="J19" s="1206"/>
      <c r="L19" s="1275" t="s">
        <v>12668</v>
      </c>
      <c r="M19" s="1287" t="e">
        <f>COUNTIFS([1]SurveyDATA_1!IT$1:IT$65536,"X",[1]SurveyDATA_1!#REF!,"&gt;0")</f>
        <v>#REF!</v>
      </c>
      <c r="N19" s="1287" t="e">
        <f>COUNTIFS([1]SurveyDATA_1!IU$1:IU$65536,"X",[1]SurveyDATA_1!#REF!,"&gt;0")</f>
        <v>#REF!</v>
      </c>
      <c r="O19" s="1288" t="e">
        <f t="shared" si="6"/>
        <v>#REF!</v>
      </c>
      <c r="P19" s="1287" t="e">
        <f>SUMIFS([1]SurveyDATA_1!#REF!,[1]SurveyDATA_1!IT5:IT830,"X")</f>
        <v>#REF!</v>
      </c>
      <c r="Q19" s="1287" t="e">
        <f>SUMIFS([1]SurveyDATA_1!#REF!,[1]SurveyDATA_1!IU5:IU830,"X")</f>
        <v>#REF!</v>
      </c>
      <c r="R19" s="1278" t="e">
        <f t="shared" si="7"/>
        <v>#REF!</v>
      </c>
      <c r="V19" s="1279" t="e">
        <f>COUNTIFS([1]SurveyDATA_1!E$1:E$65536,"*IGOLOT*",[1]SurveyDATA_1!AS$1:AS$65536,"Y",[1]SurveyDATA_1!BN$1:BN$65536,"*Structure Owner*",[1]SurveyDATA_1!FQ$1:FQ$65536,"*Stay*")</f>
        <v>#VALUE!</v>
      </c>
      <c r="W19" s="1279" t="e">
        <f>COUNTIFS([1]SurveyDATA_1!E$1:E$65536,"*IGOLOT*",[1]SurveyDATA_1!AS$1:AS$65536,"Y",[1]SurveyDATA_1!BN$1:BN$65536,"*Structure Owner*",[1]SurveyDATA_1!FQ$1:FQ$65536,"*NEED*")</f>
        <v>#VALUE!</v>
      </c>
      <c r="X19" s="1279" t="e">
        <f>COUNTIFS([1]SurveyDATA_1!E$1:E$65536,"*IGOLOT*",[1]SurveyDATA_1!AS$1:AS$65536,"Y",[1]SurveyDATA_1!FQ$1:FQ$65536,"*Stay*",[1]SurveyDATA_1!IP$1:IP$65536,"OWNER")</f>
        <v>#VALUE!</v>
      </c>
      <c r="Y19" s="1280" t="e">
        <f>COUNTIFS([1]SurveyDATA_1!E$1:E$65536,"*IGOLOT*",[1]SurveyDATA_1!AS$1:AS$65536,"Y",[1]SurveyDATA_1!FQ$1:FQ$65536,"*NEED*",[1]SurveyDATA_1!IP$1:IP$65536,"OWNER")</f>
        <v>#VALUE!</v>
      </c>
      <c r="Z19" s="1279" t="e">
        <f>COUNTIFS([1]SurveyDATA_1!E$1:E$65536,"*IGOLOT*",[1]SurveyDATA_1!AS$1:AS$65536,"Y",[1]SurveyDATA_1!BM$1:BM$65536,"*INSTITUTIONAL*",[1]SurveyDATA_1!FQ$1:FQ$65536,"*STAY*")</f>
        <v>#VALUE!</v>
      </c>
      <c r="AA19" s="1279" t="e">
        <f>COUNTIFS([1]SurveyDATA_1!E$1:E$65536,"*IGOLOT*",[1]SurveyDATA_1!AS$1:AS$65536,"Y",[1]SurveyDATA_1!BM$1:BM$65536,"*INSTITUTIONAL*",[1]SurveyDATA_1!FQ$1:FQ$65536,"*STAY*")</f>
        <v>#VALUE!</v>
      </c>
      <c r="AB19" s="1279" t="e">
        <f>COUNTIFS([1]SurveyDATA_1!E$1:E$65536,"*IGOLOT*",[1]SurveyDATA_1!BN$1:BN$65536,"RENTER",[1]SurveyDATA_1!FQ$1:FQ$65536,"*STAY*")</f>
        <v>#VALUE!</v>
      </c>
      <c r="AC19" s="1279" t="e">
        <f>COUNTIFS([1]SurveyDATA_1!E$1:E$65536,"*IGOLOT*",[1]SurveyDATA_1!BN$1:BN$65536,"RENTER",[1]SurveyDATA_1!FQ$1:FQ$65536,"*NEED*")</f>
        <v>#VALUE!</v>
      </c>
      <c r="AD19" s="575"/>
      <c r="AE19" s="575"/>
      <c r="AF19" s="1279" t="e">
        <f>COUNTIFS([1]SurveyDATA_1!E$1:E$65536,"*IGOLOT*",[1]SurveyDATA_1!AK$1:AK$65536,"*LAND OWNER*",[1]SurveyDATA_1!AS$1:AS$65536,"Y",[1]SurveyDATA_1!AN$1:AN$65536,"&lt;20%")</f>
        <v>#VALUE!</v>
      </c>
      <c r="AG19" s="1279" t="e">
        <f>COUNTIFS([1]SurveyDATA_1!E$1:E$65536,"*IGOLOT*",[1]SurveyDATA_1!AK$1:AK$65536,"*LAND OWNER*",[1]SurveyDATA_1!AS$1:AS$65536,"Y",[1]SurveyDATA_1!AN$1:AN$65536,"&gt;19.99%")</f>
        <v>#VALUE!</v>
      </c>
      <c r="AH19" s="1279" t="e">
        <f>COUNTIFS([1]SurveyDATA_1!E$1:E$65536,"*IGOLOT*",[1]SurveyDATA_1!BM$1:BM$65536,"Commercial",[1]SurveyDATA_1!BN$1:BN$65536,"Commercial Tenant",[1]SurveyDATA_1!BR$1:BR$65536,"&lt;20%")</f>
        <v>#VALUE!</v>
      </c>
      <c r="AI19" s="1279" t="e">
        <f>COUNTIFS([1]SurveyDATA_1!E$1:E$65536,"*IGOLOT*",[1]SurveyDATA_1!BM$1:BM$65536,"Commercial",[1]SurveyDATA_1!BN$1:BN$65536,"Commercial Tenant",[1]SurveyDATA_1!BR$1:BR$65536,"&gt;19.99%")</f>
        <v>#VALUE!</v>
      </c>
      <c r="AJ19" s="1300">
        <v>0</v>
      </c>
      <c r="AK19" s="1300">
        <v>0</v>
      </c>
      <c r="AL19" s="1279" t="e">
        <f>SUMIFS([1]SurveyDATA_1!#REF!,[1]SurveyDATA_1!E$1:E$65536,"*IGOLOT*",[1]SurveyDATA_1!BM$1:BM$65536,"Commercial",[1]SurveyDATA_1!BN$1:BN$65536,"Commercial Tenant",[1]SurveyDATA_1!BR$1:BR$65536,"&lt;20%")</f>
        <v>#REF!</v>
      </c>
      <c r="AM19" s="1279" t="e">
        <f>SUMIFS([1]SurveyDATA_1!#REF!,[1]SurveyDATA_1!E$1:E$65536,"*IGOLOT*",[1]SurveyDATA_1!BM$1:BM$65536,"Commercial",[1]SurveyDATA_1!BN$1:BN$65536,"Commercial Tenant",[1]SurveyDATA_1!BR$1:BR$65536,"&gt;19.99%")</f>
        <v>#REF!</v>
      </c>
      <c r="AN19" s="1282" t="e">
        <f t="shared" si="12"/>
        <v>#REF!</v>
      </c>
      <c r="AO19" s="1282" t="e">
        <f t="shared" si="12"/>
        <v>#REF!</v>
      </c>
      <c r="AR19" s="572"/>
      <c r="AS19" s="573" t="s">
        <v>5384</v>
      </c>
      <c r="AT19" s="1283" t="e">
        <f>COUNTIFS([1]SurveyDATA_1!E$1:E$65536,"*BUNDUKAN*",[1]SurveyDATA_1!BM$1:BM$65536,"*RESIDENTIAL*",[1]SurveyDATA_1!AS$1:AS$65536,"",[1]SurveyDATA_1!BN$1:BN$65536,"*Structure Owner*",[1]SurveyDATA_1!FQ$1:FQ$65536,"*STAY*")</f>
        <v>#VALUE!</v>
      </c>
      <c r="AU19" s="1284" t="e">
        <f>COUNTIFS([1]SurveyDATA_1!E$1:E$65536,"*BUNDUKAN*",[1]SurveyDATA_1!BM$1:BM$65536,"*RESIDENTIAL*",[1]SurveyDATA_1!AS$1:AS$65536,"",[1]SurveyDATA_1!BN$1:BN$65536,"*Structure Owner*",[1]SurveyDATA_1!FQ$1:FQ$65536,"*NEED*")</f>
        <v>#VALUE!</v>
      </c>
      <c r="AV19" s="1284" t="e">
        <f>COUNTIFS([1]SurveyDATA_1!E$1:E$65536,"*BUNDUKAN*",[1]SurveyDATA_1!AS$1:AS$65536,"",[1]SurveyDATA_1!FQ$1:FQ$65536,"*STAY*",[1]SurveyDATA_1!IP$1:IP$65536,"OWNER",[1]SurveyDATA_1!IR$1:IR$65536,"*")</f>
        <v>#VALUE!</v>
      </c>
      <c r="AW19" s="1284" t="e">
        <f>COUNTIFS([1]SurveyDATA_1!E$1:E$65536,"*BUNDUKAN*",[1]SurveyDATA_1!AS$1:AS$65536,"",[1]SurveyDATA_1!FQ$1:FQ$65536,"*NEED*",[1]SurveyDATA_1!IP$1:IP$65536,"OWNER",[1]SurveyDATA_1!IR$1:IR$65536,"*")</f>
        <v>#VALUE!</v>
      </c>
      <c r="AX19" s="1149"/>
      <c r="AY19" s="1230"/>
      <c r="AZ19" s="1285" t="e">
        <f t="shared" si="11"/>
        <v>#VALUE!</v>
      </c>
      <c r="BA19" s="1286" t="e">
        <f t="shared" si="11"/>
        <v>#VALUE!</v>
      </c>
    </row>
    <row r="20" spans="1:53">
      <c r="A20" s="1930"/>
      <c r="B20" s="1206" t="s">
        <v>5798</v>
      </c>
      <c r="C20" s="1206"/>
      <c r="D20" s="1206"/>
      <c r="E20" s="1206"/>
      <c r="F20" s="1206"/>
      <c r="G20" s="1206"/>
      <c r="H20" s="1206"/>
      <c r="I20" s="1206"/>
      <c r="J20" s="1206"/>
      <c r="L20" s="1290" t="s">
        <v>12285</v>
      </c>
      <c r="M20" s="241" t="e">
        <f t="shared" ref="M20:R20" si="13">SUM(M14:M19)</f>
        <v>#VALUE!</v>
      </c>
      <c r="N20" s="241" t="e">
        <f t="shared" si="13"/>
        <v>#VALUE!</v>
      </c>
      <c r="O20" s="241" t="e">
        <f t="shared" si="13"/>
        <v>#VALUE!</v>
      </c>
      <c r="P20" s="241" t="e">
        <f t="shared" si="13"/>
        <v>#REF!</v>
      </c>
      <c r="Q20" s="241" t="e">
        <f t="shared" si="13"/>
        <v>#REF!</v>
      </c>
      <c r="R20" s="247" t="e">
        <f t="shared" si="13"/>
        <v>#REF!</v>
      </c>
      <c r="V20" s="1279" t="e">
        <f>COUNTIFS([1]SurveyDATA_1!E$1:E$65536,"*BUNDUKAN*",[1]SurveyDATA_1!AS$1:AS$65536,"Y",[1]SurveyDATA_1!BN$1:BN$65536,"*Structure Owner*",[1]SurveyDATA_1!FQ$1:FQ$65536,"*Stay*")</f>
        <v>#VALUE!</v>
      </c>
      <c r="W20" s="1279" t="e">
        <f>COUNTIFS([1]SurveyDATA_1!E$1:E$65536,"*BUNDUKAN*",[1]SurveyDATA_1!AS$1:AS$65536,"Y",[1]SurveyDATA_1!BN$1:BN$65536,"*Structure Owner*",[1]SurveyDATA_1!FQ$1:FQ$65536,"*NEED*")</f>
        <v>#VALUE!</v>
      </c>
      <c r="X20" s="1279" t="e">
        <f>COUNTIFS([1]SurveyDATA_1!E$1:E$65536,"*BUNDUKAN*",[1]SurveyDATA_1!AS$1:AS$65536,"Y",[1]SurveyDATA_1!FQ$1:FQ$65536,"*Stay*",[1]SurveyDATA_1!IP$1:IP$65536,"OWNER")</f>
        <v>#VALUE!</v>
      </c>
      <c r="Y20" s="1280" t="e">
        <f>COUNTIFS([1]SurveyDATA_1!E$1:E$65536,"*BUNDUKAN*",[1]SurveyDATA_1!AS$1:AS$65536,"Y",[1]SurveyDATA_1!FQ$1:FQ$65536,"*NEED*",[1]SurveyDATA_1!IP$1:IP$65536,"OWNER")</f>
        <v>#VALUE!</v>
      </c>
      <c r="Z20" s="1279" t="e">
        <f>COUNTIFS([1]SurveyDATA_1!E$1:E$65536,"*BUNDUKAN*",[1]SurveyDATA_1!AS$1:AS$65536,"Y",[1]SurveyDATA_1!BM$1:BM$65536,"*INSTITUTIONAL*",[1]SurveyDATA_1!FQ$1:FQ$65536,"*STAY*")</f>
        <v>#VALUE!</v>
      </c>
      <c r="AA20" s="1279" t="e">
        <f>COUNTIFS([1]SurveyDATA_1!E$1:E$65536,"*BUNDUKAN*",[1]SurveyDATA_1!AS$1:AS$65536,"Y",[1]SurveyDATA_1!BM$1:BM$65536,"*INSTITUTIONAL*",[1]SurveyDATA_1!FQ$1:FQ$65536,"*STAY*")</f>
        <v>#VALUE!</v>
      </c>
      <c r="AB20" s="1279" t="e">
        <f>COUNTIFS([1]SurveyDATA_1!E$1:E$65536,"*BUNDUKAN*",[1]SurveyDATA_1!BN$1:BN$65536,"RENTER",[1]SurveyDATA_1!FQ$1:FQ$65536,"*STAY*")</f>
        <v>#VALUE!</v>
      </c>
      <c r="AC20" s="1279" t="e">
        <f>COUNTIFS([1]SurveyDATA_1!E$1:E$65536,"*BUNDUKAN*",[1]SurveyDATA_1!BN$1:BN$65536,"RENTER",[1]SurveyDATA_1!FQ$1:FQ$65536,"*NEED*")</f>
        <v>#VALUE!</v>
      </c>
      <c r="AD20" s="575"/>
      <c r="AE20" s="575"/>
      <c r="AF20" s="1279" t="e">
        <f>COUNTIFS([1]SurveyDATA_1!E$1:E$65536,"*BUNDUKAN*",[1]SurveyDATA_1!AK$1:AK$65536,"*LAND OWNER*",[1]SurveyDATA_1!AS$1:AS$65536,"Y",[1]SurveyDATA_1!AN$1:AN$65536,"&lt;20%")</f>
        <v>#VALUE!</v>
      </c>
      <c r="AG20" s="1279" t="e">
        <f>COUNTIFS([1]SurveyDATA_1!E$1:E$65536,"*BUNDUKAN*",[1]SurveyDATA_1!AK$1:AK$65536,"*LAND OWNER*",[1]SurveyDATA_1!AS$1:AS$65536,"Y",[1]SurveyDATA_1!AN$1:AN$65536,"&gt;19.99%")</f>
        <v>#VALUE!</v>
      </c>
      <c r="AH20" s="1279" t="e">
        <f>COUNTIFS([1]SurveyDATA_1!E$1:E$65536,"*BUNDUKAN*",[1]SurveyDATA_1!BM$1:BM$65536,"Commercial",[1]SurveyDATA_1!BN$1:BN$65536,"Commercial Tenant",[1]SurveyDATA_1!BR$1:BR$65536,"&lt;20%")</f>
        <v>#VALUE!</v>
      </c>
      <c r="AI20" s="1279" t="e">
        <f>COUNTIFS([1]SurveyDATA_1!E$1:E$65536,"*BUNDUKAN*",[1]SurveyDATA_1!BM$1:BM$65536,"Commercial",[1]SurveyDATA_1!BN$1:BN$65536,"Commercial Tenant",[1]SurveyDATA_1!BR$1:BR$65536,"&gt;19.99%")</f>
        <v>#VALUE!</v>
      </c>
      <c r="AJ20" s="1300">
        <v>0</v>
      </c>
      <c r="AK20" s="1300">
        <v>0</v>
      </c>
      <c r="AL20" s="1279" t="e">
        <f>SUMIFS([1]SurveyDATA_1!#REF!,[1]SurveyDATA_1!E$1:E$65536,"*BUNDUKAN*",[1]SurveyDATA_1!BM$1:BM$65536,"Commercial",[1]SurveyDATA_1!BN$1:BN$65536,"Commercial Tenant",[1]SurveyDATA_1!BR$1:BR$65536,"&lt;20%")</f>
        <v>#REF!</v>
      </c>
      <c r="AM20" s="1279" t="e">
        <f>SUMIFS([1]SurveyDATA_1!#REF!,[1]SurveyDATA_1!E$1:E$65536,"*BUNDUKAN*",[1]SurveyDATA_1!BM$1:BM$65536,"Commercial",[1]SurveyDATA_1!BN$1:BN$65536,"Commercial Tenant",[1]SurveyDATA_1!BR$1:BR$65536,"&gt;19.99%")</f>
        <v>#REF!</v>
      </c>
      <c r="AN20" s="1282" t="e">
        <f t="shared" si="12"/>
        <v>#REF!</v>
      </c>
      <c r="AO20" s="1282" t="e">
        <f t="shared" si="12"/>
        <v>#REF!</v>
      </c>
      <c r="AR20" s="572"/>
      <c r="AS20" s="574" t="s">
        <v>7216</v>
      </c>
      <c r="AT20" s="638" t="e">
        <f>SUM(AT17:AT19)</f>
        <v>#VALUE!</v>
      </c>
      <c r="AU20" s="638" t="e">
        <f t="shared" ref="AU20:BA20" si="14">SUM(AU17:AU19)</f>
        <v>#VALUE!</v>
      </c>
      <c r="AV20" s="638" t="e">
        <f t="shared" si="14"/>
        <v>#VALUE!</v>
      </c>
      <c r="AW20" s="638" t="e">
        <f t="shared" si="14"/>
        <v>#VALUE!</v>
      </c>
      <c r="AX20" s="638">
        <f t="shared" si="14"/>
        <v>0</v>
      </c>
      <c r="AY20" s="1289">
        <f t="shared" si="14"/>
        <v>0</v>
      </c>
      <c r="AZ20" s="1285" t="e">
        <f t="shared" si="14"/>
        <v>#VALUE!</v>
      </c>
      <c r="BA20" s="1286" t="e">
        <f t="shared" si="14"/>
        <v>#VALUE!</v>
      </c>
    </row>
    <row r="21" spans="1:53" ht="15.75" thickBot="1">
      <c r="A21" s="1931"/>
      <c r="B21" s="1206" t="s">
        <v>5799</v>
      </c>
      <c r="C21" s="1206"/>
      <c r="D21" s="1206"/>
      <c r="E21" s="1206"/>
      <c r="F21" s="1206"/>
      <c r="G21" s="1206"/>
      <c r="H21" s="1206"/>
      <c r="I21" s="1206"/>
      <c r="J21" s="1206"/>
      <c r="L21" s="518" t="s">
        <v>5824</v>
      </c>
      <c r="M21" s="583" t="e">
        <f t="shared" ref="M21:R21" si="15">SUM(M20,M12)</f>
        <v>#VALUE!</v>
      </c>
      <c r="N21" s="583" t="e">
        <f t="shared" si="15"/>
        <v>#VALUE!</v>
      </c>
      <c r="O21" s="583" t="e">
        <f t="shared" si="15"/>
        <v>#VALUE!</v>
      </c>
      <c r="P21" s="583" t="e">
        <f t="shared" si="15"/>
        <v>#REF!</v>
      </c>
      <c r="Q21" s="583" t="e">
        <f t="shared" si="15"/>
        <v>#REF!</v>
      </c>
      <c r="R21" s="1301" t="e">
        <f t="shared" si="15"/>
        <v>#REF!</v>
      </c>
      <c r="V21" s="575" t="e">
        <f t="shared" ref="V21:AO21" si="16">SUM(V18:V20)</f>
        <v>#VALUE!</v>
      </c>
      <c r="W21" s="575" t="e">
        <f t="shared" si="16"/>
        <v>#VALUE!</v>
      </c>
      <c r="X21" s="575" t="e">
        <f t="shared" si="16"/>
        <v>#VALUE!</v>
      </c>
      <c r="Y21" s="575" t="e">
        <f t="shared" si="16"/>
        <v>#VALUE!</v>
      </c>
      <c r="Z21" s="575" t="e">
        <f t="shared" si="16"/>
        <v>#VALUE!</v>
      </c>
      <c r="AA21" s="575" t="e">
        <f t="shared" si="16"/>
        <v>#VALUE!</v>
      </c>
      <c r="AB21" s="575" t="e">
        <f t="shared" si="16"/>
        <v>#VALUE!</v>
      </c>
      <c r="AC21" s="575" t="e">
        <f t="shared" si="16"/>
        <v>#VALUE!</v>
      </c>
      <c r="AD21" s="575">
        <f t="shared" si="16"/>
        <v>0</v>
      </c>
      <c r="AE21" s="575">
        <f t="shared" si="16"/>
        <v>0</v>
      </c>
      <c r="AF21" s="575" t="e">
        <f t="shared" si="16"/>
        <v>#VALUE!</v>
      </c>
      <c r="AG21" s="575" t="e">
        <f t="shared" si="16"/>
        <v>#VALUE!</v>
      </c>
      <c r="AH21" s="575" t="e">
        <f t="shared" si="16"/>
        <v>#VALUE!</v>
      </c>
      <c r="AI21" s="575" t="e">
        <f t="shared" si="16"/>
        <v>#VALUE!</v>
      </c>
      <c r="AJ21" s="575">
        <f t="shared" si="16"/>
        <v>0</v>
      </c>
      <c r="AK21" s="575">
        <f t="shared" si="16"/>
        <v>0</v>
      </c>
      <c r="AL21" s="575" t="e">
        <f t="shared" si="16"/>
        <v>#REF!</v>
      </c>
      <c r="AM21" s="575" t="e">
        <f t="shared" si="16"/>
        <v>#REF!</v>
      </c>
      <c r="AN21" s="575" t="e">
        <f t="shared" si="16"/>
        <v>#REF!</v>
      </c>
      <c r="AO21" s="575" t="e">
        <f t="shared" si="16"/>
        <v>#REF!</v>
      </c>
      <c r="AR21" s="572" t="s">
        <v>5495</v>
      </c>
      <c r="AS21" s="600" t="s">
        <v>5387</v>
      </c>
      <c r="AT21" s="1283" t="e">
        <f>COUNTIFS([1]SurveyDATA_1!E$1:E$65536,"*ABANGAN*",[1]SurveyDATA_1!BM$1:BM$65536,"*RESIDENTIAL*",[1]SurveyDATA_1!AS$1:AS$65536,"",[1]SurveyDATA_1!BN$1:BN$65536,"*Structure Owner*",[1]SurveyDATA_1!FQ$1:FQ$65536,"*STAY*")</f>
        <v>#VALUE!</v>
      </c>
      <c r="AU21" s="1284" t="e">
        <f>COUNTIFS([1]SurveyDATA_1!E$1:E$65536,"*ABANGAN*",[1]SurveyDATA_1!BM$1:BM$65536,"*RESIDENTIAL*",[1]SurveyDATA_1!AS$1:AS$65536,"",[1]SurveyDATA_1!BN$1:BN$65536,"*Structure Owner*",[1]SurveyDATA_1!FQ$1:FQ$65536,"*NEED*")</f>
        <v>#VALUE!</v>
      </c>
      <c r="AV21" s="1284" t="e">
        <f>COUNTIFS([1]SurveyDATA_1!E$1:E$65536,"*ABANGAN*",[1]SurveyDATA_1!AS$1:AS$65536,"",[1]SurveyDATA_1!FQ$1:FQ$65536,"*STAY*",[1]SurveyDATA_1!IP$1:IP$65536,"OWNER",[1]SurveyDATA_1!IR$1:IR$65536,"*")</f>
        <v>#VALUE!</v>
      </c>
      <c r="AW21" s="1284" t="e">
        <f>COUNTIFS([1]SurveyDATA_1!E$1:E$65536,"*ABANGAN*",[1]SurveyDATA_1!AS$1:AS$65536,"",[1]SurveyDATA_1!FQ$1:FQ$65536,"*NEED*",[1]SurveyDATA_1!IP$1:IP$65536,"OWNER",[1]SurveyDATA_1!IR$1:IR$65536,"*")</f>
        <v>#VALUE!</v>
      </c>
      <c r="AX21" s="1149"/>
      <c r="AY21" s="1230"/>
      <c r="AZ21" s="1285" t="e">
        <f t="shared" ref="AZ21:BA23" si="17">SUM(AT21,AV21,AX21,)</f>
        <v>#VALUE!</v>
      </c>
      <c r="BA21" s="1286" t="e">
        <f t="shared" si="17"/>
        <v>#VALUE!</v>
      </c>
    </row>
    <row r="22" spans="1:53">
      <c r="V22" s="1279" t="e">
        <f>COUNTIFS([1]SurveyDATA_1!E$1:E$65536,"*ABANGAN*",[1]SurveyDATA_1!AS$1:AS$65536,"Y",[1]SurveyDATA_1!BN$1:BN$65536,"*Structure Owner*",[1]SurveyDATA_1!FQ$1:FQ$65536,"*Stay*")</f>
        <v>#VALUE!</v>
      </c>
      <c r="W22" s="1279" t="e">
        <f>COUNTIFS([1]SurveyDATA_1!E$1:E$65536,"*ABANGAN*",[1]SurveyDATA_1!AS$1:AS$65536,"Y",[1]SurveyDATA_1!BN$1:BN$65536,"*Structure Owner*",[1]SurveyDATA_1!FQ$1:FQ$65536,"*NEED*")</f>
        <v>#VALUE!</v>
      </c>
      <c r="X22" s="1279" t="e">
        <f>COUNTIFS([1]SurveyDATA_1!E$1:E$65536,"*ABANGAN*",[1]SurveyDATA_1!AS$1:AS$65536,"Y",[1]SurveyDATA_1!FQ$1:FQ$65536,"*Stay*",[1]SurveyDATA_1!IP$1:IP$65536,"OWNER")</f>
        <v>#VALUE!</v>
      </c>
      <c r="Y22" s="1280" t="e">
        <f>COUNTIFS([1]SurveyDATA_1!E$1:E$65536,"*ABANGAN*",[1]SurveyDATA_1!AS$1:AS$65536,"Y",[1]SurveyDATA_1!FQ$1:FQ$65536,"*NEED*",[1]SurveyDATA_1!IP$1:IP$65536,"OWNER")</f>
        <v>#VALUE!</v>
      </c>
      <c r="Z22" s="1279" t="e">
        <f>COUNTIFS([1]SurveyDATA_1!E$1:E$65536,"*ABANGAN*",[1]SurveyDATA_1!AS$1:AS$65536,"Y",[1]SurveyDATA_1!BM$1:BM$65536,"*INSTITUTIONAL*",[1]SurveyDATA_1!FQ$1:FQ$65536,"*STAY*")</f>
        <v>#VALUE!</v>
      </c>
      <c r="AA22" s="1279" t="e">
        <f>COUNTIFS([1]SurveyDATA_1!E$1:E$65536,"*ABANGAN*",[1]SurveyDATA_1!AS$1:AS$65536,"Y",[1]SurveyDATA_1!BM$1:BM$65536,"*INSTITUTIONAL*",[1]SurveyDATA_1!FQ$1:FQ$65536,"*STAY*")</f>
        <v>#VALUE!</v>
      </c>
      <c r="AB22" s="1279" t="e">
        <f>COUNTIFS([1]SurveyDATA_1!E$1:E$65536,"*ABANGAN*",[1]SurveyDATA_1!BN$1:BN$65536,"RENTER",[1]SurveyDATA_1!FQ$1:FQ$65536,"*STAY*")</f>
        <v>#VALUE!</v>
      </c>
      <c r="AC22" s="1279" t="e">
        <f>COUNTIFS([1]SurveyDATA_1!E$1:E$65536,"*ABANGAN*",[1]SurveyDATA_1!BN$1:BN$65536,"RENTER",[1]SurveyDATA_1!FQ$1:FQ$65536,"*NEED*")</f>
        <v>#VALUE!</v>
      </c>
      <c r="AD22" s="572"/>
      <c r="AE22" s="572"/>
      <c r="AF22" s="1279" t="e">
        <f>COUNTIFS([1]SurveyDATA_1!E$1:E$65536,"*ABANGAN*",[1]SurveyDATA_1!AK$1:AK$65536,"*LAND OWNER*",[1]SurveyDATA_1!AS$1:AS$65536,"Y",[1]SurveyDATA_1!AN$1:AN$65536,"&lt;20%")</f>
        <v>#VALUE!</v>
      </c>
      <c r="AG22" s="1279" t="e">
        <f>COUNTIFS([1]SurveyDATA_1!E$1:E$65536,"*ABANGAN*",[1]SurveyDATA_1!AK$1:AK$65536,"*LAND OWNER*",[1]SurveyDATA_1!AS$1:AS$65536,"Y",[1]SurveyDATA_1!AN$1:AN$65536,"&gt;19.99%")</f>
        <v>#VALUE!</v>
      </c>
      <c r="AH22" s="1279" t="e">
        <f>COUNTIFS([1]SurveyDATA_1!E$1:E$65536,"*ABANGAN*",[1]SurveyDATA_1!BM$1:BM$65536,"Commercial",[1]SurveyDATA_1!BN$1:BN$65536,"Commercial Tenant",[1]SurveyDATA_1!BR$1:BR$65536,"&lt;20%")</f>
        <v>#VALUE!</v>
      </c>
      <c r="AI22" s="1279" t="e">
        <f>COUNTIFS([1]SurveyDATA_1!E$1:E$65536,"*ABANGAN*",[1]SurveyDATA_1!BM$1:BM$65536,"Commercial",[1]SurveyDATA_1!BN$1:BN$65536,"Commercial Tenant",[1]SurveyDATA_1!BR$1:BR$65536,"&gt;19.99%")</f>
        <v>#VALUE!</v>
      </c>
      <c r="AJ22" s="1281">
        <v>0</v>
      </c>
      <c r="AK22" s="1281">
        <v>0</v>
      </c>
      <c r="AL22" s="1279" t="e">
        <f>SUMIFS([1]SurveyDATA_1!#REF!,[1]SurveyDATA_1!E$1:E$65536,"*ABANGAN*",[1]SurveyDATA_1!BM$1:BM$65536,"Commercial",[1]SurveyDATA_1!BN$1:BN$65536,"Commercial Tenant",[1]SurveyDATA_1!BR$1:BR$65536,"&lt;20%")</f>
        <v>#REF!</v>
      </c>
      <c r="AM22" s="1279" t="e">
        <f>SUMIFS([1]SurveyDATA_1!#REF!,[1]SurveyDATA_1!E$1:E$65536,"*ABANGAN*",[1]SurveyDATA_1!BM$1:BM$65536,"Commercial",[1]SurveyDATA_1!BN$1:BN$65536,"Commercial Tenant",[1]SurveyDATA_1!BR$1:BR$65536,"&gt;19.99%")</f>
        <v>#REF!</v>
      </c>
      <c r="AN22" s="1282" t="e">
        <f t="shared" ref="AN22:AO24" si="18">SUM(AL22,AJ22,AH22,AF22,AD22,AB22,Z22,X22,V22)</f>
        <v>#REF!</v>
      </c>
      <c r="AO22" s="1282" t="e">
        <f t="shared" si="18"/>
        <v>#REF!</v>
      </c>
      <c r="AR22" s="572"/>
      <c r="AS22" s="573" t="s">
        <v>5388</v>
      </c>
      <c r="AT22" s="1283" t="e">
        <f>COUNTIFS([1]SurveyDATA_1!E$1:E$65536,"*SAOG*",[1]SurveyDATA_1!BM$1:BM$65536,"*RESIDENTIAL*",[1]SurveyDATA_1!AS$1:AS$65536,"",[1]SurveyDATA_1!BN$1:BN$65536,"*Structure Owner*",[1]SurveyDATA_1!FQ$1:FQ$65536,"*STAY*")</f>
        <v>#VALUE!</v>
      </c>
      <c r="AU22" s="1284" t="e">
        <f>COUNTIFS([1]SurveyDATA_1!E$1:E$65536,"*SAOG*",[1]SurveyDATA_1!BM$1:BM$65536,"*RESIDENTIAL*",[1]SurveyDATA_1!AS$1:AS$65536,"",[1]SurveyDATA_1!BN$1:BN$65536,"*Structure Owner*",[1]SurveyDATA_1!FQ$1:FQ$65536,"*NEED*")</f>
        <v>#VALUE!</v>
      </c>
      <c r="AV22" s="1284" t="e">
        <f>COUNTIFS([1]SurveyDATA_1!E$1:E$65536,"*SAOG*",[1]SurveyDATA_1!AS$1:AS$65536,"",[1]SurveyDATA_1!FQ$1:FQ$65536,"*STAY*",[1]SurveyDATA_1!IP$1:IP$65536,"OWNER",[1]SurveyDATA_1!IR$1:IR$65536,"*")</f>
        <v>#VALUE!</v>
      </c>
      <c r="AW22" s="1284" t="e">
        <f>COUNTIFS([1]SurveyDATA_1!E$1:E$65536,"*SAOG*",[1]SurveyDATA_1!AS$1:AS$65536,"",[1]SurveyDATA_1!FQ$1:FQ$65536,"*NEED*",[1]SurveyDATA_1!IP$1:IP$65536,"OWNER",[1]SurveyDATA_1!IR$1:IR$65536,"*")</f>
        <v>#VALUE!</v>
      </c>
      <c r="AX22" s="1149"/>
      <c r="AY22" s="1230"/>
      <c r="AZ22" s="1285" t="e">
        <f t="shared" si="17"/>
        <v>#VALUE!</v>
      </c>
      <c r="BA22" s="1286" t="e">
        <f t="shared" si="17"/>
        <v>#VALUE!</v>
      </c>
    </row>
    <row r="23" spans="1:53" ht="15.75" thickBot="1">
      <c r="V23" s="1279" t="e">
        <f>COUNTIFS([1]SurveyDATA_1!E$1:E$65536,"*SAOG*",[1]SurveyDATA_1!AS$1:AS$65536,"Y",[1]SurveyDATA_1!BN$1:BN$65536,"*Structure Owner*",[1]SurveyDATA_1!FQ$1:FQ$65536,"*Stay*")</f>
        <v>#VALUE!</v>
      </c>
      <c r="W23" s="1279" t="e">
        <f>COUNTIFS([1]SurveyDATA_1!E$1:E$65536,"*SAOG*",[1]SurveyDATA_1!AS$1:AS$65536,"Y",[1]SurveyDATA_1!BN$1:BN$65536,"*Structure Owner*",[1]SurveyDATA_1!FQ$1:FQ$65536,"*NEED*")</f>
        <v>#VALUE!</v>
      </c>
      <c r="X23" s="1279" t="e">
        <f>COUNTIFS([1]SurveyDATA_1!E$1:E$65536,"*SAOG*",[1]SurveyDATA_1!AS$1:AS$65536,"Y",[1]SurveyDATA_1!FQ$1:FQ$65536,"*Stay*",[1]SurveyDATA_1!IP$1:IP$65536,"OWNER")</f>
        <v>#VALUE!</v>
      </c>
      <c r="Y23" s="1280" t="e">
        <f>COUNTIFS([1]SurveyDATA_1!E$1:E$65536,"*SAOG*",[1]SurveyDATA_1!AS$1:AS$65536,"Y",[1]SurveyDATA_1!FQ$1:FQ$65536,"*NEED*",[1]SurveyDATA_1!IP$1:IP$65536,"OWNER")</f>
        <v>#VALUE!</v>
      </c>
      <c r="Z23" s="1279" t="e">
        <f>COUNTIFS([1]SurveyDATA_1!E$1:E$65536,"*SAOG*",[1]SurveyDATA_1!AS$1:AS$65536,"Y",[1]SurveyDATA_1!BM$1:BM$65536,"*INSTITUTIONAL*",[1]SurveyDATA_1!FQ$1:FQ$65536,"*STAY*")</f>
        <v>#VALUE!</v>
      </c>
      <c r="AA23" s="1279" t="e">
        <f>COUNTIFS([1]SurveyDATA_1!E$1:E$65536,"*SAOG*",[1]SurveyDATA_1!AS$1:AS$65536,"Y",[1]SurveyDATA_1!BM$1:BM$65536,"*INSTITUTIONAL*",[1]SurveyDATA_1!FQ$1:FQ$65536,"*STAY*")</f>
        <v>#VALUE!</v>
      </c>
      <c r="AB23" s="1279" t="e">
        <f>COUNTIFS([1]SurveyDATA_1!E$1:E$65536,"*SAOG*",[1]SurveyDATA_1!BN$1:BN$65536,"RENTER",[1]SurveyDATA_1!FQ$1:FQ$65536,"*STAY*")</f>
        <v>#VALUE!</v>
      </c>
      <c r="AC23" s="1279" t="e">
        <f>COUNTIFS([1]SurveyDATA_1!E$1:E$65536,"*SAOG*",[1]SurveyDATA_1!BN$1:BN$65536,"RENTER",[1]SurveyDATA_1!FQ$1:FQ$65536,"*NEED*")</f>
        <v>#VALUE!</v>
      </c>
      <c r="AD23" s="572"/>
      <c r="AE23" s="572"/>
      <c r="AF23" s="1279" t="e">
        <f>COUNTIFS([1]SurveyDATA_1!E$1:E$65536,"*SAOG*",[1]SurveyDATA_1!AK$1:AK$65536,"*LAND OWNER*",[1]SurveyDATA_1!AS$1:AS$65536,"Y",[1]SurveyDATA_1!AN$1:AN$65536,"&lt;20%")</f>
        <v>#VALUE!</v>
      </c>
      <c r="AG23" s="1279" t="e">
        <f>COUNTIFS([1]SurveyDATA_1!E$1:E$65536,"*SAOG*",[1]SurveyDATA_1!AK$1:AK$65536,"*LAND OWNER*",[1]SurveyDATA_1!AS$1:AS$65536,"Y",[1]SurveyDATA_1!AN$1:AN$65536,"&gt;19.99%")</f>
        <v>#VALUE!</v>
      </c>
      <c r="AH23" s="1279" t="e">
        <f>COUNTIFS([1]SurveyDATA_1!E$1:E$65536,"*SAOG*",[1]SurveyDATA_1!BM$1:BM$65536,"Commercial",[1]SurveyDATA_1!BN$1:BN$65536,"Commercial Tenant",[1]SurveyDATA_1!BR$1:BR$65536,"&lt;20%")</f>
        <v>#VALUE!</v>
      </c>
      <c r="AI23" s="1279" t="e">
        <f>COUNTIFS([1]SurveyDATA_1!E$1:E$65536,"*SAOG*",[1]SurveyDATA_1!BM$1:BM$65536,"Commercial",[1]SurveyDATA_1!BN$1:BN$65536,"Commercial Tenant",[1]SurveyDATA_1!BR$1:BR$65536,"&gt;19.99%")</f>
        <v>#VALUE!</v>
      </c>
      <c r="AJ23" s="1281">
        <v>0</v>
      </c>
      <c r="AK23" s="1281">
        <v>0</v>
      </c>
      <c r="AL23" s="1279" t="e">
        <f>SUMIFS([1]SurveyDATA_1!#REF!,[1]SurveyDATA_1!E$1:E$65536,"*SAOG*",[1]SurveyDATA_1!BM$1:BM$65536,"Commercial",[1]SurveyDATA_1!BN$1:BN$65536,"Commercial Tenant",[1]SurveyDATA_1!BR$1:BR$65536,"&lt;20%")</f>
        <v>#REF!</v>
      </c>
      <c r="AM23" s="1279" t="e">
        <f>SUMIFS([1]SurveyDATA_1!#REF!,[1]SurveyDATA_1!E$1:E$65536,"*SAOG*",[1]SurveyDATA_1!BM$1:BM$65536,"Commercial",[1]SurveyDATA_1!BN$1:BN$65536,"Commercial Tenant",[1]SurveyDATA_1!BR$1:BR$65536,"&gt;19.99%")</f>
        <v>#REF!</v>
      </c>
      <c r="AN23" s="1282" t="e">
        <f t="shared" si="18"/>
        <v>#REF!</v>
      </c>
      <c r="AO23" s="1282" t="e">
        <f t="shared" si="18"/>
        <v>#REF!</v>
      </c>
      <c r="AR23" s="572"/>
      <c r="AS23" s="573" t="s">
        <v>5489</v>
      </c>
      <c r="AT23" s="1283" t="e">
        <f>COUNTIFS([1]SurveyDATA_1!E$1:E$65536,"*IBAYO*",[1]SurveyDATA_1!BM$1:BM$65536,"*RESIDENTIAL*",[1]SurveyDATA_1!AS$1:AS$65536,"",[1]SurveyDATA_1!BN$1:BN$65536,"*Structure Owner*",[1]SurveyDATA_1!FQ$1:FQ$65536,"*STAY*")</f>
        <v>#VALUE!</v>
      </c>
      <c r="AU23" s="1284" t="e">
        <f>COUNTIFS([1]SurveyDATA_1!E$1:E$65536,"*IBAYO*",[1]SurveyDATA_1!BM$1:BM$65536,"*RESIDENTIAL*",[1]SurveyDATA_1!AS$1:AS$65536,"",[1]SurveyDATA_1!BN$1:BN$65536,"*Structure Owner*",[1]SurveyDATA_1!FQ$1:FQ$65536,"*NEED*")</f>
        <v>#VALUE!</v>
      </c>
      <c r="AV23" s="1284" t="e">
        <f>COUNTIFS([1]SurveyDATA_1!E$1:E$65536,"*IBAYO*",[1]SurveyDATA_1!AS$1:AS$65536,"",[1]SurveyDATA_1!FQ$1:FQ$65536,"*STAY*",[1]SurveyDATA_1!IP$1:IP$65536,"OWNER",[1]SurveyDATA_1!IR$1:IR$65536,"*")</f>
        <v>#VALUE!</v>
      </c>
      <c r="AW23" s="1284" t="e">
        <f>COUNTIFS([1]SurveyDATA_1!E$1:E$65536,"*IBAYO*",[1]SurveyDATA_1!AS$1:AS$65536,"",[1]SurveyDATA_1!FQ$1:FQ$65536,"*NEED*",[1]SurveyDATA_1!IP$1:IP$65536,"OWNER",[1]SurveyDATA_1!IR$1:IR$65536,"*")</f>
        <v>#VALUE!</v>
      </c>
      <c r="AX23" s="1149"/>
      <c r="AY23" s="1230"/>
      <c r="AZ23" s="1285" t="e">
        <f t="shared" si="17"/>
        <v>#VALUE!</v>
      </c>
      <c r="BA23" s="1286" t="e">
        <f t="shared" si="17"/>
        <v>#VALUE!</v>
      </c>
    </row>
    <row r="24" spans="1:53">
      <c r="L24" s="1971" t="s">
        <v>12280</v>
      </c>
      <c r="M24" s="1973" t="s">
        <v>5354</v>
      </c>
      <c r="N24" s="1973"/>
      <c r="O24" s="1973"/>
      <c r="P24" s="1973" t="s">
        <v>12669</v>
      </c>
      <c r="Q24" s="1973"/>
      <c r="R24" s="1974"/>
      <c r="V24" s="1279" t="e">
        <f>COUNTIFS([1]SurveyDATA_1!E$1:E$65536,"*IBAYO*",[1]SurveyDATA_1!AS$1:AS$65536,"Y",[1]SurveyDATA_1!BN$1:BN$65536,"*Structure Owner*",[1]SurveyDATA_1!FQ$1:FQ$65536,"*Stay*")</f>
        <v>#VALUE!</v>
      </c>
      <c r="W24" s="1279" t="e">
        <f>COUNTIFS([1]SurveyDATA_1!E$1:E$65536,"*IBAYO*",[1]SurveyDATA_1!AS$1:AS$65536,"Y",[1]SurveyDATA_1!BN$1:BN$65536,"*Structure Owner*",[1]SurveyDATA_1!FQ$1:FQ$65536,"*NEED*")</f>
        <v>#VALUE!</v>
      </c>
      <c r="X24" s="1279" t="e">
        <f>COUNTIFS([1]SurveyDATA_1!E$1:E$65536,"*IBAYO*",[1]SurveyDATA_1!AS$1:AS$65536,"Y",[1]SurveyDATA_1!FQ$1:FQ$65536,"*Stay*",[1]SurveyDATA_1!IP$1:IP$65536,"OWNER")</f>
        <v>#VALUE!</v>
      </c>
      <c r="Y24" s="1280" t="e">
        <f>COUNTIFS([1]SurveyDATA_1!E$1:E$65536,"*IBAYO*",[1]SurveyDATA_1!AS$1:AS$65536,"Y",[1]SurveyDATA_1!FQ$1:FQ$65536,"*NEED*",[1]SurveyDATA_1!IP$1:IP$65536,"OWNER")</f>
        <v>#VALUE!</v>
      </c>
      <c r="Z24" s="1279" t="e">
        <f>COUNTIFS([1]SurveyDATA_1!E$1:E$65536,"*IBAYO*",[1]SurveyDATA_1!AS$1:AS$65536,"Y",[1]SurveyDATA_1!BM$1:BM$65536,"*INSTITUTIONAL*",[1]SurveyDATA_1!FQ$1:FQ$65536,"*STAY*")</f>
        <v>#VALUE!</v>
      </c>
      <c r="AA24" s="1279" t="e">
        <f>COUNTIFS([1]SurveyDATA_1!E$1:E$65536,"*IBAYO*",[1]SurveyDATA_1!AS$1:AS$65536,"Y",[1]SurveyDATA_1!BM$1:BM$65536,"*INSTITUTIONAL*",[1]SurveyDATA_1!FQ$1:FQ$65536,"*STAY*")</f>
        <v>#VALUE!</v>
      </c>
      <c r="AB24" s="1279" t="e">
        <f>COUNTIFS([1]SurveyDATA_1!E$1:E$65536,"*IBAYO*",[1]SurveyDATA_1!BN$1:BN$65536,"RENTER",[1]SurveyDATA_1!FQ$1:FQ$65536,"*STAY*")</f>
        <v>#VALUE!</v>
      </c>
      <c r="AC24" s="1279" t="e">
        <f>COUNTIFS([1]SurveyDATA_1!E$1:E$65536,"*IBAYO*",[1]SurveyDATA_1!BN$1:BN$65536,"RENTER",[1]SurveyDATA_1!FQ$1:FQ$65536,"*NEED*")</f>
        <v>#VALUE!</v>
      </c>
      <c r="AD24" s="572"/>
      <c r="AE24" s="572"/>
      <c r="AF24" s="1279" t="e">
        <f>COUNTIFS([1]SurveyDATA_1!E$1:E$65536,"*IBAYO*",[1]SurveyDATA_1!AK$1:AK$65536,"*LAND OWNER*",[1]SurveyDATA_1!AS$1:AS$65536,"Y",[1]SurveyDATA_1!AN$1:AN$65536,"&lt;20%")</f>
        <v>#VALUE!</v>
      </c>
      <c r="AG24" s="1279" t="e">
        <f>COUNTIFS([1]SurveyDATA_1!E$1:E$65536,"*IBAYO*",[1]SurveyDATA_1!AK$1:AK$65536,"*LAND OWNER*",[1]SurveyDATA_1!AS$1:AS$65536,"Y",[1]SurveyDATA_1!AN$1:AN$65536,"&gt;19.99%")</f>
        <v>#VALUE!</v>
      </c>
      <c r="AH24" s="1279" t="e">
        <f>COUNTIFS([1]SurveyDATA_1!E$1:E$65536,"*IBAYO*",[1]SurveyDATA_1!BM$1:BM$65536,"Commercial",[1]SurveyDATA_1!BN$1:BN$65536,"Commercial Tenant",[1]SurveyDATA_1!BR$1:BR$65536,"&lt;20%")</f>
        <v>#VALUE!</v>
      </c>
      <c r="AI24" s="1279" t="e">
        <f>COUNTIFS([1]SurveyDATA_1!E$1:E$65536,"*IBAYO*",[1]SurveyDATA_1!BM$1:BM$65536,"Commercial",[1]SurveyDATA_1!BN$1:BN$65536,"Commercial Tenant",[1]SurveyDATA_1!BR$1:BR$65536,"&gt;19.99%")</f>
        <v>#VALUE!</v>
      </c>
      <c r="AJ24" s="1281">
        <v>0</v>
      </c>
      <c r="AK24" s="1281">
        <v>0</v>
      </c>
      <c r="AL24" s="1279" t="e">
        <f>SUMIFS([1]SurveyDATA_1!#REF!,[1]SurveyDATA_1!E$1:E$65536,"*IBAYO*",[1]SurveyDATA_1!BM$1:BM$65536,"Commercial",[1]SurveyDATA_1!BN$1:BN$65536,"Commercial Tenant",[1]SurveyDATA_1!BR$1:BR$65536,"&lt;20%")</f>
        <v>#REF!</v>
      </c>
      <c r="AM24" s="1279" t="e">
        <f>SUMIFS([1]SurveyDATA_1!#REF!,[1]SurveyDATA_1!E$1:E$65536,"*IBAYO*",[1]SurveyDATA_1!BM$1:BM$65536,"Commercial",[1]SurveyDATA_1!BN$1:BN$65536,"Commercial Tenant",[1]SurveyDATA_1!BR$1:BR$65536,"&gt;19.99%")</f>
        <v>#REF!</v>
      </c>
      <c r="AN24" s="1282" t="e">
        <f t="shared" si="18"/>
        <v>#REF!</v>
      </c>
      <c r="AO24" s="1282" t="e">
        <f t="shared" si="18"/>
        <v>#REF!</v>
      </c>
      <c r="AR24" s="572"/>
      <c r="AS24" s="574" t="s">
        <v>7216</v>
      </c>
      <c r="AT24" s="638" t="e">
        <f t="shared" ref="AT24:BA24" si="19">SUM(AT21:AT23)</f>
        <v>#VALUE!</v>
      </c>
      <c r="AU24" s="638" t="e">
        <f t="shared" si="19"/>
        <v>#VALUE!</v>
      </c>
      <c r="AV24" s="638" t="e">
        <f t="shared" si="19"/>
        <v>#VALUE!</v>
      </c>
      <c r="AW24" s="638" t="e">
        <f t="shared" si="19"/>
        <v>#VALUE!</v>
      </c>
      <c r="AX24" s="638">
        <f t="shared" si="19"/>
        <v>0</v>
      </c>
      <c r="AY24" s="1289">
        <f t="shared" si="19"/>
        <v>0</v>
      </c>
      <c r="AZ24" s="1285" t="e">
        <f t="shared" si="19"/>
        <v>#VALUE!</v>
      </c>
      <c r="BA24" s="1286" t="e">
        <f t="shared" si="19"/>
        <v>#VALUE!</v>
      </c>
    </row>
    <row r="25" spans="1:53">
      <c r="L25" s="1972"/>
      <c r="M25" s="1302" t="s">
        <v>12670</v>
      </c>
      <c r="N25" s="1302" t="s">
        <v>12671</v>
      </c>
      <c r="O25" s="1303" t="s">
        <v>2034</v>
      </c>
      <c r="P25" s="1302" t="s">
        <v>5357</v>
      </c>
      <c r="Q25" s="1302" t="s">
        <v>12282</v>
      </c>
      <c r="R25" s="1304" t="s">
        <v>2034</v>
      </c>
      <c r="V25" s="575" t="e">
        <f t="shared" ref="V25:AO25" si="20">SUM(V22:V24)</f>
        <v>#VALUE!</v>
      </c>
      <c r="W25" s="575" t="e">
        <f t="shared" si="20"/>
        <v>#VALUE!</v>
      </c>
      <c r="X25" s="575" t="e">
        <f t="shared" si="20"/>
        <v>#VALUE!</v>
      </c>
      <c r="Y25" s="575" t="e">
        <f t="shared" si="20"/>
        <v>#VALUE!</v>
      </c>
      <c r="Z25" s="575" t="e">
        <f t="shared" si="20"/>
        <v>#VALUE!</v>
      </c>
      <c r="AA25" s="575" t="e">
        <f t="shared" si="20"/>
        <v>#VALUE!</v>
      </c>
      <c r="AB25" s="575" t="e">
        <f t="shared" si="20"/>
        <v>#VALUE!</v>
      </c>
      <c r="AC25" s="575" t="e">
        <f t="shared" si="20"/>
        <v>#VALUE!</v>
      </c>
      <c r="AD25" s="575">
        <f t="shared" si="20"/>
        <v>0</v>
      </c>
      <c r="AE25" s="575">
        <f t="shared" si="20"/>
        <v>0</v>
      </c>
      <c r="AF25" s="575" t="e">
        <f t="shared" si="20"/>
        <v>#VALUE!</v>
      </c>
      <c r="AG25" s="575" t="e">
        <f t="shared" si="20"/>
        <v>#VALUE!</v>
      </c>
      <c r="AH25" s="575" t="e">
        <f t="shared" si="20"/>
        <v>#VALUE!</v>
      </c>
      <c r="AI25" s="575" t="e">
        <f t="shared" si="20"/>
        <v>#VALUE!</v>
      </c>
      <c r="AJ25" s="575">
        <f t="shared" si="20"/>
        <v>0</v>
      </c>
      <c r="AK25" s="575">
        <f t="shared" si="20"/>
        <v>0</v>
      </c>
      <c r="AL25" s="575" t="e">
        <f t="shared" si="20"/>
        <v>#REF!</v>
      </c>
      <c r="AM25" s="575" t="e">
        <f t="shared" si="20"/>
        <v>#REF!</v>
      </c>
      <c r="AN25" s="575" t="e">
        <f t="shared" si="20"/>
        <v>#REF!</v>
      </c>
      <c r="AO25" s="575" t="e">
        <f t="shared" si="20"/>
        <v>#REF!</v>
      </c>
      <c r="AR25" s="572" t="s">
        <v>5496</v>
      </c>
      <c r="AS25" s="573" t="s">
        <v>5849</v>
      </c>
      <c r="AT25" s="1283" t="e">
        <f>COUNTIFS([1]SurveyDATA_1!E$1:E$65536,"*PANDAYAN*",[1]SurveyDATA_1!BM$1:BM$65536,"*RESIDENTIAL*",[1]SurveyDATA_1!AS$1:AS$65536,"",[1]SurveyDATA_1!BN$1:BN$65536,"*Structure Owner*",[1]SurveyDATA_1!FQ$1:FQ$65536,"*STAY*")</f>
        <v>#VALUE!</v>
      </c>
      <c r="AU25" s="1284" t="e">
        <f>COUNTIFS([1]SurveyDATA_1!E$1:E$65536,"*PANDAYAN*",[1]SurveyDATA_1!BM$1:BM$65536,"*RESIDENTIAL*",[1]SurveyDATA_1!AS$1:AS$65536,"",[1]SurveyDATA_1!BN$1:BN$65536,"*Structure Owner*",[1]SurveyDATA_1!FQ$1:FQ$65536,"*NEED*")</f>
        <v>#VALUE!</v>
      </c>
      <c r="AV25" s="1284" t="e">
        <f>COUNTIFS([1]SurveyDATA_1!E$1:E$65536,"*PANDAYAN*",[1]SurveyDATA_1!AS$1:AS$65536,"",[1]SurveyDATA_1!FQ$1:FQ$65536,"*STAY*",[1]SurveyDATA_1!IP$1:IP$65536,"OWNER",[1]SurveyDATA_1!IR$1:IR$65536,"*")</f>
        <v>#VALUE!</v>
      </c>
      <c r="AW25" s="1284" t="e">
        <f>COUNTIFS([1]SurveyDATA_1!E$1:E$65536,"*PANDAYAN*",[1]SurveyDATA_1!AS$1:AS$65536,"",[1]SurveyDATA_1!FQ$1:FQ$65536,"*NEED*",[1]SurveyDATA_1!IP$1:IP$65536,"OWNER",[1]SurveyDATA_1!IR$1:IR$65536,"*")</f>
        <v>#VALUE!</v>
      </c>
      <c r="AX25" s="1149"/>
      <c r="AY25" s="1230"/>
      <c r="AZ25" s="1285" t="e">
        <f t="shared" ref="AZ25:BA27" si="21">SUM(AT25,AV25,AX25,)</f>
        <v>#VALUE!</v>
      </c>
      <c r="BA25" s="1286" t="e">
        <f t="shared" si="21"/>
        <v>#VALUE!</v>
      </c>
    </row>
    <row r="26" spans="1:53">
      <c r="L26" s="1305" t="s">
        <v>12283</v>
      </c>
      <c r="M26" s="1306"/>
      <c r="N26" s="1306"/>
      <c r="O26" s="1307"/>
      <c r="P26" s="1306"/>
      <c r="Q26" s="1306"/>
      <c r="R26" s="1308"/>
      <c r="V26" s="1279" t="e">
        <f>COUNTIFS([1]SurveyDATA_1!E$1:E$65536,"*PANDAYAN*",[1]SurveyDATA_1!AS$1:AS$65536,"Y",[1]SurveyDATA_1!BN$1:BN$65536,"*Structure Owner*",[1]SurveyDATA_1!FQ$1:FQ$65536,"*Stay*")</f>
        <v>#VALUE!</v>
      </c>
      <c r="W26" s="1279" t="e">
        <f>COUNTIFS([1]SurveyDATA_1!E$1:E$65536,"*PANDAYAN*",[1]SurveyDATA_1!AS$1:AS$65536,"Y",[1]SurveyDATA_1!BN$1:BN$65536,"*Structure Owner*",[1]SurveyDATA_1!FQ$1:FQ$65536,"*NEED*")</f>
        <v>#VALUE!</v>
      </c>
      <c r="X26" s="1279" t="e">
        <f>COUNTIFS([1]SurveyDATA_1!E$1:E$65536,"*PANDAYAN*",[1]SurveyDATA_1!AS$1:AS$65536,"Y",[1]SurveyDATA_1!FQ$1:FQ$65536,"*Stay*",[1]SurveyDATA_1!IP$1:IP$65536,"OWNER")</f>
        <v>#VALUE!</v>
      </c>
      <c r="Y26" s="1280" t="e">
        <f>COUNTIFS([1]SurveyDATA_1!E$1:E$65536,"*PANDAYAN*",[1]SurveyDATA_1!AS$1:AS$65536,"Y",[1]SurveyDATA_1!FQ$1:FQ$65536,"*NEED*",[1]SurveyDATA_1!IP$1:IP$65536,"OWNER")</f>
        <v>#VALUE!</v>
      </c>
      <c r="Z26" s="1279" t="e">
        <f>COUNTIFS([1]SurveyDATA_1!E$1:E$65536,"*PANDAYAN*",[1]SurveyDATA_1!AS$1:AS$65536,"Y",[1]SurveyDATA_1!BM$1:BM$65536,"*INSTITUTIONAL*",[1]SurveyDATA_1!FQ$1:FQ$65536,"*STAY*")</f>
        <v>#VALUE!</v>
      </c>
      <c r="AA26" s="1279" t="e">
        <f>COUNTIFS([1]SurveyDATA_1!E$1:E$65536,"*PANDAYAN*",[1]SurveyDATA_1!AS$1:AS$65536,"Y",[1]SurveyDATA_1!BM$1:BM$65536,"*INSTITUTIONAL*",[1]SurveyDATA_1!FQ$1:FQ$65536,"*STAY*")</f>
        <v>#VALUE!</v>
      </c>
      <c r="AB26" s="1279" t="e">
        <f>COUNTIFS([1]SurveyDATA_1!E$1:E$65536,"*PANDAYAN*",[1]SurveyDATA_1!BN$1:BN$65536,"RENTER",[1]SurveyDATA_1!FQ$1:FQ$65536,"*STAY*")</f>
        <v>#VALUE!</v>
      </c>
      <c r="AC26" s="1279" t="e">
        <f>COUNTIFS([1]SurveyDATA_1!E$1:E$65536,"*PANDAYAN*",[1]SurveyDATA_1!BN$1:BN$65536,"RENTER",[1]SurveyDATA_1!FQ$1:FQ$65536,"*NEED*")</f>
        <v>#VALUE!</v>
      </c>
      <c r="AD26" s="572"/>
      <c r="AE26" s="572"/>
      <c r="AF26" s="1279" t="e">
        <f>COUNTIFS([1]SurveyDATA_1!E$1:E$65536,"*MALANDAY*",[1]SurveyDATA_1!AK$1:AK$65536,"*LAND OWNER*",[1]SurveyDATA_1!AS$1:AS$65536,"Y",[1]SurveyDATA_1!AN$1:AN$65536,"&lt;20%")</f>
        <v>#VALUE!</v>
      </c>
      <c r="AG26" s="1279" t="e">
        <f>COUNTIFS([1]SurveyDATA_1!E$1:E$65536,"*MALANDAY*",[1]SurveyDATA_1!AK$1:AK$65536,"*LAND OWNER*",[1]SurveyDATA_1!AS$1:AS$65536,"Y",[1]SurveyDATA_1!AN$1:AN$65536,"&gt;19.99%")</f>
        <v>#VALUE!</v>
      </c>
      <c r="AH26" s="1279" t="e">
        <f>COUNTIFS([1]SurveyDATA_1!E$1:E$65536,"*MALANDAY*",[1]SurveyDATA_1!BM$1:BM$65536,"Commercial",[1]SurveyDATA_1!BN$1:BN$65536,"Commercial Tenant",[1]SurveyDATA_1!BR$1:BR$65536,"&lt;20%")</f>
        <v>#VALUE!</v>
      </c>
      <c r="AI26" s="1279" t="e">
        <f>COUNTIFS([1]SurveyDATA_1!E$1:E$65536,"*MALANDAY*",[1]SurveyDATA_1!BM$1:BM$65536,"Commercial",[1]SurveyDATA_1!BN$1:BN$65536,"Commercial Tenant",[1]SurveyDATA_1!BR$1:BR$65536,"&gt;19.99%")</f>
        <v>#VALUE!</v>
      </c>
      <c r="AJ26" s="1281">
        <v>0</v>
      </c>
      <c r="AK26" s="1281">
        <v>0</v>
      </c>
      <c r="AL26" s="1279" t="e">
        <f>SUMIFS([1]SurveyDATA_1!#REF!,[1]SurveyDATA_1!E$1:E$65536,"*PANDAYAN*",[1]SurveyDATA_1!BM$1:BM$65536,"Commercial",[1]SurveyDATA_1!BN$1:BN$65536,"Commercial Tenant",[1]SurveyDATA_1!BR$1:BR$65536,"&lt;20%")</f>
        <v>#REF!</v>
      </c>
      <c r="AM26" s="1279" t="e">
        <f>SUMIFS([1]SurveyDATA_1!#REF!,[1]SurveyDATA_1!E$1:E$65536,"*PANDAYAN*",[1]SurveyDATA_1!BM$1:BM$65536,"Commercial",[1]SurveyDATA_1!BN$1:BN$65536,"Commercial Tenant",[1]SurveyDATA_1!BR$1:BR$65536,"&gt;19.99%")</f>
        <v>#REF!</v>
      </c>
      <c r="AN26" s="1282" t="e">
        <f t="shared" ref="AN26:AO28" si="22">SUM(AL26,AJ26,AH26,AF26,AD26,AB26,Z26,X26,V26)</f>
        <v>#REF!</v>
      </c>
      <c r="AO26" s="1282" t="e">
        <f t="shared" si="22"/>
        <v>#REF!</v>
      </c>
      <c r="AR26" s="572"/>
      <c r="AS26" s="573" t="s">
        <v>5497</v>
      </c>
      <c r="AT26" s="1283" t="e">
        <f>COUNTIFS([1]SurveyDATA_1!E$1:E$65536,"*TUGATOG*",[1]SurveyDATA_1!BM$1:BM$65536,"*RESIDENTIAL*",[1]SurveyDATA_1!AS$1:AS$65536,"",[1]SurveyDATA_1!BN$1:BN$65536,"*Structure Owner*",[1]SurveyDATA_1!FQ$1:FQ$65536,"*STAY*")</f>
        <v>#VALUE!</v>
      </c>
      <c r="AU26" s="1284" t="e">
        <f>COUNTIFS([1]SurveyDATA_1!E$1:E$65536,"*TUGATOG*",[1]SurveyDATA_1!BM$1:BM$65536,"*RESIDENTIAL*",[1]SurveyDATA_1!AS$1:AS$65536,"",[1]SurveyDATA_1!BN$1:BN$65536,"*Structure Owner*",[1]SurveyDATA_1!FQ$1:FQ$65536,"*NEED*")</f>
        <v>#VALUE!</v>
      </c>
      <c r="AV26" s="1284" t="e">
        <f>COUNTIFS([1]SurveyDATA_1!E$1:E$65536,"*TUGATOG*",[1]SurveyDATA_1!AS$1:AS$65536,"",[1]SurveyDATA_1!FQ$1:FQ$65536,"*STAY*",[1]SurveyDATA_1!IP$1:IP$65536,"OWNER",[1]SurveyDATA_1!IR$1:IR$65536,"*")</f>
        <v>#VALUE!</v>
      </c>
      <c r="AW26" s="1284" t="e">
        <f>COUNTIFS([1]SurveyDATA_1!E$1:E$65536,"*TUGATOG*",[1]SurveyDATA_1!AS$1:AS$65536,"",[1]SurveyDATA_1!FQ$1:FQ$65536,"*NEED*",[1]SurveyDATA_1!IP$1:IP$65536,"OWNER",[1]SurveyDATA_1!IR$1:IR$65536,"*")</f>
        <v>#VALUE!</v>
      </c>
      <c r="AX26" s="1149"/>
      <c r="AY26" s="1230"/>
      <c r="AZ26" s="1285" t="e">
        <f t="shared" si="21"/>
        <v>#VALUE!</v>
      </c>
      <c r="BA26" s="1286" t="e">
        <f t="shared" si="21"/>
        <v>#VALUE!</v>
      </c>
    </row>
    <row r="27" spans="1:53">
      <c r="L27" s="1309" t="s">
        <v>1096</v>
      </c>
      <c r="M27" s="1310" t="e">
        <f>COUNTIFS([1]SurveyDATA!AT$1:AT$65536,"Y",[1]SurveyDATA!BN$1:BN$65536,"*RESIDENTIAL*",[1]SurveyDATA!BO$1:BO$65536,"*STRUCTURE OWNER*",[1]SurveyDATA!FR$1:FR$65536,"*NEED*")</f>
        <v>#VALUE!</v>
      </c>
      <c r="N27" s="1310" t="e">
        <f>COUNTIFS([1]SurveyDATA!AT$1:AT$65536,"",[1]SurveyDATA!BN$1:BN$65536,"*RESIDENTIAL*",[1]SurveyDATA!BO$1:BO$65536,"*STRUCTURE OWNER*",[1]SurveyDATA!FR$1:FR$65536,"*NEED*")</f>
        <v>#VALUE!</v>
      </c>
      <c r="O27" s="1311" t="e">
        <f>SUM(M27:N27)</f>
        <v>#VALUE!</v>
      </c>
      <c r="P27" s="1310" t="e">
        <f>SUMIFS([1]SurveyDATA!#REF!,[1]SurveyDATA!AT$1:AT$65536,"Y",[1]SurveyDATA!BN$1:BN$65536,"*RESIDENTIAL*",[1]SurveyDATA!BO$1:BO$65536,"*STRUCTURE OWNER*",[1]SurveyDATA!FR$1:FR$65536,"*NEED*")</f>
        <v>#REF!</v>
      </c>
      <c r="Q27" s="1310" t="e">
        <f>SUMIFS([1]SurveyDATA!#REF!,[1]SurveyDATA!AT$1:AT$65536,"",[1]SurveyDATA!BN$1:BN$65536,"*RESIDENTIAL*",[1]SurveyDATA!BO$1:BO$65536,"*STRUCTURE OWNER*",[1]SurveyDATA!FR$1:FR$65536,"*NEED*")</f>
        <v>#REF!</v>
      </c>
      <c r="R27" s="1312" t="e">
        <f>SUM(P27:Q27)</f>
        <v>#REF!</v>
      </c>
      <c r="V27" s="1279" t="e">
        <f>COUNTIFS([1]SurveyDATA_1!E$1:E$65536,"*TUGATOG*",[1]SurveyDATA_1!AS$1:AS$65536,"Y",[1]SurveyDATA_1!BN$1:BN$65536,"*Structure Owner*",[1]SurveyDATA_1!FQ$1:FQ$65536,"*Stay*")</f>
        <v>#VALUE!</v>
      </c>
      <c r="W27" s="1279" t="e">
        <f>COUNTIFS([1]SurveyDATA_1!E$1:E$65536,"*TUGATOG*",[1]SurveyDATA_1!AS$1:AS$65536,"Y",[1]SurveyDATA_1!BN$1:BN$65536,"*Structure Owner*",[1]SurveyDATA_1!FQ$1:FQ$65536,"*NEED*")</f>
        <v>#VALUE!</v>
      </c>
      <c r="X27" s="1279" t="e">
        <f>COUNTIFS([1]SurveyDATA_1!E$1:E$65536,"*TUGATOG*",[1]SurveyDATA_1!AS$1:AS$65536,"Y",[1]SurveyDATA_1!FQ$1:FQ$65536,"*Stay*",[1]SurveyDATA_1!IP$1:IP$65536,"OWNER")</f>
        <v>#VALUE!</v>
      </c>
      <c r="Y27" s="1280" t="e">
        <f>COUNTIFS([1]SurveyDATA_1!E$1:E$65536,"*TUGATOG*",[1]SurveyDATA_1!AS$1:AS$65536,"Y",[1]SurveyDATA_1!FQ$1:FQ$65536,"*NEED*",[1]SurveyDATA_1!IP$1:IP$65536,"OWNER")</f>
        <v>#VALUE!</v>
      </c>
      <c r="Z27" s="1279" t="e">
        <f>COUNTIFS([1]SurveyDATA_1!E$1:E$65536,"*TUGATOG*",[1]SurveyDATA_1!AS$1:AS$65536,"Y",[1]SurveyDATA_1!BM$1:BM$65536,"*INSTITUTIONAL*",[1]SurveyDATA_1!FQ$1:FQ$65536,"*STAY*")</f>
        <v>#VALUE!</v>
      </c>
      <c r="AA27" s="1279" t="e">
        <f>COUNTIFS([1]SurveyDATA_1!E$1:E$65536,"*DALANDANAN*",[1]SurveyDATA_1!AS$1:AS$65536,"Y",[1]SurveyDATA_1!BM$1:BM$65536,"*INSTITUTIONAL*",[1]SurveyDATA_1!FQ$1:FQ$65536,"*STAY*")</f>
        <v>#VALUE!</v>
      </c>
      <c r="AB27" s="1279" t="e">
        <f>COUNTIFS([1]SurveyDATA_1!E$1:E$65536,"*TUGATOG*",[1]SurveyDATA_1!BN$1:BN$65536,"RENTER",[1]SurveyDATA_1!FQ$1:FQ$65536,"*STAY*")</f>
        <v>#VALUE!</v>
      </c>
      <c r="AC27" s="1279" t="e">
        <f>COUNTIFS([1]SurveyDATA_1!E$1:E$65536,"*TUGATOG*",[1]SurveyDATA_1!BN$1:BN$65536,"RENTER",[1]SurveyDATA_1!FQ$1:FQ$65536,"*NEED*")</f>
        <v>#VALUE!</v>
      </c>
      <c r="AD27" s="572"/>
      <c r="AE27" s="572"/>
      <c r="AF27" s="1279" t="e">
        <f>COUNTIFS([1]SurveyDATA_1!E$1:E$65536,"*DALANDANAN*",[1]SurveyDATA_1!AK$1:AK$65536,"*LAND OWNER*",[1]SurveyDATA_1!AS$1:AS$65536,"Y",[1]SurveyDATA_1!AN$1:AN$65536,"&lt;20%")</f>
        <v>#VALUE!</v>
      </c>
      <c r="AG27" s="1279" t="e">
        <f>COUNTIFS([1]SurveyDATA_1!E$1:E$65536,"*DALANDANAN*",[1]SurveyDATA_1!AK$1:AK$65536,"*LAND OWNER*",[1]SurveyDATA_1!AS$1:AS$65536,"Y",[1]SurveyDATA_1!AN$1:AN$65536,"&gt;19.99%")</f>
        <v>#VALUE!</v>
      </c>
      <c r="AH27" s="1279" t="e">
        <f>COUNTIFS([1]SurveyDATA_1!E$1:E$65536,"*DALANDANAN*",[1]SurveyDATA_1!BM$1:BM$65536,"Commercial",[1]SurveyDATA_1!BN$1:BN$65536,"Commercial Tenant",[1]SurveyDATA_1!BR$1:BR$65536,"&lt;20%")</f>
        <v>#VALUE!</v>
      </c>
      <c r="AI27" s="1279" t="e">
        <f>COUNTIFS([1]SurveyDATA_1!E$1:E$65536,"*DALANDANAN*",[1]SurveyDATA_1!BM$1:BM$65536,"Commercial",[1]SurveyDATA_1!BN$1:BN$65536,"Commercial Tenant",[1]SurveyDATA_1!BR$1:BR$65536,"&gt;19.99%")</f>
        <v>#VALUE!</v>
      </c>
      <c r="AJ27" s="1281">
        <v>0</v>
      </c>
      <c r="AK27" s="1281">
        <v>0</v>
      </c>
      <c r="AL27" s="1279" t="e">
        <f>SUMIFS([1]SurveyDATA_1!#REF!,[1]SurveyDATA_1!E$1:E$65536,"*TUGATOG*",[1]SurveyDATA_1!BM$1:BM$65536,"Commercial",[1]SurveyDATA_1!BN$1:BN$65536,"Commercial Tenant",[1]SurveyDATA_1!BR$1:BR$65536,"&lt;20%")</f>
        <v>#REF!</v>
      </c>
      <c r="AM27" s="1279" t="e">
        <f>SUMIFS([1]SurveyDATA_1!#REF!,[1]SurveyDATA_1!E$1:E$65536,"*TUGATOG*",[1]SurveyDATA_1!BM$1:BM$65536,"Commercial",[1]SurveyDATA_1!BN$1:BN$65536,"Commercial Tenant",[1]SurveyDATA_1!BR$1:BR$65536,"&gt;19.99%")</f>
        <v>#REF!</v>
      </c>
      <c r="AN27" s="1282" t="e">
        <f t="shared" si="22"/>
        <v>#REF!</v>
      </c>
      <c r="AO27" s="1282" t="e">
        <f t="shared" si="22"/>
        <v>#REF!</v>
      </c>
      <c r="AR27" s="572"/>
      <c r="AS27" s="573" t="s">
        <v>5389</v>
      </c>
      <c r="AT27" s="1283" t="e">
        <f>COUNTIFS([1]SurveyDATA_1!E$1:E$65536,"*BANCAL*",[1]SurveyDATA_1!BM$1:BM$65536,"*RESIDENTIAL*",[1]SurveyDATA_1!AS$1:AS$65536,"",[1]SurveyDATA_1!BN$1:BN$65536,"*Structure Owner*",[1]SurveyDATA_1!FQ$1:FQ$65536,"*STAY*")</f>
        <v>#VALUE!</v>
      </c>
      <c r="AU27" s="1284" t="e">
        <f>COUNTIFS([1]SurveyDATA_1!E$1:E$65536,"*BANCAL*",[1]SurveyDATA_1!BM$1:BM$65536,"*RESIDENTIAL*",[1]SurveyDATA_1!AS$1:AS$65536,"",[1]SurveyDATA_1!BN$1:BN$65536,"*Structure Owner*",[1]SurveyDATA_1!FQ$1:FQ$65536,"*NEED*")</f>
        <v>#VALUE!</v>
      </c>
      <c r="AV27" s="1284" t="e">
        <f>COUNTIFS([1]SurveyDATA_1!E$1:E$65536,"*BANCAL*",[1]SurveyDATA_1!AS$1:AS$65536,"",[1]SurveyDATA_1!FQ$1:FQ$65536,"*STAY*",[1]SurveyDATA_1!IP$1:IP$65536,"OWNER",[1]SurveyDATA_1!IR$1:IR$65536,"*")</f>
        <v>#VALUE!</v>
      </c>
      <c r="AW27" s="1284" t="e">
        <f>COUNTIFS([1]SurveyDATA_1!E$1:E$65536,"*BANCAL*",[1]SurveyDATA_1!AS$1:AS$65536,"",[1]SurveyDATA_1!FQ$1:FQ$65536,"*NEED*",[1]SurveyDATA_1!IP$1:IP$65536,"OWNER",[1]SurveyDATA_1!IR$1:IR$65536,"*")</f>
        <v>#VALUE!</v>
      </c>
      <c r="AX27" s="1313"/>
      <c r="AY27" s="1314"/>
      <c r="AZ27" s="1285" t="e">
        <f t="shared" si="21"/>
        <v>#VALUE!</v>
      </c>
      <c r="BA27" s="1286" t="e">
        <f t="shared" si="21"/>
        <v>#VALUE!</v>
      </c>
    </row>
    <row r="28" spans="1:53">
      <c r="L28" s="1309" t="s">
        <v>12284</v>
      </c>
      <c r="M28" s="1310" t="e">
        <f>COUNTIFS([1]SurveyDATA!AT$1:AT$65536,"Y",[1]SurveyDATA!BN$1:BN$65536,"*COMMERCIAL*",[1]SurveyDATA!BO$1:BO$65536,"*STRUCTURE OWNER*",[1]SurveyDATA!FR$1:FR$65536,"*NEED*")</f>
        <v>#VALUE!</v>
      </c>
      <c r="N28" s="1310" t="e">
        <f>COUNTIFS([1]SurveyDATA!AT$1:AT$65536,"",[1]SurveyDATA!BN$1:BN$65536,"*COMMERCIAL*",[1]SurveyDATA!BO$1:BO$65536,"*STRUCTURE OWNER*",[1]SurveyDATA!FR$1:FR$65536,"*NEED*")</f>
        <v>#VALUE!</v>
      </c>
      <c r="O28" s="1311" t="e">
        <f>SUM(M28:N28)</f>
        <v>#VALUE!</v>
      </c>
      <c r="P28" s="1310"/>
      <c r="Q28" s="1310"/>
      <c r="R28" s="1312"/>
      <c r="V28" s="1279" t="e">
        <f>COUNTIFS([1]SurveyDATA_1!E$1:E$65536,"*BANCAL*",[1]SurveyDATA_1!AS$1:AS$65536,"Y",[1]SurveyDATA_1!BN$1:BN$65536,"*Structure Owner*",[1]SurveyDATA_1!FQ$1:FQ$65536,"*Stay*")</f>
        <v>#VALUE!</v>
      </c>
      <c r="W28" s="1279" t="e">
        <f>COUNTIFS([1]SurveyDATA_1!E$1:E$65536,"*BANCAL*",[1]SurveyDATA_1!AS$1:AS$65536,"Y",[1]SurveyDATA_1!BN$1:BN$65536,"*Structure Owner*",[1]SurveyDATA_1!FQ$1:FQ$65536,"*NEED*")</f>
        <v>#VALUE!</v>
      </c>
      <c r="X28" s="1279" t="e">
        <f>COUNTIFS([1]SurveyDATA_1!E$1:E$65536,"*BANCAL*",[1]SurveyDATA_1!AS$1:AS$65536,"Y",[1]SurveyDATA_1!FQ$1:FQ$65536,"*Stay*",[1]SurveyDATA_1!IP$1:IP$65536,"OWNER")</f>
        <v>#VALUE!</v>
      </c>
      <c r="Y28" s="1280" t="e">
        <f>COUNTIFS([1]SurveyDATA_1!E$1:E$65536,"*BANCAL*",[1]SurveyDATA_1!AS$1:AS$65536,"Y",[1]SurveyDATA_1!FQ$1:FQ$65536,"*NEED*",[1]SurveyDATA_1!IP$1:IP$65536,"OWNER")</f>
        <v>#VALUE!</v>
      </c>
      <c r="Z28" s="1279" t="e">
        <f>COUNTIFS([1]SurveyDATA_1!E$1:E$65536,"*BANCAL*",[1]SurveyDATA_1!AS$1:AS$65536,"Y",[1]SurveyDATA_1!BM$1:BM$65536,"*INSTITUTIONAL*",[1]SurveyDATA_1!FQ$1:FQ$65536,"*STAY*")</f>
        <v>#VALUE!</v>
      </c>
      <c r="AA28" s="1279" t="e">
        <f>COUNTIFS([1]SurveyDATA_1!E$1:E$65536,"*BANCAL*",[1]SurveyDATA_1!AS$1:AS$65536,"Y",[1]SurveyDATA_1!BM$1:BM$65536,"*INSTITUTIONAL*",[1]SurveyDATA_1!FQ$1:FQ$65536,"*STAY*")</f>
        <v>#VALUE!</v>
      </c>
      <c r="AB28" s="1279" t="e">
        <f>COUNTIFS([1]SurveyDATA_1!E$1:E$65536,"*BANCAL*",[1]SurveyDATA_1!BN$1:BN$65536,"RENTER",[1]SurveyDATA_1!FQ$1:FQ$65536,"*STAY*")</f>
        <v>#VALUE!</v>
      </c>
      <c r="AC28" s="1279" t="e">
        <f>COUNTIFS([1]SurveyDATA_1!E$1:E$65536,"*BANCAL*",[1]SurveyDATA_1!BN$1:BN$65536,"RENTER",[1]SurveyDATA_1!FQ$1:FQ$65536,"*NEED*")</f>
        <v>#VALUE!</v>
      </c>
      <c r="AD28" s="572"/>
      <c r="AE28" s="572"/>
      <c r="AF28" s="1279" t="e">
        <f>COUNTIFS([1]SurveyDATA_1!E$1:E$65536,"*BANCAL*",[1]SurveyDATA_1!AK$1:AK$65536,"*LAND OWNER*",[1]SurveyDATA_1!AS$1:AS$65536,"Y",[1]SurveyDATA_1!AN$1:AN$65536,"&lt;20%")</f>
        <v>#VALUE!</v>
      </c>
      <c r="AG28" s="1279" t="e">
        <f>COUNTIFS([1]SurveyDATA_1!E$1:E$65536,"*BANCAL*",[1]SurveyDATA_1!AK$1:AK$65536,"*LAND OWNER*",[1]SurveyDATA_1!AS$1:AS$65536,"Y",[1]SurveyDATA_1!AN$1:AN$65536,"&gt;19.99%")</f>
        <v>#VALUE!</v>
      </c>
      <c r="AH28" s="1279" t="e">
        <f>COUNTIFS([1]SurveyDATA_1!E$1:E$65536,"*BANCAL*",[1]SurveyDATA_1!BM$1:BM$65536,"Commercial",[1]SurveyDATA_1!BN$1:BN$65536,"Commercial Tenant",[1]SurveyDATA_1!BR$1:BR$65536,"&lt;20%")</f>
        <v>#VALUE!</v>
      </c>
      <c r="AI28" s="1279" t="e">
        <f>COUNTIFS([1]SurveyDATA_1!E$1:E$65536,"*BANCAL*",[1]SurveyDATA_1!BM$1:BM$65536,"Commercial",[1]SurveyDATA_1!BN$1:BN$65536,"Commercial Tenant",[1]SurveyDATA_1!BR$1:BR$65536,"&gt;19.99%")</f>
        <v>#VALUE!</v>
      </c>
      <c r="AJ28" s="1281">
        <v>0</v>
      </c>
      <c r="AK28" s="1281">
        <v>0</v>
      </c>
      <c r="AL28" s="1279" t="e">
        <f>SUMIFS([1]SurveyDATA_1!#REF!,[1]SurveyDATA_1!E$1:E$65536,"*BANCAL*",[1]SurveyDATA_1!BM$1:BM$65536,"Commercial",[1]SurveyDATA_1!BN$1:BN$65536,"Commercial Tenant",[1]SurveyDATA_1!BR$1:BR$65536,"&lt;20%")</f>
        <v>#REF!</v>
      </c>
      <c r="AM28" s="1279" t="e">
        <f>SUMIFS([1]SurveyDATA_1!#REF!,[1]SurveyDATA_1!E$1:E$65536,"*BANCAL*",[1]SurveyDATA_1!BM$1:BM$65536,"Commercial",[1]SurveyDATA_1!BN$1:BN$65536,"Commercial Tenant",[1]SurveyDATA_1!BR$1:BR$65536,"&gt;19.99%")</f>
        <v>#REF!</v>
      </c>
      <c r="AN28" s="1282" t="e">
        <f t="shared" si="22"/>
        <v>#REF!</v>
      </c>
      <c r="AO28" s="1282" t="e">
        <f t="shared" si="22"/>
        <v>#REF!</v>
      </c>
      <c r="AR28" s="572"/>
      <c r="AS28" s="574" t="s">
        <v>7216</v>
      </c>
      <c r="AT28" s="638" t="e">
        <f>SUM(AT25:AT27)</f>
        <v>#VALUE!</v>
      </c>
      <c r="AU28" s="638" t="e">
        <f t="shared" ref="AU28:BA28" si="23">SUM(AU25:AU27)</f>
        <v>#VALUE!</v>
      </c>
      <c r="AV28" s="638" t="e">
        <f t="shared" si="23"/>
        <v>#VALUE!</v>
      </c>
      <c r="AW28" s="638" t="e">
        <f t="shared" si="23"/>
        <v>#VALUE!</v>
      </c>
      <c r="AX28" s="638">
        <f t="shared" si="23"/>
        <v>0</v>
      </c>
      <c r="AY28" s="1289">
        <f t="shared" si="23"/>
        <v>0</v>
      </c>
      <c r="AZ28" s="1285" t="e">
        <f t="shared" si="23"/>
        <v>#VALUE!</v>
      </c>
      <c r="BA28" s="1286" t="e">
        <f t="shared" si="23"/>
        <v>#VALUE!</v>
      </c>
    </row>
    <row r="29" spans="1:53">
      <c r="L29" s="1309" t="s">
        <v>12672</v>
      </c>
      <c r="M29" s="1310" t="e">
        <f>COUNTIFS([1]SurveyDATA!AT$1:AT$65536,"Y",[1]SurveyDATA!BN$1:BN$65536,"*MIXED*",[1]SurveyDATA!BO$1:BO$65536,"*STRUCTURE OWNER*",[1]SurveyDATA!FR$1:FR$65536,"*NEED*")</f>
        <v>#VALUE!</v>
      </c>
      <c r="N29" s="1310" t="e">
        <f>COUNTIFS([1]SurveyDATA!AT$1:AT$65536,"",[1]SurveyDATA!BN$1:BN$65536,"*MIXED*",[1]SurveyDATA!BO$1:BO$65536,"*STRUCTURE OWNER*",[1]SurveyDATA!FR$1:FR$65536,"*NEED*")</f>
        <v>#VALUE!</v>
      </c>
      <c r="O29" s="1311" t="e">
        <f>SUM(M29:N29)</f>
        <v>#VALUE!</v>
      </c>
      <c r="P29" s="1310"/>
      <c r="Q29" s="1310"/>
      <c r="R29" s="1312"/>
      <c r="V29" s="575" t="e">
        <f t="shared" ref="V29:AO29" si="24">SUM(V26:V28)</f>
        <v>#VALUE!</v>
      </c>
      <c r="W29" s="575" t="e">
        <f t="shared" si="24"/>
        <v>#VALUE!</v>
      </c>
      <c r="X29" s="575" t="e">
        <f t="shared" si="24"/>
        <v>#VALUE!</v>
      </c>
      <c r="Y29" s="575" t="e">
        <f t="shared" si="24"/>
        <v>#VALUE!</v>
      </c>
      <c r="Z29" s="575" t="e">
        <f t="shared" si="24"/>
        <v>#VALUE!</v>
      </c>
      <c r="AA29" s="575" t="e">
        <f t="shared" si="24"/>
        <v>#VALUE!</v>
      </c>
      <c r="AB29" s="575" t="e">
        <f t="shared" si="24"/>
        <v>#VALUE!</v>
      </c>
      <c r="AC29" s="575" t="e">
        <f t="shared" si="24"/>
        <v>#VALUE!</v>
      </c>
      <c r="AD29" s="575">
        <f t="shared" si="24"/>
        <v>0</v>
      </c>
      <c r="AE29" s="575">
        <f t="shared" si="24"/>
        <v>0</v>
      </c>
      <c r="AF29" s="575" t="e">
        <f t="shared" si="24"/>
        <v>#VALUE!</v>
      </c>
      <c r="AG29" s="575" t="e">
        <f t="shared" si="24"/>
        <v>#VALUE!</v>
      </c>
      <c r="AH29" s="575" t="e">
        <f t="shared" si="24"/>
        <v>#VALUE!</v>
      </c>
      <c r="AI29" s="575" t="e">
        <f t="shared" si="24"/>
        <v>#VALUE!</v>
      </c>
      <c r="AJ29" s="575">
        <f t="shared" si="24"/>
        <v>0</v>
      </c>
      <c r="AK29" s="575">
        <f t="shared" si="24"/>
        <v>0</v>
      </c>
      <c r="AL29" s="575" t="e">
        <f t="shared" si="24"/>
        <v>#REF!</v>
      </c>
      <c r="AM29" s="575" t="e">
        <f t="shared" si="24"/>
        <v>#REF!</v>
      </c>
      <c r="AN29" s="575" t="e">
        <f t="shared" si="24"/>
        <v>#REF!</v>
      </c>
      <c r="AO29" s="575" t="e">
        <f t="shared" si="24"/>
        <v>#REF!</v>
      </c>
      <c r="AR29" s="572" t="s">
        <v>778</v>
      </c>
      <c r="AS29" s="573" t="s">
        <v>12660</v>
      </c>
      <c r="AT29" s="1283" t="e">
        <f>COUNTIFS([1]SurveyDATA_1!E$1:E$65536,"*MALANDAY*",[1]SurveyDATA_1!BM$1:BM$65536,"*RESIDENTIAL*",[1]SurveyDATA_1!AS$1:AS$65536,"",[1]SurveyDATA_1!BN$1:BN$65536,"*Structure Owner*",[1]SurveyDATA_1!FQ$1:FQ$65536,"*STAY*")</f>
        <v>#VALUE!</v>
      </c>
      <c r="AU29" s="1284" t="e">
        <f>COUNTIFS([1]SurveyDATA_1!E$1:E$65536,"*MALANDAY*",[1]SurveyDATA_1!BM$1:BM$65536,"*RESIDENTIAL*",[1]SurveyDATA_1!AS$1:AS$65536,"",[1]SurveyDATA_1!BN$1:BN$65536,"*Structure Owner*",[1]SurveyDATA_1!FQ$1:FQ$65536,"*NEED*")</f>
        <v>#VALUE!</v>
      </c>
      <c r="AV29" s="1284" t="e">
        <f>COUNTIFS([1]SurveyDATA_1!E$1:E$65536,"*MALANDAY*",[1]SurveyDATA_1!AS$1:AS$65536,"",[1]SurveyDATA_1!FQ$1:FQ$65536,"*STAY*",[1]SurveyDATA_1!IP$1:IP$65536,"OWNER",[1]SurveyDATA_1!IR$1:IR$65536,"*")</f>
        <v>#VALUE!</v>
      </c>
      <c r="AW29" s="1284" t="e">
        <f>COUNTIFS([1]SurveyDATA_1!E$1:E$65536,"*MALANDAY*",[1]SurveyDATA_1!AS$1:AS$65536,"",[1]SurveyDATA_1!FQ$1:FQ$65536,"*NEED*",[1]SurveyDATA_1!IP$1:IP$65536,"OWNER",[1]SurveyDATA_1!IR$1:IR$65536,"*")</f>
        <v>#VALUE!</v>
      </c>
      <c r="AX29" s="1313"/>
      <c r="AY29" s="1314"/>
      <c r="AZ29" s="1285" t="e">
        <f t="shared" ref="AZ29:BA31" si="25">SUM(AT29,AV29,AX29,)</f>
        <v>#VALUE!</v>
      </c>
      <c r="BA29" s="1286" t="e">
        <f t="shared" si="25"/>
        <v>#VALUE!</v>
      </c>
    </row>
    <row r="30" spans="1:53">
      <c r="L30" s="1315" t="s">
        <v>12285</v>
      </c>
      <c r="M30" s="1316" t="e">
        <f>SUM(M27:M29)</f>
        <v>#VALUE!</v>
      </c>
      <c r="N30" s="1316" t="e">
        <f>SUM(N27:N29)</f>
        <v>#VALUE!</v>
      </c>
      <c r="O30" s="1317" t="e">
        <f>SUM(O27:O29)</f>
        <v>#VALUE!</v>
      </c>
      <c r="P30" s="1316"/>
      <c r="Q30" s="1316"/>
      <c r="R30" s="1318"/>
      <c r="V30" s="1279" t="e">
        <f>COUNTIFS([1]SurveyDATA_1!E$1:E$65536,"*MALANDAY*",[1]SurveyDATA_1!AS$1:AS$65536,"Y",[1]SurveyDATA_1!BN$1:BN$65536,"*Structure Owner*",[1]SurveyDATA_1!FQ$1:FQ$65536,"*Stay*")</f>
        <v>#VALUE!</v>
      </c>
      <c r="W30" s="1279" t="e">
        <f>COUNTIFS([1]SurveyDATA_1!E$1:E$65536,"*MALANDAY*",[1]SurveyDATA_1!AS$1:AS$65536,"Y",[1]SurveyDATA_1!BN$1:BN$65536,"*Structure Owner*",[1]SurveyDATA_1!FQ$1:FQ$65536,"*NEED*")</f>
        <v>#VALUE!</v>
      </c>
      <c r="X30" s="1279" t="e">
        <f>COUNTIFS([1]SurveyDATA_1!E$1:E$65536,"*MALANDAY*",[1]SurveyDATA_1!AS$1:AS$65536,"Y",[1]SurveyDATA_1!FQ$1:FQ$65536,"*Stay*",[1]SurveyDATA_1!IP$1:IP$65536,"OWNER")</f>
        <v>#VALUE!</v>
      </c>
      <c r="Y30" s="1280" t="e">
        <f>COUNTIFS([1]SurveyDATA_1!E$1:E$65536,"*MALANDAY*",[1]SurveyDATA_1!AS$1:AS$65536,"Y",[1]SurveyDATA_1!FQ$1:FQ$65536,"*NEED*",[1]SurveyDATA_1!IP$1:IP$65536,"OWNER")</f>
        <v>#VALUE!</v>
      </c>
      <c r="Z30" s="1279" t="e">
        <f>COUNTIFS([1]SurveyDATA_1!E$1:E$65536,"*MALANDAY*",[1]SurveyDATA_1!AS$1:AS$65536,"Y",[1]SurveyDATA_1!BM$1:BM$65536,"*INSTITUTIONAL*",[1]SurveyDATA_1!FQ$1:FQ$65536,"*STAY*")</f>
        <v>#VALUE!</v>
      </c>
      <c r="AA30" s="1279" t="e">
        <f>COUNTIFS([1]SurveyDATA_1!E$1:E$65536,"*MALANDAY*",[1]SurveyDATA_1!AS$1:AS$65536,"Y",[1]SurveyDATA_1!BM$1:BM$65536,"*INSTITUTIONAL*",[1]SurveyDATA_1!FQ$1:FQ$65536,"*STAY*")</f>
        <v>#VALUE!</v>
      </c>
      <c r="AB30" s="1279" t="e">
        <f>COUNTIFS([1]SurveyDATA_1!E$1:E$65536,"*MALANDAY*",[1]SurveyDATA_1!BN$1:BN$65536,"RENTER",[1]SurveyDATA_1!FQ$1:FQ$65536,"*STAY*")</f>
        <v>#VALUE!</v>
      </c>
      <c r="AC30" s="1279" t="e">
        <f>COUNTIFS([1]SurveyDATA_1!E$1:E$65536,"*MALANDAY*",[1]SurveyDATA_1!BN$1:BN$65536,"RENTER",[1]SurveyDATA_1!FQ$1:FQ$65536,"*NEED*")</f>
        <v>#VALUE!</v>
      </c>
      <c r="AD30" s="572"/>
      <c r="AE30" s="572"/>
      <c r="AF30" s="1279" t="e">
        <f>COUNTIFS([1]SurveyDATA_1!E$1:E$65536,"*MALANDAY*",[1]SurveyDATA_1!AK$1:AK$65536,"*LAND OWNER*",[1]SurveyDATA_1!AS$1:AS$65536,"Y",[1]SurveyDATA_1!AN$1:AN$65536,"&lt;20%")</f>
        <v>#VALUE!</v>
      </c>
      <c r="AG30" s="1279" t="e">
        <f>COUNTIFS([1]SurveyDATA_1!E$1:E$65536,"*MALANDAY*",[1]SurveyDATA_1!AK$1:AK$65536,"*LAND OWNER*",[1]SurveyDATA_1!AS$1:AS$65536,"Y",[1]SurveyDATA_1!AN$1:AN$65536,"&gt;19.99%")</f>
        <v>#VALUE!</v>
      </c>
      <c r="AH30" s="1279" t="e">
        <f>COUNTIFS([1]SurveyDATA_1!E$1:E$65536,"*MALANDAY*",[1]SurveyDATA_1!BM$1:BM$65536,"Commercial",[1]SurveyDATA_1!BN$1:BN$65536,"Commercial Tenant",[1]SurveyDATA_1!BR$1:BR$65536,"&lt;20%")</f>
        <v>#VALUE!</v>
      </c>
      <c r="AI30" s="1279" t="e">
        <f>COUNTIFS([1]SurveyDATA_1!E$1:E$65536,"*IBAYMALANDAYO*",[1]SurveyDATA_1!BM$1:BM$65536,"Commercial",[1]SurveyDATA_1!BN$1:BN$65536,"Commercial Tenant",[1]SurveyDATA_1!BR$1:BR$65536,"&gt;19.99%")</f>
        <v>#VALUE!</v>
      </c>
      <c r="AJ30" s="1281">
        <v>0</v>
      </c>
      <c r="AK30" s="1281">
        <v>0</v>
      </c>
      <c r="AL30" s="1279" t="e">
        <f>SUMIFS([1]SurveyDATA_1!#REF!,[1]SurveyDATA_1!E$1:E$65536,"*MALANDAY*",[1]SurveyDATA_1!BM$1:BM$65536,"Commercial",[1]SurveyDATA_1!BN$1:BN$65536,"Commercial Tenant",[1]SurveyDATA_1!BR$1:BR$65536,"&lt;20%")</f>
        <v>#REF!</v>
      </c>
      <c r="AM30" s="1279" t="e">
        <f>SUMIFS([1]SurveyDATA_1!#REF!,[1]SurveyDATA_1!E$1:E$65536,"*MALANDAY*",[1]SurveyDATA_1!BM$1:BM$65536,"Commercial",[1]SurveyDATA_1!BN$1:BN$65536,"Commercial Tenant",[1]SurveyDATA_1!BR$1:BR$65536,"&gt;19.99%")</f>
        <v>#REF!</v>
      </c>
      <c r="AN30" s="1282" t="e">
        <f t="shared" ref="AN30:AO32" si="26">SUM(AL30,AJ30,AH30,AF30,AD30,AB30,Z30,X30,V30)</f>
        <v>#REF!</v>
      </c>
      <c r="AO30" s="1282" t="e">
        <f t="shared" si="26"/>
        <v>#REF!</v>
      </c>
      <c r="AR30" s="572"/>
      <c r="AS30" s="573" t="s">
        <v>5818</v>
      </c>
      <c r="AT30" s="1283" t="e">
        <f>COUNTIFS([1]SurveyDATA_1!E$1:E$65536,"*DALANDANAN*",[1]SurveyDATA_1!BM$1:BM$65536,"*RESIDENTIAL*",[1]SurveyDATA_1!AS$1:AS$65536,"",[1]SurveyDATA_1!BN$1:BN$65536,"*Structure Owner*",[1]SurveyDATA_1!FQ$1:FQ$65536,"*STAY*")</f>
        <v>#VALUE!</v>
      </c>
      <c r="AU30" s="1284" t="e">
        <f>COUNTIFS([1]SurveyDATA_1!E$1:E$65536,"*DALANDANAN*",[1]SurveyDATA_1!BM$1:BM$65536,"*RESIDENTIAL*",[1]SurveyDATA_1!AS$1:AS$65536,"",[1]SurveyDATA_1!BN$1:BN$65536,"*Structure Owner*",[1]SurveyDATA_1!FQ$1:FQ$65536,"*NEED*")</f>
        <v>#VALUE!</v>
      </c>
      <c r="AV30" s="1284" t="e">
        <f>COUNTIFS([1]SurveyDATA_1!E$1:E$65536,"*DALANDANAN*",[1]SurveyDATA_1!AS$1:AS$65536,"",[1]SurveyDATA_1!FQ$1:FQ$65536,"*STAY*",[1]SurveyDATA_1!IP$1:IP$65536,"OWNER",[1]SurveyDATA_1!IR$1:IR$65536,"*")</f>
        <v>#VALUE!</v>
      </c>
      <c r="AW30" s="1284" t="e">
        <f>COUNTIFS([1]SurveyDATA_1!E$1:E$65536,"*DALANDANAN*",[1]SurveyDATA_1!AS$1:AS$65536,"",[1]SurveyDATA_1!FQ$1:FQ$65536,"*NEED*",[1]SurveyDATA_1!IP$1:IP$65536,"OWNER",[1]SurveyDATA_1!IR$1:IR$65536,"*")</f>
        <v>#VALUE!</v>
      </c>
      <c r="AX30" s="1313"/>
      <c r="AY30" s="1314"/>
      <c r="AZ30" s="1285" t="e">
        <f t="shared" si="25"/>
        <v>#VALUE!</v>
      </c>
      <c r="BA30" s="1286" t="e">
        <f t="shared" si="25"/>
        <v>#VALUE!</v>
      </c>
    </row>
    <row r="31" spans="1:53">
      <c r="L31" s="1305" t="s">
        <v>12286</v>
      </c>
      <c r="M31" s="1319"/>
      <c r="N31" s="1319"/>
      <c r="O31" s="1319"/>
      <c r="P31" s="1319"/>
      <c r="Q31" s="1319"/>
      <c r="R31" s="1320"/>
      <c r="V31" s="1279" t="e">
        <f>COUNTIFS([1]SurveyDATA_1!E$1:E$65536,"*DALANDANAN*",[1]SurveyDATA_1!AS$1:AS$65536,"Y",[1]SurveyDATA_1!BN$1:BN$65536,"*Structure Owner*",[1]SurveyDATA_1!FQ$1:FQ$65536,"*Stay*")</f>
        <v>#VALUE!</v>
      </c>
      <c r="W31" s="1279" t="e">
        <f>COUNTIFS([1]SurveyDATA_1!E$1:E$65536,"*DALANDANAN*",[1]SurveyDATA_1!AS$1:AS$65536,"Y",[1]SurveyDATA_1!BN$1:BN$65536,"*Structure Owner*",[1]SurveyDATA_1!FQ$1:FQ$65536,"*NEED*")</f>
        <v>#VALUE!</v>
      </c>
      <c r="X31" s="1279" t="e">
        <f>COUNTIFS([1]SurveyDATA_1!E$1:E$65536,"*DALANDANAN*",[1]SurveyDATA_1!AS$1:AS$65536,"Y",[1]SurveyDATA_1!FQ$1:FQ$65536,"*Stay*",[1]SurveyDATA_1!IP$1:IP$65536,"OWNER")</f>
        <v>#VALUE!</v>
      </c>
      <c r="Y31" s="1280" t="e">
        <f>COUNTIFS([1]SurveyDATA_1!E$1:E$65536,"*DALANDANAN*",[1]SurveyDATA_1!AS$1:AS$65536,"Y",[1]SurveyDATA_1!FQ$1:FQ$65536,"*NEED*",[1]SurveyDATA_1!IP$1:IP$65536,"OWNER")</f>
        <v>#VALUE!</v>
      </c>
      <c r="Z31" s="1279" t="e">
        <f>COUNTIFS([1]SurveyDATA_1!E$1:E$65536,"*DALANDANAN*",[1]SurveyDATA_1!AS$1:AS$65536,"Y",[1]SurveyDATA_1!BM$1:BM$65536,"*INSTITUTIONAL*",[1]SurveyDATA_1!FQ$1:FQ$65536,"*STAY*")</f>
        <v>#VALUE!</v>
      </c>
      <c r="AA31" s="1279" t="e">
        <f>COUNTIFS([1]SurveyDATA_1!E$1:E$65536,"*DALANDANAN*",[1]SurveyDATA_1!AS$1:AS$65536,"Y",[1]SurveyDATA_1!BM$1:BM$65536,"*INSTITUTIONAL*",[1]SurveyDATA_1!FQ$1:FQ$65536,"*STAY*")</f>
        <v>#VALUE!</v>
      </c>
      <c r="AB31" s="1279" t="e">
        <f>COUNTIFS([1]SurveyDATA_1!E$1:E$65536,"*DALANDANAN*",[1]SurveyDATA_1!BN$1:BN$65536,"RENTER",[1]SurveyDATA_1!FQ$1:FQ$65536,"*STAY*")</f>
        <v>#VALUE!</v>
      </c>
      <c r="AC31" s="1279" t="e">
        <f>COUNTIFS([1]SurveyDATA_1!E$1:E$65536,"*DALANDANAN*",[1]SurveyDATA_1!BN$1:BN$65536,"RENTER",[1]SurveyDATA_1!FQ$1:FQ$65536,"*NEED*")</f>
        <v>#VALUE!</v>
      </c>
      <c r="AD31" s="572"/>
      <c r="AE31" s="572"/>
      <c r="AF31" s="1279" t="e">
        <f>COUNTIFS([1]SurveyDATA_1!E$1:E$65536,"*DALANDANAN*",[1]SurveyDATA_1!AK$1:AK$65536,"*LAND OWNER*",[1]SurveyDATA_1!AS$1:AS$65536,"Y",[1]SurveyDATA_1!AN$1:AN$65536,"&lt;20%")</f>
        <v>#VALUE!</v>
      </c>
      <c r="AG31" s="1279" t="e">
        <f>COUNTIFS([1]SurveyDATA_1!E$1:E$65536,"*DALANDANAN*",[1]SurveyDATA_1!AK$1:AK$65536,"*LAND OWNER*",[1]SurveyDATA_1!AS$1:AS$65536,"Y",[1]SurveyDATA_1!AN$1:AN$65536,"&gt;19.99%")</f>
        <v>#VALUE!</v>
      </c>
      <c r="AH31" s="1279" t="e">
        <f>COUNTIFS([1]SurveyDATA_1!E$1:E$65536,"*DALANDANAN*",[1]SurveyDATA_1!BM$1:BM$65536,"Commercial",[1]SurveyDATA_1!BN$1:BN$65536,"Commercial Tenant",[1]SurveyDATA_1!BR$1:BR$65536,"&lt;20%")</f>
        <v>#VALUE!</v>
      </c>
      <c r="AI31" s="1279" t="e">
        <f>COUNTIFS([1]SurveyDATA_1!E$1:E$65536,"*DALANDANAN*",[1]SurveyDATA_1!BM$1:BM$65536,"Commercial",[1]SurveyDATA_1!BN$1:BN$65536,"Commercial Tenant",[1]SurveyDATA_1!BR$1:BR$65536,"&gt;19.99%")</f>
        <v>#VALUE!</v>
      </c>
      <c r="AJ31" s="1281">
        <v>0</v>
      </c>
      <c r="AK31" s="1281">
        <v>0</v>
      </c>
      <c r="AL31" s="1279" t="e">
        <f>SUMIFS([1]SurveyDATA_1!#REF!,[1]SurveyDATA_1!E$1:E$65536,"*DALANDANAN*",[1]SurveyDATA_1!BM$1:BM$65536,"Commercial",[1]SurveyDATA_1!BN$1:BN$65536,"Commercial Tenant",[1]SurveyDATA_1!BR$1:BR$65536,"&lt;20%")</f>
        <v>#REF!</v>
      </c>
      <c r="AM31" s="1279" t="e">
        <f>SUMIFS([1]SurveyDATA_1!#REF!,[1]SurveyDATA_1!E$1:E$65536,"*DALANDANAN*",[1]SurveyDATA_1!BM$1:BM$65536,"Commercial",[1]SurveyDATA_1!BN$1:BN$65536,"Commercial Tenant",[1]SurveyDATA_1!BR$1:BR$65536,"&gt;19.99%")</f>
        <v>#REF!</v>
      </c>
      <c r="AN31" s="1282" t="e">
        <f t="shared" si="26"/>
        <v>#REF!</v>
      </c>
      <c r="AO31" s="1282" t="e">
        <f t="shared" si="26"/>
        <v>#REF!</v>
      </c>
      <c r="AR31" s="572"/>
      <c r="AS31" s="573" t="s">
        <v>5392</v>
      </c>
      <c r="AT31" s="1283" t="e">
        <f>COUNTIFS([1]SurveyDATA_1!E$1:E$65536,"*MALINTA*",[1]SurveyDATA_1!BM$1:BM$65536,"*RESIDENTIAL*",[1]SurveyDATA_1!AS$1:AS$65536,"",[1]SurveyDATA_1!BN$1:BN$65536,"*Structure Owner*",[1]SurveyDATA_1!FQ$1:FQ$65536,"*STAY*")</f>
        <v>#VALUE!</v>
      </c>
      <c r="AU31" s="1284" t="e">
        <f>COUNTIFS([1]SurveyDATA_1!E$1:E$65536,"*MALINTA*",[1]SurveyDATA_1!BM$1:BM$65536,"*RESIDENTIAL*",[1]SurveyDATA_1!AS$1:AS$65536,"",[1]SurveyDATA_1!BN$1:BN$65536,"*Structure Owner*",[1]SurveyDATA_1!FQ$1:FQ$65536,"*NEED*")</f>
        <v>#VALUE!</v>
      </c>
      <c r="AV31" s="1284" t="e">
        <f>COUNTIFS([1]SurveyDATA_1!E$1:E$65536,"*MALINTA*",[1]SurveyDATA_1!AS$1:AS$65536,"",[1]SurveyDATA_1!FQ$1:FQ$65536,"*STAY*",[1]SurveyDATA_1!IP$1:IP$65536,"OWNER",[1]SurveyDATA_1!IR$1:IR$65536,"*")</f>
        <v>#VALUE!</v>
      </c>
      <c r="AW31" s="1284" t="e">
        <f>COUNTIFS([1]SurveyDATA_1!E$1:E$65536,"*MALINTA*",[1]SurveyDATA_1!AS$1:AS$65536,"",[1]SurveyDATA_1!FQ$1:FQ$65536,"*NEED*",[1]SurveyDATA_1!IP$1:IP$65536,"OWNER",[1]SurveyDATA_1!IR$1:IR$65536,"*")</f>
        <v>#VALUE!</v>
      </c>
      <c r="AX31" s="1313"/>
      <c r="AY31" s="1314"/>
      <c r="AZ31" s="1285" t="e">
        <f t="shared" si="25"/>
        <v>#VALUE!</v>
      </c>
      <c r="BA31" s="1286" t="e">
        <f t="shared" si="25"/>
        <v>#VALUE!</v>
      </c>
    </row>
    <row r="32" spans="1:53">
      <c r="L32" s="1309" t="s">
        <v>1096</v>
      </c>
      <c r="M32" s="1310" t="e">
        <f>COUNTIFS([1]SurveyDATA!AT$1:AT$65536,"Y",[1]SurveyDATA!BN$1:BN$65536,"*RESIDENTIAL*",[1]SurveyDATA!BO$1:BO$65536,"*STRUCTURE OWNER*",[1]SurveyDATA!FR$1:FR$65536,"*STAY*")</f>
        <v>#VALUE!</v>
      </c>
      <c r="N32" s="1310" t="e">
        <f>COUNTIFS([1]SurveyDATA!AT$1:AT$65536,"",[1]SurveyDATA!BN$1:BN$65536,"*RESIDENTIAL*",[1]SurveyDATA!BO$1:BO$65536,"*STRUCTURE OWNER*",[1]SurveyDATA!FR$1:FR$65536,"*STAY*")</f>
        <v>#VALUE!</v>
      </c>
      <c r="O32" s="1311" t="e">
        <f t="shared" ref="O32:O39" si="27">SUM(M32:N32)</f>
        <v>#VALUE!</v>
      </c>
      <c r="P32" s="1310"/>
      <c r="Q32" s="1310"/>
      <c r="R32" s="1312"/>
      <c r="V32" s="1279" t="e">
        <f>COUNTIFS([1]SurveyDATA_1!E$1:E$65536,"*MALINTA*",[1]SurveyDATA_1!AS$1:AS$65536,"Y",[1]SurveyDATA_1!BN$1:BN$65536,"*Structure Owner*",[1]SurveyDATA_1!FQ$1:FQ$65536,"*Stay*")</f>
        <v>#VALUE!</v>
      </c>
      <c r="W32" s="1279" t="e">
        <f>COUNTIFS([1]SurveyDATA_1!E$1:E$65536,"*MALINTA*",[1]SurveyDATA_1!AS$1:AS$65536,"Y",[1]SurveyDATA_1!BN$1:BN$65536,"*Structure Owner*",[1]SurveyDATA_1!FQ$1:FQ$65536,"*NEED*")</f>
        <v>#VALUE!</v>
      </c>
      <c r="X32" s="1279" t="e">
        <f>COUNTIFS([1]SurveyDATA_1!E$1:E$65536,"*MALINTA*",[1]SurveyDATA_1!AS$1:AS$65536,"Y",[1]SurveyDATA_1!FQ$1:FQ$65536,"*Stay*",[1]SurveyDATA_1!IP$1:IP$65536,"OWNER")</f>
        <v>#VALUE!</v>
      </c>
      <c r="Y32" s="1280" t="e">
        <f>COUNTIFS([1]SurveyDATA_1!E$1:E$65536,"*MALINTA*",[1]SurveyDATA_1!AS$1:AS$65536,"Y",[1]SurveyDATA_1!FQ$1:FQ$65536,"*NEED*",[1]SurveyDATA_1!IP$1:IP$65536,"OWNER")</f>
        <v>#VALUE!</v>
      </c>
      <c r="Z32" s="1279" t="e">
        <f>COUNTIFS([1]SurveyDATA_1!E$1:E$65536,"*MALINTA*",[1]SurveyDATA_1!AS$1:AS$65536,"Y",[1]SurveyDATA_1!BM$1:BM$65536,"*INSTITUTIONAL*",[1]SurveyDATA_1!FQ$1:FQ$65536,"*STAY*")</f>
        <v>#VALUE!</v>
      </c>
      <c r="AA32" s="1279" t="e">
        <f>COUNTIFS([1]SurveyDATA_1!E$1:E$65536,"*MALINTA*",[1]SurveyDATA_1!AS$1:AS$65536,"Y",[1]SurveyDATA_1!BM$1:BM$65536,"*INSTITUTIONAL*",[1]SurveyDATA_1!FQ$1:FQ$65536,"*STAY*")</f>
        <v>#VALUE!</v>
      </c>
      <c r="AB32" s="1279" t="e">
        <f>COUNTIFS([1]SurveyDATA_1!E$1:E$65536,"*MALINTA*",[1]SurveyDATA_1!BN$1:BN$65536,"RENTER",[1]SurveyDATA_1!FQ$1:FQ$65536,"*STAY*")</f>
        <v>#VALUE!</v>
      </c>
      <c r="AC32" s="1279" t="e">
        <f>COUNTIFS([1]SurveyDATA_1!E$1:E$65536,"*MALINTA*",[1]SurveyDATA_1!BN$1:BN$65536,"RENTER",[1]SurveyDATA_1!FQ$1:FQ$65536,"*NEED*")</f>
        <v>#VALUE!</v>
      </c>
      <c r="AD32" s="572"/>
      <c r="AE32" s="572"/>
      <c r="AF32" s="1279" t="e">
        <f>COUNTIFS([1]SurveyDATA_1!E$1:E$65536,"*MALINTA*",[1]SurveyDATA_1!AK$1:AK$65536,"*LAND OWNER*",[1]SurveyDATA_1!AS$1:AS$65536,"Y",[1]SurveyDATA_1!AN$1:AN$65536,"&lt;20%")</f>
        <v>#VALUE!</v>
      </c>
      <c r="AG32" s="1279" t="e">
        <f>COUNTIFS([1]SurveyDATA_1!E$1:E$65536,"*MALINTA*",[1]SurveyDATA_1!AK$1:AK$65536,"*LAND OWNER*",[1]SurveyDATA_1!AS$1:AS$65536,"Y",[1]SurveyDATA_1!AN$1:AN$65536,"&gt;19.99%")</f>
        <v>#VALUE!</v>
      </c>
      <c r="AH32" s="1279" t="e">
        <f>COUNTIFS([1]SurveyDATA_1!E$1:E$65536,"*MALINTA*",[1]SurveyDATA_1!BM$1:BM$65536,"Commercial",[1]SurveyDATA_1!BN$1:BN$65536,"Commercial Tenant",[1]SurveyDATA_1!BR$1:BR$65536,"&lt;20%")</f>
        <v>#VALUE!</v>
      </c>
      <c r="AI32" s="1279" t="e">
        <f>COUNTIFS([1]SurveyDATA_1!E$1:E$65536,"*MALINTA*",[1]SurveyDATA_1!BM$1:BM$65536,"Commercial",[1]SurveyDATA_1!BN$1:BN$65536,"Commercial Tenant",[1]SurveyDATA_1!BR$1:BR$65536,"&gt;19.99%")</f>
        <v>#VALUE!</v>
      </c>
      <c r="AJ32" s="1281">
        <v>0</v>
      </c>
      <c r="AK32" s="1281">
        <v>0</v>
      </c>
      <c r="AL32" s="1279" t="e">
        <f>SUMIFS([1]SurveyDATA_1!#REF!,[1]SurveyDATA_1!E$1:E$65536,"*MALINTA*",[1]SurveyDATA_1!BM$1:BM$65536,"Commercial",[1]SurveyDATA_1!BN$1:BN$65536,"Commercial Tenant",[1]SurveyDATA_1!BR$1:BR$65536,"&lt;20%")</f>
        <v>#REF!</v>
      </c>
      <c r="AM32" s="1279" t="e">
        <f>SUMIFS([1]SurveyDATA_1!#REF!,[1]SurveyDATA_1!E$1:E$65536,"*MALINTA*",[1]SurveyDATA_1!BM$1:BM$65536,"Commercial",[1]SurveyDATA_1!BN$1:BN$65536,"Commercial Tenant",[1]SurveyDATA_1!BR$1:BR$65536,"&gt;19.99%")</f>
        <v>#REF!</v>
      </c>
      <c r="AN32" s="1282" t="e">
        <f t="shared" si="26"/>
        <v>#REF!</v>
      </c>
      <c r="AO32" s="1282" t="e">
        <f t="shared" si="26"/>
        <v>#REF!</v>
      </c>
      <c r="AR32" s="572"/>
      <c r="AS32" s="574" t="s">
        <v>7216</v>
      </c>
      <c r="AT32" s="638" t="e">
        <f>SUM(AT29:AT31)</f>
        <v>#VALUE!</v>
      </c>
      <c r="AU32" s="638" t="e">
        <f>SUM(AU29:AU31)</f>
        <v>#VALUE!</v>
      </c>
      <c r="AV32" s="638" t="e">
        <f t="shared" ref="AV32:BA32" si="28">SUM(AV29:AV31)</f>
        <v>#VALUE!</v>
      </c>
      <c r="AW32" s="638" t="e">
        <f t="shared" si="28"/>
        <v>#VALUE!</v>
      </c>
      <c r="AX32" s="638">
        <f t="shared" si="28"/>
        <v>0</v>
      </c>
      <c r="AY32" s="1289">
        <f t="shared" si="28"/>
        <v>0</v>
      </c>
      <c r="AZ32" s="1285" t="e">
        <f t="shared" si="28"/>
        <v>#VALUE!</v>
      </c>
      <c r="BA32" s="1286" t="e">
        <f t="shared" si="28"/>
        <v>#VALUE!</v>
      </c>
    </row>
    <row r="33" spans="12:53">
      <c r="L33" s="1309" t="s">
        <v>12287</v>
      </c>
      <c r="M33" s="1310" t="e">
        <f>COUNTIFS([1]SurveyDATA!AT$1:AT$65536,"Y",[1]SurveyDATA!BN$1:BN$65536,"*COMMERCIAL*",[1]SurveyDATA!BO$1:BO$65536,"*STRUCTURE OWNER*",[1]SurveyDATA!FR$1:FR$65536,"*STAY*")</f>
        <v>#VALUE!</v>
      </c>
      <c r="N33" s="1310" t="e">
        <f>COUNTIFS([1]SurveyDATA!AT$1:AT$65536,"",[1]SurveyDATA!BN$1:BN$65536,"*COMMERCIAL*",[1]SurveyDATA!BO$1:BO$65536,"*STRUCTURE OWNER*",[1]SurveyDATA!FR$1:FR$65536,"*STAY*")</f>
        <v>#VALUE!</v>
      </c>
      <c r="O33" s="1311" t="e">
        <f t="shared" si="27"/>
        <v>#VALUE!</v>
      </c>
      <c r="P33" s="1310"/>
      <c r="Q33" s="1310"/>
      <c r="R33" s="1312"/>
      <c r="V33" s="575" t="e">
        <f t="shared" ref="V33:AO33" si="29">SUM(V30:V32)</f>
        <v>#VALUE!</v>
      </c>
      <c r="W33" s="575" t="e">
        <f t="shared" si="29"/>
        <v>#VALUE!</v>
      </c>
      <c r="X33" s="575" t="e">
        <f t="shared" si="29"/>
        <v>#VALUE!</v>
      </c>
      <c r="Y33" s="575" t="e">
        <f t="shared" si="29"/>
        <v>#VALUE!</v>
      </c>
      <c r="Z33" s="575" t="e">
        <f t="shared" si="29"/>
        <v>#VALUE!</v>
      </c>
      <c r="AA33" s="575" t="e">
        <f t="shared" si="29"/>
        <v>#VALUE!</v>
      </c>
      <c r="AB33" s="575" t="e">
        <f t="shared" si="29"/>
        <v>#VALUE!</v>
      </c>
      <c r="AC33" s="575" t="e">
        <f t="shared" si="29"/>
        <v>#VALUE!</v>
      </c>
      <c r="AD33" s="575">
        <f t="shared" si="29"/>
        <v>0</v>
      </c>
      <c r="AE33" s="575">
        <f t="shared" si="29"/>
        <v>0</v>
      </c>
      <c r="AF33" s="575" t="e">
        <f t="shared" si="29"/>
        <v>#VALUE!</v>
      </c>
      <c r="AG33" s="575" t="e">
        <f t="shared" si="29"/>
        <v>#VALUE!</v>
      </c>
      <c r="AH33" s="575" t="e">
        <f t="shared" si="29"/>
        <v>#VALUE!</v>
      </c>
      <c r="AI33" s="575" t="e">
        <f t="shared" si="29"/>
        <v>#VALUE!</v>
      </c>
      <c r="AJ33" s="575">
        <f t="shared" si="29"/>
        <v>0</v>
      </c>
      <c r="AK33" s="575">
        <f t="shared" si="29"/>
        <v>0</v>
      </c>
      <c r="AL33" s="575" t="e">
        <f t="shared" si="29"/>
        <v>#REF!</v>
      </c>
      <c r="AM33" s="575" t="e">
        <f t="shared" si="29"/>
        <v>#REF!</v>
      </c>
      <c r="AN33" s="575" t="e">
        <f t="shared" si="29"/>
        <v>#REF!</v>
      </c>
      <c r="AO33" s="575" t="e">
        <f t="shared" si="29"/>
        <v>#REF!</v>
      </c>
      <c r="AR33" s="572" t="s">
        <v>5493</v>
      </c>
      <c r="AS33" s="573" t="s">
        <v>5393</v>
      </c>
      <c r="AT33" s="1283" t="e">
        <f>COUNTIFS([1]SurveyDATA_1!E$1:E$65536,"*BRGY.15 CAL*",[1]SurveyDATA_1!BM$1:BM$65536,"*RESIDENTIAL*",[1]SurveyDATA_1!AS$1:AS$65536,"",[1]SurveyDATA_1!BN$1:BN$65536,"*Structure Owner*",[1]SurveyDATA_1!FQ$1:FQ$65536,"*STAY*")</f>
        <v>#VALUE!</v>
      </c>
      <c r="AU33" s="1284" t="e">
        <f>COUNTIFS([1]SurveyDATA_1!E$1:E$65536,"*BRGY.15 CAL*",[1]SurveyDATA_1!BM$1:BM$65536,"*RESIDENTIAL*",[1]SurveyDATA_1!AS$1:AS$65536,"",[1]SurveyDATA_1!BN$1:BN$65536,"*Structure Owner*",[1]SurveyDATA_1!FQ$1:FQ$65536,"*NEED*")</f>
        <v>#VALUE!</v>
      </c>
      <c r="AV33" s="1284" t="e">
        <f>COUNTIFS([1]SurveyDATA_1!E$1:E$65536,"*BRGY.15 CAL*",[1]SurveyDATA_1!AS$1:AS$65536,"",[1]SurveyDATA_1!FQ$1:FQ$65536,"*STAY*",[1]SurveyDATA_1!IP$1:IP$65536,"OWNER",[1]SurveyDATA_1!IR$1:IR$65536,"*")</f>
        <v>#VALUE!</v>
      </c>
      <c r="AW33" s="1284" t="e">
        <f>COUNTIFS([1]SurveyDATA_1!E$1:E$65536,"*BRGY.15 CAL*",[1]SurveyDATA_1!AS$1:AS$65536,"",[1]SurveyDATA_1!FQ$1:FQ$65536,"*NEED*",[1]SurveyDATA_1!IP$1:IP$65536,"OWNER",[1]SurveyDATA_1!IR$1:IR$65536,"*")</f>
        <v>#VALUE!</v>
      </c>
      <c r="AX33" s="1313"/>
      <c r="AY33" s="1314"/>
      <c r="AZ33" s="1285" t="e">
        <f t="shared" ref="AZ33:BA40" si="30">SUM(AT33,AV33,AX33,)</f>
        <v>#VALUE!</v>
      </c>
      <c r="BA33" s="1286" t="e">
        <f t="shared" si="30"/>
        <v>#VALUE!</v>
      </c>
    </row>
    <row r="34" spans="12:53">
      <c r="L34" s="1309" t="s">
        <v>8108</v>
      </c>
      <c r="M34" s="1310" t="e">
        <f>COUNTIFS([1]SurveyDATA!AT$1:AT$65536,"Y",[1]SurveyDATA!BN$1:BN$65536,"*MIXED*",[1]SurveyDATA!BO$1:BO$65536,"*STRUCTURE OWNER*",[1]SurveyDATA!FR$1:FR$65536,"*STAY*")</f>
        <v>#VALUE!</v>
      </c>
      <c r="N34" s="1310" t="e">
        <f>COUNTIFS([1]SurveyDATA!AT$1:AT$65536,"",[1]SurveyDATA!BN$1:BN$65536,"*MIXED*",[1]SurveyDATA!BO$1:BO$65536,"*STRUCTURE OWNER*",[1]SurveyDATA!FR$1:FR$65536,"*STAY*")</f>
        <v>#VALUE!</v>
      </c>
      <c r="O34" s="1311" t="e">
        <f t="shared" si="27"/>
        <v>#VALUE!</v>
      </c>
      <c r="P34" s="1310"/>
      <c r="Q34" s="1310"/>
      <c r="R34" s="1312"/>
      <c r="V34" s="1279" t="e">
        <f>COUNTIFS([1]SurveyDATA_1!E$1:E$65536,"*BRGY.15 CAL*",[1]SurveyDATA_1!AS$1:AS$65536,"Y",[1]SurveyDATA_1!BN$1:BN$65536,"*Structure Owner*",[1]SurveyDATA_1!FQ$1:FQ$65536,"*Stay*")</f>
        <v>#VALUE!</v>
      </c>
      <c r="W34" s="1279" t="e">
        <f>COUNTIFS([1]SurveyDATA_1!E$1:E$65536,"*BRGY.15 CAL*",[1]SurveyDATA_1!AS$1:AS$65536,"Y",[1]SurveyDATA_1!BN$1:BN$65536,"*Structure Owner*",[1]SurveyDATA_1!FQ$1:FQ$65536,"*NEED*")</f>
        <v>#VALUE!</v>
      </c>
      <c r="X34" s="1279" t="e">
        <f>COUNTIFS([1]SurveyDATA_1!E$1:E$65536,"*BRGY.15 CAL*",[1]SurveyDATA_1!AS$1:AS$65536,"Y",[1]SurveyDATA_1!FQ$1:FQ$65536,"*Stay*",[1]SurveyDATA_1!IP$1:IP$65536,"OWNER")</f>
        <v>#VALUE!</v>
      </c>
      <c r="Y34" s="1280" t="e">
        <f>COUNTIFS([1]SurveyDATA_1!E$1:E$65536,"*BRGY.15 CAL*",[1]SurveyDATA_1!AS$1:AS$65536,"Y",[1]SurveyDATA_1!FQ$1:FQ$65536,"*NEED*",[1]SurveyDATA_1!IP$1:IP$65536,"OWNER")</f>
        <v>#VALUE!</v>
      </c>
      <c r="Z34" s="1279" t="e">
        <f>COUNTIFS([1]SurveyDATA_1!E$1:E$65536,"*BRGY.15 CAL*",[1]SurveyDATA_1!AS$1:AS$65536,"Y",[1]SurveyDATA_1!BM$1:BM$65536,"*INSTITUTIONAL*",[1]SurveyDATA_1!FQ$1:FQ$65536,"*STAY*")</f>
        <v>#VALUE!</v>
      </c>
      <c r="AA34" s="1279" t="e">
        <f>COUNTIFS([1]SurveyDATA_1!E$1:E$65536,"*BRGY.15 CAL*",[1]SurveyDATA_1!AS$1:AS$65536,"Y",[1]SurveyDATA_1!BM$1:BM$65536,"*INSTITUTIONAL*",[1]SurveyDATA_1!FQ$1:FQ$65536,"*STAY*")</f>
        <v>#VALUE!</v>
      </c>
      <c r="AB34" s="1279" t="e">
        <f>COUNTIFS([1]SurveyDATA_1!E$1:E$65536,"*BRGY.15 CAL*",[1]SurveyDATA_1!BN$1:BN$65536,"RENTER",[1]SurveyDATA_1!FQ$1:FQ$65536,"*STAY*")</f>
        <v>#VALUE!</v>
      </c>
      <c r="AC34" s="1279" t="e">
        <f>COUNTIFS([1]SurveyDATA_1!E$1:E$65536,"*BRGY.15 CAL*",[1]SurveyDATA_1!BN$1:BN$65536,"RENTER",[1]SurveyDATA_1!FQ$1:FQ$65536,"*NEED*")</f>
        <v>#VALUE!</v>
      </c>
      <c r="AD34" s="572"/>
      <c r="AE34" s="572"/>
      <c r="AF34" s="1279" t="e">
        <f>COUNTIFS([1]SurveyDATA_1!E$1:E$65536,"*BRGY.15 CAL*",[1]SurveyDATA_1!AK$1:AK$65536,"*LAND OWNER*",[1]SurveyDATA_1!AS$1:AS$65536,"Y",[1]SurveyDATA_1!AN$1:AN$65536,"&lt;20%")</f>
        <v>#VALUE!</v>
      </c>
      <c r="AG34" s="1279" t="e">
        <f>COUNTIFS([1]SurveyDATA_1!E$1:E$65536,"*BRGY.15 CAL*",[1]SurveyDATA_1!AK$1:AK$65536,"*LAND OWNER*",[1]SurveyDATA_1!AS$1:AS$65536,"Y",[1]SurveyDATA_1!AN$1:AN$65536,"&gt;19.99%")</f>
        <v>#VALUE!</v>
      </c>
      <c r="AH34" s="1279" t="e">
        <f>COUNTIFS([1]SurveyDATA_1!E$1:E$65536,"*IBAYO*",[1]SurveyDATA_1!BM$1:BM$65536,"Commercial",[1]SurveyDATA_1!BN$1:BN$65536,"Commercial Tenant",[1]SurveyDATA_1!BR$1:BR$65536,"&lt;20%")</f>
        <v>#VALUE!</v>
      </c>
      <c r="AI34" s="1279" t="e">
        <f>COUNTIFS([1]SurveyDATA_1!E$1:E$65536,"*BRGY.15 CAL*",[1]SurveyDATA_1!BM$1:BM$65536,"Commercial",[1]SurveyDATA_1!BN$1:BN$65536,"Commercial Tenant",[1]SurveyDATA_1!BR$1:BR$65536,"&gt;19.99%")</f>
        <v>#VALUE!</v>
      </c>
      <c r="AJ34" s="1281">
        <v>0</v>
      </c>
      <c r="AK34" s="1281">
        <v>0</v>
      </c>
      <c r="AL34" s="1279" t="e">
        <f>SUMIFS([1]SurveyDATA_1!#REF!,[1]SurveyDATA_1!E$1:E$65536,"*BRGY.15 CAL*",[1]SurveyDATA_1!BM$1:BM$65536,"Commercial",[1]SurveyDATA_1!BN$1:BN$65536,"Commercial Tenant",[1]SurveyDATA_1!BR$1:BR$65536,"&lt;20%")</f>
        <v>#REF!</v>
      </c>
      <c r="AM34" s="1279" t="e">
        <f>SUMIFS([1]SurveyDATA_1!#REF!,[1]SurveyDATA_1!E$1:E$65536,"*BRGY.15 CAL*",[1]SurveyDATA_1!BM$1:BM$65536,"Commercial",[1]SurveyDATA_1!BN$1:BN$65536,"Commercial Tenant",[1]SurveyDATA_1!BR$1:BR$65536,"&gt;19.99%")</f>
        <v>#REF!</v>
      </c>
      <c r="AN34" s="1282" t="e">
        <f t="shared" ref="AN34:AO41" si="31">SUM(AL34,AJ34,AH34,AF34,AD34,AB34,Z34,X34,V34)</f>
        <v>#REF!</v>
      </c>
      <c r="AO34" s="1282" t="e">
        <f t="shared" si="31"/>
        <v>#REF!</v>
      </c>
      <c r="AR34" s="572"/>
      <c r="AS34" s="573" t="s">
        <v>5395</v>
      </c>
      <c r="AT34" s="1283" t="e">
        <f>COUNTIFS([1]SurveyDATA_1!E$1:E$65536,"*BRGY.17*",[1]SurveyDATA_1!BM$1:BM$65536,"*RESIDENTIAL*",[1]SurveyDATA_1!AS$1:AS$65536,"",[1]SurveyDATA_1!BN$1:BN$65536,"*Structure Owner*",[1]SurveyDATA_1!FQ$1:FQ$65536,"*STAY*")</f>
        <v>#VALUE!</v>
      </c>
      <c r="AU34" s="1284" t="e">
        <f>COUNTIFS([1]SurveyDATA_1!E$1:E$65536,"*BRGY.17*",[1]SurveyDATA_1!BM$1:BM$65536,"*RESIDENTIAL*",[1]SurveyDATA_1!AS$1:AS$65536,"",[1]SurveyDATA_1!BN$1:BN$65536,"*Structure Owner*",[1]SurveyDATA_1!FQ$1:FQ$65536,"*NEED*")</f>
        <v>#VALUE!</v>
      </c>
      <c r="AV34" s="1284" t="e">
        <f>COUNTIFS([1]SurveyDATA_1!E$1:E$65536,"*BRGY.17*",[1]SurveyDATA_1!AS$1:AS$65536,"",[1]SurveyDATA_1!FQ$1:FQ$65536,"*STAY*",[1]SurveyDATA_1!IP$1:IP$65536,"OWNER",[1]SurveyDATA_1!IR$1:IR$65536,"*")</f>
        <v>#VALUE!</v>
      </c>
      <c r="AW34" s="1284" t="e">
        <f>COUNTIFS([1]SurveyDATA_1!E$1:E$65536,"*BRGY.17*",[1]SurveyDATA_1!AS$1:AS$65536,"",[1]SurveyDATA_1!FQ$1:FQ$65536,"*NEED*",[1]SurveyDATA_1!IP$1:IP$65536,"OWNER",[1]SurveyDATA_1!IR$1:IR$65536,"*")</f>
        <v>#VALUE!</v>
      </c>
      <c r="AX34" s="1313"/>
      <c r="AY34" s="1314"/>
      <c r="AZ34" s="1285" t="e">
        <f t="shared" si="30"/>
        <v>#VALUE!</v>
      </c>
      <c r="BA34" s="1286" t="e">
        <f t="shared" si="30"/>
        <v>#VALUE!</v>
      </c>
    </row>
    <row r="35" spans="12:53">
      <c r="L35" s="1309" t="s">
        <v>12288</v>
      </c>
      <c r="M35" s="1310" t="e">
        <f>COUNTIFS([1]SurveyDATA!AT$1:AT$65536,"Y",[1]SurveyDATA!AL$1:AL$65536,"*LAND OWNER*",[1]SurveyDATA!BN$1:BN$65536,"",[1]SurveyDATA!FR$1:FR$65536,"*STAY*")</f>
        <v>#VALUE!</v>
      </c>
      <c r="N35" s="1310">
        <v>0</v>
      </c>
      <c r="O35" s="1311" t="e">
        <f t="shared" si="27"/>
        <v>#VALUE!</v>
      </c>
      <c r="P35" s="1310"/>
      <c r="Q35" s="1310"/>
      <c r="R35" s="1312"/>
      <c r="V35" s="1279" t="e">
        <f>COUNTIFS([1]SurveyDATA_1!E$1:E$65536,"*BRGY.17*",[1]SurveyDATA_1!AS$1:AS$65536,"Y",[1]SurveyDATA_1!BN$1:BN$65536,"*Structure Owner*",[1]SurveyDATA_1!FQ$1:FQ$65536,"*Stay*")</f>
        <v>#VALUE!</v>
      </c>
      <c r="W35" s="1279" t="e">
        <f>COUNTIFS([1]SurveyDATA_1!E$1:E$65536,"*BRGY.17*",[1]SurveyDATA_1!AS$1:AS$65536,"Y",[1]SurveyDATA_1!BN$1:BN$65536,"*Structure Owner*",[1]SurveyDATA_1!FQ$1:FQ$65536,"*NEED*")</f>
        <v>#VALUE!</v>
      </c>
      <c r="X35" s="1279" t="e">
        <f>COUNTIFS([1]SurveyDATA_1!E$1:E$65536,"*BRGY.17*",[1]SurveyDATA_1!AS$1:AS$65536,"Y",[1]SurveyDATA_1!FQ$1:FQ$65536,"*Stay*",[1]SurveyDATA_1!IP$1:IP$65536,"OWNER")</f>
        <v>#VALUE!</v>
      </c>
      <c r="Y35" s="1280" t="e">
        <f>COUNTIFS([1]SurveyDATA_1!E$1:E$65536,"*BRGY.17*",[1]SurveyDATA_1!AS$1:AS$65536,"Y",[1]SurveyDATA_1!FQ$1:FQ$65536,"*NEED*",[1]SurveyDATA_1!IP$1:IP$65536,"OWNER")</f>
        <v>#VALUE!</v>
      </c>
      <c r="Z35" s="1279" t="e">
        <f>COUNTIFS([1]SurveyDATA_1!E$1:E$65536,"*BRGY.17*",[1]SurveyDATA_1!AS$1:AS$65536,"Y",[1]SurveyDATA_1!BM$1:BM$65536,"*INSTITUTIONAL*",[1]SurveyDATA_1!FQ$1:FQ$65536,"*STAY*")</f>
        <v>#VALUE!</v>
      </c>
      <c r="AA35" s="1279" t="e">
        <f>COUNTIFS([1]SurveyDATA_1!E$1:E$65536,"*BRGY.17*",[1]SurveyDATA_1!AS$1:AS$65536,"Y",[1]SurveyDATA_1!BM$1:BM$65536,"*INSTITUTIONAL*",[1]SurveyDATA_1!FQ$1:FQ$65536,"*STAY*")</f>
        <v>#VALUE!</v>
      </c>
      <c r="AB35" s="1279" t="e">
        <f>COUNTIFS([1]SurveyDATA_1!E$1:E$65536,"*BRGY.17*",[1]SurveyDATA_1!BN$1:BN$65536,"RENTER",[1]SurveyDATA_1!FQ$1:FQ$65536,"*STAY*")</f>
        <v>#VALUE!</v>
      </c>
      <c r="AC35" s="1279" t="e">
        <f>COUNTIFS([1]SurveyDATA_1!E$1:E$65536,"*BRGY.17*",[1]SurveyDATA_1!BN$1:BN$65536,"RENTER",[1]SurveyDATA_1!FQ$1:FQ$65536,"*NEED*")</f>
        <v>#VALUE!</v>
      </c>
      <c r="AD35" s="572"/>
      <c r="AE35" s="572"/>
      <c r="AF35" s="1279" t="e">
        <f>COUNTIFS([1]SurveyDATA_1!E$1:E$65536,"*BRGY.17*",[1]SurveyDATA_1!AK$1:AK$65536,"*LAND OWNER*",[1]SurveyDATA_1!AS$1:AS$65536,"Y",[1]SurveyDATA_1!AN$1:AN$65536,"&lt;20%")</f>
        <v>#VALUE!</v>
      </c>
      <c r="AG35" s="1279" t="e">
        <f>COUNTIFS([1]SurveyDATA_1!E$1:E$65536,"*BRGY.17*",[1]SurveyDATA_1!AK$1:AK$65536,"*LAND OWNER*",[1]SurveyDATA_1!AS$1:AS$65536,"Y",[1]SurveyDATA_1!AN$1:AN$65536,"&gt;19.99%")</f>
        <v>#VALUE!</v>
      </c>
      <c r="AH35" s="1279" t="e">
        <f>COUNTIFS([1]SurveyDATA_1!E$1:E$65536,"*BRGY.17*",[1]SurveyDATA_1!BM$1:BM$65536,"Commercial",[1]SurveyDATA_1!BN$1:BN$65536,"Commercial Tenant",[1]SurveyDATA_1!BR$1:BR$65536,"&lt;20%")</f>
        <v>#VALUE!</v>
      </c>
      <c r="AI35" s="1279" t="e">
        <f>COUNTIFS([1]SurveyDATA_1!E$1:E$65536,"*BRGY.17*",[1]SurveyDATA_1!BM$1:BM$65536,"Commercial",[1]SurveyDATA_1!BN$1:BN$65536,"Commercial Tenant",[1]SurveyDATA_1!BR$1:BR$65536,"&gt;19.99%")</f>
        <v>#VALUE!</v>
      </c>
      <c r="AJ35" s="1281">
        <v>0</v>
      </c>
      <c r="AK35" s="1281">
        <v>0</v>
      </c>
      <c r="AL35" s="1279" t="e">
        <f>SUMIFS([1]SurveyDATA_1!#REF!,[1]SurveyDATA_1!E$1:E$65536,"*BRGY.17*",[1]SurveyDATA_1!BM$1:BM$65536,"Commercial",[1]SurveyDATA_1!BN$1:BN$65536,"Commercial Tenant",[1]SurveyDATA_1!BR$1:BR$65536,"&lt;20%")</f>
        <v>#REF!</v>
      </c>
      <c r="AM35" s="1279" t="e">
        <f>SUMIFS([1]SurveyDATA_1!#REF!,[1]SurveyDATA_1!E$1:E$65536,"*BRGY.17*",[1]SurveyDATA_1!BM$1:BM$65536,"Commercial",[1]SurveyDATA_1!BN$1:BN$65536,"Commercial Tenant",[1]SurveyDATA_1!BR$1:BR$65536,"&gt;19.99%")</f>
        <v>#REF!</v>
      </c>
      <c r="AN35" s="1282" t="e">
        <f t="shared" si="31"/>
        <v>#REF!</v>
      </c>
      <c r="AO35" s="1282" t="e">
        <f t="shared" si="31"/>
        <v>#REF!</v>
      </c>
      <c r="AR35" s="572"/>
      <c r="AS35" s="573" t="s">
        <v>5394</v>
      </c>
      <c r="AT35" s="1283" t="e">
        <f>COUNTIFS([1]SurveyDATA_1!E$1:E$65536,"*BRGY.19 CAL*",[1]SurveyDATA_1!BM$1:BM$65536,"*RESIDENTIAL*",[1]SurveyDATA_1!AS$1:AS$65536,"",[1]SurveyDATA_1!BN$1:BN$65536,"*Structure Owner*",[1]SurveyDATA_1!FQ$1:FQ$65536,"*STAY*")</f>
        <v>#VALUE!</v>
      </c>
      <c r="AU35" s="1284" t="e">
        <f>COUNTIFS([1]SurveyDATA_1!E$1:E$65536,"*BRGY.19 CAL*",[1]SurveyDATA_1!BM$1:BM$65536,"*RESIDENTIAL*",[1]SurveyDATA_1!AS$1:AS$65536,"",[1]SurveyDATA_1!BN$1:BN$65536,"*Structure Owner*",[1]SurveyDATA_1!FQ$1:FQ$65536,"*NEED*")</f>
        <v>#VALUE!</v>
      </c>
      <c r="AV35" s="1284" t="e">
        <f>COUNTIFS([1]SurveyDATA_1!E$1:E$65536,"*BRGY.19 CAL*",[1]SurveyDATA_1!AS$1:AS$65536,"",[1]SurveyDATA_1!FQ$1:FQ$65536,"*STAY*",[1]SurveyDATA_1!IP$1:IP$65536,"OWNER",[1]SurveyDATA_1!IR$1:IR$65536,"*")</f>
        <v>#VALUE!</v>
      </c>
      <c r="AW35" s="1284" t="e">
        <f>COUNTIFS([1]SurveyDATA_1!E$1:E$65536,"*BRGY.19 CAL*",[1]SurveyDATA_1!AS$1:AS$65536,"",[1]SurveyDATA_1!FQ$1:FQ$65536,"*NEED*",[1]SurveyDATA_1!IP$1:IP$65536,"OWNER",[1]SurveyDATA_1!IR$1:IR$65536,"*")</f>
        <v>#VALUE!</v>
      </c>
      <c r="AX35" s="1313"/>
      <c r="AY35" s="1314"/>
      <c r="AZ35" s="1285" t="e">
        <f t="shared" si="30"/>
        <v>#VALUE!</v>
      </c>
      <c r="BA35" s="1286" t="e">
        <f t="shared" si="30"/>
        <v>#VALUE!</v>
      </c>
    </row>
    <row r="36" spans="12:53">
      <c r="L36" s="1309" t="s">
        <v>12289</v>
      </c>
      <c r="M36" s="1310"/>
      <c r="N36" s="1310"/>
      <c r="O36" s="1311">
        <f t="shared" si="27"/>
        <v>0</v>
      </c>
      <c r="P36" s="1310"/>
      <c r="Q36" s="1310"/>
      <c r="R36" s="1312"/>
      <c r="V36" s="1279" t="e">
        <f>COUNTIFS([1]SurveyDATA_1!E$1:E$65536,"*BRGY.19 CAL*",[1]SurveyDATA_1!AS$1:AS$65536,"Y",[1]SurveyDATA_1!BN$1:BN$65536,"*Structure Owner*",[1]SurveyDATA_1!FQ$1:FQ$65536,"*Stay*")</f>
        <v>#VALUE!</v>
      </c>
      <c r="W36" s="1279" t="e">
        <f>COUNTIFS([1]SurveyDATA_1!E$1:E$65536,"*BRGY.19 CAL*",[1]SurveyDATA_1!AS$1:AS$65536,"Y",[1]SurveyDATA_1!BN$1:BN$65536,"*Structure Owner*",[1]SurveyDATA_1!FQ$1:FQ$65536,"*NEED*")</f>
        <v>#VALUE!</v>
      </c>
      <c r="X36" s="1279" t="e">
        <f>COUNTIFS([1]SurveyDATA_1!E$1:E$65536,"*BRGY.19 CAL*",[1]SurveyDATA_1!AS$1:AS$65536,"Y",[1]SurveyDATA_1!FQ$1:FQ$65536,"*Stay*",[1]SurveyDATA_1!IP$1:IP$65536,"OWNER")</f>
        <v>#VALUE!</v>
      </c>
      <c r="Y36" s="1280" t="e">
        <f>COUNTIFS([1]SurveyDATA_1!E$1:E$65536,"*BRGY.19 CAL*",[1]SurveyDATA_1!AS$1:AS$65536,"Y",[1]SurveyDATA_1!FQ$1:FQ$65536,"*NEED*",[1]SurveyDATA_1!IP$1:IP$65536,"OWNER")</f>
        <v>#VALUE!</v>
      </c>
      <c r="Z36" s="1279" t="e">
        <f>COUNTIFS([1]SurveyDATA_1!E$1:E$65536,"*BRGY.19 CAL*",[1]SurveyDATA_1!AS$1:AS$65536,"Y",[1]SurveyDATA_1!BM$1:BM$65536,"*INSTITUTIONAL*",[1]SurveyDATA_1!FQ$1:FQ$65536,"*STAY*")</f>
        <v>#VALUE!</v>
      </c>
      <c r="AA36" s="1279" t="e">
        <f>COUNTIFS([1]SurveyDATA_1!E$1:E$65536,"*BRGY.19 CAL*",[1]SurveyDATA_1!AS$1:AS$65536,"Y",[1]SurveyDATA_1!BM$1:BM$65536,"*INSTITUTIONAL*",[1]SurveyDATA_1!FQ$1:FQ$65536,"*STAY*")</f>
        <v>#VALUE!</v>
      </c>
      <c r="AB36" s="1279" t="e">
        <f>COUNTIFS([1]SurveyDATA_1!E$1:E$65536,"*BRGY.19 CAL*",[1]SurveyDATA_1!BN$1:BN$65536,"RENTER",[1]SurveyDATA_1!FQ$1:FQ$65536,"*STAY*")</f>
        <v>#VALUE!</v>
      </c>
      <c r="AC36" s="1279" t="e">
        <f>COUNTIFS([1]SurveyDATA_1!E$1:E$65536,"*BRGY.19 CAL*",[1]SurveyDATA_1!BN$1:BN$65536,"RENTER",[1]SurveyDATA_1!FQ$1:FQ$65536,"*NEED*")</f>
        <v>#VALUE!</v>
      </c>
      <c r="AD36" s="572"/>
      <c r="AE36" s="572"/>
      <c r="AF36" s="1279" t="e">
        <f>COUNTIFS([1]SurveyDATA_1!E$1:E$65536,"*BRGY.19 CAL*",[1]SurveyDATA_1!AK$1:AK$65536,"*LAND OWNER*",[1]SurveyDATA_1!AS$1:AS$65536,"Y",[1]SurveyDATA_1!AN$1:AN$65536,"&lt;20%")</f>
        <v>#VALUE!</v>
      </c>
      <c r="AG36" s="1279" t="e">
        <f>COUNTIFS([1]SurveyDATA_1!E$1:E$65536,"*BRGY.19 CAL*",[1]SurveyDATA_1!AK$1:AK$65536,"*LAND OWNER*",[1]SurveyDATA_1!AS$1:AS$65536,"Y",[1]SurveyDATA_1!AN$1:AN$65536,"&gt;19.99%")</f>
        <v>#VALUE!</v>
      </c>
      <c r="AH36" s="1279" t="e">
        <f>COUNTIFS([1]SurveyDATA_1!E$1:E$65536,"*BRGY.19 CAL*",[1]SurveyDATA_1!BM$1:BM$65536,"Commercial",[1]SurveyDATA_1!BN$1:BN$65536,"Commercial Tenant",[1]SurveyDATA_1!BR$1:BR$65536,"&lt;20%")</f>
        <v>#VALUE!</v>
      </c>
      <c r="AI36" s="1279" t="e">
        <f>COUNTIFS([1]SurveyDATA_1!E$1:E$65536,"*BRGY.19 CAL*",[1]SurveyDATA_1!BM$1:BM$65536,"Commercial",[1]SurveyDATA_1!BN$1:BN$65536,"Commercial Tenant",[1]SurveyDATA_1!BR$1:BR$65536,"&gt;19.99%")</f>
        <v>#VALUE!</v>
      </c>
      <c r="AJ36" s="1281">
        <v>0</v>
      </c>
      <c r="AK36" s="1281">
        <v>0</v>
      </c>
      <c r="AL36" s="1279" t="e">
        <f>SUMIFS([1]SurveyDATA_1!#REF!,[1]SurveyDATA_1!E$1:E$65536,"*BRGY.19*",[1]SurveyDATA_1!BM$1:BM$65536,"Commercial",[1]SurveyDATA_1!BN$1:BN$65536,"Commercial Tenant",[1]SurveyDATA_1!BR$1:BR$65536,"&lt;20%")</f>
        <v>#REF!</v>
      </c>
      <c r="AM36" s="1279" t="e">
        <f>SUMIFS([1]SurveyDATA_1!#REF!,[1]SurveyDATA_1!E$1:E$65536,"*BRGY.19*",[1]SurveyDATA_1!BM$1:BM$65536,"Commercial",[1]SurveyDATA_1!BN$1:BN$65536,"Commercial Tenant",[1]SurveyDATA_1!BR$1:BR$65536,"&gt;19.99%")</f>
        <v>#REF!</v>
      </c>
      <c r="AN36" s="1282" t="e">
        <f t="shared" si="31"/>
        <v>#REF!</v>
      </c>
      <c r="AO36" s="1282" t="e">
        <f t="shared" si="31"/>
        <v>#REF!</v>
      </c>
      <c r="AR36" s="572"/>
      <c r="AS36" s="573" t="s">
        <v>5396</v>
      </c>
      <c r="AT36" s="1283" t="e">
        <f>COUNTIFS([1]SurveyDATA_1!E$1:E$65536,"*BRGY.21*",[1]SurveyDATA_1!BM$1:BM$65536,"*RESIDENTIAL*",[1]SurveyDATA_1!AS$1:AS$65536,"",[1]SurveyDATA_1!BN$1:BN$65536,"*Structure Owner*",[1]SurveyDATA_1!FQ$1:FQ$65536,"*STAY*")</f>
        <v>#VALUE!</v>
      </c>
      <c r="AU36" s="1284" t="e">
        <f>COUNTIFS([1]SurveyDATA_1!E$1:E$65536,"*BRGY.21*",[1]SurveyDATA_1!BM$1:BM$65536,"*RESIDENTIAL*",[1]SurveyDATA_1!AS$1:AS$65536,"",[1]SurveyDATA_1!BN$1:BN$65536,"*Structure Owner*",[1]SurveyDATA_1!FQ$1:FQ$65536,"*NEED*")</f>
        <v>#VALUE!</v>
      </c>
      <c r="AV36" s="1284" t="e">
        <f>COUNTIFS([1]SurveyDATA_1!E$1:E$65536,"*BRGY.21*",[1]SurveyDATA_1!AS$1:AS$65536,"",[1]SurveyDATA_1!FQ$1:FQ$65536,"*STAY*",[1]SurveyDATA_1!IP$1:IP$65536,"OWNER",[1]SurveyDATA_1!IR$1:IR$65536,"*")</f>
        <v>#VALUE!</v>
      </c>
      <c r="AW36" s="1284" t="e">
        <f>COUNTIFS([1]SurveyDATA_1!E$1:E$65536,"*BRGY.21*",[1]SurveyDATA_1!AS$1:AS$65536,"",[1]SurveyDATA_1!FQ$1:FQ$65536,"*NEED*",[1]SurveyDATA_1!IP$1:IP$65536,"OWNER",[1]SurveyDATA_1!IR$1:IR$65536,"*")</f>
        <v>#VALUE!</v>
      </c>
      <c r="AX36" s="1313"/>
      <c r="AY36" s="1314"/>
      <c r="AZ36" s="1285" t="e">
        <f t="shared" si="30"/>
        <v>#VALUE!</v>
      </c>
      <c r="BA36" s="1286" t="e">
        <f t="shared" si="30"/>
        <v>#VALUE!</v>
      </c>
    </row>
    <row r="37" spans="12:53">
      <c r="L37" s="1309" t="s">
        <v>12290</v>
      </c>
      <c r="M37" s="1310"/>
      <c r="N37" s="1310"/>
      <c r="O37" s="1311">
        <f t="shared" si="27"/>
        <v>0</v>
      </c>
      <c r="P37" s="1310"/>
      <c r="Q37" s="1310"/>
      <c r="R37" s="1312"/>
      <c r="V37" s="1279" t="e">
        <f>COUNTIFS([1]SurveyDATA_1!E$1:E$65536,"*BRGY.21*",[1]SurveyDATA_1!AS$1:AS$65536,"Y",[1]SurveyDATA_1!BN$1:BN$65536,"*Structure Owner*",[1]SurveyDATA_1!FQ$1:FQ$65536,"*Stay*")</f>
        <v>#VALUE!</v>
      </c>
      <c r="W37" s="1279" t="e">
        <f>COUNTIFS([1]SurveyDATA_1!E$1:E$65536,"*BRGY.21*",[1]SurveyDATA_1!AS$1:AS$65536,"Y",[1]SurveyDATA_1!BN$1:BN$65536,"*Structure Owner*",[1]SurveyDATA_1!FQ$1:FQ$65536,"*NEED*")</f>
        <v>#VALUE!</v>
      </c>
      <c r="X37" s="1279" t="e">
        <f>COUNTIFS([1]SurveyDATA_1!E$1:E$65536,"*BRGY.21*",[1]SurveyDATA_1!AS$1:AS$65536,"Y",[1]SurveyDATA_1!FQ$1:FQ$65536,"*Stay*",[1]SurveyDATA_1!IP$1:IP$65536,"OWNER")</f>
        <v>#VALUE!</v>
      </c>
      <c r="Y37" s="1280" t="e">
        <f>COUNTIFS([1]SurveyDATA_1!E$1:E$65536,"*BRGY.21*",[1]SurveyDATA_1!AS$1:AS$65536,"Y",[1]SurveyDATA_1!FQ$1:FQ$65536,"*NEED*",[1]SurveyDATA_1!IP$1:IP$65536,"OWNER")</f>
        <v>#VALUE!</v>
      </c>
      <c r="Z37" s="1279" t="e">
        <f>COUNTIFS([1]SurveyDATA_1!E$1:E$65536,"*BRGY.21*",[1]SurveyDATA_1!AS$1:AS$65536,"Y",[1]SurveyDATA_1!BM$1:BM$65536,"*INSTITUTIONAL*",[1]SurveyDATA_1!FQ$1:FQ$65536,"*STAY*")</f>
        <v>#VALUE!</v>
      </c>
      <c r="AA37" s="1279" t="e">
        <f>COUNTIFS([1]SurveyDATA_1!E$1:E$65536,"*BRGY.21*",[1]SurveyDATA_1!AS$1:AS$65536,"Y",[1]SurveyDATA_1!BM$1:BM$65536,"*INSTITUTIONAL*",[1]SurveyDATA_1!FQ$1:FQ$65536,"*STAY*")</f>
        <v>#VALUE!</v>
      </c>
      <c r="AB37" s="1279" t="e">
        <f>COUNTIFS([1]SurveyDATA_1!E$1:E$65536,"*BRGY.21*",[1]SurveyDATA_1!BN$1:BN$65536,"RENTER",[1]SurveyDATA_1!FQ$1:FQ$65536,"*STAY*")</f>
        <v>#VALUE!</v>
      </c>
      <c r="AC37" s="1279" t="e">
        <f>COUNTIFS([1]SurveyDATA_1!E$1:E$65536,"*BRGY.21*",[1]SurveyDATA_1!BN$1:BN$65536,"RENTER",[1]SurveyDATA_1!FQ$1:FQ$65536,"*NEED*")</f>
        <v>#VALUE!</v>
      </c>
      <c r="AD37" s="572"/>
      <c r="AE37" s="572"/>
      <c r="AF37" s="1279" t="e">
        <f>COUNTIFS([1]SurveyDATA_1!E$1:E$65536,"*BRGY.21*",[1]SurveyDATA_1!AK$1:AK$65536,"*LAND OWNER*",[1]SurveyDATA_1!AS$1:AS$65536,"Y",[1]SurveyDATA_1!AN$1:AN$65536,"&lt;20%")</f>
        <v>#VALUE!</v>
      </c>
      <c r="AG37" s="1279" t="e">
        <f>COUNTIFS([1]SurveyDATA_1!E$1:E$65536,"*BRGY.21*",[1]SurveyDATA_1!AK$1:AK$65536,"*LAND OWNER*",[1]SurveyDATA_1!AS$1:AS$65536,"Y",[1]SurveyDATA_1!AN$1:AN$65536,"&gt;19.99%")</f>
        <v>#VALUE!</v>
      </c>
      <c r="AH37" s="1279" t="e">
        <f>COUNTIFS([1]SurveyDATA_1!E$1:E$65536,"*BRGY.21*",[1]SurveyDATA_1!BM$1:BM$65536,"Commercial",[1]SurveyDATA_1!BN$1:BN$65536,"Commercial Tenant",[1]SurveyDATA_1!BR$1:BR$65536,"&lt;20%")</f>
        <v>#VALUE!</v>
      </c>
      <c r="AI37" s="1279" t="e">
        <f>COUNTIFS([1]SurveyDATA_1!E$1:E$65536,"*BRGY.21*",[1]SurveyDATA_1!BM$1:BM$65536,"Commercial",[1]SurveyDATA_1!BN$1:BN$65536,"Commercial Tenant",[1]SurveyDATA_1!BR$1:BR$65536,"&gt;19.99%")</f>
        <v>#VALUE!</v>
      </c>
      <c r="AJ37" s="1281">
        <v>0</v>
      </c>
      <c r="AK37" s="1281">
        <v>0</v>
      </c>
      <c r="AL37" s="1279" t="e">
        <f>SUMIFS([1]SurveyDATA_1!#REF!,[1]SurveyDATA_1!E$1:E$65536,"*BRGY.21*",[1]SurveyDATA_1!BM$1:BM$65536,"Commercial",[1]SurveyDATA_1!BN$1:BN$65536,"Commercial Tenant",[1]SurveyDATA_1!BR$1:BR$65536,"&lt;20%")</f>
        <v>#REF!</v>
      </c>
      <c r="AM37" s="1279" t="e">
        <f>SUMIFS([1]SurveyDATA_1!#REF!,[1]SurveyDATA_1!E$1:E$65536,"*BRGY.21*",[1]SurveyDATA_1!BM$1:BM$65536,"Commercial",[1]SurveyDATA_1!BN$1:BN$65536,"Commercial Tenant",[1]SurveyDATA_1!BR$1:BR$65536,"&gt;19.99%")</f>
        <v>#REF!</v>
      </c>
      <c r="AN37" s="1282" t="e">
        <f t="shared" si="31"/>
        <v>#REF!</v>
      </c>
      <c r="AO37" s="1282" t="e">
        <f t="shared" si="31"/>
        <v>#REF!</v>
      </c>
      <c r="AR37" s="572"/>
      <c r="AS37" s="573" t="s">
        <v>5397</v>
      </c>
      <c r="AT37" s="1283" t="e">
        <f>COUNTIFS([1]SurveyDATA_1!E$1:E$65536,"*BRGY.25*",[1]SurveyDATA_1!BM$1:BM$65536,"*RESIDENTIAL*",[1]SurveyDATA_1!AS$1:AS$65536,"",[1]SurveyDATA_1!BN$1:BN$65536,"*Structure Owner*",[1]SurveyDATA_1!FQ$1:FQ$65536,"*STAY*")</f>
        <v>#VALUE!</v>
      </c>
      <c r="AU37" s="1284" t="e">
        <f>COUNTIFS([1]SurveyDATA_1!E$1:E$65536,"*BRGY.21*",[1]SurveyDATA_1!BM$1:BM$65536,"*RESIDENTIAL*",[1]SurveyDATA_1!AS$1:AS$65536,"",[1]SurveyDATA_1!BN$1:BN$65536,"*Structure Owner*",[1]SurveyDATA_1!FQ$1:FQ$65536,"*NEED*")</f>
        <v>#VALUE!</v>
      </c>
      <c r="AV37" s="1284" t="e">
        <f>COUNTIFS([1]SurveyDATA_1!E$1:E$65536,"*BRGY.25*",[1]SurveyDATA_1!AS$1:AS$65536,"",[1]SurveyDATA_1!FQ$1:FQ$65536,"*STAY*",[1]SurveyDATA_1!IP$1:IP$65536,"OWNER",[1]SurveyDATA_1!IR$1:IR$65536,"*")</f>
        <v>#VALUE!</v>
      </c>
      <c r="AW37" s="1284" t="e">
        <f>COUNTIFS([1]SurveyDATA_1!E$1:E$65536,"*BRGY.25*",[1]SurveyDATA_1!AS$1:AS$65536,"",[1]SurveyDATA_1!FQ$1:FQ$65536,"*NEED*",[1]SurveyDATA_1!IP$1:IP$65536,"OWNER",[1]SurveyDATA_1!IR$1:IR$65536,"*")</f>
        <v>#VALUE!</v>
      </c>
      <c r="AX37" s="1313"/>
      <c r="AY37" s="1314"/>
      <c r="AZ37" s="1285" t="e">
        <f t="shared" si="30"/>
        <v>#VALUE!</v>
      </c>
      <c r="BA37" s="1286" t="e">
        <f t="shared" si="30"/>
        <v>#VALUE!</v>
      </c>
    </row>
    <row r="38" spans="12:53">
      <c r="L38" s="1309" t="s">
        <v>12291</v>
      </c>
      <c r="M38" s="1310" t="e">
        <f>COUNTIF([1]SurveyDATA!BM$1:BM$65536,"*ABSENTEEE*")</f>
        <v>#VALUE!</v>
      </c>
      <c r="N38" s="1310"/>
      <c r="O38" s="1311" t="e">
        <f t="shared" si="27"/>
        <v>#VALUE!</v>
      </c>
      <c r="P38" s="1310"/>
      <c r="Q38" s="1310"/>
      <c r="R38" s="1312"/>
      <c r="V38" s="1279" t="e">
        <f>COUNTIFS([1]SurveyDATA_1!E$1:E$65536,"*BRGY.25*",[1]SurveyDATA_1!AS$1:AS$65536,"Y",[1]SurveyDATA_1!BN$1:BN$65536,"*Structure Owner*",[1]SurveyDATA_1!FQ$1:FQ$65536,"*Stay*")</f>
        <v>#VALUE!</v>
      </c>
      <c r="W38" s="1279" t="e">
        <f>COUNTIFS([1]SurveyDATA_1!E$1:E$65536,"*BRGY.25*",[1]SurveyDATA_1!AS$1:AS$65536,"Y",[1]SurveyDATA_1!BN$1:BN$65536,"*Structure Owner*",[1]SurveyDATA_1!FQ$1:FQ$65536,"*NEED*")</f>
        <v>#VALUE!</v>
      </c>
      <c r="X38" s="1279" t="e">
        <f>COUNTIFS([1]SurveyDATA_1!E$1:E$65536,"*BRGY.25*",[1]SurveyDATA_1!AS$1:AS$65536,"Y",[1]SurveyDATA_1!FQ$1:FQ$65536,"*Stay*",[1]SurveyDATA_1!IP$1:IP$65536,"OWNER")</f>
        <v>#VALUE!</v>
      </c>
      <c r="Y38" s="1280" t="e">
        <f>COUNTIFS([1]SurveyDATA_1!E$1:E$65536,"*BRGY.25*",[1]SurveyDATA_1!AS$1:AS$65536,"Y",[1]SurveyDATA_1!FQ$1:FQ$65536,"*NEED*",[1]SurveyDATA_1!IP$1:IP$65536,"OWNER")</f>
        <v>#VALUE!</v>
      </c>
      <c r="Z38" s="1279" t="e">
        <f>COUNTIFS([1]SurveyDATA_1!E$1:E$65536,"*BRGY.25*",[1]SurveyDATA_1!AS$1:AS$65536,"Y",[1]SurveyDATA_1!BM$1:BM$65536,"*INSTITUTIONAL*",[1]SurveyDATA_1!FQ$1:FQ$65536,"*STAY*")</f>
        <v>#VALUE!</v>
      </c>
      <c r="AA38" s="1279" t="e">
        <f>COUNTIFS([1]SurveyDATA_1!E$1:E$65536,"*BRGY.25*",[1]SurveyDATA_1!AS$1:AS$65536,"Y",[1]SurveyDATA_1!BM$1:BM$65536,"*INSTITUTIONAL*",[1]SurveyDATA_1!FQ$1:FQ$65536,"*STAY*")</f>
        <v>#VALUE!</v>
      </c>
      <c r="AB38" s="1279" t="e">
        <f>COUNTIFS([1]SurveyDATA_1!E$1:E$65536,"*BRGY.25*",[1]SurveyDATA_1!BN$1:BN$65536,"RENTER",[1]SurveyDATA_1!FQ$1:FQ$65536,"*STAY*")</f>
        <v>#VALUE!</v>
      </c>
      <c r="AC38" s="1279" t="e">
        <f>COUNTIFS([1]SurveyDATA_1!E$1:E$65536,"*BRGY.25*",[1]SurveyDATA_1!BN$1:BN$65536,"RENTER",[1]SurveyDATA_1!FQ$1:FQ$65536,"*NEED*")</f>
        <v>#VALUE!</v>
      </c>
      <c r="AD38" s="572"/>
      <c r="AE38" s="572"/>
      <c r="AF38" s="1279" t="e">
        <f>COUNTIFS([1]SurveyDATA_1!E$1:E$65536,"*BRGY.25*",[1]SurveyDATA_1!AK$1:AK$65536,"*LAND OWNER*",[1]SurveyDATA_1!AS$1:AS$65536,"Y",[1]SurveyDATA_1!AN$1:AN$65536,"&lt;20%")</f>
        <v>#VALUE!</v>
      </c>
      <c r="AG38" s="1279" t="e">
        <f>COUNTIFS([1]SurveyDATA_1!E$1:E$65536,"*BRGY.25*",[1]SurveyDATA_1!AK$1:AK$65536,"*LAND OWNER*",[1]SurveyDATA_1!AS$1:AS$65536,"Y",[1]SurveyDATA_1!AN$1:AN$65536,"&gt;19.99%")</f>
        <v>#VALUE!</v>
      </c>
      <c r="AH38" s="1279" t="e">
        <f>COUNTIFS([1]SurveyDATA_1!E$1:E$65536,"*BRGY.25*",[1]SurveyDATA_1!BM$1:BM$65536,"Commercial",[1]SurveyDATA_1!BN$1:BN$65536,"Commercial Tenant",[1]SurveyDATA_1!BR$1:BR$65536,"&lt;20%")</f>
        <v>#VALUE!</v>
      </c>
      <c r="AI38" s="1279" t="e">
        <f>COUNTIFS([1]SurveyDATA_1!E$1:E$65536,"*BRGY.25*",[1]SurveyDATA_1!BM$1:BM$65536,"Commercial",[1]SurveyDATA_1!BN$1:BN$65536,"Commercial Tenant",[1]SurveyDATA_1!BR$1:BR$65536,"&gt;19.99%")</f>
        <v>#VALUE!</v>
      </c>
      <c r="AJ38" s="1281">
        <v>0</v>
      </c>
      <c r="AK38" s="1281">
        <v>0</v>
      </c>
      <c r="AL38" s="1279" t="e">
        <f>SUMIFS([1]SurveyDATA_1!#REF!,[1]SurveyDATA_1!E$1:E$65536,"*BRGY.25*",[1]SurveyDATA_1!BM$1:BM$65536,"Commercial",[1]SurveyDATA_1!BN$1:BN$65536,"Commercial Tenant",[1]SurveyDATA_1!BR$1:BR$65536,"&lt;20%")</f>
        <v>#REF!</v>
      </c>
      <c r="AM38" s="1279" t="e">
        <f>SUMIFS([1]SurveyDATA_1!#REF!,[1]SurveyDATA_1!E$1:E$65536,"*BRGY.25*",[1]SurveyDATA_1!BM$1:BM$65536,"Commercial",[1]SurveyDATA_1!BN$1:BN$65536,"Commercial Tenant",[1]SurveyDATA_1!BR$1:BR$65536,"&gt;19.99%")</f>
        <v>#REF!</v>
      </c>
      <c r="AN38" s="1282" t="e">
        <f t="shared" si="31"/>
        <v>#REF!</v>
      </c>
      <c r="AO38" s="1282" t="e">
        <f t="shared" si="31"/>
        <v>#REF!</v>
      </c>
      <c r="AR38" s="572"/>
      <c r="AS38" s="573" t="s">
        <v>5398</v>
      </c>
      <c r="AT38" s="1283" t="e">
        <f>COUNTIFS([1]SurveyDATA_1!E$1:E$65536,"*BRGY.29*",[1]SurveyDATA_1!BM$1:BM$65536,"*RESIDENTIAL*",[1]SurveyDATA_1!AS$1:AS$65536,"",[1]SurveyDATA_1!BN$1:BN$65536,"*Structure Owner*",[1]SurveyDATA_1!FQ$1:FQ$65536,"*STAY*")</f>
        <v>#VALUE!</v>
      </c>
      <c r="AU38" s="1284" t="e">
        <f>COUNTIFS([1]SurveyDATA_1!E$1:E$65536,"*BRGY.29*",[1]SurveyDATA_1!BM$1:BM$65536,"*RESIDENTIAL*",[1]SurveyDATA_1!AS$1:AS$65536,"",[1]SurveyDATA_1!BN$1:BN$65536,"*Structure Owner*",[1]SurveyDATA_1!FQ$1:FQ$65536,"*NEED*")</f>
        <v>#VALUE!</v>
      </c>
      <c r="AV38" s="1284" t="e">
        <f>COUNTIFS([1]SurveyDATA_1!E$1:E$65536,"*BRGY.29*",[1]SurveyDATA_1!AS$1:AS$65536,"",[1]SurveyDATA_1!FQ$1:FQ$65536,"*STAY*",[1]SurveyDATA_1!IP$1:IP$65536,"OWNER",[1]SurveyDATA_1!IR$1:IR$65536,"*")</f>
        <v>#VALUE!</v>
      </c>
      <c r="AW38" s="1284" t="e">
        <f>COUNTIFS([1]SurveyDATA_1!E$1:E$65536,"*BRGY.29*",[1]SurveyDATA_1!AS$1:AS$65536,"",[1]SurveyDATA_1!FQ$1:FQ$65536,"*NEED*",[1]SurveyDATA_1!IP$1:IP$65536,"OWNER",[1]SurveyDATA_1!IR$1:IR$65536,"*")</f>
        <v>#VALUE!</v>
      </c>
      <c r="AX38" s="1313"/>
      <c r="AY38" s="1314"/>
      <c r="AZ38" s="1285" t="e">
        <f t="shared" si="30"/>
        <v>#VALUE!</v>
      </c>
      <c r="BA38" s="1286" t="e">
        <f t="shared" si="30"/>
        <v>#VALUE!</v>
      </c>
    </row>
    <row r="39" spans="12:53">
      <c r="L39" s="1309" t="s">
        <v>1120</v>
      </c>
      <c r="M39" s="1310"/>
      <c r="N39" s="1310"/>
      <c r="O39" s="1311">
        <f t="shared" si="27"/>
        <v>0</v>
      </c>
      <c r="P39" s="1310"/>
      <c r="Q39" s="1310"/>
      <c r="R39" s="1312"/>
      <c r="V39" s="1279" t="e">
        <f>COUNTIFS([1]SurveyDATA_1!E$1:E$65536,"*BRGY.29*",[1]SurveyDATA_1!AS$1:AS$65536,"Y",[1]SurveyDATA_1!BN$1:BN$65536,"*Structure Owner*",[1]SurveyDATA_1!FQ$1:FQ$65536,"*Stay*")</f>
        <v>#VALUE!</v>
      </c>
      <c r="W39" s="1279" t="e">
        <f>COUNTIFS([1]SurveyDATA_1!E$1:E$65536,"*BRGY.29*",[1]SurveyDATA_1!AS$1:AS$65536,"Y",[1]SurveyDATA_1!BN$1:BN$65536,"*Structure Owner*",[1]SurveyDATA_1!FQ$1:FQ$65536,"*NEED*")</f>
        <v>#VALUE!</v>
      </c>
      <c r="X39" s="1279" t="e">
        <f>COUNTIFS([1]SurveyDATA_1!E$1:E$65536,"*PABLO*",[1]SurveyDATA_1!AS$1:AS$65536,"Y",[1]SurveyDATA_1!FQ$1:FQ$65536,"*Stay*",[1]SurveyDATA_1!IP$1:IP$65536,"OWNER")</f>
        <v>#VALUE!</v>
      </c>
      <c r="Y39" s="1280" t="e">
        <f>COUNTIFS([1]SurveyDATA_1!E$1:E$65536,"*PABLO*",[1]SurveyDATA_1!AS$1:AS$65536,"Y",[1]SurveyDATA_1!FQ$1:FQ$65536,"*NEED*",[1]SurveyDATA_1!IP$1:IP$65536,"OWNER")</f>
        <v>#VALUE!</v>
      </c>
      <c r="Z39" s="1279" t="e">
        <f>COUNTIFS([1]SurveyDATA_1!E$1:E$65536,"*BRGY.29*",[1]SurveyDATA_1!AS$1:AS$65536,"Y",[1]SurveyDATA_1!BM$1:BM$65536,"*INSTITUTIONAL*",[1]SurveyDATA_1!FQ$1:FQ$65536,"*STAY*")</f>
        <v>#VALUE!</v>
      </c>
      <c r="AA39" s="1279" t="e">
        <f>COUNTIFS([1]SurveyDATA_1!E$1:E$65536,"*BRGY.29*",[1]SurveyDATA_1!AS$1:AS$65536,"Y",[1]SurveyDATA_1!BM$1:BM$65536,"*INSTITUTIONAL*",[1]SurveyDATA_1!FQ$1:FQ$65536,"*STAY*")</f>
        <v>#VALUE!</v>
      </c>
      <c r="AB39" s="1279" t="e">
        <f>COUNTIFS([1]SurveyDATA_1!E$1:E$65536,"*PABLO*",[1]SurveyDATA_1!BN$1:BN$65536,"RENTER",[1]SurveyDATA_1!FQ$1:FQ$65536,"*STAY*")</f>
        <v>#VALUE!</v>
      </c>
      <c r="AC39" s="1279" t="e">
        <f>COUNTIFS([1]SurveyDATA_1!E$1:E$65536,"*PABLO*",[1]SurveyDATA_1!BN$1:BN$65536,"RENTER",[1]SurveyDATA_1!FQ$1:FQ$65536,"*NEED*")</f>
        <v>#VALUE!</v>
      </c>
      <c r="AD39" s="572"/>
      <c r="AE39" s="572"/>
      <c r="AF39" s="1279" t="e">
        <f>COUNTIFS([1]SurveyDATA_1!E$1:E$65536,"*BRGY.29*",[1]SurveyDATA_1!AK$1:AK$65536,"*LAND OWNER*",[1]SurveyDATA_1!AS$1:AS$65536,"Y",[1]SurveyDATA_1!AN$1:AN$65536,"&lt;20%")</f>
        <v>#VALUE!</v>
      </c>
      <c r="AG39" s="1279" t="e">
        <f>COUNTIFS([1]SurveyDATA_1!E$1:E$65536,"*BRGY.29*",[1]SurveyDATA_1!AK$1:AK$65536,"*LAND OWNER*",[1]SurveyDATA_1!AS$1:AS$65536,"Y",[1]SurveyDATA_1!AN$1:AN$65536,"&gt;19.99%")</f>
        <v>#VALUE!</v>
      </c>
      <c r="AH39" s="1279" t="e">
        <f>COUNTIFS([1]SurveyDATA_1!E$1:E$65536,"*BRGY.29*",[1]SurveyDATA_1!BM$1:BM$65536,"Commercial",[1]SurveyDATA_1!BN$1:BN$65536,"Commercial Tenant",[1]SurveyDATA_1!BR$1:BR$65536,"&lt;20%")</f>
        <v>#VALUE!</v>
      </c>
      <c r="AI39" s="1279" t="e">
        <f>COUNTIFS([1]SurveyDATA_1!E$1:E$65536,"*BRGY.29*",[1]SurveyDATA_1!BM$1:BM$65536,"Commercial",[1]SurveyDATA_1!BN$1:BN$65536,"Commercial Tenant",[1]SurveyDATA_1!BR$1:BR$65536,"&gt;19.99%")</f>
        <v>#VALUE!</v>
      </c>
      <c r="AJ39" s="1281">
        <v>0</v>
      </c>
      <c r="AK39" s="1281">
        <v>0</v>
      </c>
      <c r="AL39" s="1279" t="e">
        <f>SUMIFS([1]SurveyDATA_1!#REF!,[1]SurveyDATA_1!E$1:E$65536,"*BRGY.29*",[1]SurveyDATA_1!BM$1:BM$65536,"Commercial",[1]SurveyDATA_1!BN$1:BN$65536,"Commercial Tenant",[1]SurveyDATA_1!BR$1:BR$65536,"&lt;20%")</f>
        <v>#REF!</v>
      </c>
      <c r="AM39" s="1279" t="e">
        <f>SUMIFS([1]SurveyDATA_1!#REF!,[1]SurveyDATA_1!E$1:E$65536,"*BRGY.29*",[1]SurveyDATA_1!BM$1:BM$65536,"Commercial",[1]SurveyDATA_1!BN$1:BN$65536,"Commercial Tenant",[1]SurveyDATA_1!BR$1:BR$65536,"&gt;19.99%")</f>
        <v>#REF!</v>
      </c>
      <c r="AN39" s="1282" t="e">
        <f t="shared" si="31"/>
        <v>#REF!</v>
      </c>
      <c r="AO39" s="1282" t="e">
        <f t="shared" si="31"/>
        <v>#REF!</v>
      </c>
      <c r="AR39" s="572"/>
      <c r="AS39" s="573" t="s">
        <v>5399</v>
      </c>
      <c r="AT39" s="1283" t="e">
        <f>COUNTIFS([1]SurveyDATA_1!E$1:E$65536,"*BRGY.32*",[1]SurveyDATA_1!BM$1:BM$65536,"*RESIDENTIAL*",[1]SurveyDATA_1!AS$1:AS$65536,"",[1]SurveyDATA_1!BN$1:BN$65536,"*Structure Owner*",[1]SurveyDATA_1!FQ$1:FQ$65536,"*STAY*")</f>
        <v>#VALUE!</v>
      </c>
      <c r="AU39" s="1284" t="e">
        <f>COUNTIFS([1]SurveyDATA_1!E$1:E$65536,"*BRGY.32*",[1]SurveyDATA_1!BM$1:BM$65536,"*RESIDENTIAL*",[1]SurveyDATA_1!AS$1:AS$65536,"",[1]SurveyDATA_1!BN$1:BN$65536,"*Structure Owner*",[1]SurveyDATA_1!FQ$1:FQ$65536,"*NEED*")</f>
        <v>#VALUE!</v>
      </c>
      <c r="AV39" s="1284" t="e">
        <f>COUNTIFS([1]SurveyDATA_1!E$1:E$65536,"*BRGY.32*",[1]SurveyDATA_1!AS$1:AS$65536,"",[1]SurveyDATA_1!FQ$1:FQ$65536,"*STAY*",[1]SurveyDATA_1!IP$1:IP$65536,"OWNER",[1]SurveyDATA_1!IR$1:IR$65536,"*")</f>
        <v>#VALUE!</v>
      </c>
      <c r="AW39" s="1284" t="e">
        <f>COUNTIFS([1]SurveyDATA_1!E$1:E$65536,"*BRGY.32*",[1]SurveyDATA_1!AS$1:AS$65536,"",[1]SurveyDATA_1!FQ$1:FQ$65536,"*NEED*",[1]SurveyDATA_1!IP$1:IP$65536,"OWNER",[1]SurveyDATA_1!IR$1:IR$65536,"*")</f>
        <v>#VALUE!</v>
      </c>
      <c r="AX39" s="1313"/>
      <c r="AY39" s="1314"/>
      <c r="AZ39" s="1285" t="e">
        <f t="shared" si="30"/>
        <v>#VALUE!</v>
      </c>
      <c r="BA39" s="1286" t="e">
        <f t="shared" si="30"/>
        <v>#VALUE!</v>
      </c>
    </row>
    <row r="40" spans="12:53">
      <c r="L40" s="1315" t="s">
        <v>12285</v>
      </c>
      <c r="M40" s="1316" t="e">
        <f>SUM(M32:M39)</f>
        <v>#VALUE!</v>
      </c>
      <c r="N40" s="1316" t="e">
        <f>SUM(N32:N39)</f>
        <v>#VALUE!</v>
      </c>
      <c r="O40" s="1317" t="e">
        <f>SUM(O32:O39)</f>
        <v>#VALUE!</v>
      </c>
      <c r="P40" s="1316"/>
      <c r="Q40" s="1316"/>
      <c r="R40" s="1318"/>
      <c r="V40" s="1279" t="e">
        <f>COUNTIFS([1]SurveyDATA_1!E$1:E$65536,"*BRGY.32*",[1]SurveyDATA_1!AS$1:AS$65536,"Y",[1]SurveyDATA_1!BN$1:BN$65536,"*Structure Owner*",[1]SurveyDATA_1!FQ$1:FQ$65536,"*Stay*")</f>
        <v>#VALUE!</v>
      </c>
      <c r="W40" s="1279" t="e">
        <f>COUNTIFS([1]SurveyDATA_1!E$1:E$65536,"*BRGY.32*",[1]SurveyDATA_1!AS$1:AS$65536,"Y",[1]SurveyDATA_1!BN$1:BN$65536,"*Structure Owner*",[1]SurveyDATA_1!FQ$1:FQ$65536,"*NEED*")</f>
        <v>#VALUE!</v>
      </c>
      <c r="X40" s="1279" t="e">
        <f>COUNTIFS([1]SurveyDATA_1!E$1:E$65536,"*BRGY.32*",[1]SurveyDATA_1!AS$1:AS$65536,"Y",[1]SurveyDATA_1!FQ$1:FQ$65536,"*Stay*",[1]SurveyDATA_1!IP$1:IP$65536,"OWNER")</f>
        <v>#VALUE!</v>
      </c>
      <c r="Y40" s="1280" t="e">
        <f>COUNTIFS([1]SurveyDATA_1!E$1:E$65536,"*BRGY.32*",[1]SurveyDATA_1!AS$1:AS$65536,"Y",[1]SurveyDATA_1!FQ$1:FQ$65536,"*NEED*",[1]SurveyDATA_1!IP$1:IP$65536,"OWNER")</f>
        <v>#VALUE!</v>
      </c>
      <c r="Z40" s="1279" t="e">
        <f>COUNTIFS([1]SurveyDATA_1!E$1:E$65536,"*BRGY.32*",[1]SurveyDATA_1!AS$1:AS$65536,"Y",[1]SurveyDATA_1!BM$1:BM$65536,"*INSTITUTIONAL*",[1]SurveyDATA_1!FQ$1:FQ$65536,"*STAY*")</f>
        <v>#VALUE!</v>
      </c>
      <c r="AA40" s="1279" t="e">
        <f>COUNTIFS([1]SurveyDATA_1!E$1:E$65536,"*BRGY.32*",[1]SurveyDATA_1!AS$1:AS$65536,"Y",[1]SurveyDATA_1!BM$1:BM$65536,"*INSTITUTIONAL*",[1]SurveyDATA_1!FQ$1:FQ$65536,"*STAY*")</f>
        <v>#VALUE!</v>
      </c>
      <c r="AB40" s="1279" t="e">
        <f>COUNTIFS([1]SurveyDATA_1!E$1:E$65536,"*BRGY.32*",[1]SurveyDATA_1!BN$1:BN$65536,"RENTER",[1]SurveyDATA_1!FQ$1:FQ$65536,"*STAY*")</f>
        <v>#VALUE!</v>
      </c>
      <c r="AC40" s="1279" t="e">
        <f>COUNTIFS([1]SurveyDATA_1!E$1:E$65536,"*BRGY.32*",[1]SurveyDATA_1!BN$1:BN$65536,"RENTER",[1]SurveyDATA_1!FQ$1:FQ$65536,"*NEED*")</f>
        <v>#VALUE!</v>
      </c>
      <c r="AD40" s="572"/>
      <c r="AE40" s="572"/>
      <c r="AF40" s="1279" t="e">
        <f>COUNTIFS([1]SurveyDATA_1!E$1:E$65536,"*BRGY.32*",[1]SurveyDATA_1!AK$1:AK$65536,"*LAND OWNER*",[1]SurveyDATA_1!AS$1:AS$65536,"Y",[1]SurveyDATA_1!AN$1:AN$65536,"&lt;20%")</f>
        <v>#VALUE!</v>
      </c>
      <c r="AG40" s="1279" t="e">
        <f>COUNTIFS([1]SurveyDATA_1!E$1:E$65536,"*BRGY.32*",[1]SurveyDATA_1!AK$1:AK$65536,"*LAND OWNER*",[1]SurveyDATA_1!AS$1:AS$65536,"Y",[1]SurveyDATA_1!AN$1:AN$65536,"&gt;19.99%")</f>
        <v>#VALUE!</v>
      </c>
      <c r="AH40" s="1279" t="e">
        <f>COUNTIFS([1]SurveyDATA_1!E$1:E$65536,"*BRGY.32*",[1]SurveyDATA_1!BM$1:BM$65536,"Commercial",[1]SurveyDATA_1!BN$1:BN$65536,"Commercial Tenant",[1]SurveyDATA_1!BR$1:BR$65536,"&lt;20%")</f>
        <v>#VALUE!</v>
      </c>
      <c r="AI40" s="1279" t="e">
        <f>COUNTIFS([1]SurveyDATA_1!E$1:E$65536,"*BRGY.32*",[1]SurveyDATA_1!BM$1:BM$65536,"Commercial",[1]SurveyDATA_1!BN$1:BN$65536,"Commercial Tenant",[1]SurveyDATA_1!BR$1:BR$65536,"&gt;19.99%")</f>
        <v>#VALUE!</v>
      </c>
      <c r="AJ40" s="1281">
        <v>0</v>
      </c>
      <c r="AK40" s="1281">
        <v>0</v>
      </c>
      <c r="AL40" s="1279" t="e">
        <f>SUMIFS([1]SurveyDATA_1!#REF!,[1]SurveyDATA_1!E$1:E$65536,"*BRGY.32*",[1]SurveyDATA_1!BM$1:BM$65536,"Commercial",[1]SurveyDATA_1!BN$1:BN$65536,"Commercial Tenant",[1]SurveyDATA_1!BR$1:BR$65536,"&lt;20%")</f>
        <v>#REF!</v>
      </c>
      <c r="AM40" s="1279" t="e">
        <f>SUMIFS([1]SurveyDATA_1!#REF!,[1]SurveyDATA_1!E$1:E$65536,"*BRGY.32*",[1]SurveyDATA_1!BM$1:BM$65536,"Commercial",[1]SurveyDATA_1!BN$1:BN$65536,"Commercial Tenant",[1]SurveyDATA_1!BR$1:BR$65536,"&gt;19.99%")</f>
        <v>#REF!</v>
      </c>
      <c r="AN40" s="1282" t="e">
        <f t="shared" si="31"/>
        <v>#REF!</v>
      </c>
      <c r="AO40" s="1282" t="e">
        <f t="shared" si="31"/>
        <v>#REF!</v>
      </c>
      <c r="AR40" s="572"/>
      <c r="AS40" s="573" t="s">
        <v>5400</v>
      </c>
      <c r="AT40" s="1283" t="e">
        <f>COUNTIFS([1]SurveyDATA_1!E$1:E$65536,"*BRGY.33*",[1]SurveyDATA_1!BM$1:BM$65536,"*RESIDENTIAL*",[1]SurveyDATA_1!AS$1:AS$65536,"",[1]SurveyDATA_1!BN$1:BN$65536,"*Structure Owner*",[1]SurveyDATA_1!FQ$1:FQ$65536,"*STAY*")</f>
        <v>#VALUE!</v>
      </c>
      <c r="AU40" s="1284" t="e">
        <f>COUNTIFS([1]SurveyDATA_1!E$1:E$65536,"*BRGY.33*",[1]SurveyDATA_1!BM$1:BM$65536,"*RESIDENTIAL*",[1]SurveyDATA_1!AS$1:AS$65536,"",[1]SurveyDATA_1!BN$1:BN$65536,"*Structure Owner*",[1]SurveyDATA_1!FQ$1:FQ$65536,"*NEED*")</f>
        <v>#VALUE!</v>
      </c>
      <c r="AV40" s="1284" t="e">
        <f>COUNTIFS([1]SurveyDATA_1!E$1:E$65536,"*BRGY.33*",[1]SurveyDATA_1!AS$1:AS$65536,"",[1]SurveyDATA_1!FQ$1:FQ$65536,"*STAY*",[1]SurveyDATA_1!IP$1:IP$65536,"OWNER",[1]SurveyDATA_1!IR$1:IR$65536,"*")</f>
        <v>#VALUE!</v>
      </c>
      <c r="AW40" s="1284" t="e">
        <f>COUNTIFS([1]SurveyDATA_1!E$1:E$65536,"*BRGY.33*",[1]SurveyDATA_1!AS$1:AS$65536,"",[1]SurveyDATA_1!FQ$1:FQ$65536,"*NEED*",[1]SurveyDATA_1!IP$1:IP$65536,"OWNER",[1]SurveyDATA_1!IR$1:IR$65536,"*")</f>
        <v>#VALUE!</v>
      </c>
      <c r="AX40" s="1313"/>
      <c r="AY40" s="1314"/>
      <c r="AZ40" s="1285" t="e">
        <f t="shared" si="30"/>
        <v>#VALUE!</v>
      </c>
      <c r="BA40" s="1286" t="e">
        <f t="shared" si="30"/>
        <v>#VALUE!</v>
      </c>
    </row>
    <row r="41" spans="12:53" ht="15.75" thickBot="1">
      <c r="L41" s="1321" t="s">
        <v>5824</v>
      </c>
      <c r="M41" s="1322" t="e">
        <f>SUM(M40,M30)</f>
        <v>#VALUE!</v>
      </c>
      <c r="N41" s="1322"/>
      <c r="O41" s="1322"/>
      <c r="P41" s="1323"/>
      <c r="Q41" s="1323"/>
      <c r="R41" s="1324"/>
      <c r="V41" s="1279" t="e">
        <f>COUNTIFS([1]SurveyDATA_1!E$1:E$65536,"*BRGY.33*",[1]SurveyDATA_1!AS$1:AS$65536,"Y",[1]SurveyDATA_1!BN$1:BN$65536,"*Structure Owner*",[1]SurveyDATA_1!FQ$1:FQ$65536,"*Stay*")</f>
        <v>#VALUE!</v>
      </c>
      <c r="W41" s="1279" t="e">
        <f>COUNTIFS([1]SurveyDATA_1!E$1:E$65536,"*BRGY.33*",[1]SurveyDATA_1!AS$1:AS$65536,"Y",[1]SurveyDATA_1!BN$1:BN$65536,"*Structure Owner*",[1]SurveyDATA_1!FQ$1:FQ$65536,"*NEED*")</f>
        <v>#VALUE!</v>
      </c>
      <c r="X41" s="1279" t="e">
        <f>COUNTIFS([1]SurveyDATA_1!E$1:E$65536,"*BRGY.33*",[1]SurveyDATA_1!AS$1:AS$65536,"Y",[1]SurveyDATA_1!FQ$1:FQ$65536,"*Stay*",[1]SurveyDATA_1!IP$1:IP$65536,"OWNER")</f>
        <v>#VALUE!</v>
      </c>
      <c r="Y41" s="1280" t="e">
        <f>COUNTIFS([1]SurveyDATA_1!E$1:E$65536,"*BRGY.33*",[1]SurveyDATA_1!AS$1:AS$65536,"Y",[1]SurveyDATA_1!FQ$1:FQ$65536,"*NEED*",[1]SurveyDATA_1!IP$1:IP$65536,"OWNER")</f>
        <v>#VALUE!</v>
      </c>
      <c r="Z41" s="1279" t="e">
        <f>COUNTIFS([1]SurveyDATA_1!E$1:E$65536,"*BRGY.33*",[1]SurveyDATA_1!AS$1:AS$65536,"Y",[1]SurveyDATA_1!BM$1:BM$65536,"*INSTITUTIONAL*",[1]SurveyDATA_1!FQ$1:FQ$65536,"*STAY*")</f>
        <v>#VALUE!</v>
      </c>
      <c r="AA41" s="1279" t="e">
        <f>COUNTIFS([1]SurveyDATA_1!E$1:E$65536,"*BRGY.33*",[1]SurveyDATA_1!AS$1:AS$65536,"Y",[1]SurveyDATA_1!BM$1:BM$65536,"*INSTITUTIONAL*",[1]SurveyDATA_1!FQ$1:FQ$65536,"*STAY*")</f>
        <v>#VALUE!</v>
      </c>
      <c r="AB41" s="1279" t="e">
        <f>COUNTIFS([1]SurveyDATA_1!E$1:E$65536,"*BRGY.33*",[1]SurveyDATA_1!BN$1:BN$65536,"RENTER",[1]SurveyDATA_1!FQ$1:FQ$65536,"*STAY*")</f>
        <v>#VALUE!</v>
      </c>
      <c r="AC41" s="1279" t="e">
        <f>COUNTIFS([1]SurveyDATA_1!E$1:E$65536,"*BRGY.33*",[1]SurveyDATA_1!BN$1:BN$65536,"RENTER",[1]SurveyDATA_1!FQ$1:FQ$65536,"*NEED*")</f>
        <v>#VALUE!</v>
      </c>
      <c r="AD41" s="572"/>
      <c r="AE41" s="572"/>
      <c r="AF41" s="1279" t="e">
        <f>COUNTIFS([1]SurveyDATA_1!E$1:E$65536,"*BRGY.33*",[1]SurveyDATA_1!AK$1:AK$65536,"*LAND OWNER*",[1]SurveyDATA_1!AS$1:AS$65536,"Y",[1]SurveyDATA_1!AN$1:AN$65536,"&lt;20%")</f>
        <v>#VALUE!</v>
      </c>
      <c r="AG41" s="1279" t="e">
        <f>COUNTIFS([1]SurveyDATA_1!E$1:E$65536,"*BRGY.33*",[1]SurveyDATA_1!AK$1:AK$65536,"*LAND OWNER*",[1]SurveyDATA_1!AS$1:AS$65536,"Y",[1]SurveyDATA_1!AN$1:AN$65536,"&gt;19.99%")</f>
        <v>#VALUE!</v>
      </c>
      <c r="AH41" s="1279" t="e">
        <f>COUNTIFS([1]SurveyDATA_1!E$1:E$65536,"*BRGY.33*",[1]SurveyDATA_1!BM$1:BM$65536,"Commercial",[1]SurveyDATA_1!BN$1:BN$65536,"Commercial Tenant",[1]SurveyDATA_1!BR$1:BR$65536,"&lt;20%")</f>
        <v>#VALUE!</v>
      </c>
      <c r="AI41" s="1279" t="e">
        <f>COUNTIFS([1]SurveyDATA_1!E$1:E$65536,"*BRGY.33*",[1]SurveyDATA_1!BM$1:BM$65536,"Commercial",[1]SurveyDATA_1!BN$1:BN$65536,"Commercial Tenant",[1]SurveyDATA_1!BR$1:BR$65536,"&gt;19.99%")</f>
        <v>#VALUE!</v>
      </c>
      <c r="AJ41" s="1281">
        <v>0</v>
      </c>
      <c r="AK41" s="1281">
        <v>0</v>
      </c>
      <c r="AL41" s="1279" t="e">
        <f>SUMIFS([1]SurveyDATA_1!#REF!,[1]SurveyDATA_1!E$1:E$65536,"*BRGY.33*",[1]SurveyDATA_1!BM$1:BM$65536,"Commercial",[1]SurveyDATA_1!BN$1:BN$65536,"Commercial Tenant",[1]SurveyDATA_1!BR$1:BR$65536,"&lt;20%")</f>
        <v>#REF!</v>
      </c>
      <c r="AM41" s="1279" t="e">
        <f>SUMIFS([1]SurveyDATA_1!#REF!,[1]SurveyDATA_1!E$1:E$65536,"*BRGY.33*",[1]SurveyDATA_1!BM$1:BM$65536,"Commercial",[1]SurveyDATA_1!BN$1:BN$65536,"Commercial Tenant",[1]SurveyDATA_1!BR$1:BR$65536,"&gt;19.99%")</f>
        <v>#REF!</v>
      </c>
      <c r="AN41" s="1282" t="e">
        <f t="shared" si="31"/>
        <v>#REF!</v>
      </c>
      <c r="AO41" s="1282" t="e">
        <f t="shared" si="31"/>
        <v>#REF!</v>
      </c>
      <c r="AR41" s="572"/>
      <c r="AS41" s="574" t="s">
        <v>7216</v>
      </c>
      <c r="AT41" s="638" t="e">
        <f>SUM(AT33:AT40)</f>
        <v>#VALUE!</v>
      </c>
      <c r="AU41" s="638" t="e">
        <f t="shared" ref="AU41:BA41" si="32">SUM(AU33:AU40)</f>
        <v>#VALUE!</v>
      </c>
      <c r="AV41" s="638" t="e">
        <f t="shared" si="32"/>
        <v>#VALUE!</v>
      </c>
      <c r="AW41" s="638" t="e">
        <f t="shared" si="32"/>
        <v>#VALUE!</v>
      </c>
      <c r="AX41" s="638">
        <f t="shared" si="32"/>
        <v>0</v>
      </c>
      <c r="AY41" s="1289">
        <f t="shared" si="32"/>
        <v>0</v>
      </c>
      <c r="AZ41" s="1285" t="e">
        <f t="shared" si="32"/>
        <v>#VALUE!</v>
      </c>
      <c r="BA41" s="1286" t="e">
        <f t="shared" si="32"/>
        <v>#VALUE!</v>
      </c>
    </row>
    <row r="42" spans="12:53">
      <c r="V42" s="575" t="e">
        <f t="shared" ref="V42:AO42" si="33">SUM(V34:V41)</f>
        <v>#VALUE!</v>
      </c>
      <c r="W42" s="575" t="e">
        <f t="shared" si="33"/>
        <v>#VALUE!</v>
      </c>
      <c r="X42" s="575" t="e">
        <f t="shared" si="33"/>
        <v>#VALUE!</v>
      </c>
      <c r="Y42" s="575" t="e">
        <f t="shared" si="33"/>
        <v>#VALUE!</v>
      </c>
      <c r="Z42" s="575" t="e">
        <f t="shared" si="33"/>
        <v>#VALUE!</v>
      </c>
      <c r="AA42" s="575" t="e">
        <f t="shared" si="33"/>
        <v>#VALUE!</v>
      </c>
      <c r="AB42" s="575" t="e">
        <f t="shared" si="33"/>
        <v>#VALUE!</v>
      </c>
      <c r="AC42" s="575" t="e">
        <f t="shared" si="33"/>
        <v>#VALUE!</v>
      </c>
      <c r="AD42" s="575">
        <f t="shared" si="33"/>
        <v>0</v>
      </c>
      <c r="AE42" s="575">
        <f t="shared" si="33"/>
        <v>0</v>
      </c>
      <c r="AF42" s="575" t="e">
        <f t="shared" si="33"/>
        <v>#VALUE!</v>
      </c>
      <c r="AG42" s="575" t="e">
        <f t="shared" si="33"/>
        <v>#VALUE!</v>
      </c>
      <c r="AH42" s="575" t="e">
        <f t="shared" si="33"/>
        <v>#VALUE!</v>
      </c>
      <c r="AI42" s="575" t="e">
        <f t="shared" si="33"/>
        <v>#VALUE!</v>
      </c>
      <c r="AJ42" s="575">
        <f t="shared" si="33"/>
        <v>0</v>
      </c>
      <c r="AK42" s="575">
        <f t="shared" si="33"/>
        <v>0</v>
      </c>
      <c r="AL42" s="575" t="e">
        <f t="shared" si="33"/>
        <v>#REF!</v>
      </c>
      <c r="AM42" s="575" t="e">
        <f t="shared" si="33"/>
        <v>#REF!</v>
      </c>
      <c r="AN42" s="575" t="e">
        <f t="shared" si="33"/>
        <v>#REF!</v>
      </c>
      <c r="AO42" s="575" t="e">
        <f t="shared" si="33"/>
        <v>#REF!</v>
      </c>
      <c r="AR42" s="572" t="s">
        <v>1020</v>
      </c>
      <c r="AS42" s="573" t="s">
        <v>5800</v>
      </c>
      <c r="AT42" s="1283" t="e">
        <f>COUNTIFS([1]SurveyDATA_1!E$1:E$65536,"*BRGY.50*",[1]SurveyDATA_1!BM$1:BM$65536,"*RESIDENTIAL*",[1]SurveyDATA_1!AS$1:AS$65536,"",[1]SurveyDATA_1!BN$1:BN$65536,"*Structure Owner*",[1]SurveyDATA_1!FQ$1:FQ$65536,"*STAY*")</f>
        <v>#VALUE!</v>
      </c>
      <c r="AU42" s="1284" t="e">
        <f>COUNTIFS([1]SurveyDATA_1!E$1:E$65536,"*BRGY.50*",[1]SurveyDATA_1!BM$1:BM$65536,"*RESIDENTIAL*",[1]SurveyDATA_1!AS$1:AS$65536,"",[1]SurveyDATA_1!BN$1:BN$65536,"*Structure Owner*",[1]SurveyDATA_1!FQ$1:FQ$65536,"*NEED*")</f>
        <v>#VALUE!</v>
      </c>
      <c r="AV42" s="1284" t="e">
        <f>COUNTIFS([1]SurveyDATA_1!E$1:E$65536,"*BRGY.50*",[1]SurveyDATA_1!AS$1:AS$65536,"",[1]SurveyDATA_1!FQ$1:FQ$65536,"*STAY*",[1]SurveyDATA_1!IP$1:IP$65536,"OWNER",[1]SurveyDATA_1!IR$1:IR$65536,"*")</f>
        <v>#VALUE!</v>
      </c>
      <c r="AW42" s="1284" t="e">
        <f>COUNTIFS([1]SurveyDATA_1!E$1:E$65536,"*BRGY.50*",[1]SurveyDATA_1!AS$1:AS$65536,"",[1]SurveyDATA_1!FQ$1:FQ$65536,"*NEED*",[1]SurveyDATA_1!IP$1:IP$65536,"OWNER",[1]SurveyDATA_1!IR$1:IR$65536,"*")</f>
        <v>#VALUE!</v>
      </c>
      <c r="AX42" s="1325"/>
      <c r="AY42" s="1326"/>
      <c r="AZ42" s="1285" t="e">
        <f t="shared" ref="AZ42:BA56" si="34">SUM(AT42,AV42,AX42,)</f>
        <v>#VALUE!</v>
      </c>
      <c r="BA42" s="1286" t="e">
        <f t="shared" si="34"/>
        <v>#VALUE!</v>
      </c>
    </row>
    <row r="43" spans="12:53">
      <c r="V43" s="1279" t="e">
        <f>COUNTIFS([1]SurveyDATA_1!E$1:E$65536,"*BRGY.50*",[1]SurveyDATA_1!AS$1:AS$65536,"Y",[1]SurveyDATA_1!BN$1:BN$65536,"*Structure Owner*",[1]SurveyDATA_1!FQ$1:FQ$65536,"*Stay*")</f>
        <v>#VALUE!</v>
      </c>
      <c r="W43" s="1279" t="e">
        <f>COUNTIFS([1]SurveyDATA_1!E$1:E$65536,"*BRGY.50*",[1]SurveyDATA_1!AS$1:AS$65536,"Y",[1]SurveyDATA_1!BN$1:BN$65536,"*Structure Owner*",[1]SurveyDATA_1!FQ$1:FQ$65536,"*NEED*")</f>
        <v>#VALUE!</v>
      </c>
      <c r="X43" s="1279" t="e">
        <f>COUNTIFS([1]SurveyDATA_1!E$1:E$65536,"*BRGY.50*",[1]SurveyDATA_1!AS$1:AS$65536,"Y",[1]SurveyDATA_1!FQ$1:FQ$65536,"*Stay*",[1]SurveyDATA_1!IP$1:IP$65536,"OWNER")</f>
        <v>#VALUE!</v>
      </c>
      <c r="Y43" s="1280" t="e">
        <f>COUNTIFS([1]SurveyDATA_1!E$1:E$65536,"*BRGY.50*",[1]SurveyDATA_1!AS$1:AS$65536,"Y",[1]SurveyDATA_1!FQ$1:FQ$65536,"*NEED*",[1]SurveyDATA_1!IP$1:IP$65536,"OWNER")</f>
        <v>#VALUE!</v>
      </c>
      <c r="Z43" s="1279" t="e">
        <f>COUNTIFS([1]SurveyDATA_1!E$1:E$65536,"*BANCAL*",[1]SurveyDATA_1!AS$1:AS$65536,"Y",[1]SurveyDATA_1!BM$1:BM$65536,"*INSTITUTIONAL*",[1]SurveyDATA_1!FQ$1:FQ$65536,"*STAY*")</f>
        <v>#VALUE!</v>
      </c>
      <c r="AA43" s="1279" t="e">
        <f>COUNTIFS([1]SurveyDATA_1!E$1:E$65536,"*BANCAL*",[1]SurveyDATA_1!AS$1:AS$65536,"Y",[1]SurveyDATA_1!BM$1:BM$65536,"*INSTITUTIONAL*",[1]SurveyDATA_1!FQ$1:FQ$65536,"*STAY*")</f>
        <v>#VALUE!</v>
      </c>
      <c r="AB43" s="1279" t="e">
        <f>COUNTIFS([1]SurveyDATA_1!E$1:E$65536,"*BRGY.50*",[1]SurveyDATA_1!BN$1:BN$65536,"RENTER",[1]SurveyDATA_1!FQ$1:FQ$65536,"*STAY*")</f>
        <v>#VALUE!</v>
      </c>
      <c r="AC43" s="1279" t="e">
        <f>COUNTIFS([1]SurveyDATA_1!E$1:E$65536,"*BRGY.50*",[1]SurveyDATA_1!BN$1:BN$65536,"RENTER",[1]SurveyDATA_1!FQ$1:FQ$65536,"*NEED*")</f>
        <v>#VALUE!</v>
      </c>
      <c r="AD43" s="572"/>
      <c r="AE43" s="572"/>
      <c r="AF43" s="1279" t="e">
        <f>COUNTIFS([1]SurveyDATA_1!E$1:E$65536,"*BRGY.50*",[1]SurveyDATA_1!AK$1:AK$65536,"*LAND OWNER*",[1]SurveyDATA_1!AS$1:AS$65536,"Y",[1]SurveyDATA_1!AN$1:AN$65536,"&lt;20%")</f>
        <v>#VALUE!</v>
      </c>
      <c r="AG43" s="1279" t="e">
        <f>COUNTIFS([1]SurveyDATA_1!E$1:E$65536,"*BRGY.50*",[1]SurveyDATA_1!AK$1:AK$65536,"*LAND OWNER*",[1]SurveyDATA_1!AS$1:AS$65536,"Y",[1]SurveyDATA_1!AN$1:AN$65536,"&gt;19.99%")</f>
        <v>#VALUE!</v>
      </c>
      <c r="AH43" s="1279" t="e">
        <f>COUNTIFS([1]SurveyDATA_1!E$1:E$65536,"*BRGY.50*",[1]SurveyDATA_1!BM$1:BM$65536,"Commercial",[1]SurveyDATA_1!BN$1:BN$65536,"Commercial Tenant",[1]SurveyDATA_1!BR$1:BR$65536,"&lt;20%")</f>
        <v>#VALUE!</v>
      </c>
      <c r="AI43" s="1279" t="e">
        <f>COUNTIFS([1]SurveyDATA_1!E$1:E$65536,"*BRGY.50*",[1]SurveyDATA_1!BM$1:BM$65536,"Commercial",[1]SurveyDATA_1!BN$1:BN$65536,"Commercial Tenant",[1]SurveyDATA_1!BR$1:BR$65536,"&gt;19.99%")</f>
        <v>#VALUE!</v>
      </c>
      <c r="AJ43" s="1281">
        <v>0</v>
      </c>
      <c r="AK43" s="1281">
        <v>0</v>
      </c>
      <c r="AL43" s="1279" t="e">
        <f>SUMIFS([1]SurveyDATA_1!#REF!,[1]SurveyDATA_1!E$1:E$65536,"*BRGY.50*",[1]SurveyDATA_1!BM$1:BM$65536,"Commercial",[1]SurveyDATA_1!BN$1:BN$65536,"Commercial Tenant",[1]SurveyDATA_1!BR$1:BR$65536,"&lt;20%")</f>
        <v>#REF!</v>
      </c>
      <c r="AM43" s="1279" t="e">
        <f>SUMIFS([1]SurveyDATA_1!#REF!,[1]SurveyDATA_1!E$1:E$65536,"*BRGY.50*",[1]SurveyDATA_1!BM$1:BM$65536,"Commercial",[1]SurveyDATA_1!BN$1:BN$65536,"Commercial Tenant",[1]SurveyDATA_1!BR$1:BR$65536,"&gt;19.99%")</f>
        <v>#REF!</v>
      </c>
      <c r="AN43" s="1282" t="e">
        <f t="shared" ref="AN43:AO57" si="35">SUM(AL43,AJ43,AH43,AF43,AD43,AB43,Z43,X43,V43)</f>
        <v>#REF!</v>
      </c>
      <c r="AO43" s="1282" t="e">
        <f t="shared" si="35"/>
        <v>#REF!</v>
      </c>
      <c r="AR43" s="572"/>
      <c r="AS43" s="573" t="s">
        <v>5801</v>
      </c>
      <c r="AT43" s="1283" t="e">
        <f>COUNTIFS([1]SurveyDATA_1!E$1:E$65536,"*BRGY.51*",[1]SurveyDATA_1!BM$1:BM$65536,"*RESIDENTIAL*",[1]SurveyDATA_1!AS$1:AS$65536,"",[1]SurveyDATA_1!BN$1:BN$65536,"*Structure Owner*",[1]SurveyDATA_1!FQ$1:FQ$65536,"*STAY*")</f>
        <v>#VALUE!</v>
      </c>
      <c r="AU43" s="1284" t="e">
        <f>COUNTIFS([1]SurveyDATA_1!E$1:E$65536,"*BRGY.51*",[1]SurveyDATA_1!BM$1:BM$65536,"*RESIDENTIAL*",[1]SurveyDATA_1!AS$1:AS$65536,"",[1]SurveyDATA_1!BN$1:BN$65536,"*Structure Owner*",[1]SurveyDATA_1!FQ$1:FQ$65536,"*NEED*")</f>
        <v>#VALUE!</v>
      </c>
      <c r="AV43" s="1284" t="e">
        <f>COUNTIFS([1]SurveyDATA_1!E$1:E$65536,"*BRGY.51*",[1]SurveyDATA_1!AS$1:AS$65536,"",[1]SurveyDATA_1!FQ$1:FQ$65536,"*STAY*",[1]SurveyDATA_1!IP$1:IP$65536,"OWNER",[1]SurveyDATA_1!IR$1:IR$65536,"*")</f>
        <v>#VALUE!</v>
      </c>
      <c r="AW43" s="1284" t="e">
        <f>COUNTIFS([1]SurveyDATA_1!E$1:E$65536,"*BRGY.51*",[1]SurveyDATA_1!AS$1:AS$65536,"",[1]SurveyDATA_1!FQ$1:FQ$65536,"*NEED*",[1]SurveyDATA_1!IP$1:IP$65536,"OWNER",[1]SurveyDATA_1!IR$1:IR$65536,"*")</f>
        <v>#VALUE!</v>
      </c>
      <c r="AX43" s="1325"/>
      <c r="AY43" s="1326"/>
      <c r="AZ43" s="1285" t="e">
        <f t="shared" si="34"/>
        <v>#VALUE!</v>
      </c>
      <c r="BA43" s="1286" t="e">
        <f t="shared" si="34"/>
        <v>#VALUE!</v>
      </c>
    </row>
    <row r="44" spans="12:53" ht="15" customHeight="1">
      <c r="V44" s="1279" t="e">
        <f>COUNTIFS([1]SurveyDATA_1!E$1:E$65536,"*BRGY.51*",[1]SurveyDATA_1!AS$1:AS$65536,"Y",[1]SurveyDATA_1!BN$1:BN$65536,"*Structure Owner*",[1]SurveyDATA_1!FQ$1:FQ$65536,"*Stay*")</f>
        <v>#VALUE!</v>
      </c>
      <c r="W44" s="1279" t="e">
        <f>COUNTIFS([1]SurveyDATA_1!E$1:E$65536,"*BRGY.51*",[1]SurveyDATA_1!AS$1:AS$65536,"Y",[1]SurveyDATA_1!BN$1:BN$65536,"*Structure Owner*",[1]SurveyDATA_1!FQ$1:FQ$65536,"*NEED*")</f>
        <v>#VALUE!</v>
      </c>
      <c r="X44" s="1279" t="e">
        <f>COUNTIFS([1]SurveyDATA_1!E$1:E$65536,"*BRGY.51*",[1]SurveyDATA_1!AS$1:AS$65536,"Y",[1]SurveyDATA_1!FQ$1:FQ$65536,"*Stay*",[1]SurveyDATA_1!IP$1:IP$65536,"OWNER")</f>
        <v>#VALUE!</v>
      </c>
      <c r="Y44" s="1280" t="e">
        <f>COUNTIFS([1]SurveyDATA_1!E$1:E$65536,"*BRGY.51*",[1]SurveyDATA_1!AS$1:AS$65536,"Y",[1]SurveyDATA_1!FQ$1:FQ$65536,"*NEED*",[1]SurveyDATA_1!IP$1:IP$65536,"OWNER")</f>
        <v>#VALUE!</v>
      </c>
      <c r="Z44" s="1279" t="e">
        <f>COUNTIFS([1]SurveyDATA_1!E$1:E$65536,"*BANCAL*",[1]SurveyDATA_1!AS$1:AS$65536,"Y",[1]SurveyDATA_1!BM$1:BM$65536,"*INSTITUTIONAL*",[1]SurveyDATA_1!FQ$1:FQ$65536,"*STAY*")</f>
        <v>#VALUE!</v>
      </c>
      <c r="AA44" s="1279" t="e">
        <f>COUNTIFS([1]SurveyDATA_1!E$1:E$65536,"*BANCAL*",[1]SurveyDATA_1!AS$1:AS$65536,"Y",[1]SurveyDATA_1!BM$1:BM$65536,"*INSTITUTIONAL*",[1]SurveyDATA_1!FQ$1:FQ$65536,"*STAY*")</f>
        <v>#VALUE!</v>
      </c>
      <c r="AB44" s="1279" t="e">
        <f>COUNTIFS([1]SurveyDATA_1!E$1:E$65536,"*BRGY.51*",[1]SurveyDATA_1!BN$1:BN$65536,"RENTER",[1]SurveyDATA_1!FQ$1:FQ$65536,"*STAY*")</f>
        <v>#VALUE!</v>
      </c>
      <c r="AC44" s="1279" t="e">
        <f>COUNTIFS([1]SurveyDATA_1!E$1:E$65536,"*BRGY.51*",[1]SurveyDATA_1!BN$1:BN$65536,"RENTER",[1]SurveyDATA_1!FQ$1:FQ$65536,"*NEED*")</f>
        <v>#VALUE!</v>
      </c>
      <c r="AD44" s="572"/>
      <c r="AE44" s="572"/>
      <c r="AF44" s="1279" t="e">
        <f>COUNTIFS([1]SurveyDATA_1!E$1:E$65536,"*BRGY.51*",[1]SurveyDATA_1!AK$1:AK$65536,"*LAND OWNER*",[1]SurveyDATA_1!AS$1:AS$65536,"Y",[1]SurveyDATA_1!AN$1:AN$65536,"&lt;20%")</f>
        <v>#VALUE!</v>
      </c>
      <c r="AG44" s="1279" t="e">
        <f>COUNTIFS([1]SurveyDATA_1!E$1:E$65536,"*BRGY.51*",[1]SurveyDATA_1!AK$1:AK$65536,"*LAND OWNER*",[1]SurveyDATA_1!AS$1:AS$65536,"Y",[1]SurveyDATA_1!AN$1:AN$65536,"&gt;19.99%")</f>
        <v>#VALUE!</v>
      </c>
      <c r="AH44" s="1279" t="e">
        <f>COUNTIFS([1]SurveyDATA_1!E$1:E$65536,"*BRGY.51*",[1]SurveyDATA_1!BM$1:BM$65536,"Commercial",[1]SurveyDATA_1!BN$1:BN$65536,"Commercial Tenant",[1]SurveyDATA_1!BR$1:BR$65536,"&lt;20%")</f>
        <v>#VALUE!</v>
      </c>
      <c r="AI44" s="1279" t="e">
        <f>COUNTIFS([1]SurveyDATA_1!E$1:E$65536,"*BRGY.33*",[1]SurveyDATA_1!BM$1:BM$65536,"Commercial",[1]SurveyDATA_1!BN$1:BN$65536,"Commercial Tenant",[1]SurveyDATA_1!BR$1:BR$65536,"&gt;19.99%")</f>
        <v>#VALUE!</v>
      </c>
      <c r="AJ44" s="1281">
        <v>0</v>
      </c>
      <c r="AK44" s="1281">
        <v>0</v>
      </c>
      <c r="AL44" s="1279" t="e">
        <f>SUMIFS([1]SurveyDATA_1!#REF!,[1]SurveyDATA_1!E$1:E$65536,"*BRGY.51*",[1]SurveyDATA_1!BM$1:BM$65536,"Commercial",[1]SurveyDATA_1!BN$1:BN$65536,"Commercial Tenant",[1]SurveyDATA_1!BR$1:BR$65536,"&lt;20%")</f>
        <v>#REF!</v>
      </c>
      <c r="AM44" s="1279" t="e">
        <f>SUMIFS([1]SurveyDATA_1!#REF!,[1]SurveyDATA_1!E$1:E$65536,"*BRGY.51*",[1]SurveyDATA_1!BM$1:BM$65536,"Commercial",[1]SurveyDATA_1!BN$1:BN$65536,"Commercial Tenant",[1]SurveyDATA_1!BR$1:BR$65536,"&gt;19.99%")</f>
        <v>#REF!</v>
      </c>
      <c r="AN44" s="1282" t="e">
        <f t="shared" si="35"/>
        <v>#REF!</v>
      </c>
      <c r="AO44" s="1282" t="e">
        <f t="shared" si="35"/>
        <v>#REF!</v>
      </c>
      <c r="AR44" s="572"/>
      <c r="AS44" s="573" t="s">
        <v>5802</v>
      </c>
      <c r="AT44" s="1283" t="e">
        <f>COUNTIFS([1]SurveyDATA_1!E$1:E$65536,"*BRGY.53*",[1]SurveyDATA_1!BM$1:BM$65536,"*RESIDENTIAL*",[1]SurveyDATA_1!AS$1:AS$65536,"",[1]SurveyDATA_1!BN$1:BN$65536,"*Structure Owner*",[1]SurveyDATA_1!FQ$1:FQ$65536,"*STAY*")</f>
        <v>#VALUE!</v>
      </c>
      <c r="AU44" s="1284" t="e">
        <f>COUNTIFS([1]SurveyDATA_1!E$1:E$65536,"*BRGY.53*",[1]SurveyDATA_1!BM$1:BM$65536,"*RESIDENTIAL*",[1]SurveyDATA_1!AS$1:AS$65536,"",[1]SurveyDATA_1!BN$1:BN$65536,"*Structure Owner*",[1]SurveyDATA_1!FQ$1:FQ$65536,"*NEED*")</f>
        <v>#VALUE!</v>
      </c>
      <c r="AV44" s="1284" t="e">
        <f>COUNTIFS([1]SurveyDATA_1!E$1:E$65536,"*BRGY.53*",[1]SurveyDATA_1!AS$1:AS$65536,"",[1]SurveyDATA_1!FQ$1:FQ$65536,"*STAY*",[1]SurveyDATA_1!IP$1:IP$65536,"OWNER",[1]SurveyDATA_1!IR$1:IR$65536,"*")</f>
        <v>#VALUE!</v>
      </c>
      <c r="AW44" s="1284" t="e">
        <f>COUNTIFS([1]SurveyDATA_1!E$1:E$65536,"*BRGY.53*",[1]SurveyDATA_1!AS$1:AS$65536,"",[1]SurveyDATA_1!FQ$1:FQ$65536,"*NEED*",[1]SurveyDATA_1!IP$1:IP$65536,"OWNER",[1]SurveyDATA_1!IR$1:IR$65536,"*")</f>
        <v>#VALUE!</v>
      </c>
      <c r="AX44" s="1325"/>
      <c r="AY44" s="1326"/>
      <c r="AZ44" s="1285" t="e">
        <f t="shared" si="34"/>
        <v>#VALUE!</v>
      </c>
      <c r="BA44" s="1286" t="e">
        <f t="shared" si="34"/>
        <v>#VALUE!</v>
      </c>
    </row>
    <row r="45" spans="12:53" ht="15" customHeight="1">
      <c r="V45" s="1279" t="e">
        <f>COUNTIFS([1]SurveyDATA_1!E$1:E$65536,"*BRGY.53*",[1]SurveyDATA_1!AS$1:AS$65536,"Y",[1]SurveyDATA_1!BN$1:BN$65536,"*Structure Owner*",[1]SurveyDATA_1!FQ$1:FQ$65536,"*Stay*")</f>
        <v>#VALUE!</v>
      </c>
      <c r="W45" s="1279" t="e">
        <f>COUNTIFS([1]SurveyDATA_1!E$1:E$65536,"*BRGY.53*",[1]SurveyDATA_1!AS$1:AS$65536,"Y",[1]SurveyDATA_1!BN$1:BN$65536,"*Structure Owner*",[1]SurveyDATA_1!FQ$1:FQ$65536,"*NEED*")</f>
        <v>#VALUE!</v>
      </c>
      <c r="X45" s="1279" t="e">
        <f>COUNTIFS([1]SurveyDATA_1!E$1:E$65536,"*BRGY.3BRGY.53*",[1]SurveyDATA_1!AS$1:AS$65536,"Y",[1]SurveyDATA_1!FQ$1:FQ$65536,"*Stay*",[1]SurveyDATA_1!IP$1:IP$65536,"OWNER")</f>
        <v>#VALUE!</v>
      </c>
      <c r="Y45" s="1280" t="e">
        <f>COUNTIFS([1]SurveyDATA_1!E$1:E$65536,"*BRGY.53*",[1]SurveyDATA_1!AS$1:AS$65536,"Y",[1]SurveyDATA_1!FQ$1:FQ$65536,"*NEED*",[1]SurveyDATA_1!IP$1:IP$65536,"OWNER")</f>
        <v>#VALUE!</v>
      </c>
      <c r="Z45" s="1279" t="e">
        <f>COUNTIFS([1]SurveyDATA_1!E$1:E$65536,"*BANCAL*",[1]SurveyDATA_1!AS$1:AS$65536,"Y",[1]SurveyDATA_1!BM$1:BM$65536,"*INSTITUTIONAL*",[1]SurveyDATA_1!FQ$1:FQ$65536,"*STAY*")</f>
        <v>#VALUE!</v>
      </c>
      <c r="AA45" s="1279" t="e">
        <f>COUNTIFS([1]SurveyDATA_1!E$1:E$65536,"*BANCAL*",[1]SurveyDATA_1!AS$1:AS$65536,"Y",[1]SurveyDATA_1!BM$1:BM$65536,"*INSTITUTIONAL*",[1]SurveyDATA_1!FQ$1:FQ$65536,"*STAY*")</f>
        <v>#VALUE!</v>
      </c>
      <c r="AB45" s="1279" t="e">
        <f>COUNTIFS([1]SurveyDATA_1!E$1:E$65536,"*BRGY.53*",[1]SurveyDATA_1!BN$1:BN$65536,"RENTER",[1]SurveyDATA_1!FQ$1:FQ$65536,"*STAY*")</f>
        <v>#VALUE!</v>
      </c>
      <c r="AC45" s="1279" t="e">
        <f>COUNTIFS([1]SurveyDATA_1!E$1:E$65536,"*BRGY.53*",[1]SurveyDATA_1!BN$1:BN$65536,"RENTER",[1]SurveyDATA_1!FQ$1:FQ$65536,"*NEED*")</f>
        <v>#VALUE!</v>
      </c>
      <c r="AD45" s="572"/>
      <c r="AE45" s="572"/>
      <c r="AF45" s="1279" t="e">
        <f>COUNTIFS([1]SurveyDATA_1!E$1:E$65536,"*BRGY.53*",[1]SurveyDATA_1!AK$1:AK$65536,"*LAND OWNER*",[1]SurveyDATA_1!AS$1:AS$65536,"Y",[1]SurveyDATA_1!AN$1:AN$65536,"&lt;20%")</f>
        <v>#VALUE!</v>
      </c>
      <c r="AG45" s="1279" t="e">
        <f>COUNTIFS([1]SurveyDATA_1!E$1:E$65536,"*BRGY.53*",[1]SurveyDATA_1!AK$1:AK$65536,"*LAND OWNER*",[1]SurveyDATA_1!AS$1:AS$65536,"Y",[1]SurveyDATA_1!AN$1:AN$65536,"&gt;19.99%")</f>
        <v>#VALUE!</v>
      </c>
      <c r="AH45" s="1279" t="e">
        <f>COUNTIFS([1]SurveyDATA_1!E$1:E$65536,"*BRGY.53*",[1]SurveyDATA_1!BM$1:BM$65536,"Commercial",[1]SurveyDATA_1!BN$1:BN$65536,"Commercial Tenant",[1]SurveyDATA_1!BR$1:BR$65536,"&lt;20%")</f>
        <v>#VALUE!</v>
      </c>
      <c r="AI45" s="1279" t="e">
        <f>COUNTIFS([1]SurveyDATA_1!E$1:E$65536,"*BRGY.53*",[1]SurveyDATA_1!BM$1:BM$65536,"Commercial",[1]SurveyDATA_1!BN$1:BN$65536,"Commercial Tenant",[1]SurveyDATA_1!BR$1:BR$65536,"&gt;19.99%")</f>
        <v>#VALUE!</v>
      </c>
      <c r="AJ45" s="1281">
        <v>0</v>
      </c>
      <c r="AK45" s="1281">
        <v>0</v>
      </c>
      <c r="AL45" s="1279" t="e">
        <f>SUMIFS([1]SurveyDATA_1!#REF!,[1]SurveyDATA_1!E$1:E$65536,"*BRGY.53*",[1]SurveyDATA_1!BM$1:BM$65536,"Commercial",[1]SurveyDATA_1!BN$1:BN$65536,"Commercial Tenant",[1]SurveyDATA_1!BR$1:BR$65536,"&lt;20%")</f>
        <v>#REF!</v>
      </c>
      <c r="AM45" s="1279" t="e">
        <f>SUMIFS([1]SurveyDATA_1!#REF!,[1]SurveyDATA_1!E$1:E$65536,"*BRGY.53*",[1]SurveyDATA_1!BM$1:BM$65536,"Commercial",[1]SurveyDATA_1!BN$1:BN$65536,"Commercial Tenant",[1]SurveyDATA_1!BR$1:BR$65536,"&gt;19.99%")</f>
        <v>#REF!</v>
      </c>
      <c r="AN45" s="1282" t="e">
        <f t="shared" si="35"/>
        <v>#REF!</v>
      </c>
      <c r="AO45" s="1282" t="e">
        <f t="shared" si="35"/>
        <v>#REF!</v>
      </c>
      <c r="AR45" s="572"/>
      <c r="AS45" s="573" t="s">
        <v>5407</v>
      </c>
      <c r="AT45" s="1283" t="e">
        <f>COUNTIFS([1]SurveyDATA_1!E$1:E$65536,"*BRGY.152*",[1]SurveyDATA_1!BM$1:BM$65536,"*RESIDENTIAL*",[1]SurveyDATA_1!AS$1:AS$65536,"",[1]SurveyDATA_1!BN$1:BN$65536,"*Structure Owner*",[1]SurveyDATA_1!FQ$1:FQ$65536,"*STAY*")</f>
        <v>#VALUE!</v>
      </c>
      <c r="AU45" s="1284" t="e">
        <f>COUNTIFS([1]SurveyDATA_1!E$1:E$65536,"*BRGY.152*",[1]SurveyDATA_1!BM$1:BM$65536,"*RESIDENTIAL*",[1]SurveyDATA_1!AS$1:AS$65536,"",[1]SurveyDATA_1!BN$1:BN$65536,"*Structure Owner*",[1]SurveyDATA_1!FQ$1:FQ$65536,"*NEED*")</f>
        <v>#VALUE!</v>
      </c>
      <c r="AV45" s="1284" t="e">
        <f>COUNTIFS([1]SurveyDATA_1!E$1:E$65536,"*BRGY.152*",[1]SurveyDATA_1!AS$1:AS$65536,"",[1]SurveyDATA_1!FQ$1:FQ$65536,"*STAY*",[1]SurveyDATA_1!IP$1:IP$65536,"OWNER",[1]SurveyDATA_1!IR$1:IR$65536,"*")</f>
        <v>#VALUE!</v>
      </c>
      <c r="AW45" s="1284" t="e">
        <f>COUNTIFS([1]SurveyDATA_1!E$1:E$65536,"*BRGY.152*",[1]SurveyDATA_1!AS$1:AS$65536,"",[1]SurveyDATA_1!FQ$1:FQ$65536,"*NEED*",[1]SurveyDATA_1!IP$1:IP$65536,"OWNER",[1]SurveyDATA_1!IR$1:IR$65536,"*")</f>
        <v>#VALUE!</v>
      </c>
      <c r="AX45" s="1325"/>
      <c r="AY45" s="1326"/>
      <c r="AZ45" s="1285" t="e">
        <f t="shared" si="34"/>
        <v>#VALUE!</v>
      </c>
      <c r="BA45" s="1286" t="e">
        <f t="shared" si="34"/>
        <v>#VALUE!</v>
      </c>
    </row>
    <row r="46" spans="12:53">
      <c r="V46" s="1279" t="e">
        <f>COUNTIFS([1]SurveyDATA_1!E$1:E$65536,"*BRGY.152*",[1]SurveyDATA_1!AS$1:AS$65536,"Y",[1]SurveyDATA_1!BN$1:BN$65536,"*Structure Owner*",[1]SurveyDATA_1!FQ$1:FQ$65536,"*Stay*")</f>
        <v>#VALUE!</v>
      </c>
      <c r="W46" s="1279" t="e">
        <f>COUNTIFS([1]SurveyDATA_1!E$1:E$65536,"*BRGY.152*",[1]SurveyDATA_1!AS$1:AS$65536,"Y",[1]SurveyDATA_1!BN$1:BN$65536,"*Structure Owner*",[1]SurveyDATA_1!FQ$1:FQ$65536,"*NEED*")</f>
        <v>#VALUE!</v>
      </c>
      <c r="X46" s="1279" t="e">
        <f>COUNTIFS([1]SurveyDATA_1!E$1:E$65536,"*BRGY.152*",[1]SurveyDATA_1!AS$1:AS$65536,"Y",[1]SurveyDATA_1!FQ$1:FQ$65536,"*Stay*",[1]SurveyDATA_1!IP$1:IP$65536,"OWNER")</f>
        <v>#VALUE!</v>
      </c>
      <c r="Y46" s="1280" t="e">
        <f>COUNTIFS([1]SurveyDATA_1!E$1:E$65536,"*BRGY.152*",[1]SurveyDATA_1!AS$1:AS$65536,"Y",[1]SurveyDATA_1!FQ$1:FQ$65536,"*NEED*",[1]SurveyDATA_1!IP$1:IP$65536,"OWNER")</f>
        <v>#VALUE!</v>
      </c>
      <c r="Z46" s="1279" t="e">
        <f>COUNTIFS([1]SurveyDATA_1!E$1:E$65536,"*BANCAL*",[1]SurveyDATA_1!AS$1:AS$65536,"Y",[1]SurveyDATA_1!BM$1:BM$65536,"*INSTITUTIONAL*",[1]SurveyDATA_1!FQ$1:FQ$65536,"*STAY*")</f>
        <v>#VALUE!</v>
      </c>
      <c r="AA46" s="1279" t="e">
        <f>COUNTIFS([1]SurveyDATA_1!E$1:E$65536,"*BANCAL*",[1]SurveyDATA_1!AS$1:AS$65536,"Y",[1]SurveyDATA_1!BM$1:BM$65536,"*INSTITUTIONAL*",[1]SurveyDATA_1!FQ$1:FQ$65536,"*STAY*")</f>
        <v>#VALUE!</v>
      </c>
      <c r="AB46" s="1279" t="e">
        <f>COUNTIFS([1]SurveyDATA_1!E$1:E$65536,"*BRGY.152*",[1]SurveyDATA_1!BN$1:BN$65536,"RENTER",[1]SurveyDATA_1!FQ$1:FQ$65536,"*STAY*")</f>
        <v>#VALUE!</v>
      </c>
      <c r="AC46" s="1279" t="e">
        <f>COUNTIFS([1]SurveyDATA_1!E$1:E$65536,"*BRGY.152*",[1]SurveyDATA_1!BN$1:BN$65536,"RENTER",[1]SurveyDATA_1!FQ$1:FQ$65536,"*NEED*")</f>
        <v>#VALUE!</v>
      </c>
      <c r="AD46" s="572"/>
      <c r="AE46" s="572"/>
      <c r="AF46" s="1279" t="e">
        <f>COUNTIFS([1]SurveyDATA_1!E$1:E$65536,"*BRGY.152*",[1]SurveyDATA_1!AK$1:AK$65536,"*LAND OWNER*",[1]SurveyDATA_1!AS$1:AS$65536,"Y",[1]SurveyDATA_1!AN$1:AN$65536,"&lt;20%")</f>
        <v>#VALUE!</v>
      </c>
      <c r="AG46" s="1279" t="e">
        <f>COUNTIFS([1]SurveyDATA_1!E$1:E$65536,"*BRGY.152*",[1]SurveyDATA_1!AK$1:AK$65536,"*LAND OWNER*",[1]SurveyDATA_1!AS$1:AS$65536,"Y",[1]SurveyDATA_1!AN$1:AN$65536,"&gt;19.99%")</f>
        <v>#VALUE!</v>
      </c>
      <c r="AH46" s="1279" t="e">
        <f>COUNTIFS([1]SurveyDATA_1!E$1:E$65536,"*BRGY.152*",[1]SurveyDATA_1!BM$1:BM$65536,"Commercial",[1]SurveyDATA_1!BN$1:BN$65536,"Commercial Tenant",[1]SurveyDATA_1!BR$1:BR$65536,"&lt;20%")</f>
        <v>#VALUE!</v>
      </c>
      <c r="AI46" s="1279" t="e">
        <f>COUNTIFS([1]SurveyDATA_1!E$1:E$65536,"*BRGY.152*",[1]SurveyDATA_1!BM$1:BM$65536,"Commercial",[1]SurveyDATA_1!BN$1:BN$65536,"Commercial Tenant",[1]SurveyDATA_1!BR$1:BR$65536,"&gt;19.99%")</f>
        <v>#VALUE!</v>
      </c>
      <c r="AJ46" s="1281">
        <v>0</v>
      </c>
      <c r="AK46" s="1281">
        <v>0</v>
      </c>
      <c r="AL46" s="1279" t="e">
        <f>SUMIFS([1]SurveyDATA_1!#REF!,[1]SurveyDATA_1!E$1:E$65536,"*BRGY.152*",[1]SurveyDATA_1!BM$1:BM$65536,"Commercial",[1]SurveyDATA_1!BN$1:BN$65536,"Commercial Tenant",[1]SurveyDATA_1!BR$1:BR$65536,"&lt;20%")</f>
        <v>#REF!</v>
      </c>
      <c r="AM46" s="1279" t="e">
        <f>SUMIFS([1]SurveyDATA_1!#REF!,[1]SurveyDATA_1!E$1:E$65536,"*BRGY.152*",[1]SurveyDATA_1!BM$1:BM$65536,"Commercial",[1]SurveyDATA_1!BN$1:BN$65536,"Commercial Tenant",[1]SurveyDATA_1!BR$1:BR$65536,"&gt;19.99%")</f>
        <v>#REF!</v>
      </c>
      <c r="AN46" s="1282" t="e">
        <f t="shared" si="35"/>
        <v>#REF!</v>
      </c>
      <c r="AO46" s="1282" t="e">
        <f t="shared" si="35"/>
        <v>#REF!</v>
      </c>
      <c r="AR46" s="572"/>
      <c r="AS46" s="573" t="s">
        <v>5408</v>
      </c>
      <c r="AT46" s="1283" t="e">
        <f>COUNTIFS([1]SurveyDATA_1!E$1:E$65536,"*BRGY.155*",[1]SurveyDATA_1!BM$1:BM$65536,"*RESIDENTIAL*",[1]SurveyDATA_1!AS$1:AS$65536,"",[1]SurveyDATA_1!BN$1:BN$65536,"*Structure Owner*",[1]SurveyDATA_1!FQ$1:FQ$65536,"*STAY*")</f>
        <v>#VALUE!</v>
      </c>
      <c r="AU46" s="1284" t="e">
        <f>COUNTIFS([1]SurveyDATA_1!E$1:E$65536,"*BRGY.155*",[1]SurveyDATA_1!BM$1:BM$65536,"*RESIDENTIAL*",[1]SurveyDATA_1!AS$1:AS$65536,"",[1]SurveyDATA_1!BN$1:BN$65536,"*Structure Owner*",[1]SurveyDATA_1!FQ$1:FQ$65536,"*NEED*")</f>
        <v>#VALUE!</v>
      </c>
      <c r="AV46" s="1284" t="e">
        <f>COUNTIFS([1]SurveyDATA_1!E$1:E$65536,"*BRGY.155*",[1]SurveyDATA_1!AS$1:AS$65536,"",[1]SurveyDATA_1!FQ$1:FQ$65536,"*STAY*",[1]SurveyDATA_1!IP$1:IP$65536,"OWNER",[1]SurveyDATA_1!IR$1:IR$65536,"*")</f>
        <v>#VALUE!</v>
      </c>
      <c r="AW46" s="1284" t="e">
        <f>COUNTIFS([1]SurveyDATA_1!E$1:E$65536,"*BRGY.155*",[1]SurveyDATA_1!AS$1:AS$65536,"",[1]SurveyDATA_1!FQ$1:FQ$65536,"*NEED*",[1]SurveyDATA_1!IP$1:IP$65536,"OWNER",[1]SurveyDATA_1!IR$1:IR$65536,"*")</f>
        <v>#VALUE!</v>
      </c>
      <c r="AX46" s="1325"/>
      <c r="AY46" s="1326"/>
      <c r="AZ46" s="1285" t="e">
        <f t="shared" si="34"/>
        <v>#VALUE!</v>
      </c>
      <c r="BA46" s="1286" t="e">
        <f t="shared" si="34"/>
        <v>#VALUE!</v>
      </c>
    </row>
    <row r="47" spans="12:53">
      <c r="V47" s="1279" t="e">
        <f>COUNTIFS([1]SurveyDATA_1!E$1:E$65536,"*BRGY.155*",[1]SurveyDATA_1!AS$1:AS$65536,"Y",[1]SurveyDATA_1!BN$1:BN$65536,"*Structure Owner*",[1]SurveyDATA_1!FQ$1:FQ$65536,"*Stay*")</f>
        <v>#VALUE!</v>
      </c>
      <c r="W47" s="1279" t="e">
        <f>COUNTIFS([1]SurveyDATA_1!E$1:E$65536,"*BRGY.155*",[1]SurveyDATA_1!AS$1:AS$65536,"Y",[1]SurveyDATA_1!BN$1:BN$65536,"*Structure Owner*",[1]SurveyDATA_1!FQ$1:FQ$65536,"*NEED*")</f>
        <v>#VALUE!</v>
      </c>
      <c r="X47" s="1279" t="e">
        <f>COUNTIFS([1]SurveyDATA_1!E$1:E$65536,"*BRGY.155*",[1]SurveyDATA_1!AS$1:AS$65536,"Y",[1]SurveyDATA_1!FQ$1:FQ$65536,"*Stay*",[1]SurveyDATA_1!IP$1:IP$65536,"OWNER")</f>
        <v>#VALUE!</v>
      </c>
      <c r="Y47" s="1280" t="e">
        <f>COUNTIFS([1]SurveyDATA_1!E$1:E$65536,"*BRGY.155*",[1]SurveyDATA_1!AS$1:AS$65536,"Y",[1]SurveyDATA_1!FQ$1:FQ$65536,"*NEED*",[1]SurveyDATA_1!IP$1:IP$65536,"OWNER")</f>
        <v>#VALUE!</v>
      </c>
      <c r="Z47" s="1279" t="e">
        <f>COUNTIFS([1]SurveyDATA_1!E$1:E$65536,"*BANCAL*",[1]SurveyDATA_1!AS$1:AS$65536,"Y",[1]SurveyDATA_1!BM$1:BM$65536,"*INSTITUTIONAL*",[1]SurveyDATA_1!FQ$1:FQ$65536,"*STAY*")</f>
        <v>#VALUE!</v>
      </c>
      <c r="AA47" s="1279" t="e">
        <f>COUNTIFS([1]SurveyDATA_1!E$1:E$65536,"*BANCAL*",[1]SurveyDATA_1!AS$1:AS$65536,"Y",[1]SurveyDATA_1!BM$1:BM$65536,"*INSTITUTIONAL*",[1]SurveyDATA_1!FQ$1:FQ$65536,"*STAY*")</f>
        <v>#VALUE!</v>
      </c>
      <c r="AB47" s="1279" t="e">
        <f>COUNTIFS([1]SurveyDATA_1!E$1:E$65536,"*BRGY.155*",[1]SurveyDATA_1!BN$1:BN$65536,"RENTER",[1]SurveyDATA_1!FQ$1:FQ$65536,"*STAY*")</f>
        <v>#VALUE!</v>
      </c>
      <c r="AC47" s="1279" t="e">
        <f>COUNTIFS([1]SurveyDATA_1!E$1:E$65536,"*BRGY.155*",[1]SurveyDATA_1!BN$1:BN$65536,"RENTER",[1]SurveyDATA_1!FQ$1:FQ$65536,"*NEED*")</f>
        <v>#VALUE!</v>
      </c>
      <c r="AD47" s="572"/>
      <c r="AE47" s="572"/>
      <c r="AF47" s="1279" t="e">
        <f>COUNTIFS([1]SurveyDATA_1!E$1:E$65536,"*BRGY.155*",[1]SurveyDATA_1!AK$1:AK$65536,"*LAND OWNER*",[1]SurveyDATA_1!AS$1:AS$65536,"Y",[1]SurveyDATA_1!AN$1:AN$65536,"&lt;20%")</f>
        <v>#VALUE!</v>
      </c>
      <c r="AG47" s="1279" t="e">
        <f>COUNTIFS([1]SurveyDATA_1!E$1:E$65536,"*BRGY.155*",[1]SurveyDATA_1!AK$1:AK$65536,"*LAND OWNER*",[1]SurveyDATA_1!AS$1:AS$65536,"Y",[1]SurveyDATA_1!AN$1:AN$65536,"&gt;19.99%")</f>
        <v>#VALUE!</v>
      </c>
      <c r="AH47" s="1279" t="e">
        <f>COUNTIFS([1]SurveyDATA_1!E$1:E$65536,"*BRGY.155*",[1]SurveyDATA_1!BM$1:BM$65536,"Commercial",[1]SurveyDATA_1!BN$1:BN$65536,"Commercial Tenant",[1]SurveyDATA_1!BR$1:BR$65536,"&lt;20%")</f>
        <v>#VALUE!</v>
      </c>
      <c r="AI47" s="1279" t="e">
        <f>COUNTIFS([1]SurveyDATA_1!E$1:E$65536,"*BRGY.155*",[1]SurveyDATA_1!BM$1:BM$65536,"Commercial",[1]SurveyDATA_1!BN$1:BN$65536,"Commercial Tenant",[1]SurveyDATA_1!BR$1:BR$65536,"&gt;19.99%")</f>
        <v>#VALUE!</v>
      </c>
      <c r="AJ47" s="1281">
        <v>0</v>
      </c>
      <c r="AK47" s="1281">
        <v>0</v>
      </c>
      <c r="AL47" s="1279" t="e">
        <f>SUMIFS([1]SurveyDATA_1!#REF!,[1]SurveyDATA_1!E$1:E$65536,"*BRGY.155*",[1]SurveyDATA_1!BM$1:BM$65536,"Commercial",[1]SurveyDATA_1!BN$1:BN$65536,"Commercial Tenant",[1]SurveyDATA_1!BR$1:BR$65536,"&lt;20%")</f>
        <v>#REF!</v>
      </c>
      <c r="AM47" s="1279" t="e">
        <f>SUMIFS([1]SurveyDATA_1!#REF!,[1]SurveyDATA_1!E$1:E$65536,"*BRGY.155*",[1]SurveyDATA_1!BM$1:BM$65536,"Commercial",[1]SurveyDATA_1!BN$1:BN$65536,"Commercial Tenant",[1]SurveyDATA_1!BR$1:BR$65536,"&gt;19.99%")</f>
        <v>#REF!</v>
      </c>
      <c r="AN47" s="1282" t="e">
        <f t="shared" si="35"/>
        <v>#REF!</v>
      </c>
      <c r="AO47" s="1282" t="e">
        <f t="shared" si="35"/>
        <v>#REF!</v>
      </c>
      <c r="AR47" s="572"/>
      <c r="AS47" s="573" t="s">
        <v>5413</v>
      </c>
      <c r="AT47" s="1283" t="e">
        <f>COUNTIFS([1]SurveyDATA_1!E$1:E$65536,"*BRGY.156*",[1]SurveyDATA_1!BM$1:BM$65536,"*RESIDENTIAL*",[1]SurveyDATA_1!AS$1:AS$65536,"",[1]SurveyDATA_1!BN$1:BN$65536,"*Structure Owner*",[1]SurveyDATA_1!FQ$1:FQ$65536,"*STAY*")</f>
        <v>#VALUE!</v>
      </c>
      <c r="AU47" s="1284" t="e">
        <f>COUNTIFS([1]SurveyDATA_1!E$1:E$65536,"*BRGY.156*",[1]SurveyDATA_1!BM$1:BM$65536,"*RESIDENTIAL*",[1]SurveyDATA_1!AS$1:AS$65536,"",[1]SurveyDATA_1!BN$1:BN$65536,"*Structure Owner*",[1]SurveyDATA_1!FQ$1:FQ$65536,"*NEED*")</f>
        <v>#VALUE!</v>
      </c>
      <c r="AV47" s="1284" t="e">
        <f>COUNTIFS([1]SurveyDATA_1!E$1:E$65536,"*BRGY.156*",[1]SurveyDATA_1!AS$1:AS$65536,"",[1]SurveyDATA_1!FQ$1:FQ$65536,"*STAY*",[1]SurveyDATA_1!IP$1:IP$65536,"OWNER",[1]SurveyDATA_1!IR$1:IR$65536,"*")</f>
        <v>#VALUE!</v>
      </c>
      <c r="AW47" s="1284" t="e">
        <f>COUNTIFS([1]SurveyDATA_1!E$1:E$65536,"*BRGY.156*",[1]SurveyDATA_1!AS$1:AS$65536,"",[1]SurveyDATA_1!FQ$1:FQ$65536,"*NEED*",[1]SurveyDATA_1!IP$1:IP$65536,"OWNER",[1]SurveyDATA_1!IR$1:IR$65536,"*")</f>
        <v>#VALUE!</v>
      </c>
      <c r="AX47" s="1325"/>
      <c r="AY47" s="1326"/>
      <c r="AZ47" s="1285" t="e">
        <f t="shared" si="34"/>
        <v>#VALUE!</v>
      </c>
      <c r="BA47" s="1286" t="e">
        <f t="shared" si="34"/>
        <v>#VALUE!</v>
      </c>
    </row>
    <row r="48" spans="12:53">
      <c r="V48" s="1279" t="e">
        <f>COUNTIFS([1]SurveyDATA_1!E$1:E$65536,"*BRGY.156*",[1]SurveyDATA_1!AS$1:AS$65536,"Y",[1]SurveyDATA_1!BN$1:BN$65536,"*Structure Owner*",[1]SurveyDATA_1!FQ$1:FQ$65536,"*Stay*")</f>
        <v>#VALUE!</v>
      </c>
      <c r="W48" s="1279" t="e">
        <f>COUNTIFS([1]SurveyDATA_1!E$1:E$65536,"*BRGY.156*",[1]SurveyDATA_1!AS$1:AS$65536,"Y",[1]SurveyDATA_1!BN$1:BN$65536,"*Structure Owner*",[1]SurveyDATA_1!FQ$1:FQ$65536,"*NEED*")</f>
        <v>#VALUE!</v>
      </c>
      <c r="X48" s="1279" t="e">
        <f>COUNTIFS([1]SurveyDATA_1!E$1:E$65536,"*BRGY.156*",[1]SurveyDATA_1!AS$1:AS$65536,"Y",[1]SurveyDATA_1!FQ$1:FQ$65536,"*Stay*",[1]SurveyDATA_1!IP$1:IP$65536,"OWNER")</f>
        <v>#VALUE!</v>
      </c>
      <c r="Y48" s="1280" t="e">
        <f>COUNTIFS([1]SurveyDATA_1!E$1:E$65536,"*BRGY.156*",[1]SurveyDATA_1!AS$1:AS$65536,"Y",[1]SurveyDATA_1!FQ$1:FQ$65536,"*NEED*",[1]SurveyDATA_1!IP$1:IP$65536,"OWNER")</f>
        <v>#VALUE!</v>
      </c>
      <c r="Z48" s="1279" t="e">
        <f>COUNTIFS([1]SurveyDATA_1!E$1:E$65536,"*BANCAL*",[1]SurveyDATA_1!AS$1:AS$65536,"Y",[1]SurveyDATA_1!BM$1:BM$65536,"*INSTITUTIONAL*",[1]SurveyDATA_1!FQ$1:FQ$65536,"*STAY*")</f>
        <v>#VALUE!</v>
      </c>
      <c r="AA48" s="1279" t="e">
        <f>COUNTIFS([1]SurveyDATA_1!E$1:E$65536,"*BANCAL*",[1]SurveyDATA_1!AS$1:AS$65536,"Y",[1]SurveyDATA_1!BM$1:BM$65536,"*INSTITUTIONAL*",[1]SurveyDATA_1!FQ$1:FQ$65536,"*STAY*")</f>
        <v>#VALUE!</v>
      </c>
      <c r="AB48" s="1279" t="e">
        <f>COUNTIFS([1]SurveyDATA_1!E$1:E$65536,"*BRGY.156*",[1]SurveyDATA_1!BN$1:BN$65536,"RENTER",[1]SurveyDATA_1!FQ$1:FQ$65536,"*STAY*")</f>
        <v>#VALUE!</v>
      </c>
      <c r="AC48" s="1279" t="e">
        <f>COUNTIFS([1]SurveyDATA_1!E$1:E$65536,"*BRGY.156*",[1]SurveyDATA_1!BN$1:BN$65536,"RENTER",[1]SurveyDATA_1!FQ$1:FQ$65536,"*NEED*")</f>
        <v>#VALUE!</v>
      </c>
      <c r="AD48" s="572"/>
      <c r="AE48" s="572"/>
      <c r="AF48" s="1279" t="e">
        <f>COUNTIFS([1]SurveyDATA_1!E$1:E$65536,"*BRGY.156*",[1]SurveyDATA_1!AK$1:AK$65536,"*LAND OWNER*",[1]SurveyDATA_1!AS$1:AS$65536,"Y",[1]SurveyDATA_1!AN$1:AN$65536,"&lt;20%")</f>
        <v>#VALUE!</v>
      </c>
      <c r="AG48" s="1279" t="e">
        <f>COUNTIFS([1]SurveyDATA_1!E$1:E$65536,"*BRGY.156*",[1]SurveyDATA_1!AK$1:AK$65536,"*LAND OWNER*",[1]SurveyDATA_1!AS$1:AS$65536,"Y",[1]SurveyDATA_1!AN$1:AN$65536,"&gt;19.99%")</f>
        <v>#VALUE!</v>
      </c>
      <c r="AH48" s="1279" t="e">
        <f>COUNTIFS([1]SurveyDATA_1!E$1:E$65536,"*BRGY.156*",[1]SurveyDATA_1!BM$1:BM$65536,"Commercial",[1]SurveyDATA_1!BN$1:BN$65536,"Commercial Tenant",[1]SurveyDATA_1!BR$1:BR$65536,"&lt;20%")</f>
        <v>#VALUE!</v>
      </c>
      <c r="AI48" s="1279" t="e">
        <f>COUNTIFS([1]SurveyDATA_1!E$1:E$65536,"*BRGY.156*",[1]SurveyDATA_1!BM$1:BM$65536,"Commercial",[1]SurveyDATA_1!BN$1:BN$65536,"Commercial Tenant",[1]SurveyDATA_1!BR$1:BR$65536,"&gt;19.99%")</f>
        <v>#VALUE!</v>
      </c>
      <c r="AJ48" s="1281">
        <v>0</v>
      </c>
      <c r="AK48" s="1281">
        <v>0</v>
      </c>
      <c r="AL48" s="1279" t="e">
        <f>SUMIFS([1]SurveyDATA_1!#REF!,[1]SurveyDATA_1!E$1:E$65536,"*BRGY.156*",[1]SurveyDATA_1!BM$1:BM$65536,"Commercial",[1]SurveyDATA_1!BN$1:BN$65536,"Commercial Tenant",[1]SurveyDATA_1!BR$1:BR$65536,"&lt;20%")</f>
        <v>#REF!</v>
      </c>
      <c r="AM48" s="1279" t="e">
        <f>SUMIFS([1]SurveyDATA_1!#REF!,[1]SurveyDATA_1!E$1:E$65536,"*BRGY.156*",[1]SurveyDATA_1!BM$1:BM$65536,"Commercial",[1]SurveyDATA_1!BN$1:BN$65536,"Commercial Tenant",[1]SurveyDATA_1!BR$1:BR$65536,"&gt;19.99%")</f>
        <v>#REF!</v>
      </c>
      <c r="AN48" s="1282" t="e">
        <f t="shared" si="35"/>
        <v>#REF!</v>
      </c>
      <c r="AO48" s="1282" t="e">
        <f t="shared" si="35"/>
        <v>#REF!</v>
      </c>
      <c r="AR48" s="572"/>
      <c r="AS48" s="573" t="s">
        <v>5409</v>
      </c>
      <c r="AT48" s="1283" t="e">
        <f>COUNTIFS([1]SurveyDATA_1!E$1:E$65536,"*BRGY.159*",[1]SurveyDATA_1!BM$1:BM$65536,"*RESIDENTIAL*",[1]SurveyDATA_1!AS$1:AS$65536,"",[1]SurveyDATA_1!BN$1:BN$65536,"*Structure Owner*",[1]SurveyDATA_1!FQ$1:FQ$65536,"*STAY*")</f>
        <v>#VALUE!</v>
      </c>
      <c r="AU48" s="1284" t="e">
        <f>COUNTIFS([1]SurveyDATA_1!E$1:E$65536,"*BRGY.159*",[1]SurveyDATA_1!BM$1:BM$65536,"*RESIDENTIAL*",[1]SurveyDATA_1!AS$1:AS$65536,"",[1]SurveyDATA_1!BN$1:BN$65536,"*Structure Owner*",[1]SurveyDATA_1!FQ$1:FQ$65536,"*NEED*")</f>
        <v>#VALUE!</v>
      </c>
      <c r="AV48" s="1284" t="e">
        <f>COUNTIFS([1]SurveyDATA_1!E$1:E$65536,"*BRGY.159*",[1]SurveyDATA_1!AS$1:AS$65536,"",[1]SurveyDATA_1!FQ$1:FQ$65536,"*STAY*",[1]SurveyDATA_1!IP$1:IP$65536,"OWNER",[1]SurveyDATA_1!IR$1:IR$65536,"*")</f>
        <v>#VALUE!</v>
      </c>
      <c r="AW48" s="1284" t="e">
        <f>COUNTIFS([1]SurveyDATA_1!E$1:E$65536,"*BRGY.159*",[1]SurveyDATA_1!AS$1:AS$65536,"",[1]SurveyDATA_1!FQ$1:FQ$65536,"*NEED*",[1]SurveyDATA_1!IP$1:IP$65536,"OWNER",[1]SurveyDATA_1!IR$1:IR$65536,"*")</f>
        <v>#VALUE!</v>
      </c>
      <c r="AX48" s="1325"/>
      <c r="AY48" s="1326"/>
      <c r="AZ48" s="1285" t="e">
        <f t="shared" si="34"/>
        <v>#VALUE!</v>
      </c>
      <c r="BA48" s="1286" t="e">
        <f t="shared" si="34"/>
        <v>#VALUE!</v>
      </c>
    </row>
    <row r="49" spans="20:53">
      <c r="V49" s="1279" t="e">
        <f>COUNTIFS([1]SurveyDATA_1!E$1:E$65536,"*BRGY.159*",[1]SurveyDATA_1!AS$1:AS$65536,"Y",[1]SurveyDATA_1!BN$1:BN$65536,"*Structure Owner*",[1]SurveyDATA_1!FQ$1:FQ$65536,"*Stay*")</f>
        <v>#VALUE!</v>
      </c>
      <c r="W49" s="1279" t="e">
        <f>COUNTIFS([1]SurveyDATA_1!E$1:E$65536,"*BRGY.159*",[1]SurveyDATA_1!AS$1:AS$65536,"Y",[1]SurveyDATA_1!BN$1:BN$65536,"*Structure Owner*",[1]SurveyDATA_1!FQ$1:FQ$65536,"*NEED*")</f>
        <v>#VALUE!</v>
      </c>
      <c r="X49" s="1279" t="e">
        <f>COUNTIFS([1]SurveyDATA_1!E$1:E$65536,"*BRGY.159*",[1]SurveyDATA_1!AS$1:AS$65536,"Y",[1]SurveyDATA_1!FQ$1:FQ$65536,"*Stay*",[1]SurveyDATA_1!IP$1:IP$65536,"OWNER")</f>
        <v>#VALUE!</v>
      </c>
      <c r="Y49" s="1280" t="e">
        <f>COUNTIFS([1]SurveyDATA_1!E$1:E$65536,"*BRGY.159*",[1]SurveyDATA_1!AS$1:AS$65536,"Y",[1]SurveyDATA_1!FQ$1:FQ$65536,"*NEED*",[1]SurveyDATA_1!IP$1:IP$65536,"OWNER")</f>
        <v>#VALUE!</v>
      </c>
      <c r="Z49" s="1279" t="e">
        <f>COUNTIFS([1]SurveyDATA_1!E$1:E$65536,"*BANCAL*",[1]SurveyDATA_1!AS$1:AS$65536,"Y",[1]SurveyDATA_1!BM$1:BM$65536,"*INSTITUTIONAL*",[1]SurveyDATA_1!FQ$1:FQ$65536,"*STAY*")</f>
        <v>#VALUE!</v>
      </c>
      <c r="AA49" s="1279" t="e">
        <f>COUNTIFS([1]SurveyDATA_1!E$1:E$65536,"*BANCAL*",[1]SurveyDATA_1!AS$1:AS$65536,"Y",[1]SurveyDATA_1!BM$1:BM$65536,"*INSTITUTIONAL*",[1]SurveyDATA_1!FQ$1:FQ$65536,"*STAY*")</f>
        <v>#VALUE!</v>
      </c>
      <c r="AB49" s="1279" t="e">
        <f>COUNTIFS([1]SurveyDATA_1!E$1:E$65536,"*BRGY.159*",[1]SurveyDATA_1!BN$1:BN$65536,"RENTER",[1]SurveyDATA_1!FQ$1:FQ$65536,"*STAY*")</f>
        <v>#VALUE!</v>
      </c>
      <c r="AC49" s="1279" t="e">
        <f>COUNTIFS([1]SurveyDATA_1!E$1:E$65536,"*BRGY.159*",[1]SurveyDATA_1!BN$1:BN$65536,"RENTER",[1]SurveyDATA_1!FQ$1:FQ$65536,"*NEED*")</f>
        <v>#VALUE!</v>
      </c>
      <c r="AD49" s="572"/>
      <c r="AE49" s="572"/>
      <c r="AF49" s="1279" t="e">
        <f>COUNTIFS([1]SurveyDATA_1!E$1:E$65536,"*BRGY.159*",[1]SurveyDATA_1!AK$1:AK$65536,"*LAND OWNER*",[1]SurveyDATA_1!AS$1:AS$65536,"Y",[1]SurveyDATA_1!AN$1:AN$65536,"&lt;20%")</f>
        <v>#VALUE!</v>
      </c>
      <c r="AG49" s="1279" t="e">
        <f>COUNTIFS([1]SurveyDATA_1!E$1:E$65536,"*BRGY.159*",[1]SurveyDATA_1!AK$1:AK$65536,"*LAND OWNER*",[1]SurveyDATA_1!AS$1:AS$65536,"Y",[1]SurveyDATA_1!AN$1:AN$65536,"&gt;19.99%")</f>
        <v>#VALUE!</v>
      </c>
      <c r="AH49" s="1279" t="e">
        <f>COUNTIFS([1]SurveyDATA_1!E$1:E$65536,"*BRGY.159*",[1]SurveyDATA_1!BM$1:BM$65536,"Commercial",[1]SurveyDATA_1!BN$1:BN$65536,"Commercial Tenant",[1]SurveyDATA_1!BR$1:BR$65536,"&lt;20%")</f>
        <v>#VALUE!</v>
      </c>
      <c r="AI49" s="1279" t="e">
        <f>COUNTIFS([1]SurveyDATA_1!E$1:E$65536,"*BRGY.159*",[1]SurveyDATA_1!BM$1:BM$65536,"Commercial",[1]SurveyDATA_1!BN$1:BN$65536,"Commercial Tenant",[1]SurveyDATA_1!BR$1:BR$65536,"&gt;19.99%")</f>
        <v>#VALUE!</v>
      </c>
      <c r="AJ49" s="1281">
        <v>0</v>
      </c>
      <c r="AK49" s="1281">
        <v>0</v>
      </c>
      <c r="AL49" s="1279" t="e">
        <f>SUMIFS([1]SurveyDATA_1!#REF!,[1]SurveyDATA_1!E$1:E$65536,"*BRGY.159*",[1]SurveyDATA_1!BM$1:BM$65536,"Commercial",[1]SurveyDATA_1!BN$1:BN$65536,"Commercial Tenant",[1]SurveyDATA_1!BR$1:BR$65536,"&lt;20%")</f>
        <v>#REF!</v>
      </c>
      <c r="AM49" s="1279" t="e">
        <f>SUMIFS([1]SurveyDATA_1!#REF!,[1]SurveyDATA_1!E$1:E$65536,"*BRGY.159*",[1]SurveyDATA_1!BM$1:BM$65536,"Commercial",[1]SurveyDATA_1!BN$1:BN$65536,"Commercial Tenant",[1]SurveyDATA_1!BR$1:BR$65536,"&gt;19.99%")</f>
        <v>#REF!</v>
      </c>
      <c r="AN49" s="1282" t="e">
        <f t="shared" si="35"/>
        <v>#REF!</v>
      </c>
      <c r="AO49" s="1282" t="e">
        <f t="shared" si="35"/>
        <v>#REF!</v>
      </c>
      <c r="AR49" s="572"/>
      <c r="AS49" s="573" t="s">
        <v>5403</v>
      </c>
      <c r="AT49" s="1283" t="e">
        <f>COUNTIFS([1]SurveyDATA_1!E$1:E$65536,"*BRGY.164*",[1]SurveyDATA_1!BM$1:BM$65536,"*RESIDENTIAL*",[1]SurveyDATA_1!AS$1:AS$65536,"",[1]SurveyDATA_1!BN$1:BN$65536,"*Structure Owner*",[1]SurveyDATA_1!FQ$1:FQ$65536,"*STAY*")</f>
        <v>#VALUE!</v>
      </c>
      <c r="AU49" s="1284" t="e">
        <f>COUNTIFS([1]SurveyDATA_1!E$1:E$65536,"*BRGY.164*",[1]SurveyDATA_1!BM$1:BM$65536,"*RESIDENTIAL*",[1]SurveyDATA_1!AS$1:AS$65536,"",[1]SurveyDATA_1!BN$1:BN$65536,"*Structure Owner*",[1]SurveyDATA_1!FQ$1:FQ$65536,"*NEED*")</f>
        <v>#VALUE!</v>
      </c>
      <c r="AV49" s="1284" t="e">
        <f>COUNTIFS([1]SurveyDATA_1!E$1:E$65536,"*BRGY.164*",[1]SurveyDATA_1!AS$1:AS$65536,"",[1]SurveyDATA_1!FQ$1:FQ$65536,"*STAY*",[1]SurveyDATA_1!IP$1:IP$65536,"OWNER",[1]SurveyDATA_1!IR$1:IR$65536,"*")</f>
        <v>#VALUE!</v>
      </c>
      <c r="AW49" s="1284" t="e">
        <f>COUNTIFS([1]SurveyDATA_1!E$1:E$65536,"*BRGY.164*",[1]SurveyDATA_1!AS$1:AS$65536,"",[1]SurveyDATA_1!FQ$1:FQ$65536,"*NEED*",[1]SurveyDATA_1!IP$1:IP$65536,"OWNER",[1]SurveyDATA_1!IR$1:IR$65536,"*")</f>
        <v>#VALUE!</v>
      </c>
      <c r="AX49" s="1325"/>
      <c r="AY49" s="1326"/>
      <c r="AZ49" s="1285" t="e">
        <f t="shared" si="34"/>
        <v>#VALUE!</v>
      </c>
      <c r="BA49" s="1286" t="e">
        <f t="shared" si="34"/>
        <v>#VALUE!</v>
      </c>
    </row>
    <row r="50" spans="20:53">
      <c r="V50" s="1279" t="e">
        <f>COUNTIFS([1]SurveyDATA_1!E$1:E$65536,"*BRGY.164*",[1]SurveyDATA_1!AS$1:AS$65536,"Y",[1]SurveyDATA_1!BN$1:BN$65536,"*Structure Owner*",[1]SurveyDATA_1!FQ$1:FQ$65536,"*Stay*")</f>
        <v>#VALUE!</v>
      </c>
      <c r="W50" s="1279" t="e">
        <f>COUNTIFS([1]SurveyDATA_1!E$1:E$65536,"*BRGY.164*",[1]SurveyDATA_1!AS$1:AS$65536,"Y",[1]SurveyDATA_1!BN$1:BN$65536,"*Structure Owner*",[1]SurveyDATA_1!FQ$1:FQ$65536,"*NEED*")</f>
        <v>#VALUE!</v>
      </c>
      <c r="X50" s="1279" t="e">
        <f>COUNTIFS([1]SurveyDATA_1!E$1:E$65536,"*BRGY.164*",[1]SurveyDATA_1!AS$1:AS$65536,"Y",[1]SurveyDATA_1!FQ$1:FQ$65536,"*Stay*",[1]SurveyDATA_1!IP$1:IP$65536,"OWNER")</f>
        <v>#VALUE!</v>
      </c>
      <c r="Y50" s="1280" t="e">
        <f>COUNTIFS([1]SurveyDATA_1!E$1:E$65536,"*BRGY.164*",[1]SurveyDATA_1!AS$1:AS$65536,"Y",[1]SurveyDATA_1!FQ$1:FQ$65536,"*NEED*",[1]SurveyDATA_1!IP$1:IP$65536,"OWNER")</f>
        <v>#VALUE!</v>
      </c>
      <c r="Z50" s="1279" t="e">
        <f>COUNTIFS([1]SurveyDATA_1!E$1:E$65536,"*BANCAL*",[1]SurveyDATA_1!AS$1:AS$65536,"Y",[1]SurveyDATA_1!BM$1:BM$65536,"*INSTITUTIONAL*",[1]SurveyDATA_1!FQ$1:FQ$65536,"*STAY*")</f>
        <v>#VALUE!</v>
      </c>
      <c r="AA50" s="1279" t="e">
        <f>COUNTIFS([1]SurveyDATA_1!E$1:E$65536,"*BANCAL*",[1]SurveyDATA_1!AS$1:AS$65536,"Y",[1]SurveyDATA_1!BM$1:BM$65536,"*INSTITUTIONAL*",[1]SurveyDATA_1!FQ$1:FQ$65536,"*STAY*")</f>
        <v>#VALUE!</v>
      </c>
      <c r="AB50" s="1279" t="e">
        <f>COUNTIFS([1]SurveyDATA_1!E$1:E$65536,"*BRGY.164*",[1]SurveyDATA_1!BN$1:BN$65536,"RENTER",[1]SurveyDATA_1!FQ$1:FQ$65536,"*STAY*")</f>
        <v>#VALUE!</v>
      </c>
      <c r="AC50" s="1279" t="e">
        <f>COUNTIFS([1]SurveyDATA_1!E$1:E$65536,"*BRGY.164*",[1]SurveyDATA_1!BN$1:BN$65536,"RENTER",[1]SurveyDATA_1!FQ$1:FQ$65536,"*NEED*")</f>
        <v>#VALUE!</v>
      </c>
      <c r="AD50" s="572"/>
      <c r="AE50" s="572"/>
      <c r="AF50" s="1279" t="e">
        <f>COUNTIFS([1]SurveyDATA_1!E$1:E$65536,"*BRGY.164*",[1]SurveyDATA_1!AK$1:AK$65536,"*LAND OWNER*",[1]SurveyDATA_1!AS$1:AS$65536,"Y",[1]SurveyDATA_1!AN$1:AN$65536,"&lt;20%")</f>
        <v>#VALUE!</v>
      </c>
      <c r="AG50" s="1279" t="e">
        <f>COUNTIFS([1]SurveyDATA_1!E$1:E$65536,"*BRGY.164*",[1]SurveyDATA_1!AK$1:AK$65536,"*LAND OWNER*",[1]SurveyDATA_1!AS$1:AS$65536,"Y",[1]SurveyDATA_1!AN$1:AN$65536,"&gt;19.99%")</f>
        <v>#VALUE!</v>
      </c>
      <c r="AH50" s="1279" t="e">
        <f>COUNTIFS([1]SurveyDATA_1!E$1:E$65536,"*BRGY.164*",[1]SurveyDATA_1!BM$1:BM$65536,"Commercial",[1]SurveyDATA_1!BN$1:BN$65536,"Commercial Tenant",[1]SurveyDATA_1!BR$1:BR$65536,"&lt;20%")</f>
        <v>#VALUE!</v>
      </c>
      <c r="AI50" s="1279" t="e">
        <f>COUNTIFS([1]SurveyDATA_1!E$1:E$65536,"*BRGY.164*",[1]SurveyDATA_1!BM$1:BM$65536,"Commercial",[1]SurveyDATA_1!BN$1:BN$65536,"Commercial Tenant",[1]SurveyDATA_1!BR$1:BR$65536,"&gt;19.99%")</f>
        <v>#VALUE!</v>
      </c>
      <c r="AJ50" s="1281">
        <v>0</v>
      </c>
      <c r="AK50" s="1281">
        <v>0</v>
      </c>
      <c r="AL50" s="1279" t="e">
        <f>SUMIFS([1]SurveyDATA_1!#REF!,[1]SurveyDATA_1!E$1:E$65536,"*BRGY.164*",[1]SurveyDATA_1!BM$1:BM$65536,"Commercial",[1]SurveyDATA_1!BN$1:BN$65536,"Commercial Tenant",[1]SurveyDATA_1!BR$1:BR$65536,"&lt;20%")</f>
        <v>#REF!</v>
      </c>
      <c r="AM50" s="1279" t="e">
        <f>SUMIFS([1]SurveyDATA_1!#REF!,[1]SurveyDATA_1!E$1:E$65536,"*BRGY.164*",[1]SurveyDATA_1!BM$1:BM$65536,"Commercial",[1]SurveyDATA_1!BN$1:BN$65536,"Commercial Tenant",[1]SurveyDATA_1!BR$1:BR$65536,"&gt;19.99%")</f>
        <v>#REF!</v>
      </c>
      <c r="AN50" s="1282" t="e">
        <f t="shared" si="35"/>
        <v>#REF!</v>
      </c>
      <c r="AO50" s="1282" t="e">
        <f t="shared" si="35"/>
        <v>#REF!</v>
      </c>
      <c r="AR50" s="572"/>
      <c r="AS50" s="573" t="s">
        <v>5404</v>
      </c>
      <c r="AT50" s="1283" t="e">
        <f>COUNTIFS([1]SurveyDATA_1!E$1:E$65536,"*BRGY.165*",[1]SurveyDATA_1!BM$1:BM$65536,"*RESIDENTIAL*",[1]SurveyDATA_1!AS$1:AS$65536,"",[1]SurveyDATA_1!BN$1:BN$65536,"*Structure Owner*",[1]SurveyDATA_1!FQ$1:FQ$65536,"*STAY*")</f>
        <v>#VALUE!</v>
      </c>
      <c r="AU50" s="1284" t="e">
        <f>COUNTIFS([1]SurveyDATA_1!E$1:E$65536,"*BRGY.165*",[1]SurveyDATA_1!BM$1:BM$65536,"*RESIDENTIAL*",[1]SurveyDATA_1!AS$1:AS$65536,"",[1]SurveyDATA_1!BN$1:BN$65536,"*Structure Owner*",[1]SurveyDATA_1!FQ$1:FQ$65536,"*NEED*")</f>
        <v>#VALUE!</v>
      </c>
      <c r="AV50" s="1284" t="e">
        <f>COUNTIFS([1]SurveyDATA_1!E$1:E$65536,"*BRGY.165*",[1]SurveyDATA_1!AS$1:AS$65536,"",[1]SurveyDATA_1!FQ$1:FQ$65536,"*STAY*",[1]SurveyDATA_1!IP$1:IP$65536,"OWNER",[1]SurveyDATA_1!IR$1:IR$65536,"*")</f>
        <v>#VALUE!</v>
      </c>
      <c r="AW50" s="1284" t="e">
        <f>COUNTIFS([1]SurveyDATA_1!E$1:E$65536,"*BRGY.165*",[1]SurveyDATA_1!AS$1:AS$65536,"",[1]SurveyDATA_1!FQ$1:FQ$65536,"*NEED*",[1]SurveyDATA_1!IP$1:IP$65536,"OWNER",[1]SurveyDATA_1!IR$1:IR$65536,"*")</f>
        <v>#VALUE!</v>
      </c>
      <c r="AX50" s="1325"/>
      <c r="AY50" s="1326"/>
      <c r="AZ50" s="1285" t="e">
        <f t="shared" si="34"/>
        <v>#VALUE!</v>
      </c>
      <c r="BA50" s="1286" t="e">
        <f t="shared" si="34"/>
        <v>#VALUE!</v>
      </c>
    </row>
    <row r="51" spans="20:53">
      <c r="V51" s="1279" t="e">
        <f>COUNTIFS([1]SurveyDATA_1!E$1:E$65536,"*BRGY.165*",[1]SurveyDATA_1!AS$1:AS$65536,"Y",[1]SurveyDATA_1!BN$1:BN$65536,"*Structure Owner*",[1]SurveyDATA_1!FQ$1:FQ$65536,"*Stay*")</f>
        <v>#VALUE!</v>
      </c>
      <c r="W51" s="1279" t="e">
        <f>COUNTIFS([1]SurveyDATA_1!E$1:E$65536,"*BRGY.165*",[1]SurveyDATA_1!AS$1:AS$65536,"Y",[1]SurveyDATA_1!BN$1:BN$65536,"*Structure Owner*",[1]SurveyDATA_1!FQ$1:FQ$65536,"*NEED*")</f>
        <v>#VALUE!</v>
      </c>
      <c r="X51" s="1279" t="e">
        <f>COUNTIFS([1]SurveyDATA_1!E$1:E$65536,"*BRGY.165*",[1]SurveyDATA_1!AS$1:AS$65536,"Y",[1]SurveyDATA_1!FQ$1:FQ$65536,"*Stay*",[1]SurveyDATA_1!IP$1:IP$65536,"OWNER")</f>
        <v>#VALUE!</v>
      </c>
      <c r="Y51" s="1280" t="e">
        <f>COUNTIFS([1]SurveyDATA_1!E$1:E$65536,"*BRGY.165*",[1]SurveyDATA_1!AS$1:AS$65536,"Y",[1]SurveyDATA_1!FQ$1:FQ$65536,"*NEED*",[1]SurveyDATA_1!IP$1:IP$65536,"OWNER")</f>
        <v>#VALUE!</v>
      </c>
      <c r="Z51" s="1279" t="e">
        <f>COUNTIFS([1]SurveyDATA_1!E$1:E$65536,"*BANCAL*",[1]SurveyDATA_1!AS$1:AS$65536,"Y",[1]SurveyDATA_1!BM$1:BM$65536,"*INSTITUTIONAL*",[1]SurveyDATA_1!FQ$1:FQ$65536,"*STAY*")</f>
        <v>#VALUE!</v>
      </c>
      <c r="AA51" s="1279" t="e">
        <f>COUNTIFS([1]SurveyDATA_1!E$1:E$65536,"*BANCAL*",[1]SurveyDATA_1!AS$1:AS$65536,"Y",[1]SurveyDATA_1!BM$1:BM$65536,"*INSTITUTIONAL*",[1]SurveyDATA_1!FQ$1:FQ$65536,"*STAY*")</f>
        <v>#VALUE!</v>
      </c>
      <c r="AB51" s="1279" t="e">
        <f>COUNTIFS([1]SurveyDATA_1!E$1:E$65536,"*BRGY.165*",[1]SurveyDATA_1!BN$1:BN$65536,"RENTER",[1]SurveyDATA_1!FQ$1:FQ$65536,"*STAY*")</f>
        <v>#VALUE!</v>
      </c>
      <c r="AC51" s="1279" t="e">
        <f>COUNTIFS([1]SurveyDATA_1!E$1:E$65536,"*BRGY.165*",[1]SurveyDATA_1!BN$1:BN$65536,"RENTER",[1]SurveyDATA_1!FQ$1:FQ$65536,"*NEED*")</f>
        <v>#VALUE!</v>
      </c>
      <c r="AD51" s="572"/>
      <c r="AE51" s="572"/>
      <c r="AF51" s="1279" t="e">
        <f>COUNTIFS([1]SurveyDATA_1!E$1:E$65536,"*BRGY.165*",[1]SurveyDATA_1!AK$1:AK$65536,"*LAND OWNER*",[1]SurveyDATA_1!AS$1:AS$65536,"Y",[1]SurveyDATA_1!AN$1:AN$65536,"&lt;20%")</f>
        <v>#VALUE!</v>
      </c>
      <c r="AG51" s="1279" t="e">
        <f>COUNTIFS([1]SurveyDATA_1!E$1:E$65536,"*BRGY.165*",[1]SurveyDATA_1!AK$1:AK$65536,"*LAND OWNER*",[1]SurveyDATA_1!AS$1:AS$65536,"Y",[1]SurveyDATA_1!AN$1:AN$65536,"&gt;19.99%")</f>
        <v>#VALUE!</v>
      </c>
      <c r="AH51" s="1279" t="e">
        <f>COUNTIFS([1]SurveyDATA_1!E$1:E$65536,"*BRGY.165*",[1]SurveyDATA_1!BM$1:BM$65536,"Commercial",[1]SurveyDATA_1!BN$1:BN$65536,"Commercial Tenant",[1]SurveyDATA_1!BR$1:BR$65536,"&lt;20%")</f>
        <v>#VALUE!</v>
      </c>
      <c r="AI51" s="1279" t="e">
        <f>COUNTIFS([1]SurveyDATA_1!E$1:E$65536,"*BRGY.165*",[1]SurveyDATA_1!BM$1:BM$65536,"Commercial",[1]SurveyDATA_1!BN$1:BN$65536,"Commercial Tenant",[1]SurveyDATA_1!BR$1:BR$65536,"&gt;19.99%")</f>
        <v>#VALUE!</v>
      </c>
      <c r="AJ51" s="1281">
        <v>0</v>
      </c>
      <c r="AK51" s="1281">
        <v>0</v>
      </c>
      <c r="AL51" s="1279" t="e">
        <f>SUMIFS([1]SurveyDATA_1!#REF!,[1]SurveyDATA_1!E$1:E$65536,"*BRGY.165*",[1]SurveyDATA_1!BM$1:BM$65536,"Commercial",[1]SurveyDATA_1!BN$1:BN$65536,"Commercial Tenant",[1]SurveyDATA_1!BR$1:BR$65536,"&lt;20%")</f>
        <v>#REF!</v>
      </c>
      <c r="AM51" s="1279" t="e">
        <f>SUMIFS([1]SurveyDATA_1!#REF!,[1]SurveyDATA_1!E$1:E$65536,"*BRGY.165*",[1]SurveyDATA_1!BM$1:BM$65536,"Commercial",[1]SurveyDATA_1!BN$1:BN$65536,"Commercial Tenant",[1]SurveyDATA_1!BR$1:BR$65536,"&gt;19.99%")</f>
        <v>#REF!</v>
      </c>
      <c r="AN51" s="1282" t="e">
        <f t="shared" si="35"/>
        <v>#REF!</v>
      </c>
      <c r="AO51" s="1282" t="e">
        <f t="shared" si="35"/>
        <v>#REF!</v>
      </c>
      <c r="AR51" s="572"/>
      <c r="AS51" s="573" t="s">
        <v>5405</v>
      </c>
      <c r="AT51" s="1283" t="e">
        <f>COUNTIFS([1]SurveyDATA_1!E$1:E$65536,"*BRGY.184*",[1]SurveyDATA_1!BM$1:BM$65536,"*RESIDENTIAL*",[1]SurveyDATA_1!AS$1:AS$65536,"",[1]SurveyDATA_1!BN$1:BN$65536,"*Structure Owner*",[1]SurveyDATA_1!FQ$1:FQ$65536,"*STAY*")</f>
        <v>#VALUE!</v>
      </c>
      <c r="AU51" s="1284" t="e">
        <f>COUNTIFS([1]SurveyDATA_1!E$1:E$65536,"*BRGY.184*",[1]SurveyDATA_1!BM$1:BM$65536,"*RESIDENTIAL*",[1]SurveyDATA_1!AS$1:AS$65536,"",[1]SurveyDATA_1!BN$1:BN$65536,"*Structure Owner*",[1]SurveyDATA_1!FQ$1:FQ$65536,"*NEED*")</f>
        <v>#VALUE!</v>
      </c>
      <c r="AV51" s="1284" t="e">
        <f>COUNTIFS([1]SurveyDATA_1!E$1:E$65536,"*BRGY.184*",[1]SurveyDATA_1!AS$1:AS$65536,"",[1]SurveyDATA_1!FQ$1:FQ$65536,"*STAY*",[1]SurveyDATA_1!IP$1:IP$65536,"OWNER",[1]SurveyDATA_1!IR$1:IR$65536,"*")</f>
        <v>#VALUE!</v>
      </c>
      <c r="AW51" s="1284" t="e">
        <f>COUNTIFS([1]SurveyDATA_1!E$1:E$65536,"*BRGY.184*",[1]SurveyDATA_1!AS$1:AS$65536,"",[1]SurveyDATA_1!FQ$1:FQ$65536,"*NEED*",[1]SurveyDATA_1!IP$1:IP$65536,"OWNER",[1]SurveyDATA_1!IR$1:IR$65536,"*")</f>
        <v>#VALUE!</v>
      </c>
      <c r="AX51" s="1325"/>
      <c r="AY51" s="1326"/>
      <c r="AZ51" s="1285" t="e">
        <f t="shared" si="34"/>
        <v>#VALUE!</v>
      </c>
      <c r="BA51" s="1286" t="e">
        <f t="shared" si="34"/>
        <v>#VALUE!</v>
      </c>
    </row>
    <row r="52" spans="20:53">
      <c r="V52" s="1279" t="e">
        <f>COUNTIFS([1]SurveyDATA_1!E$1:E$65536,"*BRGY.184*",[1]SurveyDATA_1!AS$1:AS$65536,"Y",[1]SurveyDATA_1!BN$1:BN$65536,"*Structure Owner*",[1]SurveyDATA_1!FQ$1:FQ$65536,"*Stay*")</f>
        <v>#VALUE!</v>
      </c>
      <c r="W52" s="1279" t="e">
        <f>COUNTIFS([1]SurveyDATA_1!E$1:E$65536,"*BRGY.184*",[1]SurveyDATA_1!AS$1:AS$65536,"Y",[1]SurveyDATA_1!BN$1:BN$65536,"*Structure Owner*",[1]SurveyDATA_1!FQ$1:FQ$65536,"*NEED*")</f>
        <v>#VALUE!</v>
      </c>
      <c r="X52" s="1279" t="e">
        <f>COUNTIFS([1]SurveyDATA_1!E$1:E$65536,"*BRGY.184*",[1]SurveyDATA_1!AS$1:AS$65536,"Y",[1]SurveyDATA_1!FQ$1:FQ$65536,"*Stay*",[1]SurveyDATA_1!IP$1:IP$65536,"OWNER")</f>
        <v>#VALUE!</v>
      </c>
      <c r="Y52" s="1280" t="e">
        <f>COUNTIFS([1]SurveyDATA_1!E$1:E$65536,"*BRGY.184*",[1]SurveyDATA_1!AS$1:AS$65536,"Y",[1]SurveyDATA_1!FQ$1:FQ$65536,"*NEED*",[1]SurveyDATA_1!IP$1:IP$65536,"OWNER")</f>
        <v>#VALUE!</v>
      </c>
      <c r="Z52" s="1279" t="e">
        <f>COUNTIFS([1]SurveyDATA_1!E$1:E$65536,"*BANCAL*",[1]SurveyDATA_1!AS$1:AS$65536,"Y",[1]SurveyDATA_1!BM$1:BM$65536,"*INSTITUTIONAL*",[1]SurveyDATA_1!FQ$1:FQ$65536,"*STAY*")</f>
        <v>#VALUE!</v>
      </c>
      <c r="AA52" s="1279" t="e">
        <f>COUNTIFS([1]SurveyDATA_1!E$1:E$65536,"*BANCAL*",[1]SurveyDATA_1!AS$1:AS$65536,"Y",[1]SurveyDATA_1!BM$1:BM$65536,"*INSTITUTIONAL*",[1]SurveyDATA_1!FQ$1:FQ$65536,"*STAY*")</f>
        <v>#VALUE!</v>
      </c>
      <c r="AB52" s="1279" t="e">
        <f>COUNTIFS([1]SurveyDATA_1!E$1:E$65536,"*BRGY.184*",[1]SurveyDATA_1!BN$1:BN$65536,"RENTER",[1]SurveyDATA_1!FQ$1:FQ$65536,"*STAY*")</f>
        <v>#VALUE!</v>
      </c>
      <c r="AC52" s="1279" t="e">
        <f>COUNTIFS([1]SurveyDATA_1!E$1:E$65536,"*BRGY.184*",[1]SurveyDATA_1!BN$1:BN$65536,"RENTER",[1]SurveyDATA_1!FQ$1:FQ$65536,"*NEED*")</f>
        <v>#VALUE!</v>
      </c>
      <c r="AD52" s="572"/>
      <c r="AE52" s="572"/>
      <c r="AF52" s="1279" t="e">
        <f>COUNTIFS([1]SurveyDATA_1!E$1:E$65536,"*BRGY.184*",[1]SurveyDATA_1!AK$1:AK$65536,"*LAND OWNER*",[1]SurveyDATA_1!AS$1:AS$65536,"Y",[1]SurveyDATA_1!AN$1:AN$65536,"&lt;20%")</f>
        <v>#VALUE!</v>
      </c>
      <c r="AG52" s="1279" t="e">
        <f>COUNTIFS([1]SurveyDATA_1!E$1:E$65536,"*BRGY.184*",[1]SurveyDATA_1!AK$1:AK$65536,"*LAND OWNER*",[1]SurveyDATA_1!AS$1:AS$65536,"Y",[1]SurveyDATA_1!AN$1:AN$65536,"&gt;19.99%")</f>
        <v>#VALUE!</v>
      </c>
      <c r="AH52" s="1279" t="e">
        <f>COUNTIFS([1]SurveyDATA_1!E$1:E$65536,"*BRGY.184*",[1]SurveyDATA_1!BM$1:BM$65536,"Commercial",[1]SurveyDATA_1!BN$1:BN$65536,"Commercial Tenant",[1]SurveyDATA_1!BR$1:BR$65536,"&lt;20%")</f>
        <v>#VALUE!</v>
      </c>
      <c r="AI52" s="1279" t="e">
        <f>COUNTIFS([1]SurveyDATA_1!E$1:E$65536,"*BRGY.184*",[1]SurveyDATA_1!BM$1:BM$65536,"Commercial",[1]SurveyDATA_1!BN$1:BN$65536,"Commercial Tenant",[1]SurveyDATA_1!BR$1:BR$65536,"&gt;19.99%")</f>
        <v>#VALUE!</v>
      </c>
      <c r="AJ52" s="1281">
        <v>0</v>
      </c>
      <c r="AK52" s="1281">
        <v>0</v>
      </c>
      <c r="AL52" s="1279" t="e">
        <f>SUMIFS([1]SurveyDATA_1!#REF!,[1]SurveyDATA_1!E$1:E$65536,"*BRGY.184*",[1]SurveyDATA_1!BM$1:BM$65536,"Commercial",[1]SurveyDATA_1!BN$1:BN$65536,"Commercial Tenant",[1]SurveyDATA_1!BR$1:BR$65536,"&lt;20%")</f>
        <v>#REF!</v>
      </c>
      <c r="AM52" s="1279" t="e">
        <f>SUMIFS([1]SurveyDATA_1!#REF!,[1]SurveyDATA_1!E$1:E$65536,"*BRGY.184*",[1]SurveyDATA_1!BM$1:BM$65536,"Commercial",[1]SurveyDATA_1!BN$1:BN$65536,"Commercial Tenant",[1]SurveyDATA_1!BR$1:BR$65536,"&gt;19.99%")</f>
        <v>#REF!</v>
      </c>
      <c r="AN52" s="1282" t="e">
        <f t="shared" si="35"/>
        <v>#REF!</v>
      </c>
      <c r="AO52" s="1282" t="e">
        <f t="shared" si="35"/>
        <v>#REF!</v>
      </c>
      <c r="AR52" s="572"/>
      <c r="AS52" s="573" t="s">
        <v>5406</v>
      </c>
      <c r="AT52" s="1283" t="e">
        <f>COUNTIFS([1]SurveyDATA_1!E$1:E$65536,"*BRGY.185*",[1]SurveyDATA_1!BM$1:BM$65536,"*RESIDENTIAL*",[1]SurveyDATA_1!AS$1:AS$65536,"",[1]SurveyDATA_1!BN$1:BN$65536,"*Structure Owner*",[1]SurveyDATA_1!FQ$1:FQ$65536,"*STAY*")</f>
        <v>#VALUE!</v>
      </c>
      <c r="AU52" s="1284" t="e">
        <f>COUNTIFS([1]SurveyDATA_1!E$1:E$65536,"*BRGY.185*",[1]SurveyDATA_1!BM$1:BM$65536,"*RESIDENTIAL*",[1]SurveyDATA_1!AS$1:AS$65536,"",[1]SurveyDATA_1!BN$1:BN$65536,"*Structure Owner*",[1]SurveyDATA_1!FQ$1:FQ$65536,"*NEED*")</f>
        <v>#VALUE!</v>
      </c>
      <c r="AV52" s="1284" t="e">
        <f>COUNTIFS([1]SurveyDATA_1!E$1:E$65536,"*BRGY.185*",[1]SurveyDATA_1!AS$1:AS$65536,"",[1]SurveyDATA_1!FQ$1:FQ$65536,"*STAY*",[1]SurveyDATA_1!IP$1:IP$65536,"OWNER",[1]SurveyDATA_1!IR$1:IR$65536,"*")</f>
        <v>#VALUE!</v>
      </c>
      <c r="AW52" s="1284" t="e">
        <f>COUNTIFS([1]SurveyDATA_1!E$1:E$65536,"*BRGY.185*",[1]SurveyDATA_1!AS$1:AS$65536,"",[1]SurveyDATA_1!FQ$1:FQ$65536,"*NEED*",[1]SurveyDATA_1!IP$1:IP$65536,"OWNER",[1]SurveyDATA_1!IR$1:IR$65536,"*")</f>
        <v>#VALUE!</v>
      </c>
      <c r="AX52" s="1325"/>
      <c r="AY52" s="1326"/>
      <c r="AZ52" s="1285" t="e">
        <f t="shared" si="34"/>
        <v>#VALUE!</v>
      </c>
      <c r="BA52" s="1286" t="e">
        <f t="shared" si="34"/>
        <v>#VALUE!</v>
      </c>
    </row>
    <row r="53" spans="20:53">
      <c r="V53" s="1279" t="e">
        <f>COUNTIFS([1]SurveyDATA_1!E$1:E$65536,"*BRGY.185*",[1]SurveyDATA_1!AS$1:AS$65536,"Y",[1]SurveyDATA_1!BN$1:BN$65536,"*Structure Owner*",[1]SurveyDATA_1!FQ$1:FQ$65536,"*Stay*")</f>
        <v>#VALUE!</v>
      </c>
      <c r="W53" s="1279" t="e">
        <f>COUNTIFS([1]SurveyDATA_1!E$1:E$65536,"*BRGY.185*",[1]SurveyDATA_1!AS$1:AS$65536,"Y",[1]SurveyDATA_1!BN$1:BN$65536,"*Structure Owner*",[1]SurveyDATA_1!FQ$1:FQ$65536,"*NEED*")</f>
        <v>#VALUE!</v>
      </c>
      <c r="X53" s="1279" t="e">
        <f>COUNTIFS([1]SurveyDATA_1!E$1:E$65536,"*BRGY.185*",[1]SurveyDATA_1!AS$1:AS$65536,"Y",[1]SurveyDATA_1!FQ$1:FQ$65536,"*Stay*",[1]SurveyDATA_1!IP$1:IP$65536,"OWNER")</f>
        <v>#VALUE!</v>
      </c>
      <c r="Y53" s="1280" t="e">
        <f>COUNTIFS([1]SurveyDATA_1!E$1:E$65536,"*BRGY.185*",[1]SurveyDATA_1!AS$1:AS$65536,"Y",[1]SurveyDATA_1!FQ$1:FQ$65536,"*NEED*",[1]SurveyDATA_1!IP$1:IP$65536,"OWNER")</f>
        <v>#VALUE!</v>
      </c>
      <c r="Z53" s="1279" t="e">
        <f>COUNTIFS([1]SurveyDATA_1!E$1:E$65536,"*BANCAL*",[1]SurveyDATA_1!AS$1:AS$65536,"Y",[1]SurveyDATA_1!BM$1:BM$65536,"*INSTITUTIONAL*",[1]SurveyDATA_1!FQ$1:FQ$65536,"*STAY*")</f>
        <v>#VALUE!</v>
      </c>
      <c r="AA53" s="1279" t="e">
        <f>COUNTIFS([1]SurveyDATA_1!E$1:E$65536,"*BANCAL*",[1]SurveyDATA_1!AS$1:AS$65536,"Y",[1]SurveyDATA_1!BM$1:BM$65536,"*INSTITUTIONAL*",[1]SurveyDATA_1!FQ$1:FQ$65536,"*STAY*")</f>
        <v>#VALUE!</v>
      </c>
      <c r="AB53" s="1279" t="e">
        <f>COUNTIFS([1]SurveyDATA_1!E$1:E$65536,"*BRGY.184*",[1]SurveyDATA_1!BN$1:BN$65536,"RENTER",[1]SurveyDATA_1!FQ$1:FQ$65536,"*STAY*")</f>
        <v>#VALUE!</v>
      </c>
      <c r="AC53" s="1279" t="e">
        <f>COUNTIFS([1]SurveyDATA_1!E$1:E$65536,"*BRGY.184*",[1]SurveyDATA_1!BN$1:BN$65536,"RENTER",[1]SurveyDATA_1!FQ$1:FQ$65536,"*NEED*")</f>
        <v>#VALUE!</v>
      </c>
      <c r="AD53" s="572"/>
      <c r="AE53" s="572"/>
      <c r="AF53" s="1279" t="e">
        <f>COUNTIFS([1]SurveyDATA_1!E$1:E$65536,"*BRGY.185*",[1]SurveyDATA_1!AK$1:AK$65536,"*LAND OWNER*",[1]SurveyDATA_1!AS$1:AS$65536,"Y",[1]SurveyDATA_1!AN$1:AN$65536,"&lt;20%")</f>
        <v>#VALUE!</v>
      </c>
      <c r="AG53" s="1279" t="e">
        <f>COUNTIFS([1]SurveyDATA_1!E$1:E$65536,"*BRGY.185*",[1]SurveyDATA_1!AK$1:AK$65536,"*LAND OWNER*",[1]SurveyDATA_1!AS$1:AS$65536,"Y",[1]SurveyDATA_1!AN$1:AN$65536,"&gt;19.99%")</f>
        <v>#VALUE!</v>
      </c>
      <c r="AH53" s="1279" t="e">
        <f>COUNTIFS([1]SurveyDATA_1!E$1:E$65536,"*BRGY.185*",[1]SurveyDATA_1!BM$1:BM$65536,"Commercial",[1]SurveyDATA_1!BN$1:BN$65536,"Commercial Tenant",[1]SurveyDATA_1!BR$1:BR$65536,"&lt;20%")</f>
        <v>#VALUE!</v>
      </c>
      <c r="AI53" s="1279" t="e">
        <f>COUNTIFS([1]SurveyDATA_1!E$1:E$65536,"*BRGY.185*",[1]SurveyDATA_1!BM$1:BM$65536,"Commercial",[1]SurveyDATA_1!BN$1:BN$65536,"Commercial Tenant",[1]SurveyDATA_1!BR$1:BR$65536,"&gt;19.99%")</f>
        <v>#VALUE!</v>
      </c>
      <c r="AJ53" s="1281">
        <v>0</v>
      </c>
      <c r="AK53" s="1281">
        <v>0</v>
      </c>
      <c r="AL53" s="1279" t="e">
        <f>SUMIFS([1]SurveyDATA_1!#REF!,[1]SurveyDATA_1!E$1:E$65536,"*BRGY.185*",[1]SurveyDATA_1!BM$1:BM$65536,"Commercial",[1]SurveyDATA_1!BN$1:BN$65536,"Commercial Tenant",[1]SurveyDATA_1!BR$1:BR$65536,"&lt;20%")</f>
        <v>#REF!</v>
      </c>
      <c r="AM53" s="1279" t="e">
        <f>SUMIFS([1]SurveyDATA_1!#REF!,[1]SurveyDATA_1!E$1:E$65536,"*MALINTA*",[1]SurveyDATA_1!BM$1:BM$65536,"Commercial",[1]SurveyDATA_1!BN$1:BN$65536,"Commercial Tenant",[1]SurveyDATA_1!BR$1:BR$65536,"&gt;19.99%")</f>
        <v>#REF!</v>
      </c>
      <c r="AN53" s="1282" t="e">
        <f t="shared" si="35"/>
        <v>#REF!</v>
      </c>
      <c r="AO53" s="1282" t="e">
        <f t="shared" si="35"/>
        <v>#REF!</v>
      </c>
      <c r="AR53" s="572"/>
      <c r="AS53" s="573" t="s">
        <v>5803</v>
      </c>
      <c r="AT53" s="1283" t="e">
        <f>COUNTIFS([1]SurveyDATA_1!E$1:E$65536,"*BRGY.186*",[1]SurveyDATA_1!BM$1:BM$65536,"*RESIDENTIAL*",[1]SurveyDATA_1!AS$1:AS$65536,"",[1]SurveyDATA_1!BN$1:BN$65536,"*Structure Owner*",[1]SurveyDATA_1!FQ$1:FQ$65536,"*STAY*")</f>
        <v>#VALUE!</v>
      </c>
      <c r="AU53" s="1284" t="e">
        <f>COUNTIFS([1]SurveyDATA_1!E$1:E$65536,"*BRGY.186*",[1]SurveyDATA_1!BM$1:BM$65536,"*RESIDENTIAL*",[1]SurveyDATA_1!AS$1:AS$65536,"",[1]SurveyDATA_1!BN$1:BN$65536,"*Structure Owner*",[1]SurveyDATA_1!FQ$1:FQ$65536,"*NEED*")</f>
        <v>#VALUE!</v>
      </c>
      <c r="AV53" s="1284" t="e">
        <f>COUNTIFS([1]SurveyDATA_1!E$1:E$65536,"*BRGY.186*",[1]SurveyDATA_1!AS$1:AS$65536,"",[1]SurveyDATA_1!FQ$1:FQ$65536,"*STAY*",[1]SurveyDATA_1!IP$1:IP$65536,"OWNER",[1]SurveyDATA_1!IR$1:IR$65536,"*")</f>
        <v>#VALUE!</v>
      </c>
      <c r="AW53" s="1284" t="e">
        <f>COUNTIFS([1]SurveyDATA_1!E$1:E$65536,"*BRGY.186*",[1]SurveyDATA_1!AS$1:AS$65536,"",[1]SurveyDATA_1!FQ$1:FQ$65536,"*NEED*",[1]SurveyDATA_1!IP$1:IP$65536,"OWNER",[1]SurveyDATA_1!IR$1:IR$65536,"*")</f>
        <v>#VALUE!</v>
      </c>
      <c r="AX53" s="1325"/>
      <c r="AY53" s="1326"/>
      <c r="AZ53" s="1285" t="e">
        <f t="shared" si="34"/>
        <v>#VALUE!</v>
      </c>
      <c r="BA53" s="1286" t="e">
        <f t="shared" si="34"/>
        <v>#VALUE!</v>
      </c>
    </row>
    <row r="54" spans="20:53">
      <c r="V54" s="1279" t="e">
        <f>COUNTIFS([1]SurveyDATA_1!E$1:E$65536,"*BRGY.186*",[1]SurveyDATA_1!AS$1:AS$65536,"Y",[1]SurveyDATA_1!BN$1:BN$65536,"*Structure Owner*",[1]SurveyDATA_1!FQ$1:FQ$65536,"*Stay*")</f>
        <v>#VALUE!</v>
      </c>
      <c r="W54" s="1279" t="e">
        <f>COUNTIFS([1]SurveyDATA_1!E$1:E$65536,"*BRGY.186*",[1]SurveyDATA_1!AS$1:AS$65536,"Y",[1]SurveyDATA_1!BN$1:BN$65536,"*Structure Owner*",[1]SurveyDATA_1!FQ$1:FQ$65536,"*NEED*")</f>
        <v>#VALUE!</v>
      </c>
      <c r="X54" s="1279" t="e">
        <f>COUNTIFS([1]SurveyDATA_1!E$1:E$65536,"*BRGY.186*",[1]SurveyDATA_1!AS$1:AS$65536,"Y",[1]SurveyDATA_1!FQ$1:FQ$65536,"*Stay*",[1]SurveyDATA_1!IP$1:IP$65536,"OWNER")</f>
        <v>#VALUE!</v>
      </c>
      <c r="Y54" s="1280" t="e">
        <f>COUNTIFS([1]SurveyDATA_1!E$1:E$65536,"*BRGY.186*",[1]SurveyDATA_1!AS$1:AS$65536,"Y",[1]SurveyDATA_1!FQ$1:FQ$65536,"*NEED*",[1]SurveyDATA_1!IP$1:IP$65536,"OWNER")</f>
        <v>#VALUE!</v>
      </c>
      <c r="Z54" s="1279" t="e">
        <f>COUNTIFS([1]SurveyDATA_1!E$1:E$65536,"*BANCAL*",[1]SurveyDATA_1!AS$1:AS$65536,"Y",[1]SurveyDATA_1!BM$1:BM$65536,"*INSTITUTIONAL*",[1]SurveyDATA_1!FQ$1:FQ$65536,"*STAY*")</f>
        <v>#VALUE!</v>
      </c>
      <c r="AA54" s="1279" t="e">
        <f>COUNTIFS([1]SurveyDATA_1!E$1:E$65536,"*BANCAL*",[1]SurveyDATA_1!AS$1:AS$65536,"Y",[1]SurveyDATA_1!BM$1:BM$65536,"*INSTITUTIONAL*",[1]SurveyDATA_1!FQ$1:FQ$65536,"*STAY*")</f>
        <v>#VALUE!</v>
      </c>
      <c r="AB54" s="1279" t="e">
        <f>COUNTIFS([1]SurveyDATA_1!E$1:E$65536,"*BRGY.186*",[1]SurveyDATA_1!BN$1:BN$65536,"RENTER",[1]SurveyDATA_1!FQ$1:FQ$65536,"*STAY*")</f>
        <v>#VALUE!</v>
      </c>
      <c r="AC54" s="1279" t="e">
        <f>COUNTIFS([1]SurveyDATA_1!E$1:E$65536,"*BRGY.186*",[1]SurveyDATA_1!BN$1:BN$65536,"RENTER",[1]SurveyDATA_1!FQ$1:FQ$65536,"*NEED*")</f>
        <v>#VALUE!</v>
      </c>
      <c r="AD54" s="572"/>
      <c r="AE54" s="572"/>
      <c r="AF54" s="1279" t="e">
        <f>COUNTIFS([1]SurveyDATA_1!E$1:E$65536,"*BRGY.186*",[1]SurveyDATA_1!AK$1:AK$65536,"*LAND OWNER*",[1]SurveyDATA_1!AS$1:AS$65536,"Y",[1]SurveyDATA_1!AN$1:AN$65536,"&lt;20%")</f>
        <v>#VALUE!</v>
      </c>
      <c r="AG54" s="1279" t="e">
        <f>COUNTIFS([1]SurveyDATA_1!E$1:E$65536,"*BRGY.186*",[1]SurveyDATA_1!AK$1:AK$65536,"*LAND OWNER*",[1]SurveyDATA_1!AS$1:AS$65536,"Y",[1]SurveyDATA_1!AN$1:AN$65536,"&gt;19.99%")</f>
        <v>#VALUE!</v>
      </c>
      <c r="AH54" s="1279" t="e">
        <f>COUNTIFS([1]SurveyDATA_1!E$1:E$65536,"*BRGY.186*",[1]SurveyDATA_1!BM$1:BM$65536,"Commercial",[1]SurveyDATA_1!BN$1:BN$65536,"Commercial Tenant",[1]SurveyDATA_1!BR$1:BR$65536,"&lt;20%")</f>
        <v>#VALUE!</v>
      </c>
      <c r="AI54" s="1279" t="e">
        <f>COUNTIFS([1]SurveyDATA_1!E$1:E$65536,"*BRGY.186*",[1]SurveyDATA_1!BM$1:BM$65536,"Commercial",[1]SurveyDATA_1!BN$1:BN$65536,"Commercial Tenant",[1]SurveyDATA_1!BR$1:BR$65536,"&gt;19.99%")</f>
        <v>#VALUE!</v>
      </c>
      <c r="AJ54" s="1281">
        <v>0</v>
      </c>
      <c r="AK54" s="1281">
        <v>0</v>
      </c>
      <c r="AL54" s="1279" t="e">
        <f>SUMIFS([1]SurveyDATA_1!#REF!,[1]SurveyDATA_1!E$1:E$65536,"*BRGY.186*",[1]SurveyDATA_1!BM$1:BM$65536,"Commercial",[1]SurveyDATA_1!BN$1:BN$65536,"Commercial Tenant",[1]SurveyDATA_1!BR$1:BR$65536,"&lt;20%")</f>
        <v>#REF!</v>
      </c>
      <c r="AM54" s="1279" t="e">
        <f>SUMIFS([1]SurveyDATA_1!#REF!,[1]SurveyDATA_1!E$1:E$65536,"*BRGY.186*",[1]SurveyDATA_1!BM$1:BM$65536,"Commercial",[1]SurveyDATA_1!BN$1:BN$65536,"Commercial Tenant",[1]SurveyDATA_1!BR$1:BR$65536,"&gt;19.99%")</f>
        <v>#REF!</v>
      </c>
      <c r="AN54" s="1282" t="e">
        <f t="shared" si="35"/>
        <v>#REF!</v>
      </c>
      <c r="AO54" s="1282" t="e">
        <f t="shared" si="35"/>
        <v>#REF!</v>
      </c>
      <c r="AR54" s="572"/>
      <c r="AS54" s="573" t="s">
        <v>5410</v>
      </c>
      <c r="AT54" s="1283" t="e">
        <f>COUNTIFS([1]SurveyDATA_1!E$1:E$65536,"*BRGY.199*",[1]SurveyDATA_1!BM$1:BM$65536,"*RESIDENTIAL*",[1]SurveyDATA_1!AS$1:AS$65536,"",[1]SurveyDATA_1!BN$1:BN$65536,"*Structure Owner*",[1]SurveyDATA_1!FQ$1:FQ$65536,"*STAY*")</f>
        <v>#VALUE!</v>
      </c>
      <c r="AU54" s="1284" t="e">
        <f>COUNTIFS([1]SurveyDATA_1!E$1:E$65536,"*BRGY.199*",[1]SurveyDATA_1!BM$1:BM$65536,"*RESIDENTIAL*",[1]SurveyDATA_1!AS$1:AS$65536,"",[1]SurveyDATA_1!BN$1:BN$65536,"*Structure Owner*",[1]SurveyDATA_1!FQ$1:FQ$65536,"*NEED*")</f>
        <v>#VALUE!</v>
      </c>
      <c r="AV54" s="1284" t="e">
        <f>COUNTIFS([1]SurveyDATA_1!E$1:E$65536,"*BRGY.199*",[1]SurveyDATA_1!AS$1:AS$65536,"",[1]SurveyDATA_1!FQ$1:FQ$65536,"*STAY*",[1]SurveyDATA_1!IP$1:IP$65536,"OWNER",[1]SurveyDATA_1!IR$1:IR$65536,"*")</f>
        <v>#VALUE!</v>
      </c>
      <c r="AW54" s="1284" t="e">
        <f>COUNTIFS([1]SurveyDATA_1!E$1:E$65536,"*BRGY.199*",[1]SurveyDATA_1!AS$1:AS$65536,"",[1]SurveyDATA_1!FQ$1:FQ$65536,"*NEED*",[1]SurveyDATA_1!IP$1:IP$65536,"OWNER",[1]SurveyDATA_1!IR$1:IR$65536,"*")</f>
        <v>#VALUE!</v>
      </c>
      <c r="AX54" s="1325"/>
      <c r="AY54" s="1326"/>
      <c r="AZ54" s="1285" t="e">
        <f t="shared" si="34"/>
        <v>#VALUE!</v>
      </c>
      <c r="BA54" s="1286" t="e">
        <f t="shared" si="34"/>
        <v>#VALUE!</v>
      </c>
    </row>
    <row r="55" spans="20:53">
      <c r="V55" s="1279" t="e">
        <f>COUNTIFS([1]SurveyDATA_1!E$1:E$65536,"*BRGY.199*",[1]SurveyDATA_1!AS$1:AS$65536,"Y",[1]SurveyDATA_1!BN$1:BN$65536,"*Structure Owner*",[1]SurveyDATA_1!FQ$1:FQ$65536,"*Stay*")</f>
        <v>#VALUE!</v>
      </c>
      <c r="W55" s="1279" t="e">
        <f>COUNTIFS([1]SurveyDATA_1!E$1:E$65536,"*BRGY.199*",[1]SurveyDATA_1!AS$1:AS$65536,"Y",[1]SurveyDATA_1!BN$1:BN$65536,"*Structure Owner*",[1]SurveyDATA_1!FQ$1:FQ$65536,"*NEED*")</f>
        <v>#VALUE!</v>
      </c>
      <c r="X55" s="1279" t="e">
        <f>COUNTIFS([1]SurveyDATA_1!E$1:E$65536,"*BRGY.199*",[1]SurveyDATA_1!AS$1:AS$65536,"Y",[1]SurveyDATA_1!FQ$1:FQ$65536,"*Stay*",[1]SurveyDATA_1!IP$1:IP$65536,"OWNER")</f>
        <v>#VALUE!</v>
      </c>
      <c r="Y55" s="1280" t="e">
        <f>COUNTIFS([1]SurveyDATA_1!E$1:E$65536,"*BRGY.199*",[1]SurveyDATA_1!AS$1:AS$65536,"Y",[1]SurveyDATA_1!FQ$1:FQ$65536,"*NEED*",[1]SurveyDATA_1!IP$1:IP$65536,"OWNER")</f>
        <v>#VALUE!</v>
      </c>
      <c r="Z55" s="1279" t="e">
        <f>COUNTIFS([1]SurveyDATA_1!E$1:E$65536,"*BANCAL*",[1]SurveyDATA_1!AS$1:AS$65536,"Y",[1]SurveyDATA_1!BM$1:BM$65536,"*INSTITUTIONAL*",[1]SurveyDATA_1!FQ$1:FQ$65536,"*STAY*")</f>
        <v>#VALUE!</v>
      </c>
      <c r="AA55" s="1279" t="e">
        <f>COUNTIFS([1]SurveyDATA_1!E$1:E$65536,"*BANCAL*",[1]SurveyDATA_1!AS$1:AS$65536,"Y",[1]SurveyDATA_1!BM$1:BM$65536,"*INSTITUTIONAL*",[1]SurveyDATA_1!FQ$1:FQ$65536,"*STAY*")</f>
        <v>#VALUE!</v>
      </c>
      <c r="AB55" s="1279" t="e">
        <f>COUNTIFS([1]SurveyDATA_1!E$1:E$65536,"*BRGY.199*",[1]SurveyDATA_1!BN$1:BN$65536,"RENTER",[1]SurveyDATA_1!FQ$1:FQ$65536,"*STAY*")</f>
        <v>#VALUE!</v>
      </c>
      <c r="AC55" s="1279" t="e">
        <f>COUNTIFS([1]SurveyDATA_1!E$1:E$65536,"*BRGY.199*",[1]SurveyDATA_1!BN$1:BN$65536,"RENTER",[1]SurveyDATA_1!FQ$1:FQ$65536,"*NEED*")</f>
        <v>#VALUE!</v>
      </c>
      <c r="AD55" s="572"/>
      <c r="AE55" s="572"/>
      <c r="AF55" s="1279" t="e">
        <f>COUNTIFS([1]SurveyDATA_1!E$1:E$65536,"*BRGY.199*",[1]SurveyDATA_1!AK$1:AK$65536,"*LAND OWNER*",[1]SurveyDATA_1!AS$1:AS$65536,"Y",[1]SurveyDATA_1!AN$1:AN$65536,"&lt;20%")</f>
        <v>#VALUE!</v>
      </c>
      <c r="AG55" s="1279" t="e">
        <f>COUNTIFS([1]SurveyDATA_1!E$1:E$65536,"*BRGY.199*",[1]SurveyDATA_1!AK$1:AK$65536,"*LAND OWNER*",[1]SurveyDATA_1!AS$1:AS$65536,"Y",[1]SurveyDATA_1!AN$1:AN$65536,"&gt;19.99%")</f>
        <v>#VALUE!</v>
      </c>
      <c r="AH55" s="1279" t="e">
        <f>COUNTIFS([1]SurveyDATA_1!E$1:E$65536,"*BBRGY.199RGY.33*",[1]SurveyDATA_1!BM$1:BM$65536,"Commercial",[1]SurveyDATA_1!BN$1:BN$65536,"Commercial Tenant",[1]SurveyDATA_1!BR$1:BR$65536,"&lt;20%")</f>
        <v>#VALUE!</v>
      </c>
      <c r="AI55" s="1279" t="e">
        <f>COUNTIFS([1]SurveyDATA_1!E$1:E$65536,"*BRGY.199*",[1]SurveyDATA_1!BM$1:BM$65536,"Commercial",[1]SurveyDATA_1!BN$1:BN$65536,"Commercial Tenant",[1]SurveyDATA_1!BR$1:BR$65536,"&gt;19.99%")</f>
        <v>#VALUE!</v>
      </c>
      <c r="AJ55" s="1281">
        <v>0</v>
      </c>
      <c r="AK55" s="1281">
        <v>0</v>
      </c>
      <c r="AL55" s="1279" t="e">
        <f>SUMIFS([1]SurveyDATA_1!#REF!,[1]SurveyDATA_1!E$1:E$65536,"*BRGY.199*",[1]SurveyDATA_1!BM$1:BM$65536,"Commercial",[1]SurveyDATA_1!BN$1:BN$65536,"Commercial Tenant",[1]SurveyDATA_1!BR$1:BR$65536,"&lt;20%")</f>
        <v>#REF!</v>
      </c>
      <c r="AM55" s="1279" t="e">
        <f>SUMIFS([1]SurveyDATA_1!#REF!,[1]SurveyDATA_1!E$1:E$65536,"*BRGY.199*",[1]SurveyDATA_1!BM$1:BM$65536,"Commercial",[1]SurveyDATA_1!BN$1:BN$65536,"Commercial Tenant",[1]SurveyDATA_1!BR$1:BR$65536,"&gt;19.99%")</f>
        <v>#REF!</v>
      </c>
      <c r="AN55" s="1282" t="e">
        <f t="shared" si="35"/>
        <v>#REF!</v>
      </c>
      <c r="AO55" s="1282" t="e">
        <f t="shared" si="35"/>
        <v>#REF!</v>
      </c>
      <c r="AR55" s="572"/>
      <c r="AS55" s="573" t="s">
        <v>5798</v>
      </c>
      <c r="AT55" s="1283" t="e">
        <f>COUNTIFS([1]SurveyDATA_1!E$1:E$65536,"*BRGY.200*",[1]SurveyDATA_1!BM$1:BM$65536,"*RESIDENTIAL*",[1]SurveyDATA_1!AS$1:AS$65536,"",[1]SurveyDATA_1!BN$1:BN$65536,"*Structure Owner*",[1]SurveyDATA_1!FQ$1:FQ$65536,"*STAY*")</f>
        <v>#VALUE!</v>
      </c>
      <c r="AU55" s="1284" t="e">
        <f>COUNTIFS([1]SurveyDATA_1!E$1:E$65536,"*BRGY.200*",[1]SurveyDATA_1!BM$1:BM$65536,"*RESIDENTIAL*",[1]SurveyDATA_1!AS$1:AS$65536,"",[1]SurveyDATA_1!BN$1:BN$65536,"*Structure Owner*",[1]SurveyDATA_1!FQ$1:FQ$65536,"*NEED*")</f>
        <v>#VALUE!</v>
      </c>
      <c r="AV55" s="1284" t="e">
        <f>COUNTIFS([1]SurveyDATA_1!E$1:E$65536,"*BRGY.200*",[1]SurveyDATA_1!AS$1:AS$65536,"",[1]SurveyDATA_1!FQ$1:FQ$65536,"*STAY*",[1]SurveyDATA_1!IP$1:IP$65536,"OWNER",[1]SurveyDATA_1!IR$1:IR$65536,"*")</f>
        <v>#VALUE!</v>
      </c>
      <c r="AW55" s="1284" t="e">
        <f>COUNTIFS([1]SurveyDATA_1!E$1:E$65536,"*BRGY.200*",[1]SurveyDATA_1!AS$1:AS$65536,"",[1]SurveyDATA_1!FQ$1:FQ$65536,"*NEED*",[1]SurveyDATA_1!IP$1:IP$65536,"OWNER",[1]SurveyDATA_1!IR$1:IR$65536,"*")</f>
        <v>#VALUE!</v>
      </c>
      <c r="AX55" s="1325"/>
      <c r="AY55" s="1326"/>
      <c r="AZ55" s="1285" t="e">
        <f t="shared" si="34"/>
        <v>#VALUE!</v>
      </c>
      <c r="BA55" s="1286" t="e">
        <f t="shared" si="34"/>
        <v>#VALUE!</v>
      </c>
    </row>
    <row r="56" spans="20:53">
      <c r="V56" s="1279" t="e">
        <f>COUNTIFS([1]SurveyDATA_1!E$1:E$65536,"*BRGY.200*",[1]SurveyDATA_1!AS$1:AS$65536,"Y",[1]SurveyDATA_1!BN$1:BN$65536,"*Structure Owner*",[1]SurveyDATA_1!FQ$1:FQ$65536,"*Stay*")</f>
        <v>#VALUE!</v>
      </c>
      <c r="W56" s="1279" t="e">
        <f>COUNTIFS([1]SurveyDATA_1!E$1:E$65536,"*BRGY.200*",[1]SurveyDATA_1!AS$1:AS$65536,"Y",[1]SurveyDATA_1!BN$1:BN$65536,"*Structure Owner*",[1]SurveyDATA_1!FQ$1:FQ$65536,"*NEED*")</f>
        <v>#VALUE!</v>
      </c>
      <c r="X56" s="1279" t="e">
        <f>COUNTIFS([1]SurveyDATA_1!E$1:E$65536,"*BRGY.200*",[1]SurveyDATA_1!AS$1:AS$65536,"Y",[1]SurveyDATA_1!FQ$1:FQ$65536,"*Stay*",[1]SurveyDATA_1!IP$1:IP$65536,"OWNER")</f>
        <v>#VALUE!</v>
      </c>
      <c r="Y56" s="1280" t="e">
        <f>COUNTIFS([1]SurveyDATA_1!E$1:E$65536,"*BRGY.200*",[1]SurveyDATA_1!AS$1:AS$65536,"Y",[1]SurveyDATA_1!FQ$1:FQ$65536,"*NEED*",[1]SurveyDATA_1!IP$1:IP$65536,"OWNER")</f>
        <v>#VALUE!</v>
      </c>
      <c r="Z56" s="1279" t="e">
        <f>COUNTIFS([1]SurveyDATA_1!E$1:E$65536,"*BANCAL*",[1]SurveyDATA_1!AS$1:AS$65536,"Y",[1]SurveyDATA_1!BM$1:BM$65536,"*INSTITUTIONAL*",[1]SurveyDATA_1!FQ$1:FQ$65536,"*STAY*")</f>
        <v>#VALUE!</v>
      </c>
      <c r="AA56" s="1279" t="e">
        <f>COUNTIFS([1]SurveyDATA_1!E$1:E$65536,"*BANCAL*",[1]SurveyDATA_1!AS$1:AS$65536,"Y",[1]SurveyDATA_1!BM$1:BM$65536,"*INSTITUTIONAL*",[1]SurveyDATA_1!FQ$1:FQ$65536,"*STAY*")</f>
        <v>#VALUE!</v>
      </c>
      <c r="AB56" s="1279" t="e">
        <f>COUNTIFS([1]SurveyDATA_1!E$1:E$65536,"*BRGY.200*",[1]SurveyDATA_1!BN$1:BN$65536,"RENTER",[1]SurveyDATA_1!FQ$1:FQ$65536,"*STAY*")</f>
        <v>#VALUE!</v>
      </c>
      <c r="AC56" s="1279" t="e">
        <f>COUNTIFS([1]SurveyDATA_1!E$1:E$65536,"*BRGY.200*",[1]SurveyDATA_1!BN$1:BN$65536,"RENTER",[1]SurveyDATA_1!FQ$1:FQ$65536,"*NEED*")</f>
        <v>#VALUE!</v>
      </c>
      <c r="AD56" s="572"/>
      <c r="AE56" s="572"/>
      <c r="AF56" s="1279" t="e">
        <f>COUNTIFS([1]SurveyDATA_1!E$1:E$65536,"*BRGY.200*",[1]SurveyDATA_1!AK$1:AK$65536,"*LAND OWNER*",[1]SurveyDATA_1!AS$1:AS$65536,"Y",[1]SurveyDATA_1!AN$1:AN$65536,"&lt;20%")</f>
        <v>#VALUE!</v>
      </c>
      <c r="AG56" s="1279" t="e">
        <f>COUNTIFS([1]SurveyDATA_1!E$1:E$65536,"*BRGY.200*",[1]SurveyDATA_1!AK$1:AK$65536,"*LAND OWNER*",[1]SurveyDATA_1!AS$1:AS$65536,"Y",[1]SurveyDATA_1!AN$1:AN$65536,"&gt;19.99%")</f>
        <v>#VALUE!</v>
      </c>
      <c r="AH56" s="1279" t="e">
        <f>COUNTIFS([1]SurveyDATA_1!E$1:E$65536,"*BRGY.200*",[1]SurveyDATA_1!BM$1:BM$65536,"Commercial",[1]SurveyDATA_1!BN$1:BN$65536,"Commercial Tenant",[1]SurveyDATA_1!BR$1:BR$65536,"&lt;20%")</f>
        <v>#VALUE!</v>
      </c>
      <c r="AI56" s="1279" t="e">
        <f>COUNTIFS([1]SurveyDATA_1!E$1:E$65536,"*BRGY.200*",[1]SurveyDATA_1!BM$1:BM$65536,"Commercial",[1]SurveyDATA_1!BN$1:BN$65536,"Commercial Tenant",[1]SurveyDATA_1!BR$1:BR$65536,"&gt;19.99%")</f>
        <v>#VALUE!</v>
      </c>
      <c r="AJ56" s="1281">
        <v>0</v>
      </c>
      <c r="AK56" s="1281">
        <v>0</v>
      </c>
      <c r="AL56" s="1279" t="e">
        <f>SUMIFS([1]SurveyDATA_1!#REF!,[1]SurveyDATA_1!E$1:E$65536,"*BRGY.200*",[1]SurveyDATA_1!BM$1:BM$65536,"Commercial",[1]SurveyDATA_1!BN$1:BN$65536,"Commercial Tenant",[1]SurveyDATA_1!BR$1:BR$65536,"&lt;20%")</f>
        <v>#REF!</v>
      </c>
      <c r="AM56" s="1279" t="e">
        <f>SUMIFS([1]SurveyDATA_1!#REF!,[1]SurveyDATA_1!E$1:E$65536,"*BRGY.200*",[1]SurveyDATA_1!BM$1:BM$65536,"Commercial",[1]SurveyDATA_1!BN$1:BN$65536,"Commercial Tenant",[1]SurveyDATA_1!BR$1:BR$65536,"&gt;19.99%")</f>
        <v>#REF!</v>
      </c>
      <c r="AN56" s="1282" t="e">
        <f t="shared" si="35"/>
        <v>#REF!</v>
      </c>
      <c r="AO56" s="1282" t="e">
        <f t="shared" si="35"/>
        <v>#REF!</v>
      </c>
      <c r="AR56" s="572"/>
      <c r="AS56" s="573" t="s">
        <v>5799</v>
      </c>
      <c r="AT56" s="1283" t="e">
        <f>COUNTIFS([1]SurveyDATA_1!E$1:E$65536,"*BRGY.204*",[1]SurveyDATA_1!BM$1:BM$65536,"*RESIDENTIAL*",[1]SurveyDATA_1!AS$1:AS$65536,"",[1]SurveyDATA_1!BN$1:BN$65536,"*Structure Owner*",[1]SurveyDATA_1!FQ$1:FQ$65536,"*STAY*")</f>
        <v>#VALUE!</v>
      </c>
      <c r="AU56" s="1284" t="e">
        <f>COUNTIFS([1]SurveyDATA_1!E$1:E$65536,"*BRGY.204*",[1]SurveyDATA_1!BM$1:BM$65536,"*RESIDENTIAL*",[1]SurveyDATA_1!AS$1:AS$65536,"",[1]SurveyDATA_1!BN$1:BN$65536,"*Structure Owner*",[1]SurveyDATA_1!FQ$1:FQ$65536,"*NEED*")</f>
        <v>#VALUE!</v>
      </c>
      <c r="AV56" s="1284" t="e">
        <f>COUNTIFS([1]SurveyDATA_1!E$1:E$65536,"*BRGY.204*",[1]SurveyDATA_1!AS$1:AS$65536,"",[1]SurveyDATA_1!FQ$1:FQ$65536,"*STAY*",[1]SurveyDATA_1!IP$1:IP$65536,"OWNER",[1]SurveyDATA_1!IR$1:IR$65536,"*")</f>
        <v>#VALUE!</v>
      </c>
      <c r="AW56" s="1284" t="e">
        <f>COUNTIFS([1]SurveyDATA_1!E$1:E$65536,"*BRGY.204*",[1]SurveyDATA_1!AS$1:AS$65536,"",[1]SurveyDATA_1!FQ$1:FQ$65536,"*NEED*",[1]SurveyDATA_1!IP$1:IP$65536,"OWNER",[1]SurveyDATA_1!IR$1:IR$65536,"*")</f>
        <v>#VALUE!</v>
      </c>
      <c r="AX56" s="1325"/>
      <c r="AY56" s="1326"/>
      <c r="AZ56" s="1285" t="e">
        <f t="shared" si="34"/>
        <v>#VALUE!</v>
      </c>
      <c r="BA56" s="1286" t="e">
        <f t="shared" si="34"/>
        <v>#VALUE!</v>
      </c>
    </row>
    <row r="57" spans="20:53" ht="15.75" thickBot="1">
      <c r="V57" s="1279" t="e">
        <f>COUNTIFS([1]SurveyDATA_1!E$1:E$65536,"*BRGY.204*",[1]SurveyDATA_1!AS$1:AS$65536,"Y",[1]SurveyDATA_1!BN$1:BN$65536,"*Structure Owner*",[1]SurveyDATA_1!FQ$1:FQ$65536,"*Stay*")</f>
        <v>#VALUE!</v>
      </c>
      <c r="W57" s="1279" t="e">
        <f>COUNTIFS([1]SurveyDATA_1!E$1:E$65536,"*BRGY.204*",[1]SurveyDATA_1!AS$1:AS$65536,"Y",[1]SurveyDATA_1!BN$1:BN$65536,"*Structure Owner*",[1]SurveyDATA_1!FQ$1:FQ$65536,"*NEED*")</f>
        <v>#VALUE!</v>
      </c>
      <c r="X57" s="1279" t="e">
        <f>COUNTIFS([1]SurveyDATA_1!E$1:E$65536,"*BRGY.204*",[1]SurveyDATA_1!AS$1:AS$65536,"Y",[1]SurveyDATA_1!FQ$1:FQ$65536,"*Stay*",[1]SurveyDATA_1!IP$1:IP$65536,"OWNER")</f>
        <v>#VALUE!</v>
      </c>
      <c r="Y57" s="1280" t="e">
        <f>COUNTIFS([1]SurveyDATA_1!E$1:E$65536,"*BRGY.204*",[1]SurveyDATA_1!AS$1:AS$65536,"Y",[1]SurveyDATA_1!FQ$1:FQ$65536,"*NEED*",[1]SurveyDATA_1!IP$1:IP$65536,"OWNER")</f>
        <v>#VALUE!</v>
      </c>
      <c r="Z57" s="1279" t="e">
        <f>COUNTIFS([1]SurveyDATA_1!E$1:E$65536,"*BANCAL*",[1]SurveyDATA_1!AS$1:AS$65536,"Y",[1]SurveyDATA_1!BM$1:BM$65536,"*INSTITUTIONAL*",[1]SurveyDATA_1!FQ$1:FQ$65536,"*STAY*")</f>
        <v>#VALUE!</v>
      </c>
      <c r="AA57" s="1279" t="e">
        <f>COUNTIFS([1]SurveyDATA_1!E$1:E$65536,"*BANCAL*",[1]SurveyDATA_1!AS$1:AS$65536,"Y",[1]SurveyDATA_1!BM$1:BM$65536,"*INSTITUTIONAL*",[1]SurveyDATA_1!FQ$1:FQ$65536,"*STAY*")</f>
        <v>#VALUE!</v>
      </c>
      <c r="AB57" s="1279" t="e">
        <f>COUNTIFS([1]SurveyDATA_1!E$1:E$65536,"*BRGY.204*",[1]SurveyDATA_1!BN$1:BN$65536,"RENTER",[1]SurveyDATA_1!FQ$1:FQ$65536,"*STAY*")</f>
        <v>#VALUE!</v>
      </c>
      <c r="AC57" s="1279" t="e">
        <f>COUNTIFS([1]SurveyDATA_1!E$1:E$65536,"*BRGBRGY.204Y.33*",[1]SurveyDATA_1!BN$1:BN$65536,"RENTER",[1]SurveyDATA_1!FQ$1:FQ$65536,"*NEED*")</f>
        <v>#VALUE!</v>
      </c>
      <c r="AD57" s="572"/>
      <c r="AE57" s="572"/>
      <c r="AF57" s="1279" t="e">
        <f>COUNTIFS([1]SurveyDATA_1!E$1:E$65536,"*BRGY.204*",[1]SurveyDATA_1!AK$1:AK$65536,"*LAND OWNER*",[1]SurveyDATA_1!AS$1:AS$65536,"Y",[1]SurveyDATA_1!AN$1:AN$65536,"&lt;20%")</f>
        <v>#VALUE!</v>
      </c>
      <c r="AG57" s="1279" t="e">
        <f>COUNTIFS([1]SurveyDATA_1!E$1:E$65536,"*BRGY.204*",[1]SurveyDATA_1!AK$1:AK$65536,"*LAND OWNER*",[1]SurveyDATA_1!AS$1:AS$65536,"Y",[1]SurveyDATA_1!AN$1:AN$65536,"&gt;19.99%")</f>
        <v>#VALUE!</v>
      </c>
      <c r="AH57" s="1279" t="e">
        <f>COUNTIFS([1]SurveyDATA_1!E$1:E$65536,"*BRGY.204*",[1]SurveyDATA_1!BM$1:BM$65536,"Commercial",[1]SurveyDATA_1!BN$1:BN$65536,"Commercial Tenant",[1]SurveyDATA_1!BR$1:BR$65536,"&lt;20%")</f>
        <v>#VALUE!</v>
      </c>
      <c r="AI57" s="1279" t="e">
        <f>COUNTIFS([1]SurveyDATA_1!E$1:E$65536,"*BRGY.204*",[1]SurveyDATA_1!BM$1:BM$65536,"Commercial",[1]SurveyDATA_1!BN$1:BN$65536,"Commercial Tenant",[1]SurveyDATA_1!BR$1:BR$65536,"&gt;19.99%")</f>
        <v>#VALUE!</v>
      </c>
      <c r="AJ57" s="1281">
        <v>0</v>
      </c>
      <c r="AK57" s="1281">
        <v>0</v>
      </c>
      <c r="AL57" s="1279" t="e">
        <f>SUMIFS([1]SurveyDATA_1!#REF!,[1]SurveyDATA_1!E$1:E$65536,"*BRGY.204*",[1]SurveyDATA_1!BM$1:BM$65536,"Commercial",[1]SurveyDATA_1!BN$1:BN$65536,"Commercial Tenant",[1]SurveyDATA_1!BR$1:BR$65536,"&lt;20%")</f>
        <v>#REF!</v>
      </c>
      <c r="AM57" s="1279" t="e">
        <f>SUMIFS([1]SurveyDATA_1!#REF!,[1]SurveyDATA_1!E$1:E$65536,"*BRGY.204*",[1]SurveyDATA_1!BM$1:BM$65536,"Commercial",[1]SurveyDATA_1!BN$1:BN$65536,"Commercial Tenant",[1]SurveyDATA_1!BR$1:BR$65536,"&gt;19.99%")</f>
        <v>#REF!</v>
      </c>
      <c r="AN57" s="1282" t="e">
        <f t="shared" si="35"/>
        <v>#REF!</v>
      </c>
      <c r="AO57" s="1282" t="e">
        <f t="shared" si="35"/>
        <v>#REF!</v>
      </c>
      <c r="AR57" s="1327"/>
      <c r="AS57" s="1328" t="s">
        <v>7216</v>
      </c>
      <c r="AT57" s="1329" t="e">
        <f>SUM(AT42:AT56)</f>
        <v>#VALUE!</v>
      </c>
      <c r="AU57" s="1329" t="e">
        <f t="shared" ref="AU57:BA57" si="36">SUM(AU42:AU56)</f>
        <v>#VALUE!</v>
      </c>
      <c r="AV57" s="1329" t="e">
        <f t="shared" si="36"/>
        <v>#VALUE!</v>
      </c>
      <c r="AW57" s="1329" t="e">
        <f t="shared" si="36"/>
        <v>#VALUE!</v>
      </c>
      <c r="AX57" s="1329">
        <f t="shared" si="36"/>
        <v>0</v>
      </c>
      <c r="AY57" s="1330">
        <f t="shared" si="36"/>
        <v>0</v>
      </c>
      <c r="AZ57" s="1331" t="e">
        <f t="shared" si="36"/>
        <v>#VALUE!</v>
      </c>
      <c r="BA57" s="1332" t="e">
        <f t="shared" si="36"/>
        <v>#VALUE!</v>
      </c>
    </row>
    <row r="58" spans="20:53" ht="16.5" thickTop="1" thickBot="1">
      <c r="V58" s="1333" t="e">
        <f t="shared" ref="V58:AO58" si="37">SUM(V43:V57)</f>
        <v>#VALUE!</v>
      </c>
      <c r="W58" s="1333" t="e">
        <f t="shared" si="37"/>
        <v>#VALUE!</v>
      </c>
      <c r="X58" s="1333" t="e">
        <f t="shared" si="37"/>
        <v>#VALUE!</v>
      </c>
      <c r="Y58" s="1333" t="e">
        <f t="shared" si="37"/>
        <v>#VALUE!</v>
      </c>
      <c r="Z58" s="1333" t="e">
        <f t="shared" si="37"/>
        <v>#VALUE!</v>
      </c>
      <c r="AA58" s="1333" t="e">
        <f t="shared" si="37"/>
        <v>#VALUE!</v>
      </c>
      <c r="AB58" s="1333" t="e">
        <f t="shared" si="37"/>
        <v>#VALUE!</v>
      </c>
      <c r="AC58" s="1333" t="e">
        <f t="shared" si="37"/>
        <v>#VALUE!</v>
      </c>
      <c r="AD58" s="1333">
        <f t="shared" si="37"/>
        <v>0</v>
      </c>
      <c r="AE58" s="1333">
        <f t="shared" si="37"/>
        <v>0</v>
      </c>
      <c r="AF58" s="1333" t="e">
        <f t="shared" si="37"/>
        <v>#VALUE!</v>
      </c>
      <c r="AG58" s="1333" t="e">
        <f t="shared" si="37"/>
        <v>#VALUE!</v>
      </c>
      <c r="AH58" s="1333" t="e">
        <f t="shared" si="37"/>
        <v>#VALUE!</v>
      </c>
      <c r="AI58" s="1333" t="e">
        <f t="shared" si="37"/>
        <v>#VALUE!</v>
      </c>
      <c r="AJ58" s="1333">
        <f t="shared" si="37"/>
        <v>0</v>
      </c>
      <c r="AK58" s="1333">
        <f t="shared" si="37"/>
        <v>0</v>
      </c>
      <c r="AL58" s="1333" t="e">
        <f t="shared" si="37"/>
        <v>#REF!</v>
      </c>
      <c r="AM58" s="1333" t="e">
        <f t="shared" si="37"/>
        <v>#REF!</v>
      </c>
      <c r="AN58" s="1333" t="e">
        <f t="shared" si="37"/>
        <v>#REF!</v>
      </c>
      <c r="AO58" s="1333" t="e">
        <f t="shared" si="37"/>
        <v>#REF!</v>
      </c>
      <c r="AR58" s="1334"/>
      <c r="AS58" s="1335" t="s">
        <v>5824</v>
      </c>
      <c r="AT58" s="1336" t="e">
        <f>SUM(AT57,AT41,AT32,AT28,AT24,AT20,AT16,AT11)</f>
        <v>#VALUE!</v>
      </c>
      <c r="AU58" s="1336" t="e">
        <f>SUM(AU57,AU41,AU32,AU28,AU24,AU20,AU16,AU11)</f>
        <v>#VALUE!</v>
      </c>
      <c r="AV58" s="1336" t="e">
        <f t="shared" ref="AV58:BA58" si="38">SUM(AV57,AV41,AV32,AV28,AV24,AV20,AV16,AV11)</f>
        <v>#VALUE!</v>
      </c>
      <c r="AW58" s="1336" t="e">
        <f t="shared" si="38"/>
        <v>#VALUE!</v>
      </c>
      <c r="AX58" s="1336">
        <f t="shared" si="38"/>
        <v>0</v>
      </c>
      <c r="AY58" s="1337">
        <f t="shared" si="38"/>
        <v>0</v>
      </c>
      <c r="AZ58" s="1338" t="e">
        <f t="shared" si="38"/>
        <v>#VALUE!</v>
      </c>
      <c r="BA58" s="1339" t="e">
        <f t="shared" si="38"/>
        <v>#VALUE!</v>
      </c>
    </row>
    <row r="59" spans="20:53" ht="15.75" thickTop="1">
      <c r="V59" s="1340" t="e">
        <f t="shared" ref="V59:AO59" si="39">SUM(V58,V42,V33,V29,V25,V21,V17,V15,V12)</f>
        <v>#VALUE!</v>
      </c>
      <c r="W59" s="1340" t="e">
        <f t="shared" si="39"/>
        <v>#VALUE!</v>
      </c>
      <c r="X59" s="1340" t="e">
        <f t="shared" si="39"/>
        <v>#VALUE!</v>
      </c>
      <c r="Y59" s="1340" t="e">
        <f t="shared" si="39"/>
        <v>#VALUE!</v>
      </c>
      <c r="Z59" s="1340" t="e">
        <f t="shared" si="39"/>
        <v>#VALUE!</v>
      </c>
      <c r="AA59" s="1340" t="e">
        <f t="shared" si="39"/>
        <v>#VALUE!</v>
      </c>
      <c r="AB59" s="1340" t="e">
        <f t="shared" si="39"/>
        <v>#VALUE!</v>
      </c>
      <c r="AC59" s="1340" t="e">
        <f t="shared" si="39"/>
        <v>#VALUE!</v>
      </c>
      <c r="AD59" s="1341">
        <f t="shared" si="39"/>
        <v>0</v>
      </c>
      <c r="AE59" s="1341">
        <f t="shared" si="39"/>
        <v>0</v>
      </c>
      <c r="AF59" s="1340" t="e">
        <f t="shared" si="39"/>
        <v>#VALUE!</v>
      </c>
      <c r="AG59" s="1340" t="e">
        <f t="shared" si="39"/>
        <v>#VALUE!</v>
      </c>
      <c r="AH59" s="1340" t="e">
        <f t="shared" si="39"/>
        <v>#VALUE!</v>
      </c>
      <c r="AI59" s="1340" t="e">
        <f t="shared" si="39"/>
        <v>#VALUE!</v>
      </c>
      <c r="AJ59" s="1341">
        <f t="shared" si="39"/>
        <v>0</v>
      </c>
      <c r="AK59" s="1341">
        <f t="shared" si="39"/>
        <v>0</v>
      </c>
      <c r="AL59" s="1341" t="e">
        <f t="shared" si="39"/>
        <v>#REF!</v>
      </c>
      <c r="AM59" s="1341" t="e">
        <f t="shared" si="39"/>
        <v>#REF!</v>
      </c>
      <c r="AN59" s="1341" t="e">
        <f t="shared" si="39"/>
        <v>#REF!</v>
      </c>
      <c r="AO59" s="1341" t="e">
        <f t="shared" si="39"/>
        <v>#REF!</v>
      </c>
      <c r="AR59" s="1975" t="s">
        <v>7214</v>
      </c>
      <c r="AS59" s="1975" t="s">
        <v>7215</v>
      </c>
      <c r="AT59" s="1270" t="e">
        <f>IF(BE40=AT58,"OK","REVIEW")</f>
        <v>#VALUE!</v>
      </c>
      <c r="AU59" s="1271" t="e">
        <f>IF(BE32=AU58,"OK","REVIEW")</f>
        <v>#VALUE!</v>
      </c>
      <c r="AV59" s="1270" t="e">
        <f>IF(N16=AV58,"OK","REVIEW")</f>
        <v>#VALUE!</v>
      </c>
      <c r="AW59" s="1270" t="e">
        <f>IF(N9=AW58,"OK","REVIEW")</f>
        <v>#VALUE!</v>
      </c>
      <c r="AX59" s="1270" t="s">
        <v>12663</v>
      </c>
      <c r="AY59" s="1272" t="s">
        <v>12664</v>
      </c>
      <c r="AZ59" s="1273" t="s">
        <v>12663</v>
      </c>
      <c r="BA59" s="1274" t="s">
        <v>12664</v>
      </c>
    </row>
    <row r="60" spans="20:53">
      <c r="T60" s="1976" t="s">
        <v>7214</v>
      </c>
      <c r="U60" s="1976" t="s">
        <v>7215</v>
      </c>
      <c r="V60" s="1270" t="e">
        <f>IF(M15=V59,"OK","REVIEW")</f>
        <v>#VALUE!</v>
      </c>
      <c r="W60" s="1271" t="e">
        <f>IF(M8=W59,"OK","REVIEW")</f>
        <v>#VALUE!</v>
      </c>
      <c r="X60" s="1270" t="e">
        <f>IF(M16=X59,"OK","REVIEW")</f>
        <v>#VALUE!</v>
      </c>
      <c r="Y60" s="1270" t="e">
        <f>IF(M9=Y59,"OK","REVIEW")</f>
        <v>#VALUE!</v>
      </c>
      <c r="Z60" s="1270" t="e">
        <f>IF(O17=Z59,"OK","REVIEW")</f>
        <v>#VALUE!</v>
      </c>
      <c r="AA60" s="1270" t="e">
        <f>IF(#REF!=AA59,"OK","REVIEW")</f>
        <v>#REF!</v>
      </c>
      <c r="AB60" s="1342" t="s">
        <v>12673</v>
      </c>
      <c r="AC60" s="1342" t="s">
        <v>12674</v>
      </c>
      <c r="AD60" s="1342" t="s">
        <v>12673</v>
      </c>
      <c r="AE60" s="1342" t="s">
        <v>12674</v>
      </c>
      <c r="AF60" s="1342" t="s">
        <v>12673</v>
      </c>
      <c r="AG60" s="1342" t="s">
        <v>12674</v>
      </c>
      <c r="AH60" s="1342" t="s">
        <v>12673</v>
      </c>
      <c r="AI60" s="1342" t="s">
        <v>12674</v>
      </c>
      <c r="AJ60" s="1342" t="s">
        <v>12673</v>
      </c>
      <c r="AK60" s="1342" t="s">
        <v>12674</v>
      </c>
      <c r="AL60" s="1342" t="s">
        <v>12673</v>
      </c>
      <c r="AM60" s="1342" t="s">
        <v>12674</v>
      </c>
      <c r="AN60" s="1342" t="s">
        <v>12673</v>
      </c>
      <c r="AO60" s="1342" t="s">
        <v>12674</v>
      </c>
      <c r="AR60" s="1975"/>
      <c r="AS60" s="1975"/>
      <c r="AT60" s="1958" t="s">
        <v>12647</v>
      </c>
      <c r="AU60" s="1958"/>
      <c r="AV60" s="1950" t="s">
        <v>12648</v>
      </c>
      <c r="AW60" s="1950"/>
      <c r="AX60" s="1950" t="s">
        <v>12295</v>
      </c>
      <c r="AY60" s="1950"/>
      <c r="AZ60" s="1979" t="s">
        <v>12654</v>
      </c>
      <c r="BA60" s="1979"/>
    </row>
    <row r="61" spans="20:53" ht="15" customHeight="1">
      <c r="T61" s="1977"/>
      <c r="U61" s="1977"/>
      <c r="V61" s="1967" t="s">
        <v>12647</v>
      </c>
      <c r="W61" s="1968"/>
      <c r="X61" s="1967" t="s">
        <v>12648</v>
      </c>
      <c r="Y61" s="1968"/>
      <c r="Z61" s="1967" t="s">
        <v>12649</v>
      </c>
      <c r="AA61" s="1968"/>
      <c r="AB61" s="1963" t="s">
        <v>12295</v>
      </c>
      <c r="AC61" s="1964"/>
      <c r="AD61" s="1967" t="s">
        <v>12291</v>
      </c>
      <c r="AE61" s="1968"/>
      <c r="AF61" s="1963" t="s">
        <v>12650</v>
      </c>
      <c r="AG61" s="1964"/>
      <c r="AH61" s="1967" t="s">
        <v>12651</v>
      </c>
      <c r="AI61" s="1968"/>
      <c r="AJ61" s="1967" t="s">
        <v>12652</v>
      </c>
      <c r="AK61" s="1968"/>
      <c r="AL61" s="1967" t="s">
        <v>12653</v>
      </c>
      <c r="AM61" s="1968"/>
      <c r="AN61" s="1980" t="s">
        <v>4348</v>
      </c>
      <c r="AO61" s="1981"/>
      <c r="AR61" s="1975"/>
      <c r="AS61" s="1975"/>
      <c r="AT61" s="1958"/>
      <c r="AU61" s="1958"/>
      <c r="AV61" s="1950"/>
      <c r="AW61" s="1950"/>
      <c r="AX61" s="1950" t="s">
        <v>12294</v>
      </c>
      <c r="AY61" s="1950"/>
      <c r="AZ61" s="1979"/>
      <c r="BA61" s="1979"/>
    </row>
    <row r="62" spans="20:53">
      <c r="T62" s="1978"/>
      <c r="U62" s="1978"/>
      <c r="V62" s="1969"/>
      <c r="W62" s="1970"/>
      <c r="X62" s="1969"/>
      <c r="Y62" s="1970"/>
      <c r="Z62" s="1969"/>
      <c r="AA62" s="1970"/>
      <c r="AB62" s="1963" t="s">
        <v>12294</v>
      </c>
      <c r="AC62" s="1964"/>
      <c r="AD62" s="1969"/>
      <c r="AE62" s="1970"/>
      <c r="AF62" s="1963" t="s">
        <v>12658</v>
      </c>
      <c r="AG62" s="1964"/>
      <c r="AH62" s="1969"/>
      <c r="AI62" s="1970"/>
      <c r="AJ62" s="1969"/>
      <c r="AK62" s="1970"/>
      <c r="AL62" s="1965" t="s">
        <v>12659</v>
      </c>
      <c r="AM62" s="1966"/>
      <c r="AN62" s="1982"/>
      <c r="AO62" s="1983"/>
    </row>
  </sheetData>
  <autoFilter ref="AT3:AT61"/>
  <mergeCells count="52">
    <mergeCell ref="AZ60:BA61"/>
    <mergeCell ref="V61:W62"/>
    <mergeCell ref="X61:Y62"/>
    <mergeCell ref="Z61:AA62"/>
    <mergeCell ref="AB61:AC61"/>
    <mergeCell ref="AD61:AE62"/>
    <mergeCell ref="AF61:AG61"/>
    <mergeCell ref="AN61:AO62"/>
    <mergeCell ref="AX61:AY61"/>
    <mergeCell ref="AB62:AC62"/>
    <mergeCell ref="AX60:AY60"/>
    <mergeCell ref="L24:L25"/>
    <mergeCell ref="M24:O24"/>
    <mergeCell ref="P24:R24"/>
    <mergeCell ref="AR59:AR61"/>
    <mergeCell ref="AS59:AS61"/>
    <mergeCell ref="T60:T62"/>
    <mergeCell ref="U60:U62"/>
    <mergeCell ref="AF5:AG5"/>
    <mergeCell ref="AF62:AG62"/>
    <mergeCell ref="AL62:AM62"/>
    <mergeCell ref="AT60:AU61"/>
    <mergeCell ref="AV60:AW61"/>
    <mergeCell ref="AH61:AI62"/>
    <mergeCell ref="AJ61:AK62"/>
    <mergeCell ref="AL61:AM61"/>
    <mergeCell ref="AD5:AE6"/>
    <mergeCell ref="U5:U7"/>
    <mergeCell ref="AV5:AW6"/>
    <mergeCell ref="AX5:AY5"/>
    <mergeCell ref="AZ5:BA6"/>
    <mergeCell ref="AB6:AC6"/>
    <mergeCell ref="AF6:AG6"/>
    <mergeCell ref="AL6:AM6"/>
    <mergeCell ref="AX6:AY6"/>
    <mergeCell ref="AH5:AI6"/>
    <mergeCell ref="AJ5:AK6"/>
    <mergeCell ref="AL5:AM5"/>
    <mergeCell ref="AT5:AU6"/>
    <mergeCell ref="AN5:AO6"/>
    <mergeCell ref="AR5:AR7"/>
    <mergeCell ref="AS5:AS7"/>
    <mergeCell ref="T5:T7"/>
    <mergeCell ref="V5:W6"/>
    <mergeCell ref="X5:Y6"/>
    <mergeCell ref="Z5:AA6"/>
    <mergeCell ref="AB5:AC5"/>
    <mergeCell ref="A7:A21"/>
    <mergeCell ref="A5:J5"/>
    <mergeCell ref="L5:L6"/>
    <mergeCell ref="M5:O5"/>
    <mergeCell ref="P5:R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sheetPr>
    <tabColor rgb="FF7030A0"/>
  </sheetPr>
  <dimension ref="A3:BD72"/>
  <sheetViews>
    <sheetView topLeftCell="S1" zoomScale="80" zoomScaleNormal="80" workbookViewId="0">
      <selection activeCell="AN70" sqref="AN70"/>
    </sheetView>
  </sheetViews>
  <sheetFormatPr defaultColWidth="11.140625" defaultRowHeight="12.75"/>
  <cols>
    <col min="1" max="1" width="6.42578125" style="1382" customWidth="1"/>
    <col min="2" max="12" width="11.140625" style="1382"/>
    <col min="13" max="13" width="41.7109375" style="1382" customWidth="1"/>
    <col min="14" max="15" width="14.28515625" style="1382" bestFit="1" customWidth="1"/>
    <col min="16" max="16" width="10.85546875" style="1382" bestFit="1" customWidth="1"/>
    <col min="17" max="17" width="11.140625" style="1382"/>
    <col min="18" max="18" width="28.7109375" style="1382" customWidth="1"/>
    <col min="19" max="25" width="11.140625" style="1382"/>
    <col min="26" max="26" width="22.42578125" style="1382" customWidth="1"/>
    <col min="27" max="27" width="24" style="1382" customWidth="1"/>
    <col min="28" max="39" width="4.140625" style="1382" customWidth="1"/>
    <col min="40" max="41" width="4.28515625" style="1382" customWidth="1"/>
    <col min="42" max="46" width="11.140625" style="1382"/>
    <col min="47" max="48" width="18.140625" style="1382" customWidth="1"/>
    <col min="49" max="16384" width="11.140625" style="1382"/>
  </cols>
  <sheetData>
    <row r="3" spans="1:56" ht="13.5" thickBot="1">
      <c r="A3" s="1382" t="s">
        <v>10995</v>
      </c>
      <c r="M3" s="1382" t="s">
        <v>11404</v>
      </c>
      <c r="R3" s="1599" t="s">
        <v>12292</v>
      </c>
      <c r="Z3" s="1599" t="s">
        <v>12646</v>
      </c>
      <c r="AU3" s="1401" t="s">
        <v>12645</v>
      </c>
      <c r="AV3" s="1600"/>
      <c r="AW3" s="1601"/>
      <c r="AX3" s="1601"/>
      <c r="AY3" s="1601"/>
      <c r="AZ3" s="1601"/>
      <c r="BA3" s="1601"/>
      <c r="BB3" s="1601"/>
      <c r="BC3" s="1601"/>
      <c r="BD3" s="1601"/>
    </row>
    <row r="4" spans="1:56" ht="15.75" customHeight="1" thickBot="1">
      <c r="A4" s="1992"/>
      <c r="B4" s="1993"/>
      <c r="C4" s="1993"/>
      <c r="D4" s="1993"/>
      <c r="E4" s="1993"/>
      <c r="F4" s="1993"/>
      <c r="G4" s="1993"/>
      <c r="H4" s="1993"/>
      <c r="I4" s="1993"/>
      <c r="J4" s="1993"/>
      <c r="K4" s="1994"/>
      <c r="M4" s="1602" t="s">
        <v>11405</v>
      </c>
      <c r="N4" s="1602" t="s">
        <v>11406</v>
      </c>
      <c r="O4" s="1602" t="s">
        <v>11407</v>
      </c>
      <c r="P4" s="1602" t="s">
        <v>11408</v>
      </c>
      <c r="R4" s="1990" t="s">
        <v>12280</v>
      </c>
      <c r="S4" s="1988" t="s">
        <v>5354</v>
      </c>
      <c r="T4" s="1988"/>
      <c r="U4" s="1988"/>
      <c r="V4" s="1988" t="s">
        <v>12281</v>
      </c>
      <c r="W4" s="1988"/>
      <c r="X4" s="1989"/>
      <c r="Z4" s="1979" t="s">
        <v>7214</v>
      </c>
      <c r="AA4" s="1979" t="s">
        <v>7215</v>
      </c>
      <c r="AB4" s="1979" t="s">
        <v>12647</v>
      </c>
      <c r="AC4" s="1979"/>
      <c r="AD4" s="1979" t="s">
        <v>12719</v>
      </c>
      <c r="AE4" s="1979"/>
      <c r="AF4" s="1979" t="s">
        <v>12648</v>
      </c>
      <c r="AG4" s="1979"/>
      <c r="AH4" s="1979" t="s">
        <v>12649</v>
      </c>
      <c r="AI4" s="1979"/>
      <c r="AJ4" s="1979" t="s">
        <v>12295</v>
      </c>
      <c r="AK4" s="1979"/>
      <c r="AL4" s="1979" t="s">
        <v>12291</v>
      </c>
      <c r="AM4" s="1979"/>
      <c r="AN4" s="1979" t="s">
        <v>12650</v>
      </c>
      <c r="AO4" s="1979"/>
      <c r="AP4" s="1979" t="s">
        <v>12651</v>
      </c>
      <c r="AQ4" s="1979"/>
      <c r="AR4" s="1979" t="s">
        <v>4348</v>
      </c>
      <c r="AS4" s="1979"/>
      <c r="AU4" s="1979" t="s">
        <v>7214</v>
      </c>
      <c r="AV4" s="1979" t="s">
        <v>7215</v>
      </c>
      <c r="AW4" s="1999" t="s">
        <v>12647</v>
      </c>
      <c r="AX4" s="1999"/>
      <c r="AY4" s="1979" t="s">
        <v>12648</v>
      </c>
      <c r="AZ4" s="1979"/>
      <c r="BA4" s="1979" t="s">
        <v>12295</v>
      </c>
      <c r="BB4" s="1998"/>
      <c r="BC4" s="1952" t="s">
        <v>12654</v>
      </c>
      <c r="BD4" s="1953"/>
    </row>
    <row r="5" spans="1:56" ht="18" customHeight="1" thickBot="1">
      <c r="A5" s="1005"/>
      <c r="B5" s="1603"/>
      <c r="C5" s="1603"/>
      <c r="D5" s="1604"/>
      <c r="E5" s="1603"/>
      <c r="F5" s="1603"/>
      <c r="G5" s="1603"/>
      <c r="H5" s="1604"/>
      <c r="I5" s="1603"/>
      <c r="J5" s="1603"/>
      <c r="K5" s="1603"/>
      <c r="M5" s="1589" t="s">
        <v>1020</v>
      </c>
      <c r="N5" s="1589">
        <v>22</v>
      </c>
      <c r="O5" s="1589"/>
      <c r="P5" s="1589">
        <f>O5-N5</f>
        <v>-22</v>
      </c>
      <c r="R5" s="1991"/>
      <c r="S5" s="1605" t="s">
        <v>12741</v>
      </c>
      <c r="T5" s="1605" t="s">
        <v>12742</v>
      </c>
      <c r="U5" s="1602" t="s">
        <v>2034</v>
      </c>
      <c r="V5" s="1605" t="s">
        <v>5357</v>
      </c>
      <c r="W5" s="1605" t="s">
        <v>12282</v>
      </c>
      <c r="X5" s="1606" t="s">
        <v>2034</v>
      </c>
      <c r="Z5" s="1979"/>
      <c r="AA5" s="1979"/>
      <c r="AB5" s="1979"/>
      <c r="AC5" s="1979"/>
      <c r="AD5" s="1979"/>
      <c r="AE5" s="1979"/>
      <c r="AF5" s="1979"/>
      <c r="AG5" s="1979"/>
      <c r="AH5" s="1979"/>
      <c r="AI5" s="1979"/>
      <c r="AJ5" s="1979" t="s">
        <v>12294</v>
      </c>
      <c r="AK5" s="1979"/>
      <c r="AL5" s="1979"/>
      <c r="AM5" s="1979"/>
      <c r="AN5" s="1979" t="s">
        <v>12658</v>
      </c>
      <c r="AO5" s="1979"/>
      <c r="AP5" s="1979"/>
      <c r="AQ5" s="1979"/>
      <c r="AR5" s="1979"/>
      <c r="AS5" s="1979"/>
      <c r="AU5" s="1979"/>
      <c r="AV5" s="1979"/>
      <c r="AW5" s="1999"/>
      <c r="AX5" s="1999"/>
      <c r="AY5" s="1979"/>
      <c r="AZ5" s="1979"/>
      <c r="BA5" s="1979" t="s">
        <v>12745</v>
      </c>
      <c r="BB5" s="1998"/>
      <c r="BC5" s="1954"/>
      <c r="BD5" s="1955"/>
    </row>
    <row r="6" spans="1:56" s="1383" customFormat="1" ht="15" customHeight="1">
      <c r="A6" s="1995"/>
      <c r="B6" s="1607"/>
      <c r="C6" s="1607"/>
      <c r="D6" s="1984"/>
      <c r="E6" s="1984"/>
      <c r="F6" s="1984"/>
      <c r="G6" s="1984"/>
      <c r="H6" s="1984"/>
      <c r="I6" s="1984"/>
      <c r="J6" s="1984"/>
      <c r="K6" s="1984"/>
      <c r="M6" s="1395" t="s">
        <v>5493</v>
      </c>
      <c r="N6" s="1395">
        <v>20</v>
      </c>
      <c r="O6" s="1395"/>
      <c r="P6" s="1589">
        <f t="shared" ref="P6:P13" si="0">O6-N6</f>
        <v>-20</v>
      </c>
      <c r="R6" s="1608" t="s">
        <v>12283</v>
      </c>
      <c r="S6" s="1589"/>
      <c r="T6" s="1589"/>
      <c r="U6" s="1590"/>
      <c r="V6" s="1395"/>
      <c r="W6" s="1395"/>
      <c r="X6" s="1590"/>
      <c r="Z6" s="1979"/>
      <c r="AA6" s="1979"/>
      <c r="AB6" s="1609" t="s">
        <v>12736</v>
      </c>
      <c r="AC6" s="1609" t="s">
        <v>12737</v>
      </c>
      <c r="AD6" s="1609" t="s">
        <v>12736</v>
      </c>
      <c r="AE6" s="1609" t="s">
        <v>12737</v>
      </c>
      <c r="AF6" s="1609" t="s">
        <v>12736</v>
      </c>
      <c r="AG6" s="1609" t="s">
        <v>12737</v>
      </c>
      <c r="AH6" s="1609" t="s">
        <v>12736</v>
      </c>
      <c r="AI6" s="1609" t="s">
        <v>12737</v>
      </c>
      <c r="AJ6" s="1609" t="s">
        <v>12736</v>
      </c>
      <c r="AK6" s="1609" t="s">
        <v>12737</v>
      </c>
      <c r="AL6" s="1609" t="s">
        <v>12736</v>
      </c>
      <c r="AM6" s="1609" t="s">
        <v>12737</v>
      </c>
      <c r="AN6" s="1609" t="s">
        <v>12736</v>
      </c>
      <c r="AO6" s="1609" t="s">
        <v>12737</v>
      </c>
      <c r="AP6" s="1609" t="s">
        <v>12736</v>
      </c>
      <c r="AQ6" s="1609" t="s">
        <v>12737</v>
      </c>
      <c r="AR6" s="1609" t="s">
        <v>12736</v>
      </c>
      <c r="AS6" s="1609" t="s">
        <v>12737</v>
      </c>
      <c r="AU6" s="1979"/>
      <c r="AV6" s="1979"/>
      <c r="AW6" s="1610" t="s">
        <v>12743</v>
      </c>
      <c r="AX6" s="1611" t="s">
        <v>12744</v>
      </c>
      <c r="AY6" s="1610" t="s">
        <v>12743</v>
      </c>
      <c r="AZ6" s="1611" t="s">
        <v>12744</v>
      </c>
      <c r="BA6" s="1610" t="s">
        <v>12743</v>
      </c>
      <c r="BB6" s="1612" t="s">
        <v>12744</v>
      </c>
      <c r="BC6" s="1613" t="s">
        <v>12743</v>
      </c>
      <c r="BD6" s="1614" t="s">
        <v>12744</v>
      </c>
    </row>
    <row r="7" spans="1:56" s="1383" customFormat="1" ht="13.5" thickBot="1">
      <c r="A7" s="1996"/>
      <c r="B7" s="1607"/>
      <c r="C7" s="1615"/>
      <c r="D7" s="1985"/>
      <c r="E7" s="1985"/>
      <c r="F7" s="1985"/>
      <c r="G7" s="1985"/>
      <c r="H7" s="1985"/>
      <c r="I7" s="1985"/>
      <c r="J7" s="1985"/>
      <c r="K7" s="1985"/>
      <c r="M7" s="1395" t="s">
        <v>778</v>
      </c>
      <c r="N7" s="1395">
        <v>2</v>
      </c>
      <c r="O7" s="1395"/>
      <c r="P7" s="1589">
        <f t="shared" si="0"/>
        <v>-2</v>
      </c>
      <c r="R7" s="1591" t="s">
        <v>1096</v>
      </c>
      <c r="S7" s="1394">
        <f>COUNTIFS(SurveyDATA!$BM:$BM,"*RESIDENTIAL*",SurveyDATA!$BN:$BN,"*STRUCTURE OWNER*",SurveyDATA!$A:$A,"*LEGAL*",SurveyDATA!$FQ:$FQ,"*NEED*")</f>
        <v>73</v>
      </c>
      <c r="T7" s="1394">
        <f>COUNTIFS(SurveyDATA!$BM:$BM,"*RESIDENTIAL*",SurveyDATA!$BN:$BN,"*STRUCTURE OWNER*",SurveyDATA!$A:$A,"*ISF*",SurveyDATA!$FQ:$FQ,"*NEED*")</f>
        <v>134</v>
      </c>
      <c r="U7" s="1592">
        <f>SUM(S7,T7)</f>
        <v>207</v>
      </c>
      <c r="V7" s="1589" t="e">
        <f>SUMIFS(SurveyDATA!#REF!,SurveyDATA!$A:$A,"*LEGAL*",SurveyDATA!$BM:$BM,"*RESIDENTIAL*",SurveyDATA!$BN:$BN,"*",SurveyDATA!$FQ:$FQ,"*NEED*")</f>
        <v>#REF!</v>
      </c>
      <c r="W7" s="1589" t="e">
        <f>SUMIFS(SurveyDATA!#REF!,SurveyDATA!$A:$A,"*ISF*",SurveyDATA!$BM:$BM,"*RESIDENTIAL*",SurveyDATA!$BN:$BN,"**",SurveyDATA!$FQ:$FQ,"*NEED*")</f>
        <v>#REF!</v>
      </c>
      <c r="X7" s="1592" t="e">
        <f>SUM(V7,W7)</f>
        <v>#REF!</v>
      </c>
      <c r="Z7" s="1589" t="s">
        <v>5373</v>
      </c>
      <c r="AA7" s="1589" t="s">
        <v>5374</v>
      </c>
      <c r="AB7" s="1394">
        <f>COUNTIFS(SurveyDATA!$E:$E,"*TIKAY*",SurveyDATA!$BM:$BM,"*RESIDENTIAL*",SurveyDATA!$BN:$BN,"*STRUCTURE OWNER*",SurveyDATA!$A:$A,"LEGAL",SurveyDATA!$FQ:$FQ,"*STAY*")</f>
        <v>0</v>
      </c>
      <c r="AC7" s="1394">
        <f>COUNTIFS(SurveyDATA!$E:$E,"*TIKAY*",SurveyDATA!$BM:$BM,"*RESIDENTIAL*",SurveyDATA!$BN:$BN,"*STRUCTURE OWNER*",SurveyDATA!$A:$A,"LEGAL",SurveyDATA!$FQ:$FQ,"*NEED*")</f>
        <v>0</v>
      </c>
      <c r="AD7" s="1394">
        <f>COUNTIFS(SurveyDATA!$E:$E,"*TIKAY*",SurveyDATA!$BM:$BM,"*MIXED*",SurveyDATA!$BN:$BN,"*STRUCTURE OWNER*",SurveyDATA!$A:$A,"LEGAL",SurveyDATA!$FQ:$FQ,"*STAY*")</f>
        <v>0</v>
      </c>
      <c r="AE7" s="1394">
        <f>COUNTIFS(SurveyDATA!$E:$E,"*TIKAY*",SurveyDATA!$BM:$BM,"*MIXED*",SurveyDATA!$BN:$BN,"*STRUCTURE OWNER*",SurveyDATA!$A:$A,"LEGAL",SurveyDATA!$FQ:$FQ,"*NEED*")</f>
        <v>0</v>
      </c>
      <c r="AF7" s="1394">
        <f>COUNTIFS(SurveyDATA!$E:$E,"*TIKAY*",SurveyDATA!$BM:$BM,"*COMMERICIAL*",SurveyDATA!$BN:$BN,"*STRUCTURE OWNER*",SurveyDATA!$A:$A,"LEGAL",SurveyDATA!$FQ:$FQ,"*STAY*")</f>
        <v>0</v>
      </c>
      <c r="AG7" s="1394">
        <f>COUNTIFS(SurveyDATA!$E:$E,"*TIKAY*",SurveyDATA!$BM:$BM,"*COMMERCIAL*",SurveyDATA!$BN:$BN,"*STRUCTURE OWNER*",SurveyDATA!$A:$A,"LEGAL",SurveyDATA!$FQ:$FQ,"*NEED*")</f>
        <v>0</v>
      </c>
      <c r="AH7" s="1394">
        <f>COUNTIFS(SurveyDATA!$E:$E,"*TIKAY*",SurveyDATA!$BM:$BM,"*INSTITUTIONAL*",SurveyDATA!$BN:$BN,"*STRUCTURE OWNER*",SurveyDATA!$A:$A,"LEGAL",SurveyDATA!$FQ:$FQ,"*STAY*")</f>
        <v>0</v>
      </c>
      <c r="AI7" s="1394">
        <f>COUNTIFS(SurveyDATA!$E:$E,"*TIKAY*",SurveyDATA!$BM:$BM,"*INSTITUTIONAL*",SurveyDATA!$BN:$BN,"*STRUCTURE OWNER*",SurveyDATA!$A:$A,"LEGAL",SurveyDATA!$FQ:$FQ,"*NEED*")</f>
        <v>0</v>
      </c>
      <c r="AJ7" s="1394">
        <f>COUNTIFS(SurveyDATA!$E:$E,"*TIKAY*",SurveyDATA!$BM:$BM,"RESIDENTIAL*",SurveyDATA!$BN:$BN,"*STRUCTURE RENTER*",SurveyDATA!$A:$A,"LEGAL",SurveyDATA!$FQ:$FQ,"*STAY*")</f>
        <v>0</v>
      </c>
      <c r="AK7" s="1394">
        <f>COUNTIFS(SurveyDATA!$E:$E,"*TIKAY*",SurveyDATA!$BM:$BM,"RESIDENTIAL*",SurveyDATA!$BN:$BN,"*STRUCTURE RENTER*",SurveyDATA!$A:$A,"LEGAL",SurveyDATA!$FQ:$FQ,"*NEED*")</f>
        <v>0</v>
      </c>
      <c r="AL7" s="1394">
        <f>COUNTIFS(SurveyDATA!$E:$E,"*TIKAY*",SurveyDATA!$BM:$BM,"RESIDENTIAL*",SurveyDATA!$BN:$BN,"*STRUCTURE OWNER*",SurveyDATA!$A:$A,"LEGAL",SurveyDATA!$FQ:$FQ,"*STAY*",SurveyDATA!BL:BL,"*ABSENTEE*")</f>
        <v>0</v>
      </c>
      <c r="AM7" s="1394">
        <f>COUNTIFS(SurveyDATA!$E:$E,"*TIKAY*",SurveyDATA!$BM:$BM,"RESIDENTIAL*",SurveyDATA!$BN:$BN,"*STRUCTURE OWNER*",SurveyDATA!$A:$A,"LEGAL",SurveyDATA!$FQ:$FQ,"*NEED*",SurveyDATA!BL:BL,"*ABSENTEE*")</f>
        <v>0</v>
      </c>
      <c r="AN7" s="1395">
        <f>COUNTIFS(SurveyDATA!A:A,"*LEGAL*",SurveyDATA!E:E,"*TIKAY*",SurveyDATA!AK:AK,"LAND OWNER",SurveyDATA!AN:AN,"&lt;20%",SurveyDATA!BL:BL,"")</f>
        <v>0</v>
      </c>
      <c r="AO7" s="1395">
        <f>COUNTIFS(SurveyDATA!A:A,"*LEGAL*",SurveyDATA!E:E,"*TIKAY*",SurveyDATA!AK:AK,"LAND OWNER",SurveyDATA!AN:AN,"&gt;20%",SurveyDATA!BL:BL,"")</f>
        <v>0</v>
      </c>
      <c r="AP7" s="1616"/>
      <c r="AQ7" s="1616"/>
      <c r="AR7" s="1395">
        <f t="shared" ref="AR7:AS10" si="1">SUM(AP7,AN7,AL7,AJ7,AH7,AF7,AJ7,AD7,AB7,)</f>
        <v>0</v>
      </c>
      <c r="AS7" s="1395">
        <f t="shared" si="1"/>
        <v>0</v>
      </c>
      <c r="AU7" s="1589" t="s">
        <v>5373</v>
      </c>
      <c r="AV7" s="1589" t="s">
        <v>5374</v>
      </c>
      <c r="AW7" s="1283">
        <f>COUNTIFS(SurveyDATA!A:A,"*ISF*",SurveyDATA!E:E,"*TIKAY*",SurveyDATA!BM:BM,"*RESiDENTIAL*",SurveyDATA!BN:BN,"*STRUCTURE OWNER*",SurveyDATA!FQ:FQ,"*STAY*")</f>
        <v>0</v>
      </c>
      <c r="AX7" s="1284">
        <f>COUNTIFS(SurveyDATA!A:A,"*ISF*",SurveyDATA!E:E,"*TIKAY*",SurveyDATA!BM:BM,"*RESiDENTIAL*",SurveyDATA!BN:BN,"*STRUCTURE OWNER*",SurveyDATA!FQ:FQ,"*NEED*")</f>
        <v>0</v>
      </c>
      <c r="AY7" s="1284">
        <f>COUNTIFS(SurveyDATA!A:A,"*ISF*",SurveyDATA!E:E,"*TIKAY*",SurveyDATA!BM:BM,"*COMMERCIAL*",SurveyDATA!BN:BN,"*STRUCTURE OWNER*",SurveyDATA!FQ:FQ,"*STAY*")</f>
        <v>1</v>
      </c>
      <c r="AZ7" s="1284">
        <f>COUNTIFS(SurveyDATA!A:A,"*ISF*",SurveyDATA!E:E,"*TIKAY*",SurveyDATA!BM:BM,"*COMMERCIAL*",SurveyDATA!BN:BN,"*STRUCTURE OWNER*",SurveyDATA!FQ:FQ,"*NEED*")</f>
        <v>0</v>
      </c>
      <c r="BA7" s="1149">
        <f>COUNTIFS(SurveyDATA!A:A,"*ISF*",SurveyDATA!E:E,"*MALOLOS*",SurveyDATA!BM:BM,"*RESiDENTIAL*",SurveyDATA!BN:BN,"*STRUCTURE OWNER*",SurveyDATA!FQ:FQ,"*STAY*")</f>
        <v>2</v>
      </c>
      <c r="BB7" s="1230">
        <f>COUNTIFS(SurveyDATA!A:A,"*ISF*",SurveyDATA!E:E,"*MALOLOS*",SurveyDATA!BM:BM,"*RESiDENTIAL*",SurveyDATA!BN:BN,"*STRUCTURE OWNER*",SurveyDATA!FQ:FQ,"*STAY*")</f>
        <v>2</v>
      </c>
      <c r="BC7" s="1634">
        <f>SUM(AW7,AY7)</f>
        <v>1</v>
      </c>
      <c r="BD7" s="1635">
        <f>SUM(AX7,AZ7,BB7,)</f>
        <v>2</v>
      </c>
    </row>
    <row r="8" spans="1:56" s="1383" customFormat="1" ht="15.75">
      <c r="A8" s="1996"/>
      <c r="B8" s="1607"/>
      <c r="C8" s="1607"/>
      <c r="D8" s="1984"/>
      <c r="E8" s="1984"/>
      <c r="F8" s="1984"/>
      <c r="G8" s="1984"/>
      <c r="H8" s="1984"/>
      <c r="I8" s="1984"/>
      <c r="J8" s="1984"/>
      <c r="K8" s="1984"/>
      <c r="M8" s="1395" t="s">
        <v>5496</v>
      </c>
      <c r="N8" s="1395">
        <v>3</v>
      </c>
      <c r="O8" s="1395"/>
      <c r="P8" s="1589">
        <f t="shared" si="0"/>
        <v>-3</v>
      </c>
      <c r="R8" s="1591" t="s">
        <v>12738</v>
      </c>
      <c r="S8" s="1394">
        <f>COUNTIFS(SurveyDATA!$BM:$BM,"*commercial*",SurveyDATA!$BN:$BN,"*STRUCTURE OWNER*",SurveyDATA!$A:$A,"LEGAL",SurveyDATA!$FQ:$FQ,"*NEED*")</f>
        <v>3</v>
      </c>
      <c r="T8" s="1589">
        <f>COUNTIFS(SurveyDATA!$BM:$BM,"*commercial*",SurveyDATA!$BN:$BN,"*STRUCTURE OWNER*",SurveyDATA!$A:$A,"ISF",SurveyDATA!$FQ:$FQ,"*NEED*")</f>
        <v>2</v>
      </c>
      <c r="U8" s="1592">
        <f>SUM(S8,T8)</f>
        <v>5</v>
      </c>
      <c r="V8" s="1589" t="e">
        <f>SUMIFS(SurveyDATA!#REF!,SurveyDATA!$A:$A,"*LEGAL*",SurveyDATA!$BM:$BM,"*commercial*",SurveyDATA!$BN:$BN,"*STRUCTURE OWNER*",SurveyDATA!$FQ:$FQ,"*NEED*")</f>
        <v>#REF!</v>
      </c>
      <c r="W8" s="1589" t="e">
        <f>SUMIFS(SurveyDATA!#REF!,SurveyDATA!$A:$A,"*ISF*",SurveyDATA!$BM:$BM,"*COMMERCIAL*",SurveyDATA!$BN:$BN,"*STRUCTURE OWNER*",SurveyDATA!$FQ:$FQ,"*NEED*")</f>
        <v>#REF!</v>
      </c>
      <c r="X8" s="1592" t="e">
        <f>SUM(V8,W8)</f>
        <v>#REF!</v>
      </c>
      <c r="Z8" s="1589"/>
      <c r="AA8" s="1589" t="s">
        <v>5375</v>
      </c>
      <c r="AB8" s="1394">
        <f>COUNTIFS(SurveyDATA!$E:$E,"*BULIHAN*",SurveyDATA!$BM:$BM,"*RESIDENTIAL*",SurveyDATA!$BN:$BN,"*STRUCTURE OWNER*",SurveyDATA!$A:$A,"LEGAL",SurveyDATA!$FQ:$FQ,"*STAY*")</f>
        <v>2</v>
      </c>
      <c r="AC8" s="1394">
        <f>COUNTIFS(SurveyDATA!$E:$E,"*BULIHAN*",SurveyDATA!$BM:$BM,"*RESIDENTIAL*",SurveyDATA!$BN:$BN,"*STRUCTURE OWNER*",SurveyDATA!$A:$A,"LEGAL",SurveyDATA!$FQ:$FQ,"*NEED*")</f>
        <v>1</v>
      </c>
      <c r="AD8" s="1394">
        <f>COUNTIFS(SurveyDATA!$E:$E,"*TIKAY*",SurveyDATA!$BM:$BM,"*MIXED*",SurveyDATA!$BN:$BN,"*STRUCTURE OWNER*",SurveyDATA!$A:$A,"LEGAL",SurveyDATA!$FQ:$FQ,"*STAY*")</f>
        <v>0</v>
      </c>
      <c r="AE8" s="1394">
        <f>COUNTIFS(SurveyDATA!$E:$E,"*TIKAY*",SurveyDATA!$BM:$BM,"*MIXED*",SurveyDATA!$BN:$BN,"*STRUCTURE OWNER*",SurveyDATA!$A:$A,"LEGAL",SurveyDATA!$FQ:$FQ,"*NEED*")</f>
        <v>0</v>
      </c>
      <c r="AF8" s="1394">
        <f>COUNTIFS(SurveyDATA!$E:$E,"*BULIHAN*",SurveyDATA!$BM:$BM,"*COMMERICIAL*",SurveyDATA!$BN:$BN,"*STRUCTURE OWNER*",SurveyDATA!$A:$A,"LEGAL",SurveyDATA!$FQ:$FQ,"*STAY*")</f>
        <v>0</v>
      </c>
      <c r="AG8" s="1394">
        <f>COUNTIFS(SurveyDATA!$E:$E,"*BULIHAN*",SurveyDATA!$BM:$BM,"*COMMERCIAL*",SurveyDATA!$BN:$BN,"*STRUCTURE OWNER*",SurveyDATA!$A:$A,"LEGAL",SurveyDATA!$FQ:$FQ,"*NEED*")</f>
        <v>0</v>
      </c>
      <c r="AH8" s="1394">
        <f>COUNTIFS(SurveyDATA!$E:$E,"*BULIHAN*",SurveyDATA!$BM:$BM,"*INSTITUTIONAL*",SurveyDATA!$BN:$BN,"*STRUCTURE OWNER*",SurveyDATA!$A:$A,"LEGAL",SurveyDATA!$FQ:$FQ,"*STAY*")</f>
        <v>0</v>
      </c>
      <c r="AI8" s="1394">
        <f>COUNTIFS(SurveyDATA!$E:$E,"*BULIHAN*",SurveyDATA!$BM:$BM,"*INSTITUTIONAL*",SurveyDATA!$BN:$BN,"*STRUCTURE OWNER*",SurveyDATA!$A:$A,"LEGAL",SurveyDATA!$FQ:$FQ,"*NEED*")</f>
        <v>0</v>
      </c>
      <c r="AJ8" s="1394">
        <f>COUNTIFS(SurveyDATA!$E:$E,"*BULIHAN*",SurveyDATA!$BM:$BM,"RESIDENTIAL*",SurveyDATA!$BN:$BN,"*STRUCTURE RENTER*",SurveyDATA!$A:$A,"LEGAL",SurveyDATA!$FQ:$FQ,"*STAY*")</f>
        <v>0</v>
      </c>
      <c r="AK8" s="1394">
        <f>COUNTIFS(SurveyDATA!$E:$E,"*BULIHAN*",SurveyDATA!$BM:$BM,"RESIDENTIAL*",SurveyDATA!$BN:$BN,"*STRUCTURE RENTER*",SurveyDATA!$A:$A,"LEGAL",SurveyDATA!$FQ:$FQ,"*NEED*")</f>
        <v>0</v>
      </c>
      <c r="AL8" s="1394">
        <f>COUNTIFS(SurveyDATA!$E:$E,"*BULIHAN*",SurveyDATA!$BM:$BM,"RESIDENTIAL*",SurveyDATA!$BN:$BN,"*STRUCTURE OWNER*",SurveyDATA!$A:$A,"LEGAL",SurveyDATA!$FQ:$FQ,"*STAY*",SurveyDATA!BL:BL,"*ABSENTEE*")</f>
        <v>0</v>
      </c>
      <c r="AM8" s="1394">
        <f>COUNTIFS(SurveyDATA!$E:$E,"*BULIHAN*",SurveyDATA!$BM:$BM,"RESIDENTIAL*",SurveyDATA!$BN:$BN,"*STRUCTURE OWNER*",SurveyDATA!$A:$A,"LEGAL",SurveyDATA!$FQ:$FQ,"*NEED*",SurveyDATA!BL:BL,"*ABSENTEE*")</f>
        <v>0</v>
      </c>
      <c r="AN8" s="1395">
        <f>COUNTIFS(SurveyDATA!A:A,"*LEGAL*",SurveyDATA!E:E,"*BULIHAN*",SurveyDATA!AK:AK,"LAND OWNER",SurveyDATA!AN:AN,"&lt;20%",SurveyDATA!BL:BL,"")</f>
        <v>5</v>
      </c>
      <c r="AO8" s="1395">
        <f>COUNTIFS(SurveyDATA!A:A,"*LEGAL*",SurveyDATA!E:E,"*BULIHAN*",SurveyDATA!AK:AK,"LAND OWNER",SurveyDATA!AN:AN,"&gt;20%",SurveyDATA!BL:BL,"")</f>
        <v>1</v>
      </c>
      <c r="AP8" s="1616"/>
      <c r="AQ8" s="1616"/>
      <c r="AR8" s="1395">
        <f t="shared" si="1"/>
        <v>7</v>
      </c>
      <c r="AS8" s="1395">
        <f t="shared" si="1"/>
        <v>2</v>
      </c>
      <c r="AU8" s="1589"/>
      <c r="AV8" s="1589" t="s">
        <v>5375</v>
      </c>
      <c r="AW8" s="1283">
        <f>COUNTIFS(SurveyDATA!A:A,"*ISF*",SurveyDATA!E:E,"*BULIHAN*",SurveyDATA!BM:BM,"*RESiDENTIAL*",SurveyDATA!BN:BN,"*STRUCTURE OWNER*",SurveyDATA!FQ:FQ,"*STAY*")</f>
        <v>2</v>
      </c>
      <c r="AX8" s="1284">
        <f>COUNTIFS(SurveyDATA!A:A,"*ISF*",SurveyDATA!E:E,"*BULIHAN*",SurveyDATA!BM:BM,"*RESiDENTIAL*",SurveyDATA!BN:BN,"*STRUCTURE OWNER*",SurveyDATA!FQ:FQ,"*NEED*")</f>
        <v>1</v>
      </c>
      <c r="AY8" s="1284">
        <f>COUNTIFS(SurveyDATA!A:A,"*ISF*",SurveyDATA!E:E,"*BULIHAN*",SurveyDATA!BM:BM,"*COMMERCIAL*",SurveyDATA!BN:BN,"*STRUCTURE OWNER*",SurveyDATA!FQ:FQ,"*STAY*")</f>
        <v>0</v>
      </c>
      <c r="AZ8" s="1284">
        <f>COUNTIFS(SurveyDATA!A:A,"*ISF*",SurveyDATA!E:E,"*BULIHAN*",SurveyDATA!BM:BM,"*COMMERCIAL*",SurveyDATA!BN:BN,"*STRUCTURE OWNER*",SurveyDATA!FQ:FQ,"*NEED*")</f>
        <v>0</v>
      </c>
      <c r="BA8" s="1149"/>
      <c r="BB8" s="1230"/>
      <c r="BC8" s="1634">
        <f>SUM(AW8,AY8)</f>
        <v>2</v>
      </c>
      <c r="BD8" s="1635">
        <f>SUM(AX8,AZ8,BB8,)</f>
        <v>1</v>
      </c>
    </row>
    <row r="9" spans="1:56" s="1383" customFormat="1" ht="16.5" thickBot="1">
      <c r="A9" s="1996"/>
      <c r="B9" s="1617"/>
      <c r="C9" s="1618"/>
      <c r="D9" s="1985"/>
      <c r="E9" s="1985"/>
      <c r="F9" s="1985"/>
      <c r="G9" s="1985"/>
      <c r="H9" s="1985"/>
      <c r="I9" s="1985"/>
      <c r="J9" s="1985"/>
      <c r="K9" s="1985"/>
      <c r="M9" s="1395" t="s">
        <v>5495</v>
      </c>
      <c r="N9" s="1395">
        <v>2</v>
      </c>
      <c r="O9" s="1395"/>
      <c r="P9" s="1589">
        <f t="shared" si="0"/>
        <v>-2</v>
      </c>
      <c r="R9" s="1591" t="s">
        <v>12739</v>
      </c>
      <c r="S9" s="1394">
        <f>COUNTIFS(SurveyDATA!$BM:$BM,"*mixed*",SurveyDATA!$BN:$BN,"*STRUCTURE OWNER*",SurveyDATA!$A:$A,"LEGAL",SurveyDATA!$FQ:$FQ,"*NEED*")</f>
        <v>7</v>
      </c>
      <c r="T9" s="1589">
        <f>COUNTIFS(SurveyDATA!$BM:$BM,"*mixed*",SurveyDATA!$BN:$BN,"*STRUCTURE OWNER*",SurveyDATA!$A:$A,"ISF",SurveyDATA!$FQ:$FQ,"*NEED*")</f>
        <v>15</v>
      </c>
      <c r="U9" s="1592">
        <f>SUM(S9,T9)</f>
        <v>22</v>
      </c>
      <c r="V9" s="1589" t="e">
        <f>SUMIFS(SurveyDATA!#REF!,SurveyDATA!$A:$A,"*LEGAL*",SurveyDATA!$BM:$BM,"*MIXED*",SurveyDATA!$BN:$BN,"*STRUCTURE OWNER*",SurveyDATA!$FQ:$FQ,"*NEED*")</f>
        <v>#REF!</v>
      </c>
      <c r="W9" s="1589" t="e">
        <f>SUMIFS(SurveyDATA!#REF!,SurveyDATA!$A:$A,"*ISF*",SurveyDATA!$BM:$BM,"*MIXED*",SurveyDATA!$BN:$BN,"*STRUCTURE OWNER*",SurveyDATA!$FQ:$FQ,"*NEED*")</f>
        <v>#REF!</v>
      </c>
      <c r="X9" s="1592" t="e">
        <f>SUM(V9,W9)</f>
        <v>#REF!</v>
      </c>
      <c r="Z9" s="1589"/>
      <c r="AA9" s="1589" t="s">
        <v>5376</v>
      </c>
      <c r="AB9" s="1394">
        <f>COUNTIFS(SurveyDATA!$E:$E,"*PABLO*",SurveyDATA!$BM:$BM,"*RESIDENTIAL*",SurveyDATA!$BN:$BN,"*STRUCTURE OWNER*",SurveyDATA!$A:$A,"LEGAL",SurveyDATA!$FQ:$FQ,"*STAY*")</f>
        <v>0</v>
      </c>
      <c r="AC9" s="1394">
        <f>COUNTIFS(SurveyDATA!$E:$E,"*PABLO*",SurveyDATA!$BM:$BM,"*RESIDENTIAL*",SurveyDATA!$BN:$BN,"*STRUCTURE OWNER*",SurveyDATA!$A:$A,"LEGAL",SurveyDATA!$FQ:$FQ,"*NEED*")</f>
        <v>1</v>
      </c>
      <c r="AD9" s="1394">
        <f>COUNTIFS(SurveyDATA!$E:$E,"*TIKAY*",SurveyDATA!$BM:$BM,"*MIXED*",SurveyDATA!$BN:$BN,"*STRUCTURE OWNER*",SurveyDATA!$A:$A,"LEGAL",SurveyDATA!$FQ:$FQ,"*STAY*")</f>
        <v>0</v>
      </c>
      <c r="AE9" s="1394">
        <f>COUNTIFS(SurveyDATA!$E:$E,"*TIKAY*",SurveyDATA!$BM:$BM,"*MIXED*",SurveyDATA!$BN:$BN,"*STRUCTURE OWNER*",SurveyDATA!$A:$A,"LEGAL",SurveyDATA!$FQ:$FQ,"*NEED*")</f>
        <v>0</v>
      </c>
      <c r="AF9" s="1394">
        <f>COUNTIFS(SurveyDATA!$E:$E,"*PABLO*",SurveyDATA!$BM:$BM,"*COMMERICIAL*",SurveyDATA!$BN:$BN,"*STRUCTURE OWNER*",SurveyDATA!$A:$A,"LEGAL",SurveyDATA!$FQ:$FQ,"*STAY*")</f>
        <v>0</v>
      </c>
      <c r="AG9" s="1394">
        <f>COUNTIFS(SurveyDATA!$E:$E,"*PABLO*",SurveyDATA!$BM:$BM,"*COMMERCIAL*",SurveyDATA!$BN:$BN,"*STRUCTURE OWNER*",SurveyDATA!$A:$A,"LEGAL",SurveyDATA!$FQ:$FQ,"*NEED*")</f>
        <v>0</v>
      </c>
      <c r="AH9" s="1394">
        <f>COUNTIFS(SurveyDATA!$E:$E,"*PABLO*",SurveyDATA!$BM:$BM,"*INSTITUTIONAL*",SurveyDATA!$BN:$BN,"*STRUCTURE OWNER*",SurveyDATA!$A:$A,"LEGAL",SurveyDATA!$FQ:$FQ,"*STAY*")</f>
        <v>0</v>
      </c>
      <c r="AI9" s="1394">
        <f>COUNTIFS(SurveyDATA!$E:$E,"*PABLO*",SurveyDATA!$BM:$BM,"*INSTITUTIONAL*",SurveyDATA!$BN:$BN,"*STRUCTURE OWNER*",SurveyDATA!$A:$A,"LEGAL",SurveyDATA!$FQ:$FQ,"*NEED*")</f>
        <v>0</v>
      </c>
      <c r="AJ9" s="1394">
        <f>COUNTIFS(SurveyDATA!$E:$E,"*PABLO*",SurveyDATA!$BM:$BM,"RESIDENTIAL*",SurveyDATA!$BN:$BN,"*STRUCTURE RENTER*",SurveyDATA!$A:$A,"LEGAL",SurveyDATA!$FQ:$FQ,"*STAY*")</f>
        <v>0</v>
      </c>
      <c r="AK9" s="1394">
        <f>COUNTIFS(SurveyDATA!$E:$E,"*PABLO*",SurveyDATA!$BM:$BM,"RESIDENTIAL*",SurveyDATA!$BN:$BN,"*STRUCTURE RENTER*",SurveyDATA!$A:$A,"LEGAL",SurveyDATA!$FQ:$FQ,"*NEED*")</f>
        <v>0</v>
      </c>
      <c r="AL9" s="1394">
        <f>COUNTIFS(SurveyDATA!$E:$E,"*PABLO*",SurveyDATA!$BM:$BM,"RESIDENTIAL*",SurveyDATA!$BN:$BN,"*STRUCTURE OWNER*",SurveyDATA!$A:$A,"LEGAL",SurveyDATA!$FQ:$FQ,"*STAY*",SurveyDATA!BL:BL,"*ABSENTEE*")</f>
        <v>0</v>
      </c>
      <c r="AM9" s="1394">
        <f>COUNTIFS(SurveyDATA!$E:$E,"*PABLO*",SurveyDATA!$BM:$BM,"RESIDENTIAL*",SurveyDATA!$BN:$BN,"*STRUCTURE OWNER*",SurveyDATA!$A:$A,"LEGAL",SurveyDATA!$FQ:$FQ,"*NEED*",SurveyDATA!BL:BL,"*ABSENTEE*")</f>
        <v>0</v>
      </c>
      <c r="AN9" s="1395">
        <f>COUNTIFS(SurveyDATA!A:A,"*LEGAL*",SurveyDATA!E:E,"*PABLO*",SurveyDATA!AK:AK,"LAND OWNER",SurveyDATA!AN:AN,"&lt;20%",SurveyDATA!BL:BL,"")</f>
        <v>0</v>
      </c>
      <c r="AO9" s="1395">
        <f>COUNTIFS(SurveyDATA!A:A,"*LEGAL*",SurveyDATA!E:E,"*PABLO*",SurveyDATA!AK:AK,"LAND OWNER",SurveyDATA!AN:AN,"&gt;20%",SurveyDATA!BL:BL,"")</f>
        <v>0</v>
      </c>
      <c r="AP9" s="1616"/>
      <c r="AQ9" s="1616"/>
      <c r="AR9" s="1395">
        <f t="shared" si="1"/>
        <v>0</v>
      </c>
      <c r="AS9" s="1395">
        <f t="shared" si="1"/>
        <v>1</v>
      </c>
      <c r="AU9" s="1589"/>
      <c r="AV9" s="1589" t="s">
        <v>5376</v>
      </c>
      <c r="AW9" s="1283">
        <f>COUNTIFS(SurveyDATA!A:A,"*ISF*",SurveyDATA!E:E,"*PABLO*",SurveyDATA!BM:BM,"*RESiDENTIAL*",SurveyDATA!BN:BN,"*STRUCTURE OWNER*",SurveyDATA!FQ:FQ,"*STAY*")</f>
        <v>0</v>
      </c>
      <c r="AX9" s="1284">
        <f>COUNTIFS(SurveyDATA!A:A,"*ISF*",SurveyDATA!E:E,"*PABLO*",SurveyDATA!BM:BM,"*RESiDENTIAL*",SurveyDATA!BN:BN,"*STRUCTURE OWNER*",SurveyDATA!FQ:FQ,"*NEED*")</f>
        <v>0</v>
      </c>
      <c r="AY9" s="1284">
        <f>COUNTIFS(SurveyDATA!A:A,"*ISF*",SurveyDATA!E:E,"*PABLO*",SurveyDATA!BM:BM,"*COMMERCIAL*",SurveyDATA!BN:BN,"*STRUCTURE OWNER*",SurveyDATA!FQ:FQ,"*STAY*")</f>
        <v>0</v>
      </c>
      <c r="AZ9" s="1284">
        <f>COUNTIFS(SurveyDATA!A:A,"*ISF*",SurveyDATA!E:E,"*PABLO*",SurveyDATA!BM:BM,"*COMMERCIAL*",SurveyDATA!BN:BN,"*STRUCTURE OWNER*",SurveyDATA!FQ:FQ,"*NEED*")</f>
        <v>0</v>
      </c>
      <c r="BA9" s="1149"/>
      <c r="BB9" s="1230"/>
      <c r="BC9" s="1634">
        <f>SUM(AW8,AY8,BA8,)</f>
        <v>2</v>
      </c>
      <c r="BD9" s="1635">
        <f>SUM(AX8,AZ8,BB8,)</f>
        <v>1</v>
      </c>
    </row>
    <row r="10" spans="1:56" s="1383" customFormat="1">
      <c r="A10" s="1996"/>
      <c r="B10" s="1607"/>
      <c r="C10" s="1607"/>
      <c r="D10" s="1986"/>
      <c r="E10" s="1984"/>
      <c r="F10" s="1984"/>
      <c r="G10" s="1984"/>
      <c r="H10" s="1984"/>
      <c r="I10" s="1984"/>
      <c r="J10" s="1984"/>
      <c r="K10" s="1984"/>
      <c r="M10" s="1395" t="s">
        <v>771</v>
      </c>
      <c r="N10" s="1395"/>
      <c r="O10" s="1395"/>
      <c r="P10" s="1589">
        <f t="shared" si="0"/>
        <v>0</v>
      </c>
      <c r="R10" s="1593" t="s">
        <v>12285</v>
      </c>
      <c r="S10" s="1594">
        <f t="shared" ref="S10:X10" si="2">SUM(S7:S9)</f>
        <v>83</v>
      </c>
      <c r="T10" s="1594">
        <f t="shared" si="2"/>
        <v>151</v>
      </c>
      <c r="U10" s="1594">
        <f t="shared" si="2"/>
        <v>234</v>
      </c>
      <c r="V10" s="1594" t="e">
        <f t="shared" si="2"/>
        <v>#REF!</v>
      </c>
      <c r="W10" s="1594" t="e">
        <f t="shared" si="2"/>
        <v>#REF!</v>
      </c>
      <c r="X10" s="1594" t="e">
        <f t="shared" si="2"/>
        <v>#REF!</v>
      </c>
      <c r="Z10" s="1589"/>
      <c r="AA10" s="1589" t="s">
        <v>10997</v>
      </c>
      <c r="AB10" s="1394">
        <f>COUNTIFS(SurveyDATA!$E:$E,"*CATMON*",SurveyDATA!$BM:$BM,"*RESIDENTIAL*",SurveyDATA!$BN:$BN,"*STRUCTURE OWNER*",SurveyDATA!$A:$A,"LEGAL",SurveyDATA!$FQ:$FQ,"*STAY*")</f>
        <v>2</v>
      </c>
      <c r="AC10" s="1394">
        <f>COUNTIFS(SurveyDATA!$E:$E,"*CATMON*",SurveyDATA!$BM:$BM,"*RESIDENTIAL*",SurveyDATA!$BN:$BN,"*STRUCTURE OWNER*",SurveyDATA!$A:$A,"LEGAL",SurveyDATA!$FQ:$FQ,"*NEED*")</f>
        <v>1</v>
      </c>
      <c r="AD10" s="1394">
        <f>COUNTIFS(SurveyDATA!$E:$E,"*TIKAY*",SurveyDATA!$BM:$BM,"*MIXED*",SurveyDATA!$BN:$BN,"*STRUCTURE OWNER*",SurveyDATA!$A:$A,"LEGAL",SurveyDATA!$FQ:$FQ,"*STAY*")</f>
        <v>0</v>
      </c>
      <c r="AE10" s="1394">
        <f>COUNTIFS(SurveyDATA!$E:$E,"*TIKAY*",SurveyDATA!$BM:$BM,"*MIXED*",SurveyDATA!$BN:$BN,"*STRUCTURE OWNER*",SurveyDATA!$A:$A,"LEGAL",SurveyDATA!$FQ:$FQ,"*NEED*")</f>
        <v>0</v>
      </c>
      <c r="AF10" s="1394">
        <f>COUNTIFS(SurveyDATA!$E:$E,"*CATMON*",SurveyDATA!$BM:$BM,"*COMMERICIAL*",SurveyDATA!$BN:$BN,"*STRUCTURE OWNER*",SurveyDATA!$A:$A,"LEGAL",SurveyDATA!$FQ:$FQ,"*STAY*")</f>
        <v>0</v>
      </c>
      <c r="AG10" s="1394">
        <f>COUNTIFS(SurveyDATA!$E:$E,"*CATMON*",SurveyDATA!$BM:$BM,"*COMMERCIAL*",SurveyDATA!$BN:$BN,"*STRUCTURE OWNER*",SurveyDATA!$A:$A,"LEGAL",SurveyDATA!$FQ:$FQ,"*NEED*")</f>
        <v>2</v>
      </c>
      <c r="AH10" s="1394">
        <f>COUNTIFS(SurveyDATA!$E:$E,"*CATMON*",SurveyDATA!$BM:$BM,"*INSTITUTIONAL*",SurveyDATA!$BN:$BN,"*STRUCTURE OWNER*",SurveyDATA!$A:$A,"LEGAL",SurveyDATA!$FQ:$FQ,"*STAY*")</f>
        <v>0</v>
      </c>
      <c r="AI10" s="1394">
        <f>COUNTIFS(SurveyDATA!$E:$E,"*CATMON*",SurveyDATA!$BM:$BM,"*INSTITUTIONAL*",SurveyDATA!$BN:$BN,"*STRUCTURE OWNER*",SurveyDATA!$A:$A,"LEGAL",SurveyDATA!$FQ:$FQ,"*NEED*")</f>
        <v>0</v>
      </c>
      <c r="AJ10" s="1394">
        <f>COUNTIFS(SurveyDATA!$E:$E,"*CATMON*",SurveyDATA!$BM:$BM,"RESIDENTIAL*",SurveyDATA!$BN:$BN,"*STRUCTURE RENTER*",SurveyDATA!$A:$A,"LEGAL",SurveyDATA!$FQ:$FQ,"*STAY*")</f>
        <v>0</v>
      </c>
      <c r="AK10" s="1394">
        <f>COUNTIFS(SurveyDATA!$E:$E,"*CATMON*",SurveyDATA!$BM:$BM,"RESIDENTIAL*",SurveyDATA!$BN:$BN,"*STRUCTURE RENTER*",SurveyDATA!$A:$A,"LEGAL",SurveyDATA!$FQ:$FQ,"*NEED*")</f>
        <v>0</v>
      </c>
      <c r="AL10" s="1394">
        <f>COUNTIFS(SurveyDATA!$E:$E,"*CATMON*",SurveyDATA!$BM:$BM,"RESIDENTIAL*",SurveyDATA!$BN:$BN,"*STRUCTURE OWNER*",SurveyDATA!$A:$A,"LEGAL",SurveyDATA!$FQ:$FQ,"*STAY*",SurveyDATA!BL:BL,"*ABSENTEE*")</f>
        <v>1</v>
      </c>
      <c r="AM10" s="1394">
        <f>COUNTIFS(SurveyDATA!$E:$E,"*CATMON*",SurveyDATA!$BM:$BM,"RESIDENTIAL*",SurveyDATA!$BN:$BN,"*STRUCTURE OWNER*",SurveyDATA!$A:$A,"LEGAL",SurveyDATA!$FQ:$FQ,"*NEED*",SurveyDATA!BL:BL,"*ABSENTEE*")</f>
        <v>0</v>
      </c>
      <c r="AN10" s="1395">
        <f>COUNTIFS(SurveyDATA!A:A,"*LEGAL*",SurveyDATA!E:E,"*CATMON*",SurveyDATA!AK:AK,"LAND OWNER",SurveyDATA!AN:AN,"&lt;20%",SurveyDATA!BL:BL,"")</f>
        <v>1</v>
      </c>
      <c r="AO10" s="1395">
        <f>COUNTIFS(SurveyDATA!A:A,"*LEGAL*",SurveyDATA!E:E,"*CATMON*",SurveyDATA!AK:AK,"LAND OWNER",SurveyDATA!AN:AN,"&gt;20%",SurveyDATA!BL:BL,"")</f>
        <v>5</v>
      </c>
      <c r="AP10" s="1616"/>
      <c r="AQ10" s="1616"/>
      <c r="AR10" s="1395">
        <f t="shared" si="1"/>
        <v>4</v>
      </c>
      <c r="AS10" s="1395">
        <f t="shared" si="1"/>
        <v>8</v>
      </c>
      <c r="AU10" s="1589"/>
      <c r="AV10" s="1589" t="s">
        <v>10997</v>
      </c>
      <c r="AW10" s="1283">
        <f>COUNTIFS(SurveyDATA!A:A,"*ISF*",SurveyDATA!E:E,"*CATMON*",SurveyDATA!BM:BM,"*RESiDENTIAL*",SurveyDATA!BN:BN,"*STRUCTURE OWNER*",SurveyDATA!FQ:FQ,"*STAY*")</f>
        <v>0</v>
      </c>
      <c r="AX10" s="1284">
        <f>COUNTIFS(SurveyDATA!A:A,"*ISF*",SurveyDATA!E:E,"*CATMON*",SurveyDATA!BM:BM,"*RESiDENTIAL*",SurveyDATA!BN:BN,"*STRUCTURE OWNER*",SurveyDATA!FQ:FQ,"*NEED*")</f>
        <v>0</v>
      </c>
      <c r="AY10" s="1284">
        <f>COUNTIFS(SurveyDATA!A:A,"*ISF*",SurveyDATA!E:E,"*CATMON*",SurveyDATA!BM:BM,"*COMMERCIAL*",SurveyDATA!BN:BN,"*STRUCTURE OWNER*",SurveyDATA!FQ:FQ,"*STAY*")</f>
        <v>0</v>
      </c>
      <c r="AZ10" s="1284">
        <f>COUNTIFS(SurveyDATA!A:A,"*ISF*",SurveyDATA!E:E,"*CATMON*",SurveyDATA!BM:BM,"*COMMERCIAL*",SurveyDATA!BN:BN,"*STRUCTURE OWNER*",SurveyDATA!FQ:FQ,"*NEED*")</f>
        <v>0</v>
      </c>
      <c r="BA10" s="1149"/>
      <c r="BB10" s="1230"/>
      <c r="BC10" s="1634">
        <f>SUM(AW9,AY9,BA9,)</f>
        <v>0</v>
      </c>
      <c r="BD10" s="1635">
        <f>SUM(AX9,AZ9,BB9,)</f>
        <v>0</v>
      </c>
    </row>
    <row r="11" spans="1:56" s="1383" customFormat="1" ht="13.5" thickBot="1">
      <c r="A11" s="1996"/>
      <c r="B11" s="1607"/>
      <c r="C11" s="1615"/>
      <c r="D11" s="1987"/>
      <c r="E11" s="1985"/>
      <c r="F11" s="1985"/>
      <c r="G11" s="1985"/>
      <c r="H11" s="1985"/>
      <c r="I11" s="1985"/>
      <c r="J11" s="1985"/>
      <c r="K11" s="1985"/>
      <c r="M11" s="1395" t="s">
        <v>5847</v>
      </c>
      <c r="N11" s="1395"/>
      <c r="O11" s="1395"/>
      <c r="P11" s="1589">
        <f t="shared" si="0"/>
        <v>0</v>
      </c>
      <c r="R11" s="1608" t="s">
        <v>12286</v>
      </c>
      <c r="S11" s="1589"/>
      <c r="T11" s="1589"/>
      <c r="U11" s="1595"/>
      <c r="V11" s="1589"/>
      <c r="W11" s="1589"/>
      <c r="X11" s="1596"/>
      <c r="Z11" s="1589"/>
      <c r="AA11" s="1619" t="s">
        <v>12285</v>
      </c>
      <c r="AB11" s="1620">
        <f>SUM(AB7:AB10)</f>
        <v>4</v>
      </c>
      <c r="AC11" s="1620">
        <f t="shared" ref="AC11:AS11" si="3">SUM(AC7:AC10)</f>
        <v>3</v>
      </c>
      <c r="AD11" s="1620">
        <f>SUM(AD7:AD10)</f>
        <v>0</v>
      </c>
      <c r="AE11" s="1620">
        <f>SUM(AE7:AE10)</f>
        <v>0</v>
      </c>
      <c r="AF11" s="1620">
        <f t="shared" si="3"/>
        <v>0</v>
      </c>
      <c r="AG11" s="1620">
        <f t="shared" si="3"/>
        <v>2</v>
      </c>
      <c r="AH11" s="1620">
        <f t="shared" si="3"/>
        <v>0</v>
      </c>
      <c r="AI11" s="1620">
        <f t="shared" si="3"/>
        <v>0</v>
      </c>
      <c r="AJ11" s="1620">
        <f t="shared" si="3"/>
        <v>0</v>
      </c>
      <c r="AK11" s="1620">
        <f t="shared" si="3"/>
        <v>0</v>
      </c>
      <c r="AL11" s="1620">
        <f>SUM(AL7:AL10)</f>
        <v>1</v>
      </c>
      <c r="AM11" s="1620">
        <f t="shared" si="3"/>
        <v>0</v>
      </c>
      <c r="AN11" s="1620">
        <f t="shared" si="3"/>
        <v>6</v>
      </c>
      <c r="AO11" s="1620">
        <f t="shared" si="3"/>
        <v>6</v>
      </c>
      <c r="AP11" s="1620">
        <f t="shared" si="3"/>
        <v>0</v>
      </c>
      <c r="AQ11" s="1620">
        <f t="shared" si="3"/>
        <v>0</v>
      </c>
      <c r="AR11" s="1620">
        <f t="shared" si="3"/>
        <v>11</v>
      </c>
      <c r="AS11" s="1620">
        <f t="shared" si="3"/>
        <v>11</v>
      </c>
      <c r="AU11" s="1589"/>
      <c r="AV11" s="1619" t="s">
        <v>12285</v>
      </c>
      <c r="AW11" s="638">
        <f t="shared" ref="AW11:BD11" si="4">SUM(AW7:AW9)</f>
        <v>2</v>
      </c>
      <c r="AX11" s="638">
        <f t="shared" si="4"/>
        <v>1</v>
      </c>
      <c r="AY11" s="638">
        <f t="shared" si="4"/>
        <v>1</v>
      </c>
      <c r="AZ11" s="638">
        <f t="shared" si="4"/>
        <v>0</v>
      </c>
      <c r="BA11" s="638">
        <f t="shared" si="4"/>
        <v>2</v>
      </c>
      <c r="BB11" s="1289">
        <f t="shared" si="4"/>
        <v>2</v>
      </c>
      <c r="BC11" s="1285">
        <f t="shared" si="4"/>
        <v>5</v>
      </c>
      <c r="BD11" s="1286">
        <f t="shared" si="4"/>
        <v>4</v>
      </c>
    </row>
    <row r="12" spans="1:56" s="1383" customFormat="1">
      <c r="A12" s="1996"/>
      <c r="B12" s="1607"/>
      <c r="C12" s="1607"/>
      <c r="D12" s="1986"/>
      <c r="E12" s="1984"/>
      <c r="F12" s="1984"/>
      <c r="G12" s="1984"/>
      <c r="H12" s="1984"/>
      <c r="I12" s="1986"/>
      <c r="J12" s="1984"/>
      <c r="K12" s="1984"/>
      <c r="M12" s="1395" t="s">
        <v>5494</v>
      </c>
      <c r="N12" s="1395"/>
      <c r="O12" s="1395"/>
      <c r="P12" s="1589">
        <f t="shared" si="0"/>
        <v>0</v>
      </c>
      <c r="R12" s="1591" t="s">
        <v>1096</v>
      </c>
      <c r="S12" s="1394">
        <f>COUNTIFS(SurveyDATA!$BM:$BM,"*RESIDENTIAL*",SurveyDATA!$BN:$BN,"*STRUCTURE OWNER*",SurveyDATA!$A:$A,"*LEGAL*",SurveyDATA!$FQ:$FQ,"*STAY*")</f>
        <v>52</v>
      </c>
      <c r="T12" s="1394">
        <f>COUNTIFS(SurveyDATA!$BM:$BM,"*RESIDENTIAL*",SurveyDATA!$BN:$BN,"*STRUCTURE OWNER*",SurveyDATA!$A:$A,"*isf*",SurveyDATA!$FQ:$FQ,"*STAY*")</f>
        <v>49</v>
      </c>
      <c r="U12" s="1592">
        <f t="shared" ref="U12:U19" si="5">SUM(S12,T12)</f>
        <v>101</v>
      </c>
      <c r="V12" s="1589" t="e">
        <f>SUMIFS(SurveyDATA!#REF!,SurveyDATA!$A:$A,"*LEGAL*",SurveyDATA!$BM:$BM,"*RESIDENTIAL*",SurveyDATA!$BN:$BN,"*",SurveyDATA!$FQ:$FQ,"*STAY*")</f>
        <v>#REF!</v>
      </c>
      <c r="W12" s="1589" t="e">
        <f>SUMIFS(SurveyDATA!#REF!,SurveyDATA!$A:$A,"*ISF*",SurveyDATA!$BM:$BM,"*RESIDENTIAL*",SurveyDATA!$BN:$BN,"*",SurveyDATA!$FQ:$FQ,"*STAY*")</f>
        <v>#REF!</v>
      </c>
      <c r="X12" s="1592" t="e">
        <f t="shared" ref="X12:X19" si="6">SUM(V12,W12)</f>
        <v>#REF!</v>
      </c>
      <c r="Z12" s="1589" t="s">
        <v>5377</v>
      </c>
      <c r="AA12" s="1589" t="s">
        <v>11002</v>
      </c>
      <c r="AB12" s="1394">
        <f>COUNTIFS(SurveyDATA!$E:$E,"*POBLACION*",SurveyDATA!$BM:$BM,"*RESIDENTIAL*",SurveyDATA!$BN:$BN,"*STRUCTURE OWNER*",SurveyDATA!$A:$A,"LEGAL",SurveyDATA!$FQ:$FQ,"*STAY*")</f>
        <v>0</v>
      </c>
      <c r="AC12" s="1394">
        <f>COUNTIFS(SurveyDATA!$E:$E,"*POBLACION*",SurveyDATA!$BM:$BM,"*RESIDENTIAL*",SurveyDATA!$BN:$BN,"*STRUCTURE OWNER*",SurveyDATA!$A:$A,"LEGAL",SurveyDATA!$FQ:$FQ,"*NEED*")</f>
        <v>0</v>
      </c>
      <c r="AD12" s="1394">
        <f>COUNTIFS(SurveyDATA!$E:$E,"*POBLACION*",SurveyDATA!$BM:$BM,"*MIXED*",SurveyDATA!$BN:$BN,"*STRUCTURE OWNER*",SurveyDATA!$A:$A,"LEGAL",SurveyDATA!$FQ:$FQ,"*STAY*")</f>
        <v>0</v>
      </c>
      <c r="AE12" s="1394">
        <f>COUNTIFS(SurveyDATA!$E:$E,"*POBLACION*",SurveyDATA!$BM:$BM,"*MIXED*",SurveyDATA!$BN:$BN,"*STRUCTURE OWNER*",SurveyDATA!$A:$A,"LEGAL",SurveyDATA!$FQ:$FQ,"*NEED*")</f>
        <v>0</v>
      </c>
      <c r="AF12" s="1394">
        <f>COUNTIFS(SurveyDATA!$E:$E,"*POBLACION*",SurveyDATA!$BM:$BM,"*COMMERICIAL*",SurveyDATA!$BN:$BN,"*STRUCTURE OWNER*",SurveyDATA!$A:$A,"LEGAL",SurveyDATA!$FQ:$FQ,"*STAY*")</f>
        <v>0</v>
      </c>
      <c r="AG12" s="1394">
        <f>COUNTIFS(SurveyDATA!$E:$E,"*POBLACION*",SurveyDATA!$BM:$BM,"*COMMERCIAL*",SurveyDATA!$BN:$BN,"*STRUCTURE OWNER*",SurveyDATA!$A:$A,"LEGAL",SurveyDATA!$FQ:$FQ,"*NEED*")</f>
        <v>0</v>
      </c>
      <c r="AH12" s="1394">
        <f>COUNTIFS(SurveyDATA!$E:$E,"*POBLACION*",SurveyDATA!$BM:$BM,"*INSTITUTIONAL*",SurveyDATA!$BN:$BN,"*STRUCTURE OWNER*",SurveyDATA!$A:$A,"LEGAL",SurveyDATA!$FQ:$FQ,"*STAY*")</f>
        <v>0</v>
      </c>
      <c r="AI12" s="1394">
        <f>COUNTIFS(SurveyDATA!$E:$E,"*POBLACION*",SurveyDATA!$BM:$BM,"*INSTITUTIONAL*",SurveyDATA!$BN:$BN,"*STRUCTURE OWNER*",SurveyDATA!$A:$A,"LEGAL",SurveyDATA!$FQ:$FQ,"*NEED*")</f>
        <v>1</v>
      </c>
      <c r="AJ12" s="1394">
        <f>COUNTIFS(SurveyDATA!$E:$E,"*POBLACION*",SurveyDATA!$BM:$BM,"RESIDENTIAL*",SurveyDATA!$BN:$BN,"*STRUCTURE RENTER*",SurveyDATA!$A:$A,"LEGAL",SurveyDATA!$FQ:$FQ,"*STAY*")</f>
        <v>0</v>
      </c>
      <c r="AK12" s="1394">
        <f>COUNTIFS(SurveyDATA!$E:$E,"*POBLACION*",SurveyDATA!$BM:$BM,"RESIDENTIAL*",SurveyDATA!$BN:$BN,"*STRUCTURE RENTER*",SurveyDATA!$A:$A,"LEGAL",SurveyDATA!$FQ:$FQ,"*NEED*")</f>
        <v>0</v>
      </c>
      <c r="AL12" s="1394">
        <f>COUNTIFS(SurveyDATA!$E:$E,"*POBLACION*",SurveyDATA!$BM:$BM,"RESIDENTIAL*",SurveyDATA!$BN:$BN,"*STRUCTURE OWNER*",SurveyDATA!$A:$A,"LEGAL",SurveyDATA!$FQ:$FQ,"*STAY*",SurveyDATA!BL:BL,"*ABSENTEE*")</f>
        <v>0</v>
      </c>
      <c r="AM12" s="1394">
        <f>COUNTIFS(SurveyDATA!$E:$E,"*POBLACION*",SurveyDATA!$BM:$BM,"RESIDENTIAL*",SurveyDATA!$BN:$BN,"*STRUCTURE OWNER*",SurveyDATA!$A:$A,"LEGAL",SurveyDATA!$FQ:$FQ,"*NEED*",SurveyDATA!BL:BL,"*ABSENTEE*")</f>
        <v>0</v>
      </c>
      <c r="AN12" s="1395">
        <f>COUNTIFS(SurveyDATA!A:A,"*LEGAL*",SurveyDATA!E:E,"*POBLACION*",SurveyDATA!AK:AK,"LAND OWNER",SurveyDATA!AN:AN,"&lt;20%",SurveyDATA!BL:BL,"")</f>
        <v>0</v>
      </c>
      <c r="AO12" s="1395">
        <f>COUNTIFS(SurveyDATA!A:A,"*LEGAL*",SurveyDATA!E:E,"*POBLACION*",SurveyDATA!AK:AK,"LAND OWNER",SurveyDATA!AN:AN,"&gt;20%",SurveyDATA!BL:BL,"")</f>
        <v>0</v>
      </c>
      <c r="AP12" s="1616"/>
      <c r="AQ12" s="1616"/>
      <c r="AR12" s="1395">
        <f t="shared" ref="AR12:AS15" si="7">SUM(AP12,AN12,AL12,AJ12,AH12,AF12,AJ12,AD12,AB12,)</f>
        <v>0</v>
      </c>
      <c r="AS12" s="1395">
        <f t="shared" si="7"/>
        <v>1</v>
      </c>
      <c r="AU12" s="1589" t="s">
        <v>5377</v>
      </c>
      <c r="AV12" s="1589" t="s">
        <v>11002</v>
      </c>
      <c r="AW12" s="1283">
        <f>COUNTIFS(SurveyDATA!A:A,"*ISF*",SurveyDATA!E:E,"*POBLACION*",SurveyDATA!BM:BM,"*RESiDENTIAL*",SurveyDATA!BN:BN,"*STRUCTURE OWNER*",SurveyDATA!FQ:FQ,"*STAY*")</f>
        <v>0</v>
      </c>
      <c r="AX12" s="1284">
        <f>COUNTIFS(SurveyDATA!A:A,"*ISF*",SurveyDATA!E:E,"*POBLACION*",SurveyDATA!BM:BM,"*RESiDENTIAL*",SurveyDATA!BN:BN,"*STRUCTURE OWNER*",SurveyDATA!FQ:FQ,"*NEED*")</f>
        <v>0</v>
      </c>
      <c r="AY12" s="1284">
        <f>COUNTIFS(SurveyDATA!A:A,"*ISF*",SurveyDATA!E:E,"*POBLACION*",SurveyDATA!BM:BM,"*COMMERCIAL*",SurveyDATA!BN:BN,"*STRUCTURE OWNER*",SurveyDATA!FQ:FQ,"*STAY*")</f>
        <v>0</v>
      </c>
      <c r="AZ12" s="1284">
        <f>COUNTIFS(SurveyDATA!A:A,"*ISF*",SurveyDATA!E:E,"*POBLACION*",SurveyDATA!BM:BM,"*COMMERCIAL*",SurveyDATA!BN:BN,"*STRUCTURE OWNER*",SurveyDATA!FQ:FQ,"*NEED*")</f>
        <v>0</v>
      </c>
      <c r="BA12" s="1149"/>
      <c r="BB12" s="1230"/>
      <c r="BC12" s="1634">
        <f t="shared" ref="BC12:BD15" si="8">SUM(AW11,AY11,BA11,)</f>
        <v>5</v>
      </c>
      <c r="BD12" s="1635">
        <f t="shared" si="8"/>
        <v>3</v>
      </c>
    </row>
    <row r="13" spans="1:56" s="1383" customFormat="1" ht="16.5" thickBot="1">
      <c r="A13" s="1996"/>
      <c r="B13" s="1607"/>
      <c r="C13" s="1615"/>
      <c r="D13" s="1987"/>
      <c r="E13" s="1985"/>
      <c r="F13" s="1985"/>
      <c r="G13" s="1985"/>
      <c r="H13" s="1985"/>
      <c r="I13" s="1987"/>
      <c r="J13" s="1985"/>
      <c r="K13" s="1985"/>
      <c r="M13" s="1395" t="s">
        <v>5848</v>
      </c>
      <c r="N13" s="1395"/>
      <c r="O13" s="1395"/>
      <c r="P13" s="1589">
        <f t="shared" si="0"/>
        <v>0</v>
      </c>
      <c r="R13" s="1591" t="s">
        <v>12740</v>
      </c>
      <c r="S13" s="1394">
        <f>COUNTIFS(SurveyDATA!$BM:$BM,"*commercial*",SurveyDATA!$BN:$BN,"*STRUCTURE OWNER*",SurveyDATA!$A:$A,"*LEGAL*",SurveyDATA!$FQ:$FQ,"*STAY*")</f>
        <v>2</v>
      </c>
      <c r="T13" s="1394">
        <f>COUNTIFS(SurveyDATA!$BM:$BM,"*COMMERCIAL*",SurveyDATA!$BN:$BN,"*STRUCTURE OWNER*",SurveyDATA!$A:$A,"*ISF*",SurveyDATA!$FQ:$FQ,"*STAY*")</f>
        <v>1</v>
      </c>
      <c r="U13" s="1592">
        <f t="shared" si="5"/>
        <v>3</v>
      </c>
      <c r="V13" s="1589" t="e">
        <f>SUMIFS(SurveyDATA!#REF!,SurveyDATA!$A:$A,"*LEGAL*",SurveyDATA!$BM:$BM,"*COMMERCIAL*",SurveyDATA!$BN:$BN,"*STRUCTURE OWNER*",SurveyDATA!$FQ:$FQ,"*STAY*")</f>
        <v>#REF!</v>
      </c>
      <c r="W13" s="1589" t="e">
        <f>SUMIFS(SurveyDATA!#REF!,SurveyDATA!$A:$A,"*ISF*",SurveyDATA!$BM:$BM,"*COMMERCIAL*",SurveyDATA!$BN:$BN,"*STRUCTURE OWNER*",SurveyDATA!$FQ:$FQ,"*STAY*")</f>
        <v>#REF!</v>
      </c>
      <c r="X13" s="1592" t="e">
        <f t="shared" si="6"/>
        <v>#REF!</v>
      </c>
      <c r="Z13" s="1589"/>
      <c r="AA13" s="1589" t="s">
        <v>5378</v>
      </c>
      <c r="AB13" s="1394">
        <f>COUNTIFS(SurveyDATA!$E:$E,"*TUKTUKAN*",SurveyDATA!$BM:$BM,"*RESIDENTIAL*",SurveyDATA!$BN:$BN,"*STRUCTURE OWNER*",SurveyDATA!$A:$A,"LEGAL",SurveyDATA!$FQ:$FQ,"*STAY*")</f>
        <v>0</v>
      </c>
      <c r="AC13" s="1394">
        <f>COUNTIFS(SurveyDATA!$E:$E,"*TUKTUKAN*",SurveyDATA!$BM:$BM,"*RESIDENTIAL*",SurveyDATA!$BN:$BN,"*STRUCTURE OWNER*",SurveyDATA!$A:$A,"LEGAL",SurveyDATA!$FQ:$FQ,"*NEED*")</f>
        <v>0</v>
      </c>
      <c r="AD13" s="1394">
        <f>COUNTIFS(SurveyDATA!$E:$E,"*TUKTUKAN*",SurveyDATA!$BM:$BM,"*MIXED*",SurveyDATA!$BN:$BN,"*STRUCTURE OWNER*",SurveyDATA!$A:$A,"LEGAL",SurveyDATA!$FQ:$FQ,"*STAY*")</f>
        <v>0</v>
      </c>
      <c r="AE13" s="1394">
        <f>COUNTIFS(SurveyDATA!$E:$E,"*TUKTUKAN*",SurveyDATA!$BM:$BM,"*MIXED*",SurveyDATA!$BN:$BN,"*STRUCTURE OWNER*",SurveyDATA!$A:$A,"LEGAL",SurveyDATA!$FQ:$FQ,"*NEED*")</f>
        <v>0</v>
      </c>
      <c r="AF13" s="1394">
        <f>COUNTIFS(SurveyDATA!$E:$E,"*TUKTUKAN*",SurveyDATA!$BM:$BM,"*COMMERICIAL*",SurveyDATA!$BN:$BN,"*STRUCTURE OWNER*",SurveyDATA!$A:$A,"LEGAL",SurveyDATA!$FQ:$FQ,"*STAY*")</f>
        <v>0</v>
      </c>
      <c r="AG13" s="1394">
        <f>COUNTIFS(SurveyDATA!$E:$E,"*TUKTUKAN*",SurveyDATA!$BM:$BM,"*COMMERCIAL*",SurveyDATA!$BN:$BN,"*STRUCTURE OWNER*",SurveyDATA!$A:$A,"LEGAL",SurveyDATA!$FQ:$FQ,"*NEED*")</f>
        <v>0</v>
      </c>
      <c r="AH13" s="1394">
        <f>COUNTIFS(SurveyDATA!$E:$E,"*TUKTUKAN*",SurveyDATA!$BM:$BM,"*INSTITUTIONAL*",SurveyDATA!$BN:$BN,"*STRUCTURE OWNER*",SurveyDATA!$A:$A,"LEGAL",SurveyDATA!$FQ:$FQ,"*STAY*")</f>
        <v>0</v>
      </c>
      <c r="AI13" s="1394">
        <f>COUNTIFS(SurveyDATA!$E:$E,"*TUKTUKAN*",SurveyDATA!$BM:$BM,"*INSTITUTIONAL*",SurveyDATA!$BN:$BN,"*STRUCTURE OWNER*",SurveyDATA!$A:$A,"LEGAL",SurveyDATA!$FQ:$FQ,"*NEED*")</f>
        <v>0</v>
      </c>
      <c r="AJ13" s="1394">
        <f>COUNTIFS(SurveyDATA!$E:$E,"*TUKTUKAN*",SurveyDATA!$BM:$BM,"RESIDENTIAL*",SurveyDATA!$BN:$BN,"*STRUCTURE RENTER*",SurveyDATA!$A:$A,"LEGAL",SurveyDATA!$FQ:$FQ,"*STAY*")</f>
        <v>0</v>
      </c>
      <c r="AK13" s="1394">
        <f>COUNTIFS(SurveyDATA!$E:$E,"*TUKTUKAN*",SurveyDATA!$BM:$BM,"RESIDENTIAL*",SurveyDATA!$BN:$BN,"*STRUCTURE RENTER*",SurveyDATA!$A:$A,"LEGAL",SurveyDATA!$FQ:$FQ,"*NEED*")</f>
        <v>0</v>
      </c>
      <c r="AL13" s="1394">
        <f>COUNTIFS(SurveyDATA!$E:$E,"*TUKTUKAN*",SurveyDATA!$BM:$BM,"RESIDENTIAL*",SurveyDATA!$BN:$BN,"*STRUCTURE OWNER*",SurveyDATA!$A:$A,"LEGAL",SurveyDATA!$FQ:$FQ,"*STAY*",SurveyDATA!BL:BL,"*ABSENTEE*")</f>
        <v>0</v>
      </c>
      <c r="AM13" s="1394">
        <f>COUNTIFS(SurveyDATA!$E:$E,"*TUKTUKAN*",SurveyDATA!$BM:$BM,"RESIDENTIAL*",SurveyDATA!$BN:$BN,"*STRUCTURE OWNER*",SurveyDATA!$A:$A,"LEGAL",SurveyDATA!$FQ:$FQ,"*NEED*",SurveyDATA!BL:BL,"*ABSENTEE*")</f>
        <v>0</v>
      </c>
      <c r="AN13" s="1395">
        <f>COUNTIFS(SurveyDATA!A:A,"*LEGAL*",SurveyDATA!E:E,"*TUKTUKAN*",SurveyDATA!AK:AK,"LAND OWNER",SurveyDATA!AN:AN,"&lt;20%",SurveyDATA!BL:BL,"")</f>
        <v>1</v>
      </c>
      <c r="AO13" s="1395">
        <f>COUNTIFS(SurveyDATA!A:A,"*LEGAL*",SurveyDATA!E:E,"*TUKTUKAN*",SurveyDATA!AK:AK,"LAND OWNER",SurveyDATA!AN:AN,"&gt;20%",SurveyDATA!BL:BL,"")</f>
        <v>0</v>
      </c>
      <c r="AP13" s="1616"/>
      <c r="AQ13" s="1616"/>
      <c r="AR13" s="1395">
        <f t="shared" si="7"/>
        <v>1</v>
      </c>
      <c r="AS13" s="1395">
        <f t="shared" si="7"/>
        <v>0</v>
      </c>
      <c r="AU13" s="1589"/>
      <c r="AV13" s="1589" t="s">
        <v>5378</v>
      </c>
      <c r="AW13" s="1283">
        <f>COUNTIFS(SurveyDATA!A:A,"*ISF*",SurveyDATA!E:E,"*TUKTUKAN*",SurveyDATA!BM:BM,"*RESiDENTIAL*",SurveyDATA!BN:BN,"*STRUCTURE OWNER*",SurveyDATA!FQ:FQ,"*STAY*")</f>
        <v>0</v>
      </c>
      <c r="AX13" s="1284">
        <f>COUNTIFS(SurveyDATA!A:A,"*ISF*",SurveyDATA!E:E,"*TUKTUKAN*",SurveyDATA!BM:BM,"*RESiDENTIAL*",SurveyDATA!BN:BN,"*STRUCTURE OWNER*",SurveyDATA!FQ:FQ,"*NEED*")</f>
        <v>2</v>
      </c>
      <c r="AY13" s="1284">
        <f>COUNTIFS(SurveyDATA!A:A,"*ISF*",SurveyDATA!E:E,"*TUKTUKAN*",SurveyDATA!BM:BM,"*COMMERCIAL*",SurveyDATA!BN:BN,"*STRUCTURE OWNER*",SurveyDATA!FQ:FQ,"*STAY*")</f>
        <v>0</v>
      </c>
      <c r="AZ13" s="1284">
        <f>COUNTIFS(SurveyDATA!A:A,"*ISF*",SurveyDATA!E:E,"*TUKTUKAN*",SurveyDATA!BM:BM,"*COMMERCIAL*",SurveyDATA!BN:BN,"*STRUCTURE OWNER*",SurveyDATA!FQ:FQ,"*NEED*")</f>
        <v>1</v>
      </c>
      <c r="BA13" s="1149"/>
      <c r="BB13" s="1230"/>
      <c r="BC13" s="1634">
        <f t="shared" si="8"/>
        <v>0</v>
      </c>
      <c r="BD13" s="1635">
        <f t="shared" si="8"/>
        <v>0</v>
      </c>
    </row>
    <row r="14" spans="1:56" s="1383" customFormat="1" ht="13.5" thickBot="1">
      <c r="A14" s="1996"/>
      <c r="B14" s="1617"/>
      <c r="C14" s="1607"/>
      <c r="D14" s="1621"/>
      <c r="E14" s="1615"/>
      <c r="F14" s="1621"/>
      <c r="G14" s="1615"/>
      <c r="H14" s="1615"/>
      <c r="I14" s="1621"/>
      <c r="J14" s="1615"/>
      <c r="K14" s="1615"/>
      <c r="M14" s="1622" t="s">
        <v>2034</v>
      </c>
      <c r="N14" s="1395">
        <f>SUM(N13,N5)</f>
        <v>22</v>
      </c>
      <c r="O14" s="1395"/>
      <c r="P14" s="1394"/>
      <c r="R14" s="1591" t="s">
        <v>8108</v>
      </c>
      <c r="S14" s="1394">
        <f>COUNTIFS(SurveyDATA!$BM:$BM,"*mixed*",SurveyDATA!$BN:$BN,"*STRUCTURE OWNER*",SurveyDATA!$A:$A,"LEGAL",SurveyDATA!$FQ:$FQ,"*STAY*")</f>
        <v>5</v>
      </c>
      <c r="T14" s="1394">
        <f>COUNTIFS(SurveyDATA!$BM:$BM,"*MIXED*",SurveyDATA!$BN:$BN,"*STRUCTURE OWNER*",SurveyDATA!$A:$A,"*ISF*",SurveyDATA!$FQ:$FQ,"*STAY*")</f>
        <v>4</v>
      </c>
      <c r="U14" s="1592">
        <f t="shared" si="5"/>
        <v>9</v>
      </c>
      <c r="V14" s="1589" t="e">
        <f>SUMIFS(SurveyDATA!#REF!,SurveyDATA!$A:$A,"*LEGAL*",SurveyDATA!$BM:$BM,"*MIXED*",SurveyDATA!$BN:$BN,"*STRUCTURE OWNER*",SurveyDATA!$FQ:$FQ,"*STAY*")</f>
        <v>#REF!</v>
      </c>
      <c r="W14" s="1589" t="e">
        <f>SUMIFS(SurveyDATA!#REF!,SurveyDATA!$A:$A,"*ISF*",SurveyDATA!$BM:$BM,"*MIXED*",SurveyDATA!$BN:$BN,"*STRUCTURE OWNER*",SurveyDATA!$FQ:$FQ,"*STAY*")</f>
        <v>#REF!</v>
      </c>
      <c r="X14" s="1592" t="e">
        <f t="shared" si="6"/>
        <v>#REF!</v>
      </c>
      <c r="Z14" s="1589"/>
      <c r="AA14" s="1589" t="s">
        <v>11000</v>
      </c>
      <c r="AB14" s="1394">
        <f>COUNTIFS(SurveyDATA!$E:$E,"*CRUZ*",SurveyDATA!$BM:$BM,"*RESIDENTIAL*",SurveyDATA!$BN:$BN,"*STRUCTURE OWNER*",SurveyDATA!$A:$A,"LEGAL",SurveyDATA!$FQ:$FQ,"*STAY*")</f>
        <v>0</v>
      </c>
      <c r="AC14" s="1394">
        <f>COUNTIFS(SurveyDATA!$E:$E,"*CRUZ*",SurveyDATA!$BM:$BM,"*RESIDENTIAL*",SurveyDATA!$BN:$BN,"*STRUCTURE OWNER*",SurveyDATA!$A:$A,"LEGAL",SurveyDATA!$FQ:$FQ,"*NEED*")</f>
        <v>0</v>
      </c>
      <c r="AD14" s="1394">
        <f>COUNTIFS(SurveyDATA!$E:$E,"*CRUZ*",SurveyDATA!$BM:$BM,"*MIXED*",SurveyDATA!$BN:$BN,"*STRUCTURE OWNER*",SurveyDATA!$A:$A,"LEGAL",SurveyDATA!$FQ:$FQ,"*STAY*")</f>
        <v>0</v>
      </c>
      <c r="AE14" s="1394">
        <f>COUNTIFS(SurveyDATA!$E:$E,"*CRUZ*",SurveyDATA!$BM:$BM,"*MIXED*",SurveyDATA!$BN:$BN,"*STRUCTURE OWNER*",SurveyDATA!$A:$A,"LEGAL",SurveyDATA!$FQ:$FQ,"*NEED*")</f>
        <v>0</v>
      </c>
      <c r="AF14" s="1394">
        <f>COUNTIFS(SurveyDATA!$E:$E,"*CRUZ*",SurveyDATA!$BM:$BM,"*COMMERICIAL*",SurveyDATA!$BN:$BN,"*STRUCTURE OWNER*",SurveyDATA!$A:$A,"LEGAL",SurveyDATA!$FQ:$FQ,"*STAY*")</f>
        <v>0</v>
      </c>
      <c r="AG14" s="1394">
        <f>COUNTIFS(SurveyDATA!$E:$E,"*CRUZ*",SurveyDATA!$BM:$BM,"*COMMERCIAL*",SurveyDATA!$BN:$BN,"*STRUCTURE OWNER*",SurveyDATA!$A:$A,"LEGAL",SurveyDATA!$FQ:$FQ,"*NEED*")</f>
        <v>0</v>
      </c>
      <c r="AH14" s="1394">
        <f>COUNTIFS(SurveyDATA!$E:$E,"*CRUZ*",SurveyDATA!$BM:$BM,"*INSTITUTIONAL*",SurveyDATA!$BN:$BN,"*STRUCTURE OWNER*",SurveyDATA!$A:$A,"LEGAL",SurveyDATA!$FQ:$FQ,"*STAY*")</f>
        <v>0</v>
      </c>
      <c r="AI14" s="1394">
        <f>COUNTIFS(SurveyDATA!$E:$E,"*CRUZ*",SurveyDATA!$BM:$BM,"*INSTITUTIONAL*",SurveyDATA!$BN:$BN,"*STRUCTURE OWNER*",SurveyDATA!$A:$A,"LEGAL",SurveyDATA!$FQ:$FQ,"*NEED*")</f>
        <v>0</v>
      </c>
      <c r="AJ14" s="1394">
        <f>COUNTIFS(SurveyDATA!$E:$E,"*CRUZ*",SurveyDATA!$BM:$BM,"RESIDENTIAL*",SurveyDATA!$BN:$BN,"*STRUCTURE RENTER*",SurveyDATA!$A:$A,"LEGAL",SurveyDATA!$FQ:$FQ,"*STAY*")</f>
        <v>0</v>
      </c>
      <c r="AK14" s="1394">
        <f>COUNTIFS(SurveyDATA!$E:$E,"*CRUZ*",SurveyDATA!$BM:$BM,"RESIDENTIAL*",SurveyDATA!$BN:$BN,"*STRUCTURE RENTER*",SurveyDATA!$A:$A,"LEGAL",SurveyDATA!$FQ:$FQ,"*NEED*")</f>
        <v>0</v>
      </c>
      <c r="AL14" s="1394">
        <f>COUNTIFS(SurveyDATA!$E:$E,"*CRUZ*",SurveyDATA!$BM:$BM,"RESIDENTIAL*",SurveyDATA!$BN:$BN,"*STRUCTURE OWNER*",SurveyDATA!$A:$A,"LEGAL",SurveyDATA!$FQ:$FQ,"*STAY*",SurveyDATA!BL:BL,"*ABSENTEE*")</f>
        <v>0</v>
      </c>
      <c r="AM14" s="1394">
        <f>COUNTIFS(SurveyDATA!$E:$E,"*CRUZ*",SurveyDATA!$BM:$BM,"RESIDENTIAL*",SurveyDATA!$BN:$BN,"*STRUCTURE OWNER*",SurveyDATA!$A:$A,"LEGAL",SurveyDATA!$FQ:$FQ,"*NEED*",SurveyDATA!BL:BL,"*ABSENTEE*")</f>
        <v>0</v>
      </c>
      <c r="AN14" s="1395">
        <f>COUNTIFS(SurveyDATA!A:A,"*LEGAL*",SurveyDATA!E:E,"*CRUZ*",SurveyDATA!AK:AK,"LAND OWNER",SurveyDATA!AN:AN,"&lt;20%",SurveyDATA!BL:BL,"")</f>
        <v>2</v>
      </c>
      <c r="AO14" s="1395">
        <f>COUNTIFS(SurveyDATA!A:A,"*LEGAL*",SurveyDATA!E:E,"*CRUZ*",SurveyDATA!AK:AK,"LAND OWNER",SurveyDATA!AN:AN,"&gt;20%",SurveyDATA!BL:BL,"")</f>
        <v>0</v>
      </c>
      <c r="AP14" s="1616"/>
      <c r="AQ14" s="1616"/>
      <c r="AR14" s="1395">
        <f t="shared" si="7"/>
        <v>2</v>
      </c>
      <c r="AS14" s="1395">
        <f t="shared" si="7"/>
        <v>0</v>
      </c>
      <c r="AU14" s="1589"/>
      <c r="AV14" s="1589" t="s">
        <v>11000</v>
      </c>
      <c r="AW14" s="1283">
        <f>COUNTIFS(SurveyDATA!A:A,"*ISF*",SurveyDATA!E:E,"*CRUZ*",SurveyDATA!BM:BM,"*RESiDENTIAL*",SurveyDATA!BN:BN,"*STRUCTURE OWNER*",SurveyDATA!FQ:FQ,"*STAY*")</f>
        <v>0</v>
      </c>
      <c r="AX14" s="1284">
        <f>COUNTIFS(SurveyDATA!A:A,"*ISF*",SurveyDATA!E:E,"*CRUZ*",SurveyDATA!BM:BM,"*RESiDENTIAL*",SurveyDATA!BN:BN,"*STRUCTURE OWNER*",SurveyDATA!FQ:FQ,"*NEED*")</f>
        <v>0</v>
      </c>
      <c r="AY14" s="1284">
        <f>COUNTIFS(SurveyDATA!A:A,"*ISF*",SurveyDATA!E:E,"*CRUZ*",SurveyDATA!BM:BM,"*COMMERCIAL*",SurveyDATA!BN:BN,"*STRUCTURE OWNER*",SurveyDATA!FQ:FQ,"*STAY*")</f>
        <v>0</v>
      </c>
      <c r="AZ14" s="1284">
        <f>COUNTIFS(SurveyDATA!A:A,"*ISF*",SurveyDATA!E:E,"*CRUZ*",SurveyDATA!BM:BM,"*COMMERCIAL*",SurveyDATA!BN:BN,"*STRUCTURE OWNER*",SurveyDATA!FQ:FQ,"*NEED*")</f>
        <v>0</v>
      </c>
      <c r="BA14" s="1149"/>
      <c r="BB14" s="1230"/>
      <c r="BC14" s="1634">
        <f t="shared" si="8"/>
        <v>0</v>
      </c>
      <c r="BD14" s="1635">
        <f t="shared" si="8"/>
        <v>3</v>
      </c>
    </row>
    <row r="15" spans="1:56" s="1383" customFormat="1" ht="13.5" thickBot="1">
      <c r="A15" s="1996"/>
      <c r="B15" s="1607"/>
      <c r="C15" s="1615"/>
      <c r="D15" s="1621"/>
      <c r="E15" s="1621"/>
      <c r="F15" s="1621"/>
      <c r="G15" s="1621"/>
      <c r="H15" s="1615"/>
      <c r="I15" s="1621"/>
      <c r="J15" s="1615"/>
      <c r="K15" s="1615"/>
      <c r="R15" s="1591" t="s">
        <v>12288</v>
      </c>
      <c r="S15" s="1394">
        <f>COUNTIFS(SurveyDATA!$BL:$BL,"",SurveyDATA!$AK:$AK,"*LAND OWNER*",SurveyDATA!$A:$A,"LEGAL")</f>
        <v>53</v>
      </c>
      <c r="T15" s="1589">
        <v>0</v>
      </c>
      <c r="U15" s="1592">
        <f t="shared" si="5"/>
        <v>53</v>
      </c>
      <c r="V15" s="1589">
        <v>0</v>
      </c>
      <c r="W15" s="1589">
        <v>0</v>
      </c>
      <c r="X15" s="1592">
        <f t="shared" si="6"/>
        <v>0</v>
      </c>
      <c r="Z15" s="1589"/>
      <c r="AA15" s="1589" t="s">
        <v>5379</v>
      </c>
      <c r="AB15" s="1394">
        <f>COUNTIFS(SurveyDATA!$E:$E,"*TABANG*",SurveyDATA!$BM:$BM,"*RESIDENTIAL*",SurveyDATA!$BN:$BN,"*STRUCTURE OWNER*",SurveyDATA!$A:$A,"LEGAL",SurveyDATA!$FQ:$FQ,"*STAY*")</f>
        <v>1</v>
      </c>
      <c r="AC15" s="1394">
        <f>COUNTIFS(SurveyDATA!$E:$E,"*TABANG*",SurveyDATA!$BM:$BM,"*RESIDENTIAL*",SurveyDATA!$BN:$BN,"*STRUCTURE OWNER*",SurveyDATA!$A:$A,"LEGAL",SurveyDATA!$FQ:$FQ,"*NEED*")</f>
        <v>2</v>
      </c>
      <c r="AD15" s="1394">
        <f>COUNTIFS(SurveyDATA!$E:$E,"*TABANG*",SurveyDATA!$BM:$BM,"*MIXED*",SurveyDATA!$BN:$BN,"*STRUCTURE OWNER*",SurveyDATA!$A:$A,"LEGAL",SurveyDATA!$FQ:$FQ,"*STAY*")</f>
        <v>0</v>
      </c>
      <c r="AE15" s="1394">
        <f>COUNTIFS(SurveyDATA!$E:$E,"*TABANG*",SurveyDATA!$BM:$BM,"*MIXED*",SurveyDATA!$BN:$BN,"*STRUCTURE OWNER*",SurveyDATA!$A:$A,"LEGAL",SurveyDATA!$FQ:$FQ,"*NEED*")</f>
        <v>0</v>
      </c>
      <c r="AF15" s="1394">
        <f>COUNTIFS(SurveyDATA!$E:$E,"*TABANG*",SurveyDATA!$BM:$BM,"*COMMERICIAL*",SurveyDATA!$BN:$BN,"*STRUCTURE OWNER*",SurveyDATA!$A:$A,"LEGAL",SurveyDATA!$FQ:$FQ,"*STAY*")</f>
        <v>0</v>
      </c>
      <c r="AG15" s="1394">
        <f>COUNTIFS(SurveyDATA!$E:$E,"*TABANG*",SurveyDATA!$BM:$BM,"*COMMERCIAL*",SurveyDATA!$BN:$BN,"*STRUCTURE OWNER*",SurveyDATA!$A:$A,"LEGAL",SurveyDATA!$FQ:$FQ,"*NEED*")</f>
        <v>0</v>
      </c>
      <c r="AH15" s="1394">
        <f>COUNTIFS(SurveyDATA!$E:$E,"*TABANG*",SurveyDATA!$BM:$BM,"*INSTITUTIONAL*",SurveyDATA!$BN:$BN,"*STRUCTURE OWNER*",SurveyDATA!$A:$A,"LEGAL",SurveyDATA!$FQ:$FQ,"*STAY*")</f>
        <v>0</v>
      </c>
      <c r="AI15" s="1394">
        <f>COUNTIFS(SurveyDATA!$E:$E,"*TABANG*",SurveyDATA!$BM:$BM,"*INSTITUTIONAL*",SurveyDATA!$BN:$BN,"*STRUCTURE OWNER*",SurveyDATA!$A:$A,"LEGAL",SurveyDATA!$FQ:$FQ,"*NEED*")</f>
        <v>1</v>
      </c>
      <c r="AJ15" s="1394">
        <f>COUNTIFS(SurveyDATA!$E:$E,"*TABANG*",SurveyDATA!$BM:$BM,"RESIDENTIAL*",SurveyDATA!$BN:$BN,"*STRUCTURE RENTER*",SurveyDATA!$A:$A,"LEGAL",SurveyDATA!$FQ:$FQ,"*STAY*")</f>
        <v>0</v>
      </c>
      <c r="AK15" s="1394">
        <f>COUNTIFS(SurveyDATA!$E:$E,"*TABANG*",SurveyDATA!$BM:$BM,"RESIDENTIAL*",SurveyDATA!$BN:$BN,"*STRUCTURE RENTER*",SurveyDATA!$A:$A,"LEGAL",SurveyDATA!$FQ:$FQ,"*NEED*")</f>
        <v>0</v>
      </c>
      <c r="AL15" s="1394">
        <f>COUNTIFS(SurveyDATA!$E:$E,"*TABANG*",SurveyDATA!$BM:$BM,"RESIDENTIAL*",SurveyDATA!$BN:$BN,"*STRUCTURE OWNER*",SurveyDATA!$A:$A,"LEGAL",SurveyDATA!$FQ:$FQ,"*STAY*",SurveyDATA!BL:BL,"*ABSENTEE*")</f>
        <v>0</v>
      </c>
      <c r="AM15" s="1394">
        <f>COUNTIFS(SurveyDATA!$E:$E,"*TABANG*",SurveyDATA!$BM:$BM,"RESIDENTIAL*",SurveyDATA!$BN:$BN,"*STRUCTURE OWNER*",SurveyDATA!$A:$A,"LEGAL",SurveyDATA!$FQ:$FQ,"*NEED*",SurveyDATA!BL:BL,"*ABSENTEE*")</f>
        <v>0</v>
      </c>
      <c r="AN15" s="1395">
        <f>COUNTIFS(SurveyDATA!A:A,"*LEGAL*",SurveyDATA!E:E,"*TABANG*",SurveyDATA!AK:AK,"LAND OWNER",SurveyDATA!AN:AN,"&lt;20%",SurveyDATA!BL:BL,"")</f>
        <v>1</v>
      </c>
      <c r="AO15" s="1395">
        <f>COUNTIFS(SurveyDATA!A:A,"*LEGAL*",SurveyDATA!E:E,"*TABANG*",SurveyDATA!AK:AK,"LAND OWNER",SurveyDATA!AN:AN,"&gt;20%",SurveyDATA!BL:BL,"")</f>
        <v>2</v>
      </c>
      <c r="AP15" s="1616"/>
      <c r="AQ15" s="1616"/>
      <c r="AR15" s="1395">
        <f t="shared" si="7"/>
        <v>2</v>
      </c>
      <c r="AS15" s="1395">
        <f t="shared" si="7"/>
        <v>5</v>
      </c>
      <c r="AU15" s="1589"/>
      <c r="AV15" s="1589" t="s">
        <v>5379</v>
      </c>
      <c r="AW15" s="1283">
        <f>COUNTIFS(SurveyDATA!A:A,"*ISF*",SurveyDATA!E:E,"*TABANG*",SurveyDATA!BM:BM,"*RESiDENTIAL*",SurveyDATA!BN:BN,"*STRUCTURE OWNER*",SurveyDATA!FQ:FQ,"*STAY*")</f>
        <v>0</v>
      </c>
      <c r="AX15" s="1284">
        <f>COUNTIFS(SurveyDATA!A:A,"*ISF*",SurveyDATA!E:E,"*TABANG*",SurveyDATA!BM:BM,"*RESiDENTIAL*",SurveyDATA!BN:BN,"*STRUCTURE OWNER*",SurveyDATA!FQ:FQ,"*NEED*")</f>
        <v>1</v>
      </c>
      <c r="AY15" s="1284">
        <f>COUNTIFS(SurveyDATA!A:A,"*ISF*",SurveyDATA!E:E,"*TABANG*",SurveyDATA!BM:BM,"*COMMERCIAL*",SurveyDATA!BN:BN,"*STRUCTURE OWNER*",SurveyDATA!FQ:FQ,"*STAY*")</f>
        <v>0</v>
      </c>
      <c r="AZ15" s="1284">
        <f>COUNTIFS(SurveyDATA!A:A,"*ISF*",SurveyDATA!E:E,"*TABANG*",SurveyDATA!BM:BM,"*COMMERCIAL*",SurveyDATA!BN:BN,"*STRUCTURE OWNER*",SurveyDATA!FQ:FQ,"*NEED*")</f>
        <v>0</v>
      </c>
      <c r="BA15" s="1149"/>
      <c r="BB15" s="1230"/>
      <c r="BC15" s="1634">
        <f t="shared" si="8"/>
        <v>0</v>
      </c>
      <c r="BD15" s="1635">
        <f t="shared" si="8"/>
        <v>0</v>
      </c>
    </row>
    <row r="16" spans="1:56" s="1383" customFormat="1">
      <c r="A16" s="1996"/>
      <c r="B16" s="1607"/>
      <c r="C16" s="1607"/>
      <c r="D16" s="1986"/>
      <c r="E16" s="1986"/>
      <c r="F16" s="1986"/>
      <c r="G16" s="1986"/>
      <c r="H16" s="1984"/>
      <c r="I16" s="1986"/>
      <c r="J16" s="1984"/>
      <c r="K16" s="1984"/>
      <c r="M16" s="1623" t="s">
        <v>12293</v>
      </c>
      <c r="R16" s="1591" t="s">
        <v>12289</v>
      </c>
      <c r="S16" s="1589">
        <f>COUNTIFS(SurveyDATA!FM:FM,"&gt;0",SurveyDATA!BN:BN,"*STRUCTURE RENTER*",SurveyDATA!FQ:FQ,"*STAY*",SurveyDATA!A:A,"*LEGAL*")</f>
        <v>12</v>
      </c>
      <c r="T16" s="1589">
        <f>COUNTIFS(SurveyDATA!FN:FN,"&gt;0",SurveyDATA!BO:BO,"*STRUCTURE RENTER*",SurveyDATA!FR:FR,"*STAY*",SurveyDATA!B:B,"*ISF*")</f>
        <v>0</v>
      </c>
      <c r="U16" s="1592">
        <f t="shared" si="5"/>
        <v>12</v>
      </c>
      <c r="V16" s="1589">
        <f>COUNTIFS(SurveyDATA!FM:FM,"&gt;0",SurveyDATA!BN:BN,"*STRUCTURE RENTER*",SurveyDATA!FQ:FQ,"*STAY*")</f>
        <v>19</v>
      </c>
      <c r="W16" s="1589">
        <f>COUNTIFS(SurveyDATA!FM:FM,"&gt;0",SurveyDATA!BN:BN,"*STRUCTURE RENTER*",SurveyDATA!FQ:FQ,"*STAY*")</f>
        <v>19</v>
      </c>
      <c r="X16" s="1592">
        <f t="shared" si="6"/>
        <v>38</v>
      </c>
      <c r="Z16" s="1589"/>
      <c r="AA16" s="1619" t="s">
        <v>12285</v>
      </c>
      <c r="AB16" s="1620">
        <f t="shared" ref="AB16:AS16" si="9">SUM(AB12:AB15)</f>
        <v>1</v>
      </c>
      <c r="AC16" s="1620">
        <f t="shared" si="9"/>
        <v>2</v>
      </c>
      <c r="AD16" s="1620">
        <f t="shared" si="9"/>
        <v>0</v>
      </c>
      <c r="AE16" s="1620">
        <f t="shared" si="9"/>
        <v>0</v>
      </c>
      <c r="AF16" s="1620">
        <f t="shared" si="9"/>
        <v>0</v>
      </c>
      <c r="AG16" s="1620">
        <f t="shared" si="9"/>
        <v>0</v>
      </c>
      <c r="AH16" s="1620">
        <f t="shared" si="9"/>
        <v>0</v>
      </c>
      <c r="AI16" s="1620">
        <f t="shared" si="9"/>
        <v>2</v>
      </c>
      <c r="AJ16" s="1620">
        <f t="shared" si="9"/>
        <v>0</v>
      </c>
      <c r="AK16" s="1620">
        <f t="shared" si="9"/>
        <v>0</v>
      </c>
      <c r="AL16" s="1620">
        <f t="shared" si="9"/>
        <v>0</v>
      </c>
      <c r="AM16" s="1620">
        <f t="shared" si="9"/>
        <v>0</v>
      </c>
      <c r="AN16" s="1620">
        <f t="shared" si="9"/>
        <v>4</v>
      </c>
      <c r="AO16" s="1620">
        <f t="shared" si="9"/>
        <v>2</v>
      </c>
      <c r="AP16" s="1620">
        <f t="shared" si="9"/>
        <v>0</v>
      </c>
      <c r="AQ16" s="1620">
        <f t="shared" si="9"/>
        <v>0</v>
      </c>
      <c r="AR16" s="1620">
        <f t="shared" si="9"/>
        <v>5</v>
      </c>
      <c r="AS16" s="1620">
        <f t="shared" si="9"/>
        <v>6</v>
      </c>
      <c r="AU16" s="1589"/>
      <c r="AV16" s="1619" t="s">
        <v>12285</v>
      </c>
      <c r="AW16" s="638">
        <f>SUM(AW11:AW15)</f>
        <v>2</v>
      </c>
      <c r="AX16" s="638">
        <f>SUM(AX12:AX15)</f>
        <v>3</v>
      </c>
      <c r="AY16" s="638">
        <f t="shared" ref="AY16:BD16" si="10">SUM(AY11:AY15)</f>
        <v>1</v>
      </c>
      <c r="AZ16" s="638">
        <f t="shared" si="10"/>
        <v>1</v>
      </c>
      <c r="BA16" s="638">
        <f t="shared" si="10"/>
        <v>2</v>
      </c>
      <c r="BB16" s="1289">
        <f t="shared" si="10"/>
        <v>2</v>
      </c>
      <c r="BC16" s="1285">
        <f t="shared" si="10"/>
        <v>10</v>
      </c>
      <c r="BD16" s="1286">
        <f t="shared" si="10"/>
        <v>10</v>
      </c>
    </row>
    <row r="17" spans="1:56" s="1383" customFormat="1" ht="13.5" thickBot="1">
      <c r="A17" s="1996"/>
      <c r="B17" s="1617"/>
      <c r="C17" s="1615"/>
      <c r="D17" s="1987"/>
      <c r="E17" s="1987"/>
      <c r="F17" s="1987"/>
      <c r="G17" s="1987"/>
      <c r="H17" s="1985"/>
      <c r="I17" s="1987"/>
      <c r="J17" s="1985"/>
      <c r="K17" s="1985"/>
      <c r="R17" s="1591" t="s">
        <v>12290</v>
      </c>
      <c r="S17" s="1589">
        <v>0</v>
      </c>
      <c r="T17" s="1589">
        <v>0</v>
      </c>
      <c r="U17" s="1592">
        <f t="shared" si="5"/>
        <v>0</v>
      </c>
      <c r="V17" s="1589"/>
      <c r="W17" s="1589"/>
      <c r="X17" s="1592">
        <f t="shared" si="6"/>
        <v>0</v>
      </c>
      <c r="Z17" s="1589" t="s">
        <v>5380</v>
      </c>
      <c r="AA17" s="1589" t="s">
        <v>12691</v>
      </c>
      <c r="AB17" s="1394">
        <f>COUNTIFS(SurveyDATA!$E:$E,"*BUROL*",SurveyDATA!$BM:$BM,"*RESIDENTIAL*",SurveyDATA!$BN:$BN,"*STRUCTURE OWNER*",SurveyDATA!$A:$A,"LEGAL",SurveyDATA!$FQ:$FQ,"*STAY*")</f>
        <v>0</v>
      </c>
      <c r="AC17" s="1394">
        <f>COUNTIFS(SurveyDATA!$E:$E,"*BUROL*",SurveyDATA!$BM:$BM,"*RESIDENTIAL*",SurveyDATA!$BN:$BN,"*STRUCTURE OWNER*",SurveyDATA!$A:$A,"LEGAL",SurveyDATA!$FQ:$FQ,"*NEED*")</f>
        <v>0</v>
      </c>
      <c r="AD17" s="1394">
        <f>COUNTIFS(SurveyDATA!$E:$E,"*BUROL*",SurveyDATA!$BM:$BM,"*MIXED*",SurveyDATA!$BN:$BN,"*STRUCTURE OWNER*",SurveyDATA!$A:$A,"LEGAL",SurveyDATA!$FQ:$FQ,"*STAY*")</f>
        <v>0</v>
      </c>
      <c r="AE17" s="1394">
        <f>COUNTIFS(SurveyDATA!$E:$E,"*BUROL*",SurveyDATA!$BM:$BM,"*MIXED*",SurveyDATA!$BN:$BN,"*STRUCTURE OWNER*",SurveyDATA!$A:$A,"LEGAL",SurveyDATA!$FQ:$FQ,"*NEED*")</f>
        <v>0</v>
      </c>
      <c r="AF17" s="1394">
        <f>COUNTIFS(SurveyDATA!$E:$E,"*BUROL*",SurveyDATA!$BM:$BM,"*COMMERICIAL*",SurveyDATA!$BN:$BN,"*STRUCTURE OWNER*",SurveyDATA!$A:$A,"LEGAL",SurveyDATA!$FQ:$FQ,"*STAY*")</f>
        <v>0</v>
      </c>
      <c r="AG17" s="1394">
        <f>COUNTIFS(SurveyDATA!$E:$E,"*BUROL*",SurveyDATA!$BM:$BM,"*COMMERCIAL*",SurveyDATA!$BN:$BN,"*STRUCTURE OWNER*",SurveyDATA!$A:$A,"LEGAL",SurveyDATA!$FQ:$FQ,"*NEED*")</f>
        <v>0</v>
      </c>
      <c r="AH17" s="1394">
        <f>COUNTIFS(SurveyDATA!$E:$E,"*BUROL*",SurveyDATA!$BM:$BM,"*INSTITUTIONAL*",SurveyDATA!$BN:$BN,"*STRUCTURE OWNER*",SurveyDATA!$A:$A,"LEGAL",SurveyDATA!$FQ:$FQ,"*STAY*")</f>
        <v>0</v>
      </c>
      <c r="AI17" s="1394">
        <f>COUNTIFS(SurveyDATA!$E:$E,"*BUROL*",SurveyDATA!$BM:$BM,"*INSTITUTIONAL*",SurveyDATA!$BN:$BN,"*STRUCTURE OWNER*",SurveyDATA!$A:$A,"LEGAL",SurveyDATA!$FQ:$FQ,"*NEED*")</f>
        <v>0</v>
      </c>
      <c r="AJ17" s="1394">
        <f>COUNTIFS(SurveyDATA!$E:$E,"*BUROL*",SurveyDATA!$BM:$BM,"RESIDENTIAL*",SurveyDATA!$BN:$BN,"*STRUCTURE RENTER*",SurveyDATA!$A:$A,"LEGAL",SurveyDATA!$FQ:$FQ,"*STAY*")</f>
        <v>0</v>
      </c>
      <c r="AK17" s="1394">
        <f>COUNTIFS(SurveyDATA!$E:$E,"*BUROL*",SurveyDATA!$BM:$BM,"RESIDENTIAL*",SurveyDATA!$BN:$BN,"*STRUCTURE RENTER*",SurveyDATA!$A:$A,"LEGAL",SurveyDATA!$FQ:$FQ,"*NEED*")</f>
        <v>0</v>
      </c>
      <c r="AL17" s="1394">
        <f>COUNTIFS(SurveyDATA!$E:$E,"*BUROL*",SurveyDATA!$BM:$BM,"RESIDENTIAL*",SurveyDATA!$BN:$BN,"*STRUCTURE OWNER*",SurveyDATA!$A:$A,"LEGAL",SurveyDATA!$FQ:$FQ,"*STAY*",SurveyDATA!BL:BL,"*ABSENTEE*")</f>
        <v>0</v>
      </c>
      <c r="AM17" s="1394">
        <f>COUNTIFS(SurveyDATA!$E:$E,"*BUROL*",SurveyDATA!$BM:$BM,"RESIDENTIAL*",SurveyDATA!$BN:$BN,"*STRUCTURE OWNER*",SurveyDATA!$A:$A,"LEGAL",SurveyDATA!$FQ:$FQ,"*NEED*",SurveyDATA!BL:BL,"*ABSENTEE*")</f>
        <v>0</v>
      </c>
      <c r="AN17" s="1395">
        <f>COUNTIFS(SurveyDATA!A:A,"*LEGAL*",SurveyDATA!E:E,"*BUROL*",SurveyDATA!AK:AK,"LAND OWNER",SurveyDATA!AN:AN,"&lt;20%",SurveyDATA!BL:BL,"")</f>
        <v>0</v>
      </c>
      <c r="AO17" s="1395">
        <f>COUNTIFS(SurveyDATA!A:A,"*LEGAL*",SurveyDATA!E:E,"*BUROL*",SurveyDATA!AK:AK,"LAND OWNER",SurveyDATA!AN:AN,"&gt;20%",SurveyDATA!BL:BL,"")</f>
        <v>0</v>
      </c>
      <c r="AP17" s="1616"/>
      <c r="AQ17" s="1616"/>
      <c r="AR17" s="1395">
        <f>SUM(AP17,AN17,AL17,AJ17,AH17,AF17,AJ17,AD17,AB17,)</f>
        <v>0</v>
      </c>
      <c r="AS17" s="1395">
        <f>SUM(AQ17,AO17,AM17,AK17,AI17,AG17,AK17,AE17,AC17,)</f>
        <v>0</v>
      </c>
      <c r="AU17" s="1589" t="s">
        <v>5380</v>
      </c>
      <c r="AV17" s="1589" t="s">
        <v>12691</v>
      </c>
      <c r="AW17" s="1283">
        <f>COUNTIFS(SurveyDATA!A:A,"*ISF*",SurveyDATA!E:E,"*BUROL*",SurveyDATA!BM:BM,"*RESiDENTIAL*",SurveyDATA!BN:BN,"*STRUCTURE OWNER*",SurveyDATA!FQ:FQ,"*STAY*")</f>
        <v>0</v>
      </c>
      <c r="AX17" s="1284">
        <f>COUNTIFS(SurveyDATA!A:A,"*ISF*",SurveyDATA!E:E,"*BUROL*",SurveyDATA!BM:BM,"*RESiDENTIAL*",SurveyDATA!BN:BN,"*STRUCTURE OWNER*",SurveyDATA!FQ:FQ,"*NEED*")</f>
        <v>0</v>
      </c>
      <c r="AY17" s="1284">
        <f>COUNTIFS(SurveyDATA!A:A,"*ISF*",SurveyDATA!E:E,"*BUROL*",SurveyDATA!BM:BM,"*COMMERCIAL*",SurveyDATA!BN:BN,"*STRUCTURE OWNER*",SurveyDATA!FQ:FQ,"*STAY*")</f>
        <v>0</v>
      </c>
      <c r="AZ17" s="1284">
        <f>COUNTIFS(SurveyDATA!A:A,"*ISF*",SurveyDATA!E:E,"*BUROL*",SurveyDATA!BM:BM,"*COMMERCIAL*",SurveyDATA!BN:BN,"*STRUCTURE OWNER*",SurveyDATA!FQ:FQ,"*NEED*")</f>
        <v>0</v>
      </c>
      <c r="BA17" s="1149"/>
      <c r="BB17" s="1230"/>
      <c r="BC17" s="1634">
        <f>SUM(AW16,AY16,BA16,)</f>
        <v>5</v>
      </c>
      <c r="BD17" s="1635">
        <f>SUM(AX16,AZ16,BB16,)</f>
        <v>6</v>
      </c>
    </row>
    <row r="18" spans="1:56" s="1383" customFormat="1">
      <c r="A18" s="1996"/>
      <c r="B18" s="1607"/>
      <c r="C18" s="1607"/>
      <c r="D18" s="1986"/>
      <c r="E18" s="1986"/>
      <c r="F18" s="1986"/>
      <c r="G18" s="1986"/>
      <c r="H18" s="1986"/>
      <c r="I18" s="1986"/>
      <c r="J18" s="1986"/>
      <c r="K18" s="1984"/>
      <c r="R18" s="1591" t="s">
        <v>12291</v>
      </c>
      <c r="S18" s="1589"/>
      <c r="T18" s="1589">
        <v>0</v>
      </c>
      <c r="U18" s="1592">
        <f t="shared" si="5"/>
        <v>0</v>
      </c>
      <c r="V18" s="1589"/>
      <c r="W18" s="1589"/>
      <c r="X18" s="1592">
        <f t="shared" si="6"/>
        <v>0</v>
      </c>
      <c r="Z18" s="1589"/>
      <c r="AA18" s="1619" t="s">
        <v>12285</v>
      </c>
      <c r="AB18" s="1620">
        <f>SUM(AB17)</f>
        <v>0</v>
      </c>
      <c r="AC18" s="1620">
        <f t="shared" ref="AC18:AS18" si="11">SUM(AC17)</f>
        <v>0</v>
      </c>
      <c r="AD18" s="1620">
        <f>SUM(AD17)</f>
        <v>0</v>
      </c>
      <c r="AE18" s="1620">
        <f>SUM(AE17)</f>
        <v>0</v>
      </c>
      <c r="AF18" s="1620">
        <f t="shared" si="11"/>
        <v>0</v>
      </c>
      <c r="AG18" s="1620">
        <f t="shared" si="11"/>
        <v>0</v>
      </c>
      <c r="AH18" s="1620">
        <f t="shared" si="11"/>
        <v>0</v>
      </c>
      <c r="AI18" s="1620">
        <f t="shared" si="11"/>
        <v>0</v>
      </c>
      <c r="AJ18" s="1620">
        <f t="shared" si="11"/>
        <v>0</v>
      </c>
      <c r="AK18" s="1620">
        <f t="shared" si="11"/>
        <v>0</v>
      </c>
      <c r="AL18" s="1620">
        <f>SUM(AL17)</f>
        <v>0</v>
      </c>
      <c r="AM18" s="1620">
        <f t="shared" si="11"/>
        <v>0</v>
      </c>
      <c r="AN18" s="1620">
        <f t="shared" si="11"/>
        <v>0</v>
      </c>
      <c r="AO18" s="1620">
        <f t="shared" si="11"/>
        <v>0</v>
      </c>
      <c r="AP18" s="1620">
        <f t="shared" si="11"/>
        <v>0</v>
      </c>
      <c r="AQ18" s="1620">
        <f t="shared" si="11"/>
        <v>0</v>
      </c>
      <c r="AR18" s="1620">
        <f t="shared" si="11"/>
        <v>0</v>
      </c>
      <c r="AS18" s="1620">
        <f t="shared" si="11"/>
        <v>0</v>
      </c>
      <c r="AU18" s="1589"/>
      <c r="AV18" s="1619" t="s">
        <v>12285</v>
      </c>
      <c r="AW18" s="638">
        <f t="shared" ref="AW18:BD18" si="12">SUM(AW15:AW17)</f>
        <v>2</v>
      </c>
      <c r="AX18" s="638">
        <f t="shared" si="12"/>
        <v>4</v>
      </c>
      <c r="AY18" s="638">
        <f t="shared" si="12"/>
        <v>1</v>
      </c>
      <c r="AZ18" s="638">
        <f t="shared" si="12"/>
        <v>1</v>
      </c>
      <c r="BA18" s="638">
        <f t="shared" si="12"/>
        <v>2</v>
      </c>
      <c r="BB18" s="1289">
        <f t="shared" si="12"/>
        <v>2</v>
      </c>
      <c r="BC18" s="1285">
        <f t="shared" si="12"/>
        <v>15</v>
      </c>
      <c r="BD18" s="1286">
        <f t="shared" si="12"/>
        <v>16</v>
      </c>
    </row>
    <row r="19" spans="1:56" s="1383" customFormat="1" ht="13.5" thickBot="1">
      <c r="A19" s="1996"/>
      <c r="B19" s="1615"/>
      <c r="C19" s="1615"/>
      <c r="D19" s="1987"/>
      <c r="E19" s="1987"/>
      <c r="F19" s="1987"/>
      <c r="G19" s="1987"/>
      <c r="H19" s="1987"/>
      <c r="I19" s="1987"/>
      <c r="J19" s="1987"/>
      <c r="K19" s="1985"/>
      <c r="R19" s="1591" t="s">
        <v>12720</v>
      </c>
      <c r="S19" s="1394">
        <f>COUNTIFS(SurveyDATA!$BM:$BM,"*industrial*",SurveyDATA!$BN:$BN,"*STRUCTURE OWNER*",SurveyDATA!$A:$A,"*LEGAL*",SurveyDATA!$FQ:$FQ,"*STAY*")+COUNTIFS(SurveyDATA!$BM:$BM,"*INSTITUTIONAL*",SurveyDATA!$BN:$BN,"*STRUCTURE OWNER*",SurveyDATA!$A:$A,"*LEGAL*",SurveyDATA!$FQ:$FQ,"*STAY*")</f>
        <v>1</v>
      </c>
      <c r="T19" s="1394">
        <f>COUNTIFS(SurveyDATA!$BM:$BM,"*industrial*",SurveyDATA!$BN:$BN,"*STRUCTURE OWNER*",SurveyDATA!$A:$A,"*isf*",SurveyDATA!$FQ:$FQ,"*STAY*")+COUNTIFS(SurveyDATA!$BM:$BM,"*INSTITUTIONAL*",SurveyDATA!$BN:$BN,"*STRUCTURE OWNER*",SurveyDATA!$A:$A,"*isf*",SurveyDATA!$FQ:$FQ,"*STAY*")</f>
        <v>0</v>
      </c>
      <c r="U19" s="1592">
        <f t="shared" si="5"/>
        <v>1</v>
      </c>
      <c r="V19" s="1589"/>
      <c r="W19" s="1589"/>
      <c r="X19" s="1592">
        <f t="shared" si="6"/>
        <v>0</v>
      </c>
      <c r="Z19" s="1589" t="s">
        <v>5381</v>
      </c>
      <c r="AA19" s="1589" t="s">
        <v>5382</v>
      </c>
      <c r="AB19" s="1394">
        <f>COUNTIFS(SurveyDATA!$E:$E,"*TAAL*",SurveyDATA!$BM:$BM,"*RESIDENTIAL*",SurveyDATA!$BN:$BN,"*STRUCTURE OWNER*",SurveyDATA!$A:$A,"LEGAL",SurveyDATA!$FQ:$FQ,"*STAY*")</f>
        <v>0</v>
      </c>
      <c r="AC19" s="1394">
        <f>COUNTIFS(SurveyDATA!$E:$E,"*TAAL*",SurveyDATA!$BM:$BM,"*RESIDENTIAL*",SurveyDATA!$BN:$BN,"*STRUCTURE OWNER*",SurveyDATA!$A:$A,"LEGAL",SurveyDATA!$FQ:$FQ,"*NEED*")</f>
        <v>0</v>
      </c>
      <c r="AD19" s="1394">
        <f>COUNTIFS(SurveyDATA!$E:$E,"*TAAL*",SurveyDATA!$BM:$BM,"*MIXED*",SurveyDATA!$BN:$BN,"*STRUCTURE OWNER*",SurveyDATA!$A:$A,"LEGAL",SurveyDATA!$FQ:$FQ,"*STAY*")</f>
        <v>0</v>
      </c>
      <c r="AE19" s="1394">
        <f>COUNTIFS(SurveyDATA!$E:$E,"*TAAL*",SurveyDATA!$BM:$BM,"*MIXED*",SurveyDATA!$BN:$BN,"*STRUCTURE OWNER*",SurveyDATA!$A:$A,"LEGAL",SurveyDATA!$FQ:$FQ,"*NEED*")</f>
        <v>0</v>
      </c>
      <c r="AF19" s="1394">
        <f>COUNTIFS(SurveyDATA!$E:$E,"*TAAL*",SurveyDATA!$BM:$BM,"*COMMERICIAL*",SurveyDATA!$BN:$BN,"*STRUCTURE OWNER*",SurveyDATA!$A:$A,"LEGAL",SurveyDATA!$FQ:$FQ,"*STAY*")</f>
        <v>0</v>
      </c>
      <c r="AG19" s="1394">
        <f>COUNTIFS(SurveyDATA!$E:$E,"*TAAL*",SurveyDATA!$BM:$BM,"*COMMERCIAL*",SurveyDATA!$BN:$BN,"*STRUCTURE OWNER*",SurveyDATA!$A:$A,"LEGAL",SurveyDATA!$FQ:$FQ,"*NEED*")</f>
        <v>0</v>
      </c>
      <c r="AH19" s="1394">
        <f>COUNTIFS(SurveyDATA!$E:$E,"*TAAL*",SurveyDATA!$BM:$BM,"*INSTITUTIONAL*",SurveyDATA!$BN:$BN,"*STRUCTURE OWNER*",SurveyDATA!$A:$A,"LEGAL",SurveyDATA!$FQ:$FQ,"*STAY*")</f>
        <v>0</v>
      </c>
      <c r="AI19" s="1394">
        <f>COUNTIFS(SurveyDATA!$E:$E,"*TAAL*",SurveyDATA!$BM:$BM,"*INSTITUTIONAL*",SurveyDATA!$BN:$BN,"*STRUCTURE OWNER*",SurveyDATA!$A:$A,"LEGAL",SurveyDATA!$FQ:$FQ,"*NEED*")</f>
        <v>0</v>
      </c>
      <c r="AJ19" s="1394">
        <f>COUNTIFS(SurveyDATA!$E:$E,"*TAAL*",SurveyDATA!$BM:$BM,"RESIDENTIAL*",SurveyDATA!$BN:$BN,"*STRUCTURE RENTER*",SurveyDATA!$A:$A,"LEGAL",SurveyDATA!$FQ:$FQ,"*STAY*")</f>
        <v>0</v>
      </c>
      <c r="AK19" s="1394">
        <f>COUNTIFS(SurveyDATA!$E:$E,"*TAAL*",SurveyDATA!$BM:$BM,"RESIDENTIAL*",SurveyDATA!$BN:$BN,"*STRUCTURE RENTER*",SurveyDATA!$A:$A,"LEGAL",SurveyDATA!$FQ:$FQ,"*NEED*")</f>
        <v>0</v>
      </c>
      <c r="AL19" s="1394">
        <f>COUNTIFS(SurveyDATA!$E:$E,"*TAAL*",SurveyDATA!$BM:$BM,"RESIDENTIAL*",SurveyDATA!$BN:$BN,"*STRUCTURE OWNER*",SurveyDATA!$A:$A,"LEGAL",SurveyDATA!$FQ:$FQ,"*STAY*",SurveyDATA!BL:BL,"*ABSENTEE*")</f>
        <v>0</v>
      </c>
      <c r="AM19" s="1394">
        <f>COUNTIFS(SurveyDATA!$E:$E,"*TAAL*",SurveyDATA!$BM:$BM,"RESIDENTIAL*",SurveyDATA!$BN:$BN,"*STRUCTURE OWNER*",SurveyDATA!$A:$A,"LEGAL",SurveyDATA!$FQ:$FQ,"*NEED*",SurveyDATA!BL:BL,"*ABSENTEE*")</f>
        <v>0</v>
      </c>
      <c r="AN19" s="1395">
        <f>COUNTIFS(SurveyDATA!A:A,"*LEGAL*",SurveyDATA!E:E,"*TAAL*",SurveyDATA!AK:AK,"LAND OWNER",SurveyDATA!AN:AN,"&lt;20%",SurveyDATA!BL:BL,"")</f>
        <v>0</v>
      </c>
      <c r="AO19" s="1395">
        <f>COUNTIFS(SurveyDATA!A:A,"*LEGAL*",SurveyDATA!E:E,"*TAAL*",SurveyDATA!AK:AK,"LAND OWNER",SurveyDATA!AN:AN,"&gt;20%",SurveyDATA!BL:BL,"")</f>
        <v>0</v>
      </c>
      <c r="AP19" s="1616"/>
      <c r="AQ19" s="1616"/>
      <c r="AR19" s="1395">
        <f t="shared" ref="AR19:AS21" si="13">SUM(AP19,AN19,AL19,AJ19,AH19,AF19,AJ19,AD19,AB19,)</f>
        <v>0</v>
      </c>
      <c r="AS19" s="1395">
        <f t="shared" si="13"/>
        <v>0</v>
      </c>
      <c r="AU19" s="1589" t="s">
        <v>5381</v>
      </c>
      <c r="AV19" s="1589" t="s">
        <v>5382</v>
      </c>
      <c r="AW19" s="1283">
        <f>COUNTIFS(SurveyDATA!A:A,"*ISF*",SurveyDATA!E:E,"*TAAL*",SurveyDATA!BM:BM,"*RESiDENTIAL*",SurveyDATA!BN:BN,"*STRUCTURE OWNER*",SurveyDATA!FQ:FQ,"*STAY*")</f>
        <v>0</v>
      </c>
      <c r="AX19" s="1284">
        <f>COUNTIFS(SurveyDATA!A:A,"*ISF*",SurveyDATA!E:E,"*TAAL*",SurveyDATA!BM:BM,"*RESiDENTIAL*",SurveyDATA!BN:BN,"*STRUCTURE OWNER*",SurveyDATA!FQ:FQ,"*NEED*")</f>
        <v>0</v>
      </c>
      <c r="AY19" s="1284">
        <f>COUNTIFS(SurveyDATA!A:A,"*ISF*",SurveyDATA!E:E,"*TAAL*",SurveyDATA!BM:BM,"*COMMERCIAL*",SurveyDATA!BN:BN,"*STRUCTURE OWNER*",SurveyDATA!FQ:FQ,"*STAY*")</f>
        <v>0</v>
      </c>
      <c r="AZ19" s="1284">
        <f>COUNTIFS(SurveyDATA!A:A,"*ISF*",SurveyDATA!E:E,"*TABANG*",SurveyDATA!BM:BM,"*COMMERCIAL*",SurveyDATA!BN:BN,"*STRUCTURE OWNER*",SurveyDATA!FQ:FQ,"*NEED*")</f>
        <v>0</v>
      </c>
      <c r="BA19" s="1149"/>
      <c r="BB19" s="1230"/>
      <c r="BC19" s="1634">
        <f t="shared" ref="BC19:BD21" si="14">SUM(AW18,AY18,BA18,)</f>
        <v>5</v>
      </c>
      <c r="BD19" s="1635">
        <f t="shared" si="14"/>
        <v>7</v>
      </c>
    </row>
    <row r="20" spans="1:56" s="1383" customFormat="1">
      <c r="A20" s="1996"/>
      <c r="B20" s="1607"/>
      <c r="C20" s="1607"/>
      <c r="D20" s="1986"/>
      <c r="E20" s="1986"/>
      <c r="F20" s="1986"/>
      <c r="G20" s="1986"/>
      <c r="H20" s="1986"/>
      <c r="I20" s="1986"/>
      <c r="J20" s="1986"/>
      <c r="K20" s="1984"/>
      <c r="R20" s="1593" t="s">
        <v>12285</v>
      </c>
      <c r="S20" s="1594">
        <f t="shared" ref="S20:X20" si="15">SUM(S12:S19)</f>
        <v>125</v>
      </c>
      <c r="T20" s="1594">
        <f t="shared" si="15"/>
        <v>54</v>
      </c>
      <c r="U20" s="1594">
        <f t="shared" si="15"/>
        <v>179</v>
      </c>
      <c r="V20" s="1594" t="e">
        <f t="shared" si="15"/>
        <v>#REF!</v>
      </c>
      <c r="W20" s="1594" t="e">
        <f t="shared" si="15"/>
        <v>#REF!</v>
      </c>
      <c r="X20" s="1594" t="e">
        <f t="shared" si="15"/>
        <v>#REF!</v>
      </c>
      <c r="Z20" s="1589"/>
      <c r="AA20" s="1589" t="s">
        <v>12692</v>
      </c>
      <c r="AB20" s="1394">
        <f>COUNTIFS(SurveyDATA!$E:$E,"*IGULOT*",SurveyDATA!$BM:$BM,"*RESIDENTIAL*",SurveyDATA!$BN:$BN,"*STRUCTURE OWNER*",SurveyDATA!$A:$A,"LEGAL",SurveyDATA!$FQ:$FQ,"*STAY*")</f>
        <v>0</v>
      </c>
      <c r="AC20" s="1394">
        <f>COUNTIFS(SurveyDATA!$E:$E,"*IGULOT*",SurveyDATA!$BM:$BM,"*RESIDENTIAL*",SurveyDATA!$BN:$BN,"*STRUCTURE OWNER*",SurveyDATA!$A:$A,"LEGAL",SurveyDATA!$FQ:$FQ,"*NEED*")</f>
        <v>0</v>
      </c>
      <c r="AD20" s="1394">
        <f>COUNTIFS(SurveyDATA!$E:$E,"*IGULOT*",SurveyDATA!$BM:$BM,"*MIXED*",SurveyDATA!$BN:$BN,"*STRUCTURE OWNER*",SurveyDATA!$A:$A,"LEGAL",SurveyDATA!$FQ:$FQ,"*STAY*")</f>
        <v>0</v>
      </c>
      <c r="AE20" s="1394">
        <f>COUNTIFS(SurveyDATA!$E:$E,"*IGULOT*",SurveyDATA!$BM:$BM,"*MIXED*",SurveyDATA!$BN:$BN,"*STRUCTURE OWNER*",SurveyDATA!$A:$A,"LEGAL",SurveyDATA!$FQ:$FQ,"*NEED*")</f>
        <v>0</v>
      </c>
      <c r="AF20" s="1394">
        <f>COUNTIFS(SurveyDATA!$E:$E,"*IGULOT*",SurveyDATA!$BM:$BM,"*COMMERICIAL*",SurveyDATA!$BN:$BN,"*STRUCTURE OWNER*",SurveyDATA!$A:$A,"LEGAL",SurveyDATA!$FQ:$FQ,"*STAY*")</f>
        <v>0</v>
      </c>
      <c r="AG20" s="1394">
        <f>COUNTIFS(SurveyDATA!$E:$E,"*IGULOT*",SurveyDATA!$BM:$BM,"*COMMERCIAL*",SurveyDATA!$BN:$BN,"*STRUCTURE OWNER*",SurveyDATA!$A:$A,"LEGAL",SurveyDATA!$FQ:$FQ,"*NEED*")</f>
        <v>0</v>
      </c>
      <c r="AH20" s="1394">
        <f>COUNTIFS(SurveyDATA!$E:$E,"*IGULOT*",SurveyDATA!$BM:$BM,"*INSTITUTIONAL*",SurveyDATA!$BN:$BN,"*STRUCTURE OWNER*",SurveyDATA!$A:$A,"LEGAL",SurveyDATA!$FQ:$FQ,"*STAY*")</f>
        <v>0</v>
      </c>
      <c r="AI20" s="1394">
        <f>COUNTIFS(SurveyDATA!$E:$E,"*IGULOT*",SurveyDATA!$BM:$BM,"*INSTITUTIONAL*",SurveyDATA!$BN:$BN,"*STRUCTURE OWNER*",SurveyDATA!$A:$A,"LEGAL",SurveyDATA!$FQ:$FQ,"*NEED*")</f>
        <v>0</v>
      </c>
      <c r="AJ20" s="1394">
        <f>COUNTIFS(SurveyDATA!$E:$E,"*IGULOT*",SurveyDATA!$BM:$BM,"RESIDENTIAL*",SurveyDATA!$BN:$BN,"*STRUCTURE RENTER*",SurveyDATA!$A:$A,"LEGAL",SurveyDATA!$FQ:$FQ,"*STAY*")</f>
        <v>0</v>
      </c>
      <c r="AK20" s="1394">
        <f>COUNTIFS(SurveyDATA!$E:$E,"*IGULOT*",SurveyDATA!$BM:$BM,"RESIDENTIAL*",SurveyDATA!$BN:$BN,"*STRUCTURE RENTER*",SurveyDATA!$A:$A,"LEGAL",SurveyDATA!$FQ:$FQ,"*NEED*")</f>
        <v>0</v>
      </c>
      <c r="AL20" s="1394">
        <f>COUNTIFS(SurveyDATA!$E:$E,"*IGULOT*",SurveyDATA!$BM:$BM,"RESIDENTIAL*",SurveyDATA!$BN:$BN,"*STRUCTURE OWNER*",SurveyDATA!$A:$A,"LEGAL",SurveyDATA!$FQ:$FQ,"*STAY*",SurveyDATA!BL:BL,"*ABSENTEE*")</f>
        <v>0</v>
      </c>
      <c r="AM20" s="1394">
        <f>COUNTIFS(SurveyDATA!$E:$E,"*IGULOT*",SurveyDATA!$BM:$BM,"RESIDENTIAL*",SurveyDATA!$BN:$BN,"*STRUCTURE OWNER*",SurveyDATA!$A:$A,"LEGAL",SurveyDATA!$FQ:$FQ,"*NEED*",SurveyDATA!BL:BL,"*ABSENTEE*")</f>
        <v>0</v>
      </c>
      <c r="AN20" s="1395">
        <f>COUNTIFS(SurveyDATA!A:A,"*LEGAL*",SurveyDATA!E:E,"*IGULOT*",SurveyDATA!AK:AK,"LAND OWNER",SurveyDATA!AN:AN,"&lt;20%",SurveyDATA!BL:BL,"")</f>
        <v>0</v>
      </c>
      <c r="AO20" s="1395">
        <f>COUNTIFS(SurveyDATA!A:A,"*LEGAL*",SurveyDATA!E:E,"*IGULOT*",SurveyDATA!AK:AK,"LAND OWNER",SurveyDATA!AN:AN,"&gt;20%",SurveyDATA!BL:BL,"")</f>
        <v>0</v>
      </c>
      <c r="AP20" s="1616"/>
      <c r="AQ20" s="1616"/>
      <c r="AR20" s="1395">
        <f t="shared" si="13"/>
        <v>0</v>
      </c>
      <c r="AS20" s="1395">
        <f t="shared" si="13"/>
        <v>0</v>
      </c>
      <c r="AU20" s="1589"/>
      <c r="AV20" s="1589" t="s">
        <v>12692</v>
      </c>
      <c r="AW20" s="1283">
        <f>COUNTIFS(SurveyDATA!A:A,"*ISF*",SurveyDATA!E:E,"*IGULOT*",SurveyDATA!BM:BM,"*RESiDENTIAL*",SurveyDATA!BN:BN,"*STRUCTURE OWNER*",SurveyDATA!FQ:FQ,"*STAY*")</f>
        <v>0</v>
      </c>
      <c r="AX20" s="1284">
        <f>COUNTIFS(SurveyDATA!A:A,"*ISF*",SurveyDATA!E:E,"*IGULOT*",SurveyDATA!BM:BM,"*RESiDENTIAL*",SurveyDATA!BN:BN,"*STRUCTURE OWNER*",SurveyDATA!FQ:FQ,"*NEED*")</f>
        <v>0</v>
      </c>
      <c r="AY20" s="1284">
        <f>COUNTIFS(SurveyDATA!A:A,"*ISF*",SurveyDATA!E:E,"*IGULOT*",SurveyDATA!BM:BM,"*COMMERCIAL*",SurveyDATA!BN:BN,"*STRUCTURE OWNER*",SurveyDATA!FQ:FQ,"*STAY*")</f>
        <v>0</v>
      </c>
      <c r="AZ20" s="1284">
        <f>COUNTIFS(SurveyDATA!A:A,"*ISF*",SurveyDATA!E:E,"*IGULOT*",SurveyDATA!BM:BM,"*COMMERCIAL*",SurveyDATA!BN:BN,"*STRUCTURE OWNER*",SurveyDATA!FQ:FQ,"*NEED*")</f>
        <v>0</v>
      </c>
      <c r="BA20" s="1149"/>
      <c r="BB20" s="1230"/>
      <c r="BC20" s="1634">
        <f t="shared" si="14"/>
        <v>0</v>
      </c>
      <c r="BD20" s="1635">
        <f t="shared" si="14"/>
        <v>0</v>
      </c>
    </row>
    <row r="21" spans="1:56" s="1383" customFormat="1" ht="13.5" thickBot="1">
      <c r="A21" s="1996"/>
      <c r="B21" s="1615"/>
      <c r="C21" s="1615"/>
      <c r="D21" s="1987"/>
      <c r="E21" s="1987"/>
      <c r="F21" s="1987"/>
      <c r="G21" s="1987"/>
      <c r="H21" s="1987"/>
      <c r="I21" s="1987"/>
      <c r="J21" s="1987"/>
      <c r="K21" s="1985"/>
      <c r="R21" s="1597" t="s">
        <v>5824</v>
      </c>
      <c r="S21" s="1598">
        <f>SUM(S20,S10)</f>
        <v>208</v>
      </c>
      <c r="T21" s="1598">
        <f>SUM(T20,T10)</f>
        <v>205</v>
      </c>
      <c r="U21" s="1592">
        <f>SUM(S21,T21)</f>
        <v>413</v>
      </c>
      <c r="V21" s="1598" t="e">
        <f>SUM(V20,V10)</f>
        <v>#REF!</v>
      </c>
      <c r="W21" s="1598" t="e">
        <f>SUM(W20,W10)</f>
        <v>#REF!</v>
      </c>
      <c r="X21" s="1592" t="e">
        <f>SUM(V21,W21)</f>
        <v>#REF!</v>
      </c>
      <c r="Z21" s="1589"/>
      <c r="AA21" s="1589" t="s">
        <v>5384</v>
      </c>
      <c r="AB21" s="1394">
        <f>COUNTIFS(SurveyDATA!$E:$E,"*BUNDUKAN*",SurveyDATA!$BM:$BM,"*RESIDENTIAL*",SurveyDATA!$BN:$BN,"*STRUCTURE OWNER*",SurveyDATA!$A:$A,"LEGAL",SurveyDATA!$FQ:$FQ,"*STAY*")</f>
        <v>0</v>
      </c>
      <c r="AC21" s="1394">
        <f>COUNTIFS(SurveyDATA!$E:$E,"*BUNDUKAN*",SurveyDATA!$BM:$BM,"*RESIDENTIAL*",SurveyDATA!$BN:$BN,"*STRUCTURE OWNER*",SurveyDATA!$A:$A,"LEGAL",SurveyDATA!$FQ:$FQ,"*NEED*")</f>
        <v>0</v>
      </c>
      <c r="AD21" s="1394">
        <f>COUNTIFS(SurveyDATA!$E:$E,"*BUNDUKAN*",SurveyDATA!$BM:$BM,"*MIXED*",SurveyDATA!$BN:$BN,"*STRUCTURE OWNER*",SurveyDATA!$A:$A,"LEGAL",SurveyDATA!$FQ:$FQ,"*STAY*")</f>
        <v>0</v>
      </c>
      <c r="AE21" s="1394">
        <f>COUNTIFS(SurveyDATA!$E:$E,"*BUNDUKAN*",SurveyDATA!$BM:$BM,"*MIXED*",SurveyDATA!$BN:$BN,"*STRUCTURE OWNER*",SurveyDATA!$A:$A,"LEGAL",SurveyDATA!$FQ:$FQ,"*NEED*")</f>
        <v>0</v>
      </c>
      <c r="AF21" s="1394">
        <f>COUNTIFS(SurveyDATA!$E:$E,"*BUNDUKAN*",SurveyDATA!$BM:$BM,"*COMMERICIAL*",SurveyDATA!$BN:$BN,"*STRUCTURE OWNER*",SurveyDATA!$A:$A,"LEGAL",SurveyDATA!$FQ:$FQ,"*STAY*")</f>
        <v>0</v>
      </c>
      <c r="AG21" s="1394">
        <f>COUNTIFS(SurveyDATA!$E:$E,"*BUNDUKAN*",SurveyDATA!$BM:$BM,"*COMMERCIAL*",SurveyDATA!$BN:$BN,"*STRUCTURE OWNER*",SurveyDATA!$A:$A,"LEGAL",SurveyDATA!$FQ:$FQ,"*NEED*")</f>
        <v>0</v>
      </c>
      <c r="AH21" s="1394">
        <f>COUNTIFS(SurveyDATA!$E:$E,"*BUNDUKAN*",SurveyDATA!$BM:$BM,"*INSTITUTIONAL*",SurveyDATA!$BN:$BN,"*STRUCTURE OWNER*",SurveyDATA!$A:$A,"LEGAL",SurveyDATA!$FQ:$FQ,"*STAY*")</f>
        <v>0</v>
      </c>
      <c r="AI21" s="1394">
        <f>COUNTIFS(SurveyDATA!$E:$E,"*BUNDUKAN*",SurveyDATA!$BM:$BM,"*INSTITUTIONAL*",SurveyDATA!$BN:$BN,"*STRUCTURE OWNER*",SurveyDATA!$A:$A,"LEGAL",SurveyDATA!$FQ:$FQ,"*NEED*")</f>
        <v>0</v>
      </c>
      <c r="AJ21" s="1394">
        <f>COUNTIFS(SurveyDATA!$E:$E,"*BUNDUKAN*",SurveyDATA!$BM:$BM,"RESIDENTIAL*",SurveyDATA!$BN:$BN,"*STRUCTURE RENTER*",SurveyDATA!$A:$A,"LEGAL",SurveyDATA!$FQ:$FQ,"*STAY*")</f>
        <v>0</v>
      </c>
      <c r="AK21" s="1394">
        <f>COUNTIFS(SurveyDATA!$E:$E,"*CATBUNDUKANMON*",SurveyDATA!$BM:$BM,"RESIDENTIAL*",SurveyDATA!$BN:$BN,"*STRUCTURE RENTER*",SurveyDATA!$A:$A,"LEGAL",SurveyDATA!$FQ:$FQ,"*NEED*")</f>
        <v>0</v>
      </c>
      <c r="AL21" s="1394">
        <f>COUNTIFS(SurveyDATA!$E:$E,"*BUNDUKAN*",SurveyDATA!$BM:$BM,"RESIDENTIAL*",SurveyDATA!$BN:$BN,"*STRUCTURE OWNER*",SurveyDATA!$A:$A,"LEGAL",SurveyDATA!$FQ:$FQ,"*STAY*",SurveyDATA!BL:BL,"*ABSENTEE*")</f>
        <v>0</v>
      </c>
      <c r="AM21" s="1394">
        <f>COUNTIFS(SurveyDATA!$E:$E,"*BUNDUKAN*",SurveyDATA!$BM:$BM,"RESIDENTIAL*",SurveyDATA!$BN:$BN,"*STRUCTURE OWNER*",SurveyDATA!$A:$A,"LEGAL",SurveyDATA!$FQ:$FQ,"*NEED*",SurveyDATA!BL:BL,"*ABSENTEE*")</f>
        <v>0</v>
      </c>
      <c r="AN21" s="1395">
        <f>COUNTIFS(SurveyDATA!A:A,"*LEGAL*",SurveyDATA!E:E,"*BUNDUKAN*",SurveyDATA!AK:AK,"LAND OWNER",SurveyDATA!AN:AN,"&lt;20%",SurveyDATA!BL:BL,"")</f>
        <v>1</v>
      </c>
      <c r="AO21" s="1395">
        <f>COUNTIFS(SurveyDATA!A:A,"*LEGAL*",SurveyDATA!E:E,"*BUNDUKAN*",SurveyDATA!AK:AK,"LAND OWNER",SurveyDATA!AN:AN,"&gt;20%",SurveyDATA!BL:BL,"")</f>
        <v>0</v>
      </c>
      <c r="AP21" s="1616"/>
      <c r="AQ21" s="1616"/>
      <c r="AR21" s="1395">
        <f t="shared" si="13"/>
        <v>1</v>
      </c>
      <c r="AS21" s="1395">
        <f t="shared" si="13"/>
        <v>0</v>
      </c>
      <c r="AU21" s="1589"/>
      <c r="AV21" s="1589" t="s">
        <v>5384</v>
      </c>
      <c r="AW21" s="1283">
        <f>COUNTIFS(SurveyDATA!A:A,"*ISF*",SurveyDATA!E:E,"*BUNDUKAN*",SurveyDATA!BM:BM,"*RESiDENTIAL*",SurveyDATA!BN:BN,"*STRUCTURE OWNER*",SurveyDATA!FQ:FQ,"*STAY*")</f>
        <v>0</v>
      </c>
      <c r="AX21" s="1284">
        <f>COUNTIFS(SurveyDATA!A:A,"*ISF*",SurveyDATA!E:E,"*BUNDUKAN*",SurveyDATA!BM:BM,"*RESiDENTIAL*",SurveyDATA!BN:BN,"*STRUCTURE OWNER*",SurveyDATA!FQ:FQ,"*NEED*")</f>
        <v>0</v>
      </c>
      <c r="AY21" s="1284">
        <f>COUNTIFS(SurveyDATA!A:A,"*ISF*",SurveyDATA!E:E,"*BUNDUKAN*",SurveyDATA!BM:BM,"*COMMERCIAL*",SurveyDATA!BN:BN,"*STRUCTURE OWNER*",SurveyDATA!FQ:FQ,"*STAY*")</f>
        <v>0</v>
      </c>
      <c r="AZ21" s="1284">
        <f>COUNTIFS(SurveyDATA!A:A,"*ISF*",SurveyDATA!E:E,"*BUNDUKAN*",SurveyDATA!BM:BM,"*COMMERCIAL*",SurveyDATA!BN:BN,"*STRUCTURE OWNER*",SurveyDATA!FQ:FQ,"*NEED*")</f>
        <v>0</v>
      </c>
      <c r="BA21" s="1149"/>
      <c r="BB21" s="1230"/>
      <c r="BC21" s="1634">
        <f t="shared" si="14"/>
        <v>0</v>
      </c>
      <c r="BD21" s="1635">
        <f t="shared" si="14"/>
        <v>0</v>
      </c>
    </row>
    <row r="22" spans="1:56" s="1383" customFormat="1">
      <c r="A22" s="1996"/>
      <c r="B22" s="1607"/>
      <c r="C22" s="1607"/>
      <c r="D22" s="1986"/>
      <c r="E22" s="1986"/>
      <c r="F22" s="1986"/>
      <c r="G22" s="1986"/>
      <c r="H22" s="1986"/>
      <c r="I22" s="1986"/>
      <c r="J22" s="1986"/>
      <c r="K22" s="1984"/>
      <c r="Z22" s="1589"/>
      <c r="AA22" s="1619" t="s">
        <v>12285</v>
      </c>
      <c r="AB22" s="1620">
        <f>SUM(AB19:AB21)</f>
        <v>0</v>
      </c>
      <c r="AC22" s="1620">
        <f t="shared" ref="AC22:AS22" si="16">SUM(AC19:AC21)</f>
        <v>0</v>
      </c>
      <c r="AD22" s="1620">
        <f>SUM(AD19:AD21)</f>
        <v>0</v>
      </c>
      <c r="AE22" s="1620">
        <f>SUM(AE19:AE21)</f>
        <v>0</v>
      </c>
      <c r="AF22" s="1620">
        <f t="shared" si="16"/>
        <v>0</v>
      </c>
      <c r="AG22" s="1620">
        <f t="shared" si="16"/>
        <v>0</v>
      </c>
      <c r="AH22" s="1620">
        <f t="shared" si="16"/>
        <v>0</v>
      </c>
      <c r="AI22" s="1620">
        <f t="shared" si="16"/>
        <v>0</v>
      </c>
      <c r="AJ22" s="1620">
        <f t="shared" si="16"/>
        <v>0</v>
      </c>
      <c r="AK22" s="1620">
        <f t="shared" si="16"/>
        <v>0</v>
      </c>
      <c r="AL22" s="1620">
        <f>SUM(AL19:AL21)</f>
        <v>0</v>
      </c>
      <c r="AM22" s="1620">
        <f t="shared" si="16"/>
        <v>0</v>
      </c>
      <c r="AN22" s="1620">
        <f t="shared" si="16"/>
        <v>1</v>
      </c>
      <c r="AO22" s="1620">
        <f t="shared" si="16"/>
        <v>0</v>
      </c>
      <c r="AP22" s="1620">
        <f t="shared" si="16"/>
        <v>0</v>
      </c>
      <c r="AQ22" s="1620">
        <f t="shared" si="16"/>
        <v>0</v>
      </c>
      <c r="AR22" s="1620">
        <f t="shared" si="16"/>
        <v>1</v>
      </c>
      <c r="AS22" s="1620">
        <f t="shared" si="16"/>
        <v>0</v>
      </c>
      <c r="AU22" s="1589"/>
      <c r="AV22" s="1619" t="s">
        <v>12285</v>
      </c>
      <c r="AW22" s="638">
        <f>SUM(AW19:AW21)</f>
        <v>0</v>
      </c>
      <c r="AX22" s="638">
        <f t="shared" ref="AX22:BD22" si="17">SUM(AX19:AX21)</f>
        <v>0</v>
      </c>
      <c r="AY22" s="638">
        <f t="shared" si="17"/>
        <v>0</v>
      </c>
      <c r="AZ22" s="638">
        <f t="shared" si="17"/>
        <v>0</v>
      </c>
      <c r="BA22" s="638">
        <f t="shared" si="17"/>
        <v>0</v>
      </c>
      <c r="BB22" s="1289">
        <f t="shared" si="17"/>
        <v>0</v>
      </c>
      <c r="BC22" s="1285">
        <f t="shared" si="17"/>
        <v>5</v>
      </c>
      <c r="BD22" s="1286">
        <f t="shared" si="17"/>
        <v>7</v>
      </c>
    </row>
    <row r="23" spans="1:56" s="1383" customFormat="1" ht="13.5" thickBot="1">
      <c r="A23" s="1996"/>
      <c r="B23" s="1615"/>
      <c r="C23" s="1615"/>
      <c r="D23" s="1987"/>
      <c r="E23" s="1987"/>
      <c r="F23" s="1987"/>
      <c r="G23" s="1987"/>
      <c r="H23" s="1987"/>
      <c r="I23" s="1987"/>
      <c r="J23" s="1987"/>
      <c r="K23" s="1985"/>
      <c r="Z23" s="1589" t="s">
        <v>5385</v>
      </c>
      <c r="AA23" s="1589" t="s">
        <v>5387</v>
      </c>
      <c r="AB23" s="1394">
        <f>COUNTIFS(SurveyDATA!$E:$E,"*NORTE*",SurveyDATA!$BM:$BM,"*RESIDENTIAL*",SurveyDATA!$BN:$BN,"*STRUCTURE OWNER*",SurveyDATA!$A:$A,"LEGAL",SurveyDATA!$FQ:$FQ,"*STAY*")</f>
        <v>0</v>
      </c>
      <c r="AC23" s="1394">
        <f>COUNTIFS(SurveyDATA!$E:$E,"*NORTE*",SurveyDATA!$BM:$BM,"*RESIDENTIAL*",SurveyDATA!$BN:$BN,"*STRUCTURE OWNER*",SurveyDATA!$A:$A,"LEGAL",SurveyDATA!$FQ:$FQ,"*NEED*")</f>
        <v>0</v>
      </c>
      <c r="AD23" s="1394">
        <f>COUNTIFS(SurveyDATA!$E:$E,"*NORTE*",SurveyDATA!$BM:$BM,"*MIXED*",SurveyDATA!$BN:$BN,"*STRUCTURE OWNER*",SurveyDATA!$A:$A,"LEGAL",SurveyDATA!$FQ:$FQ,"*STAY*")</f>
        <v>0</v>
      </c>
      <c r="AE23" s="1394">
        <f>COUNTIFS(SurveyDATA!$E:$E,"*NORTE*",SurveyDATA!$BM:$BM,"*MIXED*",SurveyDATA!$BN:$BN,"*STRUCTURE OWNER*",SurveyDATA!$A:$A,"LEGAL",SurveyDATA!$FQ:$FQ,"*NEED*")</f>
        <v>0</v>
      </c>
      <c r="AF23" s="1394">
        <f>COUNTIFS(SurveyDATA!$E:$E,"*NORTE*",SurveyDATA!$BM:$BM,"*COMMERICIAL*",SurveyDATA!$BN:$BN,"*STRUCTURE OWNER*",SurveyDATA!$A:$A,"LEGAL",SurveyDATA!$FQ:$FQ,"*STAY*")</f>
        <v>0</v>
      </c>
      <c r="AG23" s="1394">
        <f>COUNTIFS(SurveyDATA!$E:$E,"*NORTE*",SurveyDATA!$BM:$BM,"*COMMERCIAL*",SurveyDATA!$BN:$BN,"*STRUCTURE OWNER*",SurveyDATA!$A:$A,"LEGAL",SurveyDATA!$FQ:$FQ,"*NEED*")</f>
        <v>0</v>
      </c>
      <c r="AH23" s="1394">
        <f>COUNTIFS(SurveyDATA!$E:$E,"*NORTE*",SurveyDATA!$BM:$BM,"*INSTITUTIONAL*",SurveyDATA!$BN:$BN,"*STRUCTURE OWNER*",SurveyDATA!$A:$A,"LEGAL",SurveyDATA!$FQ:$FQ,"*STAY*")</f>
        <v>0</v>
      </c>
      <c r="AI23" s="1394">
        <f>COUNTIFS(SurveyDATA!$E:$E,"*NORTE*",SurveyDATA!$BM:$BM,"*INSTITUTIONAL*",SurveyDATA!$BN:$BN,"*STRUCTURE OWNER*",SurveyDATA!$A:$A,"LEGAL",SurveyDATA!$FQ:$FQ,"*NEED*")</f>
        <v>0</v>
      </c>
      <c r="AJ23" s="1394">
        <f>COUNTIFS(SurveyDATA!$E:$E,"*NORTE*",SurveyDATA!$BM:$BM,"RESIDENTIAL*",SurveyDATA!$BN:$BN,"*STRUCTURE RENTER*",SurveyDATA!$A:$A,"LEGAL",SurveyDATA!$FQ:$FQ,"*STAY*")</f>
        <v>0</v>
      </c>
      <c r="AK23" s="1394">
        <f>COUNTIFS(SurveyDATA!$E:$E,"*NORTE*",SurveyDATA!$BM:$BM,"RESIDENTIAL*",SurveyDATA!$BN:$BN,"*STRUCTURE RENTER*",SurveyDATA!$A:$A,"LEGAL",SurveyDATA!$FQ:$FQ,"*NEED*")</f>
        <v>0</v>
      </c>
      <c r="AL23" s="1394">
        <f>COUNTIFS(SurveyDATA!$E:$E,"*NORTE*",SurveyDATA!$BM:$BM,"RESIDENTIAL*",SurveyDATA!$BN:$BN,"*STRUCTURE OWNER*",SurveyDATA!$A:$A,"LEGAL",SurveyDATA!$FQ:$FQ,"*STAY*",SurveyDATA!BL:BL,"*ABSENTEE*")</f>
        <v>0</v>
      </c>
      <c r="AM23" s="1394">
        <f>COUNTIFS(SurveyDATA!$E:$E,"*NORTE*",SurveyDATA!$BM:$BM,"RESIDENTIAL*",SurveyDATA!$BN:$BN,"*STRUCTURE OWNER*",SurveyDATA!$A:$A,"LEGAL",SurveyDATA!$FQ:$FQ,"*NEED*",SurveyDATA!BL:BL,"*ABSENTEE*")</f>
        <v>0</v>
      </c>
      <c r="AN23" s="1395">
        <f>COUNTIFS(SurveyDATA!A:A,"*LEGAL*",SurveyDATA!E:E,"*NORTE*",SurveyDATA!AK:AK,"LAND OWNER",SurveyDATA!AN:AN,"&lt;20%",SurveyDATA!BL:BL,"")</f>
        <v>0</v>
      </c>
      <c r="AO23" s="1395">
        <f>COUNTIFS(SurveyDATA!A:A,"*LEGAL*",SurveyDATA!E:E,"*NORTE*",SurveyDATA!AK:AK,"LAND OWNER",SurveyDATA!AN:AN,"&gt;20%",SurveyDATA!BL:BL,"")</f>
        <v>0</v>
      </c>
      <c r="AP23" s="1616"/>
      <c r="AQ23" s="1616"/>
      <c r="AR23" s="1395">
        <f t="shared" ref="AR23:AS25" si="18">SUM(AP23,AN23,AL23,AJ23,AH23,AF23,AJ23,AD23,AB23,)</f>
        <v>0</v>
      </c>
      <c r="AS23" s="1395">
        <f t="shared" si="18"/>
        <v>0</v>
      </c>
      <c r="AU23" s="1589" t="s">
        <v>5385</v>
      </c>
      <c r="AV23" s="1589" t="s">
        <v>5387</v>
      </c>
      <c r="AW23" s="1283">
        <f>COUNTIFS(SurveyDATA!A:A,"*ISF*",SurveyDATA!E:E,"*NORTE*",SurveyDATA!BM:BM,"*RESiDENTIAL*",SurveyDATA!BN:BN,"*STRUCTURE OWNER*",SurveyDATA!FQ:FQ,"*STAY*")</f>
        <v>0</v>
      </c>
      <c r="AX23" s="1284">
        <f>COUNTIFS(SurveyDATA!A:A,"*ISF*",SurveyDATA!E:E,"*NORTE*",SurveyDATA!BM:BM,"*RESiDENTIAL*",SurveyDATA!BN:BN,"*STRUCTURE OWNER*",SurveyDATA!FQ:FQ,"*NEED*")</f>
        <v>1</v>
      </c>
      <c r="AY23" s="1284">
        <f>COUNTIFS(SurveyDATA!A:A,"*ISF*",SurveyDATA!E:E,"*NORTE*",SurveyDATA!BM:BM,"*COMMERCIAL*",SurveyDATA!BN:BN,"*STRUCTURE OWNER*",SurveyDATA!FQ:FQ,"*STAY*")</f>
        <v>0</v>
      </c>
      <c r="AZ23" s="1284">
        <f>COUNTIFS(SurveyDATA!A:A,"*ISF*",SurveyDATA!E:E,"*NORTE*",SurveyDATA!BM:BM,"*COMMERCIAL*",SurveyDATA!BN:BN,"*STRUCTURE OWNER*",SurveyDATA!FQ:FQ,"*NEED*")</f>
        <v>0</v>
      </c>
      <c r="BA23" s="1149"/>
      <c r="BB23" s="1230"/>
      <c r="BC23" s="1634">
        <f t="shared" ref="BC23:BD25" si="19">SUM(AW22,AY22,BA22,)</f>
        <v>0</v>
      </c>
      <c r="BD23" s="1635">
        <f t="shared" si="19"/>
        <v>0</v>
      </c>
    </row>
    <row r="24" spans="1:56" s="1383" customFormat="1">
      <c r="A24" s="1996"/>
      <c r="B24" s="1607"/>
      <c r="C24" s="1986"/>
      <c r="D24" s="1986"/>
      <c r="E24" s="1986"/>
      <c r="F24" s="1986"/>
      <c r="G24" s="1986"/>
      <c r="H24" s="1986"/>
      <c r="I24" s="1986"/>
      <c r="J24" s="1986"/>
      <c r="K24" s="1984"/>
      <c r="Z24" s="1589"/>
      <c r="AA24" s="1589" t="s">
        <v>5388</v>
      </c>
      <c r="AB24" s="1394">
        <f>COUNTIFS(SurveyDATA!$E:$E,"*SAOG*",SurveyDATA!$BM:$BM,"*RESIDENTIAL*",SurveyDATA!$BN:$BN,"*STRUCTURE OWNER*",SurveyDATA!$A:$A,"LEGAL",SurveyDATA!$FQ:$FQ,"*STAY*")</f>
        <v>2</v>
      </c>
      <c r="AC24" s="1394">
        <f>COUNTIFS(SurveyDATA!$E:$E,"*SAOG*",SurveyDATA!$BM:$BM,"*RESIDENTIAL*",SurveyDATA!$BN:$BN,"*STRUCTURE OWNER*",SurveyDATA!$A:$A,"LEGAL",SurveyDATA!$FQ:$FQ,"*NEED*")</f>
        <v>0</v>
      </c>
      <c r="AD24" s="1394">
        <f>COUNTIFS(SurveyDATA!$E:$E,"*SAOG*",SurveyDATA!$BM:$BM,"*MIXED*",SurveyDATA!$BN:$BN,"*STRUCTURE OWNER*",SurveyDATA!$A:$A,"LEGAL",SurveyDATA!$FQ:$FQ,"*STAY*")</f>
        <v>0</v>
      </c>
      <c r="AE24" s="1394">
        <f>COUNTIFS(SurveyDATA!$E:$E,"*SAOG*",SurveyDATA!$BM:$BM,"*MIXED*",SurveyDATA!$BN:$BN,"*STRUCTURE OWNER*",SurveyDATA!$A:$A,"LEGAL",SurveyDATA!$FQ:$FQ,"*NEED*")</f>
        <v>0</v>
      </c>
      <c r="AF24" s="1394">
        <f>COUNTIFS(SurveyDATA!$E:$E,"*SAOG*",SurveyDATA!$BM:$BM,"*COMMERICIAL*",SurveyDATA!$BN:$BN,"*STRUCTURE OWNER*",SurveyDATA!$A:$A,"LEGAL",SurveyDATA!$FQ:$FQ,"*STAY*")</f>
        <v>0</v>
      </c>
      <c r="AG24" s="1394">
        <f>COUNTIFS(SurveyDATA!$E:$E,"*SAOG*",SurveyDATA!$BM:$BM,"*COMMERCIAL*",SurveyDATA!$BN:$BN,"*STRUCTURE OWNER*",SurveyDATA!$A:$A,"LEGAL",SurveyDATA!$FQ:$FQ,"*NEED*")</f>
        <v>0</v>
      </c>
      <c r="AH24" s="1394">
        <f>COUNTIFS(SurveyDATA!$E:$E,"*SAOG*",SurveyDATA!$BM:$BM,"*INSTITUTIONAL*",SurveyDATA!$BN:$BN,"*STRUCTURE OWNER*",SurveyDATA!$A:$A,"LEGAL",SurveyDATA!$FQ:$FQ,"*STAY*")</f>
        <v>0</v>
      </c>
      <c r="AI24" s="1394">
        <f>COUNTIFS(SurveyDATA!$E:$E,"*SAOG*",SurveyDATA!$BM:$BM,"*INSTITUTIONAL*",SurveyDATA!$BN:$BN,"*STRUCTURE OWNER*",SurveyDATA!$A:$A,"LEGAL",SurveyDATA!$FQ:$FQ,"*NEED*")</f>
        <v>0</v>
      </c>
      <c r="AJ24" s="1394">
        <f>COUNTIFS(SurveyDATA!$E:$E,"*SAOG*",SurveyDATA!$BM:$BM,"RESIDENTIAL*",SurveyDATA!$BN:$BN,"*STRUCTURE RENTER*",SurveyDATA!$A:$A,"LEGAL",SurveyDATA!$FQ:$FQ,"*STAY*")</f>
        <v>0</v>
      </c>
      <c r="AK24" s="1394">
        <f>COUNTIFS(SurveyDATA!$E:$E,"*SAOG*",SurveyDATA!$BM:$BM,"RESIDENTIAL*",SurveyDATA!$BN:$BN,"*STRUCTURE RENTER*",SurveyDATA!$A:$A,"LEGAL",SurveyDATA!$FQ:$FQ,"*NEED*")</f>
        <v>0</v>
      </c>
      <c r="AL24" s="1394">
        <f>COUNTIFS(SurveyDATA!$E:$E,"*SAOG*",SurveyDATA!$BM:$BM,"RESIDENTIAL*",SurveyDATA!$BN:$BN,"*STRUCTURE OWNER*",SurveyDATA!$A:$A,"LEGAL",SurveyDATA!$FQ:$FQ,"*STAY*",SurveyDATA!BL:BL,"*ABSENTEE*")</f>
        <v>0</v>
      </c>
      <c r="AM24" s="1394">
        <f>COUNTIFS(SurveyDATA!$E:$E,"*SAOG*",SurveyDATA!$BM:$BM,"RESIDENTIAL*",SurveyDATA!$BN:$BN,"*STRUCTURE OWNER*",SurveyDATA!$A:$A,"LEGAL",SurveyDATA!$FQ:$FQ,"*NEED*",SurveyDATA!BL:BL,"*ABSENTEE*")</f>
        <v>0</v>
      </c>
      <c r="AN24" s="1395">
        <f>COUNTIFS(SurveyDATA!A:A,"*LEGAL*",SurveyDATA!E:E,"*SAOG*",SurveyDATA!AK:AK,"LAND OWNER",SurveyDATA!AN:AN,"&lt;20%",SurveyDATA!BL:BL,"")</f>
        <v>1</v>
      </c>
      <c r="AO24" s="1395">
        <f>COUNTIFS(SurveyDATA!A:A,"*LEGAL*",SurveyDATA!E:E,"*SAOG*",SurveyDATA!AK:AK,"LAND OWNER",SurveyDATA!AN:AN,"&gt;20%",SurveyDATA!BL:BL,"")</f>
        <v>1</v>
      </c>
      <c r="AP24" s="1616"/>
      <c r="AQ24" s="1616"/>
      <c r="AR24" s="1395">
        <f t="shared" si="18"/>
        <v>3</v>
      </c>
      <c r="AS24" s="1395">
        <f t="shared" si="18"/>
        <v>1</v>
      </c>
      <c r="AU24" s="1589"/>
      <c r="AV24" s="1589" t="s">
        <v>5388</v>
      </c>
      <c r="AW24" s="1283">
        <f>COUNTIFS(SurveyDATA!A:A,"*ISF*",SurveyDATA!E:E,"*SAOG*",SurveyDATA!BM:BM,"*RESiDENTIAL*",SurveyDATA!BN:BN,"*STRUCTURE OWNER*",SurveyDATA!FQ:FQ,"*STAY*")</f>
        <v>0</v>
      </c>
      <c r="AX24" s="1284">
        <f>COUNTIFS(SurveyDATA!A:A,"*ISF*",SurveyDATA!E:E,"*SAOG*",SurveyDATA!BM:BM,"*RESiDENTIAL*",SurveyDATA!BN:BN,"*STRUCTURE OWNER*",SurveyDATA!FQ:FQ,"*NEED*")</f>
        <v>0</v>
      </c>
      <c r="AY24" s="1284">
        <f>COUNTIFS(SurveyDATA!A:A,"*ISF*",SurveyDATA!E:E,"*SAOG*",SurveyDATA!BM:BM,"*COMMERCIAL*",SurveyDATA!BN:BN,"*STRUCTURE OWNER*",SurveyDATA!FQ:FQ,"*STAY*")</f>
        <v>0</v>
      </c>
      <c r="AZ24" s="1284">
        <f>COUNTIFS(SurveyDATA!A:A,"*ISF*",SurveyDATA!E:E,"*SAOG*",SurveyDATA!BM:BM,"*COMMERCIAL*",SurveyDATA!BN:BN,"*STRUCTURE OWNER*",SurveyDATA!FQ:FQ,"*NEED*")</f>
        <v>0</v>
      </c>
      <c r="BA24" s="1149"/>
      <c r="BB24" s="1230"/>
      <c r="BC24" s="1634">
        <f t="shared" si="19"/>
        <v>0</v>
      </c>
      <c r="BD24" s="1635">
        <f t="shared" si="19"/>
        <v>1</v>
      </c>
    </row>
    <row r="25" spans="1:56" s="1383" customFormat="1" ht="13.5" thickBot="1">
      <c r="A25" s="1997"/>
      <c r="B25" s="1615"/>
      <c r="C25" s="1987"/>
      <c r="D25" s="1987"/>
      <c r="E25" s="1987"/>
      <c r="F25" s="1987"/>
      <c r="G25" s="1987"/>
      <c r="H25" s="1987"/>
      <c r="I25" s="1987"/>
      <c r="J25" s="1987"/>
      <c r="K25" s="1985"/>
      <c r="Z25" s="1589"/>
      <c r="AA25" s="1589" t="s">
        <v>5489</v>
      </c>
      <c r="AB25" s="1394">
        <f>COUNTIFS(SurveyDATA!$E:$E,"*IBAYO*",SurveyDATA!$BM:$BM,"*RESIDENTIAL*",SurveyDATA!$BN:$BN,"*STRUCTURE OWNER*",SurveyDATA!$A:$A,"LEGAL",SurveyDATA!$FQ:$FQ,"*STAY*")</f>
        <v>0</v>
      </c>
      <c r="AC25" s="1394">
        <f>COUNTIFS(SurveyDATA!$E:$E,"*IBAYO*",SurveyDATA!$BM:$BM,"*RESIDENTIAL*",SurveyDATA!$BN:$BN,"*STRUCTURE OWNER*",SurveyDATA!$A:$A,"LEGAL",SurveyDATA!$FQ:$FQ,"*NEED*")</f>
        <v>0</v>
      </c>
      <c r="AD25" s="1394">
        <f>COUNTIFS(SurveyDATA!$E:$E,"*IBAYO*",SurveyDATA!$BM:$BM,"*MIXED*",SurveyDATA!$BN:$BN,"*STRUCTURE OWNER*",SurveyDATA!$A:$A,"LEGAL",SurveyDATA!$FQ:$FQ,"*STAY*")</f>
        <v>0</v>
      </c>
      <c r="AE25" s="1394">
        <f>COUNTIFS(SurveyDATA!$E:$E,"*IBAYO*",SurveyDATA!$BM:$BM,"*MIXED*",SurveyDATA!$BN:$BN,"*STRUCTURE OWNER*",SurveyDATA!$A:$A,"LEGAL",SurveyDATA!$FQ:$FQ,"*NEED*")</f>
        <v>1</v>
      </c>
      <c r="AF25" s="1394">
        <f>COUNTIFS(SurveyDATA!$E:$E,"*IBAYO*",SurveyDATA!$BM:$BM,"*COMMERICIAL*",SurveyDATA!$BN:$BN,"*STRUCTURE OWNER*",SurveyDATA!$A:$A,"LEGAL",SurveyDATA!$FQ:$FQ,"*STAY*")</f>
        <v>0</v>
      </c>
      <c r="AG25" s="1394">
        <f>COUNTIFS(SurveyDATA!$E:$E,"*IBAYO*",SurveyDATA!$BM:$BM,"*COMMERCIAL*",SurveyDATA!$BN:$BN,"*STRUCTURE OWNER*",SurveyDATA!$A:$A,"LEGAL",SurveyDATA!$FQ:$FQ,"*NEED*")</f>
        <v>0</v>
      </c>
      <c r="AH25" s="1394">
        <f>COUNTIFS(SurveyDATA!$E:$E,"*IBAYO*",SurveyDATA!$BM:$BM,"*INSTITUTIONAL*",SurveyDATA!$BN:$BN,"*STRUCTURE OWNER*",SurveyDATA!$A:$A,"LEGAL",SurveyDATA!$FQ:$FQ,"*STAY*")</f>
        <v>0</v>
      </c>
      <c r="AI25" s="1394">
        <f>COUNTIFS(SurveyDATA!$E:$E,"*IBAYO*",SurveyDATA!$BM:$BM,"*INSTITUTIONAL*",SurveyDATA!$BN:$BN,"*STRUCTURE OWNER*",SurveyDATA!$A:$A,"LEGAL",SurveyDATA!$FQ:$FQ,"*NEED*")</f>
        <v>0</v>
      </c>
      <c r="AJ25" s="1394">
        <f>COUNTIFS(SurveyDATA!$E:$E,"*IBAYO*",SurveyDATA!$BM:$BM,"RESIDENTIAL*",SurveyDATA!$BN:$BN,"*STRUCTURE RENTER*",SurveyDATA!$A:$A,"LEGAL",SurveyDATA!$FQ:$FQ,"*STAY*")</f>
        <v>0</v>
      </c>
      <c r="AK25" s="1394">
        <f>COUNTIFS(SurveyDATA!$E:$E,"*IBAYO*",SurveyDATA!$BM:$BM,"RESIDENTIAL*",SurveyDATA!$BN:$BN,"*STRUCTURE RENTER*",SurveyDATA!$A:$A,"LEGAL",SurveyDATA!$FQ:$FQ,"*NEED*")</f>
        <v>0</v>
      </c>
      <c r="AL25" s="1394">
        <f>COUNTIFS(SurveyDATA!$E:$E,"*IBAYO*",SurveyDATA!$BM:$BM,"RESIDENTIAL*",SurveyDATA!$BN:$BN,"*STRUCTURE OWNER*",SurveyDATA!$A:$A,"LEGAL",SurveyDATA!$FQ:$FQ,"*STAY*",SurveyDATA!BL:BL,"*ABSENTEE*")</f>
        <v>0</v>
      </c>
      <c r="AM25" s="1394">
        <f>COUNTIFS(SurveyDATA!$E:$E,"*IBAYO*",SurveyDATA!$BM:$BM,"RESIDENTIAL*",SurveyDATA!$BN:$BN,"*STRUCTURE OWNER*",SurveyDATA!$A:$A,"LEGAL",SurveyDATA!$FQ:$FQ,"*NEED*",SurveyDATA!BL:BL,"*ABSENTEE*")</f>
        <v>0</v>
      </c>
      <c r="AN25" s="1395">
        <f>COUNTIFS(SurveyDATA!A:A,"*LEGAL*",SurveyDATA!E:E,"*IBAYO*",SurveyDATA!AK:AK,"LAND OWNER",SurveyDATA!AN:AN,"&lt;20%",SurveyDATA!BL:BL,"")</f>
        <v>0</v>
      </c>
      <c r="AO25" s="1395">
        <f>COUNTIFS(SurveyDATA!A:A,"*LEGAL*",SurveyDATA!E:E,"*IBAYO*",SurveyDATA!AK:AK,"LAND OWNER",SurveyDATA!AN:AN,"&gt;20%",SurveyDATA!BL:BL,"")</f>
        <v>0</v>
      </c>
      <c r="AP25" s="1616"/>
      <c r="AQ25" s="1616"/>
      <c r="AR25" s="1395">
        <f t="shared" si="18"/>
        <v>0</v>
      </c>
      <c r="AS25" s="1395">
        <f t="shared" si="18"/>
        <v>1</v>
      </c>
      <c r="AU25" s="1589"/>
      <c r="AV25" s="1589" t="s">
        <v>5489</v>
      </c>
      <c r="AW25" s="1283">
        <f>COUNTIFS(SurveyDATA!A:A,"*ISF*",SurveyDATA!E:E,"*IBAYO*",SurveyDATA!BM:BM,"*RESiDENTIAL*",SurveyDATA!BN:BN,"*STRUCTURE OWNER*",SurveyDATA!FQ:FQ,"*STAY*")</f>
        <v>0</v>
      </c>
      <c r="AX25" s="1284">
        <f>COUNTIFS(SurveyDATA!A:A,"*ISF*",SurveyDATA!E:E,"*IBAYO*",SurveyDATA!BM:BM,"*RESiDENTIAL*",SurveyDATA!BN:BN,"*STRUCTURE OWNER*",SurveyDATA!FQ:FQ,"*NEED*")</f>
        <v>0</v>
      </c>
      <c r="AY25" s="1284">
        <f>COUNTIFS(SurveyDATA!A:A,"*ISF*",SurveyDATA!E:E,"*IBAYO*",SurveyDATA!BM:BM,"*COMMERCIAL*",SurveyDATA!BN:BN,"*STRUCTURE OWNER*",SurveyDATA!FQ:FQ,"*STAY*")</f>
        <v>0</v>
      </c>
      <c r="AZ25" s="1284">
        <f>COUNTIFS(SurveyDATA!A:A,"*ISF*",SurveyDATA!E:E,"*IBAYO*",SurveyDATA!BM:BM,"*COMMERCIAL*",SurveyDATA!BN:BN,"*STRUCTURE OWNER*",SurveyDATA!FQ:FQ,"*NEED*")</f>
        <v>0</v>
      </c>
      <c r="BA25" s="1149"/>
      <c r="BB25" s="1230"/>
      <c r="BC25" s="1634">
        <f t="shared" si="19"/>
        <v>0</v>
      </c>
      <c r="BD25" s="1635">
        <f t="shared" si="19"/>
        <v>0</v>
      </c>
    </row>
    <row r="26" spans="1:56">
      <c r="Z26" s="1589"/>
      <c r="AA26" s="1619" t="s">
        <v>12285</v>
      </c>
      <c r="AB26" s="1620">
        <f t="shared" ref="AB26:AS26" si="20">SUM(AB23:AB25)</f>
        <v>2</v>
      </c>
      <c r="AC26" s="1620">
        <f t="shared" si="20"/>
        <v>0</v>
      </c>
      <c r="AD26" s="1620">
        <f>SUM(AD23:AD25)</f>
        <v>0</v>
      </c>
      <c r="AE26" s="1620">
        <f>SUM(AE23:AE25)</f>
        <v>1</v>
      </c>
      <c r="AF26" s="1620">
        <f t="shared" si="20"/>
        <v>0</v>
      </c>
      <c r="AG26" s="1620">
        <f t="shared" si="20"/>
        <v>0</v>
      </c>
      <c r="AH26" s="1620">
        <f t="shared" si="20"/>
        <v>0</v>
      </c>
      <c r="AI26" s="1620">
        <f t="shared" si="20"/>
        <v>0</v>
      </c>
      <c r="AJ26" s="1620">
        <f t="shared" si="20"/>
        <v>0</v>
      </c>
      <c r="AK26" s="1620">
        <f t="shared" si="20"/>
        <v>0</v>
      </c>
      <c r="AL26" s="1620">
        <f>SUM(AL23:AL25)</f>
        <v>0</v>
      </c>
      <c r="AM26" s="1620">
        <f t="shared" si="20"/>
        <v>0</v>
      </c>
      <c r="AN26" s="1620">
        <f t="shared" si="20"/>
        <v>1</v>
      </c>
      <c r="AO26" s="1620">
        <f t="shared" si="20"/>
        <v>1</v>
      </c>
      <c r="AP26" s="1620">
        <f t="shared" si="20"/>
        <v>0</v>
      </c>
      <c r="AQ26" s="1620">
        <f t="shared" si="20"/>
        <v>0</v>
      </c>
      <c r="AR26" s="1620">
        <f t="shared" si="20"/>
        <v>3</v>
      </c>
      <c r="AS26" s="1620">
        <f t="shared" si="20"/>
        <v>2</v>
      </c>
      <c r="AU26" s="1589"/>
      <c r="AV26" s="1619" t="s">
        <v>12285</v>
      </c>
      <c r="AW26" s="638">
        <f t="shared" ref="AW26:BD26" si="21">SUM(AW23:AW25)</f>
        <v>0</v>
      </c>
      <c r="AX26" s="638">
        <f t="shared" si="21"/>
        <v>1</v>
      </c>
      <c r="AY26" s="638">
        <f t="shared" si="21"/>
        <v>0</v>
      </c>
      <c r="AZ26" s="638">
        <f t="shared" si="21"/>
        <v>0</v>
      </c>
      <c r="BA26" s="638">
        <f t="shared" si="21"/>
        <v>0</v>
      </c>
      <c r="BB26" s="1289">
        <f t="shared" si="21"/>
        <v>0</v>
      </c>
      <c r="BC26" s="1285">
        <f t="shared" si="21"/>
        <v>0</v>
      </c>
      <c r="BD26" s="1286">
        <f t="shared" si="21"/>
        <v>1</v>
      </c>
    </row>
    <row r="27" spans="1:56">
      <c r="Z27" s="1589" t="s">
        <v>5414</v>
      </c>
      <c r="AA27" s="1589" t="s">
        <v>5849</v>
      </c>
      <c r="AB27" s="1394">
        <f>COUNTIFS(SurveyDATA!$E:$E,"*PANDAYAN*",SurveyDATA!$BM:$BM,"*RESIDENTIAL*",SurveyDATA!$BN:$BN,"*STRUCTURE OWNER*",SurveyDATA!$A:$A,"LEGAL",SurveyDATA!$FQ:$FQ,"*STAY*")</f>
        <v>0</v>
      </c>
      <c r="AC27" s="1394">
        <f>COUNTIFS(SurveyDATA!$E:$E,"*PANDAYAN*",SurveyDATA!$BM:$BM,"*RESIDENTIAL*",SurveyDATA!$BN:$BN,"*STRUCTURE OWNER*",SurveyDATA!$A:$A,"LEGAL",SurveyDATA!$FQ:$FQ,"*NEED*")</f>
        <v>0</v>
      </c>
      <c r="AD27" s="1394">
        <f>COUNTIFS(SurveyDATA!$E:$E,"*PANDAYAN*",SurveyDATA!$BM:$BM,"*MIXED*",SurveyDATA!$BN:$BN,"*STRUCTURE OWNER*",SurveyDATA!$A:$A,"LEGAL",SurveyDATA!$FQ:$FQ,"*STAY*")</f>
        <v>0</v>
      </c>
      <c r="AE27" s="1394">
        <f>COUNTIFS(SurveyDATA!$E:$E,"*PANDAYAN*",SurveyDATA!$BM:$BM,"*MIXED*",SurveyDATA!$BN:$BN,"*STRUCTURE OWNER*",SurveyDATA!$A:$A,"LEGAL",SurveyDATA!$FQ:$FQ,"*NEED*")</f>
        <v>0</v>
      </c>
      <c r="AF27" s="1394">
        <f>COUNTIFS(SurveyDATA!$E:$E,"*PANDAYAN*",SurveyDATA!$BM:$BM,"*COMMERICIAL*",SurveyDATA!$BN:$BN,"*STRUCTURE OWNER*",SurveyDATA!$A:$A,"LEGAL",SurveyDATA!$FQ:$FQ,"*STAY*")</f>
        <v>0</v>
      </c>
      <c r="AG27" s="1394">
        <f>COUNTIFS(SurveyDATA!$E:$E,"*PANDAYAN*",SurveyDATA!$BM:$BM,"*COMMERCIAL*",SurveyDATA!$BN:$BN,"*STRUCTURE OWNER*",SurveyDATA!$A:$A,"LEGAL",SurveyDATA!$FQ:$FQ,"*NEED*")</f>
        <v>0</v>
      </c>
      <c r="AH27" s="1394">
        <f>COUNTIFS(SurveyDATA!$E:$E,"*PANDAYAN*",SurveyDATA!$BM:$BM,"*INSTITUTIONAL*",SurveyDATA!$BN:$BN,"*STRUCTURE OWNER*",SurveyDATA!$A:$A,"LEGAL",SurveyDATA!$FQ:$FQ,"*STAY*")</f>
        <v>0</v>
      </c>
      <c r="AI27" s="1394">
        <f>COUNTIFS(SurveyDATA!$E:$E,"*PANDAYAN*",SurveyDATA!$BM:$BM,"*INSTITUTIONAL*",SurveyDATA!$BN:$BN,"*STRUCTURE OWNER*",SurveyDATA!$A:$A,"LEGAL",SurveyDATA!$FQ:$FQ,"*NEED*")</f>
        <v>0</v>
      </c>
      <c r="AJ27" s="1394">
        <f>COUNTIFS(SurveyDATA!$E:$E,"*PANDAYAN*",SurveyDATA!$BM:$BM,"RESIDENTIAL*",SurveyDATA!$BN:$BN,"*STRUCTURE RENTER*",SurveyDATA!$A:$A,"LEGAL",SurveyDATA!$FQ:$FQ,"*STAY*")</f>
        <v>0</v>
      </c>
      <c r="AK27" s="1394">
        <f>COUNTIFS(SurveyDATA!$E:$E,"*PANDAYAN*",SurveyDATA!$BM:$BM,"RESIDENTIAL*",SurveyDATA!$BN:$BN,"*STRUCTURE RENTER*",SurveyDATA!$A:$A,"LEGAL",SurveyDATA!$FQ:$FQ,"*NEED*")</f>
        <v>0</v>
      </c>
      <c r="AL27" s="1394">
        <f>COUNTIFS(SurveyDATA!$E:$E,"*PANDAYAN*",SurveyDATA!$BM:$BM,"RESIDENTIAL*",SurveyDATA!$BN:$BN,"*STRUCTURE OWNER*",SurveyDATA!$A:$A,"LEGAL",SurveyDATA!$FQ:$FQ,"*STAY*",SurveyDATA!BL:BL,"*ABSENTEE*")</f>
        <v>0</v>
      </c>
      <c r="AM27" s="1394">
        <f>COUNTIFS(SurveyDATA!$E:$E,"*PANDAYAN*",SurveyDATA!$BM:$BM,"RESIDENTIAL*",SurveyDATA!$BN:$BN,"*STRUCTURE OWNER*",SurveyDATA!$A:$A,"LEGAL",SurveyDATA!$FQ:$FQ,"*NEED*",SurveyDATA!BL:BL,"*ABSENTEE*")</f>
        <v>0</v>
      </c>
      <c r="AN27" s="1395">
        <f>COUNTIFS(SurveyDATA!A:A,"*LEGAL*",SurveyDATA!E:E,"*PANDAYAN*",SurveyDATA!AK:AK,"LAND OWNER",SurveyDATA!AN:AN,"&lt;20%",SurveyDATA!BL:BL,"")</f>
        <v>0</v>
      </c>
      <c r="AO27" s="1395">
        <f>COUNTIFS(SurveyDATA!A:A,"*LEGAL*",SurveyDATA!E:E,"*PANDAYAN*",SurveyDATA!AK:AK,"LAND OWNER",SurveyDATA!AN:AN,"&gt;20%",SurveyDATA!BL:BL,"")</f>
        <v>0</v>
      </c>
      <c r="AP27" s="1624"/>
      <c r="AQ27" s="1624"/>
      <c r="AR27" s="1395">
        <f t="shared" ref="AR27:AS30" si="22">SUM(AP27,AN27,AL27,AJ27,AH27,AF27,AJ27,AD27,AB27,)</f>
        <v>0</v>
      </c>
      <c r="AS27" s="1395">
        <f t="shared" si="22"/>
        <v>0</v>
      </c>
      <c r="AU27" s="1589" t="s">
        <v>5414</v>
      </c>
      <c r="AV27" s="1589" t="s">
        <v>5849</v>
      </c>
      <c r="AW27" s="1283">
        <f>COUNTIFS(SurveyDATA!A:A,"*ISF*",SurveyDATA!E:E,"*PANDAYAN*",SurveyDATA!BM:BM,"*RESiDENTIAL*",SurveyDATA!BN:BN,"*STRUCTURE OWNER*",SurveyDATA!FQ:FQ,"*STAY*")</f>
        <v>0</v>
      </c>
      <c r="AX27" s="1284">
        <f>COUNTIFS(SurveyDATA!A:A,"*ISF*",SurveyDATA!E:E,"*PANDAYAN*",SurveyDATA!BM:BM,"*RESiDENTIAL*",SurveyDATA!BN:BN,"*STRUCTURE OWNER*",SurveyDATA!FQ:FQ,"*NEED*")</f>
        <v>0</v>
      </c>
      <c r="AY27" s="1284">
        <f>COUNTIFS(SurveyDATA!A:A,"*ISF*",SurveyDATA!E:E,"*PANDAYAN*",SurveyDATA!BM:BM,"*COMMERCIAL*",SurveyDATA!BN:BN,"*STRUCTURE OWNER*",SurveyDATA!FQ:FQ,"*STAY*")</f>
        <v>0</v>
      </c>
      <c r="AZ27" s="1284">
        <f>COUNTIFS(SurveyDATA!A:A,"*ISF*",SurveyDATA!E:E,"*PANDAYAN*",SurveyDATA!BM:BM,"*COMMERCIAL*",SurveyDATA!BN:BN,"*STRUCTURE OWNER*",SurveyDATA!FQ:FQ,"*NEED*")</f>
        <v>0</v>
      </c>
      <c r="BA27" s="1149"/>
      <c r="BB27" s="1230"/>
      <c r="BC27" s="1634">
        <f t="shared" ref="BC27:BD30" si="23">SUM(AW26,AY26,BA26,)</f>
        <v>0</v>
      </c>
      <c r="BD27" s="1635">
        <f t="shared" si="23"/>
        <v>1</v>
      </c>
    </row>
    <row r="28" spans="1:56">
      <c r="Z28" s="1589"/>
      <c r="AA28" s="1589" t="s">
        <v>5497</v>
      </c>
      <c r="AB28" s="1394">
        <f>COUNTIFS(SurveyDATA!$E:$E,"*TUGATOG*",SurveyDATA!$BM:$BM,"*RESIDENTIAL*",SurveyDATA!$BN:$BN,"*STRUCTURE OWNER*",SurveyDATA!$A:$A,"LEGAL",SurveyDATA!$FQ:$FQ,"*STAY*")</f>
        <v>1</v>
      </c>
      <c r="AC28" s="1394">
        <f>COUNTIFS(SurveyDATA!$E:$E,"*TUGATOG*",SurveyDATA!$BM:$BM,"*RESIDENTIAL*",SurveyDATA!$BN:$BN,"*STRUCTURE OWNER*",SurveyDATA!$A:$A,"LEGAL",SurveyDATA!$FQ:$FQ,"*NEED*")</f>
        <v>3</v>
      </c>
      <c r="AD28" s="1394">
        <f>COUNTIFS(SurveyDATA!$E:$E,"*TUGATOG*",SurveyDATA!$BM:$BM,"*MIXED*",SurveyDATA!$BN:$BN,"*STRUCTURE OWNER*",SurveyDATA!$A:$A,"LEGAL",SurveyDATA!$FQ:$FQ,"*STAY*")</f>
        <v>0</v>
      </c>
      <c r="AE28" s="1394">
        <f>COUNTIFS(SurveyDATA!$E:$E,"*TUGATOG*",SurveyDATA!$BM:$BM,"*MIXED*",SurveyDATA!$BN:$BN,"*STRUCTURE OWNER*",SurveyDATA!$A:$A,"LEGAL",SurveyDATA!$FQ:$FQ,"*NEED*")</f>
        <v>0</v>
      </c>
      <c r="AF28" s="1394">
        <f>COUNTIFS(SurveyDATA!$E:$E,"*TUGATOG*",SurveyDATA!$BM:$BM,"*COMMERICIAL*",SurveyDATA!$BN:$BN,"*STRUCTURE OWNER*",SurveyDATA!$A:$A,"LEGAL",SurveyDATA!$FQ:$FQ,"*STAY*")</f>
        <v>0</v>
      </c>
      <c r="AG28" s="1394">
        <f>COUNTIFS(SurveyDATA!$E:$E,"*TUGATOG*",SurveyDATA!$BM:$BM,"*COMMERCIAL*",SurveyDATA!$BN:$BN,"*STRUCTURE OWNER*",SurveyDATA!$A:$A,"LEGAL",SurveyDATA!$FQ:$FQ,"*NEED*")</f>
        <v>0</v>
      </c>
      <c r="AH28" s="1394">
        <f>COUNTIFS(SurveyDATA!$E:$E,"*TUGATOG*",SurveyDATA!$BM:$BM,"*INSTITUTIONAL*",SurveyDATA!$BN:$BN,"*STRUCTURE OWNER*",SurveyDATA!$A:$A,"LEGAL",SurveyDATA!$FQ:$FQ,"*STAY*")</f>
        <v>0</v>
      </c>
      <c r="AI28" s="1394">
        <f>COUNTIFS(SurveyDATA!$E:$E,"*TUGATOG*",SurveyDATA!$BM:$BM,"*INSTITUTIONAL*",SurveyDATA!$BN:$BN,"*STRUCTURE OWNER*",SurveyDATA!$A:$A,"LEGAL",SurveyDATA!$FQ:$FQ,"*NEED*")</f>
        <v>0</v>
      </c>
      <c r="AJ28" s="1394">
        <f>COUNTIFS(SurveyDATA!$E:$E,"*TUGATOG*",SurveyDATA!$BM:$BM,"RESIDENTIAL*",SurveyDATA!$BN:$BN,"*STRUCTURE RENTER*",SurveyDATA!$A:$A,"LEGAL",SurveyDATA!$FQ:$FQ,"*STAY*")</f>
        <v>0</v>
      </c>
      <c r="AK28" s="1394">
        <f>COUNTIFS(SurveyDATA!$E:$E,"*TUGATOG*",SurveyDATA!$BM:$BM,"RESIDENTIAL*",SurveyDATA!$BN:$BN,"*STRUCTURE RENTER*",SurveyDATA!$A:$A,"LEGAL",SurveyDATA!$FQ:$FQ,"*NEED*")</f>
        <v>0</v>
      </c>
      <c r="AL28" s="1394">
        <f>COUNTIFS(SurveyDATA!$E:$E,"*TUGATOG*",SurveyDATA!$BM:$BM,"RESIDENTIAL*",SurveyDATA!$BN:$BN,"*STRUCTURE OWNER*",SurveyDATA!$A:$A,"LEGAL",SurveyDATA!$FQ:$FQ,"*STAY*",SurveyDATA!BL:BL,"*ABSENTEE*")</f>
        <v>0</v>
      </c>
      <c r="AM28" s="1394">
        <f>COUNTIFS(SurveyDATA!$E:$E,"*TUGATOG*",SurveyDATA!$BM:$BM,"RESIDENTIAL*",SurveyDATA!$BN:$BN,"*STRUCTURE OWNER*",SurveyDATA!$A:$A,"LEGAL",SurveyDATA!$FQ:$FQ,"*NEED*",SurveyDATA!BL:BL,"*ABSENTEE*")</f>
        <v>0</v>
      </c>
      <c r="AN28" s="1395">
        <f>COUNTIFS(SurveyDATA!A:A,"*LEGAL*",SurveyDATA!E:E,"*TUGATOG*",SurveyDATA!AK:AK,"LAND OWNER",SurveyDATA!AN:AN,"&lt;20%",SurveyDATA!BL:BL,"")</f>
        <v>0</v>
      </c>
      <c r="AO28" s="1395">
        <f>COUNTIFS(SurveyDATA!A:A,"*LEGAL*",SurveyDATA!E:E,"*TUGATOG*",SurveyDATA!AK:AK,"LAND OWNER",SurveyDATA!AN:AN,"&gt;20%",SurveyDATA!BL:BL,"")</f>
        <v>2</v>
      </c>
      <c r="AP28" s="1624"/>
      <c r="AQ28" s="1624"/>
      <c r="AR28" s="1395">
        <f t="shared" si="22"/>
        <v>1</v>
      </c>
      <c r="AS28" s="1395">
        <f t="shared" si="22"/>
        <v>5</v>
      </c>
      <c r="AU28" s="1589"/>
      <c r="AV28" s="1589" t="s">
        <v>5497</v>
      </c>
      <c r="AW28" s="1283">
        <f>COUNTIFS(SurveyDATA!A:A,"*ISF*",SurveyDATA!E:E,"*TUGATOG*",SurveyDATA!BM:BM,"*RESiDENTIAL*",SurveyDATA!BN:BN,"*STRUCTURE OWNER*",SurveyDATA!FQ:FQ,"*STAY*")</f>
        <v>0</v>
      </c>
      <c r="AX28" s="1284">
        <f>COUNTIFS(SurveyDATA!A:A,"*ISF*",SurveyDATA!E:E,"*TUGATOG*",SurveyDATA!BM:BM,"*RESiDENTIAL*",SurveyDATA!BN:BN,"*STRUCTURE OWNER*",SurveyDATA!FQ:FQ,"*NEED*")</f>
        <v>0</v>
      </c>
      <c r="AY28" s="1284">
        <f>COUNTIFS(SurveyDATA!A:A,"*ISF*",SurveyDATA!E:E,"*TUGATOG*",SurveyDATA!BM:BM,"*COMMERCIAL*",SurveyDATA!BN:BN,"*STRUCTURE OWNER*",SurveyDATA!FQ:FQ,"*STAY*")</f>
        <v>0</v>
      </c>
      <c r="AZ28" s="1284">
        <f>COUNTIFS(SurveyDATA!A:A,"*ISF*",SurveyDATA!E:E,"*TUGATOG*",SurveyDATA!BM:BM,"*COMMERCIAL*",SurveyDATA!BN:BN,"*STRUCTURE OWNER*",SurveyDATA!FQ:FQ,"*NEED*")</f>
        <v>0</v>
      </c>
      <c r="BA28" s="1149"/>
      <c r="BB28" s="1230"/>
      <c r="BC28" s="1634">
        <f t="shared" si="23"/>
        <v>0</v>
      </c>
      <c r="BD28" s="1635">
        <f t="shared" si="23"/>
        <v>0</v>
      </c>
    </row>
    <row r="29" spans="1:56">
      <c r="Z29" s="1589"/>
      <c r="AA29" s="1589" t="s">
        <v>5389</v>
      </c>
      <c r="AB29" s="1394">
        <f>COUNTIFS(SurveyDATA!$E:$E,"*BANCAL*",SurveyDATA!$BM:$BM,"*RESIDENTIAL*",SurveyDATA!$BN:$BN,"*STRUCTURE OWNER*",SurveyDATA!$A:$A,"LEGAL",SurveyDATA!$FQ:$FQ,"*STAY*")</f>
        <v>2</v>
      </c>
      <c r="AC29" s="1394">
        <f>COUNTIFS(SurveyDATA!$E:$E,"*BANCAL*",SurveyDATA!$BM:$BM,"*RESIDENTIAL*",SurveyDATA!$BN:$BN,"*STRUCTURE OWNER*",SurveyDATA!$A:$A,"LEGAL",SurveyDATA!$FQ:$FQ,"*NEED*")</f>
        <v>7</v>
      </c>
      <c r="AD29" s="1394">
        <f>COUNTIFS(SurveyDATA!$E:$E,"*BANCAL*",SurveyDATA!$BM:$BM,"*MIXED*",SurveyDATA!$BN:$BN,"*STRUCTURE OWNER*",SurveyDATA!$A:$A,"LEGAL",SurveyDATA!$FQ:$FQ,"*STAY*")</f>
        <v>0</v>
      </c>
      <c r="AE29" s="1394">
        <f>COUNTIFS(SurveyDATA!$E:$E,"*BANCAL*",SurveyDATA!$BM:$BM,"*MIXED*",SurveyDATA!$BN:$BN,"*STRUCTURE OWNER*",SurveyDATA!$A:$A,"LEGAL",SurveyDATA!$FQ:$FQ,"*NEED*")</f>
        <v>0</v>
      </c>
      <c r="AF29" s="1394">
        <f>COUNTIFS(SurveyDATA!$E:$E,"*BANCAL*",SurveyDATA!$BM:$BM,"*COMMERICIAL*",SurveyDATA!$BN:$BN,"*STRUCTURE OWNER*",SurveyDATA!$A:$A,"LEGAL",SurveyDATA!$FQ:$FQ,"*STAY*")</f>
        <v>0</v>
      </c>
      <c r="AG29" s="1394">
        <f>COUNTIFS(SurveyDATA!$E:$E,"*BANCAL*",SurveyDATA!$BM:$BM,"*COMMERCIAL*",SurveyDATA!$BN:$BN,"*STRUCTURE OWNER*",SurveyDATA!$A:$A,"LEGAL",SurveyDATA!$FQ:$FQ,"*NEED*")</f>
        <v>0</v>
      </c>
      <c r="AH29" s="1394">
        <f>COUNTIFS(SurveyDATA!$E:$E,"*BANCAL*",SurveyDATA!$BM:$BM,"*INSTITUTIONAL*",SurveyDATA!$BN:$BN,"*STRUCTURE OWNER*",SurveyDATA!$A:$A,"LEGAL",SurveyDATA!$FQ:$FQ,"*STAY*")</f>
        <v>0</v>
      </c>
      <c r="AI29" s="1394">
        <f>COUNTIFS(SurveyDATA!$E:$E,"*BANCAL*",SurveyDATA!$BM:$BM,"*INSTITUTIONAL*",SurveyDATA!$BN:$BN,"*STRUCTURE OWNER*",SurveyDATA!$A:$A,"LEGAL",SurveyDATA!$FQ:$FQ,"*NEED*")</f>
        <v>0</v>
      </c>
      <c r="AJ29" s="1394">
        <f>COUNTIFS(SurveyDATA!$E:$E,"*BANCAL*",SurveyDATA!$BM:$BM,"RESIDENTIAL*",SurveyDATA!$BN:$BN,"*STRUCTURE RENTER*",SurveyDATA!$A:$A,"LEGAL",SurveyDATA!$FQ:$FQ,"*STAY*")</f>
        <v>0</v>
      </c>
      <c r="AK29" s="1394">
        <f>COUNTIFS(SurveyDATA!$E:$E,"*BANCAL*",SurveyDATA!$BM:$BM,"RESIDENTIAL*",SurveyDATA!$BN:$BN,"*STRUCTURE RENTER*",SurveyDATA!$A:$A,"LEGAL",SurveyDATA!$FQ:$FQ,"*NEED*")</f>
        <v>0</v>
      </c>
      <c r="AL29" s="1394">
        <f>COUNTIFS(SurveyDATA!$E:$E,"*BANCAL*",SurveyDATA!$BM:$BM,"RESIDENTIAL*",SurveyDATA!$BN:$BN,"*STRUCTURE OWNER*",SurveyDATA!$A:$A,"LEGAL",SurveyDATA!$FQ:$FQ,"*STAY*",SurveyDATA!BL:BL,"*ABSENTEE*")</f>
        <v>0</v>
      </c>
      <c r="AM29" s="1394">
        <f>COUNTIFS(SurveyDATA!$E:$E,"*BANCAL*",SurveyDATA!$BM:$BM,"RESIDENTIAL*",SurveyDATA!$BN:$BN,"*STRUCTURE OWNER*",SurveyDATA!$A:$A,"LEGAL",SurveyDATA!$FQ:$FQ,"*NEED*",SurveyDATA!BL:BL,"*ABSENTEE*")</f>
        <v>0</v>
      </c>
      <c r="AN29" s="1395">
        <f>COUNTIFS(SurveyDATA!A:A,"*LEGAL*",SurveyDATA!E:E,"*BANCAL*",SurveyDATA!AK:AK,"LAND OWNER",SurveyDATA!AN:AN,"&lt;20%",SurveyDATA!BL:BL,"")</f>
        <v>0</v>
      </c>
      <c r="AO29" s="1395">
        <f>COUNTIFS(SurveyDATA!A:A,"*LEGAL*",SurveyDATA!E:E,"*BANCAL*",SurveyDATA!AK:AK,"LAND OWNER",SurveyDATA!AN:AN,"&gt;20%",SurveyDATA!BL:BL,"")</f>
        <v>1</v>
      </c>
      <c r="AP29" s="1624"/>
      <c r="AQ29" s="1624"/>
      <c r="AR29" s="1395">
        <f t="shared" si="22"/>
        <v>2</v>
      </c>
      <c r="AS29" s="1395">
        <f t="shared" si="22"/>
        <v>8</v>
      </c>
      <c r="AU29" s="1589"/>
      <c r="AV29" s="1589" t="s">
        <v>5389</v>
      </c>
      <c r="AW29" s="1283">
        <f>COUNTIFS(SurveyDATA!A:A,"*ISF*",SurveyDATA!E:E,"*BANCAL*",SurveyDATA!BM:BM,"*RESiDENTIAL*",SurveyDATA!BN:BN,"*STRUCTURE OWNER*",SurveyDATA!FQ:FQ,"*STAY*")</f>
        <v>1</v>
      </c>
      <c r="AX29" s="1284">
        <f>COUNTIFS(SurveyDATA!A:A,"*ISF*",SurveyDATA!E:E,"*BANCAL*",SurveyDATA!BM:BM,"*RESiDENTIAL*",SurveyDATA!BN:BN,"*STRUCTURE OWNER*",SurveyDATA!FQ:FQ,"*NEED*")</f>
        <v>4</v>
      </c>
      <c r="AY29" s="1284">
        <f>COUNTIFS(SurveyDATA!A:A,"*ISF*",SurveyDATA!E:E,"*BANCAL*",SurveyDATA!BM:BM,"*COMMERCIAL*",SurveyDATA!BN:BN,"*STRUCTURE OWNER*",SurveyDATA!FQ:FQ,"*STAY*")</f>
        <v>0</v>
      </c>
      <c r="AZ29" s="1284">
        <f>COUNTIFS(SurveyDATA!A:A,"*ISF*",SurveyDATA!E:E,"*BANCAL*",SurveyDATA!BM:BM,"*COMMERCIAL*",SurveyDATA!BN:BN,"*STRUCTURE OWNER*",SurveyDATA!FQ:FQ,"*NEED*")</f>
        <v>0</v>
      </c>
      <c r="BA29" s="1149"/>
      <c r="BB29" s="1230"/>
      <c r="BC29" s="1634">
        <f t="shared" si="23"/>
        <v>0</v>
      </c>
      <c r="BD29" s="1635">
        <f t="shared" si="23"/>
        <v>0</v>
      </c>
    </row>
    <row r="30" spans="1:56">
      <c r="Z30" s="1589"/>
      <c r="AA30" s="1589" t="s">
        <v>11001</v>
      </c>
      <c r="AB30" s="1394">
        <f>COUNTIFS(SurveyDATA!$E:$E,"*MALHACAN*",SurveyDATA!$BM:$BM,"*RESIDENTIAL*",SurveyDATA!$BN:$BN,"*STRUCTURE OWNER*",SurveyDATA!$A:$A,"LEGAL",SurveyDATA!$FQ:$FQ,"*STAY*")</f>
        <v>0</v>
      </c>
      <c r="AC30" s="1394">
        <f>COUNTIFS(SurveyDATA!$E:$E,"*MALHACAN*",SurveyDATA!$BM:$BM,"*RESIDENTIAL*",SurveyDATA!$BN:$BN,"*STRUCTURE OWNER*",SurveyDATA!$A:$A,"LEGAL",SurveyDATA!$FQ:$FQ,"*NEED*")</f>
        <v>0</v>
      </c>
      <c r="AD30" s="1394">
        <f>COUNTIFS(SurveyDATA!$E:$E,"*MALHACAN*",SurveyDATA!$BM:$BM,"*MIXED*",SurveyDATA!$BN:$BN,"*STRUCTURE OWNER*",SurveyDATA!$A:$A,"LEGAL",SurveyDATA!$FQ:$FQ,"*STAY*")</f>
        <v>0</v>
      </c>
      <c r="AE30" s="1394">
        <f>COUNTIFS(SurveyDATA!$E:$E,"*MALHACAN*",SurveyDATA!$BM:$BM,"*MIXED*",SurveyDATA!$BN:$BN,"*STRUCTURE OWNER*",SurveyDATA!$A:$A,"LEGAL",SurveyDATA!$FQ:$FQ,"*NEED*")</f>
        <v>0</v>
      </c>
      <c r="AF30" s="1394">
        <f>COUNTIFS(SurveyDATA!$E:$E,"*MALHACAN*",SurveyDATA!$BM:$BM,"*COMMERICIAL*",SurveyDATA!$BN:$BN,"*STRUCTURE OWNER*",SurveyDATA!$A:$A,"LEGAL",SurveyDATA!$FQ:$FQ,"*STAY*")</f>
        <v>0</v>
      </c>
      <c r="AG30" s="1394">
        <f>COUNTIFS(SurveyDATA!$E:$E,"*MALHACAN*",SurveyDATA!$BM:$BM,"*COMMERCIAL*",SurveyDATA!$BN:$BN,"*STRUCTURE OWNER*",SurveyDATA!$A:$A,"LEGAL",SurveyDATA!$FQ:$FQ,"*NEED*")</f>
        <v>0</v>
      </c>
      <c r="AH30" s="1394">
        <f>COUNTIFS(SurveyDATA!$E:$E,"*MALHACAN*",SurveyDATA!$BM:$BM,"*INSTITUTIONAL*",SurveyDATA!$BN:$BN,"*STRUCTURE OWNER*",SurveyDATA!$A:$A,"LEGAL",SurveyDATA!$FQ:$FQ,"*STAY*")</f>
        <v>0</v>
      </c>
      <c r="AI30" s="1394">
        <f>COUNTIFS(SurveyDATA!$E:$E,"*MALHACAN*",SurveyDATA!$BM:$BM,"*INSTITUTIONAL*",SurveyDATA!$BN:$BN,"*STRUCTURE OWNER*",SurveyDATA!$A:$A,"LEGAL",SurveyDATA!$FQ:$FQ,"*NEED*")</f>
        <v>0</v>
      </c>
      <c r="AJ30" s="1394">
        <f>COUNTIFS(SurveyDATA!$E:$E,"*MALHACAN*",SurveyDATA!$BM:$BM,"RESIDENTIAL*",SurveyDATA!$BN:$BN,"*STRUCTURE RENTER*",SurveyDATA!$A:$A,"LEGAL",SurveyDATA!$FQ:$FQ,"*STAY*")</f>
        <v>0</v>
      </c>
      <c r="AK30" s="1394">
        <f>COUNTIFS(SurveyDATA!$E:$E,"*MALHACAN*",SurveyDATA!$BM:$BM,"RESIDENTIAL*",SurveyDATA!$BN:$BN,"*STRUCTURE RENTER*",SurveyDATA!$A:$A,"LEGAL",SurveyDATA!$FQ:$FQ,"*NEED*")</f>
        <v>0</v>
      </c>
      <c r="AL30" s="1394">
        <f>COUNTIFS(SurveyDATA!$E:$E,"*MALHACAN*",SurveyDATA!$BM:$BM,"RESIDENTIAL*",SurveyDATA!$BN:$BN,"*STRUCTURE OWNER*",SurveyDATA!$A:$A,"LEGAL",SurveyDATA!$FQ:$FQ,"*STAY*",SurveyDATA!BL:BL,"*ABSENTEE*")</f>
        <v>0</v>
      </c>
      <c r="AM30" s="1394">
        <f>COUNTIFS(SurveyDATA!$E:$E,"*MALHACAN*",SurveyDATA!$BM:$BM,"RESIDENTIAL*",SurveyDATA!$BN:$BN,"*STRUCTURE OWNER*",SurveyDATA!$A:$A,"LEGAL",SurveyDATA!$FQ:$FQ,"*NEED*",SurveyDATA!BL:BL,"*ABSENTEE*")</f>
        <v>0</v>
      </c>
      <c r="AN30" s="1395">
        <f>COUNTIFS(SurveyDATA!A:A,"*LEGAL*",SurveyDATA!E:E,"*MALHACAN*",SurveyDATA!AK:AK,"LAND OWNER",SurveyDATA!AN:AN,"&lt;20%",SurveyDATA!BL:BL,"")</f>
        <v>1</v>
      </c>
      <c r="AO30" s="1395">
        <f>COUNTIFS(SurveyDATA!A:A,"*LEGAL*",SurveyDATA!E:E,"*MALHACAN*",SurveyDATA!AK:AK,"LAND OWNER",SurveyDATA!AN:AN,"&gt;20%",SurveyDATA!BL:BL,"")</f>
        <v>1</v>
      </c>
      <c r="AP30" s="1624"/>
      <c r="AQ30" s="1624"/>
      <c r="AR30" s="1395">
        <f t="shared" si="22"/>
        <v>1</v>
      </c>
      <c r="AS30" s="1395">
        <f t="shared" si="22"/>
        <v>1</v>
      </c>
      <c r="AU30" s="1589"/>
      <c r="AV30" s="1589" t="s">
        <v>11001</v>
      </c>
      <c r="AW30" s="1283">
        <f>COUNTIFS(SurveyDATA!A:A,"*ISF*",SurveyDATA!E:E,"*MALHACAN*",SurveyDATA!BM:BM,"*RESiDENTIAL*",SurveyDATA!BN:BN,"*STRUCTURE OWNER*",SurveyDATA!FQ:FQ,"*STAY*")</f>
        <v>0</v>
      </c>
      <c r="AX30" s="1284">
        <f>COUNTIFS(SurveyDATA!A:A,"*ISF*",SurveyDATA!E:E,"*MALHACAN*",SurveyDATA!BM:BM,"*RESiDENTIAL*",SurveyDATA!BN:BN,"*STRUCTURE OWNER*",SurveyDATA!FQ:FQ,"*NEED*")</f>
        <v>0</v>
      </c>
      <c r="AY30" s="1284">
        <f>COUNTIFS(SurveyDATA!A:A,"*ISF*",SurveyDATA!E:E,"*MALHACAN*",SurveyDATA!BM:BM,"*COMMERCIAL*",SurveyDATA!BN:BN,"*STRUCTURE OWNER*",SurveyDATA!FQ:FQ,"*STAY*")</f>
        <v>0</v>
      </c>
      <c r="AZ30" s="1284">
        <f>COUNTIFS(SurveyDATA!A:A,"*ISF*",SurveyDATA!E:E,"*MALHACAN*",SurveyDATA!BM:BM,"*COMMERCIAL*",SurveyDATA!BN:BN,"*STRUCTURE OWNER*",SurveyDATA!FQ:FQ,"*NEED*")</f>
        <v>0</v>
      </c>
      <c r="BA30" s="1625"/>
      <c r="BB30" s="1626"/>
      <c r="BC30" s="1634">
        <f t="shared" si="23"/>
        <v>1</v>
      </c>
      <c r="BD30" s="1635">
        <f t="shared" si="23"/>
        <v>4</v>
      </c>
    </row>
    <row r="31" spans="1:56">
      <c r="Z31" s="1589"/>
      <c r="AA31" s="1619" t="s">
        <v>12285</v>
      </c>
      <c r="AB31" s="1620">
        <f>SUM(AB27:AB30)</f>
        <v>3</v>
      </c>
      <c r="AC31" s="1620">
        <f>SUM(AC27:AC30)</f>
        <v>10</v>
      </c>
      <c r="AD31" s="1620">
        <f>SUM(AD27:AD30)</f>
        <v>0</v>
      </c>
      <c r="AE31" s="1620">
        <f>SUM(AE27:AE30)</f>
        <v>0</v>
      </c>
      <c r="AF31" s="1620">
        <f t="shared" ref="AF31:AS31" si="24">SUM(AF27:AF30)</f>
        <v>0</v>
      </c>
      <c r="AG31" s="1620">
        <f t="shared" si="24"/>
        <v>0</v>
      </c>
      <c r="AH31" s="1620">
        <f t="shared" si="24"/>
        <v>0</v>
      </c>
      <c r="AI31" s="1620">
        <f t="shared" si="24"/>
        <v>0</v>
      </c>
      <c r="AJ31" s="1620">
        <f t="shared" si="24"/>
        <v>0</v>
      </c>
      <c r="AK31" s="1620">
        <f t="shared" si="24"/>
        <v>0</v>
      </c>
      <c r="AL31" s="1620">
        <f>SUM(AL27:AL30)</f>
        <v>0</v>
      </c>
      <c r="AM31" s="1620">
        <f t="shared" si="24"/>
        <v>0</v>
      </c>
      <c r="AN31" s="1620">
        <f t="shared" si="24"/>
        <v>1</v>
      </c>
      <c r="AO31" s="1620">
        <f t="shared" si="24"/>
        <v>4</v>
      </c>
      <c r="AP31" s="1620">
        <f t="shared" si="24"/>
        <v>0</v>
      </c>
      <c r="AQ31" s="1620">
        <f t="shared" si="24"/>
        <v>0</v>
      </c>
      <c r="AR31" s="1620">
        <f t="shared" si="24"/>
        <v>4</v>
      </c>
      <c r="AS31" s="1620">
        <f t="shared" si="24"/>
        <v>14</v>
      </c>
      <c r="AU31" s="1589"/>
      <c r="AV31" s="1619" t="s">
        <v>12285</v>
      </c>
      <c r="AW31" s="638">
        <f t="shared" ref="AW31:BD31" si="25">SUM(AW27:AW30)</f>
        <v>1</v>
      </c>
      <c r="AX31" s="638">
        <f t="shared" si="25"/>
        <v>4</v>
      </c>
      <c r="AY31" s="638">
        <f t="shared" si="25"/>
        <v>0</v>
      </c>
      <c r="AZ31" s="638">
        <f t="shared" si="25"/>
        <v>0</v>
      </c>
      <c r="BA31" s="638">
        <f t="shared" si="25"/>
        <v>0</v>
      </c>
      <c r="BB31" s="1289">
        <f t="shared" si="25"/>
        <v>0</v>
      </c>
      <c r="BC31" s="1285">
        <f t="shared" si="25"/>
        <v>1</v>
      </c>
      <c r="BD31" s="1286">
        <f t="shared" si="25"/>
        <v>5</v>
      </c>
    </row>
    <row r="32" spans="1:56">
      <c r="Z32" s="1589" t="s">
        <v>5390</v>
      </c>
      <c r="AA32" s="1589" t="s">
        <v>5391</v>
      </c>
      <c r="AB32" s="1394">
        <f>COUNTIFS(SurveyDATA!$E:$E,"*MALANDAY*",SurveyDATA!$BM:$BM,"*RESIDENTIAL*",SurveyDATA!$BN:$BN,"*STRUCTURE OWNER*",SurveyDATA!$A:$A,"LEGAL",SurveyDATA!$FQ:$FQ,"*STAY*")</f>
        <v>0</v>
      </c>
      <c r="AC32" s="1394">
        <f>COUNTIFS(SurveyDATA!$E:$E,"*MALANDAY*",SurveyDATA!$BM:$BM,"*RESIDENTIAL*",SurveyDATA!$BN:$BN,"*STRUCTURE OWNER*",SurveyDATA!$A:$A,"LEGAL",SurveyDATA!$FQ:$FQ,"*NEED*")</f>
        <v>0</v>
      </c>
      <c r="AD32" s="1394">
        <f>COUNTIFS(SurveyDATA!$E:$E,"*MALANDAY*",SurveyDATA!$BM:$BM,"*MIXED*",SurveyDATA!$BN:$BN,"*STRUCTURE OWNER*",SurveyDATA!$A:$A,"LEGAL",SurveyDATA!$FQ:$FQ,"*STAY*")</f>
        <v>0</v>
      </c>
      <c r="AE32" s="1394">
        <f>COUNTIFS(SurveyDATA!$E:$E,"*MALANDAY*",SurveyDATA!$BM:$BM,"*MIXED*",SurveyDATA!$BN:$BN,"*STRUCTURE OWNER*",SurveyDATA!$A:$A,"LEGAL",SurveyDATA!$FQ:$FQ,"*NEED*")</f>
        <v>0</v>
      </c>
      <c r="AF32" s="1394">
        <f>COUNTIFS(SurveyDATA!$E:$E,"*MALANDAY*",SurveyDATA!$BM:$BM,"*COMMERICIAL*",SurveyDATA!$BN:$BN,"*STRUCTURE OWNER*",SurveyDATA!$A:$A,"LEGAL",SurveyDATA!$FQ:$FQ,"*STAY*")</f>
        <v>0</v>
      </c>
      <c r="AG32" s="1394">
        <f>COUNTIFS(SurveyDATA!$E:$E,"*MALANDAY*",SurveyDATA!$BM:$BM,"*COMMERCIAL*",SurveyDATA!$BN:$BN,"*STRUCTURE OWNER*",SurveyDATA!$A:$A,"LEGAL",SurveyDATA!$FQ:$FQ,"*NEED*")</f>
        <v>1</v>
      </c>
      <c r="AH32" s="1394">
        <f>COUNTIFS(SurveyDATA!$E:$E,"*MALANDAY*",SurveyDATA!$BM:$BM,"*INSTITUTIONAL*",SurveyDATA!$BN:$BN,"*STRUCTURE OWNER*",SurveyDATA!$A:$A,"LEGAL",SurveyDATA!$FQ:$FQ,"*STAY*")</f>
        <v>0</v>
      </c>
      <c r="AI32" s="1394">
        <f>COUNTIFS(SurveyDATA!$E:$E,"*MALANDAY*",SurveyDATA!$BM:$BM,"*INSTITUTIONAL*",SurveyDATA!$BN:$BN,"*STRUCTURE OWNER*",SurveyDATA!$A:$A,"LEGAL",SurveyDATA!$FQ:$FQ,"*NEED*")</f>
        <v>0</v>
      </c>
      <c r="AJ32" s="1394">
        <f>COUNTIFS(SurveyDATA!$E:$E,"*MALANDAY*",SurveyDATA!$BM:$BM,"RESIDENTIAL*",SurveyDATA!$BN:$BN,"*STRUCTURE RENTER*",SurveyDATA!$A:$A,"LEGAL",SurveyDATA!$FQ:$FQ,"*STAY*")</f>
        <v>0</v>
      </c>
      <c r="AK32" s="1394">
        <f>COUNTIFS(SurveyDATA!$E:$E,"*MALANDAY*",SurveyDATA!$BM:$BM,"RESIDENTIAL*",SurveyDATA!$BN:$BN,"*STRUCTURE RENTER*",SurveyDATA!$A:$A,"LEGAL",SurveyDATA!$FQ:$FQ,"*NEED*")</f>
        <v>0</v>
      </c>
      <c r="AL32" s="1394">
        <f>COUNTIFS(SurveyDATA!$E:$E,"*MALANDAY*",SurveyDATA!$BM:$BM,"RESIDENTIAL*",SurveyDATA!$BN:$BN,"*STRUCTURE OWNER*",SurveyDATA!$A:$A,"LEGAL",SurveyDATA!$FQ:$FQ,"*STAY*",SurveyDATA!BL:BL,"*ABSENTEE*")</f>
        <v>0</v>
      </c>
      <c r="AM32" s="1394">
        <f>COUNTIFS(SurveyDATA!$E:$E,"*MALANDAY*",SurveyDATA!$BM:$BM,"RESIDENTIAL*",SurveyDATA!$BN:$BN,"*STRUCTURE OWNER*",SurveyDATA!$A:$A,"LEGAL",SurveyDATA!$FQ:$FQ,"*NEED*",SurveyDATA!BL:BL,"*ABSENTEE*")</f>
        <v>0</v>
      </c>
      <c r="AN32" s="1395">
        <f>COUNTIFS(SurveyDATA!A:A,"*LEGAL*",SurveyDATA!E:E,"*MALANDAY*",SurveyDATA!AK:AK,"LAND OWNER",SurveyDATA!AN:AN,"&lt;20%",SurveyDATA!BL:BL,"")</f>
        <v>0</v>
      </c>
      <c r="AO32" s="1395">
        <f>COUNTIFS(SurveyDATA!A:A,"*LEGAL*",SurveyDATA!E:E,"*MALANDAY*",SurveyDATA!AK:AK,"LAND OWNER",SurveyDATA!AN:AN,"&gt;20%",SurveyDATA!BL:BL,"")</f>
        <v>0</v>
      </c>
      <c r="AP32" s="1624"/>
      <c r="AQ32" s="1624"/>
      <c r="AR32" s="1395">
        <f t="shared" ref="AR32:AS34" si="26">SUM(AP32,AN32,AL32,AJ32,AH32,AF32,AJ32,AD32,AB32,)</f>
        <v>0</v>
      </c>
      <c r="AS32" s="1395">
        <f t="shared" si="26"/>
        <v>1</v>
      </c>
      <c r="AU32" s="1589" t="s">
        <v>5390</v>
      </c>
      <c r="AV32" s="1589" t="s">
        <v>5391</v>
      </c>
      <c r="AW32" s="1283">
        <f>COUNTIFS(SurveyDATA!A:A,"*ISF*",SurveyDATA!E:E,"*MALANDAY*",SurveyDATA!BM:BM,"*RESiDENTIAL*",SurveyDATA!BN:BN,"*STRUCTURE OWNER*",SurveyDATA!FQ:FQ,"*STAY*")</f>
        <v>0</v>
      </c>
      <c r="AX32" s="1284">
        <f>COUNTIFS(SurveyDATA!A:A,"*ISF*",SurveyDATA!E:E,"*MALANDAY*",SurveyDATA!BM:BM,"*RESiDENTIAL*",SurveyDATA!BN:BN,"*STRUCTURE OWNER*",SurveyDATA!FQ:FQ,"*NEED*")</f>
        <v>18</v>
      </c>
      <c r="AY32" s="1284">
        <f>COUNTIFS(SurveyDATA!A:A,"*ISF*",SurveyDATA!E:E,"*MALANDAY*",SurveyDATA!BM:BM,"*COMMERCIAL*",SurveyDATA!BN:BN,"*STRUCTURE OWNER*",SurveyDATA!FQ:FQ,"*STAY*")</f>
        <v>0</v>
      </c>
      <c r="AZ32" s="1284">
        <f>COUNTIFS(SurveyDATA!A:A,"*ISF*",SurveyDATA!E:E,"*MALANDAY*",SurveyDATA!BM:BM,"*COMMERCIAL*",SurveyDATA!BN:BN,"*STRUCTURE OWNER*",SurveyDATA!FQ:FQ,"*NEED*")</f>
        <v>0</v>
      </c>
      <c r="BA32" s="1625"/>
      <c r="BB32" s="1626"/>
      <c r="BC32" s="1634">
        <f t="shared" ref="BC32:BD34" si="27">SUM(AW31,AY31,BA31,)</f>
        <v>1</v>
      </c>
      <c r="BD32" s="1635">
        <f t="shared" si="27"/>
        <v>4</v>
      </c>
    </row>
    <row r="33" spans="26:56">
      <c r="Z33" s="1589"/>
      <c r="AA33" s="1589" t="s">
        <v>5818</v>
      </c>
      <c r="AB33" s="1394">
        <f>COUNTIFS(SurveyDATA!$E:$E,"*DALANDANAN*",SurveyDATA!$BM:$BM,"*RESIDENTIAL*",SurveyDATA!$BN:$BN,"*STRUCTURE OWNER*",SurveyDATA!$A:$A,"LEGAL",SurveyDATA!$FQ:$FQ,"*STAY*")</f>
        <v>0</v>
      </c>
      <c r="AC33" s="1394">
        <f>COUNTIFS(SurveyDATA!$E:$E,"*DALANDANAN*",SurveyDATA!$BM:$BM,"*RESIDENTIAL*",SurveyDATA!$BN:$BN,"*STRUCTURE OWNER*",SurveyDATA!$A:$A,"LEGAL",SurveyDATA!$FQ:$FQ,"*NEED*")</f>
        <v>0</v>
      </c>
      <c r="AD33" s="1394">
        <f>COUNTIFS(SurveyDATA!$E:$E,"*DALANDANAN*",SurveyDATA!$BM:$BM,"*MIXED*",SurveyDATA!$BN:$BN,"*STRUCTURE OWNER*",SurveyDATA!$A:$A,"LEGAL",SurveyDATA!$FQ:$FQ,"*STAY*")</f>
        <v>1</v>
      </c>
      <c r="AE33" s="1394">
        <f>COUNTIFS(SurveyDATA!$E:$E,"*DALANDANAN*",SurveyDATA!$BM:$BM,"*MIXED*",SurveyDATA!$BN:$BN,"*STRUCTURE OWNER*",SurveyDATA!$A:$A,"LEGAL",SurveyDATA!$FQ:$FQ,"*NEED*")</f>
        <v>0</v>
      </c>
      <c r="AF33" s="1394">
        <f>COUNTIFS(SurveyDATA!$E:$E,"*DALANDANAN*",SurveyDATA!$BM:$BM,"*COMMERICIAL*",SurveyDATA!$BN:$BN,"*STRUCTURE OWNER*",SurveyDATA!$A:$A,"LEGAL",SurveyDATA!$FQ:$FQ,"*STAY*")</f>
        <v>0</v>
      </c>
      <c r="AG33" s="1394">
        <f>COUNTIFS(SurveyDATA!$E:$E,"*DALANDANAN*",SurveyDATA!$BM:$BM,"*COMMERCIAL*",SurveyDATA!$BN:$BN,"*STRUCTURE OWNER*",SurveyDATA!$A:$A,"LEGAL",SurveyDATA!$FQ:$FQ,"*NEED*")</f>
        <v>0</v>
      </c>
      <c r="AH33" s="1394">
        <f>COUNTIFS(SurveyDATA!$E:$E,"*DALANDANAN*",SurveyDATA!$BM:$BM,"*INSTITUTIONAL*",SurveyDATA!$BN:$BN,"*STRUCTURE OWNER*",SurveyDATA!$A:$A,"LEGAL",SurveyDATA!$FQ:$FQ,"*STAY*")</f>
        <v>0</v>
      </c>
      <c r="AI33" s="1394">
        <f>COUNTIFS(SurveyDATA!$E:$E,"*DALANDANAN*",SurveyDATA!$BM:$BM,"*INSTITUTIONAL*",SurveyDATA!$BN:$BN,"*STRUCTURE OWNER*",SurveyDATA!$A:$A,"LEGAL",SurveyDATA!$FQ:$FQ,"*NEED*")</f>
        <v>0</v>
      </c>
      <c r="AJ33" s="1394">
        <f>COUNTIFS(SurveyDATA!$E:$E,"*DALANDANAN*",SurveyDATA!$BM:$BM,"RESIDENTIAL*",SurveyDATA!$BN:$BN,"*STRUCTURE RENTER*",SurveyDATA!$A:$A,"LEGAL",SurveyDATA!$FQ:$FQ,"*STAY*")</f>
        <v>0</v>
      </c>
      <c r="AK33" s="1394">
        <f>COUNTIFS(SurveyDATA!$E:$E,"*DALANDANAN*",SurveyDATA!$BM:$BM,"RESIDENTIAL*",SurveyDATA!$BN:$BN,"*STRUCTURE RENTER*",SurveyDATA!$A:$A,"LEGAL",SurveyDATA!$FQ:$FQ,"*NEED*")</f>
        <v>0</v>
      </c>
      <c r="AL33" s="1394">
        <f>COUNTIFS(SurveyDATA!$E:$E,"*DALANDANAN*",SurveyDATA!$BM:$BM,"RESIDENTIAL*",SurveyDATA!$BN:$BN,"*STRUCTURE OWNER*",SurveyDATA!$A:$A,"LEGAL",SurveyDATA!$FQ:$FQ,"*STAY*",SurveyDATA!BL:BL,"*ABSENTEE*")</f>
        <v>0</v>
      </c>
      <c r="AM33" s="1394">
        <f>COUNTIFS(SurveyDATA!$E:$E,"*DALANDANAN*",SurveyDATA!$BM:$BM,"RESIDENTIAL*",SurveyDATA!$BN:$BN,"*STRUCTURE OWNER*",SurveyDATA!$A:$A,"LEGAL",SurveyDATA!$FQ:$FQ,"*NEED*",SurveyDATA!BL:BL,"*ABSENTEE*")</f>
        <v>0</v>
      </c>
      <c r="AN33" s="1395">
        <f>COUNTIFS(SurveyDATA!A:A,"*LEGAL*",SurveyDATA!E:E,"*DALANDANAN*",SurveyDATA!AK:AK,"LAND OWNER",SurveyDATA!AN:AN,"&lt;20%",SurveyDATA!BL:BL,"")</f>
        <v>0</v>
      </c>
      <c r="AO33" s="1395">
        <f>COUNTIFS(SurveyDATA!A:A,"*LEGAL*",SurveyDATA!E:E,"*DALANDANAN*",SurveyDATA!AK:AK,"LAND OWNER",SurveyDATA!AN:AN,"&gt;20%",SurveyDATA!BL:BL,"")</f>
        <v>0</v>
      </c>
      <c r="AP33" s="1624"/>
      <c r="AQ33" s="1624"/>
      <c r="AR33" s="1395">
        <f t="shared" si="26"/>
        <v>1</v>
      </c>
      <c r="AS33" s="1395">
        <f t="shared" si="26"/>
        <v>0</v>
      </c>
      <c r="AU33" s="1589"/>
      <c r="AV33" s="1589" t="s">
        <v>5818</v>
      </c>
      <c r="AW33" s="1283">
        <f>COUNTIFS(SurveyDATA!A:A,"*ISF*",SurveyDATA!E:E,"*DALANDANAN*",SurveyDATA!BM:BM,"*RESiDENTIAL*",SurveyDATA!BN:BN,"*STRUCTURE OWNER*",SurveyDATA!FQ:FQ,"*STAY*")</f>
        <v>0</v>
      </c>
      <c r="AX33" s="1284">
        <f>COUNTIFS(SurveyDATA!A:A,"*ISF*",SurveyDATA!E:E,"*DALANDANAN*",SurveyDATA!BM:BM,"*RESiDENTIAL*",SurveyDATA!BN:BN,"*STRUCTURE OWNER*",SurveyDATA!FQ:FQ,"*NEED*")</f>
        <v>1</v>
      </c>
      <c r="AY33" s="1284">
        <f>COUNTIFS(SurveyDATA!A:A,"*ISF*",SurveyDATA!E:E,"*DALANDANAN*",SurveyDATA!BM:BM,"*COMMERCIAL*",SurveyDATA!BN:BN,"*STRUCTURE OWNER*",SurveyDATA!FQ:FQ,"*STAY*")</f>
        <v>0</v>
      </c>
      <c r="AZ33" s="1284">
        <f>COUNTIFS(SurveyDATA!A:A,"*ISF*",SurveyDATA!E:E,"*DALANDANAN*",SurveyDATA!BM:BM,"*COMMERCIAL*",SurveyDATA!BN:BN,"*STRUCTURE OWNER*",SurveyDATA!FQ:FQ,"*NEED*")</f>
        <v>0</v>
      </c>
      <c r="BA33" s="1625"/>
      <c r="BB33" s="1626"/>
      <c r="BC33" s="1634">
        <f t="shared" si="27"/>
        <v>0</v>
      </c>
      <c r="BD33" s="1635">
        <f t="shared" si="27"/>
        <v>18</v>
      </c>
    </row>
    <row r="34" spans="26:56">
      <c r="Z34" s="1589"/>
      <c r="AA34" s="1589" t="s">
        <v>5392</v>
      </c>
      <c r="AB34" s="1394">
        <f>COUNTIFS(SurveyDATA!$E:$E,"*MALINTA*",SurveyDATA!$BM:$BM,"*RESIDENTIAL*",SurveyDATA!$BN:$BN,"*STRUCTURE OWNER*",SurveyDATA!$A:$A,"LEGAL",SurveyDATA!$FQ:$FQ,"*STAY*")</f>
        <v>6</v>
      </c>
      <c r="AC34" s="1394">
        <f>COUNTIFS(SurveyDATA!$E:$E,"*MALINTA*",SurveyDATA!$BM:$BM,"*RESIDENTIAL*",SurveyDATA!$BN:$BN,"*STRUCTURE OWNER*",SurveyDATA!$A:$A,"LEGAL",SurveyDATA!$FQ:$FQ,"*NEED*")</f>
        <v>12</v>
      </c>
      <c r="AD34" s="1394">
        <f>COUNTIFS(SurveyDATA!$E:$E,"*MALINTA*",SurveyDATA!$BM:$BM,"*MIXED*",SurveyDATA!$BN:$BN,"*STRUCTURE OWNER*",SurveyDATA!$A:$A,"LEGAL",SurveyDATA!$FQ:$FQ,"*STAY*")</f>
        <v>1</v>
      </c>
      <c r="AE34" s="1394">
        <f>COUNTIFS(SurveyDATA!$E:$E,"*MALINTA*",SurveyDATA!$BM:$BM,"*MIXED*",SurveyDATA!$BN:$BN,"*STRUCTURE OWNER*",SurveyDATA!$A:$A,"LEGAL",SurveyDATA!$FQ:$FQ,"*NEED*")</f>
        <v>2</v>
      </c>
      <c r="AF34" s="1394">
        <f>COUNTIFS(SurveyDATA!$E:$E,"*MALINTA*",SurveyDATA!$BM:$BM,"*COMMERICIAL*",SurveyDATA!$BN:$BN,"*STRUCTURE OWNER*",SurveyDATA!$A:$A,"LEGAL",SurveyDATA!$FQ:$FQ,"*STAY*")</f>
        <v>0</v>
      </c>
      <c r="AG34" s="1394">
        <f>COUNTIFS(SurveyDATA!$E:$E,"*MALINTA*",SurveyDATA!$BM:$BM,"*COMMERCIAL*",SurveyDATA!$BN:$BN,"*STRUCTURE OWNER*",SurveyDATA!$A:$A,"LEGAL",SurveyDATA!$FQ:$FQ,"*NEED*")</f>
        <v>0</v>
      </c>
      <c r="AH34" s="1394">
        <f>COUNTIFS(SurveyDATA!$E:$E,"*MALINTA*",SurveyDATA!$BM:$BM,"*INSTITUTIONAL*",SurveyDATA!$BN:$BN,"*STRUCTURE OWNER*",SurveyDATA!$A:$A,"LEGAL",SurveyDATA!$FQ:$FQ,"*STAY*")</f>
        <v>0</v>
      </c>
      <c r="AI34" s="1394">
        <f>COUNTIFS(SurveyDATA!$E:$E,"*MALINTA*",SurveyDATA!$BM:$BM,"*INSTITUTIONAL*",SurveyDATA!$BN:$BN,"*STRUCTURE OWNER*",SurveyDATA!$A:$A,"LEGAL",SurveyDATA!$FQ:$FQ,"*NEED*")</f>
        <v>0</v>
      </c>
      <c r="AJ34" s="1394">
        <f>COUNTIFS(SurveyDATA!$E:$E,"*MALINTA*",SurveyDATA!$BM:$BM,"RESIDENTIAL*",SurveyDATA!$BN:$BN,"*STRUCTURE RENTER*",SurveyDATA!$A:$A,"LEGAL",SurveyDATA!$FQ:$FQ,"*STAY*")</f>
        <v>0</v>
      </c>
      <c r="AK34" s="1394">
        <f>COUNTIFS(SurveyDATA!$E:$E,"*MALHACAN*",SurveyDATA!$BM:$BM,"RESIDENTIAL*",SurveyDATA!$BN:$BN,"*STRUCTURE RENTER*",SurveyDATA!$A:$A,"LEGAL",SurveyDATA!$FQ:$FQ,"*NEED*")</f>
        <v>0</v>
      </c>
      <c r="AL34" s="1394">
        <f>COUNTIFS(SurveyDATA!$E:$E,"*MALINTA*",SurveyDATA!$BM:$BM,"RESIDENTIAL*",SurveyDATA!$BN:$BN,"*STRUCTURE OWNER*",SurveyDATA!$A:$A,"LEGAL",SurveyDATA!$FQ:$FQ,"*STAY*",SurveyDATA!BL:BL,"*ABSENTEE*")</f>
        <v>0</v>
      </c>
      <c r="AM34" s="1394">
        <f>COUNTIFS(SurveyDATA!$E:$E,"*MALINTA*",SurveyDATA!$BM:$BM,"RESIDENTIAL*",SurveyDATA!$BN:$BN,"*STRUCTURE OWNER*",SurveyDATA!$A:$A,"LEGAL",SurveyDATA!$FQ:$FQ,"*NEED*",SurveyDATA!BL:BL,"*ABSENTEE*")</f>
        <v>0</v>
      </c>
      <c r="AN34" s="1395">
        <f>COUNTIFS(SurveyDATA!A:A,"*LEGAL*",SurveyDATA!E:E,"*MALINTA*",SurveyDATA!AK:AK,"LAND OWNER",SurveyDATA!AN:AN,"&lt;20%",SurveyDATA!BL:BL,"")</f>
        <v>1</v>
      </c>
      <c r="AO34" s="1395">
        <f>COUNTIFS(SurveyDATA!A:A,"*LEGAL*",SurveyDATA!E:E,"*MALINTA*",SurveyDATA!AK:AK,"LAND OWNER",SurveyDATA!AN:AN,"&gt;20%",SurveyDATA!BL:BL,"")</f>
        <v>10</v>
      </c>
      <c r="AP34" s="1624"/>
      <c r="AQ34" s="1624"/>
      <c r="AR34" s="1395">
        <f t="shared" si="26"/>
        <v>8</v>
      </c>
      <c r="AS34" s="1395">
        <f t="shared" si="26"/>
        <v>24</v>
      </c>
      <c r="AU34" s="1589"/>
      <c r="AV34" s="1589" t="s">
        <v>5392</v>
      </c>
      <c r="AW34" s="1283">
        <f>COUNTIFS(SurveyDATA!A:A,"*ISF*",SurveyDATA!E:E,"*MALINTA*",SurveyDATA!BM:BM,"*RESiDENTIAL*",SurveyDATA!BN:BN,"*STRUCTURE OWNER*",SurveyDATA!FQ:FQ,"*STAY*")</f>
        <v>2</v>
      </c>
      <c r="AX34" s="1284">
        <f>COUNTIFS(SurveyDATA!A:A,"*ISF*",SurveyDATA!E:E,"*MALINTA*",SurveyDATA!BM:BM,"*RESiDENTIAL*",SurveyDATA!BN:BN,"*STRUCTURE OWNER*",SurveyDATA!FQ:FQ,"*NEED*")</f>
        <v>20</v>
      </c>
      <c r="AY34" s="1284">
        <f>COUNTIFS(SurveyDATA!A:A,"*ISF*",SurveyDATA!E:E,"*MALINTA*",SurveyDATA!BM:BM,"*COMMERCIAL*",SurveyDATA!BN:BN,"*STRUCTURE OWNER*",SurveyDATA!FQ:FQ,"*STAY*")</f>
        <v>0</v>
      </c>
      <c r="AZ34" s="1284">
        <f>COUNTIFS(SurveyDATA!A:A,"*ISF*",SurveyDATA!E:E,"*MALINTA*",SurveyDATA!BM:BM,"*COMMERCIAL*",SurveyDATA!BN:BN,"*STRUCTURE OWNER*",SurveyDATA!FQ:FQ,"*NEED*")</f>
        <v>0</v>
      </c>
      <c r="BA34" s="1625"/>
      <c r="BB34" s="1626"/>
      <c r="BC34" s="1634">
        <f t="shared" si="27"/>
        <v>0</v>
      </c>
      <c r="BD34" s="1635">
        <f t="shared" si="27"/>
        <v>1</v>
      </c>
    </row>
    <row r="35" spans="26:56">
      <c r="Z35" s="1589"/>
      <c r="AA35" s="1619" t="s">
        <v>12285</v>
      </c>
      <c r="AB35" s="1620">
        <f>SUM(AB32:AB34)</f>
        <v>6</v>
      </c>
      <c r="AC35" s="1620">
        <f t="shared" ref="AC35:AS35" si="28">SUM(AC32:AC34)</f>
        <v>12</v>
      </c>
      <c r="AD35" s="1620">
        <f>SUM(AD32:AD34)</f>
        <v>2</v>
      </c>
      <c r="AE35" s="1620">
        <f>SUM(AE32:AE34)</f>
        <v>2</v>
      </c>
      <c r="AF35" s="1620">
        <f t="shared" si="28"/>
        <v>0</v>
      </c>
      <c r="AG35" s="1620">
        <f t="shared" si="28"/>
        <v>1</v>
      </c>
      <c r="AH35" s="1620">
        <f t="shared" si="28"/>
        <v>0</v>
      </c>
      <c r="AI35" s="1620">
        <f t="shared" si="28"/>
        <v>0</v>
      </c>
      <c r="AJ35" s="1620">
        <f t="shared" si="28"/>
        <v>0</v>
      </c>
      <c r="AK35" s="1620">
        <f t="shared" si="28"/>
        <v>0</v>
      </c>
      <c r="AL35" s="1620">
        <f>SUM(AL32:AL34)</f>
        <v>0</v>
      </c>
      <c r="AM35" s="1620">
        <f>SUM(AM32:AM34)</f>
        <v>0</v>
      </c>
      <c r="AN35" s="1620">
        <f t="shared" si="28"/>
        <v>1</v>
      </c>
      <c r="AO35" s="1620">
        <f t="shared" si="28"/>
        <v>10</v>
      </c>
      <c r="AP35" s="1620">
        <f t="shared" si="28"/>
        <v>0</v>
      </c>
      <c r="AQ35" s="1620">
        <f t="shared" si="28"/>
        <v>0</v>
      </c>
      <c r="AR35" s="1620">
        <f t="shared" si="28"/>
        <v>9</v>
      </c>
      <c r="AS35" s="1620">
        <f t="shared" si="28"/>
        <v>25</v>
      </c>
      <c r="AU35" s="1589"/>
      <c r="AV35" s="1619" t="s">
        <v>12285</v>
      </c>
      <c r="AW35" s="638">
        <f>SUM(AW32:AW34)</f>
        <v>2</v>
      </c>
      <c r="AX35" s="638">
        <f>SUM(AX32:AX34)</f>
        <v>39</v>
      </c>
      <c r="AY35" s="638">
        <f t="shared" ref="AY35:BD35" si="29">SUM(AY32:AY34)</f>
        <v>0</v>
      </c>
      <c r="AZ35" s="638">
        <f t="shared" si="29"/>
        <v>0</v>
      </c>
      <c r="BA35" s="638">
        <f t="shared" si="29"/>
        <v>0</v>
      </c>
      <c r="BB35" s="1289">
        <f t="shared" si="29"/>
        <v>0</v>
      </c>
      <c r="BC35" s="1285">
        <f t="shared" si="29"/>
        <v>1</v>
      </c>
      <c r="BD35" s="1286">
        <f t="shared" si="29"/>
        <v>23</v>
      </c>
    </row>
    <row r="36" spans="26:56">
      <c r="Z36" s="1589" t="s">
        <v>5362</v>
      </c>
      <c r="AA36" s="1589" t="s">
        <v>12693</v>
      </c>
      <c r="AB36" s="1394">
        <f>COUNTIFS(SurveyDATA!$E:$E,"*BRGY.9*",SurveyDATA!$BM:$BM,"*RESIDENTIAL*",SurveyDATA!$BN:$BN,"*STRUCTURE OWNER*",SurveyDATA!$A:$A,"LEGAL",SurveyDATA!$FQ:$FQ,"*STAY*")</f>
        <v>0</v>
      </c>
      <c r="AC36" s="1394">
        <f>COUNTIFS(SurveyDATA!$E:$E,"*BRGY.9*",SurveyDATA!$BM:$BM,"*RESIDENTIAL*",SurveyDATA!$BN:$BN,"*STRUCTURE OWNER*",SurveyDATA!$A:$A,"LEGAL",SurveyDATA!$FQ:$FQ,"*NEED*")</f>
        <v>0</v>
      </c>
      <c r="AD36" s="1394">
        <f>COUNTIFS(SurveyDATA!$E:$E,"*BRGY.9*",SurveyDATA!$BM:$BM,"*MIXED*",SurveyDATA!$BN:$BN,"*STRUCTURE OWNER*",SurveyDATA!$A:$A,"LEGAL",SurveyDATA!$FQ:$FQ,"*STAY*")</f>
        <v>0</v>
      </c>
      <c r="AE36" s="1394">
        <f>COUNTIFS(SurveyDATA!$E:$E,"*BRGY.9*",SurveyDATA!$BM:$BM,"*MIXED*",SurveyDATA!$BN:$BN,"*STRUCTURE OWNER*",SurveyDATA!$A:$A,"LEGAL",SurveyDATA!$FQ:$FQ,"*NEED*")</f>
        <v>0</v>
      </c>
      <c r="AF36" s="1394">
        <f>COUNTIFS(SurveyDATA!$E:$E,"*BRGY.9*",SurveyDATA!$BM:$BM,"*COMMERICIAL*",SurveyDATA!$BN:$BN,"*STRUCTURE OWNER*",SurveyDATA!$A:$A,"LEGAL",SurveyDATA!$FQ:$FQ,"*STAY*")</f>
        <v>0</v>
      </c>
      <c r="AG36" s="1394">
        <f>COUNTIFS(SurveyDATA!$E:$E,"*BRGY.9*",SurveyDATA!$BM:$BM,"*COMMERCIAL*",SurveyDATA!$BN:$BN,"*STRUCTURE OWNER*",SurveyDATA!$A:$A,"LEGAL",SurveyDATA!$FQ:$FQ,"*NEED*")</f>
        <v>0</v>
      </c>
      <c r="AH36" s="1394">
        <f>COUNTIFS(SurveyDATA!$E:$E,"*BRGY.9*",SurveyDATA!$BM:$BM,"*INSTITUTIONAL*",SurveyDATA!$BN:$BN,"*STRUCTURE OWNER*",SurveyDATA!$A:$A,"LEGAL",SurveyDATA!$FQ:$FQ,"*STAY*")</f>
        <v>0</v>
      </c>
      <c r="AI36" s="1394">
        <f>COUNTIFS(SurveyDATA!$E:$E,"*BRGY.9*",SurveyDATA!$BM:$BM,"*INSTITUTIONAL*",SurveyDATA!$BN:$BN,"*STRUCTURE OWNER*",SurveyDATA!$A:$A,"LEGAL",SurveyDATA!$FQ:$FQ,"*NEED*")</f>
        <v>0</v>
      </c>
      <c r="AJ36" s="1394">
        <f>COUNTIFS(SurveyDATA!$E:$E,"*BRGY.9*",SurveyDATA!$BM:$BM,"RESIDENTIAL*",SurveyDATA!$BN:$BN,"*STRUCTURE RENTER*",SurveyDATA!$A:$A,"LEGAL",SurveyDATA!$FQ:$FQ,"*STAY*")</f>
        <v>0</v>
      </c>
      <c r="AK36" s="1394">
        <f>COUNTIFS(SurveyDATA!$E:$E,"*BRGY.9*",SurveyDATA!$BM:$BM,"RESIDENTIAL*",SurveyDATA!$BN:$BN,"*STRUCTURE RENTER*",SurveyDATA!$A:$A,"LEGAL",SurveyDATA!$FQ:$FQ,"*NEED*")</f>
        <v>0</v>
      </c>
      <c r="AL36" s="1394">
        <f>COUNTIFS(SurveyDATA!$E:$E,"*BRGY.9*",SurveyDATA!$BM:$BM,"RESIDENTIAL*",SurveyDATA!$BN:$BN,"*STRUCTURE OWNER*",SurveyDATA!$A:$A,"LEGAL",SurveyDATA!$FQ:$FQ,"*STAY*",SurveyDATA!BL:BL,"*ABSENTEE*")</f>
        <v>0</v>
      </c>
      <c r="AM36" s="1394">
        <f>COUNTIFS(SurveyDATA!$E:$E,"*BRGY.9*",SurveyDATA!$BM:$BM,"RESIDENTIAL*",SurveyDATA!$BN:$BN,"*STRUCTURE OWNER*",SurveyDATA!$A:$A,"LEGAL",SurveyDATA!$FQ:$FQ,"*NEED*",SurveyDATA!BL:BL,v)</f>
        <v>0</v>
      </c>
      <c r="AN36" s="1395">
        <f>COUNTIFS(SurveyDATA!A:A,"*LEGAL*",SurveyDATA!E:E,"*BRGY.9 CAL*",SurveyDATA!AK:AK,"LAND OWNER",SurveyDATA!AN:AN,"&lt;20%",SurveyDATA!BL:BL,"")</f>
        <v>0</v>
      </c>
      <c r="AO36" s="1395">
        <f>COUNTIFS(SurveyDATA!A:A,"*LEGAL*",SurveyDATA!E:E,"*BRGY.9 CAL*",SurveyDATA!AK:AK,"LAND OWNER",SurveyDATA!AN:AN,"&gt;20%",SurveyDATA!BL:BL,"")</f>
        <v>0</v>
      </c>
      <c r="AP36" s="1624"/>
      <c r="AQ36" s="1624"/>
      <c r="AR36" s="1395">
        <f t="shared" ref="AR36:AR44" si="30">SUM(AP36,AN36,AL36,AJ36,AH36,AF36,AJ36,AD36,AB36,)</f>
        <v>0</v>
      </c>
      <c r="AS36" s="1395">
        <f t="shared" ref="AS36:AS44" si="31">SUM(AQ36,AO36,AM36,AK36,AI36,AG36,AK36,AE36,AC36,)</f>
        <v>0</v>
      </c>
      <c r="AU36" s="1589" t="s">
        <v>5362</v>
      </c>
      <c r="AV36" s="1589" t="s">
        <v>12693</v>
      </c>
      <c r="AW36" s="1283">
        <f>COUNTIFS(SurveyDATA!A:A,"*ISF*",SurveyDATA!E:E,"*BRGY.9 CAL*",SurveyDATA!BM:BM,"*RESiDENTIAL*",SurveyDATA!BN:BN,"*STRUCTURE OWNER*",SurveyDATA!FQ:FQ,"*STAY*")</f>
        <v>0</v>
      </c>
      <c r="AX36" s="1284">
        <f>COUNTIFS(SurveyDATA!A:A,"*ISF*",SurveyDATA!E:E,"*BRGY.9 CAL*",SurveyDATA!BM:BM,"*RESiDENTIAL*",SurveyDATA!BN:BN,"*STRUCTURE OWNER*",SurveyDATA!FQ:FQ,"*NEED*")</f>
        <v>0</v>
      </c>
      <c r="AY36" s="1284">
        <f>COUNTIFS(SurveyDATA!A:A,"*ISF*",SurveyDATA!E:E,"*BRGY.9 CAL*",SurveyDATA!BM:BM,"*COMMERCIAL*",SurveyDATA!BN:BN,"*STRUCTURE OWNER*",SurveyDATA!FQ:FQ,"*STAY*")</f>
        <v>0</v>
      </c>
      <c r="AZ36" s="1284">
        <f>COUNTIFS(SurveyDATA!A:A,"*ISF*",SurveyDATA!E:E,"*BRGY.9 CAL*",SurveyDATA!BM:BM,"*COMMERCIAL*",SurveyDATA!BN:BN,"*STRUCTURE OWNER*",SurveyDATA!FQ:FQ,"*NEED*")</f>
        <v>0</v>
      </c>
      <c r="BA36" s="1625"/>
      <c r="BB36" s="1626"/>
      <c r="BC36" s="1634">
        <f t="shared" ref="BC36:BC44" si="32">SUM(AW35,AY35,BA35,)</f>
        <v>2</v>
      </c>
      <c r="BD36" s="1635">
        <f t="shared" ref="BD36:BD44" si="33">SUM(AX35,AZ35,BB35,)</f>
        <v>39</v>
      </c>
    </row>
    <row r="37" spans="26:56">
      <c r="Z37" s="1589"/>
      <c r="AA37" s="1589" t="s">
        <v>12694</v>
      </c>
      <c r="AB37" s="1394">
        <f>COUNTIFS(SurveyDATA!$E:$E,"*BRGY.15 CAL*",SurveyDATA!$BM:$BM,"*RESIDENTIAL*",SurveyDATA!$BN:$BN,"*STRUCTURE OWNER*",SurveyDATA!$A:$A,"LEGAL",SurveyDATA!$FQ:$FQ,"*STAY*")</f>
        <v>0</v>
      </c>
      <c r="AC37" s="1394">
        <f>COUNTIFS(SurveyDATA!$E:$E,"*BRGY.15 CAL*",SurveyDATA!$BM:$BM,"*RESIDENTIAL*",SurveyDATA!$BN:$BN,"*STRUCTURE OWNER*",SurveyDATA!$A:$A,"LEGAL",SurveyDATA!$FQ:$FQ,"*NEED*")</f>
        <v>0</v>
      </c>
      <c r="AD37" s="1394">
        <f>COUNTIFS(SurveyDATA!$E:$E,"*BRGY.15 CAL*",SurveyDATA!$BM:$BM,"*MIXED*",SurveyDATA!$BN:$BN,"*STRUCTURE OWNER*",SurveyDATA!$A:$A,"LEGAL",SurveyDATA!$FQ:$FQ,"*STAY*")</f>
        <v>0</v>
      </c>
      <c r="AE37" s="1394">
        <f>COUNTIFS(SurveyDATA!$E:$E,"*BRGY.15 CAL*",SurveyDATA!$BM:$BM,"*MIXED*",SurveyDATA!$BN:$BN,"*STRUCTURE OWNER*",SurveyDATA!$A:$A,"LEGAL",SurveyDATA!$FQ:$FQ,"*NEED*")</f>
        <v>0</v>
      </c>
      <c r="AF37" s="1394">
        <f>COUNTIFS(SurveyDATA!$E:$E,"*BRGY.15 CAL*",SurveyDATA!$BM:$BM,"*COMMERICIAL*",SurveyDATA!$BN:$BN,"*STRUCTURE OWNER*",SurveyDATA!$A:$A,"LEGAL",SurveyDATA!$FQ:$FQ,"*STAY*")</f>
        <v>0</v>
      </c>
      <c r="AG37" s="1394">
        <f>COUNTIFS(SurveyDATA!$E:$E,"*BRGY.15 CAL*",SurveyDATA!$BM:$BM,"*COMMERCIAL*",SurveyDATA!$BN:$BN,"*STRUCTURE OWNER*",SurveyDATA!$A:$A,"LEGAL",SurveyDATA!$FQ:$FQ,"*NEED*")</f>
        <v>0</v>
      </c>
      <c r="AH37" s="1394">
        <f>COUNTIFS(SurveyDATA!$E:$E,"*BRGY.15 CAL*",SurveyDATA!$BM:$BM,"*INSTITUTIONAL*",SurveyDATA!$BN:$BN,"*STRUCTURE OWNER*",SurveyDATA!$A:$A,"LEGAL",SurveyDATA!$FQ:$FQ,"*STAY*")</f>
        <v>0</v>
      </c>
      <c r="AI37" s="1394">
        <f>COUNTIFS(SurveyDATA!$E:$E,"*BRGY.15 CAL*",SurveyDATA!$BM:$BM,"*INSTITUTIONAL*",SurveyDATA!$BN:$BN,"*STRUCTURE OWNER*",SurveyDATA!$A:$A,"LEGAL",SurveyDATA!$FQ:$FQ,"*NEED*")</f>
        <v>0</v>
      </c>
      <c r="AJ37" s="1394">
        <f>COUNTIFS(SurveyDATA!$E:$E,"*BRGY.15 CAL*",SurveyDATA!$BM:$BM,"RESIDENTIAL*",SurveyDATA!$BN:$BN,"*STRUCTURE RENTER*",SurveyDATA!$A:$A,"LEGAL",SurveyDATA!$FQ:$FQ,"*STAY*")</f>
        <v>0</v>
      </c>
      <c r="AK37" s="1394">
        <f>COUNTIFS(SurveyDATA!$E:$E,"*BRGY.15 CAL*",SurveyDATA!$BM:$BM,"RESIDENTIAL*",SurveyDATA!$BN:$BN,"*STRUCTURE RENTER*",SurveyDATA!$A:$A,"LEGAL",SurveyDATA!$FQ:$FQ,"*NEED*")</f>
        <v>0</v>
      </c>
      <c r="AL37" s="1394">
        <f>COUNTIFS(SurveyDATA!$E:$E,"*BRGY.15 CAL*",SurveyDATA!$BM:$BM,"RESIDENTIAL*",SurveyDATA!$BN:$BN,"*STRUCTURE OWNER*",SurveyDATA!$A:$A,"LEGAL",SurveyDATA!$FQ:$FQ,"*STAY*",SurveyDATA!BL:BL,"*ABSENTEE*")</f>
        <v>0</v>
      </c>
      <c r="AM37" s="1394">
        <f>COUNTIFS(SurveyDATA!$E:$E,"*BRGY.15 CAL*",SurveyDATA!$BM:$BM,"RESIDENTIAL*",SurveyDATA!$BN:$BN,"*STRUCTURE OWNER*",SurveyDATA!$A:$A,"LEGAL",SurveyDATA!$FQ:$FQ,"*NEED*",SurveyDATA!BL:BL,"*ABSENTEE*")</f>
        <v>0</v>
      </c>
      <c r="AN37" s="1395">
        <f>COUNTIFS(SurveyDATA!A:A,"*LEGAL*",SurveyDATA!E:E,"*BRGY.15 CAL*",SurveyDATA!AK:AK,"LAND OWNER",SurveyDATA!AN:AN,"&lt;20%",SurveyDATA!BL:BL,"")</f>
        <v>0</v>
      </c>
      <c r="AO37" s="1395">
        <f>COUNTIFS(SurveyDATA!A:A,"*LEGAL*",SurveyDATA!E:E,"*BRGY.15 CAL*",SurveyDATA!AK:AK,"LAND OWNER",SurveyDATA!AN:AN,"&gt;20%",SurveyDATA!BL:BL,"")</f>
        <v>0</v>
      </c>
      <c r="AP37" s="1624"/>
      <c r="AQ37" s="1624"/>
      <c r="AR37" s="1395">
        <f t="shared" si="30"/>
        <v>0</v>
      </c>
      <c r="AS37" s="1395">
        <f t="shared" si="31"/>
        <v>0</v>
      </c>
      <c r="AU37" s="1589"/>
      <c r="AV37" s="1589" t="s">
        <v>12694</v>
      </c>
      <c r="AW37" s="1283">
        <f>COUNTIFS(SurveyDATA!A:A,"*ISF*",SurveyDATA!E:E,"*BRGY.15 CAL*",SurveyDATA!BM:BM,"*RESiDENTIAL*",SurveyDATA!BN:BN,"*STRUCTURE OWNER*",SurveyDATA!FQ:FQ,"*STAY*")</f>
        <v>1</v>
      </c>
      <c r="AX37" s="1284">
        <f>COUNTIFS(SurveyDATA!A:A,"*ISF*",SurveyDATA!E:E,"*BRGY.15 CAL*",SurveyDATA!BM:BM,"*RESiDENTIAL*",SurveyDATA!BN:BN,"*STRUCTURE OWNER*",SurveyDATA!FQ:FQ,"*NEED*")</f>
        <v>6</v>
      </c>
      <c r="AY37" s="1284">
        <f>COUNTIFS(SurveyDATA!A:A,"*ISF*",SurveyDATA!E:E,"*BRGY.15 CAL*",SurveyDATA!BM:BM,"*COMMERCIAL*",SurveyDATA!BN:BN,"*STRUCTURE OWNER*",SurveyDATA!FQ:FQ,"*STAY*")</f>
        <v>0</v>
      </c>
      <c r="AZ37" s="1284">
        <f>COUNTIFS(SurveyDATA!A:A,"*ISF*",SurveyDATA!E:E,"*BRGY.15 CAL*",SurveyDATA!BM:BM,"*COMMERCIAL*",SurveyDATA!BN:BN,"*STRUCTURE OWNER*",SurveyDATA!FQ:FQ,"*NEED*")</f>
        <v>0</v>
      </c>
      <c r="BA37" s="1625"/>
      <c r="BB37" s="1626"/>
      <c r="BC37" s="1634">
        <f t="shared" si="32"/>
        <v>0</v>
      </c>
      <c r="BD37" s="1635">
        <f t="shared" si="33"/>
        <v>0</v>
      </c>
    </row>
    <row r="38" spans="26:56">
      <c r="Z38" s="1589"/>
      <c r="AA38" s="1589" t="s">
        <v>12695</v>
      </c>
      <c r="AB38" s="1394">
        <f>COUNTIFS(SurveyDATA!$E:$E,"*BRGY.17*",SurveyDATA!$BM:$BM,"*RESIDENTIAL*",SurveyDATA!$BN:$BN,"*STRUCTURE OWNER*",SurveyDATA!$A:$A,"LEGAL",SurveyDATA!$FQ:$FQ,"*STAY*")</f>
        <v>0</v>
      </c>
      <c r="AC38" s="1394">
        <f>COUNTIFS(SurveyDATA!$E:$E,"*BRGY.17*",SurveyDATA!$BM:$BM,"*RESIDENTIAL*",SurveyDATA!$BN:$BN,"*STRUCTURE OWNER*",SurveyDATA!$A:$A,"LEGAL",SurveyDATA!$FQ:$FQ,"*NEED*")</f>
        <v>0</v>
      </c>
      <c r="AD38" s="1394">
        <f>COUNTIFS(SurveyDATA!$E:$E,"*BRGY.17*",SurveyDATA!$BM:$BM,"*MIXED*",SurveyDATA!$BN:$BN,"*STRUCTURE OWNER*",SurveyDATA!$A:$A,"LEGAL",SurveyDATA!$FQ:$FQ,"*STAY*")</f>
        <v>0</v>
      </c>
      <c r="AE38" s="1394">
        <f>COUNTIFS(SurveyDATA!$E:$E,"*BRGY.17*",SurveyDATA!$BM:$BM,"*MIXED*",SurveyDATA!$BN:$BN,"*STRUCTURE OWNER*",SurveyDATA!$A:$A,"LEGAL",SurveyDATA!$FQ:$FQ,"*NEED*")</f>
        <v>0</v>
      </c>
      <c r="AF38" s="1394">
        <f>COUNTIFS(SurveyDATA!$E:$E,"*BRGY.17*",SurveyDATA!$BM:$BM,"*COMMERICIAL*",SurveyDATA!$BN:$BN,"*STRUCTURE OWNER*",SurveyDATA!$A:$A,"LEGAL",SurveyDATA!$FQ:$FQ,"*STAY*")</f>
        <v>0</v>
      </c>
      <c r="AG38" s="1394">
        <f>COUNTIFS(SurveyDATA!$E:$E,"*BRGY.17*",SurveyDATA!$BM:$BM,"*COMMERCIAL*",SurveyDATA!$BN:$BN,"*STRUCTURE OWNER*",SurveyDATA!$A:$A,"LEGAL",SurveyDATA!$FQ:$FQ,"*NEED*")</f>
        <v>0</v>
      </c>
      <c r="AH38" s="1394">
        <f>COUNTIFS(SurveyDATA!$E:$E,"*BRGY.17*",SurveyDATA!$BM:$BM,"*INSTITUTIONAL*",SurveyDATA!$BN:$BN,"*STRUCTURE OWNER*",SurveyDATA!$A:$A,"LEGAL",SurveyDATA!$FQ:$FQ,"*STAY*")</f>
        <v>0</v>
      </c>
      <c r="AI38" s="1394">
        <f>COUNTIFS(SurveyDATA!$E:$E,"*BRGY.17*",SurveyDATA!$BM:$BM,"*INSTITUTIONAL*",SurveyDATA!$BN:$BN,"*STRUCTURE OWNER*",SurveyDATA!$A:$A,"LEGAL",SurveyDATA!$FQ:$FQ,"*NEED*")</f>
        <v>0</v>
      </c>
      <c r="AJ38" s="1394">
        <f>COUNTIFS(SurveyDATA!$E:$E,"*BRGY.17*",SurveyDATA!$BM:$BM,"RESIDENTIAL*",SurveyDATA!$BN:$BN,"*STRUCTURE RENTER*",SurveyDATA!$A:$A,"LEGAL",SurveyDATA!$FQ:$FQ,"*STAY*")</f>
        <v>0</v>
      </c>
      <c r="AK38" s="1394">
        <f>COUNTIFS(SurveyDATA!$E:$E,"*BRGY.17*",SurveyDATA!$BM:$BM,"RESIDENTIAL*",SurveyDATA!$BN:$BN,"*STRUCTURE RENTER*",SurveyDATA!$A:$A,"LEGAL",SurveyDATA!$FQ:$FQ,"*NEED*")</f>
        <v>0</v>
      </c>
      <c r="AL38" s="1394">
        <f>COUNTIFS(SurveyDATA!$E:$E,"*BRGY.17*",SurveyDATA!$BM:$BM,"RESIDENTIAL*",SurveyDATA!$BN:$BN,"*STRUCTURE OWNER*",SurveyDATA!$A:$A,"LEGAL",SurveyDATA!$FQ:$FQ,"*STAY*",SurveyDATA!BL:BL,"*ABSENTEE*")</f>
        <v>0</v>
      </c>
      <c r="AM38" s="1394">
        <f>COUNTIFS(SurveyDATA!$E:$E,"*BRGY.17*",SurveyDATA!$BM:$BM,"RESIDENTIAL*",SurveyDATA!$BN:$BN,"*STRUCTURE OWNER*",SurveyDATA!$A:$A,"LEGAL",SurveyDATA!$FQ:$FQ,"*NEED*",SurveyDATA!BL:BL,"*ABSENTEE*")</f>
        <v>0</v>
      </c>
      <c r="AN38" s="1395">
        <f>COUNTIFS(SurveyDATA!A:A,"*LEGAL*",SurveyDATA!E:E,"*BRGY.17*",SurveyDATA!AK:AK,"LAND OWNER",SurveyDATA!AN:AN,"&lt;20%",SurveyDATA!BL:BL,"")</f>
        <v>0</v>
      </c>
      <c r="AO38" s="1395">
        <f>COUNTIFS(SurveyDATA!A:A,"*LEGAL*",SurveyDATA!E:E,"*BRGY.17*",SurveyDATA!AK:AK,"LAND OWNER",SurveyDATA!AN:AN,"&gt;20%",SurveyDATA!BL:BL,"")</f>
        <v>0</v>
      </c>
      <c r="AP38" s="1624"/>
      <c r="AQ38" s="1624"/>
      <c r="AR38" s="1395">
        <f t="shared" si="30"/>
        <v>0</v>
      </c>
      <c r="AS38" s="1395">
        <f t="shared" si="31"/>
        <v>0</v>
      </c>
      <c r="AU38" s="1589"/>
      <c r="AV38" s="1589" t="s">
        <v>12695</v>
      </c>
      <c r="AW38" s="1283">
        <f>COUNTIFS(SurveyDATA!A:A,"*ISF*",SurveyDATA!E:E,"*BRGY.17*",SurveyDATA!BM:BM,"*RESiDENTIAL*",SurveyDATA!BN:BN,"*STRUCTURE OWNER*",SurveyDATA!FQ:FQ,"*STAY*")</f>
        <v>0</v>
      </c>
      <c r="AX38" s="1284">
        <f>COUNTIFS(SurveyDATA!A:A,"*ISF*",SurveyDATA!E:E,"*BRGY.17*",SurveyDATA!BM:BM,"*RESiDENTIAL*",SurveyDATA!BN:BN,"*STRUCTURE OWNER*",SurveyDATA!FQ:FQ,"*NEED*")</f>
        <v>0</v>
      </c>
      <c r="AY38" s="1284">
        <f>COUNTIFS(SurveyDATA!A:A,"*ISF*",SurveyDATA!E:E,"*BRGY.17*",SurveyDATA!BM:BM,"*COMMERCIAL*",SurveyDATA!BN:BN,"*STRUCTURE OWNER*",SurveyDATA!FQ:FQ,"*STAY*")</f>
        <v>0</v>
      </c>
      <c r="AZ38" s="1284">
        <f>COUNTIFS(SurveyDATA!A:A,"*ISF*",SurveyDATA!E:E,"*BRGY.17*",SurveyDATA!BM:BM,"*COMMERCIAL*",SurveyDATA!BN:BN,"*STRUCTURE OWNER*",SurveyDATA!FQ:FQ,"*NEED*")</f>
        <v>0</v>
      </c>
      <c r="BA38" s="1625"/>
      <c r="BB38" s="1626"/>
      <c r="BC38" s="1634">
        <f t="shared" si="32"/>
        <v>1</v>
      </c>
      <c r="BD38" s="1635">
        <f t="shared" si="33"/>
        <v>6</v>
      </c>
    </row>
    <row r="39" spans="26:56">
      <c r="Z39" s="1589"/>
      <c r="AA39" s="1589" t="s">
        <v>12696</v>
      </c>
      <c r="AB39" s="1394">
        <f>COUNTIFS(SurveyDATA!$E:$E,"*BRGY.19 CAL*",SurveyDATA!$BM:$BM,"*RESIDENTIAL*",SurveyDATA!$BN:$BN,"*STRUCTURE OWNER*",SurveyDATA!$A:$A,"LEGAL",SurveyDATA!$FQ:$FQ,"*STAY*")</f>
        <v>2</v>
      </c>
      <c r="AC39" s="1394">
        <f>COUNTIFS(SurveyDATA!$E:$E,"*BRGY.19 CAL*",SurveyDATA!$BM:$BM,"*RESIDENTIAL*",SurveyDATA!$BN:$BN,"*STRUCTURE OWNER*",SurveyDATA!$A:$A,"LEGAL",SurveyDATA!$FQ:$FQ,"*NEED*")</f>
        <v>1</v>
      </c>
      <c r="AD39" s="1394">
        <f>COUNTIFS(SurveyDATA!$E:$E,"*BRGY.19 CAL*",SurveyDATA!$BM:$BM,"*MIXED*",SurveyDATA!$BN:$BN,"*STRUCTURE OWNER*",SurveyDATA!$A:$A,"LEGAL",SurveyDATA!$FQ:$FQ,"*STAY*")</f>
        <v>0</v>
      </c>
      <c r="AE39" s="1394">
        <f>COUNTIFS(SurveyDATA!$E:$E,"*BRGY.19 CAL*",SurveyDATA!$BM:$BM,"*MIXED*",SurveyDATA!$BN:$BN,"*STRUCTURE OWNER*",SurveyDATA!$A:$A,"LEGAL",SurveyDATA!$FQ:$FQ,"*NEED*")</f>
        <v>0</v>
      </c>
      <c r="AF39" s="1394">
        <f>COUNTIFS(SurveyDATA!$E:$E,"*BRGY.19 CAL*",SurveyDATA!$BM:$BM,"*COMMERICIAL*",SurveyDATA!$BN:$BN,"*STRUCTURE OWNER*",SurveyDATA!$A:$A,"LEGAL",SurveyDATA!$FQ:$FQ,"*STAY*")</f>
        <v>0</v>
      </c>
      <c r="AG39" s="1394">
        <f>COUNTIFS(SurveyDATA!$E:$E,"*BRGY.19 CAL*",SurveyDATA!$BM:$BM,"*COMMERCIAL*",SurveyDATA!$BN:$BN,"*STRUCTURE OWNER*",SurveyDATA!$A:$A,"LEGAL",SurveyDATA!$FQ:$FQ,"*NEED*")</f>
        <v>0</v>
      </c>
      <c r="AH39" s="1394">
        <f>COUNTIFS(SurveyDATA!$E:$E,"*BRGY.19 CAL*",SurveyDATA!$BM:$BM,"*INSTITUTIONAL*",SurveyDATA!$BN:$BN,"*STRUCTURE OWNER*",SurveyDATA!$A:$A,"LEGAL",SurveyDATA!$FQ:$FQ,"*STAY*")</f>
        <v>0</v>
      </c>
      <c r="AI39" s="1394">
        <f>COUNTIFS(SurveyDATA!$E:$E,"*BRGY.19 CAL*",SurveyDATA!$BM:$BM,"*INSTITUTIONAL*",SurveyDATA!$BN:$BN,"*STRUCTURE OWNER*",SurveyDATA!$A:$A,"LEGAL",SurveyDATA!$FQ:$FQ,"*NEED*")</f>
        <v>0</v>
      </c>
      <c r="AJ39" s="1394">
        <f>COUNTIFS(SurveyDATA!$E:$E,"*BRGY.19 CAL*",SurveyDATA!$BM:$BM,"RESIDENTIAL*",SurveyDATA!$BN:$BN,"*STRUCTURE RENTER*",SurveyDATA!$A:$A,"LEGAL",SurveyDATA!$FQ:$FQ,"*STAY*")</f>
        <v>0</v>
      </c>
      <c r="AK39" s="1394">
        <f>COUNTIFS(SurveyDATA!$E:$E,"*BRGY.19 CAL*",SurveyDATA!$BM:$BM,"RESIDENTIAL*",SurveyDATA!$BN:$BN,"*STRUCTURE RENTER*",SurveyDATA!$A:$A,"LEGAL",SurveyDATA!$FQ:$FQ,"*NEED*")</f>
        <v>0</v>
      </c>
      <c r="AL39" s="1394">
        <f>COUNTIFS(SurveyDATA!$E:$E,"*BRGY.19 CAL*",SurveyDATA!$BM:$BM,"RESIDENTIAL*",SurveyDATA!$BN:$BN,"*STRUCTURE OWNER'*",SurveyDATA!$A:$A,"LEGAL",SurveyDATA!$FQ:$FQ,"*STAY*",SurveyDATA!BL:BL,"*ABSENTEE*")</f>
        <v>0</v>
      </c>
      <c r="AM39" s="1394">
        <f>COUNTIFS(SurveyDATA!$E:$E,"*BRGY.19 CAL*",SurveyDATA!$BM:$BM,"RESIDENTIAL*",SurveyDATA!$BN:$BN,"*STRUCTURE OWNER*",SurveyDATA!$A:$A,"LEGAL",SurveyDATA!$FQ:$FQ,"*NEED*",SurveyDATA!BL:BL,"*ABSENTEE*")</f>
        <v>0</v>
      </c>
      <c r="AN39" s="1395">
        <f>COUNTIFS(SurveyDATA!A:A,"*LEGAL*",SurveyDATA!E:E,"*BRGY.19 CAL*",SurveyDATA!AK:AK,"LAND OWNER",SurveyDATA!AN:AN,"&lt;20%",SurveyDATA!BL:BL,"")</f>
        <v>0</v>
      </c>
      <c r="AO39" s="1395">
        <f>COUNTIFS(SurveyDATA!A:A,"*LEGAL*",SurveyDATA!E:E,"*BRGY.19 CAL*",SurveyDATA!AK:AK,"LAND OWNER",SurveyDATA!AN:AN,"&gt;20%",SurveyDATA!BL:BL,"")</f>
        <v>2</v>
      </c>
      <c r="AP39" s="1624"/>
      <c r="AQ39" s="1624"/>
      <c r="AR39" s="1395">
        <f t="shared" si="30"/>
        <v>2</v>
      </c>
      <c r="AS39" s="1395">
        <f t="shared" si="31"/>
        <v>3</v>
      </c>
      <c r="AU39" s="1589"/>
      <c r="AV39" s="1589" t="s">
        <v>12696</v>
      </c>
      <c r="AW39" s="1283">
        <f>COUNTIFS(SurveyDATA!A:A,"*ISF*",SurveyDATA!E:E,"*BRGY.9 CAL*",SurveyDATA!BM:BM,"*RESiDENTIAL*",SurveyDATA!BN:BN,"*STRUCTURE OWNER*",SurveyDATA!FQ:FQ,"*STAY*")</f>
        <v>0</v>
      </c>
      <c r="AX39" s="1284">
        <f>COUNTIFS(SurveyDATA!A:A,"*ISF*",SurveyDATA!E:E,"*BRGY.9 CAL*",SurveyDATA!BM:BM,"*RESiDENTIAL*",SurveyDATA!BN:BN,"*STRUCTURE OWNER*",SurveyDATA!FQ:FQ,"*NEED*")</f>
        <v>0</v>
      </c>
      <c r="AY39" s="1284">
        <f>COUNTIFS(SurveyDATA!A:A,"*ISF*",SurveyDATA!E:E,"*BRGY.9 CAL*",SurveyDATA!BM:BM,"*COMMERCIAL*",SurveyDATA!BN:BN,"*STRUCTURE OWNER*",SurveyDATA!FQ:FQ,"*STAY*")</f>
        <v>0</v>
      </c>
      <c r="AZ39" s="1284">
        <f>COUNTIFS(SurveyDATA!A:A,"*ISF*",SurveyDATA!E:E,"*BRGY.9 CAL*",SurveyDATA!BM:BM,"*COMMERCIAL*",SurveyDATA!BN:BN,"*STRUCTURE OWNER*",SurveyDATA!FQ:FQ,"*NEED*")</f>
        <v>0</v>
      </c>
      <c r="BA39" s="1625"/>
      <c r="BB39" s="1626"/>
      <c r="BC39" s="1634">
        <f t="shared" si="32"/>
        <v>0</v>
      </c>
      <c r="BD39" s="1635">
        <f t="shared" si="33"/>
        <v>0</v>
      </c>
    </row>
    <row r="40" spans="26:56">
      <c r="Z40" s="1589"/>
      <c r="AA40" s="1589" t="s">
        <v>12697</v>
      </c>
      <c r="AB40" s="1394">
        <f>COUNTIFS(SurveyDATA!$E:$E,"*BRGY.21*",SurveyDATA!$BM:$BM,"*RESIDENTIAL*",SurveyDATA!$BN:$BN,"*STRUCTURE OWNER*",SurveyDATA!$A:$A,"LEGAL",SurveyDATA!$FQ:$FQ,"*STAY*")</f>
        <v>2</v>
      </c>
      <c r="AC40" s="1394">
        <f>COUNTIFS(SurveyDATA!$E:$E,"*BRGY.21*",SurveyDATA!$BM:$BM,"*RESIDENTIAL*",SurveyDATA!$BN:$BN,"*STRUCTURE OWNER*",SurveyDATA!$A:$A,"LEGAL",SurveyDATA!$FQ:$FQ,"*NEED*")</f>
        <v>9</v>
      </c>
      <c r="AD40" s="1394">
        <f>COUNTIFS(SurveyDATA!$E:$E,"*BRGY.21*",SurveyDATA!$BM:$BM,"*MIXED*",SurveyDATA!$BN:$BN,"*STRUCTURE OWNER*",SurveyDATA!$A:$A,"LEGAL",SurveyDATA!$FQ:$FQ,"*STAY*")</f>
        <v>0</v>
      </c>
      <c r="AE40" s="1394">
        <f>COUNTIFS(SurveyDATA!$E:$E,"*BRGY.21*",SurveyDATA!$BM:$BM,"*MIXED*",SurveyDATA!$BN:$BN,"*STRUCTURE OWNER*",SurveyDATA!$A:$A,"LEGAL",SurveyDATA!$FQ:$FQ,"*NEED*")</f>
        <v>1</v>
      </c>
      <c r="AF40" s="1394">
        <f>COUNTIFS(SurveyDATA!$E:$E,"*BRGY.21*",SurveyDATA!$BM:$BM,"*COMMERICIAL*",SurveyDATA!$BN:$BN,"*STRUCTURE OWNER*",SurveyDATA!$A:$A,"LEGAL",SurveyDATA!$FQ:$FQ,"*STAY*")</f>
        <v>0</v>
      </c>
      <c r="AG40" s="1394">
        <f>COUNTIFS(SurveyDATA!$E:$E,"*BRGY.21*",SurveyDATA!$BM:$BM,"*COMMERCIAL*",SurveyDATA!$BN:$BN,"*STRUCTURE OWNER*",SurveyDATA!$A:$A,"LEGAL",SurveyDATA!$FQ:$FQ,"*NEED*")</f>
        <v>0</v>
      </c>
      <c r="AH40" s="1394">
        <f>COUNTIFS(SurveyDATA!$E:$E,"*BRGY.21*",SurveyDATA!$BM:$BM,"*INSTITUTIONAL*",SurveyDATA!$BN:$BN,"*STRUCTURE OWNER*",SurveyDATA!$A:$A,"LEGAL",SurveyDATA!$FQ:$FQ,"*STAY*")</f>
        <v>0</v>
      </c>
      <c r="AI40" s="1394">
        <f>COUNTIFS(SurveyDATA!$E:$E,"*BRGY.21*",SurveyDATA!$BM:$BM,"*INSTITUTIONAL*",SurveyDATA!$BN:$BN,"*STRUCTURE OWNER*",SurveyDATA!$A:$A,"LEGAL",SurveyDATA!$FQ:$FQ,"*NEED*")</f>
        <v>0</v>
      </c>
      <c r="AJ40" s="1394">
        <f>COUNTIFS(SurveyDATA!$E:$E,"*BRGY.21*",SurveyDATA!$BM:$BM,"RESIDENTIAL*",SurveyDATA!$BN:$BN,"*STRUCTURE RENTER*",SurveyDATA!$A:$A,"LEGAL",SurveyDATA!$FQ:$FQ,"*STAY*")</f>
        <v>0</v>
      </c>
      <c r="AK40" s="1394">
        <f>COUNTIFS(SurveyDATA!$E:$E,"*BRGY.21*",SurveyDATA!$BM:$BM,"RESIDENTIAL*",SurveyDATA!$BN:$BN,"*STRUCTURE RENTER*",SurveyDATA!$A:$A,"LEGAL",SurveyDATA!$FQ:$FQ,"*NEED*")</f>
        <v>0</v>
      </c>
      <c r="AL40" s="1394">
        <f>COUNTIFS(SurveyDATA!$E:$E,"*BRGY.21*",SurveyDATA!$BM:$BM,"RESIDENTIAL*",SurveyDATA!$BN:$BN,"*STRUCTURE OWNER*",SurveyDATA!$A:$A,"LEGAL",SurveyDATA!$FQ:$FQ,"*STAY*",SurveyDATA!BL:BL,"*ABSENTEE*")</f>
        <v>0</v>
      </c>
      <c r="AM40" s="1394">
        <f>COUNTIFS(SurveyDATA!$E:$E,"*BRGY.21*",SurveyDATA!$BM:$BM,"RESIDENTIAL*",SurveyDATA!$BN:$BN,"*STRUCTURE OWNER*",SurveyDATA!$A:$A,"LEGAL",SurveyDATA!$FQ:$FQ,"*NEED*",SurveyDATA!BL:BL,"*ABSENTEE*")</f>
        <v>0</v>
      </c>
      <c r="AN40" s="1395">
        <f>COUNTIFS(SurveyDATA!A:A,"*LEGAL*",SurveyDATA!E:E,"*BRGY.21*",SurveyDATA!AK:AK,"LAND OWNER",SurveyDATA!AN:AN,"&lt;20%",SurveyDATA!BL:BL,"")</f>
        <v>0</v>
      </c>
      <c r="AO40" s="1395">
        <f>COUNTIFS(SurveyDATA!A:A,"*LEGAL*",SurveyDATA!E:E,"*BRGY.21*",SurveyDATA!AK:AK,"LAND OWNER",SurveyDATA!AN:AN,"&gt;20%",SurveyDATA!BL:BL,"")</f>
        <v>0</v>
      </c>
      <c r="AP40" s="1624"/>
      <c r="AQ40" s="1624"/>
      <c r="AR40" s="1395">
        <f t="shared" si="30"/>
        <v>2</v>
      </c>
      <c r="AS40" s="1395">
        <f t="shared" si="31"/>
        <v>10</v>
      </c>
      <c r="AU40" s="1589"/>
      <c r="AV40" s="1589" t="s">
        <v>12697</v>
      </c>
      <c r="AW40" s="1283">
        <f>COUNTIFS(SurveyDATA!A:A,"*ISF*",SurveyDATA!E:E,"*BRGY.21*",SurveyDATA!BM:BM,"*RESiDENTIAL*",SurveyDATA!BN:BN,"*STRUCTURE OWNER*",SurveyDATA!FQ:FQ,"*STAY*")</f>
        <v>5</v>
      </c>
      <c r="AX40" s="1284">
        <f>COUNTIFS(SurveyDATA!A:A,"*ISF*",SurveyDATA!E:E,"*BRGY.21*",SurveyDATA!BM:BM,"*RESiDENTIAL*",SurveyDATA!BN:BN,"*STRUCTURE OWNER*",SurveyDATA!FQ:FQ,"*NEED*")</f>
        <v>11</v>
      </c>
      <c r="AY40" s="1284">
        <f>COUNTIFS(SurveyDATA!A:A,"*ISF*",SurveyDATA!E:E,"*BRGY.21*",SurveyDATA!BM:BM,"*COMMERCIAL*",SurveyDATA!BN:BN,"*STRUCTURE OWNER*",SurveyDATA!FQ:FQ,"*STAY*")</f>
        <v>0</v>
      </c>
      <c r="AZ40" s="1284">
        <f>COUNTIFS(SurveyDATA!A:A,"*ISF*",SurveyDATA!E:E,"*BRGY.21*",SurveyDATA!BM:BM,"*COMMERCIAL*",SurveyDATA!BN:BN,"*STRUCTURE OWNER*",SurveyDATA!FQ:FQ,"*NEED*")</f>
        <v>0</v>
      </c>
      <c r="BA40" s="1625"/>
      <c r="BB40" s="1626"/>
      <c r="BC40" s="1634">
        <f t="shared" si="32"/>
        <v>0</v>
      </c>
      <c r="BD40" s="1635">
        <f t="shared" si="33"/>
        <v>0</v>
      </c>
    </row>
    <row r="41" spans="26:56">
      <c r="Z41" s="1589"/>
      <c r="AA41" s="1589" t="s">
        <v>12698</v>
      </c>
      <c r="AB41" s="1394">
        <f>COUNTIFS(SurveyDATA!$E:$E,"*BRGY.25*",SurveyDATA!$BM:$BM,"*RESIDENTIAL*",SurveyDATA!$BN:$BN,"*STRUCTURE OWNER*",SurveyDATA!$A:$A,"LEGAL",SurveyDATA!$FQ:$FQ,"*STAY*")</f>
        <v>5</v>
      </c>
      <c r="AC41" s="1394">
        <f>COUNTIFS(SurveyDATA!$E:$E,"*BRGY.25*",SurveyDATA!$BM:$BM,"*RESIDENTIAL*",SurveyDATA!$BN:$BN,"*STRUCTURE OWNER*",SurveyDATA!$A:$A,"LEGAL",SurveyDATA!$FQ:$FQ,"*NEED*")</f>
        <v>7</v>
      </c>
      <c r="AD41" s="1394">
        <f>COUNTIFS(SurveyDATA!$E:$E,"*BRGY.25*",SurveyDATA!$BM:$BM,"*MIXED*",SurveyDATA!$BN:$BN,"*STRUCTURE OWNER*",SurveyDATA!$A:$A,"LEGAL",SurveyDATA!$FQ:$FQ,"*STAY*")</f>
        <v>2</v>
      </c>
      <c r="AE41" s="1394">
        <f>COUNTIFS(SurveyDATA!$E:$E,"*BRGY.25*",SurveyDATA!$BM:$BM,"*MIXED*",SurveyDATA!$BN:$BN,"*STRUCTURE OWNER*",SurveyDATA!$A:$A,"LEGAL",SurveyDATA!$FQ:$FQ,"*NEED*")</f>
        <v>1</v>
      </c>
      <c r="AF41" s="1394">
        <f>COUNTIFS(SurveyDATA!$E:$E,"*BRGY.25*",SurveyDATA!$BM:$BM,"*COMMERICIAL*",SurveyDATA!$BN:$BN,"*STRUCTURE OWNER*",SurveyDATA!$A:$A,"LEGAL",SurveyDATA!$FQ:$FQ,"*STAY*")</f>
        <v>0</v>
      </c>
      <c r="AG41" s="1394">
        <f>COUNTIFS(SurveyDATA!$E:$E,"*BRGY.25*",SurveyDATA!$BM:$BM,"*COMMERCIAL*",SurveyDATA!$BN:$BN,"*STRUCTURE OWNER*",SurveyDATA!$A:$A,"LEGAL",SurveyDATA!$FQ:$FQ,"*NEED*")</f>
        <v>0</v>
      </c>
      <c r="AH41" s="1394">
        <f>COUNTIFS(SurveyDATA!$E:$E,"*BRGY.25*",SurveyDATA!$BM:$BM,"*INSTITUTIONAL*",SurveyDATA!$BN:$BN,"*STRUCTURE OWNER*",SurveyDATA!$A:$A,"LEGAL",SurveyDATA!$FQ:$FQ,"*STAY*")</f>
        <v>0</v>
      </c>
      <c r="AI41" s="1394">
        <f>COUNTIFS(SurveyDATA!$E:$E,"*BRGY.25*",SurveyDATA!$BM:$BM,"*INSTITUTIONAL*",SurveyDATA!$BN:$BN,"*STRUCTURE OWNER*",SurveyDATA!$A:$A,"LEGAL",SurveyDATA!$FQ:$FQ,"*NEED*")</f>
        <v>0</v>
      </c>
      <c r="AJ41" s="1394">
        <f>COUNTIFS(SurveyDATA!$E:$E,"*BRGY.25*",SurveyDATA!$BM:$BM,"RESIDENTIAL*",SurveyDATA!$BN:$BN,"*STRUCTURE RENTER*",SurveyDATA!$A:$A,"LEGAL",SurveyDATA!$FQ:$FQ,"*STAY*")</f>
        <v>0</v>
      </c>
      <c r="AK41" s="1394">
        <f>COUNTIFS(SurveyDATA!$E:$E,"*BRGY.25*",SurveyDATA!$BM:$BM,"RESIDENTIAL*",SurveyDATA!$BN:$BN,"*STRUCTURE RENTER*",SurveyDATA!$A:$A,"LEGAL",SurveyDATA!$FQ:$FQ,"*NEED*")</f>
        <v>0</v>
      </c>
      <c r="AL41" s="1394">
        <f>COUNTIFS(SurveyDATA!$E:$E,"*BRGY.23*",SurveyDATA!$BM:$BM,"RESIDENTIAL*",SurveyDATA!$BN:$BN,"*STRUCTURE OWNER*",SurveyDATA!$A:$A,"LEGAL",SurveyDATA!$FQ:$FQ,"*STAY*",SurveyDATA!BL:BL,"*ABSENTEE*")</f>
        <v>0</v>
      </c>
      <c r="AM41" s="1394">
        <f>COUNTIFS(SurveyDATA!$E:$E,"*BRGY.23*",SurveyDATA!$BM:$BM,"RESIDENTIAL*",SurveyDATA!$BN:$BN,"*STRUCTURE OWNER*",SurveyDATA!$A:$A,"LEGAL",SurveyDATA!$FQ:$FQ,"*NEED*",SurveyDATA!BL:BL,"*ABSENTEE*")</f>
        <v>0</v>
      </c>
      <c r="AN41" s="1395">
        <f>COUNTIFS(SurveyDATA!A:A,"*LEGAL*",SurveyDATA!E:E,"*BRGY.25*",SurveyDATA!AK:AK,"LAND OWNER",SurveyDATA!AN:AN,"&lt;20%",SurveyDATA!BL:BL,"")</f>
        <v>0</v>
      </c>
      <c r="AO41" s="1395">
        <f>COUNTIFS(SurveyDATA!A:A,"*LEGAL*",SurveyDATA!E:E,"*BRGY.21*",SurveyDATA!AK:AK,"LAND OWNER",SurveyDATA!AN:AN,"&gt;20%",SurveyDATA!BL:BL,"")</f>
        <v>0</v>
      </c>
      <c r="AP41" s="1624"/>
      <c r="AQ41" s="1624"/>
      <c r="AR41" s="1395">
        <f t="shared" si="30"/>
        <v>7</v>
      </c>
      <c r="AS41" s="1395">
        <f t="shared" si="31"/>
        <v>8</v>
      </c>
      <c r="AU41" s="1589"/>
      <c r="AV41" s="1589" t="s">
        <v>12698</v>
      </c>
      <c r="AW41" s="1283">
        <f>COUNTIFS(SurveyDATA!A:A,"*ISF*",SurveyDATA!E:E,"*BRGY.25*",SurveyDATA!BM:BM,"*RESiDENTIAL*",SurveyDATA!BN:BN,"*STRUCTURE OWNER*",SurveyDATA!FQ:FQ,"*STAY*")</f>
        <v>4</v>
      </c>
      <c r="AX41" s="1284">
        <f>COUNTIFS(SurveyDATA!A:A,"*ISF*",SurveyDATA!E:E,"*BRGY.25*",SurveyDATA!BM:BM,"*RESiDENTIAL*",SurveyDATA!BN:BN,"*STRUCTURE OWNER*",SurveyDATA!FQ:FQ,"*NEED*")</f>
        <v>13</v>
      </c>
      <c r="AY41" s="1284">
        <f>COUNTIFS(SurveyDATA!A:A,"*ISF*",SurveyDATA!E:E,"*BRGY.25*",SurveyDATA!BM:BM,"*COMMERCIAL*",SurveyDATA!BN:BN,"*STRUCTURE OWNER*",SurveyDATA!FQ:FQ,"*STAY*")</f>
        <v>0</v>
      </c>
      <c r="AZ41" s="1284">
        <f>COUNTIFS(SurveyDATA!A:A,"*ISF*",SurveyDATA!E:E,"*BRGY.25*",SurveyDATA!BM:BM,"*COMMERCIAL*",SurveyDATA!BN:BN,"*STRUCTURE OWNER*",SurveyDATA!FQ:FQ,"*NEED*")</f>
        <v>0</v>
      </c>
      <c r="BA41" s="1625"/>
      <c r="BB41" s="1626"/>
      <c r="BC41" s="1634">
        <f t="shared" si="32"/>
        <v>5</v>
      </c>
      <c r="BD41" s="1635">
        <f t="shared" si="33"/>
        <v>11</v>
      </c>
    </row>
    <row r="42" spans="26:56">
      <c r="Z42" s="1589"/>
      <c r="AA42" s="1589" t="s">
        <v>12699</v>
      </c>
      <c r="AB42" s="1394">
        <f>COUNTIFS(SurveyDATA!$E:$E,"*BRGY.29*",SurveyDATA!$BM:$BM,"*RESIDENTIAL*",SurveyDATA!$BN:$BN,"*STRUCTURE OWNER*",SurveyDATA!$A:$A,"LEGAL",SurveyDATA!$FQ:$FQ,"*STAY*")</f>
        <v>0</v>
      </c>
      <c r="AC42" s="1394">
        <f>COUNTIFS(SurveyDATA!$E:$E,"*BRGY.29*",SurveyDATA!$BM:$BM,"*RESIDENTIAL*",SurveyDATA!$BN:$BN,"*STRUCTURE OWNER*",SurveyDATA!$A:$A,"LEGAL",SurveyDATA!$FQ:$FQ,"*NEED*")</f>
        <v>0</v>
      </c>
      <c r="AD42" s="1394">
        <f>COUNTIFS(SurveyDATA!$E:$E,"*BRGY.29*",SurveyDATA!$BM:$BM,"*MIXED*",SurveyDATA!$BN:$BN,"*STRUCTURE OWNER*",SurveyDATA!$A:$A,"LEGAL",SurveyDATA!$FQ:$FQ,"*STAY*")</f>
        <v>0</v>
      </c>
      <c r="AE42" s="1394">
        <f>COUNTIFS(SurveyDATA!$E:$E,"*BRGY.29*",SurveyDATA!$BM:$BM,"*MIXED*",SurveyDATA!$BN:$BN,"*STRUCTURE OWNER*",SurveyDATA!$A:$A,"LEGAL",SurveyDATA!$FQ:$FQ,"*NEED*")</f>
        <v>0</v>
      </c>
      <c r="AF42" s="1394">
        <f>COUNTIFS(SurveyDATA!$E:$E,"*BRGY.29*",SurveyDATA!$BM:$BM,"*COMMERICIAL*",SurveyDATA!$BN:$BN,"*STRUCTURE OWNER*",SurveyDATA!$A:$A,"LEGAL",SurveyDATA!$FQ:$FQ,"*STAY*")</f>
        <v>0</v>
      </c>
      <c r="AG42" s="1394">
        <f>COUNTIFS(SurveyDATA!$E:$E,"*BRGY.29*",SurveyDATA!$BM:$BM,"*COMMERCIAL*",SurveyDATA!$BN:$BN,"*STRUCTURE OWNER*",SurveyDATA!$A:$A,"LEGAL",SurveyDATA!$FQ:$FQ,"*NEED*")</f>
        <v>0</v>
      </c>
      <c r="AH42" s="1394">
        <f>COUNTIFS(SurveyDATA!$E:$E,"*BRGY.29*",SurveyDATA!$BM:$BM,"*INSTITUTIONAL*",SurveyDATA!$BN:$BN,"*STRUCTURE OWNER*",SurveyDATA!$A:$A,"LEGAL",SurveyDATA!$FQ:$FQ,"*STAY*")</f>
        <v>0</v>
      </c>
      <c r="AI42" s="1394">
        <f>COUNTIFS(SurveyDATA!$E:$E,"*BRGY.29*",SurveyDATA!$BM:$BM,"*INSTITUTIONAL*",SurveyDATA!$BN:$BN,"*STRUCTURE OWNER*",SurveyDATA!$A:$A,"LEGAL",SurveyDATA!$FQ:$FQ,"*NEED*")</f>
        <v>0</v>
      </c>
      <c r="AJ42" s="1394">
        <f>COUNTIFS(SurveyDATA!$E:$E,"*BRGY.29*",SurveyDATA!$BM:$BM,"RESIDENTIAL*",SurveyDATA!$BN:$BN,"*STRUCTURE RENTER*",SurveyDATA!$A:$A,"LEGAL",SurveyDATA!$FQ:$FQ,"*STAY*")</f>
        <v>0</v>
      </c>
      <c r="AK42" s="1394">
        <f>COUNTIFS(SurveyDATA!$E:$E,"*BRGY.29*",SurveyDATA!$BM:$BM,"RESIDENTIAL*",SurveyDATA!$BN:$BN,"*STRUCTURE RENTER*",SurveyDATA!$A:$A,"LEGAL",SurveyDATA!$FQ:$FQ,"*NEED*")</f>
        <v>0</v>
      </c>
      <c r="AL42" s="1394">
        <f>COUNTIFS(SurveyDATA!$E:$E,"*BRGY.25*",SurveyDATA!$BM:$BM,"RESIDENTIAL*",SurveyDATA!$BN:$BN,"*STRUCTURE OWNER*",SurveyDATA!$A:$A,"LEGAL",SurveyDATA!$FQ:$FQ,"*STAY*",SurveyDATA!BL:BL,"*ABSENTEE*")</f>
        <v>1</v>
      </c>
      <c r="AM42" s="1394">
        <f>COUNTIFS(SurveyDATA!$E:$E,"*BRGY.25*",SurveyDATA!$BM:$BM,"RESIDENTIAL*",SurveyDATA!$BN:$BN,"*STRUCTURE OWNER*",SurveyDATA!$A:$A,"LEGAL",SurveyDATA!$FQ:$FQ,"*NEED*",SurveyDATA!BL:BL,"*ABSENTEE*")</f>
        <v>0</v>
      </c>
      <c r="AN42" s="1395">
        <f>COUNTIFS(SurveyDATA!A:A,"*LEGAL*",SurveyDATA!E:E,"*BRGY.29*",SurveyDATA!AK:AK,"LAND OWNER",SurveyDATA!AN:AN,"&lt;20%",SurveyDATA!BL:BL,"")</f>
        <v>0</v>
      </c>
      <c r="AO42" s="1395">
        <f>COUNTIFS(SurveyDATA!A:A,"*LEGAL*",SurveyDATA!E:E,"*BRGY.29*",SurveyDATA!AK:AK,"LAND OWNER",SurveyDATA!AN:AN,"&gt;20%",SurveyDATA!BL:BL,"")</f>
        <v>0</v>
      </c>
      <c r="AP42" s="1624"/>
      <c r="AQ42" s="1624"/>
      <c r="AR42" s="1395">
        <f t="shared" si="30"/>
        <v>1</v>
      </c>
      <c r="AS42" s="1395">
        <f t="shared" si="31"/>
        <v>0</v>
      </c>
      <c r="AU42" s="1589"/>
      <c r="AV42" s="1589" t="s">
        <v>12699</v>
      </c>
      <c r="AW42" s="1283">
        <f>COUNTIFS(SurveyDATA!A:A,"*ISF*",SurveyDATA!E:E,"*BRGY.29*",SurveyDATA!BM:BM,"*RESiDENTIAL*",SurveyDATA!BN:BN,"*STRUCTURE OWNER*",SurveyDATA!FQ:FQ,"*STAY*")</f>
        <v>4</v>
      </c>
      <c r="AX42" s="1284">
        <f>COUNTIFS(SurveyDATA!A:A,"*ISF*",SurveyDATA!E:E,"*BRGY.29*",SurveyDATA!BM:BM,"*RESiDENTIAL*",SurveyDATA!BN:BN,"*STRUCTURE OWNER*",SurveyDATA!FQ:FQ,"*NEED*")</f>
        <v>6</v>
      </c>
      <c r="AY42" s="1284">
        <f>COUNTIFS(SurveyDATA!A:A,"*ISF*",SurveyDATA!E:E,"*BRGY.29*",SurveyDATA!BM:BM,"*COMMERCIAL*",SurveyDATA!BN:BN,"*STRUCTURE OWNER*",SurveyDATA!FQ:FQ,"*STAY*")</f>
        <v>0</v>
      </c>
      <c r="AZ42" s="1284">
        <f>COUNTIFS(SurveyDATA!A:A,"*ISF*",SurveyDATA!E:E,"*BRGY.29*",SurveyDATA!BM:BM,"*COMMERCIAL*",SurveyDATA!BN:BN,"*STRUCTURE OWNER*",SurveyDATA!FQ:FQ,"*NEED*")</f>
        <v>0</v>
      </c>
      <c r="BA42" s="1625"/>
      <c r="BB42" s="1626"/>
      <c r="BC42" s="1634">
        <f t="shared" si="32"/>
        <v>4</v>
      </c>
      <c r="BD42" s="1635">
        <f t="shared" si="33"/>
        <v>13</v>
      </c>
    </row>
    <row r="43" spans="26:56">
      <c r="Z43" s="1589"/>
      <c r="AA43" s="1589" t="s">
        <v>12700</v>
      </c>
      <c r="AB43" s="1394">
        <f>COUNTIFS(SurveyDATA!$E:$E,"*BRGY.32*",SurveyDATA!$BM:$BM,"*RESIDENTIAL*",SurveyDATA!$BN:$BN,"*STRUCTURE OWNER*",SurveyDATA!$A:$A,"LEGAL",SurveyDATA!$FQ:$FQ,"*STAY*")</f>
        <v>0</v>
      </c>
      <c r="AC43" s="1394">
        <f>COUNTIFS(SurveyDATA!$E:$E,"*BRGY.32*",SurveyDATA!$BM:$BM,"*RESIDENTIAL*",SurveyDATA!$BN:$BN,"*STRUCTURE OWNER*",SurveyDATA!$A:$A,"LEGAL",SurveyDATA!$FQ:$FQ,"*NEED*")</f>
        <v>0</v>
      </c>
      <c r="AD43" s="1394">
        <f>COUNTIFS(SurveyDATA!$E:$E,"*BRGY.32*",SurveyDATA!$BM:$BM,"*MIXED*",SurveyDATA!$BN:$BN,"*STRUCTURE OWNER*",SurveyDATA!$A:$A,"LEGAL",SurveyDATA!$FQ:$FQ,"*STAY*")</f>
        <v>0</v>
      </c>
      <c r="AE43" s="1394">
        <f>COUNTIFS(SurveyDATA!$E:$E,"*BRGY.32*",SurveyDATA!$BM:$BM,"*MIXED*",SurveyDATA!$BN:$BN,"*STRUCTURE OWNER*",SurveyDATA!$A:$A,"LEGAL",SurveyDATA!$FQ:$FQ,"*NEED*")</f>
        <v>0</v>
      </c>
      <c r="AF43" s="1394">
        <f>COUNTIFS(SurveyDATA!$E:$E,"*BRGY.32*",SurveyDATA!$BM:$BM,"*COMMERICIAL*",SurveyDATA!$BN:$BN,"*STRUCTURE OWNER*",SurveyDATA!$A:$A,"LEGAL",SurveyDATA!$FQ:$FQ,"*STAY*")</f>
        <v>0</v>
      </c>
      <c r="AG43" s="1394">
        <f>COUNTIFS(SurveyDATA!$E:$E,"*BRGY.32*",SurveyDATA!$BM:$BM,"*COMMERCIAL*",SurveyDATA!$BN:$BN,"*STRUCTURE OWNER*",SurveyDATA!$A:$A,"LEGAL",SurveyDATA!$FQ:$FQ,"*NEED*")</f>
        <v>0</v>
      </c>
      <c r="AH43" s="1394">
        <f>COUNTIFS(SurveyDATA!$E:$E,"*BRGY.32*",SurveyDATA!$BM:$BM,"*INSTITUTIONAL*",SurveyDATA!$BN:$BN,"*STRUCTURE OWNER*",SurveyDATA!$A:$A,"LEGAL",SurveyDATA!$FQ:$FQ,"*STAY*")</f>
        <v>0</v>
      </c>
      <c r="AI43" s="1394">
        <f>COUNTIFS(SurveyDATA!$E:$E,"*BRGY.32*",SurveyDATA!$BM:$BM,"*INSTITUTIONAL*",SurveyDATA!$BN:$BN,"*STRUCTURE OWNER*",SurveyDATA!$A:$A,"LEGAL",SurveyDATA!$FQ:$FQ,"*NEED*")</f>
        <v>0</v>
      </c>
      <c r="AJ43" s="1394">
        <f>COUNTIFS(SurveyDATA!$E:$E,"*BRGY.32*",SurveyDATA!$BM:$BM,"RESIDENTIAL*",SurveyDATA!$BN:$BN,"*STRUCTURE RENTER*",SurveyDATA!$A:$A,"LEGAL",SurveyDATA!$FQ:$FQ,"*STAY*")</f>
        <v>0</v>
      </c>
      <c r="AK43" s="1394">
        <f>COUNTIFS(SurveyDATA!$E:$E,"*BRGY.32*",SurveyDATA!$BM:$BM,"RESIDENTIAL*",SurveyDATA!$BN:$BN,"*STRUCTURE RENTER*",SurveyDATA!$A:$A,"LEGAL",SurveyDATA!$FQ:$FQ,"*NEED*")</f>
        <v>0</v>
      </c>
      <c r="AL43" s="1394">
        <f>COUNTIFS(SurveyDATA!$E:$E,"*BRGY.32*",SurveyDATA!$BM:$BM,"RESIDENTIAL*",SurveyDATA!$BN:$BN,"*STRUCTURE OWNER*",SurveyDATA!$A:$A,"LEGAL",SurveyDATA!$FQ:$FQ,"*STAY*",SurveyDATA!BL:BL,"*ABSENTEE*")</f>
        <v>0</v>
      </c>
      <c r="AM43" s="1394">
        <f>COUNTIFS(SurveyDATA!$E:$E,"*BRGY.32*",SurveyDATA!$BM:$BM,"RESIDENTIAL*",SurveyDATA!$BN:$BN,"*STRUCTURE OWNER*",SurveyDATA!$A:$A,"LEGAL",SurveyDATA!$FQ:$FQ,"*NEED*",SurveyDATA!BL:BL,"*ABSENTEE*")</f>
        <v>0</v>
      </c>
      <c r="AN43" s="1395">
        <f>COUNTIFS(SurveyDATA!A:A,"*LEGAL*",SurveyDATA!E:E,"*BRGY.32*",SurveyDATA!AK:AK,"LAND OWNER",SurveyDATA!AN:AN,"&lt;20%",SurveyDATA!BL:BL,"")</f>
        <v>0</v>
      </c>
      <c r="AO43" s="1395">
        <f>COUNTIFS(SurveyDATA!A:A,"*LEGAL*",SurveyDATA!E:E,"*BRGY.32*",SurveyDATA!AK:AK,"LAND OWNER",SurveyDATA!AN:AN,"&gt;20%",SurveyDATA!BL:BL,"")</f>
        <v>0</v>
      </c>
      <c r="AP43" s="1624"/>
      <c r="AQ43" s="1624"/>
      <c r="AR43" s="1395">
        <f t="shared" si="30"/>
        <v>0</v>
      </c>
      <c r="AS43" s="1395">
        <f t="shared" si="31"/>
        <v>0</v>
      </c>
      <c r="AU43" s="1589"/>
      <c r="AV43" s="1589" t="s">
        <v>12700</v>
      </c>
      <c r="AW43" s="1283">
        <f>COUNTIFS(SurveyDATA!A:A,"*ISF*",SurveyDATA!E:E,"*BRGY.32*",SurveyDATA!BM:BM,"*RESiDENTIAL*",SurveyDATA!BN:BN,"*STRUCTURE OWNER*",SurveyDATA!FQ:FQ,"*STAY*")</f>
        <v>0</v>
      </c>
      <c r="AX43" s="1284">
        <f>COUNTIFS(SurveyDATA!A:A,"*ISF*",SurveyDATA!E:E,"*BRGY.32*",SurveyDATA!BM:BM,"*RESiDENTIAL*",SurveyDATA!BN:BN,"*STRUCTURE OWNER*",SurveyDATA!FQ:FQ,"*NEED*")</f>
        <v>0</v>
      </c>
      <c r="AY43" s="1284">
        <f>COUNTIFS(SurveyDATA!A:A,"*ISF*",SurveyDATA!E:E,"*BRGY.32*",SurveyDATA!BM:BM,"*COMMERCIAL*",SurveyDATA!BN:BN,"*STRUCTURE OWNER*",SurveyDATA!FQ:FQ,"*STAY*")</f>
        <v>0</v>
      </c>
      <c r="AZ43" s="1284">
        <f>COUNTIFS(SurveyDATA!A:A,"*ISF*",SurveyDATA!E:E,"*BRGY.32*",SurveyDATA!BM:BM,"*COMMERCIAL*",SurveyDATA!BN:BN,"*STRUCTURE OWNER*",SurveyDATA!FQ:FQ,"*NEED*")</f>
        <v>0</v>
      </c>
      <c r="BA43" s="1625"/>
      <c r="BB43" s="1626"/>
      <c r="BC43" s="1634">
        <f t="shared" si="32"/>
        <v>4</v>
      </c>
      <c r="BD43" s="1635">
        <f t="shared" si="33"/>
        <v>6</v>
      </c>
    </row>
    <row r="44" spans="26:56">
      <c r="Z44" s="1589"/>
      <c r="AA44" s="1589" t="s">
        <v>12701</v>
      </c>
      <c r="AB44" s="1394">
        <f>COUNTIFS(SurveyDATA!$E:$E,"*BRGY.33*",SurveyDATA!$BM:$BM,"*RESIDENTIAL*",SurveyDATA!$BN:$BN,"*STRUCTURE OWNER*",SurveyDATA!$A:$A,"LEGAL",SurveyDATA!$FQ:$FQ,"*STAY*")</f>
        <v>4</v>
      </c>
      <c r="AC44" s="1394">
        <f>COUNTIFS(SurveyDATA!$E:$E,"*BRGY.33*",SurveyDATA!$BM:$BM,"*RESIDENTIAL*",SurveyDATA!$BN:$BN,"*STRUCTURE OWNER*",SurveyDATA!$A:$A,"LEGAL",SurveyDATA!$FQ:$FQ,"*NEED*")</f>
        <v>0</v>
      </c>
      <c r="AD44" s="1394">
        <f>COUNTIFS(SurveyDATA!$E:$E,"*BRGY.33*",SurveyDATA!$BM:$BM,"*MIXED*",SurveyDATA!$BN:$BN,"*STRUCTURE OWNER*",SurveyDATA!$A:$A,"LEGAL",SurveyDATA!$FQ:$FQ,"*STAY*")</f>
        <v>0</v>
      </c>
      <c r="AE44" s="1394">
        <f>COUNTIFS(SurveyDATA!$E:$E,"*BRGY.33*",SurveyDATA!$BM:$BM,"*MIXED*",SurveyDATA!$BN:$BN,"*STRUCTURE OWNER*",SurveyDATA!$A:$A,"LEGAL",SurveyDATA!$FQ:$FQ,"*NEED*")</f>
        <v>0</v>
      </c>
      <c r="AF44" s="1394">
        <f>COUNTIFS(SurveyDATA!$E:$E,"*BRGY.33*",SurveyDATA!$BM:$BM,"*COMMERICIAL*",SurveyDATA!$BN:$BN,"*STRUCTURE OWNER*",SurveyDATA!$A:$A,"LEGAL",SurveyDATA!$FQ:$FQ,"*STAY*")</f>
        <v>0</v>
      </c>
      <c r="AG44" s="1394">
        <f>COUNTIFS(SurveyDATA!$E:$E,"*BRGY.33*",SurveyDATA!$BM:$BM,"*COMMERCIAL*",SurveyDATA!$BN:$BN,"*STRUCTURE OWNER*",SurveyDATA!$A:$A,"LEGAL",SurveyDATA!$FQ:$FQ,"*NEED*")</f>
        <v>0</v>
      </c>
      <c r="AH44" s="1394">
        <f>COUNTIFS(SurveyDATA!$E:$E,"*BRGY.33*",SurveyDATA!$BM:$BM,"*INSTITUTIONAL*",SurveyDATA!$BN:$BN,"*STRUCTURE OWNER*",SurveyDATA!$A:$A,"LEGAL",SurveyDATA!$FQ:$FQ,"*STAY*")</f>
        <v>0</v>
      </c>
      <c r="AI44" s="1394">
        <f>COUNTIFS(SurveyDATA!$E:$E,"*BRGY.33*",SurveyDATA!$BM:$BM,"*INSTITUTIONAL*",SurveyDATA!$BN:$BN,"*STRUCTURE OWNER*",SurveyDATA!$A:$A,"LEGAL",SurveyDATA!$FQ:$FQ,"*NEED*")</f>
        <v>0</v>
      </c>
      <c r="AJ44" s="1394">
        <f>COUNTIFS(SurveyDATA!$E:$E,"*BRGY.33*",SurveyDATA!$BM:$BM,"RESIDENTIAL*",SurveyDATA!$BN:$BN,"*STRUCTURE RENTER*",SurveyDATA!$A:$A,"LEGAL",SurveyDATA!$FQ:$FQ,"*STAY*")</f>
        <v>0</v>
      </c>
      <c r="AK44" s="1394">
        <f>COUNTIFS(SurveyDATA!$E:$E,"*BRGY.33*",SurveyDATA!$BM:$BM,"RESIDENTIAL*",SurveyDATA!$BN:$BN,"*STRUCTURE RENTER*",SurveyDATA!$A:$A,"LEGAL",SurveyDATA!$FQ:$FQ,"*NEED*")</f>
        <v>0</v>
      </c>
      <c r="AL44" s="1394">
        <f>COUNTIFS(SurveyDATA!$E:$E,"*BRGY.33*",SurveyDATA!$BM:$BM,"RESIDENTIAL*",SurveyDATA!$BN:$BN,"*STRUCTURE OWNER*",SurveyDATA!$A:$A,"LEGAL",SurveyDATA!$FQ:$FQ,"*STAY*",SurveyDATA!BL:BL,"*ABSENTEE*")</f>
        <v>0</v>
      </c>
      <c r="AM44" s="1394">
        <f>COUNTIFS(SurveyDATA!$E:$E,"*BRGY.33*",SurveyDATA!$BM:$BM,"RESIDENTIAL*",SurveyDATA!$BN:$BN,"*STRUCTURE OWNER*",SurveyDATA!$A:$A,"LEGAL",SurveyDATA!$FQ:$FQ,"*NEED*",SurveyDATA!BL:BL,"*ABSENTEE*")</f>
        <v>0</v>
      </c>
      <c r="AN44" s="1395">
        <f>COUNTIFS(SurveyDATA!A:A,"*LEGAL*",SurveyDATA!E:E,"*BRGY.33*",SurveyDATA!AK:AK,"LAND OWNER",SurveyDATA!AN:AN,"&lt;20%",SurveyDATA!BL:BL,"")</f>
        <v>0</v>
      </c>
      <c r="AO44" s="1395">
        <f>COUNTIFS(SurveyDATA!A:A,"*LEGAL*",SurveyDATA!E:E,"*BRGY.33*",SurveyDATA!AK:AK,"LAND OWNER",SurveyDATA!AN:AN,"&gt;20%",SurveyDATA!BL:BL,"")</f>
        <v>0</v>
      </c>
      <c r="AP44" s="1624"/>
      <c r="AQ44" s="1624"/>
      <c r="AR44" s="1395">
        <f t="shared" si="30"/>
        <v>4</v>
      </c>
      <c r="AS44" s="1395">
        <f t="shared" si="31"/>
        <v>0</v>
      </c>
      <c r="AU44" s="1589"/>
      <c r="AV44" s="1589" t="s">
        <v>12701</v>
      </c>
      <c r="AW44" s="1283">
        <f>COUNTIFS(SurveyDATA!A:A,"*ISF*",SurveyDATA!E:E,"*BRGY.33*",SurveyDATA!BM:BM,"*RESiDENTIAL*",SurveyDATA!BN:BN,"*STRUCTURE OWNER*",SurveyDATA!FQ:FQ,"*STAY*")</f>
        <v>1</v>
      </c>
      <c r="AX44" s="1284">
        <f>COUNTIFS(SurveyDATA!A:A,"*ISF*",SurveyDATA!E:E,"*BRGY.33*",SurveyDATA!BM:BM,"*RESiDENTIAL*",SurveyDATA!BN:BN,"*STRUCTURE OWNER*",SurveyDATA!FQ:FQ,"*NEED*")</f>
        <v>3</v>
      </c>
      <c r="AY44" s="1284">
        <f>COUNTIFS(SurveyDATA!A:A,"*ISF*",SurveyDATA!E:E,"*BRGY.33*",SurveyDATA!BM:BM,"*COMMERCIAL*",SurveyDATA!BN:BN,"*STRUCTURE OWNER*",SurveyDATA!FQ:FQ,"*STAY*")</f>
        <v>0</v>
      </c>
      <c r="AZ44" s="1284">
        <f>COUNTIFS(SurveyDATA!A:A,"*ISF*",SurveyDATA!E:E,"*BRGY.33*",SurveyDATA!BM:BM,"*COMMERCIAL*",SurveyDATA!BN:BN,"*STRUCTURE OWNER*",SurveyDATA!FQ:FQ,"*NEED*")</f>
        <v>0</v>
      </c>
      <c r="BA44" s="1625"/>
      <c r="BB44" s="1626"/>
      <c r="BC44" s="1634">
        <f t="shared" si="32"/>
        <v>0</v>
      </c>
      <c r="BD44" s="1635">
        <f t="shared" si="33"/>
        <v>0</v>
      </c>
    </row>
    <row r="45" spans="26:56">
      <c r="Z45" s="1589"/>
      <c r="AA45" s="1619" t="s">
        <v>12285</v>
      </c>
      <c r="AB45" s="1620">
        <f>SUM(AB36:AB44)</f>
        <v>13</v>
      </c>
      <c r="AC45" s="1620">
        <f t="shared" ref="AC45:AS45" si="34">SUM(AC36:AC44)</f>
        <v>17</v>
      </c>
      <c r="AD45" s="1620">
        <f>SUM(AD36:AD44)</f>
        <v>2</v>
      </c>
      <c r="AE45" s="1620">
        <f>SUM(AE36:AE44)</f>
        <v>2</v>
      </c>
      <c r="AF45" s="1620">
        <f>SUM(AF36:AF44)</f>
        <v>0</v>
      </c>
      <c r="AG45" s="1620">
        <f t="shared" si="34"/>
        <v>0</v>
      </c>
      <c r="AH45" s="1620">
        <f t="shared" si="34"/>
        <v>0</v>
      </c>
      <c r="AI45" s="1620">
        <f t="shared" si="34"/>
        <v>0</v>
      </c>
      <c r="AJ45" s="1620">
        <f t="shared" si="34"/>
        <v>0</v>
      </c>
      <c r="AK45" s="1620">
        <f t="shared" si="34"/>
        <v>0</v>
      </c>
      <c r="AL45" s="1620">
        <f t="shared" si="34"/>
        <v>1</v>
      </c>
      <c r="AM45" s="1620">
        <f t="shared" si="34"/>
        <v>0</v>
      </c>
      <c r="AN45" s="1620">
        <f t="shared" si="34"/>
        <v>0</v>
      </c>
      <c r="AO45" s="1620">
        <f t="shared" si="34"/>
        <v>2</v>
      </c>
      <c r="AP45" s="1620">
        <f t="shared" si="34"/>
        <v>0</v>
      </c>
      <c r="AQ45" s="1620">
        <f t="shared" si="34"/>
        <v>0</v>
      </c>
      <c r="AR45" s="1620">
        <f t="shared" si="34"/>
        <v>16</v>
      </c>
      <c r="AS45" s="1620">
        <f t="shared" si="34"/>
        <v>21</v>
      </c>
      <c r="AU45" s="1589"/>
      <c r="AV45" s="1619" t="s">
        <v>12285</v>
      </c>
      <c r="AW45" s="638">
        <f t="shared" ref="AW45:BD45" si="35">SUM(AW36:AW44)</f>
        <v>15</v>
      </c>
      <c r="AX45" s="638">
        <f t="shared" si="35"/>
        <v>39</v>
      </c>
      <c r="AY45" s="638">
        <f t="shared" si="35"/>
        <v>0</v>
      </c>
      <c r="AZ45" s="638">
        <f t="shared" si="35"/>
        <v>0</v>
      </c>
      <c r="BA45" s="638">
        <f t="shared" si="35"/>
        <v>0</v>
      </c>
      <c r="BB45" s="1289">
        <f t="shared" si="35"/>
        <v>0</v>
      </c>
      <c r="BC45" s="1285">
        <f t="shared" si="35"/>
        <v>16</v>
      </c>
      <c r="BD45" s="1286">
        <f t="shared" si="35"/>
        <v>75</v>
      </c>
    </row>
    <row r="46" spans="26:56">
      <c r="Z46" s="1589" t="s">
        <v>5402</v>
      </c>
      <c r="AA46" s="1589" t="s">
        <v>12702</v>
      </c>
      <c r="AB46" s="1394">
        <f>COUNTIFS(SurveyDATA!$E:$E,"*BRGY.184*",SurveyDATA!$BM:$BM,"*RESIDENTIAL*",SurveyDATA!$BN:$BN,"*STRUCTURE OWNER*",SurveyDATA!$A:$A,"LEGAL",SurveyDATA!$FQ:$FQ,"*STAY*")</f>
        <v>2</v>
      </c>
      <c r="AC46" s="1394">
        <f>COUNTIFS(SurveyDATA!$E:$E,"*BRGY.184*",SurveyDATA!$BM:$BM,"*RESIDENTIAL*",SurveyDATA!$BN:$BN,"*STRUCTURE OWNER*",SurveyDATA!$A:$A,"LEGAL",SurveyDATA!$FQ:$FQ,"*NEED*")</f>
        <v>6</v>
      </c>
      <c r="AD46" s="1394">
        <f>COUNTIFS(SurveyDATA!$E:$E,"*BRGY.184*",SurveyDATA!$BM:$BM,"*MIXED*",SurveyDATA!$BN:$BN,"*STRUCTURE OWNER*",SurveyDATA!$A:$A,"LEGAL",SurveyDATA!$FQ:$FQ,"*STAY*")</f>
        <v>0</v>
      </c>
      <c r="AE46" s="1394">
        <f>COUNTIFS(SurveyDATA!$E:$E,"*BRGY.184*",SurveyDATA!$BM:$BM,"*MIXED*",SurveyDATA!$BN:$BN,"*STRUCTURE OWNER*",SurveyDATA!$A:$A,"LEGAL",SurveyDATA!$FQ:$FQ,"*NEED*")</f>
        <v>1</v>
      </c>
      <c r="AF46" s="1394">
        <f>COUNTIFS(SurveyDATA!$E:$E,"*BRGY.184*",SurveyDATA!$BM:$BM,"*COMMERICIAL*",SurveyDATA!$BN:$BN,"*STRUCTURE OWNER*",SurveyDATA!$A:$A,"LEGAL",SurveyDATA!$FQ:$FQ,"*STAY*")</f>
        <v>0</v>
      </c>
      <c r="AG46" s="1394">
        <f>COUNTIFS(SurveyDATA!$E:$E,"*BRGY.184*",SurveyDATA!$BM:$BM,"*COMMERCIAL*",SurveyDATA!$BN:$BN,"*STRUCTURE OWNER*",SurveyDATA!$A:$A,"LEGAL",SurveyDATA!$FQ:$FQ,"*NEED*")</f>
        <v>0</v>
      </c>
      <c r="AH46" s="1394">
        <f>COUNTIFS(SurveyDATA!$E:$E,"*BRGY.184*",SurveyDATA!$BM:$BM,"*INSTITUTIONAL*",SurveyDATA!$BN:$BN,"*STRUCTURE OWNER*",SurveyDATA!$A:$A,"LEGAL",SurveyDATA!$FQ:$FQ,"*STAY*")</f>
        <v>0</v>
      </c>
      <c r="AI46" s="1394">
        <f>COUNTIFS(SurveyDATA!$E:$E,"*BRGY.184*",SurveyDATA!$BM:$BM,"*INSTITUTIONAL*",SurveyDATA!$BN:$BN,"*STRUCTURE OWNER*",SurveyDATA!$A:$A,"LEGAL",SurveyDATA!$FQ:$FQ,"*NEED*")</f>
        <v>0</v>
      </c>
      <c r="AJ46" s="1394">
        <f>COUNTIFS(SurveyDATA!$E:$E,"*BRGY.184*",SurveyDATA!$BM:$BM,"RESIDENTIAL*",SurveyDATA!$BN:$BN,"*STRUCTURE RENTER*",SurveyDATA!$A:$A,"LEGAL",SurveyDATA!$FQ:$FQ,"*STAY*")</f>
        <v>0</v>
      </c>
      <c r="AK46" s="1394">
        <f>COUNTIFS(SurveyDATA!$E:$E,"*BRGY.184*",SurveyDATA!$BM:$BM,"RESIDENTIAL*",SurveyDATA!$BN:$BN,"*STRUCTURE RENTER*",SurveyDATA!$A:$A,"LEGAL",SurveyDATA!$FQ:$FQ,"*NEED*")</f>
        <v>0</v>
      </c>
      <c r="AL46" s="1394">
        <f>COUNTIFS(SurveyDATA!$E:$E,"*BRGY.184*",SurveyDATA!$BM:$BM,"RESIDENTIAL*",SurveyDATA!$BN:$BN,"*STRUCTURE OWNER*",SurveyDATA!$A:$A,"LEGAL",SurveyDATA!$FQ:$FQ,"*STAY*",SurveyDATA!BL:BL,"*ABSENTEE*")</f>
        <v>0</v>
      </c>
      <c r="AM46" s="1394">
        <f>COUNTIFS(SurveyDATA!$E:$E,"*BRGY.184*",SurveyDATA!$BM:$BM,"RESIDENTIAL*",SurveyDATA!$BN:$BN,"*STRUCTURE OWNER*",SurveyDATA!$A:$A,"LEGAL",SurveyDATA!$FQ:$FQ,"*NEED*",SurveyDATA!BL:BL,"*ABSENTEE*")</f>
        <v>0</v>
      </c>
      <c r="AN46" s="1395">
        <f>COUNTIFS(SurveyDATA!A:A,"*LEGAL*",SurveyDATA!E:E,"*BRGY.184*",SurveyDATA!AK:AK,"LAND OWNER",SurveyDATA!AN:AN,"&lt;20%",SurveyDATA!BL:BL,"")</f>
        <v>1</v>
      </c>
      <c r="AO46" s="1395">
        <f>COUNTIFS(SurveyDATA!A:A,"*LEGAL*",SurveyDATA!E:E,"*BRGY.184*",SurveyDATA!AK:AK,"LAND OWNER",SurveyDATA!AN:AN,"&gt;20%",SurveyDATA!BL:BL,"")</f>
        <v>0</v>
      </c>
      <c r="AP46" s="1624"/>
      <c r="AQ46" s="1627"/>
      <c r="AR46" s="1395">
        <f t="shared" ref="AR46:AR61" si="36">SUM(AP46,AN46,AL46,AJ46,AH46,AF46,AJ46,AD46,AB46,)</f>
        <v>3</v>
      </c>
      <c r="AS46" s="1395">
        <f t="shared" ref="AS46:AS61" si="37">SUM(AQ46,AO46,AM46,AK46,AI46,AG46,AK46,AE46,AC46,)</f>
        <v>7</v>
      </c>
      <c r="AU46" s="1589" t="s">
        <v>5402</v>
      </c>
      <c r="AV46" s="1589" t="s">
        <v>12702</v>
      </c>
      <c r="AW46" s="1283">
        <f>COUNTIFS(SurveyDATA!A:A,"*ISF*",SurveyDATA!E:E,"*BRGY.184*",SurveyDATA!BM:BM,"*RESiDENTIAL*",SurveyDATA!BN:BN,"*STRUCTURE OWNER*",SurveyDATA!FQ:FQ,"*STAY*")</f>
        <v>5</v>
      </c>
      <c r="AX46" s="1284">
        <f>COUNTIFS(SurveyDATA!A:A,"*ISF*",SurveyDATA!E:E,"*BRGY.184*",SurveyDATA!BM:BM,"*RESiDENTIAL*",SurveyDATA!BN:BN,"*STRUCTURE OWNER*",SurveyDATA!FQ:FQ,"*NEED*")</f>
        <v>15</v>
      </c>
      <c r="AY46" s="1284">
        <f>COUNTIFS(SurveyDATA!A:A,"*ISF*",SurveyDATA!E:E,"*BRGY.184*",SurveyDATA!BM:BM,"*COMMERCIAL*",SurveyDATA!BN:BN,"*STRUCTURE OWNER*",SurveyDATA!FQ:FQ,"*STAY*")</f>
        <v>0</v>
      </c>
      <c r="AZ46" s="1284">
        <f>COUNTIFS(SurveyDATA!A:A,"*ISF*",SurveyDATA!E:E,"*BRGY.184*",SurveyDATA!BM:BM,"*COMMERCIAL*",SurveyDATA!BN:BN,"*STRUCTURE OWNER*",SurveyDATA!FQ:FQ,"*NEED*")</f>
        <v>0</v>
      </c>
      <c r="BA46" s="1625"/>
      <c r="BB46" s="1626"/>
      <c r="BC46" s="1634">
        <f t="shared" ref="BC46:BC61" si="38">SUM(AW45,AY45,BA45,)</f>
        <v>15</v>
      </c>
      <c r="BD46" s="1635">
        <f t="shared" ref="BD46:BD61" si="39">SUM(AX45,AZ45,BB45,)</f>
        <v>39</v>
      </c>
    </row>
    <row r="47" spans="26:56">
      <c r="Z47" s="1589"/>
      <c r="AA47" s="1589" t="s">
        <v>12703</v>
      </c>
      <c r="AB47" s="1394">
        <f>COUNTIFS(SurveyDATA!$E:$E,"*BRGY.186*",SurveyDATA!$BM:$BM,"*RESIDENTIAL*",SurveyDATA!$BN:$BN,"*STRUCTURE OWNER*",SurveyDATA!$A:$A,"LEGAL",SurveyDATA!$FQ:$FQ,"*STAY*")</f>
        <v>0</v>
      </c>
      <c r="AC47" s="1394">
        <f>COUNTIFS(SurveyDATA!$E:$E,"*BRGY.186*",SurveyDATA!$BM:$BM,"*RESIDENTIAL*",SurveyDATA!$BN:$BN,"*STRUCTURE OWNER*",SurveyDATA!$A:$A,"LEGAL",SurveyDATA!$FQ:$FQ,"*NEED*")</f>
        <v>0</v>
      </c>
      <c r="AD47" s="1394">
        <f>COUNTIFS(SurveyDATA!$E:$E,"*BRGY.186*",SurveyDATA!$BM:$BM,"*MIXED*",SurveyDATA!$BN:$BN,"*STRUCTURE OWNER*",SurveyDATA!$A:$A,"LEGAL",SurveyDATA!$FQ:$FQ,"*STAY*")</f>
        <v>0</v>
      </c>
      <c r="AE47" s="1394">
        <f>COUNTIFS(SurveyDATA!$E:$E,"*BRGY.186*",SurveyDATA!$BM:$BM,"*MIXED*",SurveyDATA!$BN:$BN,"*STRUCTURE OWNER*",SurveyDATA!$A:$A,"LEGAL",SurveyDATA!$FQ:$FQ,"*NEED*")</f>
        <v>0</v>
      </c>
      <c r="AF47" s="1394">
        <f>COUNTIFS(SurveyDATA!$E:$E,"*BRGY.186*",SurveyDATA!$BM:$BM,"*COMMERICIAL*",SurveyDATA!$BN:$BN,"*STRUCTURE OWNER*",SurveyDATA!$A:$A,"LEGAL",SurveyDATA!$FQ:$FQ,"*STAY*")</f>
        <v>0</v>
      </c>
      <c r="AG47" s="1394">
        <f>COUNTIFS(SurveyDATA!$E:$E,"*BRGY.186*",SurveyDATA!$BM:$BM,"*COMMERCIAL*",SurveyDATA!$BN:$BN,"*STRUCTURE OWNER*",SurveyDATA!$A:$A,"LEGAL",SurveyDATA!$FQ:$FQ,"*NEED*")</f>
        <v>0</v>
      </c>
      <c r="AH47" s="1394">
        <f>COUNTIFS(SurveyDATA!$E:$E,"*BRGY.186*",SurveyDATA!$BM:$BM,"*INSTITUTIONAL*",SurveyDATA!$BN:$BN,"*STRUCTURE OWNER*",SurveyDATA!$A:$A,"LEGAL",SurveyDATA!$FQ:$FQ,"*STAY*")</f>
        <v>0</v>
      </c>
      <c r="AI47" s="1394">
        <f>COUNTIFS(SurveyDATA!$E:$E,"*BRGY.186*",SurveyDATA!$BM:$BM,"*INSTITUTIONAL*",SurveyDATA!$BN:$BN,"*STRUCTURE OWNER*",SurveyDATA!$A:$A,"LEGAL",SurveyDATA!$FQ:$FQ,"*NEED*")</f>
        <v>0</v>
      </c>
      <c r="AJ47" s="1394">
        <f>COUNTIFS(SurveyDATA!$E:$E,"*BRGY.186*",SurveyDATA!$BM:$BM,"RESIDENTIAL*",SurveyDATA!$BN:$BN,"*STRUCTURE RENTER*",SurveyDATA!$A:$A,"LEGAL",SurveyDATA!$FQ:$FQ,"*STAY*")</f>
        <v>0</v>
      </c>
      <c r="AK47" s="1394">
        <f>COUNTIFS(SurveyDATA!$E:$E,"*BRGY.186*",SurveyDATA!$BM:$BM,"RESIDENTIAL*",SurveyDATA!$BN:$BN,"*STRUCTURE RENTER*",SurveyDATA!$A:$A,"LEGAL",SurveyDATA!$FQ:$FQ,"*NEED*")</f>
        <v>0</v>
      </c>
      <c r="AL47" s="1394">
        <f>COUNTIFS(SurveyDATA!$E:$E,"*BRGY.186*",SurveyDATA!$BM:$BM,"RESIDENTIAL*",SurveyDATA!$BN:$BN,"*STRUCTURE OWNER*",SurveyDATA!$A:$A,"LEGAL",SurveyDATA!$FQ:$FQ,"*STAY*",SurveyDATA!BL:BL,"*ABSENTEE*")</f>
        <v>0</v>
      </c>
      <c r="AM47" s="1394">
        <f>COUNTIFS(SurveyDATA!$E:$E,"*BRGY.186*",SurveyDATA!$BM:$BM,"RESIDENTIAL*",SurveyDATA!$BN:$BN,"*STRUCTURE OWNER*",SurveyDATA!$A:$A,"LEGAL",SurveyDATA!$FQ:$FQ,"*NEED*",SurveyDATA!BL:BL,"*ABSENTEE*")</f>
        <v>0</v>
      </c>
      <c r="AN47" s="1395">
        <f>COUNTIFS(SurveyDATA!A:A,"*LEGAL*",SurveyDATA!E:E,"*BRGY.186*",SurveyDATA!AK:AK,"LAND OWNER",SurveyDATA!AN:AN,"&lt;20%",SurveyDATA!BL:BL,"")</f>
        <v>0</v>
      </c>
      <c r="AO47" s="1395">
        <f>COUNTIFS(SurveyDATA!A:A,"*LEGAL*",SurveyDATA!E:E,"*BRGY.186*",SurveyDATA!AK:AK,"LAND OWNER",SurveyDATA!AN:AN,"&gt;20%",SurveyDATA!BL:BL,"")</f>
        <v>0</v>
      </c>
      <c r="AP47" s="1624"/>
      <c r="AQ47" s="1627"/>
      <c r="AR47" s="1395">
        <f t="shared" si="36"/>
        <v>0</v>
      </c>
      <c r="AS47" s="1395">
        <f t="shared" si="37"/>
        <v>0</v>
      </c>
      <c r="AU47" s="1589"/>
      <c r="AV47" s="1589" t="s">
        <v>12703</v>
      </c>
      <c r="AW47" s="1283">
        <f>COUNTIFS(SurveyDATA!A:A,"*ISF*",SurveyDATA!E:E,"*BRGY.186*",SurveyDATA!BM:BM,"*RESiDENTIAL*",SurveyDATA!BN:BN,"*STRUCTURE OWNER*",SurveyDATA!FQ:FQ,"*STAY*")</f>
        <v>0</v>
      </c>
      <c r="AX47" s="1284">
        <f>COUNTIFS(SurveyDATA!A:A,"*ISF*",SurveyDATA!E:E,"*BRGY.186*",SurveyDATA!BM:BM,"*RESiDENTIAL*",SurveyDATA!BN:BN,"*STRUCTURE OWNER*",SurveyDATA!FQ:FQ,"*NEED*")</f>
        <v>0</v>
      </c>
      <c r="AY47" s="1284">
        <f>COUNTIFS(SurveyDATA!A:A,"*ISF*",SurveyDATA!E:E,"*BRGY.186*",SurveyDATA!BM:BM,"*COMMERCIAL*",SurveyDATA!BN:BN,"*STRUCTURE OWNER*",SurveyDATA!FQ:FQ,"*STAY*")</f>
        <v>0</v>
      </c>
      <c r="AZ47" s="1284">
        <f>COUNTIFS(SurveyDATA!A:A,"*ISF*",SurveyDATA!E:E,"*BRGY.186*",SurveyDATA!BM:BM,"*COMMERCIAL*",SurveyDATA!BN:BN,"*STRUCTURE OWNER*",SurveyDATA!FQ:FQ,"*NEED*")</f>
        <v>0</v>
      </c>
      <c r="BA47" s="1625"/>
      <c r="BB47" s="1626"/>
      <c r="BC47" s="1634">
        <f t="shared" si="38"/>
        <v>5</v>
      </c>
      <c r="BD47" s="1635">
        <f t="shared" si="39"/>
        <v>15</v>
      </c>
    </row>
    <row r="48" spans="26:56">
      <c r="Z48" s="1589"/>
      <c r="AA48" s="1589" t="s">
        <v>12704</v>
      </c>
      <c r="AB48" s="1394">
        <f>COUNTIFS(SurveyDATA!$E:$E,"*BRGY.185*",SurveyDATA!$BM:$BM,"*RESIDENTIAL*",SurveyDATA!$BN:$BN,"*STRUCTURE OWNER*",SurveyDATA!$A:$A,"LEGAL",SurveyDATA!$FQ:$FQ,"*STAY*")</f>
        <v>0</v>
      </c>
      <c r="AC48" s="1394">
        <f>COUNTIFS(SurveyDATA!$E:$E,"*BRGY.185*",SurveyDATA!$BM:$BM,"*RESIDENTIAL*",SurveyDATA!$BN:$BN,"*STRUCTURE OWNER*",SurveyDATA!$A:$A,"LEGAL",SurveyDATA!$FQ:$FQ,"*NEED*")</f>
        <v>0</v>
      </c>
      <c r="AD48" s="1394">
        <f>COUNTIFS(SurveyDATA!$E:$E,"*BRGY.185*",SurveyDATA!$BM:$BM,"*MIXED*",SurveyDATA!$BN:$BN,"*STRUCTURE OWNER*",SurveyDATA!$A:$A,"LEGAL",SurveyDATA!$FQ:$FQ,"*STAY*")</f>
        <v>0</v>
      </c>
      <c r="AE48" s="1394">
        <f>COUNTIFS(SurveyDATA!$E:$E,"*BRGY.185*",SurveyDATA!$BM:$BM,"*MIXED*",SurveyDATA!$BN:$BN,"*STRUCTURE OWNER*",SurveyDATA!$A:$A,"LEGAL",SurveyDATA!$FQ:$FQ,"*NEED*")</f>
        <v>0</v>
      </c>
      <c r="AF48" s="1394">
        <f>COUNTIFS(SurveyDATA!$E:$E,"*BRGY.185*",SurveyDATA!$BM:$BM,"*COMMERICIAL*",SurveyDATA!$BN:$BN,"*STRUCTURE OWNER*",SurveyDATA!$A:$A,"LEGAL",SurveyDATA!$FQ:$FQ,"*STAY*")</f>
        <v>0</v>
      </c>
      <c r="AG48" s="1394">
        <f>COUNTIFS(SurveyDATA!$E:$E,"*BRGY.185*",SurveyDATA!$BM:$BM,"*COMMERCIAL*",SurveyDATA!$BN:$BN,"*STRUCTURE OWNER*",SurveyDATA!$A:$A,"LEGAL",SurveyDATA!$FQ:$FQ,"*NEED*")</f>
        <v>0</v>
      </c>
      <c r="AH48" s="1394">
        <f>COUNTIFS(SurveyDATA!$E:$E,"*BRGY.185*",SurveyDATA!$BM:$BM,"*INSTITUTIONAL*",SurveyDATA!$BN:$BN,"*STRUCTURE OWNER*",SurveyDATA!$A:$A,"LEGAL",SurveyDATA!$FQ:$FQ,"*STAY*")</f>
        <v>0</v>
      </c>
      <c r="AI48" s="1394">
        <f>COUNTIFS(SurveyDATA!$E:$E,"*BRGY.185*",SurveyDATA!$BM:$BM,"*INSTITUTIONAL*",SurveyDATA!$BN:$BN,"*STRUCTURE OWNER*",SurveyDATA!$A:$A,"LEGAL",SurveyDATA!$FQ:$FQ,"*NEED*")</f>
        <v>0</v>
      </c>
      <c r="AJ48" s="1394">
        <f>COUNTIFS(SurveyDATA!$E:$E,"*BRGY.185*",SurveyDATA!$BM:$BM,"RESIDENTIAL*",SurveyDATA!$BN:$BN,"*STRUCTURE RENTER*",SurveyDATA!$A:$A,"LEGAL",SurveyDATA!$FQ:$FQ,"*STAY*")</f>
        <v>0</v>
      </c>
      <c r="AK48" s="1394">
        <f>COUNTIFS(SurveyDATA!$E:$E,"*BRGY.185*",SurveyDATA!$BM:$BM,"RESIDENTIAL*",SurveyDATA!$BN:$BN,"*STRUCTURE RENTER*",SurveyDATA!$A:$A,"LEGAL",SurveyDATA!$FQ:$FQ,"*NEED*")</f>
        <v>0</v>
      </c>
      <c r="AL48" s="1394">
        <f>COUNTIFS(SurveyDATA!$E:$E,"*BRGY.185*",SurveyDATA!$BM:$BM,"RESIDENTIAL*",SurveyDATA!$BN:$BN,"*STRUCTURE OWNER*",SurveyDATA!$A:$A,"LEGAL",SurveyDATA!$FQ:$FQ,"*STAY*",SurveyDATA!BL:BL,"*ABSENTEE*")</f>
        <v>0</v>
      </c>
      <c r="AM48" s="1394">
        <f>COUNTIFS(SurveyDATA!$E:$E,"*BRGY.185*",SurveyDATA!$BM:$BM,"RESIDENTIAL*",SurveyDATA!$BN:$BN,"*STRUCTURE OWNER*",SurveyDATA!$A:$A,"LEGAL",SurveyDATA!$FQ:$FQ,"*NEED*",SurveyDATA!BL:BL,"*ABSENTEE*")</f>
        <v>0</v>
      </c>
      <c r="AN48" s="1395">
        <f>COUNTIFS(SurveyDATA!A:A,"*LEGAL*",SurveyDATA!E:E,"*BRGY.185*",SurveyDATA!AK:AK,"LAND OWNER",SurveyDATA!AN:AN,"&lt;20%",SurveyDATA!BL:BL,"")</f>
        <v>0</v>
      </c>
      <c r="AO48" s="1395">
        <f>COUNTIFS(SurveyDATA!A:A,"*LEGAL*",SurveyDATA!E:E,"*BRGY.185*",SurveyDATA!AK:AK,"LAND OWNER",SurveyDATA!AN:AN,"&gt;20%",SurveyDATA!BL:BL,"")</f>
        <v>0</v>
      </c>
      <c r="AP48" s="1624"/>
      <c r="AQ48" s="1627"/>
      <c r="AR48" s="1395">
        <f t="shared" si="36"/>
        <v>0</v>
      </c>
      <c r="AS48" s="1395">
        <f t="shared" si="37"/>
        <v>0</v>
      </c>
      <c r="AU48" s="1589"/>
      <c r="AV48" s="1589" t="s">
        <v>12704</v>
      </c>
      <c r="AW48" s="1283">
        <f>COUNTIFS(SurveyDATA!A:A,"*ISF*",SurveyDATA!E:E,"*BRGY.185*",SurveyDATA!BM:BM,"*RESiDENTIAL*",SurveyDATA!BN:BN,"*STRUCTURE OWNER*",SurveyDATA!FQ:FQ,"*STAY*")</f>
        <v>0</v>
      </c>
      <c r="AX48" s="1284">
        <f>COUNTIFS(SurveyDATA!A:A,"*ISF*",SurveyDATA!E:E,"*BRGY.185*",SurveyDATA!BM:BM,"*RESiDENTIAL*",SurveyDATA!BN:BN,"*STRUCTURE OWNER*",SurveyDATA!FQ:FQ,"*NEED*")</f>
        <v>1</v>
      </c>
      <c r="AY48" s="1284">
        <f>COUNTIFS(SurveyDATA!A:A,"*ISF*",SurveyDATA!E:E,"*BRGY.185*",SurveyDATA!BM:BM,"*COMMERCIAL*",SurveyDATA!BN:BN,"*STRUCTURE OWNER*",SurveyDATA!FQ:FQ,"*STAY*")</f>
        <v>0</v>
      </c>
      <c r="AZ48" s="1284">
        <f>COUNTIFS(SurveyDATA!A:A,"*ISF*",SurveyDATA!E:E,"*BRGY.185*",SurveyDATA!BM:BM,"*COMMERCIAL*",SurveyDATA!BN:BN,"*STRUCTURE OWNER*",SurveyDATA!FQ:FQ,"*NEED*")</f>
        <v>0</v>
      </c>
      <c r="BA48" s="1625"/>
      <c r="BB48" s="1626"/>
      <c r="BC48" s="1634">
        <f t="shared" si="38"/>
        <v>0</v>
      </c>
      <c r="BD48" s="1635">
        <f t="shared" si="39"/>
        <v>0</v>
      </c>
    </row>
    <row r="49" spans="26:56">
      <c r="Z49" s="1589"/>
      <c r="AA49" s="1589" t="s">
        <v>12705</v>
      </c>
      <c r="AB49" s="1394">
        <f>COUNTIFS(SurveyDATA!$E:$E,"*BRGY.204*",SurveyDATA!$BM:$BM,"*RESIDENTIAL*",SurveyDATA!$BN:$BN,"*STRUCTURE OWNER*",SurveyDATA!$A:$A,"LEGAL",SurveyDATA!$FQ:$FQ,"*STAY*")</f>
        <v>0</v>
      </c>
      <c r="AC49" s="1394">
        <f>COUNTIFS(SurveyDATA!$E:$E,"*BRGY.204*",SurveyDATA!$BM:$BM,"*RESIDENTIAL*",SurveyDATA!$BN:$BN,"*STRUCTURE OWNER*",SurveyDATA!$A:$A,"LEGAL",SurveyDATA!$FQ:$FQ,"*NEED*")</f>
        <v>0</v>
      </c>
      <c r="AD49" s="1394">
        <f>COUNTIFS(SurveyDATA!$E:$E,"*BRGY.204*",SurveyDATA!$BM:$BM,"*MIXED*",SurveyDATA!$BN:$BN,"*STRUCTURE OWNER*",SurveyDATA!$A:$A,"LEGAL",SurveyDATA!$FQ:$FQ,"*STAY*")</f>
        <v>0</v>
      </c>
      <c r="AE49" s="1394">
        <f>COUNTIFS(SurveyDATA!$E:$E,"*BRGY.204*",SurveyDATA!$BM:$BM,"*MIXED*",SurveyDATA!$BN:$BN,"*STRUCTURE OWNER*",SurveyDATA!$A:$A,"LEGAL",SurveyDATA!$FQ:$FQ,"*NEED*")</f>
        <v>0</v>
      </c>
      <c r="AF49" s="1394">
        <f>COUNTIFS(SurveyDATA!$E:$E,"*BRGY.204*",SurveyDATA!$BM:$BM,"*COMMERICIAL*",SurveyDATA!$BN:$BN,"*STRUCTURE OWNER*",SurveyDATA!$A:$A,"LEGAL",SurveyDATA!$FQ:$FQ,"*STAY*")</f>
        <v>0</v>
      </c>
      <c r="AG49" s="1394">
        <f>COUNTIFS(SurveyDATA!$E:$E,"*BRGY.204*",SurveyDATA!$BM:$BM,"*COMMERCIAL*",SurveyDATA!$BN:$BN,"*STRUCTURE OWNER*",SurveyDATA!$A:$A,"LEGAL",SurveyDATA!$FQ:$FQ,"*NEED*")</f>
        <v>0</v>
      </c>
      <c r="AH49" s="1394">
        <f>COUNTIFS(SurveyDATA!$E:$E,"*BRGY.204*",SurveyDATA!$BM:$BM,"*INSTITUTIONAL*",SurveyDATA!$BN:$BN,"*STRUCTURE OWNER*",SurveyDATA!$A:$A,"LEGAL",SurveyDATA!$FQ:$FQ,"*STAY*")</f>
        <v>0</v>
      </c>
      <c r="AI49" s="1394">
        <f>COUNTIFS(SurveyDATA!$E:$E,"*BRGY.204*",SurveyDATA!$BM:$BM,"*INSTITUTIONAL*",SurveyDATA!$BN:$BN,"*STRUCTURE OWNER*",SurveyDATA!$A:$A,"LEGAL",SurveyDATA!$FQ:$FQ,"*NEED*")</f>
        <v>0</v>
      </c>
      <c r="AJ49" s="1394">
        <f>COUNTIFS(SurveyDATA!$E:$E,"*BRGY.204*",SurveyDATA!$BM:$BM,"RESIDENTIAL*",SurveyDATA!$BN:$BN,"*STRUCTURE RENTER*",SurveyDATA!$A:$A,"LEGAL",SurveyDATA!$FQ:$FQ,"*STAY*")</f>
        <v>0</v>
      </c>
      <c r="AK49" s="1394">
        <f>COUNTIFS(SurveyDATA!$E:$E,"*BRGY.204*",SurveyDATA!$BM:$BM,"RESIDENTIAL*",SurveyDATA!$BN:$BN,"*STRUCTURE RENTER*",SurveyDATA!$A:$A,"LEGAL",SurveyDATA!$FQ:$FQ,"*NEED*")</f>
        <v>0</v>
      </c>
      <c r="AL49" s="1394">
        <f>COUNTIFS(SurveyDATA!$E:$E,"*BRGY.204*",SurveyDATA!$BM:$BM,"RESIDENTIAL*",SurveyDATA!$BN:$BN,"*STRUCTURE OWNER*",SurveyDATA!$A:$A,"LEGAL",SurveyDATA!$FQ:$FQ,"*STAY*",SurveyDATA!BL:BL,"*ABSENTEE*")</f>
        <v>0</v>
      </c>
      <c r="AM49" s="1394">
        <f>COUNTIFS(SurveyDATA!$E:$E,"*BRGY.204*",SurveyDATA!$BM:$BM,"RESIDENTIAL*",SurveyDATA!$BN:$BN,"*STRUCTURE OWNER*",SurveyDATA!$A:$A,"LEGAL",SurveyDATA!$FQ:$FQ,"*NEED*",SurveyDATA!BL:BL,"*ABSENTEE*")</f>
        <v>0</v>
      </c>
      <c r="AN49" s="1395">
        <f>COUNTIFS(SurveyDATA!A:A,"*LEGAL*",SurveyDATA!E:E,"*BRGY.204*",SurveyDATA!AK:AK,"LAND OWNER",SurveyDATA!AN:AN,"&lt;20%",SurveyDATA!BL:BL,"")</f>
        <v>0</v>
      </c>
      <c r="AO49" s="1395">
        <f>COUNTIFS(SurveyDATA!A:A,"*LEGAL*",SurveyDATA!E:E,"*BRGY.204*",SurveyDATA!AK:AK,"LAND OWNER",SurveyDATA!AN:AN,"&gt;20%",SurveyDATA!BL:BL,"")</f>
        <v>0</v>
      </c>
      <c r="AP49" s="1624"/>
      <c r="AQ49" s="1627"/>
      <c r="AR49" s="1395">
        <f t="shared" si="36"/>
        <v>0</v>
      </c>
      <c r="AS49" s="1395">
        <f t="shared" si="37"/>
        <v>0</v>
      </c>
      <c r="AU49" s="1589"/>
      <c r="AV49" s="1589" t="s">
        <v>12705</v>
      </c>
      <c r="AW49" s="1283">
        <f>COUNTIFS(SurveyDATA!A:A,"*ISF*",SurveyDATA!E:E,"*BRGY.204*",SurveyDATA!BM:BM,"*RESiDENTIAL*",SurveyDATA!BN:BN,"*STRUCTURE OWNER*",SurveyDATA!FQ:FQ,"*STAY*")</f>
        <v>0</v>
      </c>
      <c r="AX49" s="1284">
        <f>COUNTIFS(SurveyDATA!A:A,"*ISF*",SurveyDATA!E:E,"*BRGY.204*",SurveyDATA!BM:BM,"*RESiDENTIAL*",SurveyDATA!BN:BN,"*STRUCTURE OWNER*",SurveyDATA!FQ:FQ,"*NEED*")</f>
        <v>0</v>
      </c>
      <c r="AY49" s="1284">
        <f>COUNTIFS(SurveyDATA!A:A,"*ISF*",SurveyDATA!E:E,"*BRGY.204*",SurveyDATA!BM:BM,"*COMMERCIAL*",SurveyDATA!BN:BN,"*STRUCTURE OWNER*",SurveyDATA!FQ:FQ,"*STAY*")</f>
        <v>0</v>
      </c>
      <c r="AZ49" s="1284">
        <f>COUNTIFS(SurveyDATA!A:A,"*ISF*",SurveyDATA!E:E,"*BRGY.204*",SurveyDATA!BM:BM,"*COMMERCIAL*",SurveyDATA!BN:BN,"*STRUCTURE OWNER*",SurveyDATA!FQ:FQ,"*NEED*")</f>
        <v>0</v>
      </c>
      <c r="BA49" s="1625"/>
      <c r="BB49" s="1626"/>
      <c r="BC49" s="1634">
        <f t="shared" si="38"/>
        <v>0</v>
      </c>
      <c r="BD49" s="1635">
        <f t="shared" si="39"/>
        <v>1</v>
      </c>
    </row>
    <row r="50" spans="26:56">
      <c r="Z50" s="1589"/>
      <c r="AA50" s="1589" t="s">
        <v>12706</v>
      </c>
      <c r="AB50" s="1394">
        <f>COUNTIFS(SurveyDATA!$E:$E,"*BRGY.165*",SurveyDATA!$BM:$BM,"*RESIDENTIAL*",SurveyDATA!$BN:$BN,"*STRUCTURE OWNER*",SurveyDATA!$A:$A,"LEGAL",SurveyDATA!$FQ:$FQ,"*STAY*")</f>
        <v>0</v>
      </c>
      <c r="AC50" s="1394">
        <f>COUNTIFS(SurveyDATA!$E:$E,"*BRGY.165*",SurveyDATA!$BM:$BM,"*RESIDENTIAL*",SurveyDATA!$BN:$BN,"*STRUCTURE OWNER*",SurveyDATA!$A:$A,"LEGAL",SurveyDATA!$FQ:$FQ,"*NEED*")</f>
        <v>0</v>
      </c>
      <c r="AD50" s="1394">
        <f>COUNTIFS(SurveyDATA!$E:$E,"*BRGY.165*",SurveyDATA!$BM:$BM,"*MIXED*",SurveyDATA!$BN:$BN,"*STRUCTURE OWNER*",SurveyDATA!$A:$A,"LEGAL",SurveyDATA!$FQ:$FQ,"*STAY*")</f>
        <v>0</v>
      </c>
      <c r="AE50" s="1394">
        <f>COUNTIFS(SurveyDATA!$E:$E,"*BRGY.165*",SurveyDATA!$BM:$BM,"*MIXED*",SurveyDATA!$BN:$BN,"*STRUCTURE OWNER*",SurveyDATA!$A:$A,"LEGAL",SurveyDATA!$FQ:$FQ,"*NEED*")</f>
        <v>0</v>
      </c>
      <c r="AF50" s="1394">
        <f>COUNTIFS(SurveyDATA!$E:$E,"*BRGY.165*",SurveyDATA!$BM:$BM,"*COMMERICIAL*",SurveyDATA!$BN:$BN,"*STRUCTURE OWNER*",SurveyDATA!$A:$A,"LEGAL",SurveyDATA!$FQ:$FQ,"*STAY*")</f>
        <v>0</v>
      </c>
      <c r="AG50" s="1394">
        <f>COUNTIFS(SurveyDATA!$E:$E,"*BRGY.165*",SurveyDATA!$BM:$BM,"*COMMERCIAL*",SurveyDATA!$BN:$BN,"*STRUCTURE OWNER*",SurveyDATA!$A:$A,"LEGAL",SurveyDATA!$FQ:$FQ,"*NEED*")</f>
        <v>0</v>
      </c>
      <c r="AH50" s="1394">
        <f>COUNTIFS(SurveyDATA!$E:$E,"*BRGY.165*",SurveyDATA!$BM:$BM,"*INSTITUTIONAL*",SurveyDATA!$BN:$BN,"*STRUCTURE OWNER*",SurveyDATA!$A:$A,"LEGAL",SurveyDATA!$FQ:$FQ,"*STAY*")</f>
        <v>0</v>
      </c>
      <c r="AI50" s="1394">
        <f>COUNTIFS(SurveyDATA!$E:$E,"*BRGY.165*",SurveyDATA!$BM:$BM,"*INSTITUTIONAL*",SurveyDATA!$BN:$BN,"*STRUCTURE OWNER*",SurveyDATA!$A:$A,"LEGAL",SurveyDATA!$FQ:$FQ,"*NEED*")</f>
        <v>0</v>
      </c>
      <c r="AJ50" s="1394">
        <f>COUNTIFS(SurveyDATA!$E:$E,"*BRGY.165*",SurveyDATA!$BM:$BM,"RESIDENTIAL*",SurveyDATA!$BN:$BN,"*STRUCTURE RENTER*",SurveyDATA!$A:$A,"LEGAL",SurveyDATA!$FQ:$FQ,"*STAY*")</f>
        <v>0</v>
      </c>
      <c r="AK50" s="1394">
        <f>COUNTIFS(SurveyDATA!$E:$E,"*BRGY.165*",SurveyDATA!$BM:$BM,"RESIDENTIAL*",SurveyDATA!$BN:$BN,"*STRUCTURE RENTER*",SurveyDATA!$A:$A,"LEGAL",SurveyDATA!$FQ:$FQ,"*NEED*")</f>
        <v>0</v>
      </c>
      <c r="AL50" s="1394">
        <f>COUNTIFS(SurveyDATA!$E:$E,"*BRGY.165*",SurveyDATA!$BM:$BM,"RESIDENTIAL*",SurveyDATA!$BN:$BN,"*STRUCTURE OWNER*",SurveyDATA!$A:$A,"LEGAL",SurveyDATA!$FQ:$FQ,"*STAY*",SurveyDATA!BL:BL,"*ABSENTEE*")</f>
        <v>0</v>
      </c>
      <c r="AM50" s="1394">
        <f>COUNTIFS(SurveyDATA!$E:$E,"*BRGY.165*",SurveyDATA!$BM:$BM,"RESIDENTIAL*",SurveyDATA!$BN:$BN,"*STRUCTURE OWNER*",SurveyDATA!$A:$A,"LEGAL",SurveyDATA!$FQ:$FQ,"*NEED*",SurveyDATA!BL:BL,"*ABSENTEE*")</f>
        <v>0</v>
      </c>
      <c r="AN50" s="1395">
        <f>COUNTIFS(SurveyDATA!A:A,"*LEGAL*",SurveyDATA!E:E,"*BRGY.165*",SurveyDATA!AK:AK,"LAND OWNER",SurveyDATA!AN:AN,"&lt;20%",SurveyDATA!BL:BL,"")</f>
        <v>0</v>
      </c>
      <c r="AO50" s="1395">
        <f>COUNTIFS(SurveyDATA!A:A,"*LEGAL*",SurveyDATA!E:E,"*BRGY.165*",SurveyDATA!AK:AK,"LAND OWNER",SurveyDATA!AN:AN,"&gt;20%",SurveyDATA!BL:BL,"")</f>
        <v>0</v>
      </c>
      <c r="AP50" s="1624"/>
      <c r="AQ50" s="1627"/>
      <c r="AR50" s="1395">
        <f t="shared" si="36"/>
        <v>0</v>
      </c>
      <c r="AS50" s="1395">
        <f t="shared" si="37"/>
        <v>0</v>
      </c>
      <c r="AU50" s="1589"/>
      <c r="AV50" s="1589" t="s">
        <v>12706</v>
      </c>
      <c r="AW50" s="1283">
        <f>COUNTIFS(SurveyDATA!A:A,"*ISF*",SurveyDATA!E:E,"*BRGY.165*",SurveyDATA!BM:BM,"*RESiDENTIAL*",SurveyDATA!BN:BN,"*STRUCTURE OWNER*",SurveyDATA!FQ:FQ,"*STAY*")</f>
        <v>0</v>
      </c>
      <c r="AX50" s="1284">
        <f>COUNTIFS(SurveyDATA!A:A,"*ISF*",SurveyDATA!E:E,"*BRGY.165*",SurveyDATA!BM:BM,"*RESiDENTIAL*",SurveyDATA!BN:BN,"*STRUCTURE OWNER*",SurveyDATA!FQ:FQ,"*NEED*")</f>
        <v>0</v>
      </c>
      <c r="AY50" s="1284">
        <f>COUNTIFS(SurveyDATA!A:A,"*ISF*",SurveyDATA!E:E,"*BRGY.165*",SurveyDATA!BM:BM,"*COMMERCIAL*",SurveyDATA!BN:BN,"*STRUCTURE OWNER*",SurveyDATA!FQ:FQ,"*STAY*")</f>
        <v>0</v>
      </c>
      <c r="AZ50" s="1284">
        <f>COUNTIFS(SurveyDATA!A:A,"*ISF*",SurveyDATA!E:E,"*BRGY.165*",SurveyDATA!BM:BM,"*COMMERCIAL*",SurveyDATA!BN:BN,"*STRUCTURE OWNER*",SurveyDATA!FQ:FQ,"*NEED*")</f>
        <v>0</v>
      </c>
      <c r="BA50" s="1625"/>
      <c r="BB50" s="1626"/>
      <c r="BC50" s="1634">
        <f t="shared" si="38"/>
        <v>0</v>
      </c>
      <c r="BD50" s="1635">
        <f t="shared" si="39"/>
        <v>0</v>
      </c>
    </row>
    <row r="51" spans="26:56">
      <c r="Z51" s="1589"/>
      <c r="AA51" s="1589" t="s">
        <v>12707</v>
      </c>
      <c r="AB51" s="1394">
        <f>COUNTIFS(SurveyDATA!$E:$E,"*BRGY.164*",SurveyDATA!$BM:$BM,"*RESIDENTIAL*",SurveyDATA!$BN:$BN,"*STRUCTURE OWNER*",SurveyDATA!$A:$A,"LEGAL",SurveyDATA!$FQ:$FQ,"*STAY*")</f>
        <v>0</v>
      </c>
      <c r="AC51" s="1394">
        <f>COUNTIFS(SurveyDATA!$E:$E,"*BRGY.164*",SurveyDATA!$BM:$BM,"*RESIDENTIAL*",SurveyDATA!$BN:$BN,"*STRUCTURE OWNER*",SurveyDATA!$A:$A,"LEGAL",SurveyDATA!$FQ:$FQ,"*NEED*")</f>
        <v>0</v>
      </c>
      <c r="AD51" s="1394">
        <f>COUNTIFS(SurveyDATA!$E:$E,"*BRGY.164*",SurveyDATA!$BM:$BM,"*MIXED*",SurveyDATA!$BN:$BN,"*STRUCTURE OWNER*",SurveyDATA!$A:$A,"LEGAL",SurveyDATA!$FQ:$FQ,"*STAY*")</f>
        <v>0</v>
      </c>
      <c r="AE51" s="1394">
        <f>COUNTIFS(SurveyDATA!$E:$E,"*BRGY.164*",SurveyDATA!$BM:$BM,"*MIXED*",SurveyDATA!$BN:$BN,"*STRUCTURE OWNER*",SurveyDATA!$A:$A,"LEGAL",SurveyDATA!$FQ:$FQ,"*NEED*")</f>
        <v>0</v>
      </c>
      <c r="AF51" s="1394">
        <f>COUNTIFS(SurveyDATA!$E:$E,"*BRGY.164*",SurveyDATA!$BM:$BM,"*COMMERICIAL*",SurveyDATA!$BN:$BN,"*STRUCTURE OWNER*",SurveyDATA!$A:$A,"LEGAL",SurveyDATA!$FQ:$FQ,"*STAY*")</f>
        <v>0</v>
      </c>
      <c r="AG51" s="1394">
        <f>COUNTIFS(SurveyDATA!$E:$E,"*BRGY.164*",SurveyDATA!$BM:$BM,"*COMMERCIAL*",SurveyDATA!$BN:$BN,"*STRUCTURE OWNER*",SurveyDATA!$A:$A,"LEGAL",SurveyDATA!$FQ:$FQ,"*NEED*")</f>
        <v>0</v>
      </c>
      <c r="AH51" s="1394">
        <f>COUNTIFS(SurveyDATA!$E:$E,"*BRGY.164*",SurveyDATA!$BM:$BM,"*INSTITUTIONAL*",SurveyDATA!$BN:$BN,"*STRUCTURE OWNER*",SurveyDATA!$A:$A,"LEGAL",SurveyDATA!$FQ:$FQ,"*STAY*")</f>
        <v>0</v>
      </c>
      <c r="AI51" s="1394">
        <f>COUNTIFS(SurveyDATA!$E:$E,"*BRGY.164*",SurveyDATA!$BM:$BM,"*INSTITUTIONAL*",SurveyDATA!$BN:$BN,"*STRUCTURE OWNER*",SurveyDATA!$A:$A,"LEGAL",SurveyDATA!$FQ:$FQ,"*NEED*")</f>
        <v>0</v>
      </c>
      <c r="AJ51" s="1394">
        <f>COUNTIFS(SurveyDATA!$E:$E,"*BRGY.164*",SurveyDATA!$BM:$BM,"RESIDENTIAL*",SurveyDATA!$BN:$BN,"*STRUCTURE RENTER*",SurveyDATA!$A:$A,"LEGAL",SurveyDATA!$FQ:$FQ,"*STAY*")</f>
        <v>0</v>
      </c>
      <c r="AK51" s="1394">
        <f>COUNTIFS(SurveyDATA!$E:$E,"*BRGY.164*",SurveyDATA!$BM:$BM,"RESIDENTIAL*",SurveyDATA!$BN:$BN,"*STRUCTURE RENTER*",SurveyDATA!$A:$A,"LEGAL",SurveyDATA!$FQ:$FQ,"*NEED*")</f>
        <v>0</v>
      </c>
      <c r="AL51" s="1394">
        <f>COUNTIFS(SurveyDATA!$E:$E,"*BRGY.164*",SurveyDATA!$BM:$BM,"RESIDENTIAL*",SurveyDATA!$BN:$BN,"*STRUCTURE OWNER*",SurveyDATA!$A:$A,"LEGAL",SurveyDATA!$FQ:$FQ,"*STAY*",SurveyDATA!BL:BL,"*ABSENTEE*")</f>
        <v>0</v>
      </c>
      <c r="AM51" s="1394">
        <f>COUNTIFS(SurveyDATA!$E:$E,"*BRGY.164*",SurveyDATA!$BM:$BM,"RESIDENTIAL*",SurveyDATA!$BN:$BN,"*STRUCTURE OWNER*",SurveyDATA!$A:$A,"LEGAL",SurveyDATA!$FQ:$FQ,"*NEED*",SurveyDATA!BL:BL,"*ABSENTEE*")</f>
        <v>0</v>
      </c>
      <c r="AN51" s="1395">
        <f>COUNTIFS(SurveyDATA!A:A,"*LEGAL*",SurveyDATA!E:E,"*BRGY.164*",SurveyDATA!AK:AK,"LAND OWNER",SurveyDATA!AN:AN,"&lt;20%",SurveyDATA!BL:BL,"")</f>
        <v>0</v>
      </c>
      <c r="AO51" s="1395">
        <f>COUNTIFS(SurveyDATA!A:A,"*LEGAL*",SurveyDATA!E:E,"*BRGY.164*",SurveyDATA!AK:AK,"LAND OWNER",SurveyDATA!AN:AN,"&gt;20%",SurveyDATA!BL:BL,"")</f>
        <v>0</v>
      </c>
      <c r="AP51" s="1624"/>
      <c r="AQ51" s="1627"/>
      <c r="AR51" s="1395">
        <f t="shared" si="36"/>
        <v>0</v>
      </c>
      <c r="AS51" s="1395">
        <f t="shared" si="37"/>
        <v>0</v>
      </c>
      <c r="AU51" s="1589"/>
      <c r="AV51" s="1589" t="s">
        <v>12707</v>
      </c>
      <c r="AW51" s="1283">
        <f>COUNTIFS(SurveyDATA!A:A,"*ISF*",SurveyDATA!E:E,"*BRGY.164*",SurveyDATA!BM:BM,"*RESiDENTIAL*",SurveyDATA!BN:BN,"*STRUCTURE OWNER*",SurveyDATA!FQ:FQ,"*STAY*")</f>
        <v>0</v>
      </c>
      <c r="AX51" s="1284">
        <f>COUNTIFS(SurveyDATA!A:A,"*ISF*",SurveyDATA!E:E,"*BRGY.164*",SurveyDATA!BM:BM,"*RESiDENTIAL*",SurveyDATA!BN:BN,"*STRUCTURE OWNER*",SurveyDATA!FQ:FQ,"*NEED*")</f>
        <v>0</v>
      </c>
      <c r="AY51" s="1284">
        <f>COUNTIFS(SurveyDATA!A:A,"*ISF*",SurveyDATA!E:E,"*BRGY.164*",SurveyDATA!BM:BM,"*COMMERCIAL*",SurveyDATA!BN:BN,"*STRUCTURE OWNER*",SurveyDATA!FQ:FQ,"*STAY*")</f>
        <v>0</v>
      </c>
      <c r="AZ51" s="1284">
        <f>COUNTIFS(SurveyDATA!A:A,"*ISF*",SurveyDATA!E:E,"*BRGY.164*",SurveyDATA!BM:BM,"*COMMERCIAL*",SurveyDATA!BN:BN,"*STRUCTURE OWNER*",SurveyDATA!FQ:FQ,"*NEED*")</f>
        <v>0</v>
      </c>
      <c r="BA51" s="1625"/>
      <c r="BB51" s="1626"/>
      <c r="BC51" s="1634">
        <f t="shared" si="38"/>
        <v>0</v>
      </c>
      <c r="BD51" s="1635">
        <f t="shared" si="39"/>
        <v>0</v>
      </c>
    </row>
    <row r="52" spans="26:56">
      <c r="Z52" s="1589"/>
      <c r="AA52" s="1589" t="s">
        <v>12708</v>
      </c>
      <c r="AB52" s="1394">
        <f>COUNTIFS(SurveyDATA!$E:$E,"*BRGY.152*",SurveyDATA!$BM:$BM,"*RESIDENTIAL*",SurveyDATA!$BN:$BN,"*STRUCTURE OWNER*",SurveyDATA!$A:$A,"LEGAL",SurveyDATA!$FQ:$FQ,"*STAY*")</f>
        <v>0</v>
      </c>
      <c r="AC52" s="1394">
        <f>COUNTIFS(SurveyDATA!$E:$E,"*BRGY.152*",SurveyDATA!$BM:$BM,"*RESIDENTIAL*",SurveyDATA!$BN:$BN,"*STRUCTURE OWNER*",SurveyDATA!$A:$A,"LEGAL",SurveyDATA!$FQ:$FQ,"*NEED*")</f>
        <v>0</v>
      </c>
      <c r="AD52" s="1394">
        <f>COUNTIFS(SurveyDATA!$E:$E,"*BRGY.152*",SurveyDATA!$BM:$BM,"*MIXED*",SurveyDATA!$BN:$BN,"*STRUCTURE OWNER*",SurveyDATA!$A:$A,"LEGAL",SurveyDATA!$FQ:$FQ,"*STAY*")</f>
        <v>0</v>
      </c>
      <c r="AE52" s="1394">
        <f>COUNTIFS(SurveyDATA!$E:$E,"*BRGY.152*",SurveyDATA!$BM:$BM,"*MIXED*",SurveyDATA!$BN:$BN,"*STRUCTURE OWNER*",SurveyDATA!$A:$A,"LEGAL",SurveyDATA!$FQ:$FQ,"*NEED*")</f>
        <v>0</v>
      </c>
      <c r="AF52" s="1394">
        <f>COUNTIFS(SurveyDATA!$E:$E,"*BRGY.152*",SurveyDATA!$BM:$BM,"*COMMERICIAL*",SurveyDATA!$BN:$BN,"*STRUCTURE OWNER*",SurveyDATA!$A:$A,"LEGAL",SurveyDATA!$FQ:$FQ,"*STAY*")</f>
        <v>0</v>
      </c>
      <c r="AG52" s="1394">
        <f>COUNTIFS(SurveyDATA!$E:$E,"*BRGY.152*",SurveyDATA!$BM:$BM,"*COMMERCIAL*",SurveyDATA!$BN:$BN,"*STRUCTURE OWNER*",SurveyDATA!$A:$A,"LEGAL",SurveyDATA!$FQ:$FQ,"*NEED*")</f>
        <v>0</v>
      </c>
      <c r="AH52" s="1394">
        <f>COUNTIFS(SurveyDATA!$E:$E,"*BRGY.152*",SurveyDATA!$BM:$BM,"*INSTITUTIONAL*",SurveyDATA!$BN:$BN,"*STRUCTURE OWNER*",SurveyDATA!$A:$A,"LEGAL",SurveyDATA!$FQ:$FQ,"*STAY*")</f>
        <v>0</v>
      </c>
      <c r="AI52" s="1394">
        <f>COUNTIFS(SurveyDATA!$E:$E,"*BRGY.152*",SurveyDATA!$BM:$BM,"*INSTITUTIONAL*",SurveyDATA!$BN:$BN,"*STRUCTURE OWNER*",SurveyDATA!$A:$A,"LEGAL",SurveyDATA!$FQ:$FQ,"*NEED*")</f>
        <v>0</v>
      </c>
      <c r="AJ52" s="1394">
        <f>COUNTIFS(SurveyDATA!$E:$E,"*BRGY.152*",SurveyDATA!$BM:$BM,"RESIDENTIAL*",SurveyDATA!$BN:$BN,"*STRUCTURE RENTER*",SurveyDATA!$A:$A,"LEGAL",SurveyDATA!$FQ:$FQ,"*STAY*")</f>
        <v>0</v>
      </c>
      <c r="AK52" s="1394">
        <f>COUNTIFS(SurveyDATA!$E:$E,"*BRGY.152*",SurveyDATA!$BM:$BM,"RESIDENTIAL*",SurveyDATA!$BN:$BN,"*STRUCTURE RENTER*",SurveyDATA!$A:$A,"LEGAL",SurveyDATA!$FQ:$FQ,"*NEED*")</f>
        <v>0</v>
      </c>
      <c r="AL52" s="1394">
        <f>COUNTIFS(SurveyDATA!$E:$E,"*BRGY.152*",SurveyDATA!$BM:$BM,"RESIDENTIAL*",SurveyDATA!$BN:$BN,"*STRUCTURE OWNER*",SurveyDATA!$A:$A,"LEGAL",SurveyDATA!$FQ:$FQ,"*STAY*",SurveyDATA!BL:BL,"*ABSENTEE*")</f>
        <v>0</v>
      </c>
      <c r="AM52" s="1394">
        <f>COUNTIFS(SurveyDATA!$E:$E,"*BRGY.152*",SurveyDATA!$BM:$BM,"RESIDENTIAL*",SurveyDATA!$BN:$BN,"*STRUCTURE OWNER*",SurveyDATA!$A:$A,"LEGAL",SurveyDATA!$FQ:$FQ,"*NEED*",SurveyDATA!BL:BL,"*ABSENTEE*")</f>
        <v>0</v>
      </c>
      <c r="AN52" s="1395">
        <f>COUNTIFS(SurveyDATA!A:A,"*LEGAL*",SurveyDATA!E:E,"*BRGY.152*",SurveyDATA!AK:AK,"LAND OWNER",SurveyDATA!AN:AN,"&lt;20%",SurveyDATA!BL:BL,"")</f>
        <v>0</v>
      </c>
      <c r="AO52" s="1395">
        <f>COUNTIFS(SurveyDATA!A:A,"*LEGAL*",SurveyDATA!E:E,"*BRGY.152*",SurveyDATA!AK:AK,"LAND OWNER",SurveyDATA!AN:AN,"&gt;20%",SurveyDATA!BL:BL,"")</f>
        <v>0</v>
      </c>
      <c r="AP52" s="1624"/>
      <c r="AQ52" s="1627"/>
      <c r="AR52" s="1395">
        <f t="shared" si="36"/>
        <v>0</v>
      </c>
      <c r="AS52" s="1395">
        <f t="shared" si="37"/>
        <v>0</v>
      </c>
      <c r="AU52" s="1589"/>
      <c r="AV52" s="1589" t="s">
        <v>12708</v>
      </c>
      <c r="AW52" s="1283">
        <f>COUNTIFS(SurveyDATA!A:A,"*ISF*",SurveyDATA!E:E,"*BRGY.152*",SurveyDATA!BM:BM,"*RESiDENTIAL*",SurveyDATA!BN:BN,"*STRUCTURE OWNER*",SurveyDATA!FQ:FQ,"*STAY*")</f>
        <v>0</v>
      </c>
      <c r="AX52" s="1284">
        <f>COUNTIFS(SurveyDATA!A:A,"*ISF*",SurveyDATA!E:E,"*BRGY.152*",SurveyDATA!BM:BM,"*RESiDENTIAL*",SurveyDATA!BN:BN,"*STRUCTURE OWNER*",SurveyDATA!FQ:FQ,"*NEED*")</f>
        <v>0</v>
      </c>
      <c r="AY52" s="1284">
        <f>COUNTIFS(SurveyDATA!A:A,"*ISF*",SurveyDATA!E:E,"*BRGY.152*",SurveyDATA!BM:BM,"*COMMERCIAL*",SurveyDATA!BN:BN,"*STRUCTURE OWNER*",SurveyDATA!FQ:FQ,"*STAY*")</f>
        <v>0</v>
      </c>
      <c r="AZ52" s="1284">
        <f>COUNTIFS(SurveyDATA!A:A,"*ISF*",SurveyDATA!E:E,"*BRGY.152*",SurveyDATA!BM:BM,"*COMMERCIAL*",SurveyDATA!BN:BN,"*STRUCTURE OWNER*",SurveyDATA!FQ:FQ,"*NEED*")</f>
        <v>0</v>
      </c>
      <c r="BA52" s="1625"/>
      <c r="BB52" s="1626"/>
      <c r="BC52" s="1634">
        <f t="shared" si="38"/>
        <v>0</v>
      </c>
      <c r="BD52" s="1635">
        <f t="shared" si="39"/>
        <v>0</v>
      </c>
    </row>
    <row r="53" spans="26:56">
      <c r="Z53" s="1589"/>
      <c r="AA53" s="1589" t="s">
        <v>12709</v>
      </c>
      <c r="AB53" s="1394">
        <f>COUNTIFS(SurveyDATA!$E:$E,"*BRGY.155*",SurveyDATA!$BM:$BM,"*RESIDENTIAL*",SurveyDATA!$BN:$BN,"*STRUCTURE OWNER*",SurveyDATA!$A:$A,"LEGAL",SurveyDATA!$FQ:$FQ,"*STAY*")</f>
        <v>0</v>
      </c>
      <c r="AC53" s="1394">
        <f>COUNTIFS(SurveyDATA!$E:$E,"*BRGY.155*",SurveyDATA!$BM:$BM,"*RESIDENTIAL*",SurveyDATA!$BN:$BN,"*STRUCTURE OWNER*",SurveyDATA!$A:$A,"LEGAL",SurveyDATA!$FQ:$FQ,"*NEED*")</f>
        <v>0</v>
      </c>
      <c r="AD53" s="1394">
        <f>COUNTIFS(SurveyDATA!$E:$E,"*BRGY.155*",SurveyDATA!$BM:$BM,"*MIXED*",SurveyDATA!$BN:$BN,"*STRUCTURE OWNER*",SurveyDATA!$A:$A,"LEGAL",SurveyDATA!$FQ:$FQ,"*STAY*")</f>
        <v>0</v>
      </c>
      <c r="AE53" s="1394">
        <f>COUNTIFS(SurveyDATA!$E:$E,"*BRGY.155*",SurveyDATA!$BM:$BM,"*MIXED*",SurveyDATA!$BN:$BN,"*STRUCTURE OWNER*",SurveyDATA!$A:$A,"LEGAL",SurveyDATA!$FQ:$FQ,"*NEED*")</f>
        <v>0</v>
      </c>
      <c r="AF53" s="1394">
        <f>COUNTIFS(SurveyDATA!$E:$E,"*BRGY.155*",SurveyDATA!$BM:$BM,"*COMMERICIAL*",SurveyDATA!$BN:$BN,"*STRUCTURE OWNER*",SurveyDATA!$A:$A,"LEGAL",SurveyDATA!$FQ:$FQ,"*STAY*")</f>
        <v>0</v>
      </c>
      <c r="AG53" s="1394">
        <f>COUNTIFS(SurveyDATA!$E:$E,"*BRGY.155*",SurveyDATA!$BM:$BM,"*COMMERCIAL*",SurveyDATA!$BN:$BN,"*STRUCTURE OWNER*",SurveyDATA!$A:$A,"LEGAL",SurveyDATA!$FQ:$FQ,"*NEED*")</f>
        <v>0</v>
      </c>
      <c r="AH53" s="1394">
        <f>COUNTIFS(SurveyDATA!$E:$E,"*BRGY.155*",SurveyDATA!$BM:$BM,"*INSTITUTIONAL*",SurveyDATA!$BN:$BN,"*STRUCTURE OWNER*",SurveyDATA!$A:$A,"LEGAL",SurveyDATA!$FQ:$FQ,"*STAY*")</f>
        <v>0</v>
      </c>
      <c r="AI53" s="1394">
        <f>COUNTIFS(SurveyDATA!$E:$E,"*BRGY.155*",SurveyDATA!$BM:$BM,"*INSTITUTIONAL*",SurveyDATA!$BN:$BN,"*STRUCTURE OWNER*",SurveyDATA!$A:$A,"LEGAL",SurveyDATA!$FQ:$FQ,"*NEED*")</f>
        <v>0</v>
      </c>
      <c r="AJ53" s="1394">
        <f>COUNTIFS(SurveyDATA!$E:$E,"*BRGY.155*",SurveyDATA!$BM:$BM,"RESIDENTIAL*",SurveyDATA!$BN:$BN,"*STRUCTURE RENTER*",SurveyDATA!$A:$A,"LEGAL",SurveyDATA!$FQ:$FQ,"*STAY*")</f>
        <v>0</v>
      </c>
      <c r="AK53" s="1394">
        <f>COUNTIFS(SurveyDATA!$E:$E,"*BRGY.155*",SurveyDATA!$BM:$BM,"RESIDENTIAL*",SurveyDATA!$BN:$BN,"*STRUCTURE RENTER*",SurveyDATA!$A:$A,"LEGAL",SurveyDATA!$FQ:$FQ,"*NEED*")</f>
        <v>0</v>
      </c>
      <c r="AL53" s="1394">
        <f>COUNTIFS(SurveyDATA!$E:$E,"*BRGY.155*",SurveyDATA!$BM:$BM,"RESIDENTIAL*",SurveyDATA!$BN:$BN,"*STRUCTURE OWNER*",SurveyDATA!$A:$A,"LEGAL",SurveyDATA!$FQ:$FQ,"*STAY*",SurveyDATA!BL:BL,"*ABSENTEE*")</f>
        <v>0</v>
      </c>
      <c r="AM53" s="1394">
        <f>COUNTIFS(SurveyDATA!$E:$E,"*BRGY.155*",SurveyDATA!$BM:$BM,"RESIDENTIAL*",SurveyDATA!$BN:$BN,"*STRUCTURE OWNER*",SurveyDATA!$A:$A,"LEGAL",SurveyDATA!$FQ:$FQ,"*NEED*",SurveyDATA!BL:BL,"*ABSENTEE*")</f>
        <v>0</v>
      </c>
      <c r="AN53" s="1395">
        <f>COUNTIFS(SurveyDATA!A:A,"*LEGAL*",SurveyDATA!E:E,"*BRGY.155*",SurveyDATA!AK:AK,"LAND OWNER",SurveyDATA!AN:AN,"&lt;20%",SurveyDATA!BL:BL,"")</f>
        <v>0</v>
      </c>
      <c r="AO53" s="1395">
        <f>COUNTIFS(SurveyDATA!A:A,"*LEGAL*",SurveyDATA!E:E,"*BRGY.155*",SurveyDATA!AK:AK,"LAND OWNER",SurveyDATA!AN:AN,"&gt;20%",SurveyDATA!BL:BL,"")</f>
        <v>0</v>
      </c>
      <c r="AP53" s="1624"/>
      <c r="AQ53" s="1627"/>
      <c r="AR53" s="1395">
        <f t="shared" si="36"/>
        <v>0</v>
      </c>
      <c r="AS53" s="1395">
        <f t="shared" si="37"/>
        <v>0</v>
      </c>
      <c r="AU53" s="1589"/>
      <c r="AV53" s="1589" t="s">
        <v>12709</v>
      </c>
      <c r="AW53" s="1283">
        <f>COUNTIFS(SurveyDATA!A:A,"*ISF*",SurveyDATA!E:E,"*BRGY.155*",SurveyDATA!BM:BM,"*RESiDENTIAL*",SurveyDATA!BN:BN,"*STRUCTURE OWNER*",SurveyDATA!FQ:FQ,"*STAY*")</f>
        <v>3</v>
      </c>
      <c r="AX53" s="1284">
        <f>COUNTIFS(SurveyDATA!A:A,"*ISF*",SurveyDATA!E:E,"*BRGY.155*",SurveyDATA!BM:BM,"*RESiDENTIAL*",SurveyDATA!BN:BN,"*STRUCTURE OWNER*",SurveyDATA!FQ:FQ,"*NEED*")</f>
        <v>0</v>
      </c>
      <c r="AY53" s="1284">
        <f>COUNTIFS(SurveyDATA!A:A,"*ISF*",SurveyDATA!E:E,"*BRGY.155*",SurveyDATA!BM:BM,"*COMMERCIAL*",SurveyDATA!BN:BN,"*STRUCTURE OWNER*",SurveyDATA!FQ:FQ,"*STAY*")</f>
        <v>0</v>
      </c>
      <c r="AZ53" s="1284">
        <f>COUNTIFS(SurveyDATA!A:A,"*ISF*",SurveyDATA!E:E,"*BRGY.155*",SurveyDATA!BM:BM,"*COMMERCIAL*",SurveyDATA!BN:BN,"*STRUCTURE OWNER*",SurveyDATA!FQ:FQ,"*NEED*")</f>
        <v>0</v>
      </c>
      <c r="BA53" s="1625"/>
      <c r="BB53" s="1626"/>
      <c r="BC53" s="1634">
        <f t="shared" si="38"/>
        <v>0</v>
      </c>
      <c r="BD53" s="1635">
        <f t="shared" si="39"/>
        <v>0</v>
      </c>
    </row>
    <row r="54" spans="26:56">
      <c r="Z54" s="1589"/>
      <c r="AA54" s="1589" t="s">
        <v>12710</v>
      </c>
      <c r="AB54" s="1394">
        <f>COUNTIFS(SurveyDATA!$E:$E,"*BRGY.159*",SurveyDATA!$BM:$BM,"*RESIDENTIAL*",SurveyDATA!$BN:$BN,"*STRUCTURE OWNER*",SurveyDATA!$A:$A,"LEGAL",SurveyDATA!$FQ:$FQ,"*STAY*")</f>
        <v>7</v>
      </c>
      <c r="AC54" s="1394">
        <f>COUNTIFS(SurveyDATA!$E:$E,"*BRGY.159*",SurveyDATA!$BM:$BM,"*RESIDENTIAL*",SurveyDATA!$BN:$BN,"*STRUCTURE OWNER*",SurveyDATA!$A:$A,"LEGAL",SurveyDATA!$FQ:$FQ,"*NEED*")</f>
        <v>2</v>
      </c>
      <c r="AD54" s="1394">
        <f>COUNTIFS(SurveyDATA!$E:$E,"*BRGY.159*",SurveyDATA!$BM:$BM,"*MIXED*",SurveyDATA!$BN:$BN,"*STRUCTURE OWNER*",SurveyDATA!$A:$A,"LEGAL",SurveyDATA!$FQ:$FQ,"*STAY*")</f>
        <v>0</v>
      </c>
      <c r="AE54" s="1394">
        <f>COUNTIFS(SurveyDATA!$E:$E,"*BRGY.159*",SurveyDATA!$BM:$BM,"*MIXED*",SurveyDATA!$BN:$BN,"*STRUCTURE OWNER*",SurveyDATA!$A:$A,"LEGAL",SurveyDATA!$FQ:$FQ,"*NEED*")</f>
        <v>0</v>
      </c>
      <c r="AF54" s="1394">
        <f>COUNTIFS(SurveyDATA!$E:$E,"*BRGY.159*",SurveyDATA!$BM:$BM,"*COMMERICIAL*",SurveyDATA!$BN:$BN,"*STRUCTURE OWNER*",SurveyDATA!$A:$A,"LEGAL",SurveyDATA!$FQ:$FQ,"*STAY*")</f>
        <v>0</v>
      </c>
      <c r="AG54" s="1394">
        <f>COUNTIFS(SurveyDATA!$E:$E,"*BRGY.159*",SurveyDATA!$BM:$BM,"*COMMERCIAL*",SurveyDATA!$BN:$BN,"*STRUCTURE OWNER*",SurveyDATA!$A:$A,"LEGAL",SurveyDATA!$FQ:$FQ,"*NEED*")</f>
        <v>0</v>
      </c>
      <c r="AH54" s="1394">
        <f>COUNTIFS(SurveyDATA!$E:$E,"*BRGY.159*",SurveyDATA!$BM:$BM,"*INSTITUTIONAL*",SurveyDATA!$BN:$BN,"*STRUCTURE OWNER*",SurveyDATA!$A:$A,"LEGAL",SurveyDATA!$FQ:$FQ,"*STAY*")</f>
        <v>0</v>
      </c>
      <c r="AI54" s="1394">
        <f>COUNTIFS(SurveyDATA!$E:$E,"*BRGY.159*",SurveyDATA!$BM:$BM,"*INSTITUTIONAL*",SurveyDATA!$BN:$BN,"*STRUCTURE OWNER*",SurveyDATA!$A:$A,"LEGAL",SurveyDATA!$FQ:$FQ,"*NEED*")</f>
        <v>0</v>
      </c>
      <c r="AJ54" s="1394">
        <f>COUNTIFS(SurveyDATA!$E:$E,"*BRGY.159*",SurveyDATA!$BM:$BM,"RESIDENTIAL*",SurveyDATA!$BN:$BN,"*STRUCTURE RENTER*",SurveyDATA!$A:$A,"LEGAL",SurveyDATA!$FQ:$FQ,"*STAY*")</f>
        <v>0</v>
      </c>
      <c r="AK54" s="1394">
        <f>COUNTIFS(SurveyDATA!$E:$E,"*BRGY.159*",SurveyDATA!$BM:$BM,"RESIDENTIAL*",SurveyDATA!$BN:$BN,"*STRUCTURE RENTER*",SurveyDATA!$A:$A,"LEGAL",SurveyDATA!$FQ:$FQ,"*NEED*")</f>
        <v>0</v>
      </c>
      <c r="AL54" s="1394">
        <f>COUNTIFS(SurveyDATA!$E:$E,"*BRGY.159*",SurveyDATA!$BM:$BM,"RESIDENTIAL*",SurveyDATA!$BN:$BN,"*STRUCTURE OWNER*",SurveyDATA!$A:$A,"LEGAL",SurveyDATA!$FQ:$FQ,"*STAY*",SurveyDATA!BL:BL,"*ABSENTEE*")</f>
        <v>1</v>
      </c>
      <c r="AM54" s="1394">
        <f>COUNTIFS(SurveyDATA!$E:$E,"*BRGY.159*",SurveyDATA!$BM:$BM,"RESIDENTIAL*",SurveyDATA!$BN:$BN,"*STRUCTURE OWNER*",SurveyDATA!$A:$A,"LEGAL",SurveyDATA!$FQ:$FQ,"*NEED*",SurveyDATA!BL:BL,"*ABSENTEE*")</f>
        <v>0</v>
      </c>
      <c r="AN54" s="1395">
        <f>COUNTIFS(SurveyDATA!A:A,"*LEGAL*",SurveyDATA!E:E,"*BRGY.159*",SurveyDATA!AK:AK,"LAND OWNER",SurveyDATA!AN:AN,"&lt;20%",SurveyDATA!BL:BL,"")</f>
        <v>1</v>
      </c>
      <c r="AO54" s="1395">
        <f>COUNTIFS(SurveyDATA!A:A,"*LEGAL*",SurveyDATA!E:E,"*BRGY.159*",SurveyDATA!AK:AK,"LAND OWNER",SurveyDATA!AN:AN,"&gt;20%",SurveyDATA!BL:BL,"")</f>
        <v>2</v>
      </c>
      <c r="AP54" s="1624"/>
      <c r="AQ54" s="1627"/>
      <c r="AR54" s="1395">
        <f t="shared" si="36"/>
        <v>9</v>
      </c>
      <c r="AS54" s="1395">
        <f t="shared" si="37"/>
        <v>4</v>
      </c>
      <c r="AU54" s="1589"/>
      <c r="AV54" s="1589" t="s">
        <v>12710</v>
      </c>
      <c r="AW54" s="1283">
        <f>COUNTIFS(SurveyDATA!A:A,"*ISF*",SurveyDATA!E:E,"*BRGY.159*",SurveyDATA!BM:BM,"*RESiDENTIAL*",SurveyDATA!BN:BN,"*STRUCTURE OWNER*",SurveyDATA!FQ:FQ,"*STAY*")</f>
        <v>7</v>
      </c>
      <c r="AX54" s="1284">
        <f>COUNTIFS(SurveyDATA!A:A,"*ISF*",SurveyDATA!E:E,"*BRGY.159*",SurveyDATA!BM:BM,"*RESiDENTIAL*",SurveyDATA!BN:BN,"*STRUCTURE OWNER*",SurveyDATA!FQ:FQ,"*NEED*")</f>
        <v>8</v>
      </c>
      <c r="AY54" s="1284">
        <f>COUNTIFS(SurveyDATA!A:A,"*ISF*",SurveyDATA!E:E,"*BRGY.159*",SurveyDATA!BM:BM,"*COMMERCIAL*",SurveyDATA!BN:BN,"*STRUCTURE OWNER*",SurveyDATA!FQ:FQ,"*STAY*")</f>
        <v>0</v>
      </c>
      <c r="AZ54" s="1284">
        <f>COUNTIFS(SurveyDATA!A:A,"*ISF*",SurveyDATA!E:E,"*BRGY.159*",SurveyDATA!BM:BM,"*COMMERCIAL*",SurveyDATA!BN:BN,"*STRUCTURE OWNER*",SurveyDATA!FQ:FQ,"*NEED*")</f>
        <v>0</v>
      </c>
      <c r="BA54" s="1625"/>
      <c r="BB54" s="1626"/>
      <c r="BC54" s="1634">
        <f t="shared" si="38"/>
        <v>3</v>
      </c>
      <c r="BD54" s="1635">
        <f t="shared" si="39"/>
        <v>0</v>
      </c>
    </row>
    <row r="55" spans="26:56">
      <c r="Z55" s="1589"/>
      <c r="AA55" s="1589" t="s">
        <v>12711</v>
      </c>
      <c r="AB55" s="1394">
        <f>COUNTIFS(SurveyDATA!$E:$E,"*BRGY.159*",SurveyDATA!$BM:$BM,"*RESIDENTIAL*",SurveyDATA!$BN:$BN,"*STRUCTURE OWNER*",SurveyDATA!$A:$A,"LEGAL",SurveyDATA!$FQ:$FQ,"*STAY*")</f>
        <v>7</v>
      </c>
      <c r="AC55" s="1394">
        <f>COUNTIFS(SurveyDATA!$E:$E,"*BRGY.159*",SurveyDATA!$BM:$BM,"*RESIDENTIAL*",SurveyDATA!$BN:$BN,"*STRUCTURE OWNER*",SurveyDATA!$A:$A,"LEGAL",SurveyDATA!$FQ:$FQ,"*NEED*")</f>
        <v>2</v>
      </c>
      <c r="AD55" s="1394">
        <f>COUNTIFS(SurveyDATA!$E:$E,"*BRGY.159*",SurveyDATA!$BM:$BM,"*MIXED*",SurveyDATA!$BN:$BN,"*STRUCTURE OWNER*",SurveyDATA!$A:$A,"LEGAL",SurveyDATA!$FQ:$FQ,"*STAY*")</f>
        <v>0</v>
      </c>
      <c r="AE55" s="1394">
        <f>COUNTIFS(SurveyDATA!$E:$E,"*BRGY.159*",SurveyDATA!$BM:$BM,"*MIXED*",SurveyDATA!$BN:$BN,"*STRUCTURE OWNER*",SurveyDATA!$A:$A,"LEGAL",SurveyDATA!$FQ:$FQ,"*NEED*")</f>
        <v>0</v>
      </c>
      <c r="AF55" s="1394">
        <f>COUNTIFS(SurveyDATA!$E:$E,"*BRGY.159*",SurveyDATA!$BM:$BM,"*COMMERICIAL*",SurveyDATA!$BN:$BN,"*STRUCTURE OWNER*",SurveyDATA!$A:$A,"LEGAL",SurveyDATA!$FQ:$FQ,"*STAY*")</f>
        <v>0</v>
      </c>
      <c r="AG55" s="1394">
        <f>COUNTIFS(SurveyDATA!$E:$E,"*BRGY.159*",SurveyDATA!$BM:$BM,"*COMMERCIAL*",SurveyDATA!$BN:$BN,"*STRUCTURE OWNER*",SurveyDATA!$A:$A,"LEGAL",SurveyDATA!$FQ:$FQ,"*NEED*")</f>
        <v>0</v>
      </c>
      <c r="AH55" s="1394">
        <f>COUNTIFS(SurveyDATA!$E:$E,"*BRGY.159*",SurveyDATA!$BM:$BM,"*INSTITUTIONAL*",SurveyDATA!$BN:$BN,"*STRUCTURE OWNER*",SurveyDATA!$A:$A,"LEGAL",SurveyDATA!$FQ:$FQ,"*STAY*")</f>
        <v>0</v>
      </c>
      <c r="AI55" s="1394">
        <f>COUNTIFS(SurveyDATA!$E:$E,"*BRGY.159*",SurveyDATA!$BM:$BM,"*INSTITUTIONAL*",SurveyDATA!$BN:$BN,"*STRUCTURE OWNER*",SurveyDATA!$A:$A,"LEGAL",SurveyDATA!$FQ:$FQ,"*NEED*")</f>
        <v>0</v>
      </c>
      <c r="AJ55" s="1394">
        <f>COUNTIFS(SurveyDATA!$E:$E,"*BRGY.159*",SurveyDATA!$BM:$BM,"RESIDENTIAL*",SurveyDATA!$BN:$BN,"*STRUCTURE RENTER*",SurveyDATA!$A:$A,"LEGAL",SurveyDATA!$FQ:$FQ,"*STAY*")</f>
        <v>0</v>
      </c>
      <c r="AK55" s="1394">
        <f>COUNTIFS(SurveyDATA!$E:$E,"*BRGY.159*",SurveyDATA!$BM:$BM,"RESIDENTIAL*",SurveyDATA!$BN:$BN,"*STRUCTURE RENTER*",SurveyDATA!$A:$A,"LEGAL",SurveyDATA!$FQ:$FQ,"*NEED*")</f>
        <v>0</v>
      </c>
      <c r="AL55" s="1394">
        <f>COUNTIFS(SurveyDATA!$E:$E,"*BRGY.156*",SurveyDATA!$BM:$BM,"RESIDENTIAL*",SurveyDATA!$BN:$BN,"*STRUCTURE OWNER*",SurveyDATA!$A:$A,"LEGAL",SurveyDATA!$FQ:$FQ,"*STAY*",SurveyDATA!BL:BL,"*ABSENTEE*")</f>
        <v>0</v>
      </c>
      <c r="AM55" s="1394">
        <f>COUNTIFS(SurveyDATA!$E:$E,"*BRGY.156*",SurveyDATA!$BM:$BM,"RESIDENTIAL*",SurveyDATA!$BN:$BN,"*STRUCTURE OWNER*",SurveyDATA!$A:$A,"LEGAL",SurveyDATA!$FQ:$FQ,"*NEED*",SurveyDATA!BL:BL,"*ABSENTEE*")</f>
        <v>0</v>
      </c>
      <c r="AN55" s="1395">
        <f>COUNTIFS(SurveyDATA!A:A,"*LEGAL*",SurveyDATA!E:E,"*BRGY.156*",SurveyDATA!AK:AK,"LAND OWNER",SurveyDATA!AN:AN,"&lt;20%",SurveyDATA!BL:BL,"")</f>
        <v>0</v>
      </c>
      <c r="AO55" s="1395">
        <f>COUNTIFS(SurveyDATA!A:A,"*LEGAL*",SurveyDATA!E:E,"*BRGY.156*",SurveyDATA!AK:AK,"LAND OWNER",SurveyDATA!AN:AN,"&gt;20%",SurveyDATA!BL:BL,"")</f>
        <v>0</v>
      </c>
      <c r="AP55" s="1624"/>
      <c r="AQ55" s="1627"/>
      <c r="AR55" s="1395">
        <f t="shared" si="36"/>
        <v>7</v>
      </c>
      <c r="AS55" s="1395">
        <f t="shared" si="37"/>
        <v>2</v>
      </c>
      <c r="AU55" s="1589"/>
      <c r="AV55" s="1589" t="s">
        <v>12711</v>
      </c>
      <c r="AW55" s="1283">
        <f>COUNTIFS(SurveyDATA!A:A,"*ISF*",SurveyDATA!E:E,"*BRGY.156*",SurveyDATA!BM:BM,"*RESiDENTIAL*",SurveyDATA!BN:BN,"*STRUCTURE OWNER*",SurveyDATA!FQ:FQ,"*STAY*")</f>
        <v>3</v>
      </c>
      <c r="AX55" s="1284">
        <f>COUNTIFS(SurveyDATA!A:A,"*ISF*",SurveyDATA!E:E,"*BRGY.156*",SurveyDATA!BM:BM,"*RESiDENTIAL*",SurveyDATA!BN:BN,"*STRUCTURE OWNER*",SurveyDATA!FQ:FQ,"*NEED*")</f>
        <v>5</v>
      </c>
      <c r="AY55" s="1284">
        <f>COUNTIFS(SurveyDATA!A:A,"*ISF*",SurveyDATA!E:E,"*BRGY.156*",SurveyDATA!BM:BM,"*COMMERCIAL*",SurveyDATA!BN:BN,"*STRUCTURE OWNER*",SurveyDATA!FQ:FQ,"*STAY*")</f>
        <v>0</v>
      </c>
      <c r="AZ55" s="1284">
        <f>COUNTIFS(SurveyDATA!A:A,"*ISF*",SurveyDATA!E:E,"*BRGY.156*",SurveyDATA!BM:BM,"*COMMERCIAL*",SurveyDATA!BN:BN,"*STRUCTURE OWNER*",SurveyDATA!FQ:FQ,"*NEED*")</f>
        <v>0</v>
      </c>
      <c r="BA55" s="1625"/>
      <c r="BB55" s="1626"/>
      <c r="BC55" s="1634">
        <f t="shared" si="38"/>
        <v>7</v>
      </c>
      <c r="BD55" s="1635">
        <f t="shared" si="39"/>
        <v>8</v>
      </c>
    </row>
    <row r="56" spans="26:56">
      <c r="Z56" s="1589"/>
      <c r="AA56" s="1589" t="s">
        <v>12712</v>
      </c>
      <c r="AB56" s="1394">
        <f>COUNTIFS(SurveyDATA!$E:$E,"*BRGY.53*",SurveyDATA!$BM:$BM,"*RESIDENTIAL*",SurveyDATA!$BN:$BN,"*STRUCTURE OWNER*",SurveyDATA!$A:$A,"LEGAL",SurveyDATA!$FQ:$FQ,"*STAY*")</f>
        <v>0</v>
      </c>
      <c r="AC56" s="1394">
        <f>COUNTIFS(SurveyDATA!$E:$E,"*BRGY.53*",SurveyDATA!$BM:$BM,"*RESIDENTIAL*",SurveyDATA!$BN:$BN,"*STRUCTURE OWNER*",SurveyDATA!$A:$A,"LEGAL",SurveyDATA!$FQ:$FQ,"*NEED*")</f>
        <v>0</v>
      </c>
      <c r="AD56" s="1394">
        <f>COUNTIFS(SurveyDATA!$E:$E,"*BRGY.53*",SurveyDATA!$BM:$BM,"*MIXED*",SurveyDATA!$BN:$BN,"*STRUCTURE OWNER*",SurveyDATA!$A:$A,"LEGAL",SurveyDATA!$FQ:$FQ,"*STAY*")</f>
        <v>0</v>
      </c>
      <c r="AE56" s="1394">
        <f>COUNTIFS(SurveyDATA!$E:$E,"*BRGY.53*",SurveyDATA!$BM:$BM,"*MIXED*",SurveyDATA!$BN:$BN,"*STRUCTURE OWNER*",SurveyDATA!$A:$A,"LEGAL",SurveyDATA!$FQ:$FQ,"*NEED*")</f>
        <v>0</v>
      </c>
      <c r="AF56" s="1394">
        <f>COUNTIFS(SurveyDATA!$E:$E,"*BRGY.53*",SurveyDATA!$BM:$BM,"*COMMERICIAL*",SurveyDATA!$BN:$BN,"*STRUCTURE OWNER*",SurveyDATA!$A:$A,"LEGAL",SurveyDATA!$FQ:$FQ,"*STAY*")</f>
        <v>0</v>
      </c>
      <c r="AG56" s="1394">
        <f>COUNTIFS(SurveyDATA!$E:$E,"*BRGY.53*",SurveyDATA!$BM:$BM,"*COMMERCIAL*",SurveyDATA!$BN:$BN,"*STRUCTURE OWNER*",SurveyDATA!$A:$A,"LEGAL",SurveyDATA!$FQ:$FQ,"*NEED*")</f>
        <v>0</v>
      </c>
      <c r="AH56" s="1394">
        <f>COUNTIFS(SurveyDATA!$E:$E,"*BRGY.53*",SurveyDATA!$BM:$BM,"*INSTITUTIONAL*",SurveyDATA!$BN:$BN,"*STRUCTURE OWNER*",SurveyDATA!$A:$A,"LEGAL",SurveyDATA!$FQ:$FQ,"*STAY*")</f>
        <v>0</v>
      </c>
      <c r="AI56" s="1394">
        <f>COUNTIFS(SurveyDATA!$E:$E,"*BRGY.53*",SurveyDATA!$BM:$BM,"*INSTITUTIONAL*",SurveyDATA!$BN:$BN,"*STRUCTURE OWNER*",SurveyDATA!$A:$A,"LEGAL",SurveyDATA!$FQ:$FQ,"*NEED*")</f>
        <v>0</v>
      </c>
      <c r="AJ56" s="1394">
        <f>COUNTIFS(SurveyDATA!$E:$E,"*BRGY.53*",SurveyDATA!$BM:$BM,"RESIDENTIAL*",SurveyDATA!$BN:$BN,"*STRUCTURE RENTER*",SurveyDATA!$A:$A,"LEGAL",SurveyDATA!$FQ:$FQ,"*STAY*")</f>
        <v>0</v>
      </c>
      <c r="AK56" s="1394">
        <f>COUNTIFS(SurveyDATA!$E:$E,"*BRGY.53*",SurveyDATA!$BM:$BM,"RESIDENTIAL*",SurveyDATA!$BN:$BN,"*STRUCTURE RENTER*",SurveyDATA!$A:$A,"LEGAL",SurveyDATA!$FQ:$FQ,"*NEED*")</f>
        <v>0</v>
      </c>
      <c r="AL56" s="1394">
        <f>COUNTIFS(SurveyDATA!$E:$E,"*BRGY.53*",SurveyDATA!$BM:$BM,"RESIDENTIAL*",SurveyDATA!$BN:$BN,"*STRUCTURE OWNER*",SurveyDATA!$A:$A,"LEGAL",SurveyDATA!$FQ:$FQ,"*STAY*",SurveyDATA!BL:BL,"*ABSENTEE*")</f>
        <v>0</v>
      </c>
      <c r="AM56" s="1394">
        <f>COUNTIFS(SurveyDATA!$E:$E,"*BRGY.53*",SurveyDATA!$BM:$BM,"RESIDENTIAL*",SurveyDATA!$BN:$BN,"*STRUCTURE OWNER*",SurveyDATA!$A:$A,"LEGAL",SurveyDATA!$FQ:$FQ,"*NEED*",SurveyDATA!BL:BL,"*ABSENTEE*")</f>
        <v>0</v>
      </c>
      <c r="AN56" s="1395">
        <f>COUNTIFS(SurveyDATA!A:A,"*LEGAL*",SurveyDATA!E:E,"*BRGY.53*",SurveyDATA!AK:AK,"LAND OWNER",SurveyDATA!AN:AN,"&lt;20%",SurveyDATA!BL:BL,"")</f>
        <v>0</v>
      </c>
      <c r="AO56" s="1395">
        <f>COUNTIFS(SurveyDATA!A:A,"*LEGAL*",SurveyDATA!E:E,"*BRGY.53*",SurveyDATA!AK:AK,"LAND OWNER",SurveyDATA!AN:AN,"&gt;20%",SurveyDATA!BL:BL,"")</f>
        <v>0</v>
      </c>
      <c r="AP56" s="1624"/>
      <c r="AQ56" s="1627"/>
      <c r="AR56" s="1395">
        <f t="shared" si="36"/>
        <v>0</v>
      </c>
      <c r="AS56" s="1395">
        <f t="shared" si="37"/>
        <v>0</v>
      </c>
      <c r="AU56" s="1589"/>
      <c r="AV56" s="1589" t="s">
        <v>12712</v>
      </c>
      <c r="AW56" s="1283">
        <f>COUNTIFS(SurveyDATA!A:A,"*ISF*",SurveyDATA!E:E,"*BRGY.53*",SurveyDATA!BM:BM,"*RESiDENTIAL*",SurveyDATA!BN:BN,"*STRUCTURE OWNER*",SurveyDATA!FQ:FQ,"*STAY*")</f>
        <v>0</v>
      </c>
      <c r="AX56" s="1284">
        <f>COUNTIFS(SurveyDATA!A:A,"*ISF*",SurveyDATA!E:E,"*BRGY.53*",SurveyDATA!BM:BM,"*RESiDENTIAL*",SurveyDATA!BN:BN,"*STRUCTURE OWNER*",SurveyDATA!FQ:FQ,"*NEED*")</f>
        <v>0</v>
      </c>
      <c r="AY56" s="1284">
        <f>COUNTIFS(SurveyDATA!A:A,"*ISF*",SurveyDATA!E:E,"*BRGY.53*",SurveyDATA!BM:BM,"*COMMERCIAL*",SurveyDATA!BN:BN,"*STRUCTURE OWNER*",SurveyDATA!FQ:FQ,"*STAY*")</f>
        <v>0</v>
      </c>
      <c r="AZ56" s="1284">
        <f>COUNTIFS(SurveyDATA!A:A,"*ISF*",SurveyDATA!E:E,"*BRGY.53*",SurveyDATA!BM:BM,"*COMMERCIAL*",SurveyDATA!BN:BN,"*STRUCTURE OWNER*",SurveyDATA!FQ:FQ,"*NEED*")</f>
        <v>0</v>
      </c>
      <c r="BA56" s="1625"/>
      <c r="BB56" s="1626"/>
      <c r="BC56" s="1634">
        <f t="shared" si="38"/>
        <v>3</v>
      </c>
      <c r="BD56" s="1635">
        <f t="shared" si="39"/>
        <v>5</v>
      </c>
    </row>
    <row r="57" spans="26:56">
      <c r="Z57" s="1589"/>
      <c r="AA57" s="1589" t="s">
        <v>12713</v>
      </c>
      <c r="AB57" s="1394">
        <f>COUNTIFS(SurveyDATA!$E:$E,"*BRGY.50*",SurveyDATA!$BM:$BM,"*RESIDENTIAL*",SurveyDATA!$BN:$BN,"*STRUCTURE OWNER*",SurveyDATA!$A:$A,"LEGAL",SurveyDATA!$FQ:$FQ,"*STAY*")</f>
        <v>0</v>
      </c>
      <c r="AC57" s="1394">
        <f>COUNTIFS(SurveyDATA!$E:$E,"*BRGY.50*",SurveyDATA!$BM:$BM,"*RESIDENTIAL*",SurveyDATA!$BN:$BN,"*STRUCTURE OWNER*",SurveyDATA!$A:$A,"LEGAL",SurveyDATA!$FQ:$FQ,"*NEED*")</f>
        <v>0</v>
      </c>
      <c r="AD57" s="1394">
        <f>COUNTIFS(SurveyDATA!$E:$E,"*BRGY.50*",SurveyDATA!$BM:$BM,"*MIXED*",SurveyDATA!$BN:$BN,"*STRUCTURE OWNER*",SurveyDATA!$A:$A,"LEGAL",SurveyDATA!$FQ:$FQ,"*STAY*")</f>
        <v>0</v>
      </c>
      <c r="AE57" s="1394">
        <f>COUNTIFS(SurveyDATA!$E:$E,"*BRGY.50*",SurveyDATA!$BM:$BM,"*MIXED*",SurveyDATA!$BN:$BN,"*STRUCTURE OWNER*",SurveyDATA!$A:$A,"LEGAL",SurveyDATA!$FQ:$FQ,"*NEED*")</f>
        <v>0</v>
      </c>
      <c r="AF57" s="1394">
        <f>COUNTIFS(SurveyDATA!$E:$E,"*BRGY.50*",SurveyDATA!$BM:$BM,"*COMMERICIAL*",SurveyDATA!$BN:$BN,"*STRUCTURE OWNER*",SurveyDATA!$A:$A,"LEGAL",SurveyDATA!$FQ:$FQ,"*STAY*")</f>
        <v>0</v>
      </c>
      <c r="AG57" s="1394">
        <f>COUNTIFS(SurveyDATA!$E:$E,"*BRGY.50*",SurveyDATA!$BM:$BM,"*COMMERCIAL*",SurveyDATA!$BN:$BN,"*STRUCTURE OWNER*",SurveyDATA!$A:$A,"LEGAL",SurveyDATA!$FQ:$FQ,"*NEED*")</f>
        <v>0</v>
      </c>
      <c r="AH57" s="1394">
        <f>COUNTIFS(SurveyDATA!$E:$E,"*BRGY.50*",SurveyDATA!$BM:$BM,"*INSTITUTIONAL*",SurveyDATA!$BN:$BN,"*STRUCTURE OWNER*",SurveyDATA!$A:$A,"LEGAL",SurveyDATA!$FQ:$FQ,"*STAY*")</f>
        <v>0</v>
      </c>
      <c r="AI57" s="1394">
        <f>COUNTIFS(SurveyDATA!$E:$E,"*BRGY.50*",SurveyDATA!$BM:$BM,"*INSTITUTIONAL*",SurveyDATA!$BN:$BN,"*STRUCTURE OWNER*",SurveyDATA!$A:$A,"LEGAL",SurveyDATA!$FQ:$FQ,"*NEED*")</f>
        <v>0</v>
      </c>
      <c r="AJ57" s="1394">
        <f>COUNTIFS(SurveyDATA!$E:$E,"*BRGY.50*",SurveyDATA!$BM:$BM,"RESIDENTIAL*",SurveyDATA!$BN:$BN,"*STRUCTURE RENTER*",SurveyDATA!$A:$A,"LEGAL",SurveyDATA!$FQ:$FQ,"*STAY*")</f>
        <v>0</v>
      </c>
      <c r="AK57" s="1394">
        <f>COUNTIFS(SurveyDATA!$E:$E,"*BRGY.50*",SurveyDATA!$BM:$BM,"RESIDENTIAL*",SurveyDATA!$BN:$BN,"*STRUCTURE RENTER*",SurveyDATA!$A:$A,"LEGAL",SurveyDATA!$FQ:$FQ,"*NEED*")</f>
        <v>0</v>
      </c>
      <c r="AL57" s="1394">
        <f>COUNTIFS(SurveyDATA!$E:$E,"*BRGY.50*",SurveyDATA!$BM:$BM,"RESIDENTIAL*",SurveyDATA!$BN:$BN,"*STRUCTURE OWNER*",SurveyDATA!$A:$A,"LEGAL",SurveyDATA!$FQ:$FQ,"*STAY*",SurveyDATA!BL:BL,"*ABSENTEE*")</f>
        <v>0</v>
      </c>
      <c r="AM57" s="1394">
        <f>COUNTIFS(SurveyDATA!$E:$E,"*BRGY.50*",SurveyDATA!$BM:$BM,"RESIDENTIAL*",SurveyDATA!$BN:$BN,"*STRUCTURE OWNER*",SurveyDATA!$A:$A,"LEGAL",SurveyDATA!$FQ:$FQ,"*NEED*",SurveyDATA!BL:BL,"*ABSENTEE*")</f>
        <v>0</v>
      </c>
      <c r="AN57" s="1395">
        <f>COUNTIFS(SurveyDATA!A:A,"*LEGAL*",SurveyDATA!E:E,"*BRGY.50*",SurveyDATA!AK:AK,"LAND OWNER",SurveyDATA!AN:AN,"&lt;20%",SurveyDATA!BL:BL,"")</f>
        <v>0</v>
      </c>
      <c r="AO57" s="1395">
        <f>COUNTIFS(SurveyDATA!A:A,"*LEGAL*",SurveyDATA!E:E,"*BRGY.50*",SurveyDATA!AK:AK,"LAND OWNER",SurveyDATA!AN:AN,"&gt;20%",SurveyDATA!BL:BL,"")</f>
        <v>0</v>
      </c>
      <c r="AP57" s="1624"/>
      <c r="AQ57" s="1627"/>
      <c r="AR57" s="1395">
        <f t="shared" si="36"/>
        <v>0</v>
      </c>
      <c r="AS57" s="1395">
        <f t="shared" si="37"/>
        <v>0</v>
      </c>
      <c r="AU57" s="1589"/>
      <c r="AV57" s="1589" t="s">
        <v>12713</v>
      </c>
      <c r="AW57" s="1283">
        <f>COUNTIFS(SurveyDATA!A:A,"*ISF*",SurveyDATA!E:E,"*BRGY.50*",SurveyDATA!BM:BM,"*RESiDENTIAL*",SurveyDATA!BN:BN,"*STRUCTURE OWNER*",SurveyDATA!FQ:FQ,"*STAY*")</f>
        <v>0</v>
      </c>
      <c r="AX57" s="1284">
        <f>COUNTIFS(SurveyDATA!A:A,"*ISF*",SurveyDATA!E:E,"*BRGY.50*",SurveyDATA!BM:BM,"*RESiDENTIAL*",SurveyDATA!BN:BN,"*STRUCTURE OWNER*",SurveyDATA!FQ:FQ,"*NEED*")</f>
        <v>0</v>
      </c>
      <c r="AY57" s="1284">
        <f>COUNTIFS(SurveyDATA!A:A,"*ISF*",SurveyDATA!E:E,"*BRGY.50*",SurveyDATA!BM:BM,"*COMMERCIAL*",SurveyDATA!BN:BN,"*STRUCTURE OWNER*",SurveyDATA!FQ:FQ,"*STAY*")</f>
        <v>0</v>
      </c>
      <c r="AZ57" s="1284">
        <f>COUNTIFS(SurveyDATA!A:A,"*ISF*",SurveyDATA!E:E,"*BRGY.50*",SurveyDATA!BM:BM,"*COMMERCIAL*",SurveyDATA!BN:BN,"*STRUCTURE OWNER*",SurveyDATA!FQ:FQ,"*NEED*")</f>
        <v>0</v>
      </c>
      <c r="BA57" s="1625"/>
      <c r="BB57" s="1626"/>
      <c r="BC57" s="1634">
        <f t="shared" si="38"/>
        <v>0</v>
      </c>
      <c r="BD57" s="1635">
        <f t="shared" si="39"/>
        <v>0</v>
      </c>
    </row>
    <row r="58" spans="26:56">
      <c r="Z58" s="1589"/>
      <c r="AA58" s="1589" t="s">
        <v>12714</v>
      </c>
      <c r="AB58" s="1394">
        <f>COUNTIFS(SurveyDATA!$E:$E,"*BRGY.51*",SurveyDATA!$BM:$BM,"*RESIDENTIAL*",SurveyDATA!$BN:$BN,"*STRUCTURE OWNER*",SurveyDATA!$A:$A,"LEGAL",SurveyDATA!$FQ:$FQ,"*STAY*")</f>
        <v>0</v>
      </c>
      <c r="AC58" s="1394">
        <f>COUNTIFS(SurveyDATA!$E:$E,"*BRGY.51*",SurveyDATA!$BM:$BM,"*RESIDENTIAL*",SurveyDATA!$BN:$BN,"*STRUCTURE OWNER*",SurveyDATA!$A:$A,"LEGAL",SurveyDATA!$FQ:$FQ,"*NEED*")</f>
        <v>0</v>
      </c>
      <c r="AD58" s="1394">
        <f>COUNTIFS(SurveyDATA!$E:$E,"*BRGY.51*",SurveyDATA!$BM:$BM,"*MIXED*",SurveyDATA!$BN:$BN,"*STRUCTURE OWNER*",SurveyDATA!$A:$A,"LEGAL",SurveyDATA!$FQ:$FQ,"*STAY*")</f>
        <v>0</v>
      </c>
      <c r="AE58" s="1394">
        <f>COUNTIFS(SurveyDATA!$E:$E,"*BRGY.51*",SurveyDATA!$BM:$BM,"*MIXED*",SurveyDATA!$BN:$BN,"*STRUCTURE OWNER*",SurveyDATA!$A:$A,"LEGAL",SurveyDATA!$FQ:$FQ,"*NEED*")</f>
        <v>0</v>
      </c>
      <c r="AF58" s="1394">
        <f>COUNTIFS(SurveyDATA!$E:$E,"*BRGY.51*",SurveyDATA!$BM:$BM,"*COMMERICIAL*",SurveyDATA!$BN:$BN,"*STRUCTURE OWNER*",SurveyDATA!$A:$A,"LEGAL",SurveyDATA!$FQ:$FQ,"*STAY*")</f>
        <v>0</v>
      </c>
      <c r="AG58" s="1394">
        <f>COUNTIFS(SurveyDATA!$E:$E,"*BRGY.51*",SurveyDATA!$BM:$BM,"*COMMERCIAL*",SurveyDATA!$BN:$BN,"*STRUCTURE OWNER*",SurveyDATA!$A:$A,"LEGAL",SurveyDATA!$FQ:$FQ,"*NEED*")</f>
        <v>0</v>
      </c>
      <c r="AH58" s="1394">
        <f>COUNTIFS(SurveyDATA!$E:$E,"*BRGY.51*",SurveyDATA!$BM:$BM,"*INSTITUTIONAL*",SurveyDATA!$BN:$BN,"*STRUCTURE OWNER*",SurveyDATA!$A:$A,"LEGAL",SurveyDATA!$FQ:$FQ,"*STAY*")</f>
        <v>0</v>
      </c>
      <c r="AI58" s="1394">
        <f>COUNTIFS(SurveyDATA!$E:$E,"*BRGY.51*",SurveyDATA!$BM:$BM,"*INSTITUTIONAL*",SurveyDATA!$BN:$BN,"*STRUCTURE OWNER*",SurveyDATA!$A:$A,"LEGAL",SurveyDATA!$FQ:$FQ,"*NEED*")</f>
        <v>0</v>
      </c>
      <c r="AJ58" s="1394">
        <f>COUNTIFS(SurveyDATA!$E:$E,"*BRGY.51*",SurveyDATA!$BM:$BM,"RESIDENTIAL*",SurveyDATA!$BN:$BN,"*STRUCTURE RENTER*",SurveyDATA!$A:$A,"LEGAL",SurveyDATA!$FQ:$FQ,"*STAY*")</f>
        <v>0</v>
      </c>
      <c r="AK58" s="1394">
        <f>COUNTIFS(SurveyDATA!$E:$E,"*BRGY.51*",SurveyDATA!$BM:$BM,"RESIDENTIAL*",SurveyDATA!$BN:$BN,"*STRUCTURE RENTER*",SurveyDATA!$A:$A,"LEGAL",SurveyDATA!$FQ:$FQ,"*NEED*")</f>
        <v>0</v>
      </c>
      <c r="AL58" s="1394">
        <f>COUNTIFS(SurveyDATA!$E:$E,"*BRGY.51*",SurveyDATA!$BM:$BM,"RESIDENTIAL*",SurveyDATA!$BN:$BN,"*STRUCTURE OWNER*",SurveyDATA!$A:$A,"LEGAL",SurveyDATA!$FQ:$FQ,"*STAY*",SurveyDATA!BL:BL,"*ABSENTEE*")</f>
        <v>0</v>
      </c>
      <c r="AM58" s="1394">
        <f>COUNTIFS(SurveyDATA!$E:$E,"*BRGY.51*",SurveyDATA!$BM:$BM,"RESIDENTIAL*",SurveyDATA!$BN:$BN,"*STRUCTURE OWNER*",SurveyDATA!$A:$A,"LEGAL",SurveyDATA!$FQ:$FQ,"*NEED*",SurveyDATA!BL:BL,"*ABSENTEE*")</f>
        <v>0</v>
      </c>
      <c r="AN58" s="1395">
        <f>COUNTIFS(SurveyDATA!A:A,"*LEGAL*",SurveyDATA!E:E,"*BRGY.51*",SurveyDATA!AK:AK,"LAND OWNER",SurveyDATA!AN:AN,"&lt;20%",SurveyDATA!BL:BL,"")</f>
        <v>0</v>
      </c>
      <c r="AO58" s="1395">
        <f>COUNTIFS(SurveyDATA!A:A,"*LEGAL*",SurveyDATA!E:E,"*BRGY.51*",SurveyDATA!AK:AK,"LAND OWNER",SurveyDATA!AN:AN,"&gt;20%",SurveyDATA!BL:BL,"")</f>
        <v>0</v>
      </c>
      <c r="AP58" s="1624"/>
      <c r="AQ58" s="1627"/>
      <c r="AR58" s="1395">
        <f t="shared" si="36"/>
        <v>0</v>
      </c>
      <c r="AS58" s="1395">
        <f t="shared" si="37"/>
        <v>0</v>
      </c>
      <c r="AU58" s="1589"/>
      <c r="AV58" s="1589" t="s">
        <v>12714</v>
      </c>
      <c r="AW58" s="1283">
        <f>COUNTIFS(SurveyDATA!A:A,"*ISF*",SurveyDATA!E:E,"*BRGY.51*",SurveyDATA!BM:BM,"*RESiDENTIAL*",SurveyDATA!BN:BN,"*STRUCTURE OWNER*",SurveyDATA!FQ:FQ,"*STAY*")</f>
        <v>0</v>
      </c>
      <c r="AX58" s="1284">
        <f>COUNTIFS(SurveyDATA!A:A,"*ISF*",SurveyDATA!E:E,"*BRGY.51*",SurveyDATA!BM:BM,"*RESiDENTIAL*",SurveyDATA!BN:BN,"*STRUCTURE OWNER*",SurveyDATA!FQ:FQ,"*NEED*")</f>
        <v>0</v>
      </c>
      <c r="AY58" s="1284">
        <f>COUNTIFS(SurveyDATA!A:A,"*ISF*",SurveyDATA!E:E,"*BRGY.51*",SurveyDATA!BM:BM,"*COMMERCIAL*",SurveyDATA!BN:BN,"*STRUCTURE OWNER*",SurveyDATA!FQ:FQ,"*STAY*")</f>
        <v>0</v>
      </c>
      <c r="AZ58" s="1284">
        <f>COUNTIFS(SurveyDATA!A:A,"*ISF*",SurveyDATA!E:E,"*BRGY.51*",SurveyDATA!BM:BM,"*COMMERCIAL*",SurveyDATA!BN:BN,"*STRUCTURE OWNER*",SurveyDATA!FQ:FQ,"*NEED*")</f>
        <v>0</v>
      </c>
      <c r="BA58" s="1625"/>
      <c r="BB58" s="1626"/>
      <c r="BC58" s="1634">
        <f t="shared" si="38"/>
        <v>0</v>
      </c>
      <c r="BD58" s="1635">
        <f t="shared" si="39"/>
        <v>0</v>
      </c>
    </row>
    <row r="59" spans="26:56">
      <c r="Z59" s="1589"/>
      <c r="AA59" s="1589" t="s">
        <v>12715</v>
      </c>
      <c r="AB59" s="1394">
        <f>COUNTIFS(SurveyDATA!$E:$E,"*BRGY.48*",SurveyDATA!$BM:$BM,"*RESIDENTIAL*",SurveyDATA!$BN:$BN,"*STRUCTURE OWNER*",SurveyDATA!$A:$A,"LEGAL",SurveyDATA!$FQ:$FQ,"*STAY*")</f>
        <v>0</v>
      </c>
      <c r="AC59" s="1394">
        <f>COUNTIFS(SurveyDATA!$E:$E,"*BRGY.48*",SurveyDATA!$BM:$BM,"*RESIDENTIAL*",SurveyDATA!$BN:$BN,"*STRUCTURE OWNER*",SurveyDATA!$A:$A,"LEGAL",SurveyDATA!$FQ:$FQ,"*NEED*")</f>
        <v>0</v>
      </c>
      <c r="AD59" s="1394">
        <f>COUNTIFS(SurveyDATA!$E:$E,"*BRGY.48*",SurveyDATA!$BM:$BM,"*MIXED*",SurveyDATA!$BN:$BN,"*STRUCTURE OWNER*",SurveyDATA!$A:$A,"LEGAL",SurveyDATA!$FQ:$FQ,"*STAY*")</f>
        <v>0</v>
      </c>
      <c r="AE59" s="1394">
        <f>COUNTIFS(SurveyDATA!$E:$E,"*BRGY.48*",SurveyDATA!$BM:$BM,"*MIXED*",SurveyDATA!$BN:$BN,"*STRUCTURE OWNER*",SurveyDATA!$A:$A,"LEGAL",SurveyDATA!$FQ:$FQ,"*NEED*")</f>
        <v>0</v>
      </c>
      <c r="AF59" s="1394">
        <f>COUNTIFS(SurveyDATA!$E:$E,"*BRGY.48*",SurveyDATA!$BM:$BM,"*COMMERICIAL*",SurveyDATA!$BN:$BN,"*STRUCTURE OWNER*",SurveyDATA!$A:$A,"LEGAL",SurveyDATA!$FQ:$FQ,"*STAY*")</f>
        <v>0</v>
      </c>
      <c r="AG59" s="1394">
        <f>COUNTIFS(SurveyDATA!$E:$E,"*BRGY.48*",SurveyDATA!$BM:$BM,"*COMMERCIAL*",SurveyDATA!$BN:$BN,"*STRUCTURE OWNER*",SurveyDATA!$A:$A,"LEGAL",SurveyDATA!$FQ:$FQ,"*NEED*")</f>
        <v>0</v>
      </c>
      <c r="AH59" s="1394">
        <f>COUNTIFS(SurveyDATA!$E:$E,"*BRGY.48*",SurveyDATA!$BM:$BM,"*INSTITUTIONAL*",SurveyDATA!$BN:$BN,"*STRUCTURE OWNER*",SurveyDATA!$A:$A,"LEGAL",SurveyDATA!$FQ:$FQ,"*STAY*")</f>
        <v>0</v>
      </c>
      <c r="AI59" s="1394">
        <f>COUNTIFS(SurveyDATA!$E:$E,"*BRGY.48*",SurveyDATA!$BM:$BM,"*INSTITUTIONAL*",SurveyDATA!$BN:$BN,"*STRUCTURE OWNER*",SurveyDATA!$A:$A,"LEGAL",SurveyDATA!$FQ:$FQ,"*NEED*")</f>
        <v>0</v>
      </c>
      <c r="AJ59" s="1394">
        <f>COUNTIFS(SurveyDATA!$E:$E,"*BRGY.48*",SurveyDATA!$BM:$BM,"RESIDENTIAL*",SurveyDATA!$BN:$BN,"*STRUCTURE RENTER*",SurveyDATA!$A:$A,"LEGAL",SurveyDATA!$FQ:$FQ,"*STAY*")</f>
        <v>0</v>
      </c>
      <c r="AK59" s="1394">
        <f>COUNTIFS(SurveyDATA!$E:$E,"*BRGY.48*",SurveyDATA!$BM:$BM,"RESIDENTIAL*",SurveyDATA!$BN:$BN,"*STRUCTURE RENTER*",SurveyDATA!$A:$A,"LEGAL",SurveyDATA!$FQ:$FQ,"*NEED*")</f>
        <v>0</v>
      </c>
      <c r="AL59" s="1394">
        <f>COUNTIFS(SurveyDATA!$E:$E,"*BRGY.48*",SurveyDATA!$BM:$BM,"RESIDENTIAL*",SurveyDATA!$BN:$BN,"*STRUCTURE OWNER*",SurveyDATA!$A:$A,"LEGAL",SurveyDATA!$FQ:$FQ,"*STAY*",SurveyDATA!BL:BL,"*ABSENTEE*")</f>
        <v>0</v>
      </c>
      <c r="AM59" s="1394">
        <f>COUNTIFS(SurveyDATA!$E:$E,"*BRGY.48*",SurveyDATA!$BM:$BM,"RESIDENTIAL*",SurveyDATA!$BN:$BN,"*STRUCTURE OWNER*",SurveyDATA!$A:$A,"LEGAL",SurveyDATA!$FQ:$FQ,"*NEED*",SurveyDATA!BL:BL,"*ABSENTEE*")</f>
        <v>0</v>
      </c>
      <c r="AN59" s="1395">
        <f>COUNTIFS(SurveyDATA!A:A,"*LEGAL*",SurveyDATA!E:E,"*BRGY.48*",SurveyDATA!AK:AK,"LAND OWNER",SurveyDATA!AN:AN,"&lt;20%",SurveyDATA!BL:BL,"")</f>
        <v>0</v>
      </c>
      <c r="AO59" s="1395">
        <f>COUNTIFS(SurveyDATA!A:A,"*LEGAL*",SurveyDATA!E:E,"*BRGY.48*",SurveyDATA!AK:AK,"LAND OWNER",SurveyDATA!AN:AN,"&gt;20%",SurveyDATA!BL:BL,"")</f>
        <v>0</v>
      </c>
      <c r="AP59" s="1624"/>
      <c r="AQ59" s="1627"/>
      <c r="AR59" s="1395">
        <f t="shared" si="36"/>
        <v>0</v>
      </c>
      <c r="AS59" s="1395">
        <f t="shared" si="37"/>
        <v>0</v>
      </c>
      <c r="AU59" s="1589"/>
      <c r="AV59" s="1589" t="s">
        <v>12715</v>
      </c>
      <c r="AW59" s="1283">
        <f>COUNTIFS(SurveyDATA!A:A,"*ISF*",SurveyDATA!E:E,"*BRGY.48*",SurveyDATA!BM:BM,"*RESiDENTIAL*",SurveyDATA!BN:BN,"*STRUCTURE OWNER*",SurveyDATA!FQ:FQ,"*STAY*")</f>
        <v>0</v>
      </c>
      <c r="AX59" s="1284">
        <f>COUNTIFS(SurveyDATA!A:A,"*ISF*",SurveyDATA!E:E,"*BRGY.48*",SurveyDATA!BM:BM,"*RESiDENTIAL*",SurveyDATA!BN:BN,"*STRUCTURE OWNER*",SurveyDATA!FQ:FQ,"*NEED*")</f>
        <v>0</v>
      </c>
      <c r="AY59" s="1284">
        <f>COUNTIFS(SurveyDATA!A:A,"*ISF*",SurveyDATA!E:E,"*BRGY.48*",SurveyDATA!BM:BM,"*COMMERCIAL*",SurveyDATA!BN:BN,"*STRUCTURE OWNER*",SurveyDATA!FQ:FQ,"*STAY*")</f>
        <v>0</v>
      </c>
      <c r="AZ59" s="1284">
        <f>COUNTIFS(SurveyDATA!A:A,"*ISF*",SurveyDATA!E:E,"*BRGY.48*",SurveyDATA!BM:BM,"*COMMERCIAL*",SurveyDATA!BN:BN,"*STRUCTURE OWNER*",SurveyDATA!FQ:FQ,"*NEED*")</f>
        <v>0</v>
      </c>
      <c r="BA59" s="1625"/>
      <c r="BB59" s="1626"/>
      <c r="BC59" s="1634">
        <f t="shared" si="38"/>
        <v>0</v>
      </c>
      <c r="BD59" s="1635">
        <f t="shared" si="39"/>
        <v>0</v>
      </c>
    </row>
    <row r="60" spans="26:56">
      <c r="Z60" s="1589"/>
      <c r="AA60" s="1589" t="s">
        <v>12716</v>
      </c>
      <c r="AB60" s="1394">
        <f>COUNTIFS(SurveyDATA!$E:$E,"*BRGY.199*",SurveyDATA!$BM:$BM,"*RESIDENTIAL*",SurveyDATA!$BN:$BN,"*STRUCTURE OWNER*",SurveyDATA!$A:$A,"LEGAL",SurveyDATA!$FQ:$FQ,"*STAY*")</f>
        <v>1</v>
      </c>
      <c r="AC60" s="1394">
        <f>COUNTIFS(SurveyDATA!$E:$E,"*BRGBRGY.199Y.33*",SurveyDATA!$BM:$BM,"*RESIDENTIAL*",SurveyDATA!$BN:$BN,"*STRUCTURE OWNER*",SurveyDATA!$A:$A,"LEGAL",SurveyDATA!$FQ:$FQ,"*NEED*")</f>
        <v>0</v>
      </c>
      <c r="AD60" s="1394">
        <f>COUNTIFS(SurveyDATA!$E:$E,"*BRGY.199*",SurveyDATA!$BM:$BM,"*MIXED*",SurveyDATA!$BN:$BN,"*STRUCTURE OWNER*",SurveyDATA!$A:$A,"LEGAL",SurveyDATA!$FQ:$FQ,"*STAY*")</f>
        <v>0</v>
      </c>
      <c r="AE60" s="1394">
        <f>COUNTIFS(SurveyDATA!$E:$E,"*BRGY.199*",SurveyDATA!$BM:$BM,"*MIXED*",SurveyDATA!$BN:$BN,"*STRUCTURE OWNER*",SurveyDATA!$A:$A,"LEGAL",SurveyDATA!$FQ:$FQ,"*NEED*")</f>
        <v>0</v>
      </c>
      <c r="AF60" s="1394">
        <f>COUNTIFS(SurveyDATA!$E:$E,"*BRGY.199*",SurveyDATA!$BM:$BM,"*COMMERICIAL*",SurveyDATA!$BN:$BN,"*STRUCTURE OWNER*",SurveyDATA!$A:$A,"LEGAL",SurveyDATA!$FQ:$FQ,"*STAY*")</f>
        <v>0</v>
      </c>
      <c r="AG60" s="1394">
        <f>COUNTIFS(SurveyDATA!$E:$E,"*BRGY.199*",SurveyDATA!$BM:$BM,"*COMMERCIAL*",SurveyDATA!$BN:$BN,"*STRUCTURE OWNER*",SurveyDATA!$A:$A,"LEGAL",SurveyDATA!$FQ:$FQ,"*NEED*")</f>
        <v>0</v>
      </c>
      <c r="AH60" s="1394">
        <f>COUNTIFS(SurveyDATA!$E:$E,"*BRGY.199*",SurveyDATA!$BM:$BM,"*INSTITUTIONAL*",SurveyDATA!$BN:$BN,"*STRUCTURE OWNER*",SurveyDATA!$A:$A,"LEGAL",SurveyDATA!$FQ:$FQ,"*STAY*")</f>
        <v>0</v>
      </c>
      <c r="AI60" s="1394">
        <f>COUNTIFS(SurveyDATA!$E:$E,"*BRGY.199*",SurveyDATA!$BM:$BM,"*INSTITUTIONAL*",SurveyDATA!$BN:$BN,"*STRUCTURE OWNER*",SurveyDATA!$A:$A,"LEGAL",SurveyDATA!$FQ:$FQ,"*NEED*")</f>
        <v>0</v>
      </c>
      <c r="AJ60" s="1394">
        <f>COUNTIFS(SurveyDATA!$E:$E,"*BRGY.199*",SurveyDATA!$BM:$BM,"RESIDENTIAL*",SurveyDATA!$BN:$BN,"*STRUCTURE RENTER*",SurveyDATA!$A:$A,"LEGAL",SurveyDATA!$FQ:$FQ,"*STAY*")</f>
        <v>0</v>
      </c>
      <c r="AK60" s="1394">
        <f>COUNTIFS(SurveyDATA!$E:$E,"*BRGY.199*",SurveyDATA!$BM:$BM,"RESIDENTIAL*",SurveyDATA!$BN:$BN,"*STRUCTURE RENTER*",SurveyDATA!$A:$A,"LEGAL",SurveyDATA!$FQ:$FQ,"*NEED*")</f>
        <v>0</v>
      </c>
      <c r="AL60" s="1394">
        <f>COUNTIFS(SurveyDATA!$E:$E,"*BRGY.199*",SurveyDATA!$BM:$BM,"RESIDENTIAL*",SurveyDATA!$BN:$BN,"*STRUCTURE OWNER*",SurveyDATA!$A:$A,"LEGAL",SurveyDATA!$FQ:$FQ,"*STAY*",SurveyDATA!BL:BL,"*ABSENTEE*")</f>
        <v>0</v>
      </c>
      <c r="AM60" s="1394">
        <f>COUNTIFS(SurveyDATA!$E:$E,"*BRGY.199*",SurveyDATA!$BM:$BM,"RESIDENTIAL*",SurveyDATA!$BN:$BN,"*STRUCTURE OWNER*",SurveyDATA!$A:$A,"LEGAL",SurveyDATA!$FQ:$FQ,"*NEED*",SurveyDATA!BL:BL,"*ABSENTEE*")</f>
        <v>0</v>
      </c>
      <c r="AN60" s="1395">
        <f>COUNTIFS(SurveyDATA!A:A,"*LEGAL*",SurveyDATA!E:E,"*BRGY.199*",SurveyDATA!AK:AK,"LAND OWNER",SurveyDATA!AN:AN,"&lt;20%",SurveyDATA!BL:BL,"")</f>
        <v>0</v>
      </c>
      <c r="AO60" s="1395">
        <f>COUNTIFS(SurveyDATA!A:A,"*LEGAL*",SurveyDATA!E:E,"*BRGY.199*",SurveyDATA!AK:AK,"LAND OWNER",SurveyDATA!AN:AN,"&gt;20%",SurveyDATA!BL:BL,"")</f>
        <v>2</v>
      </c>
      <c r="AP60" s="1624"/>
      <c r="AQ60" s="1627"/>
      <c r="AR60" s="1395">
        <f t="shared" si="36"/>
        <v>1</v>
      </c>
      <c r="AS60" s="1395">
        <f t="shared" si="37"/>
        <v>2</v>
      </c>
      <c r="AU60" s="1589"/>
      <c r="AV60" s="1589" t="s">
        <v>12716</v>
      </c>
      <c r="AW60" s="1283">
        <f>COUNTIFS(SurveyDATA!A:A,"*ISF*",SurveyDATA!E:E,"*BRGY.199*",SurveyDATA!BM:BM,"*RESiDENTIAL*",SurveyDATA!BN:BN,"*STRUCTURE OWNER*",SurveyDATA!FQ:FQ,"*STAY*")</f>
        <v>2</v>
      </c>
      <c r="AX60" s="1284">
        <f>COUNTIFS(SurveyDATA!A:A,"*ISF*",SurveyDATA!E:E,"*BRGY.199*",SurveyDATA!BM:BM,"*RESiDENTIAL*",SurveyDATA!BN:BN,"*STRUCTURE OWNER*",SurveyDATA!FQ:FQ,"*NEED*")</f>
        <v>4</v>
      </c>
      <c r="AY60" s="1284">
        <f>COUNTIFS(SurveyDATA!A:A,"*ISF*",SurveyDATA!E:E,"*BRGY.199*",SurveyDATA!BM:BM,"*COMMERCIAL*",SurveyDATA!BN:BN,"*STRUCTURE OWNER*",SurveyDATA!FQ:FQ,"*STAY*")</f>
        <v>0</v>
      </c>
      <c r="AZ60" s="1284">
        <f>COUNTIFS(SurveyDATA!A:A,"*ISF*",SurveyDATA!E:E,"*BRGY.199*",SurveyDATA!BM:BM,"*COMMERCIAL*",SurveyDATA!BN:BN,"*STRUCTURE OWNER*",SurveyDATA!FQ:FQ,"*NEED*")</f>
        <v>0</v>
      </c>
      <c r="BA60" s="1625"/>
      <c r="BB60" s="1626"/>
      <c r="BC60" s="1634">
        <f t="shared" si="38"/>
        <v>0</v>
      </c>
      <c r="BD60" s="1635">
        <f t="shared" si="39"/>
        <v>0</v>
      </c>
    </row>
    <row r="61" spans="26:56">
      <c r="Z61" s="1589"/>
      <c r="AA61" s="1589" t="s">
        <v>12717</v>
      </c>
      <c r="AB61" s="1394">
        <f>COUNTIFS(SurveyDATA!$E:$E,"*BRGY.200*",SurveyDATA!$BM:$BM,"*RESIDENTIAL*",SurveyDATA!$BN:$BN,"*STRUCTURE OWNER*",SurveyDATA!$A:$A,"LEGAL",SurveyDATA!$FQ:$FQ,"*STAY*")</f>
        <v>0</v>
      </c>
      <c r="AC61" s="1394">
        <f>COUNTIFS(SurveyDATA!$E:$E,"*BRGY.200*",SurveyDATA!$BM:$BM,"*RESIDENTIAL*",SurveyDATA!$BN:$BN,"*STRUCTURE OWNER*",SurveyDATA!$A:$A,"LEGAL",SurveyDATA!$FQ:$FQ,"*NEED*")</f>
        <v>0</v>
      </c>
      <c r="AD61" s="1394">
        <f>COUNTIFS(SurveyDATA!$E:$E,"*BRGY.200*",SurveyDATA!$BM:$BM,"*MIXED*",SurveyDATA!$BN:$BN,"*STRUCTURE OWNER*",SurveyDATA!$A:$A,"LEGAL",SurveyDATA!$FQ:$FQ,"*STAY*")</f>
        <v>0</v>
      </c>
      <c r="AE61" s="1394">
        <f>COUNTIFS(SurveyDATA!$E:$E,"*BRGY.200*",SurveyDATA!$BM:$BM,"*MIXED*",SurveyDATA!$BN:$BN,"*STRUCTURE OWNER*",SurveyDATA!$A:$A,"LEGAL",SurveyDATA!$FQ:$FQ,"*NEED*")</f>
        <v>0</v>
      </c>
      <c r="AF61" s="1394">
        <f>COUNTIFS(SurveyDATA!$E:$E,"*BRGY.200*",SurveyDATA!$BM:$BM,"*COMMERICIAL*",SurveyDATA!$BN:$BN,"*STRUCTURE OWNER*",SurveyDATA!$A:$A,"LEGAL",SurveyDATA!$FQ:$FQ,"*STAY*")</f>
        <v>0</v>
      </c>
      <c r="AG61" s="1394">
        <f>COUNTIFS(SurveyDATA!$E:$E,"*BRGY.200*",SurveyDATA!$BM:$BM,"*COMMERCIAL*",SurveyDATA!$BN:$BN,"*STRUCTURE OWNER*",SurveyDATA!$A:$A,"LEGAL",SurveyDATA!$FQ:$FQ,"*NEED*")</f>
        <v>0</v>
      </c>
      <c r="AH61" s="1394">
        <f>COUNTIFS(SurveyDATA!$E:$E,"*BRGY.200*",SurveyDATA!$BM:$BM,"*INSTITUTIONAL*",SurveyDATA!$BN:$BN,"*STRUCTURE OWNER*",SurveyDATA!$A:$A,"LEGAL",SurveyDATA!$FQ:$FQ,"*STAY*")</f>
        <v>0</v>
      </c>
      <c r="AI61" s="1394">
        <f>COUNTIFS(SurveyDATA!$E:$E,"*BRGY.200*",SurveyDATA!$BM:$BM,"*INSTITUTIONAL*",SurveyDATA!$BN:$BN,"*STRUCTURE OWNER*",SurveyDATA!$A:$A,"LEGAL",SurveyDATA!$FQ:$FQ,"*NEED*")</f>
        <v>0</v>
      </c>
      <c r="AJ61" s="1394">
        <f>COUNTIFS(SurveyDATA!$E:$E,"*BRGY.200*",SurveyDATA!$BM:$BM,"RESIDENTIAL*",SurveyDATA!$BN:$BN,"*STRUCTURE RENTER*",SurveyDATA!$A:$A,"LEGAL",SurveyDATA!$FQ:$FQ,"*STAY*")</f>
        <v>0</v>
      </c>
      <c r="AK61" s="1394">
        <f>COUNTIFS(SurveyDATA!$E:$E,"*BRGY.200*",SurveyDATA!$BM:$BM,"RESIDENTIAL*",SurveyDATA!$BN:$BN,"*STRUCTURE RENTER*",SurveyDATA!$A:$A,"LEGAL",SurveyDATA!$FQ:$FQ,"*NEED*")</f>
        <v>0</v>
      </c>
      <c r="AL61" s="1394">
        <f>COUNTIFS(SurveyDATA!$E:$E,"*BRGY.200*",SurveyDATA!$BM:$BM,"RESIDENTIAL*",SurveyDATA!$BN:$BN,"*STRUCTURE OWNER*",SurveyDATA!$A:$A,"LEGAL",SurveyDATA!$FQ:$FQ,"*STAY*",SurveyDATA!BL:BL,"*ABSENTEE*")</f>
        <v>0</v>
      </c>
      <c r="AM61" s="1394">
        <f>COUNTIFS(SurveyDATA!$E:$E,"*BRGY.200*",SurveyDATA!$BM:$BM,"RESIDENTIAL*",SurveyDATA!$BN:$BN,"*STRUCTURE OWNER*",SurveyDATA!$A:$A,"LEGAL",SurveyDATA!$FQ:$FQ,"*NEED*",SurveyDATA!BL:BL,"*ABSENTEE*")</f>
        <v>0</v>
      </c>
      <c r="AN61" s="1395">
        <f>COUNTIFS(SurveyDATA!A:A,"*LEGAL*",SurveyDATA!E:E,"*BRGY.200*",SurveyDATA!AK:AK,"LAND OWNER",SurveyDATA!AN:AN,"&lt;20%",SurveyDATA!BL:BL,"")</f>
        <v>0</v>
      </c>
      <c r="AO61" s="1395">
        <f>COUNTIFS(SurveyDATA!A:A,"*LEGAL*",SurveyDATA!E:E,"*BRGY.200*",SurveyDATA!AK:AK,"LAND OWNER",SurveyDATA!AN:AN,"&gt;20%",SurveyDATA!BL:BL,"")</f>
        <v>0</v>
      </c>
      <c r="AP61" s="1624"/>
      <c r="AQ61" s="1627"/>
      <c r="AR61" s="1395">
        <f t="shared" si="36"/>
        <v>0</v>
      </c>
      <c r="AS61" s="1395">
        <f t="shared" si="37"/>
        <v>0</v>
      </c>
      <c r="AU61" s="1589"/>
      <c r="AV61" s="1589" t="s">
        <v>12717</v>
      </c>
      <c r="AW61" s="1283">
        <f>COUNTIFS(SurveyDATA!A:A,"*ISF*",SurveyDATA!E:E,"*BRGY.200*",SurveyDATA!BM:BM,"*RESiDENTIAL*",SurveyDATA!BN:BN,"*STRUCTURE OWNER*",SurveyDATA!FQ:FQ,"*STAY*")</f>
        <v>0</v>
      </c>
      <c r="AX61" s="1284">
        <f>COUNTIFS(SurveyDATA!A:A,"*ISF*",SurveyDATA!E:E,"*BRGY.200*",SurveyDATA!BM:BM,"*RESiDENTIAL*",SurveyDATA!BN:BN,"*STRUCTURE OWNER*",SurveyDATA!FQ:FQ,"*NEED*")</f>
        <v>1</v>
      </c>
      <c r="AY61" s="1284">
        <f>COUNTIFS(SurveyDATA!A:A,"*ISF*",SurveyDATA!E:E,"*BRGY.200*",SurveyDATA!BM:BM,"*COMMERCIAL*",SurveyDATA!BN:BN,"*STRUCTURE OWNER*",SurveyDATA!FQ:FQ,"*STAY*")</f>
        <v>0</v>
      </c>
      <c r="AZ61" s="1284">
        <f>COUNTIFS(SurveyDATA!A:A,"*ISF*",SurveyDATA!E:E,"*BRGY.200*",SurveyDATA!BM:BM,"*COMMERCIAL*",SurveyDATA!BN:BN,"*STRUCTURE OWNER*",SurveyDATA!FQ:FQ,"*NEED*")</f>
        <v>0</v>
      </c>
      <c r="BA61" s="1625"/>
      <c r="BB61" s="1626"/>
      <c r="BC61" s="1634">
        <f t="shared" si="38"/>
        <v>2</v>
      </c>
      <c r="BD61" s="1635">
        <f t="shared" si="39"/>
        <v>4</v>
      </c>
    </row>
    <row r="62" spans="26:56" ht="13.5" thickBot="1">
      <c r="Z62" s="1628"/>
      <c r="AA62" s="1629" t="s">
        <v>12285</v>
      </c>
      <c r="AB62" s="1630">
        <f>SUM(AB46:AB61)</f>
        <v>17</v>
      </c>
      <c r="AC62" s="1630">
        <f t="shared" ref="AC62:AS62" si="40">SUM(AC46:AC61)</f>
        <v>10</v>
      </c>
      <c r="AD62" s="1630">
        <f>SUM(AD46:AD61)</f>
        <v>0</v>
      </c>
      <c r="AE62" s="1630">
        <f>SUM(AE46:AE61)</f>
        <v>1</v>
      </c>
      <c r="AF62" s="1630">
        <f>SUM(AF46:AF61)</f>
        <v>0</v>
      </c>
      <c r="AG62" s="1630">
        <f t="shared" si="40"/>
        <v>0</v>
      </c>
      <c r="AH62" s="1630">
        <f t="shared" si="40"/>
        <v>0</v>
      </c>
      <c r="AI62" s="1630">
        <f t="shared" si="40"/>
        <v>0</v>
      </c>
      <c r="AJ62" s="1630">
        <f t="shared" si="40"/>
        <v>0</v>
      </c>
      <c r="AK62" s="1630">
        <f t="shared" si="40"/>
        <v>0</v>
      </c>
      <c r="AL62" s="1630">
        <f t="shared" si="40"/>
        <v>1</v>
      </c>
      <c r="AM62" s="1630">
        <f t="shared" si="40"/>
        <v>0</v>
      </c>
      <c r="AN62" s="1630">
        <f t="shared" si="40"/>
        <v>2</v>
      </c>
      <c r="AO62" s="1630">
        <f t="shared" si="40"/>
        <v>4</v>
      </c>
      <c r="AP62" s="1630">
        <f t="shared" si="40"/>
        <v>0</v>
      </c>
      <c r="AQ62" s="1630">
        <f t="shared" si="40"/>
        <v>0</v>
      </c>
      <c r="AR62" s="1630">
        <f t="shared" si="40"/>
        <v>20</v>
      </c>
      <c r="AS62" s="1630">
        <f t="shared" si="40"/>
        <v>15</v>
      </c>
      <c r="AU62" s="1628"/>
      <c r="AV62" s="1629" t="s">
        <v>12285</v>
      </c>
      <c r="AW62" s="1329">
        <f t="shared" ref="AW62:BB62" si="41">SUM(AW46:AW61)</f>
        <v>20</v>
      </c>
      <c r="AX62" s="1329">
        <f t="shared" si="41"/>
        <v>34</v>
      </c>
      <c r="AY62" s="1329">
        <f t="shared" si="41"/>
        <v>0</v>
      </c>
      <c r="AZ62" s="1329">
        <f t="shared" si="41"/>
        <v>0</v>
      </c>
      <c r="BA62" s="1329">
        <f t="shared" si="41"/>
        <v>0</v>
      </c>
      <c r="BB62" s="1330">
        <f t="shared" si="41"/>
        <v>0</v>
      </c>
      <c r="BC62" s="1285">
        <f>SUM(BC53:BC61)</f>
        <v>15</v>
      </c>
      <c r="BD62" s="1286">
        <f>SUM(BD53:BD61)</f>
        <v>17</v>
      </c>
    </row>
    <row r="63" spans="26:56" ht="14.25" thickTop="1" thickBot="1">
      <c r="Z63" s="1631"/>
      <c r="AA63" s="1632" t="s">
        <v>5824</v>
      </c>
      <c r="AB63" s="1633">
        <f>SUM(AB62,AB45,AB35,AB31,AB26,AB22,AB18,AB16,AB11)</f>
        <v>46</v>
      </c>
      <c r="AC63" s="1633">
        <f t="shared" ref="AC63:AS63" si="42">SUM(AC62,AC45,AC35,AC31,AC26,AC22,AC18,AC16,AC11)</f>
        <v>54</v>
      </c>
      <c r="AD63" s="1633">
        <f t="shared" si="42"/>
        <v>4</v>
      </c>
      <c r="AE63" s="1633">
        <f t="shared" si="42"/>
        <v>6</v>
      </c>
      <c r="AF63" s="1633">
        <f t="shared" si="42"/>
        <v>0</v>
      </c>
      <c r="AG63" s="1633">
        <f t="shared" si="42"/>
        <v>3</v>
      </c>
      <c r="AH63" s="1633">
        <f t="shared" si="42"/>
        <v>0</v>
      </c>
      <c r="AI63" s="1633">
        <f t="shared" si="42"/>
        <v>2</v>
      </c>
      <c r="AJ63" s="1633">
        <f t="shared" si="42"/>
        <v>0</v>
      </c>
      <c r="AK63" s="1633">
        <f t="shared" si="42"/>
        <v>0</v>
      </c>
      <c r="AL63" s="1633">
        <f t="shared" si="42"/>
        <v>3</v>
      </c>
      <c r="AM63" s="1633">
        <f t="shared" si="42"/>
        <v>0</v>
      </c>
      <c r="AN63" s="1633">
        <f t="shared" si="42"/>
        <v>16</v>
      </c>
      <c r="AO63" s="1633">
        <f t="shared" si="42"/>
        <v>29</v>
      </c>
      <c r="AP63" s="1633">
        <f t="shared" si="42"/>
        <v>0</v>
      </c>
      <c r="AQ63" s="1633">
        <f t="shared" si="42"/>
        <v>0</v>
      </c>
      <c r="AR63" s="1633">
        <f>SUM(AR62,AR45,AR35,AR31,AR26,AR22,AR18,AR16,AR11)</f>
        <v>69</v>
      </c>
      <c r="AS63" s="1633">
        <f t="shared" si="42"/>
        <v>94</v>
      </c>
      <c r="AU63" s="1631"/>
      <c r="AV63" s="1632" t="s">
        <v>5824</v>
      </c>
      <c r="AW63" s="1336">
        <f t="shared" ref="AW63:BD63" si="43">SUM(AW62,AW45,AW35,AW31,AW26,AW22,AW18,AW11)</f>
        <v>42</v>
      </c>
      <c r="AX63" s="1336">
        <f t="shared" si="43"/>
        <v>122</v>
      </c>
      <c r="AY63" s="1336">
        <f t="shared" si="43"/>
        <v>2</v>
      </c>
      <c r="AZ63" s="1336">
        <f t="shared" si="43"/>
        <v>1</v>
      </c>
      <c r="BA63" s="1336">
        <f t="shared" si="43"/>
        <v>4</v>
      </c>
      <c r="BB63" s="1337">
        <f t="shared" si="43"/>
        <v>4</v>
      </c>
      <c r="BC63" s="1338">
        <f t="shared" si="43"/>
        <v>58</v>
      </c>
      <c r="BD63" s="1339">
        <f t="shared" si="43"/>
        <v>148</v>
      </c>
    </row>
    <row r="64" spans="26:56">
      <c r="BC64" s="1588"/>
      <c r="BD64" s="1588"/>
    </row>
    <row r="65" spans="55:56">
      <c r="BC65" s="1588"/>
      <c r="BD65" s="1588"/>
    </row>
    <row r="66" spans="55:56">
      <c r="BC66" s="1588"/>
      <c r="BD66" s="1588"/>
    </row>
    <row r="67" spans="55:56">
      <c r="BC67" s="1588"/>
      <c r="BD67" s="1588"/>
    </row>
    <row r="68" spans="55:56">
      <c r="BC68" s="1588"/>
      <c r="BD68" s="1588"/>
    </row>
    <row r="69" spans="55:56">
      <c r="BC69" s="1588"/>
      <c r="BD69" s="1588"/>
    </row>
    <row r="70" spans="55:56">
      <c r="BC70" s="1400"/>
      <c r="BD70" s="1400"/>
    </row>
    <row r="71" spans="55:56">
      <c r="BC71" s="1400"/>
      <c r="BD71" s="1400"/>
    </row>
    <row r="72" spans="55:56">
      <c r="BC72" s="1400"/>
      <c r="BD72" s="1400"/>
    </row>
  </sheetData>
  <mergeCells count="98">
    <mergeCell ref="BC4:BD5"/>
    <mergeCell ref="BA5:BB5"/>
    <mergeCell ref="AU4:AU6"/>
    <mergeCell ref="AV4:AV6"/>
    <mergeCell ref="AW4:AX5"/>
    <mergeCell ref="AY4:AZ5"/>
    <mergeCell ref="BA4:BB4"/>
    <mergeCell ref="K8:K9"/>
    <mergeCell ref="D10:D11"/>
    <mergeCell ref="E10:E11"/>
    <mergeCell ref="K10:K11"/>
    <mergeCell ref="D8:D9"/>
    <mergeCell ref="E8:E9"/>
    <mergeCell ref="F8:F9"/>
    <mergeCell ref="G8:G9"/>
    <mergeCell ref="H8:H9"/>
    <mergeCell ref="F10:F11"/>
    <mergeCell ref="G10:G11"/>
    <mergeCell ref="H10:H11"/>
    <mergeCell ref="I10:I11"/>
    <mergeCell ref="I8:I9"/>
    <mergeCell ref="D16:D17"/>
    <mergeCell ref="E16:E17"/>
    <mergeCell ref="F16:F17"/>
    <mergeCell ref="G16:G17"/>
    <mergeCell ref="H16:H17"/>
    <mergeCell ref="D12:D13"/>
    <mergeCell ref="E12:E13"/>
    <mergeCell ref="F12:F13"/>
    <mergeCell ref="G12:G13"/>
    <mergeCell ref="H12:H13"/>
    <mergeCell ref="D18:D19"/>
    <mergeCell ref="E18:E19"/>
    <mergeCell ref="F18:F19"/>
    <mergeCell ref="G18:G19"/>
    <mergeCell ref="H18:H19"/>
    <mergeCell ref="D20:D21"/>
    <mergeCell ref="E20:E21"/>
    <mergeCell ref="F20:F21"/>
    <mergeCell ref="G20:G21"/>
    <mergeCell ref="H20:H21"/>
    <mergeCell ref="I24:I25"/>
    <mergeCell ref="J24:J25"/>
    <mergeCell ref="I22:I23"/>
    <mergeCell ref="C24:C25"/>
    <mergeCell ref="D24:D25"/>
    <mergeCell ref="E24:E25"/>
    <mergeCell ref="F24:F25"/>
    <mergeCell ref="G24:G25"/>
    <mergeCell ref="D22:D23"/>
    <mergeCell ref="K24:K25"/>
    <mergeCell ref="J22:J23"/>
    <mergeCell ref="K22:K23"/>
    <mergeCell ref="R4:R5"/>
    <mergeCell ref="S4:U4"/>
    <mergeCell ref="J18:J19"/>
    <mergeCell ref="K18:K19"/>
    <mergeCell ref="A4:K4"/>
    <mergeCell ref="A6:A25"/>
    <mergeCell ref="E22:E23"/>
    <mergeCell ref="F22:F23"/>
    <mergeCell ref="G22:G23"/>
    <mergeCell ref="H22:H23"/>
    <mergeCell ref="J20:J21"/>
    <mergeCell ref="K20:K21"/>
    <mergeCell ref="H24:H25"/>
    <mergeCell ref="D6:D7"/>
    <mergeCell ref="E6:E7"/>
    <mergeCell ref="F6:F7"/>
    <mergeCell ref="G6:G7"/>
    <mergeCell ref="H6:H7"/>
    <mergeCell ref="J6:J7"/>
    <mergeCell ref="K6:K7"/>
    <mergeCell ref="I20:I21"/>
    <mergeCell ref="AL4:AM5"/>
    <mergeCell ref="AN4:AO4"/>
    <mergeCell ref="I6:I7"/>
    <mergeCell ref="V4:X4"/>
    <mergeCell ref="K16:K17"/>
    <mergeCell ref="I18:I19"/>
    <mergeCell ref="J12:J13"/>
    <mergeCell ref="K12:K13"/>
    <mergeCell ref="I16:I17"/>
    <mergeCell ref="J16:J17"/>
    <mergeCell ref="J10:J11"/>
    <mergeCell ref="I12:I13"/>
    <mergeCell ref="J8:J9"/>
    <mergeCell ref="AR4:AS5"/>
    <mergeCell ref="AD4:AE5"/>
    <mergeCell ref="AN5:AO5"/>
    <mergeCell ref="AJ5:AK5"/>
    <mergeCell ref="Z4:Z6"/>
    <mergeCell ref="AB4:AC5"/>
    <mergeCell ref="AF4:AG5"/>
    <mergeCell ref="AH4:AI5"/>
    <mergeCell ref="AJ4:AK4"/>
    <mergeCell ref="AA4:AA6"/>
    <mergeCell ref="AP4:AQ5"/>
  </mergeCells>
  <pageMargins left="0.7" right="0.7" top="0.75" bottom="0.75" header="0.3" footer="0.3"/>
  <pageSetup orientation="portrait" horizontalDpi="4294967293" verticalDpi="0" r:id="rId1"/>
</worksheet>
</file>

<file path=xl/worksheets/sheet12.xml><?xml version="1.0" encoding="utf-8"?>
<worksheet xmlns="http://schemas.openxmlformats.org/spreadsheetml/2006/main" xmlns:r="http://schemas.openxmlformats.org/officeDocument/2006/relationships">
  <sheetPr>
    <tabColor rgb="FFFF0000"/>
  </sheetPr>
  <dimension ref="A2:AY294"/>
  <sheetViews>
    <sheetView topLeftCell="P1" zoomScale="80" zoomScaleNormal="80" workbookViewId="0">
      <selection activeCell="F110" sqref="F110"/>
    </sheetView>
  </sheetViews>
  <sheetFormatPr defaultColWidth="39.42578125" defaultRowHeight="15.75"/>
  <cols>
    <col min="1" max="1" width="36.140625" style="1403" customWidth="1"/>
    <col min="2" max="2" width="15" style="1403" customWidth="1"/>
    <col min="3" max="3" width="15.42578125" style="1403" customWidth="1"/>
    <col min="4" max="4" width="15.85546875" style="1403" customWidth="1"/>
    <col min="5" max="5" width="13.85546875" style="1403" customWidth="1"/>
    <col min="6" max="6" width="20" style="1403" customWidth="1"/>
    <col min="7" max="7" width="14" style="1403" customWidth="1"/>
    <col min="8" max="9" width="13.7109375" style="1403" customWidth="1"/>
    <col min="10" max="10" width="13.28515625" style="1403" customWidth="1"/>
    <col min="11" max="12" width="13.7109375" style="1403" customWidth="1"/>
    <col min="13" max="13" width="13.85546875" style="1404" customWidth="1"/>
    <col min="14" max="14" width="16.85546875" style="1403" customWidth="1"/>
    <col min="15" max="16384" width="39.42578125" style="1403"/>
  </cols>
  <sheetData>
    <row r="2" spans="1:27">
      <c r="X2" s="1405" t="s">
        <v>12461</v>
      </c>
    </row>
    <row r="3" spans="1:27" ht="16.5" thickBot="1">
      <c r="A3" s="1406" t="s">
        <v>7251</v>
      </c>
      <c r="O3" s="1406" t="s">
        <v>7337</v>
      </c>
      <c r="X3" s="1407" t="s">
        <v>12462</v>
      </c>
      <c r="Y3" s="1408" t="e">
        <f>COUNTIF([1]SurveyDATA_1!#REF!,"*LEGAL*")+COUNTIF([1]SurveyDATA_1!#REF!,"*ISF*")</f>
        <v>#REF!</v>
      </c>
    </row>
    <row r="4" spans="1:27" ht="16.5" thickBot="1">
      <c r="A4" s="1409" t="s">
        <v>7214</v>
      </c>
      <c r="B4" s="1409" t="s">
        <v>10</v>
      </c>
      <c r="C4" s="1409" t="s">
        <v>18</v>
      </c>
      <c r="D4" s="1409" t="s">
        <v>2034</v>
      </c>
      <c r="O4" s="1410" t="s">
        <v>7214</v>
      </c>
      <c r="P4" s="1411" t="s">
        <v>10</v>
      </c>
      <c r="Q4" s="1411" t="s">
        <v>18</v>
      </c>
      <c r="R4" s="1411" t="s">
        <v>2034</v>
      </c>
      <c r="W4" s="1412" t="s">
        <v>6869</v>
      </c>
      <c r="X4" s="1413" t="s">
        <v>12463</v>
      </c>
      <c r="Y4" s="1414" t="e">
        <f>COUNTIFS([1]SurveyDATA_1!#REF!,"*LEGAL*")</f>
        <v>#REF!</v>
      </c>
      <c r="Z4" s="1415" t="s">
        <v>2209</v>
      </c>
      <c r="AA4" s="1415" t="s">
        <v>7418</v>
      </c>
    </row>
    <row r="5" spans="1:27" ht="16.5" thickBot="1">
      <c r="A5" s="1416" t="s">
        <v>5848</v>
      </c>
      <c r="B5" s="1416" t="e">
        <f>SUMIFS(SurveyDATA!#REF!,SurveyDATA!$E:$E,"*MALOLOS*",SurveyDATA!#REF!,"*SAMPLING*")</f>
        <v>#REF!</v>
      </c>
      <c r="C5" s="1416" t="e">
        <f>SUMIFS(SurveyDATA!#REF!,SurveyDATA!$E:$E,"*MALOLOS*",SurveyDATA!#REF!,"*SAMPLING*")</f>
        <v>#REF!</v>
      </c>
      <c r="D5" s="1416" t="e">
        <f t="shared" ref="D5:D13" si="0">SUM(B5:C5)</f>
        <v>#REF!</v>
      </c>
      <c r="O5" s="1417" t="s">
        <v>5848</v>
      </c>
      <c r="P5" s="1418" t="e">
        <f>COUNTIFS([1]SurveyDATA_1!#REF!,"*",[1]SurveyDATA_1!E$1:E$65536,"*MALOLOS*",[1]SurveyDATA_1!S$1:S$65536,"MALE")</f>
        <v>#REF!</v>
      </c>
      <c r="Q5" s="1418" t="e">
        <f>COUNTIFS([1]SurveyDATA_1!#REF!,"*",[1]SurveyDATA_1!E$1:E$65536,"*MALOLOS*",[1]SurveyDATA_1!S$1:S$65536,"FEMALE")</f>
        <v>#REF!</v>
      </c>
      <c r="R5" s="1418" t="e">
        <f>SUM(P5:Q5)</f>
        <v>#REF!</v>
      </c>
      <c r="W5" s="1412" t="s">
        <v>6869</v>
      </c>
      <c r="X5" s="1419" t="s">
        <v>12464</v>
      </c>
      <c r="Y5" s="1414" t="e">
        <f>COUNTIFS([1]SurveyDATA_1!#REF!,"*ISF*")</f>
        <v>#REF!</v>
      </c>
      <c r="Z5" s="1415" t="e">
        <f>COUNTIFS([1]SurveyDATA_1!AS$1:AS$65536,"Y",[1]SurveyDATA_1!AQ$1:AQ$65536,"")</f>
        <v>#VALUE!</v>
      </c>
      <c r="AA5" s="1415" t="e">
        <f>COUNTIFS([1]SurveyDATA_1!AS$1:AS$65536,"Y",[1]SurveyDATA_1!AQ$1:AQ$65536,"*")</f>
        <v>#VALUE!</v>
      </c>
    </row>
    <row r="6" spans="1:27" ht="15.75" customHeight="1" thickBot="1">
      <c r="A6" s="1416" t="s">
        <v>5494</v>
      </c>
      <c r="B6" s="1416" t="e">
        <f>SUMIFS(SurveyDATA!#REF!,SurveyDATA!$E:$E,"*GUIGUINTO*",SurveyDATA!#REF!,"*SAMPLING*")</f>
        <v>#REF!</v>
      </c>
      <c r="C6" s="1416" t="e">
        <f>SUMIFS(SurveyDATA!#REF!,SurveyDATA!$E:$E,"*GUIGUINTO*",SurveyDATA!#REF!,"*SAMPLING*")</f>
        <v>#REF!</v>
      </c>
      <c r="D6" s="1416" t="e">
        <f t="shared" si="0"/>
        <v>#REF!</v>
      </c>
      <c r="O6" s="1417" t="s">
        <v>5494</v>
      </c>
      <c r="P6" s="1418" t="e">
        <f>COUNTIFS([1]SurveyDATA_1!#REF!,"*",[1]SurveyDATA_1!E$1:E$65536,"*GUIGUINTO*",[1]SurveyDATA_1!S$1:S$65536,"MALE")</f>
        <v>#REF!</v>
      </c>
      <c r="Q6" s="1418" t="e">
        <f>COUNTIFS([1]SurveyDATA_1!#REF!,"*",[1]SurveyDATA_1!E$1:E$65536,"*GUIGUINTO*",[1]SurveyDATA_1!S$1:S$65536,"FEMALE")</f>
        <v>#REF!</v>
      </c>
      <c r="R6" s="1418" t="e">
        <f t="shared" ref="R6:R13" si="1">SUM(P6:Q6)</f>
        <v>#REF!</v>
      </c>
    </row>
    <row r="7" spans="1:27" ht="16.5" thickBot="1">
      <c r="A7" s="1416" t="s">
        <v>5847</v>
      </c>
      <c r="B7" s="1416" t="e">
        <f>SUMIFS(SurveyDATA!#REF!,SurveyDATA!$E:$E,"*BALAGTAS*",SurveyDATA!#REF!,"*SAMPLING*")</f>
        <v>#REF!</v>
      </c>
      <c r="C7" s="1416" t="e">
        <f>SUMIFS(SurveyDATA!#REF!,SurveyDATA!$E:$E,"*BALAGTAS*",SurveyDATA!#REF!,"*SAMPLING*")</f>
        <v>#REF!</v>
      </c>
      <c r="D7" s="1416" t="e">
        <f t="shared" si="0"/>
        <v>#REF!</v>
      </c>
      <c r="O7" s="1417" t="s">
        <v>5847</v>
      </c>
      <c r="P7" s="1418" t="e">
        <f>COUNTIFS([1]SurveyDATA_1!#REF!,"*",[1]SurveyDATA_1!E$1:E$65536,"*BALAGTAS*",[1]SurveyDATA_1!S$1:S$65536,"MALE")</f>
        <v>#REF!</v>
      </c>
      <c r="Q7" s="1418" t="e">
        <f>COUNTIFS([1]SurveyDATA_1!#REF!,"*",[1]SurveyDATA_1!E$1:E$65536,"*BALAGTAS*",[1]SurveyDATA_1!S$1:S$65536,"FEMALE")</f>
        <v>#REF!</v>
      </c>
      <c r="R7" s="1418" t="e">
        <f t="shared" si="1"/>
        <v>#REF!</v>
      </c>
    </row>
    <row r="8" spans="1:27" ht="16.5" thickBot="1">
      <c r="A8" s="1416" t="s">
        <v>771</v>
      </c>
      <c r="B8" s="1416" t="e">
        <f>SUMIFS(SurveyDATA!#REF!,SurveyDATA!$E:$E,"*BOCAUE*",SurveyDATA!#REF!,"*SAMPLING*")</f>
        <v>#REF!</v>
      </c>
      <c r="C8" s="1416" t="e">
        <f>SUMIFS(SurveyDATA!#REF!,SurveyDATA!$E:$E,"*BOCAUE*",SurveyDATA!#REF!,"*SAMPLING*")</f>
        <v>#REF!</v>
      </c>
      <c r="D8" s="1416" t="e">
        <f t="shared" si="0"/>
        <v>#REF!</v>
      </c>
      <c r="O8" s="1417" t="s">
        <v>771</v>
      </c>
      <c r="P8" s="1418" t="e">
        <f>COUNTIFS([1]SurveyDATA_1!#REF!,"*",[1]SurveyDATA_1!E$1:E$65536,"*BOCAUE*",[1]SurveyDATA_1!S$1:S$65536,"MALE")</f>
        <v>#REF!</v>
      </c>
      <c r="Q8" s="1418" t="e">
        <f>COUNTIFS([1]SurveyDATA_1!#REF!,"*",[1]SurveyDATA_1!E$1:E$65536,"*BOCAUE*",[1]SurveyDATA_1!S$1:S$65536,"FEMALE")</f>
        <v>#REF!</v>
      </c>
      <c r="R8" s="1418" t="e">
        <f t="shared" si="1"/>
        <v>#REF!</v>
      </c>
      <c r="X8" s="1405" t="s">
        <v>12465</v>
      </c>
    </row>
    <row r="9" spans="1:27" ht="16.5" thickBot="1">
      <c r="A9" s="1416" t="s">
        <v>5495</v>
      </c>
      <c r="B9" s="1416" t="e">
        <f>SUMIFS(SurveyDATA!#REF!,SurveyDATA!$E:$E,"*MARILAO*",SurveyDATA!#REF!,"*SAMPLING*")</f>
        <v>#REF!</v>
      </c>
      <c r="C9" s="1416" t="e">
        <f>SUMIFS(SurveyDATA!#REF!,SurveyDATA!$E:$E,"*MARILAO*",SurveyDATA!#REF!,"*SAMPLING*")</f>
        <v>#REF!</v>
      </c>
      <c r="D9" s="1416" t="e">
        <f t="shared" si="0"/>
        <v>#REF!</v>
      </c>
      <c r="O9" s="1417" t="s">
        <v>5495</v>
      </c>
      <c r="P9" s="1418" t="e">
        <f>COUNTIFS([1]SurveyDATA_1!#REF!,"*",[1]SurveyDATA_1!E$1:E$65536,"*MARILAO*",[1]SurveyDATA_1!S$1:S$65536,"MALE")</f>
        <v>#REF!</v>
      </c>
      <c r="Q9" s="1418" t="e">
        <f>COUNTIFS([1]SurveyDATA_1!#REF!,"*",[1]SurveyDATA_1!E$1:E$65536,"*MARILAO*",[1]SurveyDATA_1!S$1:S$65536,"FEMALE")</f>
        <v>#REF!</v>
      </c>
      <c r="R9" s="1418" t="e">
        <f t="shared" si="1"/>
        <v>#REF!</v>
      </c>
      <c r="X9" s="1405" t="s">
        <v>12466</v>
      </c>
      <c r="Y9" s="1414" t="e">
        <f>SUMIFS([1]SurveyDATA_1!#REF!,[1]SurveyDATA_1!A$1:A$65536,"*")</f>
        <v>#REF!</v>
      </c>
      <c r="Z9" s="1403" t="s">
        <v>12467</v>
      </c>
    </row>
    <row r="10" spans="1:27" ht="16.5" thickBot="1">
      <c r="A10" s="1416" t="s">
        <v>5496</v>
      </c>
      <c r="B10" s="1416" t="e">
        <f>SUMIFS(SurveyDATA!#REF!,SurveyDATA!$E:$E,"*MEYCAUAYAN*",SurveyDATA!#REF!,"*SAMPLING*")</f>
        <v>#REF!</v>
      </c>
      <c r="C10" s="1416" t="e">
        <f>SUMIFS(SurveyDATA!#REF!,SurveyDATA!$E:$E,"*MEYCAUAYAN*",SurveyDATA!#REF!,"*SAMPLING*")</f>
        <v>#REF!</v>
      </c>
      <c r="D10" s="1416" t="e">
        <f t="shared" si="0"/>
        <v>#REF!</v>
      </c>
      <c r="O10" s="1417" t="s">
        <v>5496</v>
      </c>
      <c r="P10" s="1418" t="e">
        <f>COUNTIFS([1]SurveyDATA_1!#REF!,"*",[1]SurveyDATA_1!E$1:E$65536,"*MEYCAUAYAN*",[1]SurveyDATA_1!S$1:S$65536,"MALE")</f>
        <v>#REF!</v>
      </c>
      <c r="Q10" s="1418" t="e">
        <f>COUNTIFS([1]SurveyDATA_1!#REF!,"*",[1]SurveyDATA_1!E$1:E$65536,"*MEYCAUAYAN*",[1]SurveyDATA_1!S$1:S$65536,"FEMALE")</f>
        <v>#REF!</v>
      </c>
      <c r="R10" s="1418" t="e">
        <f t="shared" si="1"/>
        <v>#REF!</v>
      </c>
    </row>
    <row r="11" spans="1:27" ht="16.5" thickBot="1">
      <c r="A11" s="1416" t="s">
        <v>778</v>
      </c>
      <c r="B11" s="1416" t="e">
        <f>SUMIFS(SurveyDATA!#REF!,SurveyDATA!$E:$E,"*VALENZUELA*",SurveyDATA!#REF!,"*SAMPLING*")</f>
        <v>#REF!</v>
      </c>
      <c r="C11" s="1416" t="e">
        <f>SUMIFS(SurveyDATA!#REF!,SurveyDATA!$E:$E,"*VALENZUELA*",SurveyDATA!#REF!,"*SAMPLING*")</f>
        <v>#REF!</v>
      </c>
      <c r="D11" s="1416" t="e">
        <f t="shared" si="0"/>
        <v>#REF!</v>
      </c>
      <c r="O11" s="1417" t="s">
        <v>778</v>
      </c>
      <c r="P11" s="1418" t="e">
        <f>COUNTIFS([1]SurveyDATA_1!#REF!,"*",[1]SurveyDATA_1!E$1:E$65536,"*VALENZUELA*",[1]SurveyDATA_1!S$1:S$65536,"MALE")</f>
        <v>#REF!</v>
      </c>
      <c r="Q11" s="1418" t="e">
        <f>COUNTIFS([1]SurveyDATA_1!#REF!,"*",[1]SurveyDATA_1!E$1:E$65536,"*VALENZUELA*",[1]SurveyDATA_1!S$1:S$65536,"FEMALE")</f>
        <v>#REF!</v>
      </c>
      <c r="R11" s="1418" t="e">
        <f t="shared" si="1"/>
        <v>#REF!</v>
      </c>
    </row>
    <row r="12" spans="1:27" ht="16.5" thickBot="1">
      <c r="A12" s="1416" t="s">
        <v>5493</v>
      </c>
      <c r="B12" s="1416" t="e">
        <f>SUMIFS(SurveyDATA!#REF!,SurveyDATA!$E:$E,"*CALOOCAN*",SurveyDATA!#REF!,"*SAMPLING*")</f>
        <v>#REF!</v>
      </c>
      <c r="C12" s="1416" t="e">
        <f>SUMIFS(SurveyDATA!#REF!,SurveyDATA!$E:$E,"*CALOOCAN*",SurveyDATA!#REF!,"*SAMPLING*")</f>
        <v>#REF!</v>
      </c>
      <c r="D12" s="1416" t="e">
        <f t="shared" si="0"/>
        <v>#REF!</v>
      </c>
      <c r="O12" s="1417" t="s">
        <v>5493</v>
      </c>
      <c r="P12" s="1418" t="e">
        <f>COUNTIFS([1]SurveyDATA_1!#REF!,"*",[1]SurveyDATA_1!E$1:E$65536,"*CALOOCAN*",[1]SurveyDATA_1!S$1:S$65536,"MALE")</f>
        <v>#REF!</v>
      </c>
      <c r="Q12" s="1418" t="e">
        <f>COUNTIFS([1]SurveyDATA_1!#REF!,"*",[1]SurveyDATA_1!E$1:E$65536,"*CALOOCAN*",[1]SurveyDATA_1!S$1:S$65536,"FEMALE")</f>
        <v>#REF!</v>
      </c>
      <c r="R12" s="1418" t="e">
        <f t="shared" si="1"/>
        <v>#REF!</v>
      </c>
    </row>
    <row r="13" spans="1:27" ht="16.5" thickBot="1">
      <c r="A13" s="1416" t="s">
        <v>1020</v>
      </c>
      <c r="B13" s="1416" t="e">
        <f>SUMIFS(SurveyDATA!#REF!,SurveyDATA!$E:$E,"*MANILA*",SurveyDATA!#REF!,"*SAMPLING*")</f>
        <v>#REF!</v>
      </c>
      <c r="C13" s="1416" t="e">
        <f>SUMIFS(SurveyDATA!#REF!,SurveyDATA!$E:$E,"*MANILA*",SurveyDATA!#REF!,"*SAMPLING*")</f>
        <v>#REF!</v>
      </c>
      <c r="D13" s="1416" t="e">
        <f t="shared" si="0"/>
        <v>#REF!</v>
      </c>
      <c r="O13" s="1417" t="s">
        <v>1020</v>
      </c>
      <c r="P13" s="1418" t="e">
        <f>COUNTIFS([1]SurveyDATA_1!A$1:A$65536,"*",[1]SurveyDATA_1!E$1:E$65536,"*MANILA*",[1]SurveyDATA_1!S$1:S$65536,"MALE")</f>
        <v>#VALUE!</v>
      </c>
      <c r="Q13" s="1418" t="e">
        <f>COUNTIFS([1]SurveyDATA_1!A$1:A$65536,"*",[1]SurveyDATA_1!E$1:E$65536,"*MANILA*",[1]SurveyDATA_1!S$1:S$65536,"FEMALE")</f>
        <v>#VALUE!</v>
      </c>
      <c r="R13" s="1418" t="e">
        <f t="shared" si="1"/>
        <v>#VALUE!</v>
      </c>
    </row>
    <row r="14" spans="1:27" ht="16.5" thickBot="1">
      <c r="A14" s="1420" t="s">
        <v>2034</v>
      </c>
      <c r="B14" s="1421" t="e">
        <f>SUM(B5:B13)</f>
        <v>#REF!</v>
      </c>
      <c r="C14" s="1421" t="e">
        <f>SUM(C5:C13)</f>
        <v>#REF!</v>
      </c>
      <c r="D14" s="1421" t="e">
        <f>SUM(D5:D13)</f>
        <v>#REF!</v>
      </c>
      <c r="O14" s="1422" t="s">
        <v>2034</v>
      </c>
      <c r="P14" s="1423" t="e">
        <f>SUM(P5:P13)</f>
        <v>#REF!</v>
      </c>
      <c r="Q14" s="1423" t="e">
        <f>SUM(Q5:Q13)</f>
        <v>#REF!</v>
      </c>
      <c r="R14" s="1423" t="e">
        <f>SUM(R5:R13)</f>
        <v>#REF!</v>
      </c>
    </row>
    <row r="15" spans="1:27" ht="16.5" thickBot="1">
      <c r="A15" s="1420" t="s">
        <v>7243</v>
      </c>
      <c r="B15" s="1424" t="e">
        <f>B14/D14</f>
        <v>#REF!</v>
      </c>
      <c r="C15" s="1424" t="e">
        <f>C14/D14</f>
        <v>#REF!</v>
      </c>
      <c r="D15" s="1424" t="e">
        <f>SUM(B15:C15)</f>
        <v>#REF!</v>
      </c>
      <c r="O15" s="1425" t="s">
        <v>7243</v>
      </c>
      <c r="P15" s="1426" t="e">
        <f>P14/R14</f>
        <v>#REF!</v>
      </c>
      <c r="Q15" s="1426" t="e">
        <f>Q14/R14</f>
        <v>#REF!</v>
      </c>
      <c r="R15" s="1426">
        <v>1</v>
      </c>
    </row>
    <row r="18" spans="1:21" ht="16.5" thickBot="1">
      <c r="A18" s="1406" t="s">
        <v>7253</v>
      </c>
      <c r="O18" s="1406" t="s">
        <v>12468</v>
      </c>
    </row>
    <row r="19" spans="1:21" ht="15" customHeight="1">
      <c r="A19" s="1427" t="s">
        <v>7214</v>
      </c>
      <c r="B19" s="1428"/>
      <c r="C19" s="1429"/>
      <c r="D19" s="1430" t="s">
        <v>7254</v>
      </c>
      <c r="E19" s="1429"/>
      <c r="F19" s="1431"/>
      <c r="G19" s="1432" t="s">
        <v>4348</v>
      </c>
      <c r="H19" s="1433"/>
      <c r="I19" s="1433"/>
      <c r="O19" s="1434" t="s">
        <v>7338</v>
      </c>
      <c r="P19" s="1435" t="s">
        <v>12722</v>
      </c>
      <c r="Q19" s="1436" t="s">
        <v>12723</v>
      </c>
      <c r="R19" s="1437" t="s">
        <v>12724</v>
      </c>
      <c r="S19" s="1438" t="s">
        <v>12725</v>
      </c>
      <c r="T19" s="1437" t="s">
        <v>2034</v>
      </c>
    </row>
    <row r="20" spans="1:21" ht="15" customHeight="1">
      <c r="A20" s="1439"/>
      <c r="B20" s="1440" t="s">
        <v>12469</v>
      </c>
      <c r="C20" s="1441" t="s">
        <v>11900</v>
      </c>
      <c r="D20" s="1441" t="s">
        <v>11901</v>
      </c>
      <c r="E20" s="1440" t="s">
        <v>11902</v>
      </c>
      <c r="F20" s="1440" t="s">
        <v>3650</v>
      </c>
      <c r="G20" s="1439"/>
      <c r="H20" s="1433"/>
      <c r="I20" s="1433"/>
      <c r="J20" s="1433"/>
      <c r="M20" s="1403"/>
      <c r="N20" s="1404"/>
      <c r="P20" s="1442"/>
      <c r="Q20" s="1443"/>
      <c r="R20" s="1444"/>
      <c r="S20" s="1445"/>
      <c r="T20" s="1446"/>
      <c r="U20" s="1445"/>
    </row>
    <row r="21" spans="1:21">
      <c r="A21" s="1447" t="s">
        <v>5848</v>
      </c>
      <c r="B21" s="1448" t="e">
        <f>COUNTIFS(SurveyDATA!E:E,"*MALOLOS*",SurveyDATA!#REF!,"*SAMPLING*",SurveyDATA!#REF!,"&lt;4")</f>
        <v>#REF!</v>
      </c>
      <c r="C21" s="1448" t="e">
        <f>COUNTIFS(SurveyDATA!E:E,"*MALOLOS*",SurveyDATA!#REF!,"*SAMPLING*",SurveyDATA!#REF!,"&lt;7",SurveyDATA!#REF!,"&gt;3")</f>
        <v>#REF!</v>
      </c>
      <c r="D21" s="1448" t="e">
        <f>COUNTIFS(SurveyDATA!E:E,"*MALOLOS*",SurveyDATA!#REF!,"*SAMPLING*",SurveyDATA!#REF!,"&lt;10",SurveyDATA!#REF!,"&gt;6")</f>
        <v>#REF!</v>
      </c>
      <c r="E21" s="1448" t="e">
        <f>COUNTIFS(SurveyDATA!E:E,"*MALOLOS*",SurveyDATA!#REF!,"*SAMPLING*",SurveyDATA!#REF!,"&gt;9")</f>
        <v>#REF!</v>
      </c>
      <c r="F21" s="1448" t="e">
        <f>COUNTIFS(SurveyDATA!E:E,"*MALOLOS*",SurveyDATA!#REF!,"*SAMPLING*",SurveyDATA!#REF!,"")</f>
        <v>#REF!</v>
      </c>
      <c r="G21" s="1448" t="e">
        <f t="shared" ref="G21:G29" si="2">SUM(B21:F21)</f>
        <v>#REF!</v>
      </c>
      <c r="H21" s="1433"/>
      <c r="I21" s="1433"/>
      <c r="J21" s="1433"/>
      <c r="M21" s="1403"/>
      <c r="N21" s="1404"/>
      <c r="P21" s="1449"/>
      <c r="Q21" s="1450"/>
      <c r="R21" s="1451"/>
      <c r="S21" s="1452"/>
      <c r="T21" s="1453"/>
      <c r="U21" s="1452"/>
    </row>
    <row r="22" spans="1:21" ht="15.75" customHeight="1">
      <c r="A22" s="1447" t="s">
        <v>5494</v>
      </c>
      <c r="B22" s="1448" t="e">
        <f>COUNTIFS(SurveyDATA!E:E,"*GUIGUINTO*",SurveyDATA!#REF!,"*SAMPLING*",SurveyDATA!#REF!,"&lt;4")</f>
        <v>#REF!</v>
      </c>
      <c r="C22" s="1448" t="e">
        <f>COUNTIFS(SurveyDATA!E:E,"*GUIGUINTO*",SurveyDATA!#REF!,"*SAMPLING*",SurveyDATA!#REF!,"&lt;7",SurveyDATA!#REF!,"&gt;3")</f>
        <v>#REF!</v>
      </c>
      <c r="D22" s="1448" t="e">
        <f>COUNTIFS(SurveyDATA!E:E,"*GUIGUINTO*",SurveyDATA!#REF!,"*SAMPLING*",SurveyDATA!#REF!,"&lt;10",SurveyDATA!#REF!,"&gt;6")</f>
        <v>#REF!</v>
      </c>
      <c r="E22" s="1448" t="e">
        <f>COUNTIFS(SurveyDATA!E:E,"*GUIGUINTO*",SurveyDATA!#REF!,"*SAMPLING*",SurveyDATA!#REF!,"&gt;9")</f>
        <v>#REF!</v>
      </c>
      <c r="F22" s="1448" t="e">
        <f>COUNTIFS(SurveyDATA!E:E,"*GUIGUINTO*",SurveyDATA!#REF!,"*SAMPLING*",SurveyDATA!#REF!,"")</f>
        <v>#REF!</v>
      </c>
      <c r="G22" s="1448" t="e">
        <f t="shared" si="2"/>
        <v>#REF!</v>
      </c>
      <c r="H22" s="1454"/>
      <c r="I22" s="1454"/>
      <c r="J22" s="1455"/>
      <c r="M22" s="1403"/>
      <c r="N22" s="1404"/>
      <c r="P22" s="1456" t="s">
        <v>5848</v>
      </c>
      <c r="Q22" s="1457" t="e">
        <f>COUNTIFS([1]SurveyDATA_1!E$1:E$65536,"*MALOLOS*",[1]SurveyDATA_1!IB$1:IB$65536,"Y",[1]SurveyDATA_1!#REF!,"&gt;0")</f>
        <v>#REF!</v>
      </c>
      <c r="R22" s="1458" t="e">
        <f>COUNTIFS([1]SurveyDATA_1!E$1:E$65536,"*MALOLOS*",[1]SurveyDATA_1!IC$1:IC$65536,"Y",[1]SurveyDATA_1!#REF!,"&gt;0")</f>
        <v>#REF!</v>
      </c>
      <c r="S22" s="1459" t="e">
        <f>COUNTIFS([1]SurveyDATA_1!E$1:E$65536,"*MALOLOS*",[1]SurveyDATA_1!ID$1:ID$65536,"&gt;0",[1]SurveyDATA_1!#REF!,"&gt;0")</f>
        <v>#REF!</v>
      </c>
      <c r="T22" s="1459" t="e">
        <f>COUNTIFS([1]SurveyDATA_1!E$1:E$65536,"*MALOLOS*",[1]SurveyDATA_1!IE$1:IE$65536,"Y",[1]SurveyDATA_1!#REF!,"&gt;0")</f>
        <v>#REF!</v>
      </c>
      <c r="U22" s="1460" t="e">
        <f>SUM(Q22:S22,T22)</f>
        <v>#REF!</v>
      </c>
    </row>
    <row r="23" spans="1:21">
      <c r="A23" s="1447" t="s">
        <v>5847</v>
      </c>
      <c r="B23" s="1448" t="e">
        <f>COUNTIFS(SurveyDATA!E:E,"*BALAGTAS*",SurveyDATA!#REF!,"*SAMPLING*",SurveyDATA!#REF!,"&lt;4")</f>
        <v>#REF!</v>
      </c>
      <c r="C23" s="1448" t="e">
        <f>COUNTIFS(SurveyDATA!E:E,"*BALAGTAS*",SurveyDATA!#REF!,"*SAMPLING*",SurveyDATA!#REF!,"&lt;7",SurveyDATA!#REF!,"&gt;3")</f>
        <v>#REF!</v>
      </c>
      <c r="D23" s="1448" t="e">
        <f>COUNTIFS(SurveyDATA!E:E,"*BALAGTAS*",SurveyDATA!#REF!,"*SAMPLING*",SurveyDATA!#REF!,"&lt;10",SurveyDATA!#REF!,"&gt;6")</f>
        <v>#REF!</v>
      </c>
      <c r="E23" s="1448" t="e">
        <f>COUNTIFS(SurveyDATA!E:E,"*BALAGTAS*",SurveyDATA!#REF!,"*SAMPLING*",SurveyDATA!#REF!,"&gt;9")</f>
        <v>#REF!</v>
      </c>
      <c r="F23" s="1448" t="e">
        <f>COUNTIFS(SurveyDATA!E:E,"*BALAGTAS*",SurveyDATA!#REF!,"*SAMPLING*",SurveyDATA!#REF!,"")</f>
        <v>#REF!</v>
      </c>
      <c r="G23" s="1448" t="e">
        <f t="shared" si="2"/>
        <v>#REF!</v>
      </c>
      <c r="H23" s="1454"/>
      <c r="I23" s="1454"/>
      <c r="J23" s="1455"/>
      <c r="M23" s="1403"/>
      <c r="N23" s="1404"/>
      <c r="P23" s="1456" t="s">
        <v>5494</v>
      </c>
      <c r="Q23" s="1457" t="e">
        <f>COUNTIFS([1]SurveyDATA_1!E$1:E$65536,"*GUIGUINTO*",[1]SurveyDATA_1!IB$1:IB$65536,"Y",[1]SurveyDATA_1!#REF!,"&gt;0")</f>
        <v>#REF!</v>
      </c>
      <c r="R23" s="1458" t="e">
        <f>COUNTIFS([1]SurveyDATA_1!E$1:E$65536,"*GUIGUINTO*",[1]SurveyDATA_1!IC$1:IC$65536,"Y",[1]SurveyDATA_1!#REF!,"&gt;0")</f>
        <v>#REF!</v>
      </c>
      <c r="S23" s="1459" t="e">
        <f>COUNTIFS([1]SurveyDATA_1!E$1:E$65536,"*GUIGUINTO*",[1]SurveyDATA_1!ID$1:ID$65536,"Y",[1]SurveyDATA_1!#REF!,"&gt;0")</f>
        <v>#REF!</v>
      </c>
      <c r="T23" s="1459" t="e">
        <f>COUNTIFS([1]SurveyDATA_1!E$1:E$65536,"*GUIGUINTO*",[1]SurveyDATA_1!IE$1:IE$65536,"Y",[1]SurveyDATA_1!#REF!,"&gt;0")</f>
        <v>#REF!</v>
      </c>
      <c r="U23" s="1460" t="e">
        <f t="shared" ref="U23:U30" si="3">SUM(Q23:S23,T23,)</f>
        <v>#REF!</v>
      </c>
    </row>
    <row r="24" spans="1:21">
      <c r="A24" s="1447" t="s">
        <v>771</v>
      </c>
      <c r="B24" s="1448" t="e">
        <f>COUNTIFS(SurveyDATA!E:E,"*BOCAUE*",SurveyDATA!#REF!,"*SAMPLING*",SurveyDATA!#REF!,"&lt;4")</f>
        <v>#REF!</v>
      </c>
      <c r="C24" s="1448" t="e">
        <f>COUNTIFS(SurveyDATA!E:E,"*BOCAUE*",SurveyDATA!#REF!,"*SAMPLING*",SurveyDATA!#REF!,"&lt;7",SurveyDATA!#REF!,"&gt;3")</f>
        <v>#REF!</v>
      </c>
      <c r="D24" s="1448" t="e">
        <f>COUNTIFS(SurveyDATA!E:E,"*BOCAUE*",SurveyDATA!#REF!,"*SAMPLING*",SurveyDATA!#REF!,"&lt;10",SurveyDATA!#REF!,"&gt;6")</f>
        <v>#REF!</v>
      </c>
      <c r="E24" s="1448" t="e">
        <f>COUNTIFS(SurveyDATA!E:E,"*BOCAUE*",SurveyDATA!#REF!,"*SAMPLING*",SurveyDATA!#REF!,"&gt;9")</f>
        <v>#REF!</v>
      </c>
      <c r="F24" s="1448" t="e">
        <f>COUNTIFS(SurveyDATA!E:E,"*BOCAUE*",SurveyDATA!#REF!,"*SAMPLING*",SurveyDATA!#REF!,"")</f>
        <v>#REF!</v>
      </c>
      <c r="G24" s="1448" t="e">
        <f t="shared" si="2"/>
        <v>#REF!</v>
      </c>
      <c r="H24" s="1454"/>
      <c r="I24" s="1454"/>
      <c r="J24" s="1455"/>
      <c r="M24" s="1403"/>
      <c r="N24" s="1404"/>
      <c r="P24" s="1456" t="s">
        <v>5847</v>
      </c>
      <c r="Q24" s="1457" t="e">
        <f>COUNTIFS([1]SurveyDATA_1!E$1:E$65536,"*BALAGTAS*",[1]SurveyDATA_1!IB$1:IB$65536,"Y",[1]SurveyDATA_1!#REF!,"&gt;0")</f>
        <v>#REF!</v>
      </c>
      <c r="R24" s="1458" t="e">
        <f>COUNTIFS([1]SurveyDATA_1!E$1:E$65536,"*BALAGTAS*",[1]SurveyDATA_1!IC$1:IC$65536,"Y",[1]SurveyDATA_1!#REF!,"&gt;0")</f>
        <v>#REF!</v>
      </c>
      <c r="S24" s="1459" t="e">
        <f>COUNTIFS([1]SurveyDATA_1!E$1:E$65536,"*BALAGTAS*",[1]SurveyDATA_1!ID$1:ID$65536,"Y",[1]SurveyDATA_1!#REF!,"&gt;0")</f>
        <v>#REF!</v>
      </c>
      <c r="T24" s="1459" t="e">
        <f>COUNTIFS([1]SurveyDATA_1!E$1:E$65536,"*BALAGTAS*",[1]SurveyDATA_1!IE$1:IE$65536,"Y",[1]SurveyDATA_1!#REF!,"&gt;0")</f>
        <v>#REF!</v>
      </c>
      <c r="U24" s="1460" t="e">
        <f t="shared" si="3"/>
        <v>#REF!</v>
      </c>
    </row>
    <row r="25" spans="1:21">
      <c r="A25" s="1447" t="s">
        <v>5495</v>
      </c>
      <c r="B25" s="1448" t="e">
        <f>COUNTIFS(SurveyDATA!E:E,"*MARILAO*",SurveyDATA!#REF!,"*SAMPLING*",SurveyDATA!#REF!,"&lt;4")</f>
        <v>#REF!</v>
      </c>
      <c r="C25" s="1448" t="e">
        <f>COUNTIFS(SurveyDATA!E:E,"*MARILAO*",SurveyDATA!#REF!,"*SAMPLING*",SurveyDATA!#REF!,"&lt;7",SurveyDATA!#REF!,"&gt;3")</f>
        <v>#REF!</v>
      </c>
      <c r="D25" s="1448" t="e">
        <f>COUNTIFS(SurveyDATA!E:E,"*MARILAO*",SurveyDATA!#REF!,"*SAMPLING*",SurveyDATA!#REF!,"&lt;10",SurveyDATA!#REF!,"&gt;6")</f>
        <v>#REF!</v>
      </c>
      <c r="E25" s="1448" t="e">
        <f>COUNTIFS(SurveyDATA!E:E,"*MARILAO*",SurveyDATA!#REF!,"*SAMPLING*",SurveyDATA!#REF!,"&gt;9")</f>
        <v>#REF!</v>
      </c>
      <c r="F25" s="1448" t="e">
        <f>COUNTIFS(SurveyDATA!E:E,"*MARILAO*",SurveyDATA!#REF!,"*SAMPLING*",SurveyDATA!#REF!,"")</f>
        <v>#REF!</v>
      </c>
      <c r="G25" s="1448" t="e">
        <f t="shared" si="2"/>
        <v>#REF!</v>
      </c>
      <c r="H25" s="1454"/>
      <c r="I25" s="1454"/>
      <c r="J25" s="1455"/>
      <c r="M25" s="1403"/>
      <c r="N25" s="1404"/>
      <c r="P25" s="1456" t="s">
        <v>771</v>
      </c>
      <c r="Q25" s="1457" t="e">
        <f>COUNTIFS([1]SurveyDATA_1!E$1:E$65536,"*BOCAUE*",[1]SurveyDATA_1!IB$1:IB$65536,"Y",[1]SurveyDATA_1!#REF!,"&gt;0")</f>
        <v>#REF!</v>
      </c>
      <c r="R25" s="1458" t="e">
        <f>COUNTIFS([1]SurveyDATA_1!E$1:E$65536,"*BOCAUE*",[1]SurveyDATA_1!IC$1:IC$65536,"Y",[1]SurveyDATA_1!#REF!,"&gt;0")</f>
        <v>#REF!</v>
      </c>
      <c r="S25" s="1459" t="e">
        <f>COUNTIFS([1]SurveyDATA_1!E$1:E$65536,"*BOCAUE*",[1]SurveyDATA_1!ID$1:ID$65536,"Y",[1]SurveyDATA_1!#REF!,"&gt;0")</f>
        <v>#REF!</v>
      </c>
      <c r="T25" s="1459" t="e">
        <f>COUNTIFS([1]SurveyDATA_1!E$1:E$65536,"*BOCAUE*",[1]SurveyDATA_1!IE$1:IE$65536,"Y",[1]SurveyDATA_1!#REF!,"&gt;0")</f>
        <v>#REF!</v>
      </c>
      <c r="U25" s="1460" t="e">
        <f t="shared" si="3"/>
        <v>#REF!</v>
      </c>
    </row>
    <row r="26" spans="1:21">
      <c r="A26" s="1447" t="s">
        <v>5496</v>
      </c>
      <c r="B26" s="1448" t="e">
        <f>COUNTIFS(SurveyDATA!E:E,"*MEYCAUAYAN*",SurveyDATA!#REF!,"*SAMPLING*",SurveyDATA!#REF!,"&lt;4")</f>
        <v>#REF!</v>
      </c>
      <c r="C26" s="1448" t="e">
        <f>COUNTIFS(SurveyDATA!E:E,"*MEYCAUAYAN*",SurveyDATA!#REF!,"*SAMPLING*",SurveyDATA!#REF!,"&lt;7",SurveyDATA!#REF!,"&gt;3")</f>
        <v>#REF!</v>
      </c>
      <c r="D26" s="1448" t="e">
        <f>COUNTIFS(SurveyDATA!E:E,"*MEYCAUAYAN*",SurveyDATA!#REF!,"*SAMPLING*",SurveyDATA!#REF!,"&lt;10",SurveyDATA!#REF!,"&gt;6")</f>
        <v>#REF!</v>
      </c>
      <c r="E26" s="1448" t="e">
        <f>COUNTIFS(SurveyDATA!E:E,"*MEYCAUAYAN*",SurveyDATA!#REF!,"*SAMPLING*",SurveyDATA!#REF!,"&gt;9")</f>
        <v>#REF!</v>
      </c>
      <c r="F26" s="1448" t="e">
        <f>COUNTIFS(SurveyDATA!E:E,"*MAMEYCAUAYANLOLOS*",SurveyDATA!#REF!,"*SAMPLING*",SurveyDATA!#REF!,"")</f>
        <v>#REF!</v>
      </c>
      <c r="G26" s="1448" t="e">
        <f t="shared" si="2"/>
        <v>#REF!</v>
      </c>
      <c r="H26" s="1454"/>
      <c r="I26" s="1454"/>
      <c r="J26" s="1455"/>
      <c r="M26" s="1403"/>
      <c r="N26" s="1404"/>
      <c r="P26" s="1456" t="s">
        <v>5495</v>
      </c>
      <c r="Q26" s="1457" t="e">
        <f>COUNTIFS([1]SurveyDATA_1!E$1:E$65536,"*MARILAO*",[1]SurveyDATA_1!IB$1:IB$65536,"Y",[1]SurveyDATA_1!#REF!,"&gt;0")</f>
        <v>#REF!</v>
      </c>
      <c r="R26" s="1458" t="e">
        <f>COUNTIFS([1]SurveyDATA_1!E$1:E$65536,"*MARILAO*",[1]SurveyDATA_1!IC$1:IC$65536,"Y",[1]SurveyDATA_1!#REF!,"&gt;0")</f>
        <v>#REF!</v>
      </c>
      <c r="S26" s="1459" t="e">
        <f>COUNTIFS([1]SurveyDATA_1!E$1:E$65536,"*MARILAO*",[1]SurveyDATA_1!ID$1:ID$65536,"Y",[1]SurveyDATA_1!#REF!,"&gt;0")</f>
        <v>#REF!</v>
      </c>
      <c r="T26" s="1459" t="e">
        <f>COUNTIFS([1]SurveyDATA_1!E$1:E$65536,"*MARILAO*",[1]SurveyDATA_1!IE$1:IE$65536,"Y",[1]SurveyDATA_1!#REF!,"&gt;0")</f>
        <v>#REF!</v>
      </c>
      <c r="U26" s="1460" t="e">
        <f t="shared" si="3"/>
        <v>#REF!</v>
      </c>
    </row>
    <row r="27" spans="1:21">
      <c r="A27" s="1447" t="s">
        <v>778</v>
      </c>
      <c r="B27" s="1448" t="e">
        <f>COUNTIFS(SurveyDATA!E:E,"*VALENZUELA*",SurveyDATA!#REF!,"*SAMPLING*",SurveyDATA!#REF!,"&lt;4")</f>
        <v>#REF!</v>
      </c>
      <c r="C27" s="1448" t="e">
        <f>COUNTIFS(SurveyDATA!E:E,"*VALENZUELA*",SurveyDATA!#REF!,"*SAMPLING*",SurveyDATA!#REF!,"&lt;7",SurveyDATA!#REF!,"&gt;3")</f>
        <v>#REF!</v>
      </c>
      <c r="D27" s="1448" t="e">
        <f>COUNTIFS(SurveyDATA!E:E,"*VALENZUELA*",SurveyDATA!#REF!,"*SAMPLING*",SurveyDATA!#REF!,"&lt;10",SurveyDATA!#REF!,"&gt;6")</f>
        <v>#REF!</v>
      </c>
      <c r="E27" s="1448" t="e">
        <f>COUNTIFS(SurveyDATA!E:E,"*VALENZUELA*",SurveyDATA!#REF!,"*SAMPLING*",SurveyDATA!#REF!,"&gt;9")</f>
        <v>#REF!</v>
      </c>
      <c r="F27" s="1448" t="e">
        <f>COUNTIFS(SurveyDATA!E:E,"*VALENZUELA*",SurveyDATA!#REF!,"*SAMPLING*",SurveyDATA!#REF!,"")</f>
        <v>#REF!</v>
      </c>
      <c r="G27" s="1448" t="e">
        <f t="shared" si="2"/>
        <v>#REF!</v>
      </c>
      <c r="H27" s="1461"/>
      <c r="I27" s="1461"/>
      <c r="J27" s="1462"/>
      <c r="M27" s="1403"/>
      <c r="N27" s="1404"/>
      <c r="P27" s="1456" t="s">
        <v>7343</v>
      </c>
      <c r="Q27" s="1457" t="e">
        <f>COUNTIFS([1]SurveyDATA_1!E$1:E$65536,"*MEYCAUAYAN*",[1]SurveyDATA_1!IB$1:IB$65536,"Y",[1]SurveyDATA_1!#REF!,"&gt;0")</f>
        <v>#REF!</v>
      </c>
      <c r="R27" s="1458" t="e">
        <f>COUNTIFS([1]SurveyDATA_1!E$1:E$65536,"*MEYCAUAYAN*",[1]SurveyDATA_1!IC$1:IC$65536,"Y",[1]SurveyDATA_1!#REF!,"&gt;0")</f>
        <v>#REF!</v>
      </c>
      <c r="S27" s="1459" t="e">
        <f>COUNTIFS([1]SurveyDATA_1!E$1:E$65536,"*MEYCAUAYAN*",[1]SurveyDATA_1!ID$1:ID$65536,"Y",[1]SurveyDATA_1!#REF!,"&gt;0")</f>
        <v>#REF!</v>
      </c>
      <c r="T27" s="1459" t="e">
        <f>COUNTIFS([1]SurveyDATA_1!E$1:E$65536,"*MEYCAUAYAN*",[1]SurveyDATA_1!IE$1:IE$65536,"Y",[1]SurveyDATA_1!#REF!,"&gt;0")</f>
        <v>#REF!</v>
      </c>
      <c r="U27" s="1460" t="e">
        <f t="shared" si="3"/>
        <v>#REF!</v>
      </c>
    </row>
    <row r="28" spans="1:21">
      <c r="A28" s="1447" t="s">
        <v>5493</v>
      </c>
      <c r="B28" s="1448" t="e">
        <f>COUNTIFS(SurveyDATA!E:E,"*CALOOCAN*",SurveyDATA!#REF!,"*SAMPLING*",SurveyDATA!#REF!,"&lt;4")</f>
        <v>#REF!</v>
      </c>
      <c r="C28" s="1448" t="e">
        <f>COUNTIFS(SurveyDATA!E:E,"*CALOOCAN*",SurveyDATA!#REF!,"*SAMPLING*",SurveyDATA!#REF!,"&lt;7",SurveyDATA!#REF!,"&gt;3")</f>
        <v>#REF!</v>
      </c>
      <c r="D28" s="1448" t="e">
        <f>COUNTIFS(SurveyDATA!E:E,"*CALOOCAN*",SurveyDATA!#REF!,"*SAMPLING*",SurveyDATA!#REF!,"&lt;10",SurveyDATA!#REF!,"&gt;6")</f>
        <v>#REF!</v>
      </c>
      <c r="E28" s="1448" t="e">
        <f>COUNTIFS(SurveyDATA!E:E,"*CALOOCAN*",SurveyDATA!#REF!,"*SAMPLING*",SurveyDATA!#REF!,"&gt;9")</f>
        <v>#REF!</v>
      </c>
      <c r="F28" s="1448" t="e">
        <f>COUNTIFS(SurveyDATA!E:E,"*CALOOCAN*",SurveyDATA!#REF!,"*SAMPLING*",SurveyDATA!#REF!,"")</f>
        <v>#REF!</v>
      </c>
      <c r="G28" s="1448" t="e">
        <f t="shared" si="2"/>
        <v>#REF!</v>
      </c>
      <c r="H28" s="1454"/>
      <c r="I28" s="1454"/>
      <c r="J28" s="1455"/>
      <c r="M28" s="1403"/>
      <c r="N28" s="1404"/>
      <c r="P28" s="1456" t="s">
        <v>778</v>
      </c>
      <c r="Q28" s="1457" t="e">
        <f>COUNTIFS([1]SurveyDATA_1!E$1:E$65536,"*VALENZUELA*",[1]SurveyDATA_1!IB$1:IB$65536,"Y",[1]SurveyDATA_1!#REF!,"&gt;0")</f>
        <v>#REF!</v>
      </c>
      <c r="R28" s="1458" t="e">
        <f>COUNTIFS([1]SurveyDATA_1!E$1:E$65536,"*VALENZUELA*",[1]SurveyDATA_1!IC$1:IC$65536,"Y",[1]SurveyDATA_1!#REF!,"&gt;0")</f>
        <v>#REF!</v>
      </c>
      <c r="S28" s="1459" t="e">
        <f>COUNTIFS([1]SurveyDATA_1!E$1:E$65536,"*VALENZUELA*",[1]SurveyDATA_1!ID$1:ID$65536,"Y",[1]SurveyDATA_1!#REF!,"&gt;0")</f>
        <v>#REF!</v>
      </c>
      <c r="T28" s="1459" t="e">
        <f>COUNTIFS([1]SurveyDATA_1!E$1:E$65536,"*VALENZUELA*",[1]SurveyDATA_1!IE$1:IE$65536,"Y",[1]SurveyDATA_1!#REF!,"&gt;0")</f>
        <v>#REF!</v>
      </c>
      <c r="U28" s="1460" t="e">
        <f t="shared" si="3"/>
        <v>#REF!</v>
      </c>
    </row>
    <row r="29" spans="1:21">
      <c r="A29" s="1447" t="s">
        <v>1020</v>
      </c>
      <c r="B29" s="1448" t="e">
        <f>COUNTIFS(SurveyDATA!E:E,"*MANILA*",SurveyDATA!#REF!,"*SAMPLING*",SurveyDATA!#REF!,"&lt;4")</f>
        <v>#REF!</v>
      </c>
      <c r="C29" s="1448" t="e">
        <f>COUNTIFS(SurveyDATA!E:E,"*MANILA*",SurveyDATA!#REF!,"*SAMPLING*",SurveyDATA!#REF!,"&lt;7",SurveyDATA!#REF!,"&gt;3")</f>
        <v>#REF!</v>
      </c>
      <c r="D29" s="1448" t="e">
        <f>COUNTIFS(SurveyDATA!E:E,"*MANILA*",SurveyDATA!#REF!,"*SAMPLING*",SurveyDATA!#REF!,"&lt;10",SurveyDATA!#REF!,"&gt;6")</f>
        <v>#REF!</v>
      </c>
      <c r="E29" s="1448" t="e">
        <f>COUNTIFS(SurveyDATA!E:E,"*MANILA*",SurveyDATA!#REF!,"*SAMPLING*",SurveyDATA!#REF!,"&gt;9")</f>
        <v>#REF!</v>
      </c>
      <c r="F29" s="1448" t="e">
        <f>COUNTIFS(SurveyDATA!E:E,"*MANILA*",SurveyDATA!#REF!,"*SAMPLING*",SurveyDATA!#REF!,"")</f>
        <v>#REF!</v>
      </c>
      <c r="G29" s="1448" t="e">
        <f t="shared" si="2"/>
        <v>#REF!</v>
      </c>
      <c r="H29" s="1454"/>
      <c r="I29" s="1454"/>
      <c r="J29" s="1455"/>
      <c r="M29" s="1403"/>
      <c r="N29" s="1404"/>
      <c r="P29" s="1456" t="s">
        <v>5493</v>
      </c>
      <c r="Q29" s="1457" t="e">
        <f>COUNTIFS([1]SurveyDATA_1!E$1:E$65536,"*CALOOCAN*",[1]SurveyDATA_1!IB$1:IB$65536,"Y",[1]SurveyDATA_1!#REF!,"&gt;0")</f>
        <v>#REF!</v>
      </c>
      <c r="R29" s="1458" t="e">
        <f>COUNTIFS([1]SurveyDATA_1!E$1:E$65536,"*CALOOCAN*",[1]SurveyDATA_1!IC$1:IC$65536,"Y",[1]SurveyDATA_1!#REF!,"&gt;0")</f>
        <v>#REF!</v>
      </c>
      <c r="S29" s="1459" t="e">
        <f>COUNTIFS([1]SurveyDATA_1!E$1:E$65536,"*CALOOCAN*",[1]SurveyDATA_1!ID$1:ID$65536,"Y",[1]SurveyDATA_1!#REF!,"&gt;0")</f>
        <v>#REF!</v>
      </c>
      <c r="T29" s="1459" t="e">
        <f>COUNTIFS([1]SurveyDATA_1!E$1:E$65536,"*CALOOCAN*",[1]SurveyDATA_1!IE$1:IE$65536,"Y",[1]SurveyDATA_1!#REF!,"&gt;0")</f>
        <v>#REF!</v>
      </c>
      <c r="U29" s="1460" t="e">
        <f t="shared" si="3"/>
        <v>#REF!</v>
      </c>
    </row>
    <row r="30" spans="1:21">
      <c r="A30" s="1420" t="s">
        <v>2034</v>
      </c>
      <c r="B30" s="1463" t="e">
        <f t="shared" ref="B30:G30" si="4">SUM(B21:B29)</f>
        <v>#REF!</v>
      </c>
      <c r="C30" s="1463" t="e">
        <f t="shared" si="4"/>
        <v>#REF!</v>
      </c>
      <c r="D30" s="1463" t="e">
        <f t="shared" si="4"/>
        <v>#REF!</v>
      </c>
      <c r="E30" s="1463" t="e">
        <f t="shared" si="4"/>
        <v>#REF!</v>
      </c>
      <c r="F30" s="1463" t="e">
        <f t="shared" si="4"/>
        <v>#REF!</v>
      </c>
      <c r="G30" s="1463" t="e">
        <f t="shared" si="4"/>
        <v>#REF!</v>
      </c>
      <c r="H30" s="1454"/>
      <c r="I30" s="1454"/>
      <c r="J30" s="1455"/>
      <c r="M30" s="1403"/>
      <c r="N30" s="1404"/>
      <c r="P30" s="1456" t="s">
        <v>1020</v>
      </c>
      <c r="Q30" s="1457" t="e">
        <f>COUNTIFS([1]SurveyDATA_1!E$1:E$65536,"*MANILA*",[1]SurveyDATA_1!IB$1:IB$65536,"Y",[1]SurveyDATA_1!#REF!,"&gt;0")</f>
        <v>#REF!</v>
      </c>
      <c r="R30" s="1458" t="e">
        <f>COUNTIFS([1]SurveyDATA_1!E$1:E$65536,"*MANILA*",[1]SurveyDATA_1!IC$1:IC$65536,"Y",[1]SurveyDATA_1!#REF!,"&gt;0")</f>
        <v>#REF!</v>
      </c>
      <c r="S30" s="1459" t="e">
        <f>COUNTIFS([1]SurveyDATA_1!E$1:E$65536,"*MANILA*",[1]SurveyDATA_1!ID$1:ID$65536,"Y",[1]SurveyDATA_1!#REF!,"&gt;0")</f>
        <v>#REF!</v>
      </c>
      <c r="T30" s="1459" t="e">
        <f>COUNTIFS([1]SurveyDATA_1!E$1:E$65536,"*MANILA*",[1]SurveyDATA_1!IE$1:IE$65536,"Y",[1]SurveyDATA_1!#REF!,"&gt;0")</f>
        <v>#REF!</v>
      </c>
      <c r="U30" s="1460" t="e">
        <f t="shared" si="3"/>
        <v>#REF!</v>
      </c>
    </row>
    <row r="31" spans="1:21" ht="16.5" thickBot="1">
      <c r="A31" s="1420" t="s">
        <v>7243</v>
      </c>
      <c r="B31" s="1464" t="e">
        <f>B30/$G30</f>
        <v>#REF!</v>
      </c>
      <c r="C31" s="1464" t="e">
        <f>C30/$G30</f>
        <v>#REF!</v>
      </c>
      <c r="D31" s="1464" t="e">
        <f>D30/$G30</f>
        <v>#REF!</v>
      </c>
      <c r="E31" s="1464" t="e">
        <f>E30/$G30</f>
        <v>#REF!</v>
      </c>
      <c r="F31" s="1464" t="e">
        <f>F30/$G30</f>
        <v>#REF!</v>
      </c>
      <c r="G31" s="1465" t="e">
        <f>SUM(B31:F31)</f>
        <v>#REF!</v>
      </c>
      <c r="H31" s="1454"/>
      <c r="I31" s="1454"/>
      <c r="J31" s="1455"/>
      <c r="M31" s="1403"/>
      <c r="N31" s="1404"/>
      <c r="P31" s="1466" t="s">
        <v>4348</v>
      </c>
      <c r="Q31" s="1467" t="e">
        <f>SUM(Q22:Q30)</f>
        <v>#REF!</v>
      </c>
      <c r="R31" s="1468" t="e">
        <f>SUM(R22:R30)</f>
        <v>#REF!</v>
      </c>
      <c r="S31" s="1469" t="e">
        <f>SUM(S22:S30)</f>
        <v>#REF!</v>
      </c>
      <c r="T31" s="1469" t="e">
        <f>SUM(T22:T30)</f>
        <v>#REF!</v>
      </c>
      <c r="U31" s="1470" t="e">
        <f>SUM(U22:U30)</f>
        <v>#REF!</v>
      </c>
    </row>
    <row r="32" spans="1:21">
      <c r="A32" s="1471"/>
      <c r="B32" s="1471"/>
      <c r="C32" s="1404"/>
      <c r="G32" s="1454"/>
      <c r="H32" s="1454"/>
      <c r="I32" s="1455"/>
    </row>
    <row r="33" spans="1:23">
      <c r="A33" s="1471"/>
      <c r="B33" s="1471"/>
      <c r="C33" s="1404"/>
      <c r="I33" s="1454"/>
      <c r="J33" s="1455"/>
    </row>
    <row r="34" spans="1:23">
      <c r="A34" s="1406" t="s">
        <v>7261</v>
      </c>
      <c r="I34" s="1454"/>
      <c r="J34" s="1455"/>
      <c r="O34" s="1404"/>
      <c r="P34" s="1404"/>
      <c r="Q34" s="1404"/>
      <c r="R34" s="1404"/>
      <c r="S34" s="1404"/>
      <c r="T34" s="1404"/>
      <c r="U34" s="1404"/>
      <c r="V34" s="1404"/>
    </row>
    <row r="35" spans="1:23">
      <c r="A35" s="1409" t="s">
        <v>7214</v>
      </c>
      <c r="B35" s="1472" t="s">
        <v>7262</v>
      </c>
      <c r="C35" s="1472" t="s">
        <v>5500</v>
      </c>
      <c r="D35" s="1472" t="s">
        <v>5501</v>
      </c>
      <c r="E35" s="1472" t="s">
        <v>12470</v>
      </c>
      <c r="F35" s="1472" t="s">
        <v>12541</v>
      </c>
      <c r="G35" s="1472" t="s">
        <v>3650</v>
      </c>
      <c r="H35" s="1472" t="s">
        <v>2034</v>
      </c>
      <c r="J35" s="1473"/>
      <c r="K35" s="1462"/>
      <c r="M35" s="1403"/>
      <c r="N35" s="1404"/>
      <c r="P35" s="1404"/>
      <c r="Q35" s="1404"/>
      <c r="R35" s="1404"/>
      <c r="S35" s="1404"/>
      <c r="T35" s="1404"/>
      <c r="U35" s="1404"/>
      <c r="V35" s="1404"/>
      <c r="W35" s="1404"/>
    </row>
    <row r="36" spans="1:23">
      <c r="A36" s="1474" t="s">
        <v>5848</v>
      </c>
      <c r="B36" s="1474" t="e">
        <f>SUMIFS(SurveyDATA!#REF!,SurveyDATA!E:E,"*MALOLOS*",SurveyDATA!#REF!,"*SAMPLING*")+SUMIFS(SurveyDATA!#REF!,SurveyDATA!E:E,"*MALOLOS*",SurveyDATA!#REF!,"*SAMPLING*")</f>
        <v>#REF!</v>
      </c>
      <c r="C36" s="1474" t="e">
        <f>SUMIFS(SurveyDATA!#REF!,SurveyDATA!E:E,"*MALOLOS*",SurveyDATA!#REF!,"*SAMPLING*")+SUMIFS(SurveyDATA!#REF!,SurveyDATA!E:E,"*MALOLOS*",SurveyDATA!#REF!,"*SAMPLING*")</f>
        <v>#REF!</v>
      </c>
      <c r="D36" s="1474" t="e">
        <f>SUMIFS(SurveyDATA!#REF!,SurveyDATA!E:E,"*MALOLOS*",SurveyDATA!#REF!,"*SAMPLING*")+SUMIFS(SurveyDATA!#REF!,SurveyDATA!E:E,"*MALOLOS*",SurveyDATA!#REF!,"*SAMPLING*")</f>
        <v>#REF!</v>
      </c>
      <c r="E36" s="1474" t="e">
        <f>SUMIFS(SurveyDATA!#REF!,SurveyDATA!E:E,"*MALOLOS*",SurveyDATA!#REF!,"*SAMPLING*")+SUMIFS(SurveyDATA!#REF!,SurveyDATA!E:E,"*MALOLOS*",SurveyDATA!#REF!,"*SAMPLING*")</f>
        <v>#REF!</v>
      </c>
      <c r="F36" s="1474" t="e">
        <f>SUMIFS(SurveyDATA!#REF!,SurveyDATA!E:E,"*MALOLOS*",SurveyDATA!#REF!,"*SAMPLING*")+SUMIFS(SurveyDATA!#REF!,SurveyDATA!E:E,"*MALOLOS*",SurveyDATA!#REF!,"*SAMPLING*")</f>
        <v>#REF!</v>
      </c>
      <c r="G36" s="1474" t="e">
        <f>SUMIFS(SurveyDATA!#REF!,SurveyDATA!E:E,"*MALOLOS*",SurveyDATA!#REF!,"*SAMPLING*")+SUMIFS(SurveyDATA!#REF!,SurveyDATA!E:E,"*MALOLOS*",SurveyDATA!#REF!,"*SAMPLING*")</f>
        <v>#REF!</v>
      </c>
      <c r="H36" s="1474" t="e">
        <f t="shared" ref="H36:H44" si="5">SUM(B36:G36)</f>
        <v>#REF!</v>
      </c>
      <c r="J36" s="1473"/>
      <c r="K36" s="1462"/>
      <c r="L36" s="1403" t="s">
        <v>12470</v>
      </c>
      <c r="M36" s="1403" t="s">
        <v>12471</v>
      </c>
      <c r="N36" s="1404"/>
      <c r="P36" s="1475"/>
      <c r="Q36" s="1475"/>
      <c r="R36" s="1475"/>
      <c r="S36" s="1475"/>
      <c r="T36" s="1475"/>
      <c r="U36" s="1475"/>
      <c r="V36" s="1404"/>
      <c r="W36" s="1404"/>
    </row>
    <row r="37" spans="1:23">
      <c r="A37" s="1474" t="s">
        <v>5494</v>
      </c>
      <c r="B37" s="1474" t="e">
        <f>SUMIFS(SurveyDATA!#REF!,SurveyDATA!E:E,"*GUIGUINTO*",SurveyDATA!#REF!,"*SAMPLING*")+SUMIFS(SurveyDATA!#REF!,SurveyDATA!E:E,"*GUIGUINTO*",SurveyDATA!#REF!,"*SAMPLING*")</f>
        <v>#REF!</v>
      </c>
      <c r="C37" s="1474" t="e">
        <f>SUMIFS(SurveyDATA!#REF!,SurveyDATA!E:E,"*GUIGUINTO*",SurveyDATA!#REF!,"*SAMPLING*")+SUMIFS(SurveyDATA!#REF!,SurveyDATA!E:E,"*GUIGUINTO*",SurveyDATA!#REF!,"*SAMPLING*")</f>
        <v>#REF!</v>
      </c>
      <c r="D37" s="1474" t="e">
        <f>SUMIFS(SurveyDATA!#REF!,SurveyDATA!E:E,"*GUIGUINTO*",SurveyDATA!#REF!,"*SAMPLING*")+SUMIFS(SurveyDATA!#REF!,SurveyDATA!E:E,"*GUIGUINTO*",SurveyDATA!#REF!,"*SAMPLING*")</f>
        <v>#REF!</v>
      </c>
      <c r="E37" s="1474" t="e">
        <f>SUMIFS(SurveyDATA!#REF!,SurveyDATA!E:E,"*GUIGUINTO*",SurveyDATA!#REF!,"*SAMPLING*")+SUMIFS(SurveyDATA!#REF!,SurveyDATA!E:E,"*GUIGUINTO*",SurveyDATA!#REF!,"*SAMPLING*")</f>
        <v>#REF!</v>
      </c>
      <c r="F37" s="1474" t="e">
        <f>SUMIFS(SurveyDATA!#REF!,SurveyDATA!E:E,"*GUIGUINTO*",SurveyDATA!#REF!,"*SAMPLING*")+SUMIFS(SurveyDATA!#REF!,SurveyDATA!E:E,"*GUIGUINTO*",SurveyDATA!#REF!,"*SAMPLING*")</f>
        <v>#REF!</v>
      </c>
      <c r="G37" s="1474" t="e">
        <f>SUMIFS(SurveyDATA!#REF!,SurveyDATA!E:E,"*GUIGUINTO*",SurveyDATA!#REF!,"*SAMPLING*")+SUMIFS(SurveyDATA!#REF!,SurveyDATA!E:E,"*GUIGUINTO*",SurveyDATA!#REF!,"*SAMPLING*")</f>
        <v>#REF!</v>
      </c>
      <c r="H37" s="1474" t="e">
        <f t="shared" si="5"/>
        <v>#REF!</v>
      </c>
      <c r="J37" s="1476" t="s">
        <v>12472</v>
      </c>
      <c r="K37" s="1477"/>
      <c r="M37" s="1403"/>
      <c r="N37" s="1404"/>
      <c r="P37" s="1404"/>
      <c r="Q37" s="1404"/>
      <c r="R37" s="1404"/>
      <c r="S37" s="1404"/>
      <c r="T37" s="1404"/>
      <c r="U37" s="1404"/>
      <c r="V37" s="1404"/>
      <c r="W37" s="1404"/>
    </row>
    <row r="38" spans="1:23">
      <c r="A38" s="1474" t="s">
        <v>5847</v>
      </c>
      <c r="B38" s="1474" t="e">
        <f>SUMIFS(SurveyDATA!#REF!,SurveyDATA!E:E,"*BALAGTAS*",SurveyDATA!#REF!,"*SAMPLING*")+SUMIFS(SurveyDATA!#REF!,SurveyDATA!E:E,"*BALAGTAS*",SurveyDATA!#REF!,"*SAMPLING*")</f>
        <v>#REF!</v>
      </c>
      <c r="C38" s="1474" t="e">
        <f>SUMIFS(SurveyDATA!#REF!,SurveyDATA!E:E,"*BALAGTAS*",SurveyDATA!#REF!,"*SAMPLING*")+SUMIFS(SurveyDATA!#REF!,SurveyDATA!E:E,"*BALAGTAS*",SurveyDATA!#REF!,"*SAMPLING*")</f>
        <v>#REF!</v>
      </c>
      <c r="D38" s="1474" t="e">
        <f>SUMIFS(SurveyDATA!#REF!,SurveyDATA!E:E,"*BALAGTAS*",SurveyDATA!#REF!,"*SAMPLING*")+SUMIFS(SurveyDATA!#REF!,SurveyDATA!E:E,"*BALAGTAS*",SurveyDATA!#REF!,"*SAMPLING*")</f>
        <v>#REF!</v>
      </c>
      <c r="E38" s="1474" t="e">
        <f>SUMIFS(SurveyDATA!#REF!,SurveyDATA!E:E,"*BALAGTAS*",SurveyDATA!#REF!,"*SAMPLING*")+SUMIFS(SurveyDATA!#REF!,SurveyDATA!E:E,"*BALAGTAS*",SurveyDATA!#REF!,"*SAMPLING*")</f>
        <v>#REF!</v>
      </c>
      <c r="F38" s="1474" t="e">
        <f>SUMIFS(SurveyDATA!#REF!,SurveyDATA!E:E,"*BALAGTAS*",SurveyDATA!#REF!,"*SAMPLING*")+SUMIFS(SurveyDATA!#REF!,SurveyDATA!E:E,"*BALAGTAS*",SurveyDATA!#REF!,"*SAMPLING*")</f>
        <v>#REF!</v>
      </c>
      <c r="G38" s="1474" t="e">
        <f>SUMIFS(SurveyDATA!#REF!,SurveyDATA!E:E,"*BALAGTAS*",SurveyDATA!#REF!,"*SAMPLING*")+SUMIFS(SurveyDATA!#REF!,SurveyDATA!E:E,"*BALAGTAS*",SurveyDATA!#REF!,"*SAMPLING*")</f>
        <v>#REF!</v>
      </c>
      <c r="H38" s="1474" t="e">
        <f t="shared" si="5"/>
        <v>#REF!</v>
      </c>
      <c r="J38" s="1473"/>
      <c r="K38" s="1477"/>
      <c r="M38" s="1403"/>
      <c r="N38" s="1404"/>
      <c r="P38" s="1404"/>
      <c r="Q38" s="1404"/>
      <c r="R38" s="1404"/>
      <c r="S38" s="1404"/>
      <c r="T38" s="1404"/>
      <c r="U38" s="1404"/>
      <c r="V38" s="1404"/>
      <c r="W38" s="1404"/>
    </row>
    <row r="39" spans="1:23">
      <c r="A39" s="1474" t="s">
        <v>771</v>
      </c>
      <c r="B39" s="1474" t="e">
        <f>SUMIFS(SurveyDATA!#REF!,SurveyDATA!E:E,"*BOCAUE*",SurveyDATA!#REF!,"*SAMPLING*")+SUMIFS(SurveyDATA!#REF!,SurveyDATA!E:E,"*BOCAUE*",SurveyDATA!#REF!,"*SAMPLING*")</f>
        <v>#REF!</v>
      </c>
      <c r="C39" s="1474" t="e">
        <f>SUMIFS(SurveyDATA!#REF!,SurveyDATA!E:E,"*BOCAUE*",SurveyDATA!#REF!,"*SAMPLING*")+SUMIFS(SurveyDATA!#REF!,SurveyDATA!E:E,"*BOCAUE*",SurveyDATA!#REF!,"*SAMPLING*")</f>
        <v>#REF!</v>
      </c>
      <c r="D39" s="1474" t="e">
        <f>SUMIFS(SurveyDATA!#REF!,SurveyDATA!E:E,"*BOCAUE*",SurveyDATA!#REF!,"*SAMPLING*")+SUMIFS(SurveyDATA!#REF!,SurveyDATA!E:E,"*BOCAUE*",SurveyDATA!#REF!,"*SAMPLING*")</f>
        <v>#REF!</v>
      </c>
      <c r="E39" s="1474" t="e">
        <f>SUMIFS(SurveyDATA!#REF!,SurveyDATA!E:E,"*BOCAUE*",SurveyDATA!#REF!,"*SAMPLING*")+SUMIFS(SurveyDATA!#REF!,SurveyDATA!E:E,"*BOCAUE*",SurveyDATA!#REF!,"*SAMPLING*")</f>
        <v>#REF!</v>
      </c>
      <c r="F39" s="1474" t="e">
        <f>SUMIFS(SurveyDATA!#REF!,SurveyDATA!E:E,"*BOCAUE*",SurveyDATA!#REF!,"*SAMPLING*")+SUMIFS(SurveyDATA!#REF!,SurveyDATA!E:E,"*BOCAUE*",SurveyDATA!#REF!,"*SAMPLING*")</f>
        <v>#REF!</v>
      </c>
      <c r="G39" s="1474" t="e">
        <f>SUMIFS(SurveyDATA!#REF!,SurveyDATA!E:E,"*BOCAUE*",SurveyDATA!#REF!,"*SAMPLING*")+SUMIFS(SurveyDATA!#REF!,SurveyDATA!E:E,"*BOCAUE*",SurveyDATA!#REF!,"*SAMPLING*")</f>
        <v>#REF!</v>
      </c>
      <c r="H39" s="1474" t="e">
        <f t="shared" si="5"/>
        <v>#REF!</v>
      </c>
      <c r="J39" s="1478"/>
      <c r="K39" s="1478"/>
      <c r="M39" s="1403"/>
      <c r="N39" s="1404"/>
      <c r="P39" s="1404"/>
      <c r="Q39" s="1404"/>
      <c r="R39" s="1404"/>
      <c r="S39" s="1404"/>
      <c r="T39" s="1404"/>
      <c r="U39" s="1404"/>
      <c r="V39" s="1404"/>
      <c r="W39" s="1404"/>
    </row>
    <row r="40" spans="1:23">
      <c r="A40" s="1474" t="s">
        <v>5495</v>
      </c>
      <c r="B40" s="1474" t="e">
        <f>SUMIFS(SurveyDATA!#REF!,SurveyDATA!E:E,"*MARILAO*",SurveyDATA!#REF!,"*SAMPLING*")+SUMIFS(SurveyDATA!#REF!,SurveyDATA!E:E,"*MARILAO*",SurveyDATA!#REF!,"*SAMPLING*")</f>
        <v>#REF!</v>
      </c>
      <c r="C40" s="1474" t="e">
        <f>SUMIFS(SurveyDATA!#REF!,SurveyDATA!E:E,"*MARILAO*",SurveyDATA!#REF!,"*SAMPLING*")+SUMIFS(SurveyDATA!#REF!,SurveyDATA!E:E,"*MARILAO*",SurveyDATA!#REF!,"*SAMPLING*")</f>
        <v>#REF!</v>
      </c>
      <c r="D40" s="1474" t="e">
        <f>SUMIFS(SurveyDATA!#REF!,SurveyDATA!E:E,"*MARILAO*",SurveyDATA!#REF!,"*SAMPLING*")+SUMIFS(SurveyDATA!#REF!,SurveyDATA!E:E,"*MARILAO*",SurveyDATA!#REF!,"*SAMPLING*")</f>
        <v>#REF!</v>
      </c>
      <c r="E40" s="1474" t="e">
        <f>SUMIFS(SurveyDATA!#REF!,SurveyDATA!E:E,"*MARILAO*",SurveyDATA!#REF!,"*SAMPLING*")+SUMIFS(SurveyDATA!#REF!,SurveyDATA!E:E,"*MARILAO*",SurveyDATA!#REF!,"*SAMPLING*")</f>
        <v>#REF!</v>
      </c>
      <c r="F40" s="1474" t="e">
        <f>SUMIFS(SurveyDATA!#REF!,SurveyDATA!E:E,"*MARILAO*",SurveyDATA!#REF!,"*SAMPLING*")+SUMIFS(SurveyDATA!#REF!,SurveyDATA!E:E,"*MARILAO*",SurveyDATA!#REF!,"*SAMPLING*")</f>
        <v>#REF!</v>
      </c>
      <c r="G40" s="1474" t="e">
        <f>SUMIFS(SurveyDATA!#REF!,SurveyDATA!E:E,"*MARILAO*",SurveyDATA!#REF!,"*SAMPLING*")+SUMIFS(SurveyDATA!#REF!,SurveyDATA!E:E,"*MARILAO*",SurveyDATA!#REF!,"*SAMPLING*")</f>
        <v>#REF!</v>
      </c>
      <c r="H40" s="1474" t="e">
        <f t="shared" si="5"/>
        <v>#REF!</v>
      </c>
      <c r="J40" s="1478"/>
      <c r="K40" s="1478"/>
      <c r="M40" s="1403"/>
      <c r="N40" s="1404"/>
      <c r="P40" s="1404"/>
      <c r="Q40" s="1404"/>
      <c r="R40" s="1404"/>
      <c r="S40" s="1404"/>
      <c r="T40" s="1404"/>
      <c r="U40" s="1404"/>
      <c r="V40" s="1404"/>
      <c r="W40" s="1404"/>
    </row>
    <row r="41" spans="1:23">
      <c r="A41" s="1474" t="s">
        <v>5496</v>
      </c>
      <c r="B41" s="1474" t="e">
        <f>SUMIFS(SurveyDATA!#REF!,SurveyDATA!E:E,"*MEYCAUAYAN*",SurveyDATA!#REF!,"*SAMPLING*")+SUMIFS(SurveyDATA!#REF!,SurveyDATA!E:E,"*MEYCAUAYAN*",SurveyDATA!#REF!,"*SAMPLING*")</f>
        <v>#REF!</v>
      </c>
      <c r="C41" s="1474" t="e">
        <f>SUMIFS(SurveyDATA!#REF!,SurveyDATA!E:E,"*MEYCAUAYAN*",SurveyDATA!#REF!,"*SAMPLING*")+SUMIFS(SurveyDATA!#REF!,SurveyDATA!E:E,"*MEYCAUAYAN*",SurveyDATA!#REF!,"*SAMPLING*")</f>
        <v>#REF!</v>
      </c>
      <c r="D41" s="1474" t="e">
        <f>SUMIFS(SurveyDATA!#REF!,SurveyDATA!E:E,"*MEYCAUAYAN*",SurveyDATA!#REF!,"*SAMPLING*")+SUMIFS(SurveyDATA!#REF!,SurveyDATA!E:E,"*MEYCAUAYAN*",SurveyDATA!#REF!,"*SAMPLING*")</f>
        <v>#REF!</v>
      </c>
      <c r="E41" s="1474" t="e">
        <f>SUMIFS(SurveyDATA!#REF!,SurveyDATA!E:E,"*MEYCAUAYAN*",SurveyDATA!#REF!,"*SAMPLING*")+SUMIFS(SurveyDATA!#REF!,SurveyDATA!E:E,"*MEYCAUAYAN*",SurveyDATA!#REF!,"*SAMPLING*")</f>
        <v>#REF!</v>
      </c>
      <c r="F41" s="1474" t="e">
        <f>SUMIFS(SurveyDATA!#REF!,SurveyDATA!E:E,"*MEYCAUAYAN*",SurveyDATA!#REF!,"*SAMPLING*")+SUMIFS(SurveyDATA!#REF!,SurveyDATA!E:E,"*MEYCAUAYAN*",SurveyDATA!#REF!,"*SAMPLING*")</f>
        <v>#REF!</v>
      </c>
      <c r="G41" s="1474" t="e">
        <f>SUMIFS(SurveyDATA!#REF!,SurveyDATA!E:E,"*MEYCAUAYAN*",SurveyDATA!#REF!,"*SAMPLING*")+SUMIFS(SurveyDATA!#REF!,SurveyDATA!E:E,"*MEYCAUAYAN*",SurveyDATA!#REF!,"*SAMPLING*")</f>
        <v>#REF!</v>
      </c>
      <c r="H41" s="1474" t="e">
        <f t="shared" si="5"/>
        <v>#REF!</v>
      </c>
      <c r="J41" s="1478"/>
      <c r="K41" s="1478"/>
      <c r="M41" s="1403"/>
      <c r="N41" s="1404"/>
      <c r="S41" s="1404"/>
      <c r="T41" s="1404"/>
      <c r="U41" s="1404"/>
    </row>
    <row r="42" spans="1:23">
      <c r="A42" s="1474" t="s">
        <v>778</v>
      </c>
      <c r="B42" s="1474" t="e">
        <f>SUMIFS(SurveyDATA!#REF!,SurveyDATA!E:E,"*VALENZUELA*",SurveyDATA!#REF!,"*SAMPLING*")+SUMIFS(SurveyDATA!#REF!,SurveyDATA!E:E,"*VALENZUELA*",SurveyDATA!#REF!,"*SAMPLING*")</f>
        <v>#REF!</v>
      </c>
      <c r="C42" s="1474" t="e">
        <f>SUMIFS(SurveyDATA!#REF!,SurveyDATA!E:E,"*VALENZUELA*",SurveyDATA!#REF!,"*SAMPLING*")+SUMIFS(SurveyDATA!#REF!,SurveyDATA!E:E,"*VALENZUELA*",SurveyDATA!#REF!,"*SAMPLING*")</f>
        <v>#REF!</v>
      </c>
      <c r="D42" s="1474" t="e">
        <f>SUMIFS(SurveyDATA!#REF!,SurveyDATA!E:E,"*VALENZUELA*",SurveyDATA!#REF!,"*SAMPLING*")+SUMIFS(SurveyDATA!#REF!,SurveyDATA!E:E,"*VALENZUELA*",SurveyDATA!#REF!,"*SAMPLING*")</f>
        <v>#REF!</v>
      </c>
      <c r="E42" s="1474" t="e">
        <f>SUMIFS(SurveyDATA!#REF!,SurveyDATA!E:E,"*VALENZUELA*",SurveyDATA!#REF!,"*SAMPLING*")+SUMIFS(SurveyDATA!#REF!,SurveyDATA!E:E,"*VALENZUELA*",SurveyDATA!#REF!,"*SAMPLING*")</f>
        <v>#REF!</v>
      </c>
      <c r="F42" s="1474" t="e">
        <f>SUMIFS(SurveyDATA!#REF!,SurveyDATA!E:E,"*VALENZUELA*",SurveyDATA!#REF!,"*SAMPLING*")+SUMIFS(SurveyDATA!#REF!,SurveyDATA!E:E,"*VALENZUELA*",SurveyDATA!#REF!,"*SAMPLING*")</f>
        <v>#REF!</v>
      </c>
      <c r="G42" s="1474" t="e">
        <f>SUMIFS(SurveyDATA!#REF!,SurveyDATA!E:E,"*VALENZUELA*",SurveyDATA!#REF!,"*SAMPLING*")+SUMIFS(SurveyDATA!#REF!,SurveyDATA!E:E,"*VALENZUELA*",SurveyDATA!#REF!,"*SAMPLING*")</f>
        <v>#REF!</v>
      </c>
      <c r="H42" s="1474" t="e">
        <f t="shared" si="5"/>
        <v>#REF!</v>
      </c>
      <c r="J42" s="1478"/>
      <c r="K42" s="1478"/>
      <c r="M42" s="1403"/>
      <c r="N42" s="1404"/>
      <c r="S42" s="1404"/>
      <c r="T42" s="1404"/>
      <c r="U42" s="1404"/>
    </row>
    <row r="43" spans="1:23">
      <c r="A43" s="1474" t="s">
        <v>5493</v>
      </c>
      <c r="B43" s="1474" t="e">
        <f>SUMIFS(SurveyDATA!#REF!,SurveyDATA!E:E,"*CALOOCAN*",SurveyDATA!#REF!,"*SAMPLING*")+SUMIFS(SurveyDATA!#REF!,SurveyDATA!E:E,"*CALOOCAN*",SurveyDATA!#REF!,"*SAMPLING*")</f>
        <v>#REF!</v>
      </c>
      <c r="C43" s="1474" t="e">
        <f>SUMIFS(SurveyDATA!#REF!,SurveyDATA!E:E,"*CALOOCAN*",SurveyDATA!#REF!,"*SAMPLING*")+SUMIFS(SurveyDATA!#REF!,SurveyDATA!E:E,"*CALOOCAN*",SurveyDATA!#REF!,"*SAMPLING*")</f>
        <v>#REF!</v>
      </c>
      <c r="D43" s="1474" t="e">
        <f>SUMIFS(SurveyDATA!#REF!,SurveyDATA!E:E,"*CALOOCAN*",SurveyDATA!#REF!,"*SAMPLING*")+SUMIFS(SurveyDATA!#REF!,SurveyDATA!E:E,"*CALOOCAN*",SurveyDATA!#REF!,"*SAMPLING*")</f>
        <v>#REF!</v>
      </c>
      <c r="E43" s="1474" t="e">
        <f>SUMIFS(SurveyDATA!#REF!,SurveyDATA!E:E,"*CALOOCAN*",SurveyDATA!#REF!,"*SAMPLING*")+SUMIFS(SurveyDATA!#REF!,SurveyDATA!E:E,"*CALOOCAN*",SurveyDATA!#REF!,"*SAMPLING*")</f>
        <v>#REF!</v>
      </c>
      <c r="F43" s="1474" t="e">
        <f>SUMIFS(SurveyDATA!#REF!,SurveyDATA!E:E,"*CALOOCAN*",SurveyDATA!#REF!,"*SAMPLING*")+SUMIFS(SurveyDATA!#REF!,SurveyDATA!E:E,"*CALOOCAN*",SurveyDATA!#REF!,"*SAMPLING*")</f>
        <v>#REF!</v>
      </c>
      <c r="G43" s="1474" t="e">
        <f>SUMIFS(SurveyDATA!#REF!,SurveyDATA!E:E,"*CALOOCAN*",SurveyDATA!#REF!,"*SAMPLING*")+SUMIFS(SurveyDATA!#REF!,SurveyDATA!E:E,"*CALOOCAN*",SurveyDATA!#REF!,"*SAMPLING*")</f>
        <v>#REF!</v>
      </c>
      <c r="H43" s="1474" t="e">
        <f t="shared" si="5"/>
        <v>#REF!</v>
      </c>
      <c r="J43" s="1478"/>
      <c r="K43" s="1478"/>
      <c r="M43" s="1403"/>
      <c r="N43" s="1404"/>
      <c r="S43" s="1404"/>
      <c r="T43" s="1404"/>
      <c r="U43" s="1404"/>
    </row>
    <row r="44" spans="1:23">
      <c r="A44" s="1474" t="s">
        <v>1020</v>
      </c>
      <c r="B44" s="1474" t="e">
        <f>SUMIFS(SurveyDATA!#REF!,SurveyDATA!E:E,"*MANILA*",SurveyDATA!#REF!,"*SAMPLING*")+SUMIFS(SurveyDATA!#REF!,SurveyDATA!E:E,"*MANILA*",SurveyDATA!#REF!,"*SAMPLING*")</f>
        <v>#REF!</v>
      </c>
      <c r="C44" s="1474" t="e">
        <f>SUMIFS(SurveyDATA!#REF!,SurveyDATA!E:E,"*MANILA*",SurveyDATA!#REF!,"*SAMPLING*")+SUMIFS(SurveyDATA!#REF!,SurveyDATA!E:E,"*MANILA*",SurveyDATA!#REF!,"*SAMPLING*")</f>
        <v>#REF!</v>
      </c>
      <c r="D44" s="1474" t="e">
        <f>SUMIFS(SurveyDATA!#REF!,SurveyDATA!E:E,"*MANILA*",SurveyDATA!#REF!,"*SAMPLING*")+SUMIFS(SurveyDATA!#REF!,SurveyDATA!E:E,"*MANILA*",SurveyDATA!#REF!,"*SAMPLING*")</f>
        <v>#REF!</v>
      </c>
      <c r="E44" s="1474" t="e">
        <f>SUMIFS(SurveyDATA!#REF!,SurveyDATA!E:E,"*MANILA*",SurveyDATA!#REF!,"*SAMPLING*")+SUMIFS(SurveyDATA!#REF!,SurveyDATA!E:E,"*MANILA*",SurveyDATA!#REF!,"*SAMPLING*")</f>
        <v>#REF!</v>
      </c>
      <c r="F44" s="1474" t="e">
        <f>SUMIFS(SurveyDATA!#REF!,SurveyDATA!E:E,"*MANILA*",SurveyDATA!#REF!,"*SAMPLING*")+SUMIFS(SurveyDATA!#REF!,SurveyDATA!E:E,"*MANILA*",SurveyDATA!#REF!,"*SAMPLING*")</f>
        <v>#REF!</v>
      </c>
      <c r="G44" s="1474" t="e">
        <f>SUMIFS(SurveyDATA!#REF!,SurveyDATA!E:E,"*MANILA*",SurveyDATA!#REF!,"*SAMPLING*")+SUMIFS(SurveyDATA!#REF!,SurveyDATA!E:E,"*MANILA*",SurveyDATA!#REF!,"*SAMPLING*")</f>
        <v>#REF!</v>
      </c>
      <c r="H44" s="1474" t="e">
        <f t="shared" si="5"/>
        <v>#REF!</v>
      </c>
      <c r="J44" s="1478"/>
      <c r="K44" s="1478"/>
      <c r="M44" s="1403"/>
      <c r="N44" s="1404"/>
      <c r="S44" s="1404"/>
      <c r="T44" s="1404"/>
      <c r="U44" s="1404"/>
    </row>
    <row r="45" spans="1:23">
      <c r="A45" s="1479" t="s">
        <v>2034</v>
      </c>
      <c r="B45" s="1480" t="e">
        <f t="shared" ref="B45:H45" si="6">SUM(B36:B44)</f>
        <v>#REF!</v>
      </c>
      <c r="C45" s="1480" t="e">
        <f t="shared" si="6"/>
        <v>#REF!</v>
      </c>
      <c r="D45" s="1480" t="e">
        <f t="shared" si="6"/>
        <v>#REF!</v>
      </c>
      <c r="E45" s="1480" t="e">
        <f t="shared" si="6"/>
        <v>#REF!</v>
      </c>
      <c r="F45" s="1480" t="e">
        <f t="shared" si="6"/>
        <v>#REF!</v>
      </c>
      <c r="G45" s="1480" t="e">
        <f t="shared" si="6"/>
        <v>#REF!</v>
      </c>
      <c r="H45" s="1480" t="e">
        <f t="shared" si="6"/>
        <v>#REF!</v>
      </c>
      <c r="J45" s="1478"/>
      <c r="K45" s="1478"/>
      <c r="M45" s="1403"/>
      <c r="N45" s="1404"/>
      <c r="S45" s="1404"/>
      <c r="T45" s="1404"/>
      <c r="U45" s="1404"/>
    </row>
    <row r="46" spans="1:23">
      <c r="A46" s="1479" t="s">
        <v>7243</v>
      </c>
      <c r="B46" s="1481" t="e">
        <f t="shared" ref="B46:G46" si="7">B45/$H45</f>
        <v>#REF!</v>
      </c>
      <c r="C46" s="1481" t="e">
        <f t="shared" si="7"/>
        <v>#REF!</v>
      </c>
      <c r="D46" s="1481" t="e">
        <f t="shared" si="7"/>
        <v>#REF!</v>
      </c>
      <c r="E46" s="1481" t="e">
        <f t="shared" si="7"/>
        <v>#REF!</v>
      </c>
      <c r="F46" s="1481" t="e">
        <f t="shared" si="7"/>
        <v>#REF!</v>
      </c>
      <c r="G46" s="1481" t="e">
        <f t="shared" si="7"/>
        <v>#REF!</v>
      </c>
      <c r="H46" s="1481" t="e">
        <f>SUM(B46:F46)</f>
        <v>#REF!</v>
      </c>
      <c r="J46" s="1478"/>
      <c r="K46" s="1478"/>
      <c r="M46" s="1403"/>
      <c r="N46" s="1404"/>
      <c r="S46" s="1404"/>
      <c r="T46" s="1404"/>
      <c r="U46" s="1404"/>
    </row>
    <row r="47" spans="1:23">
      <c r="I47" s="1478"/>
      <c r="J47" s="1478"/>
      <c r="S47" s="1404"/>
      <c r="T47" s="1404"/>
      <c r="U47" s="1404"/>
    </row>
    <row r="48" spans="1:23">
      <c r="I48" s="1478"/>
      <c r="J48" s="1478"/>
      <c r="S48" s="1404"/>
      <c r="T48" s="1404"/>
      <c r="U48" s="1404"/>
    </row>
    <row r="49" spans="1:51">
      <c r="A49" s="1406" t="s">
        <v>7264</v>
      </c>
      <c r="I49" s="1478"/>
      <c r="J49" s="1478"/>
      <c r="S49" s="1404"/>
      <c r="T49" s="1404"/>
      <c r="U49" s="1404"/>
    </row>
    <row r="50" spans="1:51">
      <c r="A50" s="1482"/>
      <c r="B50" s="1483" t="s">
        <v>1214</v>
      </c>
      <c r="C50" s="1483" t="s">
        <v>12473</v>
      </c>
      <c r="D50" s="1483" t="s">
        <v>7266</v>
      </c>
      <c r="E50" s="1483" t="s">
        <v>7266</v>
      </c>
      <c r="F50" s="1483" t="s">
        <v>7267</v>
      </c>
      <c r="G50" s="1483" t="s">
        <v>7267</v>
      </c>
      <c r="H50" s="1483" t="s">
        <v>7268</v>
      </c>
      <c r="I50" s="1483" t="s">
        <v>7268</v>
      </c>
      <c r="J50" s="1482" t="s">
        <v>12474</v>
      </c>
      <c r="K50" s="1483" t="s">
        <v>12474</v>
      </c>
      <c r="L50" s="1484" t="s">
        <v>12475</v>
      </c>
      <c r="M50" s="1484" t="s">
        <v>12543</v>
      </c>
      <c r="N50" s="1484"/>
      <c r="S50" s="1404"/>
      <c r="T50" s="1404"/>
      <c r="U50" s="1404"/>
    </row>
    <row r="51" spans="1:51">
      <c r="A51" s="1485" t="s">
        <v>7214</v>
      </c>
      <c r="B51" s="1486" t="s">
        <v>12476</v>
      </c>
      <c r="C51" s="1487" t="s">
        <v>7266</v>
      </c>
      <c r="D51" s="1486" t="s">
        <v>12477</v>
      </c>
      <c r="E51" s="1486" t="s">
        <v>7269</v>
      </c>
      <c r="F51" s="1486" t="s">
        <v>12477</v>
      </c>
      <c r="G51" s="1486" t="s">
        <v>7269</v>
      </c>
      <c r="H51" s="1486" t="s">
        <v>12477</v>
      </c>
      <c r="I51" s="1486" t="s">
        <v>7269</v>
      </c>
      <c r="J51" s="1485" t="s">
        <v>12477</v>
      </c>
      <c r="K51" s="1486" t="s">
        <v>7269</v>
      </c>
      <c r="L51" s="1488" t="s">
        <v>12478</v>
      </c>
      <c r="M51" s="1488" t="s">
        <v>12542</v>
      </c>
      <c r="N51" s="1488" t="s">
        <v>2034</v>
      </c>
      <c r="P51" s="1478"/>
      <c r="Q51" s="1478"/>
      <c r="S51" s="1404"/>
      <c r="T51" s="1404"/>
      <c r="U51" s="1404"/>
      <c r="AY51" s="1403" t="s">
        <v>8514</v>
      </c>
    </row>
    <row r="52" spans="1:51">
      <c r="A52" s="1489" t="s">
        <v>5848</v>
      </c>
      <c r="B52" s="1489" t="e">
        <f>SUMIFS(SurveyDATA!#REF!,SurveyDATA!E:E,"*MALOLOS*",SurveyDATA!#REF!,"*SAMPLING*")+SUMIFS(SurveyDATA!#REF!,SurveyDATA!E:E,"*MALOLOS*",SurveyDATA!#REF!,"*SAMPLING*")</f>
        <v>#REF!</v>
      </c>
      <c r="C52" s="1489" t="e">
        <f>SUMIFS(SurveyDATA!#REF!,SurveyDATA!E:E,"*MALOLOS*",SurveyDATA!#REF!,"*SAMPLING*")+SUMIFS(SurveyDATA!#REF!,SurveyDATA!E:E,"*MALOLOS*",SurveyDATA!#REF!,"*SAMPLING*")</f>
        <v>#REF!</v>
      </c>
      <c r="D52" s="1489" t="e">
        <f>SUMIFS(SurveyDATA!#REF!,SurveyDATA!E:E,"*MALOLOS*",SurveyDATA!#REF!,"*SAMPLING*")+SUMIFS(SurveyDATA!#REF!,SurveyDATA!E:E,"*MALOLOS*",SurveyDATA!#REF!,"*SAMPLING*")</f>
        <v>#REF!</v>
      </c>
      <c r="E52" s="1489" t="e">
        <f>SUMIFS(SurveyDATA!#REF!,SurveyDATA!E:E,"*MALOLOS*",SurveyDATA!#REF!,"*SAMPLING*")+SUMIFS(SurveyDATA!#REF!,SurveyDATA!E:E,"*MALOLOS*",SurveyDATA!#REF!,"*SAMPLING*")</f>
        <v>#REF!</v>
      </c>
      <c r="F52" s="1489" t="e">
        <f>SUMIFS(SurveyDATA!#REF!,SurveyDATA!E:E,"*MALOLOS*",SurveyDATA!#REF!,"*SAMPLING*")+SUMIFS(SurveyDATA!#REF!,SurveyDATA!E:E,"*MALOLOS*",SurveyDATA!#REF!,"*SAMPLING*")</f>
        <v>#REF!</v>
      </c>
      <c r="G52" s="1489" t="e">
        <f>SUMIFS(SurveyDATA!#REF!,SurveyDATA!E:E,"*MALOLOS*",SurveyDATA!#REF!,"*SAMPLING*")+SUMIFS(SurveyDATA!#REF!,SurveyDATA!E:E,"*MALOLOS*",SurveyDATA!#REF!,"*SAMPLING*")</f>
        <v>#REF!</v>
      </c>
      <c r="H52" s="1489" t="e">
        <f>SUMIFS(SurveyDATA!#REF!,SurveyDATA!E:E,"*MALOLOS*",SurveyDATA!#REF!,"*SAMPLING*")+SUMIFS(SurveyDATA!#REF!,SurveyDATA!E:E,"*MALOLOS*",SurveyDATA!#REF!,"*SAMPLING*")</f>
        <v>#REF!</v>
      </c>
      <c r="I52" s="1489" t="e">
        <f>SUMIFS(SurveyDATA!#REF!,SurveyDATA!E:E,"*MALOLOS*",SurveyDATA!#REF!,"*SAMPLING*")+SUMIFS(SurveyDATA!#REF!,SurveyDATA!E:E,"*MALOLOS*",SurveyDATA!#REF!,"*SAMPLING*")</f>
        <v>#REF!</v>
      </c>
      <c r="J52" s="1489" t="e">
        <f>SUMIFS(SurveyDATA!#REF!,SurveyDATA!E:E,"*MALOLOS*",SurveyDATA!#REF!,"*SAMPLING*")+SUMIFS(SurveyDATA!#REF!,SurveyDATA!E:E,"*MALOLOS*",SurveyDATA!#REF!,"*SAMPLING*")</f>
        <v>#REF!</v>
      </c>
      <c r="K52" s="1489" t="e">
        <f>SUMIFS(SurveyDATA!#REF!,SurveyDATA!E:E,"*MALOLOS*",SurveyDATA!#REF!,"*SAMPLING*")+SUMIFS(SurveyDATA!#REF!,SurveyDATA!E:E,"*MALOLOS*",SurveyDATA!#REF!,"*SAMPLING*")</f>
        <v>#REF!</v>
      </c>
      <c r="L52" s="1489" t="e">
        <f>SUMIFS(SurveyDATA!#REF!,SurveyDATA!E:E,"*MALOLOS*",SurveyDATA!#REF!,"*SAMPLING*")+SUMIFS(SurveyDATA!#REF!,SurveyDATA!E:E,"*MALOLOS*",SurveyDATA!#REF!,"*SAMPLING*")</f>
        <v>#REF!</v>
      </c>
      <c r="M52" s="1489">
        <v>0</v>
      </c>
      <c r="N52" s="1489" t="e">
        <f t="shared" ref="N52:N60" si="8">SUM(B52:M52)</f>
        <v>#REF!</v>
      </c>
      <c r="P52" s="1478"/>
      <c r="Q52" s="1478"/>
      <c r="S52" s="1404"/>
      <c r="T52" s="1404"/>
      <c r="U52" s="1404"/>
      <c r="AY52" s="1403" t="s">
        <v>8517</v>
      </c>
    </row>
    <row r="53" spans="1:51">
      <c r="A53" s="1474" t="s">
        <v>5494</v>
      </c>
      <c r="B53" s="1489" t="e">
        <f>SUMIFS(SurveyDATA!#REF!,SurveyDATA!E:E,"*GUIGUINTO*",SurveyDATA!#REF!,"*SAMPLING*")+SUMIFS(SurveyDATA!#REF!,SurveyDATA!E:E,"*GUIGUINTO*",SurveyDATA!#REF!,"*SAMPLING*")</f>
        <v>#REF!</v>
      </c>
      <c r="C53" s="1489" t="e">
        <f>SUMIFS(SurveyDATA!#REF!,SurveyDATA!E:E,"*GUIGUINTO*",SurveyDATA!#REF!,"*SAMPLING*")+SUMIFS(SurveyDATA!#REF!,SurveyDATA!E:E,"*GUIGUINTO*",SurveyDATA!#REF!,"*SAMPLING*")</f>
        <v>#REF!</v>
      </c>
      <c r="D53" s="1489" t="e">
        <f>SUMIFS(SurveyDATA!#REF!,SurveyDATA!E:E,"*GUIGUINTO*",SurveyDATA!#REF!,"*SAMPLING*")+SUMIFS(SurveyDATA!#REF!,SurveyDATA!E:E,"*GUIGUINTO*",SurveyDATA!#REF!,"*SAMPLING*")</f>
        <v>#REF!</v>
      </c>
      <c r="E53" s="1489" t="e">
        <f>SUMIFS(SurveyDATA!#REF!,SurveyDATA!E:E,"*GUIGUINTO*",SurveyDATA!#REF!,"*SAMPLING*")+SUMIFS(SurveyDATA!#REF!,SurveyDATA!E:E,"*GUIGUINTO*",SurveyDATA!#REF!,"*SAMPLING*")</f>
        <v>#REF!</v>
      </c>
      <c r="F53" s="1489" t="e">
        <f>SUMIFS(SurveyDATA!#REF!,SurveyDATA!E:E,"*GUIGUINTO*",SurveyDATA!#REF!,"*SAMPLING*")+SUMIFS(SurveyDATA!#REF!,SurveyDATA!E:E,"*GUIGUINTO*",SurveyDATA!#REF!,"*SAMPLING*")</f>
        <v>#REF!</v>
      </c>
      <c r="G53" s="1489" t="e">
        <f>SUMIFS(SurveyDATA!#REF!,SurveyDATA!E:E,"*GUIGUINTO*",SurveyDATA!#REF!,"*SAMPLING*")+SUMIFS(SurveyDATA!#REF!,SurveyDATA!E:E,"*GUIGUINTO*",SurveyDATA!#REF!,"*SAMPLING*")</f>
        <v>#REF!</v>
      </c>
      <c r="H53" s="1489" t="e">
        <f>SUMIFS(SurveyDATA!#REF!,SurveyDATA!E:E,"*GUIGUINTO*",SurveyDATA!#REF!,"*SAMPLING*")+SUMIFS(SurveyDATA!#REF!,SurveyDATA!E:E,"*GUIGUINTO*",SurveyDATA!#REF!,"*SAMPLING*")</f>
        <v>#REF!</v>
      </c>
      <c r="I53" s="1489" t="e">
        <f>SUMIFS(SurveyDATA!#REF!,SurveyDATA!E:E,"*GUIGUINTO*",SurveyDATA!#REF!,"*SAMPLING*")+SUMIFS(SurveyDATA!#REF!,SurveyDATA!E:E,"*GUIGUINTO*",SurveyDATA!#REF!,"*SAMPLING*")</f>
        <v>#REF!</v>
      </c>
      <c r="J53" s="1489" t="e">
        <f>SUMIFS(SurveyDATA!#REF!,SurveyDATA!E:E,"*GUIGUINTO*",SurveyDATA!#REF!,"*SAMPLING*")+SUMIFS(SurveyDATA!#REF!,SurveyDATA!E:E,"*GUIGUINTO*",SurveyDATA!#REF!,"*SAMPLING*")</f>
        <v>#REF!</v>
      </c>
      <c r="K53" s="1489" t="e">
        <f>SUMIFS(SurveyDATA!#REF!,SurveyDATA!E:E,"*GUIGUINTO*",SurveyDATA!#REF!,"*SAMPLING*")+SUMIFS(SurveyDATA!#REF!,SurveyDATA!E:E,"*GUIGUINTO*",SurveyDATA!#REF!,"*SAMPLING*")</f>
        <v>#REF!</v>
      </c>
      <c r="L53" s="1489" t="e">
        <f>SUMIFS(SurveyDATA!#REF!,SurveyDATA!E:E,"*GUIGUINTO*",SurveyDATA!#REF!,"*SAMPLING*")+SUMIFS(SurveyDATA!#REF!,SurveyDATA!E:E,"*GUIGUINTO*",SurveyDATA!#REF!,"*SAMPLING*")</f>
        <v>#REF!</v>
      </c>
      <c r="M53" s="1489">
        <v>0</v>
      </c>
      <c r="N53" s="1489" t="e">
        <f t="shared" si="8"/>
        <v>#REF!</v>
      </c>
      <c r="P53" s="1478"/>
      <c r="Q53" s="1478"/>
      <c r="S53" s="1404"/>
      <c r="T53" s="1404"/>
      <c r="U53" s="1404"/>
      <c r="AY53" s="1403" t="s">
        <v>8520</v>
      </c>
    </row>
    <row r="54" spans="1:51">
      <c r="A54" s="1474" t="s">
        <v>5847</v>
      </c>
      <c r="B54" s="1489" t="e">
        <f>SUMIFS(SurveyDATA!#REF!,SurveyDATA!E:E,"*BALAGTAS*",SurveyDATA!#REF!,"*SAMPLING*")+SUMIFS(SurveyDATA!#REF!,SurveyDATA!E:E,"*BALAGTAS*",SurveyDATA!#REF!,"*SAMPLING*")</f>
        <v>#REF!</v>
      </c>
      <c r="C54" s="1489" t="e">
        <f>SUMIFS(SurveyDATA!#REF!,SurveyDATA!E:E,"*BALAGTAS*",SurveyDATA!#REF!,"*SAMPLING*")+SUMIFS(SurveyDATA!#REF!,SurveyDATA!E:E,"*BALAGTAS*",SurveyDATA!#REF!,"*SAMPLING*")</f>
        <v>#REF!</v>
      </c>
      <c r="D54" s="1489" t="e">
        <f>SUMIFS(SurveyDATA!#REF!,SurveyDATA!E:E,"*BALAGTAS*",SurveyDATA!#REF!,"*SAMPLING*")+SUMIFS(SurveyDATA!#REF!,SurveyDATA!E:E,"*BALAGTAS*",SurveyDATA!#REF!,"*SAMPLING*")</f>
        <v>#REF!</v>
      </c>
      <c r="E54" s="1489" t="e">
        <f>SUMIFS(SurveyDATA!#REF!,SurveyDATA!E:E,"*BALAGTAS*",SurveyDATA!#REF!,"*SAMPLING*")+SUMIFS(SurveyDATA!#REF!,SurveyDATA!E:E,"*BALAGTAS*",SurveyDATA!#REF!,"*SAMPLING*")</f>
        <v>#REF!</v>
      </c>
      <c r="F54" s="1489" t="e">
        <f>SUMIFS(SurveyDATA!#REF!,SurveyDATA!E:E,"*BALAGTAS*",SurveyDATA!#REF!,"*SAMPLING*")+SUMIFS(SurveyDATA!#REF!,SurveyDATA!E:E,"*BALAGTAS*",SurveyDATA!#REF!,"*SAMPLING*")</f>
        <v>#REF!</v>
      </c>
      <c r="G54" s="1489" t="e">
        <f>SUMIFS(SurveyDATA!#REF!,SurveyDATA!E:E,"*BALAGTAS*",SurveyDATA!#REF!,"*SAMPLING*")+SUMIFS(SurveyDATA!#REF!,SurveyDATA!E:E,"*BALAGTAS*",SurveyDATA!#REF!,"*SAMPLING*")</f>
        <v>#REF!</v>
      </c>
      <c r="H54" s="1489" t="e">
        <f>SUMIFS(SurveyDATA!#REF!,SurveyDATA!E:E,"*BALAGTAS*",SurveyDATA!#REF!,"*SAMPLING*")+SUMIFS(SurveyDATA!#REF!,SurveyDATA!E:E,"*BALAGTAS*",SurveyDATA!#REF!,"*SAMPLING*")</f>
        <v>#REF!</v>
      </c>
      <c r="I54" s="1489" t="e">
        <f>SUMIFS(SurveyDATA!#REF!,SurveyDATA!E:E,"*BALAGTAS*",SurveyDATA!#REF!,"*SAMPLING*")+SUMIFS(SurveyDATA!#REF!,SurveyDATA!E:E,"*BALAGTAS*",SurveyDATA!#REF!,"*SAMPLING*")</f>
        <v>#REF!</v>
      </c>
      <c r="J54" s="1489" t="e">
        <f>SUMIFS(SurveyDATA!#REF!,SurveyDATA!E:E,"*BALAGTAS*",SurveyDATA!#REF!,"*SAMPLING*")+SUMIFS(SurveyDATA!#REF!,SurveyDATA!E:E,"*BALAGTAS*",SurveyDATA!#REF!,"*SAMPLING*")</f>
        <v>#REF!</v>
      </c>
      <c r="K54" s="1489" t="e">
        <f>SUMIFS(SurveyDATA!#REF!,SurveyDATA!E:E,"*BALAGTAS*",SurveyDATA!#REF!,"*SAMPLING*")+SUMIFS(SurveyDATA!#REF!,SurveyDATA!E:E,"*BALAGTAS*",SurveyDATA!#REF!,"*SAMPLING*")</f>
        <v>#REF!</v>
      </c>
      <c r="L54" s="1489" t="e">
        <f>SUMIFS(SurveyDATA!#REF!,SurveyDATA!E:E,"*BALAGTAS*",SurveyDATA!#REF!,"*SAMPLING*")+SUMIFS(SurveyDATA!#REF!,SurveyDATA!E:E,"*BALAGTAS*",SurveyDATA!#REF!,"*SAMPLING*")</f>
        <v>#REF!</v>
      </c>
      <c r="M54" s="1489">
        <v>0</v>
      </c>
      <c r="N54" s="1489" t="e">
        <f t="shared" si="8"/>
        <v>#REF!</v>
      </c>
      <c r="P54" s="1478"/>
      <c r="Q54" s="1478"/>
      <c r="S54" s="1404"/>
      <c r="T54" s="1404"/>
      <c r="U54" s="1404"/>
      <c r="AY54" s="1403" t="s">
        <v>8522</v>
      </c>
    </row>
    <row r="55" spans="1:51">
      <c r="A55" s="1474" t="s">
        <v>771</v>
      </c>
      <c r="B55" s="1489" t="e">
        <f>SUMIFS(SurveyDATA!#REF!,SurveyDATA!E:E,"*BOCAUE*",SurveyDATA!#REF!,"*SAMPLING*")+SUMIFS(SurveyDATA!#REF!,SurveyDATA!E:E,"*BOCAUE*",SurveyDATA!#REF!,"*SAMPLING*")</f>
        <v>#REF!</v>
      </c>
      <c r="C55" s="1489" t="e">
        <f>SUMIFS(SurveyDATA!#REF!,SurveyDATA!E:E,"*BOCAUE*",SurveyDATA!#REF!,"*SAMPLING*")+SUMIFS(SurveyDATA!#REF!,SurveyDATA!E:E,"*BOCAUE*",SurveyDATA!#REF!,"*SAMPLING*")</f>
        <v>#REF!</v>
      </c>
      <c r="D55" s="1489" t="e">
        <f>SUMIFS(SurveyDATA!#REF!,SurveyDATA!E:E,"*BOCAUE*",SurveyDATA!#REF!,"*SAMPLING*")+SUMIFS(SurveyDATA!#REF!,SurveyDATA!E:E,"*BOCAUE*",SurveyDATA!#REF!,"*SAMPLING*")</f>
        <v>#REF!</v>
      </c>
      <c r="E55" s="1489" t="e">
        <f>SUMIFS(SurveyDATA!#REF!,SurveyDATA!E:E,"*BOCAUE*",SurveyDATA!#REF!,"*SAMPLING*")+SUMIFS(SurveyDATA!#REF!,SurveyDATA!E:E,"*BOCAUE*",SurveyDATA!#REF!,"*SAMPLING*")</f>
        <v>#REF!</v>
      </c>
      <c r="F55" s="1489" t="e">
        <f>SUMIFS(SurveyDATA!#REF!,SurveyDATA!E:E,"*BOCAUE*",SurveyDATA!#REF!,"*SAMPLING*")+SUMIFS(SurveyDATA!#REF!,SurveyDATA!E:E,"*BOCAUE*",SurveyDATA!#REF!,"*SAMPLING*")</f>
        <v>#REF!</v>
      </c>
      <c r="G55" s="1489" t="e">
        <f>SUMIFS(SurveyDATA!#REF!,SurveyDATA!E:E,"*BOCAUE*",SurveyDATA!#REF!,"*SAMPLING*")+SUMIFS(SurveyDATA!#REF!,SurveyDATA!E:E,"*BOCAUE*",SurveyDATA!#REF!,"*SAMPLING*")</f>
        <v>#REF!</v>
      </c>
      <c r="H55" s="1489" t="e">
        <f>SUMIFS(SurveyDATA!#REF!,SurveyDATA!E:E,"*BOCAUE*",SurveyDATA!#REF!,"*SAMPLING*")+SUMIFS(SurveyDATA!#REF!,SurveyDATA!E:E,"*BOCAUE*",SurveyDATA!#REF!,"*SAMPLING*")</f>
        <v>#REF!</v>
      </c>
      <c r="I55" s="1489" t="e">
        <f>SUMIFS(SurveyDATA!#REF!,SurveyDATA!E:E,"*BOCAUE*",SurveyDATA!#REF!,"*SAMPLING*")+SUMIFS(SurveyDATA!#REF!,SurveyDATA!E:E,"*BOCAUE*",SurveyDATA!#REF!,"*SAMPLING*")</f>
        <v>#REF!</v>
      </c>
      <c r="J55" s="1489" t="e">
        <f>SUMIFS(SurveyDATA!#REF!,SurveyDATA!E:E,"*BOCAUE*",SurveyDATA!#REF!,"*SAMPLING*")+SUMIFS(SurveyDATA!#REF!,SurveyDATA!E:E,"*BOCAUE*",SurveyDATA!#REF!,"*SAMPLING*")</f>
        <v>#REF!</v>
      </c>
      <c r="K55" s="1489" t="e">
        <f>SUMIFS(SurveyDATA!#REF!,SurveyDATA!E:E,"*BOCAUE*",SurveyDATA!#REF!,"*SAMPLING*")+SUMIFS(SurveyDATA!#REF!,SurveyDATA!E:E,"*BOCAUE*",SurveyDATA!#REF!,"*SAMPLING*")</f>
        <v>#REF!</v>
      </c>
      <c r="L55" s="1489" t="e">
        <f>SUMIFS(SurveyDATA!#REF!,SurveyDATA!E:E,"*BOCAUE*",SurveyDATA!#REF!,"*SAMPLING*")+SUMIFS(SurveyDATA!#REF!,SurveyDATA!E:E,"*BOCAUE*",SurveyDATA!#REF!,"*SAMPLING*")</f>
        <v>#REF!</v>
      </c>
      <c r="M55" s="1489">
        <v>0</v>
      </c>
      <c r="N55" s="1489" t="e">
        <f t="shared" si="8"/>
        <v>#REF!</v>
      </c>
      <c r="S55" s="1404"/>
      <c r="T55" s="1404"/>
      <c r="U55" s="1404"/>
      <c r="AY55" s="1403" t="s">
        <v>12479</v>
      </c>
    </row>
    <row r="56" spans="1:51">
      <c r="A56" s="1474" t="s">
        <v>5495</v>
      </c>
      <c r="B56" s="1489" t="e">
        <f>SUMIFS(SurveyDATA!#REF!,SurveyDATA!E:E,"*MARILAO*",SurveyDATA!#REF!,"*SAMPLING*")+SUMIFS(SurveyDATA!#REF!,SurveyDATA!E:E,"*MARILAO*",SurveyDATA!#REF!,"*SAMPLING*")</f>
        <v>#REF!</v>
      </c>
      <c r="C56" s="1489" t="e">
        <f>SUMIFS(SurveyDATA!#REF!,SurveyDATA!E:E,"*MARILAO*",SurveyDATA!#REF!,"*SAMPLING*")+SUMIFS(SurveyDATA!#REF!,SurveyDATA!E:E,"*MARILAO*",SurveyDATA!#REF!,"*SAMPLING*")</f>
        <v>#REF!</v>
      </c>
      <c r="D56" s="1489" t="e">
        <f>SUMIFS(SurveyDATA!#REF!,SurveyDATA!E:E,"*MARILAO*",SurveyDATA!#REF!,"*SAMPLING*")+SUMIFS(SurveyDATA!#REF!,SurveyDATA!E:E,"*MARILAO*",SurveyDATA!#REF!,"*SAMPLING*")</f>
        <v>#REF!</v>
      </c>
      <c r="E56" s="1489" t="e">
        <f>SUMIFS(SurveyDATA!#REF!,SurveyDATA!E:E,"*MARILAO*",SurveyDATA!#REF!,"*SAMPLING*")+SUMIFS(SurveyDATA!#REF!,SurveyDATA!E:E,"*MARILAO*",SurveyDATA!#REF!,"*SAMPLING*")</f>
        <v>#REF!</v>
      </c>
      <c r="F56" s="1489" t="e">
        <f>SUMIFS(SurveyDATA!#REF!,SurveyDATA!E:E,"*MARILAO*",SurveyDATA!#REF!,"*SAMPLING*")+SUMIFS(SurveyDATA!#REF!,SurveyDATA!E:E,"*MARILAO*",SurveyDATA!#REF!,"*SAMPLING*")</f>
        <v>#REF!</v>
      </c>
      <c r="G56" s="1489" t="e">
        <f>SUMIFS(SurveyDATA!#REF!,SurveyDATA!E:E,"*MARILAO*",SurveyDATA!#REF!,"*SAMPLING*")+SUMIFS(SurveyDATA!#REF!,SurveyDATA!E:E,"*MARILAO*",SurveyDATA!#REF!,"*SAMPLING*")</f>
        <v>#REF!</v>
      </c>
      <c r="H56" s="1489" t="e">
        <f>SUMIFS(SurveyDATA!#REF!,SurveyDATA!E:E,"*MARILAO*",SurveyDATA!#REF!,"*SAMPLING*")+SUMIFS(SurveyDATA!#REF!,SurveyDATA!E:E,"*MARILAO*",SurveyDATA!#REF!,"*SAMPLING*")</f>
        <v>#REF!</v>
      </c>
      <c r="I56" s="1489" t="e">
        <f>SUMIFS(SurveyDATA!#REF!,SurveyDATA!E:E,"*MARILAO*",SurveyDATA!#REF!,"*SAMPLING*")+SUMIFS(SurveyDATA!#REF!,SurveyDATA!E:E,"*MARILAO*",SurveyDATA!#REF!,"*SAMPLING*")</f>
        <v>#REF!</v>
      </c>
      <c r="J56" s="1489" t="e">
        <f>SUMIFS(SurveyDATA!#REF!,SurveyDATA!E:E,"*MARILAO*",SurveyDATA!#REF!,"*SAMPLING*")+SUMIFS(SurveyDATA!#REF!,SurveyDATA!E:E,"*MARILAO*",SurveyDATA!#REF!,"*SAMPLING*")</f>
        <v>#REF!</v>
      </c>
      <c r="K56" s="1489" t="e">
        <f>SUMIFS(SurveyDATA!#REF!,SurveyDATA!E:E,"*MARILAO*",SurveyDATA!#REF!,"*SAMPLING*")+SUMIFS(SurveyDATA!#REF!,SurveyDATA!E:E,"*MARILAO*",SurveyDATA!#REF!,"*SAMPLING*")</f>
        <v>#REF!</v>
      </c>
      <c r="L56" s="1489" t="e">
        <f>SUMIFS(SurveyDATA!#REF!,SurveyDATA!E:E,"*MARILAO*",SurveyDATA!#REF!,"*SAMPLING*")+SUMIFS(SurveyDATA!#REF!,SurveyDATA!E:E,"*MARILAO*",SurveyDATA!#REF!,"*SAMPLING*")</f>
        <v>#REF!</v>
      </c>
      <c r="M56" s="1489">
        <v>0</v>
      </c>
      <c r="N56" s="1489" t="e">
        <f t="shared" si="8"/>
        <v>#REF!</v>
      </c>
      <c r="S56" s="1404"/>
      <c r="T56" s="1404"/>
      <c r="U56" s="1404"/>
      <c r="AY56" s="1403" t="s">
        <v>12480</v>
      </c>
    </row>
    <row r="57" spans="1:51">
      <c r="A57" s="1474" t="s">
        <v>5496</v>
      </c>
      <c r="B57" s="1489" t="e">
        <f>SUMIFS(SurveyDATA!#REF!,SurveyDATA!E:E,"*MEYCAUAYAN*",SurveyDATA!#REF!,"*SAMPLING*")+SUMIFS(SurveyDATA!#REF!,SurveyDATA!E:E,"*MEYCAUAYAN*",SurveyDATA!#REF!,"*SAMPLING*")</f>
        <v>#REF!</v>
      </c>
      <c r="C57" s="1489" t="e">
        <f>SUMIFS(SurveyDATA!#REF!,SurveyDATA!E:E,"*MEYCAUAYAN*",SurveyDATA!#REF!,"*SAMPLING*")+SUMIFS(SurveyDATA!#REF!,SurveyDATA!E:E,"*MEYCAUAYAN*",SurveyDATA!#REF!,"*SAMPLING*")</f>
        <v>#REF!</v>
      </c>
      <c r="D57" s="1489" t="e">
        <f>SUMIFS(SurveyDATA!#REF!,SurveyDATA!E:E,"*MEYCAUAYAN*",SurveyDATA!#REF!,"*SAMPLING*")+SUMIFS(SurveyDATA!#REF!,SurveyDATA!E:E,"*MEYCAUAYAN*",SurveyDATA!#REF!,"*SAMPLING*")</f>
        <v>#REF!</v>
      </c>
      <c r="E57" s="1489" t="e">
        <f>SUMIFS(SurveyDATA!#REF!,SurveyDATA!E:E,"*MEYCAUAYAN*",SurveyDATA!#REF!,"*SAMPLING*")+SUMIFS(SurveyDATA!#REF!,SurveyDATA!E:E,"*MEYCAUAYAN*",SurveyDATA!#REF!,"*SAMPLING*")</f>
        <v>#REF!</v>
      </c>
      <c r="F57" s="1489" t="e">
        <f>SUMIFS(SurveyDATA!#REF!,SurveyDATA!E:E,"*MEYCAUAYAN*",SurveyDATA!#REF!,"*SAMPLING*")+SUMIFS(SurveyDATA!#REF!,SurveyDATA!E:E,"*MEYCAUAYAN*",SurveyDATA!#REF!,"*SAMPLING*")</f>
        <v>#REF!</v>
      </c>
      <c r="G57" s="1489" t="e">
        <f>SUMIFS(SurveyDATA!#REF!,SurveyDATA!E:E,"*MEYCAUAYAN*",SurveyDATA!#REF!,"*SAMPLING*")+SUMIFS(SurveyDATA!#REF!,SurveyDATA!E:E,"*MEYCAUAYAN*",SurveyDATA!#REF!,"*SAMPLING*")</f>
        <v>#REF!</v>
      </c>
      <c r="H57" s="1489" t="e">
        <f>SUMIFS(SurveyDATA!#REF!,SurveyDATA!E:E,"*MEYCAUAYAN*",SurveyDATA!#REF!,"*SAMPLING*")+SUMIFS(SurveyDATA!#REF!,SurveyDATA!E:E,"*MEYCAUAYAN*",SurveyDATA!#REF!,"*SAMPLING*")</f>
        <v>#REF!</v>
      </c>
      <c r="I57" s="1489" t="e">
        <f>SUMIFS(SurveyDATA!#REF!,SurveyDATA!E:E,"*MEYCAUAYAN*",SurveyDATA!#REF!,"*SAMPLING*")+SUMIFS(SurveyDATA!#REF!,SurveyDATA!E:E,"*MEYCAUAYAN*",SurveyDATA!#REF!,"*SAMPLING*")</f>
        <v>#REF!</v>
      </c>
      <c r="J57" s="1489" t="e">
        <f>SUMIFS(SurveyDATA!#REF!,SurveyDATA!E:E,"*MEYCAUAYAN*",SurveyDATA!#REF!,"*SAMPLING*")+SUMIFS(SurveyDATA!#REF!,SurveyDATA!E:E,"*MEYCAUAYAN*",SurveyDATA!#REF!,"*SAMPLING*")</f>
        <v>#REF!</v>
      </c>
      <c r="K57" s="1489" t="e">
        <f>SUMIFS(SurveyDATA!#REF!,SurveyDATA!E:E,"*MEYCAUAYAN*",SurveyDATA!#REF!,"*SAMPLING*")+SUMIFS(SurveyDATA!#REF!,SurveyDATA!E:E,"*MEYCAUAYAN*",SurveyDATA!#REF!,"*SAMPLING*")</f>
        <v>#REF!</v>
      </c>
      <c r="L57" s="1489" t="e">
        <f>SUMIFS(SurveyDATA!#REF!,SurveyDATA!E:E,"*MEYCAUAYAN*",SurveyDATA!#REF!,"*SAMPLING*")+SUMIFS(SurveyDATA!#REF!,SurveyDATA!E:E,"*MEYCAUAYAN*",SurveyDATA!#REF!,"*SAMPLING*")</f>
        <v>#REF!</v>
      </c>
      <c r="M57" s="1489">
        <v>0</v>
      </c>
      <c r="N57" s="1489" t="e">
        <f t="shared" si="8"/>
        <v>#REF!</v>
      </c>
      <c r="S57" s="1404"/>
      <c r="T57" s="1404"/>
      <c r="U57" s="1404"/>
      <c r="AY57" s="1403" t="s">
        <v>8537</v>
      </c>
    </row>
    <row r="58" spans="1:51">
      <c r="A58" s="1474" t="s">
        <v>778</v>
      </c>
      <c r="B58" s="1489" t="e">
        <f>SUMIFS(SurveyDATA!#REF!,SurveyDATA!E:E,"*VALENZUELA*",SurveyDATA!#REF!,"*SAMPLING*")+SUMIFS(SurveyDATA!#REF!,SurveyDATA!E:E,"*VALENZUELA*",SurveyDATA!#REF!,"*SAMPLING*")</f>
        <v>#REF!</v>
      </c>
      <c r="C58" s="1489" t="e">
        <f>SUMIFS(SurveyDATA!#REF!,SurveyDATA!E:E,"*VALENZUELA*",SurveyDATA!#REF!,"*SAMPLING*")+SUMIFS(SurveyDATA!#REF!,SurveyDATA!E:E,"*VALENZUELA*",SurveyDATA!#REF!,"*SAMPLING*")</f>
        <v>#REF!</v>
      </c>
      <c r="D58" s="1489" t="e">
        <f>SUMIFS(SurveyDATA!#REF!,SurveyDATA!E:E,"*VALENZUELA*",SurveyDATA!#REF!,"*SAMPLING*")+SUMIFS(SurveyDATA!#REF!,SurveyDATA!E:E,"*VALENZUELA*",SurveyDATA!#REF!,"*SAMPLING*")</f>
        <v>#REF!</v>
      </c>
      <c r="E58" s="1489" t="e">
        <f>SUMIFS(SurveyDATA!#REF!,SurveyDATA!E:E,"*VALENZUELA*",SurveyDATA!#REF!,"*SAMPLING*")+SUMIFS(SurveyDATA!#REF!,SurveyDATA!E:E,"*VALENZUELA*",SurveyDATA!#REF!,"*SAMPLING*")</f>
        <v>#REF!</v>
      </c>
      <c r="F58" s="1489" t="e">
        <f>SUMIFS(SurveyDATA!#REF!,SurveyDATA!E:E,"*VALENZUELA*",SurveyDATA!#REF!,"*SAMPLING*")+SUMIFS(SurveyDATA!#REF!,SurveyDATA!E:E,"*VALENZUELA*",SurveyDATA!#REF!,"*SAMPLING*")</f>
        <v>#REF!</v>
      </c>
      <c r="G58" s="1489" t="e">
        <f>SUMIFS(SurveyDATA!#REF!,SurveyDATA!E:E,"*VALENZUELA*",SurveyDATA!#REF!,"*SAMPLING*")+SUMIFS(SurveyDATA!#REF!,SurveyDATA!E:E,"*VALENZUELA*",SurveyDATA!#REF!,"*SAMPLING*")</f>
        <v>#REF!</v>
      </c>
      <c r="H58" s="1489" t="e">
        <f>SUMIFS(SurveyDATA!#REF!,SurveyDATA!E:E,"*VALENZUELA*",SurveyDATA!#REF!,"*SAMPLING*")+SUMIFS(SurveyDATA!#REF!,SurveyDATA!E:E,"*VALENZUELA*",SurveyDATA!#REF!,"*SAMPLING*")</f>
        <v>#REF!</v>
      </c>
      <c r="I58" s="1489" t="e">
        <f>SUMIFS(SurveyDATA!#REF!,SurveyDATA!E:E,"*VALENZUELA*",SurveyDATA!#REF!,"*SAMPLING*")+SUMIFS(SurveyDATA!#REF!,SurveyDATA!E:E,"*VALENZUELA*",SurveyDATA!#REF!,"*SAMPLING*")</f>
        <v>#REF!</v>
      </c>
      <c r="J58" s="1489" t="e">
        <f>SUMIFS(SurveyDATA!#REF!,SurveyDATA!E:E,"*VALENZUELA*",SurveyDATA!#REF!,"*SAMPLING*")+SUMIFS(SurveyDATA!#REF!,SurveyDATA!E:E,"*VALENZUELA*",SurveyDATA!#REF!,"*SAMPLING*")</f>
        <v>#REF!</v>
      </c>
      <c r="K58" s="1489" t="e">
        <f>SUMIFS(SurveyDATA!#REF!,SurveyDATA!E:E,"*VALENZUELA*",SurveyDATA!#REF!,"*SAMPLING*")+SUMIFS(SurveyDATA!#REF!,SurveyDATA!E:E,"*VALENZUELA*",SurveyDATA!#REF!,"*SAMPLING*")</f>
        <v>#REF!</v>
      </c>
      <c r="L58" s="1489" t="e">
        <f>SUMIFS(SurveyDATA!#REF!,SurveyDATA!E:E,"*VALENZUELA*",SurveyDATA!#REF!,"*SAMPLING*")+SUMIFS(SurveyDATA!#REF!,SurveyDATA!E:E,"*MANILA*",SurveyDATA!#REF!,"*SAMPLING*")</f>
        <v>#REF!</v>
      </c>
      <c r="M58" s="1489">
        <v>11</v>
      </c>
      <c r="N58" s="1489" t="e">
        <f t="shared" si="8"/>
        <v>#REF!</v>
      </c>
      <c r="S58" s="1404"/>
      <c r="T58" s="1404"/>
      <c r="U58" s="1404"/>
      <c r="AY58" s="1403" t="s">
        <v>8543</v>
      </c>
    </row>
    <row r="59" spans="1:51">
      <c r="A59" s="1474" t="s">
        <v>5493</v>
      </c>
      <c r="B59" s="1489" t="e">
        <f>SUMIFS(SurveyDATA!#REF!,SurveyDATA!E:E,"*CALOOCAN*",SurveyDATA!#REF!,"*SAMPLING*")+SUMIFS(SurveyDATA!#REF!,SurveyDATA!E:E,"*CALOOCAN*",SurveyDATA!#REF!,"*SAMPLING*")</f>
        <v>#REF!</v>
      </c>
      <c r="C59" s="1489" t="e">
        <f>SUMIFS(SurveyDATA!#REF!,SurveyDATA!E:E,"*CALOOCAN*",SurveyDATA!#REF!,"*SAMPLING*")+SUMIFS(SurveyDATA!#REF!,SurveyDATA!E:E,"*CALOOCAN*",SurveyDATA!#REF!,"*SAMPLING*")</f>
        <v>#REF!</v>
      </c>
      <c r="D59" s="1489" t="e">
        <f>SUMIFS(SurveyDATA!#REF!,SurveyDATA!E:E,"*CALOOCAN*",SurveyDATA!#REF!,"*SAMPLING*")+SUMIFS(SurveyDATA!#REF!,SurveyDATA!E:E,"*CALOOCAN*",SurveyDATA!#REF!,"*SAMPLING*")</f>
        <v>#REF!</v>
      </c>
      <c r="E59" s="1489" t="e">
        <f>SUMIFS(SurveyDATA!#REF!,SurveyDATA!E:E,"*CALOOCAN*",SurveyDATA!#REF!,"*SAMPLING*")+SUMIFS(SurveyDATA!#REF!,SurveyDATA!E:E,"*CALOOCAN*",SurveyDATA!#REF!,"*SAMPLING*")</f>
        <v>#REF!</v>
      </c>
      <c r="F59" s="1489" t="e">
        <f>SUMIFS(SurveyDATA!#REF!,SurveyDATA!E:E,"*CALOOCAN*",SurveyDATA!#REF!,"*SAMPLING*")+SUMIFS(SurveyDATA!#REF!,SurveyDATA!E:E,"*CALOOCAN*",SurveyDATA!#REF!,"*SAMPLING*")</f>
        <v>#REF!</v>
      </c>
      <c r="G59" s="1489" t="e">
        <f>SUMIFS(SurveyDATA!#REF!,SurveyDATA!E:E,"*CALOOCAN*",SurveyDATA!#REF!,"*SAMPLING*")+SUMIFS(SurveyDATA!#REF!,SurveyDATA!E:E,"*CALOOCAN*",SurveyDATA!#REF!,"*SAMPLING*")</f>
        <v>#REF!</v>
      </c>
      <c r="H59" s="1489" t="e">
        <f>SUMIFS(SurveyDATA!#REF!,SurveyDATA!E:E,"*CALOOCAN*",SurveyDATA!#REF!,"*SAMPLING*")+SUMIFS(SurveyDATA!#REF!,SurveyDATA!E:E,"*CALOOCAN*",SurveyDATA!#REF!,"*SAMPLING*")</f>
        <v>#REF!</v>
      </c>
      <c r="I59" s="1489" t="e">
        <f>SUMIFS(SurveyDATA!#REF!,SurveyDATA!E:E,"*CALOOCAN*",SurveyDATA!#REF!,"*SAMPLING*")+SUMIFS(SurveyDATA!#REF!,SurveyDATA!E:E,"*CALOOCAN*",SurveyDATA!#REF!,"*SAMPLING*")</f>
        <v>#REF!</v>
      </c>
      <c r="J59" s="1489" t="e">
        <f>SUMIFS(SurveyDATA!#REF!,SurveyDATA!E:E,"*CALOOCAN*",SurveyDATA!#REF!,"*SAMPLING*")+SUMIFS(SurveyDATA!#REF!,SurveyDATA!E:E,"*CALOOCAN*",SurveyDATA!#REF!,"*SAMPLING*")</f>
        <v>#REF!</v>
      </c>
      <c r="K59" s="1489" t="e">
        <f>SUMIFS(SurveyDATA!#REF!,SurveyDATA!E:E,"*CALOOCAN*",SurveyDATA!#REF!,"*SAMPLING*")+SUMIFS(SurveyDATA!#REF!,SurveyDATA!E:E,"*CALOOCAN*",SurveyDATA!#REF!,"*SAMPLING*")</f>
        <v>#REF!</v>
      </c>
      <c r="L59" s="1489" t="e">
        <f>SUMIFS(SurveyDATA!#REF!,SurveyDATA!E:E,"*CALOOCAN*",SurveyDATA!#REF!,"*SAMPLING*")+SUMIFS(SurveyDATA!#REF!,SurveyDATA!E:E,"*CALOOCAN*",SurveyDATA!#REF!,"*SAMPLING*")</f>
        <v>#REF!</v>
      </c>
      <c r="M59" s="1489">
        <v>5</v>
      </c>
      <c r="N59" s="1489" t="e">
        <f t="shared" si="8"/>
        <v>#REF!</v>
      </c>
      <c r="S59" s="1404"/>
      <c r="T59" s="1404"/>
      <c r="U59" s="1404"/>
      <c r="AY59" s="1403" t="s">
        <v>8545</v>
      </c>
    </row>
    <row r="60" spans="1:51">
      <c r="A60" s="1474" t="s">
        <v>1020</v>
      </c>
      <c r="B60" s="1489" t="e">
        <f>SUMIFS(SurveyDATA!#REF!,SurveyDATA!E:E,"*MANILA*",SurveyDATA!#REF!,"*SAMPLING*")+SUMIFS(SurveyDATA!#REF!,SurveyDATA!E:E,"*MANILA*",SurveyDATA!#REF!,"*SAMPLING*")</f>
        <v>#REF!</v>
      </c>
      <c r="C60" s="1489" t="e">
        <f>SUMIFS(SurveyDATA!#REF!,SurveyDATA!E:E,"*MANILA*",SurveyDATA!#REF!,"*SAMPLING*")+SUMIFS(SurveyDATA!#REF!,SurveyDATA!E:E,"*MANILA*",SurveyDATA!#REF!,"*SAMPLING*")</f>
        <v>#REF!</v>
      </c>
      <c r="D60" s="1489" t="e">
        <f>SUMIFS(SurveyDATA!#REF!,SurveyDATA!E:E,"*MANILA*",SurveyDATA!#REF!,"*SAMPLING*")+SUMIFS(SurveyDATA!#REF!,SurveyDATA!E:E,"*MANILA*",SurveyDATA!#REF!,"*SAMPLING*")</f>
        <v>#REF!</v>
      </c>
      <c r="E60" s="1489" t="e">
        <f>SUMIFS(SurveyDATA!#REF!,SurveyDATA!E:E,"*MANILA*",SurveyDATA!#REF!,"*SAMPLING*")+SUMIFS(SurveyDATA!#REF!,SurveyDATA!E:E,"*MANILA*",SurveyDATA!#REF!,"*SAMPLING*")</f>
        <v>#REF!</v>
      </c>
      <c r="F60" s="1489" t="e">
        <f>SUMIFS(SurveyDATA!#REF!,SurveyDATA!E:E,"*MANILA*",SurveyDATA!#REF!,"*SAMPLING*")+SUMIFS(SurveyDATA!#REF!,SurveyDATA!E:E,"*MANILA*",SurveyDATA!#REF!,"*SAMPLING*")</f>
        <v>#REF!</v>
      </c>
      <c r="G60" s="1489" t="e">
        <f>SUMIFS(SurveyDATA!#REF!,SurveyDATA!E:E,"*MANILA*",SurveyDATA!#REF!,"*SAMPLING*")+SUMIFS(SurveyDATA!#REF!,SurveyDATA!E:E,"*MANILA*",SurveyDATA!#REF!,"*SAMPLING*")</f>
        <v>#REF!</v>
      </c>
      <c r="H60" s="1489" t="e">
        <f>SUMIFS(SurveyDATA!#REF!,SurveyDATA!E:E,"*MANILA*",SurveyDATA!#REF!,"*SAMPLING*")+SUMIFS(SurveyDATA!#REF!,SurveyDATA!E:E,"*MANILA*",SurveyDATA!#REF!,"*SAMPLING*")</f>
        <v>#REF!</v>
      </c>
      <c r="I60" s="1489" t="e">
        <f>SUMIFS(SurveyDATA!#REF!,SurveyDATA!E:E,"*MANILA*",SurveyDATA!#REF!,"*SAMPLING*")+SUMIFS(SurveyDATA!#REF!,SurveyDATA!E:E,"*MANILA*",SurveyDATA!#REF!,"*SAMPLING*")</f>
        <v>#REF!</v>
      </c>
      <c r="J60" s="1489" t="e">
        <f>SUMIFS(SurveyDATA!#REF!,SurveyDATA!E:E,"*MANILA*",SurveyDATA!#REF!,"*SAMPLING*")+SUMIFS(SurveyDATA!#REF!,SurveyDATA!E:E,"*MANILA*",SurveyDATA!#REF!,"*SAMPLING*")</f>
        <v>#REF!</v>
      </c>
      <c r="K60" s="1489" t="e">
        <f>SUMIFS(SurveyDATA!#REF!,SurveyDATA!E:E,"*MANILA*",SurveyDATA!#REF!,"*SAMPLING*")+SUMIFS(SurveyDATA!#REF!,SurveyDATA!E:E,"*MANILA*",SurveyDATA!#REF!,"*SAMPLING*")</f>
        <v>#REF!</v>
      </c>
      <c r="L60" s="1489" t="e">
        <f>SUMIFS(SurveyDATA!#REF!,SurveyDATA!E:E,"*MANILA*",SurveyDATA!#REF!,"*SAMPLING*")+SUMIFS(SurveyDATA!#REF!,SurveyDATA!E:E,"*MANILA*",SurveyDATA!#REF!,"*SAMPLING*")</f>
        <v>#REF!</v>
      </c>
      <c r="M60" s="1489">
        <v>1</v>
      </c>
      <c r="N60" s="1489" t="e">
        <f t="shared" si="8"/>
        <v>#REF!</v>
      </c>
      <c r="S60" s="1404"/>
      <c r="T60" s="1404"/>
      <c r="U60" s="1404"/>
      <c r="AY60" s="1403" t="s">
        <v>1985</v>
      </c>
    </row>
    <row r="61" spans="1:51">
      <c r="A61" s="1479" t="s">
        <v>2034</v>
      </c>
      <c r="B61" s="1480" t="e">
        <f t="shared" ref="B61:N61" si="9">SUM(B52:B60)</f>
        <v>#REF!</v>
      </c>
      <c r="C61" s="1480" t="e">
        <f t="shared" si="9"/>
        <v>#REF!</v>
      </c>
      <c r="D61" s="1480" t="e">
        <f t="shared" si="9"/>
        <v>#REF!</v>
      </c>
      <c r="E61" s="1480" t="e">
        <f t="shared" si="9"/>
        <v>#REF!</v>
      </c>
      <c r="F61" s="1480" t="e">
        <f t="shared" si="9"/>
        <v>#REF!</v>
      </c>
      <c r="G61" s="1480" t="e">
        <f t="shared" si="9"/>
        <v>#REF!</v>
      </c>
      <c r="H61" s="1480" t="e">
        <f t="shared" si="9"/>
        <v>#REF!</v>
      </c>
      <c r="I61" s="1480" t="e">
        <f t="shared" si="9"/>
        <v>#REF!</v>
      </c>
      <c r="J61" s="1480" t="e">
        <f t="shared" si="9"/>
        <v>#REF!</v>
      </c>
      <c r="K61" s="1480" t="e">
        <f t="shared" si="9"/>
        <v>#REF!</v>
      </c>
      <c r="L61" s="1480" t="e">
        <f t="shared" si="9"/>
        <v>#REF!</v>
      </c>
      <c r="M61" s="1480">
        <f t="shared" si="9"/>
        <v>17</v>
      </c>
      <c r="N61" s="1480" t="e">
        <f t="shared" si="9"/>
        <v>#REF!</v>
      </c>
      <c r="S61" s="1404"/>
      <c r="T61" s="1404"/>
      <c r="U61" s="1404"/>
      <c r="AY61" s="1403" t="s">
        <v>8550</v>
      </c>
    </row>
    <row r="62" spans="1:51">
      <c r="A62" s="1490" t="s">
        <v>7243</v>
      </c>
      <c r="B62" s="1481" t="e">
        <f t="shared" ref="B62:M62" si="10">B61/$N61</f>
        <v>#REF!</v>
      </c>
      <c r="C62" s="1481" t="e">
        <f t="shared" si="10"/>
        <v>#REF!</v>
      </c>
      <c r="D62" s="1481" t="e">
        <f t="shared" si="10"/>
        <v>#REF!</v>
      </c>
      <c r="E62" s="1481" t="e">
        <f t="shared" si="10"/>
        <v>#REF!</v>
      </c>
      <c r="F62" s="1481" t="e">
        <f t="shared" si="10"/>
        <v>#REF!</v>
      </c>
      <c r="G62" s="1481" t="e">
        <f t="shared" si="10"/>
        <v>#REF!</v>
      </c>
      <c r="H62" s="1481" t="e">
        <f t="shared" si="10"/>
        <v>#REF!</v>
      </c>
      <c r="I62" s="1481" t="e">
        <f t="shared" si="10"/>
        <v>#REF!</v>
      </c>
      <c r="J62" s="1481" t="e">
        <f t="shared" si="10"/>
        <v>#REF!</v>
      </c>
      <c r="K62" s="1481" t="e">
        <f t="shared" si="10"/>
        <v>#REF!</v>
      </c>
      <c r="L62" s="1481" t="e">
        <f t="shared" si="10"/>
        <v>#REF!</v>
      </c>
      <c r="M62" s="1481" t="e">
        <f t="shared" si="10"/>
        <v>#REF!</v>
      </c>
      <c r="N62" s="1491" t="e">
        <f>SUM(B62:M62)</f>
        <v>#REF!</v>
      </c>
      <c r="S62" s="1404"/>
      <c r="T62" s="1404"/>
      <c r="U62" s="1404"/>
      <c r="AY62" s="1403" t="s">
        <v>8552</v>
      </c>
    </row>
    <row r="63" spans="1:51">
      <c r="S63" s="1404"/>
      <c r="T63" s="1404"/>
      <c r="U63" s="1404"/>
      <c r="AX63" s="1403" t="s">
        <v>12481</v>
      </c>
    </row>
    <row r="64" spans="1:51">
      <c r="S64" s="1404"/>
      <c r="T64" s="1404"/>
      <c r="U64" s="1404"/>
    </row>
    <row r="65" spans="1:28">
      <c r="A65" s="1406" t="s">
        <v>7272</v>
      </c>
    </row>
    <row r="66" spans="1:28">
      <c r="A66" s="1492"/>
      <c r="B66" s="1493" t="s">
        <v>12482</v>
      </c>
      <c r="C66" s="1494" t="s">
        <v>12483</v>
      </c>
      <c r="D66" s="1493" t="s">
        <v>12484</v>
      </c>
      <c r="E66" s="1493" t="s">
        <v>12485</v>
      </c>
      <c r="F66" s="1493" t="s">
        <v>12486</v>
      </c>
      <c r="G66" s="1493" t="s">
        <v>12487</v>
      </c>
      <c r="H66" s="1493" t="s">
        <v>1214</v>
      </c>
      <c r="I66" s="1493"/>
      <c r="M66" s="1403"/>
      <c r="N66" s="1404"/>
      <c r="Q66" s="1404"/>
    </row>
    <row r="67" spans="1:28">
      <c r="A67" s="1495" t="s">
        <v>7214</v>
      </c>
      <c r="B67" s="1496" t="s">
        <v>12488</v>
      </c>
      <c r="C67" s="1496" t="s">
        <v>12489</v>
      </c>
      <c r="D67" s="1496" t="s">
        <v>12490</v>
      </c>
      <c r="E67" s="1496" t="s">
        <v>12491</v>
      </c>
      <c r="F67" s="1496" t="s">
        <v>12492</v>
      </c>
      <c r="G67" s="1496" t="s">
        <v>12493</v>
      </c>
      <c r="H67" s="1496" t="s">
        <v>12542</v>
      </c>
      <c r="I67" s="1496" t="s">
        <v>2034</v>
      </c>
      <c r="M67" s="1403"/>
      <c r="N67" s="1404"/>
      <c r="Q67" s="1404"/>
    </row>
    <row r="68" spans="1:28">
      <c r="A68" s="1489" t="s">
        <v>5848</v>
      </c>
      <c r="B68" s="1497" t="e">
        <f>COUNTIFS(SurveyDATA!#REF!,"*SAMPLING*",SurveyDATA!E:E,"*MALOLOS*",SurveyDATA!AB:AB,"*LESS*")</f>
        <v>#REF!</v>
      </c>
      <c r="C68" s="1497" t="e">
        <f>COUNTIFS(SurveyDATA!#REF!,"*SAMPLING*",SurveyDATA!E:E,"*MALOLOS*",SurveyDATA!AB:AB,"*1-3*")</f>
        <v>#REF!</v>
      </c>
      <c r="D68" s="1497" t="e">
        <f>COUNTIFS(SurveyDATA!#REF!,"*SAMPLING*",SurveyDATA!E:E,"*MALOLOS*",SurveyDATA!AB:AB,"*3-6*")</f>
        <v>#REF!</v>
      </c>
      <c r="E68" s="1497" t="e">
        <f>COUNTIFS(SurveyDATA!#REF!,"*SAMPLING*",SurveyDATA!E:E,"*MALOLOS*",SurveyDATA!AB:AB,"*6-10*")</f>
        <v>#REF!</v>
      </c>
      <c r="F68" s="1497" t="e">
        <f>COUNTIFS(SurveyDATA!#REF!,"*SAMPLING*",SurveyDATA!E:E,"*MALOLOS*",SurveyDATA!AB:AB,"*10-15*")</f>
        <v>#REF!</v>
      </c>
      <c r="G68" s="1497" t="e">
        <f>COUNTIFS(SurveyDATA!#REF!,"*SAMPLING*",SurveyDATA!E:E,"*MALOLOS*",SurveyDATA!AB:AB,"*MORE*")</f>
        <v>#REF!</v>
      </c>
      <c r="H68" s="1497" t="e">
        <f>COUNTIFS(SurveyDATA!#REF!,"*SAMPLING*",SurveyDATA!E:E,"*MALOLOS*",SurveyDATA!AB:AB,"")</f>
        <v>#REF!</v>
      </c>
      <c r="I68" s="1497" t="e">
        <f t="shared" ref="I68:I76" si="11">SUM(B68:H68)</f>
        <v>#REF!</v>
      </c>
      <c r="M68" s="1403"/>
      <c r="N68" s="1404"/>
      <c r="Q68" s="1404"/>
    </row>
    <row r="69" spans="1:28">
      <c r="A69" s="1474" t="s">
        <v>5494</v>
      </c>
      <c r="B69" s="1497" t="e">
        <f>COUNTIFS(SurveyDATA!#REF!,"*SAMPLING*",SurveyDATA!E:E,"*GUIGUINTO*",SurveyDATA!AB:AB,"*LESS*")</f>
        <v>#REF!</v>
      </c>
      <c r="C69" s="1497" t="e">
        <f>COUNTIFS(SurveyDATA!#REF!,"*SAMPLING*",SurveyDATA!E:E,"*GUIGUINTO*",SurveyDATA!AB:AB,"*1-3*")</f>
        <v>#REF!</v>
      </c>
      <c r="D69" s="1497" t="e">
        <f>COUNTIFS(SurveyDATA!#REF!,"*SAMPLING*",SurveyDATA!E:E,"*GUIGUINTO*",SurveyDATA!AB:AB,"*3-6*")</f>
        <v>#REF!</v>
      </c>
      <c r="E69" s="1497" t="e">
        <f>COUNTIFS(SurveyDATA!#REF!,"*SAMPLING*",SurveyDATA!E:E,"*GUIGUINTO*",SurveyDATA!AB:AB,"*6-10*")</f>
        <v>#REF!</v>
      </c>
      <c r="F69" s="1497" t="e">
        <f>COUNTIFS(SurveyDATA!#REF!,"*SAMPLING*",SurveyDATA!E:E,"*GUIGUINTO*",SurveyDATA!AB:AB,"*10-15*")</f>
        <v>#REF!</v>
      </c>
      <c r="G69" s="1497" t="e">
        <f>COUNTIFS(SurveyDATA!#REF!,"*SAMPLING*",SurveyDATA!E:E,"*GUIGUINTO*",SurveyDATA!AB:AB,"*MORE*")</f>
        <v>#REF!</v>
      </c>
      <c r="H69" s="1497" t="e">
        <f>COUNTIFS(SurveyDATA!#REF!,"*SAMPLING*",SurveyDATA!E:E,"*GUIGUINTO*",SurveyDATA!AB:AB,"")</f>
        <v>#REF!</v>
      </c>
      <c r="I69" s="1497" t="e">
        <f t="shared" si="11"/>
        <v>#REF!</v>
      </c>
      <c r="M69" s="1403"/>
      <c r="N69" s="1404"/>
      <c r="Q69" s="1404"/>
    </row>
    <row r="70" spans="1:28">
      <c r="A70" s="1474" t="s">
        <v>5847</v>
      </c>
      <c r="B70" s="1497" t="e">
        <f>COUNTIFS(SurveyDATA!#REF!,"*SAMPLING*",SurveyDATA!E:E,"*BALAGTAS*",SurveyDATA!AB:AB,"*LESS*")</f>
        <v>#REF!</v>
      </c>
      <c r="C70" s="1497" t="e">
        <f>COUNTIFS(SurveyDATA!#REF!,"*SAMPLING*",SurveyDATA!E:E,"*BALAGTAS*",SurveyDATA!AB:AB,"*1-3*")</f>
        <v>#REF!</v>
      </c>
      <c r="D70" s="1497" t="e">
        <f>COUNTIFS(SurveyDATA!#REF!,"*SAMPLING*",SurveyDATA!E:E,"*BALAGTAS*",SurveyDATA!AB:AB,"*3-6*")</f>
        <v>#REF!</v>
      </c>
      <c r="E70" s="1497" t="e">
        <f>COUNTIFS(SurveyDATA!#REF!,"*SAMPLING*",SurveyDATA!E:E,"*BALAGTAS*",SurveyDATA!AB:AB,"*6-10*")</f>
        <v>#REF!</v>
      </c>
      <c r="F70" s="1497" t="e">
        <f>COUNTIFS(SurveyDATA!#REF!,"*SAMPLING*",SurveyDATA!E:E,"*BALAGTAS*",SurveyDATA!AB:AB,"*10-15*")</f>
        <v>#REF!</v>
      </c>
      <c r="G70" s="1497" t="e">
        <f>COUNTIFS(SurveyDATA!#REF!,"*SAMPLING*",SurveyDATA!E:E,"*BALAGTAS*",SurveyDATA!AB:AB,"*MORE*")</f>
        <v>#REF!</v>
      </c>
      <c r="H70" s="1497" t="e">
        <f>COUNTIFS(SurveyDATA!#REF!,"*SAMPLING*",SurveyDATA!E:E,"*BALAGTAS*",SurveyDATA!AB:AB,"")</f>
        <v>#REF!</v>
      </c>
      <c r="I70" s="1497" t="e">
        <f t="shared" si="11"/>
        <v>#REF!</v>
      </c>
      <c r="M70" s="1403"/>
      <c r="N70" s="1404"/>
      <c r="Q70" s="1404"/>
    </row>
    <row r="71" spans="1:28">
      <c r="A71" s="1474" t="s">
        <v>771</v>
      </c>
      <c r="B71" s="1497" t="e">
        <f>COUNTIFS(SurveyDATA!#REF!,"*SAMPLING*",SurveyDATA!E:E,"*BOCAUE*",SurveyDATA!AB:AB,"*LESS*")</f>
        <v>#REF!</v>
      </c>
      <c r="C71" s="1497" t="e">
        <f>COUNTIFS(SurveyDATA!#REF!,"*SAMPLING*",SurveyDATA!E:E,"*BOCAUE*",SurveyDATA!AB:AB,"*1-3*")</f>
        <v>#REF!</v>
      </c>
      <c r="D71" s="1497" t="e">
        <f>COUNTIFS(SurveyDATA!#REF!,"*SAMPLING*",SurveyDATA!E:E,"*BOCAUE*",SurveyDATA!AB:AB,"*3-6*")</f>
        <v>#REF!</v>
      </c>
      <c r="E71" s="1497" t="e">
        <f>COUNTIFS(SurveyDATA!#REF!,"*SAMPLING*",SurveyDATA!E:E,"*BOCAUE*",SurveyDATA!AB:AB,"*6-10*")</f>
        <v>#REF!</v>
      </c>
      <c r="F71" s="1497" t="e">
        <f>COUNTIFS(SurveyDATA!#REF!,"*SAMPLING*",SurveyDATA!E:E,"*BOCAUE*",SurveyDATA!AB:AB,"*10-15*")</f>
        <v>#REF!</v>
      </c>
      <c r="G71" s="1497" t="e">
        <f>COUNTIFS(SurveyDATA!#REF!,"*SAMPLING*",SurveyDATA!E:E,"*BOCAUE*",SurveyDATA!AB:AB,"*MORE*")</f>
        <v>#REF!</v>
      </c>
      <c r="H71" s="1497" t="e">
        <f>COUNTIFS(SurveyDATA!#REF!,"*SAMPLING*",SurveyDATA!E:E,"*BOCAUE*",SurveyDATA!AB:AB,"")</f>
        <v>#REF!</v>
      </c>
      <c r="I71" s="1497" t="e">
        <f t="shared" si="11"/>
        <v>#REF!</v>
      </c>
      <c r="M71" s="1403"/>
      <c r="N71" s="1404"/>
      <c r="Q71" s="1404"/>
      <c r="AB71" s="1498"/>
    </row>
    <row r="72" spans="1:28">
      <c r="A72" s="1474" t="s">
        <v>5495</v>
      </c>
      <c r="B72" s="1497" t="e">
        <f>COUNTIFS(SurveyDATA!#REF!,"*SAMPLING*",SurveyDATA!E:E,"*MARILAO*",SurveyDATA!AB:AB,"*LESS*")</f>
        <v>#REF!</v>
      </c>
      <c r="C72" s="1497" t="e">
        <f>COUNTIFS(SurveyDATA!#REF!,"*SAMPLING*",SurveyDATA!E:E,"*MARILAO*",SurveyDATA!AB:AB,"*1-3*")</f>
        <v>#REF!</v>
      </c>
      <c r="D72" s="1497" t="e">
        <f>COUNTIFS(SurveyDATA!#REF!,"*SAMPLING*",SurveyDATA!E:E,"*MARILAO*",SurveyDATA!AB:AB,"*3-6*")</f>
        <v>#REF!</v>
      </c>
      <c r="E72" s="1497" t="e">
        <f>COUNTIFS(SurveyDATA!#REF!,"*SAMPLING*",SurveyDATA!E:E,"*MARILAO*",SurveyDATA!AB:AB,"*6-10*")</f>
        <v>#REF!</v>
      </c>
      <c r="F72" s="1497" t="e">
        <f>COUNTIFS(SurveyDATA!#REF!,"*SAMPLING*",SurveyDATA!E:E,"*MARILAO*",SurveyDATA!AB:AB,"*10-15*")</f>
        <v>#REF!</v>
      </c>
      <c r="G72" s="1497" t="e">
        <f>COUNTIFS(SurveyDATA!#REF!,"*SAMPLING*",SurveyDATA!E:E,"*MARILAO*",SurveyDATA!AB:AB,"*MORE*")</f>
        <v>#REF!</v>
      </c>
      <c r="H72" s="1497" t="e">
        <f>COUNTIFS(SurveyDATA!#REF!,"*SAMPLING*",SurveyDATA!E:E,"*MARILAO*",SurveyDATA!AB:AB,"")</f>
        <v>#REF!</v>
      </c>
      <c r="I72" s="1497" t="e">
        <f t="shared" si="11"/>
        <v>#REF!</v>
      </c>
      <c r="M72" s="1403"/>
      <c r="N72" s="1404"/>
      <c r="Q72" s="1404"/>
      <c r="AB72" s="1498"/>
    </row>
    <row r="73" spans="1:28">
      <c r="A73" s="1474" t="s">
        <v>5496</v>
      </c>
      <c r="B73" s="1497" t="e">
        <f>COUNTIFS(SurveyDATA!#REF!,"*SAMPLING*",SurveyDATA!E:E,"*MEYCAUAYAN*",SurveyDATA!AB:AB,"*LESS*")</f>
        <v>#REF!</v>
      </c>
      <c r="C73" s="1497" t="e">
        <f>COUNTIFS(SurveyDATA!#REF!,"*SAMPLING*",SurveyDATA!E:E,"*MEYCAUAYAN*",SurveyDATA!AB:AB,"*1-3*")</f>
        <v>#REF!</v>
      </c>
      <c r="D73" s="1497" t="e">
        <f>COUNTIFS(SurveyDATA!#REF!,"*SAMPLING*",SurveyDATA!E:E,"*MEYCAUAYAN*",SurveyDATA!AB:AB,"*3-6*")</f>
        <v>#REF!</v>
      </c>
      <c r="E73" s="1497" t="e">
        <f>COUNTIFS(SurveyDATA!#REF!,"*SAMPLING*",SurveyDATA!E:E,"*MEYCAUAYAN*",SurveyDATA!AB:AB,"*6-10*")</f>
        <v>#REF!</v>
      </c>
      <c r="F73" s="1497" t="e">
        <f>COUNTIFS(SurveyDATA!#REF!,"*SAMPLING*",SurveyDATA!E:E,"*MEYCAUAYAN*",SurveyDATA!AB:AB,"*10-15*")</f>
        <v>#REF!</v>
      </c>
      <c r="G73" s="1497" t="e">
        <f>COUNTIFS(SurveyDATA!#REF!,"*SAMPLING*",SurveyDATA!E:E,"*MEYCAUAYAN*",SurveyDATA!AB:AB,"*MORE*")</f>
        <v>#REF!</v>
      </c>
      <c r="H73" s="1497" t="e">
        <f>COUNTIFS(SurveyDATA!#REF!,"*SAMPLING*",SurveyDATA!E:E,"*MEYCAUAYAN*",SurveyDATA!AB:AB,"")</f>
        <v>#REF!</v>
      </c>
      <c r="I73" s="1497" t="e">
        <f t="shared" si="11"/>
        <v>#REF!</v>
      </c>
      <c r="M73" s="1403"/>
      <c r="N73" s="1404"/>
      <c r="Q73" s="1404"/>
    </row>
    <row r="74" spans="1:28" ht="15.75" customHeight="1">
      <c r="A74" s="1474" t="s">
        <v>778</v>
      </c>
      <c r="B74" s="1497" t="e">
        <f>COUNTIFS(SurveyDATA!#REF!,"*SAMPLING*",SurveyDATA!E:E,"*VALENZUELA*",SurveyDATA!AB:AB,"*LESS*")</f>
        <v>#REF!</v>
      </c>
      <c r="C74" s="1497" t="e">
        <f>COUNTIFS(SurveyDATA!#REF!,"*SAMPLING*",SurveyDATA!E:E,"*VALENZUELA*",SurveyDATA!AB:AB,"*1-3*")</f>
        <v>#REF!</v>
      </c>
      <c r="D74" s="1497" t="e">
        <f>COUNTIFS(SurveyDATA!#REF!,"*SAMPLING*",SurveyDATA!E:E,"*VALENZUELA*",SurveyDATA!AB:AB,"*3-6*")</f>
        <v>#REF!</v>
      </c>
      <c r="E74" s="1497" t="e">
        <f>COUNTIFS(SurveyDATA!#REF!,"*SAMPLING*",SurveyDATA!E:E,"*VALENZUELA*",SurveyDATA!AB:AB,"*6-10*")</f>
        <v>#REF!</v>
      </c>
      <c r="F74" s="1497" t="e">
        <f>COUNTIFS(SurveyDATA!#REF!,"*SAMPLING*",SurveyDATA!E:E,"*VALENZUELA*",SurveyDATA!AB:AB,"*10-15*")</f>
        <v>#REF!</v>
      </c>
      <c r="G74" s="1497" t="e">
        <f>COUNTIFS(SurveyDATA!#REF!,"*SAMPLING*",SurveyDATA!E:E,"*VALENZUELA*",SurveyDATA!AB:AB,"*MORE*")</f>
        <v>#REF!</v>
      </c>
      <c r="H74" s="1497" t="e">
        <f>COUNTIFS(SurveyDATA!#REF!,"*SAMPLING*",SurveyDATA!E:E,"*VALENZUELA*",SurveyDATA!AB:AB,"")</f>
        <v>#REF!</v>
      </c>
      <c r="I74" s="1497" t="e">
        <f t="shared" si="11"/>
        <v>#REF!</v>
      </c>
      <c r="M74" s="1403"/>
      <c r="N74" s="1404"/>
      <c r="Q74" s="1404"/>
    </row>
    <row r="75" spans="1:28">
      <c r="A75" s="1474" t="s">
        <v>5493</v>
      </c>
      <c r="B75" s="1497" t="e">
        <f>COUNTIFS(SurveyDATA!#REF!,"*SAMPLING*",SurveyDATA!E:E,"*CALOOCAN*",SurveyDATA!AB:AB,"*LESS*")</f>
        <v>#REF!</v>
      </c>
      <c r="C75" s="1497" t="e">
        <f>COUNTIFS(SurveyDATA!#REF!,"*SAMPLING*",SurveyDATA!E:E,"*CALOOCAN*",SurveyDATA!AB:AB,"*1-3*")</f>
        <v>#REF!</v>
      </c>
      <c r="D75" s="1497" t="e">
        <f>COUNTIFS(SurveyDATA!#REF!,"*SAMPLING*",SurveyDATA!E:E,"*CALOOCAN*",SurveyDATA!AB:AB,"*3-6*")</f>
        <v>#REF!</v>
      </c>
      <c r="E75" s="1497" t="e">
        <f>COUNTIFS(SurveyDATA!#REF!,"*SAMPLING*",SurveyDATA!E:E,"*CALOOCAN*",SurveyDATA!AB:AB,"*6-10*")</f>
        <v>#REF!</v>
      </c>
      <c r="F75" s="1497" t="e">
        <f>COUNTIFS(SurveyDATA!#REF!,"*SAMPLING*",SurveyDATA!E:E,"*CALOOCAN*",SurveyDATA!AB:AB,"*10-15*")</f>
        <v>#REF!</v>
      </c>
      <c r="G75" s="1497" t="e">
        <f>COUNTIFS(SurveyDATA!#REF!,"*SAMPLING*",SurveyDATA!E:E,"*CALOOCAN*",SurveyDATA!AB:AB,"*MORE*")</f>
        <v>#REF!</v>
      </c>
      <c r="H75" s="1497" t="e">
        <f>COUNTIFS(SurveyDATA!#REF!,"*SAMPLING*",SurveyDATA!E:E,"*CALOOCAN*",SurveyDATA!AB:AB,"")</f>
        <v>#REF!</v>
      </c>
      <c r="I75" s="1497" t="e">
        <f t="shared" si="11"/>
        <v>#REF!</v>
      </c>
      <c r="M75" s="1403"/>
      <c r="N75" s="1404"/>
      <c r="Q75" s="1404"/>
    </row>
    <row r="76" spans="1:28">
      <c r="A76" s="1474" t="s">
        <v>1020</v>
      </c>
      <c r="B76" s="1497" t="e">
        <f>COUNTIFS(SurveyDATA!#REF!,"*SAMPLING*",SurveyDATA!E:E,"*MANILA*",SurveyDATA!AB:AB,"*LESS*")</f>
        <v>#REF!</v>
      </c>
      <c r="C76" s="1497" t="e">
        <f>COUNTIFS(SurveyDATA!#REF!,"*SAMPLING*",SurveyDATA!E:E,"*MANILA*",SurveyDATA!AB:AB,"*1-3*")</f>
        <v>#REF!</v>
      </c>
      <c r="D76" s="1497" t="e">
        <f>COUNTIFS(SurveyDATA!#REF!,"*SAMPLING*",SurveyDATA!E:E,"*MANILA*",SurveyDATA!AB:AB,"*3-6*")</f>
        <v>#REF!</v>
      </c>
      <c r="E76" s="1497" t="e">
        <f>COUNTIFS(SurveyDATA!#REF!,"*SAMPLING*",SurveyDATA!E:E,"*MANILA*",SurveyDATA!AB:AB,"*6-10*")</f>
        <v>#REF!</v>
      </c>
      <c r="F76" s="1497" t="e">
        <f>COUNTIFS(SurveyDATA!#REF!,"*SAMPLING*",SurveyDATA!E:E,"*MANILA*",SurveyDATA!AB:AB,"*10-15*")</f>
        <v>#REF!</v>
      </c>
      <c r="G76" s="1497" t="e">
        <f>COUNTIFS(SurveyDATA!#REF!,"*SAMPLING*",SurveyDATA!E:E,"*MANILA*",SurveyDATA!AB:AB,"*MORE*")</f>
        <v>#REF!</v>
      </c>
      <c r="H76" s="1497" t="e">
        <f>COUNTIFS(SurveyDATA!#REF!,"*SAMPLING*",SurveyDATA!E:E,"*MANILA*",SurveyDATA!AB:AB,"")</f>
        <v>#REF!</v>
      </c>
      <c r="I76" s="1497" t="e">
        <f t="shared" si="11"/>
        <v>#REF!</v>
      </c>
      <c r="M76" s="1403"/>
      <c r="N76" s="1404"/>
      <c r="Q76" s="1404"/>
    </row>
    <row r="77" spans="1:28">
      <c r="A77" s="1480" t="s">
        <v>2034</v>
      </c>
      <c r="B77" s="1499" t="e">
        <f t="shared" ref="B77:I77" si="12">SUM(B68:B76)</f>
        <v>#REF!</v>
      </c>
      <c r="C77" s="1499" t="e">
        <f t="shared" si="12"/>
        <v>#REF!</v>
      </c>
      <c r="D77" s="1499" t="e">
        <f t="shared" si="12"/>
        <v>#REF!</v>
      </c>
      <c r="E77" s="1499" t="e">
        <f t="shared" si="12"/>
        <v>#REF!</v>
      </c>
      <c r="F77" s="1499" t="e">
        <f t="shared" si="12"/>
        <v>#REF!</v>
      </c>
      <c r="G77" s="1499" t="e">
        <f t="shared" si="12"/>
        <v>#REF!</v>
      </c>
      <c r="H77" s="1499" t="e">
        <f t="shared" si="12"/>
        <v>#REF!</v>
      </c>
      <c r="I77" s="1499" t="e">
        <f t="shared" si="12"/>
        <v>#REF!</v>
      </c>
      <c r="M77" s="1403"/>
      <c r="N77" s="1404"/>
      <c r="Q77" s="1404"/>
    </row>
    <row r="78" spans="1:28">
      <c r="A78" s="1474" t="s">
        <v>7243</v>
      </c>
      <c r="B78" s="1500" t="e">
        <f t="shared" ref="B78:H78" si="13">B77/$I77</f>
        <v>#REF!</v>
      </c>
      <c r="C78" s="1500" t="e">
        <f t="shared" si="13"/>
        <v>#REF!</v>
      </c>
      <c r="D78" s="1500" t="e">
        <f t="shared" si="13"/>
        <v>#REF!</v>
      </c>
      <c r="E78" s="1500" t="e">
        <f t="shared" si="13"/>
        <v>#REF!</v>
      </c>
      <c r="F78" s="1500" t="e">
        <f t="shared" si="13"/>
        <v>#REF!</v>
      </c>
      <c r="G78" s="1500" t="e">
        <f t="shared" si="13"/>
        <v>#REF!</v>
      </c>
      <c r="H78" s="1500" t="e">
        <f t="shared" si="13"/>
        <v>#REF!</v>
      </c>
      <c r="I78" s="1500" t="e">
        <f>SUM(B78:H78)</f>
        <v>#REF!</v>
      </c>
      <c r="M78" s="1403"/>
      <c r="N78" s="1404"/>
      <c r="O78" s="1404"/>
      <c r="Q78" s="1404"/>
    </row>
    <row r="79" spans="1:28">
      <c r="N79" s="1404"/>
      <c r="P79" s="1404"/>
    </row>
    <row r="81" spans="1:9">
      <c r="A81" s="1406" t="s">
        <v>7278</v>
      </c>
    </row>
    <row r="82" spans="1:9">
      <c r="A82" s="1492" t="s">
        <v>7279</v>
      </c>
      <c r="B82" s="2002" t="s">
        <v>1096</v>
      </c>
      <c r="C82" s="2000"/>
      <c r="D82" s="2000" t="s">
        <v>7280</v>
      </c>
      <c r="E82" s="2000"/>
      <c r="F82" s="2001" t="s">
        <v>12282</v>
      </c>
      <c r="G82" s="2002"/>
      <c r="H82" s="2001" t="s">
        <v>4348</v>
      </c>
      <c r="I82" s="2002"/>
    </row>
    <row r="83" spans="1:9">
      <c r="A83" s="1501"/>
      <c r="B83" s="1502" t="s">
        <v>7281</v>
      </c>
      <c r="C83" s="1503" t="s">
        <v>5805</v>
      </c>
      <c r="D83" s="1503" t="s">
        <v>7281</v>
      </c>
      <c r="E83" s="1503" t="s">
        <v>5805</v>
      </c>
      <c r="F83" s="1503" t="s">
        <v>7281</v>
      </c>
      <c r="G83" s="1503" t="s">
        <v>5805</v>
      </c>
      <c r="H83" s="1503" t="s">
        <v>7281</v>
      </c>
      <c r="I83" s="1503" t="s">
        <v>5805</v>
      </c>
    </row>
    <row r="84" spans="1:9">
      <c r="A84" s="1504" t="s">
        <v>12562</v>
      </c>
      <c r="B84" s="1502"/>
      <c r="C84" s="1503"/>
      <c r="D84" s="1503"/>
      <c r="E84" s="1503"/>
      <c r="F84" s="1503"/>
      <c r="G84" s="1503"/>
      <c r="H84" s="1503"/>
      <c r="I84" s="1503"/>
    </row>
    <row r="85" spans="1:9">
      <c r="A85" s="1505" t="s">
        <v>991</v>
      </c>
      <c r="B85" s="1506" t="e">
        <f>COUNTIFS(SurveyDATA!#REF!,"*SAMPLING*",SurveyDATA!AC:AC,"*PROXI*",SurveyDATA!BM:BM,"R*",SurveyDATA!#REF!,"*LEGAL*")</f>
        <v>#REF!</v>
      </c>
      <c r="C85" s="1507" t="e">
        <f>B85/B101</f>
        <v>#REF!</v>
      </c>
      <c r="D85" s="1506" t="e">
        <f>COUNTIFS(SurveyDATA!#REF!,"*SAMPLING*",SurveyDATA!AC:AC,"*PROXI*",SurveyDATA!BM:BM,"*MIXED*")</f>
        <v>#REF!</v>
      </c>
      <c r="E85" s="1507" t="e">
        <f>D85/D101</f>
        <v>#REF!</v>
      </c>
      <c r="F85" s="1506" t="e">
        <f>COUNTIFS(SurveyDATA!#REF!,"*SAMPLING*",SurveyDATA!AC:AC,"*PROXI*",SurveyDATA!BM:BM,"R*",SurveyDATA!#REF!,"*ISF*")</f>
        <v>#REF!</v>
      </c>
      <c r="G85" s="1507" t="e">
        <f>F85/F101</f>
        <v>#REF!</v>
      </c>
      <c r="H85" s="1506" t="e">
        <f>SUM(F85,D85,B85)</f>
        <v>#REF!</v>
      </c>
      <c r="I85" s="1507" t="e">
        <f>H85/H101</f>
        <v>#REF!</v>
      </c>
    </row>
    <row r="86" spans="1:9">
      <c r="A86" s="1505" t="s">
        <v>1071</v>
      </c>
      <c r="B86" s="1506" t="e">
        <f>COUNTIFS(SurveyDATA!#REF!,"*SAMPLING*",SurveyDATA!AC:AC,"*FREE*",SurveyDATA!BM:BM,"R*",SurveyDATA!#REF!,"*LEGAL*")</f>
        <v>#REF!</v>
      </c>
      <c r="C86" s="1507" t="e">
        <f>B86/B101</f>
        <v>#REF!</v>
      </c>
      <c r="D86" s="1506" t="e">
        <f>COUNTIFS(SurveyDATA!#REF!,"*SAMPLING*",SurveyDATA!AC:AC,"*FREE*",SurveyDATA!BM:BM,"*MIXED*")</f>
        <v>#REF!</v>
      </c>
      <c r="E86" s="1507" t="e">
        <f>D86/D101</f>
        <v>#REF!</v>
      </c>
      <c r="F86" s="1506" t="e">
        <f>COUNTIFS(SurveyDATA!#REF!,"*SAMPLING*",SurveyDATA!AC:AC,"*FREE*",SurveyDATA!BM:BM,"R*",SurveyDATA!#REF!,"*ISF*")</f>
        <v>#REF!</v>
      </c>
      <c r="G86" s="1507" t="e">
        <f>F86/F101</f>
        <v>#REF!</v>
      </c>
      <c r="H86" s="1506" t="e">
        <f>SUM(F86,D86,B86)</f>
        <v>#REF!</v>
      </c>
      <c r="I86" s="1507" t="e">
        <f>H86/H101</f>
        <v>#REF!</v>
      </c>
    </row>
    <row r="87" spans="1:9" ht="16.5" thickBot="1">
      <c r="A87" s="1508" t="s">
        <v>880</v>
      </c>
      <c r="B87" s="1509" t="e">
        <f>COUNTIFS(SurveyDATA!#REF!,"*SAMPLING*",SurveyDATA!AC:AC,"*AFFORDABLE*",SurveyDATA!BM:BM,"R*",SurveyDATA!#REF!,"*LEGAL*")</f>
        <v>#REF!</v>
      </c>
      <c r="C87" s="1510" t="e">
        <f>B87/B101</f>
        <v>#REF!</v>
      </c>
      <c r="D87" s="1509" t="e">
        <f>COUNTIFS(SurveyDATA!#REF!,"*SAMPLING*",SurveyDATA!AC:AC,"*AFFORDABLE*",SurveyDATA!BM:BM,"*MIXED*")</f>
        <v>#REF!</v>
      </c>
      <c r="E87" s="1510" t="e">
        <f>D87/D101</f>
        <v>#REF!</v>
      </c>
      <c r="F87" s="1509" t="e">
        <f>COUNTIFS(SurveyDATA!#REF!,"*SAMPLING*",SurveyDATA!AC:AC,"*AFFORDABLE*",SurveyDATA!BM:BM,"R*",SurveyDATA!#REF!,"*ISF*")</f>
        <v>#REF!</v>
      </c>
      <c r="G87" s="1510" t="e">
        <f>F87/F101</f>
        <v>#REF!</v>
      </c>
      <c r="H87" s="1509" t="e">
        <f>SUM(F87,D87,B87)</f>
        <v>#REF!</v>
      </c>
      <c r="I87" s="1510" t="e">
        <f>H87/H101</f>
        <v>#REF!</v>
      </c>
    </row>
    <row r="88" spans="1:9">
      <c r="A88" s="1511" t="s">
        <v>12563</v>
      </c>
      <c r="B88" s="1512"/>
      <c r="C88" s="1513"/>
      <c r="D88" s="1512"/>
      <c r="E88" s="1513"/>
      <c r="F88" s="1512"/>
      <c r="G88" s="1513"/>
      <c r="H88" s="1512"/>
      <c r="I88" s="1514"/>
    </row>
    <row r="89" spans="1:9">
      <c r="A89" s="1515" t="s">
        <v>770</v>
      </c>
      <c r="B89" s="1506" t="e">
        <f>COUNTIFS(SurveyDATA!#REF!,"*SAMPLING*",SurveyDATA!AD:AD,"*FAMILY*",SurveyDATA!BM:BM,"R*",SurveyDATA!#REF!,"*LEGAL*")</f>
        <v>#REF!</v>
      </c>
      <c r="C89" s="1507" t="e">
        <f>B89/B101</f>
        <v>#REF!</v>
      </c>
      <c r="D89" s="1506" t="e">
        <f>COUNTIFS(SurveyDATA!#REF!,"*SAMPLING*",SurveyDATA!AD:AD,"*FAMILY*",SurveyDATA!BM:BM,"*MIXED*")</f>
        <v>#REF!</v>
      </c>
      <c r="E89" s="1507" t="e">
        <f>D89/D101</f>
        <v>#REF!</v>
      </c>
      <c r="F89" s="1506" t="e">
        <f>COUNTIFS(SurveyDATA!#REF!,"*SAMPLING*",SurveyDATA!AD:AD,"*FAMILY*",SurveyDATA!BM:BM,"R*",SurveyDATA!#REF!,"*ISF*")</f>
        <v>#REF!</v>
      </c>
      <c r="G89" s="1507" t="e">
        <f>F89/F101</f>
        <v>#REF!</v>
      </c>
      <c r="H89" s="1506" t="e">
        <f>SUM(F89,D89,B89)</f>
        <v>#REF!</v>
      </c>
      <c r="I89" s="1516" t="e">
        <f>H89/H101</f>
        <v>#REF!</v>
      </c>
    </row>
    <row r="90" spans="1:9">
      <c r="A90" s="1515" t="s">
        <v>1005</v>
      </c>
      <c r="B90" s="1506" t="e">
        <f>COUNTIFS(SurveyDATA!#REF!,"*SAMPLING*",SurveyDATA!AD:AD,"*SCHOOL*",SurveyDATA!BM:BM,"R*",SurveyDATA!#REF!,"*LEGAL*")</f>
        <v>#REF!</v>
      </c>
      <c r="C90" s="1507" t="e">
        <f>B90/B101</f>
        <v>#REF!</v>
      </c>
      <c r="D90" s="1506" t="e">
        <f>COUNTIFS(SurveyDATA!#REF!,"*SAMPLING*",SurveyDATA!AD:AD,"*SCHOOL*",SurveyDATA!BM:BM,"*MIXED*")</f>
        <v>#REF!</v>
      </c>
      <c r="E90" s="1507" t="e">
        <f>D90/D101</f>
        <v>#REF!</v>
      </c>
      <c r="F90" s="1506" t="e">
        <f>COUNTIFS(SurveyDATA!#REF!,"*SAMPLING*",SurveyDATA!AD:AD,"*SCHOOL*",SurveyDATA!BM:BM,"R*",SurveyDATA!#REF!,"*ISF*")</f>
        <v>#REF!</v>
      </c>
      <c r="G90" s="1507" t="e">
        <f>F90/F101</f>
        <v>#REF!</v>
      </c>
      <c r="H90" s="1506" t="e">
        <f>SUM(F90,D90,B90)</f>
        <v>#REF!</v>
      </c>
      <c r="I90" s="1516" t="e">
        <f>H90/H101</f>
        <v>#REF!</v>
      </c>
    </row>
    <row r="91" spans="1:9" ht="16.5" thickBot="1">
      <c r="A91" s="1517" t="s">
        <v>937</v>
      </c>
      <c r="B91" s="1518" t="e">
        <f>COUNTIFS(SurveyDATA!#REF!,"*SAMPLING*",SurveyDATA!AD:AD,"*MARRIED*",SurveyDATA!BM:BM,"R*",SurveyDATA!#REF!,"*LEGAL*")</f>
        <v>#REF!</v>
      </c>
      <c r="C91" s="1519" t="e">
        <f>B91/B101</f>
        <v>#REF!</v>
      </c>
      <c r="D91" s="1518" t="e">
        <f>COUNTIFS(SurveyDATA!#REF!,"*SAMPLING*",SurveyDATA!AD:AD,"*MARRIED*",SurveyDATA!BM:BM,"*MIXED*")</f>
        <v>#REF!</v>
      </c>
      <c r="E91" s="1519" t="e">
        <f>D91/D101</f>
        <v>#REF!</v>
      </c>
      <c r="F91" s="1518" t="e">
        <f>COUNTIFS(SurveyDATA!#REF!,"*SAMPLING*",SurveyDATA!AD:AD,"*MARRIED*",SurveyDATA!BM:BM,"R*",SurveyDATA!#REF!,"*ISF*")</f>
        <v>#REF!</v>
      </c>
      <c r="G91" s="1519" t="e">
        <f>F91/F101</f>
        <v>#REF!</v>
      </c>
      <c r="H91" s="1518" t="e">
        <f>SUM(F91,D91,B91)</f>
        <v>#REF!</v>
      </c>
      <c r="I91" s="1520" t="e">
        <f>H91/H101</f>
        <v>#REF!</v>
      </c>
    </row>
    <row r="92" spans="1:9">
      <c r="A92" s="1504" t="s">
        <v>12564</v>
      </c>
      <c r="B92" s="1521"/>
      <c r="C92" s="1522"/>
      <c r="D92" s="1521"/>
      <c r="E92" s="1522"/>
      <c r="F92" s="1521"/>
      <c r="G92" s="1522"/>
      <c r="H92" s="1521"/>
      <c r="I92" s="1522"/>
    </row>
    <row r="93" spans="1:9">
      <c r="A93" s="1523" t="s">
        <v>4335</v>
      </c>
      <c r="B93" s="1497" t="e">
        <f>COUNTIFS(SurveyDATA!#REF!,"*SAMPLING*",SurveyDATA!AE:AE,"*AWARD*",SurveyDATA!BM:BM,"R*",SurveyDATA!#REF!,"*LEGAL*")</f>
        <v>#REF!</v>
      </c>
      <c r="C93" s="1524" t="e">
        <f>B93/B101</f>
        <v>#REF!</v>
      </c>
      <c r="D93" s="1497" t="e">
        <f>COUNTIFS(SurveyDATA!#REF!,"*SAMPLING*",SurveyDATA!AE:AE,"*AWARD*",SurveyDATA!BM:BM,"*MIXED*")</f>
        <v>#REF!</v>
      </c>
      <c r="E93" s="1524" t="e">
        <f>D93/D101</f>
        <v>#REF!</v>
      </c>
      <c r="F93" s="1497" t="e">
        <f>COUNTIFS(SurveyDATA!#REF!,"*SAMPLING*",SurveyDATA!AE:AE,"*AWARD*",SurveyDATA!BM:BM,"R*",SurveyDATA!#REF!,"*ISF*")</f>
        <v>#REF!</v>
      </c>
      <c r="G93" s="1524" t="e">
        <f>F93/F101</f>
        <v>#REF!</v>
      </c>
      <c r="H93" s="1497" t="e">
        <f t="shared" ref="H93:H100" si="14">SUM(F93,D93,B93)</f>
        <v>#REF!</v>
      </c>
      <c r="I93" s="1524" t="e">
        <f>H93/H101</f>
        <v>#REF!</v>
      </c>
    </row>
    <row r="94" spans="1:9">
      <c r="A94" s="1505" t="s">
        <v>1073</v>
      </c>
      <c r="B94" s="1506" t="e">
        <f>COUNTIFS(SurveyDATA!#REF!,"*SAMPLING*",SurveyDATA!AE:AE,"*RIGHTS*",SurveyDATA!BM:BM,"R*",SurveyDATA!#REF!,"*LEGAL*")</f>
        <v>#REF!</v>
      </c>
      <c r="C94" s="1507" t="e">
        <f>B94/B101</f>
        <v>#REF!</v>
      </c>
      <c r="D94" s="1506" t="e">
        <f>COUNTIFS(SurveyDATA!#REF!,"*SAMPLING*",SurveyDATA!AE:AE,"*RIGHTS*",SurveyDATA!BM:BM,"*MIXED*")</f>
        <v>#REF!</v>
      </c>
      <c r="E94" s="1507" t="e">
        <f>D94/D101</f>
        <v>#REF!</v>
      </c>
      <c r="F94" s="1506" t="e">
        <f>COUNTIFS(SurveyDATA!#REF!,"*SAMPLING*",SurveyDATA!AE:AE,"*RIGHTS*",SurveyDATA!BM:BM,"R*",SurveyDATA!#REF!,"*ISF*")</f>
        <v>#REF!</v>
      </c>
      <c r="G94" s="1507" t="e">
        <f>F94/F101</f>
        <v>#REF!</v>
      </c>
      <c r="H94" s="1506" t="e">
        <f t="shared" si="14"/>
        <v>#REF!</v>
      </c>
      <c r="I94" s="1507" t="e">
        <f>H94/H101</f>
        <v>#REF!</v>
      </c>
    </row>
    <row r="95" spans="1:9">
      <c r="A95" s="1505" t="s">
        <v>888</v>
      </c>
      <c r="B95" s="1506" t="e">
        <f>COUNTIFS(SurveyDATA!#REF!,"*SAMPLING*",SurveyDATA!AE:AE,"*VERBAL*",SurveyDATA!BM:BM,"R*",SurveyDATA!#REF!,"*LEGAL*")</f>
        <v>#REF!</v>
      </c>
      <c r="C95" s="1507" t="e">
        <f>B95/B101</f>
        <v>#REF!</v>
      </c>
      <c r="D95" s="1506" t="e">
        <f>COUNTIFS(SurveyDATA!#REF!,"*SAMPLING*",SurveyDATA!AE:AE,"*VERBAL*",SurveyDATA!BM:BM,"*MIXED*")</f>
        <v>#REF!</v>
      </c>
      <c r="E95" s="1507" t="e">
        <f>D95/D101</f>
        <v>#REF!</v>
      </c>
      <c r="F95" s="1506" t="e">
        <f>COUNTIFS(SurveyDATA!#REF!,"*SAMPLING*",SurveyDATA!AE:AE,"*VERBAL*",SurveyDATA!BM:BM,"R*",SurveyDATA!#REF!,"*ISF*")</f>
        <v>#REF!</v>
      </c>
      <c r="G95" s="1507" t="e">
        <f>F95/F101</f>
        <v>#REF!</v>
      </c>
      <c r="H95" s="1506" t="e">
        <f t="shared" si="14"/>
        <v>#REF!</v>
      </c>
      <c r="I95" s="1507" t="e">
        <f>H95/H101</f>
        <v>#REF!</v>
      </c>
    </row>
    <row r="96" spans="1:9">
      <c r="A96" s="1505" t="s">
        <v>7283</v>
      </c>
      <c r="B96" s="1506" t="e">
        <f>COUNTIFS(SurveyDATA!#REF!,"*SAMPLING*",SurveyDATA!AE:AE,"NO*",SurveyDATA!BM:BM,"R*",SurveyDATA!#REF!,"*LEGAL*")</f>
        <v>#REF!</v>
      </c>
      <c r="C96" s="1507" t="e">
        <f>B96/B101</f>
        <v>#REF!</v>
      </c>
      <c r="D96" s="1506" t="e">
        <f>COUNTIFS(SurveyDATA!#REF!,"*SAMPLING*",SurveyDATA!AE:AE,"*NO OTHER*",SurveyDATA!BM:BM,"*MIXED*")</f>
        <v>#REF!</v>
      </c>
      <c r="E96" s="1507" t="e">
        <f>D96/D101</f>
        <v>#REF!</v>
      </c>
      <c r="F96" s="1506" t="e">
        <f>COUNTIFS(SurveyDATA!#REF!,"*SAMPLING*",SurveyDATA!AE:AE,"*NO OTHER*",SurveyDATA!BM:BM,"R*",SurveyDATA!#REF!,"*ISF*")</f>
        <v>#REF!</v>
      </c>
      <c r="G96" s="1507" t="e">
        <f>F96/F101</f>
        <v>#REF!</v>
      </c>
      <c r="H96" s="1506" t="e">
        <f t="shared" si="14"/>
        <v>#REF!</v>
      </c>
      <c r="I96" s="1507" t="e">
        <f>H96/H101</f>
        <v>#REF!</v>
      </c>
    </row>
    <row r="97" spans="1:9">
      <c r="A97" s="1505" t="s">
        <v>7284</v>
      </c>
      <c r="B97" s="1506" t="e">
        <f>COUNTIFS(SurveyDATA!#REF!,"*SAMPLING*",SurveyDATA!AE:AE,"*INHERIT*",SurveyDATA!BM:BM,"R*",SurveyDATA!#REF!,"*LEGAL*")+COUNTIFS(SurveyDATA!#REF!,"*SAMPLING*",SurveyDATA!AE:AE,"*BIRTH*",SurveyDATA!BM:BM,"R*",SurveyDATA!#REF!,"*LEGAL*")</f>
        <v>#REF!</v>
      </c>
      <c r="C97" s="1507" t="e">
        <f>B97/B101</f>
        <v>#REF!</v>
      </c>
      <c r="D97" s="1506" t="e">
        <f>COUNTIFS(SurveyDATA!#REF!,"*SAMPLING*",SurveyDATA!AE:AE,"*INHERIT*",SurveyDATA!BM:BM,"*MIXED*")+COUNTIFS(SurveyDATA!#REF!,"*SAMPLING*",SurveyDATA!AE:AE,"*BIRTH*",SurveyDATA!BM:BM,"*MIXED*")</f>
        <v>#REF!</v>
      </c>
      <c r="E97" s="1507" t="e">
        <f>D97/D101</f>
        <v>#REF!</v>
      </c>
      <c r="F97" s="1506" t="e">
        <f>COUNTIFS(SurveyDATA!#REF!,"*SAMPLING*",SurveyDATA!AE:AE,"*INHERIT*",SurveyDATA!BM:BM,"R*",SurveyDATA!#REF!,"*ISF*")+COUNTIFS(SurveyDATA!#REF!,"*SAMPLING*",SurveyDATA!AE:AE,"*BIRTH*",SurveyDATA!BM:BM,"R*",SurveyDATA!#REF!,"*ISF*")</f>
        <v>#REF!</v>
      </c>
      <c r="G97" s="1507" t="e">
        <f>F97/F101</f>
        <v>#REF!</v>
      </c>
      <c r="H97" s="1506" t="e">
        <f t="shared" si="14"/>
        <v>#REF!</v>
      </c>
      <c r="I97" s="1507" t="e">
        <f>H97/H101</f>
        <v>#REF!</v>
      </c>
    </row>
    <row r="98" spans="1:9">
      <c r="A98" s="1505" t="s">
        <v>796</v>
      </c>
      <c r="B98" s="1506" t="e">
        <f>COUNTIFS(SurveyDATA!#REF!,"*SAMPLING*",SurveyDATA!AE:AE,"*PURCHASED*",SurveyDATA!BM:BM,"R*",SurveyDATA!#REF!,"*LEGAL*")</f>
        <v>#REF!</v>
      </c>
      <c r="C98" s="1507" t="e">
        <f>B98/B101</f>
        <v>#REF!</v>
      </c>
      <c r="D98" s="1506" t="e">
        <f>COUNTIFS(SurveyDATA!#REF!,"*SAMPLING*",SurveyDATA!AE:AE,"*PURCHASED*",SurveyDATA!BM:BM,"*MIXED*")</f>
        <v>#REF!</v>
      </c>
      <c r="E98" s="1507" t="e">
        <f>D98/D101</f>
        <v>#REF!</v>
      </c>
      <c r="F98" s="1506" t="e">
        <f>COUNTIFS(SurveyDATA!#REF!,"*SAMPLING*",SurveyDATA!AE:AE,"*PURCHASED*",SurveyDATA!BM:BM,"R*",SurveyDATA!#REF!,"*ISF*")</f>
        <v>#REF!</v>
      </c>
      <c r="G98" s="1507" t="e">
        <f>F98/F101</f>
        <v>#REF!</v>
      </c>
      <c r="H98" s="1506" t="e">
        <f t="shared" si="14"/>
        <v>#REF!</v>
      </c>
      <c r="I98" s="1507" t="e">
        <f>H98/H101</f>
        <v>#REF!</v>
      </c>
    </row>
    <row r="99" spans="1:9">
      <c r="A99" s="1505" t="s">
        <v>7286</v>
      </c>
      <c r="B99" s="1506" t="e">
        <f>COUNTIFS(SurveyDATA!#REF!,"*SAMPLING*",SurveyDATA!AE:AE,"*COMFORT*",SurveyDATA!BM:BM,"R*",SurveyDATA!#REF!,"*LEGAL*")+COUNTIFS(SurveyDATA!#REF!,"*SAMPLING*",SurveyDATA!AE:AE,"*SAFETY*",SurveyDATA!BM:BM,"R*",SurveyDATA!#REF!,"*LEGAL*")</f>
        <v>#REF!</v>
      </c>
      <c r="C99" s="1507" t="e">
        <f>B99/B101</f>
        <v>#REF!</v>
      </c>
      <c r="D99" s="1506" t="e">
        <f>COUNTIFS(SurveyDATA!#REF!,"*SAMPLING*",SurveyDATA!AE:AE,"*COMFORT*",SurveyDATA!BM:BM,"*MIXED*")+COUNTIFS(SurveyDATA!#REF!,"*SAMPLING*",SurveyDATA!AE:AE,"*SAFETY*",SurveyDATA!BM:BM,"*MIXED*")</f>
        <v>#REF!</v>
      </c>
      <c r="E99" s="1507" t="e">
        <f>D99/D101</f>
        <v>#REF!</v>
      </c>
      <c r="F99" s="1506" t="e">
        <f>COUNTIFS(SurveyDATA!#REF!,"*SAMPLING*",SurveyDATA!AE:AE,"*SAFETY*",SurveyDATA!BM:BM,"R*",SurveyDATA!#REF!,"*ISF*")+COUNTIFS(SurveyDATA!#REF!,"*SAMPLING*",SurveyDATA!AE:AE,"*COMFORT*",SurveyDATA!BM:BM,"R*",SurveyDATA!#REF!,"*ISF*")</f>
        <v>#REF!</v>
      </c>
      <c r="G99" s="1507" t="e">
        <f>F99/F101</f>
        <v>#REF!</v>
      </c>
      <c r="H99" s="1506" t="e">
        <f t="shared" si="14"/>
        <v>#REF!</v>
      </c>
      <c r="I99" s="1507" t="e">
        <f>H99/H101</f>
        <v>#REF!</v>
      </c>
    </row>
    <row r="100" spans="1:9">
      <c r="A100" s="1505" t="s">
        <v>7287</v>
      </c>
      <c r="B100" s="1506" t="e">
        <f>COUNTIFS(SurveyDATA!#REF!,"*SAMPLING*",SurveyDATA!AE:AE,"*DECEASE*",SurveyDATA!BM:BM,"R*",SurveyDATA!#REF!,"*LEGAL*")+COUNTIFS(SurveyDATA!#REF!,"*SAMPLING*",SurveyDATA!AE:AE,"*KNEW*",SurveyDATA!BM:BM,"R*",SurveyDATA!#REF!,"*LEGAL*")</f>
        <v>#REF!</v>
      </c>
      <c r="C100" s="1507" t="e">
        <f>B100/B101</f>
        <v>#REF!</v>
      </c>
      <c r="D100" s="1506" t="e">
        <f>COUNTIFS(SurveyDATA!#REF!,"*SAMPLING*",SurveyDATA!AE:AE,"*DECEASE*",SurveyDATA!BM:BM,"*MIXED*")+COUNTIFS(SurveyDATA!#REF!,"*SAMPLING*",SurveyDATA!AE:AE,"*KNEW*",SurveyDATA!BM:BM,"*MIXED*")</f>
        <v>#REF!</v>
      </c>
      <c r="E100" s="1507" t="e">
        <f>D100/D101</f>
        <v>#REF!</v>
      </c>
      <c r="F100" s="1506" t="e">
        <f>COUNTIFS(SurveyDATA!#REF!,"*SAMPLING*",SurveyDATA!AE:AE,"*DECEASE*",SurveyDATA!BM:BM,"R*",SurveyDATA!#REF!,"*ISF*")+COUNTIFS(SurveyDATA!#REF!,"*SAMPLING*",SurveyDATA!AE:AE,"*KNEW*",SurveyDATA!BM:BM,"R*",SurveyDATA!#REF!,"*ISF*")</f>
        <v>#REF!</v>
      </c>
      <c r="G100" s="1507" t="e">
        <f>F100/F101</f>
        <v>#REF!</v>
      </c>
      <c r="H100" s="1506" t="e">
        <f t="shared" si="14"/>
        <v>#REF!</v>
      </c>
      <c r="I100" s="1507" t="e">
        <f>H100/H101</f>
        <v>#REF!</v>
      </c>
    </row>
    <row r="101" spans="1:9">
      <c r="A101" s="1480" t="s">
        <v>2034</v>
      </c>
      <c r="B101" s="1499" t="e">
        <f>SUM(B85:B100)</f>
        <v>#REF!</v>
      </c>
      <c r="C101" s="1525" t="e">
        <f>B101/H101</f>
        <v>#REF!</v>
      </c>
      <c r="D101" s="1499" t="e">
        <f>SUM(D85:D100)</f>
        <v>#REF!</v>
      </c>
      <c r="E101" s="1525" t="e">
        <f>D101/H101</f>
        <v>#REF!</v>
      </c>
      <c r="F101" s="1499" t="e">
        <f>SUM(F85:F100)</f>
        <v>#REF!</v>
      </c>
      <c r="G101" s="1525" t="e">
        <f>F101/H101</f>
        <v>#REF!</v>
      </c>
      <c r="H101" s="1499" t="e">
        <f>SUM(H85:H100)</f>
        <v>#REF!</v>
      </c>
      <c r="I101" s="1525" t="e">
        <f>SUM(I85:I100)</f>
        <v>#REF!</v>
      </c>
    </row>
    <row r="104" spans="1:9" ht="16.5" thickBot="1">
      <c r="A104" s="1406" t="s">
        <v>7288</v>
      </c>
    </row>
    <row r="105" spans="1:9">
      <c r="A105" s="2000" t="s">
        <v>7214</v>
      </c>
      <c r="B105" s="2000" t="s">
        <v>7289</v>
      </c>
      <c r="C105" s="2000"/>
      <c r="D105" s="2001"/>
      <c r="E105" s="2003" t="s">
        <v>7290</v>
      </c>
      <c r="F105" s="2004"/>
      <c r="G105" s="2002" t="s">
        <v>2213</v>
      </c>
      <c r="H105" s="2000" t="s">
        <v>2034</v>
      </c>
    </row>
    <row r="106" spans="1:9">
      <c r="A106" s="2000"/>
      <c r="B106" s="1409" t="s">
        <v>2040</v>
      </c>
      <c r="C106" s="1409" t="s">
        <v>2041</v>
      </c>
      <c r="D106" s="1526" t="s">
        <v>7291</v>
      </c>
      <c r="E106" s="1527" t="s">
        <v>7292</v>
      </c>
      <c r="F106" s="1528" t="s">
        <v>7293</v>
      </c>
      <c r="G106" s="2002"/>
      <c r="H106" s="2000"/>
    </row>
    <row r="107" spans="1:9">
      <c r="A107" s="1529" t="s">
        <v>5848</v>
      </c>
      <c r="B107" s="1530" t="e">
        <f>SUMIFS(SurveyDATA!#REF!,SurveyDATA!#REF!,"*SAMPLING*",SurveyDATA!$E:$E,"*MALOLOS*")</f>
        <v>#REF!</v>
      </c>
      <c r="C107" s="1530" t="e">
        <f>SUMIFS(SurveyDATA!#REF!,SurveyDATA!#REF!,"*SAMPLING*",SurveyDATA!$E:$E,"*MALOLOS*")</f>
        <v>#REF!</v>
      </c>
      <c r="D107" s="1531" t="e">
        <f>SUMIFS(SurveyDATA!#REF!,SurveyDATA!#REF!,"*SAMPLING*",SurveyDATA!$E:$E,"*MALOLOS*")</f>
        <v>#REF!</v>
      </c>
      <c r="E107" s="1532" t="e">
        <f>SUMIFS(SurveyDATA!#REF!,SurveyDATA!#REF!,"*SAMPLING*",SurveyDATA!$E:$E,"*MALOLOS*")</f>
        <v>#REF!</v>
      </c>
      <c r="F107" s="1533" t="e">
        <f>SUMIFS(SurveyDATA!#REF!,SurveyDATA!#REF!,"*SAMPLING*",SurveyDATA!$E:$E,"*MALOLOS*")</f>
        <v>#REF!</v>
      </c>
      <c r="G107" s="1534"/>
      <c r="H107" s="1530" t="e">
        <f>SUM(B107:F107)</f>
        <v>#REF!</v>
      </c>
    </row>
    <row r="108" spans="1:9">
      <c r="A108" s="1529" t="s">
        <v>5494</v>
      </c>
      <c r="B108" s="1530" t="e">
        <f>SUMIFS(SurveyDATA!#REF!,SurveyDATA!#REF!,"*SAMPLING*",SurveyDATA!$E:$E,"*Q*")</f>
        <v>#REF!</v>
      </c>
      <c r="C108" s="1530" t="e">
        <f>SUMIFS(SurveyDATA!#REF!,SurveyDATA!#REF!,"*SAMPLING*",SurveyDATA!$E:$E,"*GUIGUINTO*")</f>
        <v>#REF!</v>
      </c>
      <c r="D108" s="1531" t="e">
        <f>SUMIFS(SurveyDATA!#REF!,SurveyDATA!#REF!,"*SAMPLING*",SurveyDATA!$E:$E,"*GUIGUINTO*")</f>
        <v>#REF!</v>
      </c>
      <c r="E108" s="1532" t="e">
        <f>SUMIFS(SurveyDATA!#REF!,SurveyDATA!#REF!,"*SAMPLING*",SurveyDATA!$E:$E,"*GUIGUINTO*")</f>
        <v>#REF!</v>
      </c>
      <c r="F108" s="1533" t="e">
        <f>SUMIFS(SurveyDATA!#REF!,SurveyDATA!#REF!,"*SAMPLING*",SurveyDATA!$E:$E,"*GUIGUINTO*")</f>
        <v>#REF!</v>
      </c>
      <c r="G108" s="1534"/>
      <c r="H108" s="1530" t="e">
        <f t="shared" ref="H108:H115" si="15">SUM(B108:F108)</f>
        <v>#REF!</v>
      </c>
    </row>
    <row r="109" spans="1:9">
      <c r="A109" s="1529" t="s">
        <v>5847</v>
      </c>
      <c r="B109" s="1530" t="e">
        <f>SUMIFS(SurveyDATA!#REF!,SurveyDATA!#REF!,"*SAMPLING*",SurveyDATA!$E:$E,"*BALAGTAS*")</f>
        <v>#REF!</v>
      </c>
      <c r="C109" s="1530" t="e">
        <f>SUMIFS(SurveyDATA!#REF!,SurveyDATA!#REF!,"*SAMPLING*",SurveyDATA!$E:$E,"*BALAGTAS*")</f>
        <v>#REF!</v>
      </c>
      <c r="D109" s="1531" t="e">
        <f>SUMIFS(SurveyDATA!#REF!,SurveyDATA!#REF!,"*SAMPLING*",SurveyDATA!$E:$E,"*BALAGTAS*")</f>
        <v>#REF!</v>
      </c>
      <c r="E109" s="1532" t="e">
        <f>SUMIFS(SurveyDATA!#REF!,SurveyDATA!#REF!,"*SAMPLING*",SurveyDATA!$E:$E,"*BALAGTAS*")</f>
        <v>#REF!</v>
      </c>
      <c r="F109" s="1533" t="e">
        <f>SUMIFS(SurveyDATA!#REF!,SurveyDATA!#REF!,"*SAMPLING*",SurveyDATA!$E:$E,"*BALAGTAS*")</f>
        <v>#REF!</v>
      </c>
      <c r="G109" s="1534"/>
      <c r="H109" s="1530" t="e">
        <f t="shared" si="15"/>
        <v>#REF!</v>
      </c>
    </row>
    <row r="110" spans="1:9">
      <c r="A110" s="1529" t="s">
        <v>771</v>
      </c>
      <c r="B110" s="1530" t="e">
        <f>SUMIFS(SurveyDATA!#REF!,SurveyDATA!#REF!,"*SAMPLING*",SurveyDATA!$E:$E,"*BOCAUE*")</f>
        <v>#REF!</v>
      </c>
      <c r="C110" s="1530" t="e">
        <f>SUMIFS(SurveyDATA!#REF!,SurveyDATA!#REF!,"*SAMPLING*",SurveyDATA!$E:$E,"*BOCAUE*")</f>
        <v>#REF!</v>
      </c>
      <c r="D110" s="1531" t="e">
        <f>SUMIFS(SurveyDATA!#REF!,SurveyDATA!#REF!,"*SAMPLING*",SurveyDATA!$E:$E,"*BOCAUE*")</f>
        <v>#REF!</v>
      </c>
      <c r="E110" s="1532" t="e">
        <f>SUMIFS(SurveyDATA!#REF!,SurveyDATA!#REF!,"*SAMPLING*",SurveyDATA!$E:$E,"*BOCAUE*")</f>
        <v>#REF!</v>
      </c>
      <c r="F110" s="1533" t="e">
        <f>SUMIFS(SurveyDATA!#REF!,SurveyDATA!#REF!,"*SAMPLING*",SurveyDATA!$E:$E,"*BOCAUE*")</f>
        <v>#REF!</v>
      </c>
      <c r="G110" s="1534"/>
      <c r="H110" s="1530" t="e">
        <f t="shared" si="15"/>
        <v>#REF!</v>
      </c>
    </row>
    <row r="111" spans="1:9">
      <c r="A111" s="1529" t="s">
        <v>5495</v>
      </c>
      <c r="B111" s="1530" t="e">
        <f>SUMIFS(SurveyDATA!#REF!,SurveyDATA!#REF!,"*SAMPLING*",SurveyDATA!$E:$E,"*MARILAO*")</f>
        <v>#REF!</v>
      </c>
      <c r="C111" s="1530" t="e">
        <f>SUMIFS(SurveyDATA!#REF!,SurveyDATA!#REF!,"*SAMPLING*",SurveyDATA!$E:$E,"*MARILAO*")</f>
        <v>#REF!</v>
      </c>
      <c r="D111" s="1531" t="e">
        <f>SUMIFS(SurveyDATA!#REF!,SurveyDATA!#REF!,"*SAMPLING*",SurveyDATA!$E:$E,"*MARILAO*")</f>
        <v>#REF!</v>
      </c>
      <c r="E111" s="1532" t="e">
        <f>SUMIFS(SurveyDATA!#REF!,SurveyDATA!#REF!,"*SAMPLING*",SurveyDATA!$E:$E,"*MARILAO*")</f>
        <v>#REF!</v>
      </c>
      <c r="F111" s="1533" t="e">
        <f>SUMIFS(SurveyDATA!#REF!,SurveyDATA!#REF!,"*SAMPLING*",SurveyDATA!$E:$E,"*MARILAO*")</f>
        <v>#REF!</v>
      </c>
      <c r="G111" s="1534"/>
      <c r="H111" s="1530" t="e">
        <f t="shared" si="15"/>
        <v>#REF!</v>
      </c>
    </row>
    <row r="112" spans="1:9">
      <c r="A112" s="1529" t="s">
        <v>5496</v>
      </c>
      <c r="B112" s="1530" t="e">
        <f>SUMIFS(SurveyDATA!#REF!,SurveyDATA!#REF!,"*SAMPLING*",SurveyDATA!$E:$E,"*MEYCAUAYAN*")</f>
        <v>#REF!</v>
      </c>
      <c r="C112" s="1530" t="e">
        <f>SUMIFS(SurveyDATA!#REF!,SurveyDATA!#REF!,"*SAMPLING*",SurveyDATA!$E:$E,"*MEYCAUAYAN*")</f>
        <v>#REF!</v>
      </c>
      <c r="D112" s="1531" t="e">
        <f>SUMIFS(SurveyDATA!#REF!,SurveyDATA!#REF!,"*SAMPLING*",SurveyDATA!$E:$E,"*MEYCAUAYAN*")</f>
        <v>#REF!</v>
      </c>
      <c r="E112" s="1532" t="e">
        <f>SUMIFS(SurveyDATA!#REF!,SurveyDATA!#REF!,"*SAMPLING*",SurveyDATA!$E:$E,"*MEYCAUAYAN*")</f>
        <v>#REF!</v>
      </c>
      <c r="F112" s="1533" t="e">
        <f>SUMIFS(SurveyDATA!#REF!,SurveyDATA!#REF!,"*SAMPLING*",SurveyDATA!$E:$E,"*MEYCAUAYAN*")</f>
        <v>#REF!</v>
      </c>
      <c r="G112" s="1534"/>
      <c r="H112" s="1530" t="e">
        <f t="shared" si="15"/>
        <v>#REF!</v>
      </c>
    </row>
    <row r="113" spans="1:9">
      <c r="A113" s="1529" t="s">
        <v>778</v>
      </c>
      <c r="B113" s="1530" t="e">
        <f>SUMIFS(SurveyDATA!#REF!,SurveyDATA!#REF!,"*SAMPLING*",SurveyDATA!$E:$E,"*VALENZUELA*")</f>
        <v>#REF!</v>
      </c>
      <c r="C113" s="1530" t="e">
        <f>SUMIFS(SurveyDATA!#REF!,SurveyDATA!#REF!,"*SAMPLING*",SurveyDATA!$E:$E,"*VALENZUELA*")</f>
        <v>#REF!</v>
      </c>
      <c r="D113" s="1531" t="e">
        <f>SUMIFS(SurveyDATA!#REF!,SurveyDATA!#REF!,"*SAMPLING*",SurveyDATA!$E:$E,"*VALENZUELA*")</f>
        <v>#REF!</v>
      </c>
      <c r="E113" s="1532" t="e">
        <f>SUMIFS(SurveyDATA!#REF!,SurveyDATA!#REF!,"*SAMPLING*",SurveyDATA!$E:$E,"*VALENZUELA*")</f>
        <v>#REF!</v>
      </c>
      <c r="F113" s="1533" t="e">
        <f>SUMIFS(SurveyDATA!#REF!,SurveyDATA!#REF!,"*SAMPLING*",SurveyDATA!$E:$E,"*VALENZUELA*")</f>
        <v>#REF!</v>
      </c>
      <c r="G113" s="1534"/>
      <c r="H113" s="1530" t="e">
        <f t="shared" si="15"/>
        <v>#REF!</v>
      </c>
    </row>
    <row r="114" spans="1:9">
      <c r="A114" s="1529" t="s">
        <v>5493</v>
      </c>
      <c r="B114" s="1530" t="e">
        <f>SUMIFS(SurveyDATA!#REF!,SurveyDATA!#REF!,"*SAMPLING*",SurveyDATA!$E:$E,"*CALOOCAN*")</f>
        <v>#REF!</v>
      </c>
      <c r="C114" s="1530" t="e">
        <f>SUMIFS(SurveyDATA!#REF!,SurveyDATA!#REF!,"*SAMPLING*",SurveyDATA!$E:$E,"*CALOOCAN*")</f>
        <v>#REF!</v>
      </c>
      <c r="D114" s="1531" t="e">
        <f>SUMIFS(SurveyDATA!#REF!,SurveyDATA!#REF!,"*SAMPLING*",SurveyDATA!$E:$E,"*CALOOCAN*")</f>
        <v>#REF!</v>
      </c>
      <c r="E114" s="1532" t="e">
        <f>SUMIFS(SurveyDATA!#REF!,SurveyDATA!#REF!,"*SAMPLING*",SurveyDATA!$E:$E,"*CALOOCAN*")</f>
        <v>#REF!</v>
      </c>
      <c r="F114" s="1533" t="e">
        <f>SUMIFS(SurveyDATA!#REF!,SurveyDATA!#REF!,"*SAMPLING*",SurveyDATA!$E:$E,"*CALOOCAN*")</f>
        <v>#REF!</v>
      </c>
      <c r="G114" s="1534"/>
      <c r="H114" s="1530" t="e">
        <f t="shared" si="15"/>
        <v>#REF!</v>
      </c>
    </row>
    <row r="115" spans="1:9">
      <c r="A115" s="1529" t="s">
        <v>1020</v>
      </c>
      <c r="B115" s="1530" t="e">
        <f>SUMIFS(SurveyDATA!#REF!,SurveyDATA!#REF!,"*SAMPLING*",SurveyDATA!$E:$E,"*MANILA*")</f>
        <v>#REF!</v>
      </c>
      <c r="C115" s="1530" t="e">
        <f>SUMIFS(SurveyDATA!#REF!,SurveyDATA!#REF!,"*SAMPLING*",SurveyDATA!$E:$E,"*MANILA*")</f>
        <v>#REF!</v>
      </c>
      <c r="D115" s="1531" t="e">
        <f>SUMIFS(SurveyDATA!#REF!,SurveyDATA!#REF!,"*SAMPLING*",SurveyDATA!$E:$E,"*MANILA*")</f>
        <v>#REF!</v>
      </c>
      <c r="E115" s="1532" t="e">
        <f>SUMIFS(SurveyDATA!#REF!,SurveyDATA!#REF!,"*SAMPLING*",SurveyDATA!$E:$E,"*MANILA*")</f>
        <v>#REF!</v>
      </c>
      <c r="F115" s="1533" t="e">
        <f>SUMIFS(SurveyDATA!#REF!,SurveyDATA!#REF!,"*SAMPLING*",SurveyDATA!$E:$E,"*MANILA*")</f>
        <v>#REF!</v>
      </c>
      <c r="G115" s="1534"/>
      <c r="H115" s="1530" t="e">
        <f t="shared" si="15"/>
        <v>#REF!</v>
      </c>
    </row>
    <row r="116" spans="1:9">
      <c r="A116" s="1535" t="s">
        <v>2034</v>
      </c>
      <c r="B116" s="1536" t="e">
        <f t="shared" ref="B116:H116" si="16">SUM(B107:B115)</f>
        <v>#REF!</v>
      </c>
      <c r="C116" s="1536" t="e">
        <f t="shared" si="16"/>
        <v>#REF!</v>
      </c>
      <c r="D116" s="1537" t="e">
        <f t="shared" si="16"/>
        <v>#REF!</v>
      </c>
      <c r="E116" s="1538" t="e">
        <f t="shared" si="16"/>
        <v>#REF!</v>
      </c>
      <c r="F116" s="1539" t="e">
        <f t="shared" si="16"/>
        <v>#REF!</v>
      </c>
      <c r="G116" s="1540">
        <f t="shared" si="16"/>
        <v>0</v>
      </c>
      <c r="H116" s="1536" t="e">
        <f t="shared" si="16"/>
        <v>#REF!</v>
      </c>
    </row>
    <row r="117" spans="1:9" ht="16.5" thickBot="1">
      <c r="A117" s="1541" t="s">
        <v>7243</v>
      </c>
      <c r="B117" s="1542" t="e">
        <f t="shared" ref="B117:G117" si="17">B116/$H116</f>
        <v>#REF!</v>
      </c>
      <c r="C117" s="1542" t="e">
        <f t="shared" si="17"/>
        <v>#REF!</v>
      </c>
      <c r="D117" s="1543" t="e">
        <f t="shared" si="17"/>
        <v>#REF!</v>
      </c>
      <c r="E117" s="1544" t="e">
        <f t="shared" si="17"/>
        <v>#REF!</v>
      </c>
      <c r="F117" s="1545" t="e">
        <f t="shared" si="17"/>
        <v>#REF!</v>
      </c>
      <c r="G117" s="1546" t="e">
        <f t="shared" si="17"/>
        <v>#REF!</v>
      </c>
      <c r="H117" s="1542" t="e">
        <f>SUM(B117:G117)</f>
        <v>#REF!</v>
      </c>
    </row>
    <row r="119" spans="1:9">
      <c r="A119" s="1406" t="s">
        <v>7294</v>
      </c>
    </row>
    <row r="120" spans="1:9">
      <c r="A120" s="1409" t="s">
        <v>7295</v>
      </c>
      <c r="B120" s="1409" t="s">
        <v>386</v>
      </c>
      <c r="C120" s="1409" t="s">
        <v>7296</v>
      </c>
      <c r="D120" s="1409" t="s">
        <v>7297</v>
      </c>
      <c r="E120" s="1409" t="s">
        <v>7298</v>
      </c>
      <c r="F120" s="1409" t="s">
        <v>7299</v>
      </c>
      <c r="H120" s="1547"/>
      <c r="I120" s="1547"/>
    </row>
    <row r="121" spans="1:9">
      <c r="A121" s="1548" t="s">
        <v>12594</v>
      </c>
      <c r="B121" s="1457">
        <f>COUNTIFS(HH.names!C:C,"*",HH.names!R:R,"HEAD",HH.names!P:P,"1")</f>
        <v>2</v>
      </c>
      <c r="C121" s="1457">
        <f>COUNTIFS(HH.names!C:C,"*",HH.names!R:R,"SPOUSE",HH.names!P:P,"1")</f>
        <v>0</v>
      </c>
      <c r="D121" s="1457"/>
      <c r="E121" s="1457">
        <f>SUM(B121:D121)</f>
        <v>2</v>
      </c>
      <c r="F121" s="1548"/>
      <c r="H121" s="1547"/>
      <c r="I121" s="1547"/>
    </row>
    <row r="122" spans="1:9">
      <c r="A122" s="1548" t="s">
        <v>12588</v>
      </c>
      <c r="B122" s="1457">
        <f>COUNTIFS(HH.names!C:C,"*",HH.names!R:R,"HEAD",HH.names!P:P,"2")</f>
        <v>5</v>
      </c>
      <c r="C122" s="1457"/>
      <c r="D122" s="1457"/>
      <c r="E122" s="1457">
        <f t="shared" ref="E122:E133" si="18">SUM(B122:D122)</f>
        <v>5</v>
      </c>
      <c r="F122" s="1548"/>
      <c r="H122" s="1547"/>
      <c r="I122" s="1547"/>
    </row>
    <row r="123" spans="1:9">
      <c r="A123" s="1548" t="s">
        <v>12589</v>
      </c>
      <c r="B123" s="1457">
        <f>COUNTIFS(HH.names!C:C,"*",HH.names!R:R,"HEAD",HH.names!P:P,"3")</f>
        <v>7</v>
      </c>
      <c r="C123" s="1457"/>
      <c r="D123" s="1457"/>
      <c r="E123" s="1457">
        <f t="shared" si="18"/>
        <v>7</v>
      </c>
      <c r="F123" s="1548"/>
      <c r="H123" s="1547"/>
      <c r="I123" s="1547"/>
    </row>
    <row r="124" spans="1:9">
      <c r="A124" s="1548" t="s">
        <v>12590</v>
      </c>
      <c r="B124" s="1457">
        <f>COUNTIFS(HH.names!C:C,"*",HH.names!R:R,"HEAD",HH.names!P:P,"4")</f>
        <v>2</v>
      </c>
      <c r="C124" s="1457"/>
      <c r="D124" s="1457"/>
      <c r="E124" s="1457">
        <f t="shared" si="18"/>
        <v>2</v>
      </c>
      <c r="F124" s="1548"/>
      <c r="H124" s="1547"/>
      <c r="I124" s="1547"/>
    </row>
    <row r="125" spans="1:9">
      <c r="A125" s="1548" t="s">
        <v>12591</v>
      </c>
      <c r="B125" s="1457">
        <f>COUNTIFS(HH.names!C:C,"*",HH.names!R:R,"HEAD",HH.names!P:P,"5")</f>
        <v>5</v>
      </c>
      <c r="C125" s="1457"/>
      <c r="D125" s="1457"/>
      <c r="E125" s="1457">
        <f t="shared" si="18"/>
        <v>5</v>
      </c>
      <c r="F125" s="1548"/>
      <c r="H125" s="1547"/>
      <c r="I125" s="1547"/>
    </row>
    <row r="126" spans="1:9">
      <c r="A126" s="1548" t="s">
        <v>12592</v>
      </c>
      <c r="B126" s="1457">
        <f>COUNTIFS(HH.names!C:C,"*",HH.names!R:R,"HEAD",HH.names!P:P,"6")</f>
        <v>7</v>
      </c>
      <c r="C126" s="1457"/>
      <c r="D126" s="1457"/>
      <c r="E126" s="1457">
        <f t="shared" si="18"/>
        <v>7</v>
      </c>
      <c r="F126" s="1548"/>
      <c r="H126" s="1547"/>
      <c r="I126" s="1547"/>
    </row>
    <row r="127" spans="1:9">
      <c r="A127" s="1548" t="s">
        <v>12593</v>
      </c>
      <c r="B127" s="1457">
        <f>COUNTIFS(HH.names!C:C,"*",HH.names!R:R,"HEAD",HH.names!P:P,"7")</f>
        <v>4</v>
      </c>
      <c r="C127" s="1457"/>
      <c r="D127" s="1457"/>
      <c r="E127" s="1457">
        <f t="shared" si="18"/>
        <v>4</v>
      </c>
      <c r="F127" s="1548"/>
      <c r="H127" s="1547"/>
      <c r="I127" s="1547"/>
    </row>
    <row r="128" spans="1:9">
      <c r="A128" s="1548" t="s">
        <v>12497</v>
      </c>
      <c r="B128" s="1457">
        <f>COUNTIFS(HH.names!C:C,"*",HH.names!R:R,"HEAD",HH.names!P:P,"8")</f>
        <v>1</v>
      </c>
      <c r="C128" s="1457"/>
      <c r="D128" s="1457"/>
      <c r="E128" s="1457">
        <f t="shared" si="18"/>
        <v>1</v>
      </c>
      <c r="F128" s="1548"/>
      <c r="H128" s="1547"/>
      <c r="I128" s="1547"/>
    </row>
    <row r="129" spans="1:12">
      <c r="A129" s="1548" t="s">
        <v>12595</v>
      </c>
      <c r="B129" s="1457">
        <f>COUNTIFS(HH.names!C:C,"*",HH.names!R:R,"HEAD",HH.names!P:P,"9")</f>
        <v>33</v>
      </c>
      <c r="C129" s="1457"/>
      <c r="D129" s="1457"/>
      <c r="E129" s="1457">
        <f t="shared" si="18"/>
        <v>33</v>
      </c>
      <c r="F129" s="1548"/>
      <c r="H129" s="1547"/>
      <c r="I129" s="1547"/>
    </row>
    <row r="130" spans="1:12">
      <c r="A130" s="1548" t="s">
        <v>12494</v>
      </c>
      <c r="B130" s="1457">
        <f>COUNTIFS(HH.names!C:C,"*",HH.names!R:R,"HEAD",HH.names!P:P,"10")</f>
        <v>13</v>
      </c>
      <c r="C130" s="1457"/>
      <c r="D130" s="1457"/>
      <c r="E130" s="1457">
        <f t="shared" si="18"/>
        <v>13</v>
      </c>
      <c r="F130" s="1548"/>
      <c r="H130" s="1547"/>
      <c r="I130" s="1547"/>
    </row>
    <row r="131" spans="1:12">
      <c r="A131" s="1548" t="s">
        <v>12625</v>
      </c>
      <c r="B131" s="1457">
        <f>COUNTIFS(HH.names!C:C,"*",HH.names!R:R,"HEAD",HH.names!P:P,"11")</f>
        <v>1</v>
      </c>
      <c r="C131" s="1457"/>
      <c r="D131" s="1457"/>
      <c r="E131" s="1457">
        <f t="shared" si="18"/>
        <v>1</v>
      </c>
      <c r="F131" s="1548"/>
      <c r="H131" s="1547"/>
      <c r="I131" s="1547"/>
    </row>
    <row r="132" spans="1:12">
      <c r="A132" s="1548" t="s">
        <v>12552</v>
      </c>
      <c r="B132" s="1457">
        <f>COUNTIFS(HH.names!C:C,"*",HH.names!R:R,"HEAD",HH.names!P:P,"12")</f>
        <v>2</v>
      </c>
      <c r="C132" s="1457"/>
      <c r="D132" s="1457"/>
      <c r="E132" s="1457">
        <f t="shared" si="18"/>
        <v>2</v>
      </c>
      <c r="F132" s="1548"/>
      <c r="H132" s="1547"/>
      <c r="I132" s="1547"/>
    </row>
    <row r="133" spans="1:12">
      <c r="A133" s="1548" t="s">
        <v>12613</v>
      </c>
      <c r="B133" s="1457">
        <f>COUNTIFS(HH.names!C:C,"*",HH.names!R:R,"HEAD",HH.names!P:P,"13")</f>
        <v>3</v>
      </c>
      <c r="C133" s="1457"/>
      <c r="D133" s="1457"/>
      <c r="E133" s="1457">
        <f t="shared" si="18"/>
        <v>3</v>
      </c>
      <c r="F133" s="1548"/>
      <c r="H133" s="1547"/>
      <c r="I133" s="1547"/>
    </row>
    <row r="134" spans="1:12">
      <c r="A134" s="1420"/>
      <c r="B134" s="1416"/>
      <c r="C134" s="1416"/>
      <c r="D134" s="1416"/>
      <c r="E134" s="1549"/>
      <c r="F134" s="1550"/>
      <c r="H134" s="1547"/>
      <c r="I134" s="1547"/>
    </row>
    <row r="135" spans="1:12">
      <c r="A135" s="1551"/>
      <c r="B135" s="1552"/>
      <c r="C135" s="1552"/>
      <c r="D135" s="1552"/>
      <c r="E135" s="1553"/>
      <c r="F135" s="1554"/>
      <c r="H135" s="1547"/>
      <c r="I135" s="1547"/>
    </row>
    <row r="136" spans="1:12">
      <c r="A136" s="1478"/>
      <c r="B136" s="1478"/>
      <c r="C136" s="1478"/>
      <c r="D136" s="1478"/>
      <c r="E136" s="1478"/>
      <c r="F136" s="1478"/>
    </row>
    <row r="137" spans="1:12">
      <c r="A137" s="1555" t="s">
        <v>7309</v>
      </c>
      <c r="J137" s="1556"/>
      <c r="K137" s="1404"/>
    </row>
    <row r="138" spans="1:12" ht="31.5">
      <c r="A138" s="2000" t="s">
        <v>7214</v>
      </c>
      <c r="B138" s="1557"/>
      <c r="C138" s="1409"/>
      <c r="D138" s="1409"/>
      <c r="E138" s="1557" t="s">
        <v>7317</v>
      </c>
      <c r="F138" s="1409"/>
      <c r="G138" s="1409"/>
      <c r="H138" s="1526"/>
      <c r="I138" s="1558" t="s">
        <v>12682</v>
      </c>
      <c r="J138" s="1492" t="s">
        <v>2034</v>
      </c>
      <c r="K138" s="1404"/>
    </row>
    <row r="139" spans="1:12" ht="31.5">
      <c r="A139" s="2000"/>
      <c r="B139" s="1492" t="s">
        <v>7310</v>
      </c>
      <c r="C139" s="1409" t="s">
        <v>12495</v>
      </c>
      <c r="D139" s="1492" t="s">
        <v>12496</v>
      </c>
      <c r="E139" s="1492" t="s">
        <v>7313</v>
      </c>
      <c r="F139" s="1492" t="s">
        <v>7314</v>
      </c>
      <c r="G139" s="1492" t="s">
        <v>7315</v>
      </c>
      <c r="H139" s="1558" t="s">
        <v>7316</v>
      </c>
      <c r="I139" s="1559" t="s">
        <v>12683</v>
      </c>
      <c r="J139" s="1495"/>
      <c r="K139" s="1404"/>
      <c r="L139" s="1560"/>
    </row>
    <row r="140" spans="1:12">
      <c r="A140" s="1474" t="s">
        <v>5848</v>
      </c>
      <c r="B140" s="1506" t="e">
        <f>COUNTIFS(SurveyDATA!#REF!,"*SAMPLING*",SurveyDATA!E:E,"*MALOLOS*",SurveyDATA!#REF!,"&gt;0",SurveyDATA!#REF!,"&lt;5001")</f>
        <v>#REF!</v>
      </c>
      <c r="C140" s="1506" t="e">
        <f>COUNTIFS(SurveyDATA!#REF!,"*SAMPLING*",SurveyDATA!E:E,"*MALOLOS*",SurveyDATA!#REF!,"&gt;5000",SurveyDATA!#REF!,"&lt;10001")</f>
        <v>#REF!</v>
      </c>
      <c r="D140" s="1506" t="e">
        <f>COUNTIFS(SurveyDATA!#REF!,"*SAMPLING*",SurveyDATA!E:E,"*MALOLOS*",SurveyDATA!#REF!,"&gt;10000",SurveyDATA!#REF!,"&lt;15001")</f>
        <v>#REF!</v>
      </c>
      <c r="E140" s="1506" t="e">
        <f>COUNTIFS(SurveyDATA!#REF!,"*SAMPLING*",SurveyDATA!E:E,"*MALOLOS*",SurveyDATA!#REF!,"&gt;15000",SurveyDATA!#REF!,"&lt;20001")</f>
        <v>#REF!</v>
      </c>
      <c r="F140" s="1506" t="e">
        <f>COUNTIFS(SurveyDATA!#REF!,"*SAMPLING*",SurveyDATA!E:E,"*MALOLOS*",SurveyDATA!#REF!,"&gt;20000",SurveyDATA!#REF!,"&lt;30001")</f>
        <v>#REF!</v>
      </c>
      <c r="G140" s="1506" t="e">
        <f>COUNTIFS(SurveyDATA!#REF!,"*SAMPLING*",SurveyDATA!E:E,"*MALOLOS*",SurveyDATA!#REF!,"&gt;30000",SurveyDATA!#REF!,"&lt;50001")</f>
        <v>#REF!</v>
      </c>
      <c r="H140" s="1506" t="e">
        <f>COUNTIFS(SurveyDATA!#REF!,"*SAMPLING*",SurveyDATA!E:E,"*MALOLOS*",SurveyDATA!#REF!,"&gt;50000")</f>
        <v>#REF!</v>
      </c>
      <c r="I140" s="1497" t="e">
        <f>COUNTIFS(SurveyDATA!#REF!,"*SAMPLING*",SurveyDATA!E:E,"*MALOLOS*",SurveyDATA!#REF!,"0")</f>
        <v>#REF!</v>
      </c>
      <c r="J140" s="1497" t="e">
        <f>SUM(B140:I140)</f>
        <v>#REF!</v>
      </c>
      <c r="K140" s="1404"/>
      <c r="L140" s="1404"/>
    </row>
    <row r="141" spans="1:12">
      <c r="A141" s="1474" t="s">
        <v>5494</v>
      </c>
      <c r="B141" s="1506" t="e">
        <f>COUNTIFS(SurveyDATA!#REF!,"*SAMPLING*",SurveyDATA!E:E,"*GUIGUINTO*",SurveyDATA!#REF!,"&gt;0",SurveyDATA!#REF!,"&lt;5001")</f>
        <v>#REF!</v>
      </c>
      <c r="C141" s="1506" t="e">
        <f>COUNTIFS(SurveyDATA!#REF!,"*SAMPLING*",SurveyDATA!E:E,"*GUIGUINTO*",SurveyDATA!#REF!,"&gt;5000",SurveyDATA!#REF!,"&lt;10001")</f>
        <v>#REF!</v>
      </c>
      <c r="D141" s="1506" t="e">
        <f>COUNTIFS(SurveyDATA!#REF!,"*SAMPLING*",SurveyDATA!E:E,"*GUIGUINTO*",SurveyDATA!#REF!,"&gt;10000",SurveyDATA!#REF!,"&lt;15001")</f>
        <v>#REF!</v>
      </c>
      <c r="E141" s="1506" t="e">
        <f>COUNTIFS(SurveyDATA!#REF!,"*SAMPLING*",SurveyDATA!E:E,"*GUIGUINTO*",SurveyDATA!#REF!,"&gt;15000",SurveyDATA!#REF!,"&lt;20001")</f>
        <v>#REF!</v>
      </c>
      <c r="F141" s="1506" t="e">
        <f>COUNTIFS(SurveyDATA!#REF!,"*SAMPLING*",SurveyDATA!E:E,"*GUIGUINTO*",SurveyDATA!#REF!,"&gt;20000",SurveyDATA!#REF!,"&lt;30001")</f>
        <v>#REF!</v>
      </c>
      <c r="G141" s="1506" t="e">
        <f>COUNTIFS(SurveyDATA!#REF!,"*SAMPLING*",SurveyDATA!E:E,"*GUIGUINTO*",SurveyDATA!#REF!,"&gt;30000",SurveyDATA!#REF!,"&lt;50001")</f>
        <v>#REF!</v>
      </c>
      <c r="H141" s="1506" t="e">
        <f>COUNTIFS(SurveyDATA!#REF!,"*SAMPLING*",SurveyDATA!E:E,"*GUIGUINTO*",SurveyDATA!#REF!,"&gt;50000")</f>
        <v>#REF!</v>
      </c>
      <c r="I141" s="1497" t="e">
        <f>COUNTIFS(SurveyDATA!#REF!,"*SAMPLING*",SurveyDATA!E:E,"*GUIGUINTO*",SurveyDATA!#REF!,"0")</f>
        <v>#REF!</v>
      </c>
      <c r="J141" s="1497" t="e">
        <f t="shared" ref="J141:J148" si="19">SUM(B141:I141)</f>
        <v>#REF!</v>
      </c>
      <c r="K141" s="1404"/>
      <c r="L141" s="1404"/>
    </row>
    <row r="142" spans="1:12">
      <c r="A142" s="1474" t="s">
        <v>5847</v>
      </c>
      <c r="B142" s="1506" t="e">
        <f>COUNTIFS(SurveyDATA!#REF!,"*SAMPLING*",SurveyDATA!E:E,"*BALAGTAS*",SurveyDATA!#REF!,"&gt;0",SurveyDATA!#REF!,"&lt;5001")</f>
        <v>#REF!</v>
      </c>
      <c r="C142" s="1506" t="e">
        <f>COUNTIFS(SurveyDATA!#REF!,"*SAMPLING*",SurveyDATA!E:E,"*BALAGTAS*",SurveyDATA!#REF!,"&gt;5000",SurveyDATA!#REF!,"&lt;10001")</f>
        <v>#REF!</v>
      </c>
      <c r="D142" s="1506" t="e">
        <f>COUNTIFS(SurveyDATA!#REF!,"*SAMPLING*",SurveyDATA!E:E,"*BALAGTAS*",SurveyDATA!#REF!,"&gt;10000",SurveyDATA!#REF!,"&lt;15001")</f>
        <v>#REF!</v>
      </c>
      <c r="E142" s="1506" t="e">
        <f>COUNTIFS(SurveyDATA!#REF!,"*SAMPLING*",SurveyDATA!E:E,"*BALAGTAS*",SurveyDATA!#REF!,"&gt;15000",SurveyDATA!#REF!,"&lt;20001")</f>
        <v>#REF!</v>
      </c>
      <c r="F142" s="1506" t="e">
        <f>COUNTIFS(SurveyDATA!#REF!,"*SAMPLING*",SurveyDATA!E:E,"*BALAGTAS*",SurveyDATA!#REF!,"&gt;20000",SurveyDATA!#REF!,"&lt;30001")</f>
        <v>#REF!</v>
      </c>
      <c r="G142" s="1506" t="e">
        <f>COUNTIFS(SurveyDATA!#REF!,"*SAMPLING*",SurveyDATA!E:E,"*BALAGTAS*",SurveyDATA!#REF!,"&gt;30000",SurveyDATA!#REF!,"&lt;50001")</f>
        <v>#REF!</v>
      </c>
      <c r="H142" s="1506" t="e">
        <f>COUNTIFS(SurveyDATA!#REF!,"*SAMPLING*",SurveyDATA!E:E,"*BALAGTAS*",SurveyDATA!#REF!,"&gt;50000")</f>
        <v>#REF!</v>
      </c>
      <c r="I142" s="1497" t="e">
        <f>COUNTIFS(SurveyDATA!#REF!,"*SAMPLING*",SurveyDATA!E:E,"*BALAGTAS*",SurveyDATA!#REF!,"0")</f>
        <v>#REF!</v>
      </c>
      <c r="J142" s="1497" t="e">
        <f t="shared" si="19"/>
        <v>#REF!</v>
      </c>
      <c r="K142" s="1404"/>
      <c r="L142" s="1404"/>
    </row>
    <row r="143" spans="1:12">
      <c r="A143" s="1474" t="s">
        <v>771</v>
      </c>
      <c r="B143" s="1506" t="e">
        <f>COUNTIFS(SurveyDATA!#REF!,"*SAMPLING*",SurveyDATA!E:E,"*BOCAUE*",SurveyDATA!#REF!,"&gt;0",SurveyDATA!#REF!,"&lt;5001")</f>
        <v>#REF!</v>
      </c>
      <c r="C143" s="1506" t="e">
        <f>COUNTIFS(SurveyDATA!#REF!,"*SAMPLING*",SurveyDATA!E:E,"*BOCAUE*",SurveyDATA!#REF!,"&gt;5000",SurveyDATA!#REF!,"&lt;10001")</f>
        <v>#REF!</v>
      </c>
      <c r="D143" s="1506" t="e">
        <f>COUNTIFS(SurveyDATA!#REF!,"*SAMPLING*",SurveyDATA!E:E,"*BOCAUE*",SurveyDATA!#REF!,"&gt;10000",SurveyDATA!#REF!,"&lt;15001")</f>
        <v>#REF!</v>
      </c>
      <c r="E143" s="1506" t="e">
        <f>COUNTIFS(SurveyDATA!#REF!,"*SAMPLING*",SurveyDATA!E:E,"*BOCAUE*",SurveyDATA!#REF!,"&gt;15000",SurveyDATA!#REF!,"&lt;20001")</f>
        <v>#REF!</v>
      </c>
      <c r="F143" s="1506" t="e">
        <f>COUNTIFS(SurveyDATA!#REF!,"*SAMPLING*",SurveyDATA!E:E,"*BOCAUE*",SurveyDATA!#REF!,"&gt;20000",SurveyDATA!#REF!,"&lt;30001")</f>
        <v>#REF!</v>
      </c>
      <c r="G143" s="1506" t="e">
        <f>COUNTIFS(SurveyDATA!#REF!,"*SAMPLING*",SurveyDATA!E:E,"*BOCAUE*",SurveyDATA!#REF!,"&gt;30000",SurveyDATA!#REF!,"&lt;50001")</f>
        <v>#REF!</v>
      </c>
      <c r="H143" s="1506" t="e">
        <f>COUNTIFS(SurveyDATA!#REF!,"*SAMPLING*",SurveyDATA!E:E,"*BOCAUE*",SurveyDATA!#REF!,"&gt;50000")</f>
        <v>#REF!</v>
      </c>
      <c r="I143" s="1497" t="e">
        <f>COUNTIFS(SurveyDATA!#REF!,"*SAMPLING*",SurveyDATA!E:E,"*BOCAUE*",SurveyDATA!#REF!,"0")</f>
        <v>#REF!</v>
      </c>
      <c r="J143" s="1497" t="e">
        <f t="shared" si="19"/>
        <v>#REF!</v>
      </c>
      <c r="K143" s="1404"/>
      <c r="L143" s="1404"/>
    </row>
    <row r="144" spans="1:12">
      <c r="A144" s="1474" t="s">
        <v>5495</v>
      </c>
      <c r="B144" s="1506" t="e">
        <f>COUNTIFS(SurveyDATA!#REF!,"*SAMPLING*",SurveyDATA!E:E,"*MARILAO*",SurveyDATA!#REF!,"&gt;0",SurveyDATA!#REF!,"&lt;5001")</f>
        <v>#REF!</v>
      </c>
      <c r="C144" s="1506" t="e">
        <f>COUNTIFS(SurveyDATA!#REF!,"*SAMPLING*",SurveyDATA!E:E,"*MARILAO*",SurveyDATA!#REF!,"&gt;5000",SurveyDATA!#REF!,"&lt;10001")</f>
        <v>#REF!</v>
      </c>
      <c r="D144" s="1506" t="e">
        <f>COUNTIFS(SurveyDATA!#REF!,"*SAMPLING*",SurveyDATA!E:E,"*MARILAO*",SurveyDATA!#REF!,"&gt;10000",SurveyDATA!#REF!,"&lt;15001")</f>
        <v>#REF!</v>
      </c>
      <c r="E144" s="1506" t="e">
        <f>COUNTIFS(SurveyDATA!#REF!,"*SAMPLING*",SurveyDATA!E:E,"*MARILAO*",SurveyDATA!#REF!,"&gt;15000",SurveyDATA!#REF!,"&lt;20001")</f>
        <v>#REF!</v>
      </c>
      <c r="F144" s="1506" t="e">
        <f>COUNTIFS(SurveyDATA!#REF!,"*SAMPLING*",SurveyDATA!E:E,"*MARILAO*",SurveyDATA!#REF!,"&gt;20000",SurveyDATA!#REF!,"&lt;30001")</f>
        <v>#REF!</v>
      </c>
      <c r="G144" s="1506" t="e">
        <f>COUNTIFS(SurveyDATA!#REF!,"*SAMPLING*",SurveyDATA!E:E,"*MARILAO*",SurveyDATA!#REF!,"&gt;30000",SurveyDATA!#REF!,"&lt;50001")</f>
        <v>#REF!</v>
      </c>
      <c r="H144" s="1506" t="e">
        <f>COUNTIFS(SurveyDATA!#REF!,"*SAMPLING*",SurveyDATA!E:E,"*GUIGUINTO*",SurveyDATA!#REF!,"&gt;50000")</f>
        <v>#REF!</v>
      </c>
      <c r="I144" s="1497" t="e">
        <f>COUNTIFS(SurveyDATA!#REF!,"*SAMPLING*",SurveyDATA!E:E,"*MARILAO*",SurveyDATA!#REF!,"0")</f>
        <v>#REF!</v>
      </c>
      <c r="J144" s="1497" t="e">
        <f t="shared" si="19"/>
        <v>#REF!</v>
      </c>
      <c r="K144" s="1404"/>
      <c r="L144" s="1404"/>
    </row>
    <row r="145" spans="1:14">
      <c r="A145" s="1474" t="s">
        <v>5496</v>
      </c>
      <c r="B145" s="1506" t="e">
        <f>COUNTIFS(SurveyDATA!#REF!,"*SAMPLING*",SurveyDATA!E:E,"*MEYCAUAYAN*",SurveyDATA!#REF!,"&gt;0",SurveyDATA!#REF!,"&lt;5001")</f>
        <v>#REF!</v>
      </c>
      <c r="C145" s="1506" t="e">
        <f>COUNTIFS(SurveyDATA!#REF!,"*SAMPLING*",SurveyDATA!E:E,"*MEYCAUAYAN*",SurveyDATA!#REF!,"&gt;5000",SurveyDATA!#REF!,"&lt;10001")</f>
        <v>#REF!</v>
      </c>
      <c r="D145" s="1506" t="e">
        <f>COUNTIFS(SurveyDATA!#REF!,"*SAMPLING*",SurveyDATA!E:E,"*MEYCAUAYAN*",SurveyDATA!#REF!,"&gt;10000",SurveyDATA!#REF!,"&lt;15001")</f>
        <v>#REF!</v>
      </c>
      <c r="E145" s="1506" t="e">
        <f>COUNTIFS(SurveyDATA!#REF!,"*SAMPLING*",SurveyDATA!E:E,"*MEYCAUAYAN*",SurveyDATA!#REF!,"&gt;15000",SurveyDATA!#REF!,"&lt;20001")</f>
        <v>#REF!</v>
      </c>
      <c r="F145" s="1506" t="e">
        <f>COUNTIFS(SurveyDATA!#REF!,"*SAMPLING*",SurveyDATA!E:E,"*MEYCAUAYAN*",SurveyDATA!#REF!,"&gt;20000",SurveyDATA!#REF!,"&lt;30001")</f>
        <v>#REF!</v>
      </c>
      <c r="G145" s="1506" t="e">
        <f>COUNTIFS(SurveyDATA!#REF!,"*SAMPLING*",SurveyDATA!E:E,"*MEYCAUAYAN*",SurveyDATA!#REF!,"&gt;30000",SurveyDATA!#REF!,"&lt;50001")</f>
        <v>#REF!</v>
      </c>
      <c r="H145" s="1506" t="e">
        <f>COUNTIFS(SurveyDATA!#REF!,"*SAMPLING*",SurveyDATA!E:E,"*MEYCAUAYAN*",SurveyDATA!#REF!,"&gt;50000")</f>
        <v>#REF!</v>
      </c>
      <c r="I145" s="1497" t="e">
        <f>COUNTIFS(SurveyDATA!#REF!,"*SAMPLING*",SurveyDATA!E:E,"*MEYCAUAYAN*",SurveyDATA!#REF!,"0")</f>
        <v>#REF!</v>
      </c>
      <c r="J145" s="1497" t="e">
        <f t="shared" si="19"/>
        <v>#REF!</v>
      </c>
      <c r="K145" s="1404"/>
      <c r="L145" s="1404"/>
    </row>
    <row r="146" spans="1:14">
      <c r="A146" s="1474" t="s">
        <v>778</v>
      </c>
      <c r="B146" s="1506" t="e">
        <f>COUNTIFS(SurveyDATA!#REF!,"*SAMPLING*",SurveyDATA!E:E,"*VALENZUELA*",SurveyDATA!#REF!,"&gt;0",SurveyDATA!#REF!,"&lt;5001")</f>
        <v>#REF!</v>
      </c>
      <c r="C146" s="1506" t="e">
        <f>COUNTIFS(SurveyDATA!#REF!,"*SAMPLING*",SurveyDATA!E:E,"*VALENZUELA*",SurveyDATA!#REF!,"&gt;5000",SurveyDATA!#REF!,"&lt;10001")</f>
        <v>#REF!</v>
      </c>
      <c r="D146" s="1506" t="e">
        <f>COUNTIFS(SurveyDATA!#REF!,"*SAMPLING*",SurveyDATA!E:E,"*VALENZUELA*",SurveyDATA!#REF!,"&gt;10000",SurveyDATA!#REF!,"&lt;15001")</f>
        <v>#REF!</v>
      </c>
      <c r="E146" s="1506" t="e">
        <f>COUNTIFS(SurveyDATA!#REF!,"*SAMPLING*",SurveyDATA!E:E,"*VALENZUELA*",SurveyDATA!#REF!,"&gt;15000",SurveyDATA!#REF!,"&lt;20001")</f>
        <v>#REF!</v>
      </c>
      <c r="F146" s="1506" t="e">
        <f>COUNTIFS(SurveyDATA!#REF!,"*SAMPLING*",SurveyDATA!E:E,"*VALENZUELA*",SurveyDATA!#REF!,"&gt;20000",SurveyDATA!#REF!,"&lt;30001")</f>
        <v>#REF!</v>
      </c>
      <c r="G146" s="1506" t="e">
        <f>COUNTIFS(SurveyDATA!#REF!,"*SAMPLING*",SurveyDATA!E:E,"*VALENZUELA*",SurveyDATA!#REF!,"&gt;30000",SurveyDATA!#REF!,"&lt;50001")</f>
        <v>#REF!</v>
      </c>
      <c r="H146" s="1506" t="e">
        <f>COUNTIFS(SurveyDATA!#REF!,"*SAMPLING*",SurveyDATA!E:E,"*VALENZUELA*",SurveyDATA!#REF!,"&gt;50000")</f>
        <v>#REF!</v>
      </c>
      <c r="I146" s="1497" t="e">
        <f>COUNTIFS(SurveyDATA!#REF!,"*SAMPLING*",SurveyDATA!E:E,"*VALENZUELA*",SurveyDATA!#REF!,"0")</f>
        <v>#REF!</v>
      </c>
      <c r="J146" s="1497" t="e">
        <f t="shared" si="19"/>
        <v>#REF!</v>
      </c>
      <c r="K146" s="1404"/>
      <c r="L146" s="1404"/>
    </row>
    <row r="147" spans="1:14">
      <c r="A147" s="1474" t="s">
        <v>5493</v>
      </c>
      <c r="B147" s="1506" t="e">
        <f>COUNTIFS(SurveyDATA!#REF!,"*SAMPLING*",SurveyDATA!E:E,"*CALOOCAN*",SurveyDATA!#REF!,"&gt;0",SurveyDATA!#REF!,"&lt;5001")</f>
        <v>#REF!</v>
      </c>
      <c r="C147" s="1506" t="e">
        <f>COUNTIFS(SurveyDATA!#REF!,"*SAMPLING*",SurveyDATA!E:E,"*CALOOCAN*",SurveyDATA!#REF!,"&gt;5000",SurveyDATA!#REF!,"&lt;10001")</f>
        <v>#REF!</v>
      </c>
      <c r="D147" s="1506" t="e">
        <f>COUNTIFS(SurveyDATA!#REF!,"*SAMPLING*",SurveyDATA!E:E,"*CALOOCAN*",SurveyDATA!#REF!,"&gt;10000",SurveyDATA!#REF!,"&lt;15001")</f>
        <v>#REF!</v>
      </c>
      <c r="E147" s="1506" t="e">
        <f>COUNTIFS(SurveyDATA!#REF!,"*SAMPLING*",SurveyDATA!E:E,"*CALOOCAN*",SurveyDATA!#REF!,"&gt;15000",SurveyDATA!#REF!,"&lt;20001")</f>
        <v>#REF!</v>
      </c>
      <c r="F147" s="1506" t="e">
        <f>COUNTIFS(SurveyDATA!#REF!,"*SAMPLING*",SurveyDATA!E:E,"*CALOOCAN*",SurveyDATA!#REF!,"&gt;20000",SurveyDATA!#REF!,"&lt;30001")</f>
        <v>#REF!</v>
      </c>
      <c r="G147" s="1506" t="e">
        <f>COUNTIFS(SurveyDATA!#REF!,"*SAMPLING*",SurveyDATA!E:E,"*CALOOCAN*",SurveyDATA!#REF!,"&gt;30000",SurveyDATA!#REF!,"&lt;50001")</f>
        <v>#REF!</v>
      </c>
      <c r="H147" s="1506" t="e">
        <f>COUNTIFS(SurveyDATA!#REF!,"*SAMPLING*",SurveyDATA!E:E,"*CALOOCAN*",SurveyDATA!#REF!,"&gt;50000")</f>
        <v>#REF!</v>
      </c>
      <c r="I147" s="1497" t="e">
        <f>COUNTIFS(SurveyDATA!#REF!,"*SAMPLING*",SurveyDATA!E:E,"*CALOOCAN*",SurveyDATA!#REF!,"0")</f>
        <v>#REF!</v>
      </c>
      <c r="J147" s="1497" t="e">
        <f t="shared" si="19"/>
        <v>#REF!</v>
      </c>
      <c r="K147" s="1404"/>
      <c r="L147" s="1404"/>
    </row>
    <row r="148" spans="1:14">
      <c r="A148" s="1474" t="s">
        <v>1020</v>
      </c>
      <c r="B148" s="1506" t="e">
        <f>COUNTIFS(SurveyDATA!#REF!,"*SAMPLING*",SurveyDATA!E:E,"*MANILA*",SurveyDATA!#REF!,"&gt;0",SurveyDATA!#REF!,"&lt;5001")</f>
        <v>#REF!</v>
      </c>
      <c r="C148" s="1506" t="e">
        <f>COUNTIFS(SurveyDATA!#REF!,"*SAMPLING*",SurveyDATA!E:E,"*MANILA*",SurveyDATA!#REF!,"&gt;5000",SurveyDATA!#REF!,"&lt;10001")</f>
        <v>#REF!</v>
      </c>
      <c r="D148" s="1506" t="e">
        <f>COUNTIFS(SurveyDATA!#REF!,"*SAMPLING*",SurveyDATA!E:E,"*MANILA*",SurveyDATA!#REF!,"&gt;10000",SurveyDATA!#REF!,"&lt;15001")</f>
        <v>#REF!</v>
      </c>
      <c r="E148" s="1506" t="e">
        <f>COUNTIFS(SurveyDATA!#REF!,"*SAMPLING*",SurveyDATA!E:E,"*MANILA*",SurveyDATA!#REF!,"&gt;15000",SurveyDATA!#REF!,"&lt;20001")</f>
        <v>#REF!</v>
      </c>
      <c r="F148" s="1506" t="e">
        <f>COUNTIFS(SurveyDATA!#REF!,"*SAMPLING*",SurveyDATA!E:E,"*MANILA*",SurveyDATA!#REF!,"&gt;20000",SurveyDATA!#REF!,"&lt;30001")</f>
        <v>#REF!</v>
      </c>
      <c r="G148" s="1506" t="e">
        <f>COUNTIFS(SurveyDATA!#REF!,"*SAMPLING*",SurveyDATA!E:E,"*MANILA*",SurveyDATA!#REF!,"&gt;30000",SurveyDATA!#REF!,"&lt;50001")</f>
        <v>#REF!</v>
      </c>
      <c r="H148" s="1506" t="e">
        <f>COUNTIFS(SurveyDATA!#REF!,"*SAMPLING*",SurveyDATA!E:E,"*MANILA*",SurveyDATA!#REF!,"&gt;50000")</f>
        <v>#REF!</v>
      </c>
      <c r="I148" s="1497" t="e">
        <f>COUNTIFS(SurveyDATA!#REF!,"*SAMPLING*",SurveyDATA!E:E,"*MANILA*",SurveyDATA!#REF!,"0")</f>
        <v>#REF!</v>
      </c>
      <c r="J148" s="1497" t="e">
        <f t="shared" si="19"/>
        <v>#REF!</v>
      </c>
      <c r="K148" s="1404"/>
      <c r="L148" s="1404"/>
    </row>
    <row r="149" spans="1:14">
      <c r="A149" s="1479" t="s">
        <v>2034</v>
      </c>
      <c r="B149" s="1499" t="e">
        <f t="shared" ref="B149:I149" si="20">SUM(B140:B148)</f>
        <v>#REF!</v>
      </c>
      <c r="C149" s="1499" t="e">
        <f t="shared" si="20"/>
        <v>#REF!</v>
      </c>
      <c r="D149" s="1499" t="e">
        <f t="shared" si="20"/>
        <v>#REF!</v>
      </c>
      <c r="E149" s="1499" t="e">
        <f t="shared" si="20"/>
        <v>#REF!</v>
      </c>
      <c r="F149" s="1499" t="e">
        <f t="shared" si="20"/>
        <v>#REF!</v>
      </c>
      <c r="G149" s="1499" t="e">
        <f t="shared" si="20"/>
        <v>#REF!</v>
      </c>
      <c r="H149" s="1499" t="e">
        <f t="shared" si="20"/>
        <v>#REF!</v>
      </c>
      <c r="I149" s="1499" t="e">
        <f t="shared" si="20"/>
        <v>#REF!</v>
      </c>
      <c r="J149" s="1499" t="e">
        <f>SUM(J140:J148)</f>
        <v>#REF!</v>
      </c>
      <c r="K149" s="1404"/>
      <c r="L149" s="1404"/>
    </row>
    <row r="150" spans="1:14">
      <c r="A150" s="1490" t="s">
        <v>7243</v>
      </c>
      <c r="B150" s="1500" t="e">
        <f t="shared" ref="B150:I150" si="21">B149/$J149</f>
        <v>#REF!</v>
      </c>
      <c r="C150" s="1500" t="e">
        <f t="shared" si="21"/>
        <v>#REF!</v>
      </c>
      <c r="D150" s="1500" t="e">
        <f t="shared" si="21"/>
        <v>#REF!</v>
      </c>
      <c r="E150" s="1500" t="e">
        <f t="shared" si="21"/>
        <v>#REF!</v>
      </c>
      <c r="F150" s="1500" t="e">
        <f t="shared" si="21"/>
        <v>#REF!</v>
      </c>
      <c r="G150" s="1500" t="e">
        <f t="shared" si="21"/>
        <v>#REF!</v>
      </c>
      <c r="H150" s="1500" t="e">
        <f t="shared" si="21"/>
        <v>#REF!</v>
      </c>
      <c r="I150" s="1500" t="e">
        <f t="shared" si="21"/>
        <v>#REF!</v>
      </c>
      <c r="J150" s="1500" t="e">
        <f>SUM(B150:I150)</f>
        <v>#REF!</v>
      </c>
      <c r="K150" s="1404"/>
      <c r="L150" s="1404"/>
    </row>
    <row r="151" spans="1:14">
      <c r="J151" s="1404"/>
      <c r="K151" s="1404"/>
      <c r="L151" s="1404"/>
    </row>
    <row r="152" spans="1:14">
      <c r="J152" s="1404"/>
      <c r="K152" s="1404"/>
      <c r="L152" s="1404"/>
    </row>
    <row r="153" spans="1:14">
      <c r="A153" s="1406" t="s">
        <v>7323</v>
      </c>
      <c r="J153" s="1404"/>
      <c r="K153" s="1404"/>
      <c r="L153" s="1404"/>
      <c r="N153" s="1404"/>
    </row>
    <row r="154" spans="1:14" ht="15" customHeight="1">
      <c r="A154" s="1409" t="s">
        <v>7214</v>
      </c>
      <c r="B154" s="1409" t="s">
        <v>7318</v>
      </c>
      <c r="C154" s="1409" t="s">
        <v>7319</v>
      </c>
      <c r="D154" s="1409" t="s">
        <v>7320</v>
      </c>
      <c r="E154" s="1409" t="s">
        <v>7321</v>
      </c>
      <c r="F154" s="1409" t="s">
        <v>7322</v>
      </c>
      <c r="G154" s="1409" t="s">
        <v>3650</v>
      </c>
      <c r="H154" s="1409" t="s">
        <v>2034</v>
      </c>
      <c r="K154" s="1404"/>
      <c r="L154" s="1404"/>
      <c r="N154" s="1404"/>
    </row>
    <row r="155" spans="1:14">
      <c r="A155" s="1474" t="s">
        <v>5848</v>
      </c>
      <c r="B155" s="1506" t="e">
        <f>COUNTIFS(SurveyDATA!#REF!,"*SAMPLING*",SurveyDATA!E:E,"*MALOLOS*",SurveyDATA!#REF!,"&lt;3001")</f>
        <v>#REF!</v>
      </c>
      <c r="C155" s="1506" t="e">
        <f>COUNTIFS(SurveyDATA!#REF!,"*SAMPLING*",SurveyDATA!E:E,"*MALOLOS*",SurveyDATA!#REF!,"&lt;5001",SurveyDATA!#REF!,"&gt;3000")</f>
        <v>#REF!</v>
      </c>
      <c r="D155" s="1506" t="e">
        <f>COUNTIFS(SurveyDATA!#REF!,"*SAMPLING*",SurveyDATA!E:E,"*MALOLOS*",SurveyDATA!#REF!,"&lt;10001",SurveyDATA!#REF!,"&gt;5000")</f>
        <v>#REF!</v>
      </c>
      <c r="E155" s="1506" t="e">
        <f>COUNTIFS(SurveyDATA!#REF!,"*SAMPLING*",SurveyDATA!E:E,"*MALOLOS*",SurveyDATA!#REF!,"&lt;30001",SurveyDATA!#REF!,"&gt;10000")</f>
        <v>#REF!</v>
      </c>
      <c r="F155" s="1506" t="e">
        <f>COUNTIFS(SurveyDATA!#REF!,"*SAMPLING*",SurveyDATA!E:E,"*MALOLOS*",SurveyDATA!#REF!,"&gt;30000")</f>
        <v>#REF!</v>
      </c>
      <c r="G155" s="1506" t="e">
        <f>COUNTIFS(SurveyDATA!#REF!,"*SAMPLING*",SurveyDATA!E:E,"*MALOLOS*",SurveyDATA!#REF!,"")</f>
        <v>#REF!</v>
      </c>
      <c r="H155" s="1506" t="e">
        <f t="shared" ref="H155:H163" si="22">SUM(B155:G155)</f>
        <v>#REF!</v>
      </c>
      <c r="J155" s="1403" t="s">
        <v>12558</v>
      </c>
      <c r="K155" s="1404"/>
      <c r="L155" s="1404"/>
      <c r="N155" s="1404"/>
    </row>
    <row r="156" spans="1:14">
      <c r="A156" s="1474" t="s">
        <v>5494</v>
      </c>
      <c r="B156" s="1506" t="e">
        <f>COUNTIFS(SurveyDATA!#REF!,"*SAMPLING*",SurveyDATA!E:E,"*GUIGUINTO*",SurveyDATA!#REF!,"&lt;3001")</f>
        <v>#REF!</v>
      </c>
      <c r="C156" s="1506" t="e">
        <f>COUNTIFS(SurveyDATA!#REF!,"*SAMPLING*",SurveyDATA!E:E,"*GUIGUINTO*",SurveyDATA!#REF!,"&lt;5001",SurveyDATA!#REF!,"&gt;3000")</f>
        <v>#REF!</v>
      </c>
      <c r="D156" s="1506" t="e">
        <f>COUNTIFS(SurveyDATA!#REF!,"*SAMPLING*",SurveyDATA!E:E,"*GUIGUINTO*",SurveyDATA!#REF!,"&lt;10001",SurveyDATA!#REF!,"&gt;5000")</f>
        <v>#REF!</v>
      </c>
      <c r="E156" s="1506" t="e">
        <f>COUNTIFS(SurveyDATA!#REF!,"*SAMPLING*",SurveyDATA!E:E,"*GUIGUINTO*",SurveyDATA!#REF!,"&lt;30001",SurveyDATA!#REF!,"&gt;10000")</f>
        <v>#REF!</v>
      </c>
      <c r="F156" s="1506" t="e">
        <f>COUNTIFS(SurveyDATA!#REF!,"*SAMPLING*",SurveyDATA!E:E,"*GUIGUINTO*",SurveyDATA!#REF!,"&gt;30000")</f>
        <v>#REF!</v>
      </c>
      <c r="G156" s="1506" t="e">
        <f>COUNTIFS(SurveyDATA!#REF!,"*SAMPLING*",SurveyDATA!E:E,"*GUIGUINTO*",SurveyDATA!#REF!,"")</f>
        <v>#REF!</v>
      </c>
      <c r="H156" s="1506" t="e">
        <f t="shared" si="22"/>
        <v>#REF!</v>
      </c>
      <c r="K156" s="1404"/>
      <c r="L156" s="1404"/>
      <c r="N156" s="1404"/>
    </row>
    <row r="157" spans="1:14">
      <c r="A157" s="1474" t="s">
        <v>5847</v>
      </c>
      <c r="B157" s="1506" t="e">
        <f>COUNTIFS(SurveyDATA!#REF!,"*SAMPLING*",SurveyDATA!E:E,"*BALAGTAS*",SurveyDATA!#REF!,"&lt;3001")</f>
        <v>#REF!</v>
      </c>
      <c r="C157" s="1506" t="e">
        <f>COUNTIFS(SurveyDATA!#REF!,"*SAMPLING*",SurveyDATA!E:E,"*BALAGTAS*",SurveyDATA!#REF!,"&lt;5001",SurveyDATA!#REF!,"&gt;3000")</f>
        <v>#REF!</v>
      </c>
      <c r="D157" s="1506" t="e">
        <f>COUNTIFS(SurveyDATA!#REF!,"*SAMPLING*",SurveyDATA!E:E,"*BALAGTAS*",SurveyDATA!#REF!,"&lt;10001",SurveyDATA!#REF!,"&gt;5000")</f>
        <v>#REF!</v>
      </c>
      <c r="E157" s="1506" t="e">
        <f>COUNTIFS(SurveyDATA!#REF!,"*SAMPLING*",SurveyDATA!E:E,"*BALAGTAS*",SurveyDATA!#REF!,"&lt;30001",SurveyDATA!#REF!,"&gt;10000")</f>
        <v>#REF!</v>
      </c>
      <c r="F157" s="1506" t="e">
        <f>COUNTIFS(SurveyDATA!#REF!,"*SAMPLING*",SurveyDATA!E:E,"*BALAGTAS*",SurveyDATA!#REF!,"&gt;30000")</f>
        <v>#REF!</v>
      </c>
      <c r="G157" s="1506" t="e">
        <f>COUNTIFS(SurveyDATA!#REF!,"*SAMPLING*",SurveyDATA!E:E,"*BALAGTAS*",SurveyDATA!#REF!,"")</f>
        <v>#REF!</v>
      </c>
      <c r="H157" s="1506" t="e">
        <f t="shared" si="22"/>
        <v>#REF!</v>
      </c>
      <c r="K157" s="1404"/>
      <c r="L157" s="1404"/>
      <c r="N157" s="1404"/>
    </row>
    <row r="158" spans="1:14">
      <c r="A158" s="1474" t="s">
        <v>771</v>
      </c>
      <c r="B158" s="1506" t="e">
        <f>COUNTIFS(SurveyDATA!#REF!,"*SAMPLING*",SurveyDATA!E:E,"*BOCAUE*",SurveyDATA!#REF!,"&lt;3001")</f>
        <v>#REF!</v>
      </c>
      <c r="C158" s="1506" t="e">
        <f>COUNTIFS(SurveyDATA!#REF!,"*SAMPLING*",SurveyDATA!E:E,"*BOCAUE*",SurveyDATA!#REF!,"&lt;5001",SurveyDATA!#REF!,"&gt;3000")</f>
        <v>#REF!</v>
      </c>
      <c r="D158" s="1506" t="e">
        <f>COUNTIFS(SurveyDATA!#REF!,"*SAMPLING*",SurveyDATA!E:E,"*BOCAUE*",SurveyDATA!#REF!,"&lt;10001",SurveyDATA!#REF!,"&gt;5000")</f>
        <v>#REF!</v>
      </c>
      <c r="E158" s="1506" t="e">
        <f>COUNTIFS(SurveyDATA!#REF!,"*SAMPLING*",SurveyDATA!E:E,"*BOCAUE*",SurveyDATA!#REF!,"&lt;30001",SurveyDATA!#REF!,"&gt;10000")</f>
        <v>#REF!</v>
      </c>
      <c r="F158" s="1506" t="e">
        <f>COUNTIFS(SurveyDATA!#REF!,"*SAMPLING*",SurveyDATA!E:E,"*BOCAUE*",SurveyDATA!#REF!,"&gt;30000")</f>
        <v>#REF!</v>
      </c>
      <c r="G158" s="1506" t="e">
        <f>COUNTIFS(SurveyDATA!#REF!,"*SAMPLING*",SurveyDATA!E:E,"*BOCAUE*",SurveyDATA!#REF!,"")</f>
        <v>#REF!</v>
      </c>
      <c r="H158" s="1506" t="e">
        <f t="shared" si="22"/>
        <v>#REF!</v>
      </c>
      <c r="K158" s="1404"/>
      <c r="L158" s="1404"/>
      <c r="N158" s="1404"/>
    </row>
    <row r="159" spans="1:14">
      <c r="A159" s="1474" t="s">
        <v>5495</v>
      </c>
      <c r="B159" s="1506" t="e">
        <f>COUNTIFS(SurveyDATA!#REF!,"*SAMPLING*",SurveyDATA!E:E,"*MARILAO*",SurveyDATA!#REF!,"&lt;3001")</f>
        <v>#REF!</v>
      </c>
      <c r="C159" s="1506" t="e">
        <f>COUNTIFS(SurveyDATA!#REF!,"*SAMPLING*",SurveyDATA!E:E,"*MARILAO*",SurveyDATA!#REF!,"&lt;5001",SurveyDATA!#REF!,"&gt;3000")</f>
        <v>#REF!</v>
      </c>
      <c r="D159" s="1506" t="e">
        <f>COUNTIFS(SurveyDATA!#REF!,"*SAMPLING*",SurveyDATA!E:E,"*MARILAO*",SurveyDATA!#REF!,"&lt;10001",SurveyDATA!#REF!,"&gt;5000")</f>
        <v>#REF!</v>
      </c>
      <c r="E159" s="1506" t="e">
        <f>COUNTIFS(SurveyDATA!#REF!,"*SAMPLING*",SurveyDATA!E:E,"*MARILAO*",SurveyDATA!#REF!,"&lt;30001",SurveyDATA!#REF!,"&gt;10000")</f>
        <v>#REF!</v>
      </c>
      <c r="F159" s="1506" t="e">
        <f>COUNTIFS(SurveyDATA!#REF!,"*SAMPLING*",SurveyDATA!E:E,"*MARILAO*",SurveyDATA!#REF!,"&gt;30000")</f>
        <v>#REF!</v>
      </c>
      <c r="G159" s="1506" t="e">
        <f>COUNTIFS(SurveyDATA!#REF!,"*SAMPLING*",SurveyDATA!E:E,"*MARILAO*",SurveyDATA!#REF!,"")</f>
        <v>#REF!</v>
      </c>
      <c r="H159" s="1506" t="e">
        <f t="shared" si="22"/>
        <v>#REF!</v>
      </c>
      <c r="L159" s="1404"/>
      <c r="N159" s="1404"/>
    </row>
    <row r="160" spans="1:14">
      <c r="A160" s="1474" t="s">
        <v>5496</v>
      </c>
      <c r="B160" s="1506" t="e">
        <f>COUNTIFS(SurveyDATA!#REF!,"*SAMPLING*",SurveyDATA!E:E,"*MEYCAUAYAN*",SurveyDATA!#REF!,"&lt;3001")</f>
        <v>#REF!</v>
      </c>
      <c r="C160" s="1506" t="e">
        <f>COUNTIFS(SurveyDATA!#REF!,"*SAMPLING*",SurveyDATA!E:E,"*MEYCAUAYAN*",SurveyDATA!#REF!,"&lt;5001",SurveyDATA!#REF!,"&gt;3000")</f>
        <v>#REF!</v>
      </c>
      <c r="D160" s="1506" t="e">
        <f>COUNTIFS(SurveyDATA!#REF!,"*SAMPLING*",SurveyDATA!E:E,"*MEYCAUAYAN*",SurveyDATA!#REF!,"&lt;10001",SurveyDATA!#REF!,"&gt;5000")</f>
        <v>#REF!</v>
      </c>
      <c r="E160" s="1506" t="e">
        <f>COUNTIFS(SurveyDATA!#REF!,"*SAMPLING*",SurveyDATA!E:E,"*MEYCAUAYAN*",SurveyDATA!#REF!,"&lt;30001",SurveyDATA!#REF!,"&gt;10000")</f>
        <v>#REF!</v>
      </c>
      <c r="F160" s="1506" t="e">
        <f>COUNTIFS(SurveyDATA!#REF!,"*SAMPLING*",SurveyDATA!E:E,"*MEYCAUAYAN*",SurveyDATA!#REF!,"&gt;30000")</f>
        <v>#REF!</v>
      </c>
      <c r="G160" s="1506" t="e">
        <f>COUNTIFS(SurveyDATA!#REF!,"*SAMPLING*",SurveyDATA!E:E,"*MEYCAUAYAN*",SurveyDATA!#REF!,"")</f>
        <v>#REF!</v>
      </c>
      <c r="H160" s="1506" t="e">
        <f t="shared" si="22"/>
        <v>#REF!</v>
      </c>
      <c r="L160" s="1404"/>
      <c r="N160" s="1404"/>
    </row>
    <row r="161" spans="1:14">
      <c r="A161" s="1474" t="s">
        <v>778</v>
      </c>
      <c r="B161" s="1506" t="e">
        <f>COUNTIFS(SurveyDATA!#REF!,"*SAMPLING*",SurveyDATA!E:E,"*VALENZUELA*",SurveyDATA!#REF!,"&lt;3001")</f>
        <v>#REF!</v>
      </c>
      <c r="C161" s="1506" t="e">
        <f>COUNTIFS(SurveyDATA!#REF!,"*SAMPLING*",SurveyDATA!E:E,"*VALENZUELA*",SurveyDATA!#REF!,"&lt;5001",SurveyDATA!#REF!,"&gt;3000")</f>
        <v>#REF!</v>
      </c>
      <c r="D161" s="1506" t="e">
        <f>COUNTIFS(SurveyDATA!#REF!,"*SAMPLING*",SurveyDATA!E:E,"*VALENZUELA*",SurveyDATA!#REF!,"&lt;10001",SurveyDATA!#REF!,"&gt;5000")</f>
        <v>#REF!</v>
      </c>
      <c r="E161" s="1506" t="e">
        <f>COUNTIFS(SurveyDATA!#REF!,"*SAMPLING*",SurveyDATA!E:E,"*VALENZUELA*",SurveyDATA!#REF!,"&lt;30001",SurveyDATA!#REF!,"&gt;10000")</f>
        <v>#REF!</v>
      </c>
      <c r="F161" s="1506" t="e">
        <f>COUNTIFS(SurveyDATA!#REF!,"*SAMPLING*",SurveyDATA!E:E,"*VALENZUELA*",SurveyDATA!#REF!,"&gt;30000")</f>
        <v>#REF!</v>
      </c>
      <c r="G161" s="1506" t="e">
        <f>COUNTIFS(SurveyDATA!#REF!,"*SAMPLING*",SurveyDATA!E:E,"*VALENZUELA*",SurveyDATA!#REF!,"")</f>
        <v>#REF!</v>
      </c>
      <c r="H161" s="1506" t="e">
        <f t="shared" si="22"/>
        <v>#REF!</v>
      </c>
      <c r="L161" s="1404"/>
      <c r="N161" s="1404"/>
    </row>
    <row r="162" spans="1:14">
      <c r="A162" s="1474" t="s">
        <v>5493</v>
      </c>
      <c r="B162" s="1506" t="e">
        <f>COUNTIFS(SurveyDATA!#REF!,"*SAMPLING*",SurveyDATA!E:E,"*CALOOCAN*",SurveyDATA!#REF!,"&lt;3001")</f>
        <v>#REF!</v>
      </c>
      <c r="C162" s="1506" t="e">
        <f>COUNTIFS(SurveyDATA!#REF!,"*SAMPLING*",SurveyDATA!E:E,"*CALOOCAN*",SurveyDATA!#REF!,"&lt;5001",SurveyDATA!#REF!,"&gt;3000")</f>
        <v>#REF!</v>
      </c>
      <c r="D162" s="1506" t="e">
        <f>COUNTIFS(SurveyDATA!#REF!,"*SAMPLING*",SurveyDATA!E:E,"*CALOOCAN*",SurveyDATA!#REF!,"&lt;10001",SurveyDATA!#REF!,"&gt;5000")</f>
        <v>#REF!</v>
      </c>
      <c r="E162" s="1506" t="e">
        <f>COUNTIFS(SurveyDATA!#REF!,"*SAMPLING*",SurveyDATA!E:E,"*CALOOCAN*",SurveyDATA!#REF!,"&lt;30001",SurveyDATA!#REF!,"&gt;10000")</f>
        <v>#REF!</v>
      </c>
      <c r="F162" s="1506" t="e">
        <f>COUNTIFS(SurveyDATA!#REF!,"*SAMPLING*",SurveyDATA!E:E,"*CALOOCAN*",SurveyDATA!#REF!,"&gt;30000")</f>
        <v>#REF!</v>
      </c>
      <c r="G162" s="1506" t="e">
        <f>COUNTIFS(SurveyDATA!#REF!,"*SAMPLING*",SurveyDATA!E:E,"*CALOOCAN*",SurveyDATA!#REF!,"")</f>
        <v>#REF!</v>
      </c>
      <c r="H162" s="1506" t="e">
        <f t="shared" si="22"/>
        <v>#REF!</v>
      </c>
      <c r="N162" s="1404"/>
    </row>
    <row r="163" spans="1:14">
      <c r="A163" s="1474" t="s">
        <v>1020</v>
      </c>
      <c r="B163" s="1506" t="e">
        <f>COUNTIFS(SurveyDATA!#REF!,"*SAMPLING*",SurveyDATA!E:E,"*MANILA*",SurveyDATA!#REF!,"&lt;3001")</f>
        <v>#REF!</v>
      </c>
      <c r="C163" s="1506" t="e">
        <f>COUNTIFS(SurveyDATA!#REF!,"*SAMPLING*",SurveyDATA!E:E,"*MANILA*",SurveyDATA!#REF!,"&lt;5001",SurveyDATA!#REF!,"&gt;3000")</f>
        <v>#REF!</v>
      </c>
      <c r="D163" s="1506" t="e">
        <f>COUNTIFS(SurveyDATA!#REF!,"*SAMPLING*",SurveyDATA!E:E,"*MANILA*",SurveyDATA!#REF!,"&lt;10001",SurveyDATA!#REF!,"&gt;5000")</f>
        <v>#REF!</v>
      </c>
      <c r="E163" s="1506" t="e">
        <f>COUNTIFS(SurveyDATA!#REF!,"*SAMPLING*",SurveyDATA!E:E,"*MANILA*",SurveyDATA!#REF!,"&lt;30001",SurveyDATA!#REF!,"&gt;10000")</f>
        <v>#REF!</v>
      </c>
      <c r="F163" s="1506" t="e">
        <f>COUNTIFS(SurveyDATA!#REF!,"*SAMPLING*",SurveyDATA!E:E,"*MANILA*",SurveyDATA!#REF!,"&gt;30000")</f>
        <v>#REF!</v>
      </c>
      <c r="G163" s="1506" t="e">
        <f>COUNTIFS(SurveyDATA!#REF!,"*SAMPLING*",SurveyDATA!E:E,"*MANILA*",SurveyDATA!#REF!,"")</f>
        <v>#REF!</v>
      </c>
      <c r="H163" s="1506" t="e">
        <f t="shared" si="22"/>
        <v>#REF!</v>
      </c>
      <c r="N163" s="1404"/>
    </row>
    <row r="164" spans="1:14">
      <c r="A164" s="1479" t="s">
        <v>2034</v>
      </c>
      <c r="B164" s="1499" t="e">
        <f t="shared" ref="B164:H164" si="23">SUM(B155:B163)</f>
        <v>#REF!</v>
      </c>
      <c r="C164" s="1499" t="e">
        <f t="shared" si="23"/>
        <v>#REF!</v>
      </c>
      <c r="D164" s="1499" t="e">
        <f t="shared" si="23"/>
        <v>#REF!</v>
      </c>
      <c r="E164" s="1499" t="e">
        <f t="shared" si="23"/>
        <v>#REF!</v>
      </c>
      <c r="F164" s="1499" t="e">
        <f t="shared" si="23"/>
        <v>#REF!</v>
      </c>
      <c r="G164" s="1499" t="e">
        <f t="shared" si="23"/>
        <v>#REF!</v>
      </c>
      <c r="H164" s="1499" t="e">
        <f t="shared" si="23"/>
        <v>#REF!</v>
      </c>
      <c r="N164" s="1404"/>
    </row>
    <row r="165" spans="1:14">
      <c r="A165" s="1490" t="s">
        <v>7243</v>
      </c>
      <c r="B165" s="1500" t="e">
        <f t="shared" ref="B165:G165" si="24">B164/$H164</f>
        <v>#REF!</v>
      </c>
      <c r="C165" s="1500" t="e">
        <f t="shared" si="24"/>
        <v>#REF!</v>
      </c>
      <c r="D165" s="1500" t="e">
        <f t="shared" si="24"/>
        <v>#REF!</v>
      </c>
      <c r="E165" s="1500" t="e">
        <f t="shared" si="24"/>
        <v>#REF!</v>
      </c>
      <c r="F165" s="1500" t="e">
        <f t="shared" si="24"/>
        <v>#REF!</v>
      </c>
      <c r="G165" s="1500" t="e">
        <f t="shared" si="24"/>
        <v>#REF!</v>
      </c>
      <c r="H165" s="1500" t="e">
        <f>SUM(B165:G165)</f>
        <v>#REF!</v>
      </c>
      <c r="N165" s="1404"/>
    </row>
    <row r="168" spans="1:14">
      <c r="A168" s="1406" t="s">
        <v>7331</v>
      </c>
    </row>
    <row r="169" spans="1:14">
      <c r="A169" s="2007" t="s">
        <v>7214</v>
      </c>
      <c r="B169" s="2005" t="s">
        <v>7325</v>
      </c>
      <c r="C169" s="2005"/>
      <c r="D169" s="2009" t="s">
        <v>7326</v>
      </c>
      <c r="E169" s="2010"/>
      <c r="F169" s="2005" t="s">
        <v>7327</v>
      </c>
      <c r="G169" s="2005"/>
      <c r="H169" s="2005" t="s">
        <v>7328</v>
      </c>
      <c r="I169" s="2006"/>
      <c r="J169" s="2005" t="s">
        <v>12497</v>
      </c>
      <c r="K169" s="2006"/>
      <c r="L169" s="1561"/>
      <c r="N169" s="1404"/>
    </row>
    <row r="170" spans="1:14">
      <c r="A170" s="2008"/>
      <c r="B170" s="2005"/>
      <c r="C170" s="2005"/>
      <c r="D170" s="2011"/>
      <c r="E170" s="2012"/>
      <c r="F170" s="2005"/>
      <c r="G170" s="2005"/>
      <c r="H170" s="2005"/>
      <c r="I170" s="2006"/>
      <c r="J170" s="2005"/>
      <c r="K170" s="2006"/>
      <c r="L170" s="1562" t="s">
        <v>2034</v>
      </c>
      <c r="N170" s="1404"/>
    </row>
    <row r="171" spans="1:14">
      <c r="A171" s="1563"/>
      <c r="B171" s="1564" t="s">
        <v>7281</v>
      </c>
      <c r="C171" s="1564" t="s">
        <v>5805</v>
      </c>
      <c r="D171" s="1564" t="s">
        <v>7281</v>
      </c>
      <c r="E171" s="1564" t="s">
        <v>5805</v>
      </c>
      <c r="F171" s="1564" t="s">
        <v>7281</v>
      </c>
      <c r="G171" s="1564" t="s">
        <v>5805</v>
      </c>
      <c r="H171" s="1564" t="s">
        <v>7281</v>
      </c>
      <c r="I171" s="1565" t="s">
        <v>5805</v>
      </c>
      <c r="J171" s="1564" t="s">
        <v>7281</v>
      </c>
      <c r="K171" s="1565" t="s">
        <v>5805</v>
      </c>
      <c r="L171" s="1566"/>
      <c r="N171" s="1404"/>
    </row>
    <row r="172" spans="1:14">
      <c r="A172" s="1497" t="s">
        <v>5848</v>
      </c>
      <c r="B172" s="1506" t="e">
        <f>COUNTIFS(SurveyDATA!#REF!,"*SAMPLING*",SurveyDATA!E:E,"*MALOLOS*",SurveyDATA!S:S,"MALE",SurveyDATA!#REF!,"1")</f>
        <v>#REF!</v>
      </c>
      <c r="C172" s="1500" t="e">
        <f>B172/B181</f>
        <v>#REF!</v>
      </c>
      <c r="D172" s="1506" t="e">
        <f>COUNTIFS(SurveyDATA!#REF!,"*SAMPLING*",SurveyDATA!E:E,"*MALOLOS*",SurveyDATA!S:S,"MALE",SurveyDATA!#REF!,"2")</f>
        <v>#REF!</v>
      </c>
      <c r="E172" s="1500" t="e">
        <f>D172/D181</f>
        <v>#REF!</v>
      </c>
      <c r="F172" s="1506" t="e">
        <f>COUNTIFS(SurveyDATA!#REF!,"*SAMPLING*",SurveyDATA!E:E,"*MALOLOS*",SurveyDATA!S:S,"MALE",SurveyDATA!#REF!,"3")</f>
        <v>#REF!</v>
      </c>
      <c r="G172" s="1500" t="e">
        <f>F172/F181</f>
        <v>#REF!</v>
      </c>
      <c r="H172" s="1506" t="e">
        <f>COUNTIFS(SurveyDATA!#REF!,"*SAMPLING*",SurveyDATA!E:E,"*MALOLOS*",SurveyDATA!S:S,"MALE",SurveyDATA!#REF!,"4")</f>
        <v>#REF!</v>
      </c>
      <c r="I172" s="1500" t="e">
        <f>H172/H181</f>
        <v>#REF!</v>
      </c>
      <c r="J172" s="1506" t="e">
        <f>COUNTIFS(SurveyDATA!#REF!,"*SAMPLING*",SurveyDATA!E:E,"*MALOLOS*",SurveyDATA!S:S,"MALE",SurveyDATA!#REF!,"5")</f>
        <v>#REF!</v>
      </c>
      <c r="K172" s="1500" t="e">
        <f>J172/J181</f>
        <v>#REF!</v>
      </c>
      <c r="L172" s="1497" t="e">
        <f t="shared" ref="L172:L180" si="25">SUM(J172,H172,F172,B172,)</f>
        <v>#REF!</v>
      </c>
      <c r="N172" s="1404"/>
    </row>
    <row r="173" spans="1:14">
      <c r="A173" s="1506" t="s">
        <v>5494</v>
      </c>
      <c r="B173" s="1506" t="e">
        <f>COUNTIFS(SurveyDATA!#REF!,"*SAMPLING*",SurveyDATA!E:E,"*GUIGUINTO*",SurveyDATA!S:S,"MALE",SurveyDATA!#REF!,"1")</f>
        <v>#REF!</v>
      </c>
      <c r="C173" s="1500" t="e">
        <f>B173/B181</f>
        <v>#REF!</v>
      </c>
      <c r="D173" s="1506" t="e">
        <f>COUNTIFS(SurveyDATA!#REF!,"*SAMPLING*",SurveyDATA!E:E,"*GUIGUINTO*",SurveyDATA!S:S,"MALE",SurveyDATA!#REF!,"2")</f>
        <v>#REF!</v>
      </c>
      <c r="E173" s="1500" t="e">
        <f>D173/D181</f>
        <v>#REF!</v>
      </c>
      <c r="F173" s="1506" t="e">
        <f>COUNTIFS(SurveyDATA!#REF!,"*SAMPLING*",SurveyDATA!E:E,"*GUIGUINTO*",SurveyDATA!S:S,"MALE",SurveyDATA!#REF!,"3")</f>
        <v>#REF!</v>
      </c>
      <c r="G173" s="1500" t="e">
        <f>F173/F181</f>
        <v>#REF!</v>
      </c>
      <c r="H173" s="1506" t="e">
        <f>COUNTIFS(SurveyDATA!#REF!,"*SAMPLING*",SurveyDATA!E:E,"*GUIGUINTO*",SurveyDATA!S:S,"MALE",SurveyDATA!#REF!,"4")</f>
        <v>#REF!</v>
      </c>
      <c r="I173" s="1500" t="e">
        <f>H173/H181</f>
        <v>#REF!</v>
      </c>
      <c r="J173" s="1506" t="e">
        <f>COUNTIFS(SurveyDATA!#REF!,"*SAMPLING*",SurveyDATA!E:E,"*GUIGUINTO*",SurveyDATA!S:S,"MALE",SurveyDATA!#REF!,"5")</f>
        <v>#REF!</v>
      </c>
      <c r="K173" s="1500" t="e">
        <f>J173/J181</f>
        <v>#REF!</v>
      </c>
      <c r="L173" s="1506" t="e">
        <f t="shared" si="25"/>
        <v>#REF!</v>
      </c>
      <c r="N173" s="1404"/>
    </row>
    <row r="174" spans="1:14">
      <c r="A174" s="1506" t="s">
        <v>5847</v>
      </c>
      <c r="B174" s="1506" t="e">
        <f>COUNTIFS(SurveyDATA!#REF!,"*SAMPLING*",SurveyDATA!E:E,"*BALAGTAS*",SurveyDATA!S:S,"MALE",SurveyDATA!#REF!,"1")</f>
        <v>#REF!</v>
      </c>
      <c r="C174" s="1500" t="e">
        <f>B174/B181</f>
        <v>#REF!</v>
      </c>
      <c r="D174" s="1506" t="e">
        <f>COUNTIFS(SurveyDATA!#REF!,"*SAMPLING*",SurveyDATA!E:E,"*BALAGTAS*",SurveyDATA!S:S,"MALE",SurveyDATA!#REF!,"2")</f>
        <v>#REF!</v>
      </c>
      <c r="E174" s="1500" t="e">
        <f>D174/D181</f>
        <v>#REF!</v>
      </c>
      <c r="F174" s="1506" t="e">
        <f>COUNTIFS(SurveyDATA!#REF!,"*SAMPLING*",SurveyDATA!E:E,"*BALAGTAS*",SurveyDATA!S:S,"MALE",SurveyDATA!#REF!,"3")</f>
        <v>#REF!</v>
      </c>
      <c r="G174" s="1500" t="e">
        <f>F174/F181</f>
        <v>#REF!</v>
      </c>
      <c r="H174" s="1506" t="e">
        <f>COUNTIFS(SurveyDATA!#REF!,"*SAMPLING*",SurveyDATA!E:E,"*BALAGTAS*",SurveyDATA!S:S,"MALE",SurveyDATA!#REF!,"4")</f>
        <v>#REF!</v>
      </c>
      <c r="I174" s="1500" t="e">
        <f>H174/H181</f>
        <v>#REF!</v>
      </c>
      <c r="J174" s="1506" t="e">
        <f>COUNTIFS(SurveyDATA!#REF!,"*SAMPLING*",SurveyDATA!E:E,"*MALOLOS*",SurveyDATA!S:S,"MALE",SurveyDATA!#REF!,"5")</f>
        <v>#REF!</v>
      </c>
      <c r="K174" s="1500" t="e">
        <f>J174/J181</f>
        <v>#REF!</v>
      </c>
      <c r="L174" s="1506" t="e">
        <f t="shared" si="25"/>
        <v>#REF!</v>
      </c>
      <c r="N174" s="1404"/>
    </row>
    <row r="175" spans="1:14">
      <c r="A175" s="1506" t="s">
        <v>771</v>
      </c>
      <c r="B175" s="1506" t="e">
        <f>COUNTIFS(SurveyDATA!#REF!,"*SAMPLING*",SurveyDATA!E:E,"*BOCAUE*",SurveyDATA!S:S,"MALE",SurveyDATA!#REF!,"1")</f>
        <v>#REF!</v>
      </c>
      <c r="C175" s="1500" t="e">
        <f>B175/B181</f>
        <v>#REF!</v>
      </c>
      <c r="D175" s="1506" t="e">
        <f>COUNTIFS(SurveyDATA!#REF!,"*SAMPLING*",SurveyDATA!E:E,"*BOCAUE*",SurveyDATA!S:S,"MALE",SurveyDATA!#REF!,"2")</f>
        <v>#REF!</v>
      </c>
      <c r="E175" s="1500" t="e">
        <f>D175/D181</f>
        <v>#REF!</v>
      </c>
      <c r="F175" s="1506" t="e">
        <f>COUNTIFS(SurveyDATA!#REF!,"*SAMPLING*",SurveyDATA!E:E,"*BOCAUE*",SurveyDATA!S:S,"MALE",SurveyDATA!#REF!,"3")</f>
        <v>#REF!</v>
      </c>
      <c r="G175" s="1500" t="e">
        <f>F175/F181</f>
        <v>#REF!</v>
      </c>
      <c r="H175" s="1506" t="e">
        <f>COUNTIFS(SurveyDATA!#REF!,"*SAMPLING*",SurveyDATA!E:E,"*BOCAUE*",SurveyDATA!S:S,"MALE",SurveyDATA!#REF!,"4")</f>
        <v>#REF!</v>
      </c>
      <c r="I175" s="1500" t="e">
        <f>H175/H181</f>
        <v>#REF!</v>
      </c>
      <c r="J175" s="1506" t="e">
        <f>COUNTIFS(SurveyDATA!#REF!,"*SAMPLING*",SurveyDATA!E:E,"*BOCAUE*",SurveyDATA!S:S,"MALE",SurveyDATA!#REF!,"5")</f>
        <v>#REF!</v>
      </c>
      <c r="K175" s="1500" t="e">
        <f>J175/J181</f>
        <v>#REF!</v>
      </c>
      <c r="L175" s="1506" t="e">
        <f t="shared" si="25"/>
        <v>#REF!</v>
      </c>
      <c r="M175" s="1403"/>
      <c r="N175" s="1404"/>
    </row>
    <row r="176" spans="1:14">
      <c r="A176" s="1506" t="s">
        <v>5495</v>
      </c>
      <c r="B176" s="1506" t="e">
        <f>COUNTIFS(SurveyDATA!#REF!,"*SAMPLING*",SurveyDATA!E:E,"*MARILAO*",SurveyDATA!S:S,"MALE",SurveyDATA!#REF!,"1")</f>
        <v>#REF!</v>
      </c>
      <c r="C176" s="1500" t="e">
        <f>B176/B181</f>
        <v>#REF!</v>
      </c>
      <c r="D176" s="1506" t="e">
        <f>COUNTIFS(SurveyDATA!#REF!,"*SAMPLING*",SurveyDATA!E:E,"*MARILAO*",SurveyDATA!S:S,"MALE",SurveyDATA!#REF!,"2")</f>
        <v>#REF!</v>
      </c>
      <c r="E176" s="1500" t="e">
        <f>D176/D181</f>
        <v>#REF!</v>
      </c>
      <c r="F176" s="1506" t="e">
        <f>COUNTIFS(SurveyDATA!#REF!,"*SAMPLING*",SurveyDATA!E:E,"*MARILAO*",SurveyDATA!S:S,"MALE",SurveyDATA!#REF!,"3")</f>
        <v>#REF!</v>
      </c>
      <c r="G176" s="1500" t="e">
        <f>F176/F181</f>
        <v>#REF!</v>
      </c>
      <c r="H176" s="1506" t="e">
        <f>COUNTIFS(SurveyDATA!#REF!,"*SAMPLING*",SurveyDATA!E:E,"*MARILAO*",SurveyDATA!S:S,"MALE",SurveyDATA!#REF!,"4")</f>
        <v>#REF!</v>
      </c>
      <c r="I176" s="1500" t="e">
        <f>H176/H181</f>
        <v>#REF!</v>
      </c>
      <c r="J176" s="1506" t="e">
        <f>COUNTIFS(SurveyDATA!#REF!,"*SAMPLING*",SurveyDATA!E:E,"*MARILAO*",SurveyDATA!S:S,"MALE",SurveyDATA!#REF!,"5")</f>
        <v>#REF!</v>
      </c>
      <c r="K176" s="1500" t="e">
        <f>J176/J181</f>
        <v>#REF!</v>
      </c>
      <c r="L176" s="1506" t="e">
        <f t="shared" si="25"/>
        <v>#REF!</v>
      </c>
      <c r="M176" s="1403"/>
      <c r="N176" s="1404"/>
    </row>
    <row r="177" spans="1:14">
      <c r="A177" s="1506" t="s">
        <v>5496</v>
      </c>
      <c r="B177" s="1506" t="e">
        <f>COUNTIFS(SurveyDATA!#REF!,"*SAMPLING*",SurveyDATA!E:E,"*MEYCAUAYAN*",SurveyDATA!S:S,"MALE",SurveyDATA!#REF!,"1")</f>
        <v>#REF!</v>
      </c>
      <c r="C177" s="1500" t="e">
        <f>B177/B181</f>
        <v>#REF!</v>
      </c>
      <c r="D177" s="1506" t="e">
        <f>COUNTIFS(SurveyDATA!#REF!,"*SAMPLING*",SurveyDATA!E:E,"*MEYCAUAYAN*",SurveyDATA!S:S,"MALE",SurveyDATA!#REF!,"2")</f>
        <v>#REF!</v>
      </c>
      <c r="E177" s="1500" t="e">
        <f>D177/D181</f>
        <v>#REF!</v>
      </c>
      <c r="F177" s="1506" t="e">
        <f>COUNTIFS(SurveyDATA!#REF!,"*SAMPLING*",SurveyDATA!E:E,"*MEYCAUAYAN*",SurveyDATA!S:S,"MALE",SurveyDATA!#REF!,"3")</f>
        <v>#REF!</v>
      </c>
      <c r="G177" s="1500" t="e">
        <f>F177/F181</f>
        <v>#REF!</v>
      </c>
      <c r="H177" s="1506" t="e">
        <f>COUNTIFS(SurveyDATA!#REF!,"*SAMPLING*",SurveyDATA!E:E,"*MEYCAUAYAN*",SurveyDATA!S:S,"MALE",SurveyDATA!#REF!,"4")</f>
        <v>#REF!</v>
      </c>
      <c r="I177" s="1500" t="e">
        <f>H177/H181</f>
        <v>#REF!</v>
      </c>
      <c r="J177" s="1506" t="e">
        <f>COUNTIFS(SurveyDATA!#REF!,"*SAMPLING*",SurveyDATA!E:E,"*MEYCAUAYAN*",SurveyDATA!S:S,"MALE",SurveyDATA!#REF!,"5")</f>
        <v>#REF!</v>
      </c>
      <c r="K177" s="1500" t="e">
        <f>J177/J181</f>
        <v>#REF!</v>
      </c>
      <c r="L177" s="1506" t="e">
        <f t="shared" si="25"/>
        <v>#REF!</v>
      </c>
      <c r="M177" s="1403"/>
      <c r="N177" s="1404"/>
    </row>
    <row r="178" spans="1:14">
      <c r="A178" s="1506" t="s">
        <v>778</v>
      </c>
      <c r="B178" s="1506" t="e">
        <f>COUNTIFS(SurveyDATA!#REF!,"*SAMPLING*",SurveyDATA!E:E,"*VALENZUELA*",SurveyDATA!S:S,"MALE",SurveyDATA!#REF!,"1")</f>
        <v>#REF!</v>
      </c>
      <c r="C178" s="1500" t="e">
        <f>B178/B181</f>
        <v>#REF!</v>
      </c>
      <c r="D178" s="1506" t="e">
        <f>COUNTIFS(SurveyDATA!#REF!,"*SAMPLING*",SurveyDATA!E:E,"*VALENZUELA*",SurveyDATA!S:S,"MALE",SurveyDATA!#REF!,"2")</f>
        <v>#REF!</v>
      </c>
      <c r="E178" s="1500" t="e">
        <f>D178/D181</f>
        <v>#REF!</v>
      </c>
      <c r="F178" s="1506" t="e">
        <f>COUNTIFS(SurveyDATA!#REF!,"*SAMPLING*",SurveyDATA!E:E,"*VALENZUELA*",SurveyDATA!S:S,"MALE",SurveyDATA!#REF!,"3")</f>
        <v>#REF!</v>
      </c>
      <c r="G178" s="1500" t="e">
        <f>F178/F181</f>
        <v>#REF!</v>
      </c>
      <c r="H178" s="1506" t="e">
        <f>COUNTIFS(SurveyDATA!#REF!,"*SAMPLING*",SurveyDATA!E:E,"*VALENZUELA*",SurveyDATA!S:S,"MALE",SurveyDATA!#REF!,"4")</f>
        <v>#REF!</v>
      </c>
      <c r="I178" s="1500" t="e">
        <f>H178/H181</f>
        <v>#REF!</v>
      </c>
      <c r="J178" s="1506" t="e">
        <f>COUNTIFS(SurveyDATA!#REF!,"*SAMPLING*",SurveyDATA!E:E,"*VALENZUELA*",SurveyDATA!S:S,"MALE",SurveyDATA!#REF!,"5")</f>
        <v>#REF!</v>
      </c>
      <c r="K178" s="1500" t="e">
        <f>J178/J181</f>
        <v>#REF!</v>
      </c>
      <c r="L178" s="1506" t="e">
        <f t="shared" si="25"/>
        <v>#REF!</v>
      </c>
      <c r="M178" s="1403"/>
      <c r="N178" s="1404"/>
    </row>
    <row r="179" spans="1:14">
      <c r="A179" s="1506" t="s">
        <v>5493</v>
      </c>
      <c r="B179" s="1506" t="e">
        <f>COUNTIFS(SurveyDATA!#REF!,"*SAMPLING*",SurveyDATA!E:E,"*CALOOCAN*",SurveyDATA!S:S,"MALE",SurveyDATA!#REF!,"1")</f>
        <v>#REF!</v>
      </c>
      <c r="C179" s="1500" t="e">
        <f>B179/B181</f>
        <v>#REF!</v>
      </c>
      <c r="D179" s="1506" t="e">
        <f>COUNTIFS(SurveyDATA!#REF!,"*SAMPLING*",SurveyDATA!E:E,"*CALOOCAN*",SurveyDATA!S:S,"MALE",SurveyDATA!#REF!,"2")</f>
        <v>#REF!</v>
      </c>
      <c r="E179" s="1500" t="e">
        <f>D179/D181</f>
        <v>#REF!</v>
      </c>
      <c r="F179" s="1506" t="e">
        <f>COUNTIFS(SurveyDATA!#REF!,"*SAMPLING*",SurveyDATA!E:E,"*CALOOCAN*",SurveyDATA!S:S,"MALE",SurveyDATA!#REF!,"3")</f>
        <v>#REF!</v>
      </c>
      <c r="G179" s="1500" t="e">
        <f>F179/F181</f>
        <v>#REF!</v>
      </c>
      <c r="H179" s="1506" t="e">
        <f>COUNTIFS(SurveyDATA!#REF!,"*SAMPLING*",SurveyDATA!E:E,"*CALOOCAN*",SurveyDATA!S:S,"MALE",SurveyDATA!#REF!,"4")</f>
        <v>#REF!</v>
      </c>
      <c r="I179" s="1500" t="e">
        <f>H179/H181</f>
        <v>#REF!</v>
      </c>
      <c r="J179" s="1506" t="e">
        <f>COUNTIFS(SurveyDATA!#REF!,"*SAMPLING*",SurveyDATA!E:E,"*CALOOCAN*",SurveyDATA!S:S,"MALE",SurveyDATA!#REF!,"5")</f>
        <v>#REF!</v>
      </c>
      <c r="K179" s="1500" t="e">
        <f>J179/J181</f>
        <v>#REF!</v>
      </c>
      <c r="L179" s="1506" t="e">
        <f t="shared" si="25"/>
        <v>#REF!</v>
      </c>
      <c r="M179" s="1403"/>
      <c r="N179" s="1404"/>
    </row>
    <row r="180" spans="1:14">
      <c r="A180" s="1506" t="s">
        <v>1020</v>
      </c>
      <c r="B180" s="1506" t="e">
        <f>COUNTIFS(SurveyDATA!#REF!,"*SAMPLING*",SurveyDATA!E:E,"*MANILA*",SurveyDATA!S:S,"MALE",SurveyDATA!#REF!,"1")</f>
        <v>#REF!</v>
      </c>
      <c r="C180" s="1500" t="e">
        <f>B180/B181</f>
        <v>#REF!</v>
      </c>
      <c r="D180" s="1506" t="e">
        <f>COUNTIFS(SurveyDATA!#REF!,"*SAMPLING*",SurveyDATA!E:E,"*MANILA*",SurveyDATA!S:S,"MALE",SurveyDATA!#REF!,"2")</f>
        <v>#REF!</v>
      </c>
      <c r="E180" s="1500" t="e">
        <f>D180/D181</f>
        <v>#REF!</v>
      </c>
      <c r="F180" s="1506" t="e">
        <f>COUNTIFS(SurveyDATA!#REF!,"*SAMPLING*",SurveyDATA!E:E,"*MANILA*",SurveyDATA!S:S,"MALE",SurveyDATA!#REF!,"3")</f>
        <v>#REF!</v>
      </c>
      <c r="G180" s="1500" t="e">
        <f>F180/F181</f>
        <v>#REF!</v>
      </c>
      <c r="H180" s="1506" t="e">
        <f>COUNTIFS(SurveyDATA!#REF!,"*SAMPLING*",SurveyDATA!E:E,"*MANILA*",SurveyDATA!S:S,"MALE",SurveyDATA!#REF!,"4")</f>
        <v>#REF!</v>
      </c>
      <c r="I180" s="1500" t="e">
        <f>H180/H181</f>
        <v>#REF!</v>
      </c>
      <c r="J180" s="1506" t="e">
        <f>COUNTIFS(SurveyDATA!#REF!,"*SAMPLING*",SurveyDATA!E:E,"*MANILA*",SurveyDATA!S:S,"MALE",SurveyDATA!#REF!,"5")</f>
        <v>#REF!</v>
      </c>
      <c r="K180" s="1500" t="e">
        <f>J180/J181</f>
        <v>#REF!</v>
      </c>
      <c r="L180" s="1506" t="e">
        <f t="shared" si="25"/>
        <v>#REF!</v>
      </c>
      <c r="M180" s="1403"/>
      <c r="N180" s="1404"/>
    </row>
    <row r="181" spans="1:14">
      <c r="A181" s="1567" t="s">
        <v>4348</v>
      </c>
      <c r="B181" s="1499" t="e">
        <f>SUM(B172:B180)</f>
        <v>#REF!</v>
      </c>
      <c r="C181" s="1568" t="e">
        <f>B181/$L181</f>
        <v>#REF!</v>
      </c>
      <c r="D181" s="1499" t="e">
        <f>SUM(D172:D180)</f>
        <v>#REF!</v>
      </c>
      <c r="E181" s="1568" t="e">
        <f>D181/$L181</f>
        <v>#REF!</v>
      </c>
      <c r="F181" s="1499" t="e">
        <f>SUM(F172:F180)</f>
        <v>#REF!</v>
      </c>
      <c r="G181" s="1568" t="e">
        <f>F181/$L181</f>
        <v>#REF!</v>
      </c>
      <c r="H181" s="1499" t="e">
        <f>SUM(H172:H180)</f>
        <v>#REF!</v>
      </c>
      <c r="I181" s="1568" t="e">
        <f>H181/$L181</f>
        <v>#REF!</v>
      </c>
      <c r="J181" s="1499" t="e">
        <f>SUM(J172:J180)</f>
        <v>#REF!</v>
      </c>
      <c r="K181" s="1568" t="e">
        <f>J181/$L181</f>
        <v>#REF!</v>
      </c>
      <c r="L181" s="1506" t="e">
        <f>SUM(J181,H181,F181,D181,B181)</f>
        <v>#REF!</v>
      </c>
    </row>
    <row r="184" spans="1:14" ht="15" customHeight="1">
      <c r="A184" s="1406" t="s">
        <v>12498</v>
      </c>
      <c r="K184" s="1404"/>
      <c r="L184" s="1404"/>
      <c r="M184" s="1403"/>
    </row>
    <row r="185" spans="1:14" ht="15" customHeight="1">
      <c r="A185" s="2007" t="s">
        <v>7214</v>
      </c>
      <c r="B185" s="2005" t="s">
        <v>7325</v>
      </c>
      <c r="C185" s="2005"/>
      <c r="D185" s="2009" t="s">
        <v>7326</v>
      </c>
      <c r="E185" s="2010"/>
      <c r="F185" s="2005" t="s">
        <v>7327</v>
      </c>
      <c r="G185" s="2005"/>
      <c r="H185" s="2005" t="s">
        <v>7328</v>
      </c>
      <c r="I185" s="2006"/>
      <c r="J185" s="2005" t="s">
        <v>12497</v>
      </c>
      <c r="K185" s="2006"/>
      <c r="L185" s="1561"/>
      <c r="M185" s="1403"/>
    </row>
    <row r="186" spans="1:14">
      <c r="A186" s="2008"/>
      <c r="B186" s="2005"/>
      <c r="C186" s="2005"/>
      <c r="D186" s="2011"/>
      <c r="E186" s="2012"/>
      <c r="F186" s="2005"/>
      <c r="G186" s="2005"/>
      <c r="H186" s="2005"/>
      <c r="I186" s="2006"/>
      <c r="J186" s="2005"/>
      <c r="K186" s="2006"/>
      <c r="L186" s="1562" t="s">
        <v>2034</v>
      </c>
      <c r="M186" s="1403"/>
    </row>
    <row r="187" spans="1:14">
      <c r="A187" s="1563"/>
      <c r="B187" s="1564" t="s">
        <v>7281</v>
      </c>
      <c r="C187" s="1564" t="s">
        <v>5805</v>
      </c>
      <c r="D187" s="1564" t="s">
        <v>7281</v>
      </c>
      <c r="E187" s="1564" t="s">
        <v>5805</v>
      </c>
      <c r="F187" s="1564" t="s">
        <v>7281</v>
      </c>
      <c r="G187" s="1564" t="s">
        <v>5805</v>
      </c>
      <c r="H187" s="1564" t="s">
        <v>7281</v>
      </c>
      <c r="I187" s="1565" t="s">
        <v>5805</v>
      </c>
      <c r="J187" s="1564" t="s">
        <v>7281</v>
      </c>
      <c r="K187" s="1565" t="s">
        <v>5805</v>
      </c>
      <c r="L187" s="1566"/>
      <c r="M187" s="1403"/>
    </row>
    <row r="188" spans="1:14">
      <c r="A188" s="1497" t="s">
        <v>5848</v>
      </c>
      <c r="B188" s="1506" t="e">
        <f>COUNTIFS(SurveyDATA!#REF!,"*SAMPLING*",SurveyDATA!E:E,"*MALOLOS*",SurveyDATA!S:S,"FEMALE",SurveyDATA!#REF!,"1")</f>
        <v>#REF!</v>
      </c>
      <c r="C188" s="1500" t="e">
        <f>B188/B197</f>
        <v>#REF!</v>
      </c>
      <c r="D188" s="1506" t="e">
        <f>COUNTIFS(SurveyDATA!#REF!,"*SAMPLING*",SurveyDATA!E:E,"*MALOLOS*",SurveyDATA!S:S,"FEMALE",SurveyDATA!#REF!,"2")</f>
        <v>#REF!</v>
      </c>
      <c r="E188" s="1500" t="e">
        <f>D188/D197</f>
        <v>#REF!</v>
      </c>
      <c r="F188" s="1506" t="e">
        <f>COUNTIFS(SurveyDATA!#REF!,"*SAMPLING*",SurveyDATA!E:E,"*MALOLOS*",SurveyDATA!S:S,"FEMALE",SurveyDATA!#REF!,"3")</f>
        <v>#REF!</v>
      </c>
      <c r="G188" s="1500" t="e">
        <f>F188/F197</f>
        <v>#REF!</v>
      </c>
      <c r="H188" s="1506" t="e">
        <f>COUNTIFS(SurveyDATA!#REF!,"*SAMPLING*",SurveyDATA!E:E,"*MALOLOS*",SurveyDATA!S:S,"FEMALE",SurveyDATA!#REF!,"4")</f>
        <v>#REF!</v>
      </c>
      <c r="I188" s="1500" t="e">
        <f>H188/H197</f>
        <v>#REF!</v>
      </c>
      <c r="J188" s="1506" t="e">
        <f>COUNTIFS(SurveyDATA!#REF!,"*SAMPLING*",SurveyDATA!E:E,"*MALOLOS*",SurveyDATA!S:S,"FEMALE",SurveyDATA!#REF!,"5")</f>
        <v>#REF!</v>
      </c>
      <c r="K188" s="1500" t="e">
        <f>J188/J197</f>
        <v>#REF!</v>
      </c>
      <c r="L188" s="1497" t="e">
        <f t="shared" ref="L188:L196" si="26">SUM(J188,H188,F188,B188,)</f>
        <v>#REF!</v>
      </c>
      <c r="M188" s="1403"/>
    </row>
    <row r="189" spans="1:14">
      <c r="A189" s="1506" t="s">
        <v>5494</v>
      </c>
      <c r="B189" s="1506" t="e">
        <f>COUNTIFS(SurveyDATA!#REF!,"*SAMPLING*",SurveyDATA!E:E,"*GUIGUINTO*",SurveyDATA!S:S,"FEMALE",SurveyDATA!#REF!,"1")</f>
        <v>#REF!</v>
      </c>
      <c r="C189" s="1500" t="e">
        <f>B189/B197</f>
        <v>#REF!</v>
      </c>
      <c r="D189" s="1506" t="e">
        <f>COUNTIFS(SurveyDATA!#REF!,"*SAMPLING*",SurveyDATA!E:E,"*GUIGUINTO*",SurveyDATA!S:S,"FEMALE",SurveyDATA!#REF!,"2")</f>
        <v>#REF!</v>
      </c>
      <c r="E189" s="1500" t="e">
        <f>D189/D197</f>
        <v>#REF!</v>
      </c>
      <c r="F189" s="1506" t="e">
        <f>COUNTIFS(SurveyDATA!#REF!,"*SAMPLING*",SurveyDATA!E:E,"*GUIGUINTO*",SurveyDATA!S:S,"FEMALE",SurveyDATA!#REF!,"3")</f>
        <v>#REF!</v>
      </c>
      <c r="G189" s="1500" t="e">
        <f>F189/F197</f>
        <v>#REF!</v>
      </c>
      <c r="H189" s="1506" t="e">
        <f>COUNTIFS(SurveyDATA!#REF!,"*SAMPLING*",SurveyDATA!E:E,"*GUIGUINTO*",SurveyDATA!S:S,"FEMALE",SurveyDATA!#REF!,"4")</f>
        <v>#REF!</v>
      </c>
      <c r="I189" s="1500" t="e">
        <f>H189/H197</f>
        <v>#REF!</v>
      </c>
      <c r="J189" s="1506" t="e">
        <f>COUNTIFS(SurveyDATA!#REF!,"*SAMPLING*",SurveyDATA!E:E,"*GUIGUINTO*",SurveyDATA!S:S,"FEMALE",SurveyDATA!#REF!,"5")</f>
        <v>#REF!</v>
      </c>
      <c r="K189" s="1500" t="e">
        <f>J189/J197</f>
        <v>#REF!</v>
      </c>
      <c r="L189" s="1497" t="e">
        <f t="shared" si="26"/>
        <v>#REF!</v>
      </c>
      <c r="M189" s="1403"/>
    </row>
    <row r="190" spans="1:14">
      <c r="A190" s="1506" t="s">
        <v>5847</v>
      </c>
      <c r="B190" s="1506" t="e">
        <f>COUNTIFS(SurveyDATA!#REF!,"*SAMPLING*",SurveyDATA!E:E,"*BALAGTAS*",SurveyDATA!S:S,"FEMALE",SurveyDATA!#REF!,"1")</f>
        <v>#REF!</v>
      </c>
      <c r="C190" s="1500" t="e">
        <f>B190/B197</f>
        <v>#REF!</v>
      </c>
      <c r="D190" s="1506" t="e">
        <f>COUNTIFS(SurveyDATA!#REF!,"*SAMPLING*",SurveyDATA!E:E,"*BALAGTAS*",SurveyDATA!S:S,"FEMALE",SurveyDATA!#REF!,"2")</f>
        <v>#REF!</v>
      </c>
      <c r="E190" s="1500" t="e">
        <f>D190/D197</f>
        <v>#REF!</v>
      </c>
      <c r="F190" s="1506" t="e">
        <f>COUNTIFS(SurveyDATA!#REF!,"*SAMPLING*",SurveyDATA!E:E,"*BALAGTAS*",SurveyDATA!S:S,"FEMALE",SurveyDATA!#REF!,"3")</f>
        <v>#REF!</v>
      </c>
      <c r="G190" s="1500" t="e">
        <f>F190/F197</f>
        <v>#REF!</v>
      </c>
      <c r="H190" s="1506" t="e">
        <f>COUNTIFS(SurveyDATA!#REF!,"*SAMPLING*",SurveyDATA!E:E,"*BALAGTAS*",SurveyDATA!S:S,"FEMALE",SurveyDATA!#REF!,"4")</f>
        <v>#REF!</v>
      </c>
      <c r="I190" s="1500" t="e">
        <f>H190/H197</f>
        <v>#REF!</v>
      </c>
      <c r="J190" s="1506" t="e">
        <f>COUNTIFS(SurveyDATA!#REF!,"*SAMPLING*",SurveyDATA!E:E,"*BALAGTAS*",SurveyDATA!S:S,"FEMALE",SurveyDATA!#REF!,"5")</f>
        <v>#REF!</v>
      </c>
      <c r="K190" s="1500" t="e">
        <f>J190/J197</f>
        <v>#REF!</v>
      </c>
      <c r="L190" s="1497" t="e">
        <f t="shared" si="26"/>
        <v>#REF!</v>
      </c>
      <c r="M190" s="1403"/>
    </row>
    <row r="191" spans="1:14">
      <c r="A191" s="1506" t="s">
        <v>771</v>
      </c>
      <c r="B191" s="1506" t="e">
        <f>COUNTIFS(SurveyDATA!#REF!,"*SAMPLING*",SurveyDATA!E:E,"*BOCAUE*",SurveyDATA!S:S,"FEMALE",SurveyDATA!#REF!,"1")</f>
        <v>#REF!</v>
      </c>
      <c r="C191" s="1500" t="e">
        <f>B191/B197</f>
        <v>#REF!</v>
      </c>
      <c r="D191" s="1506" t="e">
        <f>COUNTIFS(SurveyDATA!#REF!,"*SAMPLING*",SurveyDATA!E:E,"*BOCAUE*",SurveyDATA!S:S,"FEMALE",SurveyDATA!#REF!,"2")</f>
        <v>#REF!</v>
      </c>
      <c r="E191" s="1500" t="e">
        <f>D191/D197</f>
        <v>#REF!</v>
      </c>
      <c r="F191" s="1506" t="e">
        <f>COUNTIFS(SurveyDATA!#REF!,"*SAMPLING*",SurveyDATA!E:E,"*BOCAUE*",SurveyDATA!S:S,"FEMALE",SurveyDATA!#REF!,"3")</f>
        <v>#REF!</v>
      </c>
      <c r="G191" s="1500" t="e">
        <f>F191/F197</f>
        <v>#REF!</v>
      </c>
      <c r="H191" s="1506" t="e">
        <f>COUNTIFS(SurveyDATA!#REF!,"*SAMPLING*",SurveyDATA!E:E,"*BOCAUE*",SurveyDATA!S:S,"FEMALE",SurveyDATA!#REF!,"4")</f>
        <v>#REF!</v>
      </c>
      <c r="I191" s="1500" t="e">
        <f>H191/H197</f>
        <v>#REF!</v>
      </c>
      <c r="J191" s="1506" t="e">
        <f>COUNTIFS(SurveyDATA!#REF!,"*SAMPLING*",SurveyDATA!E:E,"*BOCAUE*",SurveyDATA!S:S,"FEMALE",SurveyDATA!#REF!,"5")</f>
        <v>#REF!</v>
      </c>
      <c r="K191" s="1500" t="e">
        <f>J191/J197</f>
        <v>#REF!</v>
      </c>
      <c r="L191" s="1497" t="e">
        <f t="shared" si="26"/>
        <v>#REF!</v>
      </c>
      <c r="M191" s="1403"/>
    </row>
    <row r="192" spans="1:14">
      <c r="A192" s="1506" t="s">
        <v>5495</v>
      </c>
      <c r="B192" s="1506" t="e">
        <f>COUNTIFS(SurveyDATA!#REF!,"*SAMPLING*",SurveyDATA!E:E,"*MARILAO*",SurveyDATA!S:S,"FEMALE",SurveyDATA!#REF!,"1")</f>
        <v>#REF!</v>
      </c>
      <c r="C192" s="1500" t="e">
        <f>B192/B197</f>
        <v>#REF!</v>
      </c>
      <c r="D192" s="1506" t="e">
        <f>COUNTIFS(SurveyDATA!#REF!,"*SAMPLING*",SurveyDATA!E:E,"*MARILAO*",SurveyDATA!S:S,"FEMALE",SurveyDATA!#REF!,"2")</f>
        <v>#REF!</v>
      </c>
      <c r="E192" s="1500" t="e">
        <f>D192/D197</f>
        <v>#REF!</v>
      </c>
      <c r="F192" s="1506" t="e">
        <f>COUNTIFS(SurveyDATA!#REF!,"*SAMPLING*",SurveyDATA!E:E,"*MARILAO*",SurveyDATA!S:S,"FEMALE",SurveyDATA!#REF!,"3")</f>
        <v>#REF!</v>
      </c>
      <c r="G192" s="1500" t="e">
        <f>F192/F197</f>
        <v>#REF!</v>
      </c>
      <c r="H192" s="1506" t="e">
        <f>COUNTIFS(SurveyDATA!#REF!,"*SAMPLING*",SurveyDATA!E:E,"*MARILAO*",SurveyDATA!S:S,"FEMALE",SurveyDATA!#REF!,"4")</f>
        <v>#REF!</v>
      </c>
      <c r="I192" s="1500" t="e">
        <f>H192/H197</f>
        <v>#REF!</v>
      </c>
      <c r="J192" s="1506" t="e">
        <f>COUNTIFS(SurveyDATA!#REF!,"*SAMPLING*",SurveyDATA!E:E,"*MARILAO*",SurveyDATA!S:S,"FEMALE",SurveyDATA!#REF!,"5")</f>
        <v>#REF!</v>
      </c>
      <c r="K192" s="1500" t="e">
        <f>J192/J197</f>
        <v>#REF!</v>
      </c>
      <c r="L192" s="1497" t="e">
        <f t="shared" si="26"/>
        <v>#REF!</v>
      </c>
      <c r="M192" s="1403"/>
    </row>
    <row r="193" spans="1:14">
      <c r="A193" s="1506" t="s">
        <v>5496</v>
      </c>
      <c r="B193" s="1506" t="e">
        <f>COUNTIFS(SurveyDATA!#REF!,"*SAMPLING*",SurveyDATA!E:E,"*MEYCAUAYAN*",SurveyDATA!S:S,"FEMALE",SurveyDATA!#REF!,"1")</f>
        <v>#REF!</v>
      </c>
      <c r="C193" s="1500" t="e">
        <f>B193/B197</f>
        <v>#REF!</v>
      </c>
      <c r="D193" s="1506" t="e">
        <f>COUNTIFS(SurveyDATA!#REF!,"*SAMPLING*",SurveyDATA!E:E,"*MEYCAUAYAN*",SurveyDATA!S:S,"FEMALE",SurveyDATA!#REF!,"2")</f>
        <v>#REF!</v>
      </c>
      <c r="E193" s="1500" t="e">
        <f>D193/D197</f>
        <v>#REF!</v>
      </c>
      <c r="F193" s="1506" t="e">
        <f>COUNTIFS(SurveyDATA!#REF!,"*SAMPLING*",SurveyDATA!E:E,"*MEYCAUAYAN*",SurveyDATA!S:S,"FEMALE",SurveyDATA!#REF!,"3")</f>
        <v>#REF!</v>
      </c>
      <c r="G193" s="1500" t="e">
        <f>F193/F197</f>
        <v>#REF!</v>
      </c>
      <c r="H193" s="1506" t="e">
        <f>COUNTIFS(SurveyDATA!#REF!,"*SAMPLING*",SurveyDATA!E:E,"*MEYCAUAYAN*",SurveyDATA!S:S,"FEMALE",SurveyDATA!#REF!,"4")</f>
        <v>#REF!</v>
      </c>
      <c r="I193" s="1500" t="e">
        <f>H193/H197</f>
        <v>#REF!</v>
      </c>
      <c r="J193" s="1506" t="e">
        <f>COUNTIFS(SurveyDATA!#REF!,"*SAMPLING*",SurveyDATA!E:E,"*MEYCAUAYAN*",SurveyDATA!S:S,"FEMALE",SurveyDATA!#REF!,"5")</f>
        <v>#REF!</v>
      </c>
      <c r="K193" s="1500" t="e">
        <f>J193/J197</f>
        <v>#REF!</v>
      </c>
      <c r="L193" s="1497" t="e">
        <f t="shared" si="26"/>
        <v>#REF!</v>
      </c>
      <c r="M193" s="1403"/>
    </row>
    <row r="194" spans="1:14">
      <c r="A194" s="1506" t="s">
        <v>778</v>
      </c>
      <c r="B194" s="1506" t="e">
        <f>COUNTIFS(SurveyDATA!#REF!,"*SAMPLING*",SurveyDATA!E:E,"*VALENZUELA*",SurveyDATA!S:S,"FEMALE",SurveyDATA!#REF!,"1")</f>
        <v>#REF!</v>
      </c>
      <c r="C194" s="1500" t="e">
        <f>B194/B197</f>
        <v>#REF!</v>
      </c>
      <c r="D194" s="1506" t="e">
        <f>COUNTIFS(SurveyDATA!#REF!,"*SAMPLING*",SurveyDATA!E:E,"*VALENZUELA*",SurveyDATA!S:S,"FEMALE",SurveyDATA!#REF!,"2")</f>
        <v>#REF!</v>
      </c>
      <c r="E194" s="1500" t="e">
        <f>D194/D197</f>
        <v>#REF!</v>
      </c>
      <c r="F194" s="1506" t="e">
        <f>COUNTIFS(SurveyDATA!#REF!,"*SAMPLING*",SurveyDATA!E:E,"*VALENZUELA*",SurveyDATA!S:S,"FEMALE",SurveyDATA!#REF!,"3")</f>
        <v>#REF!</v>
      </c>
      <c r="G194" s="1500" t="e">
        <f>F194/F197</f>
        <v>#REF!</v>
      </c>
      <c r="H194" s="1506" t="e">
        <f>COUNTIFS(SurveyDATA!#REF!,"*SAMPLING*",SurveyDATA!E:E,"*VALENZUELA*",SurveyDATA!S:S,"FEMALE",SurveyDATA!#REF!,"4")</f>
        <v>#REF!</v>
      </c>
      <c r="I194" s="1500" t="e">
        <f>H194/H197</f>
        <v>#REF!</v>
      </c>
      <c r="J194" s="1506" t="e">
        <f>COUNTIFS(SurveyDATA!#REF!,"*SAMPLING*",SurveyDATA!E:E,"*VALENZUELA*",SurveyDATA!S:S,"FEMALE",SurveyDATA!#REF!,"5")</f>
        <v>#REF!</v>
      </c>
      <c r="K194" s="1500" t="e">
        <f>J194/J197</f>
        <v>#REF!</v>
      </c>
      <c r="L194" s="1497" t="e">
        <f t="shared" si="26"/>
        <v>#REF!</v>
      </c>
      <c r="M194" s="1403"/>
    </row>
    <row r="195" spans="1:14">
      <c r="A195" s="1506" t="s">
        <v>5493</v>
      </c>
      <c r="B195" s="1506" t="e">
        <f>COUNTIFS(SurveyDATA!#REF!,"*SAMPLING*",SurveyDATA!E:E,"*CALOOCAN*",SurveyDATA!S:S,"FEMALE",SurveyDATA!#REF!,"1")</f>
        <v>#REF!</v>
      </c>
      <c r="C195" s="1500" t="e">
        <f>B195/B197</f>
        <v>#REF!</v>
      </c>
      <c r="D195" s="1506" t="e">
        <f>COUNTIFS(SurveyDATA!#REF!,"*SAMPLING*",SurveyDATA!E:E,"*CALOOCAN*",SurveyDATA!S:S,"FEMALE",SurveyDATA!#REF!,"2")</f>
        <v>#REF!</v>
      </c>
      <c r="E195" s="1500" t="e">
        <f>D195/D197</f>
        <v>#REF!</v>
      </c>
      <c r="F195" s="1506" t="e">
        <f>COUNTIFS(SurveyDATA!#REF!,"*SAMPLING*",SurveyDATA!E:E,"*CALOOCAN*",SurveyDATA!S:S,"FEMALE",SurveyDATA!#REF!,"3")</f>
        <v>#REF!</v>
      </c>
      <c r="G195" s="1500" t="e">
        <f>F195/F197</f>
        <v>#REF!</v>
      </c>
      <c r="H195" s="1506" t="e">
        <f>COUNTIFS(SurveyDATA!#REF!,"*SAMPLING*",SurveyDATA!E:E,"*CALOOCAN*",SurveyDATA!S:S,"FEMALE",SurveyDATA!#REF!,"4")</f>
        <v>#REF!</v>
      </c>
      <c r="I195" s="1500" t="e">
        <f>H195/H197</f>
        <v>#REF!</v>
      </c>
      <c r="J195" s="1506" t="e">
        <f>COUNTIFS(SurveyDATA!#REF!,"*SAMPLING*",SurveyDATA!E:E,"*CALOOCAN*",SurveyDATA!S:S,"FEMALE",SurveyDATA!#REF!,"5")</f>
        <v>#REF!</v>
      </c>
      <c r="K195" s="1500" t="e">
        <f>J195/J197</f>
        <v>#REF!</v>
      </c>
      <c r="L195" s="1497" t="e">
        <f t="shared" si="26"/>
        <v>#REF!</v>
      </c>
      <c r="M195" s="1403"/>
      <c r="N195" s="1403" t="e">
        <f>L181+L197</f>
        <v>#REF!</v>
      </c>
    </row>
    <row r="196" spans="1:14">
      <c r="A196" s="1506" t="s">
        <v>1020</v>
      </c>
      <c r="B196" s="1506" t="e">
        <f>COUNTIFS(SurveyDATA!#REF!,"*SAMPLING*",SurveyDATA!E:E,"*MANILA*",SurveyDATA!S:S,"FEMALE",SurveyDATA!#REF!,"1")</f>
        <v>#REF!</v>
      </c>
      <c r="C196" s="1500" t="e">
        <f>B196/B197</f>
        <v>#REF!</v>
      </c>
      <c r="D196" s="1506" t="e">
        <f>COUNTIFS(SurveyDATA!#REF!,"*SAMPLING*",SurveyDATA!E:E,"*MANILA*",SurveyDATA!S:S,"FEMALE",SurveyDATA!#REF!,"2")</f>
        <v>#REF!</v>
      </c>
      <c r="E196" s="1500" t="e">
        <f>D196/D197</f>
        <v>#REF!</v>
      </c>
      <c r="F196" s="1506" t="e">
        <f>COUNTIFS(SurveyDATA!#REF!,"*SAMPLING*",SurveyDATA!E:E,"*MANILA*",SurveyDATA!S:S,"FEMALE",SurveyDATA!#REF!,"3")</f>
        <v>#REF!</v>
      </c>
      <c r="G196" s="1500" t="e">
        <f>F196/F197</f>
        <v>#REF!</v>
      </c>
      <c r="H196" s="1506" t="e">
        <f>COUNTIFS(SurveyDATA!#REF!,"*SAMPLING*",SurveyDATA!E:E,"*MANILA*",SurveyDATA!S:S,"FEMALE",SurveyDATA!#REF!,"4")</f>
        <v>#REF!</v>
      </c>
      <c r="I196" s="1500" t="e">
        <f>H196/H197</f>
        <v>#REF!</v>
      </c>
      <c r="J196" s="1506" t="e">
        <f>COUNTIFS(SurveyDATA!#REF!,"*SAMPLING*",SurveyDATA!E:E,"*MANILA*",SurveyDATA!S:S,"FEMALE",SurveyDATA!#REF!,"5")</f>
        <v>#REF!</v>
      </c>
      <c r="K196" s="1500" t="e">
        <f>J196/J197</f>
        <v>#REF!</v>
      </c>
      <c r="L196" s="1497" t="e">
        <f t="shared" si="26"/>
        <v>#REF!</v>
      </c>
      <c r="M196" s="1403"/>
    </row>
    <row r="197" spans="1:14">
      <c r="A197" s="1567" t="s">
        <v>4348</v>
      </c>
      <c r="B197" s="1499" t="e">
        <f>SUM(B188:B196)</f>
        <v>#REF!</v>
      </c>
      <c r="C197" s="1568" t="e">
        <f>B197/$L197</f>
        <v>#REF!</v>
      </c>
      <c r="D197" s="1499" t="e">
        <f>SUM(D188:D196)</f>
        <v>#REF!</v>
      </c>
      <c r="E197" s="1568" t="e">
        <f>D197/$L197</f>
        <v>#REF!</v>
      </c>
      <c r="F197" s="1499" t="e">
        <f>SUM(F188:F196)</f>
        <v>#REF!</v>
      </c>
      <c r="G197" s="1568" t="e">
        <f>F197/$L197</f>
        <v>#REF!</v>
      </c>
      <c r="H197" s="1499" t="e">
        <f>SUM(H188:H196)</f>
        <v>#REF!</v>
      </c>
      <c r="I197" s="1568" t="e">
        <f>H197/$L197</f>
        <v>#REF!</v>
      </c>
      <c r="J197" s="1499" t="e">
        <f>SUM(J188:J196)</f>
        <v>#REF!</v>
      </c>
      <c r="K197" s="1568" t="e">
        <f>J197/$L197</f>
        <v>#REF!</v>
      </c>
      <c r="L197" s="1506" t="e">
        <f>SUM(J197,H197,F197,D197,B197)</f>
        <v>#REF!</v>
      </c>
    </row>
    <row r="200" spans="1:14" ht="15" customHeight="1">
      <c r="A200" s="1569" t="s">
        <v>7332</v>
      </c>
      <c r="B200" s="1498"/>
      <c r="C200" s="1498"/>
      <c r="D200" s="1498"/>
      <c r="E200" s="1547"/>
      <c r="F200" s="1547"/>
    </row>
    <row r="201" spans="1:14" ht="15" customHeight="1">
      <c r="A201" s="1570"/>
      <c r="B201" s="1571" t="s">
        <v>5504</v>
      </c>
      <c r="C201" s="1571" t="s">
        <v>5503</v>
      </c>
      <c r="D201" s="1498"/>
      <c r="E201" s="1547"/>
      <c r="F201" s="1547"/>
      <c r="H201" s="1572"/>
      <c r="I201" s="1403">
        <v>10870</v>
      </c>
      <c r="J201" s="1403">
        <f>I201/26</f>
        <v>418.07692307692309</v>
      </c>
      <c r="K201" s="1403">
        <f>J201/3</f>
        <v>139.35897435897436</v>
      </c>
    </row>
    <row r="202" spans="1:14">
      <c r="A202" s="1573" t="s">
        <v>7214</v>
      </c>
      <c r="B202" s="1574" t="s">
        <v>12559</v>
      </c>
      <c r="C202" s="1574" t="s">
        <v>12559</v>
      </c>
      <c r="D202" s="1498"/>
      <c r="E202" s="1547"/>
      <c r="F202" s="1547"/>
      <c r="H202" s="1575"/>
      <c r="K202" s="1403" t="s">
        <v>12642</v>
      </c>
    </row>
    <row r="203" spans="1:14">
      <c r="A203" s="1576"/>
      <c r="B203" s="1577" t="s">
        <v>28</v>
      </c>
      <c r="C203" s="1577" t="s">
        <v>28</v>
      </c>
      <c r="D203" s="1498"/>
      <c r="E203" s="1547"/>
      <c r="F203" s="1547"/>
      <c r="H203" s="1572"/>
    </row>
    <row r="204" spans="1:14">
      <c r="A204" s="1497" t="s">
        <v>5848</v>
      </c>
      <c r="B204" s="1578">
        <v>138.2051282051282</v>
      </c>
      <c r="C204" s="1578">
        <v>0</v>
      </c>
      <c r="E204" s="1547"/>
      <c r="F204" s="1547"/>
      <c r="H204" s="1572"/>
    </row>
    <row r="205" spans="1:14">
      <c r="A205" s="1506" t="s">
        <v>5494</v>
      </c>
      <c r="B205" s="1579">
        <v>36.67</v>
      </c>
      <c r="C205" s="1579">
        <v>83.333333333333329</v>
      </c>
      <c r="E205" s="1547"/>
      <c r="F205" s="1547"/>
    </row>
    <row r="206" spans="1:14">
      <c r="A206" s="1506" t="s">
        <v>5847</v>
      </c>
      <c r="B206" s="1579">
        <v>0</v>
      </c>
      <c r="C206" s="1579">
        <v>0</v>
      </c>
      <c r="E206" s="1547"/>
      <c r="F206" s="1547"/>
    </row>
    <row r="207" spans="1:14">
      <c r="A207" s="1506" t="s">
        <v>771</v>
      </c>
      <c r="B207" s="1579">
        <v>30.76923076923077</v>
      </c>
      <c r="C207" s="1579">
        <v>0</v>
      </c>
      <c r="E207" s="1547"/>
      <c r="F207" s="1547"/>
    </row>
    <row r="208" spans="1:14">
      <c r="A208" s="1506" t="s">
        <v>5495</v>
      </c>
      <c r="B208" s="1579">
        <v>15.384615384615385</v>
      </c>
      <c r="C208" s="1579">
        <v>11.2</v>
      </c>
      <c r="E208" s="1547"/>
      <c r="F208" s="1547"/>
    </row>
    <row r="209" spans="1:6">
      <c r="A209" s="1506" t="s">
        <v>5496</v>
      </c>
      <c r="B209" s="1579">
        <v>46.861538461538466</v>
      </c>
      <c r="C209" s="1579">
        <v>56</v>
      </c>
      <c r="E209" s="1547"/>
      <c r="F209" s="1547"/>
    </row>
    <row r="210" spans="1:6">
      <c r="A210" s="1506" t="s">
        <v>778</v>
      </c>
      <c r="B210" s="1579">
        <v>78.102564102564102</v>
      </c>
      <c r="C210" s="1579">
        <v>30.755555555555556</v>
      </c>
      <c r="E210" s="1547"/>
      <c r="F210" s="1547"/>
    </row>
    <row r="211" spans="1:6">
      <c r="A211" s="1506" t="s">
        <v>5493</v>
      </c>
      <c r="B211" s="1579">
        <v>77.432692307692307</v>
      </c>
      <c r="C211" s="1579">
        <v>56.989010989010985</v>
      </c>
      <c r="E211" s="1547"/>
      <c r="F211" s="1547"/>
    </row>
    <row r="212" spans="1:6">
      <c r="A212" s="1506" t="s">
        <v>1020</v>
      </c>
      <c r="B212" s="1579">
        <v>45.263157894736842</v>
      </c>
      <c r="C212" s="1579">
        <v>57.374786324786328</v>
      </c>
      <c r="E212" s="1547"/>
      <c r="F212" s="1547"/>
    </row>
    <row r="213" spans="1:6">
      <c r="A213" s="1567" t="s">
        <v>7334</v>
      </c>
      <c r="B213" s="1580">
        <f>SUM(B204:B212)</f>
        <v>468.68892712550604</v>
      </c>
      <c r="C213" s="1580">
        <f>SUM(C204:C212)</f>
        <v>295.6526862026862</v>
      </c>
    </row>
    <row r="231" ht="15" customHeight="1"/>
    <row r="250" ht="15.75" customHeight="1"/>
    <row r="266" ht="15.75" customHeight="1"/>
    <row r="294" ht="15" customHeight="1"/>
  </sheetData>
  <mergeCells count="22">
    <mergeCell ref="J169:K170"/>
    <mergeCell ref="A185:A186"/>
    <mergeCell ref="B185:C186"/>
    <mergeCell ref="D185:E186"/>
    <mergeCell ref="F185:G186"/>
    <mergeCell ref="H185:I186"/>
    <mergeCell ref="J185:K186"/>
    <mergeCell ref="A169:A170"/>
    <mergeCell ref="B169:C170"/>
    <mergeCell ref="D169:E170"/>
    <mergeCell ref="F169:G170"/>
    <mergeCell ref="H169:I170"/>
    <mergeCell ref="A138:A139"/>
    <mergeCell ref="H82:I82"/>
    <mergeCell ref="B82:C82"/>
    <mergeCell ref="D82:E82"/>
    <mergeCell ref="A105:A106"/>
    <mergeCell ref="B105:D105"/>
    <mergeCell ref="E105:F105"/>
    <mergeCell ref="F82:G82"/>
    <mergeCell ref="H105:H106"/>
    <mergeCell ref="G105:G106"/>
  </mergeCells>
  <pageMargins left="0.7" right="0.7" top="0.75" bottom="0.75" header="0.3" footer="0.3"/>
  <pageSetup scale="78" orientation="portrait" r:id="rId1"/>
  <colBreaks count="1" manualBreakCount="1">
    <brk id="5" max="1048575" man="1"/>
  </colBreaks>
</worksheet>
</file>

<file path=xl/worksheets/sheet13.xml><?xml version="1.0" encoding="utf-8"?>
<worksheet xmlns="http://schemas.openxmlformats.org/spreadsheetml/2006/main" xmlns:r="http://schemas.openxmlformats.org/officeDocument/2006/relationships">
  <sheetPr>
    <tabColor rgb="FF66FFFF"/>
  </sheetPr>
  <dimension ref="A1:G46"/>
  <sheetViews>
    <sheetView topLeftCell="A16" workbookViewId="0">
      <selection activeCell="A48" sqref="A48"/>
    </sheetView>
  </sheetViews>
  <sheetFormatPr defaultRowHeight="15.75"/>
  <cols>
    <col min="1" max="1" width="41.42578125" style="1582" bestFit="1" customWidth="1"/>
    <col min="2" max="7" width="14.85546875" style="1582" customWidth="1"/>
    <col min="8" max="16384" width="9.140625" style="1582"/>
  </cols>
  <sheetData>
    <row r="1" spans="1:5">
      <c r="A1" s="1581"/>
      <c r="B1" s="1581"/>
      <c r="C1" s="1581"/>
      <c r="D1" s="1581"/>
      <c r="E1" s="1581"/>
    </row>
    <row r="2" spans="1:5">
      <c r="A2" s="1581"/>
      <c r="B2" s="1581"/>
      <c r="C2" s="1581"/>
      <c r="D2" s="1581"/>
      <c r="E2" s="1581"/>
    </row>
    <row r="3" spans="1:5">
      <c r="A3" s="1406" t="s">
        <v>7337</v>
      </c>
      <c r="B3" s="1581"/>
      <c r="C3" s="1581"/>
      <c r="D3" s="1581"/>
      <c r="E3" s="1581"/>
    </row>
    <row r="4" spans="1:5">
      <c r="A4" s="1409" t="s">
        <v>7214</v>
      </c>
      <c r="B4" s="1409" t="s">
        <v>10</v>
      </c>
      <c r="C4" s="1409" t="s">
        <v>18</v>
      </c>
      <c r="D4" s="1409" t="s">
        <v>12726</v>
      </c>
      <c r="E4" s="1409" t="s">
        <v>2034</v>
      </c>
    </row>
    <row r="5" spans="1:5">
      <c r="A5" s="1474" t="s">
        <v>5848</v>
      </c>
      <c r="B5" s="1474" t="e">
        <f>COUNTIFS(SurveyDATA!#REF!,"SAMPLING*",SurveyDATA!E:E,"*MALOLOS*",SurveyDATA!S:S,"MALE")</f>
        <v>#REF!</v>
      </c>
      <c r="C5" s="1474" t="e">
        <f>COUNTIFS(SurveyDATA!#REF!,"SAMPLING*",SurveyDATA!E:E,"*MALOLOS*",SurveyDATA!S:S,"FEMALE")</f>
        <v>#REF!</v>
      </c>
      <c r="D5" s="1474" t="e">
        <f>COUNTIFS(SurveyDATA!#REF!,"SAMPLING*",SurveyDATA!E:E,"*MALOLOS*",SurveyDATA!P:P,"")</f>
        <v>#REF!</v>
      </c>
      <c r="E5" s="1474" t="e">
        <f t="shared" ref="E5:E13" si="0">SUM(B5:D5)</f>
        <v>#REF!</v>
      </c>
    </row>
    <row r="6" spans="1:5">
      <c r="A6" s="1474" t="s">
        <v>5494</v>
      </c>
      <c r="B6" s="1474" t="e">
        <f>COUNTIFS(SurveyDATA!#REF!,"SAMPLING*",SurveyDATA!E:E,"*GUIGUINTO*",SurveyDATA!S:S,"MALE")</f>
        <v>#REF!</v>
      </c>
      <c r="C6" s="1474" t="e">
        <f>COUNTIFS(SurveyDATA!#REF!,"SAMPLING*",SurveyDATA!E:E,"*GUIGUINTO*",SurveyDATA!S:S,"FEMALE")</f>
        <v>#REF!</v>
      </c>
      <c r="D6" s="1474" t="e">
        <f>COUNTIFS(SurveyDATA!#REF!,"SAMPLING*",SurveyDATA!E:E,"*GUIGUINTO*",SurveyDATA!P:P,"")</f>
        <v>#REF!</v>
      </c>
      <c r="E6" s="1474" t="e">
        <f t="shared" si="0"/>
        <v>#REF!</v>
      </c>
    </row>
    <row r="7" spans="1:5">
      <c r="A7" s="1474" t="s">
        <v>5847</v>
      </c>
      <c r="B7" s="1474" t="e">
        <f>COUNTIFS(SurveyDATA!#REF!,"SAMPLING*",SurveyDATA!E:E,"*BALAGTAS*",SurveyDATA!S:S,"MALE")</f>
        <v>#REF!</v>
      </c>
      <c r="C7" s="1474" t="e">
        <f>COUNTIFS(SurveyDATA!#REF!,"SAMPLING*",SurveyDATA!E:E,"*BALAGTAS*",SurveyDATA!S:S,"FEMALE")</f>
        <v>#REF!</v>
      </c>
      <c r="D7" s="1474" t="e">
        <f>COUNTIFS(SurveyDATA!#REF!,"SAMPLING*",SurveyDATA!E:E,"*BALAGTAS*",SurveyDATA!P:P,"")</f>
        <v>#REF!</v>
      </c>
      <c r="E7" s="1474" t="e">
        <f t="shared" si="0"/>
        <v>#REF!</v>
      </c>
    </row>
    <row r="8" spans="1:5">
      <c r="A8" s="1474" t="s">
        <v>771</v>
      </c>
      <c r="B8" s="1474" t="e">
        <f>COUNTIFS(SurveyDATA!#REF!,"SAMPLING*",SurveyDATA!E:E,"*BOCAUE*",SurveyDATA!S:S,"MALE")</f>
        <v>#REF!</v>
      </c>
      <c r="C8" s="1474" t="e">
        <f>COUNTIFS(SurveyDATA!#REF!,"SAMPLING*",SurveyDATA!E:E,"*BOCAUE*",SurveyDATA!S:S,"FEMALE")</f>
        <v>#REF!</v>
      </c>
      <c r="D8" s="1474" t="e">
        <f>COUNTIFS(SurveyDATA!#REF!,"SAMPLING*",SurveyDATA!E:E,"*BOCAUE*",SurveyDATA!P:P,"")</f>
        <v>#REF!</v>
      </c>
      <c r="E8" s="1474" t="e">
        <f t="shared" si="0"/>
        <v>#REF!</v>
      </c>
    </row>
    <row r="9" spans="1:5">
      <c r="A9" s="1474" t="s">
        <v>5495</v>
      </c>
      <c r="B9" s="1474" t="e">
        <f>COUNTIFS(SurveyDATA!#REF!,"SAMPLING*",SurveyDATA!E:E,"*MARILAO*",SurveyDATA!S:S,"MALE")</f>
        <v>#REF!</v>
      </c>
      <c r="C9" s="1474" t="e">
        <f>COUNTIFS(SurveyDATA!#REF!,"SAMPLING*",SurveyDATA!E:E,"*MARILAO*",SurveyDATA!S:S,"FEMALE")</f>
        <v>#REF!</v>
      </c>
      <c r="D9" s="1474" t="e">
        <f>COUNTIFS(SurveyDATA!#REF!,"SAMPLING*",SurveyDATA!E:E,"*MARILAO*",SurveyDATA!P:P,"")</f>
        <v>#REF!</v>
      </c>
      <c r="E9" s="1474" t="e">
        <f t="shared" si="0"/>
        <v>#REF!</v>
      </c>
    </row>
    <row r="10" spans="1:5">
      <c r="A10" s="1474" t="s">
        <v>5496</v>
      </c>
      <c r="B10" s="1474" t="e">
        <f>COUNTIFS(SurveyDATA!#REF!,"SAMPLING*",SurveyDATA!E:E,"*MEYCAUAYAN*",SurveyDATA!S:S,"MALE")</f>
        <v>#REF!</v>
      </c>
      <c r="C10" s="1474" t="e">
        <f>COUNTIFS(SurveyDATA!#REF!,"SAMPLING*",SurveyDATA!E:E,"*MEYCAUAYAN*",SurveyDATA!S:S,"FEMALE")</f>
        <v>#REF!</v>
      </c>
      <c r="D10" s="1474" t="e">
        <f>COUNTIFS(SurveyDATA!#REF!,"SAMPLING*",SurveyDATA!E:E,"*MEYCAUAYAN*",SurveyDATA!P:P,"")</f>
        <v>#REF!</v>
      </c>
      <c r="E10" s="1474" t="e">
        <f t="shared" si="0"/>
        <v>#REF!</v>
      </c>
    </row>
    <row r="11" spans="1:5">
      <c r="A11" s="1474" t="s">
        <v>778</v>
      </c>
      <c r="B11" s="1474" t="e">
        <f>COUNTIFS(SurveyDATA!#REF!,"SAMPLING*",SurveyDATA!E:E,"*VALENZUELA*",SurveyDATA!S:S,"MALE")</f>
        <v>#REF!</v>
      </c>
      <c r="C11" s="1474" t="e">
        <f>COUNTIFS(SurveyDATA!#REF!,"SAMPLING*",SurveyDATA!E:E,"*VALENZUELA*",SurveyDATA!S:S,"FEMALE")</f>
        <v>#REF!</v>
      </c>
      <c r="D11" s="1474" t="e">
        <f>COUNTIFS(SurveyDATA!#REF!,"SAMPLING*",SurveyDATA!E:E,"*VALENZUELA*",SurveyDATA!P:P,"")</f>
        <v>#REF!</v>
      </c>
      <c r="E11" s="1474" t="e">
        <f t="shared" si="0"/>
        <v>#REF!</v>
      </c>
    </row>
    <row r="12" spans="1:5">
      <c r="A12" s="1474" t="s">
        <v>5493</v>
      </c>
      <c r="B12" s="1474" t="e">
        <f>COUNTIFS(SurveyDATA!#REF!,"SAMPLING*",SurveyDATA!E:E,"*CALOOCAN*",SurveyDATA!S:S,"MALE")</f>
        <v>#REF!</v>
      </c>
      <c r="C12" s="1474" t="e">
        <f>COUNTIFS(SurveyDATA!#REF!,"SAMPLING*",SurveyDATA!E:E,"*CALOOCAN*",SurveyDATA!S:S,"FEMALE")</f>
        <v>#REF!</v>
      </c>
      <c r="D12" s="1474" t="e">
        <f>COUNTIFS(SurveyDATA!#REF!,"SAMPLING*",SurveyDATA!E:E,"*CALOOCAN*",SurveyDATA!P:P,"")</f>
        <v>#REF!</v>
      </c>
      <c r="E12" s="1474" t="e">
        <f t="shared" si="0"/>
        <v>#REF!</v>
      </c>
    </row>
    <row r="13" spans="1:5">
      <c r="A13" s="1474" t="s">
        <v>1020</v>
      </c>
      <c r="B13" s="1474" t="e">
        <f>COUNTIFS(SurveyDATA!#REF!,"SAMPLING*",SurveyDATA!E:E,"*MANILA*",SurveyDATA!S:S,"MALE")</f>
        <v>#REF!</v>
      </c>
      <c r="C13" s="1474" t="e">
        <f>COUNTIFS(SurveyDATA!#REF!,"SAMPLING*",SurveyDATA!E:E,"*MANILA*",SurveyDATA!S:S,"FEMALE")</f>
        <v>#REF!</v>
      </c>
      <c r="D13" s="1474" t="e">
        <f>COUNTIFS(SurveyDATA!#REF!,"SAMPLING*",SurveyDATA!E:E,"*MANILA*",SurveyDATA!P:P,"")</f>
        <v>#REF!</v>
      </c>
      <c r="E13" s="1474" t="e">
        <f t="shared" si="0"/>
        <v>#REF!</v>
      </c>
    </row>
    <row r="14" spans="1:5">
      <c r="A14" s="1479" t="s">
        <v>4348</v>
      </c>
      <c r="B14" s="1480" t="e">
        <f>SUM(B5:B13)</f>
        <v>#REF!</v>
      </c>
      <c r="C14" s="1480" t="e">
        <f>SUM(C5:C13)</f>
        <v>#REF!</v>
      </c>
      <c r="D14" s="1480" t="e">
        <f>SUM(D5:D13)</f>
        <v>#REF!</v>
      </c>
      <c r="E14" s="1480" t="e">
        <f>SUM(E5:E13)</f>
        <v>#REF!</v>
      </c>
    </row>
    <row r="15" spans="1:5">
      <c r="A15" s="1490" t="s">
        <v>7243</v>
      </c>
      <c r="B15" s="1481" t="e">
        <f>B14/E14</f>
        <v>#REF!</v>
      </c>
      <c r="C15" s="1481" t="e">
        <f>C14/E14</f>
        <v>#REF!</v>
      </c>
      <c r="D15" s="1481" t="e">
        <f>D14/E14</f>
        <v>#REF!</v>
      </c>
      <c r="E15" s="1481" t="e">
        <f>SUM(B15:D15)</f>
        <v>#REF!</v>
      </c>
    </row>
    <row r="16" spans="1:5">
      <c r="A16" s="1552" t="s">
        <v>12586</v>
      </c>
    </row>
    <row r="21" spans="1:7">
      <c r="A21" s="1569" t="s">
        <v>12576</v>
      </c>
      <c r="B21" s="1583"/>
      <c r="C21" s="1583"/>
      <c r="D21" s="1583"/>
      <c r="E21" s="1583"/>
      <c r="F21" s="1583"/>
      <c r="G21" s="1583"/>
    </row>
    <row r="22" spans="1:7" ht="47.25">
      <c r="A22" s="1409" t="s">
        <v>7214</v>
      </c>
      <c r="B22" s="1409" t="s">
        <v>12577</v>
      </c>
      <c r="C22" s="1409" t="s">
        <v>12578</v>
      </c>
      <c r="D22" s="1409" t="s">
        <v>12579</v>
      </c>
      <c r="E22" s="1409" t="s">
        <v>12580</v>
      </c>
      <c r="F22" s="1409" t="s">
        <v>8248</v>
      </c>
      <c r="G22" s="1409" t="s">
        <v>2034</v>
      </c>
    </row>
    <row r="23" spans="1:7">
      <c r="A23" s="1529" t="s">
        <v>5848</v>
      </c>
      <c r="B23" s="1529">
        <f>COUNTIFS(HH.names!$D:$D,"*MC*",HH.names!$AF:$AF,"1")</f>
        <v>0</v>
      </c>
      <c r="C23" s="1529">
        <f>COUNTIFS(HH.names!$D:$D,"*MC*",HH.names!$AF:$AF,"2")</f>
        <v>0</v>
      </c>
      <c r="D23" s="1529">
        <f>COUNTIFS(HH.names!$D:$D,"*MC*",HH.names!$AF:$AF,"3")</f>
        <v>0</v>
      </c>
      <c r="E23" s="1529">
        <f>COUNTIFS(HH.names!$D:$D,"*MC*",HH.names!$AF:$AF,"4")</f>
        <v>0</v>
      </c>
      <c r="F23" s="1529">
        <f>COUNTIFS(HH.names!$D:$D,"*MC*",HH.names!$AF:$AF,"5")</f>
        <v>0</v>
      </c>
      <c r="G23" s="1529">
        <f t="shared" ref="G23:G31" si="1">SUM(B23:F23)</f>
        <v>0</v>
      </c>
    </row>
    <row r="24" spans="1:7">
      <c r="A24" s="1529" t="s">
        <v>5494</v>
      </c>
      <c r="B24" s="1529">
        <f>COUNTIFS(HH.names!$D:$D,"*GG*",HH.names!$AF:$AF,"1")</f>
        <v>0</v>
      </c>
      <c r="C24" s="1529">
        <f>COUNTIFS(HH.names!$D:$D,"*GG*",HH.names!$AF:$AF,"2")</f>
        <v>0</v>
      </c>
      <c r="D24" s="1529">
        <f>COUNTIFS(HH.names!$D:$D,"*GG*",HH.names!$AF:$AF,"3")</f>
        <v>0</v>
      </c>
      <c r="E24" s="1529">
        <f>COUNTIFS(HH.names!$D:$D,"*GG*",HH.names!$AF:$AF,"4")</f>
        <v>0</v>
      </c>
      <c r="F24" s="1529">
        <f>COUNTIFS(HH.names!$D:$D,"*GG*",HH.names!$AF:$AF,"5")</f>
        <v>0</v>
      </c>
      <c r="G24" s="1529">
        <f t="shared" si="1"/>
        <v>0</v>
      </c>
    </row>
    <row r="25" spans="1:7">
      <c r="A25" s="1529" t="s">
        <v>5847</v>
      </c>
      <c r="B25" s="1529">
        <f>COUNTIFS(HH.names!$D:$D,"*BA*",HH.names!$AF:$AF,"1")</f>
        <v>0</v>
      </c>
      <c r="C25" s="1529">
        <f>COUNTIFS(HH.names!$D:$D,"*BA*",HH.names!$AF:$AF,"2")</f>
        <v>0</v>
      </c>
      <c r="D25" s="1529">
        <f>COUNTIFS(HH.names!$D:$D,"*BA*",HH.names!$AF:$AF,"3")</f>
        <v>0</v>
      </c>
      <c r="E25" s="1529">
        <f>COUNTIFS(HH.names!$D:$D,"*BA*",HH.names!$AF:$AF,"4")</f>
        <v>0</v>
      </c>
      <c r="F25" s="1529">
        <f>COUNTIFS(HH.names!$D:$D,"*BA*",HH.names!$AF:$AF,"5")</f>
        <v>0</v>
      </c>
      <c r="G25" s="1529">
        <f t="shared" si="1"/>
        <v>0</v>
      </c>
    </row>
    <row r="26" spans="1:7">
      <c r="A26" s="1529" t="s">
        <v>771</v>
      </c>
      <c r="B26" s="1529">
        <f>COUNTIFS(HH.names!$D:$D,"*BO*",HH.names!$AF:$AF,"1")</f>
        <v>1</v>
      </c>
      <c r="C26" s="1529">
        <f>COUNTIFS(HH.names!$D:$D,"*BO*",HH.names!$AF:$AF,"2")</f>
        <v>1</v>
      </c>
      <c r="D26" s="1529">
        <f>COUNTIFS(HH.names!$D:$D,"*BO*",HH.names!$AF:$AF,"3")</f>
        <v>0</v>
      </c>
      <c r="E26" s="1529">
        <f>COUNTIFS(HH.names!$D:$D,"*BO*",HH.names!$AF:$AF,"4")</f>
        <v>0</v>
      </c>
      <c r="F26" s="1529">
        <f>COUNTIFS(HH.names!$D:$D,"*BO*",HH.names!$AF:$AF,"5")</f>
        <v>0</v>
      </c>
      <c r="G26" s="1529">
        <f t="shared" si="1"/>
        <v>2</v>
      </c>
    </row>
    <row r="27" spans="1:7">
      <c r="A27" s="1529" t="s">
        <v>5495</v>
      </c>
      <c r="B27" s="1529">
        <f>COUNTIFS(HH.names!$D:$D,"*MA*",HH.names!$AF:$AF,"1")</f>
        <v>0</v>
      </c>
      <c r="C27" s="1529">
        <f>COUNTIFS(HH.names!$D:$D,"*MA*",HH.names!$AF:$AF,"2")</f>
        <v>0</v>
      </c>
      <c r="D27" s="1529">
        <f>COUNTIFS(HH.names!$D:$D,"*MA*",HH.names!$AF:$AF,"3")</f>
        <v>0</v>
      </c>
      <c r="E27" s="1529">
        <f>COUNTIFS(HH.names!$D:$D,"*MA*",HH.names!$AF:$AF,"4")</f>
        <v>0</v>
      </c>
      <c r="F27" s="1529">
        <f>COUNTIFS(HH.names!$D:$D,"*MA*",HH.names!$AF:$AF,"5")</f>
        <v>1</v>
      </c>
      <c r="G27" s="1529">
        <f t="shared" si="1"/>
        <v>1</v>
      </c>
    </row>
    <row r="28" spans="1:7">
      <c r="A28" s="1529" t="s">
        <v>5496</v>
      </c>
      <c r="B28" s="1529">
        <f>COUNTIFS(HH.names!$D:$D,"*MY*",HH.names!$AF:$AF,"1")</f>
        <v>2</v>
      </c>
      <c r="C28" s="1529">
        <f>COUNTIFS(HH.names!$D:$D,"*MY*",HH.names!$AF:$AF,"2")</f>
        <v>1</v>
      </c>
      <c r="D28" s="1529">
        <f>COUNTIFS(HH.names!$D:$D,"*MY*",HH.names!$AF:$AF,"3")</f>
        <v>0</v>
      </c>
      <c r="E28" s="1529">
        <f>COUNTIFS(HH.names!$D:$D,"*MY*",HH.names!$AF:$AF,"4")</f>
        <v>0</v>
      </c>
      <c r="F28" s="1529">
        <f>COUNTIFS(HH.names!$D:$D,"*MY*",HH.names!$AF:$AF,"5")</f>
        <v>0</v>
      </c>
      <c r="G28" s="1529">
        <f t="shared" si="1"/>
        <v>3</v>
      </c>
    </row>
    <row r="29" spans="1:7">
      <c r="A29" s="1529" t="s">
        <v>778</v>
      </c>
      <c r="B29" s="1529">
        <f>COUNTIFS(HH.names!$D:$D,"*VC*",HH.names!$AF:$AF,"1")</f>
        <v>6</v>
      </c>
      <c r="C29" s="1529">
        <f>COUNTIFS(HH.names!$D:$D,"*VC*",HH.names!$AF:$AF,"2")</f>
        <v>4</v>
      </c>
      <c r="D29" s="1529">
        <f>COUNTIFS(HH.names!$D:$D,"*VC*",HH.names!$AF:$AF,"3")</f>
        <v>3</v>
      </c>
      <c r="E29" s="1529">
        <f>COUNTIFS(HH.names!$D:$D,"*VC*",HH.names!$AF:$AF,"4")</f>
        <v>4</v>
      </c>
      <c r="F29" s="1529">
        <f>COUNTIFS(HH.names!$D:$D,"*VC*",HH.names!$AF:$AF,"5")</f>
        <v>2</v>
      </c>
      <c r="G29" s="1529">
        <f t="shared" si="1"/>
        <v>19</v>
      </c>
    </row>
    <row r="30" spans="1:7">
      <c r="A30" s="1529" t="s">
        <v>5493</v>
      </c>
      <c r="B30" s="1529">
        <f>COUNTIFS(HH.names!$D:$D,"*CA*",HH.names!$AF:$AF,"1")</f>
        <v>3</v>
      </c>
      <c r="C30" s="1529">
        <f>COUNTIFS(HH.names!$D:$D,"*CA*",HH.names!$AF:$AF,"2")</f>
        <v>5</v>
      </c>
      <c r="D30" s="1529">
        <f>COUNTIFS(HH.names!$D:$D,"*CA*",HH.names!$AF:$AF,"3")</f>
        <v>8</v>
      </c>
      <c r="E30" s="1529">
        <f>COUNTIFS(HH.names!$D:$D,"*CA*",HH.names!$AF:$AF,"4")</f>
        <v>6</v>
      </c>
      <c r="F30" s="1529">
        <f>COUNTIFS(HH.names!$D:$D,"*CA*",HH.names!$AF:$AF,"5")</f>
        <v>1</v>
      </c>
      <c r="G30" s="1529">
        <f t="shared" si="1"/>
        <v>23</v>
      </c>
    </row>
    <row r="31" spans="1:7">
      <c r="A31" s="1529" t="s">
        <v>1020</v>
      </c>
      <c r="B31" s="1529">
        <f>COUNTIFS(HH.names!$D:$D,"*MN*",HH.names!$AF:$AF,"1")</f>
        <v>0</v>
      </c>
      <c r="C31" s="1529">
        <f>COUNTIFS(HH.names!$D:$D,"*MN*",HH.names!$AF:$AF,"2")</f>
        <v>4</v>
      </c>
      <c r="D31" s="1529">
        <f>COUNTIFS(HH.names!$D:$D,"*MN*",HH.names!$AF:$AF,"3")</f>
        <v>4</v>
      </c>
      <c r="E31" s="1529">
        <f>COUNTIFS(HH.names!$D:$D,"*,MN*",HH.names!$AF:$AF,"4")</f>
        <v>0</v>
      </c>
      <c r="F31" s="1529">
        <f>COUNTIFS(HH.names!$D:$D,"*,MN*",HH.names!$AF:$AF,"5")</f>
        <v>0</v>
      </c>
      <c r="G31" s="1529">
        <f t="shared" si="1"/>
        <v>8</v>
      </c>
    </row>
    <row r="32" spans="1:7">
      <c r="A32" s="1584" t="s">
        <v>4348</v>
      </c>
      <c r="B32" s="1585">
        <f t="shared" ref="B32:G32" si="2">SUM(B23:B31)</f>
        <v>12</v>
      </c>
      <c r="C32" s="1585">
        <f t="shared" si="2"/>
        <v>15</v>
      </c>
      <c r="D32" s="1585">
        <f t="shared" si="2"/>
        <v>15</v>
      </c>
      <c r="E32" s="1585">
        <f t="shared" si="2"/>
        <v>10</v>
      </c>
      <c r="F32" s="1585">
        <f t="shared" si="2"/>
        <v>4</v>
      </c>
      <c r="G32" s="1585">
        <f t="shared" si="2"/>
        <v>56</v>
      </c>
    </row>
    <row r="35" spans="1:6">
      <c r="A35" s="1569" t="s">
        <v>12581</v>
      </c>
      <c r="B35" s="1583"/>
      <c r="C35" s="1583"/>
      <c r="D35" s="1583"/>
      <c r="E35" s="1583"/>
      <c r="F35" s="1583"/>
    </row>
    <row r="36" spans="1:6" ht="50.25">
      <c r="A36" s="1409" t="s">
        <v>12582</v>
      </c>
      <c r="B36" s="1409" t="s">
        <v>12722</v>
      </c>
      <c r="C36" s="1409" t="s">
        <v>12724</v>
      </c>
      <c r="D36" s="1409" t="s">
        <v>12723</v>
      </c>
      <c r="E36" s="1409" t="s">
        <v>12725</v>
      </c>
      <c r="F36" s="1409" t="s">
        <v>2034</v>
      </c>
    </row>
    <row r="37" spans="1:6">
      <c r="A37" s="1529" t="s">
        <v>5848</v>
      </c>
      <c r="B37" s="1529" t="e">
        <f>COUNTIFS(SurveyDATA!#REF!,"*SAMPLING*",SurveyDATA!$E:$E,"*MALOLOS*",SurveyDATA!IB:IB,"Y",SurveyDATA!#REF!,"&lt;10001")</f>
        <v>#REF!</v>
      </c>
      <c r="C37" s="1529" t="e">
        <f>SUMIFS(SurveyDATA!ID:ID,SurveyDATA!#REF!,"*SAMPLING*",SurveyDATA!$E:$E,"*MALOLOS*",SurveyDATA!$ID:$ID,"&gt;0")</f>
        <v>#REF!</v>
      </c>
      <c r="D37" s="1529" t="e">
        <f>COUNTIFS(SurveyDATA!#REF!,"*SAMPLING*",SurveyDATA!$E:$E,"*MALOLOS*",SurveyDATA!$IC:$IC,"Y",SurveyDATA!S:S,"female")</f>
        <v>#REF!</v>
      </c>
      <c r="E37" s="1529" t="e">
        <f>SUMIFS(SurveyDATA!IE:IE,SurveyDATA!#REF!,"*SAMPLING*",SurveyDATA!$E:$E,"*MALOLOS*",SurveyDATA!$IE:$IE,"&gt;0")</f>
        <v>#REF!</v>
      </c>
      <c r="F37" s="1530" t="e">
        <f t="shared" ref="F37:F45" si="3">SUM(B37:E37)</f>
        <v>#REF!</v>
      </c>
    </row>
    <row r="38" spans="1:6">
      <c r="A38" s="1529" t="s">
        <v>5494</v>
      </c>
      <c r="B38" s="1529" t="e">
        <f>COUNTIFS(SurveyDATA!#REF!,"*SAMPLING*",SurveyDATA!$E:$E,"*GUIGUINTO*",SurveyDATA!IB:IB,"Y",SurveyDATA!#REF!,"&lt;10001")</f>
        <v>#REF!</v>
      </c>
      <c r="C38" s="1529" t="e">
        <f>SUMIFS(SurveyDATA!ID:ID,SurveyDATA!#REF!,"*SAMPLING*",SurveyDATA!$E:$E,"*GUIGUINTO*",SurveyDATA!$ID:$ID,"&gt;0")</f>
        <v>#REF!</v>
      </c>
      <c r="D38" s="1529" t="e">
        <f>COUNTIFS(SurveyDATA!#REF!,"*SAMPLING*",SurveyDATA!$E:$E,"*GUIGUINTO*",SurveyDATA!$IC:$IC,"Y",SurveyDATA!S:S,"female")</f>
        <v>#REF!</v>
      </c>
      <c r="E38" s="1529" t="e">
        <f>SUMIFS(SurveyDATA!IE:IE,SurveyDATA!#REF!,"*SAMPLING*",SurveyDATA!$E:$E,"*GUIGUINTO*",SurveyDATA!$IE:$IE,"&gt;0")</f>
        <v>#REF!</v>
      </c>
      <c r="F38" s="1530" t="e">
        <f t="shared" si="3"/>
        <v>#REF!</v>
      </c>
    </row>
    <row r="39" spans="1:6">
      <c r="A39" s="1529" t="s">
        <v>5847</v>
      </c>
      <c r="B39" s="1529" t="e">
        <f>COUNTIFS(SurveyDATA!#REF!,"*SAMPLING*",SurveyDATA!$E:$E,"*BALAGTAS*",SurveyDATA!IB:IB,"Y",SurveyDATA!#REF!,"&lt;10001")</f>
        <v>#REF!</v>
      </c>
      <c r="C39" s="1529" t="e">
        <f>SUMIFS(SurveyDATA!ID:ID,SurveyDATA!#REF!,"*SAMPLING*",SurveyDATA!$E:$E,"*BALAGTAS*",SurveyDATA!$ID:$ID,"&gt;0")</f>
        <v>#REF!</v>
      </c>
      <c r="D39" s="1529" t="e">
        <f>COUNTIFS(SurveyDATA!#REF!,"*SAMPLING*",SurveyDATA!$E:$E,"*BALAGTAS*",SurveyDATA!$IC:$IC,"Y",SurveyDATA!S:S,"female")</f>
        <v>#REF!</v>
      </c>
      <c r="E39" s="1529" t="e">
        <f>SUMIFS(SurveyDATA!IE:IE,SurveyDATA!#REF!,"*SAMPLING*",SurveyDATA!$E:$E,"*BALAGTAS*",SurveyDATA!$IE:$IE,"&gt;0")</f>
        <v>#REF!</v>
      </c>
      <c r="F39" s="1530" t="e">
        <f t="shared" si="3"/>
        <v>#REF!</v>
      </c>
    </row>
    <row r="40" spans="1:6">
      <c r="A40" s="1529" t="s">
        <v>771</v>
      </c>
      <c r="B40" s="1529" t="e">
        <f>COUNTIFS(SurveyDATA!#REF!,"*SAMPLING*",SurveyDATA!$E:$E,"*BOCAUE*",SurveyDATA!IB:IB,"Y",SurveyDATA!#REF!,"&lt;10001")</f>
        <v>#REF!</v>
      </c>
      <c r="C40" s="1529" t="e">
        <f>SUMIFS(SurveyDATA!ID:ID,SurveyDATA!#REF!,"*SAMPLING*",SurveyDATA!$E:$E,"*BOCAUE*",SurveyDATA!$ID:$ID,"&gt;0")</f>
        <v>#REF!</v>
      </c>
      <c r="D40" s="1529" t="e">
        <f>COUNTIFS(SurveyDATA!#REF!,"*SAMPLING*",SurveyDATA!$E:$E,"*BOCAUE*",SurveyDATA!$IC:$IC,"Y",SurveyDATA!S:S,"female")</f>
        <v>#REF!</v>
      </c>
      <c r="E40" s="1529" t="e">
        <f>SUMIFS(SurveyDATA!IE:IE,SurveyDATA!#REF!,"*SAMPLING*",SurveyDATA!$E:$E,"*BOCAUE*",SurveyDATA!$IE:$IE,"&gt;0")</f>
        <v>#REF!</v>
      </c>
      <c r="F40" s="1530" t="e">
        <f t="shared" si="3"/>
        <v>#REF!</v>
      </c>
    </row>
    <row r="41" spans="1:6">
      <c r="A41" s="1529" t="s">
        <v>5495</v>
      </c>
      <c r="B41" s="1529" t="e">
        <f>COUNTIFS(SurveyDATA!#REF!,"*SAMPLING*",SurveyDATA!$E:$E,"*MARILAO*",SurveyDATA!IB:IB,"Y",SurveyDATA!#REF!,"&lt;10001")</f>
        <v>#REF!</v>
      </c>
      <c r="C41" s="1529" t="e">
        <f>SUMIFS(SurveyDATA!ID:ID,SurveyDATA!#REF!,"*SAMPLING*",SurveyDATA!$E:$E,"*MALOLOS*",SurveyDATA!$ID:$ID,"&gt;0")</f>
        <v>#REF!</v>
      </c>
      <c r="D41" s="1529" t="e">
        <f>COUNTIFS(SurveyDATA!#REF!,"*SAMPLING*",SurveyDATA!$E:$E,"*MARILAO*",SurveyDATA!$IC:$IC,"Y",SurveyDATA!S:S,"female")</f>
        <v>#REF!</v>
      </c>
      <c r="E41" s="1529" t="e">
        <f>SUMIFS(SurveyDATA!IE:IE,SurveyDATA!#REF!,"*SAMPLING*",SurveyDATA!$E:$E,"*MARILAO*",SurveyDATA!$IE:$IE,"&gt;0")</f>
        <v>#REF!</v>
      </c>
      <c r="F41" s="1530" t="e">
        <f t="shared" si="3"/>
        <v>#REF!</v>
      </c>
    </row>
    <row r="42" spans="1:6">
      <c r="A42" s="1529" t="s">
        <v>5496</v>
      </c>
      <c r="B42" s="1529" t="e">
        <f>COUNTIFS(SurveyDATA!#REF!,"*SAMPLING*",SurveyDATA!$E:$E,"*MEYCAUAYAN*",SurveyDATA!IB:IB,"Y",SurveyDATA!#REF!,"&lt;10001")</f>
        <v>#REF!</v>
      </c>
      <c r="C42" s="1529" t="e">
        <f>SUMIFS(SurveyDATA!ID:ID,SurveyDATA!#REF!,"*SAMPLING*",SurveyDATA!$E:$E,"*MEYCAUAYAN*",SurveyDATA!$ID:$ID,"&gt;0")</f>
        <v>#REF!</v>
      </c>
      <c r="D42" s="1529" t="e">
        <f>COUNTIFS(SurveyDATA!#REF!,"*SAMPLING*",SurveyDATA!$E:$E,"*MEYCAUAYAN*",SurveyDATA!$IC:$IC,"Y",SurveyDATA!S:S,"female")</f>
        <v>#REF!</v>
      </c>
      <c r="E42" s="1529" t="e">
        <f>SUMIFS(SurveyDATA!IE:IE,SurveyDATA!#REF!,"*SAMPLING*",SurveyDATA!$E:$E,"*MEYCAUAYAN*",SurveyDATA!$IE:$IE,"&gt;0")</f>
        <v>#REF!</v>
      </c>
      <c r="F42" s="1530" t="e">
        <f t="shared" si="3"/>
        <v>#REF!</v>
      </c>
    </row>
    <row r="43" spans="1:6">
      <c r="A43" s="1529" t="s">
        <v>778</v>
      </c>
      <c r="B43" s="1529" t="e">
        <f>COUNTIFS(SurveyDATA!#REF!,"*SAMPLING*",SurveyDATA!$E:$E,"*VALENZUELA*",SurveyDATA!IB:IB,"Y",SurveyDATA!#REF!,"&lt;10001")</f>
        <v>#REF!</v>
      </c>
      <c r="C43" s="1529" t="e">
        <f>SUMIFS(SurveyDATA!ID:ID,SurveyDATA!#REF!,"*SAMPLING*",SurveyDATA!$E:$E,"*MALOLOS*",SurveyDATA!$ID:$ID,"&gt;0")</f>
        <v>#REF!</v>
      </c>
      <c r="D43" s="1529" t="e">
        <f>COUNTIFS(SurveyDATA!#REF!,"*SAMPLING*",SurveyDATA!$E:$E,"*VALENZUELA*",SurveyDATA!$IC:$IC,"Y",SurveyDATA!S:S,"female")</f>
        <v>#REF!</v>
      </c>
      <c r="E43" s="1529" t="e">
        <f>SUMIFS(SurveyDATA!IE:IE,SurveyDATA!#REF!,"*SAMPLING*",SurveyDATA!$E:$E,"*VALENZUELA*",SurveyDATA!$IE:$IE,"&gt;0")</f>
        <v>#REF!</v>
      </c>
      <c r="F43" s="1530" t="e">
        <f t="shared" si="3"/>
        <v>#REF!</v>
      </c>
    </row>
    <row r="44" spans="1:6">
      <c r="A44" s="1529" t="s">
        <v>5493</v>
      </c>
      <c r="B44" s="1529" t="e">
        <f>COUNTIFS(SurveyDATA!#REF!,"*SAMPLING*",SurveyDATA!$E:$E,"*CALOOCAN*",SurveyDATA!IB:IB,"Y",SurveyDATA!#REF!,"&lt;10001")</f>
        <v>#REF!</v>
      </c>
      <c r="C44" s="1529" t="e">
        <f>SUMIFS(SurveyDATA!ID:ID,SurveyDATA!#REF!,"*SAMPLING*",SurveyDATA!$E:$E,"*MALOLOS*",SurveyDATA!$ID:$ID,"&gt;0")</f>
        <v>#REF!</v>
      </c>
      <c r="D44" s="1529" t="e">
        <f>COUNTIFS(SurveyDATA!#REF!,"*SAMPLING*",SurveyDATA!$E:$E,"*CALOOCAN*",SurveyDATA!$IC:$IC,"Y",SurveyDATA!S:S,"female")</f>
        <v>#REF!</v>
      </c>
      <c r="E44" s="1529" t="e">
        <f>SUMIFS(SurveyDATA!IE:IE,SurveyDATA!#REF!,"*SAMPLING*",SurveyDATA!$E:$E,"*CALOOCAN*",SurveyDATA!$IE:$IE,"&gt;0")</f>
        <v>#REF!</v>
      </c>
      <c r="F44" s="1530" t="e">
        <f t="shared" si="3"/>
        <v>#REF!</v>
      </c>
    </row>
    <row r="45" spans="1:6">
      <c r="A45" s="1529" t="s">
        <v>1020</v>
      </c>
      <c r="B45" s="1529" t="e">
        <f>COUNTIFS(SurveyDATA!#REF!,"*SAMPLING*",SurveyDATA!$E:$E,"*MANILA*",SurveyDATA!IB:IB,"Y",SurveyDATA!#REF!,"&lt;10001")</f>
        <v>#REF!</v>
      </c>
      <c r="C45" s="1529" t="e">
        <f>SUMIFS(SurveyDATA!ID:ID,SurveyDATA!#REF!,"*SAMPLING*",SurveyDATA!$E:$E,"*MALOLOS*",SurveyDATA!$ID:$ID,"&gt;0")</f>
        <v>#REF!</v>
      </c>
      <c r="D45" s="1529" t="e">
        <f>COUNTIFS(SurveyDATA!#REF!,"*SAMPLING*",SurveyDATA!$E:$E,"*MANILA*",SurveyDATA!$IC:$IC,"Y",SurveyDATA!S:S,"female")</f>
        <v>#REF!</v>
      </c>
      <c r="E45" s="1529" t="e">
        <f>SUMIFS(SurveyDATA!IE:IE,SurveyDATA!#REF!,"*SAMPLING*",SurveyDATA!$E:$E,"*MANILA*",SurveyDATA!$IE:$IE,"&gt;0")</f>
        <v>#REF!</v>
      </c>
      <c r="F45" s="1530" t="e">
        <f t="shared" si="3"/>
        <v>#REF!</v>
      </c>
    </row>
    <row r="46" spans="1:6">
      <c r="A46" s="1584" t="s">
        <v>4348</v>
      </c>
      <c r="B46" s="1585" t="e">
        <f>SUM(B37:B45)</f>
        <v>#REF!</v>
      </c>
      <c r="C46" s="1585" t="e">
        <f>SUM(C37:C45)</f>
        <v>#REF!</v>
      </c>
      <c r="D46" s="1585" t="e">
        <f>SUM(D37:D45)</f>
        <v>#REF!</v>
      </c>
      <c r="E46" s="1585" t="e">
        <f>SUM(E37:E45)</f>
        <v>#REF!</v>
      </c>
      <c r="F46" s="1585" t="e">
        <f>SUM(F37:F45)</f>
        <v>#REF!</v>
      </c>
    </row>
  </sheetData>
  <pageMargins left="0.7" right="0.7" top="0.75" bottom="0.75" header="0.3" footer="0.3"/>
  <pageSetup orientation="portrait" horizontalDpi="4294967293" verticalDpi="0" r:id="rId1"/>
</worksheet>
</file>

<file path=xl/worksheets/sheet14.xml><?xml version="1.0" encoding="utf-8"?>
<worksheet xmlns="http://schemas.openxmlformats.org/spreadsheetml/2006/main" xmlns:r="http://schemas.openxmlformats.org/officeDocument/2006/relationships">
  <sheetPr>
    <tabColor rgb="FF0070C0"/>
  </sheetPr>
  <dimension ref="A2:J93"/>
  <sheetViews>
    <sheetView topLeftCell="H1184" zoomScale="80" zoomScaleNormal="80" workbookViewId="0">
      <selection activeCell="J1215" sqref="J1215"/>
    </sheetView>
  </sheetViews>
  <sheetFormatPr defaultRowHeight="15"/>
  <cols>
    <col min="1" max="1" width="31.140625" customWidth="1"/>
    <col min="2" max="9" width="13.7109375" customWidth="1"/>
  </cols>
  <sheetData>
    <row r="2" spans="1:7">
      <c r="B2" s="1206"/>
    </row>
    <row r="3" spans="1:7">
      <c r="A3" s="635" t="s">
        <v>12499</v>
      </c>
    </row>
    <row r="4" spans="1:7">
      <c r="A4" s="2014" t="s">
        <v>7214</v>
      </c>
      <c r="B4" s="2014" t="s">
        <v>1468</v>
      </c>
      <c r="C4" s="2014"/>
      <c r="D4" s="2014" t="s">
        <v>1214</v>
      </c>
      <c r="E4" s="2014"/>
      <c r="F4" s="2014" t="s">
        <v>4348</v>
      </c>
      <c r="G4" s="2014"/>
    </row>
    <row r="5" spans="1:7">
      <c r="A5" s="2014"/>
      <c r="B5" s="1203" t="s">
        <v>7281</v>
      </c>
      <c r="C5" s="1203" t="s">
        <v>5805</v>
      </c>
      <c r="D5" s="1203" t="s">
        <v>7281</v>
      </c>
      <c r="E5" s="1203" t="s">
        <v>5805</v>
      </c>
      <c r="F5" s="1203" t="s">
        <v>7281</v>
      </c>
      <c r="G5" s="1203" t="s">
        <v>5805</v>
      </c>
    </row>
    <row r="6" spans="1:7">
      <c r="A6" s="1191" t="s">
        <v>5848</v>
      </c>
      <c r="B6" s="1191" t="e">
        <f>COUNTIFS(SurveyDATA!#REF!,"*SAMPLING*",SurveyDATA!#REF!,"*ISF*",SurveyDATA!$GH:$GH,"*RELOC*",SurveyDATA!$E:$E,"*MALOLOS*",SurveyDATA!$FQ:$FQ,"*NEED*",SurveyDATA!GW:GW,"Y")</f>
        <v>#REF!</v>
      </c>
      <c r="C6" s="1215" t="e">
        <f>B6/B15</f>
        <v>#REF!</v>
      </c>
      <c r="D6" s="1191" t="e">
        <f>COUNTIFS(SurveyDATA!#REF!,"*SAMPLING*",SurveyDATA!#REF!,"*ISF*",SurveyDATA!$GH:$GH,"*RELOC*",SurveyDATA!$E:$E,"*MALOLOS*",SurveyDATA!$FQ:$FQ,"*NEED*",SurveyDATA!GY:GY,"")</f>
        <v>#REF!</v>
      </c>
      <c r="E6" s="1215" t="e">
        <f>D6/D15</f>
        <v>#REF!</v>
      </c>
      <c r="F6" s="1191" t="e">
        <f t="shared" ref="F6:F14" si="0">SUM(B6,D6)</f>
        <v>#REF!</v>
      </c>
      <c r="G6" s="1215" t="e">
        <f>F6/F15</f>
        <v>#REF!</v>
      </c>
    </row>
    <row r="7" spans="1:7">
      <c r="A7" s="1191" t="s">
        <v>5494</v>
      </c>
      <c r="B7" s="1191" t="e">
        <f>COUNTIFS(SurveyDATA!#REF!,"*SAMPLING*",SurveyDATA!#REF!,"*ISF*",SurveyDATA!$GH:$GH,"*RELOC*",SurveyDATA!$E:$E,"*GUIGUINTO*",SurveyDATA!$FQ:$FQ,"*NEED*",SurveyDATA!GW:GW,"Y")</f>
        <v>#REF!</v>
      </c>
      <c r="C7" s="1215" t="e">
        <f>B7/B15</f>
        <v>#REF!</v>
      </c>
      <c r="D7" s="1191" t="e">
        <f>COUNTIFS(SurveyDATA!#REF!,"*SAMPLING*",SurveyDATA!#REF!,"*ISF*",SurveyDATA!$GH:$GH,"*RELOC*",SurveyDATA!$E:$E,"*GUIGUINTO*",SurveyDATA!$FQ:$FQ,"*NEED*",SurveyDATA!GY:GY,"")</f>
        <v>#REF!</v>
      </c>
      <c r="E7" s="1215" t="e">
        <f>D7/D15</f>
        <v>#REF!</v>
      </c>
      <c r="F7" s="1191" t="e">
        <f t="shared" si="0"/>
        <v>#REF!</v>
      </c>
      <c r="G7" s="1215" t="e">
        <f>F7/F15</f>
        <v>#REF!</v>
      </c>
    </row>
    <row r="8" spans="1:7">
      <c r="A8" s="1191" t="s">
        <v>5847</v>
      </c>
      <c r="B8" s="1191" t="e">
        <f>COUNTIFS(SurveyDATA!#REF!,"*SAMPLING*",SurveyDATA!#REF!,"*ISF*",SurveyDATA!$GH:$GH,"*RELOC*",SurveyDATA!$E:$E,"*BALAGTAS*",SurveyDATA!$FQ:$FQ,"*NEED*",SurveyDATA!GW:GW,"Y")</f>
        <v>#REF!</v>
      </c>
      <c r="C8" s="1215" t="e">
        <f>B8/B15</f>
        <v>#REF!</v>
      </c>
      <c r="D8" s="1191" t="e">
        <f>COUNTIFS(SurveyDATA!#REF!,"*SAMPLING*",SurveyDATA!#REF!,"*ISF*",SurveyDATA!$GH:$GH,"*RELOC*",SurveyDATA!$E:$E,"*BALAGTAS*",SurveyDATA!$FQ:$FQ,"*NEED*",SurveyDATA!GY:GY,"")</f>
        <v>#REF!</v>
      </c>
      <c r="E8" s="1215" t="e">
        <f>D8/D15</f>
        <v>#REF!</v>
      </c>
      <c r="F8" s="1191" t="e">
        <f t="shared" si="0"/>
        <v>#REF!</v>
      </c>
      <c r="G8" s="1215" t="e">
        <f>F8/F15</f>
        <v>#REF!</v>
      </c>
    </row>
    <row r="9" spans="1:7">
      <c r="A9" s="1191" t="s">
        <v>771</v>
      </c>
      <c r="B9" s="1191" t="e">
        <f>COUNTIFS(SurveyDATA!#REF!,"*SAMPLING*",SurveyDATA!#REF!,"*ISF*",SurveyDATA!$GH:$GH,"*RELOC*",SurveyDATA!$E:$E,"*BOCAUE*",SurveyDATA!$FQ:$FQ,"*NEED*",SurveyDATA!GW:GW,"Y")</f>
        <v>#REF!</v>
      </c>
      <c r="C9" s="1215" t="e">
        <f>B9/B15</f>
        <v>#REF!</v>
      </c>
      <c r="D9" s="1191" t="e">
        <f>COUNTIFS(SurveyDATA!#REF!,"*SAMPLING*",SurveyDATA!#REF!,"*ISF*",SurveyDATA!$GH:$GH,"*RELOC*",SurveyDATA!$E:$E,"*BOCAUE*",SurveyDATA!$FQ:$FQ,"*NEED*",SurveyDATA!GY:GY,"")</f>
        <v>#REF!</v>
      </c>
      <c r="E9" s="1215" t="e">
        <f>D9/D15</f>
        <v>#REF!</v>
      </c>
      <c r="F9" s="1191" t="e">
        <f t="shared" si="0"/>
        <v>#REF!</v>
      </c>
      <c r="G9" s="1215" t="e">
        <f>F9/F15</f>
        <v>#REF!</v>
      </c>
    </row>
    <row r="10" spans="1:7">
      <c r="A10" s="1191" t="s">
        <v>5495</v>
      </c>
      <c r="B10" s="1191" t="e">
        <f>COUNTIFS(SurveyDATA!#REF!,"*SAMPLING*",SurveyDATA!#REF!,"*ISF*",SurveyDATA!$GH:$GH,"*RELOC*",SurveyDATA!$E:$E,"*MARILAO*",SurveyDATA!$FQ:$FQ,"*NEED*",SurveyDATA!GW:GW,"Y")</f>
        <v>#REF!</v>
      </c>
      <c r="C10" s="1215" t="e">
        <f>B10/B15</f>
        <v>#REF!</v>
      </c>
      <c r="D10" s="1191" t="e">
        <f>COUNTIFS(SurveyDATA!#REF!,"*SAMPLING*",SurveyDATA!#REF!,"*ISF*",SurveyDATA!$GH:$GH,"*RELOC*",SurveyDATA!$E:$E,"*MARILAO*",SurveyDATA!$FQ:$FQ,"*NEED*",SurveyDATA!GY:GY,"")</f>
        <v>#REF!</v>
      </c>
      <c r="E10" s="1215" t="e">
        <f>D10/D15</f>
        <v>#REF!</v>
      </c>
      <c r="F10" s="1191" t="e">
        <f t="shared" si="0"/>
        <v>#REF!</v>
      </c>
      <c r="G10" s="1215" t="e">
        <f>F10/F15</f>
        <v>#REF!</v>
      </c>
    </row>
    <row r="11" spans="1:7">
      <c r="A11" s="1191" t="s">
        <v>5496</v>
      </c>
      <c r="B11" s="1191" t="e">
        <f>COUNTIFS(SurveyDATA!#REF!,"*SAMPLING*",SurveyDATA!#REF!,"*ISF*",SurveyDATA!$GH:$GH,"*RELOC*",SurveyDATA!$E:$E,"*MEYCAUAYAN*",SurveyDATA!$FQ:$FQ,"*NEED*",SurveyDATA!GW:GW,"Y")</f>
        <v>#REF!</v>
      </c>
      <c r="C11" s="1215" t="e">
        <f>B11/B15</f>
        <v>#REF!</v>
      </c>
      <c r="D11" s="1191" t="e">
        <f>COUNTIFS(SurveyDATA!#REF!,"*SAMPLING*",SurveyDATA!#REF!,"*ISF*",SurveyDATA!$GH:$GH,"*RELOC*",SurveyDATA!$E:$E,"*MEYCAUAYAN*",SurveyDATA!$FQ:$FQ,"*NEED*",SurveyDATA!GY:GY,"")</f>
        <v>#REF!</v>
      </c>
      <c r="E11" s="1215" t="e">
        <f>D11/D15</f>
        <v>#REF!</v>
      </c>
      <c r="F11" s="1191" t="e">
        <f t="shared" si="0"/>
        <v>#REF!</v>
      </c>
      <c r="G11" s="1215" t="e">
        <f>F11/F15</f>
        <v>#REF!</v>
      </c>
    </row>
    <row r="12" spans="1:7">
      <c r="A12" s="1191" t="s">
        <v>778</v>
      </c>
      <c r="B12" s="1191" t="e">
        <f>COUNTIFS(SurveyDATA!#REF!,"*SAMPLING*",SurveyDATA!#REF!,"*ISF*",SurveyDATA!$GH:$GH,"*RELOC*",SurveyDATA!$E:$E,"*VALENZUELA*",SurveyDATA!$FQ:$FQ,"*NEED*",SurveyDATA!GW:GW,"Y")</f>
        <v>#REF!</v>
      </c>
      <c r="C12" s="1215" t="e">
        <f>B12/B15</f>
        <v>#REF!</v>
      </c>
      <c r="D12" s="1191" t="e">
        <f>COUNTIFS(SurveyDATA!#REF!,"*SAMPLING*",SurveyDATA!#REF!,"*ISF*",SurveyDATA!$GH:$GH,"*RELOC*",SurveyDATA!$E:$E,"*VALENZUELA*",SurveyDATA!$FQ:$FQ,"*NEED*",SurveyDATA!GY:GY,"")</f>
        <v>#REF!</v>
      </c>
      <c r="E12" s="1215" t="e">
        <f>D12/D15</f>
        <v>#REF!</v>
      </c>
      <c r="F12" s="1191" t="e">
        <f t="shared" si="0"/>
        <v>#REF!</v>
      </c>
      <c r="G12" s="1215" t="e">
        <f>F12/F15</f>
        <v>#REF!</v>
      </c>
    </row>
    <row r="13" spans="1:7">
      <c r="A13" s="1191" t="s">
        <v>5493</v>
      </c>
      <c r="B13" s="1191" t="e">
        <f>COUNTIFS(SurveyDATA!#REF!,"*SAMPLING*",SurveyDATA!#REF!,"*ISF*",SurveyDATA!$GH:$GH,"*RELOC*",SurveyDATA!$E:$E,"*CALOOCAN*",SurveyDATA!$FQ:$FQ,"*NEED*",SurveyDATA!GW:GW,"Y")</f>
        <v>#REF!</v>
      </c>
      <c r="C13" s="1215" t="e">
        <f>B13/B15</f>
        <v>#REF!</v>
      </c>
      <c r="D13" s="1191" t="e">
        <f>COUNTIFS(SurveyDATA!#REF!,"*SAMPLING*",SurveyDATA!#REF!,"*ISF*",SurveyDATA!$GH:$GH,"*RELOC*",SurveyDATA!$E:$E,"*CALOOCAN*",SurveyDATA!$FQ:$FQ,"*NEED*",SurveyDATA!GY:GY,"")</f>
        <v>#REF!</v>
      </c>
      <c r="E13" s="1215" t="e">
        <f>D13/D15</f>
        <v>#REF!</v>
      </c>
      <c r="F13" s="1191" t="e">
        <f t="shared" si="0"/>
        <v>#REF!</v>
      </c>
      <c r="G13" s="1215" t="e">
        <f>F13/F15</f>
        <v>#REF!</v>
      </c>
    </row>
    <row r="14" spans="1:7">
      <c r="A14" s="1191" t="s">
        <v>1020</v>
      </c>
      <c r="B14" s="1191" t="e">
        <f>COUNTIFS(SurveyDATA!#REF!,"*SAMPLING*",SurveyDATA!#REF!,"*ISF*",SurveyDATA!$GH:$GH,"*RELOC*",SurveyDATA!$E:$E,"*MANILA*",SurveyDATA!$FQ:$FQ,"*NEED*",SurveyDATA!GW:GW,"Y")</f>
        <v>#REF!</v>
      </c>
      <c r="C14" s="1215" t="e">
        <f>B14/B15</f>
        <v>#REF!</v>
      </c>
      <c r="D14" s="1191" t="e">
        <f>COUNTIFS(SurveyDATA!#REF!,"*SAMPLING*",SurveyDATA!#REF!,"*ISF*",SurveyDATA!$GH:$GH,"*RELOC*",SurveyDATA!$E:$E,"*MANILA*",SurveyDATA!$FQ:$FQ,"*NEED*",SurveyDATA!GY:GY,"")</f>
        <v>#REF!</v>
      </c>
      <c r="E14" s="1215" t="e">
        <f>D14/D15</f>
        <v>#REF!</v>
      </c>
      <c r="F14" s="1191" t="e">
        <f t="shared" si="0"/>
        <v>#REF!</v>
      </c>
      <c r="G14" s="1215" t="e">
        <f>F14/F15</f>
        <v>#REF!</v>
      </c>
    </row>
    <row r="15" spans="1:7">
      <c r="A15" s="1192" t="s">
        <v>4348</v>
      </c>
      <c r="B15" s="1195" t="e">
        <f>SUM(B6:B14)</f>
        <v>#REF!</v>
      </c>
      <c r="C15" s="1216" t="e">
        <f>B15/F15</f>
        <v>#REF!</v>
      </c>
      <c r="D15" s="1195" t="e">
        <f>SUM(D6:D14)</f>
        <v>#REF!</v>
      </c>
      <c r="E15" s="1216" t="e">
        <f>D15/F15</f>
        <v>#REF!</v>
      </c>
      <c r="F15" s="1195" t="e">
        <f>SUM(F6:F14)</f>
        <v>#REF!</v>
      </c>
      <c r="G15" s="1216" t="e">
        <f>SUM(C15,E15)</f>
        <v>#REF!</v>
      </c>
    </row>
    <row r="16" spans="1:7" s="607" customFormat="1">
      <c r="A16" s="1141"/>
      <c r="B16" s="1201"/>
      <c r="C16" s="1221"/>
      <c r="D16" s="1201"/>
      <c r="E16" s="1221"/>
      <c r="F16" s="1201"/>
      <c r="G16" s="1221"/>
    </row>
    <row r="17" spans="1:8" s="607" customFormat="1">
      <c r="A17" s="1141"/>
      <c r="B17" s="1201"/>
      <c r="C17" s="1221"/>
      <c r="D17" s="1201"/>
      <c r="E17" s="1221"/>
      <c r="F17" s="1201"/>
      <c r="G17" s="1221"/>
    </row>
    <row r="18" spans="1:8">
      <c r="A18" s="635" t="s">
        <v>7355</v>
      </c>
    </row>
    <row r="19" spans="1:8" ht="15" customHeight="1">
      <c r="A19" s="643" t="s">
        <v>7214</v>
      </c>
      <c r="B19" s="2013" t="s">
        <v>7356</v>
      </c>
      <c r="C19" s="2014"/>
      <c r="D19" s="2014" t="s">
        <v>1828</v>
      </c>
      <c r="E19" s="2014"/>
      <c r="F19" s="2015" t="s">
        <v>1227</v>
      </c>
      <c r="G19" s="2013"/>
      <c r="H19" s="643" t="s">
        <v>2034</v>
      </c>
    </row>
    <row r="20" spans="1:8">
      <c r="A20" s="644"/>
      <c r="B20" s="1213" t="s">
        <v>7281</v>
      </c>
      <c r="C20" s="1154" t="s">
        <v>5805</v>
      </c>
      <c r="D20" s="1154" t="s">
        <v>7281</v>
      </c>
      <c r="E20" s="1154" t="s">
        <v>5805</v>
      </c>
      <c r="F20" s="1154" t="s">
        <v>7281</v>
      </c>
      <c r="G20" s="1214" t="s">
        <v>5805</v>
      </c>
      <c r="H20" s="644"/>
    </row>
    <row r="21" spans="1:8">
      <c r="A21" s="1196" t="s">
        <v>5848</v>
      </c>
      <c r="B21" s="1191" t="e">
        <f>COUNTIFS(SurveyDATA!#REF!,"*SAMPLING*",SurveyDATA!#REF!,"*ISF*",SurveyDATA!GH:GH,"*RELOC*",SurveyDATA!E:E,"*MALOLOS*",SurveyDATA!FQ:FQ,"*NEED*")</f>
        <v>#REF!</v>
      </c>
      <c r="C21" s="1215" t="e">
        <f>B21/B30</f>
        <v>#REF!</v>
      </c>
      <c r="D21" s="1191" t="e">
        <f>COUNTIFS(SurveyDATA!#REF!,"*SAMPLING*",SurveyDATA!#REF!,"*ISF*",SurveyDATA!GH:GH,"*CASH*",SurveyDATA!E:E,"*MALOLOS*",SurveyDATA!FQ:FQ,"*NEED*")</f>
        <v>#REF!</v>
      </c>
      <c r="E21" s="1215" t="e">
        <f>D21/D30</f>
        <v>#REF!</v>
      </c>
      <c r="F21" s="1191" t="e">
        <f>COUNTIFS(SurveyDATA!#REF!,"*SAMPLING*",SurveyDATA!#REF!,"*ISF*",SurveyDATA!GH:GH,"*BALIK*",SurveyDATA!E:E,"*MALOLOS*",SurveyDATA!FQ:FQ,"*NEED*")</f>
        <v>#REF!</v>
      </c>
      <c r="G21" s="1215" t="e">
        <f>F21/F30</f>
        <v>#REF!</v>
      </c>
      <c r="H21" s="1196" t="e">
        <f t="shared" ref="H21:H29" si="1">SUM(F21,D21,B21)</f>
        <v>#REF!</v>
      </c>
    </row>
    <row r="22" spans="1:8">
      <c r="A22" s="1191" t="s">
        <v>5494</v>
      </c>
      <c r="B22" s="1191" t="e">
        <f>COUNTIFS(SurveyDATA!#REF!,"*SAMPLING*",SurveyDATA!#REF!,"*ISF*",SurveyDATA!GH:GH,"*RELOC*",SurveyDATA!E:E,"*GUIGUINTO*",SurveyDATA!FQ:FQ,"*NEED*")</f>
        <v>#REF!</v>
      </c>
      <c r="C22" s="1215" t="e">
        <f>B22/B30</f>
        <v>#REF!</v>
      </c>
      <c r="D22" s="1191" t="e">
        <f>COUNTIFS(SurveyDATA!#REF!,"*SAMPLING*",SurveyDATA!#REF!,"*ISF*",SurveyDATA!GH:GH,"*CASH*",SurveyDATA!E:E,"*GUIGUINTO*",SurveyDATA!FQ:FQ,"*NEED*")</f>
        <v>#REF!</v>
      </c>
      <c r="E22" s="1215" t="e">
        <f>D22/D30</f>
        <v>#REF!</v>
      </c>
      <c r="F22" s="1191" t="e">
        <f>COUNTIFS(SurveyDATA!#REF!,"*SAMPLING*",SurveyDATA!#REF!,"*ISF*",SurveyDATA!GH:GH,"*BALIK*",SurveyDATA!E:E,"*GUIGUINTO*",SurveyDATA!FQ:FQ,"*NEED*")</f>
        <v>#REF!</v>
      </c>
      <c r="G22" s="1215" t="e">
        <f>F22/F30</f>
        <v>#REF!</v>
      </c>
      <c r="H22" s="1191" t="e">
        <f t="shared" si="1"/>
        <v>#REF!</v>
      </c>
    </row>
    <row r="23" spans="1:8">
      <c r="A23" s="1191" t="s">
        <v>5847</v>
      </c>
      <c r="B23" s="1191" t="e">
        <f>COUNTIFS(SurveyDATA!#REF!,"*SAMPLING*",SurveyDATA!#REF!,"*ISF*",SurveyDATA!GH:GH,"*RELOC*",SurveyDATA!E:E,"*BALAGTAS*",SurveyDATA!FQ:FQ,"*NEED*")</f>
        <v>#REF!</v>
      </c>
      <c r="C23" s="1215" t="e">
        <f>B23/B30</f>
        <v>#REF!</v>
      </c>
      <c r="D23" s="1191" t="e">
        <f>COUNTIFS(SurveyDATA!#REF!,"*SAMPLING*",SurveyDATA!#REF!,"*ISF*",SurveyDATA!GH:GH,"*CASH*",SurveyDATA!E:E,"*BALAGTAS*",SurveyDATA!FQ:FQ,"*NEED*")</f>
        <v>#REF!</v>
      </c>
      <c r="E23" s="1215" t="e">
        <f>D23/D30</f>
        <v>#REF!</v>
      </c>
      <c r="F23" s="1191" t="e">
        <f>COUNTIFS(SurveyDATA!#REF!,"*SAMPLING*",SurveyDATA!#REF!,"*ISF*",SurveyDATA!GH:GH,"*BALIK*",SurveyDATA!E:E,"*BALAGTAS*",SurveyDATA!FQ:FQ,"*NEED*")</f>
        <v>#REF!</v>
      </c>
      <c r="G23" s="1215" t="e">
        <f>F23/F30</f>
        <v>#REF!</v>
      </c>
      <c r="H23" s="1191" t="e">
        <f t="shared" si="1"/>
        <v>#REF!</v>
      </c>
    </row>
    <row r="24" spans="1:8">
      <c r="A24" s="1191" t="s">
        <v>771</v>
      </c>
      <c r="B24" s="1191" t="e">
        <f>COUNTIFS(SurveyDATA!#REF!,"*SAMPLING*",SurveyDATA!#REF!,"*ISF*",SurveyDATA!GH:GH,"*RELOC*",SurveyDATA!E:E,"*BOCAUE*",SurveyDATA!FQ:FQ,"*NEED*")</f>
        <v>#REF!</v>
      </c>
      <c r="C24" s="1215" t="e">
        <f>B24/B30</f>
        <v>#REF!</v>
      </c>
      <c r="D24" s="1191" t="e">
        <f>COUNTIFS(SurveyDATA!#REF!,"*SAMPLING*",SurveyDATA!#REF!,"*ISF*",SurveyDATA!GH:GH,"*CASH*",SurveyDATA!E:E,"*BOCAUE*",SurveyDATA!FQ:FQ,"*NEED*")</f>
        <v>#REF!</v>
      </c>
      <c r="E24" s="1215" t="e">
        <f>D24/D30</f>
        <v>#REF!</v>
      </c>
      <c r="F24" s="1191" t="e">
        <f>COUNTIFS(SurveyDATA!#REF!,"*SAMPLING*",SurveyDATA!#REF!,"*ISF*",SurveyDATA!GH:GH,"*BALIK*",SurveyDATA!E:E,"*BOCAUE*",SurveyDATA!FQ:FQ,"*NEED*")</f>
        <v>#REF!</v>
      </c>
      <c r="G24" s="1215" t="e">
        <f>F24/F30</f>
        <v>#REF!</v>
      </c>
      <c r="H24" s="1191" t="e">
        <f t="shared" si="1"/>
        <v>#REF!</v>
      </c>
    </row>
    <row r="25" spans="1:8">
      <c r="A25" s="1191" t="s">
        <v>5495</v>
      </c>
      <c r="B25" s="1191" t="e">
        <f>COUNTIFS(SurveyDATA!#REF!,"*SAMPLING*",SurveyDATA!#REF!,"*ISF*",SurveyDATA!GH:GH,"*RELOC*",SurveyDATA!E:E,"*MARILAO*",SurveyDATA!FQ:FQ,"*NEED*")</f>
        <v>#REF!</v>
      </c>
      <c r="C25" s="1215" t="e">
        <f>B25/B30</f>
        <v>#REF!</v>
      </c>
      <c r="D25" s="1191" t="e">
        <f>COUNTIFS(SurveyDATA!#REF!,"*SAMPLING*",SurveyDATA!#REF!,"*ISF*",SurveyDATA!GH:GH,"*CASH*",SurveyDATA!E:E,"*MARILAO*",SurveyDATA!FQ:FQ,"*NEED*")</f>
        <v>#REF!</v>
      </c>
      <c r="E25" s="1215" t="e">
        <f>D25/D30</f>
        <v>#REF!</v>
      </c>
      <c r="F25" s="1191" t="e">
        <f>COUNTIFS(SurveyDATA!#REF!,"*SAMPLING*",SurveyDATA!#REF!,"*ISF*",SurveyDATA!GH:GH,"*BALIK*",SurveyDATA!E:E,"*MARILAO*",SurveyDATA!FQ:FQ,"*NEED*")</f>
        <v>#REF!</v>
      </c>
      <c r="G25" s="1215" t="e">
        <f>F25/F30</f>
        <v>#REF!</v>
      </c>
      <c r="H25" s="1191" t="e">
        <f t="shared" si="1"/>
        <v>#REF!</v>
      </c>
    </row>
    <row r="26" spans="1:8">
      <c r="A26" s="1191" t="s">
        <v>5496</v>
      </c>
      <c r="B26" s="1191" t="e">
        <f>COUNTIFS(SurveyDATA!#REF!,"*SAMPLING*",SurveyDATA!#REF!,"*ISF*",SurveyDATA!GH:GH,"*RELOC*",SurveyDATA!E:E,"*MEYCAUAYAN*",SurveyDATA!FQ:FQ,"*NEED*")</f>
        <v>#REF!</v>
      </c>
      <c r="C26" s="1215" t="e">
        <f>B26/B30</f>
        <v>#REF!</v>
      </c>
      <c r="D26" s="1191" t="e">
        <f>COUNTIFS(SurveyDATA!#REF!,"*SAMPLING*",SurveyDATA!#REF!,"*ISF*",SurveyDATA!GH:GH,"*CASH*",SurveyDATA!E:E,"*MEYCAUAYAN*",SurveyDATA!FQ:FQ,"*NEED*")</f>
        <v>#REF!</v>
      </c>
      <c r="E26" s="1215" t="e">
        <f>D26/D30</f>
        <v>#REF!</v>
      </c>
      <c r="F26" s="1191" t="e">
        <f>COUNTIFS(SurveyDATA!#REF!,"*SAMPLING*",SurveyDATA!#REF!,"*ISF*",SurveyDATA!GH:GH,"*BALIK*",SurveyDATA!E:E,"*MEYCAUAYAN*",SurveyDATA!FQ:FQ,"*NEED*")</f>
        <v>#REF!</v>
      </c>
      <c r="G26" s="1215" t="e">
        <f>F26/F30</f>
        <v>#REF!</v>
      </c>
      <c r="H26" s="1191" t="e">
        <f t="shared" si="1"/>
        <v>#REF!</v>
      </c>
    </row>
    <row r="27" spans="1:8">
      <c r="A27" s="1191" t="s">
        <v>778</v>
      </c>
      <c r="B27" s="1191" t="e">
        <f>COUNTIFS(SurveyDATA!#REF!,"*SAMPLING*",SurveyDATA!#REF!,"*ISF*",SurveyDATA!GH:GH,"*RELOC*",SurveyDATA!E:E,"*VALENZUELA*",SurveyDATA!FQ:FQ,"*NEED*")</f>
        <v>#REF!</v>
      </c>
      <c r="C27" s="1215" t="e">
        <f>B27/B30</f>
        <v>#REF!</v>
      </c>
      <c r="D27" s="1191" t="e">
        <f>COUNTIFS(SurveyDATA!#REF!,"*SAMPLING*",SurveyDATA!#REF!,"*ISF*",SurveyDATA!GH:GH,"*CASH*",SurveyDATA!E:E,"*VALENZUELA*",SurveyDATA!FQ:FQ,"*NEED*")</f>
        <v>#REF!</v>
      </c>
      <c r="E27" s="1215" t="e">
        <f>D27/D30</f>
        <v>#REF!</v>
      </c>
      <c r="F27" s="1191" t="e">
        <f>COUNTIFS(SurveyDATA!#REF!,"*SAMPLING*",SurveyDATA!#REF!,"*ISF*",SurveyDATA!GH:GH,"*BALIK*",SurveyDATA!E:E,"*VALENZUELA*",SurveyDATA!FQ:FQ,"*NEED*")</f>
        <v>#REF!</v>
      </c>
      <c r="G27" s="1215" t="e">
        <f>F27/F30</f>
        <v>#REF!</v>
      </c>
      <c r="H27" s="1191" t="e">
        <f t="shared" si="1"/>
        <v>#REF!</v>
      </c>
    </row>
    <row r="28" spans="1:8">
      <c r="A28" s="1191" t="s">
        <v>5493</v>
      </c>
      <c r="B28" s="1191" t="e">
        <f>COUNTIFS(SurveyDATA!#REF!,"*SAMPLING*",SurveyDATA!#REF!,"*ISF*",SurveyDATA!GH:GH,"*RELOC*",SurveyDATA!E:E,"*CALOOCAN*",SurveyDATA!FQ:FQ,"*NEED*")</f>
        <v>#REF!</v>
      </c>
      <c r="C28" s="1215" t="e">
        <f>B28/B30</f>
        <v>#REF!</v>
      </c>
      <c r="D28" s="1191" t="e">
        <f>COUNTIFS(SurveyDATA!#REF!,"*SAMPLING*",SurveyDATA!#REF!,"*ISF*",SurveyDATA!GH:GH,"*CASH*",SurveyDATA!E:E,"*CALOOCAN*",SurveyDATA!FQ:FQ,"*NEED*")</f>
        <v>#REF!</v>
      </c>
      <c r="E28" s="1215" t="e">
        <f>D28/D30</f>
        <v>#REF!</v>
      </c>
      <c r="F28" s="1191" t="e">
        <f>COUNTIFS(SurveyDATA!#REF!,"*SAMPLING*",SurveyDATA!#REF!,"*ISF*",SurveyDATA!GH:GH,"*BALIK*",SurveyDATA!E:E,"*CALOOCAN*",SurveyDATA!FQ:FQ,"*NEED*")</f>
        <v>#REF!</v>
      </c>
      <c r="G28" s="1215" t="e">
        <f>F28/F30</f>
        <v>#REF!</v>
      </c>
      <c r="H28" s="1191" t="e">
        <f t="shared" si="1"/>
        <v>#REF!</v>
      </c>
    </row>
    <row r="29" spans="1:8">
      <c r="A29" s="1191" t="s">
        <v>1020</v>
      </c>
      <c r="B29" s="1191" t="e">
        <f>COUNTIFS(SurveyDATA!#REF!,"*SAMPLING*",SurveyDATA!#REF!,"*ISF*",SurveyDATA!GH:GH,"*RELOC*",SurveyDATA!E:E,"*MANILA*",SurveyDATA!FQ:FQ,"*NEED*")</f>
        <v>#REF!</v>
      </c>
      <c r="C29" s="1215" t="e">
        <f>B29/B30</f>
        <v>#REF!</v>
      </c>
      <c r="D29" s="1191" t="e">
        <f>COUNTIFS(SurveyDATA!#REF!,"*SAMPLING*",SurveyDATA!#REF!,"*ISF*",SurveyDATA!GH:GH,"*CASH*",SurveyDATA!E:E,"*MANILA*",SurveyDATA!FQ:FQ,"*NEED*")</f>
        <v>#REF!</v>
      </c>
      <c r="E29" s="1215" t="e">
        <f>D29/D30</f>
        <v>#REF!</v>
      </c>
      <c r="F29" s="1191" t="e">
        <f>COUNTIFS(SurveyDATA!#REF!,"*SAMPLING*",SurveyDATA!#REF!,"*ISF*",SurveyDATA!GH:GH,"*BALIK*",SurveyDATA!E:E,"*MANILA*",SurveyDATA!FQ:FQ,"*NEED*")</f>
        <v>#REF!</v>
      </c>
      <c r="G29" s="1215" t="e">
        <f>F29/F30</f>
        <v>#REF!</v>
      </c>
      <c r="H29" s="1191" t="e">
        <f t="shared" si="1"/>
        <v>#REF!</v>
      </c>
    </row>
    <row r="30" spans="1:8">
      <c r="A30" s="1192" t="s">
        <v>4348</v>
      </c>
      <c r="B30" s="1195" t="e">
        <f>SUM(B21:B29)</f>
        <v>#REF!</v>
      </c>
      <c r="C30" s="1216" t="e">
        <f>B30/H30</f>
        <v>#REF!</v>
      </c>
      <c r="D30" s="1195" t="e">
        <f>SUM(D21:D29)</f>
        <v>#REF!</v>
      </c>
      <c r="E30" s="1193" t="e">
        <f>D30/H30</f>
        <v>#REF!</v>
      </c>
      <c r="F30" s="1195" t="e">
        <f>SUM(F21:F29)</f>
        <v>#REF!</v>
      </c>
      <c r="G30" s="1193" t="e">
        <f>F30/H30</f>
        <v>#REF!</v>
      </c>
      <c r="H30" s="1195" t="e">
        <f>SUM(H21:H29)</f>
        <v>#REF!</v>
      </c>
    </row>
    <row r="33" spans="1:9">
      <c r="A33" s="635" t="s">
        <v>7361</v>
      </c>
    </row>
    <row r="34" spans="1:9">
      <c r="A34" s="643" t="s">
        <v>7214</v>
      </c>
      <c r="B34" s="2013" t="s">
        <v>7363</v>
      </c>
      <c r="C34" s="2014"/>
      <c r="D34" s="2014" t="s">
        <v>1008</v>
      </c>
      <c r="E34" s="2014"/>
      <c r="F34" s="2015" t="s">
        <v>2407</v>
      </c>
      <c r="G34" s="2013"/>
      <c r="H34" s="2014" t="s">
        <v>4348</v>
      </c>
      <c r="I34" s="2014"/>
    </row>
    <row r="35" spans="1:9" ht="15" customHeight="1">
      <c r="A35" s="644"/>
      <c r="B35" s="1202" t="s">
        <v>7281</v>
      </c>
      <c r="C35" s="1140" t="s">
        <v>5805</v>
      </c>
      <c r="D35" s="1140" t="s">
        <v>7281</v>
      </c>
      <c r="E35" s="1140" t="s">
        <v>5805</v>
      </c>
      <c r="F35" s="1140" t="s">
        <v>7281</v>
      </c>
      <c r="G35" s="1140" t="s">
        <v>5805</v>
      </c>
      <c r="H35" s="1140" t="s">
        <v>7281</v>
      </c>
      <c r="I35" s="1140" t="s">
        <v>5805</v>
      </c>
    </row>
    <row r="36" spans="1:9" ht="15" customHeight="1">
      <c r="A36" s="1196" t="s">
        <v>5848</v>
      </c>
      <c r="B36" s="1191" t="e">
        <f>COUNTIFS(SurveyDATA!#REF!,"*SAMPLING*",SurveyDATA!#REF!,"*ISF*",SurveyDATA!GH:GH,"*RELOC*",SurveyDATA!E:E,"*MALOLOS*",SurveyDATA!GI:GI,"*CITY*",SurveyDATA!FQ:FQ,"*NEED*")</f>
        <v>#REF!</v>
      </c>
      <c r="C36" s="1215" t="e">
        <f>B36/B45</f>
        <v>#REF!</v>
      </c>
      <c r="D36" s="1191" t="e">
        <f>COUNTIFS(SurveyDATA!#REF!,"*SAMPLING*",SurveyDATA!#REF!,"*ISF*",SurveyDATA!GH:GH,"*RELOC*",SurveyDATA!E:E,"*MALOLOS*",SurveyDATA!GI:GI,"*BULACAN*",SurveyDATA!FQ:FQ,"*NEED*")</f>
        <v>#REF!</v>
      </c>
      <c r="E36" s="1215" t="e">
        <f>D36/D45</f>
        <v>#REF!</v>
      </c>
      <c r="F36" s="1191" t="e">
        <f>COUNTIFS(SurveyDATA!#REF!,"*SAMPLING*",SurveyDATA!#REF!,"*ISF*",SurveyDATA!GH:GH,"*RELOC*",SurveyDATA!E:E,"*MALOLOS*",SurveyDATA!GI:GI,"*CAVITE*",SurveyDATA!FQ:FQ,"*NEED*")</f>
        <v>#REF!</v>
      </c>
      <c r="G36" s="1215" t="e">
        <f>F36/F45</f>
        <v>#REF!</v>
      </c>
      <c r="H36" s="1191" t="e">
        <f>SUM(B36,D36,F36)</f>
        <v>#REF!</v>
      </c>
      <c r="I36" s="1215" t="e">
        <f>H36/H45</f>
        <v>#REF!</v>
      </c>
    </row>
    <row r="37" spans="1:9">
      <c r="A37" s="1191" t="s">
        <v>5494</v>
      </c>
      <c r="B37" s="1191" t="e">
        <f>COUNTIFS(SurveyDATA!#REF!,"*SAMPLING*",SurveyDATA!#REF!,"*ISF*",SurveyDATA!GH:GH,"*RELOC*",SurveyDATA!E:E,"*GUIGUINTO*",SurveyDATA!GI:GI,"*CITY*",SurveyDATA!FQ:FQ,"*NEED*")</f>
        <v>#REF!</v>
      </c>
      <c r="C37" s="1215" t="e">
        <f>B37/B45</f>
        <v>#REF!</v>
      </c>
      <c r="D37" s="1191" t="e">
        <f>COUNTIFS(SurveyDATA!#REF!,"*SAMPLING*",SurveyDATA!#REF!,"*ISF*",SurveyDATA!GH:GH,"*RELOC*",SurveyDATA!E:E,"*GUIGUINTO*",SurveyDATA!GI:GI,"*BULACAN*",SurveyDATA!FQ:FQ,"*NEED*")</f>
        <v>#REF!</v>
      </c>
      <c r="E37" s="1215" t="e">
        <f>D37/D45</f>
        <v>#REF!</v>
      </c>
      <c r="F37" s="1191" t="e">
        <f>COUNTIFS(SurveyDATA!#REF!,"*SAMPLING*",SurveyDATA!#REF!,"*ISF*",SurveyDATA!GH:GH,"*RELOC*",SurveyDATA!E:E,"*GUIGUINTO*",SurveyDATA!GI:GI,"*CAVITE*",SurveyDATA!FQ:FQ,"*NEED*")</f>
        <v>#REF!</v>
      </c>
      <c r="G37" s="1215" t="e">
        <f>F37/F45</f>
        <v>#REF!</v>
      </c>
      <c r="H37" s="1191" t="e">
        <f>SUM(B37,D37,F37)</f>
        <v>#REF!</v>
      </c>
      <c r="I37" s="1215" t="e">
        <f>H37/H45</f>
        <v>#REF!</v>
      </c>
    </row>
    <row r="38" spans="1:9">
      <c r="A38" s="1191" t="s">
        <v>5847</v>
      </c>
      <c r="B38" s="1191" t="e">
        <f>COUNTIFS(SurveyDATA!#REF!,"*SAMPLING*",SurveyDATA!#REF!,"*ISF*",SurveyDATA!GH:GH,"*RELOC*",SurveyDATA!E:E,"*BALAGTAS*",SurveyDATA!GI:GI,"*CITY*",SurveyDATA!FQ:FQ,"*NEED*")</f>
        <v>#REF!</v>
      </c>
      <c r="C38" s="1215" t="e">
        <f>B38/B45</f>
        <v>#REF!</v>
      </c>
      <c r="D38" s="1191" t="e">
        <f>COUNTIFS(SurveyDATA!#REF!,"*SAMPLING*",SurveyDATA!#REF!,"*ISF*",SurveyDATA!GH:GH,"*RELOC*",SurveyDATA!E:E,"*BALAGTAS*",SurveyDATA!GI:GI,"*BULACAN*",SurveyDATA!FQ:FQ,"*NEED*")</f>
        <v>#REF!</v>
      </c>
      <c r="E38" s="1215" t="e">
        <f>D38/D45</f>
        <v>#REF!</v>
      </c>
      <c r="F38" s="1191" t="e">
        <f>COUNTIFS(SurveyDATA!#REF!,"*SAMPLING*",SurveyDATA!#REF!,"*ISF*",SurveyDATA!GH:GH,"*RELOC*",SurveyDATA!E:E,"*BALAGTAS*",SurveyDATA!GI:GI,"*CAVITE*",SurveyDATA!FQ:FQ,"*NEED*")</f>
        <v>#REF!</v>
      </c>
      <c r="G38" s="1215" t="e">
        <f>F38/F45</f>
        <v>#REF!</v>
      </c>
      <c r="H38" s="1191" t="e">
        <f t="shared" ref="H38:H44" si="2">SUM(B38,D38,F38)</f>
        <v>#REF!</v>
      </c>
      <c r="I38" s="1215" t="e">
        <f>H38/H45</f>
        <v>#REF!</v>
      </c>
    </row>
    <row r="39" spans="1:9">
      <c r="A39" s="1191" t="s">
        <v>771</v>
      </c>
      <c r="B39" s="1191" t="e">
        <f>COUNTIFS(SurveyDATA!#REF!,"*SAMPLING*",SurveyDATA!#REF!,"*ISF*",SurveyDATA!GH:GH,"*RELOC*",SurveyDATA!E:E,"*BOCAUE*",SurveyDATA!GI:GI,"*CITY*",SurveyDATA!FQ:FQ,"*NEED*")</f>
        <v>#REF!</v>
      </c>
      <c r="C39" s="1215" t="e">
        <f>B39/B45</f>
        <v>#REF!</v>
      </c>
      <c r="D39" s="1191" t="e">
        <f>COUNTIFS(SurveyDATA!#REF!,"*SAMPLING*",SurveyDATA!#REF!,"*ISF*",SurveyDATA!GH:GH,"*RELOC*",SurveyDATA!E:E,"*BOCAUE*",SurveyDATA!GI:GI,"*BULACAN*",SurveyDATA!FQ:FQ,"*NEED*")</f>
        <v>#REF!</v>
      </c>
      <c r="E39" s="1215" t="e">
        <f>D39/D45</f>
        <v>#REF!</v>
      </c>
      <c r="F39" s="1191" t="e">
        <f>COUNTIFS(SurveyDATA!#REF!,"*SAMPLING*",SurveyDATA!#REF!,"*ISF*",SurveyDATA!GH:GH,"*RELOC*",SurveyDATA!E:E,"*BOCAUE*",SurveyDATA!GI:GI,"*CAVITE*",SurveyDATA!FQ:FQ,"*NEED*")</f>
        <v>#REF!</v>
      </c>
      <c r="G39" s="1215" t="e">
        <f>F39/F45</f>
        <v>#REF!</v>
      </c>
      <c r="H39" s="1191" t="e">
        <f t="shared" si="2"/>
        <v>#REF!</v>
      </c>
      <c r="I39" s="1215" t="e">
        <f>H39/H45</f>
        <v>#REF!</v>
      </c>
    </row>
    <row r="40" spans="1:9">
      <c r="A40" s="1191" t="s">
        <v>5495</v>
      </c>
      <c r="B40" s="1191" t="e">
        <f>COUNTIFS(SurveyDATA!#REF!,"*SAMPLING*",SurveyDATA!#REF!,"*ISF*",SurveyDATA!GH:GH,"*RELOC*",SurveyDATA!E:E,"*MARILAO*",SurveyDATA!GI:GI,"*CITY*",SurveyDATA!FQ:FQ,"*NEED*")</f>
        <v>#REF!</v>
      </c>
      <c r="C40" s="1215" t="e">
        <f>B40/B45</f>
        <v>#REF!</v>
      </c>
      <c r="D40" s="1191" t="e">
        <f>COUNTIFS(SurveyDATA!#REF!,"*SAMPLING*",SurveyDATA!#REF!,"*ISF*",SurveyDATA!GH:GH,"*RELOC*",SurveyDATA!E:E,"*MARILAO*",SurveyDATA!GI:GI,"*BULACAN*",SurveyDATA!FQ:FQ,"*NEED*")</f>
        <v>#REF!</v>
      </c>
      <c r="E40" s="1215" t="e">
        <f>D40/D45</f>
        <v>#REF!</v>
      </c>
      <c r="F40" s="1191" t="e">
        <f>COUNTIFS(SurveyDATA!#REF!,"*SAMPLING*",SurveyDATA!#REF!,"*ISF*",SurveyDATA!GH:GH,"*RELOC*",SurveyDATA!E:E,"*MARILAO*",SurveyDATA!GI:GI,"*CAVITE*",SurveyDATA!FQ:FQ,"*NEED*")</f>
        <v>#REF!</v>
      </c>
      <c r="G40" s="1215" t="e">
        <f>F40/F45</f>
        <v>#REF!</v>
      </c>
      <c r="H40" s="1191" t="e">
        <f t="shared" si="2"/>
        <v>#REF!</v>
      </c>
      <c r="I40" s="1215" t="e">
        <f>H40/H45</f>
        <v>#REF!</v>
      </c>
    </row>
    <row r="41" spans="1:9">
      <c r="A41" s="1191" t="s">
        <v>5496</v>
      </c>
      <c r="B41" s="1191" t="e">
        <f>COUNTIFS(SurveyDATA!#REF!,"*SAMPLING*",SurveyDATA!#REF!,"*ISF*",SurveyDATA!GH:GH,"*RELOC*",SurveyDATA!E:E,"*MEYCAUAYAN*",SurveyDATA!GI:GI,"*CITY*",SurveyDATA!FQ:FQ,"*NEED*")</f>
        <v>#REF!</v>
      </c>
      <c r="C41" s="1215" t="e">
        <f>B41/B45</f>
        <v>#REF!</v>
      </c>
      <c r="D41" s="1191" t="e">
        <f>COUNTIFS(SurveyDATA!#REF!,"*SAMPLING*",SurveyDATA!#REF!,"*ISF*",SurveyDATA!GH:GH,"*RELOC*",SurveyDATA!E:E,"*MEYCAUAYAN*",SurveyDATA!GI:GI,"*BULACAN*",SurveyDATA!FQ:FQ,"*NEED*")</f>
        <v>#REF!</v>
      </c>
      <c r="E41" s="1215" t="e">
        <f>D41/D45</f>
        <v>#REF!</v>
      </c>
      <c r="F41" s="1191" t="e">
        <f>COUNTIFS(SurveyDATA!#REF!,"*SAMPLING*",SurveyDATA!#REF!,"*ISF*",SurveyDATA!GH:GH,"*RELOC*",SurveyDATA!E:E,"*MEYCAUAYAN*",SurveyDATA!GI:GI,"*CAVITE*",SurveyDATA!FQ:FQ,"*NEED*")</f>
        <v>#REF!</v>
      </c>
      <c r="G41" s="1215" t="e">
        <f>F41/F45</f>
        <v>#REF!</v>
      </c>
      <c r="H41" s="1191" t="e">
        <f t="shared" si="2"/>
        <v>#REF!</v>
      </c>
      <c r="I41" s="1215" t="e">
        <f>H41/H45</f>
        <v>#REF!</v>
      </c>
    </row>
    <row r="42" spans="1:9">
      <c r="A42" s="1191" t="s">
        <v>778</v>
      </c>
      <c r="B42" s="1191" t="e">
        <f>COUNTIFS(SurveyDATA!#REF!,"*SAMPLING*",SurveyDATA!#REF!,"*ISF*",SurveyDATA!GH:GH,"*RELOC*",SurveyDATA!E:E,"*VALENZUELA*",SurveyDATA!GI:GI,"*CITY*",SurveyDATA!FQ:FQ,"*NEED*")</f>
        <v>#REF!</v>
      </c>
      <c r="C42" s="1215" t="e">
        <f>B42/B45</f>
        <v>#REF!</v>
      </c>
      <c r="D42" s="1191" t="e">
        <f>COUNTIFS(SurveyDATA!#REF!,"*SAMPLING*",SurveyDATA!#REF!,"*ISF*",SurveyDATA!GH:GH,"*RELOC*",SurveyDATA!E:E,"*VALENZUELA*",SurveyDATA!GI:GI,"*BULACAN*",SurveyDATA!FQ:FQ,"*NEED*")</f>
        <v>#REF!</v>
      </c>
      <c r="E42" s="1215" t="e">
        <f>D42/D45</f>
        <v>#REF!</v>
      </c>
      <c r="F42" s="1191" t="e">
        <f>COUNTIFS(SurveyDATA!#REF!,"*SAMPLING*",SurveyDATA!#REF!,"*ISF*",SurveyDATA!GH:GH,"*RELOC*",SurveyDATA!E:E,"*VALENZUELA*",SurveyDATA!GI:GI,"*CAVITE*",SurveyDATA!FQ:FQ,"*NEED*")</f>
        <v>#REF!</v>
      </c>
      <c r="G42" s="1215" t="e">
        <f>F42/F45</f>
        <v>#REF!</v>
      </c>
      <c r="H42" s="1191" t="e">
        <f t="shared" si="2"/>
        <v>#REF!</v>
      </c>
      <c r="I42" s="1215" t="e">
        <f>H42/H45</f>
        <v>#REF!</v>
      </c>
    </row>
    <row r="43" spans="1:9">
      <c r="A43" s="1191" t="s">
        <v>5493</v>
      </c>
      <c r="B43" s="1191" t="e">
        <f>COUNTIFS(SurveyDATA!#REF!,"*SAMPLING*",SurveyDATA!#REF!,"*ISF*",SurveyDATA!GH:GH,"*RELOC*",SurveyDATA!E:E,"*CALOOCAN*",SurveyDATA!GI:GI,"*CITY*",SurveyDATA!FQ:FQ,"*NEED*")</f>
        <v>#REF!</v>
      </c>
      <c r="C43" s="1215" t="e">
        <f>B43/B45</f>
        <v>#REF!</v>
      </c>
      <c r="D43" s="1191" t="e">
        <f>COUNTIFS(SurveyDATA!#REF!,"*SAMPLING*",SurveyDATA!#REF!,"*ISF*",SurveyDATA!GH:GH,"*RELOC*",SurveyDATA!E:E,"*CALOOCAN*",SurveyDATA!GI:GI,"*BULACAN*",SurveyDATA!FQ:FQ,"*NEED*")</f>
        <v>#REF!</v>
      </c>
      <c r="E43" s="1215" t="e">
        <f>D43/D45</f>
        <v>#REF!</v>
      </c>
      <c r="F43" s="1191" t="e">
        <f>COUNTIFS(SurveyDATA!#REF!,"*SAMPLING*",SurveyDATA!#REF!,"*ISF*",SurveyDATA!GH:GH,"*RELOC*",SurveyDATA!E:E,"*CALOOCAN*",SurveyDATA!GI:GI,"*CAVITE*",SurveyDATA!FQ:FQ,"*NEED*")</f>
        <v>#REF!</v>
      </c>
      <c r="G43" s="1215" t="e">
        <f>F43/F45</f>
        <v>#REF!</v>
      </c>
      <c r="H43" s="1191" t="e">
        <f t="shared" si="2"/>
        <v>#REF!</v>
      </c>
      <c r="I43" s="1215" t="e">
        <f>H43/H45</f>
        <v>#REF!</v>
      </c>
    </row>
    <row r="44" spans="1:9">
      <c r="A44" s="1191" t="s">
        <v>1020</v>
      </c>
      <c r="B44" s="1191" t="e">
        <f>COUNTIFS(SurveyDATA!#REF!,"*SAMPLING*",SurveyDATA!#REF!,"*ISF*",SurveyDATA!GH:GH,"*RELOC*",SurveyDATA!E:E,"*MANILA*",SurveyDATA!GI:GI,"*CITY*",SurveyDATA!FQ:FQ,"*NEED*")</f>
        <v>#REF!</v>
      </c>
      <c r="C44" s="1215" t="e">
        <f>B44/B45</f>
        <v>#REF!</v>
      </c>
      <c r="D44" s="1191" t="e">
        <f>COUNTIFS(SurveyDATA!#REF!,"*SAMPLING*",SurveyDATA!#REF!,"*ISF*",SurveyDATA!GH:GH,"*RELOC*",SurveyDATA!E:E,"*MANILA*",SurveyDATA!GI:GI,"*BULACAN*",SurveyDATA!FQ:FQ,"*NEED*")</f>
        <v>#REF!</v>
      </c>
      <c r="E44" s="1215" t="e">
        <f>D44/D45</f>
        <v>#REF!</v>
      </c>
      <c r="F44" s="1191" t="e">
        <f>COUNTIFS(SurveyDATA!#REF!,"*SAMPLING*",SurveyDATA!#REF!,"*ISF*",SurveyDATA!GH:GH,"*RELOC*",SurveyDATA!E:E,"*MANILA*",SurveyDATA!GI:GI,"*CAVITE*",SurveyDATA!FQ:FQ,"*NEED*")</f>
        <v>#REF!</v>
      </c>
      <c r="G44" s="1215" t="e">
        <f>F44/F45</f>
        <v>#REF!</v>
      </c>
      <c r="H44" s="1191" t="e">
        <f t="shared" si="2"/>
        <v>#REF!</v>
      </c>
      <c r="I44" s="1215" t="e">
        <f>H44/H45</f>
        <v>#REF!</v>
      </c>
    </row>
    <row r="45" spans="1:9">
      <c r="A45" s="1192" t="s">
        <v>4348</v>
      </c>
      <c r="B45" s="1195" t="e">
        <f>SUM(B36:B44)</f>
        <v>#REF!</v>
      </c>
      <c r="C45" s="1216" t="e">
        <f>B45/H45</f>
        <v>#REF!</v>
      </c>
      <c r="D45" s="1195" t="e">
        <f>SUM(D36:D44)</f>
        <v>#REF!</v>
      </c>
      <c r="E45" s="1216" t="e">
        <f>D45/H45</f>
        <v>#REF!</v>
      </c>
      <c r="F45" s="1195" t="e">
        <f>SUM(F36:F44)</f>
        <v>#REF!</v>
      </c>
      <c r="G45" s="1216" t="e">
        <f>F45/H45</f>
        <v>#REF!</v>
      </c>
      <c r="H45" s="1195" t="e">
        <f>SUM(H36:H44)</f>
        <v>#REF!</v>
      </c>
      <c r="I45" s="1193" t="e">
        <f>SUM(C45,E45,G45)</f>
        <v>#REF!</v>
      </c>
    </row>
    <row r="48" spans="1:9">
      <c r="A48" s="635" t="s">
        <v>7365</v>
      </c>
    </row>
    <row r="49" spans="1:9">
      <c r="A49" s="1155"/>
      <c r="B49" s="1155" t="s">
        <v>7369</v>
      </c>
      <c r="C49" s="1155" t="s">
        <v>7369</v>
      </c>
      <c r="D49" s="1155" t="s">
        <v>7373</v>
      </c>
      <c r="E49" s="1155" t="s">
        <v>7375</v>
      </c>
      <c r="F49" s="1155" t="s">
        <v>7373</v>
      </c>
      <c r="G49" s="1155" t="s">
        <v>7380</v>
      </c>
      <c r="H49" s="1155"/>
      <c r="I49" s="1156"/>
    </row>
    <row r="50" spans="1:9">
      <c r="A50" s="1157"/>
      <c r="B50" s="1158" t="s">
        <v>7366</v>
      </c>
      <c r="C50" s="1157" t="s">
        <v>7368</v>
      </c>
      <c r="D50" s="1157" t="s">
        <v>7370</v>
      </c>
      <c r="E50" s="1157" t="s">
        <v>7376</v>
      </c>
      <c r="F50" s="1157" t="s">
        <v>7377</v>
      </c>
      <c r="G50" s="1157" t="s">
        <v>7381</v>
      </c>
      <c r="H50" s="1155" t="s">
        <v>12560</v>
      </c>
      <c r="I50" s="1159"/>
    </row>
    <row r="51" spans="1:9">
      <c r="A51" s="1157" t="s">
        <v>7214</v>
      </c>
      <c r="B51" s="1158" t="s">
        <v>7367</v>
      </c>
      <c r="C51" s="1157" t="s">
        <v>7379</v>
      </c>
      <c r="D51" s="1157" t="s">
        <v>7371</v>
      </c>
      <c r="E51" s="1157" t="s">
        <v>7374</v>
      </c>
      <c r="F51" s="1157" t="s">
        <v>7378</v>
      </c>
      <c r="G51" s="1157" t="s">
        <v>7382</v>
      </c>
      <c r="H51" s="1157" t="s">
        <v>12561</v>
      </c>
      <c r="I51" s="1159" t="s">
        <v>2034</v>
      </c>
    </row>
    <row r="52" spans="1:9">
      <c r="A52" s="1160"/>
      <c r="B52" s="1160"/>
      <c r="C52" s="1160" t="s">
        <v>1419</v>
      </c>
      <c r="D52" s="1160" t="s">
        <v>7372</v>
      </c>
      <c r="E52" s="1160"/>
      <c r="F52" s="1160" t="s">
        <v>2139</v>
      </c>
      <c r="G52" s="1160"/>
      <c r="H52" s="1160"/>
      <c r="I52" s="1161"/>
    </row>
    <row r="53" spans="1:9">
      <c r="A53" s="1196" t="s">
        <v>5848</v>
      </c>
      <c r="B53" s="1196" t="e">
        <f>COUNTIFS(SurveyDATA!#REF!,"*SAMPLING*",SurveyDATA!#REF!,"*ISF*",SurveyDATA!$GH:$GH,"*RELOC*",SurveyDATA!$E:$E,"*MALOLOS*",SurveyDATA!$FQ:$FQ,"*NEED*",SurveyDATA!GP:GP,"x")</f>
        <v>#REF!</v>
      </c>
      <c r="C53" s="1196" t="e">
        <f>COUNTIFS(SurveyDATA!#REF!,"*SAMPLING*",SurveyDATA!#REF!,"*ISF*",SurveyDATA!$GH:$GH,"*RELOC*",SurveyDATA!$E:$E,"*MALOLOS*",SurveyDATA!$FQ:$FQ,"*NEED*",SurveyDATA!GQ:GQ,"x")</f>
        <v>#REF!</v>
      </c>
      <c r="D53" s="1196" t="e">
        <f>COUNTIFS(SurveyDATA!#REF!,"*SAMPLING*",SurveyDATA!#REF!,"*ISF*",SurveyDATA!$GH:$GH,"*RELOC*",SurveyDATA!$E:$E,"*MALOLOS*",SurveyDATA!$FQ:$FQ,"*NEED*",SurveyDATA!GR:GR,"x")</f>
        <v>#REF!</v>
      </c>
      <c r="E53" s="1196" t="e">
        <f>COUNTIFS(SurveyDATA!#REF!,"*SAMPLING*",SurveyDATA!#REF!,"*ISF*",SurveyDATA!$GH:$GH,"*RELOC*",SurveyDATA!$E:$E,"*MALOLOS*",SurveyDATA!$FQ:$FQ,"*NEED*",SurveyDATA!GS:GS,"x")</f>
        <v>#REF!</v>
      </c>
      <c r="F53" s="1196" t="e">
        <f>COUNTIFS(SurveyDATA!#REF!,"*SAMPLING*",SurveyDATA!#REF!,"*ISF*",SurveyDATA!$GH:$GH,"*RELOC*",SurveyDATA!$E:$E,"*MALOLOS*",SurveyDATA!$FQ:$FQ,"*NEED*",SurveyDATA!GT:GT,"x")</f>
        <v>#REF!</v>
      </c>
      <c r="G53" s="1196" t="e">
        <f>COUNTIFS(SurveyDATA!#REF!,"*SAMPLING*",SurveyDATA!#REF!,"*ISF*",SurveyDATA!$GH:$GH,"*RELOC*",SurveyDATA!$E:$E,"*MALOLOS*",SurveyDATA!$FQ:$FQ,"*NEED*",SurveyDATA!GU:GU,"x")</f>
        <v>#REF!</v>
      </c>
      <c r="H53" s="1196" t="e">
        <f>COUNTIFS(SurveyDATA!#REF!,"*SAMPLING*",SurveyDATA!#REF!,"*ISF*",SurveyDATA!$GH:$GH,"*RELOC*",SurveyDATA!$E:$E,"*MALOLOS*",SurveyDATA!$FQ:$FQ,"*NEED*",SurveyDATA!GV:GV,"*")</f>
        <v>#REF!</v>
      </c>
      <c r="I53" s="1196" t="e">
        <f>SUM(B53:H53)</f>
        <v>#REF!</v>
      </c>
    </row>
    <row r="54" spans="1:9">
      <c r="A54" s="1191" t="s">
        <v>5494</v>
      </c>
      <c r="B54" s="1196" t="e">
        <f>COUNTIFS(SurveyDATA!#REF!,"*SAMPLING*",SurveyDATA!#REF!,"*ISF*",SurveyDATA!$GH:$GH,"*RELOC*",SurveyDATA!$E:$E,"*GUIGUINTO*",SurveyDATA!$FQ:$FQ,"*NEED*",SurveyDATA!GP:GP,"x")</f>
        <v>#REF!</v>
      </c>
      <c r="C54" s="1196" t="e">
        <f>COUNTIFS(SurveyDATA!#REF!,"*SAMPLING*",SurveyDATA!#REF!,"*ISF*",SurveyDATA!$GH:$GH,"*RELOC*",SurveyDATA!$E:$E,"*GUIGUINTO*",SurveyDATA!$FQ:$FQ,"*NEED*",SurveyDATA!GQ:GQ,"x")</f>
        <v>#REF!</v>
      </c>
      <c r="D54" s="1196" t="e">
        <f>COUNTIFS(SurveyDATA!#REF!,"*SAMPLING*",SurveyDATA!#REF!,"*ISF*",SurveyDATA!$GH:$GH,"*RELOC*",SurveyDATA!$E:$E,"*GUIGUINTO*",SurveyDATA!$FQ:$FQ,"*NEED*",SurveyDATA!GR:GR,"x")</f>
        <v>#REF!</v>
      </c>
      <c r="E54" s="1196" t="e">
        <f>COUNTIFS(SurveyDATA!#REF!,"*SAMPLING*",SurveyDATA!#REF!,"*ISF*",SurveyDATA!$GH:$GH,"*RELOC*",SurveyDATA!$E:$E,"*GUIGUINTO*",SurveyDATA!$FQ:$FQ,"*NEED*",SurveyDATA!GS:GS,"x")</f>
        <v>#REF!</v>
      </c>
      <c r="F54" s="1196" t="e">
        <f>COUNTIFS(SurveyDATA!#REF!,"*SAMPLING*",SurveyDATA!#REF!,"*ISF*",SurveyDATA!$GH:$GH,"*RELOC*",SurveyDATA!$E:$E,"*GUIGUINTO*",SurveyDATA!$FQ:$FQ,"*NEED*",SurveyDATA!GT:GT,"x")</f>
        <v>#REF!</v>
      </c>
      <c r="G54" s="1196" t="e">
        <f>COUNTIFS(SurveyDATA!#REF!,"*SAMPLING*",SurveyDATA!#REF!,"*ISF*",SurveyDATA!$GH:$GH,"*RELOC*",SurveyDATA!$E:$E,"*GUIGUINTO*",SurveyDATA!$FQ:$FQ,"*NEED*",SurveyDATA!GU:GU,"x")</f>
        <v>#REF!</v>
      </c>
      <c r="H54" s="1196" t="e">
        <f>COUNTIFS(SurveyDATA!#REF!,"*SAMPLING*",SurveyDATA!#REF!,"*ISF*",SurveyDATA!$GH:$GH,"*RELOC*",SurveyDATA!$E:$E,"*GUIGUINTO*",SurveyDATA!$FQ:$FQ,"*NEED*",SurveyDATA!GV:GV,"*")</f>
        <v>#REF!</v>
      </c>
      <c r="I54" s="1196" t="e">
        <f t="shared" ref="I54:I61" si="3">SUM(B54:H54)</f>
        <v>#REF!</v>
      </c>
    </row>
    <row r="55" spans="1:9">
      <c r="A55" s="1191" t="s">
        <v>5847</v>
      </c>
      <c r="B55" s="1196" t="e">
        <f>COUNTIFS(SurveyDATA!#REF!,"*SAMPLING*",SurveyDATA!#REF!,"*ISF*",SurveyDATA!$GH:$GH,"*RELOC*",SurveyDATA!$E:$E,"*BALAGTAS*",SurveyDATA!$FQ:$FQ,"*NEED*",SurveyDATA!GP:GP,"x")</f>
        <v>#REF!</v>
      </c>
      <c r="C55" s="1196" t="e">
        <f>COUNTIFS(SurveyDATA!#REF!,"*SAMPLING*",SurveyDATA!#REF!,"*ISF*",SurveyDATA!$GH:$GH,"*RELOC*",SurveyDATA!$E:$E,"*BALAGTAS*",SurveyDATA!$FQ:$FQ,"*NEED*",SurveyDATA!GQ:GQ,"x")</f>
        <v>#REF!</v>
      </c>
      <c r="D55" s="1196" t="e">
        <f>COUNTIFS(SurveyDATA!#REF!,"*SAMPLING*",SurveyDATA!#REF!,"*ISF*",SurveyDATA!$GH:$GH,"*RELOC*",SurveyDATA!$E:$E,"*BALAGTAS*",SurveyDATA!$FQ:$FQ,"*NEED*",SurveyDATA!GR:GR,"x")</f>
        <v>#REF!</v>
      </c>
      <c r="E55" s="1196" t="e">
        <f>COUNTIFS(SurveyDATA!#REF!,"*SAMPLING*",SurveyDATA!#REF!,"*ISF*",SurveyDATA!$GH:$GH,"*RELOC*",SurveyDATA!$E:$E,"*BALAGTAS*",SurveyDATA!$FQ:$FQ,"*NEED*",SurveyDATA!GS:GS,"x")</f>
        <v>#REF!</v>
      </c>
      <c r="F55" s="1196" t="e">
        <f>COUNTIFS(SurveyDATA!#REF!,"*SAMPLING*",SurveyDATA!#REF!,"*ISF*",SurveyDATA!$GH:$GH,"*RELOC*",SurveyDATA!$E:$E,"*BALAGTAS*",SurveyDATA!$FQ:$FQ,"*NEED*",SurveyDATA!GT:GT,"x")</f>
        <v>#REF!</v>
      </c>
      <c r="G55" s="1196" t="e">
        <f>COUNTIFS(SurveyDATA!#REF!,"*SAMPLING*",SurveyDATA!#REF!,"*ISF*",SurveyDATA!$GH:$GH,"*RELOC*",SurveyDATA!$E:$E,"*BALAGTAS*",SurveyDATA!$FQ:$FQ,"*NEED*",SurveyDATA!GU:GU,"x")</f>
        <v>#REF!</v>
      </c>
      <c r="H55" s="1196" t="e">
        <f>COUNTIFS(SurveyDATA!#REF!,"*SAMPLING*",SurveyDATA!#REF!,"*ISF*",SurveyDATA!$GH:$GH,"*RELOC*",SurveyDATA!$E:$E,"*BALAGTAS*",SurveyDATA!$FQ:$FQ,"*NEED*",SurveyDATA!GV:GV,"*")</f>
        <v>#REF!</v>
      </c>
      <c r="I55" s="1196" t="e">
        <f t="shared" si="3"/>
        <v>#REF!</v>
      </c>
    </row>
    <row r="56" spans="1:9">
      <c r="A56" s="1191" t="s">
        <v>771</v>
      </c>
      <c r="B56" s="1196" t="e">
        <f>COUNTIFS(SurveyDATA!#REF!,"*SAMPLING*",SurveyDATA!#REF!,"*ISF*",SurveyDATA!$GH:$GH,"*RELOC*",SurveyDATA!$E:$E,"*BOCAUE*",SurveyDATA!$FQ:$FQ,"*NEED*",SurveyDATA!GP:GP,"x")</f>
        <v>#REF!</v>
      </c>
      <c r="C56" s="1196" t="e">
        <f>COUNTIFS(SurveyDATA!#REF!,"*SAMPLING*",SurveyDATA!#REF!,"*ISF*",SurveyDATA!$GH:$GH,"*RELOC*",SurveyDATA!$E:$E,"*BOCAUE*",SurveyDATA!$FQ:$FQ,"*NEED*",SurveyDATA!GQ:GQ,"x")</f>
        <v>#REF!</v>
      </c>
      <c r="D56" s="1196" t="e">
        <f>COUNTIFS(SurveyDATA!#REF!,"*SAMPLING*",SurveyDATA!#REF!,"*ISF*",SurveyDATA!$GH:$GH,"*RELOC*",SurveyDATA!$E:$E,"*BOCAUE*",SurveyDATA!$FQ:$FQ,"*NEED*",SurveyDATA!GR:GR,"x")</f>
        <v>#REF!</v>
      </c>
      <c r="E56" s="1196" t="e">
        <f>COUNTIFS(SurveyDATA!#REF!,"*SAMPLING*",SurveyDATA!#REF!,"*ISF*",SurveyDATA!$GH:$GH,"*RELOC*",SurveyDATA!$E:$E,"*BOCAUE*",SurveyDATA!$FQ:$FQ,"*NEED*",SurveyDATA!GS:GS,"x")</f>
        <v>#REF!</v>
      </c>
      <c r="F56" s="1196" t="e">
        <f>COUNTIFS(SurveyDATA!#REF!,"*SAMPLING*",SurveyDATA!#REF!,"*ISF*",SurveyDATA!$GH:$GH,"*RELOC*",SurveyDATA!$E:$E,"*BOCAUE*",SurveyDATA!$FQ:$FQ,"*NEED*",SurveyDATA!GT:GT,"x")</f>
        <v>#REF!</v>
      </c>
      <c r="G56" s="1196" t="e">
        <f>COUNTIFS(SurveyDATA!#REF!,"*SAMPLING*",SurveyDATA!#REF!,"*ISF*",SurveyDATA!$GH:$GH,"*RELOC*",SurveyDATA!$E:$E,"*BOCAUE*",SurveyDATA!$FQ:$FQ,"*NEED*",SurveyDATA!GU:GU,"x")</f>
        <v>#REF!</v>
      </c>
      <c r="H56" s="1196" t="e">
        <f>COUNTIFS(SurveyDATA!#REF!,"*SAMPLING*",SurveyDATA!#REF!,"*ISF*",SurveyDATA!$GH:$GH,"*RELOC*",SurveyDATA!$E:$E,"*BOCAUE*",SurveyDATA!$FQ:$FQ,"*NEED*",SurveyDATA!GV:GV,"*")</f>
        <v>#REF!</v>
      </c>
      <c r="I56" s="1196" t="e">
        <f t="shared" si="3"/>
        <v>#REF!</v>
      </c>
    </row>
    <row r="57" spans="1:9">
      <c r="A57" s="1191" t="s">
        <v>5495</v>
      </c>
      <c r="B57" s="1196" t="e">
        <f>COUNTIFS(SurveyDATA!#REF!,"*SAMPLING*",SurveyDATA!#REF!,"*ISF*",SurveyDATA!$GH:$GH,"*RELOC*",SurveyDATA!$E:$E,"*MARILAO*",SurveyDATA!$FQ:$FQ,"*NEED*",SurveyDATA!GP:GP,"x")</f>
        <v>#REF!</v>
      </c>
      <c r="C57" s="1196" t="e">
        <f>COUNTIFS(SurveyDATA!#REF!,"*SAMPLING*",SurveyDATA!#REF!,"*ISF*",SurveyDATA!$GH:$GH,"*RELOC*",SurveyDATA!$E:$E,"*MARILAO*",SurveyDATA!$FQ:$FQ,"*NEED*",SurveyDATA!GQ:GQ,"x")</f>
        <v>#REF!</v>
      </c>
      <c r="D57" s="1196" t="e">
        <f>COUNTIFS(SurveyDATA!#REF!,"*SAMPLING*",SurveyDATA!#REF!,"*ISF*",SurveyDATA!$GH:$GH,"*RELOC*",SurveyDATA!$E:$E,"*MARILAO*",SurveyDATA!$FQ:$FQ,"*NEED*",SurveyDATA!GR:GR,"x")</f>
        <v>#REF!</v>
      </c>
      <c r="E57" s="1196" t="e">
        <f>COUNTIFS(SurveyDATA!#REF!,"*SAMPLING*",SurveyDATA!#REF!,"*ISF*",SurveyDATA!$GH:$GH,"*RELOC*",SurveyDATA!$E:$E,"*MARILAO*",SurveyDATA!$FQ:$FQ,"*NEED*",SurveyDATA!GS:GS,"x")</f>
        <v>#REF!</v>
      </c>
      <c r="F57" s="1196" t="e">
        <f>COUNTIFS(SurveyDATA!#REF!,"*SAMPLING*",SurveyDATA!#REF!,"*ISF*",SurveyDATA!$GH:$GH,"*RELOC*",SurveyDATA!$E:$E,"*MARILAO*",SurveyDATA!$FQ:$FQ,"*NEED*",SurveyDATA!GT:GT,"x")</f>
        <v>#REF!</v>
      </c>
      <c r="G57" s="1196" t="e">
        <f>COUNTIFS(SurveyDATA!#REF!,"*SAMPLING*",SurveyDATA!#REF!,"*ISF*",SurveyDATA!$GH:$GH,"*RELOC*",SurveyDATA!$E:$E,"*MARILAO*",SurveyDATA!$FQ:$FQ,"*NEED*",SurveyDATA!GU:GU,"x")</f>
        <v>#REF!</v>
      </c>
      <c r="H57" s="1196" t="e">
        <f>COUNTIFS(SurveyDATA!#REF!,"*SAMPLING*",SurveyDATA!#REF!,"*ISF*",SurveyDATA!$GH:$GH,"*RELOC*",SurveyDATA!$E:$E,"*MARILAO*",SurveyDATA!$FQ:$FQ,"*NEED*",SurveyDATA!GV:GV,"*")</f>
        <v>#REF!</v>
      </c>
      <c r="I57" s="1196" t="e">
        <f t="shared" si="3"/>
        <v>#REF!</v>
      </c>
    </row>
    <row r="58" spans="1:9">
      <c r="A58" s="1191" t="s">
        <v>5496</v>
      </c>
      <c r="B58" s="1196" t="e">
        <f>COUNTIFS(SurveyDATA!#REF!,"*SAMPLING*",SurveyDATA!#REF!,"*ISF*",SurveyDATA!$GH:$GH,"*RELOC*",SurveyDATA!$E:$E,"*MEYCAUAYAN*",SurveyDATA!$FQ:$FQ,"*NEED*",SurveyDATA!GP:GP,"x")</f>
        <v>#REF!</v>
      </c>
      <c r="C58" s="1196" t="e">
        <f>COUNTIFS(SurveyDATA!#REF!,"*SAMPLING*",SurveyDATA!#REF!,"*ISF*",SurveyDATA!$GH:$GH,"*RELOC*",SurveyDATA!$E:$E,"*MEYCAUAYAN*",SurveyDATA!$FQ:$FQ,"*NEED*",SurveyDATA!GQ:GQ,"x")</f>
        <v>#REF!</v>
      </c>
      <c r="D58" s="1196" t="e">
        <f>COUNTIFS(SurveyDATA!#REF!,"*SAMPLING*",SurveyDATA!#REF!,"*ISF*",SurveyDATA!$GH:$GH,"*RELOC*",SurveyDATA!$E:$E,"*MEYCAUAYAN*",SurveyDATA!$FQ:$FQ,"*NEED*",SurveyDATA!GR:GR,"x")</f>
        <v>#REF!</v>
      </c>
      <c r="E58" s="1196" t="e">
        <f>COUNTIFS(SurveyDATA!#REF!,"*SAMPLING*",SurveyDATA!#REF!,"*ISF*",SurveyDATA!$GH:$GH,"*RELOC*",SurveyDATA!$E:$E,"*MEYCAUAYAN*",SurveyDATA!$FQ:$FQ,"*NEED*",SurveyDATA!GS:GS,"x")</f>
        <v>#REF!</v>
      </c>
      <c r="F58" s="1196" t="e">
        <f>COUNTIFS(SurveyDATA!#REF!,"*SAMPLING*",SurveyDATA!#REF!,"*ISF*",SurveyDATA!$GH:$GH,"*RELOC*",SurveyDATA!$E:$E,"*MEYCAUAYAN*",SurveyDATA!$FQ:$FQ,"*NEED*",SurveyDATA!GT:GT,"x")</f>
        <v>#REF!</v>
      </c>
      <c r="G58" s="1196" t="e">
        <f>COUNTIFS(SurveyDATA!#REF!,"*SAMPLING*",SurveyDATA!#REF!,"*ISF*",SurveyDATA!$GH:$GH,"*RELOC*",SurveyDATA!$E:$E,"*MEYCAUAYAN*",SurveyDATA!$FQ:$FQ,"*NEED*",SurveyDATA!GU:GU,"x")</f>
        <v>#REF!</v>
      </c>
      <c r="H58" s="1196" t="e">
        <f>COUNTIFS(SurveyDATA!#REF!,"*SAMPLING*",SurveyDATA!#REF!,"*ISF*",SurveyDATA!$GH:$GH,"*RELOC*",SurveyDATA!$E:$E,"*MEYCAUAYAN*",SurveyDATA!$FQ:$FQ,"*NEED*",SurveyDATA!GV:GV,"*")</f>
        <v>#REF!</v>
      </c>
      <c r="I58" s="1196" t="e">
        <f t="shared" si="3"/>
        <v>#REF!</v>
      </c>
    </row>
    <row r="59" spans="1:9">
      <c r="A59" s="1191" t="s">
        <v>778</v>
      </c>
      <c r="B59" s="1196" t="e">
        <f>COUNTIFS(SurveyDATA!#REF!,"*SAMPLING*",SurveyDATA!#REF!,"*ISF*",SurveyDATA!$GH:$GH,"*RELOC*",SurveyDATA!$E:$E,"*VALENZUELA*",SurveyDATA!$FQ:$FQ,"*NEED*",SurveyDATA!GP:GP,"x")</f>
        <v>#REF!</v>
      </c>
      <c r="C59" s="1196" t="e">
        <f>COUNTIFS(SurveyDATA!#REF!,"*SAMPLING*",SurveyDATA!#REF!,"*ISF*",SurveyDATA!$GH:$GH,"*RELOC*",SurveyDATA!$E:$E,"*VALENZUELA*",SurveyDATA!$FQ:$FQ,"*NEED*",SurveyDATA!GQ:GQ,"x")</f>
        <v>#REF!</v>
      </c>
      <c r="D59" s="1196" t="e">
        <f>COUNTIFS(SurveyDATA!#REF!,"*SAMPLING*",SurveyDATA!#REF!,"*ISF*",SurveyDATA!$GH:$GH,"*RELOC*",SurveyDATA!$E:$E,"*VALENZUELA*",SurveyDATA!$FQ:$FQ,"*NEED*",SurveyDATA!GR:GR,"x")</f>
        <v>#REF!</v>
      </c>
      <c r="E59" s="1196" t="e">
        <f>COUNTIFS(SurveyDATA!#REF!,"*SAMPLING*",SurveyDATA!#REF!,"*ISF*",SurveyDATA!$GH:$GH,"*RELOC*",SurveyDATA!$E:$E,"*VALENZUELA*",SurveyDATA!$FQ:$FQ,"*NEED*",SurveyDATA!GS:GS,"x")</f>
        <v>#REF!</v>
      </c>
      <c r="F59" s="1196" t="e">
        <f>COUNTIFS(SurveyDATA!#REF!,"*SAMPLING*",SurveyDATA!#REF!,"*ISF*",SurveyDATA!$GH:$GH,"*RELOC*",SurveyDATA!$E:$E,"*VALENZUELA*",SurveyDATA!$FQ:$FQ,"*NEED*",SurveyDATA!GT:GT,"x")</f>
        <v>#REF!</v>
      </c>
      <c r="G59" s="1196" t="e">
        <f>COUNTIFS(SurveyDATA!#REF!,"*SAMPLING*",SurveyDATA!#REF!,"*ISF*",SurveyDATA!$GH:$GH,"*RELOC*",SurveyDATA!$E:$E,"*VALENZUELA*",SurveyDATA!$FQ:$FQ,"*NEED*",SurveyDATA!GU:GU,"x")</f>
        <v>#REF!</v>
      </c>
      <c r="H59" s="1196" t="e">
        <f>COUNTIFS(SurveyDATA!#REF!,"*SAMPLING*",SurveyDATA!#REF!,"*ISF*",SurveyDATA!$GH:$GH,"*RELOC*",SurveyDATA!$E:$E,"*VALENZUELA*",SurveyDATA!$FQ:$FQ,"*NEED*",SurveyDATA!GV:GV,"*")</f>
        <v>#REF!</v>
      </c>
      <c r="I59" s="1196" t="e">
        <f t="shared" si="3"/>
        <v>#REF!</v>
      </c>
    </row>
    <row r="60" spans="1:9">
      <c r="A60" s="1191" t="s">
        <v>5493</v>
      </c>
      <c r="B60" s="1196" t="e">
        <f>COUNTIFS(SurveyDATA!#REF!,"*SAMPLING*",SurveyDATA!#REF!,"*ISF*",SurveyDATA!$GH:$GH,"*RELOC*",SurveyDATA!$E:$E,"*CALOOCAN*",SurveyDATA!$FQ:$FQ,"*NEED*",SurveyDATA!GP:GP,"x")</f>
        <v>#REF!</v>
      </c>
      <c r="C60" s="1196" t="e">
        <f>COUNTIFS(SurveyDATA!#REF!,"*SAMPLING*",SurveyDATA!#REF!,"*ISF*",SurveyDATA!$GH:$GH,"*RELOC*",SurveyDATA!$E:$E,"*CALOOCAN*",SurveyDATA!$FQ:$FQ,"*NEED*",SurveyDATA!GQ:GQ,"x")</f>
        <v>#REF!</v>
      </c>
      <c r="D60" s="1196" t="e">
        <f>COUNTIFS(SurveyDATA!#REF!,"*SAMPLING*",SurveyDATA!#REF!,"*ISF*",SurveyDATA!$GH:$GH,"*RELOC*",SurveyDATA!$E:$E,"*CALOOCAN*",SurveyDATA!$FQ:$FQ,"*NEED*",SurveyDATA!GR:GR,"x")</f>
        <v>#REF!</v>
      </c>
      <c r="E60" s="1196" t="e">
        <f>COUNTIFS(SurveyDATA!#REF!,"*SAMPLING*",SurveyDATA!#REF!,"*ISF*",SurveyDATA!$GH:$GH,"*RELOC*",SurveyDATA!$E:$E,"*CALOOCAN*",SurveyDATA!$FQ:$FQ,"*NEED*",SurveyDATA!GS:GS,"x")</f>
        <v>#REF!</v>
      </c>
      <c r="F60" s="1196" t="e">
        <f>COUNTIFS(SurveyDATA!#REF!,"*SAMPLING*",SurveyDATA!#REF!,"*ISF*",SurveyDATA!$GH:$GH,"*RELOC*",SurveyDATA!$E:$E,"*CALOOCAN*",SurveyDATA!$FQ:$FQ,"*NEED*",SurveyDATA!GT:GT,"x")</f>
        <v>#REF!</v>
      </c>
      <c r="G60" s="1196" t="e">
        <f>COUNTIFS(SurveyDATA!#REF!,"*SAMPLING*",SurveyDATA!#REF!,"*ISF*",SurveyDATA!$GH:$GH,"*RELOC*",SurveyDATA!$E:$E,"*CALOOCAN*",SurveyDATA!$FQ:$FQ,"*NEED*",SurveyDATA!GU:GU,"x")</f>
        <v>#REF!</v>
      </c>
      <c r="H60" s="1196" t="e">
        <f>COUNTIFS(SurveyDATA!#REF!,"*SAMPLING*",SurveyDATA!#REF!,"*ISF*",SurveyDATA!$GH:$GH,"*RELOC*",SurveyDATA!$E:$E,"*CALOOCAN*",SurveyDATA!$FQ:$FQ,"*NEED*",SurveyDATA!GV:GV,"*")</f>
        <v>#REF!</v>
      </c>
      <c r="I60" s="1196" t="e">
        <f t="shared" si="3"/>
        <v>#REF!</v>
      </c>
    </row>
    <row r="61" spans="1:9">
      <c r="A61" s="1191" t="s">
        <v>1020</v>
      </c>
      <c r="B61" s="1196" t="e">
        <f>COUNTIFS(SurveyDATA!#REF!,"*SAMPLING*",SurveyDATA!#REF!,"*ISF*",SurveyDATA!$GH:$GH,"*RELOC*",SurveyDATA!$E:$E,"*MANILA*",SurveyDATA!$FQ:$FQ,"*NEED*",SurveyDATA!GP:GP,"x")</f>
        <v>#REF!</v>
      </c>
      <c r="C61" s="1196" t="e">
        <f>COUNTIFS(SurveyDATA!#REF!,"*SAMPLING*",SurveyDATA!#REF!,"*ISF*",SurveyDATA!$GH:$GH,"*RELOC*",SurveyDATA!$E:$E,"*MANILA*",SurveyDATA!$FQ:$FQ,"*NEED*",SurveyDATA!GQ:GQ,"x")</f>
        <v>#REF!</v>
      </c>
      <c r="D61" s="1196" t="e">
        <f>COUNTIFS(SurveyDATA!#REF!,"*SAMPLING*",SurveyDATA!#REF!,"*ISF*",SurveyDATA!$GH:$GH,"*RELOC*",SurveyDATA!$E:$E,"*MANILA*",SurveyDATA!$FQ:$FQ,"*NEED*",SurveyDATA!GR:GR,"x")</f>
        <v>#REF!</v>
      </c>
      <c r="E61" s="1196" t="e">
        <f>COUNTIFS(SurveyDATA!#REF!,"*SAMPLING*",SurveyDATA!#REF!,"*ISF*",SurveyDATA!$GH:$GH,"*RELOC*",SurveyDATA!$E:$E,"*MANILA*",SurveyDATA!$FQ:$FQ,"*NEED*",SurveyDATA!GS:GS,"x")</f>
        <v>#REF!</v>
      </c>
      <c r="F61" s="1196" t="e">
        <f>COUNTIFS(SurveyDATA!#REF!,"*SAMPLING*",SurveyDATA!#REF!,"*ISF*",SurveyDATA!$GH:$GH,"*RELOC*",SurveyDATA!$E:$E,"*MANILA*",SurveyDATA!$FQ:$FQ,"*NEED*",SurveyDATA!GT:GT,"x")</f>
        <v>#REF!</v>
      </c>
      <c r="G61" s="1196" t="e">
        <f>COUNTIFS(SurveyDATA!#REF!,"*SAMPLING*",SurveyDATA!#REF!,"*ISF*",SurveyDATA!$GH:$GH,"*RELOC*",SurveyDATA!$E:$E,"*MANILA*",SurveyDATA!$FQ:$FQ,"*NEED*",SurveyDATA!GU:GU,"x")</f>
        <v>#REF!</v>
      </c>
      <c r="H61" s="1196" t="e">
        <f>COUNTIFS(SurveyDATA!#REF!,"*SAMPLING*",SurveyDATA!#REF!,"*ISF*",SurveyDATA!$GH:$GH,"*RELOC*",SurveyDATA!$E:$E,"*MANILA*",SurveyDATA!$FQ:$FQ,"*NEED*",SurveyDATA!GV:GV,"*")</f>
        <v>#REF!</v>
      </c>
      <c r="I61" s="1196" t="e">
        <f t="shared" si="3"/>
        <v>#REF!</v>
      </c>
    </row>
    <row r="62" spans="1:9">
      <c r="A62" s="1192" t="s">
        <v>4348</v>
      </c>
      <c r="B62" s="1195" t="e">
        <f t="shared" ref="B62:I62" si="4">SUM(B53:B61)</f>
        <v>#REF!</v>
      </c>
      <c r="C62" s="1195" t="e">
        <f t="shared" si="4"/>
        <v>#REF!</v>
      </c>
      <c r="D62" s="1195" t="e">
        <f t="shared" si="4"/>
        <v>#REF!</v>
      </c>
      <c r="E62" s="1195" t="e">
        <f t="shared" si="4"/>
        <v>#REF!</v>
      </c>
      <c r="F62" s="1195" t="e">
        <f t="shared" si="4"/>
        <v>#REF!</v>
      </c>
      <c r="G62" s="1195" t="e">
        <f t="shared" si="4"/>
        <v>#REF!</v>
      </c>
      <c r="H62" s="1195" t="e">
        <f t="shared" si="4"/>
        <v>#REF!</v>
      </c>
      <c r="I62" s="1195" t="e">
        <f t="shared" si="4"/>
        <v>#REF!</v>
      </c>
    </row>
    <row r="63" spans="1:9">
      <c r="A63" s="1197" t="s">
        <v>7243</v>
      </c>
      <c r="B63" s="1215" t="e">
        <f>B62/$I62</f>
        <v>#REF!</v>
      </c>
      <c r="C63" s="1215" t="e">
        <f t="shared" ref="C63:H63" si="5">C62/$I62</f>
        <v>#REF!</v>
      </c>
      <c r="D63" s="1215" t="e">
        <f t="shared" si="5"/>
        <v>#REF!</v>
      </c>
      <c r="E63" s="1215" t="e">
        <f t="shared" si="5"/>
        <v>#REF!</v>
      </c>
      <c r="F63" s="1215" t="e">
        <f t="shared" si="5"/>
        <v>#REF!</v>
      </c>
      <c r="G63" s="1215" t="e">
        <f t="shared" si="5"/>
        <v>#REF!</v>
      </c>
      <c r="H63" s="1215" t="e">
        <f t="shared" si="5"/>
        <v>#REF!</v>
      </c>
      <c r="I63" s="1215" t="e">
        <f>SUM(B63:H63)</f>
        <v>#REF!</v>
      </c>
    </row>
    <row r="66" spans="1:10">
      <c r="A66" s="635" t="s">
        <v>7383</v>
      </c>
    </row>
    <row r="67" spans="1:10" ht="25.5">
      <c r="A67" s="1140" t="s">
        <v>7390</v>
      </c>
      <c r="B67" s="1140" t="s">
        <v>7384</v>
      </c>
      <c r="C67" s="1140" t="s">
        <v>7385</v>
      </c>
      <c r="D67" s="1140" t="s">
        <v>7386</v>
      </c>
      <c r="E67" s="1140" t="s">
        <v>7387</v>
      </c>
      <c r="F67" s="1140" t="s">
        <v>7388</v>
      </c>
      <c r="G67" s="1140" t="s">
        <v>1783</v>
      </c>
      <c r="H67" s="1140" t="s">
        <v>1784</v>
      </c>
      <c r="I67" s="1140" t="s">
        <v>7391</v>
      </c>
      <c r="J67" s="1140" t="s">
        <v>2034</v>
      </c>
    </row>
    <row r="68" spans="1:10">
      <c r="A68" s="1191" t="s">
        <v>5848</v>
      </c>
      <c r="B68" s="1191" t="e">
        <f>COUNTIFS(SurveyDATA!#REF!,"*SAMPLING*",SurveyDATA!#REF!,"*ISF*",SurveyDATA!$GH:$GH,"*RELOC*",SurveyDATA!$E:$E,"*MALOLOS*",SurveyDATA!$FQ:$FQ,"*NEED*",SurveyDATA!GY:GY,"x")</f>
        <v>#REF!</v>
      </c>
      <c r="C68" s="1191" t="e">
        <f>COUNTIFS(SurveyDATA!#REF!,"*SAMPLING*",SurveyDATA!#REF!,"*ISF*",SurveyDATA!$GH:$GH,"*RELOC*",SurveyDATA!$E:$E,"*MALOLOS*",SurveyDATA!$FQ:$FQ,"*NEED*",SurveyDATA!GZ:GZ,"x")</f>
        <v>#REF!</v>
      </c>
      <c r="D68" s="1191" t="e">
        <f>COUNTIFS(SurveyDATA!#REF!,"*SAMPLING*",SurveyDATA!#REF!,"*ISF*",SurveyDATA!$GH:$GH,"*RELOC*",SurveyDATA!$E:$E,"*MALOLOS*",SurveyDATA!$FQ:$FQ,"*NEED*",SurveyDATA!HA:HA,"x")</f>
        <v>#REF!</v>
      </c>
      <c r="E68" s="1191" t="e">
        <f>COUNTIFS(SurveyDATA!#REF!,"*SAMPLING*",SurveyDATA!#REF!,"*ISF*",SurveyDATA!$GH:$GH,"*RELOC*",SurveyDATA!$E:$E,"*V*",SurveyDATA!$FQ:$FQ,"*NEED*",SurveyDATA!HB:HB,"x")</f>
        <v>#REF!</v>
      </c>
      <c r="F68" s="1191" t="e">
        <f>COUNTIFS(SurveyDATA!#REF!,"*SAMPLING*",SurveyDATA!#REF!,"*ISF*",SurveyDATA!$GH:$GH,"*RELOC*",SurveyDATA!$E:$E,"*MALOLOS*",SurveyDATA!$FQ:$FQ,"*NEED*",SurveyDATA!HC:HC,"x")</f>
        <v>#REF!</v>
      </c>
      <c r="G68" s="1191" t="e">
        <f>COUNTIFS(SurveyDATA!#REF!,"*SAMPLING*",SurveyDATA!#REF!,"*ISF*",SurveyDATA!$GH:$GH,"*RELOC*",SurveyDATA!$E:$E,"*MALOLOS*",SurveyDATA!$FQ:$FQ,"*NEED*",SurveyDATA!HD:HD,"x")</f>
        <v>#REF!</v>
      </c>
      <c r="H68" s="1191" t="e">
        <f>COUNTIFS(SurveyDATA!#REF!,"*SAMPLING*",SurveyDATA!#REF!,"*ISF*",SurveyDATA!$GH:$GH,"*RELOC*",SurveyDATA!$E:$E,"*MALOLOS*",SurveyDATA!$FQ:$FQ,"*NEED*",SurveyDATA!HE:HE,"x")</f>
        <v>#REF!</v>
      </c>
      <c r="I68" s="1191" t="e">
        <f>COUNTIFS(SurveyDATA!#REF!,"*SAMPLING*",SurveyDATA!#REF!,"*ISF*",SurveyDATA!$GH:$GH,"*RELOC*",SurveyDATA!$E:$E,"*MALOLOS*",SurveyDATA!$FQ:$FQ,"*NEED*",SurveyDATA!HF:HF,"x")</f>
        <v>#REF!</v>
      </c>
      <c r="J68" s="1191" t="e">
        <f>SUM(B68:I68)</f>
        <v>#REF!</v>
      </c>
    </row>
    <row r="69" spans="1:10">
      <c r="A69" s="1191" t="s">
        <v>5494</v>
      </c>
      <c r="B69" s="1191" t="e">
        <f>COUNTIFS(SurveyDATA!#REF!,"*SAMPLING*",SurveyDATA!#REF!,"*ISF*",SurveyDATA!$GH:$GH,"*RELOC*",SurveyDATA!$E:$E,"*GUIGUINTO*",SurveyDATA!$FQ:$FQ,"*NEED*",SurveyDATA!GY:GY,"x")</f>
        <v>#REF!</v>
      </c>
      <c r="C69" s="1191" t="e">
        <f>COUNTIFS(SurveyDATA!#REF!,"*SAMPLING*",SurveyDATA!#REF!,"*ISF*",SurveyDATA!$GH:$GH,"*RELOC*",SurveyDATA!$E:$E,"*GUIGUINTO*",SurveyDATA!$FQ:$FQ,"*NEED*",SurveyDATA!GZ:GZ,"x")</f>
        <v>#REF!</v>
      </c>
      <c r="D69" s="1191" t="e">
        <f>COUNTIFS(SurveyDATA!#REF!,"*SAMPLING*",SurveyDATA!#REF!,"*ISF*",SurveyDATA!$GH:$GH,"*RELOC*",SurveyDATA!$E:$E,"*GUIGUINTO*",SurveyDATA!$FQ:$FQ,"*NEED*",SurveyDATA!HA:HA,"x")</f>
        <v>#REF!</v>
      </c>
      <c r="E69" s="1191" t="e">
        <f>COUNTIFS(SurveyDATA!#REF!,"*SAMPLING*",SurveyDATA!#REF!,"*ISF*",SurveyDATA!$GH:$GH,"*RELOC*",SurveyDATA!$E:$E,"*GUIGUINTO*",SurveyDATA!$FQ:$FQ,"*NEED*",SurveyDATA!HB:HB,"x")</f>
        <v>#REF!</v>
      </c>
      <c r="F69" s="1191" t="e">
        <f>COUNTIFS(SurveyDATA!#REF!,"*SAMPLING*",SurveyDATA!#REF!,"*ISF*",SurveyDATA!$GH:$GH,"*RELOC*",SurveyDATA!$E:$E,"*GUIGUINTO*",SurveyDATA!$FQ:$FQ,"*NEED*",SurveyDATA!HC:HC,"x")</f>
        <v>#REF!</v>
      </c>
      <c r="G69" s="1191" t="e">
        <f>COUNTIFS(SurveyDATA!#REF!,"*SAMPLING*",SurveyDATA!#REF!,"*ISF*",SurveyDATA!$GH:$GH,"*RELOC*",SurveyDATA!$E:$E,"*GUIGUINTO*",SurveyDATA!$FQ:$FQ,"*NEED*",SurveyDATA!HD:HD,"x")</f>
        <v>#REF!</v>
      </c>
      <c r="H69" s="1191" t="e">
        <f>COUNTIFS(SurveyDATA!#REF!,"*SAMPLING*",SurveyDATA!#REF!,"*ISF*",SurveyDATA!$GH:$GH,"*RELOC*",SurveyDATA!$E:$E,"*GUIGUINTO*",SurveyDATA!$FQ:$FQ,"*NEED*",SurveyDATA!HE:HE,"x")</f>
        <v>#REF!</v>
      </c>
      <c r="I69" s="1191" t="e">
        <f>COUNTIFS(SurveyDATA!#REF!,"*SAMPLING*",SurveyDATA!#REF!,"*ISF*",SurveyDATA!$GH:$GH,"*RELOC*",SurveyDATA!$E:$E,"*GUIGUINTO*",SurveyDATA!$FQ:$FQ,"*NEED*",SurveyDATA!HF:HF,"x")</f>
        <v>#REF!</v>
      </c>
      <c r="J69" s="1191" t="e">
        <f t="shared" ref="J69:J76" si="6">SUM(B69:I69)</f>
        <v>#REF!</v>
      </c>
    </row>
    <row r="70" spans="1:10">
      <c r="A70" s="1191" t="s">
        <v>5847</v>
      </c>
      <c r="B70" s="1191" t="e">
        <f>COUNTIFS(SurveyDATA!#REF!,"*SAMPLING*",SurveyDATA!#REF!,"*ISF*",SurveyDATA!$GH:$GH,"*RELOC*",SurveyDATA!$E:$E,"*BALAGTAS*",SurveyDATA!$FQ:$FQ,"*NEED*",SurveyDATA!GY:GY,"x")</f>
        <v>#REF!</v>
      </c>
      <c r="C70" s="1191" t="e">
        <f>COUNTIFS(SurveyDATA!#REF!,"*SAMPLING*",SurveyDATA!#REF!,"*ISF*",SurveyDATA!$GH:$GH,"*RELOC*",SurveyDATA!$E:$E,"*BALAGTAS*",SurveyDATA!$FQ:$FQ,"*NEED*",SurveyDATA!GZ:GZ,"x")</f>
        <v>#REF!</v>
      </c>
      <c r="D70" s="1191" t="e">
        <f>COUNTIFS(SurveyDATA!#REF!,"*SAMPLING*",SurveyDATA!#REF!,"*ISF*",SurveyDATA!$GH:$GH,"*RELOC*",SurveyDATA!$E:$E,"*BALAGTAS*",SurveyDATA!$FQ:$FQ,"*NEED*",SurveyDATA!HA:HA,"x")</f>
        <v>#REF!</v>
      </c>
      <c r="E70" s="1191" t="e">
        <f>COUNTIFS(SurveyDATA!#REF!,"*SAMPLING*",SurveyDATA!#REF!,"*ISF*",SurveyDATA!$GH:$GH,"*RELOC*",SurveyDATA!$E:$E,"*BALAGTAS*",SurveyDATA!$FQ:$FQ,"*NEED*",SurveyDATA!HB:HB,"x")</f>
        <v>#REF!</v>
      </c>
      <c r="F70" s="1191" t="e">
        <f>COUNTIFS(SurveyDATA!#REF!,"*SAMPLING*",SurveyDATA!#REF!,"*ISF*",SurveyDATA!$GH:$GH,"*RELOC*",SurveyDATA!$E:$E,"*BALAGTAS*",SurveyDATA!$FQ:$FQ,"*NEED*",SurveyDATA!HC:HC,"x")</f>
        <v>#REF!</v>
      </c>
      <c r="G70" s="1191" t="e">
        <f>COUNTIFS(SurveyDATA!#REF!,"*SAMPLING*",SurveyDATA!#REF!,"*ISF*",SurveyDATA!$GH:$GH,"*RELOC*",SurveyDATA!$E:$E,"*BALAGTAS*",SurveyDATA!$FQ:$FQ,"*NEED*",SurveyDATA!HD:HD,"x")</f>
        <v>#REF!</v>
      </c>
      <c r="H70" s="1191" t="e">
        <f>COUNTIFS(SurveyDATA!#REF!,"*SAMPLING*",SurveyDATA!#REF!,"*ISF*",SurveyDATA!$GH:$GH,"*RELOC*",SurveyDATA!$E:$E,"*BALAGTAS*",SurveyDATA!$FQ:$FQ,"*NEED*",SurveyDATA!HE:HE,"x")</f>
        <v>#REF!</v>
      </c>
      <c r="I70" s="1191" t="e">
        <f>COUNTIFS(SurveyDATA!#REF!,"*SAMPLING*",SurveyDATA!#REF!,"*ISF*",SurveyDATA!$GH:$GH,"*RELOC*",SurveyDATA!$E:$E,"*BALAGTAS*",SurveyDATA!$FQ:$FQ,"*NEED*",SurveyDATA!HF:HF,"x")</f>
        <v>#REF!</v>
      </c>
      <c r="J70" s="1191" t="e">
        <f t="shared" si="6"/>
        <v>#REF!</v>
      </c>
    </row>
    <row r="71" spans="1:10">
      <c r="A71" s="1191" t="s">
        <v>771</v>
      </c>
      <c r="B71" s="1191" t="e">
        <f>COUNTIFS(SurveyDATA!#REF!,"*SAMPLING*",SurveyDATA!#REF!,"*ISF*",SurveyDATA!$GH:$GH,"*RELOC*",SurveyDATA!$E:$E,"*BOCAUE*",SurveyDATA!$FQ:$FQ,"*NEED*",SurveyDATA!GY:GY,"x")</f>
        <v>#REF!</v>
      </c>
      <c r="C71" s="1191" t="e">
        <f>COUNTIFS(SurveyDATA!#REF!,"*SAMPLING*",SurveyDATA!#REF!,"*ISF*",SurveyDATA!$GH:$GH,"*RELOC*",SurveyDATA!$E:$E,"*BOCAUE*",SurveyDATA!$FQ:$FQ,"*NEED*",SurveyDATA!GZ:GZ,"x")</f>
        <v>#REF!</v>
      </c>
      <c r="D71" s="1191" t="e">
        <f>COUNTIFS(SurveyDATA!#REF!,"*SAMPLING*",SurveyDATA!#REF!,"*ISF*",SurveyDATA!$GH:$GH,"*RELOC*",SurveyDATA!$E:$E,"*BOCAUE*",SurveyDATA!$FQ:$FQ,"*NEED*",SurveyDATA!HA:HA,"x")</f>
        <v>#REF!</v>
      </c>
      <c r="E71" s="1191" t="e">
        <f>COUNTIFS(SurveyDATA!#REF!,"*SAMPLING*",SurveyDATA!#REF!,"*ISF*",SurveyDATA!$GH:$GH,"*RELOC*",SurveyDATA!$E:$E,"*BOCAUE*",SurveyDATA!$FQ:$FQ,"*NEED*",SurveyDATA!HB:HB,"x")</f>
        <v>#REF!</v>
      </c>
      <c r="F71" s="1191" t="e">
        <f>COUNTIFS(SurveyDATA!#REF!,"*SAMPLING*",SurveyDATA!#REF!,"*ISF*",SurveyDATA!$GH:$GH,"*RELOC*",SurveyDATA!$E:$E,"*BOCAUE*",SurveyDATA!$FQ:$FQ,"*NEED*",SurveyDATA!HC:HC,"x")</f>
        <v>#REF!</v>
      </c>
      <c r="G71" s="1191" t="e">
        <f>COUNTIFS(SurveyDATA!#REF!,"*SAMPLING*",SurveyDATA!#REF!,"*ISF*",SurveyDATA!$GH:$GH,"*RELOC*",SurveyDATA!$E:$E,"*BOCAUE*",SurveyDATA!$FQ:$FQ,"*NEED*",SurveyDATA!HD:HD,"x")</f>
        <v>#REF!</v>
      </c>
      <c r="H71" s="1191" t="e">
        <f>COUNTIFS(SurveyDATA!#REF!,"*SAMPLING*",SurveyDATA!#REF!,"*ISF*",SurveyDATA!$GH:$GH,"*RELOC*",SurveyDATA!$E:$E,"*BOCAUE*",SurveyDATA!$FQ:$FQ,"*NEED*",SurveyDATA!HE:HE,"x")</f>
        <v>#REF!</v>
      </c>
      <c r="I71" s="1191" t="e">
        <f>COUNTIFS(SurveyDATA!#REF!,"*SAMPLING*",SurveyDATA!#REF!,"*ISF*",SurveyDATA!$GH:$GH,"*RELOC*",SurveyDATA!$E:$E,"*BOCAUE*",SurveyDATA!$FQ:$FQ,"*NEED*",SurveyDATA!HF:HF,"x")</f>
        <v>#REF!</v>
      </c>
      <c r="J71" s="1191" t="e">
        <f t="shared" si="6"/>
        <v>#REF!</v>
      </c>
    </row>
    <row r="72" spans="1:10">
      <c r="A72" s="1191" t="s">
        <v>5495</v>
      </c>
      <c r="B72" s="1191" t="e">
        <f>COUNTIFS(SurveyDATA!#REF!,"*SAMPLING*",SurveyDATA!#REF!,"*ISF*",SurveyDATA!$GH:$GH,"*RELOC*",SurveyDATA!$E:$E,"*MARILAO*",SurveyDATA!$FQ:$FQ,"*NEED*",SurveyDATA!GY:GY,"x")</f>
        <v>#REF!</v>
      </c>
      <c r="C72" s="1191" t="e">
        <f>COUNTIFS(SurveyDATA!#REF!,"*SAMPLING*",SurveyDATA!#REF!,"*ISF*",SurveyDATA!$GH:$GH,"*RELOC*",SurveyDATA!$E:$E,"*MARILAO*",SurveyDATA!$FQ:$FQ,"*NEED*",SurveyDATA!GZ:GZ,"x")</f>
        <v>#REF!</v>
      </c>
      <c r="D72" s="1191" t="e">
        <f>COUNTIFS(SurveyDATA!#REF!,"*SAMPLING*",SurveyDATA!#REF!,"*ISF*",SurveyDATA!$GH:$GH,"*RELOC*",SurveyDATA!$E:$E,"*MARILAO*",SurveyDATA!$FQ:$FQ,"*NEED*",SurveyDATA!HA:HA,"x")</f>
        <v>#REF!</v>
      </c>
      <c r="E72" s="1191" t="e">
        <f>COUNTIFS(SurveyDATA!#REF!,"*SAMPLING*",SurveyDATA!#REF!,"*ISF*",SurveyDATA!$GH:$GH,"*RELOC*",SurveyDATA!$E:$E,"*MARILAO*",SurveyDATA!$FQ:$FQ,"*NEED*",SurveyDATA!HB:HB,"x")</f>
        <v>#REF!</v>
      </c>
      <c r="F72" s="1191" t="e">
        <f>COUNTIFS(SurveyDATA!#REF!,"*SAMPLING*",SurveyDATA!#REF!,"*ISF*",SurveyDATA!$GH:$GH,"*RELOC*",SurveyDATA!$E:$E,"*MARILAO*",SurveyDATA!$FQ:$FQ,"*NEED*",SurveyDATA!HC:HC,"x")</f>
        <v>#REF!</v>
      </c>
      <c r="G72" s="1191" t="e">
        <f>COUNTIFS(SurveyDATA!#REF!,"*SAMPLING*",SurveyDATA!#REF!,"*ISF*",SurveyDATA!$GH:$GH,"*RELOC*",SurveyDATA!$E:$E,"*MARILAO*",SurveyDATA!$FQ:$FQ,"*NEED*",SurveyDATA!HD:HD,"x")</f>
        <v>#REF!</v>
      </c>
      <c r="H72" s="1191" t="e">
        <f>COUNTIFS(SurveyDATA!#REF!,"*SAMPLING*",SurveyDATA!#REF!,"*ISF*",SurveyDATA!$GH:$GH,"*RELOC*",SurveyDATA!$E:$E,"*MARILAO*",SurveyDATA!$FQ:$FQ,"*NEED*",SurveyDATA!HE:HE,"x")</f>
        <v>#REF!</v>
      </c>
      <c r="I72" s="1191" t="e">
        <f>COUNTIFS(SurveyDATA!#REF!,"*SAMPLING*",SurveyDATA!#REF!,"*ISF*",SurveyDATA!$GH:$GH,"*RELOC*",SurveyDATA!$E:$E,"*MARILAO*",SurveyDATA!$FQ:$FQ,"*NEED*",SurveyDATA!HF:HF,"x")</f>
        <v>#REF!</v>
      </c>
      <c r="J72" s="1191" t="e">
        <f t="shared" si="6"/>
        <v>#REF!</v>
      </c>
    </row>
    <row r="73" spans="1:10">
      <c r="A73" s="1191" t="s">
        <v>5496</v>
      </c>
      <c r="B73" s="1191" t="e">
        <f>COUNTIFS(SurveyDATA!#REF!,"*SAMPLING*",SurveyDATA!#REF!,"*ISF*",SurveyDATA!$GH:$GH,"*RELOC*",SurveyDATA!$E:$E,"*MEYCAUAYAN*",SurveyDATA!$FQ:$FQ,"*NEED*",SurveyDATA!GY:GY,"x")</f>
        <v>#REF!</v>
      </c>
      <c r="C73" s="1191" t="e">
        <f>COUNTIFS(SurveyDATA!#REF!,"*SAMPLING*",SurveyDATA!#REF!,"*ISF*",SurveyDATA!$GH:$GH,"*RELOC*",SurveyDATA!$E:$E,"*MEYCAUAYAN*",SurveyDATA!$FQ:$FQ,"*NEED*",SurveyDATA!GZ:GZ,"x")</f>
        <v>#REF!</v>
      </c>
      <c r="D73" s="1191" t="e">
        <f>COUNTIFS(SurveyDATA!#REF!,"*SAMPLING*",SurveyDATA!#REF!,"*ISF*",SurveyDATA!$GH:$GH,"*RELOC*",SurveyDATA!$E:$E,"*MEYCAUAYAN*",SurveyDATA!$FQ:$FQ,"*NEED*",SurveyDATA!HA:HA,"x")</f>
        <v>#REF!</v>
      </c>
      <c r="E73" s="1191" t="e">
        <f>COUNTIFS(SurveyDATA!#REF!,"*SAMPLING*",SurveyDATA!#REF!,"*ISF*",SurveyDATA!$GH:$GH,"*RELOC*",SurveyDATA!$E:$E,"*MEYCAUAYAN*",SurveyDATA!$FQ:$FQ,"*NEED*",SurveyDATA!HB:HB,"x")</f>
        <v>#REF!</v>
      </c>
      <c r="F73" s="1191" t="e">
        <f>COUNTIFS(SurveyDATA!#REF!,"*SAMPLING*",SurveyDATA!#REF!,"*ISF*",SurveyDATA!$GH:$GH,"*RELOC*",SurveyDATA!$E:$E,"*MEYCAUAYAN*",SurveyDATA!$FQ:$FQ,"*NEED*",SurveyDATA!HC:HC,"x")</f>
        <v>#REF!</v>
      </c>
      <c r="G73" s="1191" t="e">
        <f>COUNTIFS(SurveyDATA!#REF!,"*SAMPLING*",SurveyDATA!#REF!,"*ISF*",SurveyDATA!$GH:$GH,"*RELOC*",SurveyDATA!$E:$E,"*MEYCAUAYAN*",SurveyDATA!$FQ:$FQ,"*NEED*",SurveyDATA!HD:HD,"x")</f>
        <v>#REF!</v>
      </c>
      <c r="H73" s="1191" t="e">
        <f>COUNTIFS(SurveyDATA!#REF!,"*SAMPLING*",SurveyDATA!#REF!,"*ISF*",SurveyDATA!$GH:$GH,"*RELOC*",SurveyDATA!$E:$E,"*MEYCAUAYAN*",SurveyDATA!$FQ:$FQ,"*NEED*",SurveyDATA!HE:HE,"x")</f>
        <v>#REF!</v>
      </c>
      <c r="I73" s="1191" t="e">
        <f>COUNTIFS(SurveyDATA!#REF!,"*SAMPLING*",SurveyDATA!#REF!,"*ISF*",SurveyDATA!$GH:$GH,"*RELOC*",SurveyDATA!$E:$E,"*MEYCAUAYAN*",SurveyDATA!$FQ:$FQ,"*NEED*",SurveyDATA!HF:HF,"x")</f>
        <v>#REF!</v>
      </c>
      <c r="J73" s="1191" t="e">
        <f t="shared" si="6"/>
        <v>#REF!</v>
      </c>
    </row>
    <row r="74" spans="1:10">
      <c r="A74" s="1191" t="s">
        <v>778</v>
      </c>
      <c r="B74" s="1191" t="e">
        <f>COUNTIFS(SurveyDATA!#REF!,"*SAMPLING*",SurveyDATA!#REF!,"*ISF*",SurveyDATA!$GH:$GH,"*RELOC*",SurveyDATA!$E:$E,"*VALENZUELA*",SurveyDATA!$FQ:$FQ,"*NEED*",SurveyDATA!GY:GY,"x")</f>
        <v>#REF!</v>
      </c>
      <c r="C74" s="1191" t="e">
        <f>COUNTIFS(SurveyDATA!#REF!,"*SAMPLING*",SurveyDATA!#REF!,"*ISF*",SurveyDATA!$GH:$GH,"*RELOC*",SurveyDATA!$E:$E,"*VALENZUELA*",SurveyDATA!$FQ:$FQ,"*NEED*",SurveyDATA!GZ:GZ,"x")</f>
        <v>#REF!</v>
      </c>
      <c r="D74" s="1191" t="e">
        <f>COUNTIFS(SurveyDATA!#REF!,"*SAMPLING*",SurveyDATA!#REF!,"*ISF*",SurveyDATA!$GH:$GH,"*RELOC*",SurveyDATA!$E:$E,"*VALENZUELA*",SurveyDATA!$FQ:$FQ,"*NEED*",SurveyDATA!HA:HA,"x")</f>
        <v>#REF!</v>
      </c>
      <c r="E74" s="1191" t="e">
        <f>COUNTIFS(SurveyDATA!#REF!,"*SAMPLING*",SurveyDATA!#REF!,"*ISF*",SurveyDATA!$GH:$GH,"*RELOC*",SurveyDATA!$E:$E,"*VALENZUELA*",SurveyDATA!$FQ:$FQ,"*NEED*",SurveyDATA!HB:HB,"x")</f>
        <v>#REF!</v>
      </c>
      <c r="F74" s="1191" t="e">
        <f>COUNTIFS(SurveyDATA!#REF!,"*SAMPLING*",SurveyDATA!#REF!,"*ISF*",SurveyDATA!$GH:$GH,"*RELOC*",SurveyDATA!$E:$E,"*VALENZUELA*",SurveyDATA!$FQ:$FQ,"*NEED*",SurveyDATA!HC:HC,"x")</f>
        <v>#REF!</v>
      </c>
      <c r="G74" s="1191" t="e">
        <f>COUNTIFS(SurveyDATA!#REF!,"*SAMPLING*",SurveyDATA!#REF!,"*ISF*",SurveyDATA!$GH:$GH,"*RELOC*",SurveyDATA!$E:$E,"*VALENZUELA*",SurveyDATA!$FQ:$FQ,"*NEED*",SurveyDATA!HD:HD,"x")</f>
        <v>#REF!</v>
      </c>
      <c r="H74" s="1191" t="e">
        <f>COUNTIFS(SurveyDATA!#REF!,"*SAMPLING*",SurveyDATA!#REF!,"*ISF*",SurveyDATA!$GH:$GH,"*RELOC*",SurveyDATA!$E:$E,"*VALENZUELA*",SurveyDATA!$FQ:$FQ,"*NEED*",SurveyDATA!HE:HE,"x")</f>
        <v>#REF!</v>
      </c>
      <c r="I74" s="1191" t="e">
        <f>COUNTIFS(SurveyDATA!#REF!,"*SAMPLING*",SurveyDATA!#REF!,"*ISF*",SurveyDATA!$GH:$GH,"*RELOC*",SurveyDATA!$E:$E,"*VALENZUELA*",SurveyDATA!$FQ:$FQ,"*NEED*",SurveyDATA!HF:HF,"x")</f>
        <v>#REF!</v>
      </c>
      <c r="J74" s="1191" t="e">
        <f t="shared" si="6"/>
        <v>#REF!</v>
      </c>
    </row>
    <row r="75" spans="1:10">
      <c r="A75" s="1191" t="s">
        <v>5493</v>
      </c>
      <c r="B75" s="1191" t="e">
        <f>COUNTIFS(SurveyDATA!#REF!,"*SAMPLING*",SurveyDATA!#REF!,"*ISF*",SurveyDATA!$GH:$GH,"*RELOC*",SurveyDATA!$E:$E,"*CALOOCAN*",SurveyDATA!$FQ:$FQ,"*NEED*",SurveyDATA!GY:GY,"x")</f>
        <v>#REF!</v>
      </c>
      <c r="C75" s="1191" t="e">
        <f>COUNTIFS(SurveyDATA!#REF!,"*SAMPLING*",SurveyDATA!#REF!,"*ISF*",SurveyDATA!$GH:$GH,"*RELOC*",SurveyDATA!$E:$E,"*CALOOCAN*",SurveyDATA!$FQ:$FQ,"*NEED*",SurveyDATA!GZ:GZ,"x")</f>
        <v>#REF!</v>
      </c>
      <c r="D75" s="1191" t="e">
        <f>COUNTIFS(SurveyDATA!#REF!,"*SAMPLING*",SurveyDATA!#REF!,"*ISF*",SurveyDATA!$GH:$GH,"*RELOC*",SurveyDATA!$E:$E,"*CALOOCAN*",SurveyDATA!$FQ:$FQ,"*NEED*",SurveyDATA!HA:HA,"x")</f>
        <v>#REF!</v>
      </c>
      <c r="E75" s="1191" t="e">
        <f>COUNTIFS(SurveyDATA!#REF!,"*SAMPLING*",SurveyDATA!#REF!,"*ISF*",SurveyDATA!$GH:$GH,"*RELOC*",SurveyDATA!$E:$E,"*CALOOCAN*",SurveyDATA!$FQ:$FQ,"*NEED*",SurveyDATA!HB:HB,"x")</f>
        <v>#REF!</v>
      </c>
      <c r="F75" s="1191" t="e">
        <f>COUNTIFS(SurveyDATA!#REF!,"*SAMPLING*",SurveyDATA!#REF!,"*ISF*",SurveyDATA!$GH:$GH,"*RELOC*",SurveyDATA!$E:$E,"*CALOOCAN*",SurveyDATA!$FQ:$FQ,"*NEED*",SurveyDATA!HC:HC,"x")</f>
        <v>#REF!</v>
      </c>
      <c r="G75" s="1191" t="e">
        <f>COUNTIFS(SurveyDATA!#REF!,"*SAMPLING*",SurveyDATA!#REF!,"*ISF*",SurveyDATA!$GH:$GH,"*RELOC*",SurveyDATA!$E:$E,"*CALOOCAN*",SurveyDATA!$FQ:$FQ,"*NEED*",SurveyDATA!HD:HD,"x")</f>
        <v>#REF!</v>
      </c>
      <c r="H75" s="1191" t="e">
        <f>COUNTIFS(SurveyDATA!#REF!,"*SAMPLING*",SurveyDATA!#REF!,"*ISF*",SurveyDATA!$GH:$GH,"*RELOC*",SurveyDATA!$E:$E,"*CALOOCAN*",SurveyDATA!$FQ:$FQ,"*NEED*",SurveyDATA!HE:HE,"x")</f>
        <v>#REF!</v>
      </c>
      <c r="I75" s="1191" t="e">
        <f>COUNTIFS(SurveyDATA!#REF!,"*SAMPLING*",SurveyDATA!#REF!,"*ISF*",SurveyDATA!$GH:$GH,"*RELOC*",SurveyDATA!$E:$E,"*CALOOCAN*",SurveyDATA!$FQ:$FQ,"*NEED*",SurveyDATA!HF:HF,"x")</f>
        <v>#REF!</v>
      </c>
      <c r="J75" s="1191" t="e">
        <f t="shared" si="6"/>
        <v>#REF!</v>
      </c>
    </row>
    <row r="76" spans="1:10">
      <c r="A76" s="1191" t="s">
        <v>1020</v>
      </c>
      <c r="B76" s="1191" t="e">
        <f>COUNTIFS(SurveyDATA!#REF!,"*SAMPLING*",SurveyDATA!#REF!,"*ISF*",SurveyDATA!$GH:$GH,"*RELOC*",SurveyDATA!$E:$E,"*MANILA*",SurveyDATA!$FQ:$FQ,"*NEED*",SurveyDATA!GY:GY,"x")</f>
        <v>#REF!</v>
      </c>
      <c r="C76" s="1191" t="e">
        <f>COUNTIFS(SurveyDATA!#REF!,"*SAMPLING*",SurveyDATA!#REF!,"*ISF*",SurveyDATA!$GH:$GH,"*RELOC*",SurveyDATA!$E:$E,"*MANILA*",SurveyDATA!$FQ:$FQ,"*NEED*",SurveyDATA!GZ:GZ,"x")</f>
        <v>#REF!</v>
      </c>
      <c r="D76" s="1191" t="e">
        <f>COUNTIFS(SurveyDATA!#REF!,"*SAMPLING*",SurveyDATA!#REF!,"*ISF*",SurveyDATA!$GH:$GH,"*RELOC*",SurveyDATA!$E:$E,"*MANILA*",SurveyDATA!$FQ:$FQ,"*NEED*",SurveyDATA!HA:HA,"x")</f>
        <v>#REF!</v>
      </c>
      <c r="E76" s="1191" t="e">
        <f>COUNTIFS(SurveyDATA!#REF!,"*SAMPLING*",SurveyDATA!#REF!,"*ISF*",SurveyDATA!$GH:$GH,"*RELOC*",SurveyDATA!$E:$E,"*MANILA*",SurveyDATA!$FQ:$FQ,"*NEED*",SurveyDATA!HB:HB,"x")</f>
        <v>#REF!</v>
      </c>
      <c r="F76" s="1191" t="e">
        <f>COUNTIFS(SurveyDATA!#REF!,"*SAMPLING*",SurveyDATA!#REF!,"*ISF*",SurveyDATA!$GH:$GH,"*RELOC*",SurveyDATA!$E:$E,"*MANILA*",SurveyDATA!$FQ:$FQ,"*NEED*",SurveyDATA!HC:HC,"x")</f>
        <v>#REF!</v>
      </c>
      <c r="G76" s="1191" t="e">
        <f>COUNTIFS(SurveyDATA!#REF!,"*SAMPLING*",SurveyDATA!#REF!,"*ISF*",SurveyDATA!$GH:$GH,"*RELOC*",SurveyDATA!$E:$E,"*MANILA*",SurveyDATA!$FQ:$FQ,"*NEED*",SurveyDATA!HD:HD,"x")</f>
        <v>#REF!</v>
      </c>
      <c r="H76" s="1191" t="e">
        <f>COUNTIFS(SurveyDATA!#REF!,"*SAMPLING*",SurveyDATA!#REF!,"*ISF*",SurveyDATA!$GH:$GH,"*RELOC*",SurveyDATA!$E:$E,"*MANILA*",SurveyDATA!$FQ:$FQ,"*NEED*",SurveyDATA!HE:HE,"x")</f>
        <v>#REF!</v>
      </c>
      <c r="I76" s="1191" t="e">
        <f>COUNTIFS(SurveyDATA!#REF!,"*SAMPLING*",SurveyDATA!#REF!,"*ISF*",SurveyDATA!$GH:$GH,"*RELOC*",SurveyDATA!$E:$E,"*MANILA*",SurveyDATA!$FQ:$FQ,"*NEED*",SurveyDATA!HF:HF,"x")</f>
        <v>#REF!</v>
      </c>
      <c r="J76" s="1191" t="e">
        <f t="shared" si="6"/>
        <v>#REF!</v>
      </c>
    </row>
    <row r="77" spans="1:10">
      <c r="A77" s="1192" t="s">
        <v>4348</v>
      </c>
      <c r="B77" s="1195" t="e">
        <f>SUM(B68:B76)</f>
        <v>#REF!</v>
      </c>
      <c r="C77" s="1195" t="e">
        <f t="shared" ref="C77:I77" si="7">SUM(C68:C76)</f>
        <v>#REF!</v>
      </c>
      <c r="D77" s="1195" t="e">
        <f t="shared" si="7"/>
        <v>#REF!</v>
      </c>
      <c r="E77" s="1195" t="e">
        <f t="shared" si="7"/>
        <v>#REF!</v>
      </c>
      <c r="F77" s="1195" t="e">
        <f t="shared" si="7"/>
        <v>#REF!</v>
      </c>
      <c r="G77" s="1195" t="e">
        <f t="shared" si="7"/>
        <v>#REF!</v>
      </c>
      <c r="H77" s="1195" t="e">
        <f t="shared" si="7"/>
        <v>#REF!</v>
      </c>
      <c r="I77" s="1195" t="e">
        <f t="shared" si="7"/>
        <v>#REF!</v>
      </c>
      <c r="J77" s="1195" t="e">
        <f>SUM(J68:J76)</f>
        <v>#REF!</v>
      </c>
    </row>
    <row r="78" spans="1:10">
      <c r="A78" s="1197" t="s">
        <v>7389</v>
      </c>
      <c r="B78" s="1215" t="e">
        <f>B77/$J77</f>
        <v>#REF!</v>
      </c>
      <c r="C78" s="1215" t="e">
        <f t="shared" ref="C78:I78" si="8">C77/$J77</f>
        <v>#REF!</v>
      </c>
      <c r="D78" s="1215" t="e">
        <f t="shared" si="8"/>
        <v>#REF!</v>
      </c>
      <c r="E78" s="1215" t="e">
        <f t="shared" si="8"/>
        <v>#REF!</v>
      </c>
      <c r="F78" s="1215" t="e">
        <f t="shared" si="8"/>
        <v>#REF!</v>
      </c>
      <c r="G78" s="1215" t="e">
        <f t="shared" si="8"/>
        <v>#REF!</v>
      </c>
      <c r="H78" s="1215" t="e">
        <f t="shared" si="8"/>
        <v>#REF!</v>
      </c>
      <c r="I78" s="1215" t="e">
        <f t="shared" si="8"/>
        <v>#REF!</v>
      </c>
      <c r="J78" s="1215" t="e">
        <f>SUM(B78:I78)</f>
        <v>#REF!</v>
      </c>
    </row>
    <row r="81" spans="1:9">
      <c r="A81" s="635" t="s">
        <v>7392</v>
      </c>
    </row>
    <row r="82" spans="1:9">
      <c r="A82" s="643" t="s">
        <v>7214</v>
      </c>
      <c r="B82" s="2013" t="s">
        <v>7393</v>
      </c>
      <c r="C82" s="2014"/>
      <c r="D82" s="2014" t="s">
        <v>2143</v>
      </c>
      <c r="E82" s="2014"/>
      <c r="F82" s="2015" t="s">
        <v>7394</v>
      </c>
      <c r="G82" s="2013"/>
      <c r="H82" s="2014" t="s">
        <v>2034</v>
      </c>
      <c r="I82" s="2014"/>
    </row>
    <row r="83" spans="1:9">
      <c r="A83" s="644"/>
      <c r="B83" s="1202" t="s">
        <v>7281</v>
      </c>
      <c r="C83" s="1140" t="s">
        <v>5805</v>
      </c>
      <c r="D83" s="1140" t="s">
        <v>7281</v>
      </c>
      <c r="E83" s="1140" t="s">
        <v>5805</v>
      </c>
      <c r="F83" s="1140" t="s">
        <v>7281</v>
      </c>
      <c r="G83" s="1140" t="s">
        <v>5805</v>
      </c>
      <c r="H83" s="1140" t="s">
        <v>7281</v>
      </c>
      <c r="I83" s="1140" t="s">
        <v>5805</v>
      </c>
    </row>
    <row r="84" spans="1:9">
      <c r="A84" s="1196" t="s">
        <v>5848</v>
      </c>
      <c r="B84" s="1191" t="e">
        <f>COUNTIFS(SurveyDATA!#REF!,"*SAMPLING*",SurveyDATA!#REF!,"*ISF*",SurveyDATA!$GH:$GH,"*RELOC*",SurveyDATA!$E:$E,"*MALOLOS*",SurveyDATA!$FQ:$FQ,"*NEED*",SurveyDATA!#REF!,"*JOB*")</f>
        <v>#REF!</v>
      </c>
      <c r="C84" s="1215" t="e">
        <f>B84/B93</f>
        <v>#REF!</v>
      </c>
      <c r="D84" s="1191" t="e">
        <f>COUNTIFS(SurveyDATA!#REF!,"*SAMPLING*",SurveyDATA!#REF!,"*ISF*",SurveyDATA!$GH:$GH,"*RELOC*",SurveyDATA!$E:$E,"*MALOLOS*",SurveyDATA!$FQ:$FQ,"*NEED*",SurveyDATA!#REF!,"*CAPITAL*")</f>
        <v>#REF!</v>
      </c>
      <c r="E84" s="1215" t="e">
        <f>D84/D93</f>
        <v>#REF!</v>
      </c>
      <c r="F84" s="1191" t="e">
        <f>COUNTIFS(SurveyDATA!#REF!,"*SAMPLING*",SurveyDATA!#REF!,"*ISF*",SurveyDATA!$GH:$GH,"*RELOC*",SurveyDATA!$E:$E,"*MALOLOS*",SurveyDATA!$FQ:$FQ,"*NEED*",SurveyDATA!#REF!,"*PROGRAM*")</f>
        <v>#REF!</v>
      </c>
      <c r="G84" s="1215" t="e">
        <f>F84/F93</f>
        <v>#REF!</v>
      </c>
      <c r="H84" s="1191" t="e">
        <f>SUM(B84,D84,F84)</f>
        <v>#REF!</v>
      </c>
      <c r="I84" s="1215" t="e">
        <f>H84/H93</f>
        <v>#REF!</v>
      </c>
    </row>
    <row r="85" spans="1:9">
      <c r="A85" s="1191" t="s">
        <v>5494</v>
      </c>
      <c r="B85" s="1191" t="e">
        <f>COUNTIFS(SurveyDATA!#REF!,"*SAMPLING*",SurveyDATA!#REF!,"*ISF*",SurveyDATA!$GH:$GH,"*RELOC*",SurveyDATA!$E:$E,"*GUIGUINTO*",SurveyDATA!$FQ:$FQ,"*NEED*",SurveyDATA!#REF!,"*JOB*")</f>
        <v>#REF!</v>
      </c>
      <c r="C85" s="1219" t="e">
        <f>B85/B93</f>
        <v>#REF!</v>
      </c>
      <c r="D85" s="1191" t="e">
        <f>COUNTIFS(SurveyDATA!#REF!,"*SAMPLING*",SurveyDATA!#REF!,"*ISF*",SurveyDATA!$GH:$GH,"*RELOC*",SurveyDATA!$E:$E,"*GUIGUINTO*",SurveyDATA!$FQ:$FQ,"*NEED*",SurveyDATA!#REF!,"*CAPITAL*")</f>
        <v>#REF!</v>
      </c>
      <c r="E85" s="1219" t="e">
        <f>D85/D93</f>
        <v>#REF!</v>
      </c>
      <c r="F85" s="1191" t="e">
        <f>COUNTIFS(SurveyDATA!#REF!,"*SAMPLING*",SurveyDATA!#REF!,"*ISF*",SurveyDATA!$GH:$GH,"*RELOC*",SurveyDATA!$E:$E,"*GUIGUINTO*",SurveyDATA!$FQ:$FQ,"*NEED*",SurveyDATA!#REF!,"*PROGRAM*")</f>
        <v>#REF!</v>
      </c>
      <c r="G85" s="1219" t="e">
        <f>F85/F93</f>
        <v>#REF!</v>
      </c>
      <c r="H85" s="1191" t="e">
        <f t="shared" ref="H85:H92" si="9">SUM(B85,D85,F85)</f>
        <v>#REF!</v>
      </c>
      <c r="I85" s="1219" t="e">
        <f>H85/H93</f>
        <v>#REF!</v>
      </c>
    </row>
    <row r="86" spans="1:9">
      <c r="A86" s="1191" t="s">
        <v>5847</v>
      </c>
      <c r="B86" s="1191" t="e">
        <f>COUNTIFS(SurveyDATA!#REF!,"*SAMPLING*",SurveyDATA!#REF!,"*ISF*",SurveyDATA!$GH:$GH,"*RELOC*",SurveyDATA!$E:$E,"*BALAGTAS*",SurveyDATA!$FQ:$FQ,"*NEED*",SurveyDATA!#REF!,"*JOB*")</f>
        <v>#REF!</v>
      </c>
      <c r="C86" s="1215" t="e">
        <f>B86/B93</f>
        <v>#REF!</v>
      </c>
      <c r="D86" s="1191" t="e">
        <f>COUNTIFS(SurveyDATA!#REF!,"*SAMPLING*",SurveyDATA!#REF!,"*ISF*",SurveyDATA!$GH:$GH,"*RELOC*",SurveyDATA!$E:$E,"*MANIBALAGTASLA*",SurveyDATA!$FQ:$FQ,"*NEED*",SurveyDATA!#REF!,"*CAPITAL*")</f>
        <v>#REF!</v>
      </c>
      <c r="E86" s="1215" t="e">
        <f>D86/D93</f>
        <v>#REF!</v>
      </c>
      <c r="F86" s="1191" t="e">
        <f>COUNTIFS(SurveyDATA!#REF!,"*SAMPLING*",SurveyDATA!#REF!,"*ISF*",SurveyDATA!$GH:$GH,"*RELOC*",SurveyDATA!$E:$E,"*BALAGTAS*",SurveyDATA!$FQ:$FQ,"*NEED*",SurveyDATA!#REF!,"*PROGRAM*")</f>
        <v>#REF!</v>
      </c>
      <c r="G86" s="1215" t="e">
        <f>F86/F93</f>
        <v>#REF!</v>
      </c>
      <c r="H86" s="1191" t="e">
        <f t="shared" si="9"/>
        <v>#REF!</v>
      </c>
      <c r="I86" s="1215" t="e">
        <f>H86/H93</f>
        <v>#REF!</v>
      </c>
    </row>
    <row r="87" spans="1:9">
      <c r="A87" s="1191" t="s">
        <v>771</v>
      </c>
      <c r="B87" s="1191" t="e">
        <f>COUNTIFS(SurveyDATA!#REF!,"*SAMPLING*",SurveyDATA!#REF!,"*ISF*",SurveyDATA!$GH:$GH,"*RELOC*",SurveyDATA!$E:$E,"*BOCAUE*",SurveyDATA!$FQ:$FQ,"*NEED*",SurveyDATA!#REF!,"*JOB*")</f>
        <v>#REF!</v>
      </c>
      <c r="C87" s="1215" t="e">
        <f>B87/B93</f>
        <v>#REF!</v>
      </c>
      <c r="D87" s="1191" t="e">
        <f>COUNTIFS(SurveyDATA!#REF!,"*SAMPLING*",SurveyDATA!#REF!,"*ISF*",SurveyDATA!$GH:$GH,"*RELOC*",SurveyDATA!$E:$E,"*BOCAUE*",SurveyDATA!$FQ:$FQ,"*NEED*",SurveyDATA!#REF!,"*CAPITAL*")</f>
        <v>#REF!</v>
      </c>
      <c r="E87" s="1215" t="e">
        <f>D87/D93</f>
        <v>#REF!</v>
      </c>
      <c r="F87" s="1191" t="e">
        <f>COUNTIFS(SurveyDATA!#REF!,"*SAMPLING*",SurveyDATA!#REF!,"*ISF*",SurveyDATA!$GH:$GH,"*RELOC*",SurveyDATA!$E:$E,"*BOCAUE*",SurveyDATA!$FQ:$FQ,"*NEED*",SurveyDATA!#REF!,"*PROGRAM*")</f>
        <v>#REF!</v>
      </c>
      <c r="G87" s="1215" t="e">
        <f>F87/F93</f>
        <v>#REF!</v>
      </c>
      <c r="H87" s="1191" t="e">
        <f t="shared" si="9"/>
        <v>#REF!</v>
      </c>
      <c r="I87" s="1215" t="e">
        <f>H87/H93</f>
        <v>#REF!</v>
      </c>
    </row>
    <row r="88" spans="1:9">
      <c r="A88" s="1191" t="s">
        <v>5495</v>
      </c>
      <c r="B88" s="1191" t="e">
        <f>COUNTIFS(SurveyDATA!#REF!,"*SAMPLING*",SurveyDATA!#REF!,"*ISF*",SurveyDATA!$GH:$GH,"*RELOC*",SurveyDATA!$E:$E,"*MARILAO*",SurveyDATA!$FQ:$FQ,"*NEED*",SurveyDATA!#REF!,"*JOB*")</f>
        <v>#REF!</v>
      </c>
      <c r="C88" s="1219" t="e">
        <f>B88/B93</f>
        <v>#REF!</v>
      </c>
      <c r="D88" s="1191" t="e">
        <f>COUNTIFS(SurveyDATA!#REF!,"*SAMPLING*",SurveyDATA!#REF!,"*ISF*",SurveyDATA!$GH:$GH,"*RELOC*",SurveyDATA!$E:$E,"*MARILAO*",SurveyDATA!$FQ:$FQ,"*NEED*",SurveyDATA!#REF!,"*CAPITAL*")</f>
        <v>#REF!</v>
      </c>
      <c r="E88" s="1219" t="e">
        <f>D88/D93</f>
        <v>#REF!</v>
      </c>
      <c r="F88" s="1191" t="e">
        <f>COUNTIFS(SurveyDATA!#REF!,"*SAMPLING*",SurveyDATA!#REF!,"*ISF*",SurveyDATA!$GH:$GH,"*RELOC*",SurveyDATA!$E:$E,"*MARILAO*",SurveyDATA!$FQ:$FQ,"*NEED*",SurveyDATA!#REF!,"*PROGRAM*")</f>
        <v>#REF!</v>
      </c>
      <c r="G88" s="1219" t="e">
        <f>F88/F93</f>
        <v>#REF!</v>
      </c>
      <c r="H88" s="1191" t="e">
        <f t="shared" si="9"/>
        <v>#REF!</v>
      </c>
      <c r="I88" s="1219" t="e">
        <f>H88/H93</f>
        <v>#REF!</v>
      </c>
    </row>
    <row r="89" spans="1:9">
      <c r="A89" s="1191" t="s">
        <v>5496</v>
      </c>
      <c r="B89" s="1191" t="e">
        <f>COUNTIFS(SurveyDATA!#REF!,"*SAMPLING*",SurveyDATA!#REF!,"*ISF*",SurveyDATA!$GH:$GH,"*RELOC*",SurveyDATA!$E:$E,"*MEYCAUAYAN*",SurveyDATA!$FQ:$FQ,"*NEED*",SurveyDATA!#REF!,"*JOB*")</f>
        <v>#REF!</v>
      </c>
      <c r="C89" s="1219" t="e">
        <f>B89/B93</f>
        <v>#REF!</v>
      </c>
      <c r="D89" s="1191" t="e">
        <f>COUNTIFS(SurveyDATA!#REF!,"*SAMPLING*",SurveyDATA!#REF!,"*ISF*",SurveyDATA!$GH:$GH,"*RELOC*",SurveyDATA!$E:$E,"*MEYCAUAYAN*",SurveyDATA!$FQ:$FQ,"*NEED*",SurveyDATA!#REF!,"*CAPITAL*")</f>
        <v>#REF!</v>
      </c>
      <c r="E89" s="1219" t="e">
        <f>D89/D93</f>
        <v>#REF!</v>
      </c>
      <c r="F89" s="1191" t="e">
        <f>COUNTIFS(SurveyDATA!#REF!,"*SAMPLING*",SurveyDATA!#REF!,"*ISF*",SurveyDATA!$GH:$GH,"*RELOC*",SurveyDATA!$E:$E,"*MEYCAUAYAN*",SurveyDATA!$FQ:$FQ,"*NEED*",SurveyDATA!#REF!,"*PROGRAM*")</f>
        <v>#REF!</v>
      </c>
      <c r="G89" s="1219" t="e">
        <f>F89/F93</f>
        <v>#REF!</v>
      </c>
      <c r="H89" s="1191" t="e">
        <f t="shared" si="9"/>
        <v>#REF!</v>
      </c>
      <c r="I89" s="1219" t="e">
        <f>H89/H93</f>
        <v>#REF!</v>
      </c>
    </row>
    <row r="90" spans="1:9">
      <c r="A90" s="1191" t="s">
        <v>778</v>
      </c>
      <c r="B90" s="1191" t="e">
        <f>COUNTIFS(SurveyDATA!#REF!,"*SAMPLING*",SurveyDATA!#REF!,"*ISF*",SurveyDATA!$GH:$GH,"*RELOC*",SurveyDATA!$E:$E,"*VALENZUELA*",SurveyDATA!$FQ:$FQ,"*NEED*",SurveyDATA!#REF!,"*JOB*")</f>
        <v>#REF!</v>
      </c>
      <c r="C90" s="1219" t="e">
        <f>B90/B93</f>
        <v>#REF!</v>
      </c>
      <c r="D90" s="1191" t="e">
        <f>COUNTIFS(SurveyDATA!#REF!,"*SAMPLING*",SurveyDATA!#REF!,"*ISF*",SurveyDATA!$GH:$GH,"*RELOC*",SurveyDATA!$E:$E,"*VALENZUELA*",SurveyDATA!$FQ:$FQ,"*NEED*",SurveyDATA!#REF!,"*CAPITAL*")</f>
        <v>#REF!</v>
      </c>
      <c r="E90" s="1219" t="e">
        <f>D90/D93</f>
        <v>#REF!</v>
      </c>
      <c r="F90" s="1191" t="e">
        <f>COUNTIFS(SurveyDATA!#REF!,"*SAMPLING*",SurveyDATA!#REF!,"*ISF*",SurveyDATA!$GH:$GH,"*RELOC*",SurveyDATA!$E:$E,"*VALENZUELA*",SurveyDATA!$FQ:$FQ,"*NEED*",SurveyDATA!#REF!,"*PROGRAM*")</f>
        <v>#REF!</v>
      </c>
      <c r="G90" s="1219" t="e">
        <f>F90/F93</f>
        <v>#REF!</v>
      </c>
      <c r="H90" s="1191" t="e">
        <f t="shared" si="9"/>
        <v>#REF!</v>
      </c>
      <c r="I90" s="1219" t="e">
        <f>H90/H93</f>
        <v>#REF!</v>
      </c>
    </row>
    <row r="91" spans="1:9">
      <c r="A91" s="1191" t="s">
        <v>5493</v>
      </c>
      <c r="B91" s="1191" t="e">
        <f>COUNTIFS(SurveyDATA!#REF!,"*SAMPLING*",SurveyDATA!#REF!,"*ISF*",SurveyDATA!$GH:$GH,"*RELOC*",SurveyDATA!$E:$E,"*CALOOCAN*",SurveyDATA!$FQ:$FQ,"*NEED*",SurveyDATA!#REF!,"*JOB*")</f>
        <v>#REF!</v>
      </c>
      <c r="C91" s="1219" t="e">
        <f>B91/B93</f>
        <v>#REF!</v>
      </c>
      <c r="D91" s="1191" t="e">
        <f>COUNTIFS(SurveyDATA!#REF!,"*SAMPLING*",SurveyDATA!#REF!,"*ISF*",SurveyDATA!$GH:$GH,"*RELOC*",SurveyDATA!$E:$E,"*CALOOCAN*",SurveyDATA!$FQ:$FQ,"*NEED*",SurveyDATA!#REF!,"*CAPITAL*")</f>
        <v>#REF!</v>
      </c>
      <c r="E91" s="1219" t="e">
        <f>D91/D93</f>
        <v>#REF!</v>
      </c>
      <c r="F91" s="1191" t="e">
        <f>COUNTIFS(SurveyDATA!#REF!,"*SAMPLING*",SurveyDATA!#REF!,"*ISF*",SurveyDATA!$GH:$GH,"*RELOC*",SurveyDATA!$E:$E,"*CALOOCAN*",SurveyDATA!$FQ:$FQ,"*NEED*",SurveyDATA!#REF!,"*PROGRAM*")</f>
        <v>#REF!</v>
      </c>
      <c r="G91" s="1219" t="e">
        <f>F91/F93</f>
        <v>#REF!</v>
      </c>
      <c r="H91" s="1191" t="e">
        <f t="shared" si="9"/>
        <v>#REF!</v>
      </c>
      <c r="I91" s="1219" t="e">
        <f>H91/H93</f>
        <v>#REF!</v>
      </c>
    </row>
    <row r="92" spans="1:9">
      <c r="A92" s="1191" t="s">
        <v>1020</v>
      </c>
      <c r="B92" s="1191" t="e">
        <f>COUNTIFS(SurveyDATA!#REF!,"*SAMPLING*",SurveyDATA!#REF!,"*ISF*",SurveyDATA!$GH:$GH,"*RELOC*",SurveyDATA!$E:$E,"*MANILA*",SurveyDATA!$FQ:$FQ,"*NEED*",SurveyDATA!#REF!,"*JOB*")</f>
        <v>#REF!</v>
      </c>
      <c r="C92" s="1219" t="e">
        <f>B92/B93</f>
        <v>#REF!</v>
      </c>
      <c r="D92" s="1191" t="e">
        <f>COUNTIFS(SurveyDATA!#REF!,"*SAMPLING*",SurveyDATA!#REF!,"*ISF*",SurveyDATA!$GH:$GH,"*RELOC*",SurveyDATA!$E:$E,"*MANILA*",SurveyDATA!$FQ:$FQ,"*NEED*",SurveyDATA!#REF!,"*CAPITAL*")</f>
        <v>#REF!</v>
      </c>
      <c r="E92" s="1219" t="e">
        <f>D92/D93</f>
        <v>#REF!</v>
      </c>
      <c r="F92" s="1191" t="e">
        <f>COUNTIFS(SurveyDATA!#REF!,"*SAMPLING*",SurveyDATA!#REF!,"*ISF*",SurveyDATA!$GH:$GH,"*RELOC*",SurveyDATA!$E:$E,"*MANILA*",SurveyDATA!$FQ:$FQ,"*NEED*",SurveyDATA!#REF!,"*PROGRAM*")</f>
        <v>#REF!</v>
      </c>
      <c r="G92" s="1219" t="e">
        <f>F92/F93</f>
        <v>#REF!</v>
      </c>
      <c r="H92" s="1191" t="e">
        <f t="shared" si="9"/>
        <v>#REF!</v>
      </c>
      <c r="I92" s="1219" t="e">
        <f>H92/H93</f>
        <v>#REF!</v>
      </c>
    </row>
    <row r="93" spans="1:9">
      <c r="A93" s="1192" t="s">
        <v>4348</v>
      </c>
      <c r="B93" s="1195" t="e">
        <f>SUM(B84:B92)</f>
        <v>#REF!</v>
      </c>
      <c r="C93" s="1220" t="e">
        <f>B93/H93</f>
        <v>#REF!</v>
      </c>
      <c r="D93" s="1195" t="e">
        <f>SUM(D84:D92)</f>
        <v>#REF!</v>
      </c>
      <c r="E93" s="1220" t="e">
        <f>D93/H93</f>
        <v>#REF!</v>
      </c>
      <c r="F93" s="1195" t="e">
        <f>SUM(F84:F92)</f>
        <v>#REF!</v>
      </c>
      <c r="G93" s="1220" t="e">
        <f>F93/H93</f>
        <v>#REF!</v>
      </c>
      <c r="H93" s="1195" t="e">
        <f>SUM(H84:H92)</f>
        <v>#REF!</v>
      </c>
      <c r="I93" s="1220" t="e">
        <f>H93/H93</f>
        <v>#REF!</v>
      </c>
    </row>
  </sheetData>
  <mergeCells count="15">
    <mergeCell ref="B82:C82"/>
    <mergeCell ref="D82:E82"/>
    <mergeCell ref="H82:I82"/>
    <mergeCell ref="A4:A5"/>
    <mergeCell ref="B4:C4"/>
    <mergeCell ref="D4:E4"/>
    <mergeCell ref="F4:G4"/>
    <mergeCell ref="F82:G82"/>
    <mergeCell ref="H34:I34"/>
    <mergeCell ref="B19:C19"/>
    <mergeCell ref="D19:E19"/>
    <mergeCell ref="B34:C34"/>
    <mergeCell ref="D34:E34"/>
    <mergeCell ref="F19:G19"/>
    <mergeCell ref="F34:G3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dimension ref="A1:GT6139"/>
  <sheetViews>
    <sheetView zoomScale="90" zoomScaleNormal="90" workbookViewId="0">
      <pane xSplit="7" ySplit="1" topLeftCell="AH1436" activePane="bottomRight" state="frozen"/>
      <selection pane="topRight" activeCell="I1" sqref="I1"/>
      <selection pane="bottomLeft" activeCell="A2" sqref="A2"/>
      <selection pane="bottomRight" activeCell="AM1493" sqref="AM1493:AM1494"/>
    </sheetView>
  </sheetViews>
  <sheetFormatPr defaultRowHeight="12.75"/>
  <cols>
    <col min="1" max="1" width="7.85546875" style="806" customWidth="1"/>
    <col min="2" max="2" width="3.140625" style="807" customWidth="1"/>
    <col min="3" max="3" width="4.140625" style="93" customWidth="1"/>
    <col min="4" max="4" width="17.85546875" style="910" customWidth="1"/>
    <col min="5" max="5" width="8.7109375" style="817" bestFit="1" customWidth="1"/>
    <col min="6" max="6" width="3.7109375" style="817" customWidth="1"/>
    <col min="7" max="7" width="10.42578125" style="809" customWidth="1"/>
    <col min="8" max="8" width="25.7109375" style="809" customWidth="1"/>
    <col min="9" max="9" width="7.5703125" style="92" customWidth="1"/>
    <col min="10" max="10" width="7" style="92" customWidth="1"/>
    <col min="11" max="11" width="15.85546875" style="92" customWidth="1"/>
    <col min="12" max="12" width="2.85546875" style="810" customWidth="1"/>
    <col min="13" max="13" width="24.42578125" style="92" customWidth="1"/>
    <col min="14" max="14" width="4.140625" style="92" customWidth="1"/>
    <col min="15" max="15" width="20" style="812" customWidth="1"/>
    <col min="16" max="16" width="8.28515625" style="812" customWidth="1"/>
    <col min="17" max="17" width="21" style="812" customWidth="1"/>
    <col min="18" max="18" width="8.42578125" style="812" customWidth="1"/>
    <col min="19" max="19" width="14.140625" style="813" customWidth="1"/>
    <col min="20" max="20" width="12.85546875" style="813" customWidth="1"/>
    <col min="21" max="21" width="13.5703125" style="813" customWidth="1"/>
    <col min="22" max="22" width="11.42578125" style="814" customWidth="1"/>
    <col min="23" max="23" width="2.5703125" style="815" customWidth="1"/>
    <col min="24" max="24" width="16.140625" style="811" customWidth="1"/>
    <col min="25" max="27" width="9.140625" style="816" customWidth="1"/>
    <col min="28" max="28" width="15.28515625" style="924" customWidth="1"/>
    <col min="29" max="29" width="10.42578125" style="807" customWidth="1"/>
    <col min="30" max="30" width="17.140625" style="817" customWidth="1"/>
    <col min="31" max="31" width="21" style="93" customWidth="1"/>
    <col min="32" max="32" width="3" style="818" customWidth="1"/>
    <col min="33" max="33" width="27.42578125" style="809" customWidth="1"/>
    <col min="34" max="34" width="10.42578125" style="817" customWidth="1"/>
    <col min="35" max="35" width="12.5703125" style="865" customWidth="1"/>
    <col min="36" max="36" width="12.5703125" style="820" customWidth="1"/>
    <col min="37" max="37" width="27.7109375" style="836" customWidth="1"/>
    <col min="38" max="38" width="12" style="92" customWidth="1"/>
    <col min="39" max="39" width="17" style="92" customWidth="1"/>
    <col min="40" max="40" width="11.5703125" style="813" customWidth="1"/>
    <col min="41" max="41" width="9.140625" style="817" customWidth="1"/>
    <col min="42" max="42" width="11.28515625" style="820" customWidth="1"/>
    <col min="43" max="54" width="9.140625" style="807"/>
    <col min="55" max="63" width="9.140625" style="93"/>
    <col min="64" max="65" width="9.140625" style="807"/>
    <col min="66" max="66" width="9.140625" style="93"/>
    <col min="67" max="81" width="9.140625" style="807"/>
    <col min="82" max="83" width="9.140625" style="93"/>
    <col min="84" max="95" width="9.140625" style="807"/>
    <col min="96" max="96" width="11.42578125" style="807" customWidth="1"/>
    <col min="97" max="97" width="12.28515625" style="807" customWidth="1"/>
    <col min="98" max="196" width="9.140625" style="807"/>
    <col min="197" max="197" width="9.140625" style="92"/>
    <col min="198" max="198" width="29.85546875" style="831" bestFit="1" customWidth="1"/>
    <col min="199" max="199" width="9.140625" style="807"/>
    <col min="200" max="200" width="24.42578125" style="807" bestFit="1" customWidth="1"/>
    <col min="201" max="201" width="9.140625" style="807"/>
    <col min="202" max="202" width="27.42578125" style="807" bestFit="1" customWidth="1"/>
    <col min="203" max="16384" width="9.140625" style="807"/>
  </cols>
  <sheetData>
    <row r="1" spans="1:202" s="804" customFormat="1" ht="45.75" customHeight="1">
      <c r="A1" s="1198" t="s">
        <v>8152</v>
      </c>
      <c r="B1" s="1190" t="s">
        <v>1094</v>
      </c>
      <c r="C1" s="1190"/>
      <c r="D1" s="1189">
        <v>891</v>
      </c>
      <c r="E1" s="1189">
        <v>752</v>
      </c>
      <c r="F1" s="787"/>
      <c r="G1" s="783" t="s">
        <v>2964</v>
      </c>
      <c r="H1" s="784" t="s">
        <v>8153</v>
      </c>
      <c r="I1" s="784" t="s">
        <v>696</v>
      </c>
      <c r="J1" s="784" t="s">
        <v>697</v>
      </c>
      <c r="K1" s="784" t="s">
        <v>698</v>
      </c>
      <c r="L1" s="2016" t="s">
        <v>8154</v>
      </c>
      <c r="M1" s="2017"/>
      <c r="N1" s="1204" t="s">
        <v>8155</v>
      </c>
      <c r="O1" s="1217" t="s">
        <v>8156</v>
      </c>
      <c r="P1" s="1238"/>
      <c r="Q1" s="1238"/>
      <c r="R1" s="1241"/>
      <c r="S1" s="1218" t="s">
        <v>8157</v>
      </c>
      <c r="T1" s="1218" t="s">
        <v>8158</v>
      </c>
      <c r="U1" s="1218" t="s">
        <v>2195</v>
      </c>
      <c r="V1" s="789" t="s">
        <v>8159</v>
      </c>
      <c r="W1" s="2018" t="s">
        <v>8160</v>
      </c>
      <c r="X1" s="2019"/>
      <c r="Y1" s="788" t="s">
        <v>1985</v>
      </c>
      <c r="Z1" s="788" t="s">
        <v>2038</v>
      </c>
      <c r="AA1" s="788" t="s">
        <v>2039</v>
      </c>
      <c r="AB1" s="790" t="s">
        <v>8161</v>
      </c>
      <c r="AC1" s="784" t="s">
        <v>2138</v>
      </c>
      <c r="AD1" s="791" t="s">
        <v>8162</v>
      </c>
      <c r="AE1" s="783" t="s">
        <v>8163</v>
      </c>
      <c r="AF1" s="792"/>
      <c r="AG1" s="783" t="s">
        <v>8164</v>
      </c>
      <c r="AH1" s="793" t="s">
        <v>8165</v>
      </c>
      <c r="AI1" s="793" t="s">
        <v>2196</v>
      </c>
      <c r="AJ1" s="794" t="s">
        <v>1221</v>
      </c>
      <c r="AK1" s="795" t="s">
        <v>8166</v>
      </c>
      <c r="AL1" s="796" t="s">
        <v>8167</v>
      </c>
      <c r="AM1" s="797" t="s">
        <v>8168</v>
      </c>
      <c r="AN1" s="798" t="s">
        <v>8169</v>
      </c>
      <c r="AO1" s="799" t="s">
        <v>8170</v>
      </c>
      <c r="AP1" s="800" t="s">
        <v>1221</v>
      </c>
      <c r="AQ1" s="801" t="s">
        <v>2197</v>
      </c>
      <c r="AR1" s="802" t="s">
        <v>2198</v>
      </c>
      <c r="AS1" s="802" t="s">
        <v>8171</v>
      </c>
      <c r="AT1" s="802" t="s">
        <v>8172</v>
      </c>
      <c r="AU1" s="802" t="s">
        <v>8173</v>
      </c>
      <c r="AV1" s="802" t="s">
        <v>8174</v>
      </c>
      <c r="AW1" s="802" t="s">
        <v>8175</v>
      </c>
      <c r="AX1" s="802" t="s">
        <v>8176</v>
      </c>
      <c r="AY1" s="802" t="s">
        <v>8177</v>
      </c>
      <c r="AZ1" s="802" t="s">
        <v>8178</v>
      </c>
      <c r="BA1" s="802" t="s">
        <v>8179</v>
      </c>
      <c r="BB1" s="802" t="s">
        <v>8180</v>
      </c>
      <c r="BC1" s="802" t="s">
        <v>8181</v>
      </c>
      <c r="BD1" s="802" t="s">
        <v>8182</v>
      </c>
      <c r="BE1" s="802" t="s">
        <v>8183</v>
      </c>
      <c r="BF1" s="802" t="s">
        <v>2199</v>
      </c>
      <c r="BG1" s="802" t="s">
        <v>8184</v>
      </c>
      <c r="BH1" s="802" t="s">
        <v>8185</v>
      </c>
      <c r="BI1" s="802" t="s">
        <v>8186</v>
      </c>
      <c r="BJ1" s="802" t="s">
        <v>2200</v>
      </c>
      <c r="BK1" s="802" t="s">
        <v>8187</v>
      </c>
      <c r="BL1" s="802" t="s">
        <v>8188</v>
      </c>
      <c r="BM1" s="802" t="s">
        <v>8189</v>
      </c>
      <c r="BN1" s="802" t="s">
        <v>8190</v>
      </c>
      <c r="BO1" s="802" t="s">
        <v>2201</v>
      </c>
      <c r="BP1" s="802" t="s">
        <v>8191</v>
      </c>
      <c r="BQ1" s="802" t="s">
        <v>2202</v>
      </c>
      <c r="BR1" s="802" t="s">
        <v>8192</v>
      </c>
      <c r="BS1" s="802" t="s">
        <v>8193</v>
      </c>
      <c r="BT1" s="802" t="s">
        <v>704</v>
      </c>
      <c r="BU1" s="803" t="s">
        <v>3493</v>
      </c>
      <c r="BV1" s="803" t="s">
        <v>8194</v>
      </c>
      <c r="BW1" s="803" t="s">
        <v>2203</v>
      </c>
      <c r="BX1" s="803" t="s">
        <v>8195</v>
      </c>
      <c r="BY1" s="803" t="s">
        <v>2204</v>
      </c>
      <c r="BZ1" s="803" t="s">
        <v>8196</v>
      </c>
      <c r="CA1" s="803" t="s">
        <v>8197</v>
      </c>
      <c r="CB1" s="803" t="s">
        <v>8198</v>
      </c>
      <c r="CC1" s="803" t="s">
        <v>8199</v>
      </c>
      <c r="CD1" s="803" t="s">
        <v>8200</v>
      </c>
      <c r="CE1" s="803" t="s">
        <v>8201</v>
      </c>
      <c r="CF1" s="803" t="s">
        <v>8202</v>
      </c>
      <c r="CG1" s="803" t="s">
        <v>8203</v>
      </c>
      <c r="CH1" s="803" t="s">
        <v>8204</v>
      </c>
      <c r="CI1" s="803" t="s">
        <v>8184</v>
      </c>
      <c r="CJ1" s="803" t="s">
        <v>8205</v>
      </c>
      <c r="CK1" s="803" t="s">
        <v>8206</v>
      </c>
      <c r="CL1" s="803" t="s">
        <v>8207</v>
      </c>
      <c r="CM1" s="803" t="s">
        <v>8208</v>
      </c>
      <c r="CN1" s="803" t="s">
        <v>8209</v>
      </c>
      <c r="CO1" s="803" t="s">
        <v>8210</v>
      </c>
      <c r="CP1" s="803" t="s">
        <v>8211</v>
      </c>
      <c r="CQ1" s="803" t="s">
        <v>2206</v>
      </c>
      <c r="CR1" s="803" t="s">
        <v>8212</v>
      </c>
      <c r="CS1" s="803" t="s">
        <v>1998</v>
      </c>
      <c r="CT1" s="803" t="s">
        <v>2207</v>
      </c>
      <c r="CU1" s="803" t="s">
        <v>8213</v>
      </c>
      <c r="CV1" s="803" t="s">
        <v>8214</v>
      </c>
      <c r="CW1" s="803" t="s">
        <v>8215</v>
      </c>
      <c r="CX1" s="803" t="s">
        <v>8216</v>
      </c>
      <c r="CY1" s="803" t="s">
        <v>8217</v>
      </c>
      <c r="CZ1" s="803" t="s">
        <v>8218</v>
      </c>
      <c r="DA1" s="803" t="s">
        <v>8219</v>
      </c>
      <c r="DB1" s="803" t="s">
        <v>8220</v>
      </c>
      <c r="DC1" s="803" t="s">
        <v>8221</v>
      </c>
      <c r="DD1" s="803" t="s">
        <v>2208</v>
      </c>
      <c r="DE1" s="803" t="s">
        <v>2197</v>
      </c>
      <c r="DF1" s="803" t="s">
        <v>8222</v>
      </c>
      <c r="DG1" s="803" t="s">
        <v>1878</v>
      </c>
      <c r="DH1" s="803" t="s">
        <v>8223</v>
      </c>
      <c r="DI1" s="803" t="s">
        <v>8224</v>
      </c>
      <c r="DJ1" s="803" t="s">
        <v>1882</v>
      </c>
      <c r="DK1" s="803" t="s">
        <v>8225</v>
      </c>
      <c r="DL1" s="803" t="s">
        <v>8226</v>
      </c>
      <c r="DM1" s="803" t="s">
        <v>8227</v>
      </c>
      <c r="DO1" s="805"/>
      <c r="GO1" s="2020" t="s">
        <v>8228</v>
      </c>
      <c r="GP1" s="2020"/>
      <c r="GQ1" s="2021" t="s">
        <v>8229</v>
      </c>
      <c r="GR1" s="2021"/>
      <c r="GS1" s="2022" t="s">
        <v>8230</v>
      </c>
      <c r="GT1" s="2022"/>
    </row>
    <row r="2" spans="1:202" ht="15">
      <c r="A2" s="767" t="s">
        <v>7421</v>
      </c>
      <c r="B2" s="288" t="s">
        <v>11952</v>
      </c>
      <c r="C2" s="168" t="s">
        <v>15</v>
      </c>
      <c r="D2" s="1056" t="s">
        <v>12</v>
      </c>
      <c r="G2" s="808" t="s">
        <v>12</v>
      </c>
      <c r="M2" s="811" t="str">
        <f t="shared" ref="M2:M33" si="0">IF(ISBLANK(L2)=TRUE,"",LOOKUP(L2,GQ:GR))</f>
        <v/>
      </c>
      <c r="P2" s="1638"/>
      <c r="R2" s="812" t="s">
        <v>1208</v>
      </c>
      <c r="X2" s="811" t="str">
        <f t="shared" ref="X2:X44" si="1">IF(ISBLANK(W2)=TRUE,"",LOOKUP(W2,GO:GP))</f>
        <v/>
      </c>
      <c r="AB2" s="814"/>
      <c r="AC2" s="809"/>
      <c r="AD2" s="817" t="s">
        <v>2147</v>
      </c>
      <c r="AG2" s="807" t="str">
        <f>IF(ISBLANK(AF2)=TRUE,"",LOOKUP(AF2,GS:GT))</f>
        <v/>
      </c>
      <c r="AH2" s="807"/>
      <c r="AI2" s="807"/>
      <c r="AJ2" s="807"/>
      <c r="AK2" s="92"/>
      <c r="AM2" s="819"/>
      <c r="AN2" s="820"/>
      <c r="AQ2" s="93"/>
      <c r="AR2" s="93"/>
      <c r="AS2" s="93"/>
      <c r="AT2" s="93"/>
      <c r="AU2" s="93"/>
      <c r="AV2" s="93"/>
      <c r="AW2" s="93"/>
      <c r="AX2" s="93"/>
      <c r="AY2" s="93"/>
      <c r="AZ2" s="93"/>
      <c r="BA2" s="93"/>
      <c r="BB2" s="93"/>
      <c r="BL2" s="93"/>
      <c r="BM2" s="93"/>
      <c r="BT2" s="93"/>
      <c r="BU2" s="93"/>
      <c r="BV2" s="93"/>
      <c r="BW2" s="93"/>
      <c r="BX2" s="93"/>
      <c r="BY2" s="93"/>
      <c r="BZ2" s="93"/>
      <c r="CA2" s="93"/>
      <c r="CB2" s="93"/>
      <c r="CC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GO2" s="821">
        <v>0</v>
      </c>
      <c r="GP2" s="92" t="s">
        <v>8231</v>
      </c>
      <c r="GQ2" s="127">
        <v>0</v>
      </c>
      <c r="GR2" s="92" t="s">
        <v>2035</v>
      </c>
      <c r="GS2" s="93">
        <v>1</v>
      </c>
      <c r="GT2" s="93" t="s">
        <v>8232</v>
      </c>
    </row>
    <row r="3" spans="1:202" ht="15">
      <c r="A3" s="154" t="s">
        <v>7419</v>
      </c>
      <c r="B3" s="288" t="s">
        <v>7568</v>
      </c>
      <c r="C3" s="168" t="s">
        <v>35</v>
      </c>
      <c r="D3" s="1056" t="s">
        <v>11241</v>
      </c>
      <c r="E3" s="6"/>
      <c r="F3" s="6"/>
      <c r="G3" s="808" t="s">
        <v>11241</v>
      </c>
      <c r="H3" s="809" t="s">
        <v>11247</v>
      </c>
      <c r="I3" s="92">
        <v>55</v>
      </c>
      <c r="J3" s="92" t="s">
        <v>10</v>
      </c>
      <c r="K3" s="92" t="s">
        <v>707</v>
      </c>
      <c r="L3" s="810">
        <v>7</v>
      </c>
      <c r="M3" s="811" t="str">
        <f t="shared" si="0"/>
        <v>College Graduate or Higher</v>
      </c>
      <c r="N3" s="92" t="s">
        <v>1208</v>
      </c>
      <c r="O3" s="812" t="s">
        <v>7300</v>
      </c>
      <c r="P3" s="1638" t="s">
        <v>12617</v>
      </c>
      <c r="Q3" s="812" t="s">
        <v>7300</v>
      </c>
      <c r="R3" s="812" t="s">
        <v>8234</v>
      </c>
      <c r="S3" s="813">
        <v>70000</v>
      </c>
      <c r="V3" s="873"/>
      <c r="W3" s="815">
        <v>3</v>
      </c>
      <c r="X3" s="811" t="str">
        <f t="shared" si="1"/>
        <v>within the Province</v>
      </c>
      <c r="Y3" s="816">
        <f>200*24</f>
        <v>4800</v>
      </c>
      <c r="AB3" s="873"/>
      <c r="AC3" s="809"/>
      <c r="AD3" s="809" t="s">
        <v>11253</v>
      </c>
      <c r="AG3" s="807"/>
      <c r="AH3" s="807"/>
      <c r="AI3" s="807"/>
      <c r="AJ3" s="807"/>
      <c r="AK3" s="92"/>
      <c r="AM3" s="819"/>
      <c r="AN3" s="820"/>
      <c r="AQ3" s="93"/>
      <c r="AR3" s="93"/>
      <c r="AS3" s="93"/>
      <c r="AT3" s="93"/>
      <c r="AU3" s="93"/>
      <c r="AV3" s="93"/>
      <c r="AW3" s="93"/>
      <c r="AX3" s="93"/>
      <c r="AY3" s="93"/>
      <c r="AZ3" s="93"/>
      <c r="BA3" s="93"/>
      <c r="BB3" s="93"/>
      <c r="BL3" s="93"/>
      <c r="BM3" s="93"/>
      <c r="BT3" s="93"/>
      <c r="BU3" s="93"/>
      <c r="BV3" s="93"/>
      <c r="BW3" s="93"/>
      <c r="BX3" s="93"/>
      <c r="BY3" s="93"/>
      <c r="BZ3" s="93"/>
      <c r="CA3" s="93"/>
      <c r="CB3" s="93"/>
      <c r="CC3" s="93"/>
      <c r="CF3" s="93"/>
      <c r="CG3" s="93"/>
      <c r="CH3" s="93"/>
      <c r="CI3" s="93"/>
      <c r="CJ3" s="93"/>
      <c r="CK3" s="93"/>
      <c r="CL3" s="93"/>
      <c r="CM3" s="93"/>
      <c r="CN3" s="93"/>
      <c r="CO3" s="93"/>
      <c r="CP3" s="93"/>
      <c r="CQ3" s="93"/>
      <c r="CR3" s="93"/>
      <c r="CS3" s="93"/>
      <c r="CT3" s="93"/>
      <c r="CU3" s="93"/>
      <c r="CV3" s="93"/>
      <c r="CW3" s="93"/>
      <c r="CX3" s="93"/>
      <c r="CY3" s="93"/>
      <c r="CZ3" s="93"/>
      <c r="DA3" s="93"/>
      <c r="DB3" s="93"/>
      <c r="DC3" s="93"/>
      <c r="DD3" s="93"/>
      <c r="DE3" s="93"/>
      <c r="DF3" s="93"/>
      <c r="DG3" s="93"/>
      <c r="DH3" s="93"/>
      <c r="DI3" s="93"/>
      <c r="DJ3" s="93"/>
      <c r="DK3" s="93"/>
      <c r="DL3" s="93"/>
      <c r="DM3" s="93"/>
      <c r="DN3" s="93"/>
      <c r="DO3" s="93"/>
      <c r="GO3" s="821"/>
      <c r="GP3" s="92"/>
      <c r="GQ3" s="127"/>
      <c r="GR3" s="92"/>
      <c r="GS3" s="93"/>
      <c r="GT3" s="93"/>
    </row>
    <row r="4" spans="1:202" ht="15">
      <c r="D4" s="1056"/>
      <c r="G4" s="808"/>
      <c r="H4" s="809" t="s">
        <v>11249</v>
      </c>
      <c r="I4" s="92">
        <v>46</v>
      </c>
      <c r="J4" s="92" t="s">
        <v>18</v>
      </c>
      <c r="K4" s="92" t="s">
        <v>707</v>
      </c>
      <c r="L4" s="810">
        <v>7</v>
      </c>
      <c r="M4" s="811" t="str">
        <f t="shared" si="0"/>
        <v>College Graduate or Higher</v>
      </c>
      <c r="P4" s="1638"/>
      <c r="V4" s="873"/>
      <c r="X4" s="811" t="str">
        <f t="shared" si="1"/>
        <v/>
      </c>
      <c r="AB4" s="873"/>
      <c r="AC4" s="809"/>
      <c r="AG4" s="807"/>
      <c r="AH4" s="807"/>
      <c r="AI4" s="807"/>
      <c r="AJ4" s="807"/>
      <c r="AK4" s="92"/>
      <c r="AM4" s="819"/>
      <c r="AN4" s="820"/>
      <c r="AQ4" s="93"/>
      <c r="AR4" s="93"/>
      <c r="AS4" s="93"/>
      <c r="AT4" s="93"/>
      <c r="AU4" s="93"/>
      <c r="AV4" s="93"/>
      <c r="AW4" s="93"/>
      <c r="AX4" s="93"/>
      <c r="AY4" s="93"/>
      <c r="AZ4" s="93"/>
      <c r="BA4" s="93"/>
      <c r="BB4" s="93"/>
      <c r="BL4" s="93"/>
      <c r="BM4" s="93"/>
      <c r="BT4" s="93"/>
      <c r="BU4" s="93"/>
      <c r="BV4" s="93"/>
      <c r="BW4" s="93"/>
      <c r="BX4" s="93"/>
      <c r="BY4" s="93"/>
      <c r="BZ4" s="93"/>
      <c r="CA4" s="93"/>
      <c r="CB4" s="93"/>
      <c r="CC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GO4" s="821"/>
      <c r="GP4" s="92"/>
      <c r="GQ4" s="127"/>
      <c r="GR4" s="92"/>
      <c r="GS4" s="93"/>
      <c r="GT4" s="93"/>
    </row>
    <row r="5" spans="1:202" ht="15">
      <c r="D5" s="1056"/>
      <c r="G5" s="808"/>
      <c r="H5" s="809" t="s">
        <v>11250</v>
      </c>
      <c r="I5" s="92">
        <v>80</v>
      </c>
      <c r="J5" s="92" t="s">
        <v>18</v>
      </c>
      <c r="K5" s="92" t="s">
        <v>719</v>
      </c>
      <c r="L5" s="810">
        <v>3</v>
      </c>
      <c r="M5" s="811" t="str">
        <f t="shared" si="0"/>
        <v>Elementary Graduate</v>
      </c>
      <c r="P5" s="1638"/>
      <c r="V5" s="873"/>
      <c r="X5" s="811" t="str">
        <f t="shared" si="1"/>
        <v/>
      </c>
      <c r="AB5" s="873"/>
      <c r="AC5" s="809"/>
      <c r="AG5" s="807" t="str">
        <f t="shared" ref="AG5:AG37" si="2">IF(ISBLANK(AF5)=TRUE,"",LOOKUP(AF5,GS:GT))</f>
        <v/>
      </c>
      <c r="AH5" s="807"/>
      <c r="AI5" s="807"/>
      <c r="AJ5" s="807"/>
      <c r="AK5" s="92"/>
      <c r="AM5" s="819"/>
      <c r="AN5" s="820"/>
      <c r="AQ5" s="93"/>
      <c r="AR5" s="93"/>
      <c r="AS5" s="93"/>
      <c r="AT5" s="93"/>
      <c r="AU5" s="93"/>
      <c r="AV5" s="93"/>
      <c r="AW5" s="93"/>
      <c r="AX5" s="93"/>
      <c r="AY5" s="93"/>
      <c r="AZ5" s="93"/>
      <c r="BA5" s="93"/>
      <c r="BB5" s="93"/>
      <c r="BL5" s="93"/>
      <c r="BM5" s="93"/>
      <c r="BT5" s="93"/>
      <c r="BU5" s="93"/>
      <c r="BV5" s="93"/>
      <c r="BW5" s="93"/>
      <c r="BX5" s="93"/>
      <c r="BY5" s="93"/>
      <c r="BZ5" s="93"/>
      <c r="CA5" s="93"/>
      <c r="CB5" s="93"/>
      <c r="CC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GO5" s="821"/>
      <c r="GP5" s="92"/>
      <c r="GQ5" s="127"/>
      <c r="GR5" s="92"/>
      <c r="GS5" s="93"/>
      <c r="GT5" s="93"/>
    </row>
    <row r="6" spans="1:202" ht="15">
      <c r="D6" s="1056"/>
      <c r="G6" s="808"/>
      <c r="H6" s="809" t="s">
        <v>11251</v>
      </c>
      <c r="I6" s="92">
        <v>36</v>
      </c>
      <c r="J6" s="92" t="s">
        <v>18</v>
      </c>
      <c r="K6" s="92" t="s">
        <v>707</v>
      </c>
      <c r="L6" s="810">
        <v>7</v>
      </c>
      <c r="M6" s="811" t="str">
        <f t="shared" si="0"/>
        <v>College Graduate or Higher</v>
      </c>
      <c r="P6" s="1638"/>
      <c r="V6" s="873"/>
      <c r="X6" s="811" t="str">
        <f t="shared" si="1"/>
        <v/>
      </c>
      <c r="AB6" s="873"/>
      <c r="AC6" s="809"/>
      <c r="AG6" s="807" t="str">
        <f t="shared" si="2"/>
        <v/>
      </c>
      <c r="AH6" s="807"/>
      <c r="AI6" s="807"/>
      <c r="AJ6" s="807"/>
      <c r="AK6" s="92"/>
      <c r="AM6" s="819"/>
      <c r="AN6" s="820"/>
      <c r="AQ6" s="93"/>
      <c r="AR6" s="93"/>
      <c r="AS6" s="93"/>
      <c r="AT6" s="93"/>
      <c r="AU6" s="93"/>
      <c r="AV6" s="93"/>
      <c r="AW6" s="93"/>
      <c r="AX6" s="93"/>
      <c r="AY6" s="93"/>
      <c r="AZ6" s="93"/>
      <c r="BA6" s="93"/>
      <c r="BB6" s="93"/>
      <c r="BL6" s="93"/>
      <c r="BM6" s="93"/>
      <c r="BT6" s="93"/>
      <c r="BU6" s="93"/>
      <c r="BV6" s="93"/>
      <c r="BW6" s="93"/>
      <c r="BX6" s="93"/>
      <c r="BY6" s="93"/>
      <c r="BZ6" s="93"/>
      <c r="CA6" s="93"/>
      <c r="CB6" s="93"/>
      <c r="CC6" s="93"/>
      <c r="CF6" s="93"/>
      <c r="CG6" s="93"/>
      <c r="CH6" s="93"/>
      <c r="CI6" s="93"/>
      <c r="CJ6" s="93"/>
      <c r="CK6" s="93"/>
      <c r="CL6" s="93"/>
      <c r="CM6" s="93"/>
      <c r="CN6" s="93"/>
      <c r="CO6" s="93"/>
      <c r="CP6" s="93"/>
      <c r="CQ6" s="93"/>
      <c r="CR6" s="93"/>
      <c r="CS6" s="93"/>
      <c r="CT6" s="93"/>
      <c r="CU6" s="93"/>
      <c r="CV6" s="93"/>
      <c r="CW6" s="93"/>
      <c r="CX6" s="93"/>
      <c r="CY6" s="93"/>
      <c r="CZ6" s="93"/>
      <c r="DA6" s="93"/>
      <c r="DB6" s="93"/>
      <c r="DC6" s="93"/>
      <c r="DD6" s="93"/>
      <c r="DE6" s="93"/>
      <c r="DF6" s="93"/>
      <c r="DG6" s="93"/>
      <c r="DH6" s="93"/>
      <c r="DI6" s="93"/>
      <c r="DJ6" s="93"/>
      <c r="DK6" s="93"/>
      <c r="DL6" s="93"/>
      <c r="DM6" s="93"/>
      <c r="DN6" s="93"/>
      <c r="DO6" s="93"/>
      <c r="GO6" s="821"/>
      <c r="GP6" s="92"/>
      <c r="GQ6" s="127"/>
      <c r="GR6" s="92"/>
      <c r="GS6" s="93"/>
      <c r="GT6" s="93"/>
    </row>
    <row r="7" spans="1:202" ht="15">
      <c r="D7" s="1056"/>
      <c r="G7" s="808"/>
      <c r="H7" s="809" t="s">
        <v>11252</v>
      </c>
      <c r="I7" s="92">
        <f>2/12</f>
        <v>0.16666666666666666</v>
      </c>
      <c r="J7" s="92" t="s">
        <v>18</v>
      </c>
      <c r="K7" s="92" t="s">
        <v>768</v>
      </c>
      <c r="L7" s="810">
        <v>10</v>
      </c>
      <c r="M7" s="811" t="str">
        <f t="shared" si="0"/>
        <v>Not In School Age</v>
      </c>
      <c r="P7" s="1638"/>
      <c r="V7" s="873">
        <f>SUM(S3:U7)</f>
        <v>70000</v>
      </c>
      <c r="X7" s="811" t="str">
        <f t="shared" si="1"/>
        <v/>
      </c>
      <c r="AB7" s="873">
        <f>SUM(Y3:AA7)</f>
        <v>4800</v>
      </c>
      <c r="AC7" s="809"/>
      <c r="AG7" s="807" t="str">
        <f t="shared" si="2"/>
        <v/>
      </c>
      <c r="AH7" s="807"/>
      <c r="AI7" s="807"/>
      <c r="AJ7" s="807"/>
      <c r="AK7" s="92"/>
      <c r="AM7" s="819"/>
      <c r="AN7" s="820"/>
      <c r="AQ7" s="93"/>
      <c r="AR7" s="93"/>
      <c r="AS7" s="93"/>
      <c r="AT7" s="93"/>
      <c r="AU7" s="93"/>
      <c r="AV7" s="93"/>
      <c r="AW7" s="93"/>
      <c r="AX7" s="93"/>
      <c r="AY7" s="93"/>
      <c r="AZ7" s="93"/>
      <c r="BA7" s="93"/>
      <c r="BB7" s="93"/>
      <c r="BL7" s="93"/>
      <c r="BM7" s="93"/>
      <c r="BT7" s="93"/>
      <c r="BU7" s="93"/>
      <c r="BV7" s="93"/>
      <c r="BW7" s="93"/>
      <c r="BX7" s="93"/>
      <c r="BY7" s="93"/>
      <c r="BZ7" s="93"/>
      <c r="CA7" s="93"/>
      <c r="CB7" s="93"/>
      <c r="CC7" s="93"/>
      <c r="CF7" s="93"/>
      <c r="CG7" s="93"/>
      <c r="CH7" s="93"/>
      <c r="CI7" s="93"/>
      <c r="CJ7" s="93"/>
      <c r="CK7" s="93"/>
      <c r="CL7" s="93"/>
      <c r="CM7" s="93"/>
      <c r="CN7" s="93"/>
      <c r="CO7" s="93"/>
      <c r="CP7" s="93"/>
      <c r="CQ7" s="93"/>
      <c r="CR7" s="93"/>
      <c r="CS7" s="93"/>
      <c r="CT7" s="93"/>
      <c r="CU7" s="93"/>
      <c r="CV7" s="93"/>
      <c r="CW7" s="93"/>
      <c r="CX7" s="93"/>
      <c r="CY7" s="93"/>
      <c r="CZ7" s="93"/>
      <c r="DA7" s="93"/>
      <c r="DB7" s="93"/>
      <c r="DC7" s="93"/>
      <c r="DD7" s="93"/>
      <c r="DE7" s="93"/>
      <c r="DF7" s="93"/>
      <c r="DG7" s="93"/>
      <c r="DH7" s="93"/>
      <c r="DI7" s="93"/>
      <c r="DJ7" s="93"/>
      <c r="DK7" s="93"/>
      <c r="DL7" s="93"/>
      <c r="DM7" s="93"/>
      <c r="DN7" s="93"/>
      <c r="DO7" s="93"/>
      <c r="GO7" s="821"/>
      <c r="GP7" s="92"/>
      <c r="GQ7" s="127"/>
      <c r="GR7" s="92"/>
      <c r="GS7" s="93"/>
      <c r="GT7" s="93"/>
    </row>
    <row r="8" spans="1:202" s="806" customFormat="1" ht="15">
      <c r="A8" s="1076"/>
      <c r="B8" s="6"/>
      <c r="C8" s="164"/>
      <c r="D8" s="1056" t="s">
        <v>30</v>
      </c>
      <c r="E8" s="169" t="s">
        <v>30</v>
      </c>
      <c r="F8" s="1047" t="s">
        <v>2042</v>
      </c>
      <c r="G8" s="809" t="s">
        <v>30</v>
      </c>
      <c r="H8" s="809" t="s">
        <v>2042</v>
      </c>
      <c r="I8" s="92">
        <v>45</v>
      </c>
      <c r="J8" s="92" t="s">
        <v>10</v>
      </c>
      <c r="K8" s="92" t="s">
        <v>707</v>
      </c>
      <c r="L8" s="810">
        <v>7</v>
      </c>
      <c r="M8" s="811" t="str">
        <f t="shared" si="0"/>
        <v>College Graduate or Higher</v>
      </c>
      <c r="N8" s="92" t="s">
        <v>1208</v>
      </c>
      <c r="O8" s="92" t="s">
        <v>8233</v>
      </c>
      <c r="P8" s="1638"/>
      <c r="Q8" s="92" t="s">
        <v>8233</v>
      </c>
      <c r="R8" s="92" t="s">
        <v>8234</v>
      </c>
      <c r="S8" s="813">
        <v>300000</v>
      </c>
      <c r="T8" s="813"/>
      <c r="U8" s="813"/>
      <c r="V8" s="822"/>
      <c r="W8" s="815">
        <v>3</v>
      </c>
      <c r="X8" s="811" t="str">
        <f t="shared" si="1"/>
        <v>within the Province</v>
      </c>
      <c r="Y8" s="823">
        <v>4000</v>
      </c>
      <c r="Z8" s="816"/>
      <c r="AA8" s="816"/>
      <c r="AB8" s="822"/>
      <c r="AC8" s="809" t="s">
        <v>8235</v>
      </c>
      <c r="AD8" s="824" t="s">
        <v>110</v>
      </c>
      <c r="AE8" s="93"/>
      <c r="AF8" s="818"/>
      <c r="AG8" s="807" t="str">
        <f t="shared" si="2"/>
        <v/>
      </c>
      <c r="AH8" s="807"/>
      <c r="AI8" s="807"/>
      <c r="AJ8" s="807"/>
      <c r="AK8" s="92"/>
      <c r="AL8" s="92"/>
      <c r="AM8" s="819"/>
      <c r="AN8" s="820"/>
      <c r="AO8" s="817"/>
      <c r="AP8" s="820"/>
      <c r="AQ8" s="93"/>
      <c r="AR8" s="93"/>
      <c r="AS8" s="93"/>
      <c r="AT8" s="93"/>
      <c r="AU8" s="93"/>
      <c r="AV8" s="93"/>
      <c r="AW8" s="93"/>
      <c r="AX8" s="93"/>
      <c r="AY8" s="93"/>
      <c r="AZ8" s="93"/>
      <c r="BA8" s="93"/>
      <c r="BB8" s="93"/>
      <c r="BC8" s="93"/>
      <c r="BD8" s="93"/>
      <c r="BE8" s="93"/>
      <c r="BF8" s="93"/>
      <c r="BG8" s="93"/>
      <c r="BH8" s="93"/>
      <c r="BI8" s="93"/>
      <c r="BJ8" s="93"/>
      <c r="BK8" s="93"/>
      <c r="BL8" s="93"/>
      <c r="BM8" s="93"/>
      <c r="BN8" s="93"/>
      <c r="BT8" s="93"/>
      <c r="BU8" s="93"/>
      <c r="BV8" s="93"/>
      <c r="BW8" s="93"/>
      <c r="BX8" s="93"/>
      <c r="BY8" s="93"/>
      <c r="BZ8" s="93"/>
      <c r="CA8" s="93"/>
      <c r="CB8" s="93"/>
      <c r="CC8" s="93"/>
      <c r="CD8" s="93"/>
      <c r="CE8" s="93"/>
      <c r="CF8" s="93"/>
      <c r="CG8" s="93"/>
      <c r="CI8" s="93"/>
      <c r="CJ8" s="93"/>
      <c r="CK8" s="93"/>
      <c r="CL8" s="93"/>
      <c r="CM8" s="93"/>
      <c r="CN8" s="93"/>
      <c r="CO8" s="93"/>
      <c r="CP8" s="93"/>
      <c r="CQ8" s="93"/>
      <c r="CR8" s="93"/>
      <c r="CS8" s="93"/>
      <c r="CT8" s="93"/>
      <c r="CU8" s="93"/>
      <c r="CV8" s="93"/>
      <c r="CW8" s="93"/>
      <c r="CX8" s="93"/>
      <c r="CY8" s="93"/>
      <c r="CZ8" s="93"/>
      <c r="DA8" s="93"/>
      <c r="DB8" s="93"/>
      <c r="DC8" s="93"/>
      <c r="DD8" s="93"/>
      <c r="DE8" s="825"/>
      <c r="DF8" s="825"/>
      <c r="DG8" s="825"/>
      <c r="DH8" s="825"/>
      <c r="DI8" s="826"/>
      <c r="DJ8" s="825"/>
      <c r="GO8" s="821">
        <v>1</v>
      </c>
      <c r="GP8" s="92" t="s">
        <v>5490</v>
      </c>
      <c r="GQ8" s="127">
        <v>1</v>
      </c>
      <c r="GR8" s="92" t="s">
        <v>8236</v>
      </c>
      <c r="GS8" s="92">
        <v>2</v>
      </c>
      <c r="GT8" s="92" t="s">
        <v>8237</v>
      </c>
    </row>
    <row r="9" spans="1:202" s="806" customFormat="1" ht="15">
      <c r="A9" s="1076"/>
      <c r="B9" s="6"/>
      <c r="C9" s="164"/>
      <c r="D9" s="1056"/>
      <c r="G9" s="827"/>
      <c r="H9" s="809" t="s">
        <v>8238</v>
      </c>
      <c r="I9" s="92">
        <v>47</v>
      </c>
      <c r="J9" s="92" t="s">
        <v>18</v>
      </c>
      <c r="K9" s="92" t="s">
        <v>707</v>
      </c>
      <c r="L9" s="810">
        <v>7</v>
      </c>
      <c r="M9" s="811" t="str">
        <f t="shared" si="0"/>
        <v>College Graduate or Higher</v>
      </c>
      <c r="N9" s="92" t="s">
        <v>1208</v>
      </c>
      <c r="O9" s="92" t="s">
        <v>8239</v>
      </c>
      <c r="P9" s="1638"/>
      <c r="Q9" s="92" t="s">
        <v>8239</v>
      </c>
      <c r="R9" s="92" t="s">
        <v>10434</v>
      </c>
      <c r="S9" s="813" t="s">
        <v>4328</v>
      </c>
      <c r="T9" s="813"/>
      <c r="U9" s="813"/>
      <c r="V9" s="828"/>
      <c r="W9" s="815">
        <v>3</v>
      </c>
      <c r="X9" s="811" t="str">
        <f t="shared" si="1"/>
        <v>within the Province</v>
      </c>
      <c r="Y9" s="823">
        <v>5000</v>
      </c>
      <c r="Z9" s="816"/>
      <c r="AA9" s="816"/>
      <c r="AB9" s="828"/>
      <c r="AC9" s="809" t="s">
        <v>8240</v>
      </c>
      <c r="AD9" s="824"/>
      <c r="AE9" s="93"/>
      <c r="AF9" s="818"/>
      <c r="AG9" s="807" t="str">
        <f t="shared" si="2"/>
        <v/>
      </c>
      <c r="AH9" s="807"/>
      <c r="AI9" s="807"/>
      <c r="AJ9" s="807"/>
      <c r="AK9" s="92"/>
      <c r="AL9" s="92"/>
      <c r="AM9" s="819"/>
      <c r="AN9" s="820"/>
      <c r="AO9" s="817"/>
      <c r="AP9" s="820"/>
      <c r="AQ9" s="93"/>
      <c r="AR9" s="93"/>
      <c r="AS9" s="93"/>
      <c r="AT9" s="93"/>
      <c r="AU9" s="93"/>
      <c r="AV9" s="93"/>
      <c r="AW9" s="93"/>
      <c r="AX9" s="93"/>
      <c r="AY9" s="93"/>
      <c r="AZ9" s="93"/>
      <c r="BA9" s="93"/>
      <c r="BB9" s="93"/>
      <c r="BC9" s="93"/>
      <c r="BD9" s="93"/>
      <c r="BE9" s="93"/>
      <c r="BF9" s="93"/>
      <c r="BG9" s="93"/>
      <c r="BH9" s="93"/>
      <c r="BI9" s="93"/>
      <c r="BJ9" s="93"/>
      <c r="BK9" s="93"/>
      <c r="BL9" s="93"/>
      <c r="BM9" s="93"/>
      <c r="BN9" s="93"/>
      <c r="BT9" s="93"/>
      <c r="BU9" s="93"/>
      <c r="BV9" s="93"/>
      <c r="BW9" s="93"/>
      <c r="BX9" s="93"/>
      <c r="BY9" s="93"/>
      <c r="BZ9" s="93"/>
      <c r="CA9" s="93"/>
      <c r="CB9" s="93"/>
      <c r="CC9" s="93"/>
      <c r="CD9" s="93"/>
      <c r="CE9" s="93"/>
      <c r="CF9" s="93"/>
      <c r="CG9" s="93"/>
      <c r="CI9" s="93"/>
      <c r="CJ9" s="93"/>
      <c r="CK9" s="93"/>
      <c r="CL9" s="93"/>
      <c r="CM9" s="93"/>
      <c r="CN9" s="93"/>
      <c r="CO9" s="93"/>
      <c r="CP9" s="93"/>
      <c r="CQ9" s="93"/>
      <c r="CR9" s="93"/>
      <c r="CS9" s="93"/>
      <c r="CT9" s="93"/>
      <c r="CU9" s="93"/>
      <c r="CV9" s="93"/>
      <c r="CW9" s="93"/>
      <c r="CX9" s="93"/>
      <c r="CY9" s="93"/>
      <c r="CZ9" s="93"/>
      <c r="DA9" s="93"/>
      <c r="DB9" s="93"/>
      <c r="DC9" s="93"/>
      <c r="DD9" s="93"/>
      <c r="DE9" s="825"/>
      <c r="DF9" s="825"/>
      <c r="DG9" s="825"/>
      <c r="DH9" s="825"/>
      <c r="DI9" s="826"/>
      <c r="DJ9" s="825"/>
      <c r="GO9" s="821">
        <v>2</v>
      </c>
      <c r="GP9" s="92" t="s">
        <v>8241</v>
      </c>
      <c r="GQ9" s="127">
        <v>2</v>
      </c>
      <c r="GR9" s="92" t="s">
        <v>2134</v>
      </c>
      <c r="GS9" s="92">
        <v>3</v>
      </c>
      <c r="GT9" s="92" t="s">
        <v>8242</v>
      </c>
    </row>
    <row r="10" spans="1:202" ht="15">
      <c r="A10" s="1076"/>
      <c r="B10" s="6"/>
      <c r="C10" s="164"/>
      <c r="D10" s="1056"/>
      <c r="G10" s="827"/>
      <c r="H10" s="809" t="s">
        <v>8243</v>
      </c>
      <c r="I10" s="92">
        <v>18</v>
      </c>
      <c r="J10" s="92" t="s">
        <v>18</v>
      </c>
      <c r="K10" s="92" t="s">
        <v>768</v>
      </c>
      <c r="L10" s="810">
        <v>6</v>
      </c>
      <c r="M10" s="811" t="str">
        <f t="shared" si="0"/>
        <v>College Level</v>
      </c>
      <c r="N10" s="92" t="s">
        <v>110</v>
      </c>
      <c r="O10" s="92"/>
      <c r="P10" s="1638"/>
      <c r="Q10" s="92"/>
      <c r="R10" s="92"/>
      <c r="S10" s="820"/>
      <c r="T10" s="820"/>
      <c r="U10" s="820"/>
      <c r="V10" s="829"/>
      <c r="X10" s="811" t="str">
        <f t="shared" si="1"/>
        <v/>
      </c>
      <c r="AB10" s="829"/>
      <c r="AC10" s="809"/>
      <c r="AD10" s="824"/>
      <c r="AG10" s="807" t="str">
        <f t="shared" si="2"/>
        <v/>
      </c>
      <c r="AI10" s="817"/>
      <c r="AJ10" s="817"/>
      <c r="AK10" s="92"/>
      <c r="AM10" s="819"/>
      <c r="AN10" s="820"/>
      <c r="AQ10" s="93"/>
      <c r="AR10" s="93"/>
      <c r="AS10" s="93"/>
      <c r="AT10" s="93"/>
      <c r="AU10" s="93"/>
      <c r="AV10" s="93"/>
      <c r="AW10" s="93"/>
      <c r="AX10" s="93"/>
      <c r="AY10" s="93"/>
      <c r="AZ10" s="93"/>
      <c r="BA10" s="93"/>
      <c r="BB10" s="93"/>
      <c r="BL10" s="93"/>
      <c r="BM10" s="93"/>
      <c r="BT10" s="93"/>
      <c r="BU10" s="93"/>
      <c r="BV10" s="93"/>
      <c r="BW10" s="93"/>
      <c r="BX10" s="93"/>
      <c r="BY10" s="93"/>
      <c r="BZ10" s="93"/>
      <c r="CA10" s="93"/>
      <c r="CB10" s="93"/>
      <c r="CC10" s="93"/>
      <c r="CF10" s="93"/>
      <c r="CG10" s="93"/>
      <c r="CH10" s="93"/>
      <c r="CI10" s="93"/>
      <c r="CJ10" s="93"/>
      <c r="CK10" s="93"/>
      <c r="CL10" s="93"/>
      <c r="CM10" s="93"/>
      <c r="CN10" s="93"/>
      <c r="CO10" s="93"/>
      <c r="CP10" s="93"/>
      <c r="CQ10" s="93"/>
      <c r="CR10" s="93"/>
      <c r="CS10" s="93"/>
      <c r="CT10" s="93"/>
      <c r="CU10" s="93"/>
      <c r="CV10" s="93"/>
      <c r="CW10" s="93"/>
      <c r="CX10" s="93"/>
      <c r="CY10" s="93"/>
      <c r="CZ10" s="93"/>
      <c r="DA10" s="93"/>
      <c r="DB10" s="93"/>
      <c r="DC10" s="93"/>
      <c r="DD10" s="93"/>
      <c r="DE10" s="93"/>
      <c r="DF10" s="93"/>
      <c r="DG10" s="93"/>
      <c r="DH10" s="93"/>
      <c r="DI10" s="93"/>
      <c r="DJ10" s="93"/>
      <c r="DK10" s="93"/>
      <c r="DL10" s="93"/>
      <c r="DM10" s="93"/>
      <c r="DN10" s="93"/>
      <c r="DO10" s="93"/>
      <c r="GO10" s="821">
        <v>3</v>
      </c>
      <c r="GP10" s="92" t="s">
        <v>8244</v>
      </c>
      <c r="GQ10" s="127">
        <v>3</v>
      </c>
      <c r="GR10" s="92" t="s">
        <v>2036</v>
      </c>
      <c r="GS10" s="93">
        <v>4</v>
      </c>
      <c r="GT10" s="93" t="s">
        <v>8245</v>
      </c>
    </row>
    <row r="11" spans="1:202" s="806" customFormat="1" ht="15">
      <c r="A11" s="1076"/>
      <c r="B11" s="6"/>
      <c r="C11" s="164"/>
      <c r="D11" s="1056"/>
      <c r="G11" s="827"/>
      <c r="H11" s="809" t="s">
        <v>8246</v>
      </c>
      <c r="I11" s="92">
        <v>16</v>
      </c>
      <c r="J11" s="92" t="s">
        <v>10</v>
      </c>
      <c r="K11" s="92" t="s">
        <v>768</v>
      </c>
      <c r="L11" s="810">
        <v>4</v>
      </c>
      <c r="M11" s="811" t="str">
        <f t="shared" si="0"/>
        <v>High School Level</v>
      </c>
      <c r="N11" s="92" t="s">
        <v>110</v>
      </c>
      <c r="O11" s="92"/>
      <c r="P11" s="1638"/>
      <c r="Q11" s="92"/>
      <c r="R11" s="92"/>
      <c r="S11" s="813"/>
      <c r="T11" s="813"/>
      <c r="U11" s="813"/>
      <c r="V11" s="828"/>
      <c r="W11" s="815"/>
      <c r="X11" s="811" t="str">
        <f t="shared" si="1"/>
        <v/>
      </c>
      <c r="Y11" s="816"/>
      <c r="Z11" s="816"/>
      <c r="AA11" s="816"/>
      <c r="AB11" s="828"/>
      <c r="AC11" s="809"/>
      <c r="AD11" s="824"/>
      <c r="AE11" s="93"/>
      <c r="AF11" s="818"/>
      <c r="AG11" s="807" t="str">
        <f t="shared" si="2"/>
        <v/>
      </c>
      <c r="AH11" s="807"/>
      <c r="AI11" s="807"/>
      <c r="AJ11" s="807"/>
      <c r="AK11" s="92"/>
      <c r="AL11" s="92"/>
      <c r="AM11" s="819"/>
      <c r="AN11" s="820"/>
      <c r="AO11" s="817"/>
      <c r="AP11" s="820"/>
      <c r="AQ11" s="93"/>
      <c r="AR11" s="93"/>
      <c r="AS11" s="93"/>
      <c r="AT11" s="93"/>
      <c r="AU11" s="93"/>
      <c r="AV11" s="93"/>
      <c r="AW11" s="93"/>
      <c r="AX11" s="93"/>
      <c r="AY11" s="93"/>
      <c r="AZ11" s="93"/>
      <c r="BA11" s="93"/>
      <c r="BB11" s="93"/>
      <c r="BC11" s="93"/>
      <c r="BD11" s="93"/>
      <c r="BE11" s="93"/>
      <c r="BF11" s="93"/>
      <c r="BG11" s="93"/>
      <c r="BH11" s="93"/>
      <c r="BI11" s="93"/>
      <c r="BJ11" s="93"/>
      <c r="BK11" s="93"/>
      <c r="BL11" s="93"/>
      <c r="BM11" s="93"/>
      <c r="BN11" s="93"/>
      <c r="BT11" s="93"/>
      <c r="BU11" s="93"/>
      <c r="BV11" s="93"/>
      <c r="BW11" s="93"/>
      <c r="BX11" s="93"/>
      <c r="BY11" s="93"/>
      <c r="BZ11" s="93"/>
      <c r="CA11" s="93"/>
      <c r="CB11" s="93"/>
      <c r="CC11" s="93"/>
      <c r="CD11" s="93"/>
      <c r="CE11" s="93"/>
      <c r="CF11" s="93"/>
      <c r="CG11" s="93"/>
      <c r="CI11" s="93"/>
      <c r="CJ11" s="93"/>
      <c r="CK11" s="93"/>
      <c r="CL11" s="93"/>
      <c r="CM11" s="93"/>
      <c r="CN11" s="93"/>
      <c r="CO11" s="93"/>
      <c r="CP11" s="93"/>
      <c r="CQ11" s="93"/>
      <c r="CR11" s="93"/>
      <c r="CS11" s="93"/>
      <c r="CT11" s="93"/>
      <c r="CU11" s="93"/>
      <c r="CV11" s="93"/>
      <c r="CW11" s="93"/>
      <c r="CX11" s="93"/>
      <c r="CY11" s="93"/>
      <c r="CZ11" s="93"/>
      <c r="DA11" s="93"/>
      <c r="DB11" s="93"/>
      <c r="DC11" s="93"/>
      <c r="DD11" s="93"/>
      <c r="DE11" s="825"/>
      <c r="DF11" s="825"/>
      <c r="DG11" s="825"/>
      <c r="DH11" s="825"/>
      <c r="DI11" s="826"/>
      <c r="DJ11" s="825"/>
      <c r="GO11" s="821">
        <v>4</v>
      </c>
      <c r="GP11" s="92" t="s">
        <v>8247</v>
      </c>
      <c r="GQ11" s="127">
        <v>4</v>
      </c>
      <c r="GR11" s="92" t="s">
        <v>2135</v>
      </c>
      <c r="GS11" s="92">
        <v>5</v>
      </c>
      <c r="GT11" s="92" t="s">
        <v>8248</v>
      </c>
    </row>
    <row r="12" spans="1:202" s="806" customFormat="1" ht="15">
      <c r="A12" s="1076"/>
      <c r="B12" s="6"/>
      <c r="C12" s="164"/>
      <c r="D12" s="1056"/>
      <c r="G12" s="827"/>
      <c r="H12" s="809" t="s">
        <v>8249</v>
      </c>
      <c r="I12" s="92">
        <v>41</v>
      </c>
      <c r="J12" s="92" t="s">
        <v>18</v>
      </c>
      <c r="K12" s="92" t="s">
        <v>768</v>
      </c>
      <c r="L12" s="810">
        <v>5</v>
      </c>
      <c r="M12" s="811" t="str">
        <f t="shared" si="0"/>
        <v>High School Graduate</v>
      </c>
      <c r="N12" s="92"/>
      <c r="O12" s="92"/>
      <c r="P12" s="1638"/>
      <c r="Q12" s="92"/>
      <c r="R12" s="92"/>
      <c r="S12" s="813"/>
      <c r="T12" s="813"/>
      <c r="U12" s="813"/>
      <c r="V12" s="828">
        <f>SUM(S8:U12)</f>
        <v>300000</v>
      </c>
      <c r="W12" s="815"/>
      <c r="X12" s="811" t="str">
        <f t="shared" si="1"/>
        <v/>
      </c>
      <c r="Y12" s="816"/>
      <c r="Z12" s="816"/>
      <c r="AA12" s="816"/>
      <c r="AB12" s="828">
        <f>SUM(Y8:AA12)</f>
        <v>9000</v>
      </c>
      <c r="AC12" s="809"/>
      <c r="AD12" s="824"/>
      <c r="AE12" s="93"/>
      <c r="AF12" s="818"/>
      <c r="AG12" s="807" t="str">
        <f t="shared" si="2"/>
        <v/>
      </c>
      <c r="AH12" s="807"/>
      <c r="AI12" s="807"/>
      <c r="AJ12" s="807"/>
      <c r="AK12" s="92"/>
      <c r="AL12" s="92"/>
      <c r="AM12" s="819"/>
      <c r="AN12" s="820"/>
      <c r="AO12" s="817"/>
      <c r="AP12" s="820"/>
      <c r="AQ12" s="93"/>
      <c r="AR12" s="93"/>
      <c r="AS12" s="93"/>
      <c r="AT12" s="93"/>
      <c r="AU12" s="93"/>
      <c r="AV12" s="93"/>
      <c r="AW12" s="93"/>
      <c r="AX12" s="93"/>
      <c r="AY12" s="93"/>
      <c r="AZ12" s="93"/>
      <c r="BA12" s="93"/>
      <c r="BB12" s="93"/>
      <c r="BC12" s="93"/>
      <c r="BD12" s="93"/>
      <c r="BE12" s="93"/>
      <c r="BF12" s="93"/>
      <c r="BG12" s="93"/>
      <c r="BH12" s="93"/>
      <c r="BI12" s="93"/>
      <c r="BJ12" s="93"/>
      <c r="BK12" s="93"/>
      <c r="BL12" s="93"/>
      <c r="BM12" s="93"/>
      <c r="BN12" s="93"/>
      <c r="BT12" s="93"/>
      <c r="BU12" s="93"/>
      <c r="BV12" s="93"/>
      <c r="BW12" s="93"/>
      <c r="BX12" s="93"/>
      <c r="BY12" s="93"/>
      <c r="BZ12" s="93"/>
      <c r="CA12" s="93"/>
      <c r="CB12" s="93"/>
      <c r="CC12" s="93"/>
      <c r="CD12" s="93"/>
      <c r="CE12" s="93"/>
      <c r="CF12" s="93"/>
      <c r="CG12" s="93"/>
      <c r="CI12" s="93"/>
      <c r="CJ12" s="93"/>
      <c r="CK12" s="93"/>
      <c r="CL12" s="93"/>
      <c r="CM12" s="93"/>
      <c r="CN12" s="93"/>
      <c r="CO12" s="93"/>
      <c r="CP12" s="93"/>
      <c r="CQ12" s="93"/>
      <c r="CR12" s="93"/>
      <c r="CS12" s="93"/>
      <c r="CT12" s="93"/>
      <c r="CU12" s="93"/>
      <c r="CV12" s="93"/>
      <c r="CW12" s="93"/>
      <c r="CX12" s="93"/>
      <c r="CY12" s="93"/>
      <c r="CZ12" s="93"/>
      <c r="DA12" s="93"/>
      <c r="DB12" s="93"/>
      <c r="DC12" s="93"/>
      <c r="DD12" s="93"/>
      <c r="DE12" s="825"/>
      <c r="DF12" s="825"/>
      <c r="DG12" s="825"/>
      <c r="DH12" s="825"/>
      <c r="DI12" s="826"/>
      <c r="DJ12" s="825"/>
      <c r="GO12" s="821">
        <v>5</v>
      </c>
      <c r="GP12" s="92" t="s">
        <v>8148</v>
      </c>
      <c r="GQ12" s="127">
        <v>5</v>
      </c>
      <c r="GR12" s="92" t="s">
        <v>8250</v>
      </c>
      <c r="GS12" s="92"/>
      <c r="GT12" s="92"/>
    </row>
    <row r="13" spans="1:202" ht="15">
      <c r="D13" s="1056" t="s">
        <v>37</v>
      </c>
      <c r="G13" s="808" t="s">
        <v>37</v>
      </c>
      <c r="M13" s="811" t="str">
        <f t="shared" si="0"/>
        <v/>
      </c>
      <c r="P13" s="1638"/>
      <c r="V13" s="830">
        <f>SUM(S13:U13)</f>
        <v>0</v>
      </c>
      <c r="X13" s="811" t="str">
        <f t="shared" si="1"/>
        <v/>
      </c>
      <c r="AB13" s="830">
        <f>SUM(Y13:AA13)</f>
        <v>0</v>
      </c>
      <c r="AC13" s="809"/>
      <c r="AD13" s="824" t="s">
        <v>8251</v>
      </c>
      <c r="AG13" s="807" t="str">
        <f t="shared" si="2"/>
        <v/>
      </c>
      <c r="AH13" s="807"/>
      <c r="AI13" s="807"/>
      <c r="AJ13" s="807"/>
      <c r="AK13" s="92"/>
      <c r="AM13" s="819"/>
      <c r="AN13" s="820"/>
      <c r="AQ13" s="93"/>
      <c r="AR13" s="93"/>
      <c r="AS13" s="93"/>
      <c r="AT13" s="93"/>
      <c r="AU13" s="93"/>
      <c r="AV13" s="93"/>
      <c r="AW13" s="93"/>
      <c r="AX13" s="93"/>
      <c r="AY13" s="93"/>
      <c r="AZ13" s="93"/>
      <c r="BA13" s="93"/>
      <c r="BB13" s="93"/>
      <c r="BL13" s="93"/>
      <c r="BM13" s="93"/>
      <c r="BT13" s="93"/>
      <c r="BU13" s="93"/>
      <c r="BV13" s="93"/>
      <c r="BW13" s="93"/>
      <c r="BX13" s="93"/>
      <c r="BY13" s="93"/>
      <c r="BZ13" s="93"/>
      <c r="CA13" s="93"/>
      <c r="CB13" s="93"/>
      <c r="CC13" s="93"/>
      <c r="CF13" s="93"/>
      <c r="CG13" s="93"/>
      <c r="CH13" s="93"/>
      <c r="CI13" s="93"/>
      <c r="CJ13" s="93"/>
      <c r="CK13" s="93"/>
      <c r="CL13" s="93"/>
      <c r="CM13" s="93"/>
      <c r="CN13" s="93"/>
      <c r="CO13" s="93"/>
      <c r="CP13" s="93"/>
      <c r="CQ13" s="93"/>
      <c r="CR13" s="93"/>
      <c r="CS13" s="93"/>
      <c r="CT13" s="93"/>
      <c r="CU13" s="93"/>
      <c r="CV13" s="93"/>
      <c r="CW13" s="93"/>
      <c r="CX13" s="93"/>
      <c r="CY13" s="93"/>
      <c r="CZ13" s="93"/>
      <c r="DA13" s="93"/>
      <c r="DB13" s="93"/>
      <c r="DC13" s="93"/>
      <c r="DD13" s="93"/>
      <c r="DE13" s="93"/>
      <c r="DF13" s="93"/>
      <c r="DG13" s="93"/>
      <c r="DH13" s="93"/>
      <c r="DI13" s="93"/>
      <c r="DJ13" s="93"/>
      <c r="DK13" s="93"/>
      <c r="DL13" s="93"/>
      <c r="DM13" s="93"/>
      <c r="DN13" s="93"/>
      <c r="DO13" s="93"/>
      <c r="GQ13" s="127">
        <v>6</v>
      </c>
      <c r="GR13" s="92" t="s">
        <v>2136</v>
      </c>
      <c r="GS13" s="93"/>
      <c r="GT13" s="93"/>
    </row>
    <row r="14" spans="1:202" s="806" customFormat="1" ht="15">
      <c r="A14" s="1076"/>
      <c r="B14" s="6"/>
      <c r="C14" s="164"/>
      <c r="D14" s="1057" t="s">
        <v>5461</v>
      </c>
      <c r="G14" s="809" t="s">
        <v>5461</v>
      </c>
      <c r="H14" s="809" t="s">
        <v>2043</v>
      </c>
      <c r="I14" s="92">
        <v>54</v>
      </c>
      <c r="J14" s="92" t="s">
        <v>18</v>
      </c>
      <c r="K14" s="92" t="s">
        <v>707</v>
      </c>
      <c r="L14" s="810">
        <v>7</v>
      </c>
      <c r="M14" s="811" t="str">
        <f t="shared" si="0"/>
        <v>College Graduate or Higher</v>
      </c>
      <c r="N14" s="92" t="s">
        <v>1208</v>
      </c>
      <c r="O14" s="92" t="s">
        <v>8252</v>
      </c>
      <c r="P14" s="1638"/>
      <c r="Q14" s="92" t="s">
        <v>8252</v>
      </c>
      <c r="R14" s="92"/>
      <c r="S14" s="813">
        <v>30000</v>
      </c>
      <c r="T14" s="813"/>
      <c r="U14" s="813"/>
      <c r="V14" s="814"/>
      <c r="W14" s="815">
        <v>4</v>
      </c>
      <c r="X14" s="811" t="str">
        <f t="shared" si="1"/>
        <v>Other Province</v>
      </c>
      <c r="Y14" s="823">
        <v>7200</v>
      </c>
      <c r="Z14" s="816"/>
      <c r="AA14" s="816"/>
      <c r="AB14" s="814"/>
      <c r="AC14" s="809"/>
      <c r="AD14" s="824"/>
      <c r="AE14" s="93"/>
      <c r="AF14" s="818"/>
      <c r="AG14" s="807" t="str">
        <f t="shared" si="2"/>
        <v/>
      </c>
      <c r="AH14" s="807"/>
      <c r="AI14" s="807"/>
      <c r="AJ14" s="807"/>
      <c r="AK14" s="92"/>
      <c r="AL14" s="92"/>
      <c r="AM14" s="819"/>
      <c r="AN14" s="820"/>
      <c r="AO14" s="817"/>
      <c r="AP14" s="820"/>
      <c r="AQ14" s="93"/>
      <c r="AR14" s="93"/>
      <c r="AS14" s="93"/>
      <c r="AT14" s="93"/>
      <c r="AU14" s="93"/>
      <c r="AV14" s="93"/>
      <c r="AW14" s="93"/>
      <c r="AX14" s="93"/>
      <c r="AY14" s="93"/>
      <c r="AZ14" s="93"/>
      <c r="BA14" s="93"/>
      <c r="BB14" s="93"/>
      <c r="BC14" s="93"/>
      <c r="BD14" s="93"/>
      <c r="BE14" s="93"/>
      <c r="BF14" s="93"/>
      <c r="BG14" s="93"/>
      <c r="BH14" s="93"/>
      <c r="BI14" s="93"/>
      <c r="BJ14" s="93"/>
      <c r="BK14" s="93"/>
      <c r="BL14" s="93"/>
      <c r="BM14" s="93"/>
      <c r="BN14" s="93"/>
      <c r="BT14" s="93"/>
      <c r="BU14" s="93"/>
      <c r="BV14" s="93"/>
      <c r="BW14" s="93"/>
      <c r="BX14" s="93"/>
      <c r="BY14" s="93"/>
      <c r="BZ14" s="93"/>
      <c r="CA14" s="93"/>
      <c r="CB14" s="93"/>
      <c r="CC14" s="93"/>
      <c r="CD14" s="93"/>
      <c r="CE14" s="93"/>
      <c r="CF14" s="93"/>
      <c r="CG14" s="93"/>
      <c r="CI14" s="93"/>
      <c r="CJ14" s="93"/>
      <c r="CK14" s="93"/>
      <c r="CL14" s="93"/>
      <c r="CM14" s="93"/>
      <c r="CN14" s="93"/>
      <c r="CO14" s="93"/>
      <c r="CP14" s="93"/>
      <c r="CQ14" s="93"/>
      <c r="CR14" s="93"/>
      <c r="CS14" s="93"/>
      <c r="CT14" s="93"/>
      <c r="CU14" s="93"/>
      <c r="CV14" s="93"/>
      <c r="CW14" s="93"/>
      <c r="CX14" s="93"/>
      <c r="CY14" s="93"/>
      <c r="CZ14" s="93"/>
      <c r="DA14" s="93"/>
      <c r="DB14" s="93"/>
      <c r="DC14" s="93"/>
      <c r="DD14" s="93"/>
      <c r="DE14" s="825"/>
      <c r="DF14" s="825"/>
      <c r="DG14" s="825"/>
      <c r="DH14" s="825"/>
      <c r="DI14" s="826"/>
      <c r="DJ14" s="825"/>
      <c r="DO14" s="832"/>
      <c r="GO14" s="92"/>
      <c r="GP14" s="831"/>
      <c r="GQ14" s="127">
        <v>7</v>
      </c>
      <c r="GR14" s="92" t="s">
        <v>8253</v>
      </c>
      <c r="GS14" s="92"/>
      <c r="GT14" s="92"/>
    </row>
    <row r="15" spans="1:202" ht="15">
      <c r="A15" s="1076"/>
      <c r="B15" s="6"/>
      <c r="C15" s="164"/>
      <c r="D15" s="1056"/>
      <c r="G15" s="827"/>
      <c r="H15" s="809" t="s">
        <v>8254</v>
      </c>
      <c r="I15" s="92">
        <v>56</v>
      </c>
      <c r="J15" s="92" t="s">
        <v>10</v>
      </c>
      <c r="K15" s="92" t="s">
        <v>707</v>
      </c>
      <c r="L15" s="810">
        <v>5</v>
      </c>
      <c r="M15" s="811" t="str">
        <f t="shared" si="0"/>
        <v>High School Graduate</v>
      </c>
      <c r="N15" s="92" t="s">
        <v>1208</v>
      </c>
      <c r="O15" s="92" t="s">
        <v>8255</v>
      </c>
      <c r="P15" s="1638"/>
      <c r="Q15" s="92" t="s">
        <v>8255</v>
      </c>
      <c r="R15" s="92"/>
      <c r="S15" s="833">
        <v>10000</v>
      </c>
      <c r="T15" s="820"/>
      <c r="W15" s="815">
        <v>4</v>
      </c>
      <c r="X15" s="811" t="str">
        <f t="shared" si="1"/>
        <v>Other Province</v>
      </c>
      <c r="Y15" s="823">
        <v>3000</v>
      </c>
      <c r="AB15" s="814"/>
      <c r="AC15" s="809"/>
      <c r="AD15" s="824"/>
      <c r="AG15" s="807" t="str">
        <f t="shared" si="2"/>
        <v/>
      </c>
      <c r="AI15" s="817"/>
      <c r="AJ15" s="817"/>
      <c r="AK15" s="92"/>
      <c r="AM15" s="819"/>
      <c r="AN15" s="820"/>
      <c r="AQ15" s="93"/>
      <c r="AR15" s="93"/>
      <c r="AS15" s="93"/>
      <c r="AT15" s="93"/>
      <c r="AU15" s="93"/>
      <c r="AV15" s="93"/>
      <c r="AW15" s="93"/>
      <c r="AX15" s="93"/>
      <c r="AY15" s="93"/>
      <c r="AZ15" s="93"/>
      <c r="BA15" s="93"/>
      <c r="BB15" s="93"/>
      <c r="BL15" s="93"/>
      <c r="BM15" s="93"/>
      <c r="BT15" s="93"/>
      <c r="BU15" s="93"/>
      <c r="BV15" s="93"/>
      <c r="BW15" s="93"/>
      <c r="BX15" s="93"/>
      <c r="BY15" s="93"/>
      <c r="BZ15" s="93"/>
      <c r="CA15" s="93"/>
      <c r="CB15" s="93"/>
      <c r="CC15" s="93"/>
      <c r="CF15" s="93"/>
      <c r="CG15" s="93"/>
      <c r="CH15" s="93"/>
      <c r="CI15" s="93"/>
      <c r="CJ15" s="93"/>
      <c r="CK15" s="93"/>
      <c r="CL15" s="93"/>
      <c r="CM15" s="93"/>
      <c r="CN15" s="93"/>
      <c r="CO15" s="93"/>
      <c r="CP15" s="93"/>
      <c r="CQ15" s="93"/>
      <c r="CR15" s="93"/>
      <c r="CS15" s="93"/>
      <c r="CT15" s="93"/>
      <c r="CU15" s="93"/>
      <c r="CV15" s="93"/>
      <c r="CW15" s="93"/>
      <c r="CX15" s="93"/>
      <c r="CY15" s="93"/>
      <c r="CZ15" s="93"/>
      <c r="DA15" s="93"/>
      <c r="DB15" s="93"/>
      <c r="DC15" s="93"/>
      <c r="DD15" s="93"/>
      <c r="DE15" s="93"/>
      <c r="DF15" s="93"/>
      <c r="DG15" s="93"/>
      <c r="DH15" s="93"/>
      <c r="DI15" s="93"/>
      <c r="DJ15" s="93"/>
      <c r="DK15" s="93"/>
      <c r="DL15" s="93"/>
      <c r="DM15" s="93"/>
      <c r="DN15" s="93"/>
      <c r="DO15" s="93"/>
      <c r="GQ15" s="127">
        <v>8</v>
      </c>
      <c r="GR15" s="92" t="s">
        <v>2137</v>
      </c>
      <c r="GS15" s="93"/>
      <c r="GT15" s="93"/>
    </row>
    <row r="16" spans="1:202" s="806" customFormat="1" ht="15">
      <c r="A16" s="1076"/>
      <c r="B16" s="6"/>
      <c r="C16" s="164"/>
      <c r="D16" s="1056"/>
      <c r="G16" s="827"/>
      <c r="H16" s="809" t="s">
        <v>2211</v>
      </c>
      <c r="I16" s="92">
        <v>34</v>
      </c>
      <c r="J16" s="92" t="s">
        <v>10</v>
      </c>
      <c r="K16" s="92" t="s">
        <v>707</v>
      </c>
      <c r="L16" s="810">
        <v>6</v>
      </c>
      <c r="M16" s="811" t="str">
        <f t="shared" si="0"/>
        <v>College Level</v>
      </c>
      <c r="N16" s="92" t="s">
        <v>1208</v>
      </c>
      <c r="O16" s="92" t="s">
        <v>2212</v>
      </c>
      <c r="P16" s="1638"/>
      <c r="Q16" s="92" t="s">
        <v>2212</v>
      </c>
      <c r="R16" s="92"/>
      <c r="S16" s="813">
        <v>60000</v>
      </c>
      <c r="T16" s="813"/>
      <c r="U16" s="813"/>
      <c r="V16" s="814"/>
      <c r="W16" s="815">
        <v>5</v>
      </c>
      <c r="X16" s="811" t="str">
        <f t="shared" si="1"/>
        <v>Overseas Worker</v>
      </c>
      <c r="Y16" s="816"/>
      <c r="Z16" s="816"/>
      <c r="AA16" s="816"/>
      <c r="AB16" s="814"/>
      <c r="AC16" s="809"/>
      <c r="AD16" s="824"/>
      <c r="AE16" s="93"/>
      <c r="AF16" s="818"/>
      <c r="AG16" s="807" t="str">
        <f t="shared" si="2"/>
        <v/>
      </c>
      <c r="AH16" s="807"/>
      <c r="AI16" s="807"/>
      <c r="AJ16" s="807"/>
      <c r="AK16" s="92"/>
      <c r="AL16" s="92"/>
      <c r="AM16" s="819"/>
      <c r="AN16" s="820"/>
      <c r="AO16" s="817"/>
      <c r="AP16" s="820"/>
      <c r="AQ16" s="93"/>
      <c r="AR16" s="93"/>
      <c r="AS16" s="93"/>
      <c r="AT16" s="93"/>
      <c r="AU16" s="93"/>
      <c r="AV16" s="93"/>
      <c r="AW16" s="93"/>
      <c r="AX16" s="93"/>
      <c r="AY16" s="93"/>
      <c r="AZ16" s="93"/>
      <c r="BA16" s="93"/>
      <c r="BB16" s="93"/>
      <c r="BC16" s="93"/>
      <c r="BD16" s="93"/>
      <c r="BE16" s="93"/>
      <c r="BF16" s="93"/>
      <c r="BG16" s="93"/>
      <c r="BH16" s="93"/>
      <c r="BI16" s="93"/>
      <c r="BJ16" s="93"/>
      <c r="BK16" s="93"/>
      <c r="BL16" s="93"/>
      <c r="BM16" s="93"/>
      <c r="BN16" s="93"/>
      <c r="BT16" s="93"/>
      <c r="BU16" s="93"/>
      <c r="BV16" s="93"/>
      <c r="BW16" s="93"/>
      <c r="BX16" s="93"/>
      <c r="BY16" s="93"/>
      <c r="BZ16" s="93"/>
      <c r="CA16" s="93"/>
      <c r="CB16" s="93"/>
      <c r="CC16" s="93"/>
      <c r="CD16" s="93"/>
      <c r="CE16" s="93"/>
      <c r="CF16" s="93"/>
      <c r="CG16" s="93"/>
      <c r="CI16" s="93"/>
      <c r="CJ16" s="93"/>
      <c r="CK16" s="93"/>
      <c r="CL16" s="93"/>
      <c r="CM16" s="93"/>
      <c r="CN16" s="93"/>
      <c r="CO16" s="93"/>
      <c r="CP16" s="93"/>
      <c r="CQ16" s="93"/>
      <c r="CR16" s="93"/>
      <c r="CS16" s="93"/>
      <c r="CT16" s="93"/>
      <c r="CU16" s="93"/>
      <c r="CV16" s="93"/>
      <c r="CW16" s="93"/>
      <c r="CX16" s="93"/>
      <c r="CY16" s="93"/>
      <c r="CZ16" s="93"/>
      <c r="DA16" s="93"/>
      <c r="DB16" s="93"/>
      <c r="DC16" s="93"/>
      <c r="DD16" s="93"/>
      <c r="DE16" s="825"/>
      <c r="DF16" s="825"/>
      <c r="DG16" s="825"/>
      <c r="DH16" s="825"/>
      <c r="DI16" s="826"/>
      <c r="DJ16" s="825"/>
      <c r="GO16" s="92"/>
      <c r="GP16" s="831"/>
      <c r="GQ16" s="127">
        <v>9</v>
      </c>
      <c r="GR16" s="92" t="s">
        <v>2037</v>
      </c>
      <c r="GS16" s="92"/>
      <c r="GT16" s="92"/>
    </row>
    <row r="17" spans="1:202" s="806" customFormat="1" ht="15">
      <c r="A17" s="1076"/>
      <c r="B17" s="6"/>
      <c r="C17" s="164"/>
      <c r="D17" s="1056"/>
      <c r="G17" s="827"/>
      <c r="H17" s="809" t="s">
        <v>8256</v>
      </c>
      <c r="I17" s="92">
        <v>15</v>
      </c>
      <c r="J17" s="92" t="s">
        <v>18</v>
      </c>
      <c r="K17" s="92" t="s">
        <v>768</v>
      </c>
      <c r="L17" s="810">
        <v>4</v>
      </c>
      <c r="M17" s="811" t="str">
        <f t="shared" si="0"/>
        <v>High School Level</v>
      </c>
      <c r="N17" s="92" t="s">
        <v>1226</v>
      </c>
      <c r="O17" s="92"/>
      <c r="P17" s="1638"/>
      <c r="Q17" s="92"/>
      <c r="R17" s="92"/>
      <c r="S17" s="813"/>
      <c r="T17" s="813"/>
      <c r="U17" s="813"/>
      <c r="V17" s="814"/>
      <c r="W17" s="815"/>
      <c r="X17" s="811" t="str">
        <f t="shared" si="1"/>
        <v/>
      </c>
      <c r="Y17" s="816"/>
      <c r="Z17" s="816"/>
      <c r="AA17" s="816"/>
      <c r="AB17" s="814"/>
      <c r="AC17" s="809"/>
      <c r="AD17" s="824"/>
      <c r="AE17" s="93"/>
      <c r="AF17" s="818"/>
      <c r="AG17" s="807" t="str">
        <f t="shared" si="2"/>
        <v/>
      </c>
      <c r="AH17" s="807"/>
      <c r="AI17" s="807"/>
      <c r="AJ17" s="807"/>
      <c r="AK17" s="92"/>
      <c r="AL17" s="92"/>
      <c r="AM17" s="819"/>
      <c r="AN17" s="820"/>
      <c r="AO17" s="817"/>
      <c r="AP17" s="820"/>
      <c r="AQ17" s="93"/>
      <c r="AR17" s="93"/>
      <c r="AS17" s="93"/>
      <c r="AT17" s="93"/>
      <c r="AU17" s="93"/>
      <c r="AV17" s="93"/>
      <c r="AW17" s="93"/>
      <c r="AX17" s="93"/>
      <c r="AY17" s="93"/>
      <c r="AZ17" s="93"/>
      <c r="BA17" s="93"/>
      <c r="BB17" s="93"/>
      <c r="BC17" s="93"/>
      <c r="BD17" s="93"/>
      <c r="BE17" s="93"/>
      <c r="BF17" s="93"/>
      <c r="BG17" s="93"/>
      <c r="BH17" s="93"/>
      <c r="BI17" s="93"/>
      <c r="BJ17" s="93"/>
      <c r="BK17" s="93"/>
      <c r="BL17" s="93"/>
      <c r="BM17" s="93"/>
      <c r="BN17" s="93"/>
      <c r="BT17" s="93"/>
      <c r="BU17" s="93"/>
      <c r="BV17" s="93"/>
      <c r="BW17" s="93"/>
      <c r="BX17" s="93"/>
      <c r="BY17" s="93"/>
      <c r="BZ17" s="93"/>
      <c r="CA17" s="93"/>
      <c r="CB17" s="93"/>
      <c r="CC17" s="93"/>
      <c r="CD17" s="93"/>
      <c r="CE17" s="93"/>
      <c r="CF17" s="93"/>
      <c r="CG17" s="93"/>
      <c r="CI17" s="93"/>
      <c r="CJ17" s="93"/>
      <c r="CK17" s="93"/>
      <c r="CL17" s="93"/>
      <c r="CM17" s="93"/>
      <c r="CN17" s="93"/>
      <c r="CO17" s="93"/>
      <c r="CP17" s="93"/>
      <c r="CQ17" s="93"/>
      <c r="CR17" s="93"/>
      <c r="CS17" s="93"/>
      <c r="CT17" s="93"/>
      <c r="CU17" s="93"/>
      <c r="CV17" s="93"/>
      <c r="CW17" s="93"/>
      <c r="CX17" s="93"/>
      <c r="CY17" s="93"/>
      <c r="CZ17" s="93"/>
      <c r="DA17" s="93"/>
      <c r="DB17" s="93"/>
      <c r="DC17" s="93"/>
      <c r="DD17" s="93"/>
      <c r="DE17" s="825"/>
      <c r="DF17" s="825"/>
      <c r="DG17" s="825"/>
      <c r="DH17" s="825"/>
      <c r="DI17" s="826"/>
      <c r="DJ17" s="825"/>
      <c r="GO17" s="92"/>
      <c r="GP17" s="831"/>
      <c r="GQ17" s="127">
        <v>10</v>
      </c>
      <c r="GR17" s="92" t="s">
        <v>8257</v>
      </c>
      <c r="GS17" s="92"/>
      <c r="GT17" s="92"/>
    </row>
    <row r="18" spans="1:202" s="806" customFormat="1" ht="15">
      <c r="A18" s="1076"/>
      <c r="B18" s="6"/>
      <c r="C18" s="164"/>
      <c r="D18" s="1056"/>
      <c r="G18" s="827"/>
      <c r="H18" s="809" t="s">
        <v>8258</v>
      </c>
      <c r="I18" s="92">
        <v>14</v>
      </c>
      <c r="J18" s="92" t="s">
        <v>18</v>
      </c>
      <c r="K18" s="92" t="s">
        <v>768</v>
      </c>
      <c r="L18" s="810">
        <v>4</v>
      </c>
      <c r="M18" s="811" t="str">
        <f t="shared" si="0"/>
        <v>High School Level</v>
      </c>
      <c r="N18" s="92" t="s">
        <v>110</v>
      </c>
      <c r="O18" s="92"/>
      <c r="P18" s="1638"/>
      <c r="Q18" s="92"/>
      <c r="R18" s="92"/>
      <c r="S18" s="813"/>
      <c r="T18" s="813"/>
      <c r="U18" s="813"/>
      <c r="V18" s="814"/>
      <c r="W18" s="815"/>
      <c r="X18" s="811" t="str">
        <f t="shared" si="1"/>
        <v/>
      </c>
      <c r="Y18" s="816"/>
      <c r="Z18" s="816"/>
      <c r="AA18" s="816"/>
      <c r="AB18" s="814"/>
      <c r="AC18" s="809"/>
      <c r="AD18" s="824"/>
      <c r="AE18" s="93"/>
      <c r="AF18" s="818"/>
      <c r="AG18" s="807" t="str">
        <f t="shared" si="2"/>
        <v/>
      </c>
      <c r="AH18" s="807"/>
      <c r="AI18" s="807"/>
      <c r="AJ18" s="807"/>
      <c r="AK18" s="92"/>
      <c r="AL18" s="92"/>
      <c r="AM18" s="819"/>
      <c r="AN18" s="820"/>
      <c r="AO18" s="817"/>
      <c r="AP18" s="820"/>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T18" s="93"/>
      <c r="BU18" s="93"/>
      <c r="BV18" s="93"/>
      <c r="BW18" s="93"/>
      <c r="BX18" s="93"/>
      <c r="BY18" s="93"/>
      <c r="BZ18" s="93"/>
      <c r="CA18" s="93"/>
      <c r="CB18" s="93"/>
      <c r="CC18" s="93"/>
      <c r="CD18" s="93"/>
      <c r="CE18" s="93"/>
      <c r="CF18" s="93"/>
      <c r="CG18" s="93"/>
      <c r="CI18" s="93"/>
      <c r="CJ18" s="93"/>
      <c r="CK18" s="93"/>
      <c r="CL18" s="93"/>
      <c r="CM18" s="93"/>
      <c r="CN18" s="93"/>
      <c r="CO18" s="93"/>
      <c r="CP18" s="93"/>
      <c r="CQ18" s="93"/>
      <c r="CR18" s="93"/>
      <c r="CS18" s="93"/>
      <c r="CT18" s="93"/>
      <c r="CU18" s="93"/>
      <c r="CV18" s="93"/>
      <c r="CW18" s="93"/>
      <c r="CX18" s="93"/>
      <c r="CY18" s="93"/>
      <c r="CZ18" s="93"/>
      <c r="DA18" s="93"/>
      <c r="DB18" s="93"/>
      <c r="DC18" s="93"/>
      <c r="DD18" s="93"/>
      <c r="DE18" s="825"/>
      <c r="DF18" s="825"/>
      <c r="DG18" s="825"/>
      <c r="DH18" s="825"/>
      <c r="DI18" s="826"/>
      <c r="DJ18" s="825"/>
      <c r="GO18" s="92"/>
      <c r="GP18" s="831"/>
      <c r="GS18" s="92"/>
      <c r="GT18" s="92"/>
    </row>
    <row r="19" spans="1:202" s="806" customFormat="1" ht="15">
      <c r="A19" s="1076"/>
      <c r="B19" s="6"/>
      <c r="C19" s="164"/>
      <c r="D19" s="1056"/>
      <c r="G19" s="827"/>
      <c r="H19" s="809" t="s">
        <v>2148</v>
      </c>
      <c r="I19" s="92">
        <v>30</v>
      </c>
      <c r="J19" s="92" t="s">
        <v>10</v>
      </c>
      <c r="K19" s="92" t="s">
        <v>768</v>
      </c>
      <c r="L19" s="810">
        <v>7</v>
      </c>
      <c r="M19" s="811" t="str">
        <f t="shared" si="0"/>
        <v>College Graduate or Higher</v>
      </c>
      <c r="N19" s="92" t="s">
        <v>1208</v>
      </c>
      <c r="O19" s="92" t="s">
        <v>2212</v>
      </c>
      <c r="P19" s="1638"/>
      <c r="Q19" s="92" t="s">
        <v>2212</v>
      </c>
      <c r="R19" s="92"/>
      <c r="S19" s="813">
        <v>150000</v>
      </c>
      <c r="T19" s="813"/>
      <c r="U19" s="813"/>
      <c r="V19" s="814">
        <f>SUM(S14:U19)</f>
        <v>250000</v>
      </c>
      <c r="W19" s="815">
        <v>5</v>
      </c>
      <c r="X19" s="811" t="str">
        <f t="shared" si="1"/>
        <v>Overseas Worker</v>
      </c>
      <c r="Y19" s="816"/>
      <c r="Z19" s="816"/>
      <c r="AA19" s="816"/>
      <c r="AB19" s="814">
        <f>SUM(Y14:AA19)</f>
        <v>10200</v>
      </c>
      <c r="AC19" s="809"/>
      <c r="AD19" s="824"/>
      <c r="AE19" s="93"/>
      <c r="AF19" s="818"/>
      <c r="AG19" s="807" t="str">
        <f t="shared" si="2"/>
        <v/>
      </c>
      <c r="AH19" s="807"/>
      <c r="AI19" s="807"/>
      <c r="AJ19" s="807"/>
      <c r="AK19" s="92"/>
      <c r="AL19" s="92"/>
      <c r="AM19" s="819"/>
      <c r="AN19" s="820"/>
      <c r="AO19" s="817"/>
      <c r="AP19" s="820"/>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T19" s="93"/>
      <c r="BU19" s="93"/>
      <c r="BV19" s="93"/>
      <c r="BW19" s="93"/>
      <c r="BX19" s="93"/>
      <c r="BY19" s="93"/>
      <c r="BZ19" s="93"/>
      <c r="CA19" s="93"/>
      <c r="CB19" s="93"/>
      <c r="CC19" s="93"/>
      <c r="CD19" s="93"/>
      <c r="CE19" s="93"/>
      <c r="CF19" s="93"/>
      <c r="CG19" s="93"/>
      <c r="CI19" s="93"/>
      <c r="CJ19" s="93"/>
      <c r="CK19" s="93"/>
      <c r="CL19" s="93"/>
      <c r="CM19" s="93"/>
      <c r="CN19" s="93"/>
      <c r="CO19" s="93"/>
      <c r="CP19" s="93"/>
      <c r="CQ19" s="93"/>
      <c r="CR19" s="93"/>
      <c r="CS19" s="93"/>
      <c r="CT19" s="93"/>
      <c r="CU19" s="93"/>
      <c r="CV19" s="93"/>
      <c r="CW19" s="93"/>
      <c r="CX19" s="93"/>
      <c r="CY19" s="93"/>
      <c r="CZ19" s="93"/>
      <c r="DA19" s="93"/>
      <c r="DB19" s="93"/>
      <c r="DC19" s="93"/>
      <c r="DD19" s="93"/>
      <c r="DE19" s="825"/>
      <c r="DF19" s="825"/>
      <c r="DG19" s="825"/>
      <c r="DH19" s="825"/>
      <c r="DI19" s="826"/>
      <c r="DJ19" s="825"/>
      <c r="GO19" s="92"/>
      <c r="GP19" s="831"/>
      <c r="GS19" s="92"/>
      <c r="GT19" s="92"/>
    </row>
    <row r="20" spans="1:202" s="806" customFormat="1" ht="15">
      <c r="A20" s="767" t="s">
        <v>7421</v>
      </c>
      <c r="B20" s="288" t="s">
        <v>12544</v>
      </c>
      <c r="C20" s="168" t="s">
        <v>46</v>
      </c>
      <c r="D20" s="1056" t="s">
        <v>46</v>
      </c>
      <c r="E20" s="169" t="s">
        <v>46</v>
      </c>
      <c r="F20" s="1047" t="s">
        <v>2044</v>
      </c>
      <c r="G20" s="809" t="s">
        <v>46</v>
      </c>
      <c r="H20" s="809" t="s">
        <v>2044</v>
      </c>
      <c r="I20" s="92">
        <v>32</v>
      </c>
      <c r="J20" s="92" t="s">
        <v>10</v>
      </c>
      <c r="K20" s="92" t="s">
        <v>722</v>
      </c>
      <c r="L20" s="810">
        <v>6</v>
      </c>
      <c r="M20" s="811" t="str">
        <f t="shared" si="0"/>
        <v>College Level</v>
      </c>
      <c r="N20" s="92" t="s">
        <v>1208</v>
      </c>
      <c r="O20" s="92" t="s">
        <v>8259</v>
      </c>
      <c r="P20" s="1638" t="s">
        <v>12606</v>
      </c>
      <c r="Q20" s="92" t="s">
        <v>8259</v>
      </c>
      <c r="R20" s="92" t="s">
        <v>8234</v>
      </c>
      <c r="S20" s="813">
        <v>12000</v>
      </c>
      <c r="T20" s="813"/>
      <c r="U20" s="813"/>
      <c r="V20" s="828"/>
      <c r="W20" s="815">
        <v>4</v>
      </c>
      <c r="X20" s="811" t="str">
        <f t="shared" si="1"/>
        <v>Other Province</v>
      </c>
      <c r="Y20" s="823">
        <v>6000</v>
      </c>
      <c r="Z20" s="816"/>
      <c r="AA20" s="816"/>
      <c r="AB20" s="828"/>
      <c r="AC20" s="809" t="s">
        <v>8171</v>
      </c>
      <c r="AD20" s="824"/>
      <c r="AE20" s="93"/>
      <c r="AF20" s="818"/>
      <c r="AG20" s="807" t="str">
        <f t="shared" si="2"/>
        <v/>
      </c>
      <c r="AH20" s="807"/>
      <c r="AI20" s="807"/>
      <c r="AJ20" s="807"/>
      <c r="AK20" s="92"/>
      <c r="AL20" s="92"/>
      <c r="AM20" s="819"/>
      <c r="AN20" s="820"/>
      <c r="AO20" s="817"/>
      <c r="AP20" s="820"/>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T20" s="93"/>
      <c r="BU20" s="93"/>
      <c r="BV20" s="93"/>
      <c r="BW20" s="93"/>
      <c r="BX20" s="93"/>
      <c r="BY20" s="93"/>
      <c r="BZ20" s="93"/>
      <c r="CA20" s="93"/>
      <c r="CB20" s="93"/>
      <c r="CC20" s="93"/>
      <c r="CD20" s="93"/>
      <c r="CE20" s="93"/>
      <c r="CF20" s="93"/>
      <c r="CG20" s="93"/>
      <c r="CI20" s="93"/>
      <c r="CJ20" s="93"/>
      <c r="CK20" s="93"/>
      <c r="CL20" s="93"/>
      <c r="CM20" s="93"/>
      <c r="CN20" s="93"/>
      <c r="CO20" s="93"/>
      <c r="CP20" s="93"/>
      <c r="CQ20" s="93"/>
      <c r="CR20" s="93"/>
      <c r="CS20" s="93"/>
      <c r="CT20" s="93"/>
      <c r="CU20" s="93"/>
      <c r="CV20" s="93"/>
      <c r="CW20" s="93"/>
      <c r="CX20" s="93"/>
      <c r="CY20" s="93"/>
      <c r="CZ20" s="93"/>
      <c r="DA20" s="93"/>
      <c r="DB20" s="93"/>
      <c r="DC20" s="93"/>
      <c r="DD20" s="93"/>
      <c r="DE20" s="825"/>
      <c r="DF20" s="825"/>
      <c r="DG20" s="825"/>
      <c r="DH20" s="825"/>
      <c r="DI20" s="826"/>
      <c r="DJ20" s="825"/>
      <c r="GO20" s="92"/>
      <c r="GP20" s="831"/>
    </row>
    <row r="21" spans="1:202" s="806" customFormat="1" ht="15">
      <c r="A21" s="767" t="s">
        <v>7421</v>
      </c>
      <c r="B21" s="288" t="s">
        <v>12544</v>
      </c>
      <c r="D21" s="1056"/>
      <c r="E21" s="169" t="s">
        <v>46</v>
      </c>
      <c r="G21" s="827"/>
      <c r="H21" s="809" t="s">
        <v>8260</v>
      </c>
      <c r="I21" s="92">
        <v>33</v>
      </c>
      <c r="J21" s="92" t="s">
        <v>18</v>
      </c>
      <c r="K21" s="92" t="s">
        <v>722</v>
      </c>
      <c r="L21" s="810">
        <v>4</v>
      </c>
      <c r="M21" s="811" t="str">
        <f t="shared" si="0"/>
        <v>High School Level</v>
      </c>
      <c r="N21" s="92" t="s">
        <v>1226</v>
      </c>
      <c r="O21" s="92"/>
      <c r="P21" s="1638"/>
      <c r="Q21" s="92"/>
      <c r="R21" s="92"/>
      <c r="S21" s="813"/>
      <c r="T21" s="813"/>
      <c r="U21" s="813"/>
      <c r="V21" s="828">
        <f>SUM(S20:U21)</f>
        <v>12000</v>
      </c>
      <c r="W21" s="815"/>
      <c r="X21" s="811" t="str">
        <f t="shared" si="1"/>
        <v/>
      </c>
      <c r="Y21" s="816"/>
      <c r="Z21" s="816"/>
      <c r="AA21" s="816"/>
      <c r="AB21" s="828">
        <f>SUM(Y20:AA21)</f>
        <v>6000</v>
      </c>
      <c r="AC21" s="809"/>
      <c r="AD21" s="824"/>
      <c r="AE21" s="93"/>
      <c r="AF21" s="818"/>
      <c r="AG21" s="807" t="str">
        <f t="shared" si="2"/>
        <v/>
      </c>
      <c r="AH21" s="807"/>
      <c r="AI21" s="807"/>
      <c r="AJ21" s="807"/>
      <c r="AK21" s="92"/>
      <c r="AL21" s="92"/>
      <c r="AM21" s="819"/>
      <c r="AN21" s="820"/>
      <c r="AO21" s="817"/>
      <c r="AP21" s="820"/>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T21" s="93"/>
      <c r="BU21" s="93"/>
      <c r="BV21" s="93"/>
      <c r="BW21" s="93"/>
      <c r="BX21" s="93"/>
      <c r="BY21" s="93"/>
      <c r="BZ21" s="93"/>
      <c r="CA21" s="93"/>
      <c r="CB21" s="93"/>
      <c r="CC21" s="93"/>
      <c r="CD21" s="93"/>
      <c r="CE21" s="93"/>
      <c r="CF21" s="93"/>
      <c r="CG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825"/>
      <c r="DF21" s="825"/>
      <c r="DG21" s="825"/>
      <c r="DH21" s="825"/>
      <c r="DI21" s="826"/>
      <c r="DJ21" s="825"/>
      <c r="GO21" s="92"/>
      <c r="GP21" s="831"/>
    </row>
    <row r="22" spans="1:202" s="806" customFormat="1" ht="15">
      <c r="A22" s="767" t="s">
        <v>7421</v>
      </c>
      <c r="B22" s="288" t="s">
        <v>7569</v>
      </c>
      <c r="C22" s="168" t="s">
        <v>47</v>
      </c>
      <c r="D22" s="1056" t="s">
        <v>47</v>
      </c>
      <c r="E22" s="169" t="s">
        <v>47</v>
      </c>
      <c r="F22" s="1047" t="s">
        <v>2045</v>
      </c>
      <c r="G22" s="809" t="s">
        <v>47</v>
      </c>
      <c r="H22" s="809" t="s">
        <v>2045</v>
      </c>
      <c r="I22" s="92">
        <v>63</v>
      </c>
      <c r="J22" s="92" t="s">
        <v>10</v>
      </c>
      <c r="K22" s="92" t="s">
        <v>707</v>
      </c>
      <c r="L22" s="810">
        <v>7</v>
      </c>
      <c r="M22" s="811" t="str">
        <f t="shared" si="0"/>
        <v>College Graduate or Higher</v>
      </c>
      <c r="N22" s="92" t="s">
        <v>1208</v>
      </c>
      <c r="O22" s="92" t="s">
        <v>8261</v>
      </c>
      <c r="P22" s="1638" t="s">
        <v>12617</v>
      </c>
      <c r="Q22" s="92" t="s">
        <v>8261</v>
      </c>
      <c r="R22" s="92" t="s">
        <v>8234</v>
      </c>
      <c r="S22" s="813">
        <v>10000</v>
      </c>
      <c r="T22" s="813"/>
      <c r="U22" s="813"/>
      <c r="V22" s="830"/>
      <c r="W22" s="815">
        <v>3</v>
      </c>
      <c r="X22" s="811" t="str">
        <f t="shared" si="1"/>
        <v>within the Province</v>
      </c>
      <c r="Y22" s="816">
        <v>70</v>
      </c>
      <c r="Z22" s="816"/>
      <c r="AA22" s="816"/>
      <c r="AB22" s="830"/>
      <c r="AC22" s="809" t="s">
        <v>8262</v>
      </c>
      <c r="AD22" s="817" t="s">
        <v>2045</v>
      </c>
      <c r="AE22" s="93"/>
      <c r="AF22" s="818"/>
      <c r="AG22" s="807" t="str">
        <f t="shared" si="2"/>
        <v/>
      </c>
      <c r="AH22" s="807"/>
      <c r="AI22" s="807"/>
      <c r="AJ22" s="807"/>
      <c r="AK22" s="92"/>
      <c r="AL22" s="92"/>
      <c r="AM22" s="819"/>
      <c r="AN22" s="820"/>
      <c r="AO22" s="817"/>
      <c r="AP22" s="820"/>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T22" s="93"/>
      <c r="BU22" s="93"/>
      <c r="BV22" s="93"/>
      <c r="BW22" s="93"/>
      <c r="BX22" s="93"/>
      <c r="BY22" s="93"/>
      <c r="BZ22" s="93"/>
      <c r="CA22" s="93"/>
      <c r="CB22" s="93"/>
      <c r="CC22" s="93"/>
      <c r="CD22" s="93"/>
      <c r="CE22" s="93"/>
      <c r="CF22" s="93"/>
      <c r="CG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825"/>
      <c r="DF22" s="825"/>
      <c r="DG22" s="825"/>
      <c r="DH22" s="825"/>
      <c r="DI22" s="826"/>
      <c r="DJ22" s="825"/>
      <c r="GO22" s="92"/>
      <c r="GP22" s="831"/>
    </row>
    <row r="23" spans="1:202" s="806" customFormat="1" ht="15">
      <c r="C23" s="169" t="s">
        <v>11068</v>
      </c>
      <c r="D23" s="1056"/>
      <c r="E23" s="169" t="s">
        <v>47</v>
      </c>
      <c r="G23" s="827"/>
      <c r="H23" s="809" t="s">
        <v>8263</v>
      </c>
      <c r="I23" s="92">
        <v>54</v>
      </c>
      <c r="J23" s="92" t="s">
        <v>18</v>
      </c>
      <c r="K23" s="92" t="s">
        <v>707</v>
      </c>
      <c r="L23" s="810">
        <v>5</v>
      </c>
      <c r="M23" s="811" t="str">
        <f t="shared" si="0"/>
        <v>High School Graduate</v>
      </c>
      <c r="N23" s="92" t="s">
        <v>110</v>
      </c>
      <c r="O23" s="92"/>
      <c r="P23" s="1638"/>
      <c r="Q23" s="92"/>
      <c r="R23" s="92"/>
      <c r="S23" s="813"/>
      <c r="T23" s="813"/>
      <c r="U23" s="813"/>
      <c r="V23" s="830"/>
      <c r="W23" s="815"/>
      <c r="X23" s="811" t="str">
        <f t="shared" si="1"/>
        <v/>
      </c>
      <c r="Y23" s="816"/>
      <c r="Z23" s="816"/>
      <c r="AA23" s="816"/>
      <c r="AB23" s="830"/>
      <c r="AC23" s="809"/>
      <c r="AD23" s="824"/>
      <c r="AE23" s="93"/>
      <c r="AF23" s="818"/>
      <c r="AG23" s="807" t="str">
        <f t="shared" si="2"/>
        <v/>
      </c>
      <c r="AH23" s="807"/>
      <c r="AI23" s="807"/>
      <c r="AJ23" s="807"/>
      <c r="AK23" s="92"/>
      <c r="AL23" s="92"/>
      <c r="AM23" s="819"/>
      <c r="AN23" s="820"/>
      <c r="AO23" s="817"/>
      <c r="AP23" s="820"/>
      <c r="AQ23" s="93"/>
      <c r="AR23" s="93"/>
      <c r="AS23" s="93"/>
      <c r="AT23" s="93"/>
      <c r="AU23" s="93"/>
      <c r="AV23" s="93"/>
      <c r="AW23" s="93"/>
      <c r="AX23" s="93"/>
      <c r="AY23" s="93"/>
      <c r="AZ23" s="93"/>
      <c r="BA23" s="93"/>
      <c r="BB23" s="93"/>
      <c r="BC23" s="93"/>
      <c r="BD23" s="93"/>
      <c r="BE23" s="93"/>
      <c r="BF23" s="93"/>
      <c r="BG23" s="93"/>
      <c r="BH23" s="93"/>
      <c r="BI23" s="93"/>
      <c r="BJ23" s="93"/>
      <c r="BK23" s="93"/>
      <c r="BL23" s="93"/>
      <c r="BM23" s="93"/>
      <c r="BN23" s="93"/>
      <c r="BT23" s="93"/>
      <c r="BU23" s="93"/>
      <c r="BV23" s="93"/>
      <c r="BW23" s="93"/>
      <c r="BX23" s="93"/>
      <c r="BY23" s="93"/>
      <c r="BZ23" s="93"/>
      <c r="CA23" s="93"/>
      <c r="CB23" s="93"/>
      <c r="CC23" s="93"/>
      <c r="CD23" s="93"/>
      <c r="CE23" s="93"/>
      <c r="CF23" s="93"/>
      <c r="CG23" s="93"/>
      <c r="CI23" s="93"/>
      <c r="CJ23" s="93"/>
      <c r="CK23" s="93"/>
      <c r="CL23" s="93"/>
      <c r="CM23" s="93"/>
      <c r="CN23" s="93"/>
      <c r="CO23" s="93"/>
      <c r="CP23" s="93"/>
      <c r="CQ23" s="93"/>
      <c r="CR23" s="93"/>
      <c r="CS23" s="93"/>
      <c r="CT23" s="93"/>
      <c r="CU23" s="93"/>
      <c r="CV23" s="93"/>
      <c r="CW23" s="93"/>
      <c r="CX23" s="93"/>
      <c r="CY23" s="93"/>
      <c r="CZ23" s="93"/>
      <c r="DA23" s="93"/>
      <c r="DB23" s="93"/>
      <c r="DC23" s="93"/>
      <c r="DD23" s="93"/>
      <c r="DE23" s="825"/>
      <c r="DF23" s="825"/>
      <c r="DG23" s="825"/>
      <c r="DH23" s="825"/>
      <c r="DI23" s="826"/>
      <c r="DJ23" s="825"/>
      <c r="GO23" s="92"/>
      <c r="GP23" s="831"/>
    </row>
    <row r="24" spans="1:202" s="806" customFormat="1" ht="15">
      <c r="C24" s="169" t="s">
        <v>8290</v>
      </c>
      <c r="D24" s="1056"/>
      <c r="E24" s="169" t="s">
        <v>47</v>
      </c>
      <c r="G24" s="827"/>
      <c r="H24" s="809" t="s">
        <v>8264</v>
      </c>
      <c r="I24" s="92">
        <v>34</v>
      </c>
      <c r="J24" s="92" t="s">
        <v>10</v>
      </c>
      <c r="K24" s="92" t="s">
        <v>707</v>
      </c>
      <c r="L24" s="810">
        <v>6</v>
      </c>
      <c r="M24" s="811" t="str">
        <f t="shared" si="0"/>
        <v>College Level</v>
      </c>
      <c r="N24" s="92" t="s">
        <v>1208</v>
      </c>
      <c r="O24" s="92" t="s">
        <v>2210</v>
      </c>
      <c r="P24" s="1638" t="s">
        <v>12607</v>
      </c>
      <c r="Q24" s="92" t="s">
        <v>2210</v>
      </c>
      <c r="R24" s="92" t="s">
        <v>8285</v>
      </c>
      <c r="S24" s="813"/>
      <c r="T24" s="813"/>
      <c r="U24" s="813"/>
      <c r="V24" s="830"/>
      <c r="W24" s="815">
        <v>5</v>
      </c>
      <c r="X24" s="811" t="str">
        <f t="shared" si="1"/>
        <v>Overseas Worker</v>
      </c>
      <c r="Y24" s="816"/>
      <c r="Z24" s="816"/>
      <c r="AA24" s="816"/>
      <c r="AB24" s="830"/>
      <c r="AC24" s="809"/>
      <c r="AD24" s="824"/>
      <c r="AE24" s="93"/>
      <c r="AF24" s="818"/>
      <c r="AG24" s="807" t="str">
        <f t="shared" si="2"/>
        <v/>
      </c>
      <c r="AH24" s="807"/>
      <c r="AI24" s="807"/>
      <c r="AJ24" s="807"/>
      <c r="AK24" s="92"/>
      <c r="AL24" s="92"/>
      <c r="AM24" s="819"/>
      <c r="AN24" s="820"/>
      <c r="AO24" s="817"/>
      <c r="AP24" s="820"/>
      <c r="AQ24" s="93"/>
      <c r="AR24" s="93"/>
      <c r="AS24" s="93"/>
      <c r="AT24" s="93"/>
      <c r="AU24" s="93"/>
      <c r="AV24" s="93"/>
      <c r="AW24" s="93"/>
      <c r="AX24" s="93"/>
      <c r="AY24" s="93"/>
      <c r="AZ24" s="93"/>
      <c r="BA24" s="93"/>
      <c r="BB24" s="93"/>
      <c r="BC24" s="93"/>
      <c r="BD24" s="93"/>
      <c r="BE24" s="93"/>
      <c r="BF24" s="93"/>
      <c r="BG24" s="93"/>
      <c r="BH24" s="93"/>
      <c r="BI24" s="93"/>
      <c r="BJ24" s="93"/>
      <c r="BK24" s="93"/>
      <c r="BL24" s="93"/>
      <c r="BM24" s="93"/>
      <c r="BN24" s="93"/>
      <c r="BT24" s="93"/>
      <c r="BU24" s="93"/>
      <c r="BV24" s="93"/>
      <c r="BW24" s="93"/>
      <c r="BX24" s="93"/>
      <c r="BY24" s="93"/>
      <c r="BZ24" s="93"/>
      <c r="CA24" s="93"/>
      <c r="CB24" s="93"/>
      <c r="CC24" s="93"/>
      <c r="CD24" s="93"/>
      <c r="CE24" s="93"/>
      <c r="CF24" s="93"/>
      <c r="CG24" s="93"/>
      <c r="CI24" s="93"/>
      <c r="CJ24" s="93"/>
      <c r="CK24" s="93"/>
      <c r="CL24" s="93"/>
      <c r="CM24" s="93"/>
      <c r="CN24" s="93"/>
      <c r="CO24" s="93"/>
      <c r="CP24" s="93"/>
      <c r="CQ24" s="93"/>
      <c r="CR24" s="93"/>
      <c r="CS24" s="93"/>
      <c r="CT24" s="93"/>
      <c r="CU24" s="93"/>
      <c r="CV24" s="93"/>
      <c r="CW24" s="93"/>
      <c r="CX24" s="93"/>
      <c r="CY24" s="93"/>
      <c r="CZ24" s="93"/>
      <c r="DA24" s="93"/>
      <c r="DB24" s="93"/>
      <c r="DC24" s="93"/>
      <c r="DD24" s="93"/>
      <c r="DE24" s="825"/>
      <c r="DF24" s="825"/>
      <c r="DG24" s="825"/>
      <c r="DH24" s="825"/>
      <c r="DI24" s="826"/>
      <c r="DJ24" s="825"/>
      <c r="GO24" s="92"/>
      <c r="GP24" s="831"/>
    </row>
    <row r="25" spans="1:202" s="806" customFormat="1" ht="15">
      <c r="A25" s="1076"/>
      <c r="B25" s="6"/>
      <c r="C25" s="164"/>
      <c r="D25" s="1056"/>
      <c r="E25" s="169" t="s">
        <v>47</v>
      </c>
      <c r="G25" s="827"/>
      <c r="H25" s="809" t="s">
        <v>8265</v>
      </c>
      <c r="I25" s="92">
        <v>34</v>
      </c>
      <c r="J25" s="92" t="s">
        <v>18</v>
      </c>
      <c r="K25" s="92" t="s">
        <v>707</v>
      </c>
      <c r="L25" s="810">
        <v>7</v>
      </c>
      <c r="M25" s="811" t="str">
        <f t="shared" si="0"/>
        <v>College Graduate or Higher</v>
      </c>
      <c r="N25" s="92" t="s">
        <v>110</v>
      </c>
      <c r="O25" s="92" t="s">
        <v>2213</v>
      </c>
      <c r="P25" s="1638"/>
      <c r="Q25" s="92" t="s">
        <v>2213</v>
      </c>
      <c r="R25" s="92"/>
      <c r="S25" s="813"/>
      <c r="T25" s="813"/>
      <c r="U25" s="813"/>
      <c r="V25" s="830"/>
      <c r="W25" s="815"/>
      <c r="X25" s="811" t="str">
        <f t="shared" si="1"/>
        <v/>
      </c>
      <c r="Y25" s="816"/>
      <c r="Z25" s="816"/>
      <c r="AA25" s="816"/>
      <c r="AB25" s="830"/>
      <c r="AC25" s="809"/>
      <c r="AD25" s="824"/>
      <c r="AE25" s="93"/>
      <c r="AF25" s="818"/>
      <c r="AG25" s="807" t="str">
        <f t="shared" si="2"/>
        <v/>
      </c>
      <c r="AH25" s="807"/>
      <c r="AI25" s="807"/>
      <c r="AJ25" s="807"/>
      <c r="AK25" s="92"/>
      <c r="AL25" s="92"/>
      <c r="AM25" s="819"/>
      <c r="AN25" s="820"/>
      <c r="AO25" s="817"/>
      <c r="AP25" s="820"/>
      <c r="AQ25" s="93"/>
      <c r="AR25" s="93"/>
      <c r="AS25" s="93"/>
      <c r="AT25" s="93"/>
      <c r="AU25" s="93"/>
      <c r="AV25" s="93"/>
      <c r="AW25" s="93"/>
      <c r="AX25" s="93"/>
      <c r="AY25" s="93"/>
      <c r="AZ25" s="93"/>
      <c r="BA25" s="93"/>
      <c r="BB25" s="93"/>
      <c r="BC25" s="93"/>
      <c r="BD25" s="93"/>
      <c r="BE25" s="93"/>
      <c r="BF25" s="93"/>
      <c r="BG25" s="93"/>
      <c r="BH25" s="93"/>
      <c r="BI25" s="93"/>
      <c r="BJ25" s="93"/>
      <c r="BK25" s="93"/>
      <c r="BL25" s="93"/>
      <c r="BM25" s="93"/>
      <c r="BN25" s="93"/>
      <c r="BT25" s="93"/>
      <c r="BU25" s="93"/>
      <c r="BV25" s="93"/>
      <c r="BW25" s="93"/>
      <c r="BX25" s="93"/>
      <c r="BY25" s="93"/>
      <c r="BZ25" s="93"/>
      <c r="CA25" s="93"/>
      <c r="CB25" s="93"/>
      <c r="CC25" s="93"/>
      <c r="CD25" s="93"/>
      <c r="CE25" s="93"/>
      <c r="CF25" s="93"/>
      <c r="CG25" s="93"/>
      <c r="CI25" s="93"/>
      <c r="CJ25" s="93"/>
      <c r="CK25" s="93"/>
      <c r="CL25" s="93"/>
      <c r="CM25" s="93"/>
      <c r="CN25" s="93"/>
      <c r="CO25" s="93"/>
      <c r="CP25" s="93"/>
      <c r="CQ25" s="93"/>
      <c r="CR25" s="93"/>
      <c r="CS25" s="93"/>
      <c r="CT25" s="93"/>
      <c r="CU25" s="93"/>
      <c r="CV25" s="93"/>
      <c r="CW25" s="93"/>
      <c r="CX25" s="93"/>
      <c r="CY25" s="93"/>
      <c r="CZ25" s="93"/>
      <c r="DA25" s="93"/>
      <c r="DB25" s="93"/>
      <c r="DC25" s="93"/>
      <c r="DD25" s="93"/>
      <c r="DE25" s="825"/>
      <c r="DF25" s="825"/>
      <c r="DG25" s="825"/>
      <c r="DH25" s="825"/>
      <c r="DI25" s="826"/>
      <c r="DJ25" s="825"/>
      <c r="GO25" s="92"/>
      <c r="GP25" s="831"/>
    </row>
    <row r="26" spans="1:202" ht="15">
      <c r="A26" s="1076"/>
      <c r="B26" s="6"/>
      <c r="C26" s="164"/>
      <c r="D26" s="1056"/>
      <c r="E26" s="169" t="s">
        <v>47</v>
      </c>
      <c r="G26" s="827"/>
      <c r="H26" s="809" t="s">
        <v>8266</v>
      </c>
      <c r="I26" s="92">
        <v>11</v>
      </c>
      <c r="J26" s="92" t="s">
        <v>10</v>
      </c>
      <c r="K26" s="92" t="s">
        <v>768</v>
      </c>
      <c r="L26" s="810">
        <v>2</v>
      </c>
      <c r="M26" s="811" t="str">
        <f t="shared" si="0"/>
        <v>Elementary Level</v>
      </c>
      <c r="O26" s="92"/>
      <c r="P26" s="1638"/>
      <c r="Q26" s="92"/>
      <c r="R26" s="92"/>
      <c r="S26" s="820"/>
      <c r="T26" s="820"/>
      <c r="U26" s="820"/>
      <c r="V26" s="834"/>
      <c r="X26" s="811" t="str">
        <f t="shared" si="1"/>
        <v/>
      </c>
      <c r="AB26" s="834"/>
      <c r="AC26" s="809"/>
      <c r="AD26" s="824"/>
      <c r="AG26" s="807" t="str">
        <f t="shared" si="2"/>
        <v/>
      </c>
      <c r="AI26" s="817"/>
      <c r="AJ26" s="817"/>
      <c r="AK26" s="92"/>
      <c r="AM26" s="819"/>
      <c r="AN26" s="820"/>
      <c r="AQ26" s="93"/>
      <c r="AR26" s="93"/>
      <c r="AS26" s="93"/>
      <c r="AT26" s="93"/>
      <c r="AU26" s="93"/>
      <c r="AV26" s="93"/>
      <c r="AW26" s="93"/>
      <c r="AX26" s="93"/>
      <c r="AY26" s="93"/>
      <c r="AZ26" s="93"/>
      <c r="BA26" s="93"/>
      <c r="BB26" s="93"/>
      <c r="BL26" s="93"/>
      <c r="BM26" s="93"/>
      <c r="BT26" s="93"/>
      <c r="BU26" s="93"/>
      <c r="BV26" s="93"/>
      <c r="BW26" s="93"/>
      <c r="BX26" s="93"/>
      <c r="BY26" s="93"/>
      <c r="BZ26" s="93"/>
      <c r="CA26" s="93"/>
      <c r="CB26" s="93"/>
      <c r="CC26" s="93"/>
      <c r="CF26" s="93"/>
      <c r="CG26" s="93"/>
      <c r="CH26" s="93"/>
      <c r="CI26" s="93"/>
      <c r="CJ26" s="93"/>
      <c r="CK26" s="93"/>
      <c r="CL26" s="93"/>
      <c r="CM26" s="93"/>
      <c r="CN26" s="93"/>
      <c r="CO26" s="93"/>
      <c r="CP26" s="93"/>
      <c r="CQ26" s="93"/>
      <c r="CR26" s="93"/>
      <c r="CS26" s="93"/>
      <c r="CT26" s="93"/>
      <c r="CU26" s="93"/>
      <c r="CV26" s="93"/>
      <c r="CW26" s="93"/>
      <c r="CX26" s="93"/>
      <c r="CY26" s="93"/>
      <c r="CZ26" s="93"/>
      <c r="DA26" s="93"/>
      <c r="DB26" s="93"/>
      <c r="DC26" s="93"/>
      <c r="DD26" s="93"/>
      <c r="DE26" s="93"/>
      <c r="DF26" s="93"/>
      <c r="DG26" s="93"/>
      <c r="DH26" s="93"/>
      <c r="DI26" s="93"/>
      <c r="DJ26" s="93"/>
      <c r="DK26" s="93"/>
      <c r="DL26" s="93"/>
      <c r="DM26" s="93"/>
      <c r="DN26" s="93"/>
      <c r="DO26" s="93"/>
    </row>
    <row r="27" spans="1:202" ht="15">
      <c r="A27" s="1076"/>
      <c r="B27" s="6"/>
      <c r="C27" s="164"/>
      <c r="D27" s="1056"/>
      <c r="E27" s="169" t="s">
        <v>47</v>
      </c>
      <c r="G27" s="827"/>
      <c r="H27" s="809" t="s">
        <v>8267</v>
      </c>
      <c r="I27" s="92">
        <v>1</v>
      </c>
      <c r="J27" s="92" t="s">
        <v>10</v>
      </c>
      <c r="K27" s="92" t="s">
        <v>768</v>
      </c>
      <c r="L27" s="810">
        <v>10</v>
      </c>
      <c r="M27" s="811" t="str">
        <f t="shared" si="0"/>
        <v>Not In School Age</v>
      </c>
      <c r="N27" s="92" t="s">
        <v>110</v>
      </c>
      <c r="P27" s="1638"/>
      <c r="V27" s="830"/>
      <c r="X27" s="811" t="str">
        <f t="shared" si="1"/>
        <v/>
      </c>
      <c r="AB27" s="830"/>
      <c r="AC27" s="809"/>
      <c r="AD27" s="824"/>
      <c r="AG27" s="807" t="str">
        <f t="shared" si="2"/>
        <v/>
      </c>
      <c r="AH27" s="807"/>
      <c r="AI27" s="807"/>
      <c r="AJ27" s="807"/>
      <c r="AK27" s="92"/>
      <c r="AM27" s="819"/>
      <c r="AN27" s="820"/>
      <c r="AQ27" s="93"/>
      <c r="AR27" s="93"/>
      <c r="AS27" s="93"/>
      <c r="AT27" s="93"/>
      <c r="AU27" s="93"/>
      <c r="AV27" s="93"/>
      <c r="AW27" s="93"/>
      <c r="AX27" s="93"/>
      <c r="AY27" s="93"/>
      <c r="AZ27" s="93"/>
      <c r="BA27" s="93"/>
      <c r="BB27" s="93"/>
      <c r="BL27" s="93"/>
      <c r="BM27" s="93"/>
      <c r="BT27" s="93"/>
      <c r="BU27" s="93"/>
      <c r="BV27" s="93"/>
      <c r="BW27" s="93"/>
      <c r="BX27" s="93"/>
      <c r="BY27" s="93"/>
      <c r="BZ27" s="93"/>
      <c r="CA27" s="93"/>
      <c r="CB27" s="93"/>
      <c r="CC27" s="93"/>
      <c r="CF27" s="93"/>
      <c r="CG27" s="93"/>
      <c r="CH27" s="93"/>
      <c r="CI27" s="93"/>
      <c r="CJ27" s="93"/>
      <c r="CK27" s="93"/>
      <c r="CL27" s="93"/>
      <c r="CM27" s="93"/>
      <c r="CN27" s="93"/>
      <c r="CO27" s="93"/>
      <c r="CP27" s="93"/>
      <c r="CQ27" s="93"/>
      <c r="CR27" s="93"/>
      <c r="CS27" s="93"/>
      <c r="CT27" s="93"/>
      <c r="CU27" s="93"/>
      <c r="CV27" s="93"/>
      <c r="CW27" s="93"/>
      <c r="CX27" s="93"/>
      <c r="CY27" s="93"/>
      <c r="CZ27" s="93"/>
      <c r="DA27" s="93"/>
      <c r="DB27" s="93"/>
      <c r="DC27" s="93"/>
      <c r="DD27" s="93"/>
      <c r="DE27" s="93"/>
      <c r="DF27" s="93"/>
      <c r="DG27" s="93"/>
      <c r="DH27" s="93"/>
      <c r="DI27" s="93"/>
      <c r="DJ27" s="93"/>
      <c r="DK27" s="93"/>
      <c r="DL27" s="93"/>
      <c r="DM27" s="93"/>
      <c r="DN27" s="93"/>
      <c r="DO27" s="93"/>
    </row>
    <row r="28" spans="1:202" s="806" customFormat="1" ht="15">
      <c r="A28" s="1076"/>
      <c r="B28" s="6"/>
      <c r="C28" s="164"/>
      <c r="D28" s="1056"/>
      <c r="E28" s="169" t="s">
        <v>47</v>
      </c>
      <c r="G28" s="827"/>
      <c r="H28" s="809" t="s">
        <v>8268</v>
      </c>
      <c r="I28" s="92">
        <v>33</v>
      </c>
      <c r="J28" s="92" t="s">
        <v>18</v>
      </c>
      <c r="K28" s="92" t="s">
        <v>707</v>
      </c>
      <c r="L28" s="810">
        <v>7</v>
      </c>
      <c r="M28" s="811" t="str">
        <f t="shared" si="0"/>
        <v>College Graduate or Higher</v>
      </c>
      <c r="N28" s="92" t="s">
        <v>110</v>
      </c>
      <c r="O28" s="92"/>
      <c r="P28" s="1638"/>
      <c r="Q28" s="92"/>
      <c r="R28" s="92"/>
      <c r="S28" s="813"/>
      <c r="T28" s="813"/>
      <c r="U28" s="813"/>
      <c r="V28" s="830"/>
      <c r="W28" s="815"/>
      <c r="X28" s="811" t="str">
        <f t="shared" si="1"/>
        <v/>
      </c>
      <c r="Y28" s="816"/>
      <c r="Z28" s="816"/>
      <c r="AA28" s="816"/>
      <c r="AB28" s="830"/>
      <c r="AC28" s="809"/>
      <c r="AD28" s="824"/>
      <c r="AE28" s="93"/>
      <c r="AF28" s="818"/>
      <c r="AG28" s="807" t="str">
        <f t="shared" si="2"/>
        <v/>
      </c>
      <c r="AH28" s="807"/>
      <c r="AI28" s="807"/>
      <c r="AJ28" s="807"/>
      <c r="AK28" s="92"/>
      <c r="AL28" s="92"/>
      <c r="AM28" s="819"/>
      <c r="AN28" s="820"/>
      <c r="AO28" s="817"/>
      <c r="AP28" s="820"/>
      <c r="AQ28" s="93"/>
      <c r="AR28" s="93"/>
      <c r="AS28" s="93"/>
      <c r="AT28" s="93"/>
      <c r="AU28" s="93"/>
      <c r="AV28" s="93"/>
      <c r="AW28" s="93"/>
      <c r="AX28" s="93"/>
      <c r="AY28" s="93"/>
      <c r="AZ28" s="93"/>
      <c r="BA28" s="93"/>
      <c r="BB28" s="93"/>
      <c r="BC28" s="93"/>
      <c r="BD28" s="93"/>
      <c r="BE28" s="93"/>
      <c r="BF28" s="93"/>
      <c r="BG28" s="93"/>
      <c r="BH28" s="93"/>
      <c r="BI28" s="93"/>
      <c r="BJ28" s="93"/>
      <c r="BK28" s="93"/>
      <c r="BL28" s="93"/>
      <c r="BM28" s="93"/>
      <c r="BN28" s="93"/>
      <c r="BT28" s="93"/>
      <c r="BU28" s="93"/>
      <c r="BV28" s="93"/>
      <c r="BW28" s="93"/>
      <c r="BX28" s="93"/>
      <c r="BY28" s="93"/>
      <c r="BZ28" s="93"/>
      <c r="CA28" s="93"/>
      <c r="CB28" s="93"/>
      <c r="CC28" s="93"/>
      <c r="CD28" s="93"/>
      <c r="CE28" s="93"/>
      <c r="CF28" s="93"/>
      <c r="CG28" s="93"/>
      <c r="CI28" s="93"/>
      <c r="CJ28" s="93"/>
      <c r="CK28" s="93"/>
      <c r="CL28" s="93"/>
      <c r="CM28" s="93"/>
      <c r="CN28" s="93"/>
      <c r="CO28" s="93"/>
      <c r="CP28" s="93"/>
      <c r="CQ28" s="93"/>
      <c r="CR28" s="93"/>
      <c r="CS28" s="93"/>
      <c r="CT28" s="93"/>
      <c r="CU28" s="93"/>
      <c r="CV28" s="93"/>
      <c r="CW28" s="93"/>
      <c r="CX28" s="93"/>
      <c r="CY28" s="93"/>
      <c r="CZ28" s="93"/>
      <c r="DA28" s="93"/>
      <c r="DB28" s="93"/>
      <c r="DC28" s="93"/>
      <c r="DD28" s="93"/>
      <c r="DE28" s="825"/>
      <c r="DF28" s="825"/>
      <c r="DG28" s="825"/>
      <c r="DH28" s="825"/>
      <c r="DI28" s="826"/>
      <c r="DJ28" s="825"/>
      <c r="GO28" s="92"/>
      <c r="GP28" s="831"/>
    </row>
    <row r="29" spans="1:202" s="806" customFormat="1" ht="15">
      <c r="A29" s="1076"/>
      <c r="B29" s="6"/>
      <c r="C29" s="164"/>
      <c r="D29" s="1056"/>
      <c r="E29" s="169" t="s">
        <v>47</v>
      </c>
      <c r="G29" s="827"/>
      <c r="H29" s="809" t="s">
        <v>8269</v>
      </c>
      <c r="I29" s="92">
        <v>31</v>
      </c>
      <c r="J29" s="92" t="s">
        <v>10</v>
      </c>
      <c r="K29" s="92" t="s">
        <v>707</v>
      </c>
      <c r="L29" s="810">
        <v>5</v>
      </c>
      <c r="M29" s="811" t="str">
        <f t="shared" si="0"/>
        <v>High School Graduate</v>
      </c>
      <c r="N29" s="92" t="s">
        <v>1208</v>
      </c>
      <c r="O29" s="92" t="s">
        <v>8270</v>
      </c>
      <c r="P29" s="1638"/>
      <c r="Q29" s="92" t="s">
        <v>8270</v>
      </c>
      <c r="R29" s="92" t="s">
        <v>8285</v>
      </c>
      <c r="S29" s="813">
        <v>4800</v>
      </c>
      <c r="T29" s="813"/>
      <c r="U29" s="813"/>
      <c r="V29" s="830"/>
      <c r="W29" s="815">
        <v>3</v>
      </c>
      <c r="X29" s="811" t="str">
        <f t="shared" si="1"/>
        <v>within the Province</v>
      </c>
      <c r="Y29" s="816">
        <v>200</v>
      </c>
      <c r="Z29" s="816"/>
      <c r="AA29" s="816"/>
      <c r="AB29" s="830"/>
      <c r="AC29" s="809"/>
      <c r="AD29" s="824"/>
      <c r="AE29" s="93"/>
      <c r="AF29" s="818"/>
      <c r="AG29" s="807" t="str">
        <f t="shared" si="2"/>
        <v/>
      </c>
      <c r="AH29" s="807"/>
      <c r="AI29" s="807"/>
      <c r="AJ29" s="807"/>
      <c r="AK29" s="92"/>
      <c r="AL29" s="92"/>
      <c r="AM29" s="819"/>
      <c r="AN29" s="820"/>
      <c r="AO29" s="817"/>
      <c r="AP29" s="820"/>
      <c r="AQ29" s="93"/>
      <c r="AR29" s="93"/>
      <c r="AS29" s="93"/>
      <c r="AT29" s="93"/>
      <c r="AU29" s="93"/>
      <c r="AV29" s="93"/>
      <c r="AW29" s="93"/>
      <c r="AX29" s="93"/>
      <c r="AY29" s="93"/>
      <c r="AZ29" s="93"/>
      <c r="BA29" s="93"/>
      <c r="BB29" s="93"/>
      <c r="BC29" s="93"/>
      <c r="BD29" s="93"/>
      <c r="BE29" s="93"/>
      <c r="BF29" s="93"/>
      <c r="BG29" s="93"/>
      <c r="BH29" s="93"/>
      <c r="BI29" s="93"/>
      <c r="BJ29" s="93"/>
      <c r="BK29" s="93"/>
      <c r="BL29" s="93"/>
      <c r="BM29" s="93"/>
      <c r="BN29" s="93"/>
      <c r="BT29" s="93"/>
      <c r="BU29" s="93"/>
      <c r="BV29" s="93"/>
      <c r="BW29" s="93"/>
      <c r="BX29" s="93"/>
      <c r="BY29" s="93"/>
      <c r="BZ29" s="93"/>
      <c r="CA29" s="93"/>
      <c r="CB29" s="93"/>
      <c r="CC29" s="93"/>
      <c r="CD29" s="93"/>
      <c r="CE29" s="93"/>
      <c r="CF29" s="93"/>
      <c r="CG29" s="93"/>
      <c r="CI29" s="93"/>
      <c r="CJ29" s="93"/>
      <c r="CK29" s="93"/>
      <c r="CL29" s="93"/>
      <c r="CM29" s="93"/>
      <c r="CN29" s="93"/>
      <c r="CO29" s="93"/>
      <c r="CP29" s="93"/>
      <c r="CQ29" s="93"/>
      <c r="CR29" s="93"/>
      <c r="CS29" s="93"/>
      <c r="CT29" s="93"/>
      <c r="CU29" s="93"/>
      <c r="CV29" s="93"/>
      <c r="CW29" s="93"/>
      <c r="CX29" s="93"/>
      <c r="CY29" s="93"/>
      <c r="CZ29" s="93"/>
      <c r="DA29" s="93"/>
      <c r="DB29" s="93"/>
      <c r="DC29" s="93"/>
      <c r="DD29" s="93"/>
      <c r="DE29" s="825"/>
      <c r="DF29" s="825"/>
      <c r="DG29" s="825"/>
      <c r="DH29" s="825"/>
      <c r="DI29" s="826"/>
      <c r="DJ29" s="825"/>
      <c r="GO29" s="92"/>
      <c r="GP29" s="831"/>
    </row>
    <row r="30" spans="1:202" ht="15">
      <c r="A30" s="1076"/>
      <c r="B30" s="6"/>
      <c r="C30" s="164"/>
      <c r="D30" s="1056"/>
      <c r="E30" s="169" t="s">
        <v>47</v>
      </c>
      <c r="G30" s="827"/>
      <c r="H30" s="809" t="s">
        <v>8271</v>
      </c>
      <c r="I30" s="92">
        <v>2</v>
      </c>
      <c r="J30" s="92" t="s">
        <v>18</v>
      </c>
      <c r="K30" s="92" t="s">
        <v>768</v>
      </c>
      <c r="L30" s="810">
        <v>10</v>
      </c>
      <c r="M30" s="811" t="str">
        <f t="shared" si="0"/>
        <v>Not In School Age</v>
      </c>
      <c r="O30" s="92"/>
      <c r="P30" s="1638"/>
      <c r="Q30" s="92"/>
      <c r="R30" s="92"/>
      <c r="S30" s="820"/>
      <c r="T30" s="820"/>
      <c r="U30" s="820"/>
      <c r="V30" s="834"/>
      <c r="X30" s="811" t="str">
        <f t="shared" si="1"/>
        <v/>
      </c>
      <c r="AB30" s="834"/>
      <c r="AC30" s="809"/>
      <c r="AD30" s="824"/>
      <c r="AG30" s="807" t="str">
        <f t="shared" si="2"/>
        <v/>
      </c>
      <c r="AI30" s="817"/>
      <c r="AJ30" s="817"/>
      <c r="AK30" s="92"/>
      <c r="AM30" s="819"/>
      <c r="AN30" s="820"/>
      <c r="AQ30" s="93"/>
      <c r="AR30" s="93"/>
      <c r="AS30" s="93"/>
      <c r="AT30" s="93"/>
      <c r="AU30" s="93"/>
      <c r="AV30" s="93"/>
      <c r="AW30" s="93"/>
      <c r="AX30" s="93"/>
      <c r="AY30" s="93"/>
      <c r="AZ30" s="93"/>
      <c r="BA30" s="93"/>
      <c r="BB30" s="93"/>
      <c r="BL30" s="93"/>
      <c r="BM30" s="93"/>
      <c r="BT30" s="93"/>
      <c r="BU30" s="93"/>
      <c r="BV30" s="93"/>
      <c r="BW30" s="93"/>
      <c r="BX30" s="93"/>
      <c r="BY30" s="93"/>
      <c r="BZ30" s="93"/>
      <c r="CA30" s="93"/>
      <c r="CB30" s="93"/>
      <c r="CC30" s="93"/>
      <c r="CF30" s="93"/>
      <c r="CG30" s="93"/>
      <c r="CH30" s="93"/>
      <c r="CI30" s="93"/>
      <c r="CJ30" s="93"/>
      <c r="CK30" s="93"/>
      <c r="CL30" s="93"/>
      <c r="CM30" s="93"/>
      <c r="CN30" s="93"/>
      <c r="CO30" s="93"/>
      <c r="CP30" s="93"/>
      <c r="CQ30" s="93"/>
      <c r="CR30" s="93"/>
      <c r="CS30" s="93"/>
      <c r="CT30" s="93"/>
      <c r="CU30" s="93"/>
      <c r="CV30" s="93"/>
      <c r="CW30" s="93"/>
      <c r="CX30" s="93"/>
      <c r="CY30" s="93"/>
      <c r="CZ30" s="93"/>
      <c r="DA30" s="93"/>
      <c r="DB30" s="93"/>
      <c r="DC30" s="93"/>
      <c r="DD30" s="93"/>
      <c r="DE30" s="93"/>
      <c r="DF30" s="93"/>
      <c r="DG30" s="93"/>
      <c r="DH30" s="93"/>
      <c r="DI30" s="93"/>
      <c r="DJ30" s="93"/>
      <c r="DK30" s="93"/>
      <c r="DL30" s="93"/>
      <c r="DM30" s="93"/>
      <c r="DN30" s="93"/>
      <c r="DO30" s="93"/>
    </row>
    <row r="31" spans="1:202" s="92" customFormat="1" ht="15">
      <c r="A31" s="1076"/>
      <c r="B31" s="6"/>
      <c r="C31" s="164"/>
      <c r="D31" s="1058"/>
      <c r="E31" s="169" t="s">
        <v>47</v>
      </c>
      <c r="G31" s="835"/>
      <c r="H31" s="831" t="s">
        <v>8272</v>
      </c>
      <c r="I31" s="92">
        <v>1</v>
      </c>
      <c r="J31" s="92" t="s">
        <v>18</v>
      </c>
      <c r="K31" s="92" t="s">
        <v>768</v>
      </c>
      <c r="L31" s="810">
        <v>10</v>
      </c>
      <c r="M31" s="811" t="str">
        <f t="shared" si="0"/>
        <v>Not In School Age</v>
      </c>
      <c r="P31" s="1638"/>
      <c r="S31" s="836"/>
      <c r="T31" s="836"/>
      <c r="U31" s="836"/>
      <c r="V31" s="837"/>
      <c r="W31" s="838"/>
      <c r="X31" s="811" t="str">
        <f t="shared" si="1"/>
        <v/>
      </c>
      <c r="Y31" s="836"/>
      <c r="Z31" s="836"/>
      <c r="AA31" s="836"/>
      <c r="AB31" s="837"/>
      <c r="AD31" s="824"/>
      <c r="AF31" s="810"/>
      <c r="AG31" s="807" t="str">
        <f t="shared" si="2"/>
        <v/>
      </c>
      <c r="AM31" s="819"/>
      <c r="AN31" s="839"/>
      <c r="AO31" s="821"/>
      <c r="AP31" s="839"/>
      <c r="DE31" s="826"/>
      <c r="DF31" s="826"/>
      <c r="DG31" s="826"/>
      <c r="DH31" s="826"/>
      <c r="DI31" s="826"/>
      <c r="DJ31" s="826"/>
      <c r="GP31" s="831"/>
    </row>
    <row r="32" spans="1:202" s="92" customFormat="1" ht="15">
      <c r="A32" s="1076"/>
      <c r="B32" s="6"/>
      <c r="C32" s="164"/>
      <c r="D32" s="1058"/>
      <c r="E32" s="169" t="s">
        <v>47</v>
      </c>
      <c r="G32" s="835"/>
      <c r="H32" s="831" t="s">
        <v>8273</v>
      </c>
      <c r="I32" s="92">
        <v>31</v>
      </c>
      <c r="J32" s="92" t="s">
        <v>10</v>
      </c>
      <c r="K32" s="92" t="s">
        <v>707</v>
      </c>
      <c r="L32" s="810">
        <v>7</v>
      </c>
      <c r="M32" s="811" t="str">
        <f t="shared" si="0"/>
        <v>College Graduate or Higher</v>
      </c>
      <c r="N32" s="92" t="s">
        <v>1208</v>
      </c>
      <c r="O32" s="92" t="s">
        <v>8274</v>
      </c>
      <c r="P32" s="1638"/>
      <c r="Q32" s="92" t="s">
        <v>8274</v>
      </c>
      <c r="R32" s="92" t="s">
        <v>10310</v>
      </c>
      <c r="S32" s="840">
        <v>14400</v>
      </c>
      <c r="T32" s="836"/>
      <c r="U32" s="836">
        <v>4800</v>
      </c>
      <c r="V32" s="837">
        <f>SUM(S22:U32)</f>
        <v>34000</v>
      </c>
      <c r="W32" s="838">
        <v>4</v>
      </c>
      <c r="X32" s="811" t="str">
        <f t="shared" si="1"/>
        <v>Other Province</v>
      </c>
      <c r="Y32" s="836">
        <v>800</v>
      </c>
      <c r="Z32" s="836"/>
      <c r="AA32" s="836"/>
      <c r="AB32" s="837">
        <f>SUM(Y22:AA32)</f>
        <v>1070</v>
      </c>
      <c r="AD32" s="824"/>
      <c r="AF32" s="810"/>
      <c r="AG32" s="807" t="str">
        <f t="shared" si="2"/>
        <v/>
      </c>
      <c r="AM32" s="819"/>
      <c r="AN32" s="839"/>
      <c r="AO32" s="821"/>
      <c r="AP32" s="839"/>
      <c r="DE32" s="826"/>
      <c r="DF32" s="826"/>
      <c r="DG32" s="826"/>
      <c r="DH32" s="826"/>
      <c r="DI32" s="826"/>
      <c r="DJ32" s="826"/>
      <c r="GP32" s="831"/>
    </row>
    <row r="33" spans="1:198" s="92" customFormat="1" ht="15">
      <c r="A33" s="1076"/>
      <c r="B33" s="6"/>
      <c r="C33" s="164"/>
      <c r="D33" s="1056" t="s">
        <v>5462</v>
      </c>
      <c r="G33" s="841" t="s">
        <v>5462</v>
      </c>
      <c r="H33" s="809"/>
      <c r="L33" s="810"/>
      <c r="M33" s="811" t="str">
        <f t="shared" si="0"/>
        <v/>
      </c>
      <c r="P33" s="1638"/>
      <c r="S33" s="813"/>
      <c r="T33" s="813"/>
      <c r="U33" s="813"/>
      <c r="V33" s="842"/>
      <c r="W33" s="815"/>
      <c r="X33" s="811" t="str">
        <f t="shared" si="1"/>
        <v/>
      </c>
      <c r="Y33" s="816"/>
      <c r="Z33" s="816"/>
      <c r="AA33" s="816"/>
      <c r="AB33" s="842"/>
      <c r="AC33" s="809"/>
      <c r="AD33" s="824"/>
      <c r="AE33" s="93"/>
      <c r="AF33" s="818"/>
      <c r="AG33" s="807" t="str">
        <f t="shared" si="2"/>
        <v/>
      </c>
      <c r="AH33" s="807"/>
      <c r="AI33" s="807"/>
      <c r="AJ33" s="807"/>
      <c r="AK33" s="843" t="s">
        <v>8275</v>
      </c>
      <c r="AL33" s="843" t="s">
        <v>8276</v>
      </c>
      <c r="AM33" s="844"/>
      <c r="AN33" s="845">
        <f>PRODUCT(300,30)</f>
        <v>9000</v>
      </c>
      <c r="AO33" s="817"/>
      <c r="AP33" s="820"/>
      <c r="AQ33" s="93"/>
      <c r="AR33" s="93"/>
      <c r="AS33" s="93"/>
      <c r="AT33" s="93"/>
      <c r="AU33" s="93"/>
      <c r="AV33" s="93"/>
      <c r="AW33" s="93"/>
      <c r="AX33" s="93"/>
      <c r="AY33" s="93"/>
      <c r="AZ33" s="93"/>
      <c r="BA33" s="93"/>
      <c r="BB33" s="93"/>
      <c r="BC33" s="93"/>
      <c r="BD33" s="93"/>
      <c r="BE33" s="93"/>
      <c r="BF33" s="93"/>
      <c r="BG33" s="93"/>
      <c r="BH33" s="93"/>
      <c r="BI33" s="93"/>
      <c r="BJ33" s="93"/>
      <c r="BK33" s="93"/>
      <c r="BL33" s="93"/>
      <c r="BM33" s="93"/>
      <c r="BN33" s="93"/>
      <c r="BT33" s="93"/>
      <c r="BU33" s="93"/>
      <c r="BV33" s="93"/>
      <c r="BW33" s="93"/>
      <c r="BX33" s="93"/>
      <c r="BY33" s="93"/>
      <c r="BZ33" s="93"/>
      <c r="CA33" s="93"/>
      <c r="CB33" s="93"/>
      <c r="CC33" s="93"/>
      <c r="CD33" s="93"/>
      <c r="CE33" s="93"/>
      <c r="CF33" s="93"/>
      <c r="CG33" s="93"/>
      <c r="CI33" s="93"/>
      <c r="CJ33" s="93"/>
      <c r="CK33" s="93"/>
      <c r="CL33" s="93"/>
      <c r="CM33" s="93"/>
      <c r="CN33" s="93"/>
      <c r="CO33" s="93"/>
      <c r="CP33" s="93"/>
      <c r="CQ33" s="93"/>
      <c r="CR33" s="93"/>
      <c r="CS33" s="93"/>
      <c r="CT33" s="93"/>
      <c r="CU33" s="93"/>
      <c r="CV33" s="93"/>
      <c r="CW33" s="93"/>
      <c r="CX33" s="93"/>
      <c r="CY33" s="93"/>
      <c r="CZ33" s="93"/>
      <c r="DA33" s="93"/>
      <c r="DB33" s="93"/>
      <c r="DC33" s="93"/>
      <c r="DD33" s="93"/>
      <c r="DE33" s="826"/>
      <c r="DF33" s="826"/>
      <c r="DG33" s="826"/>
      <c r="DH33" s="826"/>
      <c r="DI33" s="826"/>
      <c r="DJ33" s="826"/>
      <c r="GP33" s="831"/>
    </row>
    <row r="34" spans="1:198" s="92" customFormat="1" ht="15">
      <c r="A34" s="1076"/>
      <c r="B34" s="6"/>
      <c r="C34" s="164"/>
      <c r="D34" s="1056"/>
      <c r="G34" s="827"/>
      <c r="H34" s="809"/>
      <c r="L34" s="810"/>
      <c r="M34" s="811" t="str">
        <f t="shared" ref="M34:M51" si="3">IF(ISBLANK(L34)=TRUE,"",LOOKUP(L34,GQ:GR))</f>
        <v/>
      </c>
      <c r="P34" s="1638"/>
      <c r="S34" s="813"/>
      <c r="T34" s="813"/>
      <c r="U34" s="813"/>
      <c r="V34" s="842">
        <f>SUM(S33:U34)</f>
        <v>0</v>
      </c>
      <c r="W34" s="815"/>
      <c r="X34" s="811" t="str">
        <f t="shared" si="1"/>
        <v/>
      </c>
      <c r="Y34" s="816"/>
      <c r="Z34" s="816"/>
      <c r="AA34" s="816"/>
      <c r="AB34" s="842">
        <f>SUM(Y33:AA34)</f>
        <v>0</v>
      </c>
      <c r="AC34" s="809"/>
      <c r="AD34" s="824"/>
      <c r="AE34" s="93"/>
      <c r="AF34" s="818"/>
      <c r="AG34" s="807" t="str">
        <f t="shared" si="2"/>
        <v/>
      </c>
      <c r="AH34" s="807"/>
      <c r="AI34" s="807"/>
      <c r="AJ34" s="807"/>
      <c r="AK34" s="843" t="s">
        <v>8277</v>
      </c>
      <c r="AL34" s="843" t="s">
        <v>8276</v>
      </c>
      <c r="AM34" s="844"/>
      <c r="AN34" s="845">
        <f>PRODUCT(300,30)</f>
        <v>9000</v>
      </c>
      <c r="AO34" s="817"/>
      <c r="AP34" s="820"/>
      <c r="AQ34" s="93"/>
      <c r="AR34" s="93"/>
      <c r="AS34" s="93"/>
      <c r="AT34" s="93"/>
      <c r="AU34" s="93"/>
      <c r="AV34" s="93"/>
      <c r="AW34" s="93"/>
      <c r="AX34" s="93"/>
      <c r="AY34" s="93"/>
      <c r="AZ34" s="93"/>
      <c r="BA34" s="93"/>
      <c r="BB34" s="93"/>
      <c r="BC34" s="93"/>
      <c r="BD34" s="93"/>
      <c r="BE34" s="93"/>
      <c r="BF34" s="93"/>
      <c r="BG34" s="93"/>
      <c r="BH34" s="93"/>
      <c r="BI34" s="93"/>
      <c r="BJ34" s="93"/>
      <c r="BK34" s="93"/>
      <c r="BL34" s="93"/>
      <c r="BM34" s="93"/>
      <c r="BN34" s="93"/>
      <c r="BT34" s="93"/>
      <c r="BU34" s="93"/>
      <c r="BV34" s="93"/>
      <c r="BW34" s="93"/>
      <c r="BX34" s="93"/>
      <c r="BY34" s="93"/>
      <c r="BZ34" s="93"/>
      <c r="CA34" s="93"/>
      <c r="CB34" s="93"/>
      <c r="CC34" s="93"/>
      <c r="CD34" s="93"/>
      <c r="CE34" s="93"/>
      <c r="CF34" s="93"/>
      <c r="CG34" s="93"/>
      <c r="CI34" s="93"/>
      <c r="CJ34" s="93"/>
      <c r="CK34" s="93"/>
      <c r="CL34" s="93"/>
      <c r="CM34" s="93"/>
      <c r="CN34" s="93"/>
      <c r="CO34" s="93"/>
      <c r="CP34" s="93"/>
      <c r="CQ34" s="93"/>
      <c r="CR34" s="93"/>
      <c r="CS34" s="93"/>
      <c r="CT34" s="93"/>
      <c r="CU34" s="93"/>
      <c r="CV34" s="93"/>
      <c r="CW34" s="93"/>
      <c r="CX34" s="93"/>
      <c r="CY34" s="93"/>
      <c r="CZ34" s="93"/>
      <c r="DA34" s="93"/>
      <c r="DB34" s="93"/>
      <c r="DC34" s="93"/>
      <c r="DD34" s="93"/>
      <c r="DE34" s="826"/>
      <c r="DF34" s="826"/>
      <c r="DG34" s="826"/>
      <c r="DH34" s="826"/>
      <c r="DI34" s="826"/>
      <c r="DJ34" s="826"/>
      <c r="GP34" s="831"/>
    </row>
    <row r="35" spans="1:198" s="92" customFormat="1" ht="15">
      <c r="A35" s="1076"/>
      <c r="B35" s="6"/>
      <c r="C35" s="164"/>
      <c r="D35" s="1056" t="s">
        <v>8278</v>
      </c>
      <c r="G35" s="846" t="s">
        <v>8278</v>
      </c>
      <c r="H35" s="809" t="s">
        <v>8279</v>
      </c>
      <c r="I35" s="92">
        <v>70</v>
      </c>
      <c r="J35" s="92" t="s">
        <v>10</v>
      </c>
      <c r="K35" s="92" t="s">
        <v>707</v>
      </c>
      <c r="L35" s="810"/>
      <c r="M35" s="811" t="str">
        <f t="shared" si="3"/>
        <v/>
      </c>
      <c r="P35" s="1638"/>
      <c r="S35" s="813"/>
      <c r="T35" s="813"/>
      <c r="U35" s="813"/>
      <c r="V35" s="847"/>
      <c r="W35" s="815"/>
      <c r="X35" s="811" t="str">
        <f t="shared" si="1"/>
        <v/>
      </c>
      <c r="Y35" s="816"/>
      <c r="Z35" s="816"/>
      <c r="AA35" s="816"/>
      <c r="AB35" s="847"/>
      <c r="AC35" s="809"/>
      <c r="AD35" s="817" t="s">
        <v>8280</v>
      </c>
      <c r="AE35" s="93"/>
      <c r="AF35" s="818"/>
      <c r="AG35" s="807" t="str">
        <f t="shared" si="2"/>
        <v/>
      </c>
      <c r="AH35" s="807"/>
      <c r="AI35" s="807"/>
      <c r="AJ35" s="807"/>
      <c r="AK35" s="843"/>
      <c r="AL35" s="843"/>
      <c r="AM35" s="844"/>
      <c r="AN35" s="845"/>
      <c r="AO35" s="817"/>
      <c r="AP35" s="820"/>
      <c r="AQ35" s="93"/>
      <c r="AR35" s="93"/>
      <c r="AS35" s="93"/>
      <c r="AT35" s="93"/>
      <c r="AU35" s="93"/>
      <c r="AV35" s="93"/>
      <c r="AW35" s="93"/>
      <c r="AX35" s="93"/>
      <c r="AY35" s="93"/>
      <c r="AZ35" s="93"/>
      <c r="BA35" s="93"/>
      <c r="BB35" s="93"/>
      <c r="BC35" s="93"/>
      <c r="BD35" s="93"/>
      <c r="BE35" s="93"/>
      <c r="BF35" s="93"/>
      <c r="BG35" s="93"/>
      <c r="BH35" s="93"/>
      <c r="BI35" s="93"/>
      <c r="BJ35" s="93"/>
      <c r="BK35" s="93"/>
      <c r="BL35" s="93"/>
      <c r="BM35" s="93"/>
      <c r="BN35" s="93"/>
      <c r="BT35" s="93"/>
      <c r="BU35" s="93"/>
      <c r="BV35" s="93"/>
      <c r="BW35" s="93"/>
      <c r="BX35" s="93"/>
      <c r="BY35" s="93"/>
      <c r="BZ35" s="93"/>
      <c r="CA35" s="93"/>
      <c r="CB35" s="93"/>
      <c r="CC35" s="93"/>
      <c r="CD35" s="93"/>
      <c r="CE35" s="93"/>
      <c r="CF35" s="93"/>
      <c r="CG35" s="93"/>
      <c r="CI35" s="93"/>
      <c r="CJ35" s="93"/>
      <c r="CK35" s="93"/>
      <c r="CL35" s="93"/>
      <c r="CM35" s="93"/>
      <c r="CN35" s="93"/>
      <c r="CO35" s="93"/>
      <c r="CP35" s="93"/>
      <c r="CQ35" s="93"/>
      <c r="CR35" s="93"/>
      <c r="CS35" s="93"/>
      <c r="CT35" s="93"/>
      <c r="CU35" s="93"/>
      <c r="CV35" s="93"/>
      <c r="CW35" s="93"/>
      <c r="CX35" s="93"/>
      <c r="CY35" s="93"/>
      <c r="CZ35" s="93"/>
      <c r="DA35" s="93"/>
      <c r="DB35" s="93"/>
      <c r="DC35" s="93"/>
      <c r="DD35" s="93"/>
      <c r="DE35" s="826"/>
      <c r="DF35" s="826"/>
      <c r="DG35" s="826"/>
      <c r="DH35" s="826"/>
      <c r="DI35" s="826"/>
      <c r="DJ35" s="826"/>
      <c r="GP35" s="831"/>
    </row>
    <row r="36" spans="1:198" s="92" customFormat="1" ht="15">
      <c r="D36" s="1056"/>
      <c r="G36" s="846"/>
      <c r="H36" s="809" t="s">
        <v>8281</v>
      </c>
      <c r="I36" s="92">
        <v>70</v>
      </c>
      <c r="J36" s="92" t="s">
        <v>18</v>
      </c>
      <c r="K36" s="92" t="s">
        <v>707</v>
      </c>
      <c r="L36" s="810"/>
      <c r="M36" s="811" t="str">
        <f t="shared" si="3"/>
        <v/>
      </c>
      <c r="P36" s="1638"/>
      <c r="S36" s="813"/>
      <c r="T36" s="813"/>
      <c r="U36" s="813"/>
      <c r="V36" s="847"/>
      <c r="W36" s="815"/>
      <c r="X36" s="811" t="str">
        <f t="shared" si="1"/>
        <v/>
      </c>
      <c r="Y36" s="816"/>
      <c r="Z36" s="816"/>
      <c r="AA36" s="816"/>
      <c r="AB36" s="847"/>
      <c r="AC36" s="809"/>
      <c r="AD36" s="817" t="s">
        <v>8282</v>
      </c>
      <c r="AE36" s="93"/>
      <c r="AF36" s="818"/>
      <c r="AG36" s="807" t="str">
        <f t="shared" si="2"/>
        <v/>
      </c>
      <c r="AH36" s="807"/>
      <c r="AI36" s="807"/>
      <c r="AJ36" s="807"/>
      <c r="AK36" s="843"/>
      <c r="AL36" s="843"/>
      <c r="AM36" s="844"/>
      <c r="AN36" s="845"/>
      <c r="AO36" s="817"/>
      <c r="AP36" s="820"/>
      <c r="AQ36" s="93"/>
      <c r="AR36" s="93"/>
      <c r="AS36" s="93"/>
      <c r="AT36" s="93"/>
      <c r="AU36" s="93"/>
      <c r="AV36" s="93"/>
      <c r="AW36" s="93"/>
      <c r="AX36" s="93"/>
      <c r="AY36" s="93"/>
      <c r="AZ36" s="93"/>
      <c r="BA36" s="93"/>
      <c r="BB36" s="93"/>
      <c r="BC36" s="93"/>
      <c r="BD36" s="93"/>
      <c r="BE36" s="93"/>
      <c r="BF36" s="93"/>
      <c r="BG36" s="93"/>
      <c r="BH36" s="93"/>
      <c r="BI36" s="93"/>
      <c r="BJ36" s="93"/>
      <c r="BK36" s="93"/>
      <c r="BL36" s="93"/>
      <c r="BM36" s="93"/>
      <c r="BN36" s="93"/>
      <c r="BT36" s="93"/>
      <c r="BU36" s="93"/>
      <c r="BV36" s="93"/>
      <c r="BW36" s="93"/>
      <c r="BX36" s="93"/>
      <c r="BY36" s="93"/>
      <c r="BZ36" s="93"/>
      <c r="CA36" s="93"/>
      <c r="CB36" s="93"/>
      <c r="CC36" s="93"/>
      <c r="CD36" s="93"/>
      <c r="CE36" s="93"/>
      <c r="CF36" s="93"/>
      <c r="CG36" s="93"/>
      <c r="CI36" s="93"/>
      <c r="CJ36" s="93"/>
      <c r="CK36" s="93"/>
      <c r="CL36" s="93"/>
      <c r="CM36" s="93"/>
      <c r="CN36" s="93"/>
      <c r="CO36" s="93"/>
      <c r="CP36" s="93"/>
      <c r="CQ36" s="93"/>
      <c r="CR36" s="93"/>
      <c r="CS36" s="93"/>
      <c r="CT36" s="93"/>
      <c r="CU36" s="93"/>
      <c r="CV36" s="93"/>
      <c r="CW36" s="93"/>
      <c r="CX36" s="93"/>
      <c r="CY36" s="93"/>
      <c r="CZ36" s="93"/>
      <c r="DA36" s="93"/>
      <c r="DB36" s="93"/>
      <c r="DC36" s="93"/>
      <c r="DD36" s="93"/>
      <c r="DE36" s="826"/>
      <c r="DF36" s="826"/>
      <c r="DG36" s="826"/>
      <c r="DH36" s="826"/>
      <c r="DI36" s="826"/>
      <c r="DJ36" s="826"/>
      <c r="GP36" s="831"/>
    </row>
    <row r="37" spans="1:198" s="92" customFormat="1" ht="15">
      <c r="A37" s="93"/>
      <c r="B37" s="1349"/>
      <c r="C37" s="164"/>
      <c r="D37" s="1056"/>
      <c r="G37" s="846"/>
      <c r="H37" s="809" t="s">
        <v>8283</v>
      </c>
      <c r="I37" s="92">
        <v>40</v>
      </c>
      <c r="J37" s="92" t="s">
        <v>10</v>
      </c>
      <c r="K37" s="92" t="s">
        <v>768</v>
      </c>
      <c r="L37" s="810"/>
      <c r="M37" s="811" t="str">
        <f t="shared" si="3"/>
        <v/>
      </c>
      <c r="O37" s="92" t="s">
        <v>8284</v>
      </c>
      <c r="P37" s="1638"/>
      <c r="Q37" s="92" t="s">
        <v>8284</v>
      </c>
      <c r="S37" s="813"/>
      <c r="T37" s="813">
        <v>20000</v>
      </c>
      <c r="U37" s="813"/>
      <c r="V37" s="847">
        <f>SUM(S35:U37)</f>
        <v>20000</v>
      </c>
      <c r="W37" s="815">
        <v>1</v>
      </c>
      <c r="X37" s="811" t="str">
        <f t="shared" si="1"/>
        <v>within the Brgy</v>
      </c>
      <c r="Y37" s="816"/>
      <c r="Z37" s="816">
        <v>2500</v>
      </c>
      <c r="AA37" s="816"/>
      <c r="AB37" s="847">
        <f>SUM(Y35:AA37)</f>
        <v>2500</v>
      </c>
      <c r="AC37" s="809"/>
      <c r="AD37" s="824"/>
      <c r="AE37" s="93"/>
      <c r="AF37" s="818"/>
      <c r="AG37" s="807" t="str">
        <f t="shared" si="2"/>
        <v/>
      </c>
      <c r="AH37" s="807"/>
      <c r="AI37" s="807"/>
      <c r="AJ37" s="807"/>
      <c r="AK37" s="843"/>
      <c r="AL37" s="843"/>
      <c r="AM37" s="844"/>
      <c r="AN37" s="845"/>
      <c r="AO37" s="817"/>
      <c r="AP37" s="820"/>
      <c r="AQ37" s="93"/>
      <c r="AR37" s="93"/>
      <c r="AS37" s="93"/>
      <c r="AT37" s="93"/>
      <c r="AU37" s="93"/>
      <c r="AV37" s="93"/>
      <c r="AW37" s="93"/>
      <c r="AX37" s="93"/>
      <c r="AY37" s="93"/>
      <c r="AZ37" s="93"/>
      <c r="BA37" s="93"/>
      <c r="BB37" s="93"/>
      <c r="BC37" s="93"/>
      <c r="BD37" s="93"/>
      <c r="BE37" s="93"/>
      <c r="BF37" s="93"/>
      <c r="BG37" s="93"/>
      <c r="BH37" s="93"/>
      <c r="BI37" s="93"/>
      <c r="BJ37" s="93"/>
      <c r="BK37" s="93"/>
      <c r="BL37" s="93"/>
      <c r="BM37" s="93"/>
      <c r="BN37" s="93"/>
      <c r="BT37" s="93"/>
      <c r="BU37" s="93"/>
      <c r="BV37" s="93"/>
      <c r="BW37" s="93"/>
      <c r="BX37" s="93"/>
      <c r="BY37" s="93"/>
      <c r="BZ37" s="93"/>
      <c r="CA37" s="93"/>
      <c r="CB37" s="93"/>
      <c r="CC37" s="93"/>
      <c r="CD37" s="93"/>
      <c r="CE37" s="93"/>
      <c r="CF37" s="93"/>
      <c r="CG37" s="93"/>
      <c r="CI37" s="93"/>
      <c r="CJ37" s="93"/>
      <c r="CK37" s="93"/>
      <c r="CL37" s="93"/>
      <c r="CM37" s="93"/>
      <c r="CN37" s="93"/>
      <c r="CO37" s="93"/>
      <c r="CP37" s="93"/>
      <c r="CQ37" s="93"/>
      <c r="CR37" s="93"/>
      <c r="CS37" s="93"/>
      <c r="CT37" s="93"/>
      <c r="CU37" s="93"/>
      <c r="CV37" s="93"/>
      <c r="CW37" s="93"/>
      <c r="CX37" s="93"/>
      <c r="CY37" s="93"/>
      <c r="CZ37" s="93"/>
      <c r="DA37" s="93"/>
      <c r="DB37" s="93"/>
      <c r="DC37" s="93"/>
      <c r="DD37" s="93"/>
      <c r="DE37" s="826"/>
      <c r="DF37" s="826"/>
      <c r="DG37" s="826"/>
      <c r="DH37" s="826"/>
      <c r="DI37" s="826"/>
      <c r="DJ37" s="826"/>
      <c r="GP37" s="831"/>
    </row>
    <row r="38" spans="1:198" s="92" customFormat="1" ht="15">
      <c r="A38" s="861" t="s">
        <v>7419</v>
      </c>
      <c r="B38" s="1031" t="s">
        <v>12376</v>
      </c>
      <c r="C38" s="164"/>
      <c r="D38" s="1056" t="s">
        <v>12685</v>
      </c>
      <c r="G38" s="846" t="s">
        <v>11068</v>
      </c>
      <c r="H38" s="809" t="s">
        <v>11075</v>
      </c>
      <c r="I38" s="92">
        <v>56</v>
      </c>
      <c r="J38" s="92" t="s">
        <v>18</v>
      </c>
      <c r="K38" s="92" t="s">
        <v>719</v>
      </c>
      <c r="L38" s="810">
        <v>3</v>
      </c>
      <c r="M38" s="811" t="str">
        <f t="shared" si="3"/>
        <v>Elementary Graduate</v>
      </c>
      <c r="N38" s="92" t="s">
        <v>1208</v>
      </c>
      <c r="O38" s="843" t="s">
        <v>1898</v>
      </c>
      <c r="P38" s="1638" t="s">
        <v>12608</v>
      </c>
      <c r="Q38" s="92" t="s">
        <v>1898</v>
      </c>
      <c r="R38" s="92" t="s">
        <v>28</v>
      </c>
      <c r="S38" s="813"/>
      <c r="T38" s="813">
        <v>4650</v>
      </c>
      <c r="U38" s="813"/>
      <c r="V38" s="842"/>
      <c r="W38" s="815">
        <v>1</v>
      </c>
      <c r="X38" s="811" t="str">
        <f t="shared" si="1"/>
        <v>within the Brgy</v>
      </c>
      <c r="Y38" s="816"/>
      <c r="Z38" s="816"/>
      <c r="AA38" s="816"/>
      <c r="AB38" s="842"/>
      <c r="AC38" s="809"/>
      <c r="AD38" s="824"/>
      <c r="AE38" s="93"/>
      <c r="AF38" s="818"/>
      <c r="AG38" s="807"/>
      <c r="AH38" s="807"/>
      <c r="AI38" s="807"/>
      <c r="AJ38" s="807"/>
      <c r="AK38" s="843"/>
      <c r="AL38" s="843"/>
      <c r="AM38" s="844"/>
      <c r="AN38" s="845"/>
      <c r="AO38" s="817"/>
      <c r="AP38" s="820"/>
      <c r="AQ38" s="93"/>
      <c r="AR38" s="93"/>
      <c r="AS38" s="93"/>
      <c r="AT38" s="93"/>
      <c r="AU38" s="93"/>
      <c r="AV38" s="93"/>
      <c r="AW38" s="93"/>
      <c r="AX38" s="93"/>
      <c r="AY38" s="93"/>
      <c r="AZ38" s="93"/>
      <c r="BA38" s="93"/>
      <c r="BB38" s="93"/>
      <c r="BC38" s="93"/>
      <c r="BD38" s="93"/>
      <c r="BE38" s="93"/>
      <c r="BF38" s="93"/>
      <c r="BG38" s="93"/>
      <c r="BH38" s="93"/>
      <c r="BI38" s="93"/>
      <c r="BJ38" s="93"/>
      <c r="BK38" s="93"/>
      <c r="BL38" s="93"/>
      <c r="BM38" s="93"/>
      <c r="BN38" s="93"/>
      <c r="BT38" s="93"/>
      <c r="BU38" s="93"/>
      <c r="BV38" s="93"/>
      <c r="BW38" s="93"/>
      <c r="BX38" s="93"/>
      <c r="BY38" s="93"/>
      <c r="BZ38" s="93"/>
      <c r="CA38" s="93"/>
      <c r="CB38" s="93"/>
      <c r="CC38" s="93"/>
      <c r="CD38" s="93"/>
      <c r="CE38" s="93"/>
      <c r="CF38" s="93"/>
      <c r="CG38" s="93"/>
      <c r="CI38" s="93"/>
      <c r="CJ38" s="93"/>
      <c r="CK38" s="93"/>
      <c r="CL38" s="93"/>
      <c r="CM38" s="93"/>
      <c r="CN38" s="93"/>
      <c r="CO38" s="93"/>
      <c r="CP38" s="93"/>
      <c r="CQ38" s="93"/>
      <c r="CR38" s="93"/>
      <c r="CS38" s="93"/>
      <c r="CT38" s="93"/>
      <c r="CU38" s="93"/>
      <c r="CV38" s="93"/>
      <c r="CW38" s="93"/>
      <c r="CX38" s="93"/>
      <c r="CY38" s="93"/>
      <c r="CZ38" s="93"/>
      <c r="DA38" s="93"/>
      <c r="DB38" s="93"/>
      <c r="DC38" s="93"/>
      <c r="DD38" s="93"/>
      <c r="DE38" s="826"/>
      <c r="DF38" s="826"/>
      <c r="DG38" s="826"/>
      <c r="DH38" s="826"/>
      <c r="DI38" s="826"/>
      <c r="DJ38" s="826"/>
      <c r="GP38" s="831"/>
    </row>
    <row r="39" spans="1:198" s="92" customFormat="1" ht="15">
      <c r="A39" s="861" t="s">
        <v>7419</v>
      </c>
      <c r="B39" s="1349"/>
      <c r="C39" s="164"/>
      <c r="D39" s="1056" t="s">
        <v>12685</v>
      </c>
      <c r="G39" s="846"/>
      <c r="H39" s="809" t="s">
        <v>12686</v>
      </c>
      <c r="I39" s="92">
        <v>31</v>
      </c>
      <c r="J39" s="92" t="s">
        <v>10</v>
      </c>
      <c r="K39" s="92" t="s">
        <v>768</v>
      </c>
      <c r="L39" s="810">
        <v>7</v>
      </c>
      <c r="M39" s="811" t="str">
        <f t="shared" si="3"/>
        <v>College Graduate or Higher</v>
      </c>
      <c r="N39" s="92" t="s">
        <v>1208</v>
      </c>
      <c r="O39" s="92" t="s">
        <v>12689</v>
      </c>
      <c r="P39" s="1638"/>
      <c r="R39" s="92" t="s">
        <v>8285</v>
      </c>
      <c r="S39" s="813">
        <v>16000</v>
      </c>
      <c r="T39" s="813"/>
      <c r="U39" s="813"/>
      <c r="V39" s="842"/>
      <c r="W39" s="815">
        <v>2</v>
      </c>
      <c r="X39" s="811" t="str">
        <f t="shared" si="1"/>
        <v>within the Municipality/City</v>
      </c>
      <c r="Y39" s="816">
        <v>520</v>
      </c>
      <c r="Z39" s="816"/>
      <c r="AA39" s="816"/>
      <c r="AB39" s="842"/>
      <c r="AC39" s="809"/>
      <c r="AD39" s="824"/>
      <c r="AE39" s="93"/>
      <c r="AF39" s="818"/>
      <c r="AG39" s="807"/>
      <c r="AH39" s="807"/>
      <c r="AI39" s="807"/>
      <c r="AJ39" s="807"/>
      <c r="AK39" s="843"/>
      <c r="AL39" s="843"/>
      <c r="AM39" s="844"/>
      <c r="AN39" s="845"/>
      <c r="AO39" s="817"/>
      <c r="AP39" s="820"/>
      <c r="AQ39" s="93"/>
      <c r="AR39" s="93"/>
      <c r="AS39" s="93"/>
      <c r="AT39" s="93"/>
      <c r="AU39" s="93"/>
      <c r="AV39" s="93"/>
      <c r="AW39" s="93"/>
      <c r="AX39" s="93"/>
      <c r="AY39" s="93"/>
      <c r="AZ39" s="93"/>
      <c r="BA39" s="93"/>
      <c r="BB39" s="93"/>
      <c r="BC39" s="93"/>
      <c r="BD39" s="93"/>
      <c r="BE39" s="93"/>
      <c r="BF39" s="93"/>
      <c r="BG39" s="93"/>
      <c r="BH39" s="93"/>
      <c r="BI39" s="93"/>
      <c r="BJ39" s="93"/>
      <c r="BK39" s="93"/>
      <c r="BL39" s="93"/>
      <c r="BM39" s="93"/>
      <c r="BN39" s="93"/>
      <c r="BT39" s="93"/>
      <c r="BU39" s="93"/>
      <c r="BV39" s="93"/>
      <c r="BW39" s="93"/>
      <c r="BX39" s="93"/>
      <c r="BY39" s="93"/>
      <c r="BZ39" s="93"/>
      <c r="CA39" s="93"/>
      <c r="CB39" s="93"/>
      <c r="CC39" s="93"/>
      <c r="CD39" s="93"/>
      <c r="CE39" s="93"/>
      <c r="CF39" s="93"/>
      <c r="CG39" s="93"/>
      <c r="CI39" s="93"/>
      <c r="CJ39" s="93"/>
      <c r="CK39" s="93"/>
      <c r="CL39" s="93"/>
      <c r="CM39" s="93"/>
      <c r="CN39" s="93"/>
      <c r="CO39" s="93"/>
      <c r="CP39" s="93"/>
      <c r="CQ39" s="93"/>
      <c r="CR39" s="93"/>
      <c r="CS39" s="93"/>
      <c r="CT39" s="93"/>
      <c r="CU39" s="93"/>
      <c r="CV39" s="93"/>
      <c r="CW39" s="93"/>
      <c r="CX39" s="93"/>
      <c r="CY39" s="93"/>
      <c r="CZ39" s="93"/>
      <c r="DA39" s="93"/>
      <c r="DB39" s="93"/>
      <c r="DC39" s="93"/>
      <c r="DD39" s="93"/>
      <c r="DE39" s="826"/>
      <c r="DF39" s="826"/>
      <c r="DG39" s="826"/>
      <c r="DH39" s="826"/>
      <c r="DI39" s="826"/>
      <c r="DJ39" s="826"/>
      <c r="GP39" s="831"/>
    </row>
    <row r="40" spans="1:198" s="92" customFormat="1" ht="15">
      <c r="A40" s="861" t="s">
        <v>7419</v>
      </c>
      <c r="B40" s="1349"/>
      <c r="C40" s="164"/>
      <c r="D40" s="1056" t="s">
        <v>12685</v>
      </c>
      <c r="G40" s="846"/>
      <c r="H40" s="809" t="s">
        <v>12687</v>
      </c>
      <c r="I40" s="92">
        <v>26</v>
      </c>
      <c r="J40" s="92" t="s">
        <v>18</v>
      </c>
      <c r="K40" s="92" t="s">
        <v>768</v>
      </c>
      <c r="L40" s="810">
        <v>6</v>
      </c>
      <c r="M40" s="811" t="str">
        <f t="shared" si="3"/>
        <v>College Level</v>
      </c>
      <c r="N40" s="92" t="s">
        <v>1208</v>
      </c>
      <c r="O40" s="92" t="s">
        <v>8656</v>
      </c>
      <c r="P40" s="1638"/>
      <c r="R40" s="92" t="s">
        <v>8285</v>
      </c>
      <c r="S40" s="813">
        <v>15000</v>
      </c>
      <c r="T40" s="813"/>
      <c r="U40" s="813"/>
      <c r="V40" s="842"/>
      <c r="W40" s="815">
        <v>3</v>
      </c>
      <c r="X40" s="811" t="str">
        <f t="shared" si="1"/>
        <v>within the Province</v>
      </c>
      <c r="Y40" s="816">
        <v>1040</v>
      </c>
      <c r="Z40" s="816"/>
      <c r="AA40" s="816"/>
      <c r="AB40" s="842"/>
      <c r="AC40" s="809"/>
      <c r="AD40" s="824"/>
      <c r="AE40" s="93"/>
      <c r="AF40" s="818"/>
      <c r="AG40" s="807"/>
      <c r="AH40" s="807"/>
      <c r="AI40" s="807"/>
      <c r="AJ40" s="807"/>
      <c r="AK40" s="843"/>
      <c r="AL40" s="843"/>
      <c r="AM40" s="844"/>
      <c r="AN40" s="845"/>
      <c r="AO40" s="817"/>
      <c r="AP40" s="820"/>
      <c r="AQ40" s="93"/>
      <c r="AR40" s="93"/>
      <c r="AS40" s="93"/>
      <c r="AT40" s="93"/>
      <c r="AU40" s="93"/>
      <c r="AV40" s="93"/>
      <c r="AW40" s="93"/>
      <c r="AX40" s="93"/>
      <c r="AY40" s="93"/>
      <c r="AZ40" s="93"/>
      <c r="BA40" s="93"/>
      <c r="BB40" s="93"/>
      <c r="BC40" s="93"/>
      <c r="BD40" s="93"/>
      <c r="BE40" s="93"/>
      <c r="BF40" s="93"/>
      <c r="BG40" s="93"/>
      <c r="BH40" s="93"/>
      <c r="BI40" s="93"/>
      <c r="BJ40" s="93"/>
      <c r="BK40" s="93"/>
      <c r="BL40" s="93"/>
      <c r="BM40" s="93"/>
      <c r="BN40" s="93"/>
      <c r="BT40" s="93"/>
      <c r="BU40" s="93"/>
      <c r="BV40" s="93"/>
      <c r="BW40" s="93"/>
      <c r="BX40" s="93"/>
      <c r="BY40" s="93"/>
      <c r="BZ40" s="93"/>
      <c r="CA40" s="93"/>
      <c r="CB40" s="93"/>
      <c r="CC40" s="93"/>
      <c r="CD40" s="93"/>
      <c r="CE40" s="93"/>
      <c r="CF40" s="93"/>
      <c r="CG40" s="93"/>
      <c r="CI40" s="93"/>
      <c r="CJ40" s="93"/>
      <c r="CK40" s="93"/>
      <c r="CL40" s="93"/>
      <c r="CM40" s="93"/>
      <c r="CN40" s="93"/>
      <c r="CO40" s="93"/>
      <c r="CP40" s="93"/>
      <c r="CQ40" s="93"/>
      <c r="CR40" s="93"/>
      <c r="CS40" s="93"/>
      <c r="CT40" s="93"/>
      <c r="CU40" s="93"/>
      <c r="CV40" s="93"/>
      <c r="CW40" s="93"/>
      <c r="CX40" s="93"/>
      <c r="CY40" s="93"/>
      <c r="CZ40" s="93"/>
      <c r="DA40" s="93"/>
      <c r="DB40" s="93"/>
      <c r="DC40" s="93"/>
      <c r="DD40" s="93"/>
      <c r="DE40" s="826"/>
      <c r="DF40" s="826"/>
      <c r="DG40" s="826"/>
      <c r="DH40" s="826"/>
      <c r="DI40" s="826"/>
      <c r="DJ40" s="826"/>
      <c r="GP40" s="831"/>
    </row>
    <row r="41" spans="1:198" s="92" customFormat="1" ht="15">
      <c r="A41" s="861" t="s">
        <v>7419</v>
      </c>
      <c r="B41" s="1349"/>
      <c r="C41" s="164"/>
      <c r="D41" s="1056" t="s">
        <v>12685</v>
      </c>
      <c r="G41" s="846"/>
      <c r="H41" s="809" t="s">
        <v>12688</v>
      </c>
      <c r="I41" s="92">
        <v>23</v>
      </c>
      <c r="J41" s="92" t="s">
        <v>10</v>
      </c>
      <c r="K41" s="92" t="s">
        <v>768</v>
      </c>
      <c r="L41" s="810">
        <v>7</v>
      </c>
      <c r="M41" s="811" t="str">
        <f t="shared" si="3"/>
        <v>College Graduate or Higher</v>
      </c>
      <c r="P41" s="1638"/>
      <c r="S41" s="813"/>
      <c r="T41" s="813"/>
      <c r="U41" s="813"/>
      <c r="V41" s="842">
        <f>SUM(S38:U41)</f>
        <v>35650</v>
      </c>
      <c r="W41" s="815"/>
      <c r="X41" s="811" t="str">
        <f t="shared" si="1"/>
        <v/>
      </c>
      <c r="Y41" s="816"/>
      <c r="Z41" s="816"/>
      <c r="AA41" s="816"/>
      <c r="AB41" s="842">
        <f>SUM(Y38:AA41)</f>
        <v>1560</v>
      </c>
      <c r="AC41" s="809"/>
      <c r="AD41" s="824"/>
      <c r="AE41" s="93"/>
      <c r="AF41" s="818"/>
      <c r="AG41" s="807"/>
      <c r="AH41" s="807"/>
      <c r="AI41" s="807"/>
      <c r="AJ41" s="807"/>
      <c r="AK41" s="843"/>
      <c r="AL41" s="843"/>
      <c r="AM41" s="844"/>
      <c r="AN41" s="845"/>
      <c r="AO41" s="817"/>
      <c r="AP41" s="820"/>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93"/>
      <c r="BT41" s="93"/>
      <c r="BU41" s="93"/>
      <c r="BV41" s="93"/>
      <c r="BW41" s="93"/>
      <c r="BX41" s="93"/>
      <c r="BY41" s="93"/>
      <c r="BZ41" s="93"/>
      <c r="CA41" s="93"/>
      <c r="CB41" s="93"/>
      <c r="CC41" s="93"/>
      <c r="CD41" s="93"/>
      <c r="CE41" s="93"/>
      <c r="CF41" s="93"/>
      <c r="CG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826"/>
      <c r="DF41" s="826"/>
      <c r="DG41" s="826"/>
      <c r="DH41" s="826"/>
      <c r="DI41" s="826"/>
      <c r="DJ41" s="826"/>
      <c r="GP41" s="831"/>
    </row>
    <row r="42" spans="1:198" s="92" customFormat="1" ht="15">
      <c r="A42" s="1076"/>
      <c r="B42" s="6"/>
      <c r="C42" s="164"/>
      <c r="D42" s="1056" t="s">
        <v>8286</v>
      </c>
      <c r="G42" s="846" t="s">
        <v>8287</v>
      </c>
      <c r="H42" s="809"/>
      <c r="L42" s="810"/>
      <c r="M42" s="811" t="str">
        <f t="shared" si="3"/>
        <v/>
      </c>
      <c r="P42" s="1638"/>
      <c r="S42" s="813"/>
      <c r="T42" s="813"/>
      <c r="U42" s="813"/>
      <c r="V42" s="847"/>
      <c r="W42" s="815"/>
      <c r="X42" s="811" t="str">
        <f t="shared" si="1"/>
        <v/>
      </c>
      <c r="Y42" s="816"/>
      <c r="Z42" s="816"/>
      <c r="AA42" s="816"/>
      <c r="AB42" s="847"/>
      <c r="AC42" s="809"/>
      <c r="AD42" s="824"/>
      <c r="AE42" s="93"/>
      <c r="AF42" s="818"/>
      <c r="AG42" s="807" t="str">
        <f t="shared" ref="AG42:AG83" si="4">IF(ISBLANK(AF42)=TRUE,"",LOOKUP(AF42,GS:GT))</f>
        <v/>
      </c>
      <c r="AH42" s="807" t="s">
        <v>8288</v>
      </c>
      <c r="AI42" s="807"/>
      <c r="AJ42" s="807">
        <v>1500</v>
      </c>
      <c r="AK42" s="843"/>
      <c r="AL42" s="843"/>
      <c r="AM42" s="844"/>
      <c r="AN42" s="845"/>
      <c r="AO42" s="817"/>
      <c r="AP42" s="820"/>
      <c r="AQ42" s="93"/>
      <c r="AR42" s="93"/>
      <c r="AS42" s="93"/>
      <c r="AT42" s="93"/>
      <c r="AU42" s="93"/>
      <c r="AV42" s="93"/>
      <c r="AW42" s="93"/>
      <c r="AX42" s="93"/>
      <c r="AY42" s="93"/>
      <c r="AZ42" s="93"/>
      <c r="BA42" s="93"/>
      <c r="BB42" s="93"/>
      <c r="BC42" s="93"/>
      <c r="BD42" s="93"/>
      <c r="BE42" s="93"/>
      <c r="BF42" s="93"/>
      <c r="BG42" s="93"/>
      <c r="BH42" s="93"/>
      <c r="BI42" s="93"/>
      <c r="BJ42" s="93"/>
      <c r="BK42" s="93"/>
      <c r="BL42" s="93"/>
      <c r="BM42" s="93"/>
      <c r="BN42" s="93"/>
      <c r="BT42" s="93"/>
      <c r="BU42" s="93"/>
      <c r="BV42" s="93"/>
      <c r="BW42" s="93"/>
      <c r="BX42" s="93"/>
      <c r="BY42" s="93"/>
      <c r="BZ42" s="93"/>
      <c r="CA42" s="93"/>
      <c r="CB42" s="93"/>
      <c r="CC42" s="93"/>
      <c r="CD42" s="93"/>
      <c r="CE42" s="93"/>
      <c r="CF42" s="93"/>
      <c r="CG42" s="93"/>
      <c r="CI42" s="93"/>
      <c r="CJ42" s="93"/>
      <c r="CK42" s="93"/>
      <c r="CL42" s="93"/>
      <c r="CM42" s="93"/>
      <c r="CN42" s="93"/>
      <c r="CO42" s="93"/>
      <c r="CP42" s="93"/>
      <c r="CQ42" s="93"/>
      <c r="CR42" s="93"/>
      <c r="CS42" s="93"/>
      <c r="CT42" s="93"/>
      <c r="CU42" s="93"/>
      <c r="CV42" s="93"/>
      <c r="CW42" s="93"/>
      <c r="CX42" s="93"/>
      <c r="CY42" s="93"/>
      <c r="CZ42" s="93"/>
      <c r="DA42" s="93"/>
      <c r="DB42" s="93"/>
      <c r="DC42" s="93"/>
      <c r="DD42" s="93"/>
      <c r="DE42" s="826"/>
      <c r="DF42" s="826"/>
      <c r="DG42" s="826"/>
      <c r="DH42" s="826"/>
      <c r="DI42" s="826"/>
      <c r="DJ42" s="826"/>
      <c r="GP42" s="831"/>
    </row>
    <row r="43" spans="1:198" s="92" customFormat="1" ht="15">
      <c r="A43" s="861" t="s">
        <v>12456</v>
      </c>
      <c r="B43" s="1121" t="s">
        <v>11138</v>
      </c>
      <c r="C43" s="169" t="s">
        <v>8290</v>
      </c>
      <c r="D43" s="1056"/>
      <c r="G43" s="846" t="s">
        <v>8290</v>
      </c>
      <c r="H43" s="809" t="s">
        <v>8291</v>
      </c>
      <c r="I43" s="92">
        <v>48</v>
      </c>
      <c r="J43" s="92" t="s">
        <v>10</v>
      </c>
      <c r="L43" s="810"/>
      <c r="M43" s="811" t="str">
        <f t="shared" si="3"/>
        <v/>
      </c>
      <c r="P43" s="1638"/>
      <c r="S43" s="813"/>
      <c r="T43" s="813"/>
      <c r="U43" s="813"/>
      <c r="V43" s="847"/>
      <c r="W43" s="815"/>
      <c r="X43" s="811" t="str">
        <f t="shared" si="1"/>
        <v/>
      </c>
      <c r="Y43" s="816"/>
      <c r="Z43" s="816"/>
      <c r="AA43" s="816"/>
      <c r="AB43" s="847"/>
      <c r="AC43" s="809"/>
      <c r="AD43" s="824"/>
      <c r="AE43" s="93"/>
      <c r="AF43" s="818"/>
      <c r="AG43" s="807" t="str">
        <f t="shared" si="4"/>
        <v/>
      </c>
      <c r="AH43" s="807"/>
      <c r="AI43" s="807"/>
      <c r="AJ43" s="807"/>
      <c r="AK43" s="843"/>
      <c r="AL43" s="843"/>
      <c r="AM43" s="844"/>
      <c r="AN43" s="845"/>
      <c r="AO43" s="817"/>
      <c r="AP43" s="820"/>
      <c r="AQ43" s="93"/>
      <c r="AR43" s="93"/>
      <c r="AS43" s="93"/>
      <c r="AT43" s="93"/>
      <c r="AU43" s="93"/>
      <c r="AV43" s="93"/>
      <c r="AW43" s="93"/>
      <c r="AX43" s="93"/>
      <c r="AY43" s="93"/>
      <c r="AZ43" s="93"/>
      <c r="BA43" s="93"/>
      <c r="BB43" s="93"/>
      <c r="BC43" s="93"/>
      <c r="BD43" s="93"/>
      <c r="BE43" s="93"/>
      <c r="BF43" s="93"/>
      <c r="BG43" s="93"/>
      <c r="BH43" s="93"/>
      <c r="BI43" s="93"/>
      <c r="BJ43" s="93"/>
      <c r="BK43" s="93"/>
      <c r="BL43" s="93"/>
      <c r="BM43" s="93"/>
      <c r="BN43" s="93"/>
      <c r="BT43" s="93"/>
      <c r="BU43" s="93"/>
      <c r="BV43" s="93"/>
      <c r="BW43" s="93"/>
      <c r="BX43" s="93"/>
      <c r="BY43" s="93"/>
      <c r="BZ43" s="93"/>
      <c r="CA43" s="93"/>
      <c r="CB43" s="93"/>
      <c r="CC43" s="93"/>
      <c r="CD43" s="93"/>
      <c r="CE43" s="93"/>
      <c r="CF43" s="93"/>
      <c r="CG43" s="93"/>
      <c r="CI43" s="93"/>
      <c r="CJ43" s="93"/>
      <c r="CK43" s="93"/>
      <c r="CL43" s="93"/>
      <c r="CM43" s="93"/>
      <c r="CN43" s="93"/>
      <c r="CO43" s="93"/>
      <c r="CP43" s="93"/>
      <c r="CQ43" s="93"/>
      <c r="CR43" s="93"/>
      <c r="CS43" s="93"/>
      <c r="CT43" s="93"/>
      <c r="CU43" s="93"/>
      <c r="CV43" s="93"/>
      <c r="CW43" s="93"/>
      <c r="CX43" s="93"/>
      <c r="CY43" s="93"/>
      <c r="CZ43" s="93"/>
      <c r="DA43" s="93"/>
      <c r="DB43" s="93"/>
      <c r="DC43" s="93"/>
      <c r="DD43" s="93"/>
      <c r="DE43" s="826"/>
      <c r="DF43" s="826"/>
      <c r="DG43" s="826"/>
      <c r="DH43" s="826"/>
      <c r="DI43" s="826"/>
      <c r="DJ43" s="826"/>
      <c r="GP43" s="831"/>
    </row>
    <row r="44" spans="1:198" s="92" customFormat="1" ht="15">
      <c r="A44" s="1076"/>
      <c r="B44" s="6"/>
      <c r="C44" s="164"/>
      <c r="D44" s="1056"/>
      <c r="G44" s="846"/>
      <c r="H44" s="809" t="s">
        <v>8292</v>
      </c>
      <c r="I44" s="92">
        <v>49</v>
      </c>
      <c r="J44" s="92" t="s">
        <v>18</v>
      </c>
      <c r="L44" s="810"/>
      <c r="M44" s="811" t="str">
        <f t="shared" si="3"/>
        <v/>
      </c>
      <c r="P44" s="1638"/>
      <c r="S44" s="813"/>
      <c r="T44" s="813"/>
      <c r="U44" s="813"/>
      <c r="V44" s="847"/>
      <c r="W44" s="815"/>
      <c r="X44" s="811" t="str">
        <f t="shared" si="1"/>
        <v/>
      </c>
      <c r="Y44" s="816"/>
      <c r="Z44" s="816"/>
      <c r="AA44" s="816"/>
      <c r="AB44" s="847"/>
      <c r="AC44" s="809"/>
      <c r="AD44" s="824"/>
      <c r="AE44" s="93"/>
      <c r="AF44" s="818"/>
      <c r="AG44" s="807" t="str">
        <f t="shared" si="4"/>
        <v/>
      </c>
      <c r="AH44" s="807"/>
      <c r="AI44" s="807"/>
      <c r="AJ44" s="807"/>
      <c r="AK44" s="843"/>
      <c r="AL44" s="843"/>
      <c r="AM44" s="844"/>
      <c r="AN44" s="845"/>
      <c r="AO44" s="817"/>
      <c r="AP44" s="820"/>
      <c r="AQ44" s="93"/>
      <c r="AR44" s="93"/>
      <c r="AS44" s="93"/>
      <c r="AT44" s="93"/>
      <c r="AU44" s="93"/>
      <c r="AV44" s="93"/>
      <c r="AW44" s="93"/>
      <c r="AX44" s="93"/>
      <c r="AY44" s="93"/>
      <c r="AZ44" s="93"/>
      <c r="BA44" s="93"/>
      <c r="BB44" s="93"/>
      <c r="BC44" s="93"/>
      <c r="BD44" s="93"/>
      <c r="BE44" s="93"/>
      <c r="BF44" s="93"/>
      <c r="BG44" s="93"/>
      <c r="BH44" s="93"/>
      <c r="BI44" s="93"/>
      <c r="BJ44" s="93"/>
      <c r="BK44" s="93"/>
      <c r="BL44" s="93"/>
      <c r="BM44" s="93"/>
      <c r="BN44" s="93"/>
      <c r="BT44" s="93"/>
      <c r="BU44" s="93"/>
      <c r="BV44" s="93"/>
      <c r="BW44" s="93"/>
      <c r="BX44" s="93"/>
      <c r="BY44" s="93"/>
      <c r="BZ44" s="93"/>
      <c r="CA44" s="93"/>
      <c r="CB44" s="93"/>
      <c r="CC44" s="93"/>
      <c r="CD44" s="93"/>
      <c r="CE44" s="93"/>
      <c r="CF44" s="93"/>
      <c r="CG44" s="93"/>
      <c r="CI44" s="93"/>
      <c r="CJ44" s="93"/>
      <c r="CK44" s="93"/>
      <c r="CL44" s="93"/>
      <c r="CM44" s="93"/>
      <c r="CN44" s="93"/>
      <c r="CO44" s="93"/>
      <c r="CP44" s="93"/>
      <c r="CQ44" s="93"/>
      <c r="CR44" s="93"/>
      <c r="CS44" s="93"/>
      <c r="CT44" s="93"/>
      <c r="CU44" s="93"/>
      <c r="CV44" s="93"/>
      <c r="CW44" s="93"/>
      <c r="CX44" s="93"/>
      <c r="CY44" s="93"/>
      <c r="CZ44" s="93"/>
      <c r="DA44" s="93"/>
      <c r="DB44" s="93"/>
      <c r="DC44" s="93"/>
      <c r="DD44" s="93"/>
      <c r="DE44" s="826"/>
      <c r="DF44" s="826"/>
      <c r="DG44" s="826"/>
      <c r="DH44" s="826"/>
      <c r="DI44" s="826"/>
      <c r="DJ44" s="826"/>
      <c r="GP44" s="831"/>
    </row>
    <row r="45" spans="1:198" s="92" customFormat="1" ht="15">
      <c r="A45" s="1076"/>
      <c r="B45" s="6"/>
      <c r="C45" s="164"/>
      <c r="D45" s="1056"/>
      <c r="G45" s="846"/>
      <c r="H45" s="809" t="s">
        <v>8293</v>
      </c>
      <c r="I45" s="92">
        <v>28</v>
      </c>
      <c r="J45" s="92" t="s">
        <v>18</v>
      </c>
      <c r="L45" s="810"/>
      <c r="M45" s="811" t="str">
        <f t="shared" si="3"/>
        <v/>
      </c>
      <c r="P45" s="1638"/>
      <c r="S45" s="813"/>
      <c r="T45" s="813"/>
      <c r="U45" s="813"/>
      <c r="V45" s="847"/>
      <c r="W45" s="815"/>
      <c r="X45" s="811"/>
      <c r="Y45" s="816"/>
      <c r="Z45" s="816"/>
      <c r="AA45" s="816"/>
      <c r="AB45" s="847"/>
      <c r="AC45" s="809"/>
      <c r="AD45" s="824"/>
      <c r="AE45" s="93"/>
      <c r="AF45" s="818"/>
      <c r="AG45" s="807" t="str">
        <f t="shared" si="4"/>
        <v/>
      </c>
      <c r="AH45" s="807"/>
      <c r="AI45" s="807"/>
      <c r="AJ45" s="807"/>
      <c r="AK45" s="843"/>
      <c r="AL45" s="843"/>
      <c r="AM45" s="844"/>
      <c r="AN45" s="845"/>
      <c r="AO45" s="817"/>
      <c r="AP45" s="820"/>
      <c r="AQ45" s="93"/>
      <c r="AR45" s="93"/>
      <c r="AS45" s="93"/>
      <c r="AT45" s="93"/>
      <c r="AU45" s="93"/>
      <c r="AV45" s="93"/>
      <c r="AW45" s="93"/>
      <c r="AX45" s="93"/>
      <c r="AY45" s="93"/>
      <c r="AZ45" s="93"/>
      <c r="BA45" s="93"/>
      <c r="BB45" s="93"/>
      <c r="BC45" s="93"/>
      <c r="BD45" s="93"/>
      <c r="BE45" s="93"/>
      <c r="BF45" s="93"/>
      <c r="BG45" s="93"/>
      <c r="BH45" s="93"/>
      <c r="BI45" s="93"/>
      <c r="BJ45" s="93"/>
      <c r="BK45" s="93"/>
      <c r="BL45" s="93"/>
      <c r="BM45" s="93"/>
      <c r="BN45" s="93"/>
      <c r="BT45" s="93"/>
      <c r="BU45" s="93"/>
      <c r="BV45" s="93"/>
      <c r="BW45" s="93"/>
      <c r="BX45" s="93"/>
      <c r="BY45" s="93"/>
      <c r="BZ45" s="93"/>
      <c r="CA45" s="93"/>
      <c r="CB45" s="93"/>
      <c r="CC45" s="93"/>
      <c r="CD45" s="93"/>
      <c r="CE45" s="93"/>
      <c r="CF45" s="93"/>
      <c r="CG45" s="93"/>
      <c r="CI45" s="93"/>
      <c r="CJ45" s="93"/>
      <c r="CK45" s="93"/>
      <c r="CL45" s="93"/>
      <c r="CM45" s="93"/>
      <c r="CN45" s="93"/>
      <c r="CO45" s="93"/>
      <c r="CP45" s="93"/>
      <c r="CQ45" s="93"/>
      <c r="CR45" s="93"/>
      <c r="CS45" s="93"/>
      <c r="CT45" s="93"/>
      <c r="CU45" s="93"/>
      <c r="CV45" s="93"/>
      <c r="CW45" s="93"/>
      <c r="CX45" s="93"/>
      <c r="CY45" s="93"/>
      <c r="CZ45" s="93"/>
      <c r="DA45" s="93"/>
      <c r="DB45" s="93"/>
      <c r="DC45" s="93"/>
      <c r="DD45" s="93"/>
      <c r="DE45" s="826"/>
      <c r="DF45" s="826"/>
      <c r="DG45" s="826"/>
      <c r="DH45" s="826"/>
      <c r="DI45" s="826"/>
      <c r="DJ45" s="826"/>
      <c r="GP45" s="831"/>
    </row>
    <row r="46" spans="1:198" s="92" customFormat="1" ht="15">
      <c r="A46" s="1076"/>
      <c r="B46" s="6"/>
      <c r="C46" s="164"/>
      <c r="D46" s="1056"/>
      <c r="G46" s="846"/>
      <c r="H46" s="809" t="s">
        <v>8294</v>
      </c>
      <c r="I46" s="92">
        <v>26</v>
      </c>
      <c r="J46" s="92" t="s">
        <v>10</v>
      </c>
      <c r="L46" s="810"/>
      <c r="M46" s="811" t="str">
        <f t="shared" si="3"/>
        <v/>
      </c>
      <c r="P46" s="1638"/>
      <c r="S46" s="813"/>
      <c r="T46" s="813"/>
      <c r="U46" s="813"/>
      <c r="V46" s="847"/>
      <c r="W46" s="815"/>
      <c r="X46" s="811"/>
      <c r="Y46" s="816"/>
      <c r="Z46" s="816"/>
      <c r="AA46" s="816"/>
      <c r="AB46" s="847"/>
      <c r="AC46" s="809"/>
      <c r="AD46" s="824"/>
      <c r="AE46" s="93"/>
      <c r="AF46" s="818"/>
      <c r="AG46" s="807" t="str">
        <f t="shared" si="4"/>
        <v/>
      </c>
      <c r="AH46" s="807"/>
      <c r="AI46" s="807"/>
      <c r="AJ46" s="807"/>
      <c r="AK46" s="843"/>
      <c r="AL46" s="843"/>
      <c r="AM46" s="844"/>
      <c r="AN46" s="845"/>
      <c r="AO46" s="817"/>
      <c r="AP46" s="820"/>
      <c r="AQ46" s="93"/>
      <c r="AR46" s="93"/>
      <c r="AS46" s="93"/>
      <c r="AT46" s="93"/>
      <c r="AU46" s="93"/>
      <c r="AV46" s="93"/>
      <c r="AW46" s="93"/>
      <c r="AX46" s="93"/>
      <c r="AY46" s="93"/>
      <c r="AZ46" s="93"/>
      <c r="BA46" s="93"/>
      <c r="BB46" s="93"/>
      <c r="BC46" s="93"/>
      <c r="BD46" s="93"/>
      <c r="BE46" s="93"/>
      <c r="BF46" s="93"/>
      <c r="BG46" s="93"/>
      <c r="BH46" s="93"/>
      <c r="BI46" s="93"/>
      <c r="BJ46" s="93"/>
      <c r="BK46" s="93"/>
      <c r="BL46" s="93"/>
      <c r="BM46" s="93"/>
      <c r="BN46" s="93"/>
      <c r="BT46" s="93"/>
      <c r="BU46" s="93"/>
      <c r="BV46" s="93"/>
      <c r="BW46" s="93"/>
      <c r="BX46" s="93"/>
      <c r="BY46" s="93"/>
      <c r="BZ46" s="93"/>
      <c r="CA46" s="93"/>
      <c r="CB46" s="93"/>
      <c r="CC46" s="93"/>
      <c r="CD46" s="93"/>
      <c r="CE46" s="93"/>
      <c r="CF46" s="93"/>
      <c r="CG46" s="93"/>
      <c r="CI46" s="93"/>
      <c r="CJ46" s="93"/>
      <c r="CK46" s="93"/>
      <c r="CL46" s="93"/>
      <c r="CM46" s="93"/>
      <c r="CN46" s="93"/>
      <c r="CO46" s="93"/>
      <c r="CP46" s="93"/>
      <c r="CQ46" s="93"/>
      <c r="CR46" s="93"/>
      <c r="CS46" s="93"/>
      <c r="CT46" s="93"/>
      <c r="CU46" s="93"/>
      <c r="CV46" s="93"/>
      <c r="CW46" s="93"/>
      <c r="CX46" s="93"/>
      <c r="CY46" s="93"/>
      <c r="CZ46" s="93"/>
      <c r="DA46" s="93"/>
      <c r="DB46" s="93"/>
      <c r="DC46" s="93"/>
      <c r="DD46" s="93"/>
      <c r="DE46" s="826"/>
      <c r="DF46" s="826"/>
      <c r="DG46" s="826"/>
      <c r="DH46" s="826"/>
      <c r="DI46" s="826"/>
      <c r="DJ46" s="826"/>
      <c r="GP46" s="831"/>
    </row>
    <row r="47" spans="1:198" s="92" customFormat="1" ht="15">
      <c r="A47" s="1076"/>
      <c r="B47" s="6"/>
      <c r="C47" s="164"/>
      <c r="D47" s="1056"/>
      <c r="G47" s="846"/>
      <c r="H47" s="809" t="s">
        <v>8295</v>
      </c>
      <c r="I47" s="92">
        <v>22</v>
      </c>
      <c r="L47" s="810"/>
      <c r="M47" s="811" t="str">
        <f t="shared" si="3"/>
        <v/>
      </c>
      <c r="P47" s="1638"/>
      <c r="S47" s="813"/>
      <c r="T47" s="813"/>
      <c r="U47" s="813"/>
      <c r="V47" s="847"/>
      <c r="W47" s="815"/>
      <c r="X47" s="811"/>
      <c r="Y47" s="816"/>
      <c r="Z47" s="816"/>
      <c r="AA47" s="816"/>
      <c r="AB47" s="847"/>
      <c r="AC47" s="809"/>
      <c r="AD47" s="824"/>
      <c r="AE47" s="93"/>
      <c r="AF47" s="818"/>
      <c r="AG47" s="807" t="str">
        <f t="shared" si="4"/>
        <v/>
      </c>
      <c r="AH47" s="807"/>
      <c r="AI47" s="807"/>
      <c r="AJ47" s="807"/>
      <c r="AK47" s="843"/>
      <c r="AL47" s="843"/>
      <c r="AM47" s="844"/>
      <c r="AN47" s="845"/>
      <c r="AO47" s="817"/>
      <c r="AP47" s="820"/>
      <c r="AQ47" s="93"/>
      <c r="AR47" s="93"/>
      <c r="AS47" s="93"/>
      <c r="AT47" s="93"/>
      <c r="AU47" s="93"/>
      <c r="AV47" s="93"/>
      <c r="AW47" s="93"/>
      <c r="AX47" s="93"/>
      <c r="AY47" s="93"/>
      <c r="AZ47" s="93"/>
      <c r="BA47" s="93"/>
      <c r="BB47" s="93"/>
      <c r="BC47" s="93"/>
      <c r="BD47" s="93"/>
      <c r="BE47" s="93"/>
      <c r="BF47" s="93"/>
      <c r="BG47" s="93"/>
      <c r="BH47" s="93"/>
      <c r="BI47" s="93"/>
      <c r="BJ47" s="93"/>
      <c r="BK47" s="93"/>
      <c r="BL47" s="93"/>
      <c r="BM47" s="93"/>
      <c r="BN47" s="93"/>
      <c r="BT47" s="93"/>
      <c r="BU47" s="93"/>
      <c r="BV47" s="93"/>
      <c r="BW47" s="93"/>
      <c r="BX47" s="93"/>
      <c r="BY47" s="93"/>
      <c r="BZ47" s="93"/>
      <c r="CA47" s="93"/>
      <c r="CB47" s="93"/>
      <c r="CC47" s="93"/>
      <c r="CD47" s="93"/>
      <c r="CE47" s="93"/>
      <c r="CF47" s="93"/>
      <c r="CG47" s="93"/>
      <c r="CI47" s="93"/>
      <c r="CJ47" s="93"/>
      <c r="CK47" s="93"/>
      <c r="CL47" s="93"/>
      <c r="CM47" s="93"/>
      <c r="CN47" s="93"/>
      <c r="CO47" s="93"/>
      <c r="CP47" s="93"/>
      <c r="CQ47" s="93"/>
      <c r="CR47" s="93"/>
      <c r="CS47" s="93"/>
      <c r="CT47" s="93"/>
      <c r="CU47" s="93"/>
      <c r="CV47" s="93"/>
      <c r="CW47" s="93"/>
      <c r="CX47" s="93"/>
      <c r="CY47" s="93"/>
      <c r="CZ47" s="93"/>
      <c r="DA47" s="93"/>
      <c r="DB47" s="93"/>
      <c r="DC47" s="93"/>
      <c r="DD47" s="93"/>
      <c r="DE47" s="826"/>
      <c r="DF47" s="826"/>
      <c r="DG47" s="826"/>
      <c r="DH47" s="826"/>
      <c r="DI47" s="826"/>
      <c r="DJ47" s="826"/>
      <c r="GP47" s="831"/>
    </row>
    <row r="48" spans="1:198" s="92" customFormat="1" ht="15">
      <c r="A48" s="1076"/>
      <c r="B48" s="6"/>
      <c r="C48" s="164"/>
      <c r="D48" s="1056"/>
      <c r="G48" s="846"/>
      <c r="H48" s="809" t="s">
        <v>8296</v>
      </c>
      <c r="I48" s="92">
        <v>20</v>
      </c>
      <c r="L48" s="810"/>
      <c r="M48" s="811" t="str">
        <f t="shared" si="3"/>
        <v/>
      </c>
      <c r="P48" s="1638"/>
      <c r="S48" s="813"/>
      <c r="T48" s="813"/>
      <c r="U48" s="813"/>
      <c r="V48" s="847"/>
      <c r="W48" s="815"/>
      <c r="X48" s="811"/>
      <c r="Y48" s="816"/>
      <c r="Z48" s="816"/>
      <c r="AA48" s="816"/>
      <c r="AB48" s="847"/>
      <c r="AC48" s="809"/>
      <c r="AD48" s="824"/>
      <c r="AE48" s="93"/>
      <c r="AF48" s="818"/>
      <c r="AG48" s="807" t="str">
        <f t="shared" si="4"/>
        <v/>
      </c>
      <c r="AH48" s="807"/>
      <c r="AI48" s="807"/>
      <c r="AJ48" s="807"/>
      <c r="AK48" s="843"/>
      <c r="AL48" s="843"/>
      <c r="AM48" s="844"/>
      <c r="AN48" s="845"/>
      <c r="AO48" s="817"/>
      <c r="AP48" s="820"/>
      <c r="AQ48" s="93"/>
      <c r="AR48" s="93"/>
      <c r="AS48" s="93"/>
      <c r="AT48" s="93"/>
      <c r="AU48" s="93"/>
      <c r="AV48" s="93"/>
      <c r="AW48" s="93"/>
      <c r="AX48" s="93"/>
      <c r="AY48" s="93"/>
      <c r="AZ48" s="93"/>
      <c r="BA48" s="93"/>
      <c r="BB48" s="93"/>
      <c r="BC48" s="93"/>
      <c r="BD48" s="93"/>
      <c r="BE48" s="93"/>
      <c r="BF48" s="93"/>
      <c r="BG48" s="93"/>
      <c r="BH48" s="93"/>
      <c r="BI48" s="93"/>
      <c r="BJ48" s="93"/>
      <c r="BK48" s="93"/>
      <c r="BL48" s="93"/>
      <c r="BM48" s="93"/>
      <c r="BN48" s="93"/>
      <c r="BT48" s="93"/>
      <c r="BU48" s="93"/>
      <c r="BV48" s="93"/>
      <c r="BW48" s="93"/>
      <c r="BX48" s="93"/>
      <c r="BY48" s="93"/>
      <c r="BZ48" s="93"/>
      <c r="CA48" s="93"/>
      <c r="CB48" s="93"/>
      <c r="CC48" s="93"/>
      <c r="CD48" s="93"/>
      <c r="CE48" s="93"/>
      <c r="CF48" s="93"/>
      <c r="CG48" s="93"/>
      <c r="CI48" s="93"/>
      <c r="CJ48" s="93"/>
      <c r="CK48" s="93"/>
      <c r="CL48" s="93"/>
      <c r="CM48" s="93"/>
      <c r="CN48" s="93"/>
      <c r="CO48" s="93"/>
      <c r="CP48" s="93"/>
      <c r="CQ48" s="93"/>
      <c r="CR48" s="93"/>
      <c r="CS48" s="93"/>
      <c r="CT48" s="93"/>
      <c r="CU48" s="93"/>
      <c r="CV48" s="93"/>
      <c r="CW48" s="93"/>
      <c r="CX48" s="93"/>
      <c r="CY48" s="93"/>
      <c r="CZ48" s="93"/>
      <c r="DA48" s="93"/>
      <c r="DB48" s="93"/>
      <c r="DC48" s="93"/>
      <c r="DD48" s="93"/>
      <c r="DE48" s="826"/>
      <c r="DF48" s="826"/>
      <c r="DG48" s="826"/>
      <c r="DH48" s="826"/>
      <c r="DI48" s="826"/>
      <c r="DJ48" s="826"/>
      <c r="GP48" s="831"/>
    </row>
    <row r="49" spans="1:198" s="92" customFormat="1" ht="15">
      <c r="A49" s="1076"/>
      <c r="B49" s="6"/>
      <c r="C49" s="164"/>
      <c r="D49" s="1056"/>
      <c r="G49" s="846"/>
      <c r="H49" s="809" t="s">
        <v>8297</v>
      </c>
      <c r="L49" s="810"/>
      <c r="M49" s="811" t="str">
        <f t="shared" si="3"/>
        <v/>
      </c>
      <c r="P49" s="1638"/>
      <c r="S49" s="813"/>
      <c r="T49" s="813"/>
      <c r="U49" s="813"/>
      <c r="V49" s="847"/>
      <c r="W49" s="815"/>
      <c r="X49" s="811"/>
      <c r="Y49" s="816"/>
      <c r="Z49" s="816"/>
      <c r="AA49" s="816"/>
      <c r="AB49" s="847"/>
      <c r="AC49" s="809"/>
      <c r="AD49" s="824"/>
      <c r="AE49" s="93"/>
      <c r="AF49" s="818"/>
      <c r="AG49" s="807" t="str">
        <f t="shared" si="4"/>
        <v/>
      </c>
      <c r="AH49" s="807"/>
      <c r="AI49" s="807"/>
      <c r="AJ49" s="807"/>
      <c r="AK49" s="843"/>
      <c r="AL49" s="843"/>
      <c r="AM49" s="844"/>
      <c r="AN49" s="845"/>
      <c r="AO49" s="817"/>
      <c r="AP49" s="820"/>
      <c r="AQ49" s="93"/>
      <c r="AR49" s="93"/>
      <c r="AS49" s="93"/>
      <c r="AT49" s="93"/>
      <c r="AU49" s="93"/>
      <c r="AV49" s="93"/>
      <c r="AW49" s="93"/>
      <c r="AX49" s="93"/>
      <c r="AY49" s="93"/>
      <c r="AZ49" s="93"/>
      <c r="BA49" s="93"/>
      <c r="BB49" s="93"/>
      <c r="BC49" s="93"/>
      <c r="BD49" s="93"/>
      <c r="BE49" s="93"/>
      <c r="BF49" s="93"/>
      <c r="BG49" s="93"/>
      <c r="BH49" s="93"/>
      <c r="BI49" s="93"/>
      <c r="BJ49" s="93"/>
      <c r="BK49" s="93"/>
      <c r="BL49" s="93"/>
      <c r="BM49" s="93"/>
      <c r="BN49" s="93"/>
      <c r="BT49" s="93"/>
      <c r="BU49" s="93"/>
      <c r="BV49" s="93"/>
      <c r="BW49" s="93"/>
      <c r="BX49" s="93"/>
      <c r="BY49" s="93"/>
      <c r="BZ49" s="93"/>
      <c r="CA49" s="93"/>
      <c r="CB49" s="93"/>
      <c r="CC49" s="93"/>
      <c r="CD49" s="93"/>
      <c r="CE49" s="93"/>
      <c r="CF49" s="93"/>
      <c r="CG49" s="93"/>
      <c r="CI49" s="93"/>
      <c r="CJ49" s="93"/>
      <c r="CK49" s="93"/>
      <c r="CL49" s="93"/>
      <c r="CM49" s="93"/>
      <c r="CN49" s="93"/>
      <c r="CO49" s="93"/>
      <c r="CP49" s="93"/>
      <c r="CQ49" s="93"/>
      <c r="CR49" s="93"/>
      <c r="CS49" s="93"/>
      <c r="CT49" s="93"/>
      <c r="CU49" s="93"/>
      <c r="CV49" s="93"/>
      <c r="CW49" s="93"/>
      <c r="CX49" s="93"/>
      <c r="CY49" s="93"/>
      <c r="CZ49" s="93"/>
      <c r="DA49" s="93"/>
      <c r="DB49" s="93"/>
      <c r="DC49" s="93"/>
      <c r="DD49" s="93"/>
      <c r="DE49" s="826"/>
      <c r="DF49" s="826"/>
      <c r="DG49" s="826"/>
      <c r="DH49" s="826"/>
      <c r="DI49" s="826"/>
      <c r="DJ49" s="826"/>
      <c r="GP49" s="831"/>
    </row>
    <row r="50" spans="1:198" s="92" customFormat="1" ht="15">
      <c r="A50" s="1076"/>
      <c r="B50" s="6"/>
      <c r="C50" s="164"/>
      <c r="D50" s="1056"/>
      <c r="G50" s="846"/>
      <c r="H50" s="809" t="s">
        <v>8298</v>
      </c>
      <c r="L50" s="810"/>
      <c r="M50" s="811" t="str">
        <f t="shared" si="3"/>
        <v/>
      </c>
      <c r="P50" s="1638"/>
      <c r="S50" s="813"/>
      <c r="T50" s="813"/>
      <c r="U50" s="813"/>
      <c r="V50" s="847"/>
      <c r="W50" s="815"/>
      <c r="X50" s="811"/>
      <c r="Y50" s="816"/>
      <c r="Z50" s="816"/>
      <c r="AA50" s="816"/>
      <c r="AB50" s="847"/>
      <c r="AC50" s="809"/>
      <c r="AD50" s="824"/>
      <c r="AE50" s="93"/>
      <c r="AF50" s="818"/>
      <c r="AG50" s="807" t="str">
        <f t="shared" si="4"/>
        <v/>
      </c>
      <c r="AH50" s="807"/>
      <c r="AI50" s="807"/>
      <c r="AJ50" s="807"/>
      <c r="AK50" s="843"/>
      <c r="AL50" s="843"/>
      <c r="AM50" s="844"/>
      <c r="AN50" s="845"/>
      <c r="AO50" s="817"/>
      <c r="AP50" s="820"/>
      <c r="AQ50" s="93"/>
      <c r="AR50" s="93"/>
      <c r="AS50" s="93"/>
      <c r="AT50" s="93"/>
      <c r="AU50" s="93"/>
      <c r="AV50" s="93"/>
      <c r="AW50" s="93"/>
      <c r="AX50" s="93"/>
      <c r="AY50" s="93"/>
      <c r="AZ50" s="93"/>
      <c r="BA50" s="93"/>
      <c r="BB50" s="93"/>
      <c r="BC50" s="93"/>
      <c r="BD50" s="93"/>
      <c r="BE50" s="93"/>
      <c r="BF50" s="93"/>
      <c r="BG50" s="93"/>
      <c r="BH50" s="93"/>
      <c r="BI50" s="93"/>
      <c r="BJ50" s="93"/>
      <c r="BK50" s="93"/>
      <c r="BL50" s="93"/>
      <c r="BM50" s="93"/>
      <c r="BN50" s="93"/>
      <c r="BT50" s="93"/>
      <c r="BU50" s="93"/>
      <c r="BV50" s="93"/>
      <c r="BW50" s="93"/>
      <c r="BX50" s="93"/>
      <c r="BY50" s="93"/>
      <c r="BZ50" s="93"/>
      <c r="CA50" s="93"/>
      <c r="CB50" s="93"/>
      <c r="CC50" s="93"/>
      <c r="CD50" s="93"/>
      <c r="CE50" s="93"/>
      <c r="CF50" s="93"/>
      <c r="CG50" s="93"/>
      <c r="CI50" s="93"/>
      <c r="CJ50" s="93"/>
      <c r="CK50" s="93"/>
      <c r="CL50" s="93"/>
      <c r="CM50" s="93"/>
      <c r="CN50" s="93"/>
      <c r="CO50" s="93"/>
      <c r="CP50" s="93"/>
      <c r="CQ50" s="93"/>
      <c r="CR50" s="93"/>
      <c r="CS50" s="93"/>
      <c r="CT50" s="93"/>
      <c r="CU50" s="93"/>
      <c r="CV50" s="93"/>
      <c r="CW50" s="93"/>
      <c r="CX50" s="93"/>
      <c r="CY50" s="93"/>
      <c r="CZ50" s="93"/>
      <c r="DA50" s="93"/>
      <c r="DB50" s="93"/>
      <c r="DC50" s="93"/>
      <c r="DD50" s="93"/>
      <c r="DE50" s="826"/>
      <c r="DF50" s="826"/>
      <c r="DG50" s="826"/>
      <c r="DH50" s="826"/>
      <c r="DI50" s="826"/>
      <c r="DJ50" s="826"/>
      <c r="GP50" s="831"/>
    </row>
    <row r="51" spans="1:198" s="92" customFormat="1" ht="15">
      <c r="A51" s="1076"/>
      <c r="B51" s="6"/>
      <c r="C51" s="164"/>
      <c r="D51" s="1056"/>
      <c r="G51" s="846"/>
      <c r="H51" s="809" t="s">
        <v>8299</v>
      </c>
      <c r="L51" s="810"/>
      <c r="M51" s="811" t="str">
        <f t="shared" si="3"/>
        <v/>
      </c>
      <c r="P51" s="1638"/>
      <c r="S51" s="813"/>
      <c r="T51" s="813"/>
      <c r="U51" s="813"/>
      <c r="V51" s="847"/>
      <c r="W51" s="815"/>
      <c r="X51" s="811"/>
      <c r="Y51" s="816"/>
      <c r="Z51" s="816"/>
      <c r="AA51" s="816"/>
      <c r="AB51" s="847"/>
      <c r="AC51" s="809"/>
      <c r="AD51" s="824"/>
      <c r="AE51" s="93"/>
      <c r="AF51" s="818"/>
      <c r="AG51" s="807" t="str">
        <f t="shared" si="4"/>
        <v/>
      </c>
      <c r="AH51" s="807"/>
      <c r="AI51" s="807"/>
      <c r="AJ51" s="807"/>
      <c r="AK51" s="843"/>
      <c r="AL51" s="843"/>
      <c r="AM51" s="844"/>
      <c r="AN51" s="845"/>
      <c r="AO51" s="817"/>
      <c r="AP51" s="820"/>
      <c r="AQ51" s="93"/>
      <c r="AR51" s="93"/>
      <c r="AS51" s="93"/>
      <c r="AT51" s="93"/>
      <c r="AU51" s="93"/>
      <c r="AV51" s="93"/>
      <c r="AW51" s="93"/>
      <c r="AX51" s="93"/>
      <c r="AY51" s="93"/>
      <c r="AZ51" s="93"/>
      <c r="BA51" s="93"/>
      <c r="BB51" s="93"/>
      <c r="BC51" s="93"/>
      <c r="BD51" s="93"/>
      <c r="BE51" s="93"/>
      <c r="BF51" s="93"/>
      <c r="BG51" s="93"/>
      <c r="BH51" s="93"/>
      <c r="BI51" s="93"/>
      <c r="BJ51" s="93"/>
      <c r="BK51" s="93"/>
      <c r="BL51" s="93"/>
      <c r="BM51" s="93"/>
      <c r="BN51" s="93"/>
      <c r="BT51" s="93"/>
      <c r="BU51" s="93"/>
      <c r="BV51" s="93"/>
      <c r="BW51" s="93"/>
      <c r="BX51" s="93"/>
      <c r="BY51" s="93"/>
      <c r="BZ51" s="93"/>
      <c r="CA51" s="93"/>
      <c r="CB51" s="93"/>
      <c r="CC51" s="93"/>
      <c r="CD51" s="93"/>
      <c r="CE51" s="93"/>
      <c r="CF51" s="93"/>
      <c r="CG51" s="93"/>
      <c r="CI51" s="93"/>
      <c r="CJ51" s="93"/>
      <c r="CK51" s="93"/>
      <c r="CL51" s="93"/>
      <c r="CM51" s="93"/>
      <c r="CN51" s="93"/>
      <c r="CO51" s="93"/>
      <c r="CP51" s="93"/>
      <c r="CQ51" s="93"/>
      <c r="CR51" s="93"/>
      <c r="CS51" s="93"/>
      <c r="CT51" s="93"/>
      <c r="CU51" s="93"/>
      <c r="CV51" s="93"/>
      <c r="CW51" s="93"/>
      <c r="CX51" s="93"/>
      <c r="CY51" s="93"/>
      <c r="CZ51" s="93"/>
      <c r="DA51" s="93"/>
      <c r="DB51" s="93"/>
      <c r="DC51" s="93"/>
      <c r="DD51" s="93"/>
      <c r="DE51" s="826"/>
      <c r="DF51" s="826"/>
      <c r="DG51" s="826"/>
      <c r="DH51" s="826"/>
      <c r="DI51" s="826"/>
      <c r="DJ51" s="826"/>
      <c r="GP51" s="831"/>
    </row>
    <row r="52" spans="1:198" s="92" customFormat="1" ht="15">
      <c r="A52" s="1076"/>
      <c r="B52" s="6"/>
      <c r="C52" s="164"/>
      <c r="D52" s="1056"/>
      <c r="G52" s="846"/>
      <c r="H52" s="809" t="s">
        <v>8300</v>
      </c>
      <c r="L52" s="810"/>
      <c r="M52" s="811"/>
      <c r="P52" s="1638"/>
      <c r="S52" s="813"/>
      <c r="T52" s="813"/>
      <c r="U52" s="813"/>
      <c r="V52" s="847"/>
      <c r="W52" s="815"/>
      <c r="X52" s="811"/>
      <c r="Y52" s="816"/>
      <c r="Z52" s="816"/>
      <c r="AA52" s="816"/>
      <c r="AB52" s="847"/>
      <c r="AC52" s="809"/>
      <c r="AD52" s="824"/>
      <c r="AE52" s="93"/>
      <c r="AF52" s="818"/>
      <c r="AG52" s="807" t="str">
        <f t="shared" si="4"/>
        <v/>
      </c>
      <c r="AH52" s="807"/>
      <c r="AI52" s="807"/>
      <c r="AJ52" s="807"/>
      <c r="AK52" s="843"/>
      <c r="AL52" s="843"/>
      <c r="AM52" s="844"/>
      <c r="AN52" s="845"/>
      <c r="AO52" s="817"/>
      <c r="AP52" s="820"/>
      <c r="AQ52" s="93"/>
      <c r="AR52" s="93"/>
      <c r="AS52" s="93"/>
      <c r="AT52" s="93"/>
      <c r="AU52" s="93"/>
      <c r="AV52" s="93"/>
      <c r="AW52" s="93"/>
      <c r="AX52" s="93"/>
      <c r="AY52" s="93"/>
      <c r="AZ52" s="93"/>
      <c r="BA52" s="93"/>
      <c r="BB52" s="93"/>
      <c r="BC52" s="93"/>
      <c r="BD52" s="93"/>
      <c r="BE52" s="93"/>
      <c r="BF52" s="93"/>
      <c r="BG52" s="93"/>
      <c r="BH52" s="93"/>
      <c r="BI52" s="93"/>
      <c r="BJ52" s="93"/>
      <c r="BK52" s="93"/>
      <c r="BL52" s="93"/>
      <c r="BM52" s="93"/>
      <c r="BN52" s="93"/>
      <c r="BT52" s="93"/>
      <c r="BU52" s="93"/>
      <c r="BV52" s="93"/>
      <c r="BW52" s="93"/>
      <c r="BX52" s="93"/>
      <c r="BY52" s="93"/>
      <c r="BZ52" s="93"/>
      <c r="CA52" s="93"/>
      <c r="CB52" s="93"/>
      <c r="CC52" s="93"/>
      <c r="CD52" s="93"/>
      <c r="CE52" s="93"/>
      <c r="CF52" s="93"/>
      <c r="CG52" s="93"/>
      <c r="CI52" s="93"/>
      <c r="CJ52" s="93"/>
      <c r="CK52" s="93"/>
      <c r="CL52" s="93"/>
      <c r="CM52" s="93"/>
      <c r="CN52" s="93"/>
      <c r="CO52" s="93"/>
      <c r="CP52" s="93"/>
      <c r="CQ52" s="93"/>
      <c r="CR52" s="93"/>
      <c r="CS52" s="93"/>
      <c r="CT52" s="93"/>
      <c r="CU52" s="93"/>
      <c r="CV52" s="93"/>
      <c r="CW52" s="93"/>
      <c r="CX52" s="93"/>
      <c r="CY52" s="93"/>
      <c r="CZ52" s="93"/>
      <c r="DA52" s="93"/>
      <c r="DB52" s="93"/>
      <c r="DC52" s="93"/>
      <c r="DD52" s="93"/>
      <c r="DE52" s="826"/>
      <c r="DF52" s="826"/>
      <c r="DG52" s="826"/>
      <c r="DH52" s="826"/>
      <c r="DI52" s="826"/>
      <c r="DJ52" s="826"/>
      <c r="GP52" s="831"/>
    </row>
    <row r="53" spans="1:198" s="92" customFormat="1" ht="15">
      <c r="A53" s="1076"/>
      <c r="B53" s="6"/>
      <c r="C53" s="164"/>
      <c r="D53" s="1056"/>
      <c r="G53" s="846"/>
      <c r="H53" s="809" t="s">
        <v>8301</v>
      </c>
      <c r="L53" s="810"/>
      <c r="M53" s="811"/>
      <c r="P53" s="1638"/>
      <c r="S53" s="813"/>
      <c r="T53" s="813"/>
      <c r="U53" s="813"/>
      <c r="V53" s="847"/>
      <c r="W53" s="815"/>
      <c r="X53" s="811"/>
      <c r="Y53" s="816"/>
      <c r="Z53" s="816"/>
      <c r="AA53" s="816"/>
      <c r="AB53" s="847"/>
      <c r="AC53" s="809"/>
      <c r="AD53" s="824"/>
      <c r="AE53" s="93"/>
      <c r="AF53" s="818"/>
      <c r="AG53" s="807" t="str">
        <f t="shared" si="4"/>
        <v/>
      </c>
      <c r="AH53" s="807"/>
      <c r="AI53" s="807"/>
      <c r="AJ53" s="807"/>
      <c r="AK53" s="843"/>
      <c r="AL53" s="843"/>
      <c r="AM53" s="844"/>
      <c r="AN53" s="845"/>
      <c r="AO53" s="817"/>
      <c r="AP53" s="820"/>
      <c r="AQ53" s="93"/>
      <c r="AR53" s="93"/>
      <c r="AS53" s="93"/>
      <c r="AT53" s="93"/>
      <c r="AU53" s="93"/>
      <c r="AV53" s="93"/>
      <c r="AW53" s="93"/>
      <c r="AX53" s="93"/>
      <c r="AY53" s="93"/>
      <c r="AZ53" s="93"/>
      <c r="BA53" s="93"/>
      <c r="BB53" s="93"/>
      <c r="BC53" s="93"/>
      <c r="BD53" s="93"/>
      <c r="BE53" s="93"/>
      <c r="BF53" s="93"/>
      <c r="BG53" s="93"/>
      <c r="BH53" s="93"/>
      <c r="BI53" s="93"/>
      <c r="BJ53" s="93"/>
      <c r="BK53" s="93"/>
      <c r="BL53" s="93"/>
      <c r="BM53" s="93"/>
      <c r="BN53" s="93"/>
      <c r="BT53" s="93"/>
      <c r="BU53" s="93"/>
      <c r="BV53" s="93"/>
      <c r="BW53" s="93"/>
      <c r="BX53" s="93"/>
      <c r="BY53" s="93"/>
      <c r="BZ53" s="93"/>
      <c r="CA53" s="93"/>
      <c r="CB53" s="93"/>
      <c r="CC53" s="93"/>
      <c r="CD53" s="93"/>
      <c r="CE53" s="93"/>
      <c r="CF53" s="93"/>
      <c r="CG53" s="93"/>
      <c r="CI53" s="93"/>
      <c r="CJ53" s="93"/>
      <c r="CK53" s="93"/>
      <c r="CL53" s="93"/>
      <c r="CM53" s="93"/>
      <c r="CN53" s="93"/>
      <c r="CO53" s="93"/>
      <c r="CP53" s="93"/>
      <c r="CQ53" s="93"/>
      <c r="CR53" s="93"/>
      <c r="CS53" s="93"/>
      <c r="CT53" s="93"/>
      <c r="CU53" s="93"/>
      <c r="CV53" s="93"/>
      <c r="CW53" s="93"/>
      <c r="CX53" s="93"/>
      <c r="CY53" s="93"/>
      <c r="CZ53" s="93"/>
      <c r="DA53" s="93"/>
      <c r="DB53" s="93"/>
      <c r="DC53" s="93"/>
      <c r="DD53" s="93"/>
      <c r="DE53" s="826"/>
      <c r="DF53" s="826"/>
      <c r="DG53" s="826"/>
      <c r="DH53" s="826"/>
      <c r="DI53" s="826"/>
      <c r="DJ53" s="826"/>
      <c r="GP53" s="831"/>
    </row>
    <row r="54" spans="1:198" s="806" customFormat="1" ht="15">
      <c r="D54" s="1059" t="s">
        <v>53</v>
      </c>
      <c r="E54" s="1038" t="s">
        <v>53</v>
      </c>
      <c r="F54" s="1047" t="s">
        <v>2047</v>
      </c>
      <c r="G54" s="809" t="s">
        <v>53</v>
      </c>
      <c r="H54" s="809" t="s">
        <v>2046</v>
      </c>
      <c r="I54" s="92">
        <v>43</v>
      </c>
      <c r="J54" s="92" t="s">
        <v>18</v>
      </c>
      <c r="K54" s="92" t="s">
        <v>707</v>
      </c>
      <c r="L54" s="810">
        <v>6</v>
      </c>
      <c r="M54" s="811" t="str">
        <f t="shared" ref="M54:M85" si="5">IF(ISBLANK(L54)=TRUE,"",LOOKUP(L54,GQ:GR))</f>
        <v>College Level</v>
      </c>
      <c r="N54" s="92" t="s">
        <v>1208</v>
      </c>
      <c r="O54" s="92" t="s">
        <v>8302</v>
      </c>
      <c r="P54" s="1638"/>
      <c r="Q54" s="92" t="s">
        <v>8302</v>
      </c>
      <c r="R54" s="92" t="s">
        <v>8234</v>
      </c>
      <c r="S54" s="848"/>
      <c r="T54" s="820"/>
      <c r="U54" s="820">
        <f>SUM(7500,500,5000)</f>
        <v>13000</v>
      </c>
      <c r="V54" s="849"/>
      <c r="W54" s="838">
        <v>3</v>
      </c>
      <c r="X54" s="811" t="str">
        <f t="shared" ref="X54:X85" si="6">IF(ISBLANK(W54)=TRUE,"",LOOKUP(W54,GO:GP))</f>
        <v>within the Province</v>
      </c>
      <c r="Y54" s="836"/>
      <c r="Z54" s="836"/>
      <c r="AA54" s="836"/>
      <c r="AB54" s="849"/>
      <c r="AC54" s="809"/>
      <c r="AD54" s="824"/>
      <c r="AE54" s="93"/>
      <c r="AF54" s="818"/>
      <c r="AG54" s="807" t="str">
        <f t="shared" si="4"/>
        <v/>
      </c>
      <c r="AH54" s="817"/>
      <c r="AI54" s="817"/>
      <c r="AJ54" s="817"/>
      <c r="AK54" s="92" t="s">
        <v>2149</v>
      </c>
      <c r="AL54" s="92" t="s">
        <v>8276</v>
      </c>
      <c r="AM54" s="92" t="s">
        <v>735</v>
      </c>
      <c r="AN54" s="820">
        <v>500</v>
      </c>
      <c r="AO54" s="850"/>
      <c r="AP54" s="851"/>
      <c r="AQ54" s="93"/>
      <c r="AR54" s="93"/>
      <c r="AS54" s="93"/>
      <c r="AT54" s="93"/>
      <c r="AU54" s="93"/>
      <c r="AV54" s="93"/>
      <c r="AW54" s="93"/>
      <c r="AX54" s="93"/>
      <c r="AY54" s="93"/>
      <c r="AZ54" s="93"/>
      <c r="BA54" s="93"/>
      <c r="BB54" s="93"/>
      <c r="BC54" s="93"/>
      <c r="BD54" s="93"/>
      <c r="BE54" s="93"/>
      <c r="BF54" s="93"/>
      <c r="BG54" s="93"/>
      <c r="BH54" s="93"/>
      <c r="BI54" s="93"/>
      <c r="BJ54" s="93"/>
      <c r="BK54" s="93"/>
      <c r="BL54" s="93"/>
      <c r="BM54" s="93"/>
      <c r="BN54" s="93"/>
      <c r="BT54" s="93"/>
      <c r="BU54" s="93"/>
      <c r="BV54" s="93"/>
      <c r="BW54" s="93" t="s">
        <v>2144</v>
      </c>
      <c r="BX54" s="93"/>
      <c r="BY54" s="93"/>
      <c r="BZ54" s="93"/>
      <c r="CA54" s="93"/>
      <c r="CB54" s="93"/>
      <c r="CC54" s="93"/>
      <c r="CD54" s="93"/>
      <c r="CE54" s="93"/>
      <c r="CF54" s="93"/>
      <c r="CG54" s="93"/>
      <c r="CH54" s="93" t="s">
        <v>2144</v>
      </c>
      <c r="CI54" s="93"/>
      <c r="CJ54" s="93"/>
      <c r="CK54" s="93"/>
      <c r="CL54" s="93"/>
      <c r="CM54" s="93"/>
      <c r="CN54" s="93"/>
      <c r="CO54" s="93"/>
      <c r="CP54" s="93"/>
      <c r="CQ54" s="93"/>
      <c r="CR54" s="93"/>
      <c r="CS54" s="93"/>
      <c r="CT54" s="93"/>
      <c r="CU54" s="93"/>
      <c r="CV54" s="93"/>
      <c r="CW54" s="93"/>
      <c r="CX54" s="93"/>
      <c r="CY54" s="93"/>
      <c r="CZ54" s="93"/>
      <c r="DA54" s="93"/>
      <c r="DB54" s="93"/>
      <c r="DC54" s="93"/>
      <c r="DD54" s="93"/>
      <c r="DE54" s="93"/>
      <c r="DF54" s="93"/>
      <c r="DG54" s="93"/>
      <c r="DH54" s="93"/>
      <c r="DI54" s="826"/>
      <c r="DJ54" s="825"/>
      <c r="DK54" s="825"/>
      <c r="GO54" s="92"/>
      <c r="GP54" s="831"/>
    </row>
    <row r="55" spans="1:198" s="806" customFormat="1" ht="15">
      <c r="D55" s="1059"/>
      <c r="E55" s="1038" t="s">
        <v>53</v>
      </c>
      <c r="G55" s="827"/>
      <c r="H55" s="809" t="s">
        <v>8303</v>
      </c>
      <c r="I55" s="92">
        <v>40</v>
      </c>
      <c r="J55" s="92" t="s">
        <v>10</v>
      </c>
      <c r="K55" s="92" t="s">
        <v>707</v>
      </c>
      <c r="L55" s="810">
        <v>5</v>
      </c>
      <c r="M55" s="811" t="str">
        <f t="shared" si="5"/>
        <v>High School Graduate</v>
      </c>
      <c r="N55" s="92"/>
      <c r="O55" s="92"/>
      <c r="P55" s="1638"/>
      <c r="Q55" s="92"/>
      <c r="R55" s="92"/>
      <c r="S55" s="848"/>
      <c r="T55" s="820"/>
      <c r="U55" s="836"/>
      <c r="V55" s="829"/>
      <c r="W55" s="815"/>
      <c r="X55" s="811" t="str">
        <f t="shared" si="6"/>
        <v/>
      </c>
      <c r="Y55" s="816"/>
      <c r="Z55" s="816"/>
      <c r="AA55" s="816"/>
      <c r="AB55" s="829"/>
      <c r="AC55" s="809"/>
      <c r="AD55" s="824"/>
      <c r="AE55" s="93"/>
      <c r="AF55" s="818"/>
      <c r="AG55" s="807" t="str">
        <f t="shared" si="4"/>
        <v/>
      </c>
      <c r="AH55" s="817"/>
      <c r="AI55" s="817"/>
      <c r="AJ55" s="817"/>
      <c r="AK55" s="92"/>
      <c r="AL55" s="92"/>
      <c r="AM55" s="819"/>
      <c r="AN55" s="820"/>
      <c r="AO55" s="817"/>
      <c r="AP55" s="820"/>
      <c r="AQ55" s="93"/>
      <c r="AR55" s="93"/>
      <c r="AS55" s="93"/>
      <c r="AT55" s="93"/>
      <c r="AU55" s="93"/>
      <c r="AV55" s="93"/>
      <c r="AW55" s="93"/>
      <c r="AX55" s="93"/>
      <c r="AY55" s="93"/>
      <c r="AZ55" s="93"/>
      <c r="BA55" s="93"/>
      <c r="BB55" s="93"/>
      <c r="BC55" s="93"/>
      <c r="BD55" s="93"/>
      <c r="BE55" s="93"/>
      <c r="BF55" s="93"/>
      <c r="BG55" s="93"/>
      <c r="BH55" s="93"/>
      <c r="BI55" s="93"/>
      <c r="BJ55" s="93"/>
      <c r="BK55" s="93"/>
      <c r="BL55" s="93"/>
      <c r="BM55" s="93"/>
      <c r="BN55" s="93"/>
      <c r="BT55" s="93"/>
      <c r="BU55" s="93"/>
      <c r="BV55" s="93"/>
      <c r="BW55" s="93"/>
      <c r="BX55" s="93"/>
      <c r="BY55" s="93"/>
      <c r="BZ55" s="93"/>
      <c r="CA55" s="93"/>
      <c r="CB55" s="93"/>
      <c r="CC55" s="93"/>
      <c r="CD55" s="93"/>
      <c r="CE55" s="93"/>
      <c r="CF55" s="93"/>
      <c r="CG55" s="93"/>
      <c r="CH55" s="93"/>
      <c r="CI55" s="93"/>
      <c r="CJ55" s="93" t="s">
        <v>2144</v>
      </c>
      <c r="CK55" s="93"/>
      <c r="CL55" s="93"/>
      <c r="CM55" s="93"/>
      <c r="CN55" s="93"/>
      <c r="CO55" s="93"/>
      <c r="CP55" s="93"/>
      <c r="CQ55" s="93"/>
      <c r="CR55" s="93"/>
      <c r="CS55" s="93"/>
      <c r="CT55" s="93"/>
      <c r="CU55" s="93"/>
      <c r="CV55" s="93"/>
      <c r="CW55" s="93"/>
      <c r="CX55" s="93"/>
      <c r="CY55" s="93"/>
      <c r="CZ55" s="93"/>
      <c r="DA55" s="93"/>
      <c r="DB55" s="93"/>
      <c r="DC55" s="93"/>
      <c r="DD55" s="93"/>
      <c r="DE55" s="93"/>
      <c r="DF55" s="93"/>
      <c r="DG55" s="93"/>
      <c r="DH55" s="93"/>
      <c r="DI55" s="826"/>
      <c r="DJ55" s="825"/>
      <c r="DK55" s="825"/>
      <c r="GO55" s="92"/>
      <c r="GP55" s="831"/>
    </row>
    <row r="56" spans="1:198" s="806" customFormat="1" ht="15">
      <c r="D56" s="1059"/>
      <c r="E56" s="1038" t="s">
        <v>53</v>
      </c>
      <c r="G56" s="827"/>
      <c r="H56" s="809" t="s">
        <v>8304</v>
      </c>
      <c r="I56" s="92">
        <v>26</v>
      </c>
      <c r="J56" s="92" t="s">
        <v>10</v>
      </c>
      <c r="K56" s="92" t="s">
        <v>722</v>
      </c>
      <c r="L56" s="810">
        <v>6</v>
      </c>
      <c r="M56" s="811" t="str">
        <f t="shared" si="5"/>
        <v>College Level</v>
      </c>
      <c r="N56" s="92"/>
      <c r="O56" s="92"/>
      <c r="P56" s="1638"/>
      <c r="Q56" s="92"/>
      <c r="R56" s="92"/>
      <c r="S56" s="848"/>
      <c r="T56" s="820"/>
      <c r="U56" s="820"/>
      <c r="V56" s="829"/>
      <c r="W56" s="815"/>
      <c r="X56" s="811" t="str">
        <f t="shared" si="6"/>
        <v/>
      </c>
      <c r="Y56" s="816"/>
      <c r="Z56" s="816"/>
      <c r="AA56" s="816"/>
      <c r="AB56" s="829"/>
      <c r="AC56" s="809"/>
      <c r="AD56" s="824"/>
      <c r="AE56" s="93"/>
      <c r="AF56" s="818"/>
      <c r="AG56" s="807" t="str">
        <f t="shared" si="4"/>
        <v/>
      </c>
      <c r="AH56" s="817"/>
      <c r="AI56" s="817"/>
      <c r="AJ56" s="817"/>
      <c r="AK56" s="92"/>
      <c r="AL56" s="92"/>
      <c r="AM56" s="819"/>
      <c r="AN56" s="820"/>
      <c r="AO56" s="817"/>
      <c r="AP56" s="820"/>
      <c r="AQ56" s="93"/>
      <c r="AR56" s="93"/>
      <c r="AS56" s="93"/>
      <c r="AT56" s="93"/>
      <c r="AU56" s="93"/>
      <c r="AV56" s="93"/>
      <c r="AW56" s="93"/>
      <c r="AX56" s="93"/>
      <c r="AY56" s="93"/>
      <c r="AZ56" s="93"/>
      <c r="BA56" s="93"/>
      <c r="BB56" s="93"/>
      <c r="BC56" s="93"/>
      <c r="BD56" s="93"/>
      <c r="BE56" s="93"/>
      <c r="BF56" s="93"/>
      <c r="BG56" s="93"/>
      <c r="BH56" s="93"/>
      <c r="BI56" s="93"/>
      <c r="BJ56" s="93"/>
      <c r="BK56" s="93"/>
      <c r="BL56" s="93"/>
      <c r="BM56" s="93"/>
      <c r="BN56" s="93"/>
      <c r="BT56" s="93"/>
      <c r="BU56" s="93"/>
      <c r="BV56" s="93"/>
      <c r="BW56" s="93"/>
      <c r="BX56" s="93"/>
      <c r="BY56" s="93"/>
      <c r="BZ56" s="93"/>
      <c r="CA56" s="93"/>
      <c r="CB56" s="93"/>
      <c r="CC56" s="93"/>
      <c r="CD56" s="93"/>
      <c r="CE56" s="93"/>
      <c r="CF56" s="93"/>
      <c r="CG56" s="93"/>
      <c r="CH56" s="93"/>
      <c r="CI56" s="93"/>
      <c r="CJ56" s="93"/>
      <c r="CK56" s="93"/>
      <c r="CL56" s="93"/>
      <c r="CM56" s="93"/>
      <c r="CN56" s="93"/>
      <c r="CO56" s="93"/>
      <c r="CP56" s="93"/>
      <c r="CQ56" s="93"/>
      <c r="CR56" s="93"/>
      <c r="CS56" s="93"/>
      <c r="CT56" s="93"/>
      <c r="CU56" s="93"/>
      <c r="CV56" s="93"/>
      <c r="CW56" s="93"/>
      <c r="CX56" s="93"/>
      <c r="CY56" s="93"/>
      <c r="CZ56" s="93"/>
      <c r="DA56" s="93"/>
      <c r="DB56" s="93"/>
      <c r="DC56" s="93"/>
      <c r="DD56" s="93"/>
      <c r="DE56" s="93"/>
      <c r="DF56" s="93"/>
      <c r="DG56" s="93"/>
      <c r="DH56" s="93"/>
      <c r="DI56" s="826"/>
      <c r="DJ56" s="825"/>
      <c r="DK56" s="825"/>
      <c r="GO56" s="92"/>
      <c r="GP56" s="831"/>
    </row>
    <row r="57" spans="1:198" s="806" customFormat="1" ht="15">
      <c r="D57" s="1059"/>
      <c r="E57" s="1038" t="s">
        <v>53</v>
      </c>
      <c r="G57" s="827"/>
      <c r="H57" s="809" t="s">
        <v>8305</v>
      </c>
      <c r="I57" s="92">
        <v>23</v>
      </c>
      <c r="J57" s="92" t="s">
        <v>18</v>
      </c>
      <c r="K57" s="92" t="s">
        <v>768</v>
      </c>
      <c r="L57" s="810">
        <v>7</v>
      </c>
      <c r="M57" s="811" t="str">
        <f t="shared" si="5"/>
        <v>College Graduate or Higher</v>
      </c>
      <c r="N57" s="92"/>
      <c r="O57" s="92"/>
      <c r="P57" s="1638"/>
      <c r="Q57" s="92"/>
      <c r="R57" s="92"/>
      <c r="S57" s="848"/>
      <c r="T57" s="820"/>
      <c r="U57" s="820"/>
      <c r="V57" s="829"/>
      <c r="W57" s="815"/>
      <c r="X57" s="811" t="str">
        <f t="shared" si="6"/>
        <v/>
      </c>
      <c r="Y57" s="816"/>
      <c r="Z57" s="816"/>
      <c r="AA57" s="816"/>
      <c r="AB57" s="829"/>
      <c r="AC57" s="809"/>
      <c r="AD57" s="824"/>
      <c r="AE57" s="93"/>
      <c r="AF57" s="818"/>
      <c r="AG57" s="807" t="str">
        <f t="shared" si="4"/>
        <v/>
      </c>
      <c r="AH57" s="817"/>
      <c r="AI57" s="817"/>
      <c r="AJ57" s="817"/>
      <c r="AK57" s="92"/>
      <c r="AL57" s="92"/>
      <c r="AM57" s="819"/>
      <c r="AN57" s="820"/>
      <c r="AO57" s="817"/>
      <c r="AP57" s="820"/>
      <c r="AQ57" s="93"/>
      <c r="AR57" s="93"/>
      <c r="AS57" s="93"/>
      <c r="AT57" s="93"/>
      <c r="AU57" s="93"/>
      <c r="AV57" s="93"/>
      <c r="AW57" s="93"/>
      <c r="AX57" s="93"/>
      <c r="AY57" s="93"/>
      <c r="AZ57" s="93"/>
      <c r="BA57" s="93"/>
      <c r="BB57" s="93"/>
      <c r="BC57" s="93"/>
      <c r="BD57" s="93"/>
      <c r="BE57" s="93"/>
      <c r="BF57" s="93"/>
      <c r="BG57" s="93"/>
      <c r="BH57" s="93"/>
      <c r="BI57" s="93"/>
      <c r="BJ57" s="93"/>
      <c r="BK57" s="93"/>
      <c r="BL57" s="93"/>
      <c r="BM57" s="93"/>
      <c r="BN57" s="93"/>
      <c r="BT57" s="93"/>
      <c r="BU57" s="93"/>
      <c r="BV57" s="93"/>
      <c r="BW57" s="93"/>
      <c r="BX57" s="93"/>
      <c r="BY57" s="93"/>
      <c r="BZ57" s="93"/>
      <c r="CA57" s="93"/>
      <c r="CB57" s="93"/>
      <c r="CC57" s="93"/>
      <c r="CD57" s="93"/>
      <c r="CE57" s="93"/>
      <c r="CF57" s="93"/>
      <c r="CG57" s="93"/>
      <c r="CH57" s="93"/>
      <c r="CI57" s="93"/>
      <c r="CJ57" s="93"/>
      <c r="CK57" s="93"/>
      <c r="CL57" s="93"/>
      <c r="CM57" s="93"/>
      <c r="CN57" s="93"/>
      <c r="CO57" s="93"/>
      <c r="CP57" s="93"/>
      <c r="CQ57" s="93"/>
      <c r="CR57" s="93"/>
      <c r="CS57" s="93"/>
      <c r="CT57" s="93"/>
      <c r="CU57" s="93"/>
      <c r="CV57" s="93"/>
      <c r="CW57" s="93"/>
      <c r="CX57" s="93"/>
      <c r="CY57" s="93"/>
      <c r="CZ57" s="93"/>
      <c r="DA57" s="93"/>
      <c r="DB57" s="93"/>
      <c r="DC57" s="93"/>
      <c r="DD57" s="93"/>
      <c r="DE57" s="93"/>
      <c r="DF57" s="93"/>
      <c r="DG57" s="93"/>
      <c r="DH57" s="93"/>
      <c r="DI57" s="826"/>
      <c r="DJ57" s="825"/>
      <c r="DK57" s="825"/>
      <c r="GO57" s="92"/>
      <c r="GP57" s="831"/>
    </row>
    <row r="58" spans="1:198" s="806" customFormat="1" ht="15">
      <c r="D58" s="1059"/>
      <c r="E58" s="1038" t="s">
        <v>53</v>
      </c>
      <c r="G58" s="827"/>
      <c r="H58" s="809" t="s">
        <v>8306</v>
      </c>
      <c r="I58" s="92">
        <v>7</v>
      </c>
      <c r="J58" s="92" t="s">
        <v>18</v>
      </c>
      <c r="K58" s="92" t="s">
        <v>768</v>
      </c>
      <c r="L58" s="810">
        <v>2</v>
      </c>
      <c r="M58" s="811" t="str">
        <f t="shared" si="5"/>
        <v>Elementary Level</v>
      </c>
      <c r="N58" s="92"/>
      <c r="O58" s="92"/>
      <c r="P58" s="1638"/>
      <c r="Q58" s="92"/>
      <c r="R58" s="92"/>
      <c r="S58" s="848"/>
      <c r="T58" s="820"/>
      <c r="U58" s="820"/>
      <c r="V58" s="829">
        <f>SUM(S54:U58)</f>
        <v>13000</v>
      </c>
      <c r="W58" s="815"/>
      <c r="X58" s="811" t="str">
        <f t="shared" si="6"/>
        <v/>
      </c>
      <c r="Y58" s="816"/>
      <c r="Z58" s="816"/>
      <c r="AA58" s="816"/>
      <c r="AB58" s="829">
        <f>SUM(Y54:AA58)</f>
        <v>0</v>
      </c>
      <c r="AC58" s="809"/>
      <c r="AD58" s="824"/>
      <c r="AE58" s="93" t="s">
        <v>8307</v>
      </c>
      <c r="AF58" s="818">
        <v>4</v>
      </c>
      <c r="AG58" s="807" t="str">
        <f t="shared" si="4"/>
        <v>Serious Illness</v>
      </c>
      <c r="AH58" s="817"/>
      <c r="AI58" s="817"/>
      <c r="AJ58" s="817"/>
      <c r="AK58" s="92"/>
      <c r="AL58" s="92"/>
      <c r="AM58" s="819"/>
      <c r="AN58" s="820"/>
      <c r="AO58" s="817"/>
      <c r="AP58" s="820"/>
      <c r="AQ58" s="93"/>
      <c r="AR58" s="93"/>
      <c r="AS58" s="93"/>
      <c r="AT58" s="93"/>
      <c r="AU58" s="93"/>
      <c r="AV58" s="93"/>
      <c r="AW58" s="93"/>
      <c r="AX58" s="93"/>
      <c r="AY58" s="93"/>
      <c r="AZ58" s="93"/>
      <c r="BA58" s="93"/>
      <c r="BB58" s="93"/>
      <c r="BC58" s="93"/>
      <c r="BD58" s="93"/>
      <c r="BE58" s="93"/>
      <c r="BF58" s="93"/>
      <c r="BG58" s="93"/>
      <c r="BH58" s="93"/>
      <c r="BI58" s="93"/>
      <c r="BJ58" s="93"/>
      <c r="BK58" s="93"/>
      <c r="BL58" s="93"/>
      <c r="BM58" s="93"/>
      <c r="BN58" s="93"/>
      <c r="BT58" s="93"/>
      <c r="BU58" s="93"/>
      <c r="BV58" s="93"/>
      <c r="BW58" s="93"/>
      <c r="BX58" s="93"/>
      <c r="BY58" s="93"/>
      <c r="BZ58" s="93"/>
      <c r="CA58" s="93"/>
      <c r="CB58" s="93"/>
      <c r="CC58" s="93"/>
      <c r="CD58" s="93"/>
      <c r="CE58" s="93"/>
      <c r="CF58" s="93"/>
      <c r="CG58" s="93"/>
      <c r="CH58" s="93"/>
      <c r="CI58" s="93"/>
      <c r="CJ58" s="93"/>
      <c r="CK58" s="93"/>
      <c r="CL58" s="93"/>
      <c r="CM58" s="93"/>
      <c r="CN58" s="93"/>
      <c r="CO58" s="93"/>
      <c r="CP58" s="93"/>
      <c r="CQ58" s="93"/>
      <c r="CR58" s="93"/>
      <c r="CS58" s="93"/>
      <c r="CT58" s="93"/>
      <c r="CU58" s="93"/>
      <c r="CV58" s="93"/>
      <c r="CW58" s="93"/>
      <c r="CX58" s="93"/>
      <c r="CY58" s="93"/>
      <c r="CZ58" s="93"/>
      <c r="DA58" s="93"/>
      <c r="DB58" s="93"/>
      <c r="DC58" s="93"/>
      <c r="DD58" s="93"/>
      <c r="DE58" s="93"/>
      <c r="DF58" s="93"/>
      <c r="DG58" s="93"/>
      <c r="DH58" s="93"/>
      <c r="DI58" s="826"/>
      <c r="DJ58" s="825"/>
      <c r="DK58" s="825"/>
      <c r="GO58" s="92"/>
      <c r="GP58" s="831"/>
    </row>
    <row r="59" spans="1:198" s="806" customFormat="1" ht="15">
      <c r="A59" s="19" t="s">
        <v>7421</v>
      </c>
      <c r="B59" s="288" t="s">
        <v>12272</v>
      </c>
      <c r="C59" s="167" t="s">
        <v>53</v>
      </c>
      <c r="D59" s="1059" t="s">
        <v>8308</v>
      </c>
      <c r="G59" s="809" t="s">
        <v>53</v>
      </c>
      <c r="H59" s="809" t="s">
        <v>2047</v>
      </c>
      <c r="I59" s="92">
        <v>39</v>
      </c>
      <c r="J59" s="92" t="s">
        <v>10</v>
      </c>
      <c r="K59" s="92" t="s">
        <v>707</v>
      </c>
      <c r="L59" s="810">
        <v>2</v>
      </c>
      <c r="M59" s="811" t="str">
        <f t="shared" si="5"/>
        <v>Elementary Level</v>
      </c>
      <c r="N59" s="92" t="s">
        <v>1208</v>
      </c>
      <c r="O59" s="92" t="s">
        <v>8309</v>
      </c>
      <c r="P59" s="1638" t="s">
        <v>12606</v>
      </c>
      <c r="Q59" s="92" t="s">
        <v>8309</v>
      </c>
      <c r="R59" s="92" t="s">
        <v>8234</v>
      </c>
      <c r="S59" s="820">
        <v>16000</v>
      </c>
      <c r="T59" s="820"/>
      <c r="U59" s="820"/>
      <c r="V59" s="837"/>
      <c r="W59" s="838">
        <v>3</v>
      </c>
      <c r="X59" s="811" t="str">
        <f t="shared" si="6"/>
        <v>within the Province</v>
      </c>
      <c r="Y59" s="836">
        <v>800</v>
      </c>
      <c r="AA59" s="836"/>
      <c r="AB59" s="837"/>
      <c r="AC59" s="809" t="s">
        <v>8310</v>
      </c>
      <c r="AD59" s="824"/>
      <c r="AE59" s="93"/>
      <c r="AF59" s="818"/>
      <c r="AG59" s="807" t="str">
        <f t="shared" si="4"/>
        <v/>
      </c>
      <c r="AH59" s="817"/>
      <c r="AI59" s="817"/>
      <c r="AJ59" s="817"/>
      <c r="AK59" s="92"/>
      <c r="AL59" s="92"/>
      <c r="AM59" s="819"/>
      <c r="AN59" s="820"/>
      <c r="AO59" s="817"/>
      <c r="AP59" s="820"/>
      <c r="AQ59" s="93"/>
      <c r="AR59" s="93"/>
      <c r="AS59" s="93"/>
      <c r="AT59" s="93"/>
      <c r="AU59" s="93"/>
      <c r="AV59" s="93"/>
      <c r="AW59" s="93"/>
      <c r="AX59" s="93"/>
      <c r="AY59" s="93"/>
      <c r="AZ59" s="93"/>
      <c r="BA59" s="93"/>
      <c r="BB59" s="93"/>
      <c r="BC59" s="93"/>
      <c r="BD59" s="93"/>
      <c r="BE59" s="93"/>
      <c r="BF59" s="93"/>
      <c r="BG59" s="93"/>
      <c r="BH59" s="93"/>
      <c r="BI59" s="93"/>
      <c r="BJ59" s="93"/>
      <c r="BK59" s="93"/>
      <c r="BL59" s="93"/>
      <c r="BM59" s="93"/>
      <c r="BN59" s="93"/>
      <c r="BT59" s="93"/>
      <c r="BU59" s="93"/>
      <c r="BV59" s="93"/>
      <c r="BW59" s="93"/>
      <c r="BX59" s="93"/>
      <c r="BY59" s="93"/>
      <c r="BZ59" s="93"/>
      <c r="CA59" s="93"/>
      <c r="CB59" s="93"/>
      <c r="CC59" s="93"/>
      <c r="CD59" s="93"/>
      <c r="CE59" s="93"/>
      <c r="CF59" s="93"/>
      <c r="CG59" s="93"/>
      <c r="CH59" s="93"/>
      <c r="CI59" s="93"/>
      <c r="CJ59" s="93"/>
      <c r="CK59" s="93"/>
      <c r="CL59" s="93"/>
      <c r="CM59" s="93"/>
      <c r="CN59" s="93"/>
      <c r="CO59" s="93"/>
      <c r="CP59" s="93"/>
      <c r="CQ59" s="93"/>
      <c r="CR59" s="93"/>
      <c r="CS59" s="93"/>
      <c r="CT59" s="93"/>
      <c r="CU59" s="93"/>
      <c r="CV59" s="93"/>
      <c r="CW59" s="93"/>
      <c r="CX59" s="93"/>
      <c r="CY59" s="93"/>
      <c r="CZ59" s="93"/>
      <c r="DA59" s="93"/>
      <c r="DB59" s="93"/>
      <c r="DC59" s="93"/>
      <c r="DD59" s="93"/>
      <c r="DE59" s="93"/>
      <c r="DF59" s="93"/>
      <c r="DG59" s="93"/>
      <c r="DH59" s="93"/>
      <c r="DI59" s="826"/>
      <c r="DJ59" s="825"/>
      <c r="DK59" s="825"/>
      <c r="GO59" s="92"/>
      <c r="GP59" s="831"/>
    </row>
    <row r="60" spans="1:198" s="806" customFormat="1" ht="15">
      <c r="A60" s="19" t="s">
        <v>7421</v>
      </c>
      <c r="B60" s="6"/>
      <c r="C60" s="6"/>
      <c r="D60" s="1059" t="s">
        <v>8308</v>
      </c>
      <c r="G60" s="827"/>
      <c r="H60" s="809" t="s">
        <v>8311</v>
      </c>
      <c r="I60" s="92">
        <v>35</v>
      </c>
      <c r="J60" s="92" t="s">
        <v>18</v>
      </c>
      <c r="K60" s="92" t="s">
        <v>707</v>
      </c>
      <c r="L60" s="810">
        <v>2</v>
      </c>
      <c r="M60" s="811" t="str">
        <f t="shared" si="5"/>
        <v>Elementary Level</v>
      </c>
      <c r="N60" s="92" t="s">
        <v>1208</v>
      </c>
      <c r="O60" s="92" t="s">
        <v>8312</v>
      </c>
      <c r="P60" s="1638"/>
      <c r="Q60" s="92" t="s">
        <v>8312</v>
      </c>
      <c r="R60" s="92"/>
      <c r="S60" s="836"/>
      <c r="T60" s="813"/>
      <c r="U60" s="820">
        <f>SUM(3200, 2500)</f>
        <v>5700</v>
      </c>
      <c r="V60" s="837"/>
      <c r="W60" s="838">
        <v>2</v>
      </c>
      <c r="X60" s="811" t="str">
        <f t="shared" si="6"/>
        <v>within the Municipality/City</v>
      </c>
      <c r="Y60" s="836"/>
      <c r="AA60" s="836"/>
      <c r="AB60" s="837"/>
      <c r="AC60" s="809" t="s">
        <v>8313</v>
      </c>
      <c r="AD60" s="824"/>
      <c r="AE60" s="93"/>
      <c r="AF60" s="818"/>
      <c r="AG60" s="807" t="str">
        <f t="shared" si="4"/>
        <v/>
      </c>
      <c r="AH60" s="817"/>
      <c r="AI60" s="817"/>
      <c r="AJ60" s="817"/>
      <c r="AK60" s="92"/>
      <c r="AL60" s="92"/>
      <c r="AM60" s="819"/>
      <c r="AN60" s="820"/>
      <c r="AO60" s="817"/>
      <c r="AP60" s="820"/>
      <c r="AQ60" s="93"/>
      <c r="AR60" s="93"/>
      <c r="AS60" s="93"/>
      <c r="AT60" s="93"/>
      <c r="AU60" s="93"/>
      <c r="AV60" s="93"/>
      <c r="AW60" s="93"/>
      <c r="AX60" s="93"/>
      <c r="AY60" s="93"/>
      <c r="AZ60" s="93"/>
      <c r="BA60" s="93"/>
      <c r="BB60" s="93"/>
      <c r="BC60" s="93"/>
      <c r="BD60" s="93"/>
      <c r="BE60" s="93"/>
      <c r="BF60" s="93"/>
      <c r="BG60" s="93"/>
      <c r="BH60" s="93"/>
      <c r="BI60" s="93"/>
      <c r="BJ60" s="93"/>
      <c r="BK60" s="93"/>
      <c r="BL60" s="93"/>
      <c r="BM60" s="93"/>
      <c r="BN60" s="93"/>
      <c r="BT60" s="93"/>
      <c r="BU60" s="93"/>
      <c r="BV60" s="93"/>
      <c r="BW60" s="93"/>
      <c r="BX60" s="93"/>
      <c r="BY60" s="93"/>
      <c r="BZ60" s="93"/>
      <c r="CA60" s="93"/>
      <c r="CB60" s="93"/>
      <c r="CC60" s="93"/>
      <c r="CD60" s="93"/>
      <c r="CE60" s="93"/>
      <c r="CF60" s="93"/>
      <c r="CG60" s="93"/>
      <c r="CH60" s="93"/>
      <c r="CI60" s="93"/>
      <c r="CJ60" s="93"/>
      <c r="CK60" s="93"/>
      <c r="CL60" s="93"/>
      <c r="CM60" s="93"/>
      <c r="CN60" s="93"/>
      <c r="CO60" s="93"/>
      <c r="CP60" s="93"/>
      <c r="CQ60" s="93"/>
      <c r="CR60" s="93"/>
      <c r="CS60" s="93"/>
      <c r="CT60" s="93"/>
      <c r="CU60" s="93"/>
      <c r="CV60" s="93"/>
      <c r="CW60" s="93"/>
      <c r="CX60" s="93"/>
      <c r="CY60" s="93"/>
      <c r="CZ60" s="93"/>
      <c r="DA60" s="93"/>
      <c r="DB60" s="93"/>
      <c r="DC60" s="93"/>
      <c r="DD60" s="93"/>
      <c r="DE60" s="93"/>
      <c r="DF60" s="93"/>
      <c r="DG60" s="93"/>
      <c r="DH60" s="93"/>
      <c r="DI60" s="826"/>
      <c r="DJ60" s="825"/>
      <c r="DK60" s="825"/>
      <c r="GO60" s="92"/>
      <c r="GP60" s="831"/>
    </row>
    <row r="61" spans="1:198" ht="15">
      <c r="A61" s="19" t="s">
        <v>7421</v>
      </c>
      <c r="B61" s="6"/>
      <c r="C61" s="6"/>
      <c r="D61" s="1059" t="s">
        <v>8308</v>
      </c>
      <c r="G61" s="827"/>
      <c r="H61" s="809" t="s">
        <v>8314</v>
      </c>
      <c r="I61" s="92">
        <v>17</v>
      </c>
      <c r="J61" s="92" t="s">
        <v>10</v>
      </c>
      <c r="K61" s="92" t="s">
        <v>768</v>
      </c>
      <c r="L61" s="810">
        <v>11</v>
      </c>
      <c r="M61" s="811" t="str">
        <f t="shared" si="5"/>
        <v>Junior/Senior High School</v>
      </c>
      <c r="O61" s="92"/>
      <c r="P61" s="1638"/>
      <c r="Q61" s="92"/>
      <c r="R61" s="92"/>
      <c r="S61" s="848"/>
      <c r="T61" s="820"/>
      <c r="U61" s="820"/>
      <c r="V61" s="834"/>
      <c r="X61" s="811" t="str">
        <f t="shared" si="6"/>
        <v/>
      </c>
      <c r="AB61" s="834"/>
      <c r="AC61" s="809"/>
      <c r="AD61" s="824"/>
      <c r="AG61" s="807" t="str">
        <f t="shared" si="4"/>
        <v/>
      </c>
      <c r="AI61" s="817"/>
      <c r="AJ61" s="817"/>
      <c r="AK61" s="92"/>
      <c r="AM61" s="819"/>
      <c r="AN61" s="820"/>
      <c r="AQ61" s="93"/>
      <c r="AR61" s="93"/>
      <c r="AS61" s="93"/>
      <c r="AT61" s="93"/>
      <c r="AU61" s="93"/>
      <c r="AV61" s="93"/>
      <c r="AW61" s="93"/>
      <c r="AX61" s="93"/>
      <c r="AY61" s="93"/>
      <c r="AZ61" s="93"/>
      <c r="BA61" s="93"/>
      <c r="BB61" s="93"/>
      <c r="BL61" s="93"/>
      <c r="BM61" s="93"/>
      <c r="BT61" s="93"/>
      <c r="BU61" s="93"/>
      <c r="BV61" s="93"/>
      <c r="BW61" s="93"/>
      <c r="BX61" s="93"/>
      <c r="BY61" s="93"/>
      <c r="BZ61" s="93"/>
      <c r="CA61" s="93"/>
      <c r="CB61" s="93"/>
      <c r="CC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row>
    <row r="62" spans="1:198" s="806" customFormat="1" ht="15">
      <c r="A62" s="19" t="s">
        <v>7421</v>
      </c>
      <c r="B62" s="6"/>
      <c r="C62" s="6"/>
      <c r="D62" s="1059" t="s">
        <v>8308</v>
      </c>
      <c r="G62" s="827"/>
      <c r="H62" s="809" t="s">
        <v>8315</v>
      </c>
      <c r="I62" s="92">
        <v>13</v>
      </c>
      <c r="J62" s="92" t="s">
        <v>10</v>
      </c>
      <c r="K62" s="92" t="s">
        <v>768</v>
      </c>
      <c r="L62" s="810">
        <v>1</v>
      </c>
      <c r="M62" s="811" t="str">
        <f t="shared" si="5"/>
        <v>Pre-school</v>
      </c>
      <c r="N62" s="92"/>
      <c r="O62" s="92"/>
      <c r="P62" s="1638"/>
      <c r="Q62" s="92"/>
      <c r="R62" s="92"/>
      <c r="S62" s="848"/>
      <c r="T62" s="820"/>
      <c r="U62" s="820"/>
      <c r="V62" s="834"/>
      <c r="W62" s="815"/>
      <c r="X62" s="811" t="str">
        <f t="shared" si="6"/>
        <v/>
      </c>
      <c r="Y62" s="816"/>
      <c r="AA62" s="816"/>
      <c r="AB62" s="834"/>
      <c r="AC62" s="809"/>
      <c r="AD62" s="824"/>
      <c r="AE62" s="93"/>
      <c r="AF62" s="818"/>
      <c r="AG62" s="807" t="str">
        <f t="shared" si="4"/>
        <v/>
      </c>
      <c r="AH62" s="817"/>
      <c r="AI62" s="817"/>
      <c r="AJ62" s="817"/>
      <c r="AK62" s="92"/>
      <c r="AL62" s="92"/>
      <c r="AM62" s="819"/>
      <c r="AN62" s="820"/>
      <c r="AO62" s="817"/>
      <c r="AP62" s="820"/>
      <c r="AQ62" s="93"/>
      <c r="AR62" s="93"/>
      <c r="AS62" s="93"/>
      <c r="AT62" s="93"/>
      <c r="AU62" s="93"/>
      <c r="AV62" s="93"/>
      <c r="AW62" s="93"/>
      <c r="AX62" s="93"/>
      <c r="AY62" s="93"/>
      <c r="AZ62" s="93"/>
      <c r="BA62" s="93"/>
      <c r="BB62" s="93"/>
      <c r="BC62" s="93"/>
      <c r="BD62" s="93"/>
      <c r="BE62" s="93"/>
      <c r="BF62" s="93"/>
      <c r="BG62" s="93"/>
      <c r="BH62" s="93"/>
      <c r="BI62" s="93"/>
      <c r="BJ62" s="93"/>
      <c r="BK62" s="93"/>
      <c r="BL62" s="93"/>
      <c r="BM62" s="93"/>
      <c r="BN62" s="93"/>
      <c r="BT62" s="93"/>
      <c r="BU62" s="93"/>
      <c r="BV62" s="93"/>
      <c r="BW62" s="93"/>
      <c r="BX62" s="93"/>
      <c r="BY62" s="93"/>
      <c r="BZ62" s="93"/>
      <c r="CA62" s="93"/>
      <c r="CB62" s="93"/>
      <c r="CC62" s="93"/>
      <c r="CD62" s="93"/>
      <c r="CE62" s="93"/>
      <c r="CF62" s="93"/>
      <c r="CG62" s="93"/>
      <c r="CH62" s="93"/>
      <c r="CI62" s="93"/>
      <c r="CJ62" s="93"/>
      <c r="CK62" s="93"/>
      <c r="CL62" s="93"/>
      <c r="CM62" s="93"/>
      <c r="CN62" s="93"/>
      <c r="CO62" s="93"/>
      <c r="CP62" s="93"/>
      <c r="CQ62" s="93"/>
      <c r="CR62" s="93"/>
      <c r="CS62" s="93"/>
      <c r="CT62" s="93"/>
      <c r="CU62" s="93"/>
      <c r="CV62" s="93"/>
      <c r="CW62" s="93"/>
      <c r="CX62" s="93"/>
      <c r="CY62" s="93"/>
      <c r="CZ62" s="93"/>
      <c r="DA62" s="93"/>
      <c r="DB62" s="93"/>
      <c r="DC62" s="93"/>
      <c r="DD62" s="93"/>
      <c r="DE62" s="93"/>
      <c r="DF62" s="93"/>
      <c r="DG62" s="93"/>
      <c r="DH62" s="93"/>
      <c r="DI62" s="826"/>
      <c r="DJ62" s="825"/>
      <c r="DK62" s="825"/>
      <c r="GO62" s="92"/>
      <c r="GP62" s="831"/>
    </row>
    <row r="63" spans="1:198" s="806" customFormat="1" ht="15">
      <c r="A63" s="19" t="s">
        <v>7421</v>
      </c>
      <c r="B63" s="6"/>
      <c r="C63" s="6"/>
      <c r="D63" s="1059" t="s">
        <v>8308</v>
      </c>
      <c r="G63" s="827"/>
      <c r="H63" s="809" t="s">
        <v>2047</v>
      </c>
      <c r="I63" s="92">
        <v>5</v>
      </c>
      <c r="J63" s="92" t="s">
        <v>10</v>
      </c>
      <c r="K63" s="92" t="s">
        <v>768</v>
      </c>
      <c r="L63" s="810">
        <v>0</v>
      </c>
      <c r="M63" s="811" t="str">
        <f t="shared" si="5"/>
        <v>No Schooling</v>
      </c>
      <c r="N63" s="92"/>
      <c r="O63" s="92"/>
      <c r="P63" s="1638"/>
      <c r="Q63" s="92"/>
      <c r="R63" s="92"/>
      <c r="S63" s="848"/>
      <c r="T63" s="820"/>
      <c r="U63" s="820"/>
      <c r="V63" s="834"/>
      <c r="W63" s="815"/>
      <c r="X63" s="811" t="str">
        <f t="shared" si="6"/>
        <v/>
      </c>
      <c r="Y63" s="816"/>
      <c r="AA63" s="816"/>
      <c r="AB63" s="834"/>
      <c r="AC63" s="809"/>
      <c r="AD63" s="852"/>
      <c r="AE63" s="6"/>
      <c r="AF63" s="818"/>
      <c r="AG63" s="807" t="str">
        <f t="shared" si="4"/>
        <v/>
      </c>
      <c r="AH63" s="853"/>
      <c r="AI63" s="853"/>
      <c r="AJ63" s="853"/>
      <c r="AK63" s="843"/>
      <c r="AL63" s="843"/>
      <c r="AM63" s="844"/>
      <c r="AN63" s="845"/>
      <c r="AO63" s="853"/>
      <c r="AP63" s="845"/>
      <c r="AQ63" s="6"/>
      <c r="AR63" s="6"/>
      <c r="AS63" s="6"/>
      <c r="AT63" s="6"/>
      <c r="AU63" s="6"/>
      <c r="AV63" s="6"/>
      <c r="AW63" s="6"/>
      <c r="AX63" s="6"/>
      <c r="AY63" s="6"/>
      <c r="AZ63" s="6"/>
      <c r="BA63" s="6"/>
      <c r="BB63" s="6"/>
      <c r="BC63" s="6"/>
      <c r="BD63" s="6"/>
      <c r="BE63" s="6"/>
      <c r="BF63" s="6"/>
      <c r="BG63" s="6"/>
      <c r="BH63" s="6"/>
      <c r="BI63" s="6"/>
      <c r="BJ63" s="6"/>
      <c r="BK63" s="6"/>
      <c r="BL63" s="6"/>
      <c r="BM63" s="6"/>
      <c r="BN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826"/>
      <c r="DJ63" s="825"/>
      <c r="DK63" s="825"/>
      <c r="GO63" s="92"/>
      <c r="GP63" s="831"/>
    </row>
    <row r="64" spans="1:198" s="806" customFormat="1" ht="15">
      <c r="A64" s="19" t="s">
        <v>7421</v>
      </c>
      <c r="B64" s="6"/>
      <c r="C64" s="6"/>
      <c r="D64" s="1059" t="s">
        <v>8308</v>
      </c>
      <c r="G64" s="827"/>
      <c r="H64" s="846" t="s">
        <v>8316</v>
      </c>
      <c r="I64" s="843">
        <v>2</v>
      </c>
      <c r="J64" s="843" t="s">
        <v>18</v>
      </c>
      <c r="K64" s="92" t="s">
        <v>768</v>
      </c>
      <c r="L64" s="810">
        <v>10</v>
      </c>
      <c r="M64" s="811" t="str">
        <f t="shared" si="5"/>
        <v>Not In School Age</v>
      </c>
      <c r="N64" s="843"/>
      <c r="O64" s="92"/>
      <c r="P64" s="1638"/>
      <c r="Q64" s="92"/>
      <c r="R64" s="92"/>
      <c r="S64" s="854"/>
      <c r="T64" s="845"/>
      <c r="U64" s="845"/>
      <c r="V64" s="855"/>
      <c r="W64" s="815"/>
      <c r="X64" s="811" t="str">
        <f t="shared" si="6"/>
        <v/>
      </c>
      <c r="Y64" s="64"/>
      <c r="AA64" s="64"/>
      <c r="AB64" s="855"/>
      <c r="AC64" s="846"/>
      <c r="AD64" s="824"/>
      <c r="AE64" s="93"/>
      <c r="AF64" s="818"/>
      <c r="AG64" s="807" t="str">
        <f t="shared" si="4"/>
        <v/>
      </c>
      <c r="AH64" s="807"/>
      <c r="AI64" s="807"/>
      <c r="AJ64" s="807"/>
      <c r="AK64" s="92"/>
      <c r="AL64" s="92"/>
      <c r="AM64" s="819"/>
      <c r="AN64" s="820"/>
      <c r="AO64" s="817"/>
      <c r="AP64" s="820"/>
      <c r="AQ64" s="93"/>
      <c r="AR64" s="93"/>
      <c r="AS64" s="93"/>
      <c r="AT64" s="93"/>
      <c r="AU64" s="93"/>
      <c r="AV64" s="93"/>
      <c r="AW64" s="93"/>
      <c r="AX64" s="93"/>
      <c r="AY64" s="93"/>
      <c r="AZ64" s="93"/>
      <c r="BA64" s="93"/>
      <c r="BB64" s="93"/>
      <c r="BC64" s="93"/>
      <c r="BD64" s="93"/>
      <c r="BE64" s="93"/>
      <c r="BF64" s="93"/>
      <c r="BG64" s="93"/>
      <c r="BH64" s="93"/>
      <c r="BI64" s="93"/>
      <c r="BJ64" s="93"/>
      <c r="BK64" s="93"/>
      <c r="BL64" s="93"/>
      <c r="BM64" s="93"/>
      <c r="BN64" s="93"/>
      <c r="BT64" s="93"/>
      <c r="BU64" s="93"/>
      <c r="BV64" s="93"/>
      <c r="BW64" s="93"/>
      <c r="BX64" s="93"/>
      <c r="BY64" s="93"/>
      <c r="BZ64" s="93"/>
      <c r="CA64" s="93"/>
      <c r="CB64" s="93"/>
      <c r="CC64" s="93"/>
      <c r="CD64" s="93"/>
      <c r="CE64" s="93"/>
      <c r="CF64" s="93"/>
      <c r="CG64" s="93"/>
      <c r="CH64" s="93"/>
      <c r="CI64" s="93"/>
      <c r="CJ64" s="93"/>
      <c r="CK64" s="93"/>
      <c r="CL64" s="93"/>
      <c r="CM64" s="93"/>
      <c r="CN64" s="93"/>
      <c r="CO64" s="93"/>
      <c r="CP64" s="93"/>
      <c r="CQ64" s="93"/>
      <c r="CR64" s="93"/>
      <c r="CS64" s="93"/>
      <c r="CT64" s="93"/>
      <c r="CU64" s="93"/>
      <c r="CV64" s="93"/>
      <c r="CW64" s="93"/>
      <c r="CX64" s="93"/>
      <c r="CY64" s="93"/>
      <c r="CZ64" s="93"/>
      <c r="DA64" s="93"/>
      <c r="DB64" s="93"/>
      <c r="DC64" s="93"/>
      <c r="DD64" s="93"/>
      <c r="DE64" s="93"/>
      <c r="DF64" s="93"/>
      <c r="DG64" s="93"/>
      <c r="DH64" s="93"/>
      <c r="DI64" s="826"/>
      <c r="DJ64" s="825"/>
      <c r="DK64" s="825"/>
      <c r="GO64" s="92"/>
      <c r="GP64" s="831"/>
    </row>
    <row r="65" spans="1:198" ht="15">
      <c r="A65" s="19" t="s">
        <v>7421</v>
      </c>
      <c r="B65" s="288" t="s">
        <v>11955</v>
      </c>
      <c r="C65" s="167" t="s">
        <v>60</v>
      </c>
      <c r="D65" s="1059" t="s">
        <v>60</v>
      </c>
      <c r="E65" s="1038" t="s">
        <v>60</v>
      </c>
      <c r="F65" s="1047" t="s">
        <v>2048</v>
      </c>
      <c r="G65" s="809" t="s">
        <v>60</v>
      </c>
      <c r="H65" s="809" t="s">
        <v>2048</v>
      </c>
      <c r="I65" s="92">
        <v>20</v>
      </c>
      <c r="J65" s="92" t="s">
        <v>10</v>
      </c>
      <c r="K65" s="92" t="s">
        <v>722</v>
      </c>
      <c r="L65" s="810">
        <v>4</v>
      </c>
      <c r="M65" s="811" t="str">
        <f t="shared" si="5"/>
        <v>High School Level</v>
      </c>
      <c r="N65" s="92" t="s">
        <v>1208</v>
      </c>
      <c r="O65" s="812" t="s">
        <v>8317</v>
      </c>
      <c r="P65" s="1638" t="s">
        <v>12606</v>
      </c>
      <c r="Q65" s="812" t="s">
        <v>8317</v>
      </c>
      <c r="R65" s="92" t="s">
        <v>8234</v>
      </c>
      <c r="S65" s="820">
        <v>8000</v>
      </c>
      <c r="T65" s="820"/>
      <c r="U65" s="820"/>
      <c r="V65" s="830"/>
      <c r="W65" s="815">
        <v>3</v>
      </c>
      <c r="X65" s="811" t="str">
        <f t="shared" si="6"/>
        <v>within the Province</v>
      </c>
      <c r="Y65" s="816">
        <v>560</v>
      </c>
      <c r="AB65" s="830"/>
      <c r="AC65" s="809" t="s">
        <v>8318</v>
      </c>
      <c r="AD65" s="824"/>
      <c r="AG65" s="807" t="str">
        <f t="shared" si="4"/>
        <v/>
      </c>
      <c r="AI65" s="817"/>
      <c r="AJ65" s="817"/>
      <c r="AK65" s="92"/>
      <c r="AM65" s="819"/>
      <c r="AN65" s="820"/>
      <c r="AQ65" s="93"/>
      <c r="AR65" s="93"/>
      <c r="AS65" s="93"/>
      <c r="AT65" s="93"/>
      <c r="AU65" s="93"/>
      <c r="AV65" s="93"/>
      <c r="AW65" s="93"/>
      <c r="AX65" s="93"/>
      <c r="AY65" s="93"/>
      <c r="AZ65" s="93"/>
      <c r="BA65" s="93"/>
      <c r="BB65" s="93"/>
      <c r="BL65" s="93"/>
      <c r="BM65" s="93"/>
      <c r="BT65" s="93"/>
      <c r="BU65" s="93"/>
      <c r="BV65" s="93"/>
      <c r="BW65" s="93"/>
      <c r="BX65" s="93"/>
      <c r="BY65" s="93"/>
      <c r="BZ65" s="93"/>
      <c r="CA65" s="93"/>
      <c r="CB65" s="93"/>
      <c r="CC65" s="93"/>
      <c r="CF65" s="93"/>
      <c r="CG65" s="93"/>
      <c r="CH65" s="93"/>
      <c r="CI65" s="93"/>
      <c r="CJ65" s="93"/>
      <c r="CK65" s="93"/>
      <c r="CL65" s="93"/>
      <c r="CM65" s="93"/>
      <c r="CN65" s="93"/>
      <c r="CO65" s="93"/>
      <c r="CP65" s="93"/>
      <c r="CQ65" s="93"/>
      <c r="CR65" s="93"/>
      <c r="CS65" s="93"/>
      <c r="CT65" s="93"/>
      <c r="CU65" s="93"/>
      <c r="CV65" s="93"/>
      <c r="CW65" s="93"/>
      <c r="CX65" s="93"/>
      <c r="CY65" s="93"/>
      <c r="CZ65" s="93"/>
      <c r="DA65" s="93"/>
      <c r="DB65" s="93"/>
      <c r="DC65" s="93"/>
      <c r="DD65" s="93"/>
      <c r="DE65" s="93"/>
      <c r="DF65" s="93"/>
      <c r="DG65" s="93"/>
      <c r="DH65" s="93"/>
      <c r="DI65" s="93"/>
      <c r="DJ65" s="93"/>
      <c r="DK65" s="93"/>
      <c r="DL65" s="93"/>
      <c r="DM65" s="93"/>
      <c r="DN65" s="93"/>
      <c r="DO65" s="93"/>
    </row>
    <row r="66" spans="1:198" s="806" customFormat="1" ht="15">
      <c r="A66" s="19" t="s">
        <v>7421</v>
      </c>
      <c r="D66" s="1059" t="s">
        <v>60</v>
      </c>
      <c r="E66" s="1038" t="s">
        <v>60</v>
      </c>
      <c r="G66" s="827"/>
      <c r="H66" s="809" t="s">
        <v>8319</v>
      </c>
      <c r="I66" s="92">
        <v>16</v>
      </c>
      <c r="J66" s="92" t="s">
        <v>18</v>
      </c>
      <c r="K66" s="92" t="s">
        <v>722</v>
      </c>
      <c r="L66" s="810">
        <v>4</v>
      </c>
      <c r="M66" s="811" t="str">
        <f t="shared" si="5"/>
        <v>High School Level</v>
      </c>
      <c r="N66" s="92"/>
      <c r="P66" s="1638"/>
      <c r="S66" s="820"/>
      <c r="T66" s="820"/>
      <c r="U66" s="820"/>
      <c r="V66" s="834">
        <f>SUM(S59:U66)</f>
        <v>29700</v>
      </c>
      <c r="W66" s="815"/>
      <c r="X66" s="811" t="str">
        <f t="shared" si="6"/>
        <v/>
      </c>
      <c r="Y66" s="816"/>
      <c r="AA66" s="816"/>
      <c r="AB66" s="834">
        <f>SUM(Y59:AA66)</f>
        <v>1360</v>
      </c>
      <c r="AC66" s="809"/>
      <c r="AD66" s="824"/>
      <c r="AE66" s="93"/>
      <c r="AF66" s="818"/>
      <c r="AG66" s="807" t="str">
        <f t="shared" si="4"/>
        <v/>
      </c>
      <c r="AH66" s="817"/>
      <c r="AI66" s="817"/>
      <c r="AJ66" s="817"/>
      <c r="AK66" s="92"/>
      <c r="AL66" s="92"/>
      <c r="AM66" s="819"/>
      <c r="AN66" s="820"/>
      <c r="AO66" s="817"/>
      <c r="AP66" s="820"/>
      <c r="AQ66" s="93"/>
      <c r="AR66" s="93"/>
      <c r="AS66" s="93"/>
      <c r="AT66" s="93"/>
      <c r="AU66" s="93"/>
      <c r="AV66" s="93"/>
      <c r="AW66" s="93"/>
      <c r="AX66" s="93"/>
      <c r="AY66" s="93"/>
      <c r="AZ66" s="93"/>
      <c r="BA66" s="93"/>
      <c r="BB66" s="93"/>
      <c r="BC66" s="93"/>
      <c r="BD66" s="93"/>
      <c r="BE66" s="93"/>
      <c r="BF66" s="93"/>
      <c r="BG66" s="93"/>
      <c r="BH66" s="93"/>
      <c r="BI66" s="93"/>
      <c r="BJ66" s="93"/>
      <c r="BK66" s="93"/>
      <c r="BL66" s="93"/>
      <c r="BM66" s="93"/>
      <c r="BN66" s="93"/>
      <c r="BT66" s="93"/>
      <c r="BU66" s="93"/>
      <c r="BV66" s="93"/>
      <c r="BW66" s="93"/>
      <c r="BX66" s="93"/>
      <c r="BY66" s="93"/>
      <c r="BZ66" s="93"/>
      <c r="CA66" s="93"/>
      <c r="CB66" s="93"/>
      <c r="CC66" s="93"/>
      <c r="CD66" s="93"/>
      <c r="CE66" s="93"/>
      <c r="CF66" s="93"/>
      <c r="CG66" s="93"/>
      <c r="CH66" s="93"/>
      <c r="CI66" s="93"/>
      <c r="CJ66" s="93"/>
      <c r="CK66" s="93"/>
      <c r="CL66" s="93"/>
      <c r="CM66" s="93"/>
      <c r="CN66" s="93"/>
      <c r="CO66" s="93"/>
      <c r="CP66" s="93"/>
      <c r="CQ66" s="93"/>
      <c r="CR66" s="93"/>
      <c r="CS66" s="93"/>
      <c r="CT66" s="93"/>
      <c r="CU66" s="93"/>
      <c r="CV66" s="93"/>
      <c r="CW66" s="93"/>
      <c r="CX66" s="93"/>
      <c r="CY66" s="93"/>
      <c r="CZ66" s="93"/>
      <c r="DA66" s="93"/>
      <c r="DB66" s="93"/>
      <c r="DC66" s="93"/>
      <c r="DD66" s="93"/>
      <c r="DE66" s="93"/>
      <c r="DF66" s="93"/>
      <c r="DG66" s="93"/>
      <c r="DH66" s="93"/>
      <c r="DI66" s="826"/>
      <c r="DJ66" s="825"/>
      <c r="DK66" s="825"/>
      <c r="GO66" s="92"/>
      <c r="GP66" s="831"/>
    </row>
    <row r="67" spans="1:198" s="806" customFormat="1" ht="15">
      <c r="D67" s="1059" t="s">
        <v>61</v>
      </c>
      <c r="G67" s="809" t="s">
        <v>61</v>
      </c>
      <c r="H67" s="809" t="s">
        <v>1266</v>
      </c>
      <c r="I67" s="92">
        <v>61</v>
      </c>
      <c r="J67" s="92" t="s">
        <v>18</v>
      </c>
      <c r="K67" s="92" t="s">
        <v>707</v>
      </c>
      <c r="L67" s="810">
        <v>3</v>
      </c>
      <c r="M67" s="811" t="str">
        <f t="shared" si="5"/>
        <v>Elementary Graduate</v>
      </c>
      <c r="N67" s="92" t="s">
        <v>1208</v>
      </c>
      <c r="O67" s="92" t="s">
        <v>8320</v>
      </c>
      <c r="P67" s="1638"/>
      <c r="Q67" s="92" t="s">
        <v>8320</v>
      </c>
      <c r="R67" s="92"/>
      <c r="S67" s="820">
        <v>4000</v>
      </c>
      <c r="T67" s="820"/>
      <c r="U67" s="820"/>
      <c r="V67" s="856"/>
      <c r="W67" s="838">
        <v>3</v>
      </c>
      <c r="X67" s="811" t="str">
        <f t="shared" si="6"/>
        <v>within the Province</v>
      </c>
      <c r="Y67" s="836"/>
      <c r="Z67" s="92"/>
      <c r="AA67" s="836"/>
      <c r="AB67" s="856"/>
      <c r="AC67" s="809" t="s">
        <v>2199</v>
      </c>
      <c r="AD67" s="817" t="s">
        <v>8321</v>
      </c>
      <c r="AE67" s="93"/>
      <c r="AF67" s="818"/>
      <c r="AG67" s="807" t="str">
        <f t="shared" si="4"/>
        <v/>
      </c>
      <c r="AH67" s="817"/>
      <c r="AI67" s="817"/>
      <c r="AJ67" s="817"/>
      <c r="AK67" s="92"/>
      <c r="AL67" s="92"/>
      <c r="AM67" s="819"/>
      <c r="AN67" s="820"/>
      <c r="AO67" s="817"/>
      <c r="AP67" s="820"/>
      <c r="AQ67" s="93"/>
      <c r="AR67" s="93"/>
      <c r="AS67" s="93"/>
      <c r="AT67" s="93"/>
      <c r="AU67" s="93"/>
      <c r="AV67" s="93"/>
      <c r="AW67" s="93"/>
      <c r="AX67" s="93"/>
      <c r="AY67" s="93"/>
      <c r="AZ67" s="93"/>
      <c r="BA67" s="93"/>
      <c r="BB67" s="93"/>
      <c r="BC67" s="93"/>
      <c r="BD67" s="93"/>
      <c r="BE67" s="93"/>
      <c r="BF67" s="93"/>
      <c r="BG67" s="93"/>
      <c r="BH67" s="93"/>
      <c r="BI67" s="93"/>
      <c r="BJ67" s="93"/>
      <c r="BK67" s="93"/>
      <c r="BL67" s="93"/>
      <c r="BM67" s="93"/>
      <c r="BN67" s="93"/>
      <c r="BT67" s="93"/>
      <c r="BU67" s="93"/>
      <c r="BV67" s="93"/>
      <c r="BW67" s="93"/>
      <c r="BX67" s="93"/>
      <c r="BY67" s="93"/>
      <c r="BZ67" s="93"/>
      <c r="CA67" s="93"/>
      <c r="CB67" s="93"/>
      <c r="CC67" s="93"/>
      <c r="CD67" s="93"/>
      <c r="CE67" s="93"/>
      <c r="CF67" s="93"/>
      <c r="CG67" s="93"/>
      <c r="CH67" s="93"/>
      <c r="CI67" s="93"/>
      <c r="CJ67" s="93"/>
      <c r="CK67" s="93"/>
      <c r="CL67" s="93"/>
      <c r="CM67" s="93"/>
      <c r="CN67" s="93"/>
      <c r="CO67" s="93"/>
      <c r="CP67" s="93"/>
      <c r="CQ67" s="93"/>
      <c r="CR67" s="93"/>
      <c r="CS67" s="93"/>
      <c r="CT67" s="93"/>
      <c r="CU67" s="93"/>
      <c r="CV67" s="93"/>
      <c r="CW67" s="93"/>
      <c r="CX67" s="93"/>
      <c r="CY67" s="93"/>
      <c r="CZ67" s="93"/>
      <c r="DA67" s="93"/>
      <c r="DB67" s="93"/>
      <c r="DC67" s="93"/>
      <c r="DD67" s="93"/>
      <c r="DE67" s="93"/>
      <c r="DF67" s="93"/>
      <c r="DG67" s="93"/>
      <c r="DI67" s="93"/>
      <c r="DJ67" s="825"/>
      <c r="DK67" s="825"/>
      <c r="GO67" s="92"/>
      <c r="GP67" s="831"/>
    </row>
    <row r="68" spans="1:198" s="806" customFormat="1" ht="15">
      <c r="D68" s="1059"/>
      <c r="G68" s="827"/>
      <c r="H68" s="809" t="s">
        <v>8322</v>
      </c>
      <c r="I68" s="92">
        <v>20</v>
      </c>
      <c r="J68" s="92" t="s">
        <v>10</v>
      </c>
      <c r="K68" s="92" t="s">
        <v>768</v>
      </c>
      <c r="L68" s="810">
        <v>3</v>
      </c>
      <c r="M68" s="811" t="str">
        <f t="shared" si="5"/>
        <v>Elementary Graduate</v>
      </c>
      <c r="N68" s="92" t="s">
        <v>1208</v>
      </c>
      <c r="O68" s="92" t="s">
        <v>2215</v>
      </c>
      <c r="P68" s="1638"/>
      <c r="Q68" s="92" t="s">
        <v>2215</v>
      </c>
      <c r="R68" s="92"/>
      <c r="S68" s="820">
        <v>12000</v>
      </c>
      <c r="T68" s="820"/>
      <c r="U68" s="820"/>
      <c r="V68" s="856">
        <f>SUM(S67:U68)</f>
        <v>16000</v>
      </c>
      <c r="W68" s="838">
        <v>2</v>
      </c>
      <c r="X68" s="811" t="str">
        <f t="shared" si="6"/>
        <v>within the Municipality/City</v>
      </c>
      <c r="Y68" s="836"/>
      <c r="AA68" s="836"/>
      <c r="AB68" s="856">
        <f>SUM(Y67:AA68)</f>
        <v>0</v>
      </c>
      <c r="AC68" s="809"/>
      <c r="AD68" s="824"/>
      <c r="AE68" s="93"/>
      <c r="AF68" s="818"/>
      <c r="AG68" s="807" t="str">
        <f t="shared" si="4"/>
        <v/>
      </c>
      <c r="AH68" s="817"/>
      <c r="AI68" s="817"/>
      <c r="AJ68" s="817"/>
      <c r="AK68" s="92"/>
      <c r="AL68" s="92"/>
      <c r="AM68" s="819"/>
      <c r="AN68" s="820"/>
      <c r="AO68" s="817"/>
      <c r="AP68" s="820"/>
      <c r="AQ68" s="93"/>
      <c r="AR68" s="93"/>
      <c r="AS68" s="93"/>
      <c r="AT68" s="93"/>
      <c r="AU68" s="93"/>
      <c r="AV68" s="93"/>
      <c r="AW68" s="93"/>
      <c r="AX68" s="93"/>
      <c r="AY68" s="93"/>
      <c r="AZ68" s="93"/>
      <c r="BA68" s="93"/>
      <c r="BB68" s="93"/>
      <c r="BC68" s="93"/>
      <c r="BD68" s="93"/>
      <c r="BE68" s="93"/>
      <c r="BF68" s="93"/>
      <c r="BG68" s="93"/>
      <c r="BH68" s="93"/>
      <c r="BI68" s="93"/>
      <c r="BJ68" s="93"/>
      <c r="BK68" s="93"/>
      <c r="BL68" s="93"/>
      <c r="BM68" s="93"/>
      <c r="BN68" s="93"/>
      <c r="BT68" s="93"/>
      <c r="BU68" s="93"/>
      <c r="BV68" s="93"/>
      <c r="BW68" s="93"/>
      <c r="BX68" s="93"/>
      <c r="BY68" s="93"/>
      <c r="BZ68" s="93"/>
      <c r="CA68" s="93"/>
      <c r="CB68" s="93"/>
      <c r="CC68" s="93"/>
      <c r="CD68" s="93"/>
      <c r="CE68" s="93"/>
      <c r="CF68" s="93"/>
      <c r="CG68" s="93"/>
      <c r="CH68" s="93"/>
      <c r="CI68" s="93"/>
      <c r="CJ68" s="93"/>
      <c r="CK68" s="93"/>
      <c r="CL68" s="93"/>
      <c r="CM68" s="93"/>
      <c r="CN68" s="93"/>
      <c r="CO68" s="93"/>
      <c r="CP68" s="93"/>
      <c r="CQ68" s="93"/>
      <c r="CR68" s="93"/>
      <c r="CS68" s="93"/>
      <c r="CT68" s="93"/>
      <c r="CU68" s="93"/>
      <c r="CV68" s="93"/>
      <c r="CW68" s="93"/>
      <c r="CX68" s="93"/>
      <c r="CY68" s="93"/>
      <c r="CZ68" s="93"/>
      <c r="DA68" s="93"/>
      <c r="DB68" s="93"/>
      <c r="DC68" s="93"/>
      <c r="DD68" s="93"/>
      <c r="DE68" s="93"/>
      <c r="DF68" s="93"/>
      <c r="DG68" s="93"/>
      <c r="DI68" s="93"/>
      <c r="DJ68" s="825"/>
      <c r="DK68" s="825"/>
      <c r="GO68" s="92"/>
      <c r="GP68" s="831"/>
    </row>
    <row r="69" spans="1:198" s="806" customFormat="1" ht="15">
      <c r="A69" s="19" t="s">
        <v>7421</v>
      </c>
      <c r="B69" s="288" t="s">
        <v>11957</v>
      </c>
      <c r="C69" s="167" t="s">
        <v>63</v>
      </c>
      <c r="D69" s="1059" t="s">
        <v>63</v>
      </c>
      <c r="E69" s="1038" t="s">
        <v>63</v>
      </c>
      <c r="F69" s="1047" t="s">
        <v>11280</v>
      </c>
      <c r="G69" s="809" t="s">
        <v>63</v>
      </c>
      <c r="H69" s="809" t="s">
        <v>11280</v>
      </c>
      <c r="I69" s="92">
        <v>51</v>
      </c>
      <c r="J69" s="92" t="s">
        <v>10</v>
      </c>
      <c r="K69" s="92" t="s">
        <v>707</v>
      </c>
      <c r="L69" s="810">
        <v>2</v>
      </c>
      <c r="M69" s="811" t="str">
        <f t="shared" si="5"/>
        <v>Elementary Level</v>
      </c>
      <c r="N69" s="92" t="s">
        <v>1208</v>
      </c>
      <c r="O69" s="92" t="s">
        <v>8323</v>
      </c>
      <c r="P69" s="1638" t="s">
        <v>12606</v>
      </c>
      <c r="Q69" s="92" t="s">
        <v>8323</v>
      </c>
      <c r="R69" s="92" t="s">
        <v>8234</v>
      </c>
      <c r="S69" s="820">
        <v>9500</v>
      </c>
      <c r="T69" s="820"/>
      <c r="U69" s="820"/>
      <c r="V69" s="849"/>
      <c r="W69" s="838">
        <v>3</v>
      </c>
      <c r="X69" s="811" t="str">
        <f t="shared" si="6"/>
        <v>within the Province</v>
      </c>
      <c r="Y69" s="836">
        <v>1500</v>
      </c>
      <c r="AA69" s="836"/>
      <c r="AB69" s="849"/>
      <c r="AC69" s="809" t="s">
        <v>2216</v>
      </c>
      <c r="AD69" s="824"/>
      <c r="AE69" s="93"/>
      <c r="AF69" s="818"/>
      <c r="AG69" s="807" t="str">
        <f t="shared" si="4"/>
        <v/>
      </c>
      <c r="AH69" s="817"/>
      <c r="AI69" s="817"/>
      <c r="AJ69" s="817"/>
      <c r="AK69" s="92" t="s">
        <v>8324</v>
      </c>
      <c r="AL69" s="92" t="s">
        <v>478</v>
      </c>
      <c r="AM69" s="819"/>
      <c r="AN69" s="820">
        <v>2000</v>
      </c>
      <c r="AO69" s="817"/>
      <c r="AP69" s="820"/>
      <c r="AQ69" s="93"/>
      <c r="AR69" s="93"/>
      <c r="AS69" s="93"/>
      <c r="AT69" s="93"/>
      <c r="AU69" s="93"/>
      <c r="AV69" s="93"/>
      <c r="AW69" s="93"/>
      <c r="AX69" s="93"/>
      <c r="AY69" s="93"/>
      <c r="AZ69" s="93"/>
      <c r="BA69" s="93"/>
      <c r="BB69" s="93"/>
      <c r="BC69" s="93"/>
      <c r="BD69" s="93"/>
      <c r="BE69" s="93"/>
      <c r="BF69" s="93"/>
      <c r="BG69" s="93"/>
      <c r="BH69" s="93"/>
      <c r="BI69" s="93"/>
      <c r="BJ69" s="93"/>
      <c r="BK69" s="93"/>
      <c r="BL69" s="93"/>
      <c r="BM69" s="93"/>
      <c r="BN69" s="93"/>
      <c r="BT69" s="93"/>
      <c r="BU69" s="93"/>
      <c r="BV69" s="93"/>
      <c r="BW69" s="93"/>
      <c r="BX69" s="93"/>
      <c r="BY69" s="93"/>
      <c r="BZ69" s="93"/>
      <c r="CA69" s="93"/>
      <c r="CB69" s="93"/>
      <c r="CC69" s="93"/>
      <c r="CD69" s="93"/>
      <c r="CE69" s="93"/>
      <c r="CF69" s="93"/>
      <c r="CG69" s="93"/>
      <c r="CH69" s="93"/>
      <c r="CI69" s="93"/>
      <c r="CJ69" s="93"/>
      <c r="CK69" s="93"/>
      <c r="CL69" s="93"/>
      <c r="CM69" s="93"/>
      <c r="CN69" s="93"/>
      <c r="CO69" s="93"/>
      <c r="CP69" s="93"/>
      <c r="CQ69" s="93"/>
      <c r="CR69" s="93"/>
      <c r="CS69" s="93"/>
      <c r="CT69" s="93"/>
      <c r="CU69" s="93"/>
      <c r="CV69" s="93"/>
      <c r="CW69" s="93"/>
      <c r="CX69" s="93"/>
      <c r="CY69" s="93"/>
      <c r="CZ69" s="93"/>
      <c r="DA69" s="93"/>
      <c r="DB69" s="93"/>
      <c r="DC69" s="93"/>
      <c r="DD69" s="93"/>
      <c r="DE69" s="93"/>
      <c r="DF69" s="93"/>
      <c r="DG69" s="93"/>
      <c r="DI69" s="93"/>
      <c r="DJ69" s="825"/>
      <c r="DK69" s="825"/>
      <c r="GO69" s="92"/>
      <c r="GP69" s="831"/>
    </row>
    <row r="70" spans="1:198" s="806" customFormat="1" ht="15">
      <c r="A70" s="19" t="s">
        <v>7421</v>
      </c>
      <c r="D70" s="1059" t="s">
        <v>63</v>
      </c>
      <c r="E70" s="1038" t="s">
        <v>63</v>
      </c>
      <c r="G70" s="827"/>
      <c r="H70" s="809" t="s">
        <v>8325</v>
      </c>
      <c r="I70" s="92">
        <v>49</v>
      </c>
      <c r="J70" s="92" t="s">
        <v>18</v>
      </c>
      <c r="K70" s="92" t="s">
        <v>707</v>
      </c>
      <c r="L70" s="810">
        <v>3</v>
      </c>
      <c r="M70" s="811" t="str">
        <f t="shared" si="5"/>
        <v>Elementary Graduate</v>
      </c>
      <c r="N70" s="92" t="s">
        <v>1208</v>
      </c>
      <c r="O70" s="92" t="s">
        <v>8326</v>
      </c>
      <c r="P70" s="1638"/>
      <c r="Q70" s="92" t="s">
        <v>8326</v>
      </c>
      <c r="R70" s="92"/>
      <c r="S70" s="839"/>
      <c r="T70" s="820"/>
      <c r="U70" s="820">
        <v>3750</v>
      </c>
      <c r="V70" s="849"/>
      <c r="W70" s="838">
        <v>1</v>
      </c>
      <c r="X70" s="811" t="str">
        <f t="shared" si="6"/>
        <v>within the Brgy</v>
      </c>
      <c r="Y70" s="836"/>
      <c r="Z70" s="836"/>
      <c r="AA70" s="836"/>
      <c r="AB70" s="849"/>
      <c r="AC70" s="809" t="s">
        <v>2199</v>
      </c>
      <c r="AD70" s="824"/>
      <c r="AE70" s="93"/>
      <c r="AF70" s="818"/>
      <c r="AG70" s="807" t="str">
        <f t="shared" si="4"/>
        <v/>
      </c>
      <c r="AH70" s="817"/>
      <c r="AI70" s="817"/>
      <c r="AJ70" s="817"/>
      <c r="AK70" s="92"/>
      <c r="AL70" s="92"/>
      <c r="AM70" s="819"/>
      <c r="AN70" s="820"/>
      <c r="AO70" s="817"/>
      <c r="AP70" s="820"/>
      <c r="AQ70" s="93"/>
      <c r="AR70" s="93"/>
      <c r="AS70" s="93"/>
      <c r="AT70" s="93"/>
      <c r="AU70" s="93"/>
      <c r="AV70" s="93"/>
      <c r="AW70" s="93"/>
      <c r="AX70" s="93"/>
      <c r="AY70" s="93"/>
      <c r="AZ70" s="93"/>
      <c r="BA70" s="93"/>
      <c r="BB70" s="93"/>
      <c r="BC70" s="93"/>
      <c r="BD70" s="93"/>
      <c r="BE70" s="93"/>
      <c r="BF70" s="93"/>
      <c r="BG70" s="93"/>
      <c r="BH70" s="93"/>
      <c r="BI70" s="93"/>
      <c r="BJ70" s="93"/>
      <c r="BK70" s="93"/>
      <c r="BL70" s="93"/>
      <c r="BM70" s="93"/>
      <c r="BN70" s="93"/>
      <c r="BT70" s="93"/>
      <c r="BU70" s="93"/>
      <c r="BV70" s="93"/>
      <c r="BW70" s="93"/>
      <c r="BX70" s="93"/>
      <c r="BY70" s="93"/>
      <c r="BZ70" s="93"/>
      <c r="CA70" s="93"/>
      <c r="CB70" s="93"/>
      <c r="CC70" s="93"/>
      <c r="CD70" s="93"/>
      <c r="CE70" s="93">
        <v>2</v>
      </c>
      <c r="CF70" s="93"/>
      <c r="CG70" s="93"/>
      <c r="CH70" s="93"/>
      <c r="CI70" s="93"/>
      <c r="CJ70" s="93"/>
      <c r="CK70" s="93"/>
      <c r="CL70" s="93"/>
      <c r="CM70" s="93"/>
      <c r="CN70" s="93"/>
      <c r="CO70" s="93"/>
      <c r="CP70" s="93"/>
      <c r="CQ70" s="93"/>
      <c r="CR70" s="93" t="s">
        <v>2144</v>
      </c>
      <c r="CS70" s="93"/>
      <c r="CT70" s="93"/>
      <c r="CU70" s="93"/>
      <c r="CV70" s="93"/>
      <c r="CW70" s="93"/>
      <c r="CX70" s="93"/>
      <c r="CY70" s="93">
        <v>3</v>
      </c>
      <c r="CZ70" s="93"/>
      <c r="DA70" s="93"/>
      <c r="DB70" s="93"/>
      <c r="DC70" s="93"/>
      <c r="DD70" s="93"/>
      <c r="DE70" s="93"/>
      <c r="DF70" s="93"/>
      <c r="DG70" s="93"/>
      <c r="DI70" s="93"/>
      <c r="DJ70" s="825"/>
      <c r="DK70" s="825"/>
      <c r="GO70" s="92"/>
      <c r="GP70" s="831"/>
    </row>
    <row r="71" spans="1:198" ht="15">
      <c r="A71" s="19" t="s">
        <v>7421</v>
      </c>
      <c r="D71" s="1059" t="s">
        <v>63</v>
      </c>
      <c r="E71" s="1038" t="s">
        <v>63</v>
      </c>
      <c r="G71" s="827"/>
      <c r="H71" s="809" t="s">
        <v>8327</v>
      </c>
      <c r="I71" s="92">
        <v>14</v>
      </c>
      <c r="J71" s="92" t="s">
        <v>18</v>
      </c>
      <c r="K71" s="92" t="s">
        <v>768</v>
      </c>
      <c r="L71" s="810">
        <v>11</v>
      </c>
      <c r="M71" s="811" t="str">
        <f t="shared" si="5"/>
        <v>Junior/Senior High School</v>
      </c>
      <c r="O71" s="92"/>
      <c r="P71" s="1638"/>
      <c r="Q71" s="92"/>
      <c r="R71" s="92"/>
      <c r="S71" s="820"/>
      <c r="T71" s="820"/>
      <c r="U71" s="820"/>
      <c r="V71" s="829"/>
      <c r="X71" s="811" t="str">
        <f t="shared" si="6"/>
        <v/>
      </c>
      <c r="AB71" s="829"/>
      <c r="AC71" s="809"/>
      <c r="AD71" s="824"/>
      <c r="AG71" s="807" t="str">
        <f t="shared" si="4"/>
        <v/>
      </c>
      <c r="AI71" s="817"/>
      <c r="AJ71" s="817"/>
      <c r="AK71" s="92"/>
      <c r="AM71" s="819"/>
      <c r="AN71" s="820"/>
      <c r="AQ71" s="93"/>
      <c r="AR71" s="93"/>
      <c r="AS71" s="93"/>
      <c r="AT71" s="93"/>
      <c r="AU71" s="93"/>
      <c r="AV71" s="93"/>
      <c r="AW71" s="93"/>
      <c r="AX71" s="93"/>
      <c r="AY71" s="93"/>
      <c r="AZ71" s="93"/>
      <c r="BA71" s="93"/>
      <c r="BB71" s="93"/>
      <c r="BL71" s="93"/>
      <c r="BM71" s="93"/>
      <c r="BT71" s="93"/>
      <c r="BU71" s="93"/>
      <c r="BV71" s="93"/>
      <c r="BW71" s="93"/>
      <c r="BX71" s="93"/>
      <c r="BY71" s="93"/>
      <c r="BZ71" s="93"/>
      <c r="CA71" s="93"/>
      <c r="CB71" s="93"/>
      <c r="CC71" s="93"/>
      <c r="CF71" s="93"/>
      <c r="CG71" s="93"/>
      <c r="CH71" s="93"/>
      <c r="CI71" s="93"/>
      <c r="CJ71" s="93"/>
      <c r="CK71" s="93"/>
      <c r="CL71" s="93"/>
      <c r="CM71" s="93"/>
      <c r="CN71" s="93"/>
      <c r="CO71" s="93"/>
      <c r="CP71" s="93"/>
      <c r="CQ71" s="93"/>
      <c r="CR71" s="93"/>
      <c r="CS71" s="93"/>
      <c r="CT71" s="93"/>
      <c r="CU71" s="93"/>
      <c r="CV71" s="93"/>
      <c r="CW71" s="93"/>
      <c r="CX71" s="93"/>
      <c r="CY71" s="93"/>
      <c r="CZ71" s="93"/>
      <c r="DA71" s="93"/>
      <c r="DB71" s="93"/>
      <c r="DC71" s="93"/>
      <c r="DD71" s="93"/>
      <c r="DE71" s="93"/>
      <c r="DF71" s="93"/>
      <c r="DG71" s="93"/>
      <c r="DH71" s="93"/>
      <c r="DI71" s="93"/>
      <c r="DJ71" s="93"/>
      <c r="DK71" s="93"/>
      <c r="DL71" s="93"/>
      <c r="DM71" s="93"/>
      <c r="DN71" s="93"/>
      <c r="DO71" s="93"/>
    </row>
    <row r="72" spans="1:198" s="806" customFormat="1" ht="15">
      <c r="A72" s="19" t="s">
        <v>7421</v>
      </c>
      <c r="D72" s="1059" t="s">
        <v>63</v>
      </c>
      <c r="E72" s="1038" t="s">
        <v>63</v>
      </c>
      <c r="G72" s="827"/>
      <c r="H72" s="809" t="s">
        <v>8328</v>
      </c>
      <c r="I72" s="92">
        <v>10</v>
      </c>
      <c r="J72" s="92" t="s">
        <v>18</v>
      </c>
      <c r="K72" s="92" t="s">
        <v>768</v>
      </c>
      <c r="L72" s="810">
        <v>2</v>
      </c>
      <c r="M72" s="811" t="str">
        <f t="shared" si="5"/>
        <v>Elementary Level</v>
      </c>
      <c r="N72" s="92"/>
      <c r="O72" s="92"/>
      <c r="P72" s="1638"/>
      <c r="Q72" s="92"/>
      <c r="R72" s="92"/>
      <c r="S72" s="820"/>
      <c r="T72" s="820"/>
      <c r="U72" s="820"/>
      <c r="V72" s="829"/>
      <c r="W72" s="815"/>
      <c r="X72" s="811" t="str">
        <f t="shared" si="6"/>
        <v/>
      </c>
      <c r="Y72" s="816"/>
      <c r="Z72" s="816"/>
      <c r="AA72" s="816"/>
      <c r="AB72" s="829"/>
      <c r="AC72" s="809"/>
      <c r="AD72" s="824"/>
      <c r="AE72" s="93"/>
      <c r="AF72" s="818"/>
      <c r="AG72" s="807" t="str">
        <f t="shared" si="4"/>
        <v/>
      </c>
      <c r="AH72" s="817"/>
      <c r="AI72" s="817"/>
      <c r="AJ72" s="817"/>
      <c r="AK72" s="92"/>
      <c r="AL72" s="92"/>
      <c r="AM72" s="819"/>
      <c r="AN72" s="820"/>
      <c r="AO72" s="817"/>
      <c r="AP72" s="820"/>
      <c r="AQ72" s="93"/>
      <c r="AR72" s="93"/>
      <c r="AS72" s="93"/>
      <c r="AT72" s="93"/>
      <c r="AU72" s="93"/>
      <c r="AV72" s="93"/>
      <c r="AW72" s="93"/>
      <c r="AX72" s="93"/>
      <c r="AY72" s="93"/>
      <c r="AZ72" s="93"/>
      <c r="BA72" s="93"/>
      <c r="BB72" s="93"/>
      <c r="BC72" s="93"/>
      <c r="BD72" s="93"/>
      <c r="BE72" s="93"/>
      <c r="BF72" s="93"/>
      <c r="BG72" s="93"/>
      <c r="BH72" s="93"/>
      <c r="BI72" s="93"/>
      <c r="BJ72" s="93"/>
      <c r="BK72" s="93"/>
      <c r="BL72" s="93"/>
      <c r="BM72" s="93"/>
      <c r="BN72" s="93"/>
      <c r="BT72" s="93"/>
      <c r="BU72" s="93"/>
      <c r="BV72" s="93"/>
      <c r="BW72" s="93"/>
      <c r="BX72" s="93"/>
      <c r="BY72" s="93"/>
      <c r="BZ72" s="93"/>
      <c r="CA72" s="93"/>
      <c r="CB72" s="93"/>
      <c r="CC72" s="93"/>
      <c r="CD72" s="93"/>
      <c r="CE72" s="93"/>
      <c r="CF72" s="93"/>
      <c r="CG72" s="93"/>
      <c r="CH72" s="93"/>
      <c r="CI72" s="93"/>
      <c r="CJ72" s="93"/>
      <c r="CK72" s="93"/>
      <c r="CL72" s="93"/>
      <c r="CM72" s="93"/>
      <c r="CN72" s="93"/>
      <c r="CO72" s="93"/>
      <c r="CP72" s="93"/>
      <c r="CQ72" s="93"/>
      <c r="CR72" s="93"/>
      <c r="CS72" s="93"/>
      <c r="CT72" s="93"/>
      <c r="CU72" s="93"/>
      <c r="CV72" s="93"/>
      <c r="CW72" s="93"/>
      <c r="CX72" s="93"/>
      <c r="CY72" s="93"/>
      <c r="CZ72" s="93"/>
      <c r="DA72" s="93"/>
      <c r="DB72" s="93"/>
      <c r="DC72" s="93"/>
      <c r="DD72" s="93"/>
      <c r="DE72" s="93"/>
      <c r="DF72" s="93"/>
      <c r="DG72" s="93"/>
      <c r="DI72" s="93"/>
      <c r="DJ72" s="825"/>
      <c r="DK72" s="825"/>
      <c r="GO72" s="92"/>
      <c r="GP72" s="831"/>
    </row>
    <row r="73" spans="1:198" s="806" customFormat="1" ht="15">
      <c r="A73" s="19" t="s">
        <v>7421</v>
      </c>
      <c r="B73" s="6"/>
      <c r="C73" s="6"/>
      <c r="D73" s="1059" t="s">
        <v>63</v>
      </c>
      <c r="E73" s="1038" t="s">
        <v>63</v>
      </c>
      <c r="G73" s="827"/>
      <c r="H73" s="809" t="s">
        <v>8329</v>
      </c>
      <c r="I73" s="92">
        <v>7</v>
      </c>
      <c r="J73" s="92" t="s">
        <v>18</v>
      </c>
      <c r="K73" s="92" t="s">
        <v>768</v>
      </c>
      <c r="L73" s="810">
        <v>2</v>
      </c>
      <c r="M73" s="811" t="str">
        <f t="shared" si="5"/>
        <v>Elementary Level</v>
      </c>
      <c r="N73" s="92"/>
      <c r="O73" s="92"/>
      <c r="P73" s="1638"/>
      <c r="Q73" s="92"/>
      <c r="R73" s="92"/>
      <c r="S73" s="820"/>
      <c r="T73" s="820"/>
      <c r="U73" s="820"/>
      <c r="V73" s="829"/>
      <c r="W73" s="815"/>
      <c r="X73" s="811" t="str">
        <f t="shared" si="6"/>
        <v/>
      </c>
      <c r="Y73" s="816"/>
      <c r="Z73" s="816"/>
      <c r="AA73" s="816"/>
      <c r="AB73" s="829"/>
      <c r="AC73" s="809"/>
      <c r="AD73" s="824"/>
      <c r="AE73" s="93"/>
      <c r="AF73" s="818"/>
      <c r="AG73" s="807" t="str">
        <f t="shared" si="4"/>
        <v/>
      </c>
      <c r="AH73" s="817"/>
      <c r="AI73" s="817"/>
      <c r="AJ73" s="817"/>
      <c r="AK73" s="92"/>
      <c r="AL73" s="92"/>
      <c r="AM73" s="819"/>
      <c r="AN73" s="820"/>
      <c r="AO73" s="817"/>
      <c r="AP73" s="820"/>
      <c r="AQ73" s="93"/>
      <c r="AR73" s="93"/>
      <c r="AS73" s="93"/>
      <c r="AT73" s="93"/>
      <c r="AU73" s="93"/>
      <c r="AV73" s="93"/>
      <c r="AW73" s="93"/>
      <c r="AX73" s="93"/>
      <c r="AY73" s="93"/>
      <c r="AZ73" s="93"/>
      <c r="BA73" s="93"/>
      <c r="BB73" s="93"/>
      <c r="BC73" s="93"/>
      <c r="BD73" s="93"/>
      <c r="BE73" s="93"/>
      <c r="BF73" s="93"/>
      <c r="BG73" s="93"/>
      <c r="BH73" s="93"/>
      <c r="BI73" s="93"/>
      <c r="BJ73" s="93"/>
      <c r="BK73" s="93"/>
      <c r="BL73" s="93"/>
      <c r="BM73" s="93"/>
      <c r="BN73" s="93"/>
      <c r="BT73" s="93"/>
      <c r="BU73" s="93"/>
      <c r="BV73" s="93"/>
      <c r="BW73" s="93"/>
      <c r="BX73" s="93"/>
      <c r="BY73" s="93"/>
      <c r="BZ73" s="93"/>
      <c r="CA73" s="93"/>
      <c r="CB73" s="93"/>
      <c r="CC73" s="93"/>
      <c r="CD73" s="93"/>
      <c r="CE73" s="93"/>
      <c r="CF73" s="93"/>
      <c r="CG73" s="93"/>
      <c r="CH73" s="93"/>
      <c r="CI73" s="93"/>
      <c r="CJ73" s="93"/>
      <c r="CK73" s="93"/>
      <c r="CL73" s="93"/>
      <c r="CM73" s="93"/>
      <c r="CN73" s="93"/>
      <c r="CO73" s="93"/>
      <c r="CP73" s="93"/>
      <c r="CQ73" s="93"/>
      <c r="CR73" s="93"/>
      <c r="CS73" s="93"/>
      <c r="CT73" s="93"/>
      <c r="CU73" s="93"/>
      <c r="CV73" s="93"/>
      <c r="CW73" s="93"/>
      <c r="CX73" s="93"/>
      <c r="CY73" s="93"/>
      <c r="CZ73" s="93"/>
      <c r="DA73" s="93"/>
      <c r="DB73" s="93"/>
      <c r="DC73" s="93"/>
      <c r="DD73" s="93"/>
      <c r="DE73" s="93"/>
      <c r="DF73" s="93"/>
      <c r="DG73" s="93"/>
      <c r="DI73" s="93"/>
      <c r="DJ73" s="825"/>
      <c r="DK73" s="825"/>
      <c r="GO73" s="92"/>
      <c r="GP73" s="831"/>
    </row>
    <row r="74" spans="1:198" s="806" customFormat="1" ht="15">
      <c r="A74" s="19" t="s">
        <v>7421</v>
      </c>
      <c r="B74" s="6"/>
      <c r="C74" s="6"/>
      <c r="D74" s="1059" t="s">
        <v>63</v>
      </c>
      <c r="E74" s="1038" t="s">
        <v>63</v>
      </c>
      <c r="G74" s="827"/>
      <c r="H74" s="809" t="s">
        <v>8330</v>
      </c>
      <c r="I74" s="92">
        <v>7</v>
      </c>
      <c r="J74" s="92" t="s">
        <v>18</v>
      </c>
      <c r="K74" s="92" t="s">
        <v>768</v>
      </c>
      <c r="L74" s="810">
        <v>2</v>
      </c>
      <c r="M74" s="811" t="str">
        <f t="shared" si="5"/>
        <v>Elementary Level</v>
      </c>
      <c r="N74" s="92"/>
      <c r="O74" s="92"/>
      <c r="P74" s="1638"/>
      <c r="Q74" s="92"/>
      <c r="R74" s="92"/>
      <c r="S74" s="820"/>
      <c r="T74" s="820"/>
      <c r="U74" s="820"/>
      <c r="V74" s="829">
        <f>SUM(S69:U74)</f>
        <v>13250</v>
      </c>
      <c r="W74" s="815"/>
      <c r="X74" s="811" t="str">
        <f t="shared" si="6"/>
        <v/>
      </c>
      <c r="Y74" s="816"/>
      <c r="Z74" s="816"/>
      <c r="AA74" s="816"/>
      <c r="AB74" s="829">
        <f>SUM(Y69:AA74)</f>
        <v>1500</v>
      </c>
      <c r="AC74" s="809"/>
      <c r="AD74" s="824"/>
      <c r="AE74" s="93"/>
      <c r="AF74" s="818"/>
      <c r="AG74" s="807" t="str">
        <f t="shared" si="4"/>
        <v/>
      </c>
      <c r="AH74" s="817"/>
      <c r="AI74" s="817"/>
      <c r="AJ74" s="817"/>
      <c r="AK74" s="92"/>
      <c r="AL74" s="92"/>
      <c r="AM74" s="819"/>
      <c r="AN74" s="820"/>
      <c r="AO74" s="817"/>
      <c r="AP74" s="820"/>
      <c r="AQ74" s="93"/>
      <c r="AR74" s="93"/>
      <c r="AS74" s="93"/>
      <c r="AT74" s="93"/>
      <c r="AU74" s="93"/>
      <c r="AV74" s="93"/>
      <c r="AW74" s="93"/>
      <c r="AX74" s="93"/>
      <c r="AY74" s="93"/>
      <c r="AZ74" s="93"/>
      <c r="BA74" s="93"/>
      <c r="BB74" s="93"/>
      <c r="BC74" s="93"/>
      <c r="BD74" s="93"/>
      <c r="BE74" s="93"/>
      <c r="BF74" s="93"/>
      <c r="BG74" s="93"/>
      <c r="BH74" s="93"/>
      <c r="BI74" s="93"/>
      <c r="BJ74" s="93"/>
      <c r="BK74" s="93"/>
      <c r="BL74" s="93"/>
      <c r="BM74" s="93"/>
      <c r="BN74" s="93"/>
      <c r="BT74" s="93"/>
      <c r="BU74" s="93"/>
      <c r="BV74" s="93"/>
      <c r="BW74" s="93"/>
      <c r="BX74" s="93"/>
      <c r="BY74" s="93"/>
      <c r="BZ74" s="93"/>
      <c r="CA74" s="93"/>
      <c r="CB74" s="93"/>
      <c r="CC74" s="93"/>
      <c r="CD74" s="93"/>
      <c r="CE74" s="93"/>
      <c r="CF74" s="93"/>
      <c r="CG74" s="93"/>
      <c r="CH74" s="93"/>
      <c r="CI74" s="93"/>
      <c r="CJ74" s="93"/>
      <c r="CK74" s="93"/>
      <c r="CL74" s="93"/>
      <c r="CM74" s="93"/>
      <c r="CN74" s="93"/>
      <c r="CO74" s="93"/>
      <c r="CP74" s="93"/>
      <c r="CQ74" s="93"/>
      <c r="CR74" s="93"/>
      <c r="CS74" s="93"/>
      <c r="CT74" s="93"/>
      <c r="CU74" s="93"/>
      <c r="CV74" s="93"/>
      <c r="CW74" s="93"/>
      <c r="CX74" s="93"/>
      <c r="CY74" s="93"/>
      <c r="CZ74" s="93"/>
      <c r="DA74" s="93"/>
      <c r="DB74" s="93"/>
      <c r="DC74" s="93"/>
      <c r="DD74" s="93"/>
      <c r="DE74" s="93"/>
      <c r="DF74" s="93"/>
      <c r="DG74" s="93"/>
      <c r="DI74" s="93"/>
      <c r="DJ74" s="825"/>
      <c r="DK74" s="825"/>
      <c r="GO74" s="92"/>
      <c r="GP74" s="831"/>
    </row>
    <row r="75" spans="1:198" s="806" customFormat="1" ht="15">
      <c r="D75" s="1059" t="s">
        <v>69</v>
      </c>
      <c r="G75" s="846" t="s">
        <v>69</v>
      </c>
      <c r="H75" s="809" t="s">
        <v>1270</v>
      </c>
      <c r="I75" s="92">
        <v>67</v>
      </c>
      <c r="J75" s="92" t="s">
        <v>10</v>
      </c>
      <c r="K75" s="857"/>
      <c r="L75" s="858"/>
      <c r="M75" s="859" t="str">
        <f t="shared" si="5"/>
        <v/>
      </c>
      <c r="N75" s="92" t="s">
        <v>1208</v>
      </c>
      <c r="O75" s="92" t="s">
        <v>8331</v>
      </c>
      <c r="P75" s="1638"/>
      <c r="Q75" s="92" t="s">
        <v>8331</v>
      </c>
      <c r="R75" s="92"/>
      <c r="S75" s="820"/>
      <c r="T75" s="820">
        <v>8000</v>
      </c>
      <c r="U75" s="820"/>
      <c r="V75" s="837"/>
      <c r="W75" s="838">
        <v>1</v>
      </c>
      <c r="X75" s="811" t="str">
        <f t="shared" si="6"/>
        <v>within the Brgy</v>
      </c>
      <c r="Y75" s="836"/>
      <c r="Z75" s="836"/>
      <c r="AA75" s="836"/>
      <c r="AB75" s="837"/>
      <c r="AC75" s="809" t="s">
        <v>2216</v>
      </c>
      <c r="AD75" s="817" t="s">
        <v>8332</v>
      </c>
      <c r="AE75" s="93"/>
      <c r="AF75" s="818"/>
      <c r="AG75" s="807" t="str">
        <f t="shared" si="4"/>
        <v/>
      </c>
      <c r="AH75" s="807"/>
      <c r="AI75" s="807"/>
      <c r="AJ75" s="807"/>
      <c r="AK75" s="92" t="s">
        <v>8333</v>
      </c>
      <c r="AL75" s="92" t="s">
        <v>8334</v>
      </c>
      <c r="AM75" s="819"/>
      <c r="AN75" s="820">
        <f>PRODUCT(400,12)</f>
        <v>4800</v>
      </c>
      <c r="AO75" s="817"/>
      <c r="AP75" s="820"/>
      <c r="AQ75" s="93"/>
      <c r="AR75" s="93"/>
      <c r="AS75" s="93"/>
      <c r="AT75" s="93"/>
      <c r="AU75" s="93"/>
      <c r="AV75" s="93"/>
      <c r="AW75" s="93"/>
      <c r="AX75" s="93"/>
      <c r="AY75" s="93"/>
      <c r="AZ75" s="93"/>
      <c r="BA75" s="93"/>
      <c r="BB75" s="93"/>
      <c r="BC75" s="93"/>
      <c r="BD75" s="93"/>
      <c r="BE75" s="93"/>
      <c r="BF75" s="93"/>
      <c r="BG75" s="93"/>
      <c r="BH75" s="93"/>
      <c r="BI75" s="93"/>
      <c r="BJ75" s="93"/>
      <c r="BK75" s="93"/>
      <c r="BL75" s="93"/>
      <c r="BM75" s="93"/>
      <c r="BN75" s="93"/>
      <c r="BT75" s="93"/>
      <c r="BU75" s="93"/>
      <c r="BV75" s="93"/>
      <c r="BW75" s="93"/>
      <c r="BX75" s="93" t="s">
        <v>2145</v>
      </c>
      <c r="BY75" s="93"/>
      <c r="BZ75" s="93"/>
      <c r="CA75" s="93"/>
      <c r="CB75" s="93"/>
      <c r="CC75" s="93"/>
      <c r="CD75" s="93"/>
      <c r="CE75" s="93"/>
      <c r="CF75" s="93"/>
      <c r="CG75" s="93"/>
      <c r="CH75" s="93"/>
      <c r="CI75" s="93"/>
      <c r="CJ75" s="93"/>
      <c r="CK75" s="93"/>
      <c r="CL75" s="93"/>
      <c r="CM75" s="93"/>
      <c r="CN75" s="93"/>
      <c r="CO75" s="93"/>
      <c r="CP75" s="93"/>
      <c r="CQ75" s="93"/>
      <c r="CR75" s="93"/>
      <c r="CS75" s="93"/>
      <c r="CT75" s="93"/>
      <c r="CU75" s="93"/>
      <c r="CV75" s="93"/>
      <c r="CW75" s="93"/>
      <c r="CX75" s="93"/>
      <c r="CY75" s="93"/>
      <c r="CZ75" s="93"/>
      <c r="DA75" s="93"/>
      <c r="DB75" s="93"/>
      <c r="DC75" s="93"/>
      <c r="DD75" s="93" t="s">
        <v>2144</v>
      </c>
      <c r="DE75" s="93"/>
      <c r="DF75" s="93"/>
      <c r="DG75" s="93"/>
      <c r="DH75" s="93"/>
      <c r="DI75" s="826"/>
      <c r="DJ75" s="825"/>
      <c r="DK75" s="825"/>
      <c r="GO75" s="92"/>
      <c r="GP75" s="831"/>
    </row>
    <row r="76" spans="1:198" s="806" customFormat="1" ht="15">
      <c r="D76" s="1059"/>
      <c r="G76" s="827"/>
      <c r="H76" s="809" t="s">
        <v>8335</v>
      </c>
      <c r="I76" s="857"/>
      <c r="J76" s="92" t="s">
        <v>18</v>
      </c>
      <c r="K76" s="857"/>
      <c r="L76" s="858"/>
      <c r="M76" s="859" t="str">
        <f t="shared" si="5"/>
        <v/>
      </c>
      <c r="N76" s="92" t="s">
        <v>1208</v>
      </c>
      <c r="O76" s="92" t="s">
        <v>2210</v>
      </c>
      <c r="P76" s="1638"/>
      <c r="Q76" s="92" t="s">
        <v>2210</v>
      </c>
      <c r="R76" s="92"/>
      <c r="S76" s="860">
        <v>5000</v>
      </c>
      <c r="T76" s="820"/>
      <c r="U76" s="820"/>
      <c r="V76" s="837"/>
      <c r="W76" s="838">
        <v>5</v>
      </c>
      <c r="X76" s="811" t="str">
        <f t="shared" si="6"/>
        <v>Overseas Worker</v>
      </c>
      <c r="Y76" s="836"/>
      <c r="Z76" s="836"/>
      <c r="AA76" s="836"/>
      <c r="AB76" s="837"/>
      <c r="AC76" s="809" t="s">
        <v>2217</v>
      </c>
      <c r="AD76" s="824"/>
      <c r="AE76" s="93"/>
      <c r="AF76" s="818"/>
      <c r="AG76" s="807" t="str">
        <f t="shared" si="4"/>
        <v/>
      </c>
      <c r="AH76" s="807"/>
      <c r="AI76" s="807"/>
      <c r="AJ76" s="807"/>
      <c r="AK76" s="92"/>
      <c r="AL76" s="92"/>
      <c r="AM76" s="819"/>
      <c r="AN76" s="820"/>
      <c r="AO76" s="817"/>
      <c r="AP76" s="820"/>
      <c r="AQ76" s="93"/>
      <c r="AR76" s="93"/>
      <c r="AS76" s="93"/>
      <c r="AT76" s="93"/>
      <c r="AU76" s="93"/>
      <c r="AV76" s="93"/>
      <c r="AW76" s="93"/>
      <c r="AX76" s="93"/>
      <c r="AY76" s="93"/>
      <c r="AZ76" s="93"/>
      <c r="BA76" s="93"/>
      <c r="BB76" s="93"/>
      <c r="BC76" s="93"/>
      <c r="BD76" s="93"/>
      <c r="BE76" s="93"/>
      <c r="BF76" s="93"/>
      <c r="BG76" s="93"/>
      <c r="BH76" s="93"/>
      <c r="BI76" s="93"/>
      <c r="BJ76" s="93"/>
      <c r="BK76" s="93"/>
      <c r="BL76" s="93"/>
      <c r="BM76" s="93"/>
      <c r="BN76" s="93"/>
      <c r="BT76" s="93"/>
      <c r="BU76" s="93"/>
      <c r="BV76" s="93"/>
      <c r="BW76" s="93"/>
      <c r="BX76" s="93"/>
      <c r="BY76" s="93"/>
      <c r="BZ76" s="93"/>
      <c r="CA76" s="93"/>
      <c r="CB76" s="93"/>
      <c r="CC76" s="93"/>
      <c r="CD76" s="93"/>
      <c r="CE76" s="93"/>
      <c r="CF76" s="93"/>
      <c r="CG76" s="93"/>
      <c r="CH76" s="93"/>
      <c r="CI76" s="93"/>
      <c r="CJ76" s="93"/>
      <c r="CK76" s="93"/>
      <c r="CL76" s="93"/>
      <c r="CM76" s="93"/>
      <c r="CN76" s="93"/>
      <c r="CO76" s="93"/>
      <c r="CP76" s="93"/>
      <c r="CQ76" s="93"/>
      <c r="CR76" s="93"/>
      <c r="CS76" s="93"/>
      <c r="CT76" s="93"/>
      <c r="CU76" s="93"/>
      <c r="CV76" s="93"/>
      <c r="CW76" s="93"/>
      <c r="CX76" s="93"/>
      <c r="CY76" s="93"/>
      <c r="CZ76" s="93"/>
      <c r="DA76" s="93"/>
      <c r="DB76" s="93"/>
      <c r="DC76" s="93"/>
      <c r="DD76" s="93"/>
      <c r="DE76" s="93"/>
      <c r="DF76" s="93"/>
      <c r="DG76" s="93"/>
      <c r="DH76" s="93"/>
      <c r="DI76" s="826"/>
      <c r="DJ76" s="825"/>
      <c r="DK76" s="825"/>
      <c r="GO76" s="92"/>
      <c r="GP76" s="831"/>
    </row>
    <row r="77" spans="1:198" s="806" customFormat="1" ht="15">
      <c r="D77" s="1059"/>
      <c r="G77" s="827"/>
      <c r="H77" s="809" t="s">
        <v>8336</v>
      </c>
      <c r="I77" s="92">
        <v>24</v>
      </c>
      <c r="J77" s="92" t="s">
        <v>10</v>
      </c>
      <c r="K77" s="857"/>
      <c r="L77" s="858"/>
      <c r="M77" s="859" t="str">
        <f t="shared" si="5"/>
        <v/>
      </c>
      <c r="N77" s="92"/>
      <c r="O77" s="92"/>
      <c r="P77" s="1638"/>
      <c r="Q77" s="92"/>
      <c r="R77" s="92"/>
      <c r="S77" s="820"/>
      <c r="T77" s="820"/>
      <c r="U77" s="820"/>
      <c r="V77" s="834"/>
      <c r="W77" s="815"/>
      <c r="X77" s="811" t="str">
        <f t="shared" si="6"/>
        <v/>
      </c>
      <c r="Y77" s="816"/>
      <c r="Z77" s="816"/>
      <c r="AA77" s="816"/>
      <c r="AB77" s="834"/>
      <c r="AC77" s="809"/>
      <c r="AD77" s="824"/>
      <c r="AE77" s="93"/>
      <c r="AF77" s="818"/>
      <c r="AG77" s="807" t="str">
        <f t="shared" si="4"/>
        <v/>
      </c>
      <c r="AH77" s="807"/>
      <c r="AI77" s="807"/>
      <c r="AJ77" s="807"/>
      <c r="AK77" s="92"/>
      <c r="AL77" s="92"/>
      <c r="AM77" s="819"/>
      <c r="AN77" s="820"/>
      <c r="AO77" s="817"/>
      <c r="AP77" s="820"/>
      <c r="AQ77" s="93"/>
      <c r="AR77" s="93"/>
      <c r="AS77" s="93"/>
      <c r="AT77" s="93"/>
      <c r="AU77" s="93"/>
      <c r="AV77" s="93"/>
      <c r="AW77" s="93"/>
      <c r="AX77" s="93"/>
      <c r="AY77" s="93"/>
      <c r="AZ77" s="93"/>
      <c r="BA77" s="93"/>
      <c r="BB77" s="93"/>
      <c r="BC77" s="93"/>
      <c r="BD77" s="93"/>
      <c r="BE77" s="93"/>
      <c r="BF77" s="93"/>
      <c r="BG77" s="93"/>
      <c r="BH77" s="93"/>
      <c r="BI77" s="93"/>
      <c r="BJ77" s="93"/>
      <c r="BK77" s="93"/>
      <c r="BL77" s="93"/>
      <c r="BM77" s="93"/>
      <c r="BN77" s="93"/>
      <c r="BT77" s="93"/>
      <c r="BU77" s="93"/>
      <c r="BV77" s="93"/>
      <c r="BW77" s="93"/>
      <c r="BX77" s="93"/>
      <c r="BY77" s="93"/>
      <c r="BZ77" s="93"/>
      <c r="CA77" s="93"/>
      <c r="CB77" s="93"/>
      <c r="CC77" s="93"/>
      <c r="CD77" s="93"/>
      <c r="CE77" s="93"/>
      <c r="CF77" s="93"/>
      <c r="CG77" s="93"/>
      <c r="CH77" s="93"/>
      <c r="CI77" s="93"/>
      <c r="CJ77" s="93"/>
      <c r="CK77" s="93"/>
      <c r="CL77" s="93"/>
      <c r="CM77" s="93"/>
      <c r="CN77" s="93"/>
      <c r="CO77" s="93"/>
      <c r="CP77" s="93"/>
      <c r="CQ77" s="93"/>
      <c r="CR77" s="93"/>
      <c r="CS77" s="93"/>
      <c r="CT77" s="93"/>
      <c r="CU77" s="93"/>
      <c r="CV77" s="93"/>
      <c r="CW77" s="93"/>
      <c r="CX77" s="93"/>
      <c r="CY77" s="93"/>
      <c r="CZ77" s="93"/>
      <c r="DA77" s="93"/>
      <c r="DB77" s="93"/>
      <c r="DC77" s="93"/>
      <c r="DD77" s="93"/>
      <c r="DE77" s="93"/>
      <c r="DF77" s="93"/>
      <c r="DG77" s="93"/>
      <c r="DH77" s="93"/>
      <c r="DI77" s="826"/>
      <c r="DJ77" s="825"/>
      <c r="DK77" s="825"/>
      <c r="GO77" s="92"/>
      <c r="GP77" s="831"/>
    </row>
    <row r="78" spans="1:198" ht="15">
      <c r="D78" s="1059"/>
      <c r="G78" s="827"/>
      <c r="H78" s="809" t="s">
        <v>8337</v>
      </c>
      <c r="I78" s="92">
        <v>22</v>
      </c>
      <c r="J78" s="92" t="s">
        <v>10</v>
      </c>
      <c r="K78" s="857"/>
      <c r="L78" s="858"/>
      <c r="M78" s="859" t="str">
        <f t="shared" si="5"/>
        <v/>
      </c>
      <c r="O78" s="92"/>
      <c r="P78" s="1638"/>
      <c r="Q78" s="92"/>
      <c r="R78" s="92"/>
      <c r="S78" s="820"/>
      <c r="T78" s="820"/>
      <c r="U78" s="820"/>
      <c r="V78" s="834"/>
      <c r="X78" s="811" t="str">
        <f t="shared" si="6"/>
        <v/>
      </c>
      <c r="AB78" s="834"/>
      <c r="AC78" s="809"/>
      <c r="AD78" s="824"/>
      <c r="AG78" s="807" t="str">
        <f t="shared" si="4"/>
        <v/>
      </c>
      <c r="AH78" s="807"/>
      <c r="AI78" s="807"/>
      <c r="AJ78" s="807"/>
      <c r="AK78" s="92"/>
      <c r="AM78" s="819"/>
      <c r="AN78" s="820"/>
      <c r="AQ78" s="93"/>
      <c r="AR78" s="93"/>
      <c r="AS78" s="93"/>
      <c r="AT78" s="93"/>
      <c r="AU78" s="93"/>
      <c r="AV78" s="93"/>
      <c r="AW78" s="93"/>
      <c r="AX78" s="93"/>
      <c r="AY78" s="93"/>
      <c r="AZ78" s="93"/>
      <c r="BA78" s="93"/>
      <c r="BB78" s="93"/>
      <c r="BL78" s="93"/>
      <c r="BM78" s="93"/>
      <c r="BT78" s="93"/>
      <c r="BU78" s="93"/>
      <c r="BV78" s="93"/>
      <c r="BW78" s="93"/>
      <c r="BX78" s="93"/>
      <c r="BY78" s="93"/>
      <c r="BZ78" s="93"/>
      <c r="CA78" s="93"/>
      <c r="CB78" s="93"/>
      <c r="CC78" s="93"/>
      <c r="CF78" s="93"/>
      <c r="CG78" s="93"/>
      <c r="CH78" s="93"/>
      <c r="CI78" s="93"/>
      <c r="CJ78" s="93"/>
      <c r="CK78" s="93"/>
      <c r="CL78" s="93"/>
      <c r="CM78" s="93"/>
      <c r="CN78" s="93"/>
      <c r="CO78" s="93"/>
      <c r="CP78" s="93"/>
      <c r="CQ78" s="93"/>
      <c r="CR78" s="93"/>
      <c r="CS78" s="93"/>
      <c r="CT78" s="93"/>
      <c r="CU78" s="93"/>
      <c r="CV78" s="93"/>
      <c r="CW78" s="93"/>
      <c r="CX78" s="93"/>
      <c r="CY78" s="93"/>
      <c r="CZ78" s="93"/>
      <c r="DA78" s="93"/>
      <c r="DB78" s="93"/>
      <c r="DC78" s="93"/>
      <c r="DD78" s="93"/>
      <c r="DE78" s="93"/>
      <c r="DF78" s="93"/>
      <c r="DG78" s="93"/>
      <c r="DH78" s="93"/>
      <c r="DI78" s="93"/>
      <c r="DJ78" s="93"/>
      <c r="DK78" s="93"/>
      <c r="DL78" s="93"/>
      <c r="DM78" s="93"/>
      <c r="DN78" s="93"/>
      <c r="DO78" s="93"/>
    </row>
    <row r="79" spans="1:198" s="806" customFormat="1" ht="15">
      <c r="D79" s="1059"/>
      <c r="G79" s="827"/>
      <c r="H79" s="809" t="s">
        <v>8338</v>
      </c>
      <c r="I79" s="92">
        <v>20</v>
      </c>
      <c r="J79" s="92" t="s">
        <v>18</v>
      </c>
      <c r="K79" s="857"/>
      <c r="L79" s="858"/>
      <c r="M79" s="859" t="str">
        <f t="shared" si="5"/>
        <v/>
      </c>
      <c r="N79" s="92"/>
      <c r="O79" s="92"/>
      <c r="P79" s="1638"/>
      <c r="Q79" s="92"/>
      <c r="R79" s="92"/>
      <c r="S79" s="820"/>
      <c r="T79" s="820"/>
      <c r="U79" s="820"/>
      <c r="V79" s="834">
        <f>SUM(S75:U79)</f>
        <v>13000</v>
      </c>
      <c r="W79" s="815"/>
      <c r="X79" s="811" t="str">
        <f t="shared" si="6"/>
        <v/>
      </c>
      <c r="Y79" s="816"/>
      <c r="Z79" s="816"/>
      <c r="AA79" s="816"/>
      <c r="AB79" s="834">
        <f>SUM(Y75:AA79)</f>
        <v>0</v>
      </c>
      <c r="AC79" s="809"/>
      <c r="AD79" s="824"/>
      <c r="AE79" s="93"/>
      <c r="AF79" s="818"/>
      <c r="AG79" s="807" t="str">
        <f t="shared" si="4"/>
        <v/>
      </c>
      <c r="AH79" s="807"/>
      <c r="AI79" s="807"/>
      <c r="AJ79" s="807"/>
      <c r="AK79" s="92"/>
      <c r="AL79" s="92"/>
      <c r="AM79" s="819"/>
      <c r="AN79" s="820"/>
      <c r="AO79" s="817"/>
      <c r="AP79" s="820"/>
      <c r="AQ79" s="93"/>
      <c r="AR79" s="93"/>
      <c r="AS79" s="93"/>
      <c r="AT79" s="93"/>
      <c r="AU79" s="93"/>
      <c r="AV79" s="93"/>
      <c r="AW79" s="93"/>
      <c r="AX79" s="93"/>
      <c r="AY79" s="93"/>
      <c r="AZ79" s="93"/>
      <c r="BA79" s="93"/>
      <c r="BB79" s="93"/>
      <c r="BC79" s="93"/>
      <c r="BD79" s="93"/>
      <c r="BE79" s="93"/>
      <c r="BF79" s="93"/>
      <c r="BG79" s="93"/>
      <c r="BH79" s="93"/>
      <c r="BI79" s="93"/>
      <c r="BJ79" s="93"/>
      <c r="BK79" s="93"/>
      <c r="BL79" s="93"/>
      <c r="BM79" s="93" t="s">
        <v>2144</v>
      </c>
      <c r="BN79" s="93" t="s">
        <v>2145</v>
      </c>
      <c r="BT79" s="93"/>
      <c r="BU79" s="93"/>
      <c r="BV79" s="93"/>
      <c r="BW79" s="93"/>
      <c r="BX79" s="93"/>
      <c r="BY79" s="93"/>
      <c r="BZ79" s="93"/>
      <c r="CA79" s="93"/>
      <c r="CB79" s="93"/>
      <c r="CC79" s="93"/>
      <c r="CD79" s="93"/>
      <c r="CE79" s="93"/>
      <c r="CF79" s="93">
        <v>1</v>
      </c>
      <c r="CG79" s="93"/>
      <c r="CH79" s="93"/>
      <c r="CI79" s="93"/>
      <c r="CJ79" s="93"/>
      <c r="CK79" s="93"/>
      <c r="CL79" s="93"/>
      <c r="CM79" s="93"/>
      <c r="CN79" s="93"/>
      <c r="CO79" s="93"/>
      <c r="CP79" s="93"/>
      <c r="CQ79" s="93"/>
      <c r="CR79" s="93"/>
      <c r="CS79" s="93"/>
      <c r="CT79" s="93"/>
      <c r="CU79" s="93"/>
      <c r="CV79" s="93"/>
      <c r="CW79" s="93"/>
      <c r="CX79" s="93"/>
      <c r="CY79" s="93"/>
      <c r="CZ79" s="93"/>
      <c r="DA79" s="93"/>
      <c r="DB79" s="93"/>
      <c r="DC79" s="93"/>
      <c r="DD79" s="93"/>
      <c r="DE79" s="93"/>
      <c r="DF79" s="93"/>
      <c r="DG79" s="93"/>
      <c r="DH79" s="93"/>
      <c r="DI79" s="826"/>
      <c r="DJ79" s="825"/>
      <c r="DK79" s="825"/>
      <c r="GO79" s="92"/>
      <c r="GP79" s="831"/>
    </row>
    <row r="80" spans="1:198" s="806" customFormat="1" ht="15">
      <c r="D80" s="1059" t="s">
        <v>70</v>
      </c>
      <c r="G80" s="809" t="s">
        <v>70</v>
      </c>
      <c r="H80" s="809" t="s">
        <v>8339</v>
      </c>
      <c r="I80" s="92"/>
      <c r="J80" s="92" t="s">
        <v>10</v>
      </c>
      <c r="K80" s="92"/>
      <c r="L80" s="810"/>
      <c r="M80" s="811" t="str">
        <f t="shared" si="5"/>
        <v/>
      </c>
      <c r="N80" s="92"/>
      <c r="O80" s="92"/>
      <c r="P80" s="1638"/>
      <c r="Q80" s="92"/>
      <c r="R80" s="92"/>
      <c r="S80" s="848"/>
      <c r="T80" s="813"/>
      <c r="U80" s="813"/>
      <c r="V80" s="814"/>
      <c r="W80" s="815"/>
      <c r="X80" s="811" t="str">
        <f t="shared" si="6"/>
        <v/>
      </c>
      <c r="Y80" s="816"/>
      <c r="Z80" s="816"/>
      <c r="AA80" s="816"/>
      <c r="AB80" s="814"/>
      <c r="AC80" s="809"/>
      <c r="AD80" s="824" t="s">
        <v>8340</v>
      </c>
      <c r="AE80" s="93"/>
      <c r="AF80" s="818"/>
      <c r="AG80" s="807" t="str">
        <f t="shared" si="4"/>
        <v/>
      </c>
      <c r="AH80" s="807"/>
      <c r="AI80" s="807"/>
      <c r="AJ80" s="807"/>
      <c r="AK80" s="92"/>
      <c r="AL80" s="92"/>
      <c r="AM80" s="819"/>
      <c r="AN80" s="820"/>
      <c r="AO80" s="817"/>
      <c r="AP80" s="820"/>
      <c r="AQ80" s="93"/>
      <c r="AR80" s="93"/>
      <c r="AS80" s="93"/>
      <c r="AT80" s="93"/>
      <c r="AU80" s="93"/>
      <c r="AV80" s="93"/>
      <c r="AW80" s="93"/>
      <c r="AX80" s="93"/>
      <c r="AY80" s="93"/>
      <c r="AZ80" s="93"/>
      <c r="BA80" s="93"/>
      <c r="BB80" s="93"/>
      <c r="BC80" s="93"/>
      <c r="BD80" s="93"/>
      <c r="BE80" s="93"/>
      <c r="BF80" s="93"/>
      <c r="BG80" s="93"/>
      <c r="BH80" s="93"/>
      <c r="BI80" s="93"/>
      <c r="BJ80" s="93"/>
      <c r="BK80" s="93"/>
      <c r="BL80" s="93"/>
      <c r="BM80" s="93"/>
      <c r="BN80" s="93"/>
      <c r="BT80" s="93"/>
      <c r="BU80" s="93"/>
      <c r="BV80" s="93"/>
      <c r="BW80" s="93"/>
      <c r="BX80" s="93"/>
      <c r="BY80" s="93" t="s">
        <v>2144</v>
      </c>
      <c r="BZ80" s="93"/>
      <c r="CA80" s="93"/>
      <c r="CB80" s="93"/>
      <c r="CC80" s="93"/>
      <c r="CD80" s="93"/>
      <c r="CE80" s="93"/>
      <c r="CF80" s="93"/>
      <c r="CG80" s="93"/>
      <c r="CH80" s="93"/>
      <c r="CI80" s="93"/>
      <c r="CJ80" s="93"/>
      <c r="CK80" s="93"/>
      <c r="CL80" s="93"/>
      <c r="CM80" s="93"/>
      <c r="CN80" s="93"/>
      <c r="CO80" s="93"/>
      <c r="CP80" s="93"/>
      <c r="CQ80" s="93" t="s">
        <v>2146</v>
      </c>
      <c r="CR80" s="93"/>
      <c r="CS80" s="93" t="s">
        <v>2145</v>
      </c>
      <c r="CT80" s="93"/>
      <c r="CU80" s="93"/>
      <c r="CV80" s="93"/>
      <c r="CW80" s="93"/>
      <c r="CX80" s="93"/>
      <c r="CY80" s="93"/>
      <c r="CZ80" s="93"/>
      <c r="DA80" s="93"/>
      <c r="DB80" s="93"/>
      <c r="DC80" s="93"/>
      <c r="DD80" s="93"/>
      <c r="DE80" s="93"/>
      <c r="DF80" s="93"/>
      <c r="DG80" s="93"/>
      <c r="DH80" s="93"/>
      <c r="DI80" s="93"/>
      <c r="DJ80" s="93"/>
      <c r="DK80" s="93"/>
      <c r="DL80" s="93"/>
      <c r="DM80" s="93"/>
      <c r="DN80" s="93"/>
      <c r="DO80" s="93"/>
      <c r="DP80" s="807"/>
      <c r="DQ80" s="807"/>
      <c r="DR80" s="807"/>
      <c r="DS80" s="807"/>
      <c r="GO80" s="92"/>
      <c r="GP80" s="831"/>
    </row>
    <row r="81" spans="1:198" s="806" customFormat="1" ht="15">
      <c r="D81" s="1059"/>
      <c r="G81" s="827"/>
      <c r="H81" s="809" t="s">
        <v>8341</v>
      </c>
      <c r="I81" s="92"/>
      <c r="J81" s="92" t="s">
        <v>18</v>
      </c>
      <c r="K81" s="92"/>
      <c r="L81" s="810"/>
      <c r="M81" s="811" t="str">
        <f t="shared" si="5"/>
        <v/>
      </c>
      <c r="N81" s="92"/>
      <c r="O81" s="92"/>
      <c r="P81" s="1638"/>
      <c r="Q81" s="92"/>
      <c r="R81" s="92"/>
      <c r="S81" s="848"/>
      <c r="T81" s="813"/>
      <c r="U81" s="813"/>
      <c r="V81" s="814">
        <f>SUM(S80:U81)</f>
        <v>0</v>
      </c>
      <c r="W81" s="815"/>
      <c r="X81" s="811" t="str">
        <f t="shared" si="6"/>
        <v/>
      </c>
      <c r="Y81" s="816"/>
      <c r="Z81" s="816"/>
      <c r="AA81" s="816"/>
      <c r="AB81" s="814">
        <f>SUM(Y80:AA81)</f>
        <v>0</v>
      </c>
      <c r="AC81" s="809"/>
      <c r="AD81" s="824"/>
      <c r="AE81" s="93"/>
      <c r="AF81" s="818"/>
      <c r="AG81" s="807" t="str">
        <f t="shared" si="4"/>
        <v/>
      </c>
      <c r="AH81" s="807"/>
      <c r="AI81" s="807"/>
      <c r="AJ81" s="807"/>
      <c r="AK81" s="92"/>
      <c r="AL81" s="92"/>
      <c r="AM81" s="819"/>
      <c r="AN81" s="820"/>
      <c r="AO81" s="817"/>
      <c r="AP81" s="820"/>
      <c r="AQ81" s="93"/>
      <c r="AR81" s="93"/>
      <c r="AS81" s="93"/>
      <c r="AT81" s="93"/>
      <c r="AU81" s="93"/>
      <c r="AV81" s="93"/>
      <c r="AW81" s="93"/>
      <c r="AX81" s="93"/>
      <c r="AY81" s="93"/>
      <c r="AZ81" s="93"/>
      <c r="BA81" s="93"/>
      <c r="BB81" s="93"/>
      <c r="BC81" s="93"/>
      <c r="BD81" s="93"/>
      <c r="BE81" s="93"/>
      <c r="BF81" s="93"/>
      <c r="BG81" s="93"/>
      <c r="BH81" s="93"/>
      <c r="BI81" s="93"/>
      <c r="BJ81" s="93"/>
      <c r="BK81" s="93"/>
      <c r="BL81" s="93"/>
      <c r="BM81" s="93"/>
      <c r="BN81" s="93"/>
      <c r="BT81" s="93"/>
      <c r="BU81" s="93"/>
      <c r="BV81" s="93"/>
      <c r="BW81" s="93"/>
      <c r="BX81" s="93"/>
      <c r="BY81" s="93" t="s">
        <v>2146</v>
      </c>
      <c r="BZ81" s="93"/>
      <c r="CA81" s="93"/>
      <c r="CB81" s="93"/>
      <c r="CC81" s="93"/>
      <c r="CD81" s="93"/>
      <c r="CE81" s="93"/>
      <c r="CF81" s="93"/>
      <c r="CG81" s="93"/>
      <c r="CH81" s="93"/>
      <c r="CI81" s="93"/>
      <c r="CJ81" s="93"/>
      <c r="CK81" s="93"/>
      <c r="CL81" s="93"/>
      <c r="CM81" s="93"/>
      <c r="CN81" s="93"/>
      <c r="CO81" s="93"/>
      <c r="CP81" s="93"/>
      <c r="CQ81" s="93" t="s">
        <v>2145</v>
      </c>
      <c r="CR81" s="93"/>
      <c r="CS81" s="93" t="s">
        <v>2144</v>
      </c>
      <c r="CT81" s="93"/>
      <c r="CU81" s="93"/>
      <c r="CV81" s="93"/>
      <c r="CW81" s="93"/>
      <c r="CX81" s="93"/>
      <c r="CY81" s="93"/>
      <c r="CZ81" s="93"/>
      <c r="DA81" s="93"/>
      <c r="DB81" s="93"/>
      <c r="DC81" s="93"/>
      <c r="DD81" s="93"/>
      <c r="DE81" s="93"/>
      <c r="DF81" s="93"/>
      <c r="DG81" s="93"/>
      <c r="DH81" s="93"/>
      <c r="DI81" s="93"/>
      <c r="DJ81" s="93"/>
      <c r="DK81" s="93"/>
      <c r="DL81" s="93"/>
      <c r="DM81" s="93"/>
      <c r="DN81" s="93"/>
      <c r="DO81" s="93"/>
      <c r="DP81" s="807"/>
      <c r="DQ81" s="807"/>
      <c r="DR81" s="807"/>
      <c r="DS81" s="807"/>
      <c r="GO81" s="92"/>
      <c r="GP81" s="831"/>
    </row>
    <row r="82" spans="1:198" s="806" customFormat="1" ht="15">
      <c r="A82" s="343" t="s">
        <v>12386</v>
      </c>
      <c r="B82" s="1094" t="s">
        <v>11792</v>
      </c>
      <c r="C82" s="167" t="s">
        <v>11791</v>
      </c>
      <c r="D82" s="1059" t="s">
        <v>71</v>
      </c>
      <c r="G82" s="809" t="s">
        <v>71</v>
      </c>
      <c r="H82" s="809" t="s">
        <v>2150</v>
      </c>
      <c r="I82" s="92"/>
      <c r="J82" s="92" t="s">
        <v>10</v>
      </c>
      <c r="K82" s="92"/>
      <c r="L82" s="810"/>
      <c r="M82" s="811" t="str">
        <f t="shared" si="5"/>
        <v/>
      </c>
      <c r="N82" s="92"/>
      <c r="O82" s="92"/>
      <c r="P82" s="1638"/>
      <c r="Q82" s="92"/>
      <c r="R82" s="92" t="s">
        <v>1208</v>
      </c>
      <c r="S82" s="848"/>
      <c r="T82" s="813"/>
      <c r="U82" s="813"/>
      <c r="V82" s="828"/>
      <c r="W82" s="815"/>
      <c r="X82" s="811" t="str">
        <f t="shared" si="6"/>
        <v/>
      </c>
      <c r="Y82" s="816"/>
      <c r="Z82" s="816"/>
      <c r="AA82" s="816"/>
      <c r="AB82" s="828"/>
      <c r="AC82" s="809"/>
      <c r="AD82" s="824" t="s">
        <v>8340</v>
      </c>
      <c r="AE82" s="93"/>
      <c r="AF82" s="818"/>
      <c r="AG82" s="807" t="str">
        <f t="shared" si="4"/>
        <v/>
      </c>
      <c r="AH82" s="807"/>
      <c r="AI82" s="807"/>
      <c r="AJ82" s="807"/>
      <c r="AK82" s="92"/>
      <c r="AL82" s="92"/>
      <c r="AM82" s="819"/>
      <c r="AN82" s="820"/>
      <c r="AO82" s="817"/>
      <c r="AP82" s="820"/>
      <c r="AQ82" s="93"/>
      <c r="AR82" s="93"/>
      <c r="AS82" s="93"/>
      <c r="AT82" s="93"/>
      <c r="AU82" s="93"/>
      <c r="AV82" s="93"/>
      <c r="AW82" s="93"/>
      <c r="AX82" s="93"/>
      <c r="AY82" s="93"/>
      <c r="AZ82" s="93"/>
      <c r="BA82" s="93"/>
      <c r="BB82" s="93"/>
      <c r="BC82" s="93"/>
      <c r="BD82" s="93"/>
      <c r="BE82" s="93"/>
      <c r="BF82" s="93"/>
      <c r="BG82" s="93"/>
      <c r="BH82" s="93"/>
      <c r="BI82" s="93"/>
      <c r="BJ82" s="93"/>
      <c r="BK82" s="93"/>
      <c r="BL82" s="93"/>
      <c r="BM82" s="93"/>
      <c r="BN82" s="93"/>
      <c r="BT82" s="93"/>
      <c r="BU82" s="93"/>
      <c r="BV82" s="93"/>
      <c r="BW82" s="93"/>
      <c r="BX82" s="93"/>
      <c r="BY82" s="93"/>
      <c r="BZ82" s="93"/>
      <c r="CA82" s="93"/>
      <c r="CB82" s="93"/>
      <c r="CC82" s="93"/>
      <c r="CD82" s="93"/>
      <c r="CE82" s="93"/>
      <c r="CF82" s="93"/>
      <c r="CG82" s="93"/>
      <c r="CH82" s="93"/>
      <c r="CI82" s="93"/>
      <c r="CJ82" s="93"/>
      <c r="CK82" s="93"/>
      <c r="CL82" s="93"/>
      <c r="CM82" s="93"/>
      <c r="CN82" s="93"/>
      <c r="CO82" s="93"/>
      <c r="CP82" s="93"/>
      <c r="CQ82" s="93"/>
      <c r="CR82" s="93"/>
      <c r="CS82" s="93" t="s">
        <v>2144</v>
      </c>
      <c r="CT82" s="93"/>
      <c r="CU82" s="93"/>
      <c r="CV82" s="93"/>
      <c r="CW82" s="93"/>
      <c r="CX82" s="93"/>
      <c r="CY82" s="93">
        <v>3</v>
      </c>
      <c r="CZ82" s="93"/>
      <c r="DA82" s="93"/>
      <c r="DB82" s="93"/>
      <c r="DC82" s="93"/>
      <c r="DD82" s="93"/>
      <c r="DE82" s="93">
        <v>2</v>
      </c>
      <c r="DF82" s="93"/>
      <c r="DG82" s="93"/>
      <c r="DH82" s="93"/>
      <c r="DI82" s="93"/>
      <c r="DJ82" s="93"/>
      <c r="DK82" s="93"/>
      <c r="DL82" s="93"/>
      <c r="DM82" s="93"/>
      <c r="DN82" s="93"/>
      <c r="DO82" s="93"/>
      <c r="DP82" s="807"/>
      <c r="DQ82" s="807"/>
      <c r="DR82" s="807"/>
      <c r="DS82" s="807"/>
      <c r="GO82" s="92"/>
      <c r="GP82" s="831"/>
    </row>
    <row r="83" spans="1:198" s="806" customFormat="1" ht="15">
      <c r="A83" s="17"/>
      <c r="D83" s="1059"/>
      <c r="G83" s="827"/>
      <c r="H83" s="809" t="s">
        <v>8342</v>
      </c>
      <c r="I83" s="92"/>
      <c r="J83" s="92" t="s">
        <v>18</v>
      </c>
      <c r="K83" s="92"/>
      <c r="L83" s="810"/>
      <c r="M83" s="811" t="str">
        <f t="shared" si="5"/>
        <v/>
      </c>
      <c r="N83" s="92"/>
      <c r="O83" s="92"/>
      <c r="P83" s="1638"/>
      <c r="Q83" s="92"/>
      <c r="R83" s="92"/>
      <c r="S83" s="848"/>
      <c r="T83" s="813"/>
      <c r="U83" s="813"/>
      <c r="V83" s="828">
        <f>SUM(S82:U83)</f>
        <v>0</v>
      </c>
      <c r="W83" s="815"/>
      <c r="X83" s="811" t="str">
        <f t="shared" si="6"/>
        <v/>
      </c>
      <c r="Y83" s="816"/>
      <c r="Z83" s="816"/>
      <c r="AA83" s="816"/>
      <c r="AB83" s="828">
        <f>SUM(Y82:AA83)</f>
        <v>0</v>
      </c>
      <c r="AC83" s="809"/>
      <c r="AD83" s="824"/>
      <c r="AE83" s="93"/>
      <c r="AF83" s="818"/>
      <c r="AG83" s="807" t="str">
        <f t="shared" si="4"/>
        <v/>
      </c>
      <c r="AH83" s="807"/>
      <c r="AI83" s="807"/>
      <c r="AJ83" s="807"/>
      <c r="AK83" s="92"/>
      <c r="AL83" s="92"/>
      <c r="AM83" s="819"/>
      <c r="AN83" s="820"/>
      <c r="AO83" s="817"/>
      <c r="AP83" s="820"/>
      <c r="AQ83" s="93"/>
      <c r="AR83" s="93"/>
      <c r="AS83" s="93"/>
      <c r="AT83" s="93"/>
      <c r="AU83" s="93"/>
      <c r="AV83" s="93"/>
      <c r="AW83" s="93"/>
      <c r="AX83" s="93"/>
      <c r="AY83" s="93"/>
      <c r="AZ83" s="93"/>
      <c r="BA83" s="93"/>
      <c r="BB83" s="93"/>
      <c r="BC83" s="93"/>
      <c r="BD83" s="93"/>
      <c r="BE83" s="93"/>
      <c r="BF83" s="93"/>
      <c r="BG83" s="93"/>
      <c r="BH83" s="93"/>
      <c r="BI83" s="93"/>
      <c r="BJ83" s="93"/>
      <c r="BK83" s="93"/>
      <c r="BL83" s="93"/>
      <c r="BM83" s="93"/>
      <c r="BN83" s="93"/>
      <c r="BT83" s="93"/>
      <c r="BU83" s="93"/>
      <c r="BV83" s="93"/>
      <c r="BW83" s="93"/>
      <c r="BX83" s="93"/>
      <c r="BY83" s="93"/>
      <c r="BZ83" s="93"/>
      <c r="CA83" s="93"/>
      <c r="CB83" s="93"/>
      <c r="CC83" s="93"/>
      <c r="CD83" s="93"/>
      <c r="CE83" s="93"/>
      <c r="CF83" s="93"/>
      <c r="CG83" s="93"/>
      <c r="CH83" s="93"/>
      <c r="CI83" s="93"/>
      <c r="CJ83" s="93"/>
      <c r="CK83" s="93"/>
      <c r="CL83" s="93"/>
      <c r="CM83" s="93"/>
      <c r="CN83" s="93"/>
      <c r="CO83" s="93"/>
      <c r="CP83" s="93"/>
      <c r="CQ83" s="93"/>
      <c r="CR83" s="93"/>
      <c r="CS83" s="93" t="s">
        <v>2145</v>
      </c>
      <c r="CT83" s="93" t="s">
        <v>2144</v>
      </c>
      <c r="CU83" s="93"/>
      <c r="CV83" s="93"/>
      <c r="CW83" s="93"/>
      <c r="CX83" s="93"/>
      <c r="CY83" s="93"/>
      <c r="CZ83" s="93"/>
      <c r="DA83" s="93"/>
      <c r="DB83" s="93"/>
      <c r="DC83" s="93"/>
      <c r="DD83" s="93"/>
      <c r="DE83" s="93"/>
      <c r="DF83" s="93"/>
      <c r="DG83" s="93"/>
      <c r="DH83" s="93"/>
      <c r="DI83" s="93"/>
      <c r="DJ83" s="93"/>
      <c r="DK83" s="93"/>
      <c r="DL83" s="93"/>
      <c r="DM83" s="93"/>
      <c r="DN83" s="93"/>
      <c r="DO83" s="93"/>
      <c r="DP83" s="807"/>
      <c r="DQ83" s="807"/>
      <c r="DR83" s="807"/>
      <c r="DS83" s="807"/>
      <c r="GO83" s="92"/>
      <c r="GP83" s="831"/>
    </row>
    <row r="84" spans="1:198" s="806" customFormat="1" ht="15">
      <c r="A84" s="19" t="s">
        <v>7421</v>
      </c>
      <c r="B84" s="1095" t="s">
        <v>7559</v>
      </c>
      <c r="C84" s="167" t="s">
        <v>85</v>
      </c>
      <c r="D84" s="1059" t="s">
        <v>85</v>
      </c>
      <c r="E84" s="1038" t="s">
        <v>85</v>
      </c>
      <c r="F84" s="1047" t="s">
        <v>7347</v>
      </c>
      <c r="G84" s="846" t="s">
        <v>85</v>
      </c>
      <c r="H84" s="809" t="s">
        <v>7347</v>
      </c>
      <c r="I84" s="857">
        <v>60</v>
      </c>
      <c r="J84" s="92" t="s">
        <v>10</v>
      </c>
      <c r="K84" s="92" t="s">
        <v>722</v>
      </c>
      <c r="L84" s="810">
        <v>5</v>
      </c>
      <c r="M84" s="811" t="str">
        <f t="shared" si="5"/>
        <v>High School Graduate</v>
      </c>
      <c r="N84" s="92"/>
      <c r="O84" s="92"/>
      <c r="P84" s="1638"/>
      <c r="Q84" s="92"/>
      <c r="R84" s="92" t="s">
        <v>1208</v>
      </c>
      <c r="S84" s="848"/>
      <c r="T84" s="813"/>
      <c r="U84" s="813"/>
      <c r="V84" s="873"/>
      <c r="W84" s="815"/>
      <c r="X84" s="811" t="str">
        <f t="shared" si="6"/>
        <v/>
      </c>
      <c r="Y84" s="816"/>
      <c r="Z84" s="816"/>
      <c r="AA84" s="816"/>
      <c r="AB84" s="873"/>
      <c r="AC84" s="809"/>
      <c r="AD84" s="824" t="s">
        <v>11287</v>
      </c>
      <c r="AE84" s="93"/>
      <c r="AF84" s="818"/>
      <c r="AG84" s="807"/>
      <c r="AH84" s="807"/>
      <c r="AI84" s="807"/>
      <c r="AJ84" s="807"/>
      <c r="AK84" s="92"/>
      <c r="AL84" s="92"/>
      <c r="AM84" s="819"/>
      <c r="AN84" s="820"/>
      <c r="AO84" s="817"/>
      <c r="AP84" s="820"/>
      <c r="AQ84" s="93"/>
      <c r="AR84" s="93"/>
      <c r="AS84" s="93"/>
      <c r="AT84" s="93"/>
      <c r="AU84" s="93"/>
      <c r="AV84" s="93"/>
      <c r="AW84" s="93"/>
      <c r="AX84" s="93"/>
      <c r="AY84" s="93"/>
      <c r="AZ84" s="93"/>
      <c r="BA84" s="93"/>
      <c r="BB84" s="93"/>
      <c r="BC84" s="93"/>
      <c r="BD84" s="93"/>
      <c r="BE84" s="93"/>
      <c r="BF84" s="93"/>
      <c r="BG84" s="93"/>
      <c r="BH84" s="93"/>
      <c r="BI84" s="93"/>
      <c r="BJ84" s="93"/>
      <c r="BK84" s="93"/>
      <c r="BL84" s="93"/>
      <c r="BM84" s="93"/>
      <c r="BN84" s="93"/>
      <c r="BT84" s="93"/>
      <c r="BU84" s="93"/>
      <c r="BV84" s="93"/>
      <c r="BW84" s="93"/>
      <c r="BX84" s="93"/>
      <c r="BY84" s="93"/>
      <c r="BZ84" s="93"/>
      <c r="CA84" s="93"/>
      <c r="CB84" s="93"/>
      <c r="CC84" s="93"/>
      <c r="CD84" s="93"/>
      <c r="CE84" s="93"/>
      <c r="CF84" s="93"/>
      <c r="CG84" s="93"/>
      <c r="CH84" s="93"/>
      <c r="CI84" s="93"/>
      <c r="CJ84" s="93"/>
      <c r="CK84" s="93"/>
      <c r="CL84" s="93"/>
      <c r="CM84" s="93"/>
      <c r="CN84" s="93"/>
      <c r="CO84" s="93"/>
      <c r="CP84" s="93"/>
      <c r="CQ84" s="93"/>
      <c r="CR84" s="93"/>
      <c r="CS84" s="93"/>
      <c r="CT84" s="93"/>
      <c r="CU84" s="93"/>
      <c r="CV84" s="93"/>
      <c r="CW84" s="93"/>
      <c r="CX84" s="93"/>
      <c r="CY84" s="93"/>
      <c r="CZ84" s="93"/>
      <c r="DA84" s="93"/>
      <c r="DB84" s="93"/>
      <c r="DC84" s="93"/>
      <c r="DD84" s="93"/>
      <c r="DE84" s="93"/>
      <c r="DF84" s="93"/>
      <c r="DG84" s="93"/>
      <c r="DH84" s="93"/>
      <c r="DI84" s="93"/>
      <c r="DJ84" s="93"/>
      <c r="DK84" s="93"/>
      <c r="DL84" s="93"/>
      <c r="DM84" s="93"/>
      <c r="DN84" s="93"/>
      <c r="DO84" s="93"/>
      <c r="DP84" s="807"/>
      <c r="DQ84" s="807"/>
      <c r="DR84" s="807"/>
      <c r="DS84" s="807"/>
      <c r="GO84" s="92"/>
      <c r="GP84" s="831"/>
    </row>
    <row r="85" spans="1:198" s="806" customFormat="1" ht="15">
      <c r="A85" s="19" t="s">
        <v>7421</v>
      </c>
      <c r="D85" s="1059" t="s">
        <v>85</v>
      </c>
      <c r="E85" s="1038" t="s">
        <v>85</v>
      </c>
      <c r="G85" s="827"/>
      <c r="H85" s="809" t="s">
        <v>11282</v>
      </c>
      <c r="I85" s="92">
        <v>37</v>
      </c>
      <c r="J85" s="92" t="s">
        <v>18</v>
      </c>
      <c r="K85" s="92" t="s">
        <v>722</v>
      </c>
      <c r="L85" s="810">
        <v>4</v>
      </c>
      <c r="M85" s="811" t="str">
        <f t="shared" si="5"/>
        <v>High School Level</v>
      </c>
      <c r="N85" s="92" t="s">
        <v>1208</v>
      </c>
      <c r="O85" s="92"/>
      <c r="P85" s="1638"/>
      <c r="Q85" s="92"/>
      <c r="R85" s="92" t="s">
        <v>10434</v>
      </c>
      <c r="S85" s="848">
        <v>4800</v>
      </c>
      <c r="T85" s="813"/>
      <c r="U85" s="813"/>
      <c r="V85" s="873"/>
      <c r="W85" s="815">
        <v>2</v>
      </c>
      <c r="X85" s="811" t="str">
        <f t="shared" si="6"/>
        <v>within the Municipality/City</v>
      </c>
      <c r="Y85" s="816">
        <v>572</v>
      </c>
      <c r="Z85" s="816"/>
      <c r="AA85" s="816"/>
      <c r="AB85" s="873"/>
      <c r="AC85" s="809"/>
      <c r="AD85" s="824"/>
      <c r="AE85" s="93"/>
      <c r="AF85" s="818"/>
      <c r="AG85" s="807"/>
      <c r="AH85" s="807"/>
      <c r="AI85" s="807"/>
      <c r="AJ85" s="807"/>
      <c r="AK85" s="92"/>
      <c r="AL85" s="92"/>
      <c r="AM85" s="819"/>
      <c r="AN85" s="820"/>
      <c r="AO85" s="817"/>
      <c r="AP85" s="820"/>
      <c r="AQ85" s="93"/>
      <c r="AR85" s="93"/>
      <c r="AS85" s="93"/>
      <c r="AT85" s="93"/>
      <c r="AU85" s="93"/>
      <c r="AV85" s="93"/>
      <c r="AW85" s="93"/>
      <c r="AX85" s="93"/>
      <c r="AY85" s="93"/>
      <c r="AZ85" s="93"/>
      <c r="BA85" s="93"/>
      <c r="BB85" s="93"/>
      <c r="BC85" s="93"/>
      <c r="BD85" s="93"/>
      <c r="BE85" s="93"/>
      <c r="BF85" s="93"/>
      <c r="BG85" s="93"/>
      <c r="BH85" s="93"/>
      <c r="BI85" s="93"/>
      <c r="BJ85" s="93"/>
      <c r="BK85" s="93"/>
      <c r="BL85" s="93"/>
      <c r="BM85" s="93"/>
      <c r="BN85" s="93"/>
      <c r="BT85" s="93"/>
      <c r="BU85" s="93"/>
      <c r="BV85" s="93"/>
      <c r="BW85" s="93"/>
      <c r="BX85" s="93"/>
      <c r="BY85" s="93"/>
      <c r="BZ85" s="93"/>
      <c r="CA85" s="93"/>
      <c r="CB85" s="93"/>
      <c r="CC85" s="93"/>
      <c r="CD85" s="93"/>
      <c r="CE85" s="93"/>
      <c r="CF85" s="93"/>
      <c r="CG85" s="93"/>
      <c r="CH85" s="93"/>
      <c r="CI85" s="93"/>
      <c r="CJ85" s="93"/>
      <c r="CK85" s="93"/>
      <c r="CL85" s="93"/>
      <c r="CM85" s="93"/>
      <c r="CN85" s="93"/>
      <c r="CO85" s="93"/>
      <c r="CP85" s="93"/>
      <c r="CQ85" s="93"/>
      <c r="CR85" s="93"/>
      <c r="CS85" s="93"/>
      <c r="CT85" s="93"/>
      <c r="CU85" s="93"/>
      <c r="CV85" s="93"/>
      <c r="CW85" s="93"/>
      <c r="CX85" s="93"/>
      <c r="CY85" s="93"/>
      <c r="CZ85" s="93"/>
      <c r="DA85" s="93"/>
      <c r="DB85" s="93"/>
      <c r="DC85" s="93"/>
      <c r="DD85" s="93"/>
      <c r="DE85" s="93"/>
      <c r="DF85" s="93"/>
      <c r="DG85" s="93"/>
      <c r="DH85" s="93"/>
      <c r="DI85" s="93"/>
      <c r="DJ85" s="93"/>
      <c r="DK85" s="93"/>
      <c r="DL85" s="93"/>
      <c r="DM85" s="93"/>
      <c r="DN85" s="93"/>
      <c r="DO85" s="93"/>
      <c r="DP85" s="807"/>
      <c r="DQ85" s="807"/>
      <c r="DR85" s="807"/>
      <c r="DS85" s="807"/>
      <c r="GO85" s="92"/>
      <c r="GP85" s="831"/>
    </row>
    <row r="86" spans="1:198" s="806" customFormat="1" ht="15">
      <c r="A86" s="19" t="s">
        <v>7421</v>
      </c>
      <c r="D86" s="1059" t="s">
        <v>85</v>
      </c>
      <c r="E86" s="1038" t="s">
        <v>85</v>
      </c>
      <c r="G86" s="827"/>
      <c r="H86" s="809" t="s">
        <v>11283</v>
      </c>
      <c r="I86" s="92">
        <v>10</v>
      </c>
      <c r="J86" s="92" t="s">
        <v>10</v>
      </c>
      <c r="K86" s="92" t="s">
        <v>768</v>
      </c>
      <c r="L86" s="810">
        <v>2</v>
      </c>
      <c r="M86" s="811" t="str">
        <f t="shared" ref="M86:M117" si="7">IF(ISBLANK(L86)=TRUE,"",LOOKUP(L86,GQ:GR))</f>
        <v>Elementary Level</v>
      </c>
      <c r="N86" s="92"/>
      <c r="O86" s="92"/>
      <c r="P86" s="1638"/>
      <c r="Q86" s="92"/>
      <c r="R86" s="92"/>
      <c r="S86" s="848"/>
      <c r="T86" s="813"/>
      <c r="U86" s="813"/>
      <c r="V86" s="873"/>
      <c r="W86" s="815"/>
      <c r="X86" s="811" t="str">
        <f t="shared" ref="X86:X117" si="8">IF(ISBLANK(W86)=TRUE,"",LOOKUP(W86,GO:GP))</f>
        <v/>
      </c>
      <c r="Y86" s="816"/>
      <c r="Z86" s="816"/>
      <c r="AA86" s="816"/>
      <c r="AB86" s="873"/>
      <c r="AC86" s="809"/>
      <c r="AD86" s="824"/>
      <c r="AE86" s="93"/>
      <c r="AF86" s="818"/>
      <c r="AG86" s="807"/>
      <c r="AH86" s="807"/>
      <c r="AI86" s="807"/>
      <c r="AJ86" s="807"/>
      <c r="AK86" s="92"/>
      <c r="AL86" s="92"/>
      <c r="AM86" s="819"/>
      <c r="AN86" s="820"/>
      <c r="AO86" s="817"/>
      <c r="AP86" s="820"/>
      <c r="AQ86" s="93"/>
      <c r="AR86" s="93"/>
      <c r="AS86" s="93"/>
      <c r="AT86" s="93"/>
      <c r="AU86" s="93"/>
      <c r="AV86" s="93"/>
      <c r="AW86" s="93"/>
      <c r="AX86" s="93"/>
      <c r="AY86" s="93"/>
      <c r="AZ86" s="93"/>
      <c r="BA86" s="93"/>
      <c r="BB86" s="93"/>
      <c r="BC86" s="93"/>
      <c r="BD86" s="93"/>
      <c r="BE86" s="93"/>
      <c r="BF86" s="93"/>
      <c r="BG86" s="93"/>
      <c r="BH86" s="93"/>
      <c r="BI86" s="93"/>
      <c r="BJ86" s="93"/>
      <c r="BK86" s="93"/>
      <c r="BL86" s="93"/>
      <c r="BM86" s="93"/>
      <c r="BN86" s="93"/>
      <c r="BT86" s="93"/>
      <c r="BU86" s="93"/>
      <c r="BV86" s="93"/>
      <c r="BW86" s="93"/>
      <c r="BX86" s="93"/>
      <c r="BY86" s="93"/>
      <c r="BZ86" s="93"/>
      <c r="CA86" s="93"/>
      <c r="CB86" s="93"/>
      <c r="CC86" s="93"/>
      <c r="CD86" s="93"/>
      <c r="CE86" s="93"/>
      <c r="CF86" s="93"/>
      <c r="CG86" s="93"/>
      <c r="CH86" s="93"/>
      <c r="CI86" s="93"/>
      <c r="CJ86" s="93"/>
      <c r="CK86" s="93"/>
      <c r="CL86" s="93"/>
      <c r="CM86" s="93"/>
      <c r="CN86" s="93"/>
      <c r="CO86" s="93"/>
      <c r="CP86" s="93"/>
      <c r="CQ86" s="93"/>
      <c r="CR86" s="93"/>
      <c r="CS86" s="93"/>
      <c r="CT86" s="93"/>
      <c r="CU86" s="93"/>
      <c r="CV86" s="93"/>
      <c r="CW86" s="93"/>
      <c r="CX86" s="93"/>
      <c r="CY86" s="93"/>
      <c r="CZ86" s="93"/>
      <c r="DA86" s="93"/>
      <c r="DB86" s="93"/>
      <c r="DC86" s="93"/>
      <c r="DD86" s="93"/>
      <c r="DE86" s="93"/>
      <c r="DF86" s="93"/>
      <c r="DG86" s="93"/>
      <c r="DH86" s="93"/>
      <c r="DI86" s="93"/>
      <c r="DJ86" s="93"/>
      <c r="DK86" s="93"/>
      <c r="DL86" s="93"/>
      <c r="DM86" s="93"/>
      <c r="DN86" s="93"/>
      <c r="DO86" s="93"/>
      <c r="DP86" s="807"/>
      <c r="DQ86" s="807"/>
      <c r="DR86" s="807"/>
      <c r="DS86" s="807"/>
      <c r="GO86" s="92"/>
      <c r="GP86" s="831"/>
    </row>
    <row r="87" spans="1:198" s="806" customFormat="1" ht="15">
      <c r="A87" s="19" t="s">
        <v>7421</v>
      </c>
      <c r="D87" s="1059" t="s">
        <v>85</v>
      </c>
      <c r="E87" s="1038" t="s">
        <v>85</v>
      </c>
      <c r="G87" s="827"/>
      <c r="H87" s="809" t="s">
        <v>11284</v>
      </c>
      <c r="I87" s="92">
        <v>6</v>
      </c>
      <c r="J87" s="92" t="s">
        <v>10</v>
      </c>
      <c r="K87" s="92" t="s">
        <v>11286</v>
      </c>
      <c r="L87" s="810">
        <v>2</v>
      </c>
      <c r="M87" s="811" t="str">
        <f t="shared" si="7"/>
        <v>Elementary Level</v>
      </c>
      <c r="N87" s="92"/>
      <c r="O87" s="92"/>
      <c r="P87" s="1638"/>
      <c r="Q87" s="92"/>
      <c r="R87" s="92"/>
      <c r="S87" s="848"/>
      <c r="T87" s="813"/>
      <c r="U87" s="813"/>
      <c r="V87" s="873"/>
      <c r="W87" s="815"/>
      <c r="X87" s="811" t="str">
        <f t="shared" si="8"/>
        <v/>
      </c>
      <c r="Y87" s="816"/>
      <c r="Z87" s="816"/>
      <c r="AA87" s="816"/>
      <c r="AB87" s="873"/>
      <c r="AC87" s="809"/>
      <c r="AD87" s="824"/>
      <c r="AE87" s="93"/>
      <c r="AF87" s="818"/>
      <c r="AG87" s="807"/>
      <c r="AH87" s="807"/>
      <c r="AI87" s="807"/>
      <c r="AJ87" s="807"/>
      <c r="AK87" s="92"/>
      <c r="AL87" s="92"/>
      <c r="AM87" s="819"/>
      <c r="AN87" s="820"/>
      <c r="AO87" s="817"/>
      <c r="AP87" s="820"/>
      <c r="AQ87" s="93"/>
      <c r="AR87" s="93"/>
      <c r="AS87" s="93"/>
      <c r="AT87" s="93"/>
      <c r="AU87" s="93"/>
      <c r="AV87" s="93"/>
      <c r="AW87" s="93"/>
      <c r="AX87" s="93"/>
      <c r="AY87" s="93"/>
      <c r="AZ87" s="93"/>
      <c r="BA87" s="93"/>
      <c r="BB87" s="93"/>
      <c r="BC87" s="93"/>
      <c r="BD87" s="93"/>
      <c r="BE87" s="93"/>
      <c r="BF87" s="93"/>
      <c r="BG87" s="93"/>
      <c r="BH87" s="93"/>
      <c r="BI87" s="93"/>
      <c r="BJ87" s="93"/>
      <c r="BK87" s="93"/>
      <c r="BL87" s="93"/>
      <c r="BM87" s="93"/>
      <c r="BN87" s="93"/>
      <c r="BT87" s="93"/>
      <c r="BU87" s="93"/>
      <c r="BV87" s="93"/>
      <c r="BW87" s="93"/>
      <c r="BX87" s="93"/>
      <c r="BY87" s="93"/>
      <c r="BZ87" s="93"/>
      <c r="CA87" s="93"/>
      <c r="CB87" s="93"/>
      <c r="CC87" s="93"/>
      <c r="CD87" s="93"/>
      <c r="CE87" s="93"/>
      <c r="CF87" s="93"/>
      <c r="CG87" s="93"/>
      <c r="CH87" s="93"/>
      <c r="CI87" s="93"/>
      <c r="CJ87" s="93"/>
      <c r="CK87" s="93"/>
      <c r="CL87" s="93"/>
      <c r="CM87" s="93"/>
      <c r="CN87" s="93"/>
      <c r="CO87" s="93"/>
      <c r="CP87" s="93"/>
      <c r="CQ87" s="93"/>
      <c r="CR87" s="93"/>
      <c r="CS87" s="93"/>
      <c r="CT87" s="93"/>
      <c r="CU87" s="93"/>
      <c r="CV87" s="93"/>
      <c r="CW87" s="93"/>
      <c r="CX87" s="93"/>
      <c r="CY87" s="93"/>
      <c r="CZ87" s="93"/>
      <c r="DA87" s="93"/>
      <c r="DB87" s="93"/>
      <c r="DC87" s="93"/>
      <c r="DD87" s="93"/>
      <c r="DE87" s="93"/>
      <c r="DF87" s="93"/>
      <c r="DG87" s="93"/>
      <c r="DH87" s="93"/>
      <c r="DI87" s="93"/>
      <c r="DJ87" s="93"/>
      <c r="DK87" s="93"/>
      <c r="DL87" s="93"/>
      <c r="DM87" s="93"/>
      <c r="DN87" s="93"/>
      <c r="DO87" s="93"/>
      <c r="DP87" s="807"/>
      <c r="DQ87" s="807"/>
      <c r="DR87" s="807"/>
      <c r="DS87" s="807"/>
      <c r="GO87" s="92"/>
      <c r="GP87" s="831"/>
    </row>
    <row r="88" spans="1:198" s="806" customFormat="1" ht="15">
      <c r="A88" s="19" t="s">
        <v>7421</v>
      </c>
      <c r="D88" s="1059" t="s">
        <v>85</v>
      </c>
      <c r="E88" s="1038" t="s">
        <v>85</v>
      </c>
      <c r="G88" s="827"/>
      <c r="H88" s="809" t="s">
        <v>11285</v>
      </c>
      <c r="I88" s="92">
        <v>4</v>
      </c>
      <c r="J88" s="92" t="s">
        <v>10</v>
      </c>
      <c r="K88" s="92" t="s">
        <v>768</v>
      </c>
      <c r="L88" s="810">
        <v>2</v>
      </c>
      <c r="M88" s="811" t="str">
        <f t="shared" si="7"/>
        <v>Elementary Level</v>
      </c>
      <c r="N88" s="92"/>
      <c r="O88" s="92"/>
      <c r="P88" s="1638"/>
      <c r="Q88" s="92"/>
      <c r="R88" s="92"/>
      <c r="S88" s="848"/>
      <c r="T88" s="813"/>
      <c r="U88" s="813"/>
      <c r="V88" s="873">
        <f>SUM(S84:U88)</f>
        <v>4800</v>
      </c>
      <c r="W88" s="815"/>
      <c r="X88" s="811" t="str">
        <f t="shared" si="8"/>
        <v/>
      </c>
      <c r="Y88" s="816"/>
      <c r="Z88" s="816"/>
      <c r="AA88" s="816"/>
      <c r="AB88" s="873">
        <f>SUM(Y84:AA88)</f>
        <v>572</v>
      </c>
      <c r="AC88" s="809"/>
      <c r="AD88" s="824"/>
      <c r="AE88" s="93"/>
      <c r="AF88" s="818"/>
      <c r="AG88" s="807"/>
      <c r="AH88" s="807"/>
      <c r="AI88" s="807"/>
      <c r="AJ88" s="807"/>
      <c r="AK88" s="92"/>
      <c r="AL88" s="92"/>
      <c r="AM88" s="819"/>
      <c r="AN88" s="820"/>
      <c r="AO88" s="817"/>
      <c r="AP88" s="820"/>
      <c r="AQ88" s="93"/>
      <c r="AR88" s="93"/>
      <c r="AS88" s="93"/>
      <c r="AT88" s="93"/>
      <c r="AU88" s="93"/>
      <c r="AV88" s="93"/>
      <c r="AW88" s="93"/>
      <c r="AX88" s="93"/>
      <c r="AY88" s="93"/>
      <c r="AZ88" s="93"/>
      <c r="BA88" s="93"/>
      <c r="BB88" s="93"/>
      <c r="BC88" s="93"/>
      <c r="BD88" s="93"/>
      <c r="BE88" s="93"/>
      <c r="BF88" s="93"/>
      <c r="BG88" s="93"/>
      <c r="BH88" s="93"/>
      <c r="BI88" s="93"/>
      <c r="BJ88" s="93"/>
      <c r="BK88" s="93"/>
      <c r="BL88" s="93"/>
      <c r="BM88" s="93"/>
      <c r="BN88" s="93"/>
      <c r="BT88" s="93"/>
      <c r="BU88" s="93"/>
      <c r="BV88" s="93"/>
      <c r="BW88" s="93"/>
      <c r="BX88" s="93"/>
      <c r="BY88" s="93"/>
      <c r="BZ88" s="93"/>
      <c r="CA88" s="93"/>
      <c r="CB88" s="93"/>
      <c r="CC88" s="93"/>
      <c r="CD88" s="93"/>
      <c r="CE88" s="93"/>
      <c r="CF88" s="93"/>
      <c r="CG88" s="93"/>
      <c r="CH88" s="93"/>
      <c r="CI88" s="93"/>
      <c r="CJ88" s="93"/>
      <c r="CK88" s="93"/>
      <c r="CL88" s="93"/>
      <c r="CM88" s="93"/>
      <c r="CN88" s="93"/>
      <c r="CO88" s="93"/>
      <c r="CP88" s="93"/>
      <c r="CQ88" s="93"/>
      <c r="CR88" s="93"/>
      <c r="CS88" s="93"/>
      <c r="CT88" s="93"/>
      <c r="CU88" s="93"/>
      <c r="CV88" s="93"/>
      <c r="CW88" s="93"/>
      <c r="CX88" s="93"/>
      <c r="CY88" s="93"/>
      <c r="CZ88" s="93"/>
      <c r="DA88" s="93"/>
      <c r="DB88" s="93"/>
      <c r="DC88" s="93"/>
      <c r="DD88" s="93"/>
      <c r="DE88" s="93"/>
      <c r="DF88" s="93"/>
      <c r="DG88" s="93"/>
      <c r="DH88" s="93"/>
      <c r="DI88" s="93"/>
      <c r="DJ88" s="93"/>
      <c r="DK88" s="93"/>
      <c r="DL88" s="93"/>
      <c r="DM88" s="93"/>
      <c r="DN88" s="93"/>
      <c r="DO88" s="93"/>
      <c r="DP88" s="807"/>
      <c r="DQ88" s="807"/>
      <c r="DR88" s="807"/>
      <c r="DS88" s="807"/>
      <c r="GO88" s="92"/>
      <c r="GP88" s="831"/>
    </row>
    <row r="89" spans="1:198" ht="15">
      <c r="A89" s="1076"/>
      <c r="D89" s="1059" t="s">
        <v>92</v>
      </c>
      <c r="G89" s="846" t="s">
        <v>92</v>
      </c>
      <c r="H89" s="809" t="s">
        <v>1126</v>
      </c>
      <c r="I89" s="92">
        <v>79</v>
      </c>
      <c r="J89" s="92" t="s">
        <v>18</v>
      </c>
      <c r="K89" s="92" t="s">
        <v>719</v>
      </c>
      <c r="L89" s="810">
        <v>6</v>
      </c>
      <c r="M89" s="811" t="str">
        <f t="shared" si="7"/>
        <v>College Level</v>
      </c>
      <c r="N89" s="92" t="s">
        <v>1208</v>
      </c>
      <c r="O89" s="92" t="s">
        <v>2218</v>
      </c>
      <c r="P89" s="1638"/>
      <c r="Q89" s="92" t="s">
        <v>2218</v>
      </c>
      <c r="R89" s="92" t="s">
        <v>8234</v>
      </c>
      <c r="U89" s="848">
        <v>4000</v>
      </c>
      <c r="V89" s="830"/>
      <c r="W89" s="815">
        <v>1</v>
      </c>
      <c r="X89" s="811" t="str">
        <f t="shared" si="8"/>
        <v>within the Brgy</v>
      </c>
      <c r="AB89" s="830"/>
      <c r="AC89" s="809"/>
      <c r="AD89" s="817" t="s">
        <v>8343</v>
      </c>
      <c r="AG89" s="807" t="str">
        <f t="shared" ref="AG89:AG120" si="9">IF(ISBLANK(AF89)=TRUE,"",LOOKUP(AF89,GS:GT))</f>
        <v/>
      </c>
      <c r="AH89" s="807"/>
      <c r="AI89" s="807"/>
      <c r="AJ89" s="807"/>
      <c r="AK89" s="862" t="s">
        <v>1606</v>
      </c>
      <c r="AL89" s="862" t="s">
        <v>478</v>
      </c>
      <c r="AM89" s="863" t="s">
        <v>1902</v>
      </c>
      <c r="AN89" s="833">
        <v>3500</v>
      </c>
      <c r="AQ89" s="93"/>
      <c r="AR89" s="93"/>
      <c r="AS89" s="93"/>
      <c r="AT89" s="93"/>
      <c r="AU89" s="93"/>
      <c r="AV89" s="93"/>
      <c r="AW89" s="93"/>
      <c r="AX89" s="93"/>
      <c r="AY89" s="93"/>
      <c r="AZ89" s="93"/>
      <c r="BA89" s="93"/>
      <c r="BB89" s="93"/>
      <c r="BL89" s="93"/>
      <c r="BM89" s="93"/>
      <c r="BT89" s="93"/>
      <c r="BU89" s="93"/>
      <c r="BV89" s="93"/>
      <c r="BW89" s="93"/>
      <c r="BX89" s="93"/>
      <c r="BY89" s="93"/>
      <c r="BZ89" s="93"/>
      <c r="CA89" s="93"/>
      <c r="CB89" s="93"/>
      <c r="CC89" s="93"/>
      <c r="CF89" s="93"/>
      <c r="CG89" s="93"/>
      <c r="CH89" s="93"/>
      <c r="CI89" s="93"/>
      <c r="CJ89" s="93"/>
      <c r="CK89" s="93"/>
      <c r="CL89" s="93"/>
      <c r="CM89" s="93"/>
      <c r="CN89" s="93"/>
      <c r="CO89" s="93"/>
      <c r="CP89" s="93"/>
      <c r="CQ89" s="93"/>
      <c r="CR89" s="93"/>
      <c r="CS89" s="93"/>
      <c r="CT89" s="93"/>
      <c r="CU89" s="93"/>
      <c r="CV89" s="93"/>
      <c r="CW89" s="93"/>
      <c r="CX89" s="93"/>
      <c r="CY89" s="93"/>
      <c r="CZ89" s="93"/>
      <c r="DA89" s="93"/>
      <c r="DB89" s="93"/>
      <c r="DC89" s="93"/>
      <c r="DD89" s="93"/>
      <c r="DE89" s="93"/>
      <c r="DF89" s="93"/>
      <c r="DG89" s="93"/>
      <c r="DH89" s="93"/>
      <c r="DI89" s="93"/>
      <c r="DJ89" s="93"/>
      <c r="DK89" s="93"/>
      <c r="DL89" s="93"/>
      <c r="DM89" s="93"/>
      <c r="DN89" s="93"/>
      <c r="DO89" s="93"/>
    </row>
    <row r="90" spans="1:198" s="806" customFormat="1" ht="15">
      <c r="A90" s="1076"/>
      <c r="C90" s="93"/>
      <c r="D90" s="1059"/>
      <c r="E90" s="817"/>
      <c r="G90" s="827"/>
      <c r="H90" s="809" t="s">
        <v>8344</v>
      </c>
      <c r="I90" s="92">
        <v>52</v>
      </c>
      <c r="J90" s="92" t="s">
        <v>10</v>
      </c>
      <c r="K90" s="92" t="s">
        <v>768</v>
      </c>
      <c r="L90" s="810">
        <v>7</v>
      </c>
      <c r="M90" s="811" t="str">
        <f t="shared" si="7"/>
        <v>College Graduate or Higher</v>
      </c>
      <c r="N90" s="92" t="s">
        <v>1208</v>
      </c>
      <c r="O90" s="92" t="s">
        <v>8345</v>
      </c>
      <c r="P90" s="1638"/>
      <c r="Q90" s="92" t="s">
        <v>8345</v>
      </c>
      <c r="R90" s="92"/>
      <c r="S90" s="848">
        <v>10000</v>
      </c>
      <c r="T90" s="813"/>
      <c r="U90" s="813"/>
      <c r="V90" s="837">
        <f>SUM(S89:U90)</f>
        <v>14000</v>
      </c>
      <c r="W90" s="838">
        <v>1</v>
      </c>
      <c r="X90" s="811" t="str">
        <f t="shared" si="8"/>
        <v>within the Brgy</v>
      </c>
      <c r="Y90" s="836"/>
      <c r="Z90" s="836"/>
      <c r="AA90" s="836"/>
      <c r="AB90" s="837">
        <f>SUM(Y89:AA90)</f>
        <v>0</v>
      </c>
      <c r="AC90" s="809" t="s">
        <v>8346</v>
      </c>
      <c r="AD90" s="824"/>
      <c r="AE90" s="93"/>
      <c r="AF90" s="818"/>
      <c r="AG90" s="807" t="str">
        <f t="shared" si="9"/>
        <v/>
      </c>
      <c r="AH90" s="807"/>
      <c r="AI90" s="807"/>
      <c r="AJ90" s="807"/>
      <c r="AK90" s="92"/>
      <c r="AL90" s="92"/>
      <c r="AM90" s="819"/>
      <c r="AN90" s="820"/>
      <c r="AO90" s="817"/>
      <c r="AP90" s="820"/>
      <c r="AQ90" s="93"/>
      <c r="AR90" s="93"/>
      <c r="AS90" s="93"/>
      <c r="AT90" s="93"/>
      <c r="AU90" s="93"/>
      <c r="AV90" s="93"/>
      <c r="AW90" s="93"/>
      <c r="AX90" s="93"/>
      <c r="AY90" s="93"/>
      <c r="AZ90" s="93"/>
      <c r="BA90" s="93"/>
      <c r="BB90" s="93"/>
      <c r="BC90" s="93"/>
      <c r="BD90" s="93"/>
      <c r="BE90" s="93"/>
      <c r="BF90" s="93"/>
      <c r="BG90" s="93"/>
      <c r="BH90" s="93"/>
      <c r="BI90" s="93"/>
      <c r="BJ90" s="93"/>
      <c r="BK90" s="93"/>
      <c r="BL90" s="93"/>
      <c r="BM90" s="93"/>
      <c r="BN90" s="93"/>
      <c r="BT90" s="93"/>
      <c r="BU90" s="93"/>
      <c r="BV90" s="93"/>
      <c r="BW90" s="93"/>
      <c r="BX90" s="93"/>
      <c r="BY90" s="93"/>
      <c r="BZ90" s="93"/>
      <c r="CA90" s="93"/>
      <c r="CB90" s="93"/>
      <c r="CC90" s="93"/>
      <c r="CD90" s="93"/>
      <c r="CE90" s="93"/>
      <c r="CF90" s="93"/>
      <c r="CG90" s="93"/>
      <c r="CH90" s="93"/>
      <c r="CI90" s="93"/>
      <c r="CJ90" s="93"/>
      <c r="CK90" s="93"/>
      <c r="CL90" s="93"/>
      <c r="CM90" s="93"/>
      <c r="CN90" s="93"/>
      <c r="CO90" s="93"/>
      <c r="CP90" s="93"/>
      <c r="CQ90" s="93"/>
      <c r="CR90" s="93"/>
      <c r="CS90" s="93"/>
      <c r="CT90" s="93"/>
      <c r="CU90" s="93"/>
      <c r="CV90" s="93"/>
      <c r="CW90" s="93"/>
      <c r="CX90" s="93"/>
      <c r="CY90" s="93"/>
      <c r="CZ90" s="93"/>
      <c r="DA90" s="93"/>
      <c r="DB90" s="93"/>
      <c r="DC90" s="93"/>
      <c r="DD90" s="93"/>
      <c r="DE90" s="93"/>
      <c r="DF90" s="93"/>
      <c r="DG90" s="93"/>
      <c r="DH90" s="93"/>
      <c r="DI90" s="93"/>
      <c r="DJ90" s="93"/>
      <c r="DK90" s="93"/>
      <c r="DL90" s="93"/>
      <c r="DM90" s="93"/>
      <c r="DN90" s="93"/>
      <c r="DO90" s="93"/>
      <c r="DP90" s="807"/>
      <c r="DQ90" s="807"/>
      <c r="DR90" s="807"/>
      <c r="DS90" s="807"/>
      <c r="GO90" s="92"/>
      <c r="GP90" s="831"/>
    </row>
    <row r="91" spans="1:198" s="806" customFormat="1" ht="15">
      <c r="A91" s="1076"/>
      <c r="B91" s="6"/>
      <c r="C91" s="6"/>
      <c r="D91" s="1059" t="s">
        <v>8347</v>
      </c>
      <c r="G91" s="809" t="s">
        <v>8347</v>
      </c>
      <c r="H91" s="809" t="s">
        <v>2050</v>
      </c>
      <c r="I91" s="92">
        <v>35</v>
      </c>
      <c r="J91" s="92" t="s">
        <v>10</v>
      </c>
      <c r="K91" s="92" t="s">
        <v>707</v>
      </c>
      <c r="L91" s="810">
        <v>2</v>
      </c>
      <c r="M91" s="811" t="str">
        <f t="shared" si="7"/>
        <v>Elementary Level</v>
      </c>
      <c r="N91" s="92" t="s">
        <v>1208</v>
      </c>
      <c r="O91" s="92" t="s">
        <v>8348</v>
      </c>
      <c r="P91" s="1638"/>
      <c r="Q91" s="92" t="s">
        <v>8348</v>
      </c>
      <c r="R91" s="92" t="s">
        <v>8234</v>
      </c>
      <c r="S91" s="848">
        <f>PRODUCT(450,24)</f>
        <v>10800</v>
      </c>
      <c r="T91" s="813"/>
      <c r="U91" s="813"/>
      <c r="V91" s="864"/>
      <c r="W91" s="838">
        <v>1</v>
      </c>
      <c r="X91" s="811" t="str">
        <f t="shared" si="8"/>
        <v>within the Brgy</v>
      </c>
      <c r="Y91" s="836"/>
      <c r="Z91" s="836"/>
      <c r="AA91" s="836"/>
      <c r="AB91" s="864"/>
      <c r="AC91" s="809" t="s">
        <v>8349</v>
      </c>
      <c r="AD91" s="824"/>
      <c r="AE91" s="93"/>
      <c r="AF91" s="818"/>
      <c r="AG91" s="807" t="str">
        <f t="shared" si="9"/>
        <v/>
      </c>
      <c r="AH91" s="807"/>
      <c r="AI91" s="807"/>
      <c r="AJ91" s="807"/>
      <c r="AK91" s="92"/>
      <c r="AL91" s="92"/>
      <c r="AM91" s="819"/>
      <c r="AN91" s="820"/>
      <c r="AO91" s="817"/>
      <c r="AP91" s="820"/>
      <c r="AQ91" s="93"/>
      <c r="AR91" s="93"/>
      <c r="AS91" s="93"/>
      <c r="AT91" s="93"/>
      <c r="AU91" s="93"/>
      <c r="AV91" s="93"/>
      <c r="AW91" s="93"/>
      <c r="AX91" s="93"/>
      <c r="AY91" s="93"/>
      <c r="AZ91" s="93"/>
      <c r="BA91" s="93"/>
      <c r="BB91" s="93"/>
      <c r="BC91" s="93"/>
      <c r="BD91" s="93"/>
      <c r="BE91" s="93"/>
      <c r="BF91" s="93"/>
      <c r="BG91" s="93"/>
      <c r="BH91" s="93"/>
      <c r="BI91" s="93"/>
      <c r="BJ91" s="93"/>
      <c r="BK91" s="93"/>
      <c r="BL91" s="93"/>
      <c r="BM91" s="93"/>
      <c r="BN91" s="93"/>
      <c r="BT91" s="93"/>
      <c r="BU91" s="93"/>
      <c r="BV91" s="93"/>
      <c r="BW91" s="93"/>
      <c r="BX91" s="93"/>
      <c r="BY91" s="93"/>
      <c r="BZ91" s="93"/>
      <c r="CA91" s="93"/>
      <c r="CB91" s="93"/>
      <c r="CC91" s="93"/>
      <c r="CD91" s="93"/>
      <c r="CE91" s="93"/>
      <c r="CF91" s="93"/>
      <c r="CG91" s="93"/>
      <c r="CH91" s="93"/>
      <c r="CI91" s="93"/>
      <c r="CJ91" s="93"/>
      <c r="CK91" s="93"/>
      <c r="CL91" s="93"/>
      <c r="CM91" s="93"/>
      <c r="CN91" s="93"/>
      <c r="CO91" s="93"/>
      <c r="CP91" s="93"/>
      <c r="CQ91" s="93"/>
      <c r="CR91" s="93"/>
      <c r="CS91" s="93"/>
      <c r="CT91" s="93"/>
      <c r="CU91" s="93"/>
      <c r="CV91" s="93"/>
      <c r="CW91" s="93"/>
      <c r="CX91" s="93"/>
      <c r="CY91" s="93"/>
      <c r="CZ91" s="93"/>
      <c r="DA91" s="93"/>
      <c r="DB91" s="93"/>
      <c r="DC91" s="93"/>
      <c r="DD91" s="93"/>
      <c r="DE91" s="93"/>
      <c r="DF91" s="93"/>
      <c r="DG91" s="93"/>
      <c r="DH91" s="93"/>
      <c r="DI91" s="93"/>
      <c r="DJ91" s="93"/>
      <c r="DK91" s="93"/>
      <c r="DL91" s="93"/>
      <c r="DM91" s="93"/>
      <c r="DN91" s="93"/>
      <c r="DO91" s="93"/>
      <c r="DP91" s="807"/>
      <c r="DQ91" s="807"/>
      <c r="DR91" s="807"/>
      <c r="DS91" s="807"/>
      <c r="DT91" s="807"/>
      <c r="GO91" s="92"/>
      <c r="GP91" s="831"/>
    </row>
    <row r="92" spans="1:198" ht="15">
      <c r="A92" s="1076"/>
      <c r="B92" s="6"/>
      <c r="C92" s="6"/>
      <c r="D92" s="1059"/>
      <c r="G92" s="827"/>
      <c r="H92" s="809" t="s">
        <v>2151</v>
      </c>
      <c r="I92" s="92">
        <v>34</v>
      </c>
      <c r="J92" s="92" t="s">
        <v>18</v>
      </c>
      <c r="K92" s="92" t="s">
        <v>707</v>
      </c>
      <c r="L92" s="810">
        <v>4</v>
      </c>
      <c r="M92" s="811" t="str">
        <f t="shared" si="7"/>
        <v>High School Level</v>
      </c>
      <c r="O92" s="92"/>
      <c r="P92" s="1638"/>
      <c r="Q92" s="92"/>
      <c r="R92" s="92"/>
      <c r="S92" s="848"/>
      <c r="X92" s="811" t="str">
        <f t="shared" si="8"/>
        <v/>
      </c>
      <c r="AB92" s="814"/>
      <c r="AC92" s="809"/>
      <c r="AD92" s="824"/>
      <c r="AG92" s="807" t="str">
        <f t="shared" si="9"/>
        <v/>
      </c>
      <c r="AH92" s="807"/>
      <c r="AI92" s="807"/>
      <c r="AJ92" s="807"/>
      <c r="AK92" s="92"/>
      <c r="AM92" s="819"/>
      <c r="AN92" s="820"/>
      <c r="AQ92" s="93"/>
      <c r="AR92" s="93"/>
      <c r="AS92" s="93"/>
      <c r="AT92" s="93"/>
      <c r="AU92" s="93"/>
      <c r="AV92" s="93"/>
      <c r="AW92" s="93"/>
      <c r="AX92" s="93"/>
      <c r="AY92" s="93"/>
      <c r="AZ92" s="93"/>
      <c r="BA92" s="93"/>
      <c r="BB92" s="93"/>
      <c r="BL92" s="93"/>
      <c r="BM92" s="93"/>
      <c r="BT92" s="93"/>
      <c r="BU92" s="93"/>
      <c r="BV92" s="93"/>
      <c r="BW92" s="93"/>
      <c r="BX92" s="93"/>
      <c r="BY92" s="93"/>
      <c r="BZ92" s="93"/>
      <c r="CA92" s="93"/>
      <c r="CB92" s="93"/>
      <c r="CC92" s="93"/>
      <c r="CF92" s="93"/>
      <c r="CG92" s="93"/>
      <c r="CH92" s="93"/>
      <c r="CI92" s="93"/>
      <c r="CJ92" s="93"/>
      <c r="CK92" s="93"/>
      <c r="CL92" s="93"/>
      <c r="CM92" s="93"/>
      <c r="CN92" s="93"/>
      <c r="CO92" s="93"/>
      <c r="CP92" s="93"/>
      <c r="CQ92" s="93"/>
      <c r="CR92" s="93"/>
      <c r="CS92" s="93"/>
      <c r="CT92" s="93"/>
      <c r="CU92" s="93"/>
      <c r="CV92" s="93"/>
      <c r="CW92" s="93"/>
      <c r="CX92" s="93"/>
      <c r="CY92" s="93"/>
      <c r="CZ92" s="93"/>
      <c r="DA92" s="93"/>
      <c r="DB92" s="93"/>
      <c r="DC92" s="93"/>
      <c r="DD92" s="93"/>
      <c r="DE92" s="93"/>
      <c r="DF92" s="93"/>
      <c r="DG92" s="93"/>
      <c r="DH92" s="93"/>
      <c r="DI92" s="93"/>
      <c r="DJ92" s="93"/>
      <c r="DK92" s="93"/>
      <c r="DL92" s="93"/>
      <c r="DM92" s="93"/>
      <c r="DN92" s="93"/>
      <c r="DO92" s="93"/>
    </row>
    <row r="93" spans="1:198" s="806" customFormat="1" ht="15">
      <c r="A93" s="1076"/>
      <c r="B93" s="6"/>
      <c r="C93" s="6"/>
      <c r="D93" s="1059"/>
      <c r="G93" s="827"/>
      <c r="H93" s="809" t="s">
        <v>8350</v>
      </c>
      <c r="I93" s="92">
        <v>9</v>
      </c>
      <c r="J93" s="92" t="s">
        <v>10</v>
      </c>
      <c r="K93" s="92" t="s">
        <v>768</v>
      </c>
      <c r="L93" s="810">
        <v>2</v>
      </c>
      <c r="M93" s="811" t="str">
        <f t="shared" si="7"/>
        <v>Elementary Level</v>
      </c>
      <c r="N93" s="92"/>
      <c r="O93" s="92"/>
      <c r="P93" s="1638"/>
      <c r="Q93" s="92"/>
      <c r="R93" s="92"/>
      <c r="S93" s="848"/>
      <c r="T93" s="813"/>
      <c r="U93" s="813"/>
      <c r="V93" s="814"/>
      <c r="W93" s="815"/>
      <c r="X93" s="811" t="str">
        <f t="shared" si="8"/>
        <v/>
      </c>
      <c r="Y93" s="816"/>
      <c r="Z93" s="816"/>
      <c r="AA93" s="816"/>
      <c r="AB93" s="814"/>
      <c r="AC93" s="809"/>
      <c r="AD93" s="824"/>
      <c r="AE93" s="93"/>
      <c r="AF93" s="818"/>
      <c r="AG93" s="807" t="str">
        <f t="shared" si="9"/>
        <v/>
      </c>
      <c r="AH93" s="807"/>
      <c r="AI93" s="807"/>
      <c r="AJ93" s="807"/>
      <c r="AK93" s="92"/>
      <c r="AL93" s="92"/>
      <c r="AM93" s="819"/>
      <c r="AN93" s="820"/>
      <c r="AO93" s="817"/>
      <c r="AP93" s="820"/>
      <c r="AQ93" s="93"/>
      <c r="AR93" s="93"/>
      <c r="AS93" s="93"/>
      <c r="AT93" s="93"/>
      <c r="AU93" s="93"/>
      <c r="AV93" s="93"/>
      <c r="AW93" s="93"/>
      <c r="AX93" s="93"/>
      <c r="AY93" s="93"/>
      <c r="AZ93" s="93"/>
      <c r="BA93" s="93"/>
      <c r="BB93" s="93"/>
      <c r="BC93" s="93"/>
      <c r="BD93" s="93"/>
      <c r="BE93" s="93"/>
      <c r="BF93" s="93"/>
      <c r="BG93" s="93"/>
      <c r="BH93" s="93"/>
      <c r="BI93" s="93"/>
      <c r="BJ93" s="93"/>
      <c r="BK93" s="93"/>
      <c r="BL93" s="93"/>
      <c r="BM93" s="93"/>
      <c r="BN93" s="93"/>
      <c r="BT93" s="93"/>
      <c r="BU93" s="93"/>
      <c r="BV93" s="93"/>
      <c r="BW93" s="93"/>
      <c r="BX93" s="93"/>
      <c r="BY93" s="93"/>
      <c r="BZ93" s="93"/>
      <c r="CA93" s="93"/>
      <c r="CB93" s="93"/>
      <c r="CC93" s="93"/>
      <c r="CD93" s="93"/>
      <c r="CE93" s="93"/>
      <c r="CF93" s="93"/>
      <c r="CG93" s="93"/>
      <c r="CH93" s="93"/>
      <c r="CI93" s="93"/>
      <c r="CJ93" s="93"/>
      <c r="CK93" s="93"/>
      <c r="CL93" s="93"/>
      <c r="CM93" s="93"/>
      <c r="CN93" s="93"/>
      <c r="CO93" s="93"/>
      <c r="CP93" s="93"/>
      <c r="CQ93" s="93"/>
      <c r="CR93" s="93"/>
      <c r="CS93" s="93"/>
      <c r="CT93" s="93"/>
      <c r="CU93" s="93"/>
      <c r="CV93" s="93"/>
      <c r="CW93" s="93"/>
      <c r="CX93" s="93"/>
      <c r="CY93" s="93"/>
      <c r="CZ93" s="93"/>
      <c r="DA93" s="93"/>
      <c r="DB93" s="93"/>
      <c r="DC93" s="93"/>
      <c r="DD93" s="93"/>
      <c r="DE93" s="93"/>
      <c r="DF93" s="93"/>
      <c r="DG93" s="93"/>
      <c r="DH93" s="93"/>
      <c r="DI93" s="93"/>
      <c r="DJ93" s="93"/>
      <c r="DK93" s="93"/>
      <c r="DL93" s="93"/>
      <c r="DM93" s="93"/>
      <c r="DN93" s="93"/>
      <c r="DO93" s="93"/>
      <c r="DP93" s="807"/>
      <c r="DQ93" s="807"/>
      <c r="DR93" s="807"/>
      <c r="DS93" s="807"/>
      <c r="DT93" s="807"/>
      <c r="GO93" s="92"/>
      <c r="GP93" s="831"/>
    </row>
    <row r="94" spans="1:198" s="806" customFormat="1" ht="15">
      <c r="A94" s="1076"/>
      <c r="B94" s="6"/>
      <c r="C94" s="6"/>
      <c r="D94" s="1059"/>
      <c r="G94" s="827"/>
      <c r="H94" s="809" t="s">
        <v>8351</v>
      </c>
      <c r="I94" s="92">
        <v>8</v>
      </c>
      <c r="J94" s="92" t="s">
        <v>18</v>
      </c>
      <c r="K94" s="92" t="s">
        <v>768</v>
      </c>
      <c r="L94" s="810">
        <v>2</v>
      </c>
      <c r="M94" s="811" t="str">
        <f t="shared" si="7"/>
        <v>Elementary Level</v>
      </c>
      <c r="N94" s="92"/>
      <c r="O94" s="92"/>
      <c r="P94" s="1638"/>
      <c r="Q94" s="92"/>
      <c r="R94" s="92"/>
      <c r="S94" s="848"/>
      <c r="T94" s="813"/>
      <c r="U94" s="813"/>
      <c r="V94" s="814"/>
      <c r="W94" s="815"/>
      <c r="X94" s="811" t="str">
        <f t="shared" si="8"/>
        <v/>
      </c>
      <c r="Y94" s="816"/>
      <c r="Z94" s="816"/>
      <c r="AA94" s="816"/>
      <c r="AB94" s="814"/>
      <c r="AC94" s="809"/>
      <c r="AD94" s="824"/>
      <c r="AE94" s="93"/>
      <c r="AF94" s="818"/>
      <c r="AG94" s="807" t="str">
        <f t="shared" si="9"/>
        <v/>
      </c>
      <c r="AH94" s="807"/>
      <c r="AI94" s="807"/>
      <c r="AJ94" s="807"/>
      <c r="AK94" s="92"/>
      <c r="AL94" s="92"/>
      <c r="AM94" s="819"/>
      <c r="AN94" s="820"/>
      <c r="AO94" s="817"/>
      <c r="AP94" s="820"/>
      <c r="AQ94" s="93"/>
      <c r="AR94" s="93"/>
      <c r="AS94" s="93"/>
      <c r="AT94" s="93"/>
      <c r="AU94" s="93"/>
      <c r="AV94" s="93"/>
      <c r="AW94" s="93"/>
      <c r="AX94" s="93"/>
      <c r="AY94" s="93"/>
      <c r="AZ94" s="93"/>
      <c r="BA94" s="93"/>
      <c r="BB94" s="93"/>
      <c r="BC94" s="93"/>
      <c r="BD94" s="93"/>
      <c r="BE94" s="93"/>
      <c r="BF94" s="93"/>
      <c r="BG94" s="93"/>
      <c r="BH94" s="93"/>
      <c r="BI94" s="93"/>
      <c r="BJ94" s="93"/>
      <c r="BK94" s="93"/>
      <c r="BL94" s="93"/>
      <c r="BM94" s="93"/>
      <c r="BN94" s="93"/>
      <c r="BT94" s="93"/>
      <c r="BU94" s="93"/>
      <c r="BV94" s="93"/>
      <c r="BW94" s="93"/>
      <c r="BX94" s="93"/>
      <c r="BY94" s="93"/>
      <c r="BZ94" s="93"/>
      <c r="CA94" s="93"/>
      <c r="CB94" s="93"/>
      <c r="CC94" s="93"/>
      <c r="CD94" s="93"/>
      <c r="CE94" s="93"/>
      <c r="CF94" s="93"/>
      <c r="CG94" s="93"/>
      <c r="CH94" s="93"/>
      <c r="CI94" s="93"/>
      <c r="CJ94" s="93"/>
      <c r="CK94" s="93"/>
      <c r="CL94" s="93"/>
      <c r="CM94" s="93"/>
      <c r="CN94" s="93"/>
      <c r="CO94" s="93"/>
      <c r="CP94" s="93"/>
      <c r="CQ94" s="93"/>
      <c r="CR94" s="93"/>
      <c r="CS94" s="93"/>
      <c r="CT94" s="93"/>
      <c r="CU94" s="93"/>
      <c r="CV94" s="93"/>
      <c r="CW94" s="93"/>
      <c r="CX94" s="93"/>
      <c r="CY94" s="93"/>
      <c r="CZ94" s="93"/>
      <c r="DA94" s="93"/>
      <c r="DB94" s="93"/>
      <c r="DC94" s="93"/>
      <c r="DD94" s="93"/>
      <c r="DE94" s="93"/>
      <c r="DF94" s="93"/>
      <c r="DG94" s="93"/>
      <c r="DH94" s="93"/>
      <c r="DI94" s="93"/>
      <c r="DJ94" s="93"/>
      <c r="DK94" s="93"/>
      <c r="DL94" s="93"/>
      <c r="DM94" s="93"/>
      <c r="DN94" s="93"/>
      <c r="DO94" s="93"/>
      <c r="DP94" s="807"/>
      <c r="DQ94" s="807"/>
      <c r="DR94" s="807"/>
      <c r="DS94" s="807"/>
      <c r="DT94" s="807"/>
      <c r="GO94" s="92"/>
      <c r="GP94" s="831"/>
    </row>
    <row r="95" spans="1:198" s="806" customFormat="1" ht="15">
      <c r="A95" s="1076"/>
      <c r="B95" s="6"/>
      <c r="C95" s="6"/>
      <c r="D95" s="1059"/>
      <c r="G95" s="827"/>
      <c r="H95" s="809" t="s">
        <v>8352</v>
      </c>
      <c r="I95" s="92">
        <v>7</v>
      </c>
      <c r="J95" s="92" t="s">
        <v>18</v>
      </c>
      <c r="K95" s="92" t="s">
        <v>768</v>
      </c>
      <c r="L95" s="810">
        <v>2</v>
      </c>
      <c r="M95" s="811" t="str">
        <f t="shared" si="7"/>
        <v>Elementary Level</v>
      </c>
      <c r="N95" s="92"/>
      <c r="O95" s="92"/>
      <c r="P95" s="1638"/>
      <c r="Q95" s="92"/>
      <c r="R95" s="92"/>
      <c r="S95" s="848"/>
      <c r="T95" s="813"/>
      <c r="U95" s="813"/>
      <c r="V95" s="814">
        <f>SUM(S91:U95)</f>
        <v>10800</v>
      </c>
      <c r="W95" s="815"/>
      <c r="X95" s="811" t="str">
        <f t="shared" si="8"/>
        <v/>
      </c>
      <c r="Y95" s="816"/>
      <c r="Z95" s="816"/>
      <c r="AA95" s="816"/>
      <c r="AB95" s="814">
        <f>SUM(Y91:AA95)</f>
        <v>0</v>
      </c>
      <c r="AC95" s="809"/>
      <c r="AD95" s="824"/>
      <c r="AE95" s="93"/>
      <c r="AF95" s="818"/>
      <c r="AG95" s="807" t="str">
        <f t="shared" si="9"/>
        <v/>
      </c>
      <c r="AH95" s="807"/>
      <c r="AI95" s="807"/>
      <c r="AJ95" s="807"/>
      <c r="AK95" s="92"/>
      <c r="AL95" s="92"/>
      <c r="AM95" s="819"/>
      <c r="AN95" s="820"/>
      <c r="AO95" s="817"/>
      <c r="AP95" s="820"/>
      <c r="AQ95" s="93"/>
      <c r="AR95" s="93"/>
      <c r="AS95" s="93"/>
      <c r="AT95" s="93"/>
      <c r="AU95" s="93"/>
      <c r="AV95" s="93"/>
      <c r="AW95" s="93"/>
      <c r="AX95" s="93"/>
      <c r="AY95" s="93"/>
      <c r="AZ95" s="93"/>
      <c r="BA95" s="93"/>
      <c r="BB95" s="93"/>
      <c r="BC95" s="93"/>
      <c r="BD95" s="93"/>
      <c r="BE95" s="93"/>
      <c r="BF95" s="93"/>
      <c r="BG95" s="93"/>
      <c r="BH95" s="93"/>
      <c r="BI95" s="93"/>
      <c r="BJ95" s="93"/>
      <c r="BK95" s="93"/>
      <c r="BL95" s="93"/>
      <c r="BM95" s="93"/>
      <c r="BN95" s="93"/>
      <c r="BT95" s="93"/>
      <c r="BU95" s="93"/>
      <c r="BV95" s="93"/>
      <c r="BW95" s="93"/>
      <c r="BX95" s="93"/>
      <c r="BY95" s="93"/>
      <c r="BZ95" s="93"/>
      <c r="CA95" s="93"/>
      <c r="CB95" s="93"/>
      <c r="CC95" s="93"/>
      <c r="CD95" s="93"/>
      <c r="CE95" s="93"/>
      <c r="CF95" s="93"/>
      <c r="CG95" s="93"/>
      <c r="CH95" s="93"/>
      <c r="CI95" s="93"/>
      <c r="CJ95" s="93"/>
      <c r="CK95" s="93"/>
      <c r="CL95" s="93"/>
      <c r="CM95" s="93"/>
      <c r="CN95" s="93"/>
      <c r="CO95" s="93"/>
      <c r="CP95" s="93"/>
      <c r="CQ95" s="93"/>
      <c r="CR95" s="93"/>
      <c r="CS95" s="93"/>
      <c r="CT95" s="93"/>
      <c r="CU95" s="93"/>
      <c r="CV95" s="93"/>
      <c r="CW95" s="93"/>
      <c r="CX95" s="93"/>
      <c r="CY95" s="93"/>
      <c r="CZ95" s="93"/>
      <c r="DA95" s="93"/>
      <c r="DB95" s="93"/>
      <c r="DC95" s="93"/>
      <c r="DD95" s="93"/>
      <c r="DE95" s="93"/>
      <c r="DF95" s="93"/>
      <c r="DG95" s="93"/>
      <c r="DH95" s="93"/>
      <c r="DI95" s="93"/>
      <c r="DJ95" s="93"/>
      <c r="DK95" s="93"/>
      <c r="DL95" s="93"/>
      <c r="DM95" s="93"/>
      <c r="DN95" s="93"/>
      <c r="DO95" s="93"/>
      <c r="DP95" s="807"/>
      <c r="DQ95" s="807"/>
      <c r="DR95" s="807"/>
      <c r="DS95" s="807"/>
      <c r="DT95" s="807"/>
      <c r="GO95" s="92"/>
      <c r="GP95" s="831"/>
    </row>
    <row r="96" spans="1:198" ht="15">
      <c r="D96" s="1059" t="s">
        <v>99</v>
      </c>
      <c r="G96" s="808" t="s">
        <v>99</v>
      </c>
      <c r="H96" s="809" t="s">
        <v>1276</v>
      </c>
      <c r="J96" s="92" t="s">
        <v>18</v>
      </c>
      <c r="M96" s="811" t="str">
        <f t="shared" si="7"/>
        <v/>
      </c>
      <c r="O96" s="92"/>
      <c r="P96" s="1638"/>
      <c r="Q96" s="92"/>
      <c r="R96" s="92"/>
      <c r="S96" s="848"/>
      <c r="V96" s="828"/>
      <c r="X96" s="811" t="str">
        <f t="shared" si="8"/>
        <v/>
      </c>
      <c r="AB96" s="828"/>
      <c r="AC96" s="809"/>
      <c r="AD96" s="817" t="s">
        <v>1276</v>
      </c>
      <c r="AG96" s="807" t="str">
        <f t="shared" si="9"/>
        <v/>
      </c>
      <c r="AH96" s="807"/>
      <c r="AI96" s="807"/>
      <c r="AJ96" s="807"/>
      <c r="AK96" s="92"/>
      <c r="AM96" s="819"/>
      <c r="AN96" s="820"/>
      <c r="AQ96" s="93"/>
      <c r="AR96" s="93"/>
      <c r="AS96" s="93"/>
      <c r="AT96" s="93"/>
      <c r="AU96" s="93"/>
      <c r="AV96" s="93"/>
      <c r="AW96" s="93"/>
      <c r="AX96" s="93"/>
      <c r="AY96" s="93"/>
      <c r="AZ96" s="93"/>
      <c r="BA96" s="93"/>
      <c r="BB96" s="93"/>
      <c r="BL96" s="93"/>
      <c r="BM96" s="93"/>
      <c r="BT96" s="93"/>
      <c r="BU96" s="93"/>
      <c r="BV96" s="93"/>
      <c r="BW96" s="93"/>
      <c r="BX96" s="93"/>
      <c r="BY96" s="93"/>
      <c r="BZ96" s="93"/>
      <c r="CA96" s="93"/>
      <c r="CB96" s="93"/>
      <c r="CC96" s="93"/>
      <c r="CF96" s="93"/>
      <c r="CG96" s="93"/>
      <c r="CH96" s="93"/>
      <c r="CI96" s="93"/>
      <c r="CJ96" s="93"/>
      <c r="CK96" s="93"/>
      <c r="CL96" s="93"/>
      <c r="CM96" s="93"/>
      <c r="CN96" s="93"/>
      <c r="CO96" s="93"/>
      <c r="CP96" s="93"/>
      <c r="CQ96" s="93"/>
      <c r="CR96" s="93"/>
      <c r="CS96" s="93"/>
      <c r="CT96" s="93"/>
      <c r="CU96" s="93"/>
      <c r="CV96" s="93"/>
      <c r="CW96" s="93"/>
      <c r="CX96" s="93"/>
      <c r="CY96" s="93"/>
      <c r="CZ96" s="93"/>
      <c r="DA96" s="93"/>
      <c r="DB96" s="93"/>
      <c r="DC96" s="93"/>
      <c r="DD96" s="93"/>
      <c r="DE96" s="93"/>
      <c r="DF96" s="93"/>
      <c r="DG96" s="93"/>
      <c r="DH96" s="93"/>
      <c r="DI96" s="93"/>
      <c r="DJ96" s="93"/>
      <c r="DK96" s="93"/>
      <c r="DL96" s="93"/>
      <c r="DM96" s="93"/>
      <c r="DN96" s="93"/>
      <c r="DO96" s="93"/>
    </row>
    <row r="97" spans="1:198" ht="15">
      <c r="D97" s="1059"/>
      <c r="G97" s="827"/>
      <c r="H97" s="809" t="s">
        <v>8353</v>
      </c>
      <c r="J97" s="92" t="s">
        <v>18</v>
      </c>
      <c r="M97" s="811" t="str">
        <f t="shared" si="7"/>
        <v/>
      </c>
      <c r="P97" s="1638"/>
      <c r="S97" s="848"/>
      <c r="V97" s="828"/>
      <c r="X97" s="811" t="str">
        <f t="shared" si="8"/>
        <v/>
      </c>
      <c r="AB97" s="828"/>
      <c r="AC97" s="809"/>
      <c r="AD97" s="824"/>
      <c r="AG97" s="807" t="str">
        <f t="shared" si="9"/>
        <v/>
      </c>
      <c r="AH97" s="807"/>
      <c r="AI97" s="807"/>
      <c r="AJ97" s="807"/>
      <c r="AK97" s="92"/>
      <c r="AM97" s="819"/>
      <c r="AN97" s="820"/>
      <c r="AQ97" s="93"/>
      <c r="AR97" s="93"/>
      <c r="AS97" s="93"/>
      <c r="AT97" s="93"/>
      <c r="AU97" s="93"/>
      <c r="AV97" s="93"/>
      <c r="AW97" s="93"/>
      <c r="AX97" s="93"/>
      <c r="AY97" s="93"/>
      <c r="AZ97" s="93"/>
      <c r="BA97" s="93"/>
      <c r="BB97" s="93"/>
      <c r="BL97" s="93"/>
      <c r="BM97" s="93"/>
      <c r="BT97" s="93"/>
      <c r="BU97" s="93"/>
      <c r="BV97" s="93"/>
      <c r="BW97" s="93"/>
      <c r="BX97" s="93"/>
      <c r="BY97" s="93"/>
      <c r="BZ97" s="93"/>
      <c r="CA97" s="93"/>
      <c r="CB97" s="93"/>
      <c r="CC97" s="93"/>
      <c r="CF97" s="93"/>
      <c r="CG97" s="93"/>
      <c r="CH97" s="93"/>
      <c r="CI97" s="93"/>
      <c r="CJ97" s="93"/>
      <c r="CK97" s="93"/>
      <c r="CL97" s="93"/>
      <c r="CM97" s="93"/>
      <c r="CN97" s="93"/>
      <c r="CO97" s="93"/>
      <c r="CP97" s="93"/>
      <c r="CQ97" s="93"/>
      <c r="CR97" s="93"/>
      <c r="CS97" s="93"/>
      <c r="CT97" s="93"/>
      <c r="CU97" s="93"/>
      <c r="CV97" s="93"/>
      <c r="CW97" s="93"/>
      <c r="CX97" s="93"/>
      <c r="CY97" s="93"/>
      <c r="CZ97" s="93"/>
      <c r="DA97" s="93"/>
      <c r="DB97" s="93"/>
      <c r="DC97" s="93"/>
      <c r="DD97" s="93"/>
      <c r="DE97" s="93"/>
      <c r="DF97" s="93"/>
      <c r="DG97" s="93"/>
      <c r="DH97" s="93"/>
      <c r="DI97" s="93"/>
      <c r="DJ97" s="93"/>
      <c r="DK97" s="93"/>
      <c r="DL97" s="93"/>
      <c r="DM97" s="93"/>
      <c r="DN97" s="93"/>
      <c r="DO97" s="93"/>
    </row>
    <row r="98" spans="1:198" s="806" customFormat="1" ht="15">
      <c r="D98" s="1059"/>
      <c r="G98" s="827"/>
      <c r="H98" s="809" t="s">
        <v>8354</v>
      </c>
      <c r="I98" s="92"/>
      <c r="J98" s="92"/>
      <c r="K98" s="92"/>
      <c r="L98" s="810"/>
      <c r="M98" s="811" t="str">
        <f t="shared" si="7"/>
        <v/>
      </c>
      <c r="N98" s="92"/>
      <c r="O98" s="92"/>
      <c r="P98" s="1638"/>
      <c r="Q98" s="92"/>
      <c r="R98" s="92"/>
      <c r="S98" s="848"/>
      <c r="T98" s="813"/>
      <c r="U98" s="813"/>
      <c r="V98" s="828">
        <f>SUM(S96:U98)</f>
        <v>0</v>
      </c>
      <c r="W98" s="815"/>
      <c r="X98" s="811" t="str">
        <f t="shared" si="8"/>
        <v/>
      </c>
      <c r="Y98" s="816"/>
      <c r="Z98" s="816"/>
      <c r="AA98" s="816"/>
      <c r="AB98" s="828">
        <f>SUM(Y96:AA98)</f>
        <v>0</v>
      </c>
      <c r="AC98" s="809"/>
      <c r="AD98" s="824"/>
      <c r="AE98" s="93"/>
      <c r="AF98" s="818"/>
      <c r="AG98" s="807" t="str">
        <f t="shared" si="9"/>
        <v/>
      </c>
      <c r="AH98" s="807"/>
      <c r="AI98" s="807"/>
      <c r="AJ98" s="807"/>
      <c r="AK98" s="92"/>
      <c r="AL98" s="92"/>
      <c r="AM98" s="819"/>
      <c r="AN98" s="820"/>
      <c r="AO98" s="817"/>
      <c r="AP98" s="820"/>
      <c r="AQ98" s="93"/>
      <c r="AR98" s="93"/>
      <c r="AS98" s="93"/>
      <c r="AT98" s="93"/>
      <c r="AU98" s="93"/>
      <c r="AV98" s="93"/>
      <c r="AW98" s="93"/>
      <c r="AX98" s="93"/>
      <c r="AY98" s="93"/>
      <c r="AZ98" s="93"/>
      <c r="BA98" s="93"/>
      <c r="BB98" s="93"/>
      <c r="BC98" s="93"/>
      <c r="BD98" s="93"/>
      <c r="BE98" s="93"/>
      <c r="BF98" s="93"/>
      <c r="BG98" s="93"/>
      <c r="BH98" s="93"/>
      <c r="BI98" s="93"/>
      <c r="BJ98" s="93"/>
      <c r="BK98" s="93"/>
      <c r="BL98" s="93"/>
      <c r="BM98" s="93"/>
      <c r="BN98" s="93"/>
      <c r="BT98" s="93"/>
      <c r="BU98" s="93"/>
      <c r="BV98" s="93"/>
      <c r="BW98" s="93"/>
      <c r="BX98" s="93"/>
      <c r="BY98" s="93"/>
      <c r="BZ98" s="93"/>
      <c r="CA98" s="93"/>
      <c r="CB98" s="93"/>
      <c r="CC98" s="93"/>
      <c r="CD98" s="93"/>
      <c r="CE98" s="93"/>
      <c r="CF98" s="93"/>
      <c r="CG98" s="93"/>
      <c r="CH98" s="93"/>
      <c r="CI98" s="93"/>
      <c r="CJ98" s="93"/>
      <c r="CK98" s="93"/>
      <c r="CL98" s="93"/>
      <c r="CM98" s="93"/>
      <c r="CN98" s="93"/>
      <c r="CO98" s="93"/>
      <c r="CP98" s="93"/>
      <c r="CQ98" s="93"/>
      <c r="CR98" s="93"/>
      <c r="CS98" s="93"/>
      <c r="CT98" s="93"/>
      <c r="CU98" s="93"/>
      <c r="CV98" s="93"/>
      <c r="CW98" s="93"/>
      <c r="CX98" s="93"/>
      <c r="CY98" s="93"/>
      <c r="CZ98" s="93"/>
      <c r="DA98" s="93"/>
      <c r="DB98" s="93"/>
      <c r="DC98" s="93"/>
      <c r="DD98" s="93"/>
      <c r="DE98" s="93"/>
      <c r="DF98" s="93"/>
      <c r="DG98" s="93"/>
      <c r="DH98" s="93"/>
      <c r="DI98" s="93"/>
      <c r="DJ98" s="93"/>
      <c r="DK98" s="93"/>
      <c r="DL98" s="93"/>
      <c r="DM98" s="93"/>
      <c r="DN98" s="93"/>
      <c r="DO98" s="93"/>
      <c r="DP98" s="807"/>
      <c r="DQ98" s="807"/>
      <c r="DR98" s="807"/>
      <c r="DS98" s="807"/>
      <c r="DT98" s="807"/>
      <c r="GO98" s="92"/>
      <c r="GP98" s="831"/>
    </row>
    <row r="99" spans="1:198" ht="15">
      <c r="A99" s="343" t="s">
        <v>12401</v>
      </c>
      <c r="B99" s="288" t="s">
        <v>7563</v>
      </c>
      <c r="C99" s="167" t="s">
        <v>102</v>
      </c>
      <c r="D99" s="1059" t="s">
        <v>102</v>
      </c>
      <c r="E99" s="1038" t="s">
        <v>102</v>
      </c>
      <c r="F99" s="1047" t="s">
        <v>11281</v>
      </c>
      <c r="G99" s="809" t="s">
        <v>102</v>
      </c>
      <c r="H99" s="809" t="s">
        <v>11281</v>
      </c>
      <c r="I99" s="92">
        <v>31</v>
      </c>
      <c r="J99" s="92" t="s">
        <v>18</v>
      </c>
      <c r="K99" s="92" t="s">
        <v>719</v>
      </c>
      <c r="L99" s="810">
        <v>7</v>
      </c>
      <c r="M99" s="811" t="str">
        <f t="shared" si="7"/>
        <v>College Graduate or Higher</v>
      </c>
      <c r="N99" s="92" t="s">
        <v>1208</v>
      </c>
      <c r="O99" s="92" t="s">
        <v>8355</v>
      </c>
      <c r="P99" s="1638" t="s">
        <v>12606</v>
      </c>
      <c r="Q99" s="92" t="s">
        <v>8355</v>
      </c>
      <c r="R99" s="92" t="s">
        <v>8234</v>
      </c>
      <c r="S99" s="848">
        <v>30000</v>
      </c>
      <c r="V99" s="830"/>
      <c r="W99" s="815">
        <v>4</v>
      </c>
      <c r="X99" s="811" t="str">
        <f t="shared" si="8"/>
        <v>Other Province</v>
      </c>
      <c r="Y99" s="816">
        <v>2500</v>
      </c>
      <c r="AB99" s="830"/>
      <c r="AC99" s="809"/>
      <c r="AD99" s="824"/>
      <c r="AG99" s="807" t="str">
        <f t="shared" si="9"/>
        <v/>
      </c>
      <c r="AH99" s="807"/>
      <c r="AI99" s="807"/>
      <c r="AJ99" s="807"/>
      <c r="AK99" s="92"/>
      <c r="AM99" s="819"/>
      <c r="AN99" s="820"/>
      <c r="AQ99" s="93"/>
      <c r="AR99" s="93"/>
      <c r="AS99" s="93"/>
      <c r="AT99" s="93"/>
      <c r="AU99" s="93"/>
      <c r="AV99" s="93"/>
      <c r="AW99" s="93"/>
      <c r="AX99" s="93"/>
      <c r="AY99" s="93"/>
      <c r="AZ99" s="93"/>
      <c r="BA99" s="93"/>
      <c r="BB99" s="93"/>
      <c r="BL99" s="93"/>
      <c r="BM99" s="93"/>
      <c r="BT99" s="93"/>
      <c r="BU99" s="93"/>
      <c r="BV99" s="93"/>
      <c r="BW99" s="93"/>
      <c r="BX99" s="93"/>
      <c r="BY99" s="93"/>
      <c r="BZ99" s="93"/>
      <c r="CA99" s="93"/>
      <c r="CB99" s="93"/>
      <c r="CC99" s="93"/>
      <c r="CF99" s="93"/>
      <c r="CG99" s="93"/>
      <c r="CH99" s="93"/>
      <c r="CI99" s="93"/>
      <c r="CJ99" s="93"/>
      <c r="CK99" s="93"/>
      <c r="CL99" s="93"/>
      <c r="CM99" s="93"/>
      <c r="CN99" s="93"/>
      <c r="CO99" s="93"/>
      <c r="CP99" s="93"/>
      <c r="CQ99" s="93"/>
      <c r="CR99" s="93"/>
      <c r="CS99" s="93"/>
      <c r="CT99" s="93"/>
      <c r="CU99" s="93"/>
      <c r="CV99" s="93"/>
      <c r="CW99" s="93"/>
      <c r="CX99" s="93"/>
      <c r="CY99" s="93"/>
      <c r="CZ99" s="93"/>
      <c r="DA99" s="93"/>
      <c r="DB99" s="93"/>
      <c r="DC99" s="93"/>
      <c r="DD99" s="93"/>
      <c r="DE99" s="93"/>
      <c r="DF99" s="93"/>
      <c r="DG99" s="93"/>
      <c r="DH99" s="93"/>
      <c r="DI99" s="93"/>
      <c r="DJ99" s="93"/>
      <c r="DK99" s="93"/>
      <c r="DL99" s="93"/>
      <c r="DM99" s="93"/>
      <c r="DN99" s="93"/>
      <c r="DO99" s="93"/>
    </row>
    <row r="100" spans="1:198" s="806" customFormat="1" ht="15">
      <c r="A100" s="343" t="s">
        <v>12401</v>
      </c>
      <c r="B100" s="6"/>
      <c r="C100" s="164"/>
      <c r="D100" s="1059" t="s">
        <v>102</v>
      </c>
      <c r="E100" s="1038" t="s">
        <v>102</v>
      </c>
      <c r="G100" s="827"/>
      <c r="H100" s="809" t="s">
        <v>1705</v>
      </c>
      <c r="I100" s="92">
        <v>53</v>
      </c>
      <c r="J100" s="92" t="s">
        <v>18</v>
      </c>
      <c r="K100" s="92" t="s">
        <v>768</v>
      </c>
      <c r="L100" s="810">
        <v>5</v>
      </c>
      <c r="M100" s="811" t="str">
        <f t="shared" si="7"/>
        <v>High School Graduate</v>
      </c>
      <c r="N100" s="92"/>
      <c r="O100" s="92"/>
      <c r="P100" s="1638"/>
      <c r="Q100" s="92"/>
      <c r="R100" s="92"/>
      <c r="S100" s="848"/>
      <c r="T100" s="813"/>
      <c r="U100" s="813"/>
      <c r="V100" s="830"/>
      <c r="W100" s="815"/>
      <c r="X100" s="811" t="str">
        <f t="shared" si="8"/>
        <v/>
      </c>
      <c r="Y100" s="816"/>
      <c r="Z100" s="816"/>
      <c r="AA100" s="816"/>
      <c r="AB100" s="830"/>
      <c r="AC100" s="809" t="s">
        <v>8356</v>
      </c>
      <c r="AD100" s="824"/>
      <c r="AE100" s="93"/>
      <c r="AF100" s="818"/>
      <c r="AG100" s="807" t="str">
        <f t="shared" si="9"/>
        <v/>
      </c>
      <c r="AH100" s="807"/>
      <c r="AI100" s="807"/>
      <c r="AJ100" s="807"/>
      <c r="AK100" s="92"/>
      <c r="AL100" s="92"/>
      <c r="AM100" s="819"/>
      <c r="AN100" s="820"/>
      <c r="AO100" s="817"/>
      <c r="AP100" s="820"/>
      <c r="AQ100" s="93"/>
      <c r="AR100" s="93"/>
      <c r="AS100" s="93"/>
      <c r="AT100" s="93"/>
      <c r="AU100" s="93"/>
      <c r="AV100" s="93"/>
      <c r="AW100" s="93"/>
      <c r="AX100" s="93"/>
      <c r="AY100" s="93"/>
      <c r="AZ100" s="93"/>
      <c r="BA100" s="93"/>
      <c r="BB100" s="93"/>
      <c r="BC100" s="93"/>
      <c r="BD100" s="93"/>
      <c r="BE100" s="93"/>
      <c r="BF100" s="93"/>
      <c r="BG100" s="93"/>
      <c r="BH100" s="93"/>
      <c r="BI100" s="93"/>
      <c r="BJ100" s="93"/>
      <c r="BK100" s="93"/>
      <c r="BL100" s="93"/>
      <c r="BM100" s="93"/>
      <c r="BN100" s="93"/>
      <c r="BT100" s="93"/>
      <c r="BU100" s="93"/>
      <c r="BV100" s="93"/>
      <c r="BW100" s="93"/>
      <c r="BX100" s="93"/>
      <c r="BY100" s="93"/>
      <c r="BZ100" s="93"/>
      <c r="CA100" s="93"/>
      <c r="CB100" s="93"/>
      <c r="CC100" s="93"/>
      <c r="CD100" s="93"/>
      <c r="CE100" s="93"/>
      <c r="CF100" s="93"/>
      <c r="CG100" s="93"/>
      <c r="CH100" s="93"/>
      <c r="CI100" s="93"/>
      <c r="CJ100" s="93"/>
      <c r="CK100" s="93"/>
      <c r="CL100" s="93"/>
      <c r="CM100" s="93"/>
      <c r="CN100" s="93"/>
      <c r="CO100" s="93"/>
      <c r="CP100" s="93"/>
      <c r="CQ100" s="93"/>
      <c r="CR100" s="93"/>
      <c r="CS100" s="93"/>
      <c r="CT100" s="93"/>
      <c r="CU100" s="93"/>
      <c r="CV100" s="93"/>
      <c r="CW100" s="93"/>
      <c r="CX100" s="93"/>
      <c r="CY100" s="93"/>
      <c r="CZ100" s="93"/>
      <c r="DA100" s="93"/>
      <c r="DB100" s="93"/>
      <c r="DC100" s="93"/>
      <c r="DD100" s="93"/>
      <c r="DE100" s="93"/>
      <c r="DF100" s="93"/>
      <c r="DG100" s="93"/>
      <c r="DH100" s="93"/>
      <c r="DI100" s="93"/>
      <c r="DJ100" s="93"/>
      <c r="DK100" s="93"/>
      <c r="DL100" s="93"/>
      <c r="DM100" s="93"/>
      <c r="DN100" s="93"/>
      <c r="DO100" s="93"/>
      <c r="DP100" s="807"/>
      <c r="DQ100" s="807"/>
      <c r="DR100" s="807"/>
      <c r="DS100" s="807"/>
      <c r="DT100" s="807"/>
      <c r="GO100" s="92"/>
      <c r="GP100" s="831"/>
    </row>
    <row r="101" spans="1:198" s="806" customFormat="1" ht="15">
      <c r="A101" s="343" t="s">
        <v>12401</v>
      </c>
      <c r="B101" s="6"/>
      <c r="C101" s="164"/>
      <c r="D101" s="1059" t="s">
        <v>102</v>
      </c>
      <c r="E101" s="1038" t="s">
        <v>102</v>
      </c>
      <c r="G101" s="827"/>
      <c r="H101" s="809" t="s">
        <v>8357</v>
      </c>
      <c r="I101" s="92">
        <v>24</v>
      </c>
      <c r="J101" s="92" t="s">
        <v>18</v>
      </c>
      <c r="K101" s="92" t="s">
        <v>768</v>
      </c>
      <c r="L101" s="810">
        <v>7</v>
      </c>
      <c r="M101" s="811" t="str">
        <f t="shared" si="7"/>
        <v>College Graduate or Higher</v>
      </c>
      <c r="N101" s="92"/>
      <c r="O101" s="92"/>
      <c r="P101" s="1638"/>
      <c r="Q101" s="92"/>
      <c r="R101" s="92"/>
      <c r="S101" s="848"/>
      <c r="T101" s="813"/>
      <c r="U101" s="813"/>
      <c r="V101" s="830"/>
      <c r="W101" s="815"/>
      <c r="X101" s="811" t="str">
        <f t="shared" si="8"/>
        <v/>
      </c>
      <c r="Y101" s="816"/>
      <c r="Z101" s="816"/>
      <c r="AA101" s="816"/>
      <c r="AB101" s="830"/>
      <c r="AC101" s="809"/>
      <c r="AD101" s="824"/>
      <c r="AE101" s="93"/>
      <c r="AF101" s="818"/>
      <c r="AG101" s="807" t="str">
        <f t="shared" si="9"/>
        <v/>
      </c>
      <c r="AH101" s="807"/>
      <c r="AI101" s="807"/>
      <c r="AJ101" s="807"/>
      <c r="AK101" s="92"/>
      <c r="AL101" s="92"/>
      <c r="AM101" s="819"/>
      <c r="AN101" s="820"/>
      <c r="AO101" s="817"/>
      <c r="AP101" s="820"/>
      <c r="AQ101" s="93"/>
      <c r="AR101" s="93"/>
      <c r="AS101" s="93"/>
      <c r="AT101" s="93"/>
      <c r="AU101" s="93"/>
      <c r="AV101" s="93"/>
      <c r="AW101" s="93"/>
      <c r="AX101" s="93"/>
      <c r="AY101" s="93"/>
      <c r="AZ101" s="93"/>
      <c r="BA101" s="93"/>
      <c r="BB101" s="93"/>
      <c r="BC101" s="93"/>
      <c r="BD101" s="93"/>
      <c r="BE101" s="93"/>
      <c r="BF101" s="93"/>
      <c r="BG101" s="93"/>
      <c r="BH101" s="93"/>
      <c r="BI101" s="93"/>
      <c r="BJ101" s="93"/>
      <c r="BK101" s="93"/>
      <c r="BL101" s="93"/>
      <c r="BM101" s="93"/>
      <c r="BN101" s="93"/>
      <c r="BT101" s="93"/>
      <c r="BU101" s="93"/>
      <c r="BV101" s="93"/>
      <c r="BW101" s="93"/>
      <c r="BX101" s="93"/>
      <c r="BY101" s="93"/>
      <c r="BZ101" s="93"/>
      <c r="CA101" s="93"/>
      <c r="CB101" s="93"/>
      <c r="CC101" s="93"/>
      <c r="CD101" s="93"/>
      <c r="CE101" s="93"/>
      <c r="CF101" s="93"/>
      <c r="CG101" s="93"/>
      <c r="CH101" s="93"/>
      <c r="CI101" s="93"/>
      <c r="CJ101" s="93"/>
      <c r="CK101" s="93"/>
      <c r="CL101" s="93"/>
      <c r="CM101" s="93"/>
      <c r="CN101" s="93"/>
      <c r="CO101" s="93"/>
      <c r="CP101" s="93"/>
      <c r="CQ101" s="93"/>
      <c r="CR101" s="93"/>
      <c r="CS101" s="93"/>
      <c r="CT101" s="93"/>
      <c r="CU101" s="93"/>
      <c r="CV101" s="93"/>
      <c r="CW101" s="93"/>
      <c r="CX101" s="93"/>
      <c r="CY101" s="93"/>
      <c r="CZ101" s="93"/>
      <c r="DA101" s="93"/>
      <c r="DB101" s="93"/>
      <c r="DC101" s="93"/>
      <c r="DD101" s="93"/>
      <c r="DE101" s="93"/>
      <c r="DF101" s="93"/>
      <c r="DG101" s="93"/>
      <c r="DH101" s="93"/>
      <c r="DI101" s="93"/>
      <c r="DJ101" s="93"/>
      <c r="DK101" s="93"/>
      <c r="DL101" s="93"/>
      <c r="DM101" s="93"/>
      <c r="DN101" s="93"/>
      <c r="DO101" s="93"/>
      <c r="DP101" s="807"/>
      <c r="DQ101" s="807"/>
      <c r="DR101" s="807"/>
      <c r="DS101" s="807"/>
      <c r="DT101" s="807"/>
      <c r="GO101" s="92"/>
      <c r="GP101" s="831"/>
    </row>
    <row r="102" spans="1:198" s="806" customFormat="1" ht="15">
      <c r="A102" s="343" t="s">
        <v>12401</v>
      </c>
      <c r="B102" s="6"/>
      <c r="C102" s="164"/>
      <c r="D102" s="1059" t="s">
        <v>102</v>
      </c>
      <c r="E102" s="1038" t="s">
        <v>102</v>
      </c>
      <c r="G102" s="827"/>
      <c r="H102" s="809" t="s">
        <v>8358</v>
      </c>
      <c r="I102" s="92">
        <v>5</v>
      </c>
      <c r="J102" s="92" t="s">
        <v>10</v>
      </c>
      <c r="K102" s="92" t="s">
        <v>768</v>
      </c>
      <c r="L102" s="810">
        <v>1</v>
      </c>
      <c r="M102" s="811" t="str">
        <f t="shared" si="7"/>
        <v>Pre-school</v>
      </c>
      <c r="N102" s="92"/>
      <c r="O102" s="92"/>
      <c r="P102" s="1638"/>
      <c r="Q102" s="92"/>
      <c r="R102" s="92"/>
      <c r="S102" s="848"/>
      <c r="T102" s="813"/>
      <c r="U102" s="813"/>
      <c r="V102" s="830"/>
      <c r="W102" s="815"/>
      <c r="X102" s="811" t="str">
        <f t="shared" si="8"/>
        <v/>
      </c>
      <c r="Y102" s="816"/>
      <c r="Z102" s="816"/>
      <c r="AA102" s="816"/>
      <c r="AB102" s="830"/>
      <c r="AC102" s="809"/>
      <c r="AD102" s="824"/>
      <c r="AE102" s="93"/>
      <c r="AF102" s="818"/>
      <c r="AG102" s="807" t="str">
        <f t="shared" si="9"/>
        <v/>
      </c>
      <c r="AH102" s="807"/>
      <c r="AI102" s="807"/>
      <c r="AJ102" s="807"/>
      <c r="AK102" s="92"/>
      <c r="AL102" s="92"/>
      <c r="AM102" s="819"/>
      <c r="AN102" s="820"/>
      <c r="AO102" s="817"/>
      <c r="AP102" s="820"/>
      <c r="AQ102" s="93"/>
      <c r="AR102" s="93"/>
      <c r="AS102" s="93"/>
      <c r="AT102" s="93"/>
      <c r="AU102" s="93"/>
      <c r="AV102" s="93"/>
      <c r="AW102" s="93"/>
      <c r="AX102" s="93"/>
      <c r="AY102" s="93"/>
      <c r="AZ102" s="93"/>
      <c r="BA102" s="93"/>
      <c r="BB102" s="93"/>
      <c r="BC102" s="93"/>
      <c r="BD102" s="93"/>
      <c r="BE102" s="93"/>
      <c r="BF102" s="93"/>
      <c r="BG102" s="93"/>
      <c r="BH102" s="93"/>
      <c r="BI102" s="93"/>
      <c r="BJ102" s="93"/>
      <c r="BK102" s="93"/>
      <c r="BL102" s="93"/>
      <c r="BM102" s="93"/>
      <c r="BN102" s="93"/>
      <c r="BT102" s="93"/>
      <c r="BU102" s="93"/>
      <c r="BV102" s="93"/>
      <c r="BW102" s="93"/>
      <c r="BX102" s="93"/>
      <c r="BY102" s="93"/>
      <c r="BZ102" s="93"/>
      <c r="CA102" s="93"/>
      <c r="CB102" s="93"/>
      <c r="CC102" s="93"/>
      <c r="CD102" s="93"/>
      <c r="CE102" s="93"/>
      <c r="CF102" s="93"/>
      <c r="CG102" s="93"/>
      <c r="CH102" s="93"/>
      <c r="CI102" s="93"/>
      <c r="CJ102" s="93"/>
      <c r="CK102" s="93"/>
      <c r="CL102" s="93"/>
      <c r="CM102" s="93"/>
      <c r="CN102" s="93"/>
      <c r="CO102" s="93"/>
      <c r="CP102" s="93"/>
      <c r="CQ102" s="93"/>
      <c r="CR102" s="93"/>
      <c r="CS102" s="93"/>
      <c r="CT102" s="93"/>
      <c r="CU102" s="93"/>
      <c r="CV102" s="93"/>
      <c r="CW102" s="93"/>
      <c r="CX102" s="93"/>
      <c r="CY102" s="93"/>
      <c r="CZ102" s="93"/>
      <c r="DA102" s="93"/>
      <c r="DB102" s="93"/>
      <c r="DC102" s="93"/>
      <c r="DD102" s="93"/>
      <c r="DE102" s="93"/>
      <c r="DF102" s="93"/>
      <c r="DG102" s="93"/>
      <c r="DH102" s="93"/>
      <c r="DI102" s="93"/>
      <c r="DJ102" s="93"/>
      <c r="DK102" s="93"/>
      <c r="DL102" s="93"/>
      <c r="DM102" s="93"/>
      <c r="DN102" s="93"/>
      <c r="DO102" s="93"/>
      <c r="DP102" s="807"/>
      <c r="DQ102" s="807"/>
      <c r="DR102" s="807"/>
      <c r="DS102" s="807"/>
      <c r="DT102" s="807"/>
      <c r="GO102" s="92"/>
      <c r="GP102" s="831"/>
    </row>
    <row r="103" spans="1:198" s="806" customFormat="1" ht="15">
      <c r="A103" s="343" t="s">
        <v>12401</v>
      </c>
      <c r="B103" s="6"/>
      <c r="C103" s="164"/>
      <c r="D103" s="1059" t="s">
        <v>102</v>
      </c>
      <c r="E103" s="1038" t="s">
        <v>102</v>
      </c>
      <c r="G103" s="827"/>
      <c r="H103" s="809" t="s">
        <v>8359</v>
      </c>
      <c r="I103" s="92">
        <v>32</v>
      </c>
      <c r="J103" s="92" t="s">
        <v>10</v>
      </c>
      <c r="K103" s="92" t="s">
        <v>707</v>
      </c>
      <c r="L103" s="810">
        <v>7</v>
      </c>
      <c r="M103" s="811" t="str">
        <f t="shared" si="7"/>
        <v>College Graduate or Higher</v>
      </c>
      <c r="N103" s="92" t="s">
        <v>1208</v>
      </c>
      <c r="O103" s="92" t="s">
        <v>8360</v>
      </c>
      <c r="P103" s="1638"/>
      <c r="Q103" s="92" t="s">
        <v>8360</v>
      </c>
      <c r="R103" s="92"/>
      <c r="S103" s="848">
        <v>30000</v>
      </c>
      <c r="T103" s="813"/>
      <c r="U103" s="813"/>
      <c r="V103" s="830">
        <f>SUM(S99:U103)</f>
        <v>60000</v>
      </c>
      <c r="W103" s="815">
        <v>4</v>
      </c>
      <c r="X103" s="811" t="str">
        <f t="shared" si="8"/>
        <v>Other Province</v>
      </c>
      <c r="Y103" s="816">
        <v>2500</v>
      </c>
      <c r="Z103" s="816"/>
      <c r="AA103" s="816"/>
      <c r="AB103" s="830">
        <f>SUM(Y99:AA103)</f>
        <v>5000</v>
      </c>
      <c r="AC103" s="809"/>
      <c r="AD103" s="824"/>
      <c r="AE103" s="93"/>
      <c r="AF103" s="818"/>
      <c r="AG103" s="807" t="str">
        <f t="shared" si="9"/>
        <v/>
      </c>
      <c r="AH103" s="807"/>
      <c r="AI103" s="807"/>
      <c r="AJ103" s="807"/>
      <c r="AK103" s="92"/>
      <c r="AL103" s="92"/>
      <c r="AM103" s="819"/>
      <c r="AN103" s="820"/>
      <c r="AO103" s="817"/>
      <c r="AP103" s="820"/>
      <c r="AQ103" s="93"/>
      <c r="AR103" s="93"/>
      <c r="AS103" s="93"/>
      <c r="AT103" s="93"/>
      <c r="AU103" s="93"/>
      <c r="AV103" s="93"/>
      <c r="AW103" s="93"/>
      <c r="AX103" s="93"/>
      <c r="AY103" s="93"/>
      <c r="AZ103" s="93"/>
      <c r="BA103" s="93"/>
      <c r="BB103" s="93"/>
      <c r="BC103" s="93"/>
      <c r="BD103" s="93"/>
      <c r="BE103" s="93"/>
      <c r="BF103" s="93"/>
      <c r="BG103" s="93"/>
      <c r="BH103" s="93"/>
      <c r="BI103" s="93"/>
      <c r="BJ103" s="93"/>
      <c r="BK103" s="93"/>
      <c r="BL103" s="93"/>
      <c r="BM103" s="93"/>
      <c r="BN103" s="93"/>
      <c r="BT103" s="93"/>
      <c r="BU103" s="93"/>
      <c r="BV103" s="93"/>
      <c r="BW103" s="93"/>
      <c r="BX103" s="93"/>
      <c r="BY103" s="93"/>
      <c r="BZ103" s="93"/>
      <c r="CA103" s="93"/>
      <c r="CB103" s="93"/>
      <c r="CC103" s="93"/>
      <c r="CD103" s="93"/>
      <c r="CE103" s="93"/>
      <c r="CF103" s="93"/>
      <c r="CG103" s="93"/>
      <c r="CH103" s="93"/>
      <c r="CI103" s="93"/>
      <c r="CJ103" s="93"/>
      <c r="CK103" s="93"/>
      <c r="CL103" s="93"/>
      <c r="CM103" s="93"/>
      <c r="CN103" s="93"/>
      <c r="CO103" s="93"/>
      <c r="CP103" s="93"/>
      <c r="CQ103" s="93"/>
      <c r="CR103" s="93"/>
      <c r="CS103" s="93"/>
      <c r="CT103" s="93"/>
      <c r="CU103" s="93"/>
      <c r="CV103" s="93"/>
      <c r="CW103" s="93"/>
      <c r="CX103" s="93"/>
      <c r="CY103" s="93"/>
      <c r="CZ103" s="93"/>
      <c r="DA103" s="93"/>
      <c r="DB103" s="93"/>
      <c r="DC103" s="93"/>
      <c r="DD103" s="93"/>
      <c r="DE103" s="93"/>
      <c r="DF103" s="93"/>
      <c r="DG103" s="93"/>
      <c r="DH103" s="93"/>
      <c r="DI103" s="93"/>
      <c r="DJ103" s="93"/>
      <c r="DK103" s="93"/>
      <c r="DL103" s="93"/>
      <c r="DM103" s="93"/>
      <c r="DN103" s="93"/>
      <c r="DO103" s="93"/>
      <c r="DP103" s="807"/>
      <c r="DQ103" s="807"/>
      <c r="DR103" s="807"/>
      <c r="DS103" s="807"/>
      <c r="DT103" s="807"/>
      <c r="GO103" s="92"/>
      <c r="GP103" s="831"/>
    </row>
    <row r="104" spans="1:198" s="806" customFormat="1" ht="15">
      <c r="D104" s="1059" t="s">
        <v>8361</v>
      </c>
      <c r="G104" s="809" t="s">
        <v>8361</v>
      </c>
      <c r="H104" s="809"/>
      <c r="I104" s="92"/>
      <c r="J104" s="92"/>
      <c r="K104" s="92"/>
      <c r="L104" s="810"/>
      <c r="M104" s="811" t="str">
        <f t="shared" si="7"/>
        <v/>
      </c>
      <c r="N104" s="92"/>
      <c r="O104" s="92"/>
      <c r="P104" s="1638"/>
      <c r="Q104" s="92"/>
      <c r="R104" s="92"/>
      <c r="S104" s="848"/>
      <c r="T104" s="813"/>
      <c r="U104" s="813"/>
      <c r="V104" s="814">
        <f>SUM(S104:U104)</f>
        <v>0</v>
      </c>
      <c r="W104" s="815"/>
      <c r="X104" s="811" t="str">
        <f t="shared" si="8"/>
        <v/>
      </c>
      <c r="Y104" s="816"/>
      <c r="Z104" s="816"/>
      <c r="AA104" s="816"/>
      <c r="AB104" s="814">
        <f>SUM(Y104:AA104)</f>
        <v>0</v>
      </c>
      <c r="AC104" s="809"/>
      <c r="AD104" s="817" t="s">
        <v>1128</v>
      </c>
      <c r="AE104" s="93" t="s">
        <v>1128</v>
      </c>
      <c r="AF104" s="818"/>
      <c r="AG104" s="807" t="str">
        <f t="shared" si="9"/>
        <v/>
      </c>
      <c r="AH104" s="807" t="s">
        <v>2152</v>
      </c>
      <c r="AI104" s="865" t="s">
        <v>8362</v>
      </c>
      <c r="AJ104" s="820"/>
      <c r="AK104" s="92"/>
      <c r="AL104" s="92"/>
      <c r="AN104" s="820"/>
      <c r="AO104" s="817"/>
      <c r="AP104" s="820"/>
      <c r="AQ104" s="93"/>
      <c r="AR104" s="93"/>
      <c r="AS104" s="93"/>
      <c r="AT104" s="93"/>
      <c r="AU104" s="93"/>
      <c r="AV104" s="93"/>
      <c r="AW104" s="93"/>
      <c r="AX104" s="93"/>
      <c r="AY104" s="93"/>
      <c r="AZ104" s="93"/>
      <c r="BA104" s="93"/>
      <c r="BB104" s="93"/>
      <c r="BC104" s="93"/>
      <c r="BD104" s="93"/>
      <c r="BE104" s="93"/>
      <c r="BF104" s="93"/>
      <c r="BG104" s="93"/>
      <c r="BH104" s="93"/>
      <c r="BI104" s="93"/>
      <c r="BJ104" s="93"/>
      <c r="BK104" s="93"/>
      <c r="BL104" s="93"/>
      <c r="BM104" s="93"/>
      <c r="BN104" s="93"/>
      <c r="BT104" s="93"/>
      <c r="BU104" s="93"/>
      <c r="BV104" s="93"/>
      <c r="BW104" s="93"/>
      <c r="BX104" s="93"/>
      <c r="BY104" s="93"/>
      <c r="BZ104" s="93"/>
      <c r="CA104" s="93"/>
      <c r="CB104" s="93"/>
      <c r="CC104" s="93"/>
      <c r="CD104" s="93"/>
      <c r="CE104" s="93"/>
      <c r="CF104" s="93"/>
      <c r="CG104" s="93"/>
      <c r="CH104" s="93"/>
      <c r="CI104" s="93"/>
      <c r="CJ104" s="93"/>
      <c r="CK104" s="93"/>
      <c r="CL104" s="93"/>
      <c r="CM104" s="93"/>
      <c r="CN104" s="93"/>
      <c r="CO104" s="93"/>
      <c r="CP104" s="93"/>
      <c r="CQ104" s="93"/>
      <c r="CR104" s="93"/>
      <c r="CS104" s="93"/>
      <c r="CT104" s="93"/>
      <c r="CU104" s="93"/>
      <c r="CV104" s="93"/>
      <c r="CW104" s="93"/>
      <c r="CX104" s="93"/>
      <c r="CY104" s="93"/>
      <c r="CZ104" s="93"/>
      <c r="DA104" s="93"/>
      <c r="DB104" s="93"/>
      <c r="DC104" s="93"/>
      <c r="DD104" s="93"/>
      <c r="DE104" s="93"/>
      <c r="DF104" s="93"/>
      <c r="DG104" s="93"/>
      <c r="DH104" s="93"/>
      <c r="DI104" s="93"/>
      <c r="DJ104" s="93"/>
      <c r="DK104" s="93"/>
      <c r="DL104" s="93"/>
      <c r="DM104" s="93"/>
      <c r="DN104" s="93"/>
      <c r="DO104" s="93"/>
      <c r="DP104" s="807"/>
      <c r="DQ104" s="807"/>
      <c r="DR104" s="807"/>
      <c r="DS104" s="807"/>
      <c r="DT104" s="807"/>
      <c r="GO104" s="92"/>
      <c r="GP104" s="831"/>
    </row>
    <row r="105" spans="1:198" s="806" customFormat="1" ht="15">
      <c r="A105" s="1076"/>
      <c r="B105" s="6"/>
      <c r="C105" s="164"/>
      <c r="D105" s="1060" t="s">
        <v>108</v>
      </c>
      <c r="G105" s="809" t="s">
        <v>108</v>
      </c>
      <c r="H105" s="809" t="s">
        <v>1278</v>
      </c>
      <c r="I105" s="92">
        <v>54</v>
      </c>
      <c r="J105" s="92" t="s">
        <v>10</v>
      </c>
      <c r="K105" s="92" t="s">
        <v>722</v>
      </c>
      <c r="L105" s="810">
        <v>3</v>
      </c>
      <c r="M105" s="811" t="str">
        <f t="shared" si="7"/>
        <v>Elementary Graduate</v>
      </c>
      <c r="N105" s="92" t="s">
        <v>1208</v>
      </c>
      <c r="O105" s="92"/>
      <c r="P105" s="1638"/>
      <c r="Q105" s="92"/>
      <c r="R105" s="92"/>
      <c r="S105" s="848"/>
      <c r="T105" s="813"/>
      <c r="U105" s="813">
        <v>7000</v>
      </c>
      <c r="V105" s="849"/>
      <c r="W105" s="838">
        <v>1</v>
      </c>
      <c r="X105" s="811" t="str">
        <f t="shared" si="8"/>
        <v>within the Brgy</v>
      </c>
      <c r="Y105" s="836"/>
      <c r="Z105" s="836"/>
      <c r="AA105" s="836"/>
      <c r="AB105" s="849"/>
      <c r="AC105" s="866"/>
      <c r="AD105" s="821"/>
      <c r="AE105" s="93"/>
      <c r="AF105" s="818"/>
      <c r="AG105" s="807" t="str">
        <f t="shared" si="9"/>
        <v/>
      </c>
      <c r="AH105" s="807"/>
      <c r="AI105" s="809"/>
      <c r="AJ105" s="809"/>
      <c r="AK105" s="92"/>
      <c r="AL105" s="819"/>
      <c r="AM105" s="836"/>
      <c r="AN105" s="813"/>
      <c r="AO105" s="817"/>
      <c r="AP105" s="820"/>
      <c r="AQ105" s="93"/>
      <c r="AR105" s="93"/>
      <c r="AS105" s="93"/>
      <c r="AT105" s="93"/>
      <c r="AU105" s="93"/>
      <c r="AV105" s="93"/>
      <c r="AW105" s="93"/>
      <c r="AX105" s="93"/>
      <c r="AY105" s="93"/>
      <c r="AZ105" s="93"/>
      <c r="BA105" s="93"/>
      <c r="BB105" s="93"/>
      <c r="BC105" s="93"/>
      <c r="BD105" s="93"/>
      <c r="BE105" s="93"/>
      <c r="BF105" s="93"/>
      <c r="BG105" s="93"/>
      <c r="BH105" s="93"/>
      <c r="BI105" s="93"/>
      <c r="BJ105" s="93"/>
      <c r="BK105" s="93"/>
      <c r="BL105" s="93"/>
      <c r="BM105" s="93"/>
      <c r="BN105" s="93"/>
      <c r="BT105" s="93"/>
      <c r="BU105" s="93"/>
      <c r="BV105" s="93"/>
      <c r="BW105" s="93"/>
      <c r="BX105" s="93"/>
      <c r="BY105" s="93"/>
      <c r="BZ105" s="93"/>
      <c r="CA105" s="93"/>
      <c r="CB105" s="93"/>
      <c r="CC105" s="93"/>
      <c r="CD105" s="93"/>
      <c r="CE105" s="93"/>
      <c r="CF105" s="93"/>
      <c r="CG105" s="93"/>
      <c r="CH105" s="93"/>
      <c r="CI105" s="93"/>
      <c r="CJ105" s="93"/>
      <c r="CK105" s="93"/>
      <c r="CL105" s="93"/>
      <c r="CM105" s="93"/>
      <c r="CN105" s="93"/>
      <c r="CO105" s="93"/>
      <c r="CP105" s="93"/>
      <c r="CQ105" s="93"/>
      <c r="CR105" s="93"/>
      <c r="CS105" s="93"/>
      <c r="CT105" s="93"/>
      <c r="CU105" s="93"/>
      <c r="CV105" s="93"/>
      <c r="CW105" s="93"/>
      <c r="CX105" s="93"/>
      <c r="CY105" s="93"/>
      <c r="CZ105" s="93"/>
      <c r="DA105" s="93"/>
      <c r="DB105" s="93"/>
      <c r="DC105" s="93"/>
      <c r="DD105" s="93"/>
      <c r="DE105" s="93"/>
      <c r="DF105" s="93"/>
      <c r="DG105" s="93"/>
      <c r="DH105" s="825"/>
      <c r="DI105" s="826"/>
      <c r="DJ105" s="825"/>
      <c r="DK105" s="825"/>
      <c r="GO105" s="92"/>
      <c r="GP105" s="831"/>
    </row>
    <row r="106" spans="1:198" s="806" customFormat="1" ht="15">
      <c r="A106" s="1076"/>
      <c r="B106" s="6"/>
      <c r="C106" s="164"/>
      <c r="D106" s="1060"/>
      <c r="G106" s="827"/>
      <c r="H106" s="809" t="s">
        <v>8363</v>
      </c>
      <c r="I106" s="92">
        <v>54</v>
      </c>
      <c r="J106" s="92" t="s">
        <v>18</v>
      </c>
      <c r="K106" s="92" t="s">
        <v>722</v>
      </c>
      <c r="L106" s="810">
        <v>3</v>
      </c>
      <c r="M106" s="811" t="str">
        <f t="shared" si="7"/>
        <v>Elementary Graduate</v>
      </c>
      <c r="N106" s="92"/>
      <c r="O106" s="92"/>
      <c r="P106" s="1638"/>
      <c r="Q106" s="92"/>
      <c r="R106" s="92"/>
      <c r="S106" s="848"/>
      <c r="T106" s="813"/>
      <c r="U106" s="813"/>
      <c r="V106" s="828">
        <f>SUM(S105:U106)</f>
        <v>7000</v>
      </c>
      <c r="W106" s="815"/>
      <c r="X106" s="811" t="str">
        <f t="shared" si="8"/>
        <v/>
      </c>
      <c r="Y106" s="816"/>
      <c r="Z106" s="816"/>
      <c r="AA106" s="816"/>
      <c r="AB106" s="828">
        <f>SUM(Y105:AA106)</f>
        <v>0</v>
      </c>
      <c r="AC106" s="866"/>
      <c r="AD106" s="821"/>
      <c r="AE106" s="93"/>
      <c r="AF106" s="818"/>
      <c r="AG106" s="807" t="str">
        <f t="shared" si="9"/>
        <v/>
      </c>
      <c r="AH106" s="807"/>
      <c r="AI106" s="809"/>
      <c r="AJ106" s="809"/>
      <c r="AK106" s="92"/>
      <c r="AL106" s="819"/>
      <c r="AM106" s="836"/>
      <c r="AN106" s="813"/>
      <c r="AO106" s="817"/>
      <c r="AP106" s="820"/>
      <c r="AQ106" s="93"/>
      <c r="AR106" s="93"/>
      <c r="AS106" s="93"/>
      <c r="AT106" s="93"/>
      <c r="AU106" s="93"/>
      <c r="AV106" s="93"/>
      <c r="AW106" s="93"/>
      <c r="AX106" s="93"/>
      <c r="AY106" s="93"/>
      <c r="AZ106" s="93"/>
      <c r="BA106" s="93"/>
      <c r="BB106" s="93"/>
      <c r="BC106" s="93"/>
      <c r="BD106" s="93"/>
      <c r="BE106" s="93"/>
      <c r="BF106" s="93"/>
      <c r="BG106" s="93"/>
      <c r="BH106" s="93"/>
      <c r="BI106" s="93"/>
      <c r="BJ106" s="93"/>
      <c r="BK106" s="93"/>
      <c r="BL106" s="93"/>
      <c r="BM106" s="93"/>
      <c r="BN106" s="93"/>
      <c r="BT106" s="93"/>
      <c r="BU106" s="93"/>
      <c r="BV106" s="93"/>
      <c r="BW106" s="93"/>
      <c r="BX106" s="93"/>
      <c r="BY106" s="93"/>
      <c r="BZ106" s="93"/>
      <c r="CA106" s="93"/>
      <c r="CB106" s="93"/>
      <c r="CC106" s="93"/>
      <c r="CD106" s="93"/>
      <c r="CE106" s="93"/>
      <c r="CF106" s="93"/>
      <c r="CG106" s="93"/>
      <c r="CH106" s="93"/>
      <c r="CI106" s="93"/>
      <c r="CJ106" s="93"/>
      <c r="CK106" s="93"/>
      <c r="CL106" s="93"/>
      <c r="CM106" s="93"/>
      <c r="CN106" s="93"/>
      <c r="CO106" s="93"/>
      <c r="CP106" s="93"/>
      <c r="CQ106" s="93"/>
      <c r="CR106" s="93"/>
      <c r="CS106" s="93"/>
      <c r="CT106" s="93"/>
      <c r="CU106" s="93"/>
      <c r="CV106" s="93"/>
      <c r="CW106" s="93"/>
      <c r="CX106" s="93"/>
      <c r="CY106" s="93"/>
      <c r="CZ106" s="93"/>
      <c r="DA106" s="93"/>
      <c r="DB106" s="93"/>
      <c r="DC106" s="93"/>
      <c r="DD106" s="93"/>
      <c r="DE106" s="93"/>
      <c r="DF106" s="93"/>
      <c r="DG106" s="93"/>
      <c r="DH106" s="825"/>
      <c r="DI106" s="826"/>
      <c r="DJ106" s="825"/>
      <c r="DK106" s="825"/>
      <c r="GO106" s="92"/>
      <c r="GP106" s="831"/>
    </row>
    <row r="107" spans="1:198" s="806" customFormat="1" ht="15">
      <c r="A107" s="1076"/>
      <c r="B107" s="6"/>
      <c r="C107" s="6"/>
      <c r="D107" s="1060" t="s">
        <v>115</v>
      </c>
      <c r="G107" s="846" t="s">
        <v>115</v>
      </c>
      <c r="H107" s="809" t="s">
        <v>8364</v>
      </c>
      <c r="I107" s="92">
        <v>72</v>
      </c>
      <c r="J107" s="92" t="s">
        <v>10</v>
      </c>
      <c r="K107" s="92" t="s">
        <v>707</v>
      </c>
      <c r="L107" s="810">
        <v>5</v>
      </c>
      <c r="M107" s="811" t="str">
        <f t="shared" si="7"/>
        <v>High School Graduate</v>
      </c>
      <c r="N107" s="92" t="s">
        <v>110</v>
      </c>
      <c r="O107" s="812"/>
      <c r="P107" s="1638"/>
      <c r="Q107" s="812"/>
      <c r="R107" s="812"/>
      <c r="S107" s="813"/>
      <c r="T107" s="813"/>
      <c r="U107" s="813"/>
      <c r="V107" s="830"/>
      <c r="W107" s="815"/>
      <c r="X107" s="811" t="str">
        <f t="shared" si="8"/>
        <v/>
      </c>
      <c r="Y107" s="816"/>
      <c r="Z107" s="816"/>
      <c r="AA107" s="816"/>
      <c r="AB107" s="830"/>
      <c r="AD107" s="817" t="s">
        <v>8365</v>
      </c>
      <c r="AE107" s="93"/>
      <c r="AF107" s="818"/>
      <c r="AG107" s="807" t="str">
        <f t="shared" si="9"/>
        <v/>
      </c>
      <c r="AH107" s="807"/>
      <c r="AI107" s="809"/>
      <c r="AJ107" s="809"/>
      <c r="AK107" s="92"/>
      <c r="AL107" s="819"/>
      <c r="AM107" s="836"/>
      <c r="AN107" s="813"/>
      <c r="AO107" s="817"/>
      <c r="AP107" s="820"/>
      <c r="AQ107" s="93"/>
      <c r="AR107" s="93"/>
      <c r="AS107" s="93"/>
      <c r="AT107" s="93"/>
      <c r="AU107" s="93"/>
      <c r="AV107" s="93"/>
      <c r="AW107" s="93"/>
      <c r="AX107" s="93"/>
      <c r="AY107" s="93"/>
      <c r="AZ107" s="93"/>
      <c r="BA107" s="93"/>
      <c r="BB107" s="93"/>
      <c r="BC107" s="93"/>
      <c r="BD107" s="93"/>
      <c r="BE107" s="93"/>
      <c r="BF107" s="93"/>
      <c r="BG107" s="93"/>
      <c r="BH107" s="93"/>
      <c r="BI107" s="93"/>
      <c r="BJ107" s="93"/>
      <c r="BK107" s="93"/>
      <c r="BL107" s="93"/>
      <c r="BM107" s="93"/>
      <c r="BN107" s="93"/>
      <c r="BT107" s="93"/>
      <c r="BU107" s="93"/>
      <c r="BV107" s="93"/>
      <c r="BW107" s="93"/>
      <c r="BX107" s="93"/>
      <c r="BY107" s="93"/>
      <c r="BZ107" s="93"/>
      <c r="CA107" s="93"/>
      <c r="CB107" s="93"/>
      <c r="CC107" s="93"/>
      <c r="CD107" s="93"/>
      <c r="CE107" s="93"/>
      <c r="CF107" s="93"/>
      <c r="CG107" s="93"/>
      <c r="CH107" s="93"/>
      <c r="CI107" s="93"/>
      <c r="CJ107" s="93"/>
      <c r="CK107" s="93"/>
      <c r="CL107" s="93"/>
      <c r="CM107" s="93"/>
      <c r="CN107" s="93"/>
      <c r="CO107" s="93"/>
      <c r="CP107" s="93"/>
      <c r="CQ107" s="93"/>
      <c r="CR107" s="93"/>
      <c r="CS107" s="93"/>
      <c r="CT107" s="93"/>
      <c r="CU107" s="93"/>
      <c r="CV107" s="93"/>
      <c r="CW107" s="93"/>
      <c r="CX107" s="93"/>
      <c r="CY107" s="93"/>
      <c r="CZ107" s="93"/>
      <c r="DA107" s="93"/>
      <c r="DB107" s="93"/>
      <c r="DC107" s="93"/>
      <c r="DD107" s="93"/>
      <c r="DE107" s="93"/>
      <c r="DF107" s="93"/>
      <c r="DG107" s="93"/>
      <c r="DH107" s="825"/>
      <c r="DI107" s="826"/>
      <c r="DJ107" s="825"/>
      <c r="DK107" s="825"/>
      <c r="GO107" s="92"/>
      <c r="GP107" s="831"/>
    </row>
    <row r="108" spans="1:198" s="806" customFormat="1" ht="15">
      <c r="A108" s="1076"/>
      <c r="B108" s="6"/>
      <c r="C108" s="6"/>
      <c r="D108" s="1060"/>
      <c r="G108" s="827"/>
      <c r="H108" s="809" t="s">
        <v>2153</v>
      </c>
      <c r="I108" s="92">
        <v>57</v>
      </c>
      <c r="J108" s="92" t="s">
        <v>18</v>
      </c>
      <c r="K108" s="92" t="s">
        <v>707</v>
      </c>
      <c r="L108" s="810">
        <v>6</v>
      </c>
      <c r="M108" s="811" t="str">
        <f t="shared" si="7"/>
        <v>College Level</v>
      </c>
      <c r="N108" s="92" t="s">
        <v>1208</v>
      </c>
      <c r="O108" s="92" t="s">
        <v>8366</v>
      </c>
      <c r="P108" s="1638"/>
      <c r="Q108" s="92" t="s">
        <v>8366</v>
      </c>
      <c r="R108" s="92"/>
      <c r="S108" s="848"/>
      <c r="T108" s="836">
        <v>10000</v>
      </c>
      <c r="U108" s="813">
        <v>15000</v>
      </c>
      <c r="V108" s="837"/>
      <c r="W108" s="838">
        <v>1</v>
      </c>
      <c r="X108" s="811" t="str">
        <f t="shared" si="8"/>
        <v>within the Brgy</v>
      </c>
      <c r="Z108" s="836">
        <v>2000</v>
      </c>
      <c r="AA108" s="836"/>
      <c r="AB108" s="837"/>
      <c r="AC108" s="809"/>
      <c r="AD108" s="824"/>
      <c r="AE108" s="93"/>
      <c r="AF108" s="818"/>
      <c r="AG108" s="807" t="str">
        <f t="shared" si="9"/>
        <v/>
      </c>
      <c r="AH108" s="807"/>
      <c r="AI108" s="809"/>
      <c r="AJ108" s="809"/>
      <c r="AK108" s="92"/>
      <c r="AL108" s="819"/>
      <c r="AM108" s="836"/>
      <c r="AN108" s="813"/>
      <c r="AO108" s="817"/>
      <c r="AP108" s="820"/>
      <c r="AQ108" s="93"/>
      <c r="AR108" s="93"/>
      <c r="AS108" s="93"/>
      <c r="AT108" s="93"/>
      <c r="AU108" s="93"/>
      <c r="AV108" s="93"/>
      <c r="AW108" s="93"/>
      <c r="AX108" s="93"/>
      <c r="AY108" s="93"/>
      <c r="AZ108" s="93"/>
      <c r="BA108" s="93"/>
      <c r="BB108" s="93"/>
      <c r="BC108" s="93"/>
      <c r="BD108" s="93"/>
      <c r="BE108" s="93"/>
      <c r="BF108" s="93"/>
      <c r="BG108" s="93"/>
      <c r="BH108" s="93"/>
      <c r="BI108" s="93"/>
      <c r="BJ108" s="93"/>
      <c r="BK108" s="93"/>
      <c r="BL108" s="93"/>
      <c r="BM108" s="93"/>
      <c r="BN108" s="93"/>
      <c r="BT108" s="93"/>
      <c r="BU108" s="93"/>
      <c r="BV108" s="93"/>
      <c r="BW108" s="93" t="s">
        <v>2144</v>
      </c>
      <c r="BX108" s="93"/>
      <c r="BY108" s="93"/>
      <c r="BZ108" s="93" t="s">
        <v>2145</v>
      </c>
      <c r="CA108" s="93"/>
      <c r="CB108" s="93"/>
      <c r="CC108" s="93"/>
      <c r="CD108" s="93"/>
      <c r="CE108" s="93"/>
      <c r="CF108" s="93"/>
      <c r="CG108" s="93"/>
      <c r="CH108" s="93"/>
      <c r="CI108" s="93"/>
      <c r="CJ108" s="93"/>
      <c r="CK108" s="93"/>
      <c r="CL108" s="93"/>
      <c r="CM108" s="93"/>
      <c r="CN108" s="93"/>
      <c r="CO108" s="93"/>
      <c r="CP108" s="93"/>
      <c r="CQ108" s="93"/>
      <c r="CR108" s="93"/>
      <c r="CS108" s="93" t="s">
        <v>2146</v>
      </c>
      <c r="CT108" s="93"/>
      <c r="CU108" s="93"/>
      <c r="CV108" s="93"/>
      <c r="CW108" s="93"/>
      <c r="CX108" s="93"/>
      <c r="CY108" s="93"/>
      <c r="CZ108" s="93"/>
      <c r="DA108" s="93"/>
      <c r="DB108" s="93"/>
      <c r="DC108" s="93"/>
      <c r="DD108" s="93"/>
      <c r="DE108" s="93"/>
      <c r="DF108" s="93"/>
      <c r="DG108" s="93"/>
      <c r="DH108" s="825"/>
      <c r="DI108" s="826"/>
      <c r="DJ108" s="825"/>
      <c r="DK108" s="825"/>
      <c r="GO108" s="92"/>
      <c r="GP108" s="831"/>
    </row>
    <row r="109" spans="1:198" s="806" customFormat="1" ht="15">
      <c r="A109" s="1076"/>
      <c r="B109" s="6"/>
      <c r="C109" s="6"/>
      <c r="D109" s="1060"/>
      <c r="G109" s="827"/>
      <c r="H109" s="809" t="s">
        <v>8367</v>
      </c>
      <c r="I109" s="92">
        <v>35</v>
      </c>
      <c r="J109" s="92" t="s">
        <v>10</v>
      </c>
      <c r="K109" s="92" t="s">
        <v>722</v>
      </c>
      <c r="L109" s="810">
        <v>5</v>
      </c>
      <c r="M109" s="811" t="str">
        <f t="shared" si="7"/>
        <v>High School Graduate</v>
      </c>
      <c r="N109" s="92" t="s">
        <v>110</v>
      </c>
      <c r="O109" s="92"/>
      <c r="P109" s="1638"/>
      <c r="Q109" s="92"/>
      <c r="R109" s="92"/>
      <c r="S109" s="848"/>
      <c r="T109" s="813"/>
      <c r="U109" s="813"/>
      <c r="V109" s="830"/>
      <c r="W109" s="815"/>
      <c r="X109" s="811" t="str">
        <f t="shared" si="8"/>
        <v/>
      </c>
      <c r="Y109" s="816"/>
      <c r="Z109" s="816"/>
      <c r="AA109" s="816"/>
      <c r="AB109" s="830"/>
      <c r="AC109" s="809"/>
      <c r="AD109" s="824"/>
      <c r="AE109" s="93"/>
      <c r="AF109" s="818"/>
      <c r="AG109" s="807" t="str">
        <f t="shared" si="9"/>
        <v/>
      </c>
      <c r="AH109" s="807"/>
      <c r="AI109" s="809"/>
      <c r="AJ109" s="809"/>
      <c r="AK109" s="92"/>
      <c r="AL109" s="819"/>
      <c r="AM109" s="836"/>
      <c r="AN109" s="813"/>
      <c r="AO109" s="817"/>
      <c r="AP109" s="820"/>
      <c r="AQ109" s="93"/>
      <c r="AR109" s="93"/>
      <c r="AS109" s="93"/>
      <c r="AT109" s="93"/>
      <c r="AU109" s="93"/>
      <c r="AV109" s="93"/>
      <c r="AW109" s="93"/>
      <c r="AX109" s="93"/>
      <c r="AY109" s="93"/>
      <c r="AZ109" s="93"/>
      <c r="BA109" s="93"/>
      <c r="BB109" s="93"/>
      <c r="BC109" s="93"/>
      <c r="BD109" s="93"/>
      <c r="BE109" s="93"/>
      <c r="BF109" s="93"/>
      <c r="BG109" s="93"/>
      <c r="BH109" s="93"/>
      <c r="BI109" s="93"/>
      <c r="BJ109" s="93"/>
      <c r="BK109" s="93"/>
      <c r="BL109" s="93"/>
      <c r="BM109" s="93"/>
      <c r="BN109" s="93"/>
      <c r="BT109" s="93"/>
      <c r="BU109" s="93"/>
      <c r="BV109" s="93"/>
      <c r="BW109" s="93"/>
      <c r="BX109" s="93"/>
      <c r="BY109" s="93"/>
      <c r="BZ109" s="93"/>
      <c r="CA109" s="93"/>
      <c r="CB109" s="93"/>
      <c r="CC109" s="93"/>
      <c r="CD109" s="93"/>
      <c r="CE109" s="93"/>
      <c r="CF109" s="93"/>
      <c r="CG109" s="93"/>
      <c r="CH109" s="93"/>
      <c r="CI109" s="93"/>
      <c r="CJ109" s="93"/>
      <c r="CK109" s="93"/>
      <c r="CL109" s="93"/>
      <c r="CM109" s="93"/>
      <c r="CN109" s="93"/>
      <c r="CO109" s="93"/>
      <c r="CP109" s="93"/>
      <c r="CQ109" s="93"/>
      <c r="CR109" s="93"/>
      <c r="CS109" s="93"/>
      <c r="CT109" s="93"/>
      <c r="CU109" s="93"/>
      <c r="CV109" s="93"/>
      <c r="CW109" s="93"/>
      <c r="CX109" s="93"/>
      <c r="CY109" s="93"/>
      <c r="CZ109" s="93"/>
      <c r="DA109" s="93"/>
      <c r="DB109" s="93"/>
      <c r="DC109" s="93"/>
      <c r="DD109" s="93"/>
      <c r="DE109" s="93"/>
      <c r="DF109" s="93"/>
      <c r="DG109" s="93"/>
      <c r="DH109" s="825"/>
      <c r="DI109" s="826"/>
      <c r="DJ109" s="825"/>
      <c r="DK109" s="825"/>
      <c r="GO109" s="92"/>
      <c r="GP109" s="831"/>
    </row>
    <row r="110" spans="1:198" s="806" customFormat="1" ht="15">
      <c r="A110" s="1076"/>
      <c r="B110" s="6"/>
      <c r="C110" s="6"/>
      <c r="D110" s="1060"/>
      <c r="G110" s="827"/>
      <c r="H110" s="809" t="s">
        <v>8368</v>
      </c>
      <c r="I110" s="92">
        <v>33</v>
      </c>
      <c r="J110" s="92" t="s">
        <v>18</v>
      </c>
      <c r="K110" s="92" t="s">
        <v>707</v>
      </c>
      <c r="L110" s="810">
        <v>5</v>
      </c>
      <c r="M110" s="811" t="str">
        <f t="shared" si="7"/>
        <v>High School Graduate</v>
      </c>
      <c r="N110" s="92" t="s">
        <v>110</v>
      </c>
      <c r="O110" s="92"/>
      <c r="P110" s="1638"/>
      <c r="Q110" s="92"/>
      <c r="R110" s="92"/>
      <c r="S110" s="848"/>
      <c r="T110" s="813"/>
      <c r="U110" s="813"/>
      <c r="V110" s="830"/>
      <c r="W110" s="815"/>
      <c r="X110" s="811" t="str">
        <f t="shared" si="8"/>
        <v/>
      </c>
      <c r="Y110" s="816"/>
      <c r="Z110" s="816"/>
      <c r="AA110" s="816"/>
      <c r="AB110" s="830"/>
      <c r="AC110" s="809"/>
      <c r="AD110" s="824"/>
      <c r="AE110" s="93"/>
      <c r="AF110" s="818"/>
      <c r="AG110" s="807" t="str">
        <f t="shared" si="9"/>
        <v/>
      </c>
      <c r="AH110" s="807"/>
      <c r="AI110" s="809"/>
      <c r="AJ110" s="809"/>
      <c r="AK110" s="92"/>
      <c r="AL110" s="819"/>
      <c r="AM110" s="836"/>
      <c r="AN110" s="813"/>
      <c r="AO110" s="817"/>
      <c r="AP110" s="820"/>
      <c r="AQ110" s="93"/>
      <c r="AR110" s="93"/>
      <c r="AS110" s="93"/>
      <c r="AT110" s="93"/>
      <c r="AU110" s="93"/>
      <c r="AV110" s="93"/>
      <c r="AW110" s="93"/>
      <c r="AX110" s="93"/>
      <c r="AY110" s="93"/>
      <c r="AZ110" s="93"/>
      <c r="BA110" s="93"/>
      <c r="BB110" s="93"/>
      <c r="BC110" s="93"/>
      <c r="BD110" s="93"/>
      <c r="BE110" s="93"/>
      <c r="BF110" s="93"/>
      <c r="BG110" s="93"/>
      <c r="BH110" s="93"/>
      <c r="BI110" s="93"/>
      <c r="BJ110" s="93"/>
      <c r="BK110" s="93"/>
      <c r="BL110" s="93"/>
      <c r="BM110" s="93"/>
      <c r="BN110" s="93"/>
      <c r="BT110" s="93"/>
      <c r="BU110" s="93"/>
      <c r="BV110" s="93"/>
      <c r="BW110" s="93"/>
      <c r="BX110" s="93"/>
      <c r="BY110" s="93"/>
      <c r="BZ110" s="93"/>
      <c r="CA110" s="93"/>
      <c r="CB110" s="93"/>
      <c r="CC110" s="93"/>
      <c r="CD110" s="93"/>
      <c r="CE110" s="93"/>
      <c r="CF110" s="93"/>
      <c r="CG110" s="93"/>
      <c r="CH110" s="93"/>
      <c r="CI110" s="93"/>
      <c r="CJ110" s="93"/>
      <c r="CK110" s="93"/>
      <c r="CL110" s="93"/>
      <c r="CM110" s="93"/>
      <c r="CN110" s="93"/>
      <c r="CO110" s="93"/>
      <c r="CP110" s="93"/>
      <c r="CQ110" s="93"/>
      <c r="CR110" s="93"/>
      <c r="CS110" s="93"/>
      <c r="CT110" s="93"/>
      <c r="CU110" s="93"/>
      <c r="CV110" s="93"/>
      <c r="CW110" s="93"/>
      <c r="CX110" s="93"/>
      <c r="CY110" s="93"/>
      <c r="CZ110" s="93"/>
      <c r="DA110" s="93"/>
      <c r="DB110" s="93"/>
      <c r="DC110" s="93"/>
      <c r="DD110" s="93"/>
      <c r="DE110" s="93"/>
      <c r="DF110" s="93"/>
      <c r="DG110" s="93"/>
      <c r="DH110" s="825"/>
      <c r="DI110" s="826"/>
      <c r="DJ110" s="825"/>
      <c r="DK110" s="825"/>
      <c r="GO110" s="92"/>
      <c r="GP110" s="831"/>
    </row>
    <row r="111" spans="1:198" s="806" customFormat="1" ht="15">
      <c r="A111" s="1076"/>
      <c r="B111" s="6"/>
      <c r="C111" s="6"/>
      <c r="D111" s="1060"/>
      <c r="G111" s="827"/>
      <c r="H111" s="809" t="s">
        <v>8369</v>
      </c>
      <c r="I111" s="92">
        <v>31</v>
      </c>
      <c r="J111" s="92" t="s">
        <v>10</v>
      </c>
      <c r="K111" s="92" t="s">
        <v>768</v>
      </c>
      <c r="L111" s="810">
        <v>5</v>
      </c>
      <c r="M111" s="811" t="str">
        <f t="shared" si="7"/>
        <v>High School Graduate</v>
      </c>
      <c r="N111" s="92" t="s">
        <v>110</v>
      </c>
      <c r="O111" s="92"/>
      <c r="P111" s="1638"/>
      <c r="Q111" s="92"/>
      <c r="R111" s="92"/>
      <c r="S111" s="848"/>
      <c r="T111" s="813"/>
      <c r="U111" s="813"/>
      <c r="V111" s="830"/>
      <c r="W111" s="815"/>
      <c r="X111" s="811" t="str">
        <f t="shared" si="8"/>
        <v/>
      </c>
      <c r="Y111" s="816"/>
      <c r="Z111" s="816"/>
      <c r="AA111" s="816"/>
      <c r="AB111" s="830"/>
      <c r="AC111" s="809"/>
      <c r="AD111" s="824"/>
      <c r="AE111" s="93"/>
      <c r="AF111" s="818"/>
      <c r="AG111" s="807" t="str">
        <f t="shared" si="9"/>
        <v/>
      </c>
      <c r="AH111" s="807"/>
      <c r="AI111" s="809"/>
      <c r="AJ111" s="809"/>
      <c r="AK111" s="92"/>
      <c r="AL111" s="819"/>
      <c r="AM111" s="836"/>
      <c r="AN111" s="813"/>
      <c r="AO111" s="817"/>
      <c r="AP111" s="820"/>
      <c r="AQ111" s="93"/>
      <c r="AR111" s="93"/>
      <c r="AS111" s="93"/>
      <c r="AT111" s="93"/>
      <c r="AU111" s="93"/>
      <c r="AV111" s="93"/>
      <c r="AW111" s="93"/>
      <c r="AX111" s="93"/>
      <c r="AY111" s="93"/>
      <c r="AZ111" s="93"/>
      <c r="BA111" s="93"/>
      <c r="BB111" s="93"/>
      <c r="BC111" s="93"/>
      <c r="BD111" s="93"/>
      <c r="BE111" s="93"/>
      <c r="BF111" s="93"/>
      <c r="BG111" s="93"/>
      <c r="BH111" s="93"/>
      <c r="BI111" s="93"/>
      <c r="BJ111" s="93"/>
      <c r="BK111" s="93"/>
      <c r="BL111" s="93"/>
      <c r="BM111" s="93"/>
      <c r="BN111" s="93"/>
      <c r="BT111" s="93"/>
      <c r="BU111" s="93"/>
      <c r="BV111" s="93"/>
      <c r="BW111" s="93"/>
      <c r="BX111" s="93"/>
      <c r="BY111" s="93"/>
      <c r="BZ111" s="93"/>
      <c r="CA111" s="93"/>
      <c r="CB111" s="93"/>
      <c r="CC111" s="93"/>
      <c r="CD111" s="93"/>
      <c r="CE111" s="93"/>
      <c r="CF111" s="93"/>
      <c r="CG111" s="93"/>
      <c r="CH111" s="93"/>
      <c r="CI111" s="93"/>
      <c r="CJ111" s="93"/>
      <c r="CK111" s="93"/>
      <c r="CL111" s="93"/>
      <c r="CM111" s="93"/>
      <c r="CN111" s="93"/>
      <c r="CO111" s="93"/>
      <c r="CP111" s="93"/>
      <c r="CQ111" s="93"/>
      <c r="CR111" s="93"/>
      <c r="CS111" s="93"/>
      <c r="CT111" s="93"/>
      <c r="CU111" s="93"/>
      <c r="CV111" s="93"/>
      <c r="CW111" s="93"/>
      <c r="CX111" s="93"/>
      <c r="CY111" s="93"/>
      <c r="CZ111" s="93"/>
      <c r="DA111" s="93"/>
      <c r="DB111" s="93"/>
      <c r="DC111" s="93"/>
      <c r="DD111" s="93"/>
      <c r="DE111" s="93"/>
      <c r="DF111" s="93"/>
      <c r="DG111" s="93"/>
      <c r="DH111" s="825"/>
      <c r="DI111" s="826"/>
      <c r="DJ111" s="825"/>
      <c r="DK111" s="825"/>
      <c r="GO111" s="92"/>
      <c r="GP111" s="831"/>
    </row>
    <row r="112" spans="1:198" ht="15">
      <c r="A112" s="1076"/>
      <c r="B112" s="6"/>
      <c r="C112" s="6"/>
      <c r="D112" s="1060"/>
      <c r="G112" s="827"/>
      <c r="H112" s="809" t="s">
        <v>8370</v>
      </c>
      <c r="I112" s="92">
        <v>29</v>
      </c>
      <c r="J112" s="92" t="s">
        <v>10</v>
      </c>
      <c r="K112" s="92" t="s">
        <v>768</v>
      </c>
      <c r="L112" s="810">
        <v>5</v>
      </c>
      <c r="M112" s="811" t="str">
        <f t="shared" si="7"/>
        <v>High School Graduate</v>
      </c>
      <c r="N112" s="92" t="s">
        <v>110</v>
      </c>
      <c r="O112" s="92"/>
      <c r="P112" s="1638"/>
      <c r="Q112" s="92"/>
      <c r="R112" s="92"/>
      <c r="S112" s="848"/>
      <c r="V112" s="830"/>
      <c r="X112" s="811" t="str">
        <f t="shared" si="8"/>
        <v/>
      </c>
      <c r="AB112" s="830"/>
      <c r="AC112" s="809"/>
      <c r="AD112" s="824"/>
      <c r="AG112" s="807" t="str">
        <f t="shared" si="9"/>
        <v/>
      </c>
      <c r="AH112" s="807"/>
      <c r="AI112" s="809"/>
      <c r="AJ112" s="809"/>
      <c r="AK112" s="92"/>
      <c r="AL112" s="819"/>
      <c r="AM112" s="836"/>
      <c r="AQ112" s="93"/>
      <c r="AR112" s="93"/>
      <c r="AS112" s="93"/>
      <c r="AT112" s="93"/>
      <c r="AU112" s="93"/>
      <c r="AV112" s="93"/>
      <c r="AW112" s="93"/>
      <c r="AX112" s="93"/>
      <c r="AY112" s="93"/>
      <c r="AZ112" s="93"/>
      <c r="BA112" s="93"/>
      <c r="BB112" s="93"/>
      <c r="BL112" s="93"/>
      <c r="BM112" s="93"/>
      <c r="BT112" s="93"/>
      <c r="BU112" s="93"/>
      <c r="BV112" s="93"/>
      <c r="BW112" s="93"/>
      <c r="BX112" s="93"/>
      <c r="BY112" s="93"/>
      <c r="BZ112" s="93"/>
      <c r="CA112" s="93"/>
      <c r="CB112" s="93"/>
      <c r="CC112" s="93"/>
      <c r="CF112" s="93"/>
      <c r="CG112" s="93"/>
      <c r="CH112" s="93"/>
      <c r="CI112" s="93"/>
      <c r="CJ112" s="93"/>
      <c r="CK112" s="93"/>
      <c r="CL112" s="93"/>
      <c r="CM112" s="93"/>
      <c r="CN112" s="93"/>
      <c r="CO112" s="93"/>
      <c r="CP112" s="93"/>
      <c r="CQ112" s="93"/>
      <c r="CR112" s="93"/>
      <c r="CS112" s="93"/>
      <c r="CT112" s="93"/>
      <c r="CU112" s="93"/>
      <c r="CV112" s="93"/>
      <c r="CW112" s="93"/>
      <c r="CX112" s="93"/>
      <c r="CY112" s="93"/>
      <c r="CZ112" s="93">
        <v>1</v>
      </c>
      <c r="DA112" s="93"/>
      <c r="DB112" s="93"/>
      <c r="DC112" s="93"/>
      <c r="DD112" s="93"/>
      <c r="DE112" s="93"/>
      <c r="DF112" s="93"/>
      <c r="DG112" s="93"/>
      <c r="DH112" s="93"/>
      <c r="DI112" s="93"/>
      <c r="DJ112" s="93"/>
      <c r="DK112" s="93"/>
      <c r="DL112" s="93"/>
      <c r="DM112" s="93"/>
      <c r="DN112" s="93"/>
      <c r="DO112" s="93"/>
    </row>
    <row r="113" spans="1:198" s="806" customFormat="1" ht="15">
      <c r="A113" s="1076"/>
      <c r="B113" s="6"/>
      <c r="C113" s="6"/>
      <c r="D113" s="1060"/>
      <c r="G113" s="827"/>
      <c r="H113" s="809" t="s">
        <v>8371</v>
      </c>
      <c r="I113" s="92">
        <v>30</v>
      </c>
      <c r="J113" s="92" t="s">
        <v>10</v>
      </c>
      <c r="K113" s="92" t="s">
        <v>707</v>
      </c>
      <c r="L113" s="810">
        <v>5</v>
      </c>
      <c r="M113" s="811" t="str">
        <f t="shared" si="7"/>
        <v>High School Graduate</v>
      </c>
      <c r="N113" s="92" t="s">
        <v>110</v>
      </c>
      <c r="O113" s="92"/>
      <c r="P113" s="1638"/>
      <c r="Q113" s="92"/>
      <c r="R113" s="92"/>
      <c r="S113" s="848"/>
      <c r="T113" s="813"/>
      <c r="U113" s="813"/>
      <c r="V113" s="830"/>
      <c r="W113" s="815"/>
      <c r="X113" s="811" t="str">
        <f t="shared" si="8"/>
        <v/>
      </c>
      <c r="Y113" s="816"/>
      <c r="Z113" s="816"/>
      <c r="AA113" s="816"/>
      <c r="AB113" s="830"/>
      <c r="AC113" s="809"/>
      <c r="AD113" s="824"/>
      <c r="AE113" s="93"/>
      <c r="AF113" s="818"/>
      <c r="AG113" s="807" t="str">
        <f t="shared" si="9"/>
        <v/>
      </c>
      <c r="AH113" s="807"/>
      <c r="AI113" s="809"/>
      <c r="AJ113" s="809"/>
      <c r="AK113" s="92"/>
      <c r="AL113" s="819"/>
      <c r="AM113" s="836"/>
      <c r="AN113" s="813"/>
      <c r="AO113" s="817"/>
      <c r="AP113" s="820"/>
      <c r="AQ113" s="93"/>
      <c r="AR113" s="93"/>
      <c r="AS113" s="93"/>
      <c r="AT113" s="93"/>
      <c r="AU113" s="93"/>
      <c r="AV113" s="93"/>
      <c r="AW113" s="93"/>
      <c r="AX113" s="93"/>
      <c r="AY113" s="93"/>
      <c r="AZ113" s="93"/>
      <c r="BA113" s="93"/>
      <c r="BB113" s="93"/>
      <c r="BC113" s="93"/>
      <c r="BD113" s="93"/>
      <c r="BE113" s="93"/>
      <c r="BF113" s="93"/>
      <c r="BG113" s="93"/>
      <c r="BH113" s="93"/>
      <c r="BI113" s="93"/>
      <c r="BJ113" s="93"/>
      <c r="BK113" s="93"/>
      <c r="BL113" s="93"/>
      <c r="BM113" s="93"/>
      <c r="BN113" s="93"/>
      <c r="BT113" s="93"/>
      <c r="BU113" s="93"/>
      <c r="BV113" s="93"/>
      <c r="BW113" s="93"/>
      <c r="BX113" s="93"/>
      <c r="BY113" s="93"/>
      <c r="BZ113" s="93"/>
      <c r="CA113" s="93"/>
      <c r="CB113" s="93"/>
      <c r="CC113" s="93"/>
      <c r="CD113" s="93"/>
      <c r="CE113" s="93"/>
      <c r="CF113" s="93"/>
      <c r="CG113" s="93"/>
      <c r="CH113" s="93"/>
      <c r="CI113" s="93"/>
      <c r="CJ113" s="93"/>
      <c r="CK113" s="93"/>
      <c r="CL113" s="93"/>
      <c r="CM113" s="93"/>
      <c r="CN113" s="93"/>
      <c r="CO113" s="93"/>
      <c r="CP113" s="93"/>
      <c r="CQ113" s="93"/>
      <c r="CR113" s="93"/>
      <c r="CS113" s="93"/>
      <c r="CT113" s="93"/>
      <c r="CU113" s="93"/>
      <c r="CV113" s="93"/>
      <c r="CW113" s="93"/>
      <c r="CX113" s="93"/>
      <c r="CY113" s="93"/>
      <c r="CZ113" s="93"/>
      <c r="DA113" s="93"/>
      <c r="DB113" s="93"/>
      <c r="DC113" s="93"/>
      <c r="DD113" s="93"/>
      <c r="DE113" s="93"/>
      <c r="DF113" s="93"/>
      <c r="DG113" s="93"/>
      <c r="DH113" s="825"/>
      <c r="DI113" s="826"/>
      <c r="DJ113" s="825"/>
      <c r="DK113" s="825"/>
      <c r="GO113" s="92"/>
      <c r="GP113" s="831"/>
    </row>
    <row r="114" spans="1:198" s="806" customFormat="1" ht="15">
      <c r="A114" s="1076"/>
      <c r="B114" s="6"/>
      <c r="C114" s="6"/>
      <c r="D114" s="1060"/>
      <c r="G114" s="827"/>
      <c r="H114" s="809" t="s">
        <v>8372</v>
      </c>
      <c r="I114" s="92">
        <v>9</v>
      </c>
      <c r="J114" s="92" t="s">
        <v>18</v>
      </c>
      <c r="K114" s="92" t="s">
        <v>768</v>
      </c>
      <c r="L114" s="810">
        <v>2</v>
      </c>
      <c r="M114" s="811" t="str">
        <f t="shared" si="7"/>
        <v>Elementary Level</v>
      </c>
      <c r="N114" s="92" t="s">
        <v>110</v>
      </c>
      <c r="O114" s="92"/>
      <c r="P114" s="1638"/>
      <c r="Q114" s="92"/>
      <c r="R114" s="92"/>
      <c r="S114" s="848"/>
      <c r="T114" s="813"/>
      <c r="U114" s="813"/>
      <c r="V114" s="830">
        <f>SUM(S107:U114)</f>
        <v>25000</v>
      </c>
      <c r="W114" s="815"/>
      <c r="X114" s="811" t="str">
        <f t="shared" si="8"/>
        <v/>
      </c>
      <c r="Y114" s="816"/>
      <c r="Z114" s="816"/>
      <c r="AA114" s="816"/>
      <c r="AB114" s="830">
        <f>SUM(Y107:AA114)</f>
        <v>2000</v>
      </c>
      <c r="AC114" s="809"/>
      <c r="AD114" s="824"/>
      <c r="AE114" s="93"/>
      <c r="AF114" s="818"/>
      <c r="AG114" s="807" t="str">
        <f t="shared" si="9"/>
        <v/>
      </c>
      <c r="AH114" s="807"/>
      <c r="AI114" s="809"/>
      <c r="AJ114" s="809"/>
      <c r="AK114" s="92"/>
      <c r="AL114" s="819"/>
      <c r="AM114" s="836"/>
      <c r="AN114" s="813"/>
      <c r="AO114" s="817"/>
      <c r="AP114" s="820"/>
      <c r="AQ114" s="93"/>
      <c r="AR114" s="93"/>
      <c r="AS114" s="93"/>
      <c r="AT114" s="93"/>
      <c r="AU114" s="93"/>
      <c r="AV114" s="93"/>
      <c r="AW114" s="93"/>
      <c r="AX114" s="93"/>
      <c r="AY114" s="93"/>
      <c r="AZ114" s="93"/>
      <c r="BA114" s="93"/>
      <c r="BB114" s="93"/>
      <c r="BC114" s="93"/>
      <c r="BD114" s="93"/>
      <c r="BE114" s="93"/>
      <c r="BF114" s="93"/>
      <c r="BG114" s="93"/>
      <c r="BH114" s="93"/>
      <c r="BI114" s="93"/>
      <c r="BJ114" s="93"/>
      <c r="BK114" s="93"/>
      <c r="BL114" s="93"/>
      <c r="BM114" s="93"/>
      <c r="BN114" s="93"/>
      <c r="BT114" s="93"/>
      <c r="BU114" s="93"/>
      <c r="BV114" s="93"/>
      <c r="BW114" s="93"/>
      <c r="BX114" s="93"/>
      <c r="BY114" s="93"/>
      <c r="BZ114" s="93"/>
      <c r="CA114" s="93"/>
      <c r="CB114" s="93"/>
      <c r="CC114" s="93"/>
      <c r="CD114" s="93"/>
      <c r="CE114" s="93"/>
      <c r="CF114" s="93"/>
      <c r="CG114" s="93"/>
      <c r="CH114" s="93"/>
      <c r="CI114" s="93"/>
      <c r="CJ114" s="93"/>
      <c r="CK114" s="93"/>
      <c r="CL114" s="93"/>
      <c r="CM114" s="93"/>
      <c r="CN114" s="93"/>
      <c r="CO114" s="93"/>
      <c r="CP114" s="93"/>
      <c r="CQ114" s="93"/>
      <c r="CR114" s="93"/>
      <c r="CS114" s="93"/>
      <c r="CT114" s="93"/>
      <c r="CU114" s="93"/>
      <c r="CV114" s="93"/>
      <c r="CW114" s="93"/>
      <c r="CX114" s="93"/>
      <c r="CY114" s="93"/>
      <c r="CZ114" s="93"/>
      <c r="DA114" s="93"/>
      <c r="DB114" s="93"/>
      <c r="DC114" s="93"/>
      <c r="DD114" s="93"/>
      <c r="DE114" s="93"/>
      <c r="DF114" s="93"/>
      <c r="DG114" s="93"/>
      <c r="DH114" s="825"/>
      <c r="DI114" s="826"/>
      <c r="DJ114" s="825"/>
      <c r="DK114" s="825"/>
      <c r="GO114" s="92"/>
      <c r="GP114" s="831"/>
    </row>
    <row r="115" spans="1:198" s="806" customFormat="1" ht="15">
      <c r="D115" s="1060" t="s">
        <v>123</v>
      </c>
      <c r="G115" s="809" t="s">
        <v>123</v>
      </c>
      <c r="H115" s="809" t="s">
        <v>8373</v>
      </c>
      <c r="I115" s="92">
        <v>51</v>
      </c>
      <c r="J115" s="92" t="s">
        <v>10</v>
      </c>
      <c r="K115" s="92"/>
      <c r="L115" s="810"/>
      <c r="M115" s="811" t="str">
        <f t="shared" si="7"/>
        <v/>
      </c>
      <c r="N115" s="92"/>
      <c r="O115" s="812"/>
      <c r="P115" s="1638"/>
      <c r="Q115" s="812"/>
      <c r="R115" s="812"/>
      <c r="S115" s="813"/>
      <c r="T115" s="813"/>
      <c r="U115" s="813"/>
      <c r="V115" s="814"/>
      <c r="W115" s="815"/>
      <c r="X115" s="811" t="str">
        <f t="shared" si="8"/>
        <v/>
      </c>
      <c r="Y115" s="816"/>
      <c r="Z115" s="816"/>
      <c r="AA115" s="816"/>
      <c r="AB115" s="814"/>
      <c r="AC115" s="866"/>
      <c r="AD115" s="821"/>
      <c r="AF115" s="867"/>
      <c r="AG115" s="807" t="str">
        <f t="shared" si="9"/>
        <v/>
      </c>
      <c r="AH115" s="807" t="s">
        <v>8374</v>
      </c>
      <c r="AI115" s="868"/>
      <c r="AJ115" s="813"/>
      <c r="AK115" s="92" t="s">
        <v>8373</v>
      </c>
      <c r="AL115" s="92" t="s">
        <v>478</v>
      </c>
      <c r="AM115" s="819" t="s">
        <v>2219</v>
      </c>
      <c r="AN115" s="848" t="s">
        <v>8375</v>
      </c>
      <c r="AO115" s="817" t="s">
        <v>8374</v>
      </c>
      <c r="AP115" s="820"/>
      <c r="AQ115" s="93"/>
      <c r="AR115" s="93"/>
      <c r="AS115" s="93"/>
      <c r="AT115" s="93"/>
      <c r="AU115" s="93"/>
      <c r="AV115" s="93"/>
      <c r="AW115" s="93"/>
      <c r="AX115" s="93"/>
      <c r="AY115" s="93"/>
      <c r="AZ115" s="93"/>
      <c r="BA115" s="93"/>
      <c r="BB115" s="93"/>
      <c r="BC115" s="93"/>
      <c r="BD115" s="93"/>
      <c r="BE115" s="93"/>
      <c r="BF115" s="93"/>
      <c r="BG115" s="93"/>
      <c r="BH115" s="93"/>
      <c r="BI115" s="93"/>
      <c r="BJ115" s="93"/>
      <c r="BK115" s="93"/>
      <c r="BL115" s="93"/>
      <c r="BM115" s="93"/>
      <c r="BN115" s="93"/>
      <c r="BT115" s="93"/>
      <c r="BU115" s="93"/>
      <c r="BV115" s="93"/>
      <c r="BW115" s="93"/>
      <c r="BX115" s="93"/>
      <c r="BY115" s="93"/>
      <c r="BZ115" s="93"/>
      <c r="CA115" s="93"/>
      <c r="CB115" s="93"/>
      <c r="CC115" s="93"/>
      <c r="CD115" s="93"/>
      <c r="CE115" s="93"/>
      <c r="CF115" s="93"/>
      <c r="CG115" s="93"/>
      <c r="CH115" s="93"/>
      <c r="CI115" s="93"/>
      <c r="CJ115" s="93"/>
      <c r="CK115" s="93"/>
      <c r="CL115" s="93"/>
      <c r="CM115" s="93"/>
      <c r="CN115" s="93"/>
      <c r="CO115" s="93"/>
      <c r="CP115" s="93"/>
      <c r="CQ115" s="93"/>
      <c r="CR115" s="93"/>
      <c r="CS115" s="93"/>
      <c r="CT115" s="93"/>
      <c r="CU115" s="93"/>
      <c r="CV115" s="93"/>
      <c r="CW115" s="93"/>
      <c r="CX115" s="93"/>
      <c r="CY115" s="93"/>
      <c r="CZ115" s="93"/>
      <c r="DA115" s="93"/>
      <c r="DB115" s="93"/>
      <c r="DC115" s="93"/>
      <c r="DD115" s="93"/>
      <c r="DE115" s="93"/>
      <c r="DF115" s="93"/>
      <c r="DG115" s="93"/>
      <c r="DH115" s="93"/>
      <c r="DI115" s="93"/>
      <c r="DJ115" s="93"/>
      <c r="DK115" s="825"/>
      <c r="GO115" s="92"/>
      <c r="GP115" s="831"/>
    </row>
    <row r="116" spans="1:198" ht="15">
      <c r="D116" s="1060"/>
      <c r="G116" s="827"/>
      <c r="H116" s="809" t="s">
        <v>1607</v>
      </c>
      <c r="I116" s="92">
        <v>52</v>
      </c>
      <c r="J116" s="92" t="s">
        <v>18</v>
      </c>
      <c r="M116" s="811" t="str">
        <f t="shared" si="7"/>
        <v/>
      </c>
      <c r="P116" s="1638"/>
      <c r="V116" s="814">
        <f>SUM(S115:U116)</f>
        <v>0</v>
      </c>
      <c r="X116" s="811" t="str">
        <f t="shared" si="8"/>
        <v/>
      </c>
      <c r="AB116" s="814">
        <f>SUM(Y115:AA116)</f>
        <v>0</v>
      </c>
      <c r="AC116" s="866"/>
      <c r="AD116" s="821"/>
      <c r="AG116" s="807" t="str">
        <f t="shared" si="9"/>
        <v/>
      </c>
      <c r="AH116" s="807" t="s">
        <v>8376</v>
      </c>
      <c r="AI116" s="868" t="s">
        <v>8377</v>
      </c>
      <c r="AJ116" s="813"/>
      <c r="AK116" s="92" t="s">
        <v>1607</v>
      </c>
      <c r="AL116" s="92" t="s">
        <v>478</v>
      </c>
      <c r="AM116" s="819" t="s">
        <v>8377</v>
      </c>
      <c r="AN116" s="848" t="s">
        <v>8375</v>
      </c>
      <c r="AO116" s="817" t="s">
        <v>8376</v>
      </c>
      <c r="AQ116" s="93"/>
      <c r="AR116" s="93"/>
      <c r="AS116" s="93"/>
      <c r="AT116" s="93"/>
      <c r="AU116" s="93"/>
      <c r="AV116" s="93"/>
      <c r="AW116" s="93"/>
      <c r="AX116" s="93"/>
      <c r="AY116" s="93"/>
      <c r="AZ116" s="93"/>
      <c r="BA116" s="93"/>
      <c r="BB116" s="93"/>
      <c r="BL116" s="93"/>
      <c r="BM116" s="93"/>
      <c r="BT116" s="93"/>
      <c r="BU116" s="93"/>
      <c r="BV116" s="93"/>
      <c r="BW116" s="93"/>
      <c r="BX116" s="93"/>
      <c r="BY116" s="93"/>
      <c r="BZ116" s="93"/>
      <c r="CA116" s="93"/>
      <c r="CB116" s="93"/>
      <c r="CC116" s="93"/>
      <c r="CF116" s="93"/>
      <c r="CG116" s="93"/>
      <c r="CH116" s="93"/>
      <c r="CI116" s="93"/>
      <c r="CJ116" s="93"/>
      <c r="CK116" s="93"/>
      <c r="CL116" s="93"/>
      <c r="CM116" s="93"/>
      <c r="CN116" s="93"/>
      <c r="CO116" s="93"/>
      <c r="CP116" s="93"/>
      <c r="CQ116" s="93"/>
      <c r="CR116" s="93"/>
      <c r="CS116" s="93"/>
      <c r="CT116" s="93"/>
      <c r="CU116" s="93"/>
      <c r="CV116" s="93"/>
      <c r="CW116" s="93"/>
      <c r="CX116" s="93"/>
      <c r="CY116" s="93"/>
      <c r="CZ116" s="93"/>
      <c r="DA116" s="93"/>
      <c r="DB116" s="93"/>
      <c r="DC116" s="93"/>
      <c r="DD116" s="93"/>
      <c r="DE116" s="93"/>
      <c r="DF116" s="93"/>
      <c r="DG116" s="93"/>
      <c r="DH116" s="93"/>
      <c r="DI116" s="93"/>
      <c r="DJ116" s="93"/>
      <c r="DK116" s="93"/>
      <c r="DL116" s="93"/>
      <c r="DM116" s="93"/>
      <c r="DN116" s="93"/>
      <c r="DO116" s="93"/>
    </row>
    <row r="117" spans="1:198" s="806" customFormat="1" ht="15">
      <c r="D117" s="1060" t="s">
        <v>124</v>
      </c>
      <c r="G117" s="809" t="s">
        <v>124</v>
      </c>
      <c r="H117" s="809" t="s">
        <v>1906</v>
      </c>
      <c r="I117" s="92">
        <v>51</v>
      </c>
      <c r="J117" s="92" t="s">
        <v>10</v>
      </c>
      <c r="K117" s="92" t="s">
        <v>707</v>
      </c>
      <c r="L117" s="810">
        <v>3</v>
      </c>
      <c r="M117" s="811" t="str">
        <f t="shared" si="7"/>
        <v>Elementary Graduate</v>
      </c>
      <c r="N117" s="92" t="s">
        <v>1208</v>
      </c>
      <c r="O117" s="92" t="s">
        <v>2220</v>
      </c>
      <c r="P117" s="1638"/>
      <c r="Q117" s="92" t="s">
        <v>2220</v>
      </c>
      <c r="R117" s="92"/>
      <c r="S117" s="848"/>
      <c r="T117" s="813">
        <v>12000</v>
      </c>
      <c r="U117" s="813"/>
      <c r="V117" s="849"/>
      <c r="W117" s="838">
        <v>1</v>
      </c>
      <c r="X117" s="811" t="str">
        <f t="shared" si="8"/>
        <v>within the Brgy</v>
      </c>
      <c r="Y117" s="836"/>
      <c r="Z117" s="836"/>
      <c r="AA117" s="836"/>
      <c r="AB117" s="849"/>
      <c r="AC117" s="809"/>
      <c r="AD117" s="824"/>
      <c r="AE117" s="93"/>
      <c r="AF117" s="818"/>
      <c r="AG117" s="807" t="str">
        <f t="shared" si="9"/>
        <v/>
      </c>
      <c r="AH117" s="807"/>
      <c r="AI117" s="868"/>
      <c r="AJ117" s="868"/>
      <c r="AK117" s="92" t="s">
        <v>1906</v>
      </c>
      <c r="AL117" s="92" t="s">
        <v>478</v>
      </c>
      <c r="AM117" s="819" t="s">
        <v>1908</v>
      </c>
      <c r="AN117" s="854">
        <v>36000</v>
      </c>
      <c r="AO117" s="817"/>
      <c r="AP117" s="820"/>
      <c r="AQ117" s="93"/>
      <c r="AR117" s="93"/>
      <c r="AS117" s="93"/>
      <c r="AT117" s="93"/>
      <c r="AU117" s="93"/>
      <c r="AV117" s="93"/>
      <c r="AW117" s="93"/>
      <c r="AX117" s="93"/>
      <c r="AY117" s="93"/>
      <c r="AZ117" s="93"/>
      <c r="BA117" s="93"/>
      <c r="BB117" s="93"/>
      <c r="BC117" s="93"/>
      <c r="BD117" s="93"/>
      <c r="BE117" s="93"/>
      <c r="BF117" s="93"/>
      <c r="BG117" s="93"/>
      <c r="BH117" s="93"/>
      <c r="BI117" s="93"/>
      <c r="BJ117" s="93"/>
      <c r="BK117" s="93"/>
      <c r="BL117" s="93"/>
      <c r="BM117" s="93"/>
      <c r="BN117" s="93"/>
      <c r="BT117" s="93"/>
      <c r="BU117" s="93"/>
      <c r="BV117" s="93"/>
      <c r="BW117" s="93"/>
      <c r="BX117" s="93"/>
      <c r="BY117" s="93"/>
      <c r="BZ117" s="93"/>
      <c r="CA117" s="93"/>
      <c r="CB117" s="93"/>
      <c r="CC117" s="93" t="s">
        <v>2144</v>
      </c>
      <c r="CD117" s="93"/>
      <c r="CE117" s="93"/>
      <c r="CF117" s="93" t="s">
        <v>2145</v>
      </c>
      <c r="CG117" s="93"/>
      <c r="CH117" s="93"/>
      <c r="CI117" s="93"/>
      <c r="CJ117" s="93"/>
      <c r="CK117" s="93"/>
      <c r="CL117" s="93"/>
      <c r="CM117" s="93"/>
      <c r="CN117" s="93"/>
      <c r="CO117" s="93"/>
      <c r="CP117" s="93"/>
      <c r="CQ117" s="93"/>
      <c r="CR117" s="93"/>
      <c r="CS117" s="93"/>
      <c r="CT117" s="93"/>
      <c r="CU117" s="93"/>
      <c r="CV117" s="93"/>
      <c r="CW117" s="93"/>
      <c r="CX117" s="93"/>
      <c r="CY117" s="93"/>
      <c r="CZ117" s="93"/>
      <c r="DA117" s="93"/>
      <c r="DB117" s="93"/>
      <c r="DC117" s="93"/>
      <c r="DD117" s="93"/>
      <c r="DE117" s="93"/>
      <c r="DF117" s="93"/>
      <c r="DG117" s="93"/>
      <c r="DH117" s="93"/>
      <c r="DI117" s="93"/>
      <c r="DJ117" s="93"/>
      <c r="DK117" s="825"/>
      <c r="GO117" s="92"/>
      <c r="GP117" s="831"/>
    </row>
    <row r="118" spans="1:198" s="806" customFormat="1" ht="15">
      <c r="D118" s="1060"/>
      <c r="G118" s="827"/>
      <c r="H118" s="809" t="s">
        <v>2154</v>
      </c>
      <c r="I118" s="92">
        <v>50</v>
      </c>
      <c r="J118" s="92" t="s">
        <v>18</v>
      </c>
      <c r="K118" s="92" t="s">
        <v>707</v>
      </c>
      <c r="L118" s="810">
        <v>3</v>
      </c>
      <c r="M118" s="811" t="str">
        <f>IF(ISBLANK(L118)=TRUE,"",LOOKUP(L118,GQ:GR))</f>
        <v>Elementary Graduate</v>
      </c>
      <c r="N118" s="92" t="s">
        <v>1208</v>
      </c>
      <c r="O118" s="92" t="s">
        <v>1907</v>
      </c>
      <c r="P118" s="1638"/>
      <c r="Q118" s="92" t="s">
        <v>1907</v>
      </c>
      <c r="R118" s="92"/>
      <c r="S118" s="848"/>
      <c r="T118" s="813">
        <v>36000</v>
      </c>
      <c r="U118" s="813"/>
      <c r="V118" s="849"/>
      <c r="W118" s="838">
        <v>1</v>
      </c>
      <c r="X118" s="811" t="str">
        <f>IF(ISBLANK(W118)=TRUE,"",LOOKUP(W118,GO:GP))</f>
        <v>within the Brgy</v>
      </c>
      <c r="Y118" s="836"/>
      <c r="Z118" s="836"/>
      <c r="AA118" s="836"/>
      <c r="AB118" s="849"/>
      <c r="AC118" s="809"/>
      <c r="AD118" s="824"/>
      <c r="AE118" s="93"/>
      <c r="AF118" s="818"/>
      <c r="AG118" s="807" t="str">
        <f t="shared" si="9"/>
        <v/>
      </c>
      <c r="AH118" s="807"/>
      <c r="AI118" s="868"/>
      <c r="AJ118" s="868"/>
      <c r="AK118" s="92" t="s">
        <v>2154</v>
      </c>
      <c r="AL118" s="92" t="s">
        <v>478</v>
      </c>
      <c r="AM118" s="819"/>
      <c r="AN118" s="854"/>
      <c r="AO118" s="817"/>
      <c r="AP118" s="820"/>
      <c r="AQ118" s="93"/>
      <c r="AR118" s="93"/>
      <c r="AS118" s="93"/>
      <c r="AT118" s="93"/>
      <c r="AU118" s="93"/>
      <c r="AV118" s="93"/>
      <c r="AW118" s="93"/>
      <c r="AX118" s="93"/>
      <c r="AY118" s="93"/>
      <c r="AZ118" s="93"/>
      <c r="BA118" s="93"/>
      <c r="BB118" s="93"/>
      <c r="BC118" s="93"/>
      <c r="BD118" s="93"/>
      <c r="BE118" s="93"/>
      <c r="BF118" s="93"/>
      <c r="BG118" s="93"/>
      <c r="BH118" s="93"/>
      <c r="BI118" s="93"/>
      <c r="BJ118" s="93"/>
      <c r="BK118" s="93"/>
      <c r="BL118" s="93"/>
      <c r="BM118" s="93"/>
      <c r="BN118" s="93"/>
      <c r="BT118" s="93"/>
      <c r="BU118" s="93"/>
      <c r="BV118" s="93"/>
      <c r="BW118" s="93"/>
      <c r="BX118" s="93"/>
      <c r="BY118" s="93"/>
      <c r="BZ118" s="93"/>
      <c r="CA118" s="93"/>
      <c r="CB118" s="93"/>
      <c r="CC118" s="93"/>
      <c r="CD118" s="93"/>
      <c r="CE118" s="93"/>
      <c r="CF118" s="93"/>
      <c r="CG118" s="93"/>
      <c r="CH118" s="93"/>
      <c r="CI118" s="93"/>
      <c r="CJ118" s="93"/>
      <c r="CK118" s="93"/>
      <c r="CL118" s="93"/>
      <c r="CM118" s="93"/>
      <c r="CN118" s="93"/>
      <c r="CO118" s="93"/>
      <c r="CP118" s="93"/>
      <c r="CQ118" s="93"/>
      <c r="CR118" s="93"/>
      <c r="CS118" s="93"/>
      <c r="CT118" s="93"/>
      <c r="CU118" s="93"/>
      <c r="CV118" s="93"/>
      <c r="CW118" s="93"/>
      <c r="CX118" s="93"/>
      <c r="CY118" s="93"/>
      <c r="CZ118" s="93"/>
      <c r="DA118" s="93"/>
      <c r="DB118" s="93"/>
      <c r="DC118" s="93"/>
      <c r="DD118" s="93"/>
      <c r="DE118" s="93"/>
      <c r="DF118" s="93"/>
      <c r="DG118" s="93"/>
      <c r="DH118" s="93"/>
      <c r="DI118" s="93"/>
      <c r="DJ118" s="93"/>
      <c r="DK118" s="825"/>
      <c r="GO118" s="92"/>
      <c r="GP118" s="831"/>
    </row>
    <row r="119" spans="1:198" s="806" customFormat="1" ht="15">
      <c r="D119" s="1060"/>
      <c r="G119" s="827"/>
      <c r="H119" s="809" t="s">
        <v>8378</v>
      </c>
      <c r="I119" s="92">
        <v>22</v>
      </c>
      <c r="J119" s="92" t="s">
        <v>10</v>
      </c>
      <c r="K119" s="92" t="s">
        <v>768</v>
      </c>
      <c r="L119" s="810">
        <v>6</v>
      </c>
      <c r="M119" s="811" t="str">
        <f>IF(ISBLANK(L119)=TRUE,"",LOOKUP(L119,GQ:GR))</f>
        <v>College Level</v>
      </c>
      <c r="N119" s="92" t="s">
        <v>1208</v>
      </c>
      <c r="O119" s="92" t="s">
        <v>8379</v>
      </c>
      <c r="P119" s="1638"/>
      <c r="Q119" s="92" t="s">
        <v>8379</v>
      </c>
      <c r="R119" s="92"/>
      <c r="S119" s="848">
        <v>15000</v>
      </c>
      <c r="T119" s="813"/>
      <c r="U119" s="813"/>
      <c r="V119" s="849"/>
      <c r="W119" s="838">
        <v>3</v>
      </c>
      <c r="X119" s="811" t="str">
        <f>IF(ISBLANK(W119)=TRUE,"",LOOKUP(W119,GO:GP))</f>
        <v>within the Province</v>
      </c>
      <c r="Y119" s="836">
        <v>1000</v>
      </c>
      <c r="Z119" s="836"/>
      <c r="AA119" s="836"/>
      <c r="AB119" s="849"/>
      <c r="AC119" s="809" t="s">
        <v>8380</v>
      </c>
      <c r="AD119" s="824"/>
      <c r="AE119" s="93"/>
      <c r="AF119" s="818"/>
      <c r="AG119" s="807" t="str">
        <f t="shared" si="9"/>
        <v/>
      </c>
      <c r="AH119" s="807"/>
      <c r="AI119" s="868"/>
      <c r="AJ119" s="868"/>
      <c r="AK119" s="92"/>
      <c r="AL119" s="92"/>
      <c r="AM119" s="819"/>
      <c r="AN119" s="854"/>
      <c r="AO119" s="817"/>
      <c r="AP119" s="820"/>
      <c r="AQ119" s="93"/>
      <c r="AR119" s="93"/>
      <c r="AS119" s="93"/>
      <c r="AT119" s="93"/>
      <c r="AU119" s="93"/>
      <c r="AV119" s="93"/>
      <c r="AW119" s="93"/>
      <c r="AX119" s="93"/>
      <c r="AY119" s="93"/>
      <c r="AZ119" s="93"/>
      <c r="BA119" s="93"/>
      <c r="BB119" s="93"/>
      <c r="BC119" s="93"/>
      <c r="BD119" s="93"/>
      <c r="BE119" s="93"/>
      <c r="BF119" s="93"/>
      <c r="BG119" s="93"/>
      <c r="BH119" s="93"/>
      <c r="BI119" s="93"/>
      <c r="BJ119" s="93"/>
      <c r="BK119" s="93"/>
      <c r="BL119" s="93"/>
      <c r="BM119" s="93"/>
      <c r="BN119" s="93"/>
      <c r="BT119" s="93"/>
      <c r="BU119" s="93"/>
      <c r="BV119" s="93"/>
      <c r="BW119" s="93"/>
      <c r="BX119" s="93"/>
      <c r="BY119" s="93"/>
      <c r="BZ119" s="93"/>
      <c r="CA119" s="93"/>
      <c r="CB119" s="93"/>
      <c r="CC119" s="93"/>
      <c r="CD119" s="93"/>
      <c r="CE119" s="93"/>
      <c r="CF119" s="93"/>
      <c r="CG119" s="93"/>
      <c r="CH119" s="93"/>
      <c r="CI119" s="93"/>
      <c r="CJ119" s="93"/>
      <c r="CK119" s="93"/>
      <c r="CL119" s="93"/>
      <c r="CM119" s="93"/>
      <c r="CN119" s="93"/>
      <c r="CO119" s="93"/>
      <c r="CP119" s="93"/>
      <c r="CQ119" s="93"/>
      <c r="CR119" s="93"/>
      <c r="CS119" s="93"/>
      <c r="CT119" s="93"/>
      <c r="CU119" s="93"/>
      <c r="CV119" s="93"/>
      <c r="CW119" s="93"/>
      <c r="CX119" s="93"/>
      <c r="CY119" s="93"/>
      <c r="CZ119" s="93"/>
      <c r="DA119" s="93"/>
      <c r="DB119" s="93"/>
      <c r="DC119" s="93"/>
      <c r="DD119" s="93"/>
      <c r="DE119" s="93"/>
      <c r="DF119" s="93"/>
      <c r="DG119" s="93"/>
      <c r="DH119" s="93"/>
      <c r="DI119" s="93"/>
      <c r="DJ119" s="93"/>
      <c r="DK119" s="825"/>
      <c r="GO119" s="92"/>
      <c r="GP119" s="831"/>
    </row>
    <row r="120" spans="1:198" ht="15">
      <c r="D120" s="1060"/>
      <c r="G120" s="827"/>
      <c r="H120" s="809" t="s">
        <v>8381</v>
      </c>
      <c r="I120" s="92">
        <v>18</v>
      </c>
      <c r="J120" s="92" t="s">
        <v>18</v>
      </c>
      <c r="K120" s="92" t="s">
        <v>768</v>
      </c>
      <c r="L120" s="810">
        <v>4</v>
      </c>
      <c r="M120" s="811" t="str">
        <f>IF(ISBLANK(L120)=TRUE,"",LOOKUP(L120,GQ:GR))</f>
        <v>High School Level</v>
      </c>
      <c r="N120" s="92" t="s">
        <v>110</v>
      </c>
      <c r="O120" s="92"/>
      <c r="P120" s="1638"/>
      <c r="Q120" s="92"/>
      <c r="R120" s="92"/>
      <c r="S120" s="848"/>
      <c r="V120" s="828">
        <f>SUM(S117:U120)</f>
        <v>63000</v>
      </c>
      <c r="X120" s="811" t="str">
        <f>IF(ISBLANK(W120)=TRUE,"",LOOKUP(W120,GO:GP))</f>
        <v/>
      </c>
      <c r="AB120" s="828">
        <f>SUM(Y117:AA120)</f>
        <v>1000</v>
      </c>
      <c r="AC120" s="809"/>
      <c r="AD120" s="824"/>
      <c r="AG120" s="807" t="str">
        <f t="shared" si="9"/>
        <v/>
      </c>
      <c r="AH120" s="807"/>
      <c r="AI120" s="868"/>
      <c r="AJ120" s="868"/>
      <c r="AK120" s="92"/>
      <c r="AM120" s="819"/>
      <c r="AN120" s="854"/>
      <c r="AQ120" s="93"/>
      <c r="AR120" s="93"/>
      <c r="AS120" s="93"/>
      <c r="AT120" s="93"/>
      <c r="AU120" s="93"/>
      <c r="AV120" s="93"/>
      <c r="AW120" s="93"/>
      <c r="AX120" s="93"/>
      <c r="AY120" s="93"/>
      <c r="AZ120" s="93"/>
      <c r="BA120" s="93"/>
      <c r="BB120" s="93"/>
      <c r="BL120" s="93"/>
      <c r="BM120" s="93"/>
      <c r="BT120" s="93"/>
      <c r="BU120" s="93"/>
      <c r="BV120" s="93"/>
      <c r="BW120" s="93"/>
      <c r="BX120" s="93"/>
      <c r="BY120" s="93"/>
      <c r="BZ120" s="93"/>
      <c r="CA120" s="93"/>
      <c r="CB120" s="93"/>
      <c r="CC120" s="93"/>
      <c r="CF120" s="93"/>
      <c r="CG120" s="93"/>
      <c r="CH120" s="93"/>
      <c r="CI120" s="93"/>
      <c r="CJ120" s="93"/>
      <c r="CK120" s="93"/>
      <c r="CL120" s="93"/>
      <c r="CM120" s="93"/>
      <c r="CN120" s="93"/>
      <c r="CO120" s="93"/>
      <c r="CP120" s="93"/>
      <c r="CQ120" s="93"/>
      <c r="CR120" s="93"/>
      <c r="CS120" s="93"/>
      <c r="CT120" s="93"/>
      <c r="CU120" s="93"/>
      <c r="CV120" s="93"/>
      <c r="CW120" s="93"/>
      <c r="CX120" s="93"/>
      <c r="CY120" s="93"/>
      <c r="CZ120" s="93"/>
      <c r="DA120" s="93"/>
      <c r="DB120" s="93"/>
      <c r="DC120" s="93"/>
      <c r="DD120" s="93"/>
      <c r="DE120" s="93"/>
      <c r="DF120" s="93"/>
      <c r="DG120" s="93"/>
      <c r="DH120" s="93"/>
      <c r="DI120" s="93"/>
      <c r="DJ120" s="93"/>
      <c r="DK120" s="93"/>
      <c r="DL120" s="93"/>
      <c r="DM120" s="93"/>
      <c r="DN120" s="93"/>
      <c r="DO120" s="93"/>
    </row>
    <row r="121" spans="1:198" ht="15">
      <c r="D121" s="1061" t="s">
        <v>8382</v>
      </c>
      <c r="G121" s="846" t="s">
        <v>8382</v>
      </c>
      <c r="M121" s="811"/>
      <c r="O121" s="92"/>
      <c r="P121" s="1638"/>
      <c r="Q121" s="92"/>
      <c r="R121" s="92"/>
      <c r="S121" s="848"/>
      <c r="V121" s="828"/>
      <c r="AB121" s="828"/>
      <c r="AC121" s="809"/>
      <c r="AD121" s="824"/>
      <c r="AE121" s="93" t="s">
        <v>8383</v>
      </c>
      <c r="AF121" s="818">
        <v>2</v>
      </c>
      <c r="AG121" s="807" t="str">
        <f t="shared" ref="AG121:AG152" si="10">IF(ISBLANK(AF121)=TRUE,"",LOOKUP(AF121,GS:GT))</f>
        <v>Assistance to walk</v>
      </c>
      <c r="AH121" s="807"/>
      <c r="AI121" s="868"/>
      <c r="AJ121" s="868"/>
      <c r="AK121" s="92"/>
      <c r="AM121" s="819"/>
      <c r="AN121" s="854"/>
      <c r="AQ121" s="93"/>
      <c r="AR121" s="93"/>
      <c r="AS121" s="93"/>
      <c r="AT121" s="93"/>
      <c r="AU121" s="93"/>
      <c r="AV121" s="93"/>
      <c r="AW121" s="93"/>
      <c r="AX121" s="93"/>
      <c r="AY121" s="93"/>
      <c r="AZ121" s="93"/>
      <c r="BA121" s="93"/>
      <c r="BB121" s="93"/>
      <c r="BL121" s="93"/>
      <c r="BM121" s="93"/>
      <c r="BT121" s="93"/>
      <c r="BU121" s="93"/>
      <c r="BV121" s="93"/>
      <c r="BW121" s="93"/>
      <c r="BX121" s="93"/>
      <c r="BY121" s="93"/>
      <c r="BZ121" s="93"/>
      <c r="CA121" s="93"/>
      <c r="CB121" s="93"/>
      <c r="CC121" s="93"/>
      <c r="CF121" s="93"/>
      <c r="CG121" s="93"/>
      <c r="CH121" s="93"/>
      <c r="CI121" s="93"/>
      <c r="CJ121" s="93"/>
      <c r="CK121" s="93"/>
      <c r="CL121" s="93"/>
      <c r="CM121" s="93"/>
      <c r="CN121" s="93"/>
      <c r="CO121" s="93"/>
      <c r="CP121" s="93"/>
      <c r="CQ121" s="93"/>
      <c r="CR121" s="93"/>
      <c r="CS121" s="93"/>
      <c r="CT121" s="93"/>
      <c r="CU121" s="93"/>
      <c r="CV121" s="93"/>
      <c r="CW121" s="93"/>
      <c r="CX121" s="93"/>
      <c r="CY121" s="93"/>
      <c r="CZ121" s="93"/>
      <c r="DA121" s="93"/>
      <c r="DB121" s="93"/>
      <c r="DC121" s="93"/>
      <c r="DD121" s="93"/>
      <c r="DE121" s="93"/>
      <c r="DF121" s="93"/>
      <c r="DG121" s="93"/>
      <c r="DH121" s="93"/>
      <c r="DI121" s="93"/>
      <c r="DJ121" s="93"/>
      <c r="DK121" s="93"/>
      <c r="DL121" s="93"/>
      <c r="DM121" s="93"/>
      <c r="DN121" s="93"/>
      <c r="DO121" s="93"/>
    </row>
    <row r="122" spans="1:198" s="806" customFormat="1" ht="15">
      <c r="A122" s="1076"/>
      <c r="B122" s="6"/>
      <c r="C122" s="6"/>
      <c r="D122" s="1061" t="s">
        <v>125</v>
      </c>
      <c r="G122" s="809" t="s">
        <v>125</v>
      </c>
      <c r="H122" s="809" t="s">
        <v>8384</v>
      </c>
      <c r="I122" s="92">
        <v>51</v>
      </c>
      <c r="J122" s="92" t="s">
        <v>10</v>
      </c>
      <c r="K122" s="92" t="s">
        <v>707</v>
      </c>
      <c r="L122" s="810">
        <v>3</v>
      </c>
      <c r="M122" s="811" t="str">
        <f t="shared" ref="M122:M134" si="11">IF(ISBLANK(L122)=TRUE,"",LOOKUP(L122,GQ:GR))</f>
        <v>Elementary Graduate</v>
      </c>
      <c r="N122" s="92" t="s">
        <v>1208</v>
      </c>
      <c r="O122" s="92" t="s">
        <v>8331</v>
      </c>
      <c r="P122" s="1638"/>
      <c r="Q122" s="92" t="s">
        <v>8331</v>
      </c>
      <c r="R122" s="92" t="s">
        <v>8234</v>
      </c>
      <c r="S122" s="848"/>
      <c r="T122" s="816"/>
      <c r="U122" s="816">
        <f>QUOTIENT(3000,12)</f>
        <v>250</v>
      </c>
      <c r="V122" s="837"/>
      <c r="W122" s="838">
        <v>1</v>
      </c>
      <c r="X122" s="811" t="str">
        <f>IF(ISBLANK(W122)=TRUE,"",LOOKUP(W122,GO:GP))</f>
        <v>within the Brgy</v>
      </c>
      <c r="Y122" s="836"/>
      <c r="Z122" s="836"/>
      <c r="AA122" s="836"/>
      <c r="AB122" s="837"/>
      <c r="AC122" s="809" t="s">
        <v>8385</v>
      </c>
      <c r="AD122" s="824"/>
      <c r="AE122" s="93"/>
      <c r="AF122" s="818"/>
      <c r="AG122" s="807" t="str">
        <f t="shared" si="10"/>
        <v/>
      </c>
      <c r="AH122" s="807"/>
      <c r="AI122" s="809"/>
      <c r="AJ122" s="809"/>
      <c r="AK122" s="92"/>
      <c r="AL122" s="819"/>
      <c r="AM122" s="836"/>
      <c r="AN122" s="813"/>
      <c r="AO122" s="817"/>
      <c r="AP122" s="820"/>
      <c r="AQ122" s="93"/>
      <c r="AR122" s="93"/>
      <c r="AS122" s="93"/>
      <c r="AT122" s="93"/>
      <c r="AU122" s="93"/>
      <c r="AV122" s="93"/>
      <c r="AW122" s="93"/>
      <c r="AX122" s="93"/>
      <c r="AY122" s="93"/>
      <c r="AZ122" s="93"/>
      <c r="BA122" s="93"/>
      <c r="BB122" s="93"/>
      <c r="BC122" s="93"/>
      <c r="BD122" s="93"/>
      <c r="BE122" s="93"/>
      <c r="BF122" s="93"/>
      <c r="BG122" s="93"/>
      <c r="BH122" s="93"/>
      <c r="BI122" s="93"/>
      <c r="BJ122" s="93"/>
      <c r="BK122" s="93"/>
      <c r="BL122" s="93"/>
      <c r="BM122" s="93"/>
      <c r="BN122" s="93"/>
      <c r="BT122" s="93"/>
      <c r="BU122" s="93"/>
      <c r="BV122" s="93"/>
      <c r="BW122" s="93"/>
      <c r="BX122" s="93"/>
      <c r="BY122" s="93"/>
      <c r="BZ122" s="93"/>
      <c r="CA122" s="93"/>
      <c r="CB122" s="93"/>
      <c r="CC122" s="93"/>
      <c r="CD122" s="93"/>
      <c r="CE122" s="93"/>
      <c r="CF122" s="93"/>
      <c r="CG122" s="93"/>
      <c r="CH122" s="93"/>
      <c r="CI122" s="93"/>
      <c r="CJ122" s="93"/>
      <c r="CK122" s="93"/>
      <c r="CL122" s="93"/>
      <c r="CM122" s="93"/>
      <c r="CN122" s="93"/>
      <c r="CO122" s="93"/>
      <c r="CP122" s="93"/>
      <c r="CQ122" s="93"/>
      <c r="CR122" s="93"/>
      <c r="CS122" s="93"/>
      <c r="CT122" s="93"/>
      <c r="CU122" s="93"/>
      <c r="CV122" s="93"/>
      <c r="CW122" s="93"/>
      <c r="CX122" s="93"/>
      <c r="CY122" s="93"/>
      <c r="CZ122" s="93"/>
      <c r="DA122" s="93"/>
      <c r="DB122" s="93"/>
      <c r="DC122" s="93"/>
      <c r="DD122" s="93"/>
      <c r="DE122" s="93"/>
      <c r="DF122" s="93"/>
      <c r="DG122" s="93"/>
      <c r="DH122" s="93"/>
      <c r="DI122" s="826"/>
      <c r="DJ122" s="825"/>
      <c r="DK122" s="825"/>
      <c r="DL122" s="825"/>
      <c r="DM122" s="825"/>
      <c r="GO122" s="92"/>
      <c r="GP122" s="831"/>
    </row>
    <row r="123" spans="1:198" s="806" customFormat="1" ht="15">
      <c r="A123" s="1076"/>
      <c r="B123" s="6"/>
      <c r="C123" s="6"/>
      <c r="D123" s="1061"/>
      <c r="G123" s="827"/>
      <c r="H123" s="809" t="s">
        <v>8386</v>
      </c>
      <c r="I123" s="92">
        <v>84</v>
      </c>
      <c r="J123" s="92" t="s">
        <v>18</v>
      </c>
      <c r="K123" s="92" t="s">
        <v>719</v>
      </c>
      <c r="L123" s="810">
        <v>3</v>
      </c>
      <c r="M123" s="811" t="str">
        <f t="shared" si="11"/>
        <v>Elementary Graduate</v>
      </c>
      <c r="N123" s="92"/>
      <c r="O123" s="92"/>
      <c r="P123" s="1638"/>
      <c r="Q123" s="92"/>
      <c r="R123" s="92"/>
      <c r="S123" s="848"/>
      <c r="T123" s="816"/>
      <c r="U123" s="816"/>
      <c r="V123" s="837"/>
      <c r="W123" s="838"/>
      <c r="X123" s="811"/>
      <c r="Y123" s="836"/>
      <c r="Z123" s="836"/>
      <c r="AA123" s="836"/>
      <c r="AB123" s="837"/>
      <c r="AC123" s="809"/>
      <c r="AD123" s="817" t="s">
        <v>8387</v>
      </c>
      <c r="AE123" s="93"/>
      <c r="AF123" s="818"/>
      <c r="AG123" s="807" t="str">
        <f t="shared" si="10"/>
        <v/>
      </c>
      <c r="AH123" s="807"/>
      <c r="AI123" s="809"/>
      <c r="AJ123" s="809"/>
      <c r="AK123" s="92"/>
      <c r="AL123" s="819"/>
      <c r="AM123" s="836"/>
      <c r="AN123" s="813"/>
      <c r="AO123" s="817"/>
      <c r="AP123" s="820"/>
      <c r="AQ123" s="93"/>
      <c r="AR123" s="93"/>
      <c r="AS123" s="93"/>
      <c r="AT123" s="93"/>
      <c r="AU123" s="93"/>
      <c r="AV123" s="93"/>
      <c r="AW123" s="93"/>
      <c r="AX123" s="93"/>
      <c r="AY123" s="93"/>
      <c r="AZ123" s="93"/>
      <c r="BA123" s="93"/>
      <c r="BB123" s="93"/>
      <c r="BC123" s="93"/>
      <c r="BD123" s="93"/>
      <c r="BE123" s="93"/>
      <c r="BF123" s="93"/>
      <c r="BG123" s="93"/>
      <c r="BH123" s="93"/>
      <c r="BI123" s="93"/>
      <c r="BJ123" s="93"/>
      <c r="BK123" s="93"/>
      <c r="BL123" s="93"/>
      <c r="BM123" s="93"/>
      <c r="BN123" s="93"/>
      <c r="BT123" s="93"/>
      <c r="BU123" s="93"/>
      <c r="BV123" s="93"/>
      <c r="BW123" s="93"/>
      <c r="BX123" s="93"/>
      <c r="BY123" s="93"/>
      <c r="BZ123" s="93"/>
      <c r="CA123" s="93"/>
      <c r="CB123" s="93"/>
      <c r="CC123" s="93"/>
      <c r="CD123" s="93"/>
      <c r="CE123" s="93"/>
      <c r="CF123" s="93"/>
      <c r="CG123" s="93"/>
      <c r="CH123" s="93"/>
      <c r="CI123" s="93"/>
      <c r="CJ123" s="93"/>
      <c r="CK123" s="93"/>
      <c r="CL123" s="93"/>
      <c r="CM123" s="93"/>
      <c r="CN123" s="93"/>
      <c r="CO123" s="93"/>
      <c r="CP123" s="93"/>
      <c r="CQ123" s="93"/>
      <c r="CR123" s="93"/>
      <c r="CS123" s="93"/>
      <c r="CT123" s="93"/>
      <c r="CU123" s="93"/>
      <c r="CV123" s="93"/>
      <c r="CW123" s="93"/>
      <c r="CX123" s="93"/>
      <c r="CY123" s="93"/>
      <c r="CZ123" s="93"/>
      <c r="DA123" s="93"/>
      <c r="DB123" s="93"/>
      <c r="DC123" s="93"/>
      <c r="DD123" s="93"/>
      <c r="DE123" s="93"/>
      <c r="DF123" s="93"/>
      <c r="DG123" s="93"/>
      <c r="DH123" s="93"/>
      <c r="DI123" s="826"/>
      <c r="DJ123" s="825"/>
      <c r="DK123" s="825"/>
      <c r="DL123" s="825"/>
      <c r="DM123" s="825"/>
      <c r="GO123" s="92"/>
      <c r="GP123" s="831"/>
    </row>
    <row r="124" spans="1:198" s="806" customFormat="1" ht="15">
      <c r="A124" s="1076"/>
      <c r="B124" s="6"/>
      <c r="C124" s="6"/>
      <c r="D124" s="1061"/>
      <c r="G124" s="827"/>
      <c r="H124" s="809" t="s">
        <v>8388</v>
      </c>
      <c r="I124" s="92">
        <v>50</v>
      </c>
      <c r="J124" s="92" t="s">
        <v>18</v>
      </c>
      <c r="K124" s="92" t="s">
        <v>707</v>
      </c>
      <c r="L124" s="810">
        <v>7</v>
      </c>
      <c r="M124" s="811" t="str">
        <f t="shared" si="11"/>
        <v>College Graduate or Higher</v>
      </c>
      <c r="N124" s="92" t="s">
        <v>1208</v>
      </c>
      <c r="O124" s="92" t="s">
        <v>2210</v>
      </c>
      <c r="P124" s="1638"/>
      <c r="Q124" s="92" t="s">
        <v>2210</v>
      </c>
      <c r="R124" s="92"/>
      <c r="S124" s="848">
        <f>QUOTIENT(14000,12)</f>
        <v>1166</v>
      </c>
      <c r="T124" s="816"/>
      <c r="U124" s="816"/>
      <c r="V124" s="837">
        <f>SUM(S122:U124)</f>
        <v>1416</v>
      </c>
      <c r="W124" s="838">
        <v>5</v>
      </c>
      <c r="X124" s="811" t="str">
        <f t="shared" ref="X124:X134" si="12">IF(ISBLANK(W124)=TRUE,"",LOOKUP(W124,GO:GP))</f>
        <v>Overseas Worker</v>
      </c>
      <c r="Y124" s="836"/>
      <c r="Z124" s="836"/>
      <c r="AA124" s="836"/>
      <c r="AB124" s="837">
        <f>SUM(Y122:AA124)</f>
        <v>0</v>
      </c>
      <c r="AC124" s="809" t="s">
        <v>2210</v>
      </c>
      <c r="AD124" s="824"/>
      <c r="AE124" s="93"/>
      <c r="AF124" s="818"/>
      <c r="AG124" s="807" t="str">
        <f t="shared" si="10"/>
        <v/>
      </c>
      <c r="AH124" s="807"/>
      <c r="AI124" s="809"/>
      <c r="AJ124" s="809"/>
      <c r="AK124" s="92"/>
      <c r="AL124" s="819"/>
      <c r="AM124" s="836"/>
      <c r="AN124" s="813"/>
      <c r="AO124" s="817"/>
      <c r="AP124" s="820"/>
      <c r="AQ124" s="93"/>
      <c r="AR124" s="93"/>
      <c r="AS124" s="93"/>
      <c r="AT124" s="93"/>
      <c r="AU124" s="93"/>
      <c r="AV124" s="93"/>
      <c r="AW124" s="93"/>
      <c r="AX124" s="93"/>
      <c r="AY124" s="93"/>
      <c r="AZ124" s="93"/>
      <c r="BA124" s="93"/>
      <c r="BB124" s="93"/>
      <c r="BC124" s="93"/>
      <c r="BD124" s="93"/>
      <c r="BE124" s="93"/>
      <c r="BF124" s="93"/>
      <c r="BG124" s="93"/>
      <c r="BH124" s="93"/>
      <c r="BI124" s="93"/>
      <c r="BJ124" s="93"/>
      <c r="BK124" s="93"/>
      <c r="BL124" s="93"/>
      <c r="BM124" s="93"/>
      <c r="BN124" s="93"/>
      <c r="BT124" s="93"/>
      <c r="BU124" s="93"/>
      <c r="BV124" s="93"/>
      <c r="BW124" s="93"/>
      <c r="BX124" s="93"/>
      <c r="BY124" s="93"/>
      <c r="BZ124" s="93"/>
      <c r="CA124" s="93"/>
      <c r="CB124" s="93"/>
      <c r="CC124" s="93"/>
      <c r="CD124" s="93"/>
      <c r="CE124" s="93"/>
      <c r="CF124" s="93"/>
      <c r="CG124" s="93"/>
      <c r="CH124" s="93"/>
      <c r="CI124" s="93"/>
      <c r="CJ124" s="93"/>
      <c r="CK124" s="93"/>
      <c r="CL124" s="93"/>
      <c r="CM124" s="93"/>
      <c r="CN124" s="93"/>
      <c r="CO124" s="93"/>
      <c r="CP124" s="93"/>
      <c r="CQ124" s="93"/>
      <c r="CR124" s="93"/>
      <c r="CS124" s="93"/>
      <c r="CT124" s="93"/>
      <c r="CU124" s="93"/>
      <c r="CV124" s="93"/>
      <c r="CW124" s="93"/>
      <c r="CX124" s="93"/>
      <c r="CY124" s="93"/>
      <c r="CZ124" s="93"/>
      <c r="DA124" s="93"/>
      <c r="DB124" s="93"/>
      <c r="DC124" s="93"/>
      <c r="DD124" s="93"/>
      <c r="DE124" s="93"/>
      <c r="DF124" s="93"/>
      <c r="DG124" s="93"/>
      <c r="DH124" s="93"/>
      <c r="DI124" s="826"/>
      <c r="DJ124" s="825"/>
      <c r="DK124" s="825"/>
      <c r="DL124" s="825"/>
      <c r="DM124" s="825"/>
      <c r="GO124" s="92"/>
      <c r="GP124" s="831"/>
    </row>
    <row r="125" spans="1:198" s="806" customFormat="1" ht="15">
      <c r="D125" s="1061" t="s">
        <v>2221</v>
      </c>
      <c r="G125" s="809" t="s">
        <v>2221</v>
      </c>
      <c r="H125" s="809"/>
      <c r="I125" s="92"/>
      <c r="J125" s="92"/>
      <c r="K125" s="92"/>
      <c r="L125" s="810"/>
      <c r="M125" s="811" t="str">
        <f t="shared" si="11"/>
        <v/>
      </c>
      <c r="N125" s="92"/>
      <c r="O125" s="812"/>
      <c r="P125" s="1638"/>
      <c r="Q125" s="812"/>
      <c r="R125" s="812"/>
      <c r="S125" s="813"/>
      <c r="T125" s="813"/>
      <c r="U125" s="813"/>
      <c r="V125" s="814">
        <f>SUM(S125:U125)</f>
        <v>0</v>
      </c>
      <c r="W125" s="815"/>
      <c r="X125" s="811" t="str">
        <f t="shared" si="12"/>
        <v/>
      </c>
      <c r="Y125" s="816"/>
      <c r="Z125" s="816"/>
      <c r="AA125" s="816"/>
      <c r="AB125" s="814">
        <f>SUM(Y125:AA125)</f>
        <v>0</v>
      </c>
      <c r="AC125" s="866"/>
      <c r="AD125" s="821"/>
      <c r="AE125" s="93"/>
      <c r="AF125" s="818"/>
      <c r="AG125" s="807" t="str">
        <f t="shared" si="10"/>
        <v/>
      </c>
      <c r="AH125" s="807"/>
      <c r="AI125" s="809" t="s">
        <v>1280</v>
      </c>
      <c r="AJ125" s="809"/>
      <c r="AK125" s="92"/>
      <c r="AL125" s="819" t="s">
        <v>8389</v>
      </c>
      <c r="AM125" s="870" t="s">
        <v>1910</v>
      </c>
      <c r="AN125" s="813"/>
      <c r="AO125" s="817"/>
      <c r="AP125" s="820"/>
      <c r="AQ125" s="93"/>
      <c r="AR125" s="93"/>
      <c r="AS125" s="93"/>
      <c r="AT125" s="93"/>
      <c r="AU125" s="93"/>
      <c r="AV125" s="93"/>
      <c r="AW125" s="93"/>
      <c r="AX125" s="93"/>
      <c r="AY125" s="93"/>
      <c r="AZ125" s="93"/>
      <c r="BA125" s="93"/>
      <c r="BB125" s="93"/>
      <c r="BC125" s="93"/>
      <c r="BD125" s="93"/>
      <c r="BE125" s="93"/>
      <c r="BF125" s="93"/>
      <c r="BG125" s="93"/>
      <c r="BH125" s="93"/>
      <c r="BI125" s="93"/>
      <c r="BJ125" s="93"/>
      <c r="BK125" s="93"/>
      <c r="BL125" s="93"/>
      <c r="BM125" s="93"/>
      <c r="BN125" s="93"/>
      <c r="BT125" s="93"/>
      <c r="BU125" s="93"/>
      <c r="BV125" s="93"/>
      <c r="BW125" s="93"/>
      <c r="BX125" s="93"/>
      <c r="BY125" s="93"/>
      <c r="BZ125" s="93"/>
      <c r="CA125" s="93"/>
      <c r="CB125" s="93"/>
      <c r="CC125" s="93"/>
      <c r="CD125" s="93"/>
      <c r="CE125" s="93"/>
      <c r="CF125" s="93"/>
      <c r="CG125" s="93"/>
      <c r="CH125" s="93"/>
      <c r="CI125" s="93"/>
      <c r="CJ125" s="93"/>
      <c r="CK125" s="93"/>
      <c r="CL125" s="93"/>
      <c r="CM125" s="93"/>
      <c r="CN125" s="93"/>
      <c r="CO125" s="93"/>
      <c r="CP125" s="93"/>
      <c r="CQ125" s="93"/>
      <c r="CR125" s="93"/>
      <c r="CS125" s="93"/>
      <c r="CT125" s="93"/>
      <c r="CU125" s="93"/>
      <c r="CV125" s="93"/>
      <c r="CW125" s="93"/>
      <c r="CX125" s="93"/>
      <c r="CY125" s="93"/>
      <c r="CZ125" s="93"/>
      <c r="DA125" s="93"/>
      <c r="DB125" s="93"/>
      <c r="DC125" s="93"/>
      <c r="DD125" s="93"/>
      <c r="DE125" s="93"/>
      <c r="DF125" s="93"/>
      <c r="DG125" s="93"/>
      <c r="DH125" s="93"/>
      <c r="DI125" s="826"/>
      <c r="DJ125" s="825"/>
      <c r="DK125" s="825"/>
      <c r="DL125" s="825"/>
      <c r="DM125" s="825"/>
      <c r="GO125" s="92"/>
      <c r="GP125" s="831"/>
    </row>
    <row r="126" spans="1:198" s="806" customFormat="1" ht="15">
      <c r="A126" s="19" t="s">
        <v>7421</v>
      </c>
      <c r="B126" s="292" t="s">
        <v>7564</v>
      </c>
      <c r="C126" s="170" t="s">
        <v>126</v>
      </c>
      <c r="D126" s="1061" t="s">
        <v>126</v>
      </c>
      <c r="E126" s="1039" t="s">
        <v>126</v>
      </c>
      <c r="F126" s="1047" t="s">
        <v>2052</v>
      </c>
      <c r="G126" s="809" t="s">
        <v>126</v>
      </c>
      <c r="H126" s="809" t="s">
        <v>2052</v>
      </c>
      <c r="I126" s="92">
        <v>48</v>
      </c>
      <c r="J126" s="92" t="s">
        <v>10</v>
      </c>
      <c r="K126" s="92" t="s">
        <v>707</v>
      </c>
      <c r="L126" s="810">
        <v>2</v>
      </c>
      <c r="M126" s="811" t="str">
        <f t="shared" si="11"/>
        <v>Elementary Level</v>
      </c>
      <c r="N126" s="92" t="s">
        <v>1208</v>
      </c>
      <c r="O126" s="871" t="s">
        <v>2220</v>
      </c>
      <c r="P126" s="1638" t="s">
        <v>12605</v>
      </c>
      <c r="Q126" s="871" t="s">
        <v>2220</v>
      </c>
      <c r="R126" s="92" t="s">
        <v>8234</v>
      </c>
      <c r="S126" s="836"/>
      <c r="T126" s="816">
        <v>9600</v>
      </c>
      <c r="U126" s="816"/>
      <c r="V126" s="849"/>
      <c r="W126" s="838">
        <v>2</v>
      </c>
      <c r="X126" s="811" t="str">
        <f t="shared" si="12"/>
        <v>within the Municipality/City</v>
      </c>
      <c r="Z126" s="836">
        <v>2400</v>
      </c>
      <c r="AA126" s="836"/>
      <c r="AB126" s="849"/>
      <c r="AC126" s="809" t="s">
        <v>2197</v>
      </c>
      <c r="AD126" s="821"/>
      <c r="AE126" s="93"/>
      <c r="AF126" s="818"/>
      <c r="AG126" s="807" t="str">
        <f t="shared" si="10"/>
        <v/>
      </c>
      <c r="AH126" s="807"/>
      <c r="AI126" s="809"/>
      <c r="AJ126" s="809"/>
      <c r="AK126" s="92"/>
      <c r="AL126" s="819"/>
      <c r="AM126" s="836"/>
      <c r="AN126" s="813"/>
      <c r="AO126" s="817"/>
      <c r="AP126" s="820"/>
      <c r="AQ126" s="93"/>
      <c r="AR126" s="93"/>
      <c r="AS126" s="93"/>
      <c r="AT126" s="93"/>
      <c r="AU126" s="93"/>
      <c r="AV126" s="93"/>
      <c r="AW126" s="93"/>
      <c r="AX126" s="93"/>
      <c r="AY126" s="93"/>
      <c r="AZ126" s="93"/>
      <c r="BA126" s="93"/>
      <c r="BB126" s="93"/>
      <c r="BC126" s="93"/>
      <c r="BD126" s="93"/>
      <c r="BE126" s="93"/>
      <c r="BF126" s="93"/>
      <c r="BG126" s="93"/>
      <c r="BH126" s="93"/>
      <c r="BI126" s="93"/>
      <c r="BJ126" s="93"/>
      <c r="BK126" s="93"/>
      <c r="BL126" s="93"/>
      <c r="BM126" s="93"/>
      <c r="BN126" s="93">
        <v>3</v>
      </c>
      <c r="BT126" s="93"/>
      <c r="BU126" s="93"/>
      <c r="BV126" s="93"/>
      <c r="BW126" s="93">
        <v>3</v>
      </c>
      <c r="BX126" s="93"/>
      <c r="BY126" s="93"/>
      <c r="BZ126" s="93"/>
      <c r="CA126" s="93"/>
      <c r="CB126" s="93"/>
      <c r="CC126" s="93"/>
      <c r="CD126" s="93"/>
      <c r="CE126" s="93"/>
      <c r="CF126" s="93"/>
      <c r="CG126" s="93"/>
      <c r="CH126" s="93"/>
      <c r="CI126" s="93"/>
      <c r="CJ126" s="93" t="s">
        <v>2145</v>
      </c>
      <c r="CK126" s="93"/>
      <c r="CL126" s="93"/>
      <c r="CM126" s="93"/>
      <c r="CN126" s="93"/>
      <c r="CO126" s="93"/>
      <c r="CP126" s="93"/>
      <c r="CQ126" s="93"/>
      <c r="CR126" s="93"/>
      <c r="CS126" s="93"/>
      <c r="CT126" s="93"/>
      <c r="CU126" s="93"/>
      <c r="CV126" s="93"/>
      <c r="CW126" s="93"/>
      <c r="CX126" s="93"/>
      <c r="CY126" s="93"/>
      <c r="CZ126" s="93"/>
      <c r="DA126" s="93" t="s">
        <v>2144</v>
      </c>
      <c r="DB126" s="93"/>
      <c r="DC126" s="93"/>
      <c r="DD126" s="93"/>
      <c r="DE126" s="93"/>
      <c r="DF126" s="93"/>
      <c r="DG126" s="93"/>
      <c r="DH126" s="93"/>
      <c r="DI126" s="826"/>
      <c r="DJ126" s="825"/>
      <c r="DK126" s="825"/>
      <c r="DL126" s="825"/>
      <c r="DM126" s="825"/>
      <c r="GO126" s="92"/>
      <c r="GP126" s="831"/>
    </row>
    <row r="127" spans="1:198" s="806" customFormat="1" ht="15">
      <c r="A127" s="19" t="s">
        <v>7421</v>
      </c>
      <c r="D127" s="1061" t="s">
        <v>126</v>
      </c>
      <c r="E127" s="1039" t="s">
        <v>126</v>
      </c>
      <c r="G127" s="827"/>
      <c r="H127" s="809" t="s">
        <v>8390</v>
      </c>
      <c r="I127" s="92">
        <v>48</v>
      </c>
      <c r="J127" s="92" t="s">
        <v>18</v>
      </c>
      <c r="K127" s="92" t="s">
        <v>707</v>
      </c>
      <c r="L127" s="810">
        <v>4</v>
      </c>
      <c r="M127" s="811" t="str">
        <f t="shared" si="11"/>
        <v>High School Level</v>
      </c>
      <c r="N127" s="92" t="s">
        <v>1208</v>
      </c>
      <c r="O127" s="871" t="s">
        <v>8391</v>
      </c>
      <c r="P127" s="1638"/>
      <c r="Q127" s="871" t="s">
        <v>8391</v>
      </c>
      <c r="R127" s="871" t="s">
        <v>10434</v>
      </c>
      <c r="S127" s="836"/>
      <c r="T127" s="820">
        <f>QUOTIENT(SUM(PRODUCT(2500,9),PRODUCT(10000,3)),12)</f>
        <v>4375</v>
      </c>
      <c r="U127" s="816"/>
      <c r="V127" s="849"/>
      <c r="W127" s="838">
        <v>1</v>
      </c>
      <c r="X127" s="811" t="str">
        <f t="shared" si="12"/>
        <v>within the Brgy</v>
      </c>
      <c r="Y127" s="836"/>
      <c r="Z127" s="836"/>
      <c r="AA127" s="836"/>
      <c r="AB127" s="849"/>
      <c r="AC127" s="809"/>
      <c r="AD127" s="821"/>
      <c r="AE127" s="93"/>
      <c r="AF127" s="818"/>
      <c r="AG127" s="807" t="str">
        <f t="shared" si="10"/>
        <v/>
      </c>
      <c r="AH127" s="807"/>
      <c r="AI127" s="809"/>
      <c r="AJ127" s="809"/>
      <c r="AK127" s="92"/>
      <c r="AL127" s="819"/>
      <c r="AM127" s="836"/>
      <c r="AN127" s="813"/>
      <c r="AO127" s="817"/>
      <c r="AP127" s="820"/>
      <c r="AQ127" s="93"/>
      <c r="AR127" s="93"/>
      <c r="AS127" s="93"/>
      <c r="AT127" s="93"/>
      <c r="AU127" s="93"/>
      <c r="AV127" s="93"/>
      <c r="AW127" s="93"/>
      <c r="AX127" s="93"/>
      <c r="AY127" s="93"/>
      <c r="AZ127" s="93"/>
      <c r="BA127" s="93"/>
      <c r="BB127" s="93"/>
      <c r="BC127" s="93"/>
      <c r="BD127" s="93"/>
      <c r="BE127" s="93"/>
      <c r="BF127" s="93"/>
      <c r="BG127" s="93"/>
      <c r="BH127" s="93"/>
      <c r="BI127" s="93"/>
      <c r="BJ127" s="93"/>
      <c r="BK127" s="93"/>
      <c r="BL127" s="93"/>
      <c r="BM127" s="93"/>
      <c r="BN127" s="93"/>
      <c r="BT127" s="93"/>
      <c r="BU127" s="93"/>
      <c r="BV127" s="93"/>
      <c r="BW127" s="93"/>
      <c r="BX127" s="93"/>
      <c r="BY127" s="93"/>
      <c r="BZ127" s="93"/>
      <c r="CA127" s="93"/>
      <c r="CB127" s="93"/>
      <c r="CC127" s="93"/>
      <c r="CD127" s="93" t="s">
        <v>2146</v>
      </c>
      <c r="CE127" s="93"/>
      <c r="CF127" s="93"/>
      <c r="CG127" s="93"/>
      <c r="CH127" s="93"/>
      <c r="CI127" s="93"/>
      <c r="CJ127" s="93"/>
      <c r="CK127" s="93"/>
      <c r="CL127" s="93">
        <v>2</v>
      </c>
      <c r="CM127" s="93"/>
      <c r="CN127" s="93"/>
      <c r="CO127" s="93"/>
      <c r="CP127" s="93"/>
      <c r="CQ127" s="93"/>
      <c r="CR127" s="93" t="s">
        <v>2144</v>
      </c>
      <c r="CS127" s="93"/>
      <c r="CT127" s="93"/>
      <c r="CU127" s="93"/>
      <c r="CV127" s="93"/>
      <c r="CW127" s="93"/>
      <c r="CX127" s="93"/>
      <c r="CY127" s="93"/>
      <c r="CZ127" s="93"/>
      <c r="DA127" s="93"/>
      <c r="DB127" s="93"/>
      <c r="DC127" s="93"/>
      <c r="DD127" s="93"/>
      <c r="DE127" s="93"/>
      <c r="DF127" s="93"/>
      <c r="DG127" s="93"/>
      <c r="DH127" s="93"/>
      <c r="DI127" s="826"/>
      <c r="DJ127" s="825"/>
      <c r="DK127" s="825"/>
      <c r="DL127" s="825"/>
      <c r="DM127" s="825"/>
      <c r="GO127" s="92"/>
      <c r="GP127" s="831"/>
    </row>
    <row r="128" spans="1:198" ht="15">
      <c r="A128" s="19" t="s">
        <v>7421</v>
      </c>
      <c r="D128" s="1061" t="s">
        <v>126</v>
      </c>
      <c r="E128" s="1039" t="s">
        <v>126</v>
      </c>
      <c r="F128" s="807"/>
      <c r="G128" s="827"/>
      <c r="H128" s="846" t="s">
        <v>8392</v>
      </c>
      <c r="I128" s="843">
        <v>21</v>
      </c>
      <c r="J128" s="843" t="s">
        <v>10</v>
      </c>
      <c r="K128" s="843" t="s">
        <v>768</v>
      </c>
      <c r="L128" s="810">
        <v>5</v>
      </c>
      <c r="M128" s="811" t="str">
        <f t="shared" si="11"/>
        <v>High School Graduate</v>
      </c>
      <c r="N128" s="843" t="s">
        <v>1208</v>
      </c>
      <c r="O128" s="872" t="s">
        <v>8393</v>
      </c>
      <c r="P128" s="1638"/>
      <c r="Q128" s="872" t="s">
        <v>8393</v>
      </c>
      <c r="R128" s="872" t="s">
        <v>8285</v>
      </c>
      <c r="T128" s="64"/>
      <c r="U128" s="820">
        <f>QUOTIENT(SUM(PRODUCT(1667,9),PRODUCT(20000,3)),12)</f>
        <v>6250</v>
      </c>
      <c r="V128" s="828">
        <f>SUM(S126:U128)</f>
        <v>20225</v>
      </c>
      <c r="W128" s="815">
        <v>3</v>
      </c>
      <c r="X128" s="811" t="str">
        <f t="shared" si="12"/>
        <v>within the Province</v>
      </c>
      <c r="Y128" s="873"/>
      <c r="AB128" s="828">
        <f>SUM(Y126:AA128)</f>
        <v>2400</v>
      </c>
      <c r="AC128" s="846"/>
      <c r="AD128" s="874"/>
      <c r="AE128" s="6"/>
      <c r="AG128" s="807" t="str">
        <f t="shared" si="10"/>
        <v/>
      </c>
      <c r="AH128" s="875"/>
      <c r="AI128" s="846"/>
      <c r="AJ128" s="846"/>
      <c r="AK128" s="843"/>
      <c r="AL128" s="844"/>
      <c r="AM128" s="876"/>
      <c r="AN128" s="877"/>
      <c r="AO128" s="853"/>
      <c r="AP128" s="845"/>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T128" s="6"/>
      <c r="BU128" s="6"/>
      <c r="BV128" s="6"/>
      <c r="BW128" s="6"/>
      <c r="BX128" s="6"/>
      <c r="BY128" s="6"/>
      <c r="BZ128" s="6"/>
      <c r="CA128" s="6"/>
      <c r="CB128" s="6"/>
      <c r="CC128" s="6"/>
      <c r="CD128" s="6"/>
      <c r="CE128" s="6"/>
      <c r="CF128" s="6"/>
      <c r="CG128" s="6"/>
      <c r="CH128" s="6"/>
      <c r="CI128" s="93"/>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93"/>
      <c r="DI128" s="93"/>
      <c r="DJ128" s="93"/>
      <c r="DK128" s="93"/>
      <c r="DL128" s="93"/>
      <c r="DM128" s="93"/>
      <c r="DN128" s="93"/>
      <c r="DO128" s="93"/>
    </row>
    <row r="129" spans="1:200" s="806" customFormat="1" ht="15">
      <c r="A129" s="1076"/>
      <c r="B129" s="6"/>
      <c r="C129" s="6"/>
      <c r="D129" s="1061" t="s">
        <v>129</v>
      </c>
      <c r="G129" s="846" t="s">
        <v>129</v>
      </c>
      <c r="H129" s="809" t="s">
        <v>8394</v>
      </c>
      <c r="I129" s="92">
        <v>92</v>
      </c>
      <c r="J129" s="92" t="s">
        <v>18</v>
      </c>
      <c r="K129" s="92" t="s">
        <v>768</v>
      </c>
      <c r="L129" s="810">
        <v>5</v>
      </c>
      <c r="M129" s="811" t="str">
        <f t="shared" si="11"/>
        <v>High School Graduate</v>
      </c>
      <c r="N129" s="826" t="s">
        <v>1208</v>
      </c>
      <c r="O129" s="92" t="s">
        <v>8395</v>
      </c>
      <c r="P129" s="1638"/>
      <c r="Q129" s="92" t="s">
        <v>8395</v>
      </c>
      <c r="R129" s="92" t="s">
        <v>8234</v>
      </c>
      <c r="S129" s="848"/>
      <c r="T129" s="816">
        <v>25000</v>
      </c>
      <c r="U129" s="816"/>
      <c r="V129" s="837"/>
      <c r="W129" s="838">
        <v>1</v>
      </c>
      <c r="X129" s="811" t="str">
        <f t="shared" si="12"/>
        <v>within the Brgy</v>
      </c>
      <c r="Y129" s="836"/>
      <c r="Z129" s="836"/>
      <c r="AA129" s="836"/>
      <c r="AB129" s="837"/>
      <c r="AC129" s="809"/>
      <c r="AD129" s="817" t="s">
        <v>8396</v>
      </c>
      <c r="AE129" s="93" t="s">
        <v>8394</v>
      </c>
      <c r="AF129" s="818"/>
      <c r="AG129" s="807" t="str">
        <f t="shared" si="10"/>
        <v/>
      </c>
      <c r="AH129" s="807"/>
      <c r="AI129" s="809"/>
      <c r="AJ129" s="809"/>
      <c r="AK129" s="92"/>
      <c r="AL129" s="819"/>
      <c r="AM129" s="836"/>
      <c r="AN129" s="813"/>
      <c r="AO129" s="817"/>
      <c r="AP129" s="820"/>
      <c r="AQ129" s="93"/>
      <c r="AR129" s="93"/>
      <c r="AS129" s="93"/>
      <c r="AT129" s="93"/>
      <c r="AU129" s="93"/>
      <c r="AV129" s="93"/>
      <c r="AW129" s="93"/>
      <c r="AX129" s="93"/>
      <c r="AY129" s="93"/>
      <c r="AZ129" s="93"/>
      <c r="BA129" s="93"/>
      <c r="BB129" s="93"/>
      <c r="BC129" s="93"/>
      <c r="BD129" s="93"/>
      <c r="BE129" s="93"/>
      <c r="BF129" s="93"/>
      <c r="BG129" s="93"/>
      <c r="BH129" s="93"/>
      <c r="BI129" s="93"/>
      <c r="BJ129" s="93"/>
      <c r="BK129" s="93"/>
      <c r="BL129" s="93"/>
      <c r="BM129" s="93"/>
      <c r="BN129" s="93"/>
      <c r="BT129" s="93"/>
      <c r="BU129" s="93"/>
      <c r="BV129" s="93"/>
      <c r="BW129" s="93"/>
      <c r="BX129" s="93"/>
      <c r="BY129" s="93"/>
      <c r="BZ129" s="93"/>
      <c r="CA129" s="93"/>
      <c r="CB129" s="93"/>
      <c r="CC129" s="93"/>
      <c r="CD129" s="93"/>
      <c r="CE129" s="93"/>
      <c r="CF129" s="93"/>
      <c r="CG129" s="93"/>
      <c r="CH129" s="93"/>
      <c r="CI129" s="93"/>
      <c r="CJ129" s="93"/>
      <c r="CK129" s="93"/>
      <c r="CL129" s="93"/>
      <c r="CM129" s="93"/>
      <c r="CN129" s="93"/>
      <c r="CO129" s="93"/>
      <c r="CP129" s="93"/>
      <c r="CQ129" s="93"/>
      <c r="CR129" s="93"/>
      <c r="CS129" s="93"/>
      <c r="CT129" s="93"/>
      <c r="CU129" s="93"/>
      <c r="CV129" s="93"/>
      <c r="CW129" s="93"/>
      <c r="CX129" s="93"/>
      <c r="CY129" s="93"/>
      <c r="CZ129" s="93"/>
      <c r="DA129" s="93"/>
      <c r="DB129" s="93"/>
      <c r="DC129" s="93"/>
      <c r="DD129" s="93"/>
      <c r="DE129" s="93"/>
      <c r="DF129" s="93"/>
      <c r="DG129" s="93"/>
      <c r="DH129" s="93"/>
      <c r="DI129" s="826"/>
      <c r="DJ129" s="825"/>
      <c r="DK129" s="825"/>
      <c r="DL129" s="825"/>
      <c r="DM129" s="825"/>
      <c r="GO129" s="92"/>
      <c r="GP129" s="831"/>
    </row>
    <row r="130" spans="1:200" ht="15">
      <c r="A130" s="1076"/>
      <c r="B130" s="6"/>
      <c r="C130" s="6"/>
      <c r="D130" s="1061"/>
      <c r="E130" s="807"/>
      <c r="F130" s="807"/>
      <c r="G130" s="827"/>
      <c r="H130" s="809" t="s">
        <v>8397</v>
      </c>
      <c r="I130" s="92">
        <v>29</v>
      </c>
      <c r="J130" s="92" t="s">
        <v>18</v>
      </c>
      <c r="K130" s="92" t="s">
        <v>768</v>
      </c>
      <c r="L130" s="810">
        <v>7</v>
      </c>
      <c r="M130" s="811" t="str">
        <f t="shared" si="11"/>
        <v>College Graduate or Higher</v>
      </c>
      <c r="N130" s="92" t="s">
        <v>1208</v>
      </c>
      <c r="O130" s="92" t="s">
        <v>8398</v>
      </c>
      <c r="P130" s="1638"/>
      <c r="Q130" s="92" t="s">
        <v>8398</v>
      </c>
      <c r="R130" s="92"/>
      <c r="S130" s="848">
        <v>8000</v>
      </c>
      <c r="T130" s="816"/>
      <c r="U130" s="816"/>
      <c r="V130" s="830"/>
      <c r="W130" s="815">
        <v>1</v>
      </c>
      <c r="X130" s="811" t="str">
        <f t="shared" si="12"/>
        <v>within the Brgy</v>
      </c>
      <c r="AB130" s="830"/>
      <c r="AC130" s="809" t="s">
        <v>8399</v>
      </c>
      <c r="AD130" s="824"/>
      <c r="AG130" s="807" t="str">
        <f t="shared" si="10"/>
        <v/>
      </c>
      <c r="AH130" s="807"/>
      <c r="AI130" s="809"/>
      <c r="AJ130" s="809"/>
      <c r="AK130" s="92"/>
      <c r="AL130" s="819"/>
      <c r="AM130" s="836"/>
      <c r="AQ130" s="93"/>
      <c r="AR130" s="93"/>
      <c r="AS130" s="93"/>
      <c r="AT130" s="93"/>
      <c r="AU130" s="93"/>
      <c r="AV130" s="93"/>
      <c r="AW130" s="93"/>
      <c r="AX130" s="93"/>
      <c r="AY130" s="93"/>
      <c r="AZ130" s="93"/>
      <c r="BA130" s="93"/>
      <c r="BB130" s="93"/>
      <c r="BL130" s="93"/>
      <c r="BM130" s="93"/>
      <c r="BT130" s="93"/>
      <c r="BU130" s="93"/>
      <c r="BV130" s="93"/>
      <c r="BW130" s="93"/>
      <c r="BX130" s="93"/>
      <c r="BY130" s="93"/>
      <c r="BZ130" s="93"/>
      <c r="CA130" s="93"/>
      <c r="CB130" s="93"/>
      <c r="CC130" s="93"/>
      <c r="CF130" s="93"/>
      <c r="CG130" s="93"/>
      <c r="CH130" s="93"/>
      <c r="CI130" s="93"/>
      <c r="CJ130" s="93"/>
      <c r="CK130" s="93"/>
      <c r="CL130" s="93"/>
      <c r="CM130" s="93"/>
      <c r="CN130" s="93"/>
      <c r="CO130" s="93"/>
      <c r="CP130" s="93"/>
      <c r="CQ130" s="93"/>
      <c r="CR130" s="93"/>
      <c r="CS130" s="93"/>
      <c r="CT130" s="93"/>
      <c r="CU130" s="93"/>
      <c r="CV130" s="93"/>
      <c r="CW130" s="93"/>
      <c r="CX130" s="93"/>
      <c r="CY130" s="93"/>
      <c r="CZ130" s="93"/>
      <c r="DA130" s="93"/>
      <c r="DB130" s="93"/>
      <c r="DC130" s="93"/>
      <c r="DD130" s="93"/>
      <c r="DE130" s="93"/>
      <c r="DF130" s="93"/>
      <c r="DG130" s="93"/>
      <c r="DH130" s="93"/>
      <c r="DI130" s="93"/>
      <c r="DJ130" s="93"/>
      <c r="DK130" s="93"/>
      <c r="DL130" s="93"/>
      <c r="DM130" s="93"/>
      <c r="DN130" s="93"/>
      <c r="DO130" s="93"/>
    </row>
    <row r="131" spans="1:200" s="806" customFormat="1" ht="15">
      <c r="A131" s="1076"/>
      <c r="B131" s="6"/>
      <c r="C131" s="6"/>
      <c r="D131" s="1061"/>
      <c r="G131" s="827"/>
      <c r="H131" s="809" t="s">
        <v>8400</v>
      </c>
      <c r="I131" s="92">
        <v>24</v>
      </c>
      <c r="J131" s="92" t="s">
        <v>18</v>
      </c>
      <c r="K131" s="92" t="s">
        <v>768</v>
      </c>
      <c r="L131" s="810">
        <v>6</v>
      </c>
      <c r="M131" s="811" t="str">
        <f t="shared" si="11"/>
        <v>College Level</v>
      </c>
      <c r="N131" s="92"/>
      <c r="O131" s="92"/>
      <c r="P131" s="1638"/>
      <c r="Q131" s="92"/>
      <c r="R131" s="92"/>
      <c r="S131" s="848"/>
      <c r="T131" s="816"/>
      <c r="U131" s="816"/>
      <c r="V131" s="830"/>
      <c r="W131" s="815"/>
      <c r="X131" s="811" t="str">
        <f t="shared" si="12"/>
        <v/>
      </c>
      <c r="Y131" s="816"/>
      <c r="Z131" s="816"/>
      <c r="AA131" s="816"/>
      <c r="AB131" s="830"/>
      <c r="AC131" s="809"/>
      <c r="AD131" s="824"/>
      <c r="AE131" s="93"/>
      <c r="AF131" s="818"/>
      <c r="AG131" s="807" t="str">
        <f t="shared" si="10"/>
        <v/>
      </c>
      <c r="AH131" s="807"/>
      <c r="AI131" s="809"/>
      <c r="AJ131" s="809"/>
      <c r="AK131" s="92"/>
      <c r="AL131" s="819"/>
      <c r="AM131" s="836"/>
      <c r="AN131" s="813"/>
      <c r="AO131" s="817"/>
      <c r="AP131" s="820"/>
      <c r="AQ131" s="93"/>
      <c r="AR131" s="93"/>
      <c r="AS131" s="93"/>
      <c r="AT131" s="93"/>
      <c r="AU131" s="93"/>
      <c r="AV131" s="93"/>
      <c r="AW131" s="93"/>
      <c r="AX131" s="93"/>
      <c r="AY131" s="93"/>
      <c r="AZ131" s="93"/>
      <c r="BA131" s="93"/>
      <c r="BB131" s="93"/>
      <c r="BC131" s="93"/>
      <c r="BD131" s="93"/>
      <c r="BE131" s="93"/>
      <c r="BF131" s="93"/>
      <c r="BG131" s="93"/>
      <c r="BH131" s="93"/>
      <c r="BI131" s="93"/>
      <c r="BJ131" s="93"/>
      <c r="BK131" s="93"/>
      <c r="BL131" s="93"/>
      <c r="BM131" s="93"/>
      <c r="BN131" s="93"/>
      <c r="BT131" s="93"/>
      <c r="BU131" s="93"/>
      <c r="BV131" s="93"/>
      <c r="BW131" s="93"/>
      <c r="BX131" s="93"/>
      <c r="BY131" s="93"/>
      <c r="BZ131" s="93"/>
      <c r="CA131" s="93"/>
      <c r="CB131" s="93"/>
      <c r="CC131" s="93"/>
      <c r="CD131" s="93"/>
      <c r="CE131" s="93"/>
      <c r="CF131" s="93"/>
      <c r="CG131" s="93"/>
      <c r="CH131" s="93"/>
      <c r="CI131" s="93"/>
      <c r="CJ131" s="93"/>
      <c r="CK131" s="93"/>
      <c r="CL131" s="93"/>
      <c r="CM131" s="93"/>
      <c r="CN131" s="93"/>
      <c r="CO131" s="93"/>
      <c r="CP131" s="93"/>
      <c r="CQ131" s="93"/>
      <c r="CR131" s="93"/>
      <c r="CS131" s="93"/>
      <c r="CT131" s="93"/>
      <c r="CU131" s="93"/>
      <c r="CV131" s="93"/>
      <c r="CW131" s="93"/>
      <c r="CX131" s="93"/>
      <c r="CY131" s="93"/>
      <c r="CZ131" s="93"/>
      <c r="DA131" s="93"/>
      <c r="DB131" s="93"/>
      <c r="DC131" s="93"/>
      <c r="DD131" s="93"/>
      <c r="DE131" s="93"/>
      <c r="DF131" s="93"/>
      <c r="DG131" s="93"/>
      <c r="DH131" s="93"/>
      <c r="DI131" s="826"/>
      <c r="DJ131" s="825"/>
      <c r="DK131" s="825"/>
      <c r="DL131" s="825"/>
      <c r="DM131" s="825"/>
      <c r="GO131" s="92"/>
      <c r="GP131" s="831"/>
    </row>
    <row r="132" spans="1:200" s="806" customFormat="1" ht="15">
      <c r="A132" s="1076"/>
      <c r="B132" s="6"/>
      <c r="C132" s="6"/>
      <c r="D132" s="1061"/>
      <c r="G132" s="827"/>
      <c r="H132" s="809" t="s">
        <v>8401</v>
      </c>
      <c r="I132" s="92">
        <v>16</v>
      </c>
      <c r="J132" s="92" t="s">
        <v>10</v>
      </c>
      <c r="K132" s="92" t="s">
        <v>768</v>
      </c>
      <c r="L132" s="810">
        <v>11</v>
      </c>
      <c r="M132" s="811" t="str">
        <f t="shared" si="11"/>
        <v>Junior/Senior High School</v>
      </c>
      <c r="N132" s="92"/>
      <c r="O132" s="92"/>
      <c r="P132" s="1638"/>
      <c r="Q132" s="92"/>
      <c r="R132" s="92"/>
      <c r="S132" s="848"/>
      <c r="T132" s="816"/>
      <c r="U132" s="816"/>
      <c r="V132" s="830"/>
      <c r="W132" s="815"/>
      <c r="X132" s="811" t="str">
        <f t="shared" si="12"/>
        <v/>
      </c>
      <c r="Y132" s="816"/>
      <c r="Z132" s="816"/>
      <c r="AA132" s="816"/>
      <c r="AB132" s="830"/>
      <c r="AC132" s="809"/>
      <c r="AD132" s="824"/>
      <c r="AE132" s="93"/>
      <c r="AF132" s="818"/>
      <c r="AG132" s="807" t="str">
        <f t="shared" si="10"/>
        <v/>
      </c>
      <c r="AH132" s="807"/>
      <c r="AI132" s="809"/>
      <c r="AJ132" s="809"/>
      <c r="AK132" s="92"/>
      <c r="AL132" s="819"/>
      <c r="AM132" s="836"/>
      <c r="AN132" s="813"/>
      <c r="AO132" s="817"/>
      <c r="AP132" s="820"/>
      <c r="AQ132" s="93"/>
      <c r="AR132" s="93"/>
      <c r="AS132" s="93"/>
      <c r="AT132" s="93"/>
      <c r="AU132" s="93"/>
      <c r="AV132" s="93"/>
      <c r="AW132" s="93"/>
      <c r="AX132" s="93"/>
      <c r="AY132" s="93"/>
      <c r="AZ132" s="93"/>
      <c r="BA132" s="93"/>
      <c r="BB132" s="93"/>
      <c r="BC132" s="93"/>
      <c r="BD132" s="93"/>
      <c r="BE132" s="93"/>
      <c r="BF132" s="93"/>
      <c r="BG132" s="93"/>
      <c r="BH132" s="93"/>
      <c r="BI132" s="93"/>
      <c r="BJ132" s="93"/>
      <c r="BK132" s="93"/>
      <c r="BL132" s="93"/>
      <c r="BM132" s="93"/>
      <c r="BN132" s="93"/>
      <c r="BT132" s="93"/>
      <c r="BU132" s="93"/>
      <c r="BV132" s="93"/>
      <c r="BW132" s="93"/>
      <c r="BX132" s="93"/>
      <c r="BY132" s="93"/>
      <c r="BZ132" s="93"/>
      <c r="CA132" s="93"/>
      <c r="CB132" s="93"/>
      <c r="CC132" s="93"/>
      <c r="CD132" s="93"/>
      <c r="CE132" s="93"/>
      <c r="CF132" s="93"/>
      <c r="CG132" s="93"/>
      <c r="CH132" s="93"/>
      <c r="CI132" s="93"/>
      <c r="CJ132" s="93"/>
      <c r="CK132" s="93"/>
      <c r="CL132" s="93"/>
      <c r="CM132" s="93"/>
      <c r="CN132" s="93"/>
      <c r="CO132" s="93"/>
      <c r="CP132" s="93"/>
      <c r="CQ132" s="93"/>
      <c r="CR132" s="93"/>
      <c r="CS132" s="93"/>
      <c r="CT132" s="93"/>
      <c r="CU132" s="93"/>
      <c r="CV132" s="93"/>
      <c r="CW132" s="93"/>
      <c r="CX132" s="93"/>
      <c r="CY132" s="93"/>
      <c r="CZ132" s="93"/>
      <c r="DA132" s="93"/>
      <c r="DB132" s="93"/>
      <c r="DC132" s="93"/>
      <c r="DD132" s="93"/>
      <c r="DE132" s="93"/>
      <c r="DF132" s="93"/>
      <c r="DG132" s="93"/>
      <c r="DH132" s="93"/>
      <c r="DI132" s="826"/>
      <c r="DJ132" s="825"/>
      <c r="DK132" s="825"/>
      <c r="DL132" s="825"/>
      <c r="DM132" s="825"/>
      <c r="GO132" s="92"/>
      <c r="GP132" s="831"/>
      <c r="GQ132" s="806">
        <v>11</v>
      </c>
      <c r="GR132" s="806" t="s">
        <v>8402</v>
      </c>
    </row>
    <row r="133" spans="1:200" s="806" customFormat="1" ht="15">
      <c r="A133" s="1076"/>
      <c r="B133" s="6"/>
      <c r="C133" s="6"/>
      <c r="D133" s="1061"/>
      <c r="G133" s="827"/>
      <c r="H133" s="809" t="s">
        <v>8403</v>
      </c>
      <c r="I133" s="92">
        <v>8</v>
      </c>
      <c r="J133" s="92" t="s">
        <v>10</v>
      </c>
      <c r="K133" s="92" t="s">
        <v>768</v>
      </c>
      <c r="L133" s="810">
        <v>2</v>
      </c>
      <c r="M133" s="811" t="str">
        <f t="shared" si="11"/>
        <v>Elementary Level</v>
      </c>
      <c r="N133" s="92"/>
      <c r="O133" s="92"/>
      <c r="P133" s="1638"/>
      <c r="Q133" s="92"/>
      <c r="R133" s="92"/>
      <c r="S133" s="848"/>
      <c r="T133" s="816"/>
      <c r="U133" s="816"/>
      <c r="V133" s="830"/>
      <c r="W133" s="815"/>
      <c r="X133" s="811" t="str">
        <f t="shared" si="12"/>
        <v/>
      </c>
      <c r="Y133" s="816"/>
      <c r="Z133" s="816"/>
      <c r="AA133" s="816"/>
      <c r="AB133" s="830"/>
      <c r="AC133" s="809"/>
      <c r="AD133" s="824"/>
      <c r="AE133" s="93"/>
      <c r="AF133" s="818"/>
      <c r="AG133" s="807" t="str">
        <f t="shared" si="10"/>
        <v/>
      </c>
      <c r="AH133" s="807"/>
      <c r="AI133" s="809"/>
      <c r="AJ133" s="809"/>
      <c r="AK133" s="92"/>
      <c r="AL133" s="819"/>
      <c r="AM133" s="836"/>
      <c r="AN133" s="813"/>
      <c r="AO133" s="817"/>
      <c r="AP133" s="820"/>
      <c r="AQ133" s="93"/>
      <c r="AR133" s="93"/>
      <c r="AS133" s="93"/>
      <c r="AT133" s="93"/>
      <c r="AU133" s="93"/>
      <c r="AV133" s="93"/>
      <c r="AW133" s="93"/>
      <c r="AX133" s="93"/>
      <c r="AY133" s="93"/>
      <c r="AZ133" s="93"/>
      <c r="BA133" s="93"/>
      <c r="BB133" s="93"/>
      <c r="BC133" s="93"/>
      <c r="BD133" s="93"/>
      <c r="BE133" s="93"/>
      <c r="BF133" s="93"/>
      <c r="BG133" s="93"/>
      <c r="BH133" s="93"/>
      <c r="BI133" s="93"/>
      <c r="BJ133" s="93"/>
      <c r="BK133" s="93"/>
      <c r="BL133" s="93"/>
      <c r="BM133" s="93"/>
      <c r="BN133" s="93"/>
      <c r="BT133" s="93"/>
      <c r="BU133" s="93"/>
      <c r="BV133" s="93"/>
      <c r="BW133" s="93"/>
      <c r="BX133" s="93"/>
      <c r="BY133" s="93"/>
      <c r="BZ133" s="93"/>
      <c r="CA133" s="93"/>
      <c r="CB133" s="93"/>
      <c r="CC133" s="93"/>
      <c r="CD133" s="93"/>
      <c r="CE133" s="93"/>
      <c r="CF133" s="93"/>
      <c r="CG133" s="93"/>
      <c r="CH133" s="93"/>
      <c r="CI133" s="93"/>
      <c r="CJ133" s="93"/>
      <c r="CK133" s="93"/>
      <c r="CL133" s="93"/>
      <c r="CM133" s="93"/>
      <c r="CN133" s="93"/>
      <c r="CO133" s="93"/>
      <c r="CP133" s="93"/>
      <c r="CQ133" s="93"/>
      <c r="CR133" s="93"/>
      <c r="CS133" s="93"/>
      <c r="CT133" s="93"/>
      <c r="CU133" s="93"/>
      <c r="CV133" s="93"/>
      <c r="CW133" s="93"/>
      <c r="CX133" s="93"/>
      <c r="CY133" s="93"/>
      <c r="CZ133" s="93"/>
      <c r="DA133" s="93"/>
      <c r="DB133" s="93"/>
      <c r="DC133" s="93"/>
      <c r="DD133" s="93"/>
      <c r="DE133" s="93"/>
      <c r="DF133" s="93"/>
      <c r="DG133" s="93"/>
      <c r="DH133" s="93"/>
      <c r="DI133" s="826"/>
      <c r="DJ133" s="825"/>
      <c r="DK133" s="825"/>
      <c r="DL133" s="825"/>
      <c r="DM133" s="825"/>
      <c r="GO133" s="92"/>
      <c r="GP133" s="831"/>
    </row>
    <row r="134" spans="1:200" s="806" customFormat="1" ht="15">
      <c r="A134" s="1076"/>
      <c r="B134" s="6"/>
      <c r="C134" s="6"/>
      <c r="D134" s="1061"/>
      <c r="G134" s="827"/>
      <c r="H134" s="809" t="s">
        <v>8404</v>
      </c>
      <c r="I134" s="92">
        <v>12</v>
      </c>
      <c r="J134" s="92" t="s">
        <v>10</v>
      </c>
      <c r="K134" s="92" t="s">
        <v>768</v>
      </c>
      <c r="L134" s="810">
        <v>2</v>
      </c>
      <c r="M134" s="811" t="str">
        <f t="shared" si="11"/>
        <v>Elementary Level</v>
      </c>
      <c r="N134" s="92"/>
      <c r="O134" s="92"/>
      <c r="P134" s="1638"/>
      <c r="Q134" s="92"/>
      <c r="R134" s="92"/>
      <c r="S134" s="848"/>
      <c r="T134" s="816"/>
      <c r="U134" s="816"/>
      <c r="V134" s="830">
        <f>SUM(S129:U134)</f>
        <v>33000</v>
      </c>
      <c r="W134" s="815"/>
      <c r="X134" s="811" t="str">
        <f t="shared" si="12"/>
        <v/>
      </c>
      <c r="Y134" s="816"/>
      <c r="Z134" s="816"/>
      <c r="AA134" s="816"/>
      <c r="AB134" s="830">
        <f>SUM(Y129:AA134)</f>
        <v>0</v>
      </c>
      <c r="AC134" s="809"/>
      <c r="AD134" s="824"/>
      <c r="AE134" s="93"/>
      <c r="AF134" s="818"/>
      <c r="AG134" s="807" t="str">
        <f t="shared" si="10"/>
        <v/>
      </c>
      <c r="AH134" s="807"/>
      <c r="AI134" s="809"/>
      <c r="AJ134" s="809"/>
      <c r="AK134" s="92"/>
      <c r="AL134" s="819"/>
      <c r="AM134" s="836"/>
      <c r="AN134" s="813"/>
      <c r="AO134" s="817"/>
      <c r="AP134" s="820"/>
      <c r="AQ134" s="93"/>
      <c r="AR134" s="93"/>
      <c r="AS134" s="93"/>
      <c r="AT134" s="93"/>
      <c r="AU134" s="93"/>
      <c r="AV134" s="93"/>
      <c r="AW134" s="93"/>
      <c r="AX134" s="93"/>
      <c r="AY134" s="93"/>
      <c r="AZ134" s="93"/>
      <c r="BA134" s="93"/>
      <c r="BB134" s="93"/>
      <c r="BC134" s="93"/>
      <c r="BD134" s="93"/>
      <c r="BE134" s="93"/>
      <c r="BF134" s="93"/>
      <c r="BG134" s="93"/>
      <c r="BH134" s="93"/>
      <c r="BI134" s="93"/>
      <c r="BJ134" s="93"/>
      <c r="BK134" s="93"/>
      <c r="BL134" s="93"/>
      <c r="BM134" s="93"/>
      <c r="BN134" s="93"/>
      <c r="BT134" s="93"/>
      <c r="BU134" s="93"/>
      <c r="BV134" s="93"/>
      <c r="BW134" s="93"/>
      <c r="BX134" s="93"/>
      <c r="BY134" s="93"/>
      <c r="BZ134" s="93"/>
      <c r="CA134" s="93"/>
      <c r="CB134" s="93"/>
      <c r="CC134" s="93"/>
      <c r="CD134" s="93"/>
      <c r="CE134" s="93"/>
      <c r="CF134" s="93"/>
      <c r="CG134" s="93"/>
      <c r="CH134" s="93"/>
      <c r="CI134" s="93"/>
      <c r="CJ134" s="93"/>
      <c r="CK134" s="93"/>
      <c r="CL134" s="93"/>
      <c r="CM134" s="93"/>
      <c r="CN134" s="93"/>
      <c r="CO134" s="93"/>
      <c r="CP134" s="93"/>
      <c r="CQ134" s="93"/>
      <c r="CR134" s="93"/>
      <c r="CS134" s="93"/>
      <c r="CT134" s="93"/>
      <c r="CU134" s="93"/>
      <c r="CV134" s="93"/>
      <c r="CW134" s="93"/>
      <c r="CX134" s="93"/>
      <c r="CY134" s="93"/>
      <c r="CZ134" s="93"/>
      <c r="DA134" s="93"/>
      <c r="DB134" s="93"/>
      <c r="DC134" s="93"/>
      <c r="DD134" s="93"/>
      <c r="DE134" s="93"/>
      <c r="DF134" s="93"/>
      <c r="DG134" s="93"/>
      <c r="DH134" s="93"/>
      <c r="DI134" s="826"/>
      <c r="DJ134" s="825"/>
      <c r="DK134" s="825"/>
      <c r="DL134" s="825"/>
      <c r="DM134" s="825"/>
      <c r="GO134" s="92"/>
      <c r="GP134" s="831"/>
    </row>
    <row r="135" spans="1:200" s="806" customFormat="1" ht="15">
      <c r="D135" s="1062" t="s">
        <v>133</v>
      </c>
      <c r="G135" s="809" t="s">
        <v>133</v>
      </c>
      <c r="H135" s="809"/>
      <c r="I135" s="92"/>
      <c r="J135" s="92"/>
      <c r="K135" s="92"/>
      <c r="L135" s="810"/>
      <c r="M135" s="811"/>
      <c r="N135" s="92"/>
      <c r="O135" s="92"/>
      <c r="P135" s="1638"/>
      <c r="Q135" s="92"/>
      <c r="R135" s="92"/>
      <c r="S135" s="848"/>
      <c r="T135" s="816"/>
      <c r="U135" s="816"/>
      <c r="V135" s="873"/>
      <c r="W135" s="815"/>
      <c r="X135" s="811"/>
      <c r="Y135" s="816"/>
      <c r="Z135" s="816"/>
      <c r="AA135" s="816"/>
      <c r="AB135" s="873"/>
      <c r="AC135" s="809"/>
      <c r="AD135" s="824"/>
      <c r="AE135" s="93"/>
      <c r="AF135" s="818"/>
      <c r="AG135" s="807" t="str">
        <f t="shared" si="10"/>
        <v/>
      </c>
      <c r="AH135" s="93" t="s">
        <v>1610</v>
      </c>
      <c r="AI135" s="809"/>
      <c r="AJ135" s="809"/>
      <c r="AK135" s="92"/>
      <c r="AL135" s="819"/>
      <c r="AM135" s="836"/>
      <c r="AN135" s="813"/>
      <c r="AO135" s="817"/>
      <c r="AP135" s="820"/>
      <c r="AQ135" s="93"/>
      <c r="AR135" s="93"/>
      <c r="AS135" s="93"/>
      <c r="AT135" s="93"/>
      <c r="AU135" s="93"/>
      <c r="AV135" s="93"/>
      <c r="AW135" s="93"/>
      <c r="AX135" s="93"/>
      <c r="AY135" s="93"/>
      <c r="AZ135" s="93"/>
      <c r="BA135" s="93"/>
      <c r="BB135" s="93"/>
      <c r="BC135" s="93"/>
      <c r="BD135" s="93"/>
      <c r="BE135" s="93"/>
      <c r="BF135" s="93"/>
      <c r="BG135" s="93"/>
      <c r="BH135" s="93"/>
      <c r="BI135" s="93"/>
      <c r="BJ135" s="93"/>
      <c r="BK135" s="93"/>
      <c r="BL135" s="93"/>
      <c r="BM135" s="93"/>
      <c r="BN135" s="93"/>
      <c r="BT135" s="93"/>
      <c r="BU135" s="93"/>
      <c r="BV135" s="93"/>
      <c r="BW135" s="93"/>
      <c r="BX135" s="93"/>
      <c r="BY135" s="93"/>
      <c r="BZ135" s="93"/>
      <c r="CA135" s="93"/>
      <c r="CB135" s="93"/>
      <c r="CC135" s="93"/>
      <c r="CD135" s="93"/>
      <c r="CE135" s="93"/>
      <c r="CF135" s="93"/>
      <c r="CG135" s="93"/>
      <c r="CH135" s="93"/>
      <c r="CI135" s="93"/>
      <c r="CJ135" s="93"/>
      <c r="CK135" s="93"/>
      <c r="CL135" s="93"/>
      <c r="CM135" s="93"/>
      <c r="CN135" s="93"/>
      <c r="CO135" s="93"/>
      <c r="CP135" s="93"/>
      <c r="CQ135" s="93"/>
      <c r="CR135" s="93"/>
      <c r="CS135" s="93"/>
      <c r="CT135" s="93"/>
      <c r="CU135" s="93"/>
      <c r="CV135" s="93"/>
      <c r="CW135" s="93"/>
      <c r="CX135" s="93"/>
      <c r="CY135" s="93"/>
      <c r="CZ135" s="93"/>
      <c r="DA135" s="93"/>
      <c r="DB135" s="93"/>
      <c r="DC135" s="93"/>
      <c r="DD135" s="93"/>
      <c r="DE135" s="93"/>
      <c r="DF135" s="93"/>
      <c r="DG135" s="93"/>
      <c r="DH135" s="93"/>
      <c r="DI135" s="826"/>
      <c r="DJ135" s="825"/>
      <c r="DK135" s="825"/>
      <c r="DL135" s="825"/>
      <c r="DM135" s="825"/>
      <c r="GO135" s="92"/>
      <c r="GP135" s="831"/>
    </row>
    <row r="136" spans="1:200" s="806" customFormat="1" ht="15">
      <c r="D136" s="1062"/>
      <c r="G136" s="827"/>
      <c r="H136" s="809"/>
      <c r="I136" s="92"/>
      <c r="J136" s="92"/>
      <c r="K136" s="92"/>
      <c r="L136" s="810"/>
      <c r="M136" s="811"/>
      <c r="N136" s="92"/>
      <c r="O136" s="92"/>
      <c r="P136" s="1638"/>
      <c r="Q136" s="92"/>
      <c r="R136" s="92"/>
      <c r="S136" s="848"/>
      <c r="T136" s="816"/>
      <c r="U136" s="816"/>
      <c r="V136" s="873"/>
      <c r="W136" s="815"/>
      <c r="X136" s="811"/>
      <c r="Y136" s="816"/>
      <c r="Z136" s="816"/>
      <c r="AA136" s="816"/>
      <c r="AB136" s="873"/>
      <c r="AC136" s="809"/>
      <c r="AD136" s="824"/>
      <c r="AE136" s="93"/>
      <c r="AF136" s="818"/>
      <c r="AG136" s="807" t="str">
        <f t="shared" si="10"/>
        <v/>
      </c>
      <c r="AH136" s="807" t="s">
        <v>8137</v>
      </c>
      <c r="AI136" s="26" t="s">
        <v>772</v>
      </c>
      <c r="AJ136" s="809"/>
      <c r="AK136" s="92"/>
      <c r="AL136" s="819"/>
      <c r="AM136" s="836"/>
      <c r="AN136" s="813"/>
      <c r="AO136" s="817"/>
      <c r="AP136" s="820"/>
      <c r="AQ136" s="93"/>
      <c r="AR136" s="93"/>
      <c r="AS136" s="93"/>
      <c r="AT136" s="93"/>
      <c r="AU136" s="93"/>
      <c r="AV136" s="93"/>
      <c r="AW136" s="93"/>
      <c r="AX136" s="93"/>
      <c r="AY136" s="93"/>
      <c r="AZ136" s="93"/>
      <c r="BA136" s="93"/>
      <c r="BB136" s="93"/>
      <c r="BC136" s="93"/>
      <c r="BD136" s="93"/>
      <c r="BE136" s="93"/>
      <c r="BF136" s="93"/>
      <c r="BG136" s="93"/>
      <c r="BH136" s="93"/>
      <c r="BI136" s="93"/>
      <c r="BJ136" s="93"/>
      <c r="BK136" s="93"/>
      <c r="BL136" s="93"/>
      <c r="BM136" s="93"/>
      <c r="BN136" s="93"/>
      <c r="BT136" s="93"/>
      <c r="BU136" s="93"/>
      <c r="BV136" s="93"/>
      <c r="BW136" s="93"/>
      <c r="BX136" s="93"/>
      <c r="BY136" s="93"/>
      <c r="BZ136" s="93"/>
      <c r="CA136" s="93"/>
      <c r="CB136" s="93"/>
      <c r="CC136" s="93"/>
      <c r="CD136" s="93"/>
      <c r="CE136" s="93"/>
      <c r="CF136" s="93"/>
      <c r="CG136" s="93"/>
      <c r="CH136" s="93"/>
      <c r="CI136" s="93"/>
      <c r="CJ136" s="93"/>
      <c r="CK136" s="93"/>
      <c r="CL136" s="93"/>
      <c r="CM136" s="93"/>
      <c r="CN136" s="93"/>
      <c r="CO136" s="93"/>
      <c r="CP136" s="93"/>
      <c r="CQ136" s="93"/>
      <c r="CR136" s="93"/>
      <c r="CS136" s="93"/>
      <c r="CT136" s="93"/>
      <c r="CU136" s="93"/>
      <c r="CV136" s="93"/>
      <c r="CW136" s="93"/>
      <c r="CX136" s="93"/>
      <c r="CY136" s="93"/>
      <c r="CZ136" s="93"/>
      <c r="DA136" s="93"/>
      <c r="DB136" s="93"/>
      <c r="DC136" s="93"/>
      <c r="DD136" s="93"/>
      <c r="DE136" s="93"/>
      <c r="DF136" s="93"/>
      <c r="DG136" s="93"/>
      <c r="DH136" s="93"/>
      <c r="DI136" s="826"/>
      <c r="DJ136" s="825"/>
      <c r="DK136" s="825"/>
      <c r="DL136" s="825"/>
      <c r="DM136" s="825"/>
      <c r="GO136" s="92"/>
      <c r="GP136" s="831"/>
    </row>
    <row r="137" spans="1:200" s="806" customFormat="1" ht="15">
      <c r="D137" s="1062"/>
      <c r="G137" s="827"/>
      <c r="H137" s="809"/>
      <c r="I137" s="92"/>
      <c r="J137" s="92"/>
      <c r="K137" s="92"/>
      <c r="L137" s="810"/>
      <c r="M137" s="811"/>
      <c r="N137" s="92"/>
      <c r="O137" s="92"/>
      <c r="P137" s="1638"/>
      <c r="Q137" s="92"/>
      <c r="R137" s="92"/>
      <c r="S137" s="848"/>
      <c r="T137" s="816"/>
      <c r="U137" s="816"/>
      <c r="V137" s="873"/>
      <c r="W137" s="815"/>
      <c r="X137" s="811"/>
      <c r="Y137" s="816"/>
      <c r="Z137" s="816"/>
      <c r="AA137" s="816"/>
      <c r="AB137" s="873"/>
      <c r="AC137" s="809"/>
      <c r="AD137" s="824"/>
      <c r="AE137" s="93"/>
      <c r="AF137" s="818"/>
      <c r="AG137" s="807" t="str">
        <f t="shared" si="10"/>
        <v/>
      </c>
      <c r="AH137" s="807" t="s">
        <v>8405</v>
      </c>
      <c r="AI137" s="809"/>
      <c r="AJ137" s="809"/>
      <c r="AK137" s="92"/>
      <c r="AL137" s="819"/>
      <c r="AM137" s="836"/>
      <c r="AN137" s="813"/>
      <c r="AO137" s="817"/>
      <c r="AP137" s="820"/>
      <c r="AQ137" s="93"/>
      <c r="AR137" s="93"/>
      <c r="AS137" s="93"/>
      <c r="AT137" s="93"/>
      <c r="AU137" s="93"/>
      <c r="AV137" s="93"/>
      <c r="AW137" s="93"/>
      <c r="AX137" s="93"/>
      <c r="AY137" s="93"/>
      <c r="AZ137" s="93"/>
      <c r="BA137" s="93"/>
      <c r="BB137" s="93"/>
      <c r="BC137" s="93"/>
      <c r="BD137" s="93"/>
      <c r="BE137" s="93"/>
      <c r="BF137" s="93"/>
      <c r="BG137" s="93"/>
      <c r="BH137" s="93"/>
      <c r="BI137" s="93"/>
      <c r="BJ137" s="93"/>
      <c r="BK137" s="93"/>
      <c r="BL137" s="93"/>
      <c r="BM137" s="93"/>
      <c r="BN137" s="93"/>
      <c r="BT137" s="93"/>
      <c r="BU137" s="93"/>
      <c r="BV137" s="93"/>
      <c r="BW137" s="93"/>
      <c r="BX137" s="93"/>
      <c r="BY137" s="93"/>
      <c r="BZ137" s="93"/>
      <c r="CA137" s="93"/>
      <c r="CB137" s="93"/>
      <c r="CC137" s="93"/>
      <c r="CD137" s="93"/>
      <c r="CE137" s="93"/>
      <c r="CF137" s="93"/>
      <c r="CG137" s="93"/>
      <c r="CH137" s="93"/>
      <c r="CI137" s="93"/>
      <c r="CJ137" s="93"/>
      <c r="CK137" s="93"/>
      <c r="CL137" s="93"/>
      <c r="CM137" s="93"/>
      <c r="CN137" s="93"/>
      <c r="CO137" s="93"/>
      <c r="CP137" s="93"/>
      <c r="CQ137" s="93"/>
      <c r="CR137" s="93"/>
      <c r="CS137" s="93"/>
      <c r="CT137" s="93"/>
      <c r="CU137" s="93"/>
      <c r="CV137" s="93"/>
      <c r="CW137" s="93"/>
      <c r="CX137" s="93"/>
      <c r="CY137" s="93"/>
      <c r="CZ137" s="93"/>
      <c r="DA137" s="93"/>
      <c r="DB137" s="93"/>
      <c r="DC137" s="93"/>
      <c r="DD137" s="93"/>
      <c r="DE137" s="93"/>
      <c r="DF137" s="93"/>
      <c r="DG137" s="93"/>
      <c r="DH137" s="93"/>
      <c r="DI137" s="826"/>
      <c r="DJ137" s="825"/>
      <c r="DK137" s="825"/>
      <c r="DL137" s="825"/>
      <c r="DM137" s="825"/>
      <c r="GO137" s="92"/>
      <c r="GP137" s="831"/>
    </row>
    <row r="138" spans="1:200" s="806" customFormat="1" ht="15">
      <c r="D138" s="1062"/>
      <c r="G138" s="827"/>
      <c r="H138" s="809"/>
      <c r="I138" s="92"/>
      <c r="J138" s="92"/>
      <c r="K138" s="92"/>
      <c r="L138" s="810"/>
      <c r="M138" s="811"/>
      <c r="N138" s="92"/>
      <c r="O138" s="92"/>
      <c r="P138" s="1638"/>
      <c r="Q138" s="92"/>
      <c r="R138" s="92"/>
      <c r="S138" s="848"/>
      <c r="T138" s="816"/>
      <c r="U138" s="816"/>
      <c r="V138" s="873"/>
      <c r="W138" s="815"/>
      <c r="X138" s="811"/>
      <c r="Y138" s="816"/>
      <c r="Z138" s="816"/>
      <c r="AA138" s="816"/>
      <c r="AB138" s="873"/>
      <c r="AC138" s="809"/>
      <c r="AD138" s="824"/>
      <c r="AE138" s="93"/>
      <c r="AF138" s="818"/>
      <c r="AG138" s="807" t="str">
        <f t="shared" si="10"/>
        <v/>
      </c>
      <c r="AH138" s="807" t="s">
        <v>1611</v>
      </c>
      <c r="AI138" s="809"/>
      <c r="AJ138" s="809"/>
      <c r="AK138" s="92"/>
      <c r="AL138" s="819"/>
      <c r="AM138" s="836"/>
      <c r="AN138" s="813"/>
      <c r="AO138" s="817"/>
      <c r="AP138" s="820"/>
      <c r="AQ138" s="93"/>
      <c r="AR138" s="93"/>
      <c r="AS138" s="93"/>
      <c r="AT138" s="93"/>
      <c r="AU138" s="93"/>
      <c r="AV138" s="93"/>
      <c r="AW138" s="93"/>
      <c r="AX138" s="93"/>
      <c r="AY138" s="93"/>
      <c r="AZ138" s="93"/>
      <c r="BA138" s="93"/>
      <c r="BB138" s="93"/>
      <c r="BC138" s="93"/>
      <c r="BD138" s="93"/>
      <c r="BE138" s="93"/>
      <c r="BF138" s="93"/>
      <c r="BG138" s="93"/>
      <c r="BH138" s="93"/>
      <c r="BI138" s="93"/>
      <c r="BJ138" s="93"/>
      <c r="BK138" s="93"/>
      <c r="BL138" s="93"/>
      <c r="BM138" s="93"/>
      <c r="BN138" s="93"/>
      <c r="BT138" s="93"/>
      <c r="BU138" s="93"/>
      <c r="BV138" s="93"/>
      <c r="BW138" s="93"/>
      <c r="BX138" s="93"/>
      <c r="BY138" s="93"/>
      <c r="BZ138" s="93"/>
      <c r="CA138" s="93"/>
      <c r="CB138" s="93"/>
      <c r="CC138" s="93"/>
      <c r="CD138" s="93"/>
      <c r="CE138" s="93"/>
      <c r="CF138" s="93"/>
      <c r="CG138" s="93"/>
      <c r="CH138" s="93"/>
      <c r="CI138" s="93"/>
      <c r="CJ138" s="93"/>
      <c r="CK138" s="93"/>
      <c r="CL138" s="93"/>
      <c r="CM138" s="93"/>
      <c r="CN138" s="93"/>
      <c r="CO138" s="93"/>
      <c r="CP138" s="93"/>
      <c r="CQ138" s="93"/>
      <c r="CR138" s="93"/>
      <c r="CS138" s="93"/>
      <c r="CT138" s="93"/>
      <c r="CU138" s="93"/>
      <c r="CV138" s="93"/>
      <c r="CW138" s="93"/>
      <c r="CX138" s="93"/>
      <c r="CY138" s="93"/>
      <c r="CZ138" s="93"/>
      <c r="DA138" s="93"/>
      <c r="DB138" s="93"/>
      <c r="DC138" s="93"/>
      <c r="DD138" s="93"/>
      <c r="DE138" s="93"/>
      <c r="DF138" s="93"/>
      <c r="DG138" s="93"/>
      <c r="DH138" s="93"/>
      <c r="DI138" s="826"/>
      <c r="DJ138" s="825"/>
      <c r="DK138" s="825"/>
      <c r="DL138" s="825"/>
      <c r="DM138" s="825"/>
      <c r="GO138" s="92"/>
      <c r="GP138" s="831"/>
    </row>
    <row r="139" spans="1:200" s="806" customFormat="1" ht="15">
      <c r="D139" s="1062" t="s">
        <v>133</v>
      </c>
      <c r="E139" s="1040" t="s">
        <v>133</v>
      </c>
      <c r="F139" s="1047" t="s">
        <v>1287</v>
      </c>
      <c r="G139" s="809" t="s">
        <v>133</v>
      </c>
      <c r="H139" s="809" t="s">
        <v>1287</v>
      </c>
      <c r="I139" s="92">
        <v>44</v>
      </c>
      <c r="J139" s="92" t="s">
        <v>10</v>
      </c>
      <c r="K139" s="92" t="s">
        <v>722</v>
      </c>
      <c r="L139" s="810">
        <v>4</v>
      </c>
      <c r="M139" s="811" t="str">
        <f t="shared" ref="M139:M202" si="13">IF(ISBLANK(L139)=TRUE,"",LOOKUP(L139,GQ:GR))</f>
        <v>High School Level</v>
      </c>
      <c r="N139" s="92" t="s">
        <v>1208</v>
      </c>
      <c r="O139" s="92" t="s">
        <v>8406</v>
      </c>
      <c r="P139" s="1638"/>
      <c r="Q139" s="92" t="s">
        <v>8406</v>
      </c>
      <c r="R139" s="92" t="s">
        <v>8234</v>
      </c>
      <c r="S139" s="848">
        <v>10000</v>
      </c>
      <c r="T139" s="813"/>
      <c r="U139" s="813"/>
      <c r="V139" s="864"/>
      <c r="W139" s="838">
        <v>3</v>
      </c>
      <c r="X139" s="811" t="str">
        <f t="shared" ref="X139:X170" si="14">IF(ISBLANK(W139)=TRUE,"",LOOKUP(W139,GO:GP))</f>
        <v>within the Province</v>
      </c>
      <c r="Y139" s="836">
        <v>1200</v>
      </c>
      <c r="Z139" s="836"/>
      <c r="AA139" s="836"/>
      <c r="AB139" s="864"/>
      <c r="AC139" s="809" t="s">
        <v>8407</v>
      </c>
      <c r="AD139" s="824"/>
      <c r="AE139" s="93"/>
      <c r="AF139" s="818"/>
      <c r="AG139" s="807" t="str">
        <f t="shared" si="10"/>
        <v/>
      </c>
      <c r="AH139" s="807"/>
      <c r="AI139" s="809"/>
      <c r="AJ139" s="809"/>
      <c r="AK139" s="92"/>
      <c r="AL139" s="819"/>
      <c r="AM139" s="836"/>
      <c r="AN139" s="813"/>
      <c r="AO139" s="817"/>
      <c r="AP139" s="820"/>
      <c r="AQ139" s="93"/>
      <c r="AR139" s="93"/>
      <c r="AS139" s="93"/>
      <c r="AT139" s="93"/>
      <c r="AU139" s="93"/>
      <c r="AV139" s="93"/>
      <c r="AW139" s="93"/>
      <c r="AX139" s="93"/>
      <c r="AY139" s="93"/>
      <c r="AZ139" s="93"/>
      <c r="BA139" s="93"/>
      <c r="BB139" s="93"/>
      <c r="BC139" s="93"/>
      <c r="BD139" s="93"/>
      <c r="BE139" s="93"/>
      <c r="BF139" s="93"/>
      <c r="BG139" s="93"/>
      <c r="BH139" s="93"/>
      <c r="BI139" s="93"/>
      <c r="BJ139" s="93"/>
      <c r="BK139" s="93"/>
      <c r="BL139" s="93"/>
      <c r="BM139" s="93"/>
      <c r="BN139" s="93"/>
      <c r="BT139" s="93"/>
      <c r="BU139" s="93"/>
      <c r="BV139" s="93"/>
      <c r="BW139" s="93"/>
      <c r="BX139" s="93"/>
      <c r="BY139" s="93"/>
      <c r="BZ139" s="93"/>
      <c r="CA139" s="93"/>
      <c r="CB139" s="93"/>
      <c r="CC139" s="93"/>
      <c r="CD139" s="93"/>
      <c r="CE139" s="93"/>
      <c r="CF139" s="93"/>
      <c r="CH139" s="93"/>
      <c r="CI139" s="93"/>
      <c r="CJ139" s="93"/>
      <c r="CK139" s="93"/>
      <c r="CL139" s="93"/>
      <c r="CM139" s="93"/>
      <c r="CN139" s="93"/>
      <c r="CO139" s="93"/>
      <c r="CP139" s="93"/>
      <c r="CQ139" s="93"/>
      <c r="CR139" s="93"/>
      <c r="CS139" s="93"/>
      <c r="CT139" s="93"/>
      <c r="CU139" s="93"/>
      <c r="CV139" s="93"/>
      <c r="CW139" s="93"/>
      <c r="CX139" s="93"/>
      <c r="CY139" s="93"/>
      <c r="CZ139" s="93"/>
      <c r="DA139" s="93"/>
      <c r="DB139" s="93"/>
      <c r="DC139" s="93"/>
      <c r="DD139" s="93"/>
      <c r="DE139" s="93"/>
      <c r="DF139" s="93"/>
      <c r="DG139" s="93"/>
      <c r="DH139" s="825"/>
      <c r="DI139" s="826"/>
      <c r="DJ139" s="825"/>
      <c r="GO139" s="92"/>
      <c r="GP139" s="831"/>
    </row>
    <row r="140" spans="1:200" s="806" customFormat="1" ht="15">
      <c r="D140" s="1062"/>
      <c r="E140" s="1040" t="s">
        <v>133</v>
      </c>
      <c r="G140" s="827"/>
      <c r="H140" s="809" t="s">
        <v>8408</v>
      </c>
      <c r="I140" s="92">
        <v>34</v>
      </c>
      <c r="J140" s="92" t="s">
        <v>18</v>
      </c>
      <c r="K140" s="92" t="s">
        <v>722</v>
      </c>
      <c r="L140" s="810">
        <v>3</v>
      </c>
      <c r="M140" s="811" t="str">
        <f t="shared" si="13"/>
        <v>Elementary Graduate</v>
      </c>
      <c r="N140" s="92"/>
      <c r="O140" s="92" t="s">
        <v>2213</v>
      </c>
      <c r="P140" s="1638"/>
      <c r="Q140" s="92" t="s">
        <v>2213</v>
      </c>
      <c r="R140" s="92"/>
      <c r="S140" s="848"/>
      <c r="T140" s="813"/>
      <c r="U140" s="813"/>
      <c r="V140" s="864"/>
      <c r="W140" s="838"/>
      <c r="X140" s="811" t="str">
        <f t="shared" si="14"/>
        <v/>
      </c>
      <c r="Y140" s="836"/>
      <c r="AA140" s="836"/>
      <c r="AB140" s="864"/>
      <c r="AC140" s="809"/>
      <c r="AD140" s="824"/>
      <c r="AE140" s="93"/>
      <c r="AF140" s="818"/>
      <c r="AG140" s="807" t="str">
        <f t="shared" si="10"/>
        <v/>
      </c>
      <c r="AH140" s="807"/>
      <c r="AI140" s="809"/>
      <c r="AJ140" s="809"/>
      <c r="AK140" s="92"/>
      <c r="AL140" s="819"/>
      <c r="AM140" s="836"/>
      <c r="AN140" s="813"/>
      <c r="AO140" s="817"/>
      <c r="AP140" s="820"/>
      <c r="AQ140" s="93"/>
      <c r="AR140" s="93"/>
      <c r="AS140" s="93"/>
      <c r="AT140" s="93"/>
      <c r="AU140" s="93"/>
      <c r="AV140" s="93"/>
      <c r="AW140" s="93"/>
      <c r="AX140" s="93"/>
      <c r="AY140" s="93"/>
      <c r="AZ140" s="93"/>
      <c r="BA140" s="93"/>
      <c r="BB140" s="93"/>
      <c r="BC140" s="93"/>
      <c r="BD140" s="93"/>
      <c r="BE140" s="93"/>
      <c r="BF140" s="93"/>
      <c r="BG140" s="93"/>
      <c r="BH140" s="93"/>
      <c r="BI140" s="93"/>
      <c r="BJ140" s="93"/>
      <c r="BK140" s="93"/>
      <c r="BL140" s="93"/>
      <c r="BM140" s="93"/>
      <c r="BN140" s="93"/>
      <c r="BT140" s="93"/>
      <c r="BU140" s="93"/>
      <c r="BV140" s="93"/>
      <c r="BW140" s="93"/>
      <c r="BX140" s="93"/>
      <c r="BY140" s="93"/>
      <c r="BZ140" s="93"/>
      <c r="CA140" s="93"/>
      <c r="CB140" s="93"/>
      <c r="CC140" s="93"/>
      <c r="CD140" s="93"/>
      <c r="CE140" s="93"/>
      <c r="CF140" s="93"/>
      <c r="CH140" s="93"/>
      <c r="CI140" s="93"/>
      <c r="CJ140" s="93"/>
      <c r="CK140" s="93"/>
      <c r="CL140" s="93"/>
      <c r="CM140" s="93"/>
      <c r="CN140" s="93"/>
      <c r="CO140" s="93"/>
      <c r="CP140" s="93"/>
      <c r="CQ140" s="93"/>
      <c r="CR140" s="93"/>
      <c r="CS140" s="93"/>
      <c r="CT140" s="93"/>
      <c r="CU140" s="93"/>
      <c r="CV140" s="93"/>
      <c r="CW140" s="93"/>
      <c r="CX140" s="93"/>
      <c r="CY140" s="93"/>
      <c r="CZ140" s="93"/>
      <c r="DA140" s="93"/>
      <c r="DB140" s="93"/>
      <c r="DC140" s="93"/>
      <c r="DD140" s="93"/>
      <c r="DE140" s="93"/>
      <c r="DF140" s="93"/>
      <c r="DG140" s="93"/>
      <c r="DH140" s="825"/>
      <c r="DI140" s="826"/>
      <c r="DJ140" s="825"/>
      <c r="GO140" s="92"/>
      <c r="GP140" s="831"/>
    </row>
    <row r="141" spans="1:200" s="806" customFormat="1" ht="15">
      <c r="A141" s="1076"/>
      <c r="B141" s="6"/>
      <c r="C141" s="6"/>
      <c r="D141" s="1062"/>
      <c r="E141" s="1040" t="s">
        <v>133</v>
      </c>
      <c r="G141" s="827"/>
      <c r="H141" s="809" t="s">
        <v>8409</v>
      </c>
      <c r="I141" s="92">
        <v>19</v>
      </c>
      <c r="J141" s="92" t="s">
        <v>10</v>
      </c>
      <c r="K141" s="92" t="s">
        <v>768</v>
      </c>
      <c r="L141" s="810">
        <v>11</v>
      </c>
      <c r="M141" s="811" t="str">
        <f t="shared" si="13"/>
        <v>Junior/Senior High School</v>
      </c>
      <c r="N141" s="92" t="s">
        <v>1208</v>
      </c>
      <c r="O141" s="92" t="s">
        <v>2198</v>
      </c>
      <c r="P141" s="1638"/>
      <c r="Q141" s="92" t="s">
        <v>2198</v>
      </c>
      <c r="R141" s="92"/>
      <c r="S141" s="848">
        <v>3400</v>
      </c>
      <c r="T141" s="813"/>
      <c r="U141" s="813"/>
      <c r="V141" s="864"/>
      <c r="W141" s="838">
        <v>3</v>
      </c>
      <c r="X141" s="811" t="str">
        <f t="shared" si="14"/>
        <v>within the Province</v>
      </c>
      <c r="Y141" s="836"/>
      <c r="AA141" s="836"/>
      <c r="AB141" s="864"/>
      <c r="AC141" s="809" t="s">
        <v>8407</v>
      </c>
      <c r="AD141" s="824"/>
      <c r="AE141" s="93"/>
      <c r="AF141" s="818"/>
      <c r="AG141" s="807" t="str">
        <f t="shared" si="10"/>
        <v/>
      </c>
      <c r="AH141" s="807"/>
      <c r="AI141" s="809"/>
      <c r="AJ141" s="809"/>
      <c r="AK141" s="92"/>
      <c r="AL141" s="819"/>
      <c r="AM141" s="836"/>
      <c r="AN141" s="813"/>
      <c r="AO141" s="817"/>
      <c r="AP141" s="820"/>
      <c r="AQ141" s="93"/>
      <c r="AR141" s="93"/>
      <c r="AS141" s="93"/>
      <c r="AT141" s="93"/>
      <c r="AU141" s="93"/>
      <c r="AV141" s="93"/>
      <c r="AW141" s="93"/>
      <c r="AX141" s="93"/>
      <c r="AY141" s="93"/>
      <c r="AZ141" s="93"/>
      <c r="BA141" s="93"/>
      <c r="BB141" s="93"/>
      <c r="BC141" s="93"/>
      <c r="BD141" s="93"/>
      <c r="BE141" s="93"/>
      <c r="BF141" s="93"/>
      <c r="BG141" s="93"/>
      <c r="BH141" s="93"/>
      <c r="BI141" s="93"/>
      <c r="BJ141" s="93"/>
      <c r="BK141" s="93"/>
      <c r="BL141" s="93"/>
      <c r="BM141" s="93"/>
      <c r="BN141" s="93"/>
      <c r="BT141" s="93"/>
      <c r="BU141" s="93"/>
      <c r="BV141" s="93"/>
      <c r="BW141" s="93"/>
      <c r="BX141" s="93"/>
      <c r="BY141" s="93"/>
      <c r="BZ141" s="93"/>
      <c r="CA141" s="93"/>
      <c r="CB141" s="93"/>
      <c r="CC141" s="93"/>
      <c r="CD141" s="93"/>
      <c r="CE141" s="93"/>
      <c r="CF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825"/>
      <c r="DI141" s="826"/>
      <c r="DJ141" s="825"/>
      <c r="GO141" s="92"/>
      <c r="GP141" s="831"/>
    </row>
    <row r="142" spans="1:200" s="806" customFormat="1" ht="15">
      <c r="A142" s="1076"/>
      <c r="B142" s="6"/>
      <c r="C142" s="6"/>
      <c r="D142" s="1062"/>
      <c r="E142" s="1040" t="s">
        <v>133</v>
      </c>
      <c r="F142" s="807"/>
      <c r="G142" s="827"/>
      <c r="H142" s="809" t="s">
        <v>8410</v>
      </c>
      <c r="I142" s="92">
        <v>17</v>
      </c>
      <c r="J142" s="92" t="s">
        <v>10</v>
      </c>
      <c r="K142" s="92" t="s">
        <v>768</v>
      </c>
      <c r="L142" s="810">
        <v>11</v>
      </c>
      <c r="M142" s="811" t="str">
        <f t="shared" si="13"/>
        <v>Junior/Senior High School</v>
      </c>
      <c r="N142" s="92"/>
      <c r="O142" s="92" t="s">
        <v>2213</v>
      </c>
      <c r="P142" s="1638"/>
      <c r="Q142" s="92" t="s">
        <v>2213</v>
      </c>
      <c r="R142" s="92"/>
      <c r="S142" s="848"/>
      <c r="T142" s="813"/>
      <c r="U142" s="813"/>
      <c r="V142" s="864"/>
      <c r="W142" s="838"/>
      <c r="X142" s="811" t="str">
        <f t="shared" si="14"/>
        <v/>
      </c>
      <c r="Y142" s="836"/>
      <c r="AA142" s="836"/>
      <c r="AB142" s="864"/>
      <c r="AC142" s="809"/>
      <c r="AD142" s="824"/>
      <c r="AE142" s="93"/>
      <c r="AF142" s="818"/>
      <c r="AG142" s="807" t="str">
        <f t="shared" si="10"/>
        <v/>
      </c>
      <c r="AH142" s="807"/>
      <c r="AI142" s="809"/>
      <c r="AJ142" s="809"/>
      <c r="AK142" s="92"/>
      <c r="AL142" s="819"/>
      <c r="AM142" s="836"/>
      <c r="AN142" s="813"/>
      <c r="AO142" s="817"/>
      <c r="AP142" s="820"/>
      <c r="AQ142" s="93"/>
      <c r="AR142" s="93"/>
      <c r="AS142" s="93"/>
      <c r="AT142" s="93"/>
      <c r="AU142" s="93"/>
      <c r="AV142" s="93"/>
      <c r="AW142" s="93"/>
      <c r="AX142" s="93"/>
      <c r="AY142" s="93"/>
      <c r="AZ142" s="93"/>
      <c r="BA142" s="93"/>
      <c r="BB142" s="93"/>
      <c r="BC142" s="93"/>
      <c r="BD142" s="93"/>
      <c r="BE142" s="93"/>
      <c r="BF142" s="93"/>
      <c r="BG142" s="93"/>
      <c r="BH142" s="93"/>
      <c r="BI142" s="93"/>
      <c r="BJ142" s="93"/>
      <c r="BK142" s="93"/>
      <c r="BL142" s="93"/>
      <c r="BM142" s="93"/>
      <c r="BN142" s="93"/>
      <c r="BT142" s="93"/>
      <c r="BU142" s="93"/>
      <c r="BV142" s="93"/>
      <c r="BW142" s="93"/>
      <c r="BX142" s="93"/>
      <c r="BY142" s="93"/>
      <c r="BZ142" s="93"/>
      <c r="CA142" s="93"/>
      <c r="CB142" s="93"/>
      <c r="CC142" s="93"/>
      <c r="CD142" s="93"/>
      <c r="CE142" s="93"/>
      <c r="CF142" s="93"/>
      <c r="CH142" s="93"/>
      <c r="CI142" s="93"/>
      <c r="CJ142" s="93"/>
      <c r="CK142" s="93"/>
      <c r="CL142" s="93"/>
      <c r="CM142" s="93"/>
      <c r="CN142" s="93"/>
      <c r="CO142" s="93"/>
      <c r="CP142" s="93"/>
      <c r="CQ142" s="93"/>
      <c r="CR142" s="93"/>
      <c r="CS142" s="93"/>
      <c r="CT142" s="93"/>
      <c r="CU142" s="93"/>
      <c r="CV142" s="93"/>
      <c r="CW142" s="93"/>
      <c r="CX142" s="93"/>
      <c r="CY142" s="93"/>
      <c r="CZ142" s="93"/>
      <c r="DA142" s="93"/>
      <c r="DB142" s="93"/>
      <c r="DC142" s="93"/>
      <c r="DD142" s="93"/>
      <c r="DE142" s="93"/>
      <c r="DF142" s="93"/>
      <c r="DG142" s="93"/>
      <c r="DH142" s="825"/>
      <c r="DI142" s="826"/>
      <c r="DJ142" s="825"/>
      <c r="GO142" s="92"/>
      <c r="GP142" s="831"/>
    </row>
    <row r="143" spans="1:200" s="806" customFormat="1" ht="15">
      <c r="A143" s="1076"/>
      <c r="B143" s="6"/>
      <c r="C143" s="6"/>
      <c r="D143" s="1062"/>
      <c r="E143" s="1040" t="s">
        <v>133</v>
      </c>
      <c r="G143" s="827"/>
      <c r="H143" s="809" t="s">
        <v>8411</v>
      </c>
      <c r="I143" s="92">
        <v>14</v>
      </c>
      <c r="J143" s="92" t="s">
        <v>18</v>
      </c>
      <c r="K143" s="92" t="s">
        <v>768</v>
      </c>
      <c r="L143" s="810">
        <v>11</v>
      </c>
      <c r="M143" s="811" t="str">
        <f t="shared" si="13"/>
        <v>Junior/Senior High School</v>
      </c>
      <c r="N143" s="92"/>
      <c r="O143" s="92"/>
      <c r="P143" s="1638"/>
      <c r="Q143" s="92"/>
      <c r="R143" s="92"/>
      <c r="S143" s="848"/>
      <c r="T143" s="813"/>
      <c r="U143" s="813"/>
      <c r="V143" s="864"/>
      <c r="W143" s="838"/>
      <c r="X143" s="811" t="str">
        <f t="shared" si="14"/>
        <v/>
      </c>
      <c r="Y143" s="836"/>
      <c r="AA143" s="836"/>
      <c r="AB143" s="864"/>
      <c r="AC143" s="809"/>
      <c r="AD143" s="824"/>
      <c r="AE143" s="93"/>
      <c r="AF143" s="818"/>
      <c r="AG143" s="807" t="str">
        <f t="shared" si="10"/>
        <v/>
      </c>
      <c r="AH143" s="807"/>
      <c r="AI143" s="809"/>
      <c r="AJ143" s="809"/>
      <c r="AK143" s="92"/>
      <c r="AL143" s="819"/>
      <c r="AM143" s="836"/>
      <c r="AN143" s="813"/>
      <c r="AO143" s="817"/>
      <c r="AP143" s="820"/>
      <c r="AQ143" s="93"/>
      <c r="AR143" s="93"/>
      <c r="AS143" s="93"/>
      <c r="AT143" s="93"/>
      <c r="AU143" s="93"/>
      <c r="AV143" s="93"/>
      <c r="AW143" s="93"/>
      <c r="AX143" s="93"/>
      <c r="AY143" s="93"/>
      <c r="AZ143" s="93"/>
      <c r="BA143" s="93"/>
      <c r="BB143" s="93"/>
      <c r="BC143" s="93"/>
      <c r="BD143" s="93"/>
      <c r="BE143" s="93"/>
      <c r="BF143" s="93"/>
      <c r="BG143" s="93"/>
      <c r="BH143" s="93"/>
      <c r="BI143" s="93"/>
      <c r="BJ143" s="93"/>
      <c r="BK143" s="93"/>
      <c r="BL143" s="93"/>
      <c r="BM143" s="93"/>
      <c r="BN143" s="93"/>
      <c r="BT143" s="93"/>
      <c r="BU143" s="93"/>
      <c r="BV143" s="93"/>
      <c r="BW143" s="93"/>
      <c r="BX143" s="93"/>
      <c r="BY143" s="93"/>
      <c r="BZ143" s="93"/>
      <c r="CA143" s="93"/>
      <c r="CB143" s="93"/>
      <c r="CC143" s="93"/>
      <c r="CD143" s="93"/>
      <c r="CE143" s="93"/>
      <c r="CF143" s="93"/>
      <c r="CH143" s="93"/>
      <c r="CI143" s="93"/>
      <c r="CJ143" s="93"/>
      <c r="CK143" s="93"/>
      <c r="CL143" s="93"/>
      <c r="CM143" s="93"/>
      <c r="CN143" s="93"/>
      <c r="CO143" s="93"/>
      <c r="CP143" s="93"/>
      <c r="CQ143" s="93"/>
      <c r="CR143" s="93"/>
      <c r="CS143" s="93"/>
      <c r="CT143" s="93"/>
      <c r="CU143" s="93"/>
      <c r="CV143" s="93"/>
      <c r="CW143" s="93"/>
      <c r="CX143" s="93"/>
      <c r="CY143" s="93"/>
      <c r="CZ143" s="93"/>
      <c r="DA143" s="93"/>
      <c r="DB143" s="93"/>
      <c r="DC143" s="93"/>
      <c r="DD143" s="93"/>
      <c r="DE143" s="93"/>
      <c r="DF143" s="93"/>
      <c r="DG143" s="93"/>
      <c r="DH143" s="825"/>
      <c r="DI143" s="826"/>
      <c r="DJ143" s="825"/>
      <c r="GO143" s="92"/>
      <c r="GP143" s="831"/>
    </row>
    <row r="144" spans="1:200" s="806" customFormat="1" ht="15">
      <c r="A144" s="1076"/>
      <c r="B144" s="6"/>
      <c r="C144" s="6"/>
      <c r="D144" s="1062"/>
      <c r="E144" s="1040" t="s">
        <v>133</v>
      </c>
      <c r="G144" s="827"/>
      <c r="H144" s="809" t="s">
        <v>8412</v>
      </c>
      <c r="I144" s="92">
        <v>14</v>
      </c>
      <c r="J144" s="92" t="s">
        <v>18</v>
      </c>
      <c r="K144" s="92" t="s">
        <v>768</v>
      </c>
      <c r="L144" s="810">
        <v>2</v>
      </c>
      <c r="M144" s="811" t="str">
        <f t="shared" si="13"/>
        <v>Elementary Level</v>
      </c>
      <c r="N144" s="92"/>
      <c r="O144" s="92"/>
      <c r="P144" s="1638"/>
      <c r="Q144" s="92"/>
      <c r="R144" s="92"/>
      <c r="S144" s="848"/>
      <c r="T144" s="813"/>
      <c r="U144" s="813"/>
      <c r="V144" s="864"/>
      <c r="W144" s="838"/>
      <c r="X144" s="811" t="str">
        <f t="shared" si="14"/>
        <v/>
      </c>
      <c r="Y144" s="836"/>
      <c r="AA144" s="836"/>
      <c r="AB144" s="864"/>
      <c r="AC144" s="809"/>
      <c r="AD144" s="824"/>
      <c r="AE144" s="93"/>
      <c r="AF144" s="818"/>
      <c r="AG144" s="807" t="str">
        <f t="shared" si="10"/>
        <v/>
      </c>
      <c r="AH144" s="807"/>
      <c r="AI144" s="809"/>
      <c r="AJ144" s="809"/>
      <c r="AK144" s="92"/>
      <c r="AL144" s="819"/>
      <c r="AM144" s="836"/>
      <c r="AN144" s="813"/>
      <c r="AO144" s="817"/>
      <c r="AP144" s="820"/>
      <c r="AQ144" s="93"/>
      <c r="AR144" s="93"/>
      <c r="AS144" s="93"/>
      <c r="AT144" s="93"/>
      <c r="AU144" s="93"/>
      <c r="AV144" s="93"/>
      <c r="AW144" s="93"/>
      <c r="AX144" s="93"/>
      <c r="AY144" s="93"/>
      <c r="AZ144" s="93"/>
      <c r="BA144" s="93"/>
      <c r="BB144" s="93"/>
      <c r="BC144" s="93"/>
      <c r="BD144" s="93"/>
      <c r="BE144" s="93"/>
      <c r="BF144" s="93"/>
      <c r="BG144" s="93"/>
      <c r="BH144" s="93"/>
      <c r="BI144" s="93"/>
      <c r="BJ144" s="93"/>
      <c r="BK144" s="93"/>
      <c r="BL144" s="93"/>
      <c r="BM144" s="93"/>
      <c r="BN144" s="93"/>
      <c r="BT144" s="93"/>
      <c r="BU144" s="93"/>
      <c r="BV144" s="93"/>
      <c r="BW144" s="93"/>
      <c r="BX144" s="93"/>
      <c r="BY144" s="93"/>
      <c r="BZ144" s="93"/>
      <c r="CA144" s="93"/>
      <c r="CB144" s="93"/>
      <c r="CC144" s="93"/>
      <c r="CD144" s="93"/>
      <c r="CE144" s="93"/>
      <c r="CF144" s="93"/>
      <c r="CH144" s="93"/>
      <c r="CI144" s="93"/>
      <c r="CJ144" s="93"/>
      <c r="CK144" s="93"/>
      <c r="CL144" s="93"/>
      <c r="CM144" s="93"/>
      <c r="CN144" s="93"/>
      <c r="CO144" s="93"/>
      <c r="CP144" s="93"/>
      <c r="CQ144" s="93"/>
      <c r="CR144" s="93"/>
      <c r="CS144" s="93"/>
      <c r="CT144" s="93"/>
      <c r="CU144" s="93"/>
      <c r="CV144" s="93"/>
      <c r="CW144" s="93"/>
      <c r="CX144" s="93"/>
      <c r="CY144" s="93"/>
      <c r="CZ144" s="93"/>
      <c r="DA144" s="93"/>
      <c r="DB144" s="93"/>
      <c r="DC144" s="93"/>
      <c r="DD144" s="93"/>
      <c r="DE144" s="93"/>
      <c r="DF144" s="93"/>
      <c r="DG144" s="93"/>
      <c r="DH144" s="825"/>
      <c r="DI144" s="826"/>
      <c r="DJ144" s="825"/>
      <c r="GO144" s="92"/>
      <c r="GP144" s="831"/>
    </row>
    <row r="145" spans="1:198" s="806" customFormat="1" ht="15">
      <c r="A145" s="1076"/>
      <c r="B145" s="6"/>
      <c r="C145" s="6"/>
      <c r="D145" s="1062"/>
      <c r="E145" s="1040" t="s">
        <v>133</v>
      </c>
      <c r="G145" s="827"/>
      <c r="H145" s="809" t="s">
        <v>8413</v>
      </c>
      <c r="I145" s="92">
        <v>6</v>
      </c>
      <c r="J145" s="92" t="s">
        <v>10</v>
      </c>
      <c r="K145" s="92" t="s">
        <v>768</v>
      </c>
      <c r="L145" s="810">
        <v>0</v>
      </c>
      <c r="M145" s="811" t="str">
        <f t="shared" si="13"/>
        <v>No Schooling</v>
      </c>
      <c r="N145" s="92"/>
      <c r="O145" s="92"/>
      <c r="P145" s="1638"/>
      <c r="Q145" s="92"/>
      <c r="R145" s="92"/>
      <c r="S145" s="848"/>
      <c r="T145" s="813"/>
      <c r="U145" s="813"/>
      <c r="V145" s="864"/>
      <c r="W145" s="838"/>
      <c r="X145" s="811" t="str">
        <f t="shared" si="14"/>
        <v/>
      </c>
      <c r="Y145" s="836"/>
      <c r="AA145" s="836"/>
      <c r="AB145" s="864"/>
      <c r="AC145" s="809"/>
      <c r="AD145" s="824"/>
      <c r="AE145" s="93"/>
      <c r="AF145" s="818"/>
      <c r="AG145" s="807" t="str">
        <f t="shared" si="10"/>
        <v/>
      </c>
      <c r="AH145" s="807"/>
      <c r="AI145" s="809"/>
      <c r="AJ145" s="809"/>
      <c r="AK145" s="92"/>
      <c r="AL145" s="819"/>
      <c r="AM145" s="836"/>
      <c r="AN145" s="813"/>
      <c r="AO145" s="817"/>
      <c r="AP145" s="820"/>
      <c r="AQ145" s="93"/>
      <c r="AR145" s="93"/>
      <c r="AS145" s="93"/>
      <c r="AT145" s="93"/>
      <c r="AU145" s="93"/>
      <c r="AV145" s="93"/>
      <c r="AW145" s="93"/>
      <c r="AX145" s="93"/>
      <c r="AY145" s="93"/>
      <c r="AZ145" s="93"/>
      <c r="BA145" s="93"/>
      <c r="BB145" s="93"/>
      <c r="BC145" s="93"/>
      <c r="BD145" s="93"/>
      <c r="BE145" s="93"/>
      <c r="BF145" s="93"/>
      <c r="BG145" s="93"/>
      <c r="BH145" s="93"/>
      <c r="BI145" s="93"/>
      <c r="BJ145" s="93"/>
      <c r="BK145" s="93"/>
      <c r="BL145" s="93"/>
      <c r="BM145" s="93"/>
      <c r="BN145" s="93"/>
      <c r="BT145" s="93"/>
      <c r="BU145" s="93"/>
      <c r="BV145" s="93"/>
      <c r="BW145" s="93"/>
      <c r="BX145" s="93"/>
      <c r="BY145" s="93"/>
      <c r="BZ145" s="93"/>
      <c r="CA145" s="93"/>
      <c r="CB145" s="93"/>
      <c r="CC145" s="93"/>
      <c r="CD145" s="93"/>
      <c r="CE145" s="93"/>
      <c r="CF145" s="93"/>
      <c r="CH145" s="93"/>
      <c r="CI145" s="93"/>
      <c r="CJ145" s="93"/>
      <c r="CK145" s="93"/>
      <c r="CL145" s="93"/>
      <c r="CM145" s="93"/>
      <c r="CN145" s="93"/>
      <c r="CO145" s="93"/>
      <c r="CP145" s="93"/>
      <c r="CQ145" s="93"/>
      <c r="CR145" s="93"/>
      <c r="CS145" s="93"/>
      <c r="CT145" s="93"/>
      <c r="CU145" s="93"/>
      <c r="CV145" s="93"/>
      <c r="CW145" s="93"/>
      <c r="CX145" s="93"/>
      <c r="CY145" s="93"/>
      <c r="CZ145" s="93"/>
      <c r="DA145" s="93"/>
      <c r="DB145" s="93"/>
      <c r="DC145" s="93"/>
      <c r="DD145" s="93"/>
      <c r="DE145" s="93"/>
      <c r="DF145" s="93"/>
      <c r="DG145" s="93"/>
      <c r="DH145" s="825"/>
      <c r="DI145" s="826"/>
      <c r="DJ145" s="825"/>
      <c r="GO145" s="92"/>
      <c r="GP145" s="831"/>
    </row>
    <row r="146" spans="1:198" s="806" customFormat="1" ht="15">
      <c r="A146" s="1076"/>
      <c r="B146" s="6"/>
      <c r="C146" s="6"/>
      <c r="D146" s="1062"/>
      <c r="E146" s="1040" t="s">
        <v>133</v>
      </c>
      <c r="G146" s="827"/>
      <c r="H146" s="809" t="s">
        <v>8414</v>
      </c>
      <c r="I146" s="92">
        <v>3</v>
      </c>
      <c r="J146" s="92" t="s">
        <v>10</v>
      </c>
      <c r="K146" s="92" t="s">
        <v>768</v>
      </c>
      <c r="L146" s="810">
        <v>10</v>
      </c>
      <c r="M146" s="811" t="str">
        <f t="shared" si="13"/>
        <v>Not In School Age</v>
      </c>
      <c r="N146" s="92"/>
      <c r="O146" s="92"/>
      <c r="P146" s="1638"/>
      <c r="Q146" s="92"/>
      <c r="R146" s="92"/>
      <c r="S146" s="848"/>
      <c r="T146" s="813"/>
      <c r="U146" s="813"/>
      <c r="V146" s="864"/>
      <c r="W146" s="838"/>
      <c r="X146" s="811" t="str">
        <f t="shared" si="14"/>
        <v/>
      </c>
      <c r="Y146" s="836"/>
      <c r="AA146" s="836"/>
      <c r="AB146" s="864"/>
      <c r="AC146" s="809"/>
      <c r="AD146" s="824"/>
      <c r="AE146" s="93"/>
      <c r="AF146" s="818"/>
      <c r="AG146" s="807" t="str">
        <f t="shared" si="10"/>
        <v/>
      </c>
      <c r="AH146" s="807"/>
      <c r="AI146" s="809"/>
      <c r="AJ146" s="809"/>
      <c r="AK146" s="92"/>
      <c r="AL146" s="819"/>
      <c r="AM146" s="836"/>
      <c r="AN146" s="813"/>
      <c r="AO146" s="817"/>
      <c r="AP146" s="820"/>
      <c r="AQ146" s="93"/>
      <c r="AR146" s="93"/>
      <c r="AS146" s="93"/>
      <c r="AT146" s="93"/>
      <c r="AU146" s="93"/>
      <c r="AV146" s="93"/>
      <c r="AW146" s="93"/>
      <c r="AX146" s="93"/>
      <c r="AY146" s="93"/>
      <c r="AZ146" s="93"/>
      <c r="BA146" s="93"/>
      <c r="BB146" s="93"/>
      <c r="BC146" s="93"/>
      <c r="BD146" s="93"/>
      <c r="BE146" s="93"/>
      <c r="BF146" s="93"/>
      <c r="BG146" s="93"/>
      <c r="BH146" s="93"/>
      <c r="BI146" s="93"/>
      <c r="BJ146" s="93"/>
      <c r="BK146" s="93"/>
      <c r="BL146" s="93"/>
      <c r="BM146" s="93"/>
      <c r="BN146" s="93"/>
      <c r="BT146" s="93"/>
      <c r="BU146" s="93"/>
      <c r="BV146" s="93"/>
      <c r="BW146" s="93"/>
      <c r="BX146" s="93"/>
      <c r="BY146" s="93"/>
      <c r="BZ146" s="93"/>
      <c r="CA146" s="93"/>
      <c r="CB146" s="93"/>
      <c r="CC146" s="93"/>
      <c r="CD146" s="93"/>
      <c r="CE146" s="93"/>
      <c r="CF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825"/>
      <c r="DI146" s="826"/>
      <c r="DJ146" s="825"/>
      <c r="GO146" s="92"/>
      <c r="GP146" s="831"/>
    </row>
    <row r="147" spans="1:198" s="806" customFormat="1" ht="15">
      <c r="A147" s="1076"/>
      <c r="B147" s="6"/>
      <c r="C147" s="6"/>
      <c r="D147" s="1062"/>
      <c r="E147" s="1040" t="s">
        <v>133</v>
      </c>
      <c r="G147" s="827"/>
      <c r="H147" s="809" t="s">
        <v>8415</v>
      </c>
      <c r="I147" s="92" t="s">
        <v>8416</v>
      </c>
      <c r="J147" s="92" t="s">
        <v>10</v>
      </c>
      <c r="K147" s="92" t="s">
        <v>768</v>
      </c>
      <c r="L147" s="810">
        <v>10</v>
      </c>
      <c r="M147" s="811" t="str">
        <f t="shared" si="13"/>
        <v>Not In School Age</v>
      </c>
      <c r="N147" s="92"/>
      <c r="O147" s="92"/>
      <c r="P147" s="1638"/>
      <c r="Q147" s="92"/>
      <c r="R147" s="92"/>
      <c r="S147" s="848"/>
      <c r="T147" s="813"/>
      <c r="U147" s="813"/>
      <c r="V147" s="864">
        <f>SUM(S139:U147)</f>
        <v>13400</v>
      </c>
      <c r="W147" s="838"/>
      <c r="X147" s="811" t="str">
        <f t="shared" si="14"/>
        <v/>
      </c>
      <c r="Y147" s="836"/>
      <c r="AA147" s="836"/>
      <c r="AB147" s="864">
        <f>SUM(Y139:AA147)</f>
        <v>1200</v>
      </c>
      <c r="AC147" s="809"/>
      <c r="AD147" s="824"/>
      <c r="AE147" s="93"/>
      <c r="AF147" s="818"/>
      <c r="AG147" s="807" t="str">
        <f t="shared" si="10"/>
        <v/>
      </c>
      <c r="AH147" s="807"/>
      <c r="AI147" s="809"/>
      <c r="AJ147" s="809"/>
      <c r="AK147" s="92"/>
      <c r="AL147" s="819"/>
      <c r="AM147" s="836"/>
      <c r="AN147" s="813"/>
      <c r="AO147" s="817"/>
      <c r="AP147" s="820"/>
      <c r="AQ147" s="93"/>
      <c r="AR147" s="93"/>
      <c r="AS147" s="93"/>
      <c r="AT147" s="93"/>
      <c r="AU147" s="93"/>
      <c r="AV147" s="93"/>
      <c r="AW147" s="93"/>
      <c r="AX147" s="93"/>
      <c r="AY147" s="93"/>
      <c r="AZ147" s="93"/>
      <c r="BA147" s="93"/>
      <c r="BB147" s="93"/>
      <c r="BC147" s="93"/>
      <c r="BD147" s="93"/>
      <c r="BE147" s="93"/>
      <c r="BF147" s="93"/>
      <c r="BG147" s="93"/>
      <c r="BH147" s="93"/>
      <c r="BI147" s="93"/>
      <c r="BJ147" s="93"/>
      <c r="BK147" s="93"/>
      <c r="BL147" s="93"/>
      <c r="BM147" s="93"/>
      <c r="BN147" s="93"/>
      <c r="BT147" s="93"/>
      <c r="BU147" s="93"/>
      <c r="BV147" s="93"/>
      <c r="BW147" s="93"/>
      <c r="BX147" s="93"/>
      <c r="BY147" s="93"/>
      <c r="BZ147" s="93"/>
      <c r="CA147" s="93"/>
      <c r="CB147" s="93"/>
      <c r="CC147" s="93"/>
      <c r="CD147" s="93"/>
      <c r="CE147" s="93"/>
      <c r="CF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825"/>
      <c r="DI147" s="826"/>
      <c r="DJ147" s="825"/>
      <c r="GO147" s="92"/>
      <c r="GP147" s="831"/>
    </row>
    <row r="148" spans="1:198" s="806" customFormat="1" ht="15">
      <c r="A148" s="1076"/>
      <c r="B148" s="6"/>
      <c r="C148" s="164"/>
      <c r="D148" s="1062" t="s">
        <v>137</v>
      </c>
      <c r="G148" s="809" t="s">
        <v>137</v>
      </c>
      <c r="H148" s="809" t="s">
        <v>2053</v>
      </c>
      <c r="I148" s="92">
        <v>32</v>
      </c>
      <c r="J148" s="92" t="s">
        <v>10</v>
      </c>
      <c r="K148" s="92" t="s">
        <v>707</v>
      </c>
      <c r="L148" s="810">
        <v>4</v>
      </c>
      <c r="M148" s="811" t="str">
        <f t="shared" si="13"/>
        <v>High School Level</v>
      </c>
      <c r="N148" s="92" t="s">
        <v>1208</v>
      </c>
      <c r="O148" s="92" t="s">
        <v>8417</v>
      </c>
      <c r="P148" s="1638"/>
      <c r="Q148" s="92" t="s">
        <v>8417</v>
      </c>
      <c r="R148" s="92" t="s">
        <v>8234</v>
      </c>
      <c r="S148" s="848">
        <v>8000</v>
      </c>
      <c r="T148" s="813"/>
      <c r="U148" s="813"/>
      <c r="V148" s="849"/>
      <c r="W148" s="838">
        <v>2</v>
      </c>
      <c r="X148" s="811" t="str">
        <f t="shared" si="14"/>
        <v>within the Municipality/City</v>
      </c>
      <c r="Y148" s="836">
        <v>2600</v>
      </c>
      <c r="Z148" s="836"/>
      <c r="AA148" s="836"/>
      <c r="AB148" s="849"/>
      <c r="AC148" s="878"/>
      <c r="AD148" s="821"/>
      <c r="AE148" s="93"/>
      <c r="AF148" s="818"/>
      <c r="AG148" s="807" t="str">
        <f t="shared" si="10"/>
        <v/>
      </c>
      <c r="AH148" s="807"/>
      <c r="AI148" s="809"/>
      <c r="AJ148" s="809"/>
      <c r="AK148" s="92"/>
      <c r="AL148" s="819"/>
      <c r="AM148" s="836"/>
      <c r="AN148" s="813"/>
      <c r="AO148" s="817"/>
      <c r="AP148" s="820"/>
      <c r="AQ148" s="93"/>
      <c r="AR148" s="93"/>
      <c r="AS148" s="93"/>
      <c r="AT148" s="93"/>
      <c r="AU148" s="93"/>
      <c r="AV148" s="93"/>
      <c r="AW148" s="93"/>
      <c r="AX148" s="93"/>
      <c r="AY148" s="93"/>
      <c r="AZ148" s="93"/>
      <c r="BA148" s="93"/>
      <c r="BB148" s="93"/>
      <c r="BC148" s="93"/>
      <c r="BD148" s="93"/>
      <c r="BE148" s="93"/>
      <c r="BF148" s="93"/>
      <c r="BG148" s="93"/>
      <c r="BH148" s="93"/>
      <c r="BI148" s="93"/>
      <c r="BJ148" s="93"/>
      <c r="BK148" s="93"/>
      <c r="BL148" s="93"/>
      <c r="BM148" s="93"/>
      <c r="BN148" s="93"/>
      <c r="BT148" s="93"/>
      <c r="BU148" s="93"/>
      <c r="BV148" s="93"/>
      <c r="BW148" s="93"/>
      <c r="BX148" s="93"/>
      <c r="BY148" s="93"/>
      <c r="BZ148" s="93"/>
      <c r="CA148" s="93"/>
      <c r="CB148" s="93"/>
      <c r="CC148" s="93"/>
      <c r="CD148" s="93"/>
      <c r="CE148" s="93"/>
      <c r="CF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825"/>
      <c r="DI148" s="826"/>
      <c r="DJ148" s="825"/>
      <c r="GO148" s="92"/>
      <c r="GP148" s="831"/>
    </row>
    <row r="149" spans="1:198" s="806" customFormat="1" ht="15">
      <c r="A149" s="1076"/>
      <c r="B149" s="6"/>
      <c r="C149" s="164"/>
      <c r="D149" s="1062"/>
      <c r="G149" s="827"/>
      <c r="H149" s="809"/>
      <c r="I149" s="92"/>
      <c r="J149" s="92"/>
      <c r="K149" s="92"/>
      <c r="L149" s="810"/>
      <c r="M149" s="811" t="str">
        <f t="shared" si="13"/>
        <v/>
      </c>
      <c r="N149" s="92"/>
      <c r="O149" s="92" t="s">
        <v>8418</v>
      </c>
      <c r="P149" s="1638"/>
      <c r="Q149" s="92" t="s">
        <v>8418</v>
      </c>
      <c r="R149" s="92"/>
      <c r="S149" s="848"/>
      <c r="T149" s="813"/>
      <c r="U149" s="813">
        <v>500</v>
      </c>
      <c r="V149" s="849"/>
      <c r="W149" s="838">
        <v>1</v>
      </c>
      <c r="X149" s="811" t="str">
        <f t="shared" si="14"/>
        <v>within the Brgy</v>
      </c>
      <c r="Y149" s="836"/>
      <c r="AA149" s="836"/>
      <c r="AB149" s="849"/>
      <c r="AC149" s="878"/>
      <c r="AD149" s="821"/>
      <c r="AE149" s="93"/>
      <c r="AF149" s="818"/>
      <c r="AG149" s="807" t="str">
        <f t="shared" si="10"/>
        <v/>
      </c>
      <c r="AH149" s="807"/>
      <c r="AI149" s="809"/>
      <c r="AJ149" s="809"/>
      <c r="AK149" s="92"/>
      <c r="AL149" s="819"/>
      <c r="AM149" s="836"/>
      <c r="AN149" s="813"/>
      <c r="AO149" s="817"/>
      <c r="AP149" s="820"/>
      <c r="AQ149" s="93"/>
      <c r="AR149" s="93"/>
      <c r="AS149" s="93"/>
      <c r="AT149" s="93"/>
      <c r="AU149" s="93"/>
      <c r="AV149" s="93"/>
      <c r="AW149" s="93"/>
      <c r="AX149" s="93"/>
      <c r="AY149" s="93"/>
      <c r="AZ149" s="93"/>
      <c r="BA149" s="93"/>
      <c r="BB149" s="93"/>
      <c r="BC149" s="93"/>
      <c r="BD149" s="93"/>
      <c r="BE149" s="93"/>
      <c r="BF149" s="93"/>
      <c r="BG149" s="93"/>
      <c r="BH149" s="93"/>
      <c r="BI149" s="93"/>
      <c r="BJ149" s="93"/>
      <c r="BK149" s="93"/>
      <c r="BL149" s="93"/>
      <c r="BM149" s="93"/>
      <c r="BN149" s="93"/>
      <c r="BT149" s="93"/>
      <c r="BU149" s="93"/>
      <c r="BV149" s="93"/>
      <c r="BW149" s="93"/>
      <c r="BX149" s="93"/>
      <c r="BY149" s="93"/>
      <c r="BZ149" s="93"/>
      <c r="CA149" s="93"/>
      <c r="CB149" s="93"/>
      <c r="CC149" s="93"/>
      <c r="CD149" s="93"/>
      <c r="CE149" s="93"/>
      <c r="CF149" s="93"/>
      <c r="CH149" s="93"/>
      <c r="CI149" s="93"/>
      <c r="CJ149" s="93"/>
      <c r="CK149" s="93"/>
      <c r="CL149" s="93"/>
      <c r="CM149" s="93"/>
      <c r="CN149" s="93"/>
      <c r="CO149" s="93"/>
      <c r="CP149" s="93"/>
      <c r="CQ149" s="93"/>
      <c r="CR149" s="93"/>
      <c r="CS149" s="93"/>
      <c r="CT149" s="93"/>
      <c r="CU149" s="93"/>
      <c r="CV149" s="93"/>
      <c r="CW149" s="93"/>
      <c r="CX149" s="93"/>
      <c r="CY149" s="93"/>
      <c r="CZ149" s="93"/>
      <c r="DA149" s="93"/>
      <c r="DB149" s="93"/>
      <c r="DC149" s="93"/>
      <c r="DD149" s="93"/>
      <c r="DE149" s="93"/>
      <c r="DF149" s="93"/>
      <c r="DG149" s="93"/>
      <c r="DH149" s="825"/>
      <c r="DI149" s="826"/>
      <c r="DJ149" s="825"/>
      <c r="GO149" s="92"/>
      <c r="GP149" s="831"/>
    </row>
    <row r="150" spans="1:198" s="806" customFormat="1" ht="15">
      <c r="A150" s="1076"/>
      <c r="B150" s="6"/>
      <c r="C150" s="164"/>
      <c r="D150" s="1062"/>
      <c r="G150" s="827"/>
      <c r="H150" s="809" t="s">
        <v>8419</v>
      </c>
      <c r="I150" s="92">
        <v>32</v>
      </c>
      <c r="J150" s="92" t="s">
        <v>18</v>
      </c>
      <c r="K150" s="92" t="s">
        <v>707</v>
      </c>
      <c r="L150" s="810">
        <v>4</v>
      </c>
      <c r="M150" s="811" t="str">
        <f t="shared" si="13"/>
        <v>High School Level</v>
      </c>
      <c r="N150" s="92"/>
      <c r="O150" s="92" t="s">
        <v>2213</v>
      </c>
      <c r="P150" s="1638"/>
      <c r="Q150" s="92" t="s">
        <v>2213</v>
      </c>
      <c r="R150" s="92"/>
      <c r="S150" s="848"/>
      <c r="T150" s="813"/>
      <c r="U150" s="813"/>
      <c r="V150" s="849"/>
      <c r="W150" s="838"/>
      <c r="X150" s="811" t="str">
        <f t="shared" si="14"/>
        <v/>
      </c>
      <c r="Y150" s="836"/>
      <c r="AA150" s="836"/>
      <c r="AB150" s="849"/>
      <c r="AC150" s="878"/>
      <c r="AD150" s="821"/>
      <c r="AE150" s="93"/>
      <c r="AF150" s="818"/>
      <c r="AG150" s="807" t="str">
        <f t="shared" si="10"/>
        <v/>
      </c>
      <c r="AH150" s="807"/>
      <c r="AI150" s="809"/>
      <c r="AJ150" s="809"/>
      <c r="AK150" s="92"/>
      <c r="AL150" s="819"/>
      <c r="AM150" s="836"/>
      <c r="AN150" s="813"/>
      <c r="AO150" s="817"/>
      <c r="AP150" s="820"/>
      <c r="AQ150" s="93"/>
      <c r="AR150" s="93"/>
      <c r="AS150" s="93"/>
      <c r="AT150" s="93"/>
      <c r="AU150" s="93"/>
      <c r="AV150" s="93"/>
      <c r="AW150" s="93"/>
      <c r="AX150" s="93"/>
      <c r="AY150" s="93"/>
      <c r="AZ150" s="93"/>
      <c r="BA150" s="93"/>
      <c r="BB150" s="93"/>
      <c r="BC150" s="93"/>
      <c r="BD150" s="93"/>
      <c r="BE150" s="93"/>
      <c r="BF150" s="93"/>
      <c r="BG150" s="93"/>
      <c r="BH150" s="93"/>
      <c r="BI150" s="93"/>
      <c r="BJ150" s="93"/>
      <c r="BK150" s="93"/>
      <c r="BL150" s="93"/>
      <c r="BM150" s="93"/>
      <c r="BN150" s="93"/>
      <c r="BT150" s="93"/>
      <c r="BU150" s="93"/>
      <c r="BV150" s="93"/>
      <c r="BW150" s="93"/>
      <c r="BX150" s="93"/>
      <c r="BY150" s="93"/>
      <c r="BZ150" s="93"/>
      <c r="CA150" s="93"/>
      <c r="CB150" s="93"/>
      <c r="CC150" s="93"/>
      <c r="CD150" s="93"/>
      <c r="CE150" s="93"/>
      <c r="CF150" s="93"/>
      <c r="CH150" s="93"/>
      <c r="CI150" s="93"/>
      <c r="CJ150" s="93"/>
      <c r="CK150" s="93"/>
      <c r="CL150" s="93"/>
      <c r="CM150" s="93"/>
      <c r="CN150" s="93"/>
      <c r="CO150" s="93"/>
      <c r="CP150" s="93"/>
      <c r="CQ150" s="93"/>
      <c r="CR150" s="93"/>
      <c r="CS150" s="93"/>
      <c r="CT150" s="93"/>
      <c r="CU150" s="93"/>
      <c r="CV150" s="93"/>
      <c r="CW150" s="93"/>
      <c r="CX150" s="93"/>
      <c r="CY150" s="93"/>
      <c r="CZ150" s="93"/>
      <c r="DA150" s="93"/>
      <c r="DB150" s="93"/>
      <c r="DC150" s="93"/>
      <c r="DD150" s="93"/>
      <c r="DE150" s="93"/>
      <c r="DF150" s="93"/>
      <c r="DG150" s="93"/>
      <c r="DH150" s="825"/>
      <c r="DI150" s="826"/>
      <c r="DJ150" s="825"/>
      <c r="GO150" s="92"/>
      <c r="GP150" s="831"/>
    </row>
    <row r="151" spans="1:198" s="806" customFormat="1" ht="15">
      <c r="A151" s="1076"/>
      <c r="B151" s="6"/>
      <c r="C151" s="164"/>
      <c r="D151" s="1062"/>
      <c r="G151" s="827"/>
      <c r="H151" s="809" t="s">
        <v>8420</v>
      </c>
      <c r="I151" s="92">
        <v>10</v>
      </c>
      <c r="J151" s="92" t="s">
        <v>18</v>
      </c>
      <c r="K151" s="92" t="s">
        <v>768</v>
      </c>
      <c r="L151" s="810">
        <v>2</v>
      </c>
      <c r="M151" s="811" t="str">
        <f t="shared" si="13"/>
        <v>Elementary Level</v>
      </c>
      <c r="N151" s="92"/>
      <c r="O151" s="92"/>
      <c r="P151" s="1638"/>
      <c r="Q151" s="92"/>
      <c r="R151" s="92"/>
      <c r="S151" s="848"/>
      <c r="T151" s="813"/>
      <c r="U151" s="813"/>
      <c r="V151" s="849"/>
      <c r="W151" s="838"/>
      <c r="X151" s="811" t="str">
        <f t="shared" si="14"/>
        <v/>
      </c>
      <c r="Y151" s="836"/>
      <c r="AA151" s="836"/>
      <c r="AB151" s="849"/>
      <c r="AC151" s="878"/>
      <c r="AD151" s="821"/>
      <c r="AE151" s="93"/>
      <c r="AF151" s="818"/>
      <c r="AG151" s="807" t="str">
        <f t="shared" si="10"/>
        <v/>
      </c>
      <c r="AH151" s="807"/>
      <c r="AI151" s="809"/>
      <c r="AJ151" s="809"/>
      <c r="AK151" s="92"/>
      <c r="AL151" s="819"/>
      <c r="AM151" s="836"/>
      <c r="AN151" s="813"/>
      <c r="AO151" s="817"/>
      <c r="AP151" s="820"/>
      <c r="AQ151" s="93"/>
      <c r="AR151" s="93"/>
      <c r="AS151" s="93"/>
      <c r="AT151" s="93"/>
      <c r="AU151" s="93"/>
      <c r="AV151" s="93"/>
      <c r="AW151" s="93"/>
      <c r="AX151" s="93"/>
      <c r="AY151" s="93"/>
      <c r="AZ151" s="93"/>
      <c r="BA151" s="93"/>
      <c r="BB151" s="93"/>
      <c r="BC151" s="93"/>
      <c r="BD151" s="93"/>
      <c r="BE151" s="93"/>
      <c r="BF151" s="93"/>
      <c r="BG151" s="93"/>
      <c r="BH151" s="93"/>
      <c r="BI151" s="93"/>
      <c r="BJ151" s="93"/>
      <c r="BK151" s="93"/>
      <c r="BL151" s="93"/>
      <c r="BM151" s="93"/>
      <c r="BN151" s="93"/>
      <c r="BT151" s="93"/>
      <c r="BU151" s="93"/>
      <c r="BV151" s="93"/>
      <c r="BW151" s="93"/>
      <c r="BX151" s="93"/>
      <c r="BY151" s="93"/>
      <c r="BZ151" s="93"/>
      <c r="CA151" s="93"/>
      <c r="CB151" s="93"/>
      <c r="CC151" s="93"/>
      <c r="CD151" s="93"/>
      <c r="CE151" s="93"/>
      <c r="CF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825"/>
      <c r="DI151" s="826"/>
      <c r="DJ151" s="825"/>
      <c r="GO151" s="92"/>
      <c r="GP151" s="831"/>
    </row>
    <row r="152" spans="1:198" s="806" customFormat="1" ht="15">
      <c r="A152" s="1076"/>
      <c r="B152" s="6"/>
      <c r="C152" s="164"/>
      <c r="D152" s="1062"/>
      <c r="G152" s="827"/>
      <c r="H152" s="809" t="s">
        <v>8421</v>
      </c>
      <c r="I152" s="92">
        <v>4</v>
      </c>
      <c r="J152" s="92" t="s">
        <v>18</v>
      </c>
      <c r="K152" s="92" t="s">
        <v>768</v>
      </c>
      <c r="L152" s="810">
        <v>1</v>
      </c>
      <c r="M152" s="811" t="str">
        <f t="shared" si="13"/>
        <v>Pre-school</v>
      </c>
      <c r="N152" s="92"/>
      <c r="O152" s="92"/>
      <c r="P152" s="1638"/>
      <c r="Q152" s="92"/>
      <c r="R152" s="92"/>
      <c r="S152" s="848"/>
      <c r="T152" s="813"/>
      <c r="U152" s="813"/>
      <c r="V152" s="849">
        <f>SUM(S148:U152)</f>
        <v>8500</v>
      </c>
      <c r="W152" s="838"/>
      <c r="X152" s="811" t="str">
        <f t="shared" si="14"/>
        <v/>
      </c>
      <c r="Y152" s="836"/>
      <c r="AA152" s="836"/>
      <c r="AB152" s="849">
        <f>SUM(Y148:AA152)</f>
        <v>2600</v>
      </c>
      <c r="AC152" s="878"/>
      <c r="AD152" s="821"/>
      <c r="AE152" s="93"/>
      <c r="AF152" s="818"/>
      <c r="AG152" s="807" t="str">
        <f t="shared" si="10"/>
        <v/>
      </c>
      <c r="AH152" s="807"/>
      <c r="AI152" s="809"/>
      <c r="AJ152" s="809"/>
      <c r="AK152" s="92"/>
      <c r="AL152" s="819"/>
      <c r="AM152" s="836"/>
      <c r="AN152" s="813"/>
      <c r="AO152" s="817"/>
      <c r="AP152" s="820"/>
      <c r="AQ152" s="93"/>
      <c r="AR152" s="93"/>
      <c r="AS152" s="93"/>
      <c r="AT152" s="93"/>
      <c r="AU152" s="93"/>
      <c r="AV152" s="93"/>
      <c r="AW152" s="93"/>
      <c r="AX152" s="93"/>
      <c r="AY152" s="93"/>
      <c r="AZ152" s="93"/>
      <c r="BA152" s="93"/>
      <c r="BB152" s="93"/>
      <c r="BC152" s="93"/>
      <c r="BD152" s="93"/>
      <c r="BE152" s="93"/>
      <c r="BF152" s="93"/>
      <c r="BG152" s="93"/>
      <c r="BH152" s="93"/>
      <c r="BI152" s="93"/>
      <c r="BJ152" s="93"/>
      <c r="BK152" s="93"/>
      <c r="BL152" s="93"/>
      <c r="BM152" s="93"/>
      <c r="BN152" s="93"/>
      <c r="BT152" s="93"/>
      <c r="BU152" s="93"/>
      <c r="BV152" s="93"/>
      <c r="BW152" s="93"/>
      <c r="BX152" s="93"/>
      <c r="BY152" s="93"/>
      <c r="BZ152" s="93"/>
      <c r="CA152" s="93"/>
      <c r="CB152" s="93"/>
      <c r="CC152" s="93"/>
      <c r="CD152" s="93"/>
      <c r="CE152" s="93"/>
      <c r="CF152" s="93"/>
      <c r="CH152" s="93"/>
      <c r="CI152" s="93"/>
      <c r="CJ152" s="93"/>
      <c r="CK152" s="93"/>
      <c r="CL152" s="93"/>
      <c r="CM152" s="93"/>
      <c r="CN152" s="93"/>
      <c r="CO152" s="93"/>
      <c r="CP152" s="93"/>
      <c r="CQ152" s="93"/>
      <c r="CR152" s="93"/>
      <c r="CS152" s="93"/>
      <c r="CT152" s="93"/>
      <c r="CU152" s="93"/>
      <c r="CV152" s="93"/>
      <c r="CW152" s="93"/>
      <c r="CX152" s="93"/>
      <c r="CY152" s="93"/>
      <c r="CZ152" s="93"/>
      <c r="DA152" s="93"/>
      <c r="DB152" s="93"/>
      <c r="DC152" s="93"/>
      <c r="DD152" s="93"/>
      <c r="DE152" s="93"/>
      <c r="DF152" s="93"/>
      <c r="DG152" s="93"/>
      <c r="DH152" s="825"/>
      <c r="DI152" s="826"/>
      <c r="DJ152" s="825"/>
      <c r="GO152" s="92"/>
      <c r="GP152" s="831"/>
    </row>
    <row r="153" spans="1:198" s="806" customFormat="1" ht="15">
      <c r="A153" s="1076"/>
      <c r="B153" s="6"/>
      <c r="C153" s="6"/>
      <c r="D153" s="1062" t="s">
        <v>139</v>
      </c>
      <c r="G153" s="809" t="s">
        <v>139</v>
      </c>
      <c r="H153" s="809" t="s">
        <v>773</v>
      </c>
      <c r="I153" s="92">
        <v>48</v>
      </c>
      <c r="J153" s="92" t="s">
        <v>10</v>
      </c>
      <c r="K153" s="92" t="s">
        <v>719</v>
      </c>
      <c r="L153" s="810">
        <v>9</v>
      </c>
      <c r="M153" s="811" t="str">
        <f t="shared" si="13"/>
        <v>Vocational Graduate</v>
      </c>
      <c r="N153" s="92" t="s">
        <v>1208</v>
      </c>
      <c r="O153" s="92" t="s">
        <v>8422</v>
      </c>
      <c r="P153" s="1638"/>
      <c r="Q153" s="92" t="s">
        <v>8422</v>
      </c>
      <c r="R153" s="92" t="s">
        <v>8234</v>
      </c>
      <c r="S153" s="848">
        <v>10320</v>
      </c>
      <c r="T153" s="813"/>
      <c r="U153" s="813"/>
      <c r="V153" s="837"/>
      <c r="W153" s="838">
        <v>1</v>
      </c>
      <c r="X153" s="811" t="str">
        <f t="shared" si="14"/>
        <v>within the Brgy</v>
      </c>
      <c r="Y153" s="836"/>
      <c r="Z153" s="836"/>
      <c r="AA153" s="836"/>
      <c r="AB153" s="837"/>
      <c r="AC153" s="809" t="s">
        <v>8423</v>
      </c>
      <c r="AD153" s="821"/>
      <c r="AE153" s="93"/>
      <c r="AF153" s="818"/>
      <c r="AG153" s="807" t="str">
        <f t="shared" ref="AG153:AG184" si="15">IF(ISBLANK(AF153)=TRUE,"",LOOKUP(AF153,GS:GT))</f>
        <v/>
      </c>
      <c r="AH153" s="807"/>
      <c r="AI153" s="809"/>
      <c r="AJ153" s="809"/>
      <c r="AK153" s="92"/>
      <c r="AL153" s="819"/>
      <c r="AM153" s="836"/>
      <c r="AN153" s="813"/>
      <c r="AO153" s="817"/>
      <c r="AP153" s="820"/>
      <c r="AQ153" s="93"/>
      <c r="AR153" s="93"/>
      <c r="AS153" s="93"/>
      <c r="AT153" s="93"/>
      <c r="AU153" s="93"/>
      <c r="AV153" s="93"/>
      <c r="AW153" s="93"/>
      <c r="AX153" s="93"/>
      <c r="AY153" s="93"/>
      <c r="AZ153" s="93"/>
      <c r="BA153" s="93"/>
      <c r="BB153" s="93"/>
      <c r="BC153" s="93"/>
      <c r="BD153" s="93"/>
      <c r="BE153" s="93"/>
      <c r="BF153" s="93"/>
      <c r="BG153" s="93"/>
      <c r="BH153" s="93"/>
      <c r="BI153" s="93"/>
      <c r="BJ153" s="93"/>
      <c r="BK153" s="93"/>
      <c r="BL153" s="93"/>
      <c r="BM153" s="93"/>
      <c r="BN153" s="93"/>
      <c r="BT153" s="93"/>
      <c r="BU153" s="93"/>
      <c r="BV153" s="93"/>
      <c r="BW153" s="93"/>
      <c r="BX153" s="93"/>
      <c r="BY153" s="93"/>
      <c r="BZ153" s="93"/>
      <c r="CA153" s="93"/>
      <c r="CB153" s="93"/>
      <c r="CC153" s="93"/>
      <c r="CD153" s="93"/>
      <c r="CE153" s="93"/>
      <c r="CF153" s="93"/>
      <c r="CH153" s="93"/>
      <c r="CI153" s="93"/>
      <c r="CJ153" s="93"/>
      <c r="CK153" s="93"/>
      <c r="CL153" s="93"/>
      <c r="CM153" s="93"/>
      <c r="CN153" s="93"/>
      <c r="CO153" s="93"/>
      <c r="CP153" s="93"/>
      <c r="CQ153" s="93"/>
      <c r="CR153" s="93"/>
      <c r="CS153" s="93" t="s">
        <v>2146</v>
      </c>
      <c r="CT153" s="93"/>
      <c r="CU153" s="93"/>
      <c r="CV153" s="93"/>
      <c r="CW153" s="93"/>
      <c r="CY153" s="93" t="s">
        <v>2144</v>
      </c>
      <c r="CZ153" s="93"/>
      <c r="DA153" s="93"/>
      <c r="DB153" s="93"/>
      <c r="DC153" s="93"/>
      <c r="DD153" s="93"/>
      <c r="DE153" s="93"/>
      <c r="DF153" s="93"/>
      <c r="DG153" s="93"/>
      <c r="DH153" s="825"/>
      <c r="DI153" s="826" t="s">
        <v>2145</v>
      </c>
      <c r="DJ153" s="825"/>
      <c r="GO153" s="92"/>
      <c r="GP153" s="831"/>
    </row>
    <row r="154" spans="1:198" s="806" customFormat="1" ht="15">
      <c r="A154" s="1076"/>
      <c r="B154" s="6"/>
      <c r="C154" s="6"/>
      <c r="D154" s="1062"/>
      <c r="G154" s="827"/>
      <c r="H154" s="809" t="s">
        <v>8424</v>
      </c>
      <c r="I154" s="92">
        <v>22</v>
      </c>
      <c r="J154" s="92" t="s">
        <v>10</v>
      </c>
      <c r="K154" s="92" t="s">
        <v>768</v>
      </c>
      <c r="L154" s="810">
        <v>9</v>
      </c>
      <c r="M154" s="811" t="str">
        <f t="shared" si="13"/>
        <v>Vocational Graduate</v>
      </c>
      <c r="N154" s="92"/>
      <c r="O154" s="92" t="s">
        <v>2213</v>
      </c>
      <c r="P154" s="1638"/>
      <c r="Q154" s="92" t="s">
        <v>2213</v>
      </c>
      <c r="R154" s="92"/>
      <c r="S154" s="848"/>
      <c r="T154" s="813"/>
      <c r="U154" s="813"/>
      <c r="V154" s="837"/>
      <c r="W154" s="838"/>
      <c r="X154" s="811" t="str">
        <f t="shared" si="14"/>
        <v/>
      </c>
      <c r="Y154" s="836"/>
      <c r="AA154" s="836"/>
      <c r="AB154" s="837"/>
      <c r="AC154" s="809"/>
      <c r="AD154" s="821"/>
      <c r="AE154" s="93"/>
      <c r="AF154" s="818"/>
      <c r="AG154" s="807" t="str">
        <f t="shared" si="15"/>
        <v/>
      </c>
      <c r="AH154" s="807"/>
      <c r="AI154" s="809"/>
      <c r="AJ154" s="809"/>
      <c r="AK154" s="92"/>
      <c r="AL154" s="819"/>
      <c r="AM154" s="836"/>
      <c r="AN154" s="813"/>
      <c r="AO154" s="817"/>
      <c r="AP154" s="820"/>
      <c r="AQ154" s="93"/>
      <c r="AR154" s="93"/>
      <c r="AS154" s="93"/>
      <c r="AT154" s="93"/>
      <c r="AU154" s="93"/>
      <c r="AV154" s="93"/>
      <c r="AW154" s="93"/>
      <c r="AX154" s="93"/>
      <c r="AY154" s="93"/>
      <c r="AZ154" s="93"/>
      <c r="BA154" s="93"/>
      <c r="BB154" s="93"/>
      <c r="BC154" s="93"/>
      <c r="BD154" s="93"/>
      <c r="BE154" s="93"/>
      <c r="BF154" s="93"/>
      <c r="BG154" s="93"/>
      <c r="BH154" s="93"/>
      <c r="BI154" s="93"/>
      <c r="BJ154" s="93"/>
      <c r="BK154" s="93"/>
      <c r="BL154" s="93"/>
      <c r="BM154" s="93"/>
      <c r="BN154" s="93"/>
      <c r="BT154" s="93"/>
      <c r="BU154" s="93"/>
      <c r="BV154" s="93"/>
      <c r="BW154" s="93"/>
      <c r="BX154" s="93"/>
      <c r="BY154" s="93"/>
      <c r="BZ154" s="93"/>
      <c r="CA154" s="93"/>
      <c r="CB154" s="93"/>
      <c r="CC154" s="93"/>
      <c r="CD154" s="93"/>
      <c r="CE154" s="93"/>
      <c r="CF154" s="93"/>
      <c r="CH154" s="93"/>
      <c r="CI154" s="93"/>
      <c r="CJ154" s="93"/>
      <c r="CK154" s="93"/>
      <c r="CL154" s="93"/>
      <c r="CM154" s="93"/>
      <c r="CN154" s="93"/>
      <c r="CO154" s="93"/>
      <c r="CP154" s="93"/>
      <c r="CQ154" s="93"/>
      <c r="CR154" s="93"/>
      <c r="CS154" s="93"/>
      <c r="CT154" s="93"/>
      <c r="CU154" s="93"/>
      <c r="CV154" s="93"/>
      <c r="CW154" s="93"/>
      <c r="CX154" s="93"/>
      <c r="CY154" s="93"/>
      <c r="CZ154" s="93"/>
      <c r="DA154" s="93"/>
      <c r="DB154" s="93"/>
      <c r="DC154" s="93"/>
      <c r="DD154" s="93"/>
      <c r="DE154" s="93"/>
      <c r="DF154" s="93"/>
      <c r="DG154" s="93"/>
      <c r="DH154" s="825"/>
      <c r="DI154" s="826"/>
      <c r="DJ154" s="825"/>
      <c r="GO154" s="92"/>
      <c r="GP154" s="831"/>
    </row>
    <row r="155" spans="1:198" s="806" customFormat="1" ht="15">
      <c r="A155" s="1076"/>
      <c r="B155" s="6"/>
      <c r="C155" s="6"/>
      <c r="D155" s="1062"/>
      <c r="G155" s="827"/>
      <c r="H155" s="809" t="s">
        <v>8425</v>
      </c>
      <c r="I155" s="92">
        <v>20</v>
      </c>
      <c r="J155" s="92" t="s">
        <v>18</v>
      </c>
      <c r="K155" s="92" t="s">
        <v>768</v>
      </c>
      <c r="L155" s="810">
        <v>6</v>
      </c>
      <c r="M155" s="811" t="str">
        <f t="shared" si="13"/>
        <v>College Level</v>
      </c>
      <c r="N155" s="92"/>
      <c r="O155" s="92" t="s">
        <v>2213</v>
      </c>
      <c r="P155" s="1638"/>
      <c r="Q155" s="92" t="s">
        <v>2213</v>
      </c>
      <c r="R155" s="92"/>
      <c r="S155" s="848"/>
      <c r="T155" s="813"/>
      <c r="U155" s="813"/>
      <c r="V155" s="837"/>
      <c r="W155" s="838"/>
      <c r="X155" s="811" t="str">
        <f t="shared" si="14"/>
        <v/>
      </c>
      <c r="Y155" s="836"/>
      <c r="AA155" s="836"/>
      <c r="AB155" s="837"/>
      <c r="AC155" s="809"/>
      <c r="AD155" s="821"/>
      <c r="AE155" s="93"/>
      <c r="AF155" s="818"/>
      <c r="AG155" s="807" t="str">
        <f t="shared" si="15"/>
        <v/>
      </c>
      <c r="AH155" s="807"/>
      <c r="AI155" s="809"/>
      <c r="AJ155" s="809"/>
      <c r="AK155" s="92"/>
      <c r="AL155" s="819"/>
      <c r="AM155" s="836"/>
      <c r="AN155" s="813"/>
      <c r="AO155" s="817"/>
      <c r="AP155" s="820"/>
      <c r="AQ155" s="93"/>
      <c r="AR155" s="93"/>
      <c r="AS155" s="93"/>
      <c r="AT155" s="93"/>
      <c r="AU155" s="93"/>
      <c r="AV155" s="93"/>
      <c r="AW155" s="93"/>
      <c r="AX155" s="93"/>
      <c r="AY155" s="93"/>
      <c r="AZ155" s="93"/>
      <c r="BA155" s="93"/>
      <c r="BB155" s="93"/>
      <c r="BC155" s="93"/>
      <c r="BD155" s="93"/>
      <c r="BE155" s="93"/>
      <c r="BF155" s="93"/>
      <c r="BG155" s="93"/>
      <c r="BH155" s="93"/>
      <c r="BI155" s="93"/>
      <c r="BJ155" s="93"/>
      <c r="BK155" s="93"/>
      <c r="BL155" s="93"/>
      <c r="BM155" s="93"/>
      <c r="BN155" s="93"/>
      <c r="BT155" s="93"/>
      <c r="BU155" s="93"/>
      <c r="BV155" s="93"/>
      <c r="BW155" s="93"/>
      <c r="BX155" s="93"/>
      <c r="BY155" s="93"/>
      <c r="BZ155" s="93"/>
      <c r="CA155" s="93"/>
      <c r="CB155" s="93"/>
      <c r="CC155" s="93"/>
      <c r="CD155" s="93"/>
      <c r="CE155" s="93"/>
      <c r="CF155" s="93"/>
      <c r="CH155" s="93"/>
      <c r="CI155" s="93"/>
      <c r="CJ155" s="93"/>
      <c r="CK155" s="93"/>
      <c r="CL155" s="93"/>
      <c r="CM155" s="93"/>
      <c r="CN155" s="93"/>
      <c r="CO155" s="93"/>
      <c r="CP155" s="93"/>
      <c r="CQ155" s="93"/>
      <c r="CR155" s="93"/>
      <c r="CS155" s="93"/>
      <c r="CT155" s="93"/>
      <c r="CU155" s="93"/>
      <c r="CV155" s="93"/>
      <c r="CW155" s="93"/>
      <c r="CX155" s="93"/>
      <c r="CY155" s="93"/>
      <c r="CZ155" s="93"/>
      <c r="DA155" s="93"/>
      <c r="DB155" s="93"/>
      <c r="DC155" s="93"/>
      <c r="DD155" s="93"/>
      <c r="DE155" s="93"/>
      <c r="DF155" s="93"/>
      <c r="DG155" s="93"/>
      <c r="DH155" s="825"/>
      <c r="DI155" s="826"/>
      <c r="DJ155" s="825"/>
      <c r="GO155" s="92"/>
      <c r="GP155" s="831"/>
    </row>
    <row r="156" spans="1:198" s="806" customFormat="1" ht="15">
      <c r="A156" s="1076"/>
      <c r="B156" s="6"/>
      <c r="C156" s="6"/>
      <c r="D156" s="1062"/>
      <c r="G156" s="827"/>
      <c r="H156" s="809" t="s">
        <v>8426</v>
      </c>
      <c r="I156" s="92">
        <v>15</v>
      </c>
      <c r="J156" s="92" t="s">
        <v>10</v>
      </c>
      <c r="K156" s="92" t="s">
        <v>768</v>
      </c>
      <c r="L156" s="810">
        <v>11</v>
      </c>
      <c r="M156" s="811" t="str">
        <f t="shared" si="13"/>
        <v>Junior/Senior High School</v>
      </c>
      <c r="N156" s="92"/>
      <c r="O156" s="92"/>
      <c r="P156" s="1638"/>
      <c r="Q156" s="92"/>
      <c r="R156" s="92"/>
      <c r="S156" s="848"/>
      <c r="T156" s="813"/>
      <c r="U156" s="813"/>
      <c r="V156" s="837">
        <f>SUM(S153:U156)</f>
        <v>10320</v>
      </c>
      <c r="W156" s="838"/>
      <c r="X156" s="811" t="str">
        <f t="shared" si="14"/>
        <v/>
      </c>
      <c r="Y156" s="836"/>
      <c r="AA156" s="836"/>
      <c r="AB156" s="837">
        <f>SUM(Y153:AA156)</f>
        <v>0</v>
      </c>
      <c r="AC156" s="809"/>
      <c r="AD156" s="821"/>
      <c r="AE156" s="93"/>
      <c r="AF156" s="818"/>
      <c r="AG156" s="807" t="str">
        <f t="shared" si="15"/>
        <v/>
      </c>
      <c r="AH156" s="807"/>
      <c r="AI156" s="809"/>
      <c r="AJ156" s="809"/>
      <c r="AK156" s="92"/>
      <c r="AL156" s="819"/>
      <c r="AM156" s="836"/>
      <c r="AN156" s="813"/>
      <c r="AO156" s="817"/>
      <c r="AP156" s="820"/>
      <c r="AQ156" s="93"/>
      <c r="AR156" s="93"/>
      <c r="AS156" s="93"/>
      <c r="AT156" s="93"/>
      <c r="AU156" s="93"/>
      <c r="AV156" s="93"/>
      <c r="AW156" s="93"/>
      <c r="AX156" s="93"/>
      <c r="AY156" s="93"/>
      <c r="AZ156" s="93"/>
      <c r="BA156" s="93"/>
      <c r="BB156" s="93"/>
      <c r="BC156" s="93"/>
      <c r="BD156" s="93"/>
      <c r="BE156" s="93"/>
      <c r="BF156" s="93"/>
      <c r="BG156" s="93"/>
      <c r="BH156" s="93"/>
      <c r="BI156" s="93"/>
      <c r="BJ156" s="93"/>
      <c r="BK156" s="93"/>
      <c r="BL156" s="93"/>
      <c r="BM156" s="93"/>
      <c r="BN156" s="93"/>
      <c r="BT156" s="93"/>
      <c r="BU156" s="93"/>
      <c r="BV156" s="93"/>
      <c r="BW156" s="93"/>
      <c r="BX156" s="93"/>
      <c r="BY156" s="93"/>
      <c r="BZ156" s="93"/>
      <c r="CA156" s="93"/>
      <c r="CB156" s="93"/>
      <c r="CC156" s="93"/>
      <c r="CD156" s="93"/>
      <c r="CE156" s="93"/>
      <c r="CF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825"/>
      <c r="DI156" s="826"/>
      <c r="DJ156" s="825"/>
      <c r="GO156" s="92"/>
      <c r="GP156" s="831"/>
    </row>
    <row r="157" spans="1:198" s="806" customFormat="1" ht="15">
      <c r="A157" s="1076"/>
      <c r="B157" s="6"/>
      <c r="C157" s="164"/>
      <c r="D157" s="1062" t="s">
        <v>140</v>
      </c>
      <c r="G157" s="809" t="s">
        <v>140</v>
      </c>
      <c r="H157" s="809" t="s">
        <v>1609</v>
      </c>
      <c r="I157" s="92">
        <v>50</v>
      </c>
      <c r="J157" s="92" t="s">
        <v>10</v>
      </c>
      <c r="K157" s="92" t="s">
        <v>707</v>
      </c>
      <c r="L157" s="810">
        <v>5</v>
      </c>
      <c r="M157" s="811" t="str">
        <f t="shared" si="13"/>
        <v>High School Graduate</v>
      </c>
      <c r="N157" s="92" t="s">
        <v>1208</v>
      </c>
      <c r="O157" s="92" t="s">
        <v>8427</v>
      </c>
      <c r="P157" s="1638"/>
      <c r="Q157" s="92" t="s">
        <v>8427</v>
      </c>
      <c r="R157" s="92" t="s">
        <v>8234</v>
      </c>
      <c r="S157" s="848">
        <v>1300</v>
      </c>
      <c r="T157" s="813">
        <v>7000</v>
      </c>
      <c r="U157" s="813"/>
      <c r="V157" s="864"/>
      <c r="W157" s="838">
        <v>1</v>
      </c>
      <c r="X157" s="811" t="str">
        <f t="shared" si="14"/>
        <v>within the Brgy</v>
      </c>
      <c r="Y157" s="836">
        <v>400</v>
      </c>
      <c r="Z157" s="836"/>
      <c r="AA157" s="836"/>
      <c r="AB157" s="864"/>
      <c r="AC157" s="809" t="s">
        <v>8428</v>
      </c>
      <c r="AD157" s="821"/>
      <c r="AE157" s="93"/>
      <c r="AF157" s="818"/>
      <c r="AG157" s="807" t="str">
        <f t="shared" si="15"/>
        <v/>
      </c>
      <c r="AH157" s="807"/>
      <c r="AI157" s="809"/>
      <c r="AJ157" s="809"/>
      <c r="AK157" s="92"/>
      <c r="AL157" s="819"/>
      <c r="AM157" s="836"/>
      <c r="AN157" s="813"/>
      <c r="AO157" s="817"/>
      <c r="AP157" s="820"/>
      <c r="AQ157" s="93"/>
      <c r="AR157" s="93"/>
      <c r="AS157" s="93"/>
      <c r="AT157" s="93"/>
      <c r="AU157" s="93"/>
      <c r="AV157" s="93"/>
      <c r="AW157" s="93"/>
      <c r="AX157" s="93"/>
      <c r="AY157" s="93"/>
      <c r="AZ157" s="93"/>
      <c r="BA157" s="93"/>
      <c r="BB157" s="93"/>
      <c r="BC157" s="93"/>
      <c r="BD157" s="93"/>
      <c r="BE157" s="93"/>
      <c r="BF157" s="93"/>
      <c r="BG157" s="93"/>
      <c r="BH157" s="93"/>
      <c r="BI157" s="93"/>
      <c r="BJ157" s="93"/>
      <c r="BK157" s="93"/>
      <c r="BL157" s="93"/>
      <c r="BM157" s="93"/>
      <c r="BN157" s="93"/>
      <c r="BT157" s="93"/>
      <c r="BU157" s="93"/>
      <c r="BV157" s="93"/>
      <c r="BW157" s="93"/>
      <c r="BX157" s="93"/>
      <c r="BY157" s="93"/>
      <c r="BZ157" s="93"/>
      <c r="CA157" s="93"/>
      <c r="CB157" s="93"/>
      <c r="CC157" s="93"/>
      <c r="CD157" s="93"/>
      <c r="CE157" s="93"/>
      <c r="CF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825"/>
      <c r="DI157" s="826"/>
      <c r="DJ157" s="825"/>
      <c r="GO157" s="92"/>
      <c r="GP157" s="831"/>
    </row>
    <row r="158" spans="1:198" s="806" customFormat="1" ht="15">
      <c r="A158" s="1076"/>
      <c r="B158" s="6"/>
      <c r="C158" s="164"/>
      <c r="D158" s="1062"/>
      <c r="G158" s="827"/>
      <c r="H158" s="809" t="s">
        <v>8429</v>
      </c>
      <c r="I158" s="92">
        <v>59</v>
      </c>
      <c r="J158" s="92" t="s">
        <v>18</v>
      </c>
      <c r="K158" s="92" t="s">
        <v>707</v>
      </c>
      <c r="L158" s="810">
        <v>5</v>
      </c>
      <c r="M158" s="811" t="str">
        <f t="shared" si="13"/>
        <v>High School Graduate</v>
      </c>
      <c r="N158" s="92"/>
      <c r="O158" s="92" t="s">
        <v>2213</v>
      </c>
      <c r="P158" s="1638"/>
      <c r="Q158" s="92" t="s">
        <v>2213</v>
      </c>
      <c r="R158" s="92"/>
      <c r="S158" s="848"/>
      <c r="T158" s="813"/>
      <c r="U158" s="813"/>
      <c r="V158" s="864">
        <f>SUM(S157:U158)</f>
        <v>8300</v>
      </c>
      <c r="W158" s="838"/>
      <c r="X158" s="811" t="str">
        <f t="shared" si="14"/>
        <v/>
      </c>
      <c r="Y158" s="836"/>
      <c r="AA158" s="836"/>
      <c r="AB158" s="864">
        <f>SUM(Y157:AA158)</f>
        <v>400</v>
      </c>
      <c r="AC158" s="809"/>
      <c r="AD158" s="821"/>
      <c r="AE158" s="93"/>
      <c r="AF158" s="818"/>
      <c r="AG158" s="807" t="str">
        <f t="shared" si="15"/>
        <v/>
      </c>
      <c r="AH158" s="807"/>
      <c r="AI158" s="809"/>
      <c r="AJ158" s="809"/>
      <c r="AK158" s="92"/>
      <c r="AL158" s="819"/>
      <c r="AM158" s="836"/>
      <c r="AN158" s="813"/>
      <c r="AO158" s="817"/>
      <c r="AP158" s="820"/>
      <c r="AQ158" s="93"/>
      <c r="AR158" s="93"/>
      <c r="AS158" s="93"/>
      <c r="AT158" s="93"/>
      <c r="AU158" s="93"/>
      <c r="AV158" s="93"/>
      <c r="AW158" s="93"/>
      <c r="AX158" s="93"/>
      <c r="AY158" s="93"/>
      <c r="AZ158" s="93"/>
      <c r="BA158" s="93"/>
      <c r="BB158" s="93"/>
      <c r="BC158" s="93"/>
      <c r="BD158" s="93"/>
      <c r="BE158" s="93"/>
      <c r="BF158" s="93"/>
      <c r="BG158" s="93"/>
      <c r="BH158" s="93"/>
      <c r="BI158" s="93"/>
      <c r="BJ158" s="93"/>
      <c r="BK158" s="93"/>
      <c r="BL158" s="93"/>
      <c r="BM158" s="93"/>
      <c r="BN158" s="93"/>
      <c r="BT158" s="93"/>
      <c r="BU158" s="93"/>
      <c r="BV158" s="93"/>
      <c r="BW158" s="93"/>
      <c r="BX158" s="93"/>
      <c r="BY158" s="93"/>
      <c r="BZ158" s="93"/>
      <c r="CA158" s="93"/>
      <c r="CB158" s="93"/>
      <c r="CC158" s="93"/>
      <c r="CD158" s="93"/>
      <c r="CE158" s="93"/>
      <c r="CF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825"/>
      <c r="DI158" s="826"/>
      <c r="DJ158" s="825"/>
      <c r="GO158" s="92"/>
      <c r="GP158" s="831"/>
    </row>
    <row r="159" spans="1:198" s="806" customFormat="1" ht="15">
      <c r="A159" s="1076"/>
      <c r="B159" s="6"/>
      <c r="C159" s="6"/>
      <c r="D159" s="1062" t="s">
        <v>142</v>
      </c>
      <c r="G159" s="809" t="s">
        <v>142</v>
      </c>
      <c r="H159" s="809" t="s">
        <v>2054</v>
      </c>
      <c r="I159" s="92">
        <v>40</v>
      </c>
      <c r="J159" s="92" t="s">
        <v>10</v>
      </c>
      <c r="K159" s="92" t="s">
        <v>722</v>
      </c>
      <c r="L159" s="810">
        <v>4</v>
      </c>
      <c r="M159" s="811" t="str">
        <f t="shared" si="13"/>
        <v>High School Level</v>
      </c>
      <c r="N159" s="92" t="s">
        <v>1208</v>
      </c>
      <c r="O159" s="92" t="s">
        <v>8430</v>
      </c>
      <c r="P159" s="1638"/>
      <c r="Q159" s="92" t="s">
        <v>8430</v>
      </c>
      <c r="R159" s="92" t="s">
        <v>8234</v>
      </c>
      <c r="S159" s="848">
        <v>7000</v>
      </c>
      <c r="T159" s="813"/>
      <c r="U159" s="813"/>
      <c r="V159" s="849"/>
      <c r="W159" s="838">
        <v>3</v>
      </c>
      <c r="X159" s="811" t="str">
        <f t="shared" si="14"/>
        <v>within the Province</v>
      </c>
      <c r="Y159" s="836">
        <v>50</v>
      </c>
      <c r="Z159" s="836"/>
      <c r="AA159" s="836"/>
      <c r="AB159" s="849"/>
      <c r="AC159" s="809"/>
      <c r="AD159" s="821"/>
      <c r="AE159" s="93"/>
      <c r="AF159" s="818"/>
      <c r="AG159" s="807" t="str">
        <f t="shared" si="15"/>
        <v/>
      </c>
      <c r="AH159" s="807"/>
      <c r="AI159" s="809"/>
      <c r="AJ159" s="809"/>
      <c r="AK159" s="92"/>
      <c r="AL159" s="819"/>
      <c r="AM159" s="836"/>
      <c r="AN159" s="813"/>
      <c r="AO159" s="817"/>
      <c r="AP159" s="820"/>
      <c r="AQ159" s="93"/>
      <c r="AR159" s="93"/>
      <c r="AS159" s="93"/>
      <c r="AT159" s="93"/>
      <c r="AU159" s="93"/>
      <c r="AV159" s="93"/>
      <c r="AW159" s="93"/>
      <c r="AX159" s="93"/>
      <c r="AY159" s="93"/>
      <c r="AZ159" s="93"/>
      <c r="BA159" s="93"/>
      <c r="BB159" s="93"/>
      <c r="BC159" s="93"/>
      <c r="BD159" s="93"/>
      <c r="BE159" s="93"/>
      <c r="BF159" s="93"/>
      <c r="BG159" s="93"/>
      <c r="BH159" s="93"/>
      <c r="BI159" s="93"/>
      <c r="BJ159" s="93"/>
      <c r="BK159" s="93"/>
      <c r="BL159" s="93"/>
      <c r="BM159" s="93"/>
      <c r="BN159" s="93"/>
      <c r="BT159" s="93"/>
      <c r="BU159" s="93"/>
      <c r="BV159" s="93"/>
      <c r="BW159" s="93"/>
      <c r="BX159" s="93"/>
      <c r="BY159" s="93"/>
      <c r="BZ159" s="93"/>
      <c r="CA159" s="93"/>
      <c r="CB159" s="93"/>
      <c r="CC159" s="93"/>
      <c r="CD159" s="93"/>
      <c r="CE159" s="93"/>
      <c r="CF159" s="93"/>
      <c r="CH159" s="93"/>
      <c r="CI159" s="93"/>
      <c r="CJ159" s="93"/>
      <c r="CK159" s="93"/>
      <c r="CL159" s="93"/>
      <c r="CM159" s="93"/>
      <c r="CN159" s="93"/>
      <c r="CO159" s="93"/>
      <c r="CP159" s="93"/>
      <c r="CQ159" s="93"/>
      <c r="CR159" s="93"/>
      <c r="CS159" s="93"/>
      <c r="CT159" s="93"/>
      <c r="CU159" s="93"/>
      <c r="CV159" s="93"/>
      <c r="CW159" s="93"/>
      <c r="CX159" s="93"/>
      <c r="CY159" s="93"/>
      <c r="CZ159" s="93"/>
      <c r="DA159" s="93"/>
      <c r="DB159" s="93"/>
      <c r="DC159" s="93"/>
      <c r="DD159" s="93"/>
      <c r="DE159" s="93"/>
      <c r="DF159" s="93"/>
      <c r="DG159" s="93"/>
      <c r="DH159" s="825"/>
      <c r="DI159" s="826"/>
      <c r="DJ159" s="825"/>
      <c r="GO159" s="92"/>
      <c r="GP159" s="831"/>
    </row>
    <row r="160" spans="1:198" s="806" customFormat="1" ht="15">
      <c r="A160" s="1076"/>
      <c r="B160" s="6"/>
      <c r="C160" s="6"/>
      <c r="D160" s="1062"/>
      <c r="G160" s="827"/>
      <c r="H160" s="809" t="s">
        <v>8431</v>
      </c>
      <c r="I160" s="92">
        <v>42</v>
      </c>
      <c r="J160" s="92" t="s">
        <v>18</v>
      </c>
      <c r="K160" s="92" t="s">
        <v>722</v>
      </c>
      <c r="L160" s="810">
        <v>4</v>
      </c>
      <c r="M160" s="811" t="str">
        <f t="shared" si="13"/>
        <v>High School Level</v>
      </c>
      <c r="N160" s="92" t="s">
        <v>1208</v>
      </c>
      <c r="O160" s="92" t="s">
        <v>8432</v>
      </c>
      <c r="P160" s="1638"/>
      <c r="Q160" s="92" t="s">
        <v>8432</v>
      </c>
      <c r="R160" s="92"/>
      <c r="S160" s="848"/>
      <c r="T160" s="813"/>
      <c r="U160" s="813">
        <v>1280</v>
      </c>
      <c r="V160" s="849"/>
      <c r="W160" s="838">
        <v>1</v>
      </c>
      <c r="X160" s="811" t="str">
        <f t="shared" si="14"/>
        <v>within the Brgy</v>
      </c>
      <c r="Y160" s="836"/>
      <c r="AA160" s="836"/>
      <c r="AB160" s="849"/>
      <c r="AC160" s="809" t="s">
        <v>8433</v>
      </c>
      <c r="AD160" s="821"/>
      <c r="AE160" s="93"/>
      <c r="AF160" s="818"/>
      <c r="AG160" s="807" t="str">
        <f t="shared" si="15"/>
        <v/>
      </c>
      <c r="AH160" s="807"/>
      <c r="AI160" s="809"/>
      <c r="AJ160" s="809"/>
      <c r="AK160" s="92"/>
      <c r="AL160" s="819"/>
      <c r="AM160" s="836"/>
      <c r="AN160" s="813"/>
      <c r="AO160" s="817"/>
      <c r="AP160" s="820"/>
      <c r="AQ160" s="93"/>
      <c r="AR160" s="93"/>
      <c r="AS160" s="93"/>
      <c r="AT160" s="93"/>
      <c r="AU160" s="93"/>
      <c r="AV160" s="93"/>
      <c r="AW160" s="93"/>
      <c r="AX160" s="93"/>
      <c r="AY160" s="93"/>
      <c r="AZ160" s="93"/>
      <c r="BA160" s="93"/>
      <c r="BB160" s="93"/>
      <c r="BC160" s="93"/>
      <c r="BD160" s="93"/>
      <c r="BE160" s="93"/>
      <c r="BF160" s="93"/>
      <c r="BG160" s="93"/>
      <c r="BH160" s="93"/>
      <c r="BI160" s="93"/>
      <c r="BJ160" s="93"/>
      <c r="BK160" s="93"/>
      <c r="BL160" s="93"/>
      <c r="BM160" s="93"/>
      <c r="BN160" s="93"/>
      <c r="BT160" s="93"/>
      <c r="BU160" s="93"/>
      <c r="BV160" s="93"/>
      <c r="BW160" s="93"/>
      <c r="BX160" s="93"/>
      <c r="BY160" s="93"/>
      <c r="BZ160" s="93"/>
      <c r="CA160" s="93"/>
      <c r="CB160" s="93"/>
      <c r="CC160" s="93"/>
      <c r="CD160" s="93"/>
      <c r="CE160" s="93"/>
      <c r="CF160" s="93"/>
      <c r="CH160" s="93"/>
      <c r="CI160" s="93"/>
      <c r="CJ160" s="93"/>
      <c r="CK160" s="93"/>
      <c r="CL160" s="93"/>
      <c r="CM160" s="93"/>
      <c r="CN160" s="93"/>
      <c r="CO160" s="93"/>
      <c r="CP160" s="93"/>
      <c r="CQ160" s="93"/>
      <c r="CR160" s="93"/>
      <c r="CS160" s="93" t="s">
        <v>2144</v>
      </c>
      <c r="CT160" s="93"/>
      <c r="CU160" s="93"/>
      <c r="CV160" s="93"/>
      <c r="CW160" s="93"/>
      <c r="CX160" s="93"/>
      <c r="CY160" s="93"/>
      <c r="CZ160" s="93"/>
      <c r="DA160" s="93" t="s">
        <v>2145</v>
      </c>
      <c r="DB160" s="93"/>
      <c r="DC160" s="93"/>
      <c r="DD160" s="93"/>
      <c r="DE160" s="93"/>
      <c r="DF160" s="93"/>
      <c r="DG160" s="93"/>
      <c r="DH160" s="825"/>
      <c r="DI160" s="826"/>
      <c r="DJ160" s="825"/>
      <c r="GO160" s="92"/>
      <c r="GP160" s="831"/>
    </row>
    <row r="161" spans="1:198" s="806" customFormat="1" ht="15">
      <c r="A161" s="1076"/>
      <c r="B161" s="6"/>
      <c r="C161" s="6"/>
      <c r="D161" s="1062"/>
      <c r="G161" s="827"/>
      <c r="H161" s="809" t="s">
        <v>8434</v>
      </c>
      <c r="I161" s="92">
        <v>10</v>
      </c>
      <c r="J161" s="92" t="s">
        <v>10</v>
      </c>
      <c r="K161" s="92" t="s">
        <v>768</v>
      </c>
      <c r="L161" s="810">
        <v>2</v>
      </c>
      <c r="M161" s="811" t="str">
        <f t="shared" si="13"/>
        <v>Elementary Level</v>
      </c>
      <c r="N161" s="92"/>
      <c r="O161" s="92"/>
      <c r="P161" s="1638"/>
      <c r="Q161" s="92"/>
      <c r="R161" s="92"/>
      <c r="S161" s="848"/>
      <c r="T161" s="813"/>
      <c r="U161" s="813"/>
      <c r="V161" s="849"/>
      <c r="W161" s="838"/>
      <c r="X161" s="811" t="str">
        <f t="shared" si="14"/>
        <v/>
      </c>
      <c r="Y161" s="836"/>
      <c r="AA161" s="836"/>
      <c r="AB161" s="849"/>
      <c r="AC161" s="809"/>
      <c r="AD161" s="821"/>
      <c r="AE161" s="93"/>
      <c r="AF161" s="818"/>
      <c r="AG161" s="807" t="str">
        <f t="shared" si="15"/>
        <v/>
      </c>
      <c r="AH161" s="807"/>
      <c r="AI161" s="809"/>
      <c r="AJ161" s="809"/>
      <c r="AK161" s="92"/>
      <c r="AL161" s="819"/>
      <c r="AM161" s="836"/>
      <c r="AN161" s="813"/>
      <c r="AO161" s="817"/>
      <c r="AP161" s="820"/>
      <c r="AQ161" s="93"/>
      <c r="AR161" s="93"/>
      <c r="AS161" s="93"/>
      <c r="AT161" s="93"/>
      <c r="AU161" s="93"/>
      <c r="AV161" s="93"/>
      <c r="AW161" s="93"/>
      <c r="AX161" s="93"/>
      <c r="AY161" s="93"/>
      <c r="AZ161" s="93"/>
      <c r="BA161" s="93"/>
      <c r="BB161" s="93"/>
      <c r="BC161" s="93"/>
      <c r="BD161" s="93"/>
      <c r="BE161" s="93"/>
      <c r="BF161" s="93"/>
      <c r="BG161" s="93"/>
      <c r="BH161" s="93"/>
      <c r="BI161" s="93"/>
      <c r="BJ161" s="93"/>
      <c r="BK161" s="93"/>
      <c r="BL161" s="93"/>
      <c r="BM161" s="93"/>
      <c r="BN161" s="93"/>
      <c r="BT161" s="93"/>
      <c r="BU161" s="93"/>
      <c r="BV161" s="93"/>
      <c r="BW161" s="93"/>
      <c r="BX161" s="93"/>
      <c r="BY161" s="93"/>
      <c r="BZ161" s="93"/>
      <c r="CA161" s="93"/>
      <c r="CB161" s="93"/>
      <c r="CC161" s="93"/>
      <c r="CD161" s="93"/>
      <c r="CE161" s="93"/>
      <c r="CF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825"/>
      <c r="DI161" s="826"/>
      <c r="DJ161" s="825"/>
      <c r="GO161" s="92"/>
      <c r="GP161" s="831"/>
    </row>
    <row r="162" spans="1:198" s="806" customFormat="1" ht="15">
      <c r="A162" s="1076"/>
      <c r="B162" s="6"/>
      <c r="C162" s="6"/>
      <c r="D162" s="1062"/>
      <c r="G162" s="827"/>
      <c r="H162" s="809" t="s">
        <v>8435</v>
      </c>
      <c r="I162" s="92">
        <v>9</v>
      </c>
      <c r="J162" s="92" t="s">
        <v>10</v>
      </c>
      <c r="K162" s="92" t="s">
        <v>768</v>
      </c>
      <c r="L162" s="810">
        <v>2</v>
      </c>
      <c r="M162" s="811" t="str">
        <f t="shared" si="13"/>
        <v>Elementary Level</v>
      </c>
      <c r="N162" s="92"/>
      <c r="O162" s="92"/>
      <c r="P162" s="1638"/>
      <c r="Q162" s="92"/>
      <c r="R162" s="92"/>
      <c r="S162" s="848"/>
      <c r="T162" s="813"/>
      <c r="U162" s="813"/>
      <c r="V162" s="849"/>
      <c r="W162" s="838"/>
      <c r="X162" s="811" t="str">
        <f t="shared" si="14"/>
        <v/>
      </c>
      <c r="Y162" s="836"/>
      <c r="AA162" s="836"/>
      <c r="AB162" s="849"/>
      <c r="AC162" s="809"/>
      <c r="AD162" s="821"/>
      <c r="AE162" s="93"/>
      <c r="AF162" s="818"/>
      <c r="AG162" s="807" t="str">
        <f t="shared" si="15"/>
        <v/>
      </c>
      <c r="AH162" s="807"/>
      <c r="AI162" s="809"/>
      <c r="AJ162" s="809"/>
      <c r="AK162" s="92"/>
      <c r="AL162" s="819"/>
      <c r="AM162" s="836"/>
      <c r="AN162" s="813"/>
      <c r="AO162" s="817"/>
      <c r="AP162" s="820"/>
      <c r="AQ162" s="93"/>
      <c r="AR162" s="93"/>
      <c r="AS162" s="93"/>
      <c r="AT162" s="93"/>
      <c r="AU162" s="93"/>
      <c r="AV162" s="93"/>
      <c r="AW162" s="93"/>
      <c r="AX162" s="93"/>
      <c r="AY162" s="93"/>
      <c r="AZ162" s="93"/>
      <c r="BA162" s="93"/>
      <c r="BB162" s="93"/>
      <c r="BC162" s="93"/>
      <c r="BD162" s="93"/>
      <c r="BE162" s="93"/>
      <c r="BF162" s="93"/>
      <c r="BG162" s="93"/>
      <c r="BH162" s="93"/>
      <c r="BI162" s="93"/>
      <c r="BJ162" s="93"/>
      <c r="BK162" s="93"/>
      <c r="BL162" s="93"/>
      <c r="BM162" s="93"/>
      <c r="BN162" s="93"/>
      <c r="BT162" s="93"/>
      <c r="BU162" s="93"/>
      <c r="BV162" s="93"/>
      <c r="BW162" s="93"/>
      <c r="BX162" s="93"/>
      <c r="BY162" s="93"/>
      <c r="BZ162" s="93"/>
      <c r="CA162" s="93"/>
      <c r="CB162" s="93"/>
      <c r="CC162" s="93"/>
      <c r="CD162" s="93"/>
      <c r="CE162" s="93"/>
      <c r="CF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825"/>
      <c r="DI162" s="826"/>
      <c r="DJ162" s="825"/>
      <c r="GO162" s="92"/>
      <c r="GP162" s="831"/>
    </row>
    <row r="163" spans="1:198" s="806" customFormat="1" ht="15">
      <c r="A163" s="1076"/>
      <c r="B163" s="6"/>
      <c r="C163" s="6"/>
      <c r="D163" s="1062"/>
      <c r="G163" s="827"/>
      <c r="H163" s="809" t="s">
        <v>8436</v>
      </c>
      <c r="I163" s="92">
        <v>6</v>
      </c>
      <c r="J163" s="92" t="s">
        <v>10</v>
      </c>
      <c r="K163" s="92" t="s">
        <v>768</v>
      </c>
      <c r="L163" s="810">
        <v>2</v>
      </c>
      <c r="M163" s="811" t="str">
        <f t="shared" si="13"/>
        <v>Elementary Level</v>
      </c>
      <c r="N163" s="92"/>
      <c r="O163" s="92"/>
      <c r="P163" s="1638"/>
      <c r="Q163" s="92"/>
      <c r="R163" s="92"/>
      <c r="S163" s="848"/>
      <c r="T163" s="813"/>
      <c r="U163" s="813"/>
      <c r="V163" s="849"/>
      <c r="W163" s="838"/>
      <c r="X163" s="811" t="str">
        <f t="shared" si="14"/>
        <v/>
      </c>
      <c r="Y163" s="836"/>
      <c r="AA163" s="836"/>
      <c r="AB163" s="849"/>
      <c r="AC163" s="809"/>
      <c r="AD163" s="821"/>
      <c r="AE163" s="93"/>
      <c r="AF163" s="818"/>
      <c r="AG163" s="807" t="str">
        <f t="shared" si="15"/>
        <v/>
      </c>
      <c r="AH163" s="807"/>
      <c r="AI163" s="809"/>
      <c r="AJ163" s="809"/>
      <c r="AK163" s="92"/>
      <c r="AL163" s="819"/>
      <c r="AM163" s="836"/>
      <c r="AN163" s="813"/>
      <c r="AO163" s="817"/>
      <c r="AP163" s="820"/>
      <c r="AQ163" s="93"/>
      <c r="AR163" s="93"/>
      <c r="AS163" s="93"/>
      <c r="AT163" s="93"/>
      <c r="AU163" s="93"/>
      <c r="AV163" s="93"/>
      <c r="AW163" s="93"/>
      <c r="AX163" s="93"/>
      <c r="AY163" s="93"/>
      <c r="AZ163" s="93"/>
      <c r="BA163" s="93"/>
      <c r="BB163" s="93"/>
      <c r="BC163" s="93"/>
      <c r="BD163" s="93"/>
      <c r="BE163" s="93"/>
      <c r="BF163" s="93"/>
      <c r="BG163" s="93"/>
      <c r="BH163" s="93"/>
      <c r="BI163" s="93"/>
      <c r="BJ163" s="93"/>
      <c r="BK163" s="93"/>
      <c r="BL163" s="93"/>
      <c r="BM163" s="93"/>
      <c r="BN163" s="93"/>
      <c r="BT163" s="93"/>
      <c r="BU163" s="93"/>
      <c r="BV163" s="93"/>
      <c r="BW163" s="93"/>
      <c r="BX163" s="93"/>
      <c r="BY163" s="93"/>
      <c r="BZ163" s="93"/>
      <c r="CA163" s="93"/>
      <c r="CB163" s="93"/>
      <c r="CC163" s="93"/>
      <c r="CD163" s="93"/>
      <c r="CE163" s="93"/>
      <c r="CF163" s="93"/>
      <c r="CH163" s="93"/>
      <c r="CI163" s="93"/>
      <c r="CJ163" s="93"/>
      <c r="CK163" s="93"/>
      <c r="CL163" s="93"/>
      <c r="CM163" s="93"/>
      <c r="CN163" s="93"/>
      <c r="CO163" s="93"/>
      <c r="CP163" s="93"/>
      <c r="CQ163" s="93"/>
      <c r="CR163" s="93"/>
      <c r="CS163" s="93"/>
      <c r="CT163" s="93"/>
      <c r="CU163" s="93"/>
      <c r="CV163" s="93"/>
      <c r="CW163" s="93"/>
      <c r="CX163" s="93"/>
      <c r="CY163" s="93"/>
      <c r="CZ163" s="93"/>
      <c r="DA163" s="93"/>
      <c r="DB163" s="93"/>
      <c r="DC163" s="93"/>
      <c r="DD163" s="93"/>
      <c r="DE163" s="93"/>
      <c r="DF163" s="93"/>
      <c r="DG163" s="93"/>
      <c r="DH163" s="825"/>
      <c r="DI163" s="826"/>
      <c r="DJ163" s="825"/>
      <c r="GO163" s="92"/>
      <c r="GP163" s="831"/>
    </row>
    <row r="164" spans="1:198" s="806" customFormat="1" ht="15">
      <c r="A164" s="1076"/>
      <c r="B164" s="6"/>
      <c r="C164" s="6"/>
      <c r="D164" s="1062"/>
      <c r="G164" s="827"/>
      <c r="H164" s="809" t="s">
        <v>8437</v>
      </c>
      <c r="I164" s="92">
        <v>5</v>
      </c>
      <c r="J164" s="92" t="s">
        <v>10</v>
      </c>
      <c r="K164" s="92" t="s">
        <v>768</v>
      </c>
      <c r="L164" s="810">
        <v>1</v>
      </c>
      <c r="M164" s="811" t="str">
        <f t="shared" si="13"/>
        <v>Pre-school</v>
      </c>
      <c r="N164" s="92"/>
      <c r="O164" s="92"/>
      <c r="P164" s="1638"/>
      <c r="Q164" s="92"/>
      <c r="R164" s="92"/>
      <c r="S164" s="848"/>
      <c r="T164" s="813"/>
      <c r="U164" s="813"/>
      <c r="V164" s="849"/>
      <c r="W164" s="838"/>
      <c r="X164" s="811" t="str">
        <f t="shared" si="14"/>
        <v/>
      </c>
      <c r="Y164" s="836"/>
      <c r="AA164" s="836"/>
      <c r="AB164" s="849"/>
      <c r="AC164" s="809"/>
      <c r="AD164" s="821"/>
      <c r="AE164" s="93"/>
      <c r="AF164" s="818"/>
      <c r="AG164" s="807" t="str">
        <f t="shared" si="15"/>
        <v/>
      </c>
      <c r="AH164" s="807"/>
      <c r="AI164" s="809"/>
      <c r="AJ164" s="809"/>
      <c r="AK164" s="92"/>
      <c r="AL164" s="819"/>
      <c r="AM164" s="836"/>
      <c r="AN164" s="813"/>
      <c r="AO164" s="817"/>
      <c r="AP164" s="820"/>
      <c r="AQ164" s="93"/>
      <c r="AR164" s="93"/>
      <c r="AS164" s="93"/>
      <c r="AT164" s="93"/>
      <c r="AU164" s="93"/>
      <c r="AV164" s="93"/>
      <c r="AW164" s="93"/>
      <c r="AX164" s="93"/>
      <c r="AY164" s="93"/>
      <c r="AZ164" s="93"/>
      <c r="BA164" s="93"/>
      <c r="BB164" s="93"/>
      <c r="BC164" s="93"/>
      <c r="BD164" s="93"/>
      <c r="BE164" s="93"/>
      <c r="BF164" s="93"/>
      <c r="BG164" s="93"/>
      <c r="BH164" s="93"/>
      <c r="BI164" s="93"/>
      <c r="BJ164" s="93"/>
      <c r="BK164" s="93"/>
      <c r="BL164" s="93"/>
      <c r="BM164" s="93"/>
      <c r="BN164" s="93"/>
      <c r="BT164" s="93"/>
      <c r="BU164" s="93"/>
      <c r="BV164" s="93"/>
      <c r="BW164" s="93"/>
      <c r="BX164" s="93"/>
      <c r="BY164" s="93"/>
      <c r="BZ164" s="93"/>
      <c r="CA164" s="93"/>
      <c r="CB164" s="93"/>
      <c r="CC164" s="93"/>
      <c r="CD164" s="93"/>
      <c r="CE164" s="93"/>
      <c r="CF164" s="93"/>
      <c r="CH164" s="93"/>
      <c r="CI164" s="93"/>
      <c r="CJ164" s="93"/>
      <c r="CK164" s="93"/>
      <c r="CL164" s="93"/>
      <c r="CM164" s="93"/>
      <c r="CN164" s="93"/>
      <c r="CO164" s="93"/>
      <c r="CP164" s="93"/>
      <c r="CQ164" s="93"/>
      <c r="CR164" s="93"/>
      <c r="CS164" s="93"/>
      <c r="CT164" s="93"/>
      <c r="CU164" s="93"/>
      <c r="CV164" s="93"/>
      <c r="CW164" s="93"/>
      <c r="CX164" s="93"/>
      <c r="CY164" s="93"/>
      <c r="CZ164" s="93"/>
      <c r="DA164" s="93"/>
      <c r="DB164" s="93"/>
      <c r="DC164" s="93"/>
      <c r="DD164" s="93"/>
      <c r="DE164" s="93"/>
      <c r="DF164" s="93"/>
      <c r="DG164" s="93"/>
      <c r="DH164" s="825"/>
      <c r="DI164" s="826"/>
      <c r="DJ164" s="825"/>
      <c r="GO164" s="92"/>
      <c r="GP164" s="831"/>
    </row>
    <row r="165" spans="1:198" s="806" customFormat="1" ht="15">
      <c r="A165" s="1076"/>
      <c r="B165" s="6"/>
      <c r="C165" s="6"/>
      <c r="D165" s="1062"/>
      <c r="G165" s="827"/>
      <c r="H165" s="809" t="s">
        <v>8438</v>
      </c>
      <c r="I165" s="92">
        <v>1</v>
      </c>
      <c r="J165" s="92" t="s">
        <v>10</v>
      </c>
      <c r="K165" s="92" t="s">
        <v>768</v>
      </c>
      <c r="L165" s="810">
        <v>10</v>
      </c>
      <c r="M165" s="811" t="str">
        <f t="shared" si="13"/>
        <v>Not In School Age</v>
      </c>
      <c r="N165" s="92"/>
      <c r="O165" s="92"/>
      <c r="P165" s="1638"/>
      <c r="Q165" s="92"/>
      <c r="R165" s="92"/>
      <c r="S165" s="848"/>
      <c r="T165" s="813"/>
      <c r="U165" s="813"/>
      <c r="V165" s="849">
        <f>SUM(S159:U165)</f>
        <v>8280</v>
      </c>
      <c r="W165" s="838"/>
      <c r="X165" s="811" t="str">
        <f t="shared" si="14"/>
        <v/>
      </c>
      <c r="Y165" s="836"/>
      <c r="AA165" s="836"/>
      <c r="AB165" s="849">
        <f>SUM(Y159:AA165)</f>
        <v>50</v>
      </c>
      <c r="AC165" s="809"/>
      <c r="AD165" s="821"/>
      <c r="AE165" s="93"/>
      <c r="AF165" s="818"/>
      <c r="AG165" s="807" t="str">
        <f t="shared" si="15"/>
        <v/>
      </c>
      <c r="AH165" s="807"/>
      <c r="AI165" s="809"/>
      <c r="AJ165" s="809"/>
      <c r="AK165" s="92"/>
      <c r="AL165" s="819"/>
      <c r="AM165" s="836"/>
      <c r="AN165" s="813"/>
      <c r="AO165" s="817"/>
      <c r="AP165" s="820"/>
      <c r="AQ165" s="93"/>
      <c r="AR165" s="93"/>
      <c r="AS165" s="93"/>
      <c r="AT165" s="93"/>
      <c r="AU165" s="93"/>
      <c r="AV165" s="93"/>
      <c r="AW165" s="93"/>
      <c r="AX165" s="93"/>
      <c r="AY165" s="93"/>
      <c r="AZ165" s="93"/>
      <c r="BA165" s="93"/>
      <c r="BB165" s="93"/>
      <c r="BC165" s="93"/>
      <c r="BD165" s="93"/>
      <c r="BE165" s="93"/>
      <c r="BF165" s="93"/>
      <c r="BG165" s="93"/>
      <c r="BH165" s="93"/>
      <c r="BI165" s="93"/>
      <c r="BJ165" s="93"/>
      <c r="BK165" s="93"/>
      <c r="BL165" s="93"/>
      <c r="BM165" s="93"/>
      <c r="BN165" s="93"/>
      <c r="BT165" s="93"/>
      <c r="BU165" s="93"/>
      <c r="BV165" s="93"/>
      <c r="BW165" s="93"/>
      <c r="BX165" s="93"/>
      <c r="BY165" s="93"/>
      <c r="BZ165" s="93"/>
      <c r="CA165" s="93"/>
      <c r="CB165" s="93"/>
      <c r="CC165" s="93"/>
      <c r="CD165" s="93"/>
      <c r="CE165" s="93"/>
      <c r="CF165" s="93"/>
      <c r="CH165" s="93"/>
      <c r="CI165" s="93"/>
      <c r="CJ165" s="93"/>
      <c r="CK165" s="93"/>
      <c r="CL165" s="93"/>
      <c r="CM165" s="93"/>
      <c r="CN165" s="93"/>
      <c r="CO165" s="93"/>
      <c r="CP165" s="93"/>
      <c r="CQ165" s="93"/>
      <c r="CR165" s="93"/>
      <c r="CS165" s="93"/>
      <c r="CT165" s="93"/>
      <c r="CU165" s="93"/>
      <c r="CV165" s="93"/>
      <c r="CW165" s="93"/>
      <c r="CX165" s="93"/>
      <c r="CY165" s="93"/>
      <c r="CZ165" s="93"/>
      <c r="DA165" s="93"/>
      <c r="DB165" s="93"/>
      <c r="DC165" s="93"/>
      <c r="DD165" s="93"/>
      <c r="DE165" s="93"/>
      <c r="DF165" s="93"/>
      <c r="DG165" s="93"/>
      <c r="DH165" s="825"/>
      <c r="DI165" s="826"/>
      <c r="DJ165" s="825"/>
      <c r="GO165" s="92"/>
      <c r="GP165" s="831"/>
    </row>
    <row r="166" spans="1:198" s="806" customFormat="1" ht="15">
      <c r="A166" s="1076"/>
      <c r="B166" s="6"/>
      <c r="C166" s="6"/>
      <c r="D166" s="1062" t="s">
        <v>143</v>
      </c>
      <c r="G166" s="809" t="s">
        <v>143</v>
      </c>
      <c r="H166" s="809" t="s">
        <v>2055</v>
      </c>
      <c r="I166" s="92">
        <v>25</v>
      </c>
      <c r="J166" s="92" t="s">
        <v>10</v>
      </c>
      <c r="K166" s="92" t="s">
        <v>722</v>
      </c>
      <c r="L166" s="810">
        <v>5</v>
      </c>
      <c r="M166" s="811" t="str">
        <f t="shared" si="13"/>
        <v>High School Graduate</v>
      </c>
      <c r="N166" s="92" t="s">
        <v>1208</v>
      </c>
      <c r="O166" s="92" t="s">
        <v>8439</v>
      </c>
      <c r="P166" s="1638"/>
      <c r="Q166" s="92" t="s">
        <v>8439</v>
      </c>
      <c r="R166" s="92" t="s">
        <v>8234</v>
      </c>
      <c r="S166" s="848">
        <v>11000</v>
      </c>
      <c r="T166" s="813"/>
      <c r="U166" s="813"/>
      <c r="V166" s="837"/>
      <c r="W166" s="838">
        <v>3</v>
      </c>
      <c r="X166" s="811" t="str">
        <f t="shared" si="14"/>
        <v>within the Province</v>
      </c>
      <c r="Y166" s="836">
        <v>560</v>
      </c>
      <c r="Z166" s="836"/>
      <c r="AA166" s="836"/>
      <c r="AB166" s="837"/>
      <c r="AC166" s="809" t="s">
        <v>8179</v>
      </c>
      <c r="AD166" s="821"/>
      <c r="AE166" s="93"/>
      <c r="AF166" s="818"/>
      <c r="AG166" s="807" t="str">
        <f t="shared" si="15"/>
        <v/>
      </c>
      <c r="AH166" s="807"/>
      <c r="AI166" s="809"/>
      <c r="AJ166" s="809"/>
      <c r="AK166" s="92"/>
      <c r="AL166" s="819"/>
      <c r="AM166" s="836"/>
      <c r="AN166" s="813"/>
      <c r="AO166" s="817"/>
      <c r="AP166" s="820"/>
      <c r="AQ166" s="93"/>
      <c r="AR166" s="93"/>
      <c r="AS166" s="93"/>
      <c r="AT166" s="93"/>
      <c r="AU166" s="93"/>
      <c r="AV166" s="93"/>
      <c r="AW166" s="93"/>
      <c r="AX166" s="93"/>
      <c r="AY166" s="93"/>
      <c r="AZ166" s="93"/>
      <c r="BA166" s="93"/>
      <c r="BB166" s="93"/>
      <c r="BC166" s="93"/>
      <c r="BD166" s="93"/>
      <c r="BE166" s="93"/>
      <c r="BF166" s="93"/>
      <c r="BG166" s="93"/>
      <c r="BH166" s="93"/>
      <c r="BI166" s="93"/>
      <c r="BJ166" s="93"/>
      <c r="BK166" s="93"/>
      <c r="BL166" s="93"/>
      <c r="BM166" s="93"/>
      <c r="BN166" s="93"/>
      <c r="BT166" s="93"/>
      <c r="BU166" s="93"/>
      <c r="BV166" s="93"/>
      <c r="BW166" s="93"/>
      <c r="BX166" s="93"/>
      <c r="BY166" s="93"/>
      <c r="BZ166" s="93"/>
      <c r="CA166" s="93"/>
      <c r="CB166" s="93"/>
      <c r="CC166" s="93"/>
      <c r="CD166" s="93"/>
      <c r="CE166" s="93"/>
      <c r="CF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825"/>
      <c r="DI166" s="826"/>
      <c r="DJ166" s="825"/>
      <c r="GO166" s="92"/>
      <c r="GP166" s="831"/>
    </row>
    <row r="167" spans="1:198" s="806" customFormat="1" ht="15">
      <c r="A167" s="1076"/>
      <c r="B167" s="6"/>
      <c r="C167" s="6"/>
      <c r="D167" s="1062"/>
      <c r="G167" s="827"/>
      <c r="H167" s="809" t="s">
        <v>8440</v>
      </c>
      <c r="I167" s="92">
        <v>24</v>
      </c>
      <c r="J167" s="92" t="s">
        <v>18</v>
      </c>
      <c r="K167" s="92" t="s">
        <v>722</v>
      </c>
      <c r="L167" s="810">
        <v>5</v>
      </c>
      <c r="M167" s="811" t="str">
        <f t="shared" si="13"/>
        <v>High School Graduate</v>
      </c>
      <c r="N167" s="92"/>
      <c r="O167" s="92" t="s">
        <v>2213</v>
      </c>
      <c r="P167" s="1638"/>
      <c r="Q167" s="92" t="s">
        <v>2213</v>
      </c>
      <c r="R167" s="92"/>
      <c r="S167" s="848"/>
      <c r="T167" s="813"/>
      <c r="U167" s="813"/>
      <c r="V167" s="837"/>
      <c r="W167" s="838"/>
      <c r="X167" s="811" t="str">
        <f t="shared" si="14"/>
        <v/>
      </c>
      <c r="Y167" s="836"/>
      <c r="AA167" s="836"/>
      <c r="AB167" s="837"/>
      <c r="AC167" s="809"/>
      <c r="AD167" s="821"/>
      <c r="AE167" s="93"/>
      <c r="AF167" s="818"/>
      <c r="AG167" s="807" t="str">
        <f t="shared" si="15"/>
        <v/>
      </c>
      <c r="AH167" s="807"/>
      <c r="AI167" s="809"/>
      <c r="AJ167" s="809"/>
      <c r="AK167" s="92"/>
      <c r="AL167" s="819"/>
      <c r="AM167" s="836"/>
      <c r="AN167" s="813"/>
      <c r="AO167" s="817"/>
      <c r="AP167" s="820"/>
      <c r="AQ167" s="93"/>
      <c r="AR167" s="93"/>
      <c r="AS167" s="93"/>
      <c r="AT167" s="93"/>
      <c r="AU167" s="93"/>
      <c r="AV167" s="93"/>
      <c r="AW167" s="93"/>
      <c r="AX167" s="93"/>
      <c r="AY167" s="93"/>
      <c r="AZ167" s="93"/>
      <c r="BA167" s="93"/>
      <c r="BB167" s="93"/>
      <c r="BC167" s="93"/>
      <c r="BD167" s="93"/>
      <c r="BE167" s="93"/>
      <c r="BF167" s="93"/>
      <c r="BG167" s="93"/>
      <c r="BH167" s="93"/>
      <c r="BI167" s="93"/>
      <c r="BJ167" s="93"/>
      <c r="BK167" s="93"/>
      <c r="BL167" s="93"/>
      <c r="BM167" s="93"/>
      <c r="BN167" s="93"/>
      <c r="BT167" s="93"/>
      <c r="BU167" s="93"/>
      <c r="BV167" s="93"/>
      <c r="BW167" s="93"/>
      <c r="BX167" s="93"/>
      <c r="BY167" s="93"/>
      <c r="BZ167" s="93"/>
      <c r="CA167" s="93"/>
      <c r="CB167" s="93"/>
      <c r="CC167" s="93"/>
      <c r="CD167" s="93"/>
      <c r="CE167" s="93"/>
      <c r="CF167" s="93"/>
      <c r="CH167" s="93"/>
      <c r="CI167" s="93"/>
      <c r="CJ167" s="93"/>
      <c r="CK167" s="93"/>
      <c r="CL167" s="93"/>
      <c r="CM167" s="93"/>
      <c r="CN167" s="93"/>
      <c r="CO167" s="93"/>
      <c r="CP167" s="93"/>
      <c r="CQ167" s="93"/>
      <c r="CR167" s="93"/>
      <c r="CS167" s="93"/>
      <c r="CT167" s="93"/>
      <c r="CU167" s="93"/>
      <c r="CV167" s="93"/>
      <c r="CW167" s="93"/>
      <c r="CX167" s="93"/>
      <c r="CY167" s="93"/>
      <c r="CZ167" s="93"/>
      <c r="DA167" s="93"/>
      <c r="DB167" s="93"/>
      <c r="DC167" s="93"/>
      <c r="DD167" s="93"/>
      <c r="DE167" s="93"/>
      <c r="DF167" s="93"/>
      <c r="DG167" s="93"/>
      <c r="DH167" s="825"/>
      <c r="DI167" s="826"/>
      <c r="DJ167" s="825"/>
      <c r="GO167" s="92"/>
      <c r="GP167" s="831"/>
    </row>
    <row r="168" spans="1:198" s="806" customFormat="1" ht="15">
      <c r="A168" s="1076"/>
      <c r="B168" s="6"/>
      <c r="C168" s="6"/>
      <c r="D168" s="1062"/>
      <c r="G168" s="827"/>
      <c r="H168" s="809" t="s">
        <v>8441</v>
      </c>
      <c r="I168" s="92">
        <v>3</v>
      </c>
      <c r="J168" s="92" t="s">
        <v>18</v>
      </c>
      <c r="K168" s="92" t="s">
        <v>768</v>
      </c>
      <c r="L168" s="810">
        <v>10</v>
      </c>
      <c r="M168" s="811" t="str">
        <f t="shared" si="13"/>
        <v>Not In School Age</v>
      </c>
      <c r="N168" s="92"/>
      <c r="O168" s="92"/>
      <c r="P168" s="1638"/>
      <c r="Q168" s="92"/>
      <c r="R168" s="92"/>
      <c r="S168" s="848"/>
      <c r="T168" s="813"/>
      <c r="U168" s="813"/>
      <c r="V168" s="837"/>
      <c r="W168" s="838"/>
      <c r="X168" s="811" t="str">
        <f t="shared" si="14"/>
        <v/>
      </c>
      <c r="Y168" s="836"/>
      <c r="AA168" s="836"/>
      <c r="AB168" s="837"/>
      <c r="AC168" s="809"/>
      <c r="AD168" s="821"/>
      <c r="AE168" s="93"/>
      <c r="AF168" s="818"/>
      <c r="AG168" s="807" t="str">
        <f t="shared" si="15"/>
        <v/>
      </c>
      <c r="AH168" s="807"/>
      <c r="AI168" s="809"/>
      <c r="AJ168" s="809"/>
      <c r="AK168" s="92"/>
      <c r="AL168" s="819"/>
      <c r="AM168" s="836"/>
      <c r="AN168" s="813"/>
      <c r="AO168" s="817"/>
      <c r="AP168" s="820"/>
      <c r="AQ168" s="93"/>
      <c r="AR168" s="93"/>
      <c r="AS168" s="93"/>
      <c r="AT168" s="93"/>
      <c r="AU168" s="93"/>
      <c r="AV168" s="93"/>
      <c r="AW168" s="93"/>
      <c r="AX168" s="93"/>
      <c r="AY168" s="93"/>
      <c r="AZ168" s="93"/>
      <c r="BA168" s="93"/>
      <c r="BB168" s="93"/>
      <c r="BC168" s="93"/>
      <c r="BD168" s="93"/>
      <c r="BE168" s="93"/>
      <c r="BF168" s="93"/>
      <c r="BG168" s="93"/>
      <c r="BH168" s="93"/>
      <c r="BI168" s="93"/>
      <c r="BJ168" s="93"/>
      <c r="BK168" s="93"/>
      <c r="BL168" s="93"/>
      <c r="BM168" s="93"/>
      <c r="BN168" s="93"/>
      <c r="BT168" s="93"/>
      <c r="BU168" s="93"/>
      <c r="BV168" s="93"/>
      <c r="BW168" s="93"/>
      <c r="BX168" s="93"/>
      <c r="BY168" s="93"/>
      <c r="BZ168" s="93"/>
      <c r="CA168" s="93"/>
      <c r="CB168" s="93"/>
      <c r="CC168" s="93"/>
      <c r="CD168" s="93"/>
      <c r="CE168" s="93"/>
      <c r="CF168" s="93"/>
      <c r="CH168" s="93"/>
      <c r="CI168" s="93"/>
      <c r="CJ168" s="93"/>
      <c r="CK168" s="93"/>
      <c r="CL168" s="93"/>
      <c r="CM168" s="93"/>
      <c r="CN168" s="93"/>
      <c r="CO168" s="93"/>
      <c r="CP168" s="93"/>
      <c r="CQ168" s="93"/>
      <c r="CR168" s="93"/>
      <c r="CS168" s="93"/>
      <c r="CT168" s="93"/>
      <c r="CU168" s="93"/>
      <c r="CV168" s="93"/>
      <c r="CW168" s="93"/>
      <c r="CX168" s="93"/>
      <c r="CY168" s="93"/>
      <c r="CZ168" s="93"/>
      <c r="DA168" s="93"/>
      <c r="DB168" s="93"/>
      <c r="DC168" s="93"/>
      <c r="DD168" s="93"/>
      <c r="DE168" s="93"/>
      <c r="DF168" s="93"/>
      <c r="DG168" s="93"/>
      <c r="DH168" s="825"/>
      <c r="DI168" s="826"/>
      <c r="DJ168" s="825"/>
      <c r="GO168" s="92"/>
      <c r="GP168" s="831"/>
    </row>
    <row r="169" spans="1:198" s="806" customFormat="1" ht="15">
      <c r="A169" s="1076"/>
      <c r="B169" s="6"/>
      <c r="C169" s="6"/>
      <c r="D169" s="1062"/>
      <c r="G169" s="827"/>
      <c r="H169" s="809" t="s">
        <v>8442</v>
      </c>
      <c r="I169" s="92">
        <v>1</v>
      </c>
      <c r="J169" s="92" t="s">
        <v>18</v>
      </c>
      <c r="K169" s="92" t="s">
        <v>768</v>
      </c>
      <c r="L169" s="810">
        <v>10</v>
      </c>
      <c r="M169" s="811" t="str">
        <f t="shared" si="13"/>
        <v>Not In School Age</v>
      </c>
      <c r="N169" s="92"/>
      <c r="O169" s="92"/>
      <c r="P169" s="1638"/>
      <c r="Q169" s="92"/>
      <c r="R169" s="92"/>
      <c r="S169" s="848"/>
      <c r="T169" s="813"/>
      <c r="U169" s="813"/>
      <c r="V169" s="837">
        <f>SUM(S166:U169)</f>
        <v>11000</v>
      </c>
      <c r="W169" s="838"/>
      <c r="X169" s="811" t="str">
        <f t="shared" si="14"/>
        <v/>
      </c>
      <c r="Y169" s="836"/>
      <c r="AA169" s="836"/>
      <c r="AB169" s="837">
        <f>SUM(Y166:AA169)</f>
        <v>560</v>
      </c>
      <c r="AC169" s="809"/>
      <c r="AD169" s="821"/>
      <c r="AE169" s="93"/>
      <c r="AF169" s="818"/>
      <c r="AG169" s="807" t="str">
        <f t="shared" si="15"/>
        <v/>
      </c>
      <c r="AH169" s="807"/>
      <c r="AI169" s="809"/>
      <c r="AJ169" s="809"/>
      <c r="AK169" s="92"/>
      <c r="AL169" s="819"/>
      <c r="AM169" s="836"/>
      <c r="AN169" s="813"/>
      <c r="AO169" s="817"/>
      <c r="AP169" s="820"/>
      <c r="AQ169" s="93"/>
      <c r="AR169" s="93"/>
      <c r="AS169" s="93"/>
      <c r="AT169" s="93"/>
      <c r="AU169" s="93"/>
      <c r="AV169" s="93"/>
      <c r="AW169" s="93"/>
      <c r="AX169" s="93"/>
      <c r="AY169" s="93"/>
      <c r="AZ169" s="93"/>
      <c r="BA169" s="93"/>
      <c r="BB169" s="93"/>
      <c r="BC169" s="93"/>
      <c r="BD169" s="93"/>
      <c r="BE169" s="93"/>
      <c r="BF169" s="93"/>
      <c r="BG169" s="93"/>
      <c r="BH169" s="93"/>
      <c r="BI169" s="93"/>
      <c r="BJ169" s="93"/>
      <c r="BK169" s="93"/>
      <c r="BL169" s="93"/>
      <c r="BM169" s="93"/>
      <c r="BN169" s="93"/>
      <c r="BT169" s="93"/>
      <c r="BU169" s="93"/>
      <c r="BV169" s="93"/>
      <c r="BW169" s="93"/>
      <c r="BX169" s="93"/>
      <c r="BY169" s="93"/>
      <c r="BZ169" s="93"/>
      <c r="CA169" s="93"/>
      <c r="CB169" s="93"/>
      <c r="CC169" s="93"/>
      <c r="CD169" s="93"/>
      <c r="CE169" s="93"/>
      <c r="CF169" s="93"/>
      <c r="CH169" s="93"/>
      <c r="CI169" s="93"/>
      <c r="CJ169" s="93"/>
      <c r="CK169" s="93"/>
      <c r="CL169" s="93"/>
      <c r="CM169" s="93"/>
      <c r="CN169" s="93"/>
      <c r="CO169" s="93"/>
      <c r="CP169" s="93"/>
      <c r="CQ169" s="93"/>
      <c r="CR169" s="93"/>
      <c r="CS169" s="93"/>
      <c r="CT169" s="93"/>
      <c r="CU169" s="93"/>
      <c r="CV169" s="93"/>
      <c r="CW169" s="93"/>
      <c r="CX169" s="93"/>
      <c r="CY169" s="93"/>
      <c r="CZ169" s="93"/>
      <c r="DA169" s="93"/>
      <c r="DB169" s="93"/>
      <c r="DC169" s="93"/>
      <c r="DD169" s="93"/>
      <c r="DE169" s="93"/>
      <c r="DF169" s="93"/>
      <c r="DG169" s="93"/>
      <c r="DH169" s="825"/>
      <c r="DI169" s="826"/>
      <c r="DJ169" s="825"/>
      <c r="GO169" s="92"/>
      <c r="GP169" s="831"/>
    </row>
    <row r="170" spans="1:198" s="806" customFormat="1" ht="15">
      <c r="A170" s="1076"/>
      <c r="B170" s="6"/>
      <c r="C170" s="164"/>
      <c r="D170" s="1062" t="s">
        <v>144</v>
      </c>
      <c r="G170" s="809" t="s">
        <v>144</v>
      </c>
      <c r="H170" s="809" t="s">
        <v>1292</v>
      </c>
      <c r="I170" s="92">
        <v>41</v>
      </c>
      <c r="J170" s="92" t="s">
        <v>18</v>
      </c>
      <c r="K170" s="92" t="s">
        <v>779</v>
      </c>
      <c r="L170" s="810">
        <v>4</v>
      </c>
      <c r="M170" s="811" t="str">
        <f t="shared" si="13"/>
        <v>High School Level</v>
      </c>
      <c r="N170" s="92" t="s">
        <v>1208</v>
      </c>
      <c r="O170" s="92" t="s">
        <v>8443</v>
      </c>
      <c r="P170" s="1638"/>
      <c r="Q170" s="92" t="s">
        <v>8443</v>
      </c>
      <c r="R170" s="92" t="s">
        <v>8234</v>
      </c>
      <c r="S170" s="848"/>
      <c r="T170" s="813">
        <v>31500</v>
      </c>
      <c r="U170" s="813"/>
      <c r="V170" s="864"/>
      <c r="W170" s="838">
        <v>1</v>
      </c>
      <c r="X170" s="811" t="str">
        <f t="shared" si="14"/>
        <v>within the Brgy</v>
      </c>
      <c r="Y170" s="836">
        <v>400</v>
      </c>
      <c r="Z170" s="92"/>
      <c r="AA170" s="836"/>
      <c r="AB170" s="864"/>
      <c r="AC170" s="809" t="s">
        <v>8428</v>
      </c>
      <c r="AD170" s="824"/>
      <c r="AE170" s="93"/>
      <c r="AF170" s="818"/>
      <c r="AG170" s="807" t="str">
        <f t="shared" si="15"/>
        <v/>
      </c>
      <c r="AH170" s="807"/>
      <c r="AI170" s="807"/>
      <c r="AJ170" s="807"/>
      <c r="AK170" s="862" t="s">
        <v>1292</v>
      </c>
      <c r="AL170" s="863" t="s">
        <v>478</v>
      </c>
      <c r="AM170" s="836"/>
      <c r="AN170" s="813"/>
      <c r="AO170" s="817"/>
      <c r="AP170" s="820"/>
      <c r="AQ170" s="93"/>
      <c r="AR170" s="93"/>
      <c r="AS170" s="93"/>
      <c r="AT170" s="93"/>
      <c r="AU170" s="93"/>
      <c r="AV170" s="93"/>
      <c r="AW170" s="93"/>
      <c r="AX170" s="93"/>
      <c r="AY170" s="93"/>
      <c r="AZ170" s="93"/>
      <c r="BA170" s="93"/>
      <c r="BB170" s="93"/>
      <c r="BC170" s="93"/>
      <c r="BD170" s="93"/>
      <c r="BE170" s="93"/>
      <c r="BF170" s="93"/>
      <c r="BG170" s="93"/>
      <c r="BH170" s="93"/>
      <c r="BI170" s="93"/>
      <c r="BJ170" s="93"/>
      <c r="BK170" s="93"/>
      <c r="BL170" s="93"/>
      <c r="BM170" s="93"/>
      <c r="BN170" s="93"/>
      <c r="BT170" s="93"/>
      <c r="BU170" s="93"/>
      <c r="BV170" s="93"/>
      <c r="BW170" s="93"/>
      <c r="BX170" s="93"/>
      <c r="BY170" s="93"/>
      <c r="BZ170" s="93"/>
      <c r="CA170" s="93"/>
      <c r="CB170" s="93"/>
      <c r="CC170" s="93"/>
      <c r="CD170" s="93"/>
      <c r="CE170" s="93"/>
      <c r="CF170" s="93"/>
      <c r="CH170" s="93"/>
      <c r="CI170" s="93"/>
      <c r="CJ170" s="93"/>
      <c r="CK170" s="93"/>
      <c r="CL170" s="93"/>
      <c r="CM170" s="93"/>
      <c r="CN170" s="93"/>
      <c r="CO170" s="93"/>
      <c r="CP170" s="93"/>
      <c r="CQ170" s="93"/>
      <c r="CR170" s="93" t="s">
        <v>2144</v>
      </c>
      <c r="CS170" s="93"/>
      <c r="CT170" s="93"/>
      <c r="CU170" s="93"/>
      <c r="CV170" s="93"/>
      <c r="CW170" s="93"/>
      <c r="CX170" s="93"/>
      <c r="CY170" s="93"/>
      <c r="CZ170" s="93"/>
      <c r="DA170" s="93"/>
      <c r="DB170" s="93"/>
      <c r="DC170" s="93"/>
      <c r="DD170" s="93"/>
      <c r="DE170" s="93"/>
      <c r="DF170" s="93"/>
      <c r="DG170" s="93"/>
      <c r="DH170" s="825"/>
      <c r="DI170" s="826"/>
      <c r="DJ170" s="825"/>
      <c r="GO170" s="92"/>
      <c r="GP170" s="831"/>
    </row>
    <row r="171" spans="1:198" s="806" customFormat="1" ht="15">
      <c r="A171" s="1076"/>
      <c r="B171" s="6"/>
      <c r="C171" s="164"/>
      <c r="D171" s="1062"/>
      <c r="G171" s="827"/>
      <c r="H171" s="809" t="s">
        <v>8444</v>
      </c>
      <c r="I171" s="92">
        <v>6</v>
      </c>
      <c r="J171" s="92" t="s">
        <v>10</v>
      </c>
      <c r="K171" s="92" t="s">
        <v>768</v>
      </c>
      <c r="L171" s="810">
        <v>0</v>
      </c>
      <c r="M171" s="811" t="str">
        <f t="shared" si="13"/>
        <v>No Schooling</v>
      </c>
      <c r="N171" s="92"/>
      <c r="O171" s="92"/>
      <c r="P171" s="1638"/>
      <c r="Q171" s="92"/>
      <c r="R171" s="92"/>
      <c r="S171" s="848"/>
      <c r="T171" s="813"/>
      <c r="U171" s="813"/>
      <c r="V171" s="864"/>
      <c r="W171" s="838"/>
      <c r="X171" s="811" t="str">
        <f t="shared" ref="X171:X202" si="16">IF(ISBLANK(W171)=TRUE,"",LOOKUP(W171,GO:GP))</f>
        <v/>
      </c>
      <c r="Y171" s="836"/>
      <c r="AA171" s="836"/>
      <c r="AB171" s="864"/>
      <c r="AC171" s="809"/>
      <c r="AD171" s="824"/>
      <c r="AE171" s="93"/>
      <c r="AF171" s="818"/>
      <c r="AG171" s="807" t="str">
        <f t="shared" si="15"/>
        <v/>
      </c>
      <c r="AH171" s="807"/>
      <c r="AI171" s="807"/>
      <c r="AJ171" s="807"/>
      <c r="AK171" s="92" t="s">
        <v>8445</v>
      </c>
      <c r="AL171" s="819" t="s">
        <v>2223</v>
      </c>
      <c r="AM171" s="836"/>
      <c r="AN171" s="813"/>
      <c r="AO171" s="817"/>
      <c r="AP171" s="820"/>
      <c r="AQ171" s="93"/>
      <c r="AR171" s="93"/>
      <c r="AS171" s="93"/>
      <c r="AT171" s="93"/>
      <c r="AU171" s="93"/>
      <c r="AV171" s="93"/>
      <c r="AW171" s="93"/>
      <c r="AX171" s="93"/>
      <c r="AY171" s="93"/>
      <c r="AZ171" s="93"/>
      <c r="BA171" s="93"/>
      <c r="BB171" s="93"/>
      <c r="BC171" s="93"/>
      <c r="BD171" s="93"/>
      <c r="BE171" s="93"/>
      <c r="BF171" s="93"/>
      <c r="BG171" s="93"/>
      <c r="BH171" s="93"/>
      <c r="BI171" s="93"/>
      <c r="BJ171" s="93"/>
      <c r="BK171" s="93"/>
      <c r="BL171" s="93"/>
      <c r="BM171" s="93"/>
      <c r="BN171" s="93"/>
      <c r="BT171" s="93"/>
      <c r="BU171" s="93"/>
      <c r="BV171" s="93"/>
      <c r="BW171" s="93"/>
      <c r="BX171" s="93"/>
      <c r="BY171" s="93"/>
      <c r="BZ171" s="93"/>
      <c r="CA171" s="93"/>
      <c r="CB171" s="93"/>
      <c r="CC171" s="93"/>
      <c r="CD171" s="93"/>
      <c r="CE171" s="93"/>
      <c r="CF171" s="93"/>
      <c r="CH171" s="93"/>
      <c r="CI171" s="93"/>
      <c r="CJ171" s="93"/>
      <c r="CK171" s="93"/>
      <c r="CL171" s="93"/>
      <c r="CM171" s="93"/>
      <c r="CN171" s="93"/>
      <c r="CO171" s="93"/>
      <c r="CP171" s="93"/>
      <c r="CQ171" s="93"/>
      <c r="CR171" s="93"/>
      <c r="CS171" s="93"/>
      <c r="CT171" s="93"/>
      <c r="CU171" s="93"/>
      <c r="CV171" s="93"/>
      <c r="CW171" s="93"/>
      <c r="CX171" s="93"/>
      <c r="CY171" s="93"/>
      <c r="CZ171" s="93"/>
      <c r="DA171" s="93"/>
      <c r="DB171" s="93"/>
      <c r="DC171" s="93"/>
      <c r="DD171" s="93"/>
      <c r="DE171" s="93"/>
      <c r="DF171" s="93"/>
      <c r="DG171" s="93"/>
      <c r="DH171" s="825"/>
      <c r="DI171" s="826"/>
      <c r="DJ171" s="825"/>
      <c r="GO171" s="92"/>
      <c r="GP171" s="831"/>
    </row>
    <row r="172" spans="1:198" s="806" customFormat="1" ht="15">
      <c r="A172" s="1076"/>
      <c r="B172" s="6"/>
      <c r="C172" s="164"/>
      <c r="D172" s="1062"/>
      <c r="G172" s="827"/>
      <c r="H172" s="809" t="s">
        <v>8446</v>
      </c>
      <c r="I172" s="92">
        <v>15</v>
      </c>
      <c r="J172" s="92" t="s">
        <v>10</v>
      </c>
      <c r="K172" s="92" t="s">
        <v>768</v>
      </c>
      <c r="L172" s="810">
        <v>3</v>
      </c>
      <c r="M172" s="811" t="str">
        <f t="shared" si="13"/>
        <v>Elementary Graduate</v>
      </c>
      <c r="N172" s="92"/>
      <c r="O172" s="92"/>
      <c r="P172" s="1638"/>
      <c r="Q172" s="92"/>
      <c r="R172" s="92"/>
      <c r="S172" s="848"/>
      <c r="T172" s="813"/>
      <c r="U172" s="813"/>
      <c r="V172" s="864">
        <f>SUM(S170:U172)</f>
        <v>31500</v>
      </c>
      <c r="W172" s="838"/>
      <c r="X172" s="811" t="str">
        <f t="shared" si="16"/>
        <v/>
      </c>
      <c r="Y172" s="836"/>
      <c r="AA172" s="836"/>
      <c r="AB172" s="864">
        <f>SUM(Y170:AA172)</f>
        <v>400</v>
      </c>
      <c r="AC172" s="809"/>
      <c r="AD172" s="824"/>
      <c r="AE172" s="93"/>
      <c r="AF172" s="818"/>
      <c r="AG172" s="807" t="str">
        <f t="shared" si="15"/>
        <v/>
      </c>
      <c r="AH172" s="807"/>
      <c r="AI172" s="807"/>
      <c r="AJ172" s="807"/>
      <c r="AK172" s="92"/>
      <c r="AL172" s="819"/>
      <c r="AM172" s="836"/>
      <c r="AN172" s="813"/>
      <c r="AO172" s="817"/>
      <c r="AP172" s="820"/>
      <c r="AQ172" s="93"/>
      <c r="AR172" s="93"/>
      <c r="AS172" s="93"/>
      <c r="AT172" s="93"/>
      <c r="AU172" s="93"/>
      <c r="AV172" s="93"/>
      <c r="AW172" s="93"/>
      <c r="AX172" s="93"/>
      <c r="AY172" s="93"/>
      <c r="AZ172" s="93"/>
      <c r="BA172" s="93"/>
      <c r="BB172" s="93"/>
      <c r="BC172" s="93"/>
      <c r="BD172" s="93"/>
      <c r="BE172" s="93"/>
      <c r="BF172" s="93"/>
      <c r="BG172" s="93"/>
      <c r="BH172" s="93"/>
      <c r="BI172" s="93"/>
      <c r="BJ172" s="93"/>
      <c r="BK172" s="93"/>
      <c r="BL172" s="93"/>
      <c r="BM172" s="93"/>
      <c r="BN172" s="93"/>
      <c r="BT172" s="93"/>
      <c r="BU172" s="93"/>
      <c r="BV172" s="93"/>
      <c r="BW172" s="93"/>
      <c r="BX172" s="93"/>
      <c r="BY172" s="93"/>
      <c r="BZ172" s="93"/>
      <c r="CA172" s="93"/>
      <c r="CB172" s="93"/>
      <c r="CC172" s="93"/>
      <c r="CD172" s="93"/>
      <c r="CE172" s="93"/>
      <c r="CF172" s="93"/>
      <c r="CH172" s="93"/>
      <c r="CI172" s="93"/>
      <c r="CJ172" s="93"/>
      <c r="CK172" s="93"/>
      <c r="CL172" s="93"/>
      <c r="CM172" s="93"/>
      <c r="CN172" s="93"/>
      <c r="CO172" s="93"/>
      <c r="CP172" s="93"/>
      <c r="CQ172" s="93"/>
      <c r="CR172" s="93"/>
      <c r="CS172" s="93"/>
      <c r="CT172" s="93"/>
      <c r="CU172" s="93"/>
      <c r="CV172" s="93"/>
      <c r="CW172" s="93"/>
      <c r="CX172" s="93"/>
      <c r="CY172" s="93"/>
      <c r="CZ172" s="93"/>
      <c r="DA172" s="93"/>
      <c r="DB172" s="93"/>
      <c r="DC172" s="93"/>
      <c r="DD172" s="93"/>
      <c r="DE172" s="93"/>
      <c r="DF172" s="93"/>
      <c r="DG172" s="93"/>
      <c r="DH172" s="825"/>
      <c r="DI172" s="826"/>
      <c r="DJ172" s="825"/>
      <c r="GO172" s="92"/>
      <c r="GP172" s="831"/>
    </row>
    <row r="173" spans="1:198" s="806" customFormat="1" ht="15">
      <c r="A173" s="1076"/>
      <c r="B173" s="6"/>
      <c r="C173" s="6"/>
      <c r="D173" s="1062" t="s">
        <v>145</v>
      </c>
      <c r="G173" s="809" t="s">
        <v>145</v>
      </c>
      <c r="H173" s="809" t="s">
        <v>1293</v>
      </c>
      <c r="I173" s="92">
        <v>28</v>
      </c>
      <c r="J173" s="92" t="s">
        <v>10</v>
      </c>
      <c r="K173" s="92" t="s">
        <v>722</v>
      </c>
      <c r="L173" s="810">
        <v>4</v>
      </c>
      <c r="M173" s="811" t="str">
        <f t="shared" si="13"/>
        <v>High School Level</v>
      </c>
      <c r="N173" s="92" t="s">
        <v>1208</v>
      </c>
      <c r="O173" s="92" t="s">
        <v>8447</v>
      </c>
      <c r="P173" s="1638"/>
      <c r="Q173" s="92" t="s">
        <v>8447</v>
      </c>
      <c r="R173" s="92" t="s">
        <v>8234</v>
      </c>
      <c r="S173" s="848">
        <v>4000</v>
      </c>
      <c r="T173" s="813"/>
      <c r="U173" s="813"/>
      <c r="V173" s="849"/>
      <c r="W173" s="838">
        <v>2</v>
      </c>
      <c r="X173" s="811" t="str">
        <f t="shared" si="16"/>
        <v>within the Municipality/City</v>
      </c>
      <c r="Y173" s="836"/>
      <c r="Z173" s="836"/>
      <c r="AA173" s="836"/>
      <c r="AB173" s="849"/>
      <c r="AC173" s="809" t="s">
        <v>8448</v>
      </c>
      <c r="AD173" s="821"/>
      <c r="AE173" s="93"/>
      <c r="AF173" s="818"/>
      <c r="AG173" s="807" t="str">
        <f t="shared" si="15"/>
        <v/>
      </c>
      <c r="AH173" s="807"/>
      <c r="AI173" s="809"/>
      <c r="AJ173" s="809"/>
      <c r="AK173" s="92"/>
      <c r="AL173" s="819"/>
      <c r="AM173" s="836"/>
      <c r="AN173" s="813"/>
      <c r="AO173" s="817"/>
      <c r="AP173" s="820"/>
      <c r="AQ173" s="93"/>
      <c r="AR173" s="93"/>
      <c r="AS173" s="93"/>
      <c r="AT173" s="93"/>
      <c r="AU173" s="93"/>
      <c r="AV173" s="93"/>
      <c r="AW173" s="93"/>
      <c r="AX173" s="93"/>
      <c r="AY173" s="93"/>
      <c r="AZ173" s="93"/>
      <c r="BA173" s="93"/>
      <c r="BB173" s="93"/>
      <c r="BC173" s="93"/>
      <c r="BD173" s="93"/>
      <c r="BE173" s="93"/>
      <c r="BF173" s="93"/>
      <c r="BG173" s="93"/>
      <c r="BH173" s="93"/>
      <c r="BI173" s="93"/>
      <c r="BJ173" s="93"/>
      <c r="BK173" s="93"/>
      <c r="BL173" s="93"/>
      <c r="BM173" s="93"/>
      <c r="BN173" s="93"/>
      <c r="BT173" s="93"/>
      <c r="BU173" s="93"/>
      <c r="BV173" s="93"/>
      <c r="BW173" s="93"/>
      <c r="BX173" s="93"/>
      <c r="BY173" s="93"/>
      <c r="BZ173" s="93"/>
      <c r="CA173" s="93"/>
      <c r="CB173" s="93"/>
      <c r="CC173" s="93"/>
      <c r="CD173" s="93"/>
      <c r="CE173" s="93"/>
      <c r="CF173" s="93"/>
      <c r="CH173" s="93"/>
      <c r="CI173" s="93"/>
      <c r="CJ173" s="93"/>
      <c r="CK173" s="93"/>
      <c r="CL173" s="93"/>
      <c r="CM173" s="93"/>
      <c r="CN173" s="93"/>
      <c r="CO173" s="93"/>
      <c r="CP173" s="93"/>
      <c r="CQ173" s="93"/>
      <c r="CR173" s="93"/>
      <c r="CS173" s="93"/>
      <c r="CT173" s="93"/>
      <c r="CU173" s="93"/>
      <c r="CV173" s="93"/>
      <c r="CW173" s="93"/>
      <c r="CX173" s="93"/>
      <c r="CY173" s="93"/>
      <c r="CZ173" s="93"/>
      <c r="DA173" s="93"/>
      <c r="DB173" s="93"/>
      <c r="DC173" s="93"/>
      <c r="DD173" s="93"/>
      <c r="DE173" s="93"/>
      <c r="DF173" s="93"/>
      <c r="DG173" s="93"/>
      <c r="DH173" s="825"/>
      <c r="DI173" s="826"/>
      <c r="DJ173" s="825"/>
      <c r="GO173" s="92"/>
      <c r="GP173" s="831"/>
    </row>
    <row r="174" spans="1:198" s="806" customFormat="1" ht="15">
      <c r="A174" s="1076"/>
      <c r="B174" s="6"/>
      <c r="C174" s="6"/>
      <c r="D174" s="1062"/>
      <c r="G174" s="827"/>
      <c r="H174" s="809" t="s">
        <v>8449</v>
      </c>
      <c r="I174" s="92">
        <v>25</v>
      </c>
      <c r="J174" s="92" t="s">
        <v>18</v>
      </c>
      <c r="K174" s="92" t="s">
        <v>722</v>
      </c>
      <c r="L174" s="810">
        <v>4</v>
      </c>
      <c r="M174" s="811" t="str">
        <f t="shared" si="13"/>
        <v>High School Level</v>
      </c>
      <c r="N174" s="92" t="s">
        <v>1208</v>
      </c>
      <c r="O174" s="92" t="s">
        <v>8450</v>
      </c>
      <c r="P174" s="1638"/>
      <c r="Q174" s="92" t="s">
        <v>8450</v>
      </c>
      <c r="R174" s="92"/>
      <c r="S174" s="848">
        <v>600</v>
      </c>
      <c r="T174" s="813"/>
      <c r="U174" s="813"/>
      <c r="V174" s="849"/>
      <c r="W174" s="838">
        <v>1</v>
      </c>
      <c r="X174" s="811" t="str">
        <f t="shared" si="16"/>
        <v>within the Brgy</v>
      </c>
      <c r="Y174" s="836"/>
      <c r="AA174" s="836"/>
      <c r="AB174" s="849"/>
      <c r="AC174" s="809"/>
      <c r="AD174" s="821"/>
      <c r="AE174" s="93"/>
      <c r="AF174" s="818"/>
      <c r="AG174" s="807" t="str">
        <f t="shared" si="15"/>
        <v/>
      </c>
      <c r="AH174" s="807"/>
      <c r="AI174" s="809"/>
      <c r="AJ174" s="809"/>
      <c r="AK174" s="92"/>
      <c r="AL174" s="819"/>
      <c r="AM174" s="836"/>
      <c r="AN174" s="813"/>
      <c r="AO174" s="817"/>
      <c r="AP174" s="820"/>
      <c r="AQ174" s="93"/>
      <c r="AR174" s="93"/>
      <c r="AS174" s="93"/>
      <c r="AT174" s="93"/>
      <c r="AU174" s="93"/>
      <c r="AV174" s="93"/>
      <c r="AW174" s="93"/>
      <c r="AX174" s="93"/>
      <c r="AY174" s="93"/>
      <c r="AZ174" s="93"/>
      <c r="BA174" s="93"/>
      <c r="BB174" s="93"/>
      <c r="BC174" s="93"/>
      <c r="BD174" s="93"/>
      <c r="BE174" s="93"/>
      <c r="BF174" s="93"/>
      <c r="BG174" s="93"/>
      <c r="BH174" s="93"/>
      <c r="BI174" s="93"/>
      <c r="BJ174" s="93"/>
      <c r="BK174" s="93"/>
      <c r="BL174" s="93"/>
      <c r="BM174" s="93"/>
      <c r="BN174" s="93"/>
      <c r="BT174" s="93"/>
      <c r="BU174" s="93"/>
      <c r="BV174" s="93"/>
      <c r="BW174" s="93"/>
      <c r="BX174" s="93"/>
      <c r="BY174" s="93"/>
      <c r="BZ174" s="93"/>
      <c r="CA174" s="93"/>
      <c r="CB174" s="93"/>
      <c r="CC174" s="93"/>
      <c r="CD174" s="93"/>
      <c r="CE174" s="93"/>
      <c r="CF174" s="93"/>
      <c r="CH174" s="93"/>
      <c r="CI174" s="93"/>
      <c r="CJ174" s="93"/>
      <c r="CK174" s="93"/>
      <c r="CL174" s="93"/>
      <c r="CM174" s="93"/>
      <c r="CN174" s="93"/>
      <c r="CO174" s="93"/>
      <c r="CP174" s="93"/>
      <c r="CQ174" s="93"/>
      <c r="CR174" s="93"/>
      <c r="CS174" s="93"/>
      <c r="CT174" s="93"/>
      <c r="CU174" s="93"/>
      <c r="CV174" s="93"/>
      <c r="CW174" s="93"/>
      <c r="CX174" s="93"/>
      <c r="CY174" s="93"/>
      <c r="CZ174" s="93"/>
      <c r="DA174" s="93"/>
      <c r="DB174" s="93"/>
      <c r="DC174" s="93"/>
      <c r="DD174" s="93"/>
      <c r="DE174" s="93"/>
      <c r="DF174" s="93"/>
      <c r="DG174" s="93"/>
      <c r="DH174" s="825"/>
      <c r="DI174" s="826"/>
      <c r="DJ174" s="825"/>
      <c r="GO174" s="92"/>
      <c r="GP174" s="831"/>
    </row>
    <row r="175" spans="1:198" s="806" customFormat="1" ht="15">
      <c r="A175" s="1076"/>
      <c r="B175" s="6"/>
      <c r="C175" s="6"/>
      <c r="D175" s="1062"/>
      <c r="G175" s="827"/>
      <c r="H175" s="809" t="s">
        <v>8451</v>
      </c>
      <c r="I175" s="92">
        <v>6</v>
      </c>
      <c r="J175" s="92" t="s">
        <v>18</v>
      </c>
      <c r="K175" s="92" t="s">
        <v>768</v>
      </c>
      <c r="L175" s="810">
        <v>2</v>
      </c>
      <c r="M175" s="811" t="str">
        <f t="shared" si="13"/>
        <v>Elementary Level</v>
      </c>
      <c r="N175" s="92"/>
      <c r="O175" s="92"/>
      <c r="P175" s="1638"/>
      <c r="Q175" s="92"/>
      <c r="R175" s="92"/>
      <c r="S175" s="848"/>
      <c r="T175" s="813"/>
      <c r="U175" s="813"/>
      <c r="V175" s="849">
        <f>SUM(S173:U175)</f>
        <v>4600</v>
      </c>
      <c r="W175" s="838"/>
      <c r="X175" s="811" t="str">
        <f t="shared" si="16"/>
        <v/>
      </c>
      <c r="Y175" s="836"/>
      <c r="AA175" s="836"/>
      <c r="AB175" s="849">
        <f>SUM(Y173:AA175)</f>
        <v>0</v>
      </c>
      <c r="AC175" s="809"/>
      <c r="AD175" s="821"/>
      <c r="AE175" s="93"/>
      <c r="AF175" s="818"/>
      <c r="AG175" s="807" t="str">
        <f t="shared" si="15"/>
        <v/>
      </c>
      <c r="AH175" s="807"/>
      <c r="AI175" s="809"/>
      <c r="AJ175" s="809"/>
      <c r="AK175" s="92"/>
      <c r="AL175" s="819"/>
      <c r="AM175" s="836"/>
      <c r="AN175" s="813"/>
      <c r="AO175" s="817"/>
      <c r="AP175" s="820"/>
      <c r="AQ175" s="93"/>
      <c r="AR175" s="93"/>
      <c r="AS175" s="93"/>
      <c r="AT175" s="93"/>
      <c r="AU175" s="93"/>
      <c r="AV175" s="93"/>
      <c r="AW175" s="93"/>
      <c r="AX175" s="93"/>
      <c r="AY175" s="93"/>
      <c r="AZ175" s="93"/>
      <c r="BA175" s="93"/>
      <c r="BB175" s="93"/>
      <c r="BC175" s="93"/>
      <c r="BD175" s="93"/>
      <c r="BE175" s="93"/>
      <c r="BF175" s="93"/>
      <c r="BG175" s="93"/>
      <c r="BH175" s="93"/>
      <c r="BI175" s="93"/>
      <c r="BJ175" s="93"/>
      <c r="BK175" s="93"/>
      <c r="BL175" s="93"/>
      <c r="BM175" s="93"/>
      <c r="BN175" s="93"/>
      <c r="BT175" s="93"/>
      <c r="BU175" s="93"/>
      <c r="BV175" s="93"/>
      <c r="BW175" s="93"/>
      <c r="BX175" s="93"/>
      <c r="BY175" s="93"/>
      <c r="BZ175" s="93"/>
      <c r="CA175" s="93"/>
      <c r="CB175" s="93"/>
      <c r="CC175" s="93"/>
      <c r="CD175" s="93"/>
      <c r="CE175" s="93"/>
      <c r="CF175" s="93"/>
      <c r="CH175" s="93"/>
      <c r="CI175" s="93"/>
      <c r="CJ175" s="93"/>
      <c r="CK175" s="93"/>
      <c r="CL175" s="93"/>
      <c r="CM175" s="93"/>
      <c r="CN175" s="93"/>
      <c r="CO175" s="93"/>
      <c r="CP175" s="93"/>
      <c r="CQ175" s="93"/>
      <c r="CR175" s="93"/>
      <c r="CS175" s="93"/>
      <c r="CT175" s="93"/>
      <c r="CU175" s="93"/>
      <c r="CV175" s="93"/>
      <c r="CW175" s="93"/>
      <c r="CX175" s="93"/>
      <c r="CY175" s="93"/>
      <c r="CZ175" s="93"/>
      <c r="DA175" s="93"/>
      <c r="DB175" s="93"/>
      <c r="DC175" s="93"/>
      <c r="DD175" s="93"/>
      <c r="DE175" s="93"/>
      <c r="DF175" s="93"/>
      <c r="DG175" s="93"/>
      <c r="DH175" s="825"/>
      <c r="DI175" s="826"/>
      <c r="DJ175" s="825"/>
      <c r="GO175" s="92"/>
      <c r="GP175" s="831"/>
    </row>
    <row r="176" spans="1:198" s="806" customFormat="1" ht="15">
      <c r="A176" s="1076"/>
      <c r="B176" s="6"/>
      <c r="C176" s="6"/>
      <c r="D176" s="1062" t="s">
        <v>146</v>
      </c>
      <c r="G176" s="841" t="s">
        <v>146</v>
      </c>
      <c r="H176" s="809" t="s">
        <v>8452</v>
      </c>
      <c r="I176" s="92">
        <v>81</v>
      </c>
      <c r="J176" s="92" t="s">
        <v>10</v>
      </c>
      <c r="K176" s="92" t="s">
        <v>707</v>
      </c>
      <c r="L176" s="810">
        <v>2</v>
      </c>
      <c r="M176" s="811" t="str">
        <f t="shared" si="13"/>
        <v>Elementary Level</v>
      </c>
      <c r="N176" s="92"/>
      <c r="O176" s="92"/>
      <c r="P176" s="1638"/>
      <c r="Q176" s="92"/>
      <c r="R176" s="92" t="s">
        <v>8234</v>
      </c>
      <c r="S176" s="848"/>
      <c r="T176" s="813"/>
      <c r="U176" s="813"/>
      <c r="V176" s="837"/>
      <c r="W176" s="838"/>
      <c r="X176" s="811" t="str">
        <f t="shared" si="16"/>
        <v/>
      </c>
      <c r="Y176" s="836"/>
      <c r="Z176" s="836"/>
      <c r="AA176" s="836"/>
      <c r="AB176" s="837"/>
      <c r="AC176" s="809"/>
      <c r="AD176" s="817" t="s">
        <v>8453</v>
      </c>
      <c r="AE176" s="93"/>
      <c r="AF176" s="818"/>
      <c r="AG176" s="807" t="str">
        <f t="shared" si="15"/>
        <v/>
      </c>
      <c r="AH176" s="807"/>
      <c r="AI176" s="809"/>
      <c r="AJ176" s="809"/>
      <c r="AK176" s="92"/>
      <c r="AL176" s="819"/>
      <c r="AM176" s="836"/>
      <c r="AN176" s="813"/>
      <c r="AO176" s="817"/>
      <c r="AP176" s="820"/>
      <c r="AQ176" s="93"/>
      <c r="AR176" s="93"/>
      <c r="AS176" s="93"/>
      <c r="AT176" s="93"/>
      <c r="AU176" s="93"/>
      <c r="AV176" s="93"/>
      <c r="AW176" s="93"/>
      <c r="AX176" s="93"/>
      <c r="AY176" s="93"/>
      <c r="AZ176" s="93"/>
      <c r="BA176" s="93"/>
      <c r="BB176" s="93"/>
      <c r="BC176" s="93"/>
      <c r="BD176" s="93"/>
      <c r="BE176" s="93"/>
      <c r="BF176" s="93"/>
      <c r="BG176" s="93"/>
      <c r="BH176" s="93"/>
      <c r="BI176" s="93"/>
      <c r="BJ176" s="93"/>
      <c r="BK176" s="93"/>
      <c r="BL176" s="93"/>
      <c r="BM176" s="93"/>
      <c r="BN176" s="93"/>
      <c r="BT176" s="93"/>
      <c r="BU176" s="93"/>
      <c r="BV176" s="93"/>
      <c r="BW176" s="93"/>
      <c r="BX176" s="93"/>
      <c r="BY176" s="93"/>
      <c r="BZ176" s="93"/>
      <c r="CA176" s="93"/>
      <c r="CB176" s="93"/>
      <c r="CC176" s="93"/>
      <c r="CD176" s="93"/>
      <c r="CE176" s="93"/>
      <c r="CF176" s="93"/>
      <c r="CH176" s="93"/>
      <c r="CI176" s="93"/>
      <c r="CJ176" s="93"/>
      <c r="CK176" s="93"/>
      <c r="CL176" s="93"/>
      <c r="CM176" s="93"/>
      <c r="CN176" s="93"/>
      <c r="CO176" s="93"/>
      <c r="CP176" s="93"/>
      <c r="CQ176" s="93"/>
      <c r="CR176" s="93"/>
      <c r="CS176" s="93"/>
      <c r="CT176" s="93"/>
      <c r="CU176" s="93"/>
      <c r="CV176" s="93"/>
      <c r="CW176" s="93"/>
      <c r="CX176" s="93"/>
      <c r="CY176" s="93"/>
      <c r="CZ176" s="93"/>
      <c r="DA176" s="93"/>
      <c r="DB176" s="93"/>
      <c r="DC176" s="93"/>
      <c r="DD176" s="93"/>
      <c r="DE176" s="93"/>
      <c r="DF176" s="93"/>
      <c r="DG176" s="93"/>
      <c r="DH176" s="825"/>
      <c r="DI176" s="826"/>
      <c r="DJ176" s="825"/>
      <c r="GO176" s="92"/>
      <c r="GP176" s="831"/>
    </row>
    <row r="177" spans="1:198" s="806" customFormat="1" ht="15">
      <c r="A177" s="1076"/>
      <c r="B177" s="6"/>
      <c r="C177" s="6"/>
      <c r="D177" s="1062"/>
      <c r="G177" s="827"/>
      <c r="H177" s="809" t="s">
        <v>8454</v>
      </c>
      <c r="I177" s="92">
        <v>69</v>
      </c>
      <c r="J177" s="92" t="s">
        <v>18</v>
      </c>
      <c r="K177" s="92" t="s">
        <v>707</v>
      </c>
      <c r="L177" s="810">
        <v>2</v>
      </c>
      <c r="M177" s="811" t="str">
        <f t="shared" si="13"/>
        <v>Elementary Level</v>
      </c>
      <c r="N177" s="92" t="s">
        <v>1208</v>
      </c>
      <c r="O177" s="92" t="s">
        <v>8455</v>
      </c>
      <c r="P177" s="1638"/>
      <c r="Q177" s="92" t="s">
        <v>8455</v>
      </c>
      <c r="R177" s="92" t="s">
        <v>8285</v>
      </c>
      <c r="S177" s="848">
        <v>2000</v>
      </c>
      <c r="T177" s="813"/>
      <c r="U177" s="813"/>
      <c r="V177" s="837"/>
      <c r="W177" s="838">
        <v>1</v>
      </c>
      <c r="X177" s="811" t="str">
        <f t="shared" si="16"/>
        <v>within the Brgy</v>
      </c>
      <c r="Y177" s="836"/>
      <c r="AA177" s="836"/>
      <c r="AB177" s="837"/>
      <c r="AC177" s="809"/>
      <c r="AD177" s="817" t="s">
        <v>8456</v>
      </c>
      <c r="AE177" s="93"/>
      <c r="AF177" s="818"/>
      <c r="AG177" s="807" t="str">
        <f t="shared" si="15"/>
        <v/>
      </c>
      <c r="AH177" s="807"/>
      <c r="AI177" s="809"/>
      <c r="AJ177" s="809"/>
      <c r="AK177" s="92"/>
      <c r="AL177" s="819"/>
      <c r="AM177" s="836"/>
      <c r="AN177" s="813"/>
      <c r="AO177" s="817"/>
      <c r="AP177" s="820"/>
      <c r="AQ177" s="93"/>
      <c r="AR177" s="93"/>
      <c r="AS177" s="93"/>
      <c r="AT177" s="93"/>
      <c r="AU177" s="93"/>
      <c r="AV177" s="93"/>
      <c r="AW177" s="93"/>
      <c r="AX177" s="93"/>
      <c r="AY177" s="93"/>
      <c r="AZ177" s="93"/>
      <c r="BA177" s="93"/>
      <c r="BB177" s="93"/>
      <c r="BC177" s="93"/>
      <c r="BD177" s="93"/>
      <c r="BE177" s="93"/>
      <c r="BF177" s="93"/>
      <c r="BG177" s="93"/>
      <c r="BH177" s="93"/>
      <c r="BI177" s="93"/>
      <c r="BJ177" s="93"/>
      <c r="BK177" s="93"/>
      <c r="BL177" s="93"/>
      <c r="BM177" s="93"/>
      <c r="BN177" s="93"/>
      <c r="BT177" s="93"/>
      <c r="BU177" s="93"/>
      <c r="BV177" s="93"/>
      <c r="BW177" s="93" t="s">
        <v>2144</v>
      </c>
      <c r="BX177" s="93"/>
      <c r="BY177" s="93"/>
      <c r="BZ177" s="93"/>
      <c r="CA177" s="93"/>
      <c r="CB177" s="93"/>
      <c r="CC177" s="93"/>
      <c r="CD177" s="93"/>
      <c r="CE177" s="93"/>
      <c r="CF177" s="93"/>
      <c r="CH177" s="93"/>
      <c r="CI177" s="93"/>
      <c r="CJ177" s="93"/>
      <c r="CK177" s="93"/>
      <c r="CL177" s="93"/>
      <c r="CM177" s="93"/>
      <c r="CN177" s="93"/>
      <c r="CO177" s="93"/>
      <c r="CP177" s="93"/>
      <c r="CQ177" s="93"/>
      <c r="CR177" s="93"/>
      <c r="CS177" s="93"/>
      <c r="CT177" s="93"/>
      <c r="CU177" s="93"/>
      <c r="CV177" s="93"/>
      <c r="CW177" s="93"/>
      <c r="CX177" s="93"/>
      <c r="CY177" s="93"/>
      <c r="CZ177" s="93"/>
      <c r="DA177" s="93"/>
      <c r="DB177" s="93"/>
      <c r="DC177" s="93"/>
      <c r="DD177" s="93"/>
      <c r="DE177" s="93"/>
      <c r="DF177" s="93"/>
      <c r="DG177" s="93"/>
      <c r="DH177" s="825"/>
      <c r="DI177" s="826"/>
      <c r="DJ177" s="825"/>
      <c r="GO177" s="92"/>
      <c r="GP177" s="831"/>
    </row>
    <row r="178" spans="1:198" s="806" customFormat="1" ht="15">
      <c r="A178" s="1076"/>
      <c r="B178" s="6"/>
      <c r="C178" s="6"/>
      <c r="D178" s="1062"/>
      <c r="G178" s="827"/>
      <c r="H178" s="809" t="s">
        <v>8457</v>
      </c>
      <c r="I178" s="92">
        <v>9</v>
      </c>
      <c r="J178" s="92" t="s">
        <v>18</v>
      </c>
      <c r="K178" s="92" t="s">
        <v>768</v>
      </c>
      <c r="L178" s="810">
        <v>2</v>
      </c>
      <c r="M178" s="811" t="str">
        <f t="shared" si="13"/>
        <v>Elementary Level</v>
      </c>
      <c r="N178" s="92"/>
      <c r="O178" s="92"/>
      <c r="P178" s="1638"/>
      <c r="Q178" s="92"/>
      <c r="R178" s="92"/>
      <c r="S178" s="848"/>
      <c r="T178" s="813"/>
      <c r="U178" s="813"/>
      <c r="V178" s="837"/>
      <c r="W178" s="838"/>
      <c r="X178" s="811" t="str">
        <f t="shared" si="16"/>
        <v/>
      </c>
      <c r="Y178" s="836"/>
      <c r="AA178" s="836"/>
      <c r="AB178" s="837"/>
      <c r="AC178" s="809"/>
      <c r="AD178" s="824"/>
      <c r="AE178" s="93"/>
      <c r="AF178" s="818"/>
      <c r="AG178" s="807" t="str">
        <f t="shared" si="15"/>
        <v/>
      </c>
      <c r="AH178" s="807"/>
      <c r="AI178" s="809"/>
      <c r="AJ178" s="809"/>
      <c r="AK178" s="92"/>
      <c r="AL178" s="819"/>
      <c r="AM178" s="836"/>
      <c r="AN178" s="813"/>
      <c r="AO178" s="817"/>
      <c r="AP178" s="820"/>
      <c r="AQ178" s="93"/>
      <c r="AR178" s="93"/>
      <c r="AS178" s="93"/>
      <c r="AT178" s="93"/>
      <c r="AU178" s="93"/>
      <c r="AV178" s="93"/>
      <c r="AW178" s="93"/>
      <c r="AX178" s="93"/>
      <c r="AY178" s="93"/>
      <c r="AZ178" s="93"/>
      <c r="BA178" s="93"/>
      <c r="BB178" s="93"/>
      <c r="BC178" s="93"/>
      <c r="BD178" s="93"/>
      <c r="BE178" s="93"/>
      <c r="BF178" s="93"/>
      <c r="BG178" s="93"/>
      <c r="BH178" s="93"/>
      <c r="BI178" s="93"/>
      <c r="BJ178" s="93"/>
      <c r="BK178" s="93"/>
      <c r="BL178" s="93"/>
      <c r="BM178" s="93"/>
      <c r="BN178" s="93"/>
      <c r="BT178" s="93"/>
      <c r="BU178" s="93"/>
      <c r="BV178" s="93"/>
      <c r="BW178" s="93"/>
      <c r="BX178" s="93"/>
      <c r="BY178" s="93"/>
      <c r="BZ178" s="93"/>
      <c r="CA178" s="93"/>
      <c r="CB178" s="93"/>
      <c r="CC178" s="93"/>
      <c r="CD178" s="93"/>
      <c r="CE178" s="93"/>
      <c r="CF178" s="93"/>
      <c r="CH178" s="93"/>
      <c r="CI178" s="93"/>
      <c r="CJ178" s="93"/>
      <c r="CK178" s="93"/>
      <c r="CL178" s="93"/>
      <c r="CM178" s="93"/>
      <c r="CN178" s="93"/>
      <c r="CO178" s="93"/>
      <c r="CP178" s="93"/>
      <c r="CQ178" s="93"/>
      <c r="CR178" s="93"/>
      <c r="CS178" s="93"/>
      <c r="CT178" s="93"/>
      <c r="CU178" s="93"/>
      <c r="CV178" s="93"/>
      <c r="CW178" s="93"/>
      <c r="CX178" s="93"/>
      <c r="CY178" s="93"/>
      <c r="CZ178" s="93"/>
      <c r="DA178" s="93"/>
      <c r="DB178" s="93"/>
      <c r="DC178" s="93"/>
      <c r="DD178" s="93"/>
      <c r="DE178" s="93"/>
      <c r="DF178" s="93"/>
      <c r="DG178" s="93"/>
      <c r="DH178" s="825"/>
      <c r="DI178" s="826"/>
      <c r="DJ178" s="825"/>
      <c r="GO178" s="92"/>
      <c r="GP178" s="831"/>
    </row>
    <row r="179" spans="1:198" s="806" customFormat="1" ht="15">
      <c r="A179" s="1076"/>
      <c r="B179" s="6"/>
      <c r="C179" s="6"/>
      <c r="D179" s="1062"/>
      <c r="G179" s="827"/>
      <c r="H179" s="809" t="s">
        <v>8458</v>
      </c>
      <c r="I179" s="92">
        <v>8</v>
      </c>
      <c r="J179" s="92" t="s">
        <v>18</v>
      </c>
      <c r="K179" s="92" t="s">
        <v>768</v>
      </c>
      <c r="L179" s="810">
        <v>2</v>
      </c>
      <c r="M179" s="811" t="str">
        <f t="shared" si="13"/>
        <v>Elementary Level</v>
      </c>
      <c r="N179" s="92"/>
      <c r="O179" s="92"/>
      <c r="P179" s="1638"/>
      <c r="Q179" s="92"/>
      <c r="R179" s="92"/>
      <c r="S179" s="848"/>
      <c r="T179" s="813"/>
      <c r="U179" s="813"/>
      <c r="V179" s="837">
        <f>SUM(S176:U179)</f>
        <v>2000</v>
      </c>
      <c r="W179" s="838"/>
      <c r="X179" s="811" t="str">
        <f t="shared" si="16"/>
        <v/>
      </c>
      <c r="Y179" s="836"/>
      <c r="AA179" s="836"/>
      <c r="AB179" s="837">
        <f>SUM(Y176:AA179)</f>
        <v>0</v>
      </c>
      <c r="AC179" s="809"/>
      <c r="AD179" s="824"/>
      <c r="AE179" s="93"/>
      <c r="AF179" s="818"/>
      <c r="AG179" s="807" t="str">
        <f t="shared" si="15"/>
        <v/>
      </c>
      <c r="AH179" s="807"/>
      <c r="AI179" s="809"/>
      <c r="AJ179" s="809"/>
      <c r="AK179" s="92"/>
      <c r="AL179" s="819"/>
      <c r="AM179" s="836"/>
      <c r="AN179" s="813"/>
      <c r="AO179" s="817"/>
      <c r="AP179" s="820"/>
      <c r="AQ179" s="93"/>
      <c r="AR179" s="93"/>
      <c r="AS179" s="93"/>
      <c r="AT179" s="93"/>
      <c r="AU179" s="93"/>
      <c r="AV179" s="93"/>
      <c r="AW179" s="93"/>
      <c r="AX179" s="93"/>
      <c r="AY179" s="93"/>
      <c r="AZ179" s="93"/>
      <c r="BA179" s="93"/>
      <c r="BB179" s="93"/>
      <c r="BC179" s="93"/>
      <c r="BD179" s="93"/>
      <c r="BE179" s="93"/>
      <c r="BF179" s="93"/>
      <c r="BG179" s="93"/>
      <c r="BH179" s="93"/>
      <c r="BI179" s="93"/>
      <c r="BJ179" s="93"/>
      <c r="BK179" s="93"/>
      <c r="BL179" s="93"/>
      <c r="BM179" s="93"/>
      <c r="BN179" s="93"/>
      <c r="BT179" s="93"/>
      <c r="BU179" s="93"/>
      <c r="BV179" s="93"/>
      <c r="BW179" s="93"/>
      <c r="BX179" s="93"/>
      <c r="BY179" s="93"/>
      <c r="BZ179" s="93"/>
      <c r="CA179" s="93"/>
      <c r="CB179" s="93"/>
      <c r="CC179" s="93"/>
      <c r="CD179" s="93"/>
      <c r="CE179" s="93"/>
      <c r="CF179" s="93"/>
      <c r="CH179" s="93"/>
      <c r="CI179" s="93"/>
      <c r="CJ179" s="93"/>
      <c r="CK179" s="93"/>
      <c r="CL179" s="93"/>
      <c r="CM179" s="93"/>
      <c r="CN179" s="93"/>
      <c r="CO179" s="93"/>
      <c r="CP179" s="93"/>
      <c r="CQ179" s="93"/>
      <c r="CR179" s="93"/>
      <c r="CS179" s="93"/>
      <c r="CT179" s="93"/>
      <c r="CU179" s="93"/>
      <c r="CV179" s="93"/>
      <c r="CW179" s="93"/>
      <c r="CX179" s="93"/>
      <c r="CY179" s="93"/>
      <c r="CZ179" s="93"/>
      <c r="DA179" s="93"/>
      <c r="DB179" s="93"/>
      <c r="DC179" s="93"/>
      <c r="DD179" s="93"/>
      <c r="DE179" s="93"/>
      <c r="DF179" s="93"/>
      <c r="DG179" s="93"/>
      <c r="DH179" s="825"/>
      <c r="DI179" s="826"/>
      <c r="DJ179" s="825"/>
      <c r="GO179" s="92"/>
      <c r="GP179" s="831"/>
    </row>
    <row r="180" spans="1:198" s="806" customFormat="1" ht="15">
      <c r="A180" s="1076"/>
      <c r="B180" s="6"/>
      <c r="C180" s="6"/>
      <c r="D180" s="1062" t="s">
        <v>147</v>
      </c>
      <c r="G180" s="809" t="s">
        <v>147</v>
      </c>
      <c r="H180" s="809" t="s">
        <v>1294</v>
      </c>
      <c r="I180" s="92">
        <v>37</v>
      </c>
      <c r="J180" s="92" t="s">
        <v>10</v>
      </c>
      <c r="K180" s="92" t="s">
        <v>719</v>
      </c>
      <c r="L180" s="810">
        <v>3</v>
      </c>
      <c r="M180" s="811" t="str">
        <f t="shared" si="13"/>
        <v>Elementary Graduate</v>
      </c>
      <c r="N180" s="92" t="s">
        <v>1208</v>
      </c>
      <c r="O180" s="92" t="s">
        <v>8459</v>
      </c>
      <c r="P180" s="1638"/>
      <c r="Q180" s="92" t="s">
        <v>8459</v>
      </c>
      <c r="R180" s="92" t="s">
        <v>8234</v>
      </c>
      <c r="S180" s="848">
        <v>9600</v>
      </c>
      <c r="T180" s="813"/>
      <c r="U180" s="836"/>
      <c r="V180" s="864"/>
      <c r="W180" s="838">
        <v>1</v>
      </c>
      <c r="X180" s="811" t="str">
        <f t="shared" si="16"/>
        <v>within the Brgy</v>
      </c>
      <c r="Y180" s="836">
        <v>1200</v>
      </c>
      <c r="Z180" s="836"/>
      <c r="AA180" s="836"/>
      <c r="AB180" s="864"/>
      <c r="AC180" s="878"/>
      <c r="AD180" s="821"/>
      <c r="AE180" s="93"/>
      <c r="AF180" s="818"/>
      <c r="AG180" s="807" t="str">
        <f t="shared" si="15"/>
        <v/>
      </c>
      <c r="AH180" s="807"/>
      <c r="AI180" s="809"/>
      <c r="AJ180" s="809"/>
      <c r="AK180" s="862" t="s">
        <v>1294</v>
      </c>
      <c r="AL180" s="862" t="s">
        <v>478</v>
      </c>
      <c r="AM180" s="863" t="s">
        <v>780</v>
      </c>
      <c r="AN180" s="813"/>
      <c r="AO180" s="817"/>
      <c r="AP180" s="820"/>
      <c r="AQ180" s="93"/>
      <c r="AR180" s="93"/>
      <c r="AS180" s="93"/>
      <c r="AT180" s="93"/>
      <c r="AU180" s="93"/>
      <c r="AV180" s="93"/>
      <c r="AW180" s="93"/>
      <c r="AX180" s="93"/>
      <c r="AY180" s="93"/>
      <c r="AZ180" s="93"/>
      <c r="BA180" s="93"/>
      <c r="BB180" s="93"/>
      <c r="BC180" s="93"/>
      <c r="BD180" s="93"/>
      <c r="BE180" s="93"/>
      <c r="BF180" s="93"/>
      <c r="BG180" s="93"/>
      <c r="BH180" s="93"/>
      <c r="BI180" s="93"/>
      <c r="BJ180" s="93"/>
      <c r="BK180" s="93"/>
      <c r="BL180" s="93"/>
      <c r="BM180" s="93"/>
      <c r="BN180" s="93"/>
      <c r="BT180" s="93"/>
      <c r="BU180" s="93"/>
      <c r="BV180" s="93"/>
      <c r="BW180" s="93"/>
      <c r="BX180" s="93"/>
      <c r="BY180" s="93"/>
      <c r="BZ180" s="93"/>
      <c r="CA180" s="93"/>
      <c r="CB180" s="93"/>
      <c r="CC180" s="93"/>
      <c r="CD180" s="93"/>
      <c r="CE180" s="93"/>
      <c r="CF180" s="93"/>
      <c r="CH180" s="93"/>
      <c r="CI180" s="93"/>
      <c r="CJ180" s="93"/>
      <c r="CK180" s="93"/>
      <c r="CL180" s="93"/>
      <c r="CM180" s="93"/>
      <c r="CN180" s="93"/>
      <c r="CO180" s="93"/>
      <c r="CP180" s="93"/>
      <c r="CQ180" s="93"/>
      <c r="CR180" s="93"/>
      <c r="CS180" s="93"/>
      <c r="CT180" s="93"/>
      <c r="CU180" s="93"/>
      <c r="CV180" s="93"/>
      <c r="CW180" s="93"/>
      <c r="CX180" s="93"/>
      <c r="CY180" s="93"/>
      <c r="CZ180" s="93"/>
      <c r="DA180" s="93"/>
      <c r="DB180" s="93"/>
      <c r="DC180" s="93"/>
      <c r="DD180" s="93"/>
      <c r="DE180" s="93"/>
      <c r="DF180" s="93"/>
      <c r="DG180" s="93"/>
      <c r="DH180" s="825"/>
      <c r="DI180" s="826"/>
      <c r="DJ180" s="825"/>
      <c r="GO180" s="92"/>
      <c r="GP180" s="831"/>
    </row>
    <row r="181" spans="1:198" s="806" customFormat="1" ht="15">
      <c r="A181" s="1076"/>
      <c r="B181" s="6"/>
      <c r="C181" s="6"/>
      <c r="D181" s="1062"/>
      <c r="G181" s="827"/>
      <c r="H181" s="809"/>
      <c r="I181" s="92"/>
      <c r="J181" s="92"/>
      <c r="K181" s="92"/>
      <c r="L181" s="810"/>
      <c r="M181" s="811" t="str">
        <f t="shared" si="13"/>
        <v/>
      </c>
      <c r="N181" s="92"/>
      <c r="O181" s="92" t="s">
        <v>1898</v>
      </c>
      <c r="P181" s="1638"/>
      <c r="Q181" s="92" t="s">
        <v>1898</v>
      </c>
      <c r="R181" s="92"/>
      <c r="S181" s="848"/>
      <c r="T181" s="813"/>
      <c r="U181" s="813">
        <v>1400</v>
      </c>
      <c r="V181" s="864"/>
      <c r="W181" s="838"/>
      <c r="X181" s="811" t="str">
        <f t="shared" si="16"/>
        <v/>
      </c>
      <c r="Y181" s="836"/>
      <c r="AA181" s="836"/>
      <c r="AB181" s="864"/>
      <c r="AC181" s="878"/>
      <c r="AD181" s="821"/>
      <c r="AE181" s="93"/>
      <c r="AF181" s="818"/>
      <c r="AG181" s="807" t="str">
        <f t="shared" si="15"/>
        <v/>
      </c>
      <c r="AH181" s="807"/>
      <c r="AI181" s="809"/>
      <c r="AJ181" s="809"/>
      <c r="AK181" s="92"/>
      <c r="AL181" s="92"/>
      <c r="AM181" s="819"/>
      <c r="AN181" s="813"/>
      <c r="AO181" s="817"/>
      <c r="AP181" s="820"/>
      <c r="AQ181" s="93"/>
      <c r="AR181" s="93"/>
      <c r="AS181" s="93"/>
      <c r="AT181" s="93"/>
      <c r="AU181" s="93"/>
      <c r="AV181" s="93"/>
      <c r="AW181" s="93"/>
      <c r="AX181" s="93"/>
      <c r="AY181" s="93"/>
      <c r="AZ181" s="93"/>
      <c r="BA181" s="93"/>
      <c r="BB181" s="93"/>
      <c r="BC181" s="93"/>
      <c r="BD181" s="93"/>
      <c r="BE181" s="93"/>
      <c r="BF181" s="93"/>
      <c r="BG181" s="93"/>
      <c r="BH181" s="93"/>
      <c r="BI181" s="93"/>
      <c r="BJ181" s="93"/>
      <c r="BK181" s="93"/>
      <c r="BL181" s="93"/>
      <c r="BM181" s="93"/>
      <c r="BN181" s="93"/>
      <c r="BT181" s="93"/>
      <c r="BU181" s="93"/>
      <c r="BV181" s="93"/>
      <c r="BW181" s="93"/>
      <c r="BX181" s="93"/>
      <c r="BY181" s="93"/>
      <c r="BZ181" s="93"/>
      <c r="CA181" s="93"/>
      <c r="CB181" s="93"/>
      <c r="CC181" s="93"/>
      <c r="CD181" s="93"/>
      <c r="CE181" s="93"/>
      <c r="CF181" s="93"/>
      <c r="CH181" s="93"/>
      <c r="CI181" s="93"/>
      <c r="CJ181" s="93"/>
      <c r="CK181" s="93"/>
      <c r="CL181" s="93"/>
      <c r="CM181" s="93"/>
      <c r="CN181" s="93"/>
      <c r="CO181" s="93"/>
      <c r="CP181" s="93"/>
      <c r="CQ181" s="93"/>
      <c r="CR181" s="93"/>
      <c r="CS181" s="93"/>
      <c r="CT181" s="93"/>
      <c r="CU181" s="93"/>
      <c r="CV181" s="93"/>
      <c r="CW181" s="93"/>
      <c r="CX181" s="93"/>
      <c r="CY181" s="93"/>
      <c r="CZ181" s="93"/>
      <c r="DA181" s="93"/>
      <c r="DB181" s="93"/>
      <c r="DC181" s="93"/>
      <c r="DD181" s="93"/>
      <c r="DE181" s="93"/>
      <c r="DF181" s="93"/>
      <c r="DG181" s="93"/>
      <c r="DH181" s="825"/>
      <c r="DI181" s="826"/>
      <c r="DJ181" s="825"/>
      <c r="GO181" s="92"/>
      <c r="GP181" s="831"/>
    </row>
    <row r="182" spans="1:198" s="806" customFormat="1" ht="15">
      <c r="A182" s="1076"/>
      <c r="B182" s="6"/>
      <c r="C182" s="6"/>
      <c r="D182" s="1062"/>
      <c r="G182" s="827"/>
      <c r="H182" s="809" t="s">
        <v>8460</v>
      </c>
      <c r="I182" s="92">
        <v>9</v>
      </c>
      <c r="J182" s="92" t="s">
        <v>18</v>
      </c>
      <c r="K182" s="92" t="s">
        <v>768</v>
      </c>
      <c r="L182" s="810">
        <v>2</v>
      </c>
      <c r="M182" s="811" t="str">
        <f t="shared" si="13"/>
        <v>Elementary Level</v>
      </c>
      <c r="N182" s="92"/>
      <c r="O182" s="92"/>
      <c r="P182" s="1638"/>
      <c r="Q182" s="92"/>
      <c r="R182" s="92"/>
      <c r="S182" s="848"/>
      <c r="T182" s="813"/>
      <c r="U182" s="813"/>
      <c r="V182" s="864">
        <f>SUM(S180:U182)</f>
        <v>11000</v>
      </c>
      <c r="W182" s="838"/>
      <c r="X182" s="811" t="str">
        <f t="shared" si="16"/>
        <v/>
      </c>
      <c r="Y182" s="836"/>
      <c r="AA182" s="836"/>
      <c r="AB182" s="864">
        <f>SUM(Y180:AA182)</f>
        <v>1200</v>
      </c>
      <c r="AC182" s="878"/>
      <c r="AD182" s="821"/>
      <c r="AE182" s="93"/>
      <c r="AF182" s="818"/>
      <c r="AG182" s="807" t="str">
        <f t="shared" si="15"/>
        <v/>
      </c>
      <c r="AH182" s="807"/>
      <c r="AI182" s="809"/>
      <c r="AJ182" s="809"/>
      <c r="AK182" s="92"/>
      <c r="AL182" s="819"/>
      <c r="AM182" s="836"/>
      <c r="AN182" s="813"/>
      <c r="AO182" s="817"/>
      <c r="AP182" s="820"/>
      <c r="AQ182" s="93"/>
      <c r="AR182" s="93"/>
      <c r="AS182" s="93"/>
      <c r="AT182" s="93"/>
      <c r="AU182" s="93"/>
      <c r="AV182" s="93"/>
      <c r="AW182" s="93"/>
      <c r="AX182" s="93"/>
      <c r="AY182" s="93"/>
      <c r="AZ182" s="93"/>
      <c r="BA182" s="93"/>
      <c r="BB182" s="93"/>
      <c r="BC182" s="93"/>
      <c r="BD182" s="93"/>
      <c r="BE182" s="93"/>
      <c r="BF182" s="93"/>
      <c r="BG182" s="93"/>
      <c r="BH182" s="93"/>
      <c r="BI182" s="93"/>
      <c r="BJ182" s="93"/>
      <c r="BK182" s="93"/>
      <c r="BL182" s="93"/>
      <c r="BM182" s="93"/>
      <c r="BN182" s="93"/>
      <c r="BT182" s="93"/>
      <c r="BU182" s="93"/>
      <c r="BV182" s="93"/>
      <c r="BW182" s="93"/>
      <c r="BX182" s="93"/>
      <c r="BY182" s="93"/>
      <c r="BZ182" s="93"/>
      <c r="CA182" s="93"/>
      <c r="CB182" s="93"/>
      <c r="CC182" s="93"/>
      <c r="CD182" s="93"/>
      <c r="CE182" s="93"/>
      <c r="CF182" s="93"/>
      <c r="CH182" s="93"/>
      <c r="CI182" s="93"/>
      <c r="CJ182" s="93"/>
      <c r="CK182" s="93"/>
      <c r="CL182" s="93"/>
      <c r="CM182" s="93"/>
      <c r="CN182" s="93"/>
      <c r="CO182" s="93"/>
      <c r="CP182" s="93"/>
      <c r="CQ182" s="93"/>
      <c r="CR182" s="93"/>
      <c r="CS182" s="93"/>
      <c r="CT182" s="93"/>
      <c r="CU182" s="93"/>
      <c r="CV182" s="93"/>
      <c r="CW182" s="93"/>
      <c r="CX182" s="93"/>
      <c r="CY182" s="93"/>
      <c r="CZ182" s="93"/>
      <c r="DA182" s="93"/>
      <c r="DB182" s="93"/>
      <c r="DC182" s="93"/>
      <c r="DD182" s="93"/>
      <c r="DE182" s="93"/>
      <c r="DF182" s="93"/>
      <c r="DG182" s="93"/>
      <c r="DH182" s="825"/>
      <c r="DI182" s="826"/>
      <c r="DJ182" s="825"/>
      <c r="GO182" s="92"/>
      <c r="GP182" s="831"/>
    </row>
    <row r="183" spans="1:198" s="806" customFormat="1" ht="15">
      <c r="A183" s="767" t="s">
        <v>7421</v>
      </c>
      <c r="B183" s="288" t="s">
        <v>7553</v>
      </c>
      <c r="C183" s="165" t="s">
        <v>148</v>
      </c>
      <c r="D183" s="1062" t="s">
        <v>148</v>
      </c>
      <c r="E183" s="1040" t="s">
        <v>148</v>
      </c>
      <c r="F183" s="1047" t="s">
        <v>1295</v>
      </c>
      <c r="G183" s="809" t="s">
        <v>148</v>
      </c>
      <c r="H183" s="809" t="s">
        <v>1295</v>
      </c>
      <c r="I183" s="92">
        <v>51</v>
      </c>
      <c r="J183" s="92" t="s">
        <v>18</v>
      </c>
      <c r="K183" s="92" t="s">
        <v>722</v>
      </c>
      <c r="L183" s="810">
        <v>2</v>
      </c>
      <c r="M183" s="811" t="str">
        <f t="shared" si="13"/>
        <v>Elementary Level</v>
      </c>
      <c r="N183" s="92" t="s">
        <v>1208</v>
      </c>
      <c r="O183" s="92" t="s">
        <v>8461</v>
      </c>
      <c r="P183" s="1638" t="s">
        <v>12604</v>
      </c>
      <c r="Q183" s="92" t="s">
        <v>8461</v>
      </c>
      <c r="R183" s="92" t="s">
        <v>8234</v>
      </c>
      <c r="S183" s="848">
        <v>4500</v>
      </c>
      <c r="T183" s="836"/>
      <c r="U183" s="836">
        <v>1000</v>
      </c>
      <c r="V183" s="849"/>
      <c r="W183" s="838">
        <v>1</v>
      </c>
      <c r="X183" s="811" t="str">
        <f t="shared" si="16"/>
        <v>within the Brgy</v>
      </c>
      <c r="Y183" s="836"/>
      <c r="Z183" s="92"/>
      <c r="AA183" s="836"/>
      <c r="AB183" s="849"/>
      <c r="AC183" s="809" t="s">
        <v>8462</v>
      </c>
      <c r="AD183" s="824"/>
      <c r="AE183" s="93"/>
      <c r="AF183" s="818"/>
      <c r="AG183" s="807" t="str">
        <f t="shared" si="15"/>
        <v/>
      </c>
      <c r="AH183" s="807"/>
      <c r="AI183" s="807"/>
      <c r="AJ183" s="807"/>
      <c r="AK183" s="92"/>
      <c r="AL183" s="92"/>
      <c r="AM183" s="819"/>
      <c r="AN183" s="820"/>
      <c r="AO183" s="817"/>
      <c r="AP183" s="820"/>
      <c r="AQ183" s="93"/>
      <c r="AR183" s="93"/>
      <c r="AS183" s="93"/>
      <c r="AT183" s="93"/>
      <c r="AU183" s="93"/>
      <c r="AV183" s="93"/>
      <c r="AW183" s="93"/>
      <c r="AX183" s="93"/>
      <c r="AY183" s="93"/>
      <c r="AZ183" s="93"/>
      <c r="BA183" s="93"/>
      <c r="BB183" s="93"/>
      <c r="BC183" s="93"/>
      <c r="BD183" s="93"/>
      <c r="BE183" s="93"/>
      <c r="BF183" s="93"/>
      <c r="BG183" s="93"/>
      <c r="BH183" s="93"/>
      <c r="BI183" s="93"/>
      <c r="BJ183" s="93"/>
      <c r="BK183" s="93"/>
      <c r="BL183" s="93"/>
      <c r="BM183" s="93"/>
      <c r="BN183" s="93"/>
      <c r="BT183" s="93"/>
      <c r="BU183" s="93"/>
      <c r="BV183" s="93"/>
      <c r="BW183" s="93"/>
      <c r="BX183" s="93"/>
      <c r="BY183" s="93"/>
      <c r="BZ183" s="93"/>
      <c r="CA183" s="93"/>
      <c r="CB183" s="93"/>
      <c r="CC183" s="93"/>
      <c r="CD183" s="93"/>
      <c r="CE183" s="1837" t="s">
        <v>2146</v>
      </c>
      <c r="CF183" s="1837"/>
      <c r="CG183" s="1837"/>
      <c r="CH183" s="1838"/>
      <c r="CI183" s="1837" t="s">
        <v>2145</v>
      </c>
      <c r="CJ183" s="1837"/>
      <c r="CK183" s="1837"/>
      <c r="CL183" s="1837"/>
      <c r="CM183" s="1837"/>
      <c r="CN183" s="1837"/>
      <c r="CO183" s="1837"/>
      <c r="CP183" s="1837"/>
      <c r="CQ183" s="1837" t="s">
        <v>2144</v>
      </c>
      <c r="CR183" s="93"/>
      <c r="CS183" s="93"/>
      <c r="CT183" s="93"/>
      <c r="CU183" s="93"/>
      <c r="CV183" s="93"/>
      <c r="CW183" s="93"/>
      <c r="CX183" s="93"/>
      <c r="CY183" s="93"/>
      <c r="CZ183" s="93"/>
      <c r="DA183" s="93"/>
      <c r="DB183" s="93"/>
      <c r="DC183" s="93"/>
      <c r="DD183" s="93"/>
      <c r="DE183" s="93"/>
      <c r="DF183" s="93"/>
      <c r="DG183" s="93"/>
      <c r="DH183" s="93"/>
      <c r="DI183" s="826"/>
      <c r="DJ183" s="825"/>
      <c r="GO183" s="92"/>
      <c r="GP183" s="831"/>
    </row>
    <row r="184" spans="1:198" s="806" customFormat="1" ht="15">
      <c r="A184" s="767" t="s">
        <v>7421</v>
      </c>
      <c r="D184" s="1062" t="s">
        <v>148</v>
      </c>
      <c r="E184" s="1040" t="s">
        <v>148</v>
      </c>
      <c r="G184" s="827"/>
      <c r="H184" s="809" t="s">
        <v>8463</v>
      </c>
      <c r="I184" s="92">
        <v>51</v>
      </c>
      <c r="J184" s="92" t="s">
        <v>10</v>
      </c>
      <c r="K184" s="92" t="s">
        <v>722</v>
      </c>
      <c r="L184" s="810">
        <v>4</v>
      </c>
      <c r="M184" s="811" t="str">
        <f t="shared" si="13"/>
        <v>High School Level</v>
      </c>
      <c r="N184" s="92" t="s">
        <v>1208</v>
      </c>
      <c r="O184" s="92" t="s">
        <v>2214</v>
      </c>
      <c r="P184" s="1638"/>
      <c r="Q184" s="92" t="s">
        <v>2214</v>
      </c>
      <c r="R184" s="92"/>
      <c r="S184" s="848"/>
      <c r="T184" s="813">
        <v>4800</v>
      </c>
      <c r="U184" s="813"/>
      <c r="V184" s="849"/>
      <c r="W184" s="838">
        <v>2</v>
      </c>
      <c r="X184" s="811" t="str">
        <f t="shared" si="16"/>
        <v>within the Municipality/City</v>
      </c>
      <c r="Y184" s="836">
        <v>4400</v>
      </c>
      <c r="AA184" s="836"/>
      <c r="AB184" s="849"/>
      <c r="AC184" s="809" t="s">
        <v>8464</v>
      </c>
      <c r="AD184" s="824"/>
      <c r="AE184" s="93"/>
      <c r="AF184" s="818"/>
      <c r="AG184" s="807" t="str">
        <f t="shared" si="15"/>
        <v/>
      </c>
      <c r="AH184" s="807"/>
      <c r="AI184" s="807"/>
      <c r="AJ184" s="807"/>
      <c r="AK184" s="92"/>
      <c r="AL184" s="92"/>
      <c r="AM184" s="819"/>
      <c r="AN184" s="820"/>
      <c r="AO184" s="817"/>
      <c r="AP184" s="820"/>
      <c r="AQ184" s="93"/>
      <c r="AR184" s="93"/>
      <c r="AS184" s="93"/>
      <c r="AT184" s="93"/>
      <c r="AU184" s="93"/>
      <c r="AV184" s="93"/>
      <c r="AW184" s="93"/>
      <c r="AX184" s="93"/>
      <c r="AY184" s="93"/>
      <c r="AZ184" s="93"/>
      <c r="BA184" s="93"/>
      <c r="BB184" s="93"/>
      <c r="BC184" s="93"/>
      <c r="BD184" s="93"/>
      <c r="BE184" s="93"/>
      <c r="BF184" s="93"/>
      <c r="BG184" s="93"/>
      <c r="BH184" s="93"/>
      <c r="BI184" s="93"/>
      <c r="BJ184" s="93"/>
      <c r="BK184" s="93"/>
      <c r="BL184" s="93"/>
      <c r="BM184" s="93"/>
      <c r="BN184" s="93"/>
      <c r="BT184" s="93"/>
      <c r="BU184" s="93"/>
      <c r="BV184" s="93"/>
      <c r="BW184" s="93"/>
      <c r="BX184" s="93"/>
      <c r="BY184" s="93"/>
      <c r="BZ184" s="93"/>
      <c r="CA184" s="93"/>
      <c r="CB184" s="93"/>
      <c r="CC184" s="93"/>
      <c r="CD184" s="93"/>
      <c r="CE184" s="93"/>
      <c r="CF184" s="93"/>
      <c r="CG184" s="93"/>
      <c r="CI184" s="93"/>
      <c r="CJ184" s="93"/>
      <c r="CK184" s="93"/>
      <c r="CL184" s="93"/>
      <c r="CM184" s="93"/>
      <c r="CN184" s="93"/>
      <c r="CO184" s="93"/>
      <c r="CP184" s="93"/>
      <c r="CQ184" s="93"/>
      <c r="CR184" s="93"/>
      <c r="CS184" s="93"/>
      <c r="CT184" s="93"/>
      <c r="CU184" s="93"/>
      <c r="CV184" s="93"/>
      <c r="CW184" s="93"/>
      <c r="CX184" s="93"/>
      <c r="CY184" s="93"/>
      <c r="CZ184" s="93"/>
      <c r="DA184" s="93"/>
      <c r="DB184" s="93"/>
      <c r="DC184" s="93"/>
      <c r="DD184" s="93"/>
      <c r="DE184" s="93"/>
      <c r="DF184" s="93"/>
      <c r="DG184" s="93"/>
      <c r="DH184" s="93"/>
      <c r="DI184" s="826"/>
      <c r="DJ184" s="825"/>
      <c r="GO184" s="92"/>
      <c r="GP184" s="831"/>
    </row>
    <row r="185" spans="1:198" s="806" customFormat="1" ht="15">
      <c r="A185" s="767" t="s">
        <v>7421</v>
      </c>
      <c r="D185" s="1062" t="s">
        <v>148</v>
      </c>
      <c r="E185" s="1040" t="s">
        <v>148</v>
      </c>
      <c r="G185" s="827"/>
      <c r="H185" s="809" t="s">
        <v>8465</v>
      </c>
      <c r="I185" s="92">
        <v>14</v>
      </c>
      <c r="J185" s="92" t="s">
        <v>10</v>
      </c>
      <c r="K185" s="92" t="s">
        <v>768</v>
      </c>
      <c r="L185" s="810">
        <v>11</v>
      </c>
      <c r="M185" s="811" t="str">
        <f t="shared" si="13"/>
        <v>Junior/Senior High School</v>
      </c>
      <c r="N185" s="92"/>
      <c r="O185" s="92"/>
      <c r="P185" s="1638"/>
      <c r="Q185" s="92"/>
      <c r="R185" s="92"/>
      <c r="S185" s="848"/>
      <c r="T185" s="813"/>
      <c r="U185" s="813"/>
      <c r="V185" s="849"/>
      <c r="W185" s="838"/>
      <c r="X185" s="811" t="str">
        <f t="shared" si="16"/>
        <v/>
      </c>
      <c r="Y185" s="836"/>
      <c r="AA185" s="836"/>
      <c r="AB185" s="849"/>
      <c r="AC185" s="809"/>
      <c r="AD185" s="824"/>
      <c r="AE185" s="93"/>
      <c r="AF185" s="818"/>
      <c r="AG185" s="807" t="str">
        <f t="shared" ref="AG185:AG216" si="17">IF(ISBLANK(AF185)=TRUE,"",LOOKUP(AF185,GS:GT))</f>
        <v/>
      </c>
      <c r="AH185" s="807"/>
      <c r="AI185" s="807"/>
      <c r="AJ185" s="807"/>
      <c r="AK185" s="92"/>
      <c r="AL185" s="92"/>
      <c r="AM185" s="819"/>
      <c r="AN185" s="820"/>
      <c r="AO185" s="817"/>
      <c r="AP185" s="820"/>
      <c r="AQ185" s="93"/>
      <c r="AR185" s="93"/>
      <c r="AS185" s="93"/>
      <c r="AT185" s="93"/>
      <c r="AU185" s="93"/>
      <c r="AV185" s="93"/>
      <c r="AW185" s="93"/>
      <c r="AX185" s="93"/>
      <c r="AY185" s="93"/>
      <c r="AZ185" s="93"/>
      <c r="BA185" s="93"/>
      <c r="BB185" s="93"/>
      <c r="BC185" s="93"/>
      <c r="BD185" s="93"/>
      <c r="BE185" s="93"/>
      <c r="BF185" s="93"/>
      <c r="BG185" s="93"/>
      <c r="BH185" s="93"/>
      <c r="BI185" s="93"/>
      <c r="BJ185" s="93"/>
      <c r="BK185" s="93"/>
      <c r="BL185" s="93"/>
      <c r="BM185" s="93"/>
      <c r="BN185" s="93"/>
      <c r="BT185" s="93"/>
      <c r="BU185" s="93"/>
      <c r="BV185" s="93"/>
      <c r="BW185" s="93"/>
      <c r="BX185" s="93"/>
      <c r="BY185" s="93"/>
      <c r="BZ185" s="93"/>
      <c r="CA185" s="93"/>
      <c r="CB185" s="93"/>
      <c r="CC185" s="93"/>
      <c r="CD185" s="93"/>
      <c r="CE185" s="93"/>
      <c r="CF185" s="93"/>
      <c r="CG185" s="93"/>
      <c r="CI185" s="93"/>
      <c r="CJ185" s="93"/>
      <c r="CK185" s="93"/>
      <c r="CL185" s="93"/>
      <c r="CM185" s="93"/>
      <c r="CN185" s="93"/>
      <c r="CO185" s="93"/>
      <c r="CP185" s="93"/>
      <c r="CQ185" s="93"/>
      <c r="CR185" s="93"/>
      <c r="CS185" s="93"/>
      <c r="CT185" s="93"/>
      <c r="CU185" s="93"/>
      <c r="CV185" s="93"/>
      <c r="CW185" s="93"/>
      <c r="CX185" s="93"/>
      <c r="CY185" s="93"/>
      <c r="CZ185" s="93"/>
      <c r="DA185" s="93"/>
      <c r="DB185" s="93"/>
      <c r="DC185" s="93"/>
      <c r="DD185" s="93"/>
      <c r="DE185" s="93"/>
      <c r="DF185" s="93"/>
      <c r="DG185" s="93"/>
      <c r="DH185" s="93"/>
      <c r="DI185" s="826"/>
      <c r="DJ185" s="825"/>
      <c r="GO185" s="92"/>
      <c r="GP185" s="831"/>
    </row>
    <row r="186" spans="1:198" s="806" customFormat="1" ht="15">
      <c r="A186" s="767" t="s">
        <v>7421</v>
      </c>
      <c r="D186" s="1062" t="s">
        <v>148</v>
      </c>
      <c r="E186" s="1040" t="s">
        <v>148</v>
      </c>
      <c r="G186" s="827"/>
      <c r="H186" s="809" t="s">
        <v>8466</v>
      </c>
      <c r="I186" s="92">
        <v>7</v>
      </c>
      <c r="J186" s="92" t="s">
        <v>18</v>
      </c>
      <c r="K186" s="92" t="s">
        <v>768</v>
      </c>
      <c r="L186" s="810">
        <v>2</v>
      </c>
      <c r="M186" s="811" t="str">
        <f t="shared" si="13"/>
        <v>Elementary Level</v>
      </c>
      <c r="N186" s="92"/>
      <c r="O186" s="92"/>
      <c r="P186" s="1638"/>
      <c r="Q186" s="92"/>
      <c r="R186" s="92"/>
      <c r="S186" s="848"/>
      <c r="T186" s="813"/>
      <c r="U186" s="813"/>
      <c r="V186" s="849">
        <f>SUM(S183:U186)</f>
        <v>10300</v>
      </c>
      <c r="W186" s="838"/>
      <c r="X186" s="811" t="str">
        <f t="shared" si="16"/>
        <v/>
      </c>
      <c r="Y186" s="836"/>
      <c r="AA186" s="836"/>
      <c r="AB186" s="849">
        <f>SUM(Y183:AA186)</f>
        <v>4400</v>
      </c>
      <c r="AC186" s="809"/>
      <c r="AD186" s="824"/>
      <c r="AE186" s="93"/>
      <c r="AF186" s="818"/>
      <c r="AG186" s="807" t="str">
        <f t="shared" si="17"/>
        <v/>
      </c>
      <c r="AH186" s="807"/>
      <c r="AI186" s="807"/>
      <c r="AJ186" s="807"/>
      <c r="AK186" s="92"/>
      <c r="AL186" s="92"/>
      <c r="AM186" s="819"/>
      <c r="AN186" s="820"/>
      <c r="AO186" s="817"/>
      <c r="AP186" s="820"/>
      <c r="AQ186" s="93"/>
      <c r="AR186" s="93"/>
      <c r="AS186" s="93"/>
      <c r="AT186" s="93"/>
      <c r="AU186" s="93"/>
      <c r="AV186" s="93"/>
      <c r="AW186" s="93"/>
      <c r="AX186" s="93"/>
      <c r="AY186" s="93"/>
      <c r="AZ186" s="93"/>
      <c r="BA186" s="93"/>
      <c r="BB186" s="93"/>
      <c r="BC186" s="93"/>
      <c r="BD186" s="93"/>
      <c r="BE186" s="93"/>
      <c r="BF186" s="93"/>
      <c r="BG186" s="93"/>
      <c r="BH186" s="93"/>
      <c r="BI186" s="93"/>
      <c r="BJ186" s="93"/>
      <c r="BK186" s="93"/>
      <c r="BL186" s="93"/>
      <c r="BM186" s="93"/>
      <c r="BN186" s="93"/>
      <c r="BT186" s="93"/>
      <c r="BU186" s="93"/>
      <c r="BV186" s="93"/>
      <c r="BW186" s="93"/>
      <c r="BX186" s="93"/>
      <c r="BY186" s="93"/>
      <c r="BZ186" s="93"/>
      <c r="CA186" s="93"/>
      <c r="CB186" s="93"/>
      <c r="CC186" s="93"/>
      <c r="CD186" s="93"/>
      <c r="CE186" s="93"/>
      <c r="CF186" s="93"/>
      <c r="CG186" s="93"/>
      <c r="CI186" s="93"/>
      <c r="CJ186" s="93"/>
      <c r="CK186" s="93"/>
      <c r="CL186" s="93"/>
      <c r="CM186" s="93"/>
      <c r="CN186" s="93"/>
      <c r="CO186" s="93"/>
      <c r="CP186" s="93"/>
      <c r="CQ186" s="93"/>
      <c r="CR186" s="93"/>
      <c r="CS186" s="93"/>
      <c r="CT186" s="93"/>
      <c r="CU186" s="93"/>
      <c r="CV186" s="93"/>
      <c r="CW186" s="93"/>
      <c r="CX186" s="93"/>
      <c r="CY186" s="93"/>
      <c r="CZ186" s="93"/>
      <c r="DA186" s="93"/>
      <c r="DB186" s="93"/>
      <c r="DC186" s="93"/>
      <c r="DD186" s="93"/>
      <c r="DE186" s="93"/>
      <c r="DF186" s="93"/>
      <c r="DG186" s="93"/>
      <c r="DH186" s="93"/>
      <c r="DI186" s="826"/>
      <c r="DJ186" s="825"/>
      <c r="GO186" s="92"/>
      <c r="GP186" s="831"/>
    </row>
    <row r="187" spans="1:198" s="806" customFormat="1" ht="15">
      <c r="A187" s="49" t="s">
        <v>12457</v>
      </c>
      <c r="B187" s="288" t="s">
        <v>7571</v>
      </c>
      <c r="C187" s="165" t="s">
        <v>151</v>
      </c>
      <c r="D187" s="1062" t="s">
        <v>151</v>
      </c>
      <c r="G187" s="809" t="s">
        <v>151</v>
      </c>
      <c r="H187" s="809" t="s">
        <v>2057</v>
      </c>
      <c r="I187" s="92">
        <v>49</v>
      </c>
      <c r="J187" s="92" t="s">
        <v>18</v>
      </c>
      <c r="K187" s="92" t="s">
        <v>783</v>
      </c>
      <c r="L187" s="810">
        <v>3</v>
      </c>
      <c r="M187" s="811" t="str">
        <f t="shared" si="13"/>
        <v>Elementary Graduate</v>
      </c>
      <c r="N187" s="92" t="s">
        <v>1208</v>
      </c>
      <c r="O187" s="92" t="s">
        <v>8467</v>
      </c>
      <c r="P187" s="1638" t="s">
        <v>12604</v>
      </c>
      <c r="Q187" s="92" t="s">
        <v>8467</v>
      </c>
      <c r="R187" s="92" t="s">
        <v>8234</v>
      </c>
      <c r="S187" s="848">
        <v>4500</v>
      </c>
      <c r="T187" s="813"/>
      <c r="U187" s="813"/>
      <c r="V187" s="837">
        <f>SUM(S187:U187)</f>
        <v>4500</v>
      </c>
      <c r="W187" s="838">
        <v>1</v>
      </c>
      <c r="X187" s="811" t="str">
        <f t="shared" si="16"/>
        <v>within the Brgy</v>
      </c>
      <c r="Y187" s="836">
        <v>336</v>
      </c>
      <c r="Z187" s="92"/>
      <c r="AA187" s="836"/>
      <c r="AB187" s="837">
        <f>SUM(Y187:AA187)</f>
        <v>336</v>
      </c>
      <c r="AC187" s="809" t="s">
        <v>8399</v>
      </c>
      <c r="AD187" s="824"/>
      <c r="AE187" s="93"/>
      <c r="AF187" s="818"/>
      <c r="AG187" s="807" t="str">
        <f t="shared" si="17"/>
        <v/>
      </c>
      <c r="AH187" s="807"/>
      <c r="AI187" s="807"/>
      <c r="AJ187" s="807"/>
      <c r="AK187" s="92"/>
      <c r="AL187" s="92"/>
      <c r="AM187" s="819"/>
      <c r="AN187" s="820"/>
      <c r="AO187" s="817"/>
      <c r="AP187" s="820"/>
      <c r="AQ187" s="93"/>
      <c r="AR187" s="93"/>
      <c r="AS187" s="93"/>
      <c r="AT187" s="93"/>
      <c r="AU187" s="93"/>
      <c r="AV187" s="93"/>
      <c r="AW187" s="93"/>
      <c r="AX187" s="93"/>
      <c r="AY187" s="93"/>
      <c r="AZ187" s="93"/>
      <c r="BA187" s="93"/>
      <c r="BB187" s="93"/>
      <c r="BC187" s="93"/>
      <c r="BD187" s="93"/>
      <c r="BE187" s="93"/>
      <c r="BF187" s="93"/>
      <c r="BG187" s="93"/>
      <c r="BH187" s="93"/>
      <c r="BI187" s="93"/>
      <c r="BJ187" s="93"/>
      <c r="BK187" s="93"/>
      <c r="BL187" s="93"/>
      <c r="BM187" s="93"/>
      <c r="BN187" s="93"/>
      <c r="BT187" s="93"/>
      <c r="BU187" s="93"/>
      <c r="BV187" s="93"/>
      <c r="BW187" s="93"/>
      <c r="BX187" s="93"/>
      <c r="BY187" s="93"/>
      <c r="BZ187" s="93"/>
      <c r="CA187" s="93">
        <v>1</v>
      </c>
      <c r="CB187" s="93"/>
      <c r="CC187" s="93"/>
      <c r="CD187" s="93"/>
      <c r="CE187" s="93"/>
      <c r="CF187" s="93"/>
      <c r="CG187" s="93">
        <v>2</v>
      </c>
      <c r="CI187" s="93"/>
      <c r="CJ187" s="93"/>
      <c r="CK187" s="93"/>
      <c r="CL187" s="93"/>
      <c r="CM187" s="93"/>
      <c r="CN187" s="93"/>
      <c r="CO187" s="93"/>
      <c r="CP187" s="93"/>
      <c r="CQ187" s="93"/>
      <c r="CR187" s="93"/>
      <c r="CS187" s="93"/>
      <c r="CT187" s="93"/>
      <c r="CU187" s="93"/>
      <c r="CV187" s="93"/>
      <c r="CW187" s="93"/>
      <c r="CX187" s="93"/>
      <c r="CY187" s="93"/>
      <c r="CZ187" s="93"/>
      <c r="DA187" s="93"/>
      <c r="DB187" s="93"/>
      <c r="DC187" s="93"/>
      <c r="DD187" s="93"/>
      <c r="DE187" s="93"/>
      <c r="DF187" s="93"/>
      <c r="DG187" s="93"/>
      <c r="DH187" s="93"/>
      <c r="DI187" s="826"/>
      <c r="DJ187" s="825"/>
      <c r="GO187" s="92"/>
      <c r="GP187" s="831"/>
    </row>
    <row r="188" spans="1:198" s="92" customFormat="1" ht="15">
      <c r="A188" s="49" t="s">
        <v>12457</v>
      </c>
      <c r="B188" s="288" t="s">
        <v>7572</v>
      </c>
      <c r="C188" s="165" t="s">
        <v>152</v>
      </c>
      <c r="D188" s="1063" t="s">
        <v>152</v>
      </c>
      <c r="G188" s="831" t="s">
        <v>152</v>
      </c>
      <c r="H188" s="831" t="s">
        <v>8468</v>
      </c>
      <c r="I188" s="92">
        <v>42</v>
      </c>
      <c r="J188" s="92" t="s">
        <v>10</v>
      </c>
      <c r="K188" s="92" t="s">
        <v>722</v>
      </c>
      <c r="L188" s="810">
        <v>4</v>
      </c>
      <c r="M188" s="811" t="str">
        <f t="shared" si="13"/>
        <v>High School Level</v>
      </c>
      <c r="N188" s="826" t="s">
        <v>1208</v>
      </c>
      <c r="O188" s="92" t="s">
        <v>8469</v>
      </c>
      <c r="P188" s="1638" t="s">
        <v>12606</v>
      </c>
      <c r="Q188" s="92" t="s">
        <v>8469</v>
      </c>
      <c r="R188" s="92" t="s">
        <v>8234</v>
      </c>
      <c r="S188" s="879">
        <v>14000</v>
      </c>
      <c r="T188" s="880"/>
      <c r="U188" s="880"/>
      <c r="V188" s="864"/>
      <c r="W188" s="838">
        <v>1</v>
      </c>
      <c r="X188" s="811" t="str">
        <f t="shared" si="16"/>
        <v>within the Brgy</v>
      </c>
      <c r="Y188" s="836"/>
      <c r="Z188" s="836"/>
      <c r="AA188" s="836"/>
      <c r="AB188" s="864"/>
      <c r="AC188" s="831" t="s">
        <v>8470</v>
      </c>
      <c r="AD188" s="881"/>
      <c r="AE188" s="826"/>
      <c r="AF188" s="882"/>
      <c r="AG188" s="807" t="str">
        <f t="shared" si="17"/>
        <v/>
      </c>
      <c r="AH188" s="826"/>
      <c r="AI188" s="826"/>
      <c r="AJ188" s="826"/>
      <c r="AK188" s="843"/>
      <c r="AL188" s="883"/>
      <c r="AM188" s="884"/>
      <c r="AN188" s="885"/>
      <c r="AO188" s="886"/>
      <c r="AP188" s="887"/>
      <c r="AQ188" s="92" t="s">
        <v>2144</v>
      </c>
      <c r="AR188" s="826"/>
      <c r="AS188" s="826"/>
      <c r="AT188" s="826"/>
      <c r="AU188" s="826"/>
      <c r="AV188" s="826"/>
      <c r="AW188" s="826" t="s">
        <v>2145</v>
      </c>
      <c r="AX188" s="826"/>
      <c r="AY188" s="826"/>
      <c r="AZ188" s="826"/>
      <c r="BA188" s="826"/>
      <c r="BB188" s="826"/>
      <c r="BC188" s="826"/>
      <c r="BD188" s="826"/>
      <c r="BE188" s="826"/>
      <c r="BF188" s="826"/>
      <c r="BG188" s="826"/>
      <c r="BH188" s="826" t="s">
        <v>2146</v>
      </c>
      <c r="BI188" s="826"/>
      <c r="BJ188" s="826"/>
      <c r="BK188" s="826"/>
      <c r="BL188" s="826"/>
      <c r="BM188" s="826"/>
      <c r="BN188" s="826"/>
      <c r="BT188" s="826"/>
      <c r="BU188" s="826"/>
      <c r="BV188" s="826"/>
      <c r="BW188" s="826"/>
      <c r="BX188" s="826"/>
      <c r="BY188" s="826"/>
      <c r="BZ188" s="826"/>
      <c r="CA188" s="826"/>
      <c r="CB188" s="826"/>
      <c r="CC188" s="826"/>
      <c r="CD188" s="826"/>
      <c r="CE188" s="826"/>
      <c r="CF188" s="826"/>
      <c r="CG188" s="826"/>
      <c r="CI188" s="826"/>
      <c r="CJ188" s="826"/>
      <c r="CK188" s="826"/>
      <c r="CL188" s="826"/>
      <c r="CM188" s="826"/>
      <c r="CN188" s="826"/>
      <c r="CO188" s="826"/>
      <c r="CP188" s="826"/>
      <c r="CQ188" s="826"/>
      <c r="CR188" s="826"/>
      <c r="CS188" s="826"/>
      <c r="CT188" s="826"/>
      <c r="CU188" s="826"/>
      <c r="CV188" s="826"/>
      <c r="CW188" s="826"/>
      <c r="CX188" s="826"/>
      <c r="CY188" s="826"/>
      <c r="CZ188" s="826"/>
      <c r="DA188" s="826"/>
      <c r="DB188" s="826"/>
      <c r="DC188" s="826"/>
      <c r="DD188" s="826"/>
      <c r="DE188" s="826"/>
      <c r="DF188" s="826"/>
      <c r="DG188" s="826"/>
      <c r="DH188" s="826"/>
      <c r="DI188" s="826"/>
      <c r="DJ188" s="826"/>
      <c r="GP188" s="831"/>
    </row>
    <row r="189" spans="1:198" s="92" customFormat="1" ht="15">
      <c r="D189" s="1063"/>
      <c r="G189" s="835"/>
      <c r="H189" s="831" t="s">
        <v>8471</v>
      </c>
      <c r="I189" s="92">
        <v>36</v>
      </c>
      <c r="J189" s="92" t="s">
        <v>18</v>
      </c>
      <c r="K189" s="92" t="s">
        <v>722</v>
      </c>
      <c r="L189" s="810">
        <v>2</v>
      </c>
      <c r="M189" s="811" t="str">
        <f t="shared" si="13"/>
        <v>Elementary Level</v>
      </c>
      <c r="N189" s="826" t="s">
        <v>1208</v>
      </c>
      <c r="O189" s="92" t="s">
        <v>8450</v>
      </c>
      <c r="P189" s="1638"/>
      <c r="Q189" s="92" t="s">
        <v>8450</v>
      </c>
      <c r="S189" s="879"/>
      <c r="T189" s="880"/>
      <c r="U189" s="880">
        <v>4000</v>
      </c>
      <c r="V189" s="864"/>
      <c r="W189" s="838">
        <v>1</v>
      </c>
      <c r="X189" s="811" t="str">
        <f t="shared" si="16"/>
        <v>within the Brgy</v>
      </c>
      <c r="Y189" s="836"/>
      <c r="AA189" s="836"/>
      <c r="AB189" s="864"/>
      <c r="AC189" s="831"/>
      <c r="AD189" s="881"/>
      <c r="AE189" s="826"/>
      <c r="AF189" s="882"/>
      <c r="AG189" s="807" t="str">
        <f t="shared" si="17"/>
        <v/>
      </c>
      <c r="AH189" s="826"/>
      <c r="AI189" s="826"/>
      <c r="AJ189" s="826"/>
      <c r="AK189" s="843"/>
      <c r="AL189" s="883"/>
      <c r="AM189" s="884"/>
      <c r="AN189" s="885"/>
      <c r="AO189" s="886"/>
      <c r="AP189" s="887"/>
      <c r="AR189" s="826"/>
      <c r="AS189" s="826"/>
      <c r="AT189" s="826"/>
      <c r="AU189" s="826"/>
      <c r="AV189" s="826"/>
      <c r="AW189" s="826"/>
      <c r="AX189" s="826"/>
      <c r="AY189" s="826"/>
      <c r="AZ189" s="826"/>
      <c r="BA189" s="826"/>
      <c r="BB189" s="826"/>
      <c r="BC189" s="826"/>
      <c r="BD189" s="826"/>
      <c r="BE189" s="826"/>
      <c r="BF189" s="826"/>
      <c r="BG189" s="826"/>
      <c r="BH189" s="826"/>
      <c r="BI189" s="826"/>
      <c r="BJ189" s="826"/>
      <c r="BK189" s="826"/>
      <c r="BL189" s="826"/>
      <c r="BM189" s="826"/>
      <c r="BN189" s="826"/>
      <c r="BT189" s="826"/>
      <c r="BU189" s="826"/>
      <c r="BV189" s="826"/>
      <c r="BW189" s="826"/>
      <c r="BX189" s="826"/>
      <c r="BY189" s="826"/>
      <c r="BZ189" s="826"/>
      <c r="CA189" s="826"/>
      <c r="CB189" s="826"/>
      <c r="CC189" s="826"/>
      <c r="CD189" s="826"/>
      <c r="CE189" s="826"/>
      <c r="CF189" s="826"/>
      <c r="CG189" s="826"/>
      <c r="CI189" s="826"/>
      <c r="CJ189" s="826"/>
      <c r="CK189" s="826"/>
      <c r="CL189" s="826"/>
      <c r="CM189" s="826"/>
      <c r="CN189" s="826"/>
      <c r="CO189" s="826"/>
      <c r="CP189" s="826"/>
      <c r="CQ189" s="826"/>
      <c r="CR189" s="826"/>
      <c r="CS189" s="826" t="s">
        <v>2145</v>
      </c>
      <c r="CT189" s="826" t="s">
        <v>2144</v>
      </c>
      <c r="CU189" s="826"/>
      <c r="CV189" s="826"/>
      <c r="CW189" s="826"/>
      <c r="CX189" s="826"/>
      <c r="CY189" s="826"/>
      <c r="CZ189" s="826"/>
      <c r="DA189" s="826"/>
      <c r="DB189" s="826"/>
      <c r="DC189" s="826"/>
      <c r="DD189" s="826"/>
      <c r="DE189" s="826"/>
      <c r="DF189" s="826"/>
      <c r="DG189" s="826"/>
      <c r="DH189" s="826"/>
      <c r="DI189" s="826"/>
      <c r="DJ189" s="826"/>
      <c r="GP189" s="831"/>
    </row>
    <row r="190" spans="1:198" s="92" customFormat="1" ht="15">
      <c r="D190" s="1063"/>
      <c r="G190" s="835"/>
      <c r="H190" s="831" t="s">
        <v>8472</v>
      </c>
      <c r="I190" s="92">
        <v>13</v>
      </c>
      <c r="J190" s="92" t="s">
        <v>10</v>
      </c>
      <c r="K190" s="92" t="s">
        <v>768</v>
      </c>
      <c r="L190" s="810">
        <v>11</v>
      </c>
      <c r="M190" s="811" t="str">
        <f t="shared" si="13"/>
        <v>Junior/Senior High School</v>
      </c>
      <c r="N190" s="826"/>
      <c r="P190" s="1638"/>
      <c r="S190" s="879"/>
      <c r="T190" s="880"/>
      <c r="U190" s="880"/>
      <c r="V190" s="864"/>
      <c r="W190" s="838"/>
      <c r="X190" s="811" t="str">
        <f t="shared" si="16"/>
        <v/>
      </c>
      <c r="Y190" s="836"/>
      <c r="AA190" s="836"/>
      <c r="AB190" s="864"/>
      <c r="AC190" s="831"/>
      <c r="AD190" s="881"/>
      <c r="AE190" s="826"/>
      <c r="AF190" s="882"/>
      <c r="AG190" s="807" t="str">
        <f t="shared" si="17"/>
        <v/>
      </c>
      <c r="AH190" s="826"/>
      <c r="AI190" s="826"/>
      <c r="AJ190" s="826"/>
      <c r="AK190" s="843"/>
      <c r="AL190" s="883"/>
      <c r="AM190" s="884"/>
      <c r="AN190" s="885"/>
      <c r="AO190" s="886"/>
      <c r="AP190" s="887"/>
      <c r="AR190" s="826"/>
      <c r="AS190" s="826"/>
      <c r="AT190" s="826"/>
      <c r="AU190" s="826"/>
      <c r="AV190" s="826"/>
      <c r="AW190" s="826"/>
      <c r="AX190" s="826"/>
      <c r="AY190" s="826"/>
      <c r="AZ190" s="826"/>
      <c r="BA190" s="826"/>
      <c r="BB190" s="826"/>
      <c r="BC190" s="826"/>
      <c r="BD190" s="826"/>
      <c r="BE190" s="826"/>
      <c r="BF190" s="826"/>
      <c r="BG190" s="826"/>
      <c r="BH190" s="826"/>
      <c r="BI190" s="826"/>
      <c r="BJ190" s="826"/>
      <c r="BK190" s="826"/>
      <c r="BL190" s="826"/>
      <c r="BM190" s="826"/>
      <c r="BN190" s="826"/>
      <c r="BT190" s="826"/>
      <c r="BU190" s="826"/>
      <c r="BV190" s="826"/>
      <c r="BW190" s="826"/>
      <c r="BX190" s="826"/>
      <c r="BY190" s="826"/>
      <c r="BZ190" s="826"/>
      <c r="CA190" s="826"/>
      <c r="CB190" s="826"/>
      <c r="CC190" s="826"/>
      <c r="CD190" s="826"/>
      <c r="CE190" s="826"/>
      <c r="CF190" s="826"/>
      <c r="CG190" s="826"/>
      <c r="CH190" s="826"/>
      <c r="CI190" s="826"/>
      <c r="CJ190" s="826"/>
      <c r="CK190" s="826"/>
      <c r="CL190" s="826"/>
      <c r="CM190" s="826"/>
      <c r="CN190" s="826"/>
      <c r="CO190" s="826"/>
      <c r="CP190" s="826"/>
      <c r="CQ190" s="826"/>
      <c r="CR190" s="826"/>
      <c r="CS190" s="826"/>
      <c r="CT190" s="826"/>
      <c r="CU190" s="826"/>
      <c r="CV190" s="826"/>
      <c r="CW190" s="826"/>
      <c r="CX190" s="826"/>
      <c r="CY190" s="826"/>
      <c r="CZ190" s="826"/>
      <c r="DA190" s="826"/>
      <c r="DB190" s="826"/>
      <c r="DC190" s="826"/>
      <c r="DD190" s="826"/>
      <c r="DE190" s="826"/>
      <c r="DF190" s="826"/>
      <c r="DG190" s="826"/>
      <c r="DH190" s="826"/>
      <c r="DI190" s="826"/>
      <c r="DJ190" s="826"/>
      <c r="GP190" s="831"/>
    </row>
    <row r="191" spans="1:198" s="92" customFormat="1" ht="15">
      <c r="D191" s="1063"/>
      <c r="G191" s="835"/>
      <c r="H191" s="831" t="s">
        <v>8473</v>
      </c>
      <c r="I191" s="92">
        <v>11</v>
      </c>
      <c r="J191" s="92" t="s">
        <v>18</v>
      </c>
      <c r="K191" s="92" t="s">
        <v>768</v>
      </c>
      <c r="L191" s="810">
        <v>2</v>
      </c>
      <c r="M191" s="811" t="str">
        <f t="shared" si="13"/>
        <v>Elementary Level</v>
      </c>
      <c r="N191" s="826"/>
      <c r="P191" s="1638"/>
      <c r="S191" s="879"/>
      <c r="T191" s="880"/>
      <c r="U191" s="880"/>
      <c r="V191" s="864"/>
      <c r="W191" s="838"/>
      <c r="X191" s="811" t="str">
        <f t="shared" si="16"/>
        <v/>
      </c>
      <c r="Y191" s="836"/>
      <c r="AA191" s="836"/>
      <c r="AB191" s="864"/>
      <c r="AC191" s="831"/>
      <c r="AD191" s="881"/>
      <c r="AE191" s="826"/>
      <c r="AF191" s="882"/>
      <c r="AG191" s="807" t="str">
        <f t="shared" si="17"/>
        <v/>
      </c>
      <c r="AH191" s="826"/>
      <c r="AI191" s="826"/>
      <c r="AJ191" s="826"/>
      <c r="AK191" s="843"/>
      <c r="AL191" s="883"/>
      <c r="AM191" s="884"/>
      <c r="AN191" s="885"/>
      <c r="AO191" s="886"/>
      <c r="AP191" s="887"/>
      <c r="AR191" s="826"/>
      <c r="AS191" s="826"/>
      <c r="AT191" s="826"/>
      <c r="AU191" s="826"/>
      <c r="AV191" s="826"/>
      <c r="AW191" s="826"/>
      <c r="AX191" s="826"/>
      <c r="AY191" s="826"/>
      <c r="AZ191" s="826"/>
      <c r="BA191" s="826"/>
      <c r="BB191" s="826"/>
      <c r="BC191" s="826"/>
      <c r="BD191" s="826"/>
      <c r="BE191" s="826"/>
      <c r="BF191" s="826"/>
      <c r="BG191" s="826"/>
      <c r="BH191" s="826"/>
      <c r="BI191" s="826"/>
      <c r="BJ191" s="826"/>
      <c r="BK191" s="826"/>
      <c r="BL191" s="826"/>
      <c r="BM191" s="826"/>
      <c r="BN191" s="826"/>
      <c r="BT191" s="826"/>
      <c r="BU191" s="826"/>
      <c r="BV191" s="826"/>
      <c r="BW191" s="826"/>
      <c r="BX191" s="826"/>
      <c r="BY191" s="826"/>
      <c r="BZ191" s="826"/>
      <c r="CA191" s="826"/>
      <c r="CB191" s="826"/>
      <c r="CC191" s="826"/>
      <c r="CD191" s="826"/>
      <c r="CE191" s="826"/>
      <c r="CF191" s="826"/>
      <c r="CG191" s="826"/>
      <c r="CH191" s="826"/>
      <c r="CI191" s="826"/>
      <c r="CJ191" s="826"/>
      <c r="CK191" s="826"/>
      <c r="CL191" s="826"/>
      <c r="CM191" s="826"/>
      <c r="CN191" s="826"/>
      <c r="CO191" s="826"/>
      <c r="CP191" s="826"/>
      <c r="CQ191" s="826"/>
      <c r="CR191" s="826"/>
      <c r="CS191" s="826"/>
      <c r="CT191" s="826"/>
      <c r="CU191" s="826"/>
      <c r="CV191" s="826"/>
      <c r="CW191" s="826"/>
      <c r="CX191" s="826"/>
      <c r="CY191" s="826"/>
      <c r="CZ191" s="826"/>
      <c r="DA191" s="826"/>
      <c r="DB191" s="826"/>
      <c r="DC191" s="826"/>
      <c r="DD191" s="826"/>
      <c r="DE191" s="826"/>
      <c r="DF191" s="826"/>
      <c r="DG191" s="826"/>
      <c r="DH191" s="826"/>
      <c r="DI191" s="826"/>
      <c r="DJ191" s="826"/>
      <c r="GP191" s="831"/>
    </row>
    <row r="192" spans="1:198" s="92" customFormat="1" ht="15">
      <c r="A192" s="1076"/>
      <c r="B192" s="6"/>
      <c r="C192" s="6"/>
      <c r="D192" s="1063"/>
      <c r="G192" s="835"/>
      <c r="H192" s="831" t="s">
        <v>8474</v>
      </c>
      <c r="I192" s="92">
        <v>10</v>
      </c>
      <c r="J192" s="92" t="s">
        <v>10</v>
      </c>
      <c r="K192" s="92" t="s">
        <v>768</v>
      </c>
      <c r="L192" s="810">
        <v>2</v>
      </c>
      <c r="M192" s="811" t="str">
        <f t="shared" si="13"/>
        <v>Elementary Level</v>
      </c>
      <c r="N192" s="826"/>
      <c r="P192" s="1638"/>
      <c r="S192" s="879"/>
      <c r="T192" s="880"/>
      <c r="U192" s="880"/>
      <c r="V192" s="864"/>
      <c r="W192" s="838"/>
      <c r="X192" s="811" t="str">
        <f t="shared" si="16"/>
        <v/>
      </c>
      <c r="Y192" s="836"/>
      <c r="AA192" s="836"/>
      <c r="AB192" s="864"/>
      <c r="AC192" s="831"/>
      <c r="AD192" s="881"/>
      <c r="AE192" s="826"/>
      <c r="AF192" s="882"/>
      <c r="AG192" s="807" t="str">
        <f t="shared" si="17"/>
        <v/>
      </c>
      <c r="AH192" s="826"/>
      <c r="AI192" s="826"/>
      <c r="AJ192" s="826"/>
      <c r="AK192" s="843"/>
      <c r="AL192" s="883"/>
      <c r="AM192" s="884"/>
      <c r="AN192" s="885"/>
      <c r="AO192" s="886"/>
      <c r="AP192" s="887"/>
      <c r="AR192" s="826"/>
      <c r="AS192" s="826"/>
      <c r="AT192" s="826"/>
      <c r="AU192" s="826"/>
      <c r="AV192" s="826"/>
      <c r="AW192" s="826"/>
      <c r="AX192" s="826"/>
      <c r="AY192" s="826"/>
      <c r="AZ192" s="826"/>
      <c r="BA192" s="826"/>
      <c r="BB192" s="826"/>
      <c r="BC192" s="826"/>
      <c r="BD192" s="826"/>
      <c r="BE192" s="826"/>
      <c r="BF192" s="826"/>
      <c r="BG192" s="826"/>
      <c r="BH192" s="826"/>
      <c r="BI192" s="826"/>
      <c r="BJ192" s="826"/>
      <c r="BK192" s="826"/>
      <c r="BL192" s="826"/>
      <c r="BM192" s="826"/>
      <c r="BN192" s="826"/>
      <c r="BT192" s="826"/>
      <c r="BU192" s="826"/>
      <c r="BV192" s="826"/>
      <c r="BW192" s="826"/>
      <c r="BX192" s="826"/>
      <c r="BY192" s="826"/>
      <c r="BZ192" s="826"/>
      <c r="CA192" s="826"/>
      <c r="CB192" s="826"/>
      <c r="CC192" s="826"/>
      <c r="CD192" s="826"/>
      <c r="CE192" s="826"/>
      <c r="CF192" s="826"/>
      <c r="CG192" s="826"/>
      <c r="CH192" s="826"/>
      <c r="CI192" s="826"/>
      <c r="CJ192" s="826"/>
      <c r="CK192" s="826"/>
      <c r="CL192" s="826"/>
      <c r="CM192" s="826"/>
      <c r="CN192" s="826"/>
      <c r="CO192" s="826"/>
      <c r="CP192" s="826"/>
      <c r="CQ192" s="826"/>
      <c r="CR192" s="826"/>
      <c r="CS192" s="826"/>
      <c r="CT192" s="826"/>
      <c r="CU192" s="826"/>
      <c r="CV192" s="826"/>
      <c r="CW192" s="826"/>
      <c r="CX192" s="826"/>
      <c r="CY192" s="826"/>
      <c r="CZ192" s="826"/>
      <c r="DA192" s="826"/>
      <c r="DB192" s="826"/>
      <c r="DC192" s="826"/>
      <c r="DD192" s="826"/>
      <c r="DE192" s="826"/>
      <c r="DF192" s="826"/>
      <c r="DG192" s="826"/>
      <c r="DH192" s="826"/>
      <c r="DI192" s="826"/>
      <c r="DJ192" s="826"/>
      <c r="GP192" s="831"/>
    </row>
    <row r="193" spans="1:198" s="92" customFormat="1" ht="15">
      <c r="A193" s="1076"/>
      <c r="B193" s="6"/>
      <c r="C193" s="6"/>
      <c r="D193" s="1063"/>
      <c r="G193" s="835"/>
      <c r="H193" s="831" t="s">
        <v>8475</v>
      </c>
      <c r="I193" s="92">
        <v>8</v>
      </c>
      <c r="J193" s="92" t="s">
        <v>18</v>
      </c>
      <c r="K193" s="92" t="s">
        <v>768</v>
      </c>
      <c r="L193" s="810">
        <v>2</v>
      </c>
      <c r="M193" s="811" t="str">
        <f t="shared" si="13"/>
        <v>Elementary Level</v>
      </c>
      <c r="N193" s="826"/>
      <c r="P193" s="1638"/>
      <c r="S193" s="879"/>
      <c r="T193" s="880"/>
      <c r="U193" s="880"/>
      <c r="V193" s="864"/>
      <c r="W193" s="838"/>
      <c r="X193" s="811" t="str">
        <f t="shared" si="16"/>
        <v/>
      </c>
      <c r="Y193" s="836"/>
      <c r="AA193" s="836"/>
      <c r="AB193" s="864"/>
      <c r="AC193" s="831"/>
      <c r="AD193" s="881"/>
      <c r="AE193" s="826"/>
      <c r="AF193" s="882"/>
      <c r="AG193" s="807" t="str">
        <f t="shared" si="17"/>
        <v/>
      </c>
      <c r="AH193" s="826"/>
      <c r="AI193" s="826"/>
      <c r="AJ193" s="826"/>
      <c r="AK193" s="843"/>
      <c r="AL193" s="883"/>
      <c r="AM193" s="884"/>
      <c r="AN193" s="885"/>
      <c r="AO193" s="886"/>
      <c r="AP193" s="887"/>
      <c r="AR193" s="826"/>
      <c r="AS193" s="826"/>
      <c r="AT193" s="826"/>
      <c r="AU193" s="826"/>
      <c r="AV193" s="826"/>
      <c r="AW193" s="826"/>
      <c r="AX193" s="826"/>
      <c r="AY193" s="826"/>
      <c r="AZ193" s="826"/>
      <c r="BA193" s="826"/>
      <c r="BB193" s="826"/>
      <c r="BC193" s="826"/>
      <c r="BD193" s="826"/>
      <c r="BE193" s="826"/>
      <c r="BF193" s="826"/>
      <c r="BG193" s="826"/>
      <c r="BH193" s="826"/>
      <c r="BI193" s="826"/>
      <c r="BJ193" s="826"/>
      <c r="BK193" s="826"/>
      <c r="BL193" s="826"/>
      <c r="BM193" s="826"/>
      <c r="BN193" s="826"/>
      <c r="BT193" s="826"/>
      <c r="BU193" s="826"/>
      <c r="BV193" s="826"/>
      <c r="BW193" s="826"/>
      <c r="BX193" s="826"/>
      <c r="BY193" s="826"/>
      <c r="BZ193" s="826"/>
      <c r="CA193" s="826"/>
      <c r="CB193" s="826"/>
      <c r="CC193" s="826"/>
      <c r="CD193" s="826"/>
      <c r="CE193" s="826"/>
      <c r="CF193" s="826"/>
      <c r="CG193" s="826"/>
      <c r="CH193" s="826"/>
      <c r="CI193" s="826"/>
      <c r="CJ193" s="826"/>
      <c r="CK193" s="826"/>
      <c r="CL193" s="826"/>
      <c r="CM193" s="826"/>
      <c r="CN193" s="826"/>
      <c r="CO193" s="826"/>
      <c r="CP193" s="826"/>
      <c r="CQ193" s="826"/>
      <c r="CR193" s="826"/>
      <c r="CS193" s="826"/>
      <c r="CT193" s="826"/>
      <c r="CU193" s="826"/>
      <c r="CV193" s="826"/>
      <c r="CW193" s="826"/>
      <c r="CX193" s="826"/>
      <c r="CY193" s="826"/>
      <c r="CZ193" s="826"/>
      <c r="DA193" s="826"/>
      <c r="DB193" s="826"/>
      <c r="DC193" s="826"/>
      <c r="DD193" s="826"/>
      <c r="DE193" s="826"/>
      <c r="DF193" s="826"/>
      <c r="DG193" s="826"/>
      <c r="DH193" s="826"/>
      <c r="DI193" s="826"/>
      <c r="DJ193" s="826"/>
      <c r="GP193" s="831"/>
    </row>
    <row r="194" spans="1:198" s="92" customFormat="1" ht="15">
      <c r="A194" s="1076"/>
      <c r="B194" s="6"/>
      <c r="C194" s="6"/>
      <c r="D194" s="1063"/>
      <c r="G194" s="835"/>
      <c r="H194" s="831" t="s">
        <v>8476</v>
      </c>
      <c r="I194" s="92">
        <v>5</v>
      </c>
      <c r="J194" s="92" t="s">
        <v>18</v>
      </c>
      <c r="K194" s="92" t="s">
        <v>768</v>
      </c>
      <c r="L194" s="810">
        <v>1</v>
      </c>
      <c r="M194" s="811" t="str">
        <f t="shared" si="13"/>
        <v>Pre-school</v>
      </c>
      <c r="N194" s="826"/>
      <c r="P194" s="1638"/>
      <c r="S194" s="879"/>
      <c r="T194" s="880"/>
      <c r="U194" s="880"/>
      <c r="V194" s="864"/>
      <c r="W194" s="838"/>
      <c r="X194" s="811" t="str">
        <f t="shared" si="16"/>
        <v/>
      </c>
      <c r="Y194" s="836"/>
      <c r="AA194" s="836"/>
      <c r="AB194" s="864"/>
      <c r="AC194" s="831"/>
      <c r="AD194" s="881"/>
      <c r="AE194" s="826"/>
      <c r="AF194" s="882"/>
      <c r="AG194" s="807" t="str">
        <f t="shared" si="17"/>
        <v/>
      </c>
      <c r="AH194" s="826"/>
      <c r="AI194" s="826"/>
      <c r="AJ194" s="826"/>
      <c r="AK194" s="843"/>
      <c r="AL194" s="883"/>
      <c r="AM194" s="884"/>
      <c r="AN194" s="885"/>
      <c r="AO194" s="886"/>
      <c r="AP194" s="887"/>
      <c r="AR194" s="826"/>
      <c r="AS194" s="826"/>
      <c r="AT194" s="826"/>
      <c r="AU194" s="826"/>
      <c r="AV194" s="826"/>
      <c r="AW194" s="826"/>
      <c r="AX194" s="826"/>
      <c r="AY194" s="826"/>
      <c r="AZ194" s="826"/>
      <c r="BA194" s="826"/>
      <c r="BB194" s="826"/>
      <c r="BC194" s="826"/>
      <c r="BD194" s="826"/>
      <c r="BE194" s="826"/>
      <c r="BF194" s="826"/>
      <c r="BG194" s="826"/>
      <c r="BH194" s="826"/>
      <c r="BI194" s="826"/>
      <c r="BJ194" s="826"/>
      <c r="BK194" s="826"/>
      <c r="BL194" s="826"/>
      <c r="BM194" s="826"/>
      <c r="BN194" s="826"/>
      <c r="BT194" s="826"/>
      <c r="BU194" s="826"/>
      <c r="BV194" s="826"/>
      <c r="BW194" s="826"/>
      <c r="BX194" s="826"/>
      <c r="BY194" s="826"/>
      <c r="BZ194" s="826"/>
      <c r="CA194" s="826"/>
      <c r="CB194" s="826"/>
      <c r="CC194" s="826"/>
      <c r="CD194" s="826"/>
      <c r="CE194" s="826"/>
      <c r="CF194" s="826"/>
      <c r="CG194" s="826"/>
      <c r="CH194" s="826"/>
      <c r="CI194" s="826"/>
      <c r="CJ194" s="826"/>
      <c r="CK194" s="826"/>
      <c r="CL194" s="826"/>
      <c r="CM194" s="826"/>
      <c r="CN194" s="826"/>
      <c r="CO194" s="826"/>
      <c r="CP194" s="826"/>
      <c r="CQ194" s="826"/>
      <c r="CR194" s="826"/>
      <c r="CS194" s="826"/>
      <c r="CT194" s="826"/>
      <c r="CU194" s="826"/>
      <c r="CV194" s="826"/>
      <c r="CW194" s="826"/>
      <c r="CX194" s="826"/>
      <c r="CY194" s="826"/>
      <c r="CZ194" s="826"/>
      <c r="DA194" s="826"/>
      <c r="DB194" s="826"/>
      <c r="DC194" s="826"/>
      <c r="DD194" s="826"/>
      <c r="DE194" s="826"/>
      <c r="DF194" s="826"/>
      <c r="DG194" s="826"/>
      <c r="DH194" s="826"/>
      <c r="DI194" s="826"/>
      <c r="DJ194" s="826"/>
      <c r="GP194" s="831"/>
    </row>
    <row r="195" spans="1:198" s="92" customFormat="1" ht="15">
      <c r="A195" s="1076"/>
      <c r="B195" s="6"/>
      <c r="C195" s="6"/>
      <c r="D195" s="1063"/>
      <c r="G195" s="835"/>
      <c r="H195" s="831" t="s">
        <v>8477</v>
      </c>
      <c r="I195" s="92">
        <v>4</v>
      </c>
      <c r="J195" s="92" t="s">
        <v>18</v>
      </c>
      <c r="K195" s="92" t="s">
        <v>768</v>
      </c>
      <c r="L195" s="810">
        <v>10</v>
      </c>
      <c r="M195" s="811" t="str">
        <f t="shared" si="13"/>
        <v>Not In School Age</v>
      </c>
      <c r="N195" s="826"/>
      <c r="P195" s="1638"/>
      <c r="S195" s="879"/>
      <c r="T195" s="880"/>
      <c r="U195" s="880"/>
      <c r="V195" s="864"/>
      <c r="W195" s="838"/>
      <c r="X195" s="811" t="str">
        <f t="shared" si="16"/>
        <v/>
      </c>
      <c r="Y195" s="836"/>
      <c r="AA195" s="836"/>
      <c r="AB195" s="864"/>
      <c r="AC195" s="831"/>
      <c r="AD195" s="881"/>
      <c r="AE195" s="826"/>
      <c r="AF195" s="882"/>
      <c r="AG195" s="807" t="str">
        <f t="shared" si="17"/>
        <v/>
      </c>
      <c r="AH195" s="826"/>
      <c r="AI195" s="826"/>
      <c r="AJ195" s="826"/>
      <c r="AK195" s="843"/>
      <c r="AL195" s="883"/>
      <c r="AM195" s="884"/>
      <c r="AN195" s="885"/>
      <c r="AO195" s="886"/>
      <c r="AP195" s="887"/>
      <c r="AR195" s="826"/>
      <c r="AS195" s="826"/>
      <c r="AT195" s="826"/>
      <c r="AU195" s="826"/>
      <c r="AV195" s="826"/>
      <c r="AW195" s="826"/>
      <c r="AX195" s="826"/>
      <c r="AY195" s="826"/>
      <c r="AZ195" s="826"/>
      <c r="BA195" s="826"/>
      <c r="BB195" s="826"/>
      <c r="BC195" s="826"/>
      <c r="BD195" s="826"/>
      <c r="BE195" s="826"/>
      <c r="BF195" s="826"/>
      <c r="BG195" s="826"/>
      <c r="BH195" s="826"/>
      <c r="BI195" s="826"/>
      <c r="BJ195" s="826"/>
      <c r="BK195" s="826"/>
      <c r="BL195" s="826"/>
      <c r="BM195" s="826"/>
      <c r="BN195" s="826"/>
      <c r="BT195" s="826"/>
      <c r="BU195" s="826"/>
      <c r="BV195" s="826"/>
      <c r="BW195" s="826"/>
      <c r="BX195" s="826"/>
      <c r="BY195" s="826"/>
      <c r="BZ195" s="826"/>
      <c r="CA195" s="826"/>
      <c r="CB195" s="826"/>
      <c r="CC195" s="826"/>
      <c r="CD195" s="826"/>
      <c r="CE195" s="826"/>
      <c r="CF195" s="826"/>
      <c r="CG195" s="826"/>
      <c r="CH195" s="826"/>
      <c r="CI195" s="826"/>
      <c r="CJ195" s="826"/>
      <c r="CK195" s="826"/>
      <c r="CL195" s="826"/>
      <c r="CM195" s="826"/>
      <c r="CN195" s="826"/>
      <c r="CO195" s="826"/>
      <c r="CP195" s="826"/>
      <c r="CQ195" s="826"/>
      <c r="CR195" s="826"/>
      <c r="CS195" s="826"/>
      <c r="CT195" s="826"/>
      <c r="CU195" s="826"/>
      <c r="CV195" s="826"/>
      <c r="CW195" s="826"/>
      <c r="CX195" s="826"/>
      <c r="CY195" s="826"/>
      <c r="CZ195" s="826"/>
      <c r="DA195" s="826"/>
      <c r="DB195" s="826"/>
      <c r="DC195" s="826"/>
      <c r="DD195" s="826"/>
      <c r="DE195" s="826"/>
      <c r="DF195" s="826"/>
      <c r="DG195" s="826"/>
      <c r="DH195" s="826"/>
      <c r="DI195" s="826"/>
      <c r="DJ195" s="826"/>
      <c r="GP195" s="831"/>
    </row>
    <row r="196" spans="1:198" s="92" customFormat="1" ht="15">
      <c r="A196" s="1076"/>
      <c r="B196" s="6"/>
      <c r="C196" s="6"/>
      <c r="D196" s="1063"/>
      <c r="G196" s="835"/>
      <c r="H196" s="831" t="s">
        <v>8478</v>
      </c>
      <c r="I196" s="92">
        <v>2</v>
      </c>
      <c r="J196" s="92" t="s">
        <v>18</v>
      </c>
      <c r="K196" s="92" t="s">
        <v>768</v>
      </c>
      <c r="L196" s="810">
        <v>10</v>
      </c>
      <c r="M196" s="811" t="str">
        <f t="shared" si="13"/>
        <v>Not In School Age</v>
      </c>
      <c r="N196" s="826"/>
      <c r="P196" s="1638"/>
      <c r="S196" s="879"/>
      <c r="T196" s="880"/>
      <c r="U196" s="880"/>
      <c r="V196" s="864">
        <f>SUM(S188:U196)</f>
        <v>18000</v>
      </c>
      <c r="W196" s="838"/>
      <c r="X196" s="811" t="str">
        <f t="shared" si="16"/>
        <v/>
      </c>
      <c r="Y196" s="836"/>
      <c r="AA196" s="836"/>
      <c r="AB196" s="864">
        <f>SUM(Y188:AA196)</f>
        <v>0</v>
      </c>
      <c r="AC196" s="831"/>
      <c r="AD196" s="881"/>
      <c r="AE196" s="826"/>
      <c r="AF196" s="882"/>
      <c r="AG196" s="807" t="str">
        <f t="shared" si="17"/>
        <v/>
      </c>
      <c r="AH196" s="826"/>
      <c r="AI196" s="826"/>
      <c r="AJ196" s="826"/>
      <c r="AK196" s="843"/>
      <c r="AL196" s="883"/>
      <c r="AM196" s="884"/>
      <c r="AN196" s="885"/>
      <c r="AO196" s="886"/>
      <c r="AP196" s="887"/>
      <c r="AR196" s="826"/>
      <c r="AS196" s="826"/>
      <c r="AT196" s="826"/>
      <c r="AU196" s="826"/>
      <c r="AV196" s="826"/>
      <c r="AW196" s="826"/>
      <c r="AX196" s="826"/>
      <c r="AY196" s="826"/>
      <c r="AZ196" s="826"/>
      <c r="BA196" s="826"/>
      <c r="BB196" s="826"/>
      <c r="BC196" s="826"/>
      <c r="BD196" s="826"/>
      <c r="BE196" s="826"/>
      <c r="BF196" s="826"/>
      <c r="BG196" s="826"/>
      <c r="BH196" s="826"/>
      <c r="BI196" s="826"/>
      <c r="BJ196" s="826"/>
      <c r="BK196" s="826"/>
      <c r="BL196" s="826"/>
      <c r="BM196" s="826"/>
      <c r="BN196" s="826"/>
      <c r="BT196" s="826"/>
      <c r="BU196" s="826"/>
      <c r="BV196" s="826"/>
      <c r="BW196" s="826"/>
      <c r="BX196" s="826"/>
      <c r="BY196" s="826"/>
      <c r="BZ196" s="826"/>
      <c r="CA196" s="826"/>
      <c r="CB196" s="826"/>
      <c r="CC196" s="826"/>
      <c r="CD196" s="826"/>
      <c r="CE196" s="826"/>
      <c r="CF196" s="826"/>
      <c r="CG196" s="826"/>
      <c r="CH196" s="826"/>
      <c r="CI196" s="826"/>
      <c r="CJ196" s="826"/>
      <c r="CK196" s="826"/>
      <c r="CL196" s="826"/>
      <c r="CM196" s="826"/>
      <c r="CN196" s="826"/>
      <c r="CO196" s="826"/>
      <c r="CP196" s="826"/>
      <c r="CQ196" s="826"/>
      <c r="CR196" s="826"/>
      <c r="CS196" s="826"/>
      <c r="CT196" s="826"/>
      <c r="CU196" s="826"/>
      <c r="CV196" s="826"/>
      <c r="CW196" s="826"/>
      <c r="CX196" s="826"/>
      <c r="CY196" s="826"/>
      <c r="CZ196" s="826"/>
      <c r="DA196" s="826"/>
      <c r="DB196" s="826"/>
      <c r="DC196" s="826"/>
      <c r="DD196" s="826"/>
      <c r="DE196" s="826"/>
      <c r="DF196" s="826"/>
      <c r="DG196" s="826"/>
      <c r="DH196" s="826"/>
      <c r="DI196" s="826"/>
      <c r="DJ196" s="826"/>
      <c r="GP196" s="831"/>
    </row>
    <row r="197" spans="1:198" s="889" customFormat="1" ht="15" customHeight="1">
      <c r="A197" s="888"/>
      <c r="D197" s="1064" t="s">
        <v>153</v>
      </c>
      <c r="G197" s="890" t="s">
        <v>153</v>
      </c>
      <c r="H197" s="890"/>
      <c r="L197" s="891"/>
      <c r="M197" s="811" t="str">
        <f t="shared" si="13"/>
        <v/>
      </c>
      <c r="N197" s="892"/>
      <c r="P197" s="1638"/>
      <c r="S197" s="893"/>
      <c r="T197" s="894"/>
      <c r="U197" s="894"/>
      <c r="V197" s="895"/>
      <c r="W197" s="896"/>
      <c r="X197" s="811" t="str">
        <f t="shared" si="16"/>
        <v/>
      </c>
      <c r="Y197" s="894"/>
      <c r="AA197" s="894"/>
      <c r="AB197" s="895"/>
      <c r="AC197" s="890"/>
      <c r="AD197" s="897"/>
      <c r="AE197" s="892"/>
      <c r="AF197" s="898"/>
      <c r="AG197" s="807" t="str">
        <f t="shared" si="17"/>
        <v/>
      </c>
      <c r="AH197" s="892"/>
      <c r="AI197" s="892"/>
      <c r="AJ197" s="892"/>
      <c r="AK197" s="899" t="s">
        <v>8479</v>
      </c>
      <c r="AL197" s="899" t="s">
        <v>8480</v>
      </c>
      <c r="AM197" s="900" t="s">
        <v>8481</v>
      </c>
      <c r="AN197" s="901">
        <v>18500</v>
      </c>
      <c r="AO197" s="902"/>
      <c r="AP197" s="903"/>
      <c r="AR197" s="892"/>
      <c r="AS197" s="892"/>
      <c r="AT197" s="892"/>
      <c r="AU197" s="892"/>
      <c r="AV197" s="892"/>
      <c r="AW197" s="892"/>
      <c r="AX197" s="892"/>
      <c r="AY197" s="892"/>
      <c r="AZ197" s="892"/>
      <c r="BA197" s="892"/>
      <c r="BB197" s="892"/>
      <c r="BC197" s="892"/>
      <c r="BD197" s="892"/>
      <c r="BE197" s="892"/>
      <c r="BF197" s="892"/>
      <c r="BG197" s="892"/>
      <c r="BH197" s="892"/>
      <c r="BI197" s="892"/>
      <c r="BJ197" s="892"/>
      <c r="BK197" s="892"/>
      <c r="BL197" s="892"/>
      <c r="BM197" s="892"/>
      <c r="BN197" s="892"/>
      <c r="BT197" s="892"/>
      <c r="BU197" s="892"/>
      <c r="BV197" s="892"/>
      <c r="BW197" s="892"/>
      <c r="BX197" s="892"/>
      <c r="BY197" s="892"/>
      <c r="BZ197" s="892"/>
      <c r="CA197" s="892"/>
      <c r="CB197" s="892"/>
      <c r="CC197" s="892"/>
      <c r="CD197" s="892"/>
      <c r="CE197" s="892"/>
      <c r="CF197" s="892"/>
      <c r="CG197" s="892"/>
      <c r="CH197" s="892"/>
      <c r="CI197" s="892"/>
      <c r="CJ197" s="892"/>
      <c r="CK197" s="892"/>
      <c r="CL197" s="892"/>
      <c r="CM197" s="892"/>
      <c r="CN197" s="892"/>
      <c r="CO197" s="892"/>
      <c r="CP197" s="892"/>
      <c r="CQ197" s="892"/>
      <c r="CR197" s="892"/>
      <c r="CS197" s="892"/>
      <c r="CT197" s="892"/>
      <c r="CU197" s="892"/>
      <c r="CV197" s="892"/>
      <c r="CW197" s="892"/>
      <c r="CX197" s="892"/>
      <c r="CY197" s="892"/>
      <c r="CZ197" s="892"/>
      <c r="DA197" s="892"/>
      <c r="DB197" s="892"/>
      <c r="DC197" s="892"/>
      <c r="DD197" s="892"/>
      <c r="DE197" s="892"/>
      <c r="DF197" s="892"/>
      <c r="DG197" s="892"/>
      <c r="DH197" s="892"/>
      <c r="DI197" s="892"/>
      <c r="DJ197" s="892"/>
      <c r="GP197" s="890"/>
    </row>
    <row r="198" spans="1:198" s="92" customFormat="1" ht="15" customHeight="1">
      <c r="A198" s="806"/>
      <c r="D198" s="1063"/>
      <c r="G198" s="835"/>
      <c r="H198" s="831"/>
      <c r="L198" s="810"/>
      <c r="M198" s="811" t="str">
        <f t="shared" si="13"/>
        <v/>
      </c>
      <c r="N198" s="826"/>
      <c r="P198" s="1638"/>
      <c r="S198" s="879"/>
      <c r="T198" s="880"/>
      <c r="U198" s="880"/>
      <c r="V198" s="904"/>
      <c r="W198" s="838"/>
      <c r="X198" s="811" t="str">
        <f t="shared" si="16"/>
        <v/>
      </c>
      <c r="Y198" s="880"/>
      <c r="AA198" s="880"/>
      <c r="AB198" s="904"/>
      <c r="AC198" s="831"/>
      <c r="AD198" s="881"/>
      <c r="AE198" s="826"/>
      <c r="AF198" s="882"/>
      <c r="AG198" s="807" t="str">
        <f t="shared" si="17"/>
        <v/>
      </c>
      <c r="AH198" s="826"/>
      <c r="AI198" s="826"/>
      <c r="AJ198" s="826"/>
      <c r="AK198" s="843" t="s">
        <v>8482</v>
      </c>
      <c r="AL198" s="883" t="s">
        <v>8483</v>
      </c>
      <c r="AM198" s="884" t="s">
        <v>8484</v>
      </c>
      <c r="AN198" s="885">
        <v>4200</v>
      </c>
      <c r="AO198" s="821"/>
      <c r="AP198" s="839"/>
      <c r="AR198" s="826"/>
      <c r="AS198" s="826"/>
      <c r="AT198" s="826"/>
      <c r="AU198" s="826"/>
      <c r="AV198" s="826"/>
      <c r="AW198" s="826"/>
      <c r="AX198" s="826"/>
      <c r="AY198" s="826"/>
      <c r="AZ198" s="826"/>
      <c r="BA198" s="826"/>
      <c r="BB198" s="826"/>
      <c r="BC198" s="826"/>
      <c r="BD198" s="826"/>
      <c r="BE198" s="826"/>
      <c r="BF198" s="826"/>
      <c r="BG198" s="826"/>
      <c r="BH198" s="826"/>
      <c r="BI198" s="826"/>
      <c r="BJ198" s="826"/>
      <c r="BK198" s="826"/>
      <c r="BL198" s="826"/>
      <c r="BM198" s="826"/>
      <c r="BN198" s="826"/>
      <c r="BT198" s="826"/>
      <c r="BU198" s="826"/>
      <c r="BV198" s="826"/>
      <c r="BW198" s="826"/>
      <c r="BX198" s="826"/>
      <c r="BY198" s="826"/>
      <c r="BZ198" s="826"/>
      <c r="CA198" s="826"/>
      <c r="CB198" s="826"/>
      <c r="CC198" s="826"/>
      <c r="CD198" s="826"/>
      <c r="CE198" s="826"/>
      <c r="CF198" s="826"/>
      <c r="CG198" s="826"/>
      <c r="CH198" s="826"/>
      <c r="CI198" s="826"/>
      <c r="CJ198" s="826"/>
      <c r="CK198" s="826"/>
      <c r="CL198" s="826"/>
      <c r="CM198" s="826"/>
      <c r="CN198" s="826"/>
      <c r="CO198" s="826"/>
      <c r="CP198" s="826"/>
      <c r="CQ198" s="826"/>
      <c r="CR198" s="826"/>
      <c r="CS198" s="826"/>
      <c r="CT198" s="826"/>
      <c r="CU198" s="826"/>
      <c r="CV198" s="826"/>
      <c r="CW198" s="826"/>
      <c r="CX198" s="826"/>
      <c r="CY198" s="826"/>
      <c r="CZ198" s="826"/>
      <c r="DA198" s="826"/>
      <c r="DB198" s="826"/>
      <c r="DC198" s="826"/>
      <c r="DD198" s="826"/>
      <c r="DE198" s="826"/>
      <c r="DF198" s="826"/>
      <c r="DG198" s="826"/>
      <c r="DH198" s="826"/>
      <c r="DI198" s="826"/>
      <c r="DJ198" s="826"/>
      <c r="GP198" s="831"/>
    </row>
    <row r="199" spans="1:198" s="92" customFormat="1" ht="15" customHeight="1">
      <c r="A199" s="806"/>
      <c r="D199" s="1063"/>
      <c r="G199" s="835"/>
      <c r="H199" s="831"/>
      <c r="L199" s="810"/>
      <c r="M199" s="811" t="str">
        <f t="shared" si="13"/>
        <v/>
      </c>
      <c r="N199" s="826"/>
      <c r="P199" s="1638"/>
      <c r="S199" s="879"/>
      <c r="T199" s="880"/>
      <c r="U199" s="880"/>
      <c r="V199" s="904"/>
      <c r="W199" s="838"/>
      <c r="X199" s="811" t="str">
        <f t="shared" si="16"/>
        <v/>
      </c>
      <c r="Y199" s="880"/>
      <c r="AA199" s="880"/>
      <c r="AB199" s="904"/>
      <c r="AC199" s="831"/>
      <c r="AD199" s="881"/>
      <c r="AE199" s="826"/>
      <c r="AF199" s="882"/>
      <c r="AG199" s="807" t="str">
        <f t="shared" si="17"/>
        <v/>
      </c>
      <c r="AH199" s="826"/>
      <c r="AI199" s="826"/>
      <c r="AJ199" s="826"/>
      <c r="AK199" s="843" t="s">
        <v>8485</v>
      </c>
      <c r="AL199" s="883" t="s">
        <v>8483</v>
      </c>
      <c r="AM199" s="884" t="s">
        <v>8486</v>
      </c>
      <c r="AN199" s="885">
        <v>4200</v>
      </c>
      <c r="AO199" s="821"/>
      <c r="AP199" s="839"/>
      <c r="AR199" s="826"/>
      <c r="AS199" s="826"/>
      <c r="AT199" s="826"/>
      <c r="AU199" s="826"/>
      <c r="AV199" s="826"/>
      <c r="AW199" s="826"/>
      <c r="AX199" s="826"/>
      <c r="AY199" s="826"/>
      <c r="AZ199" s="826"/>
      <c r="BA199" s="826"/>
      <c r="BB199" s="826"/>
      <c r="BC199" s="826"/>
      <c r="BD199" s="826"/>
      <c r="BE199" s="826"/>
      <c r="BF199" s="826"/>
      <c r="BG199" s="826"/>
      <c r="BH199" s="826"/>
      <c r="BI199" s="826"/>
      <c r="BJ199" s="826"/>
      <c r="BK199" s="826"/>
      <c r="BL199" s="826"/>
      <c r="BM199" s="826"/>
      <c r="BN199" s="826"/>
      <c r="BT199" s="826"/>
      <c r="BU199" s="826"/>
      <c r="BV199" s="826"/>
      <c r="BW199" s="826"/>
      <c r="BX199" s="826"/>
      <c r="BY199" s="826"/>
      <c r="BZ199" s="826"/>
      <c r="CA199" s="826"/>
      <c r="CB199" s="826"/>
      <c r="CC199" s="826"/>
      <c r="CD199" s="826"/>
      <c r="CE199" s="826"/>
      <c r="CF199" s="826"/>
      <c r="CG199" s="826"/>
      <c r="CH199" s="826"/>
      <c r="CI199" s="826"/>
      <c r="CJ199" s="826"/>
      <c r="CK199" s="826"/>
      <c r="CL199" s="826"/>
      <c r="CM199" s="826"/>
      <c r="CN199" s="826"/>
      <c r="CO199" s="826"/>
      <c r="CP199" s="826"/>
      <c r="CQ199" s="826"/>
      <c r="CR199" s="826"/>
      <c r="CS199" s="826"/>
      <c r="CT199" s="826"/>
      <c r="CU199" s="826"/>
      <c r="CV199" s="826"/>
      <c r="CW199" s="826"/>
      <c r="CX199" s="826"/>
      <c r="CY199" s="826"/>
      <c r="CZ199" s="826"/>
      <c r="DA199" s="826"/>
      <c r="DB199" s="826"/>
      <c r="DC199" s="826"/>
      <c r="DD199" s="826"/>
      <c r="DE199" s="826"/>
      <c r="DF199" s="826"/>
      <c r="DG199" s="826"/>
      <c r="DH199" s="826"/>
      <c r="DI199" s="826"/>
      <c r="DJ199" s="826"/>
      <c r="GP199" s="831"/>
    </row>
    <row r="200" spans="1:198" ht="15">
      <c r="A200" s="905"/>
      <c r="D200" s="1062"/>
      <c r="E200" s="807"/>
      <c r="F200" s="807"/>
      <c r="G200" s="827"/>
      <c r="M200" s="811" t="str">
        <f t="shared" si="13"/>
        <v/>
      </c>
      <c r="P200" s="1638"/>
      <c r="S200" s="848"/>
      <c r="T200" s="820"/>
      <c r="U200" s="820"/>
      <c r="V200" s="829"/>
      <c r="X200" s="811" t="str">
        <f t="shared" si="16"/>
        <v/>
      </c>
      <c r="AB200" s="829"/>
      <c r="AC200" s="809"/>
      <c r="AD200" s="824"/>
      <c r="AG200" s="807" t="str">
        <f t="shared" si="17"/>
        <v/>
      </c>
      <c r="AI200" s="817"/>
      <c r="AJ200" s="817"/>
      <c r="AK200" s="92" t="s">
        <v>8487</v>
      </c>
      <c r="AL200" s="92" t="s">
        <v>8483</v>
      </c>
      <c r="AM200" s="819" t="s">
        <v>8488</v>
      </c>
      <c r="AN200" s="820">
        <v>3700</v>
      </c>
      <c r="AQ200" s="93"/>
      <c r="AR200" s="93"/>
      <c r="AS200" s="93"/>
      <c r="AT200" s="93"/>
      <c r="AU200" s="93"/>
      <c r="AV200" s="93"/>
      <c r="AW200" s="93"/>
      <c r="AX200" s="93"/>
      <c r="AY200" s="93"/>
      <c r="AZ200" s="93"/>
      <c r="BA200" s="93"/>
      <c r="BB200" s="93"/>
      <c r="BL200" s="93"/>
      <c r="BM200" s="93"/>
      <c r="BT200" s="93"/>
      <c r="BU200" s="93"/>
      <c r="BV200" s="93"/>
      <c r="BW200" s="93"/>
      <c r="BX200" s="93"/>
      <c r="BY200" s="93"/>
      <c r="BZ200" s="93"/>
      <c r="CA200" s="93"/>
      <c r="CB200" s="93"/>
      <c r="CC200" s="93"/>
      <c r="CF200" s="93"/>
      <c r="CG200" s="93"/>
      <c r="CH200" s="93"/>
      <c r="CI200" s="93"/>
      <c r="CJ200" s="93"/>
      <c r="CK200" s="93"/>
      <c r="CL200" s="93"/>
      <c r="CM200" s="93"/>
      <c r="CN200" s="93"/>
      <c r="CO200" s="93"/>
      <c r="CP200" s="93"/>
      <c r="CQ200" s="93"/>
      <c r="CR200" s="93"/>
      <c r="CS200" s="93"/>
      <c r="CT200" s="93"/>
      <c r="CU200" s="93"/>
      <c r="CV200" s="93"/>
      <c r="CW200" s="93"/>
      <c r="CX200" s="93"/>
      <c r="CY200" s="93"/>
      <c r="CZ200" s="93"/>
      <c r="DA200" s="93"/>
      <c r="DB200" s="93"/>
      <c r="DC200" s="93"/>
      <c r="DD200" s="93"/>
      <c r="DE200" s="93"/>
      <c r="DF200" s="93"/>
      <c r="DG200" s="93"/>
      <c r="DH200" s="93"/>
      <c r="DI200" s="93"/>
      <c r="DJ200" s="93"/>
      <c r="DK200" s="93"/>
      <c r="DL200" s="93"/>
      <c r="DM200" s="93"/>
      <c r="DN200" s="93"/>
      <c r="DO200" s="93"/>
    </row>
    <row r="201" spans="1:198" ht="15">
      <c r="A201" s="905"/>
      <c r="D201" s="1062"/>
      <c r="E201" s="807"/>
      <c r="F201" s="807"/>
      <c r="G201" s="827"/>
      <c r="M201" s="811" t="str">
        <f t="shared" si="13"/>
        <v/>
      </c>
      <c r="P201" s="1638"/>
      <c r="S201" s="848"/>
      <c r="T201" s="820"/>
      <c r="U201" s="820"/>
      <c r="V201" s="829">
        <f>SUM(S197:U201)</f>
        <v>0</v>
      </c>
      <c r="X201" s="811" t="str">
        <f t="shared" si="16"/>
        <v/>
      </c>
      <c r="AB201" s="829">
        <f>SUM(Y197:AA201)</f>
        <v>0</v>
      </c>
      <c r="AC201" s="809"/>
      <c r="AD201" s="824"/>
      <c r="AG201" s="807" t="str">
        <f t="shared" si="17"/>
        <v/>
      </c>
      <c r="AI201" s="817"/>
      <c r="AJ201" s="817"/>
      <c r="AK201" s="92" t="s">
        <v>8489</v>
      </c>
      <c r="AL201" s="92" t="s">
        <v>8483</v>
      </c>
      <c r="AM201" s="819" t="s">
        <v>8490</v>
      </c>
      <c r="AN201" s="820">
        <v>3700</v>
      </c>
      <c r="AQ201" s="93"/>
      <c r="AR201" s="93"/>
      <c r="AS201" s="93"/>
      <c r="AT201" s="93"/>
      <c r="AU201" s="93"/>
      <c r="AV201" s="93"/>
      <c r="AW201" s="93"/>
      <c r="AX201" s="93"/>
      <c r="AY201" s="93"/>
      <c r="AZ201" s="93"/>
      <c r="BA201" s="93"/>
      <c r="BB201" s="93"/>
      <c r="BL201" s="93"/>
      <c r="BM201" s="93"/>
      <c r="BT201" s="93"/>
      <c r="BU201" s="93"/>
      <c r="BV201" s="93"/>
      <c r="BW201" s="93"/>
      <c r="BX201" s="93"/>
      <c r="BY201" s="93"/>
      <c r="BZ201" s="93"/>
      <c r="CA201" s="93"/>
      <c r="CB201" s="93"/>
      <c r="CC201" s="93"/>
      <c r="CF201" s="93"/>
      <c r="CG201" s="93"/>
      <c r="CH201" s="93"/>
      <c r="CI201" s="93"/>
      <c r="CJ201" s="93"/>
      <c r="CK201" s="93"/>
      <c r="CL201" s="93"/>
      <c r="CM201" s="93"/>
      <c r="CN201" s="93"/>
      <c r="CO201" s="93"/>
      <c r="CP201" s="93"/>
      <c r="CQ201" s="93"/>
      <c r="CR201" s="93"/>
      <c r="CS201" s="93"/>
      <c r="CT201" s="93"/>
      <c r="CU201" s="93"/>
      <c r="CV201" s="93"/>
      <c r="CW201" s="93"/>
      <c r="CX201" s="93"/>
      <c r="CY201" s="93"/>
      <c r="CZ201" s="93"/>
      <c r="DA201" s="93"/>
      <c r="DB201" s="93"/>
      <c r="DC201" s="93"/>
      <c r="DD201" s="93"/>
      <c r="DE201" s="93"/>
      <c r="DF201" s="93"/>
      <c r="DG201" s="93"/>
      <c r="DH201" s="93"/>
      <c r="DI201" s="93"/>
      <c r="DJ201" s="93"/>
      <c r="DK201" s="93"/>
      <c r="DL201" s="93"/>
      <c r="DM201" s="93"/>
      <c r="DN201" s="93"/>
      <c r="DO201" s="93"/>
    </row>
    <row r="202" spans="1:198" ht="15">
      <c r="A202" s="905"/>
      <c r="D202" s="1062" t="s">
        <v>157</v>
      </c>
      <c r="E202" s="807"/>
      <c r="F202" s="807"/>
      <c r="G202" s="809" t="s">
        <v>157</v>
      </c>
      <c r="H202" s="809" t="s">
        <v>1296</v>
      </c>
      <c r="I202" s="92">
        <v>55</v>
      </c>
      <c r="J202" s="92" t="s">
        <v>18</v>
      </c>
      <c r="K202" s="92" t="s">
        <v>8491</v>
      </c>
      <c r="L202" s="810">
        <v>3</v>
      </c>
      <c r="M202" s="811" t="str">
        <f t="shared" si="13"/>
        <v>Elementary Graduate</v>
      </c>
      <c r="N202" s="92" t="s">
        <v>1208</v>
      </c>
      <c r="O202" s="812" t="s">
        <v>8492</v>
      </c>
      <c r="P202" s="1638"/>
      <c r="Q202" s="812" t="s">
        <v>8492</v>
      </c>
      <c r="S202" s="848"/>
      <c r="T202" s="820">
        <v>1700</v>
      </c>
      <c r="U202" s="813">
        <f>SUM(6000,900)</f>
        <v>6900</v>
      </c>
      <c r="V202" s="830"/>
      <c r="W202" s="815">
        <v>1</v>
      </c>
      <c r="X202" s="811" t="str">
        <f t="shared" si="16"/>
        <v>within the Brgy</v>
      </c>
      <c r="Y202" s="816">
        <v>100</v>
      </c>
      <c r="AB202" s="830"/>
      <c r="AC202" s="809" t="s">
        <v>8493</v>
      </c>
      <c r="AD202" s="824"/>
      <c r="AG202" s="807" t="str">
        <f t="shared" si="17"/>
        <v/>
      </c>
      <c r="AI202" s="817"/>
      <c r="AJ202" s="817"/>
      <c r="AK202" s="92"/>
      <c r="AM202" s="819"/>
      <c r="AN202" s="820"/>
      <c r="AQ202" s="93"/>
      <c r="AR202" s="93"/>
      <c r="AS202" s="93"/>
      <c r="AT202" s="93"/>
      <c r="AU202" s="93"/>
      <c r="AV202" s="93"/>
      <c r="AW202" s="93"/>
      <c r="AX202" s="93"/>
      <c r="AY202" s="93"/>
      <c r="AZ202" s="93"/>
      <c r="BA202" s="93"/>
      <c r="BB202" s="93"/>
      <c r="BL202" s="93"/>
      <c r="BM202" s="93"/>
      <c r="BT202" s="93"/>
      <c r="BU202" s="93"/>
      <c r="BV202" s="93"/>
      <c r="BW202" s="93"/>
      <c r="BX202" s="93"/>
      <c r="BY202" s="93"/>
      <c r="BZ202" s="93"/>
      <c r="CA202" s="93"/>
      <c r="CB202" s="93"/>
      <c r="CC202" s="93"/>
      <c r="CE202" s="93" t="s">
        <v>2145</v>
      </c>
      <c r="CF202" s="93"/>
      <c r="CG202" s="93"/>
      <c r="CH202" s="93"/>
      <c r="CI202" s="93"/>
      <c r="CJ202" s="93"/>
      <c r="CK202" s="93"/>
      <c r="CL202" s="93"/>
      <c r="CM202" s="93"/>
      <c r="CN202" s="93">
        <v>3</v>
      </c>
      <c r="CO202" s="93"/>
      <c r="CP202" s="93"/>
      <c r="CQ202" s="93"/>
      <c r="CR202" s="93"/>
      <c r="CS202" s="93"/>
      <c r="CT202" s="93"/>
      <c r="CU202" s="93"/>
      <c r="CV202" s="93"/>
      <c r="CW202" s="93"/>
      <c r="CX202" s="93"/>
      <c r="CY202" s="93"/>
      <c r="CZ202" s="93"/>
      <c r="DA202" s="93" t="s">
        <v>2144</v>
      </c>
      <c r="DB202" s="93"/>
      <c r="DC202" s="93"/>
      <c r="DD202" s="93"/>
      <c r="DE202" s="93"/>
      <c r="DF202" s="93"/>
      <c r="DG202" s="93"/>
      <c r="DH202" s="93"/>
      <c r="DI202" s="93"/>
      <c r="DJ202" s="93"/>
      <c r="DK202" s="93"/>
      <c r="DL202" s="93"/>
      <c r="DM202" s="93"/>
      <c r="DN202" s="93"/>
      <c r="DO202" s="93"/>
    </row>
    <row r="203" spans="1:198" ht="15">
      <c r="A203" s="905"/>
      <c r="D203" s="1062"/>
      <c r="E203" s="807"/>
      <c r="F203" s="807"/>
      <c r="G203" s="827"/>
      <c r="H203" s="809" t="s">
        <v>8494</v>
      </c>
      <c r="I203" s="92">
        <v>25</v>
      </c>
      <c r="J203" s="92" t="s">
        <v>10</v>
      </c>
      <c r="K203" s="92" t="s">
        <v>768</v>
      </c>
      <c r="L203" s="810">
        <v>6</v>
      </c>
      <c r="M203" s="811" t="str">
        <f t="shared" ref="M203:M266" si="18">IF(ISBLANK(L203)=TRUE,"",LOOKUP(L203,GQ:GR))</f>
        <v>College Level</v>
      </c>
      <c r="P203" s="1638"/>
      <c r="V203" s="830"/>
      <c r="X203" s="811" t="str">
        <f t="shared" ref="X203:X234" si="19">IF(ISBLANK(W203)=TRUE,"",LOOKUP(W203,GO:GP))</f>
        <v/>
      </c>
      <c r="AB203" s="830"/>
      <c r="AC203" s="809"/>
      <c r="AD203" s="824"/>
      <c r="AG203" s="807" t="str">
        <f t="shared" si="17"/>
        <v/>
      </c>
      <c r="AI203" s="817"/>
      <c r="AJ203" s="817"/>
      <c r="AK203" s="92"/>
      <c r="AM203" s="819"/>
      <c r="AN203" s="820"/>
      <c r="AQ203" s="93"/>
      <c r="AR203" s="93"/>
      <c r="AS203" s="93"/>
      <c r="AT203" s="93"/>
      <c r="AU203" s="93"/>
      <c r="AV203" s="93"/>
      <c r="AW203" s="93"/>
      <c r="AX203" s="93" t="s">
        <v>2144</v>
      </c>
      <c r="AY203" s="93"/>
      <c r="AZ203" s="93"/>
      <c r="BA203" s="93"/>
      <c r="BB203" s="93"/>
      <c r="BL203" s="93"/>
      <c r="BM203" s="93" t="s">
        <v>2145</v>
      </c>
      <c r="BT203" s="93"/>
      <c r="BU203" s="93"/>
      <c r="BV203" s="93"/>
      <c r="BW203" s="93"/>
      <c r="BX203" s="93"/>
      <c r="BY203" s="93"/>
      <c r="BZ203" s="93"/>
      <c r="CA203" s="93"/>
      <c r="CB203" s="93"/>
      <c r="CC203" s="93"/>
      <c r="CF203" s="93"/>
      <c r="CG203" s="93"/>
      <c r="CH203" s="93"/>
      <c r="CI203" s="93"/>
      <c r="CJ203" s="93"/>
      <c r="CK203" s="93"/>
      <c r="CL203" s="93"/>
      <c r="CM203" s="93"/>
      <c r="CN203" s="93"/>
      <c r="CO203" s="93"/>
      <c r="CP203" s="93"/>
      <c r="CQ203" s="93"/>
      <c r="CR203" s="93"/>
      <c r="CS203" s="93"/>
      <c r="CT203" s="93"/>
      <c r="CU203" s="93"/>
      <c r="CV203" s="93"/>
      <c r="CW203" s="93"/>
      <c r="CX203" s="93"/>
      <c r="CY203" s="93"/>
      <c r="CZ203" s="93"/>
      <c r="DA203" s="93"/>
      <c r="DB203" s="93"/>
      <c r="DC203" s="93"/>
      <c r="DD203" s="93"/>
      <c r="DE203" s="93"/>
      <c r="DF203" s="93"/>
      <c r="DG203" s="93"/>
      <c r="DH203" s="93"/>
      <c r="DI203" s="93"/>
      <c r="DJ203" s="93"/>
      <c r="DK203" s="93"/>
      <c r="DL203" s="93"/>
      <c r="DM203" s="93"/>
      <c r="DN203" s="93"/>
      <c r="DO203" s="93"/>
    </row>
    <row r="204" spans="1:198" ht="15">
      <c r="A204" s="905"/>
      <c r="D204" s="1062"/>
      <c r="E204" s="807"/>
      <c r="F204" s="807"/>
      <c r="G204" s="827"/>
      <c r="H204" s="809" t="s">
        <v>8495</v>
      </c>
      <c r="I204" s="92">
        <v>20</v>
      </c>
      <c r="J204" s="92" t="s">
        <v>18</v>
      </c>
      <c r="K204" s="92" t="s">
        <v>768</v>
      </c>
      <c r="L204" s="810">
        <v>6</v>
      </c>
      <c r="M204" s="811" t="str">
        <f t="shared" si="18"/>
        <v>College Level</v>
      </c>
      <c r="N204" s="92" t="s">
        <v>1208</v>
      </c>
      <c r="P204" s="1638"/>
      <c r="S204" s="848">
        <v>3200</v>
      </c>
      <c r="T204" s="820"/>
      <c r="U204" s="820"/>
      <c r="V204" s="834"/>
      <c r="W204" s="815">
        <v>1</v>
      </c>
      <c r="X204" s="811" t="str">
        <f t="shared" si="19"/>
        <v>within the Brgy</v>
      </c>
      <c r="AB204" s="834"/>
      <c r="AC204" s="809"/>
      <c r="AD204" s="824"/>
      <c r="AG204" s="807" t="str">
        <f t="shared" si="17"/>
        <v/>
      </c>
      <c r="AI204" s="817"/>
      <c r="AJ204" s="817"/>
      <c r="AK204" s="92"/>
      <c r="AM204" s="819"/>
      <c r="AN204" s="820"/>
      <c r="AQ204" s="93"/>
      <c r="AR204" s="93"/>
      <c r="AS204" s="93"/>
      <c r="AT204" s="93"/>
      <c r="AU204" s="93"/>
      <c r="AV204" s="93"/>
      <c r="AW204" s="93"/>
      <c r="AX204" s="93"/>
      <c r="AY204" s="93"/>
      <c r="AZ204" s="93"/>
      <c r="BA204" s="93"/>
      <c r="BB204" s="93"/>
      <c r="BL204" s="93"/>
      <c r="BM204" s="93"/>
      <c r="BT204" s="93"/>
      <c r="BU204" s="93"/>
      <c r="BV204" s="93"/>
      <c r="BW204" s="93"/>
      <c r="BX204" s="93"/>
      <c r="BY204" s="93"/>
      <c r="BZ204" s="93"/>
      <c r="CA204" s="93"/>
      <c r="CB204" s="93"/>
      <c r="CC204" s="93"/>
      <c r="CF204" s="93"/>
      <c r="CG204" s="93"/>
      <c r="CH204" s="93"/>
      <c r="CI204" s="93"/>
      <c r="CJ204" s="93"/>
      <c r="CK204" s="93"/>
      <c r="CL204" s="93"/>
      <c r="CM204" s="93"/>
      <c r="CN204" s="93"/>
      <c r="CO204" s="93"/>
      <c r="CP204" s="93"/>
      <c r="CQ204" s="93"/>
      <c r="CR204" s="93"/>
      <c r="CS204" s="93"/>
      <c r="CT204" s="93"/>
      <c r="CU204" s="93"/>
      <c r="CV204" s="93"/>
      <c r="CW204" s="93"/>
      <c r="CX204" s="93"/>
      <c r="CY204" s="93"/>
      <c r="CZ204" s="93"/>
      <c r="DA204" s="93"/>
      <c r="DB204" s="93"/>
      <c r="DC204" s="93"/>
      <c r="DD204" s="93"/>
      <c r="DE204" s="93"/>
      <c r="DF204" s="93"/>
      <c r="DG204" s="93"/>
      <c r="DH204" s="93"/>
      <c r="DI204" s="93"/>
      <c r="DJ204" s="93"/>
      <c r="DK204" s="93"/>
      <c r="DL204" s="93"/>
      <c r="DM204" s="93"/>
      <c r="DN204" s="93"/>
      <c r="DO204" s="93"/>
    </row>
    <row r="205" spans="1:198" ht="15">
      <c r="A205" s="905"/>
      <c r="D205" s="1062"/>
      <c r="E205" s="807"/>
      <c r="F205" s="807"/>
      <c r="G205" s="827"/>
      <c r="H205" s="809" t="s">
        <v>8496</v>
      </c>
      <c r="I205" s="92">
        <v>15</v>
      </c>
      <c r="J205" s="92" t="s">
        <v>18</v>
      </c>
      <c r="K205" s="92" t="s">
        <v>768</v>
      </c>
      <c r="L205" s="810">
        <v>4</v>
      </c>
      <c r="M205" s="811" t="str">
        <f t="shared" si="18"/>
        <v>High School Level</v>
      </c>
      <c r="P205" s="1638"/>
      <c r="S205" s="848"/>
      <c r="T205" s="820"/>
      <c r="U205" s="820"/>
      <c r="V205" s="834">
        <f>SUM(S202:U204)</f>
        <v>11800</v>
      </c>
      <c r="X205" s="811" t="str">
        <f t="shared" si="19"/>
        <v/>
      </c>
      <c r="AB205" s="834">
        <f>SUM(Y202:AA204)</f>
        <v>100</v>
      </c>
      <c r="AC205" s="809"/>
      <c r="AD205" s="824"/>
      <c r="AG205" s="807" t="str">
        <f t="shared" si="17"/>
        <v/>
      </c>
      <c r="AI205" s="817"/>
      <c r="AJ205" s="817"/>
      <c r="AK205" s="92"/>
      <c r="AM205" s="819"/>
      <c r="AN205" s="820"/>
      <c r="AQ205" s="93"/>
      <c r="AR205" s="93"/>
      <c r="AS205" s="93"/>
      <c r="AT205" s="93"/>
      <c r="AU205" s="93"/>
      <c r="AV205" s="93"/>
      <c r="AW205" s="93"/>
      <c r="AX205" s="93"/>
      <c r="AY205" s="93"/>
      <c r="AZ205" s="93"/>
      <c r="BA205" s="93"/>
      <c r="BB205" s="93"/>
      <c r="BL205" s="93"/>
      <c r="BM205" s="93"/>
      <c r="BT205" s="93"/>
      <c r="BU205" s="93"/>
      <c r="BV205" s="93"/>
      <c r="BW205" s="93"/>
      <c r="BX205" s="93"/>
      <c r="BY205" s="93"/>
      <c r="BZ205" s="93"/>
      <c r="CA205" s="93"/>
      <c r="CB205" s="93"/>
      <c r="CC205" s="93"/>
      <c r="CF205" s="93"/>
      <c r="CG205" s="93"/>
      <c r="CH205" s="93"/>
      <c r="CI205" s="93"/>
      <c r="CJ205" s="93"/>
      <c r="CK205" s="93"/>
      <c r="CL205" s="93"/>
      <c r="CM205" s="93"/>
      <c r="CN205" s="93"/>
      <c r="CO205" s="93"/>
      <c r="CP205" s="93"/>
      <c r="CQ205" s="93"/>
      <c r="CR205" s="93"/>
      <c r="CS205" s="93"/>
      <c r="CT205" s="93"/>
      <c r="CU205" s="93"/>
      <c r="CV205" s="93"/>
      <c r="CW205" s="93"/>
      <c r="CX205" s="93"/>
      <c r="CY205" s="93"/>
      <c r="CZ205" s="93"/>
      <c r="DA205" s="93"/>
      <c r="DB205" s="93"/>
      <c r="DC205" s="93"/>
      <c r="DD205" s="93"/>
      <c r="DE205" s="93"/>
      <c r="DF205" s="93"/>
      <c r="DG205" s="93"/>
      <c r="DH205" s="93"/>
      <c r="DI205" s="93"/>
      <c r="DJ205" s="93"/>
      <c r="DK205" s="93"/>
      <c r="DL205" s="93"/>
      <c r="DM205" s="93"/>
      <c r="DN205" s="93"/>
      <c r="DO205" s="93"/>
    </row>
    <row r="206" spans="1:198" ht="15">
      <c r="A206" s="905"/>
      <c r="D206" s="1062" t="s">
        <v>163</v>
      </c>
      <c r="E206" s="807"/>
      <c r="F206" s="807"/>
      <c r="G206" s="809" t="s">
        <v>163</v>
      </c>
      <c r="H206" s="809" t="s">
        <v>1297</v>
      </c>
      <c r="I206" s="92">
        <v>44</v>
      </c>
      <c r="J206" s="92" t="s">
        <v>10</v>
      </c>
      <c r="K206" s="92" t="s">
        <v>707</v>
      </c>
      <c r="L206" s="810">
        <v>5</v>
      </c>
      <c r="M206" s="811" t="str">
        <f t="shared" si="18"/>
        <v>High School Graduate</v>
      </c>
      <c r="N206" s="92" t="s">
        <v>1208</v>
      </c>
      <c r="O206" s="812" t="s">
        <v>8497</v>
      </c>
      <c r="P206" s="1638"/>
      <c r="Q206" s="812" t="s">
        <v>8497</v>
      </c>
      <c r="S206" s="848">
        <f>PRODUCT(450,26)</f>
        <v>11700</v>
      </c>
      <c r="T206" s="820"/>
      <c r="U206" s="820"/>
      <c r="W206" s="815">
        <v>3</v>
      </c>
      <c r="X206" s="811" t="str">
        <f t="shared" si="19"/>
        <v>within the Province</v>
      </c>
      <c r="Y206" s="816">
        <v>728</v>
      </c>
      <c r="Z206" s="836"/>
      <c r="AB206" s="814"/>
      <c r="AC206" s="809" t="s">
        <v>8497</v>
      </c>
      <c r="AD206" s="824"/>
      <c r="AG206" s="807" t="str">
        <f t="shared" si="17"/>
        <v/>
      </c>
      <c r="AI206" s="817"/>
      <c r="AJ206" s="817"/>
      <c r="AK206" s="92"/>
      <c r="AM206" s="819"/>
      <c r="AN206" s="820"/>
      <c r="AQ206" s="93"/>
      <c r="AR206" s="93"/>
      <c r="AS206" s="93"/>
      <c r="AT206" s="93"/>
      <c r="AU206" s="93"/>
      <c r="AV206" s="93"/>
      <c r="AW206" s="93"/>
      <c r="AX206" s="93"/>
      <c r="AY206" s="93"/>
      <c r="AZ206" s="93"/>
      <c r="BA206" s="93"/>
      <c r="BB206" s="93"/>
      <c r="BL206" s="93"/>
      <c r="BM206" s="93"/>
      <c r="BT206" s="93"/>
      <c r="BU206" s="93"/>
      <c r="BV206" s="93"/>
      <c r="BW206" s="93"/>
      <c r="BX206" s="93"/>
      <c r="BY206" s="93"/>
      <c r="BZ206" s="93"/>
      <c r="CA206" s="93"/>
      <c r="CB206" s="93"/>
      <c r="CC206" s="93"/>
      <c r="CF206" s="93"/>
      <c r="CG206" s="93"/>
      <c r="CH206" s="93"/>
      <c r="CI206" s="93"/>
      <c r="CJ206" s="93"/>
      <c r="CK206" s="93"/>
      <c r="CL206" s="93"/>
      <c r="CM206" s="93"/>
      <c r="CN206" s="93"/>
      <c r="CO206" s="93"/>
      <c r="CP206" s="93"/>
      <c r="CQ206" s="93"/>
      <c r="CR206" s="93"/>
      <c r="CS206" s="93"/>
      <c r="CT206" s="93"/>
      <c r="CU206" s="93"/>
      <c r="CV206" s="93"/>
      <c r="CW206" s="93"/>
      <c r="CX206" s="93"/>
      <c r="CY206" s="93"/>
      <c r="CZ206" s="93"/>
      <c r="DA206" s="93"/>
      <c r="DB206" s="93"/>
      <c r="DC206" s="93"/>
      <c r="DD206" s="93"/>
      <c r="DE206" s="93"/>
      <c r="DF206" s="93"/>
      <c r="DG206" s="93"/>
      <c r="DH206" s="93"/>
      <c r="DI206" s="93"/>
      <c r="DJ206" s="93"/>
      <c r="DK206" s="93"/>
      <c r="DL206" s="93"/>
      <c r="DM206" s="93"/>
      <c r="DN206" s="93"/>
      <c r="DO206" s="93"/>
    </row>
    <row r="207" spans="1:198" ht="15">
      <c r="A207" s="905"/>
      <c r="D207" s="1062"/>
      <c r="E207" s="807"/>
      <c r="F207" s="807"/>
      <c r="G207" s="827"/>
      <c r="H207" s="809" t="s">
        <v>8498</v>
      </c>
      <c r="I207" s="92">
        <v>37</v>
      </c>
      <c r="J207" s="92" t="s">
        <v>18</v>
      </c>
      <c r="K207" s="92" t="s">
        <v>707</v>
      </c>
      <c r="L207" s="810">
        <v>4</v>
      </c>
      <c r="M207" s="811" t="str">
        <f t="shared" si="18"/>
        <v>High School Level</v>
      </c>
      <c r="N207" s="92" t="s">
        <v>1208</v>
      </c>
      <c r="O207" s="812" t="s">
        <v>8499</v>
      </c>
      <c r="P207" s="1638"/>
      <c r="Q207" s="812" t="s">
        <v>8499</v>
      </c>
      <c r="S207" s="848"/>
      <c r="T207" s="820"/>
      <c r="U207" s="820">
        <v>900</v>
      </c>
      <c r="W207" s="815">
        <v>1</v>
      </c>
      <c r="X207" s="811" t="str">
        <f t="shared" si="19"/>
        <v>within the Brgy</v>
      </c>
      <c r="AB207" s="814"/>
      <c r="AC207" s="809"/>
      <c r="AD207" s="824"/>
      <c r="AG207" s="807" t="str">
        <f t="shared" si="17"/>
        <v/>
      </c>
      <c r="AI207" s="817"/>
      <c r="AJ207" s="817"/>
      <c r="AK207" s="92"/>
      <c r="AM207" s="819"/>
      <c r="AN207" s="820"/>
      <c r="AQ207" s="93"/>
      <c r="AR207" s="93"/>
      <c r="AS207" s="93"/>
      <c r="AT207" s="93"/>
      <c r="AU207" s="93"/>
      <c r="AV207" s="93"/>
      <c r="AW207" s="93"/>
      <c r="AX207" s="93"/>
      <c r="AY207" s="93"/>
      <c r="AZ207" s="93"/>
      <c r="BA207" s="93"/>
      <c r="BB207" s="93"/>
      <c r="BL207" s="93"/>
      <c r="BM207" s="93"/>
      <c r="BT207" s="93"/>
      <c r="BU207" s="93"/>
      <c r="BV207" s="93"/>
      <c r="BW207" s="93"/>
      <c r="BX207" s="93"/>
      <c r="BY207" s="93"/>
      <c r="BZ207" s="93"/>
      <c r="CA207" s="93"/>
      <c r="CB207" s="93"/>
      <c r="CC207" s="93"/>
      <c r="CF207" s="93"/>
      <c r="CG207" s="93"/>
      <c r="CH207" s="93"/>
      <c r="CI207" s="93"/>
      <c r="CJ207" s="93"/>
      <c r="CK207" s="93"/>
      <c r="CL207" s="93"/>
      <c r="CM207" s="93"/>
      <c r="CN207" s="93"/>
      <c r="CO207" s="93"/>
      <c r="CP207" s="93"/>
      <c r="CQ207" s="93"/>
      <c r="CR207" s="93"/>
      <c r="CS207" s="93"/>
      <c r="CT207" s="93"/>
      <c r="CU207" s="93"/>
      <c r="CV207" s="93"/>
      <c r="CW207" s="93"/>
      <c r="CX207" s="93"/>
      <c r="CY207" s="93"/>
      <c r="CZ207" s="93"/>
      <c r="DA207" s="93"/>
      <c r="DB207" s="93"/>
      <c r="DC207" s="93"/>
      <c r="DD207" s="93"/>
      <c r="DE207" s="93"/>
      <c r="DF207" s="93"/>
      <c r="DG207" s="93"/>
      <c r="DH207" s="93"/>
      <c r="DI207" s="93"/>
      <c r="DJ207" s="93"/>
      <c r="DK207" s="93"/>
      <c r="DL207" s="93"/>
      <c r="DM207" s="93"/>
      <c r="DN207" s="93"/>
      <c r="DO207" s="93"/>
    </row>
    <row r="208" spans="1:198" ht="15">
      <c r="A208" s="905"/>
      <c r="D208" s="1062"/>
      <c r="E208" s="807"/>
      <c r="F208" s="807"/>
      <c r="G208" s="827"/>
      <c r="H208" s="809" t="s">
        <v>8500</v>
      </c>
      <c r="I208" s="92">
        <v>14</v>
      </c>
      <c r="J208" s="92" t="s">
        <v>10</v>
      </c>
      <c r="K208" s="92" t="s">
        <v>768</v>
      </c>
      <c r="L208" s="810">
        <v>4</v>
      </c>
      <c r="M208" s="811" t="str">
        <f t="shared" si="18"/>
        <v>High School Level</v>
      </c>
      <c r="P208" s="1638"/>
      <c r="S208" s="848"/>
      <c r="T208" s="820"/>
      <c r="U208" s="820"/>
      <c r="X208" s="811" t="str">
        <f t="shared" si="19"/>
        <v/>
      </c>
      <c r="AB208" s="814"/>
      <c r="AC208" s="809"/>
      <c r="AD208" s="824"/>
      <c r="AG208" s="807" t="str">
        <f t="shared" si="17"/>
        <v/>
      </c>
      <c r="AI208" s="817"/>
      <c r="AJ208" s="817"/>
      <c r="AK208" s="92"/>
      <c r="AM208" s="819"/>
      <c r="AN208" s="820"/>
      <c r="AQ208" s="93"/>
      <c r="AR208" s="93"/>
      <c r="AS208" s="93"/>
      <c r="AT208" s="93"/>
      <c r="AU208" s="93"/>
      <c r="AV208" s="93"/>
      <c r="AW208" s="93"/>
      <c r="AX208" s="93"/>
      <c r="AY208" s="93"/>
      <c r="AZ208" s="93"/>
      <c r="BA208" s="93"/>
      <c r="BB208" s="93"/>
      <c r="BL208" s="93"/>
      <c r="BM208" s="93"/>
      <c r="BT208" s="93"/>
      <c r="BU208" s="93"/>
      <c r="BV208" s="93"/>
      <c r="BW208" s="93"/>
      <c r="BX208" s="93"/>
      <c r="BY208" s="93"/>
      <c r="BZ208" s="93"/>
      <c r="CA208" s="93"/>
      <c r="CB208" s="93"/>
      <c r="CC208" s="93"/>
      <c r="CF208" s="93"/>
      <c r="CG208" s="93"/>
      <c r="CH208" s="93"/>
      <c r="CI208" s="93"/>
      <c r="CJ208" s="93"/>
      <c r="CK208" s="93"/>
      <c r="CL208" s="93"/>
      <c r="CM208" s="93"/>
      <c r="CN208" s="93"/>
      <c r="CO208" s="93"/>
      <c r="CP208" s="93"/>
      <c r="CQ208" s="93"/>
      <c r="CR208" s="93"/>
      <c r="CS208" s="93"/>
      <c r="CT208" s="93"/>
      <c r="CU208" s="93"/>
      <c r="CV208" s="93"/>
      <c r="CW208" s="93"/>
      <c r="CX208" s="93"/>
      <c r="CY208" s="93"/>
      <c r="CZ208" s="93"/>
      <c r="DA208" s="93"/>
      <c r="DB208" s="93"/>
      <c r="DC208" s="93"/>
      <c r="DD208" s="93"/>
      <c r="DE208" s="93"/>
      <c r="DF208" s="93"/>
      <c r="DG208" s="93"/>
      <c r="DH208" s="93"/>
      <c r="DI208" s="93"/>
      <c r="DJ208" s="93"/>
      <c r="DK208" s="93"/>
      <c r="DL208" s="93"/>
      <c r="DM208" s="93"/>
      <c r="DN208" s="93"/>
      <c r="DO208" s="93"/>
    </row>
    <row r="209" spans="1:119" ht="15">
      <c r="D209" s="1062"/>
      <c r="E209" s="807"/>
      <c r="F209" s="807"/>
      <c r="G209" s="827"/>
      <c r="H209" s="809" t="s">
        <v>8501</v>
      </c>
      <c r="I209" s="92">
        <v>8</v>
      </c>
      <c r="J209" s="92" t="s">
        <v>10</v>
      </c>
      <c r="K209" s="92" t="s">
        <v>768</v>
      </c>
      <c r="L209" s="810">
        <v>2</v>
      </c>
      <c r="M209" s="811" t="str">
        <f t="shared" si="18"/>
        <v>Elementary Level</v>
      </c>
      <c r="P209" s="1638"/>
      <c r="S209" s="848"/>
      <c r="T209" s="820"/>
      <c r="U209" s="820"/>
      <c r="X209" s="811" t="str">
        <f t="shared" si="19"/>
        <v/>
      </c>
      <c r="AB209" s="814"/>
      <c r="AC209" s="809"/>
      <c r="AD209" s="824"/>
      <c r="AG209" s="807" t="str">
        <f t="shared" si="17"/>
        <v/>
      </c>
      <c r="AI209" s="817"/>
      <c r="AJ209" s="817"/>
      <c r="AK209" s="92"/>
      <c r="AM209" s="819"/>
      <c r="AN209" s="820"/>
      <c r="AQ209" s="93"/>
      <c r="AR209" s="93"/>
      <c r="AS209" s="93"/>
      <c r="AT209" s="93"/>
      <c r="AU209" s="93"/>
      <c r="AV209" s="93"/>
      <c r="AW209" s="93"/>
      <c r="AX209" s="93"/>
      <c r="AY209" s="93"/>
      <c r="AZ209" s="93"/>
      <c r="BA209" s="93"/>
      <c r="BB209" s="93"/>
      <c r="BL209" s="93"/>
      <c r="BM209" s="93"/>
      <c r="BT209" s="93"/>
      <c r="BU209" s="93"/>
      <c r="BV209" s="93"/>
      <c r="BW209" s="93"/>
      <c r="BX209" s="93"/>
      <c r="BY209" s="93"/>
      <c r="BZ209" s="93"/>
      <c r="CA209" s="93"/>
      <c r="CB209" s="93"/>
      <c r="CC209" s="93"/>
      <c r="CF209" s="93"/>
      <c r="CG209" s="93"/>
      <c r="CH209" s="93"/>
      <c r="CI209" s="93"/>
      <c r="CJ209" s="93"/>
      <c r="CK209" s="93"/>
      <c r="CL209" s="93"/>
      <c r="CM209" s="93"/>
      <c r="CN209" s="93"/>
      <c r="CO209" s="93"/>
      <c r="CP209" s="93"/>
      <c r="CQ209" s="93"/>
      <c r="CR209" s="93"/>
      <c r="CS209" s="93"/>
      <c r="CT209" s="93"/>
      <c r="CU209" s="93"/>
      <c r="CV209" s="93"/>
      <c r="CW209" s="93"/>
      <c r="CX209" s="93"/>
      <c r="CY209" s="93"/>
      <c r="CZ209" s="93"/>
      <c r="DA209" s="93"/>
      <c r="DB209" s="93"/>
      <c r="DC209" s="93"/>
      <c r="DD209" s="93"/>
      <c r="DE209" s="93"/>
      <c r="DF209" s="93"/>
      <c r="DG209" s="93"/>
      <c r="DH209" s="93"/>
      <c r="DI209" s="93"/>
      <c r="DJ209" s="93"/>
      <c r="DK209" s="93"/>
      <c r="DL209" s="93"/>
      <c r="DM209" s="93"/>
      <c r="DN209" s="93"/>
      <c r="DO209" s="93"/>
    </row>
    <row r="210" spans="1:119" ht="15">
      <c r="D210" s="1062"/>
      <c r="E210" s="807"/>
      <c r="F210" s="807"/>
      <c r="G210" s="827"/>
      <c r="H210" s="809" t="s">
        <v>8502</v>
      </c>
      <c r="I210" s="92">
        <v>6</v>
      </c>
      <c r="J210" s="92" t="s">
        <v>10</v>
      </c>
      <c r="K210" s="92" t="s">
        <v>768</v>
      </c>
      <c r="L210" s="810">
        <v>2</v>
      </c>
      <c r="M210" s="811" t="str">
        <f t="shared" si="18"/>
        <v>Elementary Level</v>
      </c>
      <c r="P210" s="1638"/>
      <c r="S210" s="848"/>
      <c r="T210" s="820"/>
      <c r="U210" s="820"/>
      <c r="X210" s="811" t="str">
        <f t="shared" si="19"/>
        <v/>
      </c>
      <c r="AB210" s="814"/>
      <c r="AC210" s="809"/>
      <c r="AD210" s="824"/>
      <c r="AG210" s="807" t="str">
        <f t="shared" si="17"/>
        <v/>
      </c>
      <c r="AI210" s="817"/>
      <c r="AJ210" s="817"/>
      <c r="AK210" s="92"/>
      <c r="AM210" s="819"/>
      <c r="AN210" s="820"/>
      <c r="AQ210" s="93"/>
      <c r="AR210" s="93"/>
      <c r="AS210" s="93"/>
      <c r="AT210" s="93"/>
      <c r="AU210" s="93"/>
      <c r="AV210" s="93"/>
      <c r="AW210" s="93"/>
      <c r="AX210" s="93"/>
      <c r="AY210" s="93"/>
      <c r="AZ210" s="93"/>
      <c r="BA210" s="93"/>
      <c r="BB210" s="93"/>
      <c r="BL210" s="93"/>
      <c r="BM210" s="93"/>
      <c r="BT210" s="93"/>
      <c r="BU210" s="93"/>
      <c r="BV210" s="93"/>
      <c r="BW210" s="93"/>
      <c r="BX210" s="93"/>
      <c r="BY210" s="93"/>
      <c r="BZ210" s="93"/>
      <c r="CA210" s="93"/>
      <c r="CB210" s="93"/>
      <c r="CC210" s="93"/>
      <c r="CF210" s="93"/>
      <c r="CG210" s="93"/>
      <c r="CH210" s="93"/>
      <c r="CI210" s="93"/>
      <c r="CJ210" s="93"/>
      <c r="CK210" s="93"/>
      <c r="CL210" s="93"/>
      <c r="CM210" s="93"/>
      <c r="CN210" s="93"/>
      <c r="CO210" s="93"/>
      <c r="CP210" s="93"/>
      <c r="CQ210" s="93"/>
      <c r="CR210" s="93"/>
      <c r="CS210" s="93"/>
      <c r="CT210" s="93"/>
      <c r="CU210" s="93"/>
      <c r="CV210" s="93"/>
      <c r="CW210" s="93"/>
      <c r="CX210" s="93"/>
      <c r="CY210" s="93"/>
      <c r="CZ210" s="93"/>
      <c r="DA210" s="93"/>
      <c r="DB210" s="93"/>
      <c r="DC210" s="93"/>
      <c r="DD210" s="93"/>
      <c r="DE210" s="93"/>
      <c r="DF210" s="93"/>
      <c r="DG210" s="93"/>
      <c r="DH210" s="93"/>
      <c r="DI210" s="93"/>
      <c r="DJ210" s="93"/>
      <c r="DK210" s="93"/>
      <c r="DL210" s="93"/>
      <c r="DM210" s="93"/>
      <c r="DN210" s="93"/>
      <c r="DO210" s="93"/>
    </row>
    <row r="211" spans="1:119" ht="15">
      <c r="D211" s="1062"/>
      <c r="E211" s="807"/>
      <c r="F211" s="807"/>
      <c r="G211" s="827"/>
      <c r="H211" s="809" t="s">
        <v>8503</v>
      </c>
      <c r="I211" s="92">
        <v>4</v>
      </c>
      <c r="J211" s="92" t="s">
        <v>10</v>
      </c>
      <c r="K211" s="92" t="s">
        <v>768</v>
      </c>
      <c r="L211" s="810">
        <v>10</v>
      </c>
      <c r="M211" s="811" t="str">
        <f t="shared" si="18"/>
        <v>Not In School Age</v>
      </c>
      <c r="P211" s="1638"/>
      <c r="S211" s="848"/>
      <c r="T211" s="820"/>
      <c r="U211" s="820"/>
      <c r="V211" s="814">
        <f>SUM(S206:U211)</f>
        <v>12600</v>
      </c>
      <c r="X211" s="811" t="str">
        <f t="shared" si="19"/>
        <v/>
      </c>
      <c r="AB211" s="814">
        <f>SUM(Y206:AA211)</f>
        <v>728</v>
      </c>
      <c r="AC211" s="809"/>
      <c r="AD211" s="824"/>
      <c r="AG211" s="807" t="str">
        <f t="shared" si="17"/>
        <v/>
      </c>
      <c r="AI211" s="817"/>
      <c r="AJ211" s="817"/>
      <c r="AK211" s="92"/>
      <c r="AM211" s="819"/>
      <c r="AN211" s="820"/>
      <c r="AQ211" s="93"/>
      <c r="AR211" s="93"/>
      <c r="AS211" s="93"/>
      <c r="AT211" s="93"/>
      <c r="AU211" s="93"/>
      <c r="AV211" s="93"/>
      <c r="AW211" s="93"/>
      <c r="AX211" s="93"/>
      <c r="AY211" s="93"/>
      <c r="AZ211" s="93"/>
      <c r="BA211" s="93"/>
      <c r="BB211" s="93"/>
      <c r="BL211" s="93"/>
      <c r="BM211" s="93"/>
      <c r="BT211" s="93"/>
      <c r="BU211" s="93"/>
      <c r="BV211" s="93"/>
      <c r="BW211" s="93"/>
      <c r="BX211" s="93"/>
      <c r="BY211" s="93"/>
      <c r="BZ211" s="93"/>
      <c r="CA211" s="93"/>
      <c r="CB211" s="93"/>
      <c r="CC211" s="93"/>
      <c r="CF211" s="93"/>
      <c r="CG211" s="93"/>
      <c r="CH211" s="93"/>
      <c r="CI211" s="93"/>
      <c r="CJ211" s="93"/>
      <c r="CK211" s="93"/>
      <c r="CL211" s="93"/>
      <c r="CM211" s="93"/>
      <c r="CN211" s="93"/>
      <c r="CO211" s="93"/>
      <c r="CP211" s="93"/>
      <c r="CQ211" s="93"/>
      <c r="CR211" s="93"/>
      <c r="CS211" s="93"/>
      <c r="CT211" s="93"/>
      <c r="CU211" s="93"/>
      <c r="CV211" s="93"/>
      <c r="CW211" s="93"/>
      <c r="CX211" s="93"/>
      <c r="CY211" s="93"/>
      <c r="CZ211" s="93"/>
      <c r="DA211" s="93"/>
      <c r="DB211" s="93"/>
      <c r="DC211" s="93"/>
      <c r="DD211" s="93"/>
      <c r="DE211" s="93"/>
      <c r="DF211" s="93"/>
      <c r="DG211" s="93"/>
      <c r="DH211" s="93"/>
      <c r="DI211" s="93"/>
      <c r="DJ211" s="93"/>
      <c r="DK211" s="93"/>
      <c r="DL211" s="93"/>
      <c r="DM211" s="93"/>
      <c r="DN211" s="93"/>
      <c r="DO211" s="93"/>
    </row>
    <row r="212" spans="1:119" ht="15">
      <c r="A212" s="154" t="s">
        <v>7419</v>
      </c>
      <c r="B212" s="288" t="s">
        <v>12420</v>
      </c>
      <c r="C212" s="165" t="s">
        <v>166</v>
      </c>
      <c r="D212" s="1062" t="s">
        <v>166</v>
      </c>
      <c r="E212" s="1040" t="s">
        <v>166</v>
      </c>
      <c r="F212" s="1047" t="s">
        <v>2058</v>
      </c>
      <c r="G212" s="745" t="s">
        <v>166</v>
      </c>
      <c r="H212" s="809" t="s">
        <v>2058</v>
      </c>
      <c r="I212" s="92">
        <v>57</v>
      </c>
      <c r="J212" s="92" t="s">
        <v>10</v>
      </c>
      <c r="K212" s="92" t="s">
        <v>707</v>
      </c>
      <c r="L212" s="810">
        <v>6</v>
      </c>
      <c r="M212" s="811" t="str">
        <f t="shared" si="18"/>
        <v>College Level</v>
      </c>
      <c r="P212" s="1638"/>
      <c r="R212" s="92" t="s">
        <v>1208</v>
      </c>
      <c r="S212" s="848"/>
      <c r="V212" s="828"/>
      <c r="X212" s="811" t="str">
        <f t="shared" si="19"/>
        <v/>
      </c>
      <c r="Z212" s="836"/>
      <c r="AB212" s="828"/>
      <c r="AC212" s="809"/>
      <c r="AD212" s="824"/>
      <c r="AG212" s="807" t="str">
        <f t="shared" si="17"/>
        <v/>
      </c>
      <c r="AH212" s="807"/>
      <c r="AI212" s="807"/>
      <c r="AJ212" s="807"/>
      <c r="AK212" s="92"/>
      <c r="AM212" s="819"/>
      <c r="AN212" s="820"/>
      <c r="AQ212" s="93"/>
      <c r="AR212" s="93"/>
      <c r="AS212" s="93"/>
      <c r="AT212" s="93"/>
      <c r="AU212" s="93"/>
      <c r="AV212" s="93"/>
      <c r="AW212" s="93"/>
      <c r="AX212" s="93"/>
      <c r="AY212" s="93"/>
      <c r="AZ212" s="93"/>
      <c r="BA212" s="93"/>
      <c r="BB212" s="93"/>
      <c r="BL212" s="93"/>
      <c r="BM212" s="93"/>
      <c r="BT212" s="93"/>
      <c r="BU212" s="93"/>
      <c r="BV212" s="93"/>
      <c r="BW212" s="93"/>
      <c r="BX212" s="93"/>
      <c r="BY212" s="93"/>
      <c r="BZ212" s="93"/>
      <c r="CA212" s="93"/>
      <c r="CB212" s="93"/>
      <c r="CC212" s="93"/>
      <c r="CF212" s="93"/>
      <c r="CG212" s="93"/>
      <c r="CH212" s="93"/>
      <c r="CI212" s="93"/>
      <c r="CJ212" s="93"/>
      <c r="CK212" s="93"/>
      <c r="CL212" s="93"/>
      <c r="CM212" s="93"/>
      <c r="CN212" s="93"/>
      <c r="CO212" s="93"/>
      <c r="CP212" s="93"/>
      <c r="CQ212" s="93"/>
      <c r="CR212" s="93"/>
      <c r="CS212" s="93"/>
      <c r="CT212" s="93"/>
      <c r="CU212" s="93"/>
      <c r="CV212" s="93"/>
      <c r="CW212" s="93"/>
      <c r="CX212" s="93"/>
      <c r="CY212" s="93"/>
      <c r="CZ212" s="93"/>
      <c r="DA212" s="93"/>
      <c r="DB212" s="93"/>
      <c r="DC212" s="93"/>
      <c r="DD212" s="93"/>
      <c r="DE212" s="93"/>
      <c r="DF212" s="93"/>
      <c r="DG212" s="93"/>
      <c r="DH212" s="93"/>
      <c r="DI212" s="93"/>
      <c r="DJ212" s="93"/>
      <c r="DK212" s="93"/>
      <c r="DL212" s="93"/>
      <c r="DM212" s="93"/>
      <c r="DN212" s="93"/>
      <c r="DO212" s="93"/>
    </row>
    <row r="213" spans="1:119" ht="15">
      <c r="A213" s="154" t="s">
        <v>7419</v>
      </c>
      <c r="D213" s="1062" t="s">
        <v>166</v>
      </c>
      <c r="E213" s="1040" t="s">
        <v>166</v>
      </c>
      <c r="F213" s="807"/>
      <c r="G213" s="827"/>
      <c r="H213" s="809" t="s">
        <v>8504</v>
      </c>
      <c r="I213" s="92">
        <v>56</v>
      </c>
      <c r="J213" s="92" t="s">
        <v>18</v>
      </c>
      <c r="K213" s="92" t="s">
        <v>707</v>
      </c>
      <c r="L213" s="810">
        <v>3</v>
      </c>
      <c r="M213" s="811" t="str">
        <f t="shared" si="18"/>
        <v>Elementary Graduate</v>
      </c>
      <c r="P213" s="1638"/>
      <c r="S213" s="848"/>
      <c r="V213" s="828"/>
      <c r="X213" s="811" t="str">
        <f t="shared" si="19"/>
        <v/>
      </c>
      <c r="AB213" s="828"/>
      <c r="AC213" s="809"/>
      <c r="AD213" s="824"/>
      <c r="AG213" s="807" t="str">
        <f t="shared" si="17"/>
        <v/>
      </c>
      <c r="AH213" s="807"/>
      <c r="AI213" s="807"/>
      <c r="AJ213" s="807"/>
      <c r="AK213" s="92"/>
      <c r="AM213" s="819"/>
      <c r="AN213" s="820"/>
      <c r="AQ213" s="93"/>
      <c r="AR213" s="93"/>
      <c r="AS213" s="93"/>
      <c r="AT213" s="93"/>
      <c r="AU213" s="93"/>
      <c r="AV213" s="93"/>
      <c r="AW213" s="93"/>
      <c r="AX213" s="93"/>
      <c r="AY213" s="93"/>
      <c r="AZ213" s="93"/>
      <c r="BA213" s="93"/>
      <c r="BB213" s="93"/>
      <c r="BL213" s="93"/>
      <c r="BM213" s="93"/>
      <c r="BT213" s="93"/>
      <c r="BU213" s="93"/>
      <c r="BV213" s="93"/>
      <c r="BW213" s="93"/>
      <c r="BX213" s="93"/>
      <c r="BY213" s="93"/>
      <c r="BZ213" s="93"/>
      <c r="CA213" s="93"/>
      <c r="CB213" s="93"/>
      <c r="CC213" s="93"/>
      <c r="CF213" s="93"/>
      <c r="CG213" s="93"/>
      <c r="CH213" s="93"/>
      <c r="CI213" s="93"/>
      <c r="CJ213" s="93"/>
      <c r="CK213" s="93"/>
      <c r="CL213" s="93"/>
      <c r="CM213" s="93"/>
      <c r="CN213" s="93"/>
      <c r="CO213" s="93"/>
      <c r="CP213" s="93"/>
      <c r="CQ213" s="93"/>
      <c r="CR213" s="93"/>
      <c r="CS213" s="93"/>
      <c r="CT213" s="93"/>
      <c r="CU213" s="93"/>
      <c r="CV213" s="93"/>
      <c r="CW213" s="93"/>
      <c r="CX213" s="93"/>
      <c r="CY213" s="93"/>
      <c r="CZ213" s="93"/>
      <c r="DA213" s="93"/>
      <c r="DB213" s="93"/>
      <c r="DC213" s="93"/>
      <c r="DD213" s="93"/>
      <c r="DE213" s="93"/>
      <c r="DF213" s="93"/>
      <c r="DG213" s="93"/>
      <c r="DH213" s="93"/>
      <c r="DI213" s="93"/>
      <c r="DJ213" s="93"/>
      <c r="DK213" s="93"/>
      <c r="DL213" s="93"/>
      <c r="DM213" s="93"/>
      <c r="DN213" s="93"/>
      <c r="DO213" s="93"/>
    </row>
    <row r="214" spans="1:119" ht="15">
      <c r="A214" s="154" t="s">
        <v>7419</v>
      </c>
      <c r="D214" s="1062" t="s">
        <v>166</v>
      </c>
      <c r="E214" s="1040" t="s">
        <v>166</v>
      </c>
      <c r="F214" s="807"/>
      <c r="G214" s="827"/>
      <c r="H214" s="809" t="s">
        <v>8505</v>
      </c>
      <c r="I214" s="92">
        <v>37</v>
      </c>
      <c r="J214" s="92" t="s">
        <v>18</v>
      </c>
      <c r="K214" s="92" t="s">
        <v>768</v>
      </c>
      <c r="L214" s="810">
        <v>7</v>
      </c>
      <c r="M214" s="811" t="str">
        <f t="shared" si="18"/>
        <v>College Graduate or Higher</v>
      </c>
      <c r="P214" s="1638"/>
      <c r="S214" s="848"/>
      <c r="V214" s="828"/>
      <c r="X214" s="811" t="str">
        <f t="shared" si="19"/>
        <v/>
      </c>
      <c r="AB214" s="828"/>
      <c r="AC214" s="809"/>
      <c r="AD214" s="824"/>
      <c r="AG214" s="807" t="str">
        <f t="shared" si="17"/>
        <v/>
      </c>
      <c r="AH214" s="807"/>
      <c r="AI214" s="807"/>
      <c r="AJ214" s="807"/>
      <c r="AK214" s="92"/>
      <c r="AM214" s="819"/>
      <c r="AN214" s="820"/>
      <c r="AQ214" s="93"/>
      <c r="AR214" s="93"/>
      <c r="AS214" s="93"/>
      <c r="AT214" s="93"/>
      <c r="AU214" s="93"/>
      <c r="AV214" s="93"/>
      <c r="AW214" s="93"/>
      <c r="AX214" s="93"/>
      <c r="AY214" s="93"/>
      <c r="AZ214" s="93"/>
      <c r="BA214" s="93"/>
      <c r="BB214" s="93"/>
      <c r="BL214" s="93"/>
      <c r="BM214" s="93"/>
      <c r="BT214" s="93"/>
      <c r="BU214" s="93"/>
      <c r="BV214" s="93"/>
      <c r="BW214" s="93"/>
      <c r="BX214" s="93"/>
      <c r="BY214" s="93"/>
      <c r="BZ214" s="93"/>
      <c r="CA214" s="93"/>
      <c r="CB214" s="93"/>
      <c r="CC214" s="93"/>
      <c r="CF214" s="93"/>
      <c r="CG214" s="93"/>
      <c r="CH214" s="93"/>
      <c r="CI214" s="93"/>
      <c r="CJ214" s="93"/>
      <c r="CK214" s="93"/>
      <c r="CL214" s="93"/>
      <c r="CM214" s="93"/>
      <c r="CN214" s="93"/>
      <c r="CO214" s="93"/>
      <c r="CP214" s="93"/>
      <c r="CQ214" s="93"/>
      <c r="CR214" s="93"/>
      <c r="CS214" s="93"/>
      <c r="CT214" s="93"/>
      <c r="CU214" s="93"/>
      <c r="CV214" s="93"/>
      <c r="CW214" s="93"/>
      <c r="CX214" s="93"/>
      <c r="CY214" s="93"/>
      <c r="CZ214" s="93"/>
      <c r="DA214" s="93"/>
      <c r="DB214" s="93"/>
      <c r="DC214" s="93"/>
      <c r="DD214" s="93"/>
      <c r="DE214" s="93"/>
      <c r="DF214" s="93"/>
      <c r="DG214" s="93"/>
      <c r="DH214" s="93"/>
      <c r="DI214" s="93"/>
      <c r="DJ214" s="93"/>
      <c r="DK214" s="93"/>
      <c r="DL214" s="93"/>
      <c r="DM214" s="93"/>
      <c r="DN214" s="93"/>
      <c r="DO214" s="93"/>
    </row>
    <row r="215" spans="1:119" ht="15">
      <c r="A215" s="154" t="s">
        <v>7419</v>
      </c>
      <c r="B215" s="6"/>
      <c r="C215" s="164"/>
      <c r="D215" s="1062" t="s">
        <v>166</v>
      </c>
      <c r="E215" s="1040" t="s">
        <v>166</v>
      </c>
      <c r="F215" s="807"/>
      <c r="G215" s="827"/>
      <c r="H215" s="809" t="s">
        <v>8506</v>
      </c>
      <c r="I215" s="92">
        <v>17</v>
      </c>
      <c r="J215" s="92" t="s">
        <v>10</v>
      </c>
      <c r="K215" s="92" t="s">
        <v>768</v>
      </c>
      <c r="L215" s="810">
        <v>4</v>
      </c>
      <c r="M215" s="811" t="str">
        <f t="shared" si="18"/>
        <v>High School Level</v>
      </c>
      <c r="O215" s="92"/>
      <c r="P215" s="1638"/>
      <c r="Q215" s="92"/>
      <c r="R215" s="92"/>
      <c r="S215" s="848"/>
      <c r="V215" s="828"/>
      <c r="X215" s="811" t="str">
        <f t="shared" si="19"/>
        <v/>
      </c>
      <c r="AB215" s="828"/>
      <c r="AC215" s="809"/>
      <c r="AD215" s="824"/>
      <c r="AG215" s="807" t="str">
        <f t="shared" si="17"/>
        <v/>
      </c>
      <c r="AH215" s="807"/>
      <c r="AI215" s="807"/>
      <c r="AJ215" s="807"/>
      <c r="AK215" s="92"/>
      <c r="AM215" s="819"/>
      <c r="AN215" s="820"/>
      <c r="AQ215" s="93"/>
      <c r="AR215" s="93"/>
      <c r="AS215" s="93"/>
      <c r="AT215" s="93"/>
      <c r="AU215" s="93"/>
      <c r="AV215" s="93"/>
      <c r="AW215" s="93"/>
      <c r="AX215" s="93"/>
      <c r="AY215" s="93"/>
      <c r="AZ215" s="93"/>
      <c r="BA215" s="93"/>
      <c r="BB215" s="93"/>
      <c r="BL215" s="93"/>
      <c r="BM215" s="93"/>
      <c r="BT215" s="93"/>
      <c r="BU215" s="93"/>
      <c r="BV215" s="93"/>
      <c r="BW215" s="93"/>
      <c r="BX215" s="93"/>
      <c r="BY215" s="93"/>
      <c r="BZ215" s="93"/>
      <c r="CA215" s="93"/>
      <c r="CB215" s="93"/>
      <c r="CC215" s="93"/>
      <c r="CF215" s="93"/>
      <c r="CG215" s="93"/>
      <c r="CH215" s="93"/>
      <c r="CI215" s="93"/>
      <c r="CJ215" s="93"/>
      <c r="CK215" s="93"/>
      <c r="CL215" s="93"/>
      <c r="CM215" s="93"/>
      <c r="CN215" s="93"/>
      <c r="CO215" s="93"/>
      <c r="CP215" s="93"/>
      <c r="CQ215" s="93"/>
      <c r="CR215" s="93"/>
      <c r="CS215" s="93"/>
      <c r="CT215" s="93"/>
      <c r="CU215" s="93"/>
      <c r="CV215" s="93"/>
      <c r="CW215" s="93"/>
      <c r="CX215" s="93"/>
      <c r="CY215" s="93"/>
      <c r="CZ215" s="93"/>
      <c r="DA215" s="93"/>
      <c r="DB215" s="93"/>
      <c r="DC215" s="93"/>
      <c r="DD215" s="93"/>
      <c r="DE215" s="93"/>
      <c r="DF215" s="93"/>
      <c r="DG215" s="93"/>
      <c r="DH215" s="93"/>
      <c r="DI215" s="93"/>
      <c r="DJ215" s="93"/>
      <c r="DK215" s="93"/>
      <c r="DL215" s="93"/>
      <c r="DM215" s="93"/>
      <c r="DN215" s="93"/>
      <c r="DO215" s="93"/>
    </row>
    <row r="216" spans="1:119" ht="15">
      <c r="A216" s="154" t="s">
        <v>7419</v>
      </c>
      <c r="B216" s="6"/>
      <c r="C216" s="164"/>
      <c r="D216" s="1062" t="s">
        <v>166</v>
      </c>
      <c r="E216" s="1040" t="s">
        <v>166</v>
      </c>
      <c r="F216" s="807"/>
      <c r="G216" s="827"/>
      <c r="H216" s="809" t="s">
        <v>8507</v>
      </c>
      <c r="I216" s="92">
        <v>11</v>
      </c>
      <c r="J216" s="92" t="s">
        <v>10</v>
      </c>
      <c r="K216" s="92" t="s">
        <v>768</v>
      </c>
      <c r="L216" s="810">
        <v>2</v>
      </c>
      <c r="M216" s="811" t="str">
        <f t="shared" si="18"/>
        <v>Elementary Level</v>
      </c>
      <c r="P216" s="1638"/>
      <c r="S216" s="848"/>
      <c r="V216" s="828"/>
      <c r="X216" s="811" t="str">
        <f t="shared" si="19"/>
        <v/>
      </c>
      <c r="AB216" s="828"/>
      <c r="AC216" s="809"/>
      <c r="AD216" s="824"/>
      <c r="AG216" s="807" t="str">
        <f t="shared" si="17"/>
        <v/>
      </c>
      <c r="AH216" s="807"/>
      <c r="AI216" s="807"/>
      <c r="AJ216" s="807"/>
      <c r="AK216" s="92"/>
      <c r="AM216" s="819"/>
      <c r="AN216" s="820"/>
      <c r="AQ216" s="93"/>
      <c r="AR216" s="93"/>
      <c r="AS216" s="93"/>
      <c r="AT216" s="93"/>
      <c r="AU216" s="93"/>
      <c r="AV216" s="93"/>
      <c r="AW216" s="93"/>
      <c r="AX216" s="93"/>
      <c r="AY216" s="93"/>
      <c r="AZ216" s="93"/>
      <c r="BA216" s="93"/>
      <c r="BB216" s="93"/>
      <c r="BL216" s="93"/>
      <c r="BM216" s="93"/>
      <c r="BT216" s="93"/>
      <c r="BU216" s="93"/>
      <c r="BV216" s="93"/>
      <c r="BW216" s="93"/>
      <c r="BX216" s="93"/>
      <c r="BY216" s="93"/>
      <c r="BZ216" s="93"/>
      <c r="CA216" s="93"/>
      <c r="CB216" s="93"/>
      <c r="CC216" s="93"/>
      <c r="CF216" s="93"/>
      <c r="CG216" s="93"/>
      <c r="CH216" s="93"/>
      <c r="CI216" s="93"/>
      <c r="CJ216" s="93"/>
      <c r="CK216" s="93"/>
      <c r="CL216" s="93"/>
      <c r="CM216" s="93"/>
      <c r="CN216" s="93"/>
      <c r="CO216" s="93"/>
      <c r="CP216" s="93"/>
      <c r="CQ216" s="93"/>
      <c r="CR216" s="93"/>
      <c r="CS216" s="93"/>
      <c r="CT216" s="93"/>
      <c r="CU216" s="93"/>
      <c r="CV216" s="93"/>
      <c r="CW216" s="93"/>
      <c r="CX216" s="93"/>
      <c r="CY216" s="93"/>
      <c r="CZ216" s="93"/>
      <c r="DA216" s="93"/>
      <c r="DB216" s="93"/>
      <c r="DC216" s="93"/>
      <c r="DD216" s="93"/>
      <c r="DE216" s="93"/>
      <c r="DF216" s="93"/>
      <c r="DG216" s="93"/>
      <c r="DH216" s="93"/>
      <c r="DI216" s="93"/>
      <c r="DJ216" s="93"/>
      <c r="DK216" s="93"/>
      <c r="DL216" s="93"/>
      <c r="DM216" s="93"/>
      <c r="DN216" s="93"/>
      <c r="DO216" s="93"/>
    </row>
    <row r="217" spans="1:119" ht="15">
      <c r="A217" s="154" t="s">
        <v>7419</v>
      </c>
      <c r="B217" s="6"/>
      <c r="C217" s="164"/>
      <c r="D217" s="1062" t="s">
        <v>166</v>
      </c>
      <c r="E217" s="1040" t="s">
        <v>166</v>
      </c>
      <c r="F217" s="807"/>
      <c r="G217" s="827"/>
      <c r="H217" s="809" t="s">
        <v>8508</v>
      </c>
      <c r="I217" s="92">
        <v>8</v>
      </c>
      <c r="J217" s="92" t="s">
        <v>18</v>
      </c>
      <c r="K217" s="92" t="s">
        <v>768</v>
      </c>
      <c r="L217" s="810">
        <v>2</v>
      </c>
      <c r="M217" s="811" t="str">
        <f t="shared" si="18"/>
        <v>Elementary Level</v>
      </c>
      <c r="P217" s="1638"/>
      <c r="S217" s="848"/>
      <c r="V217" s="828"/>
      <c r="X217" s="811" t="str">
        <f t="shared" si="19"/>
        <v/>
      </c>
      <c r="AB217" s="828"/>
      <c r="AC217" s="809"/>
      <c r="AD217" s="824"/>
      <c r="AG217" s="807" t="str">
        <f t="shared" ref="AG217:AG248" si="20">IF(ISBLANK(AF217)=TRUE,"",LOOKUP(AF217,GS:GT))</f>
        <v/>
      </c>
      <c r="AH217" s="807"/>
      <c r="AI217" s="807"/>
      <c r="AJ217" s="807"/>
      <c r="AK217" s="92"/>
      <c r="AM217" s="819"/>
      <c r="AN217" s="820"/>
      <c r="AQ217" s="93"/>
      <c r="AR217" s="93"/>
      <c r="AS217" s="93"/>
      <c r="AT217" s="93"/>
      <c r="AU217" s="93"/>
      <c r="AV217" s="93"/>
      <c r="AW217" s="93"/>
      <c r="AX217" s="93"/>
      <c r="AY217" s="93"/>
      <c r="AZ217" s="93"/>
      <c r="BA217" s="93"/>
      <c r="BB217" s="93"/>
      <c r="BL217" s="93"/>
      <c r="BM217" s="93"/>
      <c r="BT217" s="93"/>
      <c r="BU217" s="93"/>
      <c r="BV217" s="93"/>
      <c r="BW217" s="93"/>
      <c r="BX217" s="93"/>
      <c r="BY217" s="93"/>
      <c r="BZ217" s="93"/>
      <c r="CA217" s="93"/>
      <c r="CB217" s="93"/>
      <c r="CC217" s="93"/>
      <c r="CF217" s="93"/>
      <c r="CG217" s="93"/>
      <c r="CH217" s="93"/>
      <c r="CI217" s="93"/>
      <c r="CJ217" s="93"/>
      <c r="CK217" s="93"/>
      <c r="CL217" s="93"/>
      <c r="CM217" s="93"/>
      <c r="CN217" s="93"/>
      <c r="CO217" s="93"/>
      <c r="CP217" s="93"/>
      <c r="CQ217" s="93"/>
      <c r="CR217" s="93"/>
      <c r="CS217" s="93"/>
      <c r="CT217" s="93"/>
      <c r="CU217" s="93"/>
      <c r="CV217" s="93"/>
      <c r="CW217" s="93"/>
      <c r="CX217" s="93"/>
      <c r="CY217" s="93"/>
      <c r="CZ217" s="93"/>
      <c r="DA217" s="93"/>
      <c r="DB217" s="93"/>
      <c r="DC217" s="93"/>
      <c r="DD217" s="93"/>
      <c r="DE217" s="93"/>
      <c r="DF217" s="93"/>
      <c r="DG217" s="93"/>
      <c r="DH217" s="93"/>
      <c r="DI217" s="93"/>
      <c r="DJ217" s="93"/>
      <c r="DK217" s="93"/>
      <c r="DL217" s="93"/>
      <c r="DM217" s="93"/>
      <c r="DN217" s="93"/>
      <c r="DO217" s="93"/>
    </row>
    <row r="218" spans="1:119" ht="15">
      <c r="A218" s="154" t="s">
        <v>7419</v>
      </c>
      <c r="B218" s="6"/>
      <c r="C218" s="164"/>
      <c r="D218" s="1062" t="s">
        <v>166</v>
      </c>
      <c r="E218" s="1040" t="s">
        <v>166</v>
      </c>
      <c r="F218" s="807"/>
      <c r="G218" s="827"/>
      <c r="H218" s="809" t="s">
        <v>8509</v>
      </c>
      <c r="I218" s="92">
        <v>34</v>
      </c>
      <c r="J218" s="92" t="s">
        <v>18</v>
      </c>
      <c r="K218" s="92" t="s">
        <v>768</v>
      </c>
      <c r="L218" s="810">
        <v>6</v>
      </c>
      <c r="M218" s="811" t="str">
        <f t="shared" si="18"/>
        <v>College Level</v>
      </c>
      <c r="N218" s="92" t="s">
        <v>1208</v>
      </c>
      <c r="O218" s="812" t="s">
        <v>2210</v>
      </c>
      <c r="P218" s="1638"/>
      <c r="Q218" s="812" t="s">
        <v>2210</v>
      </c>
      <c r="R218" s="92" t="s">
        <v>8285</v>
      </c>
      <c r="S218" s="848">
        <v>20000</v>
      </c>
      <c r="V218" s="828"/>
      <c r="W218" s="815">
        <v>5</v>
      </c>
      <c r="X218" s="811" t="str">
        <f t="shared" si="19"/>
        <v>Overseas Worker</v>
      </c>
      <c r="AB218" s="828"/>
      <c r="AC218" s="809"/>
      <c r="AD218" s="824"/>
      <c r="AG218" s="807" t="str">
        <f t="shared" si="20"/>
        <v/>
      </c>
      <c r="AH218" s="807"/>
      <c r="AI218" s="807"/>
      <c r="AJ218" s="807"/>
      <c r="AK218" s="92"/>
      <c r="AM218" s="819"/>
      <c r="AN218" s="820"/>
      <c r="AQ218" s="93"/>
      <c r="AR218" s="93"/>
      <c r="AS218" s="93"/>
      <c r="AT218" s="93"/>
      <c r="AU218" s="93"/>
      <c r="AV218" s="93"/>
      <c r="AW218" s="93"/>
      <c r="AX218" s="93"/>
      <c r="AY218" s="93"/>
      <c r="AZ218" s="93"/>
      <c r="BA218" s="93"/>
      <c r="BB218" s="93"/>
      <c r="BL218" s="93"/>
      <c r="BM218" s="93"/>
      <c r="BT218" s="93"/>
      <c r="BU218" s="93"/>
      <c r="BV218" s="93"/>
      <c r="BW218" s="93"/>
      <c r="BX218" s="93"/>
      <c r="BY218" s="93"/>
      <c r="BZ218" s="93"/>
      <c r="CA218" s="93"/>
      <c r="CB218" s="93"/>
      <c r="CC218" s="93"/>
      <c r="CF218" s="93"/>
      <c r="CG218" s="93"/>
      <c r="CH218" s="93"/>
      <c r="CI218" s="93"/>
      <c r="CJ218" s="93"/>
      <c r="CK218" s="93"/>
      <c r="CL218" s="93"/>
      <c r="CM218" s="93"/>
      <c r="CN218" s="93"/>
      <c r="CO218" s="93"/>
      <c r="CP218" s="93"/>
      <c r="CQ218" s="93"/>
      <c r="CR218" s="93"/>
      <c r="CS218" s="93"/>
      <c r="CT218" s="93"/>
      <c r="CU218" s="93"/>
      <c r="CV218" s="93"/>
      <c r="CW218" s="93"/>
      <c r="CX218" s="93"/>
      <c r="CY218" s="93"/>
      <c r="CZ218" s="93"/>
      <c r="DA218" s="93"/>
      <c r="DB218" s="93"/>
      <c r="DC218" s="93"/>
      <c r="DD218" s="93"/>
      <c r="DE218" s="93"/>
      <c r="DF218" s="93"/>
      <c r="DG218" s="93"/>
      <c r="DH218" s="93"/>
      <c r="DI218" s="93"/>
      <c r="DJ218" s="93"/>
      <c r="DK218" s="93"/>
      <c r="DL218" s="93"/>
      <c r="DM218" s="93"/>
      <c r="DN218" s="93"/>
      <c r="DO218" s="93"/>
    </row>
    <row r="219" spans="1:119" ht="15">
      <c r="A219" s="154" t="s">
        <v>7419</v>
      </c>
      <c r="B219" s="6"/>
      <c r="C219" s="164"/>
      <c r="D219" s="1062" t="s">
        <v>166</v>
      </c>
      <c r="E219" s="1040" t="s">
        <v>166</v>
      </c>
      <c r="F219" s="807"/>
      <c r="G219" s="827"/>
      <c r="H219" s="809" t="s">
        <v>8510</v>
      </c>
      <c r="I219" s="92">
        <v>28</v>
      </c>
      <c r="J219" s="92" t="s">
        <v>10</v>
      </c>
      <c r="K219" s="92" t="s">
        <v>768</v>
      </c>
      <c r="L219" s="810">
        <v>6</v>
      </c>
      <c r="M219" s="811" t="str">
        <f t="shared" si="18"/>
        <v>College Level</v>
      </c>
      <c r="N219" s="92" t="s">
        <v>1208</v>
      </c>
      <c r="O219" s="812" t="s">
        <v>2210</v>
      </c>
      <c r="P219" s="1638"/>
      <c r="Q219" s="812" t="s">
        <v>2210</v>
      </c>
      <c r="R219" s="92" t="s">
        <v>8285</v>
      </c>
      <c r="S219" s="848">
        <v>20000</v>
      </c>
      <c r="V219" s="828">
        <f>SUM(S212:U219)</f>
        <v>40000</v>
      </c>
      <c r="W219" s="815">
        <v>5</v>
      </c>
      <c r="X219" s="811" t="str">
        <f t="shared" si="19"/>
        <v>Overseas Worker</v>
      </c>
      <c r="AB219" s="828">
        <f>SUM(Y212:AA219)</f>
        <v>0</v>
      </c>
      <c r="AC219" s="809"/>
      <c r="AD219" s="824"/>
      <c r="AG219" s="807" t="str">
        <f t="shared" si="20"/>
        <v/>
      </c>
      <c r="AH219" s="807"/>
      <c r="AI219" s="807"/>
      <c r="AJ219" s="807"/>
      <c r="AK219" s="92"/>
      <c r="AM219" s="819"/>
      <c r="AN219" s="820"/>
      <c r="AQ219" s="93"/>
      <c r="AR219" s="93"/>
      <c r="AS219" s="93"/>
      <c r="AT219" s="93"/>
      <c r="AU219" s="93"/>
      <c r="AV219" s="93"/>
      <c r="AW219" s="93"/>
      <c r="AX219" s="93"/>
      <c r="AY219" s="93"/>
      <c r="AZ219" s="93"/>
      <c r="BA219" s="93"/>
      <c r="BB219" s="93"/>
      <c r="BL219" s="93"/>
      <c r="BM219" s="93"/>
      <c r="BT219" s="93"/>
      <c r="BU219" s="93"/>
      <c r="BV219" s="93"/>
      <c r="BW219" s="93"/>
      <c r="BX219" s="93"/>
      <c r="BY219" s="93"/>
      <c r="BZ219" s="93"/>
      <c r="CA219" s="93"/>
      <c r="CB219" s="93"/>
      <c r="CC219" s="93"/>
      <c r="CF219" s="93"/>
      <c r="CG219" s="93"/>
      <c r="CH219" s="93"/>
      <c r="CI219" s="93"/>
      <c r="CJ219" s="93"/>
      <c r="CK219" s="93"/>
      <c r="CL219" s="93"/>
      <c r="CM219" s="93"/>
      <c r="CN219" s="93"/>
      <c r="CO219" s="93"/>
      <c r="CP219" s="93"/>
      <c r="CQ219" s="93"/>
      <c r="CR219" s="93"/>
      <c r="CS219" s="93"/>
      <c r="CT219" s="93"/>
      <c r="CU219" s="93"/>
      <c r="CV219" s="93"/>
      <c r="CW219" s="93"/>
      <c r="CX219" s="93"/>
      <c r="CY219" s="93"/>
      <c r="CZ219" s="93"/>
      <c r="DA219" s="93"/>
      <c r="DB219" s="93"/>
      <c r="DC219" s="93"/>
      <c r="DD219" s="93"/>
      <c r="DE219" s="93"/>
      <c r="DF219" s="93"/>
      <c r="DG219" s="93"/>
      <c r="DH219" s="93"/>
      <c r="DI219" s="93"/>
      <c r="DJ219" s="93"/>
      <c r="DK219" s="93"/>
      <c r="DL219" s="93"/>
      <c r="DM219" s="93"/>
      <c r="DN219" s="93"/>
      <c r="DO219" s="93"/>
    </row>
    <row r="220" spans="1:119" ht="15">
      <c r="A220" s="1076"/>
      <c r="B220" s="6"/>
      <c r="C220" s="6"/>
      <c r="D220" s="1062" t="s">
        <v>170</v>
      </c>
      <c r="E220" s="807"/>
      <c r="F220" s="807"/>
      <c r="G220" s="809" t="s">
        <v>170</v>
      </c>
      <c r="H220" s="809" t="s">
        <v>2155</v>
      </c>
      <c r="I220" s="92">
        <v>38</v>
      </c>
      <c r="J220" s="92" t="s">
        <v>10</v>
      </c>
      <c r="K220" s="92" t="s">
        <v>707</v>
      </c>
      <c r="L220" s="810">
        <v>4</v>
      </c>
      <c r="M220" s="811" t="str">
        <f t="shared" si="18"/>
        <v>High School Level</v>
      </c>
      <c r="N220" s="92" t="s">
        <v>1208</v>
      </c>
      <c r="O220" s="812" t="s">
        <v>8511</v>
      </c>
      <c r="P220" s="1638"/>
      <c r="Q220" s="812" t="s">
        <v>8511</v>
      </c>
      <c r="R220" s="92" t="s">
        <v>8234</v>
      </c>
      <c r="S220" s="848">
        <v>11500</v>
      </c>
      <c r="T220" s="820"/>
      <c r="U220" s="820"/>
      <c r="V220" s="830"/>
      <c r="W220" s="815">
        <v>3</v>
      </c>
      <c r="X220" s="811" t="str">
        <f t="shared" si="19"/>
        <v>within the Province</v>
      </c>
      <c r="Y220" s="816">
        <v>736</v>
      </c>
      <c r="Z220" s="836"/>
      <c r="AB220" s="830"/>
      <c r="AC220" s="809" t="s">
        <v>8497</v>
      </c>
      <c r="AD220" s="824"/>
      <c r="AG220" s="807" t="str">
        <f t="shared" si="20"/>
        <v/>
      </c>
      <c r="AI220" s="817"/>
      <c r="AJ220" s="817"/>
      <c r="AK220" s="92"/>
      <c r="AM220" s="819"/>
      <c r="AN220" s="820"/>
      <c r="AQ220" s="93"/>
      <c r="AR220" s="93"/>
      <c r="AS220" s="93"/>
      <c r="AT220" s="93"/>
      <c r="AU220" s="93"/>
      <c r="AV220" s="93"/>
      <c r="AW220" s="93"/>
      <c r="AX220" s="93"/>
      <c r="AY220" s="93"/>
      <c r="AZ220" s="93"/>
      <c r="BA220" s="93"/>
      <c r="BB220" s="93"/>
      <c r="BL220" s="93"/>
      <c r="BM220" s="93"/>
      <c r="BT220" s="93"/>
      <c r="BU220" s="93"/>
      <c r="BV220" s="93"/>
      <c r="BW220" s="93"/>
      <c r="BX220" s="93"/>
      <c r="BY220" s="93"/>
      <c r="BZ220" s="93"/>
      <c r="CA220" s="93"/>
      <c r="CB220" s="93"/>
      <c r="CC220" s="93"/>
      <c r="CF220" s="93"/>
      <c r="CG220" s="93"/>
      <c r="CH220" s="93"/>
      <c r="CI220" s="93"/>
      <c r="CJ220" s="93"/>
      <c r="CK220" s="93"/>
      <c r="CL220" s="93"/>
      <c r="CM220" s="93"/>
      <c r="CN220" s="93"/>
      <c r="CO220" s="93"/>
      <c r="CP220" s="93"/>
      <c r="CQ220" s="93"/>
      <c r="CR220" s="93"/>
      <c r="CS220" s="93"/>
      <c r="CT220" s="93"/>
      <c r="CU220" s="93"/>
      <c r="CV220" s="93"/>
      <c r="CW220" s="93"/>
      <c r="CX220" s="93"/>
      <c r="CY220" s="93"/>
      <c r="CZ220" s="93"/>
      <c r="DA220" s="93"/>
      <c r="DB220" s="93"/>
      <c r="DC220" s="93"/>
      <c r="DD220" s="93"/>
      <c r="DE220" s="93"/>
      <c r="DF220" s="93"/>
      <c r="DG220" s="93"/>
      <c r="DH220" s="93"/>
      <c r="DI220" s="93"/>
      <c r="DJ220" s="93"/>
      <c r="DK220" s="93"/>
      <c r="DL220" s="93"/>
      <c r="DM220" s="93"/>
      <c r="DN220" s="93"/>
      <c r="DO220" s="93"/>
    </row>
    <row r="221" spans="1:119" ht="15">
      <c r="A221" s="1076"/>
      <c r="B221" s="6"/>
      <c r="C221" s="6"/>
      <c r="D221" s="1062"/>
      <c r="E221" s="807"/>
      <c r="F221" s="807"/>
      <c r="G221" s="827"/>
      <c r="H221" s="809" t="s">
        <v>8512</v>
      </c>
      <c r="I221" s="92">
        <v>37</v>
      </c>
      <c r="J221" s="92" t="s">
        <v>18</v>
      </c>
      <c r="K221" s="92" t="s">
        <v>707</v>
      </c>
      <c r="L221" s="810">
        <v>6</v>
      </c>
      <c r="M221" s="811" t="str">
        <f t="shared" si="18"/>
        <v>College Level</v>
      </c>
      <c r="O221" s="92"/>
      <c r="P221" s="1638"/>
      <c r="Q221" s="92"/>
      <c r="R221" s="92"/>
      <c r="S221" s="848"/>
      <c r="T221" s="820"/>
      <c r="U221" s="820"/>
      <c r="V221" s="830"/>
      <c r="X221" s="811" t="str">
        <f t="shared" si="19"/>
        <v/>
      </c>
      <c r="AB221" s="830"/>
      <c r="AC221" s="809"/>
      <c r="AD221" s="824"/>
      <c r="AG221" s="807" t="str">
        <f t="shared" si="20"/>
        <v/>
      </c>
      <c r="AI221" s="817"/>
      <c r="AJ221" s="817"/>
      <c r="AK221" s="92"/>
      <c r="AM221" s="819"/>
      <c r="AN221" s="820"/>
      <c r="AQ221" s="93"/>
      <c r="AR221" s="93"/>
      <c r="AS221" s="93"/>
      <c r="AT221" s="93"/>
      <c r="AU221" s="93"/>
      <c r="AV221" s="93"/>
      <c r="AW221" s="93"/>
      <c r="AX221" s="93"/>
      <c r="AY221" s="93"/>
      <c r="AZ221" s="93"/>
      <c r="BA221" s="93"/>
      <c r="BB221" s="93"/>
      <c r="BL221" s="93"/>
      <c r="BM221" s="93"/>
      <c r="BT221" s="93"/>
      <c r="BU221" s="93"/>
      <c r="BV221" s="93"/>
      <c r="BW221" s="93"/>
      <c r="BX221" s="93"/>
      <c r="BY221" s="93"/>
      <c r="BZ221" s="93"/>
      <c r="CA221" s="93"/>
      <c r="CB221" s="93"/>
      <c r="CC221" s="93"/>
      <c r="CF221" s="93"/>
      <c r="CG221" s="93"/>
      <c r="CH221" s="93"/>
      <c r="CI221" s="93"/>
      <c r="CJ221" s="93"/>
      <c r="CK221" s="93"/>
      <c r="CL221" s="93"/>
      <c r="CM221" s="93"/>
      <c r="CN221" s="93"/>
      <c r="CO221" s="93"/>
      <c r="CP221" s="93"/>
      <c r="CQ221" s="93"/>
      <c r="CR221" s="93"/>
      <c r="CS221" s="93"/>
      <c r="CT221" s="93"/>
      <c r="CU221" s="93"/>
      <c r="CV221" s="93"/>
      <c r="CW221" s="93"/>
      <c r="CX221" s="93"/>
      <c r="CY221" s="93"/>
      <c r="CZ221" s="93"/>
      <c r="DA221" s="93"/>
      <c r="DB221" s="93"/>
      <c r="DC221" s="93"/>
      <c r="DD221" s="93"/>
      <c r="DE221" s="93"/>
      <c r="DF221" s="93"/>
      <c r="DG221" s="93"/>
      <c r="DH221" s="93"/>
      <c r="DI221" s="93"/>
      <c r="DJ221" s="93"/>
      <c r="DK221" s="93"/>
      <c r="DL221" s="93"/>
      <c r="DM221" s="93"/>
      <c r="DN221" s="93"/>
      <c r="DO221" s="93"/>
    </row>
    <row r="222" spans="1:119" ht="15">
      <c r="A222" s="1076"/>
      <c r="B222" s="6"/>
      <c r="C222" s="6"/>
      <c r="D222" s="1062"/>
      <c r="E222" s="807"/>
      <c r="F222" s="807"/>
      <c r="G222" s="827"/>
      <c r="H222" s="809" t="s">
        <v>8513</v>
      </c>
      <c r="I222" s="92">
        <v>17</v>
      </c>
      <c r="J222" s="92" t="s">
        <v>18</v>
      </c>
      <c r="K222" s="92" t="s">
        <v>768</v>
      </c>
      <c r="L222" s="810">
        <v>6</v>
      </c>
      <c r="M222" s="811" t="str">
        <f t="shared" si="18"/>
        <v>College Level</v>
      </c>
      <c r="N222" s="92" t="s">
        <v>1208</v>
      </c>
      <c r="O222" s="812" t="s">
        <v>8514</v>
      </c>
      <c r="P222" s="1638"/>
      <c r="Q222" s="812" t="s">
        <v>8514</v>
      </c>
      <c r="S222" s="848">
        <v>3600</v>
      </c>
      <c r="T222" s="820"/>
      <c r="U222" s="820"/>
      <c r="V222" s="830"/>
      <c r="W222" s="815">
        <v>2</v>
      </c>
      <c r="X222" s="811" t="str">
        <f t="shared" si="19"/>
        <v>within the Municipality/City</v>
      </c>
      <c r="AB222" s="830"/>
      <c r="AC222" s="809" t="s">
        <v>8188</v>
      </c>
      <c r="AD222" s="824"/>
      <c r="AG222" s="807" t="str">
        <f t="shared" si="20"/>
        <v/>
      </c>
      <c r="AI222" s="817"/>
      <c r="AJ222" s="817"/>
      <c r="AK222" s="92"/>
      <c r="AM222" s="819"/>
      <c r="AN222" s="820"/>
      <c r="AQ222" s="93"/>
      <c r="AR222" s="93"/>
      <c r="AS222" s="93"/>
      <c r="AT222" s="93"/>
      <c r="AU222" s="93"/>
      <c r="AV222" s="93"/>
      <c r="AW222" s="93"/>
      <c r="AX222" s="93"/>
      <c r="AY222" s="93"/>
      <c r="AZ222" s="93"/>
      <c r="BA222" s="93"/>
      <c r="BB222" s="93"/>
      <c r="BL222" s="93"/>
      <c r="BM222" s="93"/>
      <c r="BT222" s="93"/>
      <c r="BU222" s="93"/>
      <c r="BV222" s="93"/>
      <c r="BW222" s="93"/>
      <c r="BX222" s="93"/>
      <c r="BY222" s="93"/>
      <c r="BZ222" s="93"/>
      <c r="CA222" s="93"/>
      <c r="CB222" s="93"/>
      <c r="CC222" s="93"/>
      <c r="CF222" s="93"/>
      <c r="CG222" s="93"/>
      <c r="CH222" s="93"/>
      <c r="CI222" s="93"/>
      <c r="CJ222" s="93"/>
      <c r="CK222" s="93"/>
      <c r="CL222" s="93"/>
      <c r="CM222" s="93"/>
      <c r="CN222" s="93"/>
      <c r="CO222" s="93"/>
      <c r="CP222" s="93"/>
      <c r="CQ222" s="93"/>
      <c r="CR222" s="93"/>
      <c r="CS222" s="93"/>
      <c r="CT222" s="93"/>
      <c r="CU222" s="93"/>
      <c r="CV222" s="93"/>
      <c r="CW222" s="93"/>
      <c r="CX222" s="93"/>
      <c r="CY222" s="93"/>
      <c r="CZ222" s="93"/>
      <c r="DA222" s="93"/>
      <c r="DB222" s="93"/>
      <c r="DC222" s="93"/>
      <c r="DD222" s="93"/>
      <c r="DE222" s="93"/>
      <c r="DF222" s="93"/>
      <c r="DG222" s="93"/>
      <c r="DH222" s="93"/>
      <c r="DI222" s="93"/>
      <c r="DJ222" s="93"/>
      <c r="DK222" s="93"/>
      <c r="DL222" s="93"/>
      <c r="DM222" s="93"/>
      <c r="DN222" s="93"/>
      <c r="DO222" s="93"/>
    </row>
    <row r="223" spans="1:119" ht="15">
      <c r="A223" s="1076"/>
      <c r="B223" s="6"/>
      <c r="C223" s="6"/>
      <c r="D223" s="1062"/>
      <c r="E223" s="807"/>
      <c r="F223" s="807"/>
      <c r="G223" s="827"/>
      <c r="H223" s="809" t="s">
        <v>8515</v>
      </c>
      <c r="I223" s="92">
        <v>15</v>
      </c>
      <c r="J223" s="92" t="s">
        <v>10</v>
      </c>
      <c r="K223" s="92" t="s">
        <v>768</v>
      </c>
      <c r="L223" s="810">
        <v>11</v>
      </c>
      <c r="M223" s="811" t="str">
        <f t="shared" si="18"/>
        <v>Junior/Senior High School</v>
      </c>
      <c r="P223" s="1638"/>
      <c r="S223" s="848"/>
      <c r="T223" s="820"/>
      <c r="U223" s="820"/>
      <c r="V223" s="830"/>
      <c r="X223" s="811" t="str">
        <f t="shared" si="19"/>
        <v/>
      </c>
      <c r="AB223" s="830"/>
      <c r="AC223" s="809"/>
      <c r="AD223" s="824"/>
      <c r="AG223" s="807" t="str">
        <f t="shared" si="20"/>
        <v/>
      </c>
      <c r="AI223" s="817"/>
      <c r="AJ223" s="817"/>
      <c r="AK223" s="92"/>
      <c r="AM223" s="819"/>
      <c r="AN223" s="820"/>
      <c r="AQ223" s="93"/>
      <c r="AR223" s="93"/>
      <c r="AS223" s="93"/>
      <c r="AT223" s="93"/>
      <c r="AU223" s="93"/>
      <c r="AV223" s="93"/>
      <c r="AW223" s="93"/>
      <c r="AX223" s="93"/>
      <c r="AY223" s="93"/>
      <c r="AZ223" s="93"/>
      <c r="BA223" s="93"/>
      <c r="BB223" s="93"/>
      <c r="BL223" s="93"/>
      <c r="BM223" s="93"/>
      <c r="BT223" s="93"/>
      <c r="BU223" s="93"/>
      <c r="BV223" s="93"/>
      <c r="BW223" s="93"/>
      <c r="BX223" s="93"/>
      <c r="BY223" s="93"/>
      <c r="BZ223" s="93"/>
      <c r="CA223" s="93"/>
      <c r="CB223" s="93"/>
      <c r="CC223" s="93"/>
      <c r="CF223" s="93"/>
      <c r="CG223" s="93"/>
      <c r="CH223" s="93"/>
      <c r="CI223" s="93"/>
      <c r="CJ223" s="93"/>
      <c r="CK223" s="93"/>
      <c r="CL223" s="93"/>
      <c r="CM223" s="93"/>
      <c r="CN223" s="93"/>
      <c r="CO223" s="93"/>
      <c r="CP223" s="93"/>
      <c r="CQ223" s="93"/>
      <c r="CR223" s="93"/>
      <c r="CS223" s="93"/>
      <c r="CT223" s="93"/>
      <c r="CU223" s="93"/>
      <c r="CV223" s="93"/>
      <c r="CW223" s="93"/>
      <c r="CX223" s="93"/>
      <c r="CY223" s="93"/>
      <c r="CZ223" s="93"/>
      <c r="DA223" s="93"/>
      <c r="DB223" s="93"/>
      <c r="DC223" s="93"/>
      <c r="DD223" s="93"/>
      <c r="DE223" s="93"/>
      <c r="DF223" s="93"/>
      <c r="DG223" s="93"/>
      <c r="DH223" s="93"/>
      <c r="DI223" s="93"/>
      <c r="DJ223" s="93"/>
      <c r="DK223" s="93"/>
      <c r="DL223" s="93"/>
      <c r="DM223" s="93"/>
      <c r="DN223" s="93"/>
      <c r="DO223" s="93"/>
    </row>
    <row r="224" spans="1:119" ht="15">
      <c r="A224" s="1076"/>
      <c r="B224" s="6"/>
      <c r="C224" s="6"/>
      <c r="D224" s="1062"/>
      <c r="E224" s="807"/>
      <c r="F224" s="807"/>
      <c r="G224" s="827"/>
      <c r="H224" s="809" t="s">
        <v>8516</v>
      </c>
      <c r="I224" s="92">
        <v>9</v>
      </c>
      <c r="J224" s="92" t="s">
        <v>10</v>
      </c>
      <c r="K224" s="92" t="s">
        <v>768</v>
      </c>
      <c r="L224" s="810">
        <v>2</v>
      </c>
      <c r="M224" s="811" t="str">
        <f t="shared" si="18"/>
        <v>Elementary Level</v>
      </c>
      <c r="P224" s="1638"/>
      <c r="S224" s="848"/>
      <c r="T224" s="820"/>
      <c r="U224" s="820"/>
      <c r="V224" s="830">
        <f>SUM(S220:U224)</f>
        <v>15100</v>
      </c>
      <c r="X224" s="811" t="str">
        <f t="shared" si="19"/>
        <v/>
      </c>
      <c r="AB224" s="830">
        <f>SUM(Y220:AA224)</f>
        <v>736</v>
      </c>
      <c r="AC224" s="809"/>
      <c r="AD224" s="824"/>
      <c r="AG224" s="807" t="str">
        <f t="shared" si="20"/>
        <v/>
      </c>
      <c r="AI224" s="817"/>
      <c r="AJ224" s="817"/>
      <c r="AK224" s="92"/>
      <c r="AM224" s="819"/>
      <c r="AN224" s="820"/>
      <c r="AQ224" s="93"/>
      <c r="AR224" s="93"/>
      <c r="AS224" s="93"/>
      <c r="AT224" s="93"/>
      <c r="AU224" s="93"/>
      <c r="AV224" s="93"/>
      <c r="AW224" s="93"/>
      <c r="AX224" s="93"/>
      <c r="AY224" s="93"/>
      <c r="AZ224" s="93"/>
      <c r="BA224" s="93"/>
      <c r="BB224" s="93"/>
      <c r="BL224" s="93"/>
      <c r="BM224" s="93"/>
      <c r="BT224" s="93"/>
      <c r="BU224" s="93"/>
      <c r="BV224" s="93"/>
      <c r="BW224" s="93"/>
      <c r="BX224" s="93"/>
      <c r="BY224" s="93"/>
      <c r="BZ224" s="93"/>
      <c r="CA224" s="93"/>
      <c r="CB224" s="93"/>
      <c r="CC224" s="93"/>
      <c r="CF224" s="93"/>
      <c r="CG224" s="93"/>
      <c r="CH224" s="93"/>
      <c r="CI224" s="93"/>
      <c r="CJ224" s="93"/>
      <c r="CK224" s="93"/>
      <c r="CL224" s="93"/>
      <c r="CM224" s="93"/>
      <c r="CN224" s="93"/>
      <c r="CO224" s="93"/>
      <c r="CP224" s="93"/>
      <c r="CQ224" s="93"/>
      <c r="CR224" s="93"/>
      <c r="CS224" s="93"/>
      <c r="CT224" s="93"/>
      <c r="CU224" s="93"/>
      <c r="CV224" s="93"/>
      <c r="CW224" s="93"/>
      <c r="CX224" s="93"/>
      <c r="CY224" s="93"/>
      <c r="CZ224" s="93"/>
      <c r="DA224" s="93"/>
      <c r="DB224" s="93"/>
      <c r="DC224" s="93"/>
      <c r="DD224" s="93"/>
      <c r="DE224" s="93"/>
      <c r="DF224" s="93"/>
      <c r="DG224" s="93"/>
      <c r="DH224" s="93"/>
      <c r="DI224" s="93"/>
      <c r="DJ224" s="93"/>
      <c r="DK224" s="93"/>
      <c r="DL224" s="93"/>
      <c r="DM224" s="93"/>
      <c r="DN224" s="93"/>
      <c r="DO224" s="93"/>
    </row>
    <row r="225" spans="1:119" ht="15">
      <c r="A225" s="1076"/>
      <c r="B225" s="6"/>
      <c r="C225" s="164"/>
      <c r="D225" s="1062" t="s">
        <v>171</v>
      </c>
      <c r="E225" s="807"/>
      <c r="F225" s="807"/>
      <c r="G225" s="809" t="s">
        <v>171</v>
      </c>
      <c r="H225" s="809" t="s">
        <v>1614</v>
      </c>
      <c r="I225" s="92">
        <v>57</v>
      </c>
      <c r="J225" s="92" t="s">
        <v>18</v>
      </c>
      <c r="K225" s="92" t="s">
        <v>719</v>
      </c>
      <c r="L225" s="810">
        <v>8</v>
      </c>
      <c r="M225" s="811" t="str">
        <f t="shared" si="18"/>
        <v>Vocational Level</v>
      </c>
      <c r="N225" s="92" t="s">
        <v>1208</v>
      </c>
      <c r="O225" s="812" t="s">
        <v>8517</v>
      </c>
      <c r="P225" s="1638"/>
      <c r="Q225" s="812" t="s">
        <v>8517</v>
      </c>
      <c r="R225" s="92" t="s">
        <v>8234</v>
      </c>
      <c r="S225" s="848">
        <v>11000</v>
      </c>
      <c r="T225" s="820"/>
      <c r="U225" s="820"/>
      <c r="W225" s="815">
        <v>3</v>
      </c>
      <c r="X225" s="811" t="str">
        <f t="shared" si="19"/>
        <v>within the Province</v>
      </c>
      <c r="Y225" s="816">
        <v>2600</v>
      </c>
      <c r="Z225" s="92"/>
      <c r="AB225" s="814"/>
      <c r="AC225" s="809" t="s">
        <v>8518</v>
      </c>
      <c r="AD225" s="824"/>
      <c r="AG225" s="807" t="str">
        <f t="shared" si="20"/>
        <v/>
      </c>
      <c r="AI225" s="817"/>
      <c r="AJ225" s="817"/>
      <c r="AK225" s="92"/>
      <c r="AM225" s="819"/>
      <c r="AN225" s="820"/>
      <c r="AQ225" s="93"/>
      <c r="AR225" s="93"/>
      <c r="AS225" s="93"/>
      <c r="AT225" s="93"/>
      <c r="AU225" s="93"/>
      <c r="AV225" s="93"/>
      <c r="AW225" s="93"/>
      <c r="AX225" s="93"/>
      <c r="AY225" s="93"/>
      <c r="AZ225" s="93"/>
      <c r="BA225" s="93"/>
      <c r="BB225" s="93"/>
      <c r="BL225" s="93"/>
      <c r="BM225" s="93"/>
      <c r="BT225" s="93"/>
      <c r="BU225" s="93"/>
      <c r="BV225" s="93"/>
      <c r="BW225" s="93"/>
      <c r="BX225" s="93"/>
      <c r="BY225" s="93"/>
      <c r="BZ225" s="93"/>
      <c r="CA225" s="93"/>
      <c r="CB225" s="93"/>
      <c r="CC225" s="93"/>
      <c r="CF225" s="93"/>
      <c r="CG225" s="93"/>
      <c r="CH225" s="93"/>
      <c r="CI225" s="93"/>
      <c r="CJ225" s="93"/>
      <c r="CK225" s="93"/>
      <c r="CL225" s="93"/>
      <c r="CM225" s="93"/>
      <c r="CN225" s="93"/>
      <c r="CO225" s="93"/>
      <c r="CP225" s="93"/>
      <c r="CQ225" s="93"/>
      <c r="CR225" s="93"/>
      <c r="CS225" s="93"/>
      <c r="CT225" s="93"/>
      <c r="CU225" s="93"/>
      <c r="CV225" s="93"/>
      <c r="CW225" s="93"/>
      <c r="CX225" s="93"/>
      <c r="CY225" s="93"/>
      <c r="CZ225" s="93"/>
      <c r="DA225" s="93"/>
      <c r="DB225" s="93"/>
      <c r="DC225" s="93"/>
      <c r="DD225" s="93"/>
      <c r="DE225" s="93"/>
      <c r="DF225" s="93"/>
      <c r="DG225" s="93"/>
      <c r="DH225" s="93"/>
      <c r="DI225" s="93"/>
      <c r="DJ225" s="93"/>
      <c r="DK225" s="93"/>
      <c r="DL225" s="93"/>
      <c r="DM225" s="93"/>
      <c r="DN225" s="93"/>
      <c r="DO225" s="93"/>
    </row>
    <row r="226" spans="1:119" ht="15">
      <c r="A226" s="1076"/>
      <c r="B226" s="6"/>
      <c r="C226" s="164"/>
      <c r="D226" s="1062"/>
      <c r="E226" s="807"/>
      <c r="F226" s="807"/>
      <c r="G226" s="827"/>
      <c r="H226" s="809" t="s">
        <v>8519</v>
      </c>
      <c r="I226" s="92">
        <v>27</v>
      </c>
      <c r="J226" s="92" t="s">
        <v>10</v>
      </c>
      <c r="K226" s="92" t="s">
        <v>768</v>
      </c>
      <c r="L226" s="810">
        <v>7</v>
      </c>
      <c r="M226" s="811" t="str">
        <f t="shared" si="18"/>
        <v>College Graduate or Higher</v>
      </c>
      <c r="N226" s="92" t="s">
        <v>1208</v>
      </c>
      <c r="O226" s="812" t="s">
        <v>8520</v>
      </c>
      <c r="P226" s="1638"/>
      <c r="Q226" s="812" t="s">
        <v>8520</v>
      </c>
      <c r="S226" s="848">
        <v>25000</v>
      </c>
      <c r="T226" s="820"/>
      <c r="U226" s="820"/>
      <c r="W226" s="815">
        <v>4</v>
      </c>
      <c r="X226" s="811" t="str">
        <f t="shared" si="19"/>
        <v>Other Province</v>
      </c>
      <c r="Y226" s="816">
        <v>3900</v>
      </c>
      <c r="AB226" s="814"/>
      <c r="AC226" s="809" t="s">
        <v>8188</v>
      </c>
      <c r="AD226" s="824"/>
      <c r="AG226" s="807" t="str">
        <f t="shared" si="20"/>
        <v/>
      </c>
      <c r="AI226" s="817"/>
      <c r="AJ226" s="817"/>
      <c r="AK226" s="92"/>
      <c r="AM226" s="819"/>
      <c r="AN226" s="820"/>
      <c r="AQ226" s="93"/>
      <c r="AR226" s="93"/>
      <c r="AS226" s="93"/>
      <c r="AT226" s="93"/>
      <c r="AU226" s="93"/>
      <c r="AV226" s="93"/>
      <c r="AW226" s="93"/>
      <c r="AX226" s="93"/>
      <c r="AY226" s="93"/>
      <c r="AZ226" s="93"/>
      <c r="BA226" s="93"/>
      <c r="BB226" s="93"/>
      <c r="BL226" s="93"/>
      <c r="BM226" s="93"/>
      <c r="BT226" s="93"/>
      <c r="BU226" s="93"/>
      <c r="BV226" s="93"/>
      <c r="BW226" s="93"/>
      <c r="BX226" s="93"/>
      <c r="BY226" s="93"/>
      <c r="BZ226" s="93"/>
      <c r="CA226" s="93"/>
      <c r="CB226" s="93"/>
      <c r="CC226" s="93"/>
      <c r="CF226" s="93"/>
      <c r="CG226" s="93"/>
      <c r="CH226" s="93"/>
      <c r="CI226" s="93"/>
      <c r="CJ226" s="93"/>
      <c r="CK226" s="93"/>
      <c r="CL226" s="93"/>
      <c r="CM226" s="93"/>
      <c r="CN226" s="93"/>
      <c r="CO226" s="93"/>
      <c r="CP226" s="93"/>
      <c r="CQ226" s="93"/>
      <c r="CR226" s="93"/>
      <c r="CS226" s="93"/>
      <c r="CT226" s="93"/>
      <c r="CU226" s="93"/>
      <c r="CV226" s="93"/>
      <c r="CW226" s="93"/>
      <c r="CX226" s="93"/>
      <c r="CY226" s="93"/>
      <c r="CZ226" s="93"/>
      <c r="DA226" s="93"/>
      <c r="DB226" s="93"/>
      <c r="DC226" s="93"/>
      <c r="DD226" s="93"/>
      <c r="DE226" s="93"/>
      <c r="DF226" s="93"/>
      <c r="DG226" s="93"/>
      <c r="DH226" s="93"/>
      <c r="DI226" s="93"/>
      <c r="DJ226" s="93"/>
      <c r="DK226" s="93"/>
      <c r="DL226" s="93"/>
      <c r="DM226" s="93"/>
      <c r="DN226" s="93"/>
      <c r="DO226" s="93"/>
    </row>
    <row r="227" spans="1:119" ht="15">
      <c r="A227" s="1076"/>
      <c r="B227" s="6"/>
      <c r="C227" s="164"/>
      <c r="D227" s="1062"/>
      <c r="E227" s="807"/>
      <c r="F227" s="807"/>
      <c r="G227" s="827"/>
      <c r="H227" s="809" t="s">
        <v>8521</v>
      </c>
      <c r="I227" s="92">
        <v>23</v>
      </c>
      <c r="J227" s="92" t="s">
        <v>18</v>
      </c>
      <c r="K227" s="92" t="s">
        <v>768</v>
      </c>
      <c r="L227" s="810">
        <v>7</v>
      </c>
      <c r="M227" s="811" t="str">
        <f t="shared" si="18"/>
        <v>College Graduate or Higher</v>
      </c>
      <c r="N227" s="92" t="s">
        <v>1208</v>
      </c>
      <c r="O227" s="812" t="s">
        <v>8522</v>
      </c>
      <c r="P227" s="1638"/>
      <c r="Q227" s="812" t="s">
        <v>8522</v>
      </c>
      <c r="S227" s="848"/>
      <c r="T227" s="820"/>
      <c r="U227" s="820"/>
      <c r="V227" s="814">
        <f>SUM(S225:U227)</f>
        <v>36000</v>
      </c>
      <c r="W227" s="815">
        <v>3</v>
      </c>
      <c r="X227" s="811" t="str">
        <f t="shared" si="19"/>
        <v>within the Province</v>
      </c>
      <c r="Y227" s="816">
        <v>3900</v>
      </c>
      <c r="AB227" s="814">
        <f>SUM(Y225:AA227)</f>
        <v>10400</v>
      </c>
      <c r="AC227" s="809" t="s">
        <v>8518</v>
      </c>
      <c r="AD227" s="824"/>
      <c r="AG227" s="807" t="str">
        <f t="shared" si="20"/>
        <v/>
      </c>
      <c r="AI227" s="817"/>
      <c r="AJ227" s="817"/>
      <c r="AK227" s="92"/>
      <c r="AM227" s="819"/>
      <c r="AN227" s="820"/>
      <c r="AQ227" s="93"/>
      <c r="AR227" s="93"/>
      <c r="AS227" s="93"/>
      <c r="AT227" s="93"/>
      <c r="AU227" s="93"/>
      <c r="AV227" s="93"/>
      <c r="AW227" s="93"/>
      <c r="AX227" s="93"/>
      <c r="AY227" s="93"/>
      <c r="AZ227" s="93"/>
      <c r="BA227" s="93"/>
      <c r="BB227" s="93"/>
      <c r="BL227" s="93"/>
      <c r="BM227" s="93"/>
      <c r="BT227" s="93"/>
      <c r="BU227" s="93"/>
      <c r="BV227" s="93"/>
      <c r="BW227" s="93"/>
      <c r="BX227" s="93"/>
      <c r="BY227" s="93"/>
      <c r="BZ227" s="93"/>
      <c r="CA227" s="93"/>
      <c r="CB227" s="93"/>
      <c r="CC227" s="93"/>
      <c r="CF227" s="93"/>
      <c r="CG227" s="93"/>
      <c r="CH227" s="93"/>
      <c r="CI227" s="93"/>
      <c r="CJ227" s="93"/>
      <c r="CK227" s="93"/>
      <c r="CL227" s="93"/>
      <c r="CM227" s="93"/>
      <c r="CN227" s="93"/>
      <c r="CO227" s="93"/>
      <c r="CP227" s="93"/>
      <c r="CQ227" s="93"/>
      <c r="CR227" s="93"/>
      <c r="CS227" s="93"/>
      <c r="CT227" s="93"/>
      <c r="CU227" s="93"/>
      <c r="CV227" s="93"/>
      <c r="CW227" s="93"/>
      <c r="CX227" s="93"/>
      <c r="CY227" s="93"/>
      <c r="CZ227" s="93"/>
      <c r="DA227" s="93"/>
      <c r="DB227" s="93"/>
      <c r="DC227" s="93"/>
      <c r="DD227" s="93"/>
      <c r="DE227" s="93"/>
      <c r="DF227" s="93"/>
      <c r="DG227" s="93"/>
      <c r="DH227" s="93"/>
      <c r="DI227" s="93"/>
      <c r="DJ227" s="93"/>
      <c r="DK227" s="93"/>
      <c r="DL227" s="93"/>
      <c r="DM227" s="93"/>
      <c r="DN227" s="93"/>
      <c r="DO227" s="93"/>
    </row>
    <row r="228" spans="1:119" ht="15">
      <c r="A228" s="1076"/>
      <c r="B228" s="6"/>
      <c r="C228" s="6"/>
      <c r="D228" s="1062" t="s">
        <v>175</v>
      </c>
      <c r="E228" s="807"/>
      <c r="F228" s="807"/>
      <c r="G228" s="809" t="s">
        <v>175</v>
      </c>
      <c r="H228" s="809" t="s">
        <v>2059</v>
      </c>
      <c r="I228" s="92">
        <v>50</v>
      </c>
      <c r="J228" s="92" t="s">
        <v>10</v>
      </c>
      <c r="K228" s="92" t="s">
        <v>707</v>
      </c>
      <c r="L228" s="810">
        <v>6</v>
      </c>
      <c r="M228" s="811" t="str">
        <f t="shared" si="18"/>
        <v>College Level</v>
      </c>
      <c r="N228" s="92" t="s">
        <v>1208</v>
      </c>
      <c r="O228" s="812" t="s">
        <v>8523</v>
      </c>
      <c r="P228" s="1638"/>
      <c r="Q228" s="812" t="s">
        <v>8523</v>
      </c>
      <c r="R228" s="92" t="s">
        <v>8234</v>
      </c>
      <c r="S228" s="848"/>
      <c r="T228" s="820">
        <f>PRODUCT(3000,24)</f>
        <v>72000</v>
      </c>
      <c r="U228" s="820"/>
      <c r="V228" s="828"/>
      <c r="W228" s="815">
        <v>1</v>
      </c>
      <c r="X228" s="811" t="str">
        <f t="shared" si="19"/>
        <v>within the Brgy</v>
      </c>
      <c r="Y228" s="816">
        <v>1000</v>
      </c>
      <c r="Z228" s="836"/>
      <c r="AB228" s="828"/>
      <c r="AC228" s="809" t="s">
        <v>2197</v>
      </c>
      <c r="AD228" s="824"/>
      <c r="AG228" s="807" t="str">
        <f t="shared" si="20"/>
        <v/>
      </c>
      <c r="AI228" s="817"/>
      <c r="AJ228" s="817"/>
      <c r="AK228" s="92"/>
      <c r="AM228" s="819"/>
      <c r="AN228" s="820"/>
      <c r="AQ228" s="93"/>
      <c r="AR228" s="93"/>
      <c r="AS228" s="93"/>
      <c r="AT228" s="93"/>
      <c r="AU228" s="93"/>
      <c r="AV228" s="93"/>
      <c r="AW228" s="93"/>
      <c r="AX228" s="93"/>
      <c r="AY228" s="93"/>
      <c r="AZ228" s="93"/>
      <c r="BA228" s="93"/>
      <c r="BB228" s="93"/>
      <c r="BL228" s="93"/>
      <c r="BM228" s="93"/>
      <c r="BT228" s="93"/>
      <c r="BU228" s="93"/>
      <c r="BV228" s="93"/>
      <c r="BW228" s="93"/>
      <c r="BX228" s="93"/>
      <c r="BY228" s="93"/>
      <c r="BZ228" s="93"/>
      <c r="CA228" s="93"/>
      <c r="CB228" s="93"/>
      <c r="CC228" s="93"/>
      <c r="CF228" s="93"/>
      <c r="CG228" s="93"/>
      <c r="CH228" s="93"/>
      <c r="CI228" s="93"/>
      <c r="CJ228" s="93"/>
      <c r="CK228" s="93"/>
      <c r="CL228" s="93"/>
      <c r="CM228" s="93"/>
      <c r="CN228" s="93"/>
      <c r="CO228" s="93"/>
      <c r="CP228" s="93"/>
      <c r="CQ228" s="93"/>
      <c r="CR228" s="93"/>
      <c r="CS228" s="93"/>
      <c r="CT228" s="93"/>
      <c r="CU228" s="93"/>
      <c r="CV228" s="93"/>
      <c r="CW228" s="93"/>
      <c r="CX228" s="93"/>
      <c r="CY228" s="93"/>
      <c r="CZ228" s="93"/>
      <c r="DA228" s="93"/>
      <c r="DB228" s="93"/>
      <c r="DC228" s="93"/>
      <c r="DD228" s="93"/>
      <c r="DE228" s="93"/>
      <c r="DF228" s="93"/>
      <c r="DG228" s="93"/>
      <c r="DH228" s="93"/>
      <c r="DI228" s="93"/>
      <c r="DJ228" s="93"/>
      <c r="DK228" s="93"/>
      <c r="DL228" s="93"/>
      <c r="DM228" s="93"/>
      <c r="DN228" s="93"/>
      <c r="DO228" s="93"/>
    </row>
    <row r="229" spans="1:119" ht="15">
      <c r="A229" s="1076"/>
      <c r="B229" s="6"/>
      <c r="C229" s="6"/>
      <c r="D229" s="1062"/>
      <c r="E229" s="807"/>
      <c r="F229" s="807"/>
      <c r="G229" s="827"/>
      <c r="H229" s="809" t="s">
        <v>8524</v>
      </c>
      <c r="I229" s="92">
        <v>32</v>
      </c>
      <c r="J229" s="92" t="s">
        <v>18</v>
      </c>
      <c r="K229" s="92" t="s">
        <v>707</v>
      </c>
      <c r="L229" s="810">
        <v>5</v>
      </c>
      <c r="M229" s="811" t="str">
        <f t="shared" si="18"/>
        <v>High School Graduate</v>
      </c>
      <c r="P229" s="1638"/>
      <c r="S229" s="848"/>
      <c r="T229" s="820"/>
      <c r="U229" s="820"/>
      <c r="V229" s="828"/>
      <c r="X229" s="811" t="str">
        <f t="shared" si="19"/>
        <v/>
      </c>
      <c r="AB229" s="828"/>
      <c r="AC229" s="809"/>
      <c r="AD229" s="824"/>
      <c r="AG229" s="807" t="str">
        <f t="shared" si="20"/>
        <v/>
      </c>
      <c r="AI229" s="817"/>
      <c r="AJ229" s="817"/>
      <c r="AK229" s="92"/>
      <c r="AM229" s="819"/>
      <c r="AN229" s="820"/>
      <c r="AQ229" s="93"/>
      <c r="AR229" s="93"/>
      <c r="AS229" s="93"/>
      <c r="AT229" s="93"/>
      <c r="AU229" s="93"/>
      <c r="AV229" s="93"/>
      <c r="AW229" s="93"/>
      <c r="AX229" s="93"/>
      <c r="AY229" s="93"/>
      <c r="AZ229" s="93"/>
      <c r="BA229" s="93"/>
      <c r="BB229" s="93"/>
      <c r="BL229" s="93"/>
      <c r="BM229" s="93"/>
      <c r="BT229" s="93"/>
      <c r="BU229" s="93"/>
      <c r="BV229" s="93"/>
      <c r="BW229" s="93"/>
      <c r="BX229" s="93"/>
      <c r="BY229" s="93"/>
      <c r="BZ229" s="93"/>
      <c r="CA229" s="93"/>
      <c r="CB229" s="93"/>
      <c r="CC229" s="93"/>
      <c r="CF229" s="93"/>
      <c r="CG229" s="93"/>
      <c r="CH229" s="93"/>
      <c r="CI229" s="93"/>
      <c r="CJ229" s="93"/>
      <c r="CK229" s="93"/>
      <c r="CL229" s="93"/>
      <c r="CM229" s="93"/>
      <c r="CN229" s="93"/>
      <c r="CO229" s="93"/>
      <c r="CP229" s="93"/>
      <c r="CQ229" s="93"/>
      <c r="CR229" s="93"/>
      <c r="CS229" s="93"/>
      <c r="CT229" s="93"/>
      <c r="CU229" s="93"/>
      <c r="CV229" s="93"/>
      <c r="CW229" s="93"/>
      <c r="CX229" s="93"/>
      <c r="CY229" s="93"/>
      <c r="CZ229" s="93"/>
      <c r="DA229" s="93"/>
      <c r="DB229" s="93"/>
      <c r="DC229" s="93"/>
      <c r="DD229" s="93"/>
      <c r="DE229" s="93"/>
      <c r="DF229" s="93"/>
      <c r="DG229" s="93"/>
      <c r="DH229" s="93"/>
      <c r="DI229" s="93"/>
      <c r="DJ229" s="93"/>
      <c r="DK229" s="93"/>
      <c r="DL229" s="93"/>
      <c r="DM229" s="93"/>
      <c r="DN229" s="93"/>
      <c r="DO229" s="93"/>
    </row>
    <row r="230" spans="1:119" ht="15">
      <c r="A230" s="1076"/>
      <c r="B230" s="6"/>
      <c r="C230" s="6"/>
      <c r="D230" s="1062"/>
      <c r="E230" s="807"/>
      <c r="F230" s="807"/>
      <c r="G230" s="827"/>
      <c r="H230" s="809" t="s">
        <v>8525</v>
      </c>
      <c r="I230" s="92">
        <v>80</v>
      </c>
      <c r="J230" s="92" t="s">
        <v>18</v>
      </c>
      <c r="K230" s="92" t="s">
        <v>707</v>
      </c>
      <c r="L230" s="810">
        <v>3</v>
      </c>
      <c r="M230" s="811" t="str">
        <f t="shared" si="18"/>
        <v>Elementary Graduate</v>
      </c>
      <c r="P230" s="1638"/>
      <c r="S230" s="848"/>
      <c r="T230" s="820"/>
      <c r="U230" s="820"/>
      <c r="V230" s="828"/>
      <c r="X230" s="811" t="str">
        <f t="shared" si="19"/>
        <v/>
      </c>
      <c r="AB230" s="828"/>
      <c r="AC230" s="809"/>
      <c r="AD230" s="817" t="s">
        <v>8526</v>
      </c>
      <c r="AG230" s="807" t="str">
        <f t="shared" si="20"/>
        <v/>
      </c>
      <c r="AI230" s="817"/>
      <c r="AJ230" s="817"/>
      <c r="AK230" s="92"/>
      <c r="AM230" s="819"/>
      <c r="AN230" s="820"/>
      <c r="AQ230" s="93"/>
      <c r="AR230" s="93"/>
      <c r="AS230" s="93"/>
      <c r="AT230" s="93"/>
      <c r="AU230" s="93"/>
      <c r="AV230" s="93"/>
      <c r="AW230" s="93"/>
      <c r="AX230" s="93"/>
      <c r="AY230" s="93"/>
      <c r="AZ230" s="93"/>
      <c r="BA230" s="93"/>
      <c r="BB230" s="93"/>
      <c r="BL230" s="93"/>
      <c r="BM230" s="93"/>
      <c r="BT230" s="93"/>
      <c r="BU230" s="93"/>
      <c r="BV230" s="93"/>
      <c r="BW230" s="93"/>
      <c r="BX230" s="93"/>
      <c r="BY230" s="93"/>
      <c r="BZ230" s="93"/>
      <c r="CA230" s="93"/>
      <c r="CB230" s="93"/>
      <c r="CC230" s="93"/>
      <c r="CF230" s="93"/>
      <c r="CG230" s="93"/>
      <c r="CH230" s="93"/>
      <c r="CI230" s="93"/>
      <c r="CJ230" s="93"/>
      <c r="CK230" s="93"/>
      <c r="CL230" s="93"/>
      <c r="CM230" s="93"/>
      <c r="CN230" s="93"/>
      <c r="CO230" s="93"/>
      <c r="CP230" s="93"/>
      <c r="CQ230" s="93"/>
      <c r="CR230" s="93"/>
      <c r="CS230" s="93"/>
      <c r="CT230" s="93"/>
      <c r="CU230" s="93"/>
      <c r="CV230" s="93"/>
      <c r="CW230" s="93"/>
      <c r="CX230" s="93"/>
      <c r="CY230" s="93"/>
      <c r="CZ230" s="93"/>
      <c r="DA230" s="93"/>
      <c r="DB230" s="93"/>
      <c r="DC230" s="93"/>
      <c r="DD230" s="93"/>
      <c r="DE230" s="93"/>
      <c r="DF230" s="93"/>
      <c r="DG230" s="93"/>
      <c r="DH230" s="93"/>
      <c r="DI230" s="93"/>
      <c r="DJ230" s="93"/>
      <c r="DK230" s="93"/>
      <c r="DL230" s="93"/>
      <c r="DM230" s="93"/>
      <c r="DN230" s="93"/>
      <c r="DO230" s="93"/>
    </row>
    <row r="231" spans="1:119" ht="15">
      <c r="A231" s="1076"/>
      <c r="B231" s="6"/>
      <c r="C231" s="6"/>
      <c r="D231" s="1062"/>
      <c r="E231" s="807"/>
      <c r="F231" s="807"/>
      <c r="G231" s="827"/>
      <c r="H231" s="809" t="s">
        <v>8527</v>
      </c>
      <c r="I231" s="92">
        <v>3</v>
      </c>
      <c r="J231" s="92" t="s">
        <v>10</v>
      </c>
      <c r="K231" s="92" t="s">
        <v>768</v>
      </c>
      <c r="L231" s="810">
        <v>10</v>
      </c>
      <c r="M231" s="811" t="str">
        <f t="shared" si="18"/>
        <v>Not In School Age</v>
      </c>
      <c r="P231" s="1638"/>
      <c r="S231" s="848"/>
      <c r="T231" s="820"/>
      <c r="U231" s="820"/>
      <c r="V231" s="828"/>
      <c r="X231" s="811" t="str">
        <f t="shared" si="19"/>
        <v/>
      </c>
      <c r="AB231" s="828"/>
      <c r="AC231" s="809"/>
      <c r="AD231" s="824"/>
      <c r="AG231" s="807" t="str">
        <f t="shared" si="20"/>
        <v/>
      </c>
      <c r="AI231" s="817"/>
      <c r="AJ231" s="817"/>
      <c r="AK231" s="92"/>
      <c r="AM231" s="819"/>
      <c r="AN231" s="820"/>
      <c r="AQ231" s="93"/>
      <c r="AR231" s="93"/>
      <c r="AS231" s="93"/>
      <c r="AT231" s="93"/>
      <c r="AU231" s="93"/>
      <c r="AV231" s="93"/>
      <c r="AW231" s="93"/>
      <c r="AX231" s="93"/>
      <c r="AY231" s="93"/>
      <c r="AZ231" s="93"/>
      <c r="BA231" s="93"/>
      <c r="BB231" s="93"/>
      <c r="BL231" s="93"/>
      <c r="BM231" s="93"/>
      <c r="BT231" s="93"/>
      <c r="BU231" s="93"/>
      <c r="BV231" s="93"/>
      <c r="BW231" s="93"/>
      <c r="BX231" s="93"/>
      <c r="BY231" s="93"/>
      <c r="BZ231" s="93"/>
      <c r="CA231" s="93"/>
      <c r="CB231" s="93"/>
      <c r="CC231" s="93"/>
      <c r="CF231" s="93"/>
      <c r="CG231" s="93"/>
      <c r="CH231" s="93"/>
      <c r="CI231" s="93"/>
      <c r="CJ231" s="93"/>
      <c r="CK231" s="93"/>
      <c r="CL231" s="93"/>
      <c r="CM231" s="93"/>
      <c r="CN231" s="93"/>
      <c r="CO231" s="93"/>
      <c r="CP231" s="93"/>
      <c r="CQ231" s="93"/>
      <c r="CR231" s="93"/>
      <c r="CS231" s="93"/>
      <c r="CT231" s="93"/>
      <c r="CU231" s="93"/>
      <c r="CV231" s="93"/>
      <c r="CW231" s="93"/>
      <c r="CX231" s="93"/>
      <c r="CY231" s="93"/>
      <c r="CZ231" s="93"/>
      <c r="DA231" s="93"/>
      <c r="DB231" s="93"/>
      <c r="DC231" s="93"/>
      <c r="DD231" s="93"/>
      <c r="DE231" s="93"/>
      <c r="DF231" s="93"/>
      <c r="DG231" s="93"/>
      <c r="DH231" s="93"/>
      <c r="DI231" s="93"/>
      <c r="DJ231" s="93"/>
      <c r="DK231" s="93"/>
      <c r="DL231" s="93"/>
      <c r="DM231" s="93"/>
      <c r="DN231" s="93"/>
      <c r="DO231" s="93"/>
    </row>
    <row r="232" spans="1:119" ht="15">
      <c r="A232" s="1076"/>
      <c r="B232" s="6"/>
      <c r="C232" s="6"/>
      <c r="D232" s="1062"/>
      <c r="E232" s="807"/>
      <c r="F232" s="807"/>
      <c r="G232" s="827"/>
      <c r="H232" s="809" t="s">
        <v>8528</v>
      </c>
      <c r="I232" s="92">
        <v>6</v>
      </c>
      <c r="J232" s="92" t="s">
        <v>10</v>
      </c>
      <c r="K232" s="92" t="s">
        <v>768</v>
      </c>
      <c r="L232" s="810">
        <v>1</v>
      </c>
      <c r="M232" s="811" t="str">
        <f t="shared" si="18"/>
        <v>Pre-school</v>
      </c>
      <c r="P232" s="1638"/>
      <c r="S232" s="848"/>
      <c r="T232" s="820"/>
      <c r="U232" s="820"/>
      <c r="V232" s="828"/>
      <c r="X232" s="811" t="str">
        <f t="shared" si="19"/>
        <v/>
      </c>
      <c r="AB232" s="828"/>
      <c r="AC232" s="809"/>
      <c r="AD232" s="824"/>
      <c r="AG232" s="807" t="str">
        <f t="shared" si="20"/>
        <v/>
      </c>
      <c r="AI232" s="817"/>
      <c r="AJ232" s="817"/>
      <c r="AK232" s="92"/>
      <c r="AM232" s="819"/>
      <c r="AN232" s="820"/>
      <c r="AQ232" s="93"/>
      <c r="AR232" s="93"/>
      <c r="AS232" s="93"/>
      <c r="AT232" s="93"/>
      <c r="AU232" s="93"/>
      <c r="AV232" s="93"/>
      <c r="AW232" s="93"/>
      <c r="AX232" s="93"/>
      <c r="AY232" s="93"/>
      <c r="AZ232" s="93"/>
      <c r="BA232" s="93"/>
      <c r="BB232" s="93"/>
      <c r="BL232" s="93"/>
      <c r="BM232" s="93"/>
      <c r="BT232" s="93"/>
      <c r="BU232" s="93"/>
      <c r="BV232" s="93"/>
      <c r="BW232" s="93"/>
      <c r="BX232" s="93"/>
      <c r="BY232" s="93"/>
      <c r="BZ232" s="93"/>
      <c r="CA232" s="93"/>
      <c r="CB232" s="93"/>
      <c r="CC232" s="93"/>
      <c r="CF232" s="93"/>
      <c r="CG232" s="93"/>
      <c r="CH232" s="93"/>
      <c r="CI232" s="93"/>
      <c r="CJ232" s="93"/>
      <c r="CK232" s="93"/>
      <c r="CL232" s="93"/>
      <c r="CM232" s="93"/>
      <c r="CN232" s="93"/>
      <c r="CO232" s="93"/>
      <c r="CP232" s="93"/>
      <c r="CQ232" s="93"/>
      <c r="CR232" s="93"/>
      <c r="CS232" s="93"/>
      <c r="CT232" s="93"/>
      <c r="CU232" s="93"/>
      <c r="CV232" s="93"/>
      <c r="CW232" s="93"/>
      <c r="CX232" s="93"/>
      <c r="CY232" s="93"/>
      <c r="CZ232" s="93"/>
      <c r="DA232" s="93"/>
      <c r="DB232" s="93"/>
      <c r="DC232" s="93"/>
      <c r="DD232" s="93"/>
      <c r="DE232" s="93"/>
      <c r="DF232" s="93"/>
      <c r="DG232" s="93"/>
      <c r="DH232" s="93"/>
      <c r="DI232" s="93"/>
      <c r="DJ232" s="93"/>
      <c r="DK232" s="93"/>
      <c r="DL232" s="93"/>
      <c r="DM232" s="93"/>
      <c r="DN232" s="93"/>
      <c r="DO232" s="93"/>
    </row>
    <row r="233" spans="1:119" ht="15">
      <c r="A233" s="1076"/>
      <c r="B233" s="6"/>
      <c r="C233" s="6"/>
      <c r="D233" s="1062"/>
      <c r="E233" s="807"/>
      <c r="F233" s="807"/>
      <c r="G233" s="827"/>
      <c r="H233" s="809" t="s">
        <v>8529</v>
      </c>
      <c r="I233" s="92" t="s">
        <v>8530</v>
      </c>
      <c r="J233" s="92" t="s">
        <v>18</v>
      </c>
      <c r="K233" s="92" t="s">
        <v>768</v>
      </c>
      <c r="L233" s="810">
        <v>10</v>
      </c>
      <c r="M233" s="811" t="str">
        <f t="shared" si="18"/>
        <v>Not In School Age</v>
      </c>
      <c r="P233" s="1638"/>
      <c r="S233" s="848"/>
      <c r="T233" s="820"/>
      <c r="U233" s="820"/>
      <c r="V233" s="828">
        <f>SUM(S228:U233)</f>
        <v>72000</v>
      </c>
      <c r="X233" s="811" t="str">
        <f t="shared" si="19"/>
        <v/>
      </c>
      <c r="AB233" s="828">
        <f>SUM(Y228:AA233)</f>
        <v>1000</v>
      </c>
      <c r="AC233" s="809"/>
      <c r="AD233" s="824"/>
      <c r="AG233" s="807" t="str">
        <f t="shared" si="20"/>
        <v/>
      </c>
      <c r="AI233" s="817"/>
      <c r="AJ233" s="817"/>
      <c r="AK233" s="92"/>
      <c r="AM233" s="819"/>
      <c r="AN233" s="820"/>
      <c r="AQ233" s="93"/>
      <c r="AR233" s="93"/>
      <c r="AS233" s="93"/>
      <c r="AT233" s="93"/>
      <c r="AU233" s="93"/>
      <c r="AV233" s="93"/>
      <c r="AW233" s="93"/>
      <c r="AX233" s="93"/>
      <c r="AY233" s="93"/>
      <c r="AZ233" s="93"/>
      <c r="BA233" s="93"/>
      <c r="BB233" s="93"/>
      <c r="BL233" s="93"/>
      <c r="BM233" s="93"/>
      <c r="BT233" s="93"/>
      <c r="BU233" s="93"/>
      <c r="BV233" s="93"/>
      <c r="BW233" s="93"/>
      <c r="BX233" s="93"/>
      <c r="BY233" s="93"/>
      <c r="BZ233" s="93"/>
      <c r="CA233" s="93"/>
      <c r="CB233" s="93"/>
      <c r="CC233" s="93"/>
      <c r="CF233" s="93"/>
      <c r="CG233" s="93"/>
      <c r="CH233" s="93"/>
      <c r="CI233" s="93"/>
      <c r="CJ233" s="93"/>
      <c r="CK233" s="93"/>
      <c r="CL233" s="93"/>
      <c r="CM233" s="93"/>
      <c r="CN233" s="93"/>
      <c r="CO233" s="93"/>
      <c r="CP233" s="93"/>
      <c r="CQ233" s="93"/>
      <c r="CR233" s="93"/>
      <c r="CS233" s="93"/>
      <c r="CT233" s="93"/>
      <c r="CU233" s="93"/>
      <c r="CV233" s="93"/>
      <c r="CW233" s="93"/>
      <c r="CX233" s="93"/>
      <c r="CY233" s="93"/>
      <c r="CZ233" s="93"/>
      <c r="DA233" s="93"/>
      <c r="DB233" s="93"/>
      <c r="DC233" s="93"/>
      <c r="DD233" s="93"/>
      <c r="DE233" s="93"/>
      <c r="DF233" s="93"/>
      <c r="DG233" s="93"/>
      <c r="DH233" s="93"/>
      <c r="DI233" s="93"/>
      <c r="DJ233" s="93"/>
      <c r="DK233" s="93"/>
      <c r="DL233" s="93"/>
      <c r="DM233" s="93"/>
      <c r="DN233" s="93"/>
      <c r="DO233" s="93"/>
    </row>
    <row r="234" spans="1:119" ht="15">
      <c r="A234" s="1076"/>
      <c r="B234" s="6"/>
      <c r="C234" s="6"/>
      <c r="D234" s="1062" t="s">
        <v>184</v>
      </c>
      <c r="E234" s="807"/>
      <c r="F234" s="807"/>
      <c r="G234" s="809" t="s">
        <v>184</v>
      </c>
      <c r="H234" s="809" t="s">
        <v>8531</v>
      </c>
      <c r="I234" s="92">
        <v>37</v>
      </c>
      <c r="J234" s="92" t="s">
        <v>10</v>
      </c>
      <c r="K234" s="92" t="s">
        <v>722</v>
      </c>
      <c r="L234" s="810">
        <v>5</v>
      </c>
      <c r="M234" s="811" t="str">
        <f t="shared" si="18"/>
        <v>High School Graduate</v>
      </c>
      <c r="N234" s="92" t="s">
        <v>1208</v>
      </c>
      <c r="O234" s="92" t="s">
        <v>8532</v>
      </c>
      <c r="P234" s="1638"/>
      <c r="Q234" s="92" t="s">
        <v>8532</v>
      </c>
      <c r="R234" s="92" t="s">
        <v>8234</v>
      </c>
      <c r="S234" s="848">
        <f>PRODUCT(28,400)</f>
        <v>11200</v>
      </c>
      <c r="V234" s="830"/>
      <c r="W234" s="815">
        <v>4</v>
      </c>
      <c r="X234" s="811" t="str">
        <f t="shared" si="19"/>
        <v>Other Province</v>
      </c>
      <c r="Y234" s="816">
        <v>4200</v>
      </c>
      <c r="Z234" s="836"/>
      <c r="AB234" s="830"/>
      <c r="AC234" s="809"/>
      <c r="AD234" s="824"/>
      <c r="AG234" s="807" t="str">
        <f t="shared" si="20"/>
        <v/>
      </c>
      <c r="AH234" s="807"/>
      <c r="AI234" s="807"/>
      <c r="AJ234" s="807"/>
      <c r="AK234" s="92"/>
      <c r="AM234" s="819"/>
      <c r="AN234" s="820"/>
      <c r="AQ234" s="93"/>
      <c r="AR234" s="93"/>
      <c r="AS234" s="93"/>
      <c r="AT234" s="93"/>
      <c r="AU234" s="93"/>
      <c r="AV234" s="93"/>
      <c r="AW234" s="93"/>
      <c r="AX234" s="93"/>
      <c r="AY234" s="93"/>
      <c r="AZ234" s="93"/>
      <c r="BA234" s="93"/>
      <c r="BB234" s="93"/>
      <c r="BL234" s="93"/>
      <c r="BM234" s="93"/>
      <c r="BT234" s="93"/>
      <c r="BU234" s="93"/>
      <c r="BV234" s="93"/>
      <c r="BW234" s="93"/>
      <c r="BX234" s="93"/>
      <c r="BY234" s="93"/>
      <c r="BZ234" s="93"/>
      <c r="CA234" s="93"/>
      <c r="CB234" s="93"/>
      <c r="CC234" s="93"/>
      <c r="CF234" s="93"/>
      <c r="CG234" s="93"/>
      <c r="CH234" s="93"/>
      <c r="CI234" s="93"/>
      <c r="CJ234" s="93"/>
      <c r="CK234" s="93"/>
      <c r="CL234" s="93"/>
      <c r="CM234" s="93"/>
      <c r="CN234" s="93"/>
      <c r="CO234" s="93"/>
      <c r="CP234" s="93"/>
      <c r="CQ234" s="93"/>
      <c r="CR234" s="93"/>
      <c r="CS234" s="93"/>
      <c r="CT234" s="93"/>
      <c r="CU234" s="93"/>
      <c r="CV234" s="93"/>
      <c r="CW234" s="93"/>
      <c r="CX234" s="93"/>
      <c r="CY234" s="93"/>
      <c r="CZ234" s="93"/>
      <c r="DA234" s="93"/>
      <c r="DB234" s="93"/>
      <c r="DC234" s="93"/>
      <c r="DD234" s="93"/>
      <c r="DE234" s="93"/>
      <c r="DF234" s="93"/>
      <c r="DG234" s="93"/>
      <c r="DH234" s="93"/>
      <c r="DI234" s="93"/>
      <c r="DJ234" s="93"/>
      <c r="DK234" s="93"/>
      <c r="DL234" s="93"/>
      <c r="DM234" s="93"/>
      <c r="DN234" s="93"/>
      <c r="DO234" s="93"/>
    </row>
    <row r="235" spans="1:119" ht="15">
      <c r="A235" s="1076"/>
      <c r="B235" s="6"/>
      <c r="C235" s="6"/>
      <c r="D235" s="1062"/>
      <c r="E235" s="807"/>
      <c r="F235" s="807"/>
      <c r="G235" s="827"/>
      <c r="H235" s="809" t="s">
        <v>185</v>
      </c>
      <c r="I235" s="92">
        <v>36</v>
      </c>
      <c r="J235" s="92" t="s">
        <v>18</v>
      </c>
      <c r="K235" s="92" t="s">
        <v>722</v>
      </c>
      <c r="L235" s="810">
        <v>5</v>
      </c>
      <c r="M235" s="811" t="str">
        <f t="shared" si="18"/>
        <v>High School Graduate</v>
      </c>
      <c r="P235" s="1638"/>
      <c r="S235" s="848"/>
      <c r="V235" s="830"/>
      <c r="X235" s="811" t="str">
        <f t="shared" ref="X235:X266" si="21">IF(ISBLANK(W235)=TRUE,"",LOOKUP(W235,GO:GP))</f>
        <v/>
      </c>
      <c r="AB235" s="830"/>
      <c r="AC235" s="809"/>
      <c r="AD235" s="824"/>
      <c r="AG235" s="807" t="str">
        <f t="shared" si="20"/>
        <v/>
      </c>
      <c r="AH235" s="807"/>
      <c r="AI235" s="807"/>
      <c r="AJ235" s="807"/>
      <c r="AK235" s="92"/>
      <c r="AM235" s="819"/>
      <c r="AN235" s="820"/>
      <c r="AQ235" s="93"/>
      <c r="AR235" s="93"/>
      <c r="AS235" s="93"/>
      <c r="AT235" s="93"/>
      <c r="AU235" s="93"/>
      <c r="AV235" s="93"/>
      <c r="AW235" s="93"/>
      <c r="AX235" s="93"/>
      <c r="AY235" s="93"/>
      <c r="AZ235" s="93"/>
      <c r="BA235" s="93"/>
      <c r="BB235" s="93"/>
      <c r="BL235" s="93"/>
      <c r="BM235" s="93"/>
      <c r="BT235" s="93"/>
      <c r="BU235" s="93"/>
      <c r="BV235" s="93"/>
      <c r="BW235" s="93"/>
      <c r="BX235" s="93"/>
      <c r="BY235" s="93"/>
      <c r="BZ235" s="93"/>
      <c r="CA235" s="93"/>
      <c r="CB235" s="93"/>
      <c r="CC235" s="93"/>
      <c r="CF235" s="93"/>
      <c r="CG235" s="93"/>
      <c r="CH235" s="93"/>
      <c r="CI235" s="93"/>
      <c r="CJ235" s="93"/>
      <c r="CK235" s="93"/>
      <c r="CL235" s="93"/>
      <c r="CM235" s="93"/>
      <c r="CN235" s="93"/>
      <c r="CO235" s="93"/>
      <c r="CP235" s="93"/>
      <c r="CQ235" s="93"/>
      <c r="CR235" s="93"/>
      <c r="CS235" s="93"/>
      <c r="CT235" s="93"/>
      <c r="CU235" s="93"/>
      <c r="CV235" s="93"/>
      <c r="CW235" s="93"/>
      <c r="CX235" s="93"/>
      <c r="CY235" s="93"/>
      <c r="CZ235" s="93"/>
      <c r="DA235" s="93"/>
      <c r="DB235" s="93"/>
      <c r="DC235" s="93"/>
      <c r="DD235" s="93"/>
      <c r="DE235" s="93"/>
      <c r="DF235" s="93"/>
      <c r="DG235" s="93"/>
      <c r="DH235" s="93"/>
      <c r="DI235" s="93"/>
      <c r="DJ235" s="93"/>
      <c r="DK235" s="93"/>
      <c r="DL235" s="93"/>
      <c r="DM235" s="93"/>
      <c r="DN235" s="93"/>
      <c r="DO235" s="93"/>
    </row>
    <row r="236" spans="1:119" ht="15">
      <c r="A236" s="1076"/>
      <c r="B236" s="6"/>
      <c r="C236" s="6"/>
      <c r="D236" s="1062"/>
      <c r="E236" s="807"/>
      <c r="F236" s="807"/>
      <c r="G236" s="827"/>
      <c r="H236" s="809" t="s">
        <v>8533</v>
      </c>
      <c r="I236" s="92">
        <v>18</v>
      </c>
      <c r="J236" s="92" t="s">
        <v>18</v>
      </c>
      <c r="K236" s="92" t="s">
        <v>768</v>
      </c>
      <c r="L236" s="810">
        <v>6</v>
      </c>
      <c r="M236" s="811" t="str">
        <f t="shared" si="18"/>
        <v>College Level</v>
      </c>
      <c r="P236" s="1638"/>
      <c r="S236" s="848"/>
      <c r="V236" s="830"/>
      <c r="X236" s="811" t="str">
        <f t="shared" si="21"/>
        <v/>
      </c>
      <c r="AB236" s="830"/>
      <c r="AC236" s="809"/>
      <c r="AD236" s="824"/>
      <c r="AG236" s="807" t="str">
        <f t="shared" si="20"/>
        <v/>
      </c>
      <c r="AH236" s="807"/>
      <c r="AI236" s="807"/>
      <c r="AJ236" s="807"/>
      <c r="AK236" s="92"/>
      <c r="AM236" s="819"/>
      <c r="AN236" s="820"/>
      <c r="AQ236" s="93"/>
      <c r="AR236" s="93"/>
      <c r="AS236" s="93"/>
      <c r="AT236" s="93"/>
      <c r="AU236" s="93"/>
      <c r="AV236" s="93"/>
      <c r="AW236" s="93"/>
      <c r="AX236" s="93"/>
      <c r="AY236" s="93"/>
      <c r="AZ236" s="93"/>
      <c r="BA236" s="93"/>
      <c r="BB236" s="93"/>
      <c r="BL236" s="93"/>
      <c r="BM236" s="93"/>
      <c r="BT236" s="93"/>
      <c r="BU236" s="93"/>
      <c r="BV236" s="93"/>
      <c r="BW236" s="93"/>
      <c r="BX236" s="93"/>
      <c r="BY236" s="93"/>
      <c r="BZ236" s="93"/>
      <c r="CA236" s="93"/>
      <c r="CB236" s="93"/>
      <c r="CC236" s="93"/>
      <c r="CF236" s="93"/>
      <c r="CG236" s="93"/>
      <c r="CH236" s="93"/>
      <c r="CI236" s="93"/>
      <c r="CJ236" s="93"/>
      <c r="CK236" s="93"/>
      <c r="CL236" s="93"/>
      <c r="CM236" s="93"/>
      <c r="CN236" s="93"/>
      <c r="CO236" s="93"/>
      <c r="CP236" s="93"/>
      <c r="CQ236" s="93"/>
      <c r="CR236" s="93"/>
      <c r="CS236" s="93"/>
      <c r="CT236" s="93"/>
      <c r="CU236" s="93"/>
      <c r="CV236" s="93"/>
      <c r="CW236" s="93"/>
      <c r="CX236" s="93"/>
      <c r="CY236" s="93"/>
      <c r="CZ236" s="93"/>
      <c r="DA236" s="93"/>
      <c r="DB236" s="93"/>
      <c r="DC236" s="93"/>
      <c r="DD236" s="93"/>
      <c r="DE236" s="93"/>
      <c r="DF236" s="93"/>
      <c r="DG236" s="93"/>
      <c r="DH236" s="93"/>
      <c r="DI236" s="93"/>
      <c r="DJ236" s="93"/>
      <c r="DK236" s="93"/>
      <c r="DL236" s="93"/>
      <c r="DM236" s="93"/>
      <c r="DN236" s="93"/>
      <c r="DO236" s="93"/>
    </row>
    <row r="237" spans="1:119" ht="15">
      <c r="A237" s="1076"/>
      <c r="B237" s="6"/>
      <c r="C237" s="6"/>
      <c r="D237" s="1062"/>
      <c r="E237" s="807"/>
      <c r="F237" s="807"/>
      <c r="G237" s="827"/>
      <c r="H237" s="809" t="s">
        <v>8534</v>
      </c>
      <c r="I237" s="92">
        <v>10</v>
      </c>
      <c r="J237" s="92" t="s">
        <v>18</v>
      </c>
      <c r="K237" s="92" t="s">
        <v>768</v>
      </c>
      <c r="L237" s="810">
        <v>2</v>
      </c>
      <c r="M237" s="811" t="str">
        <f t="shared" si="18"/>
        <v>Elementary Level</v>
      </c>
      <c r="O237" s="92"/>
      <c r="P237" s="1638"/>
      <c r="Q237" s="92"/>
      <c r="R237" s="92"/>
      <c r="S237" s="848"/>
      <c r="V237" s="830">
        <f>SUM(S234:U237)</f>
        <v>11200</v>
      </c>
      <c r="X237" s="811" t="str">
        <f t="shared" si="21"/>
        <v/>
      </c>
      <c r="AB237" s="830">
        <f>SUM(Y234:AA237)</f>
        <v>4200</v>
      </c>
      <c r="AC237" s="809"/>
      <c r="AD237" s="824"/>
      <c r="AG237" s="807" t="str">
        <f t="shared" si="20"/>
        <v/>
      </c>
      <c r="AH237" s="807"/>
      <c r="AI237" s="807"/>
      <c r="AJ237" s="807"/>
      <c r="AK237" s="92"/>
      <c r="AM237" s="819"/>
      <c r="AN237" s="820"/>
      <c r="AQ237" s="93"/>
      <c r="AR237" s="93"/>
      <c r="AS237" s="93"/>
      <c r="AT237" s="93"/>
      <c r="AU237" s="93"/>
      <c r="AV237" s="93"/>
      <c r="AW237" s="93"/>
      <c r="AX237" s="93"/>
      <c r="AY237" s="93"/>
      <c r="AZ237" s="93"/>
      <c r="BA237" s="93"/>
      <c r="BB237" s="93"/>
      <c r="BL237" s="93"/>
      <c r="BM237" s="93"/>
      <c r="BT237" s="93"/>
      <c r="BU237" s="93"/>
      <c r="BV237" s="93"/>
      <c r="BW237" s="93"/>
      <c r="BX237" s="93"/>
      <c r="BY237" s="93"/>
      <c r="BZ237" s="93"/>
      <c r="CA237" s="93"/>
      <c r="CB237" s="93"/>
      <c r="CC237" s="93"/>
      <c r="CF237" s="93"/>
      <c r="CG237" s="93"/>
      <c r="CH237" s="93"/>
      <c r="CI237" s="93"/>
      <c r="CJ237" s="93"/>
      <c r="CK237" s="93"/>
      <c r="CL237" s="93"/>
      <c r="CM237" s="93"/>
      <c r="CN237" s="93"/>
      <c r="CO237" s="93"/>
      <c r="CP237" s="93"/>
      <c r="CQ237" s="93"/>
      <c r="CR237" s="93"/>
      <c r="CS237" s="93"/>
      <c r="CT237" s="93"/>
      <c r="CU237" s="93"/>
      <c r="CV237" s="93"/>
      <c r="CW237" s="93"/>
      <c r="CX237" s="93"/>
      <c r="CY237" s="93"/>
      <c r="CZ237" s="93"/>
      <c r="DA237" s="93"/>
      <c r="DB237" s="93"/>
      <c r="DC237" s="93"/>
      <c r="DD237" s="93"/>
      <c r="DE237" s="93"/>
      <c r="DF237" s="93"/>
      <c r="DG237" s="93"/>
      <c r="DH237" s="93"/>
      <c r="DI237" s="93"/>
      <c r="DJ237" s="93"/>
      <c r="DK237" s="93"/>
      <c r="DL237" s="93"/>
      <c r="DM237" s="93"/>
      <c r="DN237" s="93"/>
      <c r="DO237" s="93"/>
    </row>
    <row r="238" spans="1:119" ht="15">
      <c r="A238" s="1076"/>
      <c r="B238" s="6"/>
      <c r="C238" s="6"/>
      <c r="D238" s="1062" t="s">
        <v>8535</v>
      </c>
      <c r="E238" s="807"/>
      <c r="F238" s="807"/>
      <c r="G238" s="809" t="s">
        <v>8535</v>
      </c>
      <c r="H238" s="809" t="s">
        <v>2060</v>
      </c>
      <c r="I238" s="92">
        <v>53</v>
      </c>
      <c r="J238" s="92" t="s">
        <v>10</v>
      </c>
      <c r="K238" s="92" t="s">
        <v>707</v>
      </c>
      <c r="L238" s="810">
        <v>5</v>
      </c>
      <c r="M238" s="811" t="str">
        <f t="shared" si="18"/>
        <v>High School Graduate</v>
      </c>
      <c r="N238" s="92" t="s">
        <v>1208</v>
      </c>
      <c r="O238" s="92" t="s">
        <v>8536</v>
      </c>
      <c r="P238" s="1638"/>
      <c r="Q238" s="92" t="s">
        <v>8536</v>
      </c>
      <c r="R238" s="92" t="s">
        <v>8234</v>
      </c>
      <c r="S238" s="848"/>
      <c r="T238" s="813">
        <v>10000</v>
      </c>
      <c r="W238" s="815">
        <v>1</v>
      </c>
      <c r="X238" s="811" t="str">
        <f t="shared" si="21"/>
        <v>within the Brgy</v>
      </c>
      <c r="Y238" s="816">
        <v>1500</v>
      </c>
      <c r="Z238" s="836"/>
      <c r="AB238" s="814"/>
      <c r="AC238" s="809"/>
      <c r="AD238" s="824"/>
      <c r="AG238" s="807" t="str">
        <f t="shared" si="20"/>
        <v/>
      </c>
      <c r="AH238" s="807"/>
      <c r="AI238" s="807"/>
      <c r="AJ238" s="807"/>
      <c r="AK238" s="92"/>
      <c r="AM238" s="819"/>
      <c r="AN238" s="820"/>
      <c r="AQ238" s="93"/>
      <c r="AR238" s="93"/>
      <c r="AS238" s="93"/>
      <c r="AT238" s="93"/>
      <c r="AU238" s="93"/>
      <c r="AV238" s="93"/>
      <c r="AW238" s="93"/>
      <c r="AX238" s="93"/>
      <c r="AY238" s="93"/>
      <c r="AZ238" s="93"/>
      <c r="BA238" s="93"/>
      <c r="BB238" s="93"/>
      <c r="BL238" s="93"/>
      <c r="BM238" s="93"/>
      <c r="BT238" s="93"/>
      <c r="BU238" s="93"/>
      <c r="BV238" s="93"/>
      <c r="BW238" s="93"/>
      <c r="BX238" s="93"/>
      <c r="BY238" s="93"/>
      <c r="BZ238" s="93"/>
      <c r="CA238" s="93"/>
      <c r="CB238" s="93"/>
      <c r="CC238" s="93"/>
      <c r="CF238" s="93"/>
      <c r="CG238" s="93"/>
      <c r="CH238" s="93"/>
      <c r="CI238" s="93"/>
      <c r="CJ238" s="93"/>
      <c r="CK238" s="93"/>
      <c r="CL238" s="93"/>
      <c r="CM238" s="93"/>
      <c r="CN238" s="93"/>
      <c r="CO238" s="93"/>
      <c r="CP238" s="93"/>
      <c r="CQ238" s="93"/>
      <c r="CR238" s="93"/>
      <c r="CS238" s="93"/>
      <c r="CT238" s="93"/>
      <c r="CU238" s="93"/>
      <c r="CV238" s="93"/>
      <c r="CW238" s="93"/>
      <c r="CX238" s="93"/>
      <c r="CY238" s="93"/>
      <c r="CZ238" s="93"/>
      <c r="DA238" s="93"/>
      <c r="DB238" s="93"/>
      <c r="DC238" s="93"/>
      <c r="DD238" s="93"/>
      <c r="DE238" s="93"/>
      <c r="DF238" s="93"/>
      <c r="DG238" s="93"/>
      <c r="DH238" s="93"/>
      <c r="DI238" s="93"/>
      <c r="DJ238" s="93"/>
      <c r="DK238" s="93"/>
      <c r="DL238" s="93"/>
      <c r="DM238" s="93"/>
      <c r="DN238" s="93"/>
      <c r="DO238" s="93"/>
    </row>
    <row r="239" spans="1:119" ht="15">
      <c r="A239" s="1076"/>
      <c r="B239" s="6"/>
      <c r="C239" s="6"/>
      <c r="D239" s="1062"/>
      <c r="E239" s="807"/>
      <c r="F239" s="807"/>
      <c r="G239" s="827"/>
      <c r="H239" s="809" t="s">
        <v>2156</v>
      </c>
      <c r="I239" s="92">
        <v>52</v>
      </c>
      <c r="J239" s="92" t="s">
        <v>18</v>
      </c>
      <c r="K239" s="92" t="s">
        <v>707</v>
      </c>
      <c r="L239" s="810">
        <v>8</v>
      </c>
      <c r="M239" s="811" t="str">
        <f t="shared" si="18"/>
        <v>Vocational Level</v>
      </c>
      <c r="N239" s="92" t="s">
        <v>1208</v>
      </c>
      <c r="O239" s="92" t="s">
        <v>8537</v>
      </c>
      <c r="P239" s="1638"/>
      <c r="Q239" s="92" t="s">
        <v>8537</v>
      </c>
      <c r="R239" s="92"/>
      <c r="S239" s="848"/>
      <c r="T239" s="813">
        <v>10000</v>
      </c>
      <c r="W239" s="815">
        <v>1</v>
      </c>
      <c r="X239" s="811" t="str">
        <f t="shared" si="21"/>
        <v>within the Brgy</v>
      </c>
      <c r="Y239" s="816">
        <v>1500</v>
      </c>
      <c r="AB239" s="814"/>
      <c r="AC239" s="809"/>
      <c r="AD239" s="824"/>
      <c r="AG239" s="807" t="str">
        <f t="shared" si="20"/>
        <v/>
      </c>
      <c r="AH239" s="807"/>
      <c r="AI239" s="807"/>
      <c r="AJ239" s="807"/>
      <c r="AK239" s="92"/>
      <c r="AM239" s="819"/>
      <c r="AN239" s="820"/>
      <c r="AQ239" s="93"/>
      <c r="AR239" s="93"/>
      <c r="AS239" s="93"/>
      <c r="AT239" s="93"/>
      <c r="AU239" s="93"/>
      <c r="AV239" s="93"/>
      <c r="AW239" s="93"/>
      <c r="AX239" s="93"/>
      <c r="AY239" s="93"/>
      <c r="AZ239" s="93"/>
      <c r="BA239" s="93"/>
      <c r="BB239" s="93"/>
      <c r="BL239" s="93"/>
      <c r="BM239" s="93"/>
      <c r="BT239" s="93"/>
      <c r="BU239" s="93"/>
      <c r="BV239" s="93"/>
      <c r="BW239" s="93"/>
      <c r="BX239" s="93"/>
      <c r="BY239" s="93"/>
      <c r="BZ239" s="93"/>
      <c r="CA239" s="93"/>
      <c r="CB239" s="93"/>
      <c r="CC239" s="93"/>
      <c r="CF239" s="93"/>
      <c r="CG239" s="93"/>
      <c r="CH239" s="93"/>
      <c r="CI239" s="93"/>
      <c r="CJ239" s="93"/>
      <c r="CK239" s="93"/>
      <c r="CL239" s="93"/>
      <c r="CM239" s="93"/>
      <c r="CN239" s="93"/>
      <c r="CO239" s="93"/>
      <c r="CP239" s="93"/>
      <c r="CQ239" s="93"/>
      <c r="CR239" s="93"/>
      <c r="CS239" s="93"/>
      <c r="CT239" s="93"/>
      <c r="CU239" s="93"/>
      <c r="CV239" s="93"/>
      <c r="CW239" s="93"/>
      <c r="CX239" s="93"/>
      <c r="CY239" s="93"/>
      <c r="CZ239" s="93"/>
      <c r="DA239" s="93"/>
      <c r="DB239" s="93"/>
      <c r="DC239" s="93"/>
      <c r="DD239" s="93"/>
      <c r="DE239" s="93"/>
      <c r="DF239" s="93"/>
      <c r="DG239" s="93"/>
      <c r="DH239" s="93"/>
      <c r="DI239" s="93"/>
      <c r="DJ239" s="93"/>
      <c r="DK239" s="93"/>
      <c r="DL239" s="93"/>
      <c r="DM239" s="93"/>
      <c r="DN239" s="93"/>
      <c r="DO239" s="93"/>
    </row>
    <row r="240" spans="1:119" ht="15">
      <c r="A240" s="1076"/>
      <c r="B240" s="6"/>
      <c r="C240" s="6"/>
      <c r="D240" s="1062"/>
      <c r="E240" s="807"/>
      <c r="F240" s="807"/>
      <c r="G240" s="827"/>
      <c r="H240" s="809" t="s">
        <v>8538</v>
      </c>
      <c r="I240" s="92">
        <v>21</v>
      </c>
      <c r="J240" s="92" t="s">
        <v>10</v>
      </c>
      <c r="K240" s="92" t="s">
        <v>768</v>
      </c>
      <c r="L240" s="810">
        <v>6</v>
      </c>
      <c r="M240" s="811" t="str">
        <f t="shared" si="18"/>
        <v>College Level</v>
      </c>
      <c r="P240" s="1638"/>
      <c r="S240" s="848"/>
      <c r="X240" s="811" t="str">
        <f t="shared" si="21"/>
        <v/>
      </c>
      <c r="AB240" s="814"/>
      <c r="AC240" s="809"/>
      <c r="AD240" s="824"/>
      <c r="AG240" s="807" t="str">
        <f t="shared" si="20"/>
        <v/>
      </c>
      <c r="AH240" s="807"/>
      <c r="AI240" s="807"/>
      <c r="AJ240" s="807"/>
      <c r="AK240" s="92"/>
      <c r="AM240" s="819"/>
      <c r="AN240" s="820"/>
      <c r="AQ240" s="93"/>
      <c r="AR240" s="93"/>
      <c r="AS240" s="93"/>
      <c r="AT240" s="93"/>
      <c r="AU240" s="93"/>
      <c r="AV240" s="93"/>
      <c r="AW240" s="93"/>
      <c r="AX240" s="93"/>
      <c r="AY240" s="93"/>
      <c r="AZ240" s="93"/>
      <c r="BA240" s="93"/>
      <c r="BB240" s="93"/>
      <c r="BL240" s="93"/>
      <c r="BM240" s="93"/>
      <c r="BT240" s="93"/>
      <c r="BU240" s="93"/>
      <c r="BV240" s="93"/>
      <c r="BW240" s="93"/>
      <c r="BX240" s="93"/>
      <c r="BY240" s="93"/>
      <c r="BZ240" s="93"/>
      <c r="CA240" s="93"/>
      <c r="CB240" s="93"/>
      <c r="CC240" s="93"/>
      <c r="CF240" s="93"/>
      <c r="CG240" s="93"/>
      <c r="CH240" s="93"/>
      <c r="CI240" s="93"/>
      <c r="CJ240" s="93"/>
      <c r="CK240" s="93"/>
      <c r="CL240" s="93"/>
      <c r="CM240" s="93"/>
      <c r="CN240" s="93"/>
      <c r="CO240" s="93"/>
      <c r="CP240" s="93"/>
      <c r="CQ240" s="93"/>
      <c r="CR240" s="93"/>
      <c r="CS240" s="93"/>
      <c r="CT240" s="93"/>
      <c r="CU240" s="93"/>
      <c r="CV240" s="93"/>
      <c r="CW240" s="93"/>
      <c r="CX240" s="93"/>
      <c r="CY240" s="93"/>
      <c r="CZ240" s="93"/>
      <c r="DA240" s="93"/>
      <c r="DB240" s="93"/>
      <c r="DC240" s="93"/>
      <c r="DD240" s="93"/>
      <c r="DE240" s="93"/>
      <c r="DF240" s="93"/>
      <c r="DG240" s="93"/>
      <c r="DH240" s="93"/>
      <c r="DI240" s="93"/>
      <c r="DJ240" s="93"/>
      <c r="DK240" s="93"/>
      <c r="DL240" s="93"/>
      <c r="DM240" s="93"/>
      <c r="DN240" s="93"/>
      <c r="DO240" s="93"/>
    </row>
    <row r="241" spans="1:119" ht="15">
      <c r="A241" s="1076"/>
      <c r="B241" s="6"/>
      <c r="C241" s="6"/>
      <c r="D241" s="1062"/>
      <c r="E241" s="807"/>
      <c r="F241" s="807"/>
      <c r="G241" s="827"/>
      <c r="H241" s="809" t="s">
        <v>8539</v>
      </c>
      <c r="I241" s="92">
        <v>18</v>
      </c>
      <c r="J241" s="92" t="s">
        <v>18</v>
      </c>
      <c r="K241" s="92" t="s">
        <v>768</v>
      </c>
      <c r="L241" s="810">
        <v>6</v>
      </c>
      <c r="M241" s="811" t="str">
        <f t="shared" si="18"/>
        <v>College Level</v>
      </c>
      <c r="P241" s="1638"/>
      <c r="S241" s="848"/>
      <c r="V241" s="814">
        <f>SUM(S238:U241)</f>
        <v>20000</v>
      </c>
      <c r="X241" s="811" t="str">
        <f t="shared" si="21"/>
        <v/>
      </c>
      <c r="AB241" s="814">
        <f>SUM(Y238:AA241)</f>
        <v>3000</v>
      </c>
      <c r="AC241" s="809"/>
      <c r="AD241" s="824"/>
      <c r="AG241" s="807" t="str">
        <f t="shared" si="20"/>
        <v/>
      </c>
      <c r="AH241" s="807"/>
      <c r="AI241" s="807"/>
      <c r="AJ241" s="807"/>
      <c r="AK241" s="92"/>
      <c r="AM241" s="819"/>
      <c r="AN241" s="820"/>
      <c r="AQ241" s="93"/>
      <c r="AR241" s="93"/>
      <c r="AS241" s="93"/>
      <c r="AT241" s="93"/>
      <c r="AU241" s="93"/>
      <c r="AV241" s="93"/>
      <c r="AW241" s="93"/>
      <c r="AX241" s="93"/>
      <c r="AY241" s="93"/>
      <c r="AZ241" s="93"/>
      <c r="BA241" s="93"/>
      <c r="BB241" s="93"/>
      <c r="BL241" s="93"/>
      <c r="BM241" s="93"/>
      <c r="BT241" s="93"/>
      <c r="BU241" s="93"/>
      <c r="BV241" s="93"/>
      <c r="BW241" s="93"/>
      <c r="BX241" s="93"/>
      <c r="BY241" s="93"/>
      <c r="BZ241" s="93"/>
      <c r="CA241" s="93"/>
      <c r="CB241" s="93"/>
      <c r="CC241" s="93"/>
      <c r="CF241" s="93"/>
      <c r="CG241" s="93"/>
      <c r="CH241" s="93"/>
      <c r="CI241" s="93"/>
      <c r="CJ241" s="93"/>
      <c r="CK241" s="93"/>
      <c r="CL241" s="93"/>
      <c r="CM241" s="93"/>
      <c r="CN241" s="93"/>
      <c r="CO241" s="93"/>
      <c r="CP241" s="93"/>
      <c r="CQ241" s="93"/>
      <c r="CR241" s="93"/>
      <c r="CS241" s="93"/>
      <c r="CT241" s="93"/>
      <c r="CU241" s="93"/>
      <c r="CV241" s="93"/>
      <c r="CW241" s="93"/>
      <c r="CX241" s="93"/>
      <c r="CY241" s="93"/>
      <c r="CZ241" s="93"/>
      <c r="DA241" s="93"/>
      <c r="DB241" s="93"/>
      <c r="DC241" s="93"/>
      <c r="DD241" s="93"/>
      <c r="DE241" s="93"/>
      <c r="DF241" s="93"/>
      <c r="DG241" s="93"/>
      <c r="DH241" s="93"/>
      <c r="DI241" s="93"/>
      <c r="DJ241" s="93"/>
      <c r="DK241" s="93"/>
      <c r="DL241" s="93"/>
      <c r="DM241" s="93"/>
      <c r="DN241" s="93"/>
      <c r="DO241" s="93"/>
    </row>
    <row r="242" spans="1:119" ht="15">
      <c r="A242" s="1076"/>
      <c r="B242" s="6"/>
      <c r="C242" s="164"/>
      <c r="D242" s="1062" t="s">
        <v>190</v>
      </c>
      <c r="E242" s="807"/>
      <c r="F242" s="807"/>
      <c r="G242" s="745" t="s">
        <v>190</v>
      </c>
      <c r="H242" s="809" t="s">
        <v>1473</v>
      </c>
      <c r="I242" s="92">
        <v>64</v>
      </c>
      <c r="J242" s="92" t="s">
        <v>10</v>
      </c>
      <c r="K242" s="92" t="s">
        <v>719</v>
      </c>
      <c r="L242" s="810">
        <v>5</v>
      </c>
      <c r="M242" s="811" t="str">
        <f t="shared" si="18"/>
        <v>High School Graduate</v>
      </c>
      <c r="P242" s="1638"/>
      <c r="R242" s="92" t="s">
        <v>8234</v>
      </c>
      <c r="S242" s="848"/>
      <c r="V242" s="828"/>
      <c r="X242" s="811" t="str">
        <f t="shared" si="21"/>
        <v/>
      </c>
      <c r="Z242" s="836"/>
      <c r="AB242" s="828"/>
      <c r="AC242" s="809" t="s">
        <v>8540</v>
      </c>
      <c r="AD242" s="817" t="s">
        <v>8541</v>
      </c>
      <c r="AE242" s="93" t="s">
        <v>8542</v>
      </c>
      <c r="AF242" s="818">
        <v>5</v>
      </c>
      <c r="AG242" s="807" t="str">
        <f t="shared" si="20"/>
        <v>Difficulties in Communication</v>
      </c>
      <c r="AH242" s="807"/>
      <c r="AI242" s="807"/>
      <c r="AJ242" s="807"/>
      <c r="AK242" s="92"/>
      <c r="AM242" s="819"/>
      <c r="AN242" s="820"/>
      <c r="AQ242" s="93"/>
      <c r="AR242" s="93"/>
      <c r="AS242" s="93"/>
      <c r="AT242" s="93"/>
      <c r="AU242" s="93"/>
      <c r="AV242" s="93"/>
      <c r="AW242" s="93"/>
      <c r="AX242" s="93"/>
      <c r="AY242" s="93"/>
      <c r="AZ242" s="93"/>
      <c r="BA242" s="93"/>
      <c r="BB242" s="93"/>
      <c r="BL242" s="93"/>
      <c r="BM242" s="93"/>
      <c r="BT242" s="93"/>
      <c r="BU242" s="93"/>
      <c r="BV242" s="93"/>
      <c r="BW242" s="93"/>
      <c r="BX242" s="93"/>
      <c r="BY242" s="93"/>
      <c r="BZ242" s="93"/>
      <c r="CA242" s="93"/>
      <c r="CB242" s="93"/>
      <c r="CC242" s="93"/>
      <c r="CF242" s="93"/>
      <c r="CG242" s="93"/>
      <c r="CH242" s="93"/>
      <c r="CI242" s="93"/>
      <c r="CJ242" s="93"/>
      <c r="CK242" s="93"/>
      <c r="CL242" s="93"/>
      <c r="CM242" s="93"/>
      <c r="CN242" s="93"/>
      <c r="CO242" s="93"/>
      <c r="CP242" s="93"/>
      <c r="CQ242" s="93"/>
      <c r="CR242" s="93"/>
      <c r="CS242" s="93"/>
      <c r="CT242" s="93"/>
      <c r="CU242" s="93"/>
      <c r="CV242" s="93"/>
      <c r="CW242" s="93"/>
      <c r="CX242" s="93"/>
      <c r="CY242" s="93"/>
      <c r="CZ242" s="93"/>
      <c r="DA242" s="93"/>
      <c r="DB242" s="93"/>
      <c r="DC242" s="93"/>
      <c r="DD242" s="93"/>
      <c r="DE242" s="93"/>
      <c r="DF242" s="93"/>
      <c r="DG242" s="93"/>
      <c r="DH242" s="93"/>
      <c r="DI242" s="93"/>
      <c r="DJ242" s="93"/>
      <c r="DK242" s="93"/>
      <c r="DL242" s="93"/>
      <c r="DM242" s="93"/>
      <c r="DN242" s="93"/>
      <c r="DO242" s="93"/>
    </row>
    <row r="243" spans="1:119" ht="15">
      <c r="A243" s="1076"/>
      <c r="B243" s="6"/>
      <c r="C243" s="164"/>
      <c r="D243" s="1062"/>
      <c r="E243" s="807"/>
      <c r="F243" s="807"/>
      <c r="G243" s="827"/>
      <c r="H243" s="809" t="s">
        <v>2157</v>
      </c>
      <c r="I243" s="92">
        <v>32</v>
      </c>
      <c r="J243" s="92" t="s">
        <v>10</v>
      </c>
      <c r="K243" s="92" t="s">
        <v>768</v>
      </c>
      <c r="L243" s="810">
        <v>9</v>
      </c>
      <c r="M243" s="811" t="str">
        <f t="shared" si="18"/>
        <v>Vocational Graduate</v>
      </c>
      <c r="N243" s="92" t="s">
        <v>1208</v>
      </c>
      <c r="O243" s="812" t="s">
        <v>8543</v>
      </c>
      <c r="P243" s="1638"/>
      <c r="Q243" s="812" t="s">
        <v>8543</v>
      </c>
      <c r="R243" s="92" t="s">
        <v>8285</v>
      </c>
      <c r="S243" s="848"/>
      <c r="T243" s="813">
        <v>10000</v>
      </c>
      <c r="V243" s="828">
        <f>SUM(S242:U243)</f>
        <v>10000</v>
      </c>
      <c r="W243" s="815">
        <v>2</v>
      </c>
      <c r="X243" s="811" t="str">
        <f t="shared" si="21"/>
        <v>within the Municipality/City</v>
      </c>
      <c r="Y243" s="816">
        <v>2000</v>
      </c>
      <c r="AB243" s="828">
        <f>SUM(Y242:AA243)</f>
        <v>2000</v>
      </c>
      <c r="AC243" s="809"/>
      <c r="AD243" s="824"/>
      <c r="AG243" s="807" t="str">
        <f t="shared" si="20"/>
        <v/>
      </c>
      <c r="AH243" s="807"/>
      <c r="AI243" s="807"/>
      <c r="AJ243" s="807"/>
      <c r="AK243" s="92"/>
      <c r="AM243" s="819"/>
      <c r="AN243" s="820"/>
      <c r="AQ243" s="93"/>
      <c r="AR243" s="93"/>
      <c r="AS243" s="93"/>
      <c r="AT243" s="93"/>
      <c r="AU243" s="93"/>
      <c r="AV243" s="93"/>
      <c r="AW243" s="93"/>
      <c r="AX243" s="93" t="s">
        <v>2144</v>
      </c>
      <c r="AY243" s="93"/>
      <c r="AZ243" s="93"/>
      <c r="BA243" s="93"/>
      <c r="BB243" s="93"/>
      <c r="BL243" s="93"/>
      <c r="BM243" s="93"/>
      <c r="BT243" s="93"/>
      <c r="BU243" s="93"/>
      <c r="BV243" s="93"/>
      <c r="BW243" s="93"/>
      <c r="BX243" s="93"/>
      <c r="BY243" s="93"/>
      <c r="BZ243" s="93"/>
      <c r="CA243" s="93"/>
      <c r="CB243" s="93"/>
      <c r="CC243" s="93"/>
      <c r="CF243" s="93"/>
      <c r="CG243" s="93"/>
      <c r="CH243" s="93"/>
      <c r="CI243" s="93"/>
      <c r="CJ243" s="93"/>
      <c r="CK243" s="93"/>
      <c r="CL243" s="93"/>
      <c r="CM243" s="93"/>
      <c r="CN243" s="93"/>
      <c r="CO243" s="93"/>
      <c r="CP243" s="93"/>
      <c r="CQ243" s="93"/>
      <c r="CR243" s="93"/>
      <c r="CS243" s="93"/>
      <c r="CT243" s="93"/>
      <c r="CU243" s="93"/>
      <c r="CV243" s="93"/>
      <c r="CW243" s="93"/>
      <c r="CX243" s="93"/>
      <c r="CY243" s="93" t="s">
        <v>2145</v>
      </c>
      <c r="CZ243" s="93" t="s">
        <v>2144</v>
      </c>
      <c r="DA243" s="93"/>
      <c r="DB243" s="93"/>
      <c r="DC243" s="93"/>
      <c r="DD243" s="93"/>
      <c r="DE243" s="93"/>
      <c r="DF243" s="93"/>
      <c r="DG243" s="93"/>
      <c r="DH243" s="93"/>
      <c r="DI243" s="93"/>
      <c r="DJ243" s="93"/>
      <c r="DK243" s="93"/>
      <c r="DL243" s="93"/>
      <c r="DM243" s="93"/>
      <c r="DN243" s="93"/>
      <c r="DO243" s="93"/>
    </row>
    <row r="244" spans="1:119" ht="15">
      <c r="A244" s="767" t="s">
        <v>12415</v>
      </c>
      <c r="B244" s="288" t="s">
        <v>7515</v>
      </c>
      <c r="C244" s="165" t="s">
        <v>197</v>
      </c>
      <c r="D244" s="1062" t="s">
        <v>197</v>
      </c>
      <c r="E244" s="807"/>
      <c r="F244" s="807"/>
      <c r="G244" s="809" t="s">
        <v>197</v>
      </c>
      <c r="H244" s="809" t="s">
        <v>8544</v>
      </c>
      <c r="I244" s="92">
        <v>38</v>
      </c>
      <c r="J244" s="92" t="s">
        <v>10</v>
      </c>
      <c r="K244" s="92" t="s">
        <v>722</v>
      </c>
      <c r="L244" s="810">
        <v>9</v>
      </c>
      <c r="M244" s="811" t="str">
        <f t="shared" si="18"/>
        <v>Vocational Graduate</v>
      </c>
      <c r="N244" s="92" t="s">
        <v>1208</v>
      </c>
      <c r="O244" s="812" t="s">
        <v>8545</v>
      </c>
      <c r="P244" s="1638" t="s">
        <v>12606</v>
      </c>
      <c r="Q244" s="812" t="s">
        <v>8545</v>
      </c>
      <c r="R244" s="92" t="s">
        <v>8234</v>
      </c>
      <c r="S244" s="848">
        <f>PRODUCT(3000,4)</f>
        <v>12000</v>
      </c>
      <c r="T244" s="820"/>
      <c r="U244" s="820"/>
      <c r="V244" s="830"/>
      <c r="W244" s="815">
        <v>4</v>
      </c>
      <c r="X244" s="811" t="str">
        <f t="shared" si="21"/>
        <v>Other Province</v>
      </c>
      <c r="Y244" s="816">
        <v>400</v>
      </c>
      <c r="Z244" s="836"/>
      <c r="AB244" s="830"/>
      <c r="AC244" s="809" t="s">
        <v>8546</v>
      </c>
      <c r="AD244" s="824"/>
      <c r="AG244" s="807" t="str">
        <f t="shared" si="20"/>
        <v/>
      </c>
      <c r="AI244" s="817"/>
      <c r="AJ244" s="817"/>
      <c r="AK244" s="92"/>
      <c r="AM244" s="819"/>
      <c r="AN244" s="820"/>
      <c r="AQ244" s="93"/>
      <c r="AR244" s="93"/>
      <c r="AS244" s="93"/>
      <c r="AT244" s="93"/>
      <c r="AU244" s="93"/>
      <c r="AV244" s="93"/>
      <c r="AW244" s="93"/>
      <c r="AX244" s="93"/>
      <c r="AY244" s="93"/>
      <c r="AZ244" s="93"/>
      <c r="BA244" s="93"/>
      <c r="BB244" s="93"/>
      <c r="BL244" s="93"/>
      <c r="BM244" s="93"/>
      <c r="BT244" s="93"/>
      <c r="BU244" s="93"/>
      <c r="BV244" s="93"/>
      <c r="BW244" s="93"/>
      <c r="BX244" s="93"/>
      <c r="BY244" s="93"/>
      <c r="BZ244" s="93"/>
      <c r="CA244" s="93"/>
      <c r="CB244" s="93"/>
      <c r="CC244" s="93"/>
      <c r="CF244" s="93"/>
      <c r="CG244" s="93"/>
      <c r="CH244" s="93"/>
      <c r="CI244" s="93"/>
      <c r="CJ244" s="93"/>
      <c r="CK244" s="93"/>
      <c r="CL244" s="93"/>
      <c r="CM244" s="93"/>
      <c r="CN244" s="93"/>
      <c r="CO244" s="93"/>
      <c r="CP244" s="93"/>
      <c r="CQ244" s="93"/>
      <c r="CR244" s="93"/>
      <c r="CS244" s="93"/>
      <c r="CT244" s="93"/>
      <c r="CU244" s="93"/>
      <c r="CV244" s="93"/>
      <c r="CW244" s="93"/>
      <c r="CX244" s="93"/>
      <c r="CY244" s="93"/>
      <c r="CZ244" s="93"/>
      <c r="DA244" s="93"/>
      <c r="DB244" s="93"/>
      <c r="DC244" s="93"/>
      <c r="DD244" s="93"/>
      <c r="DE244" s="93"/>
      <c r="DF244" s="93"/>
      <c r="DG244" s="93"/>
      <c r="DH244" s="93"/>
      <c r="DI244" s="93"/>
      <c r="DJ244" s="93"/>
      <c r="DK244" s="93"/>
      <c r="DL244" s="93"/>
      <c r="DM244" s="93"/>
      <c r="DN244" s="93"/>
      <c r="DO244" s="93"/>
    </row>
    <row r="245" spans="1:119" ht="15">
      <c r="A245" s="767" t="s">
        <v>12415</v>
      </c>
      <c r="D245" s="1062" t="s">
        <v>197</v>
      </c>
      <c r="E245" s="807"/>
      <c r="F245" s="807"/>
      <c r="G245" s="827"/>
      <c r="H245" s="809" t="s">
        <v>8547</v>
      </c>
      <c r="I245" s="92">
        <v>48</v>
      </c>
      <c r="J245" s="92" t="s">
        <v>18</v>
      </c>
      <c r="K245" s="92" t="s">
        <v>722</v>
      </c>
      <c r="L245" s="810">
        <v>7</v>
      </c>
      <c r="M245" s="811" t="str">
        <f t="shared" si="18"/>
        <v>College Graduate or Higher</v>
      </c>
      <c r="P245" s="1638"/>
      <c r="S245" s="848"/>
      <c r="T245" s="820"/>
      <c r="U245" s="820"/>
      <c r="V245" s="830"/>
      <c r="X245" s="811" t="str">
        <f t="shared" si="21"/>
        <v/>
      </c>
      <c r="AB245" s="830"/>
      <c r="AC245" s="809"/>
      <c r="AD245" s="824"/>
      <c r="AG245" s="807" t="str">
        <f t="shared" si="20"/>
        <v/>
      </c>
      <c r="AI245" s="817"/>
      <c r="AJ245" s="817"/>
      <c r="AK245" s="92"/>
      <c r="AM245" s="819"/>
      <c r="AN245" s="820"/>
      <c r="AQ245" s="93"/>
      <c r="AR245" s="93"/>
      <c r="AS245" s="93"/>
      <c r="AT245" s="93"/>
      <c r="AU245" s="93"/>
      <c r="AV245" s="93"/>
      <c r="AW245" s="93"/>
      <c r="AX245" s="93"/>
      <c r="AY245" s="93"/>
      <c r="AZ245" s="93"/>
      <c r="BA245" s="93"/>
      <c r="BB245" s="93"/>
      <c r="BL245" s="93"/>
      <c r="BM245" s="93"/>
      <c r="BT245" s="93"/>
      <c r="BU245" s="93"/>
      <c r="BV245" s="93"/>
      <c r="BW245" s="93"/>
      <c r="BX245" s="93"/>
      <c r="BY245" s="93"/>
      <c r="BZ245" s="93"/>
      <c r="CA245" s="93"/>
      <c r="CB245" s="93"/>
      <c r="CC245" s="93"/>
      <c r="CF245" s="93" t="s">
        <v>2144</v>
      </c>
      <c r="CG245" s="93"/>
      <c r="CH245" s="93"/>
      <c r="CI245" s="93"/>
      <c r="CJ245" s="93"/>
      <c r="CK245" s="93"/>
      <c r="CL245" s="93"/>
      <c r="CM245" s="93"/>
      <c r="CN245" s="93"/>
      <c r="CO245" s="93"/>
      <c r="CP245" s="93"/>
      <c r="CQ245" s="93"/>
      <c r="CR245" s="93"/>
      <c r="CS245" s="93" t="s">
        <v>2145</v>
      </c>
      <c r="CT245" s="93" t="s">
        <v>2146</v>
      </c>
      <c r="CU245" s="93"/>
      <c r="CV245" s="93"/>
      <c r="CW245" s="93"/>
      <c r="CX245" s="93"/>
      <c r="CY245" s="93"/>
      <c r="CZ245" s="93"/>
      <c r="DA245" s="93"/>
      <c r="DB245" s="93"/>
      <c r="DC245" s="93"/>
      <c r="DD245" s="93"/>
      <c r="DE245" s="93"/>
      <c r="DF245" s="93"/>
      <c r="DG245" s="93"/>
      <c r="DH245" s="93"/>
      <c r="DI245" s="93"/>
      <c r="DJ245" s="93"/>
      <c r="DK245" s="93"/>
      <c r="DL245" s="93"/>
      <c r="DM245" s="93"/>
      <c r="DN245" s="93"/>
      <c r="DO245" s="93"/>
    </row>
    <row r="246" spans="1:119" ht="15">
      <c r="A246" s="767" t="s">
        <v>12415</v>
      </c>
      <c r="B246" s="6"/>
      <c r="C246" s="6"/>
      <c r="D246" s="1062" t="s">
        <v>197</v>
      </c>
      <c r="E246" s="807"/>
      <c r="F246" s="807"/>
      <c r="G246" s="827"/>
      <c r="H246" s="809" t="s">
        <v>8548</v>
      </c>
      <c r="I246" s="92">
        <v>24</v>
      </c>
      <c r="J246" s="92" t="s">
        <v>10</v>
      </c>
      <c r="K246" s="92" t="s">
        <v>768</v>
      </c>
      <c r="L246" s="810">
        <v>6</v>
      </c>
      <c r="M246" s="811" t="str">
        <f t="shared" si="18"/>
        <v>College Level</v>
      </c>
      <c r="N246" s="92" t="s">
        <v>1208</v>
      </c>
      <c r="O246" s="812" t="s">
        <v>1985</v>
      </c>
      <c r="P246" s="1638"/>
      <c r="Q246" s="812" t="s">
        <v>1985</v>
      </c>
      <c r="R246" s="812" t="s">
        <v>10310</v>
      </c>
      <c r="S246" s="848">
        <v>10000</v>
      </c>
      <c r="T246" s="820"/>
      <c r="U246" s="820"/>
      <c r="V246" s="830"/>
      <c r="W246" s="815">
        <v>4</v>
      </c>
      <c r="X246" s="811" t="str">
        <f t="shared" si="21"/>
        <v>Other Province</v>
      </c>
      <c r="Y246" s="816">
        <v>1820</v>
      </c>
      <c r="AB246" s="830"/>
      <c r="AC246" s="809" t="s">
        <v>8380</v>
      </c>
      <c r="AD246" s="824"/>
      <c r="AG246" s="807" t="str">
        <f t="shared" si="20"/>
        <v/>
      </c>
      <c r="AI246" s="817"/>
      <c r="AJ246" s="817"/>
      <c r="AK246" s="92"/>
      <c r="AM246" s="819"/>
      <c r="AN246" s="820"/>
      <c r="AQ246" s="93"/>
      <c r="AR246" s="93"/>
      <c r="AS246" s="93"/>
      <c r="AT246" s="93"/>
      <c r="AU246" s="93"/>
      <c r="AV246" s="93"/>
      <c r="AW246" s="93"/>
      <c r="AX246" s="93"/>
      <c r="AY246" s="93"/>
      <c r="AZ246" s="93"/>
      <c r="BA246" s="93"/>
      <c r="BB246" s="93"/>
      <c r="BL246" s="93"/>
      <c r="BM246" s="93"/>
      <c r="BT246" s="93"/>
      <c r="BU246" s="93"/>
      <c r="BV246" s="93"/>
      <c r="BW246" s="93"/>
      <c r="BX246" s="93"/>
      <c r="BY246" s="93"/>
      <c r="BZ246" s="93"/>
      <c r="CA246" s="93"/>
      <c r="CB246" s="93"/>
      <c r="CC246" s="93"/>
      <c r="CF246" s="93"/>
      <c r="CG246" s="93"/>
      <c r="CH246" s="93"/>
      <c r="CI246" s="93"/>
      <c r="CJ246" s="93"/>
      <c r="CK246" s="93"/>
      <c r="CL246" s="93"/>
      <c r="CM246" s="93"/>
      <c r="CN246" s="93"/>
      <c r="CO246" s="93"/>
      <c r="CP246" s="93"/>
      <c r="CQ246" s="93"/>
      <c r="CR246" s="93"/>
      <c r="CS246" s="93"/>
      <c r="CT246" s="93"/>
      <c r="CU246" s="93"/>
      <c r="CV246" s="93"/>
      <c r="CW246" s="93"/>
      <c r="CX246" s="93"/>
      <c r="CY246" s="93"/>
      <c r="CZ246" s="93"/>
      <c r="DA246" s="93"/>
      <c r="DB246" s="93"/>
      <c r="DC246" s="93"/>
      <c r="DD246" s="93"/>
      <c r="DE246" s="93"/>
      <c r="DF246" s="93"/>
      <c r="DG246" s="93"/>
      <c r="DH246" s="93"/>
      <c r="DI246" s="93"/>
      <c r="DJ246" s="93"/>
      <c r="DK246" s="93"/>
      <c r="DL246" s="93"/>
      <c r="DM246" s="93"/>
      <c r="DN246" s="93"/>
      <c r="DO246" s="93"/>
    </row>
    <row r="247" spans="1:119" ht="15">
      <c r="A247" s="767" t="s">
        <v>12415</v>
      </c>
      <c r="B247" s="6"/>
      <c r="C247" s="6"/>
      <c r="D247" s="1062" t="s">
        <v>197</v>
      </c>
      <c r="E247" s="807"/>
      <c r="F247" s="807"/>
      <c r="G247" s="827"/>
      <c r="H247" s="809" t="s">
        <v>8549</v>
      </c>
      <c r="I247" s="92">
        <v>23</v>
      </c>
      <c r="J247" s="92" t="s">
        <v>18</v>
      </c>
      <c r="K247" s="92" t="s">
        <v>768</v>
      </c>
      <c r="L247" s="810">
        <v>7</v>
      </c>
      <c r="M247" s="811" t="str">
        <f t="shared" si="18"/>
        <v>College Graduate or Higher</v>
      </c>
      <c r="N247" s="92" t="s">
        <v>1208</v>
      </c>
      <c r="O247" s="812" t="s">
        <v>8550</v>
      </c>
      <c r="P247" s="1638"/>
      <c r="Q247" s="812" t="s">
        <v>8550</v>
      </c>
      <c r="R247" s="812" t="s">
        <v>10310</v>
      </c>
      <c r="S247" s="848">
        <v>16000</v>
      </c>
      <c r="T247" s="820"/>
      <c r="U247" s="820"/>
      <c r="V247" s="830"/>
      <c r="W247" s="815">
        <v>4</v>
      </c>
      <c r="X247" s="811" t="str">
        <f t="shared" si="21"/>
        <v>Other Province</v>
      </c>
      <c r="Y247" s="816">
        <v>2600</v>
      </c>
      <c r="AB247" s="830"/>
      <c r="AC247" s="809"/>
      <c r="AD247" s="824"/>
      <c r="AG247" s="807" t="str">
        <f t="shared" si="20"/>
        <v/>
      </c>
      <c r="AI247" s="817"/>
      <c r="AJ247" s="817"/>
      <c r="AK247" s="92"/>
      <c r="AM247" s="819"/>
      <c r="AN247" s="820"/>
      <c r="AQ247" s="93"/>
      <c r="AR247" s="93"/>
      <c r="AS247" s="93"/>
      <c r="AT247" s="93"/>
      <c r="AU247" s="93"/>
      <c r="AV247" s="93"/>
      <c r="AW247" s="93"/>
      <c r="AX247" s="93"/>
      <c r="AY247" s="93"/>
      <c r="AZ247" s="93"/>
      <c r="BA247" s="93"/>
      <c r="BB247" s="93"/>
      <c r="BL247" s="93"/>
      <c r="BM247" s="93"/>
      <c r="BT247" s="93"/>
      <c r="BU247" s="93"/>
      <c r="BV247" s="93"/>
      <c r="BW247" s="93"/>
      <c r="BX247" s="93"/>
      <c r="BY247" s="93"/>
      <c r="BZ247" s="93"/>
      <c r="CA247" s="93"/>
      <c r="CB247" s="93"/>
      <c r="CC247" s="93"/>
      <c r="CF247" s="93"/>
      <c r="CG247" s="93"/>
      <c r="CH247" s="93"/>
      <c r="CI247" s="93"/>
      <c r="CJ247" s="93"/>
      <c r="CK247" s="93"/>
      <c r="CL247" s="93"/>
      <c r="CM247" s="93"/>
      <c r="CN247" s="93"/>
      <c r="CO247" s="93"/>
      <c r="CP247" s="93"/>
      <c r="CQ247" s="93"/>
      <c r="CR247" s="93"/>
      <c r="CS247" s="93"/>
      <c r="CT247" s="93"/>
      <c r="CU247" s="93"/>
      <c r="CV247" s="93"/>
      <c r="CW247" s="93"/>
      <c r="CX247" s="93"/>
      <c r="CY247" s="93"/>
      <c r="CZ247" s="93"/>
      <c r="DA247" s="93"/>
      <c r="DB247" s="93"/>
      <c r="DC247" s="93"/>
      <c r="DD247" s="93"/>
      <c r="DE247" s="93"/>
      <c r="DF247" s="93"/>
      <c r="DG247" s="93"/>
      <c r="DH247" s="93"/>
      <c r="DI247" s="93"/>
      <c r="DJ247" s="93"/>
      <c r="DK247" s="93"/>
      <c r="DL247" s="93"/>
      <c r="DM247" s="93"/>
      <c r="DN247" s="93"/>
      <c r="DO247" s="93"/>
    </row>
    <row r="248" spans="1:119" ht="15">
      <c r="A248" s="767" t="s">
        <v>12415</v>
      </c>
      <c r="B248" s="6"/>
      <c r="C248" s="6"/>
      <c r="D248" s="1062" t="s">
        <v>197</v>
      </c>
      <c r="E248" s="807"/>
      <c r="F248" s="807"/>
      <c r="G248" s="827"/>
      <c r="H248" s="809" t="s">
        <v>8551</v>
      </c>
      <c r="I248" s="92">
        <v>21</v>
      </c>
      <c r="J248" s="92" t="s">
        <v>10</v>
      </c>
      <c r="K248" s="92" t="s">
        <v>768</v>
      </c>
      <c r="L248" s="810">
        <v>7</v>
      </c>
      <c r="M248" s="811" t="str">
        <f t="shared" si="18"/>
        <v>College Graduate or Higher</v>
      </c>
      <c r="N248" s="92" t="s">
        <v>1208</v>
      </c>
      <c r="O248" s="812" t="s">
        <v>8552</v>
      </c>
      <c r="P248" s="1638"/>
      <c r="Q248" s="812" t="s">
        <v>8552</v>
      </c>
      <c r="R248" s="812" t="s">
        <v>10310</v>
      </c>
      <c r="S248" s="848">
        <v>7000</v>
      </c>
      <c r="T248" s="820"/>
      <c r="U248" s="820"/>
      <c r="V248" s="830">
        <f>SUM(S244:U248)</f>
        <v>45000</v>
      </c>
      <c r="W248" s="815">
        <v>2</v>
      </c>
      <c r="X248" s="811" t="str">
        <f t="shared" si="21"/>
        <v>within the Municipality/City</v>
      </c>
      <c r="AB248" s="830">
        <f>SUM(Y244:AA248)</f>
        <v>4820</v>
      </c>
      <c r="AC248" s="809"/>
      <c r="AD248" s="824"/>
      <c r="AG248" s="807" t="str">
        <f t="shared" si="20"/>
        <v/>
      </c>
      <c r="AI248" s="817"/>
      <c r="AJ248" s="817"/>
      <c r="AK248" s="92"/>
      <c r="AM248" s="819"/>
      <c r="AN248" s="820"/>
      <c r="AQ248" s="93"/>
      <c r="AR248" s="93"/>
      <c r="AS248" s="93"/>
      <c r="AT248" s="93"/>
      <c r="AU248" s="93"/>
      <c r="AV248" s="93"/>
      <c r="AW248" s="93"/>
      <c r="AX248" s="93"/>
      <c r="AY248" s="93"/>
      <c r="AZ248" s="93"/>
      <c r="BA248" s="93"/>
      <c r="BB248" s="93"/>
      <c r="BL248" s="93"/>
      <c r="BM248" s="93"/>
      <c r="BT248" s="93"/>
      <c r="BU248" s="93"/>
      <c r="BV248" s="93"/>
      <c r="BW248" s="93"/>
      <c r="BX248" s="93"/>
      <c r="BY248" s="93"/>
      <c r="BZ248" s="93"/>
      <c r="CA248" s="93"/>
      <c r="CB248" s="93"/>
      <c r="CC248" s="93"/>
      <c r="CF248" s="93"/>
      <c r="CG248" s="93"/>
      <c r="CH248" s="93"/>
      <c r="CI248" s="93"/>
      <c r="CJ248" s="93"/>
      <c r="CK248" s="93"/>
      <c r="CL248" s="93"/>
      <c r="CM248" s="93"/>
      <c r="CN248" s="93"/>
      <c r="CO248" s="93"/>
      <c r="CP248" s="93"/>
      <c r="CQ248" s="93"/>
      <c r="CR248" s="93"/>
      <c r="CS248" s="93"/>
      <c r="CT248" s="93"/>
      <c r="CU248" s="93"/>
      <c r="CV248" s="93"/>
      <c r="CW248" s="93"/>
      <c r="CX248" s="93"/>
      <c r="CY248" s="93"/>
      <c r="CZ248" s="93"/>
      <c r="DA248" s="93"/>
      <c r="DB248" s="93"/>
      <c r="DC248" s="93"/>
      <c r="DD248" s="93"/>
      <c r="DE248" s="93"/>
      <c r="DF248" s="93"/>
      <c r="DG248" s="93"/>
      <c r="DH248" s="93"/>
      <c r="DI248" s="93"/>
      <c r="DJ248" s="93"/>
      <c r="DK248" s="93"/>
      <c r="DL248" s="93"/>
      <c r="DM248" s="93"/>
      <c r="DN248" s="93"/>
      <c r="DO248" s="93"/>
    </row>
    <row r="249" spans="1:119" ht="15">
      <c r="A249" s="1076"/>
      <c r="B249" s="6"/>
      <c r="C249" s="6"/>
      <c r="D249" s="1062" t="s">
        <v>8553</v>
      </c>
      <c r="E249" s="807"/>
      <c r="F249" s="807"/>
      <c r="G249" s="809" t="s">
        <v>8553</v>
      </c>
      <c r="H249" s="809" t="s">
        <v>2061</v>
      </c>
      <c r="I249" s="92">
        <v>38</v>
      </c>
      <c r="J249" s="92" t="s">
        <v>10</v>
      </c>
      <c r="K249" s="92" t="s">
        <v>722</v>
      </c>
      <c r="L249" s="810">
        <v>7</v>
      </c>
      <c r="M249" s="811" t="str">
        <f t="shared" si="18"/>
        <v>College Graduate or Higher</v>
      </c>
      <c r="N249" s="92" t="s">
        <v>1208</v>
      </c>
      <c r="O249" s="812" t="s">
        <v>8554</v>
      </c>
      <c r="P249" s="1638"/>
      <c r="Q249" s="812" t="s">
        <v>8554</v>
      </c>
      <c r="R249" s="92" t="s">
        <v>8234</v>
      </c>
      <c r="S249" s="848">
        <v>15000</v>
      </c>
      <c r="T249" s="820"/>
      <c r="U249" s="820"/>
      <c r="W249" s="815">
        <v>1</v>
      </c>
      <c r="X249" s="811" t="str">
        <f t="shared" si="21"/>
        <v>within the Brgy</v>
      </c>
      <c r="Z249" s="836"/>
      <c r="AB249" s="814"/>
      <c r="AC249" s="809" t="s">
        <v>8555</v>
      </c>
      <c r="AD249" s="824"/>
      <c r="AG249" s="807" t="str">
        <f t="shared" ref="AG249:AG280" si="22">IF(ISBLANK(AF249)=TRUE,"",LOOKUP(AF249,GS:GT))</f>
        <v/>
      </c>
      <c r="AI249" s="817"/>
      <c r="AJ249" s="817"/>
      <c r="AK249" s="92"/>
      <c r="AM249" s="819"/>
      <c r="AN249" s="820"/>
      <c r="AQ249" s="93" t="s">
        <v>2144</v>
      </c>
      <c r="AR249" s="93"/>
      <c r="AS249" s="93"/>
      <c r="AT249" s="93"/>
      <c r="AU249" s="93"/>
      <c r="AV249" s="93"/>
      <c r="AW249" s="93"/>
      <c r="AX249" s="93"/>
      <c r="AY249" s="93"/>
      <c r="AZ249" s="93"/>
      <c r="BA249" s="93"/>
      <c r="BB249" s="93"/>
      <c r="BL249" s="93"/>
      <c r="BM249" s="93"/>
      <c r="BT249" s="93"/>
      <c r="BU249" s="93"/>
      <c r="BV249" s="93"/>
      <c r="BW249" s="93"/>
      <c r="BX249" s="93"/>
      <c r="BY249" s="93"/>
      <c r="BZ249" s="93"/>
      <c r="CA249" s="93"/>
      <c r="CB249" s="93"/>
      <c r="CC249" s="93"/>
      <c r="CF249" s="93"/>
      <c r="CG249" s="93"/>
      <c r="CH249" s="93"/>
      <c r="CI249" s="93"/>
      <c r="CJ249" s="93"/>
      <c r="CK249" s="93"/>
      <c r="CL249" s="93"/>
      <c r="CM249" s="93"/>
      <c r="CN249" s="93"/>
      <c r="CO249" s="93"/>
      <c r="CP249" s="93"/>
      <c r="CQ249" s="93"/>
      <c r="CR249" s="93"/>
      <c r="CS249" s="93"/>
      <c r="CT249" s="93"/>
      <c r="CU249" s="93"/>
      <c r="CV249" s="93"/>
      <c r="CW249" s="93"/>
      <c r="CX249" s="93"/>
      <c r="CY249" s="93"/>
      <c r="CZ249" s="93"/>
      <c r="DA249" s="93"/>
      <c r="DB249" s="93"/>
      <c r="DC249" s="93"/>
      <c r="DD249" s="93"/>
      <c r="DE249" s="93"/>
      <c r="DF249" s="93"/>
      <c r="DG249" s="93"/>
      <c r="DH249" s="93"/>
      <c r="DI249" s="93"/>
      <c r="DJ249" s="93"/>
      <c r="DK249" s="93"/>
      <c r="DL249" s="93"/>
      <c r="DM249" s="93"/>
      <c r="DN249" s="93"/>
      <c r="DO249" s="93"/>
    </row>
    <row r="250" spans="1:119" ht="15">
      <c r="A250" s="1076"/>
      <c r="B250" s="6"/>
      <c r="C250" s="6"/>
      <c r="D250" s="1062"/>
      <c r="E250" s="807"/>
      <c r="F250" s="807"/>
      <c r="G250" s="827"/>
      <c r="H250" s="809" t="s">
        <v>2158</v>
      </c>
      <c r="I250" s="92">
        <v>34</v>
      </c>
      <c r="J250" s="92" t="s">
        <v>18</v>
      </c>
      <c r="K250" s="92" t="s">
        <v>722</v>
      </c>
      <c r="L250" s="810">
        <v>6</v>
      </c>
      <c r="M250" s="811" t="str">
        <f t="shared" si="18"/>
        <v>College Level</v>
      </c>
      <c r="P250" s="1638"/>
      <c r="S250" s="848"/>
      <c r="T250" s="820"/>
      <c r="U250" s="820"/>
      <c r="X250" s="811" t="str">
        <f t="shared" si="21"/>
        <v/>
      </c>
      <c r="AB250" s="814"/>
      <c r="AC250" s="809"/>
      <c r="AD250" s="824"/>
      <c r="AG250" s="807" t="str">
        <f t="shared" si="22"/>
        <v/>
      </c>
      <c r="AI250" s="817"/>
      <c r="AJ250" s="817"/>
      <c r="AK250" s="92"/>
      <c r="AM250" s="819"/>
      <c r="AN250" s="820"/>
      <c r="AQ250" s="93"/>
      <c r="AR250" s="93"/>
      <c r="AS250" s="93"/>
      <c r="AT250" s="93"/>
      <c r="AU250" s="93"/>
      <c r="AV250" s="93"/>
      <c r="AW250" s="93"/>
      <c r="AX250" s="93"/>
      <c r="AY250" s="93"/>
      <c r="AZ250" s="93"/>
      <c r="BA250" s="93"/>
      <c r="BB250" s="93"/>
      <c r="BL250" s="93"/>
      <c r="BM250" s="93"/>
      <c r="BT250" s="93"/>
      <c r="BU250" s="93"/>
      <c r="BV250" s="93"/>
      <c r="BW250" s="93"/>
      <c r="BX250" s="93"/>
      <c r="BY250" s="93"/>
      <c r="BZ250" s="93"/>
      <c r="CA250" s="93"/>
      <c r="CB250" s="93"/>
      <c r="CC250" s="93"/>
      <c r="CF250" s="93"/>
      <c r="CG250" s="93"/>
      <c r="CH250" s="93"/>
      <c r="CI250" s="93"/>
      <c r="CJ250" s="93"/>
      <c r="CK250" s="93"/>
      <c r="CL250" s="93"/>
      <c r="CM250" s="93"/>
      <c r="CN250" s="93"/>
      <c r="CO250" s="93"/>
      <c r="CP250" s="93"/>
      <c r="CQ250" s="93"/>
      <c r="CR250" s="93"/>
      <c r="CS250" s="93"/>
      <c r="CT250" s="93"/>
      <c r="CU250" s="93"/>
      <c r="CV250" s="93"/>
      <c r="CW250" s="93"/>
      <c r="CX250" s="93"/>
      <c r="CY250" s="93"/>
      <c r="CZ250" s="93"/>
      <c r="DA250" s="93"/>
      <c r="DB250" s="93"/>
      <c r="DC250" s="93"/>
      <c r="DD250" s="93"/>
      <c r="DE250" s="93"/>
      <c r="DF250" s="93"/>
      <c r="DG250" s="93"/>
      <c r="DH250" s="93"/>
      <c r="DI250" s="93"/>
      <c r="DJ250" s="93"/>
      <c r="DK250" s="93"/>
      <c r="DL250" s="93"/>
      <c r="DM250" s="93"/>
      <c r="DN250" s="93"/>
      <c r="DO250" s="93"/>
    </row>
    <row r="251" spans="1:119" ht="15">
      <c r="A251" s="1076"/>
      <c r="B251" s="6"/>
      <c r="C251" s="6"/>
      <c r="D251" s="1062"/>
      <c r="E251" s="807"/>
      <c r="F251" s="807"/>
      <c r="G251" s="827"/>
      <c r="H251" s="809" t="s">
        <v>8556</v>
      </c>
      <c r="I251" s="92">
        <v>7</v>
      </c>
      <c r="J251" s="92" t="s">
        <v>18</v>
      </c>
      <c r="K251" s="92" t="s">
        <v>768</v>
      </c>
      <c r="L251" s="810">
        <v>2</v>
      </c>
      <c r="M251" s="811" t="str">
        <f t="shared" si="18"/>
        <v>Elementary Level</v>
      </c>
      <c r="P251" s="1638"/>
      <c r="S251" s="848"/>
      <c r="T251" s="820"/>
      <c r="U251" s="820"/>
      <c r="X251" s="811" t="str">
        <f t="shared" si="21"/>
        <v/>
      </c>
      <c r="AB251" s="814"/>
      <c r="AC251" s="809"/>
      <c r="AD251" s="824"/>
      <c r="AG251" s="807" t="str">
        <f t="shared" si="22"/>
        <v/>
      </c>
      <c r="AI251" s="817"/>
      <c r="AJ251" s="817"/>
      <c r="AK251" s="92"/>
      <c r="AM251" s="819"/>
      <c r="AN251" s="820"/>
      <c r="AQ251" s="93"/>
      <c r="AR251" s="93"/>
      <c r="AS251" s="93"/>
      <c r="AT251" s="93"/>
      <c r="AU251" s="93"/>
      <c r="AV251" s="93"/>
      <c r="AW251" s="93"/>
      <c r="AX251" s="93"/>
      <c r="AY251" s="93"/>
      <c r="AZ251" s="93"/>
      <c r="BA251" s="93"/>
      <c r="BB251" s="93"/>
      <c r="BL251" s="93"/>
      <c r="BM251" s="93"/>
      <c r="BT251" s="93"/>
      <c r="BU251" s="93"/>
      <c r="BV251" s="93"/>
      <c r="BW251" s="93"/>
      <c r="BX251" s="93"/>
      <c r="BY251" s="93"/>
      <c r="BZ251" s="93"/>
      <c r="CA251" s="93"/>
      <c r="CB251" s="93"/>
      <c r="CC251" s="93"/>
      <c r="CF251" s="93"/>
      <c r="CG251" s="93"/>
      <c r="CH251" s="93"/>
      <c r="CI251" s="93"/>
      <c r="CJ251" s="93"/>
      <c r="CK251" s="93"/>
      <c r="CL251" s="93"/>
      <c r="CM251" s="93"/>
      <c r="CN251" s="93"/>
      <c r="CO251" s="93"/>
      <c r="CP251" s="93"/>
      <c r="CQ251" s="93"/>
      <c r="CR251" s="93"/>
      <c r="CS251" s="93"/>
      <c r="CT251" s="93"/>
      <c r="CU251" s="93"/>
      <c r="CV251" s="93"/>
      <c r="CW251" s="93"/>
      <c r="CX251" s="93"/>
      <c r="CY251" s="93"/>
      <c r="CZ251" s="93"/>
      <c r="DA251" s="93"/>
      <c r="DB251" s="93"/>
      <c r="DC251" s="93"/>
      <c r="DD251" s="93"/>
      <c r="DE251" s="93"/>
      <c r="DF251" s="93"/>
      <c r="DG251" s="93"/>
      <c r="DH251" s="93"/>
      <c r="DI251" s="93"/>
      <c r="DJ251" s="93"/>
      <c r="DK251" s="93"/>
      <c r="DL251" s="93"/>
      <c r="DM251" s="93"/>
      <c r="DN251" s="93"/>
      <c r="DO251" s="93"/>
    </row>
    <row r="252" spans="1:119" ht="15">
      <c r="A252" s="1076"/>
      <c r="B252" s="6"/>
      <c r="C252" s="6"/>
      <c r="D252" s="1062"/>
      <c r="E252" s="807"/>
      <c r="F252" s="807"/>
      <c r="G252" s="827"/>
      <c r="H252" s="809" t="s">
        <v>8557</v>
      </c>
      <c r="I252" s="92">
        <v>3</v>
      </c>
      <c r="J252" s="92" t="s">
        <v>10</v>
      </c>
      <c r="K252" s="92" t="s">
        <v>768</v>
      </c>
      <c r="L252" s="810">
        <v>1</v>
      </c>
      <c r="M252" s="811" t="str">
        <f t="shared" si="18"/>
        <v>Pre-school</v>
      </c>
      <c r="P252" s="1638"/>
      <c r="S252" s="848"/>
      <c r="T252" s="820"/>
      <c r="U252" s="820"/>
      <c r="V252" s="814">
        <f>SUM(S249:U252)</f>
        <v>15000</v>
      </c>
      <c r="X252" s="811" t="str">
        <f t="shared" si="21"/>
        <v/>
      </c>
      <c r="AB252" s="814">
        <f>SUM(Y249:AA252)</f>
        <v>0</v>
      </c>
      <c r="AC252" s="809"/>
      <c r="AD252" s="824"/>
      <c r="AG252" s="807" t="str">
        <f t="shared" si="22"/>
        <v/>
      </c>
      <c r="AI252" s="817"/>
      <c r="AJ252" s="817"/>
      <c r="AK252" s="92"/>
      <c r="AM252" s="819"/>
      <c r="AN252" s="820"/>
      <c r="AQ252" s="93"/>
      <c r="AR252" s="93"/>
      <c r="AS252" s="93"/>
      <c r="AT252" s="93"/>
      <c r="AU252" s="93"/>
      <c r="AV252" s="93"/>
      <c r="AW252" s="93"/>
      <c r="AX252" s="93"/>
      <c r="AY252" s="93"/>
      <c r="AZ252" s="93"/>
      <c r="BA252" s="93"/>
      <c r="BB252" s="93"/>
      <c r="BL252" s="93"/>
      <c r="BM252" s="93"/>
      <c r="BT252" s="93"/>
      <c r="BU252" s="93"/>
      <c r="BV252" s="93"/>
      <c r="BW252" s="93"/>
      <c r="BX252" s="93"/>
      <c r="BY252" s="93"/>
      <c r="BZ252" s="93"/>
      <c r="CA252" s="93"/>
      <c r="CB252" s="93"/>
      <c r="CC252" s="93"/>
      <c r="CF252" s="93"/>
      <c r="CG252" s="93"/>
      <c r="CH252" s="93"/>
      <c r="CI252" s="93"/>
      <c r="CJ252" s="93"/>
      <c r="CK252" s="93"/>
      <c r="CL252" s="93"/>
      <c r="CM252" s="93"/>
      <c r="CN252" s="93"/>
      <c r="CO252" s="93"/>
      <c r="CP252" s="93"/>
      <c r="CQ252" s="93"/>
      <c r="CR252" s="93"/>
      <c r="CS252" s="93"/>
      <c r="CT252" s="93"/>
      <c r="CU252" s="93"/>
      <c r="CV252" s="93"/>
      <c r="CW252" s="93"/>
      <c r="CX252" s="93"/>
      <c r="CY252" s="93"/>
      <c r="CZ252" s="93"/>
      <c r="DA252" s="93"/>
      <c r="DB252" s="93"/>
      <c r="DC252" s="93"/>
      <c r="DD252" s="93"/>
      <c r="DE252" s="93"/>
      <c r="DF252" s="93"/>
      <c r="DG252" s="93"/>
      <c r="DH252" s="93"/>
      <c r="DI252" s="93"/>
      <c r="DJ252" s="93"/>
      <c r="DK252" s="93"/>
      <c r="DL252" s="93"/>
      <c r="DM252" s="93"/>
      <c r="DN252" s="93"/>
      <c r="DO252" s="93"/>
    </row>
    <row r="253" spans="1:119" ht="15">
      <c r="A253" s="1076"/>
      <c r="B253" s="6"/>
      <c r="C253" s="6"/>
      <c r="D253" s="1062" t="s">
        <v>8558</v>
      </c>
      <c r="E253" s="807"/>
      <c r="F253" s="807"/>
      <c r="G253" s="846" t="s">
        <v>8558</v>
      </c>
      <c r="H253" s="809" t="s">
        <v>811</v>
      </c>
      <c r="I253" s="92">
        <v>70</v>
      </c>
      <c r="J253" s="92" t="s">
        <v>18</v>
      </c>
      <c r="K253" s="92" t="s">
        <v>783</v>
      </c>
      <c r="L253" s="810">
        <v>2</v>
      </c>
      <c r="M253" s="811" t="str">
        <f t="shared" si="18"/>
        <v>Elementary Level</v>
      </c>
      <c r="N253" s="92" t="s">
        <v>1208</v>
      </c>
      <c r="O253" s="812" t="s">
        <v>2199</v>
      </c>
      <c r="P253" s="1638"/>
      <c r="Q253" s="812" t="s">
        <v>2199</v>
      </c>
      <c r="R253" s="92" t="s">
        <v>8234</v>
      </c>
      <c r="S253" s="848"/>
      <c r="T253" s="820"/>
      <c r="U253" s="820">
        <v>500</v>
      </c>
      <c r="V253" s="829">
        <f>SUM(S253:U253)</f>
        <v>500</v>
      </c>
      <c r="W253" s="815">
        <v>1</v>
      </c>
      <c r="X253" s="811" t="str">
        <f t="shared" si="21"/>
        <v>within the Brgy</v>
      </c>
      <c r="AB253" s="829">
        <f>SUM(Y253:AA253)</f>
        <v>0</v>
      </c>
      <c r="AC253" s="809" t="s">
        <v>8559</v>
      </c>
      <c r="AD253" s="817" t="s">
        <v>811</v>
      </c>
      <c r="AG253" s="807" t="str">
        <f t="shared" si="22"/>
        <v/>
      </c>
      <c r="AI253" s="817"/>
      <c r="AJ253" s="817"/>
      <c r="AK253" s="862" t="s">
        <v>1927</v>
      </c>
      <c r="AL253" s="862" t="s">
        <v>8560</v>
      </c>
      <c r="AM253" s="863"/>
      <c r="AN253" s="833">
        <v>500</v>
      </c>
      <c r="AQ253" s="93"/>
      <c r="AR253" s="93"/>
      <c r="AS253" s="93"/>
      <c r="AT253" s="93"/>
      <c r="AU253" s="93"/>
      <c r="AV253" s="93"/>
      <c r="AW253" s="93"/>
      <c r="AX253" s="93"/>
      <c r="AY253" s="93"/>
      <c r="AZ253" s="93"/>
      <c r="BA253" s="93"/>
      <c r="BB253" s="93"/>
      <c r="BL253" s="93"/>
      <c r="BM253" s="93"/>
      <c r="BT253" s="93"/>
      <c r="BU253" s="93"/>
      <c r="BV253" s="93"/>
      <c r="BW253" s="93"/>
      <c r="BX253" s="93"/>
      <c r="BY253" s="93"/>
      <c r="BZ253" s="93"/>
      <c r="CA253" s="93"/>
      <c r="CB253" s="93"/>
      <c r="CC253" s="93"/>
      <c r="CF253" s="93"/>
      <c r="CG253" s="93"/>
      <c r="CH253" s="93"/>
      <c r="CI253" s="93"/>
      <c r="CJ253" s="93"/>
      <c r="CK253" s="93"/>
      <c r="CL253" s="93"/>
      <c r="CM253" s="93"/>
      <c r="CN253" s="93"/>
      <c r="CO253" s="93"/>
      <c r="CP253" s="93"/>
      <c r="CQ253" s="93"/>
      <c r="CR253" s="93"/>
      <c r="CS253" s="93"/>
      <c r="CT253" s="93"/>
      <c r="CU253" s="93"/>
      <c r="CV253" s="93"/>
      <c r="CW253" s="93"/>
      <c r="CX253" s="93"/>
      <c r="CY253" s="93"/>
      <c r="CZ253" s="93"/>
      <c r="DA253" s="93"/>
      <c r="DB253" s="93"/>
      <c r="DC253" s="93"/>
      <c r="DD253" s="93"/>
      <c r="DE253" s="93"/>
      <c r="DF253" s="93"/>
      <c r="DG253" s="93"/>
      <c r="DH253" s="93"/>
      <c r="DI253" s="93"/>
      <c r="DJ253" s="93"/>
      <c r="DK253" s="93"/>
      <c r="DL253" s="93"/>
      <c r="DM253" s="93"/>
      <c r="DN253" s="93"/>
      <c r="DO253" s="93"/>
    </row>
    <row r="254" spans="1:119" ht="15">
      <c r="A254" s="1076"/>
      <c r="B254" s="6"/>
      <c r="C254" s="6"/>
      <c r="D254" s="1062" t="s">
        <v>201</v>
      </c>
      <c r="E254" s="807"/>
      <c r="F254" s="807"/>
      <c r="G254" s="809" t="s">
        <v>201</v>
      </c>
      <c r="H254" s="809" t="s">
        <v>2062</v>
      </c>
      <c r="I254" s="92">
        <v>27</v>
      </c>
      <c r="J254" s="92" t="s">
        <v>18</v>
      </c>
      <c r="K254" s="92" t="s">
        <v>768</v>
      </c>
      <c r="L254" s="810">
        <v>7</v>
      </c>
      <c r="M254" s="811" t="str">
        <f t="shared" si="18"/>
        <v>College Graduate or Higher</v>
      </c>
      <c r="N254" s="92" t="s">
        <v>1208</v>
      </c>
      <c r="O254" s="92" t="s">
        <v>8561</v>
      </c>
      <c r="P254" s="1638"/>
      <c r="Q254" s="92" t="s">
        <v>8561</v>
      </c>
      <c r="R254" s="92" t="s">
        <v>8234</v>
      </c>
      <c r="S254" s="848"/>
      <c r="T254" s="820">
        <v>8000</v>
      </c>
      <c r="U254" s="820"/>
      <c r="V254" s="830"/>
      <c r="W254" s="815">
        <v>1</v>
      </c>
      <c r="X254" s="811" t="str">
        <f t="shared" si="21"/>
        <v>within the Brgy</v>
      </c>
      <c r="Y254" s="816">
        <v>528</v>
      </c>
      <c r="Z254" s="92"/>
      <c r="AB254" s="830"/>
      <c r="AC254" s="809" t="s">
        <v>8188</v>
      </c>
      <c r="AD254" s="824"/>
      <c r="AG254" s="807" t="str">
        <f t="shared" si="22"/>
        <v/>
      </c>
      <c r="AI254" s="817"/>
      <c r="AJ254" s="817"/>
      <c r="AK254" s="862" t="s">
        <v>2062</v>
      </c>
      <c r="AL254" s="862" t="s">
        <v>478</v>
      </c>
      <c r="AM254" s="863" t="s">
        <v>204</v>
      </c>
      <c r="AN254" s="833">
        <v>11000</v>
      </c>
      <c r="AQ254" s="93"/>
      <c r="AR254" s="93"/>
      <c r="AS254" s="93"/>
      <c r="AT254" s="93"/>
      <c r="AU254" s="93"/>
      <c r="AV254" s="93"/>
      <c r="AW254" s="93"/>
      <c r="AX254" s="93"/>
      <c r="AY254" s="93"/>
      <c r="AZ254" s="93"/>
      <c r="BA254" s="93"/>
      <c r="BB254" s="93"/>
      <c r="BL254" s="93"/>
      <c r="BM254" s="93"/>
      <c r="BT254" s="93"/>
      <c r="BU254" s="93"/>
      <c r="BV254" s="93"/>
      <c r="BW254" s="93"/>
      <c r="BX254" s="93"/>
      <c r="BY254" s="93"/>
      <c r="BZ254" s="93"/>
      <c r="CA254" s="93"/>
      <c r="CB254" s="93"/>
      <c r="CC254" s="93"/>
      <c r="CF254" s="93"/>
      <c r="CG254" s="93"/>
      <c r="CH254" s="93"/>
      <c r="CI254" s="93"/>
      <c r="CJ254" s="93"/>
      <c r="CK254" s="93"/>
      <c r="CL254" s="93"/>
      <c r="CM254" s="93"/>
      <c r="CN254" s="93"/>
      <c r="CO254" s="93"/>
      <c r="CP254" s="93"/>
      <c r="CQ254" s="93"/>
      <c r="CR254" s="93"/>
      <c r="CS254" s="93"/>
      <c r="CT254" s="93"/>
      <c r="CU254" s="93"/>
      <c r="CV254" s="93"/>
      <c r="CW254" s="93"/>
      <c r="CX254" s="93"/>
      <c r="CY254" s="93"/>
      <c r="CZ254" s="93"/>
      <c r="DA254" s="93"/>
      <c r="DB254" s="93"/>
      <c r="DC254" s="93"/>
      <c r="DD254" s="93"/>
      <c r="DE254" s="93"/>
      <c r="DF254" s="93"/>
      <c r="DG254" s="93"/>
      <c r="DH254" s="93"/>
      <c r="DI254" s="93"/>
      <c r="DJ254" s="93"/>
      <c r="DK254" s="93"/>
      <c r="DL254" s="93"/>
      <c r="DM254" s="93"/>
      <c r="DN254" s="93"/>
      <c r="DO254" s="93"/>
    </row>
    <row r="255" spans="1:119" ht="15">
      <c r="A255" s="1076"/>
      <c r="B255" s="6"/>
      <c r="C255" s="6"/>
      <c r="D255" s="1062"/>
      <c r="E255" s="807"/>
      <c r="F255" s="807"/>
      <c r="G255" s="827"/>
      <c r="H255" s="809" t="s">
        <v>8562</v>
      </c>
      <c r="I255" s="92">
        <v>31</v>
      </c>
      <c r="J255" s="92" t="s">
        <v>18</v>
      </c>
      <c r="K255" s="92" t="s">
        <v>768</v>
      </c>
      <c r="L255" s="810">
        <v>6</v>
      </c>
      <c r="M255" s="811" t="str">
        <f t="shared" si="18"/>
        <v>College Level</v>
      </c>
      <c r="N255" s="92" t="s">
        <v>1208</v>
      </c>
      <c r="O255" s="812" t="s">
        <v>8563</v>
      </c>
      <c r="P255" s="1638"/>
      <c r="Q255" s="812" t="s">
        <v>8563</v>
      </c>
      <c r="S255" s="848">
        <v>11000</v>
      </c>
      <c r="T255" s="820"/>
      <c r="U255" s="820"/>
      <c r="V255" s="830"/>
      <c r="W255" s="815">
        <v>2</v>
      </c>
      <c r="X255" s="811" t="str">
        <f t="shared" si="21"/>
        <v>within the Municipality/City</v>
      </c>
      <c r="AB255" s="830"/>
      <c r="AC255" s="809"/>
      <c r="AD255" s="824"/>
      <c r="AG255" s="807" t="str">
        <f t="shared" si="22"/>
        <v/>
      </c>
      <c r="AH255" s="809" t="s">
        <v>8562</v>
      </c>
      <c r="AI255" s="809"/>
      <c r="AJ255" s="848"/>
      <c r="AK255" s="862" t="s">
        <v>8562</v>
      </c>
      <c r="AL255" s="862"/>
      <c r="AM255" s="863"/>
      <c r="AN255" s="833">
        <v>8000</v>
      </c>
      <c r="AQ255" s="93"/>
      <c r="AR255" s="93"/>
      <c r="AS255" s="93"/>
      <c r="AT255" s="93"/>
      <c r="AU255" s="93"/>
      <c r="AV255" s="93"/>
      <c r="AW255" s="93"/>
      <c r="AX255" s="93"/>
      <c r="AY255" s="93"/>
      <c r="AZ255" s="93"/>
      <c r="BA255" s="93"/>
      <c r="BB255" s="93"/>
      <c r="BL255" s="93"/>
      <c r="BM255" s="93"/>
      <c r="BT255" s="93"/>
      <c r="BU255" s="93"/>
      <c r="BV255" s="93"/>
      <c r="BW255" s="93"/>
      <c r="BX255" s="93"/>
      <c r="BY255" s="93"/>
      <c r="BZ255" s="93"/>
      <c r="CA255" s="93"/>
      <c r="CB255" s="93"/>
      <c r="CC255" s="93"/>
      <c r="CF255" s="93"/>
      <c r="CG255" s="93"/>
      <c r="CH255" s="93"/>
      <c r="CI255" s="93"/>
      <c r="CJ255" s="93"/>
      <c r="CK255" s="93"/>
      <c r="CL255" s="93"/>
      <c r="CM255" s="93"/>
      <c r="CN255" s="93"/>
      <c r="CO255" s="93"/>
      <c r="CP255" s="93"/>
      <c r="CQ255" s="93"/>
      <c r="CR255" s="93"/>
      <c r="CS255" s="93"/>
      <c r="CT255" s="93"/>
      <c r="CU255" s="93"/>
      <c r="CV255" s="93"/>
      <c r="CW255" s="93"/>
      <c r="CX255" s="93"/>
      <c r="CY255" s="93"/>
      <c r="CZ255" s="93"/>
      <c r="DA255" s="93"/>
      <c r="DB255" s="93"/>
      <c r="DC255" s="93"/>
      <c r="DD255" s="93"/>
      <c r="DE255" s="93"/>
      <c r="DF255" s="93"/>
      <c r="DG255" s="93"/>
      <c r="DH255" s="93"/>
      <c r="DI255" s="93"/>
      <c r="DJ255" s="93"/>
      <c r="DK255" s="93"/>
      <c r="DL255" s="93"/>
      <c r="DM255" s="93"/>
      <c r="DN255" s="93"/>
      <c r="DO255" s="93"/>
    </row>
    <row r="256" spans="1:119" ht="15">
      <c r="A256" s="1076"/>
      <c r="B256" s="6"/>
      <c r="C256" s="6"/>
      <c r="D256" s="1062"/>
      <c r="E256" s="807"/>
      <c r="F256" s="807"/>
      <c r="G256" s="827"/>
      <c r="H256" s="809" t="s">
        <v>8564</v>
      </c>
      <c r="I256" s="92">
        <v>19</v>
      </c>
      <c r="J256" s="92" t="s">
        <v>18</v>
      </c>
      <c r="K256" s="92" t="s">
        <v>768</v>
      </c>
      <c r="L256" s="810">
        <v>4</v>
      </c>
      <c r="M256" s="811" t="str">
        <f t="shared" si="18"/>
        <v>High School Level</v>
      </c>
      <c r="N256" s="92" t="s">
        <v>1208</v>
      </c>
      <c r="O256" s="812" t="s">
        <v>8455</v>
      </c>
      <c r="P256" s="1638"/>
      <c r="Q256" s="812" t="s">
        <v>8455</v>
      </c>
      <c r="S256" s="848">
        <v>3000</v>
      </c>
      <c r="T256" s="820"/>
      <c r="U256" s="820"/>
      <c r="V256" s="830">
        <f>SUM(S254:U256)</f>
        <v>22000</v>
      </c>
      <c r="W256" s="815">
        <v>1</v>
      </c>
      <c r="X256" s="811" t="str">
        <f t="shared" si="21"/>
        <v>within the Brgy</v>
      </c>
      <c r="AB256" s="830">
        <f>SUM(Y254:AA256)</f>
        <v>528</v>
      </c>
      <c r="AC256" s="809"/>
      <c r="AD256" s="824"/>
      <c r="AG256" s="807" t="str">
        <f t="shared" si="22"/>
        <v/>
      </c>
      <c r="AH256" s="809" t="s">
        <v>8564</v>
      </c>
      <c r="AI256" s="809"/>
      <c r="AJ256" s="848"/>
      <c r="AK256" s="862" t="s">
        <v>8564</v>
      </c>
      <c r="AL256" s="862" t="s">
        <v>2223</v>
      </c>
      <c r="AM256" s="863"/>
      <c r="AN256" s="833">
        <v>3000</v>
      </c>
      <c r="AQ256" s="93"/>
      <c r="AR256" s="93"/>
      <c r="AS256" s="93"/>
      <c r="AT256" s="93"/>
      <c r="AU256" s="93"/>
      <c r="AV256" s="93"/>
      <c r="AW256" s="93"/>
      <c r="AX256" s="93"/>
      <c r="AY256" s="93"/>
      <c r="AZ256" s="93"/>
      <c r="BA256" s="93"/>
      <c r="BB256" s="93"/>
      <c r="BL256" s="93"/>
      <c r="BM256" s="93"/>
      <c r="BT256" s="93"/>
      <c r="BU256" s="93"/>
      <c r="BV256" s="93"/>
      <c r="BW256" s="93"/>
      <c r="BX256" s="93"/>
      <c r="BY256" s="93"/>
      <c r="BZ256" s="93"/>
      <c r="CA256" s="93"/>
      <c r="CB256" s="93"/>
      <c r="CC256" s="93"/>
      <c r="CF256" s="93"/>
      <c r="CG256" s="93"/>
      <c r="CH256" s="93"/>
      <c r="CI256" s="93"/>
      <c r="CJ256" s="93"/>
      <c r="CK256" s="93"/>
      <c r="CL256" s="93"/>
      <c r="CM256" s="93"/>
      <c r="CN256" s="93"/>
      <c r="CO256" s="93"/>
      <c r="CP256" s="93"/>
      <c r="CQ256" s="93"/>
      <c r="CR256" s="93"/>
      <c r="CS256" s="93"/>
      <c r="CT256" s="93"/>
      <c r="CU256" s="93"/>
      <c r="CV256" s="93"/>
      <c r="CW256" s="93"/>
      <c r="CX256" s="93"/>
      <c r="CY256" s="93"/>
      <c r="CZ256" s="93"/>
      <c r="DA256" s="93"/>
      <c r="DB256" s="93"/>
      <c r="DC256" s="93"/>
      <c r="DD256" s="93"/>
      <c r="DE256" s="93"/>
      <c r="DF256" s="93"/>
      <c r="DG256" s="93"/>
      <c r="DH256" s="93"/>
      <c r="DI256" s="93"/>
      <c r="DJ256" s="93"/>
      <c r="DK256" s="93"/>
      <c r="DL256" s="93"/>
      <c r="DM256" s="93"/>
      <c r="DN256" s="93"/>
      <c r="DO256" s="93"/>
    </row>
    <row r="257" spans="1:119" ht="15">
      <c r="A257" s="1076"/>
      <c r="B257" s="6"/>
      <c r="C257" s="164"/>
      <c r="D257" s="1062" t="s">
        <v>207</v>
      </c>
      <c r="E257" s="807"/>
      <c r="F257" s="807"/>
      <c r="G257" s="809" t="s">
        <v>207</v>
      </c>
      <c r="H257" s="809" t="s">
        <v>1307</v>
      </c>
      <c r="I257" s="857">
        <v>60</v>
      </c>
      <c r="J257" s="92" t="s">
        <v>10</v>
      </c>
      <c r="K257" s="92" t="s">
        <v>707</v>
      </c>
      <c r="L257" s="810">
        <v>3</v>
      </c>
      <c r="M257" s="811" t="str">
        <f t="shared" si="18"/>
        <v>Elementary Graduate</v>
      </c>
      <c r="N257" s="92" t="s">
        <v>1208</v>
      </c>
      <c r="O257" s="812" t="s">
        <v>3614</v>
      </c>
      <c r="P257" s="1638"/>
      <c r="Q257" s="812" t="s">
        <v>3614</v>
      </c>
      <c r="R257" s="92" t="s">
        <v>8234</v>
      </c>
      <c r="S257" s="848"/>
      <c r="T257" s="820">
        <v>27000</v>
      </c>
      <c r="U257" s="820"/>
      <c r="W257" s="815">
        <v>1</v>
      </c>
      <c r="X257" s="811" t="str">
        <f t="shared" si="21"/>
        <v>within the Brgy</v>
      </c>
      <c r="Y257" s="816">
        <v>600</v>
      </c>
      <c r="Z257" s="836"/>
      <c r="AB257" s="814"/>
      <c r="AC257" s="809" t="s">
        <v>8348</v>
      </c>
      <c r="AD257" s="817" t="s">
        <v>8565</v>
      </c>
      <c r="AG257" s="807" t="str">
        <f t="shared" si="22"/>
        <v/>
      </c>
      <c r="AI257" s="817"/>
      <c r="AJ257" s="817"/>
      <c r="AK257" s="92"/>
      <c r="AM257" s="819"/>
      <c r="AN257" s="820">
        <v>0</v>
      </c>
      <c r="AQ257" s="93"/>
      <c r="AR257" s="93"/>
      <c r="AS257" s="93"/>
      <c r="AT257" s="93"/>
      <c r="AU257" s="93"/>
      <c r="AV257" s="93"/>
      <c r="AW257" s="93"/>
      <c r="AX257" s="93"/>
      <c r="AY257" s="93"/>
      <c r="AZ257" s="93"/>
      <c r="BA257" s="93"/>
      <c r="BB257" s="93"/>
      <c r="BL257" s="93"/>
      <c r="BM257" s="93"/>
      <c r="BT257" s="93"/>
      <c r="BU257" s="93"/>
      <c r="BV257" s="93"/>
      <c r="BW257" s="93"/>
      <c r="BX257" s="93"/>
      <c r="BY257" s="93"/>
      <c r="BZ257" s="93"/>
      <c r="CA257" s="93"/>
      <c r="CB257" s="93"/>
      <c r="CC257" s="93"/>
      <c r="CF257" s="93"/>
      <c r="CG257" s="93"/>
      <c r="CH257" s="93"/>
      <c r="CI257" s="93"/>
      <c r="CJ257" s="93"/>
      <c r="CK257" s="93"/>
      <c r="CL257" s="93"/>
      <c r="CM257" s="93"/>
      <c r="CN257" s="93"/>
      <c r="CO257" s="93"/>
      <c r="CP257" s="93"/>
      <c r="CQ257" s="93"/>
      <c r="CR257" s="93"/>
      <c r="CS257" s="93"/>
      <c r="CT257" s="93"/>
      <c r="CU257" s="93"/>
      <c r="CV257" s="1837" t="s">
        <v>2145</v>
      </c>
      <c r="CW257" s="1837"/>
      <c r="CX257" s="1837"/>
      <c r="CY257" s="1837"/>
      <c r="CZ257" s="1837"/>
      <c r="DA257" s="1837"/>
      <c r="DB257" s="1837"/>
      <c r="DC257" s="1837"/>
      <c r="DD257" s="1837"/>
      <c r="DE257" s="1837"/>
      <c r="DF257" s="1837" t="s">
        <v>2144</v>
      </c>
      <c r="DG257" s="93"/>
      <c r="DH257" s="93"/>
      <c r="DI257" s="93"/>
      <c r="DJ257" s="93"/>
      <c r="DK257" s="93"/>
      <c r="DL257" s="93"/>
      <c r="DM257" s="93"/>
      <c r="DN257" s="93"/>
      <c r="DO257" s="93"/>
    </row>
    <row r="258" spans="1:119" ht="15">
      <c r="A258" s="1076"/>
      <c r="B258" s="6"/>
      <c r="C258" s="164"/>
      <c r="D258" s="1062"/>
      <c r="E258" s="807"/>
      <c r="F258" s="807"/>
      <c r="G258" s="827"/>
      <c r="H258" s="809" t="s">
        <v>8566</v>
      </c>
      <c r="I258" s="92">
        <v>57</v>
      </c>
      <c r="J258" s="92" t="s">
        <v>18</v>
      </c>
      <c r="K258" s="92" t="s">
        <v>707</v>
      </c>
      <c r="L258" s="810">
        <v>3</v>
      </c>
      <c r="M258" s="811" t="str">
        <f t="shared" si="18"/>
        <v>Elementary Graduate</v>
      </c>
      <c r="P258" s="1638"/>
      <c r="S258" s="848"/>
      <c r="T258" s="820"/>
      <c r="U258" s="820"/>
      <c r="X258" s="811" t="str">
        <f t="shared" si="21"/>
        <v/>
      </c>
      <c r="AB258" s="814"/>
      <c r="AC258" s="809"/>
      <c r="AD258" s="824"/>
      <c r="AG258" s="807" t="str">
        <f t="shared" si="22"/>
        <v/>
      </c>
      <c r="AI258" s="817"/>
      <c r="AJ258" s="817"/>
      <c r="AK258" s="92"/>
      <c r="AM258" s="819"/>
      <c r="AN258" s="820"/>
      <c r="AQ258" s="93"/>
      <c r="AR258" s="93"/>
      <c r="AS258" s="93"/>
      <c r="AT258" s="93"/>
      <c r="AU258" s="93"/>
      <c r="AV258" s="93"/>
      <c r="AW258" s="93"/>
      <c r="AX258" s="93"/>
      <c r="AY258" s="93"/>
      <c r="AZ258" s="93"/>
      <c r="BA258" s="93"/>
      <c r="BB258" s="93"/>
      <c r="BL258" s="93"/>
      <c r="BM258" s="93"/>
      <c r="BT258" s="93"/>
      <c r="BU258" s="93"/>
      <c r="BV258" s="93"/>
      <c r="BW258" s="93"/>
      <c r="BX258" s="93"/>
      <c r="BY258" s="93"/>
      <c r="BZ258" s="93"/>
      <c r="CA258" s="93"/>
      <c r="CB258" s="93"/>
      <c r="CC258" s="93"/>
      <c r="CF258" s="93"/>
      <c r="CG258" s="93"/>
      <c r="CH258" s="93"/>
      <c r="CI258" s="93"/>
      <c r="CJ258" s="93"/>
      <c r="CK258" s="93"/>
      <c r="CL258" s="93"/>
      <c r="CM258" s="93"/>
      <c r="CN258" s="93"/>
      <c r="CO258" s="93"/>
      <c r="CP258" s="93"/>
      <c r="CQ258" s="93"/>
      <c r="CR258" s="93"/>
      <c r="CS258" s="93" t="s">
        <v>2144</v>
      </c>
      <c r="CT258" s="93"/>
      <c r="CU258" s="93"/>
      <c r="CV258" s="93"/>
      <c r="CW258" s="93"/>
      <c r="CX258" s="93"/>
      <c r="CY258" s="93"/>
      <c r="CZ258" s="93"/>
      <c r="DA258" s="93"/>
      <c r="DB258" s="93"/>
      <c r="DC258" s="93"/>
      <c r="DD258" s="93"/>
      <c r="DE258" s="93"/>
      <c r="DF258" s="93"/>
      <c r="DG258" s="93"/>
      <c r="DH258" s="93"/>
      <c r="DI258" s="93"/>
      <c r="DJ258" s="93"/>
      <c r="DK258" s="93"/>
      <c r="DL258" s="93"/>
      <c r="DM258" s="93"/>
      <c r="DN258" s="93"/>
      <c r="DO258" s="93"/>
    </row>
    <row r="259" spans="1:119" ht="15">
      <c r="A259" s="1076"/>
      <c r="B259" s="6"/>
      <c r="C259" s="164"/>
      <c r="D259" s="1062"/>
      <c r="E259" s="807"/>
      <c r="F259" s="807"/>
      <c r="G259" s="827"/>
      <c r="H259" s="809" t="s">
        <v>8567</v>
      </c>
      <c r="I259" s="92">
        <v>14</v>
      </c>
      <c r="J259" s="92" t="s">
        <v>10</v>
      </c>
      <c r="K259" s="92" t="s">
        <v>768</v>
      </c>
      <c r="L259" s="810">
        <v>4</v>
      </c>
      <c r="M259" s="811" t="str">
        <f t="shared" si="18"/>
        <v>High School Level</v>
      </c>
      <c r="P259" s="1638"/>
      <c r="S259" s="848"/>
      <c r="T259" s="820"/>
      <c r="U259" s="820"/>
      <c r="V259" s="814">
        <f>SUM(S257:U259)</f>
        <v>27000</v>
      </c>
      <c r="X259" s="811" t="str">
        <f t="shared" si="21"/>
        <v/>
      </c>
      <c r="AB259" s="814">
        <f>SUM(Y257:AA259)</f>
        <v>600</v>
      </c>
      <c r="AC259" s="809"/>
      <c r="AD259" s="824"/>
      <c r="AG259" s="807" t="str">
        <f t="shared" si="22"/>
        <v/>
      </c>
      <c r="AI259" s="817"/>
      <c r="AJ259" s="817"/>
      <c r="AK259" s="92"/>
      <c r="AM259" s="819"/>
      <c r="AN259" s="820"/>
      <c r="AQ259" s="93"/>
      <c r="AR259" s="93"/>
      <c r="AS259" s="93"/>
      <c r="AT259" s="93"/>
      <c r="AU259" s="93"/>
      <c r="AV259" s="93"/>
      <c r="AW259" s="93"/>
      <c r="AX259" s="93"/>
      <c r="AY259" s="93"/>
      <c r="AZ259" s="93"/>
      <c r="BA259" s="93"/>
      <c r="BB259" s="93"/>
      <c r="BL259" s="93"/>
      <c r="BM259" s="93"/>
      <c r="BT259" s="93"/>
      <c r="BU259" s="93"/>
      <c r="BV259" s="93"/>
      <c r="BW259" s="93"/>
      <c r="BX259" s="93"/>
      <c r="BY259" s="93"/>
      <c r="BZ259" s="93"/>
      <c r="CA259" s="93"/>
      <c r="CB259" s="93"/>
      <c r="CC259" s="93"/>
      <c r="CF259" s="93"/>
      <c r="CG259" s="93"/>
      <c r="CH259" s="93"/>
      <c r="CI259" s="93"/>
      <c r="CJ259" s="93"/>
      <c r="CK259" s="93"/>
      <c r="CL259" s="93"/>
      <c r="CM259" s="93"/>
      <c r="CN259" s="93"/>
      <c r="CO259" s="93"/>
      <c r="CP259" s="93"/>
      <c r="CQ259" s="93"/>
      <c r="CR259" s="93"/>
      <c r="CS259" s="93"/>
      <c r="CT259" s="93"/>
      <c r="CU259" s="93"/>
      <c r="CV259" s="93"/>
      <c r="CW259" s="93"/>
      <c r="CX259" s="93"/>
      <c r="CY259" s="93"/>
      <c r="CZ259" s="93"/>
      <c r="DA259" s="93"/>
      <c r="DB259" s="93"/>
      <c r="DC259" s="93"/>
      <c r="DD259" s="93"/>
      <c r="DE259" s="93"/>
      <c r="DF259" s="93"/>
      <c r="DG259" s="93"/>
      <c r="DH259" s="93"/>
      <c r="DI259" s="93"/>
      <c r="DJ259" s="93"/>
      <c r="DK259" s="93"/>
      <c r="DL259" s="93"/>
      <c r="DM259" s="93"/>
      <c r="DN259" s="93"/>
      <c r="DO259" s="93"/>
    </row>
    <row r="260" spans="1:119" ht="15">
      <c r="D260" s="1062" t="s">
        <v>213</v>
      </c>
      <c r="E260" s="807"/>
      <c r="F260" s="807"/>
      <c r="G260" s="809" t="s">
        <v>213</v>
      </c>
      <c r="H260" s="809" t="s">
        <v>8568</v>
      </c>
      <c r="I260" s="92">
        <v>38</v>
      </c>
      <c r="J260" s="92" t="s">
        <v>18</v>
      </c>
      <c r="K260" s="92" t="s">
        <v>768</v>
      </c>
      <c r="L260" s="810">
        <v>5</v>
      </c>
      <c r="M260" s="811" t="str">
        <f t="shared" si="18"/>
        <v>High School Graduate</v>
      </c>
      <c r="N260" s="92" t="s">
        <v>1208</v>
      </c>
      <c r="O260" s="812" t="s">
        <v>2203</v>
      </c>
      <c r="P260" s="1638"/>
      <c r="Q260" s="812" t="s">
        <v>2203</v>
      </c>
      <c r="S260" s="848"/>
      <c r="T260" s="820">
        <v>15000</v>
      </c>
      <c r="U260" s="820"/>
      <c r="V260" s="828"/>
      <c r="W260" s="815">
        <v>1</v>
      </c>
      <c r="X260" s="811" t="str">
        <f t="shared" si="21"/>
        <v>within the Brgy</v>
      </c>
      <c r="AB260" s="828"/>
      <c r="AC260" s="809"/>
      <c r="AD260" s="824"/>
      <c r="AG260" s="807" t="str">
        <f t="shared" si="22"/>
        <v/>
      </c>
      <c r="AI260" s="817"/>
      <c r="AJ260" s="817"/>
      <c r="AK260" s="92"/>
      <c r="AM260" s="819"/>
      <c r="AN260" s="820"/>
      <c r="AQ260" s="93"/>
      <c r="AR260" s="93"/>
      <c r="AS260" s="93"/>
      <c r="AT260" s="93"/>
      <c r="AU260" s="93"/>
      <c r="AV260" s="93"/>
      <c r="AW260" s="93"/>
      <c r="AX260" s="93"/>
      <c r="AY260" s="93"/>
      <c r="AZ260" s="93"/>
      <c r="BA260" s="93"/>
      <c r="BB260" s="93"/>
      <c r="BL260" s="93"/>
      <c r="BM260" s="93"/>
      <c r="BT260" s="93"/>
      <c r="BU260" s="93"/>
      <c r="BV260" s="93"/>
      <c r="BW260" s="93"/>
      <c r="BX260" s="93"/>
      <c r="BY260" s="93"/>
      <c r="BZ260" s="93"/>
      <c r="CA260" s="93"/>
      <c r="CB260" s="93"/>
      <c r="CC260" s="93"/>
      <c r="CF260" s="93"/>
      <c r="CG260" s="93"/>
      <c r="CH260" s="93"/>
      <c r="CI260" s="93"/>
      <c r="CJ260" s="93"/>
      <c r="CK260" s="93"/>
      <c r="CL260" s="93"/>
      <c r="CM260" s="93"/>
      <c r="CN260" s="93"/>
      <c r="CO260" s="93"/>
      <c r="CP260" s="93"/>
      <c r="CQ260" s="93"/>
      <c r="CR260" s="93"/>
      <c r="CS260" s="93"/>
      <c r="CT260" s="93"/>
      <c r="CU260" s="93"/>
      <c r="CV260" s="93"/>
      <c r="CW260" s="93"/>
      <c r="CX260" s="93"/>
      <c r="CY260" s="93"/>
      <c r="CZ260" s="93"/>
      <c r="DA260" s="93"/>
      <c r="DB260" s="93"/>
      <c r="DC260" s="93"/>
      <c r="DD260" s="93"/>
      <c r="DE260" s="93"/>
      <c r="DF260" s="93"/>
      <c r="DG260" s="93"/>
      <c r="DH260" s="93"/>
      <c r="DI260" s="93"/>
      <c r="DJ260" s="93"/>
      <c r="DK260" s="93"/>
      <c r="DL260" s="93"/>
      <c r="DM260" s="93"/>
      <c r="DN260" s="93"/>
      <c r="DO260" s="93"/>
    </row>
    <row r="261" spans="1:119" ht="15">
      <c r="D261" s="1062"/>
      <c r="E261" s="807"/>
      <c r="F261" s="807"/>
      <c r="G261" s="827"/>
      <c r="H261" s="809" t="s">
        <v>8569</v>
      </c>
      <c r="I261" s="92">
        <v>36</v>
      </c>
      <c r="J261" s="92" t="s">
        <v>10</v>
      </c>
      <c r="K261" s="92" t="s">
        <v>707</v>
      </c>
      <c r="L261" s="810">
        <v>7</v>
      </c>
      <c r="M261" s="811" t="str">
        <f t="shared" si="18"/>
        <v>College Graduate or Higher</v>
      </c>
      <c r="P261" s="1638"/>
      <c r="S261" s="848"/>
      <c r="T261" s="820"/>
      <c r="U261" s="820"/>
      <c r="V261" s="828"/>
      <c r="X261" s="811" t="str">
        <f t="shared" si="21"/>
        <v/>
      </c>
      <c r="AB261" s="828"/>
      <c r="AC261" s="809"/>
      <c r="AD261" s="824"/>
      <c r="AG261" s="807" t="str">
        <f t="shared" si="22"/>
        <v/>
      </c>
      <c r="AI261" s="817"/>
      <c r="AJ261" s="817"/>
      <c r="AK261" s="92"/>
      <c r="AM261" s="819"/>
      <c r="AN261" s="820"/>
      <c r="AQ261" s="93"/>
      <c r="AR261" s="93"/>
      <c r="AS261" s="93"/>
      <c r="AT261" s="93"/>
      <c r="AU261" s="93"/>
      <c r="AV261" s="93"/>
      <c r="AW261" s="93"/>
      <c r="AX261" s="93"/>
      <c r="AY261" s="93"/>
      <c r="AZ261" s="93"/>
      <c r="BA261" s="93"/>
      <c r="BB261" s="93"/>
      <c r="BL261" s="93"/>
      <c r="BM261" s="93"/>
      <c r="BT261" s="93"/>
      <c r="BU261" s="93"/>
      <c r="BV261" s="93"/>
      <c r="BW261" s="93"/>
      <c r="BX261" s="93"/>
      <c r="BY261" s="93"/>
      <c r="BZ261" s="93"/>
      <c r="CA261" s="93"/>
      <c r="CB261" s="93"/>
      <c r="CC261" s="93"/>
      <c r="CF261" s="93"/>
      <c r="CG261" s="93"/>
      <c r="CH261" s="93"/>
      <c r="CI261" s="93"/>
      <c r="CJ261" s="93"/>
      <c r="CK261" s="93"/>
      <c r="CL261" s="93"/>
      <c r="CM261" s="93"/>
      <c r="CN261" s="93"/>
      <c r="CO261" s="93"/>
      <c r="CP261" s="93"/>
      <c r="CQ261" s="93"/>
      <c r="CR261" s="93"/>
      <c r="CS261" s="93"/>
      <c r="CT261" s="93"/>
      <c r="CU261" s="93"/>
      <c r="CV261" s="93"/>
      <c r="CW261" s="93"/>
      <c r="CX261" s="93"/>
      <c r="CY261" s="93"/>
      <c r="CZ261" s="93"/>
      <c r="DA261" s="93"/>
      <c r="DB261" s="93"/>
      <c r="DC261" s="93"/>
      <c r="DD261" s="93"/>
      <c r="DE261" s="93"/>
      <c r="DF261" s="93"/>
      <c r="DG261" s="93"/>
      <c r="DH261" s="93"/>
      <c r="DI261" s="93"/>
      <c r="DJ261" s="93"/>
      <c r="DK261" s="93"/>
      <c r="DL261" s="93"/>
      <c r="DM261" s="93"/>
      <c r="DN261" s="93"/>
      <c r="DO261" s="93"/>
    </row>
    <row r="262" spans="1:119" ht="15">
      <c r="D262" s="1062"/>
      <c r="E262" s="807"/>
      <c r="F262" s="807"/>
      <c r="G262" s="827"/>
      <c r="H262" s="809" t="s">
        <v>8570</v>
      </c>
      <c r="I262" s="92">
        <v>34</v>
      </c>
      <c r="J262" s="92" t="s">
        <v>10</v>
      </c>
      <c r="K262" s="92" t="s">
        <v>768</v>
      </c>
      <c r="L262" s="810">
        <v>4</v>
      </c>
      <c r="M262" s="811" t="str">
        <f t="shared" si="18"/>
        <v>High School Level</v>
      </c>
      <c r="P262" s="1638"/>
      <c r="S262" s="848"/>
      <c r="T262" s="820"/>
      <c r="U262" s="820"/>
      <c r="V262" s="828"/>
      <c r="X262" s="811" t="str">
        <f t="shared" si="21"/>
        <v/>
      </c>
      <c r="AB262" s="828"/>
      <c r="AC262" s="809"/>
      <c r="AD262" s="824"/>
      <c r="AG262" s="807" t="str">
        <f t="shared" si="22"/>
        <v/>
      </c>
      <c r="AI262" s="817"/>
      <c r="AJ262" s="817"/>
      <c r="AK262" s="92"/>
      <c r="AM262" s="819"/>
      <c r="AN262" s="820"/>
      <c r="AQ262" s="93" t="s">
        <v>2144</v>
      </c>
      <c r="AR262" s="93"/>
      <c r="AS262" s="93"/>
      <c r="AT262" s="93"/>
      <c r="AU262" s="93"/>
      <c r="AV262" s="93"/>
      <c r="AW262" s="93"/>
      <c r="AX262" s="93"/>
      <c r="AY262" s="93"/>
      <c r="AZ262" s="93"/>
      <c r="BA262" s="93"/>
      <c r="BB262" s="93"/>
      <c r="BL262" s="93"/>
      <c r="BM262" s="93"/>
      <c r="BT262" s="93"/>
      <c r="BU262" s="93"/>
      <c r="BV262" s="93"/>
      <c r="BW262" s="93"/>
      <c r="BX262" s="93"/>
      <c r="BY262" s="93"/>
      <c r="BZ262" s="93"/>
      <c r="CA262" s="93"/>
      <c r="CB262" s="93"/>
      <c r="CC262" s="93"/>
      <c r="CF262" s="93"/>
      <c r="CG262" s="93"/>
      <c r="CH262" s="93"/>
      <c r="CI262" s="93"/>
      <c r="CJ262" s="93"/>
      <c r="CK262" s="93"/>
      <c r="CL262" s="93"/>
      <c r="CM262" s="93"/>
      <c r="CN262" s="93"/>
      <c r="CO262" s="93"/>
      <c r="CP262" s="93"/>
      <c r="CQ262" s="93"/>
      <c r="CR262" s="93"/>
      <c r="CS262" s="93"/>
      <c r="CT262" s="93"/>
      <c r="CU262" s="93"/>
      <c r="CV262" s="93"/>
      <c r="CW262" s="93"/>
      <c r="CX262" s="93"/>
      <c r="CY262" s="93"/>
      <c r="CZ262" s="93"/>
      <c r="DA262" s="93"/>
      <c r="DB262" s="93"/>
      <c r="DC262" s="93"/>
      <c r="DD262" s="93"/>
      <c r="DE262" s="93"/>
      <c r="DF262" s="93"/>
      <c r="DG262" s="93"/>
      <c r="DH262" s="93"/>
      <c r="DI262" s="93"/>
      <c r="DJ262" s="93"/>
      <c r="DK262" s="93"/>
      <c r="DL262" s="93"/>
      <c r="DM262" s="93"/>
      <c r="DN262" s="93"/>
      <c r="DO262" s="93"/>
    </row>
    <row r="263" spans="1:119" ht="15">
      <c r="D263" s="1062"/>
      <c r="E263" s="807"/>
      <c r="F263" s="807"/>
      <c r="G263" s="827"/>
      <c r="H263" s="809" t="s">
        <v>8571</v>
      </c>
      <c r="I263" s="92">
        <v>31</v>
      </c>
      <c r="J263" s="92" t="s">
        <v>10</v>
      </c>
      <c r="K263" s="92" t="s">
        <v>768</v>
      </c>
      <c r="L263" s="810">
        <v>4</v>
      </c>
      <c r="M263" s="811" t="str">
        <f t="shared" si="18"/>
        <v>High School Level</v>
      </c>
      <c r="P263" s="1638"/>
      <c r="S263" s="848"/>
      <c r="T263" s="820"/>
      <c r="U263" s="820"/>
      <c r="V263" s="828"/>
      <c r="X263" s="811" t="str">
        <f t="shared" si="21"/>
        <v/>
      </c>
      <c r="AB263" s="828"/>
      <c r="AC263" s="809"/>
      <c r="AD263" s="824"/>
      <c r="AG263" s="807" t="str">
        <f t="shared" si="22"/>
        <v/>
      </c>
      <c r="AI263" s="817"/>
      <c r="AJ263" s="817"/>
      <c r="AK263" s="92"/>
      <c r="AM263" s="819"/>
      <c r="AN263" s="820"/>
      <c r="AQ263" s="93"/>
      <c r="AR263" s="93" t="s">
        <v>2144</v>
      </c>
      <c r="AS263" s="93"/>
      <c r="AT263" s="93"/>
      <c r="AU263" s="93"/>
      <c r="AV263" s="93"/>
      <c r="AW263" s="93"/>
      <c r="AX263" s="93"/>
      <c r="AY263" s="93"/>
      <c r="AZ263" s="93"/>
      <c r="BA263" s="93"/>
      <c r="BB263" s="93"/>
      <c r="BL263" s="93"/>
      <c r="BM263" s="93"/>
      <c r="BT263" s="93"/>
      <c r="BU263" s="93"/>
      <c r="BV263" s="93"/>
      <c r="BW263" s="93"/>
      <c r="BX263" s="93"/>
      <c r="BY263" s="93"/>
      <c r="BZ263" s="93"/>
      <c r="CA263" s="93"/>
      <c r="CB263" s="93"/>
      <c r="CC263" s="93"/>
      <c r="CF263" s="93"/>
      <c r="CG263" s="93"/>
      <c r="CH263" s="93"/>
      <c r="CI263" s="93"/>
      <c r="CJ263" s="93"/>
      <c r="CK263" s="93"/>
      <c r="CL263" s="93"/>
      <c r="CM263" s="93"/>
      <c r="CN263" s="93"/>
      <c r="CO263" s="93"/>
      <c r="CP263" s="93"/>
      <c r="CQ263" s="93"/>
      <c r="CR263" s="93"/>
      <c r="CS263" s="93"/>
      <c r="CT263" s="93"/>
      <c r="CU263" s="93"/>
      <c r="CV263" s="93"/>
      <c r="CW263" s="93"/>
      <c r="CX263" s="93"/>
      <c r="CY263" s="93"/>
      <c r="CZ263" s="93"/>
      <c r="DA263" s="93"/>
      <c r="DB263" s="93"/>
      <c r="DC263" s="93"/>
      <c r="DD263" s="93"/>
      <c r="DE263" s="93"/>
      <c r="DF263" s="93"/>
      <c r="DG263" s="93"/>
      <c r="DH263" s="93"/>
      <c r="DI263" s="93"/>
      <c r="DJ263" s="93"/>
      <c r="DK263" s="93"/>
      <c r="DL263" s="93"/>
      <c r="DM263" s="93"/>
      <c r="DN263" s="93"/>
      <c r="DO263" s="93"/>
    </row>
    <row r="264" spans="1:119" ht="15">
      <c r="D264" s="1062"/>
      <c r="E264" s="807"/>
      <c r="F264" s="807"/>
      <c r="G264" s="827"/>
      <c r="H264" s="809" t="s">
        <v>8572</v>
      </c>
      <c r="I264" s="92">
        <v>27</v>
      </c>
      <c r="J264" s="92" t="s">
        <v>18</v>
      </c>
      <c r="K264" s="92" t="s">
        <v>768</v>
      </c>
      <c r="L264" s="810">
        <v>5</v>
      </c>
      <c r="M264" s="811" t="str">
        <f t="shared" si="18"/>
        <v>High School Graduate</v>
      </c>
      <c r="O264" s="92"/>
      <c r="P264" s="1638"/>
      <c r="Q264" s="92"/>
      <c r="R264" s="92"/>
      <c r="S264" s="848"/>
      <c r="T264" s="820"/>
      <c r="U264" s="820"/>
      <c r="V264" s="828"/>
      <c r="X264" s="811" t="str">
        <f t="shared" si="21"/>
        <v/>
      </c>
      <c r="AB264" s="828"/>
      <c r="AC264" s="809"/>
      <c r="AD264" s="824"/>
      <c r="AG264" s="807" t="str">
        <f t="shared" si="22"/>
        <v/>
      </c>
      <c r="AI264" s="817"/>
      <c r="AJ264" s="817"/>
      <c r="AK264" s="92"/>
      <c r="AM264" s="819"/>
      <c r="AN264" s="820"/>
      <c r="AQ264" s="93"/>
      <c r="AR264" s="93"/>
      <c r="AS264" s="93"/>
      <c r="AT264" s="93"/>
      <c r="AU264" s="93"/>
      <c r="AV264" s="93"/>
      <c r="AW264" s="93"/>
      <c r="AX264" s="93"/>
      <c r="AY264" s="93"/>
      <c r="AZ264" s="93"/>
      <c r="BA264" s="93"/>
      <c r="BB264" s="93"/>
      <c r="BL264" s="93"/>
      <c r="BM264" s="93"/>
      <c r="BT264" s="93"/>
      <c r="BU264" s="93"/>
      <c r="BV264" s="93"/>
      <c r="BW264" s="93"/>
      <c r="BX264" s="93"/>
      <c r="BY264" s="93"/>
      <c r="BZ264" s="93"/>
      <c r="CA264" s="93"/>
      <c r="CB264" s="93"/>
      <c r="CC264" s="93"/>
      <c r="CF264" s="93"/>
      <c r="CG264" s="93"/>
      <c r="CH264" s="93"/>
      <c r="CI264" s="93"/>
      <c r="CJ264" s="93"/>
      <c r="CK264" s="93"/>
      <c r="CL264" s="93"/>
      <c r="CM264" s="93"/>
      <c r="CN264" s="93"/>
      <c r="CO264" s="93"/>
      <c r="CP264" s="93"/>
      <c r="CQ264" s="93"/>
      <c r="CR264" s="93"/>
      <c r="CS264" s="93"/>
      <c r="CT264" s="93"/>
      <c r="CU264" s="93"/>
      <c r="CV264" s="93"/>
      <c r="CW264" s="93"/>
      <c r="CX264" s="93"/>
      <c r="CY264" s="93"/>
      <c r="CZ264" s="93"/>
      <c r="DA264" s="93"/>
      <c r="DB264" s="93"/>
      <c r="DC264" s="93"/>
      <c r="DD264" s="93"/>
      <c r="DE264" s="93"/>
      <c r="DF264" s="93"/>
      <c r="DG264" s="93"/>
      <c r="DH264" s="93"/>
      <c r="DI264" s="93"/>
      <c r="DJ264" s="93"/>
      <c r="DK264" s="93"/>
      <c r="DL264" s="93"/>
      <c r="DM264" s="93"/>
      <c r="DN264" s="93"/>
      <c r="DO264" s="93"/>
    </row>
    <row r="265" spans="1:119" ht="15">
      <c r="D265" s="1062"/>
      <c r="E265" s="807"/>
      <c r="F265" s="807"/>
      <c r="G265" s="827"/>
      <c r="H265" s="809" t="s">
        <v>8573</v>
      </c>
      <c r="I265" s="92">
        <v>27</v>
      </c>
      <c r="J265" s="92" t="s">
        <v>10</v>
      </c>
      <c r="K265" s="92" t="s">
        <v>768</v>
      </c>
      <c r="L265" s="810">
        <v>5</v>
      </c>
      <c r="M265" s="811" t="str">
        <f t="shared" si="18"/>
        <v>High School Graduate</v>
      </c>
      <c r="N265" s="92" t="s">
        <v>1208</v>
      </c>
      <c r="O265" s="812" t="s">
        <v>8574</v>
      </c>
      <c r="P265" s="1638"/>
      <c r="Q265" s="812" t="s">
        <v>8574</v>
      </c>
      <c r="S265" s="848">
        <v>9200</v>
      </c>
      <c r="T265" s="820"/>
      <c r="U265" s="820"/>
      <c r="V265" s="828">
        <f>SUBTOTAL(9,S260:U265)</f>
        <v>24200</v>
      </c>
      <c r="W265" s="815">
        <v>2</v>
      </c>
      <c r="X265" s="811" t="str">
        <f t="shared" si="21"/>
        <v>within the Municipality/City</v>
      </c>
      <c r="Y265" s="816">
        <v>30</v>
      </c>
      <c r="AB265" s="828"/>
      <c r="AC265" s="809"/>
      <c r="AD265" s="824"/>
      <c r="AG265" s="807" t="str">
        <f t="shared" si="22"/>
        <v/>
      </c>
      <c r="AI265" s="817"/>
      <c r="AJ265" s="817"/>
      <c r="AK265" s="92"/>
      <c r="AM265" s="819"/>
      <c r="AN265" s="820"/>
      <c r="AQ265" s="93"/>
      <c r="AR265" s="93"/>
      <c r="AS265" s="93"/>
      <c r="AT265" s="93"/>
      <c r="AU265" s="93"/>
      <c r="AV265" s="93"/>
      <c r="AW265" s="93"/>
      <c r="AX265" s="93"/>
      <c r="AY265" s="93"/>
      <c r="AZ265" s="93"/>
      <c r="BA265" s="93"/>
      <c r="BB265" s="93"/>
      <c r="BL265" s="93"/>
      <c r="BM265" s="93"/>
      <c r="BT265" s="93"/>
      <c r="BU265" s="93"/>
      <c r="BV265" s="93"/>
      <c r="BW265" s="93"/>
      <c r="BX265" s="93"/>
      <c r="BY265" s="93"/>
      <c r="BZ265" s="93"/>
      <c r="CA265" s="93"/>
      <c r="CB265" s="93"/>
      <c r="CC265" s="93"/>
      <c r="CF265" s="93"/>
      <c r="CG265" s="93"/>
      <c r="CH265" s="93"/>
      <c r="CI265" s="93"/>
      <c r="CJ265" s="93"/>
      <c r="CK265" s="93"/>
      <c r="CL265" s="93"/>
      <c r="CM265" s="93"/>
      <c r="CN265" s="93"/>
      <c r="CO265" s="93"/>
      <c r="CP265" s="93"/>
      <c r="CQ265" s="93"/>
      <c r="CR265" s="93"/>
      <c r="CS265" s="93"/>
      <c r="CT265" s="93"/>
      <c r="CU265" s="93"/>
      <c r="CV265" s="93"/>
      <c r="CW265" s="93"/>
      <c r="CX265" s="93"/>
      <c r="CY265" s="93"/>
      <c r="CZ265" s="93"/>
      <c r="DA265" s="93"/>
      <c r="DB265" s="93"/>
      <c r="DC265" s="93"/>
      <c r="DD265" s="93"/>
      <c r="DE265" s="93"/>
      <c r="DF265" s="93"/>
      <c r="DG265" s="93"/>
      <c r="DH265" s="93"/>
      <c r="DI265" s="93"/>
      <c r="DJ265" s="93"/>
      <c r="DK265" s="93"/>
      <c r="DL265" s="93"/>
      <c r="DM265" s="93"/>
      <c r="DN265" s="93"/>
      <c r="DO265" s="93"/>
    </row>
    <row r="266" spans="1:119" ht="15">
      <c r="D266" s="1062"/>
      <c r="E266" s="807"/>
      <c r="F266" s="807"/>
      <c r="G266" s="827"/>
      <c r="H266" s="809" t="s">
        <v>8575</v>
      </c>
      <c r="I266" s="92">
        <v>13</v>
      </c>
      <c r="J266" s="92" t="s">
        <v>10</v>
      </c>
      <c r="K266" s="92" t="s">
        <v>768</v>
      </c>
      <c r="L266" s="810">
        <v>4</v>
      </c>
      <c r="M266" s="811" t="str">
        <f t="shared" si="18"/>
        <v>High School Level</v>
      </c>
      <c r="P266" s="1638"/>
      <c r="S266" s="848"/>
      <c r="T266" s="820"/>
      <c r="U266" s="820"/>
      <c r="V266" s="828"/>
      <c r="X266" s="811" t="str">
        <f t="shared" si="21"/>
        <v/>
      </c>
      <c r="AB266" s="828"/>
      <c r="AC266" s="809"/>
      <c r="AD266" s="824"/>
      <c r="AG266" s="807" t="str">
        <f t="shared" si="22"/>
        <v/>
      </c>
      <c r="AI266" s="817"/>
      <c r="AJ266" s="817"/>
      <c r="AK266" s="92"/>
      <c r="AM266" s="819"/>
      <c r="AN266" s="820"/>
      <c r="AQ266" s="93"/>
      <c r="AR266" s="93"/>
      <c r="AS266" s="93"/>
      <c r="AT266" s="93"/>
      <c r="AU266" s="93"/>
      <c r="AV266" s="93"/>
      <c r="AW266" s="93"/>
      <c r="AX266" s="93"/>
      <c r="AY266" s="93"/>
      <c r="AZ266" s="93"/>
      <c r="BA266" s="93"/>
      <c r="BB266" s="93"/>
      <c r="BD266" s="93" t="s">
        <v>2144</v>
      </c>
      <c r="BL266" s="93"/>
      <c r="BM266" s="93"/>
      <c r="BT266" s="93"/>
      <c r="BU266" s="93"/>
      <c r="BV266" s="93"/>
      <c r="BW266" s="93"/>
      <c r="BX266" s="93"/>
      <c r="BY266" s="93"/>
      <c r="BZ266" s="93"/>
      <c r="CA266" s="93"/>
      <c r="CB266" s="93"/>
      <c r="CC266" s="93"/>
      <c r="CF266" s="93"/>
      <c r="CG266" s="93"/>
      <c r="CH266" s="93"/>
      <c r="CI266" s="93"/>
      <c r="CJ266" s="93"/>
      <c r="CK266" s="93"/>
      <c r="CL266" s="93"/>
      <c r="CM266" s="93"/>
      <c r="CN266" s="93"/>
      <c r="CO266" s="93"/>
      <c r="CP266" s="93"/>
      <c r="CQ266" s="93"/>
      <c r="CR266" s="93"/>
      <c r="CS266" s="93"/>
      <c r="CT266" s="93"/>
      <c r="CU266" s="93"/>
      <c r="CV266" s="93"/>
      <c r="CW266" s="93"/>
      <c r="CX266" s="93"/>
      <c r="CY266" s="93"/>
      <c r="CZ266" s="93"/>
      <c r="DA266" s="93"/>
      <c r="DB266" s="93"/>
      <c r="DC266" s="93"/>
      <c r="DD266" s="93"/>
      <c r="DE266" s="93"/>
      <c r="DF266" s="93"/>
      <c r="DG266" s="93"/>
      <c r="DH266" s="93"/>
      <c r="DI266" s="93"/>
      <c r="DJ266" s="93"/>
      <c r="DK266" s="93"/>
      <c r="DL266" s="93"/>
      <c r="DM266" s="93"/>
      <c r="DN266" s="93"/>
      <c r="DO266" s="93"/>
    </row>
    <row r="267" spans="1:119" ht="15">
      <c r="D267" s="1062"/>
      <c r="E267" s="807"/>
      <c r="F267" s="807"/>
      <c r="G267" s="827"/>
      <c r="H267" s="809" t="s">
        <v>8576</v>
      </c>
      <c r="I267" s="92">
        <v>2</v>
      </c>
      <c r="J267" s="92" t="s">
        <v>10</v>
      </c>
      <c r="K267" s="92" t="s">
        <v>768</v>
      </c>
      <c r="L267" s="810">
        <v>10</v>
      </c>
      <c r="M267" s="811" t="str">
        <f t="shared" ref="M267:M330" si="23">IF(ISBLANK(L267)=TRUE,"",LOOKUP(L267,GQ:GR))</f>
        <v>Not In School Age</v>
      </c>
      <c r="P267" s="1638"/>
      <c r="S267" s="848"/>
      <c r="T267" s="820"/>
      <c r="U267" s="820"/>
      <c r="V267" s="828"/>
      <c r="X267" s="811" t="str">
        <f t="shared" ref="X267:X298" si="24">IF(ISBLANK(W267)=TRUE,"",LOOKUP(W267,GO:GP))</f>
        <v/>
      </c>
      <c r="AB267" s="828"/>
      <c r="AC267" s="809"/>
      <c r="AD267" s="824"/>
      <c r="AG267" s="807" t="str">
        <f t="shared" si="22"/>
        <v/>
      </c>
      <c r="AI267" s="817"/>
      <c r="AJ267" s="817"/>
      <c r="AK267" s="92"/>
      <c r="AM267" s="819"/>
      <c r="AN267" s="820"/>
      <c r="AQ267" s="93"/>
      <c r="AR267" s="93"/>
      <c r="AS267" s="93"/>
      <c r="AT267" s="93"/>
      <c r="AU267" s="93"/>
      <c r="AV267" s="93"/>
      <c r="AW267" s="93"/>
      <c r="AX267" s="93"/>
      <c r="AY267" s="93"/>
      <c r="AZ267" s="93"/>
      <c r="BA267" s="93"/>
      <c r="BB267" s="93"/>
      <c r="BL267" s="93"/>
      <c r="BM267" s="93"/>
      <c r="BT267" s="93"/>
      <c r="BU267" s="93"/>
      <c r="BV267" s="93"/>
      <c r="BW267" s="93"/>
      <c r="BX267" s="93"/>
      <c r="BY267" s="93"/>
      <c r="BZ267" s="93"/>
      <c r="CA267" s="93"/>
      <c r="CB267" s="93"/>
      <c r="CC267" s="93"/>
      <c r="CF267" s="93"/>
      <c r="CG267" s="93"/>
      <c r="CH267" s="93"/>
      <c r="CI267" s="93"/>
      <c r="CJ267" s="93"/>
      <c r="CK267" s="93"/>
      <c r="CL267" s="93"/>
      <c r="CM267" s="93"/>
      <c r="CN267" s="93"/>
      <c r="CO267" s="93"/>
      <c r="CP267" s="93"/>
      <c r="CQ267" s="93"/>
      <c r="CR267" s="93"/>
      <c r="CS267" s="93"/>
      <c r="CT267" s="93"/>
      <c r="CU267" s="93"/>
      <c r="CV267" s="93"/>
      <c r="CW267" s="93"/>
      <c r="CX267" s="93"/>
      <c r="CY267" s="93"/>
      <c r="CZ267" s="93"/>
      <c r="DA267" s="93"/>
      <c r="DB267" s="93"/>
      <c r="DC267" s="93"/>
      <c r="DD267" s="93"/>
      <c r="DE267" s="93"/>
      <c r="DF267" s="93"/>
      <c r="DG267" s="93"/>
      <c r="DH267" s="93"/>
      <c r="DI267" s="93"/>
      <c r="DJ267" s="93"/>
      <c r="DK267" s="93"/>
      <c r="DL267" s="93"/>
      <c r="DM267" s="93"/>
      <c r="DN267" s="93"/>
      <c r="DO267" s="93"/>
    </row>
    <row r="268" spans="1:119" ht="15">
      <c r="D268" s="1062"/>
      <c r="E268" s="807"/>
      <c r="F268" s="807"/>
      <c r="G268" s="827"/>
      <c r="H268" s="809" t="s">
        <v>8577</v>
      </c>
      <c r="I268" s="92">
        <v>1</v>
      </c>
      <c r="J268" s="92" t="s">
        <v>10</v>
      </c>
      <c r="K268" s="92" t="s">
        <v>768</v>
      </c>
      <c r="L268" s="810">
        <v>10</v>
      </c>
      <c r="M268" s="811" t="str">
        <f t="shared" si="23"/>
        <v>Not In School Age</v>
      </c>
      <c r="P268" s="1638"/>
      <c r="S268" s="848"/>
      <c r="T268" s="820"/>
      <c r="U268" s="820"/>
      <c r="V268" s="828">
        <f>SUM(S260:U268)</f>
        <v>24200</v>
      </c>
      <c r="X268" s="811" t="str">
        <f t="shared" si="24"/>
        <v/>
      </c>
      <c r="AB268" s="828">
        <f>SUM(Y260:AA268)</f>
        <v>30</v>
      </c>
      <c r="AC268" s="809"/>
      <c r="AD268" s="824"/>
      <c r="AG268" s="807" t="str">
        <f t="shared" si="22"/>
        <v/>
      </c>
      <c r="AI268" s="817"/>
      <c r="AJ268" s="817"/>
      <c r="AK268" s="92"/>
      <c r="AM268" s="819"/>
      <c r="AN268" s="820"/>
      <c r="AQ268" s="93"/>
      <c r="AR268" s="93"/>
      <c r="AS268" s="93"/>
      <c r="AT268" s="93"/>
      <c r="AU268" s="93"/>
      <c r="AV268" s="93"/>
      <c r="AW268" s="93"/>
      <c r="AX268" s="93"/>
      <c r="AY268" s="93"/>
      <c r="AZ268" s="93"/>
      <c r="BA268" s="93"/>
      <c r="BB268" s="93"/>
      <c r="BL268" s="93"/>
      <c r="BM268" s="93"/>
      <c r="BT268" s="93"/>
      <c r="BU268" s="93"/>
      <c r="BV268" s="93"/>
      <c r="BW268" s="93"/>
      <c r="BX268" s="93"/>
      <c r="BY268" s="93"/>
      <c r="BZ268" s="93"/>
      <c r="CA268" s="93"/>
      <c r="CB268" s="93"/>
      <c r="CC268" s="93"/>
      <c r="CF268" s="93"/>
      <c r="CG268" s="93"/>
      <c r="CH268" s="93"/>
      <c r="CI268" s="93"/>
      <c r="CJ268" s="93"/>
      <c r="CK268" s="93"/>
      <c r="CL268" s="93"/>
      <c r="CM268" s="93"/>
      <c r="CN268" s="93"/>
      <c r="CO268" s="93"/>
      <c r="CP268" s="93"/>
      <c r="CQ268" s="93"/>
      <c r="CR268" s="93"/>
      <c r="CS268" s="93"/>
      <c r="CT268" s="93"/>
      <c r="CU268" s="93"/>
      <c r="CV268" s="93"/>
      <c r="CW268" s="93"/>
      <c r="CX268" s="93"/>
      <c r="CY268" s="93"/>
      <c r="CZ268" s="93"/>
      <c r="DA268" s="93"/>
      <c r="DB268" s="93"/>
      <c r="DC268" s="93"/>
      <c r="DD268" s="93"/>
      <c r="DE268" s="93"/>
      <c r="DF268" s="93"/>
      <c r="DG268" s="93"/>
      <c r="DH268" s="93"/>
      <c r="DI268" s="93"/>
      <c r="DJ268" s="93"/>
      <c r="DK268" s="93"/>
      <c r="DL268" s="93"/>
      <c r="DM268" s="93"/>
      <c r="DN268" s="93"/>
      <c r="DO268" s="93"/>
    </row>
    <row r="269" spans="1:119" ht="15">
      <c r="D269" s="1062" t="s">
        <v>215</v>
      </c>
      <c r="E269" s="807"/>
      <c r="F269" s="807"/>
      <c r="G269" s="809" t="s">
        <v>215</v>
      </c>
      <c r="H269" s="809" t="s">
        <v>2159</v>
      </c>
      <c r="I269" s="92">
        <v>49</v>
      </c>
      <c r="J269" s="92" t="s">
        <v>10</v>
      </c>
      <c r="K269" s="92" t="s">
        <v>707</v>
      </c>
      <c r="M269" s="811" t="str">
        <f t="shared" si="23"/>
        <v/>
      </c>
      <c r="P269" s="1638"/>
      <c r="S269" s="848"/>
      <c r="T269" s="820"/>
      <c r="U269" s="820"/>
      <c r="V269" s="834"/>
      <c r="X269" s="811" t="str">
        <f t="shared" si="24"/>
        <v/>
      </c>
      <c r="Z269" s="836"/>
      <c r="AB269" s="834"/>
      <c r="AC269" s="809"/>
      <c r="AD269" s="824"/>
      <c r="AG269" s="807" t="str">
        <f t="shared" si="22"/>
        <v/>
      </c>
      <c r="AI269" s="817"/>
      <c r="AJ269" s="817"/>
      <c r="AK269" s="92" t="s">
        <v>8578</v>
      </c>
      <c r="AL269" s="92" t="s">
        <v>2041</v>
      </c>
      <c r="AM269" s="819" t="s">
        <v>8579</v>
      </c>
      <c r="AN269" s="820">
        <f>PRODUCT(250,,26)</f>
        <v>6500</v>
      </c>
      <c r="AQ269" s="93"/>
      <c r="AR269" s="93"/>
      <c r="AS269" s="93"/>
      <c r="AT269" s="93"/>
      <c r="AU269" s="93"/>
      <c r="AV269" s="93"/>
      <c r="AW269" s="93"/>
      <c r="AX269" s="93"/>
      <c r="AY269" s="93"/>
      <c r="AZ269" s="93"/>
      <c r="BA269" s="93"/>
      <c r="BB269" s="93"/>
      <c r="BL269" s="93"/>
      <c r="BM269" s="93"/>
      <c r="BT269" s="93"/>
      <c r="BU269" s="93"/>
      <c r="BV269" s="93"/>
      <c r="BW269" s="93"/>
      <c r="BX269" s="93"/>
      <c r="BY269" s="93"/>
      <c r="BZ269" s="93"/>
      <c r="CA269" s="93"/>
      <c r="CB269" s="93"/>
      <c r="CC269" s="93"/>
      <c r="CF269" s="93"/>
      <c r="CG269" s="93"/>
      <c r="CH269" s="93"/>
      <c r="CI269" s="93"/>
      <c r="CJ269" s="93"/>
      <c r="CK269" s="93"/>
      <c r="CL269" s="93"/>
      <c r="CM269" s="93"/>
      <c r="CN269" s="93"/>
      <c r="CO269" s="93"/>
      <c r="CP269" s="93"/>
      <c r="CQ269" s="93"/>
      <c r="CR269" s="93"/>
      <c r="CS269" s="93"/>
      <c r="CT269" s="93"/>
      <c r="CU269" s="93"/>
      <c r="CV269" s="93"/>
      <c r="CW269" s="93" t="s">
        <v>2144</v>
      </c>
      <c r="CX269" s="93"/>
      <c r="CY269" s="93"/>
      <c r="CZ269" s="93"/>
      <c r="DA269" s="93"/>
      <c r="DB269" s="93"/>
      <c r="DC269" s="93"/>
      <c r="DD269" s="93"/>
      <c r="DE269" s="93"/>
      <c r="DF269" s="93"/>
      <c r="DG269" s="93"/>
      <c r="DH269" s="93"/>
      <c r="DI269" s="93"/>
      <c r="DJ269" s="93"/>
      <c r="DK269" s="93"/>
      <c r="DL269" s="93"/>
      <c r="DM269" s="93"/>
      <c r="DN269" s="93"/>
      <c r="DO269" s="93"/>
    </row>
    <row r="270" spans="1:119" ht="15">
      <c r="D270" s="1062"/>
      <c r="E270" s="807"/>
      <c r="F270" s="807"/>
      <c r="G270" s="827"/>
      <c r="M270" s="811" t="str">
        <f t="shared" si="23"/>
        <v/>
      </c>
      <c r="P270" s="1638"/>
      <c r="S270" s="848"/>
      <c r="T270" s="820"/>
      <c r="U270" s="820"/>
      <c r="V270" s="834"/>
      <c r="X270" s="811" t="str">
        <f t="shared" si="24"/>
        <v/>
      </c>
      <c r="AB270" s="834"/>
      <c r="AC270" s="809"/>
      <c r="AD270" s="824"/>
      <c r="AG270" s="807" t="str">
        <f t="shared" si="22"/>
        <v/>
      </c>
      <c r="AI270" s="817"/>
      <c r="AJ270" s="817"/>
      <c r="AK270" s="92" t="s">
        <v>8580</v>
      </c>
      <c r="AL270" s="92" t="s">
        <v>2041</v>
      </c>
      <c r="AM270" s="819" t="s">
        <v>8581</v>
      </c>
      <c r="AN270" s="820">
        <f>PRODUCT(250,,26)</f>
        <v>6500</v>
      </c>
      <c r="AQ270" s="93"/>
      <c r="AR270" s="93"/>
      <c r="AS270" s="93"/>
      <c r="AT270" s="93"/>
      <c r="AU270" s="93"/>
      <c r="AV270" s="93"/>
      <c r="AW270" s="93"/>
      <c r="AX270" s="93"/>
      <c r="AY270" s="93"/>
      <c r="AZ270" s="93"/>
      <c r="BA270" s="93"/>
      <c r="BB270" s="93"/>
      <c r="BL270" s="93"/>
      <c r="BM270" s="93"/>
      <c r="BT270" s="93"/>
      <c r="BU270" s="93"/>
      <c r="BV270" s="93"/>
      <c r="BW270" s="93"/>
      <c r="BX270" s="93"/>
      <c r="BY270" s="93"/>
      <c r="BZ270" s="93"/>
      <c r="CA270" s="93"/>
      <c r="CB270" s="93"/>
      <c r="CC270" s="93"/>
      <c r="CF270" s="93"/>
      <c r="CG270" s="93"/>
      <c r="CH270" s="93"/>
      <c r="CI270" s="93"/>
      <c r="CJ270" s="93"/>
      <c r="CK270" s="93"/>
      <c r="CL270" s="93"/>
      <c r="CM270" s="93"/>
      <c r="CN270" s="93"/>
      <c r="CO270" s="93"/>
      <c r="CP270" s="93"/>
      <c r="CQ270" s="93"/>
      <c r="CR270" s="93"/>
      <c r="CS270" s="93"/>
      <c r="CT270" s="93"/>
      <c r="CU270" s="93"/>
      <c r="CV270" s="93"/>
      <c r="CW270" s="93"/>
      <c r="CX270" s="93"/>
      <c r="CY270" s="93"/>
      <c r="CZ270" s="93"/>
      <c r="DA270" s="93"/>
      <c r="DB270" s="93"/>
      <c r="DC270" s="93"/>
      <c r="DD270" s="93"/>
      <c r="DE270" s="93"/>
      <c r="DF270" s="93"/>
      <c r="DG270" s="93"/>
      <c r="DH270" s="93"/>
      <c r="DI270" s="93"/>
      <c r="DJ270" s="93"/>
      <c r="DK270" s="93"/>
      <c r="DL270" s="93"/>
      <c r="DM270" s="93"/>
      <c r="DN270" s="93"/>
      <c r="DO270" s="93"/>
    </row>
    <row r="271" spans="1:119" ht="15">
      <c r="D271" s="1062"/>
      <c r="E271" s="807"/>
      <c r="F271" s="807"/>
      <c r="G271" s="827"/>
      <c r="M271" s="811" t="str">
        <f t="shared" si="23"/>
        <v/>
      </c>
      <c r="P271" s="1638"/>
      <c r="S271" s="848"/>
      <c r="T271" s="820"/>
      <c r="U271" s="820"/>
      <c r="V271" s="834"/>
      <c r="X271" s="811" t="str">
        <f t="shared" si="24"/>
        <v/>
      </c>
      <c r="AB271" s="834"/>
      <c r="AC271" s="809"/>
      <c r="AD271" s="824"/>
      <c r="AG271" s="807" t="str">
        <f t="shared" si="22"/>
        <v/>
      </c>
      <c r="AI271" s="817"/>
      <c r="AJ271" s="817"/>
      <c r="AK271" s="92" t="s">
        <v>8582</v>
      </c>
      <c r="AL271" s="92" t="s">
        <v>2041</v>
      </c>
      <c r="AM271" s="819" t="s">
        <v>8583</v>
      </c>
      <c r="AN271" s="820">
        <f>PRODUCT(250,,26)</f>
        <v>6500</v>
      </c>
      <c r="AQ271" s="93"/>
      <c r="AR271" s="93"/>
      <c r="AS271" s="93"/>
      <c r="AT271" s="93"/>
      <c r="AU271" s="93"/>
      <c r="AV271" s="93"/>
      <c r="AW271" s="93"/>
      <c r="AX271" s="93"/>
      <c r="AY271" s="93"/>
      <c r="AZ271" s="93"/>
      <c r="BA271" s="93"/>
      <c r="BB271" s="93"/>
      <c r="BL271" s="93"/>
      <c r="BM271" s="93"/>
      <c r="BT271" s="93"/>
      <c r="BU271" s="93"/>
      <c r="BV271" s="93"/>
      <c r="BW271" s="93"/>
      <c r="BX271" s="93"/>
      <c r="BY271" s="93"/>
      <c r="BZ271" s="93"/>
      <c r="CA271" s="93"/>
      <c r="CB271" s="93"/>
      <c r="CC271" s="93"/>
      <c r="CF271" s="93"/>
      <c r="CG271" s="93"/>
      <c r="CH271" s="93"/>
      <c r="CI271" s="93"/>
      <c r="CJ271" s="93"/>
      <c r="CK271" s="93"/>
      <c r="CL271" s="93"/>
      <c r="CM271" s="93"/>
      <c r="CN271" s="93"/>
      <c r="CO271" s="93"/>
      <c r="CP271" s="93"/>
      <c r="CQ271" s="93"/>
      <c r="CR271" s="93"/>
      <c r="CS271" s="93"/>
      <c r="CT271" s="93"/>
      <c r="CU271" s="93"/>
      <c r="CV271" s="93"/>
      <c r="CW271" s="93"/>
      <c r="CX271" s="93"/>
      <c r="CY271" s="93"/>
      <c r="CZ271" s="93"/>
      <c r="DA271" s="93"/>
      <c r="DB271" s="93"/>
      <c r="DC271" s="93"/>
      <c r="DD271" s="93"/>
      <c r="DE271" s="93"/>
      <c r="DF271" s="93"/>
      <c r="DG271" s="93"/>
      <c r="DH271" s="93"/>
      <c r="DI271" s="93"/>
      <c r="DJ271" s="93"/>
      <c r="DK271" s="93"/>
      <c r="DL271" s="93"/>
      <c r="DM271" s="93"/>
      <c r="DN271" s="93"/>
      <c r="DO271" s="93"/>
    </row>
    <row r="272" spans="1:119" ht="15">
      <c r="D272" s="1062"/>
      <c r="E272" s="807"/>
      <c r="F272" s="807"/>
      <c r="G272" s="827"/>
      <c r="M272" s="811" t="str">
        <f t="shared" si="23"/>
        <v/>
      </c>
      <c r="O272" s="92"/>
      <c r="P272" s="1638"/>
      <c r="Q272" s="92"/>
      <c r="R272" s="92"/>
      <c r="S272" s="848"/>
      <c r="T272" s="820"/>
      <c r="U272" s="820"/>
      <c r="V272" s="834">
        <f>SUM(S269:U272)</f>
        <v>0</v>
      </c>
      <c r="X272" s="811" t="str">
        <f t="shared" si="24"/>
        <v/>
      </c>
      <c r="AB272" s="834">
        <f>SUM(Y269:AA272)</f>
        <v>0</v>
      </c>
      <c r="AC272" s="809"/>
      <c r="AD272" s="824"/>
      <c r="AG272" s="807" t="str">
        <f t="shared" si="22"/>
        <v/>
      </c>
      <c r="AI272" s="817"/>
      <c r="AJ272" s="817"/>
      <c r="AK272" s="92" t="s">
        <v>8584</v>
      </c>
      <c r="AL272" s="92" t="s">
        <v>2041</v>
      </c>
      <c r="AM272" s="819" t="s">
        <v>8583</v>
      </c>
      <c r="AN272" s="820">
        <f>PRODUCT(250,,26)</f>
        <v>6500</v>
      </c>
      <c r="AQ272" s="93"/>
      <c r="AR272" s="93"/>
      <c r="AS272" s="93"/>
      <c r="AT272" s="93"/>
      <c r="AU272" s="93"/>
      <c r="AV272" s="93"/>
      <c r="AW272" s="93"/>
      <c r="AX272" s="93"/>
      <c r="AY272" s="93"/>
      <c r="AZ272" s="93"/>
      <c r="BA272" s="93"/>
      <c r="BB272" s="93"/>
      <c r="BL272" s="93"/>
      <c r="BM272" s="93"/>
      <c r="BT272" s="93"/>
      <c r="BU272" s="93"/>
      <c r="BV272" s="93"/>
      <c r="BW272" s="93"/>
      <c r="BX272" s="93"/>
      <c r="BY272" s="93"/>
      <c r="BZ272" s="93"/>
      <c r="CA272" s="93"/>
      <c r="CB272" s="93"/>
      <c r="CC272" s="93"/>
      <c r="CF272" s="93"/>
      <c r="CG272" s="93"/>
      <c r="CH272" s="93"/>
      <c r="CI272" s="93"/>
      <c r="CJ272" s="93"/>
      <c r="CK272" s="93"/>
      <c r="CL272" s="93"/>
      <c r="CM272" s="93"/>
      <c r="CN272" s="93"/>
      <c r="CO272" s="93"/>
      <c r="CP272" s="93"/>
      <c r="CQ272" s="93"/>
      <c r="CR272" s="93"/>
      <c r="CS272" s="93"/>
      <c r="CT272" s="93"/>
      <c r="CU272" s="93"/>
      <c r="CV272" s="93"/>
      <c r="CW272" s="93"/>
      <c r="CX272" s="93"/>
      <c r="CY272" s="93"/>
      <c r="CZ272" s="93"/>
      <c r="DA272" s="93"/>
      <c r="DB272" s="93"/>
      <c r="DC272" s="93"/>
      <c r="DD272" s="93"/>
      <c r="DE272" s="93"/>
      <c r="DF272" s="93"/>
      <c r="DG272" s="93"/>
      <c r="DH272" s="93"/>
      <c r="DI272" s="93"/>
      <c r="DJ272" s="93"/>
      <c r="DK272" s="93"/>
      <c r="DL272" s="93"/>
      <c r="DM272" s="93"/>
      <c r="DN272" s="93"/>
      <c r="DO272" s="93"/>
    </row>
    <row r="273" spans="1:198" ht="15">
      <c r="A273" s="154" t="s">
        <v>7419</v>
      </c>
      <c r="B273" s="288" t="s">
        <v>7952</v>
      </c>
      <c r="C273" s="165" t="s">
        <v>220</v>
      </c>
      <c r="D273" s="1062" t="s">
        <v>220</v>
      </c>
      <c r="E273" s="807"/>
      <c r="F273" s="807"/>
      <c r="G273" s="841" t="s">
        <v>220</v>
      </c>
      <c r="H273" s="1639" t="s">
        <v>8585</v>
      </c>
      <c r="I273" s="1044">
        <v>67</v>
      </c>
      <c r="J273" s="1044" t="s">
        <v>10</v>
      </c>
      <c r="K273" s="1044" t="s">
        <v>707</v>
      </c>
      <c r="L273" s="1640">
        <v>5</v>
      </c>
      <c r="M273" s="1641" t="str">
        <f t="shared" si="23"/>
        <v>High School Graduate</v>
      </c>
      <c r="N273" s="1044"/>
      <c r="O273" s="1642"/>
      <c r="P273" s="1643"/>
      <c r="Q273" s="1642"/>
      <c r="R273" s="1044" t="s">
        <v>8234</v>
      </c>
      <c r="S273" s="1644"/>
      <c r="T273" s="1645"/>
      <c r="U273" s="1645"/>
      <c r="V273" s="842"/>
      <c r="X273" s="811" t="str">
        <f t="shared" si="24"/>
        <v/>
      </c>
      <c r="Z273" s="836"/>
      <c r="AB273" s="842"/>
      <c r="AC273" s="809" t="s">
        <v>2224</v>
      </c>
      <c r="AD273" s="817" t="s">
        <v>8585</v>
      </c>
      <c r="AG273" s="807" t="str">
        <f t="shared" si="22"/>
        <v/>
      </c>
      <c r="AH273" s="809" t="s">
        <v>2160</v>
      </c>
      <c r="AI273" s="809"/>
      <c r="AJ273" s="848"/>
      <c r="AK273" s="92"/>
      <c r="AM273" s="819"/>
      <c r="AN273" s="820"/>
      <c r="AO273" s="817" t="s">
        <v>2160</v>
      </c>
      <c r="AQ273" s="93"/>
      <c r="AR273" s="93"/>
      <c r="AS273" s="93"/>
      <c r="AT273" s="93"/>
      <c r="AU273" s="93"/>
      <c r="AV273" s="93"/>
      <c r="AW273" s="93"/>
      <c r="AX273" s="93"/>
      <c r="AY273" s="93"/>
      <c r="AZ273" s="93"/>
      <c r="BA273" s="93"/>
      <c r="BB273" s="93"/>
      <c r="BL273" s="93"/>
      <c r="BM273" s="93"/>
      <c r="BT273" s="93"/>
      <c r="BU273" s="93"/>
      <c r="BV273" s="93"/>
      <c r="BW273" s="93"/>
      <c r="BX273" s="93"/>
      <c r="BY273" s="93"/>
      <c r="BZ273" s="93"/>
      <c r="CA273" s="93"/>
      <c r="CB273" s="93"/>
      <c r="CC273" s="93"/>
      <c r="CF273" s="93"/>
      <c r="CG273" s="93"/>
      <c r="CH273" s="93"/>
      <c r="CI273" s="93"/>
      <c r="CJ273" s="93"/>
      <c r="CK273" s="93"/>
      <c r="CL273" s="93"/>
      <c r="CM273" s="93"/>
      <c r="CN273" s="93"/>
      <c r="CO273" s="93"/>
      <c r="CP273" s="93"/>
      <c r="CQ273" s="93"/>
      <c r="CR273" s="93"/>
      <c r="CS273" s="93"/>
      <c r="CT273" s="93"/>
      <c r="CU273" s="93"/>
      <c r="CV273" s="93"/>
      <c r="CW273" s="93"/>
      <c r="CX273" s="93"/>
      <c r="CY273" s="93"/>
      <c r="CZ273" s="93"/>
      <c r="DA273" s="93"/>
      <c r="DB273" s="93"/>
      <c r="DC273" s="93"/>
      <c r="DD273" s="93"/>
      <c r="DE273" s="93"/>
      <c r="DF273" s="93"/>
      <c r="DG273" s="93"/>
      <c r="DH273" s="93"/>
      <c r="DI273" s="93"/>
      <c r="DJ273" s="93"/>
      <c r="DK273" s="93"/>
      <c r="DL273" s="93"/>
      <c r="DM273" s="93"/>
      <c r="DN273" s="93"/>
      <c r="DO273" s="93"/>
    </row>
    <row r="274" spans="1:198" ht="15">
      <c r="A274" s="154" t="s">
        <v>7419</v>
      </c>
      <c r="B274" s="6"/>
      <c r="C274" s="164"/>
      <c r="D274" s="1062" t="s">
        <v>220</v>
      </c>
      <c r="E274" s="807"/>
      <c r="F274" s="807"/>
      <c r="G274" s="827"/>
      <c r="H274" s="809" t="s">
        <v>1475</v>
      </c>
      <c r="I274" s="92">
        <v>66</v>
      </c>
      <c r="J274" s="92" t="s">
        <v>18</v>
      </c>
      <c r="K274" s="92" t="s">
        <v>707</v>
      </c>
      <c r="L274" s="810">
        <v>9</v>
      </c>
      <c r="M274" s="811" t="str">
        <f t="shared" si="23"/>
        <v>Vocational Graduate</v>
      </c>
      <c r="N274" s="92" t="s">
        <v>1208</v>
      </c>
      <c r="O274" s="812" t="s">
        <v>8395</v>
      </c>
      <c r="P274" s="1638"/>
      <c r="Q274" s="812" t="s">
        <v>8395</v>
      </c>
      <c r="R274" s="92" t="s">
        <v>8285</v>
      </c>
      <c r="S274" s="848"/>
      <c r="T274" s="820"/>
      <c r="U274" s="820">
        <v>8000</v>
      </c>
      <c r="V274" s="814">
        <f>SUM(S273:U274)</f>
        <v>8000</v>
      </c>
      <c r="W274" s="815">
        <v>1</v>
      </c>
      <c r="X274" s="811" t="str">
        <f t="shared" si="24"/>
        <v>within the Brgy</v>
      </c>
      <c r="AB274" s="814">
        <f>SUM(Y273:AA274)</f>
        <v>0</v>
      </c>
      <c r="AC274" s="809"/>
      <c r="AD274" s="817" t="s">
        <v>1475</v>
      </c>
      <c r="AG274" s="807" t="str">
        <f t="shared" si="22"/>
        <v/>
      </c>
      <c r="AI274" s="817"/>
      <c r="AJ274" s="817"/>
      <c r="AK274" s="92"/>
      <c r="AM274" s="819"/>
      <c r="AN274" s="820"/>
      <c r="AQ274" s="93"/>
      <c r="AR274" s="93"/>
      <c r="AS274" s="93"/>
      <c r="AT274" s="93"/>
      <c r="AU274" s="93"/>
      <c r="AV274" s="93"/>
      <c r="AW274" s="93"/>
      <c r="AX274" s="93"/>
      <c r="AY274" s="93"/>
      <c r="AZ274" s="93"/>
      <c r="BA274" s="93"/>
      <c r="BB274" s="93"/>
      <c r="BL274" s="93"/>
      <c r="BM274" s="93"/>
      <c r="BT274" s="93"/>
      <c r="BU274" s="93"/>
      <c r="BV274" s="93"/>
      <c r="BW274" s="93"/>
      <c r="BX274" s="93"/>
      <c r="BY274" s="93"/>
      <c r="BZ274" s="93"/>
      <c r="CA274" s="93"/>
      <c r="CB274" s="93"/>
      <c r="CC274" s="93"/>
      <c r="CF274" s="93"/>
      <c r="CG274" s="93"/>
      <c r="CH274" s="93"/>
      <c r="CI274" s="93"/>
      <c r="CJ274" s="93"/>
      <c r="CK274" s="93"/>
      <c r="CL274" s="93"/>
      <c r="CM274" s="93"/>
      <c r="CN274" s="93"/>
      <c r="CO274" s="93"/>
      <c r="CP274" s="93"/>
      <c r="CQ274" s="93"/>
      <c r="CR274" s="93"/>
      <c r="CS274" s="93"/>
      <c r="CT274" s="93"/>
      <c r="CU274" s="93"/>
      <c r="CV274" s="93"/>
      <c r="CW274" s="93"/>
      <c r="CX274" s="93"/>
      <c r="CY274" s="93"/>
      <c r="CZ274" s="93"/>
      <c r="DA274" s="93"/>
      <c r="DB274" s="93"/>
      <c r="DC274" s="93"/>
      <c r="DD274" s="93"/>
      <c r="DE274" s="93"/>
      <c r="DF274" s="93"/>
      <c r="DG274" s="93"/>
      <c r="DH274" s="93"/>
      <c r="DI274" s="93"/>
      <c r="DJ274" s="93"/>
      <c r="DK274" s="93"/>
      <c r="DL274" s="93"/>
      <c r="DM274" s="93"/>
      <c r="DN274" s="93"/>
      <c r="DO274" s="93"/>
    </row>
    <row r="275" spans="1:198" ht="15">
      <c r="A275" s="771"/>
      <c r="D275" s="1062" t="s">
        <v>227</v>
      </c>
      <c r="E275" s="807"/>
      <c r="F275" s="807"/>
      <c r="G275" s="809" t="s">
        <v>227</v>
      </c>
      <c r="M275" s="811" t="str">
        <f t="shared" si="23"/>
        <v/>
      </c>
      <c r="P275" s="1638"/>
      <c r="S275" s="848"/>
      <c r="T275" s="820"/>
      <c r="U275" s="820"/>
      <c r="V275" s="829"/>
      <c r="X275" s="811" t="str">
        <f t="shared" si="24"/>
        <v/>
      </c>
      <c r="AB275" s="829"/>
      <c r="AC275" s="809"/>
      <c r="AD275" s="824"/>
      <c r="AG275" s="807" t="str">
        <f t="shared" si="22"/>
        <v/>
      </c>
      <c r="AI275" s="817"/>
      <c r="AJ275" s="817"/>
      <c r="AK275" s="92" t="s">
        <v>8586</v>
      </c>
      <c r="AL275" s="92" t="s">
        <v>2223</v>
      </c>
      <c r="AM275" s="92" t="s">
        <v>8587</v>
      </c>
      <c r="AN275" s="820">
        <f>PRODUCT(30,250)</f>
        <v>7500</v>
      </c>
      <c r="AQ275" s="93"/>
      <c r="AR275" s="93"/>
      <c r="AS275" s="93"/>
      <c r="AT275" s="93"/>
      <c r="AU275" s="93"/>
      <c r="AV275" s="93"/>
      <c r="AW275" s="93"/>
      <c r="AX275" s="93"/>
      <c r="AY275" s="93"/>
      <c r="AZ275" s="93"/>
      <c r="BA275" s="93"/>
      <c r="BB275" s="93"/>
      <c r="BL275" s="93"/>
      <c r="BM275" s="93"/>
      <c r="BT275" s="93"/>
      <c r="BU275" s="93"/>
      <c r="BV275" s="93"/>
      <c r="BW275" s="93"/>
      <c r="BX275" s="93"/>
      <c r="BY275" s="93"/>
      <c r="BZ275" s="93"/>
      <c r="CA275" s="93"/>
      <c r="CB275" s="93"/>
      <c r="CC275" s="93"/>
      <c r="CF275" s="93"/>
      <c r="CG275" s="93"/>
      <c r="CH275" s="93"/>
      <c r="CI275" s="93"/>
      <c r="CJ275" s="93"/>
      <c r="CK275" s="93"/>
      <c r="CL275" s="93"/>
      <c r="CM275" s="93"/>
      <c r="CN275" s="93"/>
      <c r="CO275" s="93"/>
      <c r="CP275" s="93"/>
      <c r="CQ275" s="93"/>
      <c r="CR275" s="93"/>
      <c r="CS275" s="93"/>
      <c r="CT275" s="93"/>
      <c r="CU275" s="93"/>
      <c r="CV275" s="93"/>
      <c r="CW275" s="93"/>
      <c r="CX275" s="93"/>
      <c r="CY275" s="93"/>
      <c r="CZ275" s="93"/>
      <c r="DA275" s="93"/>
      <c r="DB275" s="93"/>
      <c r="DC275" s="93"/>
      <c r="DD275" s="93"/>
      <c r="DE275" s="93"/>
      <c r="DF275" s="93"/>
      <c r="DG275" s="93"/>
      <c r="DH275" s="93"/>
      <c r="DI275" s="93"/>
      <c r="DJ275" s="93"/>
      <c r="DK275" s="93"/>
      <c r="DL275" s="93"/>
      <c r="DM275" s="93"/>
      <c r="DN275" s="93"/>
      <c r="DO275" s="93"/>
    </row>
    <row r="276" spans="1:198" ht="15">
      <c r="D276" s="1062"/>
      <c r="E276" s="807"/>
      <c r="F276" s="807"/>
      <c r="G276" s="827"/>
      <c r="M276" s="811" t="str">
        <f t="shared" si="23"/>
        <v/>
      </c>
      <c r="O276" s="92"/>
      <c r="P276" s="1638"/>
      <c r="Q276" s="92"/>
      <c r="R276" s="92"/>
      <c r="S276" s="848"/>
      <c r="T276" s="820"/>
      <c r="U276" s="820"/>
      <c r="V276" s="829"/>
      <c r="X276" s="811" t="str">
        <f t="shared" si="24"/>
        <v/>
      </c>
      <c r="AB276" s="829"/>
      <c r="AC276" s="809"/>
      <c r="AD276" s="824"/>
      <c r="AG276" s="807" t="str">
        <f t="shared" si="22"/>
        <v/>
      </c>
      <c r="AI276" s="817"/>
      <c r="AJ276" s="817"/>
      <c r="AK276" s="92" t="s">
        <v>8588</v>
      </c>
      <c r="AL276" s="92" t="s">
        <v>2223</v>
      </c>
      <c r="AM276" s="819"/>
      <c r="AN276" s="820">
        <f>PRODUCT(30,250)</f>
        <v>7500</v>
      </c>
      <c r="AQ276" s="93"/>
      <c r="AR276" s="93"/>
      <c r="AS276" s="93"/>
      <c r="AT276" s="93"/>
      <c r="AU276" s="93"/>
      <c r="AV276" s="93"/>
      <c r="AW276" s="93"/>
      <c r="AX276" s="93"/>
      <c r="AY276" s="93"/>
      <c r="AZ276" s="93"/>
      <c r="BA276" s="93"/>
      <c r="BB276" s="93"/>
      <c r="BL276" s="93"/>
      <c r="BM276" s="93"/>
      <c r="BT276" s="93"/>
      <c r="BU276" s="93"/>
      <c r="BV276" s="93"/>
      <c r="BW276" s="93"/>
      <c r="BX276" s="93"/>
      <c r="BY276" s="93"/>
      <c r="BZ276" s="93"/>
      <c r="CA276" s="93"/>
      <c r="CB276" s="93"/>
      <c r="CC276" s="93"/>
      <c r="CF276" s="93"/>
      <c r="CG276" s="93"/>
      <c r="CH276" s="93"/>
      <c r="CI276" s="93"/>
      <c r="CJ276" s="93"/>
      <c r="CK276" s="93"/>
      <c r="CL276" s="93"/>
      <c r="CM276" s="93"/>
      <c r="CN276" s="93"/>
      <c r="CO276" s="93"/>
      <c r="CP276" s="93"/>
      <c r="CQ276" s="93"/>
      <c r="CR276" s="93"/>
      <c r="CS276" s="93"/>
      <c r="CT276" s="93"/>
      <c r="CU276" s="93"/>
      <c r="CV276" s="93"/>
      <c r="CW276" s="93"/>
      <c r="CX276" s="93"/>
      <c r="CY276" s="93"/>
      <c r="CZ276" s="93"/>
      <c r="DA276" s="93"/>
      <c r="DB276" s="93"/>
      <c r="DC276" s="93"/>
      <c r="DD276" s="93"/>
      <c r="DE276" s="93"/>
      <c r="DF276" s="93"/>
      <c r="DG276" s="93"/>
      <c r="DH276" s="93"/>
      <c r="DI276" s="93"/>
      <c r="DJ276" s="93"/>
      <c r="DK276" s="93"/>
      <c r="DL276" s="93"/>
      <c r="DM276" s="93"/>
      <c r="DN276" s="93"/>
      <c r="DO276" s="93"/>
    </row>
    <row r="277" spans="1:198" ht="15">
      <c r="D277" s="1062"/>
      <c r="E277" s="807"/>
      <c r="F277" s="807"/>
      <c r="G277" s="827"/>
      <c r="H277" s="809" t="s">
        <v>2160</v>
      </c>
      <c r="M277" s="811" t="str">
        <f t="shared" si="23"/>
        <v/>
      </c>
      <c r="P277" s="1638"/>
      <c r="S277" s="848"/>
      <c r="T277" s="820"/>
      <c r="U277" s="820"/>
      <c r="V277" s="829">
        <f>SUM(S275:U277)</f>
        <v>0</v>
      </c>
      <c r="X277" s="811" t="str">
        <f t="shared" si="24"/>
        <v/>
      </c>
      <c r="AB277" s="829">
        <f>SUM(Y275:AA277)</f>
        <v>0</v>
      </c>
      <c r="AC277" s="809"/>
      <c r="AD277" s="824"/>
      <c r="AG277" s="807" t="str">
        <f t="shared" si="22"/>
        <v/>
      </c>
      <c r="AI277" s="817"/>
      <c r="AJ277" s="817"/>
      <c r="AK277" s="862" t="s">
        <v>2160</v>
      </c>
      <c r="AL277" s="862" t="s">
        <v>478</v>
      </c>
      <c r="AM277" s="863" t="s">
        <v>1943</v>
      </c>
      <c r="AN277" s="833">
        <f>PRODUCT(AVERAGE(6000,7000),30)</f>
        <v>195000</v>
      </c>
      <c r="AQ277" s="93"/>
      <c r="AR277" s="93"/>
      <c r="AS277" s="93"/>
      <c r="AT277" s="93"/>
      <c r="AU277" s="93"/>
      <c r="AV277" s="93"/>
      <c r="AW277" s="93"/>
      <c r="AX277" s="93"/>
      <c r="AY277" s="93"/>
      <c r="AZ277" s="93"/>
      <c r="BA277" s="93"/>
      <c r="BB277" s="93"/>
      <c r="BL277" s="93"/>
      <c r="BM277" s="93"/>
      <c r="BT277" s="93"/>
      <c r="BU277" s="93"/>
      <c r="BV277" s="93"/>
      <c r="BW277" s="93"/>
      <c r="BX277" s="93"/>
      <c r="BY277" s="93"/>
      <c r="BZ277" s="93"/>
      <c r="CA277" s="93"/>
      <c r="CB277" s="93"/>
      <c r="CC277" s="93"/>
      <c r="CF277" s="93" t="s">
        <v>2144</v>
      </c>
      <c r="CG277" s="93"/>
      <c r="CH277" s="93"/>
      <c r="CI277" s="93"/>
      <c r="CJ277" s="93"/>
      <c r="CK277" s="93"/>
      <c r="CL277" s="93"/>
      <c r="CM277" s="93"/>
      <c r="CN277" s="93"/>
      <c r="CO277" s="93"/>
      <c r="CP277" s="93"/>
      <c r="CQ277" s="93"/>
      <c r="CR277" s="93"/>
      <c r="CS277" s="93"/>
      <c r="CT277" s="93"/>
      <c r="CU277" s="93"/>
      <c r="CV277" s="93"/>
      <c r="CW277" s="93"/>
      <c r="CX277" s="93"/>
      <c r="CY277" s="93"/>
      <c r="CZ277" s="93"/>
      <c r="DA277" s="93"/>
      <c r="DB277" s="93"/>
      <c r="DC277" s="93"/>
      <c r="DD277" s="93"/>
      <c r="DE277" s="93"/>
      <c r="DF277" s="93"/>
      <c r="DG277" s="93"/>
      <c r="DH277" s="93"/>
      <c r="DI277" s="93"/>
      <c r="DJ277" s="93"/>
      <c r="DK277" s="93"/>
      <c r="DL277" s="93"/>
      <c r="DM277" s="93"/>
      <c r="DN277" s="93"/>
      <c r="DO277" s="93"/>
    </row>
    <row r="278" spans="1:198" ht="15">
      <c r="D278" s="1065" t="s">
        <v>229</v>
      </c>
      <c r="E278" s="807"/>
      <c r="F278" s="807"/>
      <c r="G278" s="809" t="s">
        <v>229</v>
      </c>
      <c r="M278" s="811" t="str">
        <f t="shared" si="23"/>
        <v/>
      </c>
      <c r="P278" s="1638"/>
      <c r="S278" s="848"/>
      <c r="V278" s="830"/>
      <c r="X278" s="811" t="str">
        <f t="shared" si="24"/>
        <v/>
      </c>
      <c r="AB278" s="830"/>
      <c r="AC278" s="809"/>
      <c r="AD278" s="824"/>
      <c r="AG278" s="807" t="str">
        <f t="shared" si="22"/>
        <v/>
      </c>
      <c r="AH278" s="807"/>
      <c r="AI278" s="807"/>
      <c r="AJ278" s="807"/>
      <c r="AK278" s="92" t="s">
        <v>8589</v>
      </c>
      <c r="AL278" s="92" t="s">
        <v>8590</v>
      </c>
      <c r="AM278" s="819"/>
      <c r="AN278" s="820"/>
      <c r="AQ278" s="93"/>
      <c r="AR278" s="93"/>
      <c r="AS278" s="93"/>
      <c r="AT278" s="93"/>
      <c r="AU278" s="93"/>
      <c r="AV278" s="93"/>
      <c r="AW278" s="93"/>
      <c r="AX278" s="93"/>
      <c r="AY278" s="93"/>
      <c r="AZ278" s="93"/>
      <c r="BA278" s="93"/>
      <c r="BB278" s="93"/>
      <c r="BL278" s="93"/>
      <c r="BM278" s="93"/>
      <c r="BT278" s="93"/>
      <c r="BU278" s="93"/>
      <c r="BV278" s="93"/>
      <c r="BW278" s="93"/>
      <c r="BX278" s="93"/>
      <c r="BY278" s="93"/>
      <c r="BZ278" s="93"/>
      <c r="CA278" s="93"/>
      <c r="CB278" s="93"/>
      <c r="CC278" s="93"/>
      <c r="CF278" s="93"/>
      <c r="CG278" s="93"/>
      <c r="CH278" s="93"/>
      <c r="CI278" s="93"/>
      <c r="CJ278" s="93"/>
      <c r="CK278" s="93"/>
      <c r="CL278" s="93"/>
      <c r="CM278" s="93"/>
      <c r="CN278" s="93"/>
      <c r="CO278" s="93"/>
      <c r="CP278" s="93"/>
      <c r="CQ278" s="93"/>
      <c r="CR278" s="93"/>
      <c r="CS278" s="93"/>
      <c r="CT278" s="93"/>
      <c r="CU278" s="93"/>
      <c r="CV278" s="93"/>
      <c r="CW278" s="93"/>
      <c r="CX278" s="93"/>
      <c r="CY278" s="93"/>
      <c r="CZ278" s="93"/>
      <c r="DA278" s="93"/>
      <c r="DB278" s="93"/>
      <c r="DC278" s="93"/>
      <c r="DD278" s="93"/>
      <c r="DE278" s="93"/>
      <c r="DF278" s="93"/>
      <c r="DG278" s="93"/>
      <c r="DH278" s="93"/>
      <c r="DI278" s="93"/>
      <c r="DJ278" s="93"/>
      <c r="DK278" s="93"/>
      <c r="DL278" s="93"/>
      <c r="DM278" s="93"/>
      <c r="DN278" s="93"/>
      <c r="DO278" s="93"/>
    </row>
    <row r="279" spans="1:198" s="806" customFormat="1" ht="15">
      <c r="D279" s="1065" t="s">
        <v>233</v>
      </c>
      <c r="G279" s="808" t="s">
        <v>233</v>
      </c>
      <c r="H279" s="809" t="s">
        <v>1724</v>
      </c>
      <c r="I279" s="92">
        <v>34</v>
      </c>
      <c r="J279" s="92" t="s">
        <v>18</v>
      </c>
      <c r="K279" s="92" t="s">
        <v>768</v>
      </c>
      <c r="L279" s="810">
        <v>5</v>
      </c>
      <c r="M279" s="811" t="str">
        <f t="shared" si="23"/>
        <v>High School Graduate</v>
      </c>
      <c r="N279" s="92" t="s">
        <v>1208</v>
      </c>
      <c r="O279" s="92"/>
      <c r="P279" s="1638"/>
      <c r="Q279" s="92"/>
      <c r="R279" s="857"/>
      <c r="S279" s="848"/>
      <c r="T279" s="813"/>
      <c r="U279" s="836"/>
      <c r="V279" s="864"/>
      <c r="W279" s="838"/>
      <c r="X279" s="811" t="str">
        <f t="shared" si="24"/>
        <v/>
      </c>
      <c r="Y279" s="836"/>
      <c r="Z279" s="836"/>
      <c r="AA279" s="836"/>
      <c r="AB279" s="864"/>
      <c r="AC279" s="809"/>
      <c r="AD279" s="824"/>
      <c r="AE279" s="93"/>
      <c r="AF279" s="818"/>
      <c r="AG279" s="807" t="str">
        <f t="shared" si="22"/>
        <v/>
      </c>
      <c r="AH279" s="807"/>
      <c r="AI279" s="807"/>
      <c r="AJ279" s="807"/>
      <c r="AK279" s="92"/>
      <c r="AL279" s="92"/>
      <c r="AM279" s="819"/>
      <c r="AN279" s="820"/>
      <c r="AO279" s="817"/>
      <c r="AP279" s="820"/>
      <c r="AQ279" s="93"/>
      <c r="AR279" s="93"/>
      <c r="AS279" s="93"/>
      <c r="AT279" s="93"/>
      <c r="AU279" s="93"/>
      <c r="AV279" s="93"/>
      <c r="AW279" s="93"/>
      <c r="AX279" s="93"/>
      <c r="AY279" s="93"/>
      <c r="AZ279" s="93"/>
      <c r="BA279" s="93"/>
      <c r="BB279" s="93"/>
      <c r="BC279" s="93"/>
      <c r="BD279" s="93"/>
      <c r="BE279" s="93"/>
      <c r="BF279" s="93"/>
      <c r="BG279" s="93"/>
      <c r="BH279" s="93"/>
      <c r="BI279" s="93"/>
      <c r="BJ279" s="93"/>
      <c r="BK279" s="93"/>
      <c r="BL279" s="93"/>
      <c r="BM279" s="93"/>
      <c r="BN279" s="93"/>
      <c r="BT279" s="93"/>
      <c r="BU279" s="93"/>
      <c r="BV279" s="93"/>
      <c r="BW279" s="93"/>
      <c r="BX279" s="93"/>
      <c r="BY279" s="93"/>
      <c r="BZ279" s="93"/>
      <c r="CA279" s="93"/>
      <c r="CB279" s="93"/>
      <c r="CC279" s="93"/>
      <c r="CD279" s="93"/>
      <c r="CE279" s="93"/>
      <c r="CF279" s="93"/>
      <c r="CG279" s="93"/>
      <c r="CH279" s="93"/>
      <c r="CI279" s="93"/>
      <c r="CJ279" s="93"/>
      <c r="CK279" s="93"/>
      <c r="CL279" s="93"/>
      <c r="CM279" s="93"/>
      <c r="CN279" s="93"/>
      <c r="CO279" s="93"/>
      <c r="CP279" s="93"/>
      <c r="CQ279" s="93"/>
      <c r="CR279" s="93"/>
      <c r="CS279" s="93"/>
      <c r="CT279" s="93"/>
      <c r="CU279" s="93"/>
      <c r="CV279" s="93"/>
      <c r="CW279" s="93"/>
      <c r="CX279" s="93"/>
      <c r="CY279" s="93"/>
      <c r="CZ279" s="93"/>
      <c r="DA279" s="93"/>
      <c r="DB279" s="93"/>
      <c r="DC279" s="93"/>
      <c r="DD279" s="93"/>
      <c r="DE279" s="93"/>
      <c r="DF279" s="93"/>
      <c r="DG279" s="93"/>
      <c r="DH279" s="93"/>
      <c r="DI279" s="826"/>
      <c r="DJ279" s="825"/>
      <c r="DK279" s="825"/>
      <c r="GO279" s="92"/>
      <c r="GP279" s="831"/>
    </row>
    <row r="280" spans="1:198" s="806" customFormat="1" ht="15">
      <c r="D280" s="1065"/>
      <c r="G280" s="827"/>
      <c r="H280" s="809" t="s">
        <v>8591</v>
      </c>
      <c r="I280" s="92">
        <v>17</v>
      </c>
      <c r="J280" s="92" t="s">
        <v>18</v>
      </c>
      <c r="K280" s="92" t="s">
        <v>768</v>
      </c>
      <c r="L280" s="810">
        <v>4</v>
      </c>
      <c r="M280" s="811" t="str">
        <f t="shared" si="23"/>
        <v>High School Level</v>
      </c>
      <c r="N280" s="92"/>
      <c r="O280" s="92"/>
      <c r="P280" s="1638"/>
      <c r="Q280" s="92"/>
      <c r="R280" s="92"/>
      <c r="S280" s="848"/>
      <c r="T280" s="813"/>
      <c r="U280" s="813"/>
      <c r="V280" s="864"/>
      <c r="W280" s="838"/>
      <c r="X280" s="811" t="str">
        <f t="shared" si="24"/>
        <v/>
      </c>
      <c r="Y280" s="836"/>
      <c r="Z280" s="836"/>
      <c r="AA280" s="836"/>
      <c r="AB280" s="864"/>
      <c r="AC280" s="809"/>
      <c r="AD280" s="824"/>
      <c r="AE280" s="93"/>
      <c r="AF280" s="818"/>
      <c r="AG280" s="807" t="str">
        <f t="shared" si="22"/>
        <v/>
      </c>
      <c r="AH280" s="807"/>
      <c r="AI280" s="807"/>
      <c r="AJ280" s="807"/>
      <c r="AK280" s="92"/>
      <c r="AL280" s="92"/>
      <c r="AM280" s="819"/>
      <c r="AN280" s="820"/>
      <c r="AO280" s="817"/>
      <c r="AP280" s="820"/>
      <c r="AQ280" s="93"/>
      <c r="AR280" s="93"/>
      <c r="AS280" s="93"/>
      <c r="AT280" s="93"/>
      <c r="AU280" s="93"/>
      <c r="AV280" s="93"/>
      <c r="AW280" s="93"/>
      <c r="AX280" s="93"/>
      <c r="AY280" s="93"/>
      <c r="AZ280" s="93"/>
      <c r="BA280" s="93"/>
      <c r="BB280" s="93"/>
      <c r="BC280" s="93"/>
      <c r="BD280" s="93"/>
      <c r="BE280" s="93"/>
      <c r="BF280" s="93"/>
      <c r="BG280" s="93"/>
      <c r="BH280" s="93"/>
      <c r="BI280" s="93"/>
      <c r="BJ280" s="93"/>
      <c r="BK280" s="93"/>
      <c r="BL280" s="93"/>
      <c r="BM280" s="93"/>
      <c r="BN280" s="93"/>
      <c r="BT280" s="93"/>
      <c r="BU280" s="93"/>
      <c r="BV280" s="93"/>
      <c r="BW280" s="93"/>
      <c r="BX280" s="93"/>
      <c r="BY280" s="93"/>
      <c r="BZ280" s="93"/>
      <c r="CA280" s="93"/>
      <c r="CB280" s="93"/>
      <c r="CC280" s="93"/>
      <c r="CD280" s="93"/>
      <c r="CE280" s="93"/>
      <c r="CF280" s="93"/>
      <c r="CG280" s="93"/>
      <c r="CH280" s="93"/>
      <c r="CI280" s="93"/>
      <c r="CJ280" s="93"/>
      <c r="CK280" s="93"/>
      <c r="CL280" s="93"/>
      <c r="CM280" s="93"/>
      <c r="CN280" s="93"/>
      <c r="CO280" s="93"/>
      <c r="CP280" s="93"/>
      <c r="CQ280" s="93"/>
      <c r="CR280" s="93"/>
      <c r="CS280" s="93"/>
      <c r="CT280" s="93"/>
      <c r="CU280" s="93"/>
      <c r="CV280" s="93"/>
      <c r="CW280" s="93"/>
      <c r="CX280" s="93"/>
      <c r="CY280" s="93"/>
      <c r="CZ280" s="93"/>
      <c r="DA280" s="93"/>
      <c r="DB280" s="93"/>
      <c r="DC280" s="93"/>
      <c r="DD280" s="93"/>
      <c r="DE280" s="93"/>
      <c r="DF280" s="93"/>
      <c r="DG280" s="93"/>
      <c r="DH280" s="93"/>
      <c r="DI280" s="826"/>
      <c r="DJ280" s="825"/>
      <c r="DK280" s="825"/>
      <c r="GO280" s="92"/>
      <c r="GP280" s="831"/>
    </row>
    <row r="281" spans="1:198" s="806" customFormat="1" ht="15">
      <c r="D281" s="1065"/>
      <c r="G281" s="827"/>
      <c r="H281" s="809" t="s">
        <v>8592</v>
      </c>
      <c r="I281" s="92">
        <v>3</v>
      </c>
      <c r="J281" s="92" t="s">
        <v>10</v>
      </c>
      <c r="K281" s="92" t="s">
        <v>768</v>
      </c>
      <c r="L281" s="810">
        <v>1</v>
      </c>
      <c r="M281" s="811" t="str">
        <f t="shared" si="23"/>
        <v>Pre-school</v>
      </c>
      <c r="N281" s="92"/>
      <c r="O281" s="92"/>
      <c r="P281" s="1638"/>
      <c r="Q281" s="92"/>
      <c r="R281" s="92"/>
      <c r="S281" s="848"/>
      <c r="T281" s="813"/>
      <c r="U281" s="813"/>
      <c r="V281" s="864"/>
      <c r="W281" s="838"/>
      <c r="X281" s="811" t="str">
        <f t="shared" si="24"/>
        <v/>
      </c>
      <c r="Y281" s="836"/>
      <c r="Z281" s="836"/>
      <c r="AA281" s="836"/>
      <c r="AB281" s="864"/>
      <c r="AC281" s="809"/>
      <c r="AD281" s="824"/>
      <c r="AE281" s="93"/>
      <c r="AF281" s="818"/>
      <c r="AG281" s="807" t="str">
        <f>IF(ISBLANK(AF281)=TRUE,"",LOOKUP(AF281,GS:GT))</f>
        <v/>
      </c>
      <c r="AH281" s="807"/>
      <c r="AI281" s="807"/>
      <c r="AJ281" s="807"/>
      <c r="AK281" s="92"/>
      <c r="AL281" s="92"/>
      <c r="AM281" s="819"/>
      <c r="AN281" s="820"/>
      <c r="AO281" s="817"/>
      <c r="AP281" s="820"/>
      <c r="AQ281" s="93"/>
      <c r="AR281" s="93"/>
      <c r="AS281" s="93"/>
      <c r="AT281" s="93"/>
      <c r="AU281" s="93"/>
      <c r="AV281" s="93"/>
      <c r="AW281" s="93"/>
      <c r="AX281" s="93"/>
      <c r="AY281" s="93"/>
      <c r="AZ281" s="93"/>
      <c r="BA281" s="93"/>
      <c r="BB281" s="93"/>
      <c r="BC281" s="93"/>
      <c r="BD281" s="93"/>
      <c r="BE281" s="93"/>
      <c r="BF281" s="93"/>
      <c r="BG281" s="93"/>
      <c r="BH281" s="93"/>
      <c r="BI281" s="93"/>
      <c r="BJ281" s="93"/>
      <c r="BK281" s="93"/>
      <c r="BL281" s="93"/>
      <c r="BM281" s="93"/>
      <c r="BN281" s="93"/>
      <c r="BT281" s="93"/>
      <c r="BU281" s="93"/>
      <c r="BV281" s="93"/>
      <c r="BW281" s="93"/>
      <c r="BX281" s="93"/>
      <c r="BY281" s="93"/>
      <c r="BZ281" s="93"/>
      <c r="CA281" s="93"/>
      <c r="CB281" s="93"/>
      <c r="CC281" s="93"/>
      <c r="CD281" s="93"/>
      <c r="CE281" s="93"/>
      <c r="CF281" s="93"/>
      <c r="CG281" s="93"/>
      <c r="CH281" s="93"/>
      <c r="CI281" s="93"/>
      <c r="CJ281" s="93"/>
      <c r="CK281" s="93"/>
      <c r="CL281" s="93"/>
      <c r="CM281" s="93"/>
      <c r="CN281" s="93"/>
      <c r="CO281" s="93"/>
      <c r="CP281" s="93"/>
      <c r="CQ281" s="93"/>
      <c r="CR281" s="93"/>
      <c r="CS281" s="93"/>
      <c r="CT281" s="93"/>
      <c r="CU281" s="93"/>
      <c r="CV281" s="93"/>
      <c r="CW281" s="93"/>
      <c r="CX281" s="93"/>
      <c r="CY281" s="93"/>
      <c r="CZ281" s="93"/>
      <c r="DA281" s="93"/>
      <c r="DB281" s="93"/>
      <c r="DC281" s="93"/>
      <c r="DD281" s="93"/>
      <c r="DE281" s="93"/>
      <c r="DF281" s="93"/>
      <c r="DG281" s="93"/>
      <c r="DH281" s="93"/>
      <c r="DI281" s="826"/>
      <c r="DJ281" s="825"/>
      <c r="DK281" s="825"/>
      <c r="GO281" s="92"/>
      <c r="GP281" s="831"/>
    </row>
    <row r="282" spans="1:198" s="806" customFormat="1" ht="15">
      <c r="D282" s="1065"/>
      <c r="G282" s="827"/>
      <c r="H282" s="809" t="s">
        <v>8593</v>
      </c>
      <c r="I282" s="92">
        <v>19</v>
      </c>
      <c r="J282" s="92" t="s">
        <v>10</v>
      </c>
      <c r="K282" s="92" t="s">
        <v>768</v>
      </c>
      <c r="L282" s="810">
        <v>5</v>
      </c>
      <c r="M282" s="811" t="str">
        <f t="shared" si="23"/>
        <v>High School Graduate</v>
      </c>
      <c r="N282" s="92"/>
      <c r="O282" s="92"/>
      <c r="P282" s="1638"/>
      <c r="Q282" s="92"/>
      <c r="R282" s="92"/>
      <c r="S282" s="848"/>
      <c r="T282" s="813"/>
      <c r="U282" s="813"/>
      <c r="V282" s="864">
        <f>SUM(S279:U282)</f>
        <v>0</v>
      </c>
      <c r="W282" s="838"/>
      <c r="X282" s="811" t="str">
        <f t="shared" si="24"/>
        <v/>
      </c>
      <c r="Y282" s="836"/>
      <c r="Z282" s="836"/>
      <c r="AA282" s="836"/>
      <c r="AB282" s="864">
        <f>SUM(Y279:AA282)</f>
        <v>0</v>
      </c>
      <c r="AC282" s="809"/>
      <c r="AD282" s="824"/>
      <c r="AE282" s="93"/>
      <c r="AF282" s="818"/>
      <c r="AG282" s="807" t="str">
        <f>IF(ISBLANK(AF282)=TRUE,"",LOOKUP(AF282,GS:GT))</f>
        <v/>
      </c>
      <c r="AH282" s="807"/>
      <c r="AI282" s="807"/>
      <c r="AJ282" s="807"/>
      <c r="AK282" s="92"/>
      <c r="AL282" s="92"/>
      <c r="AM282" s="819"/>
      <c r="AN282" s="820"/>
      <c r="AO282" s="817"/>
      <c r="AP282" s="820"/>
      <c r="AQ282" s="93"/>
      <c r="AR282" s="93"/>
      <c r="AS282" s="93"/>
      <c r="AT282" s="93"/>
      <c r="AU282" s="93"/>
      <c r="AV282" s="93"/>
      <c r="AW282" s="93"/>
      <c r="AX282" s="93"/>
      <c r="AY282" s="93"/>
      <c r="AZ282" s="93"/>
      <c r="BA282" s="93"/>
      <c r="BB282" s="93"/>
      <c r="BC282" s="93"/>
      <c r="BD282" s="93"/>
      <c r="BE282" s="93"/>
      <c r="BF282" s="93"/>
      <c r="BG282" s="93"/>
      <c r="BH282" s="93"/>
      <c r="BI282" s="93"/>
      <c r="BJ282" s="93"/>
      <c r="BK282" s="93"/>
      <c r="BL282" s="93"/>
      <c r="BM282" s="93"/>
      <c r="BN282" s="93"/>
      <c r="BT282" s="93"/>
      <c r="BU282" s="93"/>
      <c r="BV282" s="93"/>
      <c r="BW282" s="93"/>
      <c r="BX282" s="93"/>
      <c r="BY282" s="93"/>
      <c r="BZ282" s="93"/>
      <c r="CA282" s="93"/>
      <c r="CB282" s="93"/>
      <c r="CC282" s="93"/>
      <c r="CD282" s="93"/>
      <c r="CE282" s="93"/>
      <c r="CF282" s="93"/>
      <c r="CG282" s="93"/>
      <c r="CH282" s="93"/>
      <c r="CI282" s="93"/>
      <c r="CJ282" s="93"/>
      <c r="CK282" s="93"/>
      <c r="CL282" s="93"/>
      <c r="CM282" s="93"/>
      <c r="CN282" s="93"/>
      <c r="CO282" s="93"/>
      <c r="CP282" s="93"/>
      <c r="CQ282" s="93"/>
      <c r="CR282" s="93"/>
      <c r="CS282" s="93"/>
      <c r="CT282" s="93"/>
      <c r="CU282" s="93"/>
      <c r="CV282" s="93"/>
      <c r="CW282" s="93"/>
      <c r="CX282" s="93"/>
      <c r="CY282" s="93"/>
      <c r="CZ282" s="93"/>
      <c r="DA282" s="93"/>
      <c r="DB282" s="93"/>
      <c r="DC282" s="93"/>
      <c r="DD282" s="93"/>
      <c r="DE282" s="93"/>
      <c r="DF282" s="93"/>
      <c r="DG282" s="93"/>
      <c r="DH282" s="93"/>
      <c r="DI282" s="826"/>
      <c r="DJ282" s="825"/>
      <c r="DK282" s="825"/>
      <c r="GO282" s="92"/>
      <c r="GP282" s="831"/>
    </row>
    <row r="283" spans="1:198" ht="15">
      <c r="D283" s="1065" t="s">
        <v>242</v>
      </c>
      <c r="E283" s="807"/>
      <c r="F283" s="807"/>
      <c r="G283" s="808" t="s">
        <v>242</v>
      </c>
      <c r="H283" s="809" t="s">
        <v>8594</v>
      </c>
      <c r="I283" s="92">
        <v>37</v>
      </c>
      <c r="J283" s="92" t="s">
        <v>10</v>
      </c>
      <c r="K283" s="92" t="s">
        <v>707</v>
      </c>
      <c r="L283" s="810">
        <v>7</v>
      </c>
      <c r="M283" s="811" t="str">
        <f t="shared" si="23"/>
        <v>College Graduate or Higher</v>
      </c>
      <c r="N283" s="92" t="s">
        <v>1208</v>
      </c>
      <c r="O283" s="92"/>
      <c r="P283" s="1638"/>
      <c r="Q283" s="92"/>
      <c r="R283" s="857"/>
      <c r="S283" s="820"/>
      <c r="V283" s="828"/>
      <c r="X283" s="811" t="str">
        <f t="shared" si="24"/>
        <v/>
      </c>
      <c r="AB283" s="828"/>
      <c r="AC283" s="809"/>
      <c r="AG283" s="807" t="str">
        <f>IF(ISBLANK(AF283)=TRUE,"",LOOKUP(AF283,GS:GT))</f>
        <v/>
      </c>
      <c r="AH283" s="906" t="s">
        <v>110</v>
      </c>
      <c r="AI283" s="817" t="s">
        <v>110</v>
      </c>
      <c r="AJ283" s="817"/>
      <c r="AK283" s="92" t="s">
        <v>8340</v>
      </c>
      <c r="AO283" s="817" t="s">
        <v>8340</v>
      </c>
      <c r="AQ283" s="816"/>
      <c r="AS283" s="93"/>
      <c r="AT283" s="93"/>
      <c r="AU283" s="93"/>
      <c r="AV283" s="93"/>
      <c r="AW283" s="93"/>
      <c r="AX283" s="93"/>
      <c r="AY283" s="93"/>
      <c r="AZ283" s="93"/>
      <c r="BA283" s="93"/>
      <c r="BB283" s="93"/>
      <c r="BL283" s="93"/>
      <c r="BM283" s="93"/>
      <c r="BT283" s="93"/>
      <c r="BU283" s="93"/>
      <c r="BV283" s="93"/>
      <c r="BW283" s="93"/>
      <c r="BX283" s="93"/>
      <c r="BY283" s="93"/>
      <c r="BZ283" s="93"/>
      <c r="CA283" s="93"/>
      <c r="CB283" s="93"/>
      <c r="CC283" s="93"/>
      <c r="CF283" s="93"/>
      <c r="CG283" s="93"/>
      <c r="CH283" s="93"/>
      <c r="CI283" s="93"/>
      <c r="CJ283" s="93"/>
      <c r="CK283" s="93"/>
      <c r="CL283" s="93"/>
      <c r="CM283" s="93"/>
      <c r="CN283" s="93"/>
      <c r="CO283" s="93"/>
      <c r="CP283" s="93"/>
      <c r="CQ283" s="93"/>
      <c r="CR283" s="93"/>
      <c r="CS283" s="93"/>
      <c r="CT283" s="93"/>
      <c r="CU283" s="93"/>
      <c r="CV283" s="93"/>
      <c r="CW283" s="93"/>
      <c r="CX283" s="93"/>
      <c r="CY283" s="93"/>
      <c r="CZ283" s="93"/>
      <c r="DA283" s="93"/>
      <c r="DB283" s="93"/>
      <c r="DC283" s="93"/>
      <c r="DD283" s="93"/>
      <c r="DE283" s="93"/>
      <c r="DF283" s="93"/>
      <c r="DG283" s="93"/>
      <c r="DH283" s="93"/>
      <c r="DI283" s="93"/>
      <c r="DJ283" s="93"/>
      <c r="DK283" s="93"/>
      <c r="DL283" s="93"/>
      <c r="DM283" s="93"/>
      <c r="DN283" s="93"/>
      <c r="DO283" s="93"/>
    </row>
    <row r="284" spans="1:198" ht="15">
      <c r="D284" s="1065"/>
      <c r="E284" s="807"/>
      <c r="F284" s="807"/>
      <c r="G284" s="827"/>
      <c r="H284" s="809" t="s">
        <v>8595</v>
      </c>
      <c r="I284" s="92">
        <v>54</v>
      </c>
      <c r="J284" s="92" t="s">
        <v>18</v>
      </c>
      <c r="K284" s="92" t="s">
        <v>768</v>
      </c>
      <c r="L284" s="810">
        <v>2</v>
      </c>
      <c r="M284" s="811" t="str">
        <f t="shared" si="23"/>
        <v>Elementary Level</v>
      </c>
      <c r="P284" s="1638"/>
      <c r="S284" s="848"/>
      <c r="V284" s="828">
        <f>SUM(S283:U284)</f>
        <v>0</v>
      </c>
      <c r="X284" s="811" t="str">
        <f t="shared" si="24"/>
        <v/>
      </c>
      <c r="AB284" s="828">
        <f>SUM(Y283:AA284)</f>
        <v>0</v>
      </c>
      <c r="AC284" s="907"/>
      <c r="AD284" s="908"/>
      <c r="AG284" s="807" t="str">
        <f>IF(ISBLANK(AF284)=TRUE,"",LOOKUP(AF284,GS:GT))</f>
        <v/>
      </c>
      <c r="AH284" s="866"/>
      <c r="AI284" s="807"/>
      <c r="AJ284" s="807"/>
      <c r="AK284" s="92"/>
      <c r="AN284" s="820"/>
      <c r="AO284" s="865"/>
      <c r="AQ284" s="816"/>
      <c r="AR284" s="93"/>
      <c r="AS284" s="93"/>
      <c r="AT284" s="93"/>
      <c r="AU284" s="93"/>
      <c r="AV284" s="93"/>
      <c r="AW284" s="93"/>
      <c r="AX284" s="93"/>
      <c r="AY284" s="93"/>
      <c r="AZ284" s="93"/>
      <c r="BA284" s="93"/>
      <c r="BB284" s="93"/>
      <c r="BL284" s="93"/>
      <c r="BM284" s="93"/>
      <c r="BT284" s="93"/>
      <c r="BU284" s="93"/>
      <c r="BV284" s="93"/>
      <c r="BW284" s="93"/>
      <c r="BX284" s="93"/>
      <c r="BY284" s="93"/>
      <c r="BZ284" s="93"/>
      <c r="CA284" s="93"/>
      <c r="CB284" s="93"/>
      <c r="CC284" s="93"/>
      <c r="CF284" s="93"/>
      <c r="CG284" s="93"/>
      <c r="CH284" s="93"/>
      <c r="CI284" s="93"/>
      <c r="CJ284" s="93"/>
      <c r="CK284" s="93"/>
      <c r="CL284" s="93"/>
      <c r="CM284" s="93"/>
      <c r="CN284" s="93"/>
      <c r="CO284" s="93"/>
      <c r="CP284" s="93"/>
      <c r="CQ284" s="93"/>
      <c r="CR284" s="93"/>
      <c r="CS284" s="93"/>
      <c r="CT284" s="93"/>
      <c r="CU284" s="93"/>
      <c r="CV284" s="93"/>
      <c r="CW284" s="93"/>
      <c r="CX284" s="93"/>
      <c r="CY284" s="93"/>
      <c r="CZ284" s="93"/>
      <c r="DA284" s="93"/>
      <c r="DB284" s="93"/>
      <c r="DC284" s="93"/>
      <c r="DD284" s="93"/>
      <c r="DE284" s="93"/>
      <c r="DF284" s="93"/>
      <c r="DG284" s="93"/>
      <c r="DH284" s="93"/>
      <c r="DI284" s="93"/>
      <c r="DJ284" s="93"/>
      <c r="DK284" s="93"/>
      <c r="DL284" s="93"/>
      <c r="DM284" s="93"/>
      <c r="DN284" s="93"/>
      <c r="DO284" s="93"/>
    </row>
    <row r="285" spans="1:198" ht="15">
      <c r="D285" s="1065" t="s">
        <v>11838</v>
      </c>
      <c r="E285" s="807"/>
      <c r="F285" s="807"/>
      <c r="G285" s="846" t="s">
        <v>11838</v>
      </c>
      <c r="H285" s="809" t="s">
        <v>12343</v>
      </c>
      <c r="I285" s="92">
        <v>40</v>
      </c>
      <c r="J285" s="92" t="s">
        <v>10</v>
      </c>
      <c r="K285" s="92" t="s">
        <v>722</v>
      </c>
      <c r="L285" s="810">
        <v>5</v>
      </c>
      <c r="M285" s="811" t="str">
        <f t="shared" si="23"/>
        <v>High School Graduate</v>
      </c>
      <c r="N285" s="92" t="s">
        <v>1208</v>
      </c>
      <c r="O285" s="812" t="s">
        <v>2225</v>
      </c>
      <c r="P285" s="1638"/>
      <c r="Q285" s="812" t="s">
        <v>2225</v>
      </c>
      <c r="R285" s="812" t="s">
        <v>8234</v>
      </c>
      <c r="S285" s="848">
        <v>10000</v>
      </c>
      <c r="V285" s="873"/>
      <c r="W285" s="815">
        <v>3</v>
      </c>
      <c r="X285" s="811" t="str">
        <f t="shared" si="24"/>
        <v>within the Province</v>
      </c>
      <c r="Y285" s="816">
        <f>80*26</f>
        <v>2080</v>
      </c>
      <c r="AB285" s="873"/>
      <c r="AC285" s="907"/>
      <c r="AD285" s="908"/>
      <c r="AG285" s="807"/>
      <c r="AH285" s="866"/>
      <c r="AI285" s="807"/>
      <c r="AJ285" s="807"/>
      <c r="AK285" s="92"/>
      <c r="AN285" s="820"/>
      <c r="AO285" s="865"/>
      <c r="AQ285" s="816"/>
      <c r="AR285" s="93"/>
      <c r="AS285" s="93"/>
      <c r="AT285" s="93"/>
      <c r="AU285" s="93"/>
      <c r="AV285" s="93"/>
      <c r="AW285" s="93"/>
      <c r="AX285" s="93"/>
      <c r="AY285" s="93"/>
      <c r="AZ285" s="93"/>
      <c r="BA285" s="93"/>
      <c r="BB285" s="93"/>
      <c r="BL285" s="93"/>
      <c r="BM285" s="93"/>
      <c r="BT285" s="93"/>
      <c r="BU285" s="93"/>
      <c r="BV285" s="93"/>
      <c r="BW285" s="93"/>
      <c r="BX285" s="93"/>
      <c r="BY285" s="93"/>
      <c r="BZ285" s="93"/>
      <c r="CA285" s="93"/>
      <c r="CB285" s="93"/>
      <c r="CC285" s="93"/>
      <c r="CF285" s="93"/>
      <c r="CG285" s="93"/>
      <c r="CH285" s="93"/>
      <c r="CI285" s="93"/>
      <c r="CJ285" s="93"/>
      <c r="CK285" s="93"/>
      <c r="CL285" s="93"/>
      <c r="CM285" s="93"/>
      <c r="CN285" s="93"/>
      <c r="CO285" s="93"/>
      <c r="CP285" s="93"/>
      <c r="CQ285" s="93"/>
      <c r="CR285" s="93"/>
      <c r="CS285" s="93"/>
      <c r="CT285" s="93"/>
      <c r="CU285" s="93"/>
      <c r="CV285" s="93"/>
      <c r="CW285" s="93"/>
      <c r="CX285" s="93"/>
      <c r="CY285" s="93"/>
      <c r="CZ285" s="93"/>
      <c r="DA285" s="93"/>
      <c r="DB285" s="93"/>
      <c r="DC285" s="93"/>
      <c r="DD285" s="93"/>
      <c r="DE285" s="93"/>
      <c r="DF285" s="93"/>
      <c r="DG285" s="93"/>
      <c r="DH285" s="93"/>
      <c r="DI285" s="93"/>
      <c r="DJ285" s="93"/>
      <c r="DK285" s="93"/>
      <c r="DL285" s="93"/>
      <c r="DM285" s="93"/>
      <c r="DN285" s="93"/>
      <c r="DO285" s="93"/>
    </row>
    <row r="286" spans="1:198" ht="15">
      <c r="D286" s="1065"/>
      <c r="E286" s="807"/>
      <c r="F286" s="807"/>
      <c r="G286" s="827"/>
      <c r="H286" s="809" t="s">
        <v>12346</v>
      </c>
      <c r="I286" s="92">
        <v>48</v>
      </c>
      <c r="J286" s="92" t="s">
        <v>18</v>
      </c>
      <c r="K286" s="92" t="s">
        <v>722</v>
      </c>
      <c r="L286" s="810">
        <v>5</v>
      </c>
      <c r="M286" s="811" t="str">
        <f t="shared" si="23"/>
        <v>High School Graduate</v>
      </c>
      <c r="P286" s="1638"/>
      <c r="S286" s="848"/>
      <c r="V286" s="873"/>
      <c r="X286" s="811" t="str">
        <f t="shared" si="24"/>
        <v/>
      </c>
      <c r="AB286" s="873"/>
      <c r="AC286" s="907"/>
      <c r="AD286" s="908"/>
      <c r="AG286" s="807"/>
      <c r="AH286" s="866"/>
      <c r="AI286" s="807"/>
      <c r="AJ286" s="807"/>
      <c r="AK286" s="92"/>
      <c r="AN286" s="820"/>
      <c r="AO286" s="865"/>
      <c r="AQ286" s="816"/>
      <c r="AR286" s="93"/>
      <c r="AS286" s="93"/>
      <c r="AT286" s="93"/>
      <c r="AU286" s="93"/>
      <c r="AV286" s="93"/>
      <c r="AW286" s="93"/>
      <c r="AX286" s="93"/>
      <c r="AY286" s="93"/>
      <c r="AZ286" s="93"/>
      <c r="BA286" s="93"/>
      <c r="BB286" s="93"/>
      <c r="BL286" s="93"/>
      <c r="BM286" s="93"/>
      <c r="BT286" s="93"/>
      <c r="BU286" s="93"/>
      <c r="BV286" s="93"/>
      <c r="BW286" s="93"/>
      <c r="BX286" s="93"/>
      <c r="BY286" s="93"/>
      <c r="BZ286" s="93"/>
      <c r="CA286" s="93"/>
      <c r="CB286" s="93"/>
      <c r="CC286" s="93"/>
      <c r="CF286" s="93"/>
      <c r="CG286" s="93"/>
      <c r="CH286" s="93"/>
      <c r="CI286" s="93"/>
      <c r="CJ286" s="93"/>
      <c r="CK286" s="93"/>
      <c r="CL286" s="93"/>
      <c r="CM286" s="93"/>
      <c r="CN286" s="93"/>
      <c r="CO286" s="93"/>
      <c r="CP286" s="93"/>
      <c r="CQ286" s="93"/>
      <c r="CR286" s="93"/>
      <c r="CS286" s="93"/>
      <c r="CT286" s="93"/>
      <c r="CU286" s="93"/>
      <c r="CV286" s="93"/>
      <c r="CW286" s="93"/>
      <c r="CX286" s="93"/>
      <c r="CY286" s="93"/>
      <c r="CZ286" s="93"/>
      <c r="DA286" s="93"/>
      <c r="DB286" s="93"/>
      <c r="DC286" s="93"/>
      <c r="DD286" s="93"/>
      <c r="DE286" s="93"/>
      <c r="DF286" s="93"/>
      <c r="DG286" s="93"/>
      <c r="DH286" s="93"/>
      <c r="DI286" s="93"/>
      <c r="DJ286" s="93"/>
      <c r="DK286" s="93"/>
      <c r="DL286" s="93"/>
      <c r="DM286" s="93"/>
      <c r="DN286" s="93"/>
      <c r="DO286" s="93"/>
    </row>
    <row r="287" spans="1:198" ht="15">
      <c r="D287" s="1065"/>
      <c r="E287" s="807"/>
      <c r="F287" s="807"/>
      <c r="G287" s="827"/>
      <c r="H287" s="809" t="s">
        <v>12347</v>
      </c>
      <c r="I287" s="92">
        <v>12</v>
      </c>
      <c r="J287" s="92" t="s">
        <v>10</v>
      </c>
      <c r="K287" s="92" t="s">
        <v>768</v>
      </c>
      <c r="L287" s="810">
        <v>4</v>
      </c>
      <c r="M287" s="811" t="str">
        <f t="shared" si="23"/>
        <v>High School Level</v>
      </c>
      <c r="P287" s="1638"/>
      <c r="S287" s="848"/>
      <c r="V287" s="873"/>
      <c r="X287" s="811" t="str">
        <f t="shared" si="24"/>
        <v/>
      </c>
      <c r="AB287" s="873"/>
      <c r="AC287" s="907"/>
      <c r="AD287" s="908"/>
      <c r="AG287" s="807"/>
      <c r="AH287" s="866"/>
      <c r="AI287" s="807"/>
      <c r="AJ287" s="807"/>
      <c r="AK287" s="92"/>
      <c r="AN287" s="820"/>
      <c r="AO287" s="865"/>
      <c r="AQ287" s="816"/>
      <c r="AR287" s="93"/>
      <c r="AS287" s="93"/>
      <c r="AT287" s="93"/>
      <c r="AU287" s="93"/>
      <c r="AV287" s="93"/>
      <c r="AW287" s="93"/>
      <c r="AX287" s="93"/>
      <c r="AY287" s="93"/>
      <c r="AZ287" s="93"/>
      <c r="BA287" s="93"/>
      <c r="BB287" s="93"/>
      <c r="BL287" s="93"/>
      <c r="BM287" s="93"/>
      <c r="BT287" s="93"/>
      <c r="BU287" s="93"/>
      <c r="BV287" s="93"/>
      <c r="BW287" s="93"/>
      <c r="BX287" s="93"/>
      <c r="BY287" s="93"/>
      <c r="BZ287" s="93"/>
      <c r="CA287" s="93"/>
      <c r="CB287" s="93"/>
      <c r="CC287" s="93"/>
      <c r="CF287" s="93"/>
      <c r="CG287" s="93"/>
      <c r="CH287" s="93"/>
      <c r="CI287" s="93"/>
      <c r="CJ287" s="93"/>
      <c r="CK287" s="93"/>
      <c r="CL287" s="93"/>
      <c r="CM287" s="93"/>
      <c r="CN287" s="93"/>
      <c r="CO287" s="93"/>
      <c r="CP287" s="93"/>
      <c r="CQ287" s="93"/>
      <c r="CR287" s="93"/>
      <c r="CS287" s="93"/>
      <c r="CT287" s="93"/>
      <c r="CU287" s="93"/>
      <c r="CV287" s="93"/>
      <c r="CW287" s="93"/>
      <c r="CX287" s="93"/>
      <c r="CY287" s="93"/>
      <c r="CZ287" s="93"/>
      <c r="DA287" s="93"/>
      <c r="DB287" s="93"/>
      <c r="DC287" s="93"/>
      <c r="DD287" s="93"/>
      <c r="DE287" s="93"/>
      <c r="DF287" s="93"/>
      <c r="DG287" s="93"/>
      <c r="DH287" s="93"/>
      <c r="DI287" s="93"/>
      <c r="DJ287" s="93"/>
      <c r="DK287" s="93"/>
      <c r="DL287" s="93"/>
      <c r="DM287" s="93"/>
      <c r="DN287" s="93"/>
      <c r="DO287" s="93"/>
    </row>
    <row r="288" spans="1:198" ht="15">
      <c r="D288" s="1065" t="s">
        <v>11838</v>
      </c>
      <c r="E288" s="807"/>
      <c r="F288" s="807"/>
      <c r="G288" s="846" t="s">
        <v>11838</v>
      </c>
      <c r="H288" s="809" t="s">
        <v>12344</v>
      </c>
      <c r="I288" s="92">
        <v>40</v>
      </c>
      <c r="J288" s="92" t="s">
        <v>10</v>
      </c>
      <c r="K288" s="92" t="s">
        <v>707</v>
      </c>
      <c r="L288" s="810">
        <v>5</v>
      </c>
      <c r="M288" s="811" t="str">
        <f t="shared" si="23"/>
        <v>High School Graduate</v>
      </c>
      <c r="O288" s="812" t="s">
        <v>12351</v>
      </c>
      <c r="P288" s="1638"/>
      <c r="Q288" s="812" t="s">
        <v>12351</v>
      </c>
      <c r="S288" s="848"/>
      <c r="V288" s="873"/>
      <c r="X288" s="811" t="str">
        <f t="shared" si="24"/>
        <v/>
      </c>
      <c r="AB288" s="873"/>
      <c r="AC288" s="907"/>
      <c r="AD288" s="908"/>
      <c r="AG288" s="807"/>
      <c r="AH288" s="866"/>
      <c r="AI288" s="807"/>
      <c r="AJ288" s="807"/>
      <c r="AK288" s="92"/>
      <c r="AN288" s="820"/>
      <c r="AO288" s="865"/>
      <c r="AQ288" s="816"/>
      <c r="AR288" s="93"/>
      <c r="AS288" s="93"/>
      <c r="AT288" s="93"/>
      <c r="AU288" s="93"/>
      <c r="AV288" s="93"/>
      <c r="AW288" s="93"/>
      <c r="AX288" s="93"/>
      <c r="AY288" s="93"/>
      <c r="AZ288" s="93"/>
      <c r="BA288" s="93"/>
      <c r="BB288" s="93"/>
      <c r="BL288" s="93"/>
      <c r="BM288" s="93"/>
      <c r="BT288" s="93"/>
      <c r="BU288" s="93"/>
      <c r="BV288" s="93"/>
      <c r="BW288" s="93"/>
      <c r="BX288" s="93"/>
      <c r="BY288" s="93"/>
      <c r="BZ288" s="93"/>
      <c r="CA288" s="93"/>
      <c r="CB288" s="93"/>
      <c r="CC288" s="93"/>
      <c r="CF288" s="93"/>
      <c r="CG288" s="93"/>
      <c r="CH288" s="93"/>
      <c r="CI288" s="93"/>
      <c r="CJ288" s="93"/>
      <c r="CK288" s="93"/>
      <c r="CL288" s="93"/>
      <c r="CM288" s="93"/>
      <c r="CN288" s="93"/>
      <c r="CO288" s="93"/>
      <c r="CP288" s="93"/>
      <c r="CQ288" s="93"/>
      <c r="CR288" s="93"/>
      <c r="CS288" s="93"/>
      <c r="CT288" s="93"/>
      <c r="CU288" s="93"/>
      <c r="CV288" s="93"/>
      <c r="CW288" s="93"/>
      <c r="CX288" s="93"/>
      <c r="CY288" s="93"/>
      <c r="CZ288" s="93"/>
      <c r="DA288" s="93"/>
      <c r="DB288" s="93"/>
      <c r="DC288" s="93"/>
      <c r="DD288" s="93"/>
      <c r="DE288" s="93"/>
      <c r="DF288" s="93"/>
      <c r="DG288" s="93"/>
      <c r="DH288" s="93"/>
      <c r="DI288" s="93"/>
      <c r="DJ288" s="93"/>
      <c r="DK288" s="93"/>
      <c r="DL288" s="93"/>
      <c r="DM288" s="93"/>
      <c r="DN288" s="93"/>
      <c r="DO288" s="93"/>
    </row>
    <row r="289" spans="1:198" ht="15">
      <c r="D289" s="1065"/>
      <c r="E289" s="807"/>
      <c r="F289" s="807"/>
      <c r="G289" s="827"/>
      <c r="H289" s="809" t="s">
        <v>12349</v>
      </c>
      <c r="I289" s="92">
        <v>41</v>
      </c>
      <c r="J289" s="92" t="s">
        <v>18</v>
      </c>
      <c r="K289" s="92" t="s">
        <v>707</v>
      </c>
      <c r="L289" s="810">
        <v>5</v>
      </c>
      <c r="M289" s="811" t="str">
        <f t="shared" si="23"/>
        <v>High School Graduate</v>
      </c>
      <c r="P289" s="1638"/>
      <c r="S289" s="848"/>
      <c r="V289" s="873"/>
      <c r="X289" s="811" t="str">
        <f t="shared" si="24"/>
        <v/>
      </c>
      <c r="AB289" s="873"/>
      <c r="AC289" s="907"/>
      <c r="AD289" s="908"/>
      <c r="AG289" s="807"/>
      <c r="AH289" s="866"/>
      <c r="AI289" s="807"/>
      <c r="AJ289" s="807"/>
      <c r="AK289" s="92"/>
      <c r="AN289" s="820"/>
      <c r="AO289" s="865"/>
      <c r="AQ289" s="816"/>
      <c r="AR289" s="93"/>
      <c r="AS289" s="93"/>
      <c r="AT289" s="93"/>
      <c r="AU289" s="93"/>
      <c r="AV289" s="93"/>
      <c r="AW289" s="93"/>
      <c r="AX289" s="93"/>
      <c r="AY289" s="93"/>
      <c r="AZ289" s="93"/>
      <c r="BA289" s="93"/>
      <c r="BB289" s="93"/>
      <c r="BL289" s="93"/>
      <c r="BM289" s="93"/>
      <c r="BT289" s="93"/>
      <c r="BU289" s="93"/>
      <c r="BV289" s="93"/>
      <c r="BW289" s="93"/>
      <c r="BX289" s="93"/>
      <c r="BY289" s="93"/>
      <c r="BZ289" s="93"/>
      <c r="CA289" s="93"/>
      <c r="CB289" s="93"/>
      <c r="CC289" s="93"/>
      <c r="CF289" s="93"/>
      <c r="CG289" s="93"/>
      <c r="CH289" s="93"/>
      <c r="CI289" s="93"/>
      <c r="CJ289" s="93"/>
      <c r="CK289" s="93"/>
      <c r="CL289" s="93"/>
      <c r="CM289" s="93"/>
      <c r="CN289" s="93"/>
      <c r="CO289" s="93"/>
      <c r="CP289" s="93"/>
      <c r="CQ289" s="93"/>
      <c r="CR289" s="93"/>
      <c r="CS289" s="93"/>
      <c r="CT289" s="93"/>
      <c r="CU289" s="93"/>
      <c r="CV289" s="93"/>
      <c r="CW289" s="93"/>
      <c r="CX289" s="93"/>
      <c r="CY289" s="93"/>
      <c r="CZ289" s="93"/>
      <c r="DA289" s="93"/>
      <c r="DB289" s="93"/>
      <c r="DC289" s="93"/>
      <c r="DD289" s="93"/>
      <c r="DE289" s="93"/>
      <c r="DF289" s="93"/>
      <c r="DG289" s="93"/>
      <c r="DH289" s="93"/>
      <c r="DI289" s="93"/>
      <c r="DJ289" s="93"/>
      <c r="DK289" s="93"/>
      <c r="DL289" s="93"/>
      <c r="DM289" s="93"/>
      <c r="DN289" s="93"/>
      <c r="DO289" s="93"/>
    </row>
    <row r="290" spans="1:198" ht="15">
      <c r="D290" s="1065"/>
      <c r="E290" s="807"/>
      <c r="F290" s="807"/>
      <c r="G290" s="827"/>
      <c r="H290" s="809" t="s">
        <v>12350</v>
      </c>
      <c r="I290" s="92">
        <v>14</v>
      </c>
      <c r="J290" s="92" t="s">
        <v>10</v>
      </c>
      <c r="K290" s="92" t="s">
        <v>768</v>
      </c>
      <c r="L290" s="810">
        <v>2</v>
      </c>
      <c r="M290" s="811" t="str">
        <f t="shared" si="23"/>
        <v>Elementary Level</v>
      </c>
      <c r="P290" s="1638"/>
      <c r="S290" s="848"/>
      <c r="V290" s="873"/>
      <c r="X290" s="811" t="str">
        <f t="shared" si="24"/>
        <v/>
      </c>
      <c r="AB290" s="873"/>
      <c r="AC290" s="907"/>
      <c r="AD290" s="908"/>
      <c r="AG290" s="807"/>
      <c r="AH290" s="866"/>
      <c r="AI290" s="807"/>
      <c r="AJ290" s="807"/>
      <c r="AK290" s="92"/>
      <c r="AN290" s="820"/>
      <c r="AO290" s="865"/>
      <c r="AQ290" s="816"/>
      <c r="AR290" s="93"/>
      <c r="AS290" s="93"/>
      <c r="AT290" s="93"/>
      <c r="AU290" s="93"/>
      <c r="AV290" s="93"/>
      <c r="AW290" s="93"/>
      <c r="AX290" s="93"/>
      <c r="AY290" s="93"/>
      <c r="AZ290" s="93"/>
      <c r="BA290" s="93"/>
      <c r="BB290" s="93"/>
      <c r="BL290" s="93"/>
      <c r="BM290" s="93"/>
      <c r="BT290" s="93"/>
      <c r="BU290" s="93"/>
      <c r="BV290" s="93"/>
      <c r="BW290" s="93"/>
      <c r="BX290" s="93"/>
      <c r="BY290" s="93"/>
      <c r="BZ290" s="93"/>
      <c r="CA290" s="93"/>
      <c r="CB290" s="93"/>
      <c r="CC290" s="93"/>
      <c r="CF290" s="93"/>
      <c r="CG290" s="93"/>
      <c r="CH290" s="93"/>
      <c r="CI290" s="93"/>
      <c r="CJ290" s="93"/>
      <c r="CK290" s="93"/>
      <c r="CL290" s="93"/>
      <c r="CM290" s="93"/>
      <c r="CN290" s="93"/>
      <c r="CO290" s="93"/>
      <c r="CP290" s="93"/>
      <c r="CQ290" s="93"/>
      <c r="CR290" s="93"/>
      <c r="CS290" s="93"/>
      <c r="CT290" s="93"/>
      <c r="CU290" s="93"/>
      <c r="CV290" s="93"/>
      <c r="CW290" s="93"/>
      <c r="CX290" s="93"/>
      <c r="CY290" s="93"/>
      <c r="CZ290" s="93"/>
      <c r="DA290" s="93"/>
      <c r="DB290" s="93"/>
      <c r="DC290" s="93"/>
      <c r="DD290" s="93"/>
      <c r="DE290" s="93"/>
      <c r="DF290" s="93"/>
      <c r="DG290" s="93"/>
      <c r="DH290" s="93"/>
      <c r="DI290" s="93"/>
      <c r="DJ290" s="93"/>
      <c r="DK290" s="93"/>
      <c r="DL290" s="93"/>
      <c r="DM290" s="93"/>
      <c r="DN290" s="93"/>
      <c r="DO290" s="93"/>
    </row>
    <row r="291" spans="1:198" ht="15">
      <c r="D291" s="1065"/>
      <c r="E291" s="807"/>
      <c r="F291" s="807"/>
      <c r="G291" s="827"/>
      <c r="H291" s="809" t="s">
        <v>12348</v>
      </c>
      <c r="I291" s="92">
        <v>5</v>
      </c>
      <c r="J291" s="92" t="s">
        <v>18</v>
      </c>
      <c r="K291" s="92" t="s">
        <v>768</v>
      </c>
      <c r="L291" s="810">
        <v>1</v>
      </c>
      <c r="M291" s="811" t="str">
        <f t="shared" si="23"/>
        <v>Pre-school</v>
      </c>
      <c r="P291" s="1638"/>
      <c r="S291" s="848"/>
      <c r="V291" s="873">
        <f>SUM(S285:U291)</f>
        <v>10000</v>
      </c>
      <c r="X291" s="811" t="str">
        <f t="shared" si="24"/>
        <v/>
      </c>
      <c r="AB291" s="873">
        <f>SUM(Y285:AA291)</f>
        <v>2080</v>
      </c>
      <c r="AC291" s="907"/>
      <c r="AD291" s="908"/>
      <c r="AG291" s="807"/>
      <c r="AH291" s="866"/>
      <c r="AI291" s="807"/>
      <c r="AJ291" s="807"/>
      <c r="AK291" s="92"/>
      <c r="AN291" s="820"/>
      <c r="AO291" s="865"/>
      <c r="AQ291" s="816"/>
      <c r="AR291" s="93"/>
      <c r="AS291" s="93"/>
      <c r="AT291" s="93"/>
      <c r="AU291" s="93"/>
      <c r="AV291" s="93"/>
      <c r="AW291" s="93"/>
      <c r="AX291" s="93"/>
      <c r="AY291" s="93"/>
      <c r="AZ291" s="93"/>
      <c r="BA291" s="93"/>
      <c r="BB291" s="93"/>
      <c r="BL291" s="93"/>
      <c r="BM291" s="93"/>
      <c r="BT291" s="93"/>
      <c r="BU291" s="93"/>
      <c r="BV291" s="93"/>
      <c r="BW291" s="93"/>
      <c r="BX291" s="93"/>
      <c r="BY291" s="93"/>
      <c r="BZ291" s="93"/>
      <c r="CA291" s="93"/>
      <c r="CB291" s="93"/>
      <c r="CC291" s="93"/>
      <c r="CF291" s="93"/>
      <c r="CG291" s="93"/>
      <c r="CH291" s="93"/>
      <c r="CI291" s="93"/>
      <c r="CJ291" s="93"/>
      <c r="CK291" s="93"/>
      <c r="CL291" s="93"/>
      <c r="CM291" s="93"/>
      <c r="CN291" s="93"/>
      <c r="CO291" s="93"/>
      <c r="CP291" s="93"/>
      <c r="CQ291" s="93"/>
      <c r="CR291" s="93"/>
      <c r="CS291" s="93"/>
      <c r="CT291" s="93"/>
      <c r="CU291" s="93"/>
      <c r="CV291" s="93"/>
      <c r="CW291" s="93"/>
      <c r="CX291" s="93"/>
      <c r="CY291" s="93"/>
      <c r="CZ291" s="93"/>
      <c r="DA291" s="93"/>
      <c r="DB291" s="93"/>
      <c r="DC291" s="93"/>
      <c r="DD291" s="93"/>
      <c r="DE291" s="93"/>
      <c r="DF291" s="93"/>
      <c r="DG291" s="93"/>
      <c r="DH291" s="93"/>
      <c r="DI291" s="93"/>
      <c r="DJ291" s="93"/>
      <c r="DK291" s="93"/>
      <c r="DL291" s="93"/>
      <c r="DM291" s="93"/>
      <c r="DN291" s="93"/>
      <c r="DO291" s="93"/>
    </row>
    <row r="292" spans="1:198" ht="15">
      <c r="A292" s="19" t="s">
        <v>12452</v>
      </c>
      <c r="B292" s="288" t="s">
        <v>12152</v>
      </c>
      <c r="C292" s="171" t="s">
        <v>12151</v>
      </c>
      <c r="D292" s="1200" t="s">
        <v>12151</v>
      </c>
      <c r="E292" s="807"/>
      <c r="F292" s="807"/>
      <c r="G292" s="827" t="s">
        <v>12151</v>
      </c>
      <c r="H292" s="809" t="s">
        <v>12085</v>
      </c>
      <c r="I292" s="92">
        <v>53</v>
      </c>
      <c r="J292" s="92" t="s">
        <v>10</v>
      </c>
      <c r="K292" s="92" t="s">
        <v>707</v>
      </c>
      <c r="L292" s="810">
        <v>2</v>
      </c>
      <c r="M292" s="811" t="str">
        <f t="shared" si="23"/>
        <v>Elementary Level</v>
      </c>
      <c r="N292" s="92" t="s">
        <v>1208</v>
      </c>
      <c r="O292" s="812" t="s">
        <v>1909</v>
      </c>
      <c r="P292" s="1638" t="s">
        <v>12608</v>
      </c>
      <c r="Q292" s="812" t="s">
        <v>1909</v>
      </c>
      <c r="R292" s="812" t="s">
        <v>8234</v>
      </c>
      <c r="S292" s="807"/>
      <c r="U292" s="848">
        <f>(200*26)+(300*26)</f>
        <v>13000</v>
      </c>
      <c r="V292" s="828"/>
      <c r="W292" s="815">
        <v>1</v>
      </c>
      <c r="X292" s="811" t="str">
        <f t="shared" si="24"/>
        <v>within the Brgy</v>
      </c>
      <c r="AB292" s="828"/>
      <c r="AC292" s="907"/>
      <c r="AD292" s="908"/>
      <c r="AG292" s="807"/>
      <c r="AH292" s="866"/>
      <c r="AI292" s="807"/>
      <c r="AJ292" s="807"/>
      <c r="AK292" s="92"/>
      <c r="AN292" s="820"/>
      <c r="AO292" s="865"/>
      <c r="AQ292" s="816"/>
      <c r="AR292" s="93"/>
      <c r="AS292" s="93"/>
      <c r="AT292" s="93"/>
      <c r="AU292" s="93"/>
      <c r="AV292" s="93"/>
      <c r="AW292" s="93"/>
      <c r="AX292" s="93"/>
      <c r="AY292" s="93"/>
      <c r="AZ292" s="93"/>
      <c r="BA292" s="93"/>
      <c r="BB292" s="93"/>
      <c r="BL292" s="93"/>
      <c r="BM292" s="93"/>
      <c r="BT292" s="93"/>
      <c r="BU292" s="93"/>
      <c r="BV292" s="93"/>
      <c r="BW292" s="93"/>
      <c r="BX292" s="93"/>
      <c r="BY292" s="93"/>
      <c r="BZ292" s="93"/>
      <c r="CA292" s="93"/>
      <c r="CB292" s="93"/>
      <c r="CC292" s="93"/>
      <c r="CF292" s="93"/>
      <c r="CG292" s="93"/>
      <c r="CH292" s="93"/>
      <c r="CI292" s="93"/>
      <c r="CJ292" s="93"/>
      <c r="CK292" s="93"/>
      <c r="CL292" s="93"/>
      <c r="CM292" s="93"/>
      <c r="CN292" s="93"/>
      <c r="CO292" s="93"/>
      <c r="CP292" s="93"/>
      <c r="CQ292" s="93"/>
      <c r="CR292" s="93"/>
      <c r="CS292" s="93"/>
      <c r="CT292" s="93"/>
      <c r="CU292" s="93"/>
      <c r="CV292" s="93"/>
      <c r="CW292" s="93"/>
      <c r="CX292" s="93"/>
      <c r="CY292" s="93"/>
      <c r="CZ292" s="93"/>
      <c r="DA292" s="93"/>
      <c r="DB292" s="93"/>
      <c r="DC292" s="93"/>
      <c r="DD292" s="93"/>
      <c r="DE292" s="93"/>
      <c r="DF292" s="93"/>
      <c r="DG292" s="93"/>
      <c r="DH292" s="93"/>
      <c r="DI292" s="93"/>
      <c r="DJ292" s="93"/>
      <c r="DK292" s="93"/>
      <c r="DL292" s="93"/>
      <c r="DM292" s="93"/>
      <c r="DN292" s="93"/>
      <c r="DO292" s="93"/>
    </row>
    <row r="293" spans="1:198" ht="15">
      <c r="A293" s="19" t="s">
        <v>12452</v>
      </c>
      <c r="D293" s="1200" t="s">
        <v>12151</v>
      </c>
      <c r="E293" s="807"/>
      <c r="F293" s="807"/>
      <c r="G293" s="827"/>
      <c r="H293" s="809" t="s">
        <v>12545</v>
      </c>
      <c r="I293" s="92">
        <v>4</v>
      </c>
      <c r="J293" s="92" t="s">
        <v>18</v>
      </c>
      <c r="K293" s="92" t="s">
        <v>707</v>
      </c>
      <c r="L293" s="810">
        <v>5</v>
      </c>
      <c r="M293" s="811" t="str">
        <f t="shared" si="23"/>
        <v>High School Graduate</v>
      </c>
      <c r="N293" s="92" t="s">
        <v>1208</v>
      </c>
      <c r="O293" s="812" t="s">
        <v>12548</v>
      </c>
      <c r="P293" s="1638"/>
      <c r="Q293" s="812" t="s">
        <v>12548</v>
      </c>
      <c r="R293" s="812" t="s">
        <v>20</v>
      </c>
      <c r="S293" s="848">
        <v>4000</v>
      </c>
      <c r="V293" s="828"/>
      <c r="W293" s="815">
        <v>4</v>
      </c>
      <c r="X293" s="811" t="str">
        <f t="shared" si="24"/>
        <v>Other Province</v>
      </c>
      <c r="Y293" s="816">
        <f>400*26</f>
        <v>10400</v>
      </c>
      <c r="AB293" s="828"/>
      <c r="AC293" s="907"/>
      <c r="AD293" s="908"/>
      <c r="AG293" s="807"/>
      <c r="AH293" s="866"/>
      <c r="AI293" s="807"/>
      <c r="AJ293" s="807"/>
      <c r="AK293" s="92"/>
      <c r="AN293" s="820"/>
      <c r="AO293" s="865"/>
      <c r="AQ293" s="816"/>
      <c r="AR293" s="93"/>
      <c r="AS293" s="93"/>
      <c r="AT293" s="93"/>
      <c r="AU293" s="93"/>
      <c r="AV293" s="93"/>
      <c r="AW293" s="93"/>
      <c r="AX293" s="93"/>
      <c r="AY293" s="93"/>
      <c r="AZ293" s="93"/>
      <c r="BA293" s="93"/>
      <c r="BB293" s="93"/>
      <c r="BL293" s="93"/>
      <c r="BM293" s="93"/>
      <c r="BT293" s="93"/>
      <c r="BU293" s="93"/>
      <c r="BV293" s="93"/>
      <c r="BW293" s="93"/>
      <c r="BX293" s="93"/>
      <c r="BY293" s="93"/>
      <c r="BZ293" s="93"/>
      <c r="CA293" s="93"/>
      <c r="CB293" s="93"/>
      <c r="CC293" s="93"/>
      <c r="CF293" s="93"/>
      <c r="CG293" s="93"/>
      <c r="CH293" s="93"/>
      <c r="CI293" s="93"/>
      <c r="CJ293" s="93"/>
      <c r="CK293" s="93"/>
      <c r="CL293" s="93"/>
      <c r="CM293" s="93"/>
      <c r="CN293" s="93"/>
      <c r="CO293" s="93"/>
      <c r="CP293" s="93"/>
      <c r="CQ293" s="93"/>
      <c r="CR293" s="93"/>
      <c r="CS293" s="93"/>
      <c r="CT293" s="93"/>
      <c r="CU293" s="93"/>
      <c r="CV293" s="93"/>
      <c r="CW293" s="93"/>
      <c r="CX293" s="93"/>
      <c r="CY293" s="93"/>
      <c r="CZ293" s="93"/>
      <c r="DA293" s="93"/>
      <c r="DB293" s="93"/>
      <c r="DC293" s="93"/>
      <c r="DD293" s="93"/>
      <c r="DE293" s="93"/>
      <c r="DF293" s="93"/>
      <c r="DG293" s="93"/>
      <c r="DH293" s="93"/>
      <c r="DI293" s="93"/>
      <c r="DJ293" s="93"/>
      <c r="DK293" s="93"/>
      <c r="DL293" s="93"/>
      <c r="DM293" s="93"/>
      <c r="DN293" s="93"/>
      <c r="DO293" s="93"/>
    </row>
    <row r="294" spans="1:198" ht="15">
      <c r="A294" s="19" t="s">
        <v>12452</v>
      </c>
      <c r="D294" s="1200" t="s">
        <v>12151</v>
      </c>
      <c r="E294" s="807"/>
      <c r="F294" s="807"/>
      <c r="G294" s="827"/>
      <c r="H294" s="809" t="s">
        <v>12546</v>
      </c>
      <c r="I294" s="92">
        <v>11</v>
      </c>
      <c r="J294" s="92" t="s">
        <v>10</v>
      </c>
      <c r="K294" s="92" t="s">
        <v>768</v>
      </c>
      <c r="L294" s="810">
        <v>2</v>
      </c>
      <c r="M294" s="811" t="str">
        <f t="shared" si="23"/>
        <v>Elementary Level</v>
      </c>
      <c r="P294" s="1638"/>
      <c r="S294" s="848"/>
      <c r="V294" s="828"/>
      <c r="X294" s="811" t="str">
        <f t="shared" si="24"/>
        <v/>
      </c>
      <c r="AB294" s="828"/>
      <c r="AC294" s="907"/>
      <c r="AD294" s="908"/>
      <c r="AG294" s="807"/>
      <c r="AH294" s="866"/>
      <c r="AI294" s="807"/>
      <c r="AJ294" s="807"/>
      <c r="AK294" s="92"/>
      <c r="AN294" s="820"/>
      <c r="AO294" s="865"/>
      <c r="AQ294" s="816"/>
      <c r="AR294" s="93"/>
      <c r="AS294" s="93"/>
      <c r="AT294" s="93"/>
      <c r="AU294" s="93"/>
      <c r="AV294" s="93"/>
      <c r="AW294" s="93"/>
      <c r="AX294" s="93"/>
      <c r="AY294" s="93"/>
      <c r="AZ294" s="93"/>
      <c r="BA294" s="93"/>
      <c r="BB294" s="93"/>
      <c r="BL294" s="93"/>
      <c r="BM294" s="93"/>
      <c r="BT294" s="93"/>
      <c r="BU294" s="93"/>
      <c r="BV294" s="93"/>
      <c r="BW294" s="93"/>
      <c r="BX294" s="93"/>
      <c r="BY294" s="93"/>
      <c r="BZ294" s="93"/>
      <c r="CA294" s="93"/>
      <c r="CB294" s="93"/>
      <c r="CC294" s="93"/>
      <c r="CF294" s="93"/>
      <c r="CG294" s="93"/>
      <c r="CH294" s="93"/>
      <c r="CI294" s="93"/>
      <c r="CJ294" s="93"/>
      <c r="CK294" s="93"/>
      <c r="CL294" s="93"/>
      <c r="CM294" s="93"/>
      <c r="CN294" s="93"/>
      <c r="CO294" s="93"/>
      <c r="CP294" s="93"/>
      <c r="CQ294" s="93"/>
      <c r="CR294" s="93"/>
      <c r="CS294" s="93"/>
      <c r="CT294" s="93"/>
      <c r="CU294" s="93"/>
      <c r="CV294" s="93"/>
      <c r="CW294" s="93"/>
      <c r="CX294" s="93"/>
      <c r="CY294" s="93"/>
      <c r="CZ294" s="93"/>
      <c r="DA294" s="93"/>
      <c r="DB294" s="93"/>
      <c r="DC294" s="93"/>
      <c r="DD294" s="93"/>
      <c r="DE294" s="93"/>
      <c r="DF294" s="93"/>
      <c r="DG294" s="93"/>
      <c r="DH294" s="93"/>
      <c r="DI294" s="93"/>
      <c r="DJ294" s="93"/>
      <c r="DK294" s="93"/>
      <c r="DL294" s="93"/>
      <c r="DM294" s="93"/>
      <c r="DN294" s="93"/>
      <c r="DO294" s="93"/>
    </row>
    <row r="295" spans="1:198" ht="15">
      <c r="A295" s="19" t="s">
        <v>12452</v>
      </c>
      <c r="D295" s="1200" t="s">
        <v>12151</v>
      </c>
      <c r="E295" s="807"/>
      <c r="F295" s="807"/>
      <c r="G295" s="827"/>
      <c r="H295" s="809" t="s">
        <v>12547</v>
      </c>
      <c r="I295" s="92">
        <v>17</v>
      </c>
      <c r="J295" s="92" t="s">
        <v>18</v>
      </c>
      <c r="K295" s="92" t="s">
        <v>768</v>
      </c>
      <c r="L295" s="810">
        <v>6</v>
      </c>
      <c r="M295" s="811" t="str">
        <f t="shared" si="23"/>
        <v>College Level</v>
      </c>
      <c r="P295" s="1638"/>
      <c r="S295" s="848"/>
      <c r="V295" s="828">
        <f>SUM(S292:U295)</f>
        <v>17000</v>
      </c>
      <c r="X295" s="811" t="str">
        <f t="shared" si="24"/>
        <v/>
      </c>
      <c r="AB295" s="828">
        <f>SUM(Y292:AA295)</f>
        <v>10400</v>
      </c>
      <c r="AC295" s="907"/>
      <c r="AD295" s="908"/>
      <c r="AG295" s="807"/>
      <c r="AH295" s="866"/>
      <c r="AI295" s="807"/>
      <c r="AJ295" s="807"/>
      <c r="AK295" s="92"/>
      <c r="AN295" s="820"/>
      <c r="AO295" s="865"/>
      <c r="AQ295" s="816"/>
      <c r="AR295" s="93"/>
      <c r="AS295" s="93"/>
      <c r="AT295" s="93"/>
      <c r="AU295" s="93"/>
      <c r="AV295" s="93"/>
      <c r="AW295" s="93"/>
      <c r="AX295" s="93"/>
      <c r="AY295" s="93"/>
      <c r="AZ295" s="93"/>
      <c r="BA295" s="93"/>
      <c r="BB295" s="93"/>
      <c r="BL295" s="93"/>
      <c r="BM295" s="93"/>
      <c r="BT295" s="93"/>
      <c r="BU295" s="93"/>
      <c r="BV295" s="93"/>
      <c r="BW295" s="93"/>
      <c r="BX295" s="93"/>
      <c r="BY295" s="93"/>
      <c r="BZ295" s="93"/>
      <c r="CA295" s="93"/>
      <c r="CB295" s="93"/>
      <c r="CC295" s="93"/>
      <c r="CF295" s="93"/>
      <c r="CG295" s="93"/>
      <c r="CH295" s="93"/>
      <c r="CI295" s="93"/>
      <c r="CJ295" s="93"/>
      <c r="CK295" s="93"/>
      <c r="CL295" s="93"/>
      <c r="CM295" s="93"/>
      <c r="CN295" s="93"/>
      <c r="CO295" s="93"/>
      <c r="CP295" s="93"/>
      <c r="CQ295" s="93"/>
      <c r="CR295" s="93"/>
      <c r="CS295" s="93"/>
      <c r="CT295" s="93"/>
      <c r="CU295" s="93"/>
      <c r="CV295" s="93"/>
      <c r="CW295" s="93"/>
      <c r="CX295" s="93"/>
      <c r="CY295" s="93"/>
      <c r="CZ295" s="93"/>
      <c r="DA295" s="93"/>
      <c r="DB295" s="93"/>
      <c r="DC295" s="93"/>
      <c r="DD295" s="93"/>
      <c r="DE295" s="93"/>
      <c r="DF295" s="93"/>
      <c r="DG295" s="93"/>
      <c r="DH295" s="93"/>
      <c r="DI295" s="93"/>
      <c r="DJ295" s="93"/>
      <c r="DK295" s="93"/>
      <c r="DL295" s="93"/>
      <c r="DM295" s="93"/>
      <c r="DN295" s="93"/>
      <c r="DO295" s="93"/>
    </row>
    <row r="296" spans="1:198" s="910" customFormat="1" ht="15">
      <c r="A296" s="154" t="s">
        <v>7419</v>
      </c>
      <c r="B296" s="288" t="s">
        <v>7518</v>
      </c>
      <c r="C296" s="171" t="s">
        <v>253</v>
      </c>
      <c r="D296" s="1065" t="s">
        <v>253</v>
      </c>
      <c r="E296" s="1041" t="s">
        <v>253</v>
      </c>
      <c r="F296" s="1047" t="s">
        <v>1314</v>
      </c>
      <c r="G296" s="809" t="s">
        <v>253</v>
      </c>
      <c r="H296" s="809" t="s">
        <v>1314</v>
      </c>
      <c r="I296" s="92">
        <v>41</v>
      </c>
      <c r="J296" s="92" t="s">
        <v>10</v>
      </c>
      <c r="K296" s="92" t="s">
        <v>707</v>
      </c>
      <c r="L296" s="810">
        <v>7</v>
      </c>
      <c r="M296" s="811" t="str">
        <f t="shared" si="23"/>
        <v>College Graduate or Higher</v>
      </c>
      <c r="N296" s="92" t="s">
        <v>1208</v>
      </c>
      <c r="O296" s="92" t="s">
        <v>8596</v>
      </c>
      <c r="P296" s="1638" t="s">
        <v>12606</v>
      </c>
      <c r="Q296" s="92" t="s">
        <v>8596</v>
      </c>
      <c r="R296" s="92" t="s">
        <v>8234</v>
      </c>
      <c r="S296" s="848">
        <v>40000</v>
      </c>
      <c r="T296" s="816"/>
      <c r="U296" s="816"/>
      <c r="V296" s="909"/>
      <c r="W296" s="815">
        <v>4</v>
      </c>
      <c r="X296" s="811" t="str">
        <f t="shared" si="24"/>
        <v>Other Province</v>
      </c>
      <c r="Y296" s="816">
        <v>12000</v>
      </c>
      <c r="Z296" s="816"/>
      <c r="AA296" s="816"/>
      <c r="AB296" s="909"/>
      <c r="AC296" s="809" t="s">
        <v>8597</v>
      </c>
      <c r="AD296" s="824"/>
      <c r="AE296" s="93"/>
      <c r="AF296" s="818"/>
      <c r="AG296" s="807" t="str">
        <f t="shared" ref="AG296:AG359" si="25">IF(ISBLANK(AF296)=TRUE,"",LOOKUP(AF296,GS:GT))</f>
        <v/>
      </c>
      <c r="AK296" s="92"/>
      <c r="AL296" s="92"/>
      <c r="AM296" s="819"/>
      <c r="AN296" s="820"/>
      <c r="AO296" s="817"/>
      <c r="AP296" s="820"/>
      <c r="AQ296" s="93"/>
      <c r="AR296" s="93"/>
      <c r="AS296" s="93"/>
      <c r="AT296" s="93"/>
      <c r="AU296" s="93"/>
      <c r="AV296" s="93"/>
      <c r="AW296" s="93"/>
      <c r="AX296" s="93"/>
      <c r="AY296" s="93"/>
      <c r="AZ296" s="93"/>
      <c r="BA296" s="93"/>
      <c r="BB296" s="93"/>
      <c r="BC296" s="93"/>
      <c r="BD296" s="93"/>
      <c r="BE296" s="93"/>
      <c r="BF296" s="93"/>
      <c r="BG296" s="93"/>
      <c r="BH296" s="93"/>
      <c r="BI296" s="93"/>
      <c r="BJ296" s="93"/>
      <c r="BK296" s="93"/>
      <c r="BL296" s="93"/>
      <c r="BM296" s="93"/>
      <c r="BN296" s="93"/>
      <c r="BT296" s="93"/>
      <c r="BU296" s="93"/>
      <c r="BV296" s="93"/>
      <c r="BW296" s="93"/>
      <c r="BX296" s="93"/>
      <c r="BY296" s="93"/>
      <c r="BZ296" s="93"/>
      <c r="CA296" s="93"/>
      <c r="CB296" s="93"/>
      <c r="CC296" s="93"/>
      <c r="CD296" s="93"/>
      <c r="CE296" s="93"/>
      <c r="CF296" s="93"/>
      <c r="CG296" s="93"/>
      <c r="CH296" s="93"/>
      <c r="CI296" s="93"/>
      <c r="CJ296" s="93"/>
      <c r="CK296" s="93"/>
      <c r="CL296" s="93"/>
      <c r="CM296" s="93"/>
      <c r="CN296" s="93"/>
      <c r="CO296" s="93"/>
      <c r="CP296" s="93"/>
      <c r="CQ296" s="93"/>
      <c r="CR296" s="93"/>
      <c r="CS296" s="93"/>
      <c r="CT296" s="93"/>
      <c r="CU296" s="93"/>
      <c r="CV296" s="93"/>
      <c r="CW296" s="93"/>
      <c r="CX296" s="93"/>
      <c r="CY296" s="93"/>
      <c r="CZ296" s="93"/>
      <c r="DA296" s="93"/>
      <c r="DB296" s="93"/>
      <c r="DC296" s="93"/>
      <c r="DD296" s="93"/>
      <c r="DE296" s="93"/>
      <c r="DF296" s="93"/>
      <c r="DG296" s="93"/>
      <c r="DH296" s="93"/>
      <c r="DI296" s="93"/>
      <c r="DJ296" s="93"/>
      <c r="DK296" s="93"/>
      <c r="DL296" s="93"/>
      <c r="DM296" s="93"/>
      <c r="DN296" s="93"/>
      <c r="DO296" s="93"/>
      <c r="GO296" s="92"/>
      <c r="GP296" s="831"/>
    </row>
    <row r="297" spans="1:198" s="910" customFormat="1" ht="15">
      <c r="A297" s="154" t="s">
        <v>7419</v>
      </c>
      <c r="D297" s="1065" t="s">
        <v>253</v>
      </c>
      <c r="E297" s="1041" t="s">
        <v>253</v>
      </c>
      <c r="G297" s="827"/>
      <c r="H297" s="809" t="s">
        <v>8598</v>
      </c>
      <c r="I297" s="92">
        <v>42</v>
      </c>
      <c r="J297" s="92" t="s">
        <v>18</v>
      </c>
      <c r="K297" s="92" t="s">
        <v>707</v>
      </c>
      <c r="L297" s="810">
        <v>7</v>
      </c>
      <c r="M297" s="811" t="str">
        <f t="shared" si="23"/>
        <v>College Graduate or Higher</v>
      </c>
      <c r="N297" s="92" t="s">
        <v>1208</v>
      </c>
      <c r="O297" s="92" t="s">
        <v>8599</v>
      </c>
      <c r="P297" s="1638"/>
      <c r="Q297" s="92" t="s">
        <v>8599</v>
      </c>
      <c r="R297" s="92" t="s">
        <v>20</v>
      </c>
      <c r="S297" s="848">
        <v>18000</v>
      </c>
      <c r="T297" s="816"/>
      <c r="U297" s="816"/>
      <c r="V297" s="909"/>
      <c r="W297" s="815">
        <v>4</v>
      </c>
      <c r="X297" s="811" t="str">
        <f t="shared" si="24"/>
        <v>Other Province</v>
      </c>
      <c r="Y297" s="816">
        <v>7000</v>
      </c>
      <c r="Z297" s="816"/>
      <c r="AA297" s="816"/>
      <c r="AB297" s="909"/>
      <c r="AC297" s="809" t="s">
        <v>8493</v>
      </c>
      <c r="AD297" s="824"/>
      <c r="AE297" s="93"/>
      <c r="AF297" s="818"/>
      <c r="AG297" s="807" t="str">
        <f t="shared" si="25"/>
        <v/>
      </c>
      <c r="AK297" s="92"/>
      <c r="AL297" s="92"/>
      <c r="AM297" s="819"/>
      <c r="AN297" s="820"/>
      <c r="AO297" s="817"/>
      <c r="AP297" s="820"/>
      <c r="AQ297" s="93"/>
      <c r="AR297" s="93"/>
      <c r="AS297" s="93"/>
      <c r="AT297" s="93"/>
      <c r="AU297" s="93"/>
      <c r="AV297" s="93"/>
      <c r="AW297" s="93"/>
      <c r="AX297" s="93"/>
      <c r="AY297" s="93"/>
      <c r="AZ297" s="93"/>
      <c r="BA297" s="93"/>
      <c r="BB297" s="93"/>
      <c r="BC297" s="93"/>
      <c r="BD297" s="93"/>
      <c r="BE297" s="93"/>
      <c r="BF297" s="93"/>
      <c r="BG297" s="93"/>
      <c r="BH297" s="93"/>
      <c r="BI297" s="93"/>
      <c r="BJ297" s="93"/>
      <c r="BK297" s="93"/>
      <c r="BL297" s="93"/>
      <c r="BM297" s="93"/>
      <c r="BN297" s="93"/>
      <c r="BT297" s="93"/>
      <c r="BU297" s="93"/>
      <c r="BV297" s="93"/>
      <c r="BW297" s="93"/>
      <c r="BX297" s="93"/>
      <c r="BY297" s="93"/>
      <c r="BZ297" s="93"/>
      <c r="CA297" s="93"/>
      <c r="CB297" s="93"/>
      <c r="CC297" s="93"/>
      <c r="CD297" s="93"/>
      <c r="CE297" s="93"/>
      <c r="CF297" s="93"/>
      <c r="CG297" s="93"/>
      <c r="CH297" s="93"/>
      <c r="CI297" s="93"/>
      <c r="CJ297" s="93"/>
      <c r="CK297" s="93"/>
      <c r="CL297" s="93"/>
      <c r="CM297" s="93"/>
      <c r="CN297" s="93"/>
      <c r="CO297" s="93"/>
      <c r="CP297" s="93"/>
      <c r="CQ297" s="93"/>
      <c r="CR297" s="93"/>
      <c r="CS297" s="93"/>
      <c r="CT297" s="93"/>
      <c r="CU297" s="93"/>
      <c r="CV297" s="93"/>
      <c r="CW297" s="93"/>
      <c r="CX297" s="93"/>
      <c r="CY297" s="93"/>
      <c r="CZ297" s="93"/>
      <c r="DA297" s="93"/>
      <c r="DB297" s="93"/>
      <c r="DC297" s="93"/>
      <c r="DD297" s="93"/>
      <c r="DE297" s="93"/>
      <c r="DF297" s="93"/>
      <c r="DG297" s="93"/>
      <c r="DH297" s="93"/>
      <c r="DI297" s="93"/>
      <c r="DJ297" s="93"/>
      <c r="DK297" s="93"/>
      <c r="DL297" s="93"/>
      <c r="DM297" s="93"/>
      <c r="DN297" s="93"/>
      <c r="DO297" s="93"/>
      <c r="GO297" s="92"/>
      <c r="GP297" s="831"/>
    </row>
    <row r="298" spans="1:198" s="910" customFormat="1" ht="15">
      <c r="A298" s="154" t="s">
        <v>7419</v>
      </c>
      <c r="D298" s="1065" t="s">
        <v>253</v>
      </c>
      <c r="E298" s="1041" t="s">
        <v>253</v>
      </c>
      <c r="G298" s="827"/>
      <c r="H298" s="809" t="s">
        <v>8600</v>
      </c>
      <c r="I298" s="92">
        <v>21</v>
      </c>
      <c r="J298" s="92" t="s">
        <v>18</v>
      </c>
      <c r="K298" s="92" t="s">
        <v>768</v>
      </c>
      <c r="L298" s="810">
        <v>7</v>
      </c>
      <c r="M298" s="811" t="str">
        <f t="shared" si="23"/>
        <v>College Graduate or Higher</v>
      </c>
      <c r="N298" s="92"/>
      <c r="O298" s="92"/>
      <c r="P298" s="1638"/>
      <c r="Q298" s="92"/>
      <c r="R298" s="92"/>
      <c r="S298" s="848"/>
      <c r="T298" s="816"/>
      <c r="U298" s="816"/>
      <c r="V298" s="909"/>
      <c r="W298" s="815"/>
      <c r="X298" s="811" t="str">
        <f t="shared" si="24"/>
        <v/>
      </c>
      <c r="Y298" s="816"/>
      <c r="Z298" s="816"/>
      <c r="AA298" s="816"/>
      <c r="AB298" s="909"/>
      <c r="AC298" s="809"/>
      <c r="AD298" s="824"/>
      <c r="AE298" s="93"/>
      <c r="AF298" s="818"/>
      <c r="AG298" s="807" t="str">
        <f t="shared" si="25"/>
        <v/>
      </c>
      <c r="AK298" s="92"/>
      <c r="AL298" s="92"/>
      <c r="AM298" s="819"/>
      <c r="AN298" s="820"/>
      <c r="AO298" s="817"/>
      <c r="AP298" s="820"/>
      <c r="AQ298" s="93"/>
      <c r="AR298" s="93"/>
      <c r="AS298" s="93"/>
      <c r="AT298" s="93"/>
      <c r="AU298" s="93"/>
      <c r="AV298" s="93"/>
      <c r="AW298" s="93"/>
      <c r="AX298" s="93"/>
      <c r="AY298" s="93"/>
      <c r="AZ298" s="93"/>
      <c r="BA298" s="93"/>
      <c r="BB298" s="93"/>
      <c r="BC298" s="93"/>
      <c r="BD298" s="93"/>
      <c r="BE298" s="93"/>
      <c r="BF298" s="93"/>
      <c r="BG298" s="93"/>
      <c r="BH298" s="93"/>
      <c r="BI298" s="93"/>
      <c r="BJ298" s="93"/>
      <c r="BK298" s="93"/>
      <c r="BL298" s="93"/>
      <c r="BM298" s="93"/>
      <c r="BN298" s="93"/>
      <c r="BT298" s="93"/>
      <c r="BU298" s="93"/>
      <c r="BV298" s="93"/>
      <c r="BW298" s="93"/>
      <c r="BX298" s="93"/>
      <c r="BY298" s="93"/>
      <c r="BZ298" s="93"/>
      <c r="CA298" s="93"/>
      <c r="CB298" s="93"/>
      <c r="CC298" s="93"/>
      <c r="CD298" s="93"/>
      <c r="CE298" s="93"/>
      <c r="CF298" s="93"/>
      <c r="CG298" s="93"/>
      <c r="CH298" s="93"/>
      <c r="CI298" s="93"/>
      <c r="CJ298" s="93"/>
      <c r="CK298" s="93"/>
      <c r="CL298" s="93"/>
      <c r="CM298" s="93"/>
      <c r="CN298" s="93"/>
      <c r="CO298" s="93"/>
      <c r="CP298" s="93"/>
      <c r="CQ298" s="93"/>
      <c r="CR298" s="93"/>
      <c r="CS298" s="93"/>
      <c r="CT298" s="93"/>
      <c r="CU298" s="93"/>
      <c r="CV298" s="93"/>
      <c r="CW298" s="93"/>
      <c r="CX298" s="93"/>
      <c r="CY298" s="93"/>
      <c r="CZ298" s="93"/>
      <c r="DA298" s="93"/>
      <c r="DB298" s="93"/>
      <c r="DC298" s="93"/>
      <c r="DD298" s="93"/>
      <c r="DE298" s="93"/>
      <c r="DF298" s="93"/>
      <c r="DG298" s="93"/>
      <c r="DH298" s="93"/>
      <c r="DI298" s="93"/>
      <c r="DJ298" s="93"/>
      <c r="DK298" s="93"/>
      <c r="DL298" s="93"/>
      <c r="DM298" s="93"/>
      <c r="DN298" s="93"/>
      <c r="DO298" s="93"/>
      <c r="GO298" s="92"/>
      <c r="GP298" s="831"/>
    </row>
    <row r="299" spans="1:198" s="910" customFormat="1" ht="15">
      <c r="A299" s="154" t="s">
        <v>7419</v>
      </c>
      <c r="D299" s="1065" t="s">
        <v>253</v>
      </c>
      <c r="E299" s="1041" t="s">
        <v>253</v>
      </c>
      <c r="G299" s="827"/>
      <c r="H299" s="809" t="s">
        <v>8601</v>
      </c>
      <c r="I299" s="92">
        <v>15</v>
      </c>
      <c r="J299" s="92" t="s">
        <v>18</v>
      </c>
      <c r="K299" s="92" t="s">
        <v>768</v>
      </c>
      <c r="L299" s="810">
        <v>4</v>
      </c>
      <c r="M299" s="811" t="str">
        <f t="shared" si="23"/>
        <v>High School Level</v>
      </c>
      <c r="N299" s="92"/>
      <c r="O299" s="92"/>
      <c r="P299" s="1638"/>
      <c r="Q299" s="92"/>
      <c r="R299" s="92"/>
      <c r="S299" s="848"/>
      <c r="T299" s="820"/>
      <c r="U299" s="820"/>
      <c r="V299" s="909"/>
      <c r="W299" s="815"/>
      <c r="X299" s="811" t="str">
        <f t="shared" ref="X299:X310" si="26">IF(ISBLANK(W299)=TRUE,"",LOOKUP(W299,GO:GP))</f>
        <v/>
      </c>
      <c r="Y299" s="816"/>
      <c r="Z299" s="816"/>
      <c r="AA299" s="816"/>
      <c r="AB299" s="909"/>
      <c r="AC299" s="809"/>
      <c r="AD299" s="824"/>
      <c r="AE299" s="93"/>
      <c r="AF299" s="818"/>
      <c r="AG299" s="807" t="str">
        <f t="shared" si="25"/>
        <v/>
      </c>
      <c r="AH299" s="817"/>
      <c r="AI299" s="817"/>
      <c r="AJ299" s="817"/>
      <c r="AK299" s="92"/>
      <c r="AL299" s="92"/>
      <c r="AM299" s="819"/>
      <c r="AN299" s="820"/>
      <c r="AO299" s="817"/>
      <c r="AP299" s="820"/>
      <c r="AQ299" s="93"/>
      <c r="AR299" s="93"/>
      <c r="AS299" s="93"/>
      <c r="AT299" s="93"/>
      <c r="AU299" s="93"/>
      <c r="AV299" s="93"/>
      <c r="AW299" s="93"/>
      <c r="AX299" s="93"/>
      <c r="AY299" s="93"/>
      <c r="AZ299" s="93"/>
      <c r="BA299" s="93"/>
      <c r="BB299" s="93"/>
      <c r="BC299" s="93"/>
      <c r="BD299" s="93"/>
      <c r="BE299" s="93"/>
      <c r="BF299" s="93"/>
      <c r="BG299" s="93"/>
      <c r="BH299" s="93"/>
      <c r="BI299" s="93"/>
      <c r="BJ299" s="93"/>
      <c r="BK299" s="93"/>
      <c r="BL299" s="93"/>
      <c r="BM299" s="93"/>
      <c r="BN299" s="93"/>
      <c r="BT299" s="93"/>
      <c r="BU299" s="93"/>
      <c r="BV299" s="93"/>
      <c r="BW299" s="93"/>
      <c r="BX299" s="93"/>
      <c r="BY299" s="93"/>
      <c r="BZ299" s="93"/>
      <c r="CA299" s="93"/>
      <c r="CB299" s="93"/>
      <c r="CC299" s="93"/>
      <c r="CD299" s="93"/>
      <c r="CE299" s="93"/>
      <c r="CF299" s="93"/>
      <c r="CG299" s="93"/>
      <c r="CH299" s="93"/>
      <c r="CI299" s="93"/>
      <c r="CJ299" s="93"/>
      <c r="CK299" s="93"/>
      <c r="CL299" s="93"/>
      <c r="CM299" s="93"/>
      <c r="CN299" s="93"/>
      <c r="CO299" s="93"/>
      <c r="CP299" s="93"/>
      <c r="CQ299" s="93"/>
      <c r="CR299" s="93"/>
      <c r="CS299" s="93"/>
      <c r="CT299" s="93"/>
      <c r="CU299" s="93"/>
      <c r="CV299" s="93"/>
      <c r="CW299" s="93"/>
      <c r="CX299" s="93"/>
      <c r="CY299" s="93"/>
      <c r="CZ299" s="93"/>
      <c r="DA299" s="93"/>
      <c r="DB299" s="93"/>
      <c r="DC299" s="93"/>
      <c r="DD299" s="93"/>
      <c r="DE299" s="93"/>
      <c r="DF299" s="93"/>
      <c r="DG299" s="93"/>
      <c r="DH299" s="93"/>
      <c r="DI299" s="93"/>
      <c r="DJ299" s="93"/>
      <c r="DK299" s="93"/>
      <c r="DL299" s="93"/>
      <c r="DM299" s="93"/>
      <c r="DN299" s="93"/>
      <c r="DO299" s="93"/>
      <c r="GO299" s="92"/>
      <c r="GP299" s="831"/>
    </row>
    <row r="300" spans="1:198" s="910" customFormat="1" ht="15">
      <c r="A300" s="154" t="s">
        <v>7419</v>
      </c>
      <c r="D300" s="1065" t="s">
        <v>253</v>
      </c>
      <c r="E300" s="1041" t="s">
        <v>253</v>
      </c>
      <c r="G300" s="827"/>
      <c r="H300" s="809" t="s">
        <v>8602</v>
      </c>
      <c r="I300" s="92">
        <v>14</v>
      </c>
      <c r="J300" s="92" t="s">
        <v>10</v>
      </c>
      <c r="K300" s="92" t="s">
        <v>768</v>
      </c>
      <c r="L300" s="810">
        <v>11</v>
      </c>
      <c r="M300" s="811" t="str">
        <f t="shared" si="23"/>
        <v>Junior/Senior High School</v>
      </c>
      <c r="N300" s="92"/>
      <c r="O300" s="92"/>
      <c r="P300" s="1638"/>
      <c r="Q300" s="92"/>
      <c r="R300" s="92"/>
      <c r="S300" s="848"/>
      <c r="T300" s="911"/>
      <c r="U300" s="911"/>
      <c r="V300" s="909"/>
      <c r="W300" s="815"/>
      <c r="X300" s="811" t="str">
        <f t="shared" si="26"/>
        <v/>
      </c>
      <c r="Y300" s="816"/>
      <c r="Z300" s="816"/>
      <c r="AA300" s="816"/>
      <c r="AB300" s="909"/>
      <c r="AC300" s="809"/>
      <c r="AD300" s="824"/>
      <c r="AE300" s="93"/>
      <c r="AF300" s="818"/>
      <c r="AG300" s="807" t="str">
        <f t="shared" si="25"/>
        <v/>
      </c>
      <c r="AK300" s="92"/>
      <c r="AL300" s="92"/>
      <c r="AM300" s="819"/>
      <c r="AN300" s="820"/>
      <c r="AO300" s="817"/>
      <c r="AP300" s="820"/>
      <c r="AQ300" s="93"/>
      <c r="AR300" s="93"/>
      <c r="AS300" s="93"/>
      <c r="AT300" s="93"/>
      <c r="AU300" s="93"/>
      <c r="AV300" s="93"/>
      <c r="AW300" s="93"/>
      <c r="AX300" s="93"/>
      <c r="AY300" s="93"/>
      <c r="AZ300" s="93"/>
      <c r="BA300" s="93"/>
      <c r="BB300" s="93"/>
      <c r="BC300" s="93"/>
      <c r="BD300" s="93"/>
      <c r="BE300" s="93"/>
      <c r="BF300" s="93"/>
      <c r="BG300" s="93"/>
      <c r="BH300" s="93"/>
      <c r="BI300" s="93"/>
      <c r="BJ300" s="93"/>
      <c r="BK300" s="93"/>
      <c r="BL300" s="93"/>
      <c r="BM300" s="93"/>
      <c r="BN300" s="93"/>
      <c r="BT300" s="93"/>
      <c r="BU300" s="93"/>
      <c r="BV300" s="93"/>
      <c r="BW300" s="93"/>
      <c r="BX300" s="93"/>
      <c r="BY300" s="93"/>
      <c r="BZ300" s="93"/>
      <c r="CA300" s="93"/>
      <c r="CB300" s="93"/>
      <c r="CC300" s="93"/>
      <c r="CD300" s="93"/>
      <c r="CE300" s="93"/>
      <c r="CF300" s="93"/>
      <c r="CG300" s="93"/>
      <c r="CH300" s="93"/>
      <c r="CI300" s="93"/>
      <c r="CJ300" s="93"/>
      <c r="CK300" s="93"/>
      <c r="CL300" s="93"/>
      <c r="CM300" s="93"/>
      <c r="CN300" s="93"/>
      <c r="CO300" s="93"/>
      <c r="CP300" s="93"/>
      <c r="CQ300" s="93"/>
      <c r="CR300" s="93"/>
      <c r="CS300" s="93"/>
      <c r="CT300" s="93"/>
      <c r="CU300" s="93"/>
      <c r="CV300" s="93"/>
      <c r="CW300" s="93"/>
      <c r="CX300" s="93"/>
      <c r="CY300" s="93"/>
      <c r="CZ300" s="93"/>
      <c r="DA300" s="93"/>
      <c r="DB300" s="93"/>
      <c r="DC300" s="93"/>
      <c r="DD300" s="93"/>
      <c r="DE300" s="93"/>
      <c r="DF300" s="93"/>
      <c r="DG300" s="93"/>
      <c r="DH300" s="93"/>
      <c r="DI300" s="93"/>
      <c r="DJ300" s="93"/>
      <c r="DK300" s="93"/>
      <c r="DL300" s="93"/>
      <c r="DM300" s="93"/>
      <c r="DN300" s="93"/>
      <c r="DO300" s="93"/>
      <c r="GO300" s="92"/>
      <c r="GP300" s="831"/>
    </row>
    <row r="301" spans="1:198" s="910" customFormat="1" ht="15">
      <c r="A301" s="154" t="s">
        <v>7419</v>
      </c>
      <c r="D301" s="1065" t="s">
        <v>253</v>
      </c>
      <c r="E301" s="1041" t="s">
        <v>253</v>
      </c>
      <c r="G301" s="827"/>
      <c r="H301" s="809" t="s">
        <v>8603</v>
      </c>
      <c r="I301" s="92">
        <v>8</v>
      </c>
      <c r="J301" s="92" t="s">
        <v>18</v>
      </c>
      <c r="K301" s="92" t="s">
        <v>768</v>
      </c>
      <c r="L301" s="810">
        <v>2</v>
      </c>
      <c r="M301" s="811" t="str">
        <f t="shared" si="23"/>
        <v>Elementary Level</v>
      </c>
      <c r="N301" s="92"/>
      <c r="O301" s="92"/>
      <c r="P301" s="1638"/>
      <c r="Q301" s="92"/>
      <c r="R301" s="92"/>
      <c r="S301" s="848"/>
      <c r="T301" s="820"/>
      <c r="U301" s="820"/>
      <c r="V301" s="909">
        <f>SUM(S296:U301)</f>
        <v>58000</v>
      </c>
      <c r="W301" s="815"/>
      <c r="X301" s="811" t="str">
        <f t="shared" si="26"/>
        <v/>
      </c>
      <c r="Y301" s="816"/>
      <c r="Z301" s="816"/>
      <c r="AA301" s="816"/>
      <c r="AB301" s="909">
        <f>SUM(Y296:AA301)</f>
        <v>19000</v>
      </c>
      <c r="AC301" s="809"/>
      <c r="AD301" s="824"/>
      <c r="AE301" s="93"/>
      <c r="AF301" s="818"/>
      <c r="AG301" s="807" t="str">
        <f t="shared" si="25"/>
        <v/>
      </c>
      <c r="AH301" s="817"/>
      <c r="AI301" s="817"/>
      <c r="AJ301" s="817"/>
      <c r="AK301" s="92"/>
      <c r="AL301" s="92"/>
      <c r="AM301" s="819"/>
      <c r="AN301" s="820"/>
      <c r="AO301" s="817"/>
      <c r="AP301" s="820"/>
      <c r="AQ301" s="93"/>
      <c r="AR301" s="93"/>
      <c r="AS301" s="93"/>
      <c r="AT301" s="93"/>
      <c r="AU301" s="93"/>
      <c r="AV301" s="93"/>
      <c r="AW301" s="93"/>
      <c r="AX301" s="93"/>
      <c r="AY301" s="93"/>
      <c r="AZ301" s="93"/>
      <c r="BA301" s="93"/>
      <c r="BB301" s="93"/>
      <c r="BC301" s="93"/>
      <c r="BD301" s="93"/>
      <c r="BE301" s="93"/>
      <c r="BF301" s="93"/>
      <c r="BG301" s="93"/>
      <c r="BH301" s="93"/>
      <c r="BI301" s="93"/>
      <c r="BJ301" s="93"/>
      <c r="BK301" s="93"/>
      <c r="BL301" s="93"/>
      <c r="BM301" s="93"/>
      <c r="BN301" s="93"/>
      <c r="BT301" s="93"/>
      <c r="BU301" s="93"/>
      <c r="BV301" s="93"/>
      <c r="BW301" s="93"/>
      <c r="BX301" s="93"/>
      <c r="BY301" s="93"/>
      <c r="BZ301" s="93"/>
      <c r="CA301" s="93"/>
      <c r="CB301" s="93"/>
      <c r="CC301" s="93"/>
      <c r="CD301" s="93"/>
      <c r="CE301" s="93"/>
      <c r="CF301" s="93"/>
      <c r="CG301" s="93"/>
      <c r="CH301" s="93"/>
      <c r="CI301" s="93"/>
      <c r="CJ301" s="93"/>
      <c r="CK301" s="93"/>
      <c r="CL301" s="93"/>
      <c r="CM301" s="93"/>
      <c r="CN301" s="93"/>
      <c r="CO301" s="93"/>
      <c r="CP301" s="93"/>
      <c r="CQ301" s="93"/>
      <c r="CR301" s="93"/>
      <c r="CS301" s="93"/>
      <c r="CT301" s="93"/>
      <c r="CU301" s="93"/>
      <c r="CV301" s="93"/>
      <c r="CW301" s="93"/>
      <c r="CX301" s="93"/>
      <c r="CY301" s="93"/>
      <c r="CZ301" s="93"/>
      <c r="DA301" s="93"/>
      <c r="DB301" s="93"/>
      <c r="DC301" s="93"/>
      <c r="DD301" s="93"/>
      <c r="DE301" s="93"/>
      <c r="DF301" s="93"/>
      <c r="DG301" s="93"/>
      <c r="DH301" s="93"/>
      <c r="DI301" s="93"/>
      <c r="DJ301" s="93"/>
      <c r="DK301" s="93"/>
      <c r="DL301" s="93"/>
      <c r="DM301" s="93"/>
      <c r="DN301" s="93"/>
      <c r="DO301" s="93"/>
      <c r="GO301" s="92"/>
      <c r="GP301" s="831"/>
    </row>
    <row r="302" spans="1:198" s="806" customFormat="1" ht="15">
      <c r="A302" s="767" t="s">
        <v>12352</v>
      </c>
      <c r="B302" s="288" t="s">
        <v>7960</v>
      </c>
      <c r="C302" s="171" t="s">
        <v>256</v>
      </c>
      <c r="D302" s="1065" t="s">
        <v>256</v>
      </c>
      <c r="G302" s="809" t="s">
        <v>256</v>
      </c>
      <c r="H302" s="809" t="s">
        <v>2161</v>
      </c>
      <c r="I302" s="92">
        <v>52</v>
      </c>
      <c r="J302" s="92" t="s">
        <v>18</v>
      </c>
      <c r="K302" s="92" t="s">
        <v>783</v>
      </c>
      <c r="L302" s="810">
        <v>7</v>
      </c>
      <c r="M302" s="811" t="str">
        <f t="shared" si="23"/>
        <v>College Graduate or Higher</v>
      </c>
      <c r="N302" s="92" t="s">
        <v>1208</v>
      </c>
      <c r="O302" s="92" t="s">
        <v>8604</v>
      </c>
      <c r="P302" s="1638" t="s">
        <v>12606</v>
      </c>
      <c r="Q302" s="92" t="s">
        <v>8604</v>
      </c>
      <c r="R302" s="92" t="s">
        <v>8234</v>
      </c>
      <c r="S302" s="848">
        <v>20000</v>
      </c>
      <c r="T302" s="813"/>
      <c r="U302" s="813"/>
      <c r="V302" s="864"/>
      <c r="W302" s="838">
        <v>2</v>
      </c>
      <c r="X302" s="811" t="str">
        <f t="shared" si="26"/>
        <v>within the Municipality/City</v>
      </c>
      <c r="Y302" s="836"/>
      <c r="Z302" s="836"/>
      <c r="AA302" s="836"/>
      <c r="AB302" s="864"/>
      <c r="AC302" s="809" t="s">
        <v>8605</v>
      </c>
      <c r="AD302" s="824"/>
      <c r="AE302" s="93"/>
      <c r="AF302" s="818"/>
      <c r="AG302" s="807" t="str">
        <f t="shared" si="25"/>
        <v/>
      </c>
      <c r="AH302" s="807"/>
      <c r="AI302" s="807"/>
      <c r="AJ302" s="807"/>
      <c r="AK302" s="92"/>
      <c r="AL302" s="92"/>
      <c r="AM302" s="819"/>
      <c r="AN302" s="820"/>
      <c r="AO302" s="817"/>
      <c r="AP302" s="820"/>
      <c r="AQ302" s="93"/>
      <c r="AR302" s="93"/>
      <c r="AS302" s="93"/>
      <c r="AT302" s="93"/>
      <c r="AU302" s="93"/>
      <c r="AV302" s="93"/>
      <c r="AW302" s="93"/>
      <c r="AX302" s="93"/>
      <c r="AY302" s="93"/>
      <c r="AZ302" s="93"/>
      <c r="BA302" s="93"/>
      <c r="BB302" s="93"/>
      <c r="BC302" s="93"/>
      <c r="BD302" s="93"/>
      <c r="BE302" s="93"/>
      <c r="BF302" s="93"/>
      <c r="BG302" s="93"/>
      <c r="BH302" s="93"/>
      <c r="BI302" s="93"/>
      <c r="BJ302" s="93"/>
      <c r="BK302" s="93"/>
      <c r="BL302" s="93"/>
      <c r="BM302" s="93"/>
      <c r="BN302" s="93"/>
      <c r="BT302" s="93"/>
      <c r="BU302" s="93"/>
      <c r="BV302" s="93"/>
      <c r="BW302" s="93"/>
      <c r="BX302" s="93"/>
      <c r="BY302" s="93"/>
      <c r="BZ302" s="93"/>
      <c r="CA302" s="93"/>
      <c r="CB302" s="93"/>
      <c r="CC302" s="93"/>
      <c r="CD302" s="93"/>
      <c r="CE302" s="93"/>
      <c r="CF302" s="93"/>
      <c r="CG302" s="93"/>
      <c r="CH302" s="93"/>
      <c r="CI302" s="93"/>
      <c r="CJ302" s="93"/>
      <c r="CK302" s="93"/>
      <c r="CL302" s="93"/>
      <c r="CM302" s="93"/>
      <c r="CN302" s="93"/>
      <c r="CO302" s="93"/>
      <c r="CP302" s="93"/>
      <c r="CQ302" s="93"/>
      <c r="CR302" s="93"/>
      <c r="CS302" s="93"/>
      <c r="CT302" s="93"/>
      <c r="CU302" s="93"/>
      <c r="CV302" s="93"/>
      <c r="CW302" s="93"/>
      <c r="CX302" s="93"/>
      <c r="CY302" s="93"/>
      <c r="CZ302" s="93"/>
      <c r="DA302" s="93"/>
      <c r="DB302" s="93"/>
      <c r="DC302" s="93"/>
      <c r="DD302" s="93"/>
      <c r="DE302" s="93"/>
      <c r="DF302" s="93"/>
      <c r="DG302" s="93"/>
      <c r="DH302" s="93"/>
      <c r="DI302" s="826"/>
      <c r="DJ302" s="825"/>
      <c r="DK302" s="825"/>
      <c r="GO302" s="92"/>
      <c r="GP302" s="831"/>
    </row>
    <row r="303" spans="1:198" s="806" customFormat="1" ht="15">
      <c r="A303" s="767" t="s">
        <v>12352</v>
      </c>
      <c r="D303" s="1065" t="s">
        <v>256</v>
      </c>
      <c r="G303" s="827"/>
      <c r="H303" s="809" t="s">
        <v>8606</v>
      </c>
      <c r="I303" s="92">
        <v>25</v>
      </c>
      <c r="J303" s="92" t="s">
        <v>18</v>
      </c>
      <c r="K303" s="92" t="s">
        <v>768</v>
      </c>
      <c r="L303" s="810">
        <v>7</v>
      </c>
      <c r="M303" s="811" t="str">
        <f t="shared" si="23"/>
        <v>College Graduate or Higher</v>
      </c>
      <c r="N303" s="92"/>
      <c r="O303" s="92"/>
      <c r="P303" s="1638"/>
      <c r="Q303" s="92"/>
      <c r="R303" s="92"/>
      <c r="S303" s="848"/>
      <c r="T303" s="813"/>
      <c r="U303" s="813"/>
      <c r="V303" s="864"/>
      <c r="W303" s="838"/>
      <c r="X303" s="811" t="str">
        <f t="shared" si="26"/>
        <v/>
      </c>
      <c r="Y303" s="836"/>
      <c r="Z303" s="836"/>
      <c r="AA303" s="836"/>
      <c r="AB303" s="864"/>
      <c r="AC303" s="809"/>
      <c r="AD303" s="824"/>
      <c r="AE303" s="93"/>
      <c r="AF303" s="818"/>
      <c r="AG303" s="807" t="str">
        <f t="shared" si="25"/>
        <v/>
      </c>
      <c r="AH303" s="807"/>
      <c r="AI303" s="807"/>
      <c r="AJ303" s="807"/>
      <c r="AK303" s="92"/>
      <c r="AL303" s="92"/>
      <c r="AM303" s="819"/>
      <c r="AN303" s="820"/>
      <c r="AO303" s="817"/>
      <c r="AP303" s="820"/>
      <c r="AQ303" s="93"/>
      <c r="AR303" s="93"/>
      <c r="AS303" s="93"/>
      <c r="AT303" s="93"/>
      <c r="AU303" s="93"/>
      <c r="AV303" s="93"/>
      <c r="AW303" s="93"/>
      <c r="AX303" s="93"/>
      <c r="AY303" s="93"/>
      <c r="AZ303" s="93"/>
      <c r="BA303" s="93"/>
      <c r="BB303" s="93"/>
      <c r="BC303" s="93"/>
      <c r="BD303" s="93"/>
      <c r="BE303" s="93"/>
      <c r="BF303" s="93"/>
      <c r="BG303" s="93"/>
      <c r="BH303" s="93"/>
      <c r="BI303" s="93"/>
      <c r="BJ303" s="93"/>
      <c r="BK303" s="93"/>
      <c r="BL303" s="93"/>
      <c r="BM303" s="93"/>
      <c r="BN303" s="93"/>
      <c r="BT303" s="93"/>
      <c r="BU303" s="93"/>
      <c r="BV303" s="93"/>
      <c r="BW303" s="93"/>
      <c r="BX303" s="93"/>
      <c r="BY303" s="93"/>
      <c r="BZ303" s="93"/>
      <c r="CA303" s="93"/>
      <c r="CB303" s="93"/>
      <c r="CC303" s="93"/>
      <c r="CD303" s="93"/>
      <c r="CE303" s="93"/>
      <c r="CF303" s="93"/>
      <c r="CG303" s="93"/>
      <c r="CH303" s="93"/>
      <c r="CI303" s="93"/>
      <c r="CJ303" s="93"/>
      <c r="CK303" s="93"/>
      <c r="CL303" s="93"/>
      <c r="CM303" s="93"/>
      <c r="CN303" s="93"/>
      <c r="CO303" s="93"/>
      <c r="CP303" s="93"/>
      <c r="CQ303" s="93"/>
      <c r="CR303" s="93"/>
      <c r="CS303" s="93"/>
      <c r="CT303" s="93"/>
      <c r="CU303" s="93"/>
      <c r="CV303" s="93"/>
      <c r="CW303" s="93"/>
      <c r="CX303" s="93"/>
      <c r="CY303" s="93"/>
      <c r="CZ303" s="93"/>
      <c r="DA303" s="93"/>
      <c r="DB303" s="93"/>
      <c r="DC303" s="93"/>
      <c r="DD303" s="93"/>
      <c r="DE303" s="93"/>
      <c r="DF303" s="93"/>
      <c r="DG303" s="93"/>
      <c r="DH303" s="93"/>
      <c r="DI303" s="826"/>
      <c r="DJ303" s="825"/>
      <c r="DK303" s="825"/>
      <c r="GO303" s="92"/>
      <c r="GP303" s="831"/>
    </row>
    <row r="304" spans="1:198" s="806" customFormat="1" ht="15">
      <c r="A304" s="767" t="s">
        <v>12352</v>
      </c>
      <c r="D304" s="1065" t="s">
        <v>256</v>
      </c>
      <c r="G304" s="827"/>
      <c r="H304" s="809" t="s">
        <v>8607</v>
      </c>
      <c r="I304" s="92">
        <v>20</v>
      </c>
      <c r="J304" s="92" t="s">
        <v>10</v>
      </c>
      <c r="K304" s="92" t="s">
        <v>8608</v>
      </c>
      <c r="L304" s="810">
        <v>7</v>
      </c>
      <c r="M304" s="811" t="str">
        <f t="shared" si="23"/>
        <v>College Graduate or Higher</v>
      </c>
      <c r="N304" s="92"/>
      <c r="O304" s="92"/>
      <c r="P304" s="1638"/>
      <c r="Q304" s="92"/>
      <c r="R304" s="92"/>
      <c r="S304" s="848"/>
      <c r="T304" s="813"/>
      <c r="U304" s="813"/>
      <c r="V304" s="864">
        <f>SUM(S302:U304)</f>
        <v>20000</v>
      </c>
      <c r="W304" s="838"/>
      <c r="X304" s="811" t="str">
        <f t="shared" si="26"/>
        <v/>
      </c>
      <c r="Y304" s="836"/>
      <c r="Z304" s="836"/>
      <c r="AA304" s="836"/>
      <c r="AB304" s="864">
        <f>SUM(Y302:AA304)</f>
        <v>0</v>
      </c>
      <c r="AC304" s="809"/>
      <c r="AD304" s="824"/>
      <c r="AE304" s="93"/>
      <c r="AF304" s="818"/>
      <c r="AG304" s="807" t="str">
        <f t="shared" si="25"/>
        <v/>
      </c>
      <c r="AH304" s="807"/>
      <c r="AI304" s="807"/>
      <c r="AJ304" s="807"/>
      <c r="AK304" s="92"/>
      <c r="AL304" s="92"/>
      <c r="AM304" s="819"/>
      <c r="AN304" s="820"/>
      <c r="AO304" s="817"/>
      <c r="AP304" s="820"/>
      <c r="AQ304" s="93"/>
      <c r="AR304" s="93"/>
      <c r="AS304" s="93"/>
      <c r="AT304" s="93"/>
      <c r="AU304" s="93"/>
      <c r="AV304" s="93"/>
      <c r="AW304" s="93"/>
      <c r="AX304" s="93"/>
      <c r="AY304" s="93"/>
      <c r="AZ304" s="93"/>
      <c r="BA304" s="93"/>
      <c r="BB304" s="93"/>
      <c r="BC304" s="93"/>
      <c r="BD304" s="93"/>
      <c r="BE304" s="93"/>
      <c r="BF304" s="93"/>
      <c r="BG304" s="93"/>
      <c r="BH304" s="93"/>
      <c r="BI304" s="93"/>
      <c r="BJ304" s="93"/>
      <c r="BK304" s="93"/>
      <c r="BL304" s="93"/>
      <c r="BM304" s="93"/>
      <c r="BN304" s="93"/>
      <c r="BT304" s="93"/>
      <c r="BU304" s="93"/>
      <c r="BV304" s="93"/>
      <c r="BW304" s="93"/>
      <c r="BX304" s="93"/>
      <c r="BY304" s="93"/>
      <c r="BZ304" s="93"/>
      <c r="CA304" s="93"/>
      <c r="CB304" s="93"/>
      <c r="CC304" s="93"/>
      <c r="CD304" s="93"/>
      <c r="CE304" s="93"/>
      <c r="CF304" s="93"/>
      <c r="CG304" s="93"/>
      <c r="CH304" s="93"/>
      <c r="CI304" s="93"/>
      <c r="CJ304" s="93"/>
      <c r="CK304" s="93"/>
      <c r="CL304" s="93"/>
      <c r="CM304" s="93"/>
      <c r="CN304" s="93"/>
      <c r="CO304" s="93"/>
      <c r="CP304" s="93"/>
      <c r="CQ304" s="93"/>
      <c r="CR304" s="93"/>
      <c r="CS304" s="93"/>
      <c r="CT304" s="93"/>
      <c r="CU304" s="93"/>
      <c r="CV304" s="93"/>
      <c r="CW304" s="93"/>
      <c r="CX304" s="93"/>
      <c r="CY304" s="93"/>
      <c r="CZ304" s="93"/>
      <c r="DA304" s="93"/>
      <c r="DB304" s="93"/>
      <c r="DC304" s="93"/>
      <c r="DD304" s="93"/>
      <c r="DE304" s="93"/>
      <c r="DF304" s="93"/>
      <c r="DG304" s="93"/>
      <c r="DH304" s="93"/>
      <c r="DI304" s="826"/>
      <c r="DJ304" s="825"/>
      <c r="DK304" s="825"/>
      <c r="GO304" s="92"/>
      <c r="GP304" s="831"/>
    </row>
    <row r="305" spans="1:198" s="910" customFormat="1" ht="15">
      <c r="D305" s="1066" t="s">
        <v>257</v>
      </c>
      <c r="G305" s="846" t="s">
        <v>257</v>
      </c>
      <c r="H305" s="846" t="s">
        <v>8609</v>
      </c>
      <c r="I305" s="843">
        <v>71</v>
      </c>
      <c r="J305" s="843" t="s">
        <v>18</v>
      </c>
      <c r="K305" s="843" t="s">
        <v>719</v>
      </c>
      <c r="L305" s="810">
        <v>6</v>
      </c>
      <c r="M305" s="811" t="str">
        <f t="shared" si="23"/>
        <v>College Level</v>
      </c>
      <c r="N305" s="843" t="s">
        <v>1208</v>
      </c>
      <c r="O305" s="92" t="s">
        <v>3614</v>
      </c>
      <c r="P305" s="1638"/>
      <c r="Q305" s="92" t="s">
        <v>3614</v>
      </c>
      <c r="R305" s="92" t="s">
        <v>8234</v>
      </c>
      <c r="S305" s="64"/>
      <c r="T305" s="64">
        <f>SUM(15000,21000,24000)</f>
        <v>60000</v>
      </c>
      <c r="U305" s="64"/>
      <c r="V305" s="912"/>
      <c r="W305" s="815">
        <v>1</v>
      </c>
      <c r="X305" s="811" t="str">
        <f t="shared" si="26"/>
        <v>within the Brgy</v>
      </c>
      <c r="Y305" s="816"/>
      <c r="Z305" s="816"/>
      <c r="AA305" s="816"/>
      <c r="AB305" s="912"/>
      <c r="AC305" s="846"/>
      <c r="AD305" s="853" t="s">
        <v>8609</v>
      </c>
      <c r="AE305" s="6"/>
      <c r="AF305" s="818"/>
      <c r="AG305" s="807" t="str">
        <f t="shared" si="25"/>
        <v/>
      </c>
      <c r="AH305" s="846" t="s">
        <v>8610</v>
      </c>
      <c r="AI305" s="846" t="s">
        <v>8611</v>
      </c>
      <c r="AJ305" s="854"/>
      <c r="AK305" s="843" t="s">
        <v>8612</v>
      </c>
      <c r="AL305" s="843" t="s">
        <v>2223</v>
      </c>
      <c r="AM305" s="844"/>
      <c r="AN305" s="845">
        <v>300</v>
      </c>
      <c r="AO305" s="853" t="s">
        <v>8610</v>
      </c>
      <c r="AP305" s="845"/>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T305" s="6"/>
      <c r="BU305" s="6"/>
      <c r="BV305" s="6"/>
      <c r="BW305" s="6"/>
      <c r="BX305" s="6"/>
      <c r="BY305" s="6"/>
      <c r="BZ305" s="6"/>
      <c r="CA305" s="6"/>
      <c r="CB305" s="6"/>
      <c r="CC305" s="6"/>
      <c r="CD305" s="6"/>
      <c r="CE305" s="6"/>
      <c r="CF305" s="6"/>
      <c r="CG305" s="6"/>
      <c r="CH305" s="6"/>
      <c r="CI305" s="93"/>
      <c r="CJ305" s="6"/>
      <c r="CK305" s="6"/>
      <c r="CL305" s="6"/>
      <c r="CM305" s="6"/>
      <c r="CN305" s="6"/>
      <c r="CO305" s="6"/>
      <c r="CP305" s="6"/>
      <c r="CQ305" s="6"/>
      <c r="CR305" s="6"/>
      <c r="CS305" s="6"/>
      <c r="CT305" s="6"/>
      <c r="CU305" s="6"/>
      <c r="CV305" s="6"/>
      <c r="CW305" s="6"/>
      <c r="CX305" s="6"/>
      <c r="CZ305" s="1834">
        <v>2</v>
      </c>
      <c r="DA305" s="1834"/>
      <c r="DB305" s="1834"/>
      <c r="DC305" s="1834"/>
      <c r="DD305" s="1837"/>
      <c r="DE305" s="1837"/>
      <c r="DF305" s="1841"/>
      <c r="DG305" s="1837"/>
      <c r="DH305" s="1837"/>
      <c r="DI305" s="1837"/>
      <c r="DJ305" s="1837" t="s">
        <v>2144</v>
      </c>
      <c r="DK305" s="1837"/>
      <c r="DL305" s="1837"/>
      <c r="DM305" s="1837"/>
      <c r="DN305" s="93"/>
      <c r="DO305" s="93"/>
      <c r="GO305" s="92"/>
      <c r="GP305" s="831"/>
    </row>
    <row r="306" spans="1:198" s="910" customFormat="1" ht="15">
      <c r="D306" s="1065"/>
      <c r="G306" s="827"/>
      <c r="H306" s="809" t="s">
        <v>8613</v>
      </c>
      <c r="I306" s="92">
        <v>26</v>
      </c>
      <c r="J306" s="92" t="s">
        <v>18</v>
      </c>
      <c r="K306" s="92" t="s">
        <v>768</v>
      </c>
      <c r="L306" s="810">
        <v>7</v>
      </c>
      <c r="M306" s="811" t="str">
        <f t="shared" si="23"/>
        <v>College Graduate or Higher</v>
      </c>
      <c r="N306" s="92"/>
      <c r="O306" s="92"/>
      <c r="P306" s="1638"/>
      <c r="Q306" s="92"/>
      <c r="R306" s="92"/>
      <c r="S306" s="816"/>
      <c r="T306" s="816"/>
      <c r="U306" s="848"/>
      <c r="V306" s="912"/>
      <c r="W306" s="815"/>
      <c r="X306" s="811" t="str">
        <f t="shared" si="26"/>
        <v/>
      </c>
      <c r="Y306" s="816"/>
      <c r="Z306" s="816"/>
      <c r="AA306" s="816"/>
      <c r="AB306" s="912"/>
      <c r="AC306" s="809"/>
      <c r="AD306" s="824"/>
      <c r="AE306" s="93"/>
      <c r="AF306" s="818"/>
      <c r="AG306" s="807" t="str">
        <f t="shared" si="25"/>
        <v/>
      </c>
      <c r="AH306" s="809" t="s">
        <v>8614</v>
      </c>
      <c r="AI306" s="809" t="s">
        <v>8615</v>
      </c>
      <c r="AJ306" s="848"/>
      <c r="AK306" s="92" t="s">
        <v>110</v>
      </c>
      <c r="AL306" s="92"/>
      <c r="AM306" s="819"/>
      <c r="AN306" s="820"/>
      <c r="AO306" s="817" t="s">
        <v>8614</v>
      </c>
      <c r="AP306" s="820"/>
      <c r="AQ306" s="93"/>
      <c r="AR306" s="93"/>
      <c r="AS306" s="93"/>
      <c r="AT306" s="93"/>
      <c r="AU306" s="93"/>
      <c r="AV306" s="93"/>
      <c r="AW306" s="93"/>
      <c r="AX306" s="93"/>
      <c r="AY306" s="93"/>
      <c r="AZ306" s="93"/>
      <c r="BA306" s="93"/>
      <c r="BB306" s="93"/>
      <c r="BC306" s="93"/>
      <c r="BD306" s="93"/>
      <c r="BE306" s="93"/>
      <c r="BF306" s="93"/>
      <c r="BG306" s="93"/>
      <c r="BH306" s="93"/>
      <c r="BI306" s="93"/>
      <c r="BJ306" s="93"/>
      <c r="BK306" s="93"/>
      <c r="BL306" s="93"/>
      <c r="BM306" s="93"/>
      <c r="BN306" s="93"/>
      <c r="BT306" s="93"/>
      <c r="BU306" s="93"/>
      <c r="BV306" s="93"/>
      <c r="BW306" s="93"/>
      <c r="BX306" s="93"/>
      <c r="BY306" s="93"/>
      <c r="BZ306" s="93"/>
      <c r="CA306" s="93"/>
      <c r="CB306" s="93"/>
      <c r="CC306" s="93"/>
      <c r="CD306" s="93"/>
      <c r="CE306" s="93"/>
      <c r="CF306" s="93"/>
      <c r="CG306" s="93"/>
      <c r="CH306" s="93"/>
      <c r="CI306" s="93"/>
      <c r="CJ306" s="93"/>
      <c r="CK306" s="93"/>
      <c r="CL306" s="93"/>
      <c r="CM306" s="93"/>
      <c r="CN306" s="93"/>
      <c r="CO306" s="93"/>
      <c r="CP306" s="93"/>
      <c r="CQ306" s="93"/>
      <c r="CR306" s="93"/>
      <c r="CS306" s="93"/>
      <c r="CT306" s="93"/>
      <c r="CU306" s="93"/>
      <c r="CV306" s="93"/>
      <c r="CW306" s="93"/>
      <c r="CX306" s="93"/>
      <c r="CY306" s="93"/>
      <c r="CZ306" s="93"/>
      <c r="DA306" s="93"/>
      <c r="DB306" s="93"/>
      <c r="DC306" s="93"/>
      <c r="DD306" s="93"/>
      <c r="DE306" s="93"/>
      <c r="DF306" s="93"/>
      <c r="DG306" s="93"/>
      <c r="DH306" s="93"/>
      <c r="DI306" s="93"/>
      <c r="DJ306" s="93"/>
      <c r="DK306" s="93"/>
      <c r="DL306" s="93"/>
      <c r="DM306" s="93"/>
      <c r="DN306" s="93"/>
      <c r="DO306" s="93"/>
      <c r="GO306" s="92"/>
      <c r="GP306" s="831"/>
    </row>
    <row r="307" spans="1:198" s="910" customFormat="1" ht="15">
      <c r="D307" s="1065"/>
      <c r="G307" s="827"/>
      <c r="H307" s="809"/>
      <c r="I307" s="92"/>
      <c r="J307" s="92"/>
      <c r="K307" s="92"/>
      <c r="L307" s="810"/>
      <c r="M307" s="811" t="str">
        <f t="shared" si="23"/>
        <v/>
      </c>
      <c r="N307" s="92"/>
      <c r="O307" s="92"/>
      <c r="P307" s="1638"/>
      <c r="Q307" s="92"/>
      <c r="R307" s="92"/>
      <c r="S307" s="820"/>
      <c r="T307" s="820"/>
      <c r="U307" s="820"/>
      <c r="V307" s="912"/>
      <c r="W307" s="815"/>
      <c r="X307" s="811" t="str">
        <f t="shared" si="26"/>
        <v/>
      </c>
      <c r="Y307" s="816"/>
      <c r="Z307" s="816"/>
      <c r="AA307" s="816"/>
      <c r="AB307" s="912"/>
      <c r="AC307" s="809"/>
      <c r="AD307" s="824"/>
      <c r="AE307" s="93"/>
      <c r="AF307" s="818"/>
      <c r="AG307" s="807" t="str">
        <f t="shared" si="25"/>
        <v/>
      </c>
      <c r="AH307" s="809" t="s">
        <v>8616</v>
      </c>
      <c r="AI307" s="809" t="s">
        <v>8617</v>
      </c>
      <c r="AJ307" s="848"/>
      <c r="AK307" s="92" t="s">
        <v>110</v>
      </c>
      <c r="AL307" s="92"/>
      <c r="AM307" s="819"/>
      <c r="AN307" s="820"/>
      <c r="AO307" s="817" t="s">
        <v>8616</v>
      </c>
      <c r="AP307" s="820"/>
      <c r="AQ307" s="93"/>
      <c r="AR307" s="93"/>
      <c r="AS307" s="93"/>
      <c r="AT307" s="93"/>
      <c r="AU307" s="93"/>
      <c r="AV307" s="93"/>
      <c r="AW307" s="93"/>
      <c r="AX307" s="93"/>
      <c r="AY307" s="93"/>
      <c r="AZ307" s="93"/>
      <c r="BA307" s="93"/>
      <c r="BB307" s="93"/>
      <c r="BC307" s="93"/>
      <c r="BD307" s="93"/>
      <c r="BE307" s="93"/>
      <c r="BF307" s="93"/>
      <c r="BG307" s="93"/>
      <c r="BH307" s="93"/>
      <c r="BI307" s="93"/>
      <c r="BJ307" s="93"/>
      <c r="BK307" s="93"/>
      <c r="BL307" s="93"/>
      <c r="BM307" s="93"/>
      <c r="BN307" s="93"/>
      <c r="BT307" s="93"/>
      <c r="BU307" s="93"/>
      <c r="BV307" s="93"/>
      <c r="BW307" s="93"/>
      <c r="BX307" s="93"/>
      <c r="BY307" s="93"/>
      <c r="BZ307" s="93"/>
      <c r="CA307" s="93"/>
      <c r="CB307" s="93"/>
      <c r="CC307" s="93"/>
      <c r="CD307" s="93"/>
      <c r="CE307" s="93"/>
      <c r="CF307" s="93"/>
      <c r="CG307" s="93"/>
      <c r="CH307" s="93"/>
      <c r="CI307" s="93"/>
      <c r="CJ307" s="93"/>
      <c r="CK307" s="93"/>
      <c r="CL307" s="93"/>
      <c r="CM307" s="93"/>
      <c r="CN307" s="93"/>
      <c r="CO307" s="93"/>
      <c r="CP307" s="93"/>
      <c r="CQ307" s="93"/>
      <c r="CR307" s="93"/>
      <c r="CS307" s="93"/>
      <c r="CT307" s="93"/>
      <c r="CU307" s="93"/>
      <c r="CV307" s="93"/>
      <c r="CW307" s="93"/>
      <c r="CX307" s="93"/>
      <c r="CY307" s="93"/>
      <c r="CZ307" s="93"/>
      <c r="DA307" s="93"/>
      <c r="DB307" s="93"/>
      <c r="DC307" s="93"/>
      <c r="DD307" s="93"/>
      <c r="DE307" s="93"/>
      <c r="DF307" s="93"/>
      <c r="DG307" s="93"/>
      <c r="DH307" s="93"/>
      <c r="DI307" s="93"/>
      <c r="DJ307" s="93"/>
      <c r="DK307" s="93"/>
      <c r="DL307" s="93"/>
      <c r="DM307" s="93"/>
      <c r="DN307" s="93"/>
      <c r="DO307" s="93"/>
      <c r="GO307" s="92"/>
      <c r="GP307" s="831"/>
    </row>
    <row r="308" spans="1:198" s="910" customFormat="1" ht="15">
      <c r="D308" s="1065"/>
      <c r="G308" s="827"/>
      <c r="H308" s="809"/>
      <c r="I308" s="92"/>
      <c r="J308" s="92"/>
      <c r="K308" s="92"/>
      <c r="L308" s="810"/>
      <c r="M308" s="811" t="str">
        <f t="shared" si="23"/>
        <v/>
      </c>
      <c r="N308" s="92"/>
      <c r="O308" s="92"/>
      <c r="P308" s="1638"/>
      <c r="Q308" s="92"/>
      <c r="R308" s="92"/>
      <c r="S308" s="820"/>
      <c r="T308" s="820"/>
      <c r="U308" s="820"/>
      <c r="V308" s="912"/>
      <c r="W308" s="815"/>
      <c r="X308" s="811" t="str">
        <f t="shared" si="26"/>
        <v/>
      </c>
      <c r="Y308" s="816"/>
      <c r="Z308" s="816"/>
      <c r="AA308" s="816"/>
      <c r="AB308" s="912"/>
      <c r="AC308" s="809"/>
      <c r="AD308" s="824"/>
      <c r="AE308" s="93"/>
      <c r="AF308" s="818"/>
      <c r="AG308" s="807" t="str">
        <f t="shared" si="25"/>
        <v/>
      </c>
      <c r="AH308" s="809" t="s">
        <v>8618</v>
      </c>
      <c r="AI308" s="809" t="s">
        <v>842</v>
      </c>
      <c r="AJ308" s="848"/>
      <c r="AK308" s="92" t="s">
        <v>110</v>
      </c>
      <c r="AL308" s="92"/>
      <c r="AM308" s="819"/>
      <c r="AN308" s="820"/>
      <c r="AO308" s="817" t="s">
        <v>8618</v>
      </c>
      <c r="AP308" s="820"/>
      <c r="AQ308" s="93"/>
      <c r="AR308" s="93"/>
      <c r="AS308" s="93"/>
      <c r="AT308" s="93"/>
      <c r="AU308" s="93"/>
      <c r="AV308" s="93"/>
      <c r="AW308" s="93"/>
      <c r="AX308" s="93"/>
      <c r="AY308" s="93"/>
      <c r="AZ308" s="93"/>
      <c r="BA308" s="93"/>
      <c r="BB308" s="93"/>
      <c r="BC308" s="93"/>
      <c r="BD308" s="93"/>
      <c r="BE308" s="93"/>
      <c r="BF308" s="93"/>
      <c r="BG308" s="93"/>
      <c r="BH308" s="93"/>
      <c r="BI308" s="93"/>
      <c r="BJ308" s="93"/>
      <c r="BK308" s="93"/>
      <c r="BL308" s="93"/>
      <c r="BM308" s="93"/>
      <c r="BN308" s="93"/>
      <c r="BT308" s="93"/>
      <c r="BU308" s="93"/>
      <c r="BV308" s="93"/>
      <c r="BW308" s="93"/>
      <c r="BX308" s="93"/>
      <c r="BY308" s="93"/>
      <c r="BZ308" s="93"/>
      <c r="CA308" s="93"/>
      <c r="CB308" s="93"/>
      <c r="CC308" s="93"/>
      <c r="CD308" s="93"/>
      <c r="CE308" s="93"/>
      <c r="CF308" s="93"/>
      <c r="CG308" s="93"/>
      <c r="CH308" s="93"/>
      <c r="CI308" s="93"/>
      <c r="CJ308" s="93"/>
      <c r="CK308" s="93"/>
      <c r="CL308" s="93"/>
      <c r="CM308" s="93"/>
      <c r="CN308" s="93"/>
      <c r="CO308" s="93"/>
      <c r="CP308" s="93"/>
      <c r="CQ308" s="93"/>
      <c r="CR308" s="93"/>
      <c r="CS308" s="93"/>
      <c r="CT308" s="93"/>
      <c r="CU308" s="93"/>
      <c r="CV308" s="93"/>
      <c r="CW308" s="93"/>
      <c r="CX308" s="93"/>
      <c r="CY308" s="93"/>
      <c r="CZ308" s="93"/>
      <c r="DA308" s="93"/>
      <c r="DB308" s="93"/>
      <c r="DC308" s="93"/>
      <c r="DD308" s="93"/>
      <c r="DE308" s="93"/>
      <c r="DF308" s="93"/>
      <c r="DG308" s="93"/>
      <c r="DH308" s="93"/>
      <c r="DI308" s="93"/>
      <c r="DJ308" s="93"/>
      <c r="DK308" s="93"/>
      <c r="DL308" s="93"/>
      <c r="DM308" s="93"/>
      <c r="DN308" s="93"/>
      <c r="DO308" s="93"/>
      <c r="GO308" s="92"/>
      <c r="GP308" s="831"/>
    </row>
    <row r="309" spans="1:198" s="910" customFormat="1" ht="15">
      <c r="D309" s="1065"/>
      <c r="G309" s="827"/>
      <c r="H309" s="809"/>
      <c r="I309" s="92"/>
      <c r="J309" s="92"/>
      <c r="K309" s="92"/>
      <c r="L309" s="810"/>
      <c r="M309" s="811" t="str">
        <f t="shared" si="23"/>
        <v/>
      </c>
      <c r="N309" s="92"/>
      <c r="O309" s="92"/>
      <c r="P309" s="1638"/>
      <c r="Q309" s="92"/>
      <c r="R309" s="92"/>
      <c r="S309" s="816"/>
      <c r="T309" s="816"/>
      <c r="U309" s="816"/>
      <c r="V309" s="912"/>
      <c r="W309" s="815"/>
      <c r="X309" s="811" t="str">
        <f t="shared" si="26"/>
        <v/>
      </c>
      <c r="Y309" s="816"/>
      <c r="Z309" s="816"/>
      <c r="AA309" s="816"/>
      <c r="AB309" s="912"/>
      <c r="AC309" s="809"/>
      <c r="AD309" s="824"/>
      <c r="AE309" s="93"/>
      <c r="AF309" s="818"/>
      <c r="AG309" s="807" t="str">
        <f t="shared" si="25"/>
        <v/>
      </c>
      <c r="AH309" s="809" t="s">
        <v>8619</v>
      </c>
      <c r="AI309" s="809" t="s">
        <v>273</v>
      </c>
      <c r="AJ309" s="848"/>
      <c r="AK309" s="92" t="s">
        <v>110</v>
      </c>
      <c r="AL309" s="92"/>
      <c r="AM309" s="819"/>
      <c r="AN309" s="820"/>
      <c r="AO309" s="817" t="s">
        <v>8619</v>
      </c>
      <c r="AP309" s="820"/>
      <c r="AQ309" s="93"/>
      <c r="AR309" s="93"/>
      <c r="AS309" s="93"/>
      <c r="AT309" s="93"/>
      <c r="AU309" s="93"/>
      <c r="AV309" s="93"/>
      <c r="AW309" s="93"/>
      <c r="AX309" s="93"/>
      <c r="AY309" s="93"/>
      <c r="AZ309" s="93"/>
      <c r="BA309" s="93"/>
      <c r="BB309" s="93"/>
      <c r="BC309" s="93"/>
      <c r="BD309" s="93"/>
      <c r="BE309" s="93"/>
      <c r="BF309" s="93"/>
      <c r="BG309" s="93"/>
      <c r="BH309" s="93"/>
      <c r="BI309" s="93"/>
      <c r="BJ309" s="93"/>
      <c r="BK309" s="93"/>
      <c r="BL309" s="93"/>
      <c r="BM309" s="93"/>
      <c r="BN309" s="93"/>
      <c r="BT309" s="93"/>
      <c r="BU309" s="93"/>
      <c r="BV309" s="93"/>
      <c r="BW309" s="93"/>
      <c r="BX309" s="93"/>
      <c r="BY309" s="93"/>
      <c r="BZ309" s="93"/>
      <c r="CA309" s="93"/>
      <c r="CB309" s="93"/>
      <c r="CC309" s="93"/>
      <c r="CD309" s="93"/>
      <c r="CE309" s="93"/>
      <c r="CF309" s="93"/>
      <c r="CG309" s="93"/>
      <c r="CH309" s="93"/>
      <c r="CI309" s="93"/>
      <c r="CJ309" s="93"/>
      <c r="CK309" s="93"/>
      <c r="CL309" s="93"/>
      <c r="CM309" s="93"/>
      <c r="CN309" s="93"/>
      <c r="CO309" s="93"/>
      <c r="CP309" s="93"/>
      <c r="CQ309" s="93"/>
      <c r="CR309" s="93"/>
      <c r="CS309" s="93"/>
      <c r="CT309" s="93"/>
      <c r="CU309" s="93"/>
      <c r="CV309" s="93"/>
      <c r="CW309" s="93"/>
      <c r="CX309" s="93"/>
      <c r="CY309" s="93"/>
      <c r="CZ309" s="93"/>
      <c r="DA309" s="93"/>
      <c r="DB309" s="93"/>
      <c r="DC309" s="93"/>
      <c r="DD309" s="93"/>
      <c r="DE309" s="93"/>
      <c r="DF309" s="93"/>
      <c r="DG309" s="93"/>
      <c r="DH309" s="93"/>
      <c r="DI309" s="93"/>
      <c r="DJ309" s="93"/>
      <c r="DK309" s="93"/>
      <c r="DL309" s="93"/>
      <c r="DM309" s="93"/>
      <c r="DN309" s="93"/>
      <c r="DO309" s="93"/>
      <c r="GO309" s="92"/>
      <c r="GP309" s="831"/>
    </row>
    <row r="310" spans="1:198" s="910" customFormat="1" ht="15">
      <c r="D310" s="1065"/>
      <c r="G310" s="827"/>
      <c r="H310" s="809"/>
      <c r="I310" s="92"/>
      <c r="J310" s="92"/>
      <c r="K310" s="92"/>
      <c r="L310" s="810"/>
      <c r="M310" s="811" t="str">
        <f t="shared" si="23"/>
        <v/>
      </c>
      <c r="N310" s="92"/>
      <c r="O310" s="92"/>
      <c r="P310" s="1638"/>
      <c r="Q310" s="92"/>
      <c r="R310" s="92"/>
      <c r="S310" s="816"/>
      <c r="T310" s="816"/>
      <c r="U310" s="816"/>
      <c r="V310" s="912">
        <f>SUM(S305:U310)</f>
        <v>60000</v>
      </c>
      <c r="W310" s="815"/>
      <c r="X310" s="811" t="str">
        <f t="shared" si="26"/>
        <v/>
      </c>
      <c r="Y310" s="816"/>
      <c r="Z310" s="816"/>
      <c r="AA310" s="816"/>
      <c r="AB310" s="912">
        <f>SUM(Y305:AA310)</f>
        <v>0</v>
      </c>
      <c r="AC310" s="809"/>
      <c r="AD310" s="824"/>
      <c r="AE310" s="93"/>
      <c r="AF310" s="818"/>
      <c r="AG310" s="807" t="str">
        <f t="shared" si="25"/>
        <v/>
      </c>
      <c r="AH310" s="809" t="s">
        <v>8620</v>
      </c>
      <c r="AI310" s="809" t="s">
        <v>843</v>
      </c>
      <c r="AJ310" s="848"/>
      <c r="AK310" s="92" t="s">
        <v>110</v>
      </c>
      <c r="AL310" s="92"/>
      <c r="AM310" s="819"/>
      <c r="AN310" s="820"/>
      <c r="AO310" s="817" t="s">
        <v>8620</v>
      </c>
      <c r="AP310" s="820"/>
      <c r="AQ310" s="93"/>
      <c r="AR310" s="93"/>
      <c r="AS310" s="93"/>
      <c r="AT310" s="93"/>
      <c r="AU310" s="93"/>
      <c r="AV310" s="93"/>
      <c r="AW310" s="93"/>
      <c r="AX310" s="93"/>
      <c r="AY310" s="93"/>
      <c r="AZ310" s="93"/>
      <c r="BA310" s="93"/>
      <c r="BB310" s="93"/>
      <c r="BC310" s="93"/>
      <c r="BD310" s="93"/>
      <c r="BE310" s="93"/>
      <c r="BF310" s="93"/>
      <c r="BG310" s="93"/>
      <c r="BH310" s="93"/>
      <c r="BI310" s="93"/>
      <c r="BJ310" s="93"/>
      <c r="BK310" s="93"/>
      <c r="BL310" s="93"/>
      <c r="BM310" s="93"/>
      <c r="BN310" s="93"/>
      <c r="BT310" s="93"/>
      <c r="BU310" s="93"/>
      <c r="BV310" s="93"/>
      <c r="BW310" s="93"/>
      <c r="BX310" s="93"/>
      <c r="BY310" s="93"/>
      <c r="BZ310" s="93"/>
      <c r="CA310" s="93"/>
      <c r="CB310" s="93"/>
      <c r="CC310" s="93"/>
      <c r="CD310" s="93"/>
      <c r="CE310" s="93"/>
      <c r="CF310" s="93"/>
      <c r="CG310" s="93"/>
      <c r="CH310" s="93"/>
      <c r="CI310" s="93"/>
      <c r="CJ310" s="93"/>
      <c r="CK310" s="93"/>
      <c r="CL310" s="93"/>
      <c r="CM310" s="93"/>
      <c r="CN310" s="93"/>
      <c r="CO310" s="93"/>
      <c r="CP310" s="93"/>
      <c r="CQ310" s="93"/>
      <c r="CR310" s="93"/>
      <c r="CS310" s="93"/>
      <c r="CT310" s="93"/>
      <c r="CU310" s="93"/>
      <c r="CV310" s="93"/>
      <c r="CW310" s="93"/>
      <c r="CX310" s="93"/>
      <c r="CY310" s="93"/>
      <c r="CZ310" s="93"/>
      <c r="DA310" s="93"/>
      <c r="DB310" s="93"/>
      <c r="DC310" s="93"/>
      <c r="DD310" s="93"/>
      <c r="DE310" s="93"/>
      <c r="DF310" s="93"/>
      <c r="DG310" s="93"/>
      <c r="DH310" s="93"/>
      <c r="DI310" s="93"/>
      <c r="DJ310" s="93"/>
      <c r="DK310" s="93"/>
      <c r="DL310" s="93"/>
      <c r="DM310" s="93"/>
      <c r="DN310" s="93"/>
      <c r="DO310" s="93"/>
      <c r="GO310" s="92"/>
      <c r="GP310" s="831"/>
    </row>
    <row r="311" spans="1:198" s="910" customFormat="1" ht="15">
      <c r="D311" s="1065" t="s">
        <v>8621</v>
      </c>
      <c r="G311" s="841" t="s">
        <v>8621</v>
      </c>
      <c r="H311" s="809" t="s">
        <v>8622</v>
      </c>
      <c r="I311" s="92">
        <v>68</v>
      </c>
      <c r="J311" s="92" t="s">
        <v>10</v>
      </c>
      <c r="K311" s="92" t="s">
        <v>722</v>
      </c>
      <c r="L311" s="810">
        <v>2</v>
      </c>
      <c r="M311" s="811" t="str">
        <f t="shared" si="23"/>
        <v>Elementary Level</v>
      </c>
      <c r="N311" s="92"/>
      <c r="O311" s="92"/>
      <c r="P311" s="1638"/>
      <c r="Q311" s="92"/>
      <c r="R311" s="92" t="s">
        <v>8234</v>
      </c>
      <c r="S311" s="816"/>
      <c r="T311" s="816"/>
      <c r="U311" s="816"/>
      <c r="V311" s="909"/>
      <c r="W311" s="815"/>
      <c r="X311" s="811"/>
      <c r="Y311" s="816"/>
      <c r="Z311" s="816"/>
      <c r="AA311" s="816"/>
      <c r="AB311" s="909"/>
      <c r="AC311" s="809" t="s">
        <v>2197</v>
      </c>
      <c r="AD311" s="817" t="s">
        <v>8622</v>
      </c>
      <c r="AE311" s="93" t="s">
        <v>8622</v>
      </c>
      <c r="AF311" s="818"/>
      <c r="AG311" s="807" t="str">
        <f t="shared" si="25"/>
        <v/>
      </c>
      <c r="AH311" s="809"/>
      <c r="AI311" s="809"/>
      <c r="AJ311" s="809"/>
      <c r="AK311" s="92"/>
      <c r="AL311" s="92"/>
      <c r="AM311" s="819"/>
      <c r="AN311" s="820"/>
      <c r="AO311" s="817"/>
      <c r="AP311" s="820"/>
      <c r="AQ311" s="93"/>
      <c r="AR311" s="93"/>
      <c r="AS311" s="93"/>
      <c r="AT311" s="93"/>
      <c r="AU311" s="93"/>
      <c r="AV311" s="93"/>
      <c r="AW311" s="93"/>
      <c r="AX311" s="93"/>
      <c r="AY311" s="93"/>
      <c r="AZ311" s="93"/>
      <c r="BA311" s="93"/>
      <c r="BB311" s="93"/>
      <c r="BC311" s="93"/>
      <c r="BD311" s="93"/>
      <c r="BE311" s="93"/>
      <c r="BF311" s="93"/>
      <c r="BG311" s="93"/>
      <c r="BH311" s="93"/>
      <c r="BI311" s="93"/>
      <c r="BJ311" s="93"/>
      <c r="BK311" s="93"/>
      <c r="BL311" s="93"/>
      <c r="BM311" s="93"/>
      <c r="BN311" s="93"/>
      <c r="BT311" s="93"/>
      <c r="BU311" s="93"/>
      <c r="BV311" s="93"/>
      <c r="BW311" s="93"/>
      <c r="BX311" s="93"/>
      <c r="BY311" s="93"/>
      <c r="BZ311" s="93"/>
      <c r="CA311" s="93"/>
      <c r="CB311" s="93"/>
      <c r="CC311" s="93"/>
      <c r="CD311" s="93"/>
      <c r="CE311" s="93"/>
      <c r="CF311" s="93"/>
      <c r="CG311" s="93"/>
      <c r="CH311" s="93"/>
      <c r="CI311" s="93"/>
      <c r="CJ311" s="93"/>
      <c r="CK311" s="93"/>
      <c r="CL311" s="93"/>
      <c r="CM311" s="93"/>
      <c r="CN311" s="93"/>
      <c r="CO311" s="93"/>
      <c r="CP311" s="93"/>
      <c r="CQ311" s="93"/>
      <c r="CS311" s="93">
        <v>1</v>
      </c>
      <c r="CT311" s="93"/>
      <c r="CU311" s="93"/>
      <c r="CV311" s="93"/>
      <c r="CW311" s="93"/>
      <c r="CX311" s="93"/>
      <c r="CY311" s="93"/>
      <c r="CZ311" s="93"/>
      <c r="DA311" s="93"/>
      <c r="DB311" s="93"/>
      <c r="DC311" s="93"/>
      <c r="DD311" s="93"/>
      <c r="DE311" s="93"/>
      <c r="DF311" s="93"/>
      <c r="DG311" s="93"/>
      <c r="DH311" s="93"/>
      <c r="DI311" s="93"/>
      <c r="DJ311" s="93"/>
      <c r="DK311" s="93"/>
      <c r="DL311" s="93"/>
      <c r="DM311" s="93"/>
      <c r="DN311" s="93"/>
      <c r="DO311" s="93"/>
      <c r="GO311" s="92"/>
      <c r="GP311" s="831"/>
    </row>
    <row r="312" spans="1:198" ht="15">
      <c r="A312" s="807"/>
      <c r="C312" s="807"/>
      <c r="D312" s="1065"/>
      <c r="E312" s="807"/>
      <c r="F312" s="807"/>
      <c r="G312" s="827"/>
      <c r="H312" s="809" t="s">
        <v>8623</v>
      </c>
      <c r="I312" s="92">
        <v>32</v>
      </c>
      <c r="J312" s="92" t="s">
        <v>10</v>
      </c>
      <c r="K312" s="92" t="s">
        <v>768</v>
      </c>
      <c r="L312" s="810">
        <v>5</v>
      </c>
      <c r="M312" s="811" t="str">
        <f t="shared" si="23"/>
        <v>High School Graduate</v>
      </c>
      <c r="N312" s="92" t="s">
        <v>1208</v>
      </c>
      <c r="O312" s="92" t="s">
        <v>2225</v>
      </c>
      <c r="P312" s="1638"/>
      <c r="Q312" s="92" t="s">
        <v>2225</v>
      </c>
      <c r="R312" s="92"/>
      <c r="S312" s="813">
        <v>10000</v>
      </c>
      <c r="V312" s="830"/>
      <c r="W312" s="815">
        <v>3</v>
      </c>
      <c r="X312" s="811" t="str">
        <f>IF(ISBLANK(W312)=TRUE,"",LOOKUP(W312,GO:GP))</f>
        <v>within the Province</v>
      </c>
      <c r="Y312" s="816">
        <v>480</v>
      </c>
      <c r="AB312" s="830"/>
      <c r="AC312" s="809" t="s">
        <v>8493</v>
      </c>
      <c r="AD312" s="824"/>
      <c r="AG312" s="807" t="str">
        <f t="shared" si="25"/>
        <v/>
      </c>
      <c r="AH312" s="809"/>
      <c r="AI312" s="809"/>
      <c r="AJ312" s="809"/>
      <c r="AK312" s="92"/>
      <c r="AM312" s="819"/>
      <c r="AN312" s="820"/>
      <c r="AQ312" s="93"/>
      <c r="AR312" s="93"/>
      <c r="AS312" s="93"/>
      <c r="AT312" s="93"/>
      <c r="AU312" s="93"/>
      <c r="AV312" s="93"/>
      <c r="AW312" s="93"/>
      <c r="AX312" s="93"/>
      <c r="AY312" s="93"/>
      <c r="AZ312" s="93"/>
      <c r="BA312" s="93"/>
      <c r="BB312" s="93"/>
      <c r="BL312" s="93"/>
      <c r="BM312" s="93"/>
      <c r="BT312" s="93"/>
      <c r="BU312" s="93"/>
      <c r="BV312" s="93"/>
      <c r="BW312" s="93"/>
      <c r="BX312" s="93"/>
      <c r="BY312" s="93"/>
      <c r="BZ312" s="93"/>
      <c r="CA312" s="93"/>
      <c r="CB312" s="93"/>
      <c r="CC312" s="93"/>
      <c r="CF312" s="93"/>
      <c r="CG312" s="93"/>
      <c r="CH312" s="93"/>
      <c r="CI312" s="93"/>
      <c r="CJ312" s="93"/>
      <c r="CK312" s="93"/>
      <c r="CL312" s="93"/>
      <c r="CM312" s="93"/>
      <c r="CN312" s="93"/>
      <c r="CO312" s="93"/>
      <c r="CP312" s="93"/>
      <c r="CQ312" s="93"/>
      <c r="CR312" s="93"/>
      <c r="CS312" s="93"/>
      <c r="CT312" s="93"/>
      <c r="CU312" s="93"/>
      <c r="CV312" s="93"/>
      <c r="CW312" s="93"/>
      <c r="CX312" s="93"/>
      <c r="CY312" s="93"/>
      <c r="CZ312" s="93"/>
      <c r="DA312" s="93"/>
      <c r="DB312" s="93"/>
      <c r="DC312" s="93"/>
      <c r="DD312" s="93"/>
      <c r="DE312" s="93"/>
      <c r="DF312" s="93"/>
      <c r="DG312" s="93"/>
      <c r="DH312" s="93"/>
      <c r="DI312" s="93"/>
      <c r="DJ312" s="93"/>
      <c r="DK312" s="93"/>
      <c r="DL312" s="93"/>
      <c r="DM312" s="93"/>
      <c r="DN312" s="93"/>
      <c r="DO312" s="93"/>
    </row>
    <row r="313" spans="1:198" ht="15">
      <c r="A313" s="807"/>
      <c r="C313" s="807"/>
      <c r="D313" s="1065"/>
      <c r="E313" s="807"/>
      <c r="F313" s="807"/>
      <c r="G313" s="827"/>
      <c r="H313" s="809" t="s">
        <v>8624</v>
      </c>
      <c r="I313" s="92">
        <v>29</v>
      </c>
      <c r="J313" s="92" t="s">
        <v>18</v>
      </c>
      <c r="K313" s="92" t="s">
        <v>768</v>
      </c>
      <c r="L313" s="810">
        <v>5</v>
      </c>
      <c r="M313" s="811" t="str">
        <f t="shared" si="23"/>
        <v>High School Graduate</v>
      </c>
      <c r="N313" s="92" t="s">
        <v>1208</v>
      </c>
      <c r="O313" s="92" t="s">
        <v>2225</v>
      </c>
      <c r="P313" s="1638"/>
      <c r="Q313" s="92" t="s">
        <v>2225</v>
      </c>
      <c r="R313" s="92"/>
      <c r="S313" s="813">
        <v>10000</v>
      </c>
      <c r="V313" s="830"/>
      <c r="W313" s="815">
        <v>2</v>
      </c>
      <c r="X313" s="811" t="str">
        <f>IF(ISBLANK(W313)=TRUE,"",LOOKUP(W313,GO:GP))</f>
        <v>within the Municipality/City</v>
      </c>
      <c r="Y313" s="816">
        <v>10000</v>
      </c>
      <c r="AB313" s="830"/>
      <c r="AC313" s="809" t="s">
        <v>8493</v>
      </c>
      <c r="AD313" s="824"/>
      <c r="AG313" s="807" t="str">
        <f t="shared" si="25"/>
        <v/>
      </c>
      <c r="AH313" s="809"/>
      <c r="AI313" s="809"/>
      <c r="AJ313" s="809"/>
      <c r="AK313" s="92"/>
      <c r="AM313" s="819"/>
      <c r="AN313" s="820"/>
      <c r="AQ313" s="93"/>
      <c r="AR313" s="93"/>
      <c r="AS313" s="93"/>
      <c r="AT313" s="93"/>
      <c r="AU313" s="93"/>
      <c r="AV313" s="93"/>
      <c r="AW313" s="93"/>
      <c r="AX313" s="93"/>
      <c r="AY313" s="93"/>
      <c r="AZ313" s="93"/>
      <c r="BA313" s="93"/>
      <c r="BB313" s="93"/>
      <c r="BL313" s="93"/>
      <c r="BM313" s="93"/>
      <c r="BT313" s="93"/>
      <c r="BU313" s="93"/>
      <c r="BV313" s="93"/>
      <c r="BW313" s="93"/>
      <c r="BX313" s="93"/>
      <c r="BY313" s="93"/>
      <c r="BZ313" s="93"/>
      <c r="CA313" s="93"/>
      <c r="CB313" s="93"/>
      <c r="CC313" s="93"/>
      <c r="CF313" s="93"/>
      <c r="CG313" s="93"/>
      <c r="CH313" s="93"/>
      <c r="CI313" s="93"/>
      <c r="CJ313" s="93"/>
      <c r="CK313" s="93"/>
      <c r="CL313" s="93"/>
      <c r="CM313" s="93"/>
      <c r="CN313" s="93"/>
      <c r="CO313" s="93"/>
      <c r="CP313" s="93"/>
      <c r="CQ313" s="93"/>
      <c r="CR313" s="93"/>
      <c r="CS313" s="93"/>
      <c r="CT313" s="93"/>
      <c r="CU313" s="93"/>
      <c r="CV313" s="93"/>
      <c r="CW313" s="93"/>
      <c r="CX313" s="93"/>
      <c r="CY313" s="93"/>
      <c r="CZ313" s="93"/>
      <c r="DA313" s="93"/>
      <c r="DB313" s="93"/>
      <c r="DC313" s="93"/>
      <c r="DD313" s="93"/>
      <c r="DE313" s="93"/>
      <c r="DF313" s="93"/>
      <c r="DG313" s="93"/>
      <c r="DH313" s="93"/>
      <c r="DI313" s="93"/>
      <c r="DJ313" s="93"/>
      <c r="DK313" s="93"/>
      <c r="DL313" s="93"/>
      <c r="DM313" s="93"/>
      <c r="DN313" s="93"/>
      <c r="DO313" s="93"/>
    </row>
    <row r="314" spans="1:198" ht="15">
      <c r="A314" s="807"/>
      <c r="C314" s="807"/>
      <c r="D314" s="1065"/>
      <c r="E314" s="807"/>
      <c r="F314" s="807"/>
      <c r="G314" s="827"/>
      <c r="H314" s="809" t="s">
        <v>8625</v>
      </c>
      <c r="I314" s="92">
        <v>19</v>
      </c>
      <c r="J314" s="92" t="s">
        <v>18</v>
      </c>
      <c r="K314" s="92" t="s">
        <v>768</v>
      </c>
      <c r="L314" s="810">
        <v>4</v>
      </c>
      <c r="M314" s="811" t="str">
        <f t="shared" si="23"/>
        <v>High School Level</v>
      </c>
      <c r="O314" s="92"/>
      <c r="P314" s="1638"/>
      <c r="Q314" s="92"/>
      <c r="R314" s="92"/>
      <c r="V314" s="830"/>
      <c r="X314" s="811" t="str">
        <f>IF(ISBLANK(W314)=TRUE,"",LOOKUP(W314,GO:GP))</f>
        <v/>
      </c>
      <c r="AB314" s="830"/>
      <c r="AC314" s="809"/>
      <c r="AD314" s="824"/>
      <c r="AG314" s="807" t="str">
        <f t="shared" si="25"/>
        <v/>
      </c>
      <c r="AH314" s="809"/>
      <c r="AI314" s="809"/>
      <c r="AJ314" s="809"/>
      <c r="AK314" s="92"/>
      <c r="AM314" s="819"/>
      <c r="AN314" s="820"/>
      <c r="AQ314" s="93"/>
      <c r="AR314" s="93"/>
      <c r="AS314" s="93"/>
      <c r="AT314" s="93"/>
      <c r="AU314" s="93"/>
      <c r="AV314" s="93"/>
      <c r="AW314" s="93"/>
      <c r="AX314" s="93"/>
      <c r="AY314" s="93"/>
      <c r="AZ314" s="93"/>
      <c r="BA314" s="93"/>
      <c r="BB314" s="93"/>
      <c r="BL314" s="93"/>
      <c r="BM314" s="93"/>
      <c r="BT314" s="93"/>
      <c r="BU314" s="93"/>
      <c r="BV314" s="93"/>
      <c r="BW314" s="93"/>
      <c r="BX314" s="93"/>
      <c r="BY314" s="93"/>
      <c r="BZ314" s="93"/>
      <c r="CA314" s="93"/>
      <c r="CB314" s="93"/>
      <c r="CC314" s="93"/>
      <c r="CF314" s="93"/>
      <c r="CG314" s="93"/>
      <c r="CH314" s="93"/>
      <c r="CI314" s="93"/>
      <c r="CJ314" s="93"/>
      <c r="CK314" s="93"/>
      <c r="CL314" s="93"/>
      <c r="CM314" s="93"/>
      <c r="CN314" s="93"/>
      <c r="CO314" s="93"/>
      <c r="CP314" s="93"/>
      <c r="CQ314" s="93"/>
      <c r="CR314" s="93"/>
      <c r="CS314" s="93"/>
      <c r="CT314" s="93"/>
      <c r="CU314" s="93"/>
      <c r="CV314" s="93"/>
      <c r="CW314" s="93"/>
      <c r="CX314" s="93"/>
      <c r="CY314" s="93"/>
      <c r="CZ314" s="93"/>
      <c r="DA314" s="93"/>
      <c r="DB314" s="93"/>
      <c r="DC314" s="93"/>
      <c r="DD314" s="93"/>
      <c r="DE314" s="93"/>
      <c r="DF314" s="93"/>
      <c r="DG314" s="93"/>
      <c r="DH314" s="93"/>
      <c r="DI314" s="93"/>
      <c r="DJ314" s="93"/>
      <c r="DK314" s="93"/>
      <c r="DL314" s="93"/>
      <c r="DM314" s="93"/>
      <c r="DN314" s="93"/>
      <c r="DO314" s="93"/>
    </row>
    <row r="315" spans="1:198" ht="15">
      <c r="A315" s="807"/>
      <c r="C315" s="807"/>
      <c r="D315" s="1065"/>
      <c r="E315" s="807"/>
      <c r="F315" s="807"/>
      <c r="G315" s="827"/>
      <c r="H315" s="809" t="s">
        <v>8626</v>
      </c>
      <c r="I315" s="92">
        <v>24</v>
      </c>
      <c r="J315" s="92" t="s">
        <v>18</v>
      </c>
      <c r="K315" s="92" t="s">
        <v>768</v>
      </c>
      <c r="L315" s="810">
        <v>7</v>
      </c>
      <c r="M315" s="811" t="str">
        <f t="shared" si="23"/>
        <v>College Graduate or Higher</v>
      </c>
      <c r="O315" s="92"/>
      <c r="P315" s="1638"/>
      <c r="Q315" s="92"/>
      <c r="R315" s="92"/>
      <c r="V315" s="830">
        <f>SUM(S311:U315)</f>
        <v>20000</v>
      </c>
      <c r="X315" s="811" t="str">
        <f>IF(ISBLANK(W315)=TRUE,"",LOOKUP(W315,GO:GP))</f>
        <v/>
      </c>
      <c r="AB315" s="830">
        <f>SUM(Y311:AA315)</f>
        <v>10480</v>
      </c>
      <c r="AC315" s="809"/>
      <c r="AD315" s="824"/>
      <c r="AG315" s="807" t="str">
        <f t="shared" si="25"/>
        <v/>
      </c>
      <c r="AH315" s="809"/>
      <c r="AI315" s="809"/>
      <c r="AJ315" s="809"/>
      <c r="AK315" s="92"/>
      <c r="AM315" s="819"/>
      <c r="AN315" s="820"/>
      <c r="AQ315" s="93"/>
      <c r="AR315" s="93"/>
      <c r="AS315" s="93"/>
      <c r="AT315" s="93"/>
      <c r="AU315" s="93"/>
      <c r="AV315" s="93"/>
      <c r="AW315" s="93"/>
      <c r="AX315" s="93"/>
      <c r="AY315" s="93"/>
      <c r="AZ315" s="93"/>
      <c r="BA315" s="93"/>
      <c r="BB315" s="93"/>
      <c r="BL315" s="93"/>
      <c r="BM315" s="93"/>
      <c r="BT315" s="93"/>
      <c r="BU315" s="93"/>
      <c r="BV315" s="93"/>
      <c r="BW315" s="93"/>
      <c r="BX315" s="93"/>
      <c r="BY315" s="93"/>
      <c r="BZ315" s="93"/>
      <c r="CA315" s="93"/>
      <c r="CB315" s="93"/>
      <c r="CC315" s="93"/>
      <c r="CF315" s="93"/>
      <c r="CG315" s="93"/>
      <c r="CH315" s="93"/>
      <c r="CI315" s="93"/>
      <c r="CJ315" s="93"/>
      <c r="CK315" s="93"/>
      <c r="CL315" s="93"/>
      <c r="CM315" s="93"/>
      <c r="CN315" s="93"/>
      <c r="CO315" s="93"/>
      <c r="CP315" s="93"/>
      <c r="CQ315" s="93"/>
      <c r="CR315" s="93"/>
      <c r="CS315" s="93"/>
      <c r="CT315" s="93"/>
      <c r="CU315" s="93"/>
      <c r="CV315" s="93"/>
      <c r="CW315" s="93"/>
      <c r="CX315" s="93"/>
      <c r="CY315" s="93"/>
      <c r="CZ315" s="93"/>
      <c r="DA315" s="93"/>
      <c r="DB315" s="93"/>
      <c r="DC315" s="93"/>
      <c r="DD315" s="93"/>
      <c r="DE315" s="93"/>
      <c r="DF315" s="93"/>
      <c r="DG315" s="93"/>
      <c r="DH315" s="93"/>
      <c r="DI315" s="93"/>
      <c r="DJ315" s="93"/>
      <c r="DK315" s="93"/>
      <c r="DL315" s="93"/>
      <c r="DM315" s="93"/>
      <c r="DN315" s="93"/>
      <c r="DO315" s="93"/>
    </row>
    <row r="316" spans="1:198" ht="15">
      <c r="A316" s="807"/>
      <c r="C316" s="807"/>
      <c r="D316" s="1065" t="s">
        <v>8627</v>
      </c>
      <c r="E316" s="807"/>
      <c r="F316" s="807"/>
      <c r="G316" s="809" t="s">
        <v>8627</v>
      </c>
      <c r="H316" s="809" t="s">
        <v>2063</v>
      </c>
      <c r="I316" s="92">
        <v>37</v>
      </c>
      <c r="J316" s="92" t="s">
        <v>10</v>
      </c>
      <c r="K316" s="92" t="s">
        <v>783</v>
      </c>
      <c r="L316" s="810">
        <v>2</v>
      </c>
      <c r="M316" s="811" t="str">
        <f t="shared" si="23"/>
        <v>Elementary Level</v>
      </c>
      <c r="N316" s="92" t="s">
        <v>1208</v>
      </c>
      <c r="O316" s="92" t="s">
        <v>8628</v>
      </c>
      <c r="P316" s="1638"/>
      <c r="Q316" s="92" t="s">
        <v>8628</v>
      </c>
      <c r="R316" s="92" t="s">
        <v>8234</v>
      </c>
      <c r="U316" s="813">
        <v>2500</v>
      </c>
      <c r="W316" s="815">
        <v>1</v>
      </c>
      <c r="X316" s="811" t="str">
        <f>IF(ISBLANK(W316)=TRUE,"",LOOKUP(W316,GO:GP))</f>
        <v>within the Brgy</v>
      </c>
      <c r="AB316" s="814"/>
      <c r="AC316" s="809"/>
      <c r="AD316" s="824"/>
      <c r="AG316" s="807" t="str">
        <f t="shared" si="25"/>
        <v/>
      </c>
      <c r="AH316" s="809"/>
      <c r="AI316" s="809"/>
      <c r="AJ316" s="809"/>
      <c r="AK316" s="92"/>
      <c r="AM316" s="819"/>
      <c r="AN316" s="820"/>
      <c r="AQ316" s="93"/>
      <c r="AR316" s="93"/>
      <c r="AS316" s="93"/>
      <c r="AT316" s="93"/>
      <c r="AU316" s="93"/>
      <c r="AV316" s="93"/>
      <c r="AW316" s="93"/>
      <c r="AX316" s="93"/>
      <c r="AY316" s="93"/>
      <c r="AZ316" s="93"/>
      <c r="BA316" s="93"/>
      <c r="BB316" s="93"/>
      <c r="BL316" s="93"/>
      <c r="BM316" s="93"/>
      <c r="BT316" s="93"/>
      <c r="BU316" s="93"/>
      <c r="BV316" s="93"/>
      <c r="BW316" s="93"/>
      <c r="BX316" s="93"/>
      <c r="BY316" s="93"/>
      <c r="BZ316" s="93"/>
      <c r="CA316" s="93"/>
      <c r="CB316" s="93"/>
      <c r="CC316" s="93"/>
      <c r="CF316" s="93"/>
      <c r="CG316" s="93"/>
      <c r="CH316" s="93"/>
      <c r="CI316" s="93"/>
      <c r="CL316" s="93"/>
      <c r="CM316" s="93"/>
      <c r="CN316" s="93"/>
      <c r="CO316" s="93"/>
      <c r="CP316" s="93"/>
      <c r="CQ316" s="93"/>
      <c r="CR316" s="93"/>
      <c r="CS316" s="93"/>
      <c r="CT316" s="93"/>
      <c r="CU316" s="93"/>
      <c r="CV316" s="93"/>
      <c r="CW316" s="93"/>
      <c r="CX316" s="93"/>
      <c r="CY316" s="93"/>
      <c r="CZ316" s="93"/>
      <c r="DA316" s="93"/>
      <c r="DB316" s="93"/>
      <c r="DC316" s="93"/>
      <c r="DD316" s="93"/>
      <c r="DE316" s="93"/>
      <c r="DF316" s="93"/>
      <c r="DG316" s="93">
        <v>1</v>
      </c>
      <c r="DH316" s="93"/>
      <c r="DI316" s="93"/>
      <c r="DJ316" s="93"/>
      <c r="DK316" s="93"/>
      <c r="DL316" s="93"/>
      <c r="DM316" s="93"/>
      <c r="DN316" s="93"/>
      <c r="DO316" s="93"/>
    </row>
    <row r="317" spans="1:198" ht="15">
      <c r="A317" s="807"/>
      <c r="C317" s="807"/>
      <c r="D317" s="1065"/>
      <c r="E317" s="807"/>
      <c r="F317" s="807"/>
      <c r="G317" s="827"/>
      <c r="H317" s="809" t="s">
        <v>8629</v>
      </c>
      <c r="I317" s="92">
        <v>11</v>
      </c>
      <c r="J317" s="92" t="s">
        <v>18</v>
      </c>
      <c r="K317" s="92" t="s">
        <v>768</v>
      </c>
      <c r="L317" s="810">
        <v>2</v>
      </c>
      <c r="M317" s="811" t="str">
        <f t="shared" si="23"/>
        <v>Elementary Level</v>
      </c>
      <c r="O317" s="92"/>
      <c r="P317" s="1638"/>
      <c r="Q317" s="92"/>
      <c r="R317" s="92"/>
      <c r="AB317" s="814"/>
      <c r="AC317" s="809"/>
      <c r="AD317" s="824"/>
      <c r="AG317" s="807" t="str">
        <f t="shared" si="25"/>
        <v/>
      </c>
      <c r="AH317" s="809"/>
      <c r="AI317" s="809"/>
      <c r="AJ317" s="809"/>
      <c r="AK317" s="92"/>
      <c r="AM317" s="819"/>
      <c r="AN317" s="820"/>
      <c r="AQ317" s="93"/>
      <c r="AR317" s="93"/>
      <c r="AS317" s="93"/>
      <c r="AT317" s="93"/>
      <c r="AU317" s="93"/>
      <c r="AV317" s="93"/>
      <c r="AW317" s="93"/>
      <c r="AX317" s="93"/>
      <c r="AY317" s="93"/>
      <c r="AZ317" s="93"/>
      <c r="BA317" s="93"/>
      <c r="BB317" s="93"/>
      <c r="BL317" s="93"/>
      <c r="BM317" s="93"/>
      <c r="BT317" s="93"/>
      <c r="BU317" s="93"/>
      <c r="BV317" s="93"/>
      <c r="BW317" s="93"/>
      <c r="BX317" s="93"/>
      <c r="BY317" s="93"/>
      <c r="BZ317" s="93"/>
      <c r="CA317" s="93"/>
      <c r="CB317" s="93"/>
      <c r="CC317" s="93"/>
      <c r="CF317" s="93"/>
      <c r="CG317" s="93"/>
      <c r="CH317" s="93"/>
      <c r="CI317" s="93"/>
      <c r="CJ317" s="93"/>
      <c r="CK317" s="93"/>
      <c r="CL317" s="93"/>
      <c r="CM317" s="93"/>
      <c r="CN317" s="93"/>
      <c r="CO317" s="93"/>
      <c r="CP317" s="93"/>
      <c r="CQ317" s="93"/>
      <c r="CR317" s="93"/>
      <c r="CS317" s="93"/>
      <c r="CT317" s="93"/>
      <c r="CU317" s="93"/>
      <c r="CV317" s="93"/>
      <c r="CW317" s="93"/>
      <c r="CX317" s="93"/>
      <c r="CY317" s="93"/>
      <c r="CZ317" s="93"/>
      <c r="DA317" s="93"/>
      <c r="DB317" s="93"/>
      <c r="DC317" s="93"/>
      <c r="DD317" s="93"/>
      <c r="DE317" s="93"/>
      <c r="DF317" s="93"/>
      <c r="DG317" s="93"/>
      <c r="DH317" s="93"/>
      <c r="DI317" s="93"/>
      <c r="DJ317" s="93"/>
      <c r="DK317" s="93"/>
      <c r="DL317" s="93"/>
      <c r="DM317" s="93"/>
      <c r="DN317" s="93"/>
      <c r="DO317" s="93"/>
    </row>
    <row r="318" spans="1:198" ht="15">
      <c r="A318" s="807"/>
      <c r="C318" s="807"/>
      <c r="D318" s="1065"/>
      <c r="E318" s="807"/>
      <c r="F318" s="807"/>
      <c r="G318" s="827"/>
      <c r="H318" s="809" t="s">
        <v>8630</v>
      </c>
      <c r="I318" s="92">
        <v>14</v>
      </c>
      <c r="J318" s="92" t="s">
        <v>18</v>
      </c>
      <c r="K318" s="92" t="s">
        <v>722</v>
      </c>
      <c r="L318" s="810">
        <v>2</v>
      </c>
      <c r="M318" s="811" t="str">
        <f t="shared" si="23"/>
        <v>Elementary Level</v>
      </c>
      <c r="O318" s="92"/>
      <c r="P318" s="1638"/>
      <c r="Q318" s="92"/>
      <c r="R318" s="92"/>
      <c r="X318" s="811" t="str">
        <f t="shared" ref="X318:X381" si="27">IF(ISBLANK(W318)=TRUE,"",LOOKUP(W318,GO:GP))</f>
        <v/>
      </c>
      <c r="AB318" s="814"/>
      <c r="AC318" s="809"/>
      <c r="AD318" s="824"/>
      <c r="AG318" s="807" t="str">
        <f t="shared" si="25"/>
        <v/>
      </c>
      <c r="AH318" s="809"/>
      <c r="AI318" s="809"/>
      <c r="AJ318" s="809"/>
      <c r="AK318" s="92"/>
      <c r="AM318" s="819"/>
      <c r="AN318" s="820"/>
      <c r="AQ318" s="93"/>
      <c r="AR318" s="93"/>
      <c r="AS318" s="93"/>
      <c r="AT318" s="93"/>
      <c r="AU318" s="93"/>
      <c r="AV318" s="93"/>
      <c r="AW318" s="93"/>
      <c r="AX318" s="93"/>
      <c r="AY318" s="93"/>
      <c r="AZ318" s="93"/>
      <c r="BA318" s="93"/>
      <c r="BB318" s="93"/>
      <c r="BL318" s="93"/>
      <c r="BM318" s="93"/>
      <c r="BT318" s="93"/>
      <c r="BU318" s="93"/>
      <c r="BV318" s="93"/>
      <c r="BW318" s="93"/>
      <c r="BX318" s="93"/>
      <c r="BY318" s="93"/>
      <c r="BZ318" s="93"/>
      <c r="CA318" s="93"/>
      <c r="CB318" s="93"/>
      <c r="CC318" s="93"/>
      <c r="CF318" s="93"/>
      <c r="CG318" s="93"/>
      <c r="CH318" s="93"/>
      <c r="CI318" s="93"/>
      <c r="CJ318" s="93"/>
      <c r="CK318" s="93"/>
      <c r="CL318" s="93"/>
      <c r="CM318" s="93"/>
      <c r="CN318" s="93"/>
      <c r="CO318" s="93"/>
      <c r="CP318" s="93"/>
      <c r="CQ318" s="93"/>
      <c r="CS318" s="93">
        <v>1</v>
      </c>
      <c r="CT318" s="93"/>
      <c r="CU318" s="93"/>
      <c r="CV318" s="93"/>
      <c r="CW318" s="93"/>
      <c r="CX318" s="93"/>
      <c r="CY318" s="93"/>
      <c r="CZ318" s="93"/>
      <c r="DA318" s="93"/>
      <c r="DB318" s="93"/>
      <c r="DC318" s="93"/>
      <c r="DD318" s="93"/>
      <c r="DE318" s="93"/>
      <c r="DF318" s="93"/>
      <c r="DG318" s="93"/>
      <c r="DH318" s="93"/>
      <c r="DI318" s="93"/>
      <c r="DJ318" s="93"/>
      <c r="DK318" s="93"/>
      <c r="DL318" s="93"/>
      <c r="DM318" s="93"/>
      <c r="DN318" s="93"/>
      <c r="DO318" s="93"/>
    </row>
    <row r="319" spans="1:198" ht="15">
      <c r="A319" s="807"/>
      <c r="C319" s="807"/>
      <c r="D319" s="1065"/>
      <c r="E319" s="807"/>
      <c r="F319" s="807"/>
      <c r="G319" s="827"/>
      <c r="H319" s="809" t="s">
        <v>8631</v>
      </c>
      <c r="I319" s="92">
        <v>16</v>
      </c>
      <c r="J319" s="92" t="s">
        <v>18</v>
      </c>
      <c r="K319" s="92" t="s">
        <v>722</v>
      </c>
      <c r="L319" s="810">
        <v>2</v>
      </c>
      <c r="M319" s="811" t="str">
        <f t="shared" si="23"/>
        <v>Elementary Level</v>
      </c>
      <c r="N319" s="92" t="s">
        <v>1208</v>
      </c>
      <c r="O319" s="92" t="s">
        <v>8632</v>
      </c>
      <c r="P319" s="1638"/>
      <c r="Q319" s="92" t="s">
        <v>8632</v>
      </c>
      <c r="R319" s="92"/>
      <c r="S319" s="813">
        <v>3500</v>
      </c>
      <c r="W319" s="815">
        <v>2</v>
      </c>
      <c r="X319" s="811" t="str">
        <f t="shared" si="27"/>
        <v>within the Municipality/City</v>
      </c>
      <c r="AB319" s="814"/>
      <c r="AC319" s="809"/>
      <c r="AD319" s="824"/>
      <c r="AG319" s="807" t="str">
        <f t="shared" si="25"/>
        <v/>
      </c>
      <c r="AH319" s="809"/>
      <c r="AI319" s="809"/>
      <c r="AJ319" s="809"/>
      <c r="AK319" s="92"/>
      <c r="AM319" s="819"/>
      <c r="AN319" s="820"/>
      <c r="AQ319" s="93"/>
      <c r="AR319" s="93"/>
      <c r="AS319" s="93"/>
      <c r="AT319" s="93"/>
      <c r="AU319" s="93"/>
      <c r="AV319" s="93"/>
      <c r="AW319" s="93"/>
      <c r="AX319" s="93"/>
      <c r="AY319" s="93"/>
      <c r="AZ319" s="93"/>
      <c r="BA319" s="93"/>
      <c r="BB319" s="93"/>
      <c r="BL319" s="93"/>
      <c r="BM319" s="93"/>
      <c r="BT319" s="93"/>
      <c r="BU319" s="93"/>
      <c r="BV319" s="93"/>
      <c r="BW319" s="93"/>
      <c r="BX319" s="93"/>
      <c r="BY319" s="93"/>
      <c r="BZ319" s="93"/>
      <c r="CA319" s="93"/>
      <c r="CB319" s="93"/>
      <c r="CC319" s="93"/>
      <c r="CF319" s="93"/>
      <c r="CG319" s="93"/>
      <c r="CH319" s="93"/>
      <c r="CI319" s="93"/>
      <c r="CJ319" s="93"/>
      <c r="CK319" s="93"/>
      <c r="CL319" s="93"/>
      <c r="CM319" s="93"/>
      <c r="CN319" s="93"/>
      <c r="CO319" s="93"/>
      <c r="CP319" s="93"/>
      <c r="CQ319" s="93"/>
      <c r="CR319" s="93"/>
      <c r="CS319" s="93"/>
      <c r="CT319" s="93"/>
      <c r="CU319" s="93"/>
      <c r="CV319" s="93"/>
      <c r="CW319" s="93"/>
      <c r="CX319" s="93"/>
      <c r="CY319" s="93"/>
      <c r="CZ319" s="93"/>
      <c r="DA319" s="93"/>
      <c r="DB319" s="93"/>
      <c r="DC319" s="93"/>
      <c r="DD319" s="93"/>
      <c r="DE319" s="93"/>
      <c r="DF319" s="93"/>
      <c r="DG319" s="93"/>
      <c r="DH319" s="93"/>
      <c r="DI319" s="93"/>
      <c r="DJ319" s="93"/>
      <c r="DK319" s="93"/>
      <c r="DL319" s="93"/>
      <c r="DM319" s="93"/>
      <c r="DN319" s="93"/>
      <c r="DO319" s="93"/>
    </row>
    <row r="320" spans="1:198" ht="15">
      <c r="A320" s="807"/>
      <c r="C320" s="807"/>
      <c r="D320" s="1065"/>
      <c r="E320" s="807"/>
      <c r="F320" s="807"/>
      <c r="G320" s="827"/>
      <c r="H320" s="809" t="s">
        <v>8633</v>
      </c>
      <c r="I320" s="92">
        <v>2</v>
      </c>
      <c r="J320" s="92" t="s">
        <v>10</v>
      </c>
      <c r="K320" s="92" t="s">
        <v>768</v>
      </c>
      <c r="L320" s="810">
        <v>10</v>
      </c>
      <c r="M320" s="811" t="str">
        <f t="shared" si="23"/>
        <v>Not In School Age</v>
      </c>
      <c r="O320" s="92"/>
      <c r="P320" s="1638"/>
      <c r="Q320" s="92"/>
      <c r="R320" s="92"/>
      <c r="X320" s="811" t="str">
        <f t="shared" si="27"/>
        <v/>
      </c>
      <c r="AB320" s="814"/>
      <c r="AC320" s="809"/>
      <c r="AD320" s="824"/>
      <c r="AG320" s="807" t="str">
        <f t="shared" si="25"/>
        <v/>
      </c>
      <c r="AH320" s="809"/>
      <c r="AI320" s="809"/>
      <c r="AJ320" s="809"/>
      <c r="AK320" s="92"/>
      <c r="AM320" s="819"/>
      <c r="AN320" s="820"/>
      <c r="AQ320" s="93"/>
      <c r="AR320" s="93"/>
      <c r="AS320" s="93"/>
      <c r="AT320" s="93"/>
      <c r="AU320" s="93"/>
      <c r="AV320" s="93"/>
      <c r="AW320" s="93"/>
      <c r="AX320" s="93"/>
      <c r="AY320" s="93"/>
      <c r="AZ320" s="93"/>
      <c r="BA320" s="93"/>
      <c r="BB320" s="93"/>
      <c r="BL320" s="93"/>
      <c r="BM320" s="93"/>
      <c r="BT320" s="93"/>
      <c r="BU320" s="93"/>
      <c r="BV320" s="93"/>
      <c r="BW320" s="93"/>
      <c r="BX320" s="93"/>
      <c r="BY320" s="93"/>
      <c r="BZ320" s="93"/>
      <c r="CA320" s="93"/>
      <c r="CB320" s="93"/>
      <c r="CC320" s="93"/>
      <c r="CF320" s="93"/>
      <c r="CG320" s="93"/>
      <c r="CH320" s="93"/>
      <c r="CI320" s="93"/>
      <c r="CJ320" s="93"/>
      <c r="CK320" s="93"/>
      <c r="CL320" s="93"/>
      <c r="CM320" s="93"/>
      <c r="CN320" s="93"/>
      <c r="CO320" s="93"/>
      <c r="CP320" s="93"/>
      <c r="CQ320" s="93"/>
      <c r="CR320" s="93"/>
      <c r="CS320" s="93"/>
      <c r="CT320" s="93"/>
      <c r="CU320" s="93"/>
      <c r="CV320" s="93"/>
      <c r="CW320" s="93"/>
      <c r="CX320" s="93"/>
      <c r="CY320" s="93"/>
      <c r="CZ320" s="93"/>
      <c r="DA320" s="93"/>
      <c r="DB320" s="93"/>
      <c r="DC320" s="93"/>
      <c r="DD320" s="93"/>
      <c r="DE320" s="93"/>
      <c r="DF320" s="93"/>
      <c r="DG320" s="93"/>
      <c r="DH320" s="93"/>
      <c r="DI320" s="93"/>
      <c r="DJ320" s="93"/>
      <c r="DK320" s="93"/>
      <c r="DL320" s="93"/>
      <c r="DM320" s="93"/>
      <c r="DN320" s="93"/>
      <c r="DO320" s="93"/>
    </row>
    <row r="321" spans="1:119" ht="15">
      <c r="A321" s="807"/>
      <c r="C321" s="807"/>
      <c r="D321" s="1065"/>
      <c r="E321" s="807"/>
      <c r="F321" s="807"/>
      <c r="G321" s="827"/>
      <c r="H321" s="809" t="s">
        <v>8634</v>
      </c>
      <c r="I321" s="92">
        <v>2</v>
      </c>
      <c r="J321" s="92" t="s">
        <v>10</v>
      </c>
      <c r="K321" s="92" t="s">
        <v>768</v>
      </c>
      <c r="L321" s="810">
        <v>10</v>
      </c>
      <c r="M321" s="811" t="str">
        <f t="shared" si="23"/>
        <v>Not In School Age</v>
      </c>
      <c r="O321" s="92"/>
      <c r="P321" s="1638"/>
      <c r="Q321" s="92"/>
      <c r="R321" s="92"/>
      <c r="X321" s="811" t="str">
        <f t="shared" si="27"/>
        <v/>
      </c>
      <c r="AB321" s="814"/>
      <c r="AC321" s="809"/>
      <c r="AD321" s="824"/>
      <c r="AG321" s="807" t="str">
        <f t="shared" si="25"/>
        <v/>
      </c>
      <c r="AH321" s="809"/>
      <c r="AI321" s="809"/>
      <c r="AJ321" s="809"/>
      <c r="AK321" s="92"/>
      <c r="AM321" s="819"/>
      <c r="AN321" s="820"/>
      <c r="AQ321" s="93"/>
      <c r="AR321" s="93"/>
      <c r="AS321" s="93"/>
      <c r="AT321" s="93"/>
      <c r="AU321" s="93"/>
      <c r="AV321" s="93"/>
      <c r="AW321" s="93"/>
      <c r="AX321" s="93"/>
      <c r="AY321" s="93"/>
      <c r="AZ321" s="93"/>
      <c r="BA321" s="93"/>
      <c r="BB321" s="93"/>
      <c r="BL321" s="93"/>
      <c r="BM321" s="93"/>
      <c r="BT321" s="93"/>
      <c r="BU321" s="93"/>
      <c r="BV321" s="93"/>
      <c r="BW321" s="93"/>
      <c r="BX321" s="93"/>
      <c r="BY321" s="93"/>
      <c r="BZ321" s="93"/>
      <c r="CA321" s="93"/>
      <c r="CB321" s="93"/>
      <c r="CC321" s="93"/>
      <c r="CF321" s="93"/>
      <c r="CG321" s="93"/>
      <c r="CH321" s="93"/>
      <c r="CI321" s="93"/>
      <c r="CJ321" s="93"/>
      <c r="CK321" s="93"/>
      <c r="CL321" s="93"/>
      <c r="CM321" s="93"/>
      <c r="CN321" s="93"/>
      <c r="CO321" s="93"/>
      <c r="CP321" s="93"/>
      <c r="CQ321" s="93"/>
      <c r="CR321" s="93"/>
      <c r="CS321" s="93"/>
      <c r="CT321" s="93"/>
      <c r="CU321" s="93"/>
      <c r="CV321" s="93"/>
      <c r="CW321" s="93"/>
      <c r="CX321" s="93"/>
      <c r="CY321" s="93"/>
      <c r="CZ321" s="93"/>
      <c r="DA321" s="93"/>
      <c r="DB321" s="93"/>
      <c r="DC321" s="93"/>
      <c r="DD321" s="93"/>
      <c r="DE321" s="93"/>
      <c r="DF321" s="93"/>
      <c r="DG321" s="93"/>
      <c r="DH321" s="93"/>
      <c r="DI321" s="93"/>
      <c r="DJ321" s="93"/>
      <c r="DK321" s="93"/>
      <c r="DL321" s="93"/>
      <c r="DM321" s="93"/>
      <c r="DN321" s="93"/>
      <c r="DO321" s="93"/>
    </row>
    <row r="322" spans="1:119" ht="15">
      <c r="A322" s="807"/>
      <c r="C322" s="807"/>
      <c r="D322" s="1065"/>
      <c r="E322" s="807"/>
      <c r="F322" s="807"/>
      <c r="G322" s="827"/>
      <c r="H322" s="809" t="s">
        <v>8635</v>
      </c>
      <c r="I322" s="92">
        <v>58</v>
      </c>
      <c r="J322" s="92" t="s">
        <v>18</v>
      </c>
      <c r="K322" s="92" t="s">
        <v>719</v>
      </c>
      <c r="L322" s="810">
        <v>4</v>
      </c>
      <c r="M322" s="811" t="str">
        <f t="shared" si="23"/>
        <v>High School Level</v>
      </c>
      <c r="N322" s="92" t="s">
        <v>1208</v>
      </c>
      <c r="O322" s="92" t="s">
        <v>8636</v>
      </c>
      <c r="P322" s="1638"/>
      <c r="Q322" s="92" t="s">
        <v>8636</v>
      </c>
      <c r="R322" s="92"/>
      <c r="U322" s="813">
        <v>1800</v>
      </c>
      <c r="X322" s="811" t="str">
        <f t="shared" si="27"/>
        <v/>
      </c>
      <c r="Y322" s="816">
        <v>80</v>
      </c>
      <c r="AB322" s="814"/>
      <c r="AC322" s="809"/>
      <c r="AD322" s="824"/>
      <c r="AG322" s="807" t="str">
        <f t="shared" si="25"/>
        <v/>
      </c>
      <c r="AH322" s="809"/>
      <c r="AI322" s="809"/>
      <c r="AJ322" s="809"/>
      <c r="AK322" s="92"/>
      <c r="AM322" s="819"/>
      <c r="AN322" s="820"/>
      <c r="AQ322" s="93"/>
      <c r="AR322" s="93"/>
      <c r="AS322" s="93"/>
      <c r="AT322" s="93"/>
      <c r="AU322" s="93"/>
      <c r="AV322" s="93"/>
      <c r="AW322" s="93"/>
      <c r="AX322" s="93"/>
      <c r="AY322" s="93"/>
      <c r="AZ322" s="93"/>
      <c r="BA322" s="93"/>
      <c r="BB322" s="93"/>
      <c r="BL322" s="93"/>
      <c r="BM322" s="93"/>
      <c r="BT322" s="93"/>
      <c r="BU322" s="93"/>
      <c r="BV322" s="93"/>
      <c r="BW322" s="93"/>
      <c r="BX322" s="93"/>
      <c r="BY322" s="93"/>
      <c r="BZ322" s="93"/>
      <c r="CA322" s="93"/>
      <c r="CB322" s="93"/>
      <c r="CC322" s="93"/>
      <c r="CF322" s="93"/>
      <c r="CG322" s="93"/>
      <c r="CH322" s="93"/>
      <c r="CI322" s="93"/>
      <c r="CJ322" s="93"/>
      <c r="CK322" s="93"/>
      <c r="CL322" s="93"/>
      <c r="CM322" s="93"/>
      <c r="CN322" s="93"/>
      <c r="CO322" s="93"/>
      <c r="CP322" s="93"/>
      <c r="CQ322" s="93"/>
      <c r="CR322" s="93"/>
      <c r="CS322" s="93"/>
      <c r="CT322" s="93"/>
      <c r="CU322" s="93"/>
      <c r="CV322" s="93"/>
      <c r="CW322" s="93"/>
      <c r="CX322" s="93"/>
      <c r="CY322" s="93"/>
      <c r="CZ322" s="93"/>
      <c r="DA322" s="93"/>
      <c r="DB322" s="93"/>
      <c r="DC322" s="93"/>
      <c r="DD322" s="93"/>
      <c r="DE322" s="93"/>
      <c r="DF322" s="93"/>
      <c r="DG322" s="93"/>
      <c r="DH322" s="93"/>
      <c r="DI322" s="93"/>
      <c r="DJ322" s="93"/>
      <c r="DK322" s="93"/>
      <c r="DL322" s="93"/>
      <c r="DM322" s="93"/>
      <c r="DN322" s="93"/>
      <c r="DO322" s="93"/>
    </row>
    <row r="323" spans="1:119" ht="15">
      <c r="A323" s="1076"/>
      <c r="B323" s="6"/>
      <c r="C323" s="164"/>
      <c r="D323" s="1065"/>
      <c r="E323" s="807"/>
      <c r="F323" s="807"/>
      <c r="G323" s="827"/>
      <c r="H323" s="809" t="s">
        <v>8637</v>
      </c>
      <c r="I323" s="92">
        <v>16</v>
      </c>
      <c r="J323" s="92" t="s">
        <v>10</v>
      </c>
      <c r="K323" s="92" t="s">
        <v>768</v>
      </c>
      <c r="L323" s="810">
        <v>4</v>
      </c>
      <c r="M323" s="811" t="str">
        <f t="shared" si="23"/>
        <v>High School Level</v>
      </c>
      <c r="N323" s="92" t="s">
        <v>1208</v>
      </c>
      <c r="O323" s="92" t="s">
        <v>8638</v>
      </c>
      <c r="P323" s="1638"/>
      <c r="Q323" s="92" t="s">
        <v>8638</v>
      </c>
      <c r="R323" s="92"/>
      <c r="U323" s="813">
        <v>1500</v>
      </c>
      <c r="V323" s="814">
        <f>SUM(S316:U323)</f>
        <v>9300</v>
      </c>
      <c r="X323" s="811" t="str">
        <f t="shared" si="27"/>
        <v/>
      </c>
      <c r="AB323" s="814">
        <f>SUM(Y316:AA323)</f>
        <v>80</v>
      </c>
      <c r="AC323" s="809"/>
      <c r="AD323" s="824"/>
      <c r="AG323" s="807" t="str">
        <f t="shared" si="25"/>
        <v/>
      </c>
      <c r="AH323" s="809"/>
      <c r="AI323" s="809"/>
      <c r="AJ323" s="809"/>
      <c r="AK323" s="92"/>
      <c r="AM323" s="819"/>
      <c r="AN323" s="820"/>
      <c r="AQ323" s="93"/>
      <c r="AR323" s="93"/>
      <c r="AS323" s="93"/>
      <c r="AT323" s="93"/>
      <c r="AU323" s="93"/>
      <c r="AV323" s="93"/>
      <c r="AW323" s="93"/>
      <c r="AX323" s="93"/>
      <c r="AY323" s="93"/>
      <c r="AZ323" s="93"/>
      <c r="BA323" s="93"/>
      <c r="BB323" s="93"/>
      <c r="BL323" s="93"/>
      <c r="BM323" s="93"/>
      <c r="BT323" s="93"/>
      <c r="BU323" s="93"/>
      <c r="BV323" s="93"/>
      <c r="BW323" s="93"/>
      <c r="BX323" s="93"/>
      <c r="BY323" s="93"/>
      <c r="BZ323" s="93"/>
      <c r="CA323" s="93"/>
      <c r="CB323" s="93"/>
      <c r="CC323" s="93"/>
      <c r="CF323" s="93"/>
      <c r="CG323" s="93"/>
      <c r="CH323" s="93"/>
      <c r="CI323" s="93"/>
      <c r="CJ323" s="93"/>
      <c r="CK323" s="93"/>
      <c r="CL323" s="93"/>
      <c r="CM323" s="93"/>
      <c r="CN323" s="93"/>
      <c r="CO323" s="93"/>
      <c r="CP323" s="93"/>
      <c r="CQ323" s="93"/>
      <c r="CR323" s="93"/>
      <c r="CS323" s="93"/>
      <c r="CT323" s="93"/>
      <c r="CU323" s="93"/>
      <c r="CV323" s="93"/>
      <c r="CW323" s="93"/>
      <c r="CX323" s="93"/>
      <c r="CY323" s="93"/>
      <c r="CZ323" s="93"/>
      <c r="DA323" s="93"/>
      <c r="DB323" s="93"/>
      <c r="DC323" s="93"/>
      <c r="DD323" s="93"/>
      <c r="DE323" s="93"/>
      <c r="DF323" s="93"/>
      <c r="DG323" s="93"/>
      <c r="DH323" s="93"/>
      <c r="DI323" s="93"/>
      <c r="DJ323" s="93"/>
      <c r="DK323" s="93"/>
      <c r="DL323" s="93"/>
      <c r="DM323" s="93"/>
      <c r="DN323" s="93"/>
      <c r="DO323" s="93"/>
    </row>
    <row r="324" spans="1:119" ht="15">
      <c r="A324" s="1076"/>
      <c r="B324" s="6"/>
      <c r="C324" s="164"/>
      <c r="D324" s="1065" t="s">
        <v>8639</v>
      </c>
      <c r="E324" s="807"/>
      <c r="F324" s="807"/>
      <c r="G324" s="809" t="s">
        <v>8639</v>
      </c>
      <c r="H324" s="809" t="s">
        <v>2064</v>
      </c>
      <c r="I324" s="92">
        <v>40</v>
      </c>
      <c r="J324" s="92" t="s">
        <v>10</v>
      </c>
      <c r="K324" s="92" t="s">
        <v>722</v>
      </c>
      <c r="L324" s="810">
        <v>6</v>
      </c>
      <c r="M324" s="811" t="str">
        <f t="shared" si="23"/>
        <v>College Level</v>
      </c>
      <c r="N324" s="92" t="s">
        <v>1208</v>
      </c>
      <c r="O324" s="92" t="s">
        <v>8640</v>
      </c>
      <c r="P324" s="1638"/>
      <c r="Q324" s="92" t="s">
        <v>8640</v>
      </c>
      <c r="R324" s="92" t="s">
        <v>8234</v>
      </c>
      <c r="S324" s="813">
        <v>15000</v>
      </c>
      <c r="V324" s="828"/>
      <c r="W324" s="815">
        <v>3</v>
      </c>
      <c r="X324" s="811" t="str">
        <f t="shared" si="27"/>
        <v>within the Province</v>
      </c>
      <c r="Y324" s="816">
        <v>6000</v>
      </c>
      <c r="AB324" s="828"/>
      <c r="AC324" s="809" t="s">
        <v>8641</v>
      </c>
      <c r="AD324" s="824"/>
      <c r="AG324" s="807" t="str">
        <f t="shared" si="25"/>
        <v/>
      </c>
      <c r="AH324" s="809"/>
      <c r="AI324" s="809"/>
      <c r="AJ324" s="809"/>
      <c r="AK324" s="92"/>
      <c r="AM324" s="819"/>
      <c r="AN324" s="820"/>
      <c r="AQ324" s="93"/>
      <c r="AR324" s="93"/>
      <c r="AS324" s="93"/>
      <c r="AT324" s="93"/>
      <c r="AU324" s="93"/>
      <c r="AV324" s="93"/>
      <c r="AW324" s="93"/>
      <c r="AX324" s="93"/>
      <c r="AY324" s="93"/>
      <c r="AZ324" s="93"/>
      <c r="BA324" s="93"/>
      <c r="BB324" s="93"/>
      <c r="BL324" s="93"/>
      <c r="BM324" s="93"/>
      <c r="BT324" s="93"/>
      <c r="BU324" s="93"/>
      <c r="BV324" s="93"/>
      <c r="BW324" s="93"/>
      <c r="BX324" s="93"/>
      <c r="BY324" s="93"/>
      <c r="BZ324" s="93"/>
      <c r="CA324" s="93"/>
      <c r="CB324" s="93"/>
      <c r="CC324" s="93"/>
      <c r="CF324" s="93"/>
      <c r="CG324" s="93"/>
      <c r="CH324" s="93"/>
      <c r="CI324" s="93"/>
      <c r="CJ324" s="93"/>
      <c r="CK324" s="93"/>
      <c r="CL324" s="93"/>
      <c r="CM324" s="93"/>
      <c r="CN324" s="93"/>
      <c r="CO324" s="93"/>
      <c r="CP324" s="93"/>
      <c r="CQ324" s="93"/>
      <c r="CR324" s="93"/>
      <c r="CS324" s="93"/>
      <c r="CT324" s="93"/>
      <c r="CU324" s="93"/>
      <c r="CV324" s="93"/>
      <c r="CW324" s="93"/>
      <c r="CX324" s="93"/>
      <c r="CY324" s="93"/>
      <c r="CZ324" s="93"/>
      <c r="DA324" s="93"/>
      <c r="DB324" s="93"/>
      <c r="DC324" s="93"/>
      <c r="DD324" s="93"/>
      <c r="DE324" s="93"/>
      <c r="DF324" s="93"/>
      <c r="DG324" s="93"/>
      <c r="DH324" s="93"/>
      <c r="DI324" s="93"/>
      <c r="DJ324" s="93"/>
      <c r="DK324" s="93"/>
      <c r="DL324" s="93"/>
      <c r="DM324" s="93"/>
      <c r="DN324" s="93"/>
      <c r="DO324" s="93"/>
    </row>
    <row r="325" spans="1:119" ht="15">
      <c r="A325" s="1076"/>
      <c r="B325" s="6"/>
      <c r="C325" s="164"/>
      <c r="D325" s="1065"/>
      <c r="E325" s="807"/>
      <c r="F325" s="807"/>
      <c r="G325" s="827"/>
      <c r="H325" s="809" t="s">
        <v>8642</v>
      </c>
      <c r="I325" s="92">
        <v>50</v>
      </c>
      <c r="J325" s="92" t="s">
        <v>18</v>
      </c>
      <c r="K325" s="92" t="s">
        <v>722</v>
      </c>
      <c r="L325" s="810">
        <v>4</v>
      </c>
      <c r="M325" s="811" t="str">
        <f t="shared" si="23"/>
        <v>High School Level</v>
      </c>
      <c r="O325" s="92"/>
      <c r="P325" s="1638"/>
      <c r="Q325" s="92"/>
      <c r="R325" s="92"/>
      <c r="V325" s="828"/>
      <c r="X325" s="811" t="str">
        <f t="shared" si="27"/>
        <v/>
      </c>
      <c r="AB325" s="828"/>
      <c r="AC325" s="809"/>
      <c r="AD325" s="824"/>
      <c r="AG325" s="807" t="str">
        <f t="shared" si="25"/>
        <v/>
      </c>
      <c r="AH325" s="809"/>
      <c r="AI325" s="809"/>
      <c r="AJ325" s="809"/>
      <c r="AK325" s="92"/>
      <c r="AM325" s="819"/>
      <c r="AN325" s="820"/>
      <c r="AQ325" s="93"/>
      <c r="AR325" s="93"/>
      <c r="AS325" s="93"/>
      <c r="AT325" s="93"/>
      <c r="AU325" s="93"/>
      <c r="AV325" s="93"/>
      <c r="AW325" s="93"/>
      <c r="AX325" s="93"/>
      <c r="AY325" s="93"/>
      <c r="AZ325" s="93"/>
      <c r="BA325" s="93"/>
      <c r="BB325" s="93"/>
      <c r="BL325" s="93"/>
      <c r="BM325" s="93"/>
      <c r="BT325" s="93"/>
      <c r="BU325" s="93"/>
      <c r="BV325" s="93"/>
      <c r="BW325" s="93"/>
      <c r="BX325" s="93"/>
      <c r="BY325" s="93"/>
      <c r="BZ325" s="93"/>
      <c r="CA325" s="93"/>
      <c r="CB325" s="93"/>
      <c r="CC325" s="93"/>
      <c r="CF325" s="93"/>
      <c r="CG325" s="93"/>
      <c r="CH325" s="93"/>
      <c r="CI325" s="93"/>
      <c r="CJ325" s="93"/>
      <c r="CK325" s="93"/>
      <c r="CL325" s="93"/>
      <c r="CM325" s="93"/>
      <c r="CN325" s="93"/>
      <c r="CO325" s="93"/>
      <c r="CP325" s="93"/>
      <c r="CQ325" s="93"/>
      <c r="CR325" s="93"/>
      <c r="CS325" s="93"/>
      <c r="CT325" s="93"/>
      <c r="CU325" s="93"/>
      <c r="CV325" s="93"/>
      <c r="CW325" s="93"/>
      <c r="CX325" s="93"/>
      <c r="CY325" s="93"/>
      <c r="CZ325" s="93"/>
      <c r="DA325" s="93"/>
      <c r="DB325" s="93"/>
      <c r="DC325" s="93"/>
      <c r="DD325" s="93"/>
      <c r="DE325" s="93"/>
      <c r="DF325" s="93"/>
      <c r="DG325" s="93"/>
      <c r="DH325" s="93"/>
      <c r="DI325" s="93"/>
      <c r="DJ325" s="93"/>
      <c r="DK325" s="93"/>
      <c r="DL325" s="93"/>
      <c r="DM325" s="93"/>
      <c r="DN325" s="93"/>
      <c r="DO325" s="93"/>
    </row>
    <row r="326" spans="1:119" ht="15">
      <c r="A326" s="1076"/>
      <c r="B326" s="6"/>
      <c r="C326" s="164"/>
      <c r="D326" s="1065"/>
      <c r="E326" s="807"/>
      <c r="F326" s="807"/>
      <c r="G326" s="827"/>
      <c r="H326" s="809" t="s">
        <v>8643</v>
      </c>
      <c r="I326" s="92">
        <v>22</v>
      </c>
      <c r="J326" s="92" t="s">
        <v>10</v>
      </c>
      <c r="K326" s="92" t="s">
        <v>722</v>
      </c>
      <c r="L326" s="810">
        <v>2</v>
      </c>
      <c r="M326" s="811" t="str">
        <f t="shared" si="23"/>
        <v>Elementary Level</v>
      </c>
      <c r="N326" s="92" t="s">
        <v>1208</v>
      </c>
      <c r="O326" s="92" t="s">
        <v>2214</v>
      </c>
      <c r="P326" s="1638"/>
      <c r="Q326" s="92" t="s">
        <v>2214</v>
      </c>
      <c r="R326" s="92"/>
      <c r="S326" s="813">
        <v>3000</v>
      </c>
      <c r="V326" s="828"/>
      <c r="W326" s="815">
        <v>1</v>
      </c>
      <c r="X326" s="811" t="str">
        <f t="shared" si="27"/>
        <v>within the Brgy</v>
      </c>
      <c r="AB326" s="828"/>
      <c r="AC326" s="809" t="s">
        <v>8179</v>
      </c>
      <c r="AD326" s="824"/>
      <c r="AG326" s="807" t="str">
        <f t="shared" si="25"/>
        <v/>
      </c>
      <c r="AH326" s="809"/>
      <c r="AI326" s="809"/>
      <c r="AJ326" s="809"/>
      <c r="AK326" s="92"/>
      <c r="AM326" s="819"/>
      <c r="AN326" s="820"/>
      <c r="AQ326" s="93"/>
      <c r="AR326" s="93"/>
      <c r="AS326" s="93"/>
      <c r="AT326" s="93"/>
      <c r="AU326" s="93"/>
      <c r="AV326" s="93"/>
      <c r="AW326" s="93"/>
      <c r="AX326" s="93"/>
      <c r="AY326" s="93"/>
      <c r="AZ326" s="93"/>
      <c r="BA326" s="93"/>
      <c r="BB326" s="93"/>
      <c r="BL326" s="93"/>
      <c r="BM326" s="93"/>
      <c r="BT326" s="93"/>
      <c r="BU326" s="93"/>
      <c r="BV326" s="93"/>
      <c r="BW326" s="93"/>
      <c r="BX326" s="93"/>
      <c r="BY326" s="93"/>
      <c r="BZ326" s="93"/>
      <c r="CA326" s="93"/>
      <c r="CB326" s="93"/>
      <c r="CC326" s="93"/>
      <c r="CF326" s="93"/>
      <c r="CG326" s="93"/>
      <c r="CH326" s="93"/>
      <c r="CI326" s="93"/>
      <c r="CJ326" s="93"/>
      <c r="CK326" s="93"/>
      <c r="CL326" s="93"/>
      <c r="CM326" s="93"/>
      <c r="CN326" s="93"/>
      <c r="CO326" s="93"/>
      <c r="CP326" s="93"/>
      <c r="CQ326" s="93"/>
      <c r="CR326" s="93"/>
      <c r="CS326" s="93"/>
      <c r="CT326" s="93"/>
      <c r="CU326" s="93"/>
      <c r="CV326" s="93"/>
      <c r="CW326" s="93"/>
      <c r="CX326" s="93"/>
      <c r="CY326" s="93"/>
      <c r="CZ326" s="93"/>
      <c r="DA326" s="93"/>
      <c r="DB326" s="93"/>
      <c r="DC326" s="93"/>
      <c r="DD326" s="93"/>
      <c r="DE326" s="93"/>
      <c r="DF326" s="93"/>
      <c r="DG326" s="93"/>
      <c r="DH326" s="93"/>
      <c r="DI326" s="93"/>
      <c r="DJ326" s="93"/>
      <c r="DK326" s="93"/>
      <c r="DL326" s="93"/>
      <c r="DM326" s="93"/>
      <c r="DN326" s="93"/>
      <c r="DO326" s="93"/>
    </row>
    <row r="327" spans="1:119" ht="15">
      <c r="A327" s="1076"/>
      <c r="B327" s="6"/>
      <c r="C327" s="164"/>
      <c r="D327" s="1065"/>
      <c r="E327" s="807"/>
      <c r="F327" s="807"/>
      <c r="G327" s="827"/>
      <c r="H327" s="809" t="s">
        <v>8644</v>
      </c>
      <c r="I327" s="92">
        <v>22</v>
      </c>
      <c r="J327" s="92" t="s">
        <v>18</v>
      </c>
      <c r="K327" s="92" t="s">
        <v>722</v>
      </c>
      <c r="L327" s="810">
        <v>4</v>
      </c>
      <c r="M327" s="811" t="str">
        <f t="shared" si="23"/>
        <v>High School Level</v>
      </c>
      <c r="O327" s="92"/>
      <c r="P327" s="1638"/>
      <c r="Q327" s="92"/>
      <c r="R327" s="92"/>
      <c r="V327" s="828"/>
      <c r="X327" s="811" t="str">
        <f t="shared" si="27"/>
        <v/>
      </c>
      <c r="AB327" s="828"/>
      <c r="AC327" s="809"/>
      <c r="AD327" s="824"/>
      <c r="AG327" s="807" t="str">
        <f t="shared" si="25"/>
        <v/>
      </c>
      <c r="AH327" s="809"/>
      <c r="AI327" s="809"/>
      <c r="AJ327" s="809"/>
      <c r="AK327" s="92"/>
      <c r="AM327" s="819"/>
      <c r="AN327" s="820"/>
      <c r="AQ327" s="93"/>
      <c r="AR327" s="93"/>
      <c r="AS327" s="93"/>
      <c r="AT327" s="93"/>
      <c r="AU327" s="93"/>
      <c r="AV327" s="93"/>
      <c r="AW327" s="93"/>
      <c r="AX327" s="93"/>
      <c r="AY327" s="93"/>
      <c r="AZ327" s="93"/>
      <c r="BA327" s="93"/>
      <c r="BB327" s="93"/>
      <c r="BL327" s="93"/>
      <c r="BM327" s="93"/>
      <c r="BT327" s="93"/>
      <c r="BU327" s="93"/>
      <c r="BV327" s="93"/>
      <c r="BW327" s="93"/>
      <c r="BX327" s="93"/>
      <c r="BY327" s="93"/>
      <c r="BZ327" s="93"/>
      <c r="CA327" s="93"/>
      <c r="CB327" s="93"/>
      <c r="CC327" s="93"/>
      <c r="CF327" s="93"/>
      <c r="CG327" s="93"/>
      <c r="CH327" s="93"/>
      <c r="CI327" s="93"/>
      <c r="CJ327" s="93"/>
      <c r="CK327" s="93"/>
      <c r="CL327" s="93"/>
      <c r="CM327" s="93"/>
      <c r="CN327" s="93"/>
      <c r="CO327" s="93"/>
      <c r="CP327" s="93"/>
      <c r="CQ327" s="93"/>
      <c r="CR327" s="93"/>
      <c r="CS327" s="93"/>
      <c r="CT327" s="93"/>
      <c r="CU327" s="93"/>
      <c r="CV327" s="93"/>
      <c r="CW327" s="93"/>
      <c r="CX327" s="93"/>
      <c r="CY327" s="93"/>
      <c r="CZ327" s="93"/>
      <c r="DA327" s="93"/>
      <c r="DB327" s="93"/>
      <c r="DC327" s="93"/>
      <c r="DD327" s="93"/>
      <c r="DE327" s="93"/>
      <c r="DF327" s="93"/>
      <c r="DG327" s="93"/>
      <c r="DH327" s="93"/>
      <c r="DI327" s="93"/>
      <c r="DJ327" s="93"/>
      <c r="DK327" s="93"/>
      <c r="DL327" s="93"/>
      <c r="DM327" s="93"/>
      <c r="DN327" s="93"/>
      <c r="DO327" s="93"/>
    </row>
    <row r="328" spans="1:119" ht="15">
      <c r="A328" s="1076"/>
      <c r="B328" s="6"/>
      <c r="C328" s="164"/>
      <c r="D328" s="1065"/>
      <c r="E328" s="807"/>
      <c r="F328" s="807"/>
      <c r="G328" s="827"/>
      <c r="H328" s="809" t="s">
        <v>8645</v>
      </c>
      <c r="I328" s="92">
        <v>17</v>
      </c>
      <c r="J328" s="92" t="s">
        <v>18</v>
      </c>
      <c r="K328" s="92" t="s">
        <v>768</v>
      </c>
      <c r="L328" s="810">
        <v>4</v>
      </c>
      <c r="M328" s="811" t="str">
        <f t="shared" si="23"/>
        <v>High School Level</v>
      </c>
      <c r="O328" s="92"/>
      <c r="P328" s="1638"/>
      <c r="Q328" s="92"/>
      <c r="R328" s="92"/>
      <c r="V328" s="828"/>
      <c r="X328" s="811" t="str">
        <f t="shared" si="27"/>
        <v/>
      </c>
      <c r="AB328" s="828"/>
      <c r="AC328" s="809"/>
      <c r="AD328" s="824"/>
      <c r="AG328" s="807" t="str">
        <f t="shared" si="25"/>
        <v/>
      </c>
      <c r="AH328" s="809"/>
      <c r="AI328" s="809"/>
      <c r="AJ328" s="809"/>
      <c r="AK328" s="92"/>
      <c r="AM328" s="819"/>
      <c r="AN328" s="820"/>
      <c r="AQ328" s="93"/>
      <c r="AR328" s="93"/>
      <c r="AS328" s="93"/>
      <c r="AT328" s="93"/>
      <c r="AU328" s="93"/>
      <c r="AV328" s="93"/>
      <c r="AW328" s="93"/>
      <c r="AX328" s="93"/>
      <c r="AY328" s="93"/>
      <c r="AZ328" s="93"/>
      <c r="BA328" s="93"/>
      <c r="BB328" s="93"/>
      <c r="BL328" s="93"/>
      <c r="BM328" s="93"/>
      <c r="BT328" s="93"/>
      <c r="BU328" s="93"/>
      <c r="BV328" s="93"/>
      <c r="BW328" s="93"/>
      <c r="BX328" s="93"/>
      <c r="BY328" s="93"/>
      <c r="BZ328" s="93"/>
      <c r="CA328" s="93"/>
      <c r="CB328" s="93"/>
      <c r="CC328" s="93"/>
      <c r="CF328" s="93"/>
      <c r="CG328" s="93"/>
      <c r="CH328" s="93"/>
      <c r="CI328" s="93"/>
      <c r="CJ328" s="93"/>
      <c r="CK328" s="93"/>
      <c r="CL328" s="93"/>
      <c r="CM328" s="93"/>
      <c r="CN328" s="93"/>
      <c r="CO328" s="93"/>
      <c r="CP328" s="93"/>
      <c r="CQ328" s="93"/>
      <c r="CR328" s="93"/>
      <c r="CS328" s="93"/>
      <c r="CT328" s="93"/>
      <c r="CU328" s="93"/>
      <c r="CV328" s="93"/>
      <c r="CW328" s="93"/>
      <c r="CX328" s="93"/>
      <c r="CY328" s="93"/>
      <c r="CZ328" s="93"/>
      <c r="DA328" s="93"/>
      <c r="DB328" s="93"/>
      <c r="DC328" s="93"/>
      <c r="DD328" s="93"/>
      <c r="DE328" s="93"/>
      <c r="DF328" s="93"/>
      <c r="DG328" s="93"/>
      <c r="DH328" s="93"/>
      <c r="DI328" s="93"/>
      <c r="DJ328" s="93"/>
      <c r="DK328" s="93"/>
      <c r="DL328" s="93"/>
      <c r="DM328" s="93"/>
      <c r="DN328" s="93"/>
      <c r="DO328" s="93"/>
    </row>
    <row r="329" spans="1:119" ht="15">
      <c r="A329" s="1076"/>
      <c r="B329" s="6"/>
      <c r="C329" s="164"/>
      <c r="D329" s="1065"/>
      <c r="E329" s="807"/>
      <c r="F329" s="807"/>
      <c r="G329" s="827"/>
      <c r="H329" s="809" t="s">
        <v>8646</v>
      </c>
      <c r="I329" s="92">
        <v>36</v>
      </c>
      <c r="J329" s="92" t="s">
        <v>18</v>
      </c>
      <c r="K329" s="92" t="s">
        <v>768</v>
      </c>
      <c r="L329" s="810">
        <v>5</v>
      </c>
      <c r="M329" s="811" t="str">
        <f t="shared" si="23"/>
        <v>High School Graduate</v>
      </c>
      <c r="O329" s="92"/>
      <c r="P329" s="1638"/>
      <c r="Q329" s="92"/>
      <c r="R329" s="92"/>
      <c r="V329" s="828"/>
      <c r="X329" s="811" t="str">
        <f t="shared" si="27"/>
        <v/>
      </c>
      <c r="AB329" s="828"/>
      <c r="AC329" s="809"/>
      <c r="AD329" s="824"/>
      <c r="AG329" s="807" t="str">
        <f t="shared" si="25"/>
        <v/>
      </c>
      <c r="AH329" s="809"/>
      <c r="AI329" s="809"/>
      <c r="AJ329" s="809"/>
      <c r="AK329" s="92"/>
      <c r="AM329" s="819"/>
      <c r="AN329" s="820"/>
      <c r="AQ329" s="93"/>
      <c r="AR329" s="93"/>
      <c r="AS329" s="93"/>
      <c r="AT329" s="93"/>
      <c r="AU329" s="93"/>
      <c r="AV329" s="93"/>
      <c r="AW329" s="93"/>
      <c r="AX329" s="93"/>
      <c r="AY329" s="93"/>
      <c r="AZ329" s="93"/>
      <c r="BA329" s="93"/>
      <c r="BB329" s="93"/>
      <c r="BL329" s="93"/>
      <c r="BM329" s="93"/>
      <c r="BT329" s="93"/>
      <c r="BU329" s="93"/>
      <c r="BV329" s="93"/>
      <c r="BW329" s="93"/>
      <c r="BX329" s="93"/>
      <c r="BY329" s="93"/>
      <c r="BZ329" s="93"/>
      <c r="CA329" s="93"/>
      <c r="CB329" s="93"/>
      <c r="CC329" s="93"/>
      <c r="CF329" s="93"/>
      <c r="CG329" s="93"/>
      <c r="CH329" s="93"/>
      <c r="CI329" s="93"/>
      <c r="CJ329" s="93"/>
      <c r="CK329" s="93"/>
      <c r="CL329" s="93"/>
      <c r="CM329" s="93"/>
      <c r="CN329" s="93"/>
      <c r="CO329" s="93"/>
      <c r="CP329" s="93"/>
      <c r="CQ329" s="93"/>
      <c r="CR329" s="93"/>
      <c r="CS329" s="93"/>
      <c r="CT329" s="93"/>
      <c r="CU329" s="93"/>
      <c r="CV329" s="93"/>
      <c r="CW329" s="93"/>
      <c r="CX329" s="93"/>
      <c r="CY329" s="93"/>
      <c r="CZ329" s="93"/>
      <c r="DA329" s="93"/>
      <c r="DB329" s="93"/>
      <c r="DC329" s="93"/>
      <c r="DD329" s="93"/>
      <c r="DE329" s="93"/>
      <c r="DF329" s="93"/>
      <c r="DG329" s="93"/>
      <c r="DH329" s="93"/>
      <c r="DI329" s="93"/>
      <c r="DJ329" s="93"/>
      <c r="DK329" s="93"/>
      <c r="DL329" s="93"/>
      <c r="DM329" s="93"/>
      <c r="DN329" s="93"/>
      <c r="DO329" s="93"/>
    </row>
    <row r="330" spans="1:119" ht="15">
      <c r="A330" s="1076"/>
      <c r="B330" s="6"/>
      <c r="C330" s="164"/>
      <c r="D330" s="1065"/>
      <c r="E330" s="807"/>
      <c r="F330" s="807"/>
      <c r="G330" s="827"/>
      <c r="H330" s="809" t="s">
        <v>8647</v>
      </c>
      <c r="I330" s="92">
        <v>1</v>
      </c>
      <c r="J330" s="92" t="s">
        <v>18</v>
      </c>
      <c r="K330" s="92" t="s">
        <v>768</v>
      </c>
      <c r="L330" s="810">
        <v>10</v>
      </c>
      <c r="M330" s="811" t="str">
        <f t="shared" si="23"/>
        <v>Not In School Age</v>
      </c>
      <c r="O330" s="92"/>
      <c r="P330" s="1638"/>
      <c r="Q330" s="92"/>
      <c r="R330" s="92"/>
      <c r="V330" s="828">
        <f>SUM(S324:U330)</f>
        <v>18000</v>
      </c>
      <c r="X330" s="811" t="str">
        <f t="shared" si="27"/>
        <v/>
      </c>
      <c r="AB330" s="828">
        <f>SUM(Y324:AA330)</f>
        <v>6000</v>
      </c>
      <c r="AC330" s="809"/>
      <c r="AD330" s="824"/>
      <c r="AG330" s="807" t="str">
        <f t="shared" si="25"/>
        <v/>
      </c>
      <c r="AH330" s="809"/>
      <c r="AI330" s="809"/>
      <c r="AJ330" s="809"/>
      <c r="AK330" s="92"/>
      <c r="AM330" s="819"/>
      <c r="AN330" s="820"/>
      <c r="AQ330" s="93"/>
      <c r="AR330" s="93"/>
      <c r="AS330" s="93"/>
      <c r="AT330" s="93"/>
      <c r="AU330" s="93"/>
      <c r="AV330" s="93"/>
      <c r="AW330" s="93"/>
      <c r="AX330" s="93"/>
      <c r="AY330" s="93"/>
      <c r="AZ330" s="93"/>
      <c r="BA330" s="93"/>
      <c r="BB330" s="93"/>
      <c r="BL330" s="93"/>
      <c r="BM330" s="93"/>
      <c r="BT330" s="93"/>
      <c r="BU330" s="93"/>
      <c r="BV330" s="93"/>
      <c r="BW330" s="93"/>
      <c r="BX330" s="93"/>
      <c r="BY330" s="93"/>
      <c r="BZ330" s="93"/>
      <c r="CA330" s="93"/>
      <c r="CB330" s="93"/>
      <c r="CC330" s="93"/>
      <c r="CF330" s="93"/>
      <c r="CG330" s="93"/>
      <c r="CH330" s="93"/>
      <c r="CI330" s="93"/>
      <c r="CJ330" s="93"/>
      <c r="CK330" s="93"/>
      <c r="CL330" s="93"/>
      <c r="CM330" s="93"/>
      <c r="CN330" s="93"/>
      <c r="CO330" s="93"/>
      <c r="CP330" s="93"/>
      <c r="CQ330" s="93"/>
      <c r="CR330" s="93"/>
      <c r="CS330" s="93"/>
      <c r="CT330" s="93"/>
      <c r="CU330" s="93"/>
      <c r="CV330" s="93"/>
      <c r="CW330" s="93"/>
      <c r="CX330" s="93"/>
      <c r="CY330" s="93"/>
      <c r="CZ330" s="93"/>
      <c r="DA330" s="93"/>
      <c r="DB330" s="93"/>
      <c r="DC330" s="93"/>
      <c r="DD330" s="93"/>
      <c r="DE330" s="93"/>
      <c r="DF330" s="93"/>
      <c r="DG330" s="93"/>
      <c r="DH330" s="93"/>
      <c r="DI330" s="93"/>
      <c r="DJ330" s="93"/>
      <c r="DK330" s="93"/>
      <c r="DL330" s="93"/>
      <c r="DM330" s="93"/>
      <c r="DN330" s="93"/>
      <c r="DO330" s="93"/>
    </row>
    <row r="331" spans="1:119" ht="15">
      <c r="A331" s="1076"/>
      <c r="B331" s="6"/>
      <c r="C331" s="164"/>
      <c r="D331" s="1065" t="s">
        <v>8648</v>
      </c>
      <c r="E331" s="807"/>
      <c r="F331" s="807"/>
      <c r="G331" s="809" t="s">
        <v>8648</v>
      </c>
      <c r="H331" s="809" t="s">
        <v>2065</v>
      </c>
      <c r="I331" s="92">
        <v>54</v>
      </c>
      <c r="J331" s="92" t="s">
        <v>10</v>
      </c>
      <c r="K331" s="92" t="s">
        <v>707</v>
      </c>
      <c r="L331" s="810">
        <v>2</v>
      </c>
      <c r="M331" s="811" t="str">
        <f t="shared" ref="M331:M394" si="28">IF(ISBLANK(L331)=TRUE,"",LOOKUP(L331,GQ:GR))</f>
        <v>Elementary Level</v>
      </c>
      <c r="N331" s="92" t="s">
        <v>1208</v>
      </c>
      <c r="O331" s="92" t="s">
        <v>8649</v>
      </c>
      <c r="P331" s="1638"/>
      <c r="Q331" s="92" t="s">
        <v>8649</v>
      </c>
      <c r="R331" s="92" t="s">
        <v>8234</v>
      </c>
      <c r="S331" s="813">
        <v>12000</v>
      </c>
      <c r="V331" s="830"/>
      <c r="W331" s="815">
        <v>1</v>
      </c>
      <c r="X331" s="811" t="str">
        <f t="shared" si="27"/>
        <v>within the Brgy</v>
      </c>
      <c r="AB331" s="830"/>
      <c r="AC331" s="809"/>
      <c r="AD331" s="824"/>
      <c r="AG331" s="807" t="str">
        <f t="shared" si="25"/>
        <v/>
      </c>
      <c r="AH331" s="809"/>
      <c r="AI331" s="809"/>
      <c r="AJ331" s="809"/>
      <c r="AK331" s="92"/>
      <c r="AM331" s="819"/>
      <c r="AN331" s="820"/>
      <c r="AQ331" s="93"/>
      <c r="AR331" s="93"/>
      <c r="AS331" s="93"/>
      <c r="AT331" s="93"/>
      <c r="AU331" s="93"/>
      <c r="AV331" s="93"/>
      <c r="AW331" s="93"/>
      <c r="AX331" s="93"/>
      <c r="AY331" s="93"/>
      <c r="AZ331" s="93"/>
      <c r="BA331" s="93"/>
      <c r="BB331" s="93"/>
      <c r="BL331" s="93"/>
      <c r="BM331" s="93"/>
      <c r="BT331" s="93"/>
      <c r="BU331" s="93"/>
      <c r="BV331" s="93"/>
      <c r="BW331" s="93"/>
      <c r="BX331" s="93"/>
      <c r="BY331" s="93"/>
      <c r="BZ331" s="93"/>
      <c r="CA331" s="93"/>
      <c r="CB331" s="93"/>
      <c r="CC331" s="93"/>
      <c r="CF331" s="93"/>
      <c r="CG331" s="93"/>
      <c r="CH331" s="93"/>
      <c r="CI331" s="93"/>
      <c r="CJ331" s="93"/>
      <c r="CK331" s="93"/>
      <c r="CL331" s="93"/>
      <c r="CM331" s="93"/>
      <c r="CN331" s="93"/>
      <c r="CO331" s="93"/>
      <c r="CP331" s="93"/>
      <c r="CQ331" s="93"/>
      <c r="CR331" s="93"/>
      <c r="CS331" s="93"/>
      <c r="CT331" s="93"/>
      <c r="CU331" s="93"/>
      <c r="CV331" s="93"/>
      <c r="CW331" s="93"/>
      <c r="CX331" s="93"/>
      <c r="CY331" s="93"/>
      <c r="CZ331" s="93"/>
      <c r="DA331" s="93"/>
      <c r="DB331" s="93"/>
      <c r="DC331" s="93"/>
      <c r="DD331" s="93"/>
      <c r="DE331" s="93"/>
      <c r="DF331" s="93"/>
      <c r="DG331" s="93"/>
      <c r="DH331" s="93"/>
      <c r="DI331" s="93"/>
      <c r="DJ331" s="93"/>
      <c r="DK331" s="93"/>
      <c r="DL331" s="93"/>
      <c r="DM331" s="93"/>
      <c r="DN331" s="93"/>
      <c r="DO331" s="93"/>
    </row>
    <row r="332" spans="1:119" ht="15">
      <c r="A332" s="1076"/>
      <c r="B332" s="6"/>
      <c r="C332" s="164"/>
      <c r="D332" s="1065"/>
      <c r="E332" s="807"/>
      <c r="F332" s="807"/>
      <c r="G332" s="827"/>
      <c r="H332" s="809" t="s">
        <v>2162</v>
      </c>
      <c r="I332" s="92">
        <v>50</v>
      </c>
      <c r="J332" s="92" t="s">
        <v>18</v>
      </c>
      <c r="K332" s="92" t="s">
        <v>707</v>
      </c>
      <c r="L332" s="810">
        <v>4</v>
      </c>
      <c r="M332" s="811" t="str">
        <f t="shared" si="28"/>
        <v>High School Level</v>
      </c>
      <c r="O332" s="92"/>
      <c r="P332" s="1638"/>
      <c r="Q332" s="92"/>
      <c r="R332" s="92"/>
      <c r="V332" s="830"/>
      <c r="X332" s="811" t="str">
        <f t="shared" si="27"/>
        <v/>
      </c>
      <c r="AB332" s="830"/>
      <c r="AC332" s="809"/>
      <c r="AD332" s="824"/>
      <c r="AG332" s="807" t="str">
        <f t="shared" si="25"/>
        <v/>
      </c>
      <c r="AH332" s="809"/>
      <c r="AI332" s="809"/>
      <c r="AJ332" s="809"/>
      <c r="AK332" s="92"/>
      <c r="AM332" s="819"/>
      <c r="AN332" s="820"/>
      <c r="AQ332" s="93"/>
      <c r="AR332" s="93"/>
      <c r="AS332" s="93"/>
      <c r="AT332" s="93"/>
      <c r="AU332" s="93"/>
      <c r="AV332" s="93"/>
      <c r="AW332" s="93"/>
      <c r="AX332" s="93"/>
      <c r="AY332" s="93"/>
      <c r="AZ332" s="93"/>
      <c r="BA332" s="93"/>
      <c r="BB332" s="93"/>
      <c r="BL332" s="93"/>
      <c r="BM332" s="93"/>
      <c r="BT332" s="93"/>
      <c r="BU332" s="93"/>
      <c r="BV332" s="93"/>
      <c r="BW332" s="93"/>
      <c r="BX332" s="93"/>
      <c r="BY332" s="93"/>
      <c r="BZ332" s="93"/>
      <c r="CA332" s="93"/>
      <c r="CB332" s="93"/>
      <c r="CC332" s="93"/>
      <c r="CF332" s="93"/>
      <c r="CG332" s="93"/>
      <c r="CH332" s="93"/>
      <c r="CI332" s="93"/>
      <c r="CJ332" s="93"/>
      <c r="CK332" s="93"/>
      <c r="CL332" s="93"/>
      <c r="CM332" s="93"/>
      <c r="CN332" s="93"/>
      <c r="CO332" s="93"/>
      <c r="CP332" s="93"/>
      <c r="CQ332" s="93"/>
      <c r="CR332" s="93"/>
      <c r="CS332" s="93"/>
      <c r="CT332" s="93"/>
      <c r="CU332" s="93"/>
      <c r="CV332" s="93"/>
      <c r="CW332" s="93"/>
      <c r="CX332" s="93"/>
      <c r="CY332" s="93"/>
      <c r="CZ332" s="93"/>
      <c r="DA332" s="93"/>
      <c r="DB332" s="93"/>
      <c r="DC332" s="93"/>
      <c r="DD332" s="93"/>
      <c r="DE332" s="93"/>
      <c r="DF332" s="93"/>
      <c r="DG332" s="93"/>
      <c r="DH332" s="93"/>
      <c r="DI332" s="93"/>
      <c r="DJ332" s="93"/>
      <c r="DK332" s="93"/>
      <c r="DL332" s="93"/>
      <c r="DM332" s="93"/>
      <c r="DN332" s="93"/>
      <c r="DO332" s="93"/>
    </row>
    <row r="333" spans="1:119" ht="15">
      <c r="A333" s="1076"/>
      <c r="B333" s="6"/>
      <c r="C333" s="164"/>
      <c r="D333" s="1065"/>
      <c r="E333" s="807"/>
      <c r="F333" s="807"/>
      <c r="G333" s="827"/>
      <c r="H333" s="809" t="s">
        <v>8650</v>
      </c>
      <c r="I333" s="92">
        <v>31</v>
      </c>
      <c r="J333" s="92" t="s">
        <v>18</v>
      </c>
      <c r="K333" s="92" t="s">
        <v>779</v>
      </c>
      <c r="L333" s="810">
        <v>5</v>
      </c>
      <c r="M333" s="811" t="str">
        <f t="shared" si="28"/>
        <v>High School Graduate</v>
      </c>
      <c r="N333" s="92" t="s">
        <v>1208</v>
      </c>
      <c r="O333" s="92" t="s">
        <v>8651</v>
      </c>
      <c r="P333" s="1638"/>
      <c r="Q333" s="92" t="s">
        <v>8651</v>
      </c>
      <c r="R333" s="92"/>
      <c r="S333" s="813">
        <v>4000</v>
      </c>
      <c r="V333" s="830"/>
      <c r="W333" s="815">
        <v>4</v>
      </c>
      <c r="X333" s="811" t="str">
        <f t="shared" si="27"/>
        <v>Other Province</v>
      </c>
      <c r="AB333" s="830"/>
      <c r="AC333" s="809"/>
      <c r="AD333" s="824"/>
      <c r="AG333" s="807" t="str">
        <f t="shared" si="25"/>
        <v/>
      </c>
      <c r="AH333" s="809"/>
      <c r="AI333" s="809"/>
      <c r="AJ333" s="809"/>
      <c r="AK333" s="92"/>
      <c r="AM333" s="819"/>
      <c r="AN333" s="820"/>
      <c r="AQ333" s="93"/>
      <c r="AR333" s="93"/>
      <c r="AS333" s="93"/>
      <c r="AT333" s="93"/>
      <c r="AU333" s="93"/>
      <c r="AV333" s="93"/>
      <c r="AW333" s="93"/>
      <c r="AX333" s="93"/>
      <c r="AY333" s="93"/>
      <c r="AZ333" s="93"/>
      <c r="BA333" s="93"/>
      <c r="BB333" s="93"/>
      <c r="BL333" s="93"/>
      <c r="BM333" s="93"/>
      <c r="BT333" s="93"/>
      <c r="BU333" s="93"/>
      <c r="BV333" s="93"/>
      <c r="BW333" s="93"/>
      <c r="BX333" s="93"/>
      <c r="BY333" s="93"/>
      <c r="BZ333" s="93"/>
      <c r="CA333" s="93"/>
      <c r="CB333" s="93"/>
      <c r="CC333" s="93"/>
      <c r="CF333" s="93"/>
      <c r="CG333" s="93"/>
      <c r="CH333" s="93"/>
      <c r="CI333" s="93"/>
      <c r="CJ333" s="93"/>
      <c r="CK333" s="93"/>
      <c r="CL333" s="93"/>
      <c r="CM333" s="93"/>
      <c r="CN333" s="93"/>
      <c r="CO333" s="93"/>
      <c r="CP333" s="93"/>
      <c r="CQ333" s="93"/>
      <c r="CR333" s="93"/>
      <c r="CS333" s="93"/>
      <c r="CT333" s="93"/>
      <c r="CU333" s="93"/>
      <c r="CV333" s="93"/>
      <c r="CW333" s="93"/>
      <c r="CX333" s="93"/>
      <c r="CY333" s="93"/>
      <c r="CZ333" s="93"/>
      <c r="DA333" s="93"/>
      <c r="DB333" s="93"/>
      <c r="DC333" s="93"/>
      <c r="DD333" s="93"/>
      <c r="DE333" s="93"/>
      <c r="DF333" s="93"/>
      <c r="DG333" s="93"/>
      <c r="DH333" s="93"/>
      <c r="DI333" s="93"/>
      <c r="DJ333" s="93"/>
      <c r="DK333" s="93"/>
      <c r="DL333" s="93"/>
      <c r="DM333" s="93"/>
      <c r="DN333" s="93"/>
      <c r="DO333" s="93"/>
    </row>
    <row r="334" spans="1:119" ht="15">
      <c r="A334" s="1076"/>
      <c r="B334" s="6"/>
      <c r="C334" s="164"/>
      <c r="D334" s="1065"/>
      <c r="E334" s="807"/>
      <c r="F334" s="807"/>
      <c r="G334" s="827"/>
      <c r="H334" s="809" t="s">
        <v>8652</v>
      </c>
      <c r="I334" s="92">
        <v>27</v>
      </c>
      <c r="J334" s="92" t="s">
        <v>10</v>
      </c>
      <c r="K334" s="92" t="s">
        <v>768</v>
      </c>
      <c r="L334" s="810">
        <v>5</v>
      </c>
      <c r="M334" s="811" t="str">
        <f t="shared" si="28"/>
        <v>High School Graduate</v>
      </c>
      <c r="O334" s="92"/>
      <c r="P334" s="1638"/>
      <c r="Q334" s="92"/>
      <c r="R334" s="92"/>
      <c r="V334" s="830"/>
      <c r="X334" s="811" t="str">
        <f t="shared" si="27"/>
        <v/>
      </c>
      <c r="AB334" s="830"/>
      <c r="AC334" s="809"/>
      <c r="AD334" s="824"/>
      <c r="AG334" s="807" t="str">
        <f t="shared" si="25"/>
        <v/>
      </c>
      <c r="AH334" s="809"/>
      <c r="AI334" s="809"/>
      <c r="AJ334" s="809"/>
      <c r="AK334" s="92"/>
      <c r="AM334" s="819"/>
      <c r="AN334" s="820"/>
      <c r="AQ334" s="93"/>
      <c r="AR334" s="93"/>
      <c r="AS334" s="93"/>
      <c r="AT334" s="93"/>
      <c r="AU334" s="93"/>
      <c r="AV334" s="93"/>
      <c r="AW334" s="93"/>
      <c r="AX334" s="93"/>
      <c r="AY334" s="93"/>
      <c r="AZ334" s="93"/>
      <c r="BA334" s="93"/>
      <c r="BB334" s="93"/>
      <c r="BL334" s="93"/>
      <c r="BM334" s="93"/>
      <c r="BT334" s="93"/>
      <c r="BU334" s="93"/>
      <c r="BV334" s="93"/>
      <c r="BW334" s="93"/>
      <c r="BX334" s="93"/>
      <c r="BY334" s="93"/>
      <c r="BZ334" s="93"/>
      <c r="CA334" s="93"/>
      <c r="CB334" s="93"/>
      <c r="CC334" s="93"/>
      <c r="CF334" s="93"/>
      <c r="CG334" s="93"/>
      <c r="CH334" s="93"/>
      <c r="CI334" s="93"/>
      <c r="CJ334" s="93"/>
      <c r="CK334" s="93"/>
      <c r="CL334" s="93"/>
      <c r="CM334" s="93"/>
      <c r="CN334" s="93"/>
      <c r="CO334" s="93"/>
      <c r="CP334" s="93"/>
      <c r="CQ334" s="93"/>
      <c r="CR334" s="93"/>
      <c r="CS334" s="93"/>
      <c r="CT334" s="93"/>
      <c r="CU334" s="93"/>
      <c r="CV334" s="93"/>
      <c r="CW334" s="93"/>
      <c r="CX334" s="93"/>
      <c r="CY334" s="93"/>
      <c r="CZ334" s="93"/>
      <c r="DA334" s="93"/>
      <c r="DB334" s="93"/>
      <c r="DC334" s="93"/>
      <c r="DD334" s="93"/>
      <c r="DE334" s="93"/>
      <c r="DF334" s="93"/>
      <c r="DG334" s="93"/>
      <c r="DH334" s="93"/>
      <c r="DI334" s="93"/>
      <c r="DJ334" s="93"/>
      <c r="DK334" s="93"/>
      <c r="DL334" s="93"/>
      <c r="DM334" s="93"/>
      <c r="DN334" s="93"/>
      <c r="DO334" s="93"/>
    </row>
    <row r="335" spans="1:119" ht="15">
      <c r="A335" s="1076"/>
      <c r="B335" s="6"/>
      <c r="C335" s="164"/>
      <c r="D335" s="1065"/>
      <c r="E335" s="807"/>
      <c r="F335" s="807"/>
      <c r="G335" s="827"/>
      <c r="H335" s="809" t="s">
        <v>8653</v>
      </c>
      <c r="I335" s="92">
        <v>25</v>
      </c>
      <c r="J335" s="92" t="s">
        <v>18</v>
      </c>
      <c r="K335" s="92" t="s">
        <v>779</v>
      </c>
      <c r="L335" s="810">
        <v>5</v>
      </c>
      <c r="M335" s="811" t="str">
        <f t="shared" si="28"/>
        <v>High School Graduate</v>
      </c>
      <c r="O335" s="92"/>
      <c r="P335" s="1638"/>
      <c r="Q335" s="92"/>
      <c r="R335" s="92"/>
      <c r="V335" s="830"/>
      <c r="X335" s="811" t="str">
        <f t="shared" si="27"/>
        <v/>
      </c>
      <c r="AB335" s="830"/>
      <c r="AC335" s="809"/>
      <c r="AD335" s="824"/>
      <c r="AG335" s="807" t="str">
        <f t="shared" si="25"/>
        <v/>
      </c>
      <c r="AH335" s="809"/>
      <c r="AI335" s="809"/>
      <c r="AJ335" s="809"/>
      <c r="AK335" s="92"/>
      <c r="AM335" s="819"/>
      <c r="AN335" s="820"/>
      <c r="AQ335" s="93"/>
      <c r="AR335" s="93"/>
      <c r="AS335" s="93"/>
      <c r="AT335" s="93"/>
      <c r="AU335" s="93"/>
      <c r="AV335" s="93"/>
      <c r="AW335" s="93"/>
      <c r="AX335" s="93"/>
      <c r="AY335" s="93"/>
      <c r="AZ335" s="93"/>
      <c r="BA335" s="93"/>
      <c r="BB335" s="93"/>
      <c r="BL335" s="93"/>
      <c r="BM335" s="93"/>
      <c r="BT335" s="93"/>
      <c r="BU335" s="93"/>
      <c r="BV335" s="93"/>
      <c r="BW335" s="93"/>
      <c r="BX335" s="93"/>
      <c r="BY335" s="93"/>
      <c r="BZ335" s="93"/>
      <c r="CA335" s="93"/>
      <c r="CB335" s="93"/>
      <c r="CC335" s="93"/>
      <c r="CF335" s="93"/>
      <c r="CG335" s="93"/>
      <c r="CH335" s="93"/>
      <c r="CI335" s="93"/>
      <c r="CJ335" s="93"/>
      <c r="CK335" s="93"/>
      <c r="CL335" s="93"/>
      <c r="CM335" s="93"/>
      <c r="CN335" s="93"/>
      <c r="CO335" s="93"/>
      <c r="CP335" s="93"/>
      <c r="CQ335" s="93"/>
      <c r="CR335" s="93"/>
      <c r="CS335" s="93"/>
      <c r="CT335" s="93"/>
      <c r="CU335" s="93"/>
      <c r="CV335" s="93"/>
      <c r="CW335" s="93"/>
      <c r="CX335" s="93"/>
      <c r="CY335" s="93"/>
      <c r="CZ335" s="93"/>
      <c r="DA335" s="93"/>
      <c r="DB335" s="93"/>
      <c r="DC335" s="93"/>
      <c r="DD335" s="93"/>
      <c r="DE335" s="93"/>
      <c r="DF335" s="93"/>
      <c r="DG335" s="93"/>
      <c r="DH335" s="93"/>
      <c r="DI335" s="93"/>
      <c r="DJ335" s="93"/>
      <c r="DK335" s="93"/>
      <c r="DL335" s="93"/>
      <c r="DM335" s="93"/>
      <c r="DN335" s="93"/>
      <c r="DO335" s="93"/>
    </row>
    <row r="336" spans="1:119" ht="15">
      <c r="A336" s="1076"/>
      <c r="B336" s="6"/>
      <c r="C336" s="164"/>
      <c r="D336" s="1065"/>
      <c r="E336" s="807"/>
      <c r="F336" s="807"/>
      <c r="G336" s="827"/>
      <c r="H336" s="809" t="s">
        <v>8654</v>
      </c>
      <c r="I336" s="92">
        <v>23</v>
      </c>
      <c r="J336" s="92" t="s">
        <v>10</v>
      </c>
      <c r="K336" s="92" t="s">
        <v>768</v>
      </c>
      <c r="L336" s="810">
        <v>5</v>
      </c>
      <c r="M336" s="811" t="str">
        <f t="shared" si="28"/>
        <v>High School Graduate</v>
      </c>
      <c r="N336" s="92" t="s">
        <v>1208</v>
      </c>
      <c r="O336" s="92" t="s">
        <v>2225</v>
      </c>
      <c r="P336" s="1638"/>
      <c r="Q336" s="92" t="s">
        <v>2225</v>
      </c>
      <c r="R336" s="92"/>
      <c r="S336" s="813">
        <v>9000</v>
      </c>
      <c r="V336" s="830"/>
      <c r="W336" s="815">
        <v>3</v>
      </c>
      <c r="X336" s="811" t="str">
        <f t="shared" si="27"/>
        <v>within the Province</v>
      </c>
      <c r="Y336" s="816">
        <v>200</v>
      </c>
      <c r="AB336" s="830"/>
      <c r="AC336" s="809"/>
      <c r="AD336" s="824"/>
      <c r="AG336" s="807" t="str">
        <f t="shared" si="25"/>
        <v/>
      </c>
      <c r="AH336" s="809"/>
      <c r="AI336" s="809"/>
      <c r="AJ336" s="809"/>
      <c r="AK336" s="92"/>
      <c r="AM336" s="819"/>
      <c r="AN336" s="820"/>
      <c r="AQ336" s="93"/>
      <c r="AR336" s="93"/>
      <c r="AS336" s="93"/>
      <c r="AT336" s="93"/>
      <c r="AU336" s="93"/>
      <c r="AV336" s="93"/>
      <c r="AW336" s="93"/>
      <c r="AX336" s="93"/>
      <c r="AY336" s="93"/>
      <c r="AZ336" s="93"/>
      <c r="BA336" s="93"/>
      <c r="BB336" s="93"/>
      <c r="BL336" s="93"/>
      <c r="BM336" s="93"/>
      <c r="BT336" s="93"/>
      <c r="BU336" s="93"/>
      <c r="BV336" s="93"/>
      <c r="BW336" s="93"/>
      <c r="BX336" s="93"/>
      <c r="BY336" s="93"/>
      <c r="BZ336" s="93"/>
      <c r="CA336" s="93"/>
      <c r="CB336" s="93"/>
      <c r="CC336" s="93"/>
      <c r="CF336" s="93"/>
      <c r="CG336" s="93"/>
      <c r="CH336" s="93"/>
      <c r="CI336" s="93"/>
      <c r="CJ336" s="93"/>
      <c r="CK336" s="93"/>
      <c r="CL336" s="93"/>
      <c r="CM336" s="93"/>
      <c r="CN336" s="93"/>
      <c r="CO336" s="93"/>
      <c r="CP336" s="93"/>
      <c r="CQ336" s="93"/>
      <c r="CR336" s="93"/>
      <c r="CS336" s="93"/>
      <c r="CT336" s="93"/>
      <c r="CU336" s="93"/>
      <c r="CV336" s="93"/>
      <c r="CW336" s="93"/>
      <c r="CX336" s="93"/>
      <c r="CY336" s="93"/>
      <c r="CZ336" s="93"/>
      <c r="DA336" s="93"/>
      <c r="DB336" s="93"/>
      <c r="DC336" s="93"/>
      <c r="DD336" s="93"/>
      <c r="DE336" s="93"/>
      <c r="DF336" s="93"/>
      <c r="DG336" s="93"/>
      <c r="DH336" s="93"/>
      <c r="DI336" s="93"/>
      <c r="DJ336" s="93"/>
      <c r="DK336" s="93"/>
      <c r="DL336" s="93"/>
      <c r="DM336" s="93"/>
      <c r="DN336" s="93"/>
      <c r="DO336" s="93"/>
    </row>
    <row r="337" spans="1:198" ht="15">
      <c r="A337" s="1076"/>
      <c r="B337" s="6"/>
      <c r="C337" s="164"/>
      <c r="D337" s="1065"/>
      <c r="E337" s="807"/>
      <c r="F337" s="807"/>
      <c r="G337" s="827"/>
      <c r="H337" s="809" t="s">
        <v>8655</v>
      </c>
      <c r="I337" s="92">
        <v>20</v>
      </c>
      <c r="J337" s="92" t="s">
        <v>18</v>
      </c>
      <c r="K337" s="92" t="s">
        <v>768</v>
      </c>
      <c r="L337" s="810">
        <v>6</v>
      </c>
      <c r="M337" s="811" t="str">
        <f t="shared" si="28"/>
        <v>College Level</v>
      </c>
      <c r="N337" s="92" t="s">
        <v>1208</v>
      </c>
      <c r="O337" s="92" t="s">
        <v>8656</v>
      </c>
      <c r="P337" s="1638"/>
      <c r="Q337" s="92" t="s">
        <v>8656</v>
      </c>
      <c r="R337" s="92"/>
      <c r="S337" s="813">
        <v>9000</v>
      </c>
      <c r="V337" s="830"/>
      <c r="W337" s="815">
        <v>3</v>
      </c>
      <c r="X337" s="811" t="str">
        <f t="shared" si="27"/>
        <v>within the Province</v>
      </c>
      <c r="Y337" s="816">
        <v>5000</v>
      </c>
      <c r="AB337" s="830"/>
      <c r="AC337" s="809"/>
      <c r="AD337" s="824"/>
      <c r="AG337" s="807" t="str">
        <f t="shared" si="25"/>
        <v/>
      </c>
      <c r="AH337" s="809"/>
      <c r="AI337" s="809"/>
      <c r="AJ337" s="809"/>
      <c r="AK337" s="92"/>
      <c r="AM337" s="819"/>
      <c r="AN337" s="820"/>
      <c r="AQ337" s="93"/>
      <c r="AR337" s="93"/>
      <c r="AS337" s="93"/>
      <c r="AT337" s="93"/>
      <c r="AU337" s="93"/>
      <c r="AV337" s="93"/>
      <c r="AW337" s="93"/>
      <c r="AX337" s="93"/>
      <c r="AY337" s="93"/>
      <c r="AZ337" s="93"/>
      <c r="BA337" s="93"/>
      <c r="BB337" s="93"/>
      <c r="BL337" s="93"/>
      <c r="BM337" s="93"/>
      <c r="BT337" s="93"/>
      <c r="BU337" s="93"/>
      <c r="BV337" s="93"/>
      <c r="BW337" s="93"/>
      <c r="BX337" s="93"/>
      <c r="BY337" s="93"/>
      <c r="BZ337" s="93"/>
      <c r="CA337" s="93"/>
      <c r="CB337" s="93"/>
      <c r="CC337" s="93"/>
      <c r="CF337" s="93"/>
      <c r="CG337" s="93"/>
      <c r="CH337" s="93"/>
      <c r="CI337" s="93"/>
      <c r="CJ337" s="93"/>
      <c r="CK337" s="93"/>
      <c r="CL337" s="93"/>
      <c r="CM337" s="93"/>
      <c r="CN337" s="93"/>
      <c r="CO337" s="93"/>
      <c r="CP337" s="93"/>
      <c r="CQ337" s="93"/>
      <c r="CR337" s="93"/>
      <c r="CS337" s="93"/>
      <c r="CT337" s="93"/>
      <c r="CU337" s="93"/>
      <c r="CV337" s="93"/>
      <c r="CW337" s="93"/>
      <c r="CX337" s="93"/>
      <c r="CY337" s="93"/>
      <c r="CZ337" s="93"/>
      <c r="DA337" s="93"/>
      <c r="DB337" s="93"/>
      <c r="DC337" s="93"/>
      <c r="DD337" s="93"/>
      <c r="DE337" s="93"/>
      <c r="DF337" s="93"/>
      <c r="DG337" s="93"/>
      <c r="DH337" s="93"/>
      <c r="DI337" s="93"/>
      <c r="DJ337" s="93"/>
      <c r="DK337" s="93"/>
      <c r="DL337" s="93"/>
      <c r="DM337" s="93"/>
      <c r="DN337" s="93"/>
      <c r="DO337" s="93"/>
    </row>
    <row r="338" spans="1:198" ht="15">
      <c r="A338" s="1076"/>
      <c r="B338" s="6"/>
      <c r="C338" s="164"/>
      <c r="D338" s="1065"/>
      <c r="E338" s="807"/>
      <c r="F338" s="807"/>
      <c r="G338" s="827"/>
      <c r="H338" s="809" t="s">
        <v>8657</v>
      </c>
      <c r="I338" s="92">
        <v>19</v>
      </c>
      <c r="J338" s="92" t="s">
        <v>10</v>
      </c>
      <c r="K338" s="92" t="s">
        <v>768</v>
      </c>
      <c r="L338" s="810">
        <v>5</v>
      </c>
      <c r="M338" s="811" t="str">
        <f t="shared" si="28"/>
        <v>High School Graduate</v>
      </c>
      <c r="O338" s="92"/>
      <c r="P338" s="1638"/>
      <c r="Q338" s="92"/>
      <c r="R338" s="92"/>
      <c r="V338" s="830"/>
      <c r="X338" s="811" t="str">
        <f t="shared" si="27"/>
        <v/>
      </c>
      <c r="AB338" s="830"/>
      <c r="AC338" s="809"/>
      <c r="AD338" s="824"/>
      <c r="AG338" s="807" t="str">
        <f t="shared" si="25"/>
        <v/>
      </c>
      <c r="AH338" s="809"/>
      <c r="AI338" s="809"/>
      <c r="AJ338" s="809"/>
      <c r="AK338" s="92"/>
      <c r="AM338" s="819"/>
      <c r="AN338" s="820"/>
      <c r="AQ338" s="93"/>
      <c r="AR338" s="93"/>
      <c r="AS338" s="93"/>
      <c r="AT338" s="93"/>
      <c r="AU338" s="93"/>
      <c r="AV338" s="93"/>
      <c r="AW338" s="93"/>
      <c r="AX338" s="93"/>
      <c r="AY338" s="93"/>
      <c r="AZ338" s="93"/>
      <c r="BA338" s="93"/>
      <c r="BB338" s="93"/>
      <c r="BL338" s="93"/>
      <c r="BM338" s="93"/>
      <c r="BT338" s="93"/>
      <c r="BU338" s="93"/>
      <c r="BV338" s="93"/>
      <c r="BW338" s="93"/>
      <c r="BX338" s="93"/>
      <c r="BY338" s="93"/>
      <c r="BZ338" s="93"/>
      <c r="CA338" s="93"/>
      <c r="CB338" s="93"/>
      <c r="CC338" s="93"/>
      <c r="CF338" s="93"/>
      <c r="CG338" s="93"/>
      <c r="CH338" s="93"/>
      <c r="CI338" s="93"/>
      <c r="CJ338" s="93"/>
      <c r="CK338" s="93"/>
      <c r="CL338" s="93"/>
      <c r="CM338" s="93"/>
      <c r="CN338" s="93"/>
      <c r="CO338" s="93"/>
      <c r="CP338" s="93"/>
      <c r="CQ338" s="93"/>
      <c r="CR338" s="93"/>
      <c r="CS338" s="93"/>
      <c r="CT338" s="93"/>
      <c r="CU338" s="93"/>
      <c r="CV338" s="93"/>
      <c r="CW338" s="93"/>
      <c r="CX338" s="93"/>
      <c r="CY338" s="93"/>
      <c r="CZ338" s="93"/>
      <c r="DA338" s="93"/>
      <c r="DB338" s="93"/>
      <c r="DC338" s="93"/>
      <c r="DD338" s="93"/>
      <c r="DE338" s="93"/>
      <c r="DF338" s="93"/>
      <c r="DG338" s="93"/>
      <c r="DH338" s="93"/>
      <c r="DI338" s="93"/>
      <c r="DJ338" s="93"/>
      <c r="DK338" s="93"/>
      <c r="DL338" s="93"/>
      <c r="DM338" s="93"/>
      <c r="DN338" s="93"/>
      <c r="DO338" s="93"/>
    </row>
    <row r="339" spans="1:198" ht="15">
      <c r="A339" s="1076"/>
      <c r="B339" s="6"/>
      <c r="C339" s="164"/>
      <c r="D339" s="1065"/>
      <c r="E339" s="807"/>
      <c r="F339" s="807"/>
      <c r="G339" s="827"/>
      <c r="H339" s="809" t="s">
        <v>8658</v>
      </c>
      <c r="I339" s="92">
        <v>9</v>
      </c>
      <c r="J339" s="92" t="s">
        <v>10</v>
      </c>
      <c r="K339" s="92" t="s">
        <v>768</v>
      </c>
      <c r="L339" s="810">
        <v>2</v>
      </c>
      <c r="M339" s="811" t="str">
        <f t="shared" si="28"/>
        <v>Elementary Level</v>
      </c>
      <c r="O339" s="92"/>
      <c r="P339" s="1638"/>
      <c r="Q339" s="92"/>
      <c r="R339" s="92"/>
      <c r="V339" s="830"/>
      <c r="X339" s="811" t="str">
        <f t="shared" si="27"/>
        <v/>
      </c>
      <c r="AB339" s="830"/>
      <c r="AC339" s="809"/>
      <c r="AD339" s="824"/>
      <c r="AG339" s="807" t="str">
        <f t="shared" si="25"/>
        <v/>
      </c>
      <c r="AH339" s="809"/>
      <c r="AI339" s="809"/>
      <c r="AJ339" s="809"/>
      <c r="AK339" s="92"/>
      <c r="AM339" s="819"/>
      <c r="AN339" s="820"/>
      <c r="AQ339" s="93"/>
      <c r="AR339" s="93"/>
      <c r="AS339" s="93"/>
      <c r="AT339" s="93"/>
      <c r="AU339" s="93"/>
      <c r="AV339" s="93"/>
      <c r="AW339" s="93"/>
      <c r="AX339" s="93"/>
      <c r="AY339" s="93"/>
      <c r="AZ339" s="93"/>
      <c r="BA339" s="93"/>
      <c r="BB339" s="93"/>
      <c r="BL339" s="93"/>
      <c r="BM339" s="93"/>
      <c r="BT339" s="93"/>
      <c r="BU339" s="93"/>
      <c r="BV339" s="93"/>
      <c r="BW339" s="93"/>
      <c r="BX339" s="93"/>
      <c r="BY339" s="93"/>
      <c r="BZ339" s="93"/>
      <c r="CA339" s="93"/>
      <c r="CB339" s="93"/>
      <c r="CC339" s="93"/>
      <c r="CF339" s="93"/>
      <c r="CG339" s="93"/>
      <c r="CH339" s="93"/>
      <c r="CI339" s="93"/>
      <c r="CJ339" s="93"/>
      <c r="CK339" s="93"/>
      <c r="CL339" s="93"/>
      <c r="CM339" s="93"/>
      <c r="CN339" s="93"/>
      <c r="CO339" s="93"/>
      <c r="CP339" s="93"/>
      <c r="CQ339" s="93"/>
      <c r="CR339" s="93"/>
      <c r="CS339" s="93"/>
      <c r="CT339" s="93"/>
      <c r="CU339" s="93"/>
      <c r="CV339" s="93"/>
      <c r="CW339" s="93"/>
      <c r="CX339" s="93"/>
      <c r="CY339" s="93"/>
      <c r="CZ339" s="93"/>
      <c r="DA339" s="93"/>
      <c r="DB339" s="93"/>
      <c r="DC339" s="93"/>
      <c r="DD339" s="93"/>
      <c r="DE339" s="93"/>
      <c r="DF339" s="93"/>
      <c r="DG339" s="93"/>
      <c r="DH339" s="93"/>
      <c r="DI339" s="93"/>
      <c r="DJ339" s="93"/>
      <c r="DK339" s="93"/>
      <c r="DL339" s="93"/>
      <c r="DM339" s="93"/>
      <c r="DN339" s="93"/>
      <c r="DO339" s="93"/>
    </row>
    <row r="340" spans="1:198" ht="15">
      <c r="A340" s="1076"/>
      <c r="B340" s="6"/>
      <c r="C340" s="164"/>
      <c r="D340" s="1065"/>
      <c r="E340" s="807"/>
      <c r="F340" s="807"/>
      <c r="G340" s="827"/>
      <c r="H340" s="809" t="s">
        <v>8659</v>
      </c>
      <c r="I340" s="92">
        <v>3</v>
      </c>
      <c r="J340" s="92" t="s">
        <v>10</v>
      </c>
      <c r="K340" s="92" t="s">
        <v>768</v>
      </c>
      <c r="L340" s="810">
        <v>10</v>
      </c>
      <c r="M340" s="811" t="str">
        <f t="shared" si="28"/>
        <v>Not In School Age</v>
      </c>
      <c r="O340" s="92"/>
      <c r="P340" s="1638"/>
      <c r="Q340" s="92"/>
      <c r="R340" s="92"/>
      <c r="V340" s="830"/>
      <c r="X340" s="811" t="str">
        <f t="shared" si="27"/>
        <v/>
      </c>
      <c r="AB340" s="830"/>
      <c r="AC340" s="809"/>
      <c r="AD340" s="824"/>
      <c r="AG340" s="807" t="str">
        <f t="shared" si="25"/>
        <v/>
      </c>
      <c r="AH340" s="809"/>
      <c r="AI340" s="809"/>
      <c r="AJ340" s="809"/>
      <c r="AK340" s="92"/>
      <c r="AM340" s="819"/>
      <c r="AN340" s="820"/>
      <c r="AQ340" s="93"/>
      <c r="AR340" s="93"/>
      <c r="AS340" s="93"/>
      <c r="AT340" s="93"/>
      <c r="AU340" s="93"/>
      <c r="AV340" s="93"/>
      <c r="AW340" s="93"/>
      <c r="AX340" s="93"/>
      <c r="AY340" s="93"/>
      <c r="AZ340" s="93"/>
      <c r="BA340" s="93"/>
      <c r="BB340" s="93"/>
      <c r="BL340" s="93"/>
      <c r="BM340" s="93"/>
      <c r="BT340" s="93"/>
      <c r="BU340" s="93"/>
      <c r="BV340" s="93"/>
      <c r="BW340" s="93"/>
      <c r="BX340" s="93"/>
      <c r="BY340" s="93"/>
      <c r="BZ340" s="93"/>
      <c r="CA340" s="93"/>
      <c r="CB340" s="93"/>
      <c r="CC340" s="93"/>
      <c r="CF340" s="93"/>
      <c r="CG340" s="93"/>
      <c r="CH340" s="93"/>
      <c r="CI340" s="93"/>
      <c r="CJ340" s="93"/>
      <c r="CK340" s="93"/>
      <c r="CL340" s="93"/>
      <c r="CM340" s="93"/>
      <c r="CN340" s="93"/>
      <c r="CO340" s="93"/>
      <c r="CP340" s="93"/>
      <c r="CQ340" s="93"/>
      <c r="CR340" s="93"/>
      <c r="CS340" s="93"/>
      <c r="CT340" s="93"/>
      <c r="CU340" s="93"/>
      <c r="CV340" s="93"/>
      <c r="CW340" s="93"/>
      <c r="CX340" s="93"/>
      <c r="CY340" s="93"/>
      <c r="CZ340" s="93"/>
      <c r="DA340" s="93"/>
      <c r="DB340" s="93"/>
      <c r="DC340" s="93"/>
      <c r="DD340" s="93"/>
      <c r="DE340" s="93"/>
      <c r="DF340" s="93"/>
      <c r="DG340" s="93"/>
      <c r="DH340" s="93"/>
      <c r="DI340" s="93"/>
      <c r="DJ340" s="93"/>
      <c r="DK340" s="93"/>
      <c r="DL340" s="93"/>
      <c r="DM340" s="93"/>
      <c r="DN340" s="93"/>
      <c r="DO340" s="93"/>
    </row>
    <row r="341" spans="1:198" ht="15">
      <c r="A341" s="1076"/>
      <c r="B341" s="6"/>
      <c r="C341" s="164"/>
      <c r="D341" s="1065"/>
      <c r="E341" s="807"/>
      <c r="F341" s="807"/>
      <c r="G341" s="827"/>
      <c r="H341" s="809" t="s">
        <v>8660</v>
      </c>
      <c r="I341" s="92">
        <v>2</v>
      </c>
      <c r="J341" s="92" t="s">
        <v>18</v>
      </c>
      <c r="K341" s="92" t="s">
        <v>768</v>
      </c>
      <c r="L341" s="810">
        <v>10</v>
      </c>
      <c r="M341" s="811" t="str">
        <f t="shared" si="28"/>
        <v>Not In School Age</v>
      </c>
      <c r="O341" s="92"/>
      <c r="P341" s="1638"/>
      <c r="Q341" s="92"/>
      <c r="R341" s="92"/>
      <c r="V341" s="830">
        <f>SUM(U331:U341)</f>
        <v>0</v>
      </c>
      <c r="X341" s="811" t="str">
        <f t="shared" si="27"/>
        <v/>
      </c>
      <c r="AB341" s="830">
        <f>SUM(AA331:AA341)</f>
        <v>0</v>
      </c>
      <c r="AC341" s="809"/>
      <c r="AD341" s="824"/>
      <c r="AG341" s="807" t="str">
        <f t="shared" si="25"/>
        <v/>
      </c>
      <c r="AH341" s="809"/>
      <c r="AI341" s="809"/>
      <c r="AJ341" s="809"/>
      <c r="AK341" s="92"/>
      <c r="AM341" s="819"/>
      <c r="AN341" s="820"/>
      <c r="AQ341" s="93"/>
      <c r="AR341" s="93"/>
      <c r="AS341" s="93"/>
      <c r="AT341" s="93"/>
      <c r="AU341" s="93"/>
      <c r="AV341" s="93"/>
      <c r="AW341" s="93"/>
      <c r="AX341" s="93"/>
      <c r="AY341" s="93"/>
      <c r="AZ341" s="93"/>
      <c r="BA341" s="93"/>
      <c r="BB341" s="93"/>
      <c r="BL341" s="93"/>
      <c r="BM341" s="93"/>
      <c r="BT341" s="93"/>
      <c r="BU341" s="93"/>
      <c r="BV341" s="93"/>
      <c r="BW341" s="93"/>
      <c r="BX341" s="93"/>
      <c r="BY341" s="93"/>
      <c r="BZ341" s="93"/>
      <c r="CA341" s="93"/>
      <c r="CB341" s="93"/>
      <c r="CC341" s="93"/>
      <c r="CF341" s="93"/>
      <c r="CG341" s="93"/>
      <c r="CH341" s="93"/>
      <c r="CI341" s="93"/>
      <c r="CJ341" s="93"/>
      <c r="CK341" s="93"/>
      <c r="CL341" s="93"/>
      <c r="CM341" s="93"/>
      <c r="CN341" s="93"/>
      <c r="CO341" s="93"/>
      <c r="CP341" s="93"/>
      <c r="CQ341" s="93"/>
      <c r="CR341" s="93"/>
      <c r="CS341" s="93"/>
      <c r="CT341" s="93"/>
      <c r="CU341" s="93"/>
      <c r="CV341" s="93"/>
      <c r="CW341" s="93"/>
      <c r="CX341" s="93"/>
      <c r="CY341" s="93"/>
      <c r="CZ341" s="93"/>
      <c r="DA341" s="93"/>
      <c r="DB341" s="93"/>
      <c r="DC341" s="93"/>
      <c r="DD341" s="93"/>
      <c r="DE341" s="93"/>
      <c r="DF341" s="93"/>
      <c r="DG341" s="93"/>
      <c r="DH341" s="93"/>
      <c r="DI341" s="93"/>
      <c r="DJ341" s="93"/>
      <c r="DK341" s="93"/>
      <c r="DL341" s="93"/>
      <c r="DM341" s="93"/>
      <c r="DN341" s="93"/>
      <c r="DO341" s="93"/>
    </row>
    <row r="342" spans="1:198" ht="15">
      <c r="A342" s="1076"/>
      <c r="B342" s="6"/>
      <c r="C342" s="164"/>
      <c r="D342" s="1065" t="s">
        <v>8661</v>
      </c>
      <c r="E342" s="807"/>
      <c r="F342" s="807"/>
      <c r="G342" s="809" t="s">
        <v>8661</v>
      </c>
      <c r="H342" s="809" t="s">
        <v>2066</v>
      </c>
      <c r="I342" s="92">
        <v>33</v>
      </c>
      <c r="J342" s="92" t="s">
        <v>18</v>
      </c>
      <c r="K342" s="92" t="s">
        <v>719</v>
      </c>
      <c r="L342" s="810">
        <v>4</v>
      </c>
      <c r="M342" s="811" t="str">
        <f t="shared" si="28"/>
        <v>High School Level</v>
      </c>
      <c r="N342" s="92" t="s">
        <v>1208</v>
      </c>
      <c r="O342" s="92" t="s">
        <v>8662</v>
      </c>
      <c r="P342" s="1638"/>
      <c r="Q342" s="92" t="s">
        <v>8662</v>
      </c>
      <c r="R342" s="92" t="s">
        <v>8234</v>
      </c>
      <c r="S342" s="813">
        <v>2500</v>
      </c>
      <c r="W342" s="815">
        <v>1</v>
      </c>
      <c r="X342" s="811" t="str">
        <f t="shared" si="27"/>
        <v>within the Brgy</v>
      </c>
      <c r="Y342" s="816">
        <v>360</v>
      </c>
      <c r="Z342" s="92"/>
      <c r="AB342" s="814"/>
      <c r="AC342" s="809"/>
      <c r="AD342" s="824"/>
      <c r="AG342" s="807" t="str">
        <f t="shared" si="25"/>
        <v/>
      </c>
      <c r="AH342" s="809"/>
      <c r="AI342" s="809"/>
      <c r="AJ342" s="809"/>
      <c r="AK342" s="92"/>
      <c r="AM342" s="819"/>
      <c r="AN342" s="820"/>
      <c r="AQ342" s="93"/>
      <c r="AR342" s="93"/>
      <c r="AS342" s="93"/>
      <c r="AT342" s="93"/>
      <c r="AU342" s="93"/>
      <c r="AV342" s="93"/>
      <c r="AW342" s="93"/>
      <c r="AX342" s="93"/>
      <c r="AY342" s="93"/>
      <c r="AZ342" s="93"/>
      <c r="BA342" s="93"/>
      <c r="BB342" s="93"/>
      <c r="BL342" s="93"/>
      <c r="BM342" s="93"/>
      <c r="BT342" s="93"/>
      <c r="BU342" s="93"/>
      <c r="BV342" s="93"/>
      <c r="BW342" s="93"/>
      <c r="BX342" s="93"/>
      <c r="BY342" s="93"/>
      <c r="BZ342" s="93"/>
      <c r="CA342" s="93"/>
      <c r="CB342" s="93"/>
      <c r="CC342" s="93"/>
      <c r="CF342" s="93"/>
      <c r="CG342" s="93"/>
      <c r="CH342" s="93"/>
      <c r="CI342" s="93"/>
      <c r="CJ342" s="93"/>
      <c r="CK342" s="93"/>
      <c r="CL342" s="93"/>
      <c r="CM342" s="93"/>
      <c r="CN342" s="93"/>
      <c r="CO342" s="93"/>
      <c r="CP342" s="93"/>
      <c r="CQ342" s="93"/>
      <c r="CR342" s="93"/>
      <c r="CS342" s="93"/>
      <c r="CT342" s="93"/>
      <c r="CU342" s="93"/>
      <c r="CV342" s="93"/>
      <c r="CW342" s="93"/>
      <c r="CX342" s="93"/>
      <c r="CY342" s="93"/>
      <c r="CZ342" s="93"/>
      <c r="DA342" s="93"/>
      <c r="DB342" s="93"/>
      <c r="DC342" s="93"/>
      <c r="DD342" s="93"/>
      <c r="DE342" s="93"/>
      <c r="DF342" s="93"/>
      <c r="DG342" s="93"/>
      <c r="DH342" s="93"/>
      <c r="DI342" s="93"/>
      <c r="DJ342" s="93"/>
      <c r="DK342" s="93"/>
      <c r="DL342" s="93"/>
      <c r="DM342" s="93"/>
      <c r="DN342" s="93"/>
      <c r="DO342" s="93"/>
    </row>
    <row r="343" spans="1:198" ht="15">
      <c r="A343" s="1076"/>
      <c r="B343" s="6"/>
      <c r="C343" s="164"/>
      <c r="D343" s="1065"/>
      <c r="E343" s="807"/>
      <c r="F343" s="807"/>
      <c r="G343" s="827"/>
      <c r="M343" s="811" t="str">
        <f t="shared" si="28"/>
        <v/>
      </c>
      <c r="O343" s="92" t="s">
        <v>8450</v>
      </c>
      <c r="P343" s="1638"/>
      <c r="Q343" s="92" t="s">
        <v>8450</v>
      </c>
      <c r="R343" s="92"/>
      <c r="S343" s="813">
        <v>350</v>
      </c>
      <c r="X343" s="811" t="str">
        <f t="shared" si="27"/>
        <v/>
      </c>
      <c r="AB343" s="814"/>
      <c r="AC343" s="809"/>
      <c r="AD343" s="824"/>
      <c r="AG343" s="807" t="str">
        <f t="shared" si="25"/>
        <v/>
      </c>
      <c r="AH343" s="809"/>
      <c r="AI343" s="809"/>
      <c r="AJ343" s="809"/>
      <c r="AK343" s="92"/>
      <c r="AM343" s="819"/>
      <c r="AN343" s="820"/>
      <c r="AQ343" s="93"/>
      <c r="AR343" s="93"/>
      <c r="AS343" s="93"/>
      <c r="AT343" s="93"/>
      <c r="AU343" s="93"/>
      <c r="AV343" s="93"/>
      <c r="AW343" s="93"/>
      <c r="AX343" s="93"/>
      <c r="AY343" s="93"/>
      <c r="AZ343" s="93"/>
      <c r="BA343" s="93"/>
      <c r="BB343" s="93"/>
      <c r="BL343" s="93"/>
      <c r="BM343" s="93"/>
      <c r="BT343" s="93"/>
      <c r="BU343" s="93"/>
      <c r="BV343" s="93"/>
      <c r="BW343" s="93"/>
      <c r="BX343" s="93"/>
      <c r="BY343" s="93"/>
      <c r="BZ343" s="93"/>
      <c r="CA343" s="93"/>
      <c r="CB343" s="93"/>
      <c r="CC343" s="93"/>
      <c r="CF343" s="93"/>
      <c r="CG343" s="93"/>
      <c r="CH343" s="93"/>
      <c r="CI343" s="93"/>
      <c r="CJ343" s="93"/>
      <c r="CK343" s="93"/>
      <c r="CL343" s="93"/>
      <c r="CM343" s="93"/>
      <c r="CN343" s="93"/>
      <c r="CO343" s="93"/>
      <c r="CP343" s="93"/>
      <c r="CQ343" s="93"/>
      <c r="CR343" s="93"/>
      <c r="CS343" s="93"/>
      <c r="CT343" s="93"/>
      <c r="CU343" s="93"/>
      <c r="CV343" s="93"/>
      <c r="CW343" s="93"/>
      <c r="CX343" s="93"/>
      <c r="CY343" s="93"/>
      <c r="CZ343" s="93"/>
      <c r="DA343" s="93"/>
      <c r="DB343" s="93"/>
      <c r="DC343" s="93"/>
      <c r="DD343" s="93"/>
      <c r="DE343" s="93"/>
      <c r="DF343" s="93"/>
      <c r="DG343" s="93"/>
      <c r="DH343" s="93"/>
      <c r="DI343" s="93"/>
      <c r="DJ343" s="93"/>
      <c r="DK343" s="93"/>
      <c r="DL343" s="93"/>
      <c r="DM343" s="93"/>
      <c r="DN343" s="93"/>
      <c r="DO343" s="93"/>
    </row>
    <row r="344" spans="1:198" ht="15">
      <c r="A344" s="1076"/>
      <c r="B344" s="6"/>
      <c r="C344" s="164"/>
      <c r="D344" s="1065"/>
      <c r="E344" s="807"/>
      <c r="F344" s="807"/>
      <c r="G344" s="827"/>
      <c r="H344" s="809" t="s">
        <v>8663</v>
      </c>
      <c r="I344" s="92">
        <v>13</v>
      </c>
      <c r="J344" s="92" t="s">
        <v>18</v>
      </c>
      <c r="K344" s="92" t="s">
        <v>768</v>
      </c>
      <c r="L344" s="810">
        <v>11</v>
      </c>
      <c r="M344" s="811" t="str">
        <f t="shared" si="28"/>
        <v>Junior/Senior High School</v>
      </c>
      <c r="O344" s="92"/>
      <c r="P344" s="1638"/>
      <c r="Q344" s="92"/>
      <c r="R344" s="92"/>
      <c r="X344" s="811" t="str">
        <f t="shared" si="27"/>
        <v/>
      </c>
      <c r="AB344" s="814"/>
      <c r="AC344" s="809"/>
      <c r="AD344" s="824"/>
      <c r="AG344" s="807" t="str">
        <f t="shared" si="25"/>
        <v/>
      </c>
      <c r="AH344" s="809"/>
      <c r="AI344" s="809"/>
      <c r="AJ344" s="809"/>
      <c r="AK344" s="92"/>
      <c r="AM344" s="819"/>
      <c r="AN344" s="820"/>
      <c r="AQ344" s="93"/>
      <c r="AR344" s="93"/>
      <c r="AS344" s="93"/>
      <c r="AT344" s="93"/>
      <c r="AU344" s="93"/>
      <c r="AV344" s="93"/>
      <c r="AW344" s="93"/>
      <c r="AX344" s="93"/>
      <c r="AY344" s="93"/>
      <c r="AZ344" s="93"/>
      <c r="BA344" s="93"/>
      <c r="BB344" s="93"/>
      <c r="BL344" s="93"/>
      <c r="BM344" s="93"/>
      <c r="BT344" s="93"/>
      <c r="BU344" s="93"/>
      <c r="BV344" s="93"/>
      <c r="BW344" s="93"/>
      <c r="BX344" s="93"/>
      <c r="BY344" s="93"/>
      <c r="BZ344" s="93"/>
      <c r="CA344" s="93"/>
      <c r="CB344" s="93"/>
      <c r="CC344" s="93"/>
      <c r="CF344" s="93"/>
      <c r="CG344" s="93"/>
      <c r="CH344" s="93"/>
      <c r="CI344" s="93"/>
      <c r="CJ344" s="93"/>
      <c r="CK344" s="93"/>
      <c r="CL344" s="93"/>
      <c r="CM344" s="93"/>
      <c r="CN344" s="93"/>
      <c r="CO344" s="93"/>
      <c r="CP344" s="93"/>
      <c r="CQ344" s="93"/>
      <c r="CR344" s="93"/>
      <c r="CS344" s="93"/>
      <c r="CT344" s="93"/>
      <c r="CU344" s="93"/>
      <c r="CV344" s="93"/>
      <c r="CW344" s="93"/>
      <c r="CX344" s="93"/>
      <c r="CY344" s="93"/>
      <c r="CZ344" s="93"/>
      <c r="DA344" s="93"/>
      <c r="DB344" s="93"/>
      <c r="DC344" s="93"/>
      <c r="DD344" s="93"/>
      <c r="DE344" s="93"/>
      <c r="DF344" s="93"/>
      <c r="DG344" s="93"/>
      <c r="DH344" s="93"/>
      <c r="DI344" s="93"/>
      <c r="DJ344" s="93"/>
      <c r="DK344" s="93"/>
      <c r="DL344" s="93"/>
      <c r="DM344" s="93"/>
      <c r="DN344" s="93"/>
      <c r="DO344" s="93"/>
    </row>
    <row r="345" spans="1:198" ht="15">
      <c r="A345" s="1076"/>
      <c r="B345" s="6"/>
      <c r="C345" s="164"/>
      <c r="D345" s="1065"/>
      <c r="E345" s="807"/>
      <c r="F345" s="807"/>
      <c r="G345" s="827"/>
      <c r="H345" s="809" t="s">
        <v>8664</v>
      </c>
      <c r="I345" s="92">
        <v>1</v>
      </c>
      <c r="J345" s="92" t="s">
        <v>10</v>
      </c>
      <c r="K345" s="92" t="s">
        <v>768</v>
      </c>
      <c r="L345" s="810">
        <v>10</v>
      </c>
      <c r="M345" s="811" t="str">
        <f t="shared" si="28"/>
        <v>Not In School Age</v>
      </c>
      <c r="O345" s="92"/>
      <c r="P345" s="1638"/>
      <c r="Q345" s="92"/>
      <c r="R345" s="92"/>
      <c r="X345" s="811" t="str">
        <f t="shared" si="27"/>
        <v/>
      </c>
      <c r="AB345" s="814"/>
      <c r="AC345" s="809"/>
      <c r="AD345" s="824"/>
      <c r="AG345" s="807" t="str">
        <f t="shared" si="25"/>
        <v/>
      </c>
      <c r="AH345" s="809"/>
      <c r="AI345" s="809"/>
      <c r="AJ345" s="809"/>
      <c r="AK345" s="92"/>
      <c r="AM345" s="819"/>
      <c r="AN345" s="820"/>
      <c r="AQ345" s="93"/>
      <c r="AR345" s="93"/>
      <c r="AS345" s="93"/>
      <c r="AT345" s="93"/>
      <c r="AU345" s="93"/>
      <c r="AV345" s="93"/>
      <c r="AW345" s="93"/>
      <c r="AX345" s="93"/>
      <c r="AY345" s="93"/>
      <c r="AZ345" s="93"/>
      <c r="BA345" s="93"/>
      <c r="BB345" s="93"/>
      <c r="BL345" s="93"/>
      <c r="BM345" s="93"/>
      <c r="BT345" s="93"/>
      <c r="BU345" s="93"/>
      <c r="BV345" s="93"/>
      <c r="BW345" s="93"/>
      <c r="BX345" s="93"/>
      <c r="BY345" s="93"/>
      <c r="BZ345" s="93"/>
      <c r="CA345" s="93"/>
      <c r="CB345" s="93"/>
      <c r="CC345" s="93"/>
      <c r="CF345" s="93"/>
      <c r="CG345" s="93"/>
      <c r="CH345" s="93"/>
      <c r="CI345" s="93"/>
      <c r="CJ345" s="93"/>
      <c r="CK345" s="93"/>
      <c r="CL345" s="93"/>
      <c r="CM345" s="93"/>
      <c r="CN345" s="93"/>
      <c r="CO345" s="93"/>
      <c r="CP345" s="93"/>
      <c r="CQ345" s="93"/>
      <c r="CR345" s="93"/>
      <c r="CS345" s="93"/>
      <c r="CT345" s="93"/>
      <c r="CU345" s="93"/>
      <c r="CV345" s="93"/>
      <c r="CW345" s="93"/>
      <c r="CX345" s="93"/>
      <c r="CY345" s="93"/>
      <c r="CZ345" s="93"/>
      <c r="DA345" s="93"/>
      <c r="DB345" s="93"/>
      <c r="DC345" s="93"/>
      <c r="DD345" s="93"/>
      <c r="DE345" s="93"/>
      <c r="DF345" s="93"/>
      <c r="DG345" s="93"/>
      <c r="DH345" s="93"/>
      <c r="DI345" s="93"/>
      <c r="DJ345" s="93"/>
      <c r="DK345" s="93"/>
      <c r="DL345" s="93"/>
      <c r="DM345" s="93"/>
      <c r="DN345" s="93"/>
      <c r="DO345" s="93"/>
    </row>
    <row r="346" spans="1:198" ht="15">
      <c r="A346" s="1076"/>
      <c r="B346" s="6"/>
      <c r="C346" s="164"/>
      <c r="D346" s="1065"/>
      <c r="E346" s="807"/>
      <c r="F346" s="807"/>
      <c r="G346" s="827"/>
      <c r="H346" s="809" t="s">
        <v>8665</v>
      </c>
      <c r="I346" s="92">
        <v>33</v>
      </c>
      <c r="J346" s="92" t="s">
        <v>10</v>
      </c>
      <c r="L346" s="810">
        <v>3</v>
      </c>
      <c r="M346" s="811" t="str">
        <f t="shared" si="28"/>
        <v>Elementary Graduate</v>
      </c>
      <c r="N346" s="92" t="s">
        <v>1208</v>
      </c>
      <c r="O346" s="92" t="s">
        <v>8666</v>
      </c>
      <c r="P346" s="1638"/>
      <c r="Q346" s="92" t="s">
        <v>8666</v>
      </c>
      <c r="R346" s="92"/>
      <c r="S346" s="813">
        <v>20000</v>
      </c>
      <c r="V346" s="814">
        <f>SUM(S342:U346)</f>
        <v>22850</v>
      </c>
      <c r="W346" s="815">
        <v>3</v>
      </c>
      <c r="X346" s="811" t="str">
        <f t="shared" si="27"/>
        <v>within the Province</v>
      </c>
      <c r="AB346" s="814">
        <f>SUM(Y342:AA346)</f>
        <v>360</v>
      </c>
      <c r="AC346" s="809"/>
      <c r="AD346" s="824"/>
      <c r="AG346" s="807" t="str">
        <f t="shared" si="25"/>
        <v/>
      </c>
      <c r="AH346" s="809"/>
      <c r="AI346" s="809"/>
      <c r="AJ346" s="809"/>
      <c r="AK346" s="92"/>
      <c r="AM346" s="819"/>
      <c r="AN346" s="820"/>
      <c r="AQ346" s="93"/>
      <c r="AR346" s="93"/>
      <c r="AS346" s="93"/>
      <c r="AT346" s="93"/>
      <c r="AU346" s="93"/>
      <c r="AV346" s="93"/>
      <c r="AW346" s="93"/>
      <c r="AX346" s="93"/>
      <c r="AY346" s="93"/>
      <c r="AZ346" s="93"/>
      <c r="BA346" s="93"/>
      <c r="BB346" s="93"/>
      <c r="BL346" s="93"/>
      <c r="BM346" s="93"/>
      <c r="BT346" s="93"/>
      <c r="BU346" s="93"/>
      <c r="BV346" s="93"/>
      <c r="BW346" s="93"/>
      <c r="BX346" s="93"/>
      <c r="BY346" s="93"/>
      <c r="BZ346" s="93"/>
      <c r="CA346" s="93"/>
      <c r="CB346" s="93"/>
      <c r="CC346" s="93"/>
      <c r="CF346" s="93"/>
      <c r="CG346" s="93"/>
      <c r="CH346" s="93"/>
      <c r="CI346" s="93"/>
      <c r="CJ346" s="93"/>
      <c r="CK346" s="93"/>
      <c r="CL346" s="93"/>
      <c r="CM346" s="93"/>
      <c r="CN346" s="93"/>
      <c r="CO346" s="93"/>
      <c r="CP346" s="93"/>
      <c r="CQ346" s="93"/>
      <c r="CR346" s="93"/>
      <c r="CS346" s="93"/>
      <c r="CT346" s="93"/>
      <c r="CU346" s="93"/>
      <c r="CV346" s="93"/>
      <c r="CW346" s="93"/>
      <c r="CX346" s="93"/>
      <c r="CY346" s="93"/>
      <c r="CZ346" s="93"/>
      <c r="DA346" s="93"/>
      <c r="DB346" s="93"/>
      <c r="DC346" s="93"/>
      <c r="DD346" s="93"/>
      <c r="DE346" s="93"/>
      <c r="DF346" s="93"/>
      <c r="DG346" s="93"/>
      <c r="DH346" s="93"/>
      <c r="DI346" s="93"/>
      <c r="DJ346" s="93"/>
      <c r="DK346" s="93"/>
      <c r="DL346" s="93"/>
      <c r="DM346" s="93"/>
      <c r="DN346" s="93"/>
      <c r="DO346" s="93"/>
    </row>
    <row r="347" spans="1:198" ht="15">
      <c r="A347" s="1076"/>
      <c r="B347" s="6"/>
      <c r="C347" s="164"/>
      <c r="D347" s="1065" t="s">
        <v>8667</v>
      </c>
      <c r="E347" s="807"/>
      <c r="F347" s="807"/>
      <c r="G347" s="809" t="s">
        <v>8667</v>
      </c>
      <c r="H347" s="809" t="s">
        <v>8668</v>
      </c>
      <c r="I347" s="92">
        <v>32</v>
      </c>
      <c r="J347" s="92" t="s">
        <v>10</v>
      </c>
      <c r="K347" s="92" t="s">
        <v>707</v>
      </c>
      <c r="L347" s="810">
        <v>5</v>
      </c>
      <c r="M347" s="811" t="str">
        <f t="shared" si="28"/>
        <v>High School Graduate</v>
      </c>
      <c r="N347" s="92" t="s">
        <v>1208</v>
      </c>
      <c r="O347" s="92" t="s">
        <v>8182</v>
      </c>
      <c r="P347" s="1638"/>
      <c r="Q347" s="92" t="s">
        <v>8182</v>
      </c>
      <c r="R347" s="92" t="s">
        <v>8234</v>
      </c>
      <c r="S347" s="813">
        <v>15000</v>
      </c>
      <c r="V347" s="828"/>
      <c r="W347" s="815">
        <v>1</v>
      </c>
      <c r="X347" s="811" t="str">
        <f t="shared" si="27"/>
        <v>within the Brgy</v>
      </c>
      <c r="AB347" s="828"/>
      <c r="AC347" s="809" t="s">
        <v>2214</v>
      </c>
      <c r="AD347" s="824"/>
      <c r="AG347" s="807" t="str">
        <f t="shared" si="25"/>
        <v/>
      </c>
      <c r="AH347" s="809"/>
      <c r="AI347" s="809"/>
      <c r="AJ347" s="809"/>
      <c r="AK347" s="92"/>
      <c r="AM347" s="819"/>
      <c r="AN347" s="820"/>
      <c r="AQ347" s="93"/>
      <c r="AR347" s="93"/>
      <c r="AS347" s="93"/>
      <c r="AT347" s="93"/>
      <c r="AU347" s="93"/>
      <c r="AV347" s="93"/>
      <c r="AW347" s="93"/>
      <c r="AX347" s="93"/>
      <c r="AY347" s="93"/>
      <c r="AZ347" s="93"/>
      <c r="BA347" s="93"/>
      <c r="BB347" s="93"/>
      <c r="BL347" s="93"/>
      <c r="BM347" s="93"/>
      <c r="BT347" s="93"/>
      <c r="BU347" s="93"/>
      <c r="BV347" s="93"/>
      <c r="BW347" s="93"/>
      <c r="BX347" s="93"/>
      <c r="BY347" s="93"/>
      <c r="BZ347" s="93"/>
      <c r="CA347" s="93"/>
      <c r="CB347" s="93"/>
      <c r="CC347" s="93"/>
      <c r="CF347" s="93"/>
      <c r="CG347" s="93"/>
      <c r="CH347" s="93"/>
      <c r="CI347" s="93"/>
      <c r="CJ347" s="93"/>
      <c r="CK347" s="93"/>
      <c r="CL347" s="93"/>
      <c r="CM347" s="93"/>
      <c r="CN347" s="93"/>
      <c r="CO347" s="93"/>
      <c r="CP347" s="93"/>
      <c r="CQ347" s="93"/>
      <c r="CR347" s="93"/>
      <c r="CS347" s="93"/>
      <c r="CT347" s="93"/>
      <c r="CU347" s="93"/>
      <c r="CV347" s="93"/>
      <c r="CW347" s="93"/>
      <c r="CX347" s="93"/>
      <c r="CY347" s="93"/>
      <c r="CZ347" s="93"/>
      <c r="DA347" s="93"/>
      <c r="DB347" s="93"/>
      <c r="DC347" s="93"/>
      <c r="DD347" s="93"/>
      <c r="DE347" s="93"/>
      <c r="DF347" s="93"/>
      <c r="DG347" s="93"/>
      <c r="DH347" s="93"/>
      <c r="DI347" s="93"/>
      <c r="DJ347" s="93"/>
      <c r="DK347" s="93"/>
      <c r="DL347" s="93"/>
      <c r="DM347" s="93"/>
      <c r="DN347" s="93"/>
      <c r="DO347" s="93"/>
    </row>
    <row r="348" spans="1:198" ht="15">
      <c r="A348" s="1076"/>
      <c r="B348" s="6"/>
      <c r="C348" s="164"/>
      <c r="D348" s="1065"/>
      <c r="E348" s="807"/>
      <c r="F348" s="807"/>
      <c r="G348" s="827"/>
      <c r="H348" s="809" t="s">
        <v>8669</v>
      </c>
      <c r="I348" s="92">
        <v>28</v>
      </c>
      <c r="J348" s="92" t="s">
        <v>18</v>
      </c>
      <c r="K348" s="92" t="s">
        <v>707</v>
      </c>
      <c r="L348" s="810">
        <v>4</v>
      </c>
      <c r="M348" s="811" t="str">
        <f t="shared" si="28"/>
        <v>High School Level</v>
      </c>
      <c r="O348" s="92"/>
      <c r="P348" s="1638"/>
      <c r="Q348" s="92"/>
      <c r="R348" s="92"/>
      <c r="V348" s="828"/>
      <c r="X348" s="811" t="str">
        <f t="shared" si="27"/>
        <v/>
      </c>
      <c r="AB348" s="828"/>
      <c r="AC348" s="809"/>
      <c r="AD348" s="824"/>
      <c r="AG348" s="807" t="str">
        <f t="shared" si="25"/>
        <v/>
      </c>
      <c r="AH348" s="809"/>
      <c r="AI348" s="809"/>
      <c r="AJ348" s="809"/>
      <c r="AK348" s="92"/>
      <c r="AM348" s="819"/>
      <c r="AN348" s="820"/>
      <c r="AQ348" s="93"/>
      <c r="AR348" s="93"/>
      <c r="AS348" s="93"/>
      <c r="AT348" s="93"/>
      <c r="AU348" s="93"/>
      <c r="AV348" s="93"/>
      <c r="AW348" s="93"/>
      <c r="AX348" s="93"/>
      <c r="AY348" s="93"/>
      <c r="AZ348" s="93"/>
      <c r="BA348" s="93"/>
      <c r="BB348" s="93"/>
      <c r="BL348" s="93"/>
      <c r="BM348" s="93"/>
      <c r="BT348" s="93"/>
      <c r="BU348" s="93"/>
      <c r="BV348" s="93"/>
      <c r="BW348" s="93"/>
      <c r="BX348" s="93"/>
      <c r="BY348" s="93"/>
      <c r="BZ348" s="93"/>
      <c r="CA348" s="93"/>
      <c r="CB348" s="93"/>
      <c r="CC348" s="93"/>
      <c r="CF348" s="93"/>
      <c r="CG348" s="93"/>
      <c r="CH348" s="93"/>
      <c r="CI348" s="93"/>
      <c r="CJ348" s="93"/>
      <c r="CK348" s="93"/>
      <c r="CL348" s="93"/>
      <c r="CM348" s="93"/>
      <c r="CN348" s="93"/>
      <c r="CO348" s="93"/>
      <c r="CP348" s="93"/>
      <c r="CQ348" s="93"/>
      <c r="CR348" s="93"/>
      <c r="CS348" s="93"/>
      <c r="CT348" s="93"/>
      <c r="CU348" s="93"/>
      <c r="CV348" s="93"/>
      <c r="CW348" s="93"/>
      <c r="CX348" s="93"/>
      <c r="CY348" s="93"/>
      <c r="CZ348" s="93"/>
      <c r="DA348" s="93"/>
      <c r="DB348" s="93"/>
      <c r="DC348" s="93"/>
      <c r="DD348" s="93"/>
      <c r="DE348" s="93"/>
      <c r="DF348" s="93"/>
      <c r="DG348" s="93"/>
      <c r="DH348" s="93"/>
      <c r="DI348" s="93"/>
      <c r="DJ348" s="93"/>
      <c r="DK348" s="93"/>
      <c r="DL348" s="93"/>
      <c r="DM348" s="93"/>
      <c r="DN348" s="93"/>
      <c r="DO348" s="93"/>
    </row>
    <row r="349" spans="1:198" ht="15">
      <c r="A349" s="1076"/>
      <c r="B349" s="6"/>
      <c r="C349" s="164"/>
      <c r="D349" s="1065"/>
      <c r="E349" s="807"/>
      <c r="F349" s="807"/>
      <c r="G349" s="827"/>
      <c r="H349" s="809" t="s">
        <v>8670</v>
      </c>
      <c r="I349" s="92">
        <v>2</v>
      </c>
      <c r="J349" s="92" t="s">
        <v>18</v>
      </c>
      <c r="K349" s="92" t="s">
        <v>768</v>
      </c>
      <c r="L349" s="810">
        <v>10</v>
      </c>
      <c r="M349" s="811" t="str">
        <f t="shared" si="28"/>
        <v>Not In School Age</v>
      </c>
      <c r="O349" s="92"/>
      <c r="P349" s="1638"/>
      <c r="Q349" s="92"/>
      <c r="R349" s="92"/>
      <c r="V349" s="828"/>
      <c r="X349" s="811" t="str">
        <f t="shared" si="27"/>
        <v/>
      </c>
      <c r="AB349" s="828"/>
      <c r="AC349" s="809"/>
      <c r="AD349" s="824"/>
      <c r="AG349" s="807" t="str">
        <f t="shared" si="25"/>
        <v/>
      </c>
      <c r="AH349" s="809"/>
      <c r="AI349" s="809"/>
      <c r="AJ349" s="809"/>
      <c r="AK349" s="92"/>
      <c r="AM349" s="819"/>
      <c r="AN349" s="820"/>
      <c r="AQ349" s="93"/>
      <c r="AR349" s="93"/>
      <c r="AS349" s="93"/>
      <c r="AT349" s="93"/>
      <c r="AU349" s="93"/>
      <c r="AV349" s="93"/>
      <c r="AW349" s="93"/>
      <c r="AX349" s="93"/>
      <c r="AY349" s="93"/>
      <c r="AZ349" s="93"/>
      <c r="BA349" s="93"/>
      <c r="BB349" s="93"/>
      <c r="BL349" s="93"/>
      <c r="BM349" s="93"/>
      <c r="BT349" s="93"/>
      <c r="BU349" s="93"/>
      <c r="BV349" s="93"/>
      <c r="BW349" s="93"/>
      <c r="BX349" s="93"/>
      <c r="BY349" s="93"/>
      <c r="BZ349" s="93"/>
      <c r="CA349" s="93"/>
      <c r="CB349" s="93"/>
      <c r="CC349" s="93"/>
      <c r="CF349" s="93"/>
      <c r="CG349" s="93"/>
      <c r="CH349" s="93"/>
      <c r="CI349" s="93"/>
      <c r="CJ349" s="93"/>
      <c r="CK349" s="93"/>
      <c r="CL349" s="93"/>
      <c r="CM349" s="93"/>
      <c r="CN349" s="93"/>
      <c r="CO349" s="93"/>
      <c r="CP349" s="93"/>
      <c r="CQ349" s="93"/>
      <c r="CR349" s="93"/>
      <c r="CS349" s="93"/>
      <c r="CT349" s="93"/>
      <c r="CU349" s="93"/>
      <c r="CV349" s="93"/>
      <c r="CW349" s="93"/>
      <c r="CX349" s="93"/>
      <c r="CY349" s="93"/>
      <c r="CZ349" s="93"/>
      <c r="DA349" s="93"/>
      <c r="DB349" s="93"/>
      <c r="DC349" s="93"/>
      <c r="DD349" s="93"/>
      <c r="DE349" s="93"/>
      <c r="DF349" s="93"/>
      <c r="DG349" s="93"/>
      <c r="DH349" s="93"/>
      <c r="DI349" s="93"/>
      <c r="DJ349" s="93"/>
      <c r="DK349" s="93"/>
      <c r="DL349" s="93"/>
      <c r="DM349" s="93"/>
      <c r="DN349" s="93"/>
      <c r="DO349" s="93"/>
    </row>
    <row r="350" spans="1:198" ht="15">
      <c r="A350" s="1076"/>
      <c r="B350" s="6"/>
      <c r="C350" s="164"/>
      <c r="D350" s="1065"/>
      <c r="E350" s="807"/>
      <c r="F350" s="807"/>
      <c r="G350" s="827" t="s">
        <v>8667</v>
      </c>
      <c r="H350" s="809" t="s">
        <v>8671</v>
      </c>
      <c r="I350" s="92">
        <v>63</v>
      </c>
      <c r="J350" s="92" t="s">
        <v>18</v>
      </c>
      <c r="K350" s="92" t="s">
        <v>768</v>
      </c>
      <c r="L350" s="810">
        <v>2</v>
      </c>
      <c r="M350" s="811" t="str">
        <f t="shared" si="28"/>
        <v>Elementary Level</v>
      </c>
      <c r="O350" s="92"/>
      <c r="P350" s="1638"/>
      <c r="Q350" s="92"/>
      <c r="R350" s="92"/>
      <c r="V350" s="828">
        <f>SUM(S347:U350)</f>
        <v>15000</v>
      </c>
      <c r="X350" s="811" t="str">
        <f t="shared" si="27"/>
        <v/>
      </c>
      <c r="AB350" s="828">
        <f>SUM(Y347:AA350)</f>
        <v>0</v>
      </c>
      <c r="AC350" s="809"/>
      <c r="AD350" s="817" t="s">
        <v>8671</v>
      </c>
      <c r="AG350" s="807" t="str">
        <f t="shared" si="25"/>
        <v/>
      </c>
      <c r="AH350" s="809"/>
      <c r="AI350" s="809"/>
      <c r="AJ350" s="809"/>
      <c r="AK350" s="92"/>
      <c r="AM350" s="819"/>
      <c r="AN350" s="820"/>
      <c r="AQ350" s="93"/>
      <c r="AR350" s="93"/>
      <c r="AS350" s="93"/>
      <c r="AT350" s="93"/>
      <c r="AU350" s="93"/>
      <c r="AV350" s="93"/>
      <c r="AW350" s="93"/>
      <c r="AX350" s="93"/>
      <c r="AY350" s="93"/>
      <c r="AZ350" s="93"/>
      <c r="BA350" s="93"/>
      <c r="BB350" s="93"/>
      <c r="BL350" s="93"/>
      <c r="BM350" s="93"/>
      <c r="BT350" s="93"/>
      <c r="BU350" s="93"/>
      <c r="BV350" s="93"/>
      <c r="BW350" s="93"/>
      <c r="BX350" s="93"/>
      <c r="BY350" s="93"/>
      <c r="BZ350" s="93"/>
      <c r="CA350" s="93"/>
      <c r="CB350" s="93"/>
      <c r="CC350" s="93"/>
      <c r="CF350" s="93"/>
      <c r="CG350" s="93"/>
      <c r="CH350" s="93"/>
      <c r="CI350" s="93"/>
      <c r="CJ350" s="93"/>
      <c r="CK350" s="93"/>
      <c r="CL350" s="93"/>
      <c r="CM350" s="93"/>
      <c r="CN350" s="93"/>
      <c r="CO350" s="93"/>
      <c r="CP350" s="93"/>
      <c r="CQ350" s="93"/>
      <c r="CR350" s="93"/>
      <c r="CS350" s="93"/>
      <c r="CT350" s="93"/>
      <c r="CU350" s="93"/>
      <c r="CV350" s="93"/>
      <c r="CW350" s="93"/>
      <c r="CX350" s="93"/>
      <c r="CY350" s="93"/>
      <c r="CZ350" s="93"/>
      <c r="DA350" s="93"/>
      <c r="DB350" s="93"/>
      <c r="DC350" s="93"/>
      <c r="DD350" s="93"/>
      <c r="DE350" s="93"/>
      <c r="DF350" s="93"/>
      <c r="DG350" s="93"/>
      <c r="DH350" s="93"/>
      <c r="DI350" s="93"/>
      <c r="DJ350" s="93"/>
      <c r="DK350" s="93"/>
      <c r="DL350" s="93"/>
      <c r="DM350" s="93"/>
      <c r="DN350" s="93"/>
      <c r="DO350" s="93"/>
    </row>
    <row r="351" spans="1:198" s="806" customFormat="1" ht="15">
      <c r="A351" s="154" t="s">
        <v>12440</v>
      </c>
      <c r="B351" s="288" t="s">
        <v>7969</v>
      </c>
      <c r="C351" s="171" t="s">
        <v>274</v>
      </c>
      <c r="D351" s="1065" t="s">
        <v>274</v>
      </c>
      <c r="E351" s="1041" t="s">
        <v>274</v>
      </c>
      <c r="F351" s="1047" t="s">
        <v>2067</v>
      </c>
      <c r="G351" s="745" t="s">
        <v>274</v>
      </c>
      <c r="H351" s="809" t="s">
        <v>8672</v>
      </c>
      <c r="I351" s="92">
        <v>54</v>
      </c>
      <c r="J351" s="92" t="s">
        <v>18</v>
      </c>
      <c r="K351" s="92" t="s">
        <v>719</v>
      </c>
      <c r="L351" s="810">
        <v>3</v>
      </c>
      <c r="M351" s="811" t="str">
        <f t="shared" si="28"/>
        <v>Elementary Graduate</v>
      </c>
      <c r="N351" s="92"/>
      <c r="O351" s="92"/>
      <c r="P351" s="1638"/>
      <c r="Q351" s="92"/>
      <c r="R351" s="92" t="s">
        <v>1208</v>
      </c>
      <c r="S351" s="848"/>
      <c r="T351" s="813"/>
      <c r="U351" s="813"/>
      <c r="V351" s="837"/>
      <c r="W351" s="838"/>
      <c r="X351" s="811" t="str">
        <f t="shared" si="27"/>
        <v/>
      </c>
      <c r="Y351" s="836"/>
      <c r="Z351" s="836"/>
      <c r="AA351" s="836"/>
      <c r="AB351" s="837"/>
      <c r="AC351" s="809" t="s">
        <v>8673</v>
      </c>
      <c r="AD351" s="824"/>
      <c r="AE351" s="93"/>
      <c r="AF351" s="818"/>
      <c r="AG351" s="807" t="str">
        <f t="shared" si="25"/>
        <v/>
      </c>
      <c r="AH351" s="807"/>
      <c r="AI351" s="807"/>
      <c r="AJ351" s="807"/>
      <c r="AK351" s="92"/>
      <c r="AL351" s="92"/>
      <c r="AM351" s="819"/>
      <c r="AN351" s="820"/>
      <c r="AO351" s="817"/>
      <c r="AP351" s="820"/>
      <c r="AQ351" s="93"/>
      <c r="AR351" s="93"/>
      <c r="AS351" s="93"/>
      <c r="AT351" s="93"/>
      <c r="AU351" s="93"/>
      <c r="AV351" s="93"/>
      <c r="AW351" s="93"/>
      <c r="AX351" s="93"/>
      <c r="AY351" s="93"/>
      <c r="AZ351" s="93"/>
      <c r="BA351" s="93"/>
      <c r="BB351" s="93"/>
      <c r="BC351" s="93"/>
      <c r="BD351" s="93"/>
      <c r="BE351" s="93"/>
      <c r="BF351" s="93"/>
      <c r="BG351" s="93"/>
      <c r="BH351" s="93"/>
      <c r="BI351" s="93"/>
      <c r="BJ351" s="93"/>
      <c r="BK351" s="93"/>
      <c r="BL351" s="93"/>
      <c r="BM351" s="93"/>
      <c r="BN351" s="93"/>
      <c r="BT351" s="93"/>
      <c r="BU351" s="93"/>
      <c r="BV351" s="93"/>
      <c r="BW351" s="93"/>
      <c r="BX351" s="93"/>
      <c r="BY351" s="93"/>
      <c r="BZ351" s="93"/>
      <c r="CA351" s="93"/>
      <c r="CB351" s="93"/>
      <c r="CC351" s="93"/>
      <c r="CD351" s="93"/>
      <c r="CE351" s="93"/>
      <c r="CF351" s="93"/>
      <c r="CG351" s="93"/>
      <c r="CH351" s="93"/>
      <c r="CI351" s="93"/>
      <c r="CJ351" s="93"/>
      <c r="CK351" s="93"/>
      <c r="CL351" s="93"/>
      <c r="CM351" s="93"/>
      <c r="CN351" s="93"/>
      <c r="CO351" s="93"/>
      <c r="CP351" s="93"/>
      <c r="CQ351" s="93">
        <v>2</v>
      </c>
      <c r="CR351" s="93"/>
      <c r="CS351" s="93">
        <v>1</v>
      </c>
      <c r="CT351" s="93"/>
      <c r="CU351" s="93"/>
      <c r="CV351" s="93"/>
      <c r="CW351" s="93"/>
      <c r="CX351" s="93"/>
      <c r="CY351" s="93"/>
      <c r="CZ351" s="93"/>
      <c r="DA351" s="93"/>
      <c r="DB351" s="93"/>
      <c r="DC351" s="93"/>
      <c r="DD351" s="93"/>
      <c r="DE351" s="93"/>
      <c r="DF351" s="93"/>
      <c r="DG351" s="93"/>
      <c r="DH351" s="93"/>
      <c r="DI351" s="826"/>
      <c r="DJ351" s="825"/>
      <c r="DK351" s="825"/>
      <c r="GO351" s="92"/>
      <c r="GP351" s="831"/>
    </row>
    <row r="352" spans="1:198" s="806" customFormat="1" ht="15">
      <c r="A352" s="154" t="s">
        <v>12440</v>
      </c>
      <c r="D352" s="1065" t="s">
        <v>274</v>
      </c>
      <c r="E352" s="1041" t="s">
        <v>274</v>
      </c>
      <c r="G352" s="827"/>
      <c r="H352" s="809" t="s">
        <v>8674</v>
      </c>
      <c r="I352" s="92">
        <v>31</v>
      </c>
      <c r="J352" s="92" t="s">
        <v>18</v>
      </c>
      <c r="K352" s="92" t="s">
        <v>2056</v>
      </c>
      <c r="L352" s="810">
        <v>5</v>
      </c>
      <c r="M352" s="811" t="str">
        <f t="shared" si="28"/>
        <v>High School Graduate</v>
      </c>
      <c r="N352" s="92" t="s">
        <v>1208</v>
      </c>
      <c r="O352" s="92" t="s">
        <v>2225</v>
      </c>
      <c r="P352" s="1638"/>
      <c r="Q352" s="92" t="s">
        <v>2225</v>
      </c>
      <c r="R352" s="92" t="s">
        <v>8285</v>
      </c>
      <c r="S352" s="848">
        <v>4800</v>
      </c>
      <c r="T352" s="813"/>
      <c r="U352" s="813"/>
      <c r="V352" s="837"/>
      <c r="W352" s="838">
        <v>2</v>
      </c>
      <c r="X352" s="811" t="str">
        <f t="shared" si="27"/>
        <v>within the Municipality/City</v>
      </c>
      <c r="Y352" s="836">
        <v>500</v>
      </c>
      <c r="Z352" s="836"/>
      <c r="AA352" s="836"/>
      <c r="AB352" s="837"/>
      <c r="AC352" s="809" t="s">
        <v>8675</v>
      </c>
      <c r="AD352" s="824"/>
      <c r="AE352" s="93"/>
      <c r="AF352" s="818"/>
      <c r="AG352" s="807" t="str">
        <f t="shared" si="25"/>
        <v/>
      </c>
      <c r="AH352" s="807"/>
      <c r="AI352" s="807"/>
      <c r="AJ352" s="807"/>
      <c r="AK352" s="92"/>
      <c r="AL352" s="92"/>
      <c r="AM352" s="819"/>
      <c r="AN352" s="820"/>
      <c r="AO352" s="817"/>
      <c r="AP352" s="820"/>
      <c r="AQ352" s="93"/>
      <c r="AR352" s="93"/>
      <c r="AS352" s="93"/>
      <c r="AT352" s="93"/>
      <c r="AU352" s="93"/>
      <c r="AV352" s="93"/>
      <c r="AW352" s="93"/>
      <c r="AX352" s="93"/>
      <c r="AY352" s="93"/>
      <c r="AZ352" s="93"/>
      <c r="BA352" s="93"/>
      <c r="BB352" s="93"/>
      <c r="BC352" s="93"/>
      <c r="BD352" s="93"/>
      <c r="BE352" s="93"/>
      <c r="BF352" s="93"/>
      <c r="BG352" s="93"/>
      <c r="BH352" s="93"/>
      <c r="BI352" s="93" t="s">
        <v>2144</v>
      </c>
      <c r="BJ352" s="93">
        <v>2</v>
      </c>
      <c r="BK352" s="93">
        <v>3</v>
      </c>
      <c r="BL352" s="93"/>
      <c r="BM352" s="93"/>
      <c r="BN352" s="93"/>
      <c r="BT352" s="93"/>
      <c r="BU352" s="93"/>
      <c r="BV352" s="93"/>
      <c r="BW352" s="93"/>
      <c r="BX352" s="93"/>
      <c r="BY352" s="93"/>
      <c r="BZ352" s="93"/>
      <c r="CA352" s="93"/>
      <c r="CB352" s="93"/>
      <c r="CC352" s="93"/>
      <c r="CD352" s="93"/>
      <c r="CE352" s="93"/>
      <c r="CF352" s="93"/>
      <c r="CG352" s="93"/>
      <c r="CH352" s="93"/>
      <c r="CI352" s="93"/>
      <c r="CJ352" s="93"/>
      <c r="CK352" s="93"/>
      <c r="CL352" s="93"/>
      <c r="CM352" s="93"/>
      <c r="CN352" s="93"/>
      <c r="CO352" s="93"/>
      <c r="CP352" s="93"/>
      <c r="CQ352" s="93"/>
      <c r="CR352" s="93"/>
      <c r="CS352" s="93"/>
      <c r="CT352" s="93"/>
      <c r="CU352" s="93"/>
      <c r="CV352" s="93"/>
      <c r="CW352" s="93"/>
      <c r="CX352" s="93"/>
      <c r="CY352" s="93"/>
      <c r="CZ352" s="93"/>
      <c r="DA352" s="93"/>
      <c r="DB352" s="93"/>
      <c r="DC352" s="93"/>
      <c r="DD352" s="93"/>
      <c r="DE352" s="93"/>
      <c r="DF352" s="93"/>
      <c r="DG352" s="93"/>
      <c r="DH352" s="93"/>
      <c r="DI352" s="826"/>
      <c r="DJ352" s="825"/>
      <c r="DK352" s="825"/>
      <c r="GO352" s="92"/>
      <c r="GP352" s="831"/>
    </row>
    <row r="353" spans="1:198" s="806" customFormat="1" ht="15">
      <c r="A353" s="154" t="s">
        <v>12440</v>
      </c>
      <c r="D353" s="1065" t="s">
        <v>274</v>
      </c>
      <c r="E353" s="1041" t="s">
        <v>274</v>
      </c>
      <c r="G353" s="827"/>
      <c r="H353" s="809" t="s">
        <v>8676</v>
      </c>
      <c r="I353" s="92">
        <v>29</v>
      </c>
      <c r="J353" s="92" t="s">
        <v>18</v>
      </c>
      <c r="K353" s="92" t="s">
        <v>768</v>
      </c>
      <c r="L353" s="810">
        <v>7</v>
      </c>
      <c r="M353" s="811" t="str">
        <f t="shared" si="28"/>
        <v>College Graduate or Higher</v>
      </c>
      <c r="N353" s="92" t="s">
        <v>1208</v>
      </c>
      <c r="O353" s="92" t="s">
        <v>8677</v>
      </c>
      <c r="P353" s="1638"/>
      <c r="Q353" s="92" t="s">
        <v>8677</v>
      </c>
      <c r="R353" s="92" t="s">
        <v>8285</v>
      </c>
      <c r="S353" s="848">
        <v>18000</v>
      </c>
      <c r="T353" s="813"/>
      <c r="U353" s="813"/>
      <c r="V353" s="837"/>
      <c r="W353" s="838">
        <v>5</v>
      </c>
      <c r="X353" s="811" t="str">
        <f t="shared" si="27"/>
        <v>Overseas Worker</v>
      </c>
      <c r="Y353" s="836"/>
      <c r="Z353" s="836"/>
      <c r="AA353" s="836"/>
      <c r="AB353" s="837"/>
      <c r="AC353" s="809" t="s">
        <v>8678</v>
      </c>
      <c r="AD353" s="824"/>
      <c r="AE353" s="93"/>
      <c r="AF353" s="818"/>
      <c r="AG353" s="807" t="str">
        <f t="shared" si="25"/>
        <v/>
      </c>
      <c r="AH353" s="807"/>
      <c r="AI353" s="807"/>
      <c r="AJ353" s="807"/>
      <c r="AK353" s="92"/>
      <c r="AL353" s="92"/>
      <c r="AM353" s="819"/>
      <c r="AN353" s="820"/>
      <c r="AO353" s="817"/>
      <c r="AP353" s="820"/>
      <c r="AQ353" s="93"/>
      <c r="AR353" s="93"/>
      <c r="AS353" s="93"/>
      <c r="AT353" s="93"/>
      <c r="AU353" s="93"/>
      <c r="AV353" s="93"/>
      <c r="AW353" s="93"/>
      <c r="AX353" s="93"/>
      <c r="AY353" s="93"/>
      <c r="AZ353" s="93"/>
      <c r="BA353" s="93"/>
      <c r="BB353" s="93"/>
      <c r="BC353" s="93"/>
      <c r="BD353" s="93"/>
      <c r="BE353" s="93"/>
      <c r="BF353" s="93"/>
      <c r="BG353" s="93"/>
      <c r="BH353" s="93"/>
      <c r="BI353" s="93"/>
      <c r="BJ353" s="93"/>
      <c r="BK353" s="93"/>
      <c r="BL353" s="93"/>
      <c r="BM353" s="93"/>
      <c r="BN353" s="93"/>
      <c r="BT353" s="93"/>
      <c r="BU353" s="93"/>
      <c r="BV353" s="93"/>
      <c r="BW353" s="93"/>
      <c r="BX353" s="93"/>
      <c r="BY353" s="93"/>
      <c r="BZ353" s="93"/>
      <c r="CA353" s="93"/>
      <c r="CB353" s="93"/>
      <c r="CC353" s="93"/>
      <c r="CD353" s="93"/>
      <c r="CE353" s="93"/>
      <c r="CF353" s="93"/>
      <c r="CG353" s="93"/>
      <c r="CH353" s="93"/>
      <c r="CI353" s="93"/>
      <c r="CJ353" s="93"/>
      <c r="CK353" s="93"/>
      <c r="CL353" s="93"/>
      <c r="CM353" s="93"/>
      <c r="CN353" s="93"/>
      <c r="CO353" s="93"/>
      <c r="CP353" s="93"/>
      <c r="CQ353" s="93"/>
      <c r="CR353" s="93"/>
      <c r="CS353" s="93"/>
      <c r="CT353" s="93"/>
      <c r="CU353" s="93"/>
      <c r="CV353" s="93"/>
      <c r="CW353" s="93"/>
      <c r="CX353" s="93"/>
      <c r="CY353" s="93"/>
      <c r="CZ353" s="93"/>
      <c r="DA353" s="93"/>
      <c r="DB353" s="93"/>
      <c r="DC353" s="93"/>
      <c r="DD353" s="93"/>
      <c r="DE353" s="93"/>
      <c r="DF353" s="93"/>
      <c r="DG353" s="93"/>
      <c r="DH353" s="93"/>
      <c r="DI353" s="826"/>
      <c r="DJ353" s="825"/>
      <c r="DK353" s="825"/>
      <c r="GO353" s="92"/>
      <c r="GP353" s="831"/>
    </row>
    <row r="354" spans="1:198" ht="15">
      <c r="A354" s="154" t="s">
        <v>12440</v>
      </c>
      <c r="C354" s="807"/>
      <c r="D354" s="1065" t="s">
        <v>274</v>
      </c>
      <c r="E354" s="1041" t="s">
        <v>274</v>
      </c>
      <c r="F354" s="807"/>
      <c r="G354" s="827"/>
      <c r="H354" s="809" t="s">
        <v>8679</v>
      </c>
      <c r="I354" s="92">
        <v>28</v>
      </c>
      <c r="J354" s="92" t="s">
        <v>18</v>
      </c>
      <c r="K354" s="92" t="s">
        <v>768</v>
      </c>
      <c r="L354" s="810">
        <v>7</v>
      </c>
      <c r="M354" s="811" t="str">
        <f t="shared" si="28"/>
        <v>College Graduate or Higher</v>
      </c>
      <c r="N354" s="92" t="s">
        <v>1208</v>
      </c>
      <c r="O354" s="92" t="s">
        <v>2226</v>
      </c>
      <c r="P354" s="1638"/>
      <c r="Q354" s="92" t="s">
        <v>2226</v>
      </c>
      <c r="R354" s="92" t="s">
        <v>8285</v>
      </c>
      <c r="S354" s="848">
        <v>11000</v>
      </c>
      <c r="V354" s="830"/>
      <c r="W354" s="815">
        <v>4</v>
      </c>
      <c r="X354" s="811" t="str">
        <f t="shared" si="27"/>
        <v>Other Province</v>
      </c>
      <c r="Y354" s="816">
        <v>500</v>
      </c>
      <c r="AB354" s="830"/>
      <c r="AC354" s="809" t="s">
        <v>8680</v>
      </c>
      <c r="AD354" s="824"/>
      <c r="AG354" s="807" t="str">
        <f t="shared" si="25"/>
        <v/>
      </c>
      <c r="AH354" s="807"/>
      <c r="AI354" s="807"/>
      <c r="AJ354" s="807"/>
      <c r="AK354" s="92"/>
      <c r="AM354" s="819"/>
      <c r="AN354" s="820"/>
      <c r="AQ354" s="93"/>
      <c r="AR354" s="93"/>
      <c r="AS354" s="93"/>
      <c r="AT354" s="93"/>
      <c r="AU354" s="93"/>
      <c r="AV354" s="93"/>
      <c r="AW354" s="93"/>
      <c r="AX354" s="93"/>
      <c r="AY354" s="93"/>
      <c r="AZ354" s="93"/>
      <c r="BA354" s="93"/>
      <c r="BB354" s="93"/>
      <c r="BL354" s="93"/>
      <c r="BM354" s="93"/>
      <c r="BT354" s="93"/>
      <c r="BU354" s="93"/>
      <c r="BV354" s="93"/>
      <c r="BW354" s="93"/>
      <c r="BX354" s="93"/>
      <c r="BY354" s="93"/>
      <c r="BZ354" s="93"/>
      <c r="CA354" s="93"/>
      <c r="CB354" s="93"/>
      <c r="CC354" s="93"/>
      <c r="CF354" s="93"/>
      <c r="CG354" s="93"/>
      <c r="CH354" s="93"/>
      <c r="CI354" s="93"/>
      <c r="CJ354" s="93"/>
      <c r="CK354" s="93"/>
      <c r="CL354" s="93"/>
      <c r="CM354" s="93"/>
      <c r="CN354" s="93"/>
      <c r="CO354" s="93"/>
      <c r="CP354" s="93"/>
      <c r="CQ354" s="93"/>
      <c r="CR354" s="93"/>
      <c r="CS354" s="93"/>
      <c r="CT354" s="93"/>
      <c r="CU354" s="93"/>
      <c r="CV354" s="93"/>
      <c r="CW354" s="93"/>
      <c r="CX354" s="93"/>
      <c r="CY354" s="93"/>
      <c r="CZ354" s="93"/>
      <c r="DA354" s="93"/>
      <c r="DB354" s="93"/>
      <c r="DC354" s="93"/>
      <c r="DD354" s="93"/>
      <c r="DE354" s="93"/>
      <c r="DF354" s="93"/>
      <c r="DG354" s="93"/>
      <c r="DH354" s="93"/>
      <c r="DI354" s="93"/>
      <c r="DJ354" s="93"/>
      <c r="DK354" s="93"/>
      <c r="DL354" s="93"/>
      <c r="DM354" s="93"/>
      <c r="DN354" s="93"/>
      <c r="DO354" s="93"/>
    </row>
    <row r="355" spans="1:198" s="806" customFormat="1" ht="15">
      <c r="A355" s="154" t="s">
        <v>12440</v>
      </c>
      <c r="D355" s="1065" t="s">
        <v>274</v>
      </c>
      <c r="E355" s="1041" t="s">
        <v>274</v>
      </c>
      <c r="G355" s="827"/>
      <c r="H355" s="809" t="s">
        <v>8681</v>
      </c>
      <c r="I355" s="92">
        <v>27</v>
      </c>
      <c r="J355" s="92" t="s">
        <v>10</v>
      </c>
      <c r="K355" s="92" t="s">
        <v>2051</v>
      </c>
      <c r="L355" s="810">
        <v>9</v>
      </c>
      <c r="M355" s="811" t="str">
        <f t="shared" si="28"/>
        <v>Vocational Graduate</v>
      </c>
      <c r="N355" s="92" t="s">
        <v>1208</v>
      </c>
      <c r="O355" s="92" t="s">
        <v>8682</v>
      </c>
      <c r="P355" s="1638"/>
      <c r="Q355" s="92" t="s">
        <v>8682</v>
      </c>
      <c r="R355" s="92" t="s">
        <v>8285</v>
      </c>
      <c r="S355" s="848">
        <v>8400</v>
      </c>
      <c r="T355" s="813"/>
      <c r="U355" s="813"/>
      <c r="V355" s="837"/>
      <c r="W355" s="838">
        <v>3</v>
      </c>
      <c r="X355" s="811" t="str">
        <f t="shared" si="27"/>
        <v>within the Province</v>
      </c>
      <c r="Y355" s="836">
        <v>3400</v>
      </c>
      <c r="Z355" s="836"/>
      <c r="AA355" s="836"/>
      <c r="AB355" s="837"/>
      <c r="AC355" s="809" t="s">
        <v>8683</v>
      </c>
      <c r="AD355" s="824"/>
      <c r="AE355" s="93"/>
      <c r="AF355" s="818"/>
      <c r="AG355" s="807" t="str">
        <f t="shared" si="25"/>
        <v/>
      </c>
      <c r="AH355" s="807"/>
      <c r="AI355" s="807"/>
      <c r="AJ355" s="807"/>
      <c r="AK355" s="92"/>
      <c r="AL355" s="92"/>
      <c r="AM355" s="819"/>
      <c r="AN355" s="820"/>
      <c r="AO355" s="817"/>
      <c r="AP355" s="820"/>
      <c r="AQ355" s="93"/>
      <c r="AR355" s="93"/>
      <c r="AS355" s="93"/>
      <c r="AT355" s="93"/>
      <c r="AU355" s="93"/>
      <c r="AV355" s="93"/>
      <c r="AW355" s="93"/>
      <c r="AX355" s="93"/>
      <c r="AY355" s="93"/>
      <c r="AZ355" s="93"/>
      <c r="BA355" s="93"/>
      <c r="BB355" s="93"/>
      <c r="BC355" s="93"/>
      <c r="BD355" s="93"/>
      <c r="BE355" s="93"/>
      <c r="BF355" s="93"/>
      <c r="BG355" s="93"/>
      <c r="BH355" s="93"/>
      <c r="BI355" s="93"/>
      <c r="BJ355" s="93"/>
      <c r="BK355" s="93"/>
      <c r="BL355" s="93"/>
      <c r="BM355" s="93"/>
      <c r="BN355" s="93"/>
      <c r="BT355" s="93"/>
      <c r="BU355" s="93"/>
      <c r="BV355" s="93"/>
      <c r="BW355" s="93"/>
      <c r="BX355" s="93"/>
      <c r="BY355" s="93"/>
      <c r="BZ355" s="93"/>
      <c r="CA355" s="93"/>
      <c r="CB355" s="93"/>
      <c r="CC355" s="93"/>
      <c r="CD355" s="93"/>
      <c r="CE355" s="93"/>
      <c r="CF355" s="93"/>
      <c r="CG355" s="93"/>
      <c r="CH355" s="93"/>
      <c r="CI355" s="93"/>
      <c r="CJ355" s="93"/>
      <c r="CK355" s="93"/>
      <c r="CL355" s="93"/>
      <c r="CM355" s="93"/>
      <c r="CN355" s="93"/>
      <c r="CO355" s="93"/>
      <c r="CP355" s="93"/>
      <c r="CQ355" s="93"/>
      <c r="CR355" s="93"/>
      <c r="CS355" s="93"/>
      <c r="CT355" s="93"/>
      <c r="CU355" s="93"/>
      <c r="CV355" s="93"/>
      <c r="CW355" s="93"/>
      <c r="CX355" s="93"/>
      <c r="CY355" s="93"/>
      <c r="CZ355" s="93"/>
      <c r="DA355" s="93"/>
      <c r="DB355" s="93"/>
      <c r="DC355" s="93"/>
      <c r="DD355" s="93"/>
      <c r="DE355" s="93"/>
      <c r="DF355" s="93"/>
      <c r="DG355" s="93"/>
      <c r="DH355" s="93"/>
      <c r="DI355" s="826"/>
      <c r="DJ355" s="825"/>
      <c r="DK355" s="825"/>
      <c r="GO355" s="92"/>
      <c r="GP355" s="831"/>
    </row>
    <row r="356" spans="1:198" s="806" customFormat="1" ht="15">
      <c r="A356" s="154" t="s">
        <v>12440</v>
      </c>
      <c r="D356" s="1065" t="s">
        <v>274</v>
      </c>
      <c r="E356" s="1041" t="s">
        <v>274</v>
      </c>
      <c r="G356" s="827"/>
      <c r="H356" s="809" t="s">
        <v>8684</v>
      </c>
      <c r="I356" s="92">
        <v>22</v>
      </c>
      <c r="J356" s="92" t="s">
        <v>18</v>
      </c>
      <c r="K356" s="92" t="s">
        <v>768</v>
      </c>
      <c r="L356" s="810">
        <v>7</v>
      </c>
      <c r="M356" s="811" t="str">
        <f t="shared" si="28"/>
        <v>College Graduate or Higher</v>
      </c>
      <c r="N356" s="92" t="s">
        <v>1208</v>
      </c>
      <c r="O356" s="92" t="s">
        <v>8685</v>
      </c>
      <c r="P356" s="1638"/>
      <c r="Q356" s="92" t="s">
        <v>8685</v>
      </c>
      <c r="R356" s="92" t="s">
        <v>8285</v>
      </c>
      <c r="S356" s="848">
        <v>8500</v>
      </c>
      <c r="T356" s="813"/>
      <c r="U356" s="813"/>
      <c r="V356" s="837"/>
      <c r="W356" s="838">
        <v>3</v>
      </c>
      <c r="X356" s="811" t="str">
        <f t="shared" si="27"/>
        <v>within the Province</v>
      </c>
      <c r="Y356" s="836">
        <v>3000</v>
      </c>
      <c r="Z356" s="836"/>
      <c r="AA356" s="836"/>
      <c r="AB356" s="837"/>
      <c r="AC356" s="809" t="s">
        <v>8686</v>
      </c>
      <c r="AD356" s="824"/>
      <c r="AE356" s="93"/>
      <c r="AF356" s="818"/>
      <c r="AG356" s="807" t="str">
        <f t="shared" si="25"/>
        <v/>
      </c>
      <c r="AH356" s="807"/>
      <c r="AI356" s="807"/>
      <c r="AJ356" s="807"/>
      <c r="AK356" s="92"/>
      <c r="AL356" s="92"/>
      <c r="AM356" s="819"/>
      <c r="AN356" s="820"/>
      <c r="AO356" s="817"/>
      <c r="AP356" s="820"/>
      <c r="AQ356" s="93"/>
      <c r="AR356" s="93"/>
      <c r="AS356" s="93"/>
      <c r="AT356" s="93"/>
      <c r="AU356" s="93"/>
      <c r="AV356" s="93"/>
      <c r="AW356" s="93"/>
      <c r="AX356" s="93"/>
      <c r="AY356" s="93"/>
      <c r="AZ356" s="93"/>
      <c r="BA356" s="93"/>
      <c r="BB356" s="93"/>
      <c r="BC356" s="93"/>
      <c r="BD356" s="93"/>
      <c r="BE356" s="93"/>
      <c r="BF356" s="93"/>
      <c r="BG356" s="93"/>
      <c r="BH356" s="93"/>
      <c r="BI356" s="93"/>
      <c r="BJ356" s="93"/>
      <c r="BK356" s="93"/>
      <c r="BL356" s="93"/>
      <c r="BM356" s="93"/>
      <c r="BN356" s="93"/>
      <c r="BT356" s="93"/>
      <c r="BU356" s="93"/>
      <c r="BV356" s="93"/>
      <c r="BW356" s="93"/>
      <c r="BX356" s="93"/>
      <c r="BY356" s="93"/>
      <c r="BZ356" s="93"/>
      <c r="CA356" s="93"/>
      <c r="CB356" s="93"/>
      <c r="CC356" s="93"/>
      <c r="CD356" s="93"/>
      <c r="CE356" s="93">
        <v>2</v>
      </c>
      <c r="CF356" s="93"/>
      <c r="CG356" s="93"/>
      <c r="CH356" s="93"/>
      <c r="CI356" s="93"/>
      <c r="CJ356" s="93"/>
      <c r="CK356" s="93"/>
      <c r="CL356" s="93"/>
      <c r="CM356" s="93"/>
      <c r="CN356" s="93"/>
      <c r="CO356" s="93"/>
      <c r="CP356" s="93"/>
      <c r="CQ356" s="93"/>
      <c r="CR356" s="93"/>
      <c r="CS356" s="93" t="s">
        <v>2144</v>
      </c>
      <c r="CT356" s="93"/>
      <c r="CU356" s="93"/>
      <c r="CV356" s="93"/>
      <c r="CW356" s="93"/>
      <c r="CX356" s="93"/>
      <c r="CY356" s="93"/>
      <c r="CZ356" s="93" t="s">
        <v>2146</v>
      </c>
      <c r="DA356" s="93"/>
      <c r="DB356" s="93"/>
      <c r="DC356" s="93"/>
      <c r="DD356" s="93"/>
      <c r="DE356" s="93"/>
      <c r="DF356" s="93"/>
      <c r="DG356" s="93"/>
      <c r="DH356" s="93"/>
      <c r="DI356" s="826"/>
      <c r="DJ356" s="825"/>
      <c r="DK356" s="825"/>
      <c r="GO356" s="92"/>
      <c r="GP356" s="831"/>
    </row>
    <row r="357" spans="1:198" s="806" customFormat="1" ht="15">
      <c r="A357" s="154" t="s">
        <v>12440</v>
      </c>
      <c r="D357" s="1065" t="s">
        <v>274</v>
      </c>
      <c r="E357" s="1041" t="s">
        <v>274</v>
      </c>
      <c r="G357" s="827"/>
      <c r="H357" s="809" t="s">
        <v>8687</v>
      </c>
      <c r="I357" s="92">
        <v>18</v>
      </c>
      <c r="J357" s="92" t="s">
        <v>10</v>
      </c>
      <c r="K357" s="92" t="s">
        <v>768</v>
      </c>
      <c r="L357" s="810">
        <v>11</v>
      </c>
      <c r="M357" s="811" t="str">
        <f t="shared" si="28"/>
        <v>Junior/Senior High School</v>
      </c>
      <c r="N357" s="92"/>
      <c r="O357" s="92"/>
      <c r="P357" s="1638"/>
      <c r="Q357" s="92"/>
      <c r="R357" s="92"/>
      <c r="S357" s="848"/>
      <c r="T357" s="813"/>
      <c r="U357" s="813"/>
      <c r="V357" s="837"/>
      <c r="W357" s="838"/>
      <c r="X357" s="811" t="str">
        <f t="shared" si="27"/>
        <v/>
      </c>
      <c r="Y357" s="836"/>
      <c r="Z357" s="836"/>
      <c r="AA357" s="836"/>
      <c r="AB357" s="837"/>
      <c r="AC357" s="809"/>
      <c r="AD357" s="824"/>
      <c r="AE357" s="93"/>
      <c r="AF357" s="818"/>
      <c r="AG357" s="807" t="str">
        <f t="shared" si="25"/>
        <v/>
      </c>
      <c r="AH357" s="807"/>
      <c r="AI357" s="807"/>
      <c r="AJ357" s="807"/>
      <c r="AK357" s="92"/>
      <c r="AL357" s="92"/>
      <c r="AM357" s="819"/>
      <c r="AN357" s="820"/>
      <c r="AO357" s="817"/>
      <c r="AP357" s="820"/>
      <c r="AQ357" s="93"/>
      <c r="AR357" s="93"/>
      <c r="AS357" s="93"/>
      <c r="AT357" s="93"/>
      <c r="AU357" s="93"/>
      <c r="AV357" s="93"/>
      <c r="AW357" s="93"/>
      <c r="AX357" s="93"/>
      <c r="AY357" s="93"/>
      <c r="AZ357" s="93"/>
      <c r="BA357" s="93"/>
      <c r="BB357" s="93"/>
      <c r="BC357" s="93"/>
      <c r="BD357" s="93"/>
      <c r="BE357" s="93"/>
      <c r="BF357" s="93"/>
      <c r="BG357" s="93"/>
      <c r="BH357" s="93"/>
      <c r="BI357" s="93"/>
      <c r="BJ357" s="93"/>
      <c r="BK357" s="93"/>
      <c r="BL357" s="93"/>
      <c r="BM357" s="93"/>
      <c r="BN357" s="93"/>
      <c r="BT357" s="93"/>
      <c r="BU357" s="93"/>
      <c r="BV357" s="93"/>
      <c r="BW357" s="93"/>
      <c r="BX357" s="93"/>
      <c r="BY357" s="93"/>
      <c r="BZ357" s="93"/>
      <c r="CA357" s="93"/>
      <c r="CB357" s="93"/>
      <c r="CC357" s="93"/>
      <c r="CD357" s="93"/>
      <c r="CE357" s="93"/>
      <c r="CF357" s="93"/>
      <c r="CG357" s="93"/>
      <c r="CH357" s="93"/>
      <c r="CI357" s="93"/>
      <c r="CJ357" s="93"/>
      <c r="CK357" s="93"/>
      <c r="CL357" s="93"/>
      <c r="CM357" s="93"/>
      <c r="CN357" s="93"/>
      <c r="CO357" s="93"/>
      <c r="CP357" s="93"/>
      <c r="CQ357" s="93"/>
      <c r="CR357" s="93"/>
      <c r="CS357" s="93"/>
      <c r="CT357" s="93"/>
      <c r="CU357" s="93"/>
      <c r="CV357" s="93"/>
      <c r="CW357" s="93"/>
      <c r="CX357" s="93"/>
      <c r="CY357" s="93"/>
      <c r="CZ357" s="93"/>
      <c r="DA357" s="93"/>
      <c r="DB357" s="93"/>
      <c r="DC357" s="93"/>
      <c r="DD357" s="93"/>
      <c r="DE357" s="93"/>
      <c r="DF357" s="93"/>
      <c r="DG357" s="93"/>
      <c r="DH357" s="93"/>
      <c r="DI357" s="826"/>
      <c r="DJ357" s="825"/>
      <c r="DK357" s="825"/>
      <c r="GO357" s="92"/>
      <c r="GP357" s="831"/>
    </row>
    <row r="358" spans="1:198" s="806" customFormat="1" ht="15">
      <c r="A358" s="154" t="s">
        <v>12440</v>
      </c>
      <c r="D358" s="1065" t="s">
        <v>274</v>
      </c>
      <c r="E358" s="1041" t="s">
        <v>274</v>
      </c>
      <c r="G358" s="827"/>
      <c r="H358" s="809" t="s">
        <v>8688</v>
      </c>
      <c r="I358" s="92">
        <v>10</v>
      </c>
      <c r="J358" s="92" t="s">
        <v>18</v>
      </c>
      <c r="K358" s="92" t="s">
        <v>768</v>
      </c>
      <c r="L358" s="810">
        <v>2</v>
      </c>
      <c r="M358" s="811" t="str">
        <f t="shared" si="28"/>
        <v>Elementary Level</v>
      </c>
      <c r="N358" s="92"/>
      <c r="O358" s="92"/>
      <c r="P358" s="1638"/>
      <c r="Q358" s="92"/>
      <c r="R358" s="92"/>
      <c r="S358" s="848"/>
      <c r="T358" s="813"/>
      <c r="U358" s="813"/>
      <c r="V358" s="837"/>
      <c r="W358" s="838"/>
      <c r="X358" s="811" t="str">
        <f t="shared" si="27"/>
        <v/>
      </c>
      <c r="Y358" s="836"/>
      <c r="Z358" s="836"/>
      <c r="AA358" s="836"/>
      <c r="AB358" s="837"/>
      <c r="AC358" s="809"/>
      <c r="AD358" s="824"/>
      <c r="AE358" s="93"/>
      <c r="AF358" s="818"/>
      <c r="AG358" s="807" t="str">
        <f t="shared" si="25"/>
        <v/>
      </c>
      <c r="AH358" s="807"/>
      <c r="AI358" s="807"/>
      <c r="AJ358" s="807"/>
      <c r="AK358" s="92"/>
      <c r="AL358" s="92"/>
      <c r="AM358" s="819"/>
      <c r="AN358" s="820"/>
      <c r="AO358" s="817"/>
      <c r="AP358" s="820"/>
      <c r="AQ358" s="93"/>
      <c r="AR358" s="93"/>
      <c r="AS358" s="93"/>
      <c r="AT358" s="93"/>
      <c r="AU358" s="93"/>
      <c r="AV358" s="93"/>
      <c r="AW358" s="93"/>
      <c r="AX358" s="93"/>
      <c r="AY358" s="93"/>
      <c r="AZ358" s="93"/>
      <c r="BA358" s="93"/>
      <c r="BB358" s="93"/>
      <c r="BC358" s="93"/>
      <c r="BD358" s="93"/>
      <c r="BE358" s="93"/>
      <c r="BF358" s="93"/>
      <c r="BG358" s="93"/>
      <c r="BH358" s="93"/>
      <c r="BI358" s="93"/>
      <c r="BJ358" s="93"/>
      <c r="BK358" s="93"/>
      <c r="BL358" s="93"/>
      <c r="BM358" s="93"/>
      <c r="BN358" s="93"/>
      <c r="BT358" s="93"/>
      <c r="BU358" s="93"/>
      <c r="BV358" s="93"/>
      <c r="BW358" s="93"/>
      <c r="BX358" s="93"/>
      <c r="BY358" s="93"/>
      <c r="BZ358" s="93"/>
      <c r="CA358" s="93"/>
      <c r="CB358" s="93"/>
      <c r="CC358" s="93"/>
      <c r="CD358" s="93"/>
      <c r="CE358" s="93"/>
      <c r="CF358" s="93"/>
      <c r="CG358" s="93"/>
      <c r="CH358" s="93"/>
      <c r="CI358" s="93"/>
      <c r="CJ358" s="93"/>
      <c r="CK358" s="93"/>
      <c r="CL358" s="93"/>
      <c r="CM358" s="93"/>
      <c r="CN358" s="93"/>
      <c r="CO358" s="93"/>
      <c r="CP358" s="93"/>
      <c r="CQ358" s="93"/>
      <c r="CR358" s="93"/>
      <c r="CS358" s="93"/>
      <c r="CT358" s="93"/>
      <c r="CU358" s="93"/>
      <c r="CV358" s="93"/>
      <c r="CW358" s="93"/>
      <c r="CX358" s="93"/>
      <c r="CY358" s="93"/>
      <c r="CZ358" s="93"/>
      <c r="DA358" s="93"/>
      <c r="DB358" s="93"/>
      <c r="DC358" s="93"/>
      <c r="DD358" s="93"/>
      <c r="DE358" s="93"/>
      <c r="DF358" s="93"/>
      <c r="DG358" s="93"/>
      <c r="DH358" s="93"/>
      <c r="DI358" s="826"/>
      <c r="DJ358" s="825"/>
      <c r="DK358" s="825"/>
      <c r="GO358" s="92"/>
      <c r="GP358" s="831"/>
    </row>
    <row r="359" spans="1:198" ht="15">
      <c r="A359" s="154" t="s">
        <v>12440</v>
      </c>
      <c r="C359" s="807"/>
      <c r="D359" s="1065" t="s">
        <v>274</v>
      </c>
      <c r="E359" s="1041" t="s">
        <v>274</v>
      </c>
      <c r="F359" s="807"/>
      <c r="G359" s="827"/>
      <c r="H359" s="809" t="s">
        <v>8689</v>
      </c>
      <c r="I359" s="92">
        <v>26</v>
      </c>
      <c r="J359" s="92" t="s">
        <v>18</v>
      </c>
      <c r="K359" s="92" t="s">
        <v>707</v>
      </c>
      <c r="L359" s="810">
        <v>7</v>
      </c>
      <c r="M359" s="811" t="str">
        <f t="shared" si="28"/>
        <v>College Graduate or Higher</v>
      </c>
      <c r="O359" s="92"/>
      <c r="P359" s="1638"/>
      <c r="Q359" s="92"/>
      <c r="R359" s="92"/>
      <c r="S359" s="848"/>
      <c r="V359" s="830"/>
      <c r="X359" s="811" t="str">
        <f t="shared" si="27"/>
        <v/>
      </c>
      <c r="AB359" s="830"/>
      <c r="AC359" s="809"/>
      <c r="AD359" s="824"/>
      <c r="AG359" s="807" t="str">
        <f t="shared" si="25"/>
        <v/>
      </c>
      <c r="AH359" s="807"/>
      <c r="AI359" s="807"/>
      <c r="AJ359" s="807"/>
      <c r="AK359" s="92"/>
      <c r="AM359" s="819"/>
      <c r="AN359" s="820"/>
      <c r="AQ359" s="93"/>
      <c r="AR359" s="93"/>
      <c r="AS359" s="93"/>
      <c r="AT359" s="93"/>
      <c r="AU359" s="93"/>
      <c r="AV359" s="93"/>
      <c r="AW359" s="93"/>
      <c r="AX359" s="93"/>
      <c r="AY359" s="93"/>
      <c r="AZ359" s="93"/>
      <c r="BA359" s="93"/>
      <c r="BB359" s="93"/>
      <c r="BL359" s="93"/>
      <c r="BM359" s="93"/>
      <c r="BT359" s="93"/>
      <c r="BU359" s="93"/>
      <c r="BV359" s="93"/>
      <c r="BW359" s="93"/>
      <c r="BX359" s="93"/>
      <c r="BY359" s="93"/>
      <c r="BZ359" s="93"/>
      <c r="CA359" s="93"/>
      <c r="CB359" s="93"/>
      <c r="CC359" s="93"/>
      <c r="CF359" s="93"/>
      <c r="CG359" s="93"/>
      <c r="CH359" s="93"/>
      <c r="CI359" s="93"/>
      <c r="CJ359" s="93"/>
      <c r="CK359" s="93"/>
      <c r="CL359" s="93"/>
      <c r="CM359" s="93"/>
      <c r="CN359" s="93"/>
      <c r="CO359" s="93"/>
      <c r="CP359" s="93"/>
      <c r="CQ359" s="93"/>
      <c r="CR359" s="93"/>
      <c r="CS359" s="93"/>
      <c r="CT359" s="93"/>
      <c r="CU359" s="93"/>
      <c r="CV359" s="93"/>
      <c r="CW359" s="93"/>
      <c r="CX359" s="93"/>
      <c r="CY359" s="93"/>
      <c r="CZ359" s="93"/>
      <c r="DA359" s="93"/>
      <c r="DB359" s="93"/>
      <c r="DC359" s="93"/>
      <c r="DD359" s="93"/>
      <c r="DE359" s="93"/>
      <c r="DF359" s="93"/>
      <c r="DG359" s="93"/>
      <c r="DH359" s="93"/>
      <c r="DI359" s="93"/>
      <c r="DJ359" s="93"/>
      <c r="DK359" s="93"/>
      <c r="DL359" s="93"/>
      <c r="DM359" s="93"/>
      <c r="DN359" s="93"/>
      <c r="DO359" s="93"/>
    </row>
    <row r="360" spans="1:198" s="806" customFormat="1" ht="15">
      <c r="A360" s="154" t="s">
        <v>12440</v>
      </c>
      <c r="D360" s="1065" t="s">
        <v>274</v>
      </c>
      <c r="E360" s="1041" t="s">
        <v>274</v>
      </c>
      <c r="G360" s="827"/>
      <c r="H360" s="809" t="s">
        <v>8690</v>
      </c>
      <c r="I360" s="92" t="s">
        <v>8691</v>
      </c>
      <c r="J360" s="92" t="s">
        <v>18</v>
      </c>
      <c r="K360" s="92"/>
      <c r="L360" s="810">
        <v>10</v>
      </c>
      <c r="M360" s="811" t="str">
        <f t="shared" si="28"/>
        <v>Not In School Age</v>
      </c>
      <c r="N360" s="92"/>
      <c r="O360" s="92"/>
      <c r="P360" s="1638"/>
      <c r="Q360" s="92"/>
      <c r="R360" s="92"/>
      <c r="S360" s="848"/>
      <c r="T360" s="813"/>
      <c r="U360" s="813"/>
      <c r="V360" s="837"/>
      <c r="W360" s="838"/>
      <c r="X360" s="811" t="str">
        <f t="shared" si="27"/>
        <v/>
      </c>
      <c r="Y360" s="836"/>
      <c r="Z360" s="836"/>
      <c r="AA360" s="836"/>
      <c r="AB360" s="837"/>
      <c r="AC360" s="809"/>
      <c r="AD360" s="824"/>
      <c r="AE360" s="93"/>
      <c r="AF360" s="818"/>
      <c r="AG360" s="807" t="str">
        <f t="shared" ref="AG360:AG423" si="29">IF(ISBLANK(AF360)=TRUE,"",LOOKUP(AF360,GS:GT))</f>
        <v/>
      </c>
      <c r="AH360" s="807"/>
      <c r="AI360" s="807"/>
      <c r="AJ360" s="807"/>
      <c r="AK360" s="92"/>
      <c r="AL360" s="92"/>
      <c r="AM360" s="819"/>
      <c r="AN360" s="820"/>
      <c r="AO360" s="817"/>
      <c r="AP360" s="820"/>
      <c r="AQ360" s="93"/>
      <c r="AR360" s="93"/>
      <c r="AS360" s="93"/>
      <c r="AT360" s="93"/>
      <c r="AU360" s="93"/>
      <c r="AV360" s="93"/>
      <c r="AW360" s="93"/>
      <c r="AX360" s="93"/>
      <c r="AY360" s="93"/>
      <c r="AZ360" s="93"/>
      <c r="BA360" s="93"/>
      <c r="BB360" s="93"/>
      <c r="BC360" s="93"/>
      <c r="BD360" s="93"/>
      <c r="BE360" s="93"/>
      <c r="BF360" s="93"/>
      <c r="BG360" s="93"/>
      <c r="BH360" s="93"/>
      <c r="BI360" s="93"/>
      <c r="BJ360" s="93"/>
      <c r="BK360" s="93"/>
      <c r="BL360" s="93"/>
      <c r="BM360" s="93"/>
      <c r="BN360" s="93"/>
      <c r="BT360" s="93"/>
      <c r="BU360" s="93"/>
      <c r="BV360" s="93"/>
      <c r="BW360" s="93"/>
      <c r="BX360" s="93"/>
      <c r="BY360" s="93"/>
      <c r="BZ360" s="93"/>
      <c r="CA360" s="93"/>
      <c r="CB360" s="93"/>
      <c r="CC360" s="93"/>
      <c r="CD360" s="93"/>
      <c r="CE360" s="93"/>
      <c r="CF360" s="93"/>
      <c r="CG360" s="93"/>
      <c r="CH360" s="93"/>
      <c r="CI360" s="93"/>
      <c r="CJ360" s="93"/>
      <c r="CK360" s="93"/>
      <c r="CL360" s="93"/>
      <c r="CM360" s="93"/>
      <c r="CN360" s="93"/>
      <c r="CO360" s="93"/>
      <c r="CP360" s="93"/>
      <c r="CQ360" s="93"/>
      <c r="CR360" s="93"/>
      <c r="CS360" s="93"/>
      <c r="CT360" s="93"/>
      <c r="CU360" s="93"/>
      <c r="CV360" s="93"/>
      <c r="CW360" s="93"/>
      <c r="CX360" s="93"/>
      <c r="CY360" s="93"/>
      <c r="CZ360" s="93"/>
      <c r="DA360" s="93"/>
      <c r="DB360" s="93"/>
      <c r="DC360" s="93"/>
      <c r="DD360" s="93"/>
      <c r="DE360" s="93"/>
      <c r="DF360" s="93"/>
      <c r="DG360" s="93"/>
      <c r="DH360" s="93"/>
      <c r="DI360" s="826"/>
      <c r="DJ360" s="825"/>
      <c r="DK360" s="825"/>
      <c r="GO360" s="92"/>
      <c r="GP360" s="831"/>
    </row>
    <row r="361" spans="1:198" s="806" customFormat="1" ht="15">
      <c r="A361" s="154" t="s">
        <v>12440</v>
      </c>
      <c r="D361" s="1065" t="s">
        <v>274</v>
      </c>
      <c r="E361" s="1041" t="s">
        <v>274</v>
      </c>
      <c r="G361" s="827"/>
      <c r="H361" s="809" t="s">
        <v>8692</v>
      </c>
      <c r="I361" s="92" t="s">
        <v>8691</v>
      </c>
      <c r="J361" s="92" t="s">
        <v>18</v>
      </c>
      <c r="K361" s="92"/>
      <c r="L361" s="810">
        <v>10</v>
      </c>
      <c r="M361" s="811" t="str">
        <f t="shared" si="28"/>
        <v>Not In School Age</v>
      </c>
      <c r="N361" s="92"/>
      <c r="O361" s="92"/>
      <c r="P361" s="1638"/>
      <c r="Q361" s="92"/>
      <c r="R361" s="92"/>
      <c r="S361" s="848"/>
      <c r="T361" s="813"/>
      <c r="U361" s="813"/>
      <c r="V361" s="837">
        <f>SUM(S351:U361)</f>
        <v>50700</v>
      </c>
      <c r="W361" s="838"/>
      <c r="X361" s="811" t="str">
        <f t="shared" si="27"/>
        <v/>
      </c>
      <c r="Y361" s="836"/>
      <c r="Z361" s="836"/>
      <c r="AA361" s="836"/>
      <c r="AB361" s="837">
        <f>SUM(Y351:AA361)</f>
        <v>7400</v>
      </c>
      <c r="AC361" s="809"/>
      <c r="AD361" s="824"/>
      <c r="AE361" s="93"/>
      <c r="AF361" s="818"/>
      <c r="AG361" s="807" t="str">
        <f t="shared" si="29"/>
        <v/>
      </c>
      <c r="AH361" s="807"/>
      <c r="AI361" s="807"/>
      <c r="AJ361" s="807"/>
      <c r="AK361" s="92"/>
      <c r="AL361" s="92"/>
      <c r="AM361" s="819"/>
      <c r="AN361" s="820"/>
      <c r="AO361" s="817"/>
      <c r="AP361" s="820"/>
      <c r="AQ361" s="93"/>
      <c r="AR361" s="93"/>
      <c r="AS361" s="93"/>
      <c r="AT361" s="93"/>
      <c r="AU361" s="93"/>
      <c r="AV361" s="93"/>
      <c r="AW361" s="93"/>
      <c r="AX361" s="93"/>
      <c r="AY361" s="93"/>
      <c r="AZ361" s="93"/>
      <c r="BA361" s="93"/>
      <c r="BB361" s="93"/>
      <c r="BC361" s="93"/>
      <c r="BD361" s="93"/>
      <c r="BE361" s="93"/>
      <c r="BF361" s="93"/>
      <c r="BG361" s="93"/>
      <c r="BH361" s="93"/>
      <c r="BI361" s="93"/>
      <c r="BJ361" s="93"/>
      <c r="BK361" s="93"/>
      <c r="BL361" s="93"/>
      <c r="BM361" s="93"/>
      <c r="BN361" s="93"/>
      <c r="BT361" s="93"/>
      <c r="BU361" s="93"/>
      <c r="BV361" s="93"/>
      <c r="BW361" s="93"/>
      <c r="BX361" s="93"/>
      <c r="BY361" s="93"/>
      <c r="BZ361" s="93"/>
      <c r="CA361" s="93"/>
      <c r="CB361" s="93"/>
      <c r="CC361" s="93"/>
      <c r="CD361" s="93"/>
      <c r="CE361" s="93"/>
      <c r="CF361" s="93"/>
      <c r="CG361" s="93"/>
      <c r="CH361" s="93"/>
      <c r="CI361" s="93"/>
      <c r="CJ361" s="93"/>
      <c r="CK361" s="93"/>
      <c r="CL361" s="93"/>
      <c r="CM361" s="93"/>
      <c r="CN361" s="93"/>
      <c r="CO361" s="93"/>
      <c r="CP361" s="93"/>
      <c r="CQ361" s="93"/>
      <c r="CR361" s="93"/>
      <c r="CS361" s="93"/>
      <c r="CT361" s="93"/>
      <c r="CU361" s="93"/>
      <c r="CV361" s="93"/>
      <c r="CW361" s="93"/>
      <c r="CX361" s="93"/>
      <c r="CY361" s="93"/>
      <c r="CZ361" s="93"/>
      <c r="DA361" s="93"/>
      <c r="DB361" s="93"/>
      <c r="DC361" s="93"/>
      <c r="DD361" s="93"/>
      <c r="DE361" s="93"/>
      <c r="DF361" s="93"/>
      <c r="DG361" s="93"/>
      <c r="DH361" s="93"/>
      <c r="DI361" s="826"/>
      <c r="DJ361" s="825"/>
      <c r="DK361" s="825"/>
      <c r="GO361" s="92"/>
      <c r="GP361" s="831"/>
    </row>
    <row r="362" spans="1:198" s="806" customFormat="1" ht="15">
      <c r="D362" s="1065" t="s">
        <v>280</v>
      </c>
      <c r="G362" s="809" t="s">
        <v>280</v>
      </c>
      <c r="H362" s="809" t="s">
        <v>8693</v>
      </c>
      <c r="I362" s="92">
        <v>58</v>
      </c>
      <c r="J362" s="92" t="s">
        <v>18</v>
      </c>
      <c r="K362" s="92" t="s">
        <v>768</v>
      </c>
      <c r="L362" s="810">
        <v>4</v>
      </c>
      <c r="M362" s="811" t="str">
        <f t="shared" si="28"/>
        <v>High School Level</v>
      </c>
      <c r="N362" s="92" t="s">
        <v>1208</v>
      </c>
      <c r="O362" s="92" t="s">
        <v>2199</v>
      </c>
      <c r="P362" s="1638"/>
      <c r="Q362" s="92" t="s">
        <v>2199</v>
      </c>
      <c r="R362" s="92" t="s">
        <v>8234</v>
      </c>
      <c r="S362" s="848">
        <v>8000</v>
      </c>
      <c r="T362" s="813"/>
      <c r="U362" s="813">
        <f>QUOTIENT(3000,12)</f>
        <v>250</v>
      </c>
      <c r="V362" s="864"/>
      <c r="W362" s="838">
        <v>2</v>
      </c>
      <c r="X362" s="811" t="str">
        <f t="shared" si="27"/>
        <v>within the Municipality/City</v>
      </c>
      <c r="Y362" s="836">
        <v>900</v>
      </c>
      <c r="Z362" s="92"/>
      <c r="AA362" s="836"/>
      <c r="AB362" s="864"/>
      <c r="AC362" s="809" t="s">
        <v>2199</v>
      </c>
      <c r="AD362" s="824"/>
      <c r="AE362" s="93"/>
      <c r="AF362" s="818"/>
      <c r="AG362" s="807" t="str">
        <f t="shared" si="29"/>
        <v/>
      </c>
      <c r="AH362" s="807"/>
      <c r="AI362" s="807"/>
      <c r="AJ362" s="807"/>
      <c r="AK362" s="92"/>
      <c r="AL362" s="92"/>
      <c r="AM362" s="819"/>
      <c r="AN362" s="820"/>
      <c r="AO362" s="817"/>
      <c r="AP362" s="820"/>
      <c r="AQ362" s="93"/>
      <c r="AR362" s="93"/>
      <c r="AS362" s="93"/>
      <c r="AT362" s="93"/>
      <c r="AU362" s="93"/>
      <c r="AV362" s="93"/>
      <c r="AW362" s="93"/>
      <c r="AX362" s="93"/>
      <c r="AY362" s="93"/>
      <c r="AZ362" s="93"/>
      <c r="BA362" s="93"/>
      <c r="BB362" s="93"/>
      <c r="BC362" s="93"/>
      <c r="BD362" s="93"/>
      <c r="BE362" s="93"/>
      <c r="BF362" s="93"/>
      <c r="BG362" s="93"/>
      <c r="BH362" s="93"/>
      <c r="BI362" s="93"/>
      <c r="BJ362" s="93"/>
      <c r="BK362" s="93"/>
      <c r="BL362" s="93"/>
      <c r="BM362" s="93"/>
      <c r="BN362" s="93"/>
      <c r="BO362" s="92"/>
      <c r="BP362" s="92"/>
      <c r="BQ362" s="92"/>
      <c r="BR362" s="92"/>
      <c r="BS362" s="92"/>
      <c r="BT362" s="93"/>
      <c r="BU362" s="93"/>
      <c r="BV362" s="93"/>
      <c r="BW362" s="93"/>
      <c r="BX362" s="93"/>
      <c r="BY362" s="93"/>
      <c r="BZ362" s="93"/>
      <c r="CA362" s="93"/>
      <c r="CB362" s="93"/>
      <c r="CC362" s="93"/>
      <c r="CD362" s="93"/>
      <c r="CE362" s="93"/>
      <c r="CF362" s="93"/>
      <c r="CG362" s="93"/>
      <c r="CH362" s="93"/>
      <c r="CI362" s="93"/>
      <c r="CJ362" s="93"/>
      <c r="CK362" s="93"/>
      <c r="CL362" s="93"/>
      <c r="CM362" s="93"/>
      <c r="CN362" s="93"/>
      <c r="CO362" s="93"/>
      <c r="CP362" s="93"/>
      <c r="CQ362" s="93"/>
      <c r="CR362" s="93"/>
      <c r="CS362" s="93"/>
      <c r="CT362" s="93"/>
      <c r="CU362" s="93"/>
      <c r="CV362" s="93"/>
      <c r="CW362" s="93"/>
      <c r="CX362" s="93"/>
      <c r="CY362" s="93"/>
      <c r="CZ362" s="93"/>
      <c r="DA362" s="93"/>
      <c r="DB362" s="93"/>
      <c r="DC362" s="93"/>
      <c r="DD362" s="93"/>
      <c r="DE362" s="93"/>
      <c r="DF362" s="93"/>
      <c r="DG362" s="93"/>
      <c r="DH362" s="93"/>
      <c r="DI362" s="826"/>
      <c r="DJ362" s="825"/>
      <c r="DK362" s="825"/>
      <c r="GO362" s="92"/>
      <c r="GP362" s="831"/>
    </row>
    <row r="363" spans="1:198" s="806" customFormat="1" ht="15">
      <c r="D363" s="1065"/>
      <c r="G363" s="827"/>
      <c r="H363" s="809" t="s">
        <v>8694</v>
      </c>
      <c r="I363" s="92">
        <v>20</v>
      </c>
      <c r="J363" s="92" t="s">
        <v>18</v>
      </c>
      <c r="K363" s="92" t="s">
        <v>768</v>
      </c>
      <c r="L363" s="810">
        <v>5</v>
      </c>
      <c r="M363" s="811" t="str">
        <f t="shared" si="28"/>
        <v>High School Graduate</v>
      </c>
      <c r="N363" s="92" t="s">
        <v>1208</v>
      </c>
      <c r="O363" s="92" t="s">
        <v>2200</v>
      </c>
      <c r="P363" s="1638"/>
      <c r="Q363" s="92" t="s">
        <v>2200</v>
      </c>
      <c r="R363" s="92"/>
      <c r="S363" s="848"/>
      <c r="T363" s="813"/>
      <c r="U363" s="813"/>
      <c r="V363" s="864"/>
      <c r="W363" s="838"/>
      <c r="X363" s="811" t="str">
        <f t="shared" si="27"/>
        <v/>
      </c>
      <c r="Y363" s="836">
        <v>1000</v>
      </c>
      <c r="Z363" s="836"/>
      <c r="AA363" s="836"/>
      <c r="AB363" s="864"/>
      <c r="AC363" s="809"/>
      <c r="AD363" s="824"/>
      <c r="AE363" s="93"/>
      <c r="AF363" s="818"/>
      <c r="AG363" s="807" t="str">
        <f t="shared" si="29"/>
        <v/>
      </c>
      <c r="AH363" s="807"/>
      <c r="AI363" s="807"/>
      <c r="AJ363" s="807"/>
      <c r="AK363" s="92"/>
      <c r="AL363" s="92"/>
      <c r="AM363" s="819"/>
      <c r="AN363" s="820"/>
      <c r="AO363" s="817"/>
      <c r="AP363" s="820"/>
      <c r="AQ363" s="93"/>
      <c r="AR363" s="93"/>
      <c r="AS363" s="93"/>
      <c r="AT363" s="93"/>
      <c r="AU363" s="93"/>
      <c r="AV363" s="93"/>
      <c r="AW363" s="93"/>
      <c r="AX363" s="93"/>
      <c r="AY363" s="93"/>
      <c r="AZ363" s="93"/>
      <c r="BA363" s="93"/>
      <c r="BB363" s="93"/>
      <c r="BC363" s="93"/>
      <c r="BD363" s="93"/>
      <c r="BE363" s="93"/>
      <c r="BF363" s="93"/>
      <c r="BG363" s="93"/>
      <c r="BH363" s="93"/>
      <c r="BI363" s="93"/>
      <c r="BJ363" s="93"/>
      <c r="BK363" s="93"/>
      <c r="BL363" s="93"/>
      <c r="BM363" s="93"/>
      <c r="BN363" s="93"/>
      <c r="BO363" s="92"/>
      <c r="BP363" s="92"/>
      <c r="BQ363" s="92"/>
      <c r="BR363" s="92"/>
      <c r="BS363" s="92"/>
      <c r="BT363" s="93"/>
      <c r="BU363" s="93"/>
      <c r="BV363" s="93"/>
      <c r="BW363" s="93"/>
      <c r="BX363" s="93"/>
      <c r="BY363" s="93"/>
      <c r="BZ363" s="93"/>
      <c r="CA363" s="93"/>
      <c r="CB363" s="93"/>
      <c r="CC363" s="93"/>
      <c r="CD363" s="93"/>
      <c r="CE363" s="93"/>
      <c r="CF363" s="93"/>
      <c r="CG363" s="93"/>
      <c r="CH363" s="93"/>
      <c r="CI363" s="93"/>
      <c r="CJ363" s="93"/>
      <c r="CK363" s="93"/>
      <c r="CL363" s="93"/>
      <c r="CM363" s="93"/>
      <c r="CN363" s="93"/>
      <c r="CO363" s="93"/>
      <c r="CP363" s="93"/>
      <c r="CQ363" s="93"/>
      <c r="CR363" s="93"/>
      <c r="CS363" s="93"/>
      <c r="CT363" s="93"/>
      <c r="CU363" s="93"/>
      <c r="CV363" s="93"/>
      <c r="CW363" s="93"/>
      <c r="CX363" s="93"/>
      <c r="CY363" s="93"/>
      <c r="CZ363" s="93"/>
      <c r="DA363" s="93"/>
      <c r="DB363" s="93"/>
      <c r="DC363" s="93"/>
      <c r="DD363" s="93"/>
      <c r="DE363" s="93"/>
      <c r="DF363" s="93"/>
      <c r="DG363" s="93"/>
      <c r="DH363" s="93"/>
      <c r="DI363" s="826"/>
      <c r="DJ363" s="825"/>
      <c r="DK363" s="825"/>
      <c r="GO363" s="92"/>
      <c r="GP363" s="831"/>
    </row>
    <row r="364" spans="1:198" s="806" customFormat="1" ht="15">
      <c r="D364" s="1065"/>
      <c r="G364" s="827"/>
      <c r="H364" s="809" t="s">
        <v>8695</v>
      </c>
      <c r="I364" s="92">
        <v>18</v>
      </c>
      <c r="J364" s="92" t="s">
        <v>10</v>
      </c>
      <c r="K364" s="92" t="s">
        <v>768</v>
      </c>
      <c r="L364" s="810">
        <v>4</v>
      </c>
      <c r="M364" s="811" t="str">
        <f t="shared" si="28"/>
        <v>High School Level</v>
      </c>
      <c r="N364" s="92"/>
      <c r="O364" s="92"/>
      <c r="P364" s="1638"/>
      <c r="Q364" s="92"/>
      <c r="R364" s="92"/>
      <c r="S364" s="848"/>
      <c r="T364" s="813"/>
      <c r="U364" s="813"/>
      <c r="V364" s="864"/>
      <c r="W364" s="838"/>
      <c r="X364" s="811" t="str">
        <f t="shared" si="27"/>
        <v/>
      </c>
      <c r="Y364" s="836"/>
      <c r="Z364" s="836"/>
      <c r="AA364" s="836"/>
      <c r="AB364" s="864"/>
      <c r="AC364" s="809"/>
      <c r="AD364" s="824"/>
      <c r="AE364" s="93"/>
      <c r="AF364" s="818"/>
      <c r="AG364" s="807" t="str">
        <f t="shared" si="29"/>
        <v/>
      </c>
      <c r="AH364" s="807"/>
      <c r="AI364" s="807"/>
      <c r="AJ364" s="807"/>
      <c r="AK364" s="92"/>
      <c r="AL364" s="92"/>
      <c r="AM364" s="819"/>
      <c r="AN364" s="820"/>
      <c r="AO364" s="817"/>
      <c r="AP364" s="820"/>
      <c r="AQ364" s="93"/>
      <c r="AR364" s="93"/>
      <c r="AS364" s="93"/>
      <c r="AT364" s="93"/>
      <c r="AU364" s="93"/>
      <c r="AV364" s="93"/>
      <c r="AW364" s="93"/>
      <c r="AX364" s="93"/>
      <c r="AY364" s="93"/>
      <c r="AZ364" s="93"/>
      <c r="BA364" s="93"/>
      <c r="BB364" s="93"/>
      <c r="BC364" s="93"/>
      <c r="BD364" s="93"/>
      <c r="BE364" s="93"/>
      <c r="BF364" s="93"/>
      <c r="BG364" s="93"/>
      <c r="BH364" s="93"/>
      <c r="BI364" s="93"/>
      <c r="BJ364" s="93"/>
      <c r="BK364" s="93"/>
      <c r="BL364" s="93"/>
      <c r="BM364" s="93"/>
      <c r="BN364" s="93"/>
      <c r="BO364" s="92"/>
      <c r="BP364" s="92"/>
      <c r="BQ364" s="92"/>
      <c r="BR364" s="92"/>
      <c r="BS364" s="92"/>
      <c r="BT364" s="93"/>
      <c r="BU364" s="93"/>
      <c r="BV364" s="93"/>
      <c r="BW364" s="93"/>
      <c r="BX364" s="93"/>
      <c r="BY364" s="93"/>
      <c r="BZ364" s="93"/>
      <c r="CA364" s="93"/>
      <c r="CB364" s="93"/>
      <c r="CC364" s="93"/>
      <c r="CD364" s="93"/>
      <c r="CE364" s="93"/>
      <c r="CF364" s="93"/>
      <c r="CG364" s="93"/>
      <c r="CH364" s="93"/>
      <c r="CI364" s="93"/>
      <c r="CJ364" s="93"/>
      <c r="CK364" s="93"/>
      <c r="CL364" s="93"/>
      <c r="CM364" s="93"/>
      <c r="CN364" s="93"/>
      <c r="CO364" s="93"/>
      <c r="CP364" s="93"/>
      <c r="CQ364" s="93"/>
      <c r="CR364" s="93"/>
      <c r="CS364" s="93"/>
      <c r="CT364" s="93"/>
      <c r="CU364" s="93"/>
      <c r="CV364" s="93"/>
      <c r="CW364" s="93"/>
      <c r="CX364" s="93"/>
      <c r="CY364" s="93"/>
      <c r="CZ364" s="93"/>
      <c r="DA364" s="93"/>
      <c r="DB364" s="93"/>
      <c r="DC364" s="93"/>
      <c r="DD364" s="93"/>
      <c r="DE364" s="93"/>
      <c r="DF364" s="93"/>
      <c r="DG364" s="93"/>
      <c r="DH364" s="93"/>
      <c r="DI364" s="826"/>
      <c r="DJ364" s="825"/>
      <c r="DK364" s="825"/>
      <c r="GO364" s="92"/>
      <c r="GP364" s="831"/>
    </row>
    <row r="365" spans="1:198" s="806" customFormat="1" ht="15">
      <c r="D365" s="1065"/>
      <c r="G365" s="827"/>
      <c r="H365" s="809" t="s">
        <v>1727</v>
      </c>
      <c r="I365" s="92">
        <v>56</v>
      </c>
      <c r="J365" s="92" t="s">
        <v>18</v>
      </c>
      <c r="K365" s="92" t="s">
        <v>768</v>
      </c>
      <c r="L365" s="810">
        <v>7</v>
      </c>
      <c r="M365" s="811" t="str">
        <f t="shared" si="28"/>
        <v>College Graduate or Higher</v>
      </c>
      <c r="N365" s="92" t="s">
        <v>1208</v>
      </c>
      <c r="O365" s="92" t="s">
        <v>8696</v>
      </c>
      <c r="P365" s="1638"/>
      <c r="Q365" s="92" t="s">
        <v>8696</v>
      </c>
      <c r="R365" s="92" t="s">
        <v>8285</v>
      </c>
      <c r="S365" s="848"/>
      <c r="T365" s="813"/>
      <c r="U365" s="813"/>
      <c r="V365" s="864">
        <f>SUM(S362:U365)</f>
        <v>8250</v>
      </c>
      <c r="W365" s="838">
        <v>5</v>
      </c>
      <c r="X365" s="811" t="str">
        <f t="shared" si="27"/>
        <v>Overseas Worker</v>
      </c>
      <c r="Y365" s="836"/>
      <c r="Z365" s="836"/>
      <c r="AA365" s="836"/>
      <c r="AB365" s="864">
        <f>SUM(Y362:AA365)</f>
        <v>1900</v>
      </c>
      <c r="AC365" s="809" t="s">
        <v>8697</v>
      </c>
      <c r="AD365" s="824"/>
      <c r="AE365" s="93"/>
      <c r="AF365" s="818"/>
      <c r="AG365" s="807" t="str">
        <f t="shared" si="29"/>
        <v/>
      </c>
      <c r="AH365" s="807"/>
      <c r="AI365" s="807"/>
      <c r="AJ365" s="807"/>
      <c r="AK365" s="92"/>
      <c r="AL365" s="92"/>
      <c r="AM365" s="819"/>
      <c r="AN365" s="820"/>
      <c r="AO365" s="817"/>
      <c r="AP365" s="820"/>
      <c r="AQ365" s="93"/>
      <c r="AR365" s="93"/>
      <c r="AS365" s="93"/>
      <c r="AT365" s="93"/>
      <c r="AU365" s="93"/>
      <c r="AV365" s="93"/>
      <c r="AW365" s="93"/>
      <c r="AX365" s="93"/>
      <c r="AY365" s="93"/>
      <c r="AZ365" s="93"/>
      <c r="BA365" s="93"/>
      <c r="BB365" s="93"/>
      <c r="BC365" s="93"/>
      <c r="BD365" s="93"/>
      <c r="BE365" s="93"/>
      <c r="BF365" s="93"/>
      <c r="BG365" s="93"/>
      <c r="BH365" s="93"/>
      <c r="BI365" s="93"/>
      <c r="BJ365" s="93"/>
      <c r="BK365" s="93"/>
      <c r="BL365" s="93"/>
      <c r="BM365" s="93"/>
      <c r="BN365" s="93"/>
      <c r="BO365" s="92"/>
      <c r="BP365" s="92"/>
      <c r="BQ365" s="92"/>
      <c r="BR365" s="92"/>
      <c r="BS365" s="92"/>
      <c r="BT365" s="93"/>
      <c r="BU365" s="93"/>
      <c r="BV365" s="93"/>
      <c r="BW365" s="93"/>
      <c r="BX365" s="93"/>
      <c r="BY365" s="93"/>
      <c r="BZ365" s="93"/>
      <c r="CA365" s="93"/>
      <c r="CB365" s="93"/>
      <c r="CC365" s="93"/>
      <c r="CD365" s="93"/>
      <c r="CE365" s="93"/>
      <c r="CF365" s="93"/>
      <c r="CG365" s="93"/>
      <c r="CH365" s="93"/>
      <c r="CI365" s="93"/>
      <c r="CJ365" s="93"/>
      <c r="CK365" s="93"/>
      <c r="CL365" s="93"/>
      <c r="CM365" s="93"/>
      <c r="CN365" s="93"/>
      <c r="CO365" s="93"/>
      <c r="CP365" s="93"/>
      <c r="CQ365" s="93"/>
      <c r="CR365" s="93"/>
      <c r="CS365" s="93"/>
      <c r="CT365" s="93"/>
      <c r="CU365" s="93"/>
      <c r="CV365" s="93"/>
      <c r="CW365" s="93"/>
      <c r="CX365" s="93"/>
      <c r="CY365" s="93"/>
      <c r="CZ365" s="93"/>
      <c r="DA365" s="93"/>
      <c r="DB365" s="93"/>
      <c r="DC365" s="93"/>
      <c r="DD365" s="93"/>
      <c r="DE365" s="93"/>
      <c r="DF365" s="93"/>
      <c r="DG365" s="93"/>
      <c r="DH365" s="93"/>
      <c r="DI365" s="826"/>
      <c r="DJ365" s="825"/>
      <c r="DK365" s="825"/>
      <c r="GO365" s="92"/>
      <c r="GP365" s="831"/>
    </row>
    <row r="366" spans="1:198" s="806" customFormat="1" ht="15">
      <c r="D366" s="1065" t="s">
        <v>2227</v>
      </c>
      <c r="G366" s="809" t="s">
        <v>2227</v>
      </c>
      <c r="H366" s="809" t="s">
        <v>2068</v>
      </c>
      <c r="I366" s="857">
        <v>60</v>
      </c>
      <c r="J366" s="92" t="s">
        <v>18</v>
      </c>
      <c r="K366" s="92" t="s">
        <v>719</v>
      </c>
      <c r="L366" s="810">
        <v>5</v>
      </c>
      <c r="M366" s="811" t="str">
        <f t="shared" si="28"/>
        <v>High School Graduate</v>
      </c>
      <c r="N366" s="92" t="s">
        <v>1208</v>
      </c>
      <c r="O366" s="92" t="s">
        <v>2199</v>
      </c>
      <c r="P366" s="1638"/>
      <c r="Q366" s="92" t="s">
        <v>2199</v>
      </c>
      <c r="R366" s="92" t="s">
        <v>8234</v>
      </c>
      <c r="S366" s="848">
        <v>4000</v>
      </c>
      <c r="T366" s="813"/>
      <c r="U366" s="813"/>
      <c r="V366" s="849"/>
      <c r="W366" s="838">
        <v>1</v>
      </c>
      <c r="X366" s="811" t="str">
        <f t="shared" si="27"/>
        <v>within the Brgy</v>
      </c>
      <c r="Y366" s="836"/>
      <c r="Z366" s="836"/>
      <c r="AA366" s="836"/>
      <c r="AB366" s="849"/>
      <c r="AC366" s="809"/>
      <c r="AD366" s="824"/>
      <c r="AE366" s="93"/>
      <c r="AF366" s="818"/>
      <c r="AG366" s="807" t="str">
        <f t="shared" si="29"/>
        <v/>
      </c>
      <c r="AH366" s="807"/>
      <c r="AI366" s="807"/>
      <c r="AJ366" s="807"/>
      <c r="AK366" s="92"/>
      <c r="AL366" s="92"/>
      <c r="AM366" s="819"/>
      <c r="AN366" s="820"/>
      <c r="AO366" s="817"/>
      <c r="AP366" s="820"/>
      <c r="AQ366" s="93"/>
      <c r="AR366" s="93"/>
      <c r="AS366" s="93"/>
      <c r="AT366" s="93"/>
      <c r="AU366" s="93"/>
      <c r="AV366" s="93"/>
      <c r="AW366" s="93"/>
      <c r="AX366" s="93"/>
      <c r="AY366" s="93"/>
      <c r="AZ366" s="93"/>
      <c r="BA366" s="93"/>
      <c r="BB366" s="93"/>
      <c r="BC366" s="93"/>
      <c r="BD366" s="93"/>
      <c r="BE366" s="93"/>
      <c r="BF366" s="93"/>
      <c r="BG366" s="93"/>
      <c r="BH366" s="93"/>
      <c r="BI366" s="93"/>
      <c r="BJ366" s="93"/>
      <c r="BK366" s="93"/>
      <c r="BL366" s="93"/>
      <c r="BM366" s="93"/>
      <c r="BN366" s="93"/>
      <c r="BO366" s="92"/>
      <c r="BP366" s="92"/>
      <c r="BQ366" s="92"/>
      <c r="BR366" s="92"/>
      <c r="BS366" s="92"/>
      <c r="BT366" s="93"/>
      <c r="BU366" s="93"/>
      <c r="BV366" s="93"/>
      <c r="BW366" s="93"/>
      <c r="BX366" s="93"/>
      <c r="BY366" s="93"/>
      <c r="BZ366" s="93"/>
      <c r="CA366" s="93"/>
      <c r="CB366" s="93"/>
      <c r="CC366" s="93"/>
      <c r="CD366" s="93"/>
      <c r="CE366" s="93"/>
      <c r="CF366" s="93"/>
      <c r="CG366" s="93"/>
      <c r="CH366" s="93"/>
      <c r="CI366" s="93"/>
      <c r="CJ366" s="93"/>
      <c r="CK366" s="93"/>
      <c r="CL366" s="93"/>
      <c r="CM366" s="93"/>
      <c r="CN366" s="93"/>
      <c r="CO366" s="93"/>
      <c r="CP366" s="93"/>
      <c r="CQ366" s="93"/>
      <c r="CR366" s="93"/>
      <c r="CS366" s="93">
        <v>1</v>
      </c>
      <c r="CT366" s="93"/>
      <c r="CU366" s="93"/>
      <c r="CV366" s="93"/>
      <c r="CW366" s="93"/>
      <c r="CX366" s="93"/>
      <c r="CY366" s="93"/>
      <c r="CZ366" s="93"/>
      <c r="DA366" s="93"/>
      <c r="DB366" s="93"/>
      <c r="DC366" s="93"/>
      <c r="DD366" s="93"/>
      <c r="DE366" s="93"/>
      <c r="DF366" s="93"/>
      <c r="DG366" s="93"/>
      <c r="DH366" s="93"/>
      <c r="DI366" s="826"/>
      <c r="DJ366" s="825"/>
      <c r="DK366" s="825"/>
      <c r="GO366" s="92"/>
      <c r="GP366" s="831"/>
    </row>
    <row r="367" spans="1:198" s="806" customFormat="1" ht="15">
      <c r="D367" s="1065"/>
      <c r="G367" s="827"/>
      <c r="H367" s="809"/>
      <c r="I367" s="92"/>
      <c r="J367" s="92"/>
      <c r="K367" s="92"/>
      <c r="L367" s="810"/>
      <c r="M367" s="811" t="str">
        <f t="shared" si="28"/>
        <v/>
      </c>
      <c r="N367" s="92"/>
      <c r="O367" s="92" t="s">
        <v>8698</v>
      </c>
      <c r="P367" s="1638"/>
      <c r="Q367" s="92" t="s">
        <v>8698</v>
      </c>
      <c r="R367" s="92"/>
      <c r="S367" s="848">
        <v>3000</v>
      </c>
      <c r="T367" s="813"/>
      <c r="U367" s="813"/>
      <c r="V367" s="849"/>
      <c r="W367" s="838">
        <v>1</v>
      </c>
      <c r="X367" s="811" t="str">
        <f t="shared" si="27"/>
        <v>within the Brgy</v>
      </c>
      <c r="Y367" s="836"/>
      <c r="Z367" s="836"/>
      <c r="AA367" s="836"/>
      <c r="AB367" s="849"/>
      <c r="AC367" s="809"/>
      <c r="AD367" s="824"/>
      <c r="AE367" s="93"/>
      <c r="AF367" s="818"/>
      <c r="AG367" s="807" t="str">
        <f t="shared" si="29"/>
        <v/>
      </c>
      <c r="AH367" s="807"/>
      <c r="AI367" s="807"/>
      <c r="AJ367" s="807"/>
      <c r="AK367" s="92"/>
      <c r="AL367" s="92"/>
      <c r="AM367" s="819"/>
      <c r="AN367" s="820"/>
      <c r="AO367" s="817"/>
      <c r="AP367" s="820"/>
      <c r="AQ367" s="93"/>
      <c r="AR367" s="93"/>
      <c r="AS367" s="93"/>
      <c r="AT367" s="93"/>
      <c r="AU367" s="93"/>
      <c r="AV367" s="93"/>
      <c r="AW367" s="93"/>
      <c r="AX367" s="93"/>
      <c r="AY367" s="93"/>
      <c r="AZ367" s="93"/>
      <c r="BA367" s="93"/>
      <c r="BB367" s="93"/>
      <c r="BC367" s="93"/>
      <c r="BD367" s="93"/>
      <c r="BE367" s="93"/>
      <c r="BF367" s="93"/>
      <c r="BG367" s="93"/>
      <c r="BH367" s="93"/>
      <c r="BI367" s="93"/>
      <c r="BJ367" s="93"/>
      <c r="BK367" s="93"/>
      <c r="BL367" s="93"/>
      <c r="BM367" s="93"/>
      <c r="BN367" s="93"/>
      <c r="BO367" s="92"/>
      <c r="BP367" s="92"/>
      <c r="BQ367" s="92"/>
      <c r="BR367" s="92"/>
      <c r="BS367" s="92"/>
      <c r="BT367" s="93"/>
      <c r="BU367" s="93"/>
      <c r="BV367" s="93"/>
      <c r="BW367" s="93"/>
      <c r="BX367" s="93"/>
      <c r="BY367" s="93"/>
      <c r="BZ367" s="93"/>
      <c r="CA367" s="93"/>
      <c r="CB367" s="93"/>
      <c r="CC367" s="93"/>
      <c r="CD367" s="93"/>
      <c r="CE367" s="93"/>
      <c r="CF367" s="93"/>
      <c r="CG367" s="93"/>
      <c r="CH367" s="93"/>
      <c r="CI367" s="93"/>
      <c r="CJ367" s="93"/>
      <c r="CK367" s="93"/>
      <c r="CL367" s="93"/>
      <c r="CM367" s="93"/>
      <c r="CN367" s="93"/>
      <c r="CO367" s="93"/>
      <c r="CP367" s="93"/>
      <c r="CQ367" s="93"/>
      <c r="CR367" s="93"/>
      <c r="CS367" s="93"/>
      <c r="CT367" s="93"/>
      <c r="CU367" s="93"/>
      <c r="CV367" s="93"/>
      <c r="CW367" s="93"/>
      <c r="CX367" s="93"/>
      <c r="CY367" s="93"/>
      <c r="CZ367" s="93"/>
      <c r="DA367" s="93"/>
      <c r="DB367" s="93"/>
      <c r="DC367" s="93"/>
      <c r="DD367" s="93"/>
      <c r="DE367" s="93"/>
      <c r="DF367" s="93"/>
      <c r="DG367" s="93"/>
      <c r="DH367" s="93"/>
      <c r="DI367" s="826"/>
      <c r="DJ367" s="825"/>
      <c r="DK367" s="825"/>
      <c r="GO367" s="92"/>
      <c r="GP367" s="831"/>
    </row>
    <row r="368" spans="1:198" s="806" customFormat="1" ht="15">
      <c r="D368" s="1065"/>
      <c r="G368" s="827"/>
      <c r="H368" s="809" t="s">
        <v>8699</v>
      </c>
      <c r="I368" s="92">
        <v>35</v>
      </c>
      <c r="J368" s="92" t="s">
        <v>10</v>
      </c>
      <c r="K368" s="92" t="s">
        <v>768</v>
      </c>
      <c r="L368" s="810">
        <v>4</v>
      </c>
      <c r="M368" s="811" t="str">
        <f t="shared" si="28"/>
        <v>High School Level</v>
      </c>
      <c r="N368" s="92" t="s">
        <v>1208</v>
      </c>
      <c r="O368" s="92" t="s">
        <v>8700</v>
      </c>
      <c r="P368" s="1638"/>
      <c r="Q368" s="92" t="s">
        <v>8700</v>
      </c>
      <c r="R368" s="92"/>
      <c r="S368" s="848">
        <v>3500</v>
      </c>
      <c r="T368" s="813"/>
      <c r="U368" s="813"/>
      <c r="V368" s="849"/>
      <c r="W368" s="838">
        <v>4</v>
      </c>
      <c r="X368" s="811" t="str">
        <f t="shared" si="27"/>
        <v>Other Province</v>
      </c>
      <c r="Y368" s="836"/>
      <c r="Z368" s="836"/>
      <c r="AA368" s="836"/>
      <c r="AB368" s="849"/>
      <c r="AC368" s="809"/>
      <c r="AD368" s="824"/>
      <c r="AE368" s="93"/>
      <c r="AF368" s="818"/>
      <c r="AG368" s="807" t="str">
        <f t="shared" si="29"/>
        <v/>
      </c>
      <c r="AH368" s="807"/>
      <c r="AI368" s="807"/>
      <c r="AJ368" s="807"/>
      <c r="AK368" s="92"/>
      <c r="AL368" s="92"/>
      <c r="AM368" s="819"/>
      <c r="AN368" s="820"/>
      <c r="AO368" s="817"/>
      <c r="AP368" s="820"/>
      <c r="AQ368" s="93"/>
      <c r="AR368" s="93"/>
      <c r="AS368" s="93"/>
      <c r="AT368" s="93"/>
      <c r="AU368" s="93"/>
      <c r="AV368" s="93"/>
      <c r="AW368" s="93"/>
      <c r="AX368" s="93"/>
      <c r="AY368" s="93"/>
      <c r="AZ368" s="93"/>
      <c r="BA368" s="93"/>
      <c r="BB368" s="93"/>
      <c r="BC368" s="93"/>
      <c r="BD368" s="93" t="s">
        <v>2145</v>
      </c>
      <c r="BE368" s="93"/>
      <c r="BF368" s="93"/>
      <c r="BG368" s="93"/>
      <c r="BH368" s="93"/>
      <c r="BI368" s="93"/>
      <c r="BJ368" s="93"/>
      <c r="BK368" s="93"/>
      <c r="BL368" s="93"/>
      <c r="BM368" s="93"/>
      <c r="BN368" s="93"/>
      <c r="BO368" s="92" t="s">
        <v>2144</v>
      </c>
      <c r="BP368" s="92"/>
      <c r="BQ368" s="92"/>
      <c r="BR368" s="92"/>
      <c r="BS368" s="92"/>
      <c r="BT368" s="93"/>
      <c r="BU368" s="93"/>
      <c r="BV368" s="93"/>
      <c r="BW368" s="93"/>
      <c r="BX368" s="93"/>
      <c r="BY368" s="93"/>
      <c r="BZ368" s="93"/>
      <c r="CA368" s="93"/>
      <c r="CB368" s="93"/>
      <c r="CC368" s="93"/>
      <c r="CD368" s="93"/>
      <c r="CE368" s="93"/>
      <c r="CF368" s="93"/>
      <c r="CG368" s="93"/>
      <c r="CH368" s="93"/>
      <c r="CI368" s="93"/>
      <c r="CJ368" s="93"/>
      <c r="CK368" s="93"/>
      <c r="CL368" s="93"/>
      <c r="CM368" s="93"/>
      <c r="CN368" s="93"/>
      <c r="CO368" s="93"/>
      <c r="CP368" s="93"/>
      <c r="CQ368" s="93"/>
      <c r="CR368" s="93"/>
      <c r="CS368" s="93"/>
      <c r="CT368" s="93"/>
      <c r="CU368" s="93"/>
      <c r="CV368" s="93"/>
      <c r="CW368" s="93"/>
      <c r="CX368" s="93"/>
      <c r="CY368" s="93"/>
      <c r="CZ368" s="93"/>
      <c r="DA368" s="93"/>
      <c r="DB368" s="93"/>
      <c r="DC368" s="93"/>
      <c r="DD368" s="93"/>
      <c r="DE368" s="93"/>
      <c r="DF368" s="93"/>
      <c r="DG368" s="93"/>
      <c r="DH368" s="93"/>
      <c r="DI368" s="826"/>
      <c r="DJ368" s="825"/>
      <c r="DK368" s="825"/>
      <c r="GO368" s="92"/>
      <c r="GP368" s="831"/>
    </row>
    <row r="369" spans="1:198" s="806" customFormat="1" ht="15">
      <c r="D369" s="1065"/>
      <c r="G369" s="827"/>
      <c r="H369" s="809" t="s">
        <v>8701</v>
      </c>
      <c r="I369" s="92">
        <v>13</v>
      </c>
      <c r="J369" s="92" t="s">
        <v>10</v>
      </c>
      <c r="K369" s="92" t="s">
        <v>768</v>
      </c>
      <c r="L369" s="810">
        <v>2</v>
      </c>
      <c r="M369" s="811" t="str">
        <f t="shared" si="28"/>
        <v>Elementary Level</v>
      </c>
      <c r="N369" s="92"/>
      <c r="O369" s="92"/>
      <c r="P369" s="1638"/>
      <c r="Q369" s="92"/>
      <c r="R369" s="92"/>
      <c r="S369" s="836"/>
      <c r="T369" s="813"/>
      <c r="U369" s="813"/>
      <c r="V369" s="849"/>
      <c r="W369" s="838"/>
      <c r="X369" s="811" t="str">
        <f t="shared" si="27"/>
        <v/>
      </c>
      <c r="Y369" s="836"/>
      <c r="Z369" s="836"/>
      <c r="AA369" s="836"/>
      <c r="AB369" s="849"/>
      <c r="AC369" s="809"/>
      <c r="AD369" s="824"/>
      <c r="AE369" s="93"/>
      <c r="AF369" s="818"/>
      <c r="AG369" s="807" t="str">
        <f t="shared" si="29"/>
        <v/>
      </c>
      <c r="AH369" s="807"/>
      <c r="AI369" s="807"/>
      <c r="AJ369" s="807"/>
      <c r="AK369" s="92"/>
      <c r="AL369" s="92"/>
      <c r="AM369" s="819"/>
      <c r="AN369" s="820"/>
      <c r="AO369" s="817"/>
      <c r="AP369" s="820"/>
      <c r="AQ369" s="93"/>
      <c r="AR369" s="93"/>
      <c r="AS369" s="93"/>
      <c r="AT369" s="93"/>
      <c r="AU369" s="93"/>
      <c r="AV369" s="93"/>
      <c r="AW369" s="93"/>
      <c r="AX369" s="93"/>
      <c r="AY369" s="93"/>
      <c r="AZ369" s="93"/>
      <c r="BA369" s="93"/>
      <c r="BB369" s="93"/>
      <c r="BC369" s="93"/>
      <c r="BD369" s="93"/>
      <c r="BE369" s="93"/>
      <c r="BF369" s="93"/>
      <c r="BG369" s="93"/>
      <c r="BH369" s="93"/>
      <c r="BI369" s="93"/>
      <c r="BJ369" s="93"/>
      <c r="BK369" s="93"/>
      <c r="BL369" s="93"/>
      <c r="BM369" s="93"/>
      <c r="BN369" s="93"/>
      <c r="BO369" s="92"/>
      <c r="BP369" s="92"/>
      <c r="BQ369" s="92"/>
      <c r="BR369" s="92"/>
      <c r="BS369" s="92"/>
      <c r="BT369" s="93"/>
      <c r="BU369" s="93"/>
      <c r="BV369" s="93"/>
      <c r="BW369" s="93"/>
      <c r="BX369" s="93"/>
      <c r="BY369" s="93"/>
      <c r="BZ369" s="93"/>
      <c r="CA369" s="93"/>
      <c r="CB369" s="93"/>
      <c r="CC369" s="93"/>
      <c r="CD369" s="93"/>
      <c r="CE369" s="93"/>
      <c r="CF369" s="93"/>
      <c r="CG369" s="93"/>
      <c r="CH369" s="93"/>
      <c r="CI369" s="93"/>
      <c r="CJ369" s="93"/>
      <c r="CK369" s="93"/>
      <c r="CL369" s="93"/>
      <c r="CM369" s="93"/>
      <c r="CN369" s="93"/>
      <c r="CO369" s="93"/>
      <c r="CP369" s="93"/>
      <c r="CQ369" s="93"/>
      <c r="CR369" s="93"/>
      <c r="CS369" s="93"/>
      <c r="CT369" s="93"/>
      <c r="CU369" s="93"/>
      <c r="CV369" s="93"/>
      <c r="CW369" s="93"/>
      <c r="CX369" s="93"/>
      <c r="CY369" s="93"/>
      <c r="CZ369" s="93"/>
      <c r="DA369" s="93"/>
      <c r="DB369" s="93"/>
      <c r="DC369" s="93"/>
      <c r="DD369" s="93"/>
      <c r="DE369" s="93"/>
      <c r="DF369" s="93"/>
      <c r="DG369" s="93"/>
      <c r="DH369" s="93"/>
      <c r="DI369" s="826"/>
      <c r="DJ369" s="825"/>
      <c r="DK369" s="825"/>
      <c r="GO369" s="92"/>
      <c r="GP369" s="831"/>
    </row>
    <row r="370" spans="1:198" s="806" customFormat="1" ht="15">
      <c r="D370" s="1065"/>
      <c r="G370" s="827"/>
      <c r="H370" s="809" t="s">
        <v>8702</v>
      </c>
      <c r="I370" s="92">
        <v>8</v>
      </c>
      <c r="J370" s="92" t="s">
        <v>18</v>
      </c>
      <c r="K370" s="92" t="s">
        <v>768</v>
      </c>
      <c r="L370" s="810">
        <v>2</v>
      </c>
      <c r="M370" s="811" t="str">
        <f t="shared" si="28"/>
        <v>Elementary Level</v>
      </c>
      <c r="N370" s="92"/>
      <c r="O370" s="92"/>
      <c r="P370" s="1638"/>
      <c r="Q370" s="92"/>
      <c r="R370" s="92"/>
      <c r="S370" s="848"/>
      <c r="T370" s="813"/>
      <c r="U370" s="813"/>
      <c r="V370" s="849"/>
      <c r="W370" s="838"/>
      <c r="X370" s="811" t="str">
        <f t="shared" si="27"/>
        <v/>
      </c>
      <c r="Y370" s="836"/>
      <c r="Z370" s="836"/>
      <c r="AA370" s="836"/>
      <c r="AB370" s="849"/>
      <c r="AC370" s="809"/>
      <c r="AD370" s="824"/>
      <c r="AE370" s="93"/>
      <c r="AF370" s="818"/>
      <c r="AG370" s="807" t="str">
        <f t="shared" si="29"/>
        <v/>
      </c>
      <c r="AH370" s="807"/>
      <c r="AI370" s="807"/>
      <c r="AJ370" s="807"/>
      <c r="AK370" s="92"/>
      <c r="AL370" s="92"/>
      <c r="AM370" s="819"/>
      <c r="AN370" s="820"/>
      <c r="AO370" s="817"/>
      <c r="AP370" s="820"/>
      <c r="AQ370" s="93"/>
      <c r="AR370" s="93"/>
      <c r="AS370" s="93"/>
      <c r="AT370" s="93"/>
      <c r="AU370" s="93"/>
      <c r="AV370" s="93"/>
      <c r="AW370" s="93"/>
      <c r="AX370" s="93"/>
      <c r="AY370" s="93"/>
      <c r="AZ370" s="93"/>
      <c r="BA370" s="93"/>
      <c r="BB370" s="93"/>
      <c r="BC370" s="93"/>
      <c r="BD370" s="93"/>
      <c r="BE370" s="93"/>
      <c r="BF370" s="93"/>
      <c r="BG370" s="93"/>
      <c r="BH370" s="93"/>
      <c r="BI370" s="93"/>
      <c r="BJ370" s="93"/>
      <c r="BK370" s="93"/>
      <c r="BL370" s="93"/>
      <c r="BM370" s="93"/>
      <c r="BN370" s="93"/>
      <c r="BO370" s="92"/>
      <c r="BP370" s="92"/>
      <c r="BQ370" s="92"/>
      <c r="BR370" s="92"/>
      <c r="BS370" s="92"/>
      <c r="BT370" s="93"/>
      <c r="BU370" s="93"/>
      <c r="BV370" s="93"/>
      <c r="BW370" s="93"/>
      <c r="BX370" s="93"/>
      <c r="BY370" s="93"/>
      <c r="BZ370" s="93"/>
      <c r="CA370" s="93"/>
      <c r="CB370" s="93"/>
      <c r="CC370" s="93"/>
      <c r="CD370" s="93"/>
      <c r="CE370" s="93"/>
      <c r="CF370" s="93"/>
      <c r="CG370" s="93"/>
      <c r="CH370" s="93"/>
      <c r="CI370" s="93"/>
      <c r="CJ370" s="93"/>
      <c r="CK370" s="93"/>
      <c r="CL370" s="93"/>
      <c r="CM370" s="93"/>
      <c r="CN370" s="93"/>
      <c r="CO370" s="93"/>
      <c r="CP370" s="93"/>
      <c r="CQ370" s="93"/>
      <c r="CR370" s="93"/>
      <c r="CS370" s="93"/>
      <c r="CT370" s="93"/>
      <c r="CU370" s="93"/>
      <c r="CV370" s="93"/>
      <c r="CW370" s="93"/>
      <c r="CX370" s="93"/>
      <c r="CY370" s="93"/>
      <c r="CZ370" s="93"/>
      <c r="DA370" s="93"/>
      <c r="DB370" s="93"/>
      <c r="DC370" s="93"/>
      <c r="DD370" s="93"/>
      <c r="DE370" s="93"/>
      <c r="DF370" s="93"/>
      <c r="DG370" s="93"/>
      <c r="DH370" s="93"/>
      <c r="DI370" s="826"/>
      <c r="DJ370" s="825"/>
      <c r="DK370" s="825"/>
      <c r="GO370" s="92"/>
      <c r="GP370" s="831"/>
    </row>
    <row r="371" spans="1:198" s="806" customFormat="1" ht="15">
      <c r="A371" s="1076"/>
      <c r="B371" s="6"/>
      <c r="C371" s="164"/>
      <c r="D371" s="1065"/>
      <c r="G371" s="827"/>
      <c r="H371" s="809" t="s">
        <v>8703</v>
      </c>
      <c r="I371" s="92">
        <v>5</v>
      </c>
      <c r="J371" s="92" t="s">
        <v>18</v>
      </c>
      <c r="K371" s="92" t="s">
        <v>768</v>
      </c>
      <c r="L371" s="810">
        <v>1</v>
      </c>
      <c r="M371" s="811" t="str">
        <f t="shared" si="28"/>
        <v>Pre-school</v>
      </c>
      <c r="N371" s="92"/>
      <c r="O371" s="92"/>
      <c r="P371" s="1638"/>
      <c r="Q371" s="92"/>
      <c r="R371" s="92"/>
      <c r="S371" s="848"/>
      <c r="T371" s="813"/>
      <c r="U371" s="813"/>
      <c r="V371" s="849"/>
      <c r="W371" s="838"/>
      <c r="X371" s="811" t="str">
        <f t="shared" si="27"/>
        <v/>
      </c>
      <c r="Y371" s="836"/>
      <c r="Z371" s="836"/>
      <c r="AA371" s="836"/>
      <c r="AB371" s="849"/>
      <c r="AC371" s="809"/>
      <c r="AD371" s="824"/>
      <c r="AE371" s="93"/>
      <c r="AF371" s="818"/>
      <c r="AG371" s="807" t="str">
        <f t="shared" si="29"/>
        <v/>
      </c>
      <c r="AH371" s="807"/>
      <c r="AI371" s="807"/>
      <c r="AJ371" s="807"/>
      <c r="AK371" s="92"/>
      <c r="AL371" s="92"/>
      <c r="AM371" s="819"/>
      <c r="AN371" s="820"/>
      <c r="AO371" s="817"/>
      <c r="AP371" s="820"/>
      <c r="AQ371" s="93"/>
      <c r="AR371" s="93"/>
      <c r="AS371" s="93"/>
      <c r="AT371" s="93"/>
      <c r="AU371" s="93"/>
      <c r="AV371" s="93"/>
      <c r="AW371" s="93"/>
      <c r="AX371" s="93"/>
      <c r="AY371" s="93"/>
      <c r="AZ371" s="93"/>
      <c r="BA371" s="93"/>
      <c r="BB371" s="93"/>
      <c r="BC371" s="93"/>
      <c r="BD371" s="93"/>
      <c r="BE371" s="93"/>
      <c r="BF371" s="93"/>
      <c r="BG371" s="93"/>
      <c r="BH371" s="93"/>
      <c r="BI371" s="93"/>
      <c r="BJ371" s="93"/>
      <c r="BK371" s="93"/>
      <c r="BL371" s="93"/>
      <c r="BM371" s="93"/>
      <c r="BN371" s="93"/>
      <c r="BO371" s="92"/>
      <c r="BP371" s="92"/>
      <c r="BQ371" s="92"/>
      <c r="BR371" s="92"/>
      <c r="BS371" s="92"/>
      <c r="BT371" s="93"/>
      <c r="BU371" s="93"/>
      <c r="BV371" s="93"/>
      <c r="BW371" s="93"/>
      <c r="BX371" s="93"/>
      <c r="BY371" s="93"/>
      <c r="BZ371" s="93"/>
      <c r="CA371" s="93"/>
      <c r="CB371" s="93"/>
      <c r="CC371" s="93"/>
      <c r="CD371" s="93"/>
      <c r="CE371" s="93"/>
      <c r="CF371" s="93"/>
      <c r="CG371" s="93"/>
      <c r="CH371" s="93"/>
      <c r="CI371" s="93"/>
      <c r="CJ371" s="93"/>
      <c r="CK371" s="93"/>
      <c r="CL371" s="93"/>
      <c r="CM371" s="93"/>
      <c r="CN371" s="93"/>
      <c r="CO371" s="93"/>
      <c r="CP371" s="93"/>
      <c r="CQ371" s="93"/>
      <c r="CR371" s="93"/>
      <c r="CS371" s="93"/>
      <c r="CT371" s="93"/>
      <c r="CU371" s="93"/>
      <c r="CV371" s="93"/>
      <c r="CW371" s="93"/>
      <c r="CX371" s="93"/>
      <c r="CY371" s="93"/>
      <c r="CZ371" s="93"/>
      <c r="DA371" s="93"/>
      <c r="DB371" s="93"/>
      <c r="DC371" s="93"/>
      <c r="DD371" s="93"/>
      <c r="DE371" s="93"/>
      <c r="DF371" s="93"/>
      <c r="DG371" s="93"/>
      <c r="DH371" s="93"/>
      <c r="DI371" s="826"/>
      <c r="DJ371" s="825"/>
      <c r="DK371" s="825"/>
      <c r="GO371" s="92"/>
      <c r="GP371" s="831"/>
    </row>
    <row r="372" spans="1:198" s="806" customFormat="1" ht="15">
      <c r="A372" s="1076"/>
      <c r="B372" s="6"/>
      <c r="C372" s="164"/>
      <c r="D372" s="1065"/>
      <c r="G372" s="827"/>
      <c r="H372" s="809" t="s">
        <v>8704</v>
      </c>
      <c r="I372" s="92">
        <v>36</v>
      </c>
      <c r="J372" s="92" t="s">
        <v>10</v>
      </c>
      <c r="K372" s="92" t="s">
        <v>783</v>
      </c>
      <c r="L372" s="810">
        <v>2</v>
      </c>
      <c r="M372" s="811" t="str">
        <f t="shared" si="28"/>
        <v>Elementary Level</v>
      </c>
      <c r="N372" s="92" t="s">
        <v>1208</v>
      </c>
      <c r="O372" s="92" t="s">
        <v>8705</v>
      </c>
      <c r="P372" s="1638"/>
      <c r="Q372" s="92" t="s">
        <v>8705</v>
      </c>
      <c r="R372" s="92"/>
      <c r="S372" s="848">
        <v>1000</v>
      </c>
      <c r="T372" s="836"/>
      <c r="U372" s="836"/>
      <c r="V372" s="849">
        <f>SUM(S366:U372)</f>
        <v>11500</v>
      </c>
      <c r="W372" s="838">
        <v>5</v>
      </c>
      <c r="X372" s="811" t="str">
        <f t="shared" si="27"/>
        <v>Overseas Worker</v>
      </c>
      <c r="Y372" s="836"/>
      <c r="Z372" s="836"/>
      <c r="AA372" s="836"/>
      <c r="AB372" s="849">
        <f>SUM(Y366:AA372)</f>
        <v>0</v>
      </c>
      <c r="AC372" s="809"/>
      <c r="AD372" s="824"/>
      <c r="AE372" s="93"/>
      <c r="AF372" s="818"/>
      <c r="AG372" s="807" t="str">
        <f t="shared" si="29"/>
        <v/>
      </c>
      <c r="AH372" s="807"/>
      <c r="AI372" s="807"/>
      <c r="AJ372" s="807"/>
      <c r="AK372" s="92"/>
      <c r="AL372" s="92"/>
      <c r="AM372" s="819"/>
      <c r="AN372" s="820"/>
      <c r="AO372" s="817"/>
      <c r="AP372" s="820"/>
      <c r="AQ372" s="93"/>
      <c r="AR372" s="93"/>
      <c r="AS372" s="93"/>
      <c r="AT372" s="93"/>
      <c r="AU372" s="93"/>
      <c r="AV372" s="93"/>
      <c r="AW372" s="93"/>
      <c r="AX372" s="93"/>
      <c r="AY372" s="93"/>
      <c r="AZ372" s="93"/>
      <c r="BA372" s="93"/>
      <c r="BB372" s="93"/>
      <c r="BC372" s="93"/>
      <c r="BD372" s="93"/>
      <c r="BE372" s="93"/>
      <c r="BF372" s="93"/>
      <c r="BG372" s="93"/>
      <c r="BH372" s="93"/>
      <c r="BI372" s="93"/>
      <c r="BJ372" s="93"/>
      <c r="BK372" s="93"/>
      <c r="BL372" s="93"/>
      <c r="BM372" s="93"/>
      <c r="BN372" s="93"/>
      <c r="BO372" s="92"/>
      <c r="BP372" s="92"/>
      <c r="BQ372" s="92"/>
      <c r="BR372" s="92"/>
      <c r="BS372" s="92"/>
      <c r="BT372" s="93"/>
      <c r="BU372" s="93"/>
      <c r="BV372" s="93"/>
      <c r="BW372" s="93"/>
      <c r="BX372" s="93"/>
      <c r="BY372" s="93"/>
      <c r="BZ372" s="93"/>
      <c r="CA372" s="93"/>
      <c r="CB372" s="93"/>
      <c r="CC372" s="93"/>
      <c r="CD372" s="93"/>
      <c r="CE372" s="93"/>
      <c r="CF372" s="93"/>
      <c r="CG372" s="93"/>
      <c r="CH372" s="93"/>
      <c r="CI372" s="93"/>
      <c r="CJ372" s="93"/>
      <c r="CK372" s="93"/>
      <c r="CL372" s="93"/>
      <c r="CM372" s="93"/>
      <c r="CN372" s="93"/>
      <c r="CO372" s="93"/>
      <c r="CP372" s="93"/>
      <c r="CQ372" s="93"/>
      <c r="CR372" s="93"/>
      <c r="CS372" s="93"/>
      <c r="CT372" s="93"/>
      <c r="CU372" s="93"/>
      <c r="CV372" s="93"/>
      <c r="CW372" s="93"/>
      <c r="CX372" s="93"/>
      <c r="CY372" s="93"/>
      <c r="CZ372" s="93"/>
      <c r="DA372" s="93"/>
      <c r="DB372" s="93"/>
      <c r="DC372" s="93"/>
      <c r="DD372" s="93"/>
      <c r="DE372" s="93"/>
      <c r="DF372" s="93"/>
      <c r="DG372" s="93"/>
      <c r="DH372" s="93"/>
      <c r="DI372" s="826"/>
      <c r="DJ372" s="825"/>
      <c r="DK372" s="825"/>
      <c r="GO372" s="92"/>
      <c r="GP372" s="831"/>
    </row>
    <row r="373" spans="1:198" s="806" customFormat="1" ht="15">
      <c r="A373" s="1076"/>
      <c r="B373" s="6"/>
      <c r="C373" s="164"/>
      <c r="D373" s="1065" t="s">
        <v>284</v>
      </c>
      <c r="G373" s="809" t="s">
        <v>284</v>
      </c>
      <c r="H373" s="809" t="s">
        <v>8706</v>
      </c>
      <c r="I373" s="92">
        <v>44</v>
      </c>
      <c r="J373" s="92" t="s">
        <v>10</v>
      </c>
      <c r="K373" s="92" t="s">
        <v>707</v>
      </c>
      <c r="L373" s="810">
        <v>4</v>
      </c>
      <c r="M373" s="811" t="str">
        <f t="shared" si="28"/>
        <v>High School Level</v>
      </c>
      <c r="N373" s="92" t="s">
        <v>1208</v>
      </c>
      <c r="O373" s="92" t="s">
        <v>8707</v>
      </c>
      <c r="P373" s="1638"/>
      <c r="Q373" s="92" t="s">
        <v>8707</v>
      </c>
      <c r="R373" s="92" t="s">
        <v>8234</v>
      </c>
      <c r="S373" s="848">
        <v>550</v>
      </c>
      <c r="T373" s="813"/>
      <c r="U373" s="813"/>
      <c r="V373" s="837"/>
      <c r="W373" s="838">
        <v>1</v>
      </c>
      <c r="X373" s="811" t="str">
        <f t="shared" si="27"/>
        <v>within the Brgy</v>
      </c>
      <c r="Y373" s="836"/>
      <c r="Z373" s="816"/>
      <c r="AA373" s="836"/>
      <c r="AB373" s="837"/>
      <c r="AC373" s="809" t="s">
        <v>2228</v>
      </c>
      <c r="AD373" s="824"/>
      <c r="AE373" s="93"/>
      <c r="AF373" s="818"/>
      <c r="AG373" s="807" t="str">
        <f t="shared" si="29"/>
        <v/>
      </c>
      <c r="AH373" s="807"/>
      <c r="AI373" s="807"/>
      <c r="AJ373" s="807"/>
      <c r="AK373" s="92"/>
      <c r="AL373" s="92"/>
      <c r="AM373" s="819"/>
      <c r="AN373" s="820"/>
      <c r="AO373" s="817"/>
      <c r="AP373" s="820"/>
      <c r="AQ373" s="93"/>
      <c r="AR373" s="93" t="s">
        <v>2144</v>
      </c>
      <c r="AS373" s="93"/>
      <c r="AT373" s="93"/>
      <c r="AU373" s="93"/>
      <c r="AV373" s="93"/>
      <c r="AW373" s="93"/>
      <c r="AX373" s="93"/>
      <c r="AY373" s="93"/>
      <c r="AZ373" s="93" t="s">
        <v>2145</v>
      </c>
      <c r="BA373" s="93"/>
      <c r="BB373" s="93"/>
      <c r="BC373" s="93"/>
      <c r="BD373" s="93"/>
      <c r="BE373" s="93"/>
      <c r="BF373" s="93"/>
      <c r="BG373" s="93"/>
      <c r="BH373" s="93"/>
      <c r="BI373" s="93"/>
      <c r="BJ373" s="93"/>
      <c r="BK373" s="93"/>
      <c r="BL373" s="93"/>
      <c r="BM373" s="93"/>
      <c r="BN373" s="93"/>
      <c r="BO373" s="92"/>
      <c r="BP373" s="92"/>
      <c r="BQ373" s="92"/>
      <c r="BR373" s="92"/>
      <c r="BS373" s="92"/>
      <c r="BT373" s="93"/>
      <c r="BU373" s="93"/>
      <c r="BV373" s="93"/>
      <c r="BW373" s="93"/>
      <c r="BX373" s="93"/>
      <c r="BY373" s="93"/>
      <c r="BZ373" s="93"/>
      <c r="CA373" s="93"/>
      <c r="CB373" s="93"/>
      <c r="CC373" s="93"/>
      <c r="CD373" s="93"/>
      <c r="CE373" s="93"/>
      <c r="CF373" s="93"/>
      <c r="CG373" s="93"/>
      <c r="CH373" s="93"/>
      <c r="CI373" s="93"/>
      <c r="CJ373" s="93"/>
      <c r="CK373" s="93"/>
      <c r="CL373" s="93"/>
      <c r="CM373" s="93"/>
      <c r="CN373" s="93"/>
      <c r="CO373" s="93"/>
      <c r="CP373" s="93"/>
      <c r="CQ373" s="93"/>
      <c r="CR373" s="93"/>
      <c r="CS373" s="93"/>
      <c r="CT373" s="93"/>
      <c r="CU373" s="93"/>
      <c r="CV373" s="93"/>
      <c r="CW373" s="93"/>
      <c r="CX373" s="93"/>
      <c r="CY373" s="93"/>
      <c r="CZ373" s="93"/>
      <c r="DA373" s="93"/>
      <c r="DB373" s="93"/>
      <c r="DC373" s="93"/>
      <c r="DD373" s="93"/>
      <c r="DE373" s="93"/>
      <c r="DF373" s="93"/>
      <c r="DG373" s="93"/>
      <c r="DH373" s="93"/>
      <c r="DI373" s="826"/>
      <c r="DJ373" s="825"/>
      <c r="DK373" s="825"/>
      <c r="GO373" s="92"/>
      <c r="GP373" s="831"/>
    </row>
    <row r="374" spans="1:198" s="806" customFormat="1" ht="15">
      <c r="A374" s="1076"/>
      <c r="B374" s="6"/>
      <c r="C374" s="164"/>
      <c r="D374" s="1065"/>
      <c r="G374" s="827"/>
      <c r="H374" s="809" t="s">
        <v>8708</v>
      </c>
      <c r="I374" s="92">
        <v>34</v>
      </c>
      <c r="J374" s="92" t="s">
        <v>18</v>
      </c>
      <c r="K374" s="92" t="s">
        <v>2049</v>
      </c>
      <c r="L374" s="810">
        <v>5</v>
      </c>
      <c r="M374" s="811" t="str">
        <f t="shared" si="28"/>
        <v>High School Graduate</v>
      </c>
      <c r="N374" s="92"/>
      <c r="O374" s="92"/>
      <c r="P374" s="1638"/>
      <c r="Q374" s="92"/>
      <c r="R374" s="92"/>
      <c r="S374" s="848"/>
      <c r="T374" s="813"/>
      <c r="U374" s="813"/>
      <c r="V374" s="837"/>
      <c r="W374" s="838"/>
      <c r="X374" s="811" t="str">
        <f t="shared" si="27"/>
        <v/>
      </c>
      <c r="Y374" s="836"/>
      <c r="Z374" s="836"/>
      <c r="AA374" s="836"/>
      <c r="AB374" s="837"/>
      <c r="AC374" s="809"/>
      <c r="AD374" s="824"/>
      <c r="AE374" s="93"/>
      <c r="AF374" s="818"/>
      <c r="AG374" s="807" t="str">
        <f t="shared" si="29"/>
        <v/>
      </c>
      <c r="AH374" s="807"/>
      <c r="AI374" s="807"/>
      <c r="AJ374" s="807"/>
      <c r="AK374" s="92"/>
      <c r="AL374" s="92"/>
      <c r="AM374" s="819"/>
      <c r="AN374" s="820"/>
      <c r="AO374" s="817"/>
      <c r="AP374" s="820"/>
      <c r="AQ374" s="93"/>
      <c r="AR374" s="93"/>
      <c r="AS374" s="93"/>
      <c r="AT374" s="93"/>
      <c r="AU374" s="93"/>
      <c r="AV374" s="93"/>
      <c r="AW374" s="93"/>
      <c r="AX374" s="93"/>
      <c r="AY374" s="93"/>
      <c r="AZ374" s="93"/>
      <c r="BA374" s="93"/>
      <c r="BB374" s="93"/>
      <c r="BC374" s="93"/>
      <c r="BD374" s="93"/>
      <c r="BE374" s="93"/>
      <c r="BF374" s="93"/>
      <c r="BG374" s="93"/>
      <c r="BH374" s="93"/>
      <c r="BI374" s="93"/>
      <c r="BJ374" s="93"/>
      <c r="BK374" s="93"/>
      <c r="BL374" s="93"/>
      <c r="BM374" s="93"/>
      <c r="BN374" s="93"/>
      <c r="BO374" s="92"/>
      <c r="BP374" s="92"/>
      <c r="BQ374" s="92"/>
      <c r="BR374" s="92"/>
      <c r="BS374" s="92"/>
      <c r="BT374" s="93"/>
      <c r="BU374" s="93"/>
      <c r="BV374" s="93"/>
      <c r="BW374" s="93"/>
      <c r="BX374" s="93"/>
      <c r="BY374" s="93"/>
      <c r="BZ374" s="93"/>
      <c r="CA374" s="93"/>
      <c r="CB374" s="93"/>
      <c r="CC374" s="93"/>
      <c r="CD374" s="93"/>
      <c r="CE374" s="93"/>
      <c r="CF374" s="93"/>
      <c r="CG374" s="93"/>
      <c r="CH374" s="93"/>
      <c r="CI374" s="93"/>
      <c r="CJ374" s="93"/>
      <c r="CK374" s="93"/>
      <c r="CL374" s="93"/>
      <c r="CM374" s="93"/>
      <c r="CN374" s="93"/>
      <c r="CO374" s="93"/>
      <c r="CP374" s="93"/>
      <c r="CQ374" s="93"/>
      <c r="CR374" s="93"/>
      <c r="CS374" s="93"/>
      <c r="CT374" s="93"/>
      <c r="CU374" s="93"/>
      <c r="CV374" s="93"/>
      <c r="CW374" s="93"/>
      <c r="CX374" s="93"/>
      <c r="CY374" s="93"/>
      <c r="CZ374" s="93"/>
      <c r="DA374" s="93"/>
      <c r="DB374" s="93"/>
      <c r="DC374" s="93"/>
      <c r="DD374" s="93"/>
      <c r="DE374" s="93"/>
      <c r="DF374" s="93"/>
      <c r="DG374" s="93"/>
      <c r="DH374" s="93"/>
      <c r="DI374" s="826"/>
      <c r="DJ374" s="825"/>
      <c r="DK374" s="825"/>
      <c r="GO374" s="92"/>
      <c r="GP374" s="831"/>
    </row>
    <row r="375" spans="1:198" ht="15">
      <c r="A375" s="1076"/>
      <c r="B375" s="6"/>
      <c r="C375" s="164"/>
      <c r="D375" s="1065"/>
      <c r="E375" s="807"/>
      <c r="F375" s="807"/>
      <c r="G375" s="827"/>
      <c r="H375" s="809" t="s">
        <v>8709</v>
      </c>
      <c r="I375" s="92">
        <v>19</v>
      </c>
      <c r="J375" s="92" t="s">
        <v>10</v>
      </c>
      <c r="K375" s="92" t="s">
        <v>768</v>
      </c>
      <c r="L375" s="810">
        <v>4</v>
      </c>
      <c r="M375" s="811" t="str">
        <f t="shared" si="28"/>
        <v>High School Level</v>
      </c>
      <c r="O375" s="92"/>
      <c r="P375" s="1638"/>
      <c r="Q375" s="92"/>
      <c r="R375" s="92"/>
      <c r="S375" s="848"/>
      <c r="V375" s="830"/>
      <c r="X375" s="811" t="str">
        <f t="shared" si="27"/>
        <v/>
      </c>
      <c r="AB375" s="830"/>
      <c r="AC375" s="809"/>
      <c r="AD375" s="824"/>
      <c r="AG375" s="807" t="str">
        <f t="shared" si="29"/>
        <v/>
      </c>
      <c r="AH375" s="807"/>
      <c r="AI375" s="807"/>
      <c r="AJ375" s="807"/>
      <c r="AK375" s="92"/>
      <c r="AM375" s="819"/>
      <c r="AN375" s="820"/>
      <c r="AQ375" s="93"/>
      <c r="AR375" s="93"/>
      <c r="AS375" s="93"/>
      <c r="AT375" s="93"/>
      <c r="AU375" s="93"/>
      <c r="AV375" s="93"/>
      <c r="AW375" s="93"/>
      <c r="AX375" s="93"/>
      <c r="AY375" s="93"/>
      <c r="AZ375" s="93"/>
      <c r="BA375" s="93"/>
      <c r="BB375" s="93"/>
      <c r="BL375" s="93"/>
      <c r="BM375" s="93"/>
      <c r="BT375" s="93"/>
      <c r="BU375" s="93"/>
      <c r="BV375" s="93"/>
      <c r="BW375" s="93"/>
      <c r="BX375" s="93"/>
      <c r="BY375" s="93"/>
      <c r="BZ375" s="93"/>
      <c r="CA375" s="93"/>
      <c r="CB375" s="93"/>
      <c r="CC375" s="93"/>
      <c r="CF375" s="93"/>
      <c r="CG375" s="93"/>
      <c r="CH375" s="93"/>
      <c r="CI375" s="93"/>
      <c r="CJ375" s="93"/>
      <c r="CK375" s="93"/>
      <c r="CL375" s="93"/>
      <c r="CM375" s="93"/>
      <c r="CN375" s="93"/>
      <c r="CO375" s="93"/>
      <c r="CP375" s="93"/>
      <c r="CQ375" s="93"/>
      <c r="CR375" s="93"/>
      <c r="CS375" s="93"/>
      <c r="CT375" s="93"/>
      <c r="CU375" s="93"/>
      <c r="CV375" s="93"/>
      <c r="CW375" s="93"/>
      <c r="CX375" s="93"/>
      <c r="CY375" s="93"/>
      <c r="CZ375" s="93"/>
      <c r="DA375" s="93"/>
      <c r="DB375" s="93"/>
      <c r="DC375" s="93"/>
      <c r="DD375" s="93"/>
      <c r="DE375" s="93"/>
      <c r="DF375" s="93"/>
      <c r="DG375" s="93"/>
      <c r="DH375" s="93"/>
      <c r="DI375" s="93"/>
      <c r="DJ375" s="93"/>
      <c r="DK375" s="93"/>
      <c r="DL375" s="93"/>
      <c r="DM375" s="93"/>
      <c r="DN375" s="93"/>
      <c r="DO375" s="93"/>
    </row>
    <row r="376" spans="1:198" s="806" customFormat="1" ht="15">
      <c r="A376" s="1076"/>
      <c r="B376" s="6"/>
      <c r="C376" s="164"/>
      <c r="D376" s="1065"/>
      <c r="G376" s="827"/>
      <c r="H376" s="809" t="s">
        <v>8710</v>
      </c>
      <c r="I376" s="92">
        <v>17</v>
      </c>
      <c r="J376" s="92" t="s">
        <v>10</v>
      </c>
      <c r="K376" s="92" t="s">
        <v>768</v>
      </c>
      <c r="L376" s="810">
        <v>11</v>
      </c>
      <c r="M376" s="811" t="str">
        <f t="shared" si="28"/>
        <v>Junior/Senior High School</v>
      </c>
      <c r="N376" s="92"/>
      <c r="O376" s="92"/>
      <c r="P376" s="1638"/>
      <c r="Q376" s="92"/>
      <c r="R376" s="92"/>
      <c r="S376" s="848"/>
      <c r="T376" s="813"/>
      <c r="U376" s="813"/>
      <c r="V376" s="837"/>
      <c r="W376" s="838"/>
      <c r="X376" s="811" t="str">
        <f t="shared" si="27"/>
        <v/>
      </c>
      <c r="Y376" s="836"/>
      <c r="Z376" s="836"/>
      <c r="AA376" s="836"/>
      <c r="AB376" s="837"/>
      <c r="AC376" s="809"/>
      <c r="AD376" s="824"/>
      <c r="AE376" s="93"/>
      <c r="AF376" s="818"/>
      <c r="AG376" s="807" t="str">
        <f t="shared" si="29"/>
        <v/>
      </c>
      <c r="AH376" s="807"/>
      <c r="AI376" s="807"/>
      <c r="AJ376" s="807"/>
      <c r="AK376" s="92"/>
      <c r="AL376" s="92"/>
      <c r="AM376" s="819"/>
      <c r="AN376" s="820"/>
      <c r="AO376" s="817"/>
      <c r="AP376" s="820"/>
      <c r="AQ376" s="93"/>
      <c r="AR376" s="93"/>
      <c r="AS376" s="93"/>
      <c r="AT376" s="93"/>
      <c r="AU376" s="93"/>
      <c r="AV376" s="93"/>
      <c r="AW376" s="93"/>
      <c r="AX376" s="93"/>
      <c r="AY376" s="93"/>
      <c r="AZ376" s="93"/>
      <c r="BA376" s="93"/>
      <c r="BB376" s="93"/>
      <c r="BC376" s="93"/>
      <c r="BD376" s="93"/>
      <c r="BE376" s="93"/>
      <c r="BF376" s="93"/>
      <c r="BG376" s="93"/>
      <c r="BH376" s="93"/>
      <c r="BI376" s="93"/>
      <c r="BJ376" s="93"/>
      <c r="BK376" s="93"/>
      <c r="BL376" s="93"/>
      <c r="BM376" s="93"/>
      <c r="BN376" s="93"/>
      <c r="BO376" s="92"/>
      <c r="BP376" s="92"/>
      <c r="BQ376" s="92"/>
      <c r="BR376" s="92"/>
      <c r="BS376" s="92"/>
      <c r="BT376" s="93"/>
      <c r="BU376" s="93"/>
      <c r="BV376" s="93"/>
      <c r="BW376" s="93"/>
      <c r="BX376" s="93"/>
      <c r="BY376" s="93"/>
      <c r="BZ376" s="93"/>
      <c r="CA376" s="93"/>
      <c r="CB376" s="93"/>
      <c r="CC376" s="93"/>
      <c r="CD376" s="93"/>
      <c r="CE376" s="93"/>
      <c r="CF376" s="93"/>
      <c r="CG376" s="93"/>
      <c r="CH376" s="93"/>
      <c r="CI376" s="93"/>
      <c r="CJ376" s="93"/>
      <c r="CK376" s="93"/>
      <c r="CL376" s="93"/>
      <c r="CM376" s="93"/>
      <c r="CN376" s="93"/>
      <c r="CO376" s="93"/>
      <c r="CP376" s="93"/>
      <c r="CQ376" s="93"/>
      <c r="CR376" s="93"/>
      <c r="CS376" s="93"/>
      <c r="CT376" s="93"/>
      <c r="CU376" s="93"/>
      <c r="CV376" s="93"/>
      <c r="CW376" s="93"/>
      <c r="CX376" s="93"/>
      <c r="CY376" s="93"/>
      <c r="CZ376" s="93"/>
      <c r="DA376" s="93"/>
      <c r="DB376" s="93"/>
      <c r="DC376" s="93"/>
      <c r="DD376" s="93"/>
      <c r="DE376" s="93"/>
      <c r="DF376" s="93"/>
      <c r="DG376" s="93"/>
      <c r="DH376" s="93"/>
      <c r="DI376" s="826"/>
      <c r="DJ376" s="825"/>
      <c r="DK376" s="825"/>
      <c r="GO376" s="92"/>
      <c r="GP376" s="831"/>
    </row>
    <row r="377" spans="1:198" s="806" customFormat="1" ht="15">
      <c r="A377" s="1076"/>
      <c r="B377" s="6"/>
      <c r="C377" s="164"/>
      <c r="D377" s="1065"/>
      <c r="G377" s="827"/>
      <c r="H377" s="809" t="s">
        <v>8711</v>
      </c>
      <c r="I377" s="92">
        <v>15</v>
      </c>
      <c r="J377" s="92" t="s">
        <v>10</v>
      </c>
      <c r="K377" s="92" t="s">
        <v>768</v>
      </c>
      <c r="L377" s="810">
        <v>11</v>
      </c>
      <c r="M377" s="811" t="str">
        <f t="shared" si="28"/>
        <v>Junior/Senior High School</v>
      </c>
      <c r="N377" s="92"/>
      <c r="O377" s="92"/>
      <c r="P377" s="1638"/>
      <c r="Q377" s="92"/>
      <c r="R377" s="92"/>
      <c r="S377" s="848"/>
      <c r="T377" s="813"/>
      <c r="U377" s="813"/>
      <c r="V377" s="837">
        <f>SUM(S373:U377)</f>
        <v>550</v>
      </c>
      <c r="W377" s="838"/>
      <c r="X377" s="811" t="str">
        <f t="shared" si="27"/>
        <v/>
      </c>
      <c r="Y377" s="836"/>
      <c r="Z377" s="836"/>
      <c r="AA377" s="836"/>
      <c r="AB377" s="837">
        <f>SUM(Y373:AA377)</f>
        <v>0</v>
      </c>
      <c r="AC377" s="809"/>
      <c r="AD377" s="824"/>
      <c r="AE377" s="93"/>
      <c r="AF377" s="818"/>
      <c r="AG377" s="807" t="str">
        <f t="shared" si="29"/>
        <v/>
      </c>
      <c r="AH377" s="807"/>
      <c r="AI377" s="807"/>
      <c r="AJ377" s="807"/>
      <c r="AK377" s="92"/>
      <c r="AL377" s="92"/>
      <c r="AM377" s="819"/>
      <c r="AN377" s="820"/>
      <c r="AO377" s="817"/>
      <c r="AP377" s="820"/>
      <c r="AQ377" s="93"/>
      <c r="AR377" s="93"/>
      <c r="AS377" s="93"/>
      <c r="AT377" s="93"/>
      <c r="AU377" s="93"/>
      <c r="AV377" s="93"/>
      <c r="AW377" s="93"/>
      <c r="AX377" s="93"/>
      <c r="AY377" s="93"/>
      <c r="AZ377" s="93"/>
      <c r="BA377" s="93"/>
      <c r="BB377" s="93"/>
      <c r="BC377" s="93"/>
      <c r="BD377" s="93"/>
      <c r="BE377" s="93"/>
      <c r="BF377" s="93"/>
      <c r="BG377" s="93"/>
      <c r="BH377" s="93"/>
      <c r="BI377" s="93"/>
      <c r="BJ377" s="93"/>
      <c r="BK377" s="93"/>
      <c r="BL377" s="93"/>
      <c r="BM377" s="93"/>
      <c r="BN377" s="93"/>
      <c r="BO377" s="92"/>
      <c r="BP377" s="92"/>
      <c r="BQ377" s="92"/>
      <c r="BR377" s="92"/>
      <c r="BS377" s="92"/>
      <c r="BT377" s="93"/>
      <c r="BU377" s="93"/>
      <c r="BV377" s="93"/>
      <c r="BW377" s="93"/>
      <c r="BX377" s="93"/>
      <c r="BY377" s="93"/>
      <c r="BZ377" s="93"/>
      <c r="CA377" s="93"/>
      <c r="CB377" s="93"/>
      <c r="CC377" s="93"/>
      <c r="CD377" s="93"/>
      <c r="CE377" s="93"/>
      <c r="CF377" s="93"/>
      <c r="CG377" s="93"/>
      <c r="CH377" s="93"/>
      <c r="CI377" s="93"/>
      <c r="CJ377" s="93"/>
      <c r="CK377" s="93"/>
      <c r="CL377" s="93"/>
      <c r="CM377" s="93"/>
      <c r="CN377" s="93"/>
      <c r="CO377" s="93"/>
      <c r="CP377" s="93"/>
      <c r="CQ377" s="93"/>
      <c r="CR377" s="93"/>
      <c r="CS377" s="93"/>
      <c r="CT377" s="93"/>
      <c r="CU377" s="93"/>
      <c r="CV377" s="93"/>
      <c r="CW377" s="93"/>
      <c r="CX377" s="93"/>
      <c r="CY377" s="93"/>
      <c r="CZ377" s="93"/>
      <c r="DA377" s="93"/>
      <c r="DB377" s="93"/>
      <c r="DC377" s="93"/>
      <c r="DD377" s="93"/>
      <c r="DE377" s="93"/>
      <c r="DF377" s="93"/>
      <c r="DG377" s="93"/>
      <c r="DH377" s="93"/>
      <c r="DI377" s="826"/>
      <c r="DJ377" s="825"/>
      <c r="DK377" s="825"/>
      <c r="GO377" s="92"/>
      <c r="GP377" s="831"/>
    </row>
    <row r="378" spans="1:198" s="806" customFormat="1" ht="15">
      <c r="A378" s="154" t="s">
        <v>7419</v>
      </c>
      <c r="B378" s="288" t="s">
        <v>7958</v>
      </c>
      <c r="C378" s="171" t="s">
        <v>288</v>
      </c>
      <c r="D378" s="1065" t="s">
        <v>288</v>
      </c>
      <c r="G378" s="841" t="s">
        <v>288</v>
      </c>
      <c r="H378" s="1639" t="s">
        <v>2069</v>
      </c>
      <c r="I378" s="1044">
        <v>69</v>
      </c>
      <c r="J378" s="1044" t="s">
        <v>18</v>
      </c>
      <c r="K378" s="1044" t="s">
        <v>719</v>
      </c>
      <c r="L378" s="1640">
        <v>2</v>
      </c>
      <c r="M378" s="1641" t="str">
        <f t="shared" si="28"/>
        <v>Elementary Level</v>
      </c>
      <c r="N378" s="1044"/>
      <c r="O378" s="1044"/>
      <c r="P378" s="1643"/>
      <c r="Q378" s="1044"/>
      <c r="R378" s="1044" t="s">
        <v>8234</v>
      </c>
      <c r="S378" s="1644"/>
      <c r="T378" s="1646"/>
      <c r="U378" s="1646"/>
      <c r="V378" s="814"/>
      <c r="W378" s="815"/>
      <c r="X378" s="811" t="str">
        <f t="shared" si="27"/>
        <v/>
      </c>
      <c r="Y378" s="816"/>
      <c r="Z378" s="816"/>
      <c r="AA378" s="816"/>
      <c r="AB378" s="814"/>
      <c r="AC378" s="809"/>
      <c r="AD378" s="817" t="s">
        <v>2069</v>
      </c>
      <c r="AE378" s="93"/>
      <c r="AF378" s="818"/>
      <c r="AG378" s="807" t="str">
        <f t="shared" si="29"/>
        <v/>
      </c>
      <c r="AH378" s="807"/>
      <c r="AI378" s="807"/>
      <c r="AJ378" s="807"/>
      <c r="AK378" s="92"/>
      <c r="AL378" s="92"/>
      <c r="AM378" s="819"/>
      <c r="AN378" s="820"/>
      <c r="AO378" s="817"/>
      <c r="AP378" s="820"/>
      <c r="AQ378" s="93"/>
      <c r="AR378" s="93"/>
      <c r="AS378" s="93"/>
      <c r="AT378" s="93"/>
      <c r="AU378" s="93"/>
      <c r="AV378" s="93"/>
      <c r="AW378" s="93"/>
      <c r="AX378" s="93"/>
      <c r="AY378" s="93"/>
      <c r="AZ378" s="93"/>
      <c r="BA378" s="93"/>
      <c r="BB378" s="93"/>
      <c r="BC378" s="93"/>
      <c r="BD378" s="93"/>
      <c r="BE378" s="93"/>
      <c r="BF378" s="93"/>
      <c r="BG378" s="93"/>
      <c r="BH378" s="93"/>
      <c r="BI378" s="93"/>
      <c r="BJ378" s="93"/>
      <c r="BK378" s="93"/>
      <c r="BL378" s="93"/>
      <c r="BM378" s="93"/>
      <c r="BN378" s="93"/>
      <c r="BO378" s="92"/>
      <c r="BP378" s="92"/>
      <c r="BQ378" s="92"/>
      <c r="BR378" s="92"/>
      <c r="BS378" s="92"/>
      <c r="BT378" s="93"/>
      <c r="BU378" s="93"/>
      <c r="BV378" s="93"/>
      <c r="BW378" s="93"/>
      <c r="BX378" s="93"/>
      <c r="BY378" s="93"/>
      <c r="BZ378" s="93"/>
      <c r="CA378" s="93"/>
      <c r="CB378" s="93"/>
      <c r="CC378" s="93"/>
      <c r="CD378" s="93"/>
      <c r="CE378" s="93"/>
      <c r="CF378" s="93"/>
      <c r="CG378" s="93"/>
      <c r="CH378" s="93"/>
      <c r="CI378" s="93"/>
      <c r="CJ378" s="93"/>
      <c r="CK378" s="93"/>
      <c r="CL378" s="93"/>
      <c r="CM378" s="93"/>
      <c r="CN378" s="93"/>
      <c r="CO378" s="93"/>
      <c r="CP378" s="93"/>
      <c r="CQ378" s="93"/>
      <c r="CR378" s="93"/>
      <c r="CS378" s="93"/>
      <c r="CT378" s="93"/>
      <c r="CU378" s="93"/>
      <c r="CV378" s="93"/>
      <c r="CW378" s="93"/>
      <c r="CX378" s="93"/>
      <c r="CY378" s="93"/>
      <c r="CZ378" s="93"/>
      <c r="DA378" s="93"/>
      <c r="DB378" s="93"/>
      <c r="DC378" s="93"/>
      <c r="DD378" s="93"/>
      <c r="DE378" s="93"/>
      <c r="DF378" s="93"/>
      <c r="DG378" s="93"/>
      <c r="DH378" s="93"/>
      <c r="DI378" s="826"/>
      <c r="DJ378" s="825"/>
      <c r="DK378" s="825"/>
      <c r="GO378" s="92"/>
      <c r="GP378" s="831"/>
    </row>
    <row r="379" spans="1:198" ht="15">
      <c r="A379" s="154" t="s">
        <v>7419</v>
      </c>
      <c r="C379" s="1065" t="s">
        <v>288</v>
      </c>
      <c r="D379" s="1065"/>
      <c r="E379" s="807"/>
      <c r="F379" s="807"/>
      <c r="G379" s="827"/>
      <c r="H379" s="809" t="s">
        <v>8712</v>
      </c>
      <c r="I379" s="92">
        <v>50</v>
      </c>
      <c r="J379" s="92" t="s">
        <v>10</v>
      </c>
      <c r="K379" s="92" t="s">
        <v>783</v>
      </c>
      <c r="L379" s="810">
        <v>5</v>
      </c>
      <c r="M379" s="811" t="str">
        <f t="shared" si="28"/>
        <v>High School Graduate</v>
      </c>
      <c r="N379" s="92" t="s">
        <v>1208</v>
      </c>
      <c r="O379" s="92" t="s">
        <v>2228</v>
      </c>
      <c r="P379" s="1638"/>
      <c r="Q379" s="92" t="s">
        <v>2228</v>
      </c>
      <c r="R379" s="92" t="s">
        <v>10310</v>
      </c>
      <c r="S379" s="848"/>
      <c r="U379" s="813">
        <v>2000</v>
      </c>
      <c r="W379" s="815">
        <v>1</v>
      </c>
      <c r="X379" s="811" t="str">
        <f t="shared" si="27"/>
        <v>within the Brgy</v>
      </c>
      <c r="AB379" s="814"/>
      <c r="AC379" s="809" t="s">
        <v>2228</v>
      </c>
      <c r="AD379" s="824"/>
      <c r="AG379" s="807" t="str">
        <f t="shared" si="29"/>
        <v/>
      </c>
      <c r="AH379" s="807"/>
      <c r="AI379" s="807"/>
      <c r="AJ379" s="807"/>
      <c r="AK379" s="92"/>
      <c r="AM379" s="819"/>
      <c r="AN379" s="820"/>
      <c r="AQ379" s="93"/>
      <c r="AR379" s="93"/>
      <c r="AS379" s="93"/>
      <c r="AT379" s="93"/>
      <c r="AU379" s="93"/>
      <c r="AV379" s="93"/>
      <c r="AW379" s="93"/>
      <c r="AX379" s="93"/>
      <c r="AY379" s="93"/>
      <c r="AZ379" s="93"/>
      <c r="BA379" s="93"/>
      <c r="BB379" s="93"/>
      <c r="BL379" s="93"/>
      <c r="BM379" s="93"/>
      <c r="BT379" s="93"/>
      <c r="BU379" s="93"/>
      <c r="BV379" s="93"/>
      <c r="BW379" s="93"/>
      <c r="BX379" s="93"/>
      <c r="BY379" s="93"/>
      <c r="BZ379" s="93"/>
      <c r="CA379" s="93"/>
      <c r="CB379" s="93"/>
      <c r="CC379" s="93"/>
      <c r="CF379" s="93"/>
      <c r="CG379" s="93"/>
      <c r="CH379" s="93"/>
      <c r="CI379" s="93"/>
      <c r="CJ379" s="93"/>
      <c r="CK379" s="93"/>
      <c r="CL379" s="93"/>
      <c r="CM379" s="93"/>
      <c r="CN379" s="93"/>
      <c r="CO379" s="93"/>
      <c r="CP379" s="93"/>
      <c r="CQ379" s="93"/>
      <c r="CR379" s="93"/>
      <c r="CS379" s="93"/>
      <c r="CT379" s="93"/>
      <c r="CU379" s="93"/>
      <c r="CV379" s="93"/>
      <c r="CW379" s="93"/>
      <c r="CX379" s="93"/>
      <c r="CY379" s="93"/>
      <c r="CZ379" s="93"/>
      <c r="DA379" s="93"/>
      <c r="DB379" s="93"/>
      <c r="DC379" s="93"/>
      <c r="DD379" s="93"/>
      <c r="DE379" s="93"/>
      <c r="DF379" s="93"/>
      <c r="DG379" s="93"/>
      <c r="DH379" s="93"/>
      <c r="DI379" s="93"/>
      <c r="DJ379" s="93"/>
      <c r="DK379" s="93"/>
      <c r="DL379" s="93"/>
      <c r="DM379" s="93"/>
      <c r="DN379" s="93"/>
      <c r="DO379" s="93"/>
    </row>
    <row r="380" spans="1:198" s="806" customFormat="1" ht="15">
      <c r="A380" s="154" t="s">
        <v>7419</v>
      </c>
      <c r="C380" s="1065" t="s">
        <v>288</v>
      </c>
      <c r="D380" s="1065"/>
      <c r="G380" s="827"/>
      <c r="H380" s="809" t="s">
        <v>8713</v>
      </c>
      <c r="I380" s="92">
        <v>29</v>
      </c>
      <c r="J380" s="92" t="s">
        <v>10</v>
      </c>
      <c r="K380" s="92" t="s">
        <v>768</v>
      </c>
      <c r="L380" s="810">
        <v>5</v>
      </c>
      <c r="M380" s="811" t="str">
        <f t="shared" si="28"/>
        <v>High School Graduate</v>
      </c>
      <c r="N380" s="92" t="s">
        <v>1208</v>
      </c>
      <c r="O380" s="92" t="s">
        <v>8714</v>
      </c>
      <c r="P380" s="1638"/>
      <c r="Q380" s="92" t="s">
        <v>8714</v>
      </c>
      <c r="R380" s="92" t="s">
        <v>10310</v>
      </c>
      <c r="S380" s="848">
        <f>PRODUCT(400,28)</f>
        <v>11200</v>
      </c>
      <c r="T380" s="813"/>
      <c r="U380" s="813"/>
      <c r="V380" s="814"/>
      <c r="W380" s="815">
        <v>4</v>
      </c>
      <c r="X380" s="811" t="str">
        <f t="shared" si="27"/>
        <v>Other Province</v>
      </c>
      <c r="Y380" s="816">
        <v>1120</v>
      </c>
      <c r="Z380" s="816"/>
      <c r="AA380" s="816"/>
      <c r="AB380" s="814"/>
      <c r="AC380" s="809" t="s">
        <v>8715</v>
      </c>
      <c r="AD380" s="824"/>
      <c r="AE380" s="93"/>
      <c r="AF380" s="818"/>
      <c r="AG380" s="807" t="str">
        <f t="shared" si="29"/>
        <v/>
      </c>
      <c r="AH380" s="807"/>
      <c r="AI380" s="807"/>
      <c r="AJ380" s="807"/>
      <c r="AK380" s="92"/>
      <c r="AL380" s="92"/>
      <c r="AM380" s="819"/>
      <c r="AN380" s="820"/>
      <c r="AO380" s="817"/>
      <c r="AP380" s="820"/>
      <c r="AQ380" s="93"/>
      <c r="AR380" s="93"/>
      <c r="AS380" s="93"/>
      <c r="AT380" s="93"/>
      <c r="AU380" s="93"/>
      <c r="AV380" s="93"/>
      <c r="AW380" s="93"/>
      <c r="AX380" s="93"/>
      <c r="AY380" s="93"/>
      <c r="AZ380" s="93"/>
      <c r="BA380" s="93"/>
      <c r="BB380" s="93"/>
      <c r="BC380" s="93"/>
      <c r="BD380" s="93"/>
      <c r="BE380" s="93"/>
      <c r="BF380" s="93"/>
      <c r="BG380" s="93"/>
      <c r="BH380" s="93"/>
      <c r="BI380" s="93"/>
      <c r="BJ380" s="93"/>
      <c r="BK380" s="93"/>
      <c r="BL380" s="93"/>
      <c r="BM380" s="93"/>
      <c r="BN380" s="93"/>
      <c r="BO380" s="92"/>
      <c r="BP380" s="92"/>
      <c r="BQ380" s="92"/>
      <c r="BR380" s="92"/>
      <c r="BS380" s="92"/>
      <c r="BT380" s="93"/>
      <c r="BU380" s="93"/>
      <c r="BV380" s="93"/>
      <c r="BW380" s="93"/>
      <c r="BX380" s="93"/>
      <c r="BY380" s="93"/>
      <c r="BZ380" s="93"/>
      <c r="CA380" s="93"/>
      <c r="CB380" s="93"/>
      <c r="CC380" s="93"/>
      <c r="CD380" s="93"/>
      <c r="CE380" s="93"/>
      <c r="CF380" s="93"/>
      <c r="CG380" s="93"/>
      <c r="CH380" s="93"/>
      <c r="CI380" s="93"/>
      <c r="CJ380" s="93"/>
      <c r="CK380" s="93"/>
      <c r="CL380" s="93"/>
      <c r="CM380" s="93"/>
      <c r="CN380" s="93"/>
      <c r="CO380" s="93"/>
      <c r="CP380" s="93"/>
      <c r="CQ380" s="93"/>
      <c r="CR380" s="93"/>
      <c r="CS380" s="93"/>
      <c r="CT380" s="93"/>
      <c r="CU380" s="93"/>
      <c r="CV380" s="93"/>
      <c r="CW380" s="93"/>
      <c r="CX380" s="93"/>
      <c r="CY380" s="93"/>
      <c r="CZ380" s="93"/>
      <c r="DA380" s="93"/>
      <c r="DB380" s="93"/>
      <c r="DC380" s="93"/>
      <c r="DD380" s="93"/>
      <c r="DE380" s="93"/>
      <c r="DF380" s="93"/>
      <c r="DG380" s="93"/>
      <c r="DH380" s="93"/>
      <c r="DI380" s="826"/>
      <c r="DJ380" s="825"/>
      <c r="DK380" s="825"/>
      <c r="GO380" s="92"/>
      <c r="GP380" s="831"/>
    </row>
    <row r="381" spans="1:198" s="806" customFormat="1" ht="15">
      <c r="A381" s="154" t="s">
        <v>7419</v>
      </c>
      <c r="C381" s="1065" t="s">
        <v>288</v>
      </c>
      <c r="D381" s="1065"/>
      <c r="G381" s="827"/>
      <c r="H381" s="809" t="s">
        <v>8716</v>
      </c>
      <c r="I381" s="92">
        <v>25</v>
      </c>
      <c r="J381" s="92" t="s">
        <v>18</v>
      </c>
      <c r="K381" s="92" t="s">
        <v>768</v>
      </c>
      <c r="L381" s="810">
        <v>4</v>
      </c>
      <c r="M381" s="811" t="str">
        <f t="shared" si="28"/>
        <v>High School Level</v>
      </c>
      <c r="N381" s="92"/>
      <c r="O381" s="92"/>
      <c r="P381" s="1638"/>
      <c r="Q381" s="92"/>
      <c r="R381" s="92"/>
      <c r="S381" s="848"/>
      <c r="T381" s="813"/>
      <c r="U381" s="813"/>
      <c r="V381" s="814"/>
      <c r="W381" s="815"/>
      <c r="X381" s="811" t="str">
        <f t="shared" si="27"/>
        <v/>
      </c>
      <c r="Y381" s="816"/>
      <c r="Z381" s="816"/>
      <c r="AA381" s="816"/>
      <c r="AB381" s="814"/>
      <c r="AC381" s="809"/>
      <c r="AD381" s="824"/>
      <c r="AE381" s="93"/>
      <c r="AF381" s="818"/>
      <c r="AG381" s="807" t="str">
        <f t="shared" si="29"/>
        <v/>
      </c>
      <c r="AH381" s="807"/>
      <c r="AI381" s="807"/>
      <c r="AJ381" s="807"/>
      <c r="AK381" s="92"/>
      <c r="AL381" s="92"/>
      <c r="AM381" s="819"/>
      <c r="AN381" s="820"/>
      <c r="AO381" s="817"/>
      <c r="AP381" s="820"/>
      <c r="AQ381" s="93"/>
      <c r="AR381" s="93"/>
      <c r="AS381" s="93"/>
      <c r="AT381" s="93"/>
      <c r="AU381" s="93"/>
      <c r="AV381" s="93"/>
      <c r="AW381" s="93"/>
      <c r="AX381" s="93"/>
      <c r="AY381" s="93"/>
      <c r="AZ381" s="93"/>
      <c r="BA381" s="93"/>
      <c r="BB381" s="93"/>
      <c r="BC381" s="93"/>
      <c r="BD381" s="93"/>
      <c r="BE381" s="93"/>
      <c r="BF381" s="93"/>
      <c r="BG381" s="93"/>
      <c r="BH381" s="93"/>
      <c r="BI381" s="93"/>
      <c r="BJ381" s="93"/>
      <c r="BK381" s="93"/>
      <c r="BL381" s="93"/>
      <c r="BM381" s="93"/>
      <c r="BN381" s="93"/>
      <c r="BO381" s="92"/>
      <c r="BP381" s="92"/>
      <c r="BQ381" s="92"/>
      <c r="BR381" s="92"/>
      <c r="BS381" s="92"/>
      <c r="BT381" s="93"/>
      <c r="BU381" s="93"/>
      <c r="BV381" s="93"/>
      <c r="BW381" s="93"/>
      <c r="BX381" s="93"/>
      <c r="BY381" s="93"/>
      <c r="BZ381" s="93"/>
      <c r="CA381" s="93"/>
      <c r="CB381" s="93"/>
      <c r="CC381" s="93"/>
      <c r="CD381" s="93"/>
      <c r="CE381" s="93"/>
      <c r="CF381" s="93"/>
      <c r="CG381" s="93"/>
      <c r="CH381" s="93"/>
      <c r="CI381" s="93"/>
      <c r="CJ381" s="93"/>
      <c r="CK381" s="93"/>
      <c r="CL381" s="93"/>
      <c r="CM381" s="93"/>
      <c r="CN381" s="93"/>
      <c r="CO381" s="93"/>
      <c r="CP381" s="93"/>
      <c r="CQ381" s="93"/>
      <c r="CR381" s="93"/>
      <c r="CS381" s="93"/>
      <c r="CT381" s="93"/>
      <c r="CU381" s="93"/>
      <c r="CV381" s="93"/>
      <c r="CW381" s="93"/>
      <c r="CX381" s="93"/>
      <c r="CY381" s="93"/>
      <c r="CZ381" s="93"/>
      <c r="DA381" s="93"/>
      <c r="DB381" s="93"/>
      <c r="DC381" s="93"/>
      <c r="DD381" s="93"/>
      <c r="DE381" s="93"/>
      <c r="DF381" s="93"/>
      <c r="DG381" s="93"/>
      <c r="DH381" s="93"/>
      <c r="DI381" s="826"/>
      <c r="DJ381" s="825"/>
      <c r="DK381" s="825"/>
      <c r="GO381" s="92"/>
      <c r="GP381" s="831"/>
    </row>
    <row r="382" spans="1:198" s="806" customFormat="1" ht="15">
      <c r="A382" s="154" t="s">
        <v>7419</v>
      </c>
      <c r="C382" s="1065" t="s">
        <v>288</v>
      </c>
      <c r="D382" s="1065"/>
      <c r="G382" s="827"/>
      <c r="H382" s="809" t="s">
        <v>8717</v>
      </c>
      <c r="I382" s="92">
        <v>42</v>
      </c>
      <c r="J382" s="92" t="s">
        <v>10</v>
      </c>
      <c r="K382" s="92" t="s">
        <v>783</v>
      </c>
      <c r="L382" s="810">
        <v>4</v>
      </c>
      <c r="M382" s="811" t="str">
        <f t="shared" si="28"/>
        <v>High School Level</v>
      </c>
      <c r="N382" s="92" t="s">
        <v>1208</v>
      </c>
      <c r="O382" s="92" t="s">
        <v>2198</v>
      </c>
      <c r="P382" s="1638"/>
      <c r="Q382" s="92" t="s">
        <v>2198</v>
      </c>
      <c r="R382" s="92" t="s">
        <v>10310</v>
      </c>
      <c r="S382" s="848">
        <v>9800</v>
      </c>
      <c r="T382" s="813"/>
      <c r="U382" s="813"/>
      <c r="V382" s="814">
        <f>SUM(S378:U382)</f>
        <v>23000</v>
      </c>
      <c r="W382" s="815">
        <v>4</v>
      </c>
      <c r="X382" s="811" t="str">
        <f t="shared" ref="X382:X445" si="30">IF(ISBLANK(W382)=TRUE,"",LOOKUP(W382,GO:GP))</f>
        <v>Other Province</v>
      </c>
      <c r="Y382" s="816"/>
      <c r="Z382" s="816"/>
      <c r="AA382" s="816"/>
      <c r="AB382" s="814">
        <f>SUM(Y378:AA382)</f>
        <v>1120</v>
      </c>
      <c r="AC382" s="809" t="s">
        <v>2208</v>
      </c>
      <c r="AD382" s="824"/>
      <c r="AE382" s="93"/>
      <c r="AF382" s="818"/>
      <c r="AG382" s="807" t="str">
        <f t="shared" si="29"/>
        <v/>
      </c>
      <c r="AH382" s="807"/>
      <c r="AI382" s="807"/>
      <c r="AJ382" s="807"/>
      <c r="AK382" s="92"/>
      <c r="AL382" s="92"/>
      <c r="AM382" s="819"/>
      <c r="AN382" s="820"/>
      <c r="AO382" s="817"/>
      <c r="AP382" s="820"/>
      <c r="AQ382" s="93"/>
      <c r="AR382" s="93"/>
      <c r="AS382" s="93"/>
      <c r="AT382" s="93"/>
      <c r="AU382" s="93"/>
      <c r="AV382" s="93"/>
      <c r="AW382" s="93"/>
      <c r="AX382" s="93"/>
      <c r="AY382" s="93"/>
      <c r="AZ382" s="93"/>
      <c r="BA382" s="93"/>
      <c r="BB382" s="93"/>
      <c r="BC382" s="93"/>
      <c r="BD382" s="93"/>
      <c r="BE382" s="93"/>
      <c r="BF382" s="93"/>
      <c r="BG382" s="93"/>
      <c r="BH382" s="93"/>
      <c r="BI382" s="93"/>
      <c r="BJ382" s="93"/>
      <c r="BK382" s="93"/>
      <c r="BL382" s="93"/>
      <c r="BM382" s="93"/>
      <c r="BN382" s="93"/>
      <c r="BO382" s="92"/>
      <c r="BP382" s="92"/>
      <c r="BQ382" s="92"/>
      <c r="BR382" s="92"/>
      <c r="BS382" s="92"/>
      <c r="BT382" s="93"/>
      <c r="BU382" s="93"/>
      <c r="BV382" s="93"/>
      <c r="BW382" s="93"/>
      <c r="BX382" s="93"/>
      <c r="BY382" s="93"/>
      <c r="BZ382" s="93"/>
      <c r="CA382" s="93"/>
      <c r="CB382" s="93"/>
      <c r="CC382" s="93"/>
      <c r="CD382" s="93"/>
      <c r="CE382" s="93"/>
      <c r="CF382" s="93"/>
      <c r="CG382" s="93"/>
      <c r="CH382" s="93"/>
      <c r="CI382" s="93"/>
      <c r="CJ382" s="93"/>
      <c r="CK382" s="93"/>
      <c r="CL382" s="93"/>
      <c r="CM382" s="93"/>
      <c r="CN382" s="93"/>
      <c r="CO382" s="93"/>
      <c r="CP382" s="93"/>
      <c r="CQ382" s="93"/>
      <c r="CR382" s="93"/>
      <c r="CS382" s="93"/>
      <c r="CT382" s="93"/>
      <c r="CU382" s="93"/>
      <c r="CV382" s="93"/>
      <c r="CW382" s="93"/>
      <c r="CX382" s="93"/>
      <c r="CY382" s="93"/>
      <c r="CZ382" s="93"/>
      <c r="DA382" s="93"/>
      <c r="DB382" s="93"/>
      <c r="DC382" s="93"/>
      <c r="DD382" s="93"/>
      <c r="DE382" s="93"/>
      <c r="DF382" s="93"/>
      <c r="DG382" s="93"/>
      <c r="DH382" s="93"/>
      <c r="DI382" s="826"/>
      <c r="DJ382" s="825"/>
      <c r="DK382" s="825"/>
      <c r="GO382" s="92"/>
      <c r="GP382" s="831"/>
    </row>
    <row r="383" spans="1:198" s="806" customFormat="1" ht="15">
      <c r="D383" s="1065" t="s">
        <v>289</v>
      </c>
      <c r="G383" s="809" t="s">
        <v>289</v>
      </c>
      <c r="H383" s="809" t="s">
        <v>2070</v>
      </c>
      <c r="I383" s="92">
        <v>46</v>
      </c>
      <c r="J383" s="92" t="s">
        <v>10</v>
      </c>
      <c r="K383" s="92" t="s">
        <v>768</v>
      </c>
      <c r="L383" s="810">
        <v>4</v>
      </c>
      <c r="M383" s="811" t="str">
        <f t="shared" si="28"/>
        <v>High School Level</v>
      </c>
      <c r="N383" s="92" t="s">
        <v>1208</v>
      </c>
      <c r="O383" s="92" t="s">
        <v>2220</v>
      </c>
      <c r="P383" s="1638"/>
      <c r="Q383" s="92" t="s">
        <v>2220</v>
      </c>
      <c r="R383" s="92" t="s">
        <v>8234</v>
      </c>
      <c r="S383" s="848"/>
      <c r="T383" s="813"/>
      <c r="U383" s="813">
        <v>9000</v>
      </c>
      <c r="V383" s="849"/>
      <c r="W383" s="838">
        <v>1</v>
      </c>
      <c r="X383" s="811" t="str">
        <f t="shared" si="30"/>
        <v>within the Brgy</v>
      </c>
      <c r="Y383" s="836">
        <v>4800</v>
      </c>
      <c r="Z383" s="816"/>
      <c r="AA383" s="836"/>
      <c r="AB383" s="849"/>
      <c r="AC383" s="809" t="s">
        <v>8172</v>
      </c>
      <c r="AD383" s="824"/>
      <c r="AE383" s="93"/>
      <c r="AF383" s="818"/>
      <c r="AG383" s="807" t="str">
        <f t="shared" si="29"/>
        <v/>
      </c>
      <c r="AH383" s="807"/>
      <c r="AI383" s="807"/>
      <c r="AJ383" s="807"/>
      <c r="AK383" s="92"/>
      <c r="AL383" s="92"/>
      <c r="AM383" s="819"/>
      <c r="AN383" s="820"/>
      <c r="AO383" s="817"/>
      <c r="AP383" s="820"/>
      <c r="AQ383" s="93"/>
      <c r="AR383" s="93"/>
      <c r="AS383" s="93"/>
      <c r="AT383" s="93"/>
      <c r="AU383" s="93"/>
      <c r="AV383" s="93"/>
      <c r="AW383" s="93"/>
      <c r="AX383" s="93"/>
      <c r="AY383" s="93"/>
      <c r="AZ383" s="93"/>
      <c r="BA383" s="93"/>
      <c r="BB383" s="93"/>
      <c r="BC383" s="93"/>
      <c r="BD383" s="93"/>
      <c r="BE383" s="93"/>
      <c r="BF383" s="93"/>
      <c r="BG383" s="93"/>
      <c r="BH383" s="93"/>
      <c r="BI383" s="93"/>
      <c r="BJ383" s="93"/>
      <c r="BK383" s="93"/>
      <c r="BL383" s="93"/>
      <c r="BM383" s="93"/>
      <c r="BN383" s="93"/>
      <c r="BO383" s="92"/>
      <c r="BP383" s="92"/>
      <c r="BQ383" s="92"/>
      <c r="BR383" s="92"/>
      <c r="BS383" s="92"/>
      <c r="BT383" s="93"/>
      <c r="BU383" s="93"/>
      <c r="BV383" s="93"/>
      <c r="BW383" s="93"/>
      <c r="BX383" s="93"/>
      <c r="BY383" s="93"/>
      <c r="BZ383" s="93"/>
      <c r="CA383" s="93"/>
      <c r="CB383" s="93"/>
      <c r="CC383" s="93"/>
      <c r="CD383" s="93"/>
      <c r="CE383" s="93"/>
      <c r="CF383" s="93"/>
      <c r="CG383" s="93"/>
      <c r="CH383" s="93"/>
      <c r="CI383" s="93"/>
      <c r="CJ383" s="93"/>
      <c r="CK383" s="93"/>
      <c r="CL383" s="93"/>
      <c r="CM383" s="93"/>
      <c r="CN383" s="93"/>
      <c r="CO383" s="93"/>
      <c r="CP383" s="93"/>
      <c r="CQ383" s="93"/>
      <c r="CR383" s="93"/>
      <c r="CS383" s="93"/>
      <c r="CT383" s="93"/>
      <c r="CU383" s="93"/>
      <c r="CV383" s="93"/>
      <c r="CW383" s="93"/>
      <c r="CX383" s="93"/>
      <c r="CY383" s="93"/>
      <c r="CZ383" s="93"/>
      <c r="DA383" s="93"/>
      <c r="DB383" s="93"/>
      <c r="DC383" s="93"/>
      <c r="DD383" s="93"/>
      <c r="DE383" s="93"/>
      <c r="DF383" s="93"/>
      <c r="DG383" s="93"/>
      <c r="DH383" s="93"/>
      <c r="DI383" s="826"/>
      <c r="DJ383" s="825"/>
      <c r="DK383" s="825"/>
      <c r="GO383" s="92"/>
      <c r="GP383" s="831"/>
    </row>
    <row r="384" spans="1:198" s="806" customFormat="1" ht="15">
      <c r="D384" s="1065"/>
      <c r="G384" s="827"/>
      <c r="H384" s="809" t="s">
        <v>8718</v>
      </c>
      <c r="I384" s="92">
        <v>24</v>
      </c>
      <c r="J384" s="92" t="s">
        <v>18</v>
      </c>
      <c r="K384" s="92" t="s">
        <v>768</v>
      </c>
      <c r="L384" s="810">
        <v>7</v>
      </c>
      <c r="M384" s="811" t="str">
        <f t="shared" si="28"/>
        <v>College Graduate or Higher</v>
      </c>
      <c r="N384" s="92"/>
      <c r="O384" s="92"/>
      <c r="P384" s="1638"/>
      <c r="Q384" s="92"/>
      <c r="R384" s="92"/>
      <c r="S384" s="848"/>
      <c r="T384" s="813"/>
      <c r="U384" s="813"/>
      <c r="V384" s="849"/>
      <c r="W384" s="838"/>
      <c r="X384" s="811" t="str">
        <f t="shared" si="30"/>
        <v/>
      </c>
      <c r="Y384" s="836"/>
      <c r="Z384" s="836"/>
      <c r="AA384" s="836"/>
      <c r="AB384" s="849"/>
      <c r="AC384" s="809"/>
      <c r="AD384" s="824"/>
      <c r="AE384" s="93"/>
      <c r="AF384" s="818"/>
      <c r="AG384" s="807" t="str">
        <f t="shared" si="29"/>
        <v/>
      </c>
      <c r="AH384" s="807"/>
      <c r="AI384" s="807"/>
      <c r="AJ384" s="807"/>
      <c r="AK384" s="92"/>
      <c r="AL384" s="92"/>
      <c r="AM384" s="819"/>
      <c r="AN384" s="820"/>
      <c r="AO384" s="817"/>
      <c r="AP384" s="820"/>
      <c r="AQ384" s="93"/>
      <c r="AR384" s="93"/>
      <c r="AS384" s="93"/>
      <c r="AT384" s="93"/>
      <c r="AU384" s="93"/>
      <c r="AV384" s="93"/>
      <c r="AW384" s="93"/>
      <c r="AX384" s="93"/>
      <c r="AY384" s="93"/>
      <c r="AZ384" s="93"/>
      <c r="BA384" s="93"/>
      <c r="BB384" s="93"/>
      <c r="BC384" s="93"/>
      <c r="BD384" s="93"/>
      <c r="BE384" s="93"/>
      <c r="BF384" s="93"/>
      <c r="BG384" s="93"/>
      <c r="BH384" s="93"/>
      <c r="BI384" s="93"/>
      <c r="BJ384" s="93"/>
      <c r="BK384" s="93"/>
      <c r="BL384" s="93"/>
      <c r="BM384" s="93"/>
      <c r="BN384" s="93"/>
      <c r="BO384" s="92"/>
      <c r="BP384" s="92"/>
      <c r="BQ384" s="92"/>
      <c r="BR384" s="92"/>
      <c r="BS384" s="92"/>
      <c r="BT384" s="93"/>
      <c r="BU384" s="93"/>
      <c r="BV384" s="93"/>
      <c r="BW384" s="93"/>
      <c r="BX384" s="93"/>
      <c r="BY384" s="93"/>
      <c r="BZ384" s="93"/>
      <c r="CA384" s="93"/>
      <c r="CB384" s="93"/>
      <c r="CC384" s="93"/>
      <c r="CD384" s="93"/>
      <c r="CE384" s="93"/>
      <c r="CF384" s="93"/>
      <c r="CG384" s="93"/>
      <c r="CH384" s="93"/>
      <c r="CI384" s="93"/>
      <c r="CJ384" s="93"/>
      <c r="CK384" s="93"/>
      <c r="CL384" s="93"/>
      <c r="CM384" s="93"/>
      <c r="CN384" s="93"/>
      <c r="CO384" s="93"/>
      <c r="CP384" s="93"/>
      <c r="CQ384" s="93"/>
      <c r="CR384" s="93"/>
      <c r="CS384" s="93"/>
      <c r="CT384" s="93"/>
      <c r="CU384" s="93"/>
      <c r="CV384" s="93"/>
      <c r="CW384" s="93"/>
      <c r="CX384" s="93"/>
      <c r="CY384" s="93"/>
      <c r="CZ384" s="93"/>
      <c r="DA384" s="93"/>
      <c r="DB384" s="93"/>
      <c r="DC384" s="93"/>
      <c r="DD384" s="93"/>
      <c r="DE384" s="93"/>
      <c r="DF384" s="93"/>
      <c r="DG384" s="93"/>
      <c r="DH384" s="93"/>
      <c r="DI384" s="826"/>
      <c r="DJ384" s="825"/>
      <c r="DK384" s="825"/>
      <c r="GO384" s="92"/>
      <c r="GP384" s="831"/>
    </row>
    <row r="385" spans="1:198" s="806" customFormat="1" ht="15">
      <c r="D385" s="1065"/>
      <c r="G385" s="827"/>
      <c r="H385" s="809" t="s">
        <v>8719</v>
      </c>
      <c r="I385" s="92">
        <v>20</v>
      </c>
      <c r="J385" s="92" t="s">
        <v>18</v>
      </c>
      <c r="K385" s="92" t="s">
        <v>768</v>
      </c>
      <c r="L385" s="810">
        <v>6</v>
      </c>
      <c r="M385" s="811" t="str">
        <f t="shared" si="28"/>
        <v>College Level</v>
      </c>
      <c r="N385" s="92" t="s">
        <v>1208</v>
      </c>
      <c r="O385" s="92" t="s">
        <v>8720</v>
      </c>
      <c r="P385" s="1638"/>
      <c r="Q385" s="92" t="s">
        <v>8720</v>
      </c>
      <c r="R385" s="92"/>
      <c r="S385" s="848">
        <v>18000</v>
      </c>
      <c r="T385" s="813"/>
      <c r="U385" s="813"/>
      <c r="V385" s="849"/>
      <c r="W385" s="838">
        <v>4</v>
      </c>
      <c r="X385" s="811" t="str">
        <f t="shared" si="30"/>
        <v>Other Province</v>
      </c>
      <c r="Y385" s="836">
        <v>900</v>
      </c>
      <c r="Z385" s="836"/>
      <c r="AA385" s="836"/>
      <c r="AB385" s="849"/>
      <c r="AC385" s="809"/>
      <c r="AD385" s="824"/>
      <c r="AE385" s="93"/>
      <c r="AF385" s="818"/>
      <c r="AG385" s="807" t="str">
        <f t="shared" si="29"/>
        <v/>
      </c>
      <c r="AH385" s="807"/>
      <c r="AI385" s="807"/>
      <c r="AJ385" s="807"/>
      <c r="AK385" s="92"/>
      <c r="AL385" s="92"/>
      <c r="AM385" s="819"/>
      <c r="AN385" s="820"/>
      <c r="AO385" s="817"/>
      <c r="AP385" s="820"/>
      <c r="AQ385" s="93"/>
      <c r="AR385" s="93"/>
      <c r="AS385" s="93"/>
      <c r="AT385" s="93"/>
      <c r="AU385" s="93"/>
      <c r="AV385" s="93"/>
      <c r="AW385" s="93"/>
      <c r="AX385" s="93"/>
      <c r="AY385" s="93"/>
      <c r="AZ385" s="93"/>
      <c r="BA385" s="93"/>
      <c r="BB385" s="93"/>
      <c r="BC385" s="93"/>
      <c r="BD385" s="93"/>
      <c r="BE385" s="93"/>
      <c r="BF385" s="93"/>
      <c r="BG385" s="93"/>
      <c r="BH385" s="93"/>
      <c r="BI385" s="93"/>
      <c r="BJ385" s="93"/>
      <c r="BK385" s="93"/>
      <c r="BL385" s="93"/>
      <c r="BM385" s="93"/>
      <c r="BN385" s="93"/>
      <c r="BO385" s="92"/>
      <c r="BP385" s="92"/>
      <c r="BQ385" s="92"/>
      <c r="BR385" s="92"/>
      <c r="BS385" s="92"/>
      <c r="BT385" s="93"/>
      <c r="BU385" s="93"/>
      <c r="BV385" s="93"/>
      <c r="BW385" s="93"/>
      <c r="BX385" s="93"/>
      <c r="BY385" s="93"/>
      <c r="BZ385" s="93"/>
      <c r="CA385" s="93"/>
      <c r="CB385" s="93"/>
      <c r="CC385" s="93"/>
      <c r="CD385" s="93"/>
      <c r="CE385" s="93"/>
      <c r="CF385" s="93"/>
      <c r="CG385" s="93"/>
      <c r="CH385" s="93"/>
      <c r="CI385" s="93"/>
      <c r="CJ385" s="93"/>
      <c r="CK385" s="93"/>
      <c r="CL385" s="93"/>
      <c r="CM385" s="93"/>
      <c r="CN385" s="93"/>
      <c r="CO385" s="93"/>
      <c r="CP385" s="93"/>
      <c r="CQ385" s="93"/>
      <c r="CR385" s="93"/>
      <c r="CS385" s="93"/>
      <c r="CT385" s="93"/>
      <c r="CU385" s="93"/>
      <c r="CV385" s="93"/>
      <c r="CW385" s="93"/>
      <c r="CX385" s="93"/>
      <c r="CY385" s="93"/>
      <c r="CZ385" s="93"/>
      <c r="DA385" s="93"/>
      <c r="DB385" s="93"/>
      <c r="DC385" s="93"/>
      <c r="DD385" s="93"/>
      <c r="DE385" s="93"/>
      <c r="DF385" s="93"/>
      <c r="DG385" s="93"/>
      <c r="DH385" s="93"/>
      <c r="DI385" s="826"/>
      <c r="DJ385" s="825"/>
      <c r="DK385" s="825"/>
      <c r="GO385" s="92"/>
      <c r="GP385" s="831"/>
    </row>
    <row r="386" spans="1:198" ht="15">
      <c r="A386" s="807"/>
      <c r="C386" s="807"/>
      <c r="D386" s="1065"/>
      <c r="E386" s="807"/>
      <c r="F386" s="807"/>
      <c r="G386" s="827"/>
      <c r="H386" s="809" t="s">
        <v>8721</v>
      </c>
      <c r="I386" s="92">
        <v>18</v>
      </c>
      <c r="J386" s="92" t="s">
        <v>10</v>
      </c>
      <c r="K386" s="92" t="s">
        <v>768</v>
      </c>
      <c r="L386" s="810">
        <v>11</v>
      </c>
      <c r="M386" s="811" t="str">
        <f t="shared" si="28"/>
        <v>Junior/Senior High School</v>
      </c>
      <c r="O386" s="92"/>
      <c r="P386" s="1638"/>
      <c r="Q386" s="92"/>
      <c r="R386" s="92"/>
      <c r="S386" s="848"/>
      <c r="V386" s="828"/>
      <c r="X386" s="811" t="str">
        <f t="shared" si="30"/>
        <v/>
      </c>
      <c r="AB386" s="828"/>
      <c r="AC386" s="809"/>
      <c r="AD386" s="824"/>
      <c r="AG386" s="807" t="str">
        <f t="shared" si="29"/>
        <v/>
      </c>
      <c r="AH386" s="807"/>
      <c r="AI386" s="807"/>
      <c r="AJ386" s="807"/>
      <c r="AK386" s="92"/>
      <c r="AM386" s="819"/>
      <c r="AN386" s="820"/>
      <c r="AQ386" s="93"/>
      <c r="AR386" s="93"/>
      <c r="AS386" s="93"/>
      <c r="AT386" s="93"/>
      <c r="AU386" s="93"/>
      <c r="AV386" s="93"/>
      <c r="AW386" s="93"/>
      <c r="AX386" s="93"/>
      <c r="AY386" s="93"/>
      <c r="AZ386" s="93"/>
      <c r="BA386" s="93"/>
      <c r="BB386" s="93"/>
      <c r="BL386" s="93"/>
      <c r="BM386" s="93"/>
      <c r="BT386" s="93"/>
      <c r="BU386" s="93"/>
      <c r="BV386" s="93"/>
      <c r="BW386" s="93"/>
      <c r="BX386" s="93"/>
      <c r="BY386" s="93"/>
      <c r="BZ386" s="93"/>
      <c r="CA386" s="93"/>
      <c r="CB386" s="93"/>
      <c r="CC386" s="93"/>
      <c r="CF386" s="93"/>
      <c r="CG386" s="93"/>
      <c r="CH386" s="93"/>
      <c r="CI386" s="93"/>
      <c r="CJ386" s="93"/>
      <c r="CK386" s="93"/>
      <c r="CL386" s="93"/>
      <c r="CM386" s="93"/>
      <c r="CN386" s="93"/>
      <c r="CO386" s="93"/>
      <c r="CP386" s="93"/>
      <c r="CQ386" s="93"/>
      <c r="CR386" s="93"/>
      <c r="CS386" s="93"/>
      <c r="CT386" s="93"/>
      <c r="CU386" s="93"/>
      <c r="CV386" s="93"/>
      <c r="CW386" s="93"/>
      <c r="CX386" s="93"/>
      <c r="CY386" s="93"/>
      <c r="CZ386" s="93"/>
      <c r="DA386" s="93"/>
      <c r="DB386" s="93"/>
      <c r="DC386" s="93"/>
      <c r="DD386" s="93"/>
      <c r="DE386" s="93"/>
      <c r="DF386" s="93"/>
      <c r="DG386" s="93"/>
      <c r="DH386" s="93"/>
      <c r="DI386" s="93"/>
      <c r="DJ386" s="93"/>
      <c r="DK386" s="93"/>
      <c r="DL386" s="93"/>
      <c r="DM386" s="93"/>
      <c r="DN386" s="93"/>
      <c r="DO386" s="93"/>
    </row>
    <row r="387" spans="1:198" s="806" customFormat="1" ht="15">
      <c r="D387" s="1065"/>
      <c r="G387" s="827"/>
      <c r="H387" s="809" t="s">
        <v>8722</v>
      </c>
      <c r="I387" s="92">
        <v>17</v>
      </c>
      <c r="J387" s="92" t="s">
        <v>10</v>
      </c>
      <c r="K387" s="92" t="s">
        <v>768</v>
      </c>
      <c r="L387" s="810">
        <v>11</v>
      </c>
      <c r="M387" s="811" t="str">
        <f t="shared" si="28"/>
        <v>Junior/Senior High School</v>
      </c>
      <c r="N387" s="92"/>
      <c r="O387" s="92"/>
      <c r="P387" s="1638"/>
      <c r="Q387" s="92"/>
      <c r="R387" s="92"/>
      <c r="S387" s="848"/>
      <c r="T387" s="813"/>
      <c r="U387" s="813"/>
      <c r="V387" s="849">
        <f>SUM(S383:U387)</f>
        <v>27000</v>
      </c>
      <c r="W387" s="838"/>
      <c r="X387" s="811" t="str">
        <f t="shared" si="30"/>
        <v/>
      </c>
      <c r="Y387" s="836"/>
      <c r="Z387" s="836"/>
      <c r="AA387" s="836"/>
      <c r="AB387" s="849">
        <f>SUM(Y383:AA387)</f>
        <v>5700</v>
      </c>
      <c r="AC387" s="809"/>
      <c r="AD387" s="824"/>
      <c r="AE387" s="93"/>
      <c r="AF387" s="818"/>
      <c r="AG387" s="807" t="str">
        <f t="shared" si="29"/>
        <v/>
      </c>
      <c r="AH387" s="807"/>
      <c r="AI387" s="807"/>
      <c r="AJ387" s="807"/>
      <c r="AK387" s="92"/>
      <c r="AL387" s="92"/>
      <c r="AM387" s="819"/>
      <c r="AN387" s="820"/>
      <c r="AO387" s="817"/>
      <c r="AP387" s="820"/>
      <c r="AQ387" s="93"/>
      <c r="AR387" s="93"/>
      <c r="AS387" s="93"/>
      <c r="AT387" s="93"/>
      <c r="AU387" s="93"/>
      <c r="AV387" s="93"/>
      <c r="AW387" s="93"/>
      <c r="AX387" s="93"/>
      <c r="AY387" s="93"/>
      <c r="AZ387" s="93"/>
      <c r="BA387" s="93"/>
      <c r="BB387" s="93"/>
      <c r="BC387" s="93"/>
      <c r="BD387" s="93"/>
      <c r="BE387" s="93"/>
      <c r="BF387" s="93"/>
      <c r="BG387" s="93"/>
      <c r="BH387" s="93"/>
      <c r="BI387" s="93"/>
      <c r="BJ387" s="93"/>
      <c r="BK387" s="93"/>
      <c r="BL387" s="93"/>
      <c r="BM387" s="93"/>
      <c r="BN387" s="93"/>
      <c r="BO387" s="92"/>
      <c r="BP387" s="92"/>
      <c r="BQ387" s="92"/>
      <c r="BR387" s="92"/>
      <c r="BS387" s="92"/>
      <c r="BT387" s="93"/>
      <c r="BU387" s="93"/>
      <c r="BV387" s="93"/>
      <c r="BW387" s="93"/>
      <c r="BX387" s="93"/>
      <c r="BY387" s="93"/>
      <c r="BZ387" s="93"/>
      <c r="CA387" s="93"/>
      <c r="CB387" s="93"/>
      <c r="CC387" s="93"/>
      <c r="CD387" s="93"/>
      <c r="CE387" s="93"/>
      <c r="CF387" s="93"/>
      <c r="CG387" s="93"/>
      <c r="CH387" s="93"/>
      <c r="CI387" s="93"/>
      <c r="CJ387" s="93"/>
      <c r="CK387" s="93"/>
      <c r="CL387" s="93"/>
      <c r="CM387" s="93"/>
      <c r="CN387" s="93"/>
      <c r="CO387" s="93"/>
      <c r="CP387" s="93"/>
      <c r="CQ387" s="93"/>
      <c r="CR387" s="93"/>
      <c r="CS387" s="93"/>
      <c r="CT387" s="93"/>
      <c r="CU387" s="93"/>
      <c r="CV387" s="93"/>
      <c r="CW387" s="93"/>
      <c r="CX387" s="93"/>
      <c r="CY387" s="93"/>
      <c r="CZ387" s="93"/>
      <c r="DA387" s="93"/>
      <c r="DB387" s="93"/>
      <c r="DC387" s="93"/>
      <c r="DD387" s="93"/>
      <c r="DE387" s="93"/>
      <c r="DF387" s="93"/>
      <c r="DG387" s="93"/>
      <c r="DH387" s="93"/>
      <c r="DI387" s="826"/>
      <c r="DJ387" s="825"/>
      <c r="DK387" s="825"/>
      <c r="GO387" s="92"/>
      <c r="GP387" s="831"/>
    </row>
    <row r="388" spans="1:198" ht="15">
      <c r="A388" s="154" t="s">
        <v>7419</v>
      </c>
      <c r="B388" s="288" t="s">
        <v>7529</v>
      </c>
      <c r="C388" s="171" t="s">
        <v>290</v>
      </c>
      <c r="D388" s="1065" t="s">
        <v>290</v>
      </c>
      <c r="E388" s="807"/>
      <c r="F388" s="807"/>
      <c r="G388" s="809" t="s">
        <v>290</v>
      </c>
      <c r="H388" s="809" t="s">
        <v>1621</v>
      </c>
      <c r="I388" s="92">
        <v>47</v>
      </c>
      <c r="J388" s="92" t="s">
        <v>10</v>
      </c>
      <c r="K388" s="92" t="s">
        <v>768</v>
      </c>
      <c r="L388" s="810">
        <v>5</v>
      </c>
      <c r="M388" s="811" t="str">
        <f t="shared" si="28"/>
        <v>High School Graduate</v>
      </c>
      <c r="N388" s="92" t="s">
        <v>1208</v>
      </c>
      <c r="O388" s="92" t="s">
        <v>8723</v>
      </c>
      <c r="P388" s="1638" t="s">
        <v>12627</v>
      </c>
      <c r="Q388" s="92" t="s">
        <v>8723</v>
      </c>
      <c r="R388" s="92" t="s">
        <v>8234</v>
      </c>
      <c r="S388" s="848"/>
      <c r="U388" s="813">
        <f>SUM(9000,1750,2000)</f>
        <v>12750</v>
      </c>
      <c r="V388" s="830"/>
      <c r="W388" s="815">
        <v>3</v>
      </c>
      <c r="X388" s="811" t="str">
        <f t="shared" si="30"/>
        <v>within the Province</v>
      </c>
      <c r="Y388" s="816">
        <v>624</v>
      </c>
      <c r="AB388" s="830"/>
      <c r="AC388" s="809" t="s">
        <v>8193</v>
      </c>
      <c r="AD388" s="824"/>
      <c r="AG388" s="807" t="str">
        <f t="shared" si="29"/>
        <v/>
      </c>
      <c r="AH388" s="807"/>
      <c r="AI388" s="807"/>
      <c r="AJ388" s="807"/>
      <c r="AK388" s="92"/>
      <c r="AM388" s="819"/>
      <c r="AN388" s="820"/>
      <c r="AQ388" s="93"/>
      <c r="AR388" s="93"/>
      <c r="AS388" s="93"/>
      <c r="AT388" s="93"/>
      <c r="AU388" s="93"/>
      <c r="AV388" s="93"/>
      <c r="AW388" s="93"/>
      <c r="AX388" s="93"/>
      <c r="AY388" s="93"/>
      <c r="AZ388" s="93"/>
      <c r="BA388" s="93"/>
      <c r="BB388" s="93"/>
      <c r="BL388" s="93"/>
      <c r="BM388" s="93"/>
      <c r="BT388" s="93"/>
      <c r="BU388" s="93"/>
      <c r="BV388" s="93"/>
      <c r="BW388" s="93"/>
      <c r="BX388" s="93"/>
      <c r="BY388" s="93"/>
      <c r="BZ388" s="93"/>
      <c r="CA388" s="93"/>
      <c r="CB388" s="93"/>
      <c r="CC388" s="93"/>
      <c r="CE388" s="93" t="s">
        <v>2146</v>
      </c>
      <c r="CF388" s="93"/>
      <c r="CG388" s="93"/>
      <c r="CH388" s="93"/>
      <c r="CI388" s="93"/>
      <c r="CJ388" s="93"/>
      <c r="CK388" s="93"/>
      <c r="CL388" s="93"/>
      <c r="CM388" s="93"/>
      <c r="CN388" s="93"/>
      <c r="CO388" s="93"/>
      <c r="CP388" s="93"/>
      <c r="CQ388" s="93"/>
      <c r="CR388" s="93"/>
      <c r="CS388" s="93" t="s">
        <v>2144</v>
      </c>
      <c r="CT388" s="93"/>
      <c r="CU388" s="93"/>
      <c r="CV388" s="93"/>
      <c r="CW388" s="93"/>
      <c r="CX388" s="93"/>
      <c r="CY388" s="93"/>
      <c r="CZ388" s="93"/>
      <c r="DA388" s="93"/>
      <c r="DB388" s="93" t="s">
        <v>2145</v>
      </c>
      <c r="DC388" s="93"/>
      <c r="DD388" s="93"/>
      <c r="DE388" s="93"/>
      <c r="DF388" s="93"/>
      <c r="DG388" s="93"/>
      <c r="DH388" s="93"/>
      <c r="DI388" s="93"/>
      <c r="DJ388" s="93"/>
      <c r="DK388" s="93"/>
      <c r="DL388" s="93"/>
      <c r="DM388" s="93"/>
      <c r="DN388" s="93"/>
      <c r="DO388" s="93"/>
    </row>
    <row r="389" spans="1:198" ht="15">
      <c r="A389" s="154" t="s">
        <v>7419</v>
      </c>
      <c r="C389" s="807"/>
      <c r="D389" s="1065" t="s">
        <v>290</v>
      </c>
      <c r="E389" s="807"/>
      <c r="F389" s="807"/>
      <c r="G389" s="827"/>
      <c r="H389" s="809" t="s">
        <v>8724</v>
      </c>
      <c r="I389" s="92">
        <v>37</v>
      </c>
      <c r="J389" s="92" t="s">
        <v>10</v>
      </c>
      <c r="K389" s="92" t="s">
        <v>768</v>
      </c>
      <c r="L389" s="810">
        <v>3</v>
      </c>
      <c r="M389" s="811" t="str">
        <f t="shared" si="28"/>
        <v>Elementary Graduate</v>
      </c>
      <c r="P389" s="1638"/>
      <c r="S389" s="848"/>
      <c r="V389" s="830"/>
      <c r="X389" s="811" t="str">
        <f t="shared" si="30"/>
        <v/>
      </c>
      <c r="AB389" s="830"/>
      <c r="AC389" s="809"/>
      <c r="AD389" s="824"/>
      <c r="AE389" s="93" t="s">
        <v>8725</v>
      </c>
      <c r="AF389" s="818">
        <v>1</v>
      </c>
      <c r="AG389" s="807" t="str">
        <f t="shared" si="29"/>
        <v>Mental disabilities or PWD</v>
      </c>
      <c r="AH389" s="807"/>
      <c r="AI389" s="807"/>
      <c r="AJ389" s="807"/>
      <c r="AK389" s="92"/>
      <c r="AM389" s="819"/>
      <c r="AN389" s="820"/>
      <c r="AQ389" s="93"/>
      <c r="AR389" s="93"/>
      <c r="AS389" s="93"/>
      <c r="AT389" s="93"/>
      <c r="AU389" s="93"/>
      <c r="AV389" s="93"/>
      <c r="AW389" s="93"/>
      <c r="AX389" s="93"/>
      <c r="AY389" s="93"/>
      <c r="AZ389" s="93"/>
      <c r="BA389" s="93"/>
      <c r="BB389" s="93"/>
      <c r="BL389" s="93"/>
      <c r="BM389" s="93"/>
      <c r="BT389" s="93"/>
      <c r="BU389" s="93"/>
      <c r="BV389" s="93"/>
      <c r="BW389" s="93"/>
      <c r="BX389" s="93"/>
      <c r="BY389" s="93"/>
      <c r="BZ389" s="93"/>
      <c r="CA389" s="93"/>
      <c r="CB389" s="93"/>
      <c r="CC389" s="93"/>
      <c r="CF389" s="93"/>
      <c r="CG389" s="93"/>
      <c r="CH389" s="93"/>
      <c r="CI389" s="93"/>
      <c r="CJ389" s="93"/>
      <c r="CK389" s="93"/>
      <c r="CL389" s="93"/>
      <c r="CM389" s="93"/>
      <c r="CN389" s="93"/>
      <c r="CO389" s="93"/>
      <c r="CP389" s="93"/>
      <c r="CQ389" s="93"/>
      <c r="CR389" s="93"/>
      <c r="CS389" s="93"/>
      <c r="CT389" s="93"/>
      <c r="CU389" s="93"/>
      <c r="CV389" s="93"/>
      <c r="CW389" s="93"/>
      <c r="CX389" s="93"/>
      <c r="CY389" s="93"/>
      <c r="CZ389" s="93"/>
      <c r="DA389" s="93"/>
      <c r="DB389" s="93"/>
      <c r="DC389" s="93"/>
      <c r="DD389" s="93"/>
      <c r="DE389" s="93"/>
      <c r="DF389" s="93"/>
      <c r="DG389" s="93"/>
      <c r="DH389" s="93"/>
      <c r="DI389" s="93"/>
      <c r="DJ389" s="93"/>
      <c r="DK389" s="93"/>
      <c r="DL389" s="93"/>
      <c r="DM389" s="93"/>
      <c r="DN389" s="93"/>
      <c r="DO389" s="93"/>
    </row>
    <row r="390" spans="1:198" s="806" customFormat="1" ht="15">
      <c r="A390" s="154" t="s">
        <v>7419</v>
      </c>
      <c r="D390" s="1065" t="s">
        <v>290</v>
      </c>
      <c r="G390" s="827"/>
      <c r="H390" s="809" t="s">
        <v>8726</v>
      </c>
      <c r="I390" s="92">
        <v>39</v>
      </c>
      <c r="J390" s="92" t="s">
        <v>18</v>
      </c>
      <c r="K390" s="92" t="s">
        <v>768</v>
      </c>
      <c r="L390" s="810">
        <v>3</v>
      </c>
      <c r="M390" s="811" t="str">
        <f t="shared" si="28"/>
        <v>Elementary Graduate</v>
      </c>
      <c r="N390" s="92" t="s">
        <v>1208</v>
      </c>
      <c r="O390" s="92" t="s">
        <v>8727</v>
      </c>
      <c r="P390" s="1638"/>
      <c r="Q390" s="92" t="s">
        <v>8727</v>
      </c>
      <c r="R390" s="92" t="s">
        <v>10310</v>
      </c>
      <c r="S390" s="848">
        <v>6000</v>
      </c>
      <c r="T390" s="813"/>
      <c r="U390" s="836">
        <v>600</v>
      </c>
      <c r="V390" s="837"/>
      <c r="W390" s="838">
        <v>2</v>
      </c>
      <c r="X390" s="811" t="str">
        <f t="shared" si="30"/>
        <v>within the Municipality/City</v>
      </c>
      <c r="Y390" s="836">
        <v>1110</v>
      </c>
      <c r="Z390" s="836"/>
      <c r="AA390" s="836"/>
      <c r="AB390" s="837"/>
      <c r="AC390" s="809"/>
      <c r="AD390" s="824"/>
      <c r="AE390" s="93"/>
      <c r="AF390" s="818"/>
      <c r="AG390" s="807" t="str">
        <f t="shared" si="29"/>
        <v/>
      </c>
      <c r="AH390" s="807"/>
      <c r="AI390" s="807"/>
      <c r="AJ390" s="807"/>
      <c r="AK390" s="92"/>
      <c r="AL390" s="92"/>
      <c r="AM390" s="819"/>
      <c r="AN390" s="820"/>
      <c r="AO390" s="817"/>
      <c r="AP390" s="820"/>
      <c r="AQ390" s="93"/>
      <c r="AR390" s="93"/>
      <c r="AS390" s="93"/>
      <c r="AT390" s="93"/>
      <c r="AU390" s="93"/>
      <c r="AV390" s="93"/>
      <c r="AW390" s="93"/>
      <c r="AX390" s="93"/>
      <c r="AY390" s="93"/>
      <c r="AZ390" s="93"/>
      <c r="BA390" s="93"/>
      <c r="BB390" s="93"/>
      <c r="BC390" s="93"/>
      <c r="BD390" s="93"/>
      <c r="BE390" s="93"/>
      <c r="BF390" s="93"/>
      <c r="BG390" s="93"/>
      <c r="BH390" s="93"/>
      <c r="BI390" s="93"/>
      <c r="BJ390" s="93"/>
      <c r="BK390" s="93"/>
      <c r="BL390" s="93"/>
      <c r="BM390" s="93"/>
      <c r="BN390" s="93"/>
      <c r="BO390" s="92"/>
      <c r="BP390" s="92"/>
      <c r="BQ390" s="92"/>
      <c r="BR390" s="92"/>
      <c r="BS390" s="92"/>
      <c r="BT390" s="93"/>
      <c r="BU390" s="93"/>
      <c r="BV390" s="93"/>
      <c r="BW390" s="93"/>
      <c r="BX390" s="93"/>
      <c r="BY390" s="93"/>
      <c r="BZ390" s="93"/>
      <c r="CA390" s="93"/>
      <c r="CB390" s="93"/>
      <c r="CC390" s="93"/>
      <c r="CD390" s="93"/>
      <c r="CE390" s="93">
        <v>2</v>
      </c>
      <c r="CF390" s="93"/>
      <c r="CG390" s="93"/>
      <c r="CH390" s="93"/>
      <c r="CI390" s="93"/>
      <c r="CJ390" s="93"/>
      <c r="CK390" s="93"/>
      <c r="CL390" s="93"/>
      <c r="CM390" s="93"/>
      <c r="CN390" s="93"/>
      <c r="CO390" s="93"/>
      <c r="CP390" s="93"/>
      <c r="CQ390" s="93"/>
      <c r="CR390" s="93"/>
      <c r="CS390" s="93" t="s">
        <v>2144</v>
      </c>
      <c r="CT390" s="93"/>
      <c r="CU390" s="93"/>
      <c r="CV390" s="93"/>
      <c r="CW390" s="93"/>
      <c r="CX390" s="93"/>
      <c r="CY390" s="93"/>
      <c r="CZ390" s="93"/>
      <c r="DA390" s="93"/>
      <c r="DB390" s="93">
        <v>3</v>
      </c>
      <c r="DC390" s="93"/>
      <c r="DD390" s="93"/>
      <c r="DE390" s="93"/>
      <c r="DF390" s="93"/>
      <c r="DG390" s="93"/>
      <c r="DH390" s="93"/>
      <c r="DI390" s="826"/>
      <c r="DJ390" s="825"/>
      <c r="DK390" s="825"/>
      <c r="GO390" s="92"/>
      <c r="GP390" s="831"/>
    </row>
    <row r="391" spans="1:198" s="806" customFormat="1" ht="15">
      <c r="A391" s="154" t="s">
        <v>7419</v>
      </c>
      <c r="D391" s="1065" t="s">
        <v>290</v>
      </c>
      <c r="G391" s="827"/>
      <c r="H391" s="809" t="s">
        <v>8728</v>
      </c>
      <c r="I391" s="92">
        <v>5</v>
      </c>
      <c r="J391" s="92" t="s">
        <v>10</v>
      </c>
      <c r="K391" s="92" t="s">
        <v>768</v>
      </c>
      <c r="L391" s="810">
        <v>0</v>
      </c>
      <c r="M391" s="811" t="str">
        <f t="shared" si="28"/>
        <v>No Schooling</v>
      </c>
      <c r="N391" s="92"/>
      <c r="O391" s="92"/>
      <c r="P391" s="1638"/>
      <c r="Q391" s="92"/>
      <c r="R391" s="92"/>
      <c r="S391" s="848"/>
      <c r="T391" s="813"/>
      <c r="U391" s="813"/>
      <c r="V391" s="837">
        <f>SUM(S388:U391)</f>
        <v>19350</v>
      </c>
      <c r="W391" s="838"/>
      <c r="X391" s="811" t="str">
        <f t="shared" si="30"/>
        <v/>
      </c>
      <c r="Y391" s="836"/>
      <c r="Z391" s="836"/>
      <c r="AA391" s="836"/>
      <c r="AB391" s="837">
        <f>SUM(Y388:AA391)</f>
        <v>1734</v>
      </c>
      <c r="AC391" s="809"/>
      <c r="AD391" s="824"/>
      <c r="AE391" s="93"/>
      <c r="AF391" s="818"/>
      <c r="AG391" s="807" t="str">
        <f t="shared" si="29"/>
        <v/>
      </c>
      <c r="AH391" s="807"/>
      <c r="AI391" s="807"/>
      <c r="AJ391" s="807"/>
      <c r="AK391" s="92"/>
      <c r="AL391" s="92"/>
      <c r="AM391" s="819"/>
      <c r="AN391" s="820"/>
      <c r="AO391" s="817"/>
      <c r="AP391" s="820"/>
      <c r="AQ391" s="93"/>
      <c r="AR391" s="93"/>
      <c r="AS391" s="93"/>
      <c r="AT391" s="93"/>
      <c r="AU391" s="93"/>
      <c r="AV391" s="93"/>
      <c r="AW391" s="93"/>
      <c r="AX391" s="93"/>
      <c r="AY391" s="93"/>
      <c r="AZ391" s="93"/>
      <c r="BA391" s="93"/>
      <c r="BB391" s="93"/>
      <c r="BC391" s="93"/>
      <c r="BD391" s="93"/>
      <c r="BE391" s="93"/>
      <c r="BF391" s="93"/>
      <c r="BG391" s="93"/>
      <c r="BH391" s="93"/>
      <c r="BI391" s="93"/>
      <c r="BJ391" s="93"/>
      <c r="BK391" s="93"/>
      <c r="BL391" s="93"/>
      <c r="BM391" s="93"/>
      <c r="BN391" s="93"/>
      <c r="BO391" s="92"/>
      <c r="BP391" s="92"/>
      <c r="BQ391" s="92"/>
      <c r="BR391" s="92"/>
      <c r="BS391" s="92"/>
      <c r="BT391" s="93"/>
      <c r="BU391" s="93"/>
      <c r="BV391" s="93"/>
      <c r="BW391" s="93"/>
      <c r="BX391" s="93"/>
      <c r="BY391" s="93"/>
      <c r="BZ391" s="93"/>
      <c r="CA391" s="93"/>
      <c r="CB391" s="93"/>
      <c r="CC391" s="93"/>
      <c r="CD391" s="93"/>
      <c r="CE391" s="93"/>
      <c r="CF391" s="93"/>
      <c r="CG391" s="93"/>
      <c r="CH391" s="93"/>
      <c r="CI391" s="93"/>
      <c r="CJ391" s="93"/>
      <c r="CK391" s="93"/>
      <c r="CL391" s="93"/>
      <c r="CM391" s="93"/>
      <c r="CN391" s="93"/>
      <c r="CO391" s="93"/>
      <c r="CP391" s="93"/>
      <c r="CQ391" s="93"/>
      <c r="CR391" s="93"/>
      <c r="CS391" s="93"/>
      <c r="CT391" s="93"/>
      <c r="CU391" s="93"/>
      <c r="CV391" s="93"/>
      <c r="CW391" s="93"/>
      <c r="CX391" s="93"/>
      <c r="CY391" s="93"/>
      <c r="CZ391" s="93"/>
      <c r="DA391" s="93"/>
      <c r="DB391" s="93"/>
      <c r="DC391" s="93"/>
      <c r="DD391" s="93"/>
      <c r="DE391" s="93"/>
      <c r="DF391" s="93"/>
      <c r="DG391" s="93"/>
      <c r="DH391" s="93"/>
      <c r="DI391" s="826"/>
      <c r="DJ391" s="825"/>
      <c r="DK391" s="825"/>
      <c r="GO391" s="92"/>
      <c r="GP391" s="831"/>
    </row>
    <row r="392" spans="1:198" s="806" customFormat="1" ht="15">
      <c r="D392" s="1065" t="s">
        <v>294</v>
      </c>
      <c r="G392" s="809" t="s">
        <v>294</v>
      </c>
      <c r="H392" s="809" t="s">
        <v>8729</v>
      </c>
      <c r="I392" s="92">
        <v>45</v>
      </c>
      <c r="J392" s="92" t="s">
        <v>10</v>
      </c>
      <c r="K392" s="92" t="s">
        <v>707</v>
      </c>
      <c r="L392" s="810">
        <v>3</v>
      </c>
      <c r="M392" s="811" t="str">
        <f t="shared" si="28"/>
        <v>Elementary Graduate</v>
      </c>
      <c r="N392" s="92" t="s">
        <v>1208</v>
      </c>
      <c r="O392" s="92" t="s">
        <v>8730</v>
      </c>
      <c r="P392" s="1638"/>
      <c r="Q392" s="92" t="s">
        <v>8730</v>
      </c>
      <c r="R392" s="92" t="s">
        <v>8234</v>
      </c>
      <c r="S392" s="848"/>
      <c r="T392" s="836"/>
      <c r="U392" s="813">
        <f>SUM(15000,6000)</f>
        <v>21000</v>
      </c>
      <c r="V392" s="864"/>
      <c r="W392" s="838">
        <v>1</v>
      </c>
      <c r="X392" s="811" t="str">
        <f t="shared" si="30"/>
        <v>within the Brgy</v>
      </c>
      <c r="Y392" s="836"/>
      <c r="Z392" s="816"/>
      <c r="AA392" s="836"/>
      <c r="AB392" s="864"/>
      <c r="AC392" s="809"/>
      <c r="AD392" s="824"/>
      <c r="AE392" s="93"/>
      <c r="AF392" s="818"/>
      <c r="AG392" s="807" t="str">
        <f t="shared" si="29"/>
        <v/>
      </c>
      <c r="AH392" s="807"/>
      <c r="AI392" s="807"/>
      <c r="AJ392" s="807"/>
      <c r="AK392" s="92"/>
      <c r="AL392" s="92"/>
      <c r="AM392" s="819"/>
      <c r="AN392" s="820"/>
      <c r="AO392" s="817"/>
      <c r="AP392" s="820"/>
      <c r="AQ392" s="93"/>
      <c r="AR392" s="93"/>
      <c r="AS392" s="93"/>
      <c r="AT392" s="93"/>
      <c r="AU392" s="93"/>
      <c r="AV392" s="93"/>
      <c r="AW392" s="93"/>
      <c r="AX392" s="93"/>
      <c r="AY392" s="93"/>
      <c r="AZ392" s="93"/>
      <c r="BA392" s="93"/>
      <c r="BB392" s="93"/>
      <c r="BC392" s="93"/>
      <c r="BD392" s="93"/>
      <c r="BE392" s="93"/>
      <c r="BF392" s="93"/>
      <c r="BG392" s="93"/>
      <c r="BH392" s="93"/>
      <c r="BI392" s="93"/>
      <c r="BJ392" s="93"/>
      <c r="BK392" s="93"/>
      <c r="BL392" s="93"/>
      <c r="BM392" s="93"/>
      <c r="BN392" s="93"/>
      <c r="BO392" s="92"/>
      <c r="BP392" s="92"/>
      <c r="BQ392" s="92"/>
      <c r="BR392" s="92"/>
      <c r="BS392" s="92"/>
      <c r="BT392" s="93"/>
      <c r="BU392" s="93"/>
      <c r="BV392" s="93"/>
      <c r="BW392" s="93"/>
      <c r="BX392" s="93"/>
      <c r="BY392" s="93"/>
      <c r="BZ392" s="93"/>
      <c r="CA392" s="93"/>
      <c r="CB392" s="93"/>
      <c r="CC392" s="93"/>
      <c r="CD392" s="93"/>
      <c r="CE392" s="93"/>
      <c r="CF392" s="93"/>
      <c r="CG392" s="93"/>
      <c r="CH392" s="93"/>
      <c r="CI392" s="93"/>
      <c r="CJ392" s="93"/>
      <c r="CK392" s="93"/>
      <c r="CL392" s="93"/>
      <c r="CM392" s="93"/>
      <c r="CN392" s="93"/>
      <c r="CO392" s="93"/>
      <c r="CP392" s="93"/>
      <c r="CQ392" s="93"/>
      <c r="CR392" s="93"/>
      <c r="CS392" s="93"/>
      <c r="CT392" s="93"/>
      <c r="CU392" s="93"/>
      <c r="CV392" s="93"/>
      <c r="CW392" s="93"/>
      <c r="CX392" s="93"/>
      <c r="CY392" s="93"/>
      <c r="CZ392" s="93"/>
      <c r="DA392" s="93"/>
      <c r="DB392" s="93" t="s">
        <v>2144</v>
      </c>
      <c r="DC392" s="93"/>
      <c r="DD392" s="93"/>
      <c r="DE392" s="93"/>
      <c r="DF392" s="93"/>
      <c r="DG392" s="93"/>
      <c r="DH392" s="93"/>
      <c r="DI392" s="826"/>
      <c r="DJ392" s="825"/>
      <c r="DK392" s="825"/>
      <c r="GO392" s="92"/>
      <c r="GP392" s="831"/>
    </row>
    <row r="393" spans="1:198" s="806" customFormat="1" ht="15">
      <c r="D393" s="1065"/>
      <c r="G393" s="827"/>
      <c r="H393" s="809" t="s">
        <v>2163</v>
      </c>
      <c r="I393" s="92">
        <v>47</v>
      </c>
      <c r="J393" s="92" t="s">
        <v>18</v>
      </c>
      <c r="K393" s="92" t="s">
        <v>707</v>
      </c>
      <c r="L393" s="810">
        <v>6</v>
      </c>
      <c r="M393" s="811" t="str">
        <f t="shared" si="28"/>
        <v>College Level</v>
      </c>
      <c r="N393" s="92" t="s">
        <v>1208</v>
      </c>
      <c r="O393" s="92" t="s">
        <v>8731</v>
      </c>
      <c r="P393" s="1638"/>
      <c r="Q393" s="92" t="s">
        <v>8731</v>
      </c>
      <c r="R393" s="92"/>
      <c r="S393" s="848"/>
      <c r="T393" s="813"/>
      <c r="U393" s="813">
        <f>SUM(1600,2000)</f>
        <v>3600</v>
      </c>
      <c r="V393" s="864"/>
      <c r="W393" s="838">
        <v>1</v>
      </c>
      <c r="X393" s="811" t="str">
        <f t="shared" si="30"/>
        <v>within the Brgy</v>
      </c>
      <c r="Y393" s="836"/>
      <c r="Z393" s="836"/>
      <c r="AA393" s="836"/>
      <c r="AB393" s="864"/>
      <c r="AC393" s="809" t="s">
        <v>8493</v>
      </c>
      <c r="AD393" s="824"/>
      <c r="AE393" s="93"/>
      <c r="AF393" s="818"/>
      <c r="AG393" s="807" t="str">
        <f t="shared" si="29"/>
        <v/>
      </c>
      <c r="AH393" s="807"/>
      <c r="AI393" s="807"/>
      <c r="AJ393" s="807"/>
      <c r="AK393" s="92"/>
      <c r="AL393" s="92"/>
      <c r="AM393" s="819"/>
      <c r="AN393" s="820"/>
      <c r="AO393" s="817"/>
      <c r="AP393" s="820"/>
      <c r="AQ393" s="93"/>
      <c r="AR393" s="93"/>
      <c r="AS393" s="93"/>
      <c r="AT393" s="93"/>
      <c r="AU393" s="93"/>
      <c r="AV393" s="93"/>
      <c r="AW393" s="93"/>
      <c r="AX393" s="93"/>
      <c r="AY393" s="93"/>
      <c r="AZ393" s="93"/>
      <c r="BA393" s="93"/>
      <c r="BB393" s="93"/>
      <c r="BC393" s="93"/>
      <c r="BD393" s="93"/>
      <c r="BE393" s="93"/>
      <c r="BF393" s="93"/>
      <c r="BG393" s="93"/>
      <c r="BH393" s="93"/>
      <c r="BI393" s="93"/>
      <c r="BJ393" s="93"/>
      <c r="BK393" s="93"/>
      <c r="BL393" s="93"/>
      <c r="BM393" s="93"/>
      <c r="BN393" s="93"/>
      <c r="BO393" s="92"/>
      <c r="BP393" s="92"/>
      <c r="BQ393" s="92"/>
      <c r="BR393" s="92"/>
      <c r="BS393" s="92"/>
      <c r="BT393" s="93"/>
      <c r="BU393" s="93"/>
      <c r="BV393" s="93"/>
      <c r="BW393" s="93"/>
      <c r="BX393" s="93"/>
      <c r="BY393" s="93"/>
      <c r="BZ393" s="93"/>
      <c r="CA393" s="93"/>
      <c r="CB393" s="93" t="s">
        <v>2144</v>
      </c>
      <c r="CC393" s="93"/>
      <c r="CD393" s="93"/>
      <c r="CE393" s="93"/>
      <c r="CF393" s="93"/>
      <c r="CG393" s="93"/>
      <c r="CH393" s="93"/>
      <c r="CI393" s="93"/>
      <c r="CJ393" s="93"/>
      <c r="CK393" s="93"/>
      <c r="CL393" s="93"/>
      <c r="CM393" s="93"/>
      <c r="CN393" s="93"/>
      <c r="CO393" s="93"/>
      <c r="CP393" s="93"/>
      <c r="CQ393" s="93"/>
      <c r="CR393" s="93"/>
      <c r="CS393" s="93">
        <v>2</v>
      </c>
      <c r="CT393" s="93">
        <v>3</v>
      </c>
      <c r="CU393" s="93"/>
      <c r="CV393" s="93"/>
      <c r="CW393" s="93"/>
      <c r="CX393" s="93"/>
      <c r="CY393" s="93"/>
      <c r="CZ393" s="93"/>
      <c r="DA393" s="93"/>
      <c r="DB393" s="93"/>
      <c r="DC393" s="93"/>
      <c r="DD393" s="93"/>
      <c r="DE393" s="93"/>
      <c r="DF393" s="93"/>
      <c r="DG393" s="93"/>
      <c r="DH393" s="93"/>
      <c r="DI393" s="826"/>
      <c r="DJ393" s="825"/>
      <c r="DK393" s="825"/>
      <c r="GO393" s="92"/>
      <c r="GP393" s="831"/>
    </row>
    <row r="394" spans="1:198" s="806" customFormat="1" ht="15">
      <c r="D394" s="1065"/>
      <c r="G394" s="827"/>
      <c r="H394" s="809" t="s">
        <v>8732</v>
      </c>
      <c r="I394" s="92">
        <v>22</v>
      </c>
      <c r="J394" s="92" t="s">
        <v>10</v>
      </c>
      <c r="K394" s="92" t="s">
        <v>768</v>
      </c>
      <c r="L394" s="810">
        <v>6</v>
      </c>
      <c r="M394" s="811" t="str">
        <f t="shared" si="28"/>
        <v>College Level</v>
      </c>
      <c r="N394" s="92"/>
      <c r="O394" s="92"/>
      <c r="P394" s="1638"/>
      <c r="Q394" s="92"/>
      <c r="R394" s="92"/>
      <c r="S394" s="848"/>
      <c r="T394" s="813"/>
      <c r="U394" s="813"/>
      <c r="V394" s="864"/>
      <c r="W394" s="838"/>
      <c r="X394" s="811" t="str">
        <f t="shared" si="30"/>
        <v/>
      </c>
      <c r="Y394" s="836"/>
      <c r="Z394" s="836"/>
      <c r="AA394" s="836"/>
      <c r="AB394" s="864"/>
      <c r="AC394" s="809"/>
      <c r="AD394" s="824"/>
      <c r="AE394" s="93"/>
      <c r="AF394" s="818"/>
      <c r="AG394" s="807" t="str">
        <f t="shared" si="29"/>
        <v/>
      </c>
      <c r="AH394" s="807"/>
      <c r="AI394" s="807"/>
      <c r="AJ394" s="807"/>
      <c r="AK394" s="92"/>
      <c r="AL394" s="92"/>
      <c r="AM394" s="819"/>
      <c r="AN394" s="820"/>
      <c r="AO394" s="817"/>
      <c r="AP394" s="820"/>
      <c r="AQ394" s="93"/>
      <c r="AR394" s="93"/>
      <c r="AS394" s="93"/>
      <c r="AT394" s="93"/>
      <c r="AU394" s="93"/>
      <c r="AV394" s="93"/>
      <c r="AW394" s="93"/>
      <c r="AX394" s="93"/>
      <c r="AY394" s="93"/>
      <c r="AZ394" s="93"/>
      <c r="BA394" s="93"/>
      <c r="BB394" s="93"/>
      <c r="BC394" s="93"/>
      <c r="BD394" s="93"/>
      <c r="BE394" s="93"/>
      <c r="BF394" s="93"/>
      <c r="BG394" s="93"/>
      <c r="BH394" s="93"/>
      <c r="BI394" s="93"/>
      <c r="BJ394" s="93"/>
      <c r="BK394" s="93"/>
      <c r="BL394" s="93"/>
      <c r="BM394" s="93"/>
      <c r="BN394" s="93"/>
      <c r="BO394" s="92"/>
      <c r="BP394" s="92"/>
      <c r="BQ394" s="92"/>
      <c r="BR394" s="92"/>
      <c r="BS394" s="92"/>
      <c r="BT394" s="93"/>
      <c r="BU394" s="93"/>
      <c r="BV394" s="93"/>
      <c r="BW394" s="93"/>
      <c r="BX394" s="93"/>
      <c r="BY394" s="93"/>
      <c r="BZ394" s="93"/>
      <c r="CA394" s="93"/>
      <c r="CB394" s="93"/>
      <c r="CC394" s="93"/>
      <c r="CD394" s="93"/>
      <c r="CE394" s="93"/>
      <c r="CF394" s="93"/>
      <c r="CG394" s="93"/>
      <c r="CH394" s="93"/>
      <c r="CI394" s="93"/>
      <c r="CJ394" s="93"/>
      <c r="CK394" s="93"/>
      <c r="CL394" s="93"/>
      <c r="CM394" s="93"/>
      <c r="CN394" s="93"/>
      <c r="CO394" s="93"/>
      <c r="CP394" s="93"/>
      <c r="CQ394" s="93"/>
      <c r="CR394" s="93"/>
      <c r="CS394" s="93"/>
      <c r="CT394" s="93"/>
      <c r="CU394" s="93"/>
      <c r="CV394" s="93"/>
      <c r="CW394" s="93"/>
      <c r="CX394" s="93"/>
      <c r="CY394" s="93"/>
      <c r="CZ394" s="93"/>
      <c r="DA394" s="93"/>
      <c r="DB394" s="93"/>
      <c r="DC394" s="93"/>
      <c r="DD394" s="93"/>
      <c r="DE394" s="93"/>
      <c r="DF394" s="93"/>
      <c r="DG394" s="93"/>
      <c r="DH394" s="93"/>
      <c r="DI394" s="826"/>
      <c r="DJ394" s="825"/>
      <c r="DK394" s="825"/>
      <c r="GO394" s="92"/>
      <c r="GP394" s="831"/>
    </row>
    <row r="395" spans="1:198" s="806" customFormat="1" ht="15">
      <c r="D395" s="1065"/>
      <c r="G395" s="827"/>
      <c r="H395" s="809" t="s">
        <v>8733</v>
      </c>
      <c r="I395" s="92">
        <v>21</v>
      </c>
      <c r="J395" s="92" t="s">
        <v>18</v>
      </c>
      <c r="K395" s="92" t="s">
        <v>768</v>
      </c>
      <c r="L395" s="810">
        <v>4</v>
      </c>
      <c r="M395" s="811" t="str">
        <f t="shared" ref="M395:M458" si="31">IF(ISBLANK(L395)=TRUE,"",LOOKUP(L395,GQ:GR))</f>
        <v>High School Level</v>
      </c>
      <c r="N395" s="92"/>
      <c r="O395" s="92"/>
      <c r="P395" s="1638"/>
      <c r="Q395" s="92"/>
      <c r="R395" s="92"/>
      <c r="S395" s="848"/>
      <c r="T395" s="813"/>
      <c r="U395" s="813"/>
      <c r="V395" s="864"/>
      <c r="W395" s="838"/>
      <c r="X395" s="811" t="str">
        <f t="shared" si="30"/>
        <v/>
      </c>
      <c r="Y395" s="836"/>
      <c r="Z395" s="836"/>
      <c r="AA395" s="836"/>
      <c r="AB395" s="864"/>
      <c r="AC395" s="809"/>
      <c r="AD395" s="824"/>
      <c r="AE395" s="93"/>
      <c r="AF395" s="818"/>
      <c r="AG395" s="807" t="str">
        <f t="shared" si="29"/>
        <v/>
      </c>
      <c r="AH395" s="807"/>
      <c r="AI395" s="807"/>
      <c r="AJ395" s="807"/>
      <c r="AK395" s="92"/>
      <c r="AL395" s="92"/>
      <c r="AM395" s="819"/>
      <c r="AN395" s="820"/>
      <c r="AO395" s="817"/>
      <c r="AP395" s="820"/>
      <c r="AQ395" s="93"/>
      <c r="AR395" s="93"/>
      <c r="AS395" s="93"/>
      <c r="AT395" s="93"/>
      <c r="AU395" s="93"/>
      <c r="AV395" s="93"/>
      <c r="AW395" s="93"/>
      <c r="AX395" s="93"/>
      <c r="AY395" s="93"/>
      <c r="AZ395" s="93"/>
      <c r="BA395" s="93"/>
      <c r="BB395" s="93"/>
      <c r="BC395" s="93"/>
      <c r="BD395" s="93"/>
      <c r="BE395" s="93"/>
      <c r="BF395" s="93"/>
      <c r="BG395" s="93"/>
      <c r="BH395" s="93"/>
      <c r="BI395" s="93"/>
      <c r="BJ395" s="93"/>
      <c r="BK395" s="93"/>
      <c r="BL395" s="93"/>
      <c r="BM395" s="93"/>
      <c r="BN395" s="93"/>
      <c r="BO395" s="92"/>
      <c r="BP395" s="92"/>
      <c r="BQ395" s="92"/>
      <c r="BR395" s="92"/>
      <c r="BS395" s="92"/>
      <c r="BT395" s="93"/>
      <c r="BU395" s="93"/>
      <c r="BV395" s="93"/>
      <c r="BW395" s="93"/>
      <c r="BX395" s="93"/>
      <c r="BY395" s="93"/>
      <c r="BZ395" s="93"/>
      <c r="CA395" s="93"/>
      <c r="CB395" s="93"/>
      <c r="CC395" s="93"/>
      <c r="CD395" s="93"/>
      <c r="CE395" s="93"/>
      <c r="CF395" s="93"/>
      <c r="CG395" s="93"/>
      <c r="CH395" s="93"/>
      <c r="CI395" s="93"/>
      <c r="CJ395" s="93"/>
      <c r="CK395" s="93"/>
      <c r="CL395" s="93"/>
      <c r="CM395" s="93"/>
      <c r="CN395" s="93"/>
      <c r="CO395" s="93"/>
      <c r="CP395" s="93"/>
      <c r="CQ395" s="93"/>
      <c r="CR395" s="93"/>
      <c r="CS395" s="93"/>
      <c r="CT395" s="93"/>
      <c r="CU395" s="93"/>
      <c r="CV395" s="93"/>
      <c r="CW395" s="93"/>
      <c r="CX395" s="93"/>
      <c r="CY395" s="93"/>
      <c r="CZ395" s="93"/>
      <c r="DA395" s="93"/>
      <c r="DB395" s="93"/>
      <c r="DC395" s="93"/>
      <c r="DD395" s="93"/>
      <c r="DE395" s="93"/>
      <c r="DF395" s="93"/>
      <c r="DG395" s="93"/>
      <c r="DH395" s="93"/>
      <c r="DI395" s="826"/>
      <c r="DJ395" s="825"/>
      <c r="DK395" s="825"/>
      <c r="GO395" s="92"/>
      <c r="GP395" s="831"/>
    </row>
    <row r="396" spans="1:198" s="806" customFormat="1" ht="15">
      <c r="D396" s="1065"/>
      <c r="G396" s="827"/>
      <c r="H396" s="809" t="s">
        <v>8734</v>
      </c>
      <c r="I396" s="92">
        <v>19</v>
      </c>
      <c r="J396" s="92" t="s">
        <v>18</v>
      </c>
      <c r="K396" s="92" t="s">
        <v>768</v>
      </c>
      <c r="L396" s="810">
        <v>5</v>
      </c>
      <c r="M396" s="811" t="str">
        <f t="shared" si="31"/>
        <v>High School Graduate</v>
      </c>
      <c r="N396" s="92"/>
      <c r="O396" s="92"/>
      <c r="P396" s="1638"/>
      <c r="Q396" s="92"/>
      <c r="R396" s="92"/>
      <c r="S396" s="848"/>
      <c r="T396" s="813"/>
      <c r="U396" s="813"/>
      <c r="V396" s="864"/>
      <c r="W396" s="838"/>
      <c r="X396" s="811" t="str">
        <f t="shared" si="30"/>
        <v/>
      </c>
      <c r="Y396" s="836"/>
      <c r="Z396" s="836"/>
      <c r="AA396" s="836"/>
      <c r="AB396" s="864"/>
      <c r="AC396" s="809"/>
      <c r="AD396" s="824"/>
      <c r="AE396" s="93"/>
      <c r="AF396" s="818"/>
      <c r="AG396" s="807" t="str">
        <f t="shared" si="29"/>
        <v/>
      </c>
      <c r="AH396" s="807"/>
      <c r="AI396" s="807"/>
      <c r="AJ396" s="807"/>
      <c r="AK396" s="92"/>
      <c r="AL396" s="92"/>
      <c r="AM396" s="819"/>
      <c r="AN396" s="820"/>
      <c r="AO396" s="817"/>
      <c r="AP396" s="820"/>
      <c r="AQ396" s="93"/>
      <c r="AR396" s="93"/>
      <c r="AS396" s="93"/>
      <c r="AT396" s="93"/>
      <c r="AU396" s="93"/>
      <c r="AV396" s="93"/>
      <c r="AW396" s="93"/>
      <c r="AX396" s="93"/>
      <c r="AY396" s="93"/>
      <c r="AZ396" s="93"/>
      <c r="BA396" s="93"/>
      <c r="BB396" s="93"/>
      <c r="BC396" s="93"/>
      <c r="BD396" s="93"/>
      <c r="BE396" s="93"/>
      <c r="BF396" s="93"/>
      <c r="BG396" s="93"/>
      <c r="BH396" s="93"/>
      <c r="BI396" s="93"/>
      <c r="BJ396" s="93"/>
      <c r="BK396" s="93"/>
      <c r="BL396" s="93"/>
      <c r="BM396" s="93"/>
      <c r="BN396" s="93"/>
      <c r="BO396" s="92"/>
      <c r="BP396" s="92"/>
      <c r="BQ396" s="92"/>
      <c r="BR396" s="92"/>
      <c r="BS396" s="92"/>
      <c r="BT396" s="93"/>
      <c r="BU396" s="93"/>
      <c r="BV396" s="93"/>
      <c r="BW396" s="93"/>
      <c r="BX396" s="93"/>
      <c r="BY396" s="93"/>
      <c r="BZ396" s="93"/>
      <c r="CA396" s="93"/>
      <c r="CB396" s="93"/>
      <c r="CC396" s="93"/>
      <c r="CD396" s="93"/>
      <c r="CE396" s="93"/>
      <c r="CF396" s="93"/>
      <c r="CG396" s="93"/>
      <c r="CH396" s="93"/>
      <c r="CI396" s="93"/>
      <c r="CJ396" s="93"/>
      <c r="CK396" s="93"/>
      <c r="CL396" s="93"/>
      <c r="CM396" s="93"/>
      <c r="CN396" s="93"/>
      <c r="CO396" s="93"/>
      <c r="CP396" s="93"/>
      <c r="CQ396" s="93"/>
      <c r="CR396" s="93"/>
      <c r="CS396" s="93"/>
      <c r="CT396" s="93"/>
      <c r="CU396" s="93"/>
      <c r="CV396" s="93"/>
      <c r="CW396" s="93"/>
      <c r="CX396" s="93"/>
      <c r="CY396" s="93"/>
      <c r="CZ396" s="93"/>
      <c r="DA396" s="93"/>
      <c r="DB396" s="93"/>
      <c r="DC396" s="93"/>
      <c r="DD396" s="93"/>
      <c r="DE396" s="93"/>
      <c r="DF396" s="93"/>
      <c r="DG396" s="93"/>
      <c r="DH396" s="93"/>
      <c r="DI396" s="826"/>
      <c r="DJ396" s="825"/>
      <c r="DK396" s="825"/>
      <c r="GO396" s="92"/>
      <c r="GP396" s="831"/>
    </row>
    <row r="397" spans="1:198" s="806" customFormat="1" ht="15">
      <c r="D397" s="1065"/>
      <c r="G397" s="827"/>
      <c r="H397" s="809" t="s">
        <v>8735</v>
      </c>
      <c r="I397" s="92">
        <v>18</v>
      </c>
      <c r="J397" s="92" t="s">
        <v>18</v>
      </c>
      <c r="K397" s="92" t="s">
        <v>768</v>
      </c>
      <c r="L397" s="810">
        <v>11</v>
      </c>
      <c r="M397" s="811" t="str">
        <f t="shared" si="31"/>
        <v>Junior/Senior High School</v>
      </c>
      <c r="N397" s="92"/>
      <c r="O397" s="92"/>
      <c r="P397" s="1638"/>
      <c r="Q397" s="92"/>
      <c r="R397" s="92"/>
      <c r="S397" s="848"/>
      <c r="T397" s="813"/>
      <c r="U397" s="813"/>
      <c r="V397" s="864"/>
      <c r="W397" s="838"/>
      <c r="X397" s="811" t="str">
        <f t="shared" si="30"/>
        <v/>
      </c>
      <c r="Y397" s="836"/>
      <c r="Z397" s="836"/>
      <c r="AA397" s="836"/>
      <c r="AB397" s="864"/>
      <c r="AC397" s="809"/>
      <c r="AD397" s="824"/>
      <c r="AE397" s="93"/>
      <c r="AF397" s="818"/>
      <c r="AG397" s="807" t="str">
        <f t="shared" si="29"/>
        <v/>
      </c>
      <c r="AH397" s="807"/>
      <c r="AI397" s="807"/>
      <c r="AJ397" s="807"/>
      <c r="AK397" s="92"/>
      <c r="AL397" s="92"/>
      <c r="AM397" s="819"/>
      <c r="AN397" s="820"/>
      <c r="AO397" s="817"/>
      <c r="AP397" s="820"/>
      <c r="AQ397" s="93"/>
      <c r="AR397" s="93"/>
      <c r="AS397" s="93"/>
      <c r="AT397" s="93"/>
      <c r="AU397" s="93"/>
      <c r="AV397" s="93"/>
      <c r="AW397" s="93"/>
      <c r="AX397" s="93"/>
      <c r="AY397" s="93"/>
      <c r="AZ397" s="93"/>
      <c r="BA397" s="93"/>
      <c r="BB397" s="93"/>
      <c r="BC397" s="93"/>
      <c r="BD397" s="93"/>
      <c r="BE397" s="93"/>
      <c r="BF397" s="93"/>
      <c r="BG397" s="93"/>
      <c r="BH397" s="93"/>
      <c r="BI397" s="93"/>
      <c r="BJ397" s="93"/>
      <c r="BK397" s="93"/>
      <c r="BL397" s="93"/>
      <c r="BM397" s="93"/>
      <c r="BN397" s="93"/>
      <c r="BO397" s="92"/>
      <c r="BP397" s="92"/>
      <c r="BQ397" s="92"/>
      <c r="BR397" s="92"/>
      <c r="BS397" s="92"/>
      <c r="BT397" s="93"/>
      <c r="BU397" s="93"/>
      <c r="BV397" s="93"/>
      <c r="BW397" s="93"/>
      <c r="BX397" s="93"/>
      <c r="BY397" s="93"/>
      <c r="BZ397" s="93"/>
      <c r="CA397" s="93"/>
      <c r="CB397" s="93"/>
      <c r="CC397" s="93"/>
      <c r="CD397" s="93"/>
      <c r="CE397" s="93"/>
      <c r="CF397" s="93"/>
      <c r="CG397" s="93"/>
      <c r="CH397" s="93"/>
      <c r="CI397" s="93"/>
      <c r="CJ397" s="93"/>
      <c r="CK397" s="93"/>
      <c r="CL397" s="93"/>
      <c r="CM397" s="93"/>
      <c r="CN397" s="93"/>
      <c r="CO397" s="93"/>
      <c r="CP397" s="93"/>
      <c r="CQ397" s="93"/>
      <c r="CR397" s="93"/>
      <c r="CS397" s="93"/>
      <c r="CT397" s="93"/>
      <c r="CU397" s="93"/>
      <c r="CV397" s="93"/>
      <c r="CW397" s="93"/>
      <c r="CX397" s="93"/>
      <c r="CY397" s="93"/>
      <c r="CZ397" s="93"/>
      <c r="DA397" s="93"/>
      <c r="DB397" s="93"/>
      <c r="DC397" s="93"/>
      <c r="DD397" s="93"/>
      <c r="DE397" s="93"/>
      <c r="DF397" s="93"/>
      <c r="DG397" s="93"/>
      <c r="DH397" s="93"/>
      <c r="DI397" s="826"/>
      <c r="DJ397" s="825"/>
      <c r="DK397" s="825"/>
      <c r="GO397" s="92"/>
      <c r="GP397" s="831"/>
    </row>
    <row r="398" spans="1:198" ht="15">
      <c r="A398" s="807"/>
      <c r="C398" s="807"/>
      <c r="D398" s="1065"/>
      <c r="E398" s="807"/>
      <c r="F398" s="807"/>
      <c r="G398" s="827"/>
      <c r="H398" s="809" t="s">
        <v>8736</v>
      </c>
      <c r="I398" s="92">
        <v>5</v>
      </c>
      <c r="J398" s="92" t="s">
        <v>10</v>
      </c>
      <c r="K398" s="92" t="s">
        <v>768</v>
      </c>
      <c r="L398" s="810">
        <v>1</v>
      </c>
      <c r="M398" s="811" t="str">
        <f t="shared" si="31"/>
        <v>Pre-school</v>
      </c>
      <c r="O398" s="92"/>
      <c r="P398" s="1638"/>
      <c r="Q398" s="92"/>
      <c r="R398" s="92"/>
      <c r="S398" s="848"/>
      <c r="V398" s="814">
        <f>SUM(S392:U398)</f>
        <v>24600</v>
      </c>
      <c r="X398" s="811" t="str">
        <f t="shared" si="30"/>
        <v/>
      </c>
      <c r="AB398" s="814">
        <f>SUM(Y392:AA398)</f>
        <v>0</v>
      </c>
      <c r="AC398" s="809"/>
      <c r="AD398" s="824"/>
      <c r="AG398" s="807" t="str">
        <f t="shared" si="29"/>
        <v/>
      </c>
      <c r="AH398" s="807"/>
      <c r="AI398" s="807"/>
      <c r="AJ398" s="807"/>
      <c r="AK398" s="92"/>
      <c r="AM398" s="819"/>
      <c r="AN398" s="820"/>
      <c r="AQ398" s="93"/>
      <c r="AR398" s="93"/>
      <c r="AS398" s="93"/>
      <c r="AT398" s="93"/>
      <c r="AU398" s="93"/>
      <c r="AV398" s="93"/>
      <c r="AW398" s="93"/>
      <c r="AX398" s="93"/>
      <c r="AY398" s="93"/>
      <c r="AZ398" s="93"/>
      <c r="BA398" s="93"/>
      <c r="BB398" s="93"/>
      <c r="BL398" s="93"/>
      <c r="BM398" s="93"/>
      <c r="BT398" s="93"/>
      <c r="BU398" s="93"/>
      <c r="BV398" s="93"/>
      <c r="BW398" s="93"/>
      <c r="BX398" s="93"/>
      <c r="BY398" s="93"/>
      <c r="BZ398" s="93"/>
      <c r="CA398" s="93"/>
      <c r="CB398" s="93"/>
      <c r="CC398" s="93"/>
      <c r="CF398" s="93"/>
      <c r="CG398" s="93"/>
      <c r="CH398" s="93"/>
      <c r="CI398" s="93"/>
      <c r="CJ398" s="93"/>
      <c r="CK398" s="93"/>
      <c r="CL398" s="93"/>
      <c r="CM398" s="93"/>
      <c r="CN398" s="93"/>
      <c r="CO398" s="93"/>
      <c r="CP398" s="93"/>
      <c r="CQ398" s="93"/>
      <c r="CR398" s="93"/>
      <c r="CS398" s="93"/>
      <c r="CT398" s="93"/>
      <c r="CU398" s="93"/>
      <c r="CV398" s="93"/>
      <c r="CW398" s="93"/>
      <c r="CX398" s="93"/>
      <c r="CY398" s="93"/>
      <c r="CZ398" s="93"/>
      <c r="DA398" s="93"/>
      <c r="DB398" s="93"/>
      <c r="DC398" s="93"/>
      <c r="DD398" s="93"/>
      <c r="DE398" s="93"/>
      <c r="DF398" s="93"/>
      <c r="DG398" s="93"/>
      <c r="DH398" s="93"/>
      <c r="DI398" s="93"/>
      <c r="DJ398" s="93"/>
      <c r="DK398" s="93"/>
      <c r="DL398" s="93"/>
      <c r="DM398" s="93"/>
      <c r="DN398" s="93"/>
      <c r="DO398" s="93"/>
    </row>
    <row r="399" spans="1:198" ht="15">
      <c r="A399" s="807"/>
      <c r="C399" s="807"/>
      <c r="D399" s="1065" t="s">
        <v>295</v>
      </c>
      <c r="E399" s="807"/>
      <c r="F399" s="807"/>
      <c r="G399" s="809" t="s">
        <v>295</v>
      </c>
      <c r="H399" s="809" t="s">
        <v>2071</v>
      </c>
      <c r="I399" s="92">
        <v>56</v>
      </c>
      <c r="J399" s="92" t="s">
        <v>10</v>
      </c>
      <c r="K399" s="92" t="s">
        <v>722</v>
      </c>
      <c r="L399" s="810">
        <v>3</v>
      </c>
      <c r="M399" s="811" t="str">
        <f t="shared" si="31"/>
        <v>Elementary Graduate</v>
      </c>
      <c r="N399" s="92" t="s">
        <v>1208</v>
      </c>
      <c r="O399" s="92" t="s">
        <v>8737</v>
      </c>
      <c r="P399" s="1638"/>
      <c r="Q399" s="92" t="s">
        <v>8737</v>
      </c>
      <c r="R399" s="92" t="s">
        <v>8234</v>
      </c>
      <c r="U399" s="848">
        <v>4800</v>
      </c>
      <c r="V399" s="828"/>
      <c r="W399" s="815">
        <v>1</v>
      </c>
      <c r="X399" s="811" t="str">
        <f t="shared" si="30"/>
        <v>within the Brgy</v>
      </c>
      <c r="AB399" s="828"/>
      <c r="AC399" s="809"/>
      <c r="AD399" s="824"/>
      <c r="AG399" s="807" t="str">
        <f t="shared" si="29"/>
        <v/>
      </c>
      <c r="AH399" s="807"/>
      <c r="AI399" s="807"/>
      <c r="AJ399" s="807"/>
      <c r="AK399" s="92"/>
      <c r="AM399" s="819"/>
      <c r="AN399" s="820"/>
      <c r="AQ399" s="93"/>
      <c r="AR399" s="93"/>
      <c r="AS399" s="93"/>
      <c r="AT399" s="93"/>
      <c r="AU399" s="93"/>
      <c r="AV399" s="93"/>
      <c r="AW399" s="93"/>
      <c r="AX399" s="93"/>
      <c r="AY399" s="93"/>
      <c r="AZ399" s="93"/>
      <c r="BA399" s="93"/>
      <c r="BB399" s="93"/>
      <c r="BL399" s="93"/>
      <c r="BM399" s="93"/>
      <c r="BT399" s="93"/>
      <c r="BU399" s="93"/>
      <c r="BV399" s="93"/>
      <c r="BW399" s="93"/>
      <c r="BX399" s="93"/>
      <c r="BY399" s="93"/>
      <c r="BZ399" s="93"/>
      <c r="CA399" s="93"/>
      <c r="CB399" s="93"/>
      <c r="CC399" s="93"/>
      <c r="CF399" s="93">
        <v>2</v>
      </c>
      <c r="CG399" s="93"/>
      <c r="CH399" s="93"/>
      <c r="CI399" s="93"/>
      <c r="CJ399" s="93"/>
      <c r="CK399" s="93"/>
      <c r="CL399" s="93"/>
      <c r="CM399" s="93"/>
      <c r="CN399" s="93"/>
      <c r="CO399" s="93"/>
      <c r="CP399" s="93"/>
      <c r="CQ399" s="93"/>
      <c r="CR399" s="93"/>
      <c r="CS399" s="93">
        <v>1</v>
      </c>
      <c r="CT399" s="93"/>
      <c r="CU399" s="93"/>
      <c r="CV399" s="93"/>
      <c r="CW399" s="93"/>
      <c r="CX399" s="93"/>
      <c r="CY399" s="93"/>
      <c r="CZ399" s="93"/>
      <c r="DA399" s="93"/>
      <c r="DB399" s="93"/>
      <c r="DC399" s="93"/>
      <c r="DD399" s="93"/>
      <c r="DE399" s="93"/>
      <c r="DF399" s="93"/>
      <c r="DG399" s="93"/>
      <c r="DH399" s="93"/>
      <c r="DI399" s="93"/>
      <c r="DJ399" s="93"/>
      <c r="DK399" s="93"/>
      <c r="DL399" s="93"/>
      <c r="DM399" s="93"/>
      <c r="DN399" s="93"/>
      <c r="DO399" s="93"/>
    </row>
    <row r="400" spans="1:198" s="92" customFormat="1" ht="15">
      <c r="D400" s="1065"/>
      <c r="G400" s="827"/>
      <c r="H400" s="809" t="s">
        <v>8738</v>
      </c>
      <c r="I400" s="92">
        <v>50</v>
      </c>
      <c r="J400" s="92" t="s">
        <v>18</v>
      </c>
      <c r="K400" s="92" t="s">
        <v>2049</v>
      </c>
      <c r="L400" s="810">
        <v>3</v>
      </c>
      <c r="M400" s="811" t="str">
        <f t="shared" si="31"/>
        <v>Elementary Graduate</v>
      </c>
      <c r="N400" s="92" t="s">
        <v>1208</v>
      </c>
      <c r="O400" s="92" t="s">
        <v>8739</v>
      </c>
      <c r="P400" s="1638"/>
      <c r="Q400" s="92" t="s">
        <v>8739</v>
      </c>
      <c r="S400" s="848"/>
      <c r="T400" s="813"/>
      <c r="U400" s="813">
        <v>4000</v>
      </c>
      <c r="V400" s="849"/>
      <c r="W400" s="838">
        <v>2</v>
      </c>
      <c r="X400" s="811" t="str">
        <f t="shared" si="30"/>
        <v>within the Municipality/City</v>
      </c>
      <c r="Y400" s="836">
        <v>500</v>
      </c>
      <c r="Z400" s="836"/>
      <c r="AA400" s="836"/>
      <c r="AB400" s="849"/>
      <c r="AC400" s="809"/>
      <c r="AD400" s="824"/>
      <c r="AE400" s="93"/>
      <c r="AF400" s="818"/>
      <c r="AG400" s="807" t="str">
        <f t="shared" si="29"/>
        <v/>
      </c>
      <c r="AH400" s="807"/>
      <c r="AI400" s="807"/>
      <c r="AJ400" s="807"/>
      <c r="AM400" s="819"/>
      <c r="AN400" s="820"/>
      <c r="AO400" s="817"/>
      <c r="AP400" s="820"/>
      <c r="AQ400" s="93"/>
      <c r="AR400" s="93"/>
      <c r="AS400" s="93"/>
      <c r="AT400" s="93"/>
      <c r="AU400" s="93"/>
      <c r="AV400" s="93"/>
      <c r="AW400" s="93"/>
      <c r="AX400" s="93"/>
      <c r="AY400" s="93"/>
      <c r="AZ400" s="93"/>
      <c r="BA400" s="93"/>
      <c r="BB400" s="93"/>
      <c r="BC400" s="93"/>
      <c r="BD400" s="93"/>
      <c r="BE400" s="93"/>
      <c r="BF400" s="93"/>
      <c r="BG400" s="93"/>
      <c r="BH400" s="93"/>
      <c r="BI400" s="93"/>
      <c r="BJ400" s="93"/>
      <c r="BK400" s="93"/>
      <c r="BL400" s="93"/>
      <c r="BM400" s="93"/>
      <c r="BN400" s="93"/>
      <c r="BT400" s="93"/>
      <c r="BU400" s="93"/>
      <c r="BV400" s="93"/>
      <c r="BW400" s="93"/>
      <c r="BX400" s="93"/>
      <c r="BY400" s="93"/>
      <c r="BZ400" s="93"/>
      <c r="CA400" s="93"/>
      <c r="CB400" s="93"/>
      <c r="CC400" s="93"/>
      <c r="CD400" s="93"/>
      <c r="CE400" s="93"/>
      <c r="CF400" s="93">
        <v>1</v>
      </c>
      <c r="CG400" s="93"/>
      <c r="CH400" s="93"/>
      <c r="CI400" s="93"/>
      <c r="CJ400" s="93"/>
      <c r="CK400" s="93"/>
      <c r="CL400" s="93"/>
      <c r="CM400" s="93"/>
      <c r="CN400" s="93"/>
      <c r="CO400" s="93"/>
      <c r="CP400" s="93"/>
      <c r="CQ400" s="93"/>
      <c r="CR400" s="93"/>
      <c r="CS400" s="93"/>
      <c r="CT400" s="93"/>
      <c r="CU400" s="93"/>
      <c r="CV400" s="93"/>
      <c r="CW400" s="93"/>
      <c r="CX400" s="93"/>
      <c r="CY400" s="93"/>
      <c r="CZ400" s="93"/>
      <c r="DA400" s="93"/>
      <c r="DB400" s="93"/>
      <c r="DC400" s="93"/>
      <c r="DD400" s="93"/>
      <c r="DE400" s="93"/>
      <c r="DF400" s="93"/>
      <c r="DG400" s="93"/>
      <c r="DH400" s="93"/>
      <c r="DI400" s="826"/>
      <c r="DJ400" s="826"/>
      <c r="DK400" s="826"/>
      <c r="GP400" s="831"/>
    </row>
    <row r="401" spans="1:198" s="92" customFormat="1" ht="15">
      <c r="D401" s="1065"/>
      <c r="G401" s="827"/>
      <c r="H401" s="809" t="s">
        <v>8740</v>
      </c>
      <c r="I401" s="92">
        <v>3</v>
      </c>
      <c r="J401" s="92" t="s">
        <v>18</v>
      </c>
      <c r="K401" s="92" t="s">
        <v>768</v>
      </c>
      <c r="L401" s="810">
        <v>10</v>
      </c>
      <c r="M401" s="811" t="str">
        <f t="shared" si="31"/>
        <v>Not In School Age</v>
      </c>
      <c r="P401" s="1638"/>
      <c r="S401" s="848"/>
      <c r="T401" s="813"/>
      <c r="U401" s="813"/>
      <c r="V401" s="849">
        <f>SUM(S399:U401)</f>
        <v>8800</v>
      </c>
      <c r="W401" s="838"/>
      <c r="X401" s="811" t="str">
        <f t="shared" si="30"/>
        <v/>
      </c>
      <c r="Y401" s="836"/>
      <c r="Z401" s="836"/>
      <c r="AA401" s="836"/>
      <c r="AB401" s="849">
        <f>SUM(Y399:AA401)</f>
        <v>500</v>
      </c>
      <c r="AC401" s="809"/>
      <c r="AD401" s="824"/>
      <c r="AE401" s="93"/>
      <c r="AF401" s="818"/>
      <c r="AG401" s="807" t="str">
        <f t="shared" si="29"/>
        <v/>
      </c>
      <c r="AH401" s="807"/>
      <c r="AI401" s="807"/>
      <c r="AJ401" s="807"/>
      <c r="AM401" s="819"/>
      <c r="AN401" s="820"/>
      <c r="AO401" s="817"/>
      <c r="AP401" s="820"/>
      <c r="AQ401" s="93"/>
      <c r="AR401" s="93"/>
      <c r="AS401" s="93"/>
      <c r="AT401" s="93"/>
      <c r="AU401" s="93"/>
      <c r="AV401" s="93"/>
      <c r="AW401" s="93"/>
      <c r="AX401" s="93"/>
      <c r="AY401" s="93"/>
      <c r="AZ401" s="93"/>
      <c r="BA401" s="93"/>
      <c r="BB401" s="93"/>
      <c r="BC401" s="93"/>
      <c r="BD401" s="93"/>
      <c r="BE401" s="93"/>
      <c r="BF401" s="93"/>
      <c r="BG401" s="93"/>
      <c r="BH401" s="93"/>
      <c r="BI401" s="93"/>
      <c r="BJ401" s="93"/>
      <c r="BK401" s="93"/>
      <c r="BL401" s="93"/>
      <c r="BM401" s="93"/>
      <c r="BN401" s="93"/>
      <c r="BT401" s="93"/>
      <c r="BU401" s="93"/>
      <c r="BV401" s="93"/>
      <c r="BW401" s="93"/>
      <c r="BX401" s="93"/>
      <c r="BY401" s="93"/>
      <c r="BZ401" s="93"/>
      <c r="CA401" s="93"/>
      <c r="CB401" s="93"/>
      <c r="CC401" s="93"/>
      <c r="CD401" s="93"/>
      <c r="CE401" s="93"/>
      <c r="CF401" s="93"/>
      <c r="CG401" s="93"/>
      <c r="CH401" s="93"/>
      <c r="CI401" s="93"/>
      <c r="CJ401" s="93"/>
      <c r="CK401" s="93"/>
      <c r="CL401" s="93"/>
      <c r="CM401" s="93"/>
      <c r="CN401" s="93"/>
      <c r="CO401" s="93"/>
      <c r="CP401" s="93"/>
      <c r="CQ401" s="93"/>
      <c r="CR401" s="93"/>
      <c r="CS401" s="93"/>
      <c r="CT401" s="93"/>
      <c r="CU401" s="93"/>
      <c r="CV401" s="93"/>
      <c r="CW401" s="93"/>
      <c r="CX401" s="93"/>
      <c r="CY401" s="93"/>
      <c r="CZ401" s="93"/>
      <c r="DA401" s="93"/>
      <c r="DB401" s="93"/>
      <c r="DC401" s="93"/>
      <c r="DD401" s="93"/>
      <c r="DE401" s="93"/>
      <c r="DF401" s="93"/>
      <c r="DG401" s="93"/>
      <c r="DH401" s="93"/>
      <c r="DI401" s="826"/>
      <c r="DJ401" s="826"/>
      <c r="DK401" s="826"/>
      <c r="GP401" s="831"/>
    </row>
    <row r="402" spans="1:198" s="92" customFormat="1" ht="15">
      <c r="A402" s="154" t="s">
        <v>7419</v>
      </c>
      <c r="B402" s="288" t="s">
        <v>7532</v>
      </c>
      <c r="C402" s="171" t="s">
        <v>296</v>
      </c>
      <c r="D402" s="1065" t="s">
        <v>296</v>
      </c>
      <c r="E402" s="1041" t="s">
        <v>296</v>
      </c>
      <c r="F402" s="1047" t="s">
        <v>2072</v>
      </c>
      <c r="G402" s="745" t="s">
        <v>296</v>
      </c>
      <c r="H402" s="809" t="s">
        <v>2072</v>
      </c>
      <c r="I402" s="92">
        <v>48</v>
      </c>
      <c r="J402" s="92" t="s">
        <v>18</v>
      </c>
      <c r="K402" s="92" t="s">
        <v>719</v>
      </c>
      <c r="L402" s="810">
        <v>4</v>
      </c>
      <c r="M402" s="811" t="str">
        <f t="shared" si="31"/>
        <v>High School Level</v>
      </c>
      <c r="P402" s="1638"/>
      <c r="R402" s="92" t="s">
        <v>1208</v>
      </c>
      <c r="S402" s="848"/>
      <c r="T402" s="813"/>
      <c r="U402" s="813"/>
      <c r="V402" s="837"/>
      <c r="W402" s="838"/>
      <c r="X402" s="811" t="str">
        <f t="shared" si="30"/>
        <v/>
      </c>
      <c r="Y402" s="836"/>
      <c r="Z402" s="836"/>
      <c r="AA402" s="836"/>
      <c r="AB402" s="837"/>
      <c r="AC402" s="809"/>
      <c r="AD402" s="824"/>
      <c r="AE402" s="93"/>
      <c r="AF402" s="818"/>
      <c r="AG402" s="807" t="str">
        <f t="shared" si="29"/>
        <v/>
      </c>
      <c r="AH402" s="807"/>
      <c r="AI402" s="807"/>
      <c r="AJ402" s="807"/>
      <c r="AM402" s="819"/>
      <c r="AN402" s="820"/>
      <c r="AO402" s="817"/>
      <c r="AP402" s="820"/>
      <c r="AQ402" s="93"/>
      <c r="AR402" s="93"/>
      <c r="AS402" s="93"/>
      <c r="AT402" s="93"/>
      <c r="AU402" s="93"/>
      <c r="AV402" s="93"/>
      <c r="AW402" s="93"/>
      <c r="AX402" s="93"/>
      <c r="AY402" s="93"/>
      <c r="AZ402" s="93"/>
      <c r="BA402" s="93"/>
      <c r="BB402" s="93"/>
      <c r="BC402" s="93"/>
      <c r="BD402" s="93"/>
      <c r="BE402" s="93"/>
      <c r="BF402" s="93"/>
      <c r="BG402" s="93"/>
      <c r="BH402" s="93"/>
      <c r="BI402" s="93"/>
      <c r="BJ402" s="93"/>
      <c r="BK402" s="93"/>
      <c r="BL402" s="93"/>
      <c r="BM402" s="93"/>
      <c r="BN402" s="93"/>
      <c r="BT402" s="93"/>
      <c r="BU402" s="93"/>
      <c r="BV402" s="93"/>
      <c r="BW402" s="93"/>
      <c r="BX402" s="93"/>
      <c r="BY402" s="93"/>
      <c r="BZ402" s="93"/>
      <c r="CA402" s="93"/>
      <c r="CB402" s="93"/>
      <c r="CC402" s="93"/>
      <c r="CD402" s="93"/>
      <c r="CE402" s="93"/>
      <c r="CF402" s="93"/>
      <c r="CG402" s="93"/>
      <c r="CH402" s="93"/>
      <c r="CI402" s="93"/>
      <c r="CJ402" s="93"/>
      <c r="CK402" s="93"/>
      <c r="CL402" s="93"/>
      <c r="CM402" s="93"/>
      <c r="CN402" s="93"/>
      <c r="CO402" s="93"/>
      <c r="CP402" s="93"/>
      <c r="CQ402" s="93"/>
      <c r="CR402" s="93"/>
      <c r="CS402" s="93" t="s">
        <v>2144</v>
      </c>
      <c r="CT402" s="93"/>
      <c r="CU402" s="93"/>
      <c r="CV402" s="93"/>
      <c r="CW402" s="93"/>
      <c r="CX402" s="93"/>
      <c r="CY402" s="93"/>
      <c r="CZ402" s="93"/>
      <c r="DA402" s="93"/>
      <c r="DB402" s="93"/>
      <c r="DC402" s="93"/>
      <c r="DD402" s="93"/>
      <c r="DE402" s="93"/>
      <c r="DF402" s="93"/>
      <c r="DG402" s="93"/>
      <c r="DH402" s="93"/>
      <c r="DI402" s="826"/>
      <c r="DJ402" s="826"/>
      <c r="DK402" s="826"/>
      <c r="GP402" s="831"/>
    </row>
    <row r="403" spans="1:198" s="92" customFormat="1" ht="15">
      <c r="A403" s="154" t="s">
        <v>7419</v>
      </c>
      <c r="D403" s="1065" t="s">
        <v>296</v>
      </c>
      <c r="E403" s="1041" t="s">
        <v>296</v>
      </c>
      <c r="G403" s="827"/>
      <c r="H403" s="809" t="s">
        <v>8741</v>
      </c>
      <c r="I403" s="92">
        <v>26</v>
      </c>
      <c r="J403" s="92" t="s">
        <v>10</v>
      </c>
      <c r="K403" s="92" t="s">
        <v>768</v>
      </c>
      <c r="L403" s="810">
        <v>5</v>
      </c>
      <c r="M403" s="811" t="str">
        <f t="shared" si="31"/>
        <v>High School Graduate</v>
      </c>
      <c r="P403" s="1638"/>
      <c r="S403" s="848"/>
      <c r="T403" s="813"/>
      <c r="U403" s="813"/>
      <c r="V403" s="837"/>
      <c r="W403" s="838"/>
      <c r="X403" s="811" t="str">
        <f t="shared" si="30"/>
        <v/>
      </c>
      <c r="Y403" s="836"/>
      <c r="Z403" s="836"/>
      <c r="AA403" s="836"/>
      <c r="AB403" s="837"/>
      <c r="AC403" s="809"/>
      <c r="AD403" s="824"/>
      <c r="AE403" s="93"/>
      <c r="AF403" s="818"/>
      <c r="AG403" s="807" t="str">
        <f t="shared" si="29"/>
        <v/>
      </c>
      <c r="AH403" s="807"/>
      <c r="AI403" s="807"/>
      <c r="AJ403" s="807"/>
      <c r="AM403" s="819"/>
      <c r="AN403" s="820"/>
      <c r="AO403" s="817"/>
      <c r="AP403" s="820"/>
      <c r="AQ403" s="93"/>
      <c r="AR403" s="93"/>
      <c r="AS403" s="93"/>
      <c r="AT403" s="93"/>
      <c r="AU403" s="93"/>
      <c r="AV403" s="93"/>
      <c r="AW403" s="93"/>
      <c r="AX403" s="93"/>
      <c r="AY403" s="93"/>
      <c r="AZ403" s="93"/>
      <c r="BA403" s="93"/>
      <c r="BB403" s="93"/>
      <c r="BC403" s="93"/>
      <c r="BD403" s="93"/>
      <c r="BE403" s="93"/>
      <c r="BF403" s="93"/>
      <c r="BG403" s="93"/>
      <c r="BH403" s="93"/>
      <c r="BI403" s="93"/>
      <c r="BJ403" s="93"/>
      <c r="BK403" s="93"/>
      <c r="BL403" s="93"/>
      <c r="BM403" s="93"/>
      <c r="BN403" s="93"/>
      <c r="BT403" s="93"/>
      <c r="BU403" s="93"/>
      <c r="BV403" s="93"/>
      <c r="BW403" s="93"/>
      <c r="BX403" s="93"/>
      <c r="BY403" s="93"/>
      <c r="BZ403" s="93"/>
      <c r="CA403" s="93"/>
      <c r="CB403" s="93"/>
      <c r="CC403" s="93"/>
      <c r="CD403" s="93"/>
      <c r="CE403" s="93"/>
      <c r="CF403" s="93"/>
      <c r="CG403" s="93"/>
      <c r="CH403" s="93"/>
      <c r="CI403" s="93"/>
      <c r="CJ403" s="93"/>
      <c r="CK403" s="93"/>
      <c r="CL403" s="93"/>
      <c r="CM403" s="93"/>
      <c r="CN403" s="93"/>
      <c r="CO403" s="93"/>
      <c r="CP403" s="93"/>
      <c r="CQ403" s="93"/>
      <c r="CR403" s="93"/>
      <c r="CS403" s="93"/>
      <c r="CT403" s="93"/>
      <c r="CU403" s="93"/>
      <c r="CV403" s="93"/>
      <c r="CW403" s="93"/>
      <c r="CX403" s="93"/>
      <c r="CY403" s="93"/>
      <c r="CZ403" s="93"/>
      <c r="DA403" s="93"/>
      <c r="DB403" s="93"/>
      <c r="DC403" s="93"/>
      <c r="DD403" s="93"/>
      <c r="DE403" s="93">
        <v>1</v>
      </c>
      <c r="DG403" s="93"/>
      <c r="DH403" s="93"/>
      <c r="DI403" s="826"/>
      <c r="DJ403" s="826"/>
      <c r="DK403" s="826"/>
      <c r="GP403" s="831"/>
    </row>
    <row r="404" spans="1:198" s="92" customFormat="1" ht="15">
      <c r="A404" s="154" t="s">
        <v>7419</v>
      </c>
      <c r="D404" s="1065" t="s">
        <v>296</v>
      </c>
      <c r="E404" s="1041" t="s">
        <v>296</v>
      </c>
      <c r="G404" s="827"/>
      <c r="H404" s="809" t="s">
        <v>8742</v>
      </c>
      <c r="I404" s="92">
        <v>24</v>
      </c>
      <c r="J404" s="92" t="s">
        <v>10</v>
      </c>
      <c r="K404" s="92" t="s">
        <v>768</v>
      </c>
      <c r="L404" s="810">
        <v>6</v>
      </c>
      <c r="M404" s="811" t="str">
        <f t="shared" si="31"/>
        <v>College Level</v>
      </c>
      <c r="N404" s="92" t="s">
        <v>1208</v>
      </c>
      <c r="O404" s="92" t="s">
        <v>8743</v>
      </c>
      <c r="P404" s="1638"/>
      <c r="Q404" s="92" t="s">
        <v>8743</v>
      </c>
      <c r="R404" s="92" t="s">
        <v>8285</v>
      </c>
      <c r="S404" s="848">
        <v>15000</v>
      </c>
      <c r="T404" s="813"/>
      <c r="U404" s="836">
        <v>3000</v>
      </c>
      <c r="V404" s="837"/>
      <c r="W404" s="838">
        <v>4</v>
      </c>
      <c r="X404" s="811" t="str">
        <f t="shared" si="30"/>
        <v>Other Province</v>
      </c>
      <c r="Y404" s="836">
        <v>3000</v>
      </c>
      <c r="Z404" s="836"/>
      <c r="AA404" s="836"/>
      <c r="AB404" s="837"/>
      <c r="AC404" s="809" t="s">
        <v>8744</v>
      </c>
      <c r="AD404" s="824"/>
      <c r="AE404" s="93"/>
      <c r="AF404" s="818"/>
      <c r="AG404" s="807" t="str">
        <f t="shared" si="29"/>
        <v/>
      </c>
      <c r="AH404" s="807"/>
      <c r="AI404" s="807"/>
      <c r="AJ404" s="807"/>
      <c r="AM404" s="819"/>
      <c r="AN404" s="820"/>
      <c r="AO404" s="817"/>
      <c r="AP404" s="820"/>
      <c r="AQ404" s="93"/>
      <c r="AR404" s="93"/>
      <c r="AS404" s="93"/>
      <c r="AT404" s="93"/>
      <c r="AU404" s="93"/>
      <c r="AV404" s="93"/>
      <c r="AW404" s="93"/>
      <c r="AX404" s="93"/>
      <c r="AY404" s="93"/>
      <c r="AZ404" s="93"/>
      <c r="BA404" s="93"/>
      <c r="BB404" s="93"/>
      <c r="BC404" s="93"/>
      <c r="BD404" s="93"/>
      <c r="BE404" s="93"/>
      <c r="BF404" s="93"/>
      <c r="BG404" s="93"/>
      <c r="BH404" s="93"/>
      <c r="BI404" s="93"/>
      <c r="BJ404" s="93"/>
      <c r="BK404" s="93"/>
      <c r="BL404" s="93"/>
      <c r="BM404" s="93"/>
      <c r="BN404" s="93"/>
      <c r="BT404" s="93"/>
      <c r="BU404" s="93"/>
      <c r="BV404" s="93"/>
      <c r="BW404" s="93"/>
      <c r="BX404" s="93"/>
      <c r="BY404" s="93"/>
      <c r="BZ404" s="93"/>
      <c r="CA404" s="93"/>
      <c r="CB404" s="93"/>
      <c r="CC404" s="93"/>
      <c r="CD404" s="93"/>
      <c r="CE404" s="93"/>
      <c r="CF404" s="93"/>
      <c r="CG404" s="93"/>
      <c r="CH404" s="93"/>
      <c r="CI404" s="93"/>
      <c r="CJ404" s="93"/>
      <c r="CK404" s="93"/>
      <c r="CL404" s="93"/>
      <c r="CM404" s="93"/>
      <c r="CN404" s="93"/>
      <c r="CO404" s="93"/>
      <c r="CP404" s="93"/>
      <c r="CQ404" s="93"/>
      <c r="CR404" s="93"/>
      <c r="CS404" s="93"/>
      <c r="CT404" s="93"/>
      <c r="CU404" s="93"/>
      <c r="CV404" s="93"/>
      <c r="CW404" s="93"/>
      <c r="CX404" s="93"/>
      <c r="CY404" s="93"/>
      <c r="CZ404" s="93"/>
      <c r="DA404" s="93"/>
      <c r="DB404" s="93"/>
      <c r="DC404" s="93"/>
      <c r="DD404" s="93"/>
      <c r="DE404" s="93"/>
      <c r="DF404" s="93"/>
      <c r="DG404" s="93"/>
      <c r="DH404" s="93"/>
      <c r="DI404" s="826"/>
      <c r="DJ404" s="826"/>
      <c r="DK404" s="826"/>
      <c r="GP404" s="831"/>
    </row>
    <row r="405" spans="1:198" s="92" customFormat="1" ht="15">
      <c r="A405" s="154" t="s">
        <v>7419</v>
      </c>
      <c r="D405" s="1065" t="s">
        <v>296</v>
      </c>
      <c r="E405" s="1041" t="s">
        <v>296</v>
      </c>
      <c r="G405" s="827"/>
      <c r="H405" s="809" t="s">
        <v>8745</v>
      </c>
      <c r="I405" s="92">
        <v>20</v>
      </c>
      <c r="J405" s="92" t="s">
        <v>18</v>
      </c>
      <c r="K405" s="92" t="s">
        <v>768</v>
      </c>
      <c r="L405" s="810">
        <v>6</v>
      </c>
      <c r="M405" s="811" t="str">
        <f t="shared" si="31"/>
        <v>College Level</v>
      </c>
      <c r="N405" s="92" t="s">
        <v>1208</v>
      </c>
      <c r="O405" s="92" t="s">
        <v>8746</v>
      </c>
      <c r="P405" s="1638"/>
      <c r="Q405" s="92" t="s">
        <v>8746</v>
      </c>
      <c r="R405" s="92" t="s">
        <v>8285</v>
      </c>
      <c r="S405" s="848">
        <v>12000</v>
      </c>
      <c r="T405" s="813"/>
      <c r="U405" s="813"/>
      <c r="V405" s="837"/>
      <c r="W405" s="838">
        <v>4</v>
      </c>
      <c r="X405" s="811" t="str">
        <f t="shared" si="30"/>
        <v>Other Province</v>
      </c>
      <c r="Y405" s="836">
        <v>3500</v>
      </c>
      <c r="Z405" s="836"/>
      <c r="AA405" s="836"/>
      <c r="AB405" s="837"/>
      <c r="AC405" s="809" t="s">
        <v>2197</v>
      </c>
      <c r="AD405" s="824"/>
      <c r="AE405" s="93"/>
      <c r="AF405" s="818"/>
      <c r="AG405" s="807" t="str">
        <f t="shared" si="29"/>
        <v/>
      </c>
      <c r="AH405" s="807"/>
      <c r="AI405" s="807"/>
      <c r="AJ405" s="807"/>
      <c r="AM405" s="819"/>
      <c r="AN405" s="820"/>
      <c r="AO405" s="817"/>
      <c r="AP405" s="820"/>
      <c r="AQ405" s="93"/>
      <c r="AR405" s="93"/>
      <c r="AS405" s="93"/>
      <c r="AT405" s="93"/>
      <c r="AU405" s="93"/>
      <c r="AV405" s="93"/>
      <c r="AW405" s="93"/>
      <c r="AX405" s="93"/>
      <c r="AY405" s="93"/>
      <c r="AZ405" s="93"/>
      <c r="BA405" s="93"/>
      <c r="BB405" s="93"/>
      <c r="BC405" s="93"/>
      <c r="BD405" s="93"/>
      <c r="BE405" s="93"/>
      <c r="BF405" s="93"/>
      <c r="BG405" s="93"/>
      <c r="BH405" s="93"/>
      <c r="BI405" s="93"/>
      <c r="BJ405" s="93"/>
      <c r="BK405" s="93"/>
      <c r="BL405" s="93"/>
      <c r="BM405" s="93"/>
      <c r="BN405" s="93"/>
      <c r="BT405" s="93"/>
      <c r="BU405" s="93"/>
      <c r="BV405" s="93"/>
      <c r="BW405" s="93"/>
      <c r="BX405" s="93"/>
      <c r="BY405" s="93"/>
      <c r="BZ405" s="93"/>
      <c r="CA405" s="93"/>
      <c r="CB405" s="93"/>
      <c r="CC405" s="93"/>
      <c r="CD405" s="93"/>
      <c r="CE405" s="93"/>
      <c r="CF405" s="93"/>
      <c r="CG405" s="93"/>
      <c r="CH405" s="93"/>
      <c r="CI405" s="93"/>
      <c r="CJ405" s="93"/>
      <c r="CK405" s="93"/>
      <c r="CL405" s="93"/>
      <c r="CM405" s="93"/>
      <c r="CN405" s="93"/>
      <c r="CO405" s="93"/>
      <c r="CP405" s="93"/>
      <c r="CQ405" s="93"/>
      <c r="CR405" s="93"/>
      <c r="CS405" s="93"/>
      <c r="CT405" s="93"/>
      <c r="CU405" s="93"/>
      <c r="CV405" s="93"/>
      <c r="CW405" s="93"/>
      <c r="CX405" s="93"/>
      <c r="CY405" s="93"/>
      <c r="CZ405" s="93"/>
      <c r="DA405" s="93"/>
      <c r="DB405" s="93"/>
      <c r="DC405" s="93"/>
      <c r="DD405" s="93"/>
      <c r="DE405" s="93"/>
      <c r="DF405" s="93"/>
      <c r="DG405" s="93"/>
      <c r="DH405" s="93"/>
      <c r="DI405" s="826"/>
      <c r="DJ405" s="826"/>
      <c r="DK405" s="826"/>
      <c r="GP405" s="831"/>
    </row>
    <row r="406" spans="1:198" s="92" customFormat="1" ht="15">
      <c r="A406" s="154" t="s">
        <v>7419</v>
      </c>
      <c r="D406" s="1065" t="s">
        <v>296</v>
      </c>
      <c r="E406" s="1041" t="s">
        <v>296</v>
      </c>
      <c r="G406" s="827"/>
      <c r="H406" s="809" t="s">
        <v>8747</v>
      </c>
      <c r="I406" s="92">
        <v>18</v>
      </c>
      <c r="J406" s="92" t="s">
        <v>18</v>
      </c>
      <c r="K406" s="92" t="s">
        <v>768</v>
      </c>
      <c r="L406" s="810">
        <v>6</v>
      </c>
      <c r="M406" s="811" t="str">
        <f t="shared" si="31"/>
        <v>College Level</v>
      </c>
      <c r="N406" s="92" t="s">
        <v>1208</v>
      </c>
      <c r="O406" s="92" t="s">
        <v>2229</v>
      </c>
      <c r="P406" s="1638"/>
      <c r="Q406" s="92" t="s">
        <v>2229</v>
      </c>
      <c r="R406" s="92" t="s">
        <v>8285</v>
      </c>
      <c r="S406" s="848">
        <v>12000</v>
      </c>
      <c r="T406" s="813"/>
      <c r="U406" s="813"/>
      <c r="V406" s="837"/>
      <c r="W406" s="838">
        <v>4</v>
      </c>
      <c r="X406" s="811" t="str">
        <f t="shared" si="30"/>
        <v>Other Province</v>
      </c>
      <c r="Y406" s="836">
        <v>4000</v>
      </c>
      <c r="Z406" s="836"/>
      <c r="AA406" s="836"/>
      <c r="AB406" s="837"/>
      <c r="AC406" s="809" t="s">
        <v>8748</v>
      </c>
      <c r="AD406" s="824"/>
      <c r="AE406" s="93"/>
      <c r="AF406" s="818"/>
      <c r="AG406" s="807" t="str">
        <f t="shared" si="29"/>
        <v/>
      </c>
      <c r="AH406" s="807"/>
      <c r="AI406" s="807"/>
      <c r="AJ406" s="807"/>
      <c r="AM406" s="819"/>
      <c r="AN406" s="820"/>
      <c r="AO406" s="817"/>
      <c r="AP406" s="820"/>
      <c r="AQ406" s="93"/>
      <c r="AR406" s="93"/>
      <c r="AS406" s="93"/>
      <c r="AT406" s="93"/>
      <c r="AU406" s="93"/>
      <c r="AV406" s="93"/>
      <c r="AW406" s="93"/>
      <c r="AX406" s="93"/>
      <c r="AY406" s="93"/>
      <c r="AZ406" s="93"/>
      <c r="BA406" s="93"/>
      <c r="BB406" s="93"/>
      <c r="BC406" s="93"/>
      <c r="BD406" s="93"/>
      <c r="BE406" s="93"/>
      <c r="BF406" s="93"/>
      <c r="BG406" s="93"/>
      <c r="BH406" s="93"/>
      <c r="BI406" s="93"/>
      <c r="BJ406" s="93"/>
      <c r="BK406" s="93"/>
      <c r="BL406" s="93"/>
      <c r="BM406" s="93"/>
      <c r="BN406" s="93"/>
      <c r="BT406" s="93"/>
      <c r="BU406" s="93"/>
      <c r="BV406" s="93"/>
      <c r="BW406" s="93"/>
      <c r="BX406" s="93"/>
      <c r="BY406" s="93"/>
      <c r="BZ406" s="93"/>
      <c r="CA406" s="93"/>
      <c r="CB406" s="93"/>
      <c r="CC406" s="93"/>
      <c r="CD406" s="93"/>
      <c r="CE406" s="93"/>
      <c r="CF406" s="93"/>
      <c r="CG406" s="93"/>
      <c r="CH406" s="93"/>
      <c r="CI406" s="93"/>
      <c r="CJ406" s="93"/>
      <c r="CK406" s="93"/>
      <c r="CL406" s="93"/>
      <c r="CM406" s="93"/>
      <c r="CN406" s="93"/>
      <c r="CO406" s="93"/>
      <c r="CP406" s="93"/>
      <c r="CQ406" s="93"/>
      <c r="CR406" s="93"/>
      <c r="CS406" s="93"/>
      <c r="CT406" s="93"/>
      <c r="CU406" s="93"/>
      <c r="CV406" s="93"/>
      <c r="CW406" s="93"/>
      <c r="CX406" s="93"/>
      <c r="CY406" s="93"/>
      <c r="CZ406" s="93"/>
      <c r="DA406" s="93"/>
      <c r="DB406" s="93"/>
      <c r="DC406" s="93"/>
      <c r="DD406" s="93"/>
      <c r="DE406" s="93"/>
      <c r="DF406" s="93"/>
      <c r="DG406" s="93"/>
      <c r="DH406" s="93"/>
      <c r="DI406" s="826"/>
      <c r="DJ406" s="826"/>
      <c r="DK406" s="826"/>
      <c r="GP406" s="831"/>
    </row>
    <row r="407" spans="1:198" s="92" customFormat="1" ht="15">
      <c r="A407" s="154" t="s">
        <v>7419</v>
      </c>
      <c r="D407" s="1065" t="s">
        <v>296</v>
      </c>
      <c r="E407" s="1041" t="s">
        <v>296</v>
      </c>
      <c r="G407" s="827"/>
      <c r="H407" s="809" t="s">
        <v>8749</v>
      </c>
      <c r="I407" s="92">
        <v>9</v>
      </c>
      <c r="J407" s="92" t="s">
        <v>18</v>
      </c>
      <c r="K407" s="92" t="s">
        <v>768</v>
      </c>
      <c r="L407" s="810">
        <v>2</v>
      </c>
      <c r="M407" s="811" t="str">
        <f t="shared" si="31"/>
        <v>Elementary Level</v>
      </c>
      <c r="P407" s="1638"/>
      <c r="S407" s="848"/>
      <c r="T407" s="813"/>
      <c r="U407" s="813"/>
      <c r="V407" s="837"/>
      <c r="W407" s="838"/>
      <c r="X407" s="811" t="str">
        <f t="shared" si="30"/>
        <v/>
      </c>
      <c r="Y407" s="836"/>
      <c r="Z407" s="836"/>
      <c r="AA407" s="836"/>
      <c r="AB407" s="837"/>
      <c r="AC407" s="809"/>
      <c r="AD407" s="824"/>
      <c r="AE407" s="93"/>
      <c r="AF407" s="818"/>
      <c r="AG407" s="807" t="str">
        <f t="shared" si="29"/>
        <v/>
      </c>
      <c r="AH407" s="807"/>
      <c r="AI407" s="807"/>
      <c r="AJ407" s="807"/>
      <c r="AM407" s="819"/>
      <c r="AN407" s="820"/>
      <c r="AO407" s="817"/>
      <c r="AP407" s="820"/>
      <c r="AQ407" s="93"/>
      <c r="AR407" s="93"/>
      <c r="AS407" s="93"/>
      <c r="AT407" s="93"/>
      <c r="AU407" s="93"/>
      <c r="AV407" s="93"/>
      <c r="AW407" s="93"/>
      <c r="AX407" s="93"/>
      <c r="AY407" s="93"/>
      <c r="AZ407" s="93"/>
      <c r="BA407" s="93"/>
      <c r="BB407" s="93"/>
      <c r="BC407" s="93"/>
      <c r="BD407" s="93"/>
      <c r="BE407" s="93"/>
      <c r="BF407" s="93"/>
      <c r="BG407" s="93"/>
      <c r="BH407" s="93"/>
      <c r="BI407" s="93"/>
      <c r="BJ407" s="93"/>
      <c r="BK407" s="93"/>
      <c r="BL407" s="93"/>
      <c r="BM407" s="93"/>
      <c r="BN407" s="93"/>
      <c r="BT407" s="93"/>
      <c r="BU407" s="93"/>
      <c r="BV407" s="93"/>
      <c r="BW407" s="93"/>
      <c r="BX407" s="93"/>
      <c r="BY407" s="93"/>
      <c r="BZ407" s="93"/>
      <c r="CA407" s="93"/>
      <c r="CB407" s="93"/>
      <c r="CC407" s="93"/>
      <c r="CD407" s="93"/>
      <c r="CE407" s="93"/>
      <c r="CF407" s="93"/>
      <c r="CG407" s="93"/>
      <c r="CH407" s="93"/>
      <c r="CI407" s="93"/>
      <c r="CJ407" s="93"/>
      <c r="CK407" s="93"/>
      <c r="CL407" s="93"/>
      <c r="CM407" s="93"/>
      <c r="CN407" s="93"/>
      <c r="CO407" s="93"/>
      <c r="CP407" s="93"/>
      <c r="CQ407" s="93"/>
      <c r="CR407" s="93"/>
      <c r="CS407" s="93"/>
      <c r="CT407" s="93"/>
      <c r="CU407" s="93"/>
      <c r="CV407" s="93"/>
      <c r="CW407" s="93"/>
      <c r="CX407" s="93"/>
      <c r="CY407" s="93"/>
      <c r="CZ407" s="93"/>
      <c r="DA407" s="93"/>
      <c r="DB407" s="93"/>
      <c r="DC407" s="93"/>
      <c r="DD407" s="93"/>
      <c r="DE407" s="93"/>
      <c r="DF407" s="93"/>
      <c r="DG407" s="93"/>
      <c r="DH407" s="93"/>
      <c r="DI407" s="826"/>
      <c r="DJ407" s="826"/>
      <c r="DK407" s="826"/>
      <c r="GP407" s="831"/>
    </row>
    <row r="408" spans="1:198" ht="15">
      <c r="A408" s="154" t="s">
        <v>7419</v>
      </c>
      <c r="C408" s="807"/>
      <c r="D408" s="1065" t="s">
        <v>296</v>
      </c>
      <c r="E408" s="1041" t="s">
        <v>296</v>
      </c>
      <c r="F408" s="807"/>
      <c r="G408" s="827"/>
      <c r="H408" s="809" t="s">
        <v>8750</v>
      </c>
      <c r="I408" s="92">
        <v>6</v>
      </c>
      <c r="J408" s="92" t="s">
        <v>10</v>
      </c>
      <c r="K408" s="92" t="s">
        <v>768</v>
      </c>
      <c r="L408" s="810">
        <v>2</v>
      </c>
      <c r="M408" s="811" t="str">
        <f t="shared" si="31"/>
        <v>Elementary Level</v>
      </c>
      <c r="O408" s="92"/>
      <c r="P408" s="1638"/>
      <c r="Q408" s="92"/>
      <c r="R408" s="92"/>
      <c r="S408" s="848"/>
      <c r="V408" s="830">
        <f>SUM(S402:U408)</f>
        <v>42000</v>
      </c>
      <c r="X408" s="811" t="str">
        <f t="shared" si="30"/>
        <v/>
      </c>
      <c r="AB408" s="830">
        <f>SUM(Y402:AA408)</f>
        <v>10500</v>
      </c>
      <c r="AC408" s="809"/>
      <c r="AD408" s="824"/>
      <c r="AG408" s="807" t="str">
        <f t="shared" si="29"/>
        <v/>
      </c>
      <c r="AH408" s="807"/>
      <c r="AI408" s="807"/>
      <c r="AJ408" s="807"/>
      <c r="AK408" s="92"/>
      <c r="AM408" s="819"/>
      <c r="AN408" s="820"/>
      <c r="AQ408" s="93"/>
      <c r="AR408" s="93"/>
      <c r="AS408" s="93"/>
      <c r="AT408" s="93"/>
      <c r="AU408" s="93"/>
      <c r="AV408" s="93"/>
      <c r="AW408" s="93"/>
      <c r="AX408" s="93"/>
      <c r="AY408" s="93"/>
      <c r="AZ408" s="93"/>
      <c r="BA408" s="93"/>
      <c r="BB408" s="93"/>
      <c r="BL408" s="93"/>
      <c r="BM408" s="93"/>
      <c r="BT408" s="93"/>
      <c r="BU408" s="93"/>
      <c r="BV408" s="93"/>
      <c r="BW408" s="93"/>
      <c r="BX408" s="93"/>
      <c r="BY408" s="93"/>
      <c r="BZ408" s="93"/>
      <c r="CA408" s="93"/>
      <c r="CB408" s="93"/>
      <c r="CC408" s="93"/>
      <c r="CF408" s="93"/>
      <c r="CG408" s="93"/>
      <c r="CH408" s="93"/>
      <c r="CI408" s="93"/>
      <c r="CJ408" s="93"/>
      <c r="CK408" s="93"/>
      <c r="CL408" s="93"/>
      <c r="CM408" s="93"/>
      <c r="CN408" s="93"/>
      <c r="CO408" s="93"/>
      <c r="CP408" s="93"/>
      <c r="CQ408" s="93"/>
      <c r="CR408" s="93"/>
      <c r="CS408" s="93"/>
      <c r="CT408" s="93"/>
      <c r="CU408" s="93"/>
      <c r="CV408" s="93"/>
      <c r="CW408" s="93"/>
      <c r="CX408" s="93"/>
      <c r="CY408" s="93"/>
      <c r="CZ408" s="93"/>
      <c r="DA408" s="93"/>
      <c r="DB408" s="93"/>
      <c r="DC408" s="93"/>
      <c r="DD408" s="93"/>
      <c r="DE408" s="93"/>
      <c r="DF408" s="93"/>
      <c r="DG408" s="93"/>
      <c r="DH408" s="93"/>
      <c r="DI408" s="93"/>
      <c r="DJ408" s="93"/>
      <c r="DK408" s="93"/>
      <c r="DL408" s="93"/>
      <c r="DM408" s="93"/>
      <c r="DN408" s="93"/>
      <c r="DO408" s="93"/>
    </row>
    <row r="409" spans="1:198" s="92" customFormat="1" ht="15">
      <c r="A409" s="154" t="s">
        <v>12443</v>
      </c>
      <c r="B409" s="288" t="s">
        <v>7533</v>
      </c>
      <c r="C409" s="171" t="s">
        <v>301</v>
      </c>
      <c r="D409" s="1065" t="s">
        <v>301</v>
      </c>
      <c r="G409" s="745" t="s">
        <v>301</v>
      </c>
      <c r="H409" s="1639" t="s">
        <v>8751</v>
      </c>
      <c r="I409" s="1044">
        <v>39</v>
      </c>
      <c r="J409" s="1044" t="s">
        <v>10</v>
      </c>
      <c r="K409" s="1044" t="s">
        <v>707</v>
      </c>
      <c r="L409" s="1640">
        <v>7</v>
      </c>
      <c r="M409" s="1641" t="str">
        <f t="shared" si="31"/>
        <v>College Graduate or Higher</v>
      </c>
      <c r="N409" s="1044" t="s">
        <v>1208</v>
      </c>
      <c r="O409" s="1044"/>
      <c r="P409" s="1643"/>
      <c r="Q409" s="1044"/>
      <c r="R409" s="1044" t="s">
        <v>8234</v>
      </c>
      <c r="S409" s="1644">
        <v>15000</v>
      </c>
      <c r="T409" s="1646"/>
      <c r="U409" s="1646"/>
      <c r="V409" s="864"/>
      <c r="W409" s="838">
        <v>3</v>
      </c>
      <c r="X409" s="811" t="str">
        <f t="shared" si="30"/>
        <v>within the Province</v>
      </c>
      <c r="Y409" s="836">
        <v>20</v>
      </c>
      <c r="Z409" s="816"/>
      <c r="AA409" s="836"/>
      <c r="AB409" s="864"/>
      <c r="AC409" s="809" t="s">
        <v>8188</v>
      </c>
      <c r="AD409" s="824"/>
      <c r="AE409" s="93"/>
      <c r="AF409" s="818"/>
      <c r="AG409" s="807" t="str">
        <f t="shared" si="29"/>
        <v/>
      </c>
      <c r="AH409" s="807"/>
      <c r="AI409" s="807"/>
      <c r="AJ409" s="807"/>
      <c r="AM409" s="819"/>
      <c r="AN409" s="820"/>
      <c r="AO409" s="817"/>
      <c r="AP409" s="820"/>
      <c r="AQ409" s="93"/>
      <c r="AR409" s="93"/>
      <c r="AS409" s="93"/>
      <c r="AT409" s="93"/>
      <c r="AU409" s="93"/>
      <c r="AV409" s="93"/>
      <c r="AW409" s="93"/>
      <c r="AX409" s="93"/>
      <c r="AY409" s="93"/>
      <c r="AZ409" s="93" t="s">
        <v>2144</v>
      </c>
      <c r="BA409" s="93"/>
      <c r="BB409" s="93"/>
      <c r="BC409" s="93"/>
      <c r="BD409" s="93"/>
      <c r="BE409" s="93"/>
      <c r="BF409" s="93"/>
      <c r="BG409" s="93"/>
      <c r="BH409" s="93"/>
      <c r="BI409" s="93"/>
      <c r="BJ409" s="93"/>
      <c r="BK409" s="93"/>
      <c r="BL409" s="93" t="s">
        <v>2144</v>
      </c>
      <c r="BM409" s="93"/>
      <c r="BN409" s="93"/>
      <c r="BT409" s="93"/>
      <c r="BU409" s="93"/>
      <c r="BV409" s="93"/>
      <c r="BW409" s="93"/>
      <c r="BX409" s="93"/>
      <c r="BY409" s="93"/>
      <c r="BZ409" s="93"/>
      <c r="CA409" s="93"/>
      <c r="CB409" s="93"/>
      <c r="CC409" s="93"/>
      <c r="CD409" s="93"/>
      <c r="CE409" s="93"/>
      <c r="CF409" s="93"/>
      <c r="CG409" s="93"/>
      <c r="CH409" s="93"/>
      <c r="CI409" s="93"/>
      <c r="CJ409" s="93"/>
      <c r="CK409" s="93"/>
      <c r="CL409" s="93"/>
      <c r="CM409" s="93"/>
      <c r="CN409" s="93"/>
      <c r="CO409" s="93"/>
      <c r="CP409" s="93"/>
      <c r="CQ409" s="93"/>
      <c r="CR409" s="93"/>
      <c r="CS409" s="93"/>
      <c r="CT409" s="93"/>
      <c r="CU409" s="93"/>
      <c r="CV409" s="93"/>
      <c r="CW409" s="93"/>
      <c r="CX409" s="93"/>
      <c r="CY409" s="93"/>
      <c r="CZ409" s="93"/>
      <c r="DA409" s="93"/>
      <c r="DB409" s="93"/>
      <c r="DC409" s="93"/>
      <c r="DD409" s="93"/>
      <c r="DE409" s="93"/>
      <c r="DF409" s="93"/>
      <c r="DG409" s="93"/>
      <c r="DH409" s="93"/>
      <c r="DI409" s="826"/>
      <c r="DJ409" s="826"/>
      <c r="DK409" s="826"/>
      <c r="GP409" s="831"/>
    </row>
    <row r="410" spans="1:198" s="92" customFormat="1" ht="15">
      <c r="A410" s="154" t="s">
        <v>12443</v>
      </c>
      <c r="C410" s="92" t="s">
        <v>301</v>
      </c>
      <c r="D410" s="1065"/>
      <c r="G410" s="827"/>
      <c r="H410" s="809" t="s">
        <v>8752</v>
      </c>
      <c r="I410" s="92">
        <v>36</v>
      </c>
      <c r="J410" s="92" t="s">
        <v>18</v>
      </c>
      <c r="K410" s="92" t="s">
        <v>707</v>
      </c>
      <c r="L410" s="810">
        <v>7</v>
      </c>
      <c r="M410" s="811" t="str">
        <f t="shared" si="31"/>
        <v>College Graduate or Higher</v>
      </c>
      <c r="N410" s="92" t="s">
        <v>1208</v>
      </c>
      <c r="P410" s="1638"/>
      <c r="R410" s="92" t="s">
        <v>8285</v>
      </c>
      <c r="S410" s="848">
        <v>15000</v>
      </c>
      <c r="T410" s="813"/>
      <c r="U410" s="813"/>
      <c r="V410" s="864"/>
      <c r="W410" s="838"/>
      <c r="X410" s="811" t="str">
        <f t="shared" si="30"/>
        <v/>
      </c>
      <c r="Y410" s="836"/>
      <c r="Z410" s="836"/>
      <c r="AA410" s="836"/>
      <c r="AB410" s="864"/>
      <c r="AC410" s="809" t="s">
        <v>8188</v>
      </c>
      <c r="AD410" s="824"/>
      <c r="AE410" s="93"/>
      <c r="AF410" s="818"/>
      <c r="AG410" s="807" t="str">
        <f t="shared" si="29"/>
        <v/>
      </c>
      <c r="AH410" s="807"/>
      <c r="AI410" s="807"/>
      <c r="AJ410" s="807"/>
      <c r="AM410" s="819"/>
      <c r="AN410" s="820"/>
      <c r="AO410" s="817"/>
      <c r="AP410" s="820"/>
      <c r="AQ410" s="93"/>
      <c r="AR410" s="93"/>
      <c r="AS410" s="93"/>
      <c r="AT410" s="93"/>
      <c r="AU410" s="93"/>
      <c r="AV410" s="93"/>
      <c r="AW410" s="93"/>
      <c r="AX410" s="93"/>
      <c r="AY410" s="93"/>
      <c r="AZ410" s="93"/>
      <c r="BA410" s="93"/>
      <c r="BB410" s="93"/>
      <c r="BC410" s="93"/>
      <c r="BD410" s="93"/>
      <c r="BE410" s="93"/>
      <c r="BF410" s="93"/>
      <c r="BG410" s="93"/>
      <c r="BH410" s="93"/>
      <c r="BI410" s="93"/>
      <c r="BJ410" s="93"/>
      <c r="BK410" s="93"/>
      <c r="BL410" s="93"/>
      <c r="BM410" s="93"/>
      <c r="BN410" s="93"/>
      <c r="BT410" s="93"/>
      <c r="BU410" s="93"/>
      <c r="BV410" s="93"/>
      <c r="BW410" s="93"/>
      <c r="BX410" s="93"/>
      <c r="BY410" s="93"/>
      <c r="BZ410" s="93"/>
      <c r="CA410" s="93"/>
      <c r="CB410" s="93"/>
      <c r="CC410" s="93"/>
      <c r="CD410" s="93"/>
      <c r="CE410" s="93"/>
      <c r="CF410" s="93"/>
      <c r="CG410" s="93"/>
      <c r="CH410" s="93"/>
      <c r="CI410" s="93"/>
      <c r="CJ410" s="93"/>
      <c r="CK410" s="93"/>
      <c r="CL410" s="93"/>
      <c r="CM410" s="93"/>
      <c r="CN410" s="93"/>
      <c r="CO410" s="93"/>
      <c r="CP410" s="93"/>
      <c r="CQ410" s="93"/>
      <c r="CR410" s="93"/>
      <c r="CS410" s="93"/>
      <c r="CT410" s="93"/>
      <c r="CU410" s="93"/>
      <c r="CV410" s="93"/>
      <c r="CW410" s="93"/>
      <c r="CX410" s="93"/>
      <c r="CY410" s="93"/>
      <c r="CZ410" s="93"/>
      <c r="DA410" s="93"/>
      <c r="DB410" s="93"/>
      <c r="DC410" s="93"/>
      <c r="DD410" s="93"/>
      <c r="DE410" s="93"/>
      <c r="DF410" s="93"/>
      <c r="DG410" s="93"/>
      <c r="DH410" s="93"/>
      <c r="DI410" s="826"/>
      <c r="DJ410" s="826"/>
      <c r="DK410" s="826"/>
      <c r="GP410" s="831"/>
    </row>
    <row r="411" spans="1:198" ht="15">
      <c r="A411" s="154" t="s">
        <v>12443</v>
      </c>
      <c r="C411" s="807" t="s">
        <v>301</v>
      </c>
      <c r="D411" s="1065"/>
      <c r="E411" s="807"/>
      <c r="F411" s="807"/>
      <c r="G411" s="827"/>
      <c r="H411" s="809" t="s">
        <v>8753</v>
      </c>
      <c r="I411" s="92">
        <v>11</v>
      </c>
      <c r="J411" s="92" t="s">
        <v>10</v>
      </c>
      <c r="K411" s="92" t="s">
        <v>768</v>
      </c>
      <c r="L411" s="810">
        <v>11</v>
      </c>
      <c r="M411" s="811" t="str">
        <f t="shared" si="31"/>
        <v>Junior/Senior High School</v>
      </c>
      <c r="P411" s="1638"/>
      <c r="S411" s="848"/>
      <c r="X411" s="811" t="str">
        <f t="shared" si="30"/>
        <v/>
      </c>
      <c r="AB411" s="814"/>
      <c r="AC411" s="809"/>
      <c r="AD411" s="824"/>
      <c r="AG411" s="807" t="str">
        <f t="shared" si="29"/>
        <v/>
      </c>
      <c r="AH411" s="807"/>
      <c r="AI411" s="807"/>
      <c r="AJ411" s="807"/>
      <c r="AK411" s="92"/>
      <c r="AM411" s="819"/>
      <c r="AN411" s="820"/>
      <c r="AQ411" s="93"/>
      <c r="AR411" s="93"/>
      <c r="AS411" s="93"/>
      <c r="AT411" s="93"/>
      <c r="AU411" s="93"/>
      <c r="AV411" s="93"/>
      <c r="AW411" s="93"/>
      <c r="AX411" s="93"/>
      <c r="AY411" s="93"/>
      <c r="AZ411" s="93"/>
      <c r="BA411" s="93"/>
      <c r="BB411" s="93"/>
      <c r="BL411" s="93"/>
      <c r="BM411" s="93"/>
      <c r="BT411" s="93"/>
      <c r="BU411" s="93"/>
      <c r="BV411" s="93"/>
      <c r="BW411" s="93"/>
      <c r="BX411" s="93"/>
      <c r="BY411" s="93"/>
      <c r="BZ411" s="93"/>
      <c r="CA411" s="93"/>
      <c r="CB411" s="93"/>
      <c r="CC411" s="93"/>
      <c r="CF411" s="93"/>
      <c r="CG411" s="93"/>
      <c r="CH411" s="93"/>
      <c r="CI411" s="93"/>
      <c r="CJ411" s="93"/>
      <c r="CK411" s="93"/>
      <c r="CL411" s="93"/>
      <c r="CM411" s="93"/>
      <c r="CN411" s="93"/>
      <c r="CO411" s="93"/>
      <c r="CP411" s="93"/>
      <c r="CQ411" s="93"/>
      <c r="CR411" s="93"/>
      <c r="CS411" s="93"/>
      <c r="CT411" s="93"/>
      <c r="CU411" s="93"/>
      <c r="CV411" s="93"/>
      <c r="CW411" s="93"/>
      <c r="CX411" s="93"/>
      <c r="CY411" s="93"/>
      <c r="CZ411" s="93"/>
      <c r="DA411" s="93"/>
      <c r="DB411" s="93"/>
      <c r="DC411" s="93"/>
      <c r="DD411" s="93"/>
      <c r="DE411" s="93"/>
      <c r="DF411" s="93"/>
      <c r="DG411" s="93"/>
      <c r="DH411" s="93"/>
      <c r="DI411" s="93"/>
      <c r="DJ411" s="93"/>
      <c r="DK411" s="93"/>
      <c r="DL411" s="93"/>
      <c r="DM411" s="93"/>
      <c r="DN411" s="93"/>
      <c r="DO411" s="93"/>
    </row>
    <row r="412" spans="1:198" ht="15">
      <c r="A412" s="154" t="s">
        <v>12443</v>
      </c>
      <c r="C412" s="807" t="s">
        <v>301</v>
      </c>
      <c r="D412" s="1065"/>
      <c r="E412" s="807"/>
      <c r="F412" s="807"/>
      <c r="G412" s="827"/>
      <c r="H412" s="809" t="s">
        <v>8754</v>
      </c>
      <c r="I412" s="92">
        <v>6</v>
      </c>
      <c r="J412" s="92" t="s">
        <v>10</v>
      </c>
      <c r="K412" s="92" t="s">
        <v>768</v>
      </c>
      <c r="L412" s="810">
        <v>2</v>
      </c>
      <c r="M412" s="811" t="str">
        <f t="shared" si="31"/>
        <v>Elementary Level</v>
      </c>
      <c r="P412" s="1638"/>
      <c r="S412" s="848"/>
      <c r="X412" s="811" t="str">
        <f t="shared" si="30"/>
        <v/>
      </c>
      <c r="AB412" s="814"/>
      <c r="AC412" s="809"/>
      <c r="AD412" s="824"/>
      <c r="AG412" s="807" t="str">
        <f t="shared" si="29"/>
        <v/>
      </c>
      <c r="AH412" s="807"/>
      <c r="AI412" s="807"/>
      <c r="AJ412" s="807"/>
      <c r="AK412" s="92"/>
      <c r="AM412" s="819"/>
      <c r="AN412" s="820"/>
      <c r="AQ412" s="93"/>
      <c r="AR412" s="93"/>
      <c r="AS412" s="93"/>
      <c r="AT412" s="93"/>
      <c r="AU412" s="93"/>
      <c r="AV412" s="93"/>
      <c r="AW412" s="93"/>
      <c r="AX412" s="93"/>
      <c r="AY412" s="93"/>
      <c r="AZ412" s="93"/>
      <c r="BA412" s="93"/>
      <c r="BB412" s="93"/>
      <c r="BL412" s="93"/>
      <c r="BM412" s="93"/>
      <c r="BT412" s="93"/>
      <c r="BU412" s="93"/>
      <c r="BV412" s="93"/>
      <c r="BW412" s="93"/>
      <c r="BX412" s="93"/>
      <c r="BY412" s="93"/>
      <c r="BZ412" s="93"/>
      <c r="CA412" s="93"/>
      <c r="CB412" s="93"/>
      <c r="CC412" s="93"/>
      <c r="CF412" s="93"/>
      <c r="CG412" s="93"/>
      <c r="CH412" s="93"/>
      <c r="CI412" s="93"/>
      <c r="CJ412" s="93"/>
      <c r="CK412" s="93"/>
      <c r="CL412" s="93"/>
      <c r="CM412" s="93"/>
      <c r="CN412" s="93"/>
      <c r="CO412" s="93"/>
      <c r="CP412" s="93"/>
      <c r="CQ412" s="93"/>
      <c r="CR412" s="93"/>
      <c r="CS412" s="93"/>
      <c r="CT412" s="93"/>
      <c r="CU412" s="93"/>
      <c r="CV412" s="93"/>
      <c r="CW412" s="93"/>
      <c r="CX412" s="93"/>
      <c r="CY412" s="93"/>
      <c r="CZ412" s="93"/>
      <c r="DA412" s="93"/>
      <c r="DB412" s="93"/>
      <c r="DC412" s="93"/>
      <c r="DD412" s="93"/>
      <c r="DE412" s="93"/>
      <c r="DF412" s="93"/>
      <c r="DG412" s="93"/>
      <c r="DH412" s="93"/>
      <c r="DI412" s="93"/>
      <c r="DJ412" s="93"/>
      <c r="DK412" s="93"/>
      <c r="DL412" s="93"/>
      <c r="DM412" s="93"/>
      <c r="DN412" s="93"/>
      <c r="DO412" s="93"/>
    </row>
    <row r="413" spans="1:198" ht="15">
      <c r="A413" s="154" t="s">
        <v>12443</v>
      </c>
      <c r="C413" s="807" t="s">
        <v>301</v>
      </c>
      <c r="D413" s="1065"/>
      <c r="E413" s="807"/>
      <c r="F413" s="807"/>
      <c r="G413" s="827"/>
      <c r="H413" s="809" t="s">
        <v>8755</v>
      </c>
      <c r="I413" s="92">
        <v>40</v>
      </c>
      <c r="J413" s="92" t="s">
        <v>10</v>
      </c>
      <c r="K413" s="92" t="s">
        <v>768</v>
      </c>
      <c r="L413" s="810">
        <v>7</v>
      </c>
      <c r="M413" s="811" t="str">
        <f t="shared" si="31"/>
        <v>College Graduate or Higher</v>
      </c>
      <c r="O413" s="92"/>
      <c r="P413" s="1638"/>
      <c r="Q413" s="92"/>
      <c r="R413" s="92"/>
      <c r="S413" s="848"/>
      <c r="X413" s="811" t="str">
        <f t="shared" si="30"/>
        <v/>
      </c>
      <c r="AB413" s="814"/>
      <c r="AC413" s="809"/>
      <c r="AD413" s="824"/>
      <c r="AG413" s="807" t="str">
        <f t="shared" si="29"/>
        <v/>
      </c>
      <c r="AH413" s="807"/>
      <c r="AI413" s="807"/>
      <c r="AJ413" s="807"/>
      <c r="AK413" s="92"/>
      <c r="AM413" s="819"/>
      <c r="AN413" s="820"/>
      <c r="AQ413" s="93"/>
      <c r="AR413" s="93"/>
      <c r="AS413" s="93"/>
      <c r="AT413" s="93"/>
      <c r="AU413" s="93"/>
      <c r="AV413" s="93"/>
      <c r="AW413" s="93"/>
      <c r="AX413" s="93"/>
      <c r="AY413" s="93"/>
      <c r="AZ413" s="93"/>
      <c r="BA413" s="93"/>
      <c r="BB413" s="93"/>
      <c r="BL413" s="93"/>
      <c r="BM413" s="93"/>
      <c r="BT413" s="93"/>
      <c r="BU413" s="93"/>
      <c r="BV413" s="93"/>
      <c r="BW413" s="93"/>
      <c r="BX413" s="93"/>
      <c r="BY413" s="93"/>
      <c r="BZ413" s="93"/>
      <c r="CA413" s="93"/>
      <c r="CB413" s="93"/>
      <c r="CC413" s="93"/>
      <c r="CF413" s="93"/>
      <c r="CG413" s="93"/>
      <c r="CH413" s="93"/>
      <c r="CI413" s="93"/>
      <c r="CJ413" s="93"/>
      <c r="CK413" s="93"/>
      <c r="CL413" s="93"/>
      <c r="CM413" s="93"/>
      <c r="CN413" s="93"/>
      <c r="CO413" s="93"/>
      <c r="CP413" s="93"/>
      <c r="CQ413" s="93"/>
      <c r="CR413" s="93"/>
      <c r="CS413" s="93"/>
      <c r="CT413" s="93"/>
      <c r="CU413" s="93"/>
      <c r="CV413" s="93"/>
      <c r="CW413" s="93"/>
      <c r="CX413" s="93"/>
      <c r="CY413" s="93"/>
      <c r="CZ413" s="93"/>
      <c r="DA413" s="93"/>
      <c r="DB413" s="93"/>
      <c r="DC413" s="93"/>
      <c r="DD413" s="93"/>
      <c r="DE413" s="93"/>
      <c r="DF413" s="93"/>
      <c r="DG413" s="93"/>
      <c r="DH413" s="93"/>
      <c r="DI413" s="93"/>
      <c r="DJ413" s="93"/>
      <c r="DK413" s="93"/>
      <c r="DL413" s="93"/>
      <c r="DM413" s="93"/>
      <c r="DN413" s="93"/>
      <c r="DO413" s="93"/>
    </row>
    <row r="414" spans="1:198" ht="15">
      <c r="A414" s="154" t="s">
        <v>12443</v>
      </c>
      <c r="C414" s="807" t="s">
        <v>301</v>
      </c>
      <c r="D414" s="1065"/>
      <c r="E414" s="807"/>
      <c r="F414" s="807"/>
      <c r="G414" s="827"/>
      <c r="H414" s="809" t="s">
        <v>8756</v>
      </c>
      <c r="I414" s="857">
        <v>60</v>
      </c>
      <c r="J414" s="92" t="s">
        <v>18</v>
      </c>
      <c r="K414" s="92" t="s">
        <v>707</v>
      </c>
      <c r="L414" s="810">
        <v>2</v>
      </c>
      <c r="M414" s="811" t="str">
        <f t="shared" si="31"/>
        <v>Elementary Level</v>
      </c>
      <c r="P414" s="1638"/>
      <c r="S414" s="848"/>
      <c r="V414" s="814">
        <f>SUM(S409:U414)</f>
        <v>30000</v>
      </c>
      <c r="X414" s="811" t="str">
        <f t="shared" si="30"/>
        <v/>
      </c>
      <c r="AB414" s="814">
        <f>SUM(Y409:AA414)</f>
        <v>20</v>
      </c>
      <c r="AC414" s="809"/>
      <c r="AD414" s="824"/>
      <c r="AG414" s="807" t="str">
        <f t="shared" si="29"/>
        <v/>
      </c>
      <c r="AH414" s="807"/>
      <c r="AI414" s="807"/>
      <c r="AJ414" s="807"/>
      <c r="AK414" s="92"/>
      <c r="AM414" s="819"/>
      <c r="AN414" s="820"/>
      <c r="AQ414" s="93"/>
      <c r="AR414" s="93"/>
      <c r="AS414" s="93"/>
      <c r="AT414" s="93"/>
      <c r="AU414" s="93"/>
      <c r="AV414" s="93"/>
      <c r="AW414" s="93"/>
      <c r="AX414" s="93"/>
      <c r="AY414" s="93"/>
      <c r="AZ414" s="93"/>
      <c r="BA414" s="93"/>
      <c r="BB414" s="93"/>
      <c r="BL414" s="93"/>
      <c r="BM414" s="93"/>
      <c r="BT414" s="93"/>
      <c r="BU414" s="93"/>
      <c r="BV414" s="93"/>
      <c r="BW414" s="93"/>
      <c r="BX414" s="93"/>
      <c r="BY414" s="93"/>
      <c r="BZ414" s="93"/>
      <c r="CA414" s="93"/>
      <c r="CB414" s="93"/>
      <c r="CC414" s="93"/>
      <c r="CF414" s="93"/>
      <c r="CG414" s="93"/>
      <c r="CH414" s="93"/>
      <c r="CI414" s="93"/>
      <c r="CJ414" s="93"/>
      <c r="CK414" s="93"/>
      <c r="CL414" s="93"/>
      <c r="CM414" s="93"/>
      <c r="CN414" s="93"/>
      <c r="CO414" s="93"/>
      <c r="CP414" s="93"/>
      <c r="CQ414" s="93"/>
      <c r="CR414" s="93"/>
      <c r="CS414" s="93"/>
      <c r="CT414" s="93"/>
      <c r="CU414" s="93"/>
      <c r="CV414" s="93"/>
      <c r="CW414" s="93"/>
      <c r="CX414" s="93"/>
      <c r="CY414" s="93"/>
      <c r="CZ414" s="93"/>
      <c r="DA414" s="93"/>
      <c r="DB414" s="93"/>
      <c r="DC414" s="93"/>
      <c r="DD414" s="93"/>
      <c r="DE414" s="93"/>
      <c r="DF414" s="93"/>
      <c r="DG414" s="93"/>
      <c r="DH414" s="93"/>
      <c r="DI414" s="93"/>
      <c r="DJ414" s="93"/>
      <c r="DK414" s="93"/>
      <c r="DL414" s="93"/>
      <c r="DM414" s="93"/>
      <c r="DN414" s="93"/>
      <c r="DO414" s="93"/>
    </row>
    <row r="415" spans="1:198" ht="15">
      <c r="A415" s="807"/>
      <c r="C415" s="807"/>
      <c r="D415" s="1065" t="s">
        <v>307</v>
      </c>
      <c r="E415" s="807"/>
      <c r="F415" s="807"/>
      <c r="G415" s="809" t="s">
        <v>307</v>
      </c>
      <c r="H415" s="809" t="s">
        <v>2073</v>
      </c>
      <c r="I415" s="92">
        <v>34</v>
      </c>
      <c r="J415" s="92" t="s">
        <v>10</v>
      </c>
      <c r="K415" s="92" t="s">
        <v>722</v>
      </c>
      <c r="L415" s="810">
        <v>3</v>
      </c>
      <c r="M415" s="811" t="str">
        <f t="shared" si="31"/>
        <v>Elementary Graduate</v>
      </c>
      <c r="N415" s="92" t="s">
        <v>1208</v>
      </c>
      <c r="O415" s="92" t="s">
        <v>8757</v>
      </c>
      <c r="P415" s="1638"/>
      <c r="Q415" s="92" t="s">
        <v>8757</v>
      </c>
      <c r="R415" s="92" t="s">
        <v>8234</v>
      </c>
      <c r="S415" s="813">
        <v>2000</v>
      </c>
      <c r="V415" s="828"/>
      <c r="W415" s="815">
        <v>1</v>
      </c>
      <c r="X415" s="811" t="str">
        <f t="shared" si="30"/>
        <v>within the Brgy</v>
      </c>
      <c r="AB415" s="828"/>
      <c r="AC415" s="809"/>
      <c r="AD415" s="824"/>
      <c r="AG415" s="807" t="str">
        <f t="shared" si="29"/>
        <v/>
      </c>
      <c r="AH415" s="809"/>
      <c r="AI415" s="809"/>
      <c r="AJ415" s="809"/>
      <c r="AK415" s="92"/>
      <c r="AM415" s="819"/>
      <c r="AN415" s="820"/>
      <c r="AQ415" s="93"/>
      <c r="AR415" s="93"/>
      <c r="AS415" s="93"/>
      <c r="AT415" s="93"/>
      <c r="AU415" s="93"/>
      <c r="AV415" s="93"/>
      <c r="AW415" s="93">
        <v>2</v>
      </c>
      <c r="AX415" s="93"/>
      <c r="AY415" s="93"/>
      <c r="AZ415" s="93"/>
      <c r="BA415" s="93">
        <v>1</v>
      </c>
      <c r="BB415" s="93"/>
      <c r="BL415" s="93"/>
      <c r="BM415" s="93"/>
      <c r="BN415" s="93" t="s">
        <v>8758</v>
      </c>
      <c r="BT415" s="93"/>
      <c r="BU415" s="93"/>
      <c r="BV415" s="93"/>
      <c r="BW415" s="93"/>
      <c r="BX415" s="93"/>
      <c r="BY415" s="93"/>
      <c r="BZ415" s="93"/>
      <c r="CA415" s="93"/>
      <c r="CB415" s="93"/>
      <c r="CC415" s="93"/>
      <c r="CF415" s="93"/>
      <c r="CG415" s="93"/>
      <c r="CH415" s="93"/>
      <c r="CI415" s="93"/>
      <c r="CJ415" s="93"/>
      <c r="CK415" s="93"/>
      <c r="CL415" s="93"/>
      <c r="CM415" s="93"/>
      <c r="CN415" s="93"/>
      <c r="CO415" s="93"/>
      <c r="CP415" s="93"/>
      <c r="CQ415" s="93"/>
      <c r="CR415" s="93"/>
      <c r="CS415" s="93"/>
      <c r="CT415" s="93"/>
      <c r="CU415" s="93"/>
      <c r="CV415" s="93"/>
      <c r="CW415" s="93"/>
      <c r="CX415" s="93"/>
      <c r="CY415" s="93"/>
      <c r="CZ415" s="93"/>
      <c r="DA415" s="93"/>
      <c r="DB415" s="93"/>
      <c r="DC415" s="93"/>
      <c r="DD415" s="93"/>
      <c r="DE415" s="93"/>
      <c r="DF415" s="93"/>
      <c r="DG415" s="93"/>
      <c r="DH415" s="93"/>
      <c r="DI415" s="93"/>
      <c r="DJ415" s="93"/>
      <c r="DK415" s="93"/>
      <c r="DL415" s="93"/>
      <c r="DM415" s="93"/>
      <c r="DN415" s="93"/>
      <c r="DO415" s="93"/>
    </row>
    <row r="416" spans="1:198" ht="15">
      <c r="A416" s="807"/>
      <c r="C416" s="807"/>
      <c r="D416" s="1065"/>
      <c r="E416" s="807"/>
      <c r="F416" s="807"/>
      <c r="G416" s="827"/>
      <c r="H416" s="809" t="s">
        <v>8759</v>
      </c>
      <c r="I416" s="92">
        <v>26</v>
      </c>
      <c r="J416" s="92" t="s">
        <v>18</v>
      </c>
      <c r="K416" s="92" t="s">
        <v>722</v>
      </c>
      <c r="L416" s="810">
        <v>7</v>
      </c>
      <c r="M416" s="811" t="str">
        <f t="shared" si="31"/>
        <v>College Graduate or Higher</v>
      </c>
      <c r="N416" s="92" t="s">
        <v>1208</v>
      </c>
      <c r="O416" s="92" t="s">
        <v>835</v>
      </c>
      <c r="P416" s="1638"/>
      <c r="Q416" s="92" t="s">
        <v>835</v>
      </c>
      <c r="R416" s="92" t="s">
        <v>8285</v>
      </c>
      <c r="S416" s="813">
        <v>12000</v>
      </c>
      <c r="V416" s="828">
        <f>SUM(S415:U416)</f>
        <v>14000</v>
      </c>
      <c r="W416" s="815">
        <v>4</v>
      </c>
      <c r="X416" s="811" t="str">
        <f t="shared" si="30"/>
        <v>Other Province</v>
      </c>
      <c r="Y416" s="816">
        <v>60</v>
      </c>
      <c r="AB416" s="828">
        <f>SUM(Y415:AA416)</f>
        <v>60</v>
      </c>
      <c r="AC416" s="809"/>
      <c r="AD416" s="824"/>
      <c r="AG416" s="807" t="str">
        <f t="shared" si="29"/>
        <v/>
      </c>
      <c r="AH416" s="809"/>
      <c r="AI416" s="809"/>
      <c r="AJ416" s="809"/>
      <c r="AK416" s="92"/>
      <c r="AM416" s="819"/>
      <c r="AN416" s="820"/>
      <c r="AQ416" s="93"/>
      <c r="AR416" s="93"/>
      <c r="AS416" s="93"/>
      <c r="AT416" s="93"/>
      <c r="AU416" s="93"/>
      <c r="AV416" s="93"/>
      <c r="AW416" s="93"/>
      <c r="AX416" s="93"/>
      <c r="AY416" s="93"/>
      <c r="AZ416" s="93"/>
      <c r="BA416" s="93"/>
      <c r="BB416" s="93"/>
      <c r="BL416" s="93"/>
      <c r="BM416" s="93"/>
      <c r="BT416" s="93"/>
      <c r="BU416" s="93"/>
      <c r="BV416" s="93"/>
      <c r="BW416" s="93"/>
      <c r="BX416" s="93"/>
      <c r="BY416" s="93"/>
      <c r="BZ416" s="93"/>
      <c r="CA416" s="93"/>
      <c r="CB416" s="93"/>
      <c r="CC416" s="93"/>
      <c r="CF416" s="93"/>
      <c r="CG416" s="93"/>
      <c r="CH416" s="93"/>
      <c r="CI416" s="93"/>
      <c r="CJ416" s="93"/>
      <c r="CK416" s="93"/>
      <c r="CL416" s="93"/>
      <c r="CM416" s="93"/>
      <c r="CN416" s="93"/>
      <c r="CO416" s="93"/>
      <c r="CP416" s="93"/>
      <c r="CQ416" s="93"/>
      <c r="CR416" s="93"/>
      <c r="CS416" s="93"/>
      <c r="CT416" s="93"/>
      <c r="CU416" s="93"/>
      <c r="CV416" s="93"/>
      <c r="CW416" s="93"/>
      <c r="CX416" s="93"/>
      <c r="CY416" s="93"/>
      <c r="CZ416" s="93"/>
      <c r="DA416" s="93"/>
      <c r="DB416" s="93"/>
      <c r="DC416" s="93"/>
      <c r="DD416" s="93"/>
      <c r="DE416" s="93"/>
      <c r="DF416" s="93"/>
      <c r="DG416" s="93"/>
      <c r="DH416" s="93"/>
      <c r="DI416" s="93"/>
      <c r="DJ416" s="93"/>
      <c r="DK416" s="93"/>
      <c r="DL416" s="93"/>
      <c r="DM416" s="93"/>
      <c r="DN416" s="93"/>
      <c r="DO416" s="93"/>
    </row>
    <row r="417" spans="1:119" ht="15">
      <c r="A417" s="807"/>
      <c r="C417" s="807"/>
      <c r="D417" s="1065" t="s">
        <v>313</v>
      </c>
      <c r="E417" s="807"/>
      <c r="F417" s="807"/>
      <c r="G417" s="809" t="s">
        <v>313</v>
      </c>
      <c r="H417" s="809" t="s">
        <v>8760</v>
      </c>
      <c r="I417" s="92">
        <v>34</v>
      </c>
      <c r="J417" s="92" t="s">
        <v>10</v>
      </c>
      <c r="K417" s="92" t="s">
        <v>722</v>
      </c>
      <c r="L417" s="810">
        <v>4</v>
      </c>
      <c r="M417" s="811" t="str">
        <f t="shared" si="31"/>
        <v>High School Level</v>
      </c>
      <c r="N417" s="92" t="s">
        <v>1208</v>
      </c>
      <c r="O417" s="92" t="s">
        <v>8761</v>
      </c>
      <c r="P417" s="1638"/>
      <c r="Q417" s="92" t="s">
        <v>8761</v>
      </c>
      <c r="R417" s="92" t="s">
        <v>8234</v>
      </c>
      <c r="S417" s="813">
        <v>2000</v>
      </c>
      <c r="V417" s="830"/>
      <c r="W417" s="815">
        <v>3</v>
      </c>
      <c r="X417" s="811" t="str">
        <f t="shared" si="30"/>
        <v>within the Province</v>
      </c>
      <c r="AB417" s="830"/>
      <c r="AC417" s="809" t="s">
        <v>2214</v>
      </c>
      <c r="AD417" s="824"/>
      <c r="AG417" s="807" t="str">
        <f t="shared" si="29"/>
        <v/>
      </c>
      <c r="AH417" s="809"/>
      <c r="AI417" s="809"/>
      <c r="AJ417" s="809"/>
      <c r="AK417" s="92"/>
      <c r="AM417" s="819"/>
      <c r="AN417" s="820"/>
      <c r="AQ417" s="93"/>
      <c r="AR417" s="93"/>
      <c r="AS417" s="93"/>
      <c r="AT417" s="93"/>
      <c r="AU417" s="93"/>
      <c r="AV417" s="93"/>
      <c r="AW417" s="93"/>
      <c r="AX417" s="93"/>
      <c r="AY417" s="93"/>
      <c r="AZ417" s="93"/>
      <c r="BA417" s="93"/>
      <c r="BB417" s="93"/>
      <c r="BL417" s="93"/>
      <c r="BM417" s="93"/>
      <c r="BT417" s="93"/>
      <c r="BU417" s="93"/>
      <c r="BV417" s="93"/>
      <c r="BW417" s="93"/>
      <c r="BX417" s="93"/>
      <c r="BY417" s="93"/>
      <c r="BZ417" s="93"/>
      <c r="CA417" s="93"/>
      <c r="CB417" s="93"/>
      <c r="CC417" s="93"/>
      <c r="CF417" s="93"/>
      <c r="CG417" s="93"/>
      <c r="CH417" s="93"/>
      <c r="CI417" s="93"/>
      <c r="CJ417" s="93"/>
      <c r="CK417" s="93"/>
      <c r="CL417" s="93"/>
      <c r="CM417" s="93"/>
      <c r="CN417" s="93"/>
      <c r="CO417" s="93"/>
      <c r="CP417" s="93"/>
      <c r="CQ417" s="93"/>
      <c r="CR417" s="93"/>
      <c r="CS417" s="93"/>
      <c r="CT417" s="93"/>
      <c r="CU417" s="93"/>
      <c r="CV417" s="93"/>
      <c r="CW417" s="93"/>
      <c r="CX417" s="93"/>
      <c r="CY417" s="93"/>
      <c r="CZ417" s="93"/>
      <c r="DA417" s="93"/>
      <c r="DB417" s="93"/>
      <c r="DC417" s="93"/>
      <c r="DD417" s="93"/>
      <c r="DE417" s="93"/>
      <c r="DF417" s="93"/>
      <c r="DG417" s="93"/>
      <c r="DH417" s="93"/>
      <c r="DI417" s="93"/>
      <c r="DJ417" s="93"/>
      <c r="DK417" s="93"/>
      <c r="DL417" s="93"/>
      <c r="DM417" s="93"/>
      <c r="DN417" s="93"/>
      <c r="DO417" s="93"/>
    </row>
    <row r="418" spans="1:119" ht="15">
      <c r="A418" s="807"/>
      <c r="C418" s="807"/>
      <c r="D418" s="1065"/>
      <c r="E418" s="807"/>
      <c r="F418" s="807"/>
      <c r="G418" s="827"/>
      <c r="H418" s="809" t="s">
        <v>8762</v>
      </c>
      <c r="I418" s="92">
        <v>22</v>
      </c>
      <c r="J418" s="92" t="s">
        <v>8763</v>
      </c>
      <c r="K418" s="92" t="s">
        <v>722</v>
      </c>
      <c r="L418" s="810">
        <v>4</v>
      </c>
      <c r="M418" s="811" t="str">
        <f t="shared" si="31"/>
        <v>High School Level</v>
      </c>
      <c r="N418" s="92" t="s">
        <v>1208</v>
      </c>
      <c r="O418" s="92" t="s">
        <v>1907</v>
      </c>
      <c r="P418" s="1638"/>
      <c r="Q418" s="92" t="s">
        <v>1907</v>
      </c>
      <c r="R418" s="92" t="s">
        <v>8234</v>
      </c>
      <c r="S418" s="813">
        <v>4000</v>
      </c>
      <c r="V418" s="830">
        <f>SUM(S417:U418)</f>
        <v>6000</v>
      </c>
      <c r="W418" s="815">
        <v>2</v>
      </c>
      <c r="X418" s="811" t="str">
        <f t="shared" si="30"/>
        <v>within the Municipality/City</v>
      </c>
      <c r="Y418" s="816">
        <v>500</v>
      </c>
      <c r="AB418" s="830">
        <f>SUM(Y417:AA418)</f>
        <v>500</v>
      </c>
      <c r="AC418" s="809" t="s">
        <v>8428</v>
      </c>
      <c r="AD418" s="824"/>
      <c r="AG418" s="807" t="str">
        <f t="shared" si="29"/>
        <v/>
      </c>
      <c r="AH418" s="809"/>
      <c r="AI418" s="809"/>
      <c r="AJ418" s="809"/>
      <c r="AK418" s="92"/>
      <c r="AM418" s="819"/>
      <c r="AN418" s="820"/>
      <c r="AQ418" s="93"/>
      <c r="AR418" s="93"/>
      <c r="AS418" s="93"/>
      <c r="AT418" s="93"/>
      <c r="AU418" s="93"/>
      <c r="AV418" s="93"/>
      <c r="AW418" s="93"/>
      <c r="AX418" s="93"/>
      <c r="AY418" s="93"/>
      <c r="AZ418" s="93"/>
      <c r="BA418" s="93"/>
      <c r="BB418" s="93"/>
      <c r="BL418" s="93"/>
      <c r="BM418" s="93"/>
      <c r="BT418" s="93"/>
      <c r="BU418" s="93"/>
      <c r="BV418" s="93"/>
      <c r="BW418" s="93"/>
      <c r="BX418" s="93"/>
      <c r="BY418" s="93"/>
      <c r="BZ418" s="93"/>
      <c r="CA418" s="93"/>
      <c r="CB418" s="93"/>
      <c r="CC418" s="93"/>
      <c r="CF418" s="93"/>
      <c r="CG418" s="93"/>
      <c r="CH418" s="93"/>
      <c r="CI418" s="93"/>
      <c r="CJ418" s="93"/>
      <c r="CK418" s="93"/>
      <c r="CL418" s="93"/>
      <c r="CM418" s="93"/>
      <c r="CN418" s="93"/>
      <c r="CO418" s="93"/>
      <c r="CP418" s="93"/>
      <c r="CQ418" s="93"/>
      <c r="CR418" s="93"/>
      <c r="CS418" s="93"/>
      <c r="CT418" s="93"/>
      <c r="CU418" s="93"/>
      <c r="CV418" s="93"/>
      <c r="CW418" s="93"/>
      <c r="CX418" s="93"/>
      <c r="CY418" s="93"/>
      <c r="CZ418" s="93"/>
      <c r="DA418" s="93"/>
      <c r="DB418" s="93"/>
      <c r="DC418" s="93"/>
      <c r="DD418" s="93"/>
      <c r="DE418" s="93"/>
      <c r="DF418" s="93"/>
      <c r="DG418" s="93"/>
      <c r="DH418" s="93"/>
      <c r="DI418" s="93"/>
      <c r="DJ418" s="93"/>
      <c r="DK418" s="93"/>
      <c r="DL418" s="93"/>
      <c r="DM418" s="93"/>
      <c r="DN418" s="93"/>
      <c r="DO418" s="93"/>
    </row>
    <row r="419" spans="1:119" ht="15">
      <c r="A419" s="807"/>
      <c r="C419" s="807"/>
      <c r="D419" s="1065" t="s">
        <v>314</v>
      </c>
      <c r="E419" s="807"/>
      <c r="F419" s="807"/>
      <c r="G419" s="809" t="s">
        <v>314</v>
      </c>
      <c r="H419" s="809" t="s">
        <v>2074</v>
      </c>
      <c r="I419" s="92">
        <v>42</v>
      </c>
      <c r="J419" s="92" t="s">
        <v>18</v>
      </c>
      <c r="K419" s="92" t="s">
        <v>783</v>
      </c>
      <c r="L419" s="810">
        <v>5</v>
      </c>
      <c r="M419" s="811" t="str">
        <f t="shared" si="31"/>
        <v>High School Graduate</v>
      </c>
      <c r="N419" s="92" t="s">
        <v>1208</v>
      </c>
      <c r="O419" s="92" t="s">
        <v>8764</v>
      </c>
      <c r="P419" s="1638"/>
      <c r="Q419" s="92" t="s">
        <v>8764</v>
      </c>
      <c r="R419" s="92" t="s">
        <v>8234</v>
      </c>
      <c r="S419" s="813">
        <v>6500</v>
      </c>
      <c r="U419" s="813">
        <v>2000</v>
      </c>
      <c r="W419" s="815">
        <v>3</v>
      </c>
      <c r="X419" s="811" t="str">
        <f t="shared" si="30"/>
        <v>within the Province</v>
      </c>
      <c r="Y419" s="816">
        <v>600</v>
      </c>
      <c r="Z419" s="92"/>
      <c r="AB419" s="814"/>
      <c r="AC419" s="809" t="s">
        <v>8428</v>
      </c>
      <c r="AD419" s="824"/>
      <c r="AG419" s="807" t="str">
        <f t="shared" si="29"/>
        <v/>
      </c>
      <c r="AH419" s="809"/>
      <c r="AI419" s="809"/>
      <c r="AJ419" s="809"/>
      <c r="AK419" s="92"/>
      <c r="AM419" s="819"/>
      <c r="AN419" s="820"/>
      <c r="AQ419" s="93"/>
      <c r="AR419" s="93"/>
      <c r="AS419" s="93"/>
      <c r="AT419" s="93"/>
      <c r="AU419" s="93"/>
      <c r="AV419" s="93"/>
      <c r="AW419" s="93"/>
      <c r="AX419" s="93"/>
      <c r="AY419" s="93"/>
      <c r="AZ419" s="93"/>
      <c r="BA419" s="93"/>
      <c r="BB419" s="93"/>
      <c r="BL419" s="93"/>
      <c r="BM419" s="93"/>
      <c r="BT419" s="93"/>
      <c r="BU419" s="93"/>
      <c r="BV419" s="93"/>
      <c r="BW419" s="93"/>
      <c r="BX419" s="93"/>
      <c r="BY419" s="93"/>
      <c r="BZ419" s="93"/>
      <c r="CA419" s="93"/>
      <c r="CB419" s="93"/>
      <c r="CC419" s="93"/>
      <c r="CF419" s="93"/>
      <c r="CG419" s="93"/>
      <c r="CH419" s="93"/>
      <c r="CI419" s="93"/>
      <c r="CJ419" s="93"/>
      <c r="CK419" s="93"/>
      <c r="CL419" s="93"/>
      <c r="CM419" s="93"/>
      <c r="CN419" s="93"/>
      <c r="CO419" s="93"/>
      <c r="CP419" s="93"/>
      <c r="CQ419" s="93"/>
      <c r="CR419" s="93"/>
      <c r="CS419" s="93"/>
      <c r="CT419" s="93"/>
      <c r="CU419" s="93"/>
      <c r="CV419" s="93"/>
      <c r="CW419" s="93"/>
      <c r="CX419" s="93"/>
      <c r="CY419" s="93"/>
      <c r="CZ419" s="93"/>
      <c r="DA419" s="93"/>
      <c r="DB419" s="93"/>
      <c r="DC419" s="93"/>
      <c r="DD419" s="93"/>
      <c r="DE419" s="93"/>
      <c r="DF419" s="93"/>
      <c r="DG419" s="93"/>
      <c r="DH419" s="93"/>
      <c r="DI419" s="93"/>
      <c r="DJ419" s="93"/>
      <c r="DK419" s="93"/>
      <c r="DL419" s="93"/>
      <c r="DM419" s="93"/>
      <c r="DN419" s="93"/>
      <c r="DO419" s="93"/>
    </row>
    <row r="420" spans="1:119" ht="15">
      <c r="A420" s="807"/>
      <c r="C420" s="807"/>
      <c r="D420" s="1065"/>
      <c r="E420" s="807"/>
      <c r="F420" s="807"/>
      <c r="G420" s="827"/>
      <c r="H420" s="809" t="s">
        <v>8765</v>
      </c>
      <c r="I420" s="92">
        <v>14</v>
      </c>
      <c r="J420" s="92" t="s">
        <v>10</v>
      </c>
      <c r="K420" s="92" t="s">
        <v>8766</v>
      </c>
      <c r="L420" s="810">
        <v>4</v>
      </c>
      <c r="M420" s="811" t="str">
        <f t="shared" si="31"/>
        <v>High School Level</v>
      </c>
      <c r="O420" s="92"/>
      <c r="P420" s="1638"/>
      <c r="Q420" s="92"/>
      <c r="R420" s="92"/>
      <c r="X420" s="811" t="str">
        <f t="shared" si="30"/>
        <v/>
      </c>
      <c r="AB420" s="814"/>
      <c r="AC420" s="809"/>
      <c r="AD420" s="824"/>
      <c r="AG420" s="807" t="str">
        <f t="shared" si="29"/>
        <v/>
      </c>
      <c r="AH420" s="809"/>
      <c r="AI420" s="809"/>
      <c r="AJ420" s="809"/>
      <c r="AK420" s="92"/>
      <c r="AM420" s="819"/>
      <c r="AN420" s="820"/>
      <c r="AQ420" s="93"/>
      <c r="AR420" s="93"/>
      <c r="AS420" s="93"/>
      <c r="AT420" s="93"/>
      <c r="AU420" s="93"/>
      <c r="AV420" s="93"/>
      <c r="AW420" s="93"/>
      <c r="AX420" s="93"/>
      <c r="AY420" s="93"/>
      <c r="AZ420" s="93"/>
      <c r="BA420" s="93"/>
      <c r="BB420" s="93"/>
      <c r="BL420" s="93"/>
      <c r="BM420" s="93"/>
      <c r="BT420" s="93"/>
      <c r="BU420" s="93"/>
      <c r="BV420" s="93"/>
      <c r="BW420" s="93"/>
      <c r="BX420" s="93"/>
      <c r="BY420" s="93"/>
      <c r="BZ420" s="93"/>
      <c r="CA420" s="93"/>
      <c r="CB420" s="93"/>
      <c r="CC420" s="93"/>
      <c r="CF420" s="93"/>
      <c r="CG420" s="93"/>
      <c r="CH420" s="93"/>
      <c r="CI420" s="93"/>
      <c r="CJ420" s="93"/>
      <c r="CK420" s="93"/>
      <c r="CL420" s="93"/>
      <c r="CM420" s="93"/>
      <c r="CN420" s="93"/>
      <c r="CO420" s="93"/>
      <c r="CP420" s="93"/>
      <c r="CQ420" s="93"/>
      <c r="CR420" s="93"/>
      <c r="CS420" s="93"/>
      <c r="CT420" s="93"/>
      <c r="CU420" s="93"/>
      <c r="CV420" s="93"/>
      <c r="CW420" s="93"/>
      <c r="CX420" s="93"/>
      <c r="CY420" s="93"/>
      <c r="CZ420" s="93"/>
      <c r="DA420" s="93"/>
      <c r="DB420" s="93"/>
      <c r="DC420" s="93"/>
      <c r="DD420" s="93"/>
      <c r="DE420" s="93"/>
      <c r="DF420" s="93"/>
      <c r="DG420" s="93"/>
      <c r="DH420" s="93"/>
      <c r="DI420" s="93"/>
      <c r="DJ420" s="93"/>
      <c r="DK420" s="93"/>
      <c r="DL420" s="93"/>
      <c r="DM420" s="93"/>
      <c r="DN420" s="93"/>
      <c r="DO420" s="93"/>
    </row>
    <row r="421" spans="1:119" ht="15">
      <c r="A421" s="807"/>
      <c r="C421" s="807"/>
      <c r="D421" s="1065"/>
      <c r="E421" s="807"/>
      <c r="F421" s="807"/>
      <c r="G421" s="827"/>
      <c r="H421" s="809" t="s">
        <v>8767</v>
      </c>
      <c r="I421" s="92">
        <v>10</v>
      </c>
      <c r="J421" s="92" t="s">
        <v>10</v>
      </c>
      <c r="K421" s="92" t="s">
        <v>8768</v>
      </c>
      <c r="L421" s="810">
        <v>4</v>
      </c>
      <c r="M421" s="811" t="str">
        <f t="shared" si="31"/>
        <v>High School Level</v>
      </c>
      <c r="O421" s="92"/>
      <c r="P421" s="1638"/>
      <c r="Q421" s="92"/>
      <c r="R421" s="92"/>
      <c r="V421" s="814">
        <f>SUM(S419:U421)</f>
        <v>8500</v>
      </c>
      <c r="X421" s="811" t="str">
        <f t="shared" si="30"/>
        <v/>
      </c>
      <c r="AB421" s="814">
        <f>SUM(Y419:AA421)</f>
        <v>600</v>
      </c>
      <c r="AC421" s="809"/>
      <c r="AD421" s="824"/>
      <c r="AG421" s="807" t="str">
        <f t="shared" si="29"/>
        <v/>
      </c>
      <c r="AH421" s="809"/>
      <c r="AI421" s="809"/>
      <c r="AJ421" s="809"/>
      <c r="AK421" s="92"/>
      <c r="AM421" s="819"/>
      <c r="AN421" s="820"/>
      <c r="AQ421" s="93"/>
      <c r="AR421" s="93"/>
      <c r="AS421" s="93"/>
      <c r="AT421" s="93"/>
      <c r="AU421" s="93"/>
      <c r="AV421" s="93"/>
      <c r="AW421" s="93"/>
      <c r="AX421" s="93"/>
      <c r="AY421" s="93"/>
      <c r="AZ421" s="93"/>
      <c r="BA421" s="93"/>
      <c r="BB421" s="93"/>
      <c r="BL421" s="93"/>
      <c r="BM421" s="93"/>
      <c r="BT421" s="93"/>
      <c r="BU421" s="93"/>
      <c r="BV421" s="93"/>
      <c r="BW421" s="93"/>
      <c r="BX421" s="93"/>
      <c r="BY421" s="93"/>
      <c r="BZ421" s="93"/>
      <c r="CA421" s="93"/>
      <c r="CB421" s="93"/>
      <c r="CC421" s="93"/>
      <c r="CF421" s="93"/>
      <c r="CG421" s="93"/>
      <c r="CH421" s="93"/>
      <c r="CI421" s="93"/>
      <c r="CJ421" s="93"/>
      <c r="CK421" s="93"/>
      <c r="CL421" s="93"/>
      <c r="CM421" s="93"/>
      <c r="CN421" s="93"/>
      <c r="CO421" s="93"/>
      <c r="CP421" s="93"/>
      <c r="CQ421" s="93"/>
      <c r="CR421" s="93"/>
      <c r="CS421" s="93"/>
      <c r="CT421" s="93"/>
      <c r="CU421" s="93"/>
      <c r="CV421" s="93"/>
      <c r="CW421" s="93"/>
      <c r="CX421" s="93"/>
      <c r="CY421" s="93"/>
      <c r="CZ421" s="93"/>
      <c r="DA421" s="93"/>
      <c r="DB421" s="93"/>
      <c r="DC421" s="93"/>
      <c r="DD421" s="93"/>
      <c r="DE421" s="93"/>
      <c r="DF421" s="93"/>
      <c r="DG421" s="93"/>
      <c r="DH421" s="93"/>
      <c r="DI421" s="93"/>
      <c r="DJ421" s="93"/>
      <c r="DK421" s="93"/>
      <c r="DL421" s="93"/>
      <c r="DM421" s="93"/>
      <c r="DN421" s="93"/>
      <c r="DO421" s="93"/>
    </row>
    <row r="422" spans="1:119" ht="15">
      <c r="A422" s="807"/>
      <c r="C422" s="807"/>
      <c r="D422" s="1065" t="s">
        <v>316</v>
      </c>
      <c r="E422" s="807"/>
      <c r="F422" s="807"/>
      <c r="G422" s="745" t="s">
        <v>316</v>
      </c>
      <c r="H422" s="809" t="s">
        <v>8769</v>
      </c>
      <c r="I422" s="92">
        <v>35</v>
      </c>
      <c r="J422" s="92" t="s">
        <v>10</v>
      </c>
      <c r="K422" s="92" t="s">
        <v>707</v>
      </c>
      <c r="L422" s="810">
        <v>4</v>
      </c>
      <c r="M422" s="811" t="str">
        <f t="shared" si="31"/>
        <v>High School Level</v>
      </c>
      <c r="O422" s="92"/>
      <c r="P422" s="1638"/>
      <c r="Q422" s="92"/>
      <c r="R422" s="92" t="s">
        <v>8234</v>
      </c>
      <c r="V422" s="828"/>
      <c r="X422" s="811" t="str">
        <f t="shared" si="30"/>
        <v/>
      </c>
      <c r="AB422" s="828"/>
      <c r="AC422" s="809"/>
      <c r="AD422" s="824"/>
      <c r="AG422" s="807" t="str">
        <f t="shared" si="29"/>
        <v/>
      </c>
      <c r="AH422" s="809"/>
      <c r="AI422" s="809"/>
      <c r="AJ422" s="809"/>
      <c r="AK422" s="92"/>
      <c r="AM422" s="819"/>
      <c r="AN422" s="820"/>
      <c r="AQ422" s="93">
        <v>2</v>
      </c>
      <c r="AR422" s="93"/>
      <c r="AS422" s="93">
        <v>1</v>
      </c>
      <c r="AT422" s="93"/>
      <c r="AU422" s="93"/>
      <c r="AV422" s="93"/>
      <c r="AW422" s="93"/>
      <c r="AX422" s="93"/>
      <c r="AY422" s="93"/>
      <c r="AZ422" s="93"/>
      <c r="BA422" s="93"/>
      <c r="BB422" s="93">
        <v>3</v>
      </c>
      <c r="BL422" s="93"/>
      <c r="BM422" s="93"/>
      <c r="BT422" s="93"/>
      <c r="BU422" s="93"/>
      <c r="BV422" s="93"/>
      <c r="BW422" s="93"/>
      <c r="BX422" s="93"/>
      <c r="BY422" s="93"/>
      <c r="BZ422" s="93"/>
      <c r="CA422" s="93"/>
      <c r="CB422" s="93"/>
      <c r="CC422" s="93"/>
      <c r="CF422" s="93"/>
      <c r="CG422" s="93"/>
      <c r="CH422" s="93"/>
      <c r="CI422" s="93"/>
      <c r="CJ422" s="93"/>
      <c r="CK422" s="93"/>
      <c r="CL422" s="93"/>
      <c r="CM422" s="93"/>
      <c r="CN422" s="93"/>
      <c r="CO422" s="93"/>
      <c r="CP422" s="93"/>
      <c r="CQ422" s="93"/>
      <c r="CR422" s="93"/>
      <c r="CS422" s="93"/>
      <c r="CT422" s="93"/>
      <c r="CU422" s="93"/>
      <c r="CV422" s="93"/>
      <c r="CW422" s="93"/>
      <c r="CX422" s="93"/>
      <c r="CY422" s="93"/>
      <c r="CZ422" s="93"/>
      <c r="DA422" s="93"/>
      <c r="DB422" s="93"/>
      <c r="DC422" s="93"/>
      <c r="DD422" s="93"/>
      <c r="DE422" s="93"/>
      <c r="DF422" s="93"/>
      <c r="DG422" s="93"/>
      <c r="DH422" s="93"/>
      <c r="DI422" s="93"/>
      <c r="DJ422" s="93"/>
      <c r="DK422" s="93"/>
      <c r="DL422" s="93"/>
      <c r="DM422" s="93"/>
      <c r="DN422" s="93"/>
      <c r="DO422" s="93"/>
    </row>
    <row r="423" spans="1:119" ht="15">
      <c r="A423" s="807"/>
      <c r="C423" s="807"/>
      <c r="D423" s="1065"/>
      <c r="E423" s="807"/>
      <c r="F423" s="807"/>
      <c r="G423" s="827"/>
      <c r="H423" s="809" t="s">
        <v>8770</v>
      </c>
      <c r="I423" s="92">
        <v>30</v>
      </c>
      <c r="J423" s="92" t="s">
        <v>18</v>
      </c>
      <c r="K423" s="92" t="s">
        <v>707</v>
      </c>
      <c r="L423" s="810">
        <v>6</v>
      </c>
      <c r="M423" s="811" t="str">
        <f t="shared" si="31"/>
        <v>College Level</v>
      </c>
      <c r="N423" s="92" t="s">
        <v>1208</v>
      </c>
      <c r="O423" s="92" t="s">
        <v>8771</v>
      </c>
      <c r="P423" s="1638"/>
      <c r="Q423" s="92" t="s">
        <v>8771</v>
      </c>
      <c r="R423" s="92" t="s">
        <v>8285</v>
      </c>
      <c r="S423" s="813" t="s">
        <v>110</v>
      </c>
      <c r="V423" s="828"/>
      <c r="W423" s="815">
        <v>2</v>
      </c>
      <c r="X423" s="811" t="str">
        <f t="shared" si="30"/>
        <v>within the Municipality/City</v>
      </c>
      <c r="AB423" s="828"/>
      <c r="AC423" s="809"/>
      <c r="AD423" s="824"/>
      <c r="AG423" s="807" t="str">
        <f t="shared" si="29"/>
        <v/>
      </c>
      <c r="AH423" s="809"/>
      <c r="AI423" s="809"/>
      <c r="AJ423" s="809"/>
      <c r="AK423" s="92"/>
      <c r="AM423" s="819"/>
      <c r="AN423" s="820"/>
      <c r="AQ423" s="93"/>
      <c r="AR423" s="93"/>
      <c r="AS423" s="93"/>
      <c r="AT423" s="93"/>
      <c r="AU423" s="93"/>
      <c r="AV423" s="93"/>
      <c r="AW423" s="93"/>
      <c r="AX423" s="93"/>
      <c r="AY423" s="93"/>
      <c r="AZ423" s="93"/>
      <c r="BA423" s="93"/>
      <c r="BB423" s="93"/>
      <c r="BL423" s="93"/>
      <c r="BM423" s="93"/>
      <c r="BT423" s="93"/>
      <c r="BU423" s="93"/>
      <c r="BV423" s="93"/>
      <c r="BW423" s="93"/>
      <c r="BX423" s="93"/>
      <c r="BY423" s="93"/>
      <c r="BZ423" s="93"/>
      <c r="CA423" s="93"/>
      <c r="CB423" s="93"/>
      <c r="CC423" s="93"/>
      <c r="CF423" s="93"/>
      <c r="CG423" s="93"/>
      <c r="CH423" s="93"/>
      <c r="CI423" s="93"/>
      <c r="CJ423" s="93"/>
      <c r="CK423" s="93"/>
      <c r="CL423" s="93"/>
      <c r="CM423" s="93"/>
      <c r="CN423" s="93"/>
      <c r="CO423" s="93"/>
      <c r="CP423" s="93"/>
      <c r="CQ423" s="93"/>
      <c r="CR423" s="93" t="s">
        <v>2144</v>
      </c>
      <c r="CS423" s="93"/>
      <c r="CT423" s="93"/>
      <c r="CU423" s="93"/>
      <c r="CV423" s="93"/>
      <c r="CW423" s="93"/>
      <c r="CX423" s="93"/>
      <c r="CY423" s="93"/>
      <c r="CZ423" s="93"/>
      <c r="DA423" s="93"/>
      <c r="DB423" s="93"/>
      <c r="DC423" s="93"/>
      <c r="DD423" s="93"/>
      <c r="DE423" s="93"/>
      <c r="DF423" s="93"/>
      <c r="DG423" s="93"/>
      <c r="DH423" s="93"/>
      <c r="DI423" s="93"/>
      <c r="DJ423" s="93"/>
      <c r="DK423" s="93"/>
      <c r="DL423" s="93"/>
      <c r="DM423" s="93"/>
      <c r="DN423" s="93"/>
      <c r="DO423" s="93"/>
    </row>
    <row r="424" spans="1:119" ht="15">
      <c r="A424" s="1076"/>
      <c r="D424" s="1065"/>
      <c r="E424" s="807"/>
      <c r="F424" s="807"/>
      <c r="G424" s="827"/>
      <c r="H424" s="809" t="s">
        <v>8772</v>
      </c>
      <c r="I424" s="92">
        <v>9</v>
      </c>
      <c r="J424" s="92" t="s">
        <v>10</v>
      </c>
      <c r="K424" s="92" t="s">
        <v>768</v>
      </c>
      <c r="L424" s="810">
        <v>2</v>
      </c>
      <c r="M424" s="811" t="str">
        <f t="shared" si="31"/>
        <v>Elementary Level</v>
      </c>
      <c r="O424" s="92"/>
      <c r="P424" s="1638"/>
      <c r="Q424" s="92"/>
      <c r="R424" s="92"/>
      <c r="V424" s="828"/>
      <c r="X424" s="811" t="str">
        <f t="shared" si="30"/>
        <v/>
      </c>
      <c r="AB424" s="828"/>
      <c r="AC424" s="809"/>
      <c r="AD424" s="824"/>
      <c r="AG424" s="807" t="str">
        <f t="shared" ref="AG424:AG487" si="32">IF(ISBLANK(AF424)=TRUE,"",LOOKUP(AF424,GS:GT))</f>
        <v/>
      </c>
      <c r="AH424" s="809"/>
      <c r="AI424" s="809"/>
      <c r="AJ424" s="809"/>
      <c r="AK424" s="92"/>
      <c r="AM424" s="819"/>
      <c r="AN424" s="820"/>
      <c r="AQ424" s="93"/>
      <c r="AR424" s="93"/>
      <c r="AS424" s="93"/>
      <c r="AT424" s="93"/>
      <c r="AU424" s="93"/>
      <c r="AV424" s="93"/>
      <c r="AW424" s="93"/>
      <c r="AX424" s="93"/>
      <c r="AY424" s="93"/>
      <c r="AZ424" s="93"/>
      <c r="BA424" s="93"/>
      <c r="BB424" s="93"/>
      <c r="BL424" s="93"/>
      <c r="BM424" s="93"/>
      <c r="BT424" s="93"/>
      <c r="BU424" s="93"/>
      <c r="BV424" s="93"/>
      <c r="BW424" s="93"/>
      <c r="BX424" s="93"/>
      <c r="BY424" s="93"/>
      <c r="BZ424" s="93"/>
      <c r="CA424" s="93"/>
      <c r="CB424" s="93"/>
      <c r="CC424" s="93"/>
      <c r="CF424" s="93"/>
      <c r="CG424" s="93"/>
      <c r="CH424" s="93"/>
      <c r="CI424" s="93"/>
      <c r="CJ424" s="93"/>
      <c r="CK424" s="93"/>
      <c r="CL424" s="93"/>
      <c r="CM424" s="93"/>
      <c r="CN424" s="93"/>
      <c r="CO424" s="93"/>
      <c r="CP424" s="93"/>
      <c r="CQ424" s="93"/>
      <c r="CR424" s="93"/>
      <c r="CS424" s="93"/>
      <c r="CT424" s="93"/>
      <c r="CU424" s="93"/>
      <c r="CV424" s="93"/>
      <c r="CW424" s="93"/>
      <c r="CX424" s="93"/>
      <c r="CY424" s="93"/>
      <c r="CZ424" s="93"/>
      <c r="DA424" s="93"/>
      <c r="DB424" s="93"/>
      <c r="DC424" s="93"/>
      <c r="DD424" s="93"/>
      <c r="DE424" s="93"/>
      <c r="DF424" s="93"/>
      <c r="DG424" s="93"/>
      <c r="DH424" s="93"/>
      <c r="DI424" s="93"/>
      <c r="DJ424" s="93"/>
      <c r="DK424" s="93"/>
      <c r="DL424" s="93"/>
      <c r="DM424" s="93"/>
      <c r="DN424" s="93"/>
      <c r="DO424" s="93"/>
    </row>
    <row r="425" spans="1:119" ht="15">
      <c r="A425" s="1076"/>
      <c r="D425" s="1065"/>
      <c r="E425" s="807"/>
      <c r="F425" s="807"/>
      <c r="G425" s="827"/>
      <c r="H425" s="809" t="s">
        <v>8773</v>
      </c>
      <c r="I425" s="92">
        <v>9</v>
      </c>
      <c r="J425" s="92" t="s">
        <v>10</v>
      </c>
      <c r="K425" s="92" t="s">
        <v>768</v>
      </c>
      <c r="L425" s="810">
        <v>2</v>
      </c>
      <c r="M425" s="811" t="str">
        <f t="shared" si="31"/>
        <v>Elementary Level</v>
      </c>
      <c r="O425" s="92"/>
      <c r="P425" s="1638"/>
      <c r="Q425" s="92"/>
      <c r="R425" s="92"/>
      <c r="V425" s="828">
        <f>SUM(S422:U425)</f>
        <v>0</v>
      </c>
      <c r="X425" s="811" t="str">
        <f t="shared" si="30"/>
        <v/>
      </c>
      <c r="AB425" s="828">
        <f>SUM(Y422:AA425)</f>
        <v>0</v>
      </c>
      <c r="AC425" s="809"/>
      <c r="AD425" s="824"/>
      <c r="AG425" s="807" t="str">
        <f t="shared" si="32"/>
        <v/>
      </c>
      <c r="AH425" s="809"/>
      <c r="AI425" s="809"/>
      <c r="AJ425" s="809"/>
      <c r="AK425" s="92"/>
      <c r="AM425" s="819"/>
      <c r="AN425" s="820"/>
      <c r="AQ425" s="93"/>
      <c r="AR425" s="93"/>
      <c r="AS425" s="93"/>
      <c r="AT425" s="93"/>
      <c r="AU425" s="93"/>
      <c r="AV425" s="93"/>
      <c r="AW425" s="93"/>
      <c r="AX425" s="93"/>
      <c r="AY425" s="93"/>
      <c r="AZ425" s="93"/>
      <c r="BA425" s="93"/>
      <c r="BB425" s="93"/>
      <c r="BL425" s="93"/>
      <c r="BM425" s="93"/>
      <c r="BT425" s="93"/>
      <c r="BU425" s="93"/>
      <c r="BV425" s="93"/>
      <c r="BW425" s="93"/>
      <c r="BX425" s="93"/>
      <c r="BY425" s="93"/>
      <c r="BZ425" s="93"/>
      <c r="CA425" s="93"/>
      <c r="CB425" s="93"/>
      <c r="CC425" s="93"/>
      <c r="CF425" s="93"/>
      <c r="CG425" s="93"/>
      <c r="CH425" s="93"/>
      <c r="CI425" s="93"/>
      <c r="CJ425" s="93"/>
      <c r="CK425" s="93"/>
      <c r="CL425" s="93"/>
      <c r="CM425" s="93"/>
      <c r="CN425" s="93"/>
      <c r="CO425" s="93"/>
      <c r="CP425" s="93"/>
      <c r="CQ425" s="93"/>
      <c r="CR425" s="93"/>
      <c r="CS425" s="93"/>
      <c r="CT425" s="93"/>
      <c r="CU425" s="93"/>
      <c r="CV425" s="93"/>
      <c r="CW425" s="93"/>
      <c r="CX425" s="93"/>
      <c r="CY425" s="93"/>
      <c r="CZ425" s="93"/>
      <c r="DA425" s="93"/>
      <c r="DB425" s="93"/>
      <c r="DC425" s="93"/>
      <c r="DD425" s="93"/>
      <c r="DE425" s="93"/>
      <c r="DF425" s="93"/>
      <c r="DG425" s="93"/>
      <c r="DH425" s="93"/>
      <c r="DI425" s="93"/>
      <c r="DJ425" s="93"/>
      <c r="DK425" s="93"/>
      <c r="DL425" s="93"/>
      <c r="DM425" s="93"/>
      <c r="DN425" s="93"/>
      <c r="DO425" s="93"/>
    </row>
    <row r="426" spans="1:119" ht="15">
      <c r="A426" s="1076"/>
      <c r="D426" s="1065" t="s">
        <v>320</v>
      </c>
      <c r="E426" s="807"/>
      <c r="F426" s="807"/>
      <c r="G426" s="809" t="s">
        <v>320</v>
      </c>
      <c r="H426" s="809" t="s">
        <v>8774</v>
      </c>
      <c r="I426" s="92">
        <v>62</v>
      </c>
      <c r="J426" s="92" t="s">
        <v>18</v>
      </c>
      <c r="K426" s="92" t="s">
        <v>707</v>
      </c>
      <c r="L426" s="810">
        <v>3</v>
      </c>
      <c r="M426" s="811" t="str">
        <f t="shared" si="31"/>
        <v>Elementary Graduate</v>
      </c>
      <c r="N426" s="92" t="s">
        <v>1208</v>
      </c>
      <c r="O426" s="92" t="s">
        <v>8775</v>
      </c>
      <c r="P426" s="1638"/>
      <c r="Q426" s="92" t="s">
        <v>8775</v>
      </c>
      <c r="R426" s="92" t="s">
        <v>8234</v>
      </c>
      <c r="V426" s="830"/>
      <c r="W426" s="815">
        <v>1</v>
      </c>
      <c r="X426" s="811" t="str">
        <f t="shared" si="30"/>
        <v>within the Brgy</v>
      </c>
      <c r="AB426" s="830"/>
      <c r="AC426" s="809"/>
      <c r="AD426" s="817" t="s">
        <v>8774</v>
      </c>
      <c r="AG426" s="807" t="str">
        <f t="shared" si="32"/>
        <v/>
      </c>
      <c r="AH426" s="809"/>
      <c r="AI426" s="809"/>
      <c r="AJ426" s="809"/>
      <c r="AK426" s="92"/>
      <c r="AM426" s="819"/>
      <c r="AN426" s="820"/>
      <c r="AQ426" s="93"/>
      <c r="AR426" s="93"/>
      <c r="AS426" s="93"/>
      <c r="AT426" s="93"/>
      <c r="AU426" s="93"/>
      <c r="AV426" s="93"/>
      <c r="AW426" s="93"/>
      <c r="AX426" s="93"/>
      <c r="AY426" s="93"/>
      <c r="AZ426" s="93"/>
      <c r="BA426" s="93"/>
      <c r="BB426" s="93"/>
      <c r="BL426" s="93"/>
      <c r="BM426" s="93"/>
      <c r="BT426" s="93"/>
      <c r="BU426" s="93"/>
      <c r="BV426" s="93"/>
      <c r="BW426" s="93"/>
      <c r="BX426" s="93"/>
      <c r="BY426" s="93"/>
      <c r="BZ426" s="93"/>
      <c r="CA426" s="93"/>
      <c r="CB426" s="93"/>
      <c r="CC426" s="93"/>
      <c r="CF426" s="93"/>
      <c r="CG426" s="93"/>
      <c r="CH426" s="93"/>
      <c r="CI426" s="93"/>
      <c r="CJ426" s="93"/>
      <c r="CK426" s="93"/>
      <c r="CL426" s="93"/>
      <c r="CM426" s="93"/>
      <c r="CN426" s="93"/>
      <c r="CO426" s="93"/>
      <c r="CP426" s="93"/>
      <c r="CQ426" s="93"/>
      <c r="CR426" s="93" t="s">
        <v>2144</v>
      </c>
      <c r="CS426" s="93"/>
      <c r="CT426" s="93"/>
      <c r="CU426" s="93"/>
      <c r="CV426" s="93"/>
      <c r="CW426" s="93"/>
      <c r="CX426" s="93"/>
      <c r="CY426" s="93"/>
      <c r="CZ426" s="93"/>
      <c r="DA426" s="93" t="s">
        <v>2145</v>
      </c>
      <c r="DB426" s="93"/>
      <c r="DC426" s="93"/>
      <c r="DD426" s="93"/>
      <c r="DE426" s="93"/>
      <c r="DF426" s="93"/>
      <c r="DG426" s="93"/>
      <c r="DH426" s="93"/>
      <c r="DI426" s="93"/>
      <c r="DJ426" s="93"/>
      <c r="DK426" s="93"/>
      <c r="DL426" s="93"/>
      <c r="DM426" s="93"/>
      <c r="DN426" s="93"/>
      <c r="DO426" s="93"/>
    </row>
    <row r="427" spans="1:119" ht="15">
      <c r="A427" s="1076"/>
      <c r="D427" s="1065"/>
      <c r="E427" s="807"/>
      <c r="F427" s="807"/>
      <c r="G427" s="827"/>
      <c r="H427" s="809" t="s">
        <v>8776</v>
      </c>
      <c r="I427" s="92">
        <v>31</v>
      </c>
      <c r="J427" s="92" t="s">
        <v>10</v>
      </c>
      <c r="K427" s="92" t="s">
        <v>707</v>
      </c>
      <c r="L427" s="810">
        <v>4</v>
      </c>
      <c r="M427" s="811" t="str">
        <f t="shared" si="31"/>
        <v>High School Level</v>
      </c>
      <c r="N427" s="92" t="s">
        <v>1208</v>
      </c>
      <c r="O427" s="92" t="s">
        <v>2225</v>
      </c>
      <c r="P427" s="1638"/>
      <c r="Q427" s="92" t="s">
        <v>2225</v>
      </c>
      <c r="R427" s="92"/>
      <c r="V427" s="830"/>
      <c r="X427" s="811" t="str">
        <f t="shared" si="30"/>
        <v/>
      </c>
      <c r="AB427" s="830"/>
      <c r="AC427" s="809"/>
      <c r="AD427" s="824"/>
      <c r="AG427" s="807" t="str">
        <f t="shared" si="32"/>
        <v/>
      </c>
      <c r="AH427" s="809"/>
      <c r="AI427" s="809"/>
      <c r="AJ427" s="809"/>
      <c r="AK427" s="92"/>
      <c r="AM427" s="819"/>
      <c r="AN427" s="820"/>
      <c r="AQ427" s="93"/>
      <c r="AR427" s="93"/>
      <c r="AS427" s="93"/>
      <c r="AT427" s="93"/>
      <c r="AU427" s="93"/>
      <c r="AV427" s="93"/>
      <c r="AW427" s="93"/>
      <c r="AX427" s="93">
        <v>1</v>
      </c>
      <c r="AY427" s="93"/>
      <c r="AZ427" s="93"/>
      <c r="BA427" s="93"/>
      <c r="BB427" s="93">
        <v>2</v>
      </c>
      <c r="BC427" s="93" t="s">
        <v>2146</v>
      </c>
      <c r="BL427" s="93"/>
      <c r="BM427" s="93"/>
      <c r="BT427" s="93"/>
      <c r="BU427" s="93"/>
      <c r="BV427" s="93"/>
      <c r="BW427" s="93"/>
      <c r="BX427" s="93"/>
      <c r="BY427" s="93"/>
      <c r="BZ427" s="93"/>
      <c r="CA427" s="93"/>
      <c r="CB427" s="93"/>
      <c r="CC427" s="93"/>
      <c r="CF427" s="93"/>
      <c r="CG427" s="93"/>
      <c r="CH427" s="93"/>
      <c r="CI427" s="93"/>
      <c r="CJ427" s="93"/>
      <c r="CK427" s="93"/>
      <c r="CL427" s="93"/>
      <c r="CM427" s="93"/>
      <c r="CN427" s="93"/>
      <c r="CO427" s="93"/>
      <c r="CP427" s="93"/>
      <c r="CQ427" s="93"/>
      <c r="CR427" s="93"/>
      <c r="CS427" s="93"/>
      <c r="CT427" s="93"/>
      <c r="CU427" s="93"/>
      <c r="CV427" s="93"/>
      <c r="CW427" s="93"/>
      <c r="CX427" s="93"/>
      <c r="CY427" s="93"/>
      <c r="CZ427" s="93"/>
      <c r="DA427" s="93"/>
      <c r="DB427" s="93"/>
      <c r="DC427" s="93"/>
      <c r="DD427" s="93"/>
      <c r="DE427" s="93"/>
      <c r="DF427" s="93"/>
      <c r="DG427" s="93"/>
      <c r="DH427" s="93"/>
      <c r="DI427" s="93"/>
      <c r="DJ427" s="93"/>
      <c r="DK427" s="93"/>
      <c r="DL427" s="93"/>
      <c r="DM427" s="93"/>
      <c r="DN427" s="93"/>
      <c r="DO427" s="93"/>
    </row>
    <row r="428" spans="1:119" ht="15">
      <c r="A428" s="1076"/>
      <c r="D428" s="1065"/>
      <c r="E428" s="807"/>
      <c r="F428" s="807"/>
      <c r="G428" s="827"/>
      <c r="H428" s="809" t="s">
        <v>8777</v>
      </c>
      <c r="I428" s="92">
        <v>26</v>
      </c>
      <c r="J428" s="92" t="s">
        <v>18</v>
      </c>
      <c r="K428" s="92" t="s">
        <v>707</v>
      </c>
      <c r="L428" s="810">
        <v>5</v>
      </c>
      <c r="M428" s="811" t="str">
        <f t="shared" si="31"/>
        <v>High School Graduate</v>
      </c>
      <c r="O428" s="92"/>
      <c r="P428" s="1638"/>
      <c r="Q428" s="92"/>
      <c r="R428" s="92"/>
      <c r="V428" s="830"/>
      <c r="X428" s="811" t="str">
        <f t="shared" si="30"/>
        <v/>
      </c>
      <c r="AB428" s="830"/>
      <c r="AC428" s="809"/>
      <c r="AD428" s="824"/>
      <c r="AG428" s="807" t="str">
        <f t="shared" si="32"/>
        <v/>
      </c>
      <c r="AH428" s="809"/>
      <c r="AI428" s="809"/>
      <c r="AJ428" s="809"/>
      <c r="AK428" s="92"/>
      <c r="AM428" s="819"/>
      <c r="AN428" s="820"/>
      <c r="AQ428" s="93"/>
      <c r="AR428" s="93"/>
      <c r="AS428" s="93"/>
      <c r="AT428" s="93"/>
      <c r="AU428" s="93"/>
      <c r="AV428" s="93"/>
      <c r="AW428" s="93"/>
      <c r="AX428" s="93"/>
      <c r="AY428" s="93"/>
      <c r="AZ428" s="93"/>
      <c r="BA428" s="93"/>
      <c r="BB428" s="93"/>
      <c r="BL428" s="93"/>
      <c r="BM428" s="93"/>
      <c r="BT428" s="93"/>
      <c r="BU428" s="93"/>
      <c r="BV428" s="93"/>
      <c r="BW428" s="93"/>
      <c r="BX428" s="93"/>
      <c r="BY428" s="93"/>
      <c r="BZ428" s="93"/>
      <c r="CA428" s="93"/>
      <c r="CB428" s="93"/>
      <c r="CC428" s="93"/>
      <c r="CF428" s="93"/>
      <c r="CG428" s="93"/>
      <c r="CH428" s="93"/>
      <c r="CI428" s="93"/>
      <c r="CJ428" s="93"/>
      <c r="CK428" s="93"/>
      <c r="CL428" s="93"/>
      <c r="CM428" s="93"/>
      <c r="CN428" s="93"/>
      <c r="CO428" s="93"/>
      <c r="CP428" s="93"/>
      <c r="CQ428" s="93"/>
      <c r="CR428" s="93"/>
      <c r="CS428" s="93"/>
      <c r="CT428" s="93"/>
      <c r="CU428" s="93"/>
      <c r="CV428" s="93"/>
      <c r="CW428" s="93"/>
      <c r="CX428" s="93"/>
      <c r="CY428" s="93"/>
      <c r="CZ428" s="93"/>
      <c r="DA428" s="93"/>
      <c r="DB428" s="93"/>
      <c r="DC428" s="93"/>
      <c r="DD428" s="93"/>
      <c r="DE428" s="93"/>
      <c r="DF428" s="93"/>
      <c r="DG428" s="93"/>
      <c r="DH428" s="93"/>
      <c r="DI428" s="93"/>
      <c r="DJ428" s="93"/>
      <c r="DK428" s="93"/>
      <c r="DL428" s="93"/>
      <c r="DM428" s="93"/>
      <c r="DN428" s="93"/>
      <c r="DO428" s="93"/>
    </row>
    <row r="429" spans="1:119" ht="15">
      <c r="A429" s="1076"/>
      <c r="D429" s="1065"/>
      <c r="E429" s="807"/>
      <c r="F429" s="807"/>
      <c r="G429" s="827"/>
      <c r="H429" s="809" t="s">
        <v>8778</v>
      </c>
      <c r="I429" s="92">
        <v>4</v>
      </c>
      <c r="J429" s="92" t="s">
        <v>18</v>
      </c>
      <c r="K429" s="92" t="s">
        <v>768</v>
      </c>
      <c r="L429" s="810">
        <v>10</v>
      </c>
      <c r="M429" s="811" t="str">
        <f t="shared" si="31"/>
        <v>Not In School Age</v>
      </c>
      <c r="O429" s="92"/>
      <c r="P429" s="1638"/>
      <c r="Q429" s="92"/>
      <c r="R429" s="92"/>
      <c r="V429" s="830"/>
      <c r="X429" s="811" t="str">
        <f t="shared" si="30"/>
        <v/>
      </c>
      <c r="AB429" s="830"/>
      <c r="AC429" s="809"/>
      <c r="AD429" s="824"/>
      <c r="AG429" s="807" t="str">
        <f t="shared" si="32"/>
        <v/>
      </c>
      <c r="AH429" s="809"/>
      <c r="AI429" s="809"/>
      <c r="AJ429" s="809"/>
      <c r="AK429" s="92"/>
      <c r="AM429" s="819"/>
      <c r="AN429" s="820"/>
      <c r="AQ429" s="93"/>
      <c r="AR429" s="93"/>
      <c r="AS429" s="93"/>
      <c r="AT429" s="93"/>
      <c r="AU429" s="93"/>
      <c r="AV429" s="93"/>
      <c r="AW429" s="93"/>
      <c r="AX429" s="93"/>
      <c r="AY429" s="93"/>
      <c r="AZ429" s="93"/>
      <c r="BA429" s="93"/>
      <c r="BB429" s="93"/>
      <c r="BL429" s="93"/>
      <c r="BM429" s="93"/>
      <c r="BT429" s="93"/>
      <c r="BU429" s="93"/>
      <c r="BV429" s="93"/>
      <c r="BW429" s="93"/>
      <c r="BX429" s="93"/>
      <c r="BY429" s="93"/>
      <c r="BZ429" s="93"/>
      <c r="CA429" s="93"/>
      <c r="CB429" s="93"/>
      <c r="CC429" s="93"/>
      <c r="CF429" s="93"/>
      <c r="CG429" s="93"/>
      <c r="CH429" s="93"/>
      <c r="CI429" s="93"/>
      <c r="CJ429" s="93"/>
      <c r="CK429" s="93"/>
      <c r="CL429" s="93"/>
      <c r="CM429" s="93"/>
      <c r="CN429" s="93"/>
      <c r="CO429" s="93"/>
      <c r="CP429" s="93"/>
      <c r="CQ429" s="93"/>
      <c r="CR429" s="93"/>
      <c r="CS429" s="93"/>
      <c r="CT429" s="93"/>
      <c r="CU429" s="93"/>
      <c r="CV429" s="93"/>
      <c r="CW429" s="93"/>
      <c r="CX429" s="93"/>
      <c r="CY429" s="93"/>
      <c r="CZ429" s="93"/>
      <c r="DA429" s="93"/>
      <c r="DB429" s="93"/>
      <c r="DC429" s="93"/>
      <c r="DD429" s="93"/>
      <c r="DE429" s="93"/>
      <c r="DF429" s="93"/>
      <c r="DG429" s="93"/>
      <c r="DH429" s="93"/>
      <c r="DI429" s="93"/>
      <c r="DJ429" s="93"/>
      <c r="DK429" s="93"/>
      <c r="DL429" s="93"/>
      <c r="DM429" s="93"/>
      <c r="DN429" s="93"/>
      <c r="DO429" s="93"/>
    </row>
    <row r="430" spans="1:119" ht="15">
      <c r="A430" s="1076"/>
      <c r="D430" s="1065"/>
      <c r="E430" s="807"/>
      <c r="F430" s="807"/>
      <c r="G430" s="827"/>
      <c r="H430" s="809" t="s">
        <v>1733</v>
      </c>
      <c r="I430" s="92">
        <v>87</v>
      </c>
      <c r="J430" s="92" t="s">
        <v>18</v>
      </c>
      <c r="K430" s="92" t="s">
        <v>707</v>
      </c>
      <c r="M430" s="811" t="str">
        <f t="shared" si="31"/>
        <v/>
      </c>
      <c r="O430" s="92"/>
      <c r="P430" s="1638"/>
      <c r="Q430" s="92"/>
      <c r="R430" s="92"/>
      <c r="V430" s="830">
        <f>SUM(S426:U430)</f>
        <v>0</v>
      </c>
      <c r="X430" s="811" t="str">
        <f t="shared" si="30"/>
        <v/>
      </c>
      <c r="AB430" s="830">
        <f>SUM(Y426:AA430)</f>
        <v>0</v>
      </c>
      <c r="AC430" s="809"/>
      <c r="AD430" s="817" t="s">
        <v>1733</v>
      </c>
      <c r="AG430" s="807" t="str">
        <f t="shared" si="32"/>
        <v/>
      </c>
      <c r="AH430" s="809"/>
      <c r="AI430" s="809"/>
      <c r="AJ430" s="809"/>
      <c r="AK430" s="92"/>
      <c r="AM430" s="819"/>
      <c r="AN430" s="820"/>
      <c r="AQ430" s="93"/>
      <c r="AR430" s="93"/>
      <c r="AS430" s="93"/>
      <c r="AT430" s="93"/>
      <c r="AU430" s="93"/>
      <c r="AV430" s="93"/>
      <c r="AW430" s="93"/>
      <c r="AX430" s="93"/>
      <c r="AY430" s="93"/>
      <c r="AZ430" s="93"/>
      <c r="BA430" s="93"/>
      <c r="BB430" s="93"/>
      <c r="BL430" s="93"/>
      <c r="BM430" s="93"/>
      <c r="BT430" s="93"/>
      <c r="BU430" s="93"/>
      <c r="BV430" s="93"/>
      <c r="BW430" s="93"/>
      <c r="BX430" s="93"/>
      <c r="BY430" s="93"/>
      <c r="BZ430" s="93"/>
      <c r="CA430" s="93"/>
      <c r="CB430" s="93"/>
      <c r="CC430" s="93"/>
      <c r="CF430" s="93"/>
      <c r="CG430" s="93"/>
      <c r="CH430" s="93"/>
      <c r="CI430" s="93"/>
      <c r="CJ430" s="93"/>
      <c r="CK430" s="93"/>
      <c r="CL430" s="93"/>
      <c r="CM430" s="93"/>
      <c r="CN430" s="93"/>
      <c r="CO430" s="93"/>
      <c r="CP430" s="93"/>
      <c r="CQ430" s="93"/>
      <c r="CR430" s="93"/>
      <c r="CS430" s="93"/>
      <c r="CT430" s="93"/>
      <c r="CU430" s="93"/>
      <c r="CV430" s="93"/>
      <c r="CW430" s="93"/>
      <c r="CX430" s="93"/>
      <c r="CY430" s="93"/>
      <c r="CZ430" s="93"/>
      <c r="DA430" s="93"/>
      <c r="DB430" s="93"/>
      <c r="DC430" s="93"/>
      <c r="DD430" s="93"/>
      <c r="DE430" s="93"/>
      <c r="DF430" s="93"/>
      <c r="DG430" s="93"/>
      <c r="DH430" s="93"/>
      <c r="DI430" s="93"/>
      <c r="DJ430" s="93"/>
      <c r="DK430" s="93"/>
      <c r="DL430" s="93"/>
      <c r="DM430" s="93"/>
      <c r="DN430" s="93"/>
      <c r="DO430" s="93"/>
    </row>
    <row r="431" spans="1:119" ht="15">
      <c r="A431" s="1076"/>
      <c r="B431" s="6"/>
      <c r="C431" s="164"/>
      <c r="D431" s="1065" t="s">
        <v>326</v>
      </c>
      <c r="E431" s="807"/>
      <c r="F431" s="807"/>
      <c r="G431" s="809" t="s">
        <v>326</v>
      </c>
      <c r="H431" s="809" t="s">
        <v>8779</v>
      </c>
      <c r="I431" s="92">
        <v>44</v>
      </c>
      <c r="J431" s="92" t="s">
        <v>10</v>
      </c>
      <c r="K431" s="92" t="s">
        <v>768</v>
      </c>
      <c r="L431" s="810">
        <v>9</v>
      </c>
      <c r="M431" s="811" t="str">
        <f t="shared" si="31"/>
        <v>Vocational Graduate</v>
      </c>
      <c r="N431" s="92" t="s">
        <v>1208</v>
      </c>
      <c r="O431" s="92" t="s">
        <v>8780</v>
      </c>
      <c r="P431" s="1638"/>
      <c r="Q431" s="92" t="s">
        <v>8780</v>
      </c>
      <c r="R431" s="92" t="s">
        <v>8234</v>
      </c>
      <c r="W431" s="815">
        <v>3</v>
      </c>
      <c r="X431" s="811" t="str">
        <f t="shared" si="30"/>
        <v>within the Province</v>
      </c>
      <c r="AB431" s="814"/>
      <c r="AC431" s="809"/>
      <c r="AD431" s="824"/>
      <c r="AG431" s="807" t="str">
        <f t="shared" si="32"/>
        <v/>
      </c>
      <c r="AH431" s="809"/>
      <c r="AI431" s="809"/>
      <c r="AJ431" s="809"/>
      <c r="AK431" s="92"/>
      <c r="AM431" s="819"/>
      <c r="AN431" s="820"/>
      <c r="AQ431" s="93"/>
      <c r="AR431" s="93"/>
      <c r="AS431" s="93"/>
      <c r="AT431" s="93"/>
      <c r="AU431" s="93"/>
      <c r="AV431" s="93"/>
      <c r="AW431" s="93"/>
      <c r="AX431" s="93"/>
      <c r="AY431" s="93"/>
      <c r="AZ431" s="93"/>
      <c r="BA431" s="93"/>
      <c r="BB431" s="93"/>
      <c r="BL431" s="93"/>
      <c r="BM431" s="93"/>
      <c r="BT431" s="93"/>
      <c r="BU431" s="93"/>
      <c r="BV431" s="93"/>
      <c r="BW431" s="93"/>
      <c r="BX431" s="93"/>
      <c r="BY431" s="93"/>
      <c r="BZ431" s="93"/>
      <c r="CA431" s="93"/>
      <c r="CB431" s="93"/>
      <c r="CC431" s="93"/>
      <c r="CF431" s="93"/>
      <c r="CG431" s="93"/>
      <c r="CH431" s="93"/>
      <c r="CI431" s="93"/>
      <c r="CJ431" s="93"/>
      <c r="CK431" s="93"/>
      <c r="CL431" s="93"/>
      <c r="CM431" s="93"/>
      <c r="CN431" s="93"/>
      <c r="CO431" s="93"/>
      <c r="CP431" s="93"/>
      <c r="CQ431" s="93"/>
      <c r="CR431" s="93"/>
      <c r="CS431" s="93"/>
      <c r="CT431" s="93"/>
      <c r="CU431" s="93"/>
      <c r="CV431" s="93"/>
      <c r="CW431" s="93"/>
      <c r="CX431" s="93"/>
      <c r="CY431" s="93"/>
      <c r="CZ431" s="93"/>
      <c r="DA431" s="93"/>
      <c r="DB431" s="93"/>
      <c r="DC431" s="93"/>
      <c r="DD431" s="93"/>
      <c r="DE431" s="93"/>
      <c r="DF431" s="93"/>
      <c r="DG431" s="93"/>
      <c r="DH431" s="93"/>
      <c r="DI431" s="93"/>
      <c r="DJ431" s="93"/>
      <c r="DK431" s="93"/>
      <c r="DL431" s="93"/>
      <c r="DM431" s="93"/>
      <c r="DN431" s="93"/>
      <c r="DO431" s="93"/>
    </row>
    <row r="432" spans="1:119" ht="15">
      <c r="A432" s="1076"/>
      <c r="B432" s="6"/>
      <c r="C432" s="164"/>
      <c r="D432" s="1065"/>
      <c r="E432" s="807"/>
      <c r="F432" s="807"/>
      <c r="G432" s="827"/>
      <c r="H432" s="809" t="s">
        <v>8781</v>
      </c>
      <c r="I432" s="857">
        <v>60</v>
      </c>
      <c r="J432" s="92" t="s">
        <v>10</v>
      </c>
      <c r="K432" s="92" t="s">
        <v>719</v>
      </c>
      <c r="L432" s="810">
        <v>7</v>
      </c>
      <c r="M432" s="811" t="str">
        <f t="shared" si="31"/>
        <v>College Graduate or Higher</v>
      </c>
      <c r="O432" s="92"/>
      <c r="P432" s="1638"/>
      <c r="Q432" s="92"/>
      <c r="R432" s="92"/>
      <c r="X432" s="811" t="str">
        <f t="shared" si="30"/>
        <v/>
      </c>
      <c r="AB432" s="814"/>
      <c r="AC432" s="809"/>
      <c r="AD432" s="824"/>
      <c r="AG432" s="807" t="str">
        <f t="shared" si="32"/>
        <v/>
      </c>
      <c r="AH432" s="809"/>
      <c r="AI432" s="809"/>
      <c r="AJ432" s="809"/>
      <c r="AK432" s="92"/>
      <c r="AM432" s="819"/>
      <c r="AN432" s="820"/>
      <c r="AQ432" s="93"/>
      <c r="AR432" s="93"/>
      <c r="AS432" s="93"/>
      <c r="AT432" s="93"/>
      <c r="AU432" s="93"/>
      <c r="AV432" s="93"/>
      <c r="AW432" s="93"/>
      <c r="AX432" s="93"/>
      <c r="AY432" s="93"/>
      <c r="AZ432" s="93"/>
      <c r="BA432" s="93"/>
      <c r="BB432" s="93"/>
      <c r="BL432" s="93"/>
      <c r="BM432" s="93"/>
      <c r="BT432" s="93"/>
      <c r="BU432" s="93"/>
      <c r="BV432" s="93"/>
      <c r="BW432" s="93"/>
      <c r="BX432" s="93"/>
      <c r="BY432" s="93"/>
      <c r="BZ432" s="93"/>
      <c r="CA432" s="93"/>
      <c r="CB432" s="93"/>
      <c r="CC432" s="93"/>
      <c r="CF432" s="93"/>
      <c r="CG432" s="93"/>
      <c r="CH432" s="93"/>
      <c r="CI432" s="93"/>
      <c r="CJ432" s="93"/>
      <c r="CK432" s="93"/>
      <c r="CL432" s="93"/>
      <c r="CM432" s="93"/>
      <c r="CN432" s="93"/>
      <c r="CO432" s="93"/>
      <c r="CP432" s="93"/>
      <c r="CQ432" s="93"/>
      <c r="CR432" s="93"/>
      <c r="CS432" s="93"/>
      <c r="CT432" s="93"/>
      <c r="CU432" s="93"/>
      <c r="CV432" s="93"/>
      <c r="CW432" s="93"/>
      <c r="CX432" s="93"/>
      <c r="CY432" s="93"/>
      <c r="CZ432" s="93"/>
      <c r="DA432" s="93"/>
      <c r="DB432" s="93"/>
      <c r="DC432" s="93"/>
      <c r="DD432" s="93"/>
      <c r="DE432" s="93"/>
      <c r="DF432" s="93"/>
      <c r="DG432" s="93"/>
      <c r="DH432" s="93"/>
      <c r="DI432" s="93"/>
      <c r="DJ432" s="93"/>
      <c r="DK432" s="93"/>
      <c r="DL432" s="93"/>
      <c r="DM432" s="93"/>
      <c r="DN432" s="93"/>
      <c r="DO432" s="93"/>
    </row>
    <row r="433" spans="1:119" ht="15">
      <c r="A433" s="1076"/>
      <c r="B433" s="6"/>
      <c r="C433" s="164"/>
      <c r="D433" s="1065"/>
      <c r="E433" s="807"/>
      <c r="F433" s="807"/>
      <c r="G433" s="827"/>
      <c r="H433" s="809" t="s">
        <v>8782</v>
      </c>
      <c r="I433" s="92">
        <v>18</v>
      </c>
      <c r="J433" s="92" t="s">
        <v>10</v>
      </c>
      <c r="K433" s="92" t="s">
        <v>768</v>
      </c>
      <c r="L433" s="810">
        <v>6</v>
      </c>
      <c r="M433" s="811" t="str">
        <f t="shared" si="31"/>
        <v>College Level</v>
      </c>
      <c r="O433" s="92"/>
      <c r="P433" s="1638"/>
      <c r="Q433" s="92"/>
      <c r="R433" s="92"/>
      <c r="V433" s="814">
        <f>SUM(S431:U433)</f>
        <v>0</v>
      </c>
      <c r="X433" s="811" t="str">
        <f t="shared" si="30"/>
        <v/>
      </c>
      <c r="AB433" s="814">
        <f>SUM(Y431:AA433)</f>
        <v>0</v>
      </c>
      <c r="AC433" s="809"/>
      <c r="AD433" s="824"/>
      <c r="AG433" s="807" t="str">
        <f t="shared" si="32"/>
        <v/>
      </c>
      <c r="AH433" s="809"/>
      <c r="AI433" s="809"/>
      <c r="AJ433" s="809"/>
      <c r="AK433" s="92"/>
      <c r="AM433" s="819"/>
      <c r="AN433" s="820"/>
      <c r="AQ433" s="93"/>
      <c r="AR433" s="93"/>
      <c r="AS433" s="93"/>
      <c r="AT433" s="93"/>
      <c r="AU433" s="93"/>
      <c r="AV433" s="93"/>
      <c r="AW433" s="93"/>
      <c r="AX433" s="93"/>
      <c r="AY433" s="93"/>
      <c r="AZ433" s="93"/>
      <c r="BA433" s="93"/>
      <c r="BB433" s="93"/>
      <c r="BL433" s="93"/>
      <c r="BM433" s="93"/>
      <c r="BT433" s="93"/>
      <c r="BU433" s="93"/>
      <c r="BV433" s="93"/>
      <c r="BW433" s="93"/>
      <c r="BX433" s="93"/>
      <c r="BY433" s="93"/>
      <c r="BZ433" s="93"/>
      <c r="CA433" s="93"/>
      <c r="CB433" s="93"/>
      <c r="CC433" s="93"/>
      <c r="CF433" s="93"/>
      <c r="CG433" s="93"/>
      <c r="CH433" s="93"/>
      <c r="CI433" s="93"/>
      <c r="CJ433" s="93"/>
      <c r="CK433" s="93"/>
      <c r="CL433" s="93"/>
      <c r="CM433" s="93"/>
      <c r="CN433" s="93"/>
      <c r="CO433" s="93"/>
      <c r="CP433" s="93"/>
      <c r="CQ433" s="93"/>
      <c r="CR433" s="93"/>
      <c r="CS433" s="93"/>
      <c r="CT433" s="93"/>
      <c r="CU433" s="93"/>
      <c r="CV433" s="93"/>
      <c r="CW433" s="93"/>
      <c r="CX433" s="93"/>
      <c r="CY433" s="93"/>
      <c r="CZ433" s="93"/>
      <c r="DA433" s="93"/>
      <c r="DB433" s="93"/>
      <c r="DC433" s="93"/>
      <c r="DD433" s="93"/>
      <c r="DE433" s="93"/>
      <c r="DF433" s="93"/>
      <c r="DG433" s="93"/>
      <c r="DH433" s="93"/>
      <c r="DI433" s="93"/>
      <c r="DJ433" s="93"/>
      <c r="DK433" s="93"/>
      <c r="DL433" s="93"/>
      <c r="DM433" s="93"/>
      <c r="DN433" s="93"/>
      <c r="DO433" s="93"/>
    </row>
    <row r="434" spans="1:119" ht="15">
      <c r="A434" s="154" t="s">
        <v>12446</v>
      </c>
      <c r="B434" s="288" t="s">
        <v>7964</v>
      </c>
      <c r="C434" s="171" t="s">
        <v>329</v>
      </c>
      <c r="D434" s="1065" t="s">
        <v>329</v>
      </c>
      <c r="E434" s="807"/>
      <c r="F434" s="807"/>
      <c r="G434" s="809" t="s">
        <v>329</v>
      </c>
      <c r="H434" s="809" t="s">
        <v>1963</v>
      </c>
      <c r="I434" s="92">
        <v>39</v>
      </c>
      <c r="J434" s="92" t="s">
        <v>10</v>
      </c>
      <c r="K434" s="92" t="s">
        <v>707</v>
      </c>
      <c r="L434" s="810">
        <v>8</v>
      </c>
      <c r="M434" s="811" t="str">
        <f t="shared" si="31"/>
        <v>Vocational Level</v>
      </c>
      <c r="N434" s="92" t="s">
        <v>1208</v>
      </c>
      <c r="O434" s="92" t="s">
        <v>8783</v>
      </c>
      <c r="P434" s="1638" t="s">
        <v>12602</v>
      </c>
      <c r="Q434" s="92" t="s">
        <v>8783</v>
      </c>
      <c r="R434" s="92" t="s">
        <v>8234</v>
      </c>
      <c r="S434" s="813">
        <v>12000</v>
      </c>
      <c r="V434" s="828"/>
      <c r="W434" s="815">
        <v>4</v>
      </c>
      <c r="X434" s="811" t="str">
        <f t="shared" si="30"/>
        <v>Other Province</v>
      </c>
      <c r="Y434" s="816">
        <v>800</v>
      </c>
      <c r="AB434" s="828"/>
      <c r="AC434" s="809" t="s">
        <v>8780</v>
      </c>
      <c r="AD434" s="824"/>
      <c r="AG434" s="807" t="str">
        <f t="shared" si="32"/>
        <v/>
      </c>
      <c r="AH434" s="809"/>
      <c r="AI434" s="809"/>
      <c r="AJ434" s="809"/>
      <c r="AK434" s="92"/>
      <c r="AM434" s="819"/>
      <c r="AN434" s="820"/>
      <c r="AQ434" s="93"/>
      <c r="AR434" s="93"/>
      <c r="AS434" s="93"/>
      <c r="AT434" s="93"/>
      <c r="AU434" s="93"/>
      <c r="AV434" s="93"/>
      <c r="AW434" s="93"/>
      <c r="AX434" s="93"/>
      <c r="AY434" s="93"/>
      <c r="AZ434" s="93"/>
      <c r="BA434" s="93"/>
      <c r="BB434" s="93"/>
      <c r="BL434" s="93"/>
      <c r="BM434" s="93"/>
      <c r="BT434" s="93"/>
      <c r="BU434" s="93"/>
      <c r="BV434" s="93"/>
      <c r="BW434" s="93" t="s">
        <v>2144</v>
      </c>
      <c r="BX434" s="93"/>
      <c r="BY434" s="93"/>
      <c r="BZ434" s="93"/>
      <c r="CA434" s="93"/>
      <c r="CB434" s="93"/>
      <c r="CC434" s="93"/>
      <c r="CF434" s="93"/>
      <c r="CG434" s="93"/>
      <c r="CH434" s="93"/>
      <c r="CI434" s="93"/>
      <c r="CJ434" s="93"/>
      <c r="CK434" s="93"/>
      <c r="CL434" s="93"/>
      <c r="CM434" s="93"/>
      <c r="CN434" s="93"/>
      <c r="CO434" s="93"/>
      <c r="CP434" s="93"/>
      <c r="CQ434" s="93"/>
      <c r="CR434" s="93" t="s">
        <v>2145</v>
      </c>
      <c r="CS434" s="93" t="s">
        <v>2146</v>
      </c>
      <c r="CT434" s="93"/>
      <c r="CU434" s="93"/>
      <c r="CV434" s="93"/>
      <c r="CW434" s="93"/>
      <c r="CX434" s="93"/>
      <c r="CY434" s="93"/>
      <c r="CZ434" s="93"/>
      <c r="DA434" s="93"/>
      <c r="DB434" s="93"/>
      <c r="DC434" s="93"/>
      <c r="DD434" s="93"/>
      <c r="DE434" s="93"/>
      <c r="DF434" s="93"/>
      <c r="DG434" s="93"/>
      <c r="DH434" s="93"/>
      <c r="DI434" s="93"/>
      <c r="DJ434" s="93"/>
      <c r="DK434" s="93"/>
      <c r="DL434" s="93"/>
      <c r="DM434" s="93"/>
      <c r="DN434" s="93"/>
      <c r="DO434" s="93"/>
    </row>
    <row r="435" spans="1:119" ht="15">
      <c r="A435" s="154" t="s">
        <v>12446</v>
      </c>
      <c r="C435" s="807"/>
      <c r="D435" s="1065" t="s">
        <v>329</v>
      </c>
      <c r="E435" s="807"/>
      <c r="F435" s="807"/>
      <c r="G435" s="827"/>
      <c r="H435" s="809" t="s">
        <v>8784</v>
      </c>
      <c r="I435" s="92">
        <v>40</v>
      </c>
      <c r="J435" s="92" t="s">
        <v>18</v>
      </c>
      <c r="K435" s="92" t="s">
        <v>707</v>
      </c>
      <c r="L435" s="810">
        <v>5</v>
      </c>
      <c r="M435" s="811" t="str">
        <f t="shared" si="31"/>
        <v>High School Graduate</v>
      </c>
      <c r="N435" s="92" t="s">
        <v>1208</v>
      </c>
      <c r="O435" s="92" t="s">
        <v>1898</v>
      </c>
      <c r="P435" s="1638"/>
      <c r="Q435" s="92" t="s">
        <v>1898</v>
      </c>
      <c r="R435" s="92"/>
      <c r="T435" s="813">
        <v>2500</v>
      </c>
      <c r="V435" s="828"/>
      <c r="W435" s="815">
        <v>1</v>
      </c>
      <c r="X435" s="811" t="str">
        <f t="shared" si="30"/>
        <v>within the Brgy</v>
      </c>
      <c r="Y435" s="816">
        <v>480</v>
      </c>
      <c r="AB435" s="828"/>
      <c r="AC435" s="809"/>
      <c r="AD435" s="824"/>
      <c r="AG435" s="807" t="str">
        <f t="shared" si="32"/>
        <v/>
      </c>
      <c r="AH435" s="809"/>
      <c r="AI435" s="809"/>
      <c r="AJ435" s="809"/>
      <c r="AK435" s="92"/>
      <c r="AM435" s="819"/>
      <c r="AN435" s="820"/>
      <c r="AQ435" s="93"/>
      <c r="AR435" s="93"/>
      <c r="AS435" s="93"/>
      <c r="AT435" s="93"/>
      <c r="AU435" s="93"/>
      <c r="AV435" s="93"/>
      <c r="AW435" s="93"/>
      <c r="AX435" s="93"/>
      <c r="AY435" s="93"/>
      <c r="AZ435" s="93"/>
      <c r="BA435" s="93"/>
      <c r="BB435" s="93"/>
      <c r="BL435" s="93"/>
      <c r="BM435" s="93"/>
      <c r="BT435" s="93"/>
      <c r="BU435" s="93"/>
      <c r="BV435" s="93"/>
      <c r="BW435" s="93" t="s">
        <v>2144</v>
      </c>
      <c r="BX435" s="93"/>
      <c r="BY435" s="93"/>
      <c r="BZ435" s="93"/>
      <c r="CA435" s="93"/>
      <c r="CB435" s="93"/>
      <c r="CC435" s="93"/>
      <c r="CF435" s="93"/>
      <c r="CG435" s="93"/>
      <c r="CH435" s="93"/>
      <c r="CI435" s="93"/>
      <c r="CJ435" s="93"/>
      <c r="CK435" s="93"/>
      <c r="CL435" s="93"/>
      <c r="CM435" s="93"/>
      <c r="CN435" s="93"/>
      <c r="CO435" s="93"/>
      <c r="CP435" s="93"/>
      <c r="CQ435" s="93"/>
      <c r="CR435" s="93" t="s">
        <v>2145</v>
      </c>
      <c r="CS435" s="93" t="s">
        <v>2146</v>
      </c>
      <c r="CT435" s="93"/>
      <c r="CU435" s="93"/>
      <c r="CV435" s="93"/>
      <c r="CW435" s="93"/>
      <c r="CX435" s="93"/>
      <c r="CY435" s="93"/>
      <c r="CZ435" s="93"/>
      <c r="DA435" s="93"/>
      <c r="DB435" s="93"/>
      <c r="DC435" s="93"/>
      <c r="DD435" s="93"/>
      <c r="DE435" s="93"/>
      <c r="DF435" s="93"/>
      <c r="DG435" s="93"/>
      <c r="DH435" s="93"/>
      <c r="DI435" s="93"/>
      <c r="DJ435" s="93"/>
      <c r="DK435" s="93"/>
      <c r="DL435" s="93"/>
      <c r="DM435" s="93"/>
      <c r="DN435" s="93"/>
      <c r="DO435" s="93"/>
    </row>
    <row r="436" spans="1:119" ht="15">
      <c r="A436" s="154" t="s">
        <v>12446</v>
      </c>
      <c r="C436" s="807"/>
      <c r="D436" s="1065" t="s">
        <v>329</v>
      </c>
      <c r="E436" s="807"/>
      <c r="F436" s="807"/>
      <c r="G436" s="827"/>
      <c r="H436" s="809" t="s">
        <v>8785</v>
      </c>
      <c r="I436" s="92">
        <v>9</v>
      </c>
      <c r="J436" s="92" t="s">
        <v>18</v>
      </c>
      <c r="K436" s="92" t="s">
        <v>768</v>
      </c>
      <c r="L436" s="810">
        <v>2</v>
      </c>
      <c r="M436" s="811" t="str">
        <f t="shared" si="31"/>
        <v>Elementary Level</v>
      </c>
      <c r="O436" s="92"/>
      <c r="P436" s="1638"/>
      <c r="Q436" s="92"/>
      <c r="R436" s="92"/>
      <c r="V436" s="828"/>
      <c r="X436" s="811" t="str">
        <f t="shared" si="30"/>
        <v/>
      </c>
      <c r="AB436" s="828"/>
      <c r="AC436" s="809"/>
      <c r="AD436" s="824"/>
      <c r="AG436" s="807" t="str">
        <f t="shared" si="32"/>
        <v/>
      </c>
      <c r="AH436" s="809"/>
      <c r="AI436" s="809"/>
      <c r="AJ436" s="809"/>
      <c r="AK436" s="92"/>
      <c r="AM436" s="819"/>
      <c r="AN436" s="820"/>
      <c r="AQ436" s="93"/>
      <c r="AR436" s="93"/>
      <c r="AS436" s="93"/>
      <c r="AT436" s="93"/>
      <c r="AU436" s="93"/>
      <c r="AV436" s="93"/>
      <c r="AW436" s="93"/>
      <c r="AX436" s="93"/>
      <c r="AY436" s="93"/>
      <c r="AZ436" s="93"/>
      <c r="BA436" s="93"/>
      <c r="BB436" s="93"/>
      <c r="BL436" s="93"/>
      <c r="BM436" s="93"/>
      <c r="BT436" s="93"/>
      <c r="BU436" s="93"/>
      <c r="BV436" s="93"/>
      <c r="BW436" s="93"/>
      <c r="BX436" s="93"/>
      <c r="BY436" s="93"/>
      <c r="BZ436" s="93"/>
      <c r="CA436" s="93"/>
      <c r="CB436" s="93"/>
      <c r="CC436" s="93"/>
      <c r="CF436" s="93"/>
      <c r="CG436" s="93"/>
      <c r="CH436" s="93"/>
      <c r="CI436" s="93"/>
      <c r="CJ436" s="93"/>
      <c r="CK436" s="93"/>
      <c r="CL436" s="93"/>
      <c r="CM436" s="93"/>
      <c r="CN436" s="93"/>
      <c r="CO436" s="93"/>
      <c r="CP436" s="93"/>
      <c r="CQ436" s="93"/>
      <c r="CR436" s="93"/>
      <c r="CS436" s="93"/>
      <c r="CT436" s="93"/>
      <c r="CU436" s="93"/>
      <c r="CV436" s="93"/>
      <c r="CW436" s="93"/>
      <c r="CX436" s="93"/>
      <c r="CY436" s="93"/>
      <c r="CZ436" s="93"/>
      <c r="DA436" s="93"/>
      <c r="DB436" s="93"/>
      <c r="DC436" s="93"/>
      <c r="DD436" s="93"/>
      <c r="DE436" s="93"/>
      <c r="DF436" s="93"/>
      <c r="DG436" s="93"/>
      <c r="DH436" s="93"/>
      <c r="DI436" s="93"/>
      <c r="DJ436" s="93"/>
      <c r="DK436" s="93"/>
      <c r="DL436" s="93"/>
      <c r="DM436" s="93"/>
      <c r="DN436" s="93"/>
      <c r="DO436" s="93"/>
    </row>
    <row r="437" spans="1:119" ht="15">
      <c r="A437" s="154" t="s">
        <v>12446</v>
      </c>
      <c r="C437" s="807"/>
      <c r="D437" s="1065" t="s">
        <v>329</v>
      </c>
      <c r="E437" s="807"/>
      <c r="F437" s="807"/>
      <c r="G437" s="827"/>
      <c r="H437" s="809" t="s">
        <v>8786</v>
      </c>
      <c r="I437" s="92">
        <v>29</v>
      </c>
      <c r="J437" s="92" t="s">
        <v>10</v>
      </c>
      <c r="K437" s="92" t="s">
        <v>722</v>
      </c>
      <c r="L437" s="810">
        <v>4</v>
      </c>
      <c r="M437" s="811" t="str">
        <f t="shared" si="31"/>
        <v>High School Level</v>
      </c>
      <c r="N437" s="92" t="s">
        <v>1208</v>
      </c>
      <c r="O437" s="92" t="s">
        <v>8310</v>
      </c>
      <c r="P437" s="1638"/>
      <c r="Q437" s="92" t="s">
        <v>8310</v>
      </c>
      <c r="R437" s="92"/>
      <c r="S437" s="813">
        <v>14000</v>
      </c>
      <c r="V437" s="828"/>
      <c r="W437" s="815">
        <v>4</v>
      </c>
      <c r="X437" s="811" t="str">
        <f t="shared" si="30"/>
        <v>Other Province</v>
      </c>
      <c r="Y437" s="816">
        <v>2400</v>
      </c>
      <c r="AB437" s="828"/>
      <c r="AC437" s="809" t="s">
        <v>8310</v>
      </c>
      <c r="AD437" s="824"/>
      <c r="AG437" s="807" t="str">
        <f t="shared" si="32"/>
        <v/>
      </c>
      <c r="AH437" s="809"/>
      <c r="AI437" s="809"/>
      <c r="AJ437" s="809"/>
      <c r="AK437" s="92"/>
      <c r="AM437" s="819"/>
      <c r="AN437" s="820"/>
      <c r="AQ437" s="93"/>
      <c r="AR437" s="93"/>
      <c r="AS437" s="93"/>
      <c r="AT437" s="93"/>
      <c r="AU437" s="93"/>
      <c r="AV437" s="93"/>
      <c r="AW437" s="93"/>
      <c r="AX437" s="93"/>
      <c r="AY437" s="93"/>
      <c r="AZ437" s="93"/>
      <c r="BA437" s="93"/>
      <c r="BB437" s="93"/>
      <c r="BL437" s="93"/>
      <c r="BM437" s="93"/>
      <c r="BT437" s="93"/>
      <c r="BU437" s="93"/>
      <c r="BV437" s="93"/>
      <c r="BW437" s="93"/>
      <c r="BX437" s="93"/>
      <c r="BY437" s="93"/>
      <c r="BZ437" s="93"/>
      <c r="CA437" s="93"/>
      <c r="CB437" s="93"/>
      <c r="CC437" s="93"/>
      <c r="CF437" s="93"/>
      <c r="CG437" s="93"/>
      <c r="CH437" s="93"/>
      <c r="CI437" s="93"/>
      <c r="CJ437" s="93"/>
      <c r="CK437" s="93"/>
      <c r="CL437" s="93"/>
      <c r="CM437" s="93"/>
      <c r="CN437" s="93"/>
      <c r="CO437" s="93"/>
      <c r="CP437" s="93"/>
      <c r="CQ437" s="93"/>
      <c r="CR437" s="93"/>
      <c r="CS437" s="93"/>
      <c r="CT437" s="93"/>
      <c r="CU437" s="93"/>
      <c r="CV437" s="93"/>
      <c r="CW437" s="93"/>
      <c r="CX437" s="93"/>
      <c r="CY437" s="93"/>
      <c r="CZ437" s="93"/>
      <c r="DA437" s="93"/>
      <c r="DB437" s="93"/>
      <c r="DC437" s="93"/>
      <c r="DD437" s="93"/>
      <c r="DE437" s="93"/>
      <c r="DF437" s="93"/>
      <c r="DG437" s="93"/>
      <c r="DH437" s="93"/>
      <c r="DI437" s="93"/>
      <c r="DJ437" s="93"/>
      <c r="DK437" s="93"/>
      <c r="DL437" s="93"/>
      <c r="DM437" s="93"/>
      <c r="DN437" s="93"/>
      <c r="DO437" s="93"/>
    </row>
    <row r="438" spans="1:119" ht="15">
      <c r="A438" s="154" t="s">
        <v>12446</v>
      </c>
      <c r="C438" s="807"/>
      <c r="D438" s="1065" t="s">
        <v>329</v>
      </c>
      <c r="E438" s="807"/>
      <c r="F438" s="807"/>
      <c r="G438" s="827"/>
      <c r="H438" s="809" t="s">
        <v>8787</v>
      </c>
      <c r="I438" s="92">
        <v>31</v>
      </c>
      <c r="J438" s="92" t="s">
        <v>18</v>
      </c>
      <c r="K438" s="92" t="s">
        <v>722</v>
      </c>
      <c r="L438" s="810">
        <v>5</v>
      </c>
      <c r="M438" s="811" t="str">
        <f t="shared" si="31"/>
        <v>High School Graduate</v>
      </c>
      <c r="O438" s="92"/>
      <c r="P438" s="1638"/>
      <c r="Q438" s="92"/>
      <c r="R438" s="92"/>
      <c r="V438" s="828"/>
      <c r="X438" s="811" t="str">
        <f t="shared" si="30"/>
        <v/>
      </c>
      <c r="AB438" s="828"/>
      <c r="AC438" s="809"/>
      <c r="AD438" s="824"/>
      <c r="AG438" s="807" t="str">
        <f t="shared" si="32"/>
        <v/>
      </c>
      <c r="AH438" s="809"/>
      <c r="AI438" s="809"/>
      <c r="AJ438" s="809"/>
      <c r="AK438" s="92"/>
      <c r="AM438" s="819"/>
      <c r="AN438" s="820"/>
      <c r="AQ438" s="93"/>
      <c r="AR438" s="93"/>
      <c r="AS438" s="93"/>
      <c r="AT438" s="93"/>
      <c r="AU438" s="93"/>
      <c r="AV438" s="93"/>
      <c r="AW438" s="93"/>
      <c r="AX438" s="93"/>
      <c r="AY438" s="93"/>
      <c r="AZ438" s="93"/>
      <c r="BA438" s="93"/>
      <c r="BB438" s="93"/>
      <c r="BL438" s="93"/>
      <c r="BM438" s="93"/>
      <c r="BT438" s="93"/>
      <c r="BU438" s="93"/>
      <c r="BV438" s="93"/>
      <c r="BW438" s="93"/>
      <c r="BX438" s="93"/>
      <c r="BY438" s="93"/>
      <c r="BZ438" s="93"/>
      <c r="CA438" s="93"/>
      <c r="CB438" s="93"/>
      <c r="CC438" s="93"/>
      <c r="CF438" s="93"/>
      <c r="CG438" s="93"/>
      <c r="CH438" s="93"/>
      <c r="CI438" s="93"/>
      <c r="CJ438" s="93"/>
      <c r="CK438" s="93"/>
      <c r="CL438" s="93"/>
      <c r="CM438" s="93"/>
      <c r="CN438" s="93"/>
      <c r="CO438" s="93"/>
      <c r="CP438" s="93"/>
      <c r="CQ438" s="93"/>
      <c r="CR438" s="93"/>
      <c r="CS438" s="93"/>
      <c r="CT438" s="93"/>
      <c r="CU438" s="93"/>
      <c r="CV438" s="93"/>
      <c r="CW438" s="93"/>
      <c r="CX438" s="93"/>
      <c r="CY438" s="93"/>
      <c r="CZ438" s="93"/>
      <c r="DA438" s="93"/>
      <c r="DB438" s="93"/>
      <c r="DC438" s="93"/>
      <c r="DD438" s="93"/>
      <c r="DE438" s="93"/>
      <c r="DF438" s="93"/>
      <c r="DG438" s="93"/>
      <c r="DH438" s="93"/>
      <c r="DI438" s="93"/>
      <c r="DJ438" s="93"/>
      <c r="DK438" s="93"/>
      <c r="DL438" s="93"/>
      <c r="DM438" s="93"/>
      <c r="DN438" s="93"/>
      <c r="DO438" s="93"/>
    </row>
    <row r="439" spans="1:119" ht="15">
      <c r="A439" s="154" t="s">
        <v>12446</v>
      </c>
      <c r="C439" s="807"/>
      <c r="D439" s="1065" t="s">
        <v>329</v>
      </c>
      <c r="E439" s="807"/>
      <c r="F439" s="807"/>
      <c r="G439" s="827"/>
      <c r="H439" s="809" t="s">
        <v>8788</v>
      </c>
      <c r="I439" s="92">
        <v>6</v>
      </c>
      <c r="J439" s="92" t="s">
        <v>10</v>
      </c>
      <c r="K439" s="92" t="s">
        <v>768</v>
      </c>
      <c r="L439" s="810">
        <v>2</v>
      </c>
      <c r="M439" s="811" t="str">
        <f t="shared" si="31"/>
        <v>Elementary Level</v>
      </c>
      <c r="O439" s="92"/>
      <c r="P439" s="1638"/>
      <c r="Q439" s="92"/>
      <c r="R439" s="92"/>
      <c r="V439" s="828"/>
      <c r="X439" s="811" t="str">
        <f t="shared" si="30"/>
        <v/>
      </c>
      <c r="AB439" s="828"/>
      <c r="AC439" s="809"/>
      <c r="AD439" s="824"/>
      <c r="AG439" s="807" t="str">
        <f t="shared" si="32"/>
        <v/>
      </c>
      <c r="AH439" s="809"/>
      <c r="AI439" s="809"/>
      <c r="AJ439" s="809"/>
      <c r="AK439" s="92"/>
      <c r="AM439" s="819"/>
      <c r="AN439" s="820"/>
      <c r="AQ439" s="93"/>
      <c r="AR439" s="93"/>
      <c r="AS439" s="93"/>
      <c r="AT439" s="93"/>
      <c r="AU439" s="93"/>
      <c r="AV439" s="93"/>
      <c r="AW439" s="93"/>
      <c r="AX439" s="93"/>
      <c r="AY439" s="93"/>
      <c r="AZ439" s="93"/>
      <c r="BA439" s="93"/>
      <c r="BB439" s="93"/>
      <c r="BL439" s="93"/>
      <c r="BM439" s="93"/>
      <c r="BT439" s="93"/>
      <c r="BU439" s="93"/>
      <c r="BV439" s="93"/>
      <c r="BW439" s="93"/>
      <c r="BX439" s="93"/>
      <c r="BY439" s="93"/>
      <c r="BZ439" s="93"/>
      <c r="CA439" s="93"/>
      <c r="CB439" s="93"/>
      <c r="CC439" s="93"/>
      <c r="CF439" s="93"/>
      <c r="CG439" s="93"/>
      <c r="CH439" s="93"/>
      <c r="CI439" s="93"/>
      <c r="CJ439" s="93"/>
      <c r="CK439" s="93"/>
      <c r="CL439" s="93"/>
      <c r="CM439" s="93"/>
      <c r="CN439" s="93"/>
      <c r="CO439" s="93"/>
      <c r="CP439" s="93"/>
      <c r="CQ439" s="93"/>
      <c r="CR439" s="93"/>
      <c r="CS439" s="93"/>
      <c r="CT439" s="93"/>
      <c r="CU439" s="93"/>
      <c r="CV439" s="93"/>
      <c r="CW439" s="93"/>
      <c r="CX439" s="93"/>
      <c r="CY439" s="93"/>
      <c r="CZ439" s="93"/>
      <c r="DA439" s="93"/>
      <c r="DB439" s="93"/>
      <c r="DC439" s="93"/>
      <c r="DD439" s="93"/>
      <c r="DE439" s="93"/>
      <c r="DF439" s="93"/>
      <c r="DG439" s="93"/>
      <c r="DH439" s="93"/>
      <c r="DI439" s="93"/>
      <c r="DJ439" s="93"/>
      <c r="DK439" s="93"/>
      <c r="DL439" s="93"/>
      <c r="DM439" s="93"/>
      <c r="DN439" s="93"/>
      <c r="DO439" s="93"/>
    </row>
    <row r="440" spans="1:119" ht="15">
      <c r="A440" s="154" t="s">
        <v>12446</v>
      </c>
      <c r="C440" s="807"/>
      <c r="D440" s="1065" t="s">
        <v>329</v>
      </c>
      <c r="E440" s="807"/>
      <c r="F440" s="807"/>
      <c r="G440" s="827"/>
      <c r="H440" s="809" t="s">
        <v>8789</v>
      </c>
      <c r="I440" s="92">
        <v>4</v>
      </c>
      <c r="J440" s="92" t="s">
        <v>10</v>
      </c>
      <c r="K440" s="92" t="s">
        <v>768</v>
      </c>
      <c r="L440" s="810">
        <v>10</v>
      </c>
      <c r="M440" s="811" t="str">
        <f t="shared" si="31"/>
        <v>Not In School Age</v>
      </c>
      <c r="O440" s="92"/>
      <c r="P440" s="1638"/>
      <c r="Q440" s="92"/>
      <c r="R440" s="92"/>
      <c r="V440" s="828"/>
      <c r="X440" s="811" t="str">
        <f t="shared" si="30"/>
        <v/>
      </c>
      <c r="AB440" s="828"/>
      <c r="AC440" s="809"/>
      <c r="AD440" s="824"/>
      <c r="AG440" s="807" t="str">
        <f t="shared" si="32"/>
        <v/>
      </c>
      <c r="AH440" s="809"/>
      <c r="AI440" s="809"/>
      <c r="AJ440" s="809"/>
      <c r="AK440" s="92"/>
      <c r="AM440" s="819"/>
      <c r="AN440" s="820"/>
      <c r="AQ440" s="93"/>
      <c r="AR440" s="93"/>
      <c r="AS440" s="93"/>
      <c r="AT440" s="93"/>
      <c r="AU440" s="93"/>
      <c r="AV440" s="93"/>
      <c r="AW440" s="93"/>
      <c r="AX440" s="93"/>
      <c r="AY440" s="93"/>
      <c r="AZ440" s="93"/>
      <c r="BA440" s="93"/>
      <c r="BB440" s="93"/>
      <c r="BL440" s="93"/>
      <c r="BM440" s="93"/>
      <c r="BT440" s="93"/>
      <c r="BU440" s="93"/>
      <c r="BV440" s="93"/>
      <c r="BW440" s="93"/>
      <c r="BX440" s="93"/>
      <c r="BY440" s="93"/>
      <c r="BZ440" s="93"/>
      <c r="CA440" s="93"/>
      <c r="CB440" s="93"/>
      <c r="CC440" s="93"/>
      <c r="CF440" s="93"/>
      <c r="CG440" s="93"/>
      <c r="CH440" s="93"/>
      <c r="CI440" s="93"/>
      <c r="CJ440" s="93"/>
      <c r="CK440" s="93"/>
      <c r="CL440" s="93"/>
      <c r="CM440" s="93"/>
      <c r="CN440" s="93"/>
      <c r="CO440" s="93"/>
      <c r="CP440" s="93"/>
      <c r="CQ440" s="93"/>
      <c r="CR440" s="93"/>
      <c r="CS440" s="93"/>
      <c r="CT440" s="93"/>
      <c r="CU440" s="93"/>
      <c r="CV440" s="93"/>
      <c r="CW440" s="93"/>
      <c r="CX440" s="93"/>
      <c r="CY440" s="93"/>
      <c r="CZ440" s="93"/>
      <c r="DA440" s="93"/>
      <c r="DB440" s="93"/>
      <c r="DC440" s="93"/>
      <c r="DD440" s="93"/>
      <c r="DE440" s="93"/>
      <c r="DF440" s="93"/>
      <c r="DG440" s="93"/>
      <c r="DH440" s="93"/>
      <c r="DI440" s="93"/>
      <c r="DJ440" s="93"/>
      <c r="DK440" s="93"/>
      <c r="DL440" s="93"/>
      <c r="DM440" s="93"/>
      <c r="DN440" s="93"/>
      <c r="DO440" s="93"/>
    </row>
    <row r="441" spans="1:119" ht="15">
      <c r="A441" s="154" t="s">
        <v>12446</v>
      </c>
      <c r="C441" s="807"/>
      <c r="D441" s="1065" t="s">
        <v>329</v>
      </c>
      <c r="E441" s="807"/>
      <c r="F441" s="807"/>
      <c r="G441" s="827"/>
      <c r="H441" s="809" t="s">
        <v>8790</v>
      </c>
      <c r="I441" s="92">
        <v>2</v>
      </c>
      <c r="J441" s="92" t="s">
        <v>10</v>
      </c>
      <c r="K441" s="92" t="s">
        <v>768</v>
      </c>
      <c r="L441" s="810">
        <v>10</v>
      </c>
      <c r="M441" s="811" t="str">
        <f t="shared" si="31"/>
        <v>Not In School Age</v>
      </c>
      <c r="O441" s="92"/>
      <c r="P441" s="1638"/>
      <c r="Q441" s="92"/>
      <c r="R441" s="92"/>
      <c r="V441" s="828">
        <f>SUM(S434:U441)</f>
        <v>28500</v>
      </c>
      <c r="X441" s="811" t="str">
        <f t="shared" si="30"/>
        <v/>
      </c>
      <c r="AB441" s="828">
        <f>SUM(Y434:AA441)</f>
        <v>3680</v>
      </c>
      <c r="AC441" s="809"/>
      <c r="AD441" s="824"/>
      <c r="AG441" s="807" t="str">
        <f t="shared" si="32"/>
        <v/>
      </c>
      <c r="AH441" s="809"/>
      <c r="AI441" s="809"/>
      <c r="AJ441" s="809"/>
      <c r="AK441" s="92"/>
      <c r="AM441" s="819"/>
      <c r="AN441" s="820"/>
      <c r="AQ441" s="93"/>
      <c r="AR441" s="93"/>
      <c r="AS441" s="93"/>
      <c r="AT441" s="93"/>
      <c r="AU441" s="93"/>
      <c r="AV441" s="93"/>
      <c r="AW441" s="93"/>
      <c r="AX441" s="93"/>
      <c r="AY441" s="93"/>
      <c r="AZ441" s="93"/>
      <c r="BA441" s="93"/>
      <c r="BB441" s="93"/>
      <c r="BL441" s="93"/>
      <c r="BM441" s="93"/>
      <c r="BT441" s="93"/>
      <c r="BU441" s="93"/>
      <c r="BV441" s="93"/>
      <c r="BW441" s="93"/>
      <c r="BX441" s="93"/>
      <c r="BY441" s="93"/>
      <c r="BZ441" s="93"/>
      <c r="CA441" s="93"/>
      <c r="CB441" s="93"/>
      <c r="CC441" s="93"/>
      <c r="CF441" s="93"/>
      <c r="CG441" s="93"/>
      <c r="CH441" s="93"/>
      <c r="CI441" s="93"/>
      <c r="CJ441" s="93"/>
      <c r="CK441" s="93"/>
      <c r="CL441" s="93"/>
      <c r="CM441" s="93"/>
      <c r="CN441" s="93"/>
      <c r="CO441" s="93"/>
      <c r="CP441" s="93"/>
      <c r="CQ441" s="93"/>
      <c r="CR441" s="93"/>
      <c r="CS441" s="93"/>
      <c r="CT441" s="93"/>
      <c r="CU441" s="93"/>
      <c r="CV441" s="93"/>
      <c r="CW441" s="93"/>
      <c r="CX441" s="93"/>
      <c r="CY441" s="93"/>
      <c r="CZ441" s="93"/>
      <c r="DA441" s="93"/>
      <c r="DB441" s="93"/>
      <c r="DC441" s="93"/>
      <c r="DD441" s="93"/>
      <c r="DE441" s="93"/>
      <c r="DF441" s="93"/>
      <c r="DG441" s="93"/>
      <c r="DH441" s="93"/>
      <c r="DI441" s="93"/>
      <c r="DJ441" s="93"/>
      <c r="DK441" s="93"/>
      <c r="DL441" s="93"/>
      <c r="DM441" s="93"/>
      <c r="DN441" s="93"/>
      <c r="DO441" s="93"/>
    </row>
    <row r="442" spans="1:119" ht="15">
      <c r="A442" s="807"/>
      <c r="C442" s="807"/>
      <c r="D442" s="1065" t="s">
        <v>333</v>
      </c>
      <c r="E442" s="807"/>
      <c r="F442" s="807"/>
      <c r="G442" s="809" t="s">
        <v>333</v>
      </c>
      <c r="H442" s="809" t="s">
        <v>2075</v>
      </c>
      <c r="I442" s="92">
        <v>50</v>
      </c>
      <c r="J442" s="92" t="s">
        <v>18</v>
      </c>
      <c r="K442" s="92" t="s">
        <v>768</v>
      </c>
      <c r="L442" s="810">
        <v>5</v>
      </c>
      <c r="M442" s="811" t="str">
        <f t="shared" si="31"/>
        <v>High School Graduate</v>
      </c>
      <c r="N442" s="92" t="s">
        <v>1208</v>
      </c>
      <c r="O442" s="92" t="s">
        <v>3614</v>
      </c>
      <c r="P442" s="1638"/>
      <c r="Q442" s="92" t="s">
        <v>3614</v>
      </c>
      <c r="R442" s="92" t="s">
        <v>8234</v>
      </c>
      <c r="U442" s="813">
        <v>10000</v>
      </c>
      <c r="V442" s="830"/>
      <c r="W442" s="815">
        <v>1</v>
      </c>
      <c r="X442" s="811" t="str">
        <f t="shared" si="30"/>
        <v>within the Brgy</v>
      </c>
      <c r="AB442" s="830"/>
      <c r="AC442" s="809"/>
      <c r="AD442" s="824"/>
      <c r="AG442" s="807" t="str">
        <f t="shared" si="32"/>
        <v/>
      </c>
      <c r="AH442" s="809" t="s">
        <v>2164</v>
      </c>
      <c r="AI442" s="809"/>
      <c r="AJ442" s="848"/>
      <c r="AK442" s="92"/>
      <c r="AM442" s="819"/>
      <c r="AN442" s="820"/>
      <c r="AO442" s="817" t="s">
        <v>2164</v>
      </c>
      <c r="AQ442" s="93"/>
      <c r="AR442" s="93"/>
      <c r="AS442" s="93"/>
      <c r="AT442" s="93"/>
      <c r="AU442" s="93"/>
      <c r="AV442" s="93"/>
      <c r="AW442" s="93"/>
      <c r="AX442" s="93"/>
      <c r="AY442" s="93"/>
      <c r="AZ442" s="93"/>
      <c r="BA442" s="93"/>
      <c r="BB442" s="93"/>
      <c r="BL442" s="93"/>
      <c r="BM442" s="93"/>
      <c r="BT442" s="93"/>
      <c r="BU442" s="93"/>
      <c r="BV442" s="93"/>
      <c r="BW442" s="93"/>
      <c r="BX442" s="93"/>
      <c r="BY442" s="93"/>
      <c r="BZ442" s="93"/>
      <c r="CA442" s="93"/>
      <c r="CB442" s="93"/>
      <c r="CC442" s="93"/>
      <c r="CF442" s="93"/>
      <c r="CG442" s="93"/>
      <c r="CH442" s="93"/>
      <c r="CI442" s="93"/>
      <c r="CJ442" s="93"/>
      <c r="CK442" s="93"/>
      <c r="CL442" s="93"/>
      <c r="CM442" s="93"/>
      <c r="CN442" s="93"/>
      <c r="CO442" s="93"/>
      <c r="CP442" s="93"/>
      <c r="CQ442" s="93"/>
      <c r="CR442" s="93"/>
      <c r="CS442" s="93"/>
      <c r="CT442" s="93"/>
      <c r="CU442" s="93"/>
      <c r="CV442" s="93"/>
      <c r="CW442" s="93"/>
      <c r="CX442" s="93"/>
      <c r="CY442" s="93"/>
      <c r="CZ442" s="93"/>
      <c r="DA442" s="93"/>
      <c r="DB442" s="93"/>
      <c r="DC442" s="93"/>
      <c r="DD442" s="93"/>
      <c r="DE442" s="93"/>
      <c r="DF442" s="93"/>
      <c r="DG442" s="93"/>
      <c r="DH442" s="93"/>
      <c r="DI442" s="93"/>
      <c r="DJ442" s="93"/>
      <c r="DK442" s="93"/>
      <c r="DL442" s="93"/>
      <c r="DM442" s="93"/>
      <c r="DN442" s="93"/>
      <c r="DO442" s="93"/>
    </row>
    <row r="443" spans="1:119" ht="15">
      <c r="A443" s="807"/>
      <c r="C443" s="807"/>
      <c r="D443" s="1065"/>
      <c r="E443" s="807"/>
      <c r="F443" s="807"/>
      <c r="G443" s="827" t="s">
        <v>333</v>
      </c>
      <c r="H443" s="809" t="s">
        <v>1970</v>
      </c>
      <c r="I443" s="92">
        <v>71</v>
      </c>
      <c r="J443" s="92" t="s">
        <v>10</v>
      </c>
      <c r="K443" s="92" t="s">
        <v>707</v>
      </c>
      <c r="L443" s="810">
        <v>2</v>
      </c>
      <c r="M443" s="811" t="str">
        <f t="shared" si="31"/>
        <v>Elementary Level</v>
      </c>
      <c r="O443" s="92"/>
      <c r="P443" s="1638"/>
      <c r="Q443" s="92"/>
      <c r="R443" s="92"/>
      <c r="V443" s="830"/>
      <c r="X443" s="811" t="str">
        <f t="shared" si="30"/>
        <v/>
      </c>
      <c r="AB443" s="830"/>
      <c r="AC443" s="809"/>
      <c r="AD443" s="817" t="s">
        <v>8791</v>
      </c>
      <c r="AG443" s="807" t="str">
        <f t="shared" si="32"/>
        <v/>
      </c>
      <c r="AH443" s="809" t="s">
        <v>8792</v>
      </c>
      <c r="AI443" s="809"/>
      <c r="AJ443" s="848"/>
      <c r="AK443" s="92"/>
      <c r="AM443" s="819"/>
      <c r="AN443" s="820"/>
      <c r="AO443" s="817" t="s">
        <v>8792</v>
      </c>
      <c r="AQ443" s="93"/>
      <c r="AR443" s="93"/>
      <c r="AS443" s="93"/>
      <c r="AT443" s="93"/>
      <c r="AU443" s="93"/>
      <c r="AV443" s="93"/>
      <c r="AW443" s="93"/>
      <c r="AX443" s="93"/>
      <c r="AY443" s="93"/>
      <c r="AZ443" s="93"/>
      <c r="BA443" s="93"/>
      <c r="BB443" s="93"/>
      <c r="BL443" s="93"/>
      <c r="BM443" s="93"/>
      <c r="BT443" s="93"/>
      <c r="BU443" s="93"/>
      <c r="BV443" s="93"/>
      <c r="BW443" s="93"/>
      <c r="BX443" s="93"/>
      <c r="BY443" s="93"/>
      <c r="BZ443" s="93"/>
      <c r="CA443" s="93"/>
      <c r="CB443" s="93"/>
      <c r="CC443" s="93"/>
      <c r="CF443" s="93"/>
      <c r="CG443" s="93"/>
      <c r="CH443" s="93"/>
      <c r="CI443" s="93"/>
      <c r="CJ443" s="93"/>
      <c r="CK443" s="93"/>
      <c r="CL443" s="93"/>
      <c r="CM443" s="93"/>
      <c r="CN443" s="93"/>
      <c r="CO443" s="93"/>
      <c r="CP443" s="93"/>
      <c r="CQ443" s="93"/>
      <c r="CR443" s="93"/>
      <c r="CS443" s="93"/>
      <c r="CT443" s="93"/>
      <c r="CU443" s="93"/>
      <c r="CV443" s="93"/>
      <c r="CW443" s="93"/>
      <c r="CX443" s="93"/>
      <c r="CY443" s="93"/>
      <c r="CZ443" s="93"/>
      <c r="DA443" s="93"/>
      <c r="DB443" s="93"/>
      <c r="DC443" s="93"/>
      <c r="DD443" s="93"/>
      <c r="DE443" s="93"/>
      <c r="DF443" s="93"/>
      <c r="DG443" s="93"/>
      <c r="DH443" s="93"/>
      <c r="DI443" s="93"/>
      <c r="DJ443" s="93"/>
      <c r="DK443" s="93"/>
      <c r="DL443" s="93"/>
      <c r="DM443" s="93"/>
      <c r="DN443" s="93"/>
      <c r="DO443" s="93"/>
    </row>
    <row r="444" spans="1:119" ht="15">
      <c r="A444" s="807"/>
      <c r="C444" s="807"/>
      <c r="D444" s="1065"/>
      <c r="E444" s="807"/>
      <c r="F444" s="807"/>
      <c r="G444" s="827" t="s">
        <v>333</v>
      </c>
      <c r="H444" s="809" t="s">
        <v>8793</v>
      </c>
      <c r="I444" s="92">
        <v>74</v>
      </c>
      <c r="J444" s="92" t="s">
        <v>18</v>
      </c>
      <c r="K444" s="92" t="s">
        <v>707</v>
      </c>
      <c r="L444" s="810">
        <v>2</v>
      </c>
      <c r="M444" s="811" t="str">
        <f t="shared" si="31"/>
        <v>Elementary Level</v>
      </c>
      <c r="O444" s="92"/>
      <c r="P444" s="1638"/>
      <c r="Q444" s="92"/>
      <c r="R444" s="92"/>
      <c r="V444" s="830"/>
      <c r="X444" s="811" t="str">
        <f t="shared" si="30"/>
        <v/>
      </c>
      <c r="AB444" s="830"/>
      <c r="AC444" s="809"/>
      <c r="AD444" s="817" t="s">
        <v>8793</v>
      </c>
      <c r="AG444" s="807" t="str">
        <f t="shared" si="32"/>
        <v/>
      </c>
      <c r="AH444" s="809"/>
      <c r="AI444" s="809"/>
      <c r="AJ444" s="809"/>
      <c r="AK444" s="92"/>
      <c r="AM444" s="819"/>
      <c r="AN444" s="820"/>
      <c r="AQ444" s="93"/>
      <c r="AR444" s="93"/>
      <c r="AS444" s="93"/>
      <c r="AT444" s="93"/>
      <c r="AU444" s="93"/>
      <c r="AV444" s="93"/>
      <c r="AW444" s="93"/>
      <c r="AX444" s="93"/>
      <c r="AY444" s="93"/>
      <c r="AZ444" s="93"/>
      <c r="BA444" s="93"/>
      <c r="BB444" s="93"/>
      <c r="BL444" s="93"/>
      <c r="BM444" s="93"/>
      <c r="BT444" s="93"/>
      <c r="BU444" s="93"/>
      <c r="BV444" s="93"/>
      <c r="BW444" s="93"/>
      <c r="BX444" s="93"/>
      <c r="BY444" s="93"/>
      <c r="BZ444" s="93"/>
      <c r="CA444" s="93"/>
      <c r="CB444" s="93"/>
      <c r="CC444" s="93"/>
      <c r="CF444" s="93"/>
      <c r="CG444" s="93"/>
      <c r="CH444" s="93"/>
      <c r="CI444" s="93"/>
      <c r="CJ444" s="93"/>
      <c r="CK444" s="93"/>
      <c r="CL444" s="93"/>
      <c r="CM444" s="93"/>
      <c r="CN444" s="93"/>
      <c r="CO444" s="93"/>
      <c r="CP444" s="93"/>
      <c r="CQ444" s="93"/>
      <c r="CR444" s="93"/>
      <c r="CS444" s="93"/>
      <c r="CT444" s="93"/>
      <c r="CU444" s="93"/>
      <c r="CV444" s="93"/>
      <c r="CW444" s="93"/>
      <c r="CX444" s="93"/>
      <c r="CY444" s="93"/>
      <c r="CZ444" s="93"/>
      <c r="DA444" s="93"/>
      <c r="DB444" s="93"/>
      <c r="DC444" s="93"/>
      <c r="DD444" s="93"/>
      <c r="DE444" s="93"/>
      <c r="DF444" s="93"/>
      <c r="DG444" s="93"/>
      <c r="DH444" s="93"/>
      <c r="DI444" s="93"/>
      <c r="DJ444" s="93"/>
      <c r="DK444" s="93"/>
      <c r="DL444" s="93"/>
      <c r="DM444" s="93"/>
      <c r="DN444" s="93"/>
      <c r="DO444" s="93"/>
    </row>
    <row r="445" spans="1:119" ht="15">
      <c r="A445" s="807"/>
      <c r="C445" s="807"/>
      <c r="D445" s="1065"/>
      <c r="E445" s="807"/>
      <c r="F445" s="807"/>
      <c r="G445" s="827"/>
      <c r="H445" s="809" t="s">
        <v>8794</v>
      </c>
      <c r="I445" s="92">
        <v>52</v>
      </c>
      <c r="J445" s="92" t="s">
        <v>18</v>
      </c>
      <c r="K445" s="92" t="s">
        <v>783</v>
      </c>
      <c r="L445" s="810">
        <v>5</v>
      </c>
      <c r="M445" s="811" t="str">
        <f t="shared" si="31"/>
        <v>High School Graduate</v>
      </c>
      <c r="N445" s="92" t="s">
        <v>1208</v>
      </c>
      <c r="O445" s="92" t="s">
        <v>2230</v>
      </c>
      <c r="P445" s="1638"/>
      <c r="Q445" s="92" t="s">
        <v>2230</v>
      </c>
      <c r="R445" s="92"/>
      <c r="S445" s="813">
        <v>5000</v>
      </c>
      <c r="V445" s="830"/>
      <c r="W445" s="815">
        <v>2</v>
      </c>
      <c r="X445" s="811" t="str">
        <f t="shared" si="30"/>
        <v>within the Municipality/City</v>
      </c>
      <c r="Y445" s="816">
        <v>16</v>
      </c>
      <c r="AB445" s="830"/>
      <c r="AC445" s="809"/>
      <c r="AD445" s="824"/>
      <c r="AG445" s="807" t="str">
        <f t="shared" si="32"/>
        <v/>
      </c>
      <c r="AH445" s="809"/>
      <c r="AI445" s="809"/>
      <c r="AJ445" s="809"/>
      <c r="AK445" s="92"/>
      <c r="AM445" s="819"/>
      <c r="AN445" s="820"/>
      <c r="AQ445" s="93"/>
      <c r="AR445" s="93"/>
      <c r="AS445" s="93"/>
      <c r="AT445" s="93"/>
      <c r="AU445" s="93"/>
      <c r="AV445" s="93"/>
      <c r="AW445" s="93"/>
      <c r="AX445" s="93"/>
      <c r="AY445" s="93"/>
      <c r="AZ445" s="93"/>
      <c r="BA445" s="93"/>
      <c r="BB445" s="93"/>
      <c r="BL445" s="93"/>
      <c r="BM445" s="93"/>
      <c r="BT445" s="93"/>
      <c r="BU445" s="93"/>
      <c r="BV445" s="93"/>
      <c r="BW445" s="93"/>
      <c r="BX445" s="93"/>
      <c r="BY445" s="93"/>
      <c r="BZ445" s="93"/>
      <c r="CA445" s="93"/>
      <c r="CB445" s="93"/>
      <c r="CC445" s="93"/>
      <c r="CF445" s="93"/>
      <c r="CG445" s="93"/>
      <c r="CH445" s="93"/>
      <c r="CI445" s="93"/>
      <c r="CJ445" s="93"/>
      <c r="CK445" s="93"/>
      <c r="CL445" s="93"/>
      <c r="CM445" s="93"/>
      <c r="CN445" s="93"/>
      <c r="CO445" s="93"/>
      <c r="CP445" s="93"/>
      <c r="CQ445" s="93"/>
      <c r="CR445" s="93"/>
      <c r="CS445" s="93"/>
      <c r="CT445" s="93"/>
      <c r="CU445" s="93"/>
      <c r="CV445" s="93"/>
      <c r="CW445" s="93"/>
      <c r="CX445" s="93"/>
      <c r="CY445" s="93"/>
      <c r="CZ445" s="93"/>
      <c r="DA445" s="93"/>
      <c r="DB445" s="93"/>
      <c r="DC445" s="93"/>
      <c r="DD445" s="93"/>
      <c r="DE445" s="93"/>
      <c r="DF445" s="93"/>
      <c r="DG445" s="93"/>
      <c r="DH445" s="93"/>
      <c r="DI445" s="93"/>
      <c r="DJ445" s="93"/>
      <c r="DK445" s="93"/>
      <c r="DL445" s="93"/>
      <c r="DM445" s="93"/>
      <c r="DN445" s="93"/>
      <c r="DO445" s="93"/>
    </row>
    <row r="446" spans="1:119" ht="15">
      <c r="A446" s="807"/>
      <c r="C446" s="807"/>
      <c r="D446" s="1065"/>
      <c r="E446" s="807"/>
      <c r="F446" s="807"/>
      <c r="G446" s="827"/>
      <c r="H446" s="809" t="s">
        <v>8795</v>
      </c>
      <c r="I446" s="92">
        <v>18</v>
      </c>
      <c r="J446" s="92" t="s">
        <v>10</v>
      </c>
      <c r="K446" s="92" t="s">
        <v>768</v>
      </c>
      <c r="L446" s="810">
        <v>6</v>
      </c>
      <c r="M446" s="811" t="str">
        <f t="shared" si="31"/>
        <v>College Level</v>
      </c>
      <c r="O446" s="92"/>
      <c r="P446" s="1638"/>
      <c r="Q446" s="92"/>
      <c r="R446" s="92"/>
      <c r="V446" s="830">
        <f>SUM(S442:U446)</f>
        <v>15000</v>
      </c>
      <c r="X446" s="811" t="str">
        <f t="shared" ref="X446:X509" si="33">IF(ISBLANK(W446)=TRUE,"",LOOKUP(W446,GO:GP))</f>
        <v/>
      </c>
      <c r="AB446" s="830">
        <f>SUM(Y442:AA446)</f>
        <v>16</v>
      </c>
      <c r="AC446" s="809"/>
      <c r="AD446" s="824"/>
      <c r="AG446" s="807" t="str">
        <f t="shared" si="32"/>
        <v/>
      </c>
      <c r="AH446" s="809"/>
      <c r="AI446" s="809"/>
      <c r="AJ446" s="809"/>
      <c r="AK446" s="92"/>
      <c r="AM446" s="819"/>
      <c r="AN446" s="820"/>
      <c r="AQ446" s="93"/>
      <c r="AR446" s="93"/>
      <c r="AS446" s="93"/>
      <c r="AT446" s="93"/>
      <c r="AU446" s="93"/>
      <c r="AV446" s="93"/>
      <c r="AW446" s="93"/>
      <c r="AX446" s="93"/>
      <c r="AY446" s="93"/>
      <c r="AZ446" s="93"/>
      <c r="BA446" s="93"/>
      <c r="BB446" s="93"/>
      <c r="BL446" s="93"/>
      <c r="BM446" s="93"/>
      <c r="BT446" s="93"/>
      <c r="BU446" s="93"/>
      <c r="BV446" s="93"/>
      <c r="BW446" s="93"/>
      <c r="BX446" s="93"/>
      <c r="BY446" s="93"/>
      <c r="BZ446" s="93"/>
      <c r="CA446" s="93"/>
      <c r="CB446" s="93"/>
      <c r="CC446" s="93"/>
      <c r="CF446" s="93"/>
      <c r="CG446" s="93"/>
      <c r="CH446" s="93"/>
      <c r="CI446" s="93"/>
      <c r="CJ446" s="93"/>
      <c r="CK446" s="93"/>
      <c r="CL446" s="93"/>
      <c r="CM446" s="93"/>
      <c r="CN446" s="93"/>
      <c r="CO446" s="93"/>
      <c r="CP446" s="93"/>
      <c r="CQ446" s="93"/>
      <c r="CR446" s="93"/>
      <c r="CS446" s="93"/>
      <c r="CT446" s="93"/>
      <c r="CU446" s="93"/>
      <c r="CV446" s="93"/>
      <c r="CW446" s="93"/>
      <c r="CX446" s="93"/>
      <c r="CY446" s="93"/>
      <c r="CZ446" s="93"/>
      <c r="DA446" s="93"/>
      <c r="DB446" s="93"/>
      <c r="DC446" s="93"/>
      <c r="DD446" s="93"/>
      <c r="DE446" s="93"/>
      <c r="DF446" s="93"/>
      <c r="DG446" s="93"/>
      <c r="DH446" s="93"/>
      <c r="DI446" s="93"/>
      <c r="DJ446" s="93"/>
      <c r="DK446" s="93"/>
      <c r="DL446" s="93"/>
      <c r="DM446" s="93"/>
      <c r="DN446" s="93"/>
      <c r="DO446" s="93"/>
    </row>
    <row r="447" spans="1:119" ht="15">
      <c r="A447" s="807"/>
      <c r="C447" s="807"/>
      <c r="D447" s="1065" t="s">
        <v>337</v>
      </c>
      <c r="E447" s="807"/>
      <c r="F447" s="807"/>
      <c r="G447" s="809" t="s">
        <v>337</v>
      </c>
      <c r="H447" s="809" t="s">
        <v>2076</v>
      </c>
      <c r="I447" s="92">
        <v>25</v>
      </c>
      <c r="J447" s="92" t="s">
        <v>10</v>
      </c>
      <c r="K447" s="92" t="s">
        <v>722</v>
      </c>
      <c r="L447" s="810">
        <v>5</v>
      </c>
      <c r="M447" s="811" t="str">
        <f t="shared" si="31"/>
        <v>High School Graduate</v>
      </c>
      <c r="N447" s="92" t="s">
        <v>1208</v>
      </c>
      <c r="O447" s="812" t="s">
        <v>8796</v>
      </c>
      <c r="P447" s="1638"/>
      <c r="Q447" s="812" t="s">
        <v>8796</v>
      </c>
      <c r="R447" s="92" t="s">
        <v>8234</v>
      </c>
      <c r="S447" s="848">
        <f>PRODUCT(504,26)</f>
        <v>13104</v>
      </c>
      <c r="W447" s="815">
        <v>3</v>
      </c>
      <c r="X447" s="811" t="str">
        <f t="shared" si="33"/>
        <v>within the Province</v>
      </c>
      <c r="AB447" s="814"/>
      <c r="AC447" s="913" t="s">
        <v>8179</v>
      </c>
      <c r="AD447" s="824"/>
      <c r="AG447" s="807" t="str">
        <f t="shared" si="32"/>
        <v/>
      </c>
      <c r="AH447" s="807"/>
      <c r="AI447" s="807"/>
      <c r="AJ447" s="807"/>
      <c r="AK447" s="92"/>
      <c r="AM447" s="819"/>
      <c r="AN447" s="820"/>
      <c r="AQ447" s="93"/>
      <c r="AR447" s="93"/>
      <c r="AS447" s="93"/>
      <c r="AT447" s="93"/>
      <c r="AU447" s="93"/>
      <c r="AV447" s="93"/>
      <c r="AW447" s="93"/>
      <c r="AX447" s="93"/>
      <c r="AY447" s="93"/>
      <c r="AZ447" s="93"/>
      <c r="BA447" s="93"/>
      <c r="BB447" s="93"/>
      <c r="BL447" s="93"/>
      <c r="BM447" s="93"/>
      <c r="BT447" s="93"/>
      <c r="BU447" s="93"/>
      <c r="BV447" s="93"/>
      <c r="BW447" s="93"/>
      <c r="BX447" s="93"/>
      <c r="BY447" s="93"/>
      <c r="BZ447" s="93"/>
      <c r="CA447" s="93"/>
      <c r="CB447" s="93"/>
      <c r="CC447" s="93"/>
      <c r="CF447" s="93"/>
      <c r="CG447" s="93"/>
      <c r="CH447" s="93"/>
      <c r="CI447" s="93"/>
      <c r="CJ447" s="93"/>
      <c r="CK447" s="93"/>
      <c r="CL447" s="93"/>
      <c r="CM447" s="93"/>
      <c r="CN447" s="93"/>
      <c r="CO447" s="93"/>
      <c r="CP447" s="93"/>
      <c r="CQ447" s="93"/>
      <c r="CR447" s="93"/>
      <c r="CS447" s="93"/>
      <c r="CT447" s="93"/>
      <c r="CU447" s="93"/>
      <c r="CV447" s="93"/>
      <c r="CW447" s="93"/>
      <c r="CX447" s="93"/>
      <c r="CY447" s="93"/>
      <c r="CZ447" s="93"/>
      <c r="DA447" s="93"/>
      <c r="DB447" s="93"/>
      <c r="DC447" s="93"/>
      <c r="DD447" s="93"/>
      <c r="DE447" s="93"/>
      <c r="DF447" s="93"/>
      <c r="DG447" s="93"/>
      <c r="DH447" s="93"/>
      <c r="DI447" s="93"/>
      <c r="DJ447" s="93"/>
      <c r="DK447" s="93"/>
      <c r="DL447" s="93"/>
      <c r="DM447" s="93"/>
      <c r="DN447" s="93"/>
      <c r="DO447" s="93"/>
    </row>
    <row r="448" spans="1:119" ht="15">
      <c r="A448" s="807"/>
      <c r="C448" s="807"/>
      <c r="D448" s="1065"/>
      <c r="E448" s="807"/>
      <c r="F448" s="807"/>
      <c r="G448" s="827"/>
      <c r="H448" s="809" t="s">
        <v>2231</v>
      </c>
      <c r="I448" s="92">
        <v>27</v>
      </c>
      <c r="J448" s="92" t="s">
        <v>18</v>
      </c>
      <c r="K448" s="92" t="s">
        <v>722</v>
      </c>
      <c r="L448" s="810">
        <v>5</v>
      </c>
      <c r="M448" s="811" t="str">
        <f t="shared" si="31"/>
        <v>High School Graduate</v>
      </c>
      <c r="N448" s="92" t="s">
        <v>1208</v>
      </c>
      <c r="O448" s="92" t="s">
        <v>8797</v>
      </c>
      <c r="P448" s="1638"/>
      <c r="Q448" s="92" t="s">
        <v>8797</v>
      </c>
      <c r="R448" s="92"/>
      <c r="S448" s="848">
        <f>PRODUCT(357,20)</f>
        <v>7140</v>
      </c>
      <c r="W448" s="815">
        <v>2</v>
      </c>
      <c r="X448" s="811" t="str">
        <f t="shared" si="33"/>
        <v>within the Municipality/City</v>
      </c>
      <c r="Y448" s="816">
        <v>1000</v>
      </c>
      <c r="AB448" s="814"/>
      <c r="AC448" s="809"/>
      <c r="AD448" s="824"/>
      <c r="AG448" s="807" t="str">
        <f t="shared" si="32"/>
        <v/>
      </c>
      <c r="AH448" s="807"/>
      <c r="AI448" s="807"/>
      <c r="AJ448" s="807"/>
      <c r="AK448" s="92"/>
      <c r="AM448" s="819"/>
      <c r="AN448" s="820"/>
      <c r="AQ448" s="93"/>
      <c r="AR448" s="93"/>
      <c r="AS448" s="93"/>
      <c r="AT448" s="93"/>
      <c r="AU448" s="93"/>
      <c r="AV448" s="93"/>
      <c r="AW448" s="93"/>
      <c r="AX448" s="93"/>
      <c r="AY448" s="93"/>
      <c r="AZ448" s="93"/>
      <c r="BA448" s="93"/>
      <c r="BB448" s="93"/>
      <c r="BL448" s="93"/>
      <c r="BM448" s="93"/>
      <c r="BT448" s="93"/>
      <c r="BU448" s="93"/>
      <c r="BV448" s="93"/>
      <c r="BW448" s="93"/>
      <c r="BX448" s="93"/>
      <c r="BY448" s="93"/>
      <c r="BZ448" s="93"/>
      <c r="CA448" s="93"/>
      <c r="CB448" s="93"/>
      <c r="CC448" s="93"/>
      <c r="CF448" s="93"/>
      <c r="CG448" s="93"/>
      <c r="CH448" s="93"/>
      <c r="CI448" s="93"/>
      <c r="CJ448" s="93"/>
      <c r="CK448" s="93"/>
      <c r="CL448" s="93"/>
      <c r="CM448" s="93"/>
      <c r="CN448" s="93"/>
      <c r="CO448" s="93"/>
      <c r="CP448" s="93"/>
      <c r="CQ448" s="93"/>
      <c r="CR448" s="93"/>
      <c r="CS448" s="93"/>
      <c r="CT448" s="93"/>
      <c r="CU448" s="93"/>
      <c r="CV448" s="93"/>
      <c r="CW448" s="93"/>
      <c r="CX448" s="93"/>
      <c r="CY448" s="93"/>
      <c r="CZ448" s="93"/>
      <c r="DA448" s="93"/>
      <c r="DB448" s="93"/>
      <c r="DC448" s="93"/>
      <c r="DD448" s="93"/>
      <c r="DE448" s="93"/>
      <c r="DF448" s="93"/>
      <c r="DG448" s="93"/>
      <c r="DH448" s="93"/>
      <c r="DI448" s="93"/>
      <c r="DJ448" s="93"/>
      <c r="DK448" s="93"/>
      <c r="DL448" s="93"/>
      <c r="DM448" s="93"/>
      <c r="DN448" s="93"/>
      <c r="DO448" s="93"/>
    </row>
    <row r="449" spans="1:119" ht="15">
      <c r="A449" s="807"/>
      <c r="C449" s="807"/>
      <c r="D449" s="1065"/>
      <c r="E449" s="807"/>
      <c r="F449" s="807"/>
      <c r="G449" s="827"/>
      <c r="H449" s="809" t="s">
        <v>8798</v>
      </c>
      <c r="I449" s="92">
        <v>23</v>
      </c>
      <c r="J449" s="92" t="s">
        <v>18</v>
      </c>
      <c r="K449" s="92" t="s">
        <v>768</v>
      </c>
      <c r="L449" s="810">
        <v>5</v>
      </c>
      <c r="M449" s="811" t="str">
        <f t="shared" si="31"/>
        <v>High School Graduate</v>
      </c>
      <c r="P449" s="1638"/>
      <c r="S449" s="848"/>
      <c r="V449" s="814">
        <f>SUM(S447:U449)</f>
        <v>20244</v>
      </c>
      <c r="X449" s="811" t="str">
        <f t="shared" si="33"/>
        <v/>
      </c>
      <c r="AB449" s="814">
        <f>SUM(Y447:AA449)</f>
        <v>1000</v>
      </c>
      <c r="AC449" s="809"/>
      <c r="AD449" s="824"/>
      <c r="AG449" s="807" t="str">
        <f t="shared" si="32"/>
        <v/>
      </c>
      <c r="AH449" s="807"/>
      <c r="AI449" s="807"/>
      <c r="AJ449" s="807"/>
      <c r="AK449" s="92"/>
      <c r="AM449" s="819"/>
      <c r="AN449" s="820"/>
      <c r="AQ449" s="93"/>
      <c r="AR449" s="93"/>
      <c r="AS449" s="93"/>
      <c r="AT449" s="93"/>
      <c r="AU449" s="93"/>
      <c r="AV449" s="93"/>
      <c r="AW449" s="93"/>
      <c r="AX449" s="93"/>
      <c r="AY449" s="93"/>
      <c r="AZ449" s="93"/>
      <c r="BA449" s="93"/>
      <c r="BB449" s="93"/>
      <c r="BL449" s="93"/>
      <c r="BM449" s="93"/>
      <c r="BT449" s="93"/>
      <c r="BU449" s="93"/>
      <c r="BV449" s="93"/>
      <c r="BW449" s="93"/>
      <c r="BX449" s="93"/>
      <c r="BY449" s="93"/>
      <c r="BZ449" s="93"/>
      <c r="CA449" s="93"/>
      <c r="CB449" s="93"/>
      <c r="CC449" s="93"/>
      <c r="CF449" s="93"/>
      <c r="CG449" s="93"/>
      <c r="CH449" s="93"/>
      <c r="CI449" s="93"/>
      <c r="CJ449" s="93"/>
      <c r="CK449" s="93"/>
      <c r="CL449" s="93"/>
      <c r="CM449" s="93"/>
      <c r="CN449" s="93"/>
      <c r="CO449" s="93"/>
      <c r="CP449" s="93"/>
      <c r="CQ449" s="93"/>
      <c r="CR449" s="93"/>
      <c r="CS449" s="93"/>
      <c r="CT449" s="93"/>
      <c r="CU449" s="93"/>
      <c r="CV449" s="93"/>
      <c r="CW449" s="93"/>
      <c r="CX449" s="93"/>
      <c r="CY449" s="93"/>
      <c r="CZ449" s="93"/>
      <c r="DA449" s="93"/>
      <c r="DB449" s="93"/>
      <c r="DC449" s="93"/>
      <c r="DD449" s="93"/>
      <c r="DE449" s="93"/>
      <c r="DF449" s="93"/>
      <c r="DG449" s="93"/>
      <c r="DH449" s="93"/>
      <c r="DI449" s="93"/>
      <c r="DJ449" s="93"/>
      <c r="DK449" s="93"/>
      <c r="DL449" s="93"/>
      <c r="DM449" s="93"/>
      <c r="DN449" s="93"/>
      <c r="DO449" s="93"/>
    </row>
    <row r="450" spans="1:119" ht="15">
      <c r="A450" s="807"/>
      <c r="C450" s="807"/>
      <c r="D450" s="1065" t="s">
        <v>338</v>
      </c>
      <c r="E450" s="807"/>
      <c r="F450" s="807"/>
      <c r="G450" s="846" t="s">
        <v>338</v>
      </c>
      <c r="H450" s="809" t="s">
        <v>8799</v>
      </c>
      <c r="I450" s="92">
        <v>68</v>
      </c>
      <c r="J450" s="92" t="s">
        <v>10</v>
      </c>
      <c r="K450" s="92" t="s">
        <v>719</v>
      </c>
      <c r="L450" s="810">
        <v>2</v>
      </c>
      <c r="M450" s="811" t="str">
        <f t="shared" si="31"/>
        <v>Elementary Level</v>
      </c>
      <c r="N450" s="92" t="s">
        <v>1208</v>
      </c>
      <c r="O450" s="812" t="s">
        <v>8800</v>
      </c>
      <c r="P450" s="1638"/>
      <c r="Q450" s="812" t="s">
        <v>8800</v>
      </c>
      <c r="R450" s="92" t="s">
        <v>8234</v>
      </c>
      <c r="S450" s="848">
        <v>5000</v>
      </c>
      <c r="U450" s="813">
        <f>SUM(6000,6000)</f>
        <v>12000</v>
      </c>
      <c r="V450" s="828"/>
      <c r="W450" s="815">
        <v>3</v>
      </c>
      <c r="X450" s="811" t="str">
        <f t="shared" si="33"/>
        <v>within the Province</v>
      </c>
      <c r="Y450" s="816">
        <v>480</v>
      </c>
      <c r="AA450" s="816">
        <v>384</v>
      </c>
      <c r="AB450" s="828"/>
      <c r="AC450" s="809" t="s">
        <v>8172</v>
      </c>
      <c r="AD450" s="817" t="s">
        <v>8801</v>
      </c>
      <c r="AG450" s="807" t="str">
        <f t="shared" si="32"/>
        <v/>
      </c>
      <c r="AH450" s="807"/>
      <c r="AI450" s="807"/>
      <c r="AJ450" s="807"/>
      <c r="AK450" s="92"/>
      <c r="AM450" s="819"/>
      <c r="AN450" s="820"/>
      <c r="AQ450" s="93"/>
      <c r="AR450" s="93"/>
      <c r="AS450" s="93"/>
      <c r="AT450" s="93"/>
      <c r="AU450" s="93"/>
      <c r="AV450" s="93"/>
      <c r="AW450" s="93"/>
      <c r="AX450" s="93"/>
      <c r="AY450" s="93"/>
      <c r="AZ450" s="93"/>
      <c r="BA450" s="93"/>
      <c r="BB450" s="93"/>
      <c r="BL450" s="93"/>
      <c r="BM450" s="93"/>
      <c r="BT450" s="93"/>
      <c r="BU450" s="93"/>
      <c r="BV450" s="93"/>
      <c r="BW450" s="93"/>
      <c r="BX450" s="93"/>
      <c r="BY450" s="93"/>
      <c r="BZ450" s="93">
        <v>2</v>
      </c>
      <c r="CA450" s="93"/>
      <c r="CB450" s="93">
        <v>1</v>
      </c>
      <c r="CC450" s="93"/>
      <c r="CF450" s="93"/>
      <c r="CG450" s="93"/>
      <c r="CH450" s="93"/>
      <c r="CI450" s="93"/>
      <c r="CJ450" s="93"/>
      <c r="CK450" s="93"/>
      <c r="CL450" s="93"/>
      <c r="CM450" s="93"/>
      <c r="CN450" s="93"/>
      <c r="CO450" s="93"/>
      <c r="CP450" s="93"/>
      <c r="CQ450" s="93"/>
      <c r="CR450" s="93"/>
      <c r="CS450" s="93"/>
      <c r="CT450" s="93"/>
      <c r="CU450" s="93"/>
      <c r="CV450" s="93"/>
      <c r="CW450" s="93"/>
      <c r="CX450" s="93"/>
      <c r="CY450" s="93"/>
      <c r="CZ450" s="93"/>
      <c r="DA450" s="93"/>
      <c r="DB450" s="93"/>
      <c r="DC450" s="93"/>
      <c r="DD450" s="93"/>
      <c r="DE450" s="93"/>
      <c r="DF450" s="93"/>
      <c r="DG450" s="93"/>
      <c r="DH450" s="93"/>
      <c r="DI450" s="93"/>
      <c r="DJ450" s="93"/>
      <c r="DK450" s="93"/>
      <c r="DL450" s="93"/>
      <c r="DM450" s="93"/>
      <c r="DN450" s="93"/>
      <c r="DO450" s="93"/>
    </row>
    <row r="451" spans="1:119" ht="15">
      <c r="A451" s="1076"/>
      <c r="B451" s="6"/>
      <c r="C451" s="6"/>
      <c r="D451" s="1065"/>
      <c r="E451" s="807"/>
      <c r="F451" s="807"/>
      <c r="G451" s="827"/>
      <c r="H451" s="809" t="s">
        <v>8802</v>
      </c>
      <c r="I451" s="92">
        <v>27</v>
      </c>
      <c r="J451" s="92" t="s">
        <v>10</v>
      </c>
      <c r="K451" s="92" t="s">
        <v>722</v>
      </c>
      <c r="L451" s="810">
        <v>4</v>
      </c>
      <c r="M451" s="811" t="str">
        <f t="shared" si="31"/>
        <v>High School Level</v>
      </c>
      <c r="N451" s="92" t="s">
        <v>1208</v>
      </c>
      <c r="O451" s="812" t="s">
        <v>8182</v>
      </c>
      <c r="P451" s="1638"/>
      <c r="Q451" s="812" t="s">
        <v>8182</v>
      </c>
      <c r="S451" s="848">
        <v>12000</v>
      </c>
      <c r="V451" s="828"/>
      <c r="W451" s="815">
        <v>3</v>
      </c>
      <c r="X451" s="811" t="str">
        <f t="shared" si="33"/>
        <v>within the Province</v>
      </c>
      <c r="Y451" s="816">
        <v>960</v>
      </c>
      <c r="AB451" s="828"/>
      <c r="AC451" s="809" t="s">
        <v>8172</v>
      </c>
      <c r="AD451" s="824"/>
      <c r="AG451" s="807" t="str">
        <f t="shared" si="32"/>
        <v/>
      </c>
      <c r="AH451" s="807"/>
      <c r="AI451" s="807"/>
      <c r="AJ451" s="807"/>
      <c r="AK451" s="92"/>
      <c r="AM451" s="819"/>
      <c r="AN451" s="820"/>
      <c r="AQ451" s="93"/>
      <c r="AR451" s="93"/>
      <c r="AS451" s="93"/>
      <c r="AT451" s="93"/>
      <c r="AU451" s="93"/>
      <c r="AV451" s="93"/>
      <c r="AW451" s="93"/>
      <c r="AX451" s="93"/>
      <c r="AY451" s="93"/>
      <c r="AZ451" s="93"/>
      <c r="BA451" s="93"/>
      <c r="BB451" s="93"/>
      <c r="BL451" s="93"/>
      <c r="BM451" s="93"/>
      <c r="BT451" s="93"/>
      <c r="BU451" s="93"/>
      <c r="BV451" s="93"/>
      <c r="BW451" s="93"/>
      <c r="BX451" s="93"/>
      <c r="BY451" s="93"/>
      <c r="BZ451" s="93">
        <v>2</v>
      </c>
      <c r="CA451" s="93"/>
      <c r="CB451" s="93">
        <v>1</v>
      </c>
      <c r="CC451" s="93"/>
      <c r="CF451" s="93"/>
      <c r="CG451" s="93"/>
      <c r="CH451" s="93"/>
      <c r="CI451" s="93"/>
      <c r="CJ451" s="93"/>
      <c r="CK451" s="93"/>
      <c r="CL451" s="93"/>
      <c r="CM451" s="93"/>
      <c r="CN451" s="93"/>
      <c r="CO451" s="93"/>
      <c r="CP451" s="93"/>
      <c r="CQ451" s="93"/>
      <c r="CR451" s="93"/>
      <c r="CS451" s="93"/>
      <c r="CT451" s="93"/>
      <c r="CU451" s="93"/>
      <c r="CV451" s="93"/>
      <c r="CW451" s="93"/>
      <c r="CX451" s="93"/>
      <c r="CY451" s="93"/>
      <c r="CZ451" s="93"/>
      <c r="DA451" s="93"/>
      <c r="DB451" s="93"/>
      <c r="DC451" s="93"/>
      <c r="DD451" s="93"/>
      <c r="DE451" s="93"/>
      <c r="DF451" s="93"/>
      <c r="DG451" s="93"/>
      <c r="DH451" s="93"/>
      <c r="DI451" s="93"/>
      <c r="DJ451" s="93"/>
      <c r="DK451" s="93"/>
      <c r="DL451" s="93"/>
      <c r="DM451" s="93"/>
      <c r="DN451" s="93"/>
      <c r="DO451" s="93"/>
    </row>
    <row r="452" spans="1:119" ht="15">
      <c r="A452" s="1076"/>
      <c r="B452" s="6"/>
      <c r="C452" s="6"/>
      <c r="D452" s="1065"/>
      <c r="E452" s="807"/>
      <c r="F452" s="807"/>
      <c r="G452" s="827"/>
      <c r="H452" s="809" t="s">
        <v>8803</v>
      </c>
      <c r="I452" s="92">
        <v>25</v>
      </c>
      <c r="J452" s="92" t="s">
        <v>18</v>
      </c>
      <c r="K452" s="92" t="s">
        <v>722</v>
      </c>
      <c r="L452" s="810">
        <v>4</v>
      </c>
      <c r="M452" s="811" t="str">
        <f t="shared" si="31"/>
        <v>High School Level</v>
      </c>
      <c r="P452" s="1638"/>
      <c r="S452" s="848"/>
      <c r="V452" s="828"/>
      <c r="X452" s="811" t="str">
        <f t="shared" si="33"/>
        <v/>
      </c>
      <c r="AB452" s="828"/>
      <c r="AC452" s="809"/>
      <c r="AD452" s="824"/>
      <c r="AG452" s="807" t="str">
        <f t="shared" si="32"/>
        <v/>
      </c>
      <c r="AH452" s="807"/>
      <c r="AI452" s="807"/>
      <c r="AJ452" s="807"/>
      <c r="AK452" s="92"/>
      <c r="AM452" s="819"/>
      <c r="AN452" s="820"/>
      <c r="AQ452" s="93"/>
      <c r="AR452" s="93"/>
      <c r="AS452" s="93"/>
      <c r="AT452" s="93"/>
      <c r="AU452" s="93"/>
      <c r="AV452" s="93"/>
      <c r="AW452" s="93"/>
      <c r="AX452" s="93"/>
      <c r="AY452" s="93"/>
      <c r="AZ452" s="93"/>
      <c r="BA452" s="93"/>
      <c r="BB452" s="93"/>
      <c r="BL452" s="93"/>
      <c r="BM452" s="93"/>
      <c r="BT452" s="93"/>
      <c r="BU452" s="93"/>
      <c r="BV452" s="93"/>
      <c r="BW452" s="93"/>
      <c r="BX452" s="93"/>
      <c r="BY452" s="93"/>
      <c r="BZ452" s="93"/>
      <c r="CA452" s="93"/>
      <c r="CB452" s="93"/>
      <c r="CC452" s="93"/>
      <c r="CF452" s="93"/>
      <c r="CG452" s="93"/>
      <c r="CH452" s="93"/>
      <c r="CI452" s="93"/>
      <c r="CJ452" s="93"/>
      <c r="CK452" s="93"/>
      <c r="CL452" s="93"/>
      <c r="CM452" s="93"/>
      <c r="CN452" s="93"/>
      <c r="CO452" s="93"/>
      <c r="CP452" s="93"/>
      <c r="CQ452" s="93"/>
      <c r="CR452" s="93"/>
      <c r="CS452" s="93"/>
      <c r="CT452" s="93"/>
      <c r="CU452" s="93"/>
      <c r="CV452" s="93"/>
      <c r="CW452" s="93"/>
      <c r="CX452" s="93"/>
      <c r="CY452" s="93"/>
      <c r="CZ452" s="93"/>
      <c r="DA452" s="93"/>
      <c r="DB452" s="93"/>
      <c r="DC452" s="93"/>
      <c r="DD452" s="93"/>
      <c r="DE452" s="93"/>
      <c r="DF452" s="93"/>
      <c r="DG452" s="93"/>
      <c r="DH452" s="93"/>
      <c r="DI452" s="93"/>
      <c r="DJ452" s="93"/>
      <c r="DK452" s="93"/>
      <c r="DL452" s="93"/>
      <c r="DM452" s="93"/>
      <c r="DN452" s="93"/>
      <c r="DO452" s="93"/>
    </row>
    <row r="453" spans="1:119" ht="15">
      <c r="A453" s="1076"/>
      <c r="B453" s="6"/>
      <c r="C453" s="6"/>
      <c r="D453" s="1065"/>
      <c r="E453" s="807"/>
      <c r="F453" s="807"/>
      <c r="G453" s="827"/>
      <c r="H453" s="809" t="s">
        <v>8804</v>
      </c>
      <c r="I453" s="92">
        <v>10</v>
      </c>
      <c r="J453" s="92" t="s">
        <v>10</v>
      </c>
      <c r="K453" s="92" t="s">
        <v>768</v>
      </c>
      <c r="L453" s="810">
        <v>2</v>
      </c>
      <c r="M453" s="811" t="str">
        <f t="shared" si="31"/>
        <v>Elementary Level</v>
      </c>
      <c r="P453" s="1638"/>
      <c r="S453" s="848"/>
      <c r="V453" s="828"/>
      <c r="X453" s="811" t="str">
        <f t="shared" si="33"/>
        <v/>
      </c>
      <c r="AB453" s="828"/>
      <c r="AC453" s="809"/>
      <c r="AD453" s="824"/>
      <c r="AG453" s="807" t="str">
        <f t="shared" si="32"/>
        <v/>
      </c>
      <c r="AH453" s="807"/>
      <c r="AI453" s="807"/>
      <c r="AJ453" s="807"/>
      <c r="AK453" s="92"/>
      <c r="AM453" s="819"/>
      <c r="AN453" s="820"/>
      <c r="AQ453" s="93"/>
      <c r="AR453" s="93"/>
      <c r="AS453" s="93"/>
      <c r="AT453" s="93"/>
      <c r="AU453" s="93"/>
      <c r="AV453" s="93"/>
      <c r="AW453" s="93"/>
      <c r="AX453" s="93"/>
      <c r="AY453" s="93"/>
      <c r="AZ453" s="93"/>
      <c r="BA453" s="93"/>
      <c r="BB453" s="93"/>
      <c r="BL453" s="93"/>
      <c r="BM453" s="93"/>
      <c r="BT453" s="93"/>
      <c r="BU453" s="93"/>
      <c r="BV453" s="93"/>
      <c r="BW453" s="93"/>
      <c r="BX453" s="93"/>
      <c r="BY453" s="93"/>
      <c r="BZ453" s="93"/>
      <c r="CA453" s="93"/>
      <c r="CB453" s="93"/>
      <c r="CC453" s="93"/>
      <c r="CF453" s="93"/>
      <c r="CG453" s="93"/>
      <c r="CH453" s="93"/>
      <c r="CI453" s="93"/>
      <c r="CJ453" s="93"/>
      <c r="CK453" s="93"/>
      <c r="CL453" s="93"/>
      <c r="CM453" s="93"/>
      <c r="CN453" s="93"/>
      <c r="CO453" s="93"/>
      <c r="CP453" s="93"/>
      <c r="CQ453" s="93"/>
      <c r="CR453" s="93"/>
      <c r="CS453" s="93"/>
      <c r="CT453" s="93"/>
      <c r="CU453" s="93"/>
      <c r="CV453" s="93"/>
      <c r="CW453" s="93"/>
      <c r="CX453" s="93"/>
      <c r="CY453" s="93"/>
      <c r="CZ453" s="93"/>
      <c r="DA453" s="93"/>
      <c r="DB453" s="93"/>
      <c r="DC453" s="93"/>
      <c r="DD453" s="93"/>
      <c r="DE453" s="93"/>
      <c r="DF453" s="93"/>
      <c r="DG453" s="93"/>
      <c r="DH453" s="93"/>
      <c r="DI453" s="93"/>
      <c r="DJ453" s="93"/>
      <c r="DK453" s="93"/>
      <c r="DL453" s="93"/>
      <c r="DM453" s="93"/>
      <c r="DN453" s="93"/>
      <c r="DO453" s="93"/>
    </row>
    <row r="454" spans="1:119" ht="15">
      <c r="A454" s="1076"/>
      <c r="B454" s="6"/>
      <c r="C454" s="6"/>
      <c r="D454" s="1065"/>
      <c r="E454" s="807"/>
      <c r="F454" s="807"/>
      <c r="G454" s="827"/>
      <c r="H454" s="809" t="s">
        <v>8805</v>
      </c>
      <c r="I454" s="92">
        <v>7</v>
      </c>
      <c r="J454" s="92" t="s">
        <v>10</v>
      </c>
      <c r="K454" s="92" t="s">
        <v>768</v>
      </c>
      <c r="L454" s="810">
        <v>2</v>
      </c>
      <c r="M454" s="811" t="str">
        <f t="shared" si="31"/>
        <v>Elementary Level</v>
      </c>
      <c r="O454" s="92"/>
      <c r="P454" s="1638"/>
      <c r="Q454" s="92"/>
      <c r="R454" s="92"/>
      <c r="S454" s="848"/>
      <c r="V454" s="828"/>
      <c r="X454" s="811" t="str">
        <f t="shared" si="33"/>
        <v/>
      </c>
      <c r="AB454" s="828"/>
      <c r="AC454" s="809"/>
      <c r="AD454" s="824"/>
      <c r="AG454" s="807" t="str">
        <f t="shared" si="32"/>
        <v/>
      </c>
      <c r="AH454" s="807"/>
      <c r="AI454" s="807"/>
      <c r="AJ454" s="807"/>
      <c r="AK454" s="92"/>
      <c r="AM454" s="819"/>
      <c r="AN454" s="820"/>
      <c r="AQ454" s="93"/>
      <c r="AR454" s="93"/>
      <c r="AS454" s="93"/>
      <c r="AT454" s="93"/>
      <c r="AU454" s="93"/>
      <c r="AV454" s="93"/>
      <c r="AW454" s="93"/>
      <c r="AX454" s="93"/>
      <c r="AY454" s="93"/>
      <c r="AZ454" s="93"/>
      <c r="BA454" s="93"/>
      <c r="BB454" s="93"/>
      <c r="BL454" s="93"/>
      <c r="BM454" s="93"/>
      <c r="BT454" s="93"/>
      <c r="BU454" s="93"/>
      <c r="BV454" s="93"/>
      <c r="BW454" s="93"/>
      <c r="BX454" s="93"/>
      <c r="BY454" s="93"/>
      <c r="BZ454" s="93"/>
      <c r="CA454" s="93"/>
      <c r="CB454" s="93"/>
      <c r="CC454" s="93"/>
      <c r="CF454" s="93"/>
      <c r="CG454" s="93"/>
      <c r="CH454" s="93"/>
      <c r="CI454" s="93"/>
      <c r="CJ454" s="93"/>
      <c r="CK454" s="93"/>
      <c r="CL454" s="93"/>
      <c r="CM454" s="93"/>
      <c r="CN454" s="93"/>
      <c r="CO454" s="93"/>
      <c r="CP454" s="93"/>
      <c r="CQ454" s="93"/>
      <c r="CR454" s="93"/>
      <c r="CS454" s="93"/>
      <c r="CT454" s="93"/>
      <c r="CU454" s="93"/>
      <c r="CV454" s="93"/>
      <c r="CW454" s="93"/>
      <c r="CX454" s="93"/>
      <c r="CY454" s="93"/>
      <c r="CZ454" s="93"/>
      <c r="DA454" s="93"/>
      <c r="DB454" s="93"/>
      <c r="DC454" s="93"/>
      <c r="DD454" s="93"/>
      <c r="DE454" s="93"/>
      <c r="DF454" s="93"/>
      <c r="DG454" s="93"/>
      <c r="DH454" s="93"/>
      <c r="DI454" s="93"/>
      <c r="DJ454" s="93"/>
      <c r="DK454" s="93"/>
      <c r="DL454" s="93"/>
      <c r="DM454" s="93"/>
      <c r="DN454" s="93"/>
      <c r="DO454" s="93"/>
    </row>
    <row r="455" spans="1:119" ht="15">
      <c r="A455" s="1076"/>
      <c r="B455" s="6"/>
      <c r="C455" s="6"/>
      <c r="D455" s="1065"/>
      <c r="E455" s="807"/>
      <c r="F455" s="807"/>
      <c r="G455" s="827"/>
      <c r="H455" s="809" t="s">
        <v>8806</v>
      </c>
      <c r="I455" s="92">
        <v>2</v>
      </c>
      <c r="J455" s="92" t="s">
        <v>18</v>
      </c>
      <c r="K455" s="92" t="s">
        <v>768</v>
      </c>
      <c r="L455" s="810">
        <v>10</v>
      </c>
      <c r="M455" s="811" t="str">
        <f t="shared" si="31"/>
        <v>Not In School Age</v>
      </c>
      <c r="P455" s="1638"/>
      <c r="S455" s="848"/>
      <c r="V455" s="828"/>
      <c r="X455" s="811" t="str">
        <f t="shared" si="33"/>
        <v/>
      </c>
      <c r="AB455" s="828"/>
      <c r="AC455" s="809"/>
      <c r="AD455" s="824"/>
      <c r="AG455" s="807" t="str">
        <f t="shared" si="32"/>
        <v/>
      </c>
      <c r="AH455" s="807"/>
      <c r="AI455" s="807"/>
      <c r="AJ455" s="807"/>
      <c r="AK455" s="92"/>
      <c r="AM455" s="819"/>
      <c r="AN455" s="820"/>
      <c r="AQ455" s="93"/>
      <c r="AR455" s="93"/>
      <c r="AS455" s="93"/>
      <c r="AT455" s="93"/>
      <c r="AU455" s="93"/>
      <c r="AV455" s="93"/>
      <c r="AW455" s="93"/>
      <c r="AX455" s="93"/>
      <c r="AY455" s="93"/>
      <c r="AZ455" s="93"/>
      <c r="BA455" s="93"/>
      <c r="BB455" s="93"/>
      <c r="BL455" s="93"/>
      <c r="BM455" s="93"/>
      <c r="BT455" s="93"/>
      <c r="BU455" s="93"/>
      <c r="BV455" s="93"/>
      <c r="BW455" s="93"/>
      <c r="BX455" s="93"/>
      <c r="BY455" s="93"/>
      <c r="BZ455" s="93"/>
      <c r="CA455" s="93"/>
      <c r="CB455" s="93"/>
      <c r="CC455" s="93"/>
      <c r="CF455" s="93"/>
      <c r="CG455" s="93"/>
      <c r="CH455" s="93"/>
      <c r="CI455" s="93"/>
      <c r="CJ455" s="93"/>
      <c r="CK455" s="93"/>
      <c r="CL455" s="93"/>
      <c r="CM455" s="93"/>
      <c r="CN455" s="93"/>
      <c r="CO455" s="93"/>
      <c r="CP455" s="93"/>
      <c r="CQ455" s="93"/>
      <c r="CR455" s="93"/>
      <c r="CS455" s="93"/>
      <c r="CT455" s="93"/>
      <c r="CU455" s="93"/>
      <c r="CV455" s="93"/>
      <c r="CW455" s="93"/>
      <c r="CX455" s="93"/>
      <c r="CY455" s="93"/>
      <c r="CZ455" s="93"/>
      <c r="DA455" s="93"/>
      <c r="DB455" s="93"/>
      <c r="DC455" s="93"/>
      <c r="DD455" s="93"/>
      <c r="DE455" s="93"/>
      <c r="DF455" s="93"/>
      <c r="DG455" s="93"/>
      <c r="DH455" s="93"/>
      <c r="DI455" s="93"/>
      <c r="DJ455" s="93"/>
      <c r="DK455" s="93"/>
      <c r="DL455" s="93"/>
      <c r="DM455" s="93"/>
      <c r="DN455" s="93"/>
      <c r="DO455" s="93"/>
    </row>
    <row r="456" spans="1:119" ht="15">
      <c r="A456" s="1076"/>
      <c r="B456" s="6"/>
      <c r="C456" s="6"/>
      <c r="D456" s="1065"/>
      <c r="E456" s="807"/>
      <c r="F456" s="807"/>
      <c r="G456" s="827"/>
      <c r="H456" s="809" t="s">
        <v>8807</v>
      </c>
      <c r="I456" s="92">
        <f>3/12</f>
        <v>0.25</v>
      </c>
      <c r="J456" s="92" t="s">
        <v>10</v>
      </c>
      <c r="K456" s="92" t="s">
        <v>768</v>
      </c>
      <c r="L456" s="810">
        <v>10</v>
      </c>
      <c r="M456" s="811" t="str">
        <f t="shared" si="31"/>
        <v>Not In School Age</v>
      </c>
      <c r="P456" s="1638"/>
      <c r="S456" s="848"/>
      <c r="V456" s="828">
        <f>SUM(S450:U456)</f>
        <v>29000</v>
      </c>
      <c r="X456" s="811" t="str">
        <f t="shared" si="33"/>
        <v/>
      </c>
      <c r="AB456" s="828">
        <f>SUM(Y450:AA456)</f>
        <v>1824</v>
      </c>
      <c r="AC456" s="809"/>
      <c r="AD456" s="824"/>
      <c r="AG456" s="807" t="str">
        <f t="shared" si="32"/>
        <v/>
      </c>
      <c r="AH456" s="807"/>
      <c r="AI456" s="807"/>
      <c r="AJ456" s="807"/>
      <c r="AK456" s="92"/>
      <c r="AM456" s="819"/>
      <c r="AN456" s="820"/>
      <c r="AQ456" s="93"/>
      <c r="AR456" s="93"/>
      <c r="AS456" s="93"/>
      <c r="AT456" s="93"/>
      <c r="AU456" s="93"/>
      <c r="AV456" s="93"/>
      <c r="AW456" s="93"/>
      <c r="AX456" s="93"/>
      <c r="AY456" s="93"/>
      <c r="AZ456" s="93"/>
      <c r="BA456" s="93"/>
      <c r="BB456" s="93"/>
      <c r="BL456" s="93"/>
      <c r="BM456" s="93"/>
      <c r="BT456" s="93"/>
      <c r="BU456" s="93"/>
      <c r="BV456" s="93"/>
      <c r="BW456" s="93"/>
      <c r="BX456" s="93"/>
      <c r="BY456" s="93"/>
      <c r="BZ456" s="93"/>
      <c r="CA456" s="93"/>
      <c r="CB456" s="93"/>
      <c r="CC456" s="93"/>
      <c r="CF456" s="93"/>
      <c r="CG456" s="93"/>
      <c r="CH456" s="93"/>
      <c r="CI456" s="93"/>
      <c r="CJ456" s="93"/>
      <c r="CK456" s="93"/>
      <c r="CL456" s="93"/>
      <c r="CM456" s="93"/>
      <c r="CN456" s="93"/>
      <c r="CO456" s="93"/>
      <c r="CP456" s="93"/>
      <c r="CQ456" s="93"/>
      <c r="CR456" s="93"/>
      <c r="CS456" s="93"/>
      <c r="CT456" s="93"/>
      <c r="CU456" s="93"/>
      <c r="CV456" s="93"/>
      <c r="CW456" s="93"/>
      <c r="CX456" s="93"/>
      <c r="CY456" s="93"/>
      <c r="CZ456" s="93"/>
      <c r="DA456" s="93"/>
      <c r="DB456" s="93"/>
      <c r="DC456" s="93"/>
      <c r="DD456" s="93"/>
      <c r="DE456" s="93"/>
      <c r="DF456" s="93"/>
      <c r="DG456" s="93"/>
      <c r="DH456" s="93"/>
      <c r="DI456" s="93"/>
      <c r="DJ456" s="93"/>
      <c r="DK456" s="93"/>
      <c r="DL456" s="93"/>
      <c r="DM456" s="93"/>
      <c r="DN456" s="93"/>
      <c r="DO456" s="93"/>
    </row>
    <row r="457" spans="1:119" ht="15">
      <c r="A457" s="154" t="s">
        <v>7419</v>
      </c>
      <c r="B457" s="288" t="s">
        <v>7966</v>
      </c>
      <c r="C457" s="171" t="s">
        <v>339</v>
      </c>
      <c r="D457" s="1065" t="s">
        <v>339</v>
      </c>
      <c r="E457" s="807"/>
      <c r="F457" s="807"/>
      <c r="G457" s="809" t="s">
        <v>339</v>
      </c>
      <c r="H457" s="809" t="s">
        <v>8808</v>
      </c>
      <c r="I457" s="92">
        <v>43</v>
      </c>
      <c r="J457" s="92" t="s">
        <v>10</v>
      </c>
      <c r="K457" s="92" t="s">
        <v>707</v>
      </c>
      <c r="L457" s="810">
        <v>7</v>
      </c>
      <c r="M457" s="811" t="str">
        <f t="shared" si="31"/>
        <v>College Graduate or Higher</v>
      </c>
      <c r="N457" s="92" t="s">
        <v>1208</v>
      </c>
      <c r="O457" s="92" t="s">
        <v>8809</v>
      </c>
      <c r="P457" s="1638" t="s">
        <v>12608</v>
      </c>
      <c r="Q457" s="92" t="s">
        <v>8809</v>
      </c>
      <c r="R457" s="92" t="s">
        <v>8234</v>
      </c>
      <c r="S457" s="813">
        <f>AVERAGE(30000,34000)</f>
        <v>32000</v>
      </c>
      <c r="V457" s="830"/>
      <c r="W457" s="815">
        <v>5</v>
      </c>
      <c r="X457" s="811" t="str">
        <f t="shared" si="33"/>
        <v>Overseas Worker</v>
      </c>
      <c r="AB457" s="830"/>
      <c r="AC457" s="809"/>
      <c r="AD457" s="824"/>
      <c r="AG457" s="807" t="str">
        <f t="shared" si="32"/>
        <v/>
      </c>
      <c r="AH457" s="809"/>
      <c r="AI457" s="809"/>
      <c r="AJ457" s="809"/>
      <c r="AK457" s="92"/>
      <c r="AM457" s="819"/>
      <c r="AN457" s="820"/>
      <c r="AQ457" s="93"/>
      <c r="AR457" s="93"/>
      <c r="AS457" s="93"/>
      <c r="AT457" s="93"/>
      <c r="AU457" s="93"/>
      <c r="AV457" s="93"/>
      <c r="AW457" s="93"/>
      <c r="AX457" s="93"/>
      <c r="AY457" s="93"/>
      <c r="AZ457" s="93"/>
      <c r="BA457" s="93"/>
      <c r="BB457" s="93"/>
      <c r="BL457" s="93"/>
      <c r="BM457" s="93"/>
      <c r="BT457" s="93"/>
      <c r="BU457" s="93"/>
      <c r="BV457" s="93"/>
      <c r="BW457" s="93"/>
      <c r="BX457" s="93"/>
      <c r="BY457" s="93"/>
      <c r="BZ457" s="93"/>
      <c r="CA457" s="93"/>
      <c r="CB457" s="93"/>
      <c r="CC457" s="93"/>
      <c r="CF457" s="93"/>
      <c r="CG457" s="93"/>
      <c r="CH457" s="93"/>
      <c r="CI457" s="93"/>
      <c r="CJ457" s="93"/>
      <c r="CK457" s="93"/>
      <c r="CL457" s="93"/>
      <c r="CM457" s="93"/>
      <c r="CN457" s="93"/>
      <c r="CO457" s="93"/>
      <c r="CP457" s="93"/>
      <c r="CQ457" s="93"/>
      <c r="CR457" s="93"/>
      <c r="CS457" s="93"/>
      <c r="CT457" s="93"/>
      <c r="CU457" s="93"/>
      <c r="CV457" s="93"/>
      <c r="CW457" s="93"/>
      <c r="CX457" s="93"/>
      <c r="CY457" s="93"/>
      <c r="CZ457" s="93"/>
      <c r="DA457" s="93"/>
      <c r="DB457" s="93"/>
      <c r="DC457" s="93"/>
      <c r="DD457" s="93"/>
      <c r="DE457" s="93"/>
      <c r="DF457" s="93"/>
      <c r="DG457" s="93"/>
      <c r="DH457" s="93"/>
      <c r="DI457" s="93"/>
      <c r="DJ457" s="93"/>
      <c r="DK457" s="93"/>
      <c r="DL457" s="93"/>
      <c r="DM457" s="93"/>
      <c r="DN457" s="93"/>
      <c r="DO457" s="93"/>
    </row>
    <row r="458" spans="1:119" ht="15">
      <c r="A458" s="154" t="s">
        <v>7419</v>
      </c>
      <c r="C458" s="807"/>
      <c r="D458" s="1065" t="s">
        <v>339</v>
      </c>
      <c r="E458" s="807"/>
      <c r="F458" s="807"/>
      <c r="G458" s="827"/>
      <c r="H458" s="809" t="s">
        <v>2165</v>
      </c>
      <c r="I458" s="92">
        <v>41</v>
      </c>
      <c r="J458" s="92" t="s">
        <v>18</v>
      </c>
      <c r="K458" s="92" t="s">
        <v>707</v>
      </c>
      <c r="L458" s="810">
        <v>7</v>
      </c>
      <c r="M458" s="811" t="str">
        <f t="shared" si="31"/>
        <v>College Graduate or Higher</v>
      </c>
      <c r="O458" s="92"/>
      <c r="P458" s="1638"/>
      <c r="Q458" s="92"/>
      <c r="R458" s="92"/>
      <c r="V458" s="830"/>
      <c r="X458" s="811" t="str">
        <f t="shared" si="33"/>
        <v/>
      </c>
      <c r="AB458" s="830"/>
      <c r="AC458" s="809"/>
      <c r="AD458" s="824"/>
      <c r="AG458" s="807" t="str">
        <f t="shared" si="32"/>
        <v/>
      </c>
      <c r="AH458" s="809"/>
      <c r="AI458" s="809"/>
      <c r="AJ458" s="809"/>
      <c r="AK458" s="92"/>
      <c r="AM458" s="819"/>
      <c r="AN458" s="820"/>
      <c r="AQ458" s="93"/>
      <c r="AR458" s="93"/>
      <c r="AS458" s="93"/>
      <c r="AT458" s="93"/>
      <c r="AU458" s="93"/>
      <c r="AV458" s="93"/>
      <c r="AW458" s="93"/>
      <c r="AX458" s="93"/>
      <c r="AY458" s="93"/>
      <c r="AZ458" s="93"/>
      <c r="BA458" s="93"/>
      <c r="BB458" s="93"/>
      <c r="BL458" s="93"/>
      <c r="BM458" s="93"/>
      <c r="BT458" s="93"/>
      <c r="BU458" s="93"/>
      <c r="BV458" s="93"/>
      <c r="BW458" s="93"/>
      <c r="BX458" s="93"/>
      <c r="BY458" s="93"/>
      <c r="BZ458" s="93"/>
      <c r="CA458" s="93"/>
      <c r="CB458" s="93"/>
      <c r="CC458" s="93"/>
      <c r="CF458" s="93"/>
      <c r="CG458" s="93"/>
      <c r="CH458" s="93"/>
      <c r="CI458" s="93"/>
      <c r="CJ458" s="93"/>
      <c r="CK458" s="93"/>
      <c r="CL458" s="93"/>
      <c r="CM458" s="93"/>
      <c r="CN458" s="93"/>
      <c r="CO458" s="93"/>
      <c r="CP458" s="93"/>
      <c r="CQ458" s="93"/>
      <c r="CR458" s="93"/>
      <c r="CS458" s="93"/>
      <c r="CT458" s="93"/>
      <c r="CU458" s="93"/>
      <c r="CV458" s="93"/>
      <c r="CW458" s="93"/>
      <c r="CX458" s="93"/>
      <c r="CY458" s="93"/>
      <c r="CZ458" s="93"/>
      <c r="DA458" s="93"/>
      <c r="DB458" s="93"/>
      <c r="DC458" s="93"/>
      <c r="DD458" s="93"/>
      <c r="DE458" s="93"/>
      <c r="DF458" s="93"/>
      <c r="DG458" s="93"/>
      <c r="DH458" s="93"/>
      <c r="DI458" s="93"/>
      <c r="DJ458" s="93"/>
      <c r="DK458" s="93"/>
      <c r="DL458" s="93"/>
      <c r="DM458" s="93"/>
      <c r="DN458" s="93"/>
      <c r="DO458" s="93"/>
    </row>
    <row r="459" spans="1:119" ht="15">
      <c r="A459" s="154" t="s">
        <v>7419</v>
      </c>
      <c r="C459" s="807"/>
      <c r="D459" s="1065" t="s">
        <v>339</v>
      </c>
      <c r="E459" s="807"/>
      <c r="F459" s="807"/>
      <c r="G459" s="827"/>
      <c r="H459" s="809" t="s">
        <v>8810</v>
      </c>
      <c r="I459" s="92">
        <v>12</v>
      </c>
      <c r="J459" s="92" t="s">
        <v>18</v>
      </c>
      <c r="K459" s="92" t="s">
        <v>768</v>
      </c>
      <c r="L459" s="810">
        <v>2</v>
      </c>
      <c r="M459" s="811" t="str">
        <f t="shared" ref="M459:M522" si="34">IF(ISBLANK(L459)=TRUE,"",LOOKUP(L459,GQ:GR))</f>
        <v>Elementary Level</v>
      </c>
      <c r="O459" s="92"/>
      <c r="P459" s="1638"/>
      <c r="Q459" s="92"/>
      <c r="R459" s="92"/>
      <c r="V459" s="830"/>
      <c r="X459" s="811" t="str">
        <f t="shared" si="33"/>
        <v/>
      </c>
      <c r="AB459" s="830"/>
      <c r="AC459" s="809"/>
      <c r="AD459" s="824"/>
      <c r="AG459" s="807" t="str">
        <f t="shared" si="32"/>
        <v/>
      </c>
      <c r="AH459" s="809"/>
      <c r="AI459" s="809"/>
      <c r="AJ459" s="809"/>
      <c r="AK459" s="92"/>
      <c r="AM459" s="819"/>
      <c r="AN459" s="820"/>
      <c r="AQ459" s="93"/>
      <c r="AR459" s="93"/>
      <c r="AS459" s="93"/>
      <c r="AT459" s="93"/>
      <c r="AU459" s="93"/>
      <c r="AV459" s="93"/>
      <c r="AW459" s="93"/>
      <c r="AX459" s="93"/>
      <c r="AY459" s="93"/>
      <c r="AZ459" s="93"/>
      <c r="BA459" s="93"/>
      <c r="BB459" s="93"/>
      <c r="BL459" s="93"/>
      <c r="BM459" s="93"/>
      <c r="BT459" s="93"/>
      <c r="BU459" s="93"/>
      <c r="BV459" s="93"/>
      <c r="BW459" s="93"/>
      <c r="BX459" s="93"/>
      <c r="BY459" s="93"/>
      <c r="BZ459" s="93"/>
      <c r="CA459" s="93"/>
      <c r="CB459" s="93"/>
      <c r="CC459" s="93"/>
      <c r="CF459" s="93"/>
      <c r="CG459" s="93"/>
      <c r="CH459" s="93"/>
      <c r="CI459" s="93"/>
      <c r="CJ459" s="93"/>
      <c r="CK459" s="93"/>
      <c r="CL459" s="93"/>
      <c r="CM459" s="93"/>
      <c r="CN459" s="93"/>
      <c r="CO459" s="93"/>
      <c r="CP459" s="93"/>
      <c r="CQ459" s="93"/>
      <c r="CR459" s="93"/>
      <c r="CS459" s="93"/>
      <c r="CT459" s="93"/>
      <c r="CU459" s="93"/>
      <c r="CV459" s="93"/>
      <c r="CW459" s="93"/>
      <c r="CX459" s="93"/>
      <c r="CY459" s="93"/>
      <c r="CZ459" s="93"/>
      <c r="DA459" s="93"/>
      <c r="DB459" s="93"/>
      <c r="DC459" s="93"/>
      <c r="DD459" s="93"/>
      <c r="DE459" s="93"/>
      <c r="DF459" s="93"/>
      <c r="DG459" s="93"/>
      <c r="DH459" s="93"/>
      <c r="DI459" s="93"/>
      <c r="DJ459" s="93"/>
      <c r="DK459" s="93"/>
      <c r="DL459" s="93"/>
      <c r="DM459" s="93"/>
      <c r="DN459" s="93"/>
      <c r="DO459" s="93"/>
    </row>
    <row r="460" spans="1:119" ht="15">
      <c r="A460" s="154" t="s">
        <v>7419</v>
      </c>
      <c r="C460" s="807"/>
      <c r="D460" s="1065" t="s">
        <v>339</v>
      </c>
      <c r="E460" s="807"/>
      <c r="F460" s="807"/>
      <c r="G460" s="827"/>
      <c r="H460" s="809" t="s">
        <v>8811</v>
      </c>
      <c r="I460" s="92">
        <v>3</v>
      </c>
      <c r="J460" s="92" t="s">
        <v>10</v>
      </c>
      <c r="K460" s="92" t="s">
        <v>768</v>
      </c>
      <c r="L460" s="810">
        <v>10</v>
      </c>
      <c r="M460" s="811" t="str">
        <f t="shared" si="34"/>
        <v>Not In School Age</v>
      </c>
      <c r="O460" s="92"/>
      <c r="P460" s="1638"/>
      <c r="Q460" s="92"/>
      <c r="R460" s="92"/>
      <c r="V460" s="830"/>
      <c r="X460" s="811" t="str">
        <f t="shared" si="33"/>
        <v/>
      </c>
      <c r="AB460" s="830"/>
      <c r="AC460" s="809"/>
      <c r="AD460" s="824"/>
      <c r="AG460" s="807" t="str">
        <f t="shared" si="32"/>
        <v/>
      </c>
      <c r="AH460" s="809"/>
      <c r="AI460" s="809"/>
      <c r="AJ460" s="809"/>
      <c r="AK460" s="92"/>
      <c r="AM460" s="819"/>
      <c r="AN460" s="820"/>
      <c r="AQ460" s="93"/>
      <c r="AR460" s="93"/>
      <c r="AS460" s="93"/>
      <c r="AT460" s="93"/>
      <c r="AU460" s="93"/>
      <c r="AV460" s="93"/>
      <c r="AW460" s="93"/>
      <c r="AX460" s="93"/>
      <c r="AY460" s="93"/>
      <c r="AZ460" s="93"/>
      <c r="BA460" s="93"/>
      <c r="BB460" s="93"/>
      <c r="BL460" s="93"/>
      <c r="BM460" s="93"/>
      <c r="BT460" s="93"/>
      <c r="BU460" s="93"/>
      <c r="BV460" s="93"/>
      <c r="BW460" s="93"/>
      <c r="BX460" s="93"/>
      <c r="BY460" s="93"/>
      <c r="BZ460" s="93"/>
      <c r="CA460" s="93"/>
      <c r="CB460" s="93"/>
      <c r="CC460" s="93"/>
      <c r="CF460" s="93"/>
      <c r="CG460" s="93"/>
      <c r="CH460" s="93"/>
      <c r="CI460" s="93"/>
      <c r="CJ460" s="93"/>
      <c r="CK460" s="93"/>
      <c r="CL460" s="93"/>
      <c r="CM460" s="93"/>
      <c r="CN460" s="93"/>
      <c r="CO460" s="93"/>
      <c r="CP460" s="93"/>
      <c r="CQ460" s="93"/>
      <c r="CR460" s="93"/>
      <c r="CS460" s="93"/>
      <c r="CT460" s="93"/>
      <c r="CU460" s="93"/>
      <c r="CV460" s="93"/>
      <c r="CW460" s="93"/>
      <c r="CX460" s="93"/>
      <c r="CY460" s="93"/>
      <c r="CZ460" s="93"/>
      <c r="DA460" s="93"/>
      <c r="DB460" s="93"/>
      <c r="DC460" s="93"/>
      <c r="DD460" s="93"/>
      <c r="DE460" s="93"/>
      <c r="DF460" s="93"/>
      <c r="DG460" s="93"/>
      <c r="DH460" s="93"/>
      <c r="DI460" s="93"/>
      <c r="DJ460" s="93"/>
      <c r="DK460" s="93"/>
      <c r="DL460" s="93"/>
      <c r="DM460" s="93"/>
      <c r="DN460" s="93"/>
      <c r="DO460" s="93"/>
    </row>
    <row r="461" spans="1:119" ht="15">
      <c r="A461" s="154" t="s">
        <v>7419</v>
      </c>
      <c r="C461" s="807"/>
      <c r="D461" s="1065" t="s">
        <v>339</v>
      </c>
      <c r="E461" s="807"/>
      <c r="F461" s="807"/>
      <c r="G461" s="827"/>
      <c r="H461" s="809" t="s">
        <v>8812</v>
      </c>
      <c r="I461" s="92">
        <v>1</v>
      </c>
      <c r="J461" s="92" t="s">
        <v>10</v>
      </c>
      <c r="K461" s="92" t="s">
        <v>768</v>
      </c>
      <c r="L461" s="810">
        <v>10</v>
      </c>
      <c r="M461" s="811" t="str">
        <f t="shared" si="34"/>
        <v>Not In School Age</v>
      </c>
      <c r="O461" s="92"/>
      <c r="P461" s="1638"/>
      <c r="Q461" s="92"/>
      <c r="R461" s="92"/>
      <c r="V461" s="830"/>
      <c r="X461" s="811" t="str">
        <f t="shared" si="33"/>
        <v/>
      </c>
      <c r="AB461" s="830"/>
      <c r="AC461" s="809"/>
      <c r="AD461" s="824"/>
      <c r="AG461" s="807" t="str">
        <f t="shared" si="32"/>
        <v/>
      </c>
      <c r="AH461" s="809"/>
      <c r="AI461" s="809"/>
      <c r="AJ461" s="809"/>
      <c r="AK461" s="92"/>
      <c r="AM461" s="819"/>
      <c r="AN461" s="820"/>
      <c r="AQ461" s="93"/>
      <c r="AR461" s="93"/>
      <c r="AS461" s="93"/>
      <c r="AT461" s="93"/>
      <c r="AU461" s="93"/>
      <c r="AV461" s="93"/>
      <c r="AW461" s="93"/>
      <c r="AX461" s="93"/>
      <c r="AY461" s="93"/>
      <c r="AZ461" s="93"/>
      <c r="BA461" s="93"/>
      <c r="BB461" s="93"/>
      <c r="BL461" s="93"/>
      <c r="BM461" s="93"/>
      <c r="BT461" s="93"/>
      <c r="BU461" s="93"/>
      <c r="BV461" s="93"/>
      <c r="BW461" s="93"/>
      <c r="BX461" s="93"/>
      <c r="BY461" s="93"/>
      <c r="BZ461" s="93"/>
      <c r="CA461" s="93"/>
      <c r="CB461" s="93"/>
      <c r="CC461" s="93"/>
      <c r="CF461" s="93"/>
      <c r="CG461" s="93"/>
      <c r="CH461" s="93"/>
      <c r="CI461" s="93"/>
      <c r="CJ461" s="93"/>
      <c r="CK461" s="93"/>
      <c r="CL461" s="93"/>
      <c r="CM461" s="93"/>
      <c r="CN461" s="93"/>
      <c r="CO461" s="93"/>
      <c r="CP461" s="93"/>
      <c r="CQ461" s="93"/>
      <c r="CR461" s="93"/>
      <c r="CS461" s="93"/>
      <c r="CT461" s="93"/>
      <c r="CU461" s="93"/>
      <c r="CV461" s="93"/>
      <c r="CW461" s="93"/>
      <c r="CX461" s="93"/>
      <c r="CY461" s="93"/>
      <c r="CZ461" s="93"/>
      <c r="DA461" s="93"/>
      <c r="DB461" s="93"/>
      <c r="DC461" s="93"/>
      <c r="DD461" s="93"/>
      <c r="DE461" s="93"/>
      <c r="DF461" s="93"/>
      <c r="DG461" s="93"/>
      <c r="DH461" s="93"/>
      <c r="DI461" s="93"/>
      <c r="DJ461" s="93"/>
      <c r="DK461" s="93"/>
      <c r="DL461" s="93"/>
      <c r="DM461" s="93"/>
      <c r="DN461" s="93"/>
      <c r="DO461" s="93"/>
    </row>
    <row r="462" spans="1:119" ht="15">
      <c r="A462" s="154" t="s">
        <v>7419</v>
      </c>
      <c r="C462" s="807"/>
      <c r="D462" s="1065" t="s">
        <v>339</v>
      </c>
      <c r="E462" s="807"/>
      <c r="F462" s="807"/>
      <c r="G462" s="827"/>
      <c r="H462" s="809" t="s">
        <v>8813</v>
      </c>
      <c r="I462" s="857">
        <v>60</v>
      </c>
      <c r="J462" s="92" t="s">
        <v>18</v>
      </c>
      <c r="K462" s="92" t="s">
        <v>768</v>
      </c>
      <c r="M462" s="811" t="str">
        <f t="shared" si="34"/>
        <v/>
      </c>
      <c r="O462" s="92"/>
      <c r="P462" s="1638"/>
      <c r="Q462" s="92"/>
      <c r="R462" s="92"/>
      <c r="V462" s="830">
        <f>SUM(S457:U462)</f>
        <v>32000</v>
      </c>
      <c r="X462" s="811" t="str">
        <f t="shared" si="33"/>
        <v/>
      </c>
      <c r="AB462" s="830">
        <f>SUM(Y457:AA462)</f>
        <v>0</v>
      </c>
      <c r="AC462" s="809"/>
      <c r="AD462" s="817" t="s">
        <v>8814</v>
      </c>
      <c r="AG462" s="807" t="str">
        <f t="shared" si="32"/>
        <v/>
      </c>
      <c r="AH462" s="809"/>
      <c r="AI462" s="809"/>
      <c r="AJ462" s="809"/>
      <c r="AK462" s="92"/>
      <c r="AM462" s="819"/>
      <c r="AN462" s="820"/>
      <c r="AQ462" s="93"/>
      <c r="AR462" s="93"/>
      <c r="AS462" s="93"/>
      <c r="AT462" s="93"/>
      <c r="AU462" s="93"/>
      <c r="AV462" s="93"/>
      <c r="AW462" s="93"/>
      <c r="AX462" s="93"/>
      <c r="AY462" s="93"/>
      <c r="AZ462" s="93"/>
      <c r="BA462" s="93"/>
      <c r="BB462" s="93"/>
      <c r="BL462" s="93"/>
      <c r="BM462" s="93"/>
      <c r="BT462" s="93"/>
      <c r="BU462" s="93"/>
      <c r="BV462" s="93"/>
      <c r="BW462" s="93"/>
      <c r="BX462" s="93"/>
      <c r="BY462" s="93"/>
      <c r="BZ462" s="93"/>
      <c r="CA462" s="93"/>
      <c r="CB462" s="93"/>
      <c r="CC462" s="93"/>
      <c r="CF462" s="93"/>
      <c r="CG462" s="93"/>
      <c r="CH462" s="93"/>
      <c r="CI462" s="93"/>
      <c r="CJ462" s="93"/>
      <c r="CK462" s="93"/>
      <c r="CL462" s="93"/>
      <c r="CM462" s="93"/>
      <c r="CN462" s="93"/>
      <c r="CO462" s="93"/>
      <c r="CP462" s="93"/>
      <c r="CQ462" s="93"/>
      <c r="CR462" s="93"/>
      <c r="CS462" s="93"/>
      <c r="CT462" s="93"/>
      <c r="CU462" s="93"/>
      <c r="CV462" s="93"/>
      <c r="CW462" s="93"/>
      <c r="CX462" s="93"/>
      <c r="CY462" s="93"/>
      <c r="CZ462" s="93"/>
      <c r="DA462" s="93"/>
      <c r="DB462" s="93"/>
      <c r="DC462" s="93"/>
      <c r="DD462" s="93"/>
      <c r="DE462" s="93"/>
      <c r="DF462" s="93"/>
      <c r="DG462" s="93"/>
      <c r="DH462" s="93"/>
      <c r="DI462" s="93"/>
      <c r="DJ462" s="93"/>
      <c r="DK462" s="93"/>
      <c r="DL462" s="93"/>
      <c r="DM462" s="93"/>
      <c r="DN462" s="93"/>
      <c r="DO462" s="93"/>
    </row>
    <row r="463" spans="1:119" ht="15">
      <c r="A463" s="767" t="s">
        <v>7421</v>
      </c>
      <c r="B463" s="288" t="s">
        <v>7538</v>
      </c>
      <c r="C463" s="171" t="s">
        <v>346</v>
      </c>
      <c r="D463" s="1065" t="s">
        <v>346</v>
      </c>
      <c r="E463" s="1041" t="s">
        <v>346</v>
      </c>
      <c r="F463" s="1047" t="s">
        <v>1971</v>
      </c>
      <c r="G463" s="809" t="s">
        <v>346</v>
      </c>
      <c r="H463" s="809" t="s">
        <v>1971</v>
      </c>
      <c r="I463" s="857">
        <v>60</v>
      </c>
      <c r="J463" s="92" t="s">
        <v>18</v>
      </c>
      <c r="K463" s="92" t="s">
        <v>707</v>
      </c>
      <c r="L463" s="810">
        <v>2</v>
      </c>
      <c r="M463" s="811" t="str">
        <f t="shared" si="34"/>
        <v>Elementary Level</v>
      </c>
      <c r="N463" s="92" t="s">
        <v>1208</v>
      </c>
      <c r="O463" s="92" t="s">
        <v>2199</v>
      </c>
      <c r="P463" s="1638" t="s">
        <v>12609</v>
      </c>
      <c r="Q463" s="92" t="s">
        <v>2199</v>
      </c>
      <c r="R463" s="92" t="s">
        <v>8234</v>
      </c>
      <c r="S463" s="911"/>
      <c r="T463" s="816"/>
      <c r="U463" s="816">
        <v>3600</v>
      </c>
      <c r="W463" s="815">
        <v>3</v>
      </c>
      <c r="X463" s="811" t="str">
        <f t="shared" si="33"/>
        <v>within the Province</v>
      </c>
      <c r="Y463" s="816">
        <v>56</v>
      </c>
      <c r="Z463" s="92"/>
      <c r="AB463" s="814"/>
      <c r="AC463" s="809"/>
      <c r="AD463" s="817" t="s">
        <v>8815</v>
      </c>
      <c r="AG463" s="807" t="str">
        <f t="shared" si="32"/>
        <v/>
      </c>
      <c r="AH463" s="809"/>
      <c r="AI463" s="809"/>
      <c r="AJ463" s="809"/>
      <c r="AK463" s="92"/>
      <c r="AM463" s="819"/>
      <c r="AN463" s="820"/>
      <c r="AQ463" s="93"/>
      <c r="AR463" s="93"/>
      <c r="AS463" s="93"/>
      <c r="AT463" s="93"/>
      <c r="AU463" s="93"/>
      <c r="AV463" s="93"/>
      <c r="AW463" s="93"/>
      <c r="AX463" s="93"/>
      <c r="AY463" s="93"/>
      <c r="AZ463" s="93"/>
      <c r="BA463" s="93"/>
      <c r="BB463" s="93"/>
      <c r="BL463" s="93"/>
      <c r="BM463" s="93"/>
      <c r="BT463" s="93"/>
      <c r="BU463" s="93"/>
      <c r="BV463" s="93"/>
      <c r="BW463" s="93"/>
      <c r="BX463" s="93"/>
      <c r="BY463" s="93"/>
      <c r="BZ463" s="93"/>
      <c r="CA463" s="93"/>
      <c r="CB463" s="93"/>
      <c r="CC463" s="93"/>
      <c r="CF463" s="93"/>
      <c r="CG463" s="93"/>
      <c r="CH463" s="93"/>
      <c r="CI463" s="93"/>
      <c r="CJ463" s="93"/>
      <c r="CK463" s="93"/>
      <c r="CL463" s="93"/>
      <c r="CM463" s="93"/>
      <c r="CN463" s="93"/>
      <c r="CO463" s="93" t="s">
        <v>2144</v>
      </c>
      <c r="CP463" s="93"/>
      <c r="CQ463" s="93">
        <v>1</v>
      </c>
      <c r="CR463" s="93" t="s">
        <v>2146</v>
      </c>
      <c r="CS463" s="93"/>
      <c r="CT463" s="93"/>
      <c r="CU463" s="93"/>
      <c r="CV463" s="93"/>
      <c r="CW463" s="93"/>
      <c r="CX463" s="93"/>
      <c r="CY463" s="93"/>
      <c r="CZ463" s="93"/>
      <c r="DA463" s="93"/>
      <c r="DB463" s="93"/>
      <c r="DC463" s="93"/>
      <c r="DD463" s="93"/>
      <c r="DE463" s="93"/>
      <c r="DF463" s="93"/>
      <c r="DG463" s="93"/>
      <c r="DH463" s="93"/>
      <c r="DI463" s="93"/>
      <c r="DJ463" s="93"/>
      <c r="DK463" s="93"/>
      <c r="DL463" s="93"/>
      <c r="DM463" s="93"/>
      <c r="DN463" s="93"/>
      <c r="DO463" s="93"/>
    </row>
    <row r="464" spans="1:119" ht="15">
      <c r="A464" s="767" t="s">
        <v>7421</v>
      </c>
      <c r="C464" s="807"/>
      <c r="D464" s="1065" t="s">
        <v>346</v>
      </c>
      <c r="E464" s="1041" t="s">
        <v>346</v>
      </c>
      <c r="F464" s="807"/>
      <c r="G464" s="827"/>
      <c r="H464" s="809" t="s">
        <v>8816</v>
      </c>
      <c r="I464" s="92">
        <v>67</v>
      </c>
      <c r="J464" s="92" t="s">
        <v>10</v>
      </c>
      <c r="K464" s="92" t="s">
        <v>707</v>
      </c>
      <c r="L464" s="810">
        <v>2</v>
      </c>
      <c r="M464" s="811" t="str">
        <f t="shared" si="34"/>
        <v>Elementary Level</v>
      </c>
      <c r="O464" s="92"/>
      <c r="P464" s="1638"/>
      <c r="Q464" s="92"/>
      <c r="R464" s="92"/>
      <c r="S464" s="816"/>
      <c r="T464" s="816"/>
      <c r="U464" s="816"/>
      <c r="X464" s="811" t="str">
        <f t="shared" si="33"/>
        <v/>
      </c>
      <c r="AB464" s="814"/>
      <c r="AC464" s="809"/>
      <c r="AD464" s="817" t="s">
        <v>8817</v>
      </c>
      <c r="AE464" s="93" t="s">
        <v>8818</v>
      </c>
      <c r="AF464" s="818">
        <v>1</v>
      </c>
      <c r="AG464" s="807" t="str">
        <f t="shared" si="32"/>
        <v>Mental disabilities or PWD</v>
      </c>
      <c r="AH464" s="809"/>
      <c r="AI464" s="809"/>
      <c r="AJ464" s="809"/>
      <c r="AK464" s="92"/>
      <c r="AM464" s="819"/>
      <c r="AN464" s="820"/>
      <c r="AQ464" s="93"/>
      <c r="AR464" s="93"/>
      <c r="AS464" s="93"/>
      <c r="AT464" s="93"/>
      <c r="AU464" s="93"/>
      <c r="AV464" s="93"/>
      <c r="AW464" s="93"/>
      <c r="AX464" s="93"/>
      <c r="AY464" s="93"/>
      <c r="AZ464" s="93"/>
      <c r="BA464" s="93"/>
      <c r="BB464" s="93"/>
      <c r="BL464" s="93"/>
      <c r="BM464" s="93"/>
      <c r="BT464" s="93"/>
      <c r="BU464" s="93"/>
      <c r="BV464" s="93"/>
      <c r="BW464" s="93"/>
      <c r="BX464" s="93"/>
      <c r="BY464" s="93"/>
      <c r="BZ464" s="93"/>
      <c r="CA464" s="93"/>
      <c r="CB464" s="93"/>
      <c r="CC464" s="93"/>
      <c r="CF464" s="93"/>
      <c r="CG464" s="93"/>
      <c r="CH464" s="93"/>
      <c r="CI464" s="93"/>
      <c r="CJ464" s="93"/>
      <c r="CK464" s="93"/>
      <c r="CL464" s="93"/>
      <c r="CM464" s="93"/>
      <c r="CN464" s="93"/>
      <c r="CO464" s="93"/>
      <c r="CP464" s="93"/>
      <c r="CQ464" s="93"/>
      <c r="CR464" s="93"/>
      <c r="CS464" s="93"/>
      <c r="CT464" s="93"/>
      <c r="CU464" s="93"/>
      <c r="CV464" s="93"/>
      <c r="CW464" s="93"/>
      <c r="CX464" s="93"/>
      <c r="CY464" s="93"/>
      <c r="CZ464" s="93"/>
      <c r="DA464" s="93"/>
      <c r="DB464" s="93"/>
      <c r="DC464" s="93"/>
      <c r="DD464" s="93"/>
      <c r="DE464" s="93"/>
      <c r="DF464" s="93"/>
      <c r="DG464" s="93"/>
      <c r="DH464" s="93"/>
      <c r="DI464" s="93"/>
      <c r="DJ464" s="93"/>
      <c r="DK464" s="93"/>
      <c r="DL464" s="93"/>
      <c r="DM464" s="93"/>
      <c r="DN464" s="93"/>
      <c r="DO464" s="93"/>
    </row>
    <row r="465" spans="1:119" ht="15">
      <c r="A465" s="767" t="s">
        <v>7421</v>
      </c>
      <c r="C465" s="807"/>
      <c r="D465" s="1065" t="s">
        <v>346</v>
      </c>
      <c r="E465" s="1041" t="s">
        <v>346</v>
      </c>
      <c r="F465" s="807"/>
      <c r="G465" s="827"/>
      <c r="H465" s="809" t="s">
        <v>8819</v>
      </c>
      <c r="I465" s="92">
        <v>10</v>
      </c>
      <c r="J465" s="92" t="s">
        <v>10</v>
      </c>
      <c r="K465" s="92" t="s">
        <v>768</v>
      </c>
      <c r="L465" s="810">
        <v>2</v>
      </c>
      <c r="M465" s="811" t="str">
        <f t="shared" si="34"/>
        <v>Elementary Level</v>
      </c>
      <c r="O465" s="92"/>
      <c r="P465" s="1638"/>
      <c r="Q465" s="92"/>
      <c r="R465" s="92"/>
      <c r="S465" s="820"/>
      <c r="T465" s="820"/>
      <c r="U465" s="820"/>
      <c r="V465" s="814">
        <f>SUM(S463:U465)</f>
        <v>3600</v>
      </c>
      <c r="X465" s="811" t="str">
        <f t="shared" si="33"/>
        <v/>
      </c>
      <c r="AB465" s="814">
        <f>SUM(Y463:AA465)</f>
        <v>56</v>
      </c>
      <c r="AC465" s="809"/>
      <c r="AD465" s="824"/>
      <c r="AG465" s="807" t="str">
        <f t="shared" si="32"/>
        <v/>
      </c>
      <c r="AH465" s="809"/>
      <c r="AI465" s="809"/>
      <c r="AJ465" s="809"/>
      <c r="AK465" s="92"/>
      <c r="AM465" s="819"/>
      <c r="AN465" s="820"/>
      <c r="AQ465" s="93"/>
      <c r="AR465" s="93"/>
      <c r="AS465" s="93"/>
      <c r="AT465" s="93"/>
      <c r="AU465" s="93"/>
      <c r="AV465" s="93"/>
      <c r="AW465" s="93"/>
      <c r="AX465" s="93"/>
      <c r="AY465" s="93"/>
      <c r="AZ465" s="93"/>
      <c r="BA465" s="93"/>
      <c r="BB465" s="93"/>
      <c r="BL465" s="93"/>
      <c r="BM465" s="93"/>
      <c r="BT465" s="93"/>
      <c r="BU465" s="93"/>
      <c r="BV465" s="93"/>
      <c r="BW465" s="93"/>
      <c r="BX465" s="93"/>
      <c r="BY465" s="93"/>
      <c r="BZ465" s="93"/>
      <c r="CA465" s="93"/>
      <c r="CB465" s="93"/>
      <c r="CC465" s="93"/>
      <c r="CF465" s="93"/>
      <c r="CG465" s="93"/>
      <c r="CH465" s="93"/>
      <c r="CI465" s="93"/>
      <c r="CJ465" s="93"/>
      <c r="CK465" s="93"/>
      <c r="CL465" s="93"/>
      <c r="CM465" s="93"/>
      <c r="CN465" s="93"/>
      <c r="CO465" s="93"/>
      <c r="CP465" s="93"/>
      <c r="CQ465" s="93"/>
      <c r="CR465" s="93"/>
      <c r="CS465" s="93"/>
      <c r="CT465" s="93"/>
      <c r="CU465" s="93"/>
      <c r="CV465" s="93"/>
      <c r="CW465" s="93"/>
      <c r="CX465" s="93"/>
      <c r="CY465" s="93"/>
      <c r="CZ465" s="93"/>
      <c r="DA465" s="93"/>
      <c r="DB465" s="93"/>
      <c r="DC465" s="93"/>
      <c r="DD465" s="93"/>
      <c r="DE465" s="93"/>
      <c r="DF465" s="93"/>
      <c r="DG465" s="93"/>
      <c r="DH465" s="93"/>
      <c r="DI465" s="93"/>
      <c r="DJ465" s="93"/>
      <c r="DK465" s="93"/>
      <c r="DL465" s="93"/>
      <c r="DM465" s="93"/>
      <c r="DN465" s="93"/>
      <c r="DO465" s="93"/>
    </row>
    <row r="466" spans="1:119" ht="15">
      <c r="A466" s="767" t="s">
        <v>12448</v>
      </c>
      <c r="B466" s="288" t="s">
        <v>7585</v>
      </c>
      <c r="C466" s="171" t="s">
        <v>349</v>
      </c>
      <c r="D466" s="1065" t="s">
        <v>349</v>
      </c>
      <c r="E466" s="1041" t="s">
        <v>349</v>
      </c>
      <c r="F466" s="1047" t="s">
        <v>2077</v>
      </c>
      <c r="G466" s="809" t="s">
        <v>349</v>
      </c>
      <c r="H466" s="809" t="s">
        <v>2077</v>
      </c>
      <c r="I466" s="92">
        <v>59</v>
      </c>
      <c r="J466" s="92" t="s">
        <v>18</v>
      </c>
      <c r="K466" s="92" t="s">
        <v>719</v>
      </c>
      <c r="L466" s="810">
        <v>3</v>
      </c>
      <c r="M466" s="811" t="str">
        <f t="shared" si="34"/>
        <v>Elementary Graduate</v>
      </c>
      <c r="N466" s="92" t="s">
        <v>1208</v>
      </c>
      <c r="O466" s="92" t="s">
        <v>8820</v>
      </c>
      <c r="P466" s="1638" t="s">
        <v>12628</v>
      </c>
      <c r="Q466" s="92" t="s">
        <v>8820</v>
      </c>
      <c r="R466" s="92" t="s">
        <v>8234</v>
      </c>
      <c r="S466" s="911"/>
      <c r="T466" s="911"/>
      <c r="U466" s="911">
        <f>SUM(400,240)</f>
        <v>640</v>
      </c>
      <c r="V466" s="828"/>
      <c r="W466" s="815">
        <v>1</v>
      </c>
      <c r="X466" s="811" t="str">
        <f t="shared" si="33"/>
        <v>within the Brgy</v>
      </c>
      <c r="AB466" s="828"/>
      <c r="AC466" s="809"/>
      <c r="AD466" s="824"/>
      <c r="AG466" s="807" t="str">
        <f t="shared" si="32"/>
        <v/>
      </c>
      <c r="AH466" s="809"/>
      <c r="AI466" s="809"/>
      <c r="AJ466" s="809"/>
      <c r="AK466" s="92"/>
      <c r="AM466" s="819"/>
      <c r="AN466" s="820"/>
      <c r="AQ466" s="93"/>
      <c r="AR466" s="93"/>
      <c r="AS466" s="93"/>
      <c r="AT466" s="93"/>
      <c r="AU466" s="93"/>
      <c r="AV466" s="93"/>
      <c r="AW466" s="93"/>
      <c r="AX466" s="93"/>
      <c r="AY466" s="93"/>
      <c r="AZ466" s="93"/>
      <c r="BA466" s="93"/>
      <c r="BB466" s="93"/>
      <c r="BL466" s="93"/>
      <c r="BM466" s="93"/>
      <c r="BT466" s="93"/>
      <c r="BU466" s="93"/>
      <c r="BV466" s="93"/>
      <c r="BW466" s="93"/>
      <c r="BX466" s="93"/>
      <c r="BY466" s="93"/>
      <c r="BZ466" s="93"/>
      <c r="CA466" s="93"/>
      <c r="CB466" s="93"/>
      <c r="CC466" s="93"/>
      <c r="CF466" s="93"/>
      <c r="CG466" s="93"/>
      <c r="CH466" s="93"/>
      <c r="CI466" s="93"/>
      <c r="CJ466" s="93"/>
      <c r="CK466" s="93"/>
      <c r="CL466" s="93"/>
      <c r="CM466" s="93"/>
      <c r="CN466" s="93"/>
      <c r="CO466" s="93"/>
      <c r="CP466" s="93"/>
      <c r="CQ466" s="93"/>
      <c r="CR466" s="93">
        <v>1</v>
      </c>
      <c r="CS466" s="93"/>
      <c r="CT466" s="93"/>
      <c r="CU466" s="93"/>
      <c r="CV466" s="93"/>
      <c r="CW466" s="93"/>
      <c r="CX466" s="93"/>
      <c r="CY466" s="93"/>
      <c r="CZ466" s="93"/>
      <c r="DA466" s="93"/>
      <c r="DB466" s="93"/>
      <c r="DC466" s="93"/>
      <c r="DD466" s="93"/>
      <c r="DE466" s="93"/>
      <c r="DF466" s="93"/>
      <c r="DG466" s="93"/>
      <c r="DH466" s="93"/>
      <c r="DI466" s="93"/>
      <c r="DJ466" s="93"/>
      <c r="DK466" s="93"/>
      <c r="DL466" s="93"/>
      <c r="DM466" s="93"/>
      <c r="DN466" s="93"/>
      <c r="DO466" s="93"/>
    </row>
    <row r="467" spans="1:119" ht="15">
      <c r="A467" s="767" t="s">
        <v>12448</v>
      </c>
      <c r="B467" s="288"/>
      <c r="C467" s="766"/>
      <c r="D467" s="1065" t="s">
        <v>349</v>
      </c>
      <c r="E467" s="1041" t="s">
        <v>349</v>
      </c>
      <c r="F467" s="807"/>
      <c r="G467" s="827"/>
      <c r="H467" s="809" t="s">
        <v>8821</v>
      </c>
      <c r="I467" s="92">
        <v>35</v>
      </c>
      <c r="J467" s="92" t="s">
        <v>10</v>
      </c>
      <c r="K467" s="92" t="s">
        <v>768</v>
      </c>
      <c r="L467" s="810">
        <v>6</v>
      </c>
      <c r="M467" s="811" t="str">
        <f t="shared" si="34"/>
        <v>College Level</v>
      </c>
      <c r="O467" s="92"/>
      <c r="P467" s="1638"/>
      <c r="Q467" s="92"/>
      <c r="R467" s="92"/>
      <c r="S467" s="911"/>
      <c r="T467" s="911"/>
      <c r="U467" s="911"/>
      <c r="V467" s="828"/>
      <c r="X467" s="811" t="str">
        <f t="shared" si="33"/>
        <v/>
      </c>
      <c r="AB467" s="828"/>
      <c r="AC467" s="910"/>
      <c r="AD467" s="824"/>
      <c r="AG467" s="807" t="str">
        <f t="shared" si="32"/>
        <v/>
      </c>
      <c r="AH467" s="809"/>
      <c r="AI467" s="809"/>
      <c r="AJ467" s="809"/>
      <c r="AK467" s="92"/>
      <c r="AM467" s="819"/>
      <c r="AN467" s="820"/>
      <c r="AQ467" s="93"/>
      <c r="AR467" s="93"/>
      <c r="AS467" s="93"/>
      <c r="AT467" s="93"/>
      <c r="AU467" s="93"/>
      <c r="AV467" s="93"/>
      <c r="AW467" s="93"/>
      <c r="AX467" s="93"/>
      <c r="AY467" s="93"/>
      <c r="AZ467" s="93"/>
      <c r="BA467" s="93"/>
      <c r="BB467" s="93"/>
      <c r="BL467" s="93"/>
      <c r="BM467" s="93"/>
      <c r="BT467" s="93"/>
      <c r="BU467" s="93"/>
      <c r="BV467" s="93"/>
      <c r="BW467" s="93"/>
      <c r="BX467" s="93"/>
      <c r="BY467" s="93"/>
      <c r="BZ467" s="93"/>
      <c r="CA467" s="93"/>
      <c r="CB467" s="93"/>
      <c r="CC467" s="93"/>
      <c r="CF467" s="93"/>
      <c r="CG467" s="93"/>
      <c r="CH467" s="93"/>
      <c r="CI467" s="93"/>
      <c r="CJ467" s="93"/>
      <c r="CK467" s="93"/>
      <c r="CL467" s="93"/>
      <c r="CM467" s="93"/>
      <c r="CN467" s="93"/>
      <c r="CO467" s="93"/>
      <c r="CP467" s="93"/>
      <c r="CQ467" s="93"/>
      <c r="CR467" s="93"/>
      <c r="CS467" s="93"/>
      <c r="CT467" s="93"/>
      <c r="CU467" s="93"/>
      <c r="CV467" s="93"/>
      <c r="CW467" s="93"/>
      <c r="CX467" s="93"/>
      <c r="CY467" s="93"/>
      <c r="CZ467" s="93"/>
      <c r="DA467" s="93"/>
      <c r="DB467" s="93"/>
      <c r="DC467" s="93"/>
      <c r="DD467" s="93"/>
      <c r="DE467" s="93"/>
      <c r="DF467" s="93"/>
      <c r="DG467" s="93"/>
      <c r="DH467" s="93"/>
      <c r="DI467" s="93"/>
      <c r="DJ467" s="93"/>
      <c r="DK467" s="93"/>
      <c r="DL467" s="93"/>
      <c r="DM467" s="93"/>
      <c r="DN467" s="93"/>
      <c r="DO467" s="93"/>
    </row>
    <row r="468" spans="1:119" ht="15">
      <c r="A468" s="767" t="s">
        <v>12448</v>
      </c>
      <c r="B468" s="288"/>
      <c r="C468" s="766"/>
      <c r="D468" s="1065" t="s">
        <v>349</v>
      </c>
      <c r="E468" s="1041" t="s">
        <v>349</v>
      </c>
      <c r="F468" s="807"/>
      <c r="G468" s="827"/>
      <c r="H468" s="809" t="s">
        <v>8822</v>
      </c>
      <c r="I468" s="92">
        <v>9</v>
      </c>
      <c r="J468" s="92" t="s">
        <v>18</v>
      </c>
      <c r="K468" s="92" t="s">
        <v>768</v>
      </c>
      <c r="L468" s="810">
        <v>2</v>
      </c>
      <c r="M468" s="811" t="str">
        <f t="shared" si="34"/>
        <v>Elementary Level</v>
      </c>
      <c r="O468" s="92"/>
      <c r="P468" s="1638"/>
      <c r="Q468" s="92"/>
      <c r="R468" s="92"/>
      <c r="S468" s="911"/>
      <c r="T468" s="911"/>
      <c r="U468" s="911"/>
      <c r="V468" s="828"/>
      <c r="X468" s="811" t="str">
        <f t="shared" si="33"/>
        <v/>
      </c>
      <c r="AB468" s="828"/>
      <c r="AC468" s="910"/>
      <c r="AD468" s="824"/>
      <c r="AG468" s="807" t="str">
        <f t="shared" si="32"/>
        <v/>
      </c>
      <c r="AH468" s="809"/>
      <c r="AI468" s="809"/>
      <c r="AJ468" s="809"/>
      <c r="AK468" s="92"/>
      <c r="AM468" s="819"/>
      <c r="AN468" s="820"/>
      <c r="AQ468" s="93"/>
      <c r="AR468" s="93"/>
      <c r="AS468" s="93"/>
      <c r="AT468" s="93"/>
      <c r="AU468" s="93"/>
      <c r="AV468" s="93"/>
      <c r="AW468" s="93"/>
      <c r="AX468" s="93"/>
      <c r="AY468" s="93"/>
      <c r="AZ468" s="93"/>
      <c r="BA468" s="93"/>
      <c r="BB468" s="93"/>
      <c r="BL468" s="93"/>
      <c r="BM468" s="93"/>
      <c r="BT468" s="93"/>
      <c r="BU468" s="93"/>
      <c r="BV468" s="93"/>
      <c r="BW468" s="93"/>
      <c r="BX468" s="93"/>
      <c r="BY468" s="93"/>
      <c r="BZ468" s="93"/>
      <c r="CA468" s="93"/>
      <c r="CB468" s="93"/>
      <c r="CC468" s="93"/>
      <c r="CF468" s="93"/>
      <c r="CG468" s="93"/>
      <c r="CH468" s="93"/>
      <c r="CI468" s="93"/>
      <c r="CJ468" s="93"/>
      <c r="CK468" s="93"/>
      <c r="CL468" s="93"/>
      <c r="CM468" s="93"/>
      <c r="CN468" s="93"/>
      <c r="CO468" s="93"/>
      <c r="CP468" s="93"/>
      <c r="CQ468" s="93"/>
      <c r="CR468" s="93"/>
      <c r="CS468" s="93"/>
      <c r="CT468" s="93"/>
      <c r="CU468" s="93"/>
      <c r="CV468" s="93"/>
      <c r="CW468" s="93"/>
      <c r="CX468" s="93"/>
      <c r="CY468" s="93"/>
      <c r="CZ468" s="93"/>
      <c r="DA468" s="93"/>
      <c r="DB468" s="93"/>
      <c r="DC468" s="93"/>
      <c r="DD468" s="93"/>
      <c r="DE468" s="93"/>
      <c r="DF468" s="93"/>
      <c r="DG468" s="93"/>
      <c r="DH468" s="93"/>
      <c r="DI468" s="93"/>
      <c r="DJ468" s="93"/>
      <c r="DK468" s="93"/>
      <c r="DL468" s="93"/>
      <c r="DM468" s="93"/>
      <c r="DN468" s="93"/>
      <c r="DO468" s="93"/>
    </row>
    <row r="469" spans="1:119" ht="15">
      <c r="A469" s="767" t="s">
        <v>12448</v>
      </c>
      <c r="B469" s="288"/>
      <c r="C469" s="766"/>
      <c r="D469" s="1065" t="s">
        <v>349</v>
      </c>
      <c r="E469" s="1041" t="s">
        <v>349</v>
      </c>
      <c r="F469" s="807"/>
      <c r="G469" s="827"/>
      <c r="H469" s="809" t="s">
        <v>8823</v>
      </c>
      <c r="I469" s="92">
        <v>4</v>
      </c>
      <c r="J469" s="92" t="s">
        <v>10</v>
      </c>
      <c r="K469" s="92" t="s">
        <v>768</v>
      </c>
      <c r="L469" s="810">
        <v>1</v>
      </c>
      <c r="M469" s="811" t="str">
        <f t="shared" si="34"/>
        <v>Pre-school</v>
      </c>
      <c r="O469" s="92"/>
      <c r="P469" s="1638"/>
      <c r="Q469" s="92"/>
      <c r="R469" s="92"/>
      <c r="V469" s="828">
        <f>SUM(S466:U469)</f>
        <v>640</v>
      </c>
      <c r="X469" s="811" t="str">
        <f t="shared" si="33"/>
        <v/>
      </c>
      <c r="AB469" s="828">
        <f>SUM(Y466:AA469)</f>
        <v>0</v>
      </c>
      <c r="AC469" s="809"/>
      <c r="AD469" s="824"/>
      <c r="AG469" s="807" t="str">
        <f t="shared" si="32"/>
        <v/>
      </c>
      <c r="AH469" s="809"/>
      <c r="AI469" s="809"/>
      <c r="AJ469" s="809"/>
      <c r="AK469" s="92"/>
      <c r="AM469" s="819"/>
      <c r="AN469" s="820"/>
      <c r="AQ469" s="93"/>
      <c r="AR469" s="93"/>
      <c r="AS469" s="93"/>
      <c r="AT469" s="93"/>
      <c r="AU469" s="93"/>
      <c r="AV469" s="93"/>
      <c r="AW469" s="93"/>
      <c r="AX469" s="93"/>
      <c r="AY469" s="93"/>
      <c r="AZ469" s="93"/>
      <c r="BA469" s="93"/>
      <c r="BB469" s="93"/>
      <c r="BL469" s="93"/>
      <c r="BM469" s="93"/>
      <c r="BT469" s="93"/>
      <c r="BU469" s="93"/>
      <c r="BV469" s="93"/>
      <c r="BW469" s="93"/>
      <c r="BX469" s="93"/>
      <c r="BY469" s="93"/>
      <c r="BZ469" s="93"/>
      <c r="CA469" s="93"/>
      <c r="CB469" s="93"/>
      <c r="CC469" s="93"/>
      <c r="CF469" s="93"/>
      <c r="CG469" s="93"/>
      <c r="CH469" s="93"/>
      <c r="CI469" s="93"/>
      <c r="CJ469" s="93"/>
      <c r="CK469" s="93"/>
      <c r="CL469" s="93"/>
      <c r="CM469" s="93"/>
      <c r="CN469" s="93"/>
      <c r="CO469" s="93"/>
      <c r="CP469" s="93"/>
      <c r="CQ469" s="93"/>
      <c r="CR469" s="93"/>
      <c r="CS469" s="93"/>
      <c r="CT469" s="93"/>
      <c r="CU469" s="93"/>
      <c r="CV469" s="93"/>
      <c r="CW469" s="93"/>
      <c r="CX469" s="93"/>
      <c r="CY469" s="93"/>
      <c r="CZ469" s="93"/>
      <c r="DA469" s="93"/>
      <c r="DB469" s="93"/>
      <c r="DC469" s="93"/>
      <c r="DD469" s="93"/>
      <c r="DE469" s="93"/>
      <c r="DF469" s="93"/>
      <c r="DG469" s="93"/>
      <c r="DH469" s="93"/>
      <c r="DI469" s="93"/>
      <c r="DJ469" s="93"/>
      <c r="DK469" s="93"/>
      <c r="DL469" s="93"/>
      <c r="DM469" s="93"/>
      <c r="DN469" s="93"/>
      <c r="DO469" s="93"/>
    </row>
    <row r="470" spans="1:119" ht="15">
      <c r="A470" s="767" t="s">
        <v>12448</v>
      </c>
      <c r="B470" s="288" t="s">
        <v>7586</v>
      </c>
      <c r="C470" s="171" t="s">
        <v>351</v>
      </c>
      <c r="D470" s="1065" t="s">
        <v>351</v>
      </c>
      <c r="E470" s="169" t="s">
        <v>12</v>
      </c>
      <c r="F470" s="1047" t="s">
        <v>2078</v>
      </c>
      <c r="G470" s="745" t="s">
        <v>351</v>
      </c>
      <c r="H470" s="809" t="s">
        <v>8824</v>
      </c>
      <c r="I470" s="92">
        <v>59</v>
      </c>
      <c r="J470" s="92" t="s">
        <v>18</v>
      </c>
      <c r="K470" s="92" t="s">
        <v>719</v>
      </c>
      <c r="L470" s="810">
        <v>2</v>
      </c>
      <c r="M470" s="811" t="str">
        <f t="shared" si="34"/>
        <v>Elementary Level</v>
      </c>
      <c r="P470" s="1638"/>
      <c r="R470" s="92" t="s">
        <v>1208</v>
      </c>
      <c r="S470" s="848"/>
      <c r="V470" s="830"/>
      <c r="X470" s="811" t="str">
        <f t="shared" si="33"/>
        <v/>
      </c>
      <c r="AB470" s="830"/>
      <c r="AC470" s="809"/>
      <c r="AD470" s="824"/>
      <c r="AE470" s="93" t="s">
        <v>8825</v>
      </c>
      <c r="AF470" s="818">
        <v>2</v>
      </c>
      <c r="AG470" s="807" t="str">
        <f t="shared" si="32"/>
        <v>Assistance to walk</v>
      </c>
      <c r="AH470" s="807"/>
      <c r="AI470" s="807"/>
      <c r="AJ470" s="807"/>
      <c r="AK470" s="92"/>
      <c r="AM470" s="819"/>
      <c r="AN470" s="820"/>
      <c r="AQ470" s="93"/>
      <c r="AR470" s="93"/>
      <c r="AS470" s="93"/>
      <c r="AT470" s="93"/>
      <c r="AU470" s="93"/>
      <c r="AV470" s="93"/>
      <c r="AW470" s="93"/>
      <c r="AX470" s="93"/>
      <c r="AY470" s="93"/>
      <c r="AZ470" s="93"/>
      <c r="BA470" s="93"/>
      <c r="BB470" s="93"/>
      <c r="BL470" s="93"/>
      <c r="BM470" s="93"/>
      <c r="BT470" s="93"/>
      <c r="BU470" s="93"/>
      <c r="BV470" s="93"/>
      <c r="BW470" s="93"/>
      <c r="BX470" s="93"/>
      <c r="BY470" s="93"/>
      <c r="BZ470" s="93"/>
      <c r="CA470" s="93"/>
      <c r="CB470" s="93"/>
      <c r="CC470" s="93"/>
      <c r="CF470" s="93"/>
      <c r="CG470" s="93"/>
      <c r="CH470" s="93"/>
      <c r="CI470" s="93"/>
      <c r="CJ470" s="93"/>
      <c r="CK470" s="93"/>
      <c r="CL470" s="93"/>
      <c r="CM470" s="93"/>
      <c r="CN470" s="93"/>
      <c r="CO470" s="93"/>
      <c r="CP470" s="93"/>
      <c r="CQ470" s="93"/>
      <c r="CR470" s="93"/>
      <c r="CS470" s="93"/>
      <c r="CT470" s="93"/>
      <c r="CU470" s="93"/>
      <c r="CV470" s="93"/>
      <c r="CW470" s="93"/>
      <c r="CX470" s="93"/>
      <c r="CY470" s="93"/>
      <c r="CZ470" s="93"/>
      <c r="DA470" s="93"/>
      <c r="DB470" s="93"/>
      <c r="DC470" s="93"/>
      <c r="DD470" s="93"/>
      <c r="DE470" s="93"/>
      <c r="DF470" s="93"/>
      <c r="DG470" s="93"/>
      <c r="DH470" s="93"/>
      <c r="DI470" s="93"/>
      <c r="DJ470" s="93"/>
      <c r="DK470" s="93"/>
      <c r="DL470" s="93"/>
      <c r="DM470" s="93"/>
      <c r="DN470" s="93"/>
      <c r="DO470" s="93"/>
    </row>
    <row r="471" spans="1:119" ht="15">
      <c r="A471" s="767" t="s">
        <v>12448</v>
      </c>
      <c r="C471" s="807"/>
      <c r="D471" s="1065" t="s">
        <v>351</v>
      </c>
      <c r="E471" s="169" t="s">
        <v>12</v>
      </c>
      <c r="F471" s="92"/>
      <c r="G471" s="827"/>
      <c r="H471" s="809" t="s">
        <v>2078</v>
      </c>
      <c r="I471" s="92">
        <v>25</v>
      </c>
      <c r="J471" s="92" t="s">
        <v>18</v>
      </c>
      <c r="K471" s="92" t="s">
        <v>768</v>
      </c>
      <c r="L471" s="810">
        <v>9</v>
      </c>
      <c r="M471" s="811" t="str">
        <f t="shared" si="34"/>
        <v>Vocational Graduate</v>
      </c>
      <c r="N471" s="92" t="s">
        <v>1208</v>
      </c>
      <c r="O471" s="92" t="s">
        <v>8826</v>
      </c>
      <c r="P471" s="1638"/>
      <c r="Q471" s="92" t="s">
        <v>8826</v>
      </c>
      <c r="R471" s="92" t="s">
        <v>8285</v>
      </c>
      <c r="S471" s="848">
        <v>8000</v>
      </c>
      <c r="V471" s="830">
        <f>SUM(S470:U471)</f>
        <v>8000</v>
      </c>
      <c r="W471" s="815">
        <v>3</v>
      </c>
      <c r="X471" s="811" t="str">
        <f t="shared" si="33"/>
        <v>within the Province</v>
      </c>
      <c r="Y471" s="816">
        <v>384</v>
      </c>
      <c r="AB471" s="830">
        <f>SUM(Y470:AA471)</f>
        <v>384</v>
      </c>
      <c r="AC471" s="866"/>
      <c r="AD471" s="824"/>
      <c r="AG471" s="807" t="str">
        <f t="shared" si="32"/>
        <v/>
      </c>
      <c r="AH471" s="807"/>
      <c r="AI471" s="807"/>
      <c r="AJ471" s="807"/>
      <c r="AK471" s="92"/>
      <c r="AM471" s="819"/>
      <c r="AN471" s="820"/>
      <c r="AQ471" s="93"/>
      <c r="AR471" s="93"/>
      <c r="AS471" s="93"/>
      <c r="AT471" s="93"/>
      <c r="AU471" s="93"/>
      <c r="AV471" s="93"/>
      <c r="AW471" s="93"/>
      <c r="AX471" s="93"/>
      <c r="AY471" s="93"/>
      <c r="AZ471" s="93"/>
      <c r="BA471" s="93"/>
      <c r="BB471" s="93"/>
      <c r="BL471" s="93"/>
      <c r="BM471" s="93"/>
      <c r="BT471" s="93"/>
      <c r="BU471" s="93"/>
      <c r="BV471" s="93"/>
      <c r="BW471" s="93"/>
      <c r="BX471" s="93"/>
      <c r="BY471" s="93"/>
      <c r="BZ471" s="93"/>
      <c r="CA471" s="93"/>
      <c r="CB471" s="93"/>
      <c r="CC471" s="93"/>
      <c r="CF471" s="93"/>
      <c r="CG471" s="93"/>
      <c r="CH471" s="93"/>
      <c r="CI471" s="93"/>
      <c r="CJ471" s="93"/>
      <c r="CK471" s="93"/>
      <c r="CL471" s="93"/>
      <c r="CM471" s="93"/>
      <c r="CN471" s="93"/>
      <c r="CO471" s="93"/>
      <c r="CP471" s="93"/>
      <c r="CQ471" s="93"/>
      <c r="CR471" s="93"/>
      <c r="CS471" s="93"/>
      <c r="CT471" s="93"/>
      <c r="CU471" s="93"/>
      <c r="CV471" s="93"/>
      <c r="CW471" s="93"/>
      <c r="CX471" s="93"/>
      <c r="CY471" s="93"/>
      <c r="CZ471" s="93"/>
      <c r="DA471" s="93"/>
      <c r="DB471" s="93"/>
      <c r="DC471" s="93"/>
      <c r="DD471" s="93"/>
      <c r="DE471" s="93"/>
      <c r="DF471" s="93"/>
      <c r="DG471" s="93"/>
      <c r="DH471" s="93"/>
      <c r="DI471" s="93"/>
      <c r="DJ471" s="93"/>
      <c r="DK471" s="93"/>
      <c r="DL471" s="93"/>
      <c r="DM471" s="93"/>
      <c r="DN471" s="93"/>
      <c r="DO471" s="93"/>
    </row>
    <row r="472" spans="1:119" ht="15">
      <c r="A472" s="767" t="s">
        <v>12448</v>
      </c>
      <c r="B472" s="288" t="s">
        <v>7587</v>
      </c>
      <c r="C472" s="171" t="s">
        <v>352</v>
      </c>
      <c r="D472" s="1065" t="s">
        <v>352</v>
      </c>
      <c r="E472" s="807"/>
      <c r="F472" s="807"/>
      <c r="G472" s="809" t="s">
        <v>352</v>
      </c>
      <c r="H472" s="809" t="s">
        <v>2079</v>
      </c>
      <c r="I472" s="92">
        <v>62</v>
      </c>
      <c r="J472" s="92" t="s">
        <v>10</v>
      </c>
      <c r="K472" s="92" t="s">
        <v>768</v>
      </c>
      <c r="M472" s="811" t="str">
        <f t="shared" si="34"/>
        <v/>
      </c>
      <c r="N472" s="92" t="s">
        <v>1208</v>
      </c>
      <c r="O472" s="812" t="s">
        <v>2232</v>
      </c>
      <c r="P472" s="1638" t="s">
        <v>12602</v>
      </c>
      <c r="Q472" s="812" t="s">
        <v>2232</v>
      </c>
      <c r="R472" s="92" t="s">
        <v>8234</v>
      </c>
      <c r="S472" s="848">
        <v>5000</v>
      </c>
      <c r="V472" s="814">
        <f>SUM(S472:U472)</f>
        <v>5000</v>
      </c>
      <c r="W472" s="815">
        <v>2</v>
      </c>
      <c r="X472" s="811" t="str">
        <f t="shared" si="33"/>
        <v>within the Municipality/City</v>
      </c>
      <c r="Y472" s="816">
        <v>300</v>
      </c>
      <c r="AB472" s="814">
        <f>SUM(Y472:AA472)</f>
        <v>300</v>
      </c>
      <c r="AC472" s="809"/>
      <c r="AD472" s="817" t="s">
        <v>8827</v>
      </c>
      <c r="AG472" s="807" t="str">
        <f t="shared" si="32"/>
        <v/>
      </c>
      <c r="AH472" s="807"/>
      <c r="AI472" s="807"/>
      <c r="AJ472" s="807"/>
      <c r="AK472" s="92"/>
      <c r="AM472" s="819"/>
      <c r="AN472" s="820"/>
      <c r="AQ472" s="93"/>
      <c r="AR472" s="93"/>
      <c r="AS472" s="93"/>
      <c r="AT472" s="93"/>
      <c r="AU472" s="93"/>
      <c r="AV472" s="93"/>
      <c r="AW472" s="93"/>
      <c r="AX472" s="93"/>
      <c r="AY472" s="93"/>
      <c r="AZ472" s="93"/>
      <c r="BA472" s="93"/>
      <c r="BB472" s="93"/>
      <c r="BL472" s="93"/>
      <c r="BM472" s="93"/>
      <c r="BT472" s="93"/>
      <c r="BU472" s="93"/>
      <c r="BV472" s="93"/>
      <c r="BW472" s="93"/>
      <c r="BX472" s="93"/>
      <c r="BY472" s="93"/>
      <c r="BZ472" s="93"/>
      <c r="CA472" s="93"/>
      <c r="CB472" s="93"/>
      <c r="CC472" s="93"/>
      <c r="CF472" s="93"/>
      <c r="CG472" s="93"/>
      <c r="CH472" s="93"/>
      <c r="CI472" s="93"/>
      <c r="CJ472" s="93"/>
      <c r="CK472" s="93"/>
      <c r="CL472" s="93"/>
      <c r="CM472" s="93"/>
      <c r="CN472" s="93"/>
      <c r="CO472" s="93"/>
      <c r="CP472" s="93"/>
      <c r="CQ472" s="93"/>
      <c r="CR472" s="93"/>
      <c r="CS472" s="93"/>
      <c r="CT472" s="93"/>
      <c r="CU472" s="93"/>
      <c r="CV472" s="93"/>
      <c r="CW472" s="93"/>
      <c r="CX472" s="93"/>
      <c r="CY472" s="93"/>
      <c r="CZ472" s="93"/>
      <c r="DA472" s="93"/>
      <c r="DB472" s="93"/>
      <c r="DC472" s="93"/>
      <c r="DD472" s="93"/>
      <c r="DE472" s="93"/>
      <c r="DF472" s="93"/>
      <c r="DG472" s="93"/>
      <c r="DH472" s="93"/>
      <c r="DI472" s="93"/>
      <c r="DJ472" s="93"/>
      <c r="DK472" s="93"/>
      <c r="DL472" s="93"/>
      <c r="DM472" s="93"/>
      <c r="DN472" s="93"/>
      <c r="DO472" s="93"/>
    </row>
    <row r="473" spans="1:119" ht="15">
      <c r="A473" s="767"/>
      <c r="C473" s="807"/>
      <c r="D473" s="1065" t="s">
        <v>353</v>
      </c>
      <c r="E473" s="807"/>
      <c r="F473" s="807"/>
      <c r="G473" s="914" t="s">
        <v>353</v>
      </c>
      <c r="H473" s="809" t="s">
        <v>8828</v>
      </c>
      <c r="I473" s="92">
        <v>76</v>
      </c>
      <c r="J473" s="92" t="s">
        <v>18</v>
      </c>
      <c r="K473" s="92" t="s">
        <v>719</v>
      </c>
      <c r="L473" s="810">
        <v>7</v>
      </c>
      <c r="M473" s="811" t="str">
        <f t="shared" si="34"/>
        <v>College Graduate or Higher</v>
      </c>
      <c r="N473" s="92" t="s">
        <v>1208</v>
      </c>
      <c r="O473" s="812" t="s">
        <v>1898</v>
      </c>
      <c r="P473" s="1638"/>
      <c r="Q473" s="812" t="s">
        <v>1898</v>
      </c>
      <c r="S473" s="848"/>
      <c r="V473" s="828"/>
      <c r="X473" s="811" t="str">
        <f t="shared" si="33"/>
        <v/>
      </c>
      <c r="AB473" s="828"/>
      <c r="AC473" s="809"/>
      <c r="AD473" s="817" t="s">
        <v>8829</v>
      </c>
      <c r="AG473" s="807" t="str">
        <f t="shared" si="32"/>
        <v/>
      </c>
      <c r="AH473" s="807"/>
      <c r="AI473" s="807"/>
      <c r="AJ473" s="807"/>
      <c r="AK473" s="92"/>
      <c r="AM473" s="819"/>
      <c r="AN473" s="820"/>
      <c r="AQ473" s="93"/>
      <c r="AR473" s="93"/>
      <c r="AS473" s="93"/>
      <c r="AT473" s="93"/>
      <c r="AU473" s="93"/>
      <c r="AV473" s="93"/>
      <c r="AW473" s="93"/>
      <c r="AX473" s="93"/>
      <c r="AY473" s="93"/>
      <c r="AZ473" s="93"/>
      <c r="BA473" s="93"/>
      <c r="BB473" s="93"/>
      <c r="BL473" s="93"/>
      <c r="BM473" s="93"/>
      <c r="BT473" s="93"/>
      <c r="BU473" s="93"/>
      <c r="BV473" s="93"/>
      <c r="BW473" s="93"/>
      <c r="BX473" s="93"/>
      <c r="BY473" s="93"/>
      <c r="BZ473" s="93"/>
      <c r="CA473" s="93"/>
      <c r="CB473" s="93"/>
      <c r="CC473" s="93"/>
      <c r="CF473" s="93"/>
      <c r="CG473" s="93"/>
      <c r="CH473" s="93"/>
      <c r="CI473" s="93"/>
      <c r="CJ473" s="93"/>
      <c r="CK473" s="93"/>
      <c r="CL473" s="93"/>
      <c r="CM473" s="93"/>
      <c r="CN473" s="93"/>
      <c r="CO473" s="93"/>
      <c r="CP473" s="93"/>
      <c r="CQ473" s="93"/>
      <c r="CR473" s="93"/>
      <c r="CS473" s="93"/>
      <c r="CT473" s="93"/>
      <c r="CU473" s="93"/>
      <c r="CV473" s="93"/>
      <c r="CW473" s="93"/>
      <c r="CX473" s="93"/>
      <c r="CY473" s="93"/>
      <c r="CZ473" s="93"/>
      <c r="DA473" s="93"/>
      <c r="DB473" s="93"/>
      <c r="DC473" s="93"/>
      <c r="DD473" s="93"/>
      <c r="DE473" s="93"/>
      <c r="DF473" s="93"/>
      <c r="DG473" s="93"/>
      <c r="DH473" s="93"/>
      <c r="DI473" s="93"/>
      <c r="DJ473" s="93"/>
      <c r="DK473" s="93"/>
      <c r="DL473" s="93"/>
      <c r="DM473" s="93"/>
      <c r="DN473" s="93"/>
      <c r="DO473" s="93"/>
    </row>
    <row r="474" spans="1:119" ht="15">
      <c r="A474" s="767"/>
      <c r="C474" s="807"/>
      <c r="D474" s="1065"/>
      <c r="E474" s="807"/>
      <c r="F474" s="807"/>
      <c r="G474" s="827"/>
      <c r="H474" s="809" t="s">
        <v>2166</v>
      </c>
      <c r="I474" s="92">
        <v>50</v>
      </c>
      <c r="J474" s="92" t="s">
        <v>18</v>
      </c>
      <c r="K474" s="92" t="s">
        <v>768</v>
      </c>
      <c r="L474" s="810">
        <v>6</v>
      </c>
      <c r="M474" s="811" t="str">
        <f t="shared" si="34"/>
        <v>College Level</v>
      </c>
      <c r="O474" s="92"/>
      <c r="P474" s="1638"/>
      <c r="Q474" s="92"/>
      <c r="R474" s="92"/>
      <c r="S474" s="848"/>
      <c r="V474" s="828"/>
      <c r="X474" s="811" t="str">
        <f t="shared" si="33"/>
        <v/>
      </c>
      <c r="AB474" s="828"/>
      <c r="AC474" s="809"/>
      <c r="AD474" s="824"/>
      <c r="AG474" s="807" t="str">
        <f t="shared" si="32"/>
        <v/>
      </c>
      <c r="AH474" s="807"/>
      <c r="AI474" s="807"/>
      <c r="AJ474" s="807"/>
      <c r="AK474" s="92"/>
      <c r="AM474" s="819"/>
      <c r="AN474" s="820"/>
      <c r="AQ474" s="93"/>
      <c r="AR474" s="93"/>
      <c r="AS474" s="93"/>
      <c r="AT474" s="93"/>
      <c r="AU474" s="93"/>
      <c r="AV474" s="93"/>
      <c r="AW474" s="93"/>
      <c r="AX474" s="93"/>
      <c r="AY474" s="93"/>
      <c r="AZ474" s="93"/>
      <c r="BA474" s="93"/>
      <c r="BB474" s="93"/>
      <c r="BL474" s="93"/>
      <c r="BM474" s="93"/>
      <c r="BT474" s="93"/>
      <c r="BU474" s="93"/>
      <c r="BV474" s="93"/>
      <c r="BW474" s="93"/>
      <c r="BX474" s="93"/>
      <c r="BY474" s="93"/>
      <c r="BZ474" s="93"/>
      <c r="CA474" s="93"/>
      <c r="CB474" s="93"/>
      <c r="CC474" s="93"/>
      <c r="CF474" s="93"/>
      <c r="CG474" s="93"/>
      <c r="CH474" s="93"/>
      <c r="CI474" s="93"/>
      <c r="CJ474" s="93"/>
      <c r="CK474" s="93"/>
      <c r="CL474" s="93"/>
      <c r="CM474" s="93"/>
      <c r="CN474" s="93"/>
      <c r="CO474" s="93"/>
      <c r="CP474" s="93"/>
      <c r="CQ474" s="93"/>
      <c r="CR474" s="93"/>
      <c r="CS474" s="93"/>
      <c r="CT474" s="93"/>
      <c r="CU474" s="93"/>
      <c r="CV474" s="93"/>
      <c r="CW474" s="93"/>
      <c r="CX474" s="93"/>
      <c r="CY474" s="93"/>
      <c r="CZ474" s="93"/>
      <c r="DA474" s="93"/>
      <c r="DB474" s="93"/>
      <c r="DC474" s="93"/>
      <c r="DD474" s="93"/>
      <c r="DE474" s="93"/>
      <c r="DF474" s="93"/>
      <c r="DG474" s="93"/>
      <c r="DH474" s="93"/>
      <c r="DI474" s="93"/>
      <c r="DJ474" s="93"/>
      <c r="DK474" s="93"/>
      <c r="DL474" s="93"/>
      <c r="DM474" s="93"/>
      <c r="DN474" s="93"/>
      <c r="DO474" s="93"/>
    </row>
    <row r="475" spans="1:119" ht="15">
      <c r="A475" s="767"/>
      <c r="C475" s="807"/>
      <c r="D475" s="1065"/>
      <c r="E475" s="807"/>
      <c r="F475" s="807"/>
      <c r="G475" s="827"/>
      <c r="H475" s="809" t="s">
        <v>8830</v>
      </c>
      <c r="I475" s="92">
        <v>47</v>
      </c>
      <c r="J475" s="92" t="s">
        <v>10</v>
      </c>
      <c r="K475" s="92" t="s">
        <v>768</v>
      </c>
      <c r="L475" s="810">
        <v>9</v>
      </c>
      <c r="M475" s="811" t="str">
        <f t="shared" si="34"/>
        <v>Vocational Graduate</v>
      </c>
      <c r="P475" s="1638"/>
      <c r="S475" s="848"/>
      <c r="V475" s="828"/>
      <c r="X475" s="811" t="str">
        <f t="shared" si="33"/>
        <v/>
      </c>
      <c r="AB475" s="828"/>
      <c r="AC475" s="809"/>
      <c r="AD475" s="824"/>
      <c r="AG475" s="807" t="str">
        <f t="shared" si="32"/>
        <v/>
      </c>
      <c r="AH475" s="807"/>
      <c r="AI475" s="807"/>
      <c r="AJ475" s="807"/>
      <c r="AK475" s="92"/>
      <c r="AM475" s="819"/>
      <c r="AN475" s="820"/>
      <c r="AQ475" s="93"/>
      <c r="AR475" s="93"/>
      <c r="AS475" s="93"/>
      <c r="AT475" s="93"/>
      <c r="AU475" s="93"/>
      <c r="AV475" s="93"/>
      <c r="AW475" s="93"/>
      <c r="AX475" s="93"/>
      <c r="AY475" s="93"/>
      <c r="AZ475" s="93"/>
      <c r="BA475" s="93"/>
      <c r="BB475" s="93"/>
      <c r="BL475" s="93"/>
      <c r="BM475" s="93"/>
      <c r="BT475" s="93"/>
      <c r="BU475" s="93"/>
      <c r="BV475" s="93"/>
      <c r="BW475" s="93"/>
      <c r="BX475" s="93"/>
      <c r="BY475" s="93"/>
      <c r="BZ475" s="93"/>
      <c r="CA475" s="93"/>
      <c r="CB475" s="93"/>
      <c r="CC475" s="93"/>
      <c r="CF475" s="93"/>
      <c r="CG475" s="93"/>
      <c r="CH475" s="93"/>
      <c r="CI475" s="93"/>
      <c r="CJ475" s="93"/>
      <c r="CK475" s="93"/>
      <c r="CL475" s="93"/>
      <c r="CM475" s="93"/>
      <c r="CN475" s="93"/>
      <c r="CO475" s="93"/>
      <c r="CP475" s="93"/>
      <c r="CQ475" s="93"/>
      <c r="CR475" s="93"/>
      <c r="CS475" s="93"/>
      <c r="CT475" s="93"/>
      <c r="CU475" s="93"/>
      <c r="CV475" s="93"/>
      <c r="CW475" s="93"/>
      <c r="CX475" s="93"/>
      <c r="CY475" s="93"/>
      <c r="CZ475" s="93"/>
      <c r="DA475" s="93"/>
      <c r="DB475" s="93"/>
      <c r="DC475" s="93"/>
      <c r="DD475" s="93"/>
      <c r="DE475" s="93"/>
      <c r="DF475" s="93"/>
      <c r="DG475" s="93"/>
      <c r="DH475" s="93"/>
      <c r="DI475" s="93"/>
      <c r="DJ475" s="93"/>
      <c r="DK475" s="93"/>
      <c r="DL475" s="93"/>
      <c r="DM475" s="93"/>
      <c r="DN475" s="93"/>
      <c r="DO475" s="93"/>
    </row>
    <row r="476" spans="1:119" ht="15">
      <c r="A476" s="807"/>
      <c r="C476" s="807"/>
      <c r="D476" s="1065"/>
      <c r="E476" s="807"/>
      <c r="F476" s="807"/>
      <c r="G476" s="827"/>
      <c r="H476" s="809" t="s">
        <v>8831</v>
      </c>
      <c r="I476" s="92">
        <v>35</v>
      </c>
      <c r="J476" s="92" t="s">
        <v>10</v>
      </c>
      <c r="K476" s="92" t="s">
        <v>768</v>
      </c>
      <c r="L476" s="810">
        <v>7</v>
      </c>
      <c r="M476" s="811" t="str">
        <f t="shared" si="34"/>
        <v>College Graduate or Higher</v>
      </c>
      <c r="N476" s="92" t="s">
        <v>1208</v>
      </c>
      <c r="O476" s="812" t="s">
        <v>8832</v>
      </c>
      <c r="P476" s="1638"/>
      <c r="Q476" s="812" t="s">
        <v>8832</v>
      </c>
      <c r="S476" s="848"/>
      <c r="V476" s="828">
        <f>SUM(S473:U476)</f>
        <v>0</v>
      </c>
      <c r="X476" s="811" t="str">
        <f t="shared" si="33"/>
        <v/>
      </c>
      <c r="AB476" s="828">
        <f>SUM(Y473:AA476)</f>
        <v>0</v>
      </c>
      <c r="AC476" s="809"/>
      <c r="AD476" s="824"/>
      <c r="AG476" s="807" t="str">
        <f t="shared" si="32"/>
        <v/>
      </c>
      <c r="AH476" s="807"/>
      <c r="AI476" s="807"/>
      <c r="AJ476" s="807"/>
      <c r="AK476" s="92"/>
      <c r="AM476" s="819"/>
      <c r="AN476" s="820"/>
      <c r="AQ476" s="93"/>
      <c r="AR476" s="93"/>
      <c r="AS476" s="93"/>
      <c r="AT476" s="93"/>
      <c r="AU476" s="93"/>
      <c r="AV476" s="93"/>
      <c r="AW476" s="93"/>
      <c r="AX476" s="93"/>
      <c r="AY476" s="93"/>
      <c r="AZ476" s="93"/>
      <c r="BA476" s="93"/>
      <c r="BB476" s="93"/>
      <c r="BL476" s="93"/>
      <c r="BM476" s="93"/>
      <c r="BT476" s="93"/>
      <c r="BU476" s="93"/>
      <c r="BV476" s="93"/>
      <c r="BW476" s="93"/>
      <c r="BX476" s="93"/>
      <c r="BY476" s="93"/>
      <c r="BZ476" s="93"/>
      <c r="CA476" s="93"/>
      <c r="CB476" s="93"/>
      <c r="CC476" s="93"/>
      <c r="CF476" s="93"/>
      <c r="CG476" s="93"/>
      <c r="CH476" s="93"/>
      <c r="CI476" s="93"/>
      <c r="CJ476" s="93"/>
      <c r="CK476" s="93"/>
      <c r="CL476" s="93"/>
      <c r="CM476" s="93"/>
      <c r="CN476" s="93"/>
      <c r="CO476" s="93"/>
      <c r="CP476" s="93"/>
      <c r="CQ476" s="93"/>
      <c r="CR476" s="93"/>
      <c r="CS476" s="93"/>
      <c r="CT476" s="93"/>
      <c r="CU476" s="93"/>
      <c r="CV476" s="93"/>
      <c r="CW476" s="93"/>
      <c r="CX476" s="93"/>
      <c r="CY476" s="93"/>
      <c r="CZ476" s="93"/>
      <c r="DA476" s="93"/>
      <c r="DB476" s="93"/>
      <c r="DC476" s="93"/>
      <c r="DD476" s="93"/>
      <c r="DE476" s="93"/>
      <c r="DF476" s="93"/>
      <c r="DG476" s="93"/>
      <c r="DH476" s="93"/>
      <c r="DI476" s="93"/>
      <c r="DJ476" s="93"/>
      <c r="DK476" s="93"/>
      <c r="DL476" s="93"/>
      <c r="DM476" s="93"/>
      <c r="DN476" s="93"/>
      <c r="DO476" s="93"/>
    </row>
    <row r="477" spans="1:119" ht="15">
      <c r="A477" s="767" t="s">
        <v>7421</v>
      </c>
      <c r="B477" s="288" t="s">
        <v>7539</v>
      </c>
      <c r="C477" s="171" t="s">
        <v>358</v>
      </c>
      <c r="D477" s="1065" t="s">
        <v>358</v>
      </c>
      <c r="E477" s="1041" t="s">
        <v>358</v>
      </c>
      <c r="F477" s="1047" t="s">
        <v>2080</v>
      </c>
      <c r="G477" s="809" t="s">
        <v>358</v>
      </c>
      <c r="H477" s="809" t="s">
        <v>1630</v>
      </c>
      <c r="I477" s="92">
        <v>33</v>
      </c>
      <c r="J477" s="92" t="s">
        <v>10</v>
      </c>
      <c r="K477" s="92" t="s">
        <v>722</v>
      </c>
      <c r="L477" s="810">
        <v>5</v>
      </c>
      <c r="M477" s="811" t="str">
        <f t="shared" si="34"/>
        <v>High School Graduate</v>
      </c>
      <c r="N477" s="92" t="s">
        <v>1208</v>
      </c>
      <c r="O477" s="812" t="s">
        <v>8833</v>
      </c>
      <c r="P477" s="1638" t="s">
        <v>12606</v>
      </c>
      <c r="Q477" s="812" t="s">
        <v>8833</v>
      </c>
      <c r="R477" s="92" t="s">
        <v>8234</v>
      </c>
      <c r="S477" s="848">
        <v>18000</v>
      </c>
      <c r="V477" s="830"/>
      <c r="W477" s="815">
        <v>2</v>
      </c>
      <c r="X477" s="811" t="str">
        <f t="shared" si="33"/>
        <v>within the Municipality/City</v>
      </c>
      <c r="Y477" s="816">
        <v>120</v>
      </c>
      <c r="AB477" s="830"/>
      <c r="AC477" s="809" t="s">
        <v>8834</v>
      </c>
      <c r="AD477" s="824"/>
      <c r="AG477" s="807" t="str">
        <f t="shared" si="32"/>
        <v/>
      </c>
      <c r="AH477" s="807"/>
      <c r="AI477" s="807"/>
      <c r="AJ477" s="807"/>
      <c r="AK477" s="92"/>
      <c r="AM477" s="819"/>
      <c r="AN477" s="820"/>
      <c r="AQ477" s="93"/>
      <c r="AR477" s="93"/>
      <c r="AS477" s="93"/>
      <c r="AT477" s="93"/>
      <c r="AU477" s="93"/>
      <c r="AV477" s="93"/>
      <c r="AW477" s="93"/>
      <c r="AX477" s="93"/>
      <c r="AY477" s="93"/>
      <c r="AZ477" s="93"/>
      <c r="BA477" s="93"/>
      <c r="BB477" s="93"/>
      <c r="BL477" s="93"/>
      <c r="BM477" s="93"/>
      <c r="BT477" s="93"/>
      <c r="BU477" s="93"/>
      <c r="BV477" s="93"/>
      <c r="BW477" s="93"/>
      <c r="BX477" s="93"/>
      <c r="BY477" s="93"/>
      <c r="BZ477" s="93"/>
      <c r="CA477" s="93"/>
      <c r="CB477" s="93"/>
      <c r="CC477" s="93"/>
      <c r="CF477" s="93"/>
      <c r="CG477" s="93"/>
      <c r="CH477" s="93"/>
      <c r="CI477" s="93"/>
      <c r="CJ477" s="93"/>
      <c r="CK477" s="93"/>
      <c r="CL477" s="93"/>
      <c r="CM477" s="93"/>
      <c r="CN477" s="93"/>
      <c r="CO477" s="93"/>
      <c r="CP477" s="93"/>
      <c r="CQ477" s="93"/>
      <c r="CR477" s="93"/>
      <c r="CS477" s="93"/>
      <c r="CT477" s="93"/>
      <c r="CU477" s="93"/>
      <c r="CV477" s="93"/>
      <c r="CW477" s="93"/>
      <c r="CX477" s="93"/>
      <c r="CY477" s="93"/>
      <c r="CZ477" s="93"/>
      <c r="DA477" s="93"/>
      <c r="DB477" s="93"/>
      <c r="DC477" s="93"/>
      <c r="DD477" s="93"/>
      <c r="DE477" s="93"/>
      <c r="DF477" s="93"/>
      <c r="DG477" s="93"/>
      <c r="DH477" s="93"/>
      <c r="DI477" s="93"/>
      <c r="DJ477" s="93"/>
      <c r="DK477" s="93"/>
      <c r="DL477" s="93"/>
      <c r="DM477" s="93"/>
      <c r="DN477" s="93"/>
      <c r="DO477" s="93"/>
    </row>
    <row r="478" spans="1:119" ht="15">
      <c r="A478" s="767" t="s">
        <v>7421</v>
      </c>
      <c r="C478" s="807"/>
      <c r="D478" s="1065" t="s">
        <v>358</v>
      </c>
      <c r="E478" s="1041" t="s">
        <v>358</v>
      </c>
      <c r="G478" s="827"/>
      <c r="H478" s="809" t="s">
        <v>2080</v>
      </c>
      <c r="I478" s="92">
        <v>29</v>
      </c>
      <c r="J478" s="92" t="s">
        <v>18</v>
      </c>
      <c r="K478" s="92" t="s">
        <v>722</v>
      </c>
      <c r="L478" s="810">
        <v>7</v>
      </c>
      <c r="M478" s="811" t="str">
        <f t="shared" si="34"/>
        <v>College Graduate or Higher</v>
      </c>
      <c r="P478" s="1638"/>
      <c r="S478" s="848"/>
      <c r="V478" s="830"/>
      <c r="X478" s="811" t="str">
        <f t="shared" si="33"/>
        <v/>
      </c>
      <c r="AB478" s="830"/>
      <c r="AC478" s="809"/>
      <c r="AD478" s="824"/>
      <c r="AG478" s="807" t="str">
        <f t="shared" si="32"/>
        <v/>
      </c>
      <c r="AH478" s="807"/>
      <c r="AI478" s="807"/>
      <c r="AJ478" s="807"/>
      <c r="AK478" s="92"/>
      <c r="AM478" s="819"/>
      <c r="AN478" s="820"/>
      <c r="AQ478" s="93"/>
      <c r="AR478" s="93"/>
      <c r="AS478" s="93"/>
      <c r="AT478" s="93"/>
      <c r="AU478" s="93"/>
      <c r="AV478" s="93"/>
      <c r="AW478" s="93"/>
      <c r="AX478" s="93"/>
      <c r="AY478" s="93"/>
      <c r="AZ478" s="93"/>
      <c r="BA478" s="93"/>
      <c r="BB478" s="93"/>
      <c r="BL478" s="93"/>
      <c r="BM478" s="93"/>
      <c r="BT478" s="93"/>
      <c r="BU478" s="93"/>
      <c r="BV478" s="93"/>
      <c r="BW478" s="93"/>
      <c r="BX478" s="93"/>
      <c r="BY478" s="93"/>
      <c r="BZ478" s="93"/>
      <c r="CA478" s="93"/>
      <c r="CB478" s="93"/>
      <c r="CC478" s="93"/>
      <c r="CF478" s="93"/>
      <c r="CG478" s="93"/>
      <c r="CH478" s="93"/>
      <c r="CI478" s="93"/>
      <c r="CJ478" s="93"/>
      <c r="CK478" s="93"/>
      <c r="CL478" s="93"/>
      <c r="CM478" s="93"/>
      <c r="CN478" s="93"/>
      <c r="CO478" s="93"/>
      <c r="CP478" s="93"/>
      <c r="CQ478" s="93"/>
      <c r="CR478" s="93"/>
      <c r="CS478" s="93"/>
      <c r="CT478" s="93"/>
      <c r="CU478" s="93"/>
      <c r="CV478" s="93"/>
      <c r="CW478" s="93"/>
      <c r="CX478" s="93"/>
      <c r="CY478" s="93"/>
      <c r="CZ478" s="93"/>
      <c r="DA478" s="93"/>
      <c r="DB478" s="93"/>
      <c r="DC478" s="93"/>
      <c r="DD478" s="93"/>
      <c r="DE478" s="93"/>
      <c r="DF478" s="93"/>
      <c r="DG478" s="93"/>
      <c r="DH478" s="93"/>
      <c r="DI478" s="93"/>
      <c r="DJ478" s="93"/>
      <c r="DK478" s="93"/>
      <c r="DL478" s="93"/>
      <c r="DM478" s="93"/>
      <c r="DN478" s="93"/>
      <c r="DO478" s="93"/>
    </row>
    <row r="479" spans="1:119" ht="15">
      <c r="A479" s="767" t="s">
        <v>7421</v>
      </c>
      <c r="C479" s="807"/>
      <c r="D479" s="1065" t="s">
        <v>358</v>
      </c>
      <c r="E479" s="1041" t="s">
        <v>358</v>
      </c>
      <c r="F479" s="807"/>
      <c r="G479" s="827"/>
      <c r="H479" s="809" t="s">
        <v>8835</v>
      </c>
      <c r="I479" s="857">
        <v>60</v>
      </c>
      <c r="J479" s="92" t="s">
        <v>10</v>
      </c>
      <c r="K479" s="92" t="s">
        <v>707</v>
      </c>
      <c r="L479" s="810">
        <v>5</v>
      </c>
      <c r="M479" s="811" t="str">
        <f t="shared" si="34"/>
        <v>High School Graduate</v>
      </c>
      <c r="P479" s="1638"/>
      <c r="S479" s="848"/>
      <c r="V479" s="830"/>
      <c r="X479" s="811" t="str">
        <f t="shared" si="33"/>
        <v/>
      </c>
      <c r="AB479" s="830"/>
      <c r="AC479" s="809"/>
      <c r="AD479" s="817" t="s">
        <v>8836</v>
      </c>
      <c r="AG479" s="807" t="str">
        <f t="shared" si="32"/>
        <v/>
      </c>
      <c r="AH479" s="807"/>
      <c r="AI479" s="807"/>
      <c r="AJ479" s="807"/>
      <c r="AK479" s="92"/>
      <c r="AM479" s="819"/>
      <c r="AN479" s="820"/>
      <c r="AQ479" s="93"/>
      <c r="AR479" s="93"/>
      <c r="AS479" s="93"/>
      <c r="AT479" s="93"/>
      <c r="AU479" s="93"/>
      <c r="AV479" s="93"/>
      <c r="AW479" s="93"/>
      <c r="AX479" s="93"/>
      <c r="AY479" s="93"/>
      <c r="AZ479" s="93"/>
      <c r="BA479" s="93"/>
      <c r="BB479" s="93"/>
      <c r="BL479" s="93"/>
      <c r="BM479" s="93"/>
      <c r="BT479" s="93"/>
      <c r="BU479" s="93"/>
      <c r="BV479" s="93"/>
      <c r="BW479" s="93"/>
      <c r="BX479" s="93"/>
      <c r="BY479" s="93"/>
      <c r="BZ479" s="93"/>
      <c r="CA479" s="93"/>
      <c r="CB479" s="93"/>
      <c r="CC479" s="93"/>
      <c r="CF479" s="93"/>
      <c r="CG479" s="93"/>
      <c r="CH479" s="93"/>
      <c r="CI479" s="93"/>
      <c r="CJ479" s="93"/>
      <c r="CK479" s="93"/>
      <c r="CL479" s="93"/>
      <c r="CM479" s="93"/>
      <c r="CN479" s="93"/>
      <c r="CO479" s="93"/>
      <c r="CP479" s="93"/>
      <c r="CQ479" s="93"/>
      <c r="CR479" s="93"/>
      <c r="CS479" s="93"/>
      <c r="CT479" s="93"/>
      <c r="CU479" s="93"/>
      <c r="CV479" s="93"/>
      <c r="CW479" s="93"/>
      <c r="CX479" s="93"/>
      <c r="CY479" s="93"/>
      <c r="CZ479" s="93"/>
      <c r="DA479" s="93"/>
      <c r="DB479" s="93"/>
      <c r="DC479" s="93"/>
      <c r="DD479" s="93"/>
      <c r="DE479" s="93"/>
      <c r="DF479" s="93"/>
      <c r="DG479" s="93"/>
      <c r="DH479" s="93"/>
      <c r="DI479" s="93"/>
      <c r="DJ479" s="93"/>
      <c r="DK479" s="93"/>
      <c r="DL479" s="93"/>
      <c r="DM479" s="93"/>
      <c r="DN479" s="93"/>
      <c r="DO479" s="93"/>
    </row>
    <row r="480" spans="1:119" ht="15">
      <c r="A480" s="767" t="s">
        <v>7421</v>
      </c>
      <c r="C480" s="807"/>
      <c r="D480" s="1065" t="s">
        <v>358</v>
      </c>
      <c r="E480" s="1041" t="s">
        <v>358</v>
      </c>
      <c r="F480" s="807"/>
      <c r="G480" s="827"/>
      <c r="H480" s="809" t="s">
        <v>8837</v>
      </c>
      <c r="I480" s="92">
        <v>59</v>
      </c>
      <c r="J480" s="92" t="s">
        <v>18</v>
      </c>
      <c r="K480" s="92" t="s">
        <v>707</v>
      </c>
      <c r="L480" s="810">
        <v>3</v>
      </c>
      <c r="M480" s="811" t="str">
        <f t="shared" si="34"/>
        <v>Elementary Graduate</v>
      </c>
      <c r="P480" s="1638"/>
      <c r="S480" s="848"/>
      <c r="V480" s="830"/>
      <c r="X480" s="811" t="str">
        <f t="shared" si="33"/>
        <v/>
      </c>
      <c r="AB480" s="830"/>
      <c r="AC480" s="809"/>
      <c r="AD480" s="824"/>
      <c r="AG480" s="807" t="str">
        <f t="shared" si="32"/>
        <v/>
      </c>
      <c r="AH480" s="807"/>
      <c r="AI480" s="807"/>
      <c r="AJ480" s="807"/>
      <c r="AK480" s="92"/>
      <c r="AM480" s="819"/>
      <c r="AN480" s="820"/>
      <c r="AQ480" s="93"/>
      <c r="AR480" s="93"/>
      <c r="AS480" s="93"/>
      <c r="AT480" s="93"/>
      <c r="AU480" s="93"/>
      <c r="AV480" s="93"/>
      <c r="AW480" s="93"/>
      <c r="AX480" s="93"/>
      <c r="AY480" s="93"/>
      <c r="AZ480" s="93"/>
      <c r="BA480" s="93"/>
      <c r="BB480" s="93"/>
      <c r="BL480" s="93"/>
      <c r="BM480" s="93"/>
      <c r="BT480" s="93"/>
      <c r="BU480" s="93"/>
      <c r="BV480" s="93"/>
      <c r="BW480" s="93"/>
      <c r="BX480" s="93"/>
      <c r="BY480" s="93"/>
      <c r="BZ480" s="93"/>
      <c r="CA480" s="93"/>
      <c r="CB480" s="93"/>
      <c r="CC480" s="93"/>
      <c r="CF480" s="93"/>
      <c r="CG480" s="93"/>
      <c r="CH480" s="93"/>
      <c r="CI480" s="93"/>
      <c r="CJ480" s="93"/>
      <c r="CK480" s="93"/>
      <c r="CL480" s="93"/>
      <c r="CM480" s="93"/>
      <c r="CN480" s="93"/>
      <c r="CO480" s="93"/>
      <c r="CP480" s="93"/>
      <c r="CQ480" s="93"/>
      <c r="CR480" s="93"/>
      <c r="CS480" s="93">
        <v>1</v>
      </c>
      <c r="CT480" s="93"/>
      <c r="CU480" s="93"/>
      <c r="CV480" s="93"/>
      <c r="CW480" s="93"/>
      <c r="CX480" s="93"/>
      <c r="CY480" s="93"/>
      <c r="CZ480" s="93"/>
      <c r="DA480" s="93"/>
      <c r="DB480" s="93"/>
      <c r="DC480" s="93"/>
      <c r="DD480" s="93"/>
      <c r="DE480" s="93"/>
      <c r="DF480" s="93"/>
      <c r="DG480" s="93"/>
      <c r="DH480" s="93"/>
      <c r="DI480" s="93"/>
      <c r="DJ480" s="93"/>
      <c r="DK480" s="93"/>
      <c r="DL480" s="93"/>
      <c r="DM480" s="93"/>
      <c r="DN480" s="93"/>
      <c r="DO480" s="93"/>
    </row>
    <row r="481" spans="1:198" ht="15">
      <c r="A481" s="767" t="s">
        <v>7421</v>
      </c>
      <c r="C481" s="807"/>
      <c r="D481" s="1065" t="s">
        <v>358</v>
      </c>
      <c r="E481" s="1041" t="s">
        <v>358</v>
      </c>
      <c r="F481" s="807"/>
      <c r="G481" s="827"/>
      <c r="H481" s="809" t="s">
        <v>8838</v>
      </c>
      <c r="I481" s="92">
        <v>31</v>
      </c>
      <c r="J481" s="92" t="s">
        <v>10</v>
      </c>
      <c r="K481" s="92" t="s">
        <v>722</v>
      </c>
      <c r="L481" s="810">
        <v>5</v>
      </c>
      <c r="M481" s="811" t="str">
        <f t="shared" si="34"/>
        <v>High School Graduate</v>
      </c>
      <c r="P481" s="1638"/>
      <c r="S481" s="848"/>
      <c r="V481" s="830"/>
      <c r="X481" s="811" t="str">
        <f t="shared" si="33"/>
        <v/>
      </c>
      <c r="AB481" s="830"/>
      <c r="AC481" s="809"/>
      <c r="AD481" s="824"/>
      <c r="AG481" s="807" t="str">
        <f t="shared" si="32"/>
        <v/>
      </c>
      <c r="AH481" s="807"/>
      <c r="AI481" s="807"/>
      <c r="AJ481" s="807"/>
      <c r="AK481" s="92"/>
      <c r="AM481" s="819"/>
      <c r="AN481" s="820"/>
      <c r="AQ481" s="93"/>
      <c r="AR481" s="93" t="s">
        <v>2144</v>
      </c>
      <c r="AS481" s="93"/>
      <c r="AT481" s="93"/>
      <c r="AU481" s="93"/>
      <c r="AV481" s="93"/>
      <c r="AW481" s="93"/>
      <c r="AX481" s="93"/>
      <c r="AY481" s="93"/>
      <c r="AZ481" s="93"/>
      <c r="BA481" s="93"/>
      <c r="BB481" s="93"/>
      <c r="BL481" s="93"/>
      <c r="BM481" s="93"/>
      <c r="BT481" s="93">
        <v>1</v>
      </c>
      <c r="BU481" s="93"/>
      <c r="BV481" s="93"/>
      <c r="BW481" s="93"/>
      <c r="BX481" s="93"/>
      <c r="BY481" s="93"/>
      <c r="BZ481" s="93"/>
      <c r="CA481" s="93"/>
      <c r="CB481" s="93"/>
      <c r="CC481" s="93"/>
      <c r="CF481" s="93"/>
      <c r="CG481" s="93"/>
      <c r="CH481" s="93"/>
      <c r="CI481" s="93"/>
      <c r="CJ481" s="93"/>
      <c r="CK481" s="93"/>
      <c r="CL481" s="93"/>
      <c r="CM481" s="93"/>
      <c r="CN481" s="93"/>
      <c r="CO481" s="93"/>
      <c r="CP481" s="93"/>
      <c r="CQ481" s="93"/>
      <c r="CR481" s="93"/>
      <c r="CS481" s="93"/>
      <c r="CT481" s="93"/>
      <c r="CU481" s="93"/>
      <c r="CV481" s="93"/>
      <c r="CW481" s="93"/>
      <c r="CX481" s="93"/>
      <c r="CY481" s="93"/>
      <c r="CZ481" s="93"/>
      <c r="DA481" s="93"/>
      <c r="DB481" s="93"/>
      <c r="DC481" s="93"/>
      <c r="DD481" s="93"/>
      <c r="DE481" s="93"/>
      <c r="DF481" s="93"/>
      <c r="DG481" s="93"/>
      <c r="DH481" s="93"/>
      <c r="DI481" s="93"/>
      <c r="DJ481" s="93"/>
      <c r="DK481" s="93"/>
      <c r="DL481" s="93"/>
      <c r="DM481" s="93"/>
      <c r="DN481" s="93"/>
      <c r="DO481" s="93"/>
    </row>
    <row r="482" spans="1:198" ht="15">
      <c r="A482" s="767" t="s">
        <v>7421</v>
      </c>
      <c r="C482" s="807"/>
      <c r="D482" s="1065" t="s">
        <v>358</v>
      </c>
      <c r="E482" s="1041" t="s">
        <v>358</v>
      </c>
      <c r="F482" s="807"/>
      <c r="G482" s="827"/>
      <c r="H482" s="809" t="s">
        <v>8839</v>
      </c>
      <c r="I482" s="92">
        <v>21</v>
      </c>
      <c r="J482" s="92" t="s">
        <v>10</v>
      </c>
      <c r="K482" s="92" t="s">
        <v>768</v>
      </c>
      <c r="L482" s="810">
        <v>5</v>
      </c>
      <c r="M482" s="811" t="str">
        <f t="shared" si="34"/>
        <v>High School Graduate</v>
      </c>
      <c r="P482" s="1638"/>
      <c r="S482" s="848"/>
      <c r="V482" s="830"/>
      <c r="X482" s="811" t="str">
        <f t="shared" si="33"/>
        <v/>
      </c>
      <c r="AB482" s="830"/>
      <c r="AC482" s="809"/>
      <c r="AD482" s="824"/>
      <c r="AG482" s="807" t="str">
        <f t="shared" si="32"/>
        <v/>
      </c>
      <c r="AH482" s="807"/>
      <c r="AI482" s="807"/>
      <c r="AJ482" s="807"/>
      <c r="AK482" s="92"/>
      <c r="AM482" s="819"/>
      <c r="AN482" s="820"/>
      <c r="AQ482" s="93"/>
      <c r="AR482" s="93" t="s">
        <v>2144</v>
      </c>
      <c r="AS482" s="93"/>
      <c r="AT482" s="93"/>
      <c r="AU482" s="93"/>
      <c r="AV482" s="93"/>
      <c r="AW482" s="93"/>
      <c r="AX482" s="93"/>
      <c r="AY482" s="93"/>
      <c r="AZ482" s="93"/>
      <c r="BA482" s="93"/>
      <c r="BB482" s="93"/>
      <c r="BL482" s="93"/>
      <c r="BM482" s="93"/>
      <c r="BT482" s="93"/>
      <c r="BU482" s="93"/>
      <c r="BV482" s="93"/>
      <c r="BW482" s="93"/>
      <c r="BX482" s="93"/>
      <c r="BY482" s="93"/>
      <c r="BZ482" s="93"/>
      <c r="CA482" s="93"/>
      <c r="CB482" s="93"/>
      <c r="CC482" s="93"/>
      <c r="CF482" s="93"/>
      <c r="CG482" s="93"/>
      <c r="CH482" s="93"/>
      <c r="CI482" s="93"/>
      <c r="CJ482" s="93"/>
      <c r="CK482" s="93"/>
      <c r="CL482" s="93"/>
      <c r="CM482" s="93"/>
      <c r="CN482" s="93"/>
      <c r="CO482" s="93"/>
      <c r="CP482" s="93"/>
      <c r="CQ482" s="93"/>
      <c r="CR482" s="93"/>
      <c r="CS482" s="93"/>
      <c r="CT482" s="93"/>
      <c r="CU482" s="93"/>
      <c r="CV482" s="93"/>
      <c r="CW482" s="93"/>
      <c r="CX482" s="93"/>
      <c r="CY482" s="93"/>
      <c r="CZ482" s="93"/>
      <c r="DA482" s="93"/>
      <c r="DB482" s="93"/>
      <c r="DC482" s="93"/>
      <c r="DD482" s="93"/>
      <c r="DE482" s="93"/>
      <c r="DF482" s="93"/>
      <c r="DG482" s="93"/>
      <c r="DH482" s="93"/>
      <c r="DI482" s="93"/>
      <c r="DJ482" s="93"/>
      <c r="DK482" s="93"/>
      <c r="DL482" s="93"/>
      <c r="DM482" s="93"/>
      <c r="DN482" s="93"/>
      <c r="DO482" s="93"/>
    </row>
    <row r="483" spans="1:198" ht="15">
      <c r="A483" s="767" t="s">
        <v>7421</v>
      </c>
      <c r="C483" s="807"/>
      <c r="D483" s="1065" t="s">
        <v>358</v>
      </c>
      <c r="E483" s="1041" t="s">
        <v>358</v>
      </c>
      <c r="F483" s="807"/>
      <c r="G483" s="827"/>
      <c r="H483" s="809" t="s">
        <v>8840</v>
      </c>
      <c r="I483" s="92">
        <v>29</v>
      </c>
      <c r="J483" s="92" t="s">
        <v>10</v>
      </c>
      <c r="K483" s="92" t="s">
        <v>768</v>
      </c>
      <c r="L483" s="810">
        <v>5</v>
      </c>
      <c r="M483" s="811" t="str">
        <f t="shared" si="34"/>
        <v>High School Graduate</v>
      </c>
      <c r="P483" s="1638"/>
      <c r="S483" s="848"/>
      <c r="V483" s="830"/>
      <c r="X483" s="811" t="str">
        <f t="shared" si="33"/>
        <v/>
      </c>
      <c r="AB483" s="830"/>
      <c r="AC483" s="809"/>
      <c r="AD483" s="824"/>
      <c r="AG483" s="807" t="str">
        <f t="shared" si="32"/>
        <v/>
      </c>
      <c r="AH483" s="807"/>
      <c r="AI483" s="807"/>
      <c r="AJ483" s="807"/>
      <c r="AK483" s="92"/>
      <c r="AM483" s="819"/>
      <c r="AN483" s="820"/>
      <c r="AQ483" s="93"/>
      <c r="AR483" s="93"/>
      <c r="AS483" s="93"/>
      <c r="AT483" s="93"/>
      <c r="AU483" s="93"/>
      <c r="AV483" s="93"/>
      <c r="AW483" s="93"/>
      <c r="AX483" s="93"/>
      <c r="AY483" s="93"/>
      <c r="AZ483" s="93"/>
      <c r="BA483" s="93"/>
      <c r="BB483" s="93"/>
      <c r="BL483" s="93"/>
      <c r="BM483" s="93"/>
      <c r="BT483" s="93"/>
      <c r="BU483" s="93"/>
      <c r="BV483" s="93"/>
      <c r="BW483" s="93"/>
      <c r="BX483" s="93"/>
      <c r="BY483" s="93"/>
      <c r="BZ483" s="93"/>
      <c r="CA483" s="93"/>
      <c r="CB483" s="93"/>
      <c r="CC483" s="93"/>
      <c r="CF483" s="93"/>
      <c r="CG483" s="93"/>
      <c r="CH483" s="93"/>
      <c r="CI483" s="93"/>
      <c r="CJ483" s="93"/>
      <c r="CK483" s="93"/>
      <c r="CL483" s="93"/>
      <c r="CM483" s="93"/>
      <c r="CN483" s="93"/>
      <c r="CO483" s="93"/>
      <c r="CP483" s="93"/>
      <c r="CQ483" s="93"/>
      <c r="CR483" s="93"/>
      <c r="CS483" s="93"/>
      <c r="CT483" s="93"/>
      <c r="CU483" s="93"/>
      <c r="CV483" s="93"/>
      <c r="CW483" s="93"/>
      <c r="CX483" s="93"/>
      <c r="CY483" s="93"/>
      <c r="CZ483" s="93"/>
      <c r="DA483" s="93"/>
      <c r="DB483" s="93"/>
      <c r="DC483" s="93"/>
      <c r="DD483" s="93"/>
      <c r="DE483" s="93"/>
      <c r="DF483" s="93"/>
      <c r="DG483" s="93"/>
      <c r="DH483" s="93"/>
      <c r="DI483" s="93"/>
      <c r="DJ483" s="93"/>
      <c r="DK483" s="93"/>
      <c r="DL483" s="93"/>
      <c r="DM483" s="93"/>
      <c r="DN483" s="93"/>
      <c r="DO483" s="93"/>
    </row>
    <row r="484" spans="1:198" ht="15">
      <c r="A484" s="767" t="s">
        <v>7421</v>
      </c>
      <c r="C484" s="807"/>
      <c r="D484" s="1065" t="s">
        <v>358</v>
      </c>
      <c r="E484" s="1041" t="s">
        <v>358</v>
      </c>
      <c r="F484" s="807"/>
      <c r="G484" s="827"/>
      <c r="H484" s="809" t="s">
        <v>8841</v>
      </c>
      <c r="I484" s="92">
        <v>27</v>
      </c>
      <c r="J484" s="92" t="s">
        <v>10</v>
      </c>
      <c r="K484" s="92" t="s">
        <v>722</v>
      </c>
      <c r="L484" s="810">
        <v>5</v>
      </c>
      <c r="M484" s="811" t="str">
        <f t="shared" si="34"/>
        <v>High School Graduate</v>
      </c>
      <c r="P484" s="1638"/>
      <c r="S484" s="848"/>
      <c r="V484" s="830"/>
      <c r="X484" s="811" t="str">
        <f t="shared" si="33"/>
        <v/>
      </c>
      <c r="AB484" s="830"/>
      <c r="AC484" s="809"/>
      <c r="AD484" s="824"/>
      <c r="AG484" s="807" t="str">
        <f t="shared" si="32"/>
        <v/>
      </c>
      <c r="AH484" s="807"/>
      <c r="AI484" s="807"/>
      <c r="AJ484" s="807"/>
      <c r="AK484" s="92"/>
      <c r="AM484" s="819"/>
      <c r="AN484" s="820"/>
      <c r="AQ484" s="93"/>
      <c r="AR484" s="93"/>
      <c r="AS484" s="93"/>
      <c r="AT484" s="93"/>
      <c r="AU484" s="93"/>
      <c r="AV484" s="93"/>
      <c r="AW484" s="93"/>
      <c r="AX484" s="93"/>
      <c r="AY484" s="93"/>
      <c r="AZ484" s="93"/>
      <c r="BA484" s="93"/>
      <c r="BB484" s="93"/>
      <c r="BL484" s="93"/>
      <c r="BM484" s="93"/>
      <c r="BT484" s="93"/>
      <c r="BU484" s="93"/>
      <c r="BV484" s="93"/>
      <c r="BW484" s="93"/>
      <c r="BX484" s="93"/>
      <c r="BY484" s="93"/>
      <c r="BZ484" s="93"/>
      <c r="CA484" s="93"/>
      <c r="CB484" s="93"/>
      <c r="CC484" s="93"/>
      <c r="CF484" s="93"/>
      <c r="CG484" s="93"/>
      <c r="CH484" s="93"/>
      <c r="CI484" s="93"/>
      <c r="CJ484" s="93"/>
      <c r="CK484" s="93"/>
      <c r="CL484" s="93"/>
      <c r="CM484" s="93"/>
      <c r="CN484" s="93"/>
      <c r="CO484" s="93"/>
      <c r="CP484" s="93"/>
      <c r="CQ484" s="93"/>
      <c r="CR484" s="93"/>
      <c r="CS484" s="93"/>
      <c r="CT484" s="93"/>
      <c r="CU484" s="93"/>
      <c r="CV484" s="93"/>
      <c r="CW484" s="93"/>
      <c r="CX484" s="93"/>
      <c r="CY484" s="93"/>
      <c r="CZ484" s="93"/>
      <c r="DA484" s="93"/>
      <c r="DB484" s="93"/>
      <c r="DC484" s="93"/>
      <c r="DD484" s="93"/>
      <c r="DE484" s="93"/>
      <c r="DF484" s="93"/>
      <c r="DG484" s="93"/>
      <c r="DH484" s="93"/>
      <c r="DI484" s="93"/>
      <c r="DJ484" s="93"/>
      <c r="DK484" s="93"/>
      <c r="DL484" s="93"/>
      <c r="DM484" s="93"/>
      <c r="DN484" s="93"/>
      <c r="DO484" s="93"/>
    </row>
    <row r="485" spans="1:198" ht="15">
      <c r="A485" s="767" t="s">
        <v>7421</v>
      </c>
      <c r="C485" s="807"/>
      <c r="D485" s="1065" t="s">
        <v>358</v>
      </c>
      <c r="E485" s="1041" t="s">
        <v>358</v>
      </c>
      <c r="F485" s="807"/>
      <c r="G485" s="827"/>
      <c r="H485" s="809" t="s">
        <v>8842</v>
      </c>
      <c r="I485" s="92">
        <v>18</v>
      </c>
      <c r="J485" s="92" t="s">
        <v>18</v>
      </c>
      <c r="K485" s="92" t="s">
        <v>722</v>
      </c>
      <c r="L485" s="810">
        <v>5</v>
      </c>
      <c r="M485" s="811" t="str">
        <f t="shared" si="34"/>
        <v>High School Graduate</v>
      </c>
      <c r="P485" s="1638"/>
      <c r="S485" s="848"/>
      <c r="V485" s="830">
        <f>SUM(S477:U485)</f>
        <v>18000</v>
      </c>
      <c r="X485" s="811" t="str">
        <f t="shared" si="33"/>
        <v/>
      </c>
      <c r="AB485" s="830">
        <f>SUM(Y477:AA485)</f>
        <v>120</v>
      </c>
      <c r="AC485" s="809"/>
      <c r="AD485" s="824"/>
      <c r="AG485" s="807" t="str">
        <f t="shared" si="32"/>
        <v/>
      </c>
      <c r="AH485" s="807"/>
      <c r="AI485" s="807"/>
      <c r="AJ485" s="807"/>
      <c r="AK485" s="92"/>
      <c r="AM485" s="819"/>
      <c r="AN485" s="820"/>
      <c r="AQ485" s="93"/>
      <c r="AR485" s="93"/>
      <c r="AS485" s="93"/>
      <c r="AT485" s="93"/>
      <c r="AU485" s="93"/>
      <c r="AV485" s="93"/>
      <c r="AW485" s="93"/>
      <c r="AX485" s="93"/>
      <c r="AY485" s="93"/>
      <c r="AZ485" s="93"/>
      <c r="BA485" s="93"/>
      <c r="BB485" s="93"/>
      <c r="BL485" s="93"/>
      <c r="BM485" s="93"/>
      <c r="BT485" s="93"/>
      <c r="BU485" s="93"/>
      <c r="BV485" s="93"/>
      <c r="BW485" s="93"/>
      <c r="BX485" s="93"/>
      <c r="BY485" s="93"/>
      <c r="BZ485" s="93"/>
      <c r="CA485" s="93"/>
      <c r="CB485" s="93"/>
      <c r="CC485" s="93"/>
      <c r="CF485" s="93"/>
      <c r="CG485" s="93"/>
      <c r="CH485" s="93"/>
      <c r="CI485" s="93"/>
      <c r="CJ485" s="93"/>
      <c r="CK485" s="93"/>
      <c r="CL485" s="93"/>
      <c r="CM485" s="93"/>
      <c r="CN485" s="93"/>
      <c r="CO485" s="93"/>
      <c r="CP485" s="93"/>
      <c r="CQ485" s="93"/>
      <c r="CR485" s="93"/>
      <c r="CS485" s="93"/>
      <c r="CT485" s="93"/>
      <c r="CU485" s="93"/>
      <c r="CV485" s="93"/>
      <c r="CW485" s="93"/>
      <c r="CX485" s="93"/>
      <c r="CY485" s="93"/>
      <c r="CZ485" s="93"/>
      <c r="DA485" s="93"/>
      <c r="DB485" s="93"/>
      <c r="DC485" s="93"/>
      <c r="DD485" s="93"/>
      <c r="DE485" s="93"/>
      <c r="DF485" s="93"/>
      <c r="DG485" s="93"/>
      <c r="DH485" s="93"/>
      <c r="DI485" s="93"/>
      <c r="DJ485" s="93"/>
      <c r="DK485" s="93"/>
      <c r="DL485" s="93"/>
      <c r="DM485" s="93"/>
      <c r="DN485" s="93"/>
      <c r="DO485" s="93"/>
    </row>
    <row r="486" spans="1:198" ht="15">
      <c r="A486" s="767" t="s">
        <v>7421</v>
      </c>
      <c r="B486" s="288" t="s">
        <v>7540</v>
      </c>
      <c r="C486" s="171" t="s">
        <v>363</v>
      </c>
      <c r="D486" s="1065" t="s">
        <v>363</v>
      </c>
      <c r="E486" s="1041" t="s">
        <v>363</v>
      </c>
      <c r="F486" s="1047" t="s">
        <v>1329</v>
      </c>
      <c r="G486" s="745" t="s">
        <v>363</v>
      </c>
      <c r="H486" s="809" t="s">
        <v>1329</v>
      </c>
      <c r="I486" s="92">
        <v>31</v>
      </c>
      <c r="J486" s="92" t="s">
        <v>10</v>
      </c>
      <c r="K486" s="92" t="s">
        <v>707</v>
      </c>
      <c r="L486" s="810">
        <v>9</v>
      </c>
      <c r="M486" s="811" t="str">
        <f t="shared" si="34"/>
        <v>Vocational Graduate</v>
      </c>
      <c r="P486" s="1638"/>
      <c r="R486" s="92" t="s">
        <v>1208</v>
      </c>
      <c r="S486" s="848"/>
      <c r="X486" s="811" t="str">
        <f t="shared" si="33"/>
        <v/>
      </c>
      <c r="AB486" s="814"/>
      <c r="AC486" s="809" t="s">
        <v>8171</v>
      </c>
      <c r="AD486" s="824"/>
      <c r="AG486" s="807" t="str">
        <f t="shared" si="32"/>
        <v/>
      </c>
      <c r="AH486" s="807"/>
      <c r="AI486" s="807"/>
      <c r="AJ486" s="807"/>
      <c r="AK486" s="92"/>
      <c r="AM486" s="819"/>
      <c r="AN486" s="820"/>
      <c r="AQ486" s="93"/>
      <c r="AR486" s="93"/>
      <c r="AS486" s="93"/>
      <c r="AT486" s="93"/>
      <c r="AU486" s="93"/>
      <c r="AV486" s="93"/>
      <c r="AW486" s="93"/>
      <c r="AX486" s="93"/>
      <c r="AY486" s="93"/>
      <c r="AZ486" s="93"/>
      <c r="BA486" s="93"/>
      <c r="BB486" s="93"/>
      <c r="BL486" s="93"/>
      <c r="BM486" s="93"/>
      <c r="BT486" s="93"/>
      <c r="BU486" s="93"/>
      <c r="BV486" s="93"/>
      <c r="BW486" s="93"/>
      <c r="BX486" s="93"/>
      <c r="BY486" s="93"/>
      <c r="BZ486" s="93"/>
      <c r="CA486" s="93"/>
      <c r="CB486" s="93"/>
      <c r="CC486" s="93"/>
      <c r="CF486" s="93"/>
      <c r="CG486" s="93"/>
      <c r="CH486" s="93"/>
      <c r="CI486" s="93"/>
      <c r="CJ486" s="93"/>
      <c r="CK486" s="93"/>
      <c r="CL486" s="93"/>
      <c r="CM486" s="93"/>
      <c r="CN486" s="93"/>
      <c r="CO486" s="93"/>
      <c r="CP486" s="93"/>
      <c r="CQ486" s="93"/>
      <c r="CR486" s="93"/>
      <c r="CS486" s="93">
        <v>2</v>
      </c>
      <c r="CT486" s="93">
        <v>3</v>
      </c>
      <c r="CU486" s="93"/>
      <c r="CV486" s="93"/>
      <c r="CW486" s="93"/>
      <c r="CX486" s="93"/>
      <c r="CY486" s="93" t="s">
        <v>2144</v>
      </c>
      <c r="CZ486" s="93"/>
      <c r="DA486" s="93"/>
      <c r="DB486" s="93"/>
      <c r="DC486" s="93"/>
      <c r="DD486" s="93"/>
      <c r="DE486" s="93"/>
      <c r="DF486" s="93"/>
      <c r="DG486" s="93"/>
      <c r="DH486" s="93"/>
      <c r="DI486" s="93"/>
      <c r="DJ486" s="93"/>
      <c r="DK486" s="93"/>
      <c r="DL486" s="93"/>
      <c r="DM486" s="93"/>
      <c r="DN486" s="93"/>
      <c r="DO486" s="93"/>
    </row>
    <row r="487" spans="1:198" ht="15">
      <c r="A487" s="767" t="s">
        <v>7421</v>
      </c>
      <c r="C487" s="807"/>
      <c r="D487" s="1065" t="s">
        <v>363</v>
      </c>
      <c r="E487" s="1041" t="s">
        <v>363</v>
      </c>
      <c r="F487" s="807"/>
      <c r="G487" s="827"/>
      <c r="H487" s="809" t="s">
        <v>8843</v>
      </c>
      <c r="I487" s="92">
        <v>32</v>
      </c>
      <c r="J487" s="92" t="s">
        <v>18</v>
      </c>
      <c r="K487" s="92" t="s">
        <v>707</v>
      </c>
      <c r="L487" s="810">
        <v>6</v>
      </c>
      <c r="M487" s="811" t="str">
        <f t="shared" si="34"/>
        <v>College Level</v>
      </c>
      <c r="N487" s="92" t="s">
        <v>1208</v>
      </c>
      <c r="O487" s="812" t="s">
        <v>8844</v>
      </c>
      <c r="P487" s="1638"/>
      <c r="Q487" s="812" t="s">
        <v>8844</v>
      </c>
      <c r="R487" s="92" t="s">
        <v>8285</v>
      </c>
      <c r="S487" s="848">
        <v>17000</v>
      </c>
      <c r="W487" s="815">
        <v>3</v>
      </c>
      <c r="X487" s="811" t="str">
        <f t="shared" si="33"/>
        <v>within the Province</v>
      </c>
      <c r="Y487" s="816">
        <v>3000</v>
      </c>
      <c r="AB487" s="814"/>
      <c r="AC487" s="809"/>
      <c r="AD487" s="824"/>
      <c r="AG487" s="807" t="str">
        <f t="shared" si="32"/>
        <v/>
      </c>
      <c r="AH487" s="807"/>
      <c r="AI487" s="807"/>
      <c r="AJ487" s="807"/>
      <c r="AK487" s="92"/>
      <c r="AM487" s="819"/>
      <c r="AN487" s="820"/>
      <c r="AQ487" s="93"/>
      <c r="AR487" s="93"/>
      <c r="AS487" s="93"/>
      <c r="AT487" s="93"/>
      <c r="AU487" s="93"/>
      <c r="AV487" s="93"/>
      <c r="AW487" s="93"/>
      <c r="AX487" s="93"/>
      <c r="AY487" s="93"/>
      <c r="AZ487" s="93"/>
      <c r="BA487" s="93"/>
      <c r="BB487" s="93"/>
      <c r="BL487" s="93"/>
      <c r="BM487" s="93"/>
      <c r="BT487" s="93"/>
      <c r="BU487" s="93"/>
      <c r="BV487" s="93"/>
      <c r="BW487" s="93"/>
      <c r="BX487" s="93"/>
      <c r="BY487" s="93"/>
      <c r="BZ487" s="93"/>
      <c r="CA487" s="93"/>
      <c r="CB487" s="93"/>
      <c r="CC487" s="93"/>
      <c r="CF487" s="93"/>
      <c r="CG487" s="93"/>
      <c r="CH487" s="93"/>
      <c r="CI487" s="93"/>
      <c r="CJ487" s="93"/>
      <c r="CK487" s="93"/>
      <c r="CL487" s="93"/>
      <c r="CM487" s="93"/>
      <c r="CN487" s="93"/>
      <c r="CO487" s="93"/>
      <c r="CP487" s="93"/>
      <c r="CQ487" s="93"/>
      <c r="CR487" s="93"/>
      <c r="CS487" s="93"/>
      <c r="CT487" s="93"/>
      <c r="CU487" s="93"/>
      <c r="CV487" s="93"/>
      <c r="CW487" s="93"/>
      <c r="CX487" s="93"/>
      <c r="CY487" s="93"/>
      <c r="CZ487" s="93"/>
      <c r="DA487" s="93"/>
      <c r="DB487" s="93"/>
      <c r="DC487" s="93"/>
      <c r="DD487" s="93"/>
      <c r="DE487" s="93"/>
      <c r="DF487" s="93"/>
      <c r="DG487" s="93"/>
      <c r="DH487" s="93"/>
      <c r="DI487" s="93"/>
      <c r="DJ487" s="93"/>
      <c r="DK487" s="93"/>
      <c r="DL487" s="93"/>
      <c r="DM487" s="93"/>
      <c r="DN487" s="93"/>
      <c r="DO487" s="93"/>
    </row>
    <row r="488" spans="1:198" ht="15">
      <c r="A488" s="767" t="s">
        <v>7421</v>
      </c>
      <c r="C488" s="807"/>
      <c r="D488" s="1065" t="s">
        <v>363</v>
      </c>
      <c r="E488" s="1041" t="s">
        <v>363</v>
      </c>
      <c r="F488" s="807"/>
      <c r="G488" s="827"/>
      <c r="H488" s="809" t="s">
        <v>8845</v>
      </c>
      <c r="I488" s="92">
        <v>8</v>
      </c>
      <c r="J488" s="92" t="s">
        <v>18</v>
      </c>
      <c r="K488" s="92" t="s">
        <v>768</v>
      </c>
      <c r="L488" s="810">
        <v>2</v>
      </c>
      <c r="M488" s="811" t="str">
        <f t="shared" si="34"/>
        <v>Elementary Level</v>
      </c>
      <c r="P488" s="1638"/>
      <c r="S488" s="848"/>
      <c r="X488" s="811" t="str">
        <f t="shared" si="33"/>
        <v/>
      </c>
      <c r="AB488" s="814"/>
      <c r="AC488" s="809"/>
      <c r="AD488" s="824"/>
      <c r="AG488" s="807" t="str">
        <f t="shared" ref="AG488:AG498" si="35">IF(ISBLANK(AF488)=TRUE,"",LOOKUP(AF488,GS:GT))</f>
        <v/>
      </c>
      <c r="AH488" s="807"/>
      <c r="AI488" s="807"/>
      <c r="AJ488" s="807"/>
      <c r="AK488" s="92"/>
      <c r="AM488" s="819"/>
      <c r="AN488" s="820"/>
      <c r="AQ488" s="93"/>
      <c r="AR488" s="93"/>
      <c r="AS488" s="93"/>
      <c r="AT488" s="93"/>
      <c r="AU488" s="93"/>
      <c r="AV488" s="93"/>
      <c r="AW488" s="93"/>
      <c r="AX488" s="93"/>
      <c r="AY488" s="93"/>
      <c r="AZ488" s="93"/>
      <c r="BA488" s="93"/>
      <c r="BB488" s="93"/>
      <c r="BL488" s="93"/>
      <c r="BM488" s="93"/>
      <c r="BT488" s="93"/>
      <c r="BU488" s="93"/>
      <c r="BV488" s="93"/>
      <c r="BW488" s="93"/>
      <c r="BX488" s="93"/>
      <c r="BY488" s="93"/>
      <c r="BZ488" s="93"/>
      <c r="CA488" s="93"/>
      <c r="CB488" s="93"/>
      <c r="CC488" s="93"/>
      <c r="CF488" s="93"/>
      <c r="CG488" s="93"/>
      <c r="CH488" s="93"/>
      <c r="CI488" s="93"/>
      <c r="CJ488" s="93"/>
      <c r="CK488" s="93"/>
      <c r="CL488" s="93"/>
      <c r="CM488" s="93"/>
      <c r="CN488" s="93"/>
      <c r="CO488" s="93"/>
      <c r="CP488" s="93"/>
      <c r="CQ488" s="93"/>
      <c r="CR488" s="93"/>
      <c r="CS488" s="93"/>
      <c r="CT488" s="93"/>
      <c r="CU488" s="93"/>
      <c r="CV488" s="93"/>
      <c r="CW488" s="93"/>
      <c r="CX488" s="93"/>
      <c r="CY488" s="93"/>
      <c r="CZ488" s="93"/>
      <c r="DA488" s="93"/>
      <c r="DB488" s="93"/>
      <c r="DC488" s="93"/>
      <c r="DD488" s="93"/>
      <c r="DE488" s="93"/>
      <c r="DF488" s="93"/>
      <c r="DG488" s="93"/>
      <c r="DH488" s="93"/>
      <c r="DI488" s="93"/>
      <c r="DJ488" s="93"/>
      <c r="DK488" s="93"/>
      <c r="DL488" s="93"/>
      <c r="DM488" s="93"/>
      <c r="DN488" s="93"/>
      <c r="DO488" s="93"/>
    </row>
    <row r="489" spans="1:198" ht="15">
      <c r="A489" s="767" t="s">
        <v>7421</v>
      </c>
      <c r="C489" s="807"/>
      <c r="D489" s="1065" t="s">
        <v>363</v>
      </c>
      <c r="E489" s="1041" t="s">
        <v>363</v>
      </c>
      <c r="F489" s="807"/>
      <c r="G489" s="827"/>
      <c r="H489" s="809" t="s">
        <v>8846</v>
      </c>
      <c r="I489" s="92">
        <v>3</v>
      </c>
      <c r="J489" s="92" t="s">
        <v>18</v>
      </c>
      <c r="K489" s="92" t="s">
        <v>768</v>
      </c>
      <c r="L489" s="810">
        <v>10</v>
      </c>
      <c r="M489" s="811" t="str">
        <f t="shared" si="34"/>
        <v>Not In School Age</v>
      </c>
      <c r="P489" s="1638"/>
      <c r="S489" s="848"/>
      <c r="V489" s="814">
        <f>SUM(S486:U489)</f>
        <v>17000</v>
      </c>
      <c r="X489" s="811" t="str">
        <f t="shared" si="33"/>
        <v/>
      </c>
      <c r="AB489" s="814">
        <f>SUM(Y486:AA489)</f>
        <v>3000</v>
      </c>
      <c r="AC489" s="809"/>
      <c r="AD489" s="824"/>
      <c r="AG489" s="807" t="str">
        <f t="shared" si="35"/>
        <v/>
      </c>
      <c r="AH489" s="807"/>
      <c r="AI489" s="807"/>
      <c r="AJ489" s="807"/>
      <c r="AK489" s="92"/>
      <c r="AM489" s="819"/>
      <c r="AN489" s="820"/>
      <c r="AQ489" s="93"/>
      <c r="AR489" s="93"/>
      <c r="AS489" s="93"/>
      <c r="AT489" s="93"/>
      <c r="AU489" s="93"/>
      <c r="AV489" s="93"/>
      <c r="AW489" s="93"/>
      <c r="AX489" s="93"/>
      <c r="AY489" s="93"/>
      <c r="AZ489" s="93"/>
      <c r="BA489" s="93"/>
      <c r="BB489" s="93"/>
      <c r="BL489" s="93"/>
      <c r="BM489" s="93"/>
      <c r="BT489" s="93"/>
      <c r="BU489" s="93"/>
      <c r="BV489" s="93"/>
      <c r="BW489" s="93"/>
      <c r="BX489" s="93"/>
      <c r="BY489" s="93"/>
      <c r="BZ489" s="93"/>
      <c r="CA489" s="93"/>
      <c r="CB489" s="93"/>
      <c r="CC489" s="93"/>
      <c r="CF489" s="93"/>
      <c r="CG489" s="93"/>
      <c r="CH489" s="93"/>
      <c r="CI489" s="93"/>
      <c r="CJ489" s="93"/>
      <c r="CK489" s="93"/>
      <c r="CL489" s="93"/>
      <c r="CM489" s="93"/>
      <c r="CN489" s="93"/>
      <c r="CO489" s="93"/>
      <c r="CP489" s="93"/>
      <c r="CQ489" s="93"/>
      <c r="CR489" s="93"/>
      <c r="CS489" s="93"/>
      <c r="CT489" s="93"/>
      <c r="CU489" s="93"/>
      <c r="CV489" s="93"/>
      <c r="CW489" s="93"/>
      <c r="CX489" s="93"/>
      <c r="CY489" s="93"/>
      <c r="CZ489" s="93"/>
      <c r="DA489" s="93"/>
      <c r="DB489" s="93"/>
      <c r="DC489" s="93"/>
      <c r="DD489" s="93"/>
      <c r="DE489" s="93"/>
      <c r="DF489" s="93"/>
      <c r="DG489" s="93"/>
      <c r="DH489" s="93"/>
      <c r="DI489" s="93"/>
      <c r="DJ489" s="93"/>
      <c r="DK489" s="93"/>
      <c r="DL489" s="93"/>
      <c r="DM489" s="93"/>
      <c r="DN489" s="93"/>
      <c r="DO489" s="93"/>
    </row>
    <row r="490" spans="1:198" ht="15">
      <c r="A490" s="19" t="s">
        <v>7421</v>
      </c>
      <c r="B490" s="292" t="s">
        <v>7968</v>
      </c>
      <c r="C490" s="171" t="s">
        <v>366</v>
      </c>
      <c r="D490" s="1065" t="s">
        <v>366</v>
      </c>
      <c r="E490" s="1041" t="s">
        <v>366</v>
      </c>
      <c r="F490" s="1047" t="s">
        <v>1631</v>
      </c>
      <c r="G490" s="809" t="s">
        <v>366</v>
      </c>
      <c r="H490" s="809" t="s">
        <v>1631</v>
      </c>
      <c r="I490" s="92">
        <v>52</v>
      </c>
      <c r="J490" s="92" t="s">
        <v>10</v>
      </c>
      <c r="K490" s="92" t="s">
        <v>707</v>
      </c>
      <c r="L490" s="810">
        <v>7</v>
      </c>
      <c r="M490" s="811" t="str">
        <f t="shared" si="34"/>
        <v>College Graduate or Higher</v>
      </c>
      <c r="N490" s="92" t="s">
        <v>1208</v>
      </c>
      <c r="O490" s="812" t="s">
        <v>8847</v>
      </c>
      <c r="P490" s="1638" t="s">
        <v>12606</v>
      </c>
      <c r="Q490" s="812" t="s">
        <v>8847</v>
      </c>
      <c r="R490" s="92" t="s">
        <v>8234</v>
      </c>
      <c r="S490" s="848">
        <v>11000</v>
      </c>
      <c r="V490" s="828"/>
      <c r="W490" s="815">
        <v>1</v>
      </c>
      <c r="X490" s="811" t="str">
        <f t="shared" si="33"/>
        <v>within the Brgy</v>
      </c>
      <c r="AB490" s="828"/>
      <c r="AC490" s="809" t="s">
        <v>2233</v>
      </c>
      <c r="AD490" s="824"/>
      <c r="AG490" s="807" t="str">
        <f t="shared" si="35"/>
        <v/>
      </c>
      <c r="AH490" s="807"/>
      <c r="AI490" s="807"/>
      <c r="AJ490" s="807"/>
      <c r="AK490" s="92"/>
      <c r="AM490" s="819"/>
      <c r="AN490" s="820"/>
      <c r="AQ490" s="93"/>
      <c r="AR490" s="93"/>
      <c r="AS490" s="93"/>
      <c r="AT490" s="93"/>
      <c r="AU490" s="93"/>
      <c r="AV490" s="93"/>
      <c r="AW490" s="93"/>
      <c r="AX490" s="93"/>
      <c r="AY490" s="93"/>
      <c r="AZ490" s="93"/>
      <c r="BA490" s="93"/>
      <c r="BB490" s="93"/>
      <c r="BL490" s="93"/>
      <c r="BM490" s="93"/>
      <c r="BT490" s="93"/>
      <c r="BU490" s="93"/>
      <c r="BV490" s="93"/>
      <c r="BW490" s="93"/>
      <c r="BX490" s="93"/>
      <c r="BY490" s="93"/>
      <c r="BZ490" s="93"/>
      <c r="CA490" s="93"/>
      <c r="CB490" s="93"/>
      <c r="CC490" s="93"/>
      <c r="CF490" s="93"/>
      <c r="CG490" s="93"/>
      <c r="CH490" s="93"/>
      <c r="CI490" s="93"/>
      <c r="CJ490" s="93"/>
      <c r="CK490" s="93"/>
      <c r="CL490" s="93"/>
      <c r="CM490" s="93"/>
      <c r="CN490" s="93"/>
      <c r="CO490" s="93"/>
      <c r="CP490" s="93"/>
      <c r="CQ490" s="93"/>
      <c r="CR490" s="93"/>
      <c r="CS490" s="93"/>
      <c r="CT490" s="93"/>
      <c r="CU490" s="93"/>
      <c r="CV490" s="93"/>
      <c r="CW490" s="93"/>
      <c r="CX490" s="93"/>
      <c r="CY490" s="93"/>
      <c r="CZ490" s="93"/>
      <c r="DA490" s="93"/>
      <c r="DB490" s="93"/>
      <c r="DC490" s="93"/>
      <c r="DD490" s="93"/>
      <c r="DE490" s="93"/>
      <c r="DF490" s="93"/>
      <c r="DG490" s="93"/>
      <c r="DH490" s="93"/>
      <c r="DI490" s="93"/>
      <c r="DJ490" s="93"/>
      <c r="DK490" s="93"/>
      <c r="DL490" s="93"/>
      <c r="DM490" s="93"/>
      <c r="DN490" s="93"/>
      <c r="DO490" s="93"/>
    </row>
    <row r="491" spans="1:198" ht="15">
      <c r="A491" s="19" t="s">
        <v>7421</v>
      </c>
      <c r="C491" s="807"/>
      <c r="D491" s="1065" t="s">
        <v>366</v>
      </c>
      <c r="E491" s="1041" t="s">
        <v>366</v>
      </c>
      <c r="F491" s="807"/>
      <c r="G491" s="827"/>
      <c r="H491" s="809" t="s">
        <v>1974</v>
      </c>
      <c r="I491" s="92">
        <v>49</v>
      </c>
      <c r="J491" s="92" t="s">
        <v>18</v>
      </c>
      <c r="K491" s="92" t="s">
        <v>707</v>
      </c>
      <c r="L491" s="810">
        <v>7</v>
      </c>
      <c r="M491" s="811" t="str">
        <f t="shared" si="34"/>
        <v>College Graduate or Higher</v>
      </c>
      <c r="N491" s="92" t="s">
        <v>1208</v>
      </c>
      <c r="O491" s="812" t="s">
        <v>8848</v>
      </c>
      <c r="P491" s="1638"/>
      <c r="Q491" s="812" t="s">
        <v>8848</v>
      </c>
      <c r="S491" s="848">
        <v>4500</v>
      </c>
      <c r="V491" s="828"/>
      <c r="W491" s="815">
        <v>2</v>
      </c>
      <c r="X491" s="811" t="str">
        <f t="shared" si="33"/>
        <v>within the Municipality/City</v>
      </c>
      <c r="AB491" s="828"/>
      <c r="AC491" s="809"/>
      <c r="AD491" s="824"/>
      <c r="AG491" s="807" t="str">
        <f t="shared" si="35"/>
        <v/>
      </c>
      <c r="AH491" s="807"/>
      <c r="AI491" s="807"/>
      <c r="AJ491" s="807"/>
      <c r="AK491" s="92"/>
      <c r="AM491" s="819"/>
      <c r="AN491" s="820"/>
      <c r="AQ491" s="93"/>
      <c r="AR491" s="93"/>
      <c r="AS491" s="93"/>
      <c r="AT491" s="93"/>
      <c r="AU491" s="93"/>
      <c r="AV491" s="93"/>
      <c r="AW491" s="93"/>
      <c r="AX491" s="93"/>
      <c r="AY491" s="93"/>
      <c r="AZ491" s="93"/>
      <c r="BA491" s="93"/>
      <c r="BB491" s="93"/>
      <c r="BL491" s="93"/>
      <c r="BM491" s="93"/>
      <c r="BT491" s="93"/>
      <c r="BU491" s="93"/>
      <c r="BV491" s="93"/>
      <c r="BW491" s="93"/>
      <c r="BX491" s="93"/>
      <c r="BY491" s="93"/>
      <c r="BZ491" s="93"/>
      <c r="CA491" s="93"/>
      <c r="CB491" s="93"/>
      <c r="CC491" s="93"/>
      <c r="CF491" s="93"/>
      <c r="CG491" s="93"/>
      <c r="CH491" s="93"/>
      <c r="CI491" s="93"/>
      <c r="CJ491" s="93"/>
      <c r="CK491" s="93"/>
      <c r="CL491" s="93"/>
      <c r="CM491" s="93"/>
      <c r="CN491" s="93"/>
      <c r="CO491" s="93"/>
      <c r="CP491" s="93"/>
      <c r="CQ491" s="93"/>
      <c r="CR491" s="93"/>
      <c r="CS491" s="93" t="s">
        <v>2144</v>
      </c>
      <c r="CT491" s="93"/>
      <c r="CU491" s="93"/>
      <c r="CV491" s="93"/>
      <c r="CW491" s="93"/>
      <c r="CX491" s="93"/>
      <c r="CY491" s="93"/>
      <c r="CZ491" s="93"/>
      <c r="DA491" s="93"/>
      <c r="DB491" s="93"/>
      <c r="DC491" s="93"/>
      <c r="DD491" s="93"/>
      <c r="DE491" s="93"/>
      <c r="DF491" s="93"/>
      <c r="DG491" s="93"/>
      <c r="DH491" s="93"/>
      <c r="DI491" s="93"/>
      <c r="DJ491" s="93"/>
      <c r="DK491" s="93"/>
      <c r="DL491" s="93"/>
      <c r="DM491" s="93"/>
      <c r="DN491" s="93"/>
      <c r="DO491" s="93"/>
    </row>
    <row r="492" spans="1:198" ht="15">
      <c r="A492" s="19" t="s">
        <v>7421</v>
      </c>
      <c r="C492" s="807"/>
      <c r="D492" s="1065" t="s">
        <v>366</v>
      </c>
      <c r="E492" s="1041" t="s">
        <v>366</v>
      </c>
      <c r="F492" s="807"/>
      <c r="G492" s="827"/>
      <c r="H492" s="809" t="s">
        <v>8849</v>
      </c>
      <c r="I492" s="92">
        <v>11</v>
      </c>
      <c r="J492" s="92" t="s">
        <v>10</v>
      </c>
      <c r="K492" s="92" t="s">
        <v>768</v>
      </c>
      <c r="L492" s="810">
        <v>2</v>
      </c>
      <c r="M492" s="811" t="str">
        <f t="shared" si="34"/>
        <v>Elementary Level</v>
      </c>
      <c r="P492" s="1638"/>
      <c r="S492" s="848"/>
      <c r="V492" s="828"/>
      <c r="X492" s="811" t="str">
        <f t="shared" si="33"/>
        <v/>
      </c>
      <c r="AB492" s="828"/>
      <c r="AC492" s="809"/>
      <c r="AD492" s="824"/>
      <c r="AG492" s="807" t="str">
        <f t="shared" si="35"/>
        <v/>
      </c>
      <c r="AH492" s="807"/>
      <c r="AI492" s="807"/>
      <c r="AJ492" s="807"/>
      <c r="AK492" s="92"/>
      <c r="AM492" s="819"/>
      <c r="AN492" s="820"/>
      <c r="AQ492" s="93"/>
      <c r="AR492" s="93"/>
      <c r="AS492" s="93"/>
      <c r="AT492" s="93"/>
      <c r="AU492" s="93"/>
      <c r="AV492" s="93"/>
      <c r="AW492" s="93"/>
      <c r="AX492" s="93"/>
      <c r="AY492" s="93"/>
      <c r="AZ492" s="93"/>
      <c r="BA492" s="93"/>
      <c r="BB492" s="93"/>
      <c r="BL492" s="93"/>
      <c r="BM492" s="93"/>
      <c r="BT492" s="93"/>
      <c r="BU492" s="93"/>
      <c r="BV492" s="93"/>
      <c r="BW492" s="93"/>
      <c r="BX492" s="93"/>
      <c r="BY492" s="93"/>
      <c r="BZ492" s="93"/>
      <c r="CA492" s="93"/>
      <c r="CB492" s="93"/>
      <c r="CC492" s="93"/>
      <c r="CF492" s="93"/>
      <c r="CG492" s="93"/>
      <c r="CH492" s="93"/>
      <c r="CI492" s="93"/>
      <c r="CJ492" s="93"/>
      <c r="CK492" s="93"/>
      <c r="CL492" s="93"/>
      <c r="CM492" s="93"/>
      <c r="CN492" s="93"/>
      <c r="CO492" s="93"/>
      <c r="CP492" s="93"/>
      <c r="CQ492" s="93"/>
      <c r="CR492" s="93"/>
      <c r="CS492" s="93"/>
      <c r="CT492" s="93"/>
      <c r="CU492" s="93"/>
      <c r="CV492" s="93"/>
      <c r="CW492" s="93"/>
      <c r="CX492" s="93"/>
      <c r="CY492" s="93"/>
      <c r="CZ492" s="93"/>
      <c r="DA492" s="93"/>
      <c r="DB492" s="93"/>
      <c r="DC492" s="93"/>
      <c r="DD492" s="93"/>
      <c r="DE492" s="93"/>
      <c r="DF492" s="93"/>
      <c r="DG492" s="93"/>
      <c r="DH492" s="93"/>
      <c r="DI492" s="93"/>
      <c r="DJ492" s="93"/>
      <c r="DK492" s="93"/>
      <c r="DL492" s="93"/>
      <c r="DM492" s="93"/>
      <c r="DN492" s="93"/>
      <c r="DO492" s="93"/>
    </row>
    <row r="493" spans="1:198" ht="15">
      <c r="A493" s="19" t="s">
        <v>7421</v>
      </c>
      <c r="C493" s="807"/>
      <c r="D493" s="1065" t="s">
        <v>366</v>
      </c>
      <c r="E493" s="1041" t="s">
        <v>366</v>
      </c>
      <c r="F493" s="807"/>
      <c r="G493" s="827"/>
      <c r="H493" s="809" t="s">
        <v>8850</v>
      </c>
      <c r="I493" s="92">
        <v>9</v>
      </c>
      <c r="J493" s="92" t="s">
        <v>10</v>
      </c>
      <c r="K493" s="92" t="s">
        <v>768</v>
      </c>
      <c r="L493" s="810">
        <v>2</v>
      </c>
      <c r="M493" s="811" t="str">
        <f t="shared" si="34"/>
        <v>Elementary Level</v>
      </c>
      <c r="P493" s="1638"/>
      <c r="S493" s="848"/>
      <c r="T493" s="820"/>
      <c r="U493" s="820"/>
      <c r="V493" s="828">
        <f>SUM(S490:U493)</f>
        <v>15500</v>
      </c>
      <c r="X493" s="811" t="str">
        <f t="shared" si="33"/>
        <v/>
      </c>
      <c r="AB493" s="828">
        <f>SUM(Y490:AA493)</f>
        <v>0</v>
      </c>
      <c r="AC493" s="809"/>
      <c r="AD493" s="824"/>
      <c r="AG493" s="807" t="str">
        <f t="shared" si="35"/>
        <v/>
      </c>
      <c r="AI493" s="817"/>
      <c r="AJ493" s="817"/>
      <c r="AK493" s="92"/>
      <c r="AM493" s="819"/>
      <c r="AN493" s="820"/>
      <c r="AQ493" s="93"/>
      <c r="AR493" s="93"/>
      <c r="AS493" s="93"/>
      <c r="AT493" s="93"/>
      <c r="AU493" s="93"/>
      <c r="AV493" s="93"/>
      <c r="AW493" s="93"/>
      <c r="AX493" s="93"/>
      <c r="AY493" s="93"/>
      <c r="AZ493" s="93"/>
      <c r="BA493" s="93"/>
      <c r="BB493" s="93"/>
      <c r="BL493" s="93"/>
      <c r="BM493" s="93"/>
      <c r="BT493" s="93"/>
      <c r="BU493" s="93"/>
      <c r="BV493" s="93"/>
      <c r="BW493" s="93"/>
      <c r="BX493" s="93"/>
      <c r="BY493" s="93"/>
      <c r="BZ493" s="93"/>
      <c r="CA493" s="93"/>
      <c r="CB493" s="93"/>
      <c r="CC493" s="93"/>
      <c r="CF493" s="93"/>
      <c r="CG493" s="93"/>
      <c r="CH493" s="93"/>
      <c r="CI493" s="93"/>
      <c r="CJ493" s="93"/>
      <c r="CK493" s="93"/>
      <c r="CL493" s="93"/>
      <c r="CM493" s="93"/>
      <c r="CN493" s="93"/>
      <c r="CO493" s="93"/>
      <c r="CP493" s="93"/>
      <c r="CQ493" s="93"/>
      <c r="CR493" s="93"/>
      <c r="CS493" s="93"/>
      <c r="CT493" s="93"/>
      <c r="CU493" s="93"/>
      <c r="CV493" s="93"/>
      <c r="CW493" s="93"/>
      <c r="CX493" s="93"/>
      <c r="CY493" s="93"/>
      <c r="CZ493" s="93"/>
      <c r="DA493" s="93"/>
      <c r="DB493" s="93"/>
      <c r="DC493" s="93"/>
      <c r="DD493" s="93"/>
      <c r="DE493" s="93"/>
      <c r="DF493" s="93"/>
      <c r="DG493" s="93"/>
      <c r="DH493" s="93"/>
      <c r="DI493" s="93"/>
      <c r="DJ493" s="93"/>
      <c r="DK493" s="93"/>
      <c r="DL493" s="93"/>
      <c r="DM493" s="93"/>
      <c r="DN493" s="93"/>
      <c r="DO493" s="93"/>
    </row>
    <row r="494" spans="1:198" s="875" customFormat="1" ht="15">
      <c r="A494" s="19" t="s">
        <v>7421</v>
      </c>
      <c r="B494" s="292" t="s">
        <v>7588</v>
      </c>
      <c r="C494" s="171" t="s">
        <v>369</v>
      </c>
      <c r="D494" s="1066" t="s">
        <v>369</v>
      </c>
      <c r="E494" s="1041" t="s">
        <v>369</v>
      </c>
      <c r="F494" s="1047" t="s">
        <v>2081</v>
      </c>
      <c r="G494" s="846" t="s">
        <v>369</v>
      </c>
      <c r="H494" s="809" t="s">
        <v>2081</v>
      </c>
      <c r="I494" s="92">
        <v>63</v>
      </c>
      <c r="J494" s="92" t="s">
        <v>10</v>
      </c>
      <c r="K494" s="92" t="s">
        <v>707</v>
      </c>
      <c r="L494" s="810">
        <v>3</v>
      </c>
      <c r="M494" s="811" t="str">
        <f t="shared" si="34"/>
        <v>Elementary Graduate</v>
      </c>
      <c r="N494" s="92" t="s">
        <v>1208</v>
      </c>
      <c r="O494" s="843" t="s">
        <v>8851</v>
      </c>
      <c r="P494" s="1638" t="s">
        <v>12606</v>
      </c>
      <c r="Q494" s="843" t="s">
        <v>8851</v>
      </c>
      <c r="R494" s="92" t="s">
        <v>8234</v>
      </c>
      <c r="S494" s="848"/>
      <c r="T494" s="820"/>
      <c r="U494" s="820">
        <v>8000</v>
      </c>
      <c r="V494" s="915"/>
      <c r="W494" s="815">
        <v>2</v>
      </c>
      <c r="X494" s="811" t="str">
        <f t="shared" si="33"/>
        <v>within the Municipality/City</v>
      </c>
      <c r="Y494" s="64"/>
      <c r="Z494" s="816"/>
      <c r="AA494" s="64"/>
      <c r="AB494" s="915"/>
      <c r="AC494" s="809"/>
      <c r="AD494" s="817" t="s">
        <v>8852</v>
      </c>
      <c r="AE494" s="6"/>
      <c r="AF494" s="818"/>
      <c r="AG494" s="807" t="str">
        <f t="shared" si="35"/>
        <v/>
      </c>
      <c r="AH494" s="853"/>
      <c r="AI494" s="853"/>
      <c r="AJ494" s="853"/>
      <c r="AK494" s="843"/>
      <c r="AL494" s="843"/>
      <c r="AM494" s="844"/>
      <c r="AN494" s="845"/>
      <c r="AO494" s="853"/>
      <c r="AP494" s="845"/>
      <c r="AQ494" s="6"/>
      <c r="AR494" s="6" t="s">
        <v>2144</v>
      </c>
      <c r="AS494" s="6"/>
      <c r="AT494" s="6"/>
      <c r="AU494" s="6"/>
      <c r="AV494" s="6"/>
      <c r="AW494" s="6"/>
      <c r="AX494" s="6"/>
      <c r="AY494" s="6"/>
      <c r="AZ494" s="6"/>
      <c r="BA494" s="6"/>
      <c r="BB494" s="6"/>
      <c r="BC494" s="6"/>
      <c r="BD494" s="6">
        <v>1</v>
      </c>
      <c r="BE494" s="6"/>
      <c r="BF494" s="6"/>
      <c r="BG494" s="6"/>
      <c r="BH494" s="6"/>
      <c r="BI494" s="6"/>
      <c r="BJ494" s="6"/>
      <c r="BK494" s="6"/>
      <c r="BL494" s="6"/>
      <c r="BM494" s="6"/>
      <c r="BN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GO494" s="843"/>
      <c r="GP494" s="115"/>
    </row>
    <row r="495" spans="1:198" ht="15">
      <c r="A495" s="19" t="s">
        <v>7421</v>
      </c>
      <c r="C495" s="807"/>
      <c r="D495" s="1066" t="s">
        <v>369</v>
      </c>
      <c r="E495" s="1041" t="s">
        <v>369</v>
      </c>
      <c r="F495" s="807"/>
      <c r="G495" s="827"/>
      <c r="H495" s="846" t="s">
        <v>8853</v>
      </c>
      <c r="I495" s="843">
        <v>28</v>
      </c>
      <c r="J495" s="843" t="s">
        <v>10</v>
      </c>
      <c r="K495" s="843" t="s">
        <v>707</v>
      </c>
      <c r="L495" s="810">
        <v>5</v>
      </c>
      <c r="M495" s="811" t="str">
        <f t="shared" si="34"/>
        <v>High School Graduate</v>
      </c>
      <c r="N495" s="843"/>
      <c r="P495" s="1638"/>
      <c r="S495" s="854"/>
      <c r="T495" s="845"/>
      <c r="U495" s="845"/>
      <c r="V495" s="830"/>
      <c r="X495" s="811" t="str">
        <f t="shared" si="33"/>
        <v/>
      </c>
      <c r="AB495" s="830"/>
      <c r="AC495" s="846"/>
      <c r="AD495" s="824"/>
      <c r="AG495" s="807" t="str">
        <f t="shared" si="35"/>
        <v/>
      </c>
      <c r="AH495" s="807"/>
      <c r="AI495" s="807"/>
      <c r="AJ495" s="807"/>
      <c r="AK495" s="92"/>
      <c r="AM495" s="819"/>
      <c r="AN495" s="820"/>
      <c r="AQ495" s="93"/>
      <c r="AR495" s="93"/>
      <c r="AS495" s="93"/>
      <c r="AT495" s="93"/>
      <c r="AU495" s="93"/>
      <c r="AV495" s="93"/>
      <c r="AW495" s="93"/>
      <c r="AX495" s="93"/>
      <c r="AY495" s="93"/>
      <c r="AZ495" s="93"/>
      <c r="BA495" s="93"/>
      <c r="BB495" s="93"/>
      <c r="BL495" s="93"/>
      <c r="BM495" s="93"/>
      <c r="BT495" s="93"/>
      <c r="BU495" s="93"/>
      <c r="BV495" s="93"/>
      <c r="BW495" s="93"/>
      <c r="BX495" s="93"/>
      <c r="BY495" s="93"/>
      <c r="BZ495" s="93"/>
      <c r="CA495" s="93"/>
      <c r="CB495" s="93"/>
      <c r="CC495" s="93"/>
      <c r="CF495" s="93"/>
      <c r="CG495" s="93"/>
      <c r="CH495" s="93"/>
      <c r="CI495" s="93"/>
      <c r="CJ495" s="93"/>
      <c r="CK495" s="93"/>
      <c r="CL495" s="93"/>
      <c r="CM495" s="93"/>
      <c r="CN495" s="93"/>
      <c r="CO495" s="93"/>
      <c r="CP495" s="93"/>
      <c r="CQ495" s="93"/>
      <c r="CR495" s="93"/>
      <c r="CS495" s="93"/>
      <c r="CT495" s="93"/>
      <c r="CU495" s="93"/>
      <c r="CV495" s="93"/>
      <c r="CW495" s="93"/>
      <c r="CX495" s="93"/>
      <c r="CY495" s="93"/>
      <c r="CZ495" s="93"/>
      <c r="DA495" s="93"/>
      <c r="DB495" s="93"/>
      <c r="DC495" s="93"/>
      <c r="DD495" s="93"/>
      <c r="DE495" s="93"/>
      <c r="DF495" s="93"/>
      <c r="DG495" s="93"/>
      <c r="DH495" s="93"/>
      <c r="DI495" s="93"/>
      <c r="DJ495" s="93"/>
      <c r="DK495" s="93"/>
      <c r="DL495" s="93"/>
      <c r="DM495" s="93"/>
      <c r="DN495" s="93"/>
      <c r="DO495" s="93"/>
    </row>
    <row r="496" spans="1:198" ht="15">
      <c r="A496" s="19" t="s">
        <v>7421</v>
      </c>
      <c r="C496" s="807"/>
      <c r="D496" s="1066" t="s">
        <v>369</v>
      </c>
      <c r="E496" s="1041" t="s">
        <v>369</v>
      </c>
      <c r="F496" s="807"/>
      <c r="G496" s="827"/>
      <c r="H496" s="809" t="s">
        <v>8854</v>
      </c>
      <c r="I496" s="92">
        <v>35</v>
      </c>
      <c r="J496" s="92" t="s">
        <v>18</v>
      </c>
      <c r="K496" s="92" t="s">
        <v>707</v>
      </c>
      <c r="L496" s="810">
        <v>5</v>
      </c>
      <c r="M496" s="811" t="str">
        <f t="shared" si="34"/>
        <v>High School Graduate</v>
      </c>
      <c r="O496" s="92"/>
      <c r="P496" s="1638"/>
      <c r="Q496" s="92"/>
      <c r="R496" s="92"/>
      <c r="S496" s="848"/>
      <c r="T496" s="820"/>
      <c r="V496" s="830"/>
      <c r="X496" s="811" t="str">
        <f t="shared" si="33"/>
        <v/>
      </c>
      <c r="AB496" s="830"/>
      <c r="AC496" s="809"/>
      <c r="AD496" s="824"/>
      <c r="AG496" s="807" t="str">
        <f t="shared" si="35"/>
        <v/>
      </c>
      <c r="AI496" s="817"/>
      <c r="AJ496" s="817"/>
      <c r="AK496" s="92"/>
      <c r="AM496" s="819"/>
      <c r="AN496" s="820"/>
      <c r="AQ496" s="93"/>
      <c r="AR496" s="93"/>
      <c r="AS496" s="93"/>
      <c r="AT496" s="93"/>
      <c r="AU496" s="93"/>
      <c r="AV496" s="93"/>
      <c r="AW496" s="93"/>
      <c r="AX496" s="93"/>
      <c r="AY496" s="93"/>
      <c r="AZ496" s="93"/>
      <c r="BA496" s="93"/>
      <c r="BB496" s="93"/>
      <c r="BL496" s="93"/>
      <c r="BM496" s="93"/>
      <c r="BT496" s="93"/>
      <c r="BU496" s="93"/>
      <c r="BV496" s="93"/>
      <c r="BW496" s="93"/>
      <c r="BX496" s="93"/>
      <c r="BY496" s="93"/>
      <c r="BZ496" s="93"/>
      <c r="CA496" s="93"/>
      <c r="CB496" s="93"/>
      <c r="CC496" s="93"/>
      <c r="CF496" s="93"/>
      <c r="CG496" s="93"/>
      <c r="CH496" s="93"/>
      <c r="CI496" s="93"/>
      <c r="CJ496" s="93"/>
      <c r="CK496" s="93"/>
      <c r="CL496" s="93"/>
      <c r="CM496" s="93"/>
      <c r="CN496" s="93"/>
      <c r="CO496" s="93"/>
      <c r="CP496" s="93"/>
      <c r="CQ496" s="93"/>
      <c r="CR496" s="93"/>
      <c r="CS496" s="93"/>
      <c r="CT496" s="93"/>
      <c r="CU496" s="93"/>
      <c r="CV496" s="93"/>
      <c r="CW496" s="93"/>
      <c r="CX496" s="93"/>
      <c r="CY496" s="93"/>
      <c r="CZ496" s="93"/>
      <c r="DA496" s="93"/>
      <c r="DB496" s="93"/>
      <c r="DC496" s="93"/>
      <c r="DD496" s="93"/>
      <c r="DE496" s="93"/>
      <c r="DF496" s="93"/>
      <c r="DG496" s="93"/>
      <c r="DH496" s="93"/>
      <c r="DI496" s="93"/>
      <c r="DJ496" s="93"/>
      <c r="DK496" s="93"/>
      <c r="DL496" s="93"/>
      <c r="DM496" s="93"/>
      <c r="DN496" s="93"/>
      <c r="DO496" s="93"/>
    </row>
    <row r="497" spans="1:119" ht="15">
      <c r="A497" s="19" t="s">
        <v>7421</v>
      </c>
      <c r="C497" s="807"/>
      <c r="D497" s="1066" t="s">
        <v>369</v>
      </c>
      <c r="E497" s="1041" t="s">
        <v>369</v>
      </c>
      <c r="F497" s="807"/>
      <c r="G497" s="827"/>
      <c r="H497" s="809" t="s">
        <v>8855</v>
      </c>
      <c r="I497" s="92">
        <v>2</v>
      </c>
      <c r="J497" s="92" t="s">
        <v>10</v>
      </c>
      <c r="K497" s="92" t="s">
        <v>768</v>
      </c>
      <c r="L497" s="810">
        <v>10</v>
      </c>
      <c r="M497" s="811" t="str">
        <f t="shared" si="34"/>
        <v>Not In School Age</v>
      </c>
      <c r="P497" s="1638"/>
      <c r="S497" s="848"/>
      <c r="T497" s="820"/>
      <c r="U497" s="820"/>
      <c r="V497" s="830"/>
      <c r="X497" s="811" t="str">
        <f t="shared" si="33"/>
        <v/>
      </c>
      <c r="AB497" s="830"/>
      <c r="AC497" s="809"/>
      <c r="AD497" s="824"/>
      <c r="AG497" s="807" t="str">
        <f t="shared" si="35"/>
        <v/>
      </c>
      <c r="AI497" s="817"/>
      <c r="AJ497" s="817"/>
      <c r="AK497" s="92"/>
      <c r="AM497" s="819"/>
      <c r="AN497" s="820"/>
      <c r="AQ497" s="93"/>
      <c r="AR497" s="93"/>
      <c r="AS497" s="93"/>
      <c r="AT497" s="93"/>
      <c r="AU497" s="93"/>
      <c r="AV497" s="93"/>
      <c r="AW497" s="93"/>
      <c r="AX497" s="93"/>
      <c r="AY497" s="93"/>
      <c r="AZ497" s="93"/>
      <c r="BA497" s="93"/>
      <c r="BB497" s="93"/>
      <c r="BL497" s="93"/>
      <c r="BM497" s="93"/>
      <c r="BT497" s="93"/>
      <c r="BU497" s="93"/>
      <c r="BV497" s="93"/>
      <c r="BW497" s="93"/>
      <c r="BX497" s="93"/>
      <c r="BY497" s="93"/>
      <c r="BZ497" s="93"/>
      <c r="CA497" s="93"/>
      <c r="CB497" s="93"/>
      <c r="CC497" s="93"/>
      <c r="CF497" s="93"/>
      <c r="CG497" s="93"/>
      <c r="CH497" s="93"/>
      <c r="CI497" s="93"/>
      <c r="CJ497" s="93"/>
      <c r="CK497" s="93"/>
      <c r="CL497" s="93"/>
      <c r="CM497" s="93"/>
      <c r="CN497" s="93"/>
      <c r="CO497" s="93"/>
      <c r="CP497" s="93"/>
      <c r="CQ497" s="93"/>
      <c r="CR497" s="93"/>
      <c r="CS497" s="93"/>
      <c r="CT497" s="93"/>
      <c r="CU497" s="93"/>
      <c r="CV497" s="93"/>
      <c r="CW497" s="93"/>
      <c r="CX497" s="93"/>
      <c r="CY497" s="93"/>
      <c r="CZ497" s="93"/>
      <c r="DA497" s="93"/>
      <c r="DB497" s="93"/>
      <c r="DC497" s="93"/>
      <c r="DD497" s="93"/>
      <c r="DE497" s="93"/>
      <c r="DF497" s="93"/>
      <c r="DG497" s="93"/>
      <c r="DH497" s="93"/>
      <c r="DI497" s="93"/>
      <c r="DJ497" s="93"/>
      <c r="DK497" s="93"/>
      <c r="DL497" s="93"/>
      <c r="DM497" s="93"/>
      <c r="DN497" s="93"/>
      <c r="DO497" s="93"/>
    </row>
    <row r="498" spans="1:119" ht="15">
      <c r="A498" s="19" t="s">
        <v>7421</v>
      </c>
      <c r="C498" s="807"/>
      <c r="D498" s="1066" t="s">
        <v>369</v>
      </c>
      <c r="E498" s="1041" t="s">
        <v>369</v>
      </c>
      <c r="F498" s="807"/>
      <c r="G498" s="827"/>
      <c r="H498" s="809" t="s">
        <v>8856</v>
      </c>
      <c r="I498" s="92">
        <v>3</v>
      </c>
      <c r="J498" s="92" t="s">
        <v>18</v>
      </c>
      <c r="K498" s="92" t="s">
        <v>768</v>
      </c>
      <c r="L498" s="810">
        <v>10</v>
      </c>
      <c r="M498" s="811" t="str">
        <f t="shared" si="34"/>
        <v>Not In School Age</v>
      </c>
      <c r="P498" s="1638"/>
      <c r="S498" s="848"/>
      <c r="T498" s="820"/>
      <c r="U498" s="820"/>
      <c r="V498" s="830">
        <f>SUM(S494:U498)</f>
        <v>8000</v>
      </c>
      <c r="X498" s="811" t="str">
        <f t="shared" si="33"/>
        <v/>
      </c>
      <c r="AB498" s="830">
        <f>SUM(Y494:AA498)</f>
        <v>0</v>
      </c>
      <c r="AC498" s="809"/>
      <c r="AD498" s="824"/>
      <c r="AG498" s="807" t="str">
        <f t="shared" si="35"/>
        <v/>
      </c>
      <c r="AI498" s="817"/>
      <c r="AJ498" s="817"/>
      <c r="AK498" s="92"/>
      <c r="AM498" s="819"/>
      <c r="AN498" s="820"/>
      <c r="AQ498" s="93"/>
      <c r="AR498" s="93"/>
      <c r="AS498" s="93"/>
      <c r="AT498" s="93"/>
      <c r="AU498" s="93"/>
      <c r="AV498" s="93"/>
      <c r="AW498" s="93"/>
      <c r="AX498" s="93"/>
      <c r="AY498" s="93"/>
      <c r="AZ498" s="93"/>
      <c r="BA498" s="93"/>
      <c r="BB498" s="93"/>
      <c r="BL498" s="93"/>
      <c r="BM498" s="93"/>
      <c r="BT498" s="93"/>
      <c r="BU498" s="93"/>
      <c r="BV498" s="93"/>
      <c r="BW498" s="93"/>
      <c r="BX498" s="93"/>
      <c r="BY498" s="93"/>
      <c r="BZ498" s="93"/>
      <c r="CA498" s="93"/>
      <c r="CB498" s="93"/>
      <c r="CC498" s="93"/>
      <c r="CF498" s="93"/>
      <c r="CG498" s="93"/>
      <c r="CH498" s="93"/>
      <c r="CI498" s="93"/>
      <c r="CJ498" s="93"/>
      <c r="CK498" s="93"/>
      <c r="CL498" s="93"/>
      <c r="CM498" s="93"/>
      <c r="CN498" s="93"/>
      <c r="CO498" s="93"/>
      <c r="CP498" s="93"/>
      <c r="CQ498" s="93"/>
      <c r="CR498" s="93"/>
      <c r="CS498" s="93"/>
      <c r="CT498" s="93"/>
      <c r="CU498" s="93"/>
      <c r="CV498" s="93"/>
      <c r="CW498" s="93"/>
      <c r="CX498" s="93"/>
      <c r="CY498" s="93"/>
      <c r="CZ498" s="93"/>
      <c r="DA498" s="93"/>
      <c r="DB498" s="93"/>
      <c r="DC498" s="93"/>
      <c r="DD498" s="93"/>
      <c r="DE498" s="93"/>
      <c r="DF498" s="93"/>
      <c r="DG498" s="93"/>
      <c r="DH498" s="93"/>
      <c r="DI498" s="93"/>
      <c r="DJ498" s="93"/>
      <c r="DK498" s="93"/>
      <c r="DL498" s="93"/>
      <c r="DM498" s="93"/>
      <c r="DN498" s="93"/>
      <c r="DO498" s="93"/>
    </row>
    <row r="499" spans="1:119" ht="15">
      <c r="A499" s="343" t="s">
        <v>12449</v>
      </c>
      <c r="B499" s="1093" t="s">
        <v>12092</v>
      </c>
      <c r="C499" s="171" t="s">
        <v>11848</v>
      </c>
      <c r="D499" s="1065" t="s">
        <v>11848</v>
      </c>
      <c r="E499" s="1041"/>
      <c r="F499" s="807"/>
      <c r="G499" s="807" t="s">
        <v>11848</v>
      </c>
      <c r="H499" s="809" t="s">
        <v>12195</v>
      </c>
      <c r="I499" s="92">
        <v>42</v>
      </c>
      <c r="J499" s="92" t="s">
        <v>10</v>
      </c>
      <c r="K499" s="92" t="s">
        <v>707</v>
      </c>
      <c r="L499" s="810">
        <v>7</v>
      </c>
      <c r="M499" s="811" t="str">
        <f t="shared" si="34"/>
        <v>College Graduate or Higher</v>
      </c>
      <c r="N499" s="92" t="s">
        <v>1208</v>
      </c>
      <c r="O499" s="812" t="s">
        <v>12202</v>
      </c>
      <c r="P499" s="1638" t="s">
        <v>12621</v>
      </c>
      <c r="Q499" s="812" t="s">
        <v>12202</v>
      </c>
      <c r="R499" s="812" t="s">
        <v>28</v>
      </c>
      <c r="S499" s="848">
        <v>9300</v>
      </c>
      <c r="T499" s="807"/>
      <c r="U499" s="820"/>
      <c r="V499" s="873"/>
      <c r="W499" s="815">
        <v>1</v>
      </c>
      <c r="X499" s="811" t="str">
        <f t="shared" si="33"/>
        <v>within the Brgy</v>
      </c>
      <c r="AB499" s="873"/>
      <c r="AC499" s="809"/>
      <c r="AD499" s="824"/>
      <c r="AG499" s="807"/>
      <c r="AI499" s="817"/>
      <c r="AJ499" s="817"/>
      <c r="AK499" s="92"/>
      <c r="AM499" s="819"/>
      <c r="AN499" s="820"/>
      <c r="AQ499" s="93"/>
      <c r="AR499" s="93"/>
      <c r="AS499" s="93"/>
      <c r="AT499" s="93"/>
      <c r="AU499" s="93"/>
      <c r="AV499" s="93"/>
      <c r="AW499" s="93"/>
      <c r="AX499" s="93"/>
      <c r="AY499" s="93"/>
      <c r="AZ499" s="93"/>
      <c r="BA499" s="93"/>
      <c r="BB499" s="93"/>
      <c r="BL499" s="93"/>
      <c r="BM499" s="93"/>
      <c r="BT499" s="93"/>
      <c r="BU499" s="93"/>
      <c r="BV499" s="93"/>
      <c r="BW499" s="93"/>
      <c r="BX499" s="93"/>
      <c r="BY499" s="93"/>
      <c r="BZ499" s="93"/>
      <c r="CA499" s="93"/>
      <c r="CB499" s="93"/>
      <c r="CC499" s="93"/>
      <c r="CF499" s="93"/>
      <c r="CG499" s="93"/>
      <c r="CH499" s="93"/>
      <c r="CI499" s="93"/>
      <c r="CJ499" s="93"/>
      <c r="CK499" s="93"/>
      <c r="CL499" s="93"/>
      <c r="CM499" s="93"/>
      <c r="CN499" s="93"/>
      <c r="CO499" s="93"/>
      <c r="CP499" s="93"/>
      <c r="CQ499" s="93"/>
      <c r="CR499" s="93"/>
      <c r="CS499" s="93"/>
      <c r="CT499" s="93"/>
      <c r="CU499" s="93"/>
      <c r="CV499" s="93"/>
      <c r="CW499" s="93"/>
      <c r="CX499" s="93"/>
      <c r="CY499" s="93"/>
      <c r="CZ499" s="93"/>
      <c r="DA499" s="93"/>
      <c r="DB499" s="93"/>
      <c r="DC499" s="93"/>
      <c r="DD499" s="93"/>
      <c r="DE499" s="93"/>
      <c r="DF499" s="93"/>
      <c r="DG499" s="93"/>
      <c r="DH499" s="93"/>
      <c r="DI499" s="93"/>
      <c r="DJ499" s="93"/>
      <c r="DK499" s="93"/>
      <c r="DL499" s="93"/>
      <c r="DM499" s="93"/>
      <c r="DN499" s="93"/>
      <c r="DO499" s="93"/>
    </row>
    <row r="500" spans="1:119" ht="15">
      <c r="A500" s="343" t="s">
        <v>12449</v>
      </c>
      <c r="C500" s="807"/>
      <c r="D500" s="1065" t="s">
        <v>11848</v>
      </c>
      <c r="E500" s="1041"/>
      <c r="F500" s="807"/>
      <c r="G500" s="827"/>
      <c r="H500" s="809" t="s">
        <v>12144</v>
      </c>
      <c r="I500" s="92">
        <v>43</v>
      </c>
      <c r="J500" s="92" t="s">
        <v>18</v>
      </c>
      <c r="K500" s="92" t="s">
        <v>707</v>
      </c>
      <c r="L500" s="810">
        <v>7</v>
      </c>
      <c r="M500" s="811" t="str">
        <f t="shared" si="34"/>
        <v>College Graduate or Higher</v>
      </c>
      <c r="N500" s="92" t="s">
        <v>1208</v>
      </c>
      <c r="O500" s="812" t="s">
        <v>12203</v>
      </c>
      <c r="P500" s="1638"/>
      <c r="Q500" s="812" t="s">
        <v>12203</v>
      </c>
      <c r="R500" s="812" t="s">
        <v>20</v>
      </c>
      <c r="S500" s="848"/>
      <c r="T500" s="820">
        <f>20000+9000</f>
        <v>29000</v>
      </c>
      <c r="U500" s="820"/>
      <c r="V500" s="873"/>
      <c r="W500" s="815">
        <v>1</v>
      </c>
      <c r="X500" s="811" t="str">
        <f t="shared" si="33"/>
        <v>within the Brgy</v>
      </c>
      <c r="AB500" s="873"/>
      <c r="AC500" s="809"/>
      <c r="AD500" s="824"/>
      <c r="AG500" s="807"/>
      <c r="AI500" s="817"/>
      <c r="AJ500" s="817"/>
      <c r="AK500" s="92"/>
      <c r="AM500" s="819"/>
      <c r="AN500" s="820"/>
      <c r="AQ500" s="93"/>
      <c r="AR500" s="93"/>
      <c r="AS500" s="93"/>
      <c r="AT500" s="93"/>
      <c r="AU500" s="93"/>
      <c r="AV500" s="93"/>
      <c r="AW500" s="93"/>
      <c r="AX500" s="93"/>
      <c r="AY500" s="93"/>
      <c r="AZ500" s="93"/>
      <c r="BA500" s="93"/>
      <c r="BB500" s="93"/>
      <c r="BL500" s="93"/>
      <c r="BM500" s="93"/>
      <c r="BT500" s="93"/>
      <c r="BU500" s="93"/>
      <c r="BV500" s="93"/>
      <c r="BW500" s="93"/>
      <c r="BX500" s="93"/>
      <c r="BY500" s="93"/>
      <c r="BZ500" s="93"/>
      <c r="CA500" s="93"/>
      <c r="CB500" s="93"/>
      <c r="CC500" s="93"/>
      <c r="CF500" s="93"/>
      <c r="CG500" s="93"/>
      <c r="CH500" s="93"/>
      <c r="CI500" s="93"/>
      <c r="CJ500" s="93"/>
      <c r="CK500" s="93"/>
      <c r="CL500" s="93"/>
      <c r="CM500" s="93"/>
      <c r="CN500" s="93"/>
      <c r="CO500" s="93"/>
      <c r="CP500" s="93"/>
      <c r="CQ500" s="93"/>
      <c r="CR500" s="93"/>
      <c r="CS500" s="93"/>
      <c r="CT500" s="93"/>
      <c r="CU500" s="93"/>
      <c r="CV500" s="93"/>
      <c r="CW500" s="93"/>
      <c r="CX500" s="93"/>
      <c r="CY500" s="93"/>
      <c r="CZ500" s="93"/>
      <c r="DA500" s="93"/>
      <c r="DB500" s="93"/>
      <c r="DC500" s="93"/>
      <c r="DD500" s="93"/>
      <c r="DE500" s="93"/>
      <c r="DF500" s="93"/>
      <c r="DG500" s="93"/>
      <c r="DH500" s="93"/>
      <c r="DI500" s="93"/>
      <c r="DJ500" s="93"/>
      <c r="DK500" s="93"/>
      <c r="DL500" s="93"/>
      <c r="DM500" s="93"/>
      <c r="DN500" s="93"/>
      <c r="DO500" s="93"/>
    </row>
    <row r="501" spans="1:119" ht="15">
      <c r="A501" s="343" t="s">
        <v>12449</v>
      </c>
      <c r="B501" s="6"/>
      <c r="C501" s="164"/>
      <c r="D501" s="1065" t="s">
        <v>11848</v>
      </c>
      <c r="E501" s="1041"/>
      <c r="F501" s="807"/>
      <c r="G501" s="827"/>
      <c r="H501" s="809" t="s">
        <v>12200</v>
      </c>
      <c r="I501" s="92">
        <v>17</v>
      </c>
      <c r="J501" s="92" t="s">
        <v>10</v>
      </c>
      <c r="K501" s="92" t="s">
        <v>768</v>
      </c>
      <c r="L501" s="810">
        <v>4</v>
      </c>
      <c r="M501" s="811" t="str">
        <f t="shared" si="34"/>
        <v>High School Level</v>
      </c>
      <c r="P501" s="1638"/>
      <c r="S501" s="848"/>
      <c r="T501" s="820"/>
      <c r="U501" s="820"/>
      <c r="V501" s="873"/>
      <c r="X501" s="811" t="str">
        <f t="shared" si="33"/>
        <v/>
      </c>
      <c r="AB501" s="873"/>
      <c r="AC501" s="809"/>
      <c r="AD501" s="824"/>
      <c r="AG501" s="807"/>
      <c r="AI501" s="817"/>
      <c r="AJ501" s="817"/>
      <c r="AK501" s="92"/>
      <c r="AM501" s="819"/>
      <c r="AN501" s="820"/>
      <c r="AQ501" s="93"/>
      <c r="AR501" s="93"/>
      <c r="AS501" s="93"/>
      <c r="AT501" s="93"/>
      <c r="AU501" s="93"/>
      <c r="AV501" s="93"/>
      <c r="AW501" s="93"/>
      <c r="AX501" s="93"/>
      <c r="AY501" s="93"/>
      <c r="AZ501" s="93"/>
      <c r="BA501" s="93"/>
      <c r="BB501" s="93"/>
      <c r="BL501" s="93"/>
      <c r="BM501" s="93"/>
      <c r="BT501" s="93"/>
      <c r="BU501" s="93"/>
      <c r="BV501" s="93"/>
      <c r="BW501" s="93"/>
      <c r="BX501" s="93"/>
      <c r="BY501" s="93"/>
      <c r="BZ501" s="93"/>
      <c r="CA501" s="93"/>
      <c r="CB501" s="93"/>
      <c r="CC501" s="93"/>
      <c r="CF501" s="93"/>
      <c r="CG501" s="93"/>
      <c r="CH501" s="93"/>
      <c r="CI501" s="93"/>
      <c r="CJ501" s="93"/>
      <c r="CK501" s="93"/>
      <c r="CL501" s="93"/>
      <c r="CM501" s="93"/>
      <c r="CN501" s="93"/>
      <c r="CO501" s="93"/>
      <c r="CP501" s="93"/>
      <c r="CQ501" s="93"/>
      <c r="CR501" s="93"/>
      <c r="CS501" s="93"/>
      <c r="CT501" s="93"/>
      <c r="CU501" s="93"/>
      <c r="CV501" s="93"/>
      <c r="CW501" s="93"/>
      <c r="CX501" s="93"/>
      <c r="CY501" s="93"/>
      <c r="CZ501" s="93"/>
      <c r="DA501" s="93"/>
      <c r="DB501" s="93"/>
      <c r="DC501" s="93"/>
      <c r="DD501" s="93"/>
      <c r="DE501" s="93"/>
      <c r="DF501" s="93"/>
      <c r="DG501" s="93"/>
      <c r="DH501" s="93"/>
      <c r="DI501" s="93"/>
      <c r="DJ501" s="93"/>
      <c r="DK501" s="93"/>
      <c r="DL501" s="93"/>
      <c r="DM501" s="93"/>
      <c r="DN501" s="93"/>
      <c r="DO501" s="93"/>
    </row>
    <row r="502" spans="1:119" ht="15">
      <c r="A502" s="343" t="s">
        <v>12449</v>
      </c>
      <c r="B502" s="6"/>
      <c r="C502" s="6"/>
      <c r="D502" s="1065" t="s">
        <v>11848</v>
      </c>
      <c r="E502" s="1041"/>
      <c r="F502" s="807"/>
      <c r="G502" s="827"/>
      <c r="H502" s="809" t="s">
        <v>12201</v>
      </c>
      <c r="I502" s="92">
        <v>9</v>
      </c>
      <c r="J502" s="92" t="s">
        <v>18</v>
      </c>
      <c r="K502" s="92" t="s">
        <v>768</v>
      </c>
      <c r="L502" s="810">
        <v>2</v>
      </c>
      <c r="M502" s="811" t="str">
        <f t="shared" si="34"/>
        <v>Elementary Level</v>
      </c>
      <c r="P502" s="1638"/>
      <c r="S502" s="848"/>
      <c r="T502" s="820"/>
      <c r="U502" s="820"/>
      <c r="V502" s="873">
        <f>SUM(S499:U502)</f>
        <v>38300</v>
      </c>
      <c r="X502" s="811" t="str">
        <f t="shared" si="33"/>
        <v/>
      </c>
      <c r="AB502" s="873">
        <f>SUM(Y499:AA502)</f>
        <v>0</v>
      </c>
      <c r="AC502" s="809"/>
      <c r="AD502" s="824"/>
      <c r="AG502" s="807"/>
      <c r="AI502" s="817"/>
      <c r="AJ502" s="817"/>
      <c r="AK502" s="92"/>
      <c r="AM502" s="819"/>
      <c r="AN502" s="820"/>
      <c r="AQ502" s="93"/>
      <c r="AR502" s="93"/>
      <c r="AS502" s="93"/>
      <c r="AT502" s="93"/>
      <c r="AU502" s="93"/>
      <c r="AV502" s="93"/>
      <c r="AW502" s="93"/>
      <c r="AX502" s="93"/>
      <c r="AY502" s="93"/>
      <c r="AZ502" s="93"/>
      <c r="BA502" s="93"/>
      <c r="BB502" s="93"/>
      <c r="BL502" s="93"/>
      <c r="BM502" s="93"/>
      <c r="BT502" s="93"/>
      <c r="BU502" s="93"/>
      <c r="BV502" s="93"/>
      <c r="BW502" s="93"/>
      <c r="BX502" s="93"/>
      <c r="BY502" s="93"/>
      <c r="BZ502" s="93"/>
      <c r="CA502" s="93"/>
      <c r="CB502" s="93"/>
      <c r="CC502" s="93"/>
      <c r="CF502" s="93"/>
      <c r="CG502" s="93"/>
      <c r="CH502" s="93"/>
      <c r="CI502" s="93"/>
      <c r="CJ502" s="93"/>
      <c r="CK502" s="93"/>
      <c r="CL502" s="93"/>
      <c r="CM502" s="93"/>
      <c r="CN502" s="93"/>
      <c r="CO502" s="93"/>
      <c r="CP502" s="93"/>
      <c r="CQ502" s="93"/>
      <c r="CR502" s="93"/>
      <c r="CS502" s="93"/>
      <c r="CT502" s="93"/>
      <c r="CU502" s="93"/>
      <c r="CV502" s="93"/>
      <c r="CW502" s="93"/>
      <c r="CX502" s="93"/>
      <c r="CY502" s="93"/>
      <c r="CZ502" s="93"/>
      <c r="DA502" s="93"/>
      <c r="DB502" s="93"/>
      <c r="DC502" s="93"/>
      <c r="DD502" s="93"/>
      <c r="DE502" s="93"/>
      <c r="DF502" s="93"/>
      <c r="DG502" s="93"/>
      <c r="DH502" s="93"/>
      <c r="DI502" s="93"/>
      <c r="DJ502" s="93"/>
      <c r="DK502" s="93"/>
      <c r="DL502" s="93"/>
      <c r="DM502" s="93"/>
      <c r="DN502" s="93"/>
      <c r="DO502" s="93"/>
    </row>
    <row r="503" spans="1:119" ht="15">
      <c r="A503" s="343" t="s">
        <v>12449</v>
      </c>
      <c r="B503" s="1093" t="s">
        <v>12102</v>
      </c>
      <c r="C503" s="171" t="s">
        <v>11848</v>
      </c>
      <c r="D503" s="1065" t="s">
        <v>11848</v>
      </c>
      <c r="E503" s="1041"/>
      <c r="F503" s="807"/>
      <c r="G503" s="807" t="s">
        <v>11848</v>
      </c>
      <c r="H503" s="809" t="s">
        <v>12196</v>
      </c>
      <c r="I503" s="92">
        <v>39</v>
      </c>
      <c r="J503" s="92" t="s">
        <v>10</v>
      </c>
      <c r="K503" s="92" t="s">
        <v>707</v>
      </c>
      <c r="L503" s="810">
        <v>5</v>
      </c>
      <c r="M503" s="811" t="str">
        <f t="shared" si="34"/>
        <v>High School Graduate</v>
      </c>
      <c r="N503" s="92" t="s">
        <v>1208</v>
      </c>
      <c r="O503" s="812" t="s">
        <v>2214</v>
      </c>
      <c r="P503" s="1638" t="s">
        <v>12605</v>
      </c>
      <c r="Q503" s="812" t="s">
        <v>2214</v>
      </c>
      <c r="R503" s="812" t="s">
        <v>28</v>
      </c>
      <c r="S503" s="848">
        <v>9000</v>
      </c>
      <c r="T503" s="820"/>
      <c r="U503" s="820"/>
      <c r="V503" s="828"/>
      <c r="W503" s="815">
        <v>4</v>
      </c>
      <c r="X503" s="811" t="str">
        <f t="shared" si="33"/>
        <v>Other Province</v>
      </c>
      <c r="Y503" s="816">
        <f>100*26</f>
        <v>2600</v>
      </c>
      <c r="AB503" s="828"/>
      <c r="AC503" s="809"/>
      <c r="AD503" s="824"/>
      <c r="AG503" s="807"/>
      <c r="AI503" s="817"/>
      <c r="AJ503" s="817"/>
      <c r="AK503" s="92"/>
      <c r="AM503" s="819"/>
      <c r="AN503" s="820"/>
      <c r="AQ503" s="93"/>
      <c r="AR503" s="93"/>
      <c r="AS503" s="93"/>
      <c r="AT503" s="93"/>
      <c r="AU503" s="93"/>
      <c r="AV503" s="93"/>
      <c r="AW503" s="93"/>
      <c r="AX503" s="93"/>
      <c r="AY503" s="93"/>
      <c r="AZ503" s="93"/>
      <c r="BA503" s="93"/>
      <c r="BB503" s="93"/>
      <c r="BL503" s="93"/>
      <c r="BM503" s="93"/>
      <c r="BT503" s="93"/>
      <c r="BU503" s="93"/>
      <c r="BV503" s="93"/>
      <c r="BW503" s="93"/>
      <c r="BX503" s="93"/>
      <c r="BY503" s="93"/>
      <c r="BZ503" s="93"/>
      <c r="CA503" s="93"/>
      <c r="CB503" s="93"/>
      <c r="CC503" s="93"/>
      <c r="CF503" s="93"/>
      <c r="CG503" s="93"/>
      <c r="CH503" s="93"/>
      <c r="CI503" s="93"/>
      <c r="CJ503" s="93"/>
      <c r="CK503" s="93"/>
      <c r="CL503" s="93"/>
      <c r="CM503" s="93"/>
      <c r="CN503" s="93"/>
      <c r="CO503" s="93"/>
      <c r="CP503" s="93"/>
      <c r="CQ503" s="93"/>
      <c r="CR503" s="93"/>
      <c r="CS503" s="93"/>
      <c r="CT503" s="93"/>
      <c r="CU503" s="93"/>
      <c r="CV503" s="93"/>
      <c r="CW503" s="93"/>
      <c r="CX503" s="93"/>
      <c r="CY503" s="93"/>
      <c r="CZ503" s="93"/>
      <c r="DA503" s="93"/>
      <c r="DB503" s="93"/>
      <c r="DC503" s="93"/>
      <c r="DD503" s="93"/>
      <c r="DE503" s="93"/>
      <c r="DF503" s="93"/>
      <c r="DG503" s="93"/>
      <c r="DH503" s="93"/>
      <c r="DI503" s="93"/>
      <c r="DJ503" s="93"/>
      <c r="DK503" s="93"/>
      <c r="DL503" s="93"/>
      <c r="DM503" s="93"/>
      <c r="DN503" s="93"/>
      <c r="DO503" s="93"/>
    </row>
    <row r="504" spans="1:119" ht="15">
      <c r="A504" s="343" t="s">
        <v>12449</v>
      </c>
      <c r="B504" s="6"/>
      <c r="C504" s="6"/>
      <c r="D504" s="1065" t="s">
        <v>11848</v>
      </c>
      <c r="E504" s="1041"/>
      <c r="F504" s="807"/>
      <c r="G504" s="827"/>
      <c r="H504" s="809" t="s">
        <v>12204</v>
      </c>
      <c r="I504" s="92">
        <v>40</v>
      </c>
      <c r="J504" s="92" t="s">
        <v>18</v>
      </c>
      <c r="K504" s="92" t="s">
        <v>707</v>
      </c>
      <c r="L504" s="810">
        <v>6</v>
      </c>
      <c r="M504" s="811" t="str">
        <f t="shared" si="34"/>
        <v>College Level</v>
      </c>
      <c r="P504" s="1638"/>
      <c r="S504" s="848"/>
      <c r="T504" s="820"/>
      <c r="U504" s="820"/>
      <c r="V504" s="828"/>
      <c r="X504" s="811" t="str">
        <f t="shared" si="33"/>
        <v/>
      </c>
      <c r="AB504" s="828"/>
      <c r="AC504" s="809"/>
      <c r="AD504" s="824"/>
      <c r="AG504" s="807"/>
      <c r="AI504" s="817"/>
      <c r="AJ504" s="817"/>
      <c r="AK504" s="92"/>
      <c r="AM504" s="819"/>
      <c r="AN504" s="820"/>
      <c r="AQ504" s="93"/>
      <c r="AR504" s="93"/>
      <c r="AS504" s="93"/>
      <c r="AT504" s="93"/>
      <c r="AU504" s="93"/>
      <c r="AV504" s="93"/>
      <c r="AW504" s="93"/>
      <c r="AX504" s="93"/>
      <c r="AY504" s="93"/>
      <c r="AZ504" s="93"/>
      <c r="BA504" s="93"/>
      <c r="BB504" s="93"/>
      <c r="BL504" s="93"/>
      <c r="BM504" s="93"/>
      <c r="BT504" s="93"/>
      <c r="BU504" s="93"/>
      <c r="BV504" s="93"/>
      <c r="BW504" s="93"/>
      <c r="BX504" s="93"/>
      <c r="BY504" s="93"/>
      <c r="BZ504" s="93"/>
      <c r="CA504" s="93"/>
      <c r="CB504" s="93"/>
      <c r="CC504" s="93"/>
      <c r="CF504" s="93"/>
      <c r="CG504" s="93"/>
      <c r="CH504" s="93"/>
      <c r="CI504" s="93"/>
      <c r="CJ504" s="93"/>
      <c r="CK504" s="93"/>
      <c r="CL504" s="93"/>
      <c r="CM504" s="93"/>
      <c r="CN504" s="93"/>
      <c r="CO504" s="93"/>
      <c r="CP504" s="93"/>
      <c r="CQ504" s="93"/>
      <c r="CR504" s="93"/>
      <c r="CS504" s="93"/>
      <c r="CT504" s="93"/>
      <c r="CU504" s="93"/>
      <c r="CV504" s="93"/>
      <c r="CW504" s="93"/>
      <c r="CX504" s="93"/>
      <c r="CY504" s="93"/>
      <c r="CZ504" s="93"/>
      <c r="DA504" s="93"/>
      <c r="DB504" s="93"/>
      <c r="DC504" s="93"/>
      <c r="DD504" s="93"/>
      <c r="DE504" s="93"/>
      <c r="DF504" s="93"/>
      <c r="DG504" s="93"/>
      <c r="DH504" s="93"/>
      <c r="DI504" s="93"/>
      <c r="DJ504" s="93"/>
      <c r="DK504" s="93"/>
      <c r="DL504" s="93"/>
      <c r="DM504" s="93"/>
      <c r="DN504" s="93"/>
      <c r="DO504" s="93"/>
    </row>
    <row r="505" spans="1:119" ht="15">
      <c r="A505" s="343" t="s">
        <v>12449</v>
      </c>
      <c r="B505" s="6"/>
      <c r="C505" s="6"/>
      <c r="D505" s="1065" t="s">
        <v>11848</v>
      </c>
      <c r="E505" s="1041"/>
      <c r="F505" s="807"/>
      <c r="G505" s="827"/>
      <c r="H505" s="809" t="s">
        <v>12205</v>
      </c>
      <c r="I505" s="92">
        <v>12</v>
      </c>
      <c r="J505" s="92" t="s">
        <v>10</v>
      </c>
      <c r="K505" s="92" t="s">
        <v>768</v>
      </c>
      <c r="L505" s="810">
        <v>4</v>
      </c>
      <c r="M505" s="811" t="str">
        <f t="shared" si="34"/>
        <v>High School Level</v>
      </c>
      <c r="P505" s="1638"/>
      <c r="S505" s="848"/>
      <c r="T505" s="820"/>
      <c r="U505" s="820"/>
      <c r="V505" s="828"/>
      <c r="X505" s="811" t="str">
        <f t="shared" si="33"/>
        <v/>
      </c>
      <c r="AB505" s="828"/>
      <c r="AC505" s="809"/>
      <c r="AD505" s="824"/>
      <c r="AG505" s="807"/>
      <c r="AI505" s="817"/>
      <c r="AJ505" s="817"/>
      <c r="AK505" s="92"/>
      <c r="AM505" s="819"/>
      <c r="AN505" s="820"/>
      <c r="AQ505" s="93"/>
      <c r="AR505" s="93"/>
      <c r="AS505" s="93"/>
      <c r="AT505" s="93"/>
      <c r="AU505" s="93"/>
      <c r="AV505" s="93"/>
      <c r="AW505" s="93"/>
      <c r="AX505" s="93"/>
      <c r="AY505" s="93"/>
      <c r="AZ505" s="93"/>
      <c r="BA505" s="93"/>
      <c r="BB505" s="93"/>
      <c r="BL505" s="93"/>
      <c r="BM505" s="93"/>
      <c r="BT505" s="93"/>
      <c r="BU505" s="93"/>
      <c r="BV505" s="93"/>
      <c r="BW505" s="93"/>
      <c r="BX505" s="93"/>
      <c r="BY505" s="93"/>
      <c r="BZ505" s="93"/>
      <c r="CA505" s="93"/>
      <c r="CB505" s="93"/>
      <c r="CC505" s="93"/>
      <c r="CF505" s="93"/>
      <c r="CG505" s="93"/>
      <c r="CH505" s="93"/>
      <c r="CI505" s="93"/>
      <c r="CJ505" s="93"/>
      <c r="CK505" s="93"/>
      <c r="CL505" s="93"/>
      <c r="CM505" s="93"/>
      <c r="CN505" s="93"/>
      <c r="CO505" s="93"/>
      <c r="CP505" s="93"/>
      <c r="CQ505" s="93"/>
      <c r="CR505" s="93"/>
      <c r="CS505" s="93"/>
      <c r="CT505" s="93"/>
      <c r="CU505" s="93"/>
      <c r="CV505" s="93"/>
      <c r="CW505" s="93"/>
      <c r="CX505" s="93"/>
      <c r="CY505" s="93"/>
      <c r="CZ505" s="93"/>
      <c r="DA505" s="93"/>
      <c r="DB505" s="93"/>
      <c r="DC505" s="93"/>
      <c r="DD505" s="93"/>
      <c r="DE505" s="93"/>
      <c r="DF505" s="93"/>
      <c r="DG505" s="93"/>
      <c r="DH505" s="93"/>
      <c r="DI505" s="93"/>
      <c r="DJ505" s="93"/>
      <c r="DK505" s="93"/>
      <c r="DL505" s="93"/>
      <c r="DM505" s="93"/>
      <c r="DN505" s="93"/>
      <c r="DO505" s="93"/>
    </row>
    <row r="506" spans="1:119" ht="15">
      <c r="A506" s="343" t="s">
        <v>12449</v>
      </c>
      <c r="B506" s="6"/>
      <c r="C506" s="6"/>
      <c r="D506" s="1065" t="s">
        <v>11848</v>
      </c>
      <c r="E506" s="1041"/>
      <c r="F506" s="807"/>
      <c r="G506" s="827"/>
      <c r="H506" s="809" t="s">
        <v>12206</v>
      </c>
      <c r="I506" s="92">
        <v>9</v>
      </c>
      <c r="J506" s="92" t="s">
        <v>10</v>
      </c>
      <c r="K506" s="92" t="s">
        <v>768</v>
      </c>
      <c r="L506" s="810">
        <v>2</v>
      </c>
      <c r="M506" s="811" t="str">
        <f t="shared" si="34"/>
        <v>Elementary Level</v>
      </c>
      <c r="P506" s="1638"/>
      <c r="S506" s="848"/>
      <c r="T506" s="820"/>
      <c r="U506" s="820"/>
      <c r="V506" s="828"/>
      <c r="X506" s="811" t="str">
        <f t="shared" si="33"/>
        <v/>
      </c>
      <c r="AB506" s="828"/>
      <c r="AC506" s="809"/>
      <c r="AD506" s="824"/>
      <c r="AG506" s="807"/>
      <c r="AI506" s="817"/>
      <c r="AJ506" s="817"/>
      <c r="AK506" s="92"/>
      <c r="AM506" s="819"/>
      <c r="AN506" s="820"/>
      <c r="AQ506" s="93"/>
      <c r="AR506" s="93"/>
      <c r="AS506" s="93"/>
      <c r="AT506" s="93"/>
      <c r="AU506" s="93"/>
      <c r="AV506" s="93"/>
      <c r="AW506" s="93"/>
      <c r="AX506" s="93"/>
      <c r="AY506" s="93"/>
      <c r="AZ506" s="93"/>
      <c r="BA506" s="93"/>
      <c r="BB506" s="93"/>
      <c r="BL506" s="93"/>
      <c r="BM506" s="93"/>
      <c r="BT506" s="93"/>
      <c r="BU506" s="93"/>
      <c r="BV506" s="93"/>
      <c r="BW506" s="93"/>
      <c r="BX506" s="93"/>
      <c r="BY506" s="93"/>
      <c r="BZ506" s="93"/>
      <c r="CA506" s="93"/>
      <c r="CB506" s="93"/>
      <c r="CC506" s="93"/>
      <c r="CF506" s="93"/>
      <c r="CG506" s="93"/>
      <c r="CH506" s="93"/>
      <c r="CI506" s="93"/>
      <c r="CJ506" s="93"/>
      <c r="CK506" s="93"/>
      <c r="CL506" s="93"/>
      <c r="CM506" s="93"/>
      <c r="CN506" s="93"/>
      <c r="CO506" s="93"/>
      <c r="CP506" s="93"/>
      <c r="CQ506" s="93"/>
      <c r="CR506" s="93"/>
      <c r="CS506" s="93"/>
      <c r="CT506" s="93"/>
      <c r="CU506" s="93"/>
      <c r="CV506" s="93"/>
      <c r="CW506" s="93"/>
      <c r="CX506" s="93"/>
      <c r="CY506" s="93"/>
      <c r="CZ506" s="93"/>
      <c r="DA506" s="93"/>
      <c r="DB506" s="93"/>
      <c r="DC506" s="93"/>
      <c r="DD506" s="93"/>
      <c r="DE506" s="93"/>
      <c r="DF506" s="93"/>
      <c r="DG506" s="93"/>
      <c r="DH506" s="93"/>
      <c r="DI506" s="93"/>
      <c r="DJ506" s="93"/>
      <c r="DK506" s="93"/>
      <c r="DL506" s="93"/>
      <c r="DM506" s="93"/>
      <c r="DN506" s="93"/>
      <c r="DO506" s="93"/>
    </row>
    <row r="507" spans="1:119" ht="15">
      <c r="A507" s="343" t="s">
        <v>12449</v>
      </c>
      <c r="B507" s="6"/>
      <c r="C507" s="6"/>
      <c r="D507" s="1065" t="s">
        <v>11848</v>
      </c>
      <c r="E507" s="1041"/>
      <c r="F507" s="807"/>
      <c r="G507" s="827"/>
      <c r="H507" s="809" t="s">
        <v>12207</v>
      </c>
      <c r="I507" s="92">
        <v>6</v>
      </c>
      <c r="J507" s="92" t="s">
        <v>10</v>
      </c>
      <c r="K507" s="92" t="s">
        <v>768</v>
      </c>
      <c r="L507" s="810">
        <v>2</v>
      </c>
      <c r="M507" s="811" t="str">
        <f t="shared" si="34"/>
        <v>Elementary Level</v>
      </c>
      <c r="P507" s="1638"/>
      <c r="S507" s="848"/>
      <c r="T507" s="820"/>
      <c r="U507" s="820"/>
      <c r="V507" s="828">
        <f>SUM(S503:U507)</f>
        <v>9000</v>
      </c>
      <c r="X507" s="811" t="str">
        <f t="shared" si="33"/>
        <v/>
      </c>
      <c r="AB507" s="828">
        <f>SUM(Y503:AA507)</f>
        <v>2600</v>
      </c>
      <c r="AC507" s="809"/>
      <c r="AD507" s="824"/>
      <c r="AG507" s="807"/>
      <c r="AI507" s="817"/>
      <c r="AJ507" s="817"/>
      <c r="AK507" s="92"/>
      <c r="AM507" s="819"/>
      <c r="AN507" s="820"/>
      <c r="AQ507" s="93"/>
      <c r="AR507" s="93"/>
      <c r="AS507" s="93"/>
      <c r="AT507" s="93"/>
      <c r="AU507" s="93"/>
      <c r="AV507" s="93"/>
      <c r="AW507" s="93"/>
      <c r="AX507" s="93"/>
      <c r="AY507" s="93"/>
      <c r="AZ507" s="93"/>
      <c r="BA507" s="93"/>
      <c r="BB507" s="93"/>
      <c r="BL507" s="93"/>
      <c r="BM507" s="93"/>
      <c r="BT507" s="93"/>
      <c r="BU507" s="93"/>
      <c r="BV507" s="93"/>
      <c r="BW507" s="93"/>
      <c r="BX507" s="93"/>
      <c r="BY507" s="93"/>
      <c r="BZ507" s="93"/>
      <c r="CA507" s="93"/>
      <c r="CB507" s="93"/>
      <c r="CC507" s="93"/>
      <c r="CF507" s="93"/>
      <c r="CG507" s="93"/>
      <c r="CH507" s="93"/>
      <c r="CI507" s="93"/>
      <c r="CJ507" s="93"/>
      <c r="CK507" s="93"/>
      <c r="CL507" s="93"/>
      <c r="CM507" s="93"/>
      <c r="CN507" s="93"/>
      <c r="CO507" s="93"/>
      <c r="CP507" s="93"/>
      <c r="CQ507" s="93"/>
      <c r="CR507" s="93"/>
      <c r="CS507" s="93"/>
      <c r="CT507" s="93"/>
      <c r="CU507" s="93"/>
      <c r="CV507" s="93"/>
      <c r="CW507" s="93"/>
      <c r="CX507" s="93"/>
      <c r="CY507" s="93"/>
      <c r="CZ507" s="93"/>
      <c r="DA507" s="93"/>
      <c r="DB507" s="93"/>
      <c r="DC507" s="93"/>
      <c r="DD507" s="93"/>
      <c r="DE507" s="93"/>
      <c r="DF507" s="93"/>
      <c r="DG507" s="93"/>
      <c r="DH507" s="93"/>
      <c r="DI507" s="93"/>
      <c r="DJ507" s="93"/>
      <c r="DK507" s="93"/>
      <c r="DL507" s="93"/>
      <c r="DM507" s="93"/>
      <c r="DN507" s="93"/>
      <c r="DO507" s="93"/>
    </row>
    <row r="508" spans="1:119" ht="15">
      <c r="A508" s="343" t="s">
        <v>12449</v>
      </c>
      <c r="B508" s="6"/>
      <c r="C508" s="6"/>
      <c r="D508" s="1065" t="s">
        <v>11849</v>
      </c>
      <c r="E508" s="1041"/>
      <c r="F508" s="807"/>
      <c r="G508" s="807" t="s">
        <v>11849</v>
      </c>
      <c r="H508" s="809" t="s">
        <v>12146</v>
      </c>
      <c r="I508" s="92">
        <v>63</v>
      </c>
      <c r="J508" s="92" t="s">
        <v>10</v>
      </c>
      <c r="K508" s="92" t="s">
        <v>707</v>
      </c>
      <c r="L508" s="810">
        <v>2</v>
      </c>
      <c r="M508" s="811" t="str">
        <f t="shared" si="34"/>
        <v>Elementary Level</v>
      </c>
      <c r="N508" s="92" t="s">
        <v>1208</v>
      </c>
      <c r="O508" s="812" t="s">
        <v>2232</v>
      </c>
      <c r="P508" s="1638"/>
      <c r="Q508" s="812" t="s">
        <v>2232</v>
      </c>
      <c r="R508" s="812" t="s">
        <v>28</v>
      </c>
      <c r="S508" s="848">
        <v>7500</v>
      </c>
      <c r="T508" s="820"/>
      <c r="U508" s="820"/>
      <c r="V508" s="873"/>
      <c r="W508" s="815">
        <v>3</v>
      </c>
      <c r="X508" s="811" t="str">
        <f t="shared" si="33"/>
        <v>within the Province</v>
      </c>
      <c r="Y508" s="816">
        <f>16*26</f>
        <v>416</v>
      </c>
      <c r="AB508" s="873"/>
      <c r="AC508" s="809"/>
      <c r="AD508" s="824"/>
      <c r="AG508" s="807"/>
      <c r="AI508" s="817"/>
      <c r="AJ508" s="817"/>
      <c r="AK508" s="92"/>
      <c r="AM508" s="819"/>
      <c r="AN508" s="820"/>
      <c r="AQ508" s="93"/>
      <c r="AR508" s="93"/>
      <c r="AS508" s="93"/>
      <c r="AT508" s="93"/>
      <c r="AU508" s="93"/>
      <c r="AV508" s="93"/>
      <c r="AW508" s="93"/>
      <c r="AX508" s="93"/>
      <c r="AY508" s="93"/>
      <c r="AZ508" s="93"/>
      <c r="BA508" s="93"/>
      <c r="BB508" s="93"/>
      <c r="BL508" s="93"/>
      <c r="BM508" s="93"/>
      <c r="BT508" s="93"/>
      <c r="BU508" s="93"/>
      <c r="BV508" s="93"/>
      <c r="BW508" s="93"/>
      <c r="BX508" s="93"/>
      <c r="BY508" s="93"/>
      <c r="BZ508" s="93"/>
      <c r="CA508" s="93"/>
      <c r="CB508" s="93"/>
      <c r="CC508" s="93"/>
      <c r="CF508" s="93"/>
      <c r="CG508" s="93"/>
      <c r="CH508" s="93"/>
      <c r="CI508" s="93"/>
      <c r="CJ508" s="93"/>
      <c r="CK508" s="93"/>
      <c r="CL508" s="93"/>
      <c r="CM508" s="93"/>
      <c r="CN508" s="93"/>
      <c r="CO508" s="93"/>
      <c r="CP508" s="93"/>
      <c r="CQ508" s="93"/>
      <c r="CR508" s="93"/>
      <c r="CS508" s="93"/>
      <c r="CT508" s="93"/>
      <c r="CU508" s="93"/>
      <c r="CV508" s="93"/>
      <c r="CW508" s="93"/>
      <c r="CX508" s="93"/>
      <c r="CY508" s="93"/>
      <c r="CZ508" s="93"/>
      <c r="DA508" s="93"/>
      <c r="DB508" s="93"/>
      <c r="DC508" s="93"/>
      <c r="DD508" s="93"/>
      <c r="DE508" s="93"/>
      <c r="DF508" s="93"/>
      <c r="DG508" s="93"/>
      <c r="DH508" s="93"/>
      <c r="DI508" s="93"/>
      <c r="DJ508" s="93"/>
      <c r="DK508" s="93"/>
      <c r="DL508" s="93"/>
      <c r="DM508" s="93"/>
      <c r="DN508" s="93"/>
      <c r="DO508" s="93"/>
    </row>
    <row r="509" spans="1:119" ht="15">
      <c r="A509" s="1076"/>
      <c r="B509" s="6"/>
      <c r="C509" s="6"/>
      <c r="D509" s="1065"/>
      <c r="E509" s="1041"/>
      <c r="F509" s="807"/>
      <c r="G509" s="827"/>
      <c r="H509" s="809" t="s">
        <v>12216</v>
      </c>
      <c r="I509" s="92">
        <v>49</v>
      </c>
      <c r="J509" s="92" t="s">
        <v>18</v>
      </c>
      <c r="K509" s="92" t="s">
        <v>707</v>
      </c>
      <c r="L509" s="810">
        <v>2</v>
      </c>
      <c r="M509" s="811" t="str">
        <f t="shared" si="34"/>
        <v>Elementary Level</v>
      </c>
      <c r="P509" s="1638"/>
      <c r="S509" s="848"/>
      <c r="T509" s="820"/>
      <c r="U509" s="820"/>
      <c r="V509" s="873"/>
      <c r="X509" s="811" t="str">
        <f t="shared" si="33"/>
        <v/>
      </c>
      <c r="AB509" s="873"/>
      <c r="AC509" s="809"/>
      <c r="AD509" s="824"/>
      <c r="AG509" s="807"/>
      <c r="AI509" s="817"/>
      <c r="AJ509" s="817"/>
      <c r="AK509" s="92"/>
      <c r="AM509" s="819"/>
      <c r="AN509" s="820"/>
      <c r="AQ509" s="93"/>
      <c r="AR509" s="93"/>
      <c r="AS509" s="93"/>
      <c r="AT509" s="93"/>
      <c r="AU509" s="93"/>
      <c r="AV509" s="93"/>
      <c r="AW509" s="93"/>
      <c r="AX509" s="93"/>
      <c r="AY509" s="93"/>
      <c r="AZ509" s="93"/>
      <c r="BA509" s="93"/>
      <c r="BB509" s="93"/>
      <c r="BL509" s="93"/>
      <c r="BM509" s="93"/>
      <c r="BT509" s="93"/>
      <c r="BU509" s="93"/>
      <c r="BV509" s="93"/>
      <c r="BW509" s="93"/>
      <c r="BX509" s="93"/>
      <c r="BY509" s="93"/>
      <c r="BZ509" s="93"/>
      <c r="CA509" s="93"/>
      <c r="CB509" s="93"/>
      <c r="CC509" s="93"/>
      <c r="CF509" s="93"/>
      <c r="CG509" s="93"/>
      <c r="CH509" s="93"/>
      <c r="CI509" s="93"/>
      <c r="CJ509" s="93"/>
      <c r="CK509" s="93"/>
      <c r="CL509" s="93"/>
      <c r="CM509" s="93"/>
      <c r="CN509" s="93"/>
      <c r="CO509" s="93"/>
      <c r="CP509" s="93"/>
      <c r="CQ509" s="93"/>
      <c r="CR509" s="93"/>
      <c r="CS509" s="93"/>
      <c r="CT509" s="93"/>
      <c r="CU509" s="93"/>
      <c r="CV509" s="93"/>
      <c r="CW509" s="93"/>
      <c r="CX509" s="93"/>
      <c r="CY509" s="93"/>
      <c r="CZ509" s="93"/>
      <c r="DA509" s="93"/>
      <c r="DB509" s="93"/>
      <c r="DC509" s="93"/>
      <c r="DD509" s="93"/>
      <c r="DE509" s="93"/>
      <c r="DF509" s="93"/>
      <c r="DG509" s="93"/>
      <c r="DH509" s="93"/>
      <c r="DI509" s="93"/>
      <c r="DJ509" s="93"/>
      <c r="DK509" s="93"/>
      <c r="DL509" s="93"/>
      <c r="DM509" s="93"/>
      <c r="DN509" s="93"/>
      <c r="DO509" s="93"/>
    </row>
    <row r="510" spans="1:119" ht="15">
      <c r="A510" s="1076"/>
      <c r="B510" s="6"/>
      <c r="C510" s="6"/>
      <c r="D510" s="1065"/>
      <c r="E510" s="1041"/>
      <c r="F510" s="807"/>
      <c r="G510" s="827"/>
      <c r="H510" s="809" t="s">
        <v>12217</v>
      </c>
      <c r="I510" s="92">
        <v>24</v>
      </c>
      <c r="J510" s="92" t="s">
        <v>18</v>
      </c>
      <c r="K510" s="92" t="s">
        <v>722</v>
      </c>
      <c r="L510" s="810">
        <v>2</v>
      </c>
      <c r="M510" s="811" t="str">
        <f t="shared" si="34"/>
        <v>Elementary Level</v>
      </c>
      <c r="P510" s="1638"/>
      <c r="S510" s="848"/>
      <c r="T510" s="820"/>
      <c r="U510" s="820"/>
      <c r="V510" s="873"/>
      <c r="X510" s="811" t="str">
        <f t="shared" ref="X510:X573" si="36">IF(ISBLANK(W510)=TRUE,"",LOOKUP(W510,GO:GP))</f>
        <v/>
      </c>
      <c r="AB510" s="873"/>
      <c r="AC510" s="809"/>
      <c r="AD510" s="824"/>
      <c r="AG510" s="807"/>
      <c r="AI510" s="817"/>
      <c r="AJ510" s="817"/>
      <c r="AK510" s="92"/>
      <c r="AM510" s="819"/>
      <c r="AN510" s="820"/>
      <c r="AQ510" s="93"/>
      <c r="AR510" s="93"/>
      <c r="AS510" s="93"/>
      <c r="AT510" s="93"/>
      <c r="AU510" s="93"/>
      <c r="AV510" s="93"/>
      <c r="AW510" s="93"/>
      <c r="AX510" s="93"/>
      <c r="AY510" s="93"/>
      <c r="AZ510" s="93"/>
      <c r="BA510" s="93"/>
      <c r="BB510" s="93"/>
      <c r="BL510" s="93"/>
      <c r="BM510" s="93"/>
      <c r="BT510" s="93"/>
      <c r="BU510" s="93"/>
      <c r="BV510" s="93"/>
      <c r="BW510" s="93"/>
      <c r="BX510" s="93"/>
      <c r="BY510" s="93"/>
      <c r="BZ510" s="93"/>
      <c r="CA510" s="93"/>
      <c r="CB510" s="93"/>
      <c r="CC510" s="93"/>
      <c r="CF510" s="93"/>
      <c r="CG510" s="93"/>
      <c r="CH510" s="93"/>
      <c r="CI510" s="93"/>
      <c r="CJ510" s="93"/>
      <c r="CK510" s="93"/>
      <c r="CL510" s="93"/>
      <c r="CM510" s="93"/>
      <c r="CN510" s="93"/>
      <c r="CO510" s="93"/>
      <c r="CP510" s="93"/>
      <c r="CQ510" s="93"/>
      <c r="CR510" s="93"/>
      <c r="CS510" s="93"/>
      <c r="CT510" s="93"/>
      <c r="CU510" s="93"/>
      <c r="CV510" s="93"/>
      <c r="CW510" s="93"/>
      <c r="CX510" s="93"/>
      <c r="CY510" s="93"/>
      <c r="CZ510" s="93"/>
      <c r="DA510" s="93"/>
      <c r="DB510" s="93"/>
      <c r="DC510" s="93"/>
      <c r="DD510" s="93"/>
      <c r="DE510" s="93"/>
      <c r="DF510" s="93"/>
      <c r="DG510" s="93"/>
      <c r="DH510" s="93"/>
      <c r="DI510" s="93"/>
      <c r="DJ510" s="93"/>
      <c r="DK510" s="93"/>
      <c r="DL510" s="93"/>
      <c r="DM510" s="93"/>
      <c r="DN510" s="93"/>
      <c r="DO510" s="93"/>
    </row>
    <row r="511" spans="1:119" ht="15">
      <c r="A511" s="1076"/>
      <c r="B511" s="6"/>
      <c r="C511" s="6"/>
      <c r="D511" s="1065"/>
      <c r="E511" s="1041"/>
      <c r="F511" s="807"/>
      <c r="G511" s="827"/>
      <c r="H511" s="809" t="s">
        <v>12218</v>
      </c>
      <c r="I511" s="92">
        <v>26</v>
      </c>
      <c r="J511" s="92" t="s">
        <v>18</v>
      </c>
      <c r="K511" s="92" t="s">
        <v>783</v>
      </c>
      <c r="L511" s="810">
        <v>5</v>
      </c>
      <c r="M511" s="811" t="str">
        <f t="shared" si="34"/>
        <v>High School Graduate</v>
      </c>
      <c r="N511" s="92" t="s">
        <v>1208</v>
      </c>
      <c r="O511" s="812" t="s">
        <v>12222</v>
      </c>
      <c r="P511" s="1638"/>
      <c r="Q511" s="812" t="s">
        <v>12222</v>
      </c>
      <c r="R511" s="812" t="s">
        <v>20</v>
      </c>
      <c r="S511" s="848">
        <v>9000</v>
      </c>
      <c r="T511" s="820"/>
      <c r="U511" s="820"/>
      <c r="V511" s="873"/>
      <c r="W511" s="815">
        <v>1</v>
      </c>
      <c r="X511" s="811" t="str">
        <f t="shared" si="36"/>
        <v>within the Brgy</v>
      </c>
      <c r="AB511" s="873"/>
      <c r="AC511" s="809"/>
      <c r="AD511" s="824"/>
      <c r="AG511" s="807"/>
      <c r="AI511" s="817"/>
      <c r="AJ511" s="817"/>
      <c r="AK511" s="92"/>
      <c r="AM511" s="819"/>
      <c r="AN511" s="820"/>
      <c r="AQ511" s="93"/>
      <c r="AR511" s="93"/>
      <c r="AS511" s="93"/>
      <c r="AT511" s="93"/>
      <c r="AU511" s="93"/>
      <c r="AV511" s="93"/>
      <c r="AW511" s="93"/>
      <c r="AX511" s="93"/>
      <c r="AY511" s="93"/>
      <c r="AZ511" s="93"/>
      <c r="BA511" s="93"/>
      <c r="BB511" s="93"/>
      <c r="BL511" s="93"/>
      <c r="BM511" s="93"/>
      <c r="BT511" s="93"/>
      <c r="BU511" s="93"/>
      <c r="BV511" s="93"/>
      <c r="BW511" s="93"/>
      <c r="BX511" s="93"/>
      <c r="BY511" s="93"/>
      <c r="BZ511" s="93"/>
      <c r="CA511" s="93"/>
      <c r="CB511" s="93"/>
      <c r="CC511" s="93"/>
      <c r="CF511" s="93"/>
      <c r="CG511" s="93"/>
      <c r="CH511" s="93"/>
      <c r="CI511" s="93"/>
      <c r="CJ511" s="93"/>
      <c r="CK511" s="93"/>
      <c r="CL511" s="93"/>
      <c r="CM511" s="93"/>
      <c r="CN511" s="93"/>
      <c r="CO511" s="93"/>
      <c r="CP511" s="93"/>
      <c r="CQ511" s="93"/>
      <c r="CR511" s="93"/>
      <c r="CS511" s="93"/>
      <c r="CT511" s="93"/>
      <c r="CU511" s="93"/>
      <c r="CV511" s="93"/>
      <c r="CW511" s="93"/>
      <c r="CX511" s="93"/>
      <c r="CY511" s="93"/>
      <c r="CZ511" s="93"/>
      <c r="DA511" s="93"/>
      <c r="DB511" s="93"/>
      <c r="DC511" s="93"/>
      <c r="DD511" s="93"/>
      <c r="DE511" s="93"/>
      <c r="DF511" s="93"/>
      <c r="DG511" s="93"/>
      <c r="DH511" s="93"/>
      <c r="DI511" s="93"/>
      <c r="DJ511" s="93"/>
      <c r="DK511" s="93"/>
      <c r="DL511" s="93"/>
      <c r="DM511" s="93"/>
      <c r="DN511" s="93"/>
      <c r="DO511" s="93"/>
    </row>
    <row r="512" spans="1:119" ht="15">
      <c r="A512" s="1076"/>
      <c r="B512" s="6"/>
      <c r="C512" s="6"/>
      <c r="D512" s="1065"/>
      <c r="E512" s="1041"/>
      <c r="F512" s="807"/>
      <c r="G512" s="827"/>
      <c r="H512" s="809" t="s">
        <v>12219</v>
      </c>
      <c r="I512" s="92">
        <v>22</v>
      </c>
      <c r="J512" s="92" t="s">
        <v>18</v>
      </c>
      <c r="K512" s="92" t="s">
        <v>783</v>
      </c>
      <c r="L512" s="810">
        <v>5</v>
      </c>
      <c r="M512" s="811" t="str">
        <f t="shared" si="34"/>
        <v>High School Graduate</v>
      </c>
      <c r="P512" s="1638"/>
      <c r="S512" s="848"/>
      <c r="T512" s="820"/>
      <c r="U512" s="820"/>
      <c r="V512" s="873"/>
      <c r="X512" s="811" t="str">
        <f t="shared" si="36"/>
        <v/>
      </c>
      <c r="AB512" s="873"/>
      <c r="AC512" s="809"/>
      <c r="AD512" s="824"/>
      <c r="AG512" s="807"/>
      <c r="AI512" s="817"/>
      <c r="AJ512" s="817"/>
      <c r="AK512" s="92"/>
      <c r="AM512" s="819"/>
      <c r="AN512" s="820"/>
      <c r="AQ512" s="93"/>
      <c r="AR512" s="93"/>
      <c r="AS512" s="93"/>
      <c r="AT512" s="93"/>
      <c r="AU512" s="93"/>
      <c r="AV512" s="93"/>
      <c r="AW512" s="93"/>
      <c r="AX512" s="93"/>
      <c r="AY512" s="93"/>
      <c r="AZ512" s="93"/>
      <c r="BA512" s="93"/>
      <c r="BB512" s="93"/>
      <c r="BL512" s="93"/>
      <c r="BM512" s="93"/>
      <c r="BT512" s="93"/>
      <c r="BU512" s="93"/>
      <c r="BV512" s="93"/>
      <c r="BW512" s="93"/>
      <c r="BX512" s="93"/>
      <c r="BY512" s="93"/>
      <c r="BZ512" s="93"/>
      <c r="CA512" s="93"/>
      <c r="CB512" s="93"/>
      <c r="CC512" s="93"/>
      <c r="CF512" s="93"/>
      <c r="CG512" s="93"/>
      <c r="CH512" s="93"/>
      <c r="CI512" s="93"/>
      <c r="CJ512" s="93"/>
      <c r="CK512" s="93"/>
      <c r="CL512" s="93"/>
      <c r="CM512" s="93"/>
      <c r="CN512" s="93"/>
      <c r="CO512" s="93"/>
      <c r="CP512" s="93"/>
      <c r="CQ512" s="93"/>
      <c r="CR512" s="93"/>
      <c r="CS512" s="93"/>
      <c r="CT512" s="93"/>
      <c r="CU512" s="93"/>
      <c r="CV512" s="93"/>
      <c r="CW512" s="93"/>
      <c r="CX512" s="93"/>
      <c r="CY512" s="93"/>
      <c r="CZ512" s="93"/>
      <c r="DA512" s="93"/>
      <c r="DB512" s="93"/>
      <c r="DC512" s="93"/>
      <c r="DD512" s="93"/>
      <c r="DE512" s="93"/>
      <c r="DF512" s="93"/>
      <c r="DG512" s="93"/>
      <c r="DH512" s="93"/>
      <c r="DI512" s="93"/>
      <c r="DJ512" s="93"/>
      <c r="DK512" s="93"/>
      <c r="DL512" s="93"/>
      <c r="DM512" s="93"/>
      <c r="DN512" s="93"/>
      <c r="DO512" s="93"/>
    </row>
    <row r="513" spans="1:198" ht="15">
      <c r="A513" s="1076"/>
      <c r="B513" s="6"/>
      <c r="C513" s="6"/>
      <c r="D513" s="1065"/>
      <c r="E513" s="1041"/>
      <c r="F513" s="807"/>
      <c r="G513" s="827"/>
      <c r="H513" s="809" t="s">
        <v>12220</v>
      </c>
      <c r="I513" s="92">
        <v>1</v>
      </c>
      <c r="J513" s="92" t="s">
        <v>18</v>
      </c>
      <c r="K513" s="92" t="s">
        <v>768</v>
      </c>
      <c r="L513" s="810">
        <v>10</v>
      </c>
      <c r="M513" s="811" t="str">
        <f t="shared" si="34"/>
        <v>Not In School Age</v>
      </c>
      <c r="P513" s="1638"/>
      <c r="S513" s="848"/>
      <c r="T513" s="820"/>
      <c r="U513" s="820"/>
      <c r="V513" s="873"/>
      <c r="W513" s="815">
        <v>4</v>
      </c>
      <c r="X513" s="811" t="str">
        <f t="shared" si="36"/>
        <v>Other Province</v>
      </c>
      <c r="Y513" s="816">
        <f>16*26</f>
        <v>416</v>
      </c>
      <c r="AB513" s="873"/>
      <c r="AC513" s="809"/>
      <c r="AD513" s="824"/>
      <c r="AG513" s="807"/>
      <c r="AI513" s="817"/>
      <c r="AJ513" s="817"/>
      <c r="AK513" s="92"/>
      <c r="AM513" s="819"/>
      <c r="AN513" s="820"/>
      <c r="AQ513" s="93"/>
      <c r="AR513" s="93"/>
      <c r="AS513" s="93"/>
      <c r="AT513" s="93"/>
      <c r="AU513" s="93"/>
      <c r="AV513" s="93"/>
      <c r="AW513" s="93"/>
      <c r="AX513" s="93"/>
      <c r="AY513" s="93"/>
      <c r="AZ513" s="93"/>
      <c r="BA513" s="93"/>
      <c r="BB513" s="93"/>
      <c r="BL513" s="93"/>
      <c r="BM513" s="93"/>
      <c r="BT513" s="93"/>
      <c r="BU513" s="93"/>
      <c r="BV513" s="93"/>
      <c r="BW513" s="93"/>
      <c r="BX513" s="93"/>
      <c r="BY513" s="93"/>
      <c r="BZ513" s="93"/>
      <c r="CA513" s="93"/>
      <c r="CB513" s="93"/>
      <c r="CC513" s="93"/>
      <c r="CF513" s="93"/>
      <c r="CG513" s="93"/>
      <c r="CH513" s="93"/>
      <c r="CI513" s="93"/>
      <c r="CJ513" s="93"/>
      <c r="CK513" s="93"/>
      <c r="CL513" s="93"/>
      <c r="CM513" s="93"/>
      <c r="CN513" s="93"/>
      <c r="CO513" s="93"/>
      <c r="CP513" s="93"/>
      <c r="CQ513" s="93"/>
      <c r="CR513" s="93"/>
      <c r="CS513" s="93"/>
      <c r="CT513" s="93"/>
      <c r="CU513" s="93"/>
      <c r="CV513" s="93"/>
      <c r="CW513" s="93"/>
      <c r="CX513" s="93"/>
      <c r="CY513" s="93"/>
      <c r="CZ513" s="93"/>
      <c r="DA513" s="93"/>
      <c r="DB513" s="93"/>
      <c r="DC513" s="93"/>
      <c r="DD513" s="93"/>
      <c r="DE513" s="93"/>
      <c r="DF513" s="93"/>
      <c r="DG513" s="93"/>
      <c r="DH513" s="93"/>
      <c r="DI513" s="93"/>
      <c r="DJ513" s="93"/>
      <c r="DK513" s="93"/>
      <c r="DL513" s="93"/>
      <c r="DM513" s="93"/>
      <c r="DN513" s="93"/>
      <c r="DO513" s="93"/>
    </row>
    <row r="514" spans="1:198" ht="15">
      <c r="A514" s="1076"/>
      <c r="B514" s="6"/>
      <c r="C514" s="6"/>
      <c r="D514" s="1065"/>
      <c r="E514" s="1041"/>
      <c r="F514" s="807"/>
      <c r="G514" s="827"/>
      <c r="H514" s="809" t="s">
        <v>12221</v>
      </c>
      <c r="I514" s="92">
        <v>27</v>
      </c>
      <c r="J514" s="92" t="s">
        <v>10</v>
      </c>
      <c r="K514" s="92" t="s">
        <v>722</v>
      </c>
      <c r="L514" s="810">
        <v>4</v>
      </c>
      <c r="M514" s="811" t="str">
        <f t="shared" si="34"/>
        <v>High School Level</v>
      </c>
      <c r="N514" s="92" t="s">
        <v>1208</v>
      </c>
      <c r="O514" s="812" t="s">
        <v>8916</v>
      </c>
      <c r="P514" s="1638"/>
      <c r="Q514" s="812" t="s">
        <v>8916</v>
      </c>
      <c r="R514" s="812" t="s">
        <v>8285</v>
      </c>
      <c r="S514" s="848">
        <v>9000</v>
      </c>
      <c r="T514" s="820"/>
      <c r="U514" s="820"/>
      <c r="V514" s="873">
        <f>SUM(S508:U514)</f>
        <v>25500</v>
      </c>
      <c r="X514" s="811" t="str">
        <f t="shared" si="36"/>
        <v/>
      </c>
      <c r="AB514" s="873">
        <f>SUM(Y508:AA514)</f>
        <v>832</v>
      </c>
      <c r="AC514" s="809"/>
      <c r="AD514" s="824"/>
      <c r="AG514" s="807"/>
      <c r="AI514" s="817"/>
      <c r="AJ514" s="817"/>
      <c r="AK514" s="92"/>
      <c r="AM514" s="819"/>
      <c r="AN514" s="820"/>
      <c r="AQ514" s="93"/>
      <c r="AR514" s="93"/>
      <c r="AS514" s="93"/>
      <c r="AT514" s="93"/>
      <c r="AU514" s="93"/>
      <c r="AV514" s="93"/>
      <c r="AW514" s="93"/>
      <c r="AX514" s="93"/>
      <c r="AY514" s="93"/>
      <c r="AZ514" s="93"/>
      <c r="BA514" s="93"/>
      <c r="BB514" s="93"/>
      <c r="BL514" s="93"/>
      <c r="BM514" s="93"/>
      <c r="BT514" s="93"/>
      <c r="BU514" s="93"/>
      <c r="BV514" s="93"/>
      <c r="BW514" s="93"/>
      <c r="BX514" s="93"/>
      <c r="BY514" s="93"/>
      <c r="BZ514" s="93"/>
      <c r="CA514" s="93"/>
      <c r="CB514" s="93"/>
      <c r="CC514" s="93"/>
      <c r="CF514" s="93"/>
      <c r="CG514" s="93"/>
      <c r="CH514" s="93"/>
      <c r="CI514" s="93"/>
      <c r="CJ514" s="93"/>
      <c r="CK514" s="93"/>
      <c r="CL514" s="93"/>
      <c r="CM514" s="93"/>
      <c r="CN514" s="93"/>
      <c r="CO514" s="93"/>
      <c r="CP514" s="93"/>
      <c r="CQ514" s="93"/>
      <c r="CR514" s="93"/>
      <c r="CS514" s="93"/>
      <c r="CT514" s="93"/>
      <c r="CU514" s="93"/>
      <c r="CV514" s="93"/>
      <c r="CW514" s="93"/>
      <c r="CX514" s="93"/>
      <c r="CY514" s="93"/>
      <c r="CZ514" s="93"/>
      <c r="DA514" s="93"/>
      <c r="DB514" s="93"/>
      <c r="DC514" s="93"/>
      <c r="DD514" s="93"/>
      <c r="DE514" s="93"/>
      <c r="DF514" s="93"/>
      <c r="DG514" s="93"/>
      <c r="DH514" s="93"/>
      <c r="DI514" s="93"/>
      <c r="DJ514" s="93"/>
      <c r="DK514" s="93"/>
      <c r="DL514" s="93"/>
      <c r="DM514" s="93"/>
      <c r="DN514" s="93"/>
      <c r="DO514" s="93"/>
    </row>
    <row r="515" spans="1:198" ht="15">
      <c r="A515" s="1076"/>
      <c r="B515" s="6"/>
      <c r="C515" s="6"/>
      <c r="D515" s="1065" t="s">
        <v>11849</v>
      </c>
      <c r="E515" s="1041"/>
      <c r="F515" s="807"/>
      <c r="G515" s="846" t="s">
        <v>11849</v>
      </c>
      <c r="H515" s="809" t="s">
        <v>12147</v>
      </c>
      <c r="I515" s="92">
        <v>41</v>
      </c>
      <c r="J515" s="92" t="s">
        <v>10</v>
      </c>
      <c r="K515" s="92" t="s">
        <v>707</v>
      </c>
      <c r="L515" s="810">
        <v>5</v>
      </c>
      <c r="M515" s="811" t="str">
        <f t="shared" si="34"/>
        <v>High School Graduate</v>
      </c>
      <c r="N515" s="92" t="s">
        <v>1208</v>
      </c>
      <c r="O515" s="812" t="s">
        <v>1985</v>
      </c>
      <c r="P515" s="1638"/>
      <c r="Q515" s="812" t="s">
        <v>1985</v>
      </c>
      <c r="R515" s="812" t="s">
        <v>8234</v>
      </c>
      <c r="S515" s="1125"/>
      <c r="T515" s="860"/>
      <c r="U515" s="860"/>
      <c r="V515" s="828"/>
      <c r="W515" s="815">
        <v>2</v>
      </c>
      <c r="X515" s="811" t="str">
        <f t="shared" si="36"/>
        <v>within the Municipality/City</v>
      </c>
      <c r="AB515" s="828"/>
      <c r="AC515" s="809"/>
      <c r="AD515" s="824"/>
      <c r="AG515" s="807"/>
      <c r="AI515" s="817"/>
      <c r="AJ515" s="817"/>
      <c r="AK515" s="92"/>
      <c r="AM515" s="819"/>
      <c r="AN515" s="820"/>
      <c r="AQ515" s="93"/>
      <c r="AR515" s="93"/>
      <c r="AS515" s="93"/>
      <c r="AT515" s="93"/>
      <c r="AU515" s="93"/>
      <c r="AV515" s="93"/>
      <c r="AW515" s="93"/>
      <c r="AX515" s="93"/>
      <c r="AY515" s="93"/>
      <c r="AZ515" s="93"/>
      <c r="BA515" s="93"/>
      <c r="BB515" s="93"/>
      <c r="BL515" s="93"/>
      <c r="BM515" s="93"/>
      <c r="BT515" s="93"/>
      <c r="BU515" s="93"/>
      <c r="BV515" s="93"/>
      <c r="BW515" s="93"/>
      <c r="BX515" s="93"/>
      <c r="BY515" s="93"/>
      <c r="BZ515" s="93"/>
      <c r="CA515" s="93"/>
      <c r="CB515" s="93"/>
      <c r="CC515" s="93"/>
      <c r="CF515" s="93"/>
      <c r="CG515" s="93"/>
      <c r="CH515" s="93"/>
      <c r="CI515" s="93"/>
      <c r="CJ515" s="93"/>
      <c r="CK515" s="93"/>
      <c r="CL515" s="93"/>
      <c r="CM515" s="93"/>
      <c r="CN515" s="93"/>
      <c r="CO515" s="93"/>
      <c r="CP515" s="93"/>
      <c r="CQ515" s="93"/>
      <c r="CR515" s="93"/>
      <c r="CS515" s="93"/>
      <c r="CT515" s="93"/>
      <c r="CU515" s="93"/>
      <c r="CV515" s="93"/>
      <c r="CW515" s="93"/>
      <c r="CX515" s="93"/>
      <c r="CY515" s="93"/>
      <c r="CZ515" s="93"/>
      <c r="DA515" s="93"/>
      <c r="DB515" s="93"/>
      <c r="DC515" s="93"/>
      <c r="DD515" s="93"/>
      <c r="DE515" s="93"/>
      <c r="DF515" s="93"/>
      <c r="DG515" s="93"/>
      <c r="DH515" s="93"/>
      <c r="DI515" s="93"/>
      <c r="DJ515" s="93"/>
      <c r="DK515" s="93"/>
      <c r="DL515" s="93"/>
      <c r="DM515" s="93"/>
      <c r="DN515" s="93"/>
      <c r="DO515" s="93"/>
    </row>
    <row r="516" spans="1:198" ht="15">
      <c r="A516" s="1076"/>
      <c r="B516" s="6"/>
      <c r="C516" s="6"/>
      <c r="D516" s="1065"/>
      <c r="E516" s="1041"/>
      <c r="F516" s="807"/>
      <c r="G516" s="827"/>
      <c r="H516" s="809" t="s">
        <v>12225</v>
      </c>
      <c r="I516" s="92">
        <v>38</v>
      </c>
      <c r="J516" s="92" t="s">
        <v>18</v>
      </c>
      <c r="K516" s="92" t="s">
        <v>707</v>
      </c>
      <c r="L516" s="810">
        <v>9</v>
      </c>
      <c r="M516" s="811" t="str">
        <f t="shared" si="34"/>
        <v>Vocational Graduate</v>
      </c>
      <c r="N516" s="92" t="s">
        <v>1208</v>
      </c>
      <c r="O516" s="812" t="s">
        <v>2210</v>
      </c>
      <c r="P516" s="1638"/>
      <c r="Q516" s="812" t="s">
        <v>2210</v>
      </c>
      <c r="R516" s="812" t="s">
        <v>20</v>
      </c>
      <c r="S516" s="1125"/>
      <c r="T516" s="860"/>
      <c r="U516" s="860"/>
      <c r="V516" s="828"/>
      <c r="W516" s="815">
        <v>5</v>
      </c>
      <c r="X516" s="811" t="str">
        <f t="shared" si="36"/>
        <v>Overseas Worker</v>
      </c>
      <c r="AB516" s="828"/>
      <c r="AC516" s="809"/>
      <c r="AD516" s="824"/>
      <c r="AG516" s="807"/>
      <c r="AI516" s="817"/>
      <c r="AJ516" s="817"/>
      <c r="AK516" s="92"/>
      <c r="AM516" s="819"/>
      <c r="AN516" s="820"/>
      <c r="AQ516" s="93"/>
      <c r="AR516" s="93"/>
      <c r="AS516" s="93"/>
      <c r="AT516" s="93"/>
      <c r="AU516" s="93"/>
      <c r="AV516" s="93"/>
      <c r="AW516" s="93"/>
      <c r="AX516" s="93"/>
      <c r="AY516" s="93"/>
      <c r="AZ516" s="93"/>
      <c r="BA516" s="93"/>
      <c r="BB516" s="93"/>
      <c r="BL516" s="93"/>
      <c r="BM516" s="93"/>
      <c r="BT516" s="93"/>
      <c r="BU516" s="93"/>
      <c r="BV516" s="93"/>
      <c r="BW516" s="93"/>
      <c r="BX516" s="93"/>
      <c r="BY516" s="93"/>
      <c r="BZ516" s="93"/>
      <c r="CA516" s="93"/>
      <c r="CB516" s="93"/>
      <c r="CC516" s="93"/>
      <c r="CF516" s="93"/>
      <c r="CG516" s="93"/>
      <c r="CH516" s="93"/>
      <c r="CI516" s="93"/>
      <c r="CJ516" s="93"/>
      <c r="CK516" s="93"/>
      <c r="CL516" s="93"/>
      <c r="CM516" s="93"/>
      <c r="CN516" s="93"/>
      <c r="CO516" s="93"/>
      <c r="CP516" s="93"/>
      <c r="CQ516" s="93"/>
      <c r="CR516" s="93"/>
      <c r="CS516" s="93"/>
      <c r="CT516" s="93"/>
      <c r="CU516" s="93"/>
      <c r="CV516" s="93"/>
      <c r="CW516" s="93"/>
      <c r="CX516" s="93"/>
      <c r="CY516" s="93"/>
      <c r="CZ516" s="93"/>
      <c r="DA516" s="93"/>
      <c r="DB516" s="93"/>
      <c r="DC516" s="93"/>
      <c r="DD516" s="93"/>
      <c r="DE516" s="93"/>
      <c r="DF516" s="93"/>
      <c r="DG516" s="93"/>
      <c r="DH516" s="93"/>
      <c r="DI516" s="93"/>
      <c r="DJ516" s="93"/>
      <c r="DK516" s="93"/>
      <c r="DL516" s="93"/>
      <c r="DM516" s="93"/>
      <c r="DN516" s="93"/>
      <c r="DO516" s="93"/>
    </row>
    <row r="517" spans="1:198" ht="15">
      <c r="A517" s="1076"/>
      <c r="B517" s="6"/>
      <c r="C517" s="6"/>
      <c r="D517" s="1065"/>
      <c r="E517" s="1041"/>
      <c r="F517" s="807"/>
      <c r="G517" s="827"/>
      <c r="H517" s="809" t="s">
        <v>12226</v>
      </c>
      <c r="I517" s="92">
        <v>13</v>
      </c>
      <c r="J517" s="92" t="s">
        <v>18</v>
      </c>
      <c r="K517" s="92" t="s">
        <v>768</v>
      </c>
      <c r="L517" s="810">
        <v>4</v>
      </c>
      <c r="M517" s="811" t="str">
        <f t="shared" si="34"/>
        <v>High School Level</v>
      </c>
      <c r="P517" s="1638"/>
      <c r="S517" s="848"/>
      <c r="T517" s="820"/>
      <c r="U517" s="820"/>
      <c r="V517" s="828"/>
      <c r="X517" s="811" t="str">
        <f t="shared" si="36"/>
        <v/>
      </c>
      <c r="AB517" s="828"/>
      <c r="AC517" s="809"/>
      <c r="AD517" s="824"/>
      <c r="AG517" s="807"/>
      <c r="AI517" s="817"/>
      <c r="AJ517" s="817"/>
      <c r="AK517" s="92"/>
      <c r="AM517" s="819"/>
      <c r="AN517" s="820"/>
      <c r="AQ517" s="93"/>
      <c r="AR517" s="93"/>
      <c r="AS517" s="93"/>
      <c r="AT517" s="93"/>
      <c r="AU517" s="93"/>
      <c r="AV517" s="93"/>
      <c r="AW517" s="93"/>
      <c r="AX517" s="93"/>
      <c r="AY517" s="93"/>
      <c r="AZ517" s="93"/>
      <c r="BA517" s="93"/>
      <c r="BB517" s="93"/>
      <c r="BL517" s="93"/>
      <c r="BM517" s="93"/>
      <c r="BT517" s="93"/>
      <c r="BU517" s="93"/>
      <c r="BV517" s="93"/>
      <c r="BW517" s="93"/>
      <c r="BX517" s="93"/>
      <c r="BY517" s="93"/>
      <c r="BZ517" s="93"/>
      <c r="CA517" s="93"/>
      <c r="CB517" s="93"/>
      <c r="CC517" s="93"/>
      <c r="CF517" s="93"/>
      <c r="CG517" s="93"/>
      <c r="CH517" s="93"/>
      <c r="CI517" s="93"/>
      <c r="CJ517" s="93"/>
      <c r="CK517" s="93"/>
      <c r="CL517" s="93"/>
      <c r="CM517" s="93"/>
      <c r="CN517" s="93"/>
      <c r="CO517" s="93"/>
      <c r="CP517" s="93"/>
      <c r="CQ517" s="93"/>
      <c r="CR517" s="93"/>
      <c r="CS517" s="93"/>
      <c r="CT517" s="93"/>
      <c r="CU517" s="93"/>
      <c r="CV517" s="93"/>
      <c r="CW517" s="93"/>
      <c r="CX517" s="93"/>
      <c r="CY517" s="93"/>
      <c r="CZ517" s="93"/>
      <c r="DA517" s="93"/>
      <c r="DB517" s="93"/>
      <c r="DC517" s="93"/>
      <c r="DD517" s="93"/>
      <c r="DE517" s="93"/>
      <c r="DF517" s="93"/>
      <c r="DG517" s="93"/>
      <c r="DH517" s="93"/>
      <c r="DI517" s="93"/>
      <c r="DJ517" s="93"/>
      <c r="DK517" s="93"/>
      <c r="DL517" s="93"/>
      <c r="DM517" s="93"/>
      <c r="DN517" s="93"/>
      <c r="DO517" s="93"/>
    </row>
    <row r="518" spans="1:198" ht="15">
      <c r="A518" s="1076"/>
      <c r="B518" s="6"/>
      <c r="C518" s="6"/>
      <c r="D518" s="1065"/>
      <c r="E518" s="1041"/>
      <c r="F518" s="807"/>
      <c r="G518" s="827"/>
      <c r="H518" s="809" t="s">
        <v>12227</v>
      </c>
      <c r="I518" s="92">
        <v>25</v>
      </c>
      <c r="J518" s="92" t="s">
        <v>10</v>
      </c>
      <c r="K518" s="92" t="s">
        <v>768</v>
      </c>
      <c r="L518" s="810">
        <v>5</v>
      </c>
      <c r="M518" s="811" t="str">
        <f t="shared" si="34"/>
        <v>High School Graduate</v>
      </c>
      <c r="P518" s="1638"/>
      <c r="S518" s="848"/>
      <c r="T518" s="820"/>
      <c r="U518" s="820"/>
      <c r="V518" s="828"/>
      <c r="X518" s="811" t="str">
        <f t="shared" si="36"/>
        <v/>
      </c>
      <c r="AB518" s="828"/>
      <c r="AC518" s="809"/>
      <c r="AD518" s="824"/>
      <c r="AG518" s="807"/>
      <c r="AI518" s="817"/>
      <c r="AJ518" s="817"/>
      <c r="AK518" s="92"/>
      <c r="AM518" s="819"/>
      <c r="AN518" s="820"/>
      <c r="AQ518" s="93"/>
      <c r="AR518" s="93"/>
      <c r="AS518" s="93"/>
      <c r="AT518" s="93"/>
      <c r="AU518" s="93"/>
      <c r="AV518" s="93"/>
      <c r="AW518" s="93"/>
      <c r="AX518" s="93"/>
      <c r="AY518" s="93"/>
      <c r="AZ518" s="93"/>
      <c r="BA518" s="93"/>
      <c r="BB518" s="93"/>
      <c r="BL518" s="93"/>
      <c r="BM518" s="93"/>
      <c r="BT518" s="93"/>
      <c r="BU518" s="93"/>
      <c r="BV518" s="93"/>
      <c r="BW518" s="93"/>
      <c r="BX518" s="93"/>
      <c r="BY518" s="93"/>
      <c r="BZ518" s="93"/>
      <c r="CA518" s="93"/>
      <c r="CB518" s="93"/>
      <c r="CC518" s="93"/>
      <c r="CF518" s="93"/>
      <c r="CG518" s="93"/>
      <c r="CH518" s="93"/>
      <c r="CI518" s="93"/>
      <c r="CJ518" s="93"/>
      <c r="CK518" s="93"/>
      <c r="CL518" s="93"/>
      <c r="CM518" s="93"/>
      <c r="CN518" s="93"/>
      <c r="CO518" s="93"/>
      <c r="CP518" s="93"/>
      <c r="CQ518" s="93"/>
      <c r="CR518" s="93"/>
      <c r="CS518" s="93"/>
      <c r="CT518" s="93"/>
      <c r="CU518" s="93"/>
      <c r="CV518" s="93"/>
      <c r="CW518" s="93"/>
      <c r="CX518" s="93"/>
      <c r="CY518" s="93"/>
      <c r="CZ518" s="93"/>
      <c r="DA518" s="93"/>
      <c r="DB518" s="93"/>
      <c r="DC518" s="93"/>
      <c r="DD518" s="93"/>
      <c r="DE518" s="93"/>
      <c r="DF518" s="93"/>
      <c r="DG518" s="93"/>
      <c r="DH518" s="93"/>
      <c r="DI518" s="93"/>
      <c r="DJ518" s="93"/>
      <c r="DK518" s="93"/>
      <c r="DL518" s="93"/>
      <c r="DM518" s="93"/>
      <c r="DN518" s="93"/>
      <c r="DO518" s="93"/>
    </row>
    <row r="519" spans="1:198" ht="15">
      <c r="A519" s="1076"/>
      <c r="B519" s="6"/>
      <c r="C519" s="6"/>
      <c r="D519" s="1065"/>
      <c r="E519" s="1041"/>
      <c r="F519" s="807"/>
      <c r="G519" s="827"/>
      <c r="H519" s="809" t="s">
        <v>12228</v>
      </c>
      <c r="I519" s="92">
        <v>17</v>
      </c>
      <c r="J519" s="92" t="s">
        <v>10</v>
      </c>
      <c r="K519" s="92" t="s">
        <v>768</v>
      </c>
      <c r="L519" s="810">
        <v>4</v>
      </c>
      <c r="M519" s="811" t="str">
        <f t="shared" si="34"/>
        <v>High School Level</v>
      </c>
      <c r="P519" s="1638"/>
      <c r="S519" s="848"/>
      <c r="T519" s="820"/>
      <c r="U519" s="820"/>
      <c r="V519" s="828">
        <f>SUM(S515:U519)</f>
        <v>0</v>
      </c>
      <c r="X519" s="811" t="str">
        <f t="shared" si="36"/>
        <v/>
      </c>
      <c r="AB519" s="828">
        <f>SUM(Y515:AA519)</f>
        <v>0</v>
      </c>
      <c r="AC519" s="809"/>
      <c r="AD519" s="824"/>
      <c r="AG519" s="807"/>
      <c r="AI519" s="817"/>
      <c r="AJ519" s="817"/>
      <c r="AK519" s="92"/>
      <c r="AM519" s="819"/>
      <c r="AN519" s="820"/>
      <c r="AQ519" s="93"/>
      <c r="AR519" s="93"/>
      <c r="AS519" s="93"/>
      <c r="AT519" s="93"/>
      <c r="AU519" s="93"/>
      <c r="AV519" s="93"/>
      <c r="AW519" s="93"/>
      <c r="AX519" s="93"/>
      <c r="AY519" s="93"/>
      <c r="AZ519" s="93"/>
      <c r="BA519" s="93"/>
      <c r="BB519" s="93"/>
      <c r="BL519" s="93"/>
      <c r="BM519" s="93"/>
      <c r="BT519" s="93"/>
      <c r="BU519" s="93"/>
      <c r="BV519" s="93"/>
      <c r="BW519" s="93"/>
      <c r="BX519" s="93"/>
      <c r="BY519" s="93"/>
      <c r="BZ519" s="93"/>
      <c r="CA519" s="93"/>
      <c r="CB519" s="93"/>
      <c r="CC519" s="93"/>
      <c r="CF519" s="93"/>
      <c r="CG519" s="93"/>
      <c r="CH519" s="93"/>
      <c r="CI519" s="93"/>
      <c r="CJ519" s="93"/>
      <c r="CK519" s="93"/>
      <c r="CL519" s="93"/>
      <c r="CM519" s="93"/>
      <c r="CN519" s="93"/>
      <c r="CO519" s="93"/>
      <c r="CP519" s="93"/>
      <c r="CQ519" s="93"/>
      <c r="CR519" s="93"/>
      <c r="CS519" s="93"/>
      <c r="CT519" s="93"/>
      <c r="CU519" s="93"/>
      <c r="CV519" s="93"/>
      <c r="CW519" s="93"/>
      <c r="CX519" s="93"/>
      <c r="CY519" s="93"/>
      <c r="CZ519" s="93"/>
      <c r="DA519" s="93"/>
      <c r="DB519" s="93"/>
      <c r="DC519" s="93"/>
      <c r="DD519" s="93"/>
      <c r="DE519" s="93"/>
      <c r="DF519" s="93"/>
      <c r="DG519" s="93"/>
      <c r="DH519" s="93"/>
      <c r="DI519" s="93"/>
      <c r="DJ519" s="93"/>
      <c r="DK519" s="93"/>
      <c r="DL519" s="93"/>
      <c r="DM519" s="93"/>
      <c r="DN519" s="93"/>
      <c r="DO519" s="93"/>
    </row>
    <row r="520" spans="1:198" s="92" customFormat="1" ht="15">
      <c r="A520" s="1013" t="s">
        <v>7421</v>
      </c>
      <c r="B520" s="115" t="s">
        <v>12240</v>
      </c>
      <c r="C520" s="1042" t="s">
        <v>371</v>
      </c>
      <c r="D520" s="1067" t="s">
        <v>371</v>
      </c>
      <c r="E520" s="1042" t="s">
        <v>371</v>
      </c>
      <c r="F520" s="1047" t="s">
        <v>1332</v>
      </c>
      <c r="G520" s="831" t="s">
        <v>371</v>
      </c>
      <c r="H520" s="831" t="s">
        <v>1332</v>
      </c>
      <c r="I520" s="92">
        <v>36</v>
      </c>
      <c r="J520" s="92" t="s">
        <v>10</v>
      </c>
      <c r="K520" s="92" t="s">
        <v>707</v>
      </c>
      <c r="L520" s="810">
        <v>2</v>
      </c>
      <c r="M520" s="811" t="str">
        <f t="shared" si="34"/>
        <v>Elementary Level</v>
      </c>
      <c r="N520" s="826" t="s">
        <v>1208</v>
      </c>
      <c r="O520" s="92" t="s">
        <v>8857</v>
      </c>
      <c r="P520" s="1638" t="s">
        <v>12606</v>
      </c>
      <c r="Q520" s="92" t="s">
        <v>8857</v>
      </c>
      <c r="R520" s="92" t="s">
        <v>8234</v>
      </c>
      <c r="S520" s="879">
        <v>10500</v>
      </c>
      <c r="T520" s="880"/>
      <c r="U520" s="880"/>
      <c r="V520" s="864"/>
      <c r="W520" s="838">
        <v>1</v>
      </c>
      <c r="X520" s="811" t="str">
        <f t="shared" si="36"/>
        <v>within the Brgy</v>
      </c>
      <c r="Y520" s="836">
        <v>1800</v>
      </c>
      <c r="Z520" s="836"/>
      <c r="AA520" s="836"/>
      <c r="AB520" s="864"/>
      <c r="AC520" s="831"/>
      <c r="AD520" s="881"/>
      <c r="AE520" s="826"/>
      <c r="AF520" s="882"/>
      <c r="AG520" s="807" t="str">
        <f t="shared" ref="AG520:AG551" si="37">IF(ISBLANK(AF520)=TRUE,"",LOOKUP(AF520,GS:GT))</f>
        <v/>
      </c>
      <c r="AH520" s="826"/>
      <c r="AI520" s="826"/>
      <c r="AJ520" s="826"/>
      <c r="AK520" s="843"/>
      <c r="AL520" s="883"/>
      <c r="AM520" s="884"/>
      <c r="AN520" s="885"/>
      <c r="AO520" s="886"/>
      <c r="AP520" s="887"/>
      <c r="AR520" s="826"/>
      <c r="AS520" s="826"/>
      <c r="AT520" s="826"/>
      <c r="AU520" s="826"/>
      <c r="AV520" s="826"/>
      <c r="AW520" s="826"/>
      <c r="AX520" s="826"/>
      <c r="AY520" s="826"/>
      <c r="AZ520" s="826"/>
      <c r="BA520" s="826"/>
      <c r="BB520" s="826"/>
      <c r="BC520" s="826"/>
      <c r="BD520" s="826"/>
      <c r="BE520" s="826"/>
      <c r="BF520" s="826"/>
      <c r="BG520" s="826"/>
      <c r="BH520" s="826"/>
      <c r="BI520" s="826"/>
      <c r="BJ520" s="826"/>
      <c r="BK520" s="826"/>
      <c r="BL520" s="826"/>
      <c r="BM520" s="826"/>
      <c r="BN520" s="826"/>
      <c r="BT520" s="826"/>
      <c r="BU520" s="826"/>
      <c r="BV520" s="826"/>
      <c r="BW520" s="826"/>
      <c r="BX520" s="826"/>
      <c r="BY520" s="826"/>
      <c r="BZ520" s="826"/>
      <c r="CA520" s="826"/>
      <c r="CB520" s="826"/>
      <c r="CC520" s="826"/>
      <c r="CD520" s="826"/>
      <c r="CE520" s="826"/>
      <c r="CF520" s="826"/>
      <c r="CG520" s="826"/>
      <c r="CH520" s="826"/>
      <c r="CI520" s="826"/>
      <c r="CJ520" s="826"/>
      <c r="CK520" s="826"/>
      <c r="CL520" s="826"/>
      <c r="CM520" s="826"/>
      <c r="CN520" s="826"/>
      <c r="CO520" s="826"/>
      <c r="CP520" s="826"/>
      <c r="CQ520" s="826"/>
      <c r="CR520" s="826"/>
      <c r="CS520" s="826"/>
      <c r="CT520" s="826"/>
      <c r="CU520" s="826"/>
      <c r="CV520" s="826"/>
      <c r="CW520" s="826"/>
      <c r="CX520" s="826"/>
      <c r="CY520" s="826"/>
      <c r="CZ520" s="826"/>
      <c r="DA520" s="826"/>
      <c r="DB520" s="826"/>
      <c r="DC520" s="826"/>
      <c r="DD520" s="826"/>
      <c r="DE520" s="826"/>
      <c r="DF520" s="826"/>
      <c r="DG520" s="826"/>
      <c r="DH520" s="826"/>
      <c r="DI520" s="826"/>
      <c r="DJ520" s="826"/>
      <c r="GP520" s="831"/>
    </row>
    <row r="521" spans="1:198" s="806" customFormat="1" ht="15">
      <c r="A521" s="1013" t="s">
        <v>7421</v>
      </c>
      <c r="D521" s="1067" t="s">
        <v>371</v>
      </c>
      <c r="E521" s="1042" t="s">
        <v>371</v>
      </c>
      <c r="G521" s="827"/>
      <c r="H521" s="809" t="s">
        <v>8858</v>
      </c>
      <c r="I521" s="92">
        <v>31</v>
      </c>
      <c r="J521" s="92" t="s">
        <v>18</v>
      </c>
      <c r="K521" s="92" t="s">
        <v>707</v>
      </c>
      <c r="L521" s="810">
        <v>3</v>
      </c>
      <c r="M521" s="811" t="str">
        <f t="shared" si="34"/>
        <v>Elementary Graduate</v>
      </c>
      <c r="N521" s="92"/>
      <c r="O521" s="92"/>
      <c r="P521" s="1638"/>
      <c r="Q521" s="92"/>
      <c r="R521" s="92"/>
      <c r="S521" s="848"/>
      <c r="T521" s="813"/>
      <c r="U521" s="813"/>
      <c r="V521" s="864"/>
      <c r="W521" s="838"/>
      <c r="X521" s="811" t="str">
        <f t="shared" si="36"/>
        <v/>
      </c>
      <c r="Y521" s="836"/>
      <c r="Z521" s="836"/>
      <c r="AA521" s="836"/>
      <c r="AB521" s="864"/>
      <c r="AC521" s="809"/>
      <c r="AD521" s="824"/>
      <c r="AE521" s="93"/>
      <c r="AF521" s="818"/>
      <c r="AG521" s="807" t="str">
        <f t="shared" si="37"/>
        <v/>
      </c>
      <c r="AH521" s="807"/>
      <c r="AI521" s="807"/>
      <c r="AJ521" s="807"/>
      <c r="AK521" s="92"/>
      <c r="AL521" s="92"/>
      <c r="AM521" s="819"/>
      <c r="AN521" s="820"/>
      <c r="AO521" s="817"/>
      <c r="AP521" s="820"/>
      <c r="AQ521" s="93"/>
      <c r="AR521" s="93"/>
      <c r="AS521" s="93"/>
      <c r="AT521" s="93"/>
      <c r="AU521" s="93"/>
      <c r="AV521" s="93"/>
      <c r="AW521" s="93"/>
      <c r="AX521" s="93"/>
      <c r="AY521" s="93"/>
      <c r="AZ521" s="93"/>
      <c r="BA521" s="93"/>
      <c r="BB521" s="93"/>
      <c r="BC521" s="93"/>
      <c r="BD521" s="93"/>
      <c r="BE521" s="93"/>
      <c r="BF521" s="93"/>
      <c r="BG521" s="93"/>
      <c r="BH521" s="93"/>
      <c r="BI521" s="93"/>
      <c r="BJ521" s="93"/>
      <c r="BK521" s="93"/>
      <c r="BL521" s="93"/>
      <c r="BM521" s="93"/>
      <c r="BN521" s="93"/>
      <c r="BT521" s="93"/>
      <c r="BU521" s="93"/>
      <c r="BV521" s="93"/>
      <c r="BW521" s="93"/>
      <c r="BX521" s="93"/>
      <c r="BY521" s="93"/>
      <c r="BZ521" s="93"/>
      <c r="CA521" s="93"/>
      <c r="CB521" s="93"/>
      <c r="CC521" s="93"/>
      <c r="CD521" s="93"/>
      <c r="CE521" s="93"/>
      <c r="CF521" s="93"/>
      <c r="CG521" s="93"/>
      <c r="CI521" s="93"/>
      <c r="CJ521" s="93"/>
      <c r="CK521" s="93"/>
      <c r="CL521" s="93"/>
      <c r="CM521" s="93"/>
      <c r="CN521" s="93"/>
      <c r="CO521" s="93"/>
      <c r="CP521" s="93"/>
      <c r="CQ521" s="93"/>
      <c r="CR521" s="93"/>
      <c r="CS521" s="93"/>
      <c r="CT521" s="93"/>
      <c r="CU521" s="93"/>
      <c r="CV521" s="93"/>
      <c r="CW521" s="93"/>
      <c r="CX521" s="93"/>
      <c r="CY521" s="93"/>
      <c r="CZ521" s="93"/>
      <c r="DA521" s="93"/>
      <c r="DB521" s="93"/>
      <c r="DC521" s="93"/>
      <c r="DD521" s="93"/>
      <c r="DE521" s="825"/>
      <c r="DF521" s="825"/>
      <c r="DG521" s="825"/>
      <c r="DH521" s="825"/>
      <c r="DI521" s="826"/>
      <c r="DJ521" s="825"/>
      <c r="GO521" s="92"/>
      <c r="GP521" s="831"/>
    </row>
    <row r="522" spans="1:198" s="806" customFormat="1" ht="15">
      <c r="A522" s="1013" t="s">
        <v>7421</v>
      </c>
      <c r="D522" s="1067" t="s">
        <v>371</v>
      </c>
      <c r="E522" s="1042" t="s">
        <v>371</v>
      </c>
      <c r="G522" s="827"/>
      <c r="H522" s="809" t="s">
        <v>8859</v>
      </c>
      <c r="I522" s="92">
        <v>13</v>
      </c>
      <c r="J522" s="92" t="s">
        <v>10</v>
      </c>
      <c r="K522" s="92" t="s">
        <v>768</v>
      </c>
      <c r="L522" s="810">
        <v>2</v>
      </c>
      <c r="M522" s="811" t="str">
        <f t="shared" si="34"/>
        <v>Elementary Level</v>
      </c>
      <c r="N522" s="92"/>
      <c r="O522" s="92"/>
      <c r="P522" s="1638"/>
      <c r="Q522" s="92"/>
      <c r="R522" s="92"/>
      <c r="S522" s="848"/>
      <c r="T522" s="813"/>
      <c r="U522" s="813"/>
      <c r="V522" s="864"/>
      <c r="W522" s="838"/>
      <c r="X522" s="811" t="str">
        <f t="shared" si="36"/>
        <v/>
      </c>
      <c r="Y522" s="836"/>
      <c r="Z522" s="836"/>
      <c r="AA522" s="836"/>
      <c r="AB522" s="864"/>
      <c r="AC522" s="809"/>
      <c r="AD522" s="824"/>
      <c r="AE522" s="93"/>
      <c r="AF522" s="818"/>
      <c r="AG522" s="807" t="str">
        <f t="shared" si="37"/>
        <v/>
      </c>
      <c r="AH522" s="807"/>
      <c r="AI522" s="807"/>
      <c r="AJ522" s="807"/>
      <c r="AK522" s="92"/>
      <c r="AL522" s="92"/>
      <c r="AM522" s="819"/>
      <c r="AN522" s="820"/>
      <c r="AO522" s="817"/>
      <c r="AP522" s="820"/>
      <c r="AQ522" s="93"/>
      <c r="AR522" s="93"/>
      <c r="AS522" s="93"/>
      <c r="AT522" s="93"/>
      <c r="AU522" s="93"/>
      <c r="AV522" s="93"/>
      <c r="AW522" s="93"/>
      <c r="AX522" s="93"/>
      <c r="AY522" s="93"/>
      <c r="AZ522" s="93"/>
      <c r="BA522" s="93"/>
      <c r="BB522" s="93"/>
      <c r="BC522" s="93"/>
      <c r="BD522" s="93"/>
      <c r="BE522" s="93"/>
      <c r="BF522" s="93"/>
      <c r="BG522" s="93"/>
      <c r="BH522" s="93"/>
      <c r="BI522" s="93"/>
      <c r="BJ522" s="93"/>
      <c r="BK522" s="93"/>
      <c r="BL522" s="93"/>
      <c r="BM522" s="93"/>
      <c r="BN522" s="93"/>
      <c r="BT522" s="93"/>
      <c r="BU522" s="93"/>
      <c r="BV522" s="93"/>
      <c r="BW522" s="93"/>
      <c r="BX522" s="93"/>
      <c r="BY522" s="93"/>
      <c r="BZ522" s="93"/>
      <c r="CA522" s="93"/>
      <c r="CB522" s="93"/>
      <c r="CC522" s="93"/>
      <c r="CD522" s="93"/>
      <c r="CE522" s="93"/>
      <c r="CF522" s="93"/>
      <c r="CG522" s="93"/>
      <c r="CI522" s="93"/>
      <c r="CJ522" s="93"/>
      <c r="CK522" s="93"/>
      <c r="CL522" s="93"/>
      <c r="CM522" s="93"/>
      <c r="CN522" s="93"/>
      <c r="CO522" s="93"/>
      <c r="CP522" s="93"/>
      <c r="CQ522" s="93"/>
      <c r="CR522" s="93"/>
      <c r="CS522" s="93"/>
      <c r="CT522" s="93"/>
      <c r="CU522" s="93"/>
      <c r="CV522" s="93"/>
      <c r="CW522" s="93"/>
      <c r="CX522" s="93"/>
      <c r="CY522" s="93"/>
      <c r="CZ522" s="93"/>
      <c r="DA522" s="93"/>
      <c r="DB522" s="93"/>
      <c r="DC522" s="93"/>
      <c r="DD522" s="93"/>
      <c r="DE522" s="825"/>
      <c r="DF522" s="825"/>
      <c r="DG522" s="825"/>
      <c r="DH522" s="825"/>
      <c r="DI522" s="826"/>
      <c r="DJ522" s="825"/>
      <c r="GO522" s="92"/>
      <c r="GP522" s="831"/>
    </row>
    <row r="523" spans="1:198" s="806" customFormat="1" ht="15">
      <c r="A523" s="1013" t="s">
        <v>7421</v>
      </c>
      <c r="D523" s="1067" t="s">
        <v>371</v>
      </c>
      <c r="E523" s="1042" t="s">
        <v>371</v>
      </c>
      <c r="G523" s="827"/>
      <c r="H523" s="809" t="s">
        <v>8860</v>
      </c>
      <c r="I523" s="92">
        <v>11</v>
      </c>
      <c r="J523" s="92" t="s">
        <v>10</v>
      </c>
      <c r="K523" s="92" t="s">
        <v>768</v>
      </c>
      <c r="L523" s="810">
        <v>2</v>
      </c>
      <c r="M523" s="811" t="str">
        <f t="shared" ref="M523:M586" si="38">IF(ISBLANK(L523)=TRUE,"",LOOKUP(L523,GQ:GR))</f>
        <v>Elementary Level</v>
      </c>
      <c r="N523" s="92"/>
      <c r="O523" s="92"/>
      <c r="P523" s="1638"/>
      <c r="Q523" s="92"/>
      <c r="R523" s="92"/>
      <c r="S523" s="848"/>
      <c r="T523" s="813"/>
      <c r="U523" s="813"/>
      <c r="V523" s="864"/>
      <c r="W523" s="838"/>
      <c r="X523" s="811" t="str">
        <f t="shared" si="36"/>
        <v/>
      </c>
      <c r="Y523" s="836"/>
      <c r="Z523" s="836"/>
      <c r="AA523" s="836"/>
      <c r="AB523" s="864"/>
      <c r="AC523" s="809"/>
      <c r="AD523" s="824"/>
      <c r="AE523" s="93"/>
      <c r="AF523" s="818"/>
      <c r="AG523" s="807" t="str">
        <f t="shared" si="37"/>
        <v/>
      </c>
      <c r="AH523" s="807"/>
      <c r="AI523" s="807"/>
      <c r="AJ523" s="807"/>
      <c r="AK523" s="92"/>
      <c r="AL523" s="92"/>
      <c r="AM523" s="819"/>
      <c r="AN523" s="820"/>
      <c r="AO523" s="817"/>
      <c r="AP523" s="820"/>
      <c r="AQ523" s="93"/>
      <c r="AR523" s="93"/>
      <c r="AS523" s="93"/>
      <c r="AT523" s="93"/>
      <c r="AU523" s="93"/>
      <c r="AV523" s="93"/>
      <c r="AW523" s="93"/>
      <c r="AX523" s="93"/>
      <c r="AY523" s="93"/>
      <c r="AZ523" s="93"/>
      <c r="BA523" s="93"/>
      <c r="BB523" s="93"/>
      <c r="BC523" s="93"/>
      <c r="BD523" s="93"/>
      <c r="BE523" s="93"/>
      <c r="BF523" s="93"/>
      <c r="BG523" s="93"/>
      <c r="BH523" s="93"/>
      <c r="BI523" s="93"/>
      <c r="BJ523" s="93"/>
      <c r="BK523" s="93"/>
      <c r="BL523" s="93"/>
      <c r="BM523" s="93"/>
      <c r="BN523" s="93"/>
      <c r="BT523" s="93"/>
      <c r="BU523" s="93"/>
      <c r="BV523" s="93"/>
      <c r="BW523" s="93"/>
      <c r="BX523" s="93"/>
      <c r="BY523" s="93"/>
      <c r="BZ523" s="93"/>
      <c r="CA523" s="93"/>
      <c r="CB523" s="93"/>
      <c r="CC523" s="93"/>
      <c r="CD523" s="93"/>
      <c r="CE523" s="93"/>
      <c r="CF523" s="93"/>
      <c r="CG523" s="93"/>
      <c r="CI523" s="93"/>
      <c r="CJ523" s="93"/>
      <c r="CK523" s="93"/>
      <c r="CL523" s="93"/>
      <c r="CM523" s="93"/>
      <c r="CN523" s="93"/>
      <c r="CO523" s="93"/>
      <c r="CP523" s="93"/>
      <c r="CQ523" s="93"/>
      <c r="CR523" s="93"/>
      <c r="CS523" s="93"/>
      <c r="CT523" s="93"/>
      <c r="CU523" s="93"/>
      <c r="CV523" s="93"/>
      <c r="CW523" s="93"/>
      <c r="CX523" s="93"/>
      <c r="CY523" s="93"/>
      <c r="CZ523" s="93"/>
      <c r="DA523" s="93"/>
      <c r="DB523" s="93"/>
      <c r="DC523" s="93"/>
      <c r="DD523" s="93"/>
      <c r="DE523" s="825"/>
      <c r="DF523" s="825"/>
      <c r="DG523" s="825"/>
      <c r="DH523" s="825"/>
      <c r="DI523" s="826"/>
      <c r="DJ523" s="825"/>
      <c r="GO523" s="92"/>
      <c r="GP523" s="831"/>
    </row>
    <row r="524" spans="1:198" s="806" customFormat="1" ht="15">
      <c r="A524" s="1013" t="s">
        <v>7421</v>
      </c>
      <c r="D524" s="1067" t="s">
        <v>371</v>
      </c>
      <c r="E524" s="1042" t="s">
        <v>371</v>
      </c>
      <c r="G524" s="827"/>
      <c r="H524" s="809" t="s">
        <v>8861</v>
      </c>
      <c r="I524" s="92">
        <v>9</v>
      </c>
      <c r="J524" s="92" t="s">
        <v>10</v>
      </c>
      <c r="K524" s="92" t="s">
        <v>768</v>
      </c>
      <c r="L524" s="810">
        <v>2</v>
      </c>
      <c r="M524" s="811" t="str">
        <f t="shared" si="38"/>
        <v>Elementary Level</v>
      </c>
      <c r="N524" s="92"/>
      <c r="O524" s="92"/>
      <c r="P524" s="1638"/>
      <c r="Q524" s="92"/>
      <c r="R524" s="92"/>
      <c r="S524" s="848"/>
      <c r="T524" s="813"/>
      <c r="U524" s="813"/>
      <c r="V524" s="864"/>
      <c r="W524" s="838"/>
      <c r="X524" s="811" t="str">
        <f t="shared" si="36"/>
        <v/>
      </c>
      <c r="Y524" s="836"/>
      <c r="Z524" s="836"/>
      <c r="AA524" s="836"/>
      <c r="AB524" s="864"/>
      <c r="AC524" s="809"/>
      <c r="AD524" s="824"/>
      <c r="AE524" s="93"/>
      <c r="AF524" s="818"/>
      <c r="AG524" s="807" t="str">
        <f t="shared" si="37"/>
        <v/>
      </c>
      <c r="AH524" s="807"/>
      <c r="AI524" s="807"/>
      <c r="AJ524" s="807"/>
      <c r="AK524" s="92"/>
      <c r="AL524" s="92"/>
      <c r="AM524" s="819"/>
      <c r="AN524" s="820"/>
      <c r="AO524" s="817"/>
      <c r="AP524" s="820"/>
      <c r="AQ524" s="93"/>
      <c r="AR524" s="93"/>
      <c r="AS524" s="93"/>
      <c r="AT524" s="93"/>
      <c r="AU524" s="93"/>
      <c r="AV524" s="93"/>
      <c r="AW524" s="93"/>
      <c r="AX524" s="93"/>
      <c r="AY524" s="93"/>
      <c r="AZ524" s="93"/>
      <c r="BA524" s="93"/>
      <c r="BB524" s="93"/>
      <c r="BC524" s="93"/>
      <c r="BD524" s="93"/>
      <c r="BE524" s="93"/>
      <c r="BF524" s="93"/>
      <c r="BG524" s="93"/>
      <c r="BH524" s="93"/>
      <c r="BI524" s="93"/>
      <c r="BJ524" s="93"/>
      <c r="BK524" s="93"/>
      <c r="BL524" s="93"/>
      <c r="BM524" s="93"/>
      <c r="BN524" s="93"/>
      <c r="BT524" s="93"/>
      <c r="BU524" s="93"/>
      <c r="BV524" s="93"/>
      <c r="BW524" s="93"/>
      <c r="BX524" s="93"/>
      <c r="BY524" s="93"/>
      <c r="BZ524" s="93"/>
      <c r="CA524" s="93"/>
      <c r="CB524" s="93"/>
      <c r="CC524" s="93"/>
      <c r="CD524" s="93"/>
      <c r="CE524" s="93"/>
      <c r="CF524" s="93"/>
      <c r="CG524" s="93"/>
      <c r="CI524" s="93"/>
      <c r="CJ524" s="93"/>
      <c r="CK524" s="93"/>
      <c r="CL524" s="93"/>
      <c r="CM524" s="93"/>
      <c r="CN524" s="93"/>
      <c r="CO524" s="93"/>
      <c r="CP524" s="93"/>
      <c r="CQ524" s="93"/>
      <c r="CR524" s="93"/>
      <c r="CS524" s="93"/>
      <c r="CT524" s="93"/>
      <c r="CU524" s="93"/>
      <c r="CV524" s="93"/>
      <c r="CW524" s="93"/>
      <c r="CX524" s="93"/>
      <c r="CY524" s="93"/>
      <c r="CZ524" s="93"/>
      <c r="DA524" s="93"/>
      <c r="DB524" s="93"/>
      <c r="DC524" s="93"/>
      <c r="DD524" s="93"/>
      <c r="DE524" s="825"/>
      <c r="DF524" s="825"/>
      <c r="DG524" s="825"/>
      <c r="DH524" s="825"/>
      <c r="DI524" s="826"/>
      <c r="DJ524" s="825"/>
      <c r="GO524" s="92"/>
      <c r="GP524" s="831"/>
    </row>
    <row r="525" spans="1:198" s="806" customFormat="1" ht="15">
      <c r="A525" s="1013" t="s">
        <v>7421</v>
      </c>
      <c r="D525" s="1067" t="s">
        <v>371</v>
      </c>
      <c r="E525" s="1042" t="s">
        <v>371</v>
      </c>
      <c r="G525" s="827"/>
      <c r="H525" s="809" t="s">
        <v>8862</v>
      </c>
      <c r="I525" s="92">
        <v>4</v>
      </c>
      <c r="J525" s="92" t="s">
        <v>18</v>
      </c>
      <c r="K525" s="92" t="s">
        <v>768</v>
      </c>
      <c r="L525" s="810">
        <v>10</v>
      </c>
      <c r="M525" s="811" t="str">
        <f t="shared" si="38"/>
        <v>Not In School Age</v>
      </c>
      <c r="N525" s="92"/>
      <c r="O525" s="92"/>
      <c r="P525" s="1638"/>
      <c r="Q525" s="92"/>
      <c r="R525" s="92"/>
      <c r="S525" s="848"/>
      <c r="T525" s="813"/>
      <c r="U525" s="813"/>
      <c r="V525" s="864"/>
      <c r="W525" s="838"/>
      <c r="X525" s="811" t="str">
        <f t="shared" si="36"/>
        <v/>
      </c>
      <c r="Y525" s="836"/>
      <c r="Z525" s="836"/>
      <c r="AA525" s="836"/>
      <c r="AB525" s="864"/>
      <c r="AC525" s="809"/>
      <c r="AD525" s="824"/>
      <c r="AE525" s="93"/>
      <c r="AF525" s="818"/>
      <c r="AG525" s="807" t="str">
        <f t="shared" si="37"/>
        <v/>
      </c>
      <c r="AH525" s="807"/>
      <c r="AI525" s="807"/>
      <c r="AJ525" s="807"/>
      <c r="AK525" s="92"/>
      <c r="AL525" s="92"/>
      <c r="AM525" s="819"/>
      <c r="AN525" s="820"/>
      <c r="AO525" s="817"/>
      <c r="AP525" s="820"/>
      <c r="AQ525" s="93"/>
      <c r="AR525" s="93"/>
      <c r="AS525" s="93"/>
      <c r="AT525" s="93"/>
      <c r="AU525" s="93"/>
      <c r="AV525" s="93"/>
      <c r="AW525" s="93"/>
      <c r="AX525" s="93"/>
      <c r="AY525" s="93"/>
      <c r="AZ525" s="93"/>
      <c r="BA525" s="93"/>
      <c r="BB525" s="93"/>
      <c r="BC525" s="93"/>
      <c r="BD525" s="93"/>
      <c r="BE525" s="93"/>
      <c r="BF525" s="93"/>
      <c r="BG525" s="93"/>
      <c r="BH525" s="93"/>
      <c r="BI525" s="93"/>
      <c r="BJ525" s="93"/>
      <c r="BK525" s="93"/>
      <c r="BL525" s="93"/>
      <c r="BM525" s="93"/>
      <c r="BN525" s="93"/>
      <c r="BT525" s="93"/>
      <c r="BU525" s="93"/>
      <c r="BV525" s="93"/>
      <c r="BW525" s="93"/>
      <c r="BX525" s="93"/>
      <c r="BY525" s="93"/>
      <c r="BZ525" s="93"/>
      <c r="CA525" s="93"/>
      <c r="CB525" s="93"/>
      <c r="CC525" s="93"/>
      <c r="CD525" s="93"/>
      <c r="CE525" s="93"/>
      <c r="CF525" s="93"/>
      <c r="CG525" s="93"/>
      <c r="CI525" s="93"/>
      <c r="CJ525" s="93"/>
      <c r="CK525" s="93"/>
      <c r="CL525" s="93"/>
      <c r="CM525" s="93"/>
      <c r="CN525" s="93"/>
      <c r="CO525" s="93"/>
      <c r="CP525" s="93"/>
      <c r="CQ525" s="93"/>
      <c r="CR525" s="93"/>
      <c r="CS525" s="93"/>
      <c r="CT525" s="93"/>
      <c r="CU525" s="93"/>
      <c r="CV525" s="93"/>
      <c r="CW525" s="93"/>
      <c r="CX525" s="93"/>
      <c r="CY525" s="93"/>
      <c r="CZ525" s="93"/>
      <c r="DA525" s="93"/>
      <c r="DB525" s="93"/>
      <c r="DC525" s="93"/>
      <c r="DD525" s="93"/>
      <c r="DE525" s="825"/>
      <c r="DF525" s="825"/>
      <c r="DG525" s="825"/>
      <c r="DH525" s="825"/>
      <c r="DI525" s="826"/>
      <c r="DJ525" s="825"/>
      <c r="GO525" s="92"/>
      <c r="GP525" s="831"/>
    </row>
    <row r="526" spans="1:198" s="806" customFormat="1" ht="15">
      <c r="A526" s="1013" t="s">
        <v>7421</v>
      </c>
      <c r="B526" s="1229" t="s">
        <v>12251</v>
      </c>
      <c r="C526" s="1042" t="s">
        <v>372</v>
      </c>
      <c r="D526" s="1067" t="s">
        <v>371</v>
      </c>
      <c r="E526" s="1042" t="s">
        <v>371</v>
      </c>
      <c r="G526" s="827"/>
      <c r="H526" s="809" t="s">
        <v>8863</v>
      </c>
      <c r="I526" s="92">
        <v>3</v>
      </c>
      <c r="J526" s="92" t="s">
        <v>10</v>
      </c>
      <c r="K526" s="92" t="s">
        <v>768</v>
      </c>
      <c r="L526" s="810">
        <v>10</v>
      </c>
      <c r="M526" s="811" t="str">
        <f t="shared" si="38"/>
        <v>Not In School Age</v>
      </c>
      <c r="N526" s="92"/>
      <c r="O526" s="92"/>
      <c r="P526" s="1638"/>
      <c r="Q526" s="92"/>
      <c r="R526" s="92" t="s">
        <v>1208</v>
      </c>
      <c r="S526" s="848"/>
      <c r="T526" s="813"/>
      <c r="U526" s="813"/>
      <c r="V526" s="864">
        <f>SUM(S520:U526)</f>
        <v>10500</v>
      </c>
      <c r="W526" s="838"/>
      <c r="X526" s="811" t="str">
        <f t="shared" si="36"/>
        <v/>
      </c>
      <c r="Y526" s="836"/>
      <c r="Z526" s="836"/>
      <c r="AA526" s="836"/>
      <c r="AB526" s="864">
        <f>SUM(Y520:AA526)</f>
        <v>1800</v>
      </c>
      <c r="AC526" s="809"/>
      <c r="AD526" s="824"/>
      <c r="AE526" s="93"/>
      <c r="AF526" s="818"/>
      <c r="AG526" s="807" t="str">
        <f t="shared" si="37"/>
        <v/>
      </c>
      <c r="AH526" s="807"/>
      <c r="AI526" s="807"/>
      <c r="AJ526" s="807"/>
      <c r="AK526" s="92"/>
      <c r="AL526" s="92"/>
      <c r="AM526" s="819"/>
      <c r="AN526" s="820"/>
      <c r="AO526" s="817"/>
      <c r="AP526" s="820"/>
      <c r="AQ526" s="93"/>
      <c r="AR526" s="93"/>
      <c r="AS526" s="93"/>
      <c r="AT526" s="93"/>
      <c r="AU526" s="93"/>
      <c r="AV526" s="93"/>
      <c r="AW526" s="93"/>
      <c r="AX526" s="93"/>
      <c r="AY526" s="93"/>
      <c r="AZ526" s="93"/>
      <c r="BA526" s="93"/>
      <c r="BB526" s="93"/>
      <c r="BC526" s="93"/>
      <c r="BD526" s="93"/>
      <c r="BE526" s="93"/>
      <c r="BF526" s="93"/>
      <c r="BG526" s="93"/>
      <c r="BH526" s="93"/>
      <c r="BI526" s="93"/>
      <c r="BJ526" s="93"/>
      <c r="BK526" s="93"/>
      <c r="BL526" s="93"/>
      <c r="BM526" s="93"/>
      <c r="BN526" s="93"/>
      <c r="BT526" s="93"/>
      <c r="BU526" s="93"/>
      <c r="BV526" s="93"/>
      <c r="BW526" s="93"/>
      <c r="BX526" s="93"/>
      <c r="BY526" s="93"/>
      <c r="BZ526" s="93"/>
      <c r="CA526" s="93"/>
      <c r="CB526" s="93"/>
      <c r="CC526" s="93"/>
      <c r="CD526" s="93"/>
      <c r="CE526" s="93"/>
      <c r="CF526" s="93"/>
      <c r="CG526" s="93"/>
      <c r="CI526" s="93"/>
      <c r="CJ526" s="93"/>
      <c r="CK526" s="93"/>
      <c r="CL526" s="93"/>
      <c r="CM526" s="93"/>
      <c r="CN526" s="93"/>
      <c r="CO526" s="93"/>
      <c r="CP526" s="93"/>
      <c r="CQ526" s="93"/>
      <c r="CR526" s="93"/>
      <c r="CS526" s="93"/>
      <c r="CT526" s="93"/>
      <c r="CU526" s="93"/>
      <c r="CV526" s="93"/>
      <c r="CW526" s="93"/>
      <c r="CX526" s="93"/>
      <c r="CY526" s="93"/>
      <c r="CZ526" s="93"/>
      <c r="DA526" s="93"/>
      <c r="DB526" s="93"/>
      <c r="DC526" s="93"/>
      <c r="DD526" s="93"/>
      <c r="DE526" s="825"/>
      <c r="DF526" s="825"/>
      <c r="DG526" s="825"/>
      <c r="DH526" s="825"/>
      <c r="DI526" s="826"/>
      <c r="DJ526" s="825"/>
      <c r="GO526" s="92"/>
      <c r="GP526" s="831"/>
    </row>
    <row r="527" spans="1:198" s="806" customFormat="1" ht="15">
      <c r="A527" s="1013" t="s">
        <v>7421</v>
      </c>
      <c r="B527" s="115" t="s">
        <v>12253</v>
      </c>
      <c r="C527" s="1042" t="s">
        <v>373</v>
      </c>
      <c r="D527" s="935" t="s">
        <v>373</v>
      </c>
      <c r="E527" s="1042" t="s">
        <v>373</v>
      </c>
      <c r="F527" s="1047" t="s">
        <v>1976</v>
      </c>
      <c r="G527" s="809" t="s">
        <v>373</v>
      </c>
      <c r="H527" s="809" t="s">
        <v>1976</v>
      </c>
      <c r="I527" s="92">
        <v>55</v>
      </c>
      <c r="J527" s="92" t="s">
        <v>10</v>
      </c>
      <c r="K527" s="92" t="s">
        <v>707</v>
      </c>
      <c r="L527" s="810">
        <v>5</v>
      </c>
      <c r="M527" s="811" t="str">
        <f t="shared" si="38"/>
        <v>High School Graduate</v>
      </c>
      <c r="N527" s="92" t="s">
        <v>1208</v>
      </c>
      <c r="O527" s="92" t="s">
        <v>2216</v>
      </c>
      <c r="P527" s="1638" t="s">
        <v>12610</v>
      </c>
      <c r="Q527" s="92" t="s">
        <v>2216</v>
      </c>
      <c r="R527" s="92" t="s">
        <v>8234</v>
      </c>
      <c r="S527" s="840"/>
      <c r="T527" s="813"/>
      <c r="U527" s="813">
        <v>500</v>
      </c>
      <c r="V527" s="849"/>
      <c r="W527" s="838">
        <v>1</v>
      </c>
      <c r="X527" s="811" t="str">
        <f t="shared" si="36"/>
        <v>within the Brgy</v>
      </c>
      <c r="Y527" s="836"/>
      <c r="Z527" s="836"/>
      <c r="AA527" s="836"/>
      <c r="AB527" s="849"/>
      <c r="AC527" s="809" t="s">
        <v>2216</v>
      </c>
      <c r="AD527" s="824"/>
      <c r="AE527" s="93" t="s">
        <v>8864</v>
      </c>
      <c r="AF527" s="818"/>
      <c r="AG527" s="807" t="str">
        <f t="shared" si="37"/>
        <v/>
      </c>
      <c r="AH527" s="807"/>
      <c r="AI527" s="807"/>
      <c r="AJ527" s="807"/>
      <c r="AK527" s="92"/>
      <c r="AL527" s="92"/>
      <c r="AM527" s="819"/>
      <c r="AN527" s="820"/>
      <c r="AO527" s="817"/>
      <c r="AP527" s="820"/>
      <c r="AQ527" s="93" t="s">
        <v>2144</v>
      </c>
      <c r="AR527" s="93"/>
      <c r="AS527" s="93"/>
      <c r="AT527" s="93"/>
      <c r="AU527" s="93"/>
      <c r="AV527" s="93"/>
      <c r="AW527" s="93"/>
      <c r="AX527" s="93"/>
      <c r="AY527" s="93"/>
      <c r="AZ527" s="93"/>
      <c r="BA527" s="93"/>
      <c r="BB527" s="93"/>
      <c r="BC527" s="93"/>
      <c r="BD527" s="93"/>
      <c r="BE527" s="93"/>
      <c r="BF527" s="93"/>
      <c r="BG527" s="93"/>
      <c r="BH527" s="93"/>
      <c r="BI527" s="93"/>
      <c r="BJ527" s="93"/>
      <c r="BK527" s="93"/>
      <c r="BL527" s="93"/>
      <c r="BM527" s="93"/>
      <c r="BN527" s="93"/>
      <c r="BT527" s="93"/>
      <c r="BU527" s="93"/>
      <c r="BV527" s="93" t="s">
        <v>2144</v>
      </c>
      <c r="BW527" s="93"/>
      <c r="BX527" s="93" t="s">
        <v>2145</v>
      </c>
      <c r="BY527" s="93"/>
      <c r="BZ527" s="93"/>
      <c r="CA527" s="93"/>
      <c r="CB527" s="93"/>
      <c r="CC527" s="93"/>
      <c r="CD527" s="93"/>
      <c r="CE527" s="93"/>
      <c r="CF527" s="93"/>
      <c r="CG527" s="93"/>
      <c r="CI527" s="93"/>
      <c r="CJ527" s="93"/>
      <c r="CK527" s="93"/>
      <c r="CL527" s="93"/>
      <c r="CM527" s="93"/>
      <c r="CN527" s="93"/>
      <c r="CO527" s="93"/>
      <c r="CP527" s="93"/>
      <c r="CQ527" s="93"/>
      <c r="CR527" s="93"/>
      <c r="CS527" s="93"/>
      <c r="CT527" s="93" t="s">
        <v>2146</v>
      </c>
      <c r="CU527" s="93"/>
      <c r="CV527" s="93"/>
      <c r="CW527" s="93"/>
      <c r="CX527" s="93"/>
      <c r="CY527" s="93"/>
      <c r="CZ527" s="93"/>
      <c r="DA527" s="93"/>
      <c r="DB527" s="93"/>
      <c r="DC527" s="93"/>
      <c r="DD527" s="93"/>
      <c r="DE527" s="825"/>
      <c r="DF527" s="825"/>
      <c r="DG527" s="825"/>
      <c r="DH527" s="825"/>
      <c r="DI527" s="826"/>
      <c r="DJ527" s="825"/>
      <c r="GO527" s="92"/>
      <c r="GP527" s="831"/>
    </row>
    <row r="528" spans="1:198" s="806" customFormat="1" ht="15">
      <c r="A528" s="1013" t="s">
        <v>7421</v>
      </c>
      <c r="D528" s="935" t="s">
        <v>373</v>
      </c>
      <c r="E528" s="1042" t="s">
        <v>373</v>
      </c>
      <c r="G528" s="827"/>
      <c r="H528" s="809" t="s">
        <v>8865</v>
      </c>
      <c r="I528" s="92">
        <v>45</v>
      </c>
      <c r="J528" s="92" t="s">
        <v>18</v>
      </c>
      <c r="K528" s="92" t="s">
        <v>707</v>
      </c>
      <c r="L528" s="810">
        <v>3</v>
      </c>
      <c r="M528" s="811" t="str">
        <f t="shared" si="38"/>
        <v>Elementary Graduate</v>
      </c>
      <c r="N528" s="92"/>
      <c r="O528" s="92"/>
      <c r="P528" s="1638"/>
      <c r="Q528" s="92"/>
      <c r="R528" s="92"/>
      <c r="S528" s="848"/>
      <c r="T528" s="813"/>
      <c r="U528" s="813"/>
      <c r="V528" s="849"/>
      <c r="W528" s="838"/>
      <c r="X528" s="811" t="str">
        <f t="shared" si="36"/>
        <v/>
      </c>
      <c r="Y528" s="836"/>
      <c r="Z528" s="836"/>
      <c r="AA528" s="836"/>
      <c r="AB528" s="849"/>
      <c r="AC528" s="809"/>
      <c r="AD528" s="824"/>
      <c r="AE528" s="93"/>
      <c r="AF528" s="818"/>
      <c r="AG528" s="807" t="str">
        <f t="shared" si="37"/>
        <v/>
      </c>
      <c r="AH528" s="807"/>
      <c r="AI528" s="807"/>
      <c r="AJ528" s="807"/>
      <c r="AK528" s="92"/>
      <c r="AL528" s="92"/>
      <c r="AM528" s="819"/>
      <c r="AN528" s="820"/>
      <c r="AO528" s="817"/>
      <c r="AP528" s="820"/>
      <c r="AQ528" s="93"/>
      <c r="AR528" s="93"/>
      <c r="AS528" s="93"/>
      <c r="AT528" s="93"/>
      <c r="AU528" s="93"/>
      <c r="AV528" s="93"/>
      <c r="AW528" s="93"/>
      <c r="AX528" s="93"/>
      <c r="AY528" s="93"/>
      <c r="AZ528" s="93"/>
      <c r="BA528" s="93"/>
      <c r="BB528" s="93"/>
      <c r="BC528" s="93"/>
      <c r="BD528" s="93"/>
      <c r="BE528" s="93"/>
      <c r="BF528" s="93"/>
      <c r="BG528" s="93"/>
      <c r="BH528" s="93"/>
      <c r="BI528" s="93"/>
      <c r="BJ528" s="93"/>
      <c r="BK528" s="93"/>
      <c r="BL528" s="93"/>
      <c r="BM528" s="93"/>
      <c r="BN528" s="93"/>
      <c r="BT528" s="93"/>
      <c r="BU528" s="93"/>
      <c r="BV528" s="93"/>
      <c r="BW528" s="93"/>
      <c r="BX528" s="93"/>
      <c r="BY528" s="93"/>
      <c r="BZ528" s="93"/>
      <c r="CA528" s="93"/>
      <c r="CB528" s="93"/>
      <c r="CC528" s="93"/>
      <c r="CD528" s="93"/>
      <c r="CE528" s="93"/>
      <c r="CF528" s="93"/>
      <c r="CG528" s="93"/>
      <c r="CI528" s="93"/>
      <c r="CJ528" s="93"/>
      <c r="CK528" s="93"/>
      <c r="CL528" s="93"/>
      <c r="CM528" s="93"/>
      <c r="CN528" s="93"/>
      <c r="CO528" s="93"/>
      <c r="CP528" s="93"/>
      <c r="CQ528" s="93"/>
      <c r="CR528" s="93"/>
      <c r="CS528" s="93"/>
      <c r="CT528" s="93"/>
      <c r="CU528" s="93"/>
      <c r="CV528" s="93"/>
      <c r="CW528" s="93"/>
      <c r="CX528" s="93"/>
      <c r="CY528" s="93"/>
      <c r="CZ528" s="93"/>
      <c r="DA528" s="93"/>
      <c r="DB528" s="93"/>
      <c r="DC528" s="93"/>
      <c r="DD528" s="93"/>
      <c r="DE528" s="825"/>
      <c r="DF528" s="825"/>
      <c r="DG528" s="825"/>
      <c r="DH528" s="825"/>
      <c r="DI528" s="826"/>
      <c r="DJ528" s="825"/>
      <c r="GO528" s="92"/>
      <c r="GP528" s="831"/>
    </row>
    <row r="529" spans="1:198" ht="15">
      <c r="A529" s="1013" t="s">
        <v>7421</v>
      </c>
      <c r="D529" s="935" t="s">
        <v>373</v>
      </c>
      <c r="E529" s="1042" t="s">
        <v>373</v>
      </c>
      <c r="G529" s="827"/>
      <c r="H529" s="809" t="s">
        <v>8866</v>
      </c>
      <c r="I529" s="92">
        <v>25</v>
      </c>
      <c r="J529" s="92" t="s">
        <v>18</v>
      </c>
      <c r="K529" s="92" t="s">
        <v>768</v>
      </c>
      <c r="L529" s="810">
        <v>6</v>
      </c>
      <c r="M529" s="811" t="str">
        <f t="shared" si="38"/>
        <v>College Level</v>
      </c>
      <c r="O529" s="92"/>
      <c r="P529" s="1638"/>
      <c r="Q529" s="92"/>
      <c r="R529" s="92"/>
      <c r="S529" s="848"/>
      <c r="T529" s="820"/>
      <c r="U529" s="820"/>
      <c r="V529" s="828"/>
      <c r="X529" s="811" t="str">
        <f t="shared" si="36"/>
        <v/>
      </c>
      <c r="AB529" s="828"/>
      <c r="AC529" s="809"/>
      <c r="AD529" s="824"/>
      <c r="AG529" s="807" t="str">
        <f t="shared" si="37"/>
        <v/>
      </c>
      <c r="AI529" s="817"/>
      <c r="AJ529" s="817"/>
      <c r="AK529" s="92"/>
      <c r="AM529" s="819"/>
      <c r="AN529" s="820"/>
      <c r="AQ529" s="93"/>
      <c r="AR529" s="93"/>
      <c r="AS529" s="93"/>
      <c r="AT529" s="93"/>
      <c r="AU529" s="93"/>
      <c r="AV529" s="93"/>
      <c r="AW529" s="93"/>
      <c r="AX529" s="93"/>
      <c r="AY529" s="93"/>
      <c r="AZ529" s="93"/>
      <c r="BA529" s="93"/>
      <c r="BB529" s="93"/>
      <c r="BL529" s="93"/>
      <c r="BM529" s="93"/>
      <c r="BT529" s="93"/>
      <c r="BU529" s="93"/>
      <c r="BV529" s="93"/>
      <c r="BW529" s="93"/>
      <c r="BX529" s="93"/>
      <c r="BY529" s="93"/>
      <c r="BZ529" s="93"/>
      <c r="CA529" s="93"/>
      <c r="CB529" s="93"/>
      <c r="CC529" s="93"/>
      <c r="CF529" s="93"/>
      <c r="CG529" s="93"/>
      <c r="CH529" s="93"/>
      <c r="CI529" s="93"/>
      <c r="CJ529" s="93"/>
      <c r="CK529" s="93"/>
      <c r="CL529" s="93"/>
      <c r="CM529" s="93"/>
      <c r="CN529" s="93"/>
      <c r="CO529" s="93"/>
      <c r="CP529" s="93"/>
      <c r="CQ529" s="93"/>
      <c r="CR529" s="93"/>
      <c r="CS529" s="93"/>
      <c r="CT529" s="93"/>
      <c r="CU529" s="93"/>
      <c r="CV529" s="93"/>
      <c r="CW529" s="93"/>
      <c r="CX529" s="93"/>
      <c r="CY529" s="93"/>
      <c r="CZ529" s="93"/>
      <c r="DA529" s="93"/>
      <c r="DB529" s="93"/>
      <c r="DC529" s="93"/>
      <c r="DD529" s="93"/>
      <c r="DE529" s="93"/>
      <c r="DF529" s="93"/>
      <c r="DG529" s="93"/>
      <c r="DH529" s="93"/>
      <c r="DI529" s="93"/>
      <c r="DJ529" s="93"/>
      <c r="DK529" s="93"/>
      <c r="DL529" s="93"/>
      <c r="DM529" s="93"/>
      <c r="DN529" s="93"/>
      <c r="DO529" s="93"/>
    </row>
    <row r="530" spans="1:198" s="806" customFormat="1" ht="15">
      <c r="A530" s="1013" t="s">
        <v>7421</v>
      </c>
      <c r="D530" s="935" t="s">
        <v>373</v>
      </c>
      <c r="E530" s="1042" t="s">
        <v>373</v>
      </c>
      <c r="G530" s="827"/>
      <c r="H530" s="809" t="s">
        <v>8867</v>
      </c>
      <c r="I530" s="92">
        <v>23</v>
      </c>
      <c r="J530" s="92" t="s">
        <v>18</v>
      </c>
      <c r="K530" s="92" t="s">
        <v>768</v>
      </c>
      <c r="L530" s="810">
        <v>7</v>
      </c>
      <c r="M530" s="811" t="str">
        <f t="shared" si="38"/>
        <v>College Graduate or Higher</v>
      </c>
      <c r="N530" s="92" t="s">
        <v>1208</v>
      </c>
      <c r="O530" s="92" t="s">
        <v>8868</v>
      </c>
      <c r="P530" s="1638"/>
      <c r="Q530" s="92" t="s">
        <v>8868</v>
      </c>
      <c r="R530" s="92"/>
      <c r="S530" s="848">
        <v>10000</v>
      </c>
      <c r="T530" s="813"/>
      <c r="U530" s="813"/>
      <c r="V530" s="849"/>
      <c r="W530" s="838">
        <v>1</v>
      </c>
      <c r="X530" s="811" t="str">
        <f t="shared" si="36"/>
        <v>within the Brgy</v>
      </c>
      <c r="Y530" s="836"/>
      <c r="Z530" s="836"/>
      <c r="AA530" s="836"/>
      <c r="AB530" s="849"/>
      <c r="AC530" s="809"/>
      <c r="AD530" s="824"/>
      <c r="AE530" s="93"/>
      <c r="AF530" s="818"/>
      <c r="AG530" s="807" t="str">
        <f t="shared" si="37"/>
        <v/>
      </c>
      <c r="AH530" s="807"/>
      <c r="AI530" s="807"/>
      <c r="AJ530" s="807"/>
      <c r="AK530" s="92"/>
      <c r="AL530" s="92"/>
      <c r="AM530" s="819"/>
      <c r="AN530" s="820"/>
      <c r="AO530" s="817"/>
      <c r="AP530" s="820"/>
      <c r="AQ530" s="93"/>
      <c r="AR530" s="93"/>
      <c r="AS530" s="93"/>
      <c r="AT530" s="93"/>
      <c r="AU530" s="93"/>
      <c r="AV530" s="93"/>
      <c r="AW530" s="93"/>
      <c r="AX530" s="93"/>
      <c r="AY530" s="93"/>
      <c r="AZ530" s="93"/>
      <c r="BA530" s="93"/>
      <c r="BB530" s="93"/>
      <c r="BC530" s="93"/>
      <c r="BD530" s="93"/>
      <c r="BE530" s="93"/>
      <c r="BF530" s="93"/>
      <c r="BG530" s="93"/>
      <c r="BH530" s="93"/>
      <c r="BI530" s="93"/>
      <c r="BJ530" s="93"/>
      <c r="BK530" s="93"/>
      <c r="BL530" s="93"/>
      <c r="BM530" s="93"/>
      <c r="BN530" s="93"/>
      <c r="BT530" s="93"/>
      <c r="BU530" s="93"/>
      <c r="BV530" s="93"/>
      <c r="BW530" s="93"/>
      <c r="BX530" s="93"/>
      <c r="BY530" s="93"/>
      <c r="BZ530" s="93"/>
      <c r="CA530" s="93"/>
      <c r="CB530" s="93"/>
      <c r="CC530" s="93"/>
      <c r="CD530" s="93"/>
      <c r="CE530" s="93"/>
      <c r="CF530" s="93"/>
      <c r="CG530" s="93"/>
      <c r="CI530" s="93"/>
      <c r="CJ530" s="93"/>
      <c r="CK530" s="93"/>
      <c r="CL530" s="93"/>
      <c r="CM530" s="93"/>
      <c r="CN530" s="93"/>
      <c r="CO530" s="93"/>
      <c r="CP530" s="93"/>
      <c r="CQ530" s="93"/>
      <c r="CR530" s="93"/>
      <c r="CS530" s="93"/>
      <c r="CT530" s="93"/>
      <c r="CU530" s="93"/>
      <c r="CV530" s="93"/>
      <c r="CW530" s="93"/>
      <c r="CX530" s="93"/>
      <c r="CY530" s="93"/>
      <c r="CZ530" s="93"/>
      <c r="DA530" s="93"/>
      <c r="DB530" s="93"/>
      <c r="DC530" s="93"/>
      <c r="DD530" s="93"/>
      <c r="DE530" s="825"/>
      <c r="DF530" s="825"/>
      <c r="DG530" s="825"/>
      <c r="DH530" s="825"/>
      <c r="DI530" s="826"/>
      <c r="DJ530" s="825"/>
      <c r="GO530" s="92"/>
      <c r="GP530" s="831"/>
    </row>
    <row r="531" spans="1:198" s="806" customFormat="1" ht="15">
      <c r="A531" s="1013" t="s">
        <v>7421</v>
      </c>
      <c r="D531" s="935" t="s">
        <v>373</v>
      </c>
      <c r="E531" s="1042" t="s">
        <v>373</v>
      </c>
      <c r="G531" s="827"/>
      <c r="H531" s="809" t="s">
        <v>8869</v>
      </c>
      <c r="I531" s="92">
        <v>21</v>
      </c>
      <c r="J531" s="92" t="s">
        <v>10</v>
      </c>
      <c r="K531" s="92" t="s">
        <v>768</v>
      </c>
      <c r="L531" s="810">
        <v>2</v>
      </c>
      <c r="M531" s="811" t="str">
        <f t="shared" si="38"/>
        <v>Elementary Level</v>
      </c>
      <c r="N531" s="92"/>
      <c r="O531" s="92"/>
      <c r="P531" s="1638"/>
      <c r="Q531" s="92"/>
      <c r="R531" s="92"/>
      <c r="S531" s="848"/>
      <c r="T531" s="813"/>
      <c r="U531" s="813"/>
      <c r="V531" s="849"/>
      <c r="W531" s="838"/>
      <c r="X531" s="811" t="str">
        <f t="shared" si="36"/>
        <v/>
      </c>
      <c r="Y531" s="836"/>
      <c r="Z531" s="836"/>
      <c r="AA531" s="836"/>
      <c r="AB531" s="849"/>
      <c r="AC531" s="809"/>
      <c r="AD531" s="824"/>
      <c r="AE531" s="93"/>
      <c r="AF531" s="818"/>
      <c r="AG531" s="807" t="str">
        <f t="shared" si="37"/>
        <v/>
      </c>
      <c r="AH531" s="807"/>
      <c r="AI531" s="807"/>
      <c r="AJ531" s="807"/>
      <c r="AK531" s="92"/>
      <c r="AL531" s="92"/>
      <c r="AM531" s="819"/>
      <c r="AN531" s="820"/>
      <c r="AO531" s="817"/>
      <c r="AP531" s="820"/>
      <c r="AQ531" s="93"/>
      <c r="AR531" s="93"/>
      <c r="AS531" s="93"/>
      <c r="AT531" s="93"/>
      <c r="AU531" s="93"/>
      <c r="AV531" s="93"/>
      <c r="AW531" s="93"/>
      <c r="AX531" s="93"/>
      <c r="AY531" s="93"/>
      <c r="AZ531" s="93"/>
      <c r="BA531" s="93"/>
      <c r="BB531" s="93"/>
      <c r="BC531" s="93"/>
      <c r="BD531" s="93"/>
      <c r="BE531" s="93"/>
      <c r="BF531" s="93"/>
      <c r="BG531" s="93"/>
      <c r="BH531" s="93"/>
      <c r="BI531" s="93"/>
      <c r="BJ531" s="93"/>
      <c r="BK531" s="93"/>
      <c r="BL531" s="93"/>
      <c r="BM531" s="93"/>
      <c r="BN531" s="93"/>
      <c r="BT531" s="93"/>
      <c r="BU531" s="93"/>
      <c r="BV531" s="93"/>
      <c r="BW531" s="93"/>
      <c r="BX531" s="93"/>
      <c r="BY531" s="93"/>
      <c r="BZ531" s="93"/>
      <c r="CA531" s="93"/>
      <c r="CB531" s="93"/>
      <c r="CC531" s="93"/>
      <c r="CD531" s="93"/>
      <c r="CE531" s="93"/>
      <c r="CF531" s="93"/>
      <c r="CG531" s="93"/>
      <c r="CI531" s="93"/>
      <c r="CJ531" s="93"/>
      <c r="CK531" s="93"/>
      <c r="CL531" s="93"/>
      <c r="CM531" s="93"/>
      <c r="CN531" s="93"/>
      <c r="CO531" s="93"/>
      <c r="CP531" s="93"/>
      <c r="CQ531" s="93"/>
      <c r="CR531" s="93"/>
      <c r="CS531" s="93"/>
      <c r="CT531" s="93"/>
      <c r="CU531" s="93"/>
      <c r="CV531" s="93"/>
      <c r="CW531" s="93"/>
      <c r="CX531" s="93"/>
      <c r="CY531" s="93"/>
      <c r="CZ531" s="93"/>
      <c r="DA531" s="93"/>
      <c r="DB531" s="93"/>
      <c r="DC531" s="93"/>
      <c r="DD531" s="93"/>
      <c r="DE531" s="825"/>
      <c r="DF531" s="825"/>
      <c r="DG531" s="825"/>
      <c r="DH531" s="825"/>
      <c r="DI531" s="826"/>
      <c r="DJ531" s="825"/>
      <c r="GO531" s="92"/>
      <c r="GP531" s="831"/>
    </row>
    <row r="532" spans="1:198" s="806" customFormat="1" ht="15">
      <c r="A532" s="1013" t="s">
        <v>7421</v>
      </c>
      <c r="D532" s="935" t="s">
        <v>373</v>
      </c>
      <c r="E532" s="1042" t="s">
        <v>373</v>
      </c>
      <c r="G532" s="827"/>
      <c r="H532" s="809" t="s">
        <v>8870</v>
      </c>
      <c r="I532" s="92">
        <v>19</v>
      </c>
      <c r="J532" s="92" t="s">
        <v>18</v>
      </c>
      <c r="K532" s="92" t="s">
        <v>768</v>
      </c>
      <c r="L532" s="810">
        <v>7</v>
      </c>
      <c r="M532" s="811" t="str">
        <f t="shared" si="38"/>
        <v>College Graduate or Higher</v>
      </c>
      <c r="N532" s="92"/>
      <c r="O532" s="92"/>
      <c r="P532" s="1638"/>
      <c r="Q532" s="92"/>
      <c r="R532" s="92"/>
      <c r="S532" s="848"/>
      <c r="T532" s="813"/>
      <c r="U532" s="813"/>
      <c r="V532" s="849"/>
      <c r="W532" s="838"/>
      <c r="X532" s="811" t="str">
        <f t="shared" si="36"/>
        <v/>
      </c>
      <c r="Y532" s="836"/>
      <c r="Z532" s="836"/>
      <c r="AA532" s="836"/>
      <c r="AB532" s="849"/>
      <c r="AC532" s="809"/>
      <c r="AD532" s="824"/>
      <c r="AE532" s="93"/>
      <c r="AF532" s="818"/>
      <c r="AG532" s="807" t="str">
        <f t="shared" si="37"/>
        <v/>
      </c>
      <c r="AH532" s="807"/>
      <c r="AI532" s="807"/>
      <c r="AJ532" s="807"/>
      <c r="AK532" s="92"/>
      <c r="AL532" s="92"/>
      <c r="AM532" s="819"/>
      <c r="AN532" s="820"/>
      <c r="AO532" s="817"/>
      <c r="AP532" s="820"/>
      <c r="AQ532" s="93"/>
      <c r="AR532" s="93"/>
      <c r="AS532" s="93"/>
      <c r="AT532" s="93"/>
      <c r="AU532" s="93"/>
      <c r="AV532" s="93"/>
      <c r="AW532" s="93"/>
      <c r="AX532" s="93"/>
      <c r="AY532" s="93"/>
      <c r="AZ532" s="93"/>
      <c r="BA532" s="93"/>
      <c r="BB532" s="93"/>
      <c r="BC532" s="93"/>
      <c r="BD532" s="93"/>
      <c r="BE532" s="93"/>
      <c r="BF532" s="93"/>
      <c r="BG532" s="93"/>
      <c r="BH532" s="93"/>
      <c r="BI532" s="93"/>
      <c r="BJ532" s="93"/>
      <c r="BK532" s="93"/>
      <c r="BL532" s="93"/>
      <c r="BM532" s="93"/>
      <c r="BN532" s="93"/>
      <c r="BT532" s="93"/>
      <c r="BU532" s="93"/>
      <c r="BV532" s="93"/>
      <c r="BW532" s="93"/>
      <c r="BX532" s="93"/>
      <c r="BY532" s="93"/>
      <c r="BZ532" s="93"/>
      <c r="CA532" s="93"/>
      <c r="CB532" s="93"/>
      <c r="CC532" s="93"/>
      <c r="CD532" s="93"/>
      <c r="CE532" s="93"/>
      <c r="CF532" s="93"/>
      <c r="CG532" s="93"/>
      <c r="CI532" s="93"/>
      <c r="CJ532" s="93"/>
      <c r="CK532" s="93"/>
      <c r="CL532" s="93"/>
      <c r="CM532" s="93"/>
      <c r="CN532" s="93"/>
      <c r="CO532" s="93"/>
      <c r="CP532" s="93"/>
      <c r="CQ532" s="93"/>
      <c r="CR532" s="93"/>
      <c r="CS532" s="93"/>
      <c r="CT532" s="93"/>
      <c r="CU532" s="93"/>
      <c r="CV532" s="93"/>
      <c r="CW532" s="93"/>
      <c r="CX532" s="93"/>
      <c r="CY532" s="93"/>
      <c r="CZ532" s="93"/>
      <c r="DA532" s="93"/>
      <c r="DB532" s="93"/>
      <c r="DC532" s="93"/>
      <c r="DD532" s="93"/>
      <c r="DE532" s="825"/>
      <c r="DF532" s="825"/>
      <c r="DG532" s="825"/>
      <c r="DH532" s="825"/>
      <c r="DI532" s="826"/>
      <c r="DJ532" s="825"/>
      <c r="GO532" s="92"/>
      <c r="GP532" s="831"/>
    </row>
    <row r="533" spans="1:198" s="806" customFormat="1" ht="15">
      <c r="A533" s="1013" t="s">
        <v>7421</v>
      </c>
      <c r="D533" s="935" t="s">
        <v>373</v>
      </c>
      <c r="E533" s="1042" t="s">
        <v>373</v>
      </c>
      <c r="G533" s="827"/>
      <c r="H533" s="809" t="s">
        <v>8871</v>
      </c>
      <c r="I533" s="92">
        <v>17</v>
      </c>
      <c r="J533" s="92" t="s">
        <v>18</v>
      </c>
      <c r="K533" s="92" t="s">
        <v>768</v>
      </c>
      <c r="L533" s="810">
        <v>6</v>
      </c>
      <c r="M533" s="811" t="str">
        <f t="shared" si="38"/>
        <v>College Level</v>
      </c>
      <c r="N533" s="92"/>
      <c r="O533" s="92"/>
      <c r="P533" s="1638"/>
      <c r="Q533" s="92"/>
      <c r="R533" s="92"/>
      <c r="S533" s="848"/>
      <c r="T533" s="813"/>
      <c r="U533" s="813"/>
      <c r="V533" s="849"/>
      <c r="W533" s="838"/>
      <c r="X533" s="811" t="str">
        <f t="shared" si="36"/>
        <v/>
      </c>
      <c r="Y533" s="836"/>
      <c r="Z533" s="836"/>
      <c r="AA533" s="836"/>
      <c r="AB533" s="849"/>
      <c r="AC533" s="809"/>
      <c r="AD533" s="824"/>
      <c r="AE533" s="93"/>
      <c r="AF533" s="818"/>
      <c r="AG533" s="807" t="str">
        <f t="shared" si="37"/>
        <v/>
      </c>
      <c r="AH533" s="807"/>
      <c r="AI533" s="807"/>
      <c r="AJ533" s="807"/>
      <c r="AK533" s="92"/>
      <c r="AL533" s="92"/>
      <c r="AM533" s="819"/>
      <c r="AN533" s="820"/>
      <c r="AO533" s="817"/>
      <c r="AP533" s="820"/>
      <c r="AQ533" s="93"/>
      <c r="AR533" s="93"/>
      <c r="AS533" s="93"/>
      <c r="AT533" s="93"/>
      <c r="AU533" s="93"/>
      <c r="AV533" s="93"/>
      <c r="AW533" s="93"/>
      <c r="AX533" s="93"/>
      <c r="AY533" s="93"/>
      <c r="AZ533" s="93"/>
      <c r="BA533" s="93"/>
      <c r="BB533" s="93"/>
      <c r="BC533" s="93"/>
      <c r="BD533" s="93"/>
      <c r="BE533" s="93"/>
      <c r="BF533" s="93"/>
      <c r="BG533" s="93"/>
      <c r="BH533" s="93"/>
      <c r="BI533" s="93"/>
      <c r="BJ533" s="93"/>
      <c r="BK533" s="93"/>
      <c r="BL533" s="93"/>
      <c r="BM533" s="93"/>
      <c r="BN533" s="93"/>
      <c r="BT533" s="93"/>
      <c r="BU533" s="93"/>
      <c r="BV533" s="93"/>
      <c r="BW533" s="93"/>
      <c r="BX533" s="93"/>
      <c r="BY533" s="93"/>
      <c r="BZ533" s="93"/>
      <c r="CA533" s="93"/>
      <c r="CB533" s="93"/>
      <c r="CC533" s="93"/>
      <c r="CD533" s="93"/>
      <c r="CE533" s="93"/>
      <c r="CF533" s="93"/>
      <c r="CG533" s="93"/>
      <c r="CI533" s="93"/>
      <c r="CJ533" s="93"/>
      <c r="CK533" s="93"/>
      <c r="CL533" s="93"/>
      <c r="CM533" s="93"/>
      <c r="CN533" s="93"/>
      <c r="CO533" s="93"/>
      <c r="CP533" s="93"/>
      <c r="CQ533" s="93"/>
      <c r="CR533" s="93"/>
      <c r="CS533" s="93"/>
      <c r="CT533" s="93"/>
      <c r="CU533" s="93"/>
      <c r="CV533" s="93"/>
      <c r="CW533" s="93"/>
      <c r="CX533" s="93"/>
      <c r="CY533" s="93"/>
      <c r="CZ533" s="93"/>
      <c r="DA533" s="93"/>
      <c r="DB533" s="93"/>
      <c r="DC533" s="93"/>
      <c r="DD533" s="93"/>
      <c r="DE533" s="825"/>
      <c r="DF533" s="825"/>
      <c r="DG533" s="825"/>
      <c r="DH533" s="825"/>
      <c r="DI533" s="826"/>
      <c r="DJ533" s="825"/>
      <c r="GO533" s="92"/>
      <c r="GP533" s="831"/>
    </row>
    <row r="534" spans="1:198" ht="15">
      <c r="A534" s="1013" t="s">
        <v>7421</v>
      </c>
      <c r="D534" s="935" t="s">
        <v>373</v>
      </c>
      <c r="E534" s="1042" t="s">
        <v>373</v>
      </c>
      <c r="G534" s="827"/>
      <c r="H534" s="809" t="s">
        <v>8872</v>
      </c>
      <c r="I534" s="92">
        <v>9</v>
      </c>
      <c r="J534" s="92" t="s">
        <v>18</v>
      </c>
      <c r="K534" s="92" t="s">
        <v>768</v>
      </c>
      <c r="L534" s="810">
        <v>2</v>
      </c>
      <c r="M534" s="811" t="str">
        <f t="shared" si="38"/>
        <v>Elementary Level</v>
      </c>
      <c r="O534" s="92"/>
      <c r="P534" s="1638"/>
      <c r="Q534" s="92"/>
      <c r="R534" s="92"/>
      <c r="S534" s="848"/>
      <c r="T534" s="820"/>
      <c r="U534" s="820"/>
      <c r="V534" s="828"/>
      <c r="X534" s="811" t="str">
        <f t="shared" si="36"/>
        <v/>
      </c>
      <c r="AB534" s="828"/>
      <c r="AC534" s="809"/>
      <c r="AD534" s="824"/>
      <c r="AG534" s="807" t="str">
        <f t="shared" si="37"/>
        <v/>
      </c>
      <c r="AI534" s="817"/>
      <c r="AJ534" s="817"/>
      <c r="AK534" s="92"/>
      <c r="AM534" s="819"/>
      <c r="AN534" s="820"/>
      <c r="AQ534" s="93"/>
      <c r="AR534" s="93"/>
      <c r="AS534" s="93"/>
      <c r="AT534" s="93"/>
      <c r="AU534" s="93"/>
      <c r="AV534" s="93"/>
      <c r="AW534" s="93"/>
      <c r="AX534" s="93"/>
      <c r="AY534" s="93"/>
      <c r="AZ534" s="93"/>
      <c r="BA534" s="93"/>
      <c r="BB534" s="93"/>
      <c r="BL534" s="93"/>
      <c r="BM534" s="93"/>
      <c r="BT534" s="93"/>
      <c r="BU534" s="93"/>
      <c r="BV534" s="93"/>
      <c r="BW534" s="93"/>
      <c r="BX534" s="93"/>
      <c r="BY534" s="93"/>
      <c r="BZ534" s="93"/>
      <c r="CA534" s="93"/>
      <c r="CB534" s="93"/>
      <c r="CC534" s="93"/>
      <c r="CF534" s="93"/>
      <c r="CG534" s="93"/>
      <c r="CH534" s="93"/>
      <c r="CI534" s="93"/>
      <c r="CJ534" s="93"/>
      <c r="CK534" s="93"/>
      <c r="CL534" s="93"/>
      <c r="CM534" s="93"/>
      <c r="CN534" s="93"/>
      <c r="CO534" s="93"/>
      <c r="CP534" s="93"/>
      <c r="CQ534" s="93"/>
      <c r="CR534" s="93"/>
      <c r="CS534" s="93"/>
      <c r="CT534" s="93"/>
      <c r="CU534" s="93"/>
      <c r="CV534" s="93"/>
      <c r="CW534" s="93"/>
      <c r="CX534" s="93"/>
      <c r="CY534" s="93"/>
      <c r="CZ534" s="93"/>
      <c r="DA534" s="93"/>
      <c r="DB534" s="93"/>
      <c r="DC534" s="93"/>
      <c r="DD534" s="93"/>
      <c r="DE534" s="93"/>
      <c r="DF534" s="93"/>
      <c r="DG534" s="93"/>
      <c r="DH534" s="93"/>
      <c r="DI534" s="93"/>
      <c r="DJ534" s="93"/>
      <c r="DK534" s="93"/>
      <c r="DL534" s="93"/>
      <c r="DM534" s="93"/>
      <c r="DN534" s="93"/>
      <c r="DO534" s="93"/>
    </row>
    <row r="535" spans="1:198" s="806" customFormat="1" ht="15">
      <c r="A535" s="1013" t="s">
        <v>7421</v>
      </c>
      <c r="D535" s="935" t="s">
        <v>373</v>
      </c>
      <c r="E535" s="1042" t="s">
        <v>373</v>
      </c>
      <c r="G535" s="827"/>
      <c r="H535" s="809" t="s">
        <v>8864</v>
      </c>
      <c r="I535" s="92">
        <v>6</v>
      </c>
      <c r="J535" s="92" t="s">
        <v>18</v>
      </c>
      <c r="K535" s="92" t="s">
        <v>768</v>
      </c>
      <c r="L535" s="810">
        <v>2</v>
      </c>
      <c r="M535" s="811" t="str">
        <f t="shared" si="38"/>
        <v>Elementary Level</v>
      </c>
      <c r="N535" s="92"/>
      <c r="O535" s="92"/>
      <c r="P535" s="1638"/>
      <c r="Q535" s="92"/>
      <c r="R535" s="92"/>
      <c r="S535" s="848"/>
      <c r="T535" s="813"/>
      <c r="U535" s="813"/>
      <c r="V535" s="849"/>
      <c r="W535" s="838"/>
      <c r="X535" s="811" t="str">
        <f t="shared" si="36"/>
        <v/>
      </c>
      <c r="Y535" s="836"/>
      <c r="Z535" s="836"/>
      <c r="AA535" s="836"/>
      <c r="AB535" s="849"/>
      <c r="AC535" s="809"/>
      <c r="AD535" s="824"/>
      <c r="AE535" s="93"/>
      <c r="AF535" s="818"/>
      <c r="AG535" s="807" t="str">
        <f t="shared" si="37"/>
        <v/>
      </c>
      <c r="AH535" s="807"/>
      <c r="AI535" s="807"/>
      <c r="AJ535" s="807"/>
      <c r="AK535" s="92"/>
      <c r="AL535" s="92"/>
      <c r="AM535" s="819"/>
      <c r="AN535" s="820"/>
      <c r="AO535" s="817"/>
      <c r="AP535" s="820"/>
      <c r="AQ535" s="93"/>
      <c r="AR535" s="93"/>
      <c r="AS535" s="93"/>
      <c r="AT535" s="93"/>
      <c r="AU535" s="93"/>
      <c r="AV535" s="93"/>
      <c r="AW535" s="93"/>
      <c r="AX535" s="93"/>
      <c r="AY535" s="93"/>
      <c r="AZ535" s="93"/>
      <c r="BA535" s="93"/>
      <c r="BB535" s="93"/>
      <c r="BC535" s="93"/>
      <c r="BD535" s="93"/>
      <c r="BE535" s="93"/>
      <c r="BF535" s="93"/>
      <c r="BG535" s="93"/>
      <c r="BH535" s="93"/>
      <c r="BI535" s="93"/>
      <c r="BJ535" s="93"/>
      <c r="BK535" s="93"/>
      <c r="BL535" s="93"/>
      <c r="BM535" s="93"/>
      <c r="BN535" s="93"/>
      <c r="BT535" s="93"/>
      <c r="BU535" s="93"/>
      <c r="BV535" s="93"/>
      <c r="BW535" s="93"/>
      <c r="BX535" s="93"/>
      <c r="BY535" s="93"/>
      <c r="BZ535" s="93"/>
      <c r="CA535" s="93"/>
      <c r="CB535" s="93"/>
      <c r="CC535" s="93"/>
      <c r="CD535" s="93"/>
      <c r="CE535" s="93"/>
      <c r="CF535" s="93"/>
      <c r="CG535" s="93"/>
      <c r="CI535" s="93"/>
      <c r="CJ535" s="93"/>
      <c r="CK535" s="93"/>
      <c r="CL535" s="93"/>
      <c r="CM535" s="93"/>
      <c r="CN535" s="93"/>
      <c r="CO535" s="93"/>
      <c r="CP535" s="93"/>
      <c r="CQ535" s="93"/>
      <c r="CR535" s="93"/>
      <c r="CS535" s="93"/>
      <c r="CT535" s="93"/>
      <c r="CU535" s="93"/>
      <c r="CV535" s="93"/>
      <c r="CW535" s="93"/>
      <c r="CX535" s="93"/>
      <c r="CY535" s="93"/>
      <c r="CZ535" s="93"/>
      <c r="DA535" s="93"/>
      <c r="DB535" s="93"/>
      <c r="DC535" s="93"/>
      <c r="DD535" s="93"/>
      <c r="DE535" s="825"/>
      <c r="DF535" s="825"/>
      <c r="DG535" s="825"/>
      <c r="DH535" s="825"/>
      <c r="DI535" s="826"/>
      <c r="DJ535" s="825"/>
      <c r="GO535" s="92"/>
      <c r="GP535" s="831"/>
    </row>
    <row r="536" spans="1:198" s="806" customFormat="1" ht="15">
      <c r="A536" s="1013" t="s">
        <v>7421</v>
      </c>
      <c r="D536" s="935" t="s">
        <v>373</v>
      </c>
      <c r="E536" s="1042" t="s">
        <v>373</v>
      </c>
      <c r="G536" s="827"/>
      <c r="H536" s="809" t="s">
        <v>8873</v>
      </c>
      <c r="I536" s="92">
        <v>4</v>
      </c>
      <c r="J536" s="92" t="s">
        <v>10</v>
      </c>
      <c r="K536" s="92" t="s">
        <v>768</v>
      </c>
      <c r="L536" s="810">
        <v>1</v>
      </c>
      <c r="M536" s="811" t="str">
        <f t="shared" si="38"/>
        <v>Pre-school</v>
      </c>
      <c r="N536" s="92"/>
      <c r="O536" s="92"/>
      <c r="P536" s="1638"/>
      <c r="Q536" s="92"/>
      <c r="R536" s="92"/>
      <c r="S536" s="848"/>
      <c r="T536" s="813"/>
      <c r="U536" s="813"/>
      <c r="V536" s="849">
        <f>SUM(S527:U536)</f>
        <v>10500</v>
      </c>
      <c r="W536" s="838"/>
      <c r="X536" s="811" t="str">
        <f t="shared" si="36"/>
        <v/>
      </c>
      <c r="Y536" s="836"/>
      <c r="Z536" s="836"/>
      <c r="AA536" s="836"/>
      <c r="AB536" s="849">
        <f>SUM(Y527:AA536)</f>
        <v>0</v>
      </c>
      <c r="AC536" s="809"/>
      <c r="AD536" s="824"/>
      <c r="AE536" s="93"/>
      <c r="AF536" s="818"/>
      <c r="AG536" s="807" t="str">
        <f t="shared" si="37"/>
        <v/>
      </c>
      <c r="AH536" s="807"/>
      <c r="AI536" s="807"/>
      <c r="AJ536" s="807"/>
      <c r="AK536" s="92"/>
      <c r="AL536" s="92"/>
      <c r="AM536" s="819"/>
      <c r="AN536" s="820"/>
      <c r="AO536" s="817"/>
      <c r="AP536" s="820"/>
      <c r="AQ536" s="93"/>
      <c r="AR536" s="93"/>
      <c r="AS536" s="93"/>
      <c r="AT536" s="93"/>
      <c r="AU536" s="93"/>
      <c r="AV536" s="93"/>
      <c r="AW536" s="93"/>
      <c r="AX536" s="93"/>
      <c r="AY536" s="93"/>
      <c r="AZ536" s="93"/>
      <c r="BA536" s="93"/>
      <c r="BB536" s="93"/>
      <c r="BC536" s="93"/>
      <c r="BD536" s="93"/>
      <c r="BE536" s="93"/>
      <c r="BF536" s="93"/>
      <c r="BG536" s="93"/>
      <c r="BH536" s="93"/>
      <c r="BI536" s="93"/>
      <c r="BJ536" s="93"/>
      <c r="BK536" s="93"/>
      <c r="BL536" s="93"/>
      <c r="BM536" s="93"/>
      <c r="BN536" s="93"/>
      <c r="BT536" s="93"/>
      <c r="BU536" s="93"/>
      <c r="BV536" s="93"/>
      <c r="BW536" s="93"/>
      <c r="BX536" s="93"/>
      <c r="BY536" s="93"/>
      <c r="BZ536" s="93"/>
      <c r="CA536" s="93"/>
      <c r="CB536" s="93"/>
      <c r="CC536" s="93"/>
      <c r="CD536" s="93"/>
      <c r="CE536" s="93"/>
      <c r="CF536" s="93"/>
      <c r="CG536" s="93"/>
      <c r="CI536" s="93"/>
      <c r="CJ536" s="93"/>
      <c r="CK536" s="93"/>
      <c r="CL536" s="93"/>
      <c r="CM536" s="93"/>
      <c r="CN536" s="93"/>
      <c r="CO536" s="93"/>
      <c r="CP536" s="93"/>
      <c r="CQ536" s="93"/>
      <c r="CR536" s="93"/>
      <c r="CS536" s="93"/>
      <c r="CT536" s="93"/>
      <c r="CU536" s="93"/>
      <c r="CV536" s="93"/>
      <c r="CW536" s="93"/>
      <c r="CX536" s="93"/>
      <c r="CY536" s="93"/>
      <c r="CZ536" s="93"/>
      <c r="DA536" s="93"/>
      <c r="DB536" s="93"/>
      <c r="DC536" s="93"/>
      <c r="DD536" s="93"/>
      <c r="DE536" s="825"/>
      <c r="DF536" s="825"/>
      <c r="DG536" s="825"/>
      <c r="DH536" s="825"/>
      <c r="DI536" s="826"/>
      <c r="DJ536" s="825"/>
      <c r="GO536" s="92"/>
      <c r="GP536" s="831"/>
    </row>
    <row r="537" spans="1:198" s="806" customFormat="1" ht="15">
      <c r="A537" s="1013" t="s">
        <v>7421</v>
      </c>
      <c r="B537" s="115" t="s">
        <v>12263</v>
      </c>
      <c r="C537" s="1042" t="s">
        <v>376</v>
      </c>
      <c r="D537" s="935" t="s">
        <v>376</v>
      </c>
      <c r="E537" s="1042" t="s">
        <v>376</v>
      </c>
      <c r="F537" s="1047" t="s">
        <v>2167</v>
      </c>
      <c r="G537" s="809" t="s">
        <v>376</v>
      </c>
      <c r="H537" s="809" t="s">
        <v>8874</v>
      </c>
      <c r="I537" s="92">
        <v>49</v>
      </c>
      <c r="J537" s="92" t="s">
        <v>10</v>
      </c>
      <c r="K537" s="92" t="s">
        <v>722</v>
      </c>
      <c r="L537" s="810">
        <v>4</v>
      </c>
      <c r="M537" s="811" t="str">
        <f t="shared" si="38"/>
        <v>High School Level</v>
      </c>
      <c r="N537" s="92" t="s">
        <v>1208</v>
      </c>
      <c r="O537" s="92" t="s">
        <v>8875</v>
      </c>
      <c r="P537" s="1638" t="s">
        <v>12602</v>
      </c>
      <c r="Q537" s="92" t="s">
        <v>8875</v>
      </c>
      <c r="R537" s="92" t="s">
        <v>8234</v>
      </c>
      <c r="S537" s="848">
        <v>15000</v>
      </c>
      <c r="T537" s="813"/>
      <c r="U537" s="813"/>
      <c r="V537" s="837">
        <f>SUM(S537:U537)</f>
        <v>15000</v>
      </c>
      <c r="W537" s="838">
        <v>3</v>
      </c>
      <c r="X537" s="811" t="str">
        <f t="shared" si="36"/>
        <v>within the Province</v>
      </c>
      <c r="Y537" s="836"/>
      <c r="Z537" s="836"/>
      <c r="AA537" s="836"/>
      <c r="AB537" s="837">
        <f>SUM(Y537:AA537)</f>
        <v>0</v>
      </c>
      <c r="AC537" s="809" t="s">
        <v>8876</v>
      </c>
      <c r="AD537" s="824"/>
      <c r="AE537" s="93"/>
      <c r="AF537" s="818"/>
      <c r="AG537" s="807" t="str">
        <f t="shared" si="37"/>
        <v/>
      </c>
      <c r="AH537" s="807"/>
      <c r="AI537" s="807"/>
      <c r="AJ537" s="807"/>
      <c r="AK537" s="92"/>
      <c r="AL537" s="92"/>
      <c r="AM537" s="819"/>
      <c r="AN537" s="820"/>
      <c r="AO537" s="817"/>
      <c r="AP537" s="820"/>
      <c r="AQ537" s="93"/>
      <c r="AR537" s="93"/>
      <c r="AS537" s="93"/>
      <c r="AT537" s="93"/>
      <c r="AU537" s="93"/>
      <c r="AV537" s="93"/>
      <c r="AW537" s="93"/>
      <c r="AX537" s="93"/>
      <c r="AY537" s="93"/>
      <c r="AZ537" s="93"/>
      <c r="BA537" s="93"/>
      <c r="BB537" s="93"/>
      <c r="BC537" s="93"/>
      <c r="BD537" s="93"/>
      <c r="BE537" s="93"/>
      <c r="BF537" s="93"/>
      <c r="BG537" s="93"/>
      <c r="BH537" s="93"/>
      <c r="BI537" s="93"/>
      <c r="BJ537" s="93"/>
      <c r="BK537" s="93"/>
      <c r="BL537" s="93"/>
      <c r="BM537" s="93"/>
      <c r="BN537" s="93"/>
      <c r="BT537" s="93"/>
      <c r="BU537" s="93"/>
      <c r="BV537" s="93"/>
      <c r="BW537" s="93"/>
      <c r="BX537" s="93"/>
      <c r="BY537" s="93"/>
      <c r="BZ537" s="93"/>
      <c r="CA537" s="93"/>
      <c r="CB537" s="93"/>
      <c r="CC537" s="93"/>
      <c r="CD537" s="93"/>
      <c r="CE537" s="93"/>
      <c r="CF537" s="93"/>
      <c r="CG537" s="93"/>
      <c r="CI537" s="93"/>
      <c r="CJ537" s="93"/>
      <c r="CK537" s="93"/>
      <c r="CL537" s="93"/>
      <c r="CM537" s="93"/>
      <c r="CN537" s="93"/>
      <c r="CO537" s="93"/>
      <c r="CP537" s="93"/>
      <c r="CQ537" s="93"/>
      <c r="CR537" s="93"/>
      <c r="CS537" s="93"/>
      <c r="CT537" s="93"/>
      <c r="CU537" s="93"/>
      <c r="CV537" s="93"/>
      <c r="CW537" s="93"/>
      <c r="CX537" s="93"/>
      <c r="CY537" s="93"/>
      <c r="CZ537" s="93"/>
      <c r="DA537" s="93"/>
      <c r="DB537" s="93"/>
      <c r="DC537" s="93"/>
      <c r="DD537" s="93"/>
      <c r="DE537" s="825"/>
      <c r="DF537" s="825"/>
      <c r="DG537" s="826" t="s">
        <v>2144</v>
      </c>
      <c r="DH537" s="826" t="s">
        <v>2144</v>
      </c>
      <c r="DI537" s="826"/>
      <c r="DJ537" s="825"/>
      <c r="GO537" s="92"/>
      <c r="GP537" s="831"/>
    </row>
    <row r="538" spans="1:198" s="806" customFormat="1" ht="15">
      <c r="A538" s="767" t="s">
        <v>7421</v>
      </c>
      <c r="B538" s="292" t="s">
        <v>7589</v>
      </c>
      <c r="C538" s="148" t="s">
        <v>378</v>
      </c>
      <c r="D538" s="935" t="s">
        <v>378</v>
      </c>
      <c r="E538" s="1042" t="s">
        <v>378</v>
      </c>
      <c r="F538" s="1047" t="s">
        <v>2082</v>
      </c>
      <c r="G538" s="846" t="s">
        <v>378</v>
      </c>
      <c r="H538" s="809" t="s">
        <v>2082</v>
      </c>
      <c r="I538" s="92">
        <v>70</v>
      </c>
      <c r="J538" s="92" t="s">
        <v>10</v>
      </c>
      <c r="K538" s="92" t="s">
        <v>719</v>
      </c>
      <c r="L538" s="810">
        <v>2</v>
      </c>
      <c r="M538" s="811" t="str">
        <f t="shared" si="38"/>
        <v>Elementary Level</v>
      </c>
      <c r="N538" s="92" t="s">
        <v>1208</v>
      </c>
      <c r="O538" s="92" t="s">
        <v>8877</v>
      </c>
      <c r="P538" s="1638" t="s">
        <v>12608</v>
      </c>
      <c r="Q538" s="92" t="s">
        <v>8877</v>
      </c>
      <c r="R538" s="92" t="s">
        <v>8234</v>
      </c>
      <c r="S538" s="848"/>
      <c r="T538" s="836"/>
      <c r="U538" s="813">
        <f>SUM(1200,900)</f>
        <v>2100</v>
      </c>
      <c r="V538" s="864">
        <f>SUM(S538:U538)</f>
        <v>2100</v>
      </c>
      <c r="W538" s="838">
        <v>2</v>
      </c>
      <c r="X538" s="811" t="str">
        <f t="shared" si="36"/>
        <v>within the Municipality/City</v>
      </c>
      <c r="Y538" s="836"/>
      <c r="Z538" s="836"/>
      <c r="AA538" s="836"/>
      <c r="AB538" s="864">
        <f>SUM(Y538:AA538)</f>
        <v>0</v>
      </c>
      <c r="AC538" s="809" t="s">
        <v>8878</v>
      </c>
      <c r="AD538" s="817" t="s">
        <v>2082</v>
      </c>
      <c r="AE538" s="93"/>
      <c r="AF538" s="818"/>
      <c r="AG538" s="807" t="str">
        <f t="shared" si="37"/>
        <v/>
      </c>
      <c r="AH538" s="807"/>
      <c r="AI538" s="807"/>
      <c r="AJ538" s="807"/>
      <c r="AK538" s="862" t="s">
        <v>2082</v>
      </c>
      <c r="AL538" s="862" t="s">
        <v>478</v>
      </c>
      <c r="AM538" s="863" t="s">
        <v>1604</v>
      </c>
      <c r="AN538" s="833">
        <v>1000</v>
      </c>
      <c r="AO538" s="817"/>
      <c r="AP538" s="820"/>
      <c r="AQ538" s="93"/>
      <c r="AR538" s="93"/>
      <c r="AS538" s="93"/>
      <c r="AT538" s="93"/>
      <c r="AU538" s="93"/>
      <c r="AV538" s="93"/>
      <c r="AW538" s="93"/>
      <c r="AX538" s="93"/>
      <c r="AY538" s="93"/>
      <c r="AZ538" s="93"/>
      <c r="BA538" s="93"/>
      <c r="BB538" s="93"/>
      <c r="BC538" s="93"/>
      <c r="BD538" s="93"/>
      <c r="BE538" s="93"/>
      <c r="BF538" s="93"/>
      <c r="BG538" s="93"/>
      <c r="BH538" s="93"/>
      <c r="BI538" s="93"/>
      <c r="BJ538" s="93"/>
      <c r="BK538" s="93"/>
      <c r="BL538" s="93"/>
      <c r="BM538" s="93"/>
      <c r="BN538" s="93"/>
      <c r="BT538" s="93"/>
      <c r="BU538" s="93"/>
      <c r="BV538" s="93" t="s">
        <v>2145</v>
      </c>
      <c r="BW538" s="93"/>
      <c r="BX538" s="93"/>
      <c r="BY538" s="93"/>
      <c r="BZ538" s="93"/>
      <c r="CA538" s="93"/>
      <c r="CB538" s="93"/>
      <c r="CC538" s="93"/>
      <c r="CD538" s="93"/>
      <c r="CE538" s="93"/>
      <c r="CF538" s="93"/>
      <c r="CG538" s="93"/>
      <c r="CI538" s="93"/>
      <c r="CJ538" s="93"/>
      <c r="CK538" s="93"/>
      <c r="CL538" s="93"/>
      <c r="CM538" s="93"/>
      <c r="CN538" s="93"/>
      <c r="CO538" s="93"/>
      <c r="CP538" s="93"/>
      <c r="CQ538" s="93"/>
      <c r="CR538" s="93"/>
      <c r="CS538" s="93"/>
      <c r="CT538" s="93"/>
      <c r="CU538" s="93"/>
      <c r="CV538" s="93"/>
      <c r="CW538" s="93"/>
      <c r="CX538" s="93"/>
      <c r="CY538" s="93"/>
      <c r="CZ538" s="93"/>
      <c r="DA538" s="93" t="s">
        <v>2144</v>
      </c>
      <c r="DB538" s="93"/>
      <c r="DC538" s="93"/>
      <c r="DD538" s="93"/>
      <c r="DE538" s="825"/>
      <c r="DF538" s="825"/>
      <c r="DG538" s="825"/>
      <c r="DH538" s="825"/>
      <c r="DI538" s="826"/>
      <c r="DJ538" s="825"/>
      <c r="GO538" s="92"/>
      <c r="GP538" s="831"/>
    </row>
    <row r="539" spans="1:198" ht="15">
      <c r="A539" s="767" t="s">
        <v>7421</v>
      </c>
      <c r="B539" s="292" t="s">
        <v>7590</v>
      </c>
      <c r="C539" s="148" t="s">
        <v>381</v>
      </c>
      <c r="D539" s="935" t="s">
        <v>381</v>
      </c>
      <c r="E539" s="1042" t="s">
        <v>381</v>
      </c>
      <c r="F539" s="1047" t="s">
        <v>382</v>
      </c>
      <c r="G539" s="809" t="s">
        <v>381</v>
      </c>
      <c r="H539" s="809" t="s">
        <v>8879</v>
      </c>
      <c r="I539" s="92">
        <v>41</v>
      </c>
      <c r="J539" s="92" t="s">
        <v>10</v>
      </c>
      <c r="K539" s="92" t="s">
        <v>722</v>
      </c>
      <c r="L539" s="810">
        <v>2</v>
      </c>
      <c r="M539" s="811" t="str">
        <f t="shared" si="38"/>
        <v>Elementary Level</v>
      </c>
      <c r="N539" s="92" t="s">
        <v>1208</v>
      </c>
      <c r="O539" s="92" t="s">
        <v>8880</v>
      </c>
      <c r="P539" s="1638" t="s">
        <v>12599</v>
      </c>
      <c r="Q539" s="92" t="s">
        <v>8880</v>
      </c>
      <c r="R539" s="92" t="s">
        <v>8234</v>
      </c>
      <c r="S539" s="848">
        <v>6250</v>
      </c>
      <c r="U539" s="820">
        <v>3600</v>
      </c>
      <c r="V539" s="828"/>
      <c r="W539" s="815">
        <v>1</v>
      </c>
      <c r="X539" s="811" t="str">
        <f t="shared" si="36"/>
        <v>within the Brgy</v>
      </c>
      <c r="Y539" s="816">
        <v>20</v>
      </c>
      <c r="AB539" s="828"/>
      <c r="AC539" s="809"/>
      <c r="AD539" s="824"/>
      <c r="AG539" s="807" t="str">
        <f t="shared" si="37"/>
        <v/>
      </c>
      <c r="AI539" s="817"/>
      <c r="AJ539" s="817"/>
      <c r="AK539" s="862" t="s">
        <v>8879</v>
      </c>
      <c r="AL539" s="862" t="s">
        <v>8276</v>
      </c>
      <c r="AM539" s="863" t="s">
        <v>383</v>
      </c>
      <c r="AN539" s="833">
        <v>3600</v>
      </c>
      <c r="AQ539" s="93"/>
      <c r="AR539" s="93"/>
      <c r="AS539" s="93"/>
      <c r="AT539" s="93"/>
      <c r="AU539" s="93"/>
      <c r="AV539" s="93"/>
      <c r="AW539" s="93" t="s">
        <v>2144</v>
      </c>
      <c r="AX539" s="93"/>
      <c r="AY539" s="93"/>
      <c r="AZ539" s="93"/>
      <c r="BA539" s="93">
        <v>2</v>
      </c>
      <c r="BB539" s="93"/>
      <c r="BL539" s="93"/>
      <c r="BM539" s="93"/>
      <c r="BT539" s="93"/>
      <c r="BU539" s="93"/>
      <c r="BV539" s="93"/>
      <c r="BW539" s="93"/>
      <c r="BX539" s="93"/>
      <c r="BY539" s="93"/>
      <c r="BZ539" s="93"/>
      <c r="CA539" s="93"/>
      <c r="CB539" s="93" t="s">
        <v>2144</v>
      </c>
      <c r="CC539" s="93"/>
      <c r="CF539" s="93"/>
      <c r="CG539" s="93"/>
      <c r="CH539" s="93"/>
      <c r="CI539" s="93"/>
      <c r="CJ539" s="93"/>
      <c r="CK539" s="93"/>
      <c r="CL539" s="93"/>
      <c r="CM539" s="93"/>
      <c r="CN539" s="93"/>
      <c r="CO539" s="93"/>
      <c r="CP539" s="93"/>
      <c r="CQ539" s="93"/>
      <c r="CR539" s="93"/>
      <c r="CS539" s="93"/>
      <c r="CT539" s="93"/>
      <c r="CU539" s="93"/>
      <c r="CV539" s="93"/>
      <c r="CW539" s="93">
        <v>2</v>
      </c>
      <c r="CX539" s="93"/>
      <c r="CY539" s="93"/>
      <c r="CZ539" s="93"/>
      <c r="DA539" s="93"/>
      <c r="DB539" s="93"/>
      <c r="DC539" s="93"/>
      <c r="DD539" s="93"/>
      <c r="DE539" s="93"/>
      <c r="DF539" s="93"/>
      <c r="DG539" s="93"/>
      <c r="DH539" s="93"/>
      <c r="DI539" s="93"/>
      <c r="DJ539" s="93"/>
      <c r="DK539" s="93"/>
      <c r="DL539" s="93"/>
      <c r="DM539" s="93"/>
      <c r="DN539" s="93"/>
      <c r="DO539" s="93"/>
    </row>
    <row r="540" spans="1:198" s="806" customFormat="1" ht="15">
      <c r="A540" s="767" t="s">
        <v>7421</v>
      </c>
      <c r="D540" s="935" t="s">
        <v>381</v>
      </c>
      <c r="E540" s="1042" t="s">
        <v>381</v>
      </c>
      <c r="G540" s="827"/>
      <c r="H540" s="809" t="s">
        <v>8881</v>
      </c>
      <c r="I540" s="92">
        <v>51</v>
      </c>
      <c r="J540" s="92" t="s">
        <v>18</v>
      </c>
      <c r="K540" s="92" t="s">
        <v>722</v>
      </c>
      <c r="L540" s="810">
        <v>5</v>
      </c>
      <c r="M540" s="811" t="str">
        <f t="shared" si="38"/>
        <v>High School Graduate</v>
      </c>
      <c r="N540" s="92" t="s">
        <v>1208</v>
      </c>
      <c r="O540" s="92"/>
      <c r="P540" s="1638"/>
      <c r="Q540" s="92"/>
      <c r="R540" s="857"/>
      <c r="S540" s="848">
        <v>3500</v>
      </c>
      <c r="T540" s="813"/>
      <c r="U540" s="813"/>
      <c r="V540" s="849">
        <f>SUM(S539:U540)</f>
        <v>13350</v>
      </c>
      <c r="W540" s="838">
        <v>1</v>
      </c>
      <c r="X540" s="811" t="str">
        <f t="shared" si="36"/>
        <v>within the Brgy</v>
      </c>
      <c r="Y540" s="836"/>
      <c r="Z540" s="836"/>
      <c r="AA540" s="836"/>
      <c r="AB540" s="849">
        <f>SUM(Y539:AA540)</f>
        <v>20</v>
      </c>
      <c r="AC540" s="809"/>
      <c r="AD540" s="824"/>
      <c r="AE540" s="93"/>
      <c r="AF540" s="818"/>
      <c r="AG540" s="807" t="str">
        <f t="shared" si="37"/>
        <v/>
      </c>
      <c r="AH540" s="807"/>
      <c r="AI540" s="807"/>
      <c r="AJ540" s="807"/>
      <c r="AK540" s="92"/>
      <c r="AL540" s="92"/>
      <c r="AM540" s="819"/>
      <c r="AN540" s="820"/>
      <c r="AO540" s="817"/>
      <c r="AP540" s="820"/>
      <c r="AQ540" s="93"/>
      <c r="AR540" s="93"/>
      <c r="AS540" s="93"/>
      <c r="AT540" s="93"/>
      <c r="AU540" s="93"/>
      <c r="AV540" s="93"/>
      <c r="AW540" s="93"/>
      <c r="AX540" s="93"/>
      <c r="AY540" s="93"/>
      <c r="AZ540" s="93"/>
      <c r="BA540" s="93"/>
      <c r="BB540" s="93"/>
      <c r="BC540" s="93"/>
      <c r="BD540" s="93"/>
      <c r="BE540" s="93"/>
      <c r="BF540" s="93"/>
      <c r="BG540" s="93"/>
      <c r="BH540" s="93"/>
      <c r="BI540" s="93"/>
      <c r="BJ540" s="93"/>
      <c r="BK540" s="93"/>
      <c r="BL540" s="93"/>
      <c r="BM540" s="93"/>
      <c r="BN540" s="93"/>
      <c r="BT540" s="93"/>
      <c r="BU540" s="93"/>
      <c r="BV540" s="93"/>
      <c r="BW540" s="93"/>
      <c r="BX540" s="93"/>
      <c r="BY540" s="93"/>
      <c r="BZ540" s="93"/>
      <c r="CA540" s="93"/>
      <c r="CB540" s="93"/>
      <c r="CC540" s="93"/>
      <c r="CD540" s="93"/>
      <c r="CE540" s="93"/>
      <c r="CF540" s="93"/>
      <c r="CG540" s="93"/>
      <c r="CI540" s="93"/>
      <c r="CJ540" s="93"/>
      <c r="CK540" s="93"/>
      <c r="CL540" s="93"/>
      <c r="CM540" s="93"/>
      <c r="CN540" s="93"/>
      <c r="CO540" s="93"/>
      <c r="CP540" s="93"/>
      <c r="CQ540" s="93"/>
      <c r="CR540" s="93"/>
      <c r="CS540" s="93"/>
      <c r="CT540" s="93"/>
      <c r="CU540" s="93"/>
      <c r="CV540" s="93"/>
      <c r="CW540" s="93"/>
      <c r="CX540" s="93"/>
      <c r="CY540" s="93"/>
      <c r="CZ540" s="93"/>
      <c r="DA540" s="93"/>
      <c r="DB540" s="93"/>
      <c r="DC540" s="93"/>
      <c r="DD540" s="93"/>
      <c r="DE540" s="825"/>
      <c r="DF540" s="825"/>
      <c r="DG540" s="825"/>
      <c r="DH540" s="825"/>
      <c r="DI540" s="826"/>
      <c r="DJ540" s="825"/>
      <c r="GO540" s="92"/>
      <c r="GP540" s="831"/>
    </row>
    <row r="541" spans="1:198" s="806" customFormat="1" ht="15">
      <c r="A541" s="767" t="s">
        <v>7421</v>
      </c>
      <c r="B541" s="292" t="s">
        <v>7591</v>
      </c>
      <c r="C541" s="148" t="s">
        <v>384</v>
      </c>
      <c r="D541" s="935" t="s">
        <v>384</v>
      </c>
      <c r="E541" s="1042" t="s">
        <v>384</v>
      </c>
      <c r="F541" s="1047" t="s">
        <v>2083</v>
      </c>
      <c r="G541" s="809" t="s">
        <v>384</v>
      </c>
      <c r="H541" s="809" t="s">
        <v>2168</v>
      </c>
      <c r="I541" s="92">
        <v>35</v>
      </c>
      <c r="J541" s="92" t="s">
        <v>10</v>
      </c>
      <c r="K541" s="92" t="s">
        <v>722</v>
      </c>
      <c r="L541" s="810">
        <v>3</v>
      </c>
      <c r="M541" s="811" t="str">
        <f t="shared" si="38"/>
        <v>Elementary Graduate</v>
      </c>
      <c r="N541" s="92" t="s">
        <v>1208</v>
      </c>
      <c r="O541" s="92" t="s">
        <v>2215</v>
      </c>
      <c r="P541" s="1638" t="s">
        <v>12606</v>
      </c>
      <c r="Q541" s="92" t="s">
        <v>2215</v>
      </c>
      <c r="R541" s="92" t="s">
        <v>8234</v>
      </c>
      <c r="S541" s="848">
        <v>2000</v>
      </c>
      <c r="T541" s="813"/>
      <c r="U541" s="813"/>
      <c r="V541" s="837"/>
      <c r="W541" s="838">
        <v>1</v>
      </c>
      <c r="X541" s="811" t="str">
        <f t="shared" si="36"/>
        <v>within the Brgy</v>
      </c>
      <c r="Y541" s="836"/>
      <c r="Z541" s="836"/>
      <c r="AA541" s="836"/>
      <c r="AB541" s="837"/>
      <c r="AC541" s="809"/>
      <c r="AD541" s="824"/>
      <c r="AE541" s="93"/>
      <c r="AF541" s="818"/>
      <c r="AG541" s="807" t="str">
        <f t="shared" si="37"/>
        <v/>
      </c>
      <c r="AH541" s="807"/>
      <c r="AI541" s="807"/>
      <c r="AJ541" s="807"/>
      <c r="AK541" s="92"/>
      <c r="AL541" s="92"/>
      <c r="AM541" s="819"/>
      <c r="AN541" s="820"/>
      <c r="AO541" s="817"/>
      <c r="AP541" s="820"/>
      <c r="AQ541" s="93">
        <v>1</v>
      </c>
      <c r="AR541" s="93"/>
      <c r="AS541" s="93"/>
      <c r="AT541" s="93"/>
      <c r="AU541" s="93"/>
      <c r="AV541" s="93"/>
      <c r="AW541" s="93"/>
      <c r="AX541" s="93"/>
      <c r="AY541" s="93"/>
      <c r="AZ541" s="93"/>
      <c r="BA541" s="93"/>
      <c r="BB541" s="93"/>
      <c r="BC541" s="93"/>
      <c r="BD541" s="93"/>
      <c r="BE541" s="93"/>
      <c r="BF541" s="93"/>
      <c r="BG541" s="93"/>
      <c r="BH541" s="93"/>
      <c r="BI541" s="93"/>
      <c r="BJ541" s="93"/>
      <c r="BK541" s="93"/>
      <c r="BL541" s="93"/>
      <c r="BM541" s="93"/>
      <c r="BN541" s="93"/>
      <c r="BT541" s="93"/>
      <c r="BU541" s="93"/>
      <c r="BV541" s="93"/>
      <c r="BW541" s="93"/>
      <c r="BX541" s="93"/>
      <c r="BY541" s="93"/>
      <c r="BZ541" s="93"/>
      <c r="CA541" s="93"/>
      <c r="CB541" s="93"/>
      <c r="CC541" s="93"/>
      <c r="CD541" s="93"/>
      <c r="CE541" s="93"/>
      <c r="CF541" s="93"/>
      <c r="CG541" s="93"/>
      <c r="CI541" s="93"/>
      <c r="CJ541" s="93"/>
      <c r="CK541" s="93"/>
      <c r="CL541" s="93"/>
      <c r="CM541" s="93"/>
      <c r="CN541" s="93"/>
      <c r="CO541" s="93"/>
      <c r="CP541" s="93"/>
      <c r="CQ541" s="93"/>
      <c r="CR541" s="93"/>
      <c r="CS541" s="93"/>
      <c r="CT541" s="93"/>
      <c r="CU541" s="93"/>
      <c r="CV541" s="93"/>
      <c r="CW541" s="93"/>
      <c r="CX541" s="93"/>
      <c r="CY541" s="93"/>
      <c r="CZ541" s="93"/>
      <c r="DA541" s="93"/>
      <c r="DB541" s="93"/>
      <c r="DC541" s="93"/>
      <c r="DD541" s="93"/>
      <c r="DE541" s="825"/>
      <c r="DF541" s="825"/>
      <c r="DG541" s="825"/>
      <c r="DH541" s="825"/>
      <c r="DI541" s="826"/>
      <c r="DJ541" s="825"/>
      <c r="GO541" s="92"/>
      <c r="GP541" s="831"/>
    </row>
    <row r="542" spans="1:198" s="806" customFormat="1" ht="15">
      <c r="A542" s="767" t="s">
        <v>7421</v>
      </c>
      <c r="D542" s="935" t="s">
        <v>384</v>
      </c>
      <c r="E542" s="1042" t="s">
        <v>384</v>
      </c>
      <c r="G542" s="827"/>
      <c r="H542" s="809" t="s">
        <v>8882</v>
      </c>
      <c r="I542" s="92">
        <v>27</v>
      </c>
      <c r="J542" s="92" t="s">
        <v>18</v>
      </c>
      <c r="K542" s="92" t="s">
        <v>722</v>
      </c>
      <c r="L542" s="810">
        <v>5</v>
      </c>
      <c r="M542" s="811" t="str">
        <f t="shared" si="38"/>
        <v>High School Graduate</v>
      </c>
      <c r="N542" s="92" t="s">
        <v>1208</v>
      </c>
      <c r="O542" s="92" t="s">
        <v>2225</v>
      </c>
      <c r="P542" s="1638"/>
      <c r="Q542" s="92" t="s">
        <v>2225</v>
      </c>
      <c r="R542" s="92" t="s">
        <v>10434</v>
      </c>
      <c r="S542" s="848">
        <v>6000</v>
      </c>
      <c r="T542" s="813"/>
      <c r="U542" s="813"/>
      <c r="V542" s="837"/>
      <c r="W542" s="838">
        <v>1</v>
      </c>
      <c r="X542" s="811" t="str">
        <f t="shared" si="36"/>
        <v>within the Brgy</v>
      </c>
      <c r="Y542" s="836"/>
      <c r="Z542" s="836"/>
      <c r="AA542" s="836"/>
      <c r="AB542" s="837"/>
      <c r="AC542" s="809" t="s">
        <v>8883</v>
      </c>
      <c r="AD542" s="824"/>
      <c r="AE542" s="93"/>
      <c r="AF542" s="818"/>
      <c r="AG542" s="807" t="str">
        <f t="shared" si="37"/>
        <v/>
      </c>
      <c r="AH542" s="807"/>
      <c r="AI542" s="807"/>
      <c r="AJ542" s="807"/>
      <c r="AK542" s="92"/>
      <c r="AL542" s="92"/>
      <c r="AM542" s="819"/>
      <c r="AN542" s="820"/>
      <c r="AO542" s="817"/>
      <c r="AP542" s="820"/>
      <c r="AQ542" s="93"/>
      <c r="AR542" s="93"/>
      <c r="AS542" s="93"/>
      <c r="AT542" s="93"/>
      <c r="AU542" s="93"/>
      <c r="AV542" s="93"/>
      <c r="AW542" s="93"/>
      <c r="AX542" s="93"/>
      <c r="AY542" s="93"/>
      <c r="AZ542" s="93"/>
      <c r="BA542" s="93"/>
      <c r="BB542" s="93"/>
      <c r="BC542" s="93"/>
      <c r="BD542" s="93"/>
      <c r="BE542" s="93"/>
      <c r="BF542" s="93"/>
      <c r="BG542" s="93"/>
      <c r="BH542" s="93"/>
      <c r="BI542" s="93"/>
      <c r="BJ542" s="93"/>
      <c r="BK542" s="93"/>
      <c r="BL542" s="93"/>
      <c r="BM542" s="93"/>
      <c r="BN542" s="93"/>
      <c r="BT542" s="93"/>
      <c r="BU542" s="93"/>
      <c r="BV542" s="93"/>
      <c r="BW542" s="93"/>
      <c r="BX542" s="93"/>
      <c r="BY542" s="93"/>
      <c r="BZ542" s="93"/>
      <c r="CA542" s="93"/>
      <c r="CB542" s="93"/>
      <c r="CC542" s="93"/>
      <c r="CD542" s="93"/>
      <c r="CE542" s="93"/>
      <c r="CF542" s="93"/>
      <c r="CG542" s="93"/>
      <c r="CI542" s="93"/>
      <c r="CJ542" s="93" t="s">
        <v>2145</v>
      </c>
      <c r="CK542" s="93"/>
      <c r="CL542" s="93"/>
      <c r="CM542" s="93"/>
      <c r="CN542" s="93"/>
      <c r="CO542" s="93"/>
      <c r="CP542" s="93"/>
      <c r="CQ542" s="93"/>
      <c r="CR542" s="93" t="s">
        <v>2146</v>
      </c>
      <c r="CS542" s="93"/>
      <c r="CT542" s="93" t="s">
        <v>2144</v>
      </c>
      <c r="CU542" s="93"/>
      <c r="CV542" s="93"/>
      <c r="CW542" s="93"/>
      <c r="CX542" s="93"/>
      <c r="CY542" s="93"/>
      <c r="CZ542" s="93"/>
      <c r="DA542" s="93"/>
      <c r="DB542" s="93"/>
      <c r="DC542" s="93"/>
      <c r="DD542" s="93"/>
      <c r="DE542" s="825"/>
      <c r="DF542" s="825"/>
      <c r="DG542" s="825"/>
      <c r="DH542" s="825"/>
      <c r="DI542" s="826"/>
      <c r="DJ542" s="825"/>
      <c r="GO542" s="92"/>
      <c r="GP542" s="831"/>
    </row>
    <row r="543" spans="1:198" s="806" customFormat="1" ht="15">
      <c r="A543" s="767" t="s">
        <v>7421</v>
      </c>
      <c r="D543" s="935" t="s">
        <v>384</v>
      </c>
      <c r="E543" s="1042" t="s">
        <v>384</v>
      </c>
      <c r="G543" s="827"/>
      <c r="H543" s="809" t="s">
        <v>8884</v>
      </c>
      <c r="I543" s="92">
        <v>9</v>
      </c>
      <c r="J543" s="92" t="s">
        <v>18</v>
      </c>
      <c r="K543" s="92" t="s">
        <v>768</v>
      </c>
      <c r="L543" s="810">
        <v>2</v>
      </c>
      <c r="M543" s="811" t="str">
        <f t="shared" si="38"/>
        <v>Elementary Level</v>
      </c>
      <c r="N543" s="92"/>
      <c r="O543" s="92"/>
      <c r="P543" s="1638"/>
      <c r="Q543" s="92"/>
      <c r="R543" s="92"/>
      <c r="S543" s="848"/>
      <c r="T543" s="813"/>
      <c r="U543" s="813"/>
      <c r="V543" s="837"/>
      <c r="W543" s="838"/>
      <c r="X543" s="811" t="str">
        <f t="shared" si="36"/>
        <v/>
      </c>
      <c r="Y543" s="836"/>
      <c r="Z543" s="836"/>
      <c r="AA543" s="836"/>
      <c r="AB543" s="837"/>
      <c r="AC543" s="809"/>
      <c r="AD543" s="824"/>
      <c r="AE543" s="93"/>
      <c r="AF543" s="818"/>
      <c r="AG543" s="807" t="str">
        <f t="shared" si="37"/>
        <v/>
      </c>
      <c r="AH543" s="807"/>
      <c r="AI543" s="807"/>
      <c r="AJ543" s="807"/>
      <c r="AK543" s="92"/>
      <c r="AL543" s="92"/>
      <c r="AM543" s="819"/>
      <c r="AN543" s="820"/>
      <c r="AO543" s="817"/>
      <c r="AP543" s="820"/>
      <c r="AQ543" s="93"/>
      <c r="AR543" s="93"/>
      <c r="AS543" s="93"/>
      <c r="AT543" s="93"/>
      <c r="AU543" s="93"/>
      <c r="AV543" s="93"/>
      <c r="AW543" s="93"/>
      <c r="AX543" s="93"/>
      <c r="AY543" s="93"/>
      <c r="AZ543" s="93"/>
      <c r="BA543" s="93"/>
      <c r="BB543" s="93"/>
      <c r="BC543" s="93"/>
      <c r="BD543" s="93"/>
      <c r="BE543" s="93"/>
      <c r="BF543" s="93"/>
      <c r="BG543" s="93"/>
      <c r="BH543" s="93"/>
      <c r="BI543" s="93"/>
      <c r="BJ543" s="93"/>
      <c r="BK543" s="93"/>
      <c r="BL543" s="93"/>
      <c r="BM543" s="93"/>
      <c r="BN543" s="93"/>
      <c r="BT543" s="93"/>
      <c r="BU543" s="93"/>
      <c r="BV543" s="93"/>
      <c r="BW543" s="93"/>
      <c r="BX543" s="93"/>
      <c r="BY543" s="93"/>
      <c r="BZ543" s="93"/>
      <c r="CA543" s="93"/>
      <c r="CB543" s="93"/>
      <c r="CC543" s="93"/>
      <c r="CD543" s="93"/>
      <c r="CE543" s="93"/>
      <c r="CF543" s="93"/>
      <c r="CG543" s="93"/>
      <c r="CI543" s="93"/>
      <c r="CJ543" s="93"/>
      <c r="CK543" s="93"/>
      <c r="CL543" s="93"/>
      <c r="CM543" s="93"/>
      <c r="CN543" s="93"/>
      <c r="CO543" s="93"/>
      <c r="CP543" s="93"/>
      <c r="CQ543" s="93"/>
      <c r="CR543" s="93"/>
      <c r="CS543" s="93"/>
      <c r="CT543" s="93"/>
      <c r="CU543" s="93"/>
      <c r="CV543" s="93"/>
      <c r="CW543" s="93"/>
      <c r="CX543" s="93"/>
      <c r="CY543" s="93"/>
      <c r="CZ543" s="93"/>
      <c r="DA543" s="93"/>
      <c r="DB543" s="93"/>
      <c r="DC543" s="93"/>
      <c r="DD543" s="93"/>
      <c r="DE543" s="825"/>
      <c r="DF543" s="825"/>
      <c r="DG543" s="825"/>
      <c r="DH543" s="825"/>
      <c r="DI543" s="826"/>
      <c r="DJ543" s="825"/>
      <c r="GO543" s="92"/>
      <c r="GP543" s="831"/>
    </row>
    <row r="544" spans="1:198" s="806" customFormat="1" ht="15">
      <c r="A544" s="767" t="s">
        <v>7421</v>
      </c>
      <c r="D544" s="935" t="s">
        <v>384</v>
      </c>
      <c r="E544" s="1042" t="s">
        <v>384</v>
      </c>
      <c r="G544" s="827"/>
      <c r="H544" s="809" t="s">
        <v>8885</v>
      </c>
      <c r="I544" s="92">
        <v>7</v>
      </c>
      <c r="J544" s="92" t="s">
        <v>10</v>
      </c>
      <c r="K544" s="92" t="s">
        <v>768</v>
      </c>
      <c r="L544" s="810">
        <v>2</v>
      </c>
      <c r="M544" s="811" t="str">
        <f t="shared" si="38"/>
        <v>Elementary Level</v>
      </c>
      <c r="N544" s="92"/>
      <c r="O544" s="92"/>
      <c r="P544" s="1638"/>
      <c r="Q544" s="92"/>
      <c r="R544" s="92"/>
      <c r="S544" s="848"/>
      <c r="T544" s="813"/>
      <c r="U544" s="813"/>
      <c r="V544" s="837"/>
      <c r="W544" s="838"/>
      <c r="X544" s="811" t="str">
        <f t="shared" si="36"/>
        <v/>
      </c>
      <c r="Y544" s="836"/>
      <c r="Z544" s="836"/>
      <c r="AA544" s="836"/>
      <c r="AB544" s="837"/>
      <c r="AC544" s="809"/>
      <c r="AD544" s="824"/>
      <c r="AE544" s="93"/>
      <c r="AF544" s="818"/>
      <c r="AG544" s="807" t="str">
        <f t="shared" si="37"/>
        <v/>
      </c>
      <c r="AH544" s="807"/>
      <c r="AI544" s="807"/>
      <c r="AJ544" s="807"/>
      <c r="AK544" s="92"/>
      <c r="AL544" s="92"/>
      <c r="AM544" s="819"/>
      <c r="AN544" s="820"/>
      <c r="AO544" s="817"/>
      <c r="AP544" s="820"/>
      <c r="AQ544" s="93"/>
      <c r="AR544" s="93"/>
      <c r="AS544" s="93"/>
      <c r="AT544" s="93"/>
      <c r="AU544" s="93"/>
      <c r="AV544" s="93"/>
      <c r="AW544" s="93"/>
      <c r="AX544" s="93"/>
      <c r="AY544" s="93"/>
      <c r="AZ544" s="93"/>
      <c r="BA544" s="93"/>
      <c r="BB544" s="93"/>
      <c r="BC544" s="93"/>
      <c r="BD544" s="93"/>
      <c r="BE544" s="93"/>
      <c r="BF544" s="93"/>
      <c r="BG544" s="93"/>
      <c r="BH544" s="93"/>
      <c r="BI544" s="93"/>
      <c r="BJ544" s="93"/>
      <c r="BK544" s="93"/>
      <c r="BL544" s="93"/>
      <c r="BM544" s="93"/>
      <c r="BN544" s="93"/>
      <c r="BT544" s="93"/>
      <c r="BU544" s="93"/>
      <c r="BV544" s="93"/>
      <c r="BW544" s="93"/>
      <c r="BX544" s="93"/>
      <c r="BY544" s="93"/>
      <c r="BZ544" s="93"/>
      <c r="CA544" s="93"/>
      <c r="CB544" s="93"/>
      <c r="CC544" s="93"/>
      <c r="CD544" s="93"/>
      <c r="CE544" s="93"/>
      <c r="CF544" s="93"/>
      <c r="CG544" s="93"/>
      <c r="CI544" s="93"/>
      <c r="CJ544" s="93"/>
      <c r="CK544" s="93"/>
      <c r="CL544" s="93"/>
      <c r="CM544" s="93"/>
      <c r="CN544" s="93"/>
      <c r="CO544" s="93"/>
      <c r="CP544" s="93"/>
      <c r="CQ544" s="93"/>
      <c r="CR544" s="93"/>
      <c r="CS544" s="93"/>
      <c r="CT544" s="93"/>
      <c r="CU544" s="93"/>
      <c r="CV544" s="93"/>
      <c r="CW544" s="93"/>
      <c r="CX544" s="93"/>
      <c r="CY544" s="93"/>
      <c r="CZ544" s="93"/>
      <c r="DA544" s="93"/>
      <c r="DB544" s="93"/>
      <c r="DC544" s="93"/>
      <c r="DD544" s="93"/>
      <c r="DE544" s="825"/>
      <c r="DF544" s="825"/>
      <c r="DG544" s="825"/>
      <c r="DH544" s="825"/>
      <c r="DI544" s="826"/>
      <c r="DJ544" s="825"/>
      <c r="GO544" s="92"/>
      <c r="GP544" s="831"/>
    </row>
    <row r="545" spans="1:198" s="806" customFormat="1" ht="15">
      <c r="A545" s="767" t="s">
        <v>7421</v>
      </c>
      <c r="D545" s="935" t="s">
        <v>384</v>
      </c>
      <c r="E545" s="1042" t="s">
        <v>384</v>
      </c>
      <c r="G545" s="827"/>
      <c r="H545" s="809" t="s">
        <v>8886</v>
      </c>
      <c r="I545" s="92">
        <v>4</v>
      </c>
      <c r="J545" s="92" t="s">
        <v>10</v>
      </c>
      <c r="K545" s="92" t="s">
        <v>768</v>
      </c>
      <c r="L545" s="810">
        <v>10</v>
      </c>
      <c r="M545" s="811" t="str">
        <f t="shared" si="38"/>
        <v>Not In School Age</v>
      </c>
      <c r="N545" s="92"/>
      <c r="O545" s="92"/>
      <c r="P545" s="1638"/>
      <c r="Q545" s="92"/>
      <c r="R545" s="92"/>
      <c r="S545" s="848"/>
      <c r="T545" s="813"/>
      <c r="U545" s="813"/>
      <c r="V545" s="837"/>
      <c r="W545" s="838"/>
      <c r="X545" s="811" t="str">
        <f t="shared" si="36"/>
        <v/>
      </c>
      <c r="Y545" s="836"/>
      <c r="Z545" s="836"/>
      <c r="AA545" s="836"/>
      <c r="AB545" s="837"/>
      <c r="AC545" s="809"/>
      <c r="AD545" s="824"/>
      <c r="AE545" s="93"/>
      <c r="AF545" s="818"/>
      <c r="AG545" s="807" t="str">
        <f t="shared" si="37"/>
        <v/>
      </c>
      <c r="AH545" s="807"/>
      <c r="AI545" s="807"/>
      <c r="AJ545" s="807"/>
      <c r="AK545" s="92"/>
      <c r="AL545" s="92"/>
      <c r="AM545" s="819"/>
      <c r="AN545" s="820"/>
      <c r="AO545" s="817"/>
      <c r="AP545" s="820"/>
      <c r="AQ545" s="93"/>
      <c r="AR545" s="93"/>
      <c r="AS545" s="93"/>
      <c r="AT545" s="93"/>
      <c r="AU545" s="93"/>
      <c r="AV545" s="93"/>
      <c r="AW545" s="93"/>
      <c r="AX545" s="93"/>
      <c r="AY545" s="93"/>
      <c r="AZ545" s="93"/>
      <c r="BA545" s="93"/>
      <c r="BB545" s="93"/>
      <c r="BC545" s="93"/>
      <c r="BD545" s="93"/>
      <c r="BE545" s="93"/>
      <c r="BF545" s="93"/>
      <c r="BG545" s="93"/>
      <c r="BH545" s="93"/>
      <c r="BI545" s="93"/>
      <c r="BJ545" s="93"/>
      <c r="BK545" s="93"/>
      <c r="BL545" s="93"/>
      <c r="BM545" s="93"/>
      <c r="BN545" s="93"/>
      <c r="BT545" s="93"/>
      <c r="BU545" s="93"/>
      <c r="BV545" s="93"/>
      <c r="BW545" s="93"/>
      <c r="BX545" s="93"/>
      <c r="BY545" s="93"/>
      <c r="BZ545" s="93"/>
      <c r="CA545" s="93"/>
      <c r="CB545" s="93"/>
      <c r="CC545" s="93"/>
      <c r="CD545" s="93"/>
      <c r="CE545" s="93"/>
      <c r="CF545" s="93"/>
      <c r="CG545" s="93"/>
      <c r="CI545" s="93"/>
      <c r="CJ545" s="93"/>
      <c r="CK545" s="93"/>
      <c r="CL545" s="93"/>
      <c r="CM545" s="93"/>
      <c r="CN545" s="93"/>
      <c r="CO545" s="93"/>
      <c r="CP545" s="93"/>
      <c r="CQ545" s="93"/>
      <c r="CR545" s="93"/>
      <c r="CS545" s="93"/>
      <c r="CT545" s="93"/>
      <c r="CU545" s="93"/>
      <c r="CV545" s="93"/>
      <c r="CW545" s="93"/>
      <c r="CX545" s="93"/>
      <c r="CY545" s="93"/>
      <c r="CZ545" s="93"/>
      <c r="DA545" s="93"/>
      <c r="DB545" s="93"/>
      <c r="DC545" s="93"/>
      <c r="DD545" s="93"/>
      <c r="DE545" s="825"/>
      <c r="DF545" s="825"/>
      <c r="DG545" s="825"/>
      <c r="DH545" s="825"/>
      <c r="DI545" s="826"/>
      <c r="DJ545" s="825"/>
      <c r="GO545" s="92"/>
      <c r="GP545" s="831"/>
    </row>
    <row r="546" spans="1:198" ht="15">
      <c r="A546" s="767" t="s">
        <v>7421</v>
      </c>
      <c r="D546" s="935" t="s">
        <v>384</v>
      </c>
      <c r="E546" s="1042" t="s">
        <v>384</v>
      </c>
      <c r="G546" s="827"/>
      <c r="H546" s="809" t="s">
        <v>8887</v>
      </c>
      <c r="I546" s="92">
        <v>2</v>
      </c>
      <c r="J546" s="92" t="s">
        <v>18</v>
      </c>
      <c r="K546" s="92" t="s">
        <v>768</v>
      </c>
      <c r="L546" s="810">
        <v>10</v>
      </c>
      <c r="M546" s="811" t="str">
        <f t="shared" si="38"/>
        <v>Not In School Age</v>
      </c>
      <c r="O546" s="92"/>
      <c r="P546" s="1638"/>
      <c r="Q546" s="92"/>
      <c r="R546" s="92"/>
      <c r="S546" s="848"/>
      <c r="T546" s="820"/>
      <c r="U546" s="820"/>
      <c r="V546" s="830">
        <f>SUM(S541:U546)</f>
        <v>8000</v>
      </c>
      <c r="X546" s="811" t="str">
        <f t="shared" si="36"/>
        <v/>
      </c>
      <c r="AB546" s="830">
        <f>SUM(Y541:AA546)</f>
        <v>0</v>
      </c>
      <c r="AC546" s="809"/>
      <c r="AD546" s="824"/>
      <c r="AG546" s="807" t="str">
        <f t="shared" si="37"/>
        <v/>
      </c>
      <c r="AI546" s="817"/>
      <c r="AJ546" s="817"/>
      <c r="AK546" s="92"/>
      <c r="AM546" s="819"/>
      <c r="AN546" s="820"/>
      <c r="AQ546" s="93"/>
      <c r="AR546" s="93"/>
      <c r="AS546" s="93"/>
      <c r="AT546" s="93"/>
      <c r="AU546" s="93"/>
      <c r="AV546" s="93"/>
      <c r="AW546" s="93"/>
      <c r="AX546" s="93"/>
      <c r="AY546" s="93"/>
      <c r="AZ546" s="93"/>
      <c r="BA546" s="93"/>
      <c r="BB546" s="93"/>
      <c r="BL546" s="93"/>
      <c r="BM546" s="93"/>
      <c r="BT546" s="93"/>
      <c r="BU546" s="93"/>
      <c r="BV546" s="93"/>
      <c r="BW546" s="93"/>
      <c r="BX546" s="93"/>
      <c r="BY546" s="93"/>
      <c r="BZ546" s="93"/>
      <c r="CA546" s="93"/>
      <c r="CB546" s="93"/>
      <c r="CC546" s="93"/>
      <c r="CF546" s="93"/>
      <c r="CG546" s="93"/>
      <c r="CH546" s="93"/>
      <c r="CI546" s="93"/>
      <c r="CJ546" s="93"/>
      <c r="CK546" s="93"/>
      <c r="CL546" s="93"/>
      <c r="CM546" s="93"/>
      <c r="CN546" s="93"/>
      <c r="CO546" s="93"/>
      <c r="CP546" s="93"/>
      <c r="CQ546" s="93"/>
      <c r="CR546" s="93"/>
      <c r="CS546" s="93"/>
      <c r="CT546" s="93"/>
      <c r="CU546" s="93"/>
      <c r="CV546" s="93"/>
      <c r="CW546" s="93"/>
      <c r="CX546" s="93"/>
      <c r="CY546" s="93"/>
      <c r="CZ546" s="93"/>
      <c r="DA546" s="93"/>
      <c r="DB546" s="93"/>
      <c r="DC546" s="93"/>
      <c r="DD546" s="93"/>
      <c r="DE546" s="93"/>
      <c r="DF546" s="93"/>
      <c r="DG546" s="93"/>
      <c r="DH546" s="93"/>
      <c r="DI546" s="93"/>
      <c r="DJ546" s="93"/>
      <c r="DK546" s="93"/>
      <c r="DL546" s="93"/>
      <c r="DM546" s="93"/>
      <c r="DN546" s="93"/>
      <c r="DO546" s="93"/>
    </row>
    <row r="547" spans="1:198" s="806" customFormat="1" ht="15">
      <c r="A547" s="767" t="s">
        <v>7421</v>
      </c>
      <c r="B547" s="292" t="s">
        <v>7592</v>
      </c>
      <c r="C547" s="148" t="s">
        <v>389</v>
      </c>
      <c r="D547" s="935" t="s">
        <v>389</v>
      </c>
      <c r="E547" s="1042" t="s">
        <v>389</v>
      </c>
      <c r="F547" s="1047" t="s">
        <v>1339</v>
      </c>
      <c r="G547" s="809" t="s">
        <v>389</v>
      </c>
      <c r="H547" s="809" t="s">
        <v>8888</v>
      </c>
      <c r="I547" s="92">
        <v>42</v>
      </c>
      <c r="J547" s="92" t="s">
        <v>10</v>
      </c>
      <c r="K547" s="92" t="s">
        <v>722</v>
      </c>
      <c r="L547" s="810">
        <v>4</v>
      </c>
      <c r="M547" s="811" t="str">
        <f t="shared" si="38"/>
        <v>High School Level</v>
      </c>
      <c r="N547" s="92" t="s">
        <v>1208</v>
      </c>
      <c r="O547" s="92" t="s">
        <v>5491</v>
      </c>
      <c r="P547" s="1638" t="s">
        <v>12598</v>
      </c>
      <c r="Q547" s="92" t="s">
        <v>5491</v>
      </c>
      <c r="R547" s="92" t="s">
        <v>8234</v>
      </c>
      <c r="S547" s="848">
        <v>9850</v>
      </c>
      <c r="T547" s="813"/>
      <c r="U547" s="836">
        <v>2750</v>
      </c>
      <c r="V547" s="864"/>
      <c r="W547" s="838">
        <v>2</v>
      </c>
      <c r="X547" s="811" t="str">
        <f t="shared" si="36"/>
        <v>within the Municipality/City</v>
      </c>
      <c r="Y547" s="836"/>
      <c r="Z547" s="836"/>
      <c r="AA547" s="836"/>
      <c r="AB547" s="864"/>
      <c r="AC547" s="809" t="s">
        <v>8889</v>
      </c>
      <c r="AD547" s="824"/>
      <c r="AE547" s="93" t="s">
        <v>8890</v>
      </c>
      <c r="AF547" s="818">
        <v>4</v>
      </c>
      <c r="AG547" s="807" t="str">
        <f t="shared" si="37"/>
        <v>Serious Illness</v>
      </c>
      <c r="AH547" s="807"/>
      <c r="AI547" s="807"/>
      <c r="AJ547" s="807"/>
      <c r="AK547" s="92"/>
      <c r="AL547" s="92"/>
      <c r="AM547" s="819"/>
      <c r="AN547" s="820"/>
      <c r="AO547" s="817"/>
      <c r="AP547" s="820"/>
      <c r="AQ547" s="93"/>
      <c r="AR547" s="93">
        <v>1</v>
      </c>
      <c r="AS547" s="93"/>
      <c r="AT547" s="93"/>
      <c r="AU547" s="93"/>
      <c r="AV547" s="93"/>
      <c r="AW547" s="93"/>
      <c r="AX547" s="93"/>
      <c r="AY547" s="93"/>
      <c r="AZ547" s="93"/>
      <c r="BA547" s="93"/>
      <c r="BB547" s="93"/>
      <c r="BC547" s="93"/>
      <c r="BD547" s="93"/>
      <c r="BE547" s="93"/>
      <c r="BF547" s="93"/>
      <c r="BG547" s="93"/>
      <c r="BH547" s="93"/>
      <c r="BI547" s="93"/>
      <c r="BJ547" s="93"/>
      <c r="BK547" s="93"/>
      <c r="BL547" s="93"/>
      <c r="BM547" s="93">
        <v>2</v>
      </c>
      <c r="BN547" s="93"/>
      <c r="BT547" s="93"/>
      <c r="BU547" s="93"/>
      <c r="BV547" s="93"/>
      <c r="BW547" s="93"/>
      <c r="BX547" s="93"/>
      <c r="BY547" s="93"/>
      <c r="BZ547" s="93"/>
      <c r="CA547" s="93"/>
      <c r="CB547" s="93"/>
      <c r="CC547" s="93"/>
      <c r="CD547" s="93"/>
      <c r="CE547" s="93"/>
      <c r="CF547" s="93"/>
      <c r="CG547" s="93"/>
      <c r="CI547" s="93"/>
      <c r="CJ547" s="93"/>
      <c r="CK547" s="93"/>
      <c r="CL547" s="93"/>
      <c r="CM547" s="93"/>
      <c r="CN547" s="93"/>
      <c r="CO547" s="93"/>
      <c r="CP547" s="93"/>
      <c r="CQ547" s="93"/>
      <c r="CR547" s="93"/>
      <c r="CS547" s="93"/>
      <c r="CT547" s="93"/>
      <c r="CU547" s="93"/>
      <c r="CV547" s="93"/>
      <c r="CW547" s="93"/>
      <c r="CX547" s="93"/>
      <c r="CY547" s="93"/>
      <c r="CZ547" s="93"/>
      <c r="DA547" s="93"/>
      <c r="DB547" s="93"/>
      <c r="DC547" s="93"/>
      <c r="DD547" s="93"/>
      <c r="DE547" s="825"/>
      <c r="DF547" s="825"/>
      <c r="DG547" s="825"/>
      <c r="DH547" s="825"/>
      <c r="DI547" s="826"/>
      <c r="DJ547" s="825"/>
      <c r="GO547" s="92"/>
      <c r="GP547" s="831"/>
    </row>
    <row r="548" spans="1:198" s="806" customFormat="1" ht="15">
      <c r="A548" s="767" t="s">
        <v>7421</v>
      </c>
      <c r="D548" s="935" t="s">
        <v>389</v>
      </c>
      <c r="E548" s="1042" t="s">
        <v>389</v>
      </c>
      <c r="G548" s="827"/>
      <c r="H548" s="809" t="s">
        <v>8891</v>
      </c>
      <c r="I548" s="92">
        <v>27</v>
      </c>
      <c r="J548" s="92" t="s">
        <v>18</v>
      </c>
      <c r="K548" s="92" t="s">
        <v>722</v>
      </c>
      <c r="L548" s="810">
        <v>4</v>
      </c>
      <c r="M548" s="811" t="str">
        <f t="shared" si="38"/>
        <v>High School Level</v>
      </c>
      <c r="N548" s="92" t="s">
        <v>1208</v>
      </c>
      <c r="O548" s="92" t="s">
        <v>8833</v>
      </c>
      <c r="P548" s="1638"/>
      <c r="Q548" s="92" t="s">
        <v>8833</v>
      </c>
      <c r="R548" s="92" t="s">
        <v>20</v>
      </c>
      <c r="S548" s="848"/>
      <c r="T548" s="813"/>
      <c r="U548" s="813">
        <v>800</v>
      </c>
      <c r="V548" s="864"/>
      <c r="W548" s="838">
        <v>2</v>
      </c>
      <c r="X548" s="811" t="str">
        <f t="shared" si="36"/>
        <v>within the Municipality/City</v>
      </c>
      <c r="Y548" s="836"/>
      <c r="Z548" s="836"/>
      <c r="AA548" s="836"/>
      <c r="AB548" s="864"/>
      <c r="AC548" s="809"/>
      <c r="AD548" s="824"/>
      <c r="AE548" s="93"/>
      <c r="AF548" s="818"/>
      <c r="AG548" s="807" t="str">
        <f t="shared" si="37"/>
        <v/>
      </c>
      <c r="AH548" s="807"/>
      <c r="AI548" s="807"/>
      <c r="AJ548" s="807"/>
      <c r="AK548" s="92"/>
      <c r="AL548" s="92"/>
      <c r="AM548" s="819"/>
      <c r="AN548" s="820"/>
      <c r="AO548" s="817"/>
      <c r="AP548" s="820"/>
      <c r="AQ548" s="93"/>
      <c r="AR548" s="93"/>
      <c r="AS548" s="93"/>
      <c r="AT548" s="93"/>
      <c r="AU548" s="93"/>
      <c r="AV548" s="93"/>
      <c r="AW548" s="93"/>
      <c r="AX548" s="93"/>
      <c r="AY548" s="93"/>
      <c r="AZ548" s="93"/>
      <c r="BA548" s="93"/>
      <c r="BB548" s="93"/>
      <c r="BC548" s="93"/>
      <c r="BD548" s="93"/>
      <c r="BE548" s="93"/>
      <c r="BF548" s="93"/>
      <c r="BG548" s="93"/>
      <c r="BH548" s="93"/>
      <c r="BI548" s="93"/>
      <c r="BJ548" s="93"/>
      <c r="BK548" s="93"/>
      <c r="BL548" s="93"/>
      <c r="BM548" s="93"/>
      <c r="BN548" s="93"/>
      <c r="BT548" s="93"/>
      <c r="BU548" s="93"/>
      <c r="BV548" s="93"/>
      <c r="BW548" s="93"/>
      <c r="BX548" s="93"/>
      <c r="BY548" s="93"/>
      <c r="BZ548" s="93"/>
      <c r="CA548" s="93"/>
      <c r="CB548" s="93"/>
      <c r="CC548" s="93"/>
      <c r="CD548" s="93"/>
      <c r="CE548" s="93"/>
      <c r="CF548" s="93"/>
      <c r="CG548" s="93"/>
      <c r="CI548" s="93"/>
      <c r="CJ548" s="93"/>
      <c r="CK548" s="93"/>
      <c r="CL548" s="93"/>
      <c r="CM548" s="93"/>
      <c r="CN548" s="93"/>
      <c r="CO548" s="93"/>
      <c r="CP548" s="93"/>
      <c r="CQ548" s="93"/>
      <c r="CR548" s="93"/>
      <c r="CS548" s="93" t="s">
        <v>2144</v>
      </c>
      <c r="CT548" s="93" t="s">
        <v>2145</v>
      </c>
      <c r="CU548" s="93"/>
      <c r="CV548" s="93"/>
      <c r="CW548" s="93"/>
      <c r="CX548" s="93"/>
      <c r="CY548" s="93"/>
      <c r="CZ548" s="93"/>
      <c r="DA548" s="93"/>
      <c r="DB548" s="93"/>
      <c r="DC548" s="93"/>
      <c r="DD548" s="93"/>
      <c r="DE548" s="825"/>
      <c r="DF548" s="825"/>
      <c r="DG548" s="825"/>
      <c r="DH548" s="825"/>
      <c r="DI548" s="826"/>
      <c r="DJ548" s="825"/>
      <c r="GO548" s="92"/>
      <c r="GP548" s="831"/>
    </row>
    <row r="549" spans="1:198" s="806" customFormat="1" ht="15">
      <c r="A549" s="767" t="s">
        <v>7421</v>
      </c>
      <c r="D549" s="935" t="s">
        <v>389</v>
      </c>
      <c r="E549" s="1042" t="s">
        <v>389</v>
      </c>
      <c r="G549" s="827"/>
      <c r="H549" s="809" t="s">
        <v>8892</v>
      </c>
      <c r="I549" s="92">
        <v>10</v>
      </c>
      <c r="J549" s="92" t="s">
        <v>18</v>
      </c>
      <c r="K549" s="92" t="s">
        <v>768</v>
      </c>
      <c r="L549" s="810">
        <v>2</v>
      </c>
      <c r="M549" s="811" t="str">
        <f t="shared" si="38"/>
        <v>Elementary Level</v>
      </c>
      <c r="N549" s="92"/>
      <c r="O549" s="92"/>
      <c r="P549" s="1638"/>
      <c r="Q549" s="92"/>
      <c r="R549" s="92"/>
      <c r="S549" s="848"/>
      <c r="T549" s="813"/>
      <c r="U549" s="813"/>
      <c r="V549" s="864"/>
      <c r="W549" s="838"/>
      <c r="X549" s="811" t="str">
        <f t="shared" si="36"/>
        <v/>
      </c>
      <c r="Y549" s="836"/>
      <c r="Z549" s="836"/>
      <c r="AA549" s="836"/>
      <c r="AB549" s="864"/>
      <c r="AC549" s="809"/>
      <c r="AD549" s="824"/>
      <c r="AE549" s="93"/>
      <c r="AF549" s="818"/>
      <c r="AG549" s="807" t="str">
        <f t="shared" si="37"/>
        <v/>
      </c>
      <c r="AH549" s="807"/>
      <c r="AI549" s="807"/>
      <c r="AJ549" s="807"/>
      <c r="AK549" s="92"/>
      <c r="AL549" s="92"/>
      <c r="AM549" s="819"/>
      <c r="AN549" s="820"/>
      <c r="AO549" s="817"/>
      <c r="AP549" s="820"/>
      <c r="AQ549" s="93"/>
      <c r="AR549" s="93"/>
      <c r="AS549" s="93"/>
      <c r="AT549" s="93"/>
      <c r="AU549" s="93"/>
      <c r="AV549" s="93"/>
      <c r="AW549" s="93"/>
      <c r="AX549" s="93"/>
      <c r="AY549" s="93"/>
      <c r="AZ549" s="93"/>
      <c r="BA549" s="93"/>
      <c r="BB549" s="93"/>
      <c r="BC549" s="93"/>
      <c r="BD549" s="93"/>
      <c r="BE549" s="93"/>
      <c r="BF549" s="93"/>
      <c r="BG549" s="93"/>
      <c r="BH549" s="93"/>
      <c r="BI549" s="93"/>
      <c r="BJ549" s="93"/>
      <c r="BK549" s="93"/>
      <c r="BL549" s="93"/>
      <c r="BM549" s="93"/>
      <c r="BN549" s="93"/>
      <c r="BT549" s="93"/>
      <c r="BU549" s="93"/>
      <c r="BV549" s="93"/>
      <c r="BW549" s="93"/>
      <c r="BX549" s="93"/>
      <c r="BY549" s="93"/>
      <c r="BZ549" s="93"/>
      <c r="CA549" s="93"/>
      <c r="CB549" s="93"/>
      <c r="CC549" s="93"/>
      <c r="CD549" s="93"/>
      <c r="CE549" s="93"/>
      <c r="CF549" s="93"/>
      <c r="CG549" s="93"/>
      <c r="CI549" s="93"/>
      <c r="CJ549" s="93"/>
      <c r="CK549" s="93"/>
      <c r="CL549" s="93"/>
      <c r="CM549" s="93"/>
      <c r="CN549" s="93"/>
      <c r="CO549" s="93"/>
      <c r="CP549" s="93"/>
      <c r="CQ549" s="93"/>
      <c r="CR549" s="93"/>
      <c r="CS549" s="93"/>
      <c r="CT549" s="93"/>
      <c r="CU549" s="93"/>
      <c r="CV549" s="93"/>
      <c r="CW549" s="93"/>
      <c r="CX549" s="93"/>
      <c r="CY549" s="93"/>
      <c r="CZ549" s="93"/>
      <c r="DA549" s="93"/>
      <c r="DB549" s="93"/>
      <c r="DC549" s="93"/>
      <c r="DD549" s="93"/>
      <c r="DE549" s="825"/>
      <c r="DF549" s="825"/>
      <c r="DG549" s="825"/>
      <c r="DH549" s="825"/>
      <c r="DI549" s="826"/>
      <c r="DJ549" s="825"/>
      <c r="GO549" s="92"/>
      <c r="GP549" s="831"/>
    </row>
    <row r="550" spans="1:198" ht="15">
      <c r="A550" s="767" t="s">
        <v>7421</v>
      </c>
      <c r="D550" s="935" t="s">
        <v>389</v>
      </c>
      <c r="E550" s="1042" t="s">
        <v>389</v>
      </c>
      <c r="G550" s="827"/>
      <c r="H550" s="809" t="s">
        <v>8893</v>
      </c>
      <c r="I550" s="92">
        <v>8</v>
      </c>
      <c r="J550" s="92" t="s">
        <v>10</v>
      </c>
      <c r="K550" s="92" t="s">
        <v>768</v>
      </c>
      <c r="L550" s="810">
        <v>2</v>
      </c>
      <c r="M550" s="811" t="str">
        <f t="shared" si="38"/>
        <v>Elementary Level</v>
      </c>
      <c r="O550" s="92"/>
      <c r="P550" s="1638"/>
      <c r="Q550" s="92"/>
      <c r="R550" s="92"/>
      <c r="S550" s="848"/>
      <c r="T550" s="820"/>
      <c r="U550" s="820"/>
      <c r="X550" s="811" t="str">
        <f t="shared" si="36"/>
        <v/>
      </c>
      <c r="AB550" s="814"/>
      <c r="AC550" s="809"/>
      <c r="AD550" s="824"/>
      <c r="AG550" s="807" t="str">
        <f t="shared" si="37"/>
        <v/>
      </c>
      <c r="AI550" s="817"/>
      <c r="AJ550" s="817"/>
      <c r="AK550" s="92"/>
      <c r="AM550" s="819"/>
      <c r="AN550" s="820"/>
      <c r="AQ550" s="93"/>
      <c r="AR550" s="93"/>
      <c r="AS550" s="93"/>
      <c r="AT550" s="93"/>
      <c r="AU550" s="93"/>
      <c r="AV550" s="93"/>
      <c r="AW550" s="93"/>
      <c r="AX550" s="93"/>
      <c r="AY550" s="93"/>
      <c r="AZ550" s="93"/>
      <c r="BA550" s="93"/>
      <c r="BB550" s="93"/>
      <c r="BL550" s="93"/>
      <c r="BM550" s="93"/>
      <c r="BT550" s="93"/>
      <c r="BU550" s="93"/>
      <c r="BV550" s="93"/>
      <c r="BW550" s="93"/>
      <c r="BX550" s="93"/>
      <c r="BY550" s="93"/>
      <c r="BZ550" s="93"/>
      <c r="CA550" s="93"/>
      <c r="CB550" s="93"/>
      <c r="CC550" s="93"/>
      <c r="CF550" s="93"/>
      <c r="CG550" s="93"/>
      <c r="CH550" s="93"/>
      <c r="CI550" s="93"/>
      <c r="CJ550" s="93"/>
      <c r="CK550" s="93"/>
      <c r="CL550" s="93"/>
      <c r="CM550" s="93"/>
      <c r="CN550" s="93"/>
      <c r="CO550" s="93"/>
      <c r="CP550" s="93"/>
      <c r="CQ550" s="93"/>
      <c r="CR550" s="93"/>
      <c r="CS550" s="93"/>
      <c r="CT550" s="93"/>
      <c r="CU550" s="93"/>
      <c r="CV550" s="93"/>
      <c r="CW550" s="93"/>
      <c r="CX550" s="93"/>
      <c r="CY550" s="93"/>
      <c r="CZ550" s="93"/>
      <c r="DA550" s="93"/>
      <c r="DB550" s="93"/>
      <c r="DC550" s="93"/>
      <c r="DD550" s="93"/>
      <c r="DE550" s="93"/>
      <c r="DF550" s="93"/>
      <c r="DG550" s="93"/>
      <c r="DH550" s="93"/>
      <c r="DI550" s="93"/>
      <c r="DJ550" s="93"/>
      <c r="DK550" s="93"/>
      <c r="DL550" s="93"/>
      <c r="DM550" s="93"/>
      <c r="DN550" s="93"/>
      <c r="DO550" s="93"/>
    </row>
    <row r="551" spans="1:198" s="806" customFormat="1" ht="15">
      <c r="A551" s="767" t="s">
        <v>7421</v>
      </c>
      <c r="D551" s="935" t="s">
        <v>389</v>
      </c>
      <c r="E551" s="1042" t="s">
        <v>389</v>
      </c>
      <c r="G551" s="827"/>
      <c r="H551" s="809" t="s">
        <v>8894</v>
      </c>
      <c r="I551" s="92">
        <v>4</v>
      </c>
      <c r="J551" s="92" t="s">
        <v>10</v>
      </c>
      <c r="K551" s="92" t="s">
        <v>768</v>
      </c>
      <c r="L551" s="810">
        <v>10</v>
      </c>
      <c r="M551" s="811" t="str">
        <f t="shared" si="38"/>
        <v>Not In School Age</v>
      </c>
      <c r="N551" s="92"/>
      <c r="O551" s="92"/>
      <c r="P551" s="1638"/>
      <c r="Q551" s="92"/>
      <c r="R551" s="92"/>
      <c r="S551" s="848"/>
      <c r="T551" s="813"/>
      <c r="U551" s="813"/>
      <c r="V551" s="864"/>
      <c r="W551" s="838"/>
      <c r="X551" s="811" t="str">
        <f t="shared" si="36"/>
        <v/>
      </c>
      <c r="Y551" s="836"/>
      <c r="Z551" s="836"/>
      <c r="AA551" s="836"/>
      <c r="AB551" s="864"/>
      <c r="AC551" s="809"/>
      <c r="AD551" s="824"/>
      <c r="AE551" s="93"/>
      <c r="AF551" s="818"/>
      <c r="AG551" s="807" t="str">
        <f t="shared" si="37"/>
        <v/>
      </c>
      <c r="AH551" s="807"/>
      <c r="AI551" s="807"/>
      <c r="AJ551" s="807"/>
      <c r="AK551" s="92"/>
      <c r="AL551" s="92"/>
      <c r="AM551" s="819"/>
      <c r="AN551" s="820"/>
      <c r="AO551" s="817"/>
      <c r="AP551" s="820"/>
      <c r="AQ551" s="93"/>
      <c r="AR551" s="93"/>
      <c r="AS551" s="93"/>
      <c r="AT551" s="93"/>
      <c r="AU551" s="93"/>
      <c r="AV551" s="93"/>
      <c r="AW551" s="93"/>
      <c r="AX551" s="93"/>
      <c r="AY551" s="93"/>
      <c r="AZ551" s="93"/>
      <c r="BA551" s="93"/>
      <c r="BB551" s="93"/>
      <c r="BC551" s="93"/>
      <c r="BD551" s="93"/>
      <c r="BE551" s="93"/>
      <c r="BF551" s="93"/>
      <c r="BG551" s="93"/>
      <c r="BH551" s="93"/>
      <c r="BI551" s="93"/>
      <c r="BJ551" s="93"/>
      <c r="BK551" s="93"/>
      <c r="BL551" s="93"/>
      <c r="BM551" s="93"/>
      <c r="BN551" s="93"/>
      <c r="BT551" s="93"/>
      <c r="BU551" s="93"/>
      <c r="BV551" s="93"/>
      <c r="BW551" s="93"/>
      <c r="BX551" s="93"/>
      <c r="BY551" s="93"/>
      <c r="BZ551" s="93"/>
      <c r="CA551" s="93"/>
      <c r="CB551" s="93"/>
      <c r="CC551" s="93"/>
      <c r="CD551" s="93"/>
      <c r="CE551" s="93"/>
      <c r="CF551" s="93"/>
      <c r="CG551" s="93"/>
      <c r="CI551" s="93"/>
      <c r="CJ551" s="93"/>
      <c r="CK551" s="93"/>
      <c r="CL551" s="93"/>
      <c r="CM551" s="93"/>
      <c r="CN551" s="93"/>
      <c r="CO551" s="93"/>
      <c r="CP551" s="93"/>
      <c r="CQ551" s="93"/>
      <c r="CR551" s="93"/>
      <c r="CS551" s="93"/>
      <c r="CT551" s="93"/>
      <c r="CU551" s="93"/>
      <c r="CV551" s="93"/>
      <c r="CW551" s="93"/>
      <c r="CX551" s="93"/>
      <c r="CY551" s="93"/>
      <c r="CZ551" s="93"/>
      <c r="DA551" s="93"/>
      <c r="DB551" s="93"/>
      <c r="DC551" s="93"/>
      <c r="DD551" s="93"/>
      <c r="DE551" s="825"/>
      <c r="DF551" s="825"/>
      <c r="DG551" s="825"/>
      <c r="DH551" s="825"/>
      <c r="DI551" s="826"/>
      <c r="DJ551" s="825"/>
      <c r="GO551" s="92"/>
      <c r="GP551" s="831"/>
    </row>
    <row r="552" spans="1:198" s="806" customFormat="1" ht="15">
      <c r="A552" s="767" t="s">
        <v>7421</v>
      </c>
      <c r="D552" s="935" t="s">
        <v>389</v>
      </c>
      <c r="E552" s="1042" t="s">
        <v>389</v>
      </c>
      <c r="G552" s="827"/>
      <c r="H552" s="809" t="s">
        <v>8895</v>
      </c>
      <c r="I552" s="92">
        <v>2</v>
      </c>
      <c r="J552" s="92" t="s">
        <v>18</v>
      </c>
      <c r="K552" s="92" t="s">
        <v>768</v>
      </c>
      <c r="L552" s="810">
        <v>10</v>
      </c>
      <c r="M552" s="811" t="str">
        <f t="shared" si="38"/>
        <v>Not In School Age</v>
      </c>
      <c r="N552" s="92"/>
      <c r="O552" s="92"/>
      <c r="P552" s="1638"/>
      <c r="Q552" s="92"/>
      <c r="R552" s="92"/>
      <c r="S552" s="848"/>
      <c r="T552" s="813"/>
      <c r="U552" s="813"/>
      <c r="V552" s="864"/>
      <c r="W552" s="838"/>
      <c r="X552" s="811" t="str">
        <f t="shared" si="36"/>
        <v/>
      </c>
      <c r="Y552" s="836"/>
      <c r="Z552" s="836"/>
      <c r="AA552" s="836"/>
      <c r="AB552" s="864"/>
      <c r="AC552" s="809"/>
      <c r="AD552" s="824"/>
      <c r="AE552" s="93"/>
      <c r="AF552" s="818"/>
      <c r="AG552" s="807" t="str">
        <f t="shared" ref="AG552:AG583" si="39">IF(ISBLANK(AF552)=TRUE,"",LOOKUP(AF552,GS:GT))</f>
        <v/>
      </c>
      <c r="AH552" s="807"/>
      <c r="AI552" s="807"/>
      <c r="AJ552" s="807"/>
      <c r="AK552" s="92"/>
      <c r="AL552" s="92"/>
      <c r="AM552" s="819"/>
      <c r="AN552" s="820"/>
      <c r="AO552" s="817"/>
      <c r="AP552" s="820"/>
      <c r="AQ552" s="93"/>
      <c r="AR552" s="93"/>
      <c r="AS552" s="93"/>
      <c r="AT552" s="93"/>
      <c r="AU552" s="93"/>
      <c r="AV552" s="93"/>
      <c r="AW552" s="93"/>
      <c r="AX552" s="93"/>
      <c r="AY552" s="93"/>
      <c r="AZ552" s="93"/>
      <c r="BA552" s="93"/>
      <c r="BB552" s="93"/>
      <c r="BC552" s="93"/>
      <c r="BD552" s="93"/>
      <c r="BE552" s="93"/>
      <c r="BF552" s="93"/>
      <c r="BG552" s="93"/>
      <c r="BH552" s="93"/>
      <c r="BI552" s="93"/>
      <c r="BJ552" s="93"/>
      <c r="BK552" s="93"/>
      <c r="BL552" s="93"/>
      <c r="BM552" s="93"/>
      <c r="BN552" s="93"/>
      <c r="BT552" s="93"/>
      <c r="BU552" s="93"/>
      <c r="BV552" s="93"/>
      <c r="BW552" s="93"/>
      <c r="BX552" s="93"/>
      <c r="BY552" s="93"/>
      <c r="BZ552" s="93"/>
      <c r="CA552" s="93"/>
      <c r="CB552" s="93"/>
      <c r="CC552" s="93"/>
      <c r="CD552" s="93"/>
      <c r="CE552" s="93"/>
      <c r="CF552" s="93"/>
      <c r="CG552" s="93"/>
      <c r="CI552" s="93"/>
      <c r="CJ552" s="93"/>
      <c r="CK552" s="93"/>
      <c r="CL552" s="93"/>
      <c r="CM552" s="93"/>
      <c r="CN552" s="93"/>
      <c r="CO552" s="93"/>
      <c r="CP552" s="93"/>
      <c r="CQ552" s="93"/>
      <c r="CR552" s="93"/>
      <c r="CS552" s="93"/>
      <c r="CT552" s="93"/>
      <c r="CU552" s="93"/>
      <c r="CV552" s="93"/>
      <c r="CW552" s="93"/>
      <c r="CX552" s="93"/>
      <c r="CY552" s="93"/>
      <c r="CZ552" s="93"/>
      <c r="DA552" s="93"/>
      <c r="DB552" s="93"/>
      <c r="DC552" s="93"/>
      <c r="DD552" s="93"/>
      <c r="DE552" s="825"/>
      <c r="DF552" s="825"/>
      <c r="DG552" s="825"/>
      <c r="DH552" s="825"/>
      <c r="DI552" s="826"/>
      <c r="DJ552" s="825"/>
      <c r="GO552" s="92"/>
      <c r="GP552" s="831"/>
    </row>
    <row r="553" spans="1:198" s="806" customFormat="1" ht="15">
      <c r="A553" s="767" t="s">
        <v>7421</v>
      </c>
      <c r="D553" s="935" t="s">
        <v>389</v>
      </c>
      <c r="E553" s="1042" t="s">
        <v>389</v>
      </c>
      <c r="G553" s="827"/>
      <c r="H553" s="809" t="s">
        <v>8896</v>
      </c>
      <c r="I553" s="92">
        <v>23</v>
      </c>
      <c r="J553" s="92" t="s">
        <v>10</v>
      </c>
      <c r="K553" s="92" t="s">
        <v>768</v>
      </c>
      <c r="L553" s="810">
        <v>9</v>
      </c>
      <c r="M553" s="811" t="str">
        <f t="shared" si="38"/>
        <v>Vocational Graduate</v>
      </c>
      <c r="N553" s="92"/>
      <c r="O553" s="92"/>
      <c r="P553" s="1638"/>
      <c r="Q553" s="92"/>
      <c r="R553" s="92"/>
      <c r="S553" s="848"/>
      <c r="T553" s="813"/>
      <c r="U553" s="813"/>
      <c r="V553" s="864">
        <f>SUM(S547:U553)</f>
        <v>13400</v>
      </c>
      <c r="W553" s="838"/>
      <c r="X553" s="811" t="str">
        <f t="shared" si="36"/>
        <v/>
      </c>
      <c r="Y553" s="836"/>
      <c r="Z553" s="836"/>
      <c r="AA553" s="836"/>
      <c r="AB553" s="864">
        <f>SUM(Y547:AA553)</f>
        <v>0</v>
      </c>
      <c r="AC553" s="809"/>
      <c r="AD553" s="824"/>
      <c r="AE553" s="93"/>
      <c r="AF553" s="818"/>
      <c r="AG553" s="807" t="str">
        <f t="shared" si="39"/>
        <v/>
      </c>
      <c r="AH553" s="807"/>
      <c r="AI553" s="807"/>
      <c r="AJ553" s="807"/>
      <c r="AK553" s="92"/>
      <c r="AL553" s="92"/>
      <c r="AM553" s="819"/>
      <c r="AN553" s="820"/>
      <c r="AO553" s="817"/>
      <c r="AP553" s="820"/>
      <c r="AQ553" s="93"/>
      <c r="AR553" s="93"/>
      <c r="AS553" s="93"/>
      <c r="AT553" s="93"/>
      <c r="AU553" s="93"/>
      <c r="AV553" s="93"/>
      <c r="AW553" s="93"/>
      <c r="AX553" s="93"/>
      <c r="AY553" s="93"/>
      <c r="AZ553" s="93"/>
      <c r="BA553" s="93"/>
      <c r="BB553" s="93"/>
      <c r="BC553" s="93"/>
      <c r="BD553" s="93"/>
      <c r="BE553" s="93"/>
      <c r="BF553" s="93"/>
      <c r="BG553" s="93"/>
      <c r="BH553" s="93"/>
      <c r="BI553" s="93"/>
      <c r="BJ553" s="93"/>
      <c r="BK553" s="93"/>
      <c r="BL553" s="93"/>
      <c r="BM553" s="93"/>
      <c r="BN553" s="93"/>
      <c r="BT553" s="93"/>
      <c r="BU553" s="93"/>
      <c r="BV553" s="93"/>
      <c r="BW553" s="93"/>
      <c r="BX553" s="93"/>
      <c r="BY553" s="93"/>
      <c r="BZ553" s="93"/>
      <c r="CA553" s="93"/>
      <c r="CB553" s="93"/>
      <c r="CC553" s="93"/>
      <c r="CD553" s="93"/>
      <c r="CE553" s="93"/>
      <c r="CF553" s="93"/>
      <c r="CG553" s="93"/>
      <c r="CI553" s="93"/>
      <c r="CJ553" s="93"/>
      <c r="CK553" s="93"/>
      <c r="CL553" s="93"/>
      <c r="CM553" s="93"/>
      <c r="CN553" s="93"/>
      <c r="CO553" s="93"/>
      <c r="CP553" s="93"/>
      <c r="CQ553" s="93"/>
      <c r="CR553" s="93"/>
      <c r="CS553" s="93"/>
      <c r="CT553" s="93"/>
      <c r="CU553" s="93"/>
      <c r="CV553" s="93"/>
      <c r="CW553" s="93"/>
      <c r="CX553" s="93"/>
      <c r="CY553" s="93"/>
      <c r="CZ553" s="93"/>
      <c r="DA553" s="93"/>
      <c r="DB553" s="93"/>
      <c r="DC553" s="93"/>
      <c r="DD553" s="93"/>
      <c r="DE553" s="825"/>
      <c r="DF553" s="825"/>
      <c r="DG553" s="825"/>
      <c r="DH553" s="825"/>
      <c r="DI553" s="826"/>
      <c r="DJ553" s="825"/>
      <c r="GO553" s="92"/>
      <c r="GP553" s="831"/>
    </row>
    <row r="554" spans="1:198" s="806" customFormat="1" ht="15">
      <c r="A554" s="767" t="s">
        <v>7421</v>
      </c>
      <c r="B554" s="292" t="s">
        <v>7593</v>
      </c>
      <c r="C554" s="148" t="s">
        <v>391</v>
      </c>
      <c r="D554" s="935" t="s">
        <v>391</v>
      </c>
      <c r="E554" s="1042" t="s">
        <v>391</v>
      </c>
      <c r="F554" s="1047" t="s">
        <v>1978</v>
      </c>
      <c r="G554" s="846" t="s">
        <v>391</v>
      </c>
      <c r="H554" s="809" t="s">
        <v>1978</v>
      </c>
      <c r="I554" s="92">
        <v>68</v>
      </c>
      <c r="J554" s="92" t="s">
        <v>10</v>
      </c>
      <c r="K554" s="92" t="s">
        <v>707</v>
      </c>
      <c r="L554" s="810">
        <v>2</v>
      </c>
      <c r="M554" s="811" t="str">
        <f t="shared" si="38"/>
        <v>Elementary Level</v>
      </c>
      <c r="N554" s="92" t="s">
        <v>1208</v>
      </c>
      <c r="O554" s="92" t="s">
        <v>2216</v>
      </c>
      <c r="P554" s="1638" t="s">
        <v>12610</v>
      </c>
      <c r="Q554" s="92" t="s">
        <v>2216</v>
      </c>
      <c r="R554" s="92" t="s">
        <v>8234</v>
      </c>
      <c r="S554" s="848"/>
      <c r="T554" s="813"/>
      <c r="U554" s="813">
        <f>PRODUCT(QUOTIENT(36000,12),0.5)</f>
        <v>1500</v>
      </c>
      <c r="V554" s="849"/>
      <c r="W554" s="838">
        <v>1</v>
      </c>
      <c r="X554" s="811" t="str">
        <f t="shared" si="36"/>
        <v>within the Brgy</v>
      </c>
      <c r="Y554" s="836"/>
      <c r="Z554" s="836"/>
      <c r="AA554" s="836"/>
      <c r="AB554" s="849"/>
      <c r="AC554" s="809" t="s">
        <v>2216</v>
      </c>
      <c r="AD554" s="817" t="s">
        <v>8897</v>
      </c>
      <c r="AE554" s="93"/>
      <c r="AF554" s="818"/>
      <c r="AG554" s="807" t="str">
        <f t="shared" si="39"/>
        <v/>
      </c>
      <c r="AH554" s="807"/>
      <c r="AI554" s="807"/>
      <c r="AJ554" s="807"/>
      <c r="AK554" s="862" t="s">
        <v>1978</v>
      </c>
      <c r="AL554" s="862" t="s">
        <v>478</v>
      </c>
      <c r="AM554" s="862" t="s">
        <v>393</v>
      </c>
      <c r="AN554" s="833">
        <v>3000</v>
      </c>
      <c r="AO554" s="817"/>
      <c r="AP554" s="820"/>
      <c r="AQ554" s="93"/>
      <c r="AR554" s="93"/>
      <c r="AS554" s="93"/>
      <c r="AT554" s="93"/>
      <c r="AU554" s="93"/>
      <c r="AV554" s="93"/>
      <c r="AW554" s="93"/>
      <c r="AX554" s="93"/>
      <c r="AY554" s="93"/>
      <c r="AZ554" s="93"/>
      <c r="BA554" s="93"/>
      <c r="BB554" s="93"/>
      <c r="BC554" s="93"/>
      <c r="BD554" s="93"/>
      <c r="BE554" s="93"/>
      <c r="BF554" s="93"/>
      <c r="BG554" s="93"/>
      <c r="BH554" s="93"/>
      <c r="BI554" s="93"/>
      <c r="BJ554" s="93"/>
      <c r="BK554" s="93"/>
      <c r="BL554" s="93"/>
      <c r="BM554" s="93"/>
      <c r="BN554" s="93"/>
      <c r="BT554" s="93"/>
      <c r="BU554" s="93"/>
      <c r="BV554" s="93"/>
      <c r="BW554" s="93"/>
      <c r="BX554" s="93"/>
      <c r="BY554" s="93"/>
      <c r="BZ554" s="93"/>
      <c r="CA554" s="93"/>
      <c r="CB554" s="93"/>
      <c r="CC554" s="93"/>
      <c r="CD554" s="93"/>
      <c r="CE554" s="93"/>
      <c r="CF554" s="93"/>
      <c r="CG554" s="93"/>
      <c r="CI554" s="93"/>
      <c r="CJ554" s="93"/>
      <c r="CK554" s="93"/>
      <c r="CL554" s="93"/>
      <c r="CM554" s="93"/>
      <c r="CN554" s="93"/>
      <c r="CO554" s="93"/>
      <c r="CP554" s="93"/>
      <c r="CQ554" s="93"/>
      <c r="CR554" s="93"/>
      <c r="CS554" s="93"/>
      <c r="CT554" s="93"/>
      <c r="CU554" s="93"/>
      <c r="CV554" s="93"/>
      <c r="CW554" s="93"/>
      <c r="CX554" s="93"/>
      <c r="CY554" s="93"/>
      <c r="CZ554" s="93"/>
      <c r="DA554" s="93"/>
      <c r="DB554" s="93"/>
      <c r="DC554" s="93"/>
      <c r="DD554" s="93"/>
      <c r="DE554" s="825"/>
      <c r="DF554" s="825"/>
      <c r="DG554" s="825"/>
      <c r="DH554" s="825"/>
      <c r="DI554" s="826"/>
      <c r="DJ554" s="825"/>
      <c r="GO554" s="92"/>
      <c r="GP554" s="831"/>
    </row>
    <row r="555" spans="1:198" s="806" customFormat="1" ht="15">
      <c r="A555" s="767" t="s">
        <v>7421</v>
      </c>
      <c r="D555" s="935" t="s">
        <v>391</v>
      </c>
      <c r="E555" s="1042" t="s">
        <v>391</v>
      </c>
      <c r="G555" s="827"/>
      <c r="H555" s="809" t="s">
        <v>8898</v>
      </c>
      <c r="I555" s="92">
        <v>58</v>
      </c>
      <c r="J555" s="92" t="s">
        <v>18</v>
      </c>
      <c r="K555" s="92" t="s">
        <v>707</v>
      </c>
      <c r="L555" s="810">
        <v>2</v>
      </c>
      <c r="M555" s="811" t="str">
        <f t="shared" si="38"/>
        <v>Elementary Level</v>
      </c>
      <c r="N555" s="92" t="s">
        <v>1208</v>
      </c>
      <c r="O555" s="92" t="s">
        <v>2216</v>
      </c>
      <c r="P555" s="1638"/>
      <c r="Q555" s="92" t="s">
        <v>2216</v>
      </c>
      <c r="R555" s="92" t="s">
        <v>10434</v>
      </c>
      <c r="S555" s="848"/>
      <c r="T555" s="813"/>
      <c r="U555" s="813">
        <f>PRODUCT(QUOTIENT(36000,12),0.5)</f>
        <v>1500</v>
      </c>
      <c r="V555" s="849"/>
      <c r="W555" s="838">
        <v>1</v>
      </c>
      <c r="X555" s="811" t="str">
        <f t="shared" si="36"/>
        <v>within the Brgy</v>
      </c>
      <c r="Y555" s="836"/>
      <c r="Z555" s="836"/>
      <c r="AA555" s="836"/>
      <c r="AB555" s="849"/>
      <c r="AC555" s="809"/>
      <c r="AD555" s="824"/>
      <c r="AE555" s="93"/>
      <c r="AF555" s="818"/>
      <c r="AG555" s="807" t="str">
        <f t="shared" si="39"/>
        <v/>
      </c>
      <c r="AH555" s="807"/>
      <c r="AI555" s="807"/>
      <c r="AJ555" s="807"/>
      <c r="AK555" s="92"/>
      <c r="AL555" s="92"/>
      <c r="AM555" s="819"/>
      <c r="AN555" s="820"/>
      <c r="AO555" s="817"/>
      <c r="AP555" s="820"/>
      <c r="AQ555" s="93"/>
      <c r="AR555" s="93"/>
      <c r="AS555" s="93"/>
      <c r="AT555" s="93"/>
      <c r="AU555" s="93"/>
      <c r="AV555" s="93"/>
      <c r="AW555" s="93"/>
      <c r="AX555" s="93"/>
      <c r="AY555" s="93"/>
      <c r="AZ555" s="93"/>
      <c r="BA555" s="93"/>
      <c r="BB555" s="93"/>
      <c r="BC555" s="93"/>
      <c r="BD555" s="93"/>
      <c r="BE555" s="93"/>
      <c r="BF555" s="93"/>
      <c r="BG555" s="93"/>
      <c r="BH555" s="93"/>
      <c r="BI555" s="93"/>
      <c r="BJ555" s="93"/>
      <c r="BK555" s="93"/>
      <c r="BL555" s="93"/>
      <c r="BM555" s="93"/>
      <c r="BN555" s="93"/>
      <c r="BT555" s="93"/>
      <c r="BU555" s="93"/>
      <c r="BV555" s="93"/>
      <c r="BW555" s="93"/>
      <c r="BX555" s="93"/>
      <c r="BY555" s="93"/>
      <c r="BZ555" s="93"/>
      <c r="CA555" s="93"/>
      <c r="CB555" s="93"/>
      <c r="CC555" s="93"/>
      <c r="CD555" s="93"/>
      <c r="CE555" s="93"/>
      <c r="CF555" s="93"/>
      <c r="CG555" s="93"/>
      <c r="CI555" s="93"/>
      <c r="CJ555" s="93"/>
      <c r="CK555" s="93"/>
      <c r="CL555" s="93"/>
      <c r="CM555" s="93"/>
      <c r="CN555" s="93"/>
      <c r="CO555" s="93"/>
      <c r="CP555" s="93"/>
      <c r="CQ555" s="93"/>
      <c r="CR555" s="93"/>
      <c r="CS555" s="93"/>
      <c r="CT555" s="93"/>
      <c r="CU555" s="93"/>
      <c r="CV555" s="93"/>
      <c r="CW555" s="93"/>
      <c r="CX555" s="93"/>
      <c r="CY555" s="93"/>
      <c r="CZ555" s="93"/>
      <c r="DA555" s="93"/>
      <c r="DB555" s="93"/>
      <c r="DC555" s="93"/>
      <c r="DD555" s="93"/>
      <c r="DE555" s="825"/>
      <c r="DF555" s="825"/>
      <c r="DG555" s="825"/>
      <c r="DH555" s="825"/>
      <c r="DI555" s="826"/>
      <c r="DJ555" s="825"/>
      <c r="GO555" s="92"/>
      <c r="GP555" s="831"/>
    </row>
    <row r="556" spans="1:198" s="806" customFormat="1" ht="15">
      <c r="A556" s="767" t="s">
        <v>7421</v>
      </c>
      <c r="D556" s="935" t="s">
        <v>391</v>
      </c>
      <c r="E556" s="1042" t="s">
        <v>391</v>
      </c>
      <c r="G556" s="827"/>
      <c r="H556" s="809" t="s">
        <v>8899</v>
      </c>
      <c r="I556" s="92">
        <v>38</v>
      </c>
      <c r="J556" s="92" t="s">
        <v>10</v>
      </c>
      <c r="K556" s="92" t="s">
        <v>768</v>
      </c>
      <c r="L556" s="810">
        <v>2</v>
      </c>
      <c r="M556" s="811" t="str">
        <f t="shared" si="38"/>
        <v>Elementary Level</v>
      </c>
      <c r="N556" s="92" t="s">
        <v>1208</v>
      </c>
      <c r="O556" s="92" t="s">
        <v>2234</v>
      </c>
      <c r="P556" s="1638"/>
      <c r="Q556" s="92" t="s">
        <v>2234</v>
      </c>
      <c r="R556" s="92" t="s">
        <v>8285</v>
      </c>
      <c r="S556" s="848">
        <v>9000</v>
      </c>
      <c r="T556" s="813"/>
      <c r="U556" s="813"/>
      <c r="V556" s="849"/>
      <c r="W556" s="838">
        <v>2</v>
      </c>
      <c r="X556" s="811" t="str">
        <f t="shared" si="36"/>
        <v>within the Municipality/City</v>
      </c>
      <c r="Y556" s="836">
        <v>900</v>
      </c>
      <c r="Z556" s="836"/>
      <c r="AA556" s="836"/>
      <c r="AB556" s="849"/>
      <c r="AC556" s="809" t="s">
        <v>2197</v>
      </c>
      <c r="AD556" s="824"/>
      <c r="AE556" s="93"/>
      <c r="AF556" s="818"/>
      <c r="AG556" s="807" t="str">
        <f t="shared" si="39"/>
        <v/>
      </c>
      <c r="AH556" s="807"/>
      <c r="AI556" s="807"/>
      <c r="AJ556" s="807"/>
      <c r="AK556" s="92"/>
      <c r="AL556" s="92"/>
      <c r="AM556" s="819"/>
      <c r="AN556" s="820"/>
      <c r="AO556" s="817"/>
      <c r="AP556" s="820"/>
      <c r="AQ556" s="93"/>
      <c r="AR556" s="93"/>
      <c r="AS556" s="93"/>
      <c r="AT556" s="93"/>
      <c r="AU556" s="93"/>
      <c r="AV556" s="93"/>
      <c r="AW556" s="93"/>
      <c r="AX556" s="93"/>
      <c r="AY556" s="93"/>
      <c r="AZ556" s="93"/>
      <c r="BA556" s="93"/>
      <c r="BB556" s="93"/>
      <c r="BC556" s="93"/>
      <c r="BD556" s="93"/>
      <c r="BE556" s="93"/>
      <c r="BF556" s="93"/>
      <c r="BG556" s="93"/>
      <c r="BH556" s="93"/>
      <c r="BI556" s="93"/>
      <c r="BJ556" s="93"/>
      <c r="BK556" s="93"/>
      <c r="BL556" s="93"/>
      <c r="BM556" s="93"/>
      <c r="BN556" s="93"/>
      <c r="BT556" s="93"/>
      <c r="BU556" s="93"/>
      <c r="BV556" s="93"/>
      <c r="BW556" s="93"/>
      <c r="BX556" s="93"/>
      <c r="BY556" s="93"/>
      <c r="BZ556" s="93"/>
      <c r="CA556" s="93"/>
      <c r="CB556" s="93"/>
      <c r="CC556" s="93"/>
      <c r="CD556" s="93"/>
      <c r="CE556" s="93"/>
      <c r="CF556" s="93"/>
      <c r="CG556" s="93"/>
      <c r="CI556" s="93"/>
      <c r="CJ556" s="93"/>
      <c r="CK556" s="93"/>
      <c r="CL556" s="93"/>
      <c r="CM556" s="93"/>
      <c r="CN556" s="93"/>
      <c r="CO556" s="93"/>
      <c r="CP556" s="93"/>
      <c r="CQ556" s="93"/>
      <c r="CR556" s="93"/>
      <c r="CS556" s="93"/>
      <c r="CT556" s="93"/>
      <c r="CU556" s="93"/>
      <c r="CV556" s="93"/>
      <c r="CW556" s="93"/>
      <c r="CX556" s="93"/>
      <c r="CY556" s="93"/>
      <c r="CZ556" s="93"/>
      <c r="DA556" s="93"/>
      <c r="DB556" s="93"/>
      <c r="DC556" s="93"/>
      <c r="DD556" s="93"/>
      <c r="DE556" s="825"/>
      <c r="DF556" s="825"/>
      <c r="DG556" s="825"/>
      <c r="DH556" s="825"/>
      <c r="DI556" s="826"/>
      <c r="DJ556" s="825"/>
      <c r="GO556" s="92"/>
      <c r="GP556" s="831"/>
    </row>
    <row r="557" spans="1:198" ht="15">
      <c r="A557" s="767" t="s">
        <v>7421</v>
      </c>
      <c r="D557" s="935" t="s">
        <v>391</v>
      </c>
      <c r="E557" s="1042" t="s">
        <v>391</v>
      </c>
      <c r="G557" s="827"/>
      <c r="H557" s="809" t="s">
        <v>8900</v>
      </c>
      <c r="I557" s="92">
        <v>40</v>
      </c>
      <c r="J557" s="92" t="s">
        <v>18</v>
      </c>
      <c r="K557" s="92" t="s">
        <v>768</v>
      </c>
      <c r="L557" s="810">
        <v>4</v>
      </c>
      <c r="M557" s="811" t="str">
        <f t="shared" si="38"/>
        <v>High School Level</v>
      </c>
      <c r="O557" s="92"/>
      <c r="P557" s="1638"/>
      <c r="Q557" s="92"/>
      <c r="R557" s="92"/>
      <c r="S557" s="848"/>
      <c r="T557" s="820"/>
      <c r="U557" s="820"/>
      <c r="V557" s="828"/>
      <c r="X557" s="811" t="str">
        <f t="shared" si="36"/>
        <v/>
      </c>
      <c r="AB557" s="828"/>
      <c r="AC557" s="809"/>
      <c r="AD557" s="824"/>
      <c r="AG557" s="807" t="str">
        <f t="shared" si="39"/>
        <v/>
      </c>
      <c r="AI557" s="817"/>
      <c r="AJ557" s="817"/>
      <c r="AK557" s="92"/>
      <c r="AM557" s="819"/>
      <c r="AN557" s="820"/>
      <c r="AQ557" s="93"/>
      <c r="AR557" s="93"/>
      <c r="AS557" s="93"/>
      <c r="AT557" s="93"/>
      <c r="AU557" s="93"/>
      <c r="AV557" s="93"/>
      <c r="AW557" s="93"/>
      <c r="AX557" s="93"/>
      <c r="AY557" s="93"/>
      <c r="AZ557" s="93"/>
      <c r="BA557" s="93"/>
      <c r="BB557" s="93"/>
      <c r="BL557" s="93"/>
      <c r="BM557" s="93"/>
      <c r="BT557" s="93"/>
      <c r="BU557" s="93"/>
      <c r="BV557" s="93"/>
      <c r="BW557" s="93"/>
      <c r="BX557" s="93"/>
      <c r="BY557" s="93"/>
      <c r="BZ557" s="93"/>
      <c r="CA557" s="93"/>
      <c r="CB557" s="93"/>
      <c r="CC557" s="93"/>
      <c r="CF557" s="93"/>
      <c r="CG557" s="93"/>
      <c r="CH557" s="93"/>
      <c r="CI557" s="93"/>
      <c r="CJ557" s="93"/>
      <c r="CK557" s="93"/>
      <c r="CL557" s="93"/>
      <c r="CM557" s="93"/>
      <c r="CN557" s="93"/>
      <c r="CO557" s="93"/>
      <c r="CP557" s="93"/>
      <c r="CQ557" s="93"/>
      <c r="CR557" s="93"/>
      <c r="CS557" s="93"/>
      <c r="CT557" s="93"/>
      <c r="CU557" s="93"/>
      <c r="CV557" s="93"/>
      <c r="CW557" s="93"/>
      <c r="CX557" s="93"/>
      <c r="CY557" s="93"/>
      <c r="CZ557" s="93"/>
      <c r="DA557" s="93"/>
      <c r="DB557" s="93"/>
      <c r="DC557" s="93"/>
      <c r="DD557" s="93"/>
      <c r="DE557" s="93"/>
      <c r="DF557" s="93"/>
      <c r="DG557" s="93"/>
      <c r="DH557" s="93"/>
      <c r="DI557" s="93"/>
      <c r="DJ557" s="93"/>
      <c r="DK557" s="93"/>
      <c r="DL557" s="93"/>
      <c r="DM557" s="93"/>
      <c r="DN557" s="93"/>
      <c r="DO557" s="93"/>
    </row>
    <row r="558" spans="1:198" s="806" customFormat="1" ht="15">
      <c r="A558" s="767" t="s">
        <v>7421</v>
      </c>
      <c r="D558" s="935" t="s">
        <v>391</v>
      </c>
      <c r="E558" s="1042" t="s">
        <v>391</v>
      </c>
      <c r="G558" s="827"/>
      <c r="H558" s="809" t="s">
        <v>8901</v>
      </c>
      <c r="I558" s="92">
        <v>5</v>
      </c>
      <c r="J558" s="92" t="s">
        <v>10</v>
      </c>
      <c r="K558" s="92" t="s">
        <v>768</v>
      </c>
      <c r="L558" s="810">
        <v>0</v>
      </c>
      <c r="M558" s="811" t="str">
        <f t="shared" si="38"/>
        <v>No Schooling</v>
      </c>
      <c r="N558" s="92"/>
      <c r="O558" s="92"/>
      <c r="P558" s="1638"/>
      <c r="Q558" s="92"/>
      <c r="R558" s="92"/>
      <c r="S558" s="848"/>
      <c r="T558" s="813"/>
      <c r="U558" s="813"/>
      <c r="V558" s="849"/>
      <c r="W558" s="838"/>
      <c r="X558" s="811" t="str">
        <f t="shared" si="36"/>
        <v/>
      </c>
      <c r="Y558" s="836"/>
      <c r="Z558" s="836"/>
      <c r="AA558" s="836"/>
      <c r="AB558" s="849"/>
      <c r="AC558" s="809"/>
      <c r="AD558" s="824"/>
      <c r="AE558" s="93"/>
      <c r="AF558" s="818"/>
      <c r="AG558" s="807" t="str">
        <f t="shared" si="39"/>
        <v/>
      </c>
      <c r="AH558" s="807"/>
      <c r="AI558" s="807"/>
      <c r="AJ558" s="807"/>
      <c r="AK558" s="92"/>
      <c r="AL558" s="92"/>
      <c r="AM558" s="819"/>
      <c r="AN558" s="820"/>
      <c r="AO558" s="817"/>
      <c r="AP558" s="820"/>
      <c r="AQ558" s="93"/>
      <c r="AR558" s="93"/>
      <c r="AS558" s="93"/>
      <c r="AT558" s="93"/>
      <c r="AU558" s="93"/>
      <c r="AV558" s="93"/>
      <c r="AW558" s="93"/>
      <c r="AX558" s="93"/>
      <c r="AY558" s="93"/>
      <c r="AZ558" s="93"/>
      <c r="BA558" s="93"/>
      <c r="BB558" s="93"/>
      <c r="BC558" s="93"/>
      <c r="BD558" s="93"/>
      <c r="BE558" s="93"/>
      <c r="BF558" s="93"/>
      <c r="BG558" s="93"/>
      <c r="BH558" s="93"/>
      <c r="BI558" s="93"/>
      <c r="BJ558" s="93"/>
      <c r="BK558" s="93"/>
      <c r="BL558" s="93"/>
      <c r="BM558" s="93"/>
      <c r="BN558" s="93"/>
      <c r="BT558" s="93"/>
      <c r="BU558" s="93"/>
      <c r="BV558" s="93"/>
      <c r="BW558" s="93"/>
      <c r="BX558" s="93"/>
      <c r="BY558" s="93"/>
      <c r="BZ558" s="93"/>
      <c r="CA558" s="93"/>
      <c r="CB558" s="93"/>
      <c r="CC558" s="93"/>
      <c r="CD558" s="93"/>
      <c r="CE558" s="93"/>
      <c r="CF558" s="93"/>
      <c r="CG558" s="93"/>
      <c r="CI558" s="93"/>
      <c r="CJ558" s="93"/>
      <c r="CK558" s="93"/>
      <c r="CL558" s="93"/>
      <c r="CM558" s="93"/>
      <c r="CN558" s="93"/>
      <c r="CO558" s="93"/>
      <c r="CP558" s="93"/>
      <c r="CQ558" s="93"/>
      <c r="CR558" s="93"/>
      <c r="CS558" s="93"/>
      <c r="CT558" s="93"/>
      <c r="CU558" s="93"/>
      <c r="CV558" s="93"/>
      <c r="CW558" s="93"/>
      <c r="CX558" s="93"/>
      <c r="CY558" s="93"/>
      <c r="CZ558" s="93"/>
      <c r="DA558" s="93"/>
      <c r="DB558" s="93"/>
      <c r="DC558" s="93"/>
      <c r="DD558" s="93"/>
      <c r="DE558" s="825"/>
      <c r="DF558" s="825"/>
      <c r="DG558" s="825"/>
      <c r="DH558" s="825"/>
      <c r="DI558" s="826"/>
      <c r="DJ558" s="825"/>
      <c r="GO558" s="92"/>
      <c r="GP558" s="831"/>
    </row>
    <row r="559" spans="1:198" s="806" customFormat="1" ht="15">
      <c r="A559" s="767" t="s">
        <v>7421</v>
      </c>
      <c r="D559" s="935" t="s">
        <v>391</v>
      </c>
      <c r="E559" s="1042" t="s">
        <v>391</v>
      </c>
      <c r="G559" s="827"/>
      <c r="H559" s="809" t="s">
        <v>8902</v>
      </c>
      <c r="I559" s="92">
        <v>4</v>
      </c>
      <c r="J559" s="92" t="s">
        <v>10</v>
      </c>
      <c r="K559" s="92" t="s">
        <v>768</v>
      </c>
      <c r="L559" s="810">
        <v>10</v>
      </c>
      <c r="M559" s="811" t="str">
        <f t="shared" si="38"/>
        <v>Not In School Age</v>
      </c>
      <c r="N559" s="92"/>
      <c r="O559" s="92"/>
      <c r="P559" s="1638"/>
      <c r="Q559" s="92"/>
      <c r="R559" s="92"/>
      <c r="S559" s="848"/>
      <c r="T559" s="813"/>
      <c r="U559" s="813"/>
      <c r="V559" s="849"/>
      <c r="W559" s="838"/>
      <c r="X559" s="811" t="str">
        <f t="shared" si="36"/>
        <v/>
      </c>
      <c r="Y559" s="836"/>
      <c r="Z559" s="836"/>
      <c r="AA559" s="836"/>
      <c r="AB559" s="849"/>
      <c r="AC559" s="809"/>
      <c r="AD559" s="824"/>
      <c r="AE559" s="93"/>
      <c r="AF559" s="818"/>
      <c r="AG559" s="807" t="str">
        <f t="shared" si="39"/>
        <v/>
      </c>
      <c r="AH559" s="807"/>
      <c r="AI559" s="807"/>
      <c r="AJ559" s="807"/>
      <c r="AK559" s="92"/>
      <c r="AL559" s="92"/>
      <c r="AM559" s="819"/>
      <c r="AN559" s="820"/>
      <c r="AO559" s="817"/>
      <c r="AP559" s="820"/>
      <c r="AQ559" s="93"/>
      <c r="AR559" s="93"/>
      <c r="AS559" s="93"/>
      <c r="AT559" s="93"/>
      <c r="AU559" s="93"/>
      <c r="AV559" s="93"/>
      <c r="AW559" s="93"/>
      <c r="AX559" s="93"/>
      <c r="AY559" s="93"/>
      <c r="AZ559" s="93"/>
      <c r="BA559" s="93"/>
      <c r="BB559" s="93"/>
      <c r="BC559" s="93"/>
      <c r="BD559" s="93"/>
      <c r="BE559" s="93"/>
      <c r="BF559" s="93"/>
      <c r="BG559" s="93"/>
      <c r="BH559" s="93"/>
      <c r="BI559" s="93"/>
      <c r="BJ559" s="93"/>
      <c r="BK559" s="93"/>
      <c r="BL559" s="93"/>
      <c r="BM559" s="93"/>
      <c r="BN559" s="93"/>
      <c r="BT559" s="93"/>
      <c r="BU559" s="93"/>
      <c r="BV559" s="93"/>
      <c r="BW559" s="93"/>
      <c r="BX559" s="93"/>
      <c r="BY559" s="93"/>
      <c r="BZ559" s="93"/>
      <c r="CA559" s="93"/>
      <c r="CB559" s="93"/>
      <c r="CC559" s="93"/>
      <c r="CD559" s="93"/>
      <c r="CE559" s="93"/>
      <c r="CF559" s="93"/>
      <c r="CG559" s="93"/>
      <c r="CI559" s="93"/>
      <c r="CJ559" s="93"/>
      <c r="CK559" s="93"/>
      <c r="CL559" s="93"/>
      <c r="CM559" s="93"/>
      <c r="CN559" s="93"/>
      <c r="CO559" s="93"/>
      <c r="CP559" s="93"/>
      <c r="CQ559" s="93"/>
      <c r="CR559" s="93"/>
      <c r="CS559" s="93"/>
      <c r="CT559" s="93"/>
      <c r="CU559" s="93"/>
      <c r="CV559" s="93"/>
      <c r="CW559" s="93"/>
      <c r="CX559" s="93"/>
      <c r="CY559" s="93"/>
      <c r="CZ559" s="93"/>
      <c r="DA559" s="93"/>
      <c r="DB559" s="93"/>
      <c r="DC559" s="93"/>
      <c r="DD559" s="93"/>
      <c r="DE559" s="825"/>
      <c r="DF559" s="825"/>
      <c r="DG559" s="825"/>
      <c r="DH559" s="825"/>
      <c r="DI559" s="826"/>
      <c r="DJ559" s="825"/>
      <c r="GO559" s="92"/>
      <c r="GP559" s="831"/>
    </row>
    <row r="560" spans="1:198" s="806" customFormat="1" ht="15">
      <c r="A560" s="767" t="s">
        <v>7421</v>
      </c>
      <c r="D560" s="935" t="s">
        <v>391</v>
      </c>
      <c r="E560" s="1042" t="s">
        <v>391</v>
      </c>
      <c r="G560" s="827"/>
      <c r="H560" s="809" t="s">
        <v>8903</v>
      </c>
      <c r="I560" s="92">
        <v>1</v>
      </c>
      <c r="J560" s="92" t="s">
        <v>18</v>
      </c>
      <c r="K560" s="92" t="s">
        <v>768</v>
      </c>
      <c r="L560" s="810">
        <v>10</v>
      </c>
      <c r="M560" s="811" t="str">
        <f t="shared" si="38"/>
        <v>Not In School Age</v>
      </c>
      <c r="N560" s="92"/>
      <c r="O560" s="92"/>
      <c r="P560" s="1638"/>
      <c r="Q560" s="92"/>
      <c r="R560" s="92"/>
      <c r="S560" s="848"/>
      <c r="T560" s="813"/>
      <c r="U560" s="813"/>
      <c r="V560" s="849"/>
      <c r="W560" s="838"/>
      <c r="X560" s="811" t="str">
        <f t="shared" si="36"/>
        <v/>
      </c>
      <c r="Y560" s="836"/>
      <c r="Z560" s="836"/>
      <c r="AA560" s="836"/>
      <c r="AB560" s="849"/>
      <c r="AC560" s="809"/>
      <c r="AD560" s="824"/>
      <c r="AE560" s="93"/>
      <c r="AF560" s="818"/>
      <c r="AG560" s="807" t="str">
        <f t="shared" si="39"/>
        <v/>
      </c>
      <c r="AH560" s="807"/>
      <c r="AI560" s="807"/>
      <c r="AJ560" s="807"/>
      <c r="AK560" s="92"/>
      <c r="AL560" s="92"/>
      <c r="AM560" s="819"/>
      <c r="AN560" s="820"/>
      <c r="AO560" s="817"/>
      <c r="AP560" s="820"/>
      <c r="AQ560" s="93"/>
      <c r="AR560" s="93"/>
      <c r="AS560" s="93"/>
      <c r="AT560" s="93"/>
      <c r="AU560" s="93"/>
      <c r="AV560" s="93"/>
      <c r="AW560" s="93"/>
      <c r="AX560" s="93"/>
      <c r="AY560" s="93"/>
      <c r="AZ560" s="93"/>
      <c r="BA560" s="93"/>
      <c r="BB560" s="93"/>
      <c r="BC560" s="93"/>
      <c r="BD560" s="93"/>
      <c r="BE560" s="93"/>
      <c r="BF560" s="93"/>
      <c r="BG560" s="93"/>
      <c r="BH560" s="93"/>
      <c r="BI560" s="93"/>
      <c r="BJ560" s="93"/>
      <c r="BK560" s="93"/>
      <c r="BL560" s="93"/>
      <c r="BM560" s="93"/>
      <c r="BN560" s="93"/>
      <c r="BT560" s="93"/>
      <c r="BU560" s="93"/>
      <c r="BV560" s="93"/>
      <c r="BW560" s="93"/>
      <c r="BX560" s="93"/>
      <c r="BY560" s="93"/>
      <c r="BZ560" s="93"/>
      <c r="CA560" s="93"/>
      <c r="CB560" s="93"/>
      <c r="CC560" s="93"/>
      <c r="CD560" s="93"/>
      <c r="CE560" s="93"/>
      <c r="CF560" s="93"/>
      <c r="CG560" s="93"/>
      <c r="CI560" s="93"/>
      <c r="CJ560" s="93"/>
      <c r="CK560" s="93"/>
      <c r="CL560" s="93"/>
      <c r="CM560" s="93"/>
      <c r="CN560" s="93"/>
      <c r="CO560" s="93"/>
      <c r="CP560" s="93"/>
      <c r="CQ560" s="93"/>
      <c r="CR560" s="93"/>
      <c r="CS560" s="93"/>
      <c r="CT560" s="93"/>
      <c r="CU560" s="93"/>
      <c r="CV560" s="93"/>
      <c r="CW560" s="93"/>
      <c r="CX560" s="93"/>
      <c r="CY560" s="93"/>
      <c r="CZ560" s="93"/>
      <c r="DA560" s="93"/>
      <c r="DB560" s="93"/>
      <c r="DC560" s="93"/>
      <c r="DD560" s="93"/>
      <c r="DE560" s="825"/>
      <c r="DF560" s="825"/>
      <c r="DG560" s="825"/>
      <c r="DH560" s="825"/>
      <c r="DI560" s="826"/>
      <c r="DJ560" s="825"/>
      <c r="GO560" s="92"/>
      <c r="GP560" s="831"/>
    </row>
    <row r="561" spans="1:198" s="806" customFormat="1" ht="15">
      <c r="A561" s="767" t="s">
        <v>7421</v>
      </c>
      <c r="D561" s="935" t="s">
        <v>391</v>
      </c>
      <c r="E561" s="1042" t="s">
        <v>391</v>
      </c>
      <c r="G561" s="827"/>
      <c r="H561" s="809" t="s">
        <v>8904</v>
      </c>
      <c r="I561" s="92">
        <v>25</v>
      </c>
      <c r="J561" s="92" t="s">
        <v>10</v>
      </c>
      <c r="K561" s="92" t="s">
        <v>707</v>
      </c>
      <c r="L561" s="810">
        <v>5</v>
      </c>
      <c r="M561" s="811" t="str">
        <f t="shared" si="38"/>
        <v>High School Graduate</v>
      </c>
      <c r="N561" s="92" t="s">
        <v>1208</v>
      </c>
      <c r="O561" s="92" t="s">
        <v>2215</v>
      </c>
      <c r="P561" s="1638"/>
      <c r="Q561" s="92" t="s">
        <v>2215</v>
      </c>
      <c r="R561" s="92" t="s">
        <v>10310</v>
      </c>
      <c r="S561" s="848">
        <v>10000</v>
      </c>
      <c r="T561" s="813"/>
      <c r="U561" s="813"/>
      <c r="V561" s="849"/>
      <c r="W561" s="838">
        <v>2</v>
      </c>
      <c r="X561" s="811" t="str">
        <f t="shared" si="36"/>
        <v>within the Municipality/City</v>
      </c>
      <c r="Y561" s="836">
        <v>1500</v>
      </c>
      <c r="Z561" s="836"/>
      <c r="AA561" s="836"/>
      <c r="AB561" s="849"/>
      <c r="AC561" s="809"/>
      <c r="AD561" s="824"/>
      <c r="AE561" s="93"/>
      <c r="AF561" s="818"/>
      <c r="AG561" s="807" t="str">
        <f t="shared" si="39"/>
        <v/>
      </c>
      <c r="AH561" s="807"/>
      <c r="AI561" s="807"/>
      <c r="AJ561" s="807"/>
      <c r="AK561" s="92"/>
      <c r="AL561" s="92"/>
      <c r="AM561" s="819"/>
      <c r="AN561" s="820"/>
      <c r="AO561" s="817"/>
      <c r="AP561" s="820"/>
      <c r="AQ561" s="93"/>
      <c r="AR561" s="93"/>
      <c r="AS561" s="93"/>
      <c r="AT561" s="93"/>
      <c r="AU561" s="93"/>
      <c r="AV561" s="93"/>
      <c r="AW561" s="93"/>
      <c r="AX561" s="93"/>
      <c r="AY561" s="93"/>
      <c r="AZ561" s="93"/>
      <c r="BA561" s="93"/>
      <c r="BB561" s="93"/>
      <c r="BC561" s="93"/>
      <c r="BD561" s="93"/>
      <c r="BE561" s="93"/>
      <c r="BF561" s="93"/>
      <c r="BG561" s="93"/>
      <c r="BH561" s="93"/>
      <c r="BI561" s="93"/>
      <c r="BJ561" s="93"/>
      <c r="BK561" s="93"/>
      <c r="BL561" s="93"/>
      <c r="BM561" s="93"/>
      <c r="BN561" s="93"/>
      <c r="BT561" s="93"/>
      <c r="BU561" s="93"/>
      <c r="BV561" s="93"/>
      <c r="BW561" s="93"/>
      <c r="BX561" s="93"/>
      <c r="BY561" s="93"/>
      <c r="BZ561" s="93"/>
      <c r="CA561" s="93"/>
      <c r="CB561" s="93"/>
      <c r="CC561" s="93"/>
      <c r="CD561" s="93"/>
      <c r="CE561" s="93"/>
      <c r="CF561" s="93"/>
      <c r="CG561" s="93"/>
      <c r="CI561" s="93"/>
      <c r="CJ561" s="93"/>
      <c r="CK561" s="93"/>
      <c r="CL561" s="93"/>
      <c r="CM561" s="93"/>
      <c r="CN561" s="93"/>
      <c r="CO561" s="93"/>
      <c r="CP561" s="93"/>
      <c r="CQ561" s="93"/>
      <c r="CR561" s="93"/>
      <c r="CS561" s="93"/>
      <c r="CT561" s="93"/>
      <c r="CU561" s="93"/>
      <c r="CV561" s="93"/>
      <c r="CW561" s="93"/>
      <c r="CX561" s="93"/>
      <c r="CY561" s="93"/>
      <c r="CZ561" s="93"/>
      <c r="DA561" s="93"/>
      <c r="DB561" s="93"/>
      <c r="DC561" s="93"/>
      <c r="DD561" s="93"/>
      <c r="DE561" s="825"/>
      <c r="DF561" s="825"/>
      <c r="DG561" s="825"/>
      <c r="DH561" s="825"/>
      <c r="DI561" s="826"/>
      <c r="DJ561" s="825"/>
      <c r="GO561" s="92"/>
      <c r="GP561" s="831"/>
    </row>
    <row r="562" spans="1:198" ht="15">
      <c r="A562" s="767" t="s">
        <v>7421</v>
      </c>
      <c r="D562" s="935" t="s">
        <v>391</v>
      </c>
      <c r="E562" s="1042" t="s">
        <v>391</v>
      </c>
      <c r="G562" s="827"/>
      <c r="H562" s="809" t="s">
        <v>8905</v>
      </c>
      <c r="I562" s="92">
        <v>27</v>
      </c>
      <c r="J562" s="92" t="s">
        <v>18</v>
      </c>
      <c r="K562" s="92" t="s">
        <v>707</v>
      </c>
      <c r="L562" s="810">
        <v>5</v>
      </c>
      <c r="M562" s="811" t="str">
        <f t="shared" si="38"/>
        <v>High School Graduate</v>
      </c>
      <c r="N562" s="92" t="s">
        <v>1208</v>
      </c>
      <c r="O562" s="92" t="s">
        <v>8833</v>
      </c>
      <c r="P562" s="1638"/>
      <c r="Q562" s="92" t="s">
        <v>8833</v>
      </c>
      <c r="R562" s="92" t="s">
        <v>10310</v>
      </c>
      <c r="S562" s="848">
        <v>10000</v>
      </c>
      <c r="T562" s="820"/>
      <c r="U562" s="820"/>
      <c r="V562" s="828"/>
      <c r="W562" s="815">
        <v>2</v>
      </c>
      <c r="X562" s="811" t="str">
        <f t="shared" si="36"/>
        <v>within the Municipality/City</v>
      </c>
      <c r="Y562" s="816">
        <v>1500</v>
      </c>
      <c r="AB562" s="828"/>
      <c r="AC562" s="809"/>
      <c r="AD562" s="824"/>
      <c r="AG562" s="807" t="str">
        <f t="shared" si="39"/>
        <v/>
      </c>
      <c r="AI562" s="817"/>
      <c r="AJ562" s="817"/>
      <c r="AK562" s="92"/>
      <c r="AM562" s="819"/>
      <c r="AN562" s="820"/>
      <c r="AQ562" s="93"/>
      <c r="AR562" s="93"/>
      <c r="AS562" s="93"/>
      <c r="AT562" s="93"/>
      <c r="AU562" s="93"/>
      <c r="AV562" s="93"/>
      <c r="AW562" s="93"/>
      <c r="AX562" s="93"/>
      <c r="AY562" s="93"/>
      <c r="AZ562" s="93"/>
      <c r="BA562" s="93"/>
      <c r="BB562" s="93"/>
      <c r="BL562" s="93"/>
      <c r="BM562" s="93"/>
      <c r="BT562" s="93"/>
      <c r="BU562" s="93"/>
      <c r="BV562" s="93"/>
      <c r="BW562" s="93"/>
      <c r="BX562" s="93"/>
      <c r="BY562" s="93"/>
      <c r="BZ562" s="93"/>
      <c r="CA562" s="93"/>
      <c r="CB562" s="93"/>
      <c r="CC562" s="93"/>
      <c r="CF562" s="93"/>
      <c r="CG562" s="93"/>
      <c r="CH562" s="93"/>
      <c r="CI562" s="93"/>
      <c r="CJ562" s="93"/>
      <c r="CK562" s="93"/>
      <c r="CL562" s="93"/>
      <c r="CM562" s="93"/>
      <c r="CN562" s="93"/>
      <c r="CO562" s="93"/>
      <c r="CP562" s="93"/>
      <c r="CQ562" s="93"/>
      <c r="CR562" s="93"/>
      <c r="CS562" s="93"/>
      <c r="CT562" s="93"/>
      <c r="CU562" s="93"/>
      <c r="CV562" s="93"/>
      <c r="CW562" s="93"/>
      <c r="CX562" s="93"/>
      <c r="CY562" s="93"/>
      <c r="CZ562" s="93"/>
      <c r="DA562" s="93"/>
      <c r="DB562" s="93"/>
      <c r="DC562" s="93"/>
      <c r="DD562" s="93"/>
      <c r="DE562" s="93"/>
      <c r="DF562" s="93"/>
      <c r="DG562" s="93"/>
      <c r="DH562" s="93"/>
      <c r="DI562" s="93"/>
      <c r="DJ562" s="93"/>
      <c r="DK562" s="93"/>
      <c r="DL562" s="93"/>
      <c r="DM562" s="93"/>
      <c r="DN562" s="93"/>
      <c r="DO562" s="93"/>
    </row>
    <row r="563" spans="1:198" ht="15">
      <c r="A563" s="767" t="s">
        <v>7421</v>
      </c>
      <c r="D563" s="935" t="s">
        <v>391</v>
      </c>
      <c r="E563" s="1042" t="s">
        <v>391</v>
      </c>
      <c r="G563" s="827"/>
      <c r="H563" s="809" t="s">
        <v>8906</v>
      </c>
      <c r="I563" s="92">
        <v>10</v>
      </c>
      <c r="J563" s="92" t="s">
        <v>10</v>
      </c>
      <c r="K563" s="92" t="s">
        <v>768</v>
      </c>
      <c r="L563" s="810">
        <v>2</v>
      </c>
      <c r="M563" s="811" t="str">
        <f t="shared" si="38"/>
        <v>Elementary Level</v>
      </c>
      <c r="P563" s="1638"/>
      <c r="S563" s="848"/>
      <c r="V563" s="828"/>
      <c r="X563" s="811" t="str">
        <f t="shared" si="36"/>
        <v/>
      </c>
      <c r="AB563" s="828"/>
      <c r="AC563" s="809"/>
      <c r="AD563" s="824"/>
      <c r="AG563" s="807" t="str">
        <f t="shared" si="39"/>
        <v/>
      </c>
      <c r="AH563" s="807"/>
      <c r="AI563" s="807"/>
      <c r="AJ563" s="807"/>
      <c r="AK563" s="92"/>
      <c r="AM563" s="819"/>
      <c r="AN563" s="820"/>
      <c r="AQ563" s="93"/>
      <c r="AR563" s="93"/>
      <c r="AS563" s="93"/>
      <c r="AT563" s="93"/>
      <c r="AU563" s="93"/>
      <c r="AV563" s="93"/>
      <c r="AW563" s="93"/>
      <c r="AX563" s="93"/>
      <c r="AY563" s="93"/>
      <c r="AZ563" s="93"/>
      <c r="BA563" s="93"/>
      <c r="BB563" s="93"/>
      <c r="BL563" s="93"/>
      <c r="BM563" s="93"/>
      <c r="BT563" s="93"/>
      <c r="BU563" s="93"/>
      <c r="BV563" s="93"/>
      <c r="BW563" s="93"/>
      <c r="BX563" s="93"/>
      <c r="BY563" s="93"/>
      <c r="BZ563" s="93"/>
      <c r="CA563" s="93"/>
      <c r="CB563" s="93"/>
      <c r="CC563" s="93"/>
      <c r="CF563" s="93"/>
      <c r="CG563" s="93"/>
      <c r="CH563" s="93"/>
      <c r="CI563" s="93"/>
      <c r="CJ563" s="93"/>
      <c r="CK563" s="93"/>
      <c r="CL563" s="93"/>
      <c r="CM563" s="93"/>
      <c r="CN563" s="93"/>
      <c r="CO563" s="93"/>
      <c r="CP563" s="93"/>
      <c r="CQ563" s="93"/>
      <c r="CR563" s="93"/>
      <c r="CS563" s="93"/>
      <c r="CT563" s="93"/>
      <c r="CU563" s="93"/>
      <c r="CV563" s="93"/>
      <c r="CW563" s="93"/>
      <c r="CX563" s="93"/>
      <c r="CY563" s="93"/>
      <c r="CZ563" s="93"/>
      <c r="DA563" s="93"/>
      <c r="DB563" s="93"/>
      <c r="DC563" s="93"/>
      <c r="DD563" s="93"/>
      <c r="DE563" s="93"/>
      <c r="DF563" s="93"/>
      <c r="DG563" s="93"/>
      <c r="DH563" s="93"/>
      <c r="DI563" s="93"/>
      <c r="DJ563" s="93"/>
      <c r="DK563" s="93"/>
      <c r="DL563" s="93"/>
      <c r="DM563" s="93"/>
      <c r="DN563" s="93"/>
      <c r="DO563" s="93"/>
    </row>
    <row r="564" spans="1:198" s="806" customFormat="1" ht="15">
      <c r="A564" s="767" t="s">
        <v>7421</v>
      </c>
      <c r="D564" s="935" t="s">
        <v>391</v>
      </c>
      <c r="E564" s="1042" t="s">
        <v>391</v>
      </c>
      <c r="G564" s="827"/>
      <c r="H564" s="809" t="s">
        <v>8907</v>
      </c>
      <c r="I564" s="92">
        <v>8</v>
      </c>
      <c r="J564" s="92" t="s">
        <v>10</v>
      </c>
      <c r="K564" s="92" t="s">
        <v>768</v>
      </c>
      <c r="L564" s="810">
        <v>2</v>
      </c>
      <c r="M564" s="811" t="str">
        <f t="shared" si="38"/>
        <v>Elementary Level</v>
      </c>
      <c r="N564" s="92"/>
      <c r="O564" s="92"/>
      <c r="P564" s="1638"/>
      <c r="Q564" s="92"/>
      <c r="R564" s="92"/>
      <c r="S564" s="848"/>
      <c r="T564" s="813"/>
      <c r="U564" s="813"/>
      <c r="V564" s="849">
        <f>SUM(S554:U564)</f>
        <v>32000</v>
      </c>
      <c r="W564" s="838"/>
      <c r="X564" s="811" t="str">
        <f t="shared" si="36"/>
        <v/>
      </c>
      <c r="Y564" s="836"/>
      <c r="Z564" s="836"/>
      <c r="AA564" s="836"/>
      <c r="AB564" s="849">
        <f>SUM(Y554:AA564)</f>
        <v>3900</v>
      </c>
      <c r="AC564" s="809"/>
      <c r="AD564" s="824"/>
      <c r="AE564" s="93"/>
      <c r="AF564" s="818"/>
      <c r="AG564" s="807" t="str">
        <f t="shared" si="39"/>
        <v/>
      </c>
      <c r="AH564" s="807"/>
      <c r="AI564" s="807"/>
      <c r="AJ564" s="807"/>
      <c r="AK564" s="92"/>
      <c r="AL564" s="92"/>
      <c r="AM564" s="819"/>
      <c r="AN564" s="820"/>
      <c r="AO564" s="817"/>
      <c r="AP564" s="820"/>
      <c r="AQ564" s="93"/>
      <c r="AR564" s="93"/>
      <c r="AS564" s="93"/>
      <c r="AT564" s="93"/>
      <c r="AU564" s="93"/>
      <c r="AV564" s="93"/>
      <c r="AW564" s="93"/>
      <c r="AX564" s="93"/>
      <c r="AY564" s="93"/>
      <c r="AZ564" s="93"/>
      <c r="BA564" s="93"/>
      <c r="BB564" s="93"/>
      <c r="BC564" s="93"/>
      <c r="BD564" s="93"/>
      <c r="BE564" s="93"/>
      <c r="BF564" s="93"/>
      <c r="BG564" s="93"/>
      <c r="BH564" s="93"/>
      <c r="BI564" s="93"/>
      <c r="BJ564" s="93"/>
      <c r="BK564" s="93"/>
      <c r="BL564" s="93"/>
      <c r="BM564" s="93"/>
      <c r="BN564" s="93"/>
      <c r="BT564" s="93"/>
      <c r="BU564" s="93"/>
      <c r="BV564" s="93"/>
      <c r="BW564" s="93"/>
      <c r="BX564" s="93"/>
      <c r="BY564" s="93"/>
      <c r="BZ564" s="93"/>
      <c r="CA564" s="93"/>
      <c r="CB564" s="93"/>
      <c r="CC564" s="93"/>
      <c r="CD564" s="93"/>
      <c r="CE564" s="93"/>
      <c r="CF564" s="93"/>
      <c r="CG564" s="93"/>
      <c r="CI564" s="93"/>
      <c r="CJ564" s="93"/>
      <c r="CK564" s="93"/>
      <c r="CL564" s="93"/>
      <c r="CM564" s="93"/>
      <c r="CN564" s="93"/>
      <c r="CO564" s="93"/>
      <c r="CP564" s="93"/>
      <c r="CQ564" s="93"/>
      <c r="CR564" s="93"/>
      <c r="CS564" s="93"/>
      <c r="CT564" s="93"/>
      <c r="CU564" s="93"/>
      <c r="CV564" s="93"/>
      <c r="CW564" s="93"/>
      <c r="CX564" s="93"/>
      <c r="CY564" s="93"/>
      <c r="CZ564" s="93"/>
      <c r="DA564" s="93"/>
      <c r="DB564" s="93"/>
      <c r="DC564" s="93"/>
      <c r="DD564" s="93"/>
      <c r="DE564" s="825"/>
      <c r="DF564" s="825"/>
      <c r="DG564" s="825"/>
      <c r="DH564" s="825"/>
      <c r="DI564" s="826"/>
      <c r="DJ564" s="825"/>
      <c r="GO564" s="92"/>
      <c r="GP564" s="831"/>
    </row>
    <row r="565" spans="1:198" ht="15">
      <c r="A565" s="767" t="s">
        <v>7421</v>
      </c>
      <c r="B565" s="292" t="s">
        <v>7594</v>
      </c>
      <c r="C565" s="148" t="s">
        <v>394</v>
      </c>
      <c r="D565" s="935" t="s">
        <v>394</v>
      </c>
      <c r="E565" s="1042" t="s">
        <v>394</v>
      </c>
      <c r="F565" s="1047" t="s">
        <v>2084</v>
      </c>
      <c r="G565" s="809" t="s">
        <v>394</v>
      </c>
      <c r="H565" s="809" t="s">
        <v>8908</v>
      </c>
      <c r="I565" s="92">
        <v>62</v>
      </c>
      <c r="J565" s="92" t="s">
        <v>10</v>
      </c>
      <c r="K565" s="92" t="s">
        <v>722</v>
      </c>
      <c r="L565" s="810">
        <v>3</v>
      </c>
      <c r="M565" s="811" t="str">
        <f t="shared" si="38"/>
        <v>Elementary Graduate</v>
      </c>
      <c r="N565" s="92" t="s">
        <v>1208</v>
      </c>
      <c r="O565" s="92" t="s">
        <v>8909</v>
      </c>
      <c r="P565" s="1638" t="s">
        <v>12606</v>
      </c>
      <c r="Q565" s="92" t="s">
        <v>8909</v>
      </c>
      <c r="R565" s="92" t="s">
        <v>8234</v>
      </c>
      <c r="S565" s="848">
        <v>11000</v>
      </c>
      <c r="T565" s="820"/>
      <c r="U565" s="820"/>
      <c r="V565" s="830"/>
      <c r="W565" s="815">
        <v>1</v>
      </c>
      <c r="X565" s="811" t="str">
        <f t="shared" si="36"/>
        <v>within the Brgy</v>
      </c>
      <c r="AB565" s="830"/>
      <c r="AC565" s="809" t="s">
        <v>2215</v>
      </c>
      <c r="AD565" s="817" t="s">
        <v>8910</v>
      </c>
      <c r="AG565" s="807" t="str">
        <f t="shared" si="39"/>
        <v/>
      </c>
      <c r="AI565" s="817"/>
      <c r="AJ565" s="817"/>
      <c r="AK565" s="92"/>
      <c r="AM565" s="819"/>
      <c r="AN565" s="820"/>
      <c r="AQ565" s="93"/>
      <c r="AR565" s="93"/>
      <c r="AS565" s="93"/>
      <c r="AT565" s="93"/>
      <c r="AU565" s="93"/>
      <c r="AV565" s="93"/>
      <c r="AW565" s="93"/>
      <c r="AX565" s="93"/>
      <c r="AY565" s="93"/>
      <c r="AZ565" s="93"/>
      <c r="BA565" s="93"/>
      <c r="BB565" s="93"/>
      <c r="BL565" s="93"/>
      <c r="BM565" s="93"/>
      <c r="BT565" s="93"/>
      <c r="BU565" s="93"/>
      <c r="BV565" s="93"/>
      <c r="BW565" s="93"/>
      <c r="BX565" s="93"/>
      <c r="BY565" s="93"/>
      <c r="BZ565" s="93"/>
      <c r="CA565" s="93"/>
      <c r="CB565" s="93"/>
      <c r="CC565" s="93"/>
      <c r="CF565" s="93"/>
      <c r="CG565" s="93"/>
      <c r="CH565" s="93"/>
      <c r="CI565" s="93"/>
      <c r="CJ565" s="93"/>
      <c r="CK565" s="93"/>
      <c r="CL565" s="93"/>
      <c r="CM565" s="93"/>
      <c r="CN565" s="93"/>
      <c r="CO565" s="93"/>
      <c r="CP565" s="93"/>
      <c r="CQ565" s="93"/>
      <c r="CR565" s="93"/>
      <c r="CS565" s="93"/>
      <c r="CT565" s="93"/>
      <c r="CU565" s="93"/>
      <c r="CV565" s="93"/>
      <c r="CW565" s="93"/>
      <c r="CX565" s="93"/>
      <c r="CY565" s="93"/>
      <c r="CZ565" s="93"/>
      <c r="DA565" s="93"/>
      <c r="DB565" s="93"/>
      <c r="DC565" s="93"/>
      <c r="DD565" s="93"/>
      <c r="DE565" s="93"/>
      <c r="DF565" s="93"/>
      <c r="DG565" s="93"/>
      <c r="DH565" s="93"/>
      <c r="DI565" s="93"/>
      <c r="DJ565" s="93"/>
      <c r="DK565" s="93"/>
      <c r="DL565" s="93"/>
      <c r="DM565" s="93"/>
      <c r="DN565" s="93"/>
      <c r="DO565" s="93"/>
    </row>
    <row r="566" spans="1:198" s="92" customFormat="1" ht="15">
      <c r="A566" s="767" t="s">
        <v>7421</v>
      </c>
      <c r="D566" s="935" t="s">
        <v>394</v>
      </c>
      <c r="E566" s="1042" t="s">
        <v>394</v>
      </c>
      <c r="G566" s="835"/>
      <c r="H566" s="831" t="s">
        <v>8911</v>
      </c>
      <c r="I566" s="92">
        <v>42</v>
      </c>
      <c r="J566" s="92" t="s">
        <v>18</v>
      </c>
      <c r="K566" s="92" t="s">
        <v>722</v>
      </c>
      <c r="L566" s="810">
        <v>5</v>
      </c>
      <c r="M566" s="811" t="str">
        <f t="shared" si="38"/>
        <v>High School Graduate</v>
      </c>
      <c r="N566" s="92" t="s">
        <v>1208</v>
      </c>
      <c r="O566" s="92" t="s">
        <v>8912</v>
      </c>
      <c r="P566" s="1638"/>
      <c r="Q566" s="92" t="s">
        <v>8912</v>
      </c>
      <c r="R566" s="92" t="s">
        <v>10434</v>
      </c>
      <c r="S566" s="840"/>
      <c r="T566" s="836">
        <v>1000</v>
      </c>
      <c r="U566" s="836">
        <v>1000</v>
      </c>
      <c r="V566" s="837"/>
      <c r="W566" s="838">
        <v>4</v>
      </c>
      <c r="X566" s="811" t="str">
        <f t="shared" si="36"/>
        <v>Other Province</v>
      </c>
      <c r="Y566" s="836">
        <v>100</v>
      </c>
      <c r="Z566" s="836"/>
      <c r="AA566" s="836"/>
      <c r="AB566" s="837"/>
      <c r="AC566" s="831" t="s">
        <v>8913</v>
      </c>
      <c r="AD566" s="824"/>
      <c r="AF566" s="810"/>
      <c r="AG566" s="807" t="str">
        <f t="shared" si="39"/>
        <v/>
      </c>
      <c r="AM566" s="819"/>
      <c r="AN566" s="839"/>
      <c r="AO566" s="821"/>
      <c r="AP566" s="839"/>
      <c r="DE566" s="826"/>
      <c r="DF566" s="826"/>
      <c r="DG566" s="826"/>
      <c r="DH566" s="826"/>
      <c r="DI566" s="826"/>
      <c r="DJ566" s="826"/>
      <c r="GP566" s="831"/>
    </row>
    <row r="567" spans="1:198" s="92" customFormat="1" ht="15">
      <c r="A567" s="767" t="s">
        <v>7421</v>
      </c>
      <c r="D567" s="935" t="s">
        <v>394</v>
      </c>
      <c r="E567" s="1042" t="s">
        <v>394</v>
      </c>
      <c r="G567" s="835"/>
      <c r="H567" s="831" t="s">
        <v>8914</v>
      </c>
      <c r="I567" s="92">
        <v>24</v>
      </c>
      <c r="J567" s="92" t="s">
        <v>10</v>
      </c>
      <c r="K567" s="92" t="s">
        <v>768</v>
      </c>
      <c r="L567" s="810">
        <v>4</v>
      </c>
      <c r="M567" s="811" t="str">
        <f t="shared" si="38"/>
        <v>High School Level</v>
      </c>
      <c r="N567" s="92" t="s">
        <v>1208</v>
      </c>
      <c r="O567" s="92" t="s">
        <v>2198</v>
      </c>
      <c r="P567" s="1638"/>
      <c r="Q567" s="92" t="s">
        <v>2198</v>
      </c>
      <c r="R567" s="92" t="s">
        <v>8285</v>
      </c>
      <c r="S567" s="848">
        <v>2400</v>
      </c>
      <c r="T567" s="836"/>
      <c r="U567" s="836"/>
      <c r="V567" s="837"/>
      <c r="W567" s="838">
        <v>2</v>
      </c>
      <c r="X567" s="811" t="str">
        <f t="shared" si="36"/>
        <v>within the Municipality/City</v>
      </c>
      <c r="Y567" s="836"/>
      <c r="Z567" s="836"/>
      <c r="AA567" s="836"/>
      <c r="AB567" s="837"/>
      <c r="AC567" s="821" t="s">
        <v>2228</v>
      </c>
      <c r="AD567" s="824"/>
      <c r="AF567" s="810"/>
      <c r="AG567" s="807" t="str">
        <f t="shared" si="39"/>
        <v/>
      </c>
      <c r="AM567" s="819"/>
      <c r="AN567" s="839"/>
      <c r="AO567" s="821"/>
      <c r="AP567" s="839"/>
      <c r="DE567" s="826"/>
      <c r="DF567" s="826"/>
      <c r="DG567" s="826"/>
      <c r="DH567" s="826"/>
      <c r="DI567" s="826"/>
      <c r="DJ567" s="826"/>
      <c r="GP567" s="831"/>
    </row>
    <row r="568" spans="1:198" s="92" customFormat="1" ht="15">
      <c r="A568" s="767" t="s">
        <v>7421</v>
      </c>
      <c r="D568" s="935" t="s">
        <v>394</v>
      </c>
      <c r="E568" s="1042" t="s">
        <v>394</v>
      </c>
      <c r="G568" s="827"/>
      <c r="H568" s="809" t="s">
        <v>8915</v>
      </c>
      <c r="I568" s="92">
        <v>18</v>
      </c>
      <c r="J568" s="92" t="s">
        <v>10</v>
      </c>
      <c r="K568" s="92" t="s">
        <v>768</v>
      </c>
      <c r="L568" s="810">
        <v>4</v>
      </c>
      <c r="M568" s="811" t="str">
        <f t="shared" si="38"/>
        <v>High School Level</v>
      </c>
      <c r="N568" s="92" t="s">
        <v>1208</v>
      </c>
      <c r="O568" s="92" t="s">
        <v>8916</v>
      </c>
      <c r="P568" s="1638"/>
      <c r="Q568" s="92" t="s">
        <v>8916</v>
      </c>
      <c r="R568" s="92" t="s">
        <v>8285</v>
      </c>
      <c r="S568" s="840">
        <v>10000</v>
      </c>
      <c r="T568" s="836"/>
      <c r="U568" s="813"/>
      <c r="V568" s="837"/>
      <c r="W568" s="838">
        <v>4</v>
      </c>
      <c r="X568" s="811" t="str">
        <f t="shared" si="36"/>
        <v>Other Province</v>
      </c>
      <c r="Y568" s="836"/>
      <c r="Z568" s="836"/>
      <c r="AA568" s="836"/>
      <c r="AB568" s="837"/>
      <c r="AC568" s="809" t="s">
        <v>8193</v>
      </c>
      <c r="AD568" s="824"/>
      <c r="AE568" s="93"/>
      <c r="AF568" s="818"/>
      <c r="AG568" s="807" t="str">
        <f t="shared" si="39"/>
        <v/>
      </c>
      <c r="AH568" s="807"/>
      <c r="AI568" s="807"/>
      <c r="AJ568" s="807"/>
      <c r="AM568" s="819"/>
      <c r="AN568" s="820"/>
      <c r="AO568" s="817"/>
      <c r="AP568" s="820"/>
      <c r="AQ568" s="93"/>
      <c r="AR568" s="93"/>
      <c r="AS568" s="93"/>
      <c r="AT568" s="93"/>
      <c r="AU568" s="93"/>
      <c r="AV568" s="93"/>
      <c r="AW568" s="93"/>
      <c r="AX568" s="93"/>
      <c r="AY568" s="93"/>
      <c r="AZ568" s="93"/>
      <c r="BA568" s="93"/>
      <c r="BB568" s="93"/>
      <c r="BC568" s="93"/>
      <c r="BD568" s="93"/>
      <c r="BE568" s="93"/>
      <c r="BF568" s="93"/>
      <c r="BG568" s="93"/>
      <c r="BH568" s="93"/>
      <c r="BI568" s="93"/>
      <c r="BJ568" s="93"/>
      <c r="BK568" s="93"/>
      <c r="BL568" s="93"/>
      <c r="BM568" s="93"/>
      <c r="BN568" s="93"/>
      <c r="BT568" s="93"/>
      <c r="BU568" s="93"/>
      <c r="BV568" s="93"/>
      <c r="BW568" s="93"/>
      <c r="BX568" s="93"/>
      <c r="BY568" s="93"/>
      <c r="BZ568" s="93"/>
      <c r="CA568" s="93"/>
      <c r="CB568" s="93"/>
      <c r="CC568" s="93"/>
      <c r="CD568" s="93"/>
      <c r="CE568" s="93"/>
      <c r="CF568" s="93"/>
      <c r="CG568" s="93"/>
      <c r="CI568" s="93"/>
      <c r="CJ568" s="93"/>
      <c r="CK568" s="93"/>
      <c r="CL568" s="93"/>
      <c r="CM568" s="93"/>
      <c r="CN568" s="93"/>
      <c r="CO568" s="93"/>
      <c r="CP568" s="93"/>
      <c r="CQ568" s="93"/>
      <c r="CR568" s="93"/>
      <c r="CS568" s="93"/>
      <c r="CT568" s="93"/>
      <c r="CU568" s="93"/>
      <c r="CV568" s="93"/>
      <c r="CW568" s="93"/>
      <c r="CX568" s="93"/>
      <c r="CY568" s="93"/>
      <c r="CZ568" s="93"/>
      <c r="DA568" s="93"/>
      <c r="DB568" s="93"/>
      <c r="DC568" s="93"/>
      <c r="DD568" s="93"/>
      <c r="DE568" s="826"/>
      <c r="DF568" s="826"/>
      <c r="DG568" s="826"/>
      <c r="DH568" s="826"/>
      <c r="DI568" s="826"/>
      <c r="DJ568" s="826"/>
      <c r="GP568" s="831"/>
    </row>
    <row r="569" spans="1:198" s="92" customFormat="1" ht="15">
      <c r="A569" s="767" t="s">
        <v>7421</v>
      </c>
      <c r="D569" s="935" t="s">
        <v>394</v>
      </c>
      <c r="E569" s="1042" t="s">
        <v>394</v>
      </c>
      <c r="G569" s="827"/>
      <c r="H569" s="809" t="s">
        <v>8917</v>
      </c>
      <c r="I569" s="92">
        <v>17</v>
      </c>
      <c r="J569" s="92" t="s">
        <v>18</v>
      </c>
      <c r="K569" s="92" t="s">
        <v>768</v>
      </c>
      <c r="L569" s="810">
        <v>4</v>
      </c>
      <c r="M569" s="811" t="str">
        <f t="shared" si="38"/>
        <v>High School Level</v>
      </c>
      <c r="P569" s="1638"/>
      <c r="S569" s="840"/>
      <c r="T569" s="836"/>
      <c r="U569" s="813"/>
      <c r="V569" s="837"/>
      <c r="W569" s="838"/>
      <c r="X569" s="811" t="str">
        <f t="shared" si="36"/>
        <v/>
      </c>
      <c r="Y569" s="836"/>
      <c r="Z569" s="836"/>
      <c r="AA569" s="836"/>
      <c r="AB569" s="837"/>
      <c r="AC569" s="809"/>
      <c r="AD569" s="824"/>
      <c r="AE569" s="93"/>
      <c r="AF569" s="818"/>
      <c r="AG569" s="807" t="str">
        <f t="shared" si="39"/>
        <v/>
      </c>
      <c r="AH569" s="807"/>
      <c r="AI569" s="807"/>
      <c r="AJ569" s="807"/>
      <c r="AM569" s="819"/>
      <c r="AN569" s="820"/>
      <c r="AO569" s="817"/>
      <c r="AP569" s="820"/>
      <c r="AQ569" s="93"/>
      <c r="AR569" s="93"/>
      <c r="AS569" s="93"/>
      <c r="AT569" s="93"/>
      <c r="AU569" s="93"/>
      <c r="AV569" s="93"/>
      <c r="AW569" s="93"/>
      <c r="AX569" s="93"/>
      <c r="AY569" s="93"/>
      <c r="AZ569" s="93"/>
      <c r="BA569" s="93"/>
      <c r="BB569" s="93"/>
      <c r="BC569" s="93"/>
      <c r="BD569" s="93"/>
      <c r="BE569" s="93"/>
      <c r="BF569" s="93"/>
      <c r="BG569" s="93"/>
      <c r="BH569" s="93"/>
      <c r="BI569" s="93"/>
      <c r="BJ569" s="93"/>
      <c r="BK569" s="93"/>
      <c r="BL569" s="93"/>
      <c r="BM569" s="93"/>
      <c r="BN569" s="93"/>
      <c r="BT569" s="93"/>
      <c r="BU569" s="93"/>
      <c r="BV569" s="93"/>
      <c r="BW569" s="93"/>
      <c r="BX569" s="93"/>
      <c r="BY569" s="93"/>
      <c r="BZ569" s="93"/>
      <c r="CA569" s="93"/>
      <c r="CB569" s="93"/>
      <c r="CC569" s="93"/>
      <c r="CD569" s="93"/>
      <c r="CE569" s="93"/>
      <c r="CF569" s="93"/>
      <c r="CG569" s="93"/>
      <c r="CI569" s="93"/>
      <c r="CJ569" s="93"/>
      <c r="CK569" s="93"/>
      <c r="CL569" s="93"/>
      <c r="CM569" s="93"/>
      <c r="CN569" s="93"/>
      <c r="CO569" s="93"/>
      <c r="CP569" s="93"/>
      <c r="CQ569" s="93"/>
      <c r="CR569" s="93"/>
      <c r="CS569" s="93"/>
      <c r="CT569" s="93"/>
      <c r="CU569" s="93"/>
      <c r="CV569" s="93"/>
      <c r="CW569" s="93"/>
      <c r="CX569" s="93"/>
      <c r="CY569" s="93"/>
      <c r="CZ569" s="93"/>
      <c r="DA569" s="93"/>
      <c r="DB569" s="93"/>
      <c r="DC569" s="93"/>
      <c r="DD569" s="93"/>
      <c r="DE569" s="826"/>
      <c r="DF569" s="826"/>
      <c r="DG569" s="826"/>
      <c r="DH569" s="826"/>
      <c r="DI569" s="826"/>
      <c r="DJ569" s="826"/>
      <c r="GP569" s="831"/>
    </row>
    <row r="570" spans="1:198" ht="15">
      <c r="A570" s="767" t="s">
        <v>7421</v>
      </c>
      <c r="D570" s="935" t="s">
        <v>394</v>
      </c>
      <c r="E570" s="1042" t="s">
        <v>394</v>
      </c>
      <c r="G570" s="827"/>
      <c r="H570" s="809" t="s">
        <v>8918</v>
      </c>
      <c r="I570" s="92">
        <v>13</v>
      </c>
      <c r="J570" s="92" t="s">
        <v>10</v>
      </c>
      <c r="K570" s="92" t="s">
        <v>768</v>
      </c>
      <c r="L570" s="810">
        <v>2</v>
      </c>
      <c r="M570" s="811" t="str">
        <f t="shared" si="38"/>
        <v>Elementary Level</v>
      </c>
      <c r="P570" s="1638"/>
      <c r="S570" s="848"/>
      <c r="V570" s="830">
        <f>SUM(S565:U570)</f>
        <v>25400</v>
      </c>
      <c r="X570" s="811" t="str">
        <f t="shared" si="36"/>
        <v/>
      </c>
      <c r="AB570" s="830">
        <f>SUM(Y565:AA570)</f>
        <v>100</v>
      </c>
      <c r="AC570" s="809"/>
      <c r="AD570" s="824"/>
      <c r="AG570" s="807" t="str">
        <f t="shared" si="39"/>
        <v/>
      </c>
      <c r="AH570" s="807"/>
      <c r="AI570" s="807"/>
      <c r="AJ570" s="807"/>
      <c r="AK570" s="92"/>
      <c r="AM570" s="819"/>
      <c r="AN570" s="820"/>
      <c r="AQ570" s="93"/>
      <c r="AR570" s="93"/>
      <c r="AS570" s="93"/>
      <c r="AT570" s="93"/>
      <c r="AU570" s="93"/>
      <c r="AV570" s="93"/>
      <c r="AW570" s="93"/>
      <c r="AX570" s="93"/>
      <c r="AY570" s="93"/>
      <c r="AZ570" s="93"/>
      <c r="BA570" s="93"/>
      <c r="BB570" s="93"/>
      <c r="BL570" s="93"/>
      <c r="BM570" s="93"/>
      <c r="BT570" s="93"/>
      <c r="BU570" s="93"/>
      <c r="BV570" s="93"/>
      <c r="BW570" s="93"/>
      <c r="BX570" s="93"/>
      <c r="BY570" s="93"/>
      <c r="BZ570" s="93"/>
      <c r="CA570" s="93"/>
      <c r="CB570" s="93"/>
      <c r="CC570" s="93"/>
      <c r="CF570" s="93"/>
      <c r="CG570" s="93"/>
      <c r="CH570" s="93"/>
      <c r="CI570" s="93"/>
      <c r="CJ570" s="93"/>
      <c r="CK570" s="93"/>
      <c r="CL570" s="93"/>
      <c r="CM570" s="93"/>
      <c r="CN570" s="93"/>
      <c r="CO570" s="93"/>
      <c r="CP570" s="93"/>
      <c r="CQ570" s="93"/>
      <c r="CR570" s="93"/>
      <c r="CS570" s="93"/>
      <c r="CT570" s="93"/>
      <c r="CU570" s="93"/>
      <c r="CV570" s="93"/>
      <c r="CW570" s="93"/>
      <c r="CX570" s="93"/>
      <c r="CY570" s="93"/>
      <c r="CZ570" s="93"/>
      <c r="DA570" s="93"/>
      <c r="DB570" s="93"/>
      <c r="DC570" s="93"/>
      <c r="DD570" s="93"/>
      <c r="DE570" s="93"/>
      <c r="DF570" s="93"/>
      <c r="DG570" s="93"/>
      <c r="DH570" s="93"/>
      <c r="DI570" s="93"/>
      <c r="DJ570" s="93"/>
      <c r="DK570" s="93"/>
      <c r="DL570" s="93"/>
      <c r="DM570" s="93"/>
      <c r="DN570" s="93"/>
      <c r="DO570" s="93"/>
    </row>
    <row r="571" spans="1:198" s="92" customFormat="1" ht="15">
      <c r="A571" s="767" t="s">
        <v>7421</v>
      </c>
      <c r="B571" s="292" t="s">
        <v>7595</v>
      </c>
      <c r="C571" s="148" t="s">
        <v>396</v>
      </c>
      <c r="D571" s="935" t="s">
        <v>396</v>
      </c>
      <c r="E571" s="1042" t="s">
        <v>396</v>
      </c>
      <c r="F571" s="1047" t="s">
        <v>2085</v>
      </c>
      <c r="G571" s="809" t="s">
        <v>396</v>
      </c>
      <c r="H571" s="809" t="s">
        <v>2085</v>
      </c>
      <c r="I571" s="92">
        <v>44</v>
      </c>
      <c r="J571" s="92" t="s">
        <v>10</v>
      </c>
      <c r="K571" s="92" t="s">
        <v>722</v>
      </c>
      <c r="L571" s="810">
        <v>2</v>
      </c>
      <c r="M571" s="811" t="str">
        <f t="shared" si="38"/>
        <v>Elementary Level</v>
      </c>
      <c r="N571" s="92" t="s">
        <v>1208</v>
      </c>
      <c r="O571" s="92" t="s">
        <v>8919</v>
      </c>
      <c r="P571" s="1638" t="s">
        <v>12600</v>
      </c>
      <c r="Q571" s="92" t="s">
        <v>8919</v>
      </c>
      <c r="R571" s="92" t="s">
        <v>8234</v>
      </c>
      <c r="S571" s="848"/>
      <c r="T571" s="836">
        <v>1500</v>
      </c>
      <c r="U571" s="813">
        <f>SUM(5000,40)</f>
        <v>5040</v>
      </c>
      <c r="V571" s="864"/>
      <c r="W571" s="838">
        <v>1</v>
      </c>
      <c r="X571" s="811" t="str">
        <f t="shared" si="36"/>
        <v>within the Brgy</v>
      </c>
      <c r="Y571" s="836"/>
      <c r="Z571" s="836"/>
      <c r="AA571" s="836"/>
      <c r="AB571" s="864"/>
      <c r="AC571" s="809" t="s">
        <v>8920</v>
      </c>
      <c r="AD571" s="824"/>
      <c r="AE571" s="93"/>
      <c r="AF571" s="818"/>
      <c r="AG571" s="807" t="str">
        <f t="shared" si="39"/>
        <v/>
      </c>
      <c r="AH571" s="807"/>
      <c r="AI571" s="807"/>
      <c r="AJ571" s="807"/>
      <c r="AM571" s="819"/>
      <c r="AN571" s="820"/>
      <c r="AO571" s="817"/>
      <c r="AP571" s="820"/>
      <c r="AQ571" s="93"/>
      <c r="AR571" s="93"/>
      <c r="AS571" s="93"/>
      <c r="AT571" s="93"/>
      <c r="AU571" s="93"/>
      <c r="AV571" s="93"/>
      <c r="AW571" s="93"/>
      <c r="AX571" s="93"/>
      <c r="AY571" s="93" t="s">
        <v>2144</v>
      </c>
      <c r="AZ571" s="93"/>
      <c r="BA571" s="93"/>
      <c r="BB571" s="93"/>
      <c r="BC571" s="93"/>
      <c r="BD571" s="93"/>
      <c r="BE571" s="93"/>
      <c r="BF571" s="93"/>
      <c r="BG571" s="93"/>
      <c r="BH571" s="93"/>
      <c r="BI571" s="93"/>
      <c r="BJ571" s="93"/>
      <c r="BK571" s="93"/>
      <c r="BL571" s="93"/>
      <c r="BM571" s="93"/>
      <c r="BN571" s="93"/>
      <c r="BT571" s="93"/>
      <c r="BU571" s="93"/>
      <c r="BV571" s="93"/>
      <c r="BW571" s="93"/>
      <c r="BX571" s="93"/>
      <c r="BY571" s="93"/>
      <c r="BZ571" s="93"/>
      <c r="CA571" s="93"/>
      <c r="CB571" s="93"/>
      <c r="CC571" s="93"/>
      <c r="CD571" s="93"/>
      <c r="CE571" s="93"/>
      <c r="CF571" s="93"/>
      <c r="CG571" s="93"/>
      <c r="CI571" s="93"/>
      <c r="CJ571" s="93"/>
      <c r="CK571" s="93"/>
      <c r="CL571" s="93"/>
      <c r="CM571" s="93"/>
      <c r="CN571" s="93"/>
      <c r="CO571" s="93"/>
      <c r="CP571" s="93"/>
      <c r="CQ571" s="93"/>
      <c r="CR571" s="93"/>
      <c r="CS571" s="93"/>
      <c r="CT571" s="93"/>
      <c r="CU571" s="93"/>
      <c r="CV571" s="93"/>
      <c r="CW571" s="93"/>
      <c r="CX571" s="93"/>
      <c r="CY571" s="93"/>
      <c r="CZ571" s="93"/>
      <c r="DA571" s="93"/>
      <c r="DB571" s="93"/>
      <c r="DC571" s="93"/>
      <c r="DD571" s="93"/>
      <c r="DE571" s="826"/>
      <c r="DF571" s="826"/>
      <c r="DG571" s="826"/>
      <c r="DH571" s="826"/>
      <c r="DI571" s="826"/>
      <c r="DJ571" s="826"/>
      <c r="GP571" s="831"/>
    </row>
    <row r="572" spans="1:198" ht="15">
      <c r="A572" s="767" t="s">
        <v>7421</v>
      </c>
      <c r="D572" s="935" t="s">
        <v>396</v>
      </c>
      <c r="E572" s="1042" t="s">
        <v>396</v>
      </c>
      <c r="G572" s="827"/>
      <c r="H572" s="809" t="s">
        <v>8921</v>
      </c>
      <c r="I572" s="92">
        <v>32</v>
      </c>
      <c r="J572" s="92" t="s">
        <v>18</v>
      </c>
      <c r="K572" s="92" t="s">
        <v>722</v>
      </c>
      <c r="L572" s="810">
        <v>5</v>
      </c>
      <c r="M572" s="811" t="str">
        <f t="shared" si="38"/>
        <v>High School Graduate</v>
      </c>
      <c r="N572" s="92" t="s">
        <v>1208</v>
      </c>
      <c r="O572" s="92" t="s">
        <v>8922</v>
      </c>
      <c r="P572" s="1638"/>
      <c r="Q572" s="92" t="s">
        <v>8922</v>
      </c>
      <c r="R572" s="92" t="s">
        <v>8285</v>
      </c>
      <c r="S572" s="848">
        <v>5980</v>
      </c>
      <c r="T572" s="820"/>
      <c r="U572" s="820"/>
      <c r="W572" s="815">
        <v>4</v>
      </c>
      <c r="X572" s="811" t="str">
        <f t="shared" si="36"/>
        <v>Other Province</v>
      </c>
      <c r="AB572" s="814"/>
      <c r="AC572" s="809"/>
      <c r="AD572" s="824"/>
      <c r="AG572" s="807" t="str">
        <f t="shared" si="39"/>
        <v/>
      </c>
      <c r="AI572" s="817"/>
      <c r="AJ572" s="817"/>
      <c r="AK572" s="92"/>
      <c r="AM572" s="819"/>
      <c r="AN572" s="820"/>
      <c r="AQ572" s="93"/>
      <c r="AR572" s="93"/>
      <c r="AS572" s="93"/>
      <c r="AT572" s="93"/>
      <c r="AU572" s="93"/>
      <c r="AV572" s="93"/>
      <c r="AW572" s="93"/>
      <c r="AX572" s="93"/>
      <c r="AY572" s="93"/>
      <c r="AZ572" s="93"/>
      <c r="BA572" s="93"/>
      <c r="BB572" s="93"/>
      <c r="BL572" s="93"/>
      <c r="BM572" s="93">
        <v>1</v>
      </c>
      <c r="BT572" s="93"/>
      <c r="BU572" s="93"/>
      <c r="BV572" s="93"/>
      <c r="BW572" s="93"/>
      <c r="BX572" s="93"/>
      <c r="BY572" s="93"/>
      <c r="BZ572" s="93"/>
      <c r="CA572" s="93"/>
      <c r="CB572" s="93"/>
      <c r="CC572" s="93"/>
      <c r="CF572" s="93"/>
      <c r="CG572" s="93"/>
      <c r="CH572" s="93"/>
      <c r="CI572" s="93"/>
      <c r="CJ572" s="93"/>
      <c r="CK572" s="93"/>
      <c r="CL572" s="93"/>
      <c r="CM572" s="93"/>
      <c r="CN572" s="93"/>
      <c r="CO572" s="93"/>
      <c r="CP572" s="93"/>
      <c r="CQ572" s="93"/>
      <c r="CR572" s="93"/>
      <c r="CS572" s="93"/>
      <c r="CT572" s="93"/>
      <c r="CU572" s="93"/>
      <c r="CV572" s="93"/>
      <c r="CW572" s="93"/>
      <c r="CX572" s="93"/>
      <c r="CY572" s="93"/>
      <c r="CZ572" s="93"/>
      <c r="DA572" s="93"/>
      <c r="DB572" s="93"/>
      <c r="DC572" s="93"/>
      <c r="DD572" s="93"/>
      <c r="DE572" s="93"/>
      <c r="DF572" s="93"/>
      <c r="DG572" s="93"/>
      <c r="DH572" s="93"/>
      <c r="DI572" s="93"/>
      <c r="DJ572" s="93"/>
      <c r="DK572" s="93"/>
      <c r="DL572" s="93"/>
      <c r="DM572" s="93"/>
      <c r="DN572" s="93"/>
      <c r="DO572" s="93"/>
    </row>
    <row r="573" spans="1:198" s="92" customFormat="1" ht="15">
      <c r="A573" s="767" t="s">
        <v>7421</v>
      </c>
      <c r="D573" s="935" t="s">
        <v>396</v>
      </c>
      <c r="E573" s="1042" t="s">
        <v>396</v>
      </c>
      <c r="G573" s="827"/>
      <c r="H573" s="809" t="s">
        <v>8923</v>
      </c>
      <c r="I573" s="92">
        <v>6</v>
      </c>
      <c r="J573" s="92" t="s">
        <v>18</v>
      </c>
      <c r="K573" s="92" t="s">
        <v>768</v>
      </c>
      <c r="L573" s="810">
        <v>1</v>
      </c>
      <c r="M573" s="811" t="str">
        <f t="shared" si="38"/>
        <v>Pre-school</v>
      </c>
      <c r="P573" s="1638"/>
      <c r="S573" s="848"/>
      <c r="T573" s="813"/>
      <c r="U573" s="813"/>
      <c r="V573" s="864"/>
      <c r="W573" s="838"/>
      <c r="X573" s="811" t="str">
        <f t="shared" si="36"/>
        <v/>
      </c>
      <c r="Y573" s="836"/>
      <c r="Z573" s="836"/>
      <c r="AA573" s="836"/>
      <c r="AB573" s="864"/>
      <c r="AC573" s="809"/>
      <c r="AD573" s="824"/>
      <c r="AE573" s="93"/>
      <c r="AF573" s="818"/>
      <c r="AG573" s="807" t="str">
        <f t="shared" si="39"/>
        <v/>
      </c>
      <c r="AH573" s="807"/>
      <c r="AI573" s="807"/>
      <c r="AJ573" s="807"/>
      <c r="AM573" s="819"/>
      <c r="AN573" s="820"/>
      <c r="AO573" s="817"/>
      <c r="AP573" s="820"/>
      <c r="AQ573" s="93"/>
      <c r="AR573" s="93"/>
      <c r="AS573" s="93"/>
      <c r="AT573" s="93"/>
      <c r="AU573" s="93"/>
      <c r="AV573" s="93"/>
      <c r="AW573" s="93"/>
      <c r="AX573" s="93"/>
      <c r="AY573" s="93"/>
      <c r="AZ573" s="93"/>
      <c r="BA573" s="93"/>
      <c r="BB573" s="93"/>
      <c r="BC573" s="93"/>
      <c r="BD573" s="93"/>
      <c r="BE573" s="93"/>
      <c r="BF573" s="93"/>
      <c r="BG573" s="93"/>
      <c r="BH573" s="93"/>
      <c r="BI573" s="93"/>
      <c r="BJ573" s="93"/>
      <c r="BK573" s="93"/>
      <c r="BL573" s="93"/>
      <c r="BM573" s="93"/>
      <c r="BN573" s="93"/>
      <c r="BT573" s="93"/>
      <c r="BU573" s="93"/>
      <c r="BV573" s="93"/>
      <c r="BW573" s="93"/>
      <c r="BX573" s="93"/>
      <c r="BY573" s="93"/>
      <c r="BZ573" s="93"/>
      <c r="CA573" s="93"/>
      <c r="CB573" s="93"/>
      <c r="CC573" s="93"/>
      <c r="CD573" s="93"/>
      <c r="CE573" s="93"/>
      <c r="CF573" s="93"/>
      <c r="CG573" s="93"/>
      <c r="CI573" s="93"/>
      <c r="CJ573" s="93"/>
      <c r="CK573" s="93"/>
      <c r="CL573" s="93"/>
      <c r="CM573" s="93"/>
      <c r="CN573" s="93"/>
      <c r="CO573" s="93"/>
      <c r="CP573" s="93"/>
      <c r="CQ573" s="93"/>
      <c r="CR573" s="93"/>
      <c r="CS573" s="93"/>
      <c r="CT573" s="93"/>
      <c r="CU573" s="93"/>
      <c r="CV573" s="93"/>
      <c r="CW573" s="93"/>
      <c r="CX573" s="93"/>
      <c r="CY573" s="93"/>
      <c r="CZ573" s="93"/>
      <c r="DA573" s="93"/>
      <c r="DB573" s="93"/>
      <c r="DC573" s="93"/>
      <c r="DD573" s="93"/>
      <c r="DE573" s="826"/>
      <c r="DF573" s="826"/>
      <c r="DG573" s="826"/>
      <c r="DH573" s="826"/>
      <c r="DI573" s="826"/>
      <c r="DJ573" s="826"/>
      <c r="GP573" s="831"/>
    </row>
    <row r="574" spans="1:198" ht="15">
      <c r="A574" s="767" t="s">
        <v>7421</v>
      </c>
      <c r="D574" s="935" t="s">
        <v>396</v>
      </c>
      <c r="E574" s="1042" t="s">
        <v>396</v>
      </c>
      <c r="G574" s="827"/>
      <c r="H574" s="809" t="s">
        <v>8924</v>
      </c>
      <c r="I574" s="92">
        <v>2</v>
      </c>
      <c r="J574" s="92" t="s">
        <v>10</v>
      </c>
      <c r="K574" s="92" t="s">
        <v>768</v>
      </c>
      <c r="L574" s="810">
        <v>10</v>
      </c>
      <c r="M574" s="811" t="str">
        <f t="shared" si="38"/>
        <v>Not In School Age</v>
      </c>
      <c r="O574" s="92"/>
      <c r="P574" s="1638"/>
      <c r="Q574" s="92"/>
      <c r="R574" s="92"/>
      <c r="S574" s="848"/>
      <c r="T574" s="820"/>
      <c r="U574" s="820"/>
      <c r="V574" s="814">
        <f>SUM(T571:U574)</f>
        <v>6540</v>
      </c>
      <c r="X574" s="811" t="str">
        <f t="shared" ref="X574:X626" si="40">IF(ISBLANK(W574)=TRUE,"",LOOKUP(W574,GO:GP))</f>
        <v/>
      </c>
      <c r="AB574" s="814">
        <f>SUM(Z571:AA574)</f>
        <v>0</v>
      </c>
      <c r="AC574" s="809"/>
      <c r="AD574" s="824"/>
      <c r="AG574" s="807" t="str">
        <f t="shared" si="39"/>
        <v/>
      </c>
      <c r="AI574" s="817"/>
      <c r="AJ574" s="817"/>
      <c r="AK574" s="92"/>
      <c r="AM574" s="819"/>
      <c r="AN574" s="820"/>
      <c r="AQ574" s="93"/>
      <c r="AR574" s="93"/>
      <c r="AS574" s="93"/>
      <c r="AT574" s="93"/>
      <c r="AU574" s="93"/>
      <c r="AV574" s="93"/>
      <c r="AW574" s="93"/>
      <c r="AX574" s="93"/>
      <c r="AY574" s="93"/>
      <c r="AZ574" s="93"/>
      <c r="BA574" s="93"/>
      <c r="BB574" s="93"/>
      <c r="BL574" s="93"/>
      <c r="BM574" s="93"/>
      <c r="BT574" s="93"/>
      <c r="BU574" s="93"/>
      <c r="BV574" s="93"/>
      <c r="BW574" s="93"/>
      <c r="BX574" s="93"/>
      <c r="BY574" s="93"/>
      <c r="BZ574" s="93"/>
      <c r="CA574" s="93"/>
      <c r="CB574" s="93"/>
      <c r="CC574" s="93"/>
      <c r="CF574" s="93"/>
      <c r="CG574" s="93"/>
      <c r="CH574" s="93"/>
      <c r="CI574" s="93"/>
      <c r="CJ574" s="93"/>
      <c r="CK574" s="93"/>
      <c r="CL574" s="93"/>
      <c r="CM574" s="93"/>
      <c r="CN574" s="93"/>
      <c r="CO574" s="93"/>
      <c r="CP574" s="93"/>
      <c r="CQ574" s="93"/>
      <c r="CR574" s="93"/>
      <c r="CS574" s="93"/>
      <c r="CT574" s="93"/>
      <c r="CU574" s="93"/>
      <c r="CV574" s="93"/>
      <c r="CW574" s="93"/>
      <c r="CX574" s="93"/>
      <c r="CY574" s="93"/>
      <c r="CZ574" s="93"/>
      <c r="DA574" s="93"/>
      <c r="DB574" s="93"/>
      <c r="DC574" s="93"/>
      <c r="DD574" s="93"/>
      <c r="DE574" s="93"/>
      <c r="DF574" s="93"/>
      <c r="DG574" s="93"/>
      <c r="DH574" s="93"/>
      <c r="DI574" s="93"/>
      <c r="DJ574" s="93"/>
      <c r="DK574" s="93"/>
      <c r="DL574" s="93"/>
      <c r="DM574" s="93"/>
      <c r="DN574" s="93"/>
      <c r="DO574" s="93"/>
    </row>
    <row r="575" spans="1:198" s="92" customFormat="1" ht="15">
      <c r="A575" s="767" t="s">
        <v>7421</v>
      </c>
      <c r="B575" s="292" t="s">
        <v>7596</v>
      </c>
      <c r="C575" s="148" t="s">
        <v>401</v>
      </c>
      <c r="D575" s="1067" t="s">
        <v>401</v>
      </c>
      <c r="E575" s="1042" t="s">
        <v>401</v>
      </c>
      <c r="F575" s="1047" t="s">
        <v>2086</v>
      </c>
      <c r="G575" s="831" t="s">
        <v>401</v>
      </c>
      <c r="H575" s="831" t="s">
        <v>2086</v>
      </c>
      <c r="I575" s="92">
        <v>28</v>
      </c>
      <c r="J575" s="92" t="s">
        <v>10</v>
      </c>
      <c r="K575" s="92" t="s">
        <v>722</v>
      </c>
      <c r="L575" s="810">
        <v>4</v>
      </c>
      <c r="M575" s="811" t="str">
        <f t="shared" si="38"/>
        <v>High School Level</v>
      </c>
      <c r="N575" s="826" t="s">
        <v>1208</v>
      </c>
      <c r="O575" s="92" t="s">
        <v>8925</v>
      </c>
      <c r="P575" s="1638" t="s">
        <v>12596</v>
      </c>
      <c r="Q575" s="92" t="s">
        <v>8925</v>
      </c>
      <c r="R575" s="92" t="s">
        <v>8234</v>
      </c>
      <c r="S575" s="836"/>
      <c r="T575" s="880"/>
      <c r="U575" s="880">
        <f>SUM(4500,500)</f>
        <v>5000</v>
      </c>
      <c r="V575" s="849"/>
      <c r="W575" s="838">
        <v>1</v>
      </c>
      <c r="X575" s="811" t="str">
        <f t="shared" si="40"/>
        <v>within the Brgy</v>
      </c>
      <c r="Y575" s="836"/>
      <c r="Z575" s="836"/>
      <c r="AA575" s="836"/>
      <c r="AB575" s="849"/>
      <c r="AC575" s="831" t="s">
        <v>2222</v>
      </c>
      <c r="AD575" s="881"/>
      <c r="AE575" s="826"/>
      <c r="AF575" s="882"/>
      <c r="AG575" s="807" t="str">
        <f t="shared" si="39"/>
        <v/>
      </c>
      <c r="AH575" s="826"/>
      <c r="AI575" s="826"/>
      <c r="AJ575" s="826"/>
      <c r="AK575" s="843"/>
      <c r="AL575" s="883"/>
      <c r="AM575" s="884"/>
      <c r="AN575" s="885"/>
      <c r="AO575" s="886"/>
      <c r="AP575" s="887"/>
      <c r="AR575" s="826" t="s">
        <v>2146</v>
      </c>
      <c r="AS575" s="826" t="s">
        <v>2144</v>
      </c>
      <c r="AT575" s="826"/>
      <c r="AU575" s="826"/>
      <c r="AV575" s="826"/>
      <c r="AW575" s="826"/>
      <c r="AY575" s="826"/>
      <c r="AZ575" s="826"/>
      <c r="BA575" s="826"/>
      <c r="BB575" s="826"/>
      <c r="BC575" s="826"/>
      <c r="BD575" s="826" t="s">
        <v>2145</v>
      </c>
      <c r="BE575" s="826"/>
      <c r="BF575" s="826"/>
      <c r="BG575" s="826"/>
      <c r="BH575" s="826"/>
      <c r="BI575" s="826"/>
      <c r="BJ575" s="826"/>
      <c r="BK575" s="826"/>
      <c r="BL575" s="826"/>
      <c r="BM575" s="826"/>
      <c r="BN575" s="826"/>
      <c r="BT575" s="826"/>
      <c r="BU575" s="826"/>
      <c r="BV575" s="826"/>
      <c r="BW575" s="826"/>
      <c r="BX575" s="826"/>
      <c r="BY575" s="826"/>
      <c r="BZ575" s="826"/>
      <c r="CA575" s="826"/>
      <c r="CB575" s="826"/>
      <c r="CC575" s="826"/>
      <c r="CD575" s="826"/>
      <c r="CE575" s="826"/>
      <c r="CG575" s="826"/>
      <c r="CI575" s="826"/>
      <c r="CJ575" s="826"/>
      <c r="CK575" s="826"/>
      <c r="CL575" s="826"/>
      <c r="CM575" s="826"/>
      <c r="CN575" s="826"/>
      <c r="CO575" s="826"/>
      <c r="CP575" s="826"/>
      <c r="CQ575" s="826"/>
      <c r="CR575" s="826"/>
      <c r="CT575" s="826"/>
      <c r="CU575" s="826"/>
      <c r="CV575" s="826"/>
      <c r="CW575" s="826"/>
      <c r="CX575" s="826"/>
      <c r="CY575" s="826"/>
      <c r="CZ575" s="826"/>
      <c r="DA575" s="826"/>
      <c r="DB575" s="826"/>
      <c r="DC575" s="826"/>
      <c r="DD575" s="826"/>
      <c r="DE575" s="826"/>
      <c r="DF575" s="826"/>
      <c r="DG575" s="826"/>
      <c r="DH575" s="826"/>
      <c r="DI575" s="826"/>
      <c r="DJ575" s="826"/>
      <c r="GP575" s="831"/>
    </row>
    <row r="576" spans="1:198" s="92" customFormat="1" ht="15">
      <c r="A576" s="767" t="s">
        <v>7421</v>
      </c>
      <c r="D576" s="1067" t="s">
        <v>401</v>
      </c>
      <c r="E576" s="1042" t="s">
        <v>401</v>
      </c>
      <c r="G576" s="835"/>
      <c r="H576" s="831" t="s">
        <v>2169</v>
      </c>
      <c r="I576" s="92">
        <v>22</v>
      </c>
      <c r="J576" s="92" t="s">
        <v>18</v>
      </c>
      <c r="K576" s="92" t="s">
        <v>722</v>
      </c>
      <c r="L576" s="810">
        <v>4</v>
      </c>
      <c r="M576" s="811" t="str">
        <f t="shared" si="38"/>
        <v>High School Level</v>
      </c>
      <c r="N576" s="826" t="s">
        <v>1208</v>
      </c>
      <c r="O576" s="92" t="s">
        <v>8310</v>
      </c>
      <c r="P576" s="1638"/>
      <c r="Q576" s="92" t="s">
        <v>8310</v>
      </c>
      <c r="R576" s="92" t="s">
        <v>8285</v>
      </c>
      <c r="S576" s="879">
        <v>6520</v>
      </c>
      <c r="T576" s="880"/>
      <c r="U576" s="880"/>
      <c r="V576" s="849"/>
      <c r="W576" s="838">
        <v>1</v>
      </c>
      <c r="X576" s="811" t="str">
        <f t="shared" si="40"/>
        <v>within the Brgy</v>
      </c>
      <c r="Y576" s="836"/>
      <c r="Z576" s="836"/>
      <c r="AA576" s="836"/>
      <c r="AB576" s="849"/>
      <c r="AC576" s="831" t="s">
        <v>8310</v>
      </c>
      <c r="AD576" s="881"/>
      <c r="AE576" s="826"/>
      <c r="AF576" s="882"/>
      <c r="AG576" s="807" t="str">
        <f t="shared" si="39"/>
        <v/>
      </c>
      <c r="AH576" s="826"/>
      <c r="AI576" s="826"/>
      <c r="AJ576" s="826"/>
      <c r="AK576" s="843"/>
      <c r="AL576" s="883"/>
      <c r="AM576" s="884"/>
      <c r="AN576" s="885"/>
      <c r="AO576" s="886"/>
      <c r="AP576" s="887"/>
      <c r="AR576" s="826"/>
      <c r="AS576" s="826"/>
      <c r="AT576" s="826"/>
      <c r="AU576" s="826"/>
      <c r="AV576" s="826"/>
      <c r="AW576" s="826"/>
      <c r="AX576" s="826"/>
      <c r="AY576" s="826"/>
      <c r="AZ576" s="826"/>
      <c r="BA576" s="826"/>
      <c r="BB576" s="826"/>
      <c r="BC576" s="826"/>
      <c r="BD576" s="826"/>
      <c r="BE576" s="826"/>
      <c r="BF576" s="826"/>
      <c r="BG576" s="826"/>
      <c r="BH576" s="826"/>
      <c r="BI576" s="826"/>
      <c r="BJ576" s="826"/>
      <c r="BK576" s="826"/>
      <c r="BL576" s="826"/>
      <c r="BM576" s="826"/>
      <c r="BN576" s="826"/>
      <c r="BT576" s="826"/>
      <c r="BU576" s="826"/>
      <c r="BV576" s="826"/>
      <c r="BW576" s="826"/>
      <c r="BX576" s="826"/>
      <c r="BY576" s="826"/>
      <c r="BZ576" s="826"/>
      <c r="CA576" s="826"/>
      <c r="CB576" s="826"/>
      <c r="CC576" s="826"/>
      <c r="CD576" s="826"/>
      <c r="CE576" s="826"/>
      <c r="CF576" s="826" t="s">
        <v>2145</v>
      </c>
      <c r="CG576" s="826"/>
      <c r="CH576" s="826"/>
      <c r="CI576" s="826"/>
      <c r="CJ576" s="826"/>
      <c r="CK576" s="826"/>
      <c r="CL576" s="826"/>
      <c r="CM576" s="826"/>
      <c r="CN576" s="826"/>
      <c r="CO576" s="826"/>
      <c r="CP576" s="826"/>
      <c r="CQ576" s="826"/>
      <c r="CR576" s="826"/>
      <c r="CS576" s="826" t="s">
        <v>2144</v>
      </c>
      <c r="CT576" s="826"/>
      <c r="CU576" s="826"/>
      <c r="CV576" s="826"/>
      <c r="CW576" s="826"/>
      <c r="CX576" s="826"/>
      <c r="CY576" s="826"/>
      <c r="CZ576" s="826"/>
      <c r="DA576" s="826"/>
      <c r="DB576" s="826"/>
      <c r="DC576" s="826"/>
      <c r="DD576" s="826"/>
      <c r="DE576" s="826"/>
      <c r="DF576" s="826"/>
      <c r="DG576" s="826"/>
      <c r="DH576" s="826"/>
      <c r="DI576" s="826"/>
      <c r="DJ576" s="826"/>
      <c r="GP576" s="831"/>
    </row>
    <row r="577" spans="1:198" s="92" customFormat="1" ht="15">
      <c r="A577" s="767" t="s">
        <v>7421</v>
      </c>
      <c r="D577" s="1067" t="s">
        <v>401</v>
      </c>
      <c r="E577" s="1042" t="s">
        <v>401</v>
      </c>
      <c r="G577" s="835"/>
      <c r="H577" s="831" t="s">
        <v>8926</v>
      </c>
      <c r="I577" s="92">
        <v>3</v>
      </c>
      <c r="J577" s="92" t="s">
        <v>10</v>
      </c>
      <c r="K577" s="92" t="s">
        <v>768</v>
      </c>
      <c r="L577" s="810">
        <v>10</v>
      </c>
      <c r="M577" s="811" t="str">
        <f t="shared" si="38"/>
        <v>Not In School Age</v>
      </c>
      <c r="N577" s="826"/>
      <c r="P577" s="1638"/>
      <c r="S577" s="879"/>
      <c r="T577" s="880"/>
      <c r="U577" s="880"/>
      <c r="V577" s="849">
        <f>SUM(S575:U577)</f>
        <v>11520</v>
      </c>
      <c r="W577" s="838"/>
      <c r="X577" s="811" t="str">
        <f t="shared" si="40"/>
        <v/>
      </c>
      <c r="Y577" s="836"/>
      <c r="Z577" s="836"/>
      <c r="AA577" s="836"/>
      <c r="AB577" s="849">
        <f>SUM(Y575:AA577)</f>
        <v>0</v>
      </c>
      <c r="AC577" s="831"/>
      <c r="AD577" s="881"/>
      <c r="AE577" s="826"/>
      <c r="AF577" s="882"/>
      <c r="AG577" s="807" t="str">
        <f t="shared" si="39"/>
        <v/>
      </c>
      <c r="AH577" s="826"/>
      <c r="AI577" s="826"/>
      <c r="AJ577" s="826"/>
      <c r="AK577" s="843"/>
      <c r="AL577" s="883"/>
      <c r="AM577" s="884"/>
      <c r="AN577" s="885"/>
      <c r="AO577" s="886"/>
      <c r="AP577" s="887"/>
      <c r="AR577" s="826"/>
      <c r="AS577" s="826"/>
      <c r="AT577" s="826"/>
      <c r="AU577" s="826"/>
      <c r="AV577" s="826"/>
      <c r="AW577" s="826"/>
      <c r="AX577" s="826"/>
      <c r="AY577" s="826"/>
      <c r="AZ577" s="826"/>
      <c r="BA577" s="826"/>
      <c r="BB577" s="826"/>
      <c r="BC577" s="826"/>
      <c r="BD577" s="826"/>
      <c r="BE577" s="826"/>
      <c r="BF577" s="826"/>
      <c r="BG577" s="826"/>
      <c r="BH577" s="826"/>
      <c r="BI577" s="826"/>
      <c r="BJ577" s="826"/>
      <c r="BK577" s="826"/>
      <c r="BL577" s="826"/>
      <c r="BM577" s="826"/>
      <c r="BN577" s="826"/>
      <c r="BT577" s="826"/>
      <c r="BU577" s="826"/>
      <c r="BV577" s="826"/>
      <c r="BW577" s="826"/>
      <c r="BX577" s="826"/>
      <c r="BY577" s="826"/>
      <c r="BZ577" s="826"/>
      <c r="CA577" s="826"/>
      <c r="CB577" s="826"/>
      <c r="CC577" s="826"/>
      <c r="CD577" s="826"/>
      <c r="CE577" s="826"/>
      <c r="CF577" s="826"/>
      <c r="CG577" s="826"/>
      <c r="CH577" s="826"/>
      <c r="CI577" s="826"/>
      <c r="CJ577" s="826"/>
      <c r="CK577" s="826"/>
      <c r="CL577" s="826"/>
      <c r="CM577" s="826"/>
      <c r="CN577" s="826"/>
      <c r="CO577" s="826"/>
      <c r="CP577" s="826"/>
      <c r="CQ577" s="826"/>
      <c r="CR577" s="826"/>
      <c r="CS577" s="826"/>
      <c r="CT577" s="826"/>
      <c r="CU577" s="826"/>
      <c r="CV577" s="826"/>
      <c r="CW577" s="826"/>
      <c r="CX577" s="826"/>
      <c r="CY577" s="826"/>
      <c r="CZ577" s="826"/>
      <c r="DA577" s="826"/>
      <c r="DB577" s="826"/>
      <c r="DC577" s="826"/>
      <c r="DD577" s="826"/>
      <c r="DE577" s="826"/>
      <c r="DF577" s="826"/>
      <c r="DG577" s="826"/>
      <c r="DH577" s="826"/>
      <c r="DI577" s="826"/>
      <c r="DJ577" s="826"/>
      <c r="GP577" s="831"/>
    </row>
    <row r="578" spans="1:198" s="92" customFormat="1" ht="15">
      <c r="A578" s="767" t="s">
        <v>7421</v>
      </c>
      <c r="B578" s="292" t="s">
        <v>7601</v>
      </c>
      <c r="C578" s="148" t="s">
        <v>403</v>
      </c>
      <c r="D578" s="1067" t="s">
        <v>403</v>
      </c>
      <c r="E578" s="1042" t="s">
        <v>403</v>
      </c>
      <c r="F578" s="1047" t="s">
        <v>7230</v>
      </c>
      <c r="G578" s="831" t="s">
        <v>403</v>
      </c>
      <c r="H578" s="831" t="s">
        <v>2087</v>
      </c>
      <c r="I578" s="92">
        <v>31</v>
      </c>
      <c r="J578" s="92" t="s">
        <v>10</v>
      </c>
      <c r="K578" s="92" t="s">
        <v>722</v>
      </c>
      <c r="L578" s="810">
        <v>5</v>
      </c>
      <c r="M578" s="811" t="str">
        <f t="shared" si="38"/>
        <v>High School Graduate</v>
      </c>
      <c r="N578" s="92" t="s">
        <v>1208</v>
      </c>
      <c r="O578" s="92" t="s">
        <v>8927</v>
      </c>
      <c r="P578" s="1638" t="s">
        <v>12601</v>
      </c>
      <c r="Q578" s="92" t="s">
        <v>8927</v>
      </c>
      <c r="R578" s="92" t="s">
        <v>8234</v>
      </c>
      <c r="S578" s="836">
        <v>1540</v>
      </c>
      <c r="T578" s="880"/>
      <c r="U578" s="887">
        <v>7200</v>
      </c>
      <c r="V578" s="837"/>
      <c r="W578" s="838">
        <v>3</v>
      </c>
      <c r="X578" s="811" t="str">
        <f t="shared" si="40"/>
        <v>within the Province</v>
      </c>
      <c r="Y578" s="836">
        <v>200</v>
      </c>
      <c r="Z578" s="836"/>
      <c r="AA578" s="836"/>
      <c r="AB578" s="837"/>
      <c r="AC578" s="831" t="s">
        <v>8928</v>
      </c>
      <c r="AD578" s="881"/>
      <c r="AE578" s="826"/>
      <c r="AF578" s="882"/>
      <c r="AG578" s="807" t="str">
        <f t="shared" si="39"/>
        <v/>
      </c>
      <c r="AH578" s="826"/>
      <c r="AI578" s="826"/>
      <c r="AJ578" s="826"/>
      <c r="AK578" s="843"/>
      <c r="AL578" s="883"/>
      <c r="AM578" s="884"/>
      <c r="AN578" s="885"/>
      <c r="AO578" s="886"/>
      <c r="AP578" s="887"/>
      <c r="AR578" s="826" t="s">
        <v>2145</v>
      </c>
      <c r="AS578" s="826"/>
      <c r="AT578" s="826"/>
      <c r="AU578" s="826"/>
      <c r="AV578" s="826"/>
      <c r="AW578" s="826"/>
      <c r="AX578" s="826"/>
      <c r="AY578" s="826"/>
      <c r="AZ578" s="826"/>
      <c r="BA578" s="826">
        <v>1</v>
      </c>
      <c r="BB578" s="826" t="s">
        <v>2146</v>
      </c>
      <c r="BC578" s="826"/>
      <c r="BD578" s="826"/>
      <c r="BE578" s="826"/>
      <c r="BF578" s="826"/>
      <c r="BG578" s="826"/>
      <c r="BH578" s="826"/>
      <c r="BI578" s="826"/>
      <c r="BJ578" s="826"/>
      <c r="BK578" s="826"/>
      <c r="BL578" s="826"/>
      <c r="BM578" s="826"/>
      <c r="BN578" s="826"/>
      <c r="BT578" s="826"/>
      <c r="BU578" s="826"/>
      <c r="BV578" s="826"/>
      <c r="BW578" s="826"/>
      <c r="BX578" s="826"/>
      <c r="BY578" s="826"/>
      <c r="BZ578" s="826"/>
      <c r="CA578" s="826"/>
      <c r="CB578" s="826"/>
      <c r="CC578" s="826"/>
      <c r="CD578" s="826"/>
      <c r="CE578" s="826"/>
      <c r="CF578" s="826"/>
      <c r="CG578" s="826"/>
      <c r="CH578" s="826"/>
      <c r="CI578" s="826"/>
      <c r="CJ578" s="826"/>
      <c r="CK578" s="826"/>
      <c r="CL578" s="826"/>
      <c r="CM578" s="826"/>
      <c r="CN578" s="826"/>
      <c r="CO578" s="826"/>
      <c r="CP578" s="826"/>
      <c r="CQ578" s="826"/>
      <c r="CR578" s="826"/>
      <c r="CS578" s="826"/>
      <c r="CT578" s="826"/>
      <c r="CU578" s="826"/>
      <c r="CV578" s="826"/>
      <c r="CW578" s="826"/>
      <c r="CX578" s="826"/>
      <c r="CY578" s="826"/>
      <c r="CZ578" s="826"/>
      <c r="DA578" s="826"/>
      <c r="DB578" s="826"/>
      <c r="DC578" s="826"/>
      <c r="DD578" s="826"/>
      <c r="DE578" s="826"/>
      <c r="DF578" s="826"/>
      <c r="DG578" s="826"/>
      <c r="DH578" s="826"/>
      <c r="DI578" s="826"/>
      <c r="DJ578" s="826"/>
      <c r="GP578" s="831"/>
    </row>
    <row r="579" spans="1:198" s="92" customFormat="1" ht="15">
      <c r="A579" s="767" t="s">
        <v>7421</v>
      </c>
      <c r="D579" s="1067" t="s">
        <v>403</v>
      </c>
      <c r="E579" s="1042" t="s">
        <v>403</v>
      </c>
      <c r="G579" s="835"/>
      <c r="H579" s="831" t="s">
        <v>8929</v>
      </c>
      <c r="I579" s="92">
        <v>24</v>
      </c>
      <c r="J579" s="92" t="s">
        <v>18</v>
      </c>
      <c r="K579" s="92" t="s">
        <v>722</v>
      </c>
      <c r="L579" s="810">
        <v>5</v>
      </c>
      <c r="M579" s="811" t="str">
        <f t="shared" si="38"/>
        <v>High School Graduate</v>
      </c>
      <c r="N579" s="826"/>
      <c r="P579" s="1638"/>
      <c r="S579" s="879"/>
      <c r="T579" s="880"/>
      <c r="U579" s="880"/>
      <c r="V579" s="837"/>
      <c r="W579" s="838"/>
      <c r="X579" s="811" t="str">
        <f t="shared" si="40"/>
        <v/>
      </c>
      <c r="Y579" s="836"/>
      <c r="Z579" s="836"/>
      <c r="AA579" s="836"/>
      <c r="AB579" s="837"/>
      <c r="AC579" s="831"/>
      <c r="AD579" s="881"/>
      <c r="AE579" s="826"/>
      <c r="AF579" s="882"/>
      <c r="AG579" s="807" t="str">
        <f t="shared" si="39"/>
        <v/>
      </c>
      <c r="AH579" s="826"/>
      <c r="AI579" s="826"/>
      <c r="AJ579" s="826"/>
      <c r="AK579" s="843"/>
      <c r="AL579" s="883"/>
      <c r="AM579" s="884"/>
      <c r="AN579" s="885"/>
      <c r="AO579" s="886"/>
      <c r="AP579" s="887"/>
      <c r="AR579" s="826"/>
      <c r="AS579" s="826"/>
      <c r="AT579" s="826"/>
      <c r="AU579" s="826"/>
      <c r="AV579" s="826"/>
      <c r="AW579" s="826"/>
      <c r="AX579" s="826"/>
      <c r="AY579" s="826"/>
      <c r="AZ579" s="826"/>
      <c r="BA579" s="826"/>
      <c r="BB579" s="826"/>
      <c r="BC579" s="826"/>
      <c r="BD579" s="826"/>
      <c r="BE579" s="826"/>
      <c r="BF579" s="826"/>
      <c r="BG579" s="826"/>
      <c r="BH579" s="826"/>
      <c r="BI579" s="826"/>
      <c r="BJ579" s="826"/>
      <c r="BK579" s="826"/>
      <c r="BL579" s="826"/>
      <c r="BM579" s="826"/>
      <c r="BN579" s="826"/>
      <c r="BT579" s="826"/>
      <c r="BU579" s="826"/>
      <c r="BV579" s="826"/>
      <c r="BW579" s="826"/>
      <c r="BX579" s="826"/>
      <c r="BY579" s="826"/>
      <c r="BZ579" s="826"/>
      <c r="CA579" s="826"/>
      <c r="CB579" s="826"/>
      <c r="CC579" s="826"/>
      <c r="CD579" s="826"/>
      <c r="CE579" s="826"/>
      <c r="CF579" s="826"/>
      <c r="CG579" s="826"/>
      <c r="CH579" s="826"/>
      <c r="CI579" s="826"/>
      <c r="CJ579" s="826"/>
      <c r="CK579" s="826"/>
      <c r="CL579" s="826"/>
      <c r="CM579" s="826"/>
      <c r="CN579" s="826"/>
      <c r="CO579" s="826"/>
      <c r="CP579" s="826"/>
      <c r="CQ579" s="826"/>
      <c r="CR579" s="826"/>
      <c r="CS579" s="826"/>
      <c r="CT579" s="826"/>
      <c r="CU579" s="826"/>
      <c r="CV579" s="826"/>
      <c r="CW579" s="826"/>
      <c r="CX579" s="826"/>
      <c r="CY579" s="826"/>
      <c r="CZ579" s="826"/>
      <c r="DA579" s="826"/>
      <c r="DB579" s="826"/>
      <c r="DC579" s="826"/>
      <c r="DD579" s="826"/>
      <c r="DE579" s="826"/>
      <c r="DF579" s="826"/>
      <c r="DG579" s="826"/>
      <c r="DH579" s="826"/>
      <c r="DI579" s="826"/>
      <c r="DJ579" s="826"/>
      <c r="GP579" s="831"/>
    </row>
    <row r="580" spans="1:198" s="92" customFormat="1" ht="15">
      <c r="A580" s="767" t="s">
        <v>7421</v>
      </c>
      <c r="D580" s="1067" t="s">
        <v>403</v>
      </c>
      <c r="E580" s="1042" t="s">
        <v>403</v>
      </c>
      <c r="G580" s="835"/>
      <c r="H580" s="831" t="s">
        <v>8930</v>
      </c>
      <c r="I580" s="92">
        <v>1</v>
      </c>
      <c r="J580" s="92" t="s">
        <v>10</v>
      </c>
      <c r="K580" s="92" t="s">
        <v>768</v>
      </c>
      <c r="L580" s="810">
        <v>10</v>
      </c>
      <c r="M580" s="811" t="str">
        <f t="shared" si="38"/>
        <v>Not In School Age</v>
      </c>
      <c r="N580" s="826"/>
      <c r="P580" s="1638"/>
      <c r="S580" s="879"/>
      <c r="T580" s="880"/>
      <c r="U580" s="880"/>
      <c r="V580" s="837"/>
      <c r="W580" s="838"/>
      <c r="X580" s="811" t="str">
        <f t="shared" si="40"/>
        <v/>
      </c>
      <c r="Y580" s="836"/>
      <c r="Z580" s="836"/>
      <c r="AA580" s="836"/>
      <c r="AB580" s="837"/>
      <c r="AC580" s="831"/>
      <c r="AD580" s="881"/>
      <c r="AE580" s="826"/>
      <c r="AF580" s="882"/>
      <c r="AG580" s="807" t="str">
        <f t="shared" si="39"/>
        <v/>
      </c>
      <c r="AH580" s="826"/>
      <c r="AI580" s="826"/>
      <c r="AJ580" s="826"/>
      <c r="AK580" s="843"/>
      <c r="AL580" s="883"/>
      <c r="AM580" s="884"/>
      <c r="AN580" s="885"/>
      <c r="AO580" s="886"/>
      <c r="AP580" s="887"/>
      <c r="AR580" s="826"/>
      <c r="AS580" s="826"/>
      <c r="AT580" s="826"/>
      <c r="AU580" s="826"/>
      <c r="AV580" s="826"/>
      <c r="AW580" s="826"/>
      <c r="AX580" s="826"/>
      <c r="AY580" s="826"/>
      <c r="AZ580" s="826"/>
      <c r="BA580" s="826"/>
      <c r="BB580" s="826"/>
      <c r="BC580" s="826"/>
      <c r="BD580" s="826"/>
      <c r="BE580" s="826"/>
      <c r="BF580" s="826"/>
      <c r="BG580" s="826"/>
      <c r="BH580" s="826"/>
      <c r="BI580" s="826"/>
      <c r="BJ580" s="826"/>
      <c r="BK580" s="826"/>
      <c r="BL580" s="826"/>
      <c r="BM580" s="826"/>
      <c r="BN580" s="826"/>
      <c r="BT580" s="826"/>
      <c r="BU580" s="826"/>
      <c r="BV580" s="826"/>
      <c r="BW580" s="826"/>
      <c r="BX580" s="826"/>
      <c r="BY580" s="826"/>
      <c r="BZ580" s="826"/>
      <c r="CA580" s="826"/>
      <c r="CB580" s="826"/>
      <c r="CC580" s="826"/>
      <c r="CD580" s="826"/>
      <c r="CE580" s="826"/>
      <c r="CF580" s="826"/>
      <c r="CG580" s="826"/>
      <c r="CH580" s="826"/>
      <c r="CI580" s="826"/>
      <c r="CJ580" s="826"/>
      <c r="CK580" s="826"/>
      <c r="CL580" s="826"/>
      <c r="CM580" s="826"/>
      <c r="CN580" s="826"/>
      <c r="CO580" s="826"/>
      <c r="CP580" s="826"/>
      <c r="CQ580" s="826"/>
      <c r="CR580" s="826"/>
      <c r="CS580" s="826"/>
      <c r="CT580" s="826"/>
      <c r="CU580" s="826"/>
      <c r="CV580" s="826"/>
      <c r="CW580" s="826"/>
      <c r="CX580" s="826"/>
      <c r="CY580" s="826"/>
      <c r="CZ580" s="826"/>
      <c r="DA580" s="826"/>
      <c r="DB580" s="826"/>
      <c r="DC580" s="826"/>
      <c r="DD580" s="826"/>
      <c r="DE580" s="826"/>
      <c r="DF580" s="826"/>
      <c r="DG580" s="826"/>
      <c r="DH580" s="826"/>
      <c r="DI580" s="826"/>
      <c r="DJ580" s="826"/>
      <c r="GP580" s="831"/>
    </row>
    <row r="581" spans="1:198" s="92" customFormat="1" ht="15">
      <c r="A581" s="767" t="s">
        <v>7421</v>
      </c>
      <c r="D581" s="1067" t="s">
        <v>403</v>
      </c>
      <c r="E581" s="1042" t="s">
        <v>403</v>
      </c>
      <c r="G581" s="835"/>
      <c r="H581" s="831" t="s">
        <v>8931</v>
      </c>
      <c r="I581" s="92">
        <v>4</v>
      </c>
      <c r="J581" s="92" t="s">
        <v>18</v>
      </c>
      <c r="K581" s="92" t="s">
        <v>768</v>
      </c>
      <c r="L581" s="810">
        <v>10</v>
      </c>
      <c r="M581" s="811" t="str">
        <f t="shared" si="38"/>
        <v>Not In School Age</v>
      </c>
      <c r="N581" s="826"/>
      <c r="P581" s="1638"/>
      <c r="S581" s="879"/>
      <c r="T581" s="880"/>
      <c r="U581" s="880"/>
      <c r="V581" s="837">
        <f>SUM(S578:U581)</f>
        <v>8740</v>
      </c>
      <c r="W581" s="838"/>
      <c r="X581" s="811" t="str">
        <f t="shared" si="40"/>
        <v/>
      </c>
      <c r="Y581" s="836"/>
      <c r="Z581" s="836"/>
      <c r="AA581" s="836"/>
      <c r="AB581" s="837">
        <f>SUM(Y578:AA581)</f>
        <v>200</v>
      </c>
      <c r="AC581" s="831"/>
      <c r="AD581" s="881"/>
      <c r="AE581" s="826"/>
      <c r="AF581" s="882"/>
      <c r="AG581" s="807" t="str">
        <f t="shared" si="39"/>
        <v/>
      </c>
      <c r="AH581" s="826"/>
      <c r="AI581" s="826"/>
      <c r="AJ581" s="826"/>
      <c r="AK581" s="843"/>
      <c r="AL581" s="883"/>
      <c r="AM581" s="884"/>
      <c r="AN581" s="885"/>
      <c r="AO581" s="886"/>
      <c r="AP581" s="887"/>
      <c r="AR581" s="826"/>
      <c r="AS581" s="826"/>
      <c r="AT581" s="826"/>
      <c r="AU581" s="826"/>
      <c r="AV581" s="826"/>
      <c r="AW581" s="826"/>
      <c r="AX581" s="826"/>
      <c r="AY581" s="826"/>
      <c r="AZ581" s="826"/>
      <c r="BA581" s="826"/>
      <c r="BB581" s="826"/>
      <c r="BC581" s="826"/>
      <c r="BD581" s="826"/>
      <c r="BE581" s="826"/>
      <c r="BF581" s="826"/>
      <c r="BG581" s="826"/>
      <c r="BH581" s="826"/>
      <c r="BI581" s="826"/>
      <c r="BJ581" s="826"/>
      <c r="BK581" s="826"/>
      <c r="BL581" s="826"/>
      <c r="BM581" s="826"/>
      <c r="BN581" s="826"/>
      <c r="BT581" s="826"/>
      <c r="BU581" s="826"/>
      <c r="BV581" s="826"/>
      <c r="BW581" s="826"/>
      <c r="BX581" s="826"/>
      <c r="BY581" s="826"/>
      <c r="BZ581" s="826"/>
      <c r="CA581" s="826"/>
      <c r="CB581" s="826"/>
      <c r="CC581" s="826"/>
      <c r="CD581" s="826"/>
      <c r="CE581" s="826"/>
      <c r="CF581" s="826"/>
      <c r="CG581" s="826"/>
      <c r="CH581" s="826"/>
      <c r="CI581" s="826"/>
      <c r="CJ581" s="826"/>
      <c r="CK581" s="826"/>
      <c r="CL581" s="826"/>
      <c r="CM581" s="826"/>
      <c r="CN581" s="826"/>
      <c r="CO581" s="826"/>
      <c r="CP581" s="826"/>
      <c r="CQ581" s="826"/>
      <c r="CR581" s="826"/>
      <c r="CS581" s="826"/>
      <c r="CT581" s="826"/>
      <c r="CU581" s="826"/>
      <c r="CV581" s="826"/>
      <c r="CW581" s="826"/>
      <c r="CX581" s="826"/>
      <c r="CY581" s="826"/>
      <c r="CZ581" s="826"/>
      <c r="DA581" s="826"/>
      <c r="DB581" s="826"/>
      <c r="DC581" s="826"/>
      <c r="DD581" s="826"/>
      <c r="DE581" s="826"/>
      <c r="DF581" s="826"/>
      <c r="DG581" s="826"/>
      <c r="DH581" s="826"/>
      <c r="DI581" s="826"/>
      <c r="DJ581" s="826"/>
      <c r="GP581" s="831"/>
    </row>
    <row r="582" spans="1:198" s="889" customFormat="1" ht="15">
      <c r="A582" s="767" t="s">
        <v>7421</v>
      </c>
      <c r="B582" s="292" t="s">
        <v>7597</v>
      </c>
      <c r="C582" s="148" t="s">
        <v>405</v>
      </c>
      <c r="D582" s="1068" t="s">
        <v>405</v>
      </c>
      <c r="E582" s="1042" t="s">
        <v>405</v>
      </c>
      <c r="F582" s="1047" t="s">
        <v>2088</v>
      </c>
      <c r="G582" s="890" t="s">
        <v>405</v>
      </c>
      <c r="H582" s="890" t="s">
        <v>2088</v>
      </c>
      <c r="I582" s="889">
        <v>28</v>
      </c>
      <c r="J582" s="889" t="s">
        <v>10</v>
      </c>
      <c r="K582" s="889" t="s">
        <v>722</v>
      </c>
      <c r="L582" s="810">
        <v>6</v>
      </c>
      <c r="M582" s="811" t="str">
        <f t="shared" si="38"/>
        <v>College Level</v>
      </c>
      <c r="N582" s="889" t="s">
        <v>1208</v>
      </c>
      <c r="O582" s="889" t="s">
        <v>8932</v>
      </c>
      <c r="P582" s="1638" t="s">
        <v>12602</v>
      </c>
      <c r="Q582" s="889" t="s">
        <v>8932</v>
      </c>
      <c r="R582" s="92" t="s">
        <v>8234</v>
      </c>
      <c r="S582" s="916">
        <v>1600</v>
      </c>
      <c r="T582" s="917"/>
      <c r="U582" s="917"/>
      <c r="V582" s="918"/>
      <c r="W582" s="896">
        <v>2</v>
      </c>
      <c r="X582" s="811" t="str">
        <f t="shared" si="40"/>
        <v>within the Municipality/City</v>
      </c>
      <c r="Y582" s="917"/>
      <c r="Z582" s="917"/>
      <c r="AA582" s="917"/>
      <c r="AB582" s="918"/>
      <c r="AC582" s="890" t="s">
        <v>2228</v>
      </c>
      <c r="AD582" s="919"/>
      <c r="AF582" s="891"/>
      <c r="AG582" s="807" t="str">
        <f t="shared" si="39"/>
        <v/>
      </c>
      <c r="AK582" s="899"/>
      <c r="AL582" s="899"/>
      <c r="AM582" s="920"/>
      <c r="AN582" s="921"/>
      <c r="AO582" s="902"/>
      <c r="AP582" s="903"/>
      <c r="BX582" s="889">
        <v>2</v>
      </c>
      <c r="CF582" s="889">
        <v>3</v>
      </c>
      <c r="CS582" s="889">
        <v>1</v>
      </c>
      <c r="GP582" s="890"/>
    </row>
    <row r="583" spans="1:198" s="92" customFormat="1" ht="15">
      <c r="A583" s="767" t="s">
        <v>7421</v>
      </c>
      <c r="D583" s="1068" t="s">
        <v>405</v>
      </c>
      <c r="E583" s="1042" t="s">
        <v>405</v>
      </c>
      <c r="G583" s="835"/>
      <c r="H583" s="831" t="s">
        <v>2170</v>
      </c>
      <c r="I583" s="92">
        <v>25</v>
      </c>
      <c r="J583" s="92" t="s">
        <v>18</v>
      </c>
      <c r="K583" s="92" t="s">
        <v>722</v>
      </c>
      <c r="L583" s="810">
        <v>6</v>
      </c>
      <c r="M583" s="811" t="str">
        <f t="shared" si="38"/>
        <v>College Level</v>
      </c>
      <c r="N583" s="92" t="s">
        <v>1208</v>
      </c>
      <c r="O583" s="92" t="s">
        <v>8933</v>
      </c>
      <c r="P583" s="1638"/>
      <c r="Q583" s="92" t="s">
        <v>8933</v>
      </c>
      <c r="R583" s="92" t="s">
        <v>10434</v>
      </c>
      <c r="S583" s="840">
        <v>3000</v>
      </c>
      <c r="T583" s="836"/>
      <c r="U583" s="836"/>
      <c r="V583" s="864"/>
      <c r="W583" s="838">
        <v>1</v>
      </c>
      <c r="X583" s="811" t="str">
        <f t="shared" si="40"/>
        <v>within the Brgy</v>
      </c>
      <c r="Y583" s="836"/>
      <c r="Z583" s="836"/>
      <c r="AA583" s="836"/>
      <c r="AB583" s="864"/>
      <c r="AC583" s="831" t="s">
        <v>8933</v>
      </c>
      <c r="AD583" s="824"/>
      <c r="AF583" s="810"/>
      <c r="AG583" s="807" t="str">
        <f t="shared" si="39"/>
        <v/>
      </c>
      <c r="AK583" s="843"/>
      <c r="AL583" s="843"/>
      <c r="AM583" s="844"/>
      <c r="AN583" s="922"/>
      <c r="AO583" s="821"/>
      <c r="AP583" s="839"/>
      <c r="GP583" s="831"/>
    </row>
    <row r="584" spans="1:198" s="92" customFormat="1" ht="15">
      <c r="A584" s="767" t="s">
        <v>7421</v>
      </c>
      <c r="D584" s="1068" t="s">
        <v>405</v>
      </c>
      <c r="E584" s="1042" t="s">
        <v>405</v>
      </c>
      <c r="G584" s="835"/>
      <c r="H584" s="831" t="s">
        <v>8934</v>
      </c>
      <c r="I584" s="92">
        <v>7</v>
      </c>
      <c r="J584" s="92" t="s">
        <v>10</v>
      </c>
      <c r="K584" s="92" t="s">
        <v>768</v>
      </c>
      <c r="L584" s="810">
        <v>2</v>
      </c>
      <c r="M584" s="811" t="str">
        <f t="shared" si="38"/>
        <v>Elementary Level</v>
      </c>
      <c r="P584" s="1638"/>
      <c r="S584" s="840"/>
      <c r="T584" s="836"/>
      <c r="U584" s="836"/>
      <c r="V584" s="864"/>
      <c r="W584" s="838"/>
      <c r="X584" s="811" t="str">
        <f t="shared" si="40"/>
        <v/>
      </c>
      <c r="Y584" s="836"/>
      <c r="Z584" s="836"/>
      <c r="AA584" s="836"/>
      <c r="AB584" s="864"/>
      <c r="AC584" s="831"/>
      <c r="AD584" s="824"/>
      <c r="AF584" s="810"/>
      <c r="AG584" s="807" t="str">
        <f t="shared" ref="AG584:AG601" si="41">IF(ISBLANK(AF584)=TRUE,"",LOOKUP(AF584,GS:GT))</f>
        <v/>
      </c>
      <c r="AK584" s="843"/>
      <c r="AL584" s="843"/>
      <c r="AM584" s="844"/>
      <c r="AN584" s="922"/>
      <c r="AO584" s="821"/>
      <c r="AP584" s="839"/>
      <c r="GP584" s="831"/>
    </row>
    <row r="585" spans="1:198" s="910" customFormat="1" ht="15">
      <c r="A585" s="767" t="s">
        <v>7421</v>
      </c>
      <c r="D585" s="1068" t="s">
        <v>405</v>
      </c>
      <c r="E585" s="1042" t="s">
        <v>405</v>
      </c>
      <c r="G585" s="827"/>
      <c r="H585" s="809" t="s">
        <v>8935</v>
      </c>
      <c r="I585" s="92">
        <v>52</v>
      </c>
      <c r="J585" s="92" t="s">
        <v>18</v>
      </c>
      <c r="K585" s="92" t="s">
        <v>722</v>
      </c>
      <c r="L585" s="810">
        <v>3</v>
      </c>
      <c r="M585" s="811" t="str">
        <f t="shared" si="38"/>
        <v>Elementary Graduate</v>
      </c>
      <c r="N585" s="92"/>
      <c r="O585" s="92"/>
      <c r="P585" s="1638"/>
      <c r="Q585" s="92"/>
      <c r="R585" s="92"/>
      <c r="S585" s="848"/>
      <c r="T585" s="820"/>
      <c r="U585" s="820"/>
      <c r="V585" s="923"/>
      <c r="W585" s="815"/>
      <c r="X585" s="811" t="str">
        <f t="shared" si="40"/>
        <v/>
      </c>
      <c r="Y585" s="816"/>
      <c r="Z585" s="816"/>
      <c r="AA585" s="816"/>
      <c r="AB585" s="923"/>
      <c r="AC585" s="809"/>
      <c r="AD585" s="824"/>
      <c r="AE585" s="93"/>
      <c r="AF585" s="818"/>
      <c r="AG585" s="807" t="str">
        <f t="shared" si="41"/>
        <v/>
      </c>
      <c r="AH585" s="817"/>
      <c r="AI585" s="817"/>
      <c r="AJ585" s="817"/>
      <c r="AK585" s="92"/>
      <c r="AL585" s="92"/>
      <c r="AM585" s="819"/>
      <c r="AN585" s="820"/>
      <c r="AO585" s="817"/>
      <c r="AP585" s="820"/>
      <c r="AQ585" s="93"/>
      <c r="AR585" s="93"/>
      <c r="AS585" s="93"/>
      <c r="AT585" s="93"/>
      <c r="AU585" s="93"/>
      <c r="AV585" s="93"/>
      <c r="AW585" s="93"/>
      <c r="AX585" s="93"/>
      <c r="AY585" s="93"/>
      <c r="AZ585" s="93"/>
      <c r="BA585" s="93"/>
      <c r="BB585" s="93"/>
      <c r="BC585" s="93"/>
      <c r="BD585" s="93"/>
      <c r="BE585" s="93"/>
      <c r="BF585" s="93"/>
      <c r="BG585" s="93"/>
      <c r="BH585" s="93"/>
      <c r="BI585" s="93"/>
      <c r="BJ585" s="93"/>
      <c r="BK585" s="93"/>
      <c r="BL585" s="93"/>
      <c r="BM585" s="93"/>
      <c r="BN585" s="93"/>
      <c r="BT585" s="93"/>
      <c r="BU585" s="93"/>
      <c r="BV585" s="93"/>
      <c r="BW585" s="93"/>
      <c r="BX585" s="93"/>
      <c r="BY585" s="93"/>
      <c r="BZ585" s="93"/>
      <c r="CA585" s="93"/>
      <c r="CB585" s="93"/>
      <c r="CC585" s="93"/>
      <c r="CD585" s="93"/>
      <c r="CE585" s="93"/>
      <c r="CF585" s="93"/>
      <c r="CG585" s="93"/>
      <c r="CH585" s="93"/>
      <c r="CI585" s="93"/>
      <c r="CJ585" s="93"/>
      <c r="CK585" s="93"/>
      <c r="CL585" s="93"/>
      <c r="CM585" s="93"/>
      <c r="CN585" s="93"/>
      <c r="CO585" s="93"/>
      <c r="CP585" s="93"/>
      <c r="CQ585" s="93"/>
      <c r="CR585" s="93"/>
      <c r="CS585" s="93"/>
      <c r="CT585" s="93"/>
      <c r="CU585" s="93"/>
      <c r="CV585" s="93"/>
      <c r="CW585" s="93"/>
      <c r="CX585" s="93"/>
      <c r="CY585" s="93"/>
      <c r="CZ585" s="93"/>
      <c r="DA585" s="93"/>
      <c r="DB585" s="93"/>
      <c r="DC585" s="93"/>
      <c r="DD585" s="93"/>
      <c r="DE585" s="93"/>
      <c r="DF585" s="93"/>
      <c r="DG585" s="93"/>
      <c r="DH585" s="93"/>
      <c r="DI585" s="93"/>
      <c r="DJ585" s="93"/>
      <c r="DK585" s="93"/>
      <c r="DL585" s="93"/>
      <c r="DM585" s="93"/>
      <c r="DN585" s="93"/>
      <c r="DO585" s="93"/>
      <c r="GO585" s="92"/>
      <c r="GP585" s="831"/>
    </row>
    <row r="586" spans="1:198" s="910" customFormat="1" ht="15">
      <c r="A586" s="767" t="s">
        <v>7421</v>
      </c>
      <c r="D586" s="1068" t="s">
        <v>405</v>
      </c>
      <c r="E586" s="1042" t="s">
        <v>405</v>
      </c>
      <c r="G586" s="827"/>
      <c r="H586" s="809" t="s">
        <v>8936</v>
      </c>
      <c r="I586" s="92">
        <v>57</v>
      </c>
      <c r="J586" s="92" t="s">
        <v>10</v>
      </c>
      <c r="K586" s="92" t="s">
        <v>722</v>
      </c>
      <c r="L586" s="810">
        <v>2</v>
      </c>
      <c r="M586" s="811" t="str">
        <f t="shared" si="38"/>
        <v>Elementary Level</v>
      </c>
      <c r="N586" s="92"/>
      <c r="O586" s="92"/>
      <c r="P586" s="1638"/>
      <c r="Q586" s="92"/>
      <c r="R586" s="92"/>
      <c r="S586" s="848"/>
      <c r="T586" s="820"/>
      <c r="U586" s="820"/>
      <c r="V586" s="923">
        <f>SUM(S582:U586)</f>
        <v>4600</v>
      </c>
      <c r="W586" s="815"/>
      <c r="X586" s="811" t="str">
        <f t="shared" si="40"/>
        <v/>
      </c>
      <c r="Y586" s="816"/>
      <c r="Z586" s="816"/>
      <c r="AA586" s="816"/>
      <c r="AB586" s="923">
        <f>SUM(Y582:AA586)</f>
        <v>0</v>
      </c>
      <c r="AC586" s="809"/>
      <c r="AD586" s="824"/>
      <c r="AE586" s="93"/>
      <c r="AF586" s="818"/>
      <c r="AG586" s="807" t="str">
        <f t="shared" si="41"/>
        <v/>
      </c>
      <c r="AH586" s="817"/>
      <c r="AI586" s="817"/>
      <c r="AJ586" s="817"/>
      <c r="AK586" s="92"/>
      <c r="AL586" s="92"/>
      <c r="AM586" s="819"/>
      <c r="AN586" s="820"/>
      <c r="AO586" s="817"/>
      <c r="AP586" s="820"/>
      <c r="AQ586" s="93"/>
      <c r="AR586" s="93"/>
      <c r="AS586" s="93"/>
      <c r="AT586" s="93"/>
      <c r="AU586" s="93"/>
      <c r="AV586" s="93"/>
      <c r="AW586" s="93"/>
      <c r="AX586" s="93"/>
      <c r="AY586" s="93"/>
      <c r="AZ586" s="93"/>
      <c r="BA586" s="93"/>
      <c r="BB586" s="93"/>
      <c r="BC586" s="93"/>
      <c r="BD586" s="93" t="s">
        <v>2144</v>
      </c>
      <c r="BF586" s="93" t="s">
        <v>2145</v>
      </c>
      <c r="BG586" s="93"/>
      <c r="BH586" s="93"/>
      <c r="BI586" s="93"/>
      <c r="BJ586" s="93"/>
      <c r="BK586" s="93"/>
      <c r="BL586" s="93"/>
      <c r="BM586" s="93"/>
      <c r="BN586" s="93"/>
      <c r="BT586" s="93"/>
      <c r="BU586" s="93"/>
      <c r="BV586" s="93"/>
      <c r="BW586" s="93"/>
      <c r="BX586" s="93"/>
      <c r="BY586" s="93"/>
      <c r="BZ586" s="93"/>
      <c r="CA586" s="93"/>
      <c r="CB586" s="93"/>
      <c r="CC586" s="93"/>
      <c r="CD586" s="93"/>
      <c r="CE586" s="93"/>
      <c r="CF586" s="93"/>
      <c r="CG586" s="93"/>
      <c r="CH586" s="93"/>
      <c r="CI586" s="93"/>
      <c r="CJ586" s="93"/>
      <c r="CK586" s="93"/>
      <c r="CL586" s="93"/>
      <c r="CM586" s="93"/>
      <c r="CN586" s="93"/>
      <c r="CO586" s="93"/>
      <c r="CP586" s="93"/>
      <c r="CQ586" s="93"/>
      <c r="CR586" s="93"/>
      <c r="CS586" s="93"/>
      <c r="CT586" s="93"/>
      <c r="CU586" s="93"/>
      <c r="CV586" s="93"/>
      <c r="CW586" s="93"/>
      <c r="CX586" s="93"/>
      <c r="CY586" s="93"/>
      <c r="CZ586" s="93"/>
      <c r="DA586" s="93"/>
      <c r="DB586" s="93"/>
      <c r="DC586" s="93"/>
      <c r="DD586" s="93"/>
      <c r="DE586" s="93"/>
      <c r="DF586" s="93"/>
      <c r="DG586" s="93"/>
      <c r="DH586" s="93"/>
      <c r="DI586" s="93"/>
      <c r="DJ586" s="93"/>
      <c r="DK586" s="93"/>
      <c r="DL586" s="93"/>
      <c r="DM586" s="93"/>
      <c r="DN586" s="93"/>
      <c r="DO586" s="93"/>
      <c r="GO586" s="92"/>
      <c r="GP586" s="831"/>
    </row>
    <row r="587" spans="1:198" s="910" customFormat="1" ht="15">
      <c r="A587" s="767" t="s">
        <v>7421</v>
      </c>
      <c r="B587" s="292" t="s">
        <v>7598</v>
      </c>
      <c r="C587" s="148" t="s">
        <v>408</v>
      </c>
      <c r="D587" s="935" t="s">
        <v>408</v>
      </c>
      <c r="E587" s="1042" t="s">
        <v>408</v>
      </c>
      <c r="F587" s="1047" t="s">
        <v>1510</v>
      </c>
      <c r="G587" s="809" t="s">
        <v>408</v>
      </c>
      <c r="H587" s="809" t="s">
        <v>1510</v>
      </c>
      <c r="I587" s="92">
        <v>33</v>
      </c>
      <c r="J587" s="92" t="s">
        <v>10</v>
      </c>
      <c r="K587" s="92" t="s">
        <v>722</v>
      </c>
      <c r="L587" s="810">
        <v>4</v>
      </c>
      <c r="M587" s="811" t="str">
        <f t="shared" ref="M587:M626" si="42">IF(ISBLANK(L587)=TRUE,"",LOOKUP(L587,GQ:GR))</f>
        <v>High School Level</v>
      </c>
      <c r="N587" s="92" t="s">
        <v>1208</v>
      </c>
      <c r="O587" s="92" t="s">
        <v>8937</v>
      </c>
      <c r="P587" s="1638" t="s">
        <v>12603</v>
      </c>
      <c r="Q587" s="92" t="s">
        <v>8937</v>
      </c>
      <c r="R587" s="92" t="s">
        <v>8234</v>
      </c>
      <c r="S587" s="848">
        <f>SUM(PRODUCT(350,6,4),3300)</f>
        <v>11700</v>
      </c>
      <c r="T587" s="820"/>
      <c r="U587" s="820"/>
      <c r="V587" s="912"/>
      <c r="W587" s="815">
        <v>2</v>
      </c>
      <c r="X587" s="811" t="str">
        <f t="shared" si="40"/>
        <v>within the Municipality/City</v>
      </c>
      <c r="Y587" s="816">
        <v>200</v>
      </c>
      <c r="Z587" s="836"/>
      <c r="AA587" s="816"/>
      <c r="AB587" s="912"/>
      <c r="AC587" s="809" t="s">
        <v>8938</v>
      </c>
      <c r="AD587" s="824"/>
      <c r="AE587" s="93"/>
      <c r="AF587" s="818"/>
      <c r="AG587" s="807" t="str">
        <f t="shared" si="41"/>
        <v/>
      </c>
      <c r="AH587" s="817"/>
      <c r="AI587" s="817"/>
      <c r="AJ587" s="817"/>
      <c r="AK587" s="92"/>
      <c r="AL587" s="92"/>
      <c r="AM587" s="819"/>
      <c r="AN587" s="820"/>
      <c r="AO587" s="817"/>
      <c r="AP587" s="820"/>
      <c r="AQ587" s="93"/>
      <c r="AR587" s="93" t="s">
        <v>2144</v>
      </c>
      <c r="AS587" s="93"/>
      <c r="AT587" s="93"/>
      <c r="AU587" s="93"/>
      <c r="AV587" s="93"/>
      <c r="AW587" s="93"/>
      <c r="AX587" s="93"/>
      <c r="AY587" s="93"/>
      <c r="AZ587" s="93"/>
      <c r="BA587" s="93"/>
      <c r="BB587" s="93"/>
      <c r="BC587" s="93"/>
      <c r="BD587" s="93"/>
      <c r="BE587" s="93"/>
      <c r="BF587" s="93"/>
      <c r="BG587" s="93"/>
      <c r="BH587" s="93"/>
      <c r="BI587" s="93"/>
      <c r="BJ587" s="93"/>
      <c r="BK587" s="93"/>
      <c r="BL587" s="93"/>
      <c r="BM587" s="93"/>
      <c r="BN587" s="93"/>
      <c r="BT587" s="93"/>
      <c r="BU587" s="93"/>
      <c r="BV587" s="93"/>
      <c r="BW587" s="93"/>
      <c r="BX587" s="93"/>
      <c r="BY587" s="93"/>
      <c r="BZ587" s="93"/>
      <c r="CA587" s="93"/>
      <c r="CB587" s="93"/>
      <c r="CC587" s="93"/>
      <c r="CD587" s="93"/>
      <c r="CE587" s="93"/>
      <c r="CF587" s="93"/>
      <c r="CG587" s="93"/>
      <c r="CH587" s="93"/>
      <c r="CI587" s="93"/>
      <c r="CJ587" s="93"/>
      <c r="CK587" s="93"/>
      <c r="CL587" s="93"/>
      <c r="CM587" s="93"/>
      <c r="CN587" s="93"/>
      <c r="CO587" s="93"/>
      <c r="CP587" s="93"/>
      <c r="CQ587" s="93"/>
      <c r="CR587" s="93"/>
      <c r="CS587" s="93"/>
      <c r="CT587" s="93"/>
      <c r="CU587" s="93"/>
      <c r="CV587" s="93"/>
      <c r="CW587" s="93"/>
      <c r="CX587" s="93"/>
      <c r="CY587" s="93"/>
      <c r="CZ587" s="93"/>
      <c r="DA587" s="93"/>
      <c r="DB587" s="93"/>
      <c r="DC587" s="93"/>
      <c r="DD587" s="93"/>
      <c r="DE587" s="93"/>
      <c r="DF587" s="93"/>
      <c r="DG587" s="93"/>
      <c r="DH587" s="93"/>
      <c r="DI587" s="93"/>
      <c r="DJ587" s="93"/>
      <c r="DK587" s="93"/>
      <c r="DL587" s="93"/>
      <c r="DM587" s="93"/>
      <c r="DN587" s="93"/>
      <c r="DO587" s="93"/>
      <c r="GO587" s="92"/>
      <c r="GP587" s="831"/>
    </row>
    <row r="588" spans="1:198" s="910" customFormat="1" ht="15">
      <c r="A588" s="767" t="s">
        <v>7421</v>
      </c>
      <c r="D588" s="935" t="s">
        <v>408</v>
      </c>
      <c r="E588" s="1042" t="s">
        <v>408</v>
      </c>
      <c r="G588" s="827"/>
      <c r="H588" s="809" t="s">
        <v>2171</v>
      </c>
      <c r="I588" s="92">
        <v>35</v>
      </c>
      <c r="J588" s="92" t="s">
        <v>18</v>
      </c>
      <c r="K588" s="92" t="s">
        <v>722</v>
      </c>
      <c r="L588" s="810">
        <v>5</v>
      </c>
      <c r="M588" s="811" t="str">
        <f t="shared" si="42"/>
        <v>High School Graduate</v>
      </c>
      <c r="N588" s="92" t="s">
        <v>1208</v>
      </c>
      <c r="O588" s="92" t="s">
        <v>8939</v>
      </c>
      <c r="P588" s="1638"/>
      <c r="Q588" s="92" t="s">
        <v>8939</v>
      </c>
      <c r="R588" s="92" t="s">
        <v>10434</v>
      </c>
      <c r="S588" s="848">
        <f>SUM(PRODUCT(100,5,4),PRODUCT(400,2,4))</f>
        <v>5200</v>
      </c>
      <c r="T588" s="820"/>
      <c r="U588" s="820"/>
      <c r="V588" s="912"/>
      <c r="W588" s="815">
        <v>1</v>
      </c>
      <c r="X588" s="811" t="str">
        <f t="shared" si="40"/>
        <v>within the Brgy</v>
      </c>
      <c r="Y588" s="816"/>
      <c r="Z588" s="816"/>
      <c r="AA588" s="816"/>
      <c r="AB588" s="912"/>
      <c r="AC588" s="809"/>
      <c r="AD588" s="824"/>
      <c r="AE588" s="93"/>
      <c r="AF588" s="818"/>
      <c r="AG588" s="807" t="str">
        <f t="shared" si="41"/>
        <v/>
      </c>
      <c r="AH588" s="817"/>
      <c r="AI588" s="817"/>
      <c r="AJ588" s="817"/>
      <c r="AK588" s="92"/>
      <c r="AL588" s="92"/>
      <c r="AM588" s="819"/>
      <c r="AN588" s="820"/>
      <c r="AO588" s="817"/>
      <c r="AP588" s="820"/>
      <c r="AQ588" s="93"/>
      <c r="AR588" s="93"/>
      <c r="AS588" s="93"/>
      <c r="AT588" s="93"/>
      <c r="AU588" s="93"/>
      <c r="AV588" s="93"/>
      <c r="AW588" s="93"/>
      <c r="AX588" s="93"/>
      <c r="AY588" s="93"/>
      <c r="AZ588" s="93"/>
      <c r="BA588" s="93"/>
      <c r="BB588" s="93"/>
      <c r="BC588" s="93"/>
      <c r="BD588" s="93"/>
      <c r="BE588" s="93"/>
      <c r="BF588" s="93"/>
      <c r="BG588" s="93"/>
      <c r="BH588" s="93"/>
      <c r="BI588" s="93"/>
      <c r="BJ588" s="93"/>
      <c r="BK588" s="93"/>
      <c r="BL588" s="93"/>
      <c r="BM588" s="93"/>
      <c r="BN588" s="93"/>
      <c r="BT588" s="93"/>
      <c r="BU588" s="93"/>
      <c r="BV588" s="93"/>
      <c r="BW588" s="93"/>
      <c r="BX588" s="93"/>
      <c r="BY588" s="93"/>
      <c r="BZ588" s="93"/>
      <c r="CA588" s="93"/>
      <c r="CB588" s="93"/>
      <c r="CC588" s="93"/>
      <c r="CD588" s="93"/>
      <c r="CE588" s="93"/>
      <c r="CF588" s="93"/>
      <c r="CG588" s="93"/>
      <c r="CH588" s="93"/>
      <c r="CI588" s="93"/>
      <c r="CJ588" s="93"/>
      <c r="CK588" s="93"/>
      <c r="CL588" s="93"/>
      <c r="CM588" s="93"/>
      <c r="CN588" s="93"/>
      <c r="CO588" s="93"/>
      <c r="CP588" s="93"/>
      <c r="CQ588" s="93"/>
      <c r="CR588" s="93"/>
      <c r="CS588" s="93" t="s">
        <v>2144</v>
      </c>
      <c r="CT588" s="93"/>
      <c r="CU588" s="93">
        <v>2</v>
      </c>
      <c r="CV588" s="93"/>
      <c r="CW588" s="93"/>
      <c r="CX588" s="93"/>
      <c r="CY588" s="93"/>
      <c r="CZ588" s="93"/>
      <c r="DA588" s="93"/>
      <c r="DB588" s="93"/>
      <c r="DC588" s="93"/>
      <c r="DD588" s="93"/>
      <c r="DE588" s="93"/>
      <c r="DF588" s="93"/>
      <c r="DG588" s="93"/>
      <c r="DH588" s="93"/>
      <c r="DI588" s="93"/>
      <c r="DJ588" s="93"/>
      <c r="DK588" s="93"/>
      <c r="DL588" s="93"/>
      <c r="DM588" s="93"/>
      <c r="DN588" s="93"/>
      <c r="DO588" s="93"/>
      <c r="GO588" s="92"/>
      <c r="GP588" s="831"/>
    </row>
    <row r="589" spans="1:198" s="910" customFormat="1" ht="15">
      <c r="A589" s="767" t="s">
        <v>7421</v>
      </c>
      <c r="D589" s="935" t="s">
        <v>408</v>
      </c>
      <c r="E589" s="1042" t="s">
        <v>408</v>
      </c>
      <c r="G589" s="827"/>
      <c r="H589" s="809" t="s">
        <v>8940</v>
      </c>
      <c r="I589" s="92">
        <v>13</v>
      </c>
      <c r="J589" s="92" t="s">
        <v>10</v>
      </c>
      <c r="K589" s="92" t="s">
        <v>768</v>
      </c>
      <c r="L589" s="810">
        <v>2</v>
      </c>
      <c r="M589" s="811" t="str">
        <f t="shared" si="42"/>
        <v>Elementary Level</v>
      </c>
      <c r="N589" s="92"/>
      <c r="O589" s="92"/>
      <c r="P589" s="1638"/>
      <c r="Q589" s="92"/>
      <c r="R589" s="92"/>
      <c r="S589" s="848"/>
      <c r="T589" s="820"/>
      <c r="U589" s="820"/>
      <c r="V589" s="912"/>
      <c r="W589" s="815"/>
      <c r="X589" s="811" t="str">
        <f t="shared" si="40"/>
        <v/>
      </c>
      <c r="Y589" s="816"/>
      <c r="Z589" s="816"/>
      <c r="AA589" s="816"/>
      <c r="AB589" s="912"/>
      <c r="AC589" s="809"/>
      <c r="AD589" s="824"/>
      <c r="AE589" s="93"/>
      <c r="AF589" s="818"/>
      <c r="AG589" s="807" t="str">
        <f t="shared" si="41"/>
        <v/>
      </c>
      <c r="AH589" s="817"/>
      <c r="AI589" s="817"/>
      <c r="AJ589" s="817"/>
      <c r="AK589" s="92"/>
      <c r="AL589" s="92"/>
      <c r="AM589" s="819"/>
      <c r="AN589" s="820"/>
      <c r="AO589" s="817"/>
      <c r="AP589" s="820"/>
      <c r="AQ589" s="93"/>
      <c r="AR589" s="93"/>
      <c r="AS589" s="93"/>
      <c r="AT589" s="93"/>
      <c r="AU589" s="93"/>
      <c r="AV589" s="93"/>
      <c r="AW589" s="93"/>
      <c r="AX589" s="93"/>
      <c r="AY589" s="93"/>
      <c r="AZ589" s="93"/>
      <c r="BA589" s="93"/>
      <c r="BB589" s="93"/>
      <c r="BC589" s="93"/>
      <c r="BD589" s="93"/>
      <c r="BE589" s="93"/>
      <c r="BF589" s="93"/>
      <c r="BG589" s="93"/>
      <c r="BH589" s="93"/>
      <c r="BI589" s="93"/>
      <c r="BJ589" s="93"/>
      <c r="BK589" s="93"/>
      <c r="BL589" s="93"/>
      <c r="BM589" s="93"/>
      <c r="BN589" s="93"/>
      <c r="BT589" s="93"/>
      <c r="BU589" s="93"/>
      <c r="BV589" s="93"/>
      <c r="BW589" s="93"/>
      <c r="BX589" s="93"/>
      <c r="BY589" s="93"/>
      <c r="BZ589" s="93"/>
      <c r="CA589" s="93"/>
      <c r="CB589" s="93"/>
      <c r="CC589" s="93"/>
      <c r="CD589" s="93"/>
      <c r="CE589" s="93"/>
      <c r="CF589" s="93"/>
      <c r="CG589" s="93"/>
      <c r="CH589" s="93"/>
      <c r="CI589" s="93"/>
      <c r="CJ589" s="93"/>
      <c r="CK589" s="93"/>
      <c r="CL589" s="93"/>
      <c r="CM589" s="93"/>
      <c r="CN589" s="93"/>
      <c r="CO589" s="93"/>
      <c r="CP589" s="93"/>
      <c r="CQ589" s="93"/>
      <c r="CR589" s="93"/>
      <c r="CS589" s="93"/>
      <c r="CT589" s="93"/>
      <c r="CU589" s="93"/>
      <c r="CV589" s="93"/>
      <c r="CW589" s="93"/>
      <c r="CX589" s="93"/>
      <c r="CY589" s="93"/>
      <c r="CZ589" s="93"/>
      <c r="DA589" s="93"/>
      <c r="DB589" s="93"/>
      <c r="DC589" s="93"/>
      <c r="DD589" s="93"/>
      <c r="DE589" s="93"/>
      <c r="DF589" s="93"/>
      <c r="DG589" s="93"/>
      <c r="DH589" s="93"/>
      <c r="DI589" s="93"/>
      <c r="DJ589" s="93"/>
      <c r="DK589" s="93"/>
      <c r="DL589" s="93"/>
      <c r="DM589" s="93"/>
      <c r="DN589" s="93"/>
      <c r="DO589" s="93"/>
      <c r="GO589" s="92"/>
      <c r="GP589" s="831"/>
    </row>
    <row r="590" spans="1:198" s="910" customFormat="1" ht="15">
      <c r="A590" s="767" t="s">
        <v>7421</v>
      </c>
      <c r="D590" s="935" t="s">
        <v>408</v>
      </c>
      <c r="E590" s="1042" t="s">
        <v>408</v>
      </c>
      <c r="G590" s="827"/>
      <c r="H590" s="809" t="s">
        <v>8941</v>
      </c>
      <c r="I590" s="92">
        <v>13</v>
      </c>
      <c r="J590" s="92" t="s">
        <v>10</v>
      </c>
      <c r="K590" s="92" t="s">
        <v>768</v>
      </c>
      <c r="L590" s="810">
        <v>2</v>
      </c>
      <c r="M590" s="811" t="str">
        <f t="shared" si="42"/>
        <v>Elementary Level</v>
      </c>
      <c r="N590" s="92"/>
      <c r="O590" s="92"/>
      <c r="P590" s="1638"/>
      <c r="Q590" s="92"/>
      <c r="R590" s="92"/>
      <c r="S590" s="848"/>
      <c r="T590" s="820"/>
      <c r="U590" s="820"/>
      <c r="V590" s="912">
        <f>SUM(S587:U590)</f>
        <v>16900</v>
      </c>
      <c r="W590" s="815"/>
      <c r="X590" s="811" t="str">
        <f t="shared" si="40"/>
        <v/>
      </c>
      <c r="Y590" s="816"/>
      <c r="Z590" s="816"/>
      <c r="AA590" s="816"/>
      <c r="AB590" s="912">
        <f>SUM(Y587:AA590)</f>
        <v>200</v>
      </c>
      <c r="AC590" s="809"/>
      <c r="AD590" s="824"/>
      <c r="AE590" s="93"/>
      <c r="AF590" s="818"/>
      <c r="AG590" s="807" t="str">
        <f t="shared" si="41"/>
        <v/>
      </c>
      <c r="AH590" s="817"/>
      <c r="AI590" s="817"/>
      <c r="AJ590" s="817"/>
      <c r="AK590" s="92"/>
      <c r="AL590" s="92"/>
      <c r="AM590" s="819"/>
      <c r="AN590" s="820"/>
      <c r="AO590" s="817"/>
      <c r="AP590" s="820"/>
      <c r="AQ590" s="93"/>
      <c r="AR590" s="93"/>
      <c r="AS590" s="93"/>
      <c r="AT590" s="93"/>
      <c r="AU590" s="93"/>
      <c r="AV590" s="93"/>
      <c r="AW590" s="93"/>
      <c r="AX590" s="93"/>
      <c r="AY590" s="93"/>
      <c r="AZ590" s="93"/>
      <c r="BA590" s="93"/>
      <c r="BB590" s="93"/>
      <c r="BC590" s="93"/>
      <c r="BD590" s="93"/>
      <c r="BE590" s="93"/>
      <c r="BF590" s="93"/>
      <c r="BG590" s="93"/>
      <c r="BH590" s="93"/>
      <c r="BI590" s="93"/>
      <c r="BJ590" s="93"/>
      <c r="BK590" s="93"/>
      <c r="BL590" s="93"/>
      <c r="BM590" s="93"/>
      <c r="BN590" s="93"/>
      <c r="BT590" s="93"/>
      <c r="BU590" s="93"/>
      <c r="BV590" s="93"/>
      <c r="BW590" s="93"/>
      <c r="BX590" s="93"/>
      <c r="BY590" s="93"/>
      <c r="BZ590" s="93"/>
      <c r="CA590" s="93"/>
      <c r="CB590" s="93"/>
      <c r="CC590" s="93"/>
      <c r="CD590" s="93"/>
      <c r="CE590" s="93"/>
      <c r="CF590" s="93"/>
      <c r="CG590" s="93"/>
      <c r="CH590" s="93"/>
      <c r="CI590" s="93"/>
      <c r="CJ590" s="93"/>
      <c r="CK590" s="93"/>
      <c r="CL590" s="93"/>
      <c r="CM590" s="93"/>
      <c r="CN590" s="93"/>
      <c r="CO590" s="93"/>
      <c r="CP590" s="93"/>
      <c r="CQ590" s="93"/>
      <c r="CR590" s="93"/>
      <c r="CS590" s="93"/>
      <c r="CT590" s="93"/>
      <c r="CU590" s="93"/>
      <c r="CV590" s="93"/>
      <c r="CW590" s="93"/>
      <c r="CX590" s="93"/>
      <c r="CY590" s="93"/>
      <c r="CZ590" s="93"/>
      <c r="DA590" s="93"/>
      <c r="DB590" s="93"/>
      <c r="DC590" s="93"/>
      <c r="DD590" s="93"/>
      <c r="DE590" s="93"/>
      <c r="DF590" s="93"/>
      <c r="DG590" s="93"/>
      <c r="DH590" s="93"/>
      <c r="DI590" s="93"/>
      <c r="DJ590" s="93"/>
      <c r="DK590" s="93"/>
      <c r="DL590" s="93"/>
      <c r="DM590" s="93"/>
      <c r="DN590" s="93"/>
      <c r="DO590" s="93"/>
      <c r="GO590" s="92"/>
      <c r="GP590" s="831"/>
    </row>
    <row r="591" spans="1:198" s="910" customFormat="1" ht="15">
      <c r="A591" s="767" t="s">
        <v>7421</v>
      </c>
      <c r="B591" s="292" t="s">
        <v>7599</v>
      </c>
      <c r="C591" s="148" t="s">
        <v>410</v>
      </c>
      <c r="D591" s="935" t="s">
        <v>410</v>
      </c>
      <c r="E591" s="1042" t="s">
        <v>410</v>
      </c>
      <c r="F591" s="1047" t="s">
        <v>2089</v>
      </c>
      <c r="G591" s="809" t="s">
        <v>410</v>
      </c>
      <c r="H591" s="809" t="s">
        <v>2089</v>
      </c>
      <c r="I591" s="92">
        <v>25</v>
      </c>
      <c r="J591" s="92" t="s">
        <v>10</v>
      </c>
      <c r="K591" s="92" t="s">
        <v>722</v>
      </c>
      <c r="L591" s="810">
        <v>2</v>
      </c>
      <c r="M591" s="811" t="str">
        <f t="shared" si="42"/>
        <v>Elementary Level</v>
      </c>
      <c r="N591" s="92" t="s">
        <v>1208</v>
      </c>
      <c r="O591" s="92" t="s">
        <v>2198</v>
      </c>
      <c r="P591" s="1638" t="s">
        <v>12597</v>
      </c>
      <c r="Q591" s="92" t="s">
        <v>2198</v>
      </c>
      <c r="R591" s="92" t="s">
        <v>8234</v>
      </c>
      <c r="S591" s="911">
        <f>PRODUCT(300,24)</f>
        <v>7200</v>
      </c>
      <c r="T591" s="820"/>
      <c r="U591" s="911"/>
      <c r="V591" s="909"/>
      <c r="W591" s="815">
        <v>2</v>
      </c>
      <c r="X591" s="811" t="str">
        <f t="shared" si="40"/>
        <v>within the Municipality/City</v>
      </c>
      <c r="Y591" s="816">
        <v>20</v>
      </c>
      <c r="Z591" s="836"/>
      <c r="AA591" s="816"/>
      <c r="AB591" s="909"/>
      <c r="AC591" s="809" t="s">
        <v>8942</v>
      </c>
      <c r="AD591" s="824"/>
      <c r="AE591" s="93"/>
      <c r="AF591" s="818"/>
      <c r="AG591" s="807" t="str">
        <f t="shared" si="41"/>
        <v/>
      </c>
      <c r="AH591" s="817"/>
      <c r="AI591" s="817"/>
      <c r="AJ591" s="817"/>
      <c r="AK591" s="92"/>
      <c r="AL591" s="92"/>
      <c r="AM591" s="819"/>
      <c r="AN591" s="820"/>
      <c r="AO591" s="817"/>
      <c r="AP591" s="820"/>
      <c r="AQ591" s="93"/>
      <c r="AR591" s="93" t="s">
        <v>2144</v>
      </c>
      <c r="AS591" s="93"/>
      <c r="AT591" s="93"/>
      <c r="AU591" s="93"/>
      <c r="AV591" s="93"/>
      <c r="AW591" s="93"/>
      <c r="AX591" s="93"/>
      <c r="AY591" s="93"/>
      <c r="AZ591" s="93"/>
      <c r="BA591" s="93"/>
      <c r="BB591" s="93"/>
      <c r="BC591" s="93"/>
      <c r="BD591" s="93">
        <v>2</v>
      </c>
      <c r="BE591" s="93"/>
      <c r="BF591" s="93"/>
      <c r="BG591" s="93"/>
      <c r="BH591" s="93"/>
      <c r="BI591" s="93"/>
      <c r="BJ591" s="93"/>
      <c r="BK591" s="93"/>
      <c r="BL591" s="93"/>
      <c r="BM591" s="93"/>
      <c r="BN591" s="93"/>
      <c r="BT591" s="93"/>
      <c r="BU591" s="93"/>
      <c r="BV591" s="93"/>
      <c r="BW591" s="93"/>
      <c r="BX591" s="93"/>
      <c r="BY591" s="93"/>
      <c r="BZ591" s="93"/>
      <c r="CA591" s="93"/>
      <c r="CB591" s="93"/>
      <c r="CC591" s="93"/>
      <c r="CD591" s="93"/>
      <c r="CE591" s="93"/>
      <c r="CF591" s="93"/>
      <c r="CG591" s="93"/>
      <c r="CH591" s="93"/>
      <c r="CI591" s="93"/>
      <c r="CJ591" s="93"/>
      <c r="CK591" s="93"/>
      <c r="CL591" s="93"/>
      <c r="CM591" s="93"/>
      <c r="CN591" s="93"/>
      <c r="CO591" s="93"/>
      <c r="CP591" s="93"/>
      <c r="CQ591" s="93"/>
      <c r="CR591" s="93"/>
      <c r="CS591" s="93"/>
      <c r="CT591" s="93"/>
      <c r="CU591" s="93"/>
      <c r="CV591" s="93"/>
      <c r="CW591" s="93"/>
      <c r="CX591" s="93"/>
      <c r="CY591" s="93"/>
      <c r="CZ591" s="93"/>
      <c r="DA591" s="93"/>
      <c r="DB591" s="93"/>
      <c r="DC591" s="93"/>
      <c r="DD591" s="93"/>
      <c r="DE591" s="93"/>
      <c r="DF591" s="93"/>
      <c r="DG591" s="93"/>
      <c r="DH591" s="93"/>
      <c r="DI591" s="93"/>
      <c r="DJ591" s="93"/>
      <c r="DK591" s="93"/>
      <c r="DL591" s="93"/>
      <c r="DM591" s="93"/>
      <c r="DN591" s="93"/>
      <c r="DO591" s="93"/>
      <c r="GO591" s="92"/>
      <c r="GP591" s="831"/>
    </row>
    <row r="592" spans="1:198" s="910" customFormat="1" ht="15">
      <c r="A592" s="767" t="s">
        <v>7421</v>
      </c>
      <c r="D592" s="935" t="s">
        <v>410</v>
      </c>
      <c r="E592" s="1042" t="s">
        <v>410</v>
      </c>
      <c r="G592" s="827"/>
      <c r="H592" s="809" t="s">
        <v>8943</v>
      </c>
      <c r="I592" s="92">
        <v>19</v>
      </c>
      <c r="J592" s="92" t="s">
        <v>18</v>
      </c>
      <c r="K592" s="92" t="s">
        <v>722</v>
      </c>
      <c r="L592" s="810">
        <v>3</v>
      </c>
      <c r="M592" s="811" t="str">
        <f t="shared" si="42"/>
        <v>Elementary Graduate</v>
      </c>
      <c r="N592" s="92"/>
      <c r="O592" s="92"/>
      <c r="P592" s="1638"/>
      <c r="Q592" s="92"/>
      <c r="R592" s="92"/>
      <c r="S592" s="848"/>
      <c r="T592" s="820"/>
      <c r="U592" s="820"/>
      <c r="V592" s="909"/>
      <c r="W592" s="815"/>
      <c r="X592" s="811" t="str">
        <f t="shared" si="40"/>
        <v/>
      </c>
      <c r="Y592" s="816"/>
      <c r="Z592" s="816"/>
      <c r="AA592" s="816"/>
      <c r="AB592" s="909"/>
      <c r="AC592" s="809"/>
      <c r="AD592" s="824"/>
      <c r="AE592" s="93"/>
      <c r="AF592" s="818"/>
      <c r="AG592" s="807" t="str">
        <f t="shared" si="41"/>
        <v/>
      </c>
      <c r="AH592" s="817"/>
      <c r="AI592" s="817"/>
      <c r="AJ592" s="817"/>
      <c r="AK592" s="92"/>
      <c r="AL592" s="92"/>
      <c r="AM592" s="819"/>
      <c r="AN592" s="820"/>
      <c r="AO592" s="817"/>
      <c r="AP592" s="820"/>
      <c r="AQ592" s="93"/>
      <c r="AR592" s="93"/>
      <c r="AS592" s="93"/>
      <c r="AT592" s="93"/>
      <c r="AU592" s="93"/>
      <c r="AV592" s="93"/>
      <c r="AW592" s="93"/>
      <c r="AX592" s="93"/>
      <c r="AY592" s="93"/>
      <c r="AZ592" s="93"/>
      <c r="BA592" s="93"/>
      <c r="BB592" s="93"/>
      <c r="BC592" s="93"/>
      <c r="BD592" s="93"/>
      <c r="BE592" s="93"/>
      <c r="BF592" s="93"/>
      <c r="BG592" s="93"/>
      <c r="BH592" s="93"/>
      <c r="BI592" s="93"/>
      <c r="BJ592" s="93"/>
      <c r="BK592" s="93"/>
      <c r="BL592" s="93"/>
      <c r="BM592" s="93"/>
      <c r="BN592" s="93"/>
      <c r="BT592" s="93"/>
      <c r="BU592" s="93"/>
      <c r="BV592" s="93" t="s">
        <v>1208</v>
      </c>
      <c r="BW592" s="93"/>
      <c r="BX592" s="93"/>
      <c r="BY592" s="93"/>
      <c r="BZ592" s="93"/>
      <c r="CA592" s="93"/>
      <c r="CB592" s="93"/>
      <c r="CC592" s="93"/>
      <c r="CD592" s="93"/>
      <c r="CE592" s="93"/>
      <c r="CF592" s="93"/>
      <c r="CG592" s="93"/>
      <c r="CH592" s="93"/>
      <c r="CI592" s="93"/>
      <c r="CJ592" s="93"/>
      <c r="CK592" s="93"/>
      <c r="CL592" s="93"/>
      <c r="CM592" s="93"/>
      <c r="CN592" s="93"/>
      <c r="CO592" s="93"/>
      <c r="CP592" s="93"/>
      <c r="CQ592" s="93"/>
      <c r="CR592" s="93"/>
      <c r="CS592" s="93"/>
      <c r="CT592" s="93" t="s">
        <v>1208</v>
      </c>
      <c r="CU592" s="93"/>
      <c r="CV592" s="93"/>
      <c r="CW592" s="93"/>
      <c r="CX592" s="93"/>
      <c r="CY592" s="93"/>
      <c r="CZ592" s="93"/>
      <c r="DA592" s="93"/>
      <c r="DB592" s="93"/>
      <c r="DC592" s="93"/>
      <c r="DD592" s="93"/>
      <c r="DE592" s="93"/>
      <c r="DF592" s="93"/>
      <c r="DG592" s="93"/>
      <c r="DH592" s="93"/>
      <c r="DI592" s="93"/>
      <c r="DJ592" s="93"/>
      <c r="DK592" s="93"/>
      <c r="DL592" s="93"/>
      <c r="DM592" s="93"/>
      <c r="DN592" s="93"/>
      <c r="DO592" s="93"/>
      <c r="GO592" s="92"/>
      <c r="GP592" s="831"/>
    </row>
    <row r="593" spans="1:198" s="910" customFormat="1" ht="15">
      <c r="A593" s="767" t="s">
        <v>7421</v>
      </c>
      <c r="D593" s="935" t="s">
        <v>410</v>
      </c>
      <c r="E593" s="1042" t="s">
        <v>410</v>
      </c>
      <c r="G593" s="827"/>
      <c r="H593" s="809" t="s">
        <v>8944</v>
      </c>
      <c r="I593" s="92">
        <v>2</v>
      </c>
      <c r="J593" s="92" t="s">
        <v>10</v>
      </c>
      <c r="K593" s="92" t="s">
        <v>768</v>
      </c>
      <c r="L593" s="810">
        <v>10</v>
      </c>
      <c r="M593" s="811" t="str">
        <f t="shared" si="42"/>
        <v>Not In School Age</v>
      </c>
      <c r="N593" s="92"/>
      <c r="O593" s="92"/>
      <c r="P593" s="1638"/>
      <c r="Q593" s="92"/>
      <c r="R593" s="92"/>
      <c r="S593" s="848"/>
      <c r="T593" s="820"/>
      <c r="U593" s="820"/>
      <c r="V593" s="909"/>
      <c r="W593" s="815"/>
      <c r="X593" s="811" t="str">
        <f t="shared" si="40"/>
        <v/>
      </c>
      <c r="Y593" s="816"/>
      <c r="Z593" s="816"/>
      <c r="AA593" s="816"/>
      <c r="AB593" s="909"/>
      <c r="AC593" s="809"/>
      <c r="AD593" s="824"/>
      <c r="AE593" s="93"/>
      <c r="AF593" s="818"/>
      <c r="AG593" s="807" t="str">
        <f t="shared" si="41"/>
        <v/>
      </c>
      <c r="AH593" s="817"/>
      <c r="AI593" s="817"/>
      <c r="AJ593" s="817"/>
      <c r="AK593" s="92"/>
      <c r="AL593" s="92"/>
      <c r="AM593" s="819"/>
      <c r="AN593" s="820"/>
      <c r="AO593" s="817"/>
      <c r="AP593" s="820"/>
      <c r="AQ593" s="93"/>
      <c r="AR593" s="93"/>
      <c r="AS593" s="93"/>
      <c r="AT593" s="93"/>
      <c r="AU593" s="93"/>
      <c r="AV593" s="93"/>
      <c r="AW593" s="93"/>
      <c r="AX593" s="93"/>
      <c r="AY593" s="93"/>
      <c r="AZ593" s="93"/>
      <c r="BA593" s="93"/>
      <c r="BB593" s="93"/>
      <c r="BC593" s="93"/>
      <c r="BD593" s="93"/>
      <c r="BE593" s="93"/>
      <c r="BF593" s="93"/>
      <c r="BG593" s="93"/>
      <c r="BH593" s="93"/>
      <c r="BI593" s="93"/>
      <c r="BJ593" s="93"/>
      <c r="BK593" s="93"/>
      <c r="BL593" s="93"/>
      <c r="BM593" s="93"/>
      <c r="BN593" s="93"/>
      <c r="BT593" s="93"/>
      <c r="BU593" s="93"/>
      <c r="BV593" s="93"/>
      <c r="BW593" s="93"/>
      <c r="BX593" s="93"/>
      <c r="BY593" s="93"/>
      <c r="BZ593" s="93"/>
      <c r="CA593" s="93"/>
      <c r="CB593" s="93"/>
      <c r="CC593" s="93"/>
      <c r="CD593" s="93"/>
      <c r="CE593" s="93"/>
      <c r="CF593" s="93"/>
      <c r="CG593" s="93"/>
      <c r="CH593" s="93"/>
      <c r="CI593" s="93"/>
      <c r="CJ593" s="93"/>
      <c r="CK593" s="93"/>
      <c r="CL593" s="93"/>
      <c r="CM593" s="93"/>
      <c r="CN593" s="93"/>
      <c r="CO593" s="93"/>
      <c r="CP593" s="93"/>
      <c r="CQ593" s="93"/>
      <c r="CR593" s="93"/>
      <c r="CS593" s="93"/>
      <c r="CT593" s="93"/>
      <c r="CU593" s="93"/>
      <c r="CV593" s="93"/>
      <c r="CW593" s="93"/>
      <c r="CX593" s="93"/>
      <c r="CY593" s="93"/>
      <c r="CZ593" s="93"/>
      <c r="DA593" s="93"/>
      <c r="DB593" s="93"/>
      <c r="DC593" s="93"/>
      <c r="DD593" s="93"/>
      <c r="DE593" s="93"/>
      <c r="DF593" s="93"/>
      <c r="DG593" s="93"/>
      <c r="DH593" s="93"/>
      <c r="DI593" s="93"/>
      <c r="DJ593" s="93"/>
      <c r="DK593" s="93"/>
      <c r="DL593" s="93"/>
      <c r="DM593" s="93"/>
      <c r="DN593" s="93"/>
      <c r="DO593" s="93"/>
      <c r="GO593" s="92"/>
      <c r="GP593" s="831"/>
    </row>
    <row r="594" spans="1:198" s="910" customFormat="1" ht="15">
      <c r="A594" s="767" t="s">
        <v>7421</v>
      </c>
      <c r="D594" s="935" t="s">
        <v>410</v>
      </c>
      <c r="E594" s="1042" t="s">
        <v>410</v>
      </c>
      <c r="G594" s="827"/>
      <c r="H594" s="809" t="s">
        <v>8945</v>
      </c>
      <c r="I594" s="92">
        <v>1</v>
      </c>
      <c r="J594" s="92" t="s">
        <v>10</v>
      </c>
      <c r="K594" s="92" t="s">
        <v>768</v>
      </c>
      <c r="L594" s="810">
        <v>10</v>
      </c>
      <c r="M594" s="811" t="str">
        <f t="shared" si="42"/>
        <v>Not In School Age</v>
      </c>
      <c r="N594" s="92"/>
      <c r="O594" s="92"/>
      <c r="P594" s="1638"/>
      <c r="Q594" s="92"/>
      <c r="R594" s="92"/>
      <c r="S594" s="848"/>
      <c r="T594" s="820"/>
      <c r="U594" s="820"/>
      <c r="V594" s="909">
        <f>SUM(S591:U594)</f>
        <v>7200</v>
      </c>
      <c r="W594" s="815"/>
      <c r="X594" s="811" t="str">
        <f t="shared" si="40"/>
        <v/>
      </c>
      <c r="Y594" s="816"/>
      <c r="Z594" s="816"/>
      <c r="AA594" s="816"/>
      <c r="AB594" s="909">
        <f>SUM(Y591:AA594)</f>
        <v>20</v>
      </c>
      <c r="AC594" s="809"/>
      <c r="AD594" s="824"/>
      <c r="AE594" s="93"/>
      <c r="AF594" s="818"/>
      <c r="AG594" s="807" t="str">
        <f t="shared" si="41"/>
        <v/>
      </c>
      <c r="AH594" s="817"/>
      <c r="AI594" s="817"/>
      <c r="AJ594" s="817"/>
      <c r="AK594" s="92"/>
      <c r="AL594" s="92"/>
      <c r="AM594" s="819"/>
      <c r="AN594" s="820"/>
      <c r="AO594" s="817"/>
      <c r="AP594" s="820"/>
      <c r="AQ594" s="93"/>
      <c r="AR594" s="93"/>
      <c r="AS594" s="93"/>
      <c r="AT594" s="93"/>
      <c r="AU594" s="93"/>
      <c r="AV594" s="93"/>
      <c r="AW594" s="93"/>
      <c r="AX594" s="93"/>
      <c r="AY594" s="93"/>
      <c r="AZ594" s="93"/>
      <c r="BA594" s="93"/>
      <c r="BB594" s="93"/>
      <c r="BC594" s="93"/>
      <c r="BD594" s="93"/>
      <c r="BE594" s="93"/>
      <c r="BF594" s="93"/>
      <c r="BG594" s="93"/>
      <c r="BH594" s="93"/>
      <c r="BI594" s="93"/>
      <c r="BJ594" s="93"/>
      <c r="BK594" s="93"/>
      <c r="BL594" s="93"/>
      <c r="BM594" s="93"/>
      <c r="BN594" s="93"/>
      <c r="BT594" s="93"/>
      <c r="BU594" s="93"/>
      <c r="BV594" s="93"/>
      <c r="BW594" s="93"/>
      <c r="BX594" s="93"/>
      <c r="BY594" s="93"/>
      <c r="BZ594" s="93"/>
      <c r="CA594" s="93"/>
      <c r="CB594" s="93"/>
      <c r="CC594" s="93"/>
      <c r="CD594" s="93"/>
      <c r="CE594" s="93"/>
      <c r="CF594" s="93"/>
      <c r="CG594" s="93"/>
      <c r="CH594" s="93"/>
      <c r="CI594" s="93"/>
      <c r="CJ594" s="93"/>
      <c r="CK594" s="93"/>
      <c r="CL594" s="93"/>
      <c r="CM594" s="93"/>
      <c r="CN594" s="93"/>
      <c r="CO594" s="93"/>
      <c r="CP594" s="93"/>
      <c r="CQ594" s="93"/>
      <c r="CR594" s="93"/>
      <c r="CS594" s="93"/>
      <c r="CT594" s="93"/>
      <c r="CU594" s="93"/>
      <c r="CV594" s="93"/>
      <c r="CW594" s="93"/>
      <c r="CX594" s="93"/>
      <c r="CY594" s="93"/>
      <c r="CZ594" s="93"/>
      <c r="DA594" s="93"/>
      <c r="DB594" s="93"/>
      <c r="DC594" s="93"/>
      <c r="DD594" s="93"/>
      <c r="DE594" s="93"/>
      <c r="DF594" s="93"/>
      <c r="DG594" s="93"/>
      <c r="DH594" s="93"/>
      <c r="DI594" s="93"/>
      <c r="DJ594" s="93"/>
      <c r="DK594" s="93"/>
      <c r="DL594" s="93"/>
      <c r="DM594" s="93"/>
      <c r="DN594" s="93"/>
      <c r="DO594" s="93"/>
      <c r="GO594" s="92"/>
      <c r="GP594" s="831"/>
    </row>
    <row r="595" spans="1:198" s="910" customFormat="1" ht="15">
      <c r="A595" s="311" t="s">
        <v>12355</v>
      </c>
      <c r="B595" s="292" t="s">
        <v>7600</v>
      </c>
      <c r="C595" s="148" t="s">
        <v>410</v>
      </c>
      <c r="D595" s="935" t="s">
        <v>8946</v>
      </c>
      <c r="E595" s="1042" t="s">
        <v>410</v>
      </c>
      <c r="G595" s="809" t="s">
        <v>8946</v>
      </c>
      <c r="H595" s="809" t="s">
        <v>1516</v>
      </c>
      <c r="I595" s="92">
        <v>46</v>
      </c>
      <c r="J595" s="92" t="s">
        <v>10</v>
      </c>
      <c r="K595" s="92" t="s">
        <v>783</v>
      </c>
      <c r="L595" s="810">
        <v>4</v>
      </c>
      <c r="M595" s="811" t="str">
        <f t="shared" si="42"/>
        <v>High School Level</v>
      </c>
      <c r="N595" s="92" t="s">
        <v>1208</v>
      </c>
      <c r="O595" s="92" t="s">
        <v>8947</v>
      </c>
      <c r="P595" s="1638" t="s">
        <v>12603</v>
      </c>
      <c r="Q595" s="92" t="s">
        <v>8947</v>
      </c>
      <c r="R595" s="92" t="s">
        <v>8234</v>
      </c>
      <c r="S595" s="848">
        <v>12000</v>
      </c>
      <c r="T595" s="820"/>
      <c r="U595" s="820">
        <v>12000</v>
      </c>
      <c r="V595" s="923"/>
      <c r="W595" s="815">
        <v>2</v>
      </c>
      <c r="X595" s="811" t="str">
        <f t="shared" si="40"/>
        <v>within the Municipality/City</v>
      </c>
      <c r="Y595" s="816"/>
      <c r="Z595" s="816"/>
      <c r="AA595" s="816"/>
      <c r="AB595" s="923"/>
      <c r="AC595" s="809" t="s">
        <v>8172</v>
      </c>
      <c r="AD595" s="824"/>
      <c r="AE595" s="93"/>
      <c r="AF595" s="818"/>
      <c r="AG595" s="807" t="str">
        <f t="shared" si="41"/>
        <v/>
      </c>
      <c r="AH595" s="817"/>
      <c r="AI595" s="817"/>
      <c r="AJ595" s="817"/>
      <c r="AK595" s="92"/>
      <c r="AL595" s="92"/>
      <c r="AM595" s="819"/>
      <c r="AN595" s="820"/>
      <c r="AO595" s="817"/>
      <c r="AP595" s="820"/>
      <c r="AQ595" s="93"/>
      <c r="AR595" s="93"/>
      <c r="AS595" s="93"/>
      <c r="AT595" s="93" t="s">
        <v>2144</v>
      </c>
      <c r="AU595" s="93"/>
      <c r="AV595" s="93"/>
      <c r="AW595" s="93"/>
      <c r="AX595" s="93"/>
      <c r="AY595" s="93"/>
      <c r="AZ595" s="93"/>
      <c r="BA595" s="93"/>
      <c r="BB595" s="93"/>
      <c r="BC595" s="93"/>
      <c r="BD595" s="93"/>
      <c r="BE595" s="93"/>
      <c r="BF595" s="93"/>
      <c r="BG595" s="93"/>
      <c r="BH595" s="93"/>
      <c r="BI595" s="93"/>
      <c r="BJ595" s="93"/>
      <c r="BK595" s="93"/>
      <c r="BL595" s="93"/>
      <c r="BM595" s="93"/>
      <c r="BN595" s="93"/>
      <c r="BT595" s="93"/>
      <c r="BU595" s="93"/>
      <c r="BV595" s="93"/>
      <c r="BW595" s="93"/>
      <c r="BX595" s="93"/>
      <c r="BY595" s="93"/>
      <c r="BZ595" s="93"/>
      <c r="CA595" s="93"/>
      <c r="CB595" s="93"/>
      <c r="CC595" s="93"/>
      <c r="CD595" s="93"/>
      <c r="CE595" s="93"/>
      <c r="CF595" s="93"/>
      <c r="CG595" s="93"/>
      <c r="CH595" s="93"/>
      <c r="CI595" s="93"/>
      <c r="CJ595" s="93"/>
      <c r="CK595" s="93"/>
      <c r="CL595" s="93"/>
      <c r="CM595" s="93"/>
      <c r="CN595" s="93"/>
      <c r="CO595" s="93"/>
      <c r="CP595" s="93"/>
      <c r="CQ595" s="93"/>
      <c r="CR595" s="93"/>
      <c r="CS595" s="93"/>
      <c r="CT595" s="93"/>
      <c r="CU595" s="93"/>
      <c r="CV595" s="93"/>
      <c r="CW595" s="93"/>
      <c r="CX595" s="93"/>
      <c r="CY595" s="93"/>
      <c r="CZ595" s="93"/>
      <c r="DA595" s="93"/>
      <c r="DB595" s="93"/>
      <c r="DC595" s="93"/>
      <c r="DD595" s="93"/>
      <c r="DE595" s="93"/>
      <c r="DF595" s="93"/>
      <c r="DG595" s="93"/>
      <c r="DH595" s="93"/>
      <c r="DI595" s="93"/>
      <c r="DJ595" s="93"/>
      <c r="DK595" s="93"/>
      <c r="DL595" s="93"/>
      <c r="DM595" s="93"/>
      <c r="DN595" s="93"/>
      <c r="DO595" s="93"/>
      <c r="GO595" s="92"/>
      <c r="GP595" s="831"/>
    </row>
    <row r="596" spans="1:198" s="910" customFormat="1" ht="15">
      <c r="A596" s="311" t="s">
        <v>12355</v>
      </c>
      <c r="D596" s="935" t="s">
        <v>8946</v>
      </c>
      <c r="E596" s="1042" t="s">
        <v>410</v>
      </c>
      <c r="G596" s="827"/>
      <c r="H596" s="809" t="s">
        <v>8948</v>
      </c>
      <c r="I596" s="92">
        <v>17</v>
      </c>
      <c r="J596" s="92" t="s">
        <v>10</v>
      </c>
      <c r="K596" s="92" t="s">
        <v>768</v>
      </c>
      <c r="L596" s="810">
        <v>2</v>
      </c>
      <c r="M596" s="811" t="str">
        <f t="shared" si="42"/>
        <v>Elementary Level</v>
      </c>
      <c r="N596" s="92" t="s">
        <v>1208</v>
      </c>
      <c r="O596" s="92" t="s">
        <v>8949</v>
      </c>
      <c r="P596" s="1638"/>
      <c r="Q596" s="92" t="s">
        <v>8949</v>
      </c>
      <c r="R596" s="92" t="s">
        <v>8285</v>
      </c>
      <c r="S596" s="848">
        <v>6000</v>
      </c>
      <c r="T596" s="820"/>
      <c r="U596" s="820"/>
      <c r="V596" s="923"/>
      <c r="W596" s="815">
        <v>1</v>
      </c>
      <c r="X596" s="811" t="str">
        <f t="shared" si="40"/>
        <v>within the Brgy</v>
      </c>
      <c r="Y596" s="816"/>
      <c r="Z596" s="816"/>
      <c r="AA596" s="816"/>
      <c r="AB596" s="923"/>
      <c r="AC596" s="809"/>
      <c r="AD596" s="824"/>
      <c r="AE596" s="93"/>
      <c r="AF596" s="818"/>
      <c r="AG596" s="807" t="str">
        <f t="shared" si="41"/>
        <v/>
      </c>
      <c r="AH596" s="817"/>
      <c r="AI596" s="817"/>
      <c r="AJ596" s="817"/>
      <c r="AK596" s="92"/>
      <c r="AL596" s="92"/>
      <c r="AM596" s="819"/>
      <c r="AN596" s="820"/>
      <c r="AO596" s="817"/>
      <c r="AP596" s="820"/>
      <c r="AQ596" s="93"/>
      <c r="AR596" s="93"/>
      <c r="AS596" s="93"/>
      <c r="AT596" s="93"/>
      <c r="AU596" s="93"/>
      <c r="AV596" s="93"/>
      <c r="AW596" s="93"/>
      <c r="AX596" s="93"/>
      <c r="AY596" s="93"/>
      <c r="AZ596" s="93"/>
      <c r="BA596" s="93"/>
      <c r="BB596" s="93"/>
      <c r="BC596" s="93"/>
      <c r="BD596" s="93"/>
      <c r="BE596" s="93"/>
      <c r="BF596" s="93"/>
      <c r="BG596" s="93"/>
      <c r="BH596" s="93"/>
      <c r="BI596" s="93"/>
      <c r="BJ596" s="93"/>
      <c r="BK596" s="93"/>
      <c r="BL596" s="93"/>
      <c r="BM596" s="93"/>
      <c r="BN596" s="93"/>
      <c r="BT596" s="93"/>
      <c r="BU596" s="93"/>
      <c r="BV596" s="93"/>
      <c r="BW596" s="93"/>
      <c r="BX596" s="93"/>
      <c r="BY596" s="93"/>
      <c r="BZ596" s="93"/>
      <c r="CA596" s="93"/>
      <c r="CB596" s="93"/>
      <c r="CC596" s="93"/>
      <c r="CD596" s="93"/>
      <c r="CE596" s="93"/>
      <c r="CF596" s="93"/>
      <c r="CG596" s="93"/>
      <c r="CH596" s="93"/>
      <c r="CI596" s="93"/>
      <c r="CJ596" s="93"/>
      <c r="CK596" s="93"/>
      <c r="CL596" s="93"/>
      <c r="CM596" s="93"/>
      <c r="CN596" s="93"/>
      <c r="CO596" s="93"/>
      <c r="CP596" s="93"/>
      <c r="CQ596" s="93"/>
      <c r="CR596" s="93"/>
      <c r="CS596" s="93"/>
      <c r="CT596" s="93"/>
      <c r="CU596" s="93"/>
      <c r="CV596" s="93"/>
      <c r="CW596" s="93"/>
      <c r="CX596" s="93"/>
      <c r="CY596" s="93"/>
      <c r="CZ596" s="93"/>
      <c r="DA596" s="93"/>
      <c r="DB596" s="93"/>
      <c r="DC596" s="93"/>
      <c r="DD596" s="93"/>
      <c r="DE596" s="93"/>
      <c r="DF596" s="93"/>
      <c r="DG596" s="93"/>
      <c r="DH596" s="93"/>
      <c r="DI596" s="93"/>
      <c r="DJ596" s="93"/>
      <c r="DK596" s="93"/>
      <c r="DL596" s="93"/>
      <c r="DM596" s="93"/>
      <c r="DN596" s="93"/>
      <c r="DO596" s="93"/>
      <c r="GO596" s="92"/>
      <c r="GP596" s="831"/>
    </row>
    <row r="597" spans="1:198" s="910" customFormat="1" ht="15">
      <c r="A597" s="311" t="s">
        <v>12355</v>
      </c>
      <c r="D597" s="935" t="s">
        <v>8946</v>
      </c>
      <c r="E597" s="1042" t="s">
        <v>410</v>
      </c>
      <c r="G597" s="827"/>
      <c r="H597" s="809" t="s">
        <v>8950</v>
      </c>
      <c r="I597" s="92">
        <v>14</v>
      </c>
      <c r="J597" s="92" t="s">
        <v>18</v>
      </c>
      <c r="K597" s="92" t="s">
        <v>768</v>
      </c>
      <c r="L597" s="810">
        <v>3</v>
      </c>
      <c r="M597" s="811" t="str">
        <f t="shared" si="42"/>
        <v>Elementary Graduate</v>
      </c>
      <c r="N597" s="92"/>
      <c r="O597" s="92"/>
      <c r="P597" s="1638"/>
      <c r="Q597" s="92"/>
      <c r="R597" s="92"/>
      <c r="S597" s="848"/>
      <c r="T597" s="820"/>
      <c r="U597" s="820"/>
      <c r="V597" s="923"/>
      <c r="W597" s="815"/>
      <c r="X597" s="811" t="str">
        <f t="shared" si="40"/>
        <v/>
      </c>
      <c r="Y597" s="816"/>
      <c r="Z597" s="816"/>
      <c r="AA597" s="816"/>
      <c r="AB597" s="923"/>
      <c r="AC597" s="809"/>
      <c r="AD597" s="824"/>
      <c r="AE597" s="93"/>
      <c r="AF597" s="818"/>
      <c r="AG597" s="807" t="str">
        <f t="shared" si="41"/>
        <v/>
      </c>
      <c r="AH597" s="817"/>
      <c r="AI597" s="817"/>
      <c r="AJ597" s="817"/>
      <c r="AK597" s="92"/>
      <c r="AL597" s="92"/>
      <c r="AM597" s="819"/>
      <c r="AN597" s="820"/>
      <c r="AO597" s="817"/>
      <c r="AP597" s="820"/>
      <c r="AQ597" s="93"/>
      <c r="AR597" s="93"/>
      <c r="AS597" s="93"/>
      <c r="AT597" s="93"/>
      <c r="AU597" s="93"/>
      <c r="AV597" s="93"/>
      <c r="AW597" s="93"/>
      <c r="AX597" s="93"/>
      <c r="AY597" s="93"/>
      <c r="AZ597" s="93"/>
      <c r="BA597" s="93"/>
      <c r="BB597" s="93"/>
      <c r="BC597" s="93"/>
      <c r="BD597" s="93"/>
      <c r="BE597" s="93"/>
      <c r="BF597" s="93"/>
      <c r="BG597" s="93"/>
      <c r="BH597" s="93"/>
      <c r="BI597" s="93"/>
      <c r="BJ597" s="93"/>
      <c r="BK597" s="93"/>
      <c r="BL597" s="93"/>
      <c r="BM597" s="93"/>
      <c r="BN597" s="93"/>
      <c r="BT597" s="93"/>
      <c r="BU597" s="93"/>
      <c r="BV597" s="93"/>
      <c r="BW597" s="93"/>
      <c r="BX597" s="93"/>
      <c r="BY597" s="93"/>
      <c r="BZ597" s="93"/>
      <c r="CA597" s="93"/>
      <c r="CB597" s="93"/>
      <c r="CC597" s="93"/>
      <c r="CD597" s="93"/>
      <c r="CE597" s="93"/>
      <c r="CF597" s="93"/>
      <c r="CG597" s="93"/>
      <c r="CH597" s="93"/>
      <c r="CI597" s="93"/>
      <c r="CJ597" s="93"/>
      <c r="CK597" s="93"/>
      <c r="CL597" s="93"/>
      <c r="CM597" s="93"/>
      <c r="CN597" s="93"/>
      <c r="CO597" s="93"/>
      <c r="CP597" s="93"/>
      <c r="CQ597" s="93"/>
      <c r="CR597" s="93"/>
      <c r="CS597" s="93"/>
      <c r="CT597" s="93"/>
      <c r="CU597" s="93"/>
      <c r="CV597" s="93"/>
      <c r="CW597" s="93"/>
      <c r="CX597" s="93"/>
      <c r="CY597" s="93"/>
      <c r="CZ597" s="93"/>
      <c r="DA597" s="93"/>
      <c r="DB597" s="93"/>
      <c r="DC597" s="93"/>
      <c r="DD597" s="93"/>
      <c r="DE597" s="93"/>
      <c r="DF597" s="93"/>
      <c r="DG597" s="93"/>
      <c r="DH597" s="93"/>
      <c r="DI597" s="93"/>
      <c r="DJ597" s="93"/>
      <c r="DK597" s="93"/>
      <c r="DL597" s="93"/>
      <c r="DM597" s="93"/>
      <c r="DN597" s="93"/>
      <c r="DO597" s="93"/>
      <c r="GO597" s="92"/>
      <c r="GP597" s="831"/>
    </row>
    <row r="598" spans="1:198" s="910" customFormat="1" ht="15">
      <c r="A598" s="311" t="s">
        <v>12355</v>
      </c>
      <c r="D598" s="935" t="s">
        <v>8946</v>
      </c>
      <c r="E598" s="1042" t="s">
        <v>410</v>
      </c>
      <c r="G598" s="827"/>
      <c r="H598" s="809" t="s">
        <v>8951</v>
      </c>
      <c r="I598" s="92">
        <v>10</v>
      </c>
      <c r="J598" s="92" t="s">
        <v>18</v>
      </c>
      <c r="K598" s="92" t="s">
        <v>768</v>
      </c>
      <c r="L598" s="810">
        <v>2</v>
      </c>
      <c r="M598" s="811" t="str">
        <f t="shared" si="42"/>
        <v>Elementary Level</v>
      </c>
      <c r="N598" s="92"/>
      <c r="O598" s="92"/>
      <c r="P598" s="1638"/>
      <c r="Q598" s="92"/>
      <c r="R598" s="92"/>
      <c r="S598" s="848"/>
      <c r="T598" s="820"/>
      <c r="U598" s="820"/>
      <c r="V598" s="923">
        <f>SUM(S595:U598)</f>
        <v>30000</v>
      </c>
      <c r="W598" s="815"/>
      <c r="X598" s="811" t="str">
        <f t="shared" si="40"/>
        <v/>
      </c>
      <c r="Y598" s="816"/>
      <c r="Z598" s="816"/>
      <c r="AA598" s="816"/>
      <c r="AB598" s="923">
        <f>SUM(Y595:AA598)</f>
        <v>0</v>
      </c>
      <c r="AC598" s="809"/>
      <c r="AD598" s="824"/>
      <c r="AE598" s="93"/>
      <c r="AF598" s="818"/>
      <c r="AG598" s="807" t="str">
        <f t="shared" si="41"/>
        <v/>
      </c>
      <c r="AH598" s="817"/>
      <c r="AI598" s="817"/>
      <c r="AJ598" s="817"/>
      <c r="AK598" s="92"/>
      <c r="AL598" s="92"/>
      <c r="AM598" s="819"/>
      <c r="AN598" s="820"/>
      <c r="AO598" s="817"/>
      <c r="AP598" s="820"/>
      <c r="AQ598" s="93"/>
      <c r="AR598" s="93"/>
      <c r="AS598" s="93"/>
      <c r="AT598" s="93"/>
      <c r="AU598" s="93"/>
      <c r="AV598" s="93"/>
      <c r="AW598" s="93"/>
      <c r="AX598" s="93"/>
      <c r="AY598" s="93"/>
      <c r="AZ598" s="93"/>
      <c r="BA598" s="93"/>
      <c r="BB598" s="93"/>
      <c r="BC598" s="93"/>
      <c r="BD598" s="93"/>
      <c r="BE598" s="93"/>
      <c r="BF598" s="93"/>
      <c r="BG598" s="93"/>
      <c r="BH598" s="93"/>
      <c r="BI598" s="93"/>
      <c r="BJ598" s="93"/>
      <c r="BK598" s="93"/>
      <c r="BL598" s="93"/>
      <c r="BM598" s="93"/>
      <c r="BN598" s="93"/>
      <c r="BT598" s="93"/>
      <c r="BU598" s="93"/>
      <c r="BV598" s="93"/>
      <c r="BW598" s="93"/>
      <c r="BX598" s="93"/>
      <c r="BY598" s="93"/>
      <c r="BZ598" s="93"/>
      <c r="CA598" s="93"/>
      <c r="CB598" s="93"/>
      <c r="CC598" s="93"/>
      <c r="CD598" s="93"/>
      <c r="CE598" s="93"/>
      <c r="CF598" s="93"/>
      <c r="CG598" s="93"/>
      <c r="CH598" s="93"/>
      <c r="CI598" s="93"/>
      <c r="CJ598" s="93"/>
      <c r="CK598" s="93"/>
      <c r="CL598" s="93"/>
      <c r="CM598" s="93"/>
      <c r="CN598" s="93"/>
      <c r="CO598" s="93"/>
      <c r="CP598" s="93"/>
      <c r="CQ598" s="93"/>
      <c r="CR598" s="93"/>
      <c r="CS598" s="93"/>
      <c r="CT598" s="93"/>
      <c r="CU598" s="93"/>
      <c r="CV598" s="93"/>
      <c r="CW598" s="93"/>
      <c r="CX598" s="93"/>
      <c r="CY598" s="93"/>
      <c r="CZ598" s="93"/>
      <c r="DA598" s="93"/>
      <c r="DB598" s="93"/>
      <c r="DC598" s="93"/>
      <c r="DD598" s="93"/>
      <c r="DE598" s="93"/>
      <c r="DF598" s="93"/>
      <c r="DG598" s="93"/>
      <c r="DH598" s="93"/>
      <c r="DI598" s="93"/>
      <c r="DJ598" s="93"/>
      <c r="DK598" s="93"/>
      <c r="DL598" s="93"/>
      <c r="DM598" s="93"/>
      <c r="DN598" s="93"/>
      <c r="DO598" s="93"/>
      <c r="GO598" s="92"/>
      <c r="GP598" s="831"/>
    </row>
    <row r="599" spans="1:198" s="910" customFormat="1" ht="15">
      <c r="A599" s="767" t="s">
        <v>7421</v>
      </c>
      <c r="B599" s="292" t="s">
        <v>7602</v>
      </c>
      <c r="C599" s="148" t="s">
        <v>413</v>
      </c>
      <c r="D599" s="935" t="s">
        <v>413</v>
      </c>
      <c r="E599" s="1042" t="s">
        <v>413</v>
      </c>
      <c r="F599" s="1047" t="s">
        <v>1979</v>
      </c>
      <c r="G599" s="809" t="s">
        <v>413</v>
      </c>
      <c r="H599" s="809" t="s">
        <v>1979</v>
      </c>
      <c r="I599" s="92">
        <v>59</v>
      </c>
      <c r="J599" s="92" t="s">
        <v>10</v>
      </c>
      <c r="K599" s="92" t="s">
        <v>722</v>
      </c>
      <c r="L599" s="810">
        <v>4</v>
      </c>
      <c r="M599" s="811" t="str">
        <f t="shared" si="42"/>
        <v>High School Level</v>
      </c>
      <c r="N599" s="92" t="s">
        <v>1208</v>
      </c>
      <c r="O599" s="92" t="s">
        <v>8952</v>
      </c>
      <c r="P599" s="1638" t="s">
        <v>12598</v>
      </c>
      <c r="Q599" s="92" t="s">
        <v>8952</v>
      </c>
      <c r="R599" s="92" t="s">
        <v>8234</v>
      </c>
      <c r="S599" s="911"/>
      <c r="T599" s="820"/>
      <c r="U599" s="848">
        <f>SUM(3000,3000)</f>
        <v>6000</v>
      </c>
      <c r="V599" s="912"/>
      <c r="W599" s="815">
        <v>1</v>
      </c>
      <c r="X599" s="811" t="str">
        <f t="shared" si="40"/>
        <v>within the Brgy</v>
      </c>
      <c r="Y599" s="816"/>
      <c r="Z599" s="816"/>
      <c r="AA599" s="816"/>
      <c r="AB599" s="912"/>
      <c r="AC599" s="809" t="s">
        <v>2216</v>
      </c>
      <c r="AD599" s="824"/>
      <c r="AE599" s="93"/>
      <c r="AF599" s="818"/>
      <c r="AG599" s="807" t="str">
        <f t="shared" si="41"/>
        <v/>
      </c>
      <c r="AH599" s="817"/>
      <c r="AI599" s="817"/>
      <c r="AJ599" s="817"/>
      <c r="AK599" s="92"/>
      <c r="AL599" s="92"/>
      <c r="AM599" s="819"/>
      <c r="AN599" s="820"/>
      <c r="AO599" s="817"/>
      <c r="AP599" s="820"/>
      <c r="AQ599" s="93"/>
      <c r="AR599" s="93"/>
      <c r="AS599" s="93"/>
      <c r="AT599" s="93"/>
      <c r="AU599" s="93"/>
      <c r="AV599" s="93"/>
      <c r="AW599" s="93"/>
      <c r="AX599" s="93"/>
      <c r="AY599" s="93"/>
      <c r="AZ599" s="93"/>
      <c r="BA599" s="93"/>
      <c r="BB599" s="93"/>
      <c r="BC599" s="93"/>
      <c r="BD599" s="93"/>
      <c r="BE599" s="93"/>
      <c r="BF599" s="93"/>
      <c r="BG599" s="93"/>
      <c r="BH599" s="93"/>
      <c r="BI599" s="93"/>
      <c r="BJ599" s="93"/>
      <c r="BK599" s="93"/>
      <c r="BL599" s="93"/>
      <c r="BM599" s="93"/>
      <c r="BN599" s="93"/>
      <c r="BT599" s="93"/>
      <c r="BU599" s="93"/>
      <c r="BV599" s="93"/>
      <c r="BW599" s="93"/>
      <c r="BX599" s="93"/>
      <c r="BY599" s="93"/>
      <c r="BZ599" s="93"/>
      <c r="CA599" s="93"/>
      <c r="CB599" s="93"/>
      <c r="CC599" s="93"/>
      <c r="CD599" s="93"/>
      <c r="CE599" s="93"/>
      <c r="CF599" s="93"/>
      <c r="CG599" s="93"/>
      <c r="CH599" s="93"/>
      <c r="CI599" s="93"/>
      <c r="CJ599" s="93"/>
      <c r="CK599" s="93"/>
      <c r="CL599" s="93"/>
      <c r="CM599" s="93"/>
      <c r="CN599" s="93"/>
      <c r="CO599" s="93"/>
      <c r="CP599" s="93"/>
      <c r="CQ599" s="93"/>
      <c r="CR599" s="93"/>
      <c r="CS599" s="93" t="s">
        <v>2144</v>
      </c>
      <c r="CT599" s="93"/>
      <c r="CU599" s="93"/>
      <c r="CV599" s="93"/>
      <c r="CW599" s="93"/>
      <c r="CX599" s="93"/>
      <c r="CY599" s="93"/>
      <c r="CZ599" s="93"/>
      <c r="DA599" s="93"/>
      <c r="DB599" s="93"/>
      <c r="DC599" s="93"/>
      <c r="DD599" s="93"/>
      <c r="DE599" s="93"/>
      <c r="DF599" s="93"/>
      <c r="DG599" s="93"/>
      <c r="DH599" s="93"/>
      <c r="DI599" s="93"/>
      <c r="DJ599" s="93"/>
      <c r="DK599" s="93"/>
      <c r="DL599" s="93"/>
      <c r="DM599" s="93"/>
      <c r="DN599" s="93"/>
      <c r="DO599" s="93"/>
      <c r="GO599" s="92"/>
      <c r="GP599" s="831"/>
    </row>
    <row r="600" spans="1:198" s="910" customFormat="1" ht="15">
      <c r="A600" s="767" t="s">
        <v>7421</v>
      </c>
      <c r="D600" s="935" t="s">
        <v>413</v>
      </c>
      <c r="E600" s="1042" t="s">
        <v>418</v>
      </c>
      <c r="F600" s="1047" t="s">
        <v>2077</v>
      </c>
      <c r="G600" s="827"/>
      <c r="H600" s="809" t="s">
        <v>8953</v>
      </c>
      <c r="I600" s="92"/>
      <c r="J600" s="92" t="s">
        <v>18</v>
      </c>
      <c r="K600" s="92" t="s">
        <v>722</v>
      </c>
      <c r="L600" s="810"/>
      <c r="M600" s="811" t="str">
        <f t="shared" si="42"/>
        <v/>
      </c>
      <c r="N600" s="92"/>
      <c r="O600" s="92"/>
      <c r="P600" s="1638"/>
      <c r="Q600" s="92"/>
      <c r="R600" s="92"/>
      <c r="S600" s="848"/>
      <c r="T600" s="820"/>
      <c r="U600" s="820"/>
      <c r="V600" s="912"/>
      <c r="W600" s="815"/>
      <c r="X600" s="811" t="str">
        <f t="shared" si="40"/>
        <v/>
      </c>
      <c r="Y600" s="816"/>
      <c r="Z600" s="816"/>
      <c r="AA600" s="816"/>
      <c r="AB600" s="912"/>
      <c r="AC600" s="809"/>
      <c r="AD600" s="824"/>
      <c r="AE600" s="93"/>
      <c r="AF600" s="818"/>
      <c r="AG600" s="807" t="str">
        <f t="shared" si="41"/>
        <v/>
      </c>
      <c r="AH600" s="817"/>
      <c r="AI600" s="817"/>
      <c r="AJ600" s="817"/>
      <c r="AK600" s="92"/>
      <c r="AL600" s="92"/>
      <c r="AM600" s="819"/>
      <c r="AN600" s="820"/>
      <c r="AO600" s="817"/>
      <c r="AP600" s="820"/>
      <c r="AQ600" s="93"/>
      <c r="AR600" s="93"/>
      <c r="AS600" s="93"/>
      <c r="AT600" s="93"/>
      <c r="AU600" s="93"/>
      <c r="AV600" s="93"/>
      <c r="AW600" s="93"/>
      <c r="AX600" s="93"/>
      <c r="AY600" s="93"/>
      <c r="AZ600" s="93"/>
      <c r="BA600" s="93"/>
      <c r="BB600" s="93"/>
      <c r="BC600" s="93"/>
      <c r="BD600" s="93"/>
      <c r="BE600" s="93"/>
      <c r="BF600" s="93"/>
      <c r="BG600" s="93"/>
      <c r="BH600" s="93"/>
      <c r="BI600" s="93"/>
      <c r="BJ600" s="93"/>
      <c r="BK600" s="93"/>
      <c r="BL600" s="93"/>
      <c r="BM600" s="93"/>
      <c r="BN600" s="93"/>
      <c r="BT600" s="93"/>
      <c r="BU600" s="93"/>
      <c r="BV600" s="93"/>
      <c r="BW600" s="93"/>
      <c r="BX600" s="93"/>
      <c r="BY600" s="93"/>
      <c r="BZ600" s="93"/>
      <c r="CA600" s="93"/>
      <c r="CB600" s="93"/>
      <c r="CC600" s="93"/>
      <c r="CD600" s="93"/>
      <c r="CE600" s="93"/>
      <c r="CF600" s="93" t="s">
        <v>2144</v>
      </c>
      <c r="CG600" s="93"/>
      <c r="CH600" s="93"/>
      <c r="CI600" s="93"/>
      <c r="CJ600" s="93"/>
      <c r="CK600" s="93"/>
      <c r="CL600" s="93"/>
      <c r="CM600" s="93"/>
      <c r="CN600" s="93"/>
      <c r="CO600" s="93"/>
      <c r="CP600" s="93"/>
      <c r="CQ600" s="93"/>
      <c r="CR600" s="93"/>
      <c r="CS600" s="93"/>
      <c r="CT600" s="93"/>
      <c r="CU600" s="93"/>
      <c r="CV600" s="93"/>
      <c r="CW600" s="93"/>
      <c r="CX600" s="93"/>
      <c r="CY600" s="93"/>
      <c r="CZ600" s="93"/>
      <c r="DA600" s="93"/>
      <c r="DB600" s="93"/>
      <c r="DC600" s="93"/>
      <c r="DD600" s="93"/>
      <c r="DE600" s="93"/>
      <c r="DF600" s="93"/>
      <c r="DG600" s="93"/>
      <c r="DH600" s="93"/>
      <c r="DI600" s="93"/>
      <c r="DJ600" s="93"/>
      <c r="DK600" s="93"/>
      <c r="DL600" s="93"/>
      <c r="DM600" s="93"/>
      <c r="DN600" s="93"/>
      <c r="DO600" s="93"/>
      <c r="GO600" s="92"/>
      <c r="GP600" s="831"/>
    </row>
    <row r="601" spans="1:198" s="910" customFormat="1" ht="15">
      <c r="A601" s="767" t="s">
        <v>7421</v>
      </c>
      <c r="D601" s="935" t="s">
        <v>413</v>
      </c>
      <c r="E601" s="1042"/>
      <c r="G601" s="827"/>
      <c r="H601" s="809" t="s">
        <v>8954</v>
      </c>
      <c r="I601" s="92">
        <v>44</v>
      </c>
      <c r="J601" s="92" t="s">
        <v>18</v>
      </c>
      <c r="K601" s="92"/>
      <c r="L601" s="810">
        <v>4</v>
      </c>
      <c r="M601" s="811" t="str">
        <f t="shared" si="42"/>
        <v>High School Level</v>
      </c>
      <c r="N601" s="92"/>
      <c r="O601" s="92"/>
      <c r="P601" s="1638"/>
      <c r="Q601" s="92"/>
      <c r="R601" s="92"/>
      <c r="S601" s="848"/>
      <c r="T601" s="820"/>
      <c r="U601" s="820"/>
      <c r="V601" s="912">
        <f>SUM(S599:U601)</f>
        <v>6000</v>
      </c>
      <c r="W601" s="815"/>
      <c r="X601" s="811" t="str">
        <f t="shared" si="40"/>
        <v/>
      </c>
      <c r="Y601" s="816"/>
      <c r="Z601" s="816"/>
      <c r="AA601" s="816"/>
      <c r="AB601" s="912">
        <f>SUM(Y599:AA601)</f>
        <v>0</v>
      </c>
      <c r="AC601" s="809"/>
      <c r="AD601" s="824"/>
      <c r="AE601" s="93"/>
      <c r="AF601" s="818"/>
      <c r="AG601" s="807" t="str">
        <f t="shared" si="41"/>
        <v/>
      </c>
      <c r="AH601" s="817"/>
      <c r="AI601" s="817"/>
      <c r="AJ601" s="817"/>
      <c r="AK601" s="92"/>
      <c r="AL601" s="92"/>
      <c r="AM601" s="819"/>
      <c r="AN601" s="820"/>
      <c r="AO601" s="817"/>
      <c r="AP601" s="820"/>
      <c r="AQ601" s="93"/>
      <c r="AR601" s="93"/>
      <c r="AS601" s="93"/>
      <c r="AT601" s="93"/>
      <c r="AU601" s="93"/>
      <c r="AV601" s="93"/>
      <c r="AW601" s="93"/>
      <c r="AX601" s="93"/>
      <c r="AY601" s="93"/>
      <c r="AZ601" s="93"/>
      <c r="BA601" s="93"/>
      <c r="BB601" s="93"/>
      <c r="BC601" s="93"/>
      <c r="BD601" s="93"/>
      <c r="BE601" s="93"/>
      <c r="BF601" s="93"/>
      <c r="BG601" s="93"/>
      <c r="BH601" s="93"/>
      <c r="BI601" s="93"/>
      <c r="BJ601" s="93"/>
      <c r="BK601" s="93"/>
      <c r="BL601" s="93"/>
      <c r="BM601" s="93"/>
      <c r="BN601" s="93"/>
      <c r="BT601" s="93"/>
      <c r="BU601" s="93"/>
      <c r="BV601" s="93"/>
      <c r="BW601" s="93"/>
      <c r="BX601" s="93"/>
      <c r="BY601" s="93"/>
      <c r="BZ601" s="93"/>
      <c r="CA601" s="93"/>
      <c r="CB601" s="93"/>
      <c r="CC601" s="93"/>
      <c r="CD601" s="93"/>
      <c r="CE601" s="93"/>
      <c r="CF601" s="93"/>
      <c r="CG601" s="93"/>
      <c r="CH601" s="93"/>
      <c r="CI601" s="93"/>
      <c r="CJ601" s="93"/>
      <c r="CK601" s="93"/>
      <c r="CL601" s="93"/>
      <c r="CM601" s="93"/>
      <c r="CN601" s="93"/>
      <c r="CO601" s="93"/>
      <c r="CP601" s="93"/>
      <c r="CQ601" s="93"/>
      <c r="CR601" s="93"/>
      <c r="CS601" s="93"/>
      <c r="CT601" s="93"/>
      <c r="CU601" s="93"/>
      <c r="CV601" s="93"/>
      <c r="CW601" s="93"/>
      <c r="CX601" s="93"/>
      <c r="CY601" s="93"/>
      <c r="CZ601" s="93"/>
      <c r="DA601" s="93"/>
      <c r="DB601" s="93"/>
      <c r="DC601" s="93"/>
      <c r="DD601" s="93"/>
      <c r="DE601" s="93"/>
      <c r="DF601" s="93"/>
      <c r="DG601" s="93"/>
      <c r="DH601" s="93"/>
      <c r="DI601" s="93"/>
      <c r="DJ601" s="93"/>
      <c r="DK601" s="93"/>
      <c r="DL601" s="93"/>
      <c r="DM601" s="93"/>
      <c r="DN601" s="93"/>
      <c r="DO601" s="93"/>
      <c r="GO601" s="92"/>
      <c r="GP601" s="831"/>
    </row>
    <row r="602" spans="1:198" s="910" customFormat="1" ht="15">
      <c r="A602" s="767" t="s">
        <v>7421</v>
      </c>
      <c r="B602" s="288" t="s">
        <v>7603</v>
      </c>
      <c r="C602" s="148" t="s">
        <v>418</v>
      </c>
      <c r="D602" s="935" t="s">
        <v>418</v>
      </c>
      <c r="E602" s="1042" t="s">
        <v>418</v>
      </c>
      <c r="G602" s="846" t="s">
        <v>418</v>
      </c>
      <c r="H602" s="910" t="s">
        <v>11396</v>
      </c>
      <c r="I602" s="92">
        <v>66</v>
      </c>
      <c r="J602" s="92" t="s">
        <v>10</v>
      </c>
      <c r="K602" s="92" t="s">
        <v>783</v>
      </c>
      <c r="L602" s="810">
        <v>0</v>
      </c>
      <c r="M602" s="811" t="str">
        <f t="shared" si="42"/>
        <v>No Schooling</v>
      </c>
      <c r="N602" s="92"/>
      <c r="O602" s="92"/>
      <c r="P602" s="1638"/>
      <c r="Q602" s="92"/>
      <c r="R602" s="92" t="s">
        <v>1208</v>
      </c>
      <c r="T602" s="820"/>
      <c r="U602" s="820"/>
      <c r="V602" s="1077"/>
      <c r="W602" s="815"/>
      <c r="X602" s="811" t="str">
        <f t="shared" si="40"/>
        <v/>
      </c>
      <c r="Y602" s="816"/>
      <c r="Z602" s="816"/>
      <c r="AA602" s="816"/>
      <c r="AB602" s="1077"/>
      <c r="AC602" s="809"/>
      <c r="AD602" s="910" t="s">
        <v>11398</v>
      </c>
      <c r="AE602" s="93"/>
      <c r="AF602" s="818"/>
      <c r="AG602" s="807"/>
      <c r="AH602" s="817"/>
      <c r="AI602" s="817"/>
      <c r="AJ602" s="817"/>
      <c r="AK602" s="92"/>
      <c r="AL602" s="92"/>
      <c r="AM602" s="819"/>
      <c r="AN602" s="820"/>
      <c r="AO602" s="817"/>
      <c r="AP602" s="820"/>
      <c r="AQ602" s="93"/>
      <c r="AR602" s="93"/>
      <c r="AS602" s="93"/>
      <c r="AT602" s="93"/>
      <c r="AU602" s="93"/>
      <c r="AV602" s="93"/>
      <c r="AW602" s="93"/>
      <c r="AX602" s="93"/>
      <c r="AY602" s="93"/>
      <c r="AZ602" s="93"/>
      <c r="BA602" s="93"/>
      <c r="BB602" s="93"/>
      <c r="BC602" s="93"/>
      <c r="BD602" s="93"/>
      <c r="BE602" s="93"/>
      <c r="BF602" s="93"/>
      <c r="BG602" s="93"/>
      <c r="BH602" s="93"/>
      <c r="BI602" s="93"/>
      <c r="BJ602" s="93"/>
      <c r="BK602" s="93"/>
      <c r="BL602" s="93"/>
      <c r="BM602" s="93"/>
      <c r="BN602" s="93"/>
      <c r="BT602" s="93"/>
      <c r="BU602" s="93"/>
      <c r="BV602" s="93"/>
      <c r="BW602" s="93"/>
      <c r="BX602" s="93"/>
      <c r="BY602" s="93"/>
      <c r="BZ602" s="93"/>
      <c r="CA602" s="93"/>
      <c r="CB602" s="93"/>
      <c r="CC602" s="93"/>
      <c r="CD602" s="93"/>
      <c r="CE602" s="93"/>
      <c r="CF602" s="93"/>
      <c r="CG602" s="93"/>
      <c r="CH602" s="93"/>
      <c r="CI602" s="93"/>
      <c r="CJ602" s="93"/>
      <c r="CK602" s="93"/>
      <c r="CL602" s="93"/>
      <c r="CM602" s="93"/>
      <c r="CN602" s="93"/>
      <c r="CO602" s="93"/>
      <c r="CP602" s="93"/>
      <c r="CQ602" s="93"/>
      <c r="CR602" s="93"/>
      <c r="CS602" s="93"/>
      <c r="CT602" s="93"/>
      <c r="CU602" s="93"/>
      <c r="CV602" s="93"/>
      <c r="CW602" s="93"/>
      <c r="CX602" s="93"/>
      <c r="CY602" s="93"/>
      <c r="CZ602" s="93"/>
      <c r="DA602" s="93"/>
      <c r="DB602" s="93"/>
      <c r="DC602" s="93"/>
      <c r="DD602" s="93"/>
      <c r="DE602" s="93"/>
      <c r="DF602" s="93"/>
      <c r="DG602" s="93"/>
      <c r="DH602" s="93"/>
      <c r="DI602" s="93"/>
      <c r="DJ602" s="93"/>
      <c r="DK602" s="93"/>
      <c r="DL602" s="93"/>
      <c r="DM602" s="93"/>
      <c r="DN602" s="93"/>
      <c r="DO602" s="93"/>
      <c r="GO602" s="92"/>
      <c r="GP602" s="831"/>
    </row>
    <row r="603" spans="1:198" s="910" customFormat="1" ht="15">
      <c r="A603" s="767" t="s">
        <v>7421</v>
      </c>
      <c r="D603" s="935" t="s">
        <v>418</v>
      </c>
      <c r="E603" s="1042"/>
      <c r="G603" s="827"/>
      <c r="H603" s="910" t="s">
        <v>11397</v>
      </c>
      <c r="I603" s="92">
        <v>27</v>
      </c>
      <c r="J603" s="92" t="s">
        <v>10</v>
      </c>
      <c r="K603" s="92" t="s">
        <v>722</v>
      </c>
      <c r="L603" s="810">
        <v>3</v>
      </c>
      <c r="M603" s="811" t="str">
        <f t="shared" si="42"/>
        <v>Elementary Graduate</v>
      </c>
      <c r="N603" s="92" t="s">
        <v>1208</v>
      </c>
      <c r="O603" s="92" t="s">
        <v>2214</v>
      </c>
      <c r="P603" s="1638"/>
      <c r="Q603" s="92" t="s">
        <v>2214</v>
      </c>
      <c r="R603" s="92" t="s">
        <v>8285</v>
      </c>
      <c r="S603" s="848">
        <f>4000*4</f>
        <v>16000</v>
      </c>
      <c r="T603" s="820"/>
      <c r="U603" s="820"/>
      <c r="V603" s="1077">
        <f>SUM(S602:U603)</f>
        <v>16000</v>
      </c>
      <c r="W603" s="815">
        <v>2</v>
      </c>
      <c r="X603" s="811" t="str">
        <f t="shared" si="40"/>
        <v>within the Municipality/City</v>
      </c>
      <c r="Y603" s="816">
        <f>20*26</f>
        <v>520</v>
      </c>
      <c r="Z603" s="816"/>
      <c r="AA603" s="816"/>
      <c r="AB603" s="1077">
        <f>SUM(Y602:AA603)</f>
        <v>520</v>
      </c>
      <c r="AC603" s="809"/>
      <c r="AD603" s="824"/>
      <c r="AE603" s="93"/>
      <c r="AF603" s="818"/>
      <c r="AG603" s="807"/>
      <c r="AH603" s="817"/>
      <c r="AI603" s="817"/>
      <c r="AJ603" s="817"/>
      <c r="AK603" s="92"/>
      <c r="AL603" s="92"/>
      <c r="AM603" s="819"/>
      <c r="AN603" s="820"/>
      <c r="AO603" s="817"/>
      <c r="AP603" s="820"/>
      <c r="AQ603" s="93"/>
      <c r="AR603" s="93"/>
      <c r="AS603" s="93"/>
      <c r="AT603" s="93"/>
      <c r="AU603" s="93"/>
      <c r="AV603" s="93"/>
      <c r="AW603" s="93"/>
      <c r="AX603" s="93"/>
      <c r="AY603" s="93"/>
      <c r="AZ603" s="93"/>
      <c r="BA603" s="93"/>
      <c r="BB603" s="93"/>
      <c r="BC603" s="93"/>
      <c r="BD603" s="93"/>
      <c r="BE603" s="93"/>
      <c r="BF603" s="93"/>
      <c r="BG603" s="93"/>
      <c r="BH603" s="93"/>
      <c r="BI603" s="93"/>
      <c r="BJ603" s="93"/>
      <c r="BK603" s="93"/>
      <c r="BL603" s="93"/>
      <c r="BM603" s="93"/>
      <c r="BN603" s="93"/>
      <c r="BT603" s="93"/>
      <c r="BU603" s="93"/>
      <c r="BV603" s="93"/>
      <c r="BW603" s="93"/>
      <c r="BX603" s="93"/>
      <c r="BY603" s="93"/>
      <c r="BZ603" s="93"/>
      <c r="CA603" s="93"/>
      <c r="CB603" s="93"/>
      <c r="CC603" s="93"/>
      <c r="CD603" s="93"/>
      <c r="CE603" s="93"/>
      <c r="CF603" s="93"/>
      <c r="CG603" s="93"/>
      <c r="CH603" s="93"/>
      <c r="CI603" s="93"/>
      <c r="CJ603" s="93"/>
      <c r="CK603" s="93"/>
      <c r="CL603" s="93"/>
      <c r="CM603" s="93"/>
      <c r="CN603" s="93"/>
      <c r="CO603" s="93"/>
      <c r="CP603" s="93"/>
      <c r="CQ603" s="93"/>
      <c r="CR603" s="93"/>
      <c r="CS603" s="93"/>
      <c r="CT603" s="93"/>
      <c r="CU603" s="93"/>
      <c r="CV603" s="93"/>
      <c r="CW603" s="93"/>
      <c r="CX603" s="93"/>
      <c r="CY603" s="93"/>
      <c r="CZ603" s="93"/>
      <c r="DA603" s="93"/>
      <c r="DB603" s="93"/>
      <c r="DC603" s="93"/>
      <c r="DD603" s="93"/>
      <c r="DE603" s="93"/>
      <c r="DF603" s="93"/>
      <c r="DG603" s="93"/>
      <c r="DH603" s="93"/>
      <c r="DI603" s="93"/>
      <c r="DJ603" s="93"/>
      <c r="DK603" s="93"/>
      <c r="DL603" s="93"/>
      <c r="DM603" s="93"/>
      <c r="DN603" s="93"/>
      <c r="DO603" s="93"/>
      <c r="GO603" s="92"/>
      <c r="GP603" s="831"/>
    </row>
    <row r="604" spans="1:198" s="910" customFormat="1" ht="15">
      <c r="D604" s="935" t="s">
        <v>430</v>
      </c>
      <c r="E604" s="1043" t="s">
        <v>430</v>
      </c>
      <c r="F604" s="1048" t="s">
        <v>2090</v>
      </c>
      <c r="G604" s="809" t="s">
        <v>430</v>
      </c>
      <c r="H604" s="809" t="s">
        <v>2090</v>
      </c>
      <c r="I604" s="857">
        <v>60</v>
      </c>
      <c r="J604" s="92" t="s">
        <v>10</v>
      </c>
      <c r="K604" s="92" t="s">
        <v>707</v>
      </c>
      <c r="L604" s="810">
        <v>6</v>
      </c>
      <c r="M604" s="811" t="str">
        <f t="shared" si="42"/>
        <v>College Level</v>
      </c>
      <c r="N604" s="92" t="s">
        <v>1208</v>
      </c>
      <c r="O604" s="1247" t="s">
        <v>8955</v>
      </c>
      <c r="P604" s="1638"/>
      <c r="Q604" s="1247" t="s">
        <v>8955</v>
      </c>
      <c r="R604" s="92" t="s">
        <v>8234</v>
      </c>
      <c r="S604" s="820">
        <v>30000</v>
      </c>
      <c r="T604" s="820"/>
      <c r="U604" s="820"/>
      <c r="V604" s="909"/>
      <c r="W604" s="815">
        <v>1</v>
      </c>
      <c r="X604" s="811" t="str">
        <f t="shared" si="40"/>
        <v>within the Brgy</v>
      </c>
      <c r="Y604" s="816"/>
      <c r="Z604" s="816"/>
      <c r="AA604" s="816"/>
      <c r="AB604" s="909"/>
      <c r="AC604" s="817"/>
      <c r="AD604" s="817" t="s">
        <v>8956</v>
      </c>
      <c r="AE604" s="93" t="s">
        <v>8957</v>
      </c>
      <c r="AF604" s="818"/>
      <c r="AG604" s="807" t="str">
        <f t="shared" ref="AG604:AG640" si="43">IF(ISBLANK(AF604)=TRUE,"",LOOKUP(AF604,GS:GT))</f>
        <v/>
      </c>
      <c r="AH604" s="817"/>
      <c r="AI604" s="865"/>
      <c r="AJ604" s="865"/>
      <c r="AK604" s="836"/>
      <c r="AL604" s="92"/>
      <c r="AM604" s="92"/>
      <c r="AN604" s="816"/>
      <c r="AO604" s="817"/>
      <c r="AP604" s="820"/>
      <c r="AQ604" s="93"/>
      <c r="AR604" s="93"/>
      <c r="AS604" s="93"/>
      <c r="AT604" s="93"/>
      <c r="AU604" s="93"/>
      <c r="AV604" s="93"/>
      <c r="AW604" s="93"/>
      <c r="AX604" s="93"/>
      <c r="AY604" s="93"/>
      <c r="AZ604" s="93"/>
      <c r="BA604" s="93"/>
      <c r="BB604" s="93"/>
      <c r="BC604" s="93"/>
      <c r="BD604" s="93"/>
      <c r="BE604" s="93"/>
      <c r="BF604" s="93"/>
      <c r="BG604" s="93"/>
      <c r="BH604" s="93"/>
      <c r="BI604" s="93"/>
      <c r="BJ604" s="93"/>
      <c r="BK604" s="93"/>
      <c r="BL604" s="93"/>
      <c r="BM604" s="93"/>
      <c r="BN604" s="93"/>
      <c r="BO604" s="93"/>
      <c r="BP604" s="93"/>
      <c r="BQ604" s="93"/>
      <c r="BR604" s="93"/>
      <c r="BS604" s="93"/>
      <c r="BT604" s="93"/>
      <c r="BU604" s="93"/>
      <c r="BV604" s="93"/>
      <c r="BW604" s="93"/>
      <c r="BX604" s="93"/>
      <c r="BY604" s="93"/>
      <c r="BZ604" s="93"/>
      <c r="CA604" s="93"/>
      <c r="CB604" s="93"/>
      <c r="CC604" s="93"/>
      <c r="CD604" s="93"/>
      <c r="CE604" s="93"/>
      <c r="CF604" s="93"/>
      <c r="CG604" s="93"/>
      <c r="CH604" s="93"/>
      <c r="CI604" s="93"/>
      <c r="CJ604" s="93"/>
      <c r="CK604" s="93"/>
      <c r="CL604" s="93"/>
      <c r="CM604" s="93"/>
      <c r="CN604" s="93"/>
      <c r="CO604" s="93"/>
      <c r="CP604" s="93"/>
      <c r="CQ604" s="93"/>
      <c r="CR604" s="93"/>
      <c r="CS604" s="93"/>
      <c r="CT604" s="93"/>
      <c r="CU604" s="93"/>
      <c r="CV604" s="93"/>
      <c r="CW604" s="93"/>
      <c r="CX604" s="93"/>
      <c r="CY604" s="93"/>
      <c r="CZ604" s="93"/>
      <c r="DA604" s="93"/>
      <c r="DB604" s="93"/>
      <c r="DC604" s="93"/>
      <c r="DD604" s="93"/>
      <c r="DE604" s="93"/>
      <c r="DF604" s="93"/>
      <c r="DG604" s="93"/>
      <c r="DH604" s="93"/>
      <c r="DI604" s="93"/>
      <c r="DJ604" s="93"/>
      <c r="DK604" s="93"/>
      <c r="DL604" s="93"/>
      <c r="DM604" s="93"/>
      <c r="DN604" s="93"/>
      <c r="DO604" s="93"/>
      <c r="GO604" s="92"/>
      <c r="GP604" s="831"/>
    </row>
    <row r="605" spans="1:198" ht="15">
      <c r="D605" s="935"/>
      <c r="E605" s="1043" t="s">
        <v>430</v>
      </c>
      <c r="G605" s="827"/>
      <c r="H605" s="809" t="s">
        <v>8958</v>
      </c>
      <c r="I605" s="92">
        <v>58</v>
      </c>
      <c r="J605" s="92" t="s">
        <v>18</v>
      </c>
      <c r="K605" s="92" t="s">
        <v>707</v>
      </c>
      <c r="L605" s="810">
        <v>7</v>
      </c>
      <c r="M605" s="811" t="str">
        <f t="shared" si="42"/>
        <v>College Graduate or Higher</v>
      </c>
      <c r="P605" s="1638"/>
      <c r="V605" s="830"/>
      <c r="X605" s="811" t="str">
        <f t="shared" si="40"/>
        <v/>
      </c>
      <c r="AB605" s="830"/>
      <c r="AG605" s="807" t="str">
        <f t="shared" si="43"/>
        <v/>
      </c>
      <c r="AJ605" s="865"/>
      <c r="AN605" s="816"/>
      <c r="AQ605" s="93"/>
      <c r="AR605" s="93"/>
      <c r="AS605" s="93"/>
      <c r="AT605" s="93"/>
      <c r="AU605" s="93"/>
      <c r="AV605" s="93"/>
      <c r="AW605" s="93"/>
      <c r="AX605" s="93"/>
      <c r="AY605" s="93"/>
      <c r="AZ605" s="93"/>
      <c r="BA605" s="93"/>
      <c r="BB605" s="93"/>
      <c r="BL605" s="93"/>
      <c r="BM605" s="93"/>
      <c r="BO605" s="93"/>
      <c r="BP605" s="93"/>
      <c r="BQ605" s="93"/>
      <c r="BR605" s="93"/>
      <c r="BS605" s="93"/>
      <c r="BT605" s="93"/>
      <c r="BU605" s="93"/>
      <c r="BV605" s="93"/>
      <c r="BW605" s="93"/>
      <c r="BX605" s="93"/>
      <c r="BY605" s="93"/>
      <c r="BZ605" s="93"/>
      <c r="CA605" s="93"/>
      <c r="CB605" s="93"/>
      <c r="CC605" s="93"/>
      <c r="CF605" s="93"/>
      <c r="CG605" s="93"/>
      <c r="CH605" s="93"/>
      <c r="CI605" s="93"/>
      <c r="CJ605" s="93"/>
      <c r="CK605" s="93"/>
      <c r="CL605" s="93"/>
      <c r="CM605" s="93"/>
      <c r="CN605" s="93"/>
      <c r="CO605" s="93"/>
      <c r="CP605" s="93"/>
      <c r="CQ605" s="93"/>
      <c r="CR605" s="93"/>
      <c r="CS605" s="93"/>
      <c r="CT605" s="93"/>
      <c r="CU605" s="93"/>
      <c r="CV605" s="93"/>
      <c r="CW605" s="93"/>
      <c r="CX605" s="93"/>
      <c r="CY605" s="93"/>
      <c r="CZ605" s="93"/>
      <c r="DA605" s="93"/>
      <c r="DB605" s="93"/>
      <c r="DC605" s="93"/>
      <c r="DD605" s="93"/>
      <c r="DE605" s="93"/>
      <c r="DF605" s="93"/>
      <c r="DG605" s="93"/>
      <c r="DH605" s="93"/>
      <c r="DI605" s="93"/>
      <c r="DJ605" s="93"/>
      <c r="DK605" s="93"/>
      <c r="DL605" s="93"/>
      <c r="DM605" s="93"/>
      <c r="DN605" s="93"/>
      <c r="DO605" s="93"/>
    </row>
    <row r="606" spans="1:198" ht="15">
      <c r="D606" s="935"/>
      <c r="E606" s="1043" t="s">
        <v>430</v>
      </c>
      <c r="G606" s="827"/>
      <c r="H606" s="809" t="s">
        <v>8959</v>
      </c>
      <c r="I606" s="92">
        <v>33</v>
      </c>
      <c r="J606" s="92" t="s">
        <v>18</v>
      </c>
      <c r="K606" s="92" t="s">
        <v>707</v>
      </c>
      <c r="L606" s="810">
        <v>7</v>
      </c>
      <c r="M606" s="811" t="str">
        <f t="shared" si="42"/>
        <v>College Graduate or Higher</v>
      </c>
      <c r="N606" s="92" t="s">
        <v>1208</v>
      </c>
      <c r="O606" s="812" t="s">
        <v>2229</v>
      </c>
      <c r="P606" s="1638"/>
      <c r="Q606" s="812" t="s">
        <v>2229</v>
      </c>
      <c r="R606" s="812" t="s">
        <v>8285</v>
      </c>
      <c r="S606" s="813">
        <v>40000</v>
      </c>
      <c r="V606" s="830"/>
      <c r="W606" s="815">
        <v>3</v>
      </c>
      <c r="X606" s="811" t="str">
        <f t="shared" si="40"/>
        <v>within the Province</v>
      </c>
      <c r="AB606" s="830"/>
      <c r="AG606" s="807" t="str">
        <f t="shared" si="43"/>
        <v/>
      </c>
      <c r="AJ606" s="865"/>
      <c r="AN606" s="816"/>
      <c r="AQ606" s="93"/>
      <c r="AR606" s="93"/>
      <c r="AS606" s="93"/>
      <c r="AT606" s="93"/>
      <c r="AU606" s="93"/>
      <c r="AV606" s="93"/>
      <c r="AW606" s="93"/>
      <c r="AX606" s="93"/>
      <c r="AY606" s="93"/>
      <c r="AZ606" s="93"/>
      <c r="BA606" s="93"/>
      <c r="BB606" s="93"/>
      <c r="BL606" s="93"/>
      <c r="BM606" s="93"/>
      <c r="BO606" s="93"/>
      <c r="BP606" s="93"/>
      <c r="BQ606" s="93"/>
      <c r="BR606" s="93"/>
      <c r="BS606" s="93"/>
      <c r="BT606" s="93"/>
      <c r="BU606" s="93"/>
      <c r="BV606" s="93"/>
      <c r="BW606" s="93"/>
      <c r="BX606" s="93"/>
      <c r="BY606" s="93"/>
      <c r="BZ606" s="93"/>
      <c r="CA606" s="93"/>
      <c r="CB606" s="93"/>
      <c r="CC606" s="93"/>
      <c r="CF606" s="93"/>
      <c r="CG606" s="93"/>
      <c r="CH606" s="93"/>
      <c r="CI606" s="93"/>
      <c r="CJ606" s="93"/>
      <c r="CK606" s="93"/>
      <c r="CL606" s="93"/>
      <c r="CM606" s="93"/>
      <c r="CN606" s="93"/>
      <c r="CO606" s="93"/>
      <c r="CP606" s="93"/>
      <c r="CQ606" s="93"/>
      <c r="CR606" s="93"/>
      <c r="CS606" s="93"/>
      <c r="CT606" s="93"/>
      <c r="CU606" s="93"/>
      <c r="CV606" s="93"/>
      <c r="CW606" s="93"/>
      <c r="CX606" s="93"/>
      <c r="CY606" s="93"/>
      <c r="CZ606" s="93"/>
      <c r="DA606" s="93"/>
      <c r="DB606" s="93"/>
      <c r="DC606" s="93"/>
      <c r="DD606" s="93"/>
      <c r="DE606" s="93"/>
      <c r="DF606" s="93"/>
      <c r="DG606" s="93"/>
      <c r="DH606" s="93"/>
      <c r="DI606" s="93"/>
      <c r="DJ606" s="93"/>
      <c r="DK606" s="93"/>
      <c r="DL606" s="93"/>
      <c r="DM606" s="93"/>
      <c r="DN606" s="93"/>
      <c r="DO606" s="93"/>
    </row>
    <row r="607" spans="1:198" ht="15">
      <c r="D607" s="935"/>
      <c r="E607" s="1043" t="s">
        <v>430</v>
      </c>
      <c r="F607" s="807"/>
      <c r="G607" s="827"/>
      <c r="H607" s="809" t="s">
        <v>8960</v>
      </c>
      <c r="I607" s="92">
        <v>32</v>
      </c>
      <c r="J607" s="92" t="s">
        <v>10</v>
      </c>
      <c r="K607" s="92" t="s">
        <v>707</v>
      </c>
      <c r="L607" s="810">
        <v>7</v>
      </c>
      <c r="M607" s="811" t="str">
        <f t="shared" si="42"/>
        <v>College Graduate or Higher</v>
      </c>
      <c r="N607" s="92" t="s">
        <v>1208</v>
      </c>
      <c r="O607" s="812" t="s">
        <v>2229</v>
      </c>
      <c r="P607" s="1638"/>
      <c r="Q607" s="812" t="s">
        <v>2229</v>
      </c>
      <c r="R607" s="812" t="s">
        <v>8285</v>
      </c>
      <c r="S607" s="813">
        <v>40000</v>
      </c>
      <c r="V607" s="830"/>
      <c r="W607" s="815">
        <v>3</v>
      </c>
      <c r="X607" s="811" t="str">
        <f t="shared" si="40"/>
        <v>within the Province</v>
      </c>
      <c r="AB607" s="830"/>
      <c r="AG607" s="807" t="str">
        <f t="shared" si="43"/>
        <v/>
      </c>
      <c r="AJ607" s="865"/>
      <c r="AN607" s="816"/>
      <c r="AQ607" s="93"/>
      <c r="AR607" s="93"/>
      <c r="AS607" s="93"/>
      <c r="AT607" s="93"/>
      <c r="AU607" s="93"/>
      <c r="AV607" s="93"/>
      <c r="AW607" s="93"/>
      <c r="AX607" s="93"/>
      <c r="AY607" s="93"/>
      <c r="AZ607" s="93"/>
      <c r="BA607" s="93"/>
      <c r="BB607" s="93"/>
      <c r="BL607" s="93"/>
      <c r="BM607" s="93"/>
      <c r="BO607" s="93"/>
      <c r="BP607" s="93"/>
      <c r="BQ607" s="93"/>
      <c r="BR607" s="93"/>
      <c r="BS607" s="93"/>
      <c r="BT607" s="93"/>
      <c r="BU607" s="93"/>
      <c r="BV607" s="93"/>
      <c r="BW607" s="93"/>
      <c r="BX607" s="93"/>
      <c r="BY607" s="93"/>
      <c r="BZ607" s="93"/>
      <c r="CA607" s="93"/>
      <c r="CB607" s="93"/>
      <c r="CC607" s="93"/>
      <c r="CF607" s="93"/>
      <c r="CG607" s="93"/>
      <c r="CH607" s="93"/>
      <c r="CI607" s="93"/>
      <c r="CJ607" s="93"/>
      <c r="CK607" s="93"/>
      <c r="CL607" s="93"/>
      <c r="CM607" s="93"/>
      <c r="CN607" s="93"/>
      <c r="CO607" s="93"/>
      <c r="CP607" s="93"/>
      <c r="CQ607" s="93"/>
      <c r="CR607" s="93"/>
      <c r="CS607" s="93"/>
      <c r="CT607" s="93"/>
      <c r="CU607" s="93"/>
      <c r="CV607" s="93"/>
      <c r="CW607" s="93"/>
      <c r="CX607" s="93"/>
      <c r="CY607" s="93"/>
      <c r="CZ607" s="93"/>
      <c r="DA607" s="93"/>
      <c r="DB607" s="93"/>
      <c r="DC607" s="93"/>
      <c r="DD607" s="93"/>
      <c r="DE607" s="93"/>
      <c r="DF607" s="93"/>
      <c r="DG607" s="93"/>
      <c r="DH607" s="93"/>
      <c r="DI607" s="93"/>
      <c r="DJ607" s="93"/>
      <c r="DK607" s="93"/>
      <c r="DL607" s="93"/>
      <c r="DM607" s="93"/>
      <c r="DN607" s="93"/>
      <c r="DO607" s="93"/>
    </row>
    <row r="608" spans="1:198" ht="15">
      <c r="D608" s="935"/>
      <c r="E608" s="1043" t="s">
        <v>430</v>
      </c>
      <c r="F608" s="807"/>
      <c r="G608" s="827"/>
      <c r="H608" s="809" t="s">
        <v>8957</v>
      </c>
      <c r="I608" s="92">
        <v>31</v>
      </c>
      <c r="J608" s="92" t="s">
        <v>18</v>
      </c>
      <c r="K608" s="92" t="s">
        <v>768</v>
      </c>
      <c r="L608" s="810">
        <v>9</v>
      </c>
      <c r="M608" s="811" t="str">
        <f t="shared" si="42"/>
        <v>Vocational Graduate</v>
      </c>
      <c r="P608" s="1638"/>
      <c r="V608" s="830"/>
      <c r="X608" s="811" t="str">
        <f t="shared" si="40"/>
        <v/>
      </c>
      <c r="AB608" s="830"/>
      <c r="AG608" s="807" t="str">
        <f t="shared" si="43"/>
        <v/>
      </c>
      <c r="AJ608" s="865"/>
      <c r="AN608" s="816"/>
      <c r="AQ608" s="93"/>
      <c r="AR608" s="93"/>
      <c r="AS608" s="93"/>
      <c r="AT608" s="93"/>
      <c r="AU608" s="93"/>
      <c r="AV608" s="93"/>
      <c r="AW608" s="93"/>
      <c r="AX608" s="93"/>
      <c r="AY608" s="93"/>
      <c r="AZ608" s="93"/>
      <c r="BA608" s="93"/>
      <c r="BB608" s="93"/>
      <c r="BL608" s="93"/>
      <c r="BM608" s="93"/>
      <c r="BO608" s="93"/>
      <c r="BP608" s="93"/>
      <c r="BQ608" s="93"/>
      <c r="BR608" s="93"/>
      <c r="BS608" s="93"/>
      <c r="BT608" s="93"/>
      <c r="BU608" s="93"/>
      <c r="BV608" s="93"/>
      <c r="BW608" s="93"/>
      <c r="BX608" s="93"/>
      <c r="BY608" s="93"/>
      <c r="BZ608" s="93"/>
      <c r="CA608" s="93"/>
      <c r="CB608" s="93"/>
      <c r="CC608" s="93"/>
      <c r="CF608" s="93"/>
      <c r="CG608" s="93"/>
      <c r="CH608" s="93"/>
      <c r="CI608" s="93"/>
      <c r="CJ608" s="93"/>
      <c r="CK608" s="93"/>
      <c r="CL608" s="93"/>
      <c r="CM608" s="93"/>
      <c r="CN608" s="93"/>
      <c r="CO608" s="93"/>
      <c r="CP608" s="93"/>
      <c r="CQ608" s="93"/>
      <c r="CR608" s="93"/>
      <c r="CS608" s="93"/>
      <c r="CT608" s="93"/>
      <c r="CU608" s="93"/>
      <c r="CV608" s="93"/>
      <c r="CW608" s="93"/>
      <c r="CX608" s="93"/>
      <c r="CY608" s="93"/>
      <c r="CZ608" s="93"/>
      <c r="DA608" s="93"/>
      <c r="DB608" s="93"/>
      <c r="DC608" s="93"/>
      <c r="DD608" s="93"/>
      <c r="DE608" s="93"/>
      <c r="DF608" s="93"/>
      <c r="DG608" s="93"/>
      <c r="DH608" s="93"/>
      <c r="DI608" s="93"/>
      <c r="DJ608" s="93"/>
      <c r="DK608" s="93"/>
      <c r="DL608" s="93"/>
      <c r="DM608" s="93"/>
      <c r="DN608" s="93"/>
      <c r="DO608" s="93"/>
    </row>
    <row r="609" spans="1:119" ht="15">
      <c r="D609" s="935"/>
      <c r="E609" s="1043" t="s">
        <v>430</v>
      </c>
      <c r="F609" s="807"/>
      <c r="G609" s="827"/>
      <c r="H609" s="809" t="s">
        <v>8961</v>
      </c>
      <c r="I609" s="92">
        <v>28</v>
      </c>
      <c r="J609" s="92" t="s">
        <v>10</v>
      </c>
      <c r="K609" s="92" t="s">
        <v>768</v>
      </c>
      <c r="L609" s="810">
        <v>9</v>
      </c>
      <c r="M609" s="811" t="str">
        <f t="shared" si="42"/>
        <v>Vocational Graduate</v>
      </c>
      <c r="N609" s="92" t="s">
        <v>1208</v>
      </c>
      <c r="O609" s="812" t="s">
        <v>2212</v>
      </c>
      <c r="P609" s="1638"/>
      <c r="Q609" s="812" t="s">
        <v>2212</v>
      </c>
      <c r="R609" s="812" t="s">
        <v>8285</v>
      </c>
      <c r="S609" s="813">
        <v>30000</v>
      </c>
      <c r="V609" s="830"/>
      <c r="W609" s="815">
        <v>5</v>
      </c>
      <c r="X609" s="811" t="str">
        <f t="shared" si="40"/>
        <v>Overseas Worker</v>
      </c>
      <c r="AB609" s="830"/>
      <c r="AG609" s="807" t="str">
        <f t="shared" si="43"/>
        <v/>
      </c>
      <c r="AJ609" s="865"/>
      <c r="AN609" s="816"/>
      <c r="AQ609" s="93"/>
      <c r="AR609" s="93"/>
      <c r="AS609" s="93"/>
      <c r="AT609" s="93"/>
      <c r="AU609" s="93"/>
      <c r="AV609" s="93"/>
      <c r="AW609" s="93"/>
      <c r="AX609" s="93"/>
      <c r="AY609" s="93"/>
      <c r="AZ609" s="93"/>
      <c r="BA609" s="93"/>
      <c r="BB609" s="93"/>
      <c r="BL609" s="93"/>
      <c r="BM609" s="93"/>
      <c r="BO609" s="93"/>
      <c r="BP609" s="93"/>
      <c r="BQ609" s="93"/>
      <c r="BR609" s="93"/>
      <c r="BS609" s="93"/>
      <c r="BT609" s="93"/>
      <c r="BU609" s="93"/>
      <c r="BV609" s="93"/>
      <c r="BW609" s="93"/>
      <c r="BX609" s="93"/>
      <c r="BY609" s="93"/>
      <c r="BZ609" s="93"/>
      <c r="CA609" s="93"/>
      <c r="CB609" s="93"/>
      <c r="CC609" s="93"/>
      <c r="CF609" s="93"/>
      <c r="CG609" s="93"/>
      <c r="CH609" s="93"/>
      <c r="CI609" s="93"/>
      <c r="CJ609" s="93"/>
      <c r="CK609" s="93"/>
      <c r="CL609" s="93"/>
      <c r="CM609" s="93"/>
      <c r="CN609" s="93"/>
      <c r="CO609" s="93"/>
      <c r="CP609" s="93"/>
      <c r="CQ609" s="93"/>
      <c r="CR609" s="93"/>
      <c r="CS609" s="93"/>
      <c r="CT609" s="93"/>
      <c r="CU609" s="93"/>
      <c r="CV609" s="93"/>
      <c r="CW609" s="93"/>
      <c r="CX609" s="93"/>
      <c r="CY609" s="93"/>
      <c r="CZ609" s="93"/>
      <c r="DA609" s="93"/>
      <c r="DB609" s="93"/>
      <c r="DC609" s="93"/>
      <c r="DD609" s="93"/>
      <c r="DE609" s="93"/>
      <c r="DF609" s="93"/>
      <c r="DG609" s="93"/>
      <c r="DH609" s="93"/>
      <c r="DI609" s="93"/>
      <c r="DJ609" s="93"/>
      <c r="DK609" s="93"/>
      <c r="DL609" s="93"/>
      <c r="DM609" s="93"/>
      <c r="DN609" s="93"/>
      <c r="DO609" s="93"/>
    </row>
    <row r="610" spans="1:119" ht="15">
      <c r="D610" s="935"/>
      <c r="E610" s="1043" t="s">
        <v>430</v>
      </c>
      <c r="F610" s="807"/>
      <c r="G610" s="827"/>
      <c r="H610" s="809" t="s">
        <v>8962</v>
      </c>
      <c r="I610" s="92">
        <v>21</v>
      </c>
      <c r="J610" s="92" t="s">
        <v>10</v>
      </c>
      <c r="K610" s="92" t="s">
        <v>768</v>
      </c>
      <c r="L610" s="810">
        <v>7</v>
      </c>
      <c r="M610" s="811" t="str">
        <f t="shared" si="42"/>
        <v>College Graduate or Higher</v>
      </c>
      <c r="N610" s="92" t="s">
        <v>1208</v>
      </c>
      <c r="O610" s="812" t="s">
        <v>8963</v>
      </c>
      <c r="P610" s="1638"/>
      <c r="Q610" s="812" t="s">
        <v>8963</v>
      </c>
      <c r="R610" s="812" t="s">
        <v>8285</v>
      </c>
      <c r="S610" s="813">
        <v>20000</v>
      </c>
      <c r="V610" s="830">
        <f>SUM(S604:U610)</f>
        <v>160000</v>
      </c>
      <c r="W610" s="815">
        <v>3</v>
      </c>
      <c r="X610" s="811" t="str">
        <f t="shared" si="40"/>
        <v>within the Province</v>
      </c>
      <c r="Y610" s="816">
        <v>2000</v>
      </c>
      <c r="AB610" s="830">
        <f>SUM(Y604:AA610)</f>
        <v>2000</v>
      </c>
      <c r="AG610" s="807" t="str">
        <f t="shared" si="43"/>
        <v/>
      </c>
      <c r="AJ610" s="865"/>
      <c r="AN610" s="816"/>
      <c r="AQ610" s="93"/>
      <c r="AR610" s="93"/>
      <c r="AS610" s="93"/>
      <c r="AT610" s="93"/>
      <c r="AU610" s="93"/>
      <c r="AV610" s="93"/>
      <c r="AW610" s="93"/>
      <c r="AX610" s="93"/>
      <c r="AY610" s="93"/>
      <c r="AZ610" s="93"/>
      <c r="BA610" s="93"/>
      <c r="BB610" s="93"/>
      <c r="BL610" s="93"/>
      <c r="BM610" s="93"/>
      <c r="BO610" s="93"/>
      <c r="BP610" s="93"/>
      <c r="BQ610" s="93"/>
      <c r="BR610" s="93"/>
      <c r="BS610" s="93"/>
      <c r="BT610" s="93"/>
      <c r="BU610" s="93"/>
      <c r="BV610" s="93"/>
      <c r="BW610" s="93"/>
      <c r="BX610" s="93"/>
      <c r="BY610" s="93"/>
      <c r="BZ610" s="93"/>
      <c r="CA610" s="93"/>
      <c r="CB610" s="93"/>
      <c r="CC610" s="93"/>
      <c r="CF610" s="93"/>
      <c r="CG610" s="93"/>
      <c r="CH610" s="93"/>
      <c r="CI610" s="93"/>
      <c r="CJ610" s="93"/>
      <c r="CK610" s="93"/>
      <c r="CL610" s="93"/>
      <c r="CM610" s="93"/>
      <c r="CN610" s="93"/>
      <c r="CO610" s="93"/>
      <c r="CP610" s="93"/>
      <c r="CQ610" s="93"/>
      <c r="CR610" s="93"/>
      <c r="CS610" s="93"/>
      <c r="CT610" s="93"/>
      <c r="CU610" s="93"/>
      <c r="CV610" s="93"/>
      <c r="CW610" s="93"/>
      <c r="CX610" s="93"/>
      <c r="CY610" s="93"/>
      <c r="CZ610" s="93"/>
      <c r="DA610" s="93"/>
      <c r="DB610" s="93"/>
      <c r="DC610" s="93"/>
      <c r="DD610" s="93"/>
      <c r="DE610" s="93"/>
      <c r="DF610" s="93"/>
      <c r="DG610" s="93"/>
      <c r="DH610" s="93"/>
      <c r="DI610" s="93"/>
      <c r="DJ610" s="93"/>
      <c r="DK610" s="93"/>
      <c r="DL610" s="93"/>
      <c r="DM610" s="93"/>
      <c r="DN610" s="93"/>
      <c r="DO610" s="93"/>
    </row>
    <row r="611" spans="1:119" ht="15">
      <c r="D611" s="935" t="s">
        <v>434</v>
      </c>
      <c r="E611" s="807"/>
      <c r="F611" s="807"/>
      <c r="G611" s="841" t="s">
        <v>434</v>
      </c>
      <c r="H611" s="807"/>
      <c r="M611" s="811" t="str">
        <f t="shared" si="42"/>
        <v/>
      </c>
      <c r="P611" s="1638"/>
      <c r="X611" s="811" t="str">
        <f t="shared" si="40"/>
        <v/>
      </c>
      <c r="AD611" s="817" t="s">
        <v>11738</v>
      </c>
      <c r="AG611" s="807" t="str">
        <f t="shared" si="43"/>
        <v/>
      </c>
      <c r="AJ611" s="865"/>
      <c r="AN611" s="816"/>
      <c r="AQ611" s="93"/>
      <c r="AR611" s="93"/>
      <c r="AS611" s="93"/>
      <c r="AT611" s="93"/>
      <c r="AU611" s="93"/>
      <c r="AV611" s="93"/>
      <c r="AW611" s="93"/>
      <c r="AX611" s="93"/>
      <c r="AY611" s="93"/>
      <c r="AZ611" s="93"/>
      <c r="BA611" s="93"/>
      <c r="BB611" s="93"/>
      <c r="BL611" s="93"/>
      <c r="BM611" s="93"/>
      <c r="BO611" s="93"/>
      <c r="BP611" s="93"/>
      <c r="BQ611" s="93"/>
      <c r="BR611" s="93"/>
      <c r="BS611" s="93"/>
      <c r="BT611" s="93"/>
      <c r="BU611" s="93"/>
      <c r="BV611" s="93"/>
      <c r="BW611" s="93"/>
      <c r="BX611" s="93"/>
      <c r="BY611" s="93"/>
      <c r="BZ611" s="93"/>
      <c r="CA611" s="93"/>
      <c r="CB611" s="93"/>
      <c r="CC611" s="93"/>
      <c r="CF611" s="93"/>
      <c r="CG611" s="93"/>
      <c r="CH611" s="93"/>
      <c r="CI611" s="93"/>
      <c r="CJ611" s="93"/>
      <c r="CK611" s="93"/>
      <c r="CL611" s="93"/>
      <c r="CM611" s="93"/>
      <c r="CN611" s="93"/>
      <c r="CO611" s="93"/>
      <c r="CP611" s="93"/>
      <c r="CQ611" s="93"/>
      <c r="CR611" s="93"/>
      <c r="CS611" s="93"/>
      <c r="CT611" s="93"/>
      <c r="CU611" s="93"/>
      <c r="CV611" s="93"/>
      <c r="CW611" s="93"/>
      <c r="CX611" s="93"/>
      <c r="CY611" s="93"/>
      <c r="CZ611" s="93"/>
      <c r="DA611" s="93"/>
      <c r="DB611" s="93"/>
      <c r="DC611" s="93"/>
      <c r="DD611" s="93"/>
      <c r="DE611" s="93"/>
      <c r="DF611" s="93"/>
      <c r="DG611" s="93"/>
      <c r="DH611" s="93"/>
      <c r="DI611" s="93"/>
      <c r="DJ611" s="93"/>
      <c r="DK611" s="93">
        <v>1</v>
      </c>
      <c r="DL611" s="93"/>
      <c r="DM611" s="93"/>
      <c r="DN611" s="93"/>
      <c r="DO611" s="93"/>
    </row>
    <row r="612" spans="1:119" ht="15">
      <c r="D612" s="935" t="s">
        <v>436</v>
      </c>
      <c r="E612" s="807"/>
      <c r="F612" s="807"/>
      <c r="G612" s="841" t="s">
        <v>436</v>
      </c>
      <c r="H612" s="807"/>
      <c r="M612" s="811" t="str">
        <f t="shared" si="42"/>
        <v/>
      </c>
      <c r="P612" s="1638"/>
      <c r="X612" s="811" t="str">
        <f t="shared" si="40"/>
        <v/>
      </c>
      <c r="AD612" s="817" t="s">
        <v>8964</v>
      </c>
      <c r="AG612" s="807" t="str">
        <f t="shared" si="43"/>
        <v/>
      </c>
      <c r="AJ612" s="865"/>
      <c r="AN612" s="816"/>
      <c r="AQ612" s="93"/>
      <c r="AR612" s="93"/>
      <c r="AS612" s="93"/>
      <c r="AT612" s="93"/>
      <c r="AU612" s="93"/>
      <c r="AV612" s="93"/>
      <c r="AW612" s="93"/>
      <c r="AX612" s="93"/>
      <c r="AY612" s="93"/>
      <c r="AZ612" s="93"/>
      <c r="BA612" s="93"/>
      <c r="BB612" s="93"/>
      <c r="BL612" s="93"/>
      <c r="BM612" s="93"/>
      <c r="BO612" s="93"/>
      <c r="BP612" s="93"/>
      <c r="BQ612" s="93"/>
      <c r="BR612" s="93"/>
      <c r="BS612" s="93"/>
      <c r="BT612" s="93"/>
      <c r="BU612" s="93"/>
      <c r="BV612" s="93"/>
      <c r="BW612" s="93"/>
      <c r="BX612" s="93"/>
      <c r="BY612" s="93"/>
      <c r="BZ612" s="93"/>
      <c r="CA612" s="93"/>
      <c r="CB612" s="93"/>
      <c r="CC612" s="93"/>
      <c r="CF612" s="93"/>
      <c r="CG612" s="93"/>
      <c r="CH612" s="93"/>
      <c r="CI612" s="93"/>
      <c r="CJ612" s="93"/>
      <c r="CK612" s="93"/>
      <c r="CL612" s="93"/>
      <c r="CM612" s="93"/>
      <c r="CN612" s="93"/>
      <c r="CO612" s="93"/>
      <c r="CP612" s="93"/>
      <c r="CQ612" s="93"/>
      <c r="CR612" s="93"/>
      <c r="CS612" s="93"/>
      <c r="CT612" s="93"/>
      <c r="CU612" s="93"/>
      <c r="CV612" s="93"/>
      <c r="CW612" s="93"/>
      <c r="CX612" s="93"/>
      <c r="CY612" s="93"/>
      <c r="CZ612" s="93"/>
      <c r="DA612" s="93"/>
      <c r="DB612" s="93"/>
      <c r="DC612" s="93"/>
      <c r="DD612" s="93"/>
      <c r="DE612" s="93"/>
      <c r="DF612" s="93"/>
      <c r="DG612" s="93"/>
      <c r="DH612" s="93"/>
      <c r="DI612" s="93"/>
      <c r="DJ612" s="93"/>
      <c r="DK612" s="93"/>
      <c r="DL612" s="93"/>
      <c r="DM612" s="93"/>
      <c r="DN612" s="93"/>
      <c r="DO612" s="93"/>
    </row>
    <row r="613" spans="1:119" ht="15">
      <c r="D613" s="935"/>
      <c r="E613" s="807"/>
      <c r="F613" s="807"/>
      <c r="G613" s="827"/>
      <c r="H613" s="807"/>
      <c r="M613" s="811" t="str">
        <f t="shared" si="42"/>
        <v/>
      </c>
      <c r="P613" s="1638"/>
      <c r="X613" s="811" t="str">
        <f t="shared" si="40"/>
        <v/>
      </c>
      <c r="AD613" s="817" t="s">
        <v>8965</v>
      </c>
      <c r="AG613" s="807" t="str">
        <f t="shared" si="43"/>
        <v/>
      </c>
      <c r="AJ613" s="865"/>
      <c r="AN613" s="816"/>
      <c r="AQ613" s="93"/>
      <c r="AR613" s="93"/>
      <c r="AS613" s="93"/>
      <c r="AT613" s="93"/>
      <c r="AU613" s="93"/>
      <c r="AV613" s="93"/>
      <c r="AW613" s="93"/>
      <c r="AX613" s="93"/>
      <c r="AY613" s="93"/>
      <c r="AZ613" s="93"/>
      <c r="BA613" s="93"/>
      <c r="BB613" s="93"/>
      <c r="BL613" s="93"/>
      <c r="BM613" s="93"/>
      <c r="BO613" s="93"/>
      <c r="BP613" s="93"/>
      <c r="BQ613" s="93"/>
      <c r="BR613" s="93"/>
      <c r="BS613" s="93"/>
      <c r="BT613" s="93"/>
      <c r="BU613" s="93"/>
      <c r="BV613" s="93"/>
      <c r="BW613" s="93"/>
      <c r="BX613" s="93"/>
      <c r="BY613" s="93"/>
      <c r="BZ613" s="93"/>
      <c r="CA613" s="93"/>
      <c r="CB613" s="93"/>
      <c r="CC613" s="93"/>
      <c r="CF613" s="93"/>
      <c r="CG613" s="93"/>
      <c r="CH613" s="93"/>
      <c r="CI613" s="93"/>
      <c r="CJ613" s="93"/>
      <c r="CK613" s="93"/>
      <c r="CL613" s="93"/>
      <c r="CM613" s="93"/>
      <c r="CN613" s="93"/>
      <c r="CO613" s="93"/>
      <c r="CP613" s="93"/>
      <c r="CQ613" s="93"/>
      <c r="CR613" s="93"/>
      <c r="CS613" s="93"/>
      <c r="CT613" s="93"/>
      <c r="CU613" s="93"/>
      <c r="CV613" s="93"/>
      <c r="CW613" s="93"/>
      <c r="CX613" s="93"/>
      <c r="CY613" s="93"/>
      <c r="CZ613" s="93"/>
      <c r="DA613" s="93"/>
      <c r="DB613" s="93"/>
      <c r="DC613" s="93"/>
      <c r="DD613" s="93"/>
      <c r="DE613" s="93"/>
      <c r="DF613" s="93"/>
      <c r="DG613" s="93"/>
      <c r="DH613" s="93"/>
      <c r="DI613" s="93"/>
      <c r="DJ613" s="93"/>
      <c r="DK613" s="93"/>
      <c r="DL613" s="93"/>
      <c r="DM613" s="93"/>
      <c r="DN613" s="93"/>
      <c r="DO613" s="93"/>
    </row>
    <row r="614" spans="1:119" ht="15">
      <c r="A614" s="1076"/>
      <c r="B614" s="6"/>
      <c r="C614" s="164"/>
      <c r="D614" s="935" t="s">
        <v>437</v>
      </c>
      <c r="E614" s="807"/>
      <c r="F614" s="807"/>
      <c r="G614" s="841" t="s">
        <v>437</v>
      </c>
      <c r="H614" s="807"/>
      <c r="M614" s="811" t="str">
        <f t="shared" si="42"/>
        <v/>
      </c>
      <c r="P614" s="1638"/>
      <c r="X614" s="811" t="str">
        <f t="shared" si="40"/>
        <v/>
      </c>
      <c r="AD614" s="817" t="s">
        <v>8966</v>
      </c>
      <c r="AG614" s="807" t="str">
        <f t="shared" si="43"/>
        <v/>
      </c>
      <c r="AJ614" s="865"/>
      <c r="AN614" s="816"/>
      <c r="AQ614" s="93"/>
      <c r="AR614" s="93"/>
      <c r="AS614" s="93"/>
      <c r="AT614" s="93"/>
      <c r="AU614" s="93"/>
      <c r="AV614" s="93"/>
      <c r="AW614" s="93"/>
      <c r="AX614" s="93"/>
      <c r="AY614" s="93"/>
      <c r="AZ614" s="93"/>
      <c r="BA614" s="93"/>
      <c r="BB614" s="93"/>
      <c r="BL614" s="93"/>
      <c r="BM614" s="93"/>
      <c r="BO614" s="93"/>
      <c r="BP614" s="93"/>
      <c r="BQ614" s="93"/>
      <c r="BR614" s="93"/>
      <c r="BS614" s="93"/>
      <c r="BT614" s="93"/>
      <c r="BU614" s="93"/>
      <c r="BV614" s="93"/>
      <c r="BW614" s="93"/>
      <c r="BX614" s="93"/>
      <c r="BY614" s="93"/>
      <c r="BZ614" s="93"/>
      <c r="CA614" s="93"/>
      <c r="CB614" s="93"/>
      <c r="CC614" s="93"/>
      <c r="CF614" s="93"/>
      <c r="CG614" s="93"/>
      <c r="CH614" s="93"/>
      <c r="CI614" s="93"/>
      <c r="CJ614" s="93"/>
      <c r="CK614" s="93"/>
      <c r="CL614" s="93"/>
      <c r="CM614" s="93"/>
      <c r="CN614" s="93"/>
      <c r="CO614" s="93"/>
      <c r="CP614" s="93"/>
      <c r="CQ614" s="93"/>
      <c r="CR614" s="93"/>
      <c r="CS614" s="93"/>
      <c r="CT614" s="93"/>
      <c r="CU614" s="93"/>
      <c r="CV614" s="93"/>
      <c r="CW614" s="93"/>
      <c r="CX614" s="93"/>
      <c r="CY614" s="93"/>
      <c r="CZ614" s="93"/>
      <c r="DA614" s="93"/>
      <c r="DB614" s="93"/>
      <c r="DC614" s="93"/>
      <c r="DD614" s="93"/>
      <c r="DE614" s="93"/>
      <c r="DF614" s="93"/>
      <c r="DG614" s="93"/>
      <c r="DH614" s="93"/>
      <c r="DI614" s="93"/>
      <c r="DJ614" s="93"/>
      <c r="DK614" s="93"/>
      <c r="DL614" s="93"/>
      <c r="DM614" s="93"/>
      <c r="DN614" s="93"/>
      <c r="DO614" s="93"/>
    </row>
    <row r="615" spans="1:119" ht="15">
      <c r="A615" s="1076"/>
      <c r="B615" s="6"/>
      <c r="C615" s="164"/>
      <c r="D615" s="935" t="s">
        <v>440</v>
      </c>
      <c r="E615" s="807"/>
      <c r="F615" s="807"/>
      <c r="G615" s="841" t="s">
        <v>440</v>
      </c>
      <c r="H615" s="807"/>
      <c r="M615" s="811" t="str">
        <f t="shared" si="42"/>
        <v/>
      </c>
      <c r="P615" s="1638"/>
      <c r="X615" s="811" t="str">
        <f t="shared" si="40"/>
        <v/>
      </c>
      <c r="AG615" s="807" t="str">
        <f t="shared" si="43"/>
        <v/>
      </c>
      <c r="AJ615" s="865"/>
      <c r="AK615" s="836" t="s">
        <v>8967</v>
      </c>
      <c r="AL615" s="92">
        <v>1</v>
      </c>
      <c r="AM615" s="92" t="s">
        <v>8968</v>
      </c>
      <c r="AN615" s="816">
        <f t="shared" ref="AN615:AN626" si="44">20*491</f>
        <v>9820</v>
      </c>
      <c r="AQ615" s="93"/>
      <c r="AR615" s="93"/>
      <c r="AS615" s="93"/>
      <c r="AT615" s="93"/>
      <c r="AU615" s="93"/>
      <c r="AV615" s="93"/>
      <c r="AW615" s="93"/>
      <c r="AX615" s="93"/>
      <c r="AY615" s="93"/>
      <c r="AZ615" s="93"/>
      <c r="BA615" s="93"/>
      <c r="BB615" s="93"/>
      <c r="BL615" s="93"/>
      <c r="BM615" s="93"/>
      <c r="BO615" s="93"/>
      <c r="BP615" s="93"/>
      <c r="BQ615" s="93"/>
      <c r="BR615" s="93"/>
      <c r="BS615" s="93"/>
      <c r="BT615" s="93"/>
      <c r="BU615" s="93"/>
      <c r="BV615" s="93"/>
      <c r="BW615" s="93"/>
      <c r="BX615" s="93"/>
      <c r="BY615" s="93"/>
      <c r="BZ615" s="93"/>
      <c r="CA615" s="93"/>
      <c r="CB615" s="93"/>
      <c r="CC615" s="93"/>
      <c r="CF615" s="93"/>
      <c r="CG615" s="93"/>
      <c r="CH615" s="93"/>
      <c r="CI615" s="93"/>
      <c r="CJ615" s="93"/>
      <c r="CK615" s="93"/>
      <c r="CL615" s="93"/>
      <c r="CM615" s="93"/>
      <c r="CN615" s="93"/>
      <c r="CO615" s="93"/>
      <c r="CP615" s="93"/>
      <c r="CQ615" s="93"/>
      <c r="CR615" s="93"/>
      <c r="CS615" s="93"/>
      <c r="CT615" s="93"/>
      <c r="CU615" s="93"/>
      <c r="CV615" s="93"/>
      <c r="CW615" s="93"/>
      <c r="CX615" s="93"/>
      <c r="CY615" s="93"/>
      <c r="CZ615" s="93"/>
      <c r="DA615" s="93"/>
      <c r="DB615" s="93"/>
      <c r="DC615" s="93"/>
      <c r="DD615" s="93"/>
      <c r="DE615" s="93"/>
      <c r="DF615" s="93"/>
      <c r="DG615" s="93"/>
      <c r="DH615" s="93"/>
      <c r="DI615" s="93"/>
      <c r="DJ615" s="93"/>
      <c r="DK615" s="93"/>
      <c r="DL615" s="93"/>
      <c r="DM615" s="93"/>
      <c r="DN615" s="93"/>
      <c r="DO615" s="93"/>
    </row>
    <row r="616" spans="1:119" ht="15">
      <c r="A616" s="1076"/>
      <c r="B616" s="6"/>
      <c r="C616" s="164"/>
      <c r="D616" s="935"/>
      <c r="E616" s="807"/>
      <c r="F616" s="807"/>
      <c r="G616" s="827"/>
      <c r="H616" s="807"/>
      <c r="M616" s="811" t="str">
        <f t="shared" si="42"/>
        <v/>
      </c>
      <c r="P616" s="1638"/>
      <c r="X616" s="811" t="str">
        <f t="shared" si="40"/>
        <v/>
      </c>
      <c r="AG616" s="807" t="str">
        <f t="shared" si="43"/>
        <v/>
      </c>
      <c r="AJ616" s="865"/>
      <c r="AK616" s="836" t="s">
        <v>8969</v>
      </c>
      <c r="AL616" s="92">
        <v>1</v>
      </c>
      <c r="AM616" s="92" t="s">
        <v>8970</v>
      </c>
      <c r="AN616" s="816">
        <f t="shared" si="44"/>
        <v>9820</v>
      </c>
      <c r="AQ616" s="93"/>
      <c r="AR616" s="93"/>
      <c r="AS616" s="93"/>
      <c r="AT616" s="93"/>
      <c r="AU616" s="93"/>
      <c r="AV616" s="93"/>
      <c r="AW616" s="93"/>
      <c r="AX616" s="93"/>
      <c r="AY616" s="93"/>
      <c r="AZ616" s="93"/>
      <c r="BA616" s="93"/>
      <c r="BB616" s="93"/>
      <c r="BL616" s="93"/>
      <c r="BM616" s="93"/>
      <c r="BO616" s="93"/>
      <c r="BP616" s="93"/>
      <c r="BQ616" s="93"/>
      <c r="BR616" s="93"/>
      <c r="BS616" s="93"/>
      <c r="BT616" s="93"/>
      <c r="BU616" s="93"/>
      <c r="BV616" s="93"/>
      <c r="BW616" s="93"/>
      <c r="BX616" s="93"/>
      <c r="BY616" s="93"/>
      <c r="BZ616" s="93"/>
      <c r="CA616" s="93"/>
      <c r="CB616" s="93"/>
      <c r="CC616" s="93"/>
      <c r="CF616" s="93"/>
      <c r="CG616" s="93"/>
      <c r="CH616" s="93"/>
      <c r="CI616" s="93"/>
      <c r="CJ616" s="93"/>
      <c r="CK616" s="93"/>
      <c r="CL616" s="93"/>
      <c r="CM616" s="93"/>
      <c r="CN616" s="93"/>
      <c r="CO616" s="93"/>
      <c r="CP616" s="93"/>
      <c r="CQ616" s="93"/>
      <c r="CR616" s="93"/>
      <c r="CS616" s="93"/>
      <c r="CT616" s="93"/>
      <c r="CU616" s="93"/>
      <c r="CV616" s="93"/>
      <c r="CW616" s="93"/>
      <c r="CX616" s="93"/>
      <c r="CY616" s="93"/>
      <c r="CZ616" s="93"/>
      <c r="DA616" s="93"/>
      <c r="DB616" s="93"/>
      <c r="DC616" s="93"/>
      <c r="DD616" s="93"/>
      <c r="DE616" s="93"/>
      <c r="DF616" s="93"/>
      <c r="DG616" s="93"/>
      <c r="DH616" s="93"/>
      <c r="DI616" s="93"/>
      <c r="DJ616" s="93"/>
      <c r="DK616" s="93"/>
      <c r="DL616" s="93"/>
      <c r="DM616" s="93"/>
      <c r="DN616" s="93"/>
      <c r="DO616" s="93"/>
    </row>
    <row r="617" spans="1:119" ht="15">
      <c r="A617" s="1076"/>
      <c r="B617" s="6"/>
      <c r="C617" s="164"/>
      <c r="D617" s="935"/>
      <c r="E617" s="807"/>
      <c r="F617" s="807"/>
      <c r="G617" s="827"/>
      <c r="H617" s="807"/>
      <c r="M617" s="811" t="str">
        <f t="shared" si="42"/>
        <v/>
      </c>
      <c r="P617" s="1638"/>
      <c r="X617" s="811" t="str">
        <f t="shared" si="40"/>
        <v/>
      </c>
      <c r="AG617" s="807" t="str">
        <f t="shared" si="43"/>
        <v/>
      </c>
      <c r="AJ617" s="865"/>
      <c r="AK617" s="836" t="s">
        <v>8971</v>
      </c>
      <c r="AL617" s="92">
        <v>1</v>
      </c>
      <c r="AM617" s="92" t="s">
        <v>8972</v>
      </c>
      <c r="AN617" s="816">
        <f t="shared" si="44"/>
        <v>9820</v>
      </c>
      <c r="AQ617" s="93"/>
      <c r="AR617" s="93"/>
      <c r="AS617" s="93"/>
      <c r="AT617" s="93"/>
      <c r="AU617" s="93"/>
      <c r="AV617" s="93"/>
      <c r="AW617" s="93"/>
      <c r="AX617" s="93"/>
      <c r="AY617" s="93"/>
      <c r="AZ617" s="93"/>
      <c r="BA617" s="93"/>
      <c r="BB617" s="93"/>
      <c r="BL617" s="93"/>
      <c r="BM617" s="93"/>
      <c r="BO617" s="93"/>
      <c r="BP617" s="93"/>
      <c r="BQ617" s="93"/>
      <c r="BR617" s="93"/>
      <c r="BS617" s="93"/>
      <c r="BT617" s="93"/>
      <c r="BU617" s="93"/>
      <c r="BV617" s="93"/>
      <c r="BW617" s="93"/>
      <c r="BX617" s="93"/>
      <c r="BY617" s="93"/>
      <c r="BZ617" s="93"/>
      <c r="CA617" s="93"/>
      <c r="CB617" s="93"/>
      <c r="CC617" s="93"/>
      <c r="CF617" s="93"/>
      <c r="CG617" s="93"/>
      <c r="CH617" s="93"/>
      <c r="CI617" s="93"/>
      <c r="CJ617" s="93"/>
      <c r="CK617" s="93"/>
      <c r="CL617" s="93"/>
      <c r="CM617" s="93"/>
      <c r="CN617" s="93"/>
      <c r="CO617" s="93"/>
      <c r="CP617" s="93"/>
      <c r="CQ617" s="93"/>
      <c r="CR617" s="93"/>
      <c r="CS617" s="93"/>
      <c r="CT617" s="93"/>
      <c r="CU617" s="93"/>
      <c r="CV617" s="93"/>
      <c r="CW617" s="93"/>
      <c r="CX617" s="93"/>
      <c r="CY617" s="93"/>
      <c r="CZ617" s="93"/>
      <c r="DA617" s="93"/>
      <c r="DB617" s="93"/>
      <c r="DC617" s="93"/>
      <c r="DD617" s="93"/>
      <c r="DE617" s="93"/>
      <c r="DF617" s="93"/>
      <c r="DG617" s="93"/>
      <c r="DH617" s="93"/>
      <c r="DI617" s="93"/>
      <c r="DJ617" s="93"/>
      <c r="DK617" s="93"/>
      <c r="DL617" s="93"/>
      <c r="DM617" s="93"/>
      <c r="DN617" s="93"/>
      <c r="DO617" s="93"/>
    </row>
    <row r="618" spans="1:119" ht="15">
      <c r="A618" s="1076"/>
      <c r="B618" s="6"/>
      <c r="C618" s="164"/>
      <c r="D618" s="935"/>
      <c r="E618" s="807"/>
      <c r="F618" s="807"/>
      <c r="G618" s="827"/>
      <c r="H618" s="807"/>
      <c r="M618" s="811" t="str">
        <f t="shared" si="42"/>
        <v/>
      </c>
      <c r="P618" s="1638"/>
      <c r="X618" s="811" t="str">
        <f t="shared" si="40"/>
        <v/>
      </c>
      <c r="AG618" s="807" t="str">
        <f t="shared" si="43"/>
        <v/>
      </c>
      <c r="AJ618" s="865"/>
      <c r="AK618" s="836" t="s">
        <v>8973</v>
      </c>
      <c r="AL618" s="92">
        <v>1</v>
      </c>
      <c r="AM618" s="92" t="s">
        <v>8974</v>
      </c>
      <c r="AN618" s="816">
        <f t="shared" si="44"/>
        <v>9820</v>
      </c>
      <c r="AQ618" s="93"/>
      <c r="AR618" s="93"/>
      <c r="AS618" s="93"/>
      <c r="AT618" s="93"/>
      <c r="AU618" s="93"/>
      <c r="AV618" s="93"/>
      <c r="AW618" s="93"/>
      <c r="AX618" s="93"/>
      <c r="AY618" s="93"/>
      <c r="AZ618" s="93"/>
      <c r="BA618" s="93"/>
      <c r="BB618" s="93"/>
      <c r="BL618" s="93"/>
      <c r="BM618" s="93"/>
      <c r="BO618" s="93"/>
      <c r="BP618" s="93"/>
      <c r="BQ618" s="93"/>
      <c r="BR618" s="93"/>
      <c r="BS618" s="93"/>
      <c r="BT618" s="93"/>
      <c r="BU618" s="93"/>
      <c r="BV618" s="93"/>
      <c r="BW618" s="93"/>
      <c r="BX618" s="93"/>
      <c r="BY618" s="93"/>
      <c r="BZ618" s="93"/>
      <c r="CA618" s="93"/>
      <c r="CB618" s="93"/>
      <c r="CC618" s="93"/>
      <c r="CF618" s="93"/>
      <c r="CG618" s="93"/>
      <c r="CH618" s="93"/>
      <c r="CI618" s="93"/>
      <c r="CJ618" s="93"/>
      <c r="CK618" s="93"/>
      <c r="CL618" s="93"/>
      <c r="CM618" s="93"/>
      <c r="CN618" s="93"/>
      <c r="CO618" s="93"/>
      <c r="CP618" s="93"/>
      <c r="CQ618" s="93"/>
      <c r="CR618" s="93"/>
      <c r="CS618" s="93"/>
      <c r="CT618" s="93"/>
      <c r="CU618" s="93"/>
      <c r="CV618" s="93"/>
      <c r="CW618" s="93"/>
      <c r="CX618" s="93"/>
      <c r="CY618" s="93"/>
      <c r="CZ618" s="93"/>
      <c r="DA618" s="93"/>
      <c r="DB618" s="93"/>
      <c r="DC618" s="93"/>
      <c r="DD618" s="93"/>
      <c r="DE618" s="93"/>
      <c r="DF618" s="93"/>
      <c r="DG618" s="93"/>
      <c r="DH618" s="93"/>
      <c r="DI618" s="93"/>
      <c r="DJ618" s="93"/>
      <c r="DK618" s="93"/>
      <c r="DL618" s="93"/>
      <c r="DM618" s="93"/>
      <c r="DN618" s="93"/>
      <c r="DO618" s="93"/>
    </row>
    <row r="619" spans="1:119" ht="15">
      <c r="B619" s="6"/>
      <c r="D619" s="935"/>
      <c r="E619" s="807"/>
      <c r="F619" s="807"/>
      <c r="G619" s="827"/>
      <c r="H619" s="807"/>
      <c r="M619" s="811" t="str">
        <f t="shared" si="42"/>
        <v/>
      </c>
      <c r="P619" s="1638"/>
      <c r="X619" s="811" t="str">
        <f t="shared" si="40"/>
        <v/>
      </c>
      <c r="AG619" s="807" t="str">
        <f t="shared" si="43"/>
        <v/>
      </c>
      <c r="AJ619" s="865"/>
      <c r="AK619" s="836" t="s">
        <v>8975</v>
      </c>
      <c r="AL619" s="92">
        <v>1</v>
      </c>
      <c r="AM619" s="92" t="s">
        <v>8976</v>
      </c>
      <c r="AN619" s="816">
        <f t="shared" si="44"/>
        <v>9820</v>
      </c>
      <c r="AQ619" s="93"/>
      <c r="AR619" s="93"/>
      <c r="AS619" s="93"/>
      <c r="AT619" s="93"/>
      <c r="AU619" s="93"/>
      <c r="AV619" s="93"/>
      <c r="AW619" s="93"/>
      <c r="AX619" s="93"/>
      <c r="AY619" s="93"/>
      <c r="AZ619" s="93"/>
      <c r="BA619" s="93"/>
      <c r="BB619" s="93"/>
      <c r="BL619" s="93"/>
      <c r="BM619" s="93"/>
      <c r="BO619" s="93"/>
      <c r="BP619" s="93"/>
      <c r="BQ619" s="93"/>
      <c r="BR619" s="93"/>
      <c r="BS619" s="93"/>
      <c r="BT619" s="93"/>
      <c r="BU619" s="93"/>
      <c r="BV619" s="93"/>
      <c r="BW619" s="93"/>
      <c r="BX619" s="93"/>
      <c r="BY619" s="93"/>
      <c r="BZ619" s="93"/>
      <c r="CA619" s="93"/>
      <c r="CB619" s="93"/>
      <c r="CC619" s="93"/>
      <c r="CF619" s="93"/>
      <c r="CG619" s="93"/>
      <c r="CH619" s="93"/>
      <c r="CI619" s="93"/>
      <c r="CJ619" s="93"/>
      <c r="CK619" s="93"/>
      <c r="CL619" s="93"/>
      <c r="CM619" s="93"/>
      <c r="CN619" s="93"/>
      <c r="CO619" s="93"/>
      <c r="CP619" s="93"/>
      <c r="CQ619" s="93"/>
      <c r="CR619" s="93"/>
      <c r="CS619" s="93"/>
      <c r="CT619" s="93"/>
      <c r="CU619" s="93"/>
      <c r="CV619" s="93"/>
      <c r="CW619" s="93"/>
      <c r="CX619" s="93"/>
      <c r="CY619" s="93"/>
      <c r="CZ619" s="93"/>
      <c r="DA619" s="93"/>
      <c r="DB619" s="93"/>
      <c r="DC619" s="93"/>
      <c r="DD619" s="93"/>
      <c r="DE619" s="93"/>
      <c r="DF619" s="93"/>
      <c r="DG619" s="93"/>
      <c r="DH619" s="93"/>
      <c r="DI619" s="93"/>
      <c r="DJ619" s="93"/>
      <c r="DK619" s="93"/>
      <c r="DL619" s="93"/>
      <c r="DM619" s="93"/>
      <c r="DN619" s="93"/>
      <c r="DO619" s="93"/>
    </row>
    <row r="620" spans="1:119" ht="15">
      <c r="B620" s="6"/>
      <c r="D620" s="935"/>
      <c r="E620" s="807"/>
      <c r="F620" s="807"/>
      <c r="G620" s="827"/>
      <c r="H620" s="807"/>
      <c r="M620" s="811" t="str">
        <f t="shared" si="42"/>
        <v/>
      </c>
      <c r="P620" s="1638"/>
      <c r="X620" s="811" t="str">
        <f t="shared" si="40"/>
        <v/>
      </c>
      <c r="AG620" s="807" t="str">
        <f t="shared" si="43"/>
        <v/>
      </c>
      <c r="AJ620" s="865"/>
      <c r="AK620" s="836" t="s">
        <v>8977</v>
      </c>
      <c r="AL620" s="92">
        <v>1</v>
      </c>
      <c r="AM620" s="92" t="s">
        <v>8978</v>
      </c>
      <c r="AN620" s="816">
        <f t="shared" si="44"/>
        <v>9820</v>
      </c>
      <c r="AQ620" s="93"/>
      <c r="AR620" s="93"/>
      <c r="AS620" s="93"/>
      <c r="AT620" s="93"/>
      <c r="AU620" s="93"/>
      <c r="AV620" s="93"/>
      <c r="AW620" s="93"/>
      <c r="AX620" s="93"/>
      <c r="AY620" s="93"/>
      <c r="AZ620" s="93"/>
      <c r="BA620" s="93"/>
      <c r="BB620" s="93"/>
      <c r="BL620" s="93"/>
      <c r="BM620" s="93"/>
      <c r="BO620" s="93"/>
      <c r="BP620" s="93"/>
      <c r="BQ620" s="93"/>
      <c r="BR620" s="93"/>
      <c r="BS620" s="93"/>
      <c r="BT620" s="93"/>
      <c r="BU620" s="93"/>
      <c r="BV620" s="93"/>
      <c r="BW620" s="93"/>
      <c r="BX620" s="93"/>
      <c r="BY620" s="93"/>
      <c r="BZ620" s="93"/>
      <c r="CA620" s="93"/>
      <c r="CB620" s="93"/>
      <c r="CC620" s="93"/>
      <c r="CF620" s="93"/>
      <c r="CG620" s="93"/>
      <c r="CH620" s="93"/>
      <c r="CI620" s="93"/>
      <c r="CJ620" s="93"/>
      <c r="CK620" s="93"/>
      <c r="CL620" s="93"/>
      <c r="CM620" s="93"/>
      <c r="CN620" s="93"/>
      <c r="CO620" s="93"/>
      <c r="CP620" s="93"/>
      <c r="CQ620" s="93"/>
      <c r="CR620" s="93"/>
      <c r="CS620" s="93"/>
      <c r="CT620" s="93"/>
      <c r="CU620" s="93"/>
      <c r="CV620" s="93"/>
      <c r="CW620" s="93"/>
      <c r="CX620" s="93"/>
      <c r="CY620" s="93"/>
      <c r="CZ620" s="93"/>
      <c r="DA620" s="93"/>
      <c r="DB620" s="93"/>
      <c r="DC620" s="93"/>
      <c r="DD620" s="93"/>
      <c r="DE620" s="93"/>
      <c r="DF620" s="93"/>
      <c r="DG620" s="93"/>
      <c r="DH620" s="93"/>
      <c r="DI620" s="93"/>
      <c r="DJ620" s="93"/>
      <c r="DK620" s="93"/>
      <c r="DL620" s="93"/>
      <c r="DM620" s="93"/>
      <c r="DN620" s="93"/>
      <c r="DO620" s="93"/>
    </row>
    <row r="621" spans="1:119" ht="15">
      <c r="B621" s="6"/>
      <c r="D621" s="935"/>
      <c r="E621" s="807"/>
      <c r="F621" s="807"/>
      <c r="G621" s="827"/>
      <c r="H621" s="807"/>
      <c r="M621" s="811" t="str">
        <f t="shared" si="42"/>
        <v/>
      </c>
      <c r="O621" s="92"/>
      <c r="P621" s="1638"/>
      <c r="Q621" s="92"/>
      <c r="R621" s="92"/>
      <c r="X621" s="811" t="str">
        <f t="shared" si="40"/>
        <v/>
      </c>
      <c r="AG621" s="807" t="str">
        <f t="shared" si="43"/>
        <v/>
      </c>
      <c r="AJ621" s="865"/>
      <c r="AK621" s="836" t="s">
        <v>8979</v>
      </c>
      <c r="AL621" s="92">
        <v>1</v>
      </c>
      <c r="AM621" s="92" t="s">
        <v>8980</v>
      </c>
      <c r="AN621" s="816">
        <f t="shared" si="44"/>
        <v>9820</v>
      </c>
      <c r="AQ621" s="93"/>
      <c r="AR621" s="93"/>
      <c r="AS621" s="93"/>
      <c r="AT621" s="93"/>
      <c r="AU621" s="93"/>
      <c r="AV621" s="93"/>
      <c r="AW621" s="93"/>
      <c r="AX621" s="93"/>
      <c r="AY621" s="93"/>
      <c r="AZ621" s="93"/>
      <c r="BA621" s="93"/>
      <c r="BB621" s="93"/>
      <c r="BL621" s="93"/>
      <c r="BM621" s="93"/>
      <c r="BO621" s="93"/>
      <c r="BP621" s="93"/>
      <c r="BQ621" s="93"/>
      <c r="BR621" s="93"/>
      <c r="BS621" s="93"/>
      <c r="BT621" s="93"/>
      <c r="BU621" s="93"/>
      <c r="BV621" s="93"/>
      <c r="BW621" s="93"/>
      <c r="BX621" s="93"/>
      <c r="BY621" s="93"/>
      <c r="BZ621" s="93"/>
      <c r="CA621" s="93"/>
      <c r="CB621" s="93"/>
      <c r="CC621" s="93"/>
      <c r="CF621" s="93"/>
      <c r="CG621" s="93"/>
      <c r="CH621" s="93"/>
      <c r="CI621" s="93"/>
      <c r="CJ621" s="93"/>
      <c r="CK621" s="93"/>
      <c r="CL621" s="93"/>
      <c r="CM621" s="93"/>
      <c r="CN621" s="93"/>
      <c r="CO621" s="93"/>
      <c r="CP621" s="93"/>
      <c r="CQ621" s="93"/>
      <c r="CR621" s="93"/>
      <c r="CS621" s="93"/>
      <c r="CT621" s="93"/>
      <c r="CU621" s="93"/>
      <c r="CV621" s="93"/>
      <c r="CW621" s="93"/>
      <c r="CX621" s="93"/>
      <c r="CY621" s="93"/>
      <c r="CZ621" s="93"/>
      <c r="DA621" s="93"/>
      <c r="DB621" s="93"/>
      <c r="DC621" s="93"/>
      <c r="DD621" s="93"/>
      <c r="DE621" s="93"/>
      <c r="DF621" s="93"/>
      <c r="DG621" s="93"/>
      <c r="DH621" s="93"/>
      <c r="DI621" s="93"/>
      <c r="DJ621" s="93"/>
      <c r="DK621" s="93"/>
      <c r="DL621" s="93"/>
      <c r="DM621" s="93"/>
      <c r="DN621" s="93"/>
      <c r="DO621" s="93"/>
    </row>
    <row r="622" spans="1:119" ht="15">
      <c r="D622" s="935"/>
      <c r="E622" s="807"/>
      <c r="F622" s="807"/>
      <c r="G622" s="827"/>
      <c r="H622" s="807"/>
      <c r="M622" s="811" t="str">
        <f t="shared" si="42"/>
        <v/>
      </c>
      <c r="O622" s="92"/>
      <c r="P622" s="1638"/>
      <c r="Q622" s="92"/>
      <c r="R622" s="92"/>
      <c r="X622" s="811" t="str">
        <f t="shared" si="40"/>
        <v/>
      </c>
      <c r="AG622" s="807" t="str">
        <f t="shared" si="43"/>
        <v/>
      </c>
      <c r="AJ622" s="865"/>
      <c r="AK622" s="836" t="s">
        <v>8981</v>
      </c>
      <c r="AL622" s="92">
        <v>1</v>
      </c>
      <c r="AM622" s="92" t="s">
        <v>8982</v>
      </c>
      <c r="AN622" s="816">
        <f t="shared" si="44"/>
        <v>9820</v>
      </c>
      <c r="AQ622" s="93"/>
      <c r="AR622" s="93"/>
      <c r="AS622" s="93"/>
      <c r="AT622" s="93"/>
      <c r="AU622" s="93"/>
      <c r="AV622" s="93"/>
      <c r="AW622" s="93"/>
      <c r="AX622" s="93"/>
      <c r="AY622" s="93"/>
      <c r="AZ622" s="93"/>
      <c r="BA622" s="93"/>
      <c r="BB622" s="93"/>
      <c r="BL622" s="93"/>
      <c r="BM622" s="93"/>
      <c r="BO622" s="93"/>
      <c r="BP622" s="93"/>
      <c r="BQ622" s="93"/>
      <c r="BR622" s="93"/>
      <c r="BS622" s="93"/>
      <c r="BT622" s="93"/>
      <c r="BU622" s="93"/>
      <c r="BV622" s="93"/>
      <c r="BW622" s="93"/>
      <c r="BX622" s="93"/>
      <c r="BY622" s="93"/>
      <c r="BZ622" s="93"/>
      <c r="CA622" s="93"/>
      <c r="CB622" s="93"/>
      <c r="CC622" s="93"/>
      <c r="CF622" s="93"/>
      <c r="CG622" s="93"/>
      <c r="CH622" s="93"/>
      <c r="CI622" s="93"/>
      <c r="CJ622" s="93"/>
      <c r="CK622" s="93"/>
      <c r="CL622" s="93"/>
      <c r="CM622" s="93"/>
      <c r="CN622" s="93"/>
      <c r="CO622" s="93"/>
      <c r="CP622" s="93"/>
      <c r="CQ622" s="93"/>
      <c r="CR622" s="93"/>
      <c r="CS622" s="93"/>
      <c r="CT622" s="93"/>
      <c r="CU622" s="93"/>
      <c r="CV622" s="93"/>
      <c r="CW622" s="93"/>
      <c r="CX622" s="93"/>
      <c r="CY622" s="93"/>
      <c r="CZ622" s="93"/>
      <c r="DA622" s="93"/>
      <c r="DB622" s="93"/>
      <c r="DC622" s="93"/>
      <c r="DD622" s="93"/>
      <c r="DE622" s="93"/>
      <c r="DF622" s="93"/>
      <c r="DG622" s="93"/>
      <c r="DH622" s="93"/>
      <c r="DI622" s="93"/>
      <c r="DJ622" s="93"/>
      <c r="DK622" s="93"/>
      <c r="DL622" s="93"/>
      <c r="DM622" s="93"/>
      <c r="DN622" s="93"/>
      <c r="DO622" s="93"/>
    </row>
    <row r="623" spans="1:119" ht="15">
      <c r="B623" s="6"/>
      <c r="D623" s="935"/>
      <c r="E623" s="807"/>
      <c r="F623" s="807"/>
      <c r="G623" s="827"/>
      <c r="H623" s="807"/>
      <c r="M623" s="811" t="str">
        <f t="shared" si="42"/>
        <v/>
      </c>
      <c r="O623" s="92"/>
      <c r="P623" s="1638"/>
      <c r="Q623" s="92"/>
      <c r="R623" s="92"/>
      <c r="X623" s="811" t="str">
        <f t="shared" si="40"/>
        <v/>
      </c>
      <c r="AG623" s="807" t="str">
        <f t="shared" si="43"/>
        <v/>
      </c>
      <c r="AJ623" s="865"/>
      <c r="AK623" s="836" t="s">
        <v>8983</v>
      </c>
      <c r="AL623" s="92">
        <v>1</v>
      </c>
      <c r="AM623" s="92" t="s">
        <v>8984</v>
      </c>
      <c r="AN623" s="816">
        <f t="shared" si="44"/>
        <v>9820</v>
      </c>
      <c r="AQ623" s="93"/>
      <c r="AR623" s="93"/>
      <c r="AS623" s="93"/>
      <c r="AT623" s="93"/>
      <c r="AU623" s="93"/>
      <c r="AV623" s="93"/>
      <c r="AW623" s="93"/>
      <c r="AX623" s="93"/>
      <c r="AY623" s="93"/>
      <c r="AZ623" s="93"/>
      <c r="BA623" s="93"/>
      <c r="BB623" s="93"/>
      <c r="BL623" s="93"/>
      <c r="BM623" s="93"/>
      <c r="BO623" s="93"/>
      <c r="BP623" s="93"/>
      <c r="BQ623" s="93"/>
      <c r="BR623" s="93"/>
      <c r="BS623" s="93"/>
      <c r="BT623" s="93"/>
      <c r="BU623" s="93"/>
      <c r="BV623" s="93"/>
      <c r="BW623" s="93"/>
      <c r="BX623" s="93"/>
      <c r="BY623" s="93"/>
      <c r="BZ623" s="93"/>
      <c r="CA623" s="93"/>
      <c r="CB623" s="93"/>
      <c r="CC623" s="93"/>
      <c r="CF623" s="93"/>
      <c r="CG623" s="93"/>
      <c r="CH623" s="93"/>
      <c r="CI623" s="93"/>
      <c r="CJ623" s="93"/>
      <c r="CK623" s="93"/>
      <c r="CL623" s="93"/>
      <c r="CM623" s="93"/>
      <c r="CN623" s="93"/>
      <c r="CO623" s="93"/>
      <c r="CP623" s="93"/>
      <c r="CQ623" s="93"/>
      <c r="CR623" s="93"/>
      <c r="CS623" s="93"/>
      <c r="CT623" s="93"/>
      <c r="CU623" s="93"/>
      <c r="CV623" s="93"/>
      <c r="CW623" s="93"/>
      <c r="CX623" s="93"/>
      <c r="CY623" s="93"/>
      <c r="CZ623" s="93"/>
      <c r="DA623" s="93"/>
      <c r="DB623" s="93"/>
      <c r="DC623" s="93"/>
      <c r="DD623" s="93"/>
      <c r="DE623" s="93"/>
      <c r="DF623" s="93"/>
      <c r="DG623" s="93"/>
      <c r="DH623" s="93"/>
      <c r="DI623" s="93"/>
      <c r="DJ623" s="93"/>
      <c r="DK623" s="93"/>
      <c r="DL623" s="93"/>
      <c r="DM623" s="93"/>
      <c r="DN623" s="93"/>
      <c r="DO623" s="93"/>
    </row>
    <row r="624" spans="1:119" ht="15">
      <c r="B624" s="6"/>
      <c r="D624" s="935"/>
      <c r="E624" s="807"/>
      <c r="F624" s="807"/>
      <c r="G624" s="827"/>
      <c r="H624" s="807"/>
      <c r="M624" s="811" t="str">
        <f t="shared" si="42"/>
        <v/>
      </c>
      <c r="O624" s="92"/>
      <c r="P624" s="1638"/>
      <c r="Q624" s="92"/>
      <c r="R624" s="92"/>
      <c r="X624" s="811" t="str">
        <f t="shared" si="40"/>
        <v/>
      </c>
      <c r="AG624" s="807" t="str">
        <f t="shared" si="43"/>
        <v/>
      </c>
      <c r="AJ624" s="865"/>
      <c r="AK624" s="836" t="s">
        <v>8985</v>
      </c>
      <c r="AL624" s="92">
        <v>1</v>
      </c>
      <c r="AM624" s="92" t="s">
        <v>8986</v>
      </c>
      <c r="AN624" s="816">
        <f t="shared" si="44"/>
        <v>9820</v>
      </c>
      <c r="AQ624" s="93"/>
      <c r="AR624" s="93"/>
      <c r="AS624" s="93"/>
      <c r="AT624" s="93"/>
      <c r="AU624" s="93"/>
      <c r="AV624" s="93"/>
      <c r="AW624" s="93"/>
      <c r="AX624" s="93"/>
      <c r="AY624" s="93"/>
      <c r="AZ624" s="93"/>
      <c r="BA624" s="93"/>
      <c r="BB624" s="93"/>
      <c r="BL624" s="93"/>
      <c r="BM624" s="93"/>
      <c r="BO624" s="93"/>
      <c r="BP624" s="93"/>
      <c r="BQ624" s="93"/>
      <c r="BR624" s="93"/>
      <c r="BS624" s="93"/>
      <c r="BT624" s="93"/>
      <c r="BU624" s="93"/>
      <c r="BV624" s="93"/>
      <c r="BW624" s="93"/>
      <c r="BX624" s="93"/>
      <c r="BY624" s="93"/>
      <c r="BZ624" s="93"/>
      <c r="CA624" s="93"/>
      <c r="CB624" s="93"/>
      <c r="CC624" s="93"/>
      <c r="CF624" s="93"/>
      <c r="CG624" s="93"/>
      <c r="CH624" s="93"/>
      <c r="CI624" s="93"/>
      <c r="CJ624" s="93"/>
      <c r="CK624" s="93"/>
      <c r="CL624" s="93"/>
      <c r="CM624" s="93"/>
      <c r="CN624" s="93"/>
      <c r="CO624" s="93"/>
      <c r="CP624" s="93"/>
      <c r="CQ624" s="93"/>
      <c r="CR624" s="93"/>
      <c r="CS624" s="93"/>
      <c r="CT624" s="93"/>
      <c r="CU624" s="93"/>
      <c r="CV624" s="93"/>
      <c r="CW624" s="93"/>
      <c r="CX624" s="93"/>
      <c r="CY624" s="93"/>
      <c r="CZ624" s="93"/>
      <c r="DA624" s="93"/>
      <c r="DB624" s="93"/>
      <c r="DC624" s="93"/>
      <c r="DD624" s="93"/>
      <c r="DE624" s="93"/>
      <c r="DF624" s="93"/>
      <c r="DG624" s="93"/>
      <c r="DH624" s="93"/>
      <c r="DI624" s="93"/>
      <c r="DJ624" s="93"/>
      <c r="DK624" s="93"/>
      <c r="DL624" s="93"/>
      <c r="DM624" s="93"/>
      <c r="DN624" s="93"/>
      <c r="DO624" s="93"/>
    </row>
    <row r="625" spans="1:119" ht="15">
      <c r="D625" s="935"/>
      <c r="E625" s="807"/>
      <c r="F625" s="807"/>
      <c r="G625" s="827"/>
      <c r="H625" s="807"/>
      <c r="M625" s="811" t="str">
        <f t="shared" si="42"/>
        <v/>
      </c>
      <c r="O625" s="92"/>
      <c r="P625" s="1638"/>
      <c r="Q625" s="92"/>
      <c r="R625" s="92"/>
      <c r="X625" s="811" t="str">
        <f t="shared" si="40"/>
        <v/>
      </c>
      <c r="AG625" s="807" t="str">
        <f t="shared" si="43"/>
        <v/>
      </c>
      <c r="AJ625" s="865"/>
      <c r="AK625" s="836" t="s">
        <v>8987</v>
      </c>
      <c r="AL625" s="92">
        <v>1</v>
      </c>
      <c r="AM625" s="92" t="s">
        <v>8988</v>
      </c>
      <c r="AN625" s="816">
        <f t="shared" si="44"/>
        <v>9820</v>
      </c>
      <c r="AQ625" s="93"/>
      <c r="AR625" s="93"/>
      <c r="AS625" s="93"/>
      <c r="AT625" s="93"/>
      <c r="AU625" s="93"/>
      <c r="AV625" s="93"/>
      <c r="AW625" s="93"/>
      <c r="AX625" s="93"/>
      <c r="AY625" s="93"/>
      <c r="AZ625" s="93"/>
      <c r="BA625" s="93"/>
      <c r="BB625" s="93"/>
      <c r="BL625" s="93"/>
      <c r="BM625" s="93"/>
      <c r="BO625" s="93"/>
      <c r="BP625" s="93"/>
      <c r="BQ625" s="93"/>
      <c r="BR625" s="93"/>
      <c r="BS625" s="93"/>
      <c r="BT625" s="93"/>
      <c r="BU625" s="93"/>
      <c r="BV625" s="93"/>
      <c r="BW625" s="93"/>
      <c r="BX625" s="93"/>
      <c r="BY625" s="93"/>
      <c r="BZ625" s="93"/>
      <c r="CA625" s="93"/>
      <c r="CB625" s="93"/>
      <c r="CC625" s="93"/>
      <c r="CF625" s="93"/>
      <c r="CG625" s="93"/>
      <c r="CH625" s="93"/>
      <c r="CI625" s="93"/>
      <c r="CJ625" s="93"/>
      <c r="CK625" s="93"/>
      <c r="CL625" s="93"/>
      <c r="CM625" s="93"/>
      <c r="CN625" s="93"/>
      <c r="CO625" s="93"/>
      <c r="CP625" s="93"/>
      <c r="CQ625" s="93"/>
      <c r="CR625" s="93"/>
      <c r="CS625" s="93"/>
      <c r="CT625" s="93"/>
      <c r="CU625" s="93"/>
      <c r="CV625" s="93"/>
      <c r="CW625" s="93"/>
      <c r="CX625" s="93"/>
      <c r="CY625" s="93"/>
      <c r="CZ625" s="93"/>
      <c r="DA625" s="93"/>
      <c r="DB625" s="93"/>
      <c r="DC625" s="93"/>
      <c r="DD625" s="93"/>
      <c r="DE625" s="93"/>
      <c r="DF625" s="93"/>
      <c r="DG625" s="93"/>
      <c r="DH625" s="93"/>
      <c r="DI625" s="93"/>
      <c r="DJ625" s="93"/>
      <c r="DK625" s="93"/>
      <c r="DL625" s="93"/>
      <c r="DM625" s="93"/>
      <c r="DN625" s="93"/>
      <c r="DO625" s="93"/>
    </row>
    <row r="626" spans="1:119" ht="15">
      <c r="A626" s="954"/>
      <c r="B626" s="831"/>
      <c r="D626" s="935"/>
      <c r="E626" s="807"/>
      <c r="F626" s="807"/>
      <c r="G626" s="827"/>
      <c r="H626" s="807"/>
      <c r="M626" s="811" t="str">
        <f t="shared" si="42"/>
        <v/>
      </c>
      <c r="O626" s="92"/>
      <c r="P626" s="1638"/>
      <c r="Q626" s="92"/>
      <c r="R626" s="92"/>
      <c r="X626" s="811" t="str">
        <f t="shared" si="40"/>
        <v/>
      </c>
      <c r="AG626" s="807" t="str">
        <f t="shared" si="43"/>
        <v/>
      </c>
      <c r="AJ626" s="865"/>
      <c r="AK626" s="836" t="s">
        <v>2172</v>
      </c>
      <c r="AL626" s="92">
        <v>1</v>
      </c>
      <c r="AM626" s="92" t="s">
        <v>8989</v>
      </c>
      <c r="AN626" s="816">
        <f t="shared" si="44"/>
        <v>9820</v>
      </c>
      <c r="AQ626" s="93"/>
      <c r="AR626" s="93"/>
      <c r="AS626" s="93"/>
      <c r="AT626" s="93"/>
      <c r="AU626" s="93"/>
      <c r="AV626" s="93"/>
      <c r="AW626" s="93"/>
      <c r="AX626" s="93"/>
      <c r="AY626" s="93"/>
      <c r="AZ626" s="93"/>
      <c r="BA626" s="93"/>
      <c r="BB626" s="93"/>
      <c r="BL626" s="93"/>
      <c r="BM626" s="93"/>
      <c r="BO626" s="93"/>
      <c r="BP626" s="93"/>
      <c r="BQ626" s="93"/>
      <c r="BR626" s="93"/>
      <c r="BS626" s="93"/>
      <c r="BT626" s="93"/>
      <c r="BU626" s="93"/>
      <c r="BV626" s="93"/>
      <c r="BW626" s="93"/>
      <c r="BX626" s="93"/>
      <c r="BY626" s="93"/>
      <c r="BZ626" s="93"/>
      <c r="CA626" s="93"/>
      <c r="CB626" s="93"/>
      <c r="CC626" s="93"/>
      <c r="CF626" s="93"/>
      <c r="CG626" s="93"/>
      <c r="CH626" s="93"/>
      <c r="CI626" s="93"/>
      <c r="CJ626" s="93"/>
      <c r="CK626" s="93"/>
      <c r="CL626" s="93"/>
      <c r="CM626" s="93"/>
      <c r="CN626" s="93"/>
      <c r="CO626" s="93"/>
      <c r="CP626" s="93"/>
      <c r="CQ626" s="93"/>
      <c r="CR626" s="93"/>
      <c r="CS626" s="93"/>
      <c r="CT626" s="93"/>
      <c r="CU626" s="93"/>
      <c r="CV626" s="93"/>
      <c r="CW626" s="93"/>
      <c r="CX626" s="93"/>
      <c r="CY626" s="93"/>
      <c r="CZ626" s="93"/>
      <c r="DA626" s="93"/>
      <c r="DB626" s="93"/>
      <c r="DC626" s="93"/>
      <c r="DD626" s="93"/>
      <c r="DE626" s="93"/>
      <c r="DF626" s="93"/>
      <c r="DG626" s="93"/>
      <c r="DH626" s="93"/>
      <c r="DI626" s="93"/>
      <c r="DJ626" s="93"/>
      <c r="DK626" s="93"/>
      <c r="DL626" s="93"/>
      <c r="DM626" s="93"/>
      <c r="DN626" s="93"/>
      <c r="DO626" s="93"/>
    </row>
    <row r="627" spans="1:119" ht="15">
      <c r="A627" s="19" t="s">
        <v>7421</v>
      </c>
      <c r="B627" s="762" t="s">
        <v>11855</v>
      </c>
      <c r="C627" s="140" t="s">
        <v>443</v>
      </c>
      <c r="D627" s="1067" t="s">
        <v>8990</v>
      </c>
      <c r="E627" s="807"/>
      <c r="F627" s="807"/>
      <c r="G627" s="827" t="s">
        <v>443</v>
      </c>
      <c r="H627" s="807" t="s">
        <v>8991</v>
      </c>
      <c r="J627" s="92" t="s">
        <v>10</v>
      </c>
      <c r="K627" s="92" t="s">
        <v>707</v>
      </c>
      <c r="M627" s="811"/>
      <c r="O627" s="92"/>
      <c r="P627" s="1638"/>
      <c r="Q627" s="92"/>
      <c r="R627" s="92" t="s">
        <v>1208</v>
      </c>
      <c r="AG627" s="807" t="str">
        <f t="shared" si="43"/>
        <v/>
      </c>
      <c r="AJ627" s="865"/>
      <c r="AN627" s="816"/>
      <c r="AQ627" s="93"/>
      <c r="AR627" s="93"/>
      <c r="AS627" s="93"/>
      <c r="AT627" s="93"/>
      <c r="AU627" s="93"/>
      <c r="AV627" s="93"/>
      <c r="AW627" s="93"/>
      <c r="AX627" s="93"/>
      <c r="AY627" s="93"/>
      <c r="AZ627" s="93"/>
      <c r="BA627" s="93"/>
      <c r="BB627" s="93"/>
      <c r="BL627" s="93"/>
      <c r="BM627" s="93"/>
      <c r="BO627" s="93"/>
      <c r="BP627" s="93"/>
      <c r="BQ627" s="93"/>
      <c r="BR627" s="93"/>
      <c r="BS627" s="93"/>
      <c r="BT627" s="93"/>
      <c r="BU627" s="93"/>
      <c r="BV627" s="93"/>
      <c r="BW627" s="93"/>
      <c r="BX627" s="93"/>
      <c r="BY627" s="93"/>
      <c r="BZ627" s="93"/>
      <c r="CA627" s="93"/>
      <c r="CB627" s="93"/>
      <c r="CC627" s="93"/>
      <c r="CF627" s="93"/>
      <c r="CG627" s="93"/>
      <c r="CH627" s="93"/>
      <c r="CI627" s="93"/>
      <c r="CJ627" s="93"/>
      <c r="CK627" s="93"/>
      <c r="CL627" s="93"/>
      <c r="CM627" s="93"/>
      <c r="CN627" s="93"/>
      <c r="CO627" s="93"/>
      <c r="CP627" s="93"/>
      <c r="CQ627" s="93"/>
      <c r="CR627" s="93"/>
      <c r="CS627" s="93"/>
      <c r="CT627" s="93"/>
      <c r="CU627" s="93"/>
      <c r="CV627" s="93"/>
      <c r="CW627" s="93"/>
      <c r="CX627" s="93"/>
      <c r="CY627" s="93"/>
      <c r="CZ627" s="93"/>
      <c r="DA627" s="93"/>
      <c r="DB627" s="93"/>
      <c r="DC627" s="93"/>
      <c r="DD627" s="93"/>
      <c r="DE627" s="93"/>
      <c r="DF627" s="93"/>
      <c r="DG627" s="93"/>
      <c r="DH627" s="93"/>
      <c r="DI627" s="93"/>
      <c r="DJ627" s="93"/>
      <c r="DK627" s="93"/>
      <c r="DL627" s="93"/>
      <c r="DM627" s="93"/>
      <c r="DN627" s="93"/>
      <c r="DO627" s="93"/>
    </row>
    <row r="628" spans="1:119" ht="15">
      <c r="A628" s="19" t="s">
        <v>7421</v>
      </c>
      <c r="D628" s="1067" t="s">
        <v>8990</v>
      </c>
      <c r="E628" s="807"/>
      <c r="F628" s="807"/>
      <c r="G628" s="827"/>
      <c r="H628" s="807" t="s">
        <v>8992</v>
      </c>
      <c r="J628" s="92" t="s">
        <v>18</v>
      </c>
      <c r="K628" s="92" t="s">
        <v>707</v>
      </c>
      <c r="M628" s="811"/>
      <c r="O628" s="92"/>
      <c r="P628" s="1638"/>
      <c r="Q628" s="92"/>
      <c r="R628" s="92"/>
      <c r="AG628" s="807" t="str">
        <f t="shared" si="43"/>
        <v/>
      </c>
      <c r="AJ628" s="865"/>
      <c r="AN628" s="816"/>
      <c r="AQ628" s="93"/>
      <c r="AR628" s="93"/>
      <c r="AS628" s="93"/>
      <c r="AT628" s="93"/>
      <c r="AU628" s="93"/>
      <c r="AV628" s="93"/>
      <c r="AW628" s="93"/>
      <c r="AX628" s="93"/>
      <c r="AY628" s="93"/>
      <c r="AZ628" s="93"/>
      <c r="BA628" s="93"/>
      <c r="BB628" s="93"/>
      <c r="BL628" s="93"/>
      <c r="BM628" s="93"/>
      <c r="BO628" s="93"/>
      <c r="BP628" s="93"/>
      <c r="BQ628" s="93"/>
      <c r="BR628" s="93"/>
      <c r="BS628" s="93"/>
      <c r="BT628" s="93"/>
      <c r="BU628" s="93"/>
      <c r="BV628" s="93"/>
      <c r="BW628" s="93"/>
      <c r="BX628" s="93"/>
      <c r="BY628" s="93"/>
      <c r="BZ628" s="93"/>
      <c r="CA628" s="93"/>
      <c r="CB628" s="93"/>
      <c r="CC628" s="93"/>
      <c r="CF628" s="93"/>
      <c r="CG628" s="93"/>
      <c r="CH628" s="93"/>
      <c r="CI628" s="93"/>
      <c r="CJ628" s="93"/>
      <c r="CK628" s="93"/>
      <c r="CL628" s="93"/>
      <c r="CM628" s="93"/>
      <c r="CN628" s="93"/>
      <c r="CO628" s="93"/>
      <c r="CP628" s="93"/>
      <c r="CQ628" s="93"/>
      <c r="CR628" s="93"/>
      <c r="CS628" s="93"/>
      <c r="CT628" s="93"/>
      <c r="CU628" s="93"/>
      <c r="CV628" s="93"/>
      <c r="CW628" s="93"/>
      <c r="CX628" s="93"/>
      <c r="CY628" s="93"/>
      <c r="CZ628" s="93"/>
      <c r="DA628" s="93"/>
      <c r="DB628" s="93"/>
      <c r="DC628" s="93"/>
      <c r="DD628" s="93"/>
      <c r="DE628" s="93"/>
      <c r="DF628" s="93"/>
      <c r="DG628" s="93"/>
      <c r="DH628" s="93"/>
      <c r="DI628" s="93"/>
      <c r="DJ628" s="93"/>
      <c r="DK628" s="93"/>
      <c r="DL628" s="93"/>
      <c r="DM628" s="93"/>
      <c r="DN628" s="93"/>
      <c r="DO628" s="93"/>
    </row>
    <row r="629" spans="1:119" ht="15">
      <c r="A629" s="767" t="s">
        <v>7421</v>
      </c>
      <c r="B629" s="292" t="s">
        <v>7610</v>
      </c>
      <c r="C629" s="140" t="s">
        <v>444</v>
      </c>
      <c r="D629" s="935" t="s">
        <v>8993</v>
      </c>
      <c r="E629" s="1043" t="s">
        <v>444</v>
      </c>
      <c r="F629" s="1048" t="s">
        <v>1354</v>
      </c>
      <c r="G629" s="841" t="s">
        <v>444</v>
      </c>
      <c r="M629" s="811" t="str">
        <f>IF(ISBLANK(L629)=TRUE,"",LOOKUP(L629,GQ:GR))</f>
        <v/>
      </c>
      <c r="P629" s="1638"/>
      <c r="R629" s="92" t="s">
        <v>1208</v>
      </c>
      <c r="X629" s="811" t="str">
        <f>IF(ISBLANK(W629)=TRUE,"",LOOKUP(W629,GO:GP))</f>
        <v/>
      </c>
      <c r="AG629" s="807" t="str">
        <f t="shared" si="43"/>
        <v/>
      </c>
      <c r="AJ629" s="865"/>
      <c r="CS629" s="807" t="s">
        <v>2144</v>
      </c>
      <c r="DL629" s="93"/>
      <c r="DM629" s="93"/>
      <c r="DN629" s="93"/>
      <c r="DO629" s="93"/>
    </row>
    <row r="630" spans="1:119" ht="15">
      <c r="A630" s="311" t="s">
        <v>12452</v>
      </c>
      <c r="B630" s="292" t="s">
        <v>5585</v>
      </c>
      <c r="C630" s="140" t="s">
        <v>444</v>
      </c>
      <c r="D630" s="935" t="s">
        <v>8994</v>
      </c>
      <c r="G630" s="846" t="s">
        <v>444</v>
      </c>
      <c r="H630" s="809" t="s">
        <v>2091</v>
      </c>
      <c r="I630" s="92">
        <v>67</v>
      </c>
      <c r="J630" s="92" t="s">
        <v>18</v>
      </c>
      <c r="K630" s="92" t="s">
        <v>768</v>
      </c>
      <c r="L630" s="810">
        <v>4</v>
      </c>
      <c r="M630" s="811" t="str">
        <f>IF(ISBLANK(L630)=TRUE,"",LOOKUP(L630,GQ:GR))</f>
        <v>High School Level</v>
      </c>
      <c r="N630" s="92" t="s">
        <v>1208</v>
      </c>
      <c r="O630" s="812" t="s">
        <v>12524</v>
      </c>
      <c r="P630" s="1638" t="s">
        <v>12604</v>
      </c>
      <c r="Q630" s="812" t="s">
        <v>12524</v>
      </c>
      <c r="R630" s="92" t="s">
        <v>8234</v>
      </c>
      <c r="S630" s="813">
        <v>6000</v>
      </c>
      <c r="V630" s="873">
        <f>SUM(S630:U630)</f>
        <v>6000</v>
      </c>
      <c r="W630" s="815">
        <v>2</v>
      </c>
      <c r="X630" s="811" t="str">
        <f>IF(ISBLANK(W630)=TRUE,"",LOOKUP(W630,GO:GP))</f>
        <v>within the Municipality/City</v>
      </c>
      <c r="Y630" s="816">
        <v>192</v>
      </c>
      <c r="AC630" s="807" t="s">
        <v>2235</v>
      </c>
      <c r="AD630" s="817" t="s">
        <v>8995</v>
      </c>
      <c r="AG630" s="807" t="str">
        <f t="shared" si="43"/>
        <v/>
      </c>
      <c r="AJ630" s="865"/>
    </row>
    <row r="631" spans="1:119" ht="15">
      <c r="A631" s="311" t="s">
        <v>12452</v>
      </c>
      <c r="B631" s="292" t="s">
        <v>5586</v>
      </c>
      <c r="C631" s="140" t="s">
        <v>444</v>
      </c>
      <c r="D631" s="935" t="s">
        <v>12525</v>
      </c>
      <c r="E631" s="807"/>
      <c r="F631" s="807"/>
      <c r="G631" s="846" t="s">
        <v>444</v>
      </c>
      <c r="M631" s="811"/>
      <c r="P631" s="1638"/>
      <c r="R631" s="812" t="s">
        <v>1208</v>
      </c>
      <c r="W631" s="926"/>
      <c r="X631" s="859"/>
      <c r="Y631" s="927"/>
      <c r="Z631" s="927"/>
      <c r="AA631" s="927"/>
      <c r="AG631" s="807" t="str">
        <f t="shared" si="43"/>
        <v/>
      </c>
      <c r="AJ631" s="865"/>
    </row>
    <row r="632" spans="1:119" ht="15">
      <c r="A632" s="311" t="s">
        <v>12452</v>
      </c>
      <c r="D632" s="935" t="s">
        <v>12525</v>
      </c>
      <c r="E632" s="807"/>
      <c r="F632" s="807"/>
      <c r="G632" s="846"/>
      <c r="M632" s="811"/>
      <c r="P632" s="1638"/>
      <c r="AG632" s="807" t="str">
        <f t="shared" si="43"/>
        <v/>
      </c>
      <c r="AJ632" s="865"/>
    </row>
    <row r="633" spans="1:119" ht="15">
      <c r="A633" s="311" t="s">
        <v>12452</v>
      </c>
      <c r="D633" s="935" t="s">
        <v>12525</v>
      </c>
      <c r="E633" s="807"/>
      <c r="F633" s="807"/>
      <c r="G633" s="846"/>
      <c r="M633" s="811"/>
      <c r="P633" s="1638"/>
      <c r="AG633" s="807" t="str">
        <f t="shared" si="43"/>
        <v/>
      </c>
      <c r="AJ633" s="865"/>
    </row>
    <row r="634" spans="1:119" ht="15">
      <c r="A634" s="311" t="s">
        <v>12452</v>
      </c>
      <c r="D634" s="935" t="s">
        <v>12525</v>
      </c>
      <c r="E634" s="807"/>
      <c r="F634" s="807"/>
      <c r="G634" s="846"/>
      <c r="J634" s="928"/>
      <c r="M634" s="811"/>
      <c r="P634" s="1638"/>
      <c r="AG634" s="807" t="str">
        <f t="shared" si="43"/>
        <v/>
      </c>
      <c r="AJ634" s="865"/>
    </row>
    <row r="635" spans="1:119" ht="15">
      <c r="A635" s="311" t="s">
        <v>12452</v>
      </c>
      <c r="B635" s="292" t="s">
        <v>5587</v>
      </c>
      <c r="C635" s="140" t="s">
        <v>444</v>
      </c>
      <c r="D635" s="935" t="s">
        <v>8996</v>
      </c>
      <c r="E635" s="807"/>
      <c r="F635" s="807"/>
      <c r="G635" s="846" t="s">
        <v>444</v>
      </c>
      <c r="H635" s="809" t="s">
        <v>2092</v>
      </c>
      <c r="I635" s="92">
        <v>34</v>
      </c>
      <c r="J635" s="92" t="s">
        <v>10</v>
      </c>
      <c r="K635" s="92" t="s">
        <v>722</v>
      </c>
      <c r="L635" s="810">
        <v>2</v>
      </c>
      <c r="M635" s="811" t="str">
        <f t="shared" ref="M635:M666" si="45">IF(ISBLANK(L635)=TRUE,"",LOOKUP(L635,GQ:GR))</f>
        <v>Elementary Level</v>
      </c>
      <c r="N635" s="92" t="s">
        <v>1208</v>
      </c>
      <c r="O635" s="812" t="s">
        <v>8632</v>
      </c>
      <c r="P635" s="1638" t="s">
        <v>12597</v>
      </c>
      <c r="Q635" s="812" t="s">
        <v>8632</v>
      </c>
      <c r="R635" s="92" t="s">
        <v>8234</v>
      </c>
      <c r="S635" s="813">
        <v>9600</v>
      </c>
      <c r="W635" s="815">
        <v>2</v>
      </c>
      <c r="X635" s="811" t="str">
        <f t="shared" ref="X635:X666" si="46">IF(ISBLANK(W635)=TRUE,"",LOOKUP(W635,GO:GP))</f>
        <v>within the Municipality/City</v>
      </c>
      <c r="AC635" s="807" t="s">
        <v>8997</v>
      </c>
      <c r="AG635" s="807" t="str">
        <f t="shared" si="43"/>
        <v/>
      </c>
      <c r="AJ635" s="865"/>
      <c r="CD635" s="93">
        <v>2</v>
      </c>
      <c r="CM635" s="807">
        <v>3</v>
      </c>
      <c r="CV635" s="807">
        <v>1</v>
      </c>
    </row>
    <row r="636" spans="1:119" ht="15">
      <c r="A636" s="311" t="s">
        <v>12452</v>
      </c>
      <c r="D636" s="935" t="s">
        <v>8996</v>
      </c>
      <c r="E636" s="807"/>
      <c r="F636" s="807"/>
      <c r="G636" s="827"/>
      <c r="H636" s="809" t="s">
        <v>8998</v>
      </c>
      <c r="I636" s="92">
        <v>38</v>
      </c>
      <c r="J636" s="92" t="s">
        <v>18</v>
      </c>
      <c r="K636" s="92" t="s">
        <v>722</v>
      </c>
      <c r="L636" s="810">
        <v>4</v>
      </c>
      <c r="M636" s="811" t="str">
        <f t="shared" si="45"/>
        <v>High School Level</v>
      </c>
      <c r="P636" s="1638"/>
      <c r="X636" s="811" t="str">
        <f t="shared" si="46"/>
        <v/>
      </c>
      <c r="AG636" s="807" t="str">
        <f t="shared" si="43"/>
        <v/>
      </c>
      <c r="AJ636" s="865"/>
    </row>
    <row r="637" spans="1:119" ht="15">
      <c r="A637" s="311" t="s">
        <v>12452</v>
      </c>
      <c r="D637" s="935" t="s">
        <v>8996</v>
      </c>
      <c r="E637" s="807"/>
      <c r="F637" s="807"/>
      <c r="G637" s="827"/>
      <c r="H637" s="809" t="s">
        <v>8999</v>
      </c>
      <c r="I637" s="92">
        <v>2</v>
      </c>
      <c r="J637" s="92" t="s">
        <v>18</v>
      </c>
      <c r="K637" s="92" t="s">
        <v>768</v>
      </c>
      <c r="L637" s="810">
        <v>10</v>
      </c>
      <c r="M637" s="811" t="str">
        <f t="shared" si="45"/>
        <v>Not In School Age</v>
      </c>
      <c r="P637" s="1638"/>
      <c r="X637" s="811" t="str">
        <f t="shared" si="46"/>
        <v/>
      </c>
      <c r="AG637" s="807" t="str">
        <f t="shared" si="43"/>
        <v/>
      </c>
      <c r="AJ637" s="865"/>
    </row>
    <row r="638" spans="1:119" ht="15">
      <c r="A638" s="311" t="s">
        <v>12452</v>
      </c>
      <c r="B638" s="292" t="s">
        <v>5588</v>
      </c>
      <c r="C638" s="140" t="s">
        <v>444</v>
      </c>
      <c r="D638" s="935" t="s">
        <v>9000</v>
      </c>
      <c r="E638" s="807"/>
      <c r="F638" s="807"/>
      <c r="G638" s="929" t="s">
        <v>444</v>
      </c>
      <c r="H638" s="1639" t="s">
        <v>957</v>
      </c>
      <c r="I638" s="1044">
        <v>25</v>
      </c>
      <c r="J638" s="1044" t="s">
        <v>10</v>
      </c>
      <c r="K638" s="1044" t="s">
        <v>722</v>
      </c>
      <c r="L638" s="1640"/>
      <c r="M638" s="1641" t="str">
        <f t="shared" si="45"/>
        <v/>
      </c>
      <c r="N638" s="1044"/>
      <c r="O638" s="1642"/>
      <c r="P638" s="1643"/>
      <c r="Q638" s="1642"/>
      <c r="R638" s="1044" t="s">
        <v>8234</v>
      </c>
      <c r="S638" s="1646"/>
      <c r="T638" s="1646"/>
      <c r="U638" s="1646"/>
      <c r="W638" s="926"/>
      <c r="X638" s="859" t="str">
        <f t="shared" si="46"/>
        <v/>
      </c>
      <c r="Y638" s="927"/>
      <c r="Z638" s="927"/>
      <c r="AA638" s="927"/>
      <c r="AG638" s="807" t="str">
        <f t="shared" si="43"/>
        <v/>
      </c>
      <c r="AJ638" s="865"/>
    </row>
    <row r="639" spans="1:119" ht="15">
      <c r="A639" s="311" t="s">
        <v>12452</v>
      </c>
      <c r="C639" s="93" t="s">
        <v>9000</v>
      </c>
      <c r="D639" s="935"/>
      <c r="E639" s="807"/>
      <c r="F639" s="807"/>
      <c r="G639" s="827"/>
      <c r="H639" s="809" t="s">
        <v>9001</v>
      </c>
      <c r="I639" s="857"/>
      <c r="J639" s="92" t="s">
        <v>18</v>
      </c>
      <c r="K639" s="92" t="s">
        <v>722</v>
      </c>
      <c r="L639" s="858"/>
      <c r="M639" s="811" t="str">
        <f t="shared" si="45"/>
        <v/>
      </c>
      <c r="P639" s="1638"/>
      <c r="X639" s="811" t="str">
        <f t="shared" si="46"/>
        <v/>
      </c>
      <c r="AG639" s="807" t="str">
        <f t="shared" si="43"/>
        <v/>
      </c>
      <c r="AJ639" s="865"/>
    </row>
    <row r="640" spans="1:119" ht="15">
      <c r="A640" s="311" t="s">
        <v>12452</v>
      </c>
      <c r="C640" s="807" t="s">
        <v>9000</v>
      </c>
      <c r="D640" s="935"/>
      <c r="E640" s="807"/>
      <c r="F640" s="807"/>
      <c r="G640" s="827"/>
      <c r="H640" s="809" t="s">
        <v>9002</v>
      </c>
      <c r="I640" s="857"/>
      <c r="J640" s="92" t="s">
        <v>10</v>
      </c>
      <c r="K640" s="92" t="s">
        <v>768</v>
      </c>
      <c r="L640" s="858"/>
      <c r="M640" s="811" t="str">
        <f t="shared" si="45"/>
        <v/>
      </c>
      <c r="P640" s="1638"/>
      <c r="X640" s="811" t="str">
        <f t="shared" si="46"/>
        <v/>
      </c>
      <c r="AG640" s="807" t="str">
        <f t="shared" si="43"/>
        <v/>
      </c>
      <c r="AJ640" s="865"/>
    </row>
    <row r="641" spans="1:83" ht="15">
      <c r="A641" s="19" t="s">
        <v>12353</v>
      </c>
      <c r="B641" s="1232" t="s">
        <v>11399</v>
      </c>
      <c r="C641" s="140" t="s">
        <v>447</v>
      </c>
      <c r="D641" s="935" t="s">
        <v>11399</v>
      </c>
      <c r="E641" s="807"/>
      <c r="F641" s="807"/>
      <c r="G641" s="846" t="s">
        <v>447</v>
      </c>
      <c r="H641" s="809" t="s">
        <v>11620</v>
      </c>
      <c r="I641" s="857">
        <v>34</v>
      </c>
      <c r="J641" s="92" t="s">
        <v>10</v>
      </c>
      <c r="K641" s="92" t="s">
        <v>768</v>
      </c>
      <c r="L641" s="858">
        <v>9</v>
      </c>
      <c r="M641" s="811" t="str">
        <f t="shared" si="45"/>
        <v>Vocational Graduate</v>
      </c>
      <c r="N641" s="92" t="s">
        <v>1208</v>
      </c>
      <c r="O641" s="812" t="s">
        <v>2214</v>
      </c>
      <c r="P641" s="1638" t="s">
        <v>12605</v>
      </c>
      <c r="Q641" s="812" t="s">
        <v>2214</v>
      </c>
      <c r="R641" s="812" t="s">
        <v>8234</v>
      </c>
      <c r="S641" s="813">
        <v>1200</v>
      </c>
      <c r="V641" s="814">
        <f>SUM(S641:U641)</f>
        <v>1200</v>
      </c>
      <c r="W641" s="815">
        <v>1</v>
      </c>
      <c r="X641" s="811" t="str">
        <f t="shared" si="46"/>
        <v>within the Brgy</v>
      </c>
      <c r="AB641" s="814">
        <f>SUM(Y641:AA641)</f>
        <v>0</v>
      </c>
      <c r="AG641" s="807"/>
      <c r="AJ641" s="865"/>
    </row>
    <row r="642" spans="1:83" ht="15">
      <c r="A642" s="19" t="s">
        <v>12452</v>
      </c>
      <c r="B642" s="288" t="s">
        <v>11385</v>
      </c>
      <c r="C642" s="140" t="s">
        <v>447</v>
      </c>
      <c r="D642" s="935" t="s">
        <v>447</v>
      </c>
      <c r="E642" s="807"/>
      <c r="F642" s="807"/>
      <c r="G642" s="846" t="s">
        <v>447</v>
      </c>
      <c r="H642" s="809" t="s">
        <v>11384</v>
      </c>
      <c r="I642" s="92">
        <v>24</v>
      </c>
      <c r="J642" s="92" t="s">
        <v>10</v>
      </c>
      <c r="K642" s="92" t="s">
        <v>768</v>
      </c>
      <c r="L642" s="810">
        <v>5</v>
      </c>
      <c r="M642" s="811" t="str">
        <f t="shared" si="45"/>
        <v>High School Graduate</v>
      </c>
      <c r="N642" s="92" t="s">
        <v>1208</v>
      </c>
      <c r="O642" s="812" t="s">
        <v>2966</v>
      </c>
      <c r="P642" s="1638" t="s">
        <v>12606</v>
      </c>
      <c r="Q642" s="812" t="s">
        <v>2966</v>
      </c>
      <c r="R642" s="812" t="s">
        <v>8234</v>
      </c>
      <c r="S642" s="813">
        <f>200*26</f>
        <v>5200</v>
      </c>
      <c r="V642" s="873"/>
      <c r="W642" s="815">
        <v>2</v>
      </c>
      <c r="X642" s="811" t="str">
        <f t="shared" si="46"/>
        <v>within the Municipality/City</v>
      </c>
      <c r="Y642" s="816">
        <f>600*4</f>
        <v>2400</v>
      </c>
      <c r="AB642" s="873"/>
      <c r="AG642" s="807"/>
      <c r="AJ642" s="865"/>
    </row>
    <row r="643" spans="1:83" ht="15">
      <c r="A643" s="19" t="s">
        <v>12452</v>
      </c>
      <c r="D643" s="935" t="s">
        <v>447</v>
      </c>
      <c r="E643" s="807"/>
      <c r="F643" s="807"/>
      <c r="G643" s="827"/>
      <c r="H643" s="809" t="s">
        <v>11390</v>
      </c>
      <c r="I643" s="92">
        <v>25</v>
      </c>
      <c r="J643" s="92" t="s">
        <v>10</v>
      </c>
      <c r="K643" s="92" t="s">
        <v>707</v>
      </c>
      <c r="L643" s="810">
        <v>5</v>
      </c>
      <c r="M643" s="811" t="str">
        <f t="shared" si="45"/>
        <v>High School Graduate</v>
      </c>
      <c r="P643" s="1638"/>
      <c r="V643" s="873">
        <f>SUM(S642:U643)</f>
        <v>5200</v>
      </c>
      <c r="X643" s="811" t="str">
        <f t="shared" si="46"/>
        <v/>
      </c>
      <c r="AB643" s="873">
        <f>SUM(Y642:AA643)</f>
        <v>2400</v>
      </c>
      <c r="AG643" s="807"/>
      <c r="AJ643" s="865"/>
    </row>
    <row r="644" spans="1:83" ht="15">
      <c r="A644" s="19" t="s">
        <v>12452</v>
      </c>
      <c r="B644" s="288" t="s">
        <v>11386</v>
      </c>
      <c r="C644" s="140" t="s">
        <v>447</v>
      </c>
      <c r="D644" s="935" t="s">
        <v>447</v>
      </c>
      <c r="E644" s="807"/>
      <c r="F644" s="807"/>
      <c r="G644" s="846" t="s">
        <v>447</v>
      </c>
      <c r="H644" s="809" t="s">
        <v>11392</v>
      </c>
      <c r="I644" s="92">
        <v>35</v>
      </c>
      <c r="J644" s="92" t="s">
        <v>18</v>
      </c>
      <c r="K644" s="92" t="s">
        <v>768</v>
      </c>
      <c r="L644" s="810">
        <v>5</v>
      </c>
      <c r="M644" s="811" t="str">
        <f t="shared" si="45"/>
        <v>High School Graduate</v>
      </c>
      <c r="N644" s="92" t="s">
        <v>1208</v>
      </c>
      <c r="O644" s="812" t="s">
        <v>2225</v>
      </c>
      <c r="P644" s="1638" t="s">
        <v>12606</v>
      </c>
      <c r="Q644" s="812" t="s">
        <v>2225</v>
      </c>
      <c r="R644" s="812" t="s">
        <v>8234</v>
      </c>
      <c r="S644" s="813">
        <v>8000</v>
      </c>
      <c r="V644" s="814">
        <f>SUM(S644:U644)</f>
        <v>8000</v>
      </c>
      <c r="W644" s="815">
        <v>2</v>
      </c>
      <c r="X644" s="811" t="str">
        <f t="shared" si="46"/>
        <v>within the Municipality/City</v>
      </c>
      <c r="Y644" s="816">
        <f>16*26</f>
        <v>416</v>
      </c>
      <c r="AB644" s="814">
        <f>SUM(Y644:AA644)</f>
        <v>416</v>
      </c>
      <c r="AG644" s="807"/>
      <c r="AJ644" s="865"/>
    </row>
    <row r="645" spans="1:83" ht="15">
      <c r="A645" s="767" t="s">
        <v>7421</v>
      </c>
      <c r="B645" s="292" t="s">
        <v>7612</v>
      </c>
      <c r="C645" s="140" t="s">
        <v>448</v>
      </c>
      <c r="D645" s="935" t="s">
        <v>9003</v>
      </c>
      <c r="E645" s="1043" t="s">
        <v>448</v>
      </c>
      <c r="F645" s="1048" t="s">
        <v>2093</v>
      </c>
      <c r="G645" s="846" t="s">
        <v>448</v>
      </c>
      <c r="H645" s="809" t="s">
        <v>2093</v>
      </c>
      <c r="I645" s="92">
        <v>62</v>
      </c>
      <c r="J645" s="92" t="s">
        <v>10</v>
      </c>
      <c r="K645" s="92" t="s">
        <v>707</v>
      </c>
      <c r="L645" s="810">
        <v>5</v>
      </c>
      <c r="M645" s="811" t="str">
        <f t="shared" si="45"/>
        <v>High School Graduate</v>
      </c>
      <c r="N645" s="92" t="s">
        <v>1208</v>
      </c>
      <c r="O645" s="812" t="s">
        <v>9004</v>
      </c>
      <c r="P645" s="1638" t="s">
        <v>12602</v>
      </c>
      <c r="Q645" s="812" t="s">
        <v>9004</v>
      </c>
      <c r="R645" s="92" t="s">
        <v>8234</v>
      </c>
      <c r="U645" s="813">
        <v>4200</v>
      </c>
      <c r="W645" s="815">
        <v>3</v>
      </c>
      <c r="X645" s="811" t="str">
        <f t="shared" si="46"/>
        <v>within the Province</v>
      </c>
      <c r="AB645" s="924">
        <v>840</v>
      </c>
      <c r="AC645" s="807" t="s">
        <v>9005</v>
      </c>
      <c r="AD645" s="817" t="s">
        <v>9006</v>
      </c>
      <c r="AG645" s="807" t="str">
        <f t="shared" ref="AG645:AG676" si="47">IF(ISBLANK(AF645)=TRUE,"",LOOKUP(AF645,GS:GT))</f>
        <v/>
      </c>
      <c r="AJ645" s="865"/>
    </row>
    <row r="646" spans="1:83" ht="15">
      <c r="A646" s="1076"/>
      <c r="D646" s="935"/>
      <c r="E646" s="1043" t="s">
        <v>448</v>
      </c>
      <c r="F646" s="807"/>
      <c r="G646" s="827"/>
      <c r="H646" s="809" t="s">
        <v>9007</v>
      </c>
      <c r="I646" s="92">
        <v>59</v>
      </c>
      <c r="J646" s="92" t="s">
        <v>10</v>
      </c>
      <c r="K646" s="92" t="s">
        <v>707</v>
      </c>
      <c r="L646" s="810">
        <v>4</v>
      </c>
      <c r="M646" s="811" t="str">
        <f t="shared" si="45"/>
        <v>High School Level</v>
      </c>
      <c r="N646" s="92" t="s">
        <v>1208</v>
      </c>
      <c r="O646" s="812" t="s">
        <v>9008</v>
      </c>
      <c r="P646" s="1638"/>
      <c r="Q646" s="812" t="s">
        <v>9008</v>
      </c>
      <c r="S646" s="813">
        <v>2000</v>
      </c>
      <c r="W646" s="815">
        <v>1</v>
      </c>
      <c r="X646" s="811" t="str">
        <f t="shared" si="46"/>
        <v>within the Brgy</v>
      </c>
      <c r="AC646" s="807" t="s">
        <v>9009</v>
      </c>
      <c r="AG646" s="807" t="str">
        <f t="shared" si="47"/>
        <v/>
      </c>
      <c r="AJ646" s="865"/>
    </row>
    <row r="647" spans="1:83" ht="15">
      <c r="A647" s="19" t="s">
        <v>7421</v>
      </c>
      <c r="B647" s="292" t="s">
        <v>7611</v>
      </c>
      <c r="C647" s="140" t="s">
        <v>452</v>
      </c>
      <c r="D647" s="935" t="s">
        <v>9010</v>
      </c>
      <c r="E647" s="1043" t="s">
        <v>452</v>
      </c>
      <c r="F647" s="1048" t="s">
        <v>2094</v>
      </c>
      <c r="G647" s="846" t="s">
        <v>452</v>
      </c>
      <c r="H647" s="809" t="s">
        <v>2094</v>
      </c>
      <c r="I647" s="92">
        <v>39</v>
      </c>
      <c r="J647" s="92" t="s">
        <v>10</v>
      </c>
      <c r="K647" s="92" t="s">
        <v>707</v>
      </c>
      <c r="L647" s="810">
        <v>2</v>
      </c>
      <c r="M647" s="811" t="str">
        <f t="shared" si="45"/>
        <v>Elementary Level</v>
      </c>
      <c r="N647" s="92" t="s">
        <v>1208</v>
      </c>
      <c r="O647" s="812" t="s">
        <v>8632</v>
      </c>
      <c r="P647" s="1638" t="s">
        <v>12597</v>
      </c>
      <c r="Q647" s="812" t="s">
        <v>8632</v>
      </c>
      <c r="R647" s="92" t="s">
        <v>8234</v>
      </c>
      <c r="S647" s="813">
        <f>400*20</f>
        <v>8000</v>
      </c>
      <c r="W647" s="815">
        <v>3</v>
      </c>
      <c r="X647" s="811" t="str">
        <f t="shared" si="46"/>
        <v>within the Province</v>
      </c>
      <c r="AB647" s="924">
        <f>16*20</f>
        <v>320</v>
      </c>
      <c r="AC647" s="807" t="s">
        <v>8172</v>
      </c>
      <c r="AG647" s="807" t="str">
        <f t="shared" si="47"/>
        <v/>
      </c>
      <c r="AH647" s="807"/>
      <c r="AI647" s="807"/>
      <c r="AJ647" s="807"/>
      <c r="AK647" s="807"/>
      <c r="AL647" s="807"/>
      <c r="AM647" s="807"/>
      <c r="BC647" s="807"/>
      <c r="BD647" s="807"/>
      <c r="BE647" s="807"/>
      <c r="BF647" s="807"/>
      <c r="BG647" s="807"/>
      <c r="BH647" s="807"/>
      <c r="BI647" s="807"/>
      <c r="BJ647" s="807"/>
      <c r="BK647" s="807"/>
      <c r="BN647" s="807"/>
      <c r="CD647" s="807"/>
      <c r="CE647" s="807"/>
    </row>
    <row r="648" spans="1:83" ht="15">
      <c r="A648" s="19" t="s">
        <v>7421</v>
      </c>
      <c r="D648" s="935" t="s">
        <v>9010</v>
      </c>
      <c r="E648" s="1043" t="s">
        <v>452</v>
      </c>
      <c r="F648" s="807"/>
      <c r="G648" s="827"/>
      <c r="H648" s="809" t="s">
        <v>2173</v>
      </c>
      <c r="I648" s="92">
        <v>37</v>
      </c>
      <c r="J648" s="92" t="s">
        <v>18</v>
      </c>
      <c r="K648" s="92" t="s">
        <v>707</v>
      </c>
      <c r="L648" s="810">
        <v>5</v>
      </c>
      <c r="M648" s="811" t="str">
        <f t="shared" si="45"/>
        <v>High School Graduate</v>
      </c>
      <c r="P648" s="1638"/>
      <c r="X648" s="811" t="str">
        <f t="shared" si="46"/>
        <v/>
      </c>
      <c r="AG648" s="807" t="str">
        <f t="shared" si="47"/>
        <v/>
      </c>
      <c r="AH648" s="807"/>
      <c r="AI648" s="807"/>
      <c r="AJ648" s="807"/>
      <c r="AK648" s="807"/>
      <c r="AL648" s="807"/>
      <c r="AM648" s="807"/>
      <c r="BC648" s="807"/>
      <c r="BD648" s="807"/>
      <c r="BE648" s="807"/>
      <c r="BF648" s="807"/>
      <c r="BG648" s="807"/>
      <c r="BH648" s="807"/>
      <c r="BI648" s="807"/>
      <c r="BJ648" s="807"/>
      <c r="BK648" s="807"/>
      <c r="BN648" s="807"/>
      <c r="CD648" s="807"/>
      <c r="CE648" s="807"/>
    </row>
    <row r="649" spans="1:83" ht="15">
      <c r="A649" s="19" t="s">
        <v>7421</v>
      </c>
      <c r="D649" s="935" t="s">
        <v>9010</v>
      </c>
      <c r="E649" s="1043" t="s">
        <v>452</v>
      </c>
      <c r="F649" s="807"/>
      <c r="G649" s="827"/>
      <c r="H649" s="809" t="s">
        <v>9011</v>
      </c>
      <c r="I649" s="92">
        <v>16</v>
      </c>
      <c r="J649" s="92" t="s">
        <v>10</v>
      </c>
      <c r="K649" s="92" t="s">
        <v>768</v>
      </c>
      <c r="L649" s="810">
        <v>4</v>
      </c>
      <c r="M649" s="811" t="str">
        <f t="shared" si="45"/>
        <v>High School Level</v>
      </c>
      <c r="P649" s="1638"/>
      <c r="X649" s="811" t="str">
        <f t="shared" si="46"/>
        <v/>
      </c>
      <c r="AG649" s="807" t="str">
        <f t="shared" si="47"/>
        <v/>
      </c>
      <c r="AH649" s="807"/>
      <c r="AI649" s="807"/>
      <c r="AJ649" s="807"/>
      <c r="AK649" s="807"/>
      <c r="AL649" s="807"/>
      <c r="AM649" s="807"/>
      <c r="BC649" s="807"/>
      <c r="BD649" s="807"/>
      <c r="BE649" s="807"/>
      <c r="BF649" s="807"/>
      <c r="BG649" s="807"/>
      <c r="BH649" s="807"/>
      <c r="BI649" s="807"/>
      <c r="BJ649" s="807"/>
      <c r="BK649" s="807"/>
      <c r="BN649" s="807"/>
      <c r="CD649" s="807"/>
      <c r="CE649" s="807"/>
    </row>
    <row r="650" spans="1:83" ht="15">
      <c r="A650" s="19" t="s">
        <v>7421</v>
      </c>
      <c r="D650" s="935" t="s">
        <v>9010</v>
      </c>
      <c r="E650" s="1043" t="s">
        <v>452</v>
      </c>
      <c r="F650" s="807"/>
      <c r="G650" s="827"/>
      <c r="H650" s="809" t="s">
        <v>9012</v>
      </c>
      <c r="I650" s="92">
        <v>15</v>
      </c>
      <c r="J650" s="92" t="s">
        <v>18</v>
      </c>
      <c r="K650" s="92" t="s">
        <v>768</v>
      </c>
      <c r="L650" s="810">
        <v>2</v>
      </c>
      <c r="M650" s="811" t="str">
        <f t="shared" si="45"/>
        <v>Elementary Level</v>
      </c>
      <c r="P650" s="1638"/>
      <c r="X650" s="811" t="str">
        <f t="shared" si="46"/>
        <v/>
      </c>
      <c r="AG650" s="807" t="str">
        <f t="shared" si="47"/>
        <v/>
      </c>
      <c r="AH650" s="807"/>
      <c r="AI650" s="807"/>
      <c r="AJ650" s="807"/>
      <c r="AK650" s="807"/>
      <c r="AL650" s="807"/>
      <c r="AM650" s="807"/>
      <c r="BC650" s="807"/>
      <c r="BD650" s="807"/>
      <c r="BE650" s="807"/>
      <c r="BF650" s="807"/>
      <c r="BG650" s="807"/>
      <c r="BH650" s="807"/>
      <c r="BI650" s="807"/>
      <c r="BJ650" s="807"/>
      <c r="BK650" s="807"/>
      <c r="BN650" s="807"/>
      <c r="CD650" s="807"/>
      <c r="CE650" s="807"/>
    </row>
    <row r="651" spans="1:83" ht="15">
      <c r="A651" s="19" t="s">
        <v>7421</v>
      </c>
      <c r="D651" s="935" t="s">
        <v>9010</v>
      </c>
      <c r="E651" s="1043" t="s">
        <v>452</v>
      </c>
      <c r="F651" s="807"/>
      <c r="G651" s="827"/>
      <c r="H651" s="809" t="s">
        <v>9013</v>
      </c>
      <c r="I651" s="92">
        <v>4</v>
      </c>
      <c r="J651" s="92" t="s">
        <v>10</v>
      </c>
      <c r="K651" s="92" t="s">
        <v>768</v>
      </c>
      <c r="L651" s="810">
        <v>10</v>
      </c>
      <c r="M651" s="811" t="str">
        <f t="shared" si="45"/>
        <v>Not In School Age</v>
      </c>
      <c r="P651" s="1638"/>
      <c r="X651" s="811" t="str">
        <f t="shared" si="46"/>
        <v/>
      </c>
      <c r="AG651" s="807" t="str">
        <f t="shared" si="47"/>
        <v/>
      </c>
      <c r="AH651" s="807"/>
      <c r="AI651" s="807"/>
      <c r="AJ651" s="807"/>
      <c r="AK651" s="807"/>
      <c r="AL651" s="807"/>
      <c r="AM651" s="807"/>
      <c r="BC651" s="807"/>
      <c r="BD651" s="807"/>
      <c r="BE651" s="807"/>
      <c r="BF651" s="807"/>
      <c r="BG651" s="807"/>
      <c r="BH651" s="807"/>
      <c r="BI651" s="807"/>
      <c r="BJ651" s="807"/>
      <c r="BK651" s="807"/>
      <c r="BN651" s="807"/>
      <c r="CD651" s="807"/>
      <c r="CE651" s="807"/>
    </row>
    <row r="652" spans="1:83" ht="15">
      <c r="A652" s="19" t="s">
        <v>7421</v>
      </c>
      <c r="B652" s="292" t="s">
        <v>7613</v>
      </c>
      <c r="C652" s="140" t="s">
        <v>454</v>
      </c>
      <c r="D652" s="935" t="s">
        <v>9014</v>
      </c>
      <c r="E652" s="1043" t="s">
        <v>454</v>
      </c>
      <c r="F652" s="1048" t="s">
        <v>2095</v>
      </c>
      <c r="G652" s="846" t="s">
        <v>454</v>
      </c>
      <c r="H652" s="809" t="s">
        <v>2095</v>
      </c>
      <c r="I652" s="92">
        <v>27</v>
      </c>
      <c r="J652" s="92" t="s">
        <v>18</v>
      </c>
      <c r="K652" s="92" t="s">
        <v>707</v>
      </c>
      <c r="M652" s="811" t="str">
        <f t="shared" si="45"/>
        <v/>
      </c>
      <c r="N652" s="92" t="s">
        <v>1208</v>
      </c>
      <c r="O652" s="812" t="s">
        <v>9015</v>
      </c>
      <c r="P652" s="1638" t="s">
        <v>12606</v>
      </c>
      <c r="Q652" s="812" t="s">
        <v>9015</v>
      </c>
      <c r="R652" s="92" t="s">
        <v>8234</v>
      </c>
      <c r="S652" s="813">
        <v>30000</v>
      </c>
      <c r="V652" s="873"/>
      <c r="W652" s="815">
        <v>3</v>
      </c>
      <c r="X652" s="811" t="str">
        <f t="shared" si="46"/>
        <v>within the Province</v>
      </c>
      <c r="Y652" s="816">
        <v>2160</v>
      </c>
      <c r="AB652" s="873"/>
      <c r="AG652" s="807" t="str">
        <f t="shared" si="47"/>
        <v/>
      </c>
      <c r="AH652" s="807"/>
      <c r="AI652" s="807"/>
      <c r="AJ652" s="807"/>
      <c r="AK652" s="807"/>
      <c r="AL652" s="807"/>
      <c r="AM652" s="807"/>
      <c r="BC652" s="807"/>
      <c r="BD652" s="807"/>
      <c r="BE652" s="807"/>
      <c r="BF652" s="807"/>
      <c r="BG652" s="807"/>
      <c r="BH652" s="807"/>
      <c r="BI652" s="807"/>
      <c r="BJ652" s="807"/>
      <c r="BK652" s="807"/>
      <c r="BN652" s="807"/>
      <c r="CD652" s="807"/>
      <c r="CE652" s="807"/>
    </row>
    <row r="653" spans="1:83" ht="15">
      <c r="A653" s="19" t="s">
        <v>7421</v>
      </c>
      <c r="D653" s="935" t="s">
        <v>9014</v>
      </c>
      <c r="E653" s="1043" t="s">
        <v>454</v>
      </c>
      <c r="F653" s="807"/>
      <c r="G653" s="827"/>
      <c r="H653" s="809" t="s">
        <v>2174</v>
      </c>
      <c r="I653" s="92">
        <v>56</v>
      </c>
      <c r="J653" s="92" t="s">
        <v>18</v>
      </c>
      <c r="K653" s="92" t="s">
        <v>707</v>
      </c>
      <c r="L653" s="810">
        <v>5</v>
      </c>
      <c r="M653" s="811" t="str">
        <f t="shared" si="45"/>
        <v>High School Graduate</v>
      </c>
      <c r="P653" s="1638"/>
      <c r="V653" s="873"/>
      <c r="X653" s="811" t="str">
        <f t="shared" si="46"/>
        <v/>
      </c>
      <c r="AB653" s="873"/>
      <c r="AG653" s="807" t="str">
        <f t="shared" si="47"/>
        <v/>
      </c>
      <c r="AH653" s="807"/>
      <c r="AI653" s="807"/>
      <c r="AJ653" s="807"/>
      <c r="AK653" s="807"/>
      <c r="AL653" s="807"/>
      <c r="AM653" s="807"/>
      <c r="BC653" s="807"/>
      <c r="BD653" s="807"/>
      <c r="BE653" s="807"/>
      <c r="BF653" s="807"/>
      <c r="BG653" s="807"/>
      <c r="BH653" s="807"/>
      <c r="BI653" s="807"/>
      <c r="BJ653" s="807"/>
      <c r="BK653" s="807"/>
      <c r="BN653" s="807"/>
      <c r="CD653" s="807"/>
      <c r="CE653" s="807"/>
    </row>
    <row r="654" spans="1:83" ht="15">
      <c r="A654" s="19" t="s">
        <v>7421</v>
      </c>
      <c r="D654" s="935" t="s">
        <v>9014</v>
      </c>
      <c r="E654" s="1043" t="s">
        <v>454</v>
      </c>
      <c r="F654" s="807"/>
      <c r="G654" s="827"/>
      <c r="H654" s="809" t="s">
        <v>9016</v>
      </c>
      <c r="I654" s="92">
        <v>30</v>
      </c>
      <c r="J654" s="92" t="s">
        <v>10</v>
      </c>
      <c r="K654" s="92" t="s">
        <v>768</v>
      </c>
      <c r="L654" s="810">
        <v>7</v>
      </c>
      <c r="M654" s="811" t="str">
        <f t="shared" si="45"/>
        <v>College Graduate or Higher</v>
      </c>
      <c r="N654" s="92" t="s">
        <v>1208</v>
      </c>
      <c r="O654" s="812" t="s">
        <v>2236</v>
      </c>
      <c r="P654" s="1638"/>
      <c r="Q654" s="812" t="s">
        <v>2236</v>
      </c>
      <c r="R654" s="812" t="s">
        <v>10310</v>
      </c>
      <c r="S654" s="813">
        <v>21000</v>
      </c>
      <c r="V654" s="873"/>
      <c r="W654" s="815">
        <v>3</v>
      </c>
      <c r="X654" s="811" t="str">
        <f t="shared" si="46"/>
        <v>within the Province</v>
      </c>
      <c r="Y654" s="816">
        <v>2160</v>
      </c>
      <c r="AB654" s="873"/>
      <c r="AG654" s="807" t="str">
        <f t="shared" si="47"/>
        <v/>
      </c>
      <c r="AH654" s="807"/>
      <c r="AI654" s="807"/>
      <c r="AJ654" s="807"/>
      <c r="AK654" s="807"/>
      <c r="AL654" s="807"/>
      <c r="AM654" s="807"/>
      <c r="BC654" s="807"/>
      <c r="BD654" s="807"/>
      <c r="BE654" s="807"/>
      <c r="BF654" s="807"/>
      <c r="BG654" s="807"/>
      <c r="BH654" s="807"/>
      <c r="BI654" s="807"/>
      <c r="BJ654" s="807"/>
      <c r="BK654" s="807"/>
      <c r="BN654" s="807"/>
      <c r="CD654" s="807"/>
      <c r="CE654" s="807"/>
    </row>
    <row r="655" spans="1:83" ht="15">
      <c r="A655" s="19" t="s">
        <v>7421</v>
      </c>
      <c r="D655" s="935" t="s">
        <v>9014</v>
      </c>
      <c r="E655" s="1043" t="s">
        <v>454</v>
      </c>
      <c r="F655" s="807"/>
      <c r="G655" s="827"/>
      <c r="H655" s="809" t="s">
        <v>9017</v>
      </c>
      <c r="I655" s="92">
        <v>21</v>
      </c>
      <c r="J655" s="92" t="s">
        <v>10</v>
      </c>
      <c r="K655" s="92" t="s">
        <v>768</v>
      </c>
      <c r="L655" s="810">
        <v>7</v>
      </c>
      <c r="M655" s="811" t="str">
        <f t="shared" si="45"/>
        <v>College Graduate or Higher</v>
      </c>
      <c r="N655" s="92" t="s">
        <v>1208</v>
      </c>
      <c r="O655" s="812" t="s">
        <v>8190</v>
      </c>
      <c r="P655" s="1638"/>
      <c r="Q655" s="812" t="s">
        <v>8190</v>
      </c>
      <c r="R655" s="812" t="s">
        <v>10310</v>
      </c>
      <c r="S655" s="813">
        <v>16000</v>
      </c>
      <c r="V655" s="873"/>
      <c r="W655" s="815">
        <v>4</v>
      </c>
      <c r="X655" s="811" t="str">
        <f t="shared" si="46"/>
        <v>Other Province</v>
      </c>
      <c r="Y655" s="816">
        <v>400</v>
      </c>
      <c r="AB655" s="873"/>
      <c r="AG655" s="807" t="str">
        <f t="shared" si="47"/>
        <v/>
      </c>
      <c r="AH655" s="807"/>
      <c r="AI655" s="807"/>
      <c r="AJ655" s="807"/>
      <c r="AK655" s="807"/>
      <c r="AL655" s="807"/>
      <c r="AM655" s="807"/>
      <c r="BC655" s="807"/>
      <c r="BD655" s="807"/>
      <c r="BE655" s="807"/>
      <c r="BF655" s="807"/>
      <c r="BG655" s="807"/>
      <c r="BH655" s="807"/>
      <c r="BI655" s="807"/>
      <c r="BJ655" s="807"/>
      <c r="BK655" s="807"/>
      <c r="BN655" s="807"/>
      <c r="CD655" s="807"/>
      <c r="CE655" s="807"/>
    </row>
    <row r="656" spans="1:83" ht="15">
      <c r="A656" s="19" t="s">
        <v>7421</v>
      </c>
      <c r="D656" s="935" t="s">
        <v>9014</v>
      </c>
      <c r="E656" s="1043" t="s">
        <v>454</v>
      </c>
      <c r="F656" s="807"/>
      <c r="G656" s="827"/>
      <c r="H656" s="809" t="s">
        <v>9018</v>
      </c>
      <c r="I656" s="92">
        <v>15</v>
      </c>
      <c r="J656" s="92" t="s">
        <v>18</v>
      </c>
      <c r="K656" s="92" t="s">
        <v>768</v>
      </c>
      <c r="M656" s="811" t="str">
        <f t="shared" si="45"/>
        <v/>
      </c>
      <c r="P656" s="1638"/>
      <c r="V656" s="873"/>
      <c r="X656" s="811" t="str">
        <f t="shared" si="46"/>
        <v/>
      </c>
      <c r="AB656" s="873"/>
      <c r="AG656" s="807" t="str">
        <f t="shared" si="47"/>
        <v/>
      </c>
      <c r="AH656" s="807"/>
      <c r="AI656" s="807"/>
      <c r="AJ656" s="807"/>
      <c r="AK656" s="807"/>
      <c r="AL656" s="807"/>
      <c r="AM656" s="807"/>
      <c r="BC656" s="807"/>
      <c r="BD656" s="807"/>
      <c r="BE656" s="807"/>
      <c r="BF656" s="807"/>
      <c r="BG656" s="807"/>
      <c r="BH656" s="807"/>
      <c r="BI656" s="807"/>
      <c r="BJ656" s="807"/>
      <c r="BK656" s="807"/>
      <c r="BN656" s="807"/>
      <c r="CD656" s="807"/>
      <c r="CE656" s="807"/>
    </row>
    <row r="657" spans="1:97" ht="15">
      <c r="A657" s="19" t="s">
        <v>7421</v>
      </c>
      <c r="D657" s="935" t="s">
        <v>9014</v>
      </c>
      <c r="E657" s="1043" t="s">
        <v>454</v>
      </c>
      <c r="F657" s="807"/>
      <c r="G657" s="827"/>
      <c r="H657" s="809" t="s">
        <v>9019</v>
      </c>
      <c r="I657" s="92">
        <v>5</v>
      </c>
      <c r="J657" s="92" t="s">
        <v>18</v>
      </c>
      <c r="K657" s="92" t="s">
        <v>768</v>
      </c>
      <c r="L657" s="810">
        <v>1</v>
      </c>
      <c r="M657" s="811" t="str">
        <f t="shared" si="45"/>
        <v>Pre-school</v>
      </c>
      <c r="P657" s="1638"/>
      <c r="V657" s="873"/>
      <c r="X657" s="811" t="str">
        <f t="shared" si="46"/>
        <v/>
      </c>
      <c r="AB657" s="873"/>
      <c r="AG657" s="807" t="str">
        <f t="shared" si="47"/>
        <v/>
      </c>
      <c r="AH657" s="807"/>
      <c r="AI657" s="807"/>
      <c r="AJ657" s="807"/>
      <c r="AK657" s="807"/>
      <c r="AL657" s="807"/>
      <c r="AM657" s="807"/>
      <c r="BC657" s="807"/>
      <c r="BD657" s="807"/>
      <c r="BE657" s="807"/>
      <c r="BF657" s="807"/>
      <c r="BG657" s="807"/>
      <c r="BH657" s="807"/>
      <c r="BI657" s="807"/>
      <c r="BJ657" s="807"/>
      <c r="BK657" s="807"/>
      <c r="BN657" s="807"/>
      <c r="CD657" s="807"/>
      <c r="CE657" s="807"/>
    </row>
    <row r="658" spans="1:97" ht="15">
      <c r="A658" s="19" t="s">
        <v>7421</v>
      </c>
      <c r="D658" s="935" t="s">
        <v>9014</v>
      </c>
      <c r="E658" s="1043" t="s">
        <v>454</v>
      </c>
      <c r="F658" s="807"/>
      <c r="G658" s="827"/>
      <c r="H658" s="809" t="s">
        <v>9020</v>
      </c>
      <c r="I658" s="930">
        <f>7/12</f>
        <v>0.58333333333333337</v>
      </c>
      <c r="J658" s="92" t="s">
        <v>18</v>
      </c>
      <c r="K658" s="92" t="s">
        <v>768</v>
      </c>
      <c r="M658" s="811" t="str">
        <f t="shared" si="45"/>
        <v/>
      </c>
      <c r="P658" s="1638"/>
      <c r="V658" s="873"/>
      <c r="X658" s="811" t="str">
        <f t="shared" si="46"/>
        <v/>
      </c>
      <c r="AB658" s="873"/>
      <c r="AG658" s="807" t="str">
        <f t="shared" si="47"/>
        <v/>
      </c>
      <c r="AH658" s="807"/>
      <c r="AI658" s="807"/>
      <c r="AJ658" s="807"/>
      <c r="AK658" s="807"/>
      <c r="AL658" s="807"/>
      <c r="AM658" s="807"/>
      <c r="BC658" s="807"/>
      <c r="BD658" s="807"/>
      <c r="BE658" s="807"/>
      <c r="BF658" s="807"/>
      <c r="BG658" s="807"/>
      <c r="BH658" s="807"/>
      <c r="BI658" s="807"/>
      <c r="BJ658" s="807"/>
      <c r="BK658" s="807"/>
      <c r="BN658" s="807"/>
      <c r="CD658" s="807"/>
      <c r="CE658" s="807"/>
    </row>
    <row r="659" spans="1:97" ht="15">
      <c r="A659" s="19" t="s">
        <v>7421</v>
      </c>
      <c r="D659" s="935" t="s">
        <v>9014</v>
      </c>
      <c r="E659" s="1043" t="s">
        <v>454</v>
      </c>
      <c r="F659" s="807"/>
      <c r="G659" s="827"/>
      <c r="H659" s="809" t="s">
        <v>9021</v>
      </c>
      <c r="I659" s="92">
        <v>28</v>
      </c>
      <c r="J659" s="92" t="s">
        <v>10</v>
      </c>
      <c r="K659" s="92" t="s">
        <v>707</v>
      </c>
      <c r="L659" s="810">
        <v>7</v>
      </c>
      <c r="M659" s="811" t="str">
        <f t="shared" si="45"/>
        <v>College Graduate or Higher</v>
      </c>
      <c r="N659" s="92" t="s">
        <v>1208</v>
      </c>
      <c r="O659" s="812" t="s">
        <v>9022</v>
      </c>
      <c r="P659" s="1638"/>
      <c r="Q659" s="812" t="s">
        <v>9022</v>
      </c>
      <c r="R659" s="812" t="s">
        <v>8285</v>
      </c>
      <c r="S659" s="813">
        <v>50000</v>
      </c>
      <c r="V659" s="873">
        <f>SUM(S652:U659)</f>
        <v>117000</v>
      </c>
      <c r="W659" s="815">
        <v>5</v>
      </c>
      <c r="X659" s="811" t="str">
        <f t="shared" si="46"/>
        <v>Overseas Worker</v>
      </c>
      <c r="AB659" s="873">
        <f>SUM(Y652:AA659)</f>
        <v>4720</v>
      </c>
      <c r="AG659" s="807" t="str">
        <f t="shared" si="47"/>
        <v/>
      </c>
      <c r="AH659" s="807"/>
      <c r="AI659" s="807"/>
      <c r="AJ659" s="807"/>
      <c r="AK659" s="807"/>
      <c r="AL659" s="807"/>
      <c r="AM659" s="807"/>
      <c r="BC659" s="807"/>
      <c r="BD659" s="807"/>
      <c r="BE659" s="807"/>
      <c r="BF659" s="807"/>
      <c r="BG659" s="807"/>
      <c r="BH659" s="807"/>
      <c r="BI659" s="807"/>
      <c r="BJ659" s="807"/>
      <c r="BK659" s="807"/>
      <c r="BN659" s="807"/>
      <c r="CD659" s="807"/>
      <c r="CE659" s="807"/>
    </row>
    <row r="660" spans="1:97" ht="15">
      <c r="A660" s="767" t="s">
        <v>7421</v>
      </c>
      <c r="B660" s="292" t="s">
        <v>7614</v>
      </c>
      <c r="C660" s="140" t="s">
        <v>457</v>
      </c>
      <c r="D660" s="935" t="s">
        <v>9023</v>
      </c>
      <c r="E660" s="1043" t="s">
        <v>457</v>
      </c>
      <c r="F660" s="1048" t="s">
        <v>2096</v>
      </c>
      <c r="G660" s="846" t="s">
        <v>457</v>
      </c>
      <c r="H660" s="809" t="s">
        <v>2096</v>
      </c>
      <c r="I660" s="92">
        <v>31</v>
      </c>
      <c r="J660" s="92" t="s">
        <v>10</v>
      </c>
      <c r="K660" s="92" t="s">
        <v>722</v>
      </c>
      <c r="L660" s="810">
        <v>6</v>
      </c>
      <c r="M660" s="811" t="str">
        <f t="shared" si="45"/>
        <v>College Level</v>
      </c>
      <c r="N660" s="92" t="s">
        <v>1208</v>
      </c>
      <c r="O660" s="812" t="s">
        <v>2217</v>
      </c>
      <c r="P660" s="1638" t="s">
        <v>12607</v>
      </c>
      <c r="Q660" s="812" t="s">
        <v>2217</v>
      </c>
      <c r="R660" s="92" t="s">
        <v>8234</v>
      </c>
      <c r="S660" s="813">
        <v>25000</v>
      </c>
      <c r="W660" s="815">
        <v>5</v>
      </c>
      <c r="X660" s="811" t="str">
        <f t="shared" si="46"/>
        <v>Overseas Worker</v>
      </c>
      <c r="AC660" s="807" t="s">
        <v>8188</v>
      </c>
      <c r="AG660" s="807" t="str">
        <f t="shared" si="47"/>
        <v/>
      </c>
      <c r="AJ660" s="865"/>
    </row>
    <row r="661" spans="1:97" ht="15">
      <c r="A661" s="767" t="s">
        <v>7421</v>
      </c>
      <c r="D661" s="935" t="s">
        <v>9023</v>
      </c>
      <c r="E661" s="1043" t="s">
        <v>457</v>
      </c>
      <c r="G661" s="827"/>
      <c r="H661" s="809" t="s">
        <v>9024</v>
      </c>
      <c r="I661" s="92">
        <v>31</v>
      </c>
      <c r="J661" s="92" t="s">
        <v>18</v>
      </c>
      <c r="K661" s="92" t="s">
        <v>722</v>
      </c>
      <c r="L661" s="810">
        <v>6</v>
      </c>
      <c r="M661" s="811" t="str">
        <f t="shared" si="45"/>
        <v>College Level</v>
      </c>
      <c r="P661" s="1638"/>
      <c r="X661" s="811" t="str">
        <f t="shared" si="46"/>
        <v/>
      </c>
      <c r="AG661" s="807" t="str">
        <f t="shared" si="47"/>
        <v/>
      </c>
      <c r="AJ661" s="865"/>
    </row>
    <row r="662" spans="1:97" ht="15">
      <c r="A662" s="767" t="s">
        <v>7421</v>
      </c>
      <c r="D662" s="935" t="s">
        <v>9023</v>
      </c>
      <c r="E662" s="1043" t="s">
        <v>457</v>
      </c>
      <c r="G662" s="827"/>
      <c r="H662" s="809" t="s">
        <v>9025</v>
      </c>
      <c r="I662" s="92">
        <v>11</v>
      </c>
      <c r="J662" s="92" t="s">
        <v>10</v>
      </c>
      <c r="K662" s="92" t="s">
        <v>768</v>
      </c>
      <c r="L662" s="810">
        <v>2</v>
      </c>
      <c r="M662" s="811" t="str">
        <f t="shared" si="45"/>
        <v>Elementary Level</v>
      </c>
      <c r="P662" s="1638"/>
      <c r="X662" s="811" t="str">
        <f t="shared" si="46"/>
        <v/>
      </c>
      <c r="AG662" s="807" t="str">
        <f t="shared" si="47"/>
        <v/>
      </c>
      <c r="AJ662" s="865"/>
    </row>
    <row r="663" spans="1:97" ht="15">
      <c r="A663" s="767" t="s">
        <v>7421</v>
      </c>
      <c r="D663" s="935" t="s">
        <v>9023</v>
      </c>
      <c r="E663" s="1043" t="s">
        <v>457</v>
      </c>
      <c r="G663" s="827"/>
      <c r="H663" s="809" t="s">
        <v>9026</v>
      </c>
      <c r="I663" s="92">
        <v>8</v>
      </c>
      <c r="J663" s="92" t="s">
        <v>18</v>
      </c>
      <c r="K663" s="92" t="s">
        <v>768</v>
      </c>
      <c r="L663" s="810">
        <v>2</v>
      </c>
      <c r="M663" s="811" t="str">
        <f t="shared" si="45"/>
        <v>Elementary Level</v>
      </c>
      <c r="P663" s="1638"/>
      <c r="V663" s="814">
        <f>SUM(S660:U663)</f>
        <v>25000</v>
      </c>
      <c r="X663" s="811" t="str">
        <f t="shared" si="46"/>
        <v/>
      </c>
      <c r="AG663" s="807" t="str">
        <f t="shared" si="47"/>
        <v/>
      </c>
      <c r="AJ663" s="865"/>
    </row>
    <row r="664" spans="1:97" ht="15">
      <c r="A664" s="767" t="s">
        <v>7421</v>
      </c>
      <c r="B664" s="292" t="s">
        <v>5597</v>
      </c>
      <c r="C664" s="140" t="s">
        <v>459</v>
      </c>
      <c r="D664" s="935" t="s">
        <v>9027</v>
      </c>
      <c r="E664" s="1043" t="s">
        <v>459</v>
      </c>
      <c r="F664" s="1048" t="s">
        <v>9028</v>
      </c>
      <c r="G664" s="846" t="s">
        <v>459</v>
      </c>
      <c r="H664" s="809" t="s">
        <v>9028</v>
      </c>
      <c r="I664" s="92">
        <v>30</v>
      </c>
      <c r="J664" s="92" t="s">
        <v>10</v>
      </c>
      <c r="K664" s="92" t="s">
        <v>707</v>
      </c>
      <c r="L664" s="810">
        <v>5</v>
      </c>
      <c r="M664" s="811" t="str">
        <f t="shared" si="45"/>
        <v>High School Graduate</v>
      </c>
      <c r="N664" s="92" t="s">
        <v>1208</v>
      </c>
      <c r="O664" s="812" t="s">
        <v>9029</v>
      </c>
      <c r="P664" s="1638" t="s">
        <v>12606</v>
      </c>
      <c r="Q664" s="812" t="s">
        <v>9029</v>
      </c>
      <c r="R664" s="92" t="s">
        <v>8234</v>
      </c>
      <c r="S664" s="813">
        <v>10800</v>
      </c>
      <c r="V664" s="873"/>
      <c r="X664" s="811" t="str">
        <f t="shared" si="46"/>
        <v/>
      </c>
      <c r="AG664" s="807" t="str">
        <f t="shared" si="47"/>
        <v/>
      </c>
      <c r="AJ664" s="865"/>
    </row>
    <row r="665" spans="1:97" ht="15">
      <c r="A665" s="767" t="s">
        <v>7421</v>
      </c>
      <c r="D665" s="935" t="s">
        <v>9027</v>
      </c>
      <c r="E665" s="1043" t="s">
        <v>459</v>
      </c>
      <c r="G665" s="827"/>
      <c r="H665" s="809" t="s">
        <v>9030</v>
      </c>
      <c r="I665" s="92">
        <v>29</v>
      </c>
      <c r="J665" s="92" t="s">
        <v>18</v>
      </c>
      <c r="K665" s="92" t="s">
        <v>707</v>
      </c>
      <c r="L665" s="810">
        <v>5</v>
      </c>
      <c r="M665" s="811" t="str">
        <f t="shared" si="45"/>
        <v>High School Graduate</v>
      </c>
      <c r="P665" s="1638"/>
      <c r="V665" s="873"/>
      <c r="X665" s="811" t="str">
        <f t="shared" si="46"/>
        <v/>
      </c>
      <c r="AG665" s="807" t="str">
        <f t="shared" si="47"/>
        <v/>
      </c>
      <c r="AJ665" s="865"/>
    </row>
    <row r="666" spans="1:97" ht="15">
      <c r="A666" s="767" t="s">
        <v>7421</v>
      </c>
      <c r="D666" s="935" t="s">
        <v>9027</v>
      </c>
      <c r="E666" s="1043" t="s">
        <v>459</v>
      </c>
      <c r="G666" s="827"/>
      <c r="H666" s="809" t="s">
        <v>9031</v>
      </c>
      <c r="I666" s="92">
        <v>3</v>
      </c>
      <c r="J666" s="92" t="s">
        <v>18</v>
      </c>
      <c r="K666" s="92" t="s">
        <v>768</v>
      </c>
      <c r="L666" s="810">
        <v>10</v>
      </c>
      <c r="M666" s="811" t="str">
        <f t="shared" si="45"/>
        <v>Not In School Age</v>
      </c>
      <c r="P666" s="1638"/>
      <c r="V666" s="873"/>
      <c r="W666" s="815">
        <v>1</v>
      </c>
      <c r="X666" s="811" t="str">
        <f t="shared" si="46"/>
        <v>within the Brgy</v>
      </c>
      <c r="AG666" s="807" t="str">
        <f t="shared" si="47"/>
        <v/>
      </c>
      <c r="AJ666" s="865"/>
    </row>
    <row r="667" spans="1:97" ht="15">
      <c r="A667" s="767" t="s">
        <v>7421</v>
      </c>
      <c r="D667" s="935" t="s">
        <v>9027</v>
      </c>
      <c r="E667" s="1043" t="s">
        <v>459</v>
      </c>
      <c r="G667" s="827"/>
      <c r="H667" s="809" t="s">
        <v>2237</v>
      </c>
      <c r="I667" s="92">
        <v>25</v>
      </c>
      <c r="J667" s="92" t="s">
        <v>18</v>
      </c>
      <c r="K667" s="92" t="s">
        <v>768</v>
      </c>
      <c r="L667" s="810">
        <v>4</v>
      </c>
      <c r="M667" s="811" t="str">
        <f t="shared" ref="M667:M698" si="48">IF(ISBLANK(L667)=TRUE,"",LOOKUP(L667,GQ:GR))</f>
        <v>High School Level</v>
      </c>
      <c r="N667" s="92" t="s">
        <v>1208</v>
      </c>
      <c r="O667" s="812" t="s">
        <v>9032</v>
      </c>
      <c r="P667" s="1638"/>
      <c r="Q667" s="812" t="s">
        <v>9032</v>
      </c>
      <c r="R667" s="812" t="s">
        <v>10310</v>
      </c>
      <c r="S667" s="813">
        <v>8400</v>
      </c>
      <c r="U667" s="813">
        <v>700</v>
      </c>
      <c r="V667" s="873"/>
      <c r="W667" s="815">
        <v>1</v>
      </c>
      <c r="X667" s="811" t="str">
        <f t="shared" ref="X667:X698" si="49">IF(ISBLANK(W667)=TRUE,"",LOOKUP(W667,GO:GP))</f>
        <v>within the Brgy</v>
      </c>
      <c r="AB667" s="924">
        <v>1200</v>
      </c>
      <c r="AG667" s="807" t="str">
        <f t="shared" si="47"/>
        <v/>
      </c>
      <c r="AJ667" s="865"/>
      <c r="BV667" s="807">
        <v>3</v>
      </c>
      <c r="BZ667" s="807">
        <v>2</v>
      </c>
      <c r="CS667" s="807">
        <v>1</v>
      </c>
    </row>
    <row r="668" spans="1:97" ht="15">
      <c r="A668" s="767" t="s">
        <v>7421</v>
      </c>
      <c r="D668" s="935" t="s">
        <v>9027</v>
      </c>
      <c r="E668" s="1043" t="s">
        <v>459</v>
      </c>
      <c r="G668" s="827"/>
      <c r="H668" s="809" t="s">
        <v>9033</v>
      </c>
      <c r="I668" s="92">
        <v>9</v>
      </c>
      <c r="J668" s="92" t="s">
        <v>18</v>
      </c>
      <c r="K668" s="92" t="s">
        <v>768</v>
      </c>
      <c r="L668" s="810">
        <v>2</v>
      </c>
      <c r="M668" s="811" t="str">
        <f t="shared" si="48"/>
        <v>Elementary Level</v>
      </c>
      <c r="P668" s="1638"/>
      <c r="V668" s="873"/>
      <c r="X668" s="811" t="str">
        <f t="shared" si="49"/>
        <v/>
      </c>
      <c r="AG668" s="807" t="str">
        <f t="shared" si="47"/>
        <v/>
      </c>
      <c r="AJ668" s="865"/>
    </row>
    <row r="669" spans="1:97" ht="15">
      <c r="A669" s="767" t="s">
        <v>7421</v>
      </c>
      <c r="D669" s="935" t="s">
        <v>9027</v>
      </c>
      <c r="E669" s="1043" t="s">
        <v>459</v>
      </c>
      <c r="G669" s="827"/>
      <c r="H669" s="809" t="s">
        <v>9034</v>
      </c>
      <c r="I669" s="92">
        <v>3</v>
      </c>
      <c r="J669" s="92" t="s">
        <v>18</v>
      </c>
      <c r="K669" s="92" t="s">
        <v>768</v>
      </c>
      <c r="L669" s="810">
        <v>10</v>
      </c>
      <c r="M669" s="811" t="str">
        <f t="shared" si="48"/>
        <v>Not In School Age</v>
      </c>
      <c r="P669" s="1638"/>
      <c r="V669" s="873"/>
      <c r="X669" s="811" t="str">
        <f t="shared" si="49"/>
        <v/>
      </c>
      <c r="AG669" s="807" t="str">
        <f t="shared" si="47"/>
        <v/>
      </c>
      <c r="AJ669" s="865"/>
    </row>
    <row r="670" spans="1:97" ht="15">
      <c r="A670" s="767" t="s">
        <v>7421</v>
      </c>
      <c r="D670" s="935" t="s">
        <v>9027</v>
      </c>
      <c r="E670" s="1043" t="s">
        <v>459</v>
      </c>
      <c r="G670" s="827"/>
      <c r="H670" s="809" t="s">
        <v>9035</v>
      </c>
      <c r="I670" s="92">
        <v>20</v>
      </c>
      <c r="J670" s="92" t="s">
        <v>18</v>
      </c>
      <c r="K670" s="92" t="s">
        <v>722</v>
      </c>
      <c r="L670" s="810">
        <v>4</v>
      </c>
      <c r="M670" s="811" t="str">
        <f t="shared" si="48"/>
        <v>High School Level</v>
      </c>
      <c r="P670" s="1638"/>
      <c r="V670" s="873"/>
      <c r="X670" s="811" t="str">
        <f t="shared" si="49"/>
        <v/>
      </c>
      <c r="AG670" s="807" t="str">
        <f t="shared" si="47"/>
        <v/>
      </c>
      <c r="AJ670" s="865"/>
    </row>
    <row r="671" spans="1:97" ht="15">
      <c r="A671" s="767" t="s">
        <v>7421</v>
      </c>
      <c r="D671" s="935" t="s">
        <v>9027</v>
      </c>
      <c r="E671" s="1043" t="s">
        <v>459</v>
      </c>
      <c r="G671" s="827"/>
      <c r="H671" s="809" t="s">
        <v>9036</v>
      </c>
      <c r="I671" s="92">
        <v>21</v>
      </c>
      <c r="J671" s="92" t="s">
        <v>10</v>
      </c>
      <c r="K671" s="92" t="s">
        <v>722</v>
      </c>
      <c r="L671" s="810">
        <v>4</v>
      </c>
      <c r="M671" s="811" t="str">
        <f t="shared" si="48"/>
        <v>High School Level</v>
      </c>
      <c r="N671" s="92" t="s">
        <v>1208</v>
      </c>
      <c r="O671" s="812" t="s">
        <v>8916</v>
      </c>
      <c r="P671" s="1638"/>
      <c r="Q671" s="812" t="s">
        <v>8916</v>
      </c>
      <c r="R671" s="812" t="s">
        <v>10310</v>
      </c>
      <c r="S671" s="813">
        <v>10800</v>
      </c>
      <c r="V671" s="873"/>
      <c r="W671" s="815">
        <v>1</v>
      </c>
      <c r="X671" s="811" t="str">
        <f t="shared" si="49"/>
        <v>within the Brgy</v>
      </c>
      <c r="AB671" s="924">
        <v>1200</v>
      </c>
      <c r="AC671" s="807" t="s">
        <v>9037</v>
      </c>
      <c r="AG671" s="807" t="str">
        <f t="shared" si="47"/>
        <v/>
      </c>
      <c r="AJ671" s="865"/>
    </row>
    <row r="672" spans="1:97" ht="15">
      <c r="A672" s="767" t="s">
        <v>7421</v>
      </c>
      <c r="D672" s="935" t="s">
        <v>9027</v>
      </c>
      <c r="E672" s="1043" t="s">
        <v>459</v>
      </c>
      <c r="G672" s="827"/>
      <c r="H672" s="809" t="s">
        <v>9038</v>
      </c>
      <c r="I672" s="92">
        <v>3</v>
      </c>
      <c r="J672" s="92" t="s">
        <v>10</v>
      </c>
      <c r="K672" s="92" t="s">
        <v>768</v>
      </c>
      <c r="L672" s="810">
        <v>10</v>
      </c>
      <c r="M672" s="811" t="str">
        <f t="shared" si="48"/>
        <v>Not In School Age</v>
      </c>
      <c r="P672" s="1638"/>
      <c r="V672" s="873">
        <f>SUM(S664:U672)</f>
        <v>30700</v>
      </c>
      <c r="X672" s="811" t="str">
        <f t="shared" si="49"/>
        <v/>
      </c>
      <c r="AG672" s="807" t="str">
        <f t="shared" si="47"/>
        <v/>
      </c>
      <c r="AJ672" s="865"/>
    </row>
    <row r="673" spans="1:83" ht="15">
      <c r="A673" s="767" t="s">
        <v>7421</v>
      </c>
      <c r="B673" s="292" t="s">
        <v>5599</v>
      </c>
      <c r="C673" s="140" t="s">
        <v>463</v>
      </c>
      <c r="D673" s="935" t="s">
        <v>9039</v>
      </c>
      <c r="E673" s="1043" t="s">
        <v>463</v>
      </c>
      <c r="F673" s="1048" t="s">
        <v>466</v>
      </c>
      <c r="G673" s="846" t="s">
        <v>463</v>
      </c>
      <c r="H673" s="809" t="s">
        <v>466</v>
      </c>
      <c r="I673" s="92">
        <v>31</v>
      </c>
      <c r="J673" s="92" t="s">
        <v>10</v>
      </c>
      <c r="K673" s="92" t="s">
        <v>707</v>
      </c>
      <c r="L673" s="810">
        <v>2</v>
      </c>
      <c r="M673" s="811" t="str">
        <f t="shared" si="48"/>
        <v>Elementary Level</v>
      </c>
      <c r="N673" s="92" t="s">
        <v>1208</v>
      </c>
      <c r="O673" s="812" t="s">
        <v>2238</v>
      </c>
      <c r="P673" s="1638" t="s">
        <v>12606</v>
      </c>
      <c r="Q673" s="812" t="s">
        <v>2238</v>
      </c>
      <c r="R673" s="92" t="s">
        <v>8234</v>
      </c>
      <c r="S673" s="813">
        <v>7200</v>
      </c>
      <c r="W673" s="815">
        <v>2</v>
      </c>
      <c r="X673" s="811" t="str">
        <f t="shared" si="49"/>
        <v>within the Municipality/City</v>
      </c>
      <c r="Y673" s="813"/>
      <c r="Z673" s="813"/>
      <c r="AA673" s="813"/>
      <c r="AB673" s="931"/>
      <c r="AG673" s="807" t="str">
        <f t="shared" si="47"/>
        <v/>
      </c>
      <c r="AH673" s="807"/>
      <c r="AI673" s="807"/>
      <c r="AJ673" s="807"/>
      <c r="AK673" s="807"/>
      <c r="AL673" s="807"/>
      <c r="AM673" s="807"/>
      <c r="BC673" s="807"/>
      <c r="BD673" s="807"/>
      <c r="BE673" s="807"/>
      <c r="BF673" s="807"/>
      <c r="BG673" s="807"/>
      <c r="BH673" s="807"/>
      <c r="BI673" s="807"/>
      <c r="BJ673" s="807"/>
      <c r="BK673" s="807"/>
      <c r="BN673" s="807"/>
      <c r="CD673" s="807"/>
      <c r="CE673" s="807"/>
    </row>
    <row r="674" spans="1:83" ht="15">
      <c r="A674" s="767" t="s">
        <v>7421</v>
      </c>
      <c r="D674" s="935" t="s">
        <v>9039</v>
      </c>
      <c r="E674" s="1043" t="s">
        <v>463</v>
      </c>
      <c r="G674" s="827"/>
      <c r="H674" s="809" t="s">
        <v>2175</v>
      </c>
      <c r="I674" s="92">
        <v>26</v>
      </c>
      <c r="J674" s="92" t="s">
        <v>18</v>
      </c>
      <c r="K674" s="92" t="s">
        <v>707</v>
      </c>
      <c r="L674" s="810">
        <v>5</v>
      </c>
      <c r="M674" s="811" t="str">
        <f t="shared" si="48"/>
        <v>High School Graduate</v>
      </c>
      <c r="P674" s="1638"/>
      <c r="X674" s="811" t="str">
        <f t="shared" si="49"/>
        <v/>
      </c>
      <c r="Y674" s="813"/>
      <c r="Z674" s="813"/>
      <c r="AA674" s="813"/>
      <c r="AB674" s="931"/>
      <c r="AG674" s="807" t="str">
        <f t="shared" si="47"/>
        <v/>
      </c>
      <c r="AH674" s="807"/>
      <c r="AI674" s="807"/>
      <c r="AJ674" s="807"/>
      <c r="AK674" s="807"/>
      <c r="AL674" s="807"/>
      <c r="AM674" s="807"/>
      <c r="BC674" s="807"/>
      <c r="BD674" s="807"/>
      <c r="BE674" s="807"/>
      <c r="BF674" s="807"/>
      <c r="BG674" s="807"/>
      <c r="BH674" s="807"/>
      <c r="BI674" s="807"/>
      <c r="BJ674" s="807"/>
      <c r="BK674" s="807"/>
      <c r="BN674" s="807"/>
      <c r="CD674" s="807"/>
      <c r="CE674" s="807"/>
    </row>
    <row r="675" spans="1:83" ht="15">
      <c r="A675" s="767" t="s">
        <v>7421</v>
      </c>
      <c r="D675" s="935" t="s">
        <v>9039</v>
      </c>
      <c r="E675" s="1043" t="s">
        <v>463</v>
      </c>
      <c r="G675" s="827"/>
      <c r="H675" s="809" t="s">
        <v>9040</v>
      </c>
      <c r="I675" s="92">
        <v>7</v>
      </c>
      <c r="J675" s="92" t="s">
        <v>10</v>
      </c>
      <c r="K675" s="92" t="s">
        <v>768</v>
      </c>
      <c r="L675" s="810">
        <v>2</v>
      </c>
      <c r="M675" s="811" t="str">
        <f t="shared" si="48"/>
        <v>Elementary Level</v>
      </c>
      <c r="P675" s="1638"/>
      <c r="X675" s="811" t="str">
        <f t="shared" si="49"/>
        <v/>
      </c>
      <c r="Y675" s="813"/>
      <c r="Z675" s="813"/>
      <c r="AA675" s="813"/>
      <c r="AB675" s="931"/>
      <c r="AG675" s="807" t="str">
        <f t="shared" si="47"/>
        <v/>
      </c>
      <c r="AH675" s="807"/>
      <c r="AI675" s="807"/>
      <c r="AJ675" s="807"/>
      <c r="AK675" s="807"/>
      <c r="AL675" s="807"/>
      <c r="AM675" s="807"/>
      <c r="BC675" s="807"/>
      <c r="BD675" s="807"/>
      <c r="BE675" s="807"/>
      <c r="BF675" s="807"/>
      <c r="BG675" s="807"/>
      <c r="BH675" s="807"/>
      <c r="BI675" s="807"/>
      <c r="BJ675" s="807"/>
      <c r="BK675" s="807"/>
      <c r="BN675" s="807"/>
      <c r="CD675" s="807"/>
      <c r="CE675" s="807"/>
    </row>
    <row r="676" spans="1:83" ht="15">
      <c r="A676" s="767" t="s">
        <v>7421</v>
      </c>
      <c r="B676" s="292" t="s">
        <v>5602</v>
      </c>
      <c r="C676" s="140" t="s">
        <v>467</v>
      </c>
      <c r="D676" s="935" t="s">
        <v>9041</v>
      </c>
      <c r="E676" s="1043" t="s">
        <v>467</v>
      </c>
      <c r="F676" s="1048" t="s">
        <v>2097</v>
      </c>
      <c r="G676" s="846" t="s">
        <v>9042</v>
      </c>
      <c r="H676" s="809" t="s">
        <v>2097</v>
      </c>
      <c r="I676" s="92">
        <v>29</v>
      </c>
      <c r="J676" s="92" t="s">
        <v>10</v>
      </c>
      <c r="K676" s="92" t="s">
        <v>722</v>
      </c>
      <c r="L676" s="810">
        <v>3</v>
      </c>
      <c r="M676" s="811" t="str">
        <f t="shared" si="48"/>
        <v>Elementary Graduate</v>
      </c>
      <c r="N676" s="92" t="s">
        <v>1208</v>
      </c>
      <c r="O676" s="812" t="s">
        <v>8632</v>
      </c>
      <c r="P676" s="1638" t="s">
        <v>12597</v>
      </c>
      <c r="Q676" s="812" t="s">
        <v>8632</v>
      </c>
      <c r="R676" s="92" t="s">
        <v>8234</v>
      </c>
      <c r="S676" s="813">
        <v>9600</v>
      </c>
      <c r="W676" s="815">
        <v>3</v>
      </c>
      <c r="X676" s="811" t="str">
        <f t="shared" si="49"/>
        <v>within the Province</v>
      </c>
      <c r="Y676" s="813"/>
      <c r="Z676" s="813"/>
      <c r="AA676" s="813"/>
      <c r="AB676" s="931"/>
      <c r="AG676" s="807" t="str">
        <f t="shared" si="47"/>
        <v/>
      </c>
      <c r="AH676" s="807"/>
      <c r="AI676" s="807"/>
      <c r="AJ676" s="807"/>
      <c r="AK676" s="807"/>
      <c r="AL676" s="807"/>
      <c r="AM676" s="807"/>
      <c r="BC676" s="807"/>
      <c r="BD676" s="807"/>
      <c r="BE676" s="807"/>
      <c r="BF676" s="807"/>
      <c r="BG676" s="807"/>
      <c r="BH676" s="807"/>
      <c r="BI676" s="807"/>
      <c r="BJ676" s="807"/>
      <c r="BK676" s="807"/>
      <c r="BN676" s="807"/>
      <c r="CD676" s="807"/>
      <c r="CE676" s="807"/>
    </row>
    <row r="677" spans="1:83" ht="15">
      <c r="A677" s="767" t="s">
        <v>7421</v>
      </c>
      <c r="D677" s="935" t="s">
        <v>9041</v>
      </c>
      <c r="E677" s="1043" t="s">
        <v>467</v>
      </c>
      <c r="G677" s="827"/>
      <c r="H677" s="809" t="s">
        <v>9043</v>
      </c>
      <c r="I677" s="92">
        <v>29</v>
      </c>
      <c r="J677" s="92" t="s">
        <v>18</v>
      </c>
      <c r="K677" s="92" t="s">
        <v>722</v>
      </c>
      <c r="L677" s="810">
        <v>5</v>
      </c>
      <c r="M677" s="811" t="str">
        <f t="shared" si="48"/>
        <v>High School Graduate</v>
      </c>
      <c r="N677" s="92" t="s">
        <v>1208</v>
      </c>
      <c r="O677" s="812" t="s">
        <v>9044</v>
      </c>
      <c r="P677" s="1638"/>
      <c r="Q677" s="812" t="s">
        <v>9044</v>
      </c>
      <c r="S677" s="813">
        <v>1600</v>
      </c>
      <c r="X677" s="811" t="str">
        <f t="shared" si="49"/>
        <v/>
      </c>
      <c r="Y677" s="813"/>
      <c r="Z677" s="813"/>
      <c r="AA677" s="813"/>
      <c r="AB677" s="931"/>
      <c r="AG677" s="807" t="str">
        <f t="shared" ref="AG677:AG708" si="50">IF(ISBLANK(AF677)=TRUE,"",LOOKUP(AF677,GS:GT))</f>
        <v/>
      </c>
      <c r="AH677" s="807"/>
      <c r="AI677" s="807"/>
      <c r="AJ677" s="807"/>
      <c r="AK677" s="807"/>
      <c r="AL677" s="807"/>
      <c r="AM677" s="807"/>
      <c r="BC677" s="807"/>
      <c r="BD677" s="807"/>
      <c r="BE677" s="807"/>
      <c r="BF677" s="807"/>
      <c r="BG677" s="807"/>
      <c r="BH677" s="807"/>
      <c r="BI677" s="807"/>
      <c r="BJ677" s="807"/>
      <c r="BK677" s="807"/>
      <c r="BN677" s="807"/>
      <c r="CD677" s="807"/>
      <c r="CE677" s="807"/>
    </row>
    <row r="678" spans="1:83" ht="15">
      <c r="A678" s="767" t="s">
        <v>7421</v>
      </c>
      <c r="D678" s="935" t="s">
        <v>9041</v>
      </c>
      <c r="E678" s="1043" t="s">
        <v>467</v>
      </c>
      <c r="G678" s="827"/>
      <c r="H678" s="809" t="s">
        <v>9045</v>
      </c>
      <c r="I678" s="92">
        <v>10</v>
      </c>
      <c r="J678" s="92" t="s">
        <v>10</v>
      </c>
      <c r="K678" s="92" t="s">
        <v>768</v>
      </c>
      <c r="L678" s="810">
        <v>2</v>
      </c>
      <c r="M678" s="811" t="str">
        <f t="shared" si="48"/>
        <v>Elementary Level</v>
      </c>
      <c r="P678" s="1638"/>
      <c r="X678" s="811" t="str">
        <f t="shared" si="49"/>
        <v/>
      </c>
      <c r="Y678" s="813"/>
      <c r="Z678" s="813"/>
      <c r="AA678" s="813"/>
      <c r="AB678" s="931"/>
      <c r="AG678" s="807" t="str">
        <f t="shared" si="50"/>
        <v/>
      </c>
      <c r="AH678" s="807"/>
      <c r="AI678" s="807"/>
      <c r="AJ678" s="807"/>
      <c r="AK678" s="807"/>
      <c r="AL678" s="807"/>
      <c r="AM678" s="807"/>
      <c r="BC678" s="807"/>
      <c r="BD678" s="807"/>
      <c r="BE678" s="807"/>
      <c r="BF678" s="807"/>
      <c r="BG678" s="807"/>
      <c r="BH678" s="807"/>
      <c r="BI678" s="807"/>
      <c r="BJ678" s="807"/>
      <c r="BK678" s="807"/>
      <c r="BN678" s="807"/>
      <c r="CD678" s="807"/>
      <c r="CE678" s="807"/>
    </row>
    <row r="679" spans="1:83" ht="15">
      <c r="A679" s="767" t="s">
        <v>7421</v>
      </c>
      <c r="D679" s="935" t="s">
        <v>9041</v>
      </c>
      <c r="E679" s="1043" t="s">
        <v>467</v>
      </c>
      <c r="G679" s="827"/>
      <c r="H679" s="809" t="s">
        <v>9046</v>
      </c>
      <c r="I679" s="92">
        <v>3</v>
      </c>
      <c r="J679" s="92" t="s">
        <v>10</v>
      </c>
      <c r="K679" s="92" t="s">
        <v>768</v>
      </c>
      <c r="L679" s="810">
        <v>10</v>
      </c>
      <c r="M679" s="811" t="str">
        <f t="shared" si="48"/>
        <v>Not In School Age</v>
      </c>
      <c r="P679" s="1638"/>
      <c r="X679" s="811" t="str">
        <f t="shared" si="49"/>
        <v/>
      </c>
      <c r="Y679" s="813"/>
      <c r="Z679" s="813"/>
      <c r="AA679" s="813"/>
      <c r="AB679" s="931"/>
      <c r="AG679" s="807" t="str">
        <f t="shared" si="50"/>
        <v/>
      </c>
      <c r="AH679" s="807"/>
      <c r="AI679" s="807"/>
      <c r="AJ679" s="807"/>
      <c r="AK679" s="807"/>
      <c r="AL679" s="807"/>
      <c r="AM679" s="807"/>
      <c r="BC679" s="807"/>
      <c r="BD679" s="807"/>
      <c r="BE679" s="807"/>
      <c r="BF679" s="807"/>
      <c r="BG679" s="807"/>
      <c r="BH679" s="807"/>
      <c r="BI679" s="807"/>
      <c r="BJ679" s="807"/>
      <c r="BK679" s="807"/>
      <c r="BN679" s="807"/>
      <c r="CD679" s="807"/>
      <c r="CE679" s="807"/>
    </row>
    <row r="680" spans="1:83" ht="15">
      <c r="A680" s="767" t="s">
        <v>7421</v>
      </c>
      <c r="D680" s="935" t="s">
        <v>9041</v>
      </c>
      <c r="E680" s="1043" t="s">
        <v>467</v>
      </c>
      <c r="G680" s="827"/>
      <c r="H680" s="809" t="s">
        <v>9047</v>
      </c>
      <c r="I680" s="92">
        <v>29</v>
      </c>
      <c r="J680" s="92" t="s">
        <v>10</v>
      </c>
      <c r="K680" s="92" t="s">
        <v>722</v>
      </c>
      <c r="L680" s="810">
        <v>2</v>
      </c>
      <c r="M680" s="811" t="str">
        <f t="shared" si="48"/>
        <v>Elementary Level</v>
      </c>
      <c r="N680" s="92" t="s">
        <v>1208</v>
      </c>
      <c r="O680" s="812" t="s">
        <v>9048</v>
      </c>
      <c r="P680" s="1638"/>
      <c r="Q680" s="812" t="s">
        <v>9048</v>
      </c>
      <c r="R680" s="812" t="s">
        <v>10310</v>
      </c>
      <c r="S680" s="813">
        <f>AVERAGE(7000,10000)</f>
        <v>8500</v>
      </c>
      <c r="W680" s="815">
        <v>3</v>
      </c>
      <c r="X680" s="811" t="str">
        <f t="shared" si="49"/>
        <v>within the Province</v>
      </c>
      <c r="Y680" s="813"/>
      <c r="Z680" s="813"/>
      <c r="AA680" s="813"/>
      <c r="AB680" s="931"/>
      <c r="AG680" s="807" t="str">
        <f t="shared" si="50"/>
        <v/>
      </c>
      <c r="AH680" s="807"/>
      <c r="AI680" s="807"/>
      <c r="AJ680" s="807"/>
      <c r="AK680" s="807"/>
      <c r="AL680" s="807"/>
      <c r="AM680" s="807"/>
      <c r="BC680" s="807"/>
      <c r="BD680" s="807"/>
      <c r="BE680" s="807"/>
      <c r="BF680" s="807"/>
      <c r="BG680" s="807"/>
      <c r="BH680" s="807"/>
      <c r="BI680" s="807"/>
      <c r="BJ680" s="807"/>
      <c r="BK680" s="807"/>
      <c r="BN680" s="807"/>
      <c r="CD680" s="807"/>
      <c r="CE680" s="807"/>
    </row>
    <row r="681" spans="1:83" ht="15">
      <c r="A681" s="767" t="s">
        <v>7421</v>
      </c>
      <c r="D681" s="935" t="s">
        <v>9041</v>
      </c>
      <c r="E681" s="1043" t="s">
        <v>467</v>
      </c>
      <c r="G681" s="827"/>
      <c r="H681" s="809" t="s">
        <v>9049</v>
      </c>
      <c r="I681" s="92">
        <v>27</v>
      </c>
      <c r="J681" s="92" t="s">
        <v>18</v>
      </c>
      <c r="K681" s="92" t="s">
        <v>722</v>
      </c>
      <c r="L681" s="810">
        <v>2</v>
      </c>
      <c r="M681" s="811" t="str">
        <f t="shared" si="48"/>
        <v>Elementary Level</v>
      </c>
      <c r="N681" s="92" t="s">
        <v>1208</v>
      </c>
      <c r="P681" s="1638"/>
      <c r="R681" s="932"/>
      <c r="S681" s="813">
        <v>8000</v>
      </c>
      <c r="W681" s="815">
        <v>3</v>
      </c>
      <c r="X681" s="811" t="str">
        <f t="shared" si="49"/>
        <v>within the Province</v>
      </c>
      <c r="Y681" s="813"/>
      <c r="Z681" s="813"/>
      <c r="AA681" s="813"/>
      <c r="AB681" s="931"/>
      <c r="AG681" s="807" t="str">
        <f t="shared" si="50"/>
        <v/>
      </c>
      <c r="AH681" s="807"/>
      <c r="AI681" s="807"/>
      <c r="AJ681" s="807"/>
      <c r="AK681" s="807"/>
      <c r="AL681" s="807"/>
      <c r="AM681" s="807"/>
      <c r="BC681" s="807"/>
      <c r="BD681" s="807"/>
      <c r="BE681" s="807"/>
      <c r="BF681" s="807"/>
      <c r="BG681" s="807"/>
      <c r="BH681" s="807"/>
      <c r="BI681" s="807"/>
      <c r="BJ681" s="807"/>
      <c r="BK681" s="807"/>
      <c r="BN681" s="807"/>
      <c r="CD681" s="807"/>
      <c r="CE681" s="807"/>
    </row>
    <row r="682" spans="1:83" ht="15">
      <c r="A682" s="767" t="s">
        <v>7421</v>
      </c>
      <c r="D682" s="935" t="s">
        <v>9041</v>
      </c>
      <c r="E682" s="1043" t="s">
        <v>467</v>
      </c>
      <c r="G682" s="827"/>
      <c r="H682" s="809" t="s">
        <v>9050</v>
      </c>
      <c r="I682" s="92">
        <v>6</v>
      </c>
      <c r="J682" s="92" t="s">
        <v>10</v>
      </c>
      <c r="K682" s="92" t="s">
        <v>768</v>
      </c>
      <c r="L682" s="810">
        <v>2</v>
      </c>
      <c r="M682" s="811" t="str">
        <f t="shared" si="48"/>
        <v>Elementary Level</v>
      </c>
      <c r="P682" s="1638"/>
      <c r="X682" s="811" t="str">
        <f t="shared" si="49"/>
        <v/>
      </c>
      <c r="Y682" s="813"/>
      <c r="Z682" s="813"/>
      <c r="AA682" s="813"/>
      <c r="AB682" s="931"/>
      <c r="AG682" s="807" t="str">
        <f t="shared" si="50"/>
        <v/>
      </c>
      <c r="AH682" s="807"/>
      <c r="AI682" s="807"/>
      <c r="AJ682" s="807"/>
      <c r="AK682" s="807"/>
      <c r="AL682" s="807"/>
      <c r="AM682" s="807"/>
      <c r="BC682" s="807"/>
      <c r="BD682" s="807"/>
      <c r="BE682" s="807"/>
      <c r="BF682" s="807"/>
      <c r="BG682" s="807"/>
      <c r="BH682" s="807"/>
      <c r="BI682" s="807"/>
      <c r="BJ682" s="807"/>
      <c r="BK682" s="807"/>
      <c r="BN682" s="807"/>
      <c r="CD682" s="807"/>
      <c r="CE682" s="807"/>
    </row>
    <row r="683" spans="1:83" ht="15">
      <c r="A683" s="767" t="s">
        <v>7421</v>
      </c>
      <c r="D683" s="935" t="s">
        <v>9041</v>
      </c>
      <c r="E683" s="1043" t="s">
        <v>467</v>
      </c>
      <c r="G683" s="827"/>
      <c r="H683" s="809" t="s">
        <v>9051</v>
      </c>
      <c r="I683" s="92">
        <v>11</v>
      </c>
      <c r="J683" s="92" t="s">
        <v>10</v>
      </c>
      <c r="K683" s="92" t="s">
        <v>768</v>
      </c>
      <c r="L683" s="810">
        <v>0</v>
      </c>
      <c r="M683" s="811" t="str">
        <f t="shared" si="48"/>
        <v>No Schooling</v>
      </c>
      <c r="P683" s="1638"/>
      <c r="X683" s="811" t="str">
        <f t="shared" si="49"/>
        <v/>
      </c>
      <c r="Y683" s="813"/>
      <c r="Z683" s="813"/>
      <c r="AA683" s="813"/>
      <c r="AB683" s="931"/>
      <c r="AG683" s="807" t="str">
        <f t="shared" si="50"/>
        <v/>
      </c>
      <c r="AH683" s="807"/>
      <c r="AI683" s="807"/>
      <c r="AJ683" s="807"/>
      <c r="AK683" s="807"/>
      <c r="AL683" s="807"/>
      <c r="AM683" s="807"/>
      <c r="BC683" s="807"/>
      <c r="BD683" s="807"/>
      <c r="BE683" s="807"/>
      <c r="BF683" s="807"/>
      <c r="BG683" s="807"/>
      <c r="BH683" s="807"/>
      <c r="BI683" s="807"/>
      <c r="BJ683" s="807"/>
      <c r="BK683" s="807"/>
      <c r="BN683" s="807"/>
      <c r="CD683" s="807"/>
      <c r="CE683" s="807"/>
    </row>
    <row r="684" spans="1:83" ht="15">
      <c r="A684" s="767" t="s">
        <v>7421</v>
      </c>
      <c r="B684" s="115"/>
      <c r="D684" s="935" t="s">
        <v>9041</v>
      </c>
      <c r="E684" s="1043" t="s">
        <v>467</v>
      </c>
      <c r="G684" s="827"/>
      <c r="H684" s="809" t="s">
        <v>9052</v>
      </c>
      <c r="I684" s="92">
        <v>1</v>
      </c>
      <c r="J684" s="92" t="s">
        <v>10</v>
      </c>
      <c r="K684" s="92" t="s">
        <v>768</v>
      </c>
      <c r="L684" s="810">
        <v>10</v>
      </c>
      <c r="M684" s="811" t="str">
        <f t="shared" si="48"/>
        <v>Not In School Age</v>
      </c>
      <c r="P684" s="1638"/>
      <c r="X684" s="811" t="str">
        <f t="shared" si="49"/>
        <v/>
      </c>
      <c r="Y684" s="813"/>
      <c r="Z684" s="813"/>
      <c r="AA684" s="813"/>
      <c r="AB684" s="931"/>
      <c r="AG684" s="807" t="str">
        <f t="shared" si="50"/>
        <v/>
      </c>
      <c r="AH684" s="807"/>
      <c r="AI684" s="807"/>
      <c r="AJ684" s="807"/>
      <c r="AK684" s="807"/>
      <c r="AL684" s="807"/>
      <c r="AM684" s="807"/>
      <c r="BC684" s="807"/>
      <c r="BD684" s="807"/>
      <c r="BE684" s="807"/>
      <c r="BF684" s="807"/>
      <c r="BG684" s="807"/>
      <c r="BH684" s="807"/>
      <c r="BI684" s="807"/>
      <c r="BJ684" s="807"/>
      <c r="BK684" s="807"/>
      <c r="BN684" s="807"/>
      <c r="CD684" s="807"/>
      <c r="CE684" s="807"/>
    </row>
    <row r="685" spans="1:83" ht="15">
      <c r="A685" s="767" t="s">
        <v>7421</v>
      </c>
      <c r="B685" s="292" t="s">
        <v>5604</v>
      </c>
      <c r="C685" s="140" t="s">
        <v>469</v>
      </c>
      <c r="D685" s="935" t="s">
        <v>9053</v>
      </c>
      <c r="E685" s="1043" t="s">
        <v>469</v>
      </c>
      <c r="F685" s="1048" t="s">
        <v>2098</v>
      </c>
      <c r="G685" s="827" t="s">
        <v>469</v>
      </c>
      <c r="H685" s="809" t="s">
        <v>9054</v>
      </c>
      <c r="I685" s="92">
        <v>47</v>
      </c>
      <c r="J685" s="92" t="s">
        <v>18</v>
      </c>
      <c r="K685" s="92" t="s">
        <v>768</v>
      </c>
      <c r="L685" s="810">
        <v>4</v>
      </c>
      <c r="M685" s="811" t="str">
        <f t="shared" si="48"/>
        <v>High School Level</v>
      </c>
      <c r="N685" s="92" t="s">
        <v>1208</v>
      </c>
      <c r="O685" s="812" t="s">
        <v>11307</v>
      </c>
      <c r="P685" s="1638" t="s">
        <v>12606</v>
      </c>
      <c r="Q685" s="812" t="s">
        <v>11307</v>
      </c>
      <c r="R685" s="92" t="s">
        <v>8234</v>
      </c>
      <c r="S685" s="813">
        <v>6000</v>
      </c>
      <c r="W685" s="815">
        <v>1</v>
      </c>
      <c r="X685" s="811" t="str">
        <f t="shared" si="49"/>
        <v>within the Brgy</v>
      </c>
      <c r="Y685" s="813"/>
      <c r="Z685" s="813"/>
      <c r="AA685" s="813"/>
      <c r="AB685" s="931"/>
      <c r="AG685" s="807" t="str">
        <f t="shared" si="50"/>
        <v/>
      </c>
      <c r="AH685" s="807"/>
      <c r="AI685" s="807"/>
      <c r="AJ685" s="807"/>
      <c r="AK685" s="807"/>
      <c r="AL685" s="807"/>
      <c r="AM685" s="807"/>
      <c r="BC685" s="807"/>
      <c r="BD685" s="807"/>
      <c r="BE685" s="807"/>
      <c r="BF685" s="807"/>
      <c r="BG685" s="807"/>
      <c r="BH685" s="807"/>
      <c r="BI685" s="807"/>
      <c r="BJ685" s="807"/>
      <c r="BK685" s="807"/>
      <c r="BN685" s="807"/>
      <c r="CD685" s="807"/>
      <c r="CE685" s="807"/>
    </row>
    <row r="686" spans="1:83" ht="15">
      <c r="A686" s="767" t="s">
        <v>7421</v>
      </c>
      <c r="D686" s="935" t="s">
        <v>9053</v>
      </c>
      <c r="E686" s="1043" t="s">
        <v>469</v>
      </c>
      <c r="G686" s="827"/>
      <c r="H686" s="809" t="s">
        <v>9055</v>
      </c>
      <c r="I686" s="92">
        <v>18</v>
      </c>
      <c r="J686" s="92" t="s">
        <v>10</v>
      </c>
      <c r="K686" s="92" t="s">
        <v>722</v>
      </c>
      <c r="L686" s="810">
        <v>6</v>
      </c>
      <c r="M686" s="811" t="str">
        <f t="shared" si="48"/>
        <v>College Level</v>
      </c>
      <c r="P686" s="1638"/>
      <c r="X686" s="811" t="str">
        <f t="shared" si="49"/>
        <v/>
      </c>
      <c r="Y686" s="813"/>
      <c r="Z686" s="813"/>
      <c r="AA686" s="813"/>
      <c r="AB686" s="931"/>
      <c r="AG686" s="807" t="str">
        <f t="shared" si="50"/>
        <v/>
      </c>
      <c r="AH686" s="807"/>
      <c r="AI686" s="807"/>
      <c r="AJ686" s="807"/>
      <c r="AK686" s="807"/>
      <c r="AL686" s="807"/>
      <c r="AM686" s="807"/>
      <c r="BC686" s="807"/>
      <c r="BD686" s="807"/>
      <c r="BE686" s="807"/>
      <c r="BF686" s="807"/>
      <c r="BG686" s="807"/>
      <c r="BH686" s="807"/>
      <c r="BI686" s="807"/>
      <c r="BJ686" s="807"/>
      <c r="BK686" s="807"/>
      <c r="BN686" s="807"/>
      <c r="CD686" s="807"/>
      <c r="CE686" s="807"/>
    </row>
    <row r="687" spans="1:83" ht="15">
      <c r="A687" s="767" t="s">
        <v>7421</v>
      </c>
      <c r="D687" s="935" t="s">
        <v>9053</v>
      </c>
      <c r="E687" s="1043" t="s">
        <v>469</v>
      </c>
      <c r="G687" s="827"/>
      <c r="H687" s="809" t="s">
        <v>9056</v>
      </c>
      <c r="I687" s="857"/>
      <c r="J687" s="92" t="s">
        <v>18</v>
      </c>
      <c r="K687" s="92" t="s">
        <v>722</v>
      </c>
      <c r="L687" s="810">
        <v>4</v>
      </c>
      <c r="M687" s="811" t="str">
        <f t="shared" si="48"/>
        <v>High School Level</v>
      </c>
      <c r="P687" s="1638"/>
      <c r="X687" s="811" t="str">
        <f t="shared" si="49"/>
        <v/>
      </c>
      <c r="AG687" s="807" t="str">
        <f t="shared" si="50"/>
        <v/>
      </c>
      <c r="AJ687" s="865"/>
    </row>
    <row r="688" spans="1:83" ht="15">
      <c r="A688" s="767" t="s">
        <v>7421</v>
      </c>
      <c r="D688" s="935" t="s">
        <v>9053</v>
      </c>
      <c r="E688" s="1043" t="s">
        <v>469</v>
      </c>
      <c r="G688" s="827"/>
      <c r="H688" s="809" t="s">
        <v>9057</v>
      </c>
      <c r="I688" s="92">
        <v>28</v>
      </c>
      <c r="J688" s="92" t="s">
        <v>10</v>
      </c>
      <c r="K688" s="92" t="s">
        <v>722</v>
      </c>
      <c r="L688" s="810">
        <v>4</v>
      </c>
      <c r="M688" s="811" t="str">
        <f t="shared" si="48"/>
        <v>High School Level</v>
      </c>
      <c r="P688" s="1638"/>
      <c r="X688" s="811" t="str">
        <f t="shared" si="49"/>
        <v/>
      </c>
      <c r="AG688" s="807" t="str">
        <f t="shared" si="50"/>
        <v/>
      </c>
      <c r="AJ688" s="865"/>
    </row>
    <row r="689" spans="1:41" ht="15">
      <c r="A689" s="767" t="s">
        <v>7421</v>
      </c>
      <c r="D689" s="935" t="s">
        <v>9053</v>
      </c>
      <c r="E689" s="1043" t="s">
        <v>469</v>
      </c>
      <c r="G689" s="827"/>
      <c r="H689" s="809" t="s">
        <v>9058</v>
      </c>
      <c r="I689" s="92">
        <v>30</v>
      </c>
      <c r="J689" s="92" t="s">
        <v>18</v>
      </c>
      <c r="K689" s="92" t="s">
        <v>722</v>
      </c>
      <c r="L689" s="810">
        <v>4</v>
      </c>
      <c r="M689" s="811" t="str">
        <f t="shared" si="48"/>
        <v>High School Level</v>
      </c>
      <c r="P689" s="1638"/>
      <c r="X689" s="811" t="str">
        <f t="shared" si="49"/>
        <v/>
      </c>
      <c r="AG689" s="807" t="str">
        <f t="shared" si="50"/>
        <v/>
      </c>
      <c r="AJ689" s="865"/>
    </row>
    <row r="690" spans="1:41" ht="15">
      <c r="A690" s="767" t="s">
        <v>7421</v>
      </c>
      <c r="D690" s="935" t="s">
        <v>9053</v>
      </c>
      <c r="E690" s="1043" t="s">
        <v>469</v>
      </c>
      <c r="G690" s="827"/>
      <c r="H690" s="809" t="s">
        <v>9059</v>
      </c>
      <c r="I690" s="92">
        <v>21</v>
      </c>
      <c r="J690" s="92" t="s">
        <v>10</v>
      </c>
      <c r="K690" s="92" t="s">
        <v>722</v>
      </c>
      <c r="L690" s="810">
        <v>6</v>
      </c>
      <c r="M690" s="811" t="str">
        <f t="shared" si="48"/>
        <v>College Level</v>
      </c>
      <c r="P690" s="1638"/>
      <c r="X690" s="811" t="str">
        <f t="shared" si="49"/>
        <v/>
      </c>
      <c r="AG690" s="807" t="str">
        <f t="shared" si="50"/>
        <v/>
      </c>
      <c r="AJ690" s="865"/>
    </row>
    <row r="691" spans="1:41" ht="15">
      <c r="A691" s="311" t="s">
        <v>12355</v>
      </c>
      <c r="B691" s="292" t="s">
        <v>7556</v>
      </c>
      <c r="C691" s="140" t="s">
        <v>469</v>
      </c>
      <c r="D691" s="935" t="s">
        <v>9060</v>
      </c>
      <c r="G691" s="929" t="s">
        <v>469</v>
      </c>
      <c r="H691" s="809" t="s">
        <v>2099</v>
      </c>
      <c r="I691" s="92">
        <v>21</v>
      </c>
      <c r="J691" s="92" t="s">
        <v>10</v>
      </c>
      <c r="K691" s="92" t="s">
        <v>722</v>
      </c>
      <c r="L691" s="810">
        <v>5</v>
      </c>
      <c r="M691" s="811" t="str">
        <f t="shared" si="48"/>
        <v>High School Graduate</v>
      </c>
      <c r="N691" s="92" t="s">
        <v>1208</v>
      </c>
      <c r="P691" s="1638"/>
      <c r="R691" s="92" t="s">
        <v>8234</v>
      </c>
      <c r="S691" s="813">
        <v>4000</v>
      </c>
      <c r="W691" s="815">
        <v>2</v>
      </c>
      <c r="X691" s="811" t="str">
        <f t="shared" si="49"/>
        <v>within the Municipality/City</v>
      </c>
      <c r="AG691" s="807" t="str">
        <f t="shared" si="50"/>
        <v/>
      </c>
      <c r="AJ691" s="865"/>
    </row>
    <row r="692" spans="1:41" ht="15">
      <c r="A692" s="311" t="s">
        <v>12355</v>
      </c>
      <c r="D692" s="935" t="s">
        <v>9060</v>
      </c>
      <c r="G692" s="827"/>
      <c r="H692" s="809" t="s">
        <v>9061</v>
      </c>
      <c r="I692" s="92">
        <v>21</v>
      </c>
      <c r="J692" s="92" t="s">
        <v>18</v>
      </c>
      <c r="K692" s="92" t="s">
        <v>722</v>
      </c>
      <c r="L692" s="810">
        <v>4</v>
      </c>
      <c r="M692" s="811" t="str">
        <f t="shared" si="48"/>
        <v>High School Level</v>
      </c>
      <c r="P692" s="1638"/>
      <c r="X692" s="811" t="str">
        <f t="shared" si="49"/>
        <v/>
      </c>
      <c r="AG692" s="807" t="str">
        <f t="shared" si="50"/>
        <v/>
      </c>
      <c r="AJ692" s="865"/>
    </row>
    <row r="693" spans="1:41" ht="15">
      <c r="A693" s="311" t="s">
        <v>12355</v>
      </c>
      <c r="D693" s="935" t="s">
        <v>9060</v>
      </c>
      <c r="G693" s="827"/>
      <c r="H693" s="809" t="s">
        <v>9062</v>
      </c>
      <c r="I693" s="92">
        <v>4</v>
      </c>
      <c r="J693" s="92" t="s">
        <v>18</v>
      </c>
      <c r="K693" s="92" t="s">
        <v>768</v>
      </c>
      <c r="L693" s="810">
        <v>1</v>
      </c>
      <c r="M693" s="811" t="str">
        <f t="shared" si="48"/>
        <v>Pre-school</v>
      </c>
      <c r="P693" s="1638"/>
      <c r="X693" s="811" t="str">
        <f t="shared" si="49"/>
        <v/>
      </c>
      <c r="AG693" s="807" t="str">
        <f t="shared" si="50"/>
        <v/>
      </c>
      <c r="AJ693" s="865"/>
    </row>
    <row r="694" spans="1:41" ht="15">
      <c r="A694" s="767" t="s">
        <v>12353</v>
      </c>
      <c r="B694" s="292" t="s">
        <v>7971</v>
      </c>
      <c r="C694" s="140" t="s">
        <v>471</v>
      </c>
      <c r="D694" s="935" t="s">
        <v>9072</v>
      </c>
      <c r="G694" s="929" t="s">
        <v>471</v>
      </c>
      <c r="H694" s="1639" t="s">
        <v>2176</v>
      </c>
      <c r="I694" s="1044"/>
      <c r="J694" s="1044" t="s">
        <v>18</v>
      </c>
      <c r="K694" s="1044" t="s">
        <v>783</v>
      </c>
      <c r="L694" s="1640"/>
      <c r="M694" s="1641" t="str">
        <f t="shared" si="48"/>
        <v/>
      </c>
      <c r="N694" s="1044"/>
      <c r="O694" s="1642"/>
      <c r="P694" s="1643"/>
      <c r="Q694" s="1642"/>
      <c r="R694" s="1044" t="s">
        <v>8234</v>
      </c>
      <c r="S694" s="1646"/>
      <c r="T694" s="1646"/>
      <c r="U694" s="1646"/>
      <c r="W694" s="926"/>
      <c r="X694" s="811" t="str">
        <f t="shared" si="49"/>
        <v/>
      </c>
      <c r="Y694" s="927"/>
      <c r="Z694" s="927"/>
      <c r="AA694" s="927"/>
      <c r="AG694" s="807" t="str">
        <f t="shared" si="50"/>
        <v/>
      </c>
      <c r="AJ694" s="865"/>
    </row>
    <row r="695" spans="1:41" ht="15">
      <c r="A695" s="767" t="s">
        <v>12353</v>
      </c>
      <c r="C695" s="93" t="s">
        <v>9072</v>
      </c>
      <c r="D695" s="935"/>
      <c r="G695" s="827"/>
      <c r="H695" s="809" t="s">
        <v>9073</v>
      </c>
      <c r="I695" s="857"/>
      <c r="J695" s="857"/>
      <c r="K695" s="857"/>
      <c r="M695" s="811" t="str">
        <f t="shared" si="48"/>
        <v/>
      </c>
      <c r="P695" s="1638"/>
      <c r="X695" s="811" t="str">
        <f t="shared" si="49"/>
        <v/>
      </c>
      <c r="AG695" s="807" t="str">
        <f t="shared" si="50"/>
        <v/>
      </c>
      <c r="AJ695" s="865"/>
    </row>
    <row r="696" spans="1:41" ht="15">
      <c r="A696" s="767" t="s">
        <v>12353</v>
      </c>
      <c r="C696" s="93" t="s">
        <v>9072</v>
      </c>
      <c r="D696" s="935"/>
      <c r="G696" s="827"/>
      <c r="H696" s="809" t="s">
        <v>9074</v>
      </c>
      <c r="I696" s="857"/>
      <c r="J696" s="857"/>
      <c r="K696" s="857"/>
      <c r="M696" s="811" t="str">
        <f t="shared" si="48"/>
        <v/>
      </c>
      <c r="P696" s="1638"/>
      <c r="X696" s="811" t="str">
        <f t="shared" si="49"/>
        <v/>
      </c>
      <c r="AG696" s="807" t="str">
        <f t="shared" si="50"/>
        <v/>
      </c>
      <c r="AJ696" s="865"/>
    </row>
    <row r="697" spans="1:41" ht="15">
      <c r="A697" s="767" t="s">
        <v>12353</v>
      </c>
      <c r="C697" s="93" t="s">
        <v>9072</v>
      </c>
      <c r="D697" s="935"/>
      <c r="G697" s="827"/>
      <c r="H697" s="809" t="s">
        <v>9075</v>
      </c>
      <c r="I697" s="857"/>
      <c r="J697" s="857"/>
      <c r="K697" s="857"/>
      <c r="M697" s="811" t="str">
        <f t="shared" si="48"/>
        <v/>
      </c>
      <c r="P697" s="1638"/>
      <c r="X697" s="811" t="str">
        <f t="shared" si="49"/>
        <v/>
      </c>
      <c r="AG697" s="807" t="str">
        <f t="shared" si="50"/>
        <v/>
      </c>
      <c r="AJ697" s="865"/>
    </row>
    <row r="698" spans="1:41" ht="15">
      <c r="A698" s="767" t="s">
        <v>12353</v>
      </c>
      <c r="C698" s="93" t="s">
        <v>9072</v>
      </c>
      <c r="D698" s="935"/>
      <c r="G698" s="827"/>
      <c r="H698" s="809" t="s">
        <v>9076</v>
      </c>
      <c r="I698" s="857"/>
      <c r="J698" s="857"/>
      <c r="K698" s="857"/>
      <c r="M698" s="811" t="str">
        <f t="shared" si="48"/>
        <v/>
      </c>
      <c r="P698" s="1638"/>
      <c r="X698" s="811" t="str">
        <f t="shared" si="49"/>
        <v/>
      </c>
      <c r="AG698" s="807" t="str">
        <f t="shared" si="50"/>
        <v/>
      </c>
      <c r="AJ698" s="865"/>
    </row>
    <row r="699" spans="1:41" ht="15">
      <c r="A699" s="767" t="s">
        <v>12353</v>
      </c>
      <c r="B699" s="292" t="s">
        <v>7971</v>
      </c>
      <c r="C699" s="140" t="s">
        <v>471</v>
      </c>
      <c r="D699" s="935" t="s">
        <v>9077</v>
      </c>
      <c r="G699" s="841" t="s">
        <v>471</v>
      </c>
      <c r="H699" s="809" t="s">
        <v>2177</v>
      </c>
      <c r="I699" s="92">
        <v>44</v>
      </c>
      <c r="J699" s="92" t="s">
        <v>10</v>
      </c>
      <c r="L699" s="810">
        <v>5</v>
      </c>
      <c r="M699" s="811" t="str">
        <f t="shared" ref="M699:M730" si="51">IF(ISBLANK(L699)=TRUE,"",LOOKUP(L699,GQ:GR))</f>
        <v>High School Graduate</v>
      </c>
      <c r="N699" s="92" t="s">
        <v>1208</v>
      </c>
      <c r="O699" s="812" t="s">
        <v>2214</v>
      </c>
      <c r="P699" s="1638" t="s">
        <v>12605</v>
      </c>
      <c r="Q699" s="812" t="s">
        <v>2214</v>
      </c>
      <c r="R699" s="812" t="s">
        <v>8234</v>
      </c>
      <c r="V699" s="873"/>
      <c r="W699" s="815">
        <v>2</v>
      </c>
      <c r="X699" s="811" t="str">
        <f t="shared" ref="X699:X707" si="52">IF(ISBLANK(W699)=TRUE,"",LOOKUP(W699,GO:GP))</f>
        <v>within the Municipality/City</v>
      </c>
      <c r="AB699" s="873"/>
      <c r="AG699" s="807" t="str">
        <f t="shared" si="50"/>
        <v/>
      </c>
      <c r="AJ699" s="865"/>
    </row>
    <row r="700" spans="1:41" ht="15">
      <c r="A700" s="767" t="s">
        <v>12353</v>
      </c>
      <c r="D700" s="935" t="s">
        <v>9077</v>
      </c>
      <c r="G700" s="827"/>
      <c r="H700" s="809" t="s">
        <v>11622</v>
      </c>
      <c r="I700" s="92">
        <v>42</v>
      </c>
      <c r="J700" s="92" t="s">
        <v>10</v>
      </c>
      <c r="K700" s="92" t="s">
        <v>783</v>
      </c>
      <c r="L700" s="810">
        <v>6</v>
      </c>
      <c r="M700" s="811" t="str">
        <f t="shared" si="51"/>
        <v>College Level</v>
      </c>
      <c r="N700" s="92" t="s">
        <v>1208</v>
      </c>
      <c r="O700" s="812" t="s">
        <v>2214</v>
      </c>
      <c r="P700" s="1638"/>
      <c r="Q700" s="812" t="s">
        <v>2214</v>
      </c>
      <c r="R700" s="812" t="s">
        <v>8285</v>
      </c>
      <c r="S700" s="813">
        <f>400*26</f>
        <v>10400</v>
      </c>
      <c r="V700" s="873"/>
      <c r="X700" s="811" t="str">
        <f t="shared" si="52"/>
        <v/>
      </c>
      <c r="AB700" s="873"/>
      <c r="AG700" s="807" t="str">
        <f t="shared" si="50"/>
        <v/>
      </c>
      <c r="AJ700" s="865"/>
    </row>
    <row r="701" spans="1:41" ht="15">
      <c r="A701" s="767" t="s">
        <v>12353</v>
      </c>
      <c r="D701" s="935" t="s">
        <v>9077</v>
      </c>
      <c r="G701" s="827"/>
      <c r="H701" s="809" t="s">
        <v>9073</v>
      </c>
      <c r="M701" s="811" t="str">
        <f t="shared" si="51"/>
        <v/>
      </c>
      <c r="P701" s="1638"/>
      <c r="V701" s="873"/>
      <c r="X701" s="811" t="str">
        <f t="shared" si="52"/>
        <v/>
      </c>
      <c r="AB701" s="873"/>
      <c r="AG701" s="807" t="str">
        <f t="shared" si="50"/>
        <v/>
      </c>
      <c r="AJ701" s="865"/>
    </row>
    <row r="702" spans="1:41" ht="15">
      <c r="A702" s="767" t="s">
        <v>12353</v>
      </c>
      <c r="D702" s="935" t="s">
        <v>9077</v>
      </c>
      <c r="G702" s="827"/>
      <c r="H702" s="809" t="s">
        <v>9074</v>
      </c>
      <c r="I702" s="857"/>
      <c r="J702" s="857"/>
      <c r="K702" s="857"/>
      <c r="M702" s="811" t="str">
        <f t="shared" si="51"/>
        <v/>
      </c>
      <c r="P702" s="1638"/>
      <c r="V702" s="873">
        <f>SUM(S699:U700)</f>
        <v>10400</v>
      </c>
      <c r="X702" s="811" t="str">
        <f t="shared" si="52"/>
        <v/>
      </c>
      <c r="AB702" s="873">
        <f>SUM(Y699:AA700)</f>
        <v>0</v>
      </c>
      <c r="AG702" s="807" t="str">
        <f t="shared" si="50"/>
        <v/>
      </c>
      <c r="AJ702" s="865"/>
    </row>
    <row r="703" spans="1:41" ht="15">
      <c r="A703" s="19" t="s">
        <v>7421</v>
      </c>
      <c r="B703" s="292" t="s">
        <v>7615</v>
      </c>
      <c r="C703" s="140" t="s">
        <v>474</v>
      </c>
      <c r="D703" s="935" t="s">
        <v>9078</v>
      </c>
      <c r="E703" s="1043" t="s">
        <v>474</v>
      </c>
      <c r="F703" s="1048" t="s">
        <v>2101</v>
      </c>
      <c r="G703" s="929" t="s">
        <v>474</v>
      </c>
      <c r="H703" s="809" t="s">
        <v>2101</v>
      </c>
      <c r="I703" s="92">
        <v>22</v>
      </c>
      <c r="J703" s="92" t="s">
        <v>10</v>
      </c>
      <c r="K703" s="92" t="s">
        <v>722</v>
      </c>
      <c r="L703" s="810">
        <v>4</v>
      </c>
      <c r="M703" s="811" t="str">
        <f t="shared" si="51"/>
        <v>High School Level</v>
      </c>
      <c r="N703" s="92" t="s">
        <v>1208</v>
      </c>
      <c r="P703" s="1638"/>
      <c r="R703" s="92" t="s">
        <v>11317</v>
      </c>
      <c r="S703" s="813">
        <v>10000</v>
      </c>
      <c r="W703" s="815">
        <v>2</v>
      </c>
      <c r="X703" s="811" t="str">
        <f t="shared" si="52"/>
        <v>within the Municipality/City</v>
      </c>
      <c r="AE703" s="93" t="s">
        <v>9079</v>
      </c>
      <c r="AG703" s="807" t="str">
        <f t="shared" si="50"/>
        <v/>
      </c>
      <c r="AJ703" s="865"/>
      <c r="AO703" s="817" t="s">
        <v>9080</v>
      </c>
    </row>
    <row r="704" spans="1:41" ht="15">
      <c r="A704" s="19" t="s">
        <v>7421</v>
      </c>
      <c r="D704" s="935" t="s">
        <v>9078</v>
      </c>
      <c r="E704" s="1043" t="s">
        <v>474</v>
      </c>
      <c r="G704" s="827"/>
      <c r="H704" s="809" t="s">
        <v>9081</v>
      </c>
      <c r="I704" s="92">
        <v>25</v>
      </c>
      <c r="J704" s="92" t="s">
        <v>18</v>
      </c>
      <c r="K704" s="92" t="s">
        <v>722</v>
      </c>
      <c r="L704" s="810">
        <v>6</v>
      </c>
      <c r="M704" s="811" t="str">
        <f t="shared" si="51"/>
        <v>College Level</v>
      </c>
      <c r="P704" s="1638"/>
      <c r="X704" s="811" t="str">
        <f t="shared" si="52"/>
        <v/>
      </c>
      <c r="AG704" s="807" t="str">
        <f t="shared" si="50"/>
        <v/>
      </c>
      <c r="AJ704" s="865"/>
      <c r="AO704" s="817" t="s">
        <v>9082</v>
      </c>
    </row>
    <row r="705" spans="1:97" ht="15">
      <c r="A705" s="19" t="s">
        <v>7421</v>
      </c>
      <c r="D705" s="935" t="s">
        <v>9078</v>
      </c>
      <c r="E705" s="1043" t="s">
        <v>474</v>
      </c>
      <c r="G705" s="827"/>
      <c r="H705" s="809" t="s">
        <v>9083</v>
      </c>
      <c r="I705" s="930">
        <f>2/12</f>
        <v>0.16666666666666666</v>
      </c>
      <c r="J705" s="92" t="s">
        <v>18</v>
      </c>
      <c r="K705" s="92" t="s">
        <v>768</v>
      </c>
      <c r="L705" s="810">
        <v>10</v>
      </c>
      <c r="M705" s="811" t="str">
        <f t="shared" si="51"/>
        <v>Not In School Age</v>
      </c>
      <c r="P705" s="1638"/>
      <c r="X705" s="811" t="str">
        <f t="shared" si="52"/>
        <v/>
      </c>
      <c r="AG705" s="807" t="str">
        <f t="shared" si="50"/>
        <v/>
      </c>
      <c r="AJ705" s="865"/>
    </row>
    <row r="706" spans="1:97" ht="15">
      <c r="A706" s="19" t="s">
        <v>7421</v>
      </c>
      <c r="D706" s="935" t="s">
        <v>9078</v>
      </c>
      <c r="E706" s="1043" t="s">
        <v>474</v>
      </c>
      <c r="G706" s="827"/>
      <c r="H706" s="809" t="s">
        <v>9084</v>
      </c>
      <c r="I706" s="92">
        <v>21</v>
      </c>
      <c r="J706" s="92" t="s">
        <v>10</v>
      </c>
      <c r="K706" s="92" t="s">
        <v>768</v>
      </c>
      <c r="L706" s="810">
        <v>4</v>
      </c>
      <c r="M706" s="811" t="str">
        <f t="shared" si="51"/>
        <v>High School Level</v>
      </c>
      <c r="P706" s="1638"/>
      <c r="X706" s="811" t="str">
        <f t="shared" si="52"/>
        <v/>
      </c>
      <c r="AG706" s="807" t="str">
        <f t="shared" si="50"/>
        <v/>
      </c>
      <c r="AJ706" s="865"/>
    </row>
    <row r="707" spans="1:97" ht="15">
      <c r="A707" s="19" t="s">
        <v>7421</v>
      </c>
      <c r="D707" s="935" t="s">
        <v>9078</v>
      </c>
      <c r="E707" s="1043" t="s">
        <v>474</v>
      </c>
      <c r="G707" s="827"/>
      <c r="H707" s="809" t="s">
        <v>9085</v>
      </c>
      <c r="I707" s="92">
        <v>58</v>
      </c>
      <c r="J707" s="92" t="s">
        <v>10</v>
      </c>
      <c r="K707" s="92" t="s">
        <v>768</v>
      </c>
      <c r="L707" s="810">
        <v>4</v>
      </c>
      <c r="M707" s="811" t="str">
        <f t="shared" si="51"/>
        <v>High School Level</v>
      </c>
      <c r="P707" s="1638"/>
      <c r="V707" s="814">
        <f>SUM(S703:U707)</f>
        <v>10000</v>
      </c>
      <c r="X707" s="811" t="str">
        <f t="shared" si="52"/>
        <v/>
      </c>
      <c r="AG707" s="807" t="str">
        <f t="shared" si="50"/>
        <v/>
      </c>
      <c r="AJ707" s="865"/>
    </row>
    <row r="708" spans="1:97" ht="15">
      <c r="A708" s="311" t="s">
        <v>12452</v>
      </c>
      <c r="B708" s="292" t="s">
        <v>5618</v>
      </c>
      <c r="C708" s="140" t="s">
        <v>474</v>
      </c>
      <c r="D708" s="935" t="s">
        <v>5618</v>
      </c>
      <c r="G708" s="929" t="s">
        <v>474</v>
      </c>
      <c r="H708" s="1639" t="s">
        <v>5617</v>
      </c>
      <c r="I708" s="1044"/>
      <c r="J708" s="1044" t="s">
        <v>10</v>
      </c>
      <c r="K708" s="1044" t="s">
        <v>722</v>
      </c>
      <c r="L708" s="1640"/>
      <c r="M708" s="1641" t="str">
        <f t="shared" si="51"/>
        <v/>
      </c>
      <c r="N708" s="1044"/>
      <c r="O708" s="1642"/>
      <c r="P708" s="1643"/>
      <c r="Q708" s="1642"/>
      <c r="R708" s="1044" t="s">
        <v>8234</v>
      </c>
      <c r="S708" s="1646"/>
      <c r="T708" s="1646"/>
      <c r="U708" s="1646"/>
      <c r="V708" s="873"/>
      <c r="W708" s="926"/>
      <c r="X708" s="859"/>
      <c r="Y708" s="927"/>
      <c r="Z708" s="927"/>
      <c r="AA708" s="927"/>
      <c r="AG708" s="807" t="str">
        <f t="shared" si="50"/>
        <v/>
      </c>
      <c r="AJ708" s="865"/>
    </row>
    <row r="709" spans="1:97" ht="15">
      <c r="A709" s="311" t="s">
        <v>12452</v>
      </c>
      <c r="C709" s="93" t="s">
        <v>5618</v>
      </c>
      <c r="D709" s="935"/>
      <c r="G709" s="827"/>
      <c r="H709" s="809" t="s">
        <v>9086</v>
      </c>
      <c r="I709" s="857"/>
      <c r="J709" s="92" t="s">
        <v>18</v>
      </c>
      <c r="K709" s="92" t="s">
        <v>722</v>
      </c>
      <c r="M709" s="859" t="str">
        <f t="shared" si="51"/>
        <v/>
      </c>
      <c r="P709" s="1638"/>
      <c r="V709" s="873"/>
      <c r="AG709" s="807" t="str">
        <f t="shared" ref="AG709:AG714" si="53">IF(ISBLANK(AF709)=TRUE,"",LOOKUP(AF709,GS:GT))</f>
        <v/>
      </c>
      <c r="AJ709" s="865"/>
    </row>
    <row r="710" spans="1:97" ht="15">
      <c r="A710" s="311" t="s">
        <v>12452</v>
      </c>
      <c r="C710" s="93" t="s">
        <v>5618</v>
      </c>
      <c r="D710" s="935"/>
      <c r="G710" s="827"/>
      <c r="H710" s="809" t="s">
        <v>9087</v>
      </c>
      <c r="I710" s="92">
        <v>1</v>
      </c>
      <c r="J710" s="92" t="s">
        <v>18</v>
      </c>
      <c r="K710" s="92" t="s">
        <v>768</v>
      </c>
      <c r="L710" s="810">
        <v>10</v>
      </c>
      <c r="M710" s="811" t="str">
        <f t="shared" si="51"/>
        <v>Not In School Age</v>
      </c>
      <c r="P710" s="1638"/>
      <c r="V710" s="873"/>
      <c r="AG710" s="807" t="str">
        <f t="shared" si="53"/>
        <v/>
      </c>
      <c r="AJ710" s="865"/>
    </row>
    <row r="711" spans="1:97" ht="15">
      <c r="A711" s="17"/>
      <c r="D711" s="935" t="s">
        <v>9088</v>
      </c>
      <c r="E711" s="1043" t="s">
        <v>477</v>
      </c>
      <c r="F711" s="1048" t="s">
        <v>1994</v>
      </c>
      <c r="G711" s="827" t="s">
        <v>477</v>
      </c>
      <c r="H711" s="809" t="s">
        <v>1994</v>
      </c>
      <c r="I711" s="92">
        <v>29</v>
      </c>
      <c r="J711" s="92" t="s">
        <v>10</v>
      </c>
      <c r="K711" s="92" t="s">
        <v>722</v>
      </c>
      <c r="L711" s="810">
        <v>4</v>
      </c>
      <c r="M711" s="811" t="str">
        <f t="shared" si="51"/>
        <v>High School Level</v>
      </c>
      <c r="N711" s="92" t="s">
        <v>1208</v>
      </c>
      <c r="O711" s="812" t="s">
        <v>4298</v>
      </c>
      <c r="P711" s="1638"/>
      <c r="Q711" s="812" t="s">
        <v>4298</v>
      </c>
      <c r="R711" s="92" t="s">
        <v>8234</v>
      </c>
      <c r="S711" s="813">
        <f>SUM(4000,3000)</f>
        <v>7000</v>
      </c>
      <c r="U711" s="813">
        <v>1000</v>
      </c>
      <c r="W711" s="815">
        <v>2</v>
      </c>
      <c r="X711" s="811" t="str">
        <f t="shared" ref="X711:X742" si="54">IF(ISBLANK(W711)=TRUE,"",LOOKUP(W711,GO:GP))</f>
        <v>within the Municipality/City</v>
      </c>
      <c r="AG711" s="807" t="str">
        <f t="shared" si="53"/>
        <v/>
      </c>
      <c r="AJ711" s="865"/>
      <c r="CS711" s="807">
        <v>1</v>
      </c>
    </row>
    <row r="712" spans="1:97" ht="15">
      <c r="A712" s="17"/>
      <c r="D712" s="935"/>
      <c r="E712" s="1043" t="s">
        <v>477</v>
      </c>
      <c r="G712" s="827"/>
      <c r="H712" s="809" t="s">
        <v>9089</v>
      </c>
      <c r="I712" s="92">
        <v>26</v>
      </c>
      <c r="J712" s="92" t="s">
        <v>18</v>
      </c>
      <c r="K712" s="92" t="s">
        <v>722</v>
      </c>
      <c r="L712" s="810">
        <v>4</v>
      </c>
      <c r="M712" s="811" t="str">
        <f t="shared" si="51"/>
        <v>High School Level</v>
      </c>
      <c r="P712" s="1638"/>
      <c r="X712" s="811" t="str">
        <f t="shared" si="54"/>
        <v/>
      </c>
      <c r="AG712" s="807" t="str">
        <f t="shared" si="53"/>
        <v/>
      </c>
      <c r="AJ712" s="865"/>
      <c r="CN712" s="807" t="s">
        <v>2144</v>
      </c>
    </row>
    <row r="713" spans="1:97" ht="15">
      <c r="A713" s="767" t="s">
        <v>7421</v>
      </c>
      <c r="B713" s="292" t="s">
        <v>11856</v>
      </c>
      <c r="C713" s="140" t="s">
        <v>477</v>
      </c>
      <c r="D713" s="935" t="s">
        <v>5619</v>
      </c>
      <c r="E713" s="1043" t="s">
        <v>477</v>
      </c>
      <c r="G713" s="827" t="s">
        <v>477</v>
      </c>
      <c r="H713" s="809" t="s">
        <v>11371</v>
      </c>
      <c r="I713" s="92">
        <v>40</v>
      </c>
      <c r="J713" s="92" t="s">
        <v>10</v>
      </c>
      <c r="K713" s="92" t="s">
        <v>722</v>
      </c>
      <c r="L713" s="810">
        <v>4</v>
      </c>
      <c r="M713" s="811" t="str">
        <f t="shared" si="51"/>
        <v>High School Level</v>
      </c>
      <c r="N713" s="92" t="s">
        <v>1208</v>
      </c>
      <c r="O713" s="812" t="s">
        <v>2214</v>
      </c>
      <c r="P713" s="1638" t="s">
        <v>12605</v>
      </c>
      <c r="Q713" s="812" t="s">
        <v>2214</v>
      </c>
      <c r="R713" s="92" t="s">
        <v>8234</v>
      </c>
      <c r="S713" s="813">
        <v>12000</v>
      </c>
      <c r="V713" s="873"/>
      <c r="W713" s="815">
        <v>4</v>
      </c>
      <c r="X713" s="811" t="str">
        <f t="shared" si="54"/>
        <v>Other Province</v>
      </c>
      <c r="Y713" s="816">
        <f>200*26</f>
        <v>5200</v>
      </c>
      <c r="AB713" s="873"/>
      <c r="AG713" s="807" t="str">
        <f t="shared" si="53"/>
        <v/>
      </c>
      <c r="AJ713" s="865"/>
    </row>
    <row r="714" spans="1:97" ht="15">
      <c r="A714" s="767" t="s">
        <v>7421</v>
      </c>
      <c r="D714" s="935" t="s">
        <v>5619</v>
      </c>
      <c r="E714" s="1043" t="s">
        <v>477</v>
      </c>
      <c r="G714" s="827"/>
      <c r="H714" s="809" t="s">
        <v>11374</v>
      </c>
      <c r="I714" s="92">
        <v>32</v>
      </c>
      <c r="J714" s="92" t="s">
        <v>18</v>
      </c>
      <c r="K714" s="92" t="s">
        <v>722</v>
      </c>
      <c r="L714" s="810">
        <v>4</v>
      </c>
      <c r="M714" s="811" t="str">
        <f t="shared" si="51"/>
        <v>High School Level</v>
      </c>
      <c r="N714" s="92" t="s">
        <v>1208</v>
      </c>
      <c r="O714" s="812" t="s">
        <v>2210</v>
      </c>
      <c r="P714" s="1638"/>
      <c r="Q714" s="812" t="s">
        <v>2210</v>
      </c>
      <c r="R714" s="812" t="s">
        <v>20</v>
      </c>
      <c r="V714" s="873"/>
      <c r="X714" s="811" t="str">
        <f t="shared" si="54"/>
        <v/>
      </c>
      <c r="AB714" s="873"/>
      <c r="AG714" s="807" t="str">
        <f t="shared" si="53"/>
        <v/>
      </c>
      <c r="AJ714" s="865"/>
    </row>
    <row r="715" spans="1:97" ht="15">
      <c r="A715" s="767" t="s">
        <v>7421</v>
      </c>
      <c r="D715" s="935" t="s">
        <v>5619</v>
      </c>
      <c r="E715" s="1043" t="s">
        <v>477</v>
      </c>
      <c r="G715" s="827"/>
      <c r="H715" s="809" t="s">
        <v>11375</v>
      </c>
      <c r="I715" s="92">
        <v>10</v>
      </c>
      <c r="J715" s="92" t="s">
        <v>18</v>
      </c>
      <c r="K715" s="92" t="s">
        <v>768</v>
      </c>
      <c r="L715" s="810">
        <v>2</v>
      </c>
      <c r="M715" s="811" t="str">
        <f t="shared" si="51"/>
        <v>Elementary Level</v>
      </c>
      <c r="P715" s="1638"/>
      <c r="V715" s="873"/>
      <c r="X715" s="811" t="str">
        <f t="shared" si="54"/>
        <v/>
      </c>
      <c r="AB715" s="873"/>
      <c r="AG715" s="807"/>
      <c r="AJ715" s="865"/>
    </row>
    <row r="716" spans="1:97" ht="15">
      <c r="A716" s="767" t="s">
        <v>7421</v>
      </c>
      <c r="D716" s="935" t="s">
        <v>5619</v>
      </c>
      <c r="E716" s="1043" t="s">
        <v>477</v>
      </c>
      <c r="G716" s="827"/>
      <c r="H716" s="809" t="s">
        <v>11376</v>
      </c>
      <c r="I716" s="92">
        <v>5</v>
      </c>
      <c r="J716" s="92" t="s">
        <v>10</v>
      </c>
      <c r="K716" s="92" t="s">
        <v>768</v>
      </c>
      <c r="L716" s="810">
        <v>2</v>
      </c>
      <c r="M716" s="811" t="str">
        <f t="shared" si="51"/>
        <v>Elementary Level</v>
      </c>
      <c r="P716" s="1638"/>
      <c r="V716" s="873"/>
      <c r="X716" s="811" t="str">
        <f t="shared" si="54"/>
        <v/>
      </c>
      <c r="AB716" s="873"/>
      <c r="AG716" s="807"/>
      <c r="AJ716" s="865"/>
    </row>
    <row r="717" spans="1:97" ht="15">
      <c r="A717" s="767" t="s">
        <v>7421</v>
      </c>
      <c r="D717" s="935" t="s">
        <v>5619</v>
      </c>
      <c r="E717" s="1043" t="s">
        <v>477</v>
      </c>
      <c r="G717" s="827"/>
      <c r="H717" s="809" t="s">
        <v>11377</v>
      </c>
      <c r="I717" s="92">
        <v>2</v>
      </c>
      <c r="J717" s="92" t="s">
        <v>10</v>
      </c>
      <c r="K717" s="92" t="s">
        <v>768</v>
      </c>
      <c r="L717" s="810">
        <v>10</v>
      </c>
      <c r="M717" s="811" t="str">
        <f t="shared" si="51"/>
        <v>Not In School Age</v>
      </c>
      <c r="P717" s="1638"/>
      <c r="V717" s="873">
        <f>SUM(S713:U717)</f>
        <v>12000</v>
      </c>
      <c r="X717" s="811" t="str">
        <f t="shared" si="54"/>
        <v/>
      </c>
      <c r="AB717" s="873">
        <f>SUM(Y713:AA717)</f>
        <v>5200</v>
      </c>
      <c r="AG717" s="807"/>
      <c r="AJ717" s="865"/>
    </row>
    <row r="718" spans="1:97" ht="15">
      <c r="A718" s="767" t="s">
        <v>7421</v>
      </c>
      <c r="B718" s="292" t="s">
        <v>7616</v>
      </c>
      <c r="C718" s="140" t="s">
        <v>479</v>
      </c>
      <c r="D718" s="935" t="s">
        <v>9090</v>
      </c>
      <c r="E718" s="1043" t="s">
        <v>479</v>
      </c>
      <c r="F718" s="1048" t="s">
        <v>2102</v>
      </c>
      <c r="G718" s="827" t="s">
        <v>479</v>
      </c>
      <c r="H718" s="809" t="s">
        <v>2102</v>
      </c>
      <c r="I718" s="92">
        <v>29</v>
      </c>
      <c r="J718" s="92" t="s">
        <v>10</v>
      </c>
      <c r="K718" s="92" t="s">
        <v>722</v>
      </c>
      <c r="L718" s="810">
        <v>4</v>
      </c>
      <c r="M718" s="811" t="str">
        <f t="shared" si="51"/>
        <v>High School Level</v>
      </c>
      <c r="N718" s="92" t="s">
        <v>1208</v>
      </c>
      <c r="O718" s="812" t="s">
        <v>2215</v>
      </c>
      <c r="P718" s="1638" t="s">
        <v>12606</v>
      </c>
      <c r="Q718" s="812" t="s">
        <v>2215</v>
      </c>
      <c r="R718" s="92" t="s">
        <v>8234</v>
      </c>
      <c r="S718" s="813">
        <v>6000</v>
      </c>
      <c r="W718" s="815">
        <v>2</v>
      </c>
      <c r="X718" s="811" t="str">
        <f t="shared" si="54"/>
        <v>within the Municipality/City</v>
      </c>
      <c r="AB718" s="924">
        <v>30</v>
      </c>
      <c r="AD718" s="936" t="s">
        <v>9091</v>
      </c>
      <c r="AE718" s="937" t="s">
        <v>9091</v>
      </c>
      <c r="AF718" s="938"/>
      <c r="AG718" s="807" t="str">
        <f t="shared" ref="AG718:AG781" si="55">IF(ISBLANK(AF718)=TRUE,"",LOOKUP(AF718,GS:GT))</f>
        <v/>
      </c>
      <c r="AJ718" s="865"/>
    </row>
    <row r="719" spans="1:97" ht="15">
      <c r="A719" s="767" t="s">
        <v>7421</v>
      </c>
      <c r="D719" s="935" t="s">
        <v>9090</v>
      </c>
      <c r="E719" s="1043" t="s">
        <v>479</v>
      </c>
      <c r="G719" s="827"/>
      <c r="H719" s="809" t="s">
        <v>9092</v>
      </c>
      <c r="I719" s="92">
        <v>30</v>
      </c>
      <c r="J719" s="92" t="s">
        <v>18</v>
      </c>
      <c r="K719" s="92" t="s">
        <v>722</v>
      </c>
      <c r="L719" s="810">
        <v>4</v>
      </c>
      <c r="M719" s="811" t="str">
        <f t="shared" si="51"/>
        <v>High School Level</v>
      </c>
      <c r="P719" s="1638"/>
      <c r="X719" s="811" t="str">
        <f t="shared" si="54"/>
        <v/>
      </c>
      <c r="AG719" s="807" t="str">
        <f t="shared" si="55"/>
        <v/>
      </c>
      <c r="AJ719" s="865"/>
    </row>
    <row r="720" spans="1:97" ht="15">
      <c r="A720" s="767" t="s">
        <v>7421</v>
      </c>
      <c r="D720" s="935" t="s">
        <v>9090</v>
      </c>
      <c r="E720" s="1043" t="s">
        <v>479</v>
      </c>
      <c r="G720" s="827"/>
      <c r="H720" s="809" t="s">
        <v>9093</v>
      </c>
      <c r="I720" s="92">
        <v>37</v>
      </c>
      <c r="J720" s="92" t="s">
        <v>10</v>
      </c>
      <c r="K720" s="92" t="s">
        <v>722</v>
      </c>
      <c r="L720" s="810">
        <v>4</v>
      </c>
      <c r="M720" s="811" t="str">
        <f t="shared" si="51"/>
        <v>High School Level</v>
      </c>
      <c r="N720" s="92" t="s">
        <v>1208</v>
      </c>
      <c r="O720" s="812" t="s">
        <v>2215</v>
      </c>
      <c r="P720" s="1638"/>
      <c r="Q720" s="812" t="s">
        <v>2215</v>
      </c>
      <c r="R720" s="812" t="s">
        <v>10310</v>
      </c>
      <c r="S720" s="813">
        <v>8000</v>
      </c>
      <c r="W720" s="815">
        <v>3</v>
      </c>
      <c r="X720" s="811" t="str">
        <f t="shared" si="54"/>
        <v>within the Province</v>
      </c>
      <c r="AB720" s="924">
        <v>100</v>
      </c>
      <c r="AG720" s="807" t="str">
        <f t="shared" si="55"/>
        <v/>
      </c>
      <c r="AJ720" s="865"/>
    </row>
    <row r="721" spans="1:83" ht="15">
      <c r="A721" s="767" t="s">
        <v>7421</v>
      </c>
      <c r="D721" s="935" t="s">
        <v>9090</v>
      </c>
      <c r="E721" s="1043" t="s">
        <v>479</v>
      </c>
      <c r="G721" s="827"/>
      <c r="H721" s="809" t="s">
        <v>9094</v>
      </c>
      <c r="I721" s="92">
        <v>32</v>
      </c>
      <c r="J721" s="92" t="s">
        <v>18</v>
      </c>
      <c r="K721" s="92" t="s">
        <v>722</v>
      </c>
      <c r="L721" s="810">
        <v>4</v>
      </c>
      <c r="M721" s="811" t="str">
        <f t="shared" si="51"/>
        <v>High School Level</v>
      </c>
      <c r="P721" s="1638"/>
      <c r="X721" s="811" t="str">
        <f t="shared" si="54"/>
        <v/>
      </c>
      <c r="AG721" s="807" t="str">
        <f t="shared" si="55"/>
        <v/>
      </c>
      <c r="AJ721" s="865"/>
    </row>
    <row r="722" spans="1:83" ht="15">
      <c r="A722" s="767" t="s">
        <v>7421</v>
      </c>
      <c r="D722" s="935" t="s">
        <v>9090</v>
      </c>
      <c r="E722" s="1043" t="s">
        <v>479</v>
      </c>
      <c r="G722" s="827"/>
      <c r="H722" s="809" t="s">
        <v>9095</v>
      </c>
      <c r="I722" s="92">
        <v>9</v>
      </c>
      <c r="J722" s="92" t="s">
        <v>18</v>
      </c>
      <c r="K722" s="92" t="s">
        <v>768</v>
      </c>
      <c r="L722" s="810">
        <v>2</v>
      </c>
      <c r="M722" s="811" t="str">
        <f t="shared" si="51"/>
        <v>Elementary Level</v>
      </c>
      <c r="P722" s="1638"/>
      <c r="X722" s="811" t="str">
        <f t="shared" si="54"/>
        <v/>
      </c>
      <c r="AG722" s="807" t="str">
        <f t="shared" si="55"/>
        <v/>
      </c>
      <c r="AJ722" s="865"/>
    </row>
    <row r="723" spans="1:83" ht="15">
      <c r="A723" s="767" t="s">
        <v>7421</v>
      </c>
      <c r="D723" s="935" t="s">
        <v>9090</v>
      </c>
      <c r="E723" s="1043" t="s">
        <v>479</v>
      </c>
      <c r="G723" s="827"/>
      <c r="H723" s="809" t="s">
        <v>9096</v>
      </c>
      <c r="I723" s="92">
        <v>6</v>
      </c>
      <c r="J723" s="92" t="s">
        <v>10</v>
      </c>
      <c r="K723" s="92" t="s">
        <v>768</v>
      </c>
      <c r="L723" s="810">
        <v>1</v>
      </c>
      <c r="M723" s="811" t="str">
        <f t="shared" si="51"/>
        <v>Pre-school</v>
      </c>
      <c r="P723" s="1638"/>
      <c r="X723" s="811" t="str">
        <f t="shared" si="54"/>
        <v/>
      </c>
      <c r="AG723" s="807" t="str">
        <f t="shared" si="55"/>
        <v/>
      </c>
      <c r="AJ723" s="865"/>
    </row>
    <row r="724" spans="1:83" ht="15">
      <c r="A724" s="767" t="s">
        <v>7421</v>
      </c>
      <c r="D724" s="935" t="s">
        <v>9090</v>
      </c>
      <c r="E724" s="1043" t="s">
        <v>479</v>
      </c>
      <c r="G724" s="827"/>
      <c r="H724" s="809" t="s">
        <v>9097</v>
      </c>
      <c r="I724" s="92">
        <v>3</v>
      </c>
      <c r="J724" s="92" t="s">
        <v>10</v>
      </c>
      <c r="K724" s="92" t="s">
        <v>768</v>
      </c>
      <c r="L724" s="810">
        <v>10</v>
      </c>
      <c r="M724" s="811" t="str">
        <f t="shared" si="51"/>
        <v>Not In School Age</v>
      </c>
      <c r="P724" s="1638"/>
      <c r="X724" s="811" t="str">
        <f t="shared" si="54"/>
        <v/>
      </c>
      <c r="AG724" s="807" t="str">
        <f t="shared" si="55"/>
        <v/>
      </c>
      <c r="AJ724" s="865"/>
    </row>
    <row r="725" spans="1:83" ht="15">
      <c r="A725" s="767" t="s">
        <v>7421</v>
      </c>
      <c r="D725" s="935" t="s">
        <v>9090</v>
      </c>
      <c r="E725" s="1043" t="s">
        <v>479</v>
      </c>
      <c r="G725" s="827"/>
      <c r="H725" s="809" t="s">
        <v>9098</v>
      </c>
      <c r="I725" s="92">
        <v>9</v>
      </c>
      <c r="J725" s="92" t="s">
        <v>18</v>
      </c>
      <c r="K725" s="92" t="s">
        <v>768</v>
      </c>
      <c r="L725" s="810">
        <v>2</v>
      </c>
      <c r="M725" s="811" t="str">
        <f t="shared" si="51"/>
        <v>Elementary Level</v>
      </c>
      <c r="P725" s="1638"/>
      <c r="X725" s="811" t="str">
        <f t="shared" si="54"/>
        <v/>
      </c>
      <c r="AG725" s="807" t="str">
        <f t="shared" si="55"/>
        <v/>
      </c>
      <c r="AJ725" s="865"/>
    </row>
    <row r="726" spans="1:83" ht="15">
      <c r="A726" s="767" t="s">
        <v>7421</v>
      </c>
      <c r="D726" s="935" t="s">
        <v>9090</v>
      </c>
      <c r="E726" s="1043" t="s">
        <v>479</v>
      </c>
      <c r="G726" s="827"/>
      <c r="H726" s="809" t="s">
        <v>9099</v>
      </c>
      <c r="I726" s="92">
        <v>4</v>
      </c>
      <c r="J726" s="92" t="s">
        <v>10</v>
      </c>
      <c r="K726" s="92" t="s">
        <v>768</v>
      </c>
      <c r="L726" s="810">
        <v>10</v>
      </c>
      <c r="M726" s="811" t="str">
        <f t="shared" si="51"/>
        <v>Not In School Age</v>
      </c>
      <c r="P726" s="1638"/>
      <c r="X726" s="811" t="str">
        <f t="shared" si="54"/>
        <v/>
      </c>
      <c r="AG726" s="807" t="str">
        <f t="shared" si="55"/>
        <v/>
      </c>
      <c r="AH726" s="807"/>
      <c r="AI726" s="807"/>
      <c r="AJ726" s="807"/>
      <c r="AK726" s="807"/>
      <c r="AL726" s="807"/>
      <c r="AM726" s="807"/>
      <c r="BC726" s="807"/>
      <c r="BD726" s="807"/>
      <c r="BE726" s="807"/>
      <c r="BF726" s="807"/>
      <c r="BG726" s="807"/>
      <c r="BH726" s="807"/>
      <c r="BI726" s="807"/>
      <c r="BJ726" s="807"/>
      <c r="BK726" s="807"/>
      <c r="BN726" s="807"/>
      <c r="CD726" s="807"/>
      <c r="CE726" s="807"/>
    </row>
    <row r="727" spans="1:83" ht="15">
      <c r="A727" s="767" t="s">
        <v>7421</v>
      </c>
      <c r="D727" s="935" t="s">
        <v>9090</v>
      </c>
      <c r="E727" s="1043" t="s">
        <v>479</v>
      </c>
      <c r="G727" s="827"/>
      <c r="H727" s="809" t="s">
        <v>9100</v>
      </c>
      <c r="I727" s="92">
        <v>2</v>
      </c>
      <c r="J727" s="92" t="s">
        <v>10</v>
      </c>
      <c r="K727" s="92" t="s">
        <v>768</v>
      </c>
      <c r="L727" s="810">
        <v>10</v>
      </c>
      <c r="M727" s="811" t="str">
        <f t="shared" si="51"/>
        <v>Not In School Age</v>
      </c>
      <c r="P727" s="1638"/>
      <c r="X727" s="811" t="str">
        <f t="shared" si="54"/>
        <v/>
      </c>
      <c r="AG727" s="807" t="str">
        <f t="shared" si="55"/>
        <v/>
      </c>
      <c r="AH727" s="807"/>
      <c r="AI727" s="807"/>
      <c r="AJ727" s="807"/>
      <c r="AK727" s="807"/>
      <c r="AL727" s="807"/>
      <c r="AM727" s="807"/>
      <c r="BC727" s="807"/>
      <c r="BD727" s="807"/>
      <c r="BE727" s="807"/>
      <c r="BF727" s="807"/>
      <c r="BG727" s="807"/>
      <c r="BH727" s="807"/>
      <c r="BI727" s="807"/>
      <c r="BJ727" s="807"/>
      <c r="BK727" s="807"/>
      <c r="BN727" s="807"/>
      <c r="CD727" s="807"/>
      <c r="CE727" s="807"/>
    </row>
    <row r="728" spans="1:83" ht="15">
      <c r="A728" s="767" t="s">
        <v>7421</v>
      </c>
      <c r="B728" s="292" t="s">
        <v>7617</v>
      </c>
      <c r="C728" s="140" t="s">
        <v>482</v>
      </c>
      <c r="D728" s="935" t="s">
        <v>9101</v>
      </c>
      <c r="E728" s="1043" t="s">
        <v>482</v>
      </c>
      <c r="F728" s="1048" t="s">
        <v>2103</v>
      </c>
      <c r="G728" s="929" t="s">
        <v>482</v>
      </c>
      <c r="H728" s="809" t="s">
        <v>2103</v>
      </c>
      <c r="I728" s="92">
        <v>25</v>
      </c>
      <c r="J728" s="92" t="s">
        <v>18</v>
      </c>
      <c r="K728" s="92" t="s">
        <v>722</v>
      </c>
      <c r="L728" s="810">
        <v>4</v>
      </c>
      <c r="M728" s="811" t="str">
        <f t="shared" si="51"/>
        <v>High School Level</v>
      </c>
      <c r="P728" s="1638"/>
      <c r="R728" s="92" t="s">
        <v>1208</v>
      </c>
      <c r="X728" s="811" t="str">
        <f t="shared" si="54"/>
        <v/>
      </c>
      <c r="AG728" s="807" t="str">
        <f t="shared" si="55"/>
        <v/>
      </c>
      <c r="AH728" s="807"/>
      <c r="AI728" s="807"/>
      <c r="AJ728" s="807"/>
      <c r="AK728" s="807"/>
      <c r="AL728" s="807"/>
      <c r="AM728" s="807"/>
      <c r="BC728" s="807"/>
      <c r="BD728" s="807"/>
      <c r="BE728" s="807"/>
      <c r="BF728" s="807"/>
      <c r="BG728" s="807"/>
      <c r="BH728" s="807"/>
      <c r="BI728" s="807"/>
      <c r="BJ728" s="807"/>
      <c r="BK728" s="807"/>
      <c r="BN728" s="807"/>
      <c r="CD728" s="807"/>
      <c r="CE728" s="807"/>
    </row>
    <row r="729" spans="1:83" ht="15">
      <c r="A729" s="767" t="s">
        <v>7421</v>
      </c>
      <c r="D729" s="935" t="s">
        <v>9101</v>
      </c>
      <c r="E729" s="1043" t="s">
        <v>482</v>
      </c>
      <c r="G729" s="827"/>
      <c r="H729" s="809" t="s">
        <v>9102</v>
      </c>
      <c r="I729" s="92">
        <v>26</v>
      </c>
      <c r="J729" s="92" t="s">
        <v>10</v>
      </c>
      <c r="K729" s="92" t="s">
        <v>722</v>
      </c>
      <c r="L729" s="810">
        <v>2</v>
      </c>
      <c r="M729" s="811" t="str">
        <f t="shared" si="51"/>
        <v>Elementary Level</v>
      </c>
      <c r="N729" s="92" t="s">
        <v>1208</v>
      </c>
      <c r="O729" s="812" t="s">
        <v>9103</v>
      </c>
      <c r="P729" s="1638"/>
      <c r="Q729" s="812" t="s">
        <v>9103</v>
      </c>
      <c r="R729" s="92" t="s">
        <v>8285</v>
      </c>
      <c r="S729" s="813">
        <v>8400</v>
      </c>
      <c r="W729" s="815">
        <v>2</v>
      </c>
      <c r="X729" s="811" t="str">
        <f t="shared" si="54"/>
        <v>within the Municipality/City</v>
      </c>
      <c r="AB729" s="924">
        <v>448</v>
      </c>
      <c r="AG729" s="807" t="str">
        <f t="shared" si="55"/>
        <v/>
      </c>
      <c r="AH729" s="807"/>
      <c r="AI729" s="807"/>
      <c r="AJ729" s="807"/>
      <c r="AK729" s="807"/>
      <c r="AL729" s="807"/>
      <c r="AM729" s="807"/>
      <c r="BC729" s="807"/>
      <c r="BD729" s="807"/>
      <c r="BE729" s="807"/>
      <c r="BF729" s="807"/>
      <c r="BG729" s="807"/>
      <c r="BH729" s="807"/>
      <c r="BI729" s="807"/>
      <c r="BJ729" s="807"/>
      <c r="BK729" s="807"/>
      <c r="BN729" s="807"/>
      <c r="CD729" s="807"/>
      <c r="CE729" s="807"/>
    </row>
    <row r="730" spans="1:83" ht="15">
      <c r="A730" s="767" t="s">
        <v>7421</v>
      </c>
      <c r="D730" s="935" t="s">
        <v>9101</v>
      </c>
      <c r="E730" s="1043" t="s">
        <v>482</v>
      </c>
      <c r="G730" s="827"/>
      <c r="H730" s="809" t="s">
        <v>9104</v>
      </c>
      <c r="I730" s="92">
        <v>8</v>
      </c>
      <c r="J730" s="92" t="s">
        <v>18</v>
      </c>
      <c r="K730" s="92" t="s">
        <v>768</v>
      </c>
      <c r="L730" s="810">
        <v>2</v>
      </c>
      <c r="M730" s="811" t="str">
        <f t="shared" si="51"/>
        <v>Elementary Level</v>
      </c>
      <c r="P730" s="1638"/>
      <c r="X730" s="811" t="str">
        <f t="shared" si="54"/>
        <v/>
      </c>
      <c r="AG730" s="807" t="str">
        <f t="shared" si="55"/>
        <v/>
      </c>
      <c r="AH730" s="807"/>
      <c r="AI730" s="807"/>
      <c r="AJ730" s="807"/>
      <c r="AK730" s="807"/>
      <c r="AL730" s="807"/>
      <c r="AM730" s="807"/>
      <c r="BC730" s="807"/>
      <c r="BD730" s="807"/>
      <c r="BE730" s="807"/>
      <c r="BF730" s="807"/>
      <c r="BG730" s="807"/>
      <c r="BH730" s="807"/>
      <c r="BI730" s="807"/>
      <c r="BJ730" s="807"/>
      <c r="BK730" s="807"/>
      <c r="BN730" s="807"/>
      <c r="CD730" s="807"/>
      <c r="CE730" s="807"/>
    </row>
    <row r="731" spans="1:83" ht="15">
      <c r="A731" s="767" t="s">
        <v>7421</v>
      </c>
      <c r="B731" s="292" t="s">
        <v>7618</v>
      </c>
      <c r="C731" s="140" t="s">
        <v>486</v>
      </c>
      <c r="D731" s="935" t="s">
        <v>9105</v>
      </c>
      <c r="E731" s="1043" t="s">
        <v>486</v>
      </c>
      <c r="F731" s="1048" t="s">
        <v>1995</v>
      </c>
      <c r="G731" s="827" t="s">
        <v>486</v>
      </c>
      <c r="H731" s="809" t="s">
        <v>1995</v>
      </c>
      <c r="I731" s="92">
        <v>59</v>
      </c>
      <c r="J731" s="92" t="s">
        <v>18</v>
      </c>
      <c r="K731" s="92" t="s">
        <v>719</v>
      </c>
      <c r="L731" s="810">
        <v>4</v>
      </c>
      <c r="M731" s="811" t="str">
        <f t="shared" ref="M731:M762" si="56">IF(ISBLANK(L731)=TRUE,"",LOOKUP(L731,GQ:GR))</f>
        <v>High School Level</v>
      </c>
      <c r="N731" s="92" t="s">
        <v>1208</v>
      </c>
      <c r="O731" s="812" t="s">
        <v>9106</v>
      </c>
      <c r="P731" s="1638" t="s">
        <v>12620</v>
      </c>
      <c r="Q731" s="812" t="s">
        <v>9106</v>
      </c>
      <c r="R731" s="92" t="s">
        <v>8234</v>
      </c>
      <c r="S731" s="813">
        <v>4000</v>
      </c>
      <c r="U731" s="813">
        <v>2000</v>
      </c>
      <c r="X731" s="811" t="str">
        <f t="shared" si="54"/>
        <v/>
      </c>
      <c r="AG731" s="807" t="str">
        <f t="shared" si="55"/>
        <v/>
      </c>
      <c r="AH731" s="807"/>
      <c r="AI731" s="807"/>
      <c r="AJ731" s="807"/>
      <c r="AK731" s="807"/>
      <c r="AL731" s="807"/>
      <c r="AM731" s="807"/>
      <c r="BC731" s="807"/>
      <c r="BD731" s="807"/>
      <c r="BE731" s="807"/>
      <c r="BF731" s="807"/>
      <c r="BG731" s="807"/>
      <c r="BH731" s="807"/>
      <c r="BI731" s="807"/>
      <c r="BJ731" s="807"/>
      <c r="BK731" s="807"/>
      <c r="BN731" s="807"/>
      <c r="CD731" s="807"/>
      <c r="CE731" s="807"/>
    </row>
    <row r="732" spans="1:83" ht="15">
      <c r="A732" s="767" t="s">
        <v>7421</v>
      </c>
      <c r="D732" s="935" t="s">
        <v>9105</v>
      </c>
      <c r="E732" s="1043" t="s">
        <v>486</v>
      </c>
      <c r="G732" s="827"/>
      <c r="H732" s="809" t="s">
        <v>9107</v>
      </c>
      <c r="I732" s="92">
        <v>31</v>
      </c>
      <c r="J732" s="92" t="s">
        <v>18</v>
      </c>
      <c r="K732" s="92" t="s">
        <v>768</v>
      </c>
      <c r="L732" s="810">
        <v>9</v>
      </c>
      <c r="M732" s="811" t="str">
        <f t="shared" si="56"/>
        <v>Vocational Graduate</v>
      </c>
      <c r="N732" s="92" t="s">
        <v>1208</v>
      </c>
      <c r="O732" s="812" t="s">
        <v>9108</v>
      </c>
      <c r="P732" s="1638"/>
      <c r="Q732" s="812" t="s">
        <v>9108</v>
      </c>
      <c r="R732" s="812" t="s">
        <v>8285</v>
      </c>
      <c r="S732" s="813">
        <v>8000</v>
      </c>
      <c r="W732" s="815">
        <v>3</v>
      </c>
      <c r="X732" s="811" t="str">
        <f t="shared" si="54"/>
        <v>within the Province</v>
      </c>
      <c r="Y732" s="816">
        <v>30</v>
      </c>
      <c r="AG732" s="807" t="str">
        <f t="shared" si="55"/>
        <v/>
      </c>
      <c r="AH732" s="807"/>
      <c r="AI732" s="807"/>
      <c r="AJ732" s="807"/>
      <c r="AK732" s="807"/>
      <c r="AL732" s="807"/>
      <c r="AM732" s="807"/>
      <c r="BC732" s="807"/>
      <c r="BD732" s="807"/>
      <c r="BE732" s="807"/>
      <c r="BF732" s="807"/>
      <c r="BG732" s="807"/>
      <c r="BH732" s="807"/>
      <c r="BI732" s="807"/>
      <c r="BJ732" s="807"/>
      <c r="BK732" s="807"/>
      <c r="BN732" s="807"/>
      <c r="CD732" s="807"/>
      <c r="CE732" s="807"/>
    </row>
    <row r="733" spans="1:83" ht="15">
      <c r="A733" s="49" t="s">
        <v>12353</v>
      </c>
      <c r="B733" s="292" t="s">
        <v>7620</v>
      </c>
      <c r="C733" s="140" t="s">
        <v>486</v>
      </c>
      <c r="D733" s="935" t="s">
        <v>9109</v>
      </c>
      <c r="E733" s="1043" t="s">
        <v>680</v>
      </c>
      <c r="F733" s="1048" t="s">
        <v>11269</v>
      </c>
      <c r="G733" s="827" t="s">
        <v>486</v>
      </c>
      <c r="H733" s="809" t="s">
        <v>2104</v>
      </c>
      <c r="I733" s="92">
        <v>23</v>
      </c>
      <c r="J733" s="92" t="s">
        <v>10</v>
      </c>
      <c r="K733" s="92" t="s">
        <v>722</v>
      </c>
      <c r="L733" s="810">
        <v>5</v>
      </c>
      <c r="M733" s="811" t="str">
        <f t="shared" si="56"/>
        <v>High School Graduate</v>
      </c>
      <c r="N733" s="92" t="s">
        <v>1208</v>
      </c>
      <c r="O733" s="812" t="s">
        <v>2198</v>
      </c>
      <c r="P733" s="1638" t="s">
        <v>12597</v>
      </c>
      <c r="Q733" s="812" t="s">
        <v>2198</v>
      </c>
      <c r="R733" s="92" t="s">
        <v>8234</v>
      </c>
      <c r="S733" s="813">
        <f>AVERAGE(6000,8000)</f>
        <v>7000</v>
      </c>
      <c r="W733" s="815">
        <v>2</v>
      </c>
      <c r="X733" s="811" t="str">
        <f t="shared" si="54"/>
        <v>within the Municipality/City</v>
      </c>
      <c r="Y733" s="816">
        <f>34*26</f>
        <v>884</v>
      </c>
      <c r="AB733" s="924">
        <v>34</v>
      </c>
      <c r="AG733" s="807" t="str">
        <f t="shared" si="55"/>
        <v/>
      </c>
      <c r="AH733" s="807"/>
      <c r="AI733" s="807"/>
      <c r="AJ733" s="807"/>
      <c r="AK733" s="807"/>
      <c r="AL733" s="807"/>
      <c r="AM733" s="807"/>
      <c r="BC733" s="807"/>
      <c r="BD733" s="807"/>
      <c r="BE733" s="807"/>
      <c r="BF733" s="807"/>
      <c r="BG733" s="807"/>
      <c r="BH733" s="807"/>
      <c r="BI733" s="807"/>
      <c r="BJ733" s="807"/>
      <c r="BK733" s="807"/>
      <c r="BN733" s="807"/>
      <c r="CD733" s="807"/>
      <c r="CE733" s="807"/>
    </row>
    <row r="734" spans="1:83" ht="15">
      <c r="A734" s="49" t="s">
        <v>12353</v>
      </c>
      <c r="D734" s="935" t="s">
        <v>9109</v>
      </c>
      <c r="E734" s="1043" t="s">
        <v>680</v>
      </c>
      <c r="G734" s="827"/>
      <c r="H734" s="809" t="s">
        <v>9110</v>
      </c>
      <c r="I734" s="92">
        <v>32</v>
      </c>
      <c r="J734" s="92" t="s">
        <v>18</v>
      </c>
      <c r="K734" s="92" t="s">
        <v>722</v>
      </c>
      <c r="L734" s="810">
        <v>5</v>
      </c>
      <c r="M734" s="811" t="str">
        <f t="shared" si="56"/>
        <v>High School Graduate</v>
      </c>
      <c r="N734" s="92" t="s">
        <v>1208</v>
      </c>
      <c r="O734" s="812" t="s">
        <v>9111</v>
      </c>
      <c r="P734" s="1638"/>
      <c r="Q734" s="812" t="s">
        <v>9111</v>
      </c>
      <c r="R734" s="812" t="s">
        <v>8285</v>
      </c>
      <c r="U734" s="813">
        <v>5000</v>
      </c>
      <c r="X734" s="811" t="str">
        <f t="shared" si="54"/>
        <v/>
      </c>
      <c r="AG734" s="807" t="str">
        <f t="shared" si="55"/>
        <v/>
      </c>
      <c r="AH734" s="807"/>
      <c r="AI734" s="807"/>
      <c r="AJ734" s="807"/>
      <c r="AK734" s="807"/>
      <c r="AL734" s="807"/>
      <c r="AM734" s="807"/>
      <c r="BC734" s="807"/>
      <c r="BD734" s="807"/>
      <c r="BE734" s="807"/>
      <c r="BF734" s="807"/>
      <c r="BG734" s="807"/>
      <c r="BH734" s="807"/>
      <c r="BI734" s="807"/>
      <c r="BJ734" s="807"/>
      <c r="BK734" s="807"/>
      <c r="BN734" s="807"/>
      <c r="CD734" s="807"/>
      <c r="CE734" s="807"/>
    </row>
    <row r="735" spans="1:83" ht="15">
      <c r="A735" s="49" t="s">
        <v>12353</v>
      </c>
      <c r="D735" s="935" t="s">
        <v>9109</v>
      </c>
      <c r="E735" s="1043" t="s">
        <v>680</v>
      </c>
      <c r="G735" s="827"/>
      <c r="H735" s="809" t="s">
        <v>9112</v>
      </c>
      <c r="I735" s="92">
        <v>11</v>
      </c>
      <c r="J735" s="92" t="s">
        <v>10</v>
      </c>
      <c r="K735" s="92" t="s">
        <v>768</v>
      </c>
      <c r="L735" s="810">
        <v>2</v>
      </c>
      <c r="M735" s="811" t="str">
        <f t="shared" si="56"/>
        <v>Elementary Level</v>
      </c>
      <c r="P735" s="1638"/>
      <c r="X735" s="811" t="str">
        <f t="shared" si="54"/>
        <v/>
      </c>
      <c r="AG735" s="807" t="str">
        <f t="shared" si="55"/>
        <v/>
      </c>
      <c r="AH735" s="807"/>
      <c r="AI735" s="807"/>
      <c r="AJ735" s="807"/>
      <c r="AK735" s="807"/>
      <c r="AL735" s="807"/>
      <c r="AM735" s="807"/>
      <c r="BC735" s="807"/>
      <c r="BD735" s="807"/>
      <c r="BE735" s="807"/>
      <c r="BF735" s="807"/>
      <c r="BG735" s="807"/>
      <c r="BH735" s="807"/>
      <c r="BI735" s="807"/>
      <c r="BJ735" s="807"/>
      <c r="BK735" s="807"/>
      <c r="BN735" s="807"/>
      <c r="CD735" s="807"/>
      <c r="CE735" s="807"/>
    </row>
    <row r="736" spans="1:83" ht="15">
      <c r="A736" s="49" t="s">
        <v>12353</v>
      </c>
      <c r="D736" s="935" t="s">
        <v>9109</v>
      </c>
      <c r="E736" s="1043" t="s">
        <v>680</v>
      </c>
      <c r="G736" s="827"/>
      <c r="H736" s="809" t="s">
        <v>9113</v>
      </c>
      <c r="I736" s="92">
        <v>8</v>
      </c>
      <c r="J736" s="92" t="s">
        <v>10</v>
      </c>
      <c r="K736" s="92" t="s">
        <v>768</v>
      </c>
      <c r="L736" s="810">
        <v>2</v>
      </c>
      <c r="M736" s="811" t="str">
        <f t="shared" si="56"/>
        <v>Elementary Level</v>
      </c>
      <c r="P736" s="1638"/>
      <c r="X736" s="811" t="str">
        <f t="shared" si="54"/>
        <v/>
      </c>
      <c r="AE736" s="93" t="s">
        <v>9114</v>
      </c>
      <c r="AF736" s="818">
        <v>1</v>
      </c>
      <c r="AG736" s="807" t="str">
        <f t="shared" si="55"/>
        <v>Mental disabilities or PWD</v>
      </c>
      <c r="AH736" s="807"/>
      <c r="AI736" s="807"/>
      <c r="AJ736" s="807"/>
      <c r="AK736" s="807"/>
      <c r="AL736" s="807"/>
      <c r="AM736" s="807"/>
      <c r="BC736" s="807"/>
      <c r="BD736" s="807"/>
      <c r="BE736" s="807"/>
      <c r="BF736" s="807"/>
      <c r="BG736" s="807"/>
      <c r="BH736" s="807"/>
      <c r="BI736" s="807"/>
      <c r="BJ736" s="807"/>
      <c r="BK736" s="807"/>
      <c r="BN736" s="807"/>
      <c r="CD736" s="807"/>
      <c r="CE736" s="807"/>
    </row>
    <row r="737" spans="1:97" ht="15">
      <c r="A737" s="49" t="s">
        <v>12353</v>
      </c>
      <c r="D737" s="935" t="s">
        <v>9109</v>
      </c>
      <c r="E737" s="1043" t="s">
        <v>680</v>
      </c>
      <c r="G737" s="827"/>
      <c r="H737" s="809" t="s">
        <v>9115</v>
      </c>
      <c r="I737" s="92">
        <v>8</v>
      </c>
      <c r="J737" s="92" t="s">
        <v>10</v>
      </c>
      <c r="K737" s="92" t="s">
        <v>768</v>
      </c>
      <c r="L737" s="810">
        <v>2</v>
      </c>
      <c r="M737" s="811" t="str">
        <f t="shared" si="56"/>
        <v>Elementary Level</v>
      </c>
      <c r="P737" s="1638"/>
      <c r="X737" s="811" t="str">
        <f t="shared" si="54"/>
        <v/>
      </c>
      <c r="AG737" s="807" t="str">
        <f t="shared" si="55"/>
        <v/>
      </c>
      <c r="AH737" s="807"/>
      <c r="AI737" s="807"/>
      <c r="AJ737" s="807"/>
      <c r="AK737" s="807"/>
      <c r="AL737" s="807"/>
      <c r="AM737" s="807"/>
      <c r="BC737" s="807"/>
      <c r="BD737" s="807"/>
      <c r="BE737" s="807"/>
      <c r="BF737" s="807"/>
      <c r="BG737" s="807"/>
      <c r="BH737" s="807"/>
      <c r="BI737" s="807"/>
      <c r="BJ737" s="807"/>
      <c r="BK737" s="807"/>
      <c r="BN737" s="807"/>
      <c r="CD737" s="807"/>
      <c r="CE737" s="807"/>
    </row>
    <row r="738" spans="1:97" ht="15">
      <c r="A738" s="49" t="s">
        <v>12353</v>
      </c>
      <c r="D738" s="935" t="s">
        <v>9109</v>
      </c>
      <c r="E738" s="1043" t="s">
        <v>680</v>
      </c>
      <c r="G738" s="827"/>
      <c r="H738" s="809" t="s">
        <v>9116</v>
      </c>
      <c r="I738" s="939">
        <f>1/12</f>
        <v>8.3333333333333329E-2</v>
      </c>
      <c r="J738" s="92" t="s">
        <v>18</v>
      </c>
      <c r="K738" s="92" t="s">
        <v>768</v>
      </c>
      <c r="L738" s="810">
        <v>10</v>
      </c>
      <c r="M738" s="811" t="str">
        <f t="shared" si="56"/>
        <v>Not In School Age</v>
      </c>
      <c r="P738" s="1638"/>
      <c r="X738" s="811" t="str">
        <f t="shared" si="54"/>
        <v/>
      </c>
      <c r="AG738" s="807" t="str">
        <f t="shared" si="55"/>
        <v/>
      </c>
      <c r="AH738" s="807"/>
      <c r="AI738" s="807"/>
      <c r="AJ738" s="807"/>
      <c r="AK738" s="807"/>
      <c r="AL738" s="807"/>
      <c r="AM738" s="807"/>
      <c r="BC738" s="807"/>
      <c r="BD738" s="807"/>
      <c r="BE738" s="807"/>
      <c r="BF738" s="807"/>
      <c r="BG738" s="807"/>
      <c r="BH738" s="807"/>
      <c r="BI738" s="807"/>
      <c r="BJ738" s="807"/>
      <c r="BK738" s="807"/>
      <c r="BN738" s="807"/>
      <c r="CD738" s="807"/>
      <c r="CE738" s="807"/>
    </row>
    <row r="739" spans="1:97" ht="15">
      <c r="A739" s="49" t="s">
        <v>12452</v>
      </c>
      <c r="B739" s="292" t="s">
        <v>7619</v>
      </c>
      <c r="C739" s="140" t="s">
        <v>486</v>
      </c>
      <c r="D739" s="935" t="s">
        <v>9117</v>
      </c>
      <c r="G739" s="827" t="s">
        <v>486</v>
      </c>
      <c r="H739" s="809" t="s">
        <v>2105</v>
      </c>
      <c r="I739" s="92">
        <v>35</v>
      </c>
      <c r="J739" s="92" t="s">
        <v>18</v>
      </c>
      <c r="K739" s="92" t="s">
        <v>707</v>
      </c>
      <c r="L739" s="810">
        <v>5</v>
      </c>
      <c r="M739" s="811" t="str">
        <f t="shared" si="56"/>
        <v>High School Graduate</v>
      </c>
      <c r="N739" s="92" t="s">
        <v>1208</v>
      </c>
      <c r="O739" s="812" t="s">
        <v>2241</v>
      </c>
      <c r="P739" s="1638" t="s">
        <v>12609</v>
      </c>
      <c r="Q739" s="812" t="s">
        <v>2241</v>
      </c>
      <c r="R739" s="92" t="s">
        <v>8234</v>
      </c>
      <c r="S739" s="813">
        <v>7600</v>
      </c>
      <c r="W739" s="815">
        <v>2</v>
      </c>
      <c r="X739" s="811" t="str">
        <f t="shared" si="54"/>
        <v>within the Municipality/City</v>
      </c>
      <c r="AB739" s="924">
        <v>384</v>
      </c>
      <c r="AG739" s="807" t="str">
        <f t="shared" si="55"/>
        <v/>
      </c>
      <c r="AH739" s="807"/>
      <c r="AI739" s="807"/>
      <c r="AJ739" s="807"/>
      <c r="AK739" s="807"/>
      <c r="AL739" s="807"/>
      <c r="AM739" s="807"/>
      <c r="BC739" s="807"/>
      <c r="BD739" s="807"/>
      <c r="BE739" s="807"/>
      <c r="BF739" s="807"/>
      <c r="BG739" s="807"/>
      <c r="BH739" s="807"/>
      <c r="BI739" s="807"/>
      <c r="BJ739" s="807"/>
      <c r="BK739" s="807"/>
      <c r="BN739" s="807"/>
      <c r="CD739" s="807"/>
      <c r="CE739" s="807"/>
    </row>
    <row r="740" spans="1:97" ht="15">
      <c r="A740" s="49" t="s">
        <v>12452</v>
      </c>
      <c r="B740" s="750"/>
      <c r="C740" s="771"/>
      <c r="D740" s="935" t="s">
        <v>9117</v>
      </c>
      <c r="G740" s="827"/>
      <c r="H740" s="809" t="s">
        <v>9118</v>
      </c>
      <c r="I740" s="92">
        <v>37</v>
      </c>
      <c r="J740" s="92" t="s">
        <v>10</v>
      </c>
      <c r="K740" s="92" t="s">
        <v>707</v>
      </c>
      <c r="L740" s="810">
        <v>4</v>
      </c>
      <c r="M740" s="811" t="str">
        <f t="shared" si="56"/>
        <v>High School Level</v>
      </c>
      <c r="N740" s="92" t="s">
        <v>1208</v>
      </c>
      <c r="O740" s="812" t="s">
        <v>9119</v>
      </c>
      <c r="P740" s="1638"/>
      <c r="Q740" s="812" t="s">
        <v>9119</v>
      </c>
      <c r="R740" s="812" t="s">
        <v>8285</v>
      </c>
      <c r="S740" s="813">
        <v>8000</v>
      </c>
      <c r="X740" s="811" t="str">
        <f t="shared" si="54"/>
        <v/>
      </c>
      <c r="AB740" s="924">
        <v>384</v>
      </c>
      <c r="AG740" s="807" t="str">
        <f t="shared" si="55"/>
        <v/>
      </c>
      <c r="AH740" s="807"/>
      <c r="AI740" s="807"/>
      <c r="AJ740" s="807"/>
      <c r="AK740" s="807"/>
      <c r="AL740" s="807"/>
      <c r="AM740" s="807"/>
      <c r="BC740" s="807"/>
      <c r="BD740" s="807"/>
      <c r="BE740" s="807"/>
      <c r="BF740" s="807"/>
      <c r="BG740" s="807"/>
      <c r="BH740" s="807"/>
      <c r="BI740" s="807"/>
      <c r="BJ740" s="807"/>
      <c r="BK740" s="807"/>
      <c r="BN740" s="807"/>
      <c r="CD740" s="807"/>
      <c r="CE740" s="807"/>
    </row>
    <row r="741" spans="1:97" ht="15">
      <c r="A741" s="49" t="s">
        <v>12452</v>
      </c>
      <c r="D741" s="935" t="s">
        <v>9117</v>
      </c>
      <c r="G741" s="827"/>
      <c r="H741" s="809" t="s">
        <v>9120</v>
      </c>
      <c r="I741" s="92">
        <v>10</v>
      </c>
      <c r="J741" s="92" t="s">
        <v>10</v>
      </c>
      <c r="K741" s="92" t="s">
        <v>768</v>
      </c>
      <c r="L741" s="810">
        <v>2</v>
      </c>
      <c r="M741" s="811" t="str">
        <f t="shared" si="56"/>
        <v>Elementary Level</v>
      </c>
      <c r="P741" s="1638"/>
      <c r="X741" s="811" t="str">
        <f t="shared" si="54"/>
        <v/>
      </c>
      <c r="AG741" s="807" t="str">
        <f t="shared" si="55"/>
        <v/>
      </c>
      <c r="AH741" s="807"/>
      <c r="AI741" s="807"/>
      <c r="AJ741" s="807"/>
      <c r="AK741" s="807"/>
      <c r="AL741" s="807"/>
      <c r="AM741" s="807"/>
      <c r="BC741" s="807"/>
      <c r="BD741" s="807"/>
      <c r="BE741" s="807"/>
      <c r="BF741" s="807"/>
      <c r="BG741" s="807"/>
      <c r="BH741" s="807"/>
      <c r="BI741" s="807"/>
      <c r="BJ741" s="807"/>
      <c r="BK741" s="807"/>
      <c r="BN741" s="807"/>
      <c r="CD741" s="807"/>
      <c r="CE741" s="807"/>
    </row>
    <row r="742" spans="1:97" ht="15">
      <c r="A742" s="49" t="s">
        <v>12452</v>
      </c>
      <c r="D742" s="935" t="s">
        <v>9117</v>
      </c>
      <c r="G742" s="827"/>
      <c r="H742" s="809" t="s">
        <v>9121</v>
      </c>
      <c r="I742" s="92">
        <v>8</v>
      </c>
      <c r="J742" s="92" t="s">
        <v>10</v>
      </c>
      <c r="K742" s="92" t="s">
        <v>768</v>
      </c>
      <c r="L742" s="810">
        <v>2</v>
      </c>
      <c r="M742" s="811" t="str">
        <f t="shared" si="56"/>
        <v>Elementary Level</v>
      </c>
      <c r="P742" s="1638"/>
      <c r="X742" s="811" t="str">
        <f t="shared" si="54"/>
        <v/>
      </c>
      <c r="AG742" s="807" t="str">
        <f t="shared" si="55"/>
        <v/>
      </c>
      <c r="AH742" s="807"/>
      <c r="AI742" s="807"/>
      <c r="AJ742" s="807"/>
      <c r="AK742" s="807"/>
      <c r="AL742" s="807"/>
      <c r="AM742" s="807"/>
      <c r="BC742" s="807"/>
      <c r="BD742" s="807"/>
      <c r="BE742" s="807"/>
      <c r="BF742" s="807"/>
      <c r="BG742" s="807"/>
      <c r="BH742" s="807"/>
      <c r="BI742" s="807"/>
      <c r="BJ742" s="807"/>
      <c r="BK742" s="807"/>
      <c r="BN742" s="807"/>
      <c r="CD742" s="807"/>
      <c r="CE742" s="807"/>
    </row>
    <row r="743" spans="1:97" ht="15">
      <c r="A743" s="49" t="s">
        <v>12452</v>
      </c>
      <c r="D743" s="935" t="s">
        <v>9117</v>
      </c>
      <c r="G743" s="827"/>
      <c r="H743" s="809" t="s">
        <v>9122</v>
      </c>
      <c r="I743" s="92">
        <v>5</v>
      </c>
      <c r="J743" s="92" t="s">
        <v>18</v>
      </c>
      <c r="K743" s="92" t="s">
        <v>768</v>
      </c>
      <c r="L743" s="810">
        <v>1</v>
      </c>
      <c r="M743" s="811" t="str">
        <f t="shared" si="56"/>
        <v>Pre-school</v>
      </c>
      <c r="P743" s="1638"/>
      <c r="X743" s="811" t="str">
        <f t="shared" ref="X743:X774" si="57">IF(ISBLANK(W743)=TRUE,"",LOOKUP(W743,GO:GP))</f>
        <v/>
      </c>
      <c r="AG743" s="807" t="str">
        <f t="shared" si="55"/>
        <v/>
      </c>
      <c r="AH743" s="807"/>
      <c r="AI743" s="807"/>
      <c r="AJ743" s="807"/>
      <c r="AK743" s="807"/>
      <c r="AL743" s="807"/>
      <c r="AM743" s="807"/>
      <c r="BC743" s="807"/>
      <c r="BD743" s="807"/>
      <c r="BE743" s="807"/>
      <c r="BF743" s="807"/>
      <c r="BG743" s="807"/>
      <c r="BH743" s="807"/>
      <c r="BI743" s="807"/>
      <c r="BJ743" s="807"/>
      <c r="BK743" s="807"/>
      <c r="BN743" s="807"/>
      <c r="CD743" s="807"/>
      <c r="CE743" s="807"/>
    </row>
    <row r="744" spans="1:97" ht="15">
      <c r="D744" s="935" t="s">
        <v>9063</v>
      </c>
      <c r="G744" s="827" t="s">
        <v>489</v>
      </c>
      <c r="H744" s="809" t="s">
        <v>9064</v>
      </c>
      <c r="I744" s="92">
        <v>26</v>
      </c>
      <c r="J744" s="92" t="s">
        <v>10</v>
      </c>
      <c r="K744" s="92" t="s">
        <v>707</v>
      </c>
      <c r="L744" s="810">
        <v>4</v>
      </c>
      <c r="M744" s="811" t="str">
        <f t="shared" si="56"/>
        <v>High School Level</v>
      </c>
      <c r="N744" s="92" t="s">
        <v>1208</v>
      </c>
      <c r="O744" s="812" t="s">
        <v>9065</v>
      </c>
      <c r="P744" s="1638"/>
      <c r="Q744" s="812" t="s">
        <v>9065</v>
      </c>
      <c r="S744" s="813">
        <v>9600</v>
      </c>
      <c r="W744" s="815">
        <v>2</v>
      </c>
      <c r="X744" s="811" t="str">
        <f t="shared" si="57"/>
        <v>within the Municipality/City</v>
      </c>
      <c r="AE744" s="93" t="s">
        <v>9066</v>
      </c>
      <c r="AF744" s="818">
        <v>1</v>
      </c>
      <c r="AG744" s="807" t="str">
        <f t="shared" si="55"/>
        <v>Mental disabilities or PWD</v>
      </c>
      <c r="AJ744" s="865"/>
      <c r="AO744" s="817" t="s">
        <v>9067</v>
      </c>
    </row>
    <row r="745" spans="1:97" ht="15">
      <c r="D745" s="935"/>
      <c r="G745" s="827"/>
      <c r="H745" s="809" t="s">
        <v>2178</v>
      </c>
      <c r="I745" s="92">
        <v>24</v>
      </c>
      <c r="J745" s="92" t="s">
        <v>18</v>
      </c>
      <c r="K745" s="92" t="s">
        <v>707</v>
      </c>
      <c r="L745" s="810">
        <v>4</v>
      </c>
      <c r="M745" s="811" t="str">
        <f t="shared" si="56"/>
        <v>High School Level</v>
      </c>
      <c r="N745" s="92" t="s">
        <v>1208</v>
      </c>
      <c r="O745" s="812" t="s">
        <v>9068</v>
      </c>
      <c r="P745" s="1638"/>
      <c r="Q745" s="812" t="s">
        <v>9068</v>
      </c>
      <c r="U745" s="813">
        <v>2000</v>
      </c>
      <c r="W745" s="815">
        <v>1</v>
      </c>
      <c r="X745" s="811" t="str">
        <f t="shared" si="57"/>
        <v>within the Brgy</v>
      </c>
      <c r="AG745" s="807" t="str">
        <f t="shared" si="55"/>
        <v/>
      </c>
      <c r="AJ745" s="865"/>
      <c r="AO745" s="817" t="s">
        <v>9069</v>
      </c>
      <c r="CC745" s="807">
        <v>2</v>
      </c>
      <c r="CS745" s="807">
        <v>1</v>
      </c>
    </row>
    <row r="746" spans="1:97" ht="15">
      <c r="D746" s="935"/>
      <c r="G746" s="827"/>
      <c r="H746" s="809" t="s">
        <v>9070</v>
      </c>
      <c r="I746" s="92">
        <v>3</v>
      </c>
      <c r="J746" s="92" t="s">
        <v>10</v>
      </c>
      <c r="K746" s="92" t="s">
        <v>768</v>
      </c>
      <c r="L746" s="810">
        <v>10</v>
      </c>
      <c r="M746" s="811" t="str">
        <f t="shared" si="56"/>
        <v>Not In School Age</v>
      </c>
      <c r="P746" s="1638"/>
      <c r="X746" s="811" t="str">
        <f t="shared" si="57"/>
        <v/>
      </c>
      <c r="AG746" s="807" t="str">
        <f t="shared" si="55"/>
        <v/>
      </c>
      <c r="AJ746" s="865"/>
      <c r="AO746" s="817" t="s">
        <v>9071</v>
      </c>
    </row>
    <row r="747" spans="1:97" ht="15">
      <c r="A747" s="49" t="s">
        <v>12353</v>
      </c>
      <c r="B747" s="292" t="s">
        <v>11858</v>
      </c>
      <c r="C747" s="140" t="s">
        <v>489</v>
      </c>
      <c r="D747" s="935" t="s">
        <v>9123</v>
      </c>
      <c r="E747" s="1043" t="s">
        <v>489</v>
      </c>
      <c r="F747" s="1048" t="s">
        <v>2100</v>
      </c>
      <c r="G747" s="827" t="s">
        <v>489</v>
      </c>
      <c r="H747" s="809" t="s">
        <v>2179</v>
      </c>
      <c r="I747" s="92">
        <v>31</v>
      </c>
      <c r="J747" s="92" t="s">
        <v>18</v>
      </c>
      <c r="K747" s="92" t="s">
        <v>722</v>
      </c>
      <c r="L747" s="810">
        <v>2</v>
      </c>
      <c r="M747" s="811" t="str">
        <f t="shared" si="56"/>
        <v>Elementary Level</v>
      </c>
      <c r="N747" s="92" t="s">
        <v>1208</v>
      </c>
      <c r="O747" s="812" t="s">
        <v>3703</v>
      </c>
      <c r="P747" s="1638" t="s">
        <v>12608</v>
      </c>
      <c r="Q747" s="812" t="s">
        <v>3703</v>
      </c>
      <c r="R747" s="92" t="s">
        <v>8234</v>
      </c>
      <c r="U747" s="813">
        <v>2000</v>
      </c>
      <c r="W747" s="815">
        <v>1</v>
      </c>
      <c r="X747" s="811" t="str">
        <f t="shared" si="57"/>
        <v>within the Brgy</v>
      </c>
      <c r="AG747" s="807" t="str">
        <f t="shared" si="55"/>
        <v/>
      </c>
      <c r="AH747" s="807"/>
      <c r="AI747" s="807"/>
      <c r="AJ747" s="807"/>
      <c r="AK747" s="807"/>
      <c r="AL747" s="807"/>
      <c r="AM747" s="807"/>
      <c r="BC747" s="807"/>
      <c r="BD747" s="807"/>
      <c r="BE747" s="807"/>
      <c r="BF747" s="807"/>
      <c r="BG747" s="807"/>
      <c r="BH747" s="807"/>
      <c r="BI747" s="807"/>
      <c r="BJ747" s="807"/>
      <c r="BK747" s="807"/>
      <c r="BN747" s="807"/>
      <c r="CD747" s="807"/>
      <c r="CE747" s="807"/>
    </row>
    <row r="748" spans="1:97" ht="15">
      <c r="A748" s="49" t="s">
        <v>12353</v>
      </c>
      <c r="D748" s="935" t="s">
        <v>9123</v>
      </c>
      <c r="E748" s="1043" t="s">
        <v>489</v>
      </c>
      <c r="G748" s="827"/>
      <c r="H748" s="809" t="s">
        <v>9124</v>
      </c>
      <c r="I748" s="92">
        <v>26</v>
      </c>
      <c r="J748" s="92" t="s">
        <v>10</v>
      </c>
      <c r="K748" s="92" t="s">
        <v>722</v>
      </c>
      <c r="L748" s="810">
        <v>5</v>
      </c>
      <c r="M748" s="811" t="str">
        <f t="shared" si="56"/>
        <v>High School Graduate</v>
      </c>
      <c r="N748" s="92" t="s">
        <v>1208</v>
      </c>
      <c r="O748" s="812" t="s">
        <v>2966</v>
      </c>
      <c r="P748" s="1638"/>
      <c r="Q748" s="812" t="s">
        <v>2966</v>
      </c>
      <c r="R748" s="812" t="s">
        <v>8285</v>
      </c>
      <c r="S748" s="813">
        <v>10800</v>
      </c>
      <c r="W748" s="815">
        <v>2</v>
      </c>
      <c r="X748" s="811" t="str">
        <f t="shared" si="57"/>
        <v>within the Municipality/City</v>
      </c>
      <c r="Y748" s="816">
        <f>16*24</f>
        <v>384</v>
      </c>
      <c r="AB748" s="924">
        <f>16*24</f>
        <v>384</v>
      </c>
      <c r="AG748" s="807" t="str">
        <f t="shared" si="55"/>
        <v/>
      </c>
      <c r="AH748" s="807"/>
      <c r="AI748" s="807"/>
      <c r="AJ748" s="807"/>
      <c r="AK748" s="807"/>
      <c r="AL748" s="807"/>
      <c r="AM748" s="807"/>
      <c r="BC748" s="807"/>
      <c r="BD748" s="807"/>
      <c r="BE748" s="807"/>
      <c r="BF748" s="807"/>
      <c r="BG748" s="807"/>
      <c r="BH748" s="807"/>
      <c r="BI748" s="807"/>
      <c r="BJ748" s="807"/>
      <c r="BK748" s="807"/>
      <c r="BN748" s="807"/>
      <c r="CD748" s="807"/>
      <c r="CE748" s="807"/>
    </row>
    <row r="749" spans="1:97" ht="15">
      <c r="A749" s="49" t="s">
        <v>12353</v>
      </c>
      <c r="D749" s="935" t="s">
        <v>9123</v>
      </c>
      <c r="E749" s="1043" t="s">
        <v>489</v>
      </c>
      <c r="G749" s="827"/>
      <c r="H749" s="809" t="s">
        <v>9125</v>
      </c>
      <c r="I749" s="92">
        <v>10</v>
      </c>
      <c r="J749" s="92" t="s">
        <v>18</v>
      </c>
      <c r="K749" s="92" t="s">
        <v>768</v>
      </c>
      <c r="L749" s="810">
        <v>2</v>
      </c>
      <c r="M749" s="811" t="str">
        <f t="shared" si="56"/>
        <v>Elementary Level</v>
      </c>
      <c r="P749" s="1638"/>
      <c r="X749" s="811" t="str">
        <f t="shared" si="57"/>
        <v/>
      </c>
      <c r="AG749" s="807" t="str">
        <f t="shared" si="55"/>
        <v/>
      </c>
      <c r="AH749" s="807"/>
      <c r="AI749" s="807"/>
      <c r="AJ749" s="807"/>
      <c r="AK749" s="807"/>
      <c r="AL749" s="807"/>
      <c r="AM749" s="807"/>
      <c r="BC749" s="807"/>
      <c r="BD749" s="807"/>
      <c r="BE749" s="807"/>
      <c r="BF749" s="807"/>
      <c r="BG749" s="807"/>
      <c r="BH749" s="807"/>
      <c r="BI749" s="807"/>
      <c r="BJ749" s="807"/>
      <c r="BK749" s="807"/>
      <c r="BN749" s="807"/>
      <c r="CD749" s="807"/>
      <c r="CE749" s="807"/>
    </row>
    <row r="750" spans="1:97" ht="15">
      <c r="A750" s="49" t="s">
        <v>12353</v>
      </c>
      <c r="D750" s="935" t="s">
        <v>9123</v>
      </c>
      <c r="E750" s="1043" t="s">
        <v>489</v>
      </c>
      <c r="G750" s="827"/>
      <c r="H750" s="809" t="s">
        <v>9126</v>
      </c>
      <c r="I750" s="92">
        <v>4</v>
      </c>
      <c r="J750" s="92" t="s">
        <v>10</v>
      </c>
      <c r="K750" s="92" t="s">
        <v>768</v>
      </c>
      <c r="L750" s="810">
        <v>1</v>
      </c>
      <c r="M750" s="811" t="str">
        <f t="shared" si="56"/>
        <v>Pre-school</v>
      </c>
      <c r="P750" s="1638"/>
      <c r="X750" s="811" t="str">
        <f t="shared" si="57"/>
        <v/>
      </c>
      <c r="AG750" s="807" t="str">
        <f t="shared" si="55"/>
        <v/>
      </c>
      <c r="AH750" s="807"/>
      <c r="AI750" s="807"/>
      <c r="AJ750" s="807"/>
      <c r="AK750" s="807"/>
      <c r="AL750" s="807"/>
      <c r="AM750" s="807"/>
      <c r="BC750" s="807"/>
      <c r="BD750" s="807"/>
      <c r="BE750" s="807"/>
      <c r="BF750" s="807"/>
      <c r="BG750" s="807"/>
      <c r="BH750" s="807"/>
      <c r="BI750" s="807"/>
      <c r="BJ750" s="807"/>
      <c r="BK750" s="807"/>
      <c r="BN750" s="807"/>
      <c r="CD750" s="807"/>
      <c r="CE750" s="807"/>
    </row>
    <row r="751" spans="1:97" ht="15">
      <c r="A751" s="49" t="s">
        <v>12353</v>
      </c>
      <c r="D751" s="935" t="s">
        <v>9123</v>
      </c>
      <c r="E751" s="1043" t="s">
        <v>489</v>
      </c>
      <c r="G751" s="827"/>
      <c r="H751" s="809" t="s">
        <v>9127</v>
      </c>
      <c r="I751" s="92">
        <v>3</v>
      </c>
      <c r="J751" s="92" t="s">
        <v>18</v>
      </c>
      <c r="K751" s="92" t="s">
        <v>768</v>
      </c>
      <c r="L751" s="810">
        <v>10</v>
      </c>
      <c r="M751" s="811" t="str">
        <f t="shared" si="56"/>
        <v>Not In School Age</v>
      </c>
      <c r="P751" s="1638"/>
      <c r="X751" s="811" t="str">
        <f t="shared" si="57"/>
        <v/>
      </c>
      <c r="AG751" s="807" t="str">
        <f t="shared" si="55"/>
        <v/>
      </c>
      <c r="AH751" s="807"/>
      <c r="AI751" s="807"/>
      <c r="AJ751" s="807"/>
      <c r="AK751" s="807"/>
      <c r="AL751" s="807"/>
      <c r="AM751" s="807"/>
      <c r="BC751" s="807"/>
      <c r="BD751" s="807"/>
      <c r="BE751" s="807"/>
      <c r="BF751" s="807"/>
      <c r="BG751" s="807"/>
      <c r="BH751" s="807"/>
      <c r="BI751" s="807"/>
      <c r="BJ751" s="807"/>
      <c r="BK751" s="807"/>
      <c r="BN751" s="807"/>
      <c r="CD751" s="807"/>
      <c r="CE751" s="807"/>
    </row>
    <row r="752" spans="1:97" ht="15">
      <c r="A752" s="49" t="s">
        <v>12353</v>
      </c>
      <c r="B752" s="292" t="s">
        <v>11859</v>
      </c>
      <c r="C752" s="140" t="s">
        <v>489</v>
      </c>
      <c r="D752" s="935" t="s">
        <v>9128</v>
      </c>
      <c r="G752" s="929" t="s">
        <v>489</v>
      </c>
      <c r="H752" s="1639" t="s">
        <v>2242</v>
      </c>
      <c r="I752" s="1044">
        <v>30</v>
      </c>
      <c r="J752" s="1044" t="s">
        <v>18</v>
      </c>
      <c r="K752" s="1044" t="s">
        <v>783</v>
      </c>
      <c r="L752" s="1640">
        <v>5</v>
      </c>
      <c r="M752" s="1641" t="str">
        <f t="shared" si="56"/>
        <v>High School Graduate</v>
      </c>
      <c r="N752" s="1044"/>
      <c r="O752" s="1642"/>
      <c r="P752" s="1643"/>
      <c r="Q752" s="1642"/>
      <c r="R752" s="1044" t="s">
        <v>8234</v>
      </c>
      <c r="S752" s="1646"/>
      <c r="T752" s="1646"/>
      <c r="U752" s="1646"/>
      <c r="W752" s="926"/>
      <c r="X752" s="859" t="str">
        <f t="shared" si="57"/>
        <v/>
      </c>
      <c r="Y752" s="927"/>
      <c r="Z752" s="927"/>
      <c r="AA752" s="927"/>
      <c r="AG752" s="807" t="str">
        <f t="shared" si="55"/>
        <v/>
      </c>
      <c r="AH752" s="807"/>
      <c r="AI752" s="807"/>
      <c r="AJ752" s="807"/>
      <c r="AK752" s="807"/>
      <c r="AL752" s="807"/>
      <c r="AM752" s="807"/>
      <c r="BC752" s="807"/>
      <c r="BD752" s="807"/>
      <c r="BE752" s="807"/>
      <c r="BF752" s="807"/>
      <c r="BG752" s="807"/>
      <c r="BH752" s="807"/>
      <c r="BI752" s="807"/>
      <c r="BJ752" s="807"/>
      <c r="BK752" s="807"/>
      <c r="BN752" s="807"/>
      <c r="CD752" s="807"/>
      <c r="CE752" s="807"/>
    </row>
    <row r="753" spans="1:106" ht="15">
      <c r="A753" s="767" t="s">
        <v>7421</v>
      </c>
      <c r="B753" s="292" t="s">
        <v>7621</v>
      </c>
      <c r="C753" s="140" t="s">
        <v>492</v>
      </c>
      <c r="D753" s="935" t="s">
        <v>9129</v>
      </c>
      <c r="E753" s="1043" t="s">
        <v>492</v>
      </c>
      <c r="F753" s="1048" t="s">
        <v>2106</v>
      </c>
      <c r="G753" s="827" t="s">
        <v>492</v>
      </c>
      <c r="H753" s="809" t="s">
        <v>2106</v>
      </c>
      <c r="I753" s="92">
        <v>42</v>
      </c>
      <c r="J753" s="92" t="s">
        <v>18</v>
      </c>
      <c r="K753" s="92" t="s">
        <v>783</v>
      </c>
      <c r="L753" s="810">
        <v>4</v>
      </c>
      <c r="M753" s="811" t="str">
        <f t="shared" si="56"/>
        <v>High School Level</v>
      </c>
      <c r="N753" s="92" t="s">
        <v>1208</v>
      </c>
      <c r="O753" s="812" t="s">
        <v>9130</v>
      </c>
      <c r="P753" s="1638" t="s">
        <v>12615</v>
      </c>
      <c r="Q753" s="812" t="s">
        <v>9130</v>
      </c>
      <c r="R753" s="92" t="s">
        <v>8234</v>
      </c>
      <c r="U753" s="813">
        <v>500</v>
      </c>
      <c r="W753" s="815">
        <v>2</v>
      </c>
      <c r="X753" s="811" t="str">
        <f t="shared" si="57"/>
        <v>within the Municipality/City</v>
      </c>
      <c r="AG753" s="807" t="str">
        <f t="shared" si="55"/>
        <v/>
      </c>
      <c r="AJ753" s="865"/>
    </row>
    <row r="754" spans="1:106" ht="15">
      <c r="A754" s="1076"/>
      <c r="D754" s="935"/>
      <c r="E754" s="1043" t="s">
        <v>492</v>
      </c>
      <c r="G754" s="827"/>
      <c r="H754" s="809" t="s">
        <v>9131</v>
      </c>
      <c r="I754" s="92">
        <v>23</v>
      </c>
      <c r="J754" s="92" t="s">
        <v>18</v>
      </c>
      <c r="K754" s="92" t="s">
        <v>768</v>
      </c>
      <c r="L754" s="810">
        <v>2</v>
      </c>
      <c r="M754" s="811" t="str">
        <f t="shared" si="56"/>
        <v>Elementary Level</v>
      </c>
      <c r="P754" s="1638"/>
      <c r="X754" s="811" t="str">
        <f t="shared" si="57"/>
        <v/>
      </c>
      <c r="AG754" s="807" t="str">
        <f t="shared" si="55"/>
        <v/>
      </c>
      <c r="AJ754" s="865"/>
    </row>
    <row r="755" spans="1:106" ht="15">
      <c r="A755" s="1076"/>
      <c r="D755" s="935"/>
      <c r="E755" s="1043" t="s">
        <v>492</v>
      </c>
      <c r="G755" s="827"/>
      <c r="H755" s="809" t="s">
        <v>9132</v>
      </c>
      <c r="I755" s="92">
        <v>20</v>
      </c>
      <c r="J755" s="92" t="s">
        <v>18</v>
      </c>
      <c r="K755" s="92" t="s">
        <v>768</v>
      </c>
      <c r="L755" s="810">
        <v>2</v>
      </c>
      <c r="M755" s="811" t="str">
        <f t="shared" si="56"/>
        <v>Elementary Level</v>
      </c>
      <c r="P755" s="1638"/>
      <c r="X755" s="811" t="str">
        <f t="shared" si="57"/>
        <v/>
      </c>
      <c r="AG755" s="807" t="str">
        <f t="shared" si="55"/>
        <v/>
      </c>
      <c r="AJ755" s="865"/>
    </row>
    <row r="756" spans="1:106" ht="15">
      <c r="A756" s="1076"/>
      <c r="D756" s="935"/>
      <c r="E756" s="1043" t="s">
        <v>492</v>
      </c>
      <c r="G756" s="827"/>
      <c r="H756" s="809" t="s">
        <v>9133</v>
      </c>
      <c r="I756" s="92">
        <v>21</v>
      </c>
      <c r="J756" s="92" t="s">
        <v>10</v>
      </c>
      <c r="K756" s="92" t="s">
        <v>722</v>
      </c>
      <c r="L756" s="810">
        <v>2</v>
      </c>
      <c r="M756" s="811" t="str">
        <f t="shared" si="56"/>
        <v>Elementary Level</v>
      </c>
      <c r="P756" s="1638"/>
      <c r="X756" s="811" t="str">
        <f t="shared" si="57"/>
        <v/>
      </c>
      <c r="AG756" s="807" t="str">
        <f t="shared" si="55"/>
        <v/>
      </c>
      <c r="AJ756" s="865"/>
    </row>
    <row r="757" spans="1:106" ht="15">
      <c r="A757" s="1076"/>
      <c r="D757" s="935"/>
      <c r="E757" s="1043" t="s">
        <v>492</v>
      </c>
      <c r="G757" s="827"/>
      <c r="H757" s="809" t="s">
        <v>9134</v>
      </c>
      <c r="I757" s="92">
        <v>8</v>
      </c>
      <c r="J757" s="92" t="s">
        <v>18</v>
      </c>
      <c r="K757" s="92" t="s">
        <v>768</v>
      </c>
      <c r="L757" s="810">
        <v>2</v>
      </c>
      <c r="M757" s="811" t="str">
        <f t="shared" si="56"/>
        <v>Elementary Level</v>
      </c>
      <c r="P757" s="1638"/>
      <c r="X757" s="811" t="str">
        <f t="shared" si="57"/>
        <v/>
      </c>
      <c r="AG757" s="807" t="str">
        <f t="shared" si="55"/>
        <v/>
      </c>
      <c r="AJ757" s="865"/>
    </row>
    <row r="758" spans="1:106" ht="15">
      <c r="A758" s="1076"/>
      <c r="D758" s="935"/>
      <c r="E758" s="1043" t="s">
        <v>492</v>
      </c>
      <c r="G758" s="827"/>
      <c r="H758" s="809" t="s">
        <v>9135</v>
      </c>
      <c r="I758" s="92">
        <v>5</v>
      </c>
      <c r="J758" s="92" t="s">
        <v>10</v>
      </c>
      <c r="K758" s="92" t="s">
        <v>768</v>
      </c>
      <c r="L758" s="810">
        <v>0</v>
      </c>
      <c r="M758" s="811" t="str">
        <f t="shared" si="56"/>
        <v>No Schooling</v>
      </c>
      <c r="P758" s="1638"/>
      <c r="X758" s="811" t="str">
        <f t="shared" si="57"/>
        <v/>
      </c>
      <c r="AG758" s="807" t="str">
        <f t="shared" si="55"/>
        <v/>
      </c>
      <c r="AJ758" s="865"/>
    </row>
    <row r="759" spans="1:106" ht="15">
      <c r="A759" s="1076"/>
      <c r="D759" s="935"/>
      <c r="E759" s="1043" t="s">
        <v>492</v>
      </c>
      <c r="G759" s="827"/>
      <c r="H759" s="809" t="s">
        <v>1997</v>
      </c>
      <c r="I759" s="92">
        <v>26</v>
      </c>
      <c r="J759" s="92" t="s">
        <v>18</v>
      </c>
      <c r="K759" s="92" t="s">
        <v>722</v>
      </c>
      <c r="L759" s="810">
        <v>4</v>
      </c>
      <c r="M759" s="811" t="str">
        <f t="shared" si="56"/>
        <v>High School Level</v>
      </c>
      <c r="N759" s="92" t="s">
        <v>1208</v>
      </c>
      <c r="O759" s="812" t="s">
        <v>9136</v>
      </c>
      <c r="P759" s="1638"/>
      <c r="Q759" s="812" t="s">
        <v>9136</v>
      </c>
      <c r="S759" s="813">
        <v>10000</v>
      </c>
      <c r="W759" s="815">
        <v>1</v>
      </c>
      <c r="X759" s="811" t="str">
        <f t="shared" si="57"/>
        <v>within the Brgy</v>
      </c>
      <c r="AG759" s="807" t="str">
        <f t="shared" si="55"/>
        <v/>
      </c>
      <c r="AJ759" s="865"/>
      <c r="CS759" s="807">
        <v>1</v>
      </c>
      <c r="DB759" s="807">
        <v>1</v>
      </c>
    </row>
    <row r="760" spans="1:106" ht="15">
      <c r="A760" s="1076"/>
      <c r="D760" s="935"/>
      <c r="E760" s="1043" t="s">
        <v>492</v>
      </c>
      <c r="G760" s="827"/>
      <c r="H760" s="809" t="s">
        <v>9137</v>
      </c>
      <c r="I760" s="92">
        <v>53</v>
      </c>
      <c r="J760" s="92" t="s">
        <v>10</v>
      </c>
      <c r="K760" s="92" t="s">
        <v>722</v>
      </c>
      <c r="L760" s="810">
        <v>5</v>
      </c>
      <c r="M760" s="811" t="str">
        <f t="shared" si="56"/>
        <v>High School Graduate</v>
      </c>
      <c r="N760" s="92" t="s">
        <v>1208</v>
      </c>
      <c r="O760" s="812" t="s">
        <v>9138</v>
      </c>
      <c r="P760" s="1638"/>
      <c r="Q760" s="812" t="s">
        <v>9138</v>
      </c>
      <c r="S760" s="813">
        <v>16800</v>
      </c>
      <c r="W760" s="815">
        <v>3</v>
      </c>
      <c r="X760" s="811" t="str">
        <f t="shared" si="57"/>
        <v>within the Province</v>
      </c>
      <c r="Y760" s="816">
        <f>32*26</f>
        <v>832</v>
      </c>
      <c r="AG760" s="807" t="str">
        <f t="shared" si="55"/>
        <v/>
      </c>
      <c r="AJ760" s="865"/>
    </row>
    <row r="761" spans="1:106" ht="15">
      <c r="A761" s="1076"/>
      <c r="D761" s="935"/>
      <c r="E761" s="1043" t="s">
        <v>492</v>
      </c>
      <c r="G761" s="827"/>
      <c r="H761" s="809" t="s">
        <v>9139</v>
      </c>
      <c r="I761" s="92">
        <v>7</v>
      </c>
      <c r="J761" s="92" t="s">
        <v>18</v>
      </c>
      <c r="K761" s="92" t="s">
        <v>768</v>
      </c>
      <c r="L761" s="810">
        <v>2</v>
      </c>
      <c r="M761" s="811" t="str">
        <f t="shared" si="56"/>
        <v>Elementary Level</v>
      </c>
      <c r="P761" s="1638"/>
      <c r="X761" s="811" t="str">
        <f t="shared" si="57"/>
        <v/>
      </c>
      <c r="AG761" s="807" t="str">
        <f t="shared" si="55"/>
        <v/>
      </c>
      <c r="AJ761" s="865"/>
    </row>
    <row r="762" spans="1:106" ht="15">
      <c r="A762" s="767" t="s">
        <v>7421</v>
      </c>
      <c r="B762" s="292" t="s">
        <v>7622</v>
      </c>
      <c r="C762" s="140" t="s">
        <v>495</v>
      </c>
      <c r="D762" s="935" t="s">
        <v>9140</v>
      </c>
      <c r="E762" s="1043" t="s">
        <v>495</v>
      </c>
      <c r="F762" s="1048" t="s">
        <v>2107</v>
      </c>
      <c r="G762" s="827" t="s">
        <v>495</v>
      </c>
      <c r="H762" s="809" t="s">
        <v>2107</v>
      </c>
      <c r="I762" s="92">
        <v>32</v>
      </c>
      <c r="J762" s="92" t="s">
        <v>10</v>
      </c>
      <c r="K762" s="92" t="s">
        <v>722</v>
      </c>
      <c r="L762" s="810">
        <v>5</v>
      </c>
      <c r="M762" s="811" t="str">
        <f t="shared" si="56"/>
        <v>High School Graduate</v>
      </c>
      <c r="N762" s="92" t="s">
        <v>1208</v>
      </c>
      <c r="O762" s="812" t="s">
        <v>8682</v>
      </c>
      <c r="P762" s="1638" t="s">
        <v>12606</v>
      </c>
      <c r="Q762" s="812" t="s">
        <v>8682</v>
      </c>
      <c r="R762" s="92" t="s">
        <v>8234</v>
      </c>
      <c r="S762" s="813">
        <v>12384</v>
      </c>
      <c r="W762" s="815">
        <v>2</v>
      </c>
      <c r="X762" s="811" t="str">
        <f t="shared" si="57"/>
        <v>within the Municipality/City</v>
      </c>
      <c r="AB762" s="924">
        <v>384</v>
      </c>
      <c r="AG762" s="807" t="str">
        <f t="shared" si="55"/>
        <v/>
      </c>
      <c r="AJ762" s="865"/>
    </row>
    <row r="763" spans="1:106" ht="15">
      <c r="A763" s="767" t="s">
        <v>7421</v>
      </c>
      <c r="D763" s="935" t="s">
        <v>9140</v>
      </c>
      <c r="E763" s="1043" t="s">
        <v>495</v>
      </c>
      <c r="G763" s="827"/>
      <c r="H763" s="809" t="s">
        <v>2180</v>
      </c>
      <c r="I763" s="92">
        <v>35</v>
      </c>
      <c r="J763" s="92" t="s">
        <v>18</v>
      </c>
      <c r="K763" s="92" t="s">
        <v>722</v>
      </c>
      <c r="L763" s="810">
        <v>5</v>
      </c>
      <c r="M763" s="811" t="str">
        <f t="shared" ref="M763:M794" si="58">IF(ISBLANK(L763)=TRUE,"",LOOKUP(L763,GQ:GR))</f>
        <v>High School Graduate</v>
      </c>
      <c r="P763" s="1638"/>
      <c r="X763" s="811" t="str">
        <f t="shared" si="57"/>
        <v/>
      </c>
      <c r="AG763" s="807" t="str">
        <f t="shared" si="55"/>
        <v/>
      </c>
      <c r="AJ763" s="865"/>
    </row>
    <row r="764" spans="1:106" ht="15">
      <c r="A764" s="767" t="s">
        <v>7421</v>
      </c>
      <c r="D764" s="935" t="s">
        <v>9140</v>
      </c>
      <c r="E764" s="1043" t="s">
        <v>495</v>
      </c>
      <c r="G764" s="827"/>
      <c r="H764" s="809" t="s">
        <v>9141</v>
      </c>
      <c r="I764" s="92">
        <v>10</v>
      </c>
      <c r="J764" s="92" t="s">
        <v>18</v>
      </c>
      <c r="K764" s="92" t="s">
        <v>768</v>
      </c>
      <c r="L764" s="810">
        <v>2</v>
      </c>
      <c r="M764" s="811" t="str">
        <f t="shared" si="58"/>
        <v>Elementary Level</v>
      </c>
      <c r="P764" s="1638"/>
      <c r="X764" s="811" t="str">
        <f t="shared" si="57"/>
        <v/>
      </c>
      <c r="AG764" s="807" t="str">
        <f t="shared" si="55"/>
        <v/>
      </c>
      <c r="AJ764" s="865"/>
    </row>
    <row r="765" spans="1:106" ht="15">
      <c r="A765" s="767" t="s">
        <v>7421</v>
      </c>
      <c r="D765" s="935" t="s">
        <v>9140</v>
      </c>
      <c r="E765" s="1043" t="s">
        <v>495</v>
      </c>
      <c r="G765" s="827"/>
      <c r="H765" s="809" t="s">
        <v>9142</v>
      </c>
      <c r="I765" s="92">
        <v>9</v>
      </c>
      <c r="J765" s="92" t="s">
        <v>18</v>
      </c>
      <c r="K765" s="92" t="s">
        <v>768</v>
      </c>
      <c r="L765" s="810">
        <v>2</v>
      </c>
      <c r="M765" s="811" t="str">
        <f t="shared" si="58"/>
        <v>Elementary Level</v>
      </c>
      <c r="P765" s="1638"/>
      <c r="X765" s="811" t="str">
        <f t="shared" si="57"/>
        <v/>
      </c>
      <c r="AG765" s="807" t="str">
        <f t="shared" si="55"/>
        <v/>
      </c>
      <c r="AJ765" s="865"/>
    </row>
    <row r="766" spans="1:106" ht="15">
      <c r="A766" s="767" t="s">
        <v>7421</v>
      </c>
      <c r="D766" s="935" t="s">
        <v>9140</v>
      </c>
      <c r="E766" s="1043" t="s">
        <v>495</v>
      </c>
      <c r="G766" s="827"/>
      <c r="H766" s="809" t="s">
        <v>9143</v>
      </c>
      <c r="I766" s="92">
        <v>7</v>
      </c>
      <c r="J766" s="92" t="s">
        <v>10</v>
      </c>
      <c r="K766" s="92" t="s">
        <v>768</v>
      </c>
      <c r="L766" s="810">
        <v>2</v>
      </c>
      <c r="M766" s="811" t="str">
        <f t="shared" si="58"/>
        <v>Elementary Level</v>
      </c>
      <c r="P766" s="1638"/>
      <c r="X766" s="811" t="str">
        <f t="shared" si="57"/>
        <v/>
      </c>
      <c r="AG766" s="807" t="str">
        <f t="shared" si="55"/>
        <v/>
      </c>
      <c r="AJ766" s="865"/>
    </row>
    <row r="767" spans="1:106" ht="15">
      <c r="A767" s="767" t="s">
        <v>7421</v>
      </c>
      <c r="D767" s="935" t="s">
        <v>9140</v>
      </c>
      <c r="E767" s="1043" t="s">
        <v>495</v>
      </c>
      <c r="G767" s="827"/>
      <c r="H767" s="809" t="s">
        <v>9144</v>
      </c>
      <c r="I767" s="92">
        <v>73</v>
      </c>
      <c r="J767" s="92" t="s">
        <v>18</v>
      </c>
      <c r="K767" s="92" t="s">
        <v>719</v>
      </c>
      <c r="L767" s="810">
        <v>2</v>
      </c>
      <c r="M767" s="811" t="str">
        <f t="shared" si="58"/>
        <v>Elementary Level</v>
      </c>
      <c r="P767" s="1638"/>
      <c r="X767" s="811" t="str">
        <f t="shared" si="57"/>
        <v/>
      </c>
      <c r="AD767" s="817" t="s">
        <v>9145</v>
      </c>
      <c r="AG767" s="807" t="str">
        <f t="shared" si="55"/>
        <v/>
      </c>
      <c r="AJ767" s="865"/>
    </row>
    <row r="768" spans="1:106" ht="15">
      <c r="A768" s="767" t="s">
        <v>7421</v>
      </c>
      <c r="D768" s="935" t="s">
        <v>9140</v>
      </c>
      <c r="E768" s="1043" t="s">
        <v>495</v>
      </c>
      <c r="G768" s="827"/>
      <c r="H768" s="809" t="s">
        <v>9146</v>
      </c>
      <c r="I768" s="92">
        <v>44</v>
      </c>
      <c r="J768" s="92" t="s">
        <v>10</v>
      </c>
      <c r="K768" s="92" t="s">
        <v>768</v>
      </c>
      <c r="L768" s="810">
        <v>5</v>
      </c>
      <c r="M768" s="811" t="str">
        <f t="shared" si="58"/>
        <v>High School Graduate</v>
      </c>
      <c r="N768" s="92" t="s">
        <v>1208</v>
      </c>
      <c r="O768" s="812" t="s">
        <v>9147</v>
      </c>
      <c r="P768" s="1638"/>
      <c r="Q768" s="812" t="s">
        <v>9147</v>
      </c>
      <c r="R768" s="812" t="s">
        <v>10310</v>
      </c>
      <c r="S768" s="813">
        <v>5600</v>
      </c>
      <c r="W768" s="815">
        <v>2</v>
      </c>
      <c r="X768" s="811" t="str">
        <f t="shared" si="57"/>
        <v>within the Municipality/City</v>
      </c>
      <c r="AB768" s="924">
        <v>448</v>
      </c>
      <c r="AG768" s="807" t="str">
        <f t="shared" si="55"/>
        <v/>
      </c>
      <c r="AJ768" s="865"/>
    </row>
    <row r="769" spans="1:100" ht="15">
      <c r="A769" s="767" t="s">
        <v>7421</v>
      </c>
      <c r="D769" s="935" t="s">
        <v>9140</v>
      </c>
      <c r="G769" s="827"/>
      <c r="H769" s="809" t="s">
        <v>9149</v>
      </c>
      <c r="I769" s="92">
        <v>38</v>
      </c>
      <c r="J769" s="92" t="s">
        <v>10</v>
      </c>
      <c r="K769" s="92" t="s">
        <v>768</v>
      </c>
      <c r="L769" s="810">
        <v>4</v>
      </c>
      <c r="M769" s="811" t="str">
        <f t="shared" si="58"/>
        <v>High School Level</v>
      </c>
      <c r="N769" s="92" t="s">
        <v>1208</v>
      </c>
      <c r="O769" s="812" t="s">
        <v>2243</v>
      </c>
      <c r="P769" s="1638"/>
      <c r="Q769" s="812" t="s">
        <v>2243</v>
      </c>
      <c r="R769" s="812" t="s">
        <v>10310</v>
      </c>
      <c r="S769" s="813">
        <v>11664</v>
      </c>
      <c r="W769" s="815">
        <v>3</v>
      </c>
      <c r="X769" s="811" t="str">
        <f t="shared" si="57"/>
        <v>within the Province</v>
      </c>
      <c r="AB769" s="924">
        <v>2400</v>
      </c>
      <c r="AG769" s="807" t="str">
        <f t="shared" si="55"/>
        <v/>
      </c>
      <c r="AJ769" s="865"/>
    </row>
    <row r="770" spans="1:100" ht="15">
      <c r="A770" s="767" t="s">
        <v>7421</v>
      </c>
      <c r="B770" s="292" t="s">
        <v>7623</v>
      </c>
      <c r="C770" s="140" t="s">
        <v>498</v>
      </c>
      <c r="D770" s="935" t="s">
        <v>9148</v>
      </c>
      <c r="E770" s="1043" t="s">
        <v>498</v>
      </c>
      <c r="F770" s="1048" t="s">
        <v>2108</v>
      </c>
      <c r="G770" s="846" t="s">
        <v>498</v>
      </c>
      <c r="H770" s="809" t="s">
        <v>2108</v>
      </c>
      <c r="I770" s="92">
        <v>79</v>
      </c>
      <c r="J770" s="92" t="s">
        <v>10</v>
      </c>
      <c r="K770" s="92" t="s">
        <v>707</v>
      </c>
      <c r="L770" s="810">
        <v>3</v>
      </c>
      <c r="M770" s="811" t="str">
        <f t="shared" si="58"/>
        <v>Elementary Graduate</v>
      </c>
      <c r="N770" s="92" t="s">
        <v>1208</v>
      </c>
      <c r="O770" s="812" t="s">
        <v>2218</v>
      </c>
      <c r="P770" s="1638" t="s">
        <v>12611</v>
      </c>
      <c r="Q770" s="812" t="s">
        <v>2218</v>
      </c>
      <c r="R770" s="92" t="s">
        <v>8234</v>
      </c>
      <c r="S770" s="813">
        <v>7000</v>
      </c>
      <c r="X770" s="811" t="str">
        <f t="shared" si="57"/>
        <v/>
      </c>
      <c r="AD770" s="817" t="s">
        <v>9150</v>
      </c>
      <c r="AE770" s="93" t="s">
        <v>9151</v>
      </c>
      <c r="AF770" s="818">
        <v>2</v>
      </c>
      <c r="AG770" s="807" t="str">
        <f t="shared" si="55"/>
        <v>Assistance to walk</v>
      </c>
      <c r="AJ770" s="865"/>
    </row>
    <row r="771" spans="1:100" ht="15">
      <c r="A771" s="767" t="s">
        <v>7421</v>
      </c>
      <c r="D771" s="935" t="s">
        <v>9148</v>
      </c>
      <c r="G771" s="827"/>
      <c r="H771" s="809" t="s">
        <v>9152</v>
      </c>
      <c r="I771" s="92">
        <v>75</v>
      </c>
      <c r="J771" s="92" t="s">
        <v>18</v>
      </c>
      <c r="K771" s="92" t="s">
        <v>707</v>
      </c>
      <c r="L771" s="810">
        <v>4</v>
      </c>
      <c r="M771" s="811" t="str">
        <f t="shared" si="58"/>
        <v>High School Level</v>
      </c>
      <c r="P771" s="1638"/>
      <c r="X771" s="811" t="str">
        <f t="shared" si="57"/>
        <v/>
      </c>
      <c r="AD771" s="817" t="s">
        <v>9153</v>
      </c>
      <c r="AE771" s="93" t="s">
        <v>9154</v>
      </c>
      <c r="AF771" s="818">
        <v>2</v>
      </c>
      <c r="AG771" s="807" t="str">
        <f t="shared" si="55"/>
        <v>Assistance to walk</v>
      </c>
      <c r="AJ771" s="865"/>
    </row>
    <row r="772" spans="1:100" ht="15">
      <c r="A772" s="767" t="s">
        <v>7421</v>
      </c>
      <c r="D772" s="935" t="s">
        <v>9148</v>
      </c>
      <c r="G772" s="827"/>
      <c r="H772" s="809" t="s">
        <v>9155</v>
      </c>
      <c r="I772" s="92">
        <v>20</v>
      </c>
      <c r="J772" s="92" t="s">
        <v>18</v>
      </c>
      <c r="K772" s="92" t="s">
        <v>768</v>
      </c>
      <c r="L772" s="810">
        <v>7</v>
      </c>
      <c r="M772" s="811" t="str">
        <f t="shared" si="58"/>
        <v>College Graduate or Higher</v>
      </c>
      <c r="N772" s="92" t="s">
        <v>1208</v>
      </c>
      <c r="O772" s="812" t="s">
        <v>1985</v>
      </c>
      <c r="P772" s="1638"/>
      <c r="Q772" s="812" t="s">
        <v>1985</v>
      </c>
      <c r="R772" s="812" t="s">
        <v>10310</v>
      </c>
      <c r="S772" s="813">
        <v>12000</v>
      </c>
      <c r="W772" s="815">
        <v>3</v>
      </c>
      <c r="X772" s="811" t="str">
        <f t="shared" si="57"/>
        <v>within the Province</v>
      </c>
      <c r="AG772" s="807" t="str">
        <f t="shared" si="55"/>
        <v/>
      </c>
      <c r="AJ772" s="865"/>
    </row>
    <row r="773" spans="1:100" ht="15">
      <c r="A773" s="19" t="s">
        <v>7421</v>
      </c>
      <c r="B773" s="292" t="s">
        <v>12357</v>
      </c>
      <c r="C773" s="140" t="s">
        <v>501</v>
      </c>
      <c r="D773" s="935" t="s">
        <v>9156</v>
      </c>
      <c r="E773" s="1043" t="s">
        <v>501</v>
      </c>
      <c r="F773" s="1048" t="s">
        <v>2109</v>
      </c>
      <c r="G773" s="929" t="s">
        <v>501</v>
      </c>
      <c r="H773" s="809" t="s">
        <v>2109</v>
      </c>
      <c r="I773" s="92">
        <v>23</v>
      </c>
      <c r="J773" s="92" t="s">
        <v>10</v>
      </c>
      <c r="K773" s="92" t="s">
        <v>722</v>
      </c>
      <c r="L773" s="810">
        <v>5</v>
      </c>
      <c r="M773" s="811" t="str">
        <f t="shared" si="58"/>
        <v>High School Graduate</v>
      </c>
      <c r="N773" s="92" t="s">
        <v>1208</v>
      </c>
      <c r="P773" s="1638"/>
      <c r="R773" s="92" t="s">
        <v>1208</v>
      </c>
      <c r="S773" s="813">
        <v>12000</v>
      </c>
      <c r="V773" s="873"/>
      <c r="W773" s="815">
        <v>2</v>
      </c>
      <c r="X773" s="811" t="str">
        <f t="shared" si="57"/>
        <v>within the Municipality/City</v>
      </c>
      <c r="AB773" s="873"/>
      <c r="AG773" s="807" t="str">
        <f t="shared" si="55"/>
        <v/>
      </c>
      <c r="AJ773" s="865"/>
    </row>
    <row r="774" spans="1:100" ht="15">
      <c r="A774" s="19" t="s">
        <v>7421</v>
      </c>
      <c r="D774" s="935" t="s">
        <v>9156</v>
      </c>
      <c r="G774" s="827"/>
      <c r="H774" s="809" t="s">
        <v>2181</v>
      </c>
      <c r="I774" s="92">
        <v>23</v>
      </c>
      <c r="J774" s="92" t="s">
        <v>18</v>
      </c>
      <c r="K774" s="92" t="s">
        <v>722</v>
      </c>
      <c r="L774" s="810">
        <v>5</v>
      </c>
      <c r="M774" s="811" t="str">
        <f t="shared" si="58"/>
        <v>High School Graduate</v>
      </c>
      <c r="P774" s="1638"/>
      <c r="V774" s="873"/>
      <c r="X774" s="811" t="str">
        <f t="shared" si="57"/>
        <v/>
      </c>
      <c r="AB774" s="873"/>
      <c r="AG774" s="807" t="str">
        <f t="shared" si="55"/>
        <v/>
      </c>
      <c r="AJ774" s="865"/>
    </row>
    <row r="775" spans="1:100" ht="15">
      <c r="A775" s="19" t="s">
        <v>7421</v>
      </c>
      <c r="D775" s="935" t="s">
        <v>9156</v>
      </c>
      <c r="G775" s="827"/>
      <c r="H775" s="809" t="s">
        <v>9157</v>
      </c>
      <c r="I775" s="92">
        <v>3</v>
      </c>
      <c r="J775" s="92" t="s">
        <v>10</v>
      </c>
      <c r="K775" s="92" t="s">
        <v>768</v>
      </c>
      <c r="L775" s="810">
        <v>10</v>
      </c>
      <c r="M775" s="811" t="str">
        <f t="shared" si="58"/>
        <v>Not In School Age</v>
      </c>
      <c r="P775" s="1638"/>
      <c r="V775" s="873">
        <f>SUM(L775:U775)</f>
        <v>10</v>
      </c>
      <c r="X775" s="811" t="str">
        <f t="shared" ref="X775:X806" si="59">IF(ISBLANK(W775)=TRUE,"",LOOKUP(W775,GO:GP))</f>
        <v/>
      </c>
      <c r="AB775" s="873"/>
      <c r="AG775" s="807" t="str">
        <f t="shared" si="55"/>
        <v/>
      </c>
      <c r="AJ775" s="865"/>
    </row>
    <row r="776" spans="1:100" ht="15">
      <c r="A776" s="767" t="s">
        <v>7421</v>
      </c>
      <c r="B776" s="292" t="s">
        <v>5636</v>
      </c>
      <c r="C776" s="140" t="s">
        <v>504</v>
      </c>
      <c r="D776" s="935" t="s">
        <v>9158</v>
      </c>
      <c r="E776" s="1043" t="s">
        <v>504</v>
      </c>
      <c r="F776" s="1048" t="s">
        <v>2110</v>
      </c>
      <c r="G776" s="929" t="s">
        <v>504</v>
      </c>
      <c r="H776" s="809" t="s">
        <v>2110</v>
      </c>
      <c r="I776" s="92">
        <v>59</v>
      </c>
      <c r="J776" s="92" t="s">
        <v>18</v>
      </c>
      <c r="K776" s="92" t="s">
        <v>707</v>
      </c>
      <c r="L776" s="810">
        <v>2</v>
      </c>
      <c r="M776" s="811" t="str">
        <f t="shared" si="58"/>
        <v>Elementary Level</v>
      </c>
      <c r="P776" s="1638"/>
      <c r="R776" s="92" t="s">
        <v>1208</v>
      </c>
      <c r="X776" s="811" t="str">
        <f t="shared" si="59"/>
        <v/>
      </c>
      <c r="AB776" s="814"/>
      <c r="AD776" s="817" t="s">
        <v>9159</v>
      </c>
      <c r="AG776" s="807" t="str">
        <f t="shared" si="55"/>
        <v/>
      </c>
      <c r="AJ776" s="865"/>
    </row>
    <row r="777" spans="1:100" ht="15">
      <c r="A777" s="767" t="s">
        <v>7421</v>
      </c>
      <c r="D777" s="935" t="s">
        <v>9158</v>
      </c>
      <c r="E777" s="1043" t="s">
        <v>504</v>
      </c>
      <c r="G777" s="827"/>
      <c r="H777" s="809" t="s">
        <v>9160</v>
      </c>
      <c r="I777" s="92">
        <v>55</v>
      </c>
      <c r="J777" s="92" t="s">
        <v>10</v>
      </c>
      <c r="K777" s="92" t="s">
        <v>707</v>
      </c>
      <c r="L777" s="810">
        <v>4</v>
      </c>
      <c r="M777" s="811" t="str">
        <f t="shared" si="58"/>
        <v>High School Level</v>
      </c>
      <c r="N777" s="92" t="s">
        <v>1208</v>
      </c>
      <c r="O777" s="812" t="s">
        <v>2244</v>
      </c>
      <c r="P777" s="1638"/>
      <c r="Q777" s="812" t="s">
        <v>2244</v>
      </c>
      <c r="R777" s="92" t="s">
        <v>8285</v>
      </c>
      <c r="S777" s="813">
        <v>3000</v>
      </c>
      <c r="W777" s="926"/>
      <c r="X777" s="811" t="str">
        <f t="shared" si="59"/>
        <v/>
      </c>
      <c r="Y777" s="816">
        <v>216</v>
      </c>
      <c r="AB777" s="814"/>
      <c r="AG777" s="807" t="str">
        <f t="shared" si="55"/>
        <v/>
      </c>
      <c r="AJ777" s="865"/>
    </row>
    <row r="778" spans="1:100" ht="15">
      <c r="A778" s="767" t="s">
        <v>7421</v>
      </c>
      <c r="D778" s="935" t="s">
        <v>9158</v>
      </c>
      <c r="E778" s="1043" t="s">
        <v>504</v>
      </c>
      <c r="G778" s="827"/>
      <c r="H778" s="809" t="s">
        <v>9161</v>
      </c>
      <c r="I778" s="92">
        <v>85</v>
      </c>
      <c r="J778" s="92" t="s">
        <v>18</v>
      </c>
      <c r="K778" s="92" t="s">
        <v>719</v>
      </c>
      <c r="L778" s="810">
        <v>0</v>
      </c>
      <c r="M778" s="811" t="str">
        <f t="shared" si="58"/>
        <v>No Schooling</v>
      </c>
      <c r="P778" s="1638"/>
      <c r="V778" s="814">
        <f>SUM(S776:U778)</f>
        <v>3000</v>
      </c>
      <c r="X778" s="811" t="str">
        <f t="shared" si="59"/>
        <v/>
      </c>
      <c r="AB778" s="814">
        <f>SUM(Y776:AA778)</f>
        <v>216</v>
      </c>
      <c r="AG778" s="807" t="str">
        <f t="shared" si="55"/>
        <v/>
      </c>
      <c r="AJ778" s="865"/>
    </row>
    <row r="779" spans="1:100" ht="15">
      <c r="A779" s="767" t="s">
        <v>7421</v>
      </c>
      <c r="B779" s="292" t="s">
        <v>7624</v>
      </c>
      <c r="C779" s="140" t="s">
        <v>507</v>
      </c>
      <c r="D779" s="935" t="s">
        <v>9162</v>
      </c>
      <c r="E779" s="1043" t="s">
        <v>507</v>
      </c>
      <c r="F779" s="1048" t="s">
        <v>2111</v>
      </c>
      <c r="G779" s="846" t="s">
        <v>507</v>
      </c>
      <c r="H779" s="809" t="s">
        <v>9163</v>
      </c>
      <c r="I779" s="92">
        <v>68</v>
      </c>
      <c r="J779" s="92" t="s">
        <v>10</v>
      </c>
      <c r="K779" s="92" t="s">
        <v>722</v>
      </c>
      <c r="L779" s="810">
        <v>4</v>
      </c>
      <c r="M779" s="811" t="str">
        <f t="shared" si="58"/>
        <v>High School Level</v>
      </c>
      <c r="N779" s="92" t="s">
        <v>1208</v>
      </c>
      <c r="O779" s="812" t="s">
        <v>8632</v>
      </c>
      <c r="P779" s="1638" t="s">
        <v>12597</v>
      </c>
      <c r="Q779" s="812" t="s">
        <v>8632</v>
      </c>
      <c r="R779" s="92" t="s">
        <v>8234</v>
      </c>
      <c r="S779" s="813">
        <v>7200</v>
      </c>
      <c r="V779" s="873"/>
      <c r="W779" s="815">
        <v>1</v>
      </c>
      <c r="X779" s="811" t="str">
        <f t="shared" si="59"/>
        <v>within the Brgy</v>
      </c>
      <c r="Y779" s="816">
        <v>960</v>
      </c>
      <c r="AB779" s="873"/>
      <c r="AC779" s="807" t="s">
        <v>9164</v>
      </c>
      <c r="AD779" s="817" t="s">
        <v>9165</v>
      </c>
      <c r="AE779" s="937" t="s">
        <v>9166</v>
      </c>
      <c r="AF779" s="938">
        <v>3</v>
      </c>
      <c r="AG779" s="807" t="str">
        <f t="shared" si="55"/>
        <v>Special Medical Care</v>
      </c>
      <c r="AJ779" s="865"/>
      <c r="AQ779" s="807">
        <v>1</v>
      </c>
      <c r="AR779" s="807">
        <v>2</v>
      </c>
      <c r="AW779" s="807">
        <v>3</v>
      </c>
      <c r="BX779" s="807">
        <v>1</v>
      </c>
      <c r="CV779" s="807">
        <v>2</v>
      </c>
    </row>
    <row r="780" spans="1:100" ht="15">
      <c r="A780" s="49" t="s">
        <v>12355</v>
      </c>
      <c r="B780" s="292"/>
      <c r="C780" s="140" t="s">
        <v>507</v>
      </c>
      <c r="D780" s="935" t="s">
        <v>9162</v>
      </c>
      <c r="E780" s="1043" t="s">
        <v>507</v>
      </c>
      <c r="G780" s="827"/>
      <c r="H780" s="809" t="s">
        <v>9167</v>
      </c>
      <c r="I780" s="92">
        <v>57</v>
      </c>
      <c r="J780" s="92" t="s">
        <v>18</v>
      </c>
      <c r="K780" s="92" t="s">
        <v>722</v>
      </c>
      <c r="L780" s="810">
        <v>4</v>
      </c>
      <c r="M780" s="811" t="str">
        <f t="shared" si="58"/>
        <v>High School Level</v>
      </c>
      <c r="P780" s="1638"/>
      <c r="R780" s="812" t="s">
        <v>1208</v>
      </c>
      <c r="V780" s="873"/>
      <c r="X780" s="811" t="str">
        <f t="shared" si="59"/>
        <v/>
      </c>
      <c r="AB780" s="873"/>
      <c r="AG780" s="807" t="str">
        <f t="shared" si="55"/>
        <v/>
      </c>
      <c r="AH780" s="807"/>
      <c r="AI780" s="807"/>
      <c r="AJ780" s="807"/>
      <c r="AK780" s="807"/>
      <c r="AL780" s="807"/>
      <c r="AM780" s="807"/>
      <c r="BC780" s="807"/>
      <c r="BD780" s="807"/>
      <c r="BE780" s="807"/>
      <c r="BF780" s="807"/>
      <c r="BG780" s="807"/>
      <c r="BH780" s="807"/>
      <c r="BI780" s="807"/>
      <c r="BJ780" s="807"/>
      <c r="BK780" s="807"/>
      <c r="BN780" s="807"/>
      <c r="CD780" s="807"/>
      <c r="CE780" s="807"/>
    </row>
    <row r="781" spans="1:100" ht="15">
      <c r="A781" s="49" t="s">
        <v>12355</v>
      </c>
      <c r="D781" s="935" t="s">
        <v>9162</v>
      </c>
      <c r="E781" s="1043" t="s">
        <v>507</v>
      </c>
      <c r="G781" s="827"/>
      <c r="H781" s="809" t="s">
        <v>9168</v>
      </c>
      <c r="I781" s="92">
        <v>16</v>
      </c>
      <c r="J781" s="92" t="s">
        <v>18</v>
      </c>
      <c r="K781" s="92" t="s">
        <v>768</v>
      </c>
      <c r="L781" s="810">
        <v>4</v>
      </c>
      <c r="M781" s="811" t="str">
        <f t="shared" si="58"/>
        <v>High School Level</v>
      </c>
      <c r="N781" s="92" t="s">
        <v>1208</v>
      </c>
      <c r="O781" s="812" t="s">
        <v>9169</v>
      </c>
      <c r="P781" s="1638"/>
      <c r="Q781" s="812" t="s">
        <v>9169</v>
      </c>
      <c r="R781" s="812" t="s">
        <v>8285</v>
      </c>
      <c r="S781" s="813" t="s">
        <v>9170</v>
      </c>
      <c r="V781" s="873"/>
      <c r="W781" s="815">
        <v>2</v>
      </c>
      <c r="X781" s="811" t="str">
        <f t="shared" si="59"/>
        <v>within the Municipality/City</v>
      </c>
      <c r="AB781" s="873"/>
      <c r="AG781" s="807" t="str">
        <f t="shared" si="55"/>
        <v/>
      </c>
      <c r="AH781" s="807"/>
      <c r="AI781" s="807"/>
      <c r="AJ781" s="807"/>
      <c r="AK781" s="807"/>
      <c r="AL781" s="807"/>
      <c r="AM781" s="807"/>
      <c r="BC781" s="807"/>
      <c r="BD781" s="807"/>
      <c r="BE781" s="807"/>
      <c r="BF781" s="807"/>
      <c r="BG781" s="807"/>
      <c r="BH781" s="807"/>
      <c r="BI781" s="807"/>
      <c r="BJ781" s="807"/>
      <c r="BK781" s="807"/>
      <c r="BN781" s="807"/>
      <c r="CD781" s="807"/>
      <c r="CE781" s="807"/>
    </row>
    <row r="782" spans="1:100" ht="15">
      <c r="A782" s="49" t="s">
        <v>12355</v>
      </c>
      <c r="D782" s="935" t="s">
        <v>9162</v>
      </c>
      <c r="E782" s="1043" t="s">
        <v>507</v>
      </c>
      <c r="G782" s="827"/>
      <c r="H782" s="809" t="s">
        <v>9171</v>
      </c>
      <c r="I782" s="92">
        <v>15</v>
      </c>
      <c r="J782" s="92" t="s">
        <v>10</v>
      </c>
      <c r="K782" s="92" t="s">
        <v>768</v>
      </c>
      <c r="L782" s="810">
        <v>0</v>
      </c>
      <c r="M782" s="811" t="str">
        <f t="shared" si="58"/>
        <v>No Schooling</v>
      </c>
      <c r="P782" s="1638"/>
      <c r="V782" s="873"/>
      <c r="X782" s="811" t="str">
        <f t="shared" si="59"/>
        <v/>
      </c>
      <c r="AB782" s="873"/>
      <c r="AG782" s="807" t="str">
        <f t="shared" ref="AG782:AG845" si="60">IF(ISBLANK(AF782)=TRUE,"",LOOKUP(AF782,GS:GT))</f>
        <v/>
      </c>
      <c r="AH782" s="807"/>
      <c r="AI782" s="807"/>
      <c r="AJ782" s="807"/>
      <c r="AK782" s="807"/>
      <c r="AL782" s="807"/>
      <c r="AM782" s="807"/>
      <c r="BC782" s="807"/>
      <c r="BD782" s="807"/>
      <c r="BE782" s="807"/>
      <c r="BF782" s="807"/>
      <c r="BG782" s="807"/>
      <c r="BH782" s="807"/>
      <c r="BI782" s="807"/>
      <c r="BJ782" s="807"/>
      <c r="BK782" s="807"/>
      <c r="BN782" s="807"/>
      <c r="CD782" s="807"/>
      <c r="CE782" s="807"/>
    </row>
    <row r="783" spans="1:100" ht="15">
      <c r="A783" s="49" t="s">
        <v>12355</v>
      </c>
      <c r="D783" s="935" t="s">
        <v>9162</v>
      </c>
      <c r="E783" s="1043" t="s">
        <v>507</v>
      </c>
      <c r="G783" s="827"/>
      <c r="H783" s="809" t="s">
        <v>9172</v>
      </c>
      <c r="I783" s="92">
        <v>12</v>
      </c>
      <c r="J783" s="92" t="s">
        <v>18</v>
      </c>
      <c r="K783" s="92" t="s">
        <v>768</v>
      </c>
      <c r="L783" s="810">
        <v>4</v>
      </c>
      <c r="M783" s="811" t="str">
        <f t="shared" si="58"/>
        <v>High School Level</v>
      </c>
      <c r="P783" s="1638"/>
      <c r="V783" s="873"/>
      <c r="X783" s="811" t="str">
        <f t="shared" si="59"/>
        <v/>
      </c>
      <c r="AB783" s="873"/>
      <c r="AG783" s="807" t="str">
        <f t="shared" si="60"/>
        <v/>
      </c>
      <c r="AH783" s="807"/>
      <c r="AI783" s="807"/>
      <c r="AJ783" s="807"/>
      <c r="AK783" s="807"/>
      <c r="AL783" s="807"/>
      <c r="AM783" s="807"/>
      <c r="BC783" s="807"/>
      <c r="BD783" s="807"/>
      <c r="BE783" s="807"/>
      <c r="BF783" s="807"/>
      <c r="BG783" s="807"/>
      <c r="BH783" s="807"/>
      <c r="BI783" s="807"/>
      <c r="BJ783" s="807"/>
      <c r="BK783" s="807"/>
      <c r="BN783" s="807"/>
      <c r="CD783" s="807"/>
      <c r="CE783" s="807"/>
    </row>
    <row r="784" spans="1:100" ht="15">
      <c r="A784" s="49" t="s">
        <v>12355</v>
      </c>
      <c r="D784" s="935" t="s">
        <v>9162</v>
      </c>
      <c r="E784" s="1043" t="s">
        <v>507</v>
      </c>
      <c r="G784" s="827"/>
      <c r="H784" s="809" t="s">
        <v>9173</v>
      </c>
      <c r="I784" s="92">
        <v>11</v>
      </c>
      <c r="J784" s="92" t="s">
        <v>10</v>
      </c>
      <c r="K784" s="92" t="s">
        <v>768</v>
      </c>
      <c r="L784" s="810">
        <v>3</v>
      </c>
      <c r="M784" s="811" t="str">
        <f t="shared" si="58"/>
        <v>Elementary Graduate</v>
      </c>
      <c r="P784" s="1638"/>
      <c r="V784" s="873"/>
      <c r="X784" s="811" t="str">
        <f t="shared" si="59"/>
        <v/>
      </c>
      <c r="AB784" s="873"/>
      <c r="AG784" s="807" t="str">
        <f t="shared" si="60"/>
        <v/>
      </c>
      <c r="AH784" s="807"/>
      <c r="AI784" s="807"/>
      <c r="AJ784" s="807"/>
      <c r="AK784" s="807"/>
      <c r="AL784" s="807"/>
      <c r="AM784" s="807"/>
      <c r="BC784" s="807"/>
      <c r="BD784" s="807"/>
      <c r="BE784" s="807"/>
      <c r="BF784" s="807"/>
      <c r="BG784" s="807"/>
      <c r="BH784" s="807"/>
      <c r="BI784" s="807"/>
      <c r="BJ784" s="807"/>
      <c r="BK784" s="807"/>
      <c r="BN784" s="807"/>
      <c r="CD784" s="807"/>
      <c r="CE784" s="807"/>
    </row>
    <row r="785" spans="1:83" ht="15">
      <c r="A785" s="49" t="s">
        <v>12355</v>
      </c>
      <c r="D785" s="935" t="s">
        <v>9162</v>
      </c>
      <c r="E785" s="1043" t="s">
        <v>507</v>
      </c>
      <c r="G785" s="827"/>
      <c r="H785" s="809" t="s">
        <v>9174</v>
      </c>
      <c r="I785" s="92">
        <v>10</v>
      </c>
      <c r="J785" s="92" t="s">
        <v>18</v>
      </c>
      <c r="K785" s="92" t="s">
        <v>768</v>
      </c>
      <c r="L785" s="810">
        <v>0</v>
      </c>
      <c r="M785" s="811" t="str">
        <f t="shared" si="58"/>
        <v>No Schooling</v>
      </c>
      <c r="P785" s="1638"/>
      <c r="V785" s="873"/>
      <c r="X785" s="811" t="str">
        <f t="shared" si="59"/>
        <v/>
      </c>
      <c r="AB785" s="873"/>
      <c r="AG785" s="807" t="str">
        <f t="shared" si="60"/>
        <v/>
      </c>
      <c r="AH785" s="807"/>
      <c r="AI785" s="807"/>
      <c r="AJ785" s="807"/>
      <c r="AK785" s="807"/>
      <c r="AL785" s="807"/>
      <c r="AM785" s="807"/>
      <c r="BC785" s="807"/>
      <c r="BD785" s="807"/>
      <c r="BE785" s="807"/>
      <c r="BF785" s="807"/>
      <c r="BG785" s="807"/>
      <c r="BH785" s="807"/>
      <c r="BI785" s="807"/>
      <c r="BJ785" s="807"/>
      <c r="BK785" s="807"/>
      <c r="BN785" s="807"/>
      <c r="CD785" s="807"/>
      <c r="CE785" s="807"/>
    </row>
    <row r="786" spans="1:83" ht="15">
      <c r="A786" s="49" t="s">
        <v>12355</v>
      </c>
      <c r="D786" s="935" t="s">
        <v>9162</v>
      </c>
      <c r="E786" s="1043" t="s">
        <v>507</v>
      </c>
      <c r="G786" s="827"/>
      <c r="H786" s="809" t="s">
        <v>9175</v>
      </c>
      <c r="I786" s="92">
        <v>10</v>
      </c>
      <c r="J786" s="92" t="s">
        <v>18</v>
      </c>
      <c r="K786" s="92" t="s">
        <v>768</v>
      </c>
      <c r="L786" s="810">
        <v>0</v>
      </c>
      <c r="M786" s="811" t="str">
        <f t="shared" si="58"/>
        <v>No Schooling</v>
      </c>
      <c r="P786" s="1638"/>
      <c r="V786" s="873"/>
      <c r="X786" s="811" t="str">
        <f t="shared" si="59"/>
        <v/>
      </c>
      <c r="AB786" s="873"/>
      <c r="AG786" s="807" t="str">
        <f t="shared" si="60"/>
        <v/>
      </c>
      <c r="AH786" s="807"/>
      <c r="AI786" s="807"/>
      <c r="AJ786" s="807"/>
      <c r="AK786" s="807"/>
      <c r="AL786" s="807"/>
      <c r="AM786" s="807"/>
      <c r="BC786" s="807"/>
      <c r="BD786" s="807"/>
      <c r="BE786" s="807"/>
      <c r="BF786" s="807"/>
      <c r="BG786" s="807"/>
      <c r="BH786" s="807"/>
      <c r="BI786" s="807"/>
      <c r="BJ786" s="807"/>
      <c r="BK786" s="807"/>
      <c r="BN786" s="807"/>
      <c r="CD786" s="807"/>
      <c r="CE786" s="807"/>
    </row>
    <row r="787" spans="1:83" ht="15">
      <c r="A787" s="49" t="s">
        <v>12355</v>
      </c>
      <c r="D787" s="935" t="s">
        <v>9162</v>
      </c>
      <c r="E787" s="1043" t="s">
        <v>507</v>
      </c>
      <c r="G787" s="827"/>
      <c r="H787" s="809" t="s">
        <v>9176</v>
      </c>
      <c r="I787" s="92">
        <v>7</v>
      </c>
      <c r="J787" s="92" t="s">
        <v>10</v>
      </c>
      <c r="K787" s="92" t="s">
        <v>768</v>
      </c>
      <c r="L787" s="810">
        <v>0</v>
      </c>
      <c r="M787" s="811" t="str">
        <f t="shared" si="58"/>
        <v>No Schooling</v>
      </c>
      <c r="P787" s="1638"/>
      <c r="V787" s="873">
        <f>SUM(S779:U787)</f>
        <v>7200</v>
      </c>
      <c r="X787" s="811" t="str">
        <f t="shared" si="59"/>
        <v/>
      </c>
      <c r="AB787" s="873">
        <f>SUM(Y779:AA787)</f>
        <v>960</v>
      </c>
      <c r="AG787" s="807" t="str">
        <f t="shared" si="60"/>
        <v/>
      </c>
      <c r="AH787" s="807"/>
      <c r="AI787" s="807"/>
      <c r="AJ787" s="807"/>
      <c r="AK787" s="807"/>
      <c r="AL787" s="807"/>
      <c r="AM787" s="807"/>
      <c r="BC787" s="807"/>
      <c r="BD787" s="807"/>
      <c r="BE787" s="807"/>
      <c r="BF787" s="807"/>
      <c r="BG787" s="807"/>
      <c r="BH787" s="807"/>
      <c r="BI787" s="807"/>
      <c r="BJ787" s="807"/>
      <c r="BK787" s="807"/>
      <c r="BN787" s="807"/>
      <c r="CD787" s="807"/>
      <c r="CE787" s="807"/>
    </row>
    <row r="788" spans="1:83" ht="15">
      <c r="A788" s="154" t="s">
        <v>7419</v>
      </c>
      <c r="B788" s="292" t="s">
        <v>7979</v>
      </c>
      <c r="C788" s="140" t="s">
        <v>516</v>
      </c>
      <c r="D788" s="935" t="s">
        <v>9177</v>
      </c>
      <c r="G788" s="809" t="s">
        <v>516</v>
      </c>
      <c r="H788" s="809" t="s">
        <v>1372</v>
      </c>
      <c r="I788" s="92">
        <v>58</v>
      </c>
      <c r="J788" s="92" t="s">
        <v>10</v>
      </c>
      <c r="K788" s="92" t="s">
        <v>707</v>
      </c>
      <c r="L788" s="810">
        <v>5</v>
      </c>
      <c r="M788" s="811" t="str">
        <f t="shared" si="58"/>
        <v>High School Graduate</v>
      </c>
      <c r="N788" s="92" t="s">
        <v>1208</v>
      </c>
      <c r="O788" s="812" t="s">
        <v>2215</v>
      </c>
      <c r="P788" s="1638" t="s">
        <v>12606</v>
      </c>
      <c r="Q788" s="812" t="s">
        <v>2215</v>
      </c>
      <c r="R788" s="92" t="s">
        <v>8234</v>
      </c>
      <c r="S788" s="813">
        <v>3600</v>
      </c>
      <c r="W788" s="815">
        <v>1</v>
      </c>
      <c r="X788" s="811" t="str">
        <f t="shared" si="59"/>
        <v>within the Brgy</v>
      </c>
      <c r="AB788" s="814"/>
      <c r="AC788" s="807" t="s">
        <v>2228</v>
      </c>
      <c r="AG788" s="807" t="str">
        <f t="shared" si="60"/>
        <v/>
      </c>
      <c r="AH788" s="807"/>
      <c r="AI788" s="807"/>
      <c r="AJ788" s="807"/>
      <c r="AK788" s="807"/>
      <c r="AL788" s="807"/>
      <c r="AM788" s="807"/>
      <c r="BC788" s="807"/>
      <c r="BD788" s="807"/>
      <c r="BE788" s="807"/>
      <c r="BF788" s="807"/>
      <c r="BG788" s="807"/>
      <c r="BH788" s="807"/>
      <c r="BI788" s="807"/>
      <c r="BJ788" s="807"/>
      <c r="BK788" s="807"/>
      <c r="BN788" s="807"/>
      <c r="CD788" s="807"/>
      <c r="CE788" s="807"/>
    </row>
    <row r="789" spans="1:83" ht="15">
      <c r="A789" s="154" t="s">
        <v>7419</v>
      </c>
      <c r="D789" s="935" t="s">
        <v>9177</v>
      </c>
      <c r="G789" s="827"/>
      <c r="H789" s="809" t="s">
        <v>9178</v>
      </c>
      <c r="I789" s="92">
        <v>56</v>
      </c>
      <c r="J789" s="92" t="s">
        <v>18</v>
      </c>
      <c r="K789" s="92" t="s">
        <v>707</v>
      </c>
      <c r="L789" s="810">
        <v>5</v>
      </c>
      <c r="M789" s="811" t="str">
        <f t="shared" si="58"/>
        <v>High School Graduate</v>
      </c>
      <c r="P789" s="1638"/>
      <c r="X789" s="811" t="str">
        <f t="shared" si="59"/>
        <v/>
      </c>
      <c r="AB789" s="814"/>
      <c r="AG789" s="807" t="str">
        <f t="shared" si="60"/>
        <v/>
      </c>
      <c r="AH789" s="807"/>
      <c r="AI789" s="807"/>
      <c r="AJ789" s="807"/>
      <c r="AK789" s="807"/>
      <c r="AL789" s="807"/>
      <c r="AM789" s="807"/>
      <c r="BC789" s="807"/>
      <c r="BD789" s="807"/>
      <c r="BE789" s="807"/>
      <c r="BF789" s="807"/>
      <c r="BG789" s="807"/>
      <c r="BH789" s="807"/>
      <c r="BI789" s="807"/>
      <c r="BJ789" s="807"/>
      <c r="BK789" s="807"/>
      <c r="BN789" s="807"/>
      <c r="CD789" s="807"/>
      <c r="CE789" s="807"/>
    </row>
    <row r="790" spans="1:83" ht="15">
      <c r="A790" s="154" t="s">
        <v>7419</v>
      </c>
      <c r="D790" s="935" t="s">
        <v>9177</v>
      </c>
      <c r="G790" s="827"/>
      <c r="H790" s="809" t="s">
        <v>9179</v>
      </c>
      <c r="I790" s="92">
        <v>25</v>
      </c>
      <c r="J790" s="92" t="s">
        <v>18</v>
      </c>
      <c r="K790" s="92" t="s">
        <v>707</v>
      </c>
      <c r="L790" s="810">
        <v>7</v>
      </c>
      <c r="M790" s="811" t="str">
        <f t="shared" si="58"/>
        <v>College Graduate or Higher</v>
      </c>
      <c r="P790" s="1638"/>
      <c r="X790" s="811" t="str">
        <f t="shared" si="59"/>
        <v/>
      </c>
      <c r="AB790" s="814"/>
      <c r="AG790" s="807" t="str">
        <f t="shared" si="60"/>
        <v/>
      </c>
      <c r="AH790" s="807"/>
      <c r="AI790" s="807"/>
      <c r="AJ790" s="807"/>
      <c r="AK790" s="807"/>
      <c r="AL790" s="807"/>
      <c r="AM790" s="807"/>
      <c r="BC790" s="807"/>
      <c r="BD790" s="807"/>
      <c r="BE790" s="807"/>
      <c r="BF790" s="807"/>
      <c r="BG790" s="807"/>
      <c r="BH790" s="807"/>
      <c r="BI790" s="807"/>
      <c r="BJ790" s="807"/>
      <c r="BK790" s="807"/>
      <c r="BN790" s="807"/>
      <c r="CD790" s="807"/>
      <c r="CE790" s="807"/>
    </row>
    <row r="791" spans="1:83" ht="15">
      <c r="A791" s="154" t="s">
        <v>7419</v>
      </c>
      <c r="D791" s="935" t="s">
        <v>9177</v>
      </c>
      <c r="G791" s="827"/>
      <c r="H791" s="809" t="s">
        <v>9180</v>
      </c>
      <c r="I791" s="92">
        <v>25</v>
      </c>
      <c r="J791" s="92" t="s">
        <v>10</v>
      </c>
      <c r="K791" s="92" t="s">
        <v>707</v>
      </c>
      <c r="L791" s="810">
        <v>7</v>
      </c>
      <c r="M791" s="811" t="str">
        <f t="shared" si="58"/>
        <v>College Graduate or Higher</v>
      </c>
      <c r="N791" s="92" t="s">
        <v>1208</v>
      </c>
      <c r="O791" s="812" t="s">
        <v>2212</v>
      </c>
      <c r="P791" s="1638"/>
      <c r="Q791" s="812" t="s">
        <v>2212</v>
      </c>
      <c r="S791" s="813">
        <f>500*50</f>
        <v>25000</v>
      </c>
      <c r="W791" s="815">
        <v>5</v>
      </c>
      <c r="X791" s="811" t="str">
        <f t="shared" si="59"/>
        <v>Overseas Worker</v>
      </c>
      <c r="AB791" s="814"/>
      <c r="AC791" s="807" t="s">
        <v>9181</v>
      </c>
      <c r="AG791" s="807" t="str">
        <f t="shared" si="60"/>
        <v/>
      </c>
      <c r="AH791" s="807"/>
      <c r="AI791" s="807"/>
      <c r="AJ791" s="807"/>
      <c r="AK791" s="807"/>
      <c r="AL791" s="807"/>
      <c r="AM791" s="807"/>
      <c r="BC791" s="807"/>
      <c r="BD791" s="807"/>
      <c r="BE791" s="807"/>
      <c r="BF791" s="807"/>
      <c r="BG791" s="807"/>
      <c r="BH791" s="807"/>
      <c r="BI791" s="807"/>
      <c r="BJ791" s="807"/>
      <c r="BK791" s="807"/>
      <c r="BN791" s="807"/>
      <c r="CD791" s="807"/>
      <c r="CE791" s="807"/>
    </row>
    <row r="792" spans="1:83" ht="15">
      <c r="A792" s="154" t="s">
        <v>7419</v>
      </c>
      <c r="D792" s="935" t="s">
        <v>9177</v>
      </c>
      <c r="G792" s="827"/>
      <c r="H792" s="809" t="s">
        <v>9182</v>
      </c>
      <c r="I792" s="92">
        <v>37</v>
      </c>
      <c r="J792" s="92" t="s">
        <v>10</v>
      </c>
      <c r="K792" s="92" t="s">
        <v>768</v>
      </c>
      <c r="L792" s="810">
        <v>7</v>
      </c>
      <c r="M792" s="811" t="str">
        <f t="shared" si="58"/>
        <v>College Graduate or Higher</v>
      </c>
      <c r="N792" s="92" t="s">
        <v>1208</v>
      </c>
      <c r="O792" s="812" t="s">
        <v>2212</v>
      </c>
      <c r="P792" s="1638"/>
      <c r="Q792" s="812" t="s">
        <v>2212</v>
      </c>
      <c r="S792" s="813">
        <f>500*50</f>
        <v>25000</v>
      </c>
      <c r="V792" s="814">
        <f>SUM(S788:U792)</f>
        <v>53600</v>
      </c>
      <c r="W792" s="815">
        <v>5</v>
      </c>
      <c r="X792" s="811" t="str">
        <f t="shared" si="59"/>
        <v>Overseas Worker</v>
      </c>
      <c r="AB792" s="814">
        <f>SUM(Y788:AA792)</f>
        <v>0</v>
      </c>
      <c r="AG792" s="807" t="str">
        <f t="shared" si="60"/>
        <v/>
      </c>
      <c r="AH792" s="807"/>
      <c r="AI792" s="807"/>
      <c r="AJ792" s="807"/>
      <c r="AK792" s="807"/>
      <c r="AL792" s="807"/>
      <c r="AM792" s="807"/>
      <c r="BC792" s="807"/>
      <c r="BD792" s="807"/>
      <c r="BE792" s="807"/>
      <c r="BF792" s="807"/>
      <c r="BG792" s="807"/>
      <c r="BH792" s="807"/>
      <c r="BI792" s="807"/>
      <c r="BJ792" s="807"/>
      <c r="BK792" s="807"/>
      <c r="BN792" s="807"/>
      <c r="CD792" s="807"/>
      <c r="CE792" s="807"/>
    </row>
    <row r="793" spans="1:83" ht="15">
      <c r="A793" s="154" t="s">
        <v>7419</v>
      </c>
      <c r="B793" s="292" t="s">
        <v>7978</v>
      </c>
      <c r="C793" s="140" t="s">
        <v>524</v>
      </c>
      <c r="D793" s="935" t="s">
        <v>9183</v>
      </c>
      <c r="E793" s="1043" t="s">
        <v>524</v>
      </c>
      <c r="F793" s="1048" t="s">
        <v>2112</v>
      </c>
      <c r="G793" s="846" t="s">
        <v>524</v>
      </c>
      <c r="H793" s="809" t="s">
        <v>9184</v>
      </c>
      <c r="I793" s="92">
        <v>48</v>
      </c>
      <c r="J793" s="92" t="s">
        <v>10</v>
      </c>
      <c r="K793" s="92" t="s">
        <v>707</v>
      </c>
      <c r="L793" s="810">
        <v>9</v>
      </c>
      <c r="M793" s="811" t="str">
        <f t="shared" si="58"/>
        <v>Vocational Graduate</v>
      </c>
      <c r="N793" s="92" t="s">
        <v>1208</v>
      </c>
      <c r="O793" s="812" t="s">
        <v>9185</v>
      </c>
      <c r="P793" s="1638" t="s">
        <v>12606</v>
      </c>
      <c r="Q793" s="812" t="s">
        <v>9185</v>
      </c>
      <c r="R793" s="92" t="s">
        <v>8234</v>
      </c>
      <c r="S793" s="813">
        <v>15000</v>
      </c>
      <c r="V793" s="873"/>
      <c r="W793" s="815">
        <v>1</v>
      </c>
      <c r="X793" s="811" t="str">
        <f t="shared" si="59"/>
        <v>within the Brgy</v>
      </c>
      <c r="Y793" s="816">
        <v>500</v>
      </c>
      <c r="AB793" s="873"/>
      <c r="AC793" s="807" t="s">
        <v>8171</v>
      </c>
      <c r="AD793" s="817" t="s">
        <v>9186</v>
      </c>
      <c r="AG793" s="807" t="str">
        <f t="shared" si="60"/>
        <v/>
      </c>
      <c r="AH793" s="807"/>
      <c r="AI793" s="807"/>
      <c r="AJ793" s="807"/>
      <c r="AK793" s="807"/>
      <c r="AL793" s="807"/>
      <c r="AM793" s="807"/>
      <c r="BC793" s="807"/>
      <c r="BD793" s="807"/>
      <c r="BE793" s="807"/>
      <c r="BF793" s="807"/>
      <c r="BG793" s="807"/>
      <c r="BH793" s="807"/>
      <c r="BI793" s="807"/>
      <c r="BJ793" s="807"/>
      <c r="BK793" s="807"/>
      <c r="BN793" s="807"/>
      <c r="CD793" s="807"/>
      <c r="CE793" s="807"/>
    </row>
    <row r="794" spans="1:83" ht="15">
      <c r="A794" s="154" t="s">
        <v>7419</v>
      </c>
      <c r="D794" s="935" t="s">
        <v>9183</v>
      </c>
      <c r="E794" s="1043" t="s">
        <v>524</v>
      </c>
      <c r="H794" s="809" t="s">
        <v>9187</v>
      </c>
      <c r="I794" s="92">
        <v>39</v>
      </c>
      <c r="J794" s="92" t="s">
        <v>18</v>
      </c>
      <c r="K794" s="92" t="s">
        <v>707</v>
      </c>
      <c r="L794" s="810">
        <v>4</v>
      </c>
      <c r="M794" s="811" t="str">
        <f t="shared" si="58"/>
        <v>High School Level</v>
      </c>
      <c r="N794" s="92" t="s">
        <v>1208</v>
      </c>
      <c r="O794" s="812" t="s">
        <v>9188</v>
      </c>
      <c r="P794" s="1638"/>
      <c r="Q794" s="812" t="s">
        <v>9188</v>
      </c>
      <c r="R794" s="812" t="s">
        <v>20</v>
      </c>
      <c r="U794" s="813">
        <f>10000+9000</f>
        <v>19000</v>
      </c>
      <c r="V794" s="873"/>
      <c r="W794" s="815">
        <v>1</v>
      </c>
      <c r="X794" s="811" t="str">
        <f t="shared" si="59"/>
        <v>within the Brgy</v>
      </c>
      <c r="AA794" s="816">
        <v>200</v>
      </c>
      <c r="AB794" s="873"/>
      <c r="AC794" s="807" t="s">
        <v>8493</v>
      </c>
      <c r="AD794" s="817" t="s">
        <v>9189</v>
      </c>
      <c r="AG794" s="807" t="str">
        <f t="shared" si="60"/>
        <v/>
      </c>
      <c r="AI794" s="807"/>
      <c r="AJ794" s="807"/>
      <c r="AK794" s="807"/>
      <c r="AL794" s="807"/>
      <c r="AM794" s="807"/>
      <c r="BC794" s="807"/>
      <c r="BD794" s="807"/>
      <c r="BE794" s="807"/>
      <c r="BF794" s="807"/>
      <c r="BG794" s="807"/>
      <c r="BH794" s="807"/>
      <c r="BI794" s="807"/>
      <c r="BJ794" s="807"/>
      <c r="BK794" s="807"/>
      <c r="BN794" s="807"/>
      <c r="CD794" s="807"/>
      <c r="CE794" s="807"/>
    </row>
    <row r="795" spans="1:83" ht="15">
      <c r="A795" s="154" t="s">
        <v>7419</v>
      </c>
      <c r="D795" s="935" t="s">
        <v>9183</v>
      </c>
      <c r="E795" s="1043" t="s">
        <v>524</v>
      </c>
      <c r="H795" s="809" t="s">
        <v>9190</v>
      </c>
      <c r="I795" s="92">
        <v>26</v>
      </c>
      <c r="J795" s="92" t="s">
        <v>18</v>
      </c>
      <c r="K795" s="92" t="s">
        <v>768</v>
      </c>
      <c r="L795" s="810">
        <v>6</v>
      </c>
      <c r="M795" s="811" t="str">
        <f t="shared" ref="M795:M809" si="61">IF(ISBLANK(L795)=TRUE,"",LOOKUP(L795,GQ:GR))</f>
        <v>College Level</v>
      </c>
      <c r="N795" s="92" t="s">
        <v>1208</v>
      </c>
      <c r="O795" s="812" t="s">
        <v>9191</v>
      </c>
      <c r="P795" s="1638"/>
      <c r="Q795" s="812" t="s">
        <v>9191</v>
      </c>
      <c r="R795" s="812" t="s">
        <v>8285</v>
      </c>
      <c r="S795" s="813">
        <v>50000</v>
      </c>
      <c r="V795" s="873"/>
      <c r="W795" s="815">
        <v>5</v>
      </c>
      <c r="X795" s="811" t="str">
        <f t="shared" si="59"/>
        <v>Overseas Worker</v>
      </c>
      <c r="AB795" s="873"/>
      <c r="AC795" s="807" t="s">
        <v>8380</v>
      </c>
      <c r="AG795" s="807" t="str">
        <f t="shared" si="60"/>
        <v/>
      </c>
      <c r="AI795" s="807"/>
      <c r="AJ795" s="807"/>
      <c r="AK795" s="807"/>
      <c r="AL795" s="807"/>
      <c r="AM795" s="807"/>
      <c r="BC795" s="807"/>
      <c r="BD795" s="807"/>
      <c r="BE795" s="807"/>
      <c r="BF795" s="807"/>
      <c r="BG795" s="807"/>
      <c r="BH795" s="807"/>
      <c r="BI795" s="807"/>
      <c r="BJ795" s="807"/>
      <c r="BK795" s="807"/>
      <c r="BN795" s="807"/>
      <c r="CD795" s="807"/>
      <c r="CE795" s="807"/>
    </row>
    <row r="796" spans="1:83" ht="15">
      <c r="A796" s="154" t="s">
        <v>7419</v>
      </c>
      <c r="D796" s="935" t="s">
        <v>9183</v>
      </c>
      <c r="E796" s="1043" t="s">
        <v>524</v>
      </c>
      <c r="H796" s="809" t="s">
        <v>9192</v>
      </c>
      <c r="I796" s="92">
        <v>24</v>
      </c>
      <c r="J796" s="92" t="s">
        <v>10</v>
      </c>
      <c r="K796" s="92" t="s">
        <v>768</v>
      </c>
      <c r="L796" s="810">
        <v>7</v>
      </c>
      <c r="M796" s="811" t="str">
        <f t="shared" si="61"/>
        <v>College Graduate or Higher</v>
      </c>
      <c r="N796" s="92" t="s">
        <v>1208</v>
      </c>
      <c r="O796" s="812" t="s">
        <v>2245</v>
      </c>
      <c r="P796" s="1638"/>
      <c r="Q796" s="812" t="s">
        <v>2245</v>
      </c>
      <c r="R796" s="812" t="s">
        <v>8285</v>
      </c>
      <c r="S796" s="813">
        <v>30000</v>
      </c>
      <c r="V796" s="873"/>
      <c r="W796" s="815">
        <v>3</v>
      </c>
      <c r="X796" s="811" t="str">
        <f t="shared" si="59"/>
        <v>within the Province</v>
      </c>
      <c r="Y796" s="816">
        <v>3000</v>
      </c>
      <c r="AB796" s="873"/>
      <c r="AC796" s="807" t="s">
        <v>8380</v>
      </c>
      <c r="AG796" s="807" t="str">
        <f t="shared" si="60"/>
        <v/>
      </c>
      <c r="AI796" s="807"/>
      <c r="AJ796" s="807"/>
      <c r="AK796" s="807"/>
      <c r="AL796" s="807"/>
      <c r="AM796" s="807"/>
      <c r="BC796" s="807"/>
      <c r="BD796" s="807"/>
      <c r="BE796" s="807"/>
      <c r="BF796" s="807"/>
      <c r="BG796" s="807"/>
      <c r="BH796" s="807"/>
      <c r="BI796" s="807"/>
      <c r="BJ796" s="807"/>
      <c r="BK796" s="807"/>
      <c r="BN796" s="807"/>
      <c r="CD796" s="807"/>
      <c r="CE796" s="807"/>
    </row>
    <row r="797" spans="1:83" ht="15">
      <c r="A797" s="154" t="s">
        <v>7419</v>
      </c>
      <c r="D797" s="935" t="s">
        <v>9183</v>
      </c>
      <c r="E797" s="1043" t="s">
        <v>524</v>
      </c>
      <c r="H797" s="809" t="s">
        <v>9193</v>
      </c>
      <c r="I797" s="92">
        <v>23</v>
      </c>
      <c r="J797" s="92" t="s">
        <v>18</v>
      </c>
      <c r="K797" s="92" t="s">
        <v>768</v>
      </c>
      <c r="L797" s="810">
        <v>6</v>
      </c>
      <c r="M797" s="811" t="str">
        <f t="shared" si="61"/>
        <v>College Level</v>
      </c>
      <c r="N797" s="92" t="s">
        <v>1208</v>
      </c>
      <c r="O797" s="812" t="s">
        <v>9191</v>
      </c>
      <c r="P797" s="1638"/>
      <c r="Q797" s="812" t="s">
        <v>9191</v>
      </c>
      <c r="R797" s="812" t="s">
        <v>8285</v>
      </c>
      <c r="S797" s="813">
        <v>18000</v>
      </c>
      <c r="V797" s="873"/>
      <c r="W797" s="815">
        <v>3</v>
      </c>
      <c r="X797" s="811" t="str">
        <f t="shared" si="59"/>
        <v>within the Province</v>
      </c>
      <c r="Y797" s="816">
        <v>2000</v>
      </c>
      <c r="AB797" s="873"/>
      <c r="AC797" s="807" t="s">
        <v>9194</v>
      </c>
      <c r="AG797" s="807" t="str">
        <f t="shared" si="60"/>
        <v/>
      </c>
      <c r="AI797" s="807"/>
      <c r="AJ797" s="807"/>
      <c r="AK797" s="807"/>
      <c r="AL797" s="807"/>
      <c r="AM797" s="807"/>
      <c r="BC797" s="807"/>
      <c r="BD797" s="807"/>
      <c r="BE797" s="807"/>
      <c r="BF797" s="807"/>
      <c r="BG797" s="807"/>
      <c r="BH797" s="807"/>
      <c r="BI797" s="807"/>
      <c r="BJ797" s="807"/>
      <c r="BK797" s="807"/>
      <c r="BN797" s="807"/>
      <c r="CD797" s="807"/>
      <c r="CE797" s="807"/>
    </row>
    <row r="798" spans="1:83" ht="15">
      <c r="A798" s="154" t="s">
        <v>7419</v>
      </c>
      <c r="D798" s="935" t="s">
        <v>9183</v>
      </c>
      <c r="E798" s="1043" t="s">
        <v>524</v>
      </c>
      <c r="H798" s="809" t="s">
        <v>9195</v>
      </c>
      <c r="I798" s="92">
        <v>19</v>
      </c>
      <c r="J798" s="92" t="s">
        <v>10</v>
      </c>
      <c r="K798" s="92" t="s">
        <v>768</v>
      </c>
      <c r="L798" s="810">
        <v>6</v>
      </c>
      <c r="M798" s="811" t="str">
        <f t="shared" si="61"/>
        <v>College Level</v>
      </c>
      <c r="P798" s="1638"/>
      <c r="V798" s="873"/>
      <c r="X798" s="811" t="str">
        <f t="shared" si="59"/>
        <v/>
      </c>
      <c r="AB798" s="873"/>
      <c r="AG798" s="807" t="str">
        <f t="shared" si="60"/>
        <v/>
      </c>
      <c r="AI798" s="807"/>
      <c r="AJ798" s="807"/>
      <c r="AK798" s="807"/>
      <c r="AL798" s="807"/>
      <c r="AM798" s="807"/>
      <c r="BC798" s="807"/>
      <c r="BD798" s="807"/>
      <c r="BE798" s="807"/>
      <c r="BF798" s="807"/>
      <c r="BG798" s="807"/>
      <c r="BH798" s="807"/>
      <c r="BI798" s="807"/>
      <c r="BJ798" s="807"/>
      <c r="BK798" s="807"/>
      <c r="BN798" s="807"/>
      <c r="CD798" s="807"/>
      <c r="CE798" s="807"/>
    </row>
    <row r="799" spans="1:83" ht="15">
      <c r="A799" s="154" t="s">
        <v>7419</v>
      </c>
      <c r="D799" s="935" t="s">
        <v>9183</v>
      </c>
      <c r="E799" s="1043" t="s">
        <v>524</v>
      </c>
      <c r="G799" s="827"/>
      <c r="H799" s="809" t="s">
        <v>9196</v>
      </c>
      <c r="I799" s="92">
        <v>13</v>
      </c>
      <c r="J799" s="92" t="s">
        <v>18</v>
      </c>
      <c r="K799" s="92" t="s">
        <v>768</v>
      </c>
      <c r="L799" s="810">
        <v>4</v>
      </c>
      <c r="M799" s="811" t="str">
        <f t="shared" si="61"/>
        <v>High School Level</v>
      </c>
      <c r="P799" s="1638"/>
      <c r="V799" s="873"/>
      <c r="X799" s="811" t="str">
        <f t="shared" si="59"/>
        <v/>
      </c>
      <c r="AB799" s="873"/>
      <c r="AG799" s="807" t="str">
        <f t="shared" si="60"/>
        <v/>
      </c>
      <c r="AI799" s="807"/>
      <c r="AJ799" s="807"/>
      <c r="AK799" s="807"/>
      <c r="AL799" s="807"/>
      <c r="AM799" s="807"/>
      <c r="BC799" s="807"/>
      <c r="BD799" s="807"/>
      <c r="BE799" s="807"/>
      <c r="BF799" s="807"/>
      <c r="BG799" s="807"/>
      <c r="BH799" s="807"/>
      <c r="BI799" s="807"/>
      <c r="BJ799" s="807"/>
      <c r="BK799" s="807"/>
      <c r="BN799" s="807"/>
      <c r="CD799" s="807"/>
      <c r="CE799" s="807"/>
    </row>
    <row r="800" spans="1:83" ht="15">
      <c r="A800" s="154" t="s">
        <v>7419</v>
      </c>
      <c r="D800" s="935" t="s">
        <v>9183</v>
      </c>
      <c r="E800" s="1043" t="s">
        <v>524</v>
      </c>
      <c r="G800" s="827"/>
      <c r="H800" s="809" t="s">
        <v>9197</v>
      </c>
      <c r="I800" s="92">
        <v>63</v>
      </c>
      <c r="J800" s="92" t="s">
        <v>18</v>
      </c>
      <c r="K800" s="92" t="s">
        <v>719</v>
      </c>
      <c r="L800" s="810">
        <v>7</v>
      </c>
      <c r="M800" s="811" t="str">
        <f t="shared" si="61"/>
        <v>College Graduate or Higher</v>
      </c>
      <c r="P800" s="1638"/>
      <c r="V800" s="873"/>
      <c r="X800" s="811" t="str">
        <f t="shared" si="59"/>
        <v/>
      </c>
      <c r="AB800" s="873"/>
      <c r="AG800" s="807" t="str">
        <f t="shared" si="60"/>
        <v/>
      </c>
      <c r="AI800" s="807"/>
      <c r="AJ800" s="807"/>
      <c r="AK800" s="807"/>
      <c r="AL800" s="807"/>
      <c r="AM800" s="807"/>
      <c r="BC800" s="807"/>
      <c r="BD800" s="807"/>
      <c r="BE800" s="807"/>
      <c r="BF800" s="807"/>
      <c r="BG800" s="807"/>
      <c r="BH800" s="807"/>
      <c r="BI800" s="807"/>
      <c r="BJ800" s="807"/>
      <c r="BK800" s="807"/>
      <c r="BN800" s="807"/>
      <c r="CD800" s="807"/>
      <c r="CE800" s="807"/>
    </row>
    <row r="801" spans="1:83" ht="15">
      <c r="A801" s="154" t="s">
        <v>7419</v>
      </c>
      <c r="D801" s="935" t="s">
        <v>9183</v>
      </c>
      <c r="E801" s="1043" t="s">
        <v>524</v>
      </c>
      <c r="G801" s="827"/>
      <c r="H801" s="809" t="s">
        <v>9198</v>
      </c>
      <c r="I801" s="92">
        <v>89</v>
      </c>
      <c r="J801" s="92" t="s">
        <v>18</v>
      </c>
      <c r="K801" s="92" t="s">
        <v>719</v>
      </c>
      <c r="L801" s="810">
        <v>3</v>
      </c>
      <c r="M801" s="811" t="str">
        <f t="shared" si="61"/>
        <v>Elementary Graduate</v>
      </c>
      <c r="P801" s="1638"/>
      <c r="V801" s="873"/>
      <c r="X801" s="811" t="str">
        <f t="shared" si="59"/>
        <v/>
      </c>
      <c r="AB801" s="873"/>
      <c r="AG801" s="807" t="str">
        <f t="shared" si="60"/>
        <v/>
      </c>
      <c r="AI801" s="807"/>
      <c r="AJ801" s="807"/>
      <c r="AK801" s="807"/>
      <c r="AL801" s="807"/>
      <c r="AM801" s="807"/>
      <c r="BC801" s="807"/>
      <c r="BD801" s="807"/>
      <c r="BE801" s="807"/>
      <c r="BF801" s="807"/>
      <c r="BG801" s="807"/>
      <c r="BH801" s="807"/>
      <c r="BI801" s="807"/>
      <c r="BJ801" s="807"/>
      <c r="BK801" s="807"/>
      <c r="BN801" s="807"/>
      <c r="CD801" s="807"/>
      <c r="CE801" s="807"/>
    </row>
    <row r="802" spans="1:83" ht="15">
      <c r="A802" s="154" t="s">
        <v>7419</v>
      </c>
      <c r="D802" s="935" t="s">
        <v>9183</v>
      </c>
      <c r="E802" s="1043" t="s">
        <v>524</v>
      </c>
      <c r="G802" s="827"/>
      <c r="H802" s="809" t="s">
        <v>9199</v>
      </c>
      <c r="I802" s="92">
        <v>8</v>
      </c>
      <c r="J802" s="92" t="s">
        <v>10</v>
      </c>
      <c r="K802" s="92" t="s">
        <v>768</v>
      </c>
      <c r="L802" s="810">
        <v>2</v>
      </c>
      <c r="M802" s="811" t="str">
        <f t="shared" si="61"/>
        <v>Elementary Level</v>
      </c>
      <c r="P802" s="1638"/>
      <c r="V802" s="873"/>
      <c r="X802" s="811" t="str">
        <f t="shared" si="59"/>
        <v/>
      </c>
      <c r="AB802" s="873"/>
      <c r="AG802" s="807" t="str">
        <f t="shared" si="60"/>
        <v/>
      </c>
      <c r="AI802" s="807"/>
      <c r="AJ802" s="807"/>
      <c r="AK802" s="807"/>
      <c r="AL802" s="807"/>
      <c r="AM802" s="807"/>
      <c r="BC802" s="807"/>
      <c r="BD802" s="807"/>
      <c r="BE802" s="807"/>
      <c r="BF802" s="807"/>
      <c r="BG802" s="807"/>
      <c r="BH802" s="807"/>
      <c r="BI802" s="807"/>
      <c r="BJ802" s="807"/>
      <c r="BK802" s="807"/>
      <c r="BN802" s="807"/>
      <c r="CD802" s="807"/>
      <c r="CE802" s="807"/>
    </row>
    <row r="803" spans="1:83" ht="15">
      <c r="A803" s="154" t="s">
        <v>7419</v>
      </c>
      <c r="D803" s="935" t="s">
        <v>9183</v>
      </c>
      <c r="E803" s="1043" t="s">
        <v>524</v>
      </c>
      <c r="G803" s="827"/>
      <c r="H803" s="809" t="s">
        <v>9200</v>
      </c>
      <c r="I803" s="92">
        <v>7</v>
      </c>
      <c r="J803" s="92" t="s">
        <v>10</v>
      </c>
      <c r="K803" s="92" t="s">
        <v>768</v>
      </c>
      <c r="L803" s="810">
        <v>2</v>
      </c>
      <c r="M803" s="811" t="str">
        <f t="shared" si="61"/>
        <v>Elementary Level</v>
      </c>
      <c r="P803" s="1638"/>
      <c r="V803" s="873">
        <f>SUM(S793:U803)</f>
        <v>132000</v>
      </c>
      <c r="X803" s="811" t="str">
        <f t="shared" si="59"/>
        <v/>
      </c>
      <c r="AB803" s="873">
        <f>SUM(Y793:AA803)</f>
        <v>5700</v>
      </c>
      <c r="AG803" s="807" t="str">
        <f t="shared" si="60"/>
        <v/>
      </c>
      <c r="AI803" s="807"/>
      <c r="AJ803" s="807"/>
      <c r="AK803" s="807"/>
      <c r="AL803" s="807"/>
      <c r="AM803" s="807"/>
      <c r="BC803" s="807"/>
      <c r="BD803" s="807"/>
      <c r="BE803" s="807"/>
      <c r="BF803" s="807"/>
      <c r="BG803" s="807"/>
      <c r="BH803" s="807"/>
      <c r="BI803" s="807"/>
      <c r="BJ803" s="807"/>
      <c r="BK803" s="807"/>
      <c r="BN803" s="807"/>
      <c r="CD803" s="807"/>
      <c r="CE803" s="807"/>
    </row>
    <row r="804" spans="1:83" ht="15">
      <c r="D804" s="935" t="s">
        <v>5506</v>
      </c>
      <c r="G804" s="846" t="s">
        <v>527</v>
      </c>
      <c r="M804" s="811" t="str">
        <f t="shared" si="61"/>
        <v/>
      </c>
      <c r="P804" s="1638"/>
      <c r="X804" s="811" t="str">
        <f t="shared" si="59"/>
        <v/>
      </c>
      <c r="AG804" s="807" t="str">
        <f t="shared" si="60"/>
        <v/>
      </c>
      <c r="AH804" s="817" t="s">
        <v>9201</v>
      </c>
      <c r="AI804" s="807"/>
      <c r="AJ804" s="813">
        <v>1000</v>
      </c>
      <c r="AK804" s="807"/>
      <c r="AL804" s="807"/>
      <c r="AM804" s="807"/>
      <c r="BC804" s="807"/>
      <c r="BD804" s="807"/>
      <c r="BE804" s="807"/>
      <c r="BF804" s="807"/>
      <c r="BG804" s="807"/>
      <c r="BH804" s="807"/>
      <c r="BI804" s="807"/>
      <c r="BJ804" s="807"/>
      <c r="BK804" s="807"/>
      <c r="BN804" s="807"/>
      <c r="CD804" s="807"/>
      <c r="CE804" s="807"/>
    </row>
    <row r="805" spans="1:83" ht="15">
      <c r="D805" s="935" t="s">
        <v>9202</v>
      </c>
      <c r="G805" s="827"/>
      <c r="H805" s="809" t="s">
        <v>9203</v>
      </c>
      <c r="I805" s="857"/>
      <c r="J805" s="92" t="s">
        <v>10</v>
      </c>
      <c r="K805" s="92" t="s">
        <v>722</v>
      </c>
      <c r="L805" s="858"/>
      <c r="M805" s="859" t="str">
        <f t="shared" si="61"/>
        <v/>
      </c>
      <c r="N805" s="857"/>
      <c r="P805" s="1638"/>
      <c r="X805" s="811" t="str">
        <f t="shared" si="59"/>
        <v/>
      </c>
      <c r="AG805" s="807" t="str">
        <f t="shared" si="60"/>
        <v/>
      </c>
      <c r="AI805" s="807"/>
      <c r="AJ805" s="807"/>
      <c r="AK805" s="807"/>
      <c r="AL805" s="807"/>
      <c r="AM805" s="807"/>
      <c r="BC805" s="807"/>
      <c r="BD805" s="807"/>
      <c r="BE805" s="807"/>
      <c r="BF805" s="807"/>
      <c r="BG805" s="807"/>
      <c r="BH805" s="807"/>
      <c r="BI805" s="807"/>
      <c r="BJ805" s="807"/>
      <c r="BK805" s="807"/>
      <c r="BN805" s="807"/>
      <c r="CD805" s="807"/>
      <c r="CE805" s="807"/>
    </row>
    <row r="806" spans="1:83" ht="15">
      <c r="D806" s="935"/>
      <c r="G806" s="827"/>
      <c r="H806" s="809" t="s">
        <v>9204</v>
      </c>
      <c r="I806" s="857"/>
      <c r="J806" s="92" t="s">
        <v>18</v>
      </c>
      <c r="K806" s="92" t="s">
        <v>722</v>
      </c>
      <c r="L806" s="858"/>
      <c r="M806" s="859" t="str">
        <f t="shared" si="61"/>
        <v/>
      </c>
      <c r="N806" s="857"/>
      <c r="P806" s="1638"/>
      <c r="X806" s="811" t="str">
        <f t="shared" si="59"/>
        <v/>
      </c>
      <c r="AG806" s="807" t="str">
        <f t="shared" si="60"/>
        <v/>
      </c>
      <c r="AI806" s="807"/>
      <c r="AJ806" s="807"/>
      <c r="AK806" s="807"/>
      <c r="AL806" s="807"/>
      <c r="AM806" s="807"/>
      <c r="BC806" s="807"/>
      <c r="BD806" s="807"/>
      <c r="BE806" s="807"/>
      <c r="BF806" s="807"/>
      <c r="BG806" s="807"/>
      <c r="BH806" s="807"/>
      <c r="BI806" s="807"/>
      <c r="BJ806" s="807"/>
      <c r="BK806" s="807"/>
      <c r="BN806" s="807"/>
      <c r="CD806" s="807"/>
      <c r="CE806" s="807"/>
    </row>
    <row r="807" spans="1:83" ht="15">
      <c r="D807" s="935" t="s">
        <v>9205</v>
      </c>
      <c r="G807" s="846" t="s">
        <v>531</v>
      </c>
      <c r="H807" s="809" t="s">
        <v>9206</v>
      </c>
      <c r="I807" s="92">
        <v>69</v>
      </c>
      <c r="J807" s="92" t="s">
        <v>18</v>
      </c>
      <c r="M807" s="811" t="str">
        <f t="shared" si="61"/>
        <v/>
      </c>
      <c r="P807" s="1638"/>
      <c r="X807" s="811" t="str">
        <f>IF(ISBLANK(W807)=TRUE,"",LOOKUP(W807,GO:GP))</f>
        <v/>
      </c>
      <c r="AD807" s="817" t="s">
        <v>9207</v>
      </c>
      <c r="AG807" s="807" t="str">
        <f t="shared" si="60"/>
        <v/>
      </c>
      <c r="AJ807" s="865"/>
      <c r="AO807" s="817" t="s">
        <v>9208</v>
      </c>
      <c r="AP807" s="820">
        <v>3000</v>
      </c>
    </row>
    <row r="808" spans="1:83" ht="15">
      <c r="D808" s="935" t="s">
        <v>5519</v>
      </c>
      <c r="G808" s="846" t="s">
        <v>536</v>
      </c>
      <c r="M808" s="811" t="str">
        <f t="shared" si="61"/>
        <v/>
      </c>
      <c r="P808" s="1638"/>
      <c r="X808" s="811" t="str">
        <f>IF(ISBLANK(W808)=TRUE,"",LOOKUP(W808,GO:GP))</f>
        <v/>
      </c>
      <c r="AD808" s="817" t="s">
        <v>9209</v>
      </c>
      <c r="AE808" s="93" t="s">
        <v>9210</v>
      </c>
      <c r="AF808" s="818">
        <v>1</v>
      </c>
      <c r="AG808" s="807" t="str">
        <f t="shared" si="60"/>
        <v>Mental disabilities or PWD</v>
      </c>
      <c r="AJ808" s="865"/>
    </row>
    <row r="809" spans="1:83" ht="15">
      <c r="D809" s="935"/>
      <c r="G809" s="827"/>
      <c r="M809" s="811" t="str">
        <f t="shared" si="61"/>
        <v/>
      </c>
      <c r="P809" s="1638"/>
      <c r="X809" s="811" t="str">
        <f>IF(ISBLANK(W809)=TRUE,"",LOOKUP(W809,GO:GP))</f>
        <v/>
      </c>
      <c r="AD809" s="817" t="s">
        <v>9211</v>
      </c>
      <c r="AG809" s="807" t="str">
        <f t="shared" si="60"/>
        <v/>
      </c>
      <c r="AJ809" s="865"/>
    </row>
    <row r="810" spans="1:83" ht="15">
      <c r="A810" s="905"/>
      <c r="D810" s="935" t="s">
        <v>9212</v>
      </c>
      <c r="G810" s="846" t="s">
        <v>539</v>
      </c>
      <c r="H810" s="809" t="s">
        <v>9213</v>
      </c>
      <c r="I810" s="857"/>
      <c r="J810" s="92" t="s">
        <v>10</v>
      </c>
      <c r="K810" s="857"/>
      <c r="L810" s="858"/>
      <c r="M810" s="859"/>
      <c r="N810" s="857"/>
      <c r="P810" s="1638"/>
      <c r="AG810" s="807" t="str">
        <f t="shared" si="60"/>
        <v/>
      </c>
      <c r="AJ810" s="865"/>
    </row>
    <row r="811" spans="1:83" ht="15">
      <c r="A811" s="905"/>
      <c r="D811" s="935"/>
      <c r="G811" s="827"/>
      <c r="H811" s="809" t="s">
        <v>9214</v>
      </c>
      <c r="I811" s="857"/>
      <c r="J811" s="92" t="s">
        <v>18</v>
      </c>
      <c r="K811" s="857"/>
      <c r="L811" s="858"/>
      <c r="M811" s="859"/>
      <c r="N811" s="857"/>
      <c r="P811" s="1638"/>
      <c r="AG811" s="807" t="str">
        <f t="shared" si="60"/>
        <v/>
      </c>
      <c r="AJ811" s="865"/>
    </row>
    <row r="812" spans="1:83" ht="15">
      <c r="A812" s="954"/>
      <c r="D812" s="935"/>
      <c r="G812" s="827"/>
      <c r="H812" s="809" t="s">
        <v>9215</v>
      </c>
      <c r="I812" s="92">
        <v>8</v>
      </c>
      <c r="J812" s="92" t="s">
        <v>10</v>
      </c>
      <c r="K812" s="857"/>
      <c r="L812" s="858"/>
      <c r="M812" s="859"/>
      <c r="N812" s="857"/>
      <c r="P812" s="1638"/>
      <c r="AG812" s="807" t="str">
        <f t="shared" si="60"/>
        <v/>
      </c>
      <c r="AJ812" s="865"/>
    </row>
    <row r="813" spans="1:83" ht="15">
      <c r="A813" s="767" t="s">
        <v>7421</v>
      </c>
      <c r="B813" s="292" t="s">
        <v>11726</v>
      </c>
      <c r="C813" s="140" t="s">
        <v>543</v>
      </c>
      <c r="D813" s="935" t="s">
        <v>9216</v>
      </c>
      <c r="G813" s="846" t="s">
        <v>543</v>
      </c>
      <c r="H813" s="809" t="s">
        <v>2114</v>
      </c>
      <c r="I813" s="92">
        <v>51</v>
      </c>
      <c r="J813" s="92" t="s">
        <v>18</v>
      </c>
      <c r="K813" s="92" t="s">
        <v>707</v>
      </c>
      <c r="L813" s="810">
        <v>4</v>
      </c>
      <c r="M813" s="811" t="str">
        <f t="shared" ref="M813:M858" si="62">IF(ISBLANK(L813)=TRUE,"",LOOKUP(L813,GQ:GR))</f>
        <v>High School Level</v>
      </c>
      <c r="P813" s="1638"/>
      <c r="R813" s="812" t="s">
        <v>1208</v>
      </c>
      <c r="X813" s="811" t="str">
        <f t="shared" ref="X813:X858" si="63">IF(ISBLANK(W813)=TRUE,"",LOOKUP(W813,GO:GP))</f>
        <v/>
      </c>
      <c r="AG813" s="807" t="str">
        <f t="shared" si="60"/>
        <v/>
      </c>
      <c r="AJ813" s="865"/>
    </row>
    <row r="814" spans="1:83" ht="15">
      <c r="D814" s="935"/>
      <c r="G814" s="827"/>
      <c r="H814" s="809" t="s">
        <v>9217</v>
      </c>
      <c r="I814" s="92">
        <v>54</v>
      </c>
      <c r="J814" s="92" t="s">
        <v>10</v>
      </c>
      <c r="K814" s="92" t="s">
        <v>707</v>
      </c>
      <c r="L814" s="810">
        <v>4</v>
      </c>
      <c r="M814" s="811" t="str">
        <f t="shared" si="62"/>
        <v>High School Level</v>
      </c>
      <c r="P814" s="1638"/>
      <c r="X814" s="811" t="str">
        <f t="shared" si="63"/>
        <v/>
      </c>
      <c r="AG814" s="807" t="str">
        <f t="shared" si="60"/>
        <v/>
      </c>
      <c r="AJ814" s="865"/>
    </row>
    <row r="815" spans="1:83" ht="15">
      <c r="D815" s="935"/>
      <c r="G815" s="827"/>
      <c r="H815" s="809" t="s">
        <v>9218</v>
      </c>
      <c r="I815" s="92">
        <v>32</v>
      </c>
      <c r="J815" s="92" t="s">
        <v>10</v>
      </c>
      <c r="K815" s="92" t="s">
        <v>707</v>
      </c>
      <c r="L815" s="810">
        <v>6</v>
      </c>
      <c r="M815" s="811" t="str">
        <f t="shared" si="62"/>
        <v>College Level</v>
      </c>
      <c r="N815" s="92" t="s">
        <v>1208</v>
      </c>
      <c r="O815" s="812" t="s">
        <v>2225</v>
      </c>
      <c r="P815" s="1638"/>
      <c r="Q815" s="812" t="s">
        <v>2225</v>
      </c>
      <c r="S815" s="813">
        <v>12000</v>
      </c>
      <c r="W815" s="815">
        <v>1</v>
      </c>
      <c r="X815" s="811" t="str">
        <f t="shared" si="63"/>
        <v>within the Brgy</v>
      </c>
      <c r="AC815" s="807" t="s">
        <v>9219</v>
      </c>
      <c r="AG815" s="807" t="str">
        <f t="shared" si="60"/>
        <v/>
      </c>
      <c r="AJ815" s="865"/>
    </row>
    <row r="816" spans="1:83" ht="15">
      <c r="D816" s="935"/>
      <c r="E816" s="809"/>
      <c r="F816" s="809"/>
      <c r="G816" s="827"/>
      <c r="H816" s="809" t="s">
        <v>9220</v>
      </c>
      <c r="I816" s="92">
        <v>29</v>
      </c>
      <c r="J816" s="92" t="s">
        <v>10</v>
      </c>
      <c r="K816" s="92" t="s">
        <v>768</v>
      </c>
      <c r="L816" s="810">
        <v>5</v>
      </c>
      <c r="M816" s="811" t="str">
        <f t="shared" si="62"/>
        <v>High School Graduate</v>
      </c>
      <c r="N816" s="92" t="s">
        <v>1208</v>
      </c>
      <c r="P816" s="1638"/>
      <c r="R816" s="932"/>
      <c r="S816" s="813">
        <v>11640</v>
      </c>
      <c r="W816" s="815">
        <v>1</v>
      </c>
      <c r="X816" s="811" t="str">
        <f t="shared" si="63"/>
        <v>within the Brgy</v>
      </c>
      <c r="AC816" s="807" t="s">
        <v>9221</v>
      </c>
      <c r="AG816" s="807" t="str">
        <f t="shared" si="60"/>
        <v/>
      </c>
      <c r="AJ816" s="865"/>
    </row>
    <row r="817" spans="1:99" ht="15">
      <c r="D817" s="935"/>
      <c r="E817" s="809"/>
      <c r="F817" s="809"/>
      <c r="G817" s="827"/>
      <c r="H817" s="809" t="s">
        <v>9222</v>
      </c>
      <c r="I817" s="92">
        <v>27</v>
      </c>
      <c r="J817" s="92" t="s">
        <v>10</v>
      </c>
      <c r="K817" s="92" t="s">
        <v>768</v>
      </c>
      <c r="L817" s="810">
        <v>4</v>
      </c>
      <c r="M817" s="811" t="str">
        <f t="shared" si="62"/>
        <v>High School Level</v>
      </c>
      <c r="N817" s="92" t="s">
        <v>1208</v>
      </c>
      <c r="O817" s="812" t="s">
        <v>2225</v>
      </c>
      <c r="P817" s="1638"/>
      <c r="Q817" s="812" t="s">
        <v>2225</v>
      </c>
      <c r="U817" s="813">
        <v>8000</v>
      </c>
      <c r="W817" s="815">
        <v>2</v>
      </c>
      <c r="X817" s="811" t="str">
        <f t="shared" si="63"/>
        <v>within the Municipality/City</v>
      </c>
      <c r="AC817" s="807" t="s">
        <v>9219</v>
      </c>
      <c r="AG817" s="807" t="str">
        <f t="shared" si="60"/>
        <v/>
      </c>
      <c r="AJ817" s="865"/>
    </row>
    <row r="818" spans="1:99" ht="15">
      <c r="D818" s="935"/>
      <c r="G818" s="827"/>
      <c r="H818" s="809" t="s">
        <v>9223</v>
      </c>
      <c r="I818" s="92">
        <v>20</v>
      </c>
      <c r="J818" s="92" t="s">
        <v>18</v>
      </c>
      <c r="K818" s="92" t="s">
        <v>768</v>
      </c>
      <c r="L818" s="810">
        <v>6</v>
      </c>
      <c r="M818" s="811" t="str">
        <f t="shared" si="62"/>
        <v>College Level</v>
      </c>
      <c r="P818" s="1638"/>
      <c r="X818" s="811" t="str">
        <f t="shared" si="63"/>
        <v/>
      </c>
      <c r="AG818" s="807" t="str">
        <f t="shared" si="60"/>
        <v/>
      </c>
      <c r="AJ818" s="865"/>
    </row>
    <row r="819" spans="1:99" ht="15">
      <c r="A819" s="954"/>
      <c r="B819" s="831"/>
      <c r="D819" s="935"/>
      <c r="E819" s="809"/>
      <c r="F819" s="809"/>
      <c r="G819" s="827"/>
      <c r="H819" s="809" t="s">
        <v>9224</v>
      </c>
      <c r="I819" s="92">
        <v>18</v>
      </c>
      <c r="J819" s="92" t="s">
        <v>10</v>
      </c>
      <c r="K819" s="92" t="s">
        <v>768</v>
      </c>
      <c r="L819" s="810">
        <v>4</v>
      </c>
      <c r="M819" s="811" t="str">
        <f t="shared" si="62"/>
        <v>High School Level</v>
      </c>
      <c r="P819" s="1638"/>
      <c r="X819" s="811" t="str">
        <f t="shared" si="63"/>
        <v/>
      </c>
      <c r="AG819" s="807" t="str">
        <f t="shared" si="60"/>
        <v/>
      </c>
      <c r="AJ819" s="865"/>
    </row>
    <row r="820" spans="1:99" ht="15">
      <c r="A820" s="954"/>
      <c r="B820" s="831"/>
      <c r="D820" s="935"/>
      <c r="G820" s="827"/>
      <c r="H820" s="809" t="s">
        <v>9225</v>
      </c>
      <c r="I820" s="92">
        <v>15</v>
      </c>
      <c r="J820" s="92" t="s">
        <v>10</v>
      </c>
      <c r="K820" s="92" t="s">
        <v>768</v>
      </c>
      <c r="L820" s="810">
        <v>4</v>
      </c>
      <c r="M820" s="811" t="str">
        <f t="shared" si="62"/>
        <v>High School Level</v>
      </c>
      <c r="P820" s="1638"/>
      <c r="X820" s="811" t="str">
        <f t="shared" si="63"/>
        <v/>
      </c>
      <c r="AG820" s="807" t="str">
        <f t="shared" si="60"/>
        <v/>
      </c>
      <c r="AJ820" s="865"/>
    </row>
    <row r="821" spans="1:99" ht="15">
      <c r="A821" s="1076"/>
      <c r="B821" s="831"/>
      <c r="D821" s="935" t="s">
        <v>9226</v>
      </c>
      <c r="E821" s="1043" t="s">
        <v>543</v>
      </c>
      <c r="F821" s="1048" t="s">
        <v>2113</v>
      </c>
      <c r="G821" s="827"/>
      <c r="H821" s="809" t="s">
        <v>2113</v>
      </c>
      <c r="I821" s="92">
        <v>51</v>
      </c>
      <c r="J821" s="92" t="s">
        <v>10</v>
      </c>
      <c r="K821" s="92" t="s">
        <v>722</v>
      </c>
      <c r="L821" s="810">
        <v>4</v>
      </c>
      <c r="M821" s="811" t="str">
        <f t="shared" si="62"/>
        <v>High School Level</v>
      </c>
      <c r="N821" s="92" t="s">
        <v>1208</v>
      </c>
      <c r="O821" s="812" t="s">
        <v>2199</v>
      </c>
      <c r="P821" s="1638"/>
      <c r="Q821" s="812" t="s">
        <v>2199</v>
      </c>
      <c r="R821" s="92" t="s">
        <v>8234</v>
      </c>
      <c r="U821" s="813">
        <v>1000</v>
      </c>
      <c r="W821" s="815">
        <v>1</v>
      </c>
      <c r="X821" s="811" t="str">
        <f t="shared" si="63"/>
        <v>within the Brgy</v>
      </c>
      <c r="AC821" s="807" t="s">
        <v>9227</v>
      </c>
      <c r="AG821" s="807" t="str">
        <f t="shared" si="60"/>
        <v/>
      </c>
      <c r="AJ821" s="865"/>
    </row>
    <row r="822" spans="1:99" ht="15">
      <c r="A822" s="1076"/>
      <c r="D822" s="935"/>
      <c r="E822" s="1043" t="s">
        <v>543</v>
      </c>
      <c r="G822" s="827"/>
      <c r="H822" s="809" t="s">
        <v>9228</v>
      </c>
      <c r="I822" s="92">
        <v>50</v>
      </c>
      <c r="J822" s="92" t="s">
        <v>18</v>
      </c>
      <c r="K822" s="92" t="s">
        <v>722</v>
      </c>
      <c r="L822" s="810">
        <v>7</v>
      </c>
      <c r="M822" s="811" t="str">
        <f t="shared" si="62"/>
        <v>College Graduate or Higher</v>
      </c>
      <c r="N822" s="92" t="s">
        <v>1208</v>
      </c>
      <c r="O822" s="812" t="s">
        <v>2199</v>
      </c>
      <c r="P822" s="1638"/>
      <c r="Q822" s="812" t="s">
        <v>2199</v>
      </c>
      <c r="S822" s="813">
        <v>7500</v>
      </c>
      <c r="W822" s="815">
        <v>2</v>
      </c>
      <c r="X822" s="811" t="str">
        <f t="shared" si="63"/>
        <v>within the Municipality/City</v>
      </c>
      <c r="AC822" s="807" t="s">
        <v>9227</v>
      </c>
      <c r="AG822" s="807" t="str">
        <f t="shared" si="60"/>
        <v/>
      </c>
      <c r="AJ822" s="865"/>
    </row>
    <row r="823" spans="1:99" ht="15">
      <c r="A823" s="767" t="s">
        <v>7421</v>
      </c>
      <c r="B823" s="292" t="s">
        <v>5521</v>
      </c>
      <c r="C823" s="140" t="s">
        <v>546</v>
      </c>
      <c r="D823" s="935" t="s">
        <v>5521</v>
      </c>
      <c r="E823" s="1043" t="s">
        <v>546</v>
      </c>
      <c r="F823" s="1048" t="s">
        <v>2115</v>
      </c>
      <c r="G823" s="827"/>
      <c r="H823" s="809" t="s">
        <v>2115</v>
      </c>
      <c r="I823" s="92">
        <v>54</v>
      </c>
      <c r="J823" s="92" t="s">
        <v>10</v>
      </c>
      <c r="K823" s="92" t="s">
        <v>707</v>
      </c>
      <c r="L823" s="810">
        <v>5</v>
      </c>
      <c r="M823" s="811" t="str">
        <f t="shared" si="62"/>
        <v>High School Graduate</v>
      </c>
      <c r="N823" s="92" t="s">
        <v>1208</v>
      </c>
      <c r="O823" s="812" t="s">
        <v>8632</v>
      </c>
      <c r="P823" s="1638" t="s">
        <v>12597</v>
      </c>
      <c r="Q823" s="812" t="s">
        <v>8632</v>
      </c>
      <c r="R823" s="92" t="s">
        <v>8234</v>
      </c>
      <c r="S823" s="813">
        <v>7200</v>
      </c>
      <c r="W823" s="815">
        <v>4</v>
      </c>
      <c r="X823" s="811" t="str">
        <f t="shared" si="63"/>
        <v>Other Province</v>
      </c>
      <c r="AC823" s="807" t="s">
        <v>2215</v>
      </c>
      <c r="AE823" s="93" t="s">
        <v>9229</v>
      </c>
      <c r="AF823" s="818">
        <v>5</v>
      </c>
      <c r="AG823" s="807" t="str">
        <f t="shared" si="60"/>
        <v>Difficulties in Communication</v>
      </c>
      <c r="AJ823" s="865"/>
      <c r="AR823" s="807">
        <v>1</v>
      </c>
      <c r="AS823" s="807" t="s">
        <v>2146</v>
      </c>
      <c r="BA823" s="807" t="s">
        <v>2145</v>
      </c>
      <c r="CE823" s="93" t="s">
        <v>2144</v>
      </c>
      <c r="CM823" s="807" t="s">
        <v>2145</v>
      </c>
      <c r="CU823" s="807">
        <v>3</v>
      </c>
    </row>
    <row r="824" spans="1:99" ht="15">
      <c r="A824" s="767" t="s">
        <v>7421</v>
      </c>
      <c r="B824" s="292"/>
      <c r="C824" s="140"/>
      <c r="D824" s="935" t="s">
        <v>5521</v>
      </c>
      <c r="E824" s="1043" t="s">
        <v>546</v>
      </c>
      <c r="G824" s="827"/>
      <c r="H824" s="809" t="s">
        <v>9230</v>
      </c>
      <c r="I824" s="92">
        <v>52</v>
      </c>
      <c r="J824" s="92" t="s">
        <v>18</v>
      </c>
      <c r="K824" s="92" t="s">
        <v>707</v>
      </c>
      <c r="L824" s="810">
        <v>5</v>
      </c>
      <c r="M824" s="811" t="str">
        <f t="shared" si="62"/>
        <v>High School Graduate</v>
      </c>
      <c r="N824" s="92" t="s">
        <v>1208</v>
      </c>
      <c r="O824" s="812" t="s">
        <v>9231</v>
      </c>
      <c r="P824" s="1638"/>
      <c r="Q824" s="812" t="s">
        <v>9231</v>
      </c>
      <c r="R824" s="812" t="s">
        <v>20</v>
      </c>
      <c r="S824" s="813">
        <v>3000</v>
      </c>
      <c r="W824" s="815">
        <v>1</v>
      </c>
      <c r="X824" s="811" t="str">
        <f t="shared" si="63"/>
        <v>within the Brgy</v>
      </c>
      <c r="AC824" s="807" t="s">
        <v>9232</v>
      </c>
      <c r="AG824" s="807" t="str">
        <f t="shared" si="60"/>
        <v/>
      </c>
      <c r="AJ824" s="865"/>
      <c r="CU824" s="807">
        <v>1</v>
      </c>
    </row>
    <row r="825" spans="1:99" ht="15">
      <c r="A825" s="767" t="s">
        <v>7421</v>
      </c>
      <c r="D825" s="935" t="s">
        <v>5521</v>
      </c>
      <c r="E825" s="1043" t="s">
        <v>546</v>
      </c>
      <c r="G825" s="827"/>
      <c r="H825" s="809" t="s">
        <v>9233</v>
      </c>
      <c r="I825" s="92">
        <v>24</v>
      </c>
      <c r="J825" s="92" t="s">
        <v>10</v>
      </c>
      <c r="K825" s="92" t="s">
        <v>768</v>
      </c>
      <c r="L825" s="810">
        <v>5</v>
      </c>
      <c r="M825" s="811" t="str">
        <f t="shared" si="62"/>
        <v>High School Graduate</v>
      </c>
      <c r="N825" s="92" t="s">
        <v>1208</v>
      </c>
      <c r="O825" s="812" t="s">
        <v>2246</v>
      </c>
      <c r="P825" s="1638"/>
      <c r="Q825" s="812" t="s">
        <v>2246</v>
      </c>
      <c r="R825" s="812" t="s">
        <v>10310</v>
      </c>
      <c r="S825" s="813">
        <v>8400</v>
      </c>
      <c r="W825" s="815">
        <v>4</v>
      </c>
      <c r="X825" s="811" t="str">
        <f t="shared" si="63"/>
        <v>Other Province</v>
      </c>
      <c r="AC825" s="807" t="s">
        <v>9219</v>
      </c>
      <c r="AG825" s="807" t="str">
        <f t="shared" si="60"/>
        <v/>
      </c>
      <c r="AJ825" s="865"/>
      <c r="AX825" s="807">
        <v>2</v>
      </c>
      <c r="AY825" s="807" t="s">
        <v>2146</v>
      </c>
      <c r="AZ825" s="807">
        <v>1</v>
      </c>
    </row>
    <row r="826" spans="1:99" ht="15">
      <c r="A826" s="767" t="s">
        <v>7421</v>
      </c>
      <c r="B826" s="831"/>
      <c r="D826" s="935" t="s">
        <v>5521</v>
      </c>
      <c r="E826" s="1043" t="s">
        <v>546</v>
      </c>
      <c r="G826" s="827"/>
      <c r="H826" s="809" t="s">
        <v>9234</v>
      </c>
      <c r="I826" s="92">
        <v>23</v>
      </c>
      <c r="J826" s="92" t="s">
        <v>10</v>
      </c>
      <c r="K826" s="92" t="s">
        <v>768</v>
      </c>
      <c r="L826" s="810">
        <v>5</v>
      </c>
      <c r="M826" s="811" t="str">
        <f t="shared" si="62"/>
        <v>High School Graduate</v>
      </c>
      <c r="N826" s="92" t="s">
        <v>1208</v>
      </c>
      <c r="O826" s="812" t="s">
        <v>9235</v>
      </c>
      <c r="P826" s="1638"/>
      <c r="Q826" s="812" t="s">
        <v>9235</v>
      </c>
      <c r="R826" s="812" t="s">
        <v>10310</v>
      </c>
      <c r="S826" s="813">
        <v>8400</v>
      </c>
      <c r="W826" s="815">
        <v>4</v>
      </c>
      <c r="X826" s="811" t="str">
        <f t="shared" si="63"/>
        <v>Other Province</v>
      </c>
      <c r="AC826" s="807" t="s">
        <v>9236</v>
      </c>
      <c r="AG826" s="807" t="str">
        <f t="shared" si="60"/>
        <v/>
      </c>
      <c r="AJ826" s="865"/>
    </row>
    <row r="827" spans="1:99" ht="15">
      <c r="A827" s="1076"/>
      <c r="B827" s="831"/>
      <c r="D827" s="935" t="s">
        <v>9237</v>
      </c>
      <c r="E827" s="1043" t="s">
        <v>549</v>
      </c>
      <c r="F827" s="1048" t="s">
        <v>2116</v>
      </c>
      <c r="G827" s="929" t="s">
        <v>549</v>
      </c>
      <c r="H827" s="809" t="s">
        <v>2116</v>
      </c>
      <c r="I827" s="92">
        <v>51</v>
      </c>
      <c r="J827" s="92" t="s">
        <v>10</v>
      </c>
      <c r="K827" s="92" t="s">
        <v>707</v>
      </c>
      <c r="L827" s="810">
        <v>6</v>
      </c>
      <c r="M827" s="811" t="str">
        <f t="shared" si="62"/>
        <v>College Level</v>
      </c>
      <c r="N827" s="92" t="s">
        <v>1208</v>
      </c>
      <c r="P827" s="1638"/>
      <c r="R827" s="1053"/>
      <c r="S827" s="813">
        <v>4000</v>
      </c>
      <c r="W827" s="815">
        <v>3</v>
      </c>
      <c r="X827" s="811" t="str">
        <f t="shared" si="63"/>
        <v>within the Province</v>
      </c>
      <c r="AG827" s="807" t="str">
        <f t="shared" si="60"/>
        <v/>
      </c>
      <c r="AJ827" s="865"/>
      <c r="AR827" s="807">
        <v>1</v>
      </c>
    </row>
    <row r="828" spans="1:99" ht="15">
      <c r="A828" s="1076"/>
      <c r="D828" s="935"/>
      <c r="E828" s="1043" t="s">
        <v>549</v>
      </c>
      <c r="G828" s="827"/>
      <c r="H828" s="809" t="s">
        <v>9238</v>
      </c>
      <c r="I828" s="92">
        <v>45</v>
      </c>
      <c r="J828" s="92" t="s">
        <v>18</v>
      </c>
      <c r="K828" s="92" t="s">
        <v>707</v>
      </c>
      <c r="L828" s="810">
        <v>6</v>
      </c>
      <c r="M828" s="811" t="str">
        <f t="shared" si="62"/>
        <v>College Level</v>
      </c>
      <c r="N828" s="92" t="s">
        <v>1208</v>
      </c>
      <c r="P828" s="1638"/>
      <c r="R828" s="932"/>
      <c r="S828" s="813">
        <v>4500</v>
      </c>
      <c r="W828" s="815">
        <v>3</v>
      </c>
      <c r="X828" s="811" t="str">
        <f t="shared" si="63"/>
        <v>within the Province</v>
      </c>
      <c r="AG828" s="807" t="str">
        <f t="shared" si="60"/>
        <v/>
      </c>
      <c r="AJ828" s="865"/>
    </row>
    <row r="829" spans="1:99" ht="15">
      <c r="A829" s="905"/>
      <c r="B829" s="831"/>
      <c r="D829" s="935" t="s">
        <v>5523</v>
      </c>
      <c r="G829" s="827" t="s">
        <v>554</v>
      </c>
      <c r="M829" s="811" t="str">
        <f t="shared" si="62"/>
        <v/>
      </c>
      <c r="P829" s="1638"/>
      <c r="X829" s="811" t="str">
        <f t="shared" si="63"/>
        <v/>
      </c>
      <c r="AD829" s="817" t="s">
        <v>9239</v>
      </c>
      <c r="AG829" s="807" t="str">
        <f t="shared" si="60"/>
        <v/>
      </c>
      <c r="AJ829" s="865"/>
      <c r="AO829" s="817" t="s">
        <v>2183</v>
      </c>
    </row>
    <row r="830" spans="1:99" ht="15">
      <c r="A830" s="905"/>
      <c r="D830" s="935" t="s">
        <v>9240</v>
      </c>
      <c r="E830" s="809"/>
      <c r="F830" s="809"/>
      <c r="G830" s="827" t="s">
        <v>556</v>
      </c>
      <c r="M830" s="811" t="str">
        <f t="shared" si="62"/>
        <v/>
      </c>
      <c r="P830" s="1638"/>
      <c r="X830" s="811" t="str">
        <f t="shared" si="63"/>
        <v/>
      </c>
      <c r="AD830" s="817" t="s">
        <v>9241</v>
      </c>
      <c r="AE830" s="93" t="s">
        <v>9242</v>
      </c>
      <c r="AF830" s="818">
        <v>5</v>
      </c>
      <c r="AG830" s="807" t="str">
        <f t="shared" si="60"/>
        <v>Difficulties in Communication</v>
      </c>
      <c r="AJ830" s="865"/>
    </row>
    <row r="831" spans="1:99" ht="15">
      <c r="A831" s="905"/>
      <c r="D831" s="935"/>
      <c r="G831" s="827"/>
      <c r="M831" s="811" t="str">
        <f t="shared" si="62"/>
        <v/>
      </c>
      <c r="P831" s="1638"/>
      <c r="X831" s="811" t="str">
        <f t="shared" si="63"/>
        <v/>
      </c>
      <c r="AD831" s="817" t="s">
        <v>9243</v>
      </c>
      <c r="AG831" s="807" t="str">
        <f t="shared" si="60"/>
        <v/>
      </c>
      <c r="AJ831" s="865"/>
    </row>
    <row r="832" spans="1:99" ht="15">
      <c r="A832" s="905"/>
      <c r="B832" s="831"/>
      <c r="D832" s="935" t="s">
        <v>9244</v>
      </c>
      <c r="E832" s="809"/>
      <c r="F832" s="809"/>
      <c r="G832" s="827"/>
      <c r="M832" s="811" t="str">
        <f t="shared" si="62"/>
        <v/>
      </c>
      <c r="P832" s="1638"/>
      <c r="X832" s="811" t="str">
        <f t="shared" si="63"/>
        <v/>
      </c>
      <c r="AD832" s="817" t="s">
        <v>9245</v>
      </c>
      <c r="AG832" s="807" t="str">
        <f t="shared" si="60"/>
        <v/>
      </c>
      <c r="AJ832" s="865"/>
    </row>
    <row r="833" spans="1:83" ht="15">
      <c r="A833" s="905"/>
      <c r="B833" s="831"/>
      <c r="D833" s="935" t="s">
        <v>9246</v>
      </c>
      <c r="E833" s="809"/>
      <c r="F833" s="809"/>
      <c r="G833" s="827"/>
      <c r="M833" s="811" t="str">
        <f t="shared" si="62"/>
        <v/>
      </c>
      <c r="P833" s="1638"/>
      <c r="X833" s="811" t="str">
        <f t="shared" si="63"/>
        <v/>
      </c>
      <c r="AD833" s="817" t="s">
        <v>9247</v>
      </c>
      <c r="AG833" s="807" t="str">
        <f t="shared" si="60"/>
        <v/>
      </c>
      <c r="AJ833" s="865"/>
    </row>
    <row r="834" spans="1:83" ht="15">
      <c r="A834" s="905"/>
      <c r="D834" s="935"/>
      <c r="G834" s="827"/>
      <c r="M834" s="811" t="str">
        <f t="shared" si="62"/>
        <v/>
      </c>
      <c r="P834" s="1638"/>
      <c r="X834" s="811" t="str">
        <f t="shared" si="63"/>
        <v/>
      </c>
      <c r="AD834" s="817" t="s">
        <v>9248</v>
      </c>
      <c r="AG834" s="807" t="str">
        <f t="shared" si="60"/>
        <v/>
      </c>
      <c r="AJ834" s="865"/>
    </row>
    <row r="835" spans="1:83" ht="15">
      <c r="B835" s="831"/>
      <c r="D835" s="935" t="s">
        <v>5531</v>
      </c>
      <c r="E835" s="809"/>
      <c r="F835" s="809"/>
      <c r="G835" s="827"/>
      <c r="H835" s="809" t="s">
        <v>2117</v>
      </c>
      <c r="I835" s="92">
        <v>38</v>
      </c>
      <c r="J835" s="92" t="s">
        <v>10</v>
      </c>
      <c r="K835" s="92" t="s">
        <v>707</v>
      </c>
      <c r="L835" s="810">
        <v>5</v>
      </c>
      <c r="M835" s="811" t="str">
        <f t="shared" si="62"/>
        <v>High School Graduate</v>
      </c>
      <c r="N835" s="92" t="s">
        <v>1208</v>
      </c>
      <c r="O835" s="812" t="s">
        <v>9249</v>
      </c>
      <c r="P835" s="1638"/>
      <c r="Q835" s="812" t="s">
        <v>9249</v>
      </c>
      <c r="R835" s="92" t="s">
        <v>8234</v>
      </c>
      <c r="S835" s="813">
        <v>7000</v>
      </c>
      <c r="W835" s="815">
        <v>1</v>
      </c>
      <c r="X835" s="811" t="str">
        <f t="shared" si="63"/>
        <v>within the Brgy</v>
      </c>
      <c r="AG835" s="807" t="str">
        <f t="shared" si="60"/>
        <v/>
      </c>
      <c r="AJ835" s="865"/>
    </row>
    <row r="836" spans="1:83" ht="15">
      <c r="B836" s="835"/>
      <c r="D836" s="935"/>
      <c r="G836" s="827"/>
      <c r="H836" s="809" t="s">
        <v>2184</v>
      </c>
      <c r="I836" s="857"/>
      <c r="J836" s="92" t="s">
        <v>18</v>
      </c>
      <c r="K836" s="92" t="s">
        <v>707</v>
      </c>
      <c r="L836" s="810">
        <v>4</v>
      </c>
      <c r="M836" s="811" t="str">
        <f t="shared" si="62"/>
        <v>High School Level</v>
      </c>
      <c r="P836" s="1638"/>
      <c r="X836" s="811" t="str">
        <f t="shared" si="63"/>
        <v/>
      </c>
      <c r="AG836" s="807" t="str">
        <f t="shared" si="60"/>
        <v/>
      </c>
      <c r="AJ836" s="865"/>
    </row>
    <row r="837" spans="1:83" ht="15">
      <c r="D837" s="935"/>
      <c r="G837" s="827"/>
      <c r="H837" s="809" t="s">
        <v>9250</v>
      </c>
      <c r="I837" s="857"/>
      <c r="J837" s="92" t="s">
        <v>18</v>
      </c>
      <c r="K837" s="92" t="s">
        <v>768</v>
      </c>
      <c r="L837" s="810">
        <v>2</v>
      </c>
      <c r="M837" s="811" t="str">
        <f t="shared" si="62"/>
        <v>Elementary Level</v>
      </c>
      <c r="P837" s="1638"/>
      <c r="X837" s="811" t="str">
        <f t="shared" si="63"/>
        <v/>
      </c>
      <c r="AG837" s="807" t="str">
        <f t="shared" si="60"/>
        <v/>
      </c>
      <c r="AJ837" s="865"/>
    </row>
    <row r="838" spans="1:83" ht="15">
      <c r="B838" s="835"/>
      <c r="D838" s="935"/>
      <c r="G838" s="827"/>
      <c r="H838" s="809" t="s">
        <v>9251</v>
      </c>
      <c r="I838" s="857"/>
      <c r="J838" s="92" t="s">
        <v>10</v>
      </c>
      <c r="K838" s="92" t="s">
        <v>768</v>
      </c>
      <c r="L838" s="810">
        <v>1</v>
      </c>
      <c r="M838" s="811" t="str">
        <f t="shared" si="62"/>
        <v>Pre-school</v>
      </c>
      <c r="P838" s="1638"/>
      <c r="X838" s="811" t="str">
        <f t="shared" si="63"/>
        <v/>
      </c>
      <c r="AG838" s="807" t="str">
        <f t="shared" si="60"/>
        <v/>
      </c>
      <c r="AJ838" s="865"/>
      <c r="BC838" s="807"/>
      <c r="BD838" s="807"/>
      <c r="BE838" s="807"/>
      <c r="BF838" s="807"/>
      <c r="BG838" s="807"/>
      <c r="BH838" s="807"/>
      <c r="BI838" s="807"/>
      <c r="BJ838" s="807"/>
      <c r="BK838" s="807"/>
      <c r="BN838" s="807"/>
      <c r="CD838" s="807"/>
      <c r="CE838" s="807"/>
    </row>
    <row r="839" spans="1:83" ht="15">
      <c r="A839" s="1199"/>
      <c r="B839" s="115"/>
      <c r="D839" s="935" t="s">
        <v>9252</v>
      </c>
      <c r="G839" s="827"/>
      <c r="M839" s="811" t="str">
        <f t="shared" si="62"/>
        <v/>
      </c>
      <c r="P839" s="1638"/>
      <c r="X839" s="811" t="str">
        <f t="shared" si="63"/>
        <v/>
      </c>
      <c r="AD839" s="936" t="s">
        <v>9253</v>
      </c>
      <c r="AE839" s="937" t="s">
        <v>9254</v>
      </c>
      <c r="AF839" s="938">
        <v>2</v>
      </c>
      <c r="AG839" s="807" t="str">
        <f t="shared" si="60"/>
        <v>Assistance to walk</v>
      </c>
      <c r="AJ839" s="865"/>
      <c r="BC839" s="807"/>
      <c r="BD839" s="807"/>
      <c r="BE839" s="807"/>
      <c r="BF839" s="807"/>
      <c r="BG839" s="807"/>
      <c r="BH839" s="807"/>
      <c r="BI839" s="807"/>
      <c r="BJ839" s="807"/>
      <c r="BK839" s="807"/>
      <c r="BN839" s="807"/>
      <c r="CD839" s="807"/>
      <c r="CE839" s="807"/>
    </row>
    <row r="840" spans="1:83" ht="15">
      <c r="D840" s="935" t="s">
        <v>9255</v>
      </c>
      <c r="G840" s="827"/>
      <c r="M840" s="811" t="str">
        <f t="shared" si="62"/>
        <v/>
      </c>
      <c r="P840" s="1638"/>
      <c r="X840" s="811" t="str">
        <f t="shared" si="63"/>
        <v/>
      </c>
      <c r="AD840" s="936"/>
      <c r="AE840" s="93" t="s">
        <v>9256</v>
      </c>
      <c r="AF840" s="818">
        <v>4</v>
      </c>
      <c r="AG840" s="807" t="str">
        <f t="shared" si="60"/>
        <v>Serious Illness</v>
      </c>
      <c r="AJ840" s="865"/>
      <c r="BC840" s="807"/>
      <c r="BD840" s="807"/>
      <c r="BE840" s="807"/>
      <c r="BF840" s="807"/>
      <c r="BG840" s="807"/>
      <c r="BH840" s="807"/>
      <c r="BI840" s="807"/>
      <c r="BJ840" s="807"/>
      <c r="BK840" s="807"/>
      <c r="BN840" s="807"/>
      <c r="CD840" s="807"/>
      <c r="CE840" s="807"/>
    </row>
    <row r="841" spans="1:83" ht="15">
      <c r="B841" s="831"/>
      <c r="D841" s="935" t="s">
        <v>9257</v>
      </c>
      <c r="G841" s="827"/>
      <c r="H841" s="809" t="s">
        <v>2118</v>
      </c>
      <c r="I841" s="92">
        <v>55</v>
      </c>
      <c r="J841" s="92" t="s">
        <v>10</v>
      </c>
      <c r="K841" s="92" t="s">
        <v>783</v>
      </c>
      <c r="L841" s="810">
        <v>2</v>
      </c>
      <c r="M841" s="811" t="str">
        <f t="shared" si="62"/>
        <v>Elementary Level</v>
      </c>
      <c r="N841" s="92" t="s">
        <v>1208</v>
      </c>
      <c r="O841" s="812" t="s">
        <v>9258</v>
      </c>
      <c r="P841" s="1638"/>
      <c r="Q841" s="812" t="s">
        <v>9258</v>
      </c>
      <c r="R841" s="92" t="s">
        <v>8234</v>
      </c>
      <c r="U841" s="813">
        <v>10000</v>
      </c>
      <c r="W841" s="926"/>
      <c r="X841" s="859" t="str">
        <f t="shared" si="63"/>
        <v/>
      </c>
      <c r="Y841" s="927"/>
      <c r="Z841" s="927"/>
      <c r="AA841" s="927"/>
      <c r="AE841" s="93" t="s">
        <v>9259</v>
      </c>
      <c r="AF841" s="818">
        <v>4</v>
      </c>
      <c r="AG841" s="807" t="str">
        <f t="shared" si="60"/>
        <v>Serious Illness</v>
      </c>
      <c r="AJ841" s="865"/>
      <c r="BC841" s="807"/>
      <c r="BD841" s="807"/>
      <c r="BE841" s="807"/>
      <c r="BF841" s="807"/>
      <c r="BG841" s="807"/>
      <c r="BH841" s="807"/>
      <c r="BI841" s="807"/>
      <c r="BJ841" s="807"/>
      <c r="BK841" s="807"/>
      <c r="BN841" s="807"/>
      <c r="CD841" s="807"/>
      <c r="CE841" s="807"/>
    </row>
    <row r="842" spans="1:83" ht="15">
      <c r="B842" s="831"/>
      <c r="D842" s="935"/>
      <c r="G842" s="827"/>
      <c r="H842" s="809" t="s">
        <v>9260</v>
      </c>
      <c r="I842" s="92">
        <v>36</v>
      </c>
      <c r="J842" s="92" t="s">
        <v>18</v>
      </c>
      <c r="K842" s="92" t="s">
        <v>768</v>
      </c>
      <c r="L842" s="810">
        <v>6</v>
      </c>
      <c r="M842" s="811" t="str">
        <f t="shared" si="62"/>
        <v>College Level</v>
      </c>
      <c r="P842" s="1638"/>
      <c r="X842" s="811" t="str">
        <f t="shared" si="63"/>
        <v/>
      </c>
      <c r="AG842" s="807" t="str">
        <f t="shared" si="60"/>
        <v/>
      </c>
      <c r="AJ842" s="865"/>
      <c r="BC842" s="807"/>
      <c r="BD842" s="807"/>
      <c r="BE842" s="807"/>
      <c r="BF842" s="807"/>
      <c r="BG842" s="807"/>
      <c r="BH842" s="807"/>
      <c r="BI842" s="807"/>
      <c r="BJ842" s="807"/>
      <c r="BK842" s="807"/>
      <c r="BN842" s="807"/>
      <c r="CD842" s="807"/>
      <c r="CE842" s="807"/>
    </row>
    <row r="843" spans="1:83" ht="15">
      <c r="D843" s="935"/>
      <c r="G843" s="827"/>
      <c r="H843" s="809" t="s">
        <v>9261</v>
      </c>
      <c r="I843" s="92">
        <v>14</v>
      </c>
      <c r="J843" s="92" t="s">
        <v>10</v>
      </c>
      <c r="K843" s="92" t="s">
        <v>768</v>
      </c>
      <c r="L843" s="810">
        <v>2</v>
      </c>
      <c r="M843" s="811" t="str">
        <f t="shared" si="62"/>
        <v>Elementary Level</v>
      </c>
      <c r="P843" s="1638"/>
      <c r="X843" s="811" t="str">
        <f t="shared" si="63"/>
        <v/>
      </c>
      <c r="AG843" s="807" t="str">
        <f t="shared" si="60"/>
        <v/>
      </c>
      <c r="AJ843" s="865"/>
      <c r="BC843" s="807"/>
      <c r="BD843" s="807"/>
      <c r="BE843" s="807"/>
      <c r="BF843" s="807"/>
      <c r="BG843" s="807"/>
      <c r="BH843" s="807"/>
      <c r="BI843" s="807"/>
      <c r="BJ843" s="807"/>
      <c r="BK843" s="807"/>
      <c r="BN843" s="807"/>
      <c r="CD843" s="807"/>
      <c r="CE843" s="807"/>
    </row>
    <row r="844" spans="1:83" ht="15">
      <c r="B844" s="831"/>
      <c r="D844" s="935" t="s">
        <v>9262</v>
      </c>
      <c r="G844" s="841"/>
      <c r="M844" s="811" t="str">
        <f t="shared" si="62"/>
        <v/>
      </c>
      <c r="P844" s="1638"/>
      <c r="W844" s="926"/>
      <c r="X844" s="859" t="str">
        <f t="shared" si="63"/>
        <v/>
      </c>
      <c r="Y844" s="927"/>
      <c r="Z844" s="927"/>
      <c r="AA844" s="927"/>
      <c r="AG844" s="807" t="str">
        <f t="shared" si="60"/>
        <v/>
      </c>
      <c r="AJ844" s="865"/>
      <c r="AO844" s="817" t="s">
        <v>9263</v>
      </c>
      <c r="BC844" s="807"/>
      <c r="BD844" s="807"/>
      <c r="BE844" s="807"/>
      <c r="BF844" s="807"/>
      <c r="BG844" s="807"/>
      <c r="BH844" s="807"/>
      <c r="BI844" s="807"/>
      <c r="BJ844" s="807"/>
      <c r="BK844" s="807"/>
      <c r="BN844" s="807"/>
      <c r="CD844" s="807"/>
      <c r="CE844" s="807"/>
    </row>
    <row r="845" spans="1:83" ht="15">
      <c r="A845" s="154" t="s">
        <v>7419</v>
      </c>
      <c r="B845" s="292" t="s">
        <v>5557</v>
      </c>
      <c r="C845" s="140" t="s">
        <v>602</v>
      </c>
      <c r="D845" s="935" t="s">
        <v>9264</v>
      </c>
      <c r="G845" s="846" t="s">
        <v>602</v>
      </c>
      <c r="H845" s="809" t="s">
        <v>1183</v>
      </c>
      <c r="I845" s="92">
        <v>78</v>
      </c>
      <c r="J845" s="92" t="s">
        <v>18</v>
      </c>
      <c r="K845" s="92" t="s">
        <v>719</v>
      </c>
      <c r="L845" s="810">
        <v>2</v>
      </c>
      <c r="M845" s="811" t="str">
        <f t="shared" si="62"/>
        <v>Elementary Level</v>
      </c>
      <c r="N845" s="92" t="s">
        <v>1208</v>
      </c>
      <c r="O845" s="812" t="s">
        <v>9265</v>
      </c>
      <c r="P845" s="1638" t="s">
        <v>12611</v>
      </c>
      <c r="Q845" s="812" t="s">
        <v>9265</v>
      </c>
      <c r="R845" s="812" t="s">
        <v>8234</v>
      </c>
      <c r="U845" s="813">
        <v>1000</v>
      </c>
      <c r="X845" s="811" t="str">
        <f t="shared" si="63"/>
        <v/>
      </c>
      <c r="AB845" s="814"/>
      <c r="AD845" s="817" t="s">
        <v>9266</v>
      </c>
      <c r="AG845" s="807" t="str">
        <f t="shared" si="60"/>
        <v/>
      </c>
      <c r="AH845" s="817" t="s">
        <v>9267</v>
      </c>
      <c r="AO845" s="817" t="s">
        <v>9267</v>
      </c>
      <c r="BC845" s="807"/>
      <c r="BD845" s="807"/>
      <c r="BE845" s="807"/>
      <c r="BF845" s="807"/>
      <c r="BG845" s="807"/>
      <c r="BH845" s="807"/>
      <c r="BI845" s="807"/>
      <c r="BJ845" s="807"/>
      <c r="BK845" s="807"/>
      <c r="BN845" s="807"/>
      <c r="CD845" s="807"/>
      <c r="CE845" s="807"/>
    </row>
    <row r="846" spans="1:83" ht="15">
      <c r="A846" s="154" t="s">
        <v>7419</v>
      </c>
      <c r="D846" s="935" t="s">
        <v>9264</v>
      </c>
      <c r="G846" s="827"/>
      <c r="H846" s="809" t="s">
        <v>9268</v>
      </c>
      <c r="I846" s="92">
        <v>37</v>
      </c>
      <c r="J846" s="92" t="s">
        <v>18</v>
      </c>
      <c r="K846" s="92" t="s">
        <v>722</v>
      </c>
      <c r="L846" s="810">
        <v>9</v>
      </c>
      <c r="M846" s="811" t="str">
        <f t="shared" si="62"/>
        <v>Vocational Graduate</v>
      </c>
      <c r="N846" s="92" t="s">
        <v>1208</v>
      </c>
      <c r="O846" s="812" t="s">
        <v>9269</v>
      </c>
      <c r="P846" s="1638"/>
      <c r="Q846" s="812" t="s">
        <v>9269</v>
      </c>
      <c r="R846" s="92" t="s">
        <v>8285</v>
      </c>
      <c r="S846" s="813">
        <v>3300</v>
      </c>
      <c r="W846" s="815">
        <v>2</v>
      </c>
      <c r="X846" s="811" t="str">
        <f t="shared" si="63"/>
        <v>within the Municipality/City</v>
      </c>
      <c r="Y846" s="816">
        <v>640</v>
      </c>
      <c r="AB846" s="814"/>
      <c r="AC846" s="807" t="s">
        <v>8380</v>
      </c>
      <c r="AG846" s="807" t="str">
        <f t="shared" ref="AG846:AG909" si="64">IF(ISBLANK(AF846)=TRUE,"",LOOKUP(AF846,GS:GT))</f>
        <v/>
      </c>
      <c r="AJ846" s="865"/>
      <c r="BC846" s="807"/>
      <c r="BD846" s="807"/>
      <c r="BE846" s="807"/>
      <c r="BF846" s="807"/>
      <c r="BG846" s="807"/>
      <c r="BH846" s="807"/>
      <c r="BI846" s="807"/>
      <c r="BJ846" s="807"/>
      <c r="BK846" s="807"/>
      <c r="BN846" s="807"/>
      <c r="CD846" s="807"/>
      <c r="CE846" s="807"/>
    </row>
    <row r="847" spans="1:83" ht="15">
      <c r="A847" s="154" t="s">
        <v>7419</v>
      </c>
      <c r="D847" s="935" t="s">
        <v>9264</v>
      </c>
      <c r="G847" s="827"/>
      <c r="H847" s="809" t="s">
        <v>9270</v>
      </c>
      <c r="I847" s="92">
        <v>31</v>
      </c>
      <c r="J847" s="92" t="s">
        <v>10</v>
      </c>
      <c r="K847" s="92" t="s">
        <v>722</v>
      </c>
      <c r="L847" s="810">
        <v>5</v>
      </c>
      <c r="M847" s="811" t="str">
        <f t="shared" si="62"/>
        <v>High School Graduate</v>
      </c>
      <c r="N847" s="92" t="s">
        <v>1208</v>
      </c>
      <c r="O847" s="812" t="s">
        <v>2214</v>
      </c>
      <c r="P847" s="1638"/>
      <c r="Q847" s="812" t="s">
        <v>2214</v>
      </c>
      <c r="R847" s="92" t="s">
        <v>8285</v>
      </c>
      <c r="S847" s="813">
        <v>10400</v>
      </c>
      <c r="W847" s="815">
        <v>2</v>
      </c>
      <c r="X847" s="811" t="str">
        <f t="shared" si="63"/>
        <v>within the Municipality/City</v>
      </c>
      <c r="Y847" s="816">
        <v>320</v>
      </c>
      <c r="AB847" s="814"/>
      <c r="AC847" s="807" t="s">
        <v>2197</v>
      </c>
      <c r="AG847" s="807" t="str">
        <f t="shared" si="64"/>
        <v/>
      </c>
      <c r="AJ847" s="865"/>
      <c r="BC847" s="807"/>
      <c r="BD847" s="807"/>
      <c r="BE847" s="807"/>
      <c r="BF847" s="807"/>
      <c r="BG847" s="807"/>
      <c r="BH847" s="807"/>
      <c r="BI847" s="807"/>
      <c r="BJ847" s="807"/>
      <c r="BK847" s="807"/>
      <c r="BN847" s="807"/>
      <c r="CD847" s="807"/>
      <c r="CE847" s="807"/>
    </row>
    <row r="848" spans="1:83" ht="15">
      <c r="A848" s="154" t="s">
        <v>7419</v>
      </c>
      <c r="D848" s="935" t="s">
        <v>9264</v>
      </c>
      <c r="G848" s="827"/>
      <c r="H848" s="809" t="s">
        <v>9271</v>
      </c>
      <c r="I848" s="92">
        <v>14</v>
      </c>
      <c r="J848" s="92" t="s">
        <v>18</v>
      </c>
      <c r="K848" s="92" t="s">
        <v>768</v>
      </c>
      <c r="L848" s="810">
        <v>4</v>
      </c>
      <c r="M848" s="811" t="str">
        <f t="shared" si="62"/>
        <v>High School Level</v>
      </c>
      <c r="P848" s="1638"/>
      <c r="X848" s="811" t="str">
        <f t="shared" si="63"/>
        <v/>
      </c>
      <c r="AB848" s="814"/>
      <c r="AG848" s="807" t="str">
        <f t="shared" si="64"/>
        <v/>
      </c>
      <c r="AJ848" s="865"/>
      <c r="BC848" s="807"/>
      <c r="BD848" s="807"/>
      <c r="BE848" s="807"/>
      <c r="BF848" s="807"/>
      <c r="BG848" s="807"/>
      <c r="BH848" s="807"/>
      <c r="BI848" s="807"/>
      <c r="BJ848" s="807"/>
      <c r="BK848" s="807"/>
      <c r="BN848" s="807"/>
      <c r="CD848" s="807"/>
      <c r="CE848" s="807"/>
    </row>
    <row r="849" spans="1:114" ht="15">
      <c r="A849" s="154" t="s">
        <v>7419</v>
      </c>
      <c r="D849" s="935" t="s">
        <v>9264</v>
      </c>
      <c r="G849" s="827"/>
      <c r="H849" s="809" t="s">
        <v>9272</v>
      </c>
      <c r="I849" s="92">
        <v>7</v>
      </c>
      <c r="J849" s="92" t="s">
        <v>10</v>
      </c>
      <c r="K849" s="92" t="s">
        <v>768</v>
      </c>
      <c r="L849" s="810">
        <v>2</v>
      </c>
      <c r="M849" s="811" t="str">
        <f t="shared" si="62"/>
        <v>Elementary Level</v>
      </c>
      <c r="P849" s="1638"/>
      <c r="V849" s="814">
        <f>SUM(S845:U849)</f>
        <v>14700</v>
      </c>
      <c r="X849" s="811" t="str">
        <f t="shared" si="63"/>
        <v/>
      </c>
      <c r="AB849" s="814">
        <f>SUM(Y845:AA849)</f>
        <v>960</v>
      </c>
      <c r="AG849" s="807" t="str">
        <f t="shared" si="64"/>
        <v/>
      </c>
      <c r="AJ849" s="865"/>
      <c r="BC849" s="807"/>
      <c r="BD849" s="807"/>
      <c r="BE849" s="807"/>
      <c r="BF849" s="807"/>
      <c r="BG849" s="807"/>
      <c r="BH849" s="807"/>
      <c r="BI849" s="807"/>
      <c r="BJ849" s="807"/>
      <c r="BK849" s="807"/>
      <c r="BN849" s="807"/>
      <c r="CD849" s="807"/>
      <c r="CE849" s="807"/>
    </row>
    <row r="850" spans="1:114" ht="15">
      <c r="D850" s="935" t="s">
        <v>5558</v>
      </c>
      <c r="G850" s="929"/>
      <c r="H850" s="809" t="s">
        <v>2119</v>
      </c>
      <c r="J850" s="92" t="s">
        <v>10</v>
      </c>
      <c r="K850" s="92" t="s">
        <v>722</v>
      </c>
      <c r="M850" s="811" t="str">
        <f t="shared" si="62"/>
        <v/>
      </c>
      <c r="P850" s="1638"/>
      <c r="R850" s="92" t="s">
        <v>8234</v>
      </c>
      <c r="W850" s="926"/>
      <c r="X850" s="859" t="str">
        <f t="shared" si="63"/>
        <v/>
      </c>
      <c r="Y850" s="927"/>
      <c r="Z850" s="927"/>
      <c r="AA850" s="927"/>
      <c r="AE850" s="93" t="s">
        <v>9273</v>
      </c>
      <c r="AF850" s="818">
        <v>3</v>
      </c>
      <c r="AG850" s="807" t="str">
        <f t="shared" si="64"/>
        <v>Special Medical Care</v>
      </c>
      <c r="AJ850" s="865"/>
      <c r="BC850" s="807"/>
      <c r="BD850" s="807"/>
      <c r="BE850" s="807"/>
      <c r="BF850" s="807"/>
      <c r="BG850" s="807"/>
      <c r="BH850" s="807"/>
      <c r="BI850" s="807"/>
      <c r="BJ850" s="807"/>
      <c r="BK850" s="807"/>
      <c r="BN850" s="807"/>
      <c r="CD850" s="807"/>
      <c r="CE850" s="807"/>
    </row>
    <row r="851" spans="1:114" ht="15">
      <c r="D851" s="935"/>
      <c r="G851" s="827"/>
      <c r="H851" s="809" t="s">
        <v>9274</v>
      </c>
      <c r="J851" s="92" t="s">
        <v>18</v>
      </c>
      <c r="K851" s="92" t="s">
        <v>722</v>
      </c>
      <c r="M851" s="811" t="str">
        <f t="shared" si="62"/>
        <v/>
      </c>
      <c r="P851" s="1638"/>
      <c r="X851" s="811" t="str">
        <f t="shared" si="63"/>
        <v/>
      </c>
      <c r="AG851" s="807" t="str">
        <f t="shared" si="64"/>
        <v/>
      </c>
      <c r="AJ851" s="865"/>
    </row>
    <row r="852" spans="1:114" ht="15">
      <c r="D852" s="935"/>
      <c r="G852" s="827"/>
      <c r="H852" s="809" t="s">
        <v>9275</v>
      </c>
      <c r="M852" s="811" t="str">
        <f t="shared" si="62"/>
        <v/>
      </c>
      <c r="P852" s="1638"/>
      <c r="X852" s="811" t="str">
        <f t="shared" si="63"/>
        <v/>
      </c>
      <c r="AG852" s="807" t="str">
        <f t="shared" si="64"/>
        <v/>
      </c>
      <c r="AJ852" s="865"/>
    </row>
    <row r="853" spans="1:114" ht="15">
      <c r="D853" s="935"/>
      <c r="G853" s="827"/>
      <c r="H853" s="809" t="s">
        <v>9276</v>
      </c>
      <c r="M853" s="811" t="str">
        <f t="shared" si="62"/>
        <v/>
      </c>
      <c r="P853" s="1638"/>
      <c r="X853" s="811" t="str">
        <f t="shared" si="63"/>
        <v/>
      </c>
      <c r="AG853" s="807" t="str">
        <f t="shared" si="64"/>
        <v/>
      </c>
      <c r="AJ853" s="865"/>
    </row>
    <row r="854" spans="1:114" ht="15">
      <c r="D854" s="935"/>
      <c r="G854" s="827"/>
      <c r="H854" s="809" t="s">
        <v>9277</v>
      </c>
      <c r="I854" s="92" t="s">
        <v>9278</v>
      </c>
      <c r="K854" s="92" t="s">
        <v>768</v>
      </c>
      <c r="M854" s="811" t="str">
        <f t="shared" si="62"/>
        <v/>
      </c>
      <c r="P854" s="1638"/>
      <c r="X854" s="811" t="str">
        <f t="shared" si="63"/>
        <v/>
      </c>
      <c r="AG854" s="807" t="str">
        <f t="shared" si="64"/>
        <v/>
      </c>
      <c r="AJ854" s="865"/>
    </row>
    <row r="855" spans="1:114" ht="15">
      <c r="D855" s="935"/>
      <c r="G855" s="827"/>
      <c r="M855" s="811" t="str">
        <f t="shared" si="62"/>
        <v/>
      </c>
      <c r="P855" s="1638"/>
      <c r="X855" s="811" t="str">
        <f t="shared" si="63"/>
        <v/>
      </c>
      <c r="AG855" s="807" t="str">
        <f t="shared" si="64"/>
        <v/>
      </c>
      <c r="AJ855" s="865"/>
    </row>
    <row r="856" spans="1:114" ht="15">
      <c r="D856" s="935" t="s">
        <v>9279</v>
      </c>
      <c r="E856" s="809"/>
      <c r="F856" s="809"/>
      <c r="G856" s="846" t="s">
        <v>607</v>
      </c>
      <c r="M856" s="811" t="str">
        <f t="shared" si="62"/>
        <v/>
      </c>
      <c r="P856" s="1638"/>
      <c r="X856" s="811" t="str">
        <f t="shared" si="63"/>
        <v/>
      </c>
      <c r="AG856" s="807" t="str">
        <f t="shared" si="64"/>
        <v/>
      </c>
      <c r="AJ856" s="865"/>
      <c r="AO856" s="817" t="s">
        <v>9280</v>
      </c>
      <c r="AP856" s="820">
        <v>2800</v>
      </c>
    </row>
    <row r="857" spans="1:114" ht="15">
      <c r="D857" s="935"/>
      <c r="G857" s="827"/>
      <c r="M857" s="811" t="str">
        <f t="shared" si="62"/>
        <v/>
      </c>
      <c r="P857" s="1638"/>
      <c r="X857" s="811" t="str">
        <f t="shared" si="63"/>
        <v/>
      </c>
      <c r="AG857" s="807" t="str">
        <f t="shared" si="64"/>
        <v/>
      </c>
      <c r="AJ857" s="865"/>
      <c r="AO857" s="817" t="s">
        <v>2185</v>
      </c>
      <c r="AP857" s="820">
        <v>1500</v>
      </c>
    </row>
    <row r="858" spans="1:114" ht="15">
      <c r="D858" s="935" t="s">
        <v>9281</v>
      </c>
      <c r="E858" s="809"/>
      <c r="F858" s="809"/>
      <c r="G858" s="846" t="s">
        <v>610</v>
      </c>
      <c r="M858" s="811" t="str">
        <f t="shared" si="62"/>
        <v/>
      </c>
      <c r="P858" s="1638"/>
      <c r="X858" s="811" t="str">
        <f t="shared" si="63"/>
        <v/>
      </c>
      <c r="AG858" s="807" t="str">
        <f t="shared" si="64"/>
        <v/>
      </c>
      <c r="AJ858" s="865"/>
      <c r="AM858" s="817"/>
      <c r="AO858" s="817" t="s">
        <v>2186</v>
      </c>
      <c r="AP858" s="820">
        <v>2600</v>
      </c>
    </row>
    <row r="859" spans="1:114" ht="15">
      <c r="D859" s="935"/>
      <c r="G859" s="827"/>
      <c r="M859" s="811"/>
      <c r="P859" s="1638"/>
      <c r="AG859" s="807" t="str">
        <f t="shared" si="64"/>
        <v/>
      </c>
      <c r="AJ859" s="865"/>
      <c r="AO859" s="817" t="s">
        <v>9282</v>
      </c>
    </row>
    <row r="860" spans="1:114" ht="15">
      <c r="A860" s="1076"/>
      <c r="B860" s="6"/>
      <c r="C860" s="164"/>
      <c r="D860" s="935" t="s">
        <v>5567</v>
      </c>
      <c r="E860" s="809"/>
      <c r="F860" s="809"/>
      <c r="G860" s="846" t="s">
        <v>615</v>
      </c>
      <c r="H860" s="809" t="s">
        <v>2187</v>
      </c>
      <c r="J860" s="92" t="s">
        <v>18</v>
      </c>
      <c r="M860" s="811" t="str">
        <f t="shared" ref="M860:M888" si="65">IF(ISBLANK(L860)=TRUE,"",LOOKUP(L860,GQ:GR))</f>
        <v/>
      </c>
      <c r="P860" s="1638"/>
      <c r="X860" s="811" t="str">
        <f t="shared" ref="X860:X888" si="66">IF(ISBLANK(W860)=TRUE,"",LOOKUP(W860,GO:GP))</f>
        <v/>
      </c>
      <c r="AG860" s="807" t="str">
        <f t="shared" si="64"/>
        <v/>
      </c>
      <c r="AJ860" s="865"/>
    </row>
    <row r="861" spans="1:114" ht="15">
      <c r="A861" s="1076"/>
      <c r="B861" s="6"/>
      <c r="C861" s="164"/>
      <c r="D861" s="935"/>
      <c r="E861" s="809"/>
      <c r="F861" s="809"/>
      <c r="G861" s="827"/>
      <c r="H861" s="809" t="s">
        <v>9283</v>
      </c>
      <c r="J861" s="92" t="s">
        <v>10</v>
      </c>
      <c r="M861" s="811" t="str">
        <f t="shared" si="65"/>
        <v/>
      </c>
      <c r="P861" s="1638"/>
      <c r="X861" s="811" t="str">
        <f t="shared" si="66"/>
        <v/>
      </c>
      <c r="AG861" s="807" t="str">
        <f t="shared" si="64"/>
        <v/>
      </c>
      <c r="AJ861" s="865"/>
    </row>
    <row r="862" spans="1:114" ht="15">
      <c r="A862" s="905"/>
      <c r="D862" s="935" t="s">
        <v>9284</v>
      </c>
      <c r="E862" s="809"/>
      <c r="F862" s="809"/>
      <c r="G862" s="846" t="s">
        <v>620</v>
      </c>
      <c r="M862" s="811" t="str">
        <f t="shared" si="65"/>
        <v/>
      </c>
      <c r="P862" s="1638"/>
      <c r="X862" s="811" t="str">
        <f t="shared" si="66"/>
        <v/>
      </c>
      <c r="AD862" s="936" t="s">
        <v>9285</v>
      </c>
      <c r="AG862" s="807" t="str">
        <f t="shared" si="64"/>
        <v/>
      </c>
      <c r="AJ862" s="865"/>
      <c r="AO862" s="817" t="s">
        <v>9286</v>
      </c>
    </row>
    <row r="863" spans="1:114" ht="15">
      <c r="A863" s="905"/>
      <c r="D863" s="935"/>
      <c r="E863" s="809"/>
      <c r="F863" s="809"/>
      <c r="G863" s="827"/>
      <c r="M863" s="811" t="str">
        <f t="shared" si="65"/>
        <v/>
      </c>
      <c r="P863" s="1638"/>
      <c r="X863" s="811" t="str">
        <f t="shared" si="66"/>
        <v/>
      </c>
      <c r="AD863" s="817" t="s">
        <v>9287</v>
      </c>
      <c r="AG863" s="807" t="str">
        <f t="shared" si="64"/>
        <v/>
      </c>
      <c r="AJ863" s="865"/>
    </row>
    <row r="864" spans="1:114" ht="15">
      <c r="A864" s="154" t="s">
        <v>12460</v>
      </c>
      <c r="B864" s="292" t="s">
        <v>7649</v>
      </c>
      <c r="C864" s="140" t="s">
        <v>624</v>
      </c>
      <c r="D864" s="935" t="s">
        <v>9288</v>
      </c>
      <c r="E864" s="809"/>
      <c r="F864" s="809"/>
      <c r="G864" s="846" t="s">
        <v>624</v>
      </c>
      <c r="H864" s="809" t="s">
        <v>9289</v>
      </c>
      <c r="I864" s="92">
        <v>33</v>
      </c>
      <c r="J864" s="92" t="s">
        <v>10</v>
      </c>
      <c r="K864" s="92" t="s">
        <v>707</v>
      </c>
      <c r="L864" s="810">
        <v>2</v>
      </c>
      <c r="M864" s="811" t="str">
        <f t="shared" si="65"/>
        <v>Elementary Level</v>
      </c>
      <c r="N864" s="92" t="s">
        <v>1208</v>
      </c>
      <c r="O864" s="812" t="s">
        <v>9290</v>
      </c>
      <c r="P864" s="1638" t="s">
        <v>12608</v>
      </c>
      <c r="Q864" s="812" t="s">
        <v>9290</v>
      </c>
      <c r="R864" s="92" t="s">
        <v>8234</v>
      </c>
      <c r="U864" s="813">
        <v>8000</v>
      </c>
      <c r="W864" s="815">
        <v>1</v>
      </c>
      <c r="X864" s="811" t="str">
        <f t="shared" si="66"/>
        <v>within the Brgy</v>
      </c>
      <c r="AE864" s="93" t="s">
        <v>9291</v>
      </c>
      <c r="AF864" s="818">
        <v>1</v>
      </c>
      <c r="AG864" s="807" t="str">
        <f t="shared" si="64"/>
        <v>Mental disabilities or PWD</v>
      </c>
      <c r="AJ864" s="865"/>
      <c r="CS864" s="807">
        <v>1</v>
      </c>
      <c r="DJ864" s="807">
        <v>2</v>
      </c>
    </row>
    <row r="865" spans="1:116" ht="15">
      <c r="A865" s="154" t="s">
        <v>12460</v>
      </c>
      <c r="D865" s="935" t="s">
        <v>9288</v>
      </c>
      <c r="G865" s="827"/>
      <c r="H865" s="809" t="s">
        <v>9292</v>
      </c>
      <c r="I865" s="92">
        <v>34</v>
      </c>
      <c r="J865" s="92" t="s">
        <v>18</v>
      </c>
      <c r="K865" s="92" t="s">
        <v>707</v>
      </c>
      <c r="L865" s="810">
        <v>2</v>
      </c>
      <c r="M865" s="811" t="str">
        <f t="shared" si="65"/>
        <v>Elementary Level</v>
      </c>
      <c r="P865" s="1638"/>
      <c r="X865" s="811" t="str">
        <f t="shared" si="66"/>
        <v/>
      </c>
      <c r="AG865" s="807" t="str">
        <f t="shared" si="64"/>
        <v/>
      </c>
      <c r="AJ865" s="865"/>
    </row>
    <row r="866" spans="1:116" ht="15">
      <c r="A866" s="154" t="s">
        <v>12460</v>
      </c>
      <c r="D866" s="935" t="s">
        <v>9288</v>
      </c>
      <c r="G866" s="827"/>
      <c r="H866" s="809" t="s">
        <v>9293</v>
      </c>
      <c r="I866" s="92">
        <v>13</v>
      </c>
      <c r="J866" s="92" t="s">
        <v>18</v>
      </c>
      <c r="K866" s="92" t="s">
        <v>768</v>
      </c>
      <c r="L866" s="810">
        <v>2</v>
      </c>
      <c r="M866" s="811" t="str">
        <f t="shared" si="65"/>
        <v>Elementary Level</v>
      </c>
      <c r="P866" s="1638"/>
      <c r="X866" s="811" t="str">
        <f t="shared" si="66"/>
        <v/>
      </c>
      <c r="AG866" s="807" t="str">
        <f t="shared" si="64"/>
        <v/>
      </c>
      <c r="AJ866" s="865"/>
    </row>
    <row r="867" spans="1:116" ht="15">
      <c r="A867" s="154" t="s">
        <v>12460</v>
      </c>
      <c r="D867" s="935" t="s">
        <v>9288</v>
      </c>
      <c r="G867" s="827"/>
      <c r="H867" s="809" t="s">
        <v>9294</v>
      </c>
      <c r="I867" s="92">
        <v>7</v>
      </c>
      <c r="J867" s="92" t="s">
        <v>10</v>
      </c>
      <c r="K867" s="92" t="s">
        <v>768</v>
      </c>
      <c r="L867" s="810">
        <v>2</v>
      </c>
      <c r="M867" s="811" t="str">
        <f t="shared" si="65"/>
        <v>Elementary Level</v>
      </c>
      <c r="P867" s="1638"/>
      <c r="X867" s="811" t="str">
        <f t="shared" si="66"/>
        <v/>
      </c>
      <c r="AG867" s="807" t="str">
        <f t="shared" si="64"/>
        <v/>
      </c>
      <c r="AJ867" s="865"/>
    </row>
    <row r="868" spans="1:116" ht="15">
      <c r="D868" s="935" t="s">
        <v>9295</v>
      </c>
      <c r="E868" s="809"/>
      <c r="F868" s="809"/>
      <c r="G868" s="841" t="s">
        <v>9296</v>
      </c>
      <c r="H868" s="809" t="s">
        <v>1188</v>
      </c>
      <c r="I868" s="92">
        <v>55</v>
      </c>
      <c r="J868" s="92" t="s">
        <v>18</v>
      </c>
      <c r="K868" s="92" t="s">
        <v>707</v>
      </c>
      <c r="L868" s="810">
        <v>5</v>
      </c>
      <c r="M868" s="811" t="str">
        <f t="shared" si="65"/>
        <v>High School Graduate</v>
      </c>
      <c r="P868" s="1638"/>
      <c r="R868" s="92" t="s">
        <v>8234</v>
      </c>
      <c r="X868" s="811" t="str">
        <f t="shared" si="66"/>
        <v/>
      </c>
      <c r="AG868" s="807" t="str">
        <f t="shared" si="64"/>
        <v/>
      </c>
      <c r="AJ868" s="865"/>
      <c r="DB868" s="807">
        <v>1</v>
      </c>
    </row>
    <row r="869" spans="1:116" ht="15">
      <c r="D869" s="935"/>
      <c r="G869" s="827"/>
      <c r="H869" s="809" t="s">
        <v>9297</v>
      </c>
      <c r="I869" s="92">
        <v>36</v>
      </c>
      <c r="J869" s="92" t="s">
        <v>10</v>
      </c>
      <c r="K869" s="92" t="s">
        <v>768</v>
      </c>
      <c r="L869" s="810">
        <v>6</v>
      </c>
      <c r="M869" s="811" t="str">
        <f t="shared" si="65"/>
        <v>College Level</v>
      </c>
      <c r="P869" s="1638"/>
      <c r="X869" s="811" t="str">
        <f t="shared" si="66"/>
        <v/>
      </c>
      <c r="AG869" s="807" t="str">
        <f t="shared" si="64"/>
        <v/>
      </c>
      <c r="AJ869" s="865"/>
      <c r="DL869" s="807">
        <v>1</v>
      </c>
    </row>
    <row r="870" spans="1:116" ht="15">
      <c r="A870" s="154" t="s">
        <v>12459</v>
      </c>
      <c r="B870" s="292" t="s">
        <v>7653</v>
      </c>
      <c r="C870" s="140" t="s">
        <v>629</v>
      </c>
      <c r="D870" s="935" t="s">
        <v>9298</v>
      </c>
      <c r="E870" s="1043" t="s">
        <v>629</v>
      </c>
      <c r="F870" s="1048" t="s">
        <v>1188</v>
      </c>
      <c r="G870" s="827"/>
      <c r="H870" s="809" t="s">
        <v>1188</v>
      </c>
      <c r="I870" s="92">
        <v>55</v>
      </c>
      <c r="J870" s="92" t="s">
        <v>18</v>
      </c>
      <c r="K870" s="92" t="s">
        <v>719</v>
      </c>
      <c r="L870" s="810">
        <v>5</v>
      </c>
      <c r="M870" s="811" t="str">
        <f t="shared" si="65"/>
        <v>High School Graduate</v>
      </c>
      <c r="N870" s="92" t="s">
        <v>1208</v>
      </c>
      <c r="O870" s="812" t="s">
        <v>1882</v>
      </c>
      <c r="P870" s="1638" t="s">
        <v>12608</v>
      </c>
      <c r="Q870" s="812" t="s">
        <v>1882</v>
      </c>
      <c r="R870" s="92" t="s">
        <v>8234</v>
      </c>
      <c r="U870" s="813">
        <v>10000</v>
      </c>
      <c r="W870" s="815">
        <v>1</v>
      </c>
      <c r="X870" s="811" t="str">
        <f t="shared" si="66"/>
        <v>within the Brgy</v>
      </c>
      <c r="AG870" s="807" t="str">
        <f t="shared" si="64"/>
        <v/>
      </c>
      <c r="AH870" s="817" t="s">
        <v>2247</v>
      </c>
    </row>
    <row r="871" spans="1:116" ht="15">
      <c r="A871" s="154" t="s">
        <v>12459</v>
      </c>
      <c r="D871" s="935" t="s">
        <v>9298</v>
      </c>
      <c r="E871" s="1043" t="s">
        <v>629</v>
      </c>
      <c r="G871" s="827"/>
      <c r="H871" s="809" t="s">
        <v>9297</v>
      </c>
      <c r="I871" s="92">
        <v>37</v>
      </c>
      <c r="J871" s="92" t="s">
        <v>10</v>
      </c>
      <c r="K871" s="92" t="s">
        <v>768</v>
      </c>
      <c r="L871" s="810">
        <v>6</v>
      </c>
      <c r="M871" s="811" t="str">
        <f t="shared" si="65"/>
        <v>College Level</v>
      </c>
      <c r="P871" s="1638"/>
      <c r="X871" s="811" t="str">
        <f t="shared" si="66"/>
        <v/>
      </c>
      <c r="AG871" s="807" t="str">
        <f t="shared" si="64"/>
        <v/>
      </c>
      <c r="AJ871" s="865"/>
    </row>
    <row r="872" spans="1:116" ht="15">
      <c r="A872" s="154" t="s">
        <v>12459</v>
      </c>
      <c r="D872" s="935" t="s">
        <v>9298</v>
      </c>
      <c r="E872" s="1043" t="s">
        <v>629</v>
      </c>
      <c r="G872" s="827"/>
      <c r="H872" s="809" t="s">
        <v>9299</v>
      </c>
      <c r="I872" s="92">
        <v>36</v>
      </c>
      <c r="J872" s="92" t="s">
        <v>10</v>
      </c>
      <c r="K872" s="92" t="s">
        <v>722</v>
      </c>
      <c r="L872" s="810">
        <v>5</v>
      </c>
      <c r="M872" s="811" t="str">
        <f t="shared" si="65"/>
        <v>High School Graduate</v>
      </c>
      <c r="P872" s="1638"/>
      <c r="X872" s="811" t="str">
        <f t="shared" si="66"/>
        <v/>
      </c>
      <c r="AG872" s="807" t="str">
        <f t="shared" si="64"/>
        <v/>
      </c>
      <c r="AJ872" s="865"/>
    </row>
    <row r="873" spans="1:116" ht="15">
      <c r="A873" s="154" t="s">
        <v>12459</v>
      </c>
      <c r="D873" s="935" t="s">
        <v>9298</v>
      </c>
      <c r="E873" s="1043" t="s">
        <v>629</v>
      </c>
      <c r="G873" s="827"/>
      <c r="H873" s="809" t="s">
        <v>9300</v>
      </c>
      <c r="I873" s="92">
        <v>34</v>
      </c>
      <c r="J873" s="92" t="s">
        <v>18</v>
      </c>
      <c r="K873" s="92" t="s">
        <v>722</v>
      </c>
      <c r="L873" s="810">
        <v>6</v>
      </c>
      <c r="M873" s="811" t="str">
        <f t="shared" si="65"/>
        <v>College Level</v>
      </c>
      <c r="P873" s="1638"/>
      <c r="X873" s="811" t="str">
        <f t="shared" si="66"/>
        <v/>
      </c>
      <c r="AG873" s="807" t="str">
        <f t="shared" si="64"/>
        <v/>
      </c>
      <c r="AJ873" s="865"/>
    </row>
    <row r="874" spans="1:116" ht="15">
      <c r="A874" s="154" t="s">
        <v>12459</v>
      </c>
      <c r="D874" s="935" t="s">
        <v>9298</v>
      </c>
      <c r="E874" s="1043" t="s">
        <v>629</v>
      </c>
      <c r="G874" s="827"/>
      <c r="H874" s="809" t="s">
        <v>9301</v>
      </c>
      <c r="I874" s="92">
        <v>33</v>
      </c>
      <c r="J874" s="92" t="s">
        <v>10</v>
      </c>
      <c r="K874" s="92" t="s">
        <v>722</v>
      </c>
      <c r="L874" s="810">
        <v>5</v>
      </c>
      <c r="M874" s="811" t="str">
        <f t="shared" si="65"/>
        <v>High School Graduate</v>
      </c>
      <c r="P874" s="1638"/>
      <c r="X874" s="811" t="str">
        <f t="shared" si="66"/>
        <v/>
      </c>
      <c r="AG874" s="807" t="str">
        <f t="shared" si="64"/>
        <v/>
      </c>
      <c r="AJ874" s="865"/>
    </row>
    <row r="875" spans="1:116" ht="15">
      <c r="A875" s="154" t="s">
        <v>12459</v>
      </c>
      <c r="D875" s="935" t="s">
        <v>9298</v>
      </c>
      <c r="E875" s="1043" t="s">
        <v>629</v>
      </c>
      <c r="G875" s="827"/>
      <c r="H875" s="809" t="s">
        <v>9302</v>
      </c>
      <c r="I875" s="92">
        <v>32</v>
      </c>
      <c r="J875" s="92" t="s">
        <v>10</v>
      </c>
      <c r="K875" s="92" t="s">
        <v>768</v>
      </c>
      <c r="L875" s="810">
        <v>5</v>
      </c>
      <c r="M875" s="811" t="str">
        <f t="shared" si="65"/>
        <v>High School Graduate</v>
      </c>
      <c r="P875" s="1638"/>
      <c r="X875" s="811" t="str">
        <f t="shared" si="66"/>
        <v/>
      </c>
      <c r="AG875" s="807" t="str">
        <f t="shared" si="64"/>
        <v/>
      </c>
      <c r="AJ875" s="865"/>
    </row>
    <row r="876" spans="1:116" ht="15">
      <c r="A876" s="154" t="s">
        <v>12459</v>
      </c>
      <c r="D876" s="935" t="s">
        <v>9298</v>
      </c>
      <c r="E876" s="1043" t="s">
        <v>629</v>
      </c>
      <c r="G876" s="827"/>
      <c r="H876" s="809" t="s">
        <v>9303</v>
      </c>
      <c r="I876" s="92">
        <v>19</v>
      </c>
      <c r="J876" s="92" t="s">
        <v>18</v>
      </c>
      <c r="K876" s="92" t="s">
        <v>768</v>
      </c>
      <c r="L876" s="810">
        <v>5</v>
      </c>
      <c r="M876" s="811" t="str">
        <f t="shared" si="65"/>
        <v>High School Graduate</v>
      </c>
      <c r="P876" s="1638"/>
      <c r="X876" s="811" t="str">
        <f t="shared" si="66"/>
        <v/>
      </c>
      <c r="AG876" s="807" t="str">
        <f t="shared" si="64"/>
        <v/>
      </c>
      <c r="AJ876" s="865"/>
    </row>
    <row r="877" spans="1:116" ht="15">
      <c r="D877" s="935" t="s">
        <v>9304</v>
      </c>
      <c r="E877" s="809"/>
      <c r="F877" s="809"/>
      <c r="G877" s="827"/>
      <c r="M877" s="811" t="str">
        <f t="shared" si="65"/>
        <v/>
      </c>
      <c r="P877" s="1638"/>
      <c r="X877" s="811" t="str">
        <f t="shared" si="66"/>
        <v/>
      </c>
      <c r="AD877" s="817" t="s">
        <v>9305</v>
      </c>
      <c r="AG877" s="807" t="str">
        <f t="shared" si="64"/>
        <v/>
      </c>
      <c r="AJ877" s="865"/>
    </row>
    <row r="878" spans="1:116" ht="15">
      <c r="D878" s="935"/>
      <c r="G878" s="827"/>
      <c r="M878" s="811" t="str">
        <f t="shared" si="65"/>
        <v/>
      </c>
      <c r="P878" s="1638"/>
      <c r="X878" s="811" t="str">
        <f t="shared" si="66"/>
        <v/>
      </c>
      <c r="AD878" s="817" t="s">
        <v>9306</v>
      </c>
      <c r="AG878" s="807" t="str">
        <f t="shared" si="64"/>
        <v/>
      </c>
      <c r="AJ878" s="865"/>
    </row>
    <row r="879" spans="1:116" ht="15">
      <c r="A879" s="154" t="s">
        <v>12458</v>
      </c>
      <c r="B879" s="292" t="s">
        <v>5671</v>
      </c>
      <c r="C879" s="148" t="s">
        <v>635</v>
      </c>
      <c r="D879" s="935" t="s">
        <v>5671</v>
      </c>
      <c r="E879" s="809"/>
      <c r="F879" s="809"/>
      <c r="G879" s="827"/>
      <c r="H879" s="809" t="s">
        <v>2120</v>
      </c>
      <c r="I879" s="92">
        <v>24</v>
      </c>
      <c r="J879" s="92" t="s">
        <v>10</v>
      </c>
      <c r="K879" s="92" t="s">
        <v>722</v>
      </c>
      <c r="L879" s="810">
        <v>9</v>
      </c>
      <c r="M879" s="811" t="str">
        <f t="shared" si="65"/>
        <v>Vocational Graduate</v>
      </c>
      <c r="N879" s="92" t="s">
        <v>1208</v>
      </c>
      <c r="O879" s="812" t="s">
        <v>9307</v>
      </c>
      <c r="P879" s="1638" t="s">
        <v>12606</v>
      </c>
      <c r="Q879" s="812" t="s">
        <v>9307</v>
      </c>
      <c r="R879" s="92" t="s">
        <v>8234</v>
      </c>
      <c r="S879" s="813">
        <v>12000</v>
      </c>
      <c r="W879" s="815">
        <v>1</v>
      </c>
      <c r="X879" s="811" t="str">
        <f t="shared" si="66"/>
        <v>within the Brgy</v>
      </c>
      <c r="AC879" s="807" t="s">
        <v>9219</v>
      </c>
      <c r="AG879" s="807" t="str">
        <f t="shared" si="64"/>
        <v/>
      </c>
      <c r="AJ879" s="865"/>
    </row>
    <row r="880" spans="1:116" ht="15">
      <c r="A880" s="154" t="s">
        <v>12458</v>
      </c>
      <c r="D880" s="935" t="s">
        <v>5671</v>
      </c>
      <c r="G880" s="827"/>
      <c r="H880" s="809" t="s">
        <v>9308</v>
      </c>
      <c r="I880" s="92">
        <v>22</v>
      </c>
      <c r="J880" s="92" t="s">
        <v>18</v>
      </c>
      <c r="K880" s="92" t="s">
        <v>722</v>
      </c>
      <c r="L880" s="810">
        <v>5</v>
      </c>
      <c r="M880" s="811" t="str">
        <f t="shared" si="65"/>
        <v>High School Graduate</v>
      </c>
      <c r="P880" s="1638"/>
      <c r="R880" s="92"/>
      <c r="X880" s="811" t="str">
        <f t="shared" si="66"/>
        <v/>
      </c>
      <c r="AG880" s="807" t="str">
        <f t="shared" si="64"/>
        <v/>
      </c>
      <c r="AJ880" s="865"/>
    </row>
    <row r="881" spans="1:83" ht="15">
      <c r="A881" s="154" t="s">
        <v>12458</v>
      </c>
      <c r="D881" s="935" t="s">
        <v>5671</v>
      </c>
      <c r="G881" s="827"/>
      <c r="H881" s="809" t="s">
        <v>9309</v>
      </c>
      <c r="I881" s="92">
        <v>2</v>
      </c>
      <c r="J881" s="92" t="s">
        <v>18</v>
      </c>
      <c r="K881" s="92" t="s">
        <v>768</v>
      </c>
      <c r="L881" s="810">
        <v>10</v>
      </c>
      <c r="M881" s="811" t="str">
        <f t="shared" si="65"/>
        <v>Not In School Age</v>
      </c>
      <c r="P881" s="1638"/>
      <c r="R881" s="92"/>
      <c r="X881" s="811" t="str">
        <f t="shared" si="66"/>
        <v/>
      </c>
      <c r="AG881" s="807" t="str">
        <f t="shared" si="64"/>
        <v/>
      </c>
      <c r="AJ881" s="865"/>
    </row>
    <row r="882" spans="1:83" ht="15">
      <c r="A882" s="154" t="s">
        <v>12458</v>
      </c>
      <c r="B882" s="292" t="s">
        <v>5678</v>
      </c>
      <c r="C882" s="140" t="s">
        <v>640</v>
      </c>
      <c r="D882" s="935" t="s">
        <v>9310</v>
      </c>
      <c r="E882" s="809"/>
      <c r="F882" s="809"/>
      <c r="G882" s="827"/>
      <c r="H882" s="809" t="s">
        <v>2121</v>
      </c>
      <c r="I882" s="92">
        <v>48</v>
      </c>
      <c r="J882" s="92" t="s">
        <v>10</v>
      </c>
      <c r="K882" s="92" t="s">
        <v>722</v>
      </c>
      <c r="L882" s="810">
        <v>6</v>
      </c>
      <c r="M882" s="811" t="str">
        <f t="shared" si="65"/>
        <v>College Level</v>
      </c>
      <c r="N882" s="92" t="s">
        <v>1208</v>
      </c>
      <c r="O882" s="812" t="s">
        <v>9311</v>
      </c>
      <c r="P882" s="1638" t="s">
        <v>12606</v>
      </c>
      <c r="Q882" s="812" t="s">
        <v>9311</v>
      </c>
      <c r="R882" s="92" t="s">
        <v>8234</v>
      </c>
      <c r="S882" s="813">
        <v>10000</v>
      </c>
      <c r="X882" s="811" t="str">
        <f t="shared" si="66"/>
        <v/>
      </c>
      <c r="AB882" s="924">
        <v>50</v>
      </c>
      <c r="AG882" s="807" t="str">
        <f t="shared" si="64"/>
        <v/>
      </c>
      <c r="AH882" s="807"/>
      <c r="AI882" s="807"/>
      <c r="AJ882" s="807"/>
      <c r="AK882" s="807"/>
      <c r="AL882" s="807"/>
      <c r="AM882" s="807"/>
      <c r="BC882" s="807"/>
      <c r="BD882" s="807"/>
      <c r="BE882" s="807"/>
      <c r="BF882" s="807"/>
      <c r="BG882" s="807"/>
      <c r="BH882" s="807"/>
      <c r="BI882" s="807"/>
      <c r="BJ882" s="807"/>
      <c r="BK882" s="807"/>
      <c r="BN882" s="807"/>
      <c r="CD882" s="807"/>
      <c r="CE882" s="807"/>
    </row>
    <row r="883" spans="1:83" ht="15">
      <c r="A883" s="154" t="s">
        <v>12458</v>
      </c>
      <c r="D883" s="935" t="s">
        <v>9310</v>
      </c>
      <c r="G883" s="827"/>
      <c r="H883" s="809" t="s">
        <v>2188</v>
      </c>
      <c r="I883" s="92">
        <v>38</v>
      </c>
      <c r="J883" s="92" t="s">
        <v>18</v>
      </c>
      <c r="K883" s="92" t="s">
        <v>722</v>
      </c>
      <c r="L883" s="810">
        <v>6</v>
      </c>
      <c r="M883" s="811" t="str">
        <f t="shared" si="65"/>
        <v>College Level</v>
      </c>
      <c r="N883" s="92" t="s">
        <v>1208</v>
      </c>
      <c r="P883" s="1638"/>
      <c r="R883" s="932"/>
      <c r="S883" s="813">
        <v>2000</v>
      </c>
      <c r="W883" s="815">
        <v>2</v>
      </c>
      <c r="X883" s="811" t="str">
        <f t="shared" si="66"/>
        <v>within the Municipality/City</v>
      </c>
      <c r="AG883" s="807" t="str">
        <f t="shared" si="64"/>
        <v/>
      </c>
      <c r="AH883" s="807"/>
      <c r="AI883" s="807"/>
      <c r="AJ883" s="807"/>
      <c r="AK883" s="807"/>
      <c r="AL883" s="807"/>
      <c r="AM883" s="807"/>
      <c r="BC883" s="807"/>
      <c r="BD883" s="807"/>
      <c r="BE883" s="807"/>
      <c r="BF883" s="807"/>
      <c r="BG883" s="807"/>
      <c r="BH883" s="807"/>
      <c r="BI883" s="807"/>
      <c r="BJ883" s="807"/>
      <c r="BK883" s="807"/>
      <c r="BN883" s="807"/>
      <c r="CD883" s="807"/>
      <c r="CE883" s="807"/>
    </row>
    <row r="884" spans="1:83" ht="15">
      <c r="A884" s="154" t="s">
        <v>12458</v>
      </c>
      <c r="D884" s="935" t="s">
        <v>9310</v>
      </c>
      <c r="G884" s="827"/>
      <c r="H884" s="809" t="s">
        <v>9312</v>
      </c>
      <c r="I884" s="92">
        <v>11</v>
      </c>
      <c r="J884" s="92" t="s">
        <v>18</v>
      </c>
      <c r="K884" s="92" t="s">
        <v>768</v>
      </c>
      <c r="L884" s="810">
        <v>2</v>
      </c>
      <c r="M884" s="811" t="str">
        <f t="shared" si="65"/>
        <v>Elementary Level</v>
      </c>
      <c r="P884" s="1638"/>
      <c r="W884" s="815">
        <v>1</v>
      </c>
      <c r="X884" s="811" t="str">
        <f t="shared" si="66"/>
        <v>within the Brgy</v>
      </c>
      <c r="AG884" s="807" t="str">
        <f t="shared" si="64"/>
        <v/>
      </c>
      <c r="AH884" s="807"/>
      <c r="AI884" s="807"/>
      <c r="AJ884" s="807"/>
      <c r="AK884" s="807"/>
      <c r="AL884" s="807"/>
      <c r="AM884" s="807"/>
      <c r="BC884" s="807"/>
      <c r="BD884" s="807"/>
      <c r="BE884" s="807"/>
      <c r="BF884" s="807"/>
      <c r="BG884" s="807"/>
      <c r="BH884" s="807"/>
      <c r="BI884" s="807"/>
      <c r="BJ884" s="807"/>
      <c r="BK884" s="807"/>
      <c r="BN884" s="807"/>
      <c r="CD884" s="807"/>
      <c r="CE884" s="807"/>
    </row>
    <row r="885" spans="1:83" ht="15">
      <c r="A885" s="154" t="s">
        <v>12458</v>
      </c>
      <c r="D885" s="935" t="s">
        <v>9310</v>
      </c>
      <c r="G885" s="827"/>
      <c r="H885" s="809" t="s">
        <v>9313</v>
      </c>
      <c r="I885" s="92">
        <v>9</v>
      </c>
      <c r="J885" s="92" t="s">
        <v>10</v>
      </c>
      <c r="K885" s="92" t="s">
        <v>768</v>
      </c>
      <c r="L885" s="810">
        <v>2</v>
      </c>
      <c r="M885" s="811" t="str">
        <f t="shared" si="65"/>
        <v>Elementary Level</v>
      </c>
      <c r="P885" s="1638"/>
      <c r="X885" s="811" t="str">
        <f t="shared" si="66"/>
        <v/>
      </c>
      <c r="AG885" s="807" t="str">
        <f t="shared" si="64"/>
        <v/>
      </c>
      <c r="AH885" s="807"/>
      <c r="AI885" s="807"/>
      <c r="AJ885" s="807"/>
      <c r="AK885" s="807"/>
      <c r="AL885" s="807"/>
      <c r="AM885" s="807"/>
      <c r="BC885" s="807"/>
      <c r="BD885" s="807"/>
      <c r="BE885" s="807"/>
      <c r="BF885" s="807"/>
      <c r="BG885" s="807"/>
      <c r="BH885" s="807"/>
      <c r="BI885" s="807"/>
      <c r="BJ885" s="807"/>
      <c r="BK885" s="807"/>
      <c r="BN885" s="807"/>
      <c r="CD885" s="807"/>
      <c r="CE885" s="807"/>
    </row>
    <row r="886" spans="1:83" ht="15">
      <c r="D886" s="935" t="s">
        <v>5681</v>
      </c>
      <c r="E886" s="809"/>
      <c r="F886" s="809"/>
      <c r="G886" s="827"/>
      <c r="H886" s="809" t="s">
        <v>9314</v>
      </c>
      <c r="J886" s="92" t="s">
        <v>10</v>
      </c>
      <c r="M886" s="811" t="str">
        <f t="shared" si="65"/>
        <v/>
      </c>
      <c r="P886" s="1638"/>
      <c r="X886" s="811" t="str">
        <f t="shared" si="66"/>
        <v/>
      </c>
      <c r="AG886" s="807" t="str">
        <f t="shared" si="64"/>
        <v/>
      </c>
      <c r="AH886" s="807"/>
      <c r="AI886" s="807"/>
      <c r="AJ886" s="807"/>
      <c r="AK886" s="807"/>
      <c r="AL886" s="807"/>
      <c r="AM886" s="807"/>
      <c r="BC886" s="807"/>
      <c r="BD886" s="807"/>
      <c r="BE886" s="807"/>
      <c r="BF886" s="807"/>
      <c r="BG886" s="807"/>
      <c r="BH886" s="807"/>
      <c r="BI886" s="807"/>
      <c r="BJ886" s="807"/>
      <c r="BK886" s="807"/>
      <c r="BN886" s="807"/>
      <c r="CD886" s="807"/>
      <c r="CE886" s="807"/>
    </row>
    <row r="887" spans="1:83" ht="15">
      <c r="D887" s="935"/>
      <c r="G887" s="827"/>
      <c r="H887" s="809" t="s">
        <v>9315</v>
      </c>
      <c r="J887" s="92" t="s">
        <v>18</v>
      </c>
      <c r="K887" s="92" t="s">
        <v>20</v>
      </c>
      <c r="M887" s="811" t="str">
        <f t="shared" si="65"/>
        <v/>
      </c>
      <c r="P887" s="1638"/>
      <c r="X887" s="811" t="str">
        <f t="shared" si="66"/>
        <v/>
      </c>
      <c r="AG887" s="807" t="str">
        <f t="shared" si="64"/>
        <v/>
      </c>
      <c r="AH887" s="807"/>
      <c r="AI887" s="807"/>
      <c r="AJ887" s="807"/>
      <c r="AK887" s="807"/>
      <c r="AL887" s="807"/>
      <c r="AM887" s="807"/>
      <c r="BC887" s="807"/>
      <c r="BD887" s="807"/>
      <c r="BE887" s="807"/>
      <c r="BF887" s="807"/>
      <c r="BG887" s="807"/>
      <c r="BH887" s="807"/>
      <c r="BI887" s="807"/>
      <c r="BJ887" s="807"/>
      <c r="BK887" s="807"/>
      <c r="BN887" s="807"/>
      <c r="CD887" s="807"/>
      <c r="CE887" s="807"/>
    </row>
    <row r="888" spans="1:83" ht="15">
      <c r="D888" s="935"/>
      <c r="G888" s="827"/>
      <c r="H888" s="809" t="s">
        <v>2189</v>
      </c>
      <c r="J888" s="92" t="s">
        <v>18</v>
      </c>
      <c r="M888" s="811" t="str">
        <f t="shared" si="65"/>
        <v/>
      </c>
      <c r="P888" s="1638"/>
      <c r="X888" s="811" t="str">
        <f t="shared" si="66"/>
        <v/>
      </c>
      <c r="AG888" s="807" t="str">
        <f t="shared" si="64"/>
        <v/>
      </c>
      <c r="AH888" s="807"/>
      <c r="AI888" s="807"/>
      <c r="AJ888" s="807"/>
      <c r="AK888" s="807"/>
      <c r="AL888" s="807"/>
      <c r="AM888" s="807"/>
      <c r="BC888" s="807"/>
      <c r="BD888" s="807"/>
      <c r="BE888" s="807"/>
      <c r="BF888" s="807"/>
      <c r="BG888" s="807"/>
      <c r="BH888" s="807"/>
      <c r="BI888" s="807"/>
      <c r="BJ888" s="807"/>
      <c r="BK888" s="807"/>
      <c r="BN888" s="807"/>
      <c r="CD888" s="807"/>
      <c r="CE888" s="807"/>
    </row>
    <row r="889" spans="1:83" ht="15">
      <c r="D889" s="935" t="s">
        <v>9316</v>
      </c>
      <c r="E889" s="809"/>
      <c r="F889" s="809"/>
      <c r="G889" s="846" t="s">
        <v>644</v>
      </c>
      <c r="M889" s="811"/>
      <c r="P889" s="1638"/>
      <c r="AG889" s="807" t="str">
        <f t="shared" si="64"/>
        <v/>
      </c>
      <c r="AH889" s="807"/>
      <c r="AI889" s="807"/>
      <c r="AJ889" s="807"/>
      <c r="AK889" s="807"/>
      <c r="AL889" s="807"/>
      <c r="AM889" s="807"/>
      <c r="AO889" s="817" t="s">
        <v>9317</v>
      </c>
      <c r="AP889" s="820">
        <v>2500</v>
      </c>
      <c r="BC889" s="807"/>
      <c r="BD889" s="807"/>
      <c r="BE889" s="807"/>
      <c r="BF889" s="807"/>
      <c r="BG889" s="807"/>
      <c r="BH889" s="807"/>
      <c r="BI889" s="807"/>
      <c r="BJ889" s="807"/>
      <c r="BK889" s="807"/>
      <c r="BN889" s="807"/>
      <c r="CD889" s="807"/>
      <c r="CE889" s="807"/>
    </row>
    <row r="890" spans="1:83" ht="15">
      <c r="D890" s="935"/>
      <c r="G890" s="827"/>
      <c r="M890" s="811"/>
      <c r="P890" s="1638"/>
      <c r="AG890" s="807" t="str">
        <f t="shared" si="64"/>
        <v/>
      </c>
      <c r="AH890" s="807"/>
      <c r="AI890" s="807"/>
      <c r="AJ890" s="807"/>
      <c r="AK890" s="807"/>
      <c r="AL890" s="807"/>
      <c r="AM890" s="807"/>
      <c r="AO890" s="817" t="s">
        <v>9318</v>
      </c>
      <c r="AP890" s="820">
        <v>2300</v>
      </c>
      <c r="BC890" s="807"/>
      <c r="BD890" s="807"/>
      <c r="BE890" s="807"/>
      <c r="BF890" s="807"/>
      <c r="BG890" s="807"/>
      <c r="BH890" s="807"/>
      <c r="BI890" s="807"/>
      <c r="BJ890" s="807"/>
      <c r="BK890" s="807"/>
      <c r="BN890" s="807"/>
      <c r="CD890" s="807"/>
      <c r="CE890" s="807"/>
    </row>
    <row r="891" spans="1:83" ht="15">
      <c r="D891" s="935"/>
      <c r="G891" s="827"/>
      <c r="M891" s="811"/>
      <c r="P891" s="1638"/>
      <c r="AG891" s="807" t="str">
        <f t="shared" si="64"/>
        <v/>
      </c>
      <c r="AH891" s="807"/>
      <c r="AI891" s="807"/>
      <c r="AJ891" s="807"/>
      <c r="AK891" s="807"/>
      <c r="AL891" s="807"/>
      <c r="AM891" s="807"/>
      <c r="AO891" s="817" t="s">
        <v>9319</v>
      </c>
      <c r="AP891" s="820">
        <v>2700</v>
      </c>
      <c r="BC891" s="807"/>
      <c r="BD891" s="807"/>
      <c r="BE891" s="807"/>
      <c r="BF891" s="807"/>
      <c r="BG891" s="807"/>
      <c r="BH891" s="807"/>
      <c r="BI891" s="807"/>
      <c r="BJ891" s="807"/>
      <c r="BK891" s="807"/>
      <c r="BN891" s="807"/>
      <c r="CD891" s="807"/>
      <c r="CE891" s="807"/>
    </row>
    <row r="892" spans="1:83" ht="15">
      <c r="D892" s="935" t="s">
        <v>5690</v>
      </c>
      <c r="E892" s="809"/>
      <c r="F892" s="809"/>
      <c r="G892" s="846" t="s">
        <v>644</v>
      </c>
      <c r="H892" s="809" t="s">
        <v>2122</v>
      </c>
      <c r="J892" s="92" t="s">
        <v>18</v>
      </c>
      <c r="M892" s="811" t="str">
        <f>IF(ISBLANK(L892)=TRUE,"",LOOKUP(L892,GQ:GR))</f>
        <v/>
      </c>
      <c r="P892" s="1638"/>
      <c r="X892" s="811" t="str">
        <f>IF(ISBLANK(W892)=TRUE,"",LOOKUP(W892,GO:GP))</f>
        <v/>
      </c>
      <c r="AG892" s="807" t="str">
        <f t="shared" si="64"/>
        <v/>
      </c>
      <c r="AH892" s="807"/>
      <c r="AI892" s="807"/>
      <c r="AJ892" s="807"/>
      <c r="AK892" s="807"/>
      <c r="AL892" s="807"/>
      <c r="AM892" s="807"/>
      <c r="BC892" s="807"/>
      <c r="BD892" s="807"/>
      <c r="BE892" s="807"/>
      <c r="BF892" s="807"/>
      <c r="BG892" s="807"/>
      <c r="BH892" s="807"/>
      <c r="BI892" s="807"/>
      <c r="BJ892" s="807"/>
      <c r="BK892" s="807"/>
      <c r="BN892" s="807"/>
      <c r="CD892" s="807"/>
      <c r="CE892" s="807"/>
    </row>
    <row r="893" spans="1:83" ht="15">
      <c r="D893" s="935"/>
      <c r="G893" s="846"/>
      <c r="H893" s="809" t="s">
        <v>9320</v>
      </c>
      <c r="J893" s="92" t="s">
        <v>18</v>
      </c>
      <c r="M893" s="811" t="str">
        <f>IF(ISBLANK(L893)=TRUE,"",LOOKUP(L893,GQ:GR))</f>
        <v/>
      </c>
      <c r="P893" s="1638"/>
      <c r="X893" s="811" t="str">
        <f>IF(ISBLANK(W893)=TRUE,"",LOOKUP(W893,GO:GP))</f>
        <v/>
      </c>
      <c r="AG893" s="807" t="str">
        <f t="shared" si="64"/>
        <v/>
      </c>
      <c r="AH893" s="807"/>
      <c r="AI893" s="807"/>
      <c r="AJ893" s="807"/>
      <c r="AK893" s="807"/>
      <c r="AL893" s="807"/>
      <c r="AM893" s="807"/>
      <c r="BC893" s="807"/>
      <c r="BD893" s="807"/>
      <c r="BE893" s="807"/>
      <c r="BF893" s="807"/>
      <c r="BG893" s="807"/>
      <c r="BH893" s="807"/>
      <c r="BI893" s="807"/>
      <c r="BJ893" s="807"/>
      <c r="BK893" s="807"/>
      <c r="BN893" s="807"/>
      <c r="CD893" s="807"/>
      <c r="CE893" s="807"/>
    </row>
    <row r="894" spans="1:83" ht="15">
      <c r="A894" s="343" t="s">
        <v>12458</v>
      </c>
      <c r="B894" s="292" t="s">
        <v>5692</v>
      </c>
      <c r="C894" s="140" t="s">
        <v>644</v>
      </c>
      <c r="D894" s="935" t="s">
        <v>5692</v>
      </c>
      <c r="E894" s="809"/>
      <c r="F894" s="809"/>
      <c r="G894" s="846" t="s">
        <v>644</v>
      </c>
      <c r="H894" s="809" t="s">
        <v>2123</v>
      </c>
      <c r="I894" s="92">
        <v>32</v>
      </c>
      <c r="J894" s="92" t="s">
        <v>10</v>
      </c>
      <c r="K894" s="92" t="s">
        <v>722</v>
      </c>
      <c r="L894" s="810">
        <v>4</v>
      </c>
      <c r="M894" s="811" t="str">
        <f>IF(ISBLANK(L894)=TRUE,"",LOOKUP(L894,GQ:GR))</f>
        <v>High School Level</v>
      </c>
      <c r="N894" s="92" t="s">
        <v>1208</v>
      </c>
      <c r="P894" s="1638"/>
      <c r="R894" s="812" t="s">
        <v>1208</v>
      </c>
      <c r="S894" s="813">
        <v>11500</v>
      </c>
      <c r="W894" s="815">
        <v>2</v>
      </c>
      <c r="X894" s="811" t="str">
        <f>IF(ISBLANK(W894)=TRUE,"",LOOKUP(W894,GO:GP))</f>
        <v>within the Municipality/City</v>
      </c>
      <c r="AG894" s="807" t="str">
        <f t="shared" si="64"/>
        <v/>
      </c>
      <c r="AH894" s="807"/>
      <c r="AI894" s="807"/>
      <c r="AJ894" s="807"/>
      <c r="AK894" s="807"/>
      <c r="AL894" s="807"/>
      <c r="AM894" s="807"/>
      <c r="BC894" s="807"/>
      <c r="BD894" s="807"/>
      <c r="BE894" s="807"/>
      <c r="BF894" s="807"/>
      <c r="BG894" s="807"/>
      <c r="BH894" s="807"/>
      <c r="BI894" s="807"/>
      <c r="BJ894" s="807"/>
      <c r="BK894" s="807"/>
      <c r="BN894" s="807"/>
      <c r="CD894" s="807"/>
      <c r="CE894" s="807"/>
    </row>
    <row r="895" spans="1:83" ht="15">
      <c r="A895" s="343" t="s">
        <v>12458</v>
      </c>
      <c r="D895" s="935" t="s">
        <v>7659</v>
      </c>
      <c r="G895" s="827"/>
      <c r="H895" s="809" t="s">
        <v>2190</v>
      </c>
      <c r="I895" s="92">
        <v>26</v>
      </c>
      <c r="J895" s="92" t="s">
        <v>18</v>
      </c>
      <c r="K895" s="92" t="s">
        <v>722</v>
      </c>
      <c r="L895" s="810">
        <v>4</v>
      </c>
      <c r="M895" s="811" t="str">
        <f>IF(ISBLANK(L895)=TRUE,"",LOOKUP(L895,GQ:GR))</f>
        <v>High School Level</v>
      </c>
      <c r="P895" s="1638"/>
      <c r="X895" s="811" t="str">
        <f>IF(ISBLANK(W895)=TRUE,"",LOOKUP(W895,GO:GP))</f>
        <v/>
      </c>
      <c r="AG895" s="807" t="str">
        <f t="shared" si="64"/>
        <v/>
      </c>
      <c r="AH895" s="807"/>
      <c r="AI895" s="807"/>
      <c r="AJ895" s="807"/>
      <c r="AK895" s="807"/>
      <c r="AL895" s="807"/>
      <c r="AM895" s="807"/>
      <c r="BC895" s="807"/>
      <c r="BD895" s="807"/>
      <c r="BE895" s="807"/>
      <c r="BF895" s="807"/>
      <c r="BG895" s="807"/>
      <c r="BH895" s="807"/>
      <c r="BI895" s="807"/>
      <c r="BJ895" s="807"/>
      <c r="BK895" s="807"/>
      <c r="BN895" s="807"/>
      <c r="CD895" s="807"/>
      <c r="CE895" s="807"/>
    </row>
    <row r="896" spans="1:83" ht="15">
      <c r="A896" s="343" t="s">
        <v>12458</v>
      </c>
      <c r="D896" s="935" t="s">
        <v>12565</v>
      </c>
      <c r="G896" s="827"/>
      <c r="H896" s="809" t="s">
        <v>9321</v>
      </c>
      <c r="I896" s="92">
        <v>2</v>
      </c>
      <c r="J896" s="92" t="s">
        <v>18</v>
      </c>
      <c r="K896" s="92" t="s">
        <v>768</v>
      </c>
      <c r="L896" s="810">
        <v>10</v>
      </c>
      <c r="M896" s="811" t="str">
        <f>IF(ISBLANK(L896)=TRUE,"",LOOKUP(L896,GQ:GR))</f>
        <v>Not In School Age</v>
      </c>
      <c r="P896" s="1638"/>
      <c r="X896" s="811" t="str">
        <f>IF(ISBLANK(W896)=TRUE,"",LOOKUP(W896,GO:GP))</f>
        <v/>
      </c>
      <c r="AG896" s="807" t="str">
        <f t="shared" si="64"/>
        <v/>
      </c>
      <c r="AH896" s="807"/>
      <c r="AI896" s="807"/>
      <c r="AJ896" s="807"/>
      <c r="AK896" s="807"/>
      <c r="AL896" s="807"/>
      <c r="AM896" s="807"/>
      <c r="BC896" s="807"/>
      <c r="BD896" s="807"/>
      <c r="BE896" s="807"/>
      <c r="BF896" s="807"/>
      <c r="BG896" s="807"/>
      <c r="BH896" s="807"/>
      <c r="BI896" s="807"/>
      <c r="BJ896" s="807"/>
      <c r="BK896" s="807"/>
      <c r="BN896" s="807"/>
      <c r="CD896" s="807"/>
      <c r="CE896" s="807"/>
    </row>
    <row r="897" spans="1:83" ht="15">
      <c r="D897" s="935" t="s">
        <v>9322</v>
      </c>
      <c r="E897" s="809"/>
      <c r="F897" s="809"/>
      <c r="G897" s="846" t="s">
        <v>645</v>
      </c>
      <c r="M897" s="811"/>
      <c r="P897" s="1638"/>
      <c r="AG897" s="807" t="str">
        <f t="shared" si="64"/>
        <v/>
      </c>
      <c r="AH897" s="807"/>
      <c r="AI897" s="807"/>
      <c r="AJ897" s="807"/>
      <c r="AK897" s="807"/>
      <c r="AL897" s="807"/>
      <c r="AM897" s="807"/>
      <c r="AO897" s="817" t="s">
        <v>9323</v>
      </c>
      <c r="AP897" s="820">
        <v>2500</v>
      </c>
      <c r="BC897" s="807"/>
      <c r="BD897" s="807"/>
      <c r="BE897" s="807"/>
      <c r="BF897" s="807"/>
      <c r="BG897" s="807"/>
      <c r="BH897" s="807"/>
      <c r="BI897" s="807"/>
      <c r="BJ897" s="807"/>
      <c r="BK897" s="807"/>
      <c r="BN897" s="807"/>
      <c r="CD897" s="807"/>
      <c r="CE897" s="807"/>
    </row>
    <row r="898" spans="1:83" ht="15">
      <c r="D898" s="935"/>
      <c r="G898" s="827"/>
      <c r="M898" s="811"/>
      <c r="P898" s="1638"/>
      <c r="AG898" s="807" t="str">
        <f t="shared" si="64"/>
        <v/>
      </c>
      <c r="AH898" s="807"/>
      <c r="AI898" s="807"/>
      <c r="AJ898" s="807"/>
      <c r="AK898" s="807"/>
      <c r="AL898" s="807"/>
      <c r="AM898" s="807"/>
      <c r="AO898" s="817" t="s">
        <v>9324</v>
      </c>
      <c r="AP898" s="820">
        <v>2000</v>
      </c>
      <c r="BC898" s="807"/>
      <c r="BD898" s="807"/>
      <c r="BE898" s="807"/>
      <c r="BF898" s="807"/>
      <c r="BG898" s="807"/>
      <c r="BH898" s="807"/>
      <c r="BI898" s="807"/>
      <c r="BJ898" s="807"/>
      <c r="BK898" s="807"/>
      <c r="BN898" s="807"/>
      <c r="CD898" s="807"/>
      <c r="CE898" s="807"/>
    </row>
    <row r="899" spans="1:83" ht="15">
      <c r="D899" s="935" t="s">
        <v>9325</v>
      </c>
      <c r="E899" s="809"/>
      <c r="F899" s="809"/>
      <c r="G899" s="846" t="s">
        <v>646</v>
      </c>
      <c r="M899" s="811"/>
      <c r="P899" s="1638"/>
      <c r="AG899" s="807" t="str">
        <f t="shared" si="64"/>
        <v/>
      </c>
      <c r="AH899" s="807"/>
      <c r="AI899" s="807"/>
      <c r="AJ899" s="807"/>
      <c r="AK899" s="807"/>
      <c r="AL899" s="807"/>
      <c r="AM899" s="807"/>
      <c r="AO899" s="817" t="s">
        <v>9326</v>
      </c>
      <c r="AP899" s="820">
        <v>1600</v>
      </c>
      <c r="BC899" s="807"/>
      <c r="BD899" s="807"/>
      <c r="BE899" s="807"/>
      <c r="BF899" s="807"/>
      <c r="BG899" s="807"/>
      <c r="BH899" s="807"/>
      <c r="BI899" s="807"/>
      <c r="BJ899" s="807"/>
      <c r="BK899" s="807"/>
      <c r="BN899" s="807"/>
      <c r="CD899" s="807"/>
      <c r="CE899" s="807"/>
    </row>
    <row r="900" spans="1:83" ht="15">
      <c r="D900" s="935"/>
      <c r="E900" s="809"/>
      <c r="F900" s="809"/>
      <c r="G900" s="827"/>
      <c r="M900" s="811"/>
      <c r="P900" s="1638"/>
      <c r="AG900" s="807" t="str">
        <f t="shared" si="64"/>
        <v/>
      </c>
      <c r="AH900" s="807"/>
      <c r="AI900" s="807"/>
      <c r="AJ900" s="807"/>
      <c r="AK900" s="807"/>
      <c r="AL900" s="807"/>
      <c r="AM900" s="807"/>
      <c r="AO900" s="817" t="s">
        <v>9327</v>
      </c>
      <c r="AP900" s="820">
        <v>2000</v>
      </c>
      <c r="BC900" s="807"/>
      <c r="BD900" s="807"/>
      <c r="BE900" s="807"/>
      <c r="BF900" s="807"/>
      <c r="BG900" s="807"/>
      <c r="BH900" s="807"/>
      <c r="BI900" s="807"/>
      <c r="BJ900" s="807"/>
      <c r="BK900" s="807"/>
      <c r="BN900" s="807"/>
      <c r="CD900" s="807"/>
      <c r="CE900" s="807"/>
    </row>
    <row r="901" spans="1:83" ht="15">
      <c r="D901" s="935"/>
      <c r="E901" s="809"/>
      <c r="F901" s="809"/>
      <c r="G901" s="827"/>
      <c r="M901" s="811"/>
      <c r="P901" s="1638"/>
      <c r="AG901" s="807" t="str">
        <f t="shared" si="64"/>
        <v/>
      </c>
      <c r="AH901" s="807"/>
      <c r="AI901" s="807"/>
      <c r="AJ901" s="807"/>
      <c r="AK901" s="807"/>
      <c r="AL901" s="807"/>
      <c r="AM901" s="807"/>
      <c r="AO901" s="817" t="s">
        <v>9328</v>
      </c>
      <c r="AP901" s="820">
        <v>2700</v>
      </c>
      <c r="BC901" s="807"/>
      <c r="BD901" s="807"/>
      <c r="BE901" s="807"/>
      <c r="BF901" s="807"/>
      <c r="BG901" s="807"/>
      <c r="BH901" s="807"/>
      <c r="BI901" s="807"/>
      <c r="BJ901" s="807"/>
      <c r="BK901" s="807"/>
      <c r="BN901" s="807"/>
      <c r="CD901" s="807"/>
      <c r="CE901" s="807"/>
    </row>
    <row r="902" spans="1:83" ht="15">
      <c r="D902" s="935" t="s">
        <v>5697</v>
      </c>
      <c r="E902" s="809"/>
      <c r="F902" s="809"/>
      <c r="G902" s="846" t="s">
        <v>646</v>
      </c>
      <c r="H902" s="809" t="s">
        <v>9329</v>
      </c>
      <c r="J902" s="92" t="s">
        <v>18</v>
      </c>
      <c r="M902" s="811" t="str">
        <f t="shared" ref="M902:M920" si="67">IF(ISBLANK(L902)=TRUE,"",LOOKUP(L902,GQ:GR))</f>
        <v/>
      </c>
      <c r="P902" s="1638"/>
      <c r="X902" s="811" t="str">
        <f t="shared" ref="X902:X920" si="68">IF(ISBLANK(W902)=TRUE,"",LOOKUP(W902,GO:GP))</f>
        <v/>
      </c>
      <c r="AG902" s="807" t="str">
        <f t="shared" si="64"/>
        <v/>
      </c>
      <c r="AH902" s="807"/>
      <c r="AI902" s="807"/>
      <c r="AJ902" s="807"/>
      <c r="AK902" s="807"/>
      <c r="AL902" s="807"/>
      <c r="AM902" s="807"/>
      <c r="BC902" s="807"/>
      <c r="BD902" s="807"/>
      <c r="BE902" s="807"/>
      <c r="BF902" s="807"/>
      <c r="BG902" s="807"/>
      <c r="BH902" s="807"/>
      <c r="BI902" s="807"/>
      <c r="BJ902" s="807"/>
      <c r="BK902" s="807"/>
      <c r="BN902" s="807"/>
      <c r="CD902" s="807"/>
      <c r="CE902" s="807"/>
    </row>
    <row r="903" spans="1:83" ht="15">
      <c r="D903" s="935"/>
      <c r="E903" s="809"/>
      <c r="F903" s="809"/>
      <c r="G903" s="827"/>
      <c r="H903" s="809" t="s">
        <v>9330</v>
      </c>
      <c r="J903" s="92" t="s">
        <v>10</v>
      </c>
      <c r="M903" s="811" t="str">
        <f t="shared" si="67"/>
        <v/>
      </c>
      <c r="P903" s="1638"/>
      <c r="W903" s="815">
        <v>5</v>
      </c>
      <c r="X903" s="811" t="str">
        <f t="shared" si="68"/>
        <v>Overseas Worker</v>
      </c>
      <c r="AG903" s="807" t="str">
        <f t="shared" si="64"/>
        <v/>
      </c>
      <c r="AH903" s="807"/>
      <c r="AI903" s="807"/>
      <c r="AJ903" s="807"/>
      <c r="AK903" s="807"/>
      <c r="AL903" s="807"/>
      <c r="AM903" s="807"/>
      <c r="BC903" s="807"/>
      <c r="BD903" s="807"/>
      <c r="BE903" s="807"/>
      <c r="BF903" s="807"/>
      <c r="BG903" s="807"/>
      <c r="BH903" s="807"/>
      <c r="BI903" s="807"/>
      <c r="BJ903" s="807"/>
      <c r="BK903" s="807"/>
      <c r="BN903" s="807"/>
      <c r="CD903" s="807"/>
      <c r="CE903" s="807"/>
    </row>
    <row r="904" spans="1:83" ht="15">
      <c r="A904" s="954"/>
      <c r="B904" s="831"/>
      <c r="D904" s="935" t="s">
        <v>9331</v>
      </c>
      <c r="E904" s="809"/>
      <c r="F904" s="809"/>
      <c r="G904" s="827"/>
      <c r="H904" s="809" t="s">
        <v>9332</v>
      </c>
      <c r="J904" s="92" t="s">
        <v>10</v>
      </c>
      <c r="M904" s="811" t="str">
        <f t="shared" si="67"/>
        <v/>
      </c>
      <c r="P904" s="1638"/>
      <c r="X904" s="811" t="str">
        <f t="shared" si="68"/>
        <v/>
      </c>
      <c r="AG904" s="807" t="str">
        <f t="shared" si="64"/>
        <v/>
      </c>
      <c r="AH904" s="807"/>
      <c r="AI904" s="807"/>
      <c r="AJ904" s="807"/>
      <c r="AK904" s="807"/>
      <c r="AL904" s="807"/>
      <c r="AM904" s="807"/>
      <c r="BC904" s="807"/>
      <c r="BD904" s="807"/>
      <c r="BE904" s="807"/>
      <c r="BF904" s="807"/>
      <c r="BG904" s="807"/>
      <c r="BH904" s="807"/>
      <c r="BI904" s="807"/>
      <c r="BJ904" s="807"/>
      <c r="BK904" s="807"/>
      <c r="BN904" s="807"/>
      <c r="CD904" s="807"/>
      <c r="CE904" s="807"/>
    </row>
    <row r="905" spans="1:83" ht="15">
      <c r="D905" s="935"/>
      <c r="E905" s="809"/>
      <c r="F905" s="809"/>
      <c r="G905" s="827"/>
      <c r="H905" s="809" t="s">
        <v>9333</v>
      </c>
      <c r="J905" s="92" t="s">
        <v>18</v>
      </c>
      <c r="M905" s="811" t="str">
        <f t="shared" si="67"/>
        <v/>
      </c>
      <c r="P905" s="1638"/>
      <c r="X905" s="811" t="str">
        <f t="shared" si="68"/>
        <v/>
      </c>
      <c r="AG905" s="807" t="str">
        <f t="shared" si="64"/>
        <v/>
      </c>
      <c r="AH905" s="807"/>
      <c r="AI905" s="807"/>
      <c r="AJ905" s="807"/>
      <c r="AK905" s="807"/>
      <c r="AL905" s="807"/>
      <c r="AM905" s="807"/>
      <c r="BC905" s="807"/>
      <c r="BD905" s="807"/>
      <c r="BE905" s="807"/>
      <c r="BF905" s="807"/>
      <c r="BG905" s="807"/>
      <c r="BH905" s="807"/>
      <c r="BI905" s="807"/>
      <c r="BJ905" s="807"/>
      <c r="BK905" s="807"/>
      <c r="BN905" s="807"/>
      <c r="CD905" s="807"/>
      <c r="CE905" s="807"/>
    </row>
    <row r="906" spans="1:83" ht="15">
      <c r="A906" s="954"/>
      <c r="B906" s="831"/>
      <c r="D906" s="935" t="s">
        <v>5705</v>
      </c>
      <c r="E906" s="809"/>
      <c r="F906" s="809"/>
      <c r="G906" s="827"/>
      <c r="H906" s="809" t="s">
        <v>9328</v>
      </c>
      <c r="J906" s="92" t="s">
        <v>10</v>
      </c>
      <c r="M906" s="811" t="str">
        <f t="shared" si="67"/>
        <v/>
      </c>
      <c r="P906" s="1638"/>
      <c r="X906" s="811" t="str">
        <f t="shared" si="68"/>
        <v/>
      </c>
      <c r="AG906" s="807" t="str">
        <f t="shared" si="64"/>
        <v/>
      </c>
      <c r="AH906" s="807"/>
      <c r="AI906" s="807"/>
      <c r="AJ906" s="807"/>
      <c r="AK906" s="807"/>
      <c r="AL906" s="807"/>
      <c r="AM906" s="807"/>
      <c r="BC906" s="807"/>
      <c r="BD906" s="807"/>
      <c r="BE906" s="807"/>
      <c r="BF906" s="807"/>
      <c r="BG906" s="807"/>
      <c r="BH906" s="807"/>
      <c r="BI906" s="807"/>
      <c r="BJ906" s="807"/>
      <c r="BK906" s="807"/>
      <c r="BN906" s="807"/>
      <c r="CD906" s="807"/>
      <c r="CE906" s="807"/>
    </row>
    <row r="907" spans="1:83" ht="15">
      <c r="D907" s="935"/>
      <c r="E907" s="809"/>
      <c r="F907" s="809"/>
      <c r="G907" s="827"/>
      <c r="H907" s="809" t="s">
        <v>9334</v>
      </c>
      <c r="J907" s="92" t="s">
        <v>18</v>
      </c>
      <c r="M907" s="811" t="str">
        <f t="shared" si="67"/>
        <v/>
      </c>
      <c r="P907" s="1638"/>
      <c r="X907" s="811" t="str">
        <f t="shared" si="68"/>
        <v/>
      </c>
      <c r="AG907" s="807" t="str">
        <f t="shared" si="64"/>
        <v/>
      </c>
      <c r="AH907" s="807"/>
      <c r="AI907" s="807"/>
      <c r="AJ907" s="807"/>
      <c r="AK907" s="807"/>
      <c r="AL907" s="807"/>
      <c r="AM907" s="807"/>
      <c r="BC907" s="807"/>
      <c r="BD907" s="807"/>
      <c r="BE907" s="807"/>
      <c r="BF907" s="807"/>
      <c r="BG907" s="807"/>
      <c r="BH907" s="807"/>
      <c r="BI907" s="807"/>
      <c r="BJ907" s="807"/>
      <c r="BK907" s="807"/>
      <c r="BN907" s="807"/>
      <c r="CD907" s="807"/>
      <c r="CE907" s="807"/>
    </row>
    <row r="908" spans="1:83" ht="15">
      <c r="A908" s="954"/>
      <c r="B908" s="831"/>
      <c r="D908" s="935" t="s">
        <v>9335</v>
      </c>
      <c r="E908" s="809"/>
      <c r="F908" s="809"/>
      <c r="G908" s="827"/>
      <c r="H908" s="809" t="s">
        <v>2192</v>
      </c>
      <c r="J908" s="92" t="s">
        <v>10</v>
      </c>
      <c r="M908" s="811" t="str">
        <f t="shared" si="67"/>
        <v/>
      </c>
      <c r="P908" s="1638"/>
      <c r="X908" s="811" t="str">
        <f t="shared" si="68"/>
        <v/>
      </c>
      <c r="AE908" s="93" t="s">
        <v>9336</v>
      </c>
      <c r="AF908" s="818">
        <v>1</v>
      </c>
      <c r="AG908" s="807" t="str">
        <f t="shared" si="64"/>
        <v>Mental disabilities or PWD</v>
      </c>
      <c r="AH908" s="807"/>
      <c r="AI908" s="807"/>
      <c r="AJ908" s="807"/>
      <c r="AK908" s="807"/>
      <c r="AL908" s="807"/>
      <c r="AM908" s="807"/>
      <c r="BC908" s="807"/>
      <c r="BD908" s="807"/>
      <c r="BE908" s="807"/>
      <c r="BF908" s="807"/>
      <c r="BG908" s="807"/>
      <c r="BH908" s="807"/>
      <c r="BI908" s="807"/>
      <c r="BJ908" s="807"/>
      <c r="BK908" s="807"/>
      <c r="BN908" s="807"/>
      <c r="CD908" s="807"/>
      <c r="CE908" s="807"/>
    </row>
    <row r="909" spans="1:83" ht="15">
      <c r="A909" s="954"/>
      <c r="B909" s="831"/>
      <c r="D909" s="935"/>
      <c r="G909" s="827"/>
      <c r="H909" s="809" t="s">
        <v>9337</v>
      </c>
      <c r="J909" s="92" t="s">
        <v>18</v>
      </c>
      <c r="M909" s="811" t="str">
        <f t="shared" si="67"/>
        <v/>
      </c>
      <c r="P909" s="1638"/>
      <c r="X909" s="811" t="str">
        <f t="shared" si="68"/>
        <v/>
      </c>
      <c r="AG909" s="807" t="str">
        <f t="shared" si="64"/>
        <v/>
      </c>
      <c r="AH909" s="807"/>
      <c r="AI909" s="807"/>
      <c r="AJ909" s="807"/>
      <c r="AK909" s="807"/>
      <c r="AL909" s="807"/>
      <c r="AM909" s="807"/>
      <c r="BC909" s="807"/>
      <c r="BD909" s="807"/>
      <c r="BE909" s="807"/>
      <c r="BF909" s="807"/>
      <c r="BG909" s="807"/>
      <c r="BH909" s="807"/>
      <c r="BI909" s="807"/>
      <c r="BJ909" s="807"/>
      <c r="BK909" s="807"/>
      <c r="BN909" s="807"/>
      <c r="CD909" s="807"/>
      <c r="CE909" s="807"/>
    </row>
    <row r="910" spans="1:83" ht="15">
      <c r="D910" s="935"/>
      <c r="G910" s="827"/>
      <c r="H910" s="809" t="s">
        <v>9338</v>
      </c>
      <c r="J910" s="92" t="s">
        <v>10</v>
      </c>
      <c r="M910" s="811" t="str">
        <f t="shared" si="67"/>
        <v/>
      </c>
      <c r="P910" s="1638"/>
      <c r="X910" s="811" t="str">
        <f t="shared" si="68"/>
        <v/>
      </c>
      <c r="AG910" s="807" t="str">
        <f t="shared" ref="AG910:AG963" si="69">IF(ISBLANK(AF910)=TRUE,"",LOOKUP(AF910,GS:GT))</f>
        <v/>
      </c>
      <c r="AH910" s="807"/>
      <c r="AI910" s="807"/>
      <c r="AJ910" s="807"/>
      <c r="AK910" s="807"/>
      <c r="AL910" s="807"/>
      <c r="AM910" s="807"/>
      <c r="BC910" s="807"/>
      <c r="BD910" s="807"/>
      <c r="BE910" s="807"/>
      <c r="BF910" s="807"/>
      <c r="BG910" s="807"/>
      <c r="BH910" s="807"/>
      <c r="BI910" s="807"/>
      <c r="BJ910" s="807"/>
      <c r="BK910" s="807"/>
      <c r="BN910" s="807"/>
      <c r="CD910" s="807"/>
      <c r="CE910" s="807"/>
    </row>
    <row r="911" spans="1:83" ht="15">
      <c r="A911" s="154" t="s">
        <v>7419</v>
      </c>
      <c r="B911" s="292" t="s">
        <v>5711</v>
      </c>
      <c r="C911" s="140" t="s">
        <v>651</v>
      </c>
      <c r="D911" s="935" t="s">
        <v>9339</v>
      </c>
      <c r="E911" s="809"/>
      <c r="F911" s="809"/>
      <c r="G911" s="841" t="s">
        <v>651</v>
      </c>
      <c r="H911" s="1639" t="s">
        <v>9340</v>
      </c>
      <c r="I911" s="1044">
        <v>60</v>
      </c>
      <c r="J911" s="1044" t="s">
        <v>10</v>
      </c>
      <c r="K911" s="1044"/>
      <c r="L911" s="1640"/>
      <c r="M911" s="1641" t="str">
        <f t="shared" si="67"/>
        <v/>
      </c>
      <c r="N911" s="1044"/>
      <c r="O911" s="1642"/>
      <c r="P911" s="1643"/>
      <c r="Q911" s="1642"/>
      <c r="R911" s="1044" t="s">
        <v>8234</v>
      </c>
      <c r="S911" s="1646"/>
      <c r="T911" s="1646"/>
      <c r="U911" s="1646"/>
      <c r="X911" s="811" t="str">
        <f t="shared" si="68"/>
        <v/>
      </c>
      <c r="AD911" s="817" t="s">
        <v>9341</v>
      </c>
      <c r="AG911" s="807" t="str">
        <f t="shared" si="69"/>
        <v/>
      </c>
      <c r="AH911" s="807"/>
      <c r="AI911" s="807"/>
      <c r="AJ911" s="807"/>
      <c r="AK911" s="807"/>
      <c r="AL911" s="807"/>
      <c r="AM911" s="807"/>
      <c r="BC911" s="807"/>
      <c r="BD911" s="807"/>
      <c r="BE911" s="807"/>
      <c r="BF911" s="807"/>
      <c r="BG911" s="807"/>
      <c r="BH911" s="807"/>
      <c r="BI911" s="807"/>
      <c r="BJ911" s="807"/>
      <c r="BK911" s="807"/>
      <c r="BN911" s="807"/>
      <c r="CD911" s="807"/>
      <c r="CE911" s="807"/>
    </row>
    <row r="912" spans="1:83" ht="15">
      <c r="C912" s="140" t="s">
        <v>651</v>
      </c>
      <c r="D912" s="935"/>
      <c r="G912" s="827"/>
      <c r="H912" s="809" t="s">
        <v>2193</v>
      </c>
      <c r="J912" s="92" t="s">
        <v>18</v>
      </c>
      <c r="M912" s="811" t="str">
        <f t="shared" si="67"/>
        <v/>
      </c>
      <c r="P912" s="1638"/>
      <c r="X912" s="811" t="str">
        <f t="shared" si="68"/>
        <v/>
      </c>
      <c r="AG912" s="807" t="str">
        <f t="shared" si="69"/>
        <v/>
      </c>
      <c r="AH912" s="807"/>
      <c r="AI912" s="807"/>
      <c r="AJ912" s="807"/>
      <c r="AK912" s="807"/>
      <c r="AL912" s="807"/>
      <c r="AM912" s="807"/>
      <c r="BC912" s="807"/>
      <c r="BD912" s="807"/>
      <c r="BE912" s="807"/>
      <c r="BF912" s="807"/>
      <c r="BG912" s="807"/>
      <c r="BH912" s="807"/>
      <c r="BI912" s="807"/>
      <c r="BJ912" s="807"/>
      <c r="BK912" s="807"/>
      <c r="BN912" s="807"/>
      <c r="CD912" s="807"/>
      <c r="CE912" s="807"/>
    </row>
    <row r="913" spans="1:97" ht="15">
      <c r="D913" s="935" t="s">
        <v>5711</v>
      </c>
      <c r="E913" s="809"/>
      <c r="F913" s="809"/>
      <c r="G913" s="827"/>
      <c r="H913" s="809" t="s">
        <v>2124</v>
      </c>
      <c r="I913" s="92">
        <v>32</v>
      </c>
      <c r="J913" s="92" t="s">
        <v>10</v>
      </c>
      <c r="K913" s="92" t="s">
        <v>707</v>
      </c>
      <c r="L913" s="810">
        <v>5</v>
      </c>
      <c r="M913" s="811" t="str">
        <f t="shared" si="67"/>
        <v>High School Graduate</v>
      </c>
      <c r="N913" s="92" t="s">
        <v>1208</v>
      </c>
      <c r="O913" s="812" t="s">
        <v>2220</v>
      </c>
      <c r="P913" s="1638"/>
      <c r="Q913" s="812" t="s">
        <v>2220</v>
      </c>
      <c r="R913" s="92" t="s">
        <v>8234</v>
      </c>
      <c r="S913" s="813">
        <v>13000</v>
      </c>
      <c r="W913" s="815">
        <v>1</v>
      </c>
      <c r="X913" s="811" t="str">
        <f t="shared" si="68"/>
        <v>within the Brgy</v>
      </c>
      <c r="AG913" s="807" t="str">
        <f t="shared" si="69"/>
        <v/>
      </c>
      <c r="AH913" s="807"/>
      <c r="AI913" s="807"/>
      <c r="AJ913" s="807"/>
      <c r="AK913" s="807"/>
      <c r="AL913" s="807"/>
      <c r="AM913" s="807"/>
      <c r="BC913" s="807"/>
      <c r="BD913" s="807"/>
      <c r="BE913" s="807"/>
      <c r="BF913" s="807"/>
      <c r="BG913" s="807"/>
      <c r="BH913" s="807"/>
      <c r="BI913" s="807"/>
      <c r="BJ913" s="807"/>
      <c r="BK913" s="807"/>
      <c r="BN913" s="807"/>
      <c r="CD913" s="807"/>
      <c r="CE913" s="807"/>
    </row>
    <row r="914" spans="1:97" ht="15">
      <c r="D914" s="935"/>
      <c r="G914" s="827"/>
      <c r="H914" s="809" t="s">
        <v>2193</v>
      </c>
      <c r="I914" s="92">
        <v>28</v>
      </c>
      <c r="J914" s="92" t="s">
        <v>18</v>
      </c>
      <c r="K914" s="92" t="s">
        <v>707</v>
      </c>
      <c r="L914" s="810">
        <v>5</v>
      </c>
      <c r="M914" s="811" t="str">
        <f t="shared" si="67"/>
        <v>High School Graduate</v>
      </c>
      <c r="P914" s="1638"/>
      <c r="X914" s="811" t="str">
        <f t="shared" si="68"/>
        <v/>
      </c>
      <c r="AG914" s="807" t="str">
        <f t="shared" si="69"/>
        <v/>
      </c>
      <c r="AH914" s="807"/>
      <c r="AI914" s="807"/>
      <c r="AJ914" s="807"/>
      <c r="AK914" s="807"/>
      <c r="AL914" s="807"/>
      <c r="AM914" s="807"/>
      <c r="BC914" s="807"/>
      <c r="BD914" s="807"/>
      <c r="BE914" s="807"/>
      <c r="BF914" s="807"/>
      <c r="BG914" s="807"/>
      <c r="BH914" s="807"/>
      <c r="BI914" s="807"/>
      <c r="BJ914" s="807"/>
      <c r="BK914" s="807"/>
      <c r="BN914" s="807"/>
      <c r="CD914" s="807"/>
      <c r="CE914" s="807"/>
    </row>
    <row r="915" spans="1:97" ht="15">
      <c r="D915" s="935"/>
      <c r="G915" s="827"/>
      <c r="H915" s="809" t="s">
        <v>9342</v>
      </c>
      <c r="I915" s="92">
        <v>9</v>
      </c>
      <c r="J915" s="92" t="s">
        <v>10</v>
      </c>
      <c r="K915" s="92" t="s">
        <v>768</v>
      </c>
      <c r="L915" s="810">
        <v>2</v>
      </c>
      <c r="M915" s="811" t="str">
        <f t="shared" si="67"/>
        <v>Elementary Level</v>
      </c>
      <c r="P915" s="1638"/>
      <c r="X915" s="811" t="str">
        <f t="shared" si="68"/>
        <v/>
      </c>
      <c r="AG915" s="807" t="str">
        <f t="shared" si="69"/>
        <v/>
      </c>
      <c r="AH915" s="807"/>
      <c r="AI915" s="807"/>
      <c r="AJ915" s="807"/>
      <c r="AK915" s="807"/>
      <c r="AL915" s="807"/>
      <c r="AM915" s="807"/>
      <c r="BC915" s="807"/>
      <c r="BD915" s="807"/>
      <c r="BE915" s="807"/>
      <c r="BF915" s="807"/>
      <c r="BG915" s="807"/>
      <c r="BH915" s="807"/>
      <c r="BI915" s="807"/>
      <c r="BJ915" s="807"/>
      <c r="BK915" s="807"/>
      <c r="BN915" s="807"/>
      <c r="CD915" s="807"/>
      <c r="CE915" s="807"/>
    </row>
    <row r="916" spans="1:97" ht="15">
      <c r="D916" s="935"/>
      <c r="G916" s="827"/>
      <c r="H916" s="809" t="s">
        <v>9343</v>
      </c>
      <c r="I916" s="930">
        <f>8/12</f>
        <v>0.66666666666666663</v>
      </c>
      <c r="J916" s="92" t="s">
        <v>18</v>
      </c>
      <c r="K916" s="92" t="s">
        <v>768</v>
      </c>
      <c r="L916" s="810">
        <v>10</v>
      </c>
      <c r="M916" s="811" t="str">
        <f t="shared" si="67"/>
        <v>Not In School Age</v>
      </c>
      <c r="P916" s="1638"/>
      <c r="X916" s="811" t="str">
        <f t="shared" si="68"/>
        <v/>
      </c>
      <c r="AG916" s="807" t="str">
        <f t="shared" si="69"/>
        <v/>
      </c>
      <c r="AH916" s="807"/>
      <c r="AI916" s="807"/>
      <c r="AJ916" s="807"/>
      <c r="AK916" s="807"/>
      <c r="AL916" s="807"/>
      <c r="AM916" s="807"/>
      <c r="BC916" s="807"/>
      <c r="BD916" s="807"/>
      <c r="BE916" s="807"/>
      <c r="BF916" s="807"/>
      <c r="BG916" s="807"/>
      <c r="BH916" s="807"/>
      <c r="BI916" s="807"/>
      <c r="BJ916" s="807"/>
      <c r="BK916" s="807"/>
      <c r="BN916" s="807"/>
      <c r="CD916" s="807"/>
      <c r="CE916" s="807"/>
    </row>
    <row r="917" spans="1:97" ht="15">
      <c r="A917" s="154" t="s">
        <v>7419</v>
      </c>
      <c r="B917" s="292" t="s">
        <v>5713</v>
      </c>
      <c r="C917" s="140" t="s">
        <v>655</v>
      </c>
      <c r="D917" s="935" t="s">
        <v>5713</v>
      </c>
      <c r="E917" s="1043" t="s">
        <v>655</v>
      </c>
      <c r="F917" s="1048" t="s">
        <v>1192</v>
      </c>
      <c r="G917" s="841" t="s">
        <v>655</v>
      </c>
      <c r="H917" s="809" t="s">
        <v>1192</v>
      </c>
      <c r="I917" s="92">
        <v>36</v>
      </c>
      <c r="J917" s="92" t="s">
        <v>10</v>
      </c>
      <c r="K917" s="92" t="s">
        <v>768</v>
      </c>
      <c r="L917" s="810">
        <v>9</v>
      </c>
      <c r="M917" s="811" t="str">
        <f t="shared" si="67"/>
        <v>Vocational Graduate</v>
      </c>
      <c r="N917" s="92" t="s">
        <v>1208</v>
      </c>
      <c r="P917" s="1638"/>
      <c r="R917" s="92" t="s">
        <v>1208</v>
      </c>
      <c r="S917" s="813">
        <v>10000</v>
      </c>
      <c r="W917" s="815">
        <v>2</v>
      </c>
      <c r="X917" s="811" t="str">
        <f t="shared" si="68"/>
        <v>within the Municipality/City</v>
      </c>
      <c r="AB917" s="924">
        <v>30</v>
      </c>
      <c r="AG917" s="807" t="str">
        <f t="shared" si="69"/>
        <v/>
      </c>
      <c r="AH917" s="807"/>
      <c r="AI917" s="807"/>
      <c r="AJ917" s="807"/>
      <c r="AK917" s="807"/>
      <c r="AL917" s="807"/>
      <c r="AM917" s="807"/>
      <c r="BC917" s="807"/>
      <c r="BD917" s="807"/>
      <c r="BE917" s="807"/>
      <c r="BF917" s="807"/>
      <c r="BG917" s="807"/>
      <c r="BH917" s="807"/>
      <c r="BI917" s="807"/>
      <c r="BJ917" s="807"/>
      <c r="BK917" s="807"/>
      <c r="BN917" s="807"/>
      <c r="CD917" s="807"/>
      <c r="CE917" s="807"/>
    </row>
    <row r="918" spans="1:97" ht="15">
      <c r="D918" s="935"/>
      <c r="E918" s="1043" t="s">
        <v>655</v>
      </c>
      <c r="G918" s="827"/>
      <c r="H918" s="809" t="s">
        <v>9344</v>
      </c>
      <c r="I918" s="92">
        <v>35</v>
      </c>
      <c r="J918" s="92" t="s">
        <v>18</v>
      </c>
      <c r="K918" s="92" t="s">
        <v>768</v>
      </c>
      <c r="L918" s="810">
        <v>9</v>
      </c>
      <c r="M918" s="811" t="str">
        <f t="shared" si="67"/>
        <v>Vocational Graduate</v>
      </c>
      <c r="N918" s="92" t="s">
        <v>1208</v>
      </c>
      <c r="P918" s="1638"/>
      <c r="R918" s="932"/>
      <c r="S918" s="813">
        <v>15000</v>
      </c>
      <c r="W918" s="815">
        <v>3</v>
      </c>
      <c r="X918" s="811" t="str">
        <f t="shared" si="68"/>
        <v>within the Province</v>
      </c>
      <c r="AG918" s="807" t="str">
        <f t="shared" si="69"/>
        <v/>
      </c>
      <c r="AJ918" s="865"/>
    </row>
    <row r="919" spans="1:97" ht="15">
      <c r="D919" s="935"/>
      <c r="E919" s="1043" t="s">
        <v>655</v>
      </c>
      <c r="G919" s="827"/>
      <c r="H919" s="809" t="s">
        <v>9345</v>
      </c>
      <c r="I919" s="92">
        <v>37</v>
      </c>
      <c r="J919" s="92" t="s">
        <v>18</v>
      </c>
      <c r="K919" s="92" t="s">
        <v>768</v>
      </c>
      <c r="L919" s="810">
        <v>9</v>
      </c>
      <c r="M919" s="811" t="str">
        <f t="shared" si="67"/>
        <v>Vocational Graduate</v>
      </c>
      <c r="P919" s="1638"/>
      <c r="X919" s="811" t="str">
        <f t="shared" si="68"/>
        <v/>
      </c>
      <c r="AG919" s="807" t="str">
        <f t="shared" si="69"/>
        <v/>
      </c>
      <c r="AJ919" s="865"/>
    </row>
    <row r="920" spans="1:97" ht="15">
      <c r="D920" s="935"/>
      <c r="E920" s="1043" t="s">
        <v>655</v>
      </c>
      <c r="G920" s="827"/>
      <c r="H920" s="809" t="s">
        <v>2023</v>
      </c>
      <c r="I920" s="92">
        <v>59</v>
      </c>
      <c r="J920" s="92" t="s">
        <v>18</v>
      </c>
      <c r="K920" s="942"/>
      <c r="L920" s="810">
        <v>5</v>
      </c>
      <c r="M920" s="811" t="str">
        <f t="shared" si="67"/>
        <v>High School Graduate</v>
      </c>
      <c r="P920" s="1638"/>
      <c r="X920" s="811" t="str">
        <f t="shared" si="68"/>
        <v/>
      </c>
      <c r="AG920" s="807" t="str">
        <f t="shared" si="69"/>
        <v/>
      </c>
      <c r="AJ920" s="865"/>
      <c r="CS920" s="807">
        <v>1</v>
      </c>
    </row>
    <row r="921" spans="1:97" ht="15">
      <c r="D921" s="935" t="s">
        <v>5714</v>
      </c>
      <c r="E921" s="809"/>
      <c r="F921" s="809"/>
      <c r="G921" s="846" t="s">
        <v>659</v>
      </c>
      <c r="K921" s="843"/>
      <c r="M921" s="811"/>
      <c r="P921" s="1638"/>
      <c r="AG921" s="807" t="str">
        <f t="shared" si="69"/>
        <v/>
      </c>
      <c r="AJ921" s="865"/>
      <c r="AO921" s="817" t="s">
        <v>9346</v>
      </c>
      <c r="AP921" s="820">
        <v>2500</v>
      </c>
    </row>
    <row r="922" spans="1:97" ht="15">
      <c r="D922" s="935"/>
      <c r="E922" s="809"/>
      <c r="F922" s="809"/>
      <c r="G922" s="846"/>
      <c r="K922" s="843"/>
      <c r="M922" s="811"/>
      <c r="P922" s="1638"/>
      <c r="AG922" s="807" t="str">
        <f t="shared" si="69"/>
        <v/>
      </c>
      <c r="AJ922" s="865"/>
      <c r="AO922" s="817" t="s">
        <v>5720</v>
      </c>
      <c r="AP922" s="820" t="s">
        <v>1071</v>
      </c>
    </row>
    <row r="923" spans="1:97" ht="15">
      <c r="D923" s="935" t="s">
        <v>5719</v>
      </c>
      <c r="E923" s="809"/>
      <c r="F923" s="809"/>
      <c r="G923" s="827" t="s">
        <v>659</v>
      </c>
      <c r="H923" s="809" t="s">
        <v>2125</v>
      </c>
      <c r="I923" s="857"/>
      <c r="J923" s="92" t="s">
        <v>18</v>
      </c>
      <c r="K923" s="942"/>
      <c r="L923" s="858"/>
      <c r="M923" s="859" t="str">
        <f>IF(ISBLANK(L923)=TRUE,"",LOOKUP(L923,GQ:GR))</f>
        <v/>
      </c>
      <c r="P923" s="1638"/>
      <c r="X923" s="811" t="str">
        <f>IF(ISBLANK(W923)=TRUE,"",LOOKUP(W923,GO:GP))</f>
        <v/>
      </c>
      <c r="AG923" s="807" t="str">
        <f t="shared" si="69"/>
        <v/>
      </c>
      <c r="AJ923" s="865"/>
    </row>
    <row r="924" spans="1:97" ht="15">
      <c r="D924" s="935"/>
      <c r="G924" s="827"/>
      <c r="H924" s="809" t="s">
        <v>9347</v>
      </c>
      <c r="I924" s="857"/>
      <c r="J924" s="92" t="s">
        <v>10</v>
      </c>
      <c r="K924" s="942"/>
      <c r="L924" s="858"/>
      <c r="M924" s="859" t="str">
        <f>IF(ISBLANK(L924)=TRUE,"",LOOKUP(L924,GQ:GR))</f>
        <v/>
      </c>
      <c r="P924" s="1638"/>
      <c r="X924" s="811" t="str">
        <f>IF(ISBLANK(W924)=TRUE,"",LOOKUP(W924,GO:GP))</f>
        <v/>
      </c>
      <c r="AG924" s="807" t="str">
        <f t="shared" si="69"/>
        <v/>
      </c>
      <c r="AJ924" s="865"/>
    </row>
    <row r="925" spans="1:97" ht="15">
      <c r="B925" s="831"/>
      <c r="D925" s="935" t="s">
        <v>9348</v>
      </c>
      <c r="E925" s="809"/>
      <c r="F925" s="809"/>
      <c r="G925" s="827" t="s">
        <v>659</v>
      </c>
      <c r="H925" s="809" t="s">
        <v>9349</v>
      </c>
      <c r="I925" s="92">
        <v>80</v>
      </c>
      <c r="J925" s="92" t="s">
        <v>10</v>
      </c>
      <c r="K925" s="942"/>
      <c r="L925" s="858"/>
      <c r="M925" s="859"/>
      <c r="P925" s="1638"/>
      <c r="AD925" s="817" t="s">
        <v>9350</v>
      </c>
      <c r="AE925" s="93" t="s">
        <v>9351</v>
      </c>
      <c r="AF925" s="818">
        <v>1</v>
      </c>
      <c r="AG925" s="807" t="str">
        <f t="shared" si="69"/>
        <v>Mental disabilities or PWD</v>
      </c>
      <c r="AJ925" s="865"/>
    </row>
    <row r="926" spans="1:97" ht="15">
      <c r="D926" s="935"/>
      <c r="G926" s="827"/>
      <c r="H926" s="809" t="s">
        <v>9352</v>
      </c>
      <c r="I926" s="92">
        <v>79</v>
      </c>
      <c r="J926" s="92" t="s">
        <v>18</v>
      </c>
      <c r="K926" s="942"/>
      <c r="L926" s="858"/>
      <c r="M926" s="859"/>
      <c r="P926" s="1638"/>
      <c r="AD926" s="817" t="s">
        <v>9353</v>
      </c>
      <c r="AG926" s="807" t="str">
        <f t="shared" si="69"/>
        <v/>
      </c>
      <c r="AJ926" s="865"/>
    </row>
    <row r="927" spans="1:97" ht="15">
      <c r="D927" s="935"/>
      <c r="G927" s="827"/>
      <c r="H927" s="809" t="s">
        <v>9354</v>
      </c>
      <c r="J927" s="92" t="s">
        <v>10</v>
      </c>
      <c r="K927" s="942"/>
      <c r="L927" s="858"/>
      <c r="M927" s="859"/>
      <c r="P927" s="1638"/>
      <c r="AG927" s="807" t="str">
        <f t="shared" si="69"/>
        <v/>
      </c>
      <c r="AJ927" s="865"/>
    </row>
    <row r="928" spans="1:97" ht="15">
      <c r="A928" s="954"/>
      <c r="B928" s="831"/>
      <c r="D928" s="935" t="s">
        <v>9355</v>
      </c>
      <c r="E928" s="809"/>
      <c r="F928" s="809"/>
      <c r="G928" s="846" t="s">
        <v>664</v>
      </c>
      <c r="K928" s="942"/>
      <c r="L928" s="858"/>
      <c r="M928" s="859"/>
      <c r="P928" s="1638"/>
      <c r="AG928" s="807" t="str">
        <f t="shared" si="69"/>
        <v/>
      </c>
      <c r="AJ928" s="865"/>
      <c r="AO928" s="817" t="s">
        <v>9356</v>
      </c>
      <c r="AP928" s="820">
        <v>3000</v>
      </c>
    </row>
    <row r="929" spans="1:98" ht="15">
      <c r="D929" s="935"/>
      <c r="E929" s="809"/>
      <c r="F929" s="809"/>
      <c r="G929" s="827"/>
      <c r="K929" s="942"/>
      <c r="L929" s="858"/>
      <c r="M929" s="859"/>
      <c r="P929" s="1638"/>
      <c r="AG929" s="807" t="str">
        <f t="shared" si="69"/>
        <v/>
      </c>
      <c r="AJ929" s="865"/>
      <c r="AO929" s="817" t="s">
        <v>9357</v>
      </c>
      <c r="AP929" s="820">
        <v>3000</v>
      </c>
    </row>
    <row r="930" spans="1:98" ht="15">
      <c r="D930" s="935"/>
      <c r="G930" s="827"/>
      <c r="K930" s="942"/>
      <c r="L930" s="858"/>
      <c r="M930" s="859"/>
      <c r="P930" s="1638"/>
      <c r="AG930" s="807" t="str">
        <f t="shared" si="69"/>
        <v/>
      </c>
      <c r="AJ930" s="865"/>
      <c r="AO930" s="817" t="s">
        <v>9358</v>
      </c>
      <c r="AP930" s="820">
        <v>2500</v>
      </c>
    </row>
    <row r="931" spans="1:98" ht="15">
      <c r="A931" s="954"/>
      <c r="B931" s="831"/>
      <c r="D931" s="935" t="s">
        <v>5730</v>
      </c>
      <c r="E931" s="809"/>
      <c r="F931" s="809"/>
      <c r="G931" s="827"/>
      <c r="K931" s="942"/>
      <c r="L931" s="858"/>
      <c r="M931" s="859"/>
      <c r="P931" s="1638"/>
      <c r="AG931" s="807" t="str">
        <f t="shared" si="69"/>
        <v/>
      </c>
      <c r="AJ931" s="865"/>
    </row>
    <row r="932" spans="1:98" ht="15">
      <c r="A932" s="954"/>
      <c r="B932" s="831"/>
      <c r="D932" s="935" t="s">
        <v>5722</v>
      </c>
      <c r="E932" s="809"/>
      <c r="F932" s="809"/>
      <c r="G932" s="827"/>
      <c r="H932" s="809" t="s">
        <v>9359</v>
      </c>
      <c r="I932" s="92">
        <v>31</v>
      </c>
      <c r="J932" s="92" t="s">
        <v>10</v>
      </c>
      <c r="K932" s="942"/>
      <c r="L932" s="858"/>
      <c r="M932" s="859" t="str">
        <f t="shared" ref="M932:M963" si="70">IF(ISBLANK(L932)=TRUE,"",LOOKUP(L932,GQ:GR))</f>
        <v/>
      </c>
      <c r="P932" s="1638"/>
      <c r="X932" s="811" t="str">
        <f t="shared" ref="X932:X945" si="71">IF(ISBLANK(W932)=TRUE,"",LOOKUP(W932,GO:GP))</f>
        <v/>
      </c>
      <c r="AG932" s="807" t="str">
        <f t="shared" si="69"/>
        <v/>
      </c>
      <c r="AJ932" s="865"/>
    </row>
    <row r="933" spans="1:98" ht="15">
      <c r="D933" s="935"/>
      <c r="G933" s="827"/>
      <c r="H933" s="809" t="s">
        <v>9360</v>
      </c>
      <c r="I933" s="92">
        <v>32</v>
      </c>
      <c r="J933" s="92" t="s">
        <v>18</v>
      </c>
      <c r="K933" s="942"/>
      <c r="L933" s="858"/>
      <c r="M933" s="859" t="str">
        <f t="shared" si="70"/>
        <v/>
      </c>
      <c r="P933" s="1638"/>
      <c r="X933" s="811" t="str">
        <f t="shared" si="71"/>
        <v/>
      </c>
      <c r="AG933" s="807" t="str">
        <f t="shared" si="69"/>
        <v/>
      </c>
      <c r="AJ933" s="865"/>
    </row>
    <row r="934" spans="1:98" ht="15">
      <c r="A934" s="954"/>
      <c r="B934" s="831"/>
      <c r="D934" s="935" t="s">
        <v>5725</v>
      </c>
      <c r="E934" s="809"/>
      <c r="F934" s="809"/>
      <c r="G934" s="827"/>
      <c r="H934" s="809" t="s">
        <v>9361</v>
      </c>
      <c r="I934" s="857"/>
      <c r="J934" s="92" t="s">
        <v>18</v>
      </c>
      <c r="K934" s="942"/>
      <c r="L934" s="858"/>
      <c r="M934" s="859" t="str">
        <f t="shared" si="70"/>
        <v/>
      </c>
      <c r="P934" s="1638"/>
      <c r="X934" s="811" t="str">
        <f t="shared" si="71"/>
        <v/>
      </c>
      <c r="AG934" s="807" t="str">
        <f t="shared" si="69"/>
        <v/>
      </c>
      <c r="AJ934" s="865"/>
    </row>
    <row r="935" spans="1:98" ht="15">
      <c r="A935" s="154" t="s">
        <v>7419</v>
      </c>
      <c r="B935" s="292" t="s">
        <v>7667</v>
      </c>
      <c r="C935" s="140" t="s">
        <v>667</v>
      </c>
      <c r="D935" s="935" t="s">
        <v>9362</v>
      </c>
      <c r="E935" s="1043" t="s">
        <v>667</v>
      </c>
      <c r="F935" s="1048" t="s">
        <v>2126</v>
      </c>
      <c r="G935" s="827" t="s">
        <v>667</v>
      </c>
      <c r="H935" s="809" t="s">
        <v>2126</v>
      </c>
      <c r="I935" s="92">
        <v>35</v>
      </c>
      <c r="J935" s="92" t="s">
        <v>10</v>
      </c>
      <c r="K935" s="92" t="s">
        <v>707</v>
      </c>
      <c r="L935" s="810">
        <v>5</v>
      </c>
      <c r="M935" s="811" t="str">
        <f t="shared" si="70"/>
        <v>High School Graduate</v>
      </c>
      <c r="N935" s="92" t="s">
        <v>1208</v>
      </c>
      <c r="O935" s="812" t="s">
        <v>9363</v>
      </c>
      <c r="P935" s="1638" t="s">
        <v>12606</v>
      </c>
      <c r="Q935" s="812" t="s">
        <v>9363</v>
      </c>
      <c r="R935" s="92" t="s">
        <v>8234</v>
      </c>
      <c r="S935" s="813">
        <v>11544</v>
      </c>
      <c r="W935" s="815">
        <v>1</v>
      </c>
      <c r="X935" s="811" t="str">
        <f t="shared" si="71"/>
        <v>within the Brgy</v>
      </c>
      <c r="AC935" s="807" t="s">
        <v>9364</v>
      </c>
      <c r="AD935" s="817" t="s">
        <v>9365</v>
      </c>
      <c r="AG935" s="807" t="str">
        <f t="shared" si="69"/>
        <v/>
      </c>
      <c r="AJ935" s="865"/>
    </row>
    <row r="936" spans="1:98" ht="15">
      <c r="A936" s="154" t="s">
        <v>7419</v>
      </c>
      <c r="D936" s="935" t="s">
        <v>9362</v>
      </c>
      <c r="E936" s="1043" t="s">
        <v>667</v>
      </c>
      <c r="G936" s="827"/>
      <c r="H936" s="809" t="s">
        <v>9366</v>
      </c>
      <c r="I936" s="92">
        <v>37</v>
      </c>
      <c r="J936" s="92" t="s">
        <v>18</v>
      </c>
      <c r="K936" s="92" t="s">
        <v>707</v>
      </c>
      <c r="L936" s="810">
        <v>5</v>
      </c>
      <c r="M936" s="811" t="str">
        <f t="shared" si="70"/>
        <v>High School Graduate</v>
      </c>
      <c r="P936" s="1638"/>
      <c r="X936" s="811" t="str">
        <f t="shared" si="71"/>
        <v/>
      </c>
      <c r="AG936" s="807" t="str">
        <f t="shared" si="69"/>
        <v/>
      </c>
      <c r="AJ936" s="865"/>
    </row>
    <row r="937" spans="1:98" ht="15">
      <c r="A937" s="154" t="s">
        <v>7419</v>
      </c>
      <c r="D937" s="935" t="s">
        <v>9362</v>
      </c>
      <c r="E937" s="1043" t="s">
        <v>667</v>
      </c>
      <c r="G937" s="827"/>
      <c r="H937" s="809" t="s">
        <v>9367</v>
      </c>
      <c r="I937" s="92">
        <v>12</v>
      </c>
      <c r="J937" s="92" t="s">
        <v>18</v>
      </c>
      <c r="K937" s="92" t="s">
        <v>768</v>
      </c>
      <c r="L937" s="810">
        <v>2</v>
      </c>
      <c r="M937" s="811" t="str">
        <f t="shared" si="70"/>
        <v>Elementary Level</v>
      </c>
      <c r="P937" s="1638"/>
      <c r="X937" s="811" t="str">
        <f t="shared" si="71"/>
        <v/>
      </c>
      <c r="AG937" s="807" t="str">
        <f t="shared" si="69"/>
        <v/>
      </c>
      <c r="AJ937" s="865"/>
    </row>
    <row r="938" spans="1:98" ht="15">
      <c r="A938" s="154" t="s">
        <v>7419</v>
      </c>
      <c r="D938" s="935" t="s">
        <v>9362</v>
      </c>
      <c r="E938" s="1043" t="s">
        <v>667</v>
      </c>
      <c r="G938" s="827"/>
      <c r="H938" s="809" t="s">
        <v>9368</v>
      </c>
      <c r="I938" s="92">
        <v>3</v>
      </c>
      <c r="J938" s="92" t="s">
        <v>10</v>
      </c>
      <c r="K938" s="92" t="s">
        <v>768</v>
      </c>
      <c r="L938" s="810">
        <v>10</v>
      </c>
      <c r="M938" s="811" t="str">
        <f t="shared" si="70"/>
        <v>Not In School Age</v>
      </c>
      <c r="P938" s="1638"/>
      <c r="X938" s="811" t="str">
        <f t="shared" si="71"/>
        <v/>
      </c>
      <c r="AG938" s="807" t="str">
        <f t="shared" si="69"/>
        <v/>
      </c>
      <c r="AJ938" s="865"/>
    </row>
    <row r="939" spans="1:98" ht="15">
      <c r="A939" s="154" t="s">
        <v>7419</v>
      </c>
      <c r="D939" s="935" t="s">
        <v>9362</v>
      </c>
      <c r="E939" s="1043" t="s">
        <v>667</v>
      </c>
      <c r="G939" s="827"/>
      <c r="H939" s="809" t="s">
        <v>9369</v>
      </c>
      <c r="I939" s="92">
        <v>23</v>
      </c>
      <c r="J939" s="92" t="s">
        <v>10</v>
      </c>
      <c r="K939" s="92" t="s">
        <v>768</v>
      </c>
      <c r="L939" s="810">
        <v>9</v>
      </c>
      <c r="M939" s="811" t="str">
        <f t="shared" si="70"/>
        <v>Vocational Graduate</v>
      </c>
      <c r="N939" s="92" t="s">
        <v>1208</v>
      </c>
      <c r="O939" s="812" t="s">
        <v>9370</v>
      </c>
      <c r="P939" s="1638"/>
      <c r="Q939" s="812" t="s">
        <v>9370</v>
      </c>
      <c r="R939" s="812" t="s">
        <v>10310</v>
      </c>
      <c r="S939" s="813">
        <v>20000</v>
      </c>
      <c r="W939" s="815">
        <v>3</v>
      </c>
      <c r="X939" s="811" t="str">
        <f t="shared" si="71"/>
        <v>within the Province</v>
      </c>
      <c r="AB939" s="924">
        <v>300</v>
      </c>
      <c r="AC939" s="807" t="s">
        <v>2228</v>
      </c>
      <c r="AG939" s="807" t="str">
        <f t="shared" si="69"/>
        <v/>
      </c>
      <c r="AJ939" s="865"/>
    </row>
    <row r="940" spans="1:98" ht="15">
      <c r="A940" s="154" t="s">
        <v>7419</v>
      </c>
      <c r="D940" s="935" t="s">
        <v>9362</v>
      </c>
      <c r="E940" s="1043" t="s">
        <v>667</v>
      </c>
      <c r="G940" s="827"/>
      <c r="H940" s="809" t="s">
        <v>9371</v>
      </c>
      <c r="I940" s="92">
        <v>65</v>
      </c>
      <c r="J940" s="92" t="s">
        <v>18</v>
      </c>
      <c r="K940" s="92" t="s">
        <v>707</v>
      </c>
      <c r="L940" s="810">
        <v>7</v>
      </c>
      <c r="M940" s="811" t="str">
        <f t="shared" si="70"/>
        <v>College Graduate or Higher</v>
      </c>
      <c r="P940" s="1638"/>
      <c r="X940" s="811" t="str">
        <f t="shared" si="71"/>
        <v/>
      </c>
      <c r="AG940" s="807" t="str">
        <f t="shared" si="69"/>
        <v/>
      </c>
      <c r="AJ940" s="865"/>
    </row>
    <row r="941" spans="1:98" ht="15">
      <c r="A941" s="154" t="s">
        <v>7419</v>
      </c>
      <c r="B941" s="292" t="s">
        <v>11623</v>
      </c>
      <c r="C941" s="140" t="s">
        <v>670</v>
      </c>
      <c r="D941" s="935" t="s">
        <v>9372</v>
      </c>
      <c r="G941" s="846" t="s">
        <v>670</v>
      </c>
      <c r="H941" s="809" t="s">
        <v>2029</v>
      </c>
      <c r="I941" s="92">
        <v>68</v>
      </c>
      <c r="J941" s="92" t="s">
        <v>18</v>
      </c>
      <c r="K941" s="92" t="s">
        <v>707</v>
      </c>
      <c r="L941" s="810">
        <v>3</v>
      </c>
      <c r="M941" s="811" t="str">
        <f t="shared" si="70"/>
        <v>Elementary Graduate</v>
      </c>
      <c r="N941" s="92" t="s">
        <v>1208</v>
      </c>
      <c r="O941" s="812" t="s">
        <v>4299</v>
      </c>
      <c r="P941" s="1638" t="s">
        <v>12612</v>
      </c>
      <c r="Q941" s="812" t="s">
        <v>4299</v>
      </c>
      <c r="R941" s="812" t="s">
        <v>8234</v>
      </c>
      <c r="U941" s="813">
        <f>SUM(13000,2000)</f>
        <v>15000</v>
      </c>
      <c r="W941" s="815">
        <v>1</v>
      </c>
      <c r="X941" s="811" t="str">
        <f t="shared" si="71"/>
        <v>within the Brgy</v>
      </c>
      <c r="AC941" s="807" t="s">
        <v>9373</v>
      </c>
      <c r="AD941" s="817" t="s">
        <v>9374</v>
      </c>
      <c r="AG941" s="807" t="str">
        <f t="shared" si="69"/>
        <v/>
      </c>
      <c r="AH941" s="817" t="s">
        <v>9375</v>
      </c>
      <c r="AI941" s="943" t="s">
        <v>9376</v>
      </c>
      <c r="AJ941" s="860"/>
      <c r="AO941" s="817" t="s">
        <v>9375</v>
      </c>
      <c r="BV941" s="807">
        <v>1</v>
      </c>
      <c r="CT941" s="807">
        <v>2</v>
      </c>
    </row>
    <row r="942" spans="1:98" ht="15">
      <c r="A942" s="154" t="s">
        <v>7419</v>
      </c>
      <c r="D942" s="935" t="s">
        <v>9372</v>
      </c>
      <c r="G942" s="827"/>
      <c r="H942" s="809" t="s">
        <v>9377</v>
      </c>
      <c r="I942" s="92">
        <v>81</v>
      </c>
      <c r="J942" s="92" t="s">
        <v>10</v>
      </c>
      <c r="K942" s="92" t="s">
        <v>707</v>
      </c>
      <c r="L942" s="810">
        <v>4</v>
      </c>
      <c r="M942" s="811" t="str">
        <f t="shared" si="70"/>
        <v>High School Level</v>
      </c>
      <c r="P942" s="1638"/>
      <c r="X942" s="811" t="str">
        <f t="shared" si="71"/>
        <v/>
      </c>
      <c r="AD942" s="817" t="s">
        <v>9378</v>
      </c>
      <c r="AG942" s="807" t="str">
        <f t="shared" si="69"/>
        <v/>
      </c>
      <c r="AH942" s="817" t="s">
        <v>9379</v>
      </c>
      <c r="AO942" s="817" t="s">
        <v>9379</v>
      </c>
    </row>
    <row r="943" spans="1:98" ht="15">
      <c r="A943" s="154" t="s">
        <v>7419</v>
      </c>
      <c r="D943" s="935" t="s">
        <v>9372</v>
      </c>
      <c r="G943" s="827"/>
      <c r="H943" s="809" t="s">
        <v>9380</v>
      </c>
      <c r="I943" s="92">
        <v>32</v>
      </c>
      <c r="J943" s="92" t="s">
        <v>18</v>
      </c>
      <c r="K943" s="92" t="s">
        <v>768</v>
      </c>
      <c r="L943" s="810">
        <v>7</v>
      </c>
      <c r="M943" s="811" t="str">
        <f t="shared" si="70"/>
        <v>College Graduate or Higher</v>
      </c>
      <c r="P943" s="1638"/>
      <c r="X943" s="811" t="str">
        <f t="shared" si="71"/>
        <v/>
      </c>
      <c r="AG943" s="807" t="str">
        <f t="shared" si="69"/>
        <v/>
      </c>
      <c r="AJ943" s="865"/>
      <c r="CT943" s="807">
        <v>1</v>
      </c>
    </row>
    <row r="944" spans="1:98" ht="15">
      <c r="A944" s="154" t="s">
        <v>7419</v>
      </c>
      <c r="D944" s="935" t="s">
        <v>9372</v>
      </c>
      <c r="G944" s="827"/>
      <c r="H944" s="809" t="s">
        <v>9381</v>
      </c>
      <c r="I944" s="92">
        <v>22</v>
      </c>
      <c r="J944" s="92" t="s">
        <v>10</v>
      </c>
      <c r="K944" s="92" t="s">
        <v>768</v>
      </c>
      <c r="L944" s="810">
        <v>7</v>
      </c>
      <c r="M944" s="811" t="str">
        <f t="shared" si="70"/>
        <v>College Graduate or Higher</v>
      </c>
      <c r="N944" s="92" t="s">
        <v>1208</v>
      </c>
      <c r="O944" s="812" t="s">
        <v>9382</v>
      </c>
      <c r="P944" s="1638"/>
      <c r="Q944" s="812" t="s">
        <v>9382</v>
      </c>
      <c r="R944" s="812" t="s">
        <v>10310</v>
      </c>
      <c r="S944" s="813">
        <v>12000</v>
      </c>
      <c r="X944" s="811" t="str">
        <f t="shared" si="71"/>
        <v/>
      </c>
      <c r="AB944" s="924">
        <v>4800</v>
      </c>
      <c r="AG944" s="807" t="str">
        <f t="shared" si="69"/>
        <v/>
      </c>
      <c r="AJ944" s="865"/>
      <c r="BP944" s="807">
        <v>1</v>
      </c>
    </row>
    <row r="945" spans="1:103" ht="15">
      <c r="D945" s="935" t="s">
        <v>9383</v>
      </c>
      <c r="E945" s="1043" t="s">
        <v>670</v>
      </c>
      <c r="F945" s="1048" t="s">
        <v>5736</v>
      </c>
      <c r="G945" s="827" t="s">
        <v>670</v>
      </c>
      <c r="H945" s="809" t="s">
        <v>9384</v>
      </c>
      <c r="I945" s="92">
        <v>42</v>
      </c>
      <c r="J945" s="92" t="s">
        <v>10</v>
      </c>
      <c r="K945" s="92" t="s">
        <v>707</v>
      </c>
      <c r="L945" s="810">
        <v>2</v>
      </c>
      <c r="M945" s="811" t="str">
        <f t="shared" si="70"/>
        <v>Elementary Level</v>
      </c>
      <c r="N945" s="92" t="s">
        <v>1208</v>
      </c>
      <c r="O945" s="812" t="s">
        <v>2966</v>
      </c>
      <c r="P945" s="1638"/>
      <c r="Q945" s="812" t="s">
        <v>2966</v>
      </c>
      <c r="R945" s="92" t="s">
        <v>8234</v>
      </c>
      <c r="S945" s="813">
        <v>8000</v>
      </c>
      <c r="W945" s="815">
        <v>2</v>
      </c>
      <c r="X945" s="811" t="str">
        <f t="shared" si="71"/>
        <v>within the Municipality/City</v>
      </c>
      <c r="Y945" s="816">
        <v>1200</v>
      </c>
      <c r="AG945" s="807" t="str">
        <f t="shared" si="69"/>
        <v/>
      </c>
      <c r="AJ945" s="865"/>
    </row>
    <row r="946" spans="1:103" ht="15">
      <c r="D946" s="935"/>
      <c r="E946" s="1043" t="s">
        <v>670</v>
      </c>
      <c r="G946" s="827"/>
      <c r="H946" s="809" t="s">
        <v>9375</v>
      </c>
      <c r="I946" s="92">
        <v>42</v>
      </c>
      <c r="J946" s="92" t="s">
        <v>18</v>
      </c>
      <c r="K946" s="92" t="s">
        <v>707</v>
      </c>
      <c r="L946" s="810">
        <v>4</v>
      </c>
      <c r="M946" s="811" t="str">
        <f t="shared" si="70"/>
        <v>High School Level</v>
      </c>
      <c r="P946" s="1638"/>
      <c r="AG946" s="807" t="str">
        <f t="shared" si="69"/>
        <v/>
      </c>
      <c r="AJ946" s="865"/>
    </row>
    <row r="947" spans="1:103" ht="15">
      <c r="D947" s="935"/>
      <c r="E947" s="1043" t="s">
        <v>670</v>
      </c>
      <c r="G947" s="827"/>
      <c r="H947" s="809" t="s">
        <v>9385</v>
      </c>
      <c r="I947" s="92">
        <v>13</v>
      </c>
      <c r="J947" s="92" t="s">
        <v>18</v>
      </c>
      <c r="K947" s="92" t="s">
        <v>768</v>
      </c>
      <c r="L947" s="810">
        <v>4</v>
      </c>
      <c r="M947" s="811" t="str">
        <f t="shared" si="70"/>
        <v>High School Level</v>
      </c>
      <c r="P947" s="1638"/>
      <c r="AG947" s="807" t="str">
        <f t="shared" si="69"/>
        <v/>
      </c>
      <c r="AJ947" s="865"/>
    </row>
    <row r="948" spans="1:103" ht="15">
      <c r="D948" s="935"/>
      <c r="E948" s="1043" t="s">
        <v>670</v>
      </c>
      <c r="G948" s="827"/>
      <c r="H948" s="809" t="s">
        <v>9386</v>
      </c>
      <c r="I948" s="92">
        <v>9</v>
      </c>
      <c r="J948" s="92" t="s">
        <v>10</v>
      </c>
      <c r="K948" s="92" t="s">
        <v>768</v>
      </c>
      <c r="L948" s="810">
        <v>3</v>
      </c>
      <c r="M948" s="811" t="str">
        <f t="shared" si="70"/>
        <v>Elementary Graduate</v>
      </c>
      <c r="P948" s="1638"/>
      <c r="AG948" s="807" t="str">
        <f t="shared" si="69"/>
        <v/>
      </c>
      <c r="AJ948" s="865"/>
    </row>
    <row r="949" spans="1:103" ht="15">
      <c r="A949" s="1076"/>
      <c r="D949" s="935"/>
      <c r="E949" s="1043" t="s">
        <v>670</v>
      </c>
      <c r="G949" s="827"/>
      <c r="H949" s="809" t="s">
        <v>9387</v>
      </c>
      <c r="I949" s="92">
        <v>5</v>
      </c>
      <c r="J949" s="92" t="s">
        <v>18</v>
      </c>
      <c r="K949" s="92" t="s">
        <v>768</v>
      </c>
      <c r="L949" s="810">
        <v>1</v>
      </c>
      <c r="M949" s="811" t="str">
        <f t="shared" si="70"/>
        <v>Pre-school</v>
      </c>
      <c r="P949" s="1638"/>
      <c r="AG949" s="807" t="str">
        <f t="shared" si="69"/>
        <v/>
      </c>
      <c r="AJ949" s="865"/>
    </row>
    <row r="950" spans="1:103" ht="15">
      <c r="A950" s="1076"/>
      <c r="B950" s="831"/>
      <c r="D950" s="935" t="s">
        <v>5737</v>
      </c>
      <c r="E950" s="1042" t="s">
        <v>372</v>
      </c>
      <c r="F950" s="1047" t="s">
        <v>11321</v>
      </c>
      <c r="G950" s="846" t="s">
        <v>671</v>
      </c>
      <c r="H950" s="809" t="s">
        <v>2127</v>
      </c>
      <c r="I950" s="92">
        <v>46</v>
      </c>
      <c r="J950" s="92" t="s">
        <v>10</v>
      </c>
      <c r="K950" s="92" t="s">
        <v>707</v>
      </c>
      <c r="L950" s="810">
        <v>9</v>
      </c>
      <c r="M950" s="811" t="str">
        <f t="shared" si="70"/>
        <v>Vocational Graduate</v>
      </c>
      <c r="N950" s="92" t="s">
        <v>1208</v>
      </c>
      <c r="O950" s="812" t="s">
        <v>11308</v>
      </c>
      <c r="P950" s="1638"/>
      <c r="Q950" s="812" t="s">
        <v>11308</v>
      </c>
      <c r="R950" s="92" t="s">
        <v>8234</v>
      </c>
      <c r="S950" s="813">
        <v>10800</v>
      </c>
      <c r="W950" s="815">
        <v>1</v>
      </c>
      <c r="X950" s="811" t="str">
        <f t="shared" ref="X950:X963" si="72">IF(ISBLANK(W950)=TRUE,"",LOOKUP(W950,GO:GP))</f>
        <v>within the Brgy</v>
      </c>
      <c r="AB950" s="924">
        <v>1200</v>
      </c>
      <c r="AG950" s="807" t="str">
        <f t="shared" si="69"/>
        <v/>
      </c>
      <c r="AJ950" s="865"/>
      <c r="AS950" s="807">
        <v>3</v>
      </c>
      <c r="AW950" s="807">
        <v>2</v>
      </c>
      <c r="AZ950" s="807">
        <v>1</v>
      </c>
      <c r="CX950" s="807">
        <v>1</v>
      </c>
      <c r="CY950" s="807">
        <v>2</v>
      </c>
    </row>
    <row r="951" spans="1:103" ht="15">
      <c r="A951" s="1076"/>
      <c r="D951" s="935"/>
      <c r="E951" s="1042" t="s">
        <v>372</v>
      </c>
      <c r="G951" s="827"/>
      <c r="H951" s="809" t="s">
        <v>9388</v>
      </c>
      <c r="I951" s="92">
        <v>38</v>
      </c>
      <c r="J951" s="92" t="s">
        <v>18</v>
      </c>
      <c r="K951" s="92" t="s">
        <v>707</v>
      </c>
      <c r="L951" s="810">
        <v>5</v>
      </c>
      <c r="M951" s="811" t="str">
        <f t="shared" si="70"/>
        <v>High School Graduate</v>
      </c>
      <c r="N951" s="92" t="s">
        <v>1208</v>
      </c>
      <c r="O951" s="812" t="s">
        <v>2235</v>
      </c>
      <c r="P951" s="1638"/>
      <c r="Q951" s="812" t="s">
        <v>2235</v>
      </c>
      <c r="S951" s="813">
        <v>4000</v>
      </c>
      <c r="W951" s="815">
        <v>1</v>
      </c>
      <c r="X951" s="811" t="str">
        <f t="shared" si="72"/>
        <v>within the Brgy</v>
      </c>
      <c r="AC951" s="807" t="s">
        <v>2235</v>
      </c>
      <c r="AG951" s="807" t="str">
        <f t="shared" si="69"/>
        <v/>
      </c>
      <c r="AJ951" s="865"/>
      <c r="CU951" s="807">
        <v>1</v>
      </c>
    </row>
    <row r="952" spans="1:103" ht="15">
      <c r="A952" s="1076"/>
      <c r="D952" s="935"/>
      <c r="E952" s="1042" t="s">
        <v>372</v>
      </c>
      <c r="G952" s="827"/>
      <c r="H952" s="809" t="s">
        <v>9389</v>
      </c>
      <c r="I952" s="92">
        <v>20</v>
      </c>
      <c r="J952" s="92" t="s">
        <v>18</v>
      </c>
      <c r="K952" s="92" t="s">
        <v>768</v>
      </c>
      <c r="L952" s="810">
        <v>6</v>
      </c>
      <c r="M952" s="811" t="str">
        <f t="shared" si="70"/>
        <v>College Level</v>
      </c>
      <c r="P952" s="1638"/>
      <c r="X952" s="811" t="str">
        <f t="shared" si="72"/>
        <v/>
      </c>
      <c r="AG952" s="807" t="str">
        <f t="shared" si="69"/>
        <v/>
      </c>
      <c r="AJ952" s="865"/>
    </row>
    <row r="953" spans="1:103" ht="15">
      <c r="A953" s="1076"/>
      <c r="D953" s="935"/>
      <c r="E953" s="1042" t="s">
        <v>372</v>
      </c>
      <c r="G953" s="827"/>
      <c r="H953" s="809" t="s">
        <v>9390</v>
      </c>
      <c r="I953" s="92">
        <v>18</v>
      </c>
      <c r="J953" s="92" t="s">
        <v>18</v>
      </c>
      <c r="K953" s="92" t="s">
        <v>768</v>
      </c>
      <c r="L953" s="810">
        <v>5</v>
      </c>
      <c r="M953" s="811" t="str">
        <f t="shared" si="70"/>
        <v>High School Graduate</v>
      </c>
      <c r="P953" s="1638"/>
      <c r="X953" s="811" t="str">
        <f t="shared" si="72"/>
        <v/>
      </c>
      <c r="AG953" s="807" t="str">
        <f t="shared" si="69"/>
        <v/>
      </c>
      <c r="AJ953" s="865"/>
    </row>
    <row r="954" spans="1:103" ht="15">
      <c r="A954" s="1076"/>
      <c r="D954" s="935"/>
      <c r="E954" s="1042" t="s">
        <v>372</v>
      </c>
      <c r="G954" s="827"/>
      <c r="H954" s="809" t="s">
        <v>9391</v>
      </c>
      <c r="I954" s="92">
        <v>15</v>
      </c>
      <c r="J954" s="92" t="s">
        <v>10</v>
      </c>
      <c r="K954" s="92" t="s">
        <v>768</v>
      </c>
      <c r="L954" s="810">
        <v>4</v>
      </c>
      <c r="M954" s="811" t="str">
        <f t="shared" si="70"/>
        <v>High School Level</v>
      </c>
      <c r="P954" s="1638"/>
      <c r="X954" s="811" t="str">
        <f t="shared" si="72"/>
        <v/>
      </c>
      <c r="AG954" s="807" t="str">
        <f t="shared" si="69"/>
        <v/>
      </c>
      <c r="AJ954" s="865"/>
    </row>
    <row r="955" spans="1:103" ht="15">
      <c r="A955" s="1076"/>
      <c r="D955" s="935"/>
      <c r="E955" s="1042" t="s">
        <v>372</v>
      </c>
      <c r="G955" s="827"/>
      <c r="H955" s="809" t="s">
        <v>9392</v>
      </c>
      <c r="I955" s="92">
        <v>12</v>
      </c>
      <c r="J955" s="92" t="s">
        <v>10</v>
      </c>
      <c r="K955" s="92" t="s">
        <v>768</v>
      </c>
      <c r="L955" s="810">
        <v>3</v>
      </c>
      <c r="M955" s="811" t="str">
        <f t="shared" si="70"/>
        <v>Elementary Graduate</v>
      </c>
      <c r="P955" s="1638"/>
      <c r="X955" s="811" t="str">
        <f t="shared" si="72"/>
        <v/>
      </c>
      <c r="AG955" s="807" t="str">
        <f t="shared" si="69"/>
        <v/>
      </c>
      <c r="AJ955" s="865"/>
    </row>
    <row r="956" spans="1:103" ht="15">
      <c r="A956" s="1076"/>
      <c r="D956" s="935"/>
      <c r="E956" s="1042" t="s">
        <v>372</v>
      </c>
      <c r="G956" s="827"/>
      <c r="H956" s="809" t="s">
        <v>9393</v>
      </c>
      <c r="I956" s="92">
        <v>9</v>
      </c>
      <c r="J956" s="92" t="s">
        <v>18</v>
      </c>
      <c r="K956" s="92" t="s">
        <v>768</v>
      </c>
      <c r="L956" s="810">
        <v>3</v>
      </c>
      <c r="M956" s="811" t="str">
        <f t="shared" si="70"/>
        <v>Elementary Graduate</v>
      </c>
      <c r="P956" s="1638"/>
      <c r="X956" s="811" t="str">
        <f t="shared" si="72"/>
        <v/>
      </c>
      <c r="AG956" s="807" t="str">
        <f t="shared" si="69"/>
        <v/>
      </c>
      <c r="AJ956" s="865"/>
    </row>
    <row r="957" spans="1:103" ht="15">
      <c r="A957" s="154" t="s">
        <v>7419</v>
      </c>
      <c r="B957" s="292" t="s">
        <v>7668</v>
      </c>
      <c r="C957" s="140" t="s">
        <v>672</v>
      </c>
      <c r="D957" s="935" t="s">
        <v>9394</v>
      </c>
      <c r="E957" s="1043" t="s">
        <v>672</v>
      </c>
      <c r="F957" s="1048" t="s">
        <v>2128</v>
      </c>
      <c r="G957" s="846" t="s">
        <v>672</v>
      </c>
      <c r="H957" s="809" t="s">
        <v>9395</v>
      </c>
      <c r="I957" s="92">
        <v>67</v>
      </c>
      <c r="J957" s="92" t="s">
        <v>18</v>
      </c>
      <c r="K957" s="92" t="s">
        <v>707</v>
      </c>
      <c r="L957" s="810">
        <v>2</v>
      </c>
      <c r="M957" s="811" t="str">
        <f t="shared" si="70"/>
        <v>Elementary Level</v>
      </c>
      <c r="N957" s="92" t="s">
        <v>1208</v>
      </c>
      <c r="O957" s="812" t="s">
        <v>9396</v>
      </c>
      <c r="P957" s="1638" t="s">
        <v>12611</v>
      </c>
      <c r="Q957" s="812" t="s">
        <v>9396</v>
      </c>
      <c r="R957" s="92" t="s">
        <v>8234</v>
      </c>
      <c r="U957" s="813">
        <v>2000</v>
      </c>
      <c r="V957" s="873"/>
      <c r="W957" s="815">
        <v>0</v>
      </c>
      <c r="X957" s="811" t="str">
        <f t="shared" si="72"/>
        <v>Pensioner/ Support from children</v>
      </c>
      <c r="AB957" s="873"/>
      <c r="AD957" s="817" t="s">
        <v>9397</v>
      </c>
      <c r="AE957" s="93" t="s">
        <v>9398</v>
      </c>
      <c r="AF957" s="818">
        <v>2</v>
      </c>
      <c r="AG957" s="807" t="str">
        <f t="shared" si="69"/>
        <v>Assistance to walk</v>
      </c>
      <c r="AJ957" s="865"/>
      <c r="CT957" s="807">
        <v>1</v>
      </c>
    </row>
    <row r="958" spans="1:103" ht="15">
      <c r="A958" s="154" t="s">
        <v>7419</v>
      </c>
      <c r="D958" s="935" t="s">
        <v>9394</v>
      </c>
      <c r="E958" s="1043" t="s">
        <v>672</v>
      </c>
      <c r="G958" s="827"/>
      <c r="H958" s="809" t="s">
        <v>11629</v>
      </c>
      <c r="I958" s="92">
        <v>76</v>
      </c>
      <c r="J958" s="92" t="s">
        <v>10</v>
      </c>
      <c r="K958" s="92" t="s">
        <v>707</v>
      </c>
      <c r="L958" s="810">
        <v>5</v>
      </c>
      <c r="M958" s="811" t="str">
        <f t="shared" si="70"/>
        <v>High School Graduate</v>
      </c>
      <c r="P958" s="1638"/>
      <c r="V958" s="873"/>
      <c r="X958" s="811" t="str">
        <f t="shared" si="72"/>
        <v/>
      </c>
      <c r="AB958" s="873"/>
      <c r="AD958" s="817" t="s">
        <v>9399</v>
      </c>
      <c r="AE958" s="93" t="s">
        <v>9400</v>
      </c>
      <c r="AF958" s="818">
        <v>4</v>
      </c>
      <c r="AG958" s="807" t="str">
        <f t="shared" si="69"/>
        <v>Serious Illness</v>
      </c>
      <c r="AJ958" s="865"/>
    </row>
    <row r="959" spans="1:103" ht="15">
      <c r="A959" s="154" t="s">
        <v>7419</v>
      </c>
      <c r="D959" s="935" t="s">
        <v>9394</v>
      </c>
      <c r="E959" s="1043" t="s">
        <v>672</v>
      </c>
      <c r="G959" s="827"/>
      <c r="H959" s="809" t="s">
        <v>9401</v>
      </c>
      <c r="I959" s="92">
        <v>44</v>
      </c>
      <c r="J959" s="92" t="s">
        <v>10</v>
      </c>
      <c r="K959" s="92" t="s">
        <v>783</v>
      </c>
      <c r="L959" s="810">
        <v>4</v>
      </c>
      <c r="M959" s="811" t="str">
        <f t="shared" si="70"/>
        <v>High School Level</v>
      </c>
      <c r="N959" s="92" t="s">
        <v>1208</v>
      </c>
      <c r="O959" s="812" t="s">
        <v>2225</v>
      </c>
      <c r="P959" s="1638"/>
      <c r="Q959" s="812" t="s">
        <v>2225</v>
      </c>
      <c r="R959" s="812" t="s">
        <v>8285</v>
      </c>
      <c r="S959" s="813">
        <v>8400</v>
      </c>
      <c r="V959" s="873">
        <f>SUM(S957:U959)</f>
        <v>10400</v>
      </c>
      <c r="W959" s="815">
        <v>1</v>
      </c>
      <c r="X959" s="811" t="str">
        <f t="shared" si="72"/>
        <v>within the Brgy</v>
      </c>
      <c r="AB959" s="873">
        <f>SUM(Y957:AA959)</f>
        <v>0</v>
      </c>
      <c r="AC959" s="807" t="s">
        <v>2202</v>
      </c>
      <c r="AG959" s="807" t="str">
        <f t="shared" si="69"/>
        <v/>
      </c>
      <c r="AJ959" s="865"/>
      <c r="BQ959" s="807">
        <v>1</v>
      </c>
    </row>
    <row r="960" spans="1:103" ht="15">
      <c r="D960" s="935" t="s">
        <v>9402</v>
      </c>
      <c r="G960" s="846" t="s">
        <v>672</v>
      </c>
      <c r="H960" s="809" t="s">
        <v>2128</v>
      </c>
      <c r="I960" s="92">
        <v>35</v>
      </c>
      <c r="J960" s="92" t="s">
        <v>10</v>
      </c>
      <c r="K960" s="92" t="s">
        <v>768</v>
      </c>
      <c r="L960" s="810">
        <v>2</v>
      </c>
      <c r="M960" s="811" t="str">
        <f t="shared" si="70"/>
        <v>Elementary Level</v>
      </c>
      <c r="N960" s="92" t="s">
        <v>1208</v>
      </c>
      <c r="O960" s="812" t="s">
        <v>9403</v>
      </c>
      <c r="P960" s="1638"/>
      <c r="Q960" s="812" t="s">
        <v>9403</v>
      </c>
      <c r="R960" s="92" t="s">
        <v>8234</v>
      </c>
      <c r="S960" s="813">
        <v>8400</v>
      </c>
      <c r="W960" s="815">
        <v>1</v>
      </c>
      <c r="X960" s="811" t="str">
        <f t="shared" si="72"/>
        <v>within the Brgy</v>
      </c>
      <c r="AG960" s="807" t="str">
        <f t="shared" si="69"/>
        <v/>
      </c>
      <c r="AJ960" s="865"/>
    </row>
    <row r="961" spans="1:100" ht="15">
      <c r="A961" s="154" t="s">
        <v>7419</v>
      </c>
      <c r="B961" s="292" t="s">
        <v>7669</v>
      </c>
      <c r="C961" s="140" t="s">
        <v>676</v>
      </c>
      <c r="D961" s="935" t="s">
        <v>9404</v>
      </c>
      <c r="E961" s="1043" t="s">
        <v>676</v>
      </c>
      <c r="F961" s="1048" t="s">
        <v>2129</v>
      </c>
      <c r="G961" s="846" t="s">
        <v>676</v>
      </c>
      <c r="H961" s="809" t="s">
        <v>2129</v>
      </c>
      <c r="I961" s="92">
        <v>51</v>
      </c>
      <c r="J961" s="92" t="s">
        <v>10</v>
      </c>
      <c r="K961" s="92" t="s">
        <v>722</v>
      </c>
      <c r="L961" s="810">
        <v>9</v>
      </c>
      <c r="M961" s="811" t="str">
        <f t="shared" si="70"/>
        <v>Vocational Graduate</v>
      </c>
      <c r="N961" s="92" t="s">
        <v>1208</v>
      </c>
      <c r="O961" s="812" t="s">
        <v>2220</v>
      </c>
      <c r="P961" s="1638" t="s">
        <v>12605</v>
      </c>
      <c r="Q961" s="812" t="s">
        <v>2220</v>
      </c>
      <c r="R961" s="92" t="s">
        <v>8234</v>
      </c>
      <c r="U961" s="813">
        <v>15000</v>
      </c>
      <c r="X961" s="811" t="str">
        <f t="shared" si="72"/>
        <v/>
      </c>
      <c r="AB961" s="924">
        <v>4500</v>
      </c>
      <c r="AC961" s="807" t="s">
        <v>9405</v>
      </c>
      <c r="AG961" s="807" t="str">
        <f t="shared" si="69"/>
        <v/>
      </c>
      <c r="AJ961" s="865"/>
      <c r="AQ961" s="807">
        <v>1</v>
      </c>
      <c r="AW961" s="807">
        <v>2</v>
      </c>
      <c r="AY961" s="807">
        <v>3</v>
      </c>
      <c r="CS961" s="807">
        <v>1</v>
      </c>
      <c r="CT961" s="807">
        <v>2</v>
      </c>
      <c r="CV961" s="807" t="s">
        <v>2144</v>
      </c>
    </row>
    <row r="962" spans="1:100" ht="15">
      <c r="A962" s="154" t="s">
        <v>7419</v>
      </c>
      <c r="D962" s="935" t="s">
        <v>9404</v>
      </c>
      <c r="E962" s="1043" t="s">
        <v>676</v>
      </c>
      <c r="G962" s="827"/>
      <c r="H962" s="809" t="s">
        <v>9406</v>
      </c>
      <c r="I962" s="92">
        <v>42</v>
      </c>
      <c r="J962" s="92" t="s">
        <v>18</v>
      </c>
      <c r="K962" s="92" t="s">
        <v>722</v>
      </c>
      <c r="L962" s="810">
        <v>7</v>
      </c>
      <c r="M962" s="811" t="str">
        <f t="shared" si="70"/>
        <v>College Graduate or Higher</v>
      </c>
      <c r="P962" s="1638"/>
      <c r="X962" s="811" t="str">
        <f t="shared" si="72"/>
        <v/>
      </c>
      <c r="AG962" s="807" t="str">
        <f t="shared" si="69"/>
        <v/>
      </c>
      <c r="AJ962" s="865"/>
      <c r="BP962" s="807">
        <v>1</v>
      </c>
      <c r="BR962" s="807">
        <v>2</v>
      </c>
      <c r="BX962" s="807" t="s">
        <v>2146</v>
      </c>
      <c r="CA962" s="807" t="s">
        <v>2144</v>
      </c>
      <c r="CE962" s="93" t="s">
        <v>2145</v>
      </c>
    </row>
    <row r="963" spans="1:100" ht="15">
      <c r="A963" s="154" t="s">
        <v>7419</v>
      </c>
      <c r="D963" s="935" t="s">
        <v>9404</v>
      </c>
      <c r="E963" s="1043" t="s">
        <v>676</v>
      </c>
      <c r="G963" s="827"/>
      <c r="H963" s="809" t="s">
        <v>9407</v>
      </c>
      <c r="I963" s="92">
        <v>3</v>
      </c>
      <c r="J963" s="92" t="s">
        <v>18</v>
      </c>
      <c r="K963" s="92" t="s">
        <v>768</v>
      </c>
      <c r="L963" s="810">
        <v>1</v>
      </c>
      <c r="M963" s="811" t="str">
        <f t="shared" si="70"/>
        <v>Pre-school</v>
      </c>
      <c r="P963" s="1638"/>
      <c r="X963" s="811" t="str">
        <f t="shared" si="72"/>
        <v/>
      </c>
      <c r="AG963" s="807" t="str">
        <f t="shared" si="69"/>
        <v/>
      </c>
      <c r="AJ963" s="865"/>
    </row>
    <row r="964" spans="1:100" ht="15">
      <c r="A964" s="154" t="s">
        <v>7419</v>
      </c>
      <c r="D964" s="935" t="s">
        <v>9404</v>
      </c>
      <c r="E964" s="1043"/>
      <c r="G964" s="1075" t="s">
        <v>11728</v>
      </c>
      <c r="H964" s="809" t="s">
        <v>11735</v>
      </c>
      <c r="I964" s="92">
        <v>37</v>
      </c>
      <c r="J964" s="92" t="s">
        <v>10</v>
      </c>
      <c r="K964" s="92" t="s">
        <v>707</v>
      </c>
      <c r="M964" s="811"/>
      <c r="P964" s="1638"/>
      <c r="AD964" s="817" t="s">
        <v>11737</v>
      </c>
      <c r="AG964" s="807"/>
      <c r="AJ964" s="865"/>
    </row>
    <row r="965" spans="1:100" ht="15">
      <c r="A965" s="154" t="s">
        <v>7419</v>
      </c>
      <c r="D965" s="935" t="s">
        <v>9404</v>
      </c>
      <c r="E965" s="1043"/>
      <c r="G965" s="827"/>
      <c r="H965" s="809" t="s">
        <v>11736</v>
      </c>
      <c r="J965" s="92" t="s">
        <v>18</v>
      </c>
      <c r="K965" s="92" t="s">
        <v>707</v>
      </c>
      <c r="M965" s="811"/>
      <c r="P965" s="1638"/>
      <c r="AG965" s="807"/>
      <c r="AJ965" s="865"/>
    </row>
    <row r="966" spans="1:100" ht="15">
      <c r="A966" s="154" t="s">
        <v>7419</v>
      </c>
      <c r="B966" s="288" t="s">
        <v>11630</v>
      </c>
      <c r="C966" s="140" t="s">
        <v>680</v>
      </c>
      <c r="D966" s="935" t="s">
        <v>11717</v>
      </c>
      <c r="E966" s="1043"/>
      <c r="G966" s="846" t="s">
        <v>680</v>
      </c>
      <c r="H966" s="809" t="s">
        <v>11716</v>
      </c>
      <c r="I966" s="92">
        <v>51</v>
      </c>
      <c r="J966" s="92" t="s">
        <v>10</v>
      </c>
      <c r="K966" s="92" t="s">
        <v>707</v>
      </c>
      <c r="L966" s="810">
        <v>5</v>
      </c>
      <c r="M966" s="811" t="str">
        <f t="shared" ref="M966:M991" si="73">IF(ISBLANK(L966)=TRUE,"",LOOKUP(L966,GQ:GR))</f>
        <v>High School Graduate</v>
      </c>
      <c r="N966" s="92" t="s">
        <v>1208</v>
      </c>
      <c r="O966" s="812" t="s">
        <v>11720</v>
      </c>
      <c r="P966" s="1638" t="s">
        <v>12606</v>
      </c>
      <c r="Q966" s="812" t="s">
        <v>11720</v>
      </c>
      <c r="R966" s="812" t="s">
        <v>8234</v>
      </c>
      <c r="S966" s="813">
        <v>1000</v>
      </c>
      <c r="V966" s="873"/>
      <c r="W966" s="815">
        <v>1</v>
      </c>
      <c r="X966" s="811" t="str">
        <f t="shared" ref="X966:X991" si="74">IF(ISBLANK(W966)=TRUE,"",LOOKUP(W966,GO:GP))</f>
        <v>within the Brgy</v>
      </c>
      <c r="AB966" s="873"/>
      <c r="AG966" s="807"/>
      <c r="AJ966" s="865"/>
    </row>
    <row r="967" spans="1:100" ht="15">
      <c r="A967" s="154" t="s">
        <v>7419</v>
      </c>
      <c r="D967" s="935" t="s">
        <v>11717</v>
      </c>
      <c r="E967" s="1043"/>
      <c r="G967" s="827"/>
      <c r="H967" s="809" t="s">
        <v>11718</v>
      </c>
      <c r="I967" s="92">
        <v>47</v>
      </c>
      <c r="J967" s="92" t="s">
        <v>18</v>
      </c>
      <c r="K967" s="92" t="s">
        <v>707</v>
      </c>
      <c r="L967" s="810">
        <v>4</v>
      </c>
      <c r="M967" s="811" t="str">
        <f t="shared" si="73"/>
        <v>High School Level</v>
      </c>
      <c r="N967" s="92" t="s">
        <v>1208</v>
      </c>
      <c r="O967" s="812" t="s">
        <v>11076</v>
      </c>
      <c r="P967" s="1638"/>
      <c r="Q967" s="812" t="s">
        <v>11076</v>
      </c>
      <c r="R967" s="812" t="s">
        <v>20</v>
      </c>
      <c r="T967" s="813">
        <v>1500</v>
      </c>
      <c r="V967" s="873"/>
      <c r="W967" s="815">
        <v>1</v>
      </c>
      <c r="X967" s="811" t="str">
        <f t="shared" si="74"/>
        <v>within the Brgy</v>
      </c>
      <c r="AB967" s="873"/>
      <c r="AG967" s="807"/>
      <c r="AJ967" s="865"/>
      <c r="CS967" s="807">
        <v>1</v>
      </c>
      <c r="CT967" s="807">
        <v>2</v>
      </c>
    </row>
    <row r="968" spans="1:100" ht="15">
      <c r="A968" s="154" t="s">
        <v>7419</v>
      </c>
      <c r="D968" s="935" t="s">
        <v>11717</v>
      </c>
      <c r="E968" s="1043"/>
      <c r="G968" s="827"/>
      <c r="H968" s="809" t="s">
        <v>11719</v>
      </c>
      <c r="I968" s="92">
        <v>16</v>
      </c>
      <c r="J968" s="92" t="s">
        <v>10</v>
      </c>
      <c r="K968" s="92" t="s">
        <v>768</v>
      </c>
      <c r="L968" s="810">
        <v>4</v>
      </c>
      <c r="M968" s="811" t="str">
        <f t="shared" si="73"/>
        <v>High School Level</v>
      </c>
      <c r="P968" s="1638"/>
      <c r="V968" s="873">
        <f>SUM(S966:U968)</f>
        <v>2500</v>
      </c>
      <c r="X968" s="811" t="str">
        <f t="shared" si="74"/>
        <v/>
      </c>
      <c r="AB968" s="873">
        <f>SUM(Y966:AA968)</f>
        <v>0</v>
      </c>
      <c r="AG968" s="807"/>
      <c r="AJ968" s="865"/>
    </row>
    <row r="969" spans="1:100" ht="15">
      <c r="A969" s="154" t="s">
        <v>7419</v>
      </c>
      <c r="B969" s="292" t="s">
        <v>7670</v>
      </c>
      <c r="C969" s="141" t="s">
        <v>682</v>
      </c>
      <c r="D969" s="935" t="s">
        <v>9408</v>
      </c>
      <c r="E969" s="1044" t="s">
        <v>682</v>
      </c>
      <c r="F969" s="1049" t="s">
        <v>2130</v>
      </c>
      <c r="G969" s="846" t="s">
        <v>682</v>
      </c>
      <c r="H969" s="809" t="s">
        <v>2130</v>
      </c>
      <c r="I969" s="92">
        <v>28</v>
      </c>
      <c r="J969" s="92" t="s">
        <v>10</v>
      </c>
      <c r="K969" s="92" t="s">
        <v>722</v>
      </c>
      <c r="L969" s="810">
        <v>5</v>
      </c>
      <c r="M969" s="811" t="str">
        <f t="shared" si="73"/>
        <v>High School Graduate</v>
      </c>
      <c r="N969" s="92" t="s">
        <v>1208</v>
      </c>
      <c r="O969" s="812" t="s">
        <v>9409</v>
      </c>
      <c r="P969" s="1638" t="s">
        <v>12606</v>
      </c>
      <c r="Q969" s="812" t="s">
        <v>9409</v>
      </c>
      <c r="R969" s="92" t="s">
        <v>8234</v>
      </c>
      <c r="S969" s="813">
        <v>11000</v>
      </c>
      <c r="W969" s="815">
        <v>2</v>
      </c>
      <c r="X969" s="811" t="str">
        <f t="shared" si="74"/>
        <v>within the Municipality/City</v>
      </c>
      <c r="AB969" s="924">
        <v>56</v>
      </c>
      <c r="AG969" s="807" t="str">
        <f t="shared" ref="AG969:AG1000" si="75">IF(ISBLANK(AF969)=TRUE,"",LOOKUP(AF969,GS:GT))</f>
        <v/>
      </c>
      <c r="AJ969" s="865"/>
    </row>
    <row r="970" spans="1:100" ht="15">
      <c r="A970" s="154" t="s">
        <v>7419</v>
      </c>
      <c r="D970" s="935" t="s">
        <v>9408</v>
      </c>
      <c r="E970" s="1044" t="s">
        <v>682</v>
      </c>
      <c r="G970" s="827"/>
      <c r="H970" s="809" t="s">
        <v>2194</v>
      </c>
      <c r="I970" s="92">
        <v>22</v>
      </c>
      <c r="J970" s="92" t="s">
        <v>18</v>
      </c>
      <c r="K970" s="92" t="s">
        <v>722</v>
      </c>
      <c r="L970" s="810">
        <v>5</v>
      </c>
      <c r="M970" s="811" t="str">
        <f t="shared" si="73"/>
        <v>High School Graduate</v>
      </c>
      <c r="P970" s="1638"/>
      <c r="X970" s="811" t="str">
        <f t="shared" si="74"/>
        <v/>
      </c>
      <c r="AG970" s="807" t="str">
        <f t="shared" si="75"/>
        <v/>
      </c>
      <c r="AJ970" s="865"/>
    </row>
    <row r="971" spans="1:100" ht="15">
      <c r="A971" s="154" t="s">
        <v>7419</v>
      </c>
      <c r="D971" s="935" t="s">
        <v>9408</v>
      </c>
      <c r="E971" s="1044" t="s">
        <v>682</v>
      </c>
      <c r="G971" s="827"/>
      <c r="H971" s="809" t="s">
        <v>9410</v>
      </c>
      <c r="I971" s="92">
        <v>55</v>
      </c>
      <c r="J971" s="92" t="s">
        <v>18</v>
      </c>
      <c r="K971" s="92" t="s">
        <v>719</v>
      </c>
      <c r="L971" s="810">
        <v>2</v>
      </c>
      <c r="M971" s="811" t="str">
        <f t="shared" si="73"/>
        <v>Elementary Level</v>
      </c>
      <c r="P971" s="1638"/>
      <c r="X971" s="811" t="str">
        <f t="shared" si="74"/>
        <v/>
      </c>
      <c r="AG971" s="807" t="str">
        <f t="shared" si="75"/>
        <v/>
      </c>
      <c r="AJ971" s="865"/>
    </row>
    <row r="972" spans="1:100" ht="15">
      <c r="A972" s="154" t="s">
        <v>7419</v>
      </c>
      <c r="D972" s="935" t="s">
        <v>9408</v>
      </c>
      <c r="E972" s="1044" t="s">
        <v>682</v>
      </c>
      <c r="G972" s="827"/>
      <c r="H972" s="809" t="s">
        <v>9411</v>
      </c>
      <c r="I972" s="92">
        <v>2</v>
      </c>
      <c r="J972" s="92" t="s">
        <v>10</v>
      </c>
      <c r="K972" s="92" t="s">
        <v>768</v>
      </c>
      <c r="L972" s="810">
        <v>10</v>
      </c>
      <c r="M972" s="811" t="str">
        <f t="shared" si="73"/>
        <v>Not In School Age</v>
      </c>
      <c r="P972" s="1638"/>
      <c r="X972" s="811" t="str">
        <f t="shared" si="74"/>
        <v/>
      </c>
      <c r="AG972" s="807" t="str">
        <f t="shared" si="75"/>
        <v/>
      </c>
      <c r="AJ972" s="865"/>
    </row>
    <row r="973" spans="1:100" ht="15">
      <c r="A973" s="771"/>
      <c r="B973" s="831"/>
      <c r="D973" s="935" t="s">
        <v>9412</v>
      </c>
      <c r="E973" s="1043" t="s">
        <v>685</v>
      </c>
      <c r="F973" s="1048" t="s">
        <v>2131</v>
      </c>
      <c r="G973" s="846" t="s">
        <v>685</v>
      </c>
      <c r="H973" s="809" t="s">
        <v>2131</v>
      </c>
      <c r="I973" s="92">
        <v>38</v>
      </c>
      <c r="J973" s="92" t="s">
        <v>10</v>
      </c>
      <c r="K973" s="92" t="s">
        <v>707</v>
      </c>
      <c r="L973" s="810">
        <v>6</v>
      </c>
      <c r="M973" s="811" t="str">
        <f t="shared" si="73"/>
        <v>College Level</v>
      </c>
      <c r="N973" s="92" t="s">
        <v>1208</v>
      </c>
      <c r="O973" s="812" t="s">
        <v>2240</v>
      </c>
      <c r="P973" s="1638"/>
      <c r="Q973" s="812" t="s">
        <v>2240</v>
      </c>
      <c r="R973" s="92" t="s">
        <v>8234</v>
      </c>
      <c r="S973" s="813">
        <v>14000</v>
      </c>
      <c r="W973" s="815">
        <v>2</v>
      </c>
      <c r="X973" s="811" t="str">
        <f t="shared" si="74"/>
        <v>within the Municipality/City</v>
      </c>
      <c r="AB973" s="924">
        <v>60</v>
      </c>
      <c r="AD973" s="817" t="s">
        <v>9413</v>
      </c>
      <c r="AG973" s="807" t="str">
        <f t="shared" si="75"/>
        <v/>
      </c>
      <c r="AJ973" s="865"/>
      <c r="BM973" s="807">
        <v>1</v>
      </c>
    </row>
    <row r="974" spans="1:100" ht="15">
      <c r="A974" s="771"/>
      <c r="D974" s="935"/>
      <c r="E974" s="1043" t="s">
        <v>685</v>
      </c>
      <c r="G974" s="827"/>
      <c r="H974" s="809" t="s">
        <v>9414</v>
      </c>
      <c r="I974" s="92">
        <v>35</v>
      </c>
      <c r="J974" s="92" t="s">
        <v>18</v>
      </c>
      <c r="K974" s="92" t="s">
        <v>707</v>
      </c>
      <c r="L974" s="810">
        <v>9</v>
      </c>
      <c r="M974" s="811" t="str">
        <f t="shared" si="73"/>
        <v>Vocational Graduate</v>
      </c>
      <c r="P974" s="1638"/>
      <c r="X974" s="811" t="str">
        <f t="shared" si="74"/>
        <v/>
      </c>
      <c r="AG974" s="807" t="str">
        <f t="shared" si="75"/>
        <v/>
      </c>
      <c r="AJ974" s="865"/>
      <c r="BL974" s="807">
        <v>1</v>
      </c>
    </row>
    <row r="975" spans="1:100" ht="15">
      <c r="A975" s="771"/>
      <c r="D975" s="935"/>
      <c r="E975" s="1043" t="s">
        <v>685</v>
      </c>
      <c r="G975" s="827"/>
      <c r="H975" s="809" t="s">
        <v>9415</v>
      </c>
      <c r="I975" s="92">
        <v>10</v>
      </c>
      <c r="J975" s="92" t="s">
        <v>18</v>
      </c>
      <c r="K975" s="92" t="s">
        <v>768</v>
      </c>
      <c r="L975" s="810">
        <v>2</v>
      </c>
      <c r="M975" s="811" t="str">
        <f t="shared" si="73"/>
        <v>Elementary Level</v>
      </c>
      <c r="P975" s="1638"/>
      <c r="X975" s="811" t="str">
        <f t="shared" si="74"/>
        <v/>
      </c>
      <c r="AG975" s="807" t="str">
        <f t="shared" si="75"/>
        <v/>
      </c>
      <c r="AJ975" s="865"/>
    </row>
    <row r="976" spans="1:100" ht="15">
      <c r="A976" s="771"/>
      <c r="D976" s="935"/>
      <c r="E976" s="1043" t="s">
        <v>685</v>
      </c>
      <c r="G976" s="827"/>
      <c r="H976" s="809" t="s">
        <v>9416</v>
      </c>
      <c r="I976" s="92">
        <v>4</v>
      </c>
      <c r="J976" s="92" t="s">
        <v>10</v>
      </c>
      <c r="K976" s="92" t="s">
        <v>768</v>
      </c>
      <c r="L976" s="810">
        <v>1</v>
      </c>
      <c r="M976" s="811" t="str">
        <f t="shared" si="73"/>
        <v>Pre-school</v>
      </c>
      <c r="P976" s="1638"/>
      <c r="X976" s="811" t="str">
        <f t="shared" si="74"/>
        <v/>
      </c>
      <c r="AG976" s="807" t="str">
        <f t="shared" si="75"/>
        <v/>
      </c>
      <c r="AJ976" s="865"/>
    </row>
    <row r="977" spans="1:119" ht="15">
      <c r="A977" s="771"/>
      <c r="D977" s="935"/>
      <c r="E977" s="1043" t="s">
        <v>685</v>
      </c>
      <c r="G977" s="827"/>
      <c r="H977" s="809" t="s">
        <v>9417</v>
      </c>
      <c r="I977" s="92">
        <v>61</v>
      </c>
      <c r="J977" s="92" t="s">
        <v>18</v>
      </c>
      <c r="K977" s="92" t="s">
        <v>719</v>
      </c>
      <c r="L977" s="810">
        <v>2</v>
      </c>
      <c r="M977" s="811" t="str">
        <f t="shared" si="73"/>
        <v>Elementary Level</v>
      </c>
      <c r="P977" s="1638"/>
      <c r="X977" s="811" t="str">
        <f t="shared" si="74"/>
        <v/>
      </c>
      <c r="AG977" s="807" t="str">
        <f t="shared" si="75"/>
        <v/>
      </c>
      <c r="AJ977" s="865"/>
    </row>
    <row r="978" spans="1:119" ht="15">
      <c r="A978" s="154" t="s">
        <v>7419</v>
      </c>
      <c r="B978" s="292" t="s">
        <v>7671</v>
      </c>
      <c r="C978" s="141" t="s">
        <v>686</v>
      </c>
      <c r="D978" s="935" t="s">
        <v>9418</v>
      </c>
      <c r="E978" s="1044" t="s">
        <v>686</v>
      </c>
      <c r="F978" s="1049" t="s">
        <v>2030</v>
      </c>
      <c r="G978" s="846" t="s">
        <v>686</v>
      </c>
      <c r="H978" s="809" t="s">
        <v>2030</v>
      </c>
      <c r="I978" s="92">
        <v>64</v>
      </c>
      <c r="J978" s="92" t="s">
        <v>18</v>
      </c>
      <c r="K978" s="92" t="s">
        <v>719</v>
      </c>
      <c r="L978" s="810">
        <v>2</v>
      </c>
      <c r="M978" s="811" t="str">
        <f t="shared" si="73"/>
        <v>Elementary Level</v>
      </c>
      <c r="N978" s="92" t="s">
        <v>1208</v>
      </c>
      <c r="O978" s="812" t="s">
        <v>9419</v>
      </c>
      <c r="P978" s="1638" t="s">
        <v>12608</v>
      </c>
      <c r="Q978" s="812" t="s">
        <v>9419</v>
      </c>
      <c r="R978" s="92" t="s">
        <v>8234</v>
      </c>
      <c r="T978" s="813">
        <v>11000</v>
      </c>
      <c r="W978" s="815">
        <v>1</v>
      </c>
      <c r="X978" s="811" t="str">
        <f t="shared" si="74"/>
        <v>within the Brgy</v>
      </c>
      <c r="AD978" s="817" t="s">
        <v>9420</v>
      </c>
      <c r="AE978" s="93" t="s">
        <v>9421</v>
      </c>
      <c r="AF978" s="818">
        <v>3</v>
      </c>
      <c r="AG978" s="807" t="str">
        <f t="shared" si="75"/>
        <v>Special Medical Care</v>
      </c>
      <c r="AJ978" s="865"/>
      <c r="CS978" s="807">
        <v>1</v>
      </c>
    </row>
    <row r="979" spans="1:119" ht="15">
      <c r="A979" s="154" t="s">
        <v>7419</v>
      </c>
      <c r="B979" s="831"/>
      <c r="D979" s="935" t="s">
        <v>9418</v>
      </c>
      <c r="E979" s="1044" t="s">
        <v>686</v>
      </c>
      <c r="G979" s="827"/>
      <c r="H979" s="809" t="s">
        <v>9422</v>
      </c>
      <c r="I979" s="92">
        <v>55</v>
      </c>
      <c r="J979" s="92" t="s">
        <v>18</v>
      </c>
      <c r="K979" s="857"/>
      <c r="L979" s="810">
        <v>5</v>
      </c>
      <c r="M979" s="811" t="str">
        <f t="shared" si="73"/>
        <v>High School Graduate</v>
      </c>
      <c r="P979" s="1638"/>
      <c r="X979" s="811" t="str">
        <f t="shared" si="74"/>
        <v/>
      </c>
      <c r="AG979" s="807" t="str">
        <f t="shared" si="75"/>
        <v/>
      </c>
      <c r="AJ979" s="865"/>
    </row>
    <row r="980" spans="1:119" ht="15">
      <c r="D980" s="935" t="s">
        <v>9423</v>
      </c>
      <c r="G980" s="846" t="s">
        <v>690</v>
      </c>
      <c r="H980" s="807" t="s">
        <v>2132</v>
      </c>
      <c r="I980" s="92">
        <v>75</v>
      </c>
      <c r="J980" s="92" t="s">
        <v>10</v>
      </c>
      <c r="K980" s="92" t="s">
        <v>722</v>
      </c>
      <c r="L980" s="810">
        <v>4</v>
      </c>
      <c r="M980" s="811" t="str">
        <f t="shared" si="73"/>
        <v>High School Level</v>
      </c>
      <c r="N980" s="92" t="s">
        <v>1208</v>
      </c>
      <c r="O980" s="92" t="s">
        <v>9424</v>
      </c>
      <c r="P980" s="1638"/>
      <c r="Q980" s="92" t="s">
        <v>9424</v>
      </c>
      <c r="R980" s="92"/>
      <c r="S980" s="813">
        <v>3000</v>
      </c>
      <c r="T980" s="813">
        <v>4000</v>
      </c>
      <c r="W980" s="926"/>
      <c r="X980" s="811" t="str">
        <f t="shared" si="74"/>
        <v/>
      </c>
      <c r="Y980" s="927"/>
      <c r="Z980" s="927"/>
      <c r="AA980" s="927"/>
      <c r="AD980" s="817" t="s">
        <v>9425</v>
      </c>
      <c r="AG980" s="807" t="str">
        <f t="shared" si="75"/>
        <v/>
      </c>
      <c r="AJ980" s="865"/>
      <c r="AN980" s="816"/>
      <c r="AQ980" s="93"/>
      <c r="AR980" s="93"/>
      <c r="AS980" s="93"/>
      <c r="AT980" s="93"/>
      <c r="AU980" s="93"/>
      <c r="AV980" s="93"/>
      <c r="AW980" s="93"/>
      <c r="AX980" s="93"/>
      <c r="AY980" s="93"/>
      <c r="AZ980" s="93"/>
      <c r="BA980" s="93"/>
      <c r="BB980" s="93"/>
      <c r="BL980" s="93"/>
      <c r="BM980" s="93"/>
      <c r="BO980" s="93"/>
      <c r="BP980" s="93"/>
      <c r="BQ980" s="93"/>
      <c r="BR980" s="93"/>
      <c r="BS980" s="93"/>
      <c r="BT980" s="93"/>
      <c r="BU980" s="93"/>
      <c r="BV980" s="93"/>
      <c r="BW980" s="93"/>
      <c r="BX980" s="93"/>
      <c r="BY980" s="93"/>
      <c r="BZ980" s="93"/>
      <c r="CA980" s="93"/>
      <c r="CB980" s="93"/>
      <c r="CC980" s="93"/>
      <c r="CF980" s="93"/>
      <c r="CG980" s="93"/>
      <c r="CH980" s="93"/>
      <c r="CI980" s="93"/>
      <c r="CJ980" s="93"/>
      <c r="CK980" s="93"/>
      <c r="CL980" s="93"/>
      <c r="CM980" s="93"/>
      <c r="CN980" s="93"/>
      <c r="CO980" s="93"/>
      <c r="CP980" s="93"/>
      <c r="CQ980" s="93"/>
      <c r="CR980" s="93"/>
      <c r="CS980" s="93"/>
      <c r="CT980" s="93"/>
      <c r="CU980" s="93"/>
      <c r="CV980" s="93"/>
      <c r="CW980" s="93"/>
      <c r="CX980" s="93"/>
      <c r="CY980" s="93"/>
      <c r="CZ980" s="93"/>
      <c r="DA980" s="93"/>
      <c r="DB980" s="93"/>
      <c r="DC980" s="93"/>
      <c r="DD980" s="93"/>
      <c r="DE980" s="93"/>
      <c r="DF980" s="93"/>
      <c r="DG980" s="93"/>
      <c r="DH980" s="93"/>
      <c r="DI980" s="93"/>
      <c r="DJ980" s="93"/>
      <c r="DK980" s="93"/>
      <c r="DL980" s="93"/>
      <c r="DM980" s="93"/>
      <c r="DN980" s="93"/>
      <c r="DO980" s="93"/>
    </row>
    <row r="981" spans="1:119" ht="15">
      <c r="D981" s="935"/>
      <c r="G981" s="827"/>
      <c r="H981" s="807" t="s">
        <v>9426</v>
      </c>
      <c r="I981" s="92">
        <v>61</v>
      </c>
      <c r="J981" s="92" t="s">
        <v>18</v>
      </c>
      <c r="K981" s="92" t="s">
        <v>722</v>
      </c>
      <c r="L981" s="810">
        <v>2</v>
      </c>
      <c r="M981" s="811" t="str">
        <f t="shared" si="73"/>
        <v>Elementary Level</v>
      </c>
      <c r="O981" s="92"/>
      <c r="P981" s="1638"/>
      <c r="Q981" s="92"/>
      <c r="R981" s="92"/>
      <c r="X981" s="811" t="str">
        <f t="shared" si="74"/>
        <v/>
      </c>
      <c r="AD981" s="817" t="s">
        <v>9427</v>
      </c>
      <c r="AG981" s="807" t="str">
        <f t="shared" si="75"/>
        <v/>
      </c>
      <c r="AJ981" s="865"/>
      <c r="AN981" s="816"/>
      <c r="AQ981" s="93"/>
      <c r="AR981" s="93"/>
      <c r="AS981" s="93"/>
      <c r="AT981" s="93"/>
      <c r="AU981" s="93"/>
      <c r="AV981" s="93"/>
      <c r="AW981" s="93"/>
      <c r="AX981" s="93"/>
      <c r="AY981" s="93"/>
      <c r="AZ981" s="93"/>
      <c r="BA981" s="93"/>
      <c r="BB981" s="93"/>
      <c r="BL981" s="93"/>
      <c r="BM981" s="93"/>
      <c r="BO981" s="93"/>
      <c r="BP981" s="93"/>
      <c r="BQ981" s="93"/>
      <c r="BR981" s="93"/>
      <c r="BS981" s="93"/>
      <c r="BT981" s="93"/>
      <c r="BU981" s="93"/>
      <c r="BV981" s="93"/>
      <c r="BW981" s="93"/>
      <c r="BX981" s="93"/>
      <c r="BY981" s="93"/>
      <c r="BZ981" s="93"/>
      <c r="CA981" s="93"/>
      <c r="CB981" s="93"/>
      <c r="CC981" s="93"/>
      <c r="CF981" s="93"/>
      <c r="CG981" s="93"/>
      <c r="CH981" s="93"/>
      <c r="CI981" s="93"/>
      <c r="CJ981" s="93"/>
      <c r="CK981" s="93"/>
      <c r="CL981" s="93"/>
      <c r="CM981" s="93"/>
      <c r="CN981" s="93"/>
      <c r="CO981" s="93"/>
      <c r="CP981" s="93"/>
      <c r="CQ981" s="93"/>
      <c r="CR981" s="93"/>
      <c r="CS981" s="93"/>
      <c r="CT981" s="93"/>
      <c r="CU981" s="93"/>
      <c r="CV981" s="93"/>
      <c r="CW981" s="93"/>
      <c r="CX981" s="93"/>
      <c r="CY981" s="93"/>
      <c r="CZ981" s="93"/>
      <c r="DA981" s="93"/>
      <c r="DB981" s="93"/>
      <c r="DC981" s="93"/>
      <c r="DD981" s="93"/>
      <c r="DE981" s="93"/>
      <c r="DF981" s="93"/>
      <c r="DG981" s="93"/>
      <c r="DH981" s="93"/>
      <c r="DI981" s="93"/>
      <c r="DJ981" s="93"/>
      <c r="DK981" s="93"/>
      <c r="DL981" s="93"/>
      <c r="DM981" s="93"/>
      <c r="DN981" s="93"/>
      <c r="DO981" s="93"/>
    </row>
    <row r="982" spans="1:119" ht="15">
      <c r="D982" s="935" t="s">
        <v>9428</v>
      </c>
      <c r="G982" s="846" t="s">
        <v>690</v>
      </c>
      <c r="H982" s="807" t="s">
        <v>9429</v>
      </c>
      <c r="I982" s="92">
        <v>45</v>
      </c>
      <c r="J982" s="92" t="s">
        <v>18</v>
      </c>
      <c r="K982" s="92" t="s">
        <v>707</v>
      </c>
      <c r="L982" s="810">
        <v>9</v>
      </c>
      <c r="M982" s="811" t="str">
        <f t="shared" si="73"/>
        <v>Vocational Graduate</v>
      </c>
      <c r="N982" s="92" t="s">
        <v>1208</v>
      </c>
      <c r="O982" s="92" t="s">
        <v>1928</v>
      </c>
      <c r="P982" s="1638"/>
      <c r="Q982" s="92" t="s">
        <v>1928</v>
      </c>
      <c r="R982" s="92"/>
      <c r="U982" s="813">
        <v>4000</v>
      </c>
      <c r="W982" s="926"/>
      <c r="X982" s="811" t="str">
        <f t="shared" si="74"/>
        <v/>
      </c>
      <c r="Y982" s="927"/>
      <c r="Z982" s="927"/>
      <c r="AA982" s="927"/>
      <c r="AB982" s="924">
        <v>480</v>
      </c>
      <c r="AG982" s="807" t="str">
        <f t="shared" si="75"/>
        <v/>
      </c>
      <c r="AJ982" s="865"/>
      <c r="AN982" s="816"/>
      <c r="AQ982" s="93"/>
      <c r="AR982" s="93"/>
      <c r="AS982" s="93"/>
      <c r="AT982" s="93"/>
      <c r="AU982" s="93"/>
      <c r="AV982" s="93"/>
      <c r="AW982" s="93"/>
      <c r="AX982" s="93"/>
      <c r="AY982" s="93"/>
      <c r="AZ982" s="93"/>
      <c r="BA982" s="93"/>
      <c r="BB982" s="93"/>
      <c r="BL982" s="93"/>
      <c r="BM982" s="93"/>
      <c r="BO982" s="93"/>
      <c r="BP982" s="93"/>
      <c r="BQ982" s="93"/>
      <c r="BR982" s="93"/>
      <c r="BS982" s="93"/>
      <c r="BT982" s="93"/>
      <c r="BU982" s="93"/>
      <c r="BV982" s="93"/>
      <c r="BW982" s="93"/>
      <c r="BX982" s="93"/>
      <c r="BY982" s="93"/>
      <c r="BZ982" s="93"/>
      <c r="CA982" s="93"/>
      <c r="CB982" s="93"/>
      <c r="CC982" s="93"/>
      <c r="CF982" s="93"/>
      <c r="CG982" s="93"/>
      <c r="CH982" s="93"/>
      <c r="CI982" s="93"/>
      <c r="CJ982" s="93"/>
      <c r="CK982" s="93"/>
      <c r="CL982" s="93"/>
      <c r="CM982" s="93"/>
      <c r="CN982" s="93"/>
      <c r="CO982" s="93"/>
      <c r="CP982" s="93"/>
      <c r="CQ982" s="93"/>
      <c r="CR982" s="93"/>
      <c r="CS982" s="93"/>
      <c r="CT982" s="93"/>
      <c r="CU982" s="93"/>
      <c r="CV982" s="93"/>
      <c r="CW982" s="93"/>
      <c r="CX982" s="93"/>
      <c r="CY982" s="93"/>
      <c r="CZ982" s="93"/>
      <c r="DA982" s="93"/>
      <c r="DB982" s="93"/>
      <c r="DC982" s="93"/>
      <c r="DD982" s="93"/>
      <c r="DE982" s="93"/>
      <c r="DF982" s="93"/>
      <c r="DG982" s="93"/>
      <c r="DH982" s="93"/>
      <c r="DI982" s="93"/>
      <c r="DJ982" s="93"/>
      <c r="DK982" s="93"/>
      <c r="DL982" s="93"/>
      <c r="DM982" s="93"/>
      <c r="DN982" s="93"/>
      <c r="DO982" s="93"/>
    </row>
    <row r="983" spans="1:119" ht="15">
      <c r="D983" s="935"/>
      <c r="G983" s="827"/>
      <c r="H983" s="807" t="s">
        <v>2133</v>
      </c>
      <c r="I983" s="92">
        <v>23</v>
      </c>
      <c r="J983" s="92" t="s">
        <v>10</v>
      </c>
      <c r="K983" s="92" t="s">
        <v>722</v>
      </c>
      <c r="L983" s="810">
        <v>6</v>
      </c>
      <c r="M983" s="811" t="str">
        <f t="shared" si="73"/>
        <v>College Level</v>
      </c>
      <c r="O983" s="92"/>
      <c r="P983" s="1638"/>
      <c r="Q983" s="92"/>
      <c r="R983" s="92"/>
      <c r="X983" s="811" t="str">
        <f t="shared" si="74"/>
        <v/>
      </c>
      <c r="AG983" s="807" t="str">
        <f t="shared" si="75"/>
        <v/>
      </c>
      <c r="AJ983" s="865"/>
      <c r="AN983" s="816"/>
      <c r="AQ983" s="93"/>
      <c r="AR983" s="93"/>
      <c r="AS983" s="93"/>
      <c r="AT983" s="93"/>
      <c r="AU983" s="93"/>
      <c r="AV983" s="93"/>
      <c r="AW983" s="93"/>
      <c r="AX983" s="93"/>
      <c r="AY983" s="93"/>
      <c r="AZ983" s="93"/>
      <c r="BA983" s="93"/>
      <c r="BB983" s="93"/>
      <c r="BL983" s="93"/>
      <c r="BM983" s="93"/>
      <c r="BO983" s="93"/>
      <c r="BP983" s="93"/>
      <c r="BQ983" s="93"/>
      <c r="BR983" s="93"/>
      <c r="BS983" s="93"/>
      <c r="BT983" s="93"/>
      <c r="BU983" s="93"/>
      <c r="BV983" s="93"/>
      <c r="BW983" s="93"/>
      <c r="BX983" s="93"/>
      <c r="BY983" s="93"/>
      <c r="BZ983" s="93"/>
      <c r="CA983" s="93"/>
      <c r="CB983" s="93"/>
      <c r="CC983" s="93"/>
      <c r="CF983" s="93"/>
      <c r="CG983" s="93"/>
      <c r="CH983" s="93"/>
      <c r="CI983" s="93"/>
      <c r="CJ983" s="93"/>
      <c r="CK983" s="93"/>
      <c r="CL983" s="93"/>
      <c r="CM983" s="93"/>
      <c r="CN983" s="93"/>
      <c r="CO983" s="93"/>
      <c r="CP983" s="93"/>
      <c r="CQ983" s="93"/>
      <c r="CR983" s="93"/>
      <c r="CS983" s="93"/>
      <c r="CT983" s="93"/>
      <c r="CU983" s="93"/>
      <c r="CV983" s="93"/>
      <c r="CW983" s="93"/>
      <c r="CX983" s="93"/>
      <c r="CY983" s="93"/>
      <c r="CZ983" s="93"/>
      <c r="DA983" s="93"/>
      <c r="DB983" s="93"/>
      <c r="DC983" s="93"/>
      <c r="DD983" s="93"/>
      <c r="DE983" s="93"/>
      <c r="DF983" s="93"/>
      <c r="DG983" s="93"/>
      <c r="DH983" s="93"/>
      <c r="DI983" s="93"/>
      <c r="DJ983" s="93"/>
      <c r="DK983" s="93"/>
      <c r="DL983" s="93"/>
      <c r="DM983" s="93"/>
      <c r="DN983" s="93"/>
      <c r="DO983" s="93"/>
    </row>
    <row r="984" spans="1:119" ht="15">
      <c r="D984" s="935"/>
      <c r="G984" s="827"/>
      <c r="H984" s="807" t="s">
        <v>9430</v>
      </c>
      <c r="I984" s="92">
        <v>20</v>
      </c>
      <c r="J984" s="92" t="s">
        <v>18</v>
      </c>
      <c r="K984" s="92" t="s">
        <v>722</v>
      </c>
      <c r="L984" s="810">
        <v>9</v>
      </c>
      <c r="M984" s="811" t="str">
        <f t="shared" si="73"/>
        <v>Vocational Graduate</v>
      </c>
      <c r="N984" s="92" t="s">
        <v>1208</v>
      </c>
      <c r="O984" s="92" t="s">
        <v>9431</v>
      </c>
      <c r="P984" s="1638"/>
      <c r="Q984" s="92" t="s">
        <v>9431</v>
      </c>
      <c r="R984" s="92"/>
      <c r="U984" s="813">
        <v>15000</v>
      </c>
      <c r="W984" s="926"/>
      <c r="X984" s="811" t="str">
        <f t="shared" si="74"/>
        <v/>
      </c>
      <c r="Y984" s="927"/>
      <c r="Z984" s="927"/>
      <c r="AA984" s="927"/>
      <c r="AB984" s="924">
        <v>2000</v>
      </c>
      <c r="AG984" s="807" t="str">
        <f t="shared" si="75"/>
        <v/>
      </c>
      <c r="AJ984" s="865"/>
      <c r="AN984" s="816"/>
      <c r="AQ984" s="93"/>
      <c r="AR984" s="93"/>
      <c r="AS984" s="93"/>
      <c r="AT984" s="93"/>
      <c r="AU984" s="93"/>
      <c r="AV984" s="93"/>
      <c r="AW984" s="93"/>
      <c r="AX984" s="93"/>
      <c r="AY984" s="93"/>
      <c r="AZ984" s="93"/>
      <c r="BA984" s="93"/>
      <c r="BB984" s="93"/>
      <c r="BL984" s="93"/>
      <c r="BM984" s="93"/>
      <c r="BO984" s="93"/>
      <c r="BP984" s="93"/>
      <c r="BQ984" s="93"/>
      <c r="BR984" s="93"/>
      <c r="BS984" s="93"/>
      <c r="BT984" s="93"/>
      <c r="BU984" s="93"/>
      <c r="BV984" s="93"/>
      <c r="BW984" s="93"/>
      <c r="BX984" s="93"/>
      <c r="BY984" s="93"/>
      <c r="BZ984" s="93"/>
      <c r="CA984" s="93"/>
      <c r="CB984" s="93"/>
      <c r="CC984" s="93"/>
      <c r="CF984" s="93"/>
      <c r="CG984" s="93"/>
      <c r="CH984" s="93"/>
      <c r="CI984" s="93"/>
      <c r="CJ984" s="93"/>
      <c r="CK984" s="93"/>
      <c r="CL984" s="93"/>
      <c r="CM984" s="93"/>
      <c r="CN984" s="93"/>
      <c r="CO984" s="93"/>
      <c r="CP984" s="93"/>
      <c r="CQ984" s="93"/>
      <c r="CR984" s="93"/>
      <c r="CS984" s="93"/>
      <c r="CT984" s="93"/>
      <c r="CU984" s="93"/>
      <c r="CV984" s="93"/>
      <c r="CW984" s="93"/>
      <c r="CX984" s="93"/>
      <c r="CY984" s="93"/>
      <c r="CZ984" s="93"/>
      <c r="DA984" s="93"/>
      <c r="DB984" s="93"/>
      <c r="DC984" s="93"/>
      <c r="DD984" s="93"/>
      <c r="DE984" s="93"/>
      <c r="DF984" s="93"/>
      <c r="DG984" s="93"/>
      <c r="DH984" s="93"/>
      <c r="DI984" s="93"/>
      <c r="DJ984" s="93"/>
      <c r="DK984" s="93"/>
      <c r="DL984" s="93"/>
      <c r="DM984" s="93"/>
      <c r="DN984" s="93"/>
      <c r="DO984" s="93"/>
    </row>
    <row r="985" spans="1:119" ht="15">
      <c r="D985" s="935" t="s">
        <v>9432</v>
      </c>
      <c r="G985" s="827"/>
      <c r="H985" s="807" t="s">
        <v>9433</v>
      </c>
      <c r="I985" s="92">
        <v>27</v>
      </c>
      <c r="J985" s="92" t="s">
        <v>10</v>
      </c>
      <c r="K985" s="92" t="s">
        <v>722</v>
      </c>
      <c r="L985" s="810">
        <v>7</v>
      </c>
      <c r="M985" s="811" t="str">
        <f t="shared" si="73"/>
        <v>College Graduate or Higher</v>
      </c>
      <c r="N985" s="92" t="s">
        <v>1208</v>
      </c>
      <c r="O985" s="812" t="s">
        <v>9434</v>
      </c>
      <c r="P985" s="1638"/>
      <c r="Q985" s="812" t="s">
        <v>9434</v>
      </c>
      <c r="U985" s="813">
        <v>10000</v>
      </c>
      <c r="W985" s="926"/>
      <c r="X985" s="811" t="str">
        <f t="shared" si="74"/>
        <v/>
      </c>
      <c r="Y985" s="927"/>
      <c r="Z985" s="927"/>
      <c r="AA985" s="927"/>
      <c r="AB985" s="924" t="s">
        <v>2140</v>
      </c>
      <c r="AC985" s="807" t="s">
        <v>9435</v>
      </c>
      <c r="AG985" s="807" t="str">
        <f t="shared" si="75"/>
        <v/>
      </c>
      <c r="AJ985" s="865"/>
      <c r="AW985" s="93"/>
      <c r="AX985" s="93"/>
      <c r="AY985" s="93"/>
      <c r="AZ985" s="93"/>
      <c r="BA985" s="93"/>
      <c r="BB985" s="93"/>
      <c r="BL985" s="93"/>
      <c r="BM985" s="93"/>
      <c r="BO985" s="93"/>
      <c r="BP985" s="93"/>
      <c r="BQ985" s="93"/>
      <c r="BR985" s="93"/>
      <c r="BS985" s="93"/>
      <c r="BT985" s="93"/>
      <c r="BU985" s="93"/>
      <c r="BV985" s="93"/>
      <c r="BW985" s="93"/>
      <c r="BX985" s="93"/>
      <c r="BY985" s="93"/>
      <c r="BZ985" s="93"/>
      <c r="CA985" s="93"/>
      <c r="CB985" s="93"/>
      <c r="CC985" s="93"/>
      <c r="CF985" s="93"/>
      <c r="CG985" s="93"/>
      <c r="CH985" s="93"/>
      <c r="CI985" s="93"/>
      <c r="CJ985" s="93"/>
      <c r="CK985" s="93"/>
      <c r="CL985" s="93"/>
      <c r="CM985" s="93"/>
      <c r="CN985" s="93"/>
      <c r="CO985" s="93"/>
      <c r="CP985" s="93"/>
      <c r="CQ985" s="93"/>
      <c r="CR985" s="93"/>
      <c r="CS985" s="93"/>
      <c r="CT985" s="93"/>
      <c r="CU985" s="93"/>
      <c r="CV985" s="93"/>
      <c r="CW985" s="93"/>
      <c r="CX985" s="93"/>
      <c r="CY985" s="93"/>
      <c r="CZ985" s="93"/>
      <c r="DA985" s="93"/>
      <c r="DB985" s="93"/>
      <c r="DC985" s="93"/>
      <c r="DD985" s="93"/>
      <c r="DE985" s="93"/>
      <c r="DF985" s="93"/>
      <c r="DG985" s="93"/>
      <c r="DH985" s="93"/>
      <c r="DI985" s="93"/>
      <c r="DJ985" s="93"/>
      <c r="DK985" s="93"/>
      <c r="DL985" s="93"/>
      <c r="DM985" s="93"/>
      <c r="DN985" s="93"/>
      <c r="DO985" s="93"/>
    </row>
    <row r="986" spans="1:119" ht="15">
      <c r="D986" s="935"/>
      <c r="G986" s="827"/>
      <c r="H986" s="807" t="s">
        <v>9436</v>
      </c>
      <c r="I986" s="92">
        <v>18</v>
      </c>
      <c r="J986" s="92" t="s">
        <v>18</v>
      </c>
      <c r="K986" s="92" t="s">
        <v>722</v>
      </c>
      <c r="L986" s="810">
        <v>4</v>
      </c>
      <c r="M986" s="811" t="str">
        <f t="shared" si="73"/>
        <v>High School Level</v>
      </c>
      <c r="O986" s="92"/>
      <c r="P986" s="1638"/>
      <c r="Q986" s="92"/>
      <c r="R986" s="92"/>
      <c r="X986" s="811" t="str">
        <f t="shared" si="74"/>
        <v/>
      </c>
      <c r="AG986" s="807" t="str">
        <f t="shared" si="75"/>
        <v/>
      </c>
      <c r="AJ986" s="865"/>
      <c r="AN986" s="816"/>
      <c r="AQ986" s="93"/>
      <c r="AR986" s="93"/>
      <c r="AS986" s="93"/>
      <c r="AT986" s="93"/>
      <c r="AU986" s="93"/>
      <c r="AV986" s="93"/>
      <c r="AW986" s="93"/>
      <c r="AX986" s="93"/>
      <c r="AY986" s="93"/>
      <c r="AZ986" s="93"/>
      <c r="BA986" s="93"/>
      <c r="BB986" s="93"/>
      <c r="BL986" s="93"/>
      <c r="BM986" s="93"/>
      <c r="BO986" s="93"/>
      <c r="BP986" s="93"/>
      <c r="BQ986" s="93"/>
      <c r="BR986" s="93"/>
      <c r="BS986" s="93"/>
      <c r="BT986" s="93"/>
      <c r="BU986" s="93"/>
      <c r="BV986" s="93"/>
      <c r="BW986" s="93"/>
      <c r="BX986" s="93"/>
      <c r="BY986" s="93"/>
      <c r="BZ986" s="93"/>
      <c r="CA986" s="93"/>
      <c r="CB986" s="93"/>
      <c r="CC986" s="93"/>
      <c r="CF986" s="93"/>
      <c r="CG986" s="93"/>
      <c r="CH986" s="93"/>
      <c r="CI986" s="93"/>
      <c r="CJ986" s="93"/>
      <c r="CK986" s="93"/>
      <c r="CL986" s="93"/>
      <c r="CM986" s="93"/>
      <c r="CN986" s="93"/>
      <c r="CO986" s="93"/>
      <c r="CP986" s="93"/>
      <c r="CQ986" s="93"/>
      <c r="CR986" s="93"/>
      <c r="CS986" s="93"/>
      <c r="CT986" s="93"/>
      <c r="CU986" s="93"/>
      <c r="CV986" s="93"/>
      <c r="CW986" s="93"/>
      <c r="CX986" s="93"/>
      <c r="CY986" s="93"/>
      <c r="CZ986" s="93"/>
      <c r="DA986" s="93"/>
      <c r="DB986" s="93"/>
      <c r="DC986" s="93"/>
      <c r="DD986" s="93"/>
      <c r="DE986" s="93"/>
      <c r="DF986" s="93"/>
      <c r="DG986" s="93"/>
      <c r="DH986" s="93"/>
      <c r="DI986" s="93"/>
      <c r="DJ986" s="93"/>
      <c r="DK986" s="93"/>
      <c r="DL986" s="93"/>
      <c r="DM986" s="93"/>
      <c r="DN986" s="93"/>
      <c r="DO986" s="93"/>
    </row>
    <row r="987" spans="1:119" ht="15">
      <c r="D987" s="935"/>
      <c r="G987" s="827"/>
      <c r="H987" s="807" t="s">
        <v>9437</v>
      </c>
      <c r="I987" s="92">
        <v>0.5</v>
      </c>
      <c r="J987" s="92" t="s">
        <v>18</v>
      </c>
      <c r="K987" s="92" t="s">
        <v>768</v>
      </c>
      <c r="L987" s="810">
        <v>10</v>
      </c>
      <c r="M987" s="811" t="str">
        <f t="shared" si="73"/>
        <v>Not In School Age</v>
      </c>
      <c r="N987" s="807"/>
      <c r="O987" s="807"/>
      <c r="P987" s="1638"/>
      <c r="Q987" s="807"/>
      <c r="R987" s="807"/>
      <c r="S987" s="807"/>
      <c r="T987" s="807"/>
      <c r="U987" s="807"/>
      <c r="V987" s="944"/>
      <c r="W987" s="945"/>
      <c r="X987" s="811" t="str">
        <f t="shared" si="74"/>
        <v/>
      </c>
      <c r="Y987" s="813"/>
      <c r="Z987" s="813"/>
      <c r="AA987" s="813"/>
      <c r="AB987" s="931"/>
      <c r="AG987" s="807" t="str">
        <f t="shared" si="75"/>
        <v/>
      </c>
      <c r="AJ987" s="865"/>
      <c r="AN987" s="816"/>
      <c r="AQ987" s="93"/>
      <c r="AR987" s="93"/>
      <c r="AS987" s="93"/>
      <c r="AT987" s="93"/>
      <c r="AU987" s="93"/>
      <c r="AV987" s="93"/>
      <c r="AW987" s="93"/>
      <c r="AX987" s="93"/>
      <c r="AY987" s="93"/>
      <c r="AZ987" s="93"/>
      <c r="BA987" s="93"/>
      <c r="BB987" s="93"/>
      <c r="BL987" s="93"/>
      <c r="BM987" s="93"/>
      <c r="BO987" s="93"/>
      <c r="BP987" s="93"/>
      <c r="BQ987" s="93"/>
      <c r="BR987" s="93"/>
      <c r="BS987" s="93"/>
      <c r="BT987" s="93"/>
      <c r="BU987" s="93"/>
      <c r="BV987" s="93"/>
      <c r="BW987" s="93"/>
      <c r="BX987" s="93"/>
      <c r="BY987" s="93"/>
      <c r="BZ987" s="93"/>
      <c r="CA987" s="93"/>
      <c r="CB987" s="93"/>
      <c r="CC987" s="93"/>
      <c r="CF987" s="93"/>
      <c r="CG987" s="93"/>
      <c r="CH987" s="93"/>
      <c r="CI987" s="93"/>
      <c r="CJ987" s="93"/>
      <c r="CK987" s="93"/>
      <c r="CL987" s="93"/>
      <c r="CM987" s="93"/>
      <c r="CN987" s="93"/>
      <c r="CO987" s="93"/>
      <c r="CP987" s="93"/>
      <c r="CQ987" s="93"/>
      <c r="CR987" s="93"/>
      <c r="CS987" s="93"/>
      <c r="CT987" s="93"/>
      <c r="CU987" s="93"/>
      <c r="CV987" s="93"/>
      <c r="CW987" s="93"/>
      <c r="CX987" s="93"/>
      <c r="CY987" s="93"/>
      <c r="CZ987" s="93"/>
      <c r="DA987" s="93"/>
      <c r="DB987" s="93"/>
      <c r="DC987" s="93"/>
      <c r="DD987" s="93"/>
      <c r="DE987" s="93"/>
      <c r="DF987" s="93"/>
      <c r="DG987" s="93"/>
      <c r="DH987" s="93"/>
      <c r="DI987" s="93"/>
      <c r="DJ987" s="93"/>
      <c r="DK987" s="93"/>
    </row>
    <row r="988" spans="1:119" ht="15">
      <c r="A988" s="19" t="s">
        <v>7421</v>
      </c>
      <c r="B988" s="1007" t="s">
        <v>7737</v>
      </c>
      <c r="C988" s="133" t="s">
        <v>2294</v>
      </c>
      <c r="D988" s="1069" t="s">
        <v>9440</v>
      </c>
      <c r="E988" s="514" t="s">
        <v>2294</v>
      </c>
      <c r="F988" s="1048" t="s">
        <v>2314</v>
      </c>
      <c r="G988" s="827"/>
      <c r="H988" s="809" t="s">
        <v>2314</v>
      </c>
      <c r="I988" s="92">
        <v>57</v>
      </c>
      <c r="J988" s="92" t="s">
        <v>10</v>
      </c>
      <c r="K988" s="92" t="s">
        <v>768</v>
      </c>
      <c r="L988" s="810">
        <v>6</v>
      </c>
      <c r="M988" s="811" t="str">
        <f t="shared" si="73"/>
        <v>College Level</v>
      </c>
      <c r="N988" s="92" t="s">
        <v>1208</v>
      </c>
      <c r="O988" s="812" t="s">
        <v>9441</v>
      </c>
      <c r="P988" s="1638" t="s">
        <v>12608</v>
      </c>
      <c r="Q988" s="812" t="s">
        <v>9441</v>
      </c>
      <c r="R988" s="92" t="s">
        <v>8234</v>
      </c>
      <c r="U988" s="813">
        <f>7000+7000</f>
        <v>14000</v>
      </c>
      <c r="V988" s="873"/>
      <c r="W988" s="815">
        <v>1</v>
      </c>
      <c r="X988" s="811" t="str">
        <f t="shared" si="74"/>
        <v>within the Brgy</v>
      </c>
      <c r="AB988" s="836"/>
      <c r="AG988" s="807" t="str">
        <f t="shared" si="75"/>
        <v/>
      </c>
      <c r="AJ988" s="865"/>
    </row>
    <row r="989" spans="1:119" ht="15">
      <c r="A989" s="19" t="s">
        <v>7421</v>
      </c>
      <c r="D989" s="1069" t="s">
        <v>9440</v>
      </c>
      <c r="E989" s="514" t="s">
        <v>2294</v>
      </c>
      <c r="G989" s="827"/>
      <c r="H989" s="809" t="s">
        <v>9442</v>
      </c>
      <c r="I989" s="92">
        <v>44</v>
      </c>
      <c r="J989" s="92" t="s">
        <v>18</v>
      </c>
      <c r="K989" s="92" t="s">
        <v>768</v>
      </c>
      <c r="L989" s="810">
        <v>6</v>
      </c>
      <c r="M989" s="811" t="str">
        <f t="shared" si="73"/>
        <v>College Level</v>
      </c>
      <c r="P989" s="1638"/>
      <c r="V989" s="873"/>
      <c r="X989" s="811" t="str">
        <f t="shared" si="74"/>
        <v/>
      </c>
      <c r="AB989" s="836"/>
      <c r="AG989" s="807" t="str">
        <f t="shared" si="75"/>
        <v/>
      </c>
      <c r="AJ989" s="865"/>
    </row>
    <row r="990" spans="1:119" ht="15">
      <c r="A990" s="19" t="s">
        <v>7421</v>
      </c>
      <c r="D990" s="1069" t="s">
        <v>9440</v>
      </c>
      <c r="E990" s="514" t="s">
        <v>2294</v>
      </c>
      <c r="G990" s="827"/>
      <c r="H990" s="809" t="s">
        <v>9443</v>
      </c>
      <c r="I990" s="92">
        <v>21</v>
      </c>
      <c r="J990" s="92" t="s">
        <v>18</v>
      </c>
      <c r="K990" s="92" t="s">
        <v>768</v>
      </c>
      <c r="L990" s="810">
        <v>7</v>
      </c>
      <c r="M990" s="811" t="str">
        <f t="shared" si="73"/>
        <v>College Graduate or Higher</v>
      </c>
      <c r="P990" s="1638"/>
      <c r="V990" s="873"/>
      <c r="X990" s="811" t="str">
        <f t="shared" si="74"/>
        <v/>
      </c>
      <c r="AB990" s="836"/>
      <c r="AG990" s="807" t="str">
        <f t="shared" si="75"/>
        <v/>
      </c>
      <c r="AJ990" s="865"/>
    </row>
    <row r="991" spans="1:119" ht="15">
      <c r="A991" s="19" t="s">
        <v>7421</v>
      </c>
      <c r="B991" s="1007"/>
      <c r="C991" s="771"/>
      <c r="D991" s="1069" t="s">
        <v>9440</v>
      </c>
      <c r="E991" s="514" t="s">
        <v>2294</v>
      </c>
      <c r="G991" s="827"/>
      <c r="H991" s="809" t="s">
        <v>9444</v>
      </c>
      <c r="I991" s="92">
        <v>7</v>
      </c>
      <c r="J991" s="92" t="s">
        <v>10</v>
      </c>
      <c r="K991" s="92" t="s">
        <v>768</v>
      </c>
      <c r="L991" s="810">
        <v>2</v>
      </c>
      <c r="M991" s="811" t="str">
        <f t="shared" si="73"/>
        <v>Elementary Level</v>
      </c>
      <c r="P991" s="1638"/>
      <c r="V991" s="873">
        <f>SUM(S988:U991)</f>
        <v>14000</v>
      </c>
      <c r="X991" s="811" t="str">
        <f t="shared" si="74"/>
        <v/>
      </c>
      <c r="AB991" s="813">
        <f>SUM(Y988:AA991)</f>
        <v>0</v>
      </c>
      <c r="AG991" s="807" t="str">
        <f t="shared" si="75"/>
        <v/>
      </c>
      <c r="AJ991" s="865"/>
    </row>
    <row r="992" spans="1:119" ht="15">
      <c r="A992" s="19" t="s">
        <v>7421</v>
      </c>
      <c r="B992" s="1007"/>
      <c r="C992" s="771"/>
      <c r="D992" s="1069" t="s">
        <v>9440</v>
      </c>
      <c r="E992" s="514" t="s">
        <v>2294</v>
      </c>
      <c r="G992" s="827"/>
      <c r="M992" s="811"/>
      <c r="P992" s="1638"/>
      <c r="V992" s="828"/>
      <c r="AB992" s="947"/>
      <c r="AG992" s="807" t="str">
        <f t="shared" si="75"/>
        <v/>
      </c>
      <c r="AJ992" s="865"/>
      <c r="AK992" s="836" t="s">
        <v>9445</v>
      </c>
      <c r="AN992" s="813">
        <v>4000</v>
      </c>
    </row>
    <row r="993" spans="1:97" ht="15">
      <c r="A993" s="311" t="s">
        <v>12452</v>
      </c>
      <c r="B993" s="1007" t="s">
        <v>5833</v>
      </c>
      <c r="C993" s="133" t="s">
        <v>2318</v>
      </c>
      <c r="D993" s="1069" t="s">
        <v>9438</v>
      </c>
      <c r="G993" s="846" t="s">
        <v>2318</v>
      </c>
      <c r="H993" s="809" t="s">
        <v>3480</v>
      </c>
      <c r="I993" s="92">
        <v>42</v>
      </c>
      <c r="J993" s="92" t="s">
        <v>18</v>
      </c>
      <c r="K993" s="92" t="s">
        <v>768</v>
      </c>
      <c r="L993" s="810">
        <v>2</v>
      </c>
      <c r="M993" s="811" t="str">
        <f t="shared" ref="M993:M1024" si="76">IF(ISBLANK(L993)=TRUE,"",LOOKUP(L993,GQ:GR))</f>
        <v>Elementary Level</v>
      </c>
      <c r="N993" s="92" t="s">
        <v>1208</v>
      </c>
      <c r="O993" s="812" t="s">
        <v>9419</v>
      </c>
      <c r="P993" s="1638" t="s">
        <v>12608</v>
      </c>
      <c r="Q993" s="812" t="s">
        <v>9419</v>
      </c>
      <c r="R993" s="92" t="s">
        <v>8234</v>
      </c>
      <c r="U993" s="813">
        <v>6000</v>
      </c>
      <c r="W993" s="815">
        <v>1</v>
      </c>
      <c r="X993" s="811" t="str">
        <f t="shared" ref="X993:X1024" si="77">IF(ISBLANK(W993)=TRUE,"",LOOKUP(W993,GO:GP))</f>
        <v>within the Brgy</v>
      </c>
      <c r="AG993" s="807" t="str">
        <f t="shared" si="75"/>
        <v/>
      </c>
      <c r="AJ993" s="865"/>
      <c r="BV993" s="807">
        <v>2</v>
      </c>
      <c r="BZ993" s="807" t="s">
        <v>2146</v>
      </c>
      <c r="CS993" s="807">
        <v>1</v>
      </c>
    </row>
    <row r="994" spans="1:97" ht="15">
      <c r="A994" s="311" t="s">
        <v>12452</v>
      </c>
      <c r="B994" s="115"/>
      <c r="D994" s="1069" t="s">
        <v>9438</v>
      </c>
      <c r="G994" s="827"/>
      <c r="H994" s="809" t="s">
        <v>9439</v>
      </c>
      <c r="I994" s="92">
        <v>24</v>
      </c>
      <c r="J994" s="92" t="s">
        <v>18</v>
      </c>
      <c r="K994" s="92" t="s">
        <v>768</v>
      </c>
      <c r="L994" s="810">
        <v>7</v>
      </c>
      <c r="M994" s="811" t="str">
        <f t="shared" si="76"/>
        <v>College Graduate or Higher</v>
      </c>
      <c r="P994" s="1638"/>
      <c r="V994" s="814">
        <f>SUM(S993:U994)</f>
        <v>6000</v>
      </c>
      <c r="X994" s="811" t="str">
        <f t="shared" si="77"/>
        <v/>
      </c>
      <c r="AB994" s="924">
        <f>SUM(Y993:AA994)</f>
        <v>0</v>
      </c>
      <c r="AG994" s="807" t="str">
        <f t="shared" si="75"/>
        <v/>
      </c>
      <c r="AJ994" s="865"/>
    </row>
    <row r="995" spans="1:97" ht="15">
      <c r="A995" s="19" t="s">
        <v>7421</v>
      </c>
      <c r="B995" s="752" t="s">
        <v>7677</v>
      </c>
      <c r="C995" s="132" t="s">
        <v>2328</v>
      </c>
      <c r="D995" s="1069" t="s">
        <v>9446</v>
      </c>
      <c r="E995" s="533" t="s">
        <v>2328</v>
      </c>
      <c r="F995" s="1048" t="s">
        <v>2333</v>
      </c>
      <c r="G995" s="929"/>
      <c r="H995" s="809" t="s">
        <v>2333</v>
      </c>
      <c r="I995" s="92">
        <v>41</v>
      </c>
      <c r="J995" s="92" t="s">
        <v>10</v>
      </c>
      <c r="K995" s="92" t="s">
        <v>707</v>
      </c>
      <c r="L995" s="810">
        <v>2</v>
      </c>
      <c r="M995" s="811" t="str">
        <f t="shared" si="76"/>
        <v>Elementary Level</v>
      </c>
      <c r="N995" s="92" t="s">
        <v>1208</v>
      </c>
      <c r="P995" s="1638"/>
      <c r="R995" s="92" t="s">
        <v>1208</v>
      </c>
      <c r="U995" s="813">
        <v>6000</v>
      </c>
      <c r="V995" s="948"/>
      <c r="X995" s="811" t="str">
        <f t="shared" si="77"/>
        <v/>
      </c>
      <c r="AB995" s="949"/>
      <c r="AG995" s="807" t="str">
        <f t="shared" si="75"/>
        <v/>
      </c>
      <c r="AJ995" s="865"/>
    </row>
    <row r="996" spans="1:97" ht="15">
      <c r="A996" s="19" t="s">
        <v>7421</v>
      </c>
      <c r="D996" s="1069" t="s">
        <v>9446</v>
      </c>
      <c r="E996" s="533" t="s">
        <v>2328</v>
      </c>
      <c r="G996" s="827"/>
      <c r="H996" s="809" t="s">
        <v>9447</v>
      </c>
      <c r="I996" s="92">
        <v>19</v>
      </c>
      <c r="J996" s="92" t="s">
        <v>10</v>
      </c>
      <c r="K996" s="92" t="s">
        <v>768</v>
      </c>
      <c r="L996" s="810">
        <v>2</v>
      </c>
      <c r="M996" s="811" t="str">
        <f t="shared" si="76"/>
        <v>Elementary Level</v>
      </c>
      <c r="P996" s="1638"/>
      <c r="V996" s="948"/>
      <c r="W996" s="815">
        <v>1</v>
      </c>
      <c r="X996" s="811" t="str">
        <f t="shared" si="77"/>
        <v>within the Brgy</v>
      </c>
      <c r="AB996" s="949"/>
      <c r="AG996" s="807" t="str">
        <f t="shared" si="75"/>
        <v/>
      </c>
      <c r="AJ996" s="865"/>
    </row>
    <row r="997" spans="1:97" ht="15">
      <c r="A997" s="19" t="s">
        <v>7421</v>
      </c>
      <c r="D997" s="1069" t="s">
        <v>9446</v>
      </c>
      <c r="E997" s="533" t="s">
        <v>2328</v>
      </c>
      <c r="G997" s="827"/>
      <c r="H997" s="809" t="s">
        <v>9448</v>
      </c>
      <c r="I997" s="92">
        <v>18</v>
      </c>
      <c r="J997" s="92" t="s">
        <v>10</v>
      </c>
      <c r="K997" s="92" t="s">
        <v>768</v>
      </c>
      <c r="L997" s="810">
        <v>2</v>
      </c>
      <c r="M997" s="811" t="str">
        <f t="shared" si="76"/>
        <v>Elementary Level</v>
      </c>
      <c r="P997" s="1638"/>
      <c r="V997" s="948"/>
      <c r="X997" s="811" t="str">
        <f t="shared" si="77"/>
        <v/>
      </c>
      <c r="AB997" s="949"/>
      <c r="AG997" s="807" t="str">
        <f t="shared" si="75"/>
        <v/>
      </c>
      <c r="AJ997" s="865"/>
    </row>
    <row r="998" spans="1:97" ht="15">
      <c r="A998" s="19" t="s">
        <v>7421</v>
      </c>
      <c r="D998" s="1069" t="s">
        <v>9446</v>
      </c>
      <c r="E998" s="533" t="s">
        <v>2328</v>
      </c>
      <c r="G998" s="827"/>
      <c r="H998" s="809" t="s">
        <v>9449</v>
      </c>
      <c r="I998" s="92">
        <v>16</v>
      </c>
      <c r="J998" s="92" t="s">
        <v>18</v>
      </c>
      <c r="K998" s="92" t="s">
        <v>768</v>
      </c>
      <c r="L998" s="810">
        <v>2</v>
      </c>
      <c r="M998" s="811" t="str">
        <f t="shared" si="76"/>
        <v>Elementary Level</v>
      </c>
      <c r="P998" s="1638"/>
      <c r="V998" s="948"/>
      <c r="X998" s="811" t="str">
        <f t="shared" si="77"/>
        <v/>
      </c>
      <c r="AB998" s="949"/>
      <c r="AG998" s="807" t="str">
        <f t="shared" si="75"/>
        <v/>
      </c>
      <c r="AJ998" s="865"/>
    </row>
    <row r="999" spans="1:97" ht="15">
      <c r="A999" s="19" t="s">
        <v>7421</v>
      </c>
      <c r="D999" s="1069" t="s">
        <v>9446</v>
      </c>
      <c r="E999" s="533" t="s">
        <v>2328</v>
      </c>
      <c r="G999" s="827"/>
      <c r="H999" s="809" t="s">
        <v>9450</v>
      </c>
      <c r="I999" s="92">
        <v>13</v>
      </c>
      <c r="J999" s="92" t="s">
        <v>18</v>
      </c>
      <c r="K999" s="92" t="s">
        <v>768</v>
      </c>
      <c r="L999" s="810">
        <v>2</v>
      </c>
      <c r="M999" s="811" t="str">
        <f t="shared" si="76"/>
        <v>Elementary Level</v>
      </c>
      <c r="P999" s="1638"/>
      <c r="V999" s="948"/>
      <c r="X999" s="811" t="str">
        <f t="shared" si="77"/>
        <v/>
      </c>
      <c r="AB999" s="949"/>
      <c r="AG999" s="807" t="str">
        <f t="shared" si="75"/>
        <v/>
      </c>
      <c r="AJ999" s="865"/>
    </row>
    <row r="1000" spans="1:97" ht="15">
      <c r="A1000" s="19" t="s">
        <v>7421</v>
      </c>
      <c r="D1000" s="1069" t="s">
        <v>9446</v>
      </c>
      <c r="E1000" s="533" t="s">
        <v>2328</v>
      </c>
      <c r="G1000" s="827"/>
      <c r="H1000" s="809" t="s">
        <v>9451</v>
      </c>
      <c r="I1000" s="92">
        <v>42</v>
      </c>
      <c r="J1000" s="92" t="s">
        <v>18</v>
      </c>
      <c r="K1000" s="92" t="s">
        <v>707</v>
      </c>
      <c r="L1000" s="810">
        <v>2</v>
      </c>
      <c r="M1000" s="811" t="str">
        <f t="shared" si="76"/>
        <v>Elementary Level</v>
      </c>
      <c r="N1000" s="807"/>
      <c r="O1000" s="807"/>
      <c r="P1000" s="1638"/>
      <c r="Q1000" s="807"/>
      <c r="R1000" s="807"/>
      <c r="S1000" s="807"/>
      <c r="V1000" s="948">
        <f>SUM(S995:U1000)</f>
        <v>6000</v>
      </c>
      <c r="X1000" s="811" t="str">
        <f t="shared" si="77"/>
        <v/>
      </c>
      <c r="AB1000" s="949">
        <f>SUM(Y995:AA1000)</f>
        <v>0</v>
      </c>
      <c r="AG1000" s="807" t="str">
        <f t="shared" si="75"/>
        <v/>
      </c>
      <c r="AJ1000" s="865"/>
    </row>
    <row r="1001" spans="1:97" ht="15">
      <c r="A1001" s="19" t="s">
        <v>7421</v>
      </c>
      <c r="B1001" s="752" t="s">
        <v>7678</v>
      </c>
      <c r="C1001" s="132" t="s">
        <v>2336</v>
      </c>
      <c r="D1001" s="1069" t="s">
        <v>9452</v>
      </c>
      <c r="E1001" s="533" t="s">
        <v>2336</v>
      </c>
      <c r="F1001" s="1048" t="s">
        <v>3492</v>
      </c>
      <c r="G1001" s="827"/>
      <c r="H1001" s="809" t="s">
        <v>9453</v>
      </c>
      <c r="I1001" s="92">
        <v>27</v>
      </c>
      <c r="J1001" s="92" t="s">
        <v>10</v>
      </c>
      <c r="K1001" s="92" t="s">
        <v>707</v>
      </c>
      <c r="L1001" s="810">
        <v>5</v>
      </c>
      <c r="M1001" s="811" t="str">
        <f t="shared" si="76"/>
        <v>High School Graduate</v>
      </c>
      <c r="N1001" s="92" t="s">
        <v>1208</v>
      </c>
      <c r="O1001" s="812" t="s">
        <v>1985</v>
      </c>
      <c r="P1001" s="1638" t="s">
        <v>12606</v>
      </c>
      <c r="Q1001" s="812" t="s">
        <v>1985</v>
      </c>
      <c r="R1001" s="92" t="s">
        <v>8234</v>
      </c>
      <c r="S1001" s="813">
        <v>11480</v>
      </c>
      <c r="W1001" s="815">
        <v>3</v>
      </c>
      <c r="X1001" s="811" t="str">
        <f t="shared" si="77"/>
        <v>within the Province</v>
      </c>
      <c r="Y1001" s="816">
        <v>1980</v>
      </c>
      <c r="AB1001" s="940"/>
      <c r="AG1001" s="807" t="str">
        <f t="shared" ref="AG1001:AG1032" si="78">IF(ISBLANK(AF1001)=TRUE,"",LOOKUP(AF1001,GS:GT))</f>
        <v/>
      </c>
      <c r="AJ1001" s="865"/>
      <c r="CF1001" s="807" t="s">
        <v>2144</v>
      </c>
      <c r="CS1001" s="807" t="s">
        <v>2145</v>
      </c>
    </row>
    <row r="1002" spans="1:97" ht="15">
      <c r="A1002" s="19" t="s">
        <v>7421</v>
      </c>
      <c r="D1002" s="1069" t="s">
        <v>9452</v>
      </c>
      <c r="E1002" s="533" t="s">
        <v>2336</v>
      </c>
      <c r="G1002" s="827"/>
      <c r="H1002" s="809" t="s">
        <v>9454</v>
      </c>
      <c r="I1002" s="92">
        <v>25</v>
      </c>
      <c r="J1002" s="92" t="s">
        <v>18</v>
      </c>
      <c r="K1002" s="92" t="s">
        <v>707</v>
      </c>
      <c r="L1002" s="810">
        <v>5</v>
      </c>
      <c r="M1002" s="811" t="str">
        <f t="shared" si="76"/>
        <v>High School Graduate</v>
      </c>
      <c r="P1002" s="1638"/>
      <c r="X1002" s="811" t="str">
        <f t="shared" si="77"/>
        <v/>
      </c>
      <c r="AB1002" s="940"/>
      <c r="AG1002" s="807" t="str">
        <f t="shared" si="78"/>
        <v/>
      </c>
      <c r="AJ1002" s="865"/>
    </row>
    <row r="1003" spans="1:97" ht="15">
      <c r="A1003" s="19" t="s">
        <v>7421</v>
      </c>
      <c r="D1003" s="1069" t="s">
        <v>9452</v>
      </c>
      <c r="E1003" s="533" t="s">
        <v>2336</v>
      </c>
      <c r="G1003" s="827"/>
      <c r="H1003" s="809" t="s">
        <v>9455</v>
      </c>
      <c r="I1003" s="92">
        <v>5</v>
      </c>
      <c r="J1003" s="92" t="s">
        <v>10</v>
      </c>
      <c r="K1003" s="92" t="s">
        <v>768</v>
      </c>
      <c r="L1003" s="810">
        <v>1</v>
      </c>
      <c r="M1003" s="811" t="str">
        <f t="shared" si="76"/>
        <v>Pre-school</v>
      </c>
      <c r="P1003" s="1638"/>
      <c r="X1003" s="811" t="str">
        <f t="shared" si="77"/>
        <v/>
      </c>
      <c r="AB1003" s="940"/>
      <c r="AG1003" s="807" t="str">
        <f t="shared" si="78"/>
        <v/>
      </c>
      <c r="AJ1003" s="865"/>
    </row>
    <row r="1004" spans="1:97" ht="15">
      <c r="A1004" s="19" t="s">
        <v>7421</v>
      </c>
      <c r="D1004" s="1069" t="s">
        <v>9452</v>
      </c>
      <c r="E1004" s="533" t="s">
        <v>2336</v>
      </c>
      <c r="G1004" s="827"/>
      <c r="H1004" s="809" t="s">
        <v>9456</v>
      </c>
      <c r="I1004" s="92">
        <v>3</v>
      </c>
      <c r="J1004" s="92" t="s">
        <v>18</v>
      </c>
      <c r="K1004" s="92" t="s">
        <v>768</v>
      </c>
      <c r="L1004" s="810">
        <v>10</v>
      </c>
      <c r="M1004" s="811" t="str">
        <f t="shared" si="76"/>
        <v>Not In School Age</v>
      </c>
      <c r="P1004" s="1638"/>
      <c r="X1004" s="811" t="str">
        <f t="shared" si="77"/>
        <v/>
      </c>
      <c r="AB1004" s="940"/>
      <c r="AG1004" s="807" t="str">
        <f t="shared" si="78"/>
        <v/>
      </c>
      <c r="AJ1004" s="865"/>
    </row>
    <row r="1005" spans="1:97" ht="15">
      <c r="A1005" s="19" t="s">
        <v>7421</v>
      </c>
      <c r="D1005" s="1069" t="s">
        <v>9452</v>
      </c>
      <c r="E1005" s="533" t="s">
        <v>2336</v>
      </c>
      <c r="G1005" s="827"/>
      <c r="H1005" s="809" t="s">
        <v>9457</v>
      </c>
      <c r="I1005" s="930">
        <f>2/12</f>
        <v>0.16666666666666666</v>
      </c>
      <c r="J1005" s="92" t="s">
        <v>10</v>
      </c>
      <c r="K1005" s="92" t="s">
        <v>768</v>
      </c>
      <c r="L1005" s="810">
        <v>10</v>
      </c>
      <c r="M1005" s="811" t="str">
        <f t="shared" si="76"/>
        <v>Not In School Age</v>
      </c>
      <c r="P1005" s="1638"/>
      <c r="V1005" s="814">
        <f>SUM(S1001:U1005)</f>
        <v>11480</v>
      </c>
      <c r="X1005" s="811" t="str">
        <f t="shared" si="77"/>
        <v/>
      </c>
      <c r="AB1005" s="940">
        <f>SUM(Y1001:AA1005)</f>
        <v>1980</v>
      </c>
      <c r="AG1005" s="807" t="str">
        <f t="shared" si="78"/>
        <v/>
      </c>
      <c r="AJ1005" s="865"/>
    </row>
    <row r="1006" spans="1:97" ht="15">
      <c r="A1006" s="311" t="s">
        <v>12355</v>
      </c>
      <c r="B1006" s="752" t="s">
        <v>7395</v>
      </c>
      <c r="C1006" s="132" t="s">
        <v>2336</v>
      </c>
      <c r="D1006" s="1069" t="s">
        <v>9458</v>
      </c>
      <c r="E1006" s="533" t="s">
        <v>12690</v>
      </c>
      <c r="G1006" s="929"/>
      <c r="H1006" s="1639" t="s">
        <v>2965</v>
      </c>
      <c r="I1006" s="1044">
        <v>24</v>
      </c>
      <c r="J1006" s="1044" t="s">
        <v>18</v>
      </c>
      <c r="K1006" s="1044" t="s">
        <v>707</v>
      </c>
      <c r="L1006" s="1640">
        <v>6</v>
      </c>
      <c r="M1006" s="1641" t="str">
        <f t="shared" si="76"/>
        <v>College Level</v>
      </c>
      <c r="N1006" s="1044"/>
      <c r="O1006" s="1642"/>
      <c r="P1006" s="1643"/>
      <c r="Q1006" s="1642"/>
      <c r="R1006" s="1044" t="s">
        <v>8234</v>
      </c>
      <c r="S1006" s="1646"/>
      <c r="T1006" s="1646"/>
      <c r="U1006" s="1646"/>
      <c r="V1006" s="828"/>
      <c r="X1006" s="811" t="str">
        <f t="shared" si="77"/>
        <v/>
      </c>
      <c r="AB1006" s="950"/>
      <c r="AG1006" s="807" t="str">
        <f t="shared" si="78"/>
        <v/>
      </c>
      <c r="AJ1006" s="865"/>
    </row>
    <row r="1007" spans="1:97" ht="15">
      <c r="A1007" s="311" t="s">
        <v>12355</v>
      </c>
      <c r="C1007" s="93" t="s">
        <v>9458</v>
      </c>
      <c r="D1007" s="1069"/>
      <c r="G1007" s="827"/>
      <c r="H1007" s="809" t="s">
        <v>9459</v>
      </c>
      <c r="I1007" s="92">
        <v>27</v>
      </c>
      <c r="J1007" s="92" t="s">
        <v>10</v>
      </c>
      <c r="K1007" s="92" t="s">
        <v>707</v>
      </c>
      <c r="L1007" s="810">
        <v>5</v>
      </c>
      <c r="M1007" s="811" t="str">
        <f t="shared" si="76"/>
        <v>High School Graduate</v>
      </c>
      <c r="N1007" s="92" t="s">
        <v>1208</v>
      </c>
      <c r="O1007" s="812" t="s">
        <v>2966</v>
      </c>
      <c r="P1007" s="1638"/>
      <c r="Q1007" s="812" t="s">
        <v>2966</v>
      </c>
      <c r="R1007" s="812" t="s">
        <v>10434</v>
      </c>
      <c r="S1007" s="813">
        <v>9000</v>
      </c>
      <c r="V1007" s="828"/>
      <c r="W1007" s="815">
        <v>2</v>
      </c>
      <c r="X1007" s="811" t="str">
        <f t="shared" si="77"/>
        <v>within the Municipality/City</v>
      </c>
      <c r="Y1007" s="816">
        <v>2400</v>
      </c>
      <c r="AB1007" s="950"/>
      <c r="AG1007" s="807" t="str">
        <f t="shared" si="78"/>
        <v/>
      </c>
      <c r="AJ1007" s="865"/>
    </row>
    <row r="1008" spans="1:97" ht="15">
      <c r="A1008" s="311" t="s">
        <v>12355</v>
      </c>
      <c r="C1008" s="93" t="s">
        <v>9458</v>
      </c>
      <c r="D1008" s="1069"/>
      <c r="G1008" s="827"/>
      <c r="H1008" s="809" t="s">
        <v>9460</v>
      </c>
      <c r="I1008" s="930">
        <f>7/12</f>
        <v>0.58333333333333337</v>
      </c>
      <c r="J1008" s="92" t="s">
        <v>18</v>
      </c>
      <c r="K1008" s="92" t="s">
        <v>768</v>
      </c>
      <c r="L1008" s="810">
        <v>10</v>
      </c>
      <c r="M1008" s="811" t="str">
        <f t="shared" si="76"/>
        <v>Not In School Age</v>
      </c>
      <c r="P1008" s="1638"/>
      <c r="V1008" s="828">
        <f>SUM(S1006:U1008)</f>
        <v>9000</v>
      </c>
      <c r="X1008" s="811" t="str">
        <f t="shared" si="77"/>
        <v/>
      </c>
      <c r="AB1008" s="950">
        <f>SUM(X1006:Z1008)</f>
        <v>2400</v>
      </c>
      <c r="AG1008" s="807" t="str">
        <f t="shared" si="78"/>
        <v/>
      </c>
      <c r="AJ1008" s="865"/>
    </row>
    <row r="1009" spans="1:84" ht="15">
      <c r="A1009" s="19" t="s">
        <v>7421</v>
      </c>
      <c r="B1009" s="752" t="s">
        <v>7679</v>
      </c>
      <c r="C1009" s="133" t="s">
        <v>2353</v>
      </c>
      <c r="D1009" s="1069" t="s">
        <v>9461</v>
      </c>
      <c r="E1009" s="514" t="s">
        <v>2353</v>
      </c>
      <c r="F1009" s="1048" t="s">
        <v>7854</v>
      </c>
      <c r="G1009" s="827"/>
      <c r="H1009" s="809" t="s">
        <v>2363</v>
      </c>
      <c r="I1009" s="951">
        <v>46</v>
      </c>
      <c r="J1009" s="92" t="s">
        <v>10</v>
      </c>
      <c r="K1009" s="92" t="s">
        <v>768</v>
      </c>
      <c r="L1009" s="810">
        <v>2</v>
      </c>
      <c r="M1009" s="811" t="str">
        <f t="shared" si="76"/>
        <v>Elementary Level</v>
      </c>
      <c r="N1009" s="92" t="s">
        <v>1208</v>
      </c>
      <c r="O1009" s="812" t="s">
        <v>9462</v>
      </c>
      <c r="P1009" s="1638" t="s">
        <v>12614</v>
      </c>
      <c r="Q1009" s="812" t="s">
        <v>9462</v>
      </c>
      <c r="R1009" s="92" t="s">
        <v>8234</v>
      </c>
      <c r="U1009" s="813">
        <v>12000</v>
      </c>
      <c r="V1009" s="948"/>
      <c r="W1009" s="815">
        <v>1</v>
      </c>
      <c r="X1009" s="811" t="str">
        <f t="shared" si="77"/>
        <v>within the Brgy</v>
      </c>
      <c r="AB1009" s="952"/>
      <c r="AE1009" s="93" t="s">
        <v>9463</v>
      </c>
      <c r="AF1009" s="818">
        <v>3</v>
      </c>
      <c r="AG1009" s="807" t="str">
        <f t="shared" si="78"/>
        <v>Special Medical Care</v>
      </c>
      <c r="AJ1009" s="865"/>
      <c r="AK1009" s="836" t="s">
        <v>9464</v>
      </c>
      <c r="AL1009" s="767" t="s">
        <v>8276</v>
      </c>
      <c r="AM1009" s="767" t="s">
        <v>9465</v>
      </c>
      <c r="AN1009" s="58">
        <v>15000</v>
      </c>
      <c r="AO1009" s="817" t="s">
        <v>9466</v>
      </c>
    </row>
    <row r="1010" spans="1:84" ht="15">
      <c r="A1010" s="19" t="s">
        <v>7421</v>
      </c>
      <c r="B1010" s="752"/>
      <c r="C1010" s="17"/>
      <c r="D1010" s="1069" t="s">
        <v>9461</v>
      </c>
      <c r="E1010" s="514" t="s">
        <v>2353</v>
      </c>
      <c r="G1010" s="827"/>
      <c r="I1010" s="930"/>
      <c r="M1010" s="811" t="str">
        <f t="shared" si="76"/>
        <v/>
      </c>
      <c r="P1010" s="1638"/>
      <c r="V1010" s="948"/>
      <c r="X1010" s="811" t="str">
        <f t="shared" si="77"/>
        <v/>
      </c>
      <c r="AB1010" s="952"/>
      <c r="AE1010" s="93" t="s">
        <v>9467</v>
      </c>
      <c r="AG1010" s="807" t="str">
        <f t="shared" si="78"/>
        <v/>
      </c>
      <c r="AJ1010" s="865"/>
      <c r="AO1010" s="817" t="s">
        <v>9468</v>
      </c>
    </row>
    <row r="1011" spans="1:84" ht="15">
      <c r="A1011" s="19" t="s">
        <v>7421</v>
      </c>
      <c r="B1011" s="752"/>
      <c r="C1011" s="17"/>
      <c r="D1011" s="1069" t="s">
        <v>9461</v>
      </c>
      <c r="E1011" s="514" t="s">
        <v>2353</v>
      </c>
      <c r="G1011" s="827"/>
      <c r="I1011" s="930"/>
      <c r="M1011" s="811" t="str">
        <f t="shared" si="76"/>
        <v/>
      </c>
      <c r="P1011" s="1638"/>
      <c r="V1011" s="948"/>
      <c r="X1011" s="811" t="str">
        <f t="shared" si="77"/>
        <v/>
      </c>
      <c r="AB1011" s="952"/>
      <c r="AG1011" s="807" t="str">
        <f t="shared" si="78"/>
        <v/>
      </c>
      <c r="AJ1011" s="865"/>
      <c r="AO1011" s="817" t="s">
        <v>9469</v>
      </c>
    </row>
    <row r="1012" spans="1:84" ht="15">
      <c r="A1012" s="19" t="s">
        <v>7421</v>
      </c>
      <c r="B1012" s="752"/>
      <c r="C1012" s="17"/>
      <c r="D1012" s="1069" t="s">
        <v>9461</v>
      </c>
      <c r="E1012" s="514" t="s">
        <v>2353</v>
      </c>
      <c r="G1012" s="827"/>
      <c r="I1012" s="930"/>
      <c r="M1012" s="811" t="str">
        <f t="shared" si="76"/>
        <v/>
      </c>
      <c r="P1012" s="1638"/>
      <c r="V1012" s="948">
        <f>SUM(S1009:U1012)</f>
        <v>12000</v>
      </c>
      <c r="X1012" s="811" t="str">
        <f t="shared" si="77"/>
        <v/>
      </c>
      <c r="AB1012" s="949">
        <f>SUM(Y1009:AA1012)</f>
        <v>0</v>
      </c>
      <c r="AG1012" s="807" t="str">
        <f t="shared" si="78"/>
        <v/>
      </c>
      <c r="AJ1012" s="865"/>
      <c r="AO1012" s="817" t="s">
        <v>9470</v>
      </c>
    </row>
    <row r="1013" spans="1:84" ht="15">
      <c r="A1013" s="19" t="s">
        <v>7421</v>
      </c>
      <c r="B1013" s="1007" t="s">
        <v>7739</v>
      </c>
      <c r="C1013" s="133" t="s">
        <v>2377</v>
      </c>
      <c r="D1013" s="1069" t="s">
        <v>9471</v>
      </c>
      <c r="E1013" s="817" t="s">
        <v>2377</v>
      </c>
      <c r="G1013" s="827"/>
      <c r="H1013" s="809" t="s">
        <v>2390</v>
      </c>
      <c r="I1013" s="92">
        <v>28</v>
      </c>
      <c r="J1013" s="92" t="s">
        <v>18</v>
      </c>
      <c r="K1013" s="92" t="s">
        <v>768</v>
      </c>
      <c r="L1013" s="810">
        <v>9</v>
      </c>
      <c r="M1013" s="811" t="str">
        <f t="shared" si="76"/>
        <v>Vocational Graduate</v>
      </c>
      <c r="N1013" s="92" t="s">
        <v>1208</v>
      </c>
      <c r="O1013" s="812" t="s">
        <v>1909</v>
      </c>
      <c r="P1013" s="1638" t="s">
        <v>12608</v>
      </c>
      <c r="Q1013" s="812" t="s">
        <v>1909</v>
      </c>
      <c r="R1013" s="812" t="s">
        <v>8234</v>
      </c>
      <c r="U1013" s="813">
        <v>12000</v>
      </c>
      <c r="V1013" s="814">
        <f>SUM(S1013:U1013)</f>
        <v>12000</v>
      </c>
      <c r="W1013" s="815">
        <v>1</v>
      </c>
      <c r="X1013" s="811" t="str">
        <f t="shared" si="77"/>
        <v>within the Brgy</v>
      </c>
      <c r="AB1013" s="924">
        <f>SUM(X1007:Z1008)</f>
        <v>2400</v>
      </c>
      <c r="AG1013" s="807" t="str">
        <f t="shared" si="78"/>
        <v/>
      </c>
      <c r="AJ1013" s="865"/>
      <c r="BV1013" s="807">
        <v>1</v>
      </c>
      <c r="BZ1013" s="807" t="s">
        <v>2144</v>
      </c>
    </row>
    <row r="1014" spans="1:84" ht="15">
      <c r="A1014" s="311" t="s">
        <v>12355</v>
      </c>
      <c r="B1014" s="752" t="s">
        <v>7682</v>
      </c>
      <c r="C1014" s="133" t="s">
        <v>2377</v>
      </c>
      <c r="D1014" s="1069" t="s">
        <v>9472</v>
      </c>
      <c r="E1014" s="514" t="s">
        <v>2377</v>
      </c>
      <c r="F1014" s="1048" t="s">
        <v>2387</v>
      </c>
      <c r="G1014" s="827"/>
      <c r="H1014" s="809" t="s">
        <v>2387</v>
      </c>
      <c r="I1014" s="92">
        <v>48</v>
      </c>
      <c r="J1014" s="92" t="s">
        <v>18</v>
      </c>
      <c r="K1014" s="92" t="s">
        <v>768</v>
      </c>
      <c r="L1014" s="810">
        <v>2</v>
      </c>
      <c r="M1014" s="811" t="str">
        <f t="shared" si="76"/>
        <v>Elementary Level</v>
      </c>
      <c r="N1014" s="92" t="s">
        <v>1208</v>
      </c>
      <c r="O1014" s="812" t="s">
        <v>3490</v>
      </c>
      <c r="P1014" s="1638" t="s">
        <v>12608</v>
      </c>
      <c r="Q1014" s="812" t="s">
        <v>3490</v>
      </c>
      <c r="R1014" s="92" t="s">
        <v>8234</v>
      </c>
      <c r="U1014" s="813">
        <v>30000</v>
      </c>
      <c r="V1014" s="828"/>
      <c r="W1014" s="815">
        <v>1</v>
      </c>
      <c r="X1014" s="811" t="str">
        <f t="shared" si="77"/>
        <v>within the Brgy</v>
      </c>
      <c r="AA1014" s="816">
        <v>1000</v>
      </c>
      <c r="AB1014" s="950"/>
      <c r="AE1014" s="93" t="s">
        <v>9473</v>
      </c>
      <c r="AF1014" s="818">
        <v>2</v>
      </c>
      <c r="AG1014" s="807" t="str">
        <f t="shared" si="78"/>
        <v>Assistance to walk</v>
      </c>
      <c r="AJ1014" s="865"/>
      <c r="CF1014" s="807">
        <v>1</v>
      </c>
    </row>
    <row r="1015" spans="1:84" ht="15">
      <c r="A1015" s="311" t="s">
        <v>12355</v>
      </c>
      <c r="D1015" s="1069" t="s">
        <v>9472</v>
      </c>
      <c r="E1015" s="514" t="s">
        <v>2377</v>
      </c>
      <c r="G1015" s="827"/>
      <c r="H1015" s="809" t="s">
        <v>9474</v>
      </c>
      <c r="I1015" s="92">
        <v>25</v>
      </c>
      <c r="J1015" s="92" t="s">
        <v>10</v>
      </c>
      <c r="K1015" s="92" t="s">
        <v>768</v>
      </c>
      <c r="L1015" s="810">
        <v>4</v>
      </c>
      <c r="M1015" s="811" t="str">
        <f t="shared" si="76"/>
        <v>High School Level</v>
      </c>
      <c r="P1015" s="1638"/>
      <c r="V1015" s="828"/>
      <c r="X1015" s="811" t="str">
        <f t="shared" si="77"/>
        <v/>
      </c>
      <c r="AB1015" s="950"/>
      <c r="AG1015" s="807" t="str">
        <f t="shared" si="78"/>
        <v/>
      </c>
      <c r="AJ1015" s="865"/>
    </row>
    <row r="1016" spans="1:84" ht="15">
      <c r="A1016" s="311" t="s">
        <v>12355</v>
      </c>
      <c r="D1016" s="1069" t="s">
        <v>9472</v>
      </c>
      <c r="E1016" s="514" t="s">
        <v>2377</v>
      </c>
      <c r="G1016" s="827"/>
      <c r="H1016" s="809" t="s">
        <v>9475</v>
      </c>
      <c r="I1016" s="92">
        <v>23</v>
      </c>
      <c r="J1016" s="92" t="s">
        <v>10</v>
      </c>
      <c r="K1016" s="92" t="s">
        <v>768</v>
      </c>
      <c r="L1016" s="810">
        <v>5</v>
      </c>
      <c r="M1016" s="811" t="str">
        <f t="shared" si="76"/>
        <v>High School Graduate</v>
      </c>
      <c r="P1016" s="1638"/>
      <c r="V1016" s="828"/>
      <c r="X1016" s="811" t="str">
        <f t="shared" si="77"/>
        <v/>
      </c>
      <c r="AB1016" s="950"/>
      <c r="AG1016" s="807" t="str">
        <f t="shared" si="78"/>
        <v/>
      </c>
      <c r="AH1016" s="771"/>
      <c r="AJ1016" s="865"/>
    </row>
    <row r="1017" spans="1:84" ht="15">
      <c r="A1017" s="311" t="s">
        <v>12355</v>
      </c>
      <c r="D1017" s="1069" t="s">
        <v>9472</v>
      </c>
      <c r="E1017" s="514" t="s">
        <v>2377</v>
      </c>
      <c r="G1017" s="827"/>
      <c r="H1017" s="809" t="s">
        <v>9476</v>
      </c>
      <c r="I1017" s="92">
        <v>21</v>
      </c>
      <c r="J1017" s="92" t="s">
        <v>18</v>
      </c>
      <c r="K1017" s="92" t="s">
        <v>768</v>
      </c>
      <c r="L1017" s="810">
        <v>6</v>
      </c>
      <c r="M1017" s="811" t="str">
        <f t="shared" si="76"/>
        <v>College Level</v>
      </c>
      <c r="P1017" s="1638"/>
      <c r="V1017" s="828"/>
      <c r="X1017" s="811" t="str">
        <f t="shared" si="77"/>
        <v/>
      </c>
      <c r="AB1017" s="950"/>
      <c r="AG1017" s="807" t="str">
        <f t="shared" si="78"/>
        <v/>
      </c>
      <c r="AJ1017" s="865"/>
    </row>
    <row r="1018" spans="1:84" ht="15">
      <c r="A1018" s="311" t="s">
        <v>12355</v>
      </c>
      <c r="D1018" s="1069" t="s">
        <v>9472</v>
      </c>
      <c r="E1018" s="514" t="s">
        <v>2377</v>
      </c>
      <c r="G1018" s="827"/>
      <c r="H1018" s="809" t="s">
        <v>9477</v>
      </c>
      <c r="I1018" s="92">
        <v>20</v>
      </c>
      <c r="J1018" s="92" t="s">
        <v>18</v>
      </c>
      <c r="K1018" s="92" t="s">
        <v>768</v>
      </c>
      <c r="L1018" s="810">
        <v>6</v>
      </c>
      <c r="M1018" s="811" t="str">
        <f t="shared" si="76"/>
        <v>College Level</v>
      </c>
      <c r="P1018" s="1638"/>
      <c r="V1018" s="828"/>
      <c r="X1018" s="811" t="str">
        <f t="shared" si="77"/>
        <v/>
      </c>
      <c r="AB1018" s="950"/>
      <c r="AG1018" s="807" t="str">
        <f t="shared" si="78"/>
        <v/>
      </c>
      <c r="AJ1018" s="865"/>
    </row>
    <row r="1019" spans="1:84" ht="15">
      <c r="A1019" s="311" t="s">
        <v>12355</v>
      </c>
      <c r="D1019" s="1069" t="s">
        <v>9472</v>
      </c>
      <c r="E1019" s="514" t="s">
        <v>2377</v>
      </c>
      <c r="G1019" s="827"/>
      <c r="H1019" s="809" t="s">
        <v>9478</v>
      </c>
      <c r="I1019" s="92">
        <v>46</v>
      </c>
      <c r="J1019" s="92" t="s">
        <v>10</v>
      </c>
      <c r="K1019" s="92" t="s">
        <v>707</v>
      </c>
      <c r="M1019" s="811" t="str">
        <f t="shared" si="76"/>
        <v/>
      </c>
      <c r="P1019" s="1638"/>
      <c r="V1019" s="828">
        <f>SUM(S1014:U1019)</f>
        <v>30000</v>
      </c>
      <c r="X1019" s="811" t="str">
        <f t="shared" si="77"/>
        <v/>
      </c>
      <c r="AB1019" s="953">
        <f>SUM(Y1014:AA1019)</f>
        <v>1000</v>
      </c>
      <c r="AG1019" s="807" t="str">
        <f t="shared" si="78"/>
        <v/>
      </c>
      <c r="AJ1019" s="865"/>
    </row>
    <row r="1020" spans="1:84" ht="15">
      <c r="A1020" s="19" t="s">
        <v>7421</v>
      </c>
      <c r="B1020" s="1007" t="s">
        <v>7740</v>
      </c>
      <c r="C1020" s="133" t="s">
        <v>2391</v>
      </c>
      <c r="D1020" s="1071" t="s">
        <v>9479</v>
      </c>
      <c r="E1020" s="514" t="s">
        <v>2391</v>
      </c>
      <c r="F1020" s="1048" t="s">
        <v>2397</v>
      </c>
      <c r="G1020" s="934"/>
      <c r="H1020" s="809" t="s">
        <v>2397</v>
      </c>
      <c r="I1020" s="92">
        <v>59</v>
      </c>
      <c r="J1020" s="92" t="s">
        <v>10</v>
      </c>
      <c r="K1020" s="92" t="s">
        <v>707</v>
      </c>
      <c r="L1020" s="810">
        <v>4</v>
      </c>
      <c r="M1020" s="811" t="str">
        <f t="shared" si="76"/>
        <v>High School Level</v>
      </c>
      <c r="N1020" s="92" t="s">
        <v>1208</v>
      </c>
      <c r="O1020" s="812" t="s">
        <v>2968</v>
      </c>
      <c r="P1020" s="1638" t="s">
        <v>12615</v>
      </c>
      <c r="Q1020" s="812" t="s">
        <v>2968</v>
      </c>
      <c r="R1020" s="92" t="s">
        <v>8234</v>
      </c>
      <c r="U1020" s="813">
        <v>33000</v>
      </c>
      <c r="V1020" s="948"/>
      <c r="X1020" s="811" t="str">
        <f t="shared" si="77"/>
        <v/>
      </c>
      <c r="AB1020" s="952"/>
      <c r="AG1020" s="807" t="str">
        <f t="shared" si="78"/>
        <v/>
      </c>
      <c r="AJ1020" s="865"/>
      <c r="AK1020" s="836" t="s">
        <v>9480</v>
      </c>
      <c r="AL1020" s="92" t="s">
        <v>2223</v>
      </c>
      <c r="AN1020" s="813">
        <v>9500</v>
      </c>
    </row>
    <row r="1021" spans="1:84" ht="15">
      <c r="A1021" s="19" t="s">
        <v>7421</v>
      </c>
      <c r="D1021" s="1071" t="s">
        <v>9479</v>
      </c>
      <c r="E1021" s="514" t="s">
        <v>2391</v>
      </c>
      <c r="G1021" s="827"/>
      <c r="H1021" s="809" t="s">
        <v>9481</v>
      </c>
      <c r="I1021" s="92">
        <v>58</v>
      </c>
      <c r="J1021" s="92" t="s">
        <v>18</v>
      </c>
      <c r="K1021" s="92" t="s">
        <v>707</v>
      </c>
      <c r="L1021" s="810">
        <v>4</v>
      </c>
      <c r="M1021" s="811" t="str">
        <f t="shared" si="76"/>
        <v>High School Level</v>
      </c>
      <c r="N1021" s="807"/>
      <c r="O1021" s="807"/>
      <c r="P1021" s="1638"/>
      <c r="Q1021" s="807"/>
      <c r="R1021" s="807"/>
      <c r="V1021" s="948"/>
      <c r="X1021" s="811" t="str">
        <f t="shared" si="77"/>
        <v/>
      </c>
      <c r="AB1021" s="952"/>
      <c r="AG1021" s="807" t="str">
        <f t="shared" si="78"/>
        <v/>
      </c>
      <c r="AJ1021" s="865"/>
    </row>
    <row r="1022" spans="1:84" ht="15">
      <c r="A1022" s="19" t="s">
        <v>7421</v>
      </c>
      <c r="D1022" s="1071" t="s">
        <v>9479</v>
      </c>
      <c r="E1022" s="514" t="s">
        <v>2391</v>
      </c>
      <c r="G1022" s="827"/>
      <c r="H1022" s="809" t="s">
        <v>9482</v>
      </c>
      <c r="I1022" s="92">
        <v>37</v>
      </c>
      <c r="J1022" s="92" t="s">
        <v>10</v>
      </c>
      <c r="K1022" s="92" t="s">
        <v>707</v>
      </c>
      <c r="L1022" s="810">
        <v>3</v>
      </c>
      <c r="M1022" s="811" t="str">
        <f t="shared" si="76"/>
        <v>Elementary Graduate</v>
      </c>
      <c r="N1022" s="92" t="s">
        <v>1208</v>
      </c>
      <c r="O1022" s="812" t="s">
        <v>9483</v>
      </c>
      <c r="P1022" s="1638"/>
      <c r="Q1022" s="812" t="s">
        <v>9483</v>
      </c>
      <c r="R1022" s="812" t="s">
        <v>8285</v>
      </c>
      <c r="U1022" s="813">
        <v>36000</v>
      </c>
      <c r="V1022" s="948"/>
      <c r="X1022" s="811" t="str">
        <f t="shared" si="77"/>
        <v/>
      </c>
      <c r="AB1022" s="952"/>
      <c r="AG1022" s="807" t="str">
        <f t="shared" si="78"/>
        <v/>
      </c>
      <c r="AJ1022" s="865"/>
    </row>
    <row r="1023" spans="1:84" ht="15">
      <c r="A1023" s="19" t="s">
        <v>7421</v>
      </c>
      <c r="D1023" s="1071" t="s">
        <v>9479</v>
      </c>
      <c r="E1023" s="514" t="s">
        <v>2391</v>
      </c>
      <c r="G1023" s="827"/>
      <c r="H1023" s="809" t="s">
        <v>9484</v>
      </c>
      <c r="I1023" s="92">
        <v>36</v>
      </c>
      <c r="J1023" s="92" t="s">
        <v>18</v>
      </c>
      <c r="K1023" s="92" t="s">
        <v>707</v>
      </c>
      <c r="L1023" s="810">
        <v>4</v>
      </c>
      <c r="M1023" s="811" t="str">
        <f t="shared" si="76"/>
        <v>High School Level</v>
      </c>
      <c r="P1023" s="1638"/>
      <c r="V1023" s="948"/>
      <c r="X1023" s="811" t="str">
        <f t="shared" si="77"/>
        <v/>
      </c>
      <c r="AB1023" s="952"/>
      <c r="AG1023" s="807" t="str">
        <f t="shared" si="78"/>
        <v/>
      </c>
      <c r="AJ1023" s="865"/>
    </row>
    <row r="1024" spans="1:84" ht="15">
      <c r="A1024" s="19" t="s">
        <v>7421</v>
      </c>
      <c r="D1024" s="1071" t="s">
        <v>9479</v>
      </c>
      <c r="E1024" s="514" t="s">
        <v>2391</v>
      </c>
      <c r="G1024" s="827"/>
      <c r="H1024" s="809" t="s">
        <v>9485</v>
      </c>
      <c r="I1024" s="92">
        <v>19</v>
      </c>
      <c r="J1024" s="92" t="s">
        <v>10</v>
      </c>
      <c r="K1024" s="92" t="s">
        <v>768</v>
      </c>
      <c r="L1024" s="810">
        <v>6</v>
      </c>
      <c r="M1024" s="811" t="str">
        <f t="shared" si="76"/>
        <v>College Level</v>
      </c>
      <c r="P1024" s="1638"/>
      <c r="V1024" s="948"/>
      <c r="X1024" s="811" t="str">
        <f t="shared" si="77"/>
        <v/>
      </c>
      <c r="AB1024" s="952"/>
      <c r="AG1024" s="807" t="str">
        <f t="shared" si="78"/>
        <v/>
      </c>
      <c r="AJ1024" s="865"/>
    </row>
    <row r="1025" spans="1:198" ht="15">
      <c r="A1025" s="19" t="s">
        <v>7421</v>
      </c>
      <c r="D1025" s="1071" t="s">
        <v>9479</v>
      </c>
      <c r="E1025" s="514" t="s">
        <v>2391</v>
      </c>
      <c r="G1025" s="827"/>
      <c r="H1025" s="809" t="s">
        <v>9486</v>
      </c>
      <c r="I1025" s="92">
        <v>17</v>
      </c>
      <c r="J1025" s="92" t="s">
        <v>10</v>
      </c>
      <c r="K1025" s="92" t="s">
        <v>768</v>
      </c>
      <c r="L1025" s="810">
        <v>4</v>
      </c>
      <c r="M1025" s="811" t="str">
        <f t="shared" ref="M1025:M1056" si="79">IF(ISBLANK(L1025)=TRUE,"",LOOKUP(L1025,GQ:GR))</f>
        <v>High School Level</v>
      </c>
      <c r="P1025" s="1638"/>
      <c r="V1025" s="948"/>
      <c r="X1025" s="811" t="str">
        <f t="shared" ref="X1025:X1056" si="80">IF(ISBLANK(W1025)=TRUE,"",LOOKUP(W1025,GO:GP))</f>
        <v/>
      </c>
      <c r="AB1025" s="952"/>
      <c r="AG1025" s="807" t="str">
        <f t="shared" si="78"/>
        <v/>
      </c>
      <c r="AJ1025" s="865"/>
    </row>
    <row r="1026" spans="1:198" ht="15">
      <c r="A1026" s="19" t="s">
        <v>7421</v>
      </c>
      <c r="D1026" s="1071" t="s">
        <v>9479</v>
      </c>
      <c r="E1026" s="514" t="s">
        <v>2391</v>
      </c>
      <c r="G1026" s="827"/>
      <c r="H1026" s="809" t="s">
        <v>9487</v>
      </c>
      <c r="I1026" s="92">
        <v>10</v>
      </c>
      <c r="J1026" s="92" t="s">
        <v>10</v>
      </c>
      <c r="K1026" s="92" t="s">
        <v>768</v>
      </c>
      <c r="L1026" s="810">
        <v>4</v>
      </c>
      <c r="M1026" s="811" t="str">
        <f t="shared" si="79"/>
        <v>High School Level</v>
      </c>
      <c r="P1026" s="1638"/>
      <c r="V1026" s="948"/>
      <c r="X1026" s="811" t="str">
        <f t="shared" si="80"/>
        <v/>
      </c>
      <c r="AB1026" s="952"/>
      <c r="AG1026" s="807" t="str">
        <f t="shared" si="78"/>
        <v/>
      </c>
      <c r="AJ1026" s="865"/>
    </row>
    <row r="1027" spans="1:198" ht="15">
      <c r="A1027" s="19" t="s">
        <v>7421</v>
      </c>
      <c r="D1027" s="1071" t="s">
        <v>9479</v>
      </c>
      <c r="E1027" s="514" t="s">
        <v>2391</v>
      </c>
      <c r="G1027" s="827"/>
      <c r="H1027" s="809" t="s">
        <v>9488</v>
      </c>
      <c r="I1027" s="92">
        <v>9</v>
      </c>
      <c r="J1027" s="92" t="s">
        <v>10</v>
      </c>
      <c r="K1027" s="92" t="s">
        <v>768</v>
      </c>
      <c r="L1027" s="810">
        <v>2</v>
      </c>
      <c r="M1027" s="811" t="str">
        <f t="shared" si="79"/>
        <v>Elementary Level</v>
      </c>
      <c r="P1027" s="1638"/>
      <c r="V1027" s="948"/>
      <c r="X1027" s="811" t="str">
        <f t="shared" si="80"/>
        <v/>
      </c>
      <c r="AB1027" s="952"/>
      <c r="AG1027" s="807" t="str">
        <f t="shared" si="78"/>
        <v/>
      </c>
      <c r="AJ1027" s="865"/>
    </row>
    <row r="1028" spans="1:198" ht="15">
      <c r="A1028" s="19" t="s">
        <v>7421</v>
      </c>
      <c r="D1028" s="1071" t="s">
        <v>9479</v>
      </c>
      <c r="E1028" s="514" t="s">
        <v>2391</v>
      </c>
      <c r="G1028" s="827"/>
      <c r="H1028" s="809" t="s">
        <v>9489</v>
      </c>
      <c r="I1028" s="92">
        <v>33</v>
      </c>
      <c r="J1028" s="92" t="s">
        <v>10</v>
      </c>
      <c r="K1028" s="92" t="s">
        <v>707</v>
      </c>
      <c r="L1028" s="810">
        <v>6</v>
      </c>
      <c r="M1028" s="811" t="str">
        <f t="shared" si="79"/>
        <v>College Level</v>
      </c>
      <c r="N1028" s="92" t="s">
        <v>1208</v>
      </c>
      <c r="O1028" s="812" t="s">
        <v>2212</v>
      </c>
      <c r="P1028" s="1638"/>
      <c r="Q1028" s="812" t="s">
        <v>2212</v>
      </c>
      <c r="R1028" s="812" t="s">
        <v>8285</v>
      </c>
      <c r="S1028" s="813">
        <v>75000</v>
      </c>
      <c r="U1028" s="807"/>
      <c r="V1028" s="948"/>
      <c r="X1028" s="811" t="str">
        <f t="shared" si="80"/>
        <v/>
      </c>
      <c r="AB1028" s="952"/>
      <c r="AG1028" s="807" t="str">
        <f t="shared" si="78"/>
        <v/>
      </c>
      <c r="AJ1028" s="865"/>
    </row>
    <row r="1029" spans="1:198" ht="15">
      <c r="A1029" s="19" t="s">
        <v>7421</v>
      </c>
      <c r="D1029" s="1071" t="s">
        <v>9479</v>
      </c>
      <c r="E1029" s="514" t="s">
        <v>2391</v>
      </c>
      <c r="G1029" s="827"/>
      <c r="H1029" s="809" t="s">
        <v>9490</v>
      </c>
      <c r="I1029" s="92">
        <v>33</v>
      </c>
      <c r="J1029" s="92" t="s">
        <v>18</v>
      </c>
      <c r="K1029" s="92" t="s">
        <v>707</v>
      </c>
      <c r="L1029" s="810">
        <v>6</v>
      </c>
      <c r="M1029" s="811" t="str">
        <f t="shared" si="79"/>
        <v>College Level</v>
      </c>
      <c r="P1029" s="1638"/>
      <c r="V1029" s="948"/>
      <c r="X1029" s="811" t="str">
        <f t="shared" si="80"/>
        <v/>
      </c>
      <c r="AB1029" s="952"/>
      <c r="AG1029" s="807" t="str">
        <f t="shared" si="78"/>
        <v/>
      </c>
      <c r="AJ1029" s="865"/>
    </row>
    <row r="1030" spans="1:198" ht="15">
      <c r="A1030" s="19" t="s">
        <v>7421</v>
      </c>
      <c r="D1030" s="1071" t="s">
        <v>9479</v>
      </c>
      <c r="E1030" s="514" t="s">
        <v>2391</v>
      </c>
      <c r="G1030" s="827"/>
      <c r="H1030" s="809" t="s">
        <v>9491</v>
      </c>
      <c r="I1030" s="92">
        <v>10</v>
      </c>
      <c r="J1030" s="92" t="s">
        <v>10</v>
      </c>
      <c r="K1030" s="92" t="s">
        <v>768</v>
      </c>
      <c r="L1030" s="810">
        <v>2</v>
      </c>
      <c r="M1030" s="811" t="str">
        <f t="shared" si="79"/>
        <v>Elementary Level</v>
      </c>
      <c r="P1030" s="1638"/>
      <c r="V1030" s="948">
        <f>SUM(S1020:U1030)</f>
        <v>144000</v>
      </c>
      <c r="X1030" s="811" t="str">
        <f t="shared" si="80"/>
        <v/>
      </c>
      <c r="AB1030" s="952">
        <f>SUM(Y1020:AA1030)</f>
        <v>0</v>
      </c>
      <c r="AG1030" s="807" t="str">
        <f t="shared" si="78"/>
        <v/>
      </c>
      <c r="AJ1030" s="865"/>
    </row>
    <row r="1031" spans="1:198" ht="15">
      <c r="A1031" s="19" t="s">
        <v>7421</v>
      </c>
      <c r="B1031" s="1007" t="s">
        <v>7741</v>
      </c>
      <c r="C1031" s="133" t="s">
        <v>2398</v>
      </c>
      <c r="D1031" s="1071" t="s">
        <v>9492</v>
      </c>
      <c r="E1031" s="514" t="s">
        <v>2398</v>
      </c>
      <c r="F1031" s="1048" t="s">
        <v>2411</v>
      </c>
      <c r="G1031" s="934"/>
      <c r="H1031" s="809" t="s">
        <v>2411</v>
      </c>
      <c r="I1031" s="857">
        <v>60</v>
      </c>
      <c r="J1031" s="92" t="s">
        <v>18</v>
      </c>
      <c r="K1031" s="92" t="s">
        <v>768</v>
      </c>
      <c r="L1031" s="810">
        <v>5</v>
      </c>
      <c r="M1031" s="811" t="str">
        <f t="shared" si="79"/>
        <v>High School Graduate</v>
      </c>
      <c r="N1031" s="92" t="s">
        <v>1208</v>
      </c>
      <c r="O1031" s="812" t="s">
        <v>9493</v>
      </c>
      <c r="P1031" s="1638" t="s">
        <v>12616</v>
      </c>
      <c r="Q1031" s="812" t="s">
        <v>9493</v>
      </c>
      <c r="R1031" s="92" t="s">
        <v>8234</v>
      </c>
      <c r="S1031" s="813">
        <v>15000</v>
      </c>
      <c r="U1031" s="813">
        <v>5000</v>
      </c>
      <c r="W1031" s="815">
        <v>1</v>
      </c>
      <c r="X1031" s="811" t="str">
        <f t="shared" si="80"/>
        <v>within the Brgy</v>
      </c>
      <c r="AG1031" s="807" t="str">
        <f t="shared" si="78"/>
        <v/>
      </c>
      <c r="AJ1031" s="865"/>
      <c r="CF1031" s="807">
        <v>1</v>
      </c>
      <c r="CS1031" s="807">
        <v>2</v>
      </c>
    </row>
    <row r="1032" spans="1:198" ht="15">
      <c r="A1032" s="311" t="s">
        <v>12452</v>
      </c>
      <c r="B1032" s="752" t="s">
        <v>7500</v>
      </c>
      <c r="C1032" s="133" t="s">
        <v>2398</v>
      </c>
      <c r="D1032" s="1071" t="s">
        <v>9492</v>
      </c>
      <c r="E1032" s="514" t="s">
        <v>2398</v>
      </c>
      <c r="G1032" s="827"/>
      <c r="H1032" s="809" t="s">
        <v>9494</v>
      </c>
      <c r="I1032" s="857"/>
      <c r="J1032" s="92" t="s">
        <v>10</v>
      </c>
      <c r="K1032" s="92" t="s">
        <v>768</v>
      </c>
      <c r="L1032" s="810">
        <v>4</v>
      </c>
      <c r="M1032" s="811" t="str">
        <f t="shared" si="79"/>
        <v>High School Level</v>
      </c>
      <c r="N1032" s="92" t="s">
        <v>1208</v>
      </c>
      <c r="P1032" s="1638"/>
      <c r="R1032" s="812" t="s">
        <v>1208</v>
      </c>
      <c r="S1032" s="813">
        <v>9000</v>
      </c>
      <c r="V1032" s="814">
        <f>SUM(S1031:U1032)</f>
        <v>29000</v>
      </c>
      <c r="X1032" s="811" t="str">
        <f t="shared" si="80"/>
        <v/>
      </c>
      <c r="AB1032" s="924">
        <f>SUM(Y1031:AA1032)</f>
        <v>0</v>
      </c>
      <c r="AG1032" s="807" t="str">
        <f t="shared" si="78"/>
        <v/>
      </c>
      <c r="AJ1032" s="865"/>
    </row>
    <row r="1033" spans="1:198" s="93" customFormat="1" ht="15">
      <c r="A1033" s="19" t="s">
        <v>7421</v>
      </c>
      <c r="B1033" s="1007" t="s">
        <v>7742</v>
      </c>
      <c r="C1033" s="133" t="s">
        <v>2416</v>
      </c>
      <c r="D1033" s="1071" t="s">
        <v>9495</v>
      </c>
      <c r="E1033" s="93" t="s">
        <v>12549</v>
      </c>
      <c r="G1033" s="934"/>
      <c r="H1033" s="809" t="s">
        <v>3482</v>
      </c>
      <c r="I1033" s="92">
        <v>29</v>
      </c>
      <c r="J1033" s="92" t="s">
        <v>10</v>
      </c>
      <c r="K1033" s="92" t="s">
        <v>768</v>
      </c>
      <c r="L1033" s="810">
        <v>5</v>
      </c>
      <c r="M1033" s="811" t="str">
        <f t="shared" si="79"/>
        <v>High School Graduate</v>
      </c>
      <c r="N1033" s="92" t="s">
        <v>1208</v>
      </c>
      <c r="O1033" s="812" t="s">
        <v>9496</v>
      </c>
      <c r="P1033" s="1638" t="s">
        <v>12605</v>
      </c>
      <c r="Q1033" s="812" t="s">
        <v>9496</v>
      </c>
      <c r="R1033" s="812" t="s">
        <v>8285</v>
      </c>
      <c r="S1033" s="816">
        <v>15000</v>
      </c>
      <c r="T1033" s="816"/>
      <c r="U1033" s="816"/>
      <c r="V1033" s="955">
        <f>SUM(S1033:U1033)</f>
        <v>15000</v>
      </c>
      <c r="W1033" s="815">
        <v>2</v>
      </c>
      <c r="X1033" s="811" t="str">
        <f t="shared" si="80"/>
        <v>within the Municipality/City</v>
      </c>
      <c r="Y1033" s="816">
        <v>4800</v>
      </c>
      <c r="Z1033" s="816"/>
      <c r="AA1033" s="816"/>
      <c r="AB1033" s="950">
        <f>SUM(Y1033:AA1033)</f>
        <v>4800</v>
      </c>
      <c r="AD1033" s="817"/>
      <c r="AF1033" s="818"/>
      <c r="AG1033" s="807" t="str">
        <f t="shared" ref="AG1033:AG1064" si="81">IF(ISBLANK(AF1033)=TRUE,"",LOOKUP(AF1033,GS:GT))</f>
        <v/>
      </c>
      <c r="AI1033" s="956"/>
      <c r="AJ1033" s="956"/>
      <c r="AK1033" s="836"/>
      <c r="AL1033" s="92"/>
      <c r="AM1033" s="92"/>
      <c r="AN1033" s="816"/>
      <c r="AO1033" s="817"/>
      <c r="AP1033" s="820"/>
      <c r="GO1033" s="92"/>
      <c r="GP1033" s="92"/>
    </row>
    <row r="1034" spans="1:198" s="93" customFormat="1" ht="15">
      <c r="A1034" s="19" t="s">
        <v>7421</v>
      </c>
      <c r="B1034" s="1007" t="s">
        <v>7683</v>
      </c>
      <c r="C1034" s="132" t="s">
        <v>2424</v>
      </c>
      <c r="D1034" s="1071" t="s">
        <v>9497</v>
      </c>
      <c r="E1034" s="533" t="s">
        <v>2424</v>
      </c>
      <c r="F1034" s="1048" t="s">
        <v>3494</v>
      </c>
      <c r="G1034" s="126" t="s">
        <v>2424</v>
      </c>
      <c r="H1034" s="809" t="s">
        <v>3494</v>
      </c>
      <c r="I1034" s="92">
        <v>56</v>
      </c>
      <c r="J1034" s="92" t="s">
        <v>18</v>
      </c>
      <c r="K1034" s="92" t="s">
        <v>719</v>
      </c>
      <c r="L1034" s="810">
        <v>3</v>
      </c>
      <c r="M1034" s="811" t="str">
        <f t="shared" si="79"/>
        <v>Elementary Graduate</v>
      </c>
      <c r="N1034" s="92" t="s">
        <v>1208</v>
      </c>
      <c r="O1034" s="812" t="s">
        <v>2972</v>
      </c>
      <c r="P1034" s="1638" t="s">
        <v>12604</v>
      </c>
      <c r="Q1034" s="812" t="s">
        <v>2972</v>
      </c>
      <c r="R1034" s="92" t="s">
        <v>8234</v>
      </c>
      <c r="S1034" s="816"/>
      <c r="T1034" s="816"/>
      <c r="U1034" s="816">
        <v>8000</v>
      </c>
      <c r="V1034" s="957"/>
      <c r="W1034" s="815">
        <v>2</v>
      </c>
      <c r="X1034" s="811" t="str">
        <f t="shared" si="80"/>
        <v>within the Municipality/City</v>
      </c>
      <c r="Y1034" s="816"/>
      <c r="Z1034" s="816"/>
      <c r="AA1034" s="816">
        <v>100</v>
      </c>
      <c r="AB1034" s="952"/>
      <c r="AD1034" s="817"/>
      <c r="AE1034" s="93" t="s">
        <v>9498</v>
      </c>
      <c r="AF1034" s="818">
        <v>4</v>
      </c>
      <c r="AG1034" s="807" t="str">
        <f t="shared" si="81"/>
        <v>Serious Illness</v>
      </c>
      <c r="AI1034" s="956"/>
      <c r="AJ1034" s="956"/>
      <c r="AK1034" s="836"/>
      <c r="AL1034" s="92"/>
      <c r="AM1034" s="92"/>
      <c r="AN1034" s="816"/>
      <c r="AO1034" s="817"/>
      <c r="AP1034" s="820"/>
      <c r="GO1034" s="92"/>
      <c r="GP1034" s="92"/>
    </row>
    <row r="1035" spans="1:198" s="93" customFormat="1" ht="15">
      <c r="A1035" s="19" t="s">
        <v>7421</v>
      </c>
      <c r="D1035" s="1071" t="s">
        <v>9497</v>
      </c>
      <c r="E1035" s="533" t="s">
        <v>2424</v>
      </c>
      <c r="G1035" s="934"/>
      <c r="H1035" s="809" t="s">
        <v>9499</v>
      </c>
      <c r="I1035" s="92">
        <v>26</v>
      </c>
      <c r="J1035" s="92" t="s">
        <v>10</v>
      </c>
      <c r="K1035" s="92" t="s">
        <v>768</v>
      </c>
      <c r="L1035" s="810">
        <v>4</v>
      </c>
      <c r="M1035" s="811" t="str">
        <f t="shared" si="79"/>
        <v>High School Level</v>
      </c>
      <c r="N1035" s="92" t="s">
        <v>1208</v>
      </c>
      <c r="O1035" s="812" t="s">
        <v>2198</v>
      </c>
      <c r="P1035" s="1638"/>
      <c r="Q1035" s="812" t="s">
        <v>2198</v>
      </c>
      <c r="R1035" s="812" t="s">
        <v>8285</v>
      </c>
      <c r="S1035" s="816">
        <v>16000</v>
      </c>
      <c r="T1035" s="816"/>
      <c r="U1035" s="816"/>
      <c r="V1035" s="957"/>
      <c r="W1035" s="815">
        <v>3</v>
      </c>
      <c r="X1035" s="811" t="str">
        <f t="shared" si="80"/>
        <v>within the Province</v>
      </c>
      <c r="Y1035" s="816">
        <v>1200</v>
      </c>
      <c r="Z1035" s="816"/>
      <c r="AA1035" s="816"/>
      <c r="AB1035" s="952"/>
      <c r="AD1035" s="817"/>
      <c r="AF1035" s="818"/>
      <c r="AG1035" s="807" t="str">
        <f t="shared" si="81"/>
        <v/>
      </c>
      <c r="AI1035" s="956"/>
      <c r="AJ1035" s="956"/>
      <c r="AK1035" s="836"/>
      <c r="AL1035" s="92"/>
      <c r="AM1035" s="92"/>
      <c r="AN1035" s="816"/>
      <c r="AO1035" s="817"/>
      <c r="AP1035" s="820"/>
      <c r="GO1035" s="92"/>
      <c r="GP1035" s="92"/>
    </row>
    <row r="1036" spans="1:198" s="93" customFormat="1" ht="15">
      <c r="A1036" s="19" t="s">
        <v>7421</v>
      </c>
      <c r="D1036" s="1071" t="s">
        <v>9497</v>
      </c>
      <c r="E1036" s="533" t="s">
        <v>2424</v>
      </c>
      <c r="G1036" s="934"/>
      <c r="H1036" s="809" t="s">
        <v>9500</v>
      </c>
      <c r="I1036" s="92">
        <v>19</v>
      </c>
      <c r="J1036" s="92" t="s">
        <v>10</v>
      </c>
      <c r="K1036" s="92" t="s">
        <v>722</v>
      </c>
      <c r="L1036" s="810">
        <v>4</v>
      </c>
      <c r="M1036" s="811" t="str">
        <f t="shared" si="79"/>
        <v>High School Level</v>
      </c>
      <c r="N1036" s="92" t="s">
        <v>1208</v>
      </c>
      <c r="O1036" s="812" t="s">
        <v>9501</v>
      </c>
      <c r="P1036" s="1638"/>
      <c r="Q1036" s="812" t="s">
        <v>9501</v>
      </c>
      <c r="R1036" s="812" t="s">
        <v>8285</v>
      </c>
      <c r="S1036" s="816">
        <v>3000</v>
      </c>
      <c r="T1036" s="816"/>
      <c r="U1036" s="816"/>
      <c r="V1036" s="957"/>
      <c r="W1036" s="815">
        <v>3</v>
      </c>
      <c r="X1036" s="811" t="str">
        <f t="shared" si="80"/>
        <v>within the Province</v>
      </c>
      <c r="Y1036" s="816">
        <v>600</v>
      </c>
      <c r="Z1036" s="816"/>
      <c r="AA1036" s="816"/>
      <c r="AB1036" s="952"/>
      <c r="AD1036" s="817"/>
      <c r="AF1036" s="818"/>
      <c r="AG1036" s="807" t="str">
        <f t="shared" si="81"/>
        <v/>
      </c>
      <c r="AI1036" s="956"/>
      <c r="AJ1036" s="956"/>
      <c r="AK1036" s="836"/>
      <c r="AL1036" s="92"/>
      <c r="AM1036" s="92"/>
      <c r="AN1036" s="816"/>
      <c r="AO1036" s="817"/>
      <c r="AP1036" s="820"/>
      <c r="GO1036" s="92"/>
      <c r="GP1036" s="92"/>
    </row>
    <row r="1037" spans="1:198" s="93" customFormat="1" ht="15">
      <c r="A1037" s="19" t="s">
        <v>7421</v>
      </c>
      <c r="D1037" s="1071" t="s">
        <v>9497</v>
      </c>
      <c r="E1037" s="533" t="s">
        <v>2424</v>
      </c>
      <c r="G1037" s="934"/>
      <c r="H1037" s="809" t="s">
        <v>9502</v>
      </c>
      <c r="I1037" s="92">
        <v>17</v>
      </c>
      <c r="J1037" s="92" t="s">
        <v>18</v>
      </c>
      <c r="K1037" s="92" t="s">
        <v>722</v>
      </c>
      <c r="L1037" s="810">
        <v>2</v>
      </c>
      <c r="M1037" s="811" t="str">
        <f t="shared" si="79"/>
        <v>Elementary Level</v>
      </c>
      <c r="N1037" s="92" t="s">
        <v>1208</v>
      </c>
      <c r="O1037" s="93" t="s">
        <v>2223</v>
      </c>
      <c r="P1037" s="1638"/>
      <c r="Q1037" s="93" t="s">
        <v>2223</v>
      </c>
      <c r="R1037" s="93" t="s">
        <v>8285</v>
      </c>
      <c r="S1037" s="816"/>
      <c r="T1037" s="816"/>
      <c r="U1037" s="816">
        <v>3000</v>
      </c>
      <c r="V1037" s="957"/>
      <c r="W1037" s="815">
        <v>1</v>
      </c>
      <c r="X1037" s="811" t="str">
        <f t="shared" si="80"/>
        <v>within the Brgy</v>
      </c>
      <c r="Y1037" s="816"/>
      <c r="Z1037" s="816"/>
      <c r="AA1037" s="816"/>
      <c r="AB1037" s="952"/>
      <c r="AD1037" s="817"/>
      <c r="AF1037" s="818"/>
      <c r="AG1037" s="807" t="str">
        <f t="shared" si="81"/>
        <v/>
      </c>
      <c r="AI1037" s="956"/>
      <c r="AJ1037" s="956"/>
      <c r="AK1037" s="836"/>
      <c r="AL1037" s="92"/>
      <c r="AM1037" s="92"/>
      <c r="AN1037" s="816"/>
      <c r="AO1037" s="817"/>
      <c r="AP1037" s="820"/>
      <c r="GO1037" s="92"/>
      <c r="GP1037" s="92"/>
    </row>
    <row r="1038" spans="1:198" s="93" customFormat="1" ht="15">
      <c r="A1038" s="19" t="s">
        <v>7421</v>
      </c>
      <c r="D1038" s="1071" t="s">
        <v>9497</v>
      </c>
      <c r="E1038" s="533" t="s">
        <v>2424</v>
      </c>
      <c r="G1038" s="934"/>
      <c r="H1038" s="809" t="s">
        <v>9503</v>
      </c>
      <c r="I1038" s="930">
        <f>8/12</f>
        <v>0.66666666666666663</v>
      </c>
      <c r="J1038" s="92" t="s">
        <v>10</v>
      </c>
      <c r="K1038" s="92" t="s">
        <v>768</v>
      </c>
      <c r="L1038" s="810">
        <v>10</v>
      </c>
      <c r="M1038" s="811" t="str">
        <f t="shared" si="79"/>
        <v>Not In School Age</v>
      </c>
      <c r="N1038" s="92"/>
      <c r="O1038" s="812"/>
      <c r="P1038" s="1638"/>
      <c r="Q1038" s="812"/>
      <c r="R1038" s="812"/>
      <c r="S1038" s="816"/>
      <c r="T1038" s="816"/>
      <c r="U1038" s="816"/>
      <c r="V1038" s="957"/>
      <c r="W1038" s="815"/>
      <c r="X1038" s="811" t="str">
        <f t="shared" si="80"/>
        <v/>
      </c>
      <c r="Y1038" s="816"/>
      <c r="Z1038" s="816"/>
      <c r="AA1038" s="816"/>
      <c r="AB1038" s="952"/>
      <c r="AD1038" s="817"/>
      <c r="AF1038" s="818"/>
      <c r="AG1038" s="807" t="str">
        <f t="shared" si="81"/>
        <v/>
      </c>
      <c r="AI1038" s="956"/>
      <c r="AJ1038" s="956"/>
      <c r="AK1038" s="836"/>
      <c r="AL1038" s="92"/>
      <c r="AM1038" s="92"/>
      <c r="AN1038" s="816"/>
      <c r="AO1038" s="817"/>
      <c r="AP1038" s="820"/>
      <c r="GO1038" s="92"/>
      <c r="GP1038" s="92"/>
    </row>
    <row r="1039" spans="1:198" s="93" customFormat="1" ht="15">
      <c r="A1039" s="19" t="s">
        <v>7421</v>
      </c>
      <c r="D1039" s="1071" t="s">
        <v>9497</v>
      </c>
      <c r="E1039" s="533" t="s">
        <v>2424</v>
      </c>
      <c r="G1039" s="934"/>
      <c r="H1039" s="809" t="s">
        <v>9504</v>
      </c>
      <c r="I1039" s="92">
        <v>15</v>
      </c>
      <c r="J1039" s="92" t="s">
        <v>18</v>
      </c>
      <c r="K1039" s="92" t="s">
        <v>768</v>
      </c>
      <c r="L1039" s="810">
        <v>4</v>
      </c>
      <c r="M1039" s="811" t="str">
        <f t="shared" si="79"/>
        <v>High School Level</v>
      </c>
      <c r="N1039" s="92"/>
      <c r="O1039" s="812"/>
      <c r="P1039" s="1638"/>
      <c r="Q1039" s="812"/>
      <c r="R1039" s="812"/>
      <c r="S1039" s="816"/>
      <c r="T1039" s="816"/>
      <c r="U1039" s="816"/>
      <c r="V1039" s="957"/>
      <c r="W1039" s="815"/>
      <c r="X1039" s="811" t="str">
        <f t="shared" si="80"/>
        <v/>
      </c>
      <c r="Y1039" s="816"/>
      <c r="Z1039" s="816"/>
      <c r="AA1039" s="816"/>
      <c r="AB1039" s="952"/>
      <c r="AD1039" s="817"/>
      <c r="AF1039" s="818"/>
      <c r="AG1039" s="807" t="str">
        <f t="shared" si="81"/>
        <v/>
      </c>
      <c r="AI1039" s="956"/>
      <c r="AJ1039" s="956"/>
      <c r="AK1039" s="836"/>
      <c r="AL1039" s="92"/>
      <c r="AM1039" s="92"/>
      <c r="AN1039" s="816"/>
      <c r="AO1039" s="817"/>
      <c r="AP1039" s="820"/>
      <c r="GO1039" s="92"/>
      <c r="GP1039" s="92"/>
    </row>
    <row r="1040" spans="1:198" s="93" customFormat="1" ht="15">
      <c r="A1040" s="19" t="s">
        <v>7421</v>
      </c>
      <c r="B1040" s="807"/>
      <c r="D1040" s="1071" t="s">
        <v>9497</v>
      </c>
      <c r="E1040" s="533" t="s">
        <v>2424</v>
      </c>
      <c r="G1040" s="934"/>
      <c r="H1040" s="809" t="s">
        <v>9505</v>
      </c>
      <c r="I1040" s="92">
        <v>17</v>
      </c>
      <c r="J1040" s="92" t="s">
        <v>10</v>
      </c>
      <c r="K1040" s="92" t="s">
        <v>768</v>
      </c>
      <c r="L1040" s="810">
        <v>4</v>
      </c>
      <c r="M1040" s="811" t="str">
        <f t="shared" si="79"/>
        <v>High School Level</v>
      </c>
      <c r="N1040" s="92"/>
      <c r="O1040" s="812"/>
      <c r="P1040" s="1638"/>
      <c r="Q1040" s="812"/>
      <c r="R1040" s="812"/>
      <c r="S1040" s="816"/>
      <c r="T1040" s="816"/>
      <c r="U1040" s="816"/>
      <c r="V1040" s="957"/>
      <c r="W1040" s="815"/>
      <c r="X1040" s="811" t="str">
        <f t="shared" si="80"/>
        <v/>
      </c>
      <c r="Y1040" s="816"/>
      <c r="Z1040" s="816"/>
      <c r="AA1040" s="816"/>
      <c r="AB1040" s="952"/>
      <c r="AD1040" s="817"/>
      <c r="AF1040" s="818"/>
      <c r="AG1040" s="807" t="str">
        <f t="shared" si="81"/>
        <v/>
      </c>
      <c r="AI1040" s="956"/>
      <c r="AJ1040" s="956"/>
      <c r="AK1040" s="836"/>
      <c r="AL1040" s="92"/>
      <c r="AM1040" s="92"/>
      <c r="AN1040" s="816"/>
      <c r="AO1040" s="817"/>
      <c r="AP1040" s="820"/>
      <c r="GO1040" s="92"/>
      <c r="GP1040" s="92"/>
    </row>
    <row r="1041" spans="1:198" s="93" customFormat="1" ht="15">
      <c r="A1041" s="19" t="s">
        <v>7421</v>
      </c>
      <c r="B1041" s="807"/>
      <c r="D1041" s="1071" t="s">
        <v>9497</v>
      </c>
      <c r="E1041" s="533" t="s">
        <v>2424</v>
      </c>
      <c r="G1041" s="934"/>
      <c r="H1041" s="809" t="s">
        <v>9506</v>
      </c>
      <c r="I1041" s="92">
        <v>37</v>
      </c>
      <c r="J1041" s="92" t="s">
        <v>10</v>
      </c>
      <c r="K1041" s="92" t="s">
        <v>707</v>
      </c>
      <c r="L1041" s="810">
        <v>4</v>
      </c>
      <c r="M1041" s="811" t="str">
        <f t="shared" si="79"/>
        <v>High School Level</v>
      </c>
      <c r="N1041" s="92" t="s">
        <v>1208</v>
      </c>
      <c r="O1041" s="812" t="s">
        <v>9507</v>
      </c>
      <c r="P1041" s="1638"/>
      <c r="Q1041" s="812" t="s">
        <v>9507</v>
      </c>
      <c r="R1041" s="812" t="s">
        <v>8285</v>
      </c>
      <c r="S1041" s="816"/>
      <c r="T1041" s="816"/>
      <c r="U1041" s="816">
        <v>9000</v>
      </c>
      <c r="V1041" s="957"/>
      <c r="W1041" s="815">
        <v>1</v>
      </c>
      <c r="X1041" s="811" t="str">
        <f t="shared" si="80"/>
        <v>within the Brgy</v>
      </c>
      <c r="Y1041" s="816"/>
      <c r="Z1041" s="816"/>
      <c r="AA1041" s="816"/>
      <c r="AB1041" s="952"/>
      <c r="AD1041" s="817"/>
      <c r="AF1041" s="818"/>
      <c r="AG1041" s="807" t="str">
        <f t="shared" si="81"/>
        <v/>
      </c>
      <c r="AI1041" s="956"/>
      <c r="AJ1041" s="956"/>
      <c r="AK1041" s="836"/>
      <c r="AL1041" s="92"/>
      <c r="AM1041" s="92"/>
      <c r="AN1041" s="816"/>
      <c r="AO1041" s="817"/>
      <c r="AP1041" s="820"/>
      <c r="GO1041" s="92"/>
      <c r="GP1041" s="92"/>
    </row>
    <row r="1042" spans="1:198" s="93" customFormat="1" ht="15">
      <c r="A1042" s="19" t="s">
        <v>7421</v>
      </c>
      <c r="B1042" s="807"/>
      <c r="D1042" s="1071" t="s">
        <v>9497</v>
      </c>
      <c r="E1042" s="533" t="s">
        <v>2424</v>
      </c>
      <c r="G1042" s="934"/>
      <c r="H1042" s="809" t="s">
        <v>9508</v>
      </c>
      <c r="I1042" s="92">
        <v>28</v>
      </c>
      <c r="J1042" s="92" t="s">
        <v>18</v>
      </c>
      <c r="K1042" s="92" t="s">
        <v>707</v>
      </c>
      <c r="L1042" s="810">
        <v>5</v>
      </c>
      <c r="M1042" s="811" t="str">
        <f t="shared" si="79"/>
        <v>High School Graduate</v>
      </c>
      <c r="N1042" s="92"/>
      <c r="O1042" s="812"/>
      <c r="P1042" s="1638"/>
      <c r="Q1042" s="812"/>
      <c r="R1042" s="812"/>
      <c r="S1042" s="816"/>
      <c r="T1042" s="816"/>
      <c r="U1042" s="816"/>
      <c r="V1042" s="957"/>
      <c r="W1042" s="815"/>
      <c r="X1042" s="811" t="str">
        <f t="shared" si="80"/>
        <v/>
      </c>
      <c r="Y1042" s="816"/>
      <c r="Z1042" s="816"/>
      <c r="AA1042" s="816"/>
      <c r="AB1042" s="952"/>
      <c r="AD1042" s="817"/>
      <c r="AF1042" s="818"/>
      <c r="AG1042" s="807" t="str">
        <f t="shared" si="81"/>
        <v/>
      </c>
      <c r="AI1042" s="956"/>
      <c r="AJ1042" s="956"/>
      <c r="AK1042" s="836"/>
      <c r="AL1042" s="92"/>
      <c r="AM1042" s="92"/>
      <c r="AN1042" s="816"/>
      <c r="AO1042" s="817"/>
      <c r="AP1042" s="820"/>
      <c r="GO1042" s="92"/>
      <c r="GP1042" s="92"/>
    </row>
    <row r="1043" spans="1:198" s="93" customFormat="1" ht="15">
      <c r="A1043" s="19" t="s">
        <v>7421</v>
      </c>
      <c r="D1043" s="1071" t="s">
        <v>9497</v>
      </c>
      <c r="E1043" s="533" t="s">
        <v>2424</v>
      </c>
      <c r="G1043" s="934"/>
      <c r="H1043" s="809" t="s">
        <v>9509</v>
      </c>
      <c r="I1043" s="92">
        <v>5</v>
      </c>
      <c r="J1043" s="92" t="s">
        <v>18</v>
      </c>
      <c r="K1043" s="92" t="s">
        <v>768</v>
      </c>
      <c r="L1043" s="810">
        <v>1</v>
      </c>
      <c r="M1043" s="811" t="str">
        <f t="shared" si="79"/>
        <v>Pre-school</v>
      </c>
      <c r="N1043" s="92"/>
      <c r="O1043" s="812"/>
      <c r="P1043" s="1638"/>
      <c r="Q1043" s="812"/>
      <c r="R1043" s="812"/>
      <c r="S1043" s="816"/>
      <c r="T1043" s="816"/>
      <c r="U1043" s="816"/>
      <c r="V1043" s="957"/>
      <c r="W1043" s="815"/>
      <c r="X1043" s="811" t="str">
        <f t="shared" si="80"/>
        <v/>
      </c>
      <c r="Y1043" s="816"/>
      <c r="Z1043" s="816"/>
      <c r="AA1043" s="816"/>
      <c r="AB1043" s="952"/>
      <c r="AD1043" s="817"/>
      <c r="AF1043" s="818"/>
      <c r="AG1043" s="807" t="str">
        <f t="shared" si="81"/>
        <v/>
      </c>
      <c r="AI1043" s="956"/>
      <c r="AJ1043" s="956"/>
      <c r="AK1043" s="836"/>
      <c r="AL1043" s="92"/>
      <c r="AM1043" s="92"/>
      <c r="AN1043" s="816"/>
      <c r="AO1043" s="817"/>
      <c r="AP1043" s="820"/>
      <c r="GO1043" s="92"/>
      <c r="GP1043" s="92"/>
    </row>
    <row r="1044" spans="1:198" s="93" customFormat="1" ht="15">
      <c r="A1044" s="19" t="s">
        <v>7421</v>
      </c>
      <c r="D1044" s="1071" t="s">
        <v>9497</v>
      </c>
      <c r="E1044" s="533" t="s">
        <v>2424</v>
      </c>
      <c r="G1044" s="934"/>
      <c r="H1044" s="809" t="s">
        <v>9510</v>
      </c>
      <c r="I1044" s="857"/>
      <c r="J1044" s="92" t="s">
        <v>10</v>
      </c>
      <c r="K1044" s="92" t="s">
        <v>768</v>
      </c>
      <c r="L1044" s="858">
        <v>10</v>
      </c>
      <c r="M1044" s="811" t="str">
        <f t="shared" si="79"/>
        <v>Not In School Age</v>
      </c>
      <c r="N1044" s="92"/>
      <c r="O1044" s="812"/>
      <c r="P1044" s="1638"/>
      <c r="Q1044" s="812"/>
      <c r="R1044" s="812"/>
      <c r="S1044" s="816"/>
      <c r="T1044" s="816"/>
      <c r="U1044" s="816"/>
      <c r="V1044" s="957">
        <f>SUM(S1034:U1044)</f>
        <v>39000</v>
      </c>
      <c r="W1044" s="815"/>
      <c r="X1044" s="811" t="str">
        <f t="shared" si="80"/>
        <v/>
      </c>
      <c r="Y1044" s="816"/>
      <c r="Z1044" s="816"/>
      <c r="AA1044" s="816"/>
      <c r="AB1044" s="958">
        <f>SUM(Y1034:AA1044)</f>
        <v>1900</v>
      </c>
      <c r="AD1044" s="817"/>
      <c r="AF1044" s="818"/>
      <c r="AG1044" s="807" t="str">
        <f t="shared" si="81"/>
        <v/>
      </c>
      <c r="AI1044" s="956"/>
      <c r="AJ1044" s="956"/>
      <c r="AK1044" s="836"/>
      <c r="AL1044" s="92"/>
      <c r="AM1044" s="92"/>
      <c r="AN1044" s="816"/>
      <c r="AO1044" s="817"/>
      <c r="AP1044" s="820"/>
      <c r="GO1044" s="92"/>
      <c r="GP1044" s="92"/>
    </row>
    <row r="1045" spans="1:198" s="93" customFormat="1" ht="15">
      <c r="A1045" s="19" t="s">
        <v>7421</v>
      </c>
      <c r="B1045" s="1007" t="s">
        <v>7684</v>
      </c>
      <c r="C1045" s="133" t="s">
        <v>2434</v>
      </c>
      <c r="D1045" s="1071" t="s">
        <v>9511</v>
      </c>
      <c r="E1045" s="514" t="s">
        <v>2434</v>
      </c>
      <c r="F1045" s="1049" t="s">
        <v>2435</v>
      </c>
      <c r="G1045" s="126" t="s">
        <v>2434</v>
      </c>
      <c r="H1045" s="809" t="s">
        <v>2441</v>
      </c>
      <c r="I1045" s="92">
        <v>71</v>
      </c>
      <c r="J1045" s="92" t="s">
        <v>10</v>
      </c>
      <c r="K1045" s="92" t="s">
        <v>707</v>
      </c>
      <c r="L1045" s="810">
        <v>7</v>
      </c>
      <c r="M1045" s="811" t="str">
        <f t="shared" si="79"/>
        <v>College Graduate or Higher</v>
      </c>
      <c r="N1045" s="92" t="s">
        <v>1208</v>
      </c>
      <c r="O1045" s="812" t="s">
        <v>2968</v>
      </c>
      <c r="P1045" s="1638" t="s">
        <v>12615</v>
      </c>
      <c r="Q1045" s="812" t="s">
        <v>2968</v>
      </c>
      <c r="R1045" s="92" t="s">
        <v>8234</v>
      </c>
      <c r="S1045" s="816"/>
      <c r="T1045" s="816"/>
      <c r="U1045" s="816">
        <v>12000</v>
      </c>
      <c r="V1045" s="959"/>
      <c r="W1045" s="815">
        <v>1</v>
      </c>
      <c r="X1045" s="811" t="str">
        <f t="shared" si="80"/>
        <v>within the Brgy</v>
      </c>
      <c r="Y1045" s="816"/>
      <c r="Z1045" s="816"/>
      <c r="AA1045" s="816"/>
      <c r="AB1045" s="924"/>
      <c r="AD1045" s="817" t="s">
        <v>9512</v>
      </c>
      <c r="AF1045" s="818"/>
      <c r="AG1045" s="807" t="str">
        <f t="shared" si="81"/>
        <v/>
      </c>
      <c r="AI1045" s="956"/>
      <c r="AJ1045" s="956"/>
      <c r="AK1045" s="836"/>
      <c r="AL1045" s="92"/>
      <c r="AM1045" s="92"/>
      <c r="AN1045" s="816"/>
      <c r="AO1045" s="817"/>
      <c r="AP1045" s="820"/>
      <c r="GO1045" s="92"/>
      <c r="GP1045" s="92"/>
    </row>
    <row r="1046" spans="1:198" s="93" customFormat="1" ht="15">
      <c r="A1046" s="19" t="s">
        <v>7421</v>
      </c>
      <c r="D1046" s="1071" t="s">
        <v>9511</v>
      </c>
      <c r="E1046" s="514" t="s">
        <v>2434</v>
      </c>
      <c r="G1046" s="934"/>
      <c r="H1046" s="809" t="s">
        <v>9513</v>
      </c>
      <c r="I1046" s="92">
        <v>68</v>
      </c>
      <c r="J1046" s="92" t="s">
        <v>18</v>
      </c>
      <c r="K1046" s="92" t="s">
        <v>707</v>
      </c>
      <c r="L1046" s="810">
        <v>5</v>
      </c>
      <c r="M1046" s="811" t="str">
        <f t="shared" si="79"/>
        <v>High School Graduate</v>
      </c>
      <c r="N1046" s="92"/>
      <c r="O1046" s="812"/>
      <c r="P1046" s="1638"/>
      <c r="Q1046" s="812"/>
      <c r="R1046" s="812"/>
      <c r="S1046" s="816"/>
      <c r="T1046" s="816"/>
      <c r="U1046" s="816"/>
      <c r="V1046" s="959"/>
      <c r="W1046" s="815"/>
      <c r="X1046" s="811" t="str">
        <f t="shared" si="80"/>
        <v/>
      </c>
      <c r="Y1046" s="816"/>
      <c r="Z1046" s="816"/>
      <c r="AA1046" s="816"/>
      <c r="AB1046" s="924"/>
      <c r="AD1046" s="817" t="s">
        <v>9514</v>
      </c>
      <c r="AF1046" s="818"/>
      <c r="AG1046" s="807" t="str">
        <f t="shared" si="81"/>
        <v/>
      </c>
      <c r="AI1046" s="956"/>
      <c r="AJ1046" s="956"/>
      <c r="AK1046" s="836"/>
      <c r="AL1046" s="92"/>
      <c r="AM1046" s="92"/>
      <c r="AN1046" s="816"/>
      <c r="AO1046" s="817"/>
      <c r="AP1046" s="820"/>
      <c r="GO1046" s="92"/>
      <c r="GP1046" s="92"/>
    </row>
    <row r="1047" spans="1:198" s="93" customFormat="1" ht="15">
      <c r="A1047" s="19" t="s">
        <v>7421</v>
      </c>
      <c r="D1047" s="1071" t="s">
        <v>9511</v>
      </c>
      <c r="E1047" s="514" t="s">
        <v>2434</v>
      </c>
      <c r="G1047" s="934"/>
      <c r="H1047" s="809" t="s">
        <v>9515</v>
      </c>
      <c r="I1047" s="92">
        <v>41</v>
      </c>
      <c r="J1047" s="92" t="s">
        <v>10</v>
      </c>
      <c r="K1047" s="92" t="s">
        <v>768</v>
      </c>
      <c r="L1047" s="810">
        <v>7</v>
      </c>
      <c r="M1047" s="811" t="str">
        <f t="shared" si="79"/>
        <v>College Graduate or Higher</v>
      </c>
      <c r="N1047" s="92"/>
      <c r="O1047" s="812"/>
      <c r="P1047" s="1638"/>
      <c r="Q1047" s="812"/>
      <c r="R1047" s="812"/>
      <c r="S1047" s="816"/>
      <c r="T1047" s="816"/>
      <c r="U1047" s="816"/>
      <c r="V1047" s="959"/>
      <c r="W1047" s="815"/>
      <c r="X1047" s="811" t="str">
        <f t="shared" si="80"/>
        <v/>
      </c>
      <c r="Y1047" s="816"/>
      <c r="Z1047" s="816"/>
      <c r="AA1047" s="816"/>
      <c r="AB1047" s="924"/>
      <c r="AD1047" s="817"/>
      <c r="AF1047" s="818"/>
      <c r="AG1047" s="807" t="str">
        <f t="shared" si="81"/>
        <v/>
      </c>
      <c r="AI1047" s="956"/>
      <c r="AJ1047" s="956"/>
      <c r="AK1047" s="836"/>
      <c r="AL1047" s="92"/>
      <c r="AM1047" s="92"/>
      <c r="AN1047" s="816"/>
      <c r="AO1047" s="817"/>
      <c r="AP1047" s="820"/>
      <c r="GO1047" s="92"/>
      <c r="GP1047" s="92"/>
    </row>
    <row r="1048" spans="1:198" s="93" customFormat="1" ht="15">
      <c r="A1048" s="19" t="s">
        <v>7421</v>
      </c>
      <c r="D1048" s="1071" t="s">
        <v>9511</v>
      </c>
      <c r="E1048" s="514" t="s">
        <v>2434</v>
      </c>
      <c r="G1048" s="934"/>
      <c r="H1048" s="809" t="s">
        <v>9516</v>
      </c>
      <c r="I1048" s="92">
        <v>35</v>
      </c>
      <c r="J1048" s="92" t="s">
        <v>18</v>
      </c>
      <c r="K1048" s="92" t="s">
        <v>707</v>
      </c>
      <c r="L1048" s="810">
        <v>7</v>
      </c>
      <c r="M1048" s="811" t="str">
        <f t="shared" si="79"/>
        <v>College Graduate or Higher</v>
      </c>
      <c r="N1048" s="92" t="s">
        <v>1208</v>
      </c>
      <c r="O1048" s="812" t="s">
        <v>8916</v>
      </c>
      <c r="P1048" s="1638"/>
      <c r="Q1048" s="812" t="s">
        <v>8916</v>
      </c>
      <c r="R1048" s="812" t="s">
        <v>8285</v>
      </c>
      <c r="S1048" s="816">
        <v>9000</v>
      </c>
      <c r="T1048" s="816"/>
      <c r="U1048" s="816"/>
      <c r="V1048" s="959">
        <f>SUM(S1045:U1048)</f>
        <v>21000</v>
      </c>
      <c r="W1048" s="815">
        <v>2</v>
      </c>
      <c r="X1048" s="811" t="str">
        <f t="shared" si="80"/>
        <v>within the Municipality/City</v>
      </c>
      <c r="Y1048" s="816">
        <v>900</v>
      </c>
      <c r="Z1048" s="816"/>
      <c r="AA1048" s="816"/>
      <c r="AB1048" s="924">
        <f>SUM(Y1045:AA1048)</f>
        <v>900</v>
      </c>
      <c r="AD1048" s="817"/>
      <c r="AF1048" s="818"/>
      <c r="AG1048" s="807" t="str">
        <f t="shared" si="81"/>
        <v/>
      </c>
      <c r="AI1048" s="956"/>
      <c r="AJ1048" s="956"/>
      <c r="AK1048" s="836"/>
      <c r="AL1048" s="92"/>
      <c r="AM1048" s="92"/>
      <c r="AN1048" s="816"/>
      <c r="AO1048" s="817"/>
      <c r="AP1048" s="820"/>
      <c r="GO1048" s="92"/>
      <c r="GP1048" s="92"/>
    </row>
    <row r="1049" spans="1:198" s="93" customFormat="1" ht="15">
      <c r="A1049" s="19" t="s">
        <v>7421</v>
      </c>
      <c r="B1049" s="1007" t="s">
        <v>7847</v>
      </c>
      <c r="C1049" s="132" t="s">
        <v>2442</v>
      </c>
      <c r="D1049" s="1071" t="s">
        <v>9517</v>
      </c>
      <c r="E1049" s="533" t="s">
        <v>2442</v>
      </c>
      <c r="F1049" s="1049" t="s">
        <v>3495</v>
      </c>
      <c r="G1049" s="126" t="s">
        <v>2442</v>
      </c>
      <c r="H1049" s="809" t="s">
        <v>2451</v>
      </c>
      <c r="I1049" s="92">
        <v>48</v>
      </c>
      <c r="J1049" s="92" t="s">
        <v>10</v>
      </c>
      <c r="K1049" s="92" t="s">
        <v>707</v>
      </c>
      <c r="L1049" s="810">
        <v>5</v>
      </c>
      <c r="M1049" s="811" t="str">
        <f t="shared" si="79"/>
        <v>High School Graduate</v>
      </c>
      <c r="N1049" s="92" t="s">
        <v>1208</v>
      </c>
      <c r="O1049" s="812" t="s">
        <v>2205</v>
      </c>
      <c r="P1049" s="1638" t="s">
        <v>12615</v>
      </c>
      <c r="Q1049" s="812" t="s">
        <v>2205</v>
      </c>
      <c r="R1049" s="92" t="s">
        <v>8234</v>
      </c>
      <c r="S1049" s="816"/>
      <c r="T1049" s="816"/>
      <c r="U1049" s="816">
        <v>1500</v>
      </c>
      <c r="V1049" s="955"/>
      <c r="W1049" s="815">
        <v>1</v>
      </c>
      <c r="X1049" s="811" t="str">
        <f t="shared" si="80"/>
        <v>within the Brgy</v>
      </c>
      <c r="Y1049" s="816"/>
      <c r="Z1049" s="816"/>
      <c r="AA1049" s="816">
        <v>900</v>
      </c>
      <c r="AB1049" s="950"/>
      <c r="AD1049" s="817"/>
      <c r="AE1049" s="93" t="s">
        <v>9518</v>
      </c>
      <c r="AF1049" s="818">
        <v>2</v>
      </c>
      <c r="AG1049" s="807" t="str">
        <f t="shared" si="81"/>
        <v>Assistance to walk</v>
      </c>
      <c r="AI1049" s="956"/>
      <c r="AJ1049" s="956"/>
      <c r="AK1049" s="836"/>
      <c r="AL1049" s="92"/>
      <c r="AM1049" s="92"/>
      <c r="AN1049" s="816"/>
      <c r="AO1049" s="817"/>
      <c r="AP1049" s="820"/>
      <c r="CF1049" s="93">
        <v>1</v>
      </c>
      <c r="CS1049" s="93">
        <v>2</v>
      </c>
      <c r="GO1049" s="92"/>
      <c r="GP1049" s="92"/>
    </row>
    <row r="1050" spans="1:198" s="93" customFormat="1" ht="15">
      <c r="A1050" s="19" t="s">
        <v>7421</v>
      </c>
      <c r="D1050" s="1071" t="s">
        <v>9517</v>
      </c>
      <c r="E1050" s="533" t="s">
        <v>2442</v>
      </c>
      <c r="G1050" s="934"/>
      <c r="H1050" s="809" t="s">
        <v>2455</v>
      </c>
      <c r="I1050" s="92">
        <v>43</v>
      </c>
      <c r="J1050" s="92" t="s">
        <v>18</v>
      </c>
      <c r="K1050" s="92" t="s">
        <v>707</v>
      </c>
      <c r="L1050" s="810">
        <v>3</v>
      </c>
      <c r="M1050" s="811" t="str">
        <f t="shared" si="79"/>
        <v>Elementary Graduate</v>
      </c>
      <c r="N1050" s="92"/>
      <c r="O1050" s="812"/>
      <c r="P1050" s="1638"/>
      <c r="Q1050" s="812"/>
      <c r="R1050" s="812"/>
      <c r="S1050" s="816"/>
      <c r="T1050" s="816"/>
      <c r="U1050" s="816"/>
      <c r="V1050" s="955"/>
      <c r="W1050" s="815"/>
      <c r="X1050" s="811" t="str">
        <f t="shared" si="80"/>
        <v/>
      </c>
      <c r="Y1050" s="816"/>
      <c r="Z1050" s="816"/>
      <c r="AA1050" s="816"/>
      <c r="AB1050" s="950"/>
      <c r="AD1050" s="817"/>
      <c r="AF1050" s="818"/>
      <c r="AG1050" s="807" t="str">
        <f t="shared" si="81"/>
        <v/>
      </c>
      <c r="AI1050" s="956"/>
      <c r="AJ1050" s="956"/>
      <c r="AK1050" s="836"/>
      <c r="AL1050" s="92"/>
      <c r="AM1050" s="92"/>
      <c r="AN1050" s="816"/>
      <c r="AO1050" s="817"/>
      <c r="AP1050" s="820"/>
      <c r="GO1050" s="92"/>
      <c r="GP1050" s="92"/>
    </row>
    <row r="1051" spans="1:198" s="93" customFormat="1" ht="15">
      <c r="A1051" s="19" t="s">
        <v>7421</v>
      </c>
      <c r="D1051" s="1071" t="s">
        <v>9517</v>
      </c>
      <c r="E1051" s="533" t="s">
        <v>2442</v>
      </c>
      <c r="G1051" s="934"/>
      <c r="H1051" s="809" t="s">
        <v>9519</v>
      </c>
      <c r="I1051" s="92">
        <v>22</v>
      </c>
      <c r="J1051" s="92" t="s">
        <v>18</v>
      </c>
      <c r="K1051" s="92" t="s">
        <v>707</v>
      </c>
      <c r="L1051" s="810">
        <v>5</v>
      </c>
      <c r="M1051" s="811" t="str">
        <f t="shared" si="79"/>
        <v>High School Graduate</v>
      </c>
      <c r="N1051" s="92" t="s">
        <v>1208</v>
      </c>
      <c r="O1051" s="812" t="s">
        <v>2205</v>
      </c>
      <c r="P1051" s="1638"/>
      <c r="Q1051" s="812" t="s">
        <v>2205</v>
      </c>
      <c r="R1051" s="812" t="s">
        <v>8285</v>
      </c>
      <c r="S1051" s="816">
        <v>5600</v>
      </c>
      <c r="T1051" s="816"/>
      <c r="V1051" s="955"/>
      <c r="W1051" s="815">
        <v>2</v>
      </c>
      <c r="X1051" s="811" t="str">
        <f t="shared" si="80"/>
        <v>within the Municipality/City</v>
      </c>
      <c r="Y1051" s="816"/>
      <c r="Z1051" s="816"/>
      <c r="AA1051" s="816">
        <v>2400</v>
      </c>
      <c r="AB1051" s="950"/>
      <c r="AD1051" s="817"/>
      <c r="AF1051" s="818"/>
      <c r="AG1051" s="807" t="str">
        <f t="shared" si="81"/>
        <v/>
      </c>
      <c r="AI1051" s="956"/>
      <c r="AJ1051" s="956"/>
      <c r="AK1051" s="836"/>
      <c r="AL1051" s="92"/>
      <c r="AM1051" s="92"/>
      <c r="AN1051" s="816"/>
      <c r="AO1051" s="817"/>
      <c r="AP1051" s="820"/>
      <c r="GO1051" s="92"/>
      <c r="GP1051" s="92"/>
    </row>
    <row r="1052" spans="1:198" s="93" customFormat="1" ht="15">
      <c r="A1052" s="19" t="s">
        <v>7421</v>
      </c>
      <c r="D1052" s="1071" t="s">
        <v>9517</v>
      </c>
      <c r="E1052" s="533" t="s">
        <v>2442</v>
      </c>
      <c r="G1052" s="934"/>
      <c r="H1052" s="809" t="s">
        <v>9520</v>
      </c>
      <c r="I1052" s="92">
        <v>29</v>
      </c>
      <c r="J1052" s="92" t="s">
        <v>18</v>
      </c>
      <c r="K1052" s="92" t="s">
        <v>707</v>
      </c>
      <c r="L1052" s="810">
        <v>5</v>
      </c>
      <c r="M1052" s="811" t="str">
        <f t="shared" si="79"/>
        <v>High School Graduate</v>
      </c>
      <c r="N1052" s="92"/>
      <c r="O1052" s="812"/>
      <c r="P1052" s="1638"/>
      <c r="Q1052" s="812"/>
      <c r="R1052" s="812"/>
      <c r="S1052" s="816"/>
      <c r="T1052" s="816"/>
      <c r="U1052" s="816"/>
      <c r="V1052" s="955"/>
      <c r="W1052" s="815"/>
      <c r="X1052" s="811" t="str">
        <f t="shared" si="80"/>
        <v/>
      </c>
      <c r="Y1052" s="816"/>
      <c r="Z1052" s="816"/>
      <c r="AA1052" s="816"/>
      <c r="AB1052" s="950"/>
      <c r="AD1052" s="817"/>
      <c r="AF1052" s="818"/>
      <c r="AG1052" s="807" t="str">
        <f t="shared" si="81"/>
        <v/>
      </c>
      <c r="AI1052" s="956"/>
      <c r="AJ1052" s="956"/>
      <c r="AK1052" s="836"/>
      <c r="AL1052" s="92"/>
      <c r="AM1052" s="92"/>
      <c r="AN1052" s="816"/>
      <c r="AO1052" s="817"/>
      <c r="AP1052" s="820"/>
      <c r="GO1052" s="92"/>
      <c r="GP1052" s="92"/>
    </row>
    <row r="1053" spans="1:198" s="93" customFormat="1" ht="15">
      <c r="A1053" s="19" t="s">
        <v>7421</v>
      </c>
      <c r="D1053" s="1071" t="s">
        <v>9517</v>
      </c>
      <c r="E1053" s="533" t="s">
        <v>2442</v>
      </c>
      <c r="G1053" s="934"/>
      <c r="H1053" s="809" t="s">
        <v>9521</v>
      </c>
      <c r="I1053" s="92">
        <v>17</v>
      </c>
      <c r="J1053" s="92" t="s">
        <v>10</v>
      </c>
      <c r="K1053" s="92" t="s">
        <v>768</v>
      </c>
      <c r="L1053" s="810">
        <v>5</v>
      </c>
      <c r="M1053" s="811" t="str">
        <f t="shared" si="79"/>
        <v>High School Graduate</v>
      </c>
      <c r="N1053" s="92"/>
      <c r="O1053" s="812"/>
      <c r="P1053" s="1638"/>
      <c r="Q1053" s="812"/>
      <c r="R1053" s="812"/>
      <c r="S1053" s="816"/>
      <c r="T1053" s="816"/>
      <c r="U1053" s="816"/>
      <c r="V1053" s="955"/>
      <c r="W1053" s="815"/>
      <c r="X1053" s="811" t="str">
        <f t="shared" si="80"/>
        <v/>
      </c>
      <c r="Y1053" s="816"/>
      <c r="Z1053" s="816"/>
      <c r="AA1053" s="816"/>
      <c r="AB1053" s="950"/>
      <c r="AD1053" s="817"/>
      <c r="AF1053" s="818"/>
      <c r="AG1053" s="807" t="str">
        <f t="shared" si="81"/>
        <v/>
      </c>
      <c r="AI1053" s="956"/>
      <c r="AJ1053" s="956"/>
      <c r="AK1053" s="836"/>
      <c r="AL1053" s="92"/>
      <c r="AM1053" s="92"/>
      <c r="AN1053" s="816"/>
      <c r="AO1053" s="817"/>
      <c r="AP1053" s="820"/>
      <c r="GO1053" s="92"/>
      <c r="GP1053" s="92"/>
    </row>
    <row r="1054" spans="1:198" s="93" customFormat="1" ht="15">
      <c r="A1054" s="19" t="s">
        <v>7421</v>
      </c>
      <c r="D1054" s="1071" t="s">
        <v>9517</v>
      </c>
      <c r="E1054" s="533" t="s">
        <v>2442</v>
      </c>
      <c r="G1054" s="934"/>
      <c r="H1054" s="809" t="s">
        <v>9522</v>
      </c>
      <c r="I1054" s="92">
        <v>19</v>
      </c>
      <c r="J1054" s="92" t="s">
        <v>18</v>
      </c>
      <c r="K1054" s="92" t="s">
        <v>768</v>
      </c>
      <c r="L1054" s="810">
        <v>5</v>
      </c>
      <c r="M1054" s="811" t="str">
        <f t="shared" si="79"/>
        <v>High School Graduate</v>
      </c>
      <c r="N1054" s="92"/>
      <c r="O1054" s="812"/>
      <c r="P1054" s="1638"/>
      <c r="Q1054" s="812"/>
      <c r="R1054" s="812"/>
      <c r="S1054" s="816"/>
      <c r="T1054" s="816"/>
      <c r="U1054" s="816"/>
      <c r="V1054" s="955"/>
      <c r="W1054" s="815"/>
      <c r="X1054" s="811" t="str">
        <f t="shared" si="80"/>
        <v/>
      </c>
      <c r="Y1054" s="816"/>
      <c r="Z1054" s="816"/>
      <c r="AA1054" s="816"/>
      <c r="AB1054" s="950"/>
      <c r="AD1054" s="817"/>
      <c r="AF1054" s="818"/>
      <c r="AG1054" s="807" t="str">
        <f t="shared" si="81"/>
        <v/>
      </c>
      <c r="AI1054" s="956"/>
      <c r="AJ1054" s="956"/>
      <c r="AK1054" s="836"/>
      <c r="AL1054" s="92"/>
      <c r="AM1054" s="92"/>
      <c r="AN1054" s="816"/>
      <c r="AO1054" s="817"/>
      <c r="AP1054" s="820"/>
      <c r="GO1054" s="92"/>
      <c r="GP1054" s="92"/>
    </row>
    <row r="1055" spans="1:198" s="93" customFormat="1" ht="15">
      <c r="A1055" s="19" t="s">
        <v>7421</v>
      </c>
      <c r="D1055" s="1071" t="s">
        <v>9517</v>
      </c>
      <c r="E1055" s="533" t="s">
        <v>2442</v>
      </c>
      <c r="G1055" s="934"/>
      <c r="H1055" s="809" t="s">
        <v>9523</v>
      </c>
      <c r="I1055" s="92">
        <v>9</v>
      </c>
      <c r="J1055" s="92" t="s">
        <v>18</v>
      </c>
      <c r="K1055" s="92" t="s">
        <v>768</v>
      </c>
      <c r="L1055" s="810">
        <v>2</v>
      </c>
      <c r="M1055" s="811" t="str">
        <f t="shared" si="79"/>
        <v>Elementary Level</v>
      </c>
      <c r="N1055" s="92"/>
      <c r="O1055" s="812"/>
      <c r="P1055" s="1638"/>
      <c r="Q1055" s="812"/>
      <c r="R1055" s="812"/>
      <c r="S1055" s="816"/>
      <c r="T1055" s="816"/>
      <c r="U1055" s="816"/>
      <c r="V1055" s="955"/>
      <c r="W1055" s="815"/>
      <c r="X1055" s="811" t="str">
        <f t="shared" si="80"/>
        <v/>
      </c>
      <c r="Y1055" s="816"/>
      <c r="Z1055" s="816"/>
      <c r="AA1055" s="816"/>
      <c r="AB1055" s="950"/>
      <c r="AD1055" s="817"/>
      <c r="AF1055" s="818"/>
      <c r="AG1055" s="807" t="str">
        <f t="shared" si="81"/>
        <v/>
      </c>
      <c r="AI1055" s="956"/>
      <c r="AJ1055" s="956"/>
      <c r="AK1055" s="836"/>
      <c r="AL1055" s="92"/>
      <c r="AM1055" s="92"/>
      <c r="AN1055" s="816"/>
      <c r="AO1055" s="817"/>
      <c r="AP1055" s="820"/>
      <c r="GO1055" s="92"/>
      <c r="GP1055" s="92"/>
    </row>
    <row r="1056" spans="1:198" s="93" customFormat="1" ht="15">
      <c r="A1056" s="19" t="s">
        <v>7421</v>
      </c>
      <c r="D1056" s="1071" t="s">
        <v>9517</v>
      </c>
      <c r="E1056" s="533" t="s">
        <v>2442</v>
      </c>
      <c r="G1056" s="934"/>
      <c r="H1056" s="809" t="s">
        <v>9524</v>
      </c>
      <c r="I1056" s="92">
        <v>5</v>
      </c>
      <c r="J1056" s="92" t="s">
        <v>18</v>
      </c>
      <c r="K1056" s="92" t="s">
        <v>768</v>
      </c>
      <c r="L1056" s="810">
        <v>0</v>
      </c>
      <c r="M1056" s="811" t="str">
        <f t="shared" si="79"/>
        <v>No Schooling</v>
      </c>
      <c r="N1056" s="92"/>
      <c r="O1056" s="812"/>
      <c r="P1056" s="1638"/>
      <c r="Q1056" s="812"/>
      <c r="R1056" s="812"/>
      <c r="S1056" s="816"/>
      <c r="T1056" s="816"/>
      <c r="U1056" s="816"/>
      <c r="V1056" s="955"/>
      <c r="W1056" s="815"/>
      <c r="X1056" s="811" t="str">
        <f t="shared" si="80"/>
        <v/>
      </c>
      <c r="Y1056" s="816"/>
      <c r="Z1056" s="816"/>
      <c r="AA1056" s="816"/>
      <c r="AB1056" s="950"/>
      <c r="AD1056" s="817"/>
      <c r="AF1056" s="818"/>
      <c r="AG1056" s="807" t="str">
        <f t="shared" si="81"/>
        <v/>
      </c>
      <c r="AI1056" s="956"/>
      <c r="AJ1056" s="956"/>
      <c r="AK1056" s="836"/>
      <c r="AL1056" s="92"/>
      <c r="AM1056" s="92"/>
      <c r="AN1056" s="816"/>
      <c r="AO1056" s="817"/>
      <c r="AP1056" s="820"/>
      <c r="GO1056" s="92"/>
      <c r="GP1056" s="92"/>
    </row>
    <row r="1057" spans="1:198" s="93" customFormat="1" ht="15">
      <c r="A1057" s="19" t="s">
        <v>7421</v>
      </c>
      <c r="D1057" s="1071" t="s">
        <v>9517</v>
      </c>
      <c r="E1057" s="533" t="s">
        <v>2442</v>
      </c>
      <c r="G1057" s="934"/>
      <c r="H1057" s="809" t="s">
        <v>9525</v>
      </c>
      <c r="I1057" s="92">
        <v>3</v>
      </c>
      <c r="J1057" s="92" t="s">
        <v>10</v>
      </c>
      <c r="K1057" s="92" t="s">
        <v>768</v>
      </c>
      <c r="L1057" s="810">
        <v>0</v>
      </c>
      <c r="M1057" s="811" t="str">
        <f t="shared" ref="M1057:M1088" si="82">IF(ISBLANK(L1057)=TRUE,"",LOOKUP(L1057,GQ:GR))</f>
        <v>No Schooling</v>
      </c>
      <c r="N1057" s="92"/>
      <c r="O1057" s="812"/>
      <c r="P1057" s="1638"/>
      <c r="Q1057" s="812"/>
      <c r="R1057" s="812"/>
      <c r="S1057" s="816"/>
      <c r="T1057" s="816"/>
      <c r="U1057" s="816"/>
      <c r="V1057" s="955">
        <f>SUM(S1049:U1057)</f>
        <v>7100</v>
      </c>
      <c r="W1057" s="815"/>
      <c r="X1057" s="811" t="str">
        <f t="shared" ref="X1057:X1088" si="83">IF(ISBLANK(W1057)=TRUE,"",LOOKUP(W1057,GO:GP))</f>
        <v/>
      </c>
      <c r="Y1057" s="816"/>
      <c r="Z1057" s="816"/>
      <c r="AA1057" s="816"/>
      <c r="AB1057" s="960">
        <f>SUM(Y1049:AA1057)</f>
        <v>3300</v>
      </c>
      <c r="AD1057" s="817"/>
      <c r="AF1057" s="818"/>
      <c r="AG1057" s="807" t="str">
        <f t="shared" si="81"/>
        <v/>
      </c>
      <c r="AI1057" s="956"/>
      <c r="AJ1057" s="956"/>
      <c r="AK1057" s="836"/>
      <c r="AL1057" s="92"/>
      <c r="AM1057" s="92"/>
      <c r="AN1057" s="816"/>
      <c r="AO1057" s="817"/>
      <c r="AP1057" s="820"/>
      <c r="GO1057" s="92"/>
      <c r="GP1057" s="92"/>
    </row>
    <row r="1058" spans="1:198" s="93" customFormat="1" ht="15">
      <c r="A1058" s="19" t="s">
        <v>7421</v>
      </c>
      <c r="B1058" s="752" t="s">
        <v>7685</v>
      </c>
      <c r="C1058" s="133" t="s">
        <v>2456</v>
      </c>
      <c r="D1058" s="1071" t="s">
        <v>9526</v>
      </c>
      <c r="E1058" s="514" t="s">
        <v>2456</v>
      </c>
      <c r="F1058" s="1049" t="s">
        <v>2457</v>
      </c>
      <c r="G1058" s="809" t="s">
        <v>2456</v>
      </c>
      <c r="H1058" s="809" t="s">
        <v>2464</v>
      </c>
      <c r="I1058" s="92">
        <v>62</v>
      </c>
      <c r="J1058" s="92" t="s">
        <v>10</v>
      </c>
      <c r="K1058" s="92" t="s">
        <v>707</v>
      </c>
      <c r="L1058" s="810">
        <v>3</v>
      </c>
      <c r="M1058" s="811" t="str">
        <f t="shared" si="82"/>
        <v>Elementary Graduate</v>
      </c>
      <c r="N1058" s="92" t="s">
        <v>1208</v>
      </c>
      <c r="O1058" s="812" t="s">
        <v>9419</v>
      </c>
      <c r="P1058" s="1638" t="s">
        <v>12608</v>
      </c>
      <c r="Q1058" s="812" t="s">
        <v>9419</v>
      </c>
      <c r="R1058" s="92" t="s">
        <v>8234</v>
      </c>
      <c r="S1058" s="816"/>
      <c r="T1058" s="816"/>
      <c r="U1058" s="816">
        <v>12000</v>
      </c>
      <c r="V1058" s="957"/>
      <c r="W1058" s="815">
        <v>1</v>
      </c>
      <c r="X1058" s="811" t="str">
        <f t="shared" si="83"/>
        <v>within the Brgy</v>
      </c>
      <c r="Y1058" s="816"/>
      <c r="Z1058" s="816"/>
      <c r="AA1058" s="816"/>
      <c r="AB1058" s="958"/>
      <c r="AD1058" s="817" t="s">
        <v>9527</v>
      </c>
      <c r="AE1058" s="92"/>
      <c r="AF1058" s="810"/>
      <c r="AG1058" s="807" t="str">
        <f t="shared" si="81"/>
        <v/>
      </c>
      <c r="AI1058" s="956"/>
      <c r="AJ1058" s="956"/>
      <c r="AK1058" s="836"/>
      <c r="AL1058" s="92"/>
      <c r="AM1058" s="92"/>
      <c r="AN1058" s="816"/>
      <c r="AO1058" s="817"/>
      <c r="AP1058" s="820"/>
      <c r="GO1058" s="92"/>
      <c r="GP1058" s="92"/>
    </row>
    <row r="1059" spans="1:198" s="93" customFormat="1" ht="15">
      <c r="A1059" s="19" t="s">
        <v>7421</v>
      </c>
      <c r="D1059" s="1071" t="s">
        <v>9526</v>
      </c>
      <c r="E1059" s="514" t="s">
        <v>2456</v>
      </c>
      <c r="F1059" s="1048"/>
      <c r="G1059" s="827"/>
      <c r="H1059" s="809" t="s">
        <v>9528</v>
      </c>
      <c r="I1059" s="92">
        <v>68</v>
      </c>
      <c r="J1059" s="92" t="s">
        <v>18</v>
      </c>
      <c r="K1059" s="92" t="s">
        <v>707</v>
      </c>
      <c r="L1059" s="810">
        <v>3</v>
      </c>
      <c r="M1059" s="811" t="str">
        <f t="shared" si="82"/>
        <v>Elementary Graduate</v>
      </c>
      <c r="N1059" s="92"/>
      <c r="O1059" s="812"/>
      <c r="P1059" s="1638"/>
      <c r="Q1059" s="812"/>
      <c r="R1059" s="812"/>
      <c r="S1059" s="816"/>
      <c r="T1059" s="816"/>
      <c r="U1059" s="816"/>
      <c r="V1059" s="957">
        <f>SUM(S1058:U1059)</f>
        <v>12000</v>
      </c>
      <c r="W1059" s="815"/>
      <c r="X1059" s="811" t="str">
        <f t="shared" si="83"/>
        <v/>
      </c>
      <c r="Y1059" s="816"/>
      <c r="Z1059" s="816"/>
      <c r="AA1059" s="816"/>
      <c r="AB1059" s="958">
        <f>SUM(Y1058:AA1059)</f>
        <v>0</v>
      </c>
      <c r="AD1059" s="817" t="s">
        <v>9529</v>
      </c>
      <c r="AE1059" s="92"/>
      <c r="AF1059" s="810"/>
      <c r="AG1059" s="807" t="str">
        <f t="shared" si="81"/>
        <v/>
      </c>
      <c r="AI1059" s="956"/>
      <c r="AJ1059" s="956"/>
      <c r="AK1059" s="836"/>
      <c r="AL1059" s="92"/>
      <c r="AM1059" s="92"/>
      <c r="AN1059" s="816"/>
      <c r="AO1059" s="817"/>
      <c r="AP1059" s="820"/>
      <c r="GO1059" s="92"/>
      <c r="GP1059" s="92"/>
    </row>
    <row r="1060" spans="1:198" ht="15">
      <c r="A1060" s="311" t="s">
        <v>12353</v>
      </c>
      <c r="B1060" s="752" t="s">
        <v>7686</v>
      </c>
      <c r="C1060" s="133" t="s">
        <v>2456</v>
      </c>
      <c r="D1060" s="1069" t="s">
        <v>9530</v>
      </c>
      <c r="E1060" s="514" t="s">
        <v>2456</v>
      </c>
      <c r="F1060" s="1048"/>
      <c r="G1060" s="827"/>
      <c r="H1060" s="809" t="s">
        <v>2969</v>
      </c>
      <c r="I1060" s="92">
        <v>28</v>
      </c>
      <c r="J1060" s="92" t="s">
        <v>10</v>
      </c>
      <c r="K1060" s="92" t="s">
        <v>768</v>
      </c>
      <c r="L1060" s="810">
        <v>5</v>
      </c>
      <c r="M1060" s="811" t="str">
        <f t="shared" si="82"/>
        <v>High School Graduate</v>
      </c>
      <c r="N1060" s="92" t="s">
        <v>1208</v>
      </c>
      <c r="O1060" s="812" t="s">
        <v>2220</v>
      </c>
      <c r="P1060" s="1638" t="s">
        <v>12605</v>
      </c>
      <c r="Q1060" s="812" t="s">
        <v>2220</v>
      </c>
      <c r="R1060" s="92" t="s">
        <v>8234</v>
      </c>
      <c r="T1060" s="813">
        <v>6000</v>
      </c>
      <c r="W1060" s="815">
        <v>1</v>
      </c>
      <c r="X1060" s="811" t="str">
        <f t="shared" si="83"/>
        <v>within the Brgy</v>
      </c>
      <c r="Y1060" s="807"/>
      <c r="AG1060" s="807" t="str">
        <f t="shared" si="81"/>
        <v/>
      </c>
      <c r="AJ1060" s="865"/>
    </row>
    <row r="1061" spans="1:198" ht="15">
      <c r="A1061" s="311" t="s">
        <v>12353</v>
      </c>
      <c r="D1061" s="1069" t="s">
        <v>9530</v>
      </c>
      <c r="E1061" s="514"/>
      <c r="G1061" s="827"/>
      <c r="H1061" s="809" t="s">
        <v>2470</v>
      </c>
      <c r="I1061" s="857"/>
      <c r="J1061" s="92" t="s">
        <v>18</v>
      </c>
      <c r="K1061" s="92" t="s">
        <v>768</v>
      </c>
      <c r="M1061" s="811" t="str">
        <f t="shared" si="82"/>
        <v/>
      </c>
      <c r="P1061" s="1638"/>
      <c r="V1061" s="814">
        <f>SUM(S1060:U1061)</f>
        <v>6000</v>
      </c>
      <c r="X1061" s="811" t="str">
        <f t="shared" si="83"/>
        <v/>
      </c>
      <c r="AB1061" s="940">
        <f>SUM(Y1060:AA1061)</f>
        <v>0</v>
      </c>
      <c r="AG1061" s="807" t="str">
        <f t="shared" si="81"/>
        <v/>
      </c>
      <c r="AJ1061" s="865"/>
    </row>
    <row r="1062" spans="1:198" ht="15">
      <c r="A1062" s="343" t="s">
        <v>7421</v>
      </c>
      <c r="B1062" s="752" t="s">
        <v>7743</v>
      </c>
      <c r="C1062" s="132" t="s">
        <v>2471</v>
      </c>
      <c r="D1062" s="1069" t="s">
        <v>9531</v>
      </c>
      <c r="E1062" s="533" t="s">
        <v>2471</v>
      </c>
      <c r="F1062" s="1048" t="s">
        <v>2484</v>
      </c>
      <c r="G1062" s="809" t="s">
        <v>2471</v>
      </c>
      <c r="H1062" s="809" t="s">
        <v>3744</v>
      </c>
      <c r="I1062" s="92">
        <v>58</v>
      </c>
      <c r="J1062" s="92" t="s">
        <v>18</v>
      </c>
      <c r="K1062" s="92" t="s">
        <v>768</v>
      </c>
      <c r="L1062" s="810">
        <v>3</v>
      </c>
      <c r="M1062" s="811" t="str">
        <f t="shared" si="82"/>
        <v>Elementary Graduate</v>
      </c>
      <c r="N1062" s="92" t="s">
        <v>1208</v>
      </c>
      <c r="O1062" s="812" t="s">
        <v>3703</v>
      </c>
      <c r="P1062" s="1638" t="s">
        <v>12608</v>
      </c>
      <c r="Q1062" s="812" t="s">
        <v>3703</v>
      </c>
      <c r="R1062" s="92" t="s">
        <v>8234</v>
      </c>
      <c r="U1062" s="813">
        <v>2500</v>
      </c>
      <c r="V1062" s="828"/>
      <c r="W1062" s="815">
        <v>1</v>
      </c>
      <c r="X1062" s="811" t="str">
        <f t="shared" si="83"/>
        <v>within the Brgy</v>
      </c>
      <c r="AB1062" s="828">
        <f>SUBTOTAL(9,Y1062:AA1062)</f>
        <v>0</v>
      </c>
      <c r="AG1062" s="807" t="str">
        <f t="shared" si="81"/>
        <v/>
      </c>
      <c r="AJ1062" s="865"/>
      <c r="AO1062" s="817" t="s">
        <v>2477</v>
      </c>
      <c r="BU1062" s="807">
        <v>1</v>
      </c>
      <c r="CO1062" s="807">
        <v>3</v>
      </c>
      <c r="CS1062" s="807">
        <v>2</v>
      </c>
    </row>
    <row r="1063" spans="1:198" ht="15">
      <c r="A1063" s="343" t="s">
        <v>7421</v>
      </c>
      <c r="D1063" s="1069" t="s">
        <v>9531</v>
      </c>
      <c r="E1063" s="533" t="s">
        <v>2471</v>
      </c>
      <c r="G1063" s="827"/>
      <c r="H1063" s="809" t="s">
        <v>9532</v>
      </c>
      <c r="I1063" s="92">
        <v>27</v>
      </c>
      <c r="J1063" s="92" t="s">
        <v>18</v>
      </c>
      <c r="K1063" s="92" t="s">
        <v>768</v>
      </c>
      <c r="L1063" s="810">
        <v>3</v>
      </c>
      <c r="M1063" s="811" t="str">
        <f t="shared" si="82"/>
        <v>Elementary Graduate</v>
      </c>
      <c r="P1063" s="1638"/>
      <c r="V1063" s="828"/>
      <c r="X1063" s="811" t="str">
        <f t="shared" si="83"/>
        <v/>
      </c>
      <c r="AB1063" s="953"/>
      <c r="AG1063" s="807" t="str">
        <f t="shared" si="81"/>
        <v/>
      </c>
      <c r="AJ1063" s="865"/>
    </row>
    <row r="1064" spans="1:198" ht="15">
      <c r="A1064" s="343" t="s">
        <v>7421</v>
      </c>
      <c r="D1064" s="1069" t="s">
        <v>9531</v>
      </c>
      <c r="E1064" s="533" t="s">
        <v>2471</v>
      </c>
      <c r="G1064" s="827"/>
      <c r="H1064" s="809" t="s">
        <v>9533</v>
      </c>
      <c r="I1064" s="92">
        <v>22</v>
      </c>
      <c r="J1064" s="92" t="s">
        <v>18</v>
      </c>
      <c r="K1064" s="92" t="s">
        <v>768</v>
      </c>
      <c r="L1064" s="810">
        <v>4</v>
      </c>
      <c r="M1064" s="811" t="str">
        <f t="shared" si="82"/>
        <v>High School Level</v>
      </c>
      <c r="P1064" s="1638"/>
      <c r="V1064" s="828"/>
      <c r="X1064" s="811" t="str">
        <f t="shared" si="83"/>
        <v/>
      </c>
      <c r="AB1064" s="953"/>
      <c r="AG1064" s="807" t="str">
        <f t="shared" si="81"/>
        <v/>
      </c>
      <c r="AJ1064" s="865"/>
    </row>
    <row r="1065" spans="1:198" ht="15">
      <c r="A1065" s="343" t="s">
        <v>7421</v>
      </c>
      <c r="D1065" s="1069" t="s">
        <v>9531</v>
      </c>
      <c r="E1065" s="533" t="s">
        <v>2471</v>
      </c>
      <c r="G1065" s="827"/>
      <c r="H1065" s="809" t="s">
        <v>9534</v>
      </c>
      <c r="I1065" s="92">
        <v>24</v>
      </c>
      <c r="J1065" s="92" t="s">
        <v>18</v>
      </c>
      <c r="K1065" s="92" t="s">
        <v>768</v>
      </c>
      <c r="L1065" s="810">
        <v>6</v>
      </c>
      <c r="M1065" s="811" t="str">
        <f t="shared" si="82"/>
        <v>College Level</v>
      </c>
      <c r="P1065" s="1638"/>
      <c r="V1065" s="828"/>
      <c r="X1065" s="811" t="str">
        <f t="shared" si="83"/>
        <v/>
      </c>
      <c r="AB1065" s="953"/>
      <c r="AG1065" s="807" t="str">
        <f t="shared" ref="AG1065:AG1083" si="84">IF(ISBLANK(AF1065)=TRUE,"",LOOKUP(AF1065,GS:GT))</f>
        <v/>
      </c>
      <c r="AJ1065" s="865"/>
    </row>
    <row r="1066" spans="1:198" ht="15">
      <c r="A1066" s="343" t="s">
        <v>7421</v>
      </c>
      <c r="D1066" s="1069" t="s">
        <v>9531</v>
      </c>
      <c r="E1066" s="533" t="s">
        <v>2471</v>
      </c>
      <c r="G1066" s="827"/>
      <c r="H1066" s="809" t="s">
        <v>9535</v>
      </c>
      <c r="I1066" s="857"/>
      <c r="J1066" s="92" t="s">
        <v>18</v>
      </c>
      <c r="K1066" s="92" t="s">
        <v>768</v>
      </c>
      <c r="L1066" s="810">
        <v>5</v>
      </c>
      <c r="M1066" s="811" t="str">
        <f t="shared" si="82"/>
        <v>High School Graduate</v>
      </c>
      <c r="P1066" s="1638"/>
      <c r="V1066" s="828"/>
      <c r="X1066" s="811" t="str">
        <f t="shared" si="83"/>
        <v/>
      </c>
      <c r="AB1066" s="953"/>
      <c r="AG1066" s="807" t="str">
        <f t="shared" si="84"/>
        <v/>
      </c>
      <c r="AJ1066" s="865"/>
    </row>
    <row r="1067" spans="1:198" ht="15">
      <c r="A1067" s="343" t="s">
        <v>7421</v>
      </c>
      <c r="D1067" s="1069" t="s">
        <v>9531</v>
      </c>
      <c r="E1067" s="533" t="s">
        <v>2471</v>
      </c>
      <c r="F1067" s="807"/>
      <c r="G1067" s="827"/>
      <c r="H1067" s="809" t="s">
        <v>9536</v>
      </c>
      <c r="I1067" s="857"/>
      <c r="J1067" s="92" t="s">
        <v>18</v>
      </c>
      <c r="K1067" s="92" t="s">
        <v>768</v>
      </c>
      <c r="L1067" s="810">
        <v>5</v>
      </c>
      <c r="M1067" s="811" t="str">
        <f t="shared" si="82"/>
        <v>High School Graduate</v>
      </c>
      <c r="P1067" s="1638"/>
      <c r="V1067" s="828"/>
      <c r="X1067" s="811" t="str">
        <f t="shared" si="83"/>
        <v/>
      </c>
      <c r="AB1067" s="953"/>
      <c r="AG1067" s="807" t="str">
        <f t="shared" si="84"/>
        <v/>
      </c>
      <c r="AJ1067" s="865"/>
    </row>
    <row r="1068" spans="1:198" ht="15">
      <c r="A1068" s="343" t="s">
        <v>7421</v>
      </c>
      <c r="D1068" s="1069" t="s">
        <v>9531</v>
      </c>
      <c r="E1068" s="533" t="s">
        <v>2471</v>
      </c>
      <c r="F1068" s="807"/>
      <c r="G1068" s="827"/>
      <c r="H1068" s="809" t="s">
        <v>9537</v>
      </c>
      <c r="I1068" s="92">
        <v>30</v>
      </c>
      <c r="J1068" s="92" t="s">
        <v>10</v>
      </c>
      <c r="K1068" s="92" t="s">
        <v>768</v>
      </c>
      <c r="L1068" s="810">
        <v>3</v>
      </c>
      <c r="M1068" s="811" t="str">
        <f t="shared" si="82"/>
        <v>Elementary Graduate</v>
      </c>
      <c r="P1068" s="1638"/>
      <c r="V1068" s="828">
        <f>SUM(S1062:U1068)</f>
        <v>2500</v>
      </c>
      <c r="X1068" s="811" t="str">
        <f t="shared" si="83"/>
        <v/>
      </c>
      <c r="AB1068" s="953">
        <f>SUM(Y1062:AA1068)</f>
        <v>0</v>
      </c>
      <c r="AG1068" s="807" t="str">
        <f t="shared" si="84"/>
        <v/>
      </c>
      <c r="AJ1068" s="865"/>
    </row>
    <row r="1069" spans="1:198" ht="15">
      <c r="D1069" s="1069" t="s">
        <v>9538</v>
      </c>
      <c r="E1069" s="807"/>
      <c r="F1069" s="807"/>
      <c r="G1069" s="809" t="s">
        <v>2471</v>
      </c>
      <c r="H1069" s="809" t="s">
        <v>2484</v>
      </c>
      <c r="I1069" s="92">
        <v>53</v>
      </c>
      <c r="J1069" s="92" t="s">
        <v>10</v>
      </c>
      <c r="K1069" s="92" t="s">
        <v>707</v>
      </c>
      <c r="L1069" s="810">
        <v>2</v>
      </c>
      <c r="M1069" s="811" t="str">
        <f t="shared" si="82"/>
        <v>Elementary Level</v>
      </c>
      <c r="N1069" s="92" t="s">
        <v>1208</v>
      </c>
      <c r="O1069" s="812" t="s">
        <v>9539</v>
      </c>
      <c r="P1069" s="1638"/>
      <c r="Q1069" s="812" t="s">
        <v>9539</v>
      </c>
      <c r="R1069" s="92" t="s">
        <v>8234</v>
      </c>
      <c r="U1069" s="813">
        <v>2400</v>
      </c>
      <c r="V1069" s="873"/>
      <c r="W1069" s="815">
        <v>1</v>
      </c>
      <c r="X1069" s="811" t="str">
        <f t="shared" si="83"/>
        <v>within the Brgy</v>
      </c>
      <c r="AB1069" s="873"/>
      <c r="AG1069" s="807" t="str">
        <f t="shared" si="84"/>
        <v/>
      </c>
      <c r="AJ1069" s="865"/>
    </row>
    <row r="1070" spans="1:198" ht="15">
      <c r="D1070" s="1069"/>
      <c r="E1070" s="807"/>
      <c r="F1070" s="807"/>
      <c r="H1070" s="809" t="s">
        <v>9540</v>
      </c>
      <c r="I1070" s="92">
        <v>47</v>
      </c>
      <c r="J1070" s="92" t="s">
        <v>18</v>
      </c>
      <c r="K1070" s="92" t="s">
        <v>707</v>
      </c>
      <c r="L1070" s="810">
        <v>2</v>
      </c>
      <c r="M1070" s="811" t="str">
        <f t="shared" si="82"/>
        <v>Elementary Level</v>
      </c>
      <c r="N1070" s="92" t="s">
        <v>1208</v>
      </c>
      <c r="O1070" s="812" t="s">
        <v>2243</v>
      </c>
      <c r="P1070" s="1638"/>
      <c r="Q1070" s="812" t="s">
        <v>2243</v>
      </c>
      <c r="U1070" s="813">
        <v>4000</v>
      </c>
      <c r="V1070" s="873"/>
      <c r="W1070" s="815">
        <v>1</v>
      </c>
      <c r="X1070" s="811" t="str">
        <f t="shared" si="83"/>
        <v>within the Brgy</v>
      </c>
      <c r="AB1070" s="873"/>
      <c r="AG1070" s="807" t="str">
        <f t="shared" si="84"/>
        <v/>
      </c>
      <c r="AJ1070" s="865"/>
    </row>
    <row r="1071" spans="1:198" ht="15">
      <c r="D1071" s="1069"/>
      <c r="E1071" s="807"/>
      <c r="F1071" s="807"/>
      <c r="H1071" s="809" t="s">
        <v>9541</v>
      </c>
      <c r="I1071" s="92">
        <v>27</v>
      </c>
      <c r="J1071" s="92" t="s">
        <v>18</v>
      </c>
      <c r="K1071" s="92" t="s">
        <v>707</v>
      </c>
      <c r="L1071" s="810">
        <v>5</v>
      </c>
      <c r="M1071" s="811" t="str">
        <f t="shared" si="82"/>
        <v>High School Graduate</v>
      </c>
      <c r="P1071" s="1638"/>
      <c r="V1071" s="873"/>
      <c r="X1071" s="811" t="str">
        <f t="shared" si="83"/>
        <v/>
      </c>
      <c r="AB1071" s="873"/>
      <c r="AG1071" s="807" t="str">
        <f t="shared" si="84"/>
        <v/>
      </c>
      <c r="AJ1071" s="865"/>
    </row>
    <row r="1072" spans="1:198" ht="15">
      <c r="D1072" s="1069"/>
      <c r="E1072" s="807"/>
      <c r="F1072" s="807"/>
      <c r="H1072" s="809" t="s">
        <v>9542</v>
      </c>
      <c r="I1072" s="92">
        <v>37</v>
      </c>
      <c r="J1072" s="92" t="s">
        <v>10</v>
      </c>
      <c r="K1072" s="92" t="s">
        <v>707</v>
      </c>
      <c r="L1072" s="810">
        <v>4</v>
      </c>
      <c r="M1072" s="811" t="str">
        <f t="shared" si="82"/>
        <v>High School Level</v>
      </c>
      <c r="N1072" s="92" t="s">
        <v>1208</v>
      </c>
      <c r="O1072" s="812" t="s">
        <v>2968</v>
      </c>
      <c r="P1072" s="1638"/>
      <c r="Q1072" s="812" t="s">
        <v>2968</v>
      </c>
      <c r="U1072" s="813">
        <v>12000</v>
      </c>
      <c r="V1072" s="873"/>
      <c r="W1072" s="815">
        <v>1</v>
      </c>
      <c r="X1072" s="811" t="str">
        <f t="shared" si="83"/>
        <v>within the Brgy</v>
      </c>
      <c r="AB1072" s="873"/>
      <c r="AG1072" s="807" t="str">
        <f t="shared" si="84"/>
        <v/>
      </c>
      <c r="AJ1072" s="865"/>
    </row>
    <row r="1073" spans="1:36" ht="15">
      <c r="D1073" s="1069"/>
      <c r="E1073" s="807"/>
      <c r="F1073" s="807"/>
      <c r="H1073" s="809" t="s">
        <v>9543</v>
      </c>
      <c r="I1073" s="92">
        <v>17</v>
      </c>
      <c r="J1073" s="92" t="s">
        <v>18</v>
      </c>
      <c r="K1073" s="92" t="s">
        <v>722</v>
      </c>
      <c r="L1073" s="810">
        <v>4</v>
      </c>
      <c r="M1073" s="811" t="str">
        <f t="shared" si="82"/>
        <v>High School Level</v>
      </c>
      <c r="P1073" s="1638"/>
      <c r="V1073" s="873"/>
      <c r="X1073" s="811" t="str">
        <f t="shared" si="83"/>
        <v/>
      </c>
      <c r="AB1073" s="873"/>
      <c r="AG1073" s="807" t="str">
        <f t="shared" si="84"/>
        <v/>
      </c>
      <c r="AJ1073" s="865"/>
    </row>
    <row r="1074" spans="1:36" ht="15">
      <c r="A1074" s="17"/>
      <c r="B1074" s="752"/>
      <c r="C1074" s="17"/>
      <c r="D1074" s="1069"/>
      <c r="E1074" s="807"/>
      <c r="F1074" s="807"/>
      <c r="H1074" s="809" t="s">
        <v>9544</v>
      </c>
      <c r="I1074" s="92">
        <v>25</v>
      </c>
      <c r="J1074" s="92" t="s">
        <v>10</v>
      </c>
      <c r="K1074" s="92" t="s">
        <v>722</v>
      </c>
      <c r="L1074" s="810">
        <v>4</v>
      </c>
      <c r="M1074" s="811" t="str">
        <f t="shared" si="82"/>
        <v>High School Level</v>
      </c>
      <c r="N1074" s="92" t="s">
        <v>1208</v>
      </c>
      <c r="O1074" s="812" t="s">
        <v>2198</v>
      </c>
      <c r="P1074" s="1638"/>
      <c r="Q1074" s="812" t="s">
        <v>2198</v>
      </c>
      <c r="S1074" s="813">
        <v>11250</v>
      </c>
      <c r="U1074" s="807"/>
      <c r="V1074" s="873"/>
      <c r="W1074" s="815">
        <v>2</v>
      </c>
      <c r="X1074" s="811" t="str">
        <f t="shared" si="83"/>
        <v>within the Municipality/City</v>
      </c>
      <c r="Y1074" s="816">
        <v>960</v>
      </c>
      <c r="AB1074" s="873"/>
      <c r="AG1074" s="807" t="str">
        <f t="shared" si="84"/>
        <v/>
      </c>
      <c r="AJ1074" s="865"/>
    </row>
    <row r="1075" spans="1:36" ht="15">
      <c r="A1075" s="17"/>
      <c r="B1075" s="752"/>
      <c r="C1075" s="17"/>
      <c r="D1075" s="1069"/>
      <c r="E1075" s="807"/>
      <c r="F1075" s="807"/>
      <c r="H1075" s="809" t="s">
        <v>9545</v>
      </c>
      <c r="I1075" s="92">
        <v>20</v>
      </c>
      <c r="J1075" s="92" t="s">
        <v>18</v>
      </c>
      <c r="K1075" s="92" t="s">
        <v>768</v>
      </c>
      <c r="L1075" s="810">
        <v>4</v>
      </c>
      <c r="M1075" s="811" t="str">
        <f t="shared" si="82"/>
        <v>High School Level</v>
      </c>
      <c r="P1075" s="1638"/>
      <c r="V1075" s="873"/>
      <c r="X1075" s="811" t="str">
        <f t="shared" si="83"/>
        <v/>
      </c>
      <c r="AB1075" s="873"/>
      <c r="AG1075" s="807" t="str">
        <f t="shared" si="84"/>
        <v/>
      </c>
      <c r="AJ1075" s="865"/>
    </row>
    <row r="1076" spans="1:36" ht="15">
      <c r="A1076" s="17"/>
      <c r="B1076" s="752"/>
      <c r="C1076" s="17"/>
      <c r="D1076" s="1069"/>
      <c r="E1076" s="807"/>
      <c r="F1076" s="807"/>
      <c r="H1076" s="809" t="s">
        <v>9546</v>
      </c>
      <c r="I1076" s="92">
        <f>11/12</f>
        <v>0.91666666666666663</v>
      </c>
      <c r="J1076" s="92" t="s">
        <v>18</v>
      </c>
      <c r="K1076" s="92" t="s">
        <v>768</v>
      </c>
      <c r="L1076" s="810">
        <v>10</v>
      </c>
      <c r="M1076" s="811" t="str">
        <f t="shared" si="82"/>
        <v>Not In School Age</v>
      </c>
      <c r="P1076" s="1638"/>
      <c r="V1076" s="873"/>
      <c r="X1076" s="811" t="str">
        <f t="shared" si="83"/>
        <v/>
      </c>
      <c r="AB1076" s="873"/>
      <c r="AG1076" s="807" t="str">
        <f t="shared" si="84"/>
        <v/>
      </c>
      <c r="AJ1076" s="865"/>
    </row>
    <row r="1077" spans="1:36" ht="15">
      <c r="A1077" s="17"/>
      <c r="B1077" s="752"/>
      <c r="C1077" s="17"/>
      <c r="D1077" s="1069"/>
      <c r="E1077" s="807"/>
      <c r="F1077" s="807"/>
      <c r="H1077" s="809" t="s">
        <v>9547</v>
      </c>
      <c r="I1077" s="92">
        <v>7</v>
      </c>
      <c r="J1077" s="92" t="s">
        <v>10</v>
      </c>
      <c r="K1077" s="92" t="s">
        <v>768</v>
      </c>
      <c r="L1077" s="810">
        <v>2</v>
      </c>
      <c r="M1077" s="811" t="str">
        <f t="shared" si="82"/>
        <v>Elementary Level</v>
      </c>
      <c r="P1077" s="1638"/>
      <c r="V1077" s="873"/>
      <c r="X1077" s="811" t="str">
        <f t="shared" si="83"/>
        <v/>
      </c>
      <c r="AB1077" s="873"/>
      <c r="AG1077" s="807" t="str">
        <f t="shared" si="84"/>
        <v/>
      </c>
      <c r="AJ1077" s="865"/>
    </row>
    <row r="1078" spans="1:36" ht="15">
      <c r="A1078" s="17"/>
      <c r="B1078" s="752"/>
      <c r="C1078" s="17"/>
      <c r="D1078" s="1069"/>
      <c r="E1078" s="807"/>
      <c r="F1078" s="807"/>
      <c r="H1078" s="809" t="s">
        <v>9548</v>
      </c>
      <c r="I1078" s="92">
        <v>26</v>
      </c>
      <c r="J1078" s="92" t="s">
        <v>10</v>
      </c>
      <c r="K1078" s="92" t="s">
        <v>768</v>
      </c>
      <c r="L1078" s="810">
        <v>5</v>
      </c>
      <c r="M1078" s="811" t="str">
        <f t="shared" si="82"/>
        <v>High School Graduate</v>
      </c>
      <c r="N1078" s="92" t="s">
        <v>1208</v>
      </c>
      <c r="O1078" s="812" t="s">
        <v>2968</v>
      </c>
      <c r="P1078" s="1638"/>
      <c r="Q1078" s="812" t="s">
        <v>2968</v>
      </c>
      <c r="U1078" s="813">
        <v>4200</v>
      </c>
      <c r="V1078" s="873"/>
      <c r="W1078" s="815">
        <v>1</v>
      </c>
      <c r="X1078" s="811" t="str">
        <f t="shared" si="83"/>
        <v>within the Brgy</v>
      </c>
      <c r="AB1078" s="873"/>
      <c r="AG1078" s="807" t="str">
        <f t="shared" si="84"/>
        <v/>
      </c>
      <c r="AJ1078" s="865"/>
    </row>
    <row r="1079" spans="1:36" ht="15">
      <c r="A1079" s="17"/>
      <c r="B1079" s="752"/>
      <c r="C1079" s="17"/>
      <c r="D1079" s="1069"/>
      <c r="E1079" s="807"/>
      <c r="F1079" s="807"/>
      <c r="H1079" s="809" t="s">
        <v>9549</v>
      </c>
      <c r="I1079" s="92">
        <v>3</v>
      </c>
      <c r="J1079" s="92" t="s">
        <v>18</v>
      </c>
      <c r="K1079" s="92" t="s">
        <v>768</v>
      </c>
      <c r="L1079" s="810">
        <v>10</v>
      </c>
      <c r="M1079" s="811" t="str">
        <f t="shared" si="82"/>
        <v>Not In School Age</v>
      </c>
      <c r="P1079" s="1638"/>
      <c r="V1079" s="873"/>
      <c r="X1079" s="811" t="str">
        <f t="shared" si="83"/>
        <v/>
      </c>
      <c r="AB1079" s="873"/>
      <c r="AG1079" s="807" t="str">
        <f t="shared" si="84"/>
        <v/>
      </c>
      <c r="AJ1079" s="865"/>
    </row>
    <row r="1080" spans="1:36" ht="15">
      <c r="A1080" s="17"/>
      <c r="B1080" s="752"/>
      <c r="C1080" s="17"/>
      <c r="D1080" s="1069"/>
      <c r="E1080" s="807"/>
      <c r="F1080" s="807"/>
      <c r="H1080" s="809" t="s">
        <v>9550</v>
      </c>
      <c r="I1080" s="92">
        <v>16</v>
      </c>
      <c r="J1080" s="92" t="s">
        <v>18</v>
      </c>
      <c r="K1080" s="92" t="s">
        <v>768</v>
      </c>
      <c r="L1080" s="810">
        <v>4</v>
      </c>
      <c r="M1080" s="811" t="str">
        <f t="shared" si="82"/>
        <v>High School Level</v>
      </c>
      <c r="P1080" s="1638"/>
      <c r="V1080" s="873"/>
      <c r="X1080" s="811" t="str">
        <f t="shared" si="83"/>
        <v/>
      </c>
      <c r="AB1080" s="873"/>
      <c r="AG1080" s="807" t="str">
        <f t="shared" si="84"/>
        <v/>
      </c>
      <c r="AJ1080" s="865"/>
    </row>
    <row r="1081" spans="1:36" ht="15">
      <c r="A1081" s="17"/>
      <c r="B1081" s="127"/>
      <c r="C1081" s="771"/>
      <c r="D1081" s="1069"/>
      <c r="E1081" s="807"/>
      <c r="F1081" s="807"/>
      <c r="H1081" s="809" t="s">
        <v>9551</v>
      </c>
      <c r="I1081" s="92">
        <v>13</v>
      </c>
      <c r="J1081" s="92" t="s">
        <v>10</v>
      </c>
      <c r="K1081" s="92" t="s">
        <v>768</v>
      </c>
      <c r="L1081" s="810">
        <v>2</v>
      </c>
      <c r="M1081" s="811" t="str">
        <f t="shared" si="82"/>
        <v>Elementary Level</v>
      </c>
      <c r="P1081" s="1638"/>
      <c r="V1081" s="873">
        <f>SUBTOTAL(9,S1063:U1081)</f>
        <v>33850</v>
      </c>
      <c r="X1081" s="811" t="str">
        <f t="shared" si="83"/>
        <v/>
      </c>
      <c r="AB1081" s="873">
        <f>SUBTOTAL(9,Y1063:AA1081)</f>
        <v>960</v>
      </c>
      <c r="AG1081" s="807" t="str">
        <f t="shared" si="84"/>
        <v/>
      </c>
      <c r="AJ1081" s="865"/>
    </row>
    <row r="1082" spans="1:36" ht="15">
      <c r="A1082" s="19" t="s">
        <v>7421</v>
      </c>
      <c r="B1082" s="752" t="s">
        <v>7687</v>
      </c>
      <c r="C1082" s="132" t="s">
        <v>2486</v>
      </c>
      <c r="D1082" s="1069" t="s">
        <v>2486</v>
      </c>
      <c r="E1082" s="807"/>
      <c r="F1082" s="807"/>
      <c r="G1082" s="807" t="s">
        <v>2486</v>
      </c>
      <c r="H1082" s="807" t="s">
        <v>12360</v>
      </c>
      <c r="I1082" s="93">
        <v>34</v>
      </c>
      <c r="J1082" s="807" t="s">
        <v>10</v>
      </c>
      <c r="K1082" s="93" t="s">
        <v>707</v>
      </c>
      <c r="L1082" s="810">
        <v>8</v>
      </c>
      <c r="M1082" s="811" t="str">
        <f t="shared" si="82"/>
        <v>Vocational Level</v>
      </c>
      <c r="N1082" s="92" t="s">
        <v>1208</v>
      </c>
      <c r="O1082" s="812" t="s">
        <v>1985</v>
      </c>
      <c r="P1082" s="1638" t="s">
        <v>12606</v>
      </c>
      <c r="Q1082" s="812" t="s">
        <v>1985</v>
      </c>
      <c r="R1082" s="92" t="s">
        <v>8234</v>
      </c>
      <c r="S1082" s="813">
        <v>14580</v>
      </c>
      <c r="V1082" s="961"/>
      <c r="W1082" s="815">
        <v>3</v>
      </c>
      <c r="X1082" s="811" t="str">
        <f t="shared" si="83"/>
        <v>within the Province</v>
      </c>
      <c r="Y1082" s="816">
        <v>1440</v>
      </c>
      <c r="AB1082" s="961"/>
      <c r="AG1082" s="807" t="str">
        <f t="shared" si="84"/>
        <v/>
      </c>
      <c r="AJ1082" s="865"/>
    </row>
    <row r="1083" spans="1:36" ht="15">
      <c r="A1083" s="19" t="s">
        <v>7421</v>
      </c>
      <c r="D1083" s="1069" t="s">
        <v>2486</v>
      </c>
      <c r="E1083" s="533" t="s">
        <v>2486</v>
      </c>
      <c r="F1083" s="1048" t="s">
        <v>3745</v>
      </c>
      <c r="G1083" s="827"/>
      <c r="H1083" s="809" t="s">
        <v>12361</v>
      </c>
      <c r="I1083" s="92">
        <v>10</v>
      </c>
      <c r="J1083" s="92" t="s">
        <v>18</v>
      </c>
      <c r="K1083" s="92" t="s">
        <v>707</v>
      </c>
      <c r="L1083" s="810">
        <v>7</v>
      </c>
      <c r="M1083" s="811" t="str">
        <f t="shared" si="82"/>
        <v>College Graduate or Higher</v>
      </c>
      <c r="N1083" s="92" t="s">
        <v>1208</v>
      </c>
      <c r="O1083" s="812" t="s">
        <v>1985</v>
      </c>
      <c r="P1083" s="1638"/>
      <c r="Q1083" s="812" t="s">
        <v>1985</v>
      </c>
      <c r="R1083" s="812" t="s">
        <v>10434</v>
      </c>
      <c r="S1083" s="813">
        <v>14580</v>
      </c>
      <c r="V1083" s="961"/>
      <c r="W1083" s="815">
        <v>3</v>
      </c>
      <c r="X1083" s="811" t="str">
        <f t="shared" si="83"/>
        <v>within the Province</v>
      </c>
      <c r="Y1083" s="816">
        <v>3540</v>
      </c>
      <c r="AB1083" s="961"/>
      <c r="AG1083" s="807" t="str">
        <f t="shared" si="84"/>
        <v/>
      </c>
      <c r="AJ1083" s="865"/>
    </row>
    <row r="1084" spans="1:36" ht="15">
      <c r="A1084" s="19" t="s">
        <v>7421</v>
      </c>
      <c r="D1084" s="1069" t="s">
        <v>2486</v>
      </c>
      <c r="E1084" s="807"/>
      <c r="F1084" s="807"/>
      <c r="G1084" s="827"/>
      <c r="H1084" s="809" t="s">
        <v>12362</v>
      </c>
      <c r="I1084" s="92">
        <v>5</v>
      </c>
      <c r="J1084" s="92" t="s">
        <v>10</v>
      </c>
      <c r="K1084" s="92" t="s">
        <v>768</v>
      </c>
      <c r="L1084" s="810">
        <v>2</v>
      </c>
      <c r="M1084" s="811" t="str">
        <f t="shared" si="82"/>
        <v>Elementary Level</v>
      </c>
      <c r="P1084" s="1638"/>
      <c r="V1084" s="961"/>
      <c r="X1084" s="811" t="str">
        <f t="shared" si="83"/>
        <v/>
      </c>
      <c r="AB1084" s="961"/>
      <c r="AG1084" s="807"/>
      <c r="AJ1084" s="865"/>
    </row>
    <row r="1085" spans="1:36" ht="15">
      <c r="A1085" s="19" t="s">
        <v>7421</v>
      </c>
      <c r="D1085" s="1069" t="s">
        <v>2486</v>
      </c>
      <c r="E1085" s="807"/>
      <c r="F1085" s="807"/>
      <c r="G1085" s="827"/>
      <c r="H1085" s="809" t="s">
        <v>12363</v>
      </c>
      <c r="I1085" s="92">
        <v>30</v>
      </c>
      <c r="J1085" s="92" t="s">
        <v>10</v>
      </c>
      <c r="K1085" s="92" t="s">
        <v>768</v>
      </c>
      <c r="L1085" s="810">
        <v>2</v>
      </c>
      <c r="M1085" s="811" t="str">
        <f t="shared" si="82"/>
        <v>Elementary Level</v>
      </c>
      <c r="P1085" s="1638"/>
      <c r="V1085" s="961"/>
      <c r="X1085" s="811" t="str">
        <f t="shared" si="83"/>
        <v/>
      </c>
      <c r="AB1085" s="961"/>
      <c r="AG1085" s="807"/>
      <c r="AJ1085" s="865"/>
    </row>
    <row r="1086" spans="1:36" ht="15">
      <c r="A1086" s="19" t="s">
        <v>7421</v>
      </c>
      <c r="D1086" s="1069" t="s">
        <v>2486</v>
      </c>
      <c r="E1086" s="807"/>
      <c r="F1086" s="807"/>
      <c r="G1086" s="827"/>
      <c r="H1086" s="809" t="s">
        <v>12364</v>
      </c>
      <c r="I1086" s="92">
        <v>30</v>
      </c>
      <c r="J1086" s="92" t="s">
        <v>10</v>
      </c>
      <c r="K1086" s="92" t="s">
        <v>768</v>
      </c>
      <c r="L1086" s="810">
        <v>6</v>
      </c>
      <c r="M1086" s="811" t="str">
        <f t="shared" si="82"/>
        <v>College Level</v>
      </c>
      <c r="P1086" s="1638"/>
      <c r="V1086" s="961"/>
      <c r="X1086" s="811" t="str">
        <f t="shared" si="83"/>
        <v/>
      </c>
      <c r="AB1086" s="961"/>
      <c r="AG1086" s="807"/>
      <c r="AJ1086" s="865"/>
    </row>
    <row r="1087" spans="1:36" ht="15">
      <c r="A1087" s="19" t="s">
        <v>7421</v>
      </c>
      <c r="D1087" s="1069" t="s">
        <v>2486</v>
      </c>
      <c r="E1087" s="807"/>
      <c r="F1087" s="807"/>
      <c r="G1087" s="827"/>
      <c r="H1087" s="809" t="s">
        <v>9552</v>
      </c>
      <c r="I1087" s="92">
        <v>35</v>
      </c>
      <c r="J1087" s="92" t="s">
        <v>18</v>
      </c>
      <c r="K1087" s="92" t="s">
        <v>768</v>
      </c>
      <c r="L1087" s="810">
        <v>7</v>
      </c>
      <c r="M1087" s="811" t="str">
        <f t="shared" si="82"/>
        <v>College Graduate or Higher</v>
      </c>
      <c r="N1087" s="92" t="s">
        <v>1208</v>
      </c>
      <c r="O1087" s="812" t="s">
        <v>1985</v>
      </c>
      <c r="P1087" s="1638"/>
      <c r="Q1087" s="812" t="s">
        <v>1985</v>
      </c>
      <c r="R1087" s="812" t="s">
        <v>10310</v>
      </c>
      <c r="S1087" s="813">
        <v>14580</v>
      </c>
      <c r="V1087" s="961"/>
      <c r="W1087" s="815">
        <v>3</v>
      </c>
      <c r="X1087" s="811" t="str">
        <f t="shared" si="83"/>
        <v>within the Province</v>
      </c>
      <c r="Y1087" s="816">
        <v>2400</v>
      </c>
      <c r="AB1087" s="961"/>
      <c r="AG1087" s="807"/>
      <c r="AJ1087" s="865"/>
    </row>
    <row r="1088" spans="1:36" ht="15">
      <c r="A1088" s="19" t="s">
        <v>7421</v>
      </c>
      <c r="D1088" s="1069" t="s">
        <v>2486</v>
      </c>
      <c r="E1088" s="807"/>
      <c r="F1088" s="807"/>
      <c r="G1088" s="827"/>
      <c r="H1088" s="809" t="s">
        <v>9553</v>
      </c>
      <c r="I1088" s="92">
        <v>14</v>
      </c>
      <c r="J1088" s="92" t="s">
        <v>18</v>
      </c>
      <c r="K1088" s="92" t="s">
        <v>768</v>
      </c>
      <c r="L1088" s="810">
        <v>4</v>
      </c>
      <c r="M1088" s="811" t="str">
        <f t="shared" si="82"/>
        <v>High School Level</v>
      </c>
      <c r="P1088" s="1638"/>
      <c r="V1088" s="961">
        <f>SUM(S1082:U1088)</f>
        <v>43740</v>
      </c>
      <c r="X1088" s="811" t="str">
        <f t="shared" si="83"/>
        <v/>
      </c>
      <c r="AB1088" s="961">
        <f>SUM(Y1082:AA1088)</f>
        <v>7380</v>
      </c>
      <c r="AG1088" s="807"/>
      <c r="AJ1088" s="865"/>
    </row>
    <row r="1089" spans="4:42" ht="15">
      <c r="D1089" s="1069" t="s">
        <v>2497</v>
      </c>
      <c r="E1089" s="533" t="s">
        <v>2486</v>
      </c>
      <c r="G1089" s="846" t="s">
        <v>2497</v>
      </c>
      <c r="H1089" s="809" t="s">
        <v>9554</v>
      </c>
      <c r="I1089" s="92">
        <v>62</v>
      </c>
      <c r="J1089" s="92" t="s">
        <v>10</v>
      </c>
      <c r="K1089" s="92" t="s">
        <v>707</v>
      </c>
      <c r="L1089" s="810">
        <v>3</v>
      </c>
      <c r="M1089" s="811" t="str">
        <f t="shared" ref="M1089:M1094" si="85">IF(ISBLANK(L1089)=TRUE,"",LOOKUP(L1089,GQ:GR))</f>
        <v>Elementary Graduate</v>
      </c>
      <c r="N1089" s="92" t="s">
        <v>1208</v>
      </c>
      <c r="O1089" s="812" t="s">
        <v>1898</v>
      </c>
      <c r="P1089" s="1638"/>
      <c r="Q1089" s="812" t="s">
        <v>1898</v>
      </c>
      <c r="R1089" s="812" t="s">
        <v>8234</v>
      </c>
      <c r="U1089" s="813">
        <f>400*30</f>
        <v>12000</v>
      </c>
      <c r="V1089" s="873"/>
      <c r="X1089" s="811" t="str">
        <f t="shared" ref="X1089:X1120" si="86">IF(ISBLANK(W1089)=TRUE,"",LOOKUP(W1089,GO:GP))</f>
        <v/>
      </c>
      <c r="AB1089" s="836"/>
    </row>
    <row r="1090" spans="4:42" ht="15">
      <c r="D1090" s="1069"/>
      <c r="E1090" s="533"/>
      <c r="G1090" s="846"/>
      <c r="H1090" s="809" t="s">
        <v>9528</v>
      </c>
      <c r="I1090" s="92">
        <v>68</v>
      </c>
      <c r="J1090" s="92" t="s">
        <v>18</v>
      </c>
      <c r="K1090" s="92" t="s">
        <v>707</v>
      </c>
      <c r="L1090" s="810">
        <v>3</v>
      </c>
      <c r="M1090" s="811" t="str">
        <f t="shared" si="85"/>
        <v>Elementary Graduate</v>
      </c>
      <c r="P1090" s="1638"/>
      <c r="V1090" s="873"/>
      <c r="W1090" s="815">
        <v>1</v>
      </c>
      <c r="X1090" s="811" t="str">
        <f t="shared" si="86"/>
        <v>within the Brgy</v>
      </c>
      <c r="Y1090" s="816">
        <v>500</v>
      </c>
      <c r="AB1090" s="873"/>
      <c r="AD1090" s="809" t="s">
        <v>9555</v>
      </c>
      <c r="AG1090" s="807"/>
      <c r="AJ1090" s="865"/>
      <c r="AO1090" s="817" t="s">
        <v>2498</v>
      </c>
      <c r="AP1090" s="820">
        <v>3000</v>
      </c>
    </row>
    <row r="1091" spans="4:42" ht="15">
      <c r="D1091" s="1069"/>
      <c r="E1091" s="533" t="s">
        <v>2486</v>
      </c>
      <c r="G1091" s="827"/>
      <c r="H1091" s="809" t="s">
        <v>2969</v>
      </c>
      <c r="I1091" s="92">
        <v>28</v>
      </c>
      <c r="J1091" s="92" t="s">
        <v>10</v>
      </c>
      <c r="K1091" s="92" t="s">
        <v>722</v>
      </c>
      <c r="L1091" s="810">
        <v>4</v>
      </c>
      <c r="M1091" s="811" t="str">
        <f t="shared" si="85"/>
        <v>High School Level</v>
      </c>
      <c r="N1091" s="92" t="s">
        <v>1208</v>
      </c>
      <c r="O1091" s="812" t="s">
        <v>2220</v>
      </c>
      <c r="P1091" s="1638"/>
      <c r="Q1091" s="812" t="s">
        <v>2220</v>
      </c>
      <c r="R1091" s="812" t="s">
        <v>8285</v>
      </c>
      <c r="U1091" s="813">
        <f>300*30</f>
        <v>9000</v>
      </c>
      <c r="V1091" s="873"/>
      <c r="X1091" s="811" t="str">
        <f t="shared" si="86"/>
        <v/>
      </c>
      <c r="AB1091" s="873"/>
      <c r="AD1091" s="809" t="s">
        <v>9529</v>
      </c>
      <c r="AG1091" s="807"/>
      <c r="AJ1091" s="865"/>
    </row>
    <row r="1092" spans="4:42" ht="15">
      <c r="D1092" s="1069"/>
      <c r="E1092" s="533" t="s">
        <v>2486</v>
      </c>
      <c r="G1092" s="827"/>
      <c r="H1092" s="809" t="s">
        <v>9556</v>
      </c>
      <c r="I1092" s="92">
        <v>28</v>
      </c>
      <c r="J1092" s="92" t="s">
        <v>18</v>
      </c>
      <c r="K1092" s="92" t="s">
        <v>722</v>
      </c>
      <c r="L1092" s="810">
        <v>5</v>
      </c>
      <c r="M1092" s="811" t="str">
        <f t="shared" si="85"/>
        <v>High School Graduate</v>
      </c>
      <c r="P1092" s="1638"/>
      <c r="V1092" s="873"/>
      <c r="W1092" s="815">
        <v>1</v>
      </c>
      <c r="X1092" s="811" t="str">
        <f t="shared" si="86"/>
        <v>within the Brgy</v>
      </c>
      <c r="AB1092" s="873"/>
      <c r="AG1092" s="807"/>
      <c r="AJ1092" s="865"/>
    </row>
    <row r="1093" spans="4:42" ht="15">
      <c r="D1093" s="1069"/>
      <c r="E1093" s="533" t="s">
        <v>2486</v>
      </c>
      <c r="G1093" s="827"/>
      <c r="H1093" s="809" t="s">
        <v>9557</v>
      </c>
      <c r="I1093" s="92">
        <v>8</v>
      </c>
      <c r="J1093" s="92" t="s">
        <v>10</v>
      </c>
      <c r="K1093" s="92" t="s">
        <v>768</v>
      </c>
      <c r="L1093" s="810">
        <v>2</v>
      </c>
      <c r="M1093" s="811" t="str">
        <f t="shared" si="85"/>
        <v>Elementary Level</v>
      </c>
      <c r="P1093" s="1638"/>
      <c r="V1093" s="873"/>
      <c r="X1093" s="811" t="str">
        <f t="shared" si="86"/>
        <v/>
      </c>
      <c r="AB1093" s="873"/>
      <c r="AG1093" s="807"/>
      <c r="AJ1093" s="865"/>
    </row>
    <row r="1094" spans="4:42" ht="15">
      <c r="D1094" s="1069"/>
      <c r="E1094" s="533" t="s">
        <v>2486</v>
      </c>
      <c r="G1094" s="827"/>
      <c r="H1094" s="809" t="s">
        <v>9558</v>
      </c>
      <c r="I1094" s="92">
        <v>5</v>
      </c>
      <c r="J1094" s="92" t="s">
        <v>18</v>
      </c>
      <c r="K1094" s="92" t="s">
        <v>768</v>
      </c>
      <c r="L1094" s="810">
        <v>1</v>
      </c>
      <c r="M1094" s="811" t="str">
        <f t="shared" si="85"/>
        <v>Pre-school</v>
      </c>
      <c r="P1094" s="1638"/>
      <c r="V1094" s="873"/>
      <c r="X1094" s="811" t="str">
        <f t="shared" si="86"/>
        <v/>
      </c>
      <c r="AB1094" s="873"/>
      <c r="AG1094" s="807"/>
      <c r="AJ1094" s="865"/>
    </row>
    <row r="1095" spans="4:42" ht="15">
      <c r="D1095" s="1069"/>
      <c r="E1095" s="533" t="s">
        <v>2486</v>
      </c>
      <c r="G1095" s="827"/>
      <c r="M1095" s="811"/>
      <c r="P1095" s="1638"/>
      <c r="V1095" s="873">
        <f>SUM(S1089:U1095)</f>
        <v>21000</v>
      </c>
      <c r="X1095" s="811" t="str">
        <f t="shared" si="86"/>
        <v/>
      </c>
      <c r="AB1095" s="873">
        <f>SUM(Y1090:AA1095)</f>
        <v>500</v>
      </c>
      <c r="AG1095" s="807"/>
      <c r="AJ1095" s="865"/>
    </row>
    <row r="1096" spans="4:42" ht="15">
      <c r="D1096" s="1069" t="s">
        <v>9559</v>
      </c>
      <c r="E1096" s="533" t="s">
        <v>2504</v>
      </c>
      <c r="F1096" s="1048" t="s">
        <v>3492</v>
      </c>
      <c r="G1096" s="809" t="s">
        <v>2504</v>
      </c>
      <c r="H1096" s="809" t="s">
        <v>3746</v>
      </c>
      <c r="M1096" s="811" t="str">
        <f t="shared" ref="M1096:M1121" si="87">IF(ISBLANK(L1096)=TRUE,"",LOOKUP(L1096,GQ:GR))</f>
        <v/>
      </c>
      <c r="P1096" s="1638"/>
      <c r="R1096" s="1053" t="s">
        <v>1698</v>
      </c>
      <c r="V1096" s="961"/>
      <c r="X1096" s="811" t="str">
        <f t="shared" si="86"/>
        <v/>
      </c>
      <c r="AB1096" s="962"/>
      <c r="AD1096" s="963" t="s">
        <v>9560</v>
      </c>
      <c r="AG1096" s="807" t="str">
        <f t="shared" ref="AG1096:AG1127" si="88">IF(ISBLANK(AF1096)=TRUE,"",LOOKUP(AF1096,GS:GT))</f>
        <v/>
      </c>
      <c r="AJ1096" s="865"/>
    </row>
    <row r="1097" spans="4:42" ht="15">
      <c r="D1097" s="1069" t="s">
        <v>9561</v>
      </c>
      <c r="G1097" s="809" t="s">
        <v>2519</v>
      </c>
      <c r="H1097" s="809" t="s">
        <v>9563</v>
      </c>
      <c r="M1097" s="811" t="str">
        <f t="shared" si="87"/>
        <v/>
      </c>
      <c r="N1097" s="92" t="s">
        <v>1208</v>
      </c>
      <c r="O1097" s="812" t="s">
        <v>2222</v>
      </c>
      <c r="P1097" s="1638"/>
      <c r="Q1097" s="812" t="s">
        <v>2222</v>
      </c>
      <c r="R1097" s="812" t="s">
        <v>8285</v>
      </c>
      <c r="S1097" s="813">
        <v>8000</v>
      </c>
      <c r="W1097" s="815">
        <v>1</v>
      </c>
      <c r="X1097" s="811" t="str">
        <f t="shared" si="86"/>
        <v>within the Brgy</v>
      </c>
      <c r="AB1097" s="940"/>
      <c r="AD1097" s="963" t="s">
        <v>9562</v>
      </c>
      <c r="AG1097" s="807" t="str">
        <f t="shared" si="88"/>
        <v/>
      </c>
      <c r="AJ1097" s="865"/>
    </row>
    <row r="1098" spans="4:42" ht="15">
      <c r="D1098" s="1069"/>
      <c r="G1098" s="827"/>
      <c r="H1098" s="809" t="s">
        <v>9564</v>
      </c>
      <c r="M1098" s="811" t="str">
        <f t="shared" si="87"/>
        <v/>
      </c>
      <c r="P1098" s="1638"/>
      <c r="X1098" s="811" t="str">
        <f t="shared" si="86"/>
        <v/>
      </c>
      <c r="AB1098" s="940"/>
      <c r="AG1098" s="807" t="str">
        <f t="shared" si="88"/>
        <v/>
      </c>
      <c r="AJ1098" s="865"/>
    </row>
    <row r="1099" spans="4:42" ht="15">
      <c r="D1099" s="1069"/>
      <c r="G1099" s="827"/>
      <c r="H1099" s="809" t="s">
        <v>9565</v>
      </c>
      <c r="M1099" s="811" t="str">
        <f t="shared" si="87"/>
        <v/>
      </c>
      <c r="N1099" s="92" t="s">
        <v>1208</v>
      </c>
      <c r="O1099" s="812" t="s">
        <v>2968</v>
      </c>
      <c r="P1099" s="1638"/>
      <c r="Q1099" s="812" t="s">
        <v>2968</v>
      </c>
      <c r="U1099" s="813">
        <v>15000</v>
      </c>
      <c r="W1099" s="815">
        <v>2</v>
      </c>
      <c r="X1099" s="811" t="str">
        <f t="shared" si="86"/>
        <v>within the Municipality/City</v>
      </c>
      <c r="AB1099" s="940"/>
      <c r="AG1099" s="807" t="str">
        <f t="shared" si="88"/>
        <v/>
      </c>
      <c r="AJ1099" s="865"/>
    </row>
    <row r="1100" spans="4:42" ht="15">
      <c r="D1100" s="1069"/>
      <c r="G1100" s="827"/>
      <c r="H1100" s="809" t="s">
        <v>9566</v>
      </c>
      <c r="M1100" s="811" t="str">
        <f t="shared" si="87"/>
        <v/>
      </c>
      <c r="P1100" s="1638"/>
      <c r="X1100" s="811" t="str">
        <f t="shared" si="86"/>
        <v/>
      </c>
      <c r="AB1100" s="940"/>
      <c r="AG1100" s="807" t="str">
        <f t="shared" si="88"/>
        <v/>
      </c>
      <c r="AJ1100" s="865"/>
    </row>
    <row r="1101" spans="4:42" ht="15">
      <c r="D1101" s="1069"/>
      <c r="G1101" s="827"/>
      <c r="H1101" s="809" t="s">
        <v>9567</v>
      </c>
      <c r="M1101" s="811" t="str">
        <f t="shared" si="87"/>
        <v/>
      </c>
      <c r="N1101" s="92" t="s">
        <v>1208</v>
      </c>
      <c r="O1101" s="812" t="s">
        <v>2243</v>
      </c>
      <c r="P1101" s="1638"/>
      <c r="Q1101" s="812" t="s">
        <v>2243</v>
      </c>
      <c r="S1101" s="813">
        <v>15630</v>
      </c>
      <c r="W1101" s="815">
        <v>2</v>
      </c>
      <c r="X1101" s="811" t="str">
        <f t="shared" si="86"/>
        <v>within the Municipality/City</v>
      </c>
      <c r="Y1101" s="816">
        <v>2380</v>
      </c>
      <c r="AB1101" s="940"/>
      <c r="AG1101" s="807" t="str">
        <f t="shared" si="88"/>
        <v/>
      </c>
      <c r="AJ1101" s="865"/>
    </row>
    <row r="1102" spans="4:42" ht="15">
      <c r="D1102" s="1069"/>
      <c r="G1102" s="827"/>
      <c r="H1102" s="809" t="s">
        <v>9568</v>
      </c>
      <c r="M1102" s="811" t="str">
        <f t="shared" si="87"/>
        <v/>
      </c>
      <c r="P1102" s="1638"/>
      <c r="X1102" s="811" t="str">
        <f t="shared" si="86"/>
        <v/>
      </c>
      <c r="AB1102" s="940"/>
      <c r="AG1102" s="807" t="str">
        <f t="shared" si="88"/>
        <v/>
      </c>
      <c r="AJ1102" s="865"/>
    </row>
    <row r="1103" spans="4:42" ht="15">
      <c r="D1103" s="1069"/>
      <c r="G1103" s="827"/>
      <c r="H1103" s="809" t="s">
        <v>9569</v>
      </c>
      <c r="M1103" s="811" t="str">
        <f t="shared" si="87"/>
        <v/>
      </c>
      <c r="N1103" s="92" t="s">
        <v>1208</v>
      </c>
      <c r="O1103" s="812" t="s">
        <v>2198</v>
      </c>
      <c r="P1103" s="1638"/>
      <c r="Q1103" s="812" t="s">
        <v>2198</v>
      </c>
      <c r="S1103" s="813">
        <v>15630</v>
      </c>
      <c r="W1103" s="815">
        <v>2</v>
      </c>
      <c r="X1103" s="811" t="str">
        <f t="shared" si="86"/>
        <v>within the Municipality/City</v>
      </c>
      <c r="Y1103" s="816">
        <v>1680</v>
      </c>
      <c r="AB1103" s="940"/>
      <c r="AG1103" s="807" t="str">
        <f t="shared" si="88"/>
        <v/>
      </c>
      <c r="AJ1103" s="865"/>
    </row>
    <row r="1104" spans="4:42" ht="15">
      <c r="D1104" s="1069"/>
      <c r="G1104" s="827"/>
      <c r="H1104" s="809" t="s">
        <v>9570</v>
      </c>
      <c r="M1104" s="811" t="str">
        <f t="shared" si="87"/>
        <v/>
      </c>
      <c r="P1104" s="1638"/>
      <c r="X1104" s="811" t="str">
        <f t="shared" si="86"/>
        <v/>
      </c>
      <c r="AB1104" s="940"/>
      <c r="AG1104" s="807" t="str">
        <f t="shared" si="88"/>
        <v/>
      </c>
      <c r="AJ1104" s="865"/>
    </row>
    <row r="1105" spans="4:36" ht="15">
      <c r="D1105" s="1069"/>
      <c r="E1105" s="807"/>
      <c r="F1105" s="807"/>
      <c r="G1105" s="827"/>
      <c r="H1105" s="809" t="s">
        <v>9571</v>
      </c>
      <c r="M1105" s="811" t="str">
        <f t="shared" si="87"/>
        <v/>
      </c>
      <c r="P1105" s="1638"/>
      <c r="X1105" s="811" t="str">
        <f t="shared" si="86"/>
        <v/>
      </c>
      <c r="AB1105" s="940"/>
      <c r="AG1105" s="807" t="str">
        <f t="shared" si="88"/>
        <v/>
      </c>
      <c r="AJ1105" s="865"/>
    </row>
    <row r="1106" spans="4:36" ht="15">
      <c r="D1106" s="1069"/>
      <c r="E1106" s="807"/>
      <c r="F1106" s="807"/>
      <c r="G1106" s="827"/>
      <c r="H1106" s="809" t="s">
        <v>3747</v>
      </c>
      <c r="I1106" s="92">
        <v>56</v>
      </c>
      <c r="J1106" s="92" t="s">
        <v>18</v>
      </c>
      <c r="K1106" s="92" t="s">
        <v>707</v>
      </c>
      <c r="L1106" s="810">
        <v>5</v>
      </c>
      <c r="M1106" s="811" t="str">
        <f t="shared" si="87"/>
        <v>High School Graduate</v>
      </c>
      <c r="N1106" s="92" t="s">
        <v>1208</v>
      </c>
      <c r="O1106" s="812" t="s">
        <v>9572</v>
      </c>
      <c r="P1106" s="1638"/>
      <c r="Q1106" s="812" t="s">
        <v>9572</v>
      </c>
      <c r="S1106" s="813">
        <v>15630</v>
      </c>
      <c r="V1106" s="814">
        <f>SUM(S1097:U1106)</f>
        <v>69890</v>
      </c>
      <c r="W1106" s="815">
        <v>2</v>
      </c>
      <c r="X1106" s="811" t="str">
        <f t="shared" si="86"/>
        <v>within the Municipality/City</v>
      </c>
      <c r="AB1106" s="940">
        <f>SUM(Y1097:AA1106)</f>
        <v>4060</v>
      </c>
      <c r="AG1106" s="807" t="str">
        <f t="shared" si="88"/>
        <v/>
      </c>
      <c r="AJ1106" s="865"/>
    </row>
    <row r="1107" spans="4:36" ht="15">
      <c r="D1107" s="1070" t="s">
        <v>9573</v>
      </c>
      <c r="E1107" s="807"/>
      <c r="F1107" s="807"/>
      <c r="G1107" s="809" t="s">
        <v>2520</v>
      </c>
      <c r="H1107" s="809" t="s">
        <v>9574</v>
      </c>
      <c r="I1107" s="92">
        <v>57</v>
      </c>
      <c r="J1107" s="92" t="s">
        <v>10</v>
      </c>
      <c r="K1107" s="92" t="s">
        <v>707</v>
      </c>
      <c r="L1107" s="810">
        <v>3</v>
      </c>
      <c r="M1107" s="811" t="str">
        <f t="shared" si="87"/>
        <v>Elementary Graduate</v>
      </c>
      <c r="P1107" s="1638"/>
      <c r="V1107" s="828"/>
      <c r="X1107" s="811" t="str">
        <f t="shared" si="86"/>
        <v/>
      </c>
      <c r="AB1107" s="953"/>
      <c r="AG1107" s="807" t="str">
        <f t="shared" si="88"/>
        <v/>
      </c>
      <c r="AJ1107" s="865"/>
    </row>
    <row r="1108" spans="4:36" ht="15">
      <c r="D1108" s="1069"/>
      <c r="E1108" s="807"/>
      <c r="F1108" s="807"/>
      <c r="G1108" s="827"/>
      <c r="H1108" s="809" t="s">
        <v>9575</v>
      </c>
      <c r="I1108" s="92">
        <v>22</v>
      </c>
      <c r="J1108" s="92" t="s">
        <v>18</v>
      </c>
      <c r="K1108" s="92" t="s">
        <v>768</v>
      </c>
      <c r="L1108" s="810">
        <v>7</v>
      </c>
      <c r="M1108" s="811" t="str">
        <f t="shared" si="87"/>
        <v>College Graduate or Higher</v>
      </c>
      <c r="N1108" s="92" t="s">
        <v>1208</v>
      </c>
      <c r="O1108" s="812" t="s">
        <v>1985</v>
      </c>
      <c r="P1108" s="1638"/>
      <c r="Q1108" s="812" t="s">
        <v>1985</v>
      </c>
      <c r="R1108" s="812" t="s">
        <v>8285</v>
      </c>
      <c r="S1108" s="813">
        <v>16000</v>
      </c>
      <c r="V1108" s="828"/>
      <c r="W1108" s="815">
        <v>4</v>
      </c>
      <c r="X1108" s="811" t="str">
        <f t="shared" si="86"/>
        <v>Other Province</v>
      </c>
      <c r="Y1108" s="816">
        <v>200</v>
      </c>
      <c r="AB1108" s="953"/>
      <c r="AG1108" s="807" t="str">
        <f t="shared" si="88"/>
        <v/>
      </c>
      <c r="AJ1108" s="865"/>
    </row>
    <row r="1109" spans="4:36" ht="15">
      <c r="D1109" s="1069"/>
      <c r="E1109" s="807"/>
      <c r="F1109" s="807"/>
      <c r="G1109" s="827"/>
      <c r="H1109" s="809" t="s">
        <v>9576</v>
      </c>
      <c r="I1109" s="92">
        <v>32</v>
      </c>
      <c r="J1109" s="92" t="s">
        <v>10</v>
      </c>
      <c r="K1109" s="92" t="s">
        <v>707</v>
      </c>
      <c r="L1109" s="810">
        <v>5</v>
      </c>
      <c r="M1109" s="811" t="str">
        <f t="shared" si="87"/>
        <v>High School Graduate</v>
      </c>
      <c r="N1109" s="92" t="s">
        <v>1208</v>
      </c>
      <c r="O1109" s="812" t="s">
        <v>1985</v>
      </c>
      <c r="P1109" s="1638"/>
      <c r="Q1109" s="812" t="s">
        <v>1985</v>
      </c>
      <c r="R1109" s="812" t="s">
        <v>8285</v>
      </c>
      <c r="V1109" s="828"/>
      <c r="W1109" s="815">
        <v>3</v>
      </c>
      <c r="X1109" s="811" t="str">
        <f t="shared" si="86"/>
        <v>within the Province</v>
      </c>
      <c r="AB1109" s="953"/>
      <c r="AG1109" s="807" t="str">
        <f t="shared" si="88"/>
        <v/>
      </c>
      <c r="AJ1109" s="865"/>
    </row>
    <row r="1110" spans="4:36" ht="15">
      <c r="D1110" s="1069"/>
      <c r="E1110" s="807"/>
      <c r="F1110" s="807"/>
      <c r="G1110" s="827"/>
      <c r="H1110" s="809" t="s">
        <v>9577</v>
      </c>
      <c r="I1110" s="92">
        <v>30</v>
      </c>
      <c r="J1110" s="92" t="s">
        <v>18</v>
      </c>
      <c r="K1110" s="92" t="s">
        <v>707</v>
      </c>
      <c r="L1110" s="810">
        <v>6</v>
      </c>
      <c r="M1110" s="811" t="str">
        <f t="shared" si="87"/>
        <v>College Level</v>
      </c>
      <c r="P1110" s="1638"/>
      <c r="V1110" s="828"/>
      <c r="X1110" s="811" t="str">
        <f t="shared" si="86"/>
        <v/>
      </c>
      <c r="AB1110" s="953"/>
      <c r="AG1110" s="807" t="str">
        <f t="shared" si="88"/>
        <v/>
      </c>
      <c r="AJ1110" s="865"/>
    </row>
    <row r="1111" spans="4:36" ht="15">
      <c r="D1111" s="1069"/>
      <c r="E1111" s="807"/>
      <c r="F1111" s="807"/>
      <c r="G1111" s="827"/>
      <c r="H1111" s="809" t="s">
        <v>9578</v>
      </c>
      <c r="I1111" s="857"/>
      <c r="J1111" s="92" t="s">
        <v>18</v>
      </c>
      <c r="K1111" s="92" t="s">
        <v>707</v>
      </c>
      <c r="L1111" s="810">
        <v>5</v>
      </c>
      <c r="M1111" s="811" t="str">
        <f t="shared" si="87"/>
        <v>High School Graduate</v>
      </c>
      <c r="N1111" s="92" t="s">
        <v>1208</v>
      </c>
      <c r="O1111" s="812" t="s">
        <v>1985</v>
      </c>
      <c r="P1111" s="1638"/>
      <c r="Q1111" s="812" t="s">
        <v>1985</v>
      </c>
      <c r="R1111" s="812" t="s">
        <v>8285</v>
      </c>
      <c r="V1111" s="828"/>
      <c r="W1111" s="815">
        <v>3</v>
      </c>
      <c r="X1111" s="811" t="str">
        <f t="shared" si="86"/>
        <v>within the Province</v>
      </c>
      <c r="AB1111" s="953"/>
      <c r="AG1111" s="807" t="str">
        <f t="shared" si="88"/>
        <v/>
      </c>
      <c r="AJ1111" s="865"/>
    </row>
    <row r="1112" spans="4:36" ht="15">
      <c r="D1112" s="1069"/>
      <c r="E1112" s="807"/>
      <c r="F1112" s="807"/>
      <c r="G1112" s="827"/>
      <c r="H1112" s="809" t="s">
        <v>9579</v>
      </c>
      <c r="I1112" s="92">
        <v>28</v>
      </c>
      <c r="J1112" s="92" t="s">
        <v>10</v>
      </c>
      <c r="K1112" s="92" t="s">
        <v>707</v>
      </c>
      <c r="L1112" s="810">
        <v>3</v>
      </c>
      <c r="M1112" s="811" t="str">
        <f t="shared" si="87"/>
        <v>Elementary Graduate</v>
      </c>
      <c r="P1112" s="1638"/>
      <c r="V1112" s="828"/>
      <c r="X1112" s="811" t="str">
        <f t="shared" si="86"/>
        <v/>
      </c>
      <c r="AB1112" s="953"/>
      <c r="AG1112" s="807" t="str">
        <f t="shared" si="88"/>
        <v/>
      </c>
      <c r="AJ1112" s="865"/>
    </row>
    <row r="1113" spans="4:36" ht="15">
      <c r="D1113" s="1069"/>
      <c r="E1113" s="807"/>
      <c r="F1113" s="807"/>
      <c r="G1113" s="827"/>
      <c r="H1113" s="809" t="s">
        <v>9580</v>
      </c>
      <c r="I1113" s="92">
        <v>12</v>
      </c>
      <c r="J1113" s="92" t="s">
        <v>18</v>
      </c>
      <c r="K1113" s="92" t="s">
        <v>768</v>
      </c>
      <c r="L1113" s="810">
        <v>4</v>
      </c>
      <c r="M1113" s="811" t="str">
        <f t="shared" si="87"/>
        <v>High School Level</v>
      </c>
      <c r="P1113" s="1638"/>
      <c r="V1113" s="828"/>
      <c r="X1113" s="811" t="str">
        <f t="shared" si="86"/>
        <v/>
      </c>
      <c r="AB1113" s="953"/>
      <c r="AG1113" s="807" t="str">
        <f t="shared" si="88"/>
        <v/>
      </c>
      <c r="AJ1113" s="865"/>
    </row>
    <row r="1114" spans="4:36" ht="15">
      <c r="D1114" s="1069"/>
      <c r="E1114" s="807"/>
      <c r="F1114" s="807"/>
      <c r="G1114" s="827"/>
      <c r="H1114" s="809" t="s">
        <v>9581</v>
      </c>
      <c r="I1114" s="92">
        <v>14</v>
      </c>
      <c r="J1114" s="92" t="s">
        <v>18</v>
      </c>
      <c r="K1114" s="92" t="s">
        <v>768</v>
      </c>
      <c r="L1114" s="810">
        <v>5</v>
      </c>
      <c r="M1114" s="811" t="str">
        <f t="shared" si="87"/>
        <v>High School Graduate</v>
      </c>
      <c r="P1114" s="1638"/>
      <c r="V1114" s="828"/>
      <c r="X1114" s="811" t="str">
        <f t="shared" si="86"/>
        <v/>
      </c>
      <c r="AB1114" s="953"/>
      <c r="AG1114" s="807" t="str">
        <f t="shared" si="88"/>
        <v/>
      </c>
      <c r="AJ1114" s="865"/>
    </row>
    <row r="1115" spans="4:36" ht="15">
      <c r="D1115" s="1069"/>
      <c r="E1115" s="807"/>
      <c r="F1115" s="807"/>
      <c r="G1115" s="827"/>
      <c r="M1115" s="811" t="str">
        <f t="shared" si="87"/>
        <v/>
      </c>
      <c r="P1115" s="1638"/>
      <c r="V1115" s="828">
        <f>SUM(S1107:U1115)</f>
        <v>16000</v>
      </c>
      <c r="X1115" s="811" t="str">
        <f t="shared" si="86"/>
        <v/>
      </c>
      <c r="AB1115" s="953">
        <f>SUM(Y1107:AA1115)</f>
        <v>200</v>
      </c>
      <c r="AG1115" s="807" t="str">
        <f t="shared" si="88"/>
        <v/>
      </c>
      <c r="AJ1115" s="865"/>
    </row>
    <row r="1116" spans="4:36" ht="15">
      <c r="D1116" s="1069" t="s">
        <v>9582</v>
      </c>
      <c r="E1116" s="807"/>
      <c r="F1116" s="807"/>
      <c r="G1116" s="809" t="s">
        <v>2497</v>
      </c>
      <c r="H1116" s="809" t="s">
        <v>2547</v>
      </c>
      <c r="I1116" s="92">
        <v>62</v>
      </c>
      <c r="J1116" s="92" t="s">
        <v>10</v>
      </c>
      <c r="K1116" s="92" t="s">
        <v>707</v>
      </c>
      <c r="L1116" s="810">
        <v>5</v>
      </c>
      <c r="M1116" s="811" t="str">
        <f t="shared" si="87"/>
        <v>High School Graduate</v>
      </c>
      <c r="P1116" s="1638"/>
      <c r="V1116" s="873"/>
      <c r="X1116" s="811" t="str">
        <f t="shared" si="86"/>
        <v/>
      </c>
      <c r="AB1116" s="964"/>
      <c r="AD1116" s="963" t="s">
        <v>9583</v>
      </c>
      <c r="AE1116" s="767" t="s">
        <v>9584</v>
      </c>
      <c r="AF1116" s="965">
        <v>3</v>
      </c>
      <c r="AG1116" s="807" t="str">
        <f t="shared" si="88"/>
        <v>Special Medical Care</v>
      </c>
      <c r="AJ1116" s="865"/>
    </row>
    <row r="1117" spans="4:36" ht="15">
      <c r="D1117" s="1069" t="s">
        <v>9585</v>
      </c>
      <c r="E1117" s="807"/>
      <c r="F1117" s="807"/>
      <c r="G1117" s="809" t="s">
        <v>2537</v>
      </c>
      <c r="H1117" s="809" t="s">
        <v>9588</v>
      </c>
      <c r="I1117" s="857">
        <v>60</v>
      </c>
      <c r="J1117" s="92" t="s">
        <v>18</v>
      </c>
      <c r="K1117" s="92" t="s">
        <v>707</v>
      </c>
      <c r="L1117" s="810">
        <v>6</v>
      </c>
      <c r="M1117" s="811" t="str">
        <f t="shared" si="87"/>
        <v>College Level</v>
      </c>
      <c r="P1117" s="1638"/>
      <c r="V1117" s="961"/>
      <c r="X1117" s="811" t="str">
        <f t="shared" si="86"/>
        <v/>
      </c>
      <c r="AB1117" s="964"/>
      <c r="AD1117" s="817" t="s">
        <v>9586</v>
      </c>
      <c r="AE1117" s="767" t="s">
        <v>9587</v>
      </c>
      <c r="AF1117" s="965">
        <v>3</v>
      </c>
      <c r="AG1117" s="807" t="str">
        <f t="shared" si="88"/>
        <v>Special Medical Care</v>
      </c>
      <c r="AJ1117" s="865"/>
    </row>
    <row r="1118" spans="4:36" ht="15">
      <c r="D1118" s="1069"/>
      <c r="E1118" s="807"/>
      <c r="F1118" s="807"/>
      <c r="G1118" s="827"/>
      <c r="H1118" s="809" t="s">
        <v>9590</v>
      </c>
      <c r="I1118" s="92">
        <v>34</v>
      </c>
      <c r="J1118" s="92" t="s">
        <v>10</v>
      </c>
      <c r="K1118" s="92" t="s">
        <v>707</v>
      </c>
      <c r="L1118" s="810">
        <v>6</v>
      </c>
      <c r="M1118" s="811" t="str">
        <f t="shared" si="87"/>
        <v>College Level</v>
      </c>
      <c r="N1118" s="92" t="s">
        <v>1208</v>
      </c>
      <c r="O1118" s="812" t="s">
        <v>3490</v>
      </c>
      <c r="P1118" s="1638"/>
      <c r="Q1118" s="812" t="s">
        <v>3490</v>
      </c>
      <c r="R1118" s="812" t="s">
        <v>8285</v>
      </c>
      <c r="U1118" s="813">
        <v>10000</v>
      </c>
      <c r="V1118" s="961"/>
      <c r="W1118" s="815">
        <v>1</v>
      </c>
      <c r="X1118" s="811" t="str">
        <f t="shared" si="86"/>
        <v>within the Brgy</v>
      </c>
      <c r="AB1118" s="964"/>
      <c r="AD1118" s="817" t="s">
        <v>9589</v>
      </c>
      <c r="AE1118" s="92"/>
      <c r="AF1118" s="810"/>
      <c r="AG1118" s="807" t="str">
        <f t="shared" si="88"/>
        <v/>
      </c>
      <c r="AJ1118" s="865"/>
    </row>
    <row r="1119" spans="4:36" ht="15">
      <c r="D1119" s="1069"/>
      <c r="E1119" s="807"/>
      <c r="F1119" s="807"/>
      <c r="G1119" s="827"/>
      <c r="H1119" s="809" t="s">
        <v>9591</v>
      </c>
      <c r="I1119" s="92">
        <v>30</v>
      </c>
      <c r="J1119" s="92" t="s">
        <v>18</v>
      </c>
      <c r="K1119" s="92" t="s">
        <v>707</v>
      </c>
      <c r="L1119" s="810">
        <v>6</v>
      </c>
      <c r="M1119" s="811" t="str">
        <f t="shared" si="87"/>
        <v>College Level</v>
      </c>
      <c r="N1119" s="92" t="s">
        <v>1208</v>
      </c>
      <c r="O1119" s="812" t="s">
        <v>1985</v>
      </c>
      <c r="P1119" s="1638"/>
      <c r="Q1119" s="812" t="s">
        <v>1985</v>
      </c>
      <c r="R1119" s="812" t="s">
        <v>8285</v>
      </c>
      <c r="S1119" s="813">
        <v>20000</v>
      </c>
      <c r="V1119" s="961"/>
      <c r="W1119" s="815">
        <v>3</v>
      </c>
      <c r="X1119" s="811" t="str">
        <f t="shared" si="86"/>
        <v>within the Province</v>
      </c>
      <c r="AB1119" s="964"/>
      <c r="AD1119" s="963"/>
      <c r="AE1119" s="767"/>
      <c r="AF1119" s="965"/>
      <c r="AG1119" s="807" t="str">
        <f t="shared" si="88"/>
        <v/>
      </c>
      <c r="AJ1119" s="865"/>
    </row>
    <row r="1120" spans="4:36" ht="15">
      <c r="D1120" s="1069"/>
      <c r="E1120" s="807"/>
      <c r="F1120" s="807"/>
      <c r="G1120" s="827"/>
      <c r="H1120" s="809" t="s">
        <v>9592</v>
      </c>
      <c r="I1120" s="92">
        <v>4</v>
      </c>
      <c r="J1120" s="92" t="s">
        <v>18</v>
      </c>
      <c r="K1120" s="92" t="s">
        <v>768</v>
      </c>
      <c r="L1120" s="810">
        <v>1</v>
      </c>
      <c r="M1120" s="811" t="str">
        <f t="shared" si="87"/>
        <v>Pre-school</v>
      </c>
      <c r="P1120" s="1638"/>
      <c r="V1120" s="961"/>
      <c r="X1120" s="811" t="str">
        <f t="shared" si="86"/>
        <v/>
      </c>
      <c r="AB1120" s="964"/>
      <c r="AD1120" s="963"/>
      <c r="AE1120" s="767"/>
      <c r="AF1120" s="965"/>
      <c r="AG1120" s="807" t="str">
        <f t="shared" si="88"/>
        <v/>
      </c>
      <c r="AJ1120" s="865"/>
    </row>
    <row r="1121" spans="3:36" ht="15">
      <c r="D1121" s="1069"/>
      <c r="E1121" s="807"/>
      <c r="F1121" s="807"/>
      <c r="G1121" s="827"/>
      <c r="H1121" s="809" t="s">
        <v>9593</v>
      </c>
      <c r="I1121" s="92">
        <v>6</v>
      </c>
      <c r="J1121" s="92" t="s">
        <v>18</v>
      </c>
      <c r="K1121" s="92" t="s">
        <v>768</v>
      </c>
      <c r="L1121" s="810">
        <v>2</v>
      </c>
      <c r="M1121" s="811" t="str">
        <f t="shared" si="87"/>
        <v>Elementary Level</v>
      </c>
      <c r="P1121" s="1638"/>
      <c r="V1121" s="961"/>
      <c r="X1121" s="811" t="str">
        <f>IF(ISBLANK(W1121)=TRUE,"",LOOKUP(W1121,GO:GP))</f>
        <v/>
      </c>
      <c r="AB1121" s="964"/>
      <c r="AD1121" s="963"/>
      <c r="AE1121" s="767"/>
      <c r="AF1121" s="965"/>
      <c r="AG1121" s="807" t="str">
        <f t="shared" si="88"/>
        <v/>
      </c>
      <c r="AJ1121" s="865"/>
    </row>
    <row r="1122" spans="3:36" ht="15">
      <c r="D1122" s="1069"/>
      <c r="E1122" s="807"/>
      <c r="F1122" s="807"/>
      <c r="G1122" s="827"/>
      <c r="M1122" s="811"/>
      <c r="P1122" s="1638"/>
      <c r="V1122" s="961">
        <f>SUM(S1118:U1122)</f>
        <v>30000</v>
      </c>
      <c r="X1122" s="811" t="str">
        <f>IF(ISBLANK(W1122)=TRUE,"",LOOKUP(W1122,GO:GP))</f>
        <v/>
      </c>
      <c r="AB1122" s="962">
        <f>SUM(Y1118:AA1122)</f>
        <v>0</v>
      </c>
      <c r="AD1122" s="963"/>
      <c r="AE1122" s="767"/>
      <c r="AF1122" s="965"/>
      <c r="AG1122" s="807" t="str">
        <f t="shared" si="88"/>
        <v/>
      </c>
      <c r="AJ1122" s="865"/>
    </row>
    <row r="1123" spans="3:36" ht="15">
      <c r="D1123" s="1069" t="s">
        <v>9594</v>
      </c>
      <c r="E1123" s="807"/>
      <c r="F1123" s="807"/>
      <c r="G1123" s="809" t="s">
        <v>2548</v>
      </c>
      <c r="M1123" s="811"/>
      <c r="P1123" s="1638"/>
      <c r="V1123" s="961"/>
      <c r="AB1123" s="962"/>
      <c r="AD1123" s="963" t="s">
        <v>9595</v>
      </c>
      <c r="AE1123" s="767" t="s">
        <v>9596</v>
      </c>
      <c r="AF1123" s="965">
        <v>4</v>
      </c>
      <c r="AG1123" s="807" t="str">
        <f t="shared" si="88"/>
        <v>Serious Illness</v>
      </c>
      <c r="AJ1123" s="865"/>
    </row>
    <row r="1124" spans="3:36" ht="15">
      <c r="D1124" s="1069" t="s">
        <v>9597</v>
      </c>
      <c r="E1124" s="807"/>
      <c r="F1124" s="807"/>
      <c r="G1124" s="809" t="s">
        <v>2558</v>
      </c>
      <c r="H1124" s="809" t="s">
        <v>3491</v>
      </c>
      <c r="I1124" s="92">
        <v>59</v>
      </c>
      <c r="J1124" s="92" t="s">
        <v>10</v>
      </c>
      <c r="K1124" s="92" t="s">
        <v>722</v>
      </c>
      <c r="L1124" s="810">
        <v>5</v>
      </c>
      <c r="M1124" s="811" t="str">
        <f t="shared" ref="M1124:M1155" si="89">IF(ISBLANK(L1124)=TRUE,"",LOOKUP(L1124,GQ:GR))</f>
        <v>High School Graduate</v>
      </c>
      <c r="P1124" s="1638"/>
      <c r="AB1124" s="962"/>
      <c r="AD1124" s="963"/>
      <c r="AE1124" s="767"/>
      <c r="AF1124" s="965"/>
      <c r="AG1124" s="807" t="str">
        <f t="shared" si="88"/>
        <v/>
      </c>
      <c r="AJ1124" s="865"/>
    </row>
    <row r="1125" spans="3:36" ht="15">
      <c r="D1125" s="1069"/>
      <c r="E1125" s="807"/>
      <c r="F1125" s="807"/>
      <c r="H1125" s="809" t="s">
        <v>9598</v>
      </c>
      <c r="I1125" s="92">
        <v>50</v>
      </c>
      <c r="J1125" s="92" t="s">
        <v>18</v>
      </c>
      <c r="K1125" s="92" t="s">
        <v>722</v>
      </c>
      <c r="L1125" s="810">
        <v>6</v>
      </c>
      <c r="M1125" s="811" t="str">
        <f t="shared" si="89"/>
        <v>College Level</v>
      </c>
      <c r="N1125" s="92" t="s">
        <v>1208</v>
      </c>
      <c r="O1125" s="812" t="s">
        <v>2214</v>
      </c>
      <c r="P1125" s="1638"/>
      <c r="Q1125" s="812" t="s">
        <v>2214</v>
      </c>
      <c r="R1125" s="812" t="s">
        <v>8285</v>
      </c>
      <c r="S1125" s="813">
        <f>600*26</f>
        <v>15600</v>
      </c>
      <c r="W1125" s="815">
        <v>2</v>
      </c>
      <c r="X1125" s="811" t="str">
        <f t="shared" ref="X1125:X1156" si="90">IF(ISBLANK(W1125)=TRUE,"",LOOKUP(W1125,GO:GP))</f>
        <v>within the Municipality/City</v>
      </c>
      <c r="Y1125" s="816">
        <v>1000</v>
      </c>
      <c r="AB1125" s="940"/>
      <c r="AD1125" s="963"/>
      <c r="AE1125" s="767"/>
      <c r="AF1125" s="965"/>
      <c r="AG1125" s="807" t="str">
        <f t="shared" si="88"/>
        <v/>
      </c>
      <c r="AJ1125" s="865"/>
    </row>
    <row r="1126" spans="3:36" ht="15">
      <c r="D1126" s="1069"/>
      <c r="E1126" s="807"/>
      <c r="F1126" s="807"/>
      <c r="G1126" s="827"/>
      <c r="H1126" s="809" t="s">
        <v>9599</v>
      </c>
      <c r="I1126" s="92">
        <v>17</v>
      </c>
      <c r="J1126" s="92" t="s">
        <v>18</v>
      </c>
      <c r="K1126" s="92" t="s">
        <v>722</v>
      </c>
      <c r="L1126" s="810">
        <v>5</v>
      </c>
      <c r="M1126" s="811" t="str">
        <f t="shared" si="89"/>
        <v>High School Graduate</v>
      </c>
      <c r="P1126" s="1638"/>
      <c r="X1126" s="811" t="str">
        <f t="shared" si="90"/>
        <v/>
      </c>
      <c r="AB1126" s="940"/>
      <c r="AD1126" s="963"/>
      <c r="AE1126" s="767"/>
      <c r="AF1126" s="965"/>
      <c r="AG1126" s="807" t="str">
        <f t="shared" si="88"/>
        <v/>
      </c>
      <c r="AJ1126" s="865"/>
    </row>
    <row r="1127" spans="3:36" ht="15">
      <c r="D1127" s="1069"/>
      <c r="E1127" s="807"/>
      <c r="F1127" s="807"/>
      <c r="G1127" s="827"/>
      <c r="H1127" s="809" t="s">
        <v>3954</v>
      </c>
      <c r="I1127" s="92">
        <v>72</v>
      </c>
      <c r="J1127" s="92" t="s">
        <v>10</v>
      </c>
      <c r="K1127" s="92" t="s">
        <v>707</v>
      </c>
      <c r="L1127" s="810">
        <v>5</v>
      </c>
      <c r="M1127" s="811" t="str">
        <f t="shared" si="89"/>
        <v>High School Graduate</v>
      </c>
      <c r="P1127" s="1638"/>
      <c r="V1127" s="814">
        <f>SUM(S1125:U1127)</f>
        <v>15600</v>
      </c>
      <c r="X1127" s="811" t="str">
        <f t="shared" si="90"/>
        <v/>
      </c>
      <c r="AB1127" s="940">
        <f>SUM(Y1125:AA1127)</f>
        <v>1000</v>
      </c>
      <c r="AD1127" s="963"/>
      <c r="AE1127" s="767"/>
      <c r="AF1127" s="965"/>
      <c r="AG1127" s="807" t="str">
        <f t="shared" si="88"/>
        <v/>
      </c>
      <c r="AJ1127" s="865"/>
    </row>
    <row r="1128" spans="3:36" ht="15">
      <c r="D1128" s="1069" t="s">
        <v>9600</v>
      </c>
      <c r="E1128" s="807"/>
      <c r="F1128" s="807"/>
      <c r="G1128" s="846" t="s">
        <v>2565</v>
      </c>
      <c r="H1128" s="809" t="s">
        <v>9603</v>
      </c>
      <c r="I1128" s="92">
        <v>63</v>
      </c>
      <c r="J1128" s="92" t="s">
        <v>18</v>
      </c>
      <c r="K1128" s="92" t="s">
        <v>707</v>
      </c>
      <c r="L1128" s="810">
        <v>7</v>
      </c>
      <c r="M1128" s="811" t="str">
        <f t="shared" si="89"/>
        <v>College Graduate or Higher</v>
      </c>
      <c r="N1128" s="92" t="s">
        <v>1208</v>
      </c>
      <c r="O1128" s="812" t="s">
        <v>1985</v>
      </c>
      <c r="P1128" s="1638"/>
      <c r="Q1128" s="812" t="s">
        <v>1985</v>
      </c>
      <c r="R1128" s="812" t="s">
        <v>8285</v>
      </c>
      <c r="S1128" s="813">
        <f>700*26</f>
        <v>18200</v>
      </c>
      <c r="V1128" s="828"/>
      <c r="W1128" s="815">
        <v>4</v>
      </c>
      <c r="X1128" s="811" t="str">
        <f t="shared" si="90"/>
        <v>Other Province</v>
      </c>
      <c r="Y1128" s="816">
        <v>521</v>
      </c>
      <c r="AB1128" s="953"/>
      <c r="AD1128" s="963" t="s">
        <v>9601</v>
      </c>
      <c r="AE1128" s="767" t="s">
        <v>9602</v>
      </c>
      <c r="AF1128" s="965">
        <v>3</v>
      </c>
      <c r="AG1128" s="807" t="str">
        <f t="shared" ref="AG1128:AG1159" si="91">IF(ISBLANK(AF1128)=TRUE,"",LOOKUP(AF1128,GS:GT))</f>
        <v>Special Medical Care</v>
      </c>
      <c r="AJ1128" s="865"/>
    </row>
    <row r="1129" spans="3:36" ht="15">
      <c r="D1129" s="1069"/>
      <c r="E1129" s="807"/>
      <c r="F1129" s="807"/>
      <c r="G1129" s="827"/>
      <c r="H1129" s="809" t="s">
        <v>3098</v>
      </c>
      <c r="I1129" s="92">
        <v>65</v>
      </c>
      <c r="J1129" s="92" t="s">
        <v>10</v>
      </c>
      <c r="K1129" s="92" t="s">
        <v>707</v>
      </c>
      <c r="L1129" s="810">
        <v>5</v>
      </c>
      <c r="M1129" s="811" t="str">
        <f t="shared" si="89"/>
        <v>High School Graduate</v>
      </c>
      <c r="P1129" s="1638"/>
      <c r="V1129" s="828">
        <f>SUM(S1128:U1129)</f>
        <v>18200</v>
      </c>
      <c r="X1129" s="811" t="str">
        <f t="shared" si="90"/>
        <v/>
      </c>
      <c r="AB1129" s="953">
        <f>SUM(Y1128:AA1129)</f>
        <v>521</v>
      </c>
      <c r="AD1129" s="963" t="s">
        <v>9604</v>
      </c>
      <c r="AE1129" s="767"/>
      <c r="AF1129" s="965"/>
      <c r="AG1129" s="807" t="str">
        <f t="shared" si="91"/>
        <v/>
      </c>
      <c r="AJ1129" s="865"/>
    </row>
    <row r="1130" spans="3:36" ht="15">
      <c r="D1130" s="1070" t="s">
        <v>9605</v>
      </c>
      <c r="E1130" s="807"/>
      <c r="F1130" s="807"/>
      <c r="G1130" s="288" t="s">
        <v>2599</v>
      </c>
      <c r="H1130" s="809" t="s">
        <v>9607</v>
      </c>
      <c r="I1130" s="92">
        <v>62</v>
      </c>
      <c r="J1130" s="92" t="s">
        <v>18</v>
      </c>
      <c r="K1130" s="92" t="s">
        <v>707</v>
      </c>
      <c r="L1130" s="810">
        <v>5</v>
      </c>
      <c r="M1130" s="811" t="str">
        <f t="shared" si="89"/>
        <v>High School Graduate</v>
      </c>
      <c r="P1130" s="1638"/>
      <c r="V1130" s="961"/>
      <c r="X1130" s="811" t="str">
        <f t="shared" si="90"/>
        <v/>
      </c>
      <c r="AB1130" s="964"/>
      <c r="AD1130" s="817" t="s">
        <v>9606</v>
      </c>
      <c r="AE1130" s="92"/>
      <c r="AF1130" s="810"/>
      <c r="AG1130" s="807" t="str">
        <f t="shared" si="91"/>
        <v/>
      </c>
      <c r="AJ1130" s="865"/>
    </row>
    <row r="1131" spans="3:36" ht="15">
      <c r="D1131" s="1069"/>
      <c r="E1131" s="807"/>
      <c r="F1131" s="807"/>
      <c r="G1131" s="827"/>
      <c r="H1131" s="809" t="s">
        <v>9609</v>
      </c>
      <c r="I1131" s="92">
        <v>38</v>
      </c>
      <c r="J1131" s="92" t="s">
        <v>18</v>
      </c>
      <c r="K1131" s="92" t="s">
        <v>719</v>
      </c>
      <c r="L1131" s="810">
        <v>7</v>
      </c>
      <c r="M1131" s="811" t="str">
        <f t="shared" si="89"/>
        <v>College Graduate or Higher</v>
      </c>
      <c r="N1131" s="92" t="s">
        <v>1208</v>
      </c>
      <c r="O1131" s="812" t="s">
        <v>2226</v>
      </c>
      <c r="P1131" s="1638"/>
      <c r="Q1131" s="812" t="s">
        <v>2226</v>
      </c>
      <c r="R1131" s="812" t="s">
        <v>8285</v>
      </c>
      <c r="S1131" s="813">
        <v>21000</v>
      </c>
      <c r="V1131" s="961"/>
      <c r="W1131" s="815">
        <v>2</v>
      </c>
      <c r="X1131" s="811" t="str">
        <f t="shared" si="90"/>
        <v>within the Municipality/City</v>
      </c>
      <c r="AB1131" s="964"/>
      <c r="AD1131" s="817" t="s">
        <v>9608</v>
      </c>
      <c r="AE1131" s="92"/>
      <c r="AF1131" s="810"/>
      <c r="AG1131" s="807" t="str">
        <f t="shared" si="91"/>
        <v/>
      </c>
      <c r="AJ1131" s="865"/>
    </row>
    <row r="1132" spans="3:36" ht="15">
      <c r="D1132" s="1069"/>
      <c r="E1132" s="807"/>
      <c r="F1132" s="807"/>
      <c r="G1132" s="827"/>
      <c r="H1132" s="809" t="s">
        <v>9610</v>
      </c>
      <c r="I1132" s="92">
        <v>7</v>
      </c>
      <c r="J1132" s="92" t="s">
        <v>18</v>
      </c>
      <c r="K1132" s="92" t="s">
        <v>768</v>
      </c>
      <c r="L1132" s="810">
        <v>2</v>
      </c>
      <c r="M1132" s="811" t="str">
        <f t="shared" si="89"/>
        <v>Elementary Level</v>
      </c>
      <c r="P1132" s="1638"/>
      <c r="V1132" s="961"/>
      <c r="X1132" s="811" t="str">
        <f t="shared" si="90"/>
        <v/>
      </c>
      <c r="AB1132" s="964"/>
      <c r="AD1132" s="963"/>
      <c r="AE1132" s="767"/>
      <c r="AF1132" s="965"/>
      <c r="AG1132" s="807" t="str">
        <f t="shared" si="91"/>
        <v/>
      </c>
      <c r="AJ1132" s="865"/>
    </row>
    <row r="1133" spans="3:36" ht="15">
      <c r="D1133" s="1069"/>
      <c r="E1133" s="807"/>
      <c r="F1133" s="807"/>
      <c r="G1133" s="827"/>
      <c r="H1133" s="809" t="s">
        <v>3748</v>
      </c>
      <c r="I1133" s="92">
        <v>59</v>
      </c>
      <c r="J1133" s="92" t="s">
        <v>10</v>
      </c>
      <c r="K1133" s="92" t="s">
        <v>707</v>
      </c>
      <c r="L1133" s="810">
        <v>6</v>
      </c>
      <c r="M1133" s="811" t="str">
        <f t="shared" si="89"/>
        <v>College Level</v>
      </c>
      <c r="P1133" s="1638"/>
      <c r="V1133" s="961">
        <f>SUM(S1130:U1133)</f>
        <v>21000</v>
      </c>
      <c r="X1133" s="811" t="str">
        <f t="shared" si="90"/>
        <v/>
      </c>
      <c r="AB1133" s="964">
        <f>SUM(Y1130:AA1133)</f>
        <v>0</v>
      </c>
      <c r="AD1133" s="963"/>
      <c r="AE1133" s="767"/>
      <c r="AF1133" s="965"/>
      <c r="AG1133" s="807" t="str">
        <f t="shared" si="91"/>
        <v/>
      </c>
      <c r="AJ1133" s="865"/>
    </row>
    <row r="1134" spans="3:36" ht="15">
      <c r="C1134" s="807"/>
      <c r="D1134" s="1070" t="s">
        <v>9611</v>
      </c>
      <c r="E1134" s="807"/>
      <c r="F1134" s="807"/>
      <c r="G1134" s="809" t="s">
        <v>2610</v>
      </c>
      <c r="H1134" s="809" t="s">
        <v>9612</v>
      </c>
      <c r="I1134" s="92">
        <v>54</v>
      </c>
      <c r="J1134" s="92" t="s">
        <v>18</v>
      </c>
      <c r="K1134" s="92" t="s">
        <v>707</v>
      </c>
      <c r="L1134" s="810">
        <v>6</v>
      </c>
      <c r="M1134" s="811" t="str">
        <f t="shared" si="89"/>
        <v>College Level</v>
      </c>
      <c r="N1134" s="92" t="s">
        <v>1208</v>
      </c>
      <c r="O1134" s="812" t="s">
        <v>3749</v>
      </c>
      <c r="P1134" s="1638"/>
      <c r="Q1134" s="812" t="s">
        <v>3749</v>
      </c>
      <c r="S1134" s="813">
        <f>600*26</f>
        <v>15600</v>
      </c>
      <c r="V1134" s="828"/>
      <c r="W1134" s="815">
        <v>3</v>
      </c>
      <c r="X1134" s="811" t="str">
        <f t="shared" si="90"/>
        <v>within the Province</v>
      </c>
      <c r="Y1134" s="816">
        <f>60*26</f>
        <v>1560</v>
      </c>
      <c r="AB1134" s="953"/>
      <c r="AD1134" s="963"/>
      <c r="AE1134" s="767"/>
      <c r="AF1134" s="965"/>
      <c r="AG1134" s="807" t="str">
        <f t="shared" si="91"/>
        <v/>
      </c>
      <c r="AJ1134" s="865"/>
    </row>
    <row r="1135" spans="3:36" ht="15">
      <c r="D1135" s="1069"/>
      <c r="E1135" s="807"/>
      <c r="F1135" s="807"/>
      <c r="G1135" s="827"/>
      <c r="H1135" s="809" t="s">
        <v>9613</v>
      </c>
      <c r="I1135" s="92">
        <v>31</v>
      </c>
      <c r="J1135" s="92" t="s">
        <v>18</v>
      </c>
      <c r="K1135" s="92" t="s">
        <v>707</v>
      </c>
      <c r="L1135" s="810">
        <v>7</v>
      </c>
      <c r="M1135" s="811" t="str">
        <f t="shared" si="89"/>
        <v>College Graduate or Higher</v>
      </c>
      <c r="N1135" s="92" t="s">
        <v>1208</v>
      </c>
      <c r="O1135" s="812" t="s">
        <v>1909</v>
      </c>
      <c r="P1135" s="1638"/>
      <c r="Q1135" s="812" t="s">
        <v>1909</v>
      </c>
      <c r="V1135" s="828"/>
      <c r="X1135" s="811" t="str">
        <f t="shared" si="90"/>
        <v/>
      </c>
      <c r="AB1135" s="953"/>
      <c r="AD1135" s="963"/>
      <c r="AE1135" s="767"/>
      <c r="AF1135" s="965"/>
      <c r="AG1135" s="807" t="str">
        <f t="shared" si="91"/>
        <v/>
      </c>
      <c r="AJ1135" s="865"/>
    </row>
    <row r="1136" spans="3:36" ht="15">
      <c r="D1136" s="1069"/>
      <c r="E1136" s="806"/>
      <c r="F1136" s="806"/>
      <c r="G1136" s="827"/>
      <c r="H1136" s="809" t="s">
        <v>9614</v>
      </c>
      <c r="I1136" s="92">
        <v>32</v>
      </c>
      <c r="J1136" s="92" t="s">
        <v>10</v>
      </c>
      <c r="K1136" s="92" t="s">
        <v>768</v>
      </c>
      <c r="L1136" s="810">
        <v>7</v>
      </c>
      <c r="M1136" s="811" t="str">
        <f t="shared" si="89"/>
        <v>College Graduate or Higher</v>
      </c>
      <c r="N1136" s="92" t="s">
        <v>1208</v>
      </c>
      <c r="O1136" s="812" t="s">
        <v>1985</v>
      </c>
      <c r="P1136" s="1638"/>
      <c r="Q1136" s="812" t="s">
        <v>1985</v>
      </c>
      <c r="V1136" s="828"/>
      <c r="W1136" s="815">
        <v>3</v>
      </c>
      <c r="X1136" s="811" t="str">
        <f t="shared" si="90"/>
        <v>within the Province</v>
      </c>
      <c r="Y1136" s="816">
        <f>50*26</f>
        <v>1300</v>
      </c>
      <c r="AB1136" s="953"/>
      <c r="AD1136" s="963"/>
      <c r="AE1136" s="767"/>
      <c r="AF1136" s="965"/>
      <c r="AG1136" s="807" t="str">
        <f t="shared" si="91"/>
        <v/>
      </c>
      <c r="AJ1136" s="865"/>
    </row>
    <row r="1137" spans="1:36" ht="15">
      <c r="D1137" s="1069"/>
      <c r="G1137" s="827"/>
      <c r="H1137" s="809" t="s">
        <v>9615</v>
      </c>
      <c r="I1137" s="92">
        <v>25</v>
      </c>
      <c r="J1137" s="92" t="s">
        <v>18</v>
      </c>
      <c r="K1137" s="92" t="s">
        <v>768</v>
      </c>
      <c r="L1137" s="810">
        <v>7</v>
      </c>
      <c r="M1137" s="811" t="str">
        <f t="shared" si="89"/>
        <v>College Graduate or Higher</v>
      </c>
      <c r="N1137" s="92" t="s">
        <v>1208</v>
      </c>
      <c r="O1137" s="812" t="s">
        <v>1985</v>
      </c>
      <c r="P1137" s="1638"/>
      <c r="Q1137" s="812" t="s">
        <v>1985</v>
      </c>
      <c r="V1137" s="828"/>
      <c r="W1137" s="815">
        <v>3</v>
      </c>
      <c r="X1137" s="811" t="str">
        <f t="shared" si="90"/>
        <v>within the Province</v>
      </c>
      <c r="Y1137" s="816">
        <f>60*26</f>
        <v>1560</v>
      </c>
      <c r="AB1137" s="953"/>
      <c r="AD1137" s="963"/>
      <c r="AE1137" s="767"/>
      <c r="AF1137" s="965"/>
      <c r="AG1137" s="807" t="str">
        <f t="shared" si="91"/>
        <v/>
      </c>
      <c r="AJ1137" s="865"/>
    </row>
    <row r="1138" spans="1:36" ht="15">
      <c r="D1138" s="1069"/>
      <c r="G1138" s="827"/>
      <c r="H1138" s="809" t="s">
        <v>9616</v>
      </c>
      <c r="I1138" s="92">
        <v>3</v>
      </c>
      <c r="J1138" s="92" t="s">
        <v>18</v>
      </c>
      <c r="K1138" s="92" t="s">
        <v>768</v>
      </c>
      <c r="L1138" s="810">
        <v>0</v>
      </c>
      <c r="M1138" s="811" t="str">
        <f t="shared" si="89"/>
        <v>No Schooling</v>
      </c>
      <c r="N1138" s="92" t="s">
        <v>1208</v>
      </c>
      <c r="O1138" s="812" t="s">
        <v>1985</v>
      </c>
      <c r="P1138" s="1638"/>
      <c r="Q1138" s="812" t="s">
        <v>1985</v>
      </c>
      <c r="V1138" s="828"/>
      <c r="W1138" s="815">
        <v>3</v>
      </c>
      <c r="X1138" s="811" t="str">
        <f t="shared" si="90"/>
        <v>within the Province</v>
      </c>
      <c r="Y1138" s="816">
        <f>60*26</f>
        <v>1560</v>
      </c>
      <c r="AB1138" s="953"/>
      <c r="AD1138" s="963"/>
      <c r="AE1138" s="767"/>
      <c r="AF1138" s="965"/>
      <c r="AG1138" s="807" t="str">
        <f t="shared" si="91"/>
        <v/>
      </c>
      <c r="AJ1138" s="865"/>
    </row>
    <row r="1139" spans="1:36" ht="15">
      <c r="D1139" s="1069"/>
      <c r="G1139" s="827"/>
      <c r="H1139" s="809" t="s">
        <v>9617</v>
      </c>
      <c r="I1139" s="930">
        <f>7/12</f>
        <v>0.58333333333333337</v>
      </c>
      <c r="J1139" s="92" t="s">
        <v>10</v>
      </c>
      <c r="K1139" s="92" t="s">
        <v>768</v>
      </c>
      <c r="L1139" s="810">
        <v>0</v>
      </c>
      <c r="M1139" s="811" t="str">
        <f t="shared" si="89"/>
        <v>No Schooling</v>
      </c>
      <c r="P1139" s="1638"/>
      <c r="V1139" s="828"/>
      <c r="X1139" s="811" t="str">
        <f t="shared" si="90"/>
        <v/>
      </c>
      <c r="AB1139" s="953"/>
      <c r="AD1139" s="963"/>
      <c r="AE1139" s="767"/>
      <c r="AF1139" s="965"/>
      <c r="AG1139" s="807" t="str">
        <f t="shared" si="91"/>
        <v/>
      </c>
      <c r="AJ1139" s="865"/>
    </row>
    <row r="1140" spans="1:36" ht="15">
      <c r="D1140" s="1069"/>
      <c r="G1140" s="827"/>
      <c r="H1140" s="809" t="s">
        <v>9619</v>
      </c>
      <c r="I1140" s="92">
        <v>67</v>
      </c>
      <c r="J1140" s="92" t="s">
        <v>18</v>
      </c>
      <c r="K1140" s="92" t="s">
        <v>719</v>
      </c>
      <c r="L1140" s="810">
        <v>4</v>
      </c>
      <c r="M1140" s="811" t="str">
        <f t="shared" si="89"/>
        <v>High School Level</v>
      </c>
      <c r="P1140" s="1638"/>
      <c r="V1140" s="828">
        <f>SUM(S1134:U1140)</f>
        <v>15600</v>
      </c>
      <c r="X1140" s="811" t="str">
        <f t="shared" si="90"/>
        <v/>
      </c>
      <c r="AB1140" s="953">
        <f>SUM(Y1134:AA1140)</f>
        <v>5980</v>
      </c>
      <c r="AD1140" s="963"/>
      <c r="AE1140" s="767"/>
      <c r="AF1140" s="965"/>
      <c r="AG1140" s="807" t="str">
        <f t="shared" si="91"/>
        <v/>
      </c>
      <c r="AJ1140" s="865"/>
    </row>
    <row r="1141" spans="1:36" ht="15">
      <c r="D1141" s="1069" t="s">
        <v>9618</v>
      </c>
      <c r="G1141" s="846" t="s">
        <v>2619</v>
      </c>
      <c r="H1141" s="809" t="s">
        <v>9622</v>
      </c>
      <c r="I1141" s="92">
        <v>23</v>
      </c>
      <c r="J1141" s="92" t="s">
        <v>18</v>
      </c>
      <c r="K1141" s="92" t="s">
        <v>783</v>
      </c>
      <c r="L1141" s="810">
        <v>6</v>
      </c>
      <c r="M1141" s="811" t="str">
        <f t="shared" si="89"/>
        <v>College Level</v>
      </c>
      <c r="N1141" s="92" t="s">
        <v>1208</v>
      </c>
      <c r="O1141" s="812" t="s">
        <v>3387</v>
      </c>
      <c r="P1141" s="1638"/>
      <c r="Q1141" s="812" t="s">
        <v>3387</v>
      </c>
      <c r="U1141" s="813">
        <v>2600</v>
      </c>
      <c r="W1141" s="815">
        <v>0</v>
      </c>
      <c r="X1141" s="811" t="str">
        <f t="shared" si="90"/>
        <v>Pensioner/ Support from children</v>
      </c>
      <c r="AD1141" s="817" t="s">
        <v>9620</v>
      </c>
      <c r="AE1141" s="93" t="s">
        <v>9621</v>
      </c>
      <c r="AF1141" s="818">
        <v>3</v>
      </c>
      <c r="AG1141" s="807" t="str">
        <f t="shared" si="91"/>
        <v>Special Medical Care</v>
      </c>
      <c r="AJ1141" s="865"/>
    </row>
    <row r="1142" spans="1:36" ht="15">
      <c r="D1142" s="1069"/>
      <c r="G1142" s="827"/>
      <c r="H1142" s="809" t="s">
        <v>9623</v>
      </c>
      <c r="I1142" s="92">
        <v>4</v>
      </c>
      <c r="J1142" s="92" t="s">
        <v>10</v>
      </c>
      <c r="K1142" s="92" t="s">
        <v>768</v>
      </c>
      <c r="L1142" s="810">
        <v>10</v>
      </c>
      <c r="M1142" s="811" t="str">
        <f t="shared" si="89"/>
        <v>Not In School Age</v>
      </c>
      <c r="N1142" s="92" t="s">
        <v>1208</v>
      </c>
      <c r="O1142" s="812" t="s">
        <v>2229</v>
      </c>
      <c r="P1142" s="1638"/>
      <c r="Q1142" s="812" t="s">
        <v>2229</v>
      </c>
      <c r="S1142" s="813">
        <v>16000</v>
      </c>
      <c r="W1142" s="815">
        <v>2</v>
      </c>
      <c r="X1142" s="811" t="str">
        <f t="shared" si="90"/>
        <v>within the Municipality/City</v>
      </c>
      <c r="Y1142" s="816">
        <v>6000</v>
      </c>
      <c r="AG1142" s="807" t="str">
        <f t="shared" si="91"/>
        <v/>
      </c>
      <c r="AJ1142" s="865"/>
    </row>
    <row r="1143" spans="1:36" ht="15">
      <c r="D1143" s="1069"/>
      <c r="G1143" s="827"/>
      <c r="H1143" s="809" t="s">
        <v>9624</v>
      </c>
      <c r="I1143" s="92">
        <v>48</v>
      </c>
      <c r="J1143" s="92" t="s">
        <v>10</v>
      </c>
      <c r="K1143" s="92" t="s">
        <v>707</v>
      </c>
      <c r="L1143" s="810">
        <v>5</v>
      </c>
      <c r="M1143" s="811" t="str">
        <f t="shared" si="89"/>
        <v>High School Graduate</v>
      </c>
      <c r="P1143" s="1638"/>
      <c r="X1143" s="811" t="str">
        <f t="shared" si="90"/>
        <v/>
      </c>
      <c r="AA1143" s="816">
        <f>200*26</f>
        <v>5200</v>
      </c>
      <c r="AG1143" s="807" t="str">
        <f t="shared" si="91"/>
        <v/>
      </c>
      <c r="AJ1143" s="865"/>
    </row>
    <row r="1144" spans="1:36" ht="15">
      <c r="A1144" s="954"/>
      <c r="B1144" s="831"/>
      <c r="C1144" s="807"/>
      <c r="D1144" s="1069" t="s">
        <v>9625</v>
      </c>
      <c r="G1144" s="745" t="s">
        <v>2628</v>
      </c>
      <c r="H1144" s="809" t="s">
        <v>3750</v>
      </c>
      <c r="I1144" s="92">
        <v>53</v>
      </c>
      <c r="J1144" s="92" t="s">
        <v>10</v>
      </c>
      <c r="K1144" s="92" t="s">
        <v>722</v>
      </c>
      <c r="L1144" s="810">
        <v>5</v>
      </c>
      <c r="M1144" s="811" t="str">
        <f t="shared" si="89"/>
        <v>High School Graduate</v>
      </c>
      <c r="N1144" s="92" t="s">
        <v>1208</v>
      </c>
      <c r="O1144" s="812" t="s">
        <v>2214</v>
      </c>
      <c r="P1144" s="1638"/>
      <c r="Q1144" s="812" t="s">
        <v>2214</v>
      </c>
      <c r="U1144" s="813">
        <v>12000</v>
      </c>
      <c r="V1144" s="814">
        <f>SUM(S1141:U1144)</f>
        <v>30600</v>
      </c>
      <c r="W1144" s="815">
        <v>3</v>
      </c>
      <c r="X1144" s="811" t="str">
        <f t="shared" si="90"/>
        <v>within the Province</v>
      </c>
      <c r="AB1144" s="924">
        <f>SUM(Y1141:AA1144)</f>
        <v>11200</v>
      </c>
      <c r="AG1144" s="807" t="str">
        <f t="shared" si="91"/>
        <v/>
      </c>
      <c r="AJ1144" s="865"/>
    </row>
    <row r="1145" spans="1:36" ht="15">
      <c r="A1145" s="954"/>
      <c r="B1145" s="831"/>
      <c r="D1145" s="1069"/>
      <c r="G1145" s="827"/>
      <c r="H1145" s="809" t="s">
        <v>2634</v>
      </c>
      <c r="I1145" s="92">
        <v>58</v>
      </c>
      <c r="J1145" s="92" t="s">
        <v>18</v>
      </c>
      <c r="K1145" s="92" t="s">
        <v>722</v>
      </c>
      <c r="L1145" s="810">
        <v>5</v>
      </c>
      <c r="M1145" s="811" t="str">
        <f t="shared" si="89"/>
        <v>High School Graduate</v>
      </c>
      <c r="P1145" s="1638"/>
      <c r="R1145" s="92" t="s">
        <v>8234</v>
      </c>
      <c r="V1145" s="828"/>
      <c r="X1145" s="811" t="str">
        <f t="shared" si="90"/>
        <v/>
      </c>
      <c r="AB1145" s="950"/>
      <c r="AG1145" s="807" t="str">
        <f t="shared" si="91"/>
        <v/>
      </c>
      <c r="AJ1145" s="865"/>
    </row>
    <row r="1146" spans="1:36" ht="15">
      <c r="A1146" s="954"/>
      <c r="B1146" s="831"/>
      <c r="D1146" s="1069"/>
      <c r="G1146" s="827"/>
      <c r="H1146" s="809" t="s">
        <v>9626</v>
      </c>
      <c r="I1146" s="92">
        <v>21</v>
      </c>
      <c r="J1146" s="92" t="s">
        <v>10</v>
      </c>
      <c r="K1146" s="92" t="s">
        <v>768</v>
      </c>
      <c r="L1146" s="810">
        <v>5</v>
      </c>
      <c r="M1146" s="811" t="str">
        <f t="shared" si="89"/>
        <v>High School Graduate</v>
      </c>
      <c r="N1146" s="92" t="s">
        <v>1208</v>
      </c>
      <c r="P1146" s="1638"/>
      <c r="R1146" s="932"/>
      <c r="U1146" s="813">
        <v>60000</v>
      </c>
      <c r="V1146" s="828"/>
      <c r="W1146" s="815">
        <v>1</v>
      </c>
      <c r="X1146" s="811" t="str">
        <f t="shared" si="90"/>
        <v>within the Brgy</v>
      </c>
      <c r="AB1146" s="950"/>
      <c r="AG1146" s="807" t="str">
        <f t="shared" si="91"/>
        <v/>
      </c>
      <c r="AJ1146" s="865"/>
    </row>
    <row r="1147" spans="1:36" ht="15">
      <c r="D1147" s="1069"/>
      <c r="H1147" s="809" t="s">
        <v>9628</v>
      </c>
      <c r="I1147" s="92">
        <v>34</v>
      </c>
      <c r="J1147" s="92" t="s">
        <v>18</v>
      </c>
      <c r="K1147" s="92" t="s">
        <v>707</v>
      </c>
      <c r="L1147" s="810">
        <v>5</v>
      </c>
      <c r="M1147" s="811" t="str">
        <f t="shared" si="89"/>
        <v>High School Graduate</v>
      </c>
      <c r="N1147" s="92" t="s">
        <v>1208</v>
      </c>
      <c r="P1147" s="1638"/>
      <c r="R1147" s="932"/>
      <c r="S1147" s="813">
        <f>250*26</f>
        <v>6500</v>
      </c>
      <c r="V1147" s="828">
        <f>SUM(S1145:U1147)</f>
        <v>66500</v>
      </c>
      <c r="X1147" s="811" t="str">
        <f t="shared" si="90"/>
        <v/>
      </c>
      <c r="AB1147" s="953">
        <f>SUM(Y1145:AA1147)</f>
        <v>0</v>
      </c>
      <c r="AG1147" s="807" t="str">
        <f t="shared" si="91"/>
        <v/>
      </c>
      <c r="AJ1147" s="865"/>
    </row>
    <row r="1148" spans="1:36" ht="15">
      <c r="A1148" s="755" t="s">
        <v>7421</v>
      </c>
      <c r="B1148" s="752" t="s">
        <v>7765</v>
      </c>
      <c r="C1148" s="132" t="s">
        <v>2640</v>
      </c>
      <c r="D1148" s="1070" t="s">
        <v>9627</v>
      </c>
      <c r="E1148" s="533" t="s">
        <v>2640</v>
      </c>
      <c r="F1148" s="1048" t="s">
        <v>3751</v>
      </c>
      <c r="G1148" s="809" t="s">
        <v>2640</v>
      </c>
      <c r="H1148" s="809" t="s">
        <v>3751</v>
      </c>
      <c r="I1148" s="92">
        <v>36</v>
      </c>
      <c r="J1148" s="92" t="s">
        <v>10</v>
      </c>
      <c r="K1148" s="92" t="s">
        <v>707</v>
      </c>
      <c r="L1148" s="810">
        <v>5</v>
      </c>
      <c r="M1148" s="811" t="str">
        <f t="shared" si="89"/>
        <v>High School Graduate</v>
      </c>
      <c r="P1148" s="1638"/>
      <c r="R1148" s="92" t="s">
        <v>1208</v>
      </c>
      <c r="V1148" s="961"/>
      <c r="X1148" s="811" t="str">
        <f t="shared" si="90"/>
        <v/>
      </c>
      <c r="AB1148" s="962"/>
      <c r="AG1148" s="807" t="str">
        <f t="shared" si="91"/>
        <v/>
      </c>
      <c r="AJ1148" s="865"/>
    </row>
    <row r="1149" spans="1:36" ht="15">
      <c r="A1149" s="755" t="s">
        <v>7421</v>
      </c>
      <c r="D1149" s="1070" t="s">
        <v>9627</v>
      </c>
      <c r="E1149" s="533" t="s">
        <v>2640</v>
      </c>
      <c r="G1149" s="827"/>
      <c r="H1149" s="809" t="s">
        <v>9629</v>
      </c>
      <c r="I1149" s="92">
        <v>9</v>
      </c>
      <c r="J1149" s="92" t="s">
        <v>18</v>
      </c>
      <c r="K1149" s="92" t="s">
        <v>768</v>
      </c>
      <c r="L1149" s="810">
        <v>2</v>
      </c>
      <c r="M1149" s="811" t="str">
        <f t="shared" si="89"/>
        <v>Elementary Level</v>
      </c>
      <c r="N1149" s="92" t="s">
        <v>1208</v>
      </c>
      <c r="O1149" s="812" t="s">
        <v>2968</v>
      </c>
      <c r="P1149" s="1638"/>
      <c r="Q1149" s="812" t="s">
        <v>2968</v>
      </c>
      <c r="R1149" s="812" t="s">
        <v>10434</v>
      </c>
      <c r="U1149" s="813">
        <v>10500</v>
      </c>
      <c r="V1149" s="961"/>
      <c r="W1149" s="815">
        <v>2</v>
      </c>
      <c r="X1149" s="811" t="str">
        <f t="shared" si="90"/>
        <v>within the Municipality/City</v>
      </c>
      <c r="AA1149" s="816">
        <v>720</v>
      </c>
      <c r="AB1149" s="962"/>
      <c r="AG1149" s="807" t="str">
        <f t="shared" si="91"/>
        <v/>
      </c>
      <c r="AJ1149" s="865"/>
    </row>
    <row r="1150" spans="1:36" ht="15">
      <c r="A1150" s="755" t="s">
        <v>7421</v>
      </c>
      <c r="D1150" s="1070" t="s">
        <v>9627</v>
      </c>
      <c r="E1150" s="533" t="s">
        <v>2640</v>
      </c>
      <c r="G1150" s="827"/>
      <c r="H1150" s="809" t="s">
        <v>9630</v>
      </c>
      <c r="I1150" s="92">
        <v>4</v>
      </c>
      <c r="J1150" s="92" t="s">
        <v>10</v>
      </c>
      <c r="K1150" s="92" t="s">
        <v>768</v>
      </c>
      <c r="L1150" s="810">
        <v>1</v>
      </c>
      <c r="M1150" s="811" t="str">
        <f t="shared" si="89"/>
        <v>Pre-school</v>
      </c>
      <c r="P1150" s="1638"/>
      <c r="V1150" s="961"/>
      <c r="X1150" s="811" t="str">
        <f t="shared" si="90"/>
        <v/>
      </c>
      <c r="AB1150" s="962"/>
      <c r="AG1150" s="807" t="str">
        <f t="shared" si="91"/>
        <v/>
      </c>
      <c r="AJ1150" s="865"/>
    </row>
    <row r="1151" spans="1:36" ht="15">
      <c r="A1151" s="755" t="s">
        <v>7421</v>
      </c>
      <c r="D1151" s="1070" t="s">
        <v>9627</v>
      </c>
      <c r="E1151" s="533" t="s">
        <v>2640</v>
      </c>
      <c r="G1151" s="827"/>
      <c r="H1151" s="809" t="s">
        <v>9631</v>
      </c>
      <c r="I1151" s="92">
        <v>30</v>
      </c>
      <c r="J1151" s="92" t="s">
        <v>10</v>
      </c>
      <c r="K1151" s="92" t="s">
        <v>722</v>
      </c>
      <c r="L1151" s="810">
        <v>5</v>
      </c>
      <c r="M1151" s="811" t="str">
        <f t="shared" si="89"/>
        <v>High School Graduate</v>
      </c>
      <c r="P1151" s="1638"/>
      <c r="V1151" s="961"/>
      <c r="X1151" s="811" t="str">
        <f t="shared" si="90"/>
        <v/>
      </c>
      <c r="AB1151" s="962"/>
      <c r="AG1151" s="807" t="str">
        <f t="shared" si="91"/>
        <v/>
      </c>
      <c r="AJ1151" s="865"/>
    </row>
    <row r="1152" spans="1:36" ht="15">
      <c r="A1152" s="755" t="s">
        <v>7421</v>
      </c>
      <c r="D1152" s="1070" t="s">
        <v>9627</v>
      </c>
      <c r="E1152" s="533" t="s">
        <v>2640</v>
      </c>
      <c r="G1152" s="827"/>
      <c r="H1152" s="809" t="s">
        <v>9632</v>
      </c>
      <c r="I1152" s="92">
        <v>36</v>
      </c>
      <c r="J1152" s="92" t="s">
        <v>10</v>
      </c>
      <c r="K1152" s="92" t="s">
        <v>722</v>
      </c>
      <c r="L1152" s="810">
        <v>5</v>
      </c>
      <c r="M1152" s="811" t="str">
        <f t="shared" si="89"/>
        <v>High School Graduate</v>
      </c>
      <c r="N1152" s="92" t="s">
        <v>1208</v>
      </c>
      <c r="O1152" s="812" t="s">
        <v>2968</v>
      </c>
      <c r="P1152" s="1638"/>
      <c r="Q1152" s="812" t="s">
        <v>2968</v>
      </c>
      <c r="R1152" s="812" t="s">
        <v>8285</v>
      </c>
      <c r="U1152" s="813">
        <v>10500</v>
      </c>
      <c r="V1152" s="961"/>
      <c r="W1152" s="815">
        <v>2</v>
      </c>
      <c r="X1152" s="811" t="str">
        <f t="shared" si="90"/>
        <v>within the Municipality/City</v>
      </c>
      <c r="AA1152" s="816">
        <v>720</v>
      </c>
      <c r="AB1152" s="962"/>
      <c r="AG1152" s="807" t="str">
        <f t="shared" si="91"/>
        <v/>
      </c>
      <c r="AJ1152" s="865"/>
    </row>
    <row r="1153" spans="1:97" ht="15">
      <c r="A1153" s="755" t="s">
        <v>7421</v>
      </c>
      <c r="D1153" s="1070" t="s">
        <v>9627</v>
      </c>
      <c r="E1153" s="533" t="s">
        <v>2640</v>
      </c>
      <c r="G1153" s="827"/>
      <c r="H1153" s="809" t="s">
        <v>9633</v>
      </c>
      <c r="I1153" s="92">
        <v>4</v>
      </c>
      <c r="J1153" s="92" t="s">
        <v>18</v>
      </c>
      <c r="K1153" s="92" t="s">
        <v>768</v>
      </c>
      <c r="L1153" s="810">
        <v>1</v>
      </c>
      <c r="M1153" s="811" t="str">
        <f t="shared" si="89"/>
        <v>Pre-school</v>
      </c>
      <c r="P1153" s="1638"/>
      <c r="V1153" s="961"/>
      <c r="X1153" s="811" t="str">
        <f t="shared" si="90"/>
        <v/>
      </c>
      <c r="AB1153" s="962"/>
      <c r="AG1153" s="807" t="str">
        <f t="shared" si="91"/>
        <v/>
      </c>
      <c r="AJ1153" s="865"/>
    </row>
    <row r="1154" spans="1:97" ht="15">
      <c r="A1154" s="755" t="s">
        <v>7421</v>
      </c>
      <c r="D1154" s="1070" t="s">
        <v>9627</v>
      </c>
      <c r="E1154" s="533" t="s">
        <v>2640</v>
      </c>
      <c r="F1154" s="807"/>
      <c r="G1154" s="827"/>
      <c r="H1154" s="809" t="s">
        <v>9634</v>
      </c>
      <c r="I1154" s="92">
        <v>28</v>
      </c>
      <c r="J1154" s="92" t="s">
        <v>18</v>
      </c>
      <c r="K1154" s="92" t="s">
        <v>722</v>
      </c>
      <c r="L1154" s="810">
        <v>3</v>
      </c>
      <c r="M1154" s="811" t="str">
        <f t="shared" si="89"/>
        <v>Elementary Graduate</v>
      </c>
      <c r="P1154" s="1638"/>
      <c r="V1154" s="961"/>
      <c r="X1154" s="811" t="str">
        <f t="shared" si="90"/>
        <v/>
      </c>
      <c r="AB1154" s="962"/>
      <c r="AG1154" s="807" t="str">
        <f t="shared" si="91"/>
        <v/>
      </c>
      <c r="AJ1154" s="865"/>
    </row>
    <row r="1155" spans="1:97" ht="15">
      <c r="A1155" s="755" t="s">
        <v>7421</v>
      </c>
      <c r="D1155" s="1070" t="s">
        <v>9627</v>
      </c>
      <c r="E1155" s="533" t="s">
        <v>2640</v>
      </c>
      <c r="G1155" s="827"/>
      <c r="H1155" s="809" t="s">
        <v>9635</v>
      </c>
      <c r="I1155" s="92">
        <v>33</v>
      </c>
      <c r="J1155" s="92" t="s">
        <v>10</v>
      </c>
      <c r="K1155" s="92" t="s">
        <v>722</v>
      </c>
      <c r="L1155" s="810">
        <v>5</v>
      </c>
      <c r="M1155" s="811" t="str">
        <f t="shared" si="89"/>
        <v>High School Graduate</v>
      </c>
      <c r="P1155" s="1638"/>
      <c r="V1155" s="961"/>
      <c r="X1155" s="811" t="str">
        <f t="shared" si="90"/>
        <v/>
      </c>
      <c r="AB1155" s="962"/>
      <c r="AG1155" s="807" t="str">
        <f t="shared" si="91"/>
        <v/>
      </c>
      <c r="AJ1155" s="865"/>
    </row>
    <row r="1156" spans="1:97" ht="15">
      <c r="A1156" s="755" t="s">
        <v>7421</v>
      </c>
      <c r="D1156" s="1070" t="s">
        <v>9627</v>
      </c>
      <c r="E1156" s="533" t="s">
        <v>2640</v>
      </c>
      <c r="G1156" s="827"/>
      <c r="H1156" s="809" t="s">
        <v>9636</v>
      </c>
      <c r="I1156" s="92">
        <f>6/12</f>
        <v>0.5</v>
      </c>
      <c r="J1156" s="92" t="s">
        <v>18</v>
      </c>
      <c r="K1156" s="92" t="s">
        <v>768</v>
      </c>
      <c r="L1156" s="810">
        <v>10</v>
      </c>
      <c r="M1156" s="811" t="str">
        <f t="shared" ref="M1156:M1187" si="92">IF(ISBLANK(L1156)=TRUE,"",LOOKUP(L1156,GQ:GR))</f>
        <v>Not In School Age</v>
      </c>
      <c r="N1156" s="92" t="s">
        <v>1208</v>
      </c>
      <c r="O1156" s="812" t="s">
        <v>3640</v>
      </c>
      <c r="P1156" s="1638"/>
      <c r="Q1156" s="812" t="s">
        <v>3640</v>
      </c>
      <c r="R1156" s="812" t="s">
        <v>8285</v>
      </c>
      <c r="T1156" s="813">
        <v>12000</v>
      </c>
      <c r="V1156" s="961"/>
      <c r="W1156" s="815">
        <v>2</v>
      </c>
      <c r="X1156" s="811" t="str">
        <f t="shared" si="90"/>
        <v>within the Municipality/City</v>
      </c>
      <c r="Z1156" s="816">
        <v>900</v>
      </c>
      <c r="AB1156" s="962"/>
      <c r="AG1156" s="807" t="str">
        <f t="shared" si="91"/>
        <v/>
      </c>
      <c r="AJ1156" s="865"/>
    </row>
    <row r="1157" spans="1:97" ht="15">
      <c r="A1157" s="755" t="s">
        <v>7421</v>
      </c>
      <c r="D1157" s="1070" t="s">
        <v>9627</v>
      </c>
      <c r="E1157" s="533" t="s">
        <v>2640</v>
      </c>
      <c r="G1157" s="827"/>
      <c r="H1157" s="809" t="s">
        <v>9637</v>
      </c>
      <c r="I1157" s="92">
        <v>23</v>
      </c>
      <c r="J1157" s="92" t="s">
        <v>10</v>
      </c>
      <c r="K1157" s="92" t="s">
        <v>768</v>
      </c>
      <c r="L1157" s="810">
        <v>5</v>
      </c>
      <c r="M1157" s="811" t="str">
        <f t="shared" si="92"/>
        <v>High School Graduate</v>
      </c>
      <c r="P1157" s="1638"/>
      <c r="V1157" s="961"/>
      <c r="X1157" s="811" t="str">
        <f t="shared" ref="X1157:X1188" si="93">IF(ISBLANK(W1157)=TRUE,"",LOOKUP(W1157,GO:GP))</f>
        <v/>
      </c>
      <c r="AB1157" s="962"/>
      <c r="AG1157" s="807" t="str">
        <f t="shared" si="91"/>
        <v/>
      </c>
      <c r="AJ1157" s="865"/>
    </row>
    <row r="1158" spans="1:97" ht="15">
      <c r="A1158" s="755" t="s">
        <v>7421</v>
      </c>
      <c r="D1158" s="1070" t="s">
        <v>9627</v>
      </c>
      <c r="E1158" s="533"/>
      <c r="G1158" s="827"/>
      <c r="H1158" s="809" t="s">
        <v>9638</v>
      </c>
      <c r="I1158" s="92">
        <v>12</v>
      </c>
      <c r="J1158" s="92" t="s">
        <v>18</v>
      </c>
      <c r="K1158" s="92" t="s">
        <v>768</v>
      </c>
      <c r="L1158" s="810">
        <v>2</v>
      </c>
      <c r="M1158" s="811" t="str">
        <f t="shared" si="92"/>
        <v>Elementary Level</v>
      </c>
      <c r="N1158" s="92" t="s">
        <v>1208</v>
      </c>
      <c r="O1158" s="812" t="s">
        <v>2968</v>
      </c>
      <c r="P1158" s="1638"/>
      <c r="Q1158" s="812" t="s">
        <v>2968</v>
      </c>
      <c r="R1158" s="812" t="s">
        <v>8285</v>
      </c>
      <c r="U1158" s="813">
        <v>10500</v>
      </c>
      <c r="V1158" s="961">
        <f>SUM(S1148:U1159)</f>
        <v>43500</v>
      </c>
      <c r="W1158" s="815">
        <v>2</v>
      </c>
      <c r="X1158" s="811" t="str">
        <f t="shared" si="93"/>
        <v>within the Municipality/City</v>
      </c>
      <c r="AA1158" s="816">
        <v>720</v>
      </c>
      <c r="AB1158" s="962">
        <f>SUM(Y1148:AA1158)</f>
        <v>3060</v>
      </c>
      <c r="AG1158" s="807" t="str">
        <f t="shared" si="91"/>
        <v/>
      </c>
      <c r="AJ1158" s="865"/>
    </row>
    <row r="1159" spans="1:97" ht="15">
      <c r="A1159" s="19" t="s">
        <v>7421</v>
      </c>
      <c r="B1159" s="752" t="s">
        <v>7763</v>
      </c>
      <c r="C1159" s="132" t="s">
        <v>2649</v>
      </c>
      <c r="D1159" s="1069" t="s">
        <v>9639</v>
      </c>
      <c r="E1159" s="533" t="s">
        <v>2649</v>
      </c>
      <c r="F1159" s="1048" t="s">
        <v>2654</v>
      </c>
      <c r="G1159" s="809" t="s">
        <v>2649</v>
      </c>
      <c r="H1159" s="809" t="s">
        <v>2654</v>
      </c>
      <c r="I1159" s="92">
        <v>61</v>
      </c>
      <c r="J1159" s="92" t="s">
        <v>18</v>
      </c>
      <c r="K1159" s="92" t="s">
        <v>719</v>
      </c>
      <c r="L1159" s="810">
        <v>2</v>
      </c>
      <c r="M1159" s="811" t="str">
        <f t="shared" si="92"/>
        <v>Elementary Level</v>
      </c>
      <c r="P1159" s="1638"/>
      <c r="R1159" s="1350" t="s">
        <v>1208</v>
      </c>
      <c r="X1159" s="811" t="str">
        <f t="shared" si="93"/>
        <v/>
      </c>
      <c r="AD1159" s="817" t="s">
        <v>9640</v>
      </c>
      <c r="AG1159" s="807" t="str">
        <f t="shared" si="91"/>
        <v/>
      </c>
      <c r="AJ1159" s="865"/>
    </row>
    <row r="1160" spans="1:97" ht="15">
      <c r="A1160" s="19" t="s">
        <v>7421</v>
      </c>
      <c r="D1160" s="1069" t="s">
        <v>9639</v>
      </c>
      <c r="E1160" s="533" t="s">
        <v>2649</v>
      </c>
      <c r="G1160" s="827"/>
      <c r="H1160" s="809" t="s">
        <v>9641</v>
      </c>
      <c r="I1160" s="92">
        <v>29</v>
      </c>
      <c r="J1160" s="92" t="s">
        <v>10</v>
      </c>
      <c r="K1160" s="92" t="s">
        <v>722</v>
      </c>
      <c r="L1160" s="810">
        <v>4</v>
      </c>
      <c r="M1160" s="811" t="str">
        <f t="shared" si="92"/>
        <v>High School Level</v>
      </c>
      <c r="P1160" s="1638"/>
      <c r="R1160" s="1351"/>
      <c r="W1160" s="815">
        <v>3</v>
      </c>
      <c r="X1160" s="811" t="str">
        <f t="shared" si="93"/>
        <v>within the Province</v>
      </c>
      <c r="Y1160" s="816">
        <f>34*26</f>
        <v>884</v>
      </c>
      <c r="AG1160" s="807" t="str">
        <f t="shared" ref="AG1160:AG1191" si="94">IF(ISBLANK(AF1160)=TRUE,"",LOOKUP(AF1160,GS:GT))</f>
        <v/>
      </c>
      <c r="AJ1160" s="865"/>
    </row>
    <row r="1161" spans="1:97" ht="15">
      <c r="A1161" s="19" t="s">
        <v>7421</v>
      </c>
      <c r="D1161" s="1069" t="s">
        <v>9639</v>
      </c>
      <c r="E1161" s="533" t="s">
        <v>2649</v>
      </c>
      <c r="G1161" s="827"/>
      <c r="H1161" s="809" t="s">
        <v>9643</v>
      </c>
      <c r="I1161" s="92">
        <v>24</v>
      </c>
      <c r="J1161" s="92" t="s">
        <v>18</v>
      </c>
      <c r="K1161" s="92" t="s">
        <v>722</v>
      </c>
      <c r="L1161" s="810">
        <v>2</v>
      </c>
      <c r="M1161" s="811" t="str">
        <f t="shared" si="92"/>
        <v>Elementary Level</v>
      </c>
      <c r="N1161" s="92" t="s">
        <v>1208</v>
      </c>
      <c r="O1161" s="812" t="s">
        <v>9642</v>
      </c>
      <c r="P1161" s="1638"/>
      <c r="Q1161" s="812" t="s">
        <v>9642</v>
      </c>
      <c r="R1161" s="92" t="s">
        <v>8285</v>
      </c>
      <c r="S1161" s="813">
        <v>10500</v>
      </c>
      <c r="V1161" s="814">
        <f>SUM(S1160:U1162)</f>
        <v>10500</v>
      </c>
      <c r="X1161" s="811" t="str">
        <f t="shared" si="93"/>
        <v/>
      </c>
      <c r="AB1161" s="924">
        <f>SUM(Y1159:AA1161)</f>
        <v>884</v>
      </c>
      <c r="AG1161" s="807" t="str">
        <f t="shared" si="94"/>
        <v/>
      </c>
      <c r="AJ1161" s="865"/>
    </row>
    <row r="1162" spans="1:97" ht="15">
      <c r="A1162" s="19" t="s">
        <v>7421</v>
      </c>
      <c r="B1162" s="752" t="s">
        <v>7689</v>
      </c>
      <c r="C1162" s="132" t="s">
        <v>2661</v>
      </c>
      <c r="D1162" s="1070" t="s">
        <v>9644</v>
      </c>
      <c r="E1162" s="533" t="s">
        <v>2661</v>
      </c>
      <c r="F1162" s="1048" t="s">
        <v>5505</v>
      </c>
      <c r="G1162" s="117" t="s">
        <v>2661</v>
      </c>
      <c r="H1162" s="809" t="s">
        <v>5505</v>
      </c>
      <c r="I1162" s="92">
        <v>30</v>
      </c>
      <c r="J1162" s="92" t="s">
        <v>10</v>
      </c>
      <c r="K1162" s="92" t="s">
        <v>722</v>
      </c>
      <c r="L1162" s="810">
        <v>5</v>
      </c>
      <c r="M1162" s="811" t="str">
        <f t="shared" si="92"/>
        <v>High School Graduate</v>
      </c>
      <c r="P1162" s="1638"/>
      <c r="R1162" s="812" t="s">
        <v>1208</v>
      </c>
      <c r="V1162" s="828"/>
      <c r="W1162" s="815">
        <v>2</v>
      </c>
      <c r="X1162" s="811" t="str">
        <f t="shared" si="93"/>
        <v>within the Municipality/City</v>
      </c>
      <c r="Y1162" s="816">
        <f>32*26</f>
        <v>832</v>
      </c>
      <c r="AB1162" s="950"/>
      <c r="AG1162" s="807" t="str">
        <f t="shared" si="94"/>
        <v/>
      </c>
      <c r="AJ1162" s="865"/>
    </row>
    <row r="1163" spans="1:97" ht="15">
      <c r="A1163" s="19" t="s">
        <v>7421</v>
      </c>
      <c r="D1163" s="1070" t="s">
        <v>9644</v>
      </c>
      <c r="E1163" s="533" t="s">
        <v>2661</v>
      </c>
      <c r="G1163" s="827"/>
      <c r="H1163" s="809" t="s">
        <v>2665</v>
      </c>
      <c r="I1163" s="92">
        <v>24</v>
      </c>
      <c r="J1163" s="92" t="s">
        <v>18</v>
      </c>
      <c r="K1163" s="92" t="s">
        <v>722</v>
      </c>
      <c r="L1163" s="810">
        <v>3</v>
      </c>
      <c r="M1163" s="811" t="str">
        <f t="shared" si="92"/>
        <v>Elementary Graduate</v>
      </c>
      <c r="N1163" s="92" t="s">
        <v>1208</v>
      </c>
      <c r="O1163" s="812" t="s">
        <v>1985</v>
      </c>
      <c r="P1163" s="1638" t="s">
        <v>12606</v>
      </c>
      <c r="Q1163" s="812" t="s">
        <v>1985</v>
      </c>
      <c r="R1163" s="92" t="s">
        <v>8234</v>
      </c>
      <c r="S1163" s="813">
        <f>350*26</f>
        <v>9100</v>
      </c>
      <c r="V1163" s="828"/>
      <c r="X1163" s="811" t="str">
        <f t="shared" si="93"/>
        <v/>
      </c>
      <c r="AB1163" s="950"/>
      <c r="AG1163" s="807" t="str">
        <f t="shared" si="94"/>
        <v/>
      </c>
      <c r="AJ1163" s="865"/>
      <c r="CF1163" s="807">
        <v>1</v>
      </c>
      <c r="CQ1163" s="807" t="s">
        <v>2146</v>
      </c>
      <c r="CS1163" s="807" t="s">
        <v>2145</v>
      </c>
    </row>
    <row r="1164" spans="1:97" ht="15">
      <c r="A1164" s="19" t="s">
        <v>7421</v>
      </c>
      <c r="D1164" s="1070" t="s">
        <v>9644</v>
      </c>
      <c r="E1164" s="533" t="s">
        <v>2661</v>
      </c>
      <c r="G1164" s="827"/>
      <c r="H1164" s="809" t="s">
        <v>9645</v>
      </c>
      <c r="I1164" s="92">
        <v>5</v>
      </c>
      <c r="J1164" s="92" t="s">
        <v>18</v>
      </c>
      <c r="K1164" s="92" t="s">
        <v>768</v>
      </c>
      <c r="L1164" s="810">
        <v>10</v>
      </c>
      <c r="M1164" s="811" t="str">
        <f t="shared" si="92"/>
        <v>Not In School Age</v>
      </c>
      <c r="P1164" s="1638"/>
      <c r="V1164" s="828"/>
      <c r="X1164" s="811" t="str">
        <f t="shared" si="93"/>
        <v/>
      </c>
      <c r="AB1164" s="950"/>
      <c r="AG1164" s="807" t="str">
        <f t="shared" si="94"/>
        <v/>
      </c>
      <c r="AJ1164" s="865"/>
    </row>
    <row r="1165" spans="1:97" ht="15">
      <c r="A1165" s="19" t="s">
        <v>7421</v>
      </c>
      <c r="D1165" s="1070" t="s">
        <v>9644</v>
      </c>
      <c r="E1165" s="533" t="s">
        <v>2661</v>
      </c>
      <c r="G1165" s="827"/>
      <c r="H1165" s="809" t="s">
        <v>12500</v>
      </c>
      <c r="I1165" s="92">
        <v>2</v>
      </c>
      <c r="J1165" s="92" t="s">
        <v>18</v>
      </c>
      <c r="K1165" s="92" t="s">
        <v>768</v>
      </c>
      <c r="L1165" s="810">
        <v>10</v>
      </c>
      <c r="M1165" s="811" t="str">
        <f t="shared" si="92"/>
        <v>Not In School Age</v>
      </c>
      <c r="P1165" s="1638"/>
      <c r="V1165" s="828">
        <f>SUM(S1163:U1166)</f>
        <v>9100</v>
      </c>
      <c r="X1165" s="811" t="str">
        <f t="shared" si="93"/>
        <v/>
      </c>
      <c r="Y1165" s="811"/>
      <c r="AB1165" s="953">
        <f>SUM(Y1162:AA1165)</f>
        <v>832</v>
      </c>
      <c r="AG1165" s="807" t="str">
        <f t="shared" si="94"/>
        <v/>
      </c>
      <c r="AJ1165" s="865"/>
    </row>
    <row r="1166" spans="1:97" ht="15">
      <c r="A1166" s="19" t="s">
        <v>7421</v>
      </c>
      <c r="B1166" s="752" t="s">
        <v>7690</v>
      </c>
      <c r="C1166" s="132" t="s">
        <v>2666</v>
      </c>
      <c r="D1166" s="1070" t="s">
        <v>9646</v>
      </c>
      <c r="E1166" s="533" t="s">
        <v>2666</v>
      </c>
      <c r="F1166" s="1048" t="s">
        <v>2670</v>
      </c>
      <c r="G1166" s="809" t="s">
        <v>2666</v>
      </c>
      <c r="H1166" s="809" t="s">
        <v>2670</v>
      </c>
      <c r="I1166" s="92">
        <v>25</v>
      </c>
      <c r="J1166" s="92" t="s">
        <v>10</v>
      </c>
      <c r="K1166" s="92" t="s">
        <v>722</v>
      </c>
      <c r="L1166" s="810">
        <v>2</v>
      </c>
      <c r="M1166" s="811" t="str">
        <f t="shared" si="92"/>
        <v>Elementary Level</v>
      </c>
      <c r="P1166" s="1638"/>
      <c r="R1166" s="812" t="s">
        <v>1208</v>
      </c>
      <c r="V1166" s="961"/>
      <c r="W1166" s="815">
        <v>1</v>
      </c>
      <c r="X1166" s="811" t="str">
        <f t="shared" si="93"/>
        <v>within the Brgy</v>
      </c>
      <c r="Y1166" s="811"/>
      <c r="AB1166" s="962"/>
      <c r="AG1166" s="807" t="str">
        <f t="shared" si="94"/>
        <v/>
      </c>
      <c r="AJ1166" s="865"/>
    </row>
    <row r="1167" spans="1:97" ht="15">
      <c r="A1167" s="19" t="s">
        <v>7421</v>
      </c>
      <c r="D1167" s="1070" t="s">
        <v>9646</v>
      </c>
      <c r="E1167" s="533" t="s">
        <v>2666</v>
      </c>
      <c r="G1167" s="827"/>
      <c r="H1167" s="809" t="s">
        <v>9647</v>
      </c>
      <c r="I1167" s="92">
        <v>22</v>
      </c>
      <c r="J1167" s="92" t="s">
        <v>18</v>
      </c>
      <c r="K1167" s="92" t="s">
        <v>722</v>
      </c>
      <c r="L1167" s="810">
        <v>4</v>
      </c>
      <c r="M1167" s="811" t="str">
        <f t="shared" si="92"/>
        <v>High School Level</v>
      </c>
      <c r="N1167" s="92" t="s">
        <v>1208</v>
      </c>
      <c r="O1167" s="812" t="s">
        <v>3545</v>
      </c>
      <c r="P1167" s="1638"/>
      <c r="Q1167" s="812" t="s">
        <v>3545</v>
      </c>
      <c r="R1167" s="92" t="s">
        <v>8234</v>
      </c>
      <c r="U1167" s="813">
        <v>6000</v>
      </c>
      <c r="V1167" s="961"/>
      <c r="X1167" s="811" t="str">
        <f t="shared" si="93"/>
        <v/>
      </c>
      <c r="Y1167" s="811"/>
      <c r="AB1167" s="962"/>
      <c r="AG1167" s="807" t="str">
        <f t="shared" si="94"/>
        <v/>
      </c>
      <c r="AJ1167" s="865"/>
    </row>
    <row r="1168" spans="1:97" ht="15">
      <c r="A1168" s="19" t="s">
        <v>7421</v>
      </c>
      <c r="D1168" s="1070" t="s">
        <v>9646</v>
      </c>
      <c r="E1168" s="533" t="s">
        <v>2666</v>
      </c>
      <c r="G1168" s="827"/>
      <c r="H1168" s="809" t="s">
        <v>9648</v>
      </c>
      <c r="I1168" s="92">
        <v>6</v>
      </c>
      <c r="J1168" s="92" t="s">
        <v>10</v>
      </c>
      <c r="K1168" s="92" t="s">
        <v>768</v>
      </c>
      <c r="L1168" s="810">
        <v>1</v>
      </c>
      <c r="M1168" s="811" t="str">
        <f t="shared" si="92"/>
        <v>Pre-school</v>
      </c>
      <c r="P1168" s="1638"/>
      <c r="V1168" s="961"/>
      <c r="X1168" s="811" t="str">
        <f t="shared" si="93"/>
        <v/>
      </c>
      <c r="Y1168" s="811"/>
      <c r="AB1168" s="962"/>
      <c r="AG1168" s="807" t="str">
        <f t="shared" si="94"/>
        <v/>
      </c>
      <c r="AJ1168" s="865"/>
    </row>
    <row r="1169" spans="1:97" ht="15">
      <c r="A1169" s="19" t="s">
        <v>7421</v>
      </c>
      <c r="D1169" s="1070" t="s">
        <v>9646</v>
      </c>
      <c r="E1169" s="533" t="s">
        <v>2666</v>
      </c>
      <c r="G1169" s="827"/>
      <c r="H1169" s="809" t="s">
        <v>9649</v>
      </c>
      <c r="I1169" s="92">
        <v>4</v>
      </c>
      <c r="J1169" s="92" t="s">
        <v>10</v>
      </c>
      <c r="K1169" s="92" t="s">
        <v>768</v>
      </c>
      <c r="L1169" s="810">
        <v>10</v>
      </c>
      <c r="M1169" s="811" t="str">
        <f t="shared" si="92"/>
        <v>Not In School Age</v>
      </c>
      <c r="P1169" s="1638"/>
      <c r="V1169" s="961">
        <f>SUM(S1167:U1170)</f>
        <v>6000</v>
      </c>
      <c r="X1169" s="811" t="str">
        <f t="shared" si="93"/>
        <v/>
      </c>
      <c r="Y1169" s="811"/>
      <c r="AB1169" s="962">
        <f>SUM(Y1166:AA1169)</f>
        <v>0</v>
      </c>
      <c r="AG1169" s="807" t="str">
        <f t="shared" si="94"/>
        <v/>
      </c>
      <c r="AJ1169" s="865"/>
    </row>
    <row r="1170" spans="1:97" ht="15">
      <c r="A1170" s="19" t="s">
        <v>7421</v>
      </c>
      <c r="B1170" s="752" t="s">
        <v>7691</v>
      </c>
      <c r="C1170" s="132" t="s">
        <v>2672</v>
      </c>
      <c r="D1170" s="1069" t="s">
        <v>9650</v>
      </c>
      <c r="E1170" s="533" t="s">
        <v>2672</v>
      </c>
      <c r="F1170" s="1048" t="s">
        <v>3752</v>
      </c>
      <c r="G1170" s="809" t="s">
        <v>2672</v>
      </c>
      <c r="H1170" s="809" t="s">
        <v>2676</v>
      </c>
      <c r="I1170" s="92">
        <v>52</v>
      </c>
      <c r="J1170" s="92" t="s">
        <v>10</v>
      </c>
      <c r="K1170" s="92" t="s">
        <v>722</v>
      </c>
      <c r="L1170" s="810">
        <v>5</v>
      </c>
      <c r="M1170" s="811" t="str">
        <f t="shared" si="92"/>
        <v>High School Graduate</v>
      </c>
      <c r="P1170" s="1638"/>
      <c r="R1170" s="812" t="s">
        <v>1208</v>
      </c>
      <c r="W1170" s="815">
        <v>3</v>
      </c>
      <c r="X1170" s="811" t="str">
        <f t="shared" si="93"/>
        <v>within the Province</v>
      </c>
      <c r="Y1170" s="811">
        <f>30*30</f>
        <v>900</v>
      </c>
      <c r="AB1170" s="940"/>
      <c r="AG1170" s="807" t="str">
        <f t="shared" si="94"/>
        <v/>
      </c>
      <c r="AJ1170" s="865"/>
      <c r="BU1170" s="807" t="s">
        <v>2144</v>
      </c>
    </row>
    <row r="1171" spans="1:97" ht="15">
      <c r="A1171" s="19" t="s">
        <v>7421</v>
      </c>
      <c r="D1171" s="1069" t="s">
        <v>9650</v>
      </c>
      <c r="E1171" s="533" t="s">
        <v>2672</v>
      </c>
      <c r="G1171" s="827"/>
      <c r="H1171" s="809" t="s">
        <v>9651</v>
      </c>
      <c r="I1171" s="92">
        <v>50</v>
      </c>
      <c r="J1171" s="92" t="s">
        <v>18</v>
      </c>
      <c r="K1171" s="92" t="s">
        <v>722</v>
      </c>
      <c r="L1171" s="810">
        <v>3</v>
      </c>
      <c r="M1171" s="811" t="str">
        <f t="shared" si="92"/>
        <v>Elementary Graduate</v>
      </c>
      <c r="N1171" s="92" t="s">
        <v>1208</v>
      </c>
      <c r="O1171" s="812" t="s">
        <v>3640</v>
      </c>
      <c r="P1171" s="1638" t="s">
        <v>12605</v>
      </c>
      <c r="Q1171" s="812" t="s">
        <v>3640</v>
      </c>
      <c r="R1171" s="92" t="s">
        <v>8234</v>
      </c>
      <c r="S1171" s="813">
        <v>12000</v>
      </c>
      <c r="X1171" s="811" t="str">
        <f t="shared" si="93"/>
        <v/>
      </c>
      <c r="Y1171" s="811"/>
      <c r="AB1171" s="940"/>
      <c r="AG1171" s="807" t="str">
        <f t="shared" si="94"/>
        <v/>
      </c>
      <c r="AJ1171" s="865"/>
      <c r="CO1171" s="807" t="s">
        <v>2145</v>
      </c>
      <c r="CS1171" s="807">
        <v>3</v>
      </c>
    </row>
    <row r="1172" spans="1:97" ht="15">
      <c r="A1172" s="19" t="s">
        <v>7421</v>
      </c>
      <c r="D1172" s="1069" t="s">
        <v>9650</v>
      </c>
      <c r="E1172" s="533" t="s">
        <v>2672</v>
      </c>
      <c r="G1172" s="827"/>
      <c r="H1172" s="809" t="s">
        <v>9652</v>
      </c>
      <c r="I1172" s="92">
        <v>25</v>
      </c>
      <c r="J1172" s="92" t="s">
        <v>10</v>
      </c>
      <c r="K1172" s="92" t="s">
        <v>707</v>
      </c>
      <c r="L1172" s="810">
        <v>4</v>
      </c>
      <c r="M1172" s="811" t="str">
        <f t="shared" si="92"/>
        <v>High School Level</v>
      </c>
      <c r="P1172" s="1638"/>
      <c r="V1172" s="814">
        <f>SUM(S1171:U1173)</f>
        <v>12000</v>
      </c>
      <c r="X1172" s="811" t="str">
        <f t="shared" si="93"/>
        <v/>
      </c>
      <c r="Y1172" s="811"/>
      <c r="AB1172" s="940">
        <f>SUM(Y1170:AA1172)</f>
        <v>900</v>
      </c>
      <c r="AG1172" s="807" t="str">
        <f t="shared" si="94"/>
        <v/>
      </c>
      <c r="AJ1172" s="865"/>
    </row>
    <row r="1173" spans="1:97" ht="15">
      <c r="A1173" s="19" t="s">
        <v>7421</v>
      </c>
      <c r="B1173" s="752" t="s">
        <v>7692</v>
      </c>
      <c r="C1173" s="132" t="s">
        <v>2678</v>
      </c>
      <c r="D1173" s="1069" t="s">
        <v>9653</v>
      </c>
      <c r="E1173" s="533" t="s">
        <v>2678</v>
      </c>
      <c r="F1173" s="1048" t="s">
        <v>3753</v>
      </c>
      <c r="G1173" s="809" t="s">
        <v>2678</v>
      </c>
      <c r="H1173" s="809" t="s">
        <v>9654</v>
      </c>
      <c r="I1173" s="92">
        <v>43</v>
      </c>
      <c r="J1173" s="92" t="s">
        <v>10</v>
      </c>
      <c r="K1173" s="92" t="s">
        <v>707</v>
      </c>
      <c r="L1173" s="810">
        <v>5</v>
      </c>
      <c r="M1173" s="811" t="str">
        <f t="shared" si="92"/>
        <v>High School Graduate</v>
      </c>
      <c r="P1173" s="1638"/>
      <c r="R1173" s="812" t="s">
        <v>1208</v>
      </c>
      <c r="V1173" s="828"/>
      <c r="W1173" s="815">
        <v>3</v>
      </c>
      <c r="X1173" s="811" t="str">
        <f t="shared" si="93"/>
        <v>within the Province</v>
      </c>
      <c r="Y1173" s="811">
        <v>400</v>
      </c>
      <c r="AB1173" s="953"/>
      <c r="AG1173" s="807" t="str">
        <f t="shared" si="94"/>
        <v/>
      </c>
      <c r="AJ1173" s="865"/>
    </row>
    <row r="1174" spans="1:97" ht="15">
      <c r="A1174" s="19" t="s">
        <v>7421</v>
      </c>
      <c r="D1174" s="1069" t="s">
        <v>9653</v>
      </c>
      <c r="E1174" s="533" t="s">
        <v>2678</v>
      </c>
      <c r="G1174" s="827"/>
      <c r="H1174" s="809" t="s">
        <v>9655</v>
      </c>
      <c r="I1174" s="92">
        <v>35</v>
      </c>
      <c r="J1174" s="92" t="s">
        <v>18</v>
      </c>
      <c r="K1174" s="92" t="s">
        <v>707</v>
      </c>
      <c r="L1174" s="810">
        <v>6</v>
      </c>
      <c r="M1174" s="811" t="str">
        <f t="shared" si="92"/>
        <v>College Level</v>
      </c>
      <c r="N1174" s="92" t="s">
        <v>1208</v>
      </c>
      <c r="O1174" s="812" t="s">
        <v>9370</v>
      </c>
      <c r="P1174" s="1638" t="s">
        <v>12606</v>
      </c>
      <c r="Q1174" s="812" t="s">
        <v>9370</v>
      </c>
      <c r="R1174" s="92" t="s">
        <v>8234</v>
      </c>
      <c r="S1174" s="813">
        <v>9000</v>
      </c>
      <c r="V1174" s="828"/>
      <c r="W1174" s="815">
        <v>1</v>
      </c>
      <c r="X1174" s="811" t="str">
        <f t="shared" si="93"/>
        <v>within the Brgy</v>
      </c>
      <c r="Y1174" s="811"/>
      <c r="AB1174" s="953"/>
      <c r="AG1174" s="807" t="str">
        <f t="shared" si="94"/>
        <v/>
      </c>
      <c r="AJ1174" s="865"/>
      <c r="BU1174" s="807">
        <v>1</v>
      </c>
      <c r="CK1174" s="807" t="s">
        <v>2145</v>
      </c>
      <c r="CQ1174" s="807">
        <v>3</v>
      </c>
    </row>
    <row r="1175" spans="1:97" ht="15">
      <c r="A1175" s="19" t="s">
        <v>7421</v>
      </c>
      <c r="D1175" s="1069" t="s">
        <v>9653</v>
      </c>
      <c r="E1175" s="533" t="s">
        <v>2678</v>
      </c>
      <c r="G1175" s="827"/>
      <c r="H1175" s="809" t="s">
        <v>9656</v>
      </c>
      <c r="I1175" s="92">
        <v>36</v>
      </c>
      <c r="J1175" s="92" t="s">
        <v>18</v>
      </c>
      <c r="K1175" s="92" t="s">
        <v>768</v>
      </c>
      <c r="L1175" s="810">
        <v>3</v>
      </c>
      <c r="M1175" s="811" t="str">
        <f t="shared" si="92"/>
        <v>Elementary Graduate</v>
      </c>
      <c r="N1175" s="92" t="s">
        <v>1208</v>
      </c>
      <c r="O1175" s="812" t="s">
        <v>3650</v>
      </c>
      <c r="P1175" s="1638"/>
      <c r="Q1175" s="812" t="s">
        <v>3650</v>
      </c>
      <c r="R1175" s="812" t="s">
        <v>8285</v>
      </c>
      <c r="U1175" s="813">
        <f>300*26</f>
        <v>7800</v>
      </c>
      <c r="V1175" s="828"/>
      <c r="W1175" s="815">
        <v>1</v>
      </c>
      <c r="X1175" s="811" t="str">
        <f t="shared" si="93"/>
        <v>within the Brgy</v>
      </c>
      <c r="Y1175" s="811"/>
      <c r="AB1175" s="953"/>
      <c r="AG1175" s="807" t="str">
        <f t="shared" si="94"/>
        <v/>
      </c>
      <c r="AJ1175" s="865"/>
    </row>
    <row r="1176" spans="1:97" ht="15">
      <c r="A1176" s="19" t="s">
        <v>7421</v>
      </c>
      <c r="B1176" s="831"/>
      <c r="D1176" s="1069" t="s">
        <v>9653</v>
      </c>
      <c r="E1176" s="533" t="s">
        <v>2678</v>
      </c>
      <c r="G1176" s="827"/>
      <c r="H1176" s="809" t="s">
        <v>9657</v>
      </c>
      <c r="I1176" s="92">
        <v>12</v>
      </c>
      <c r="J1176" s="92" t="s">
        <v>18</v>
      </c>
      <c r="K1176" s="92" t="s">
        <v>768</v>
      </c>
      <c r="L1176" s="810">
        <v>3</v>
      </c>
      <c r="M1176" s="811" t="str">
        <f t="shared" si="92"/>
        <v>Elementary Graduate</v>
      </c>
      <c r="N1176" s="92" t="s">
        <v>1208</v>
      </c>
      <c r="O1176" s="812" t="s">
        <v>3650</v>
      </c>
      <c r="P1176" s="1638"/>
      <c r="Q1176" s="812" t="s">
        <v>3650</v>
      </c>
      <c r="R1176" s="812" t="s">
        <v>8285</v>
      </c>
      <c r="S1176" s="813" t="s">
        <v>2979</v>
      </c>
      <c r="V1176" s="828"/>
      <c r="X1176" s="811" t="str">
        <f t="shared" si="93"/>
        <v/>
      </c>
      <c r="Y1176" s="811"/>
      <c r="AB1176" s="953"/>
      <c r="AG1176" s="807" t="str">
        <f t="shared" si="94"/>
        <v/>
      </c>
      <c r="AJ1176" s="865"/>
    </row>
    <row r="1177" spans="1:97" ht="15">
      <c r="A1177" s="19" t="s">
        <v>7421</v>
      </c>
      <c r="B1177" s="831"/>
      <c r="D1177" s="1069" t="s">
        <v>9653</v>
      </c>
      <c r="E1177" s="533" t="s">
        <v>2678</v>
      </c>
      <c r="G1177" s="827"/>
      <c r="H1177" s="809" t="s">
        <v>9658</v>
      </c>
      <c r="I1177" s="92">
        <v>8</v>
      </c>
      <c r="J1177" s="92" t="s">
        <v>10</v>
      </c>
      <c r="K1177" s="92" t="s">
        <v>768</v>
      </c>
      <c r="L1177" s="810">
        <v>2</v>
      </c>
      <c r="M1177" s="811" t="str">
        <f t="shared" si="92"/>
        <v>Elementary Level</v>
      </c>
      <c r="P1177" s="1638"/>
      <c r="V1177" s="828"/>
      <c r="X1177" s="811" t="str">
        <f t="shared" si="93"/>
        <v/>
      </c>
      <c r="Y1177" s="811"/>
      <c r="AB1177" s="953"/>
      <c r="AG1177" s="807" t="str">
        <f t="shared" si="94"/>
        <v/>
      </c>
      <c r="AJ1177" s="865"/>
    </row>
    <row r="1178" spans="1:97" ht="15">
      <c r="A1178" s="19" t="s">
        <v>7421</v>
      </c>
      <c r="B1178" s="831"/>
      <c r="D1178" s="1069" t="s">
        <v>9653</v>
      </c>
      <c r="E1178" s="533" t="s">
        <v>2678</v>
      </c>
      <c r="G1178" s="827"/>
      <c r="H1178" s="809" t="s">
        <v>9659</v>
      </c>
      <c r="I1178" s="92">
        <v>3</v>
      </c>
      <c r="J1178" s="92" t="s">
        <v>10</v>
      </c>
      <c r="K1178" s="92" t="s">
        <v>768</v>
      </c>
      <c r="L1178" s="810">
        <v>10</v>
      </c>
      <c r="M1178" s="811" t="str">
        <f t="shared" si="92"/>
        <v>Not In School Age</v>
      </c>
      <c r="P1178" s="1638"/>
      <c r="V1178" s="828"/>
      <c r="X1178" s="811" t="str">
        <f t="shared" si="93"/>
        <v/>
      </c>
      <c r="Y1178" s="811"/>
      <c r="AB1178" s="953"/>
      <c r="AG1178" s="807" t="str">
        <f t="shared" si="94"/>
        <v/>
      </c>
      <c r="AJ1178" s="865"/>
    </row>
    <row r="1179" spans="1:97" ht="15">
      <c r="A1179" s="19" t="s">
        <v>7421</v>
      </c>
      <c r="B1179" s="831"/>
      <c r="D1179" s="1069" t="s">
        <v>9653</v>
      </c>
      <c r="E1179" s="533" t="s">
        <v>2678</v>
      </c>
      <c r="G1179" s="827"/>
      <c r="H1179" s="809" t="s">
        <v>9660</v>
      </c>
      <c r="I1179" s="92">
        <v>13</v>
      </c>
      <c r="J1179" s="92" t="s">
        <v>18</v>
      </c>
      <c r="K1179" s="92" t="s">
        <v>768</v>
      </c>
      <c r="L1179" s="810">
        <v>5</v>
      </c>
      <c r="M1179" s="811" t="str">
        <f t="shared" si="92"/>
        <v>High School Graduate</v>
      </c>
      <c r="P1179" s="1638"/>
      <c r="V1179" s="828">
        <f>SUM(S1174:U1180)</f>
        <v>16800</v>
      </c>
      <c r="X1179" s="811" t="str">
        <f t="shared" si="93"/>
        <v/>
      </c>
      <c r="Y1179" s="811"/>
      <c r="AB1179" s="953">
        <f>SUM(Y1173:AA1179)</f>
        <v>400</v>
      </c>
      <c r="AG1179" s="807" t="str">
        <f t="shared" si="94"/>
        <v/>
      </c>
      <c r="AJ1179" s="865"/>
    </row>
    <row r="1180" spans="1:97" ht="15">
      <c r="A1180" s="19" t="s">
        <v>7421</v>
      </c>
      <c r="B1180" s="752" t="s">
        <v>7693</v>
      </c>
      <c r="C1180" s="132" t="s">
        <v>2686</v>
      </c>
      <c r="D1180" s="1069" t="s">
        <v>9661</v>
      </c>
      <c r="E1180" s="533" t="s">
        <v>2686</v>
      </c>
      <c r="F1180" s="1048" t="s">
        <v>2692</v>
      </c>
      <c r="G1180" s="745" t="s">
        <v>2686</v>
      </c>
      <c r="H1180" s="809" t="s">
        <v>2692</v>
      </c>
      <c r="I1180" s="92">
        <v>61</v>
      </c>
      <c r="J1180" s="92" t="s">
        <v>10</v>
      </c>
      <c r="K1180" s="92" t="s">
        <v>722</v>
      </c>
      <c r="L1180" s="810">
        <v>5</v>
      </c>
      <c r="M1180" s="811" t="str">
        <f t="shared" si="92"/>
        <v>High School Graduate</v>
      </c>
      <c r="P1180" s="1638"/>
      <c r="V1180" s="961"/>
      <c r="X1180" s="811" t="str">
        <f t="shared" si="93"/>
        <v/>
      </c>
      <c r="AB1180" s="964"/>
      <c r="AD1180" s="817" t="s">
        <v>9662</v>
      </c>
      <c r="AG1180" s="807" t="str">
        <f t="shared" si="94"/>
        <v/>
      </c>
      <c r="AJ1180" s="865"/>
    </row>
    <row r="1181" spans="1:97" ht="15">
      <c r="A1181" s="19" t="s">
        <v>7421</v>
      </c>
      <c r="D1181" s="1069" t="s">
        <v>9661</v>
      </c>
      <c r="E1181" s="533" t="s">
        <v>2686</v>
      </c>
      <c r="G1181" s="827"/>
      <c r="H1181" s="809" t="s">
        <v>9663</v>
      </c>
      <c r="I1181" s="92">
        <v>26</v>
      </c>
      <c r="J1181" s="92" t="s">
        <v>18</v>
      </c>
      <c r="K1181" s="92" t="s">
        <v>722</v>
      </c>
      <c r="L1181" s="810">
        <v>5</v>
      </c>
      <c r="M1181" s="811" t="str">
        <f t="shared" si="92"/>
        <v>High School Graduate</v>
      </c>
      <c r="P1181" s="1638"/>
      <c r="R1181" s="1053"/>
      <c r="V1181" s="961"/>
      <c r="W1181" s="815">
        <v>3</v>
      </c>
      <c r="X1181" s="811" t="str">
        <f t="shared" si="93"/>
        <v>within the Province</v>
      </c>
      <c r="Y1181" s="816">
        <f>20*26</f>
        <v>520</v>
      </c>
      <c r="AB1181" s="964"/>
      <c r="AD1181" s="817" t="s">
        <v>9664</v>
      </c>
      <c r="AG1181" s="807" t="str">
        <f t="shared" si="94"/>
        <v/>
      </c>
      <c r="AJ1181" s="865"/>
    </row>
    <row r="1182" spans="1:97" ht="15">
      <c r="A1182" s="19" t="s">
        <v>7421</v>
      </c>
      <c r="D1182" s="1069" t="s">
        <v>9661</v>
      </c>
      <c r="E1182" s="533" t="s">
        <v>2686</v>
      </c>
      <c r="G1182" s="827"/>
      <c r="H1182" s="809" t="s">
        <v>9665</v>
      </c>
      <c r="I1182" s="92">
        <v>48</v>
      </c>
      <c r="J1182" s="92" t="s">
        <v>18</v>
      </c>
      <c r="K1182" s="92" t="s">
        <v>722</v>
      </c>
      <c r="L1182" s="810">
        <v>2</v>
      </c>
      <c r="M1182" s="811" t="str">
        <f t="shared" si="92"/>
        <v>Elementary Level</v>
      </c>
      <c r="N1182" s="92" t="s">
        <v>1208</v>
      </c>
      <c r="O1182" s="812" t="s">
        <v>3303</v>
      </c>
      <c r="P1182" s="1638"/>
      <c r="Q1182" s="812" t="s">
        <v>3303</v>
      </c>
      <c r="R1182" s="812" t="s">
        <v>10434</v>
      </c>
      <c r="S1182" s="813">
        <v>3900</v>
      </c>
      <c r="V1182" s="961"/>
      <c r="W1182" s="815">
        <v>1</v>
      </c>
      <c r="X1182" s="811" t="str">
        <f t="shared" si="93"/>
        <v>within the Brgy</v>
      </c>
      <c r="AB1182" s="964"/>
      <c r="AG1182" s="807" t="str">
        <f t="shared" si="94"/>
        <v/>
      </c>
      <c r="AJ1182" s="865"/>
    </row>
    <row r="1183" spans="1:97" ht="15">
      <c r="A1183" s="19" t="s">
        <v>7421</v>
      </c>
      <c r="D1183" s="1069" t="s">
        <v>9661</v>
      </c>
      <c r="E1183" s="533" t="s">
        <v>2686</v>
      </c>
      <c r="G1183" s="827"/>
      <c r="H1183" s="809" t="s">
        <v>9666</v>
      </c>
      <c r="I1183" s="92">
        <v>30</v>
      </c>
      <c r="J1183" s="92" t="s">
        <v>18</v>
      </c>
      <c r="K1183" s="92" t="s">
        <v>722</v>
      </c>
      <c r="L1183" s="810">
        <v>2</v>
      </c>
      <c r="M1183" s="811" t="str">
        <f t="shared" si="92"/>
        <v>Elementary Level</v>
      </c>
      <c r="N1183" s="92" t="s">
        <v>1208</v>
      </c>
      <c r="O1183" s="812" t="s">
        <v>2972</v>
      </c>
      <c r="P1183" s="1638"/>
      <c r="Q1183" s="812" t="s">
        <v>2972</v>
      </c>
      <c r="R1183" s="812" t="s">
        <v>8285</v>
      </c>
      <c r="S1183" s="813">
        <v>7500</v>
      </c>
      <c r="V1183" s="961"/>
      <c r="X1183" s="811" t="str">
        <f t="shared" si="93"/>
        <v/>
      </c>
      <c r="AB1183" s="964"/>
      <c r="AG1183" s="807" t="str">
        <f t="shared" si="94"/>
        <v/>
      </c>
      <c r="AJ1183" s="865"/>
    </row>
    <row r="1184" spans="1:97" ht="15">
      <c r="A1184" s="19" t="s">
        <v>7421</v>
      </c>
      <c r="D1184" s="1069" t="s">
        <v>9661</v>
      </c>
      <c r="E1184" s="533" t="s">
        <v>2686</v>
      </c>
      <c r="G1184" s="827"/>
      <c r="H1184" s="809" t="s">
        <v>9667</v>
      </c>
      <c r="I1184" s="92">
        <v>28</v>
      </c>
      <c r="J1184" s="92" t="s">
        <v>18</v>
      </c>
      <c r="K1184" s="92" t="s">
        <v>722</v>
      </c>
      <c r="L1184" s="810">
        <v>2</v>
      </c>
      <c r="M1184" s="811" t="str">
        <f t="shared" si="92"/>
        <v>Elementary Level</v>
      </c>
      <c r="P1184" s="1638"/>
      <c r="V1184" s="961"/>
      <c r="X1184" s="811" t="str">
        <f t="shared" si="93"/>
        <v/>
      </c>
      <c r="AB1184" s="964"/>
      <c r="AG1184" s="807" t="str">
        <f t="shared" si="94"/>
        <v/>
      </c>
      <c r="AJ1184" s="865"/>
    </row>
    <row r="1185" spans="1:83" ht="15">
      <c r="A1185" s="19" t="s">
        <v>7421</v>
      </c>
      <c r="D1185" s="1069" t="s">
        <v>9661</v>
      </c>
      <c r="E1185" s="533" t="s">
        <v>2686</v>
      </c>
      <c r="G1185" s="827"/>
      <c r="H1185" s="809" t="s">
        <v>9668</v>
      </c>
      <c r="I1185" s="92">
        <v>7</v>
      </c>
      <c r="J1185" s="92" t="s">
        <v>10</v>
      </c>
      <c r="K1185" s="92" t="s">
        <v>768</v>
      </c>
      <c r="L1185" s="810">
        <v>1</v>
      </c>
      <c r="M1185" s="811" t="str">
        <f t="shared" si="92"/>
        <v>Pre-school</v>
      </c>
      <c r="P1185" s="1638"/>
      <c r="V1185" s="961"/>
      <c r="X1185" s="811" t="str">
        <f t="shared" si="93"/>
        <v/>
      </c>
      <c r="AB1185" s="964"/>
      <c r="AG1185" s="807" t="str">
        <f t="shared" si="94"/>
        <v/>
      </c>
      <c r="AJ1185" s="865"/>
    </row>
    <row r="1186" spans="1:83" ht="15">
      <c r="A1186" s="19" t="s">
        <v>7421</v>
      </c>
      <c r="D1186" s="1069" t="s">
        <v>9661</v>
      </c>
      <c r="E1186" s="533" t="s">
        <v>2686</v>
      </c>
      <c r="G1186" s="827"/>
      <c r="H1186" s="809" t="s">
        <v>9669</v>
      </c>
      <c r="I1186" s="92">
        <v>10</v>
      </c>
      <c r="J1186" s="92" t="s">
        <v>18</v>
      </c>
      <c r="K1186" s="92" t="s">
        <v>768</v>
      </c>
      <c r="L1186" s="810">
        <v>2</v>
      </c>
      <c r="M1186" s="811" t="str">
        <f t="shared" si="92"/>
        <v>Elementary Level</v>
      </c>
      <c r="P1186" s="1638"/>
      <c r="V1186" s="961"/>
      <c r="X1186" s="811" t="str">
        <f t="shared" si="93"/>
        <v/>
      </c>
      <c r="AB1186" s="964"/>
      <c r="AG1186" s="807" t="str">
        <f t="shared" si="94"/>
        <v/>
      </c>
      <c r="AJ1186" s="865"/>
    </row>
    <row r="1187" spans="1:83" ht="15">
      <c r="A1187" s="19" t="s">
        <v>7421</v>
      </c>
      <c r="D1187" s="1069" t="s">
        <v>9661</v>
      </c>
      <c r="E1187" s="533" t="s">
        <v>2686</v>
      </c>
      <c r="G1187" s="827"/>
      <c r="H1187" s="809" t="s">
        <v>9670</v>
      </c>
      <c r="I1187" s="92">
        <v>72</v>
      </c>
      <c r="J1187" s="92" t="s">
        <v>18</v>
      </c>
      <c r="K1187" s="92" t="s">
        <v>768</v>
      </c>
      <c r="L1187" s="810">
        <v>3</v>
      </c>
      <c r="M1187" s="811" t="str">
        <f t="shared" si="92"/>
        <v>Elementary Graduate</v>
      </c>
      <c r="P1187" s="1638"/>
      <c r="V1187" s="961"/>
      <c r="X1187" s="811" t="str">
        <f t="shared" si="93"/>
        <v/>
      </c>
      <c r="AB1187" s="964"/>
      <c r="AG1187" s="807" t="str">
        <f t="shared" si="94"/>
        <v/>
      </c>
      <c r="AJ1187" s="865"/>
    </row>
    <row r="1188" spans="1:83" ht="15">
      <c r="A1188" s="19" t="s">
        <v>7421</v>
      </c>
      <c r="D1188" s="1069" t="s">
        <v>9661</v>
      </c>
      <c r="E1188" s="533" t="s">
        <v>2686</v>
      </c>
      <c r="G1188" s="827"/>
      <c r="H1188" s="809" t="s">
        <v>9671</v>
      </c>
      <c r="I1188" s="92">
        <v>9</v>
      </c>
      <c r="J1188" s="92" t="s">
        <v>10</v>
      </c>
      <c r="K1188" s="92" t="s">
        <v>768</v>
      </c>
      <c r="L1188" s="810">
        <v>2</v>
      </c>
      <c r="M1188" s="811" t="str">
        <f t="shared" ref="M1188:M1196" si="95">IF(ISBLANK(L1188)=TRUE,"",LOOKUP(L1188,GQ:GR))</f>
        <v>Elementary Level</v>
      </c>
      <c r="P1188" s="1638"/>
      <c r="V1188" s="961"/>
      <c r="X1188" s="811" t="str">
        <f t="shared" si="93"/>
        <v/>
      </c>
      <c r="AB1188" s="964"/>
      <c r="AG1188" s="807" t="str">
        <f t="shared" si="94"/>
        <v/>
      </c>
      <c r="AJ1188" s="865"/>
    </row>
    <row r="1189" spans="1:83" ht="15">
      <c r="A1189" s="19" t="s">
        <v>7421</v>
      </c>
      <c r="D1189" s="1069" t="s">
        <v>9661</v>
      </c>
      <c r="E1189" s="533" t="s">
        <v>2686</v>
      </c>
      <c r="G1189" s="827"/>
      <c r="H1189" s="809" t="s">
        <v>9672</v>
      </c>
      <c r="I1189" s="92">
        <v>25</v>
      </c>
      <c r="J1189" s="92" t="s">
        <v>18</v>
      </c>
      <c r="K1189" s="92" t="s">
        <v>722</v>
      </c>
      <c r="L1189" s="810">
        <v>4</v>
      </c>
      <c r="M1189" s="811" t="str">
        <f t="shared" si="95"/>
        <v>High School Level</v>
      </c>
      <c r="P1189" s="1638"/>
      <c r="V1189" s="961"/>
      <c r="W1189" s="815">
        <v>2</v>
      </c>
      <c r="X1189" s="811" t="str">
        <f t="shared" ref="X1189:X1196" si="96">IF(ISBLANK(W1189)=TRUE,"",LOOKUP(W1189,GO:GP))</f>
        <v>within the Municipality/City</v>
      </c>
      <c r="AB1189" s="964"/>
      <c r="AG1189" s="807" t="str">
        <f t="shared" si="94"/>
        <v/>
      </c>
      <c r="AJ1189" s="865"/>
    </row>
    <row r="1190" spans="1:83" ht="15">
      <c r="A1190" s="19" t="s">
        <v>7421</v>
      </c>
      <c r="D1190" s="1069" t="s">
        <v>9661</v>
      </c>
      <c r="E1190" s="533" t="s">
        <v>2686</v>
      </c>
      <c r="G1190" s="827"/>
      <c r="H1190" s="809" t="s">
        <v>9674</v>
      </c>
      <c r="I1190" s="92">
        <v>25</v>
      </c>
      <c r="J1190" s="92" t="s">
        <v>18</v>
      </c>
      <c r="K1190" s="92" t="s">
        <v>722</v>
      </c>
      <c r="L1190" s="810">
        <v>4</v>
      </c>
      <c r="M1190" s="811" t="str">
        <f t="shared" si="95"/>
        <v>High School Level</v>
      </c>
      <c r="N1190" s="92" t="s">
        <v>1208</v>
      </c>
      <c r="O1190" s="812" t="s">
        <v>9673</v>
      </c>
      <c r="P1190" s="1638"/>
      <c r="Q1190" s="812" t="s">
        <v>9673</v>
      </c>
      <c r="R1190" s="812" t="s">
        <v>8285</v>
      </c>
      <c r="S1190" s="813">
        <v>10500</v>
      </c>
      <c r="V1190" s="961"/>
      <c r="X1190" s="811" t="str">
        <f t="shared" si="96"/>
        <v/>
      </c>
      <c r="AB1190" s="964"/>
      <c r="AG1190" s="807" t="str">
        <f t="shared" si="94"/>
        <v/>
      </c>
      <c r="AJ1190" s="865"/>
    </row>
    <row r="1191" spans="1:83" ht="15">
      <c r="A1191" s="19" t="s">
        <v>7421</v>
      </c>
      <c r="D1191" s="1069" t="s">
        <v>9661</v>
      </c>
      <c r="E1191" s="533" t="s">
        <v>2686</v>
      </c>
      <c r="G1191" s="827"/>
      <c r="H1191" s="809" t="s">
        <v>9675</v>
      </c>
      <c r="I1191" s="92">
        <v>7</v>
      </c>
      <c r="J1191" s="92" t="s">
        <v>10</v>
      </c>
      <c r="K1191" s="92" t="s">
        <v>768</v>
      </c>
      <c r="L1191" s="810">
        <v>2</v>
      </c>
      <c r="M1191" s="811" t="str">
        <f t="shared" si="95"/>
        <v>Elementary Level</v>
      </c>
      <c r="P1191" s="1638"/>
      <c r="V1191" s="961"/>
      <c r="X1191" s="811" t="str">
        <f t="shared" si="96"/>
        <v/>
      </c>
      <c r="AB1191" s="964"/>
      <c r="AG1191" s="807" t="str">
        <f t="shared" si="94"/>
        <v/>
      </c>
      <c r="AJ1191" s="865"/>
    </row>
    <row r="1192" spans="1:83" ht="15">
      <c r="A1192" s="19" t="s">
        <v>7421</v>
      </c>
      <c r="D1192" s="1069" t="s">
        <v>9661</v>
      </c>
      <c r="E1192" s="533" t="s">
        <v>2686</v>
      </c>
      <c r="G1192" s="827"/>
      <c r="H1192" s="809" t="s">
        <v>9676</v>
      </c>
      <c r="I1192" s="92">
        <v>5</v>
      </c>
      <c r="J1192" s="92" t="s">
        <v>18</v>
      </c>
      <c r="K1192" s="92" t="s">
        <v>768</v>
      </c>
      <c r="L1192" s="810">
        <v>0</v>
      </c>
      <c r="M1192" s="811" t="str">
        <f t="shared" si="95"/>
        <v>No Schooling</v>
      </c>
      <c r="P1192" s="1638"/>
      <c r="V1192" s="961">
        <f>SUM(S1181:U1193)</f>
        <v>21900</v>
      </c>
      <c r="X1192" s="811" t="str">
        <f t="shared" si="96"/>
        <v/>
      </c>
      <c r="AB1192" s="962">
        <f>SUM(Y1180:AA1192)</f>
        <v>520</v>
      </c>
      <c r="AG1192" s="807" t="str">
        <f>IF(ISBLANK(AF1192)=TRUE,"",LOOKUP(AF1192,GS:GT))</f>
        <v/>
      </c>
      <c r="AJ1192" s="865"/>
    </row>
    <row r="1193" spans="1:83" ht="15">
      <c r="D1193" s="1069" t="s">
        <v>12585</v>
      </c>
      <c r="G1193" s="846" t="s">
        <v>12501</v>
      </c>
      <c r="H1193" s="809" t="s">
        <v>2903</v>
      </c>
      <c r="I1193" s="857">
        <v>60</v>
      </c>
      <c r="J1193" s="92" t="s">
        <v>10</v>
      </c>
      <c r="K1193" s="92" t="s">
        <v>707</v>
      </c>
      <c r="L1193" s="810">
        <v>5</v>
      </c>
      <c r="M1193" s="811" t="str">
        <f t="shared" si="95"/>
        <v>High School Graduate</v>
      </c>
      <c r="P1193" s="1638"/>
      <c r="V1193" s="873"/>
      <c r="X1193" s="811" t="str">
        <f t="shared" si="96"/>
        <v/>
      </c>
      <c r="AB1193" s="873"/>
      <c r="AG1193" s="807"/>
      <c r="AJ1193" s="865"/>
    </row>
    <row r="1194" spans="1:83" ht="15">
      <c r="D1194" s="1069"/>
      <c r="G1194" s="827"/>
      <c r="H1194" s="809" t="s">
        <v>9677</v>
      </c>
      <c r="I1194" s="92">
        <v>58</v>
      </c>
      <c r="J1194" s="92" t="s">
        <v>18</v>
      </c>
      <c r="K1194" s="92" t="s">
        <v>707</v>
      </c>
      <c r="L1194" s="810">
        <v>2</v>
      </c>
      <c r="M1194" s="811" t="str">
        <f t="shared" si="95"/>
        <v>Elementary Level</v>
      </c>
      <c r="P1194" s="1638"/>
      <c r="V1194" s="873"/>
      <c r="X1194" s="811" t="str">
        <f t="shared" si="96"/>
        <v/>
      </c>
      <c r="AB1194" s="873"/>
      <c r="AG1194" s="807"/>
      <c r="AJ1194" s="865"/>
    </row>
    <row r="1195" spans="1:83" ht="15">
      <c r="D1195" s="1069"/>
      <c r="G1195" s="827"/>
      <c r="H1195" s="809" t="s">
        <v>9678</v>
      </c>
      <c r="I1195" s="92">
        <v>37</v>
      </c>
      <c r="J1195" s="92" t="s">
        <v>18</v>
      </c>
      <c r="K1195" s="92" t="s">
        <v>707</v>
      </c>
      <c r="L1195" s="810">
        <v>5</v>
      </c>
      <c r="M1195" s="811" t="str">
        <f t="shared" si="95"/>
        <v>High School Graduate</v>
      </c>
      <c r="P1195" s="1638"/>
      <c r="V1195" s="873"/>
      <c r="X1195" s="811" t="str">
        <f t="shared" si="96"/>
        <v/>
      </c>
      <c r="AB1195" s="873"/>
      <c r="AG1195" s="807"/>
      <c r="AJ1195" s="865"/>
    </row>
    <row r="1196" spans="1:83" ht="15">
      <c r="D1196" s="1069"/>
      <c r="G1196" s="827"/>
      <c r="H1196" s="809" t="s">
        <v>9679</v>
      </c>
      <c r="I1196" s="92">
        <v>39</v>
      </c>
      <c r="J1196" s="92" t="s">
        <v>18</v>
      </c>
      <c r="K1196" s="92" t="s">
        <v>707</v>
      </c>
      <c r="L1196" s="810">
        <v>6</v>
      </c>
      <c r="M1196" s="811" t="str">
        <f t="shared" si="95"/>
        <v>College Level</v>
      </c>
      <c r="P1196" s="1638"/>
      <c r="V1196" s="873"/>
      <c r="X1196" s="811" t="str">
        <f t="shared" si="96"/>
        <v/>
      </c>
      <c r="AB1196" s="873"/>
      <c r="AG1196" s="807"/>
      <c r="AJ1196" s="865"/>
    </row>
    <row r="1197" spans="1:83" ht="15">
      <c r="A1197" s="807"/>
      <c r="C1197" s="807"/>
      <c r="D1197" s="807"/>
      <c r="E1197" s="807"/>
      <c r="F1197" s="807"/>
      <c r="G1197" s="807"/>
      <c r="H1197" s="807"/>
      <c r="I1197" s="807"/>
      <c r="J1197" s="807"/>
      <c r="K1197" s="807"/>
      <c r="L1197" s="807"/>
      <c r="M1197" s="807"/>
      <c r="P1197" s="1638"/>
      <c r="V1197" s="873"/>
      <c r="W1197" s="807"/>
      <c r="X1197" s="807"/>
      <c r="Y1197" s="807"/>
      <c r="Z1197" s="807"/>
      <c r="AA1197" s="807"/>
      <c r="AB1197" s="807"/>
      <c r="AD1197" s="807"/>
      <c r="AE1197" s="807"/>
      <c r="AF1197" s="807"/>
      <c r="AG1197" s="807"/>
      <c r="AH1197" s="807"/>
      <c r="AI1197" s="807"/>
      <c r="AJ1197" s="807"/>
      <c r="AK1197" s="807"/>
      <c r="AL1197" s="807"/>
      <c r="AM1197" s="807"/>
      <c r="AN1197" s="807"/>
      <c r="AO1197" s="807"/>
      <c r="AP1197" s="807"/>
      <c r="BC1197" s="807"/>
      <c r="BD1197" s="807"/>
      <c r="BE1197" s="807"/>
      <c r="BF1197" s="807"/>
      <c r="BG1197" s="807"/>
      <c r="BH1197" s="807"/>
      <c r="BI1197" s="807"/>
      <c r="BJ1197" s="807"/>
      <c r="BK1197" s="807"/>
      <c r="BN1197" s="807"/>
      <c r="CD1197" s="807"/>
      <c r="CE1197" s="807"/>
    </row>
    <row r="1198" spans="1:83" ht="15">
      <c r="A1198" s="311" t="s">
        <v>7421</v>
      </c>
      <c r="B1198" s="752" t="s">
        <v>7766</v>
      </c>
      <c r="C1198" s="132" t="s">
        <v>3754</v>
      </c>
      <c r="D1198" s="1070" t="s">
        <v>9682</v>
      </c>
      <c r="E1198" s="533" t="s">
        <v>3754</v>
      </c>
      <c r="F1198" s="1048" t="s">
        <v>2903</v>
      </c>
      <c r="G1198" s="809" t="s">
        <v>3754</v>
      </c>
      <c r="H1198" s="809" t="s">
        <v>9680</v>
      </c>
      <c r="I1198" s="92">
        <v>35</v>
      </c>
      <c r="J1198" s="92" t="s">
        <v>18</v>
      </c>
      <c r="K1198" s="92" t="s">
        <v>707</v>
      </c>
      <c r="L1198" s="810">
        <v>6</v>
      </c>
      <c r="M1198" s="811" t="str">
        <f>IF(ISBLANK(L1198)=TRUE,"",LOOKUP(L1198,GQ:GR))</f>
        <v>College Level</v>
      </c>
      <c r="N1198" s="92" t="s">
        <v>1208</v>
      </c>
      <c r="O1198" s="812" t="s">
        <v>9681</v>
      </c>
      <c r="P1198" s="1638" t="s">
        <v>12604</v>
      </c>
      <c r="Q1198" s="812" t="s">
        <v>9681</v>
      </c>
      <c r="R1198" s="812" t="s">
        <v>8285</v>
      </c>
      <c r="S1198" s="813">
        <f>500*4</f>
        <v>2000</v>
      </c>
      <c r="V1198" s="873">
        <f>SUM(S1195:U1199)</f>
        <v>14000</v>
      </c>
      <c r="W1198" s="815">
        <v>1</v>
      </c>
      <c r="X1198" s="811" t="str">
        <f t="shared" ref="X1198:X1215" si="97">IF(ISBLANK(W1198)=TRUE,"",LOOKUP(W1198,GO:GP))</f>
        <v>within the Brgy</v>
      </c>
      <c r="AB1198" s="873">
        <f>SUM(Y1193:AA1198)</f>
        <v>0</v>
      </c>
      <c r="AG1198" s="807"/>
      <c r="AJ1198" s="865"/>
    </row>
    <row r="1199" spans="1:83" ht="15">
      <c r="A1199" s="311" t="s">
        <v>7421</v>
      </c>
      <c r="B1199" s="831"/>
      <c r="D1199" s="1070" t="s">
        <v>9682</v>
      </c>
      <c r="E1199" s="533" t="s">
        <v>3754</v>
      </c>
      <c r="G1199" s="827"/>
      <c r="H1199" s="809" t="s">
        <v>2903</v>
      </c>
      <c r="I1199" s="857">
        <v>60</v>
      </c>
      <c r="J1199" s="92" t="s">
        <v>10</v>
      </c>
      <c r="K1199" s="92" t="s">
        <v>707</v>
      </c>
      <c r="L1199" s="858"/>
      <c r="M1199" s="811" t="s">
        <v>9683</v>
      </c>
      <c r="N1199" s="92" t="s">
        <v>1208</v>
      </c>
      <c r="O1199" s="812" t="s">
        <v>1985</v>
      </c>
      <c r="P1199" s="1638" t="s">
        <v>12606</v>
      </c>
      <c r="Q1199" s="812" t="s">
        <v>1985</v>
      </c>
      <c r="R1199" s="92" t="s">
        <v>8234</v>
      </c>
      <c r="S1199" s="813">
        <v>12000</v>
      </c>
      <c r="W1199" s="815">
        <v>2</v>
      </c>
      <c r="X1199" s="811" t="str">
        <f t="shared" si="97"/>
        <v>within the Municipality/City</v>
      </c>
      <c r="AB1199" s="940"/>
      <c r="AG1199" s="807" t="str">
        <f t="shared" ref="AG1199:AG1215" si="98">IF(ISBLANK(AF1199)=TRUE,"",LOOKUP(AF1199,GS:GT))</f>
        <v/>
      </c>
      <c r="AJ1199" s="865"/>
    </row>
    <row r="1200" spans="1:83" ht="15">
      <c r="A1200" s="311" t="s">
        <v>7421</v>
      </c>
      <c r="B1200" s="831"/>
      <c r="D1200" s="1070" t="s">
        <v>9682</v>
      </c>
      <c r="E1200" s="533" t="s">
        <v>3754</v>
      </c>
      <c r="G1200" s="827"/>
      <c r="H1200" s="809" t="s">
        <v>9684</v>
      </c>
      <c r="I1200" s="92">
        <v>56</v>
      </c>
      <c r="J1200" s="92" t="s">
        <v>10</v>
      </c>
      <c r="K1200" s="92" t="s">
        <v>707</v>
      </c>
      <c r="L1200" s="810">
        <v>5</v>
      </c>
      <c r="M1200" s="811" t="str">
        <f t="shared" ref="M1200:M1209" si="99">IF(ISBLANK(L1200)=TRUE,"",LOOKUP(L1200,GQ:GR))</f>
        <v>High School Graduate</v>
      </c>
      <c r="P1200" s="1638"/>
      <c r="X1200" s="811" t="str">
        <f t="shared" si="97"/>
        <v/>
      </c>
      <c r="AB1200" s="940"/>
      <c r="AG1200" s="807" t="str">
        <f t="shared" si="98"/>
        <v/>
      </c>
      <c r="AJ1200" s="865"/>
    </row>
    <row r="1201" spans="1:97" ht="15">
      <c r="A1201" s="311" t="s">
        <v>7421</v>
      </c>
      <c r="B1201" s="831"/>
      <c r="D1201" s="1070" t="s">
        <v>9682</v>
      </c>
      <c r="E1201" s="533" t="s">
        <v>3754</v>
      </c>
      <c r="G1201" s="827"/>
      <c r="H1201" s="809" t="s">
        <v>9678</v>
      </c>
      <c r="I1201" s="92">
        <v>37</v>
      </c>
      <c r="J1201" s="92" t="s">
        <v>10</v>
      </c>
      <c r="K1201" s="92" t="s">
        <v>707</v>
      </c>
      <c r="L1201" s="810">
        <v>4</v>
      </c>
      <c r="M1201" s="811" t="str">
        <f t="shared" si="99"/>
        <v>High School Level</v>
      </c>
      <c r="N1201" s="92" t="s">
        <v>1208</v>
      </c>
      <c r="O1201" s="812" t="s">
        <v>1985</v>
      </c>
      <c r="P1201" s="1638"/>
      <c r="Q1201" s="812" t="s">
        <v>1985</v>
      </c>
      <c r="R1201" s="92" t="s">
        <v>8285</v>
      </c>
      <c r="S1201" s="813">
        <v>12000</v>
      </c>
      <c r="W1201" s="815">
        <v>3</v>
      </c>
      <c r="X1201" s="811" t="str">
        <f t="shared" si="97"/>
        <v>within the Province</v>
      </c>
      <c r="Y1201" s="816">
        <v>1800</v>
      </c>
      <c r="AB1201" s="940"/>
      <c r="AG1201" s="807" t="str">
        <f t="shared" si="98"/>
        <v/>
      </c>
      <c r="AJ1201" s="865"/>
    </row>
    <row r="1202" spans="1:97" ht="15">
      <c r="A1202" s="311" t="s">
        <v>7421</v>
      </c>
      <c r="B1202" s="831"/>
      <c r="D1202" s="1070" t="s">
        <v>9682</v>
      </c>
      <c r="E1202" s="533" t="s">
        <v>3754</v>
      </c>
      <c r="G1202" s="827"/>
      <c r="H1202" s="809" t="s">
        <v>9685</v>
      </c>
      <c r="I1202" s="92">
        <v>55</v>
      </c>
      <c r="J1202" s="92" t="s">
        <v>18</v>
      </c>
      <c r="K1202" s="92" t="s">
        <v>768</v>
      </c>
      <c r="L1202" s="810">
        <v>3</v>
      </c>
      <c r="M1202" s="811" t="str">
        <f t="shared" si="99"/>
        <v>Elementary Graduate</v>
      </c>
      <c r="P1202" s="1638"/>
      <c r="X1202" s="811" t="str">
        <f t="shared" si="97"/>
        <v/>
      </c>
      <c r="AB1202" s="940"/>
      <c r="AG1202" s="807" t="str">
        <f t="shared" si="98"/>
        <v/>
      </c>
      <c r="AJ1202" s="865"/>
    </row>
    <row r="1203" spans="1:97" ht="15">
      <c r="A1203" s="311" t="s">
        <v>7421</v>
      </c>
      <c r="B1203" s="831"/>
      <c r="D1203" s="1070" t="s">
        <v>9682</v>
      </c>
      <c r="E1203" s="533" t="s">
        <v>3754</v>
      </c>
      <c r="G1203" s="827"/>
      <c r="H1203" s="809" t="s">
        <v>9686</v>
      </c>
      <c r="I1203" s="92">
        <v>37</v>
      </c>
      <c r="J1203" s="92" t="s">
        <v>10</v>
      </c>
      <c r="K1203" s="92" t="s">
        <v>707</v>
      </c>
      <c r="L1203" s="810">
        <v>4</v>
      </c>
      <c r="M1203" s="811" t="str">
        <f t="shared" si="99"/>
        <v>High School Level</v>
      </c>
      <c r="N1203" s="92" t="s">
        <v>1208</v>
      </c>
      <c r="O1203" s="812" t="s">
        <v>1985</v>
      </c>
      <c r="P1203" s="1638"/>
      <c r="Q1203" s="812" t="s">
        <v>1985</v>
      </c>
      <c r="R1203" s="92" t="s">
        <v>8285</v>
      </c>
      <c r="S1203" s="813">
        <v>12000</v>
      </c>
      <c r="W1203" s="815">
        <v>3</v>
      </c>
      <c r="X1203" s="811" t="str">
        <f t="shared" si="97"/>
        <v>within the Province</v>
      </c>
      <c r="Y1203" s="816">
        <v>1800</v>
      </c>
      <c r="AB1203" s="940"/>
      <c r="AG1203" s="807" t="str">
        <f t="shared" si="98"/>
        <v/>
      </c>
      <c r="AJ1203" s="865"/>
    </row>
    <row r="1204" spans="1:97" ht="15">
      <c r="A1204" s="311" t="s">
        <v>7421</v>
      </c>
      <c r="B1204" s="831"/>
      <c r="D1204" s="1070" t="s">
        <v>9682</v>
      </c>
      <c r="E1204" s="533" t="s">
        <v>3754</v>
      </c>
      <c r="G1204" s="827"/>
      <c r="H1204" s="809" t="s">
        <v>2697</v>
      </c>
      <c r="I1204" s="92">
        <v>32</v>
      </c>
      <c r="J1204" s="92" t="s">
        <v>18</v>
      </c>
      <c r="K1204" s="92" t="s">
        <v>707</v>
      </c>
      <c r="L1204" s="810">
        <v>4</v>
      </c>
      <c r="M1204" s="811" t="str">
        <f t="shared" si="99"/>
        <v>High School Level</v>
      </c>
      <c r="N1204" s="92" t="s">
        <v>1208</v>
      </c>
      <c r="O1204" s="812" t="s">
        <v>2968</v>
      </c>
      <c r="P1204" s="1638"/>
      <c r="Q1204" s="812" t="s">
        <v>2968</v>
      </c>
      <c r="R1204" s="92" t="s">
        <v>8285</v>
      </c>
      <c r="U1204" s="813">
        <v>21000</v>
      </c>
      <c r="W1204" s="815">
        <v>1</v>
      </c>
      <c r="X1204" s="811" t="str">
        <f t="shared" si="97"/>
        <v>within the Brgy</v>
      </c>
      <c r="AB1204" s="940"/>
      <c r="AG1204" s="807" t="str">
        <f t="shared" si="98"/>
        <v/>
      </c>
      <c r="AJ1204" s="865"/>
      <c r="BU1204" s="807">
        <v>1</v>
      </c>
      <c r="CS1204" s="807">
        <v>2</v>
      </c>
    </row>
    <row r="1205" spans="1:97" ht="15">
      <c r="A1205" s="311" t="s">
        <v>7421</v>
      </c>
      <c r="B1205" s="831"/>
      <c r="D1205" s="1070" t="s">
        <v>9682</v>
      </c>
      <c r="E1205" s="533" t="s">
        <v>3754</v>
      </c>
      <c r="G1205" s="827"/>
      <c r="H1205" s="809" t="s">
        <v>9687</v>
      </c>
      <c r="I1205" s="92">
        <v>17</v>
      </c>
      <c r="J1205" s="92" t="s">
        <v>10</v>
      </c>
      <c r="K1205" s="92" t="s">
        <v>768</v>
      </c>
      <c r="L1205" s="810">
        <v>4</v>
      </c>
      <c r="M1205" s="811" t="str">
        <f t="shared" si="99"/>
        <v>High School Level</v>
      </c>
      <c r="P1205" s="1638"/>
      <c r="X1205" s="811" t="str">
        <f t="shared" si="97"/>
        <v/>
      </c>
      <c r="AB1205" s="940"/>
      <c r="AG1205" s="807" t="str">
        <f t="shared" si="98"/>
        <v/>
      </c>
      <c r="AJ1205" s="865"/>
    </row>
    <row r="1206" spans="1:97" ht="15">
      <c r="A1206" s="311" t="s">
        <v>7421</v>
      </c>
      <c r="B1206" s="831"/>
      <c r="D1206" s="1070" t="s">
        <v>9682</v>
      </c>
      <c r="E1206" s="533" t="s">
        <v>3754</v>
      </c>
      <c r="G1206" s="827"/>
      <c r="H1206" s="809" t="s">
        <v>9688</v>
      </c>
      <c r="I1206" s="92">
        <v>10</v>
      </c>
      <c r="J1206" s="92" t="s">
        <v>10</v>
      </c>
      <c r="K1206" s="92" t="s">
        <v>768</v>
      </c>
      <c r="L1206" s="810">
        <v>3</v>
      </c>
      <c r="M1206" s="811" t="str">
        <f t="shared" si="99"/>
        <v>Elementary Graduate</v>
      </c>
      <c r="P1206" s="1638"/>
      <c r="X1206" s="811" t="str">
        <f t="shared" si="97"/>
        <v/>
      </c>
      <c r="AB1206" s="940"/>
      <c r="AG1206" s="807" t="str">
        <f t="shared" si="98"/>
        <v/>
      </c>
      <c r="AJ1206" s="865"/>
    </row>
    <row r="1207" spans="1:97" ht="15">
      <c r="A1207" s="311" t="s">
        <v>7421</v>
      </c>
      <c r="B1207" s="831"/>
      <c r="D1207" s="1070" t="s">
        <v>9682</v>
      </c>
      <c r="E1207" s="533" t="s">
        <v>3754</v>
      </c>
      <c r="G1207" s="827"/>
      <c r="H1207" s="809" t="s">
        <v>9689</v>
      </c>
      <c r="I1207" s="92">
        <v>17</v>
      </c>
      <c r="J1207" s="92" t="s">
        <v>18</v>
      </c>
      <c r="K1207" s="92" t="s">
        <v>768</v>
      </c>
      <c r="L1207" s="810">
        <v>6</v>
      </c>
      <c r="M1207" s="811" t="str">
        <f t="shared" si="99"/>
        <v>College Level</v>
      </c>
      <c r="P1207" s="1638"/>
      <c r="X1207" s="811" t="str">
        <f t="shared" si="97"/>
        <v/>
      </c>
      <c r="AB1207" s="940"/>
      <c r="AG1207" s="807" t="str">
        <f t="shared" si="98"/>
        <v/>
      </c>
      <c r="AJ1207" s="865"/>
    </row>
    <row r="1208" spans="1:97" ht="15">
      <c r="A1208" s="311" t="s">
        <v>7421</v>
      </c>
      <c r="B1208" s="831"/>
      <c r="D1208" s="1070" t="s">
        <v>9682</v>
      </c>
      <c r="E1208" s="533" t="s">
        <v>3754</v>
      </c>
      <c r="G1208" s="827"/>
      <c r="H1208" s="809" t="s">
        <v>9690</v>
      </c>
      <c r="I1208" s="92">
        <v>13</v>
      </c>
      <c r="J1208" s="92" t="s">
        <v>18</v>
      </c>
      <c r="K1208" s="92" t="s">
        <v>768</v>
      </c>
      <c r="L1208" s="810">
        <v>4</v>
      </c>
      <c r="M1208" s="811" t="str">
        <f t="shared" si="99"/>
        <v>High School Level</v>
      </c>
      <c r="P1208" s="1638"/>
      <c r="X1208" s="811" t="str">
        <f t="shared" si="97"/>
        <v/>
      </c>
      <c r="AB1208" s="940"/>
      <c r="AG1208" s="807" t="str">
        <f t="shared" si="98"/>
        <v/>
      </c>
      <c r="AJ1208" s="865"/>
    </row>
    <row r="1209" spans="1:97" ht="15">
      <c r="A1209" s="311" t="s">
        <v>7421</v>
      </c>
      <c r="B1209" s="831"/>
      <c r="D1209" s="1070" t="s">
        <v>9682</v>
      </c>
      <c r="E1209" s="533" t="s">
        <v>3754</v>
      </c>
      <c r="G1209" s="827"/>
      <c r="H1209" s="809" t="s">
        <v>9691</v>
      </c>
      <c r="I1209" s="92">
        <v>58</v>
      </c>
      <c r="J1209" s="92" t="s">
        <v>18</v>
      </c>
      <c r="K1209" s="92" t="s">
        <v>707</v>
      </c>
      <c r="L1209" s="810">
        <v>3</v>
      </c>
      <c r="M1209" s="811" t="str">
        <f t="shared" si="99"/>
        <v>Elementary Graduate</v>
      </c>
      <c r="P1209" s="1638"/>
      <c r="V1209" s="814">
        <f>SUM(S1199:U1210)</f>
        <v>57000</v>
      </c>
      <c r="X1209" s="811" t="str">
        <f t="shared" si="97"/>
        <v/>
      </c>
      <c r="AB1209" s="940">
        <f>SUM(Y1199:AA1210)</f>
        <v>3600</v>
      </c>
      <c r="AG1209" s="807" t="str">
        <f t="shared" si="98"/>
        <v/>
      </c>
      <c r="AJ1209" s="865"/>
    </row>
    <row r="1210" spans="1:97">
      <c r="A1210" s="807"/>
      <c r="C1210" s="807"/>
      <c r="D1210" s="807"/>
      <c r="E1210" s="807"/>
      <c r="F1210" s="807"/>
      <c r="G1210" s="807"/>
      <c r="H1210" s="807"/>
      <c r="I1210" s="807"/>
      <c r="J1210" s="807"/>
      <c r="K1210" s="807"/>
      <c r="L1210" s="807"/>
      <c r="M1210" s="807"/>
      <c r="N1210" s="807"/>
      <c r="O1210" s="807"/>
      <c r="P1210" s="807"/>
      <c r="Q1210" s="807"/>
      <c r="V1210" s="873"/>
      <c r="X1210" s="811" t="str">
        <f t="shared" si="97"/>
        <v/>
      </c>
      <c r="AB1210" s="813"/>
      <c r="AG1210" s="807" t="str">
        <f t="shared" si="98"/>
        <v/>
      </c>
      <c r="AJ1210" s="865"/>
    </row>
    <row r="1211" spans="1:97" ht="15">
      <c r="A1211" s="19" t="s">
        <v>7421</v>
      </c>
      <c r="B1211" s="752" t="s">
        <v>7767</v>
      </c>
      <c r="C1211" s="132" t="s">
        <v>3497</v>
      </c>
      <c r="D1211" s="1070" t="s">
        <v>9693</v>
      </c>
      <c r="E1211" s="533" t="s">
        <v>3497</v>
      </c>
      <c r="F1211" s="1048" t="s">
        <v>3500</v>
      </c>
      <c r="G1211" s="745" t="s">
        <v>3497</v>
      </c>
      <c r="H1211" s="809" t="s">
        <v>9692</v>
      </c>
      <c r="I1211" s="92">
        <v>35</v>
      </c>
      <c r="J1211" s="92" t="s">
        <v>18</v>
      </c>
      <c r="K1211" s="92" t="s">
        <v>707</v>
      </c>
      <c r="L1211" s="810">
        <v>6</v>
      </c>
      <c r="M1211" s="811" t="str">
        <f t="shared" ref="M1211:M1242" si="100">IF(ISBLANK(L1211)=TRUE,"",LOOKUP(L1211,GQ:GR))</f>
        <v>College Level</v>
      </c>
      <c r="P1211" s="1638"/>
      <c r="R1211" s="1053" t="s">
        <v>1698</v>
      </c>
      <c r="U1211" s="813">
        <v>9000</v>
      </c>
      <c r="V1211" s="873"/>
      <c r="W1211" s="815">
        <v>1</v>
      </c>
      <c r="X1211" s="811" t="str">
        <f t="shared" si="97"/>
        <v>within the Brgy</v>
      </c>
      <c r="AB1211" s="813"/>
      <c r="AG1211" s="807" t="str">
        <f t="shared" si="98"/>
        <v/>
      </c>
      <c r="AJ1211" s="865"/>
    </row>
    <row r="1212" spans="1:97" ht="15">
      <c r="A1212" s="19" t="s">
        <v>7421</v>
      </c>
      <c r="D1212" s="1070" t="s">
        <v>9693</v>
      </c>
      <c r="E1212" s="533" t="s">
        <v>3497</v>
      </c>
      <c r="G1212" s="827"/>
      <c r="H1212" s="809" t="s">
        <v>3500</v>
      </c>
      <c r="I1212" s="92">
        <v>26</v>
      </c>
      <c r="J1212" s="92" t="s">
        <v>10</v>
      </c>
      <c r="K1212" s="92" t="s">
        <v>722</v>
      </c>
      <c r="L1212" s="810">
        <v>5</v>
      </c>
      <c r="M1212" s="811" t="str">
        <f t="shared" si="100"/>
        <v>High School Graduate</v>
      </c>
      <c r="N1212" s="92" t="s">
        <v>1208</v>
      </c>
      <c r="P1212" s="1638"/>
      <c r="V1212" s="828"/>
      <c r="X1212" s="811" t="str">
        <f t="shared" si="97"/>
        <v/>
      </c>
      <c r="AB1212" s="953"/>
      <c r="AG1212" s="807" t="str">
        <f t="shared" si="98"/>
        <v/>
      </c>
      <c r="AJ1212" s="865"/>
    </row>
    <row r="1213" spans="1:97" ht="15">
      <c r="A1213" s="19" t="s">
        <v>7421</v>
      </c>
      <c r="D1213" s="1070" t="s">
        <v>9693</v>
      </c>
      <c r="E1213" s="533" t="s">
        <v>3497</v>
      </c>
      <c r="G1213" s="827"/>
      <c r="H1213" s="809" t="s">
        <v>9694</v>
      </c>
      <c r="I1213" s="92">
        <v>25</v>
      </c>
      <c r="J1213" s="92" t="s">
        <v>18</v>
      </c>
      <c r="K1213" s="92" t="s">
        <v>722</v>
      </c>
      <c r="L1213" s="810">
        <v>5</v>
      </c>
      <c r="M1213" s="811" t="str">
        <f t="shared" si="100"/>
        <v>High School Graduate</v>
      </c>
      <c r="P1213" s="1638"/>
      <c r="V1213" s="828"/>
      <c r="X1213" s="811" t="str">
        <f t="shared" si="97"/>
        <v/>
      </c>
      <c r="AB1213" s="953"/>
      <c r="AG1213" s="807" t="str">
        <f t="shared" si="98"/>
        <v/>
      </c>
      <c r="AJ1213" s="865"/>
    </row>
    <row r="1214" spans="1:97" ht="15">
      <c r="A1214" s="19" t="s">
        <v>7421</v>
      </c>
      <c r="D1214" s="1070" t="s">
        <v>9693</v>
      </c>
      <c r="E1214" s="533" t="s">
        <v>3497</v>
      </c>
      <c r="G1214" s="827"/>
      <c r="H1214" s="809" t="s">
        <v>9695</v>
      </c>
      <c r="I1214" s="92">
        <v>5</v>
      </c>
      <c r="J1214" s="92" t="s">
        <v>18</v>
      </c>
      <c r="K1214" s="92" t="s">
        <v>768</v>
      </c>
      <c r="L1214" s="810">
        <v>1</v>
      </c>
      <c r="M1214" s="811" t="str">
        <f t="shared" si="100"/>
        <v>Pre-school</v>
      </c>
      <c r="P1214" s="1638"/>
      <c r="V1214" s="828">
        <f>SUM(S1211:U1214)</f>
        <v>9000</v>
      </c>
      <c r="X1214" s="811" t="str">
        <f t="shared" si="97"/>
        <v/>
      </c>
      <c r="AB1214" s="953">
        <f>SUM(Y1211:AA1214)</f>
        <v>0</v>
      </c>
      <c r="AG1214" s="807" t="str">
        <f t="shared" si="98"/>
        <v/>
      </c>
      <c r="AJ1214" s="865"/>
    </row>
    <row r="1215" spans="1:97" ht="15">
      <c r="H1215" s="1639" t="s">
        <v>9696</v>
      </c>
      <c r="I1215" s="1044">
        <v>3</v>
      </c>
      <c r="J1215" s="1044" t="s">
        <v>10</v>
      </c>
      <c r="K1215" s="1044" t="s">
        <v>768</v>
      </c>
      <c r="L1215" s="1640">
        <v>0</v>
      </c>
      <c r="M1215" s="1641" t="str">
        <f t="shared" si="100"/>
        <v>No Schooling</v>
      </c>
      <c r="N1215" s="1044"/>
      <c r="O1215" s="1642"/>
      <c r="P1215" s="1643"/>
      <c r="Q1215" s="1642"/>
      <c r="R1215" s="1044"/>
      <c r="S1215" s="1646"/>
      <c r="T1215" s="1646"/>
      <c r="U1215" s="1646">
        <v>2500</v>
      </c>
      <c r="V1215" s="814">
        <f>SUM(S1215:U1215)</f>
        <v>2500</v>
      </c>
      <c r="W1215" s="815">
        <v>1</v>
      </c>
      <c r="X1215" s="811" t="str">
        <f t="shared" si="97"/>
        <v>within the Brgy</v>
      </c>
      <c r="AD1215" s="963" t="s">
        <v>9699</v>
      </c>
      <c r="AG1215" s="807" t="str">
        <f t="shared" si="98"/>
        <v/>
      </c>
      <c r="AJ1215" s="865"/>
    </row>
    <row r="1216" spans="1:97" ht="15">
      <c r="A1216" s="19" t="s">
        <v>7421</v>
      </c>
      <c r="B1216" s="752" t="s">
        <v>7770</v>
      </c>
      <c r="C1216" s="132" t="s">
        <v>2899</v>
      </c>
      <c r="D1216" s="1069" t="s">
        <v>9697</v>
      </c>
      <c r="E1216" s="533" t="s">
        <v>2899</v>
      </c>
      <c r="F1216" s="1048" t="s">
        <v>11270</v>
      </c>
      <c r="G1216" s="846" t="s">
        <v>2899</v>
      </c>
      <c r="H1216" s="809" t="s">
        <v>9698</v>
      </c>
      <c r="I1216" s="92">
        <v>65</v>
      </c>
      <c r="J1216" s="92" t="s">
        <v>18</v>
      </c>
      <c r="K1216" s="92" t="s">
        <v>707</v>
      </c>
      <c r="L1216" s="810">
        <v>5</v>
      </c>
      <c r="M1216" s="811" t="str">
        <f t="shared" si="100"/>
        <v>High School Graduate</v>
      </c>
      <c r="N1216" s="92" t="s">
        <v>1208</v>
      </c>
      <c r="O1216" s="812" t="s">
        <v>1882</v>
      </c>
      <c r="P1216" s="1638"/>
      <c r="Q1216" s="812" t="s">
        <v>1882</v>
      </c>
      <c r="R1216" s="812" t="s">
        <v>8234</v>
      </c>
      <c r="S1216" s="813">
        <v>12000</v>
      </c>
      <c r="AD1216" s="963"/>
      <c r="AG1216" s="807"/>
      <c r="AJ1216" s="865"/>
    </row>
    <row r="1217" spans="1:103" ht="15">
      <c r="A1217" s="19"/>
      <c r="D1217" s="1069" t="s">
        <v>9700</v>
      </c>
      <c r="E1217" s="533" t="s">
        <v>2899</v>
      </c>
      <c r="F1217" s="1054"/>
      <c r="G1217" s="827" t="s">
        <v>2899</v>
      </c>
      <c r="H1217" s="809" t="s">
        <v>12531</v>
      </c>
      <c r="I1217" s="92">
        <v>46</v>
      </c>
      <c r="J1217" s="92" t="s">
        <v>10</v>
      </c>
      <c r="K1217" s="92" t="s">
        <v>707</v>
      </c>
      <c r="L1217" s="810">
        <v>4</v>
      </c>
      <c r="M1217" s="811" t="str">
        <f t="shared" si="100"/>
        <v>High School Level</v>
      </c>
      <c r="N1217" s="92" t="s">
        <v>1208</v>
      </c>
      <c r="O1217" s="812" t="s">
        <v>3839</v>
      </c>
      <c r="P1217" s="1638"/>
      <c r="Q1217" s="812" t="s">
        <v>3839</v>
      </c>
      <c r="AD1217" s="963"/>
      <c r="AG1217" s="807"/>
      <c r="AJ1217" s="865"/>
    </row>
    <row r="1218" spans="1:103" ht="15">
      <c r="A1218" s="19"/>
      <c r="D1218" s="1069"/>
      <c r="E1218" s="533"/>
      <c r="F1218" s="1054"/>
      <c r="G1218" s="827"/>
      <c r="H1218" s="809" t="s">
        <v>7771</v>
      </c>
      <c r="I1218" s="92">
        <v>40</v>
      </c>
      <c r="J1218" s="92" t="s">
        <v>18</v>
      </c>
      <c r="K1218" s="92" t="s">
        <v>707</v>
      </c>
      <c r="L1218" s="810">
        <v>6</v>
      </c>
      <c r="M1218" s="811" t="str">
        <f t="shared" si="100"/>
        <v>College Level</v>
      </c>
      <c r="P1218" s="1638"/>
      <c r="AD1218" s="963"/>
      <c r="AG1218" s="807"/>
      <c r="AJ1218" s="865"/>
    </row>
    <row r="1219" spans="1:103" ht="15">
      <c r="A1219" s="19"/>
      <c r="D1219" s="1069"/>
      <c r="E1219" s="533"/>
      <c r="F1219" s="1054"/>
      <c r="G1219" s="827"/>
      <c r="H1219" s="809" t="s">
        <v>12532</v>
      </c>
      <c r="I1219" s="92">
        <v>18</v>
      </c>
      <c r="J1219" s="92" t="s">
        <v>18</v>
      </c>
      <c r="K1219" s="92" t="s">
        <v>768</v>
      </c>
      <c r="L1219" s="810">
        <v>5</v>
      </c>
      <c r="M1219" s="811" t="str">
        <f t="shared" si="100"/>
        <v>High School Graduate</v>
      </c>
      <c r="P1219" s="1638"/>
      <c r="AD1219" s="963"/>
      <c r="AG1219" s="807"/>
      <c r="AJ1219" s="865"/>
    </row>
    <row r="1220" spans="1:103" ht="15">
      <c r="A1220" s="19"/>
      <c r="D1220" s="1069"/>
      <c r="E1220" s="533"/>
      <c r="F1220" s="1054"/>
      <c r="G1220" s="827"/>
      <c r="H1220" s="809" t="s">
        <v>12533</v>
      </c>
      <c r="I1220" s="92">
        <v>17</v>
      </c>
      <c r="J1220" s="92" t="s">
        <v>18</v>
      </c>
      <c r="K1220" s="92" t="s">
        <v>768</v>
      </c>
      <c r="L1220" s="810">
        <v>5</v>
      </c>
      <c r="M1220" s="811" t="str">
        <f t="shared" si="100"/>
        <v>High School Graduate</v>
      </c>
      <c r="P1220" s="1638"/>
      <c r="V1220" s="814">
        <f>SUM(S1216:U1221)</f>
        <v>12000</v>
      </c>
      <c r="AD1220" s="963"/>
      <c r="AG1220" s="807"/>
      <c r="AJ1220" s="865"/>
    </row>
    <row r="1221" spans="1:103" ht="15">
      <c r="A1221" s="19"/>
      <c r="D1221" s="1069"/>
      <c r="E1221" s="533"/>
      <c r="F1221" s="1054"/>
      <c r="G1221" s="827"/>
      <c r="H1221" s="809" t="s">
        <v>12534</v>
      </c>
      <c r="I1221" s="92">
        <v>14</v>
      </c>
      <c r="J1221" s="92" t="s">
        <v>18</v>
      </c>
      <c r="K1221" s="92" t="s">
        <v>768</v>
      </c>
      <c r="L1221" s="810">
        <v>5</v>
      </c>
      <c r="M1221" s="811" t="str">
        <f t="shared" si="100"/>
        <v>High School Graduate</v>
      </c>
      <c r="P1221" s="1638"/>
      <c r="V1221" s="828"/>
      <c r="X1221" s="811" t="str">
        <f t="shared" ref="X1221:X1252" si="101">IF(ISBLANK(W1221)=TRUE,"",LOOKUP(W1221,GO:GP))</f>
        <v/>
      </c>
      <c r="AB1221" s="950"/>
      <c r="AE1221" s="93" t="s">
        <v>9701</v>
      </c>
      <c r="AF1221" s="818">
        <v>3</v>
      </c>
      <c r="AG1221" s="807" t="str">
        <f t="shared" ref="AG1221:AG1284" si="102">IF(ISBLANK(AF1221)=TRUE,"",LOOKUP(AF1221,GS:GT))</f>
        <v>Special Medical Care</v>
      </c>
      <c r="AJ1221" s="865"/>
    </row>
    <row r="1222" spans="1:103" ht="15">
      <c r="A1222" s="19"/>
      <c r="D1222" s="1069"/>
      <c r="E1222" s="533"/>
      <c r="F1222" s="1054"/>
      <c r="G1222" s="827"/>
      <c r="H1222" s="1639" t="s">
        <v>12535</v>
      </c>
      <c r="I1222" s="1044">
        <v>12</v>
      </c>
      <c r="J1222" s="1044" t="s">
        <v>10</v>
      </c>
      <c r="K1222" s="1044" t="s">
        <v>768</v>
      </c>
      <c r="L1222" s="1640">
        <v>5</v>
      </c>
      <c r="M1222" s="1641" t="str">
        <f t="shared" si="100"/>
        <v>High School Graduate</v>
      </c>
      <c r="N1222" s="1044"/>
      <c r="O1222" s="1642"/>
      <c r="P1222" s="1643"/>
      <c r="Q1222" s="1642"/>
      <c r="R1222" s="1044"/>
      <c r="S1222" s="1646"/>
      <c r="T1222" s="1646">
        <v>7500</v>
      </c>
      <c r="U1222" s="1646"/>
      <c r="V1222" s="948"/>
      <c r="W1222" s="815">
        <v>1</v>
      </c>
      <c r="X1222" s="811" t="str">
        <f t="shared" si="101"/>
        <v>within the Brgy</v>
      </c>
      <c r="AB1222" s="952"/>
      <c r="AG1222" s="807" t="str">
        <f t="shared" si="102"/>
        <v/>
      </c>
      <c r="AJ1222" s="865"/>
    </row>
    <row r="1223" spans="1:103" ht="15">
      <c r="A1223" s="19" t="s">
        <v>7421</v>
      </c>
      <c r="B1223" s="752" t="s">
        <v>7768</v>
      </c>
      <c r="C1223" s="132" t="s">
        <v>3504</v>
      </c>
      <c r="D1223" s="1069" t="s">
        <v>9702</v>
      </c>
      <c r="E1223" s="533" t="s">
        <v>3504</v>
      </c>
      <c r="F1223" s="1048" t="s">
        <v>3502</v>
      </c>
      <c r="G1223" s="809" t="s">
        <v>3504</v>
      </c>
      <c r="H1223" s="809" t="s">
        <v>3502</v>
      </c>
      <c r="I1223" s="92">
        <v>30</v>
      </c>
      <c r="J1223" s="92" t="s">
        <v>10</v>
      </c>
      <c r="K1223" s="92" t="s">
        <v>9703</v>
      </c>
      <c r="L1223" s="810">
        <v>4</v>
      </c>
      <c r="M1223" s="811" t="str">
        <f t="shared" si="100"/>
        <v>High School Level</v>
      </c>
      <c r="N1223" s="92" t="s">
        <v>1208</v>
      </c>
      <c r="O1223" s="812" t="s">
        <v>3503</v>
      </c>
      <c r="P1223" s="1638"/>
      <c r="Q1223" s="812" t="s">
        <v>3503</v>
      </c>
      <c r="V1223" s="948"/>
      <c r="X1223" s="811" t="str">
        <f t="shared" si="101"/>
        <v/>
      </c>
      <c r="AB1223" s="952"/>
      <c r="AG1223" s="807" t="str">
        <f t="shared" si="102"/>
        <v/>
      </c>
      <c r="AJ1223" s="865"/>
    </row>
    <row r="1224" spans="1:103" ht="15">
      <c r="A1224" s="19" t="s">
        <v>7421</v>
      </c>
      <c r="D1224" s="1069" t="s">
        <v>9702</v>
      </c>
      <c r="E1224" s="533" t="s">
        <v>3504</v>
      </c>
      <c r="F1224" s="1054"/>
      <c r="G1224" s="827"/>
      <c r="H1224" s="809" t="s">
        <v>9667</v>
      </c>
      <c r="I1224" s="92">
        <v>25</v>
      </c>
      <c r="J1224" s="92" t="s">
        <v>18</v>
      </c>
      <c r="K1224" s="92" t="s">
        <v>9703</v>
      </c>
      <c r="L1224" s="810">
        <v>4</v>
      </c>
      <c r="M1224" s="811" t="str">
        <f t="shared" si="100"/>
        <v>High School Level</v>
      </c>
      <c r="P1224" s="1638"/>
      <c r="V1224" s="948">
        <f>SUM(S1222:U1224)</f>
        <v>7500</v>
      </c>
      <c r="X1224" s="811" t="str">
        <f t="shared" si="101"/>
        <v/>
      </c>
      <c r="AB1224" s="949">
        <f>SUM(Y1222:AA1224)</f>
        <v>0</v>
      </c>
      <c r="AG1224" s="807" t="str">
        <f t="shared" si="102"/>
        <v/>
      </c>
      <c r="AJ1224" s="865"/>
    </row>
    <row r="1225" spans="1:103" ht="15">
      <c r="A1225" s="19" t="s">
        <v>7421</v>
      </c>
      <c r="D1225" s="1069" t="s">
        <v>9702</v>
      </c>
      <c r="E1225" s="533" t="s">
        <v>3504</v>
      </c>
      <c r="F1225" s="1054"/>
      <c r="G1225" s="827"/>
      <c r="H1225" s="809" t="s">
        <v>9671</v>
      </c>
      <c r="I1225" s="92">
        <v>8</v>
      </c>
      <c r="J1225" s="92" t="s">
        <v>10</v>
      </c>
      <c r="K1225" s="92" t="s">
        <v>768</v>
      </c>
      <c r="L1225" s="810">
        <v>2</v>
      </c>
      <c r="M1225" s="811" t="str">
        <f t="shared" si="100"/>
        <v>Elementary Level</v>
      </c>
      <c r="P1225" s="1638"/>
      <c r="R1225" s="1053"/>
      <c r="X1225" s="811" t="str">
        <f t="shared" si="101"/>
        <v/>
      </c>
      <c r="AB1225" s="940"/>
      <c r="AD1225" s="817" t="s">
        <v>9706</v>
      </c>
      <c r="AE1225" s="92"/>
      <c r="AF1225" s="810"/>
      <c r="AG1225" s="807" t="str">
        <f t="shared" si="102"/>
        <v/>
      </c>
      <c r="AJ1225" s="865"/>
    </row>
    <row r="1226" spans="1:103" ht="15">
      <c r="A1226" s="19" t="s">
        <v>7421</v>
      </c>
      <c r="B1226" s="752" t="s">
        <v>7772</v>
      </c>
      <c r="C1226" s="133" t="s">
        <v>3516</v>
      </c>
      <c r="D1226" s="1069" t="s">
        <v>9704</v>
      </c>
      <c r="E1226" s="514" t="s">
        <v>3516</v>
      </c>
      <c r="F1226" s="1048" t="s">
        <v>3523</v>
      </c>
      <c r="G1226" s="841" t="s">
        <v>3516</v>
      </c>
      <c r="H1226" s="809" t="s">
        <v>9705</v>
      </c>
      <c r="I1226" s="92">
        <v>82</v>
      </c>
      <c r="J1226" s="92" t="s">
        <v>18</v>
      </c>
      <c r="K1226" s="92" t="s">
        <v>707</v>
      </c>
      <c r="L1226" s="810">
        <v>2</v>
      </c>
      <c r="M1226" s="811" t="str">
        <f t="shared" si="100"/>
        <v>Elementary Level</v>
      </c>
      <c r="P1226" s="1638"/>
      <c r="R1226" s="92" t="s">
        <v>10434</v>
      </c>
      <c r="T1226" s="813">
        <v>6000</v>
      </c>
      <c r="W1226" s="815">
        <v>1</v>
      </c>
      <c r="X1226" s="811" t="str">
        <f t="shared" si="101"/>
        <v>within the Brgy</v>
      </c>
      <c r="AB1226" s="940"/>
      <c r="AG1226" s="807" t="str">
        <f t="shared" si="102"/>
        <v/>
      </c>
      <c r="AJ1226" s="865"/>
    </row>
    <row r="1227" spans="1:103" ht="15">
      <c r="A1227" s="19" t="s">
        <v>7421</v>
      </c>
      <c r="D1227" s="1069" t="s">
        <v>9704</v>
      </c>
      <c r="E1227" s="514" t="s">
        <v>3516</v>
      </c>
      <c r="F1227" s="1054"/>
      <c r="G1227" s="827"/>
      <c r="H1227" s="809" t="s">
        <v>3526</v>
      </c>
      <c r="I1227" s="92">
        <v>56</v>
      </c>
      <c r="J1227" s="92" t="s">
        <v>10</v>
      </c>
      <c r="K1227" s="92" t="s">
        <v>722</v>
      </c>
      <c r="L1227" s="810">
        <v>4</v>
      </c>
      <c r="M1227" s="811" t="str">
        <f t="shared" si="100"/>
        <v>High School Level</v>
      </c>
      <c r="N1227" s="92" t="s">
        <v>1208</v>
      </c>
      <c r="O1227" s="812" t="s">
        <v>2968</v>
      </c>
      <c r="P1227" s="1638"/>
      <c r="Q1227" s="812" t="s">
        <v>2968</v>
      </c>
      <c r="V1227" s="814">
        <f>SUM(S1225:U1227)</f>
        <v>6000</v>
      </c>
      <c r="X1227" s="811" t="str">
        <f t="shared" si="101"/>
        <v/>
      </c>
      <c r="AB1227" s="940">
        <f>SUM(Y1225:AA1227)</f>
        <v>0</v>
      </c>
      <c r="AG1227" s="807" t="str">
        <f t="shared" si="102"/>
        <v/>
      </c>
      <c r="AJ1227" s="865"/>
    </row>
    <row r="1228" spans="1:103" ht="15">
      <c r="A1228" s="19" t="s">
        <v>7421</v>
      </c>
      <c r="D1228" s="1069" t="s">
        <v>9704</v>
      </c>
      <c r="E1228" s="514" t="s">
        <v>3516</v>
      </c>
      <c r="F1228" s="1054"/>
      <c r="G1228" s="827"/>
      <c r="H1228" s="1639" t="s">
        <v>9707</v>
      </c>
      <c r="I1228" s="1044">
        <v>21</v>
      </c>
      <c r="J1228" s="1044" t="s">
        <v>18</v>
      </c>
      <c r="K1228" s="1044" t="s">
        <v>768</v>
      </c>
      <c r="L1228" s="1640">
        <v>7</v>
      </c>
      <c r="M1228" s="1641" t="str">
        <f t="shared" si="100"/>
        <v>College Graduate or Higher</v>
      </c>
      <c r="N1228" s="1044"/>
      <c r="O1228" s="1642"/>
      <c r="P1228" s="1643"/>
      <c r="Q1228" s="1642"/>
      <c r="R1228" s="1044"/>
      <c r="S1228" s="1646">
        <v>30000</v>
      </c>
      <c r="T1228" s="1646"/>
      <c r="U1228" s="1646">
        <v>60000</v>
      </c>
      <c r="V1228" s="828"/>
      <c r="W1228" s="815">
        <v>3</v>
      </c>
      <c r="X1228" s="811" t="str">
        <f t="shared" si="101"/>
        <v>within the Province</v>
      </c>
      <c r="Y1228" s="816">
        <v>1440</v>
      </c>
      <c r="AB1228" s="953"/>
      <c r="AG1228" s="807" t="str">
        <f t="shared" si="102"/>
        <v/>
      </c>
      <c r="AJ1228" s="865"/>
      <c r="CF1228" s="807" t="s">
        <v>2144</v>
      </c>
      <c r="CY1228" s="807">
        <v>1</v>
      </c>
    </row>
    <row r="1229" spans="1:103" ht="15">
      <c r="A1229" s="19" t="s">
        <v>7421</v>
      </c>
      <c r="B1229" s="752" t="s">
        <v>7774</v>
      </c>
      <c r="C1229" s="133" t="s">
        <v>3527</v>
      </c>
      <c r="D1229" s="1069" t="s">
        <v>9708</v>
      </c>
      <c r="E1229" s="514" t="s">
        <v>3527</v>
      </c>
      <c r="F1229" s="1048" t="s">
        <v>3528</v>
      </c>
      <c r="G1229" s="809" t="s">
        <v>3527</v>
      </c>
      <c r="H1229" s="809" t="s">
        <v>3528</v>
      </c>
      <c r="I1229" s="92">
        <v>42</v>
      </c>
      <c r="J1229" s="92" t="s">
        <v>10</v>
      </c>
      <c r="K1229" s="92" t="s">
        <v>707</v>
      </c>
      <c r="L1229" s="810">
        <v>8</v>
      </c>
      <c r="M1229" s="811" t="str">
        <f t="shared" si="100"/>
        <v>Vocational Level</v>
      </c>
      <c r="N1229" s="92" t="s">
        <v>1208</v>
      </c>
      <c r="O1229" s="812" t="s">
        <v>3529</v>
      </c>
      <c r="P1229" s="1638"/>
      <c r="Q1229" s="812" t="s">
        <v>3529</v>
      </c>
      <c r="V1229" s="828"/>
      <c r="X1229" s="811" t="str">
        <f t="shared" si="101"/>
        <v/>
      </c>
      <c r="AB1229" s="953"/>
      <c r="AG1229" s="807" t="str">
        <f t="shared" si="102"/>
        <v/>
      </c>
      <c r="AJ1229" s="865"/>
      <c r="CR1229" s="807">
        <v>2</v>
      </c>
    </row>
    <row r="1230" spans="1:103" ht="15">
      <c r="A1230" s="19" t="s">
        <v>7421</v>
      </c>
      <c r="D1230" s="1069" t="s">
        <v>9708</v>
      </c>
      <c r="E1230" s="514" t="s">
        <v>3527</v>
      </c>
      <c r="F1230" s="1054"/>
      <c r="G1230" s="827"/>
      <c r="H1230" s="809" t="s">
        <v>9709</v>
      </c>
      <c r="I1230" s="92">
        <v>42</v>
      </c>
      <c r="J1230" s="92" t="s">
        <v>18</v>
      </c>
      <c r="K1230" s="92" t="s">
        <v>707</v>
      </c>
      <c r="L1230" s="810">
        <v>5</v>
      </c>
      <c r="M1230" s="811" t="str">
        <f t="shared" si="100"/>
        <v>High School Graduate</v>
      </c>
      <c r="P1230" s="1638"/>
      <c r="V1230" s="828"/>
      <c r="X1230" s="811" t="str">
        <f t="shared" si="101"/>
        <v/>
      </c>
      <c r="AB1230" s="953"/>
      <c r="AG1230" s="807" t="str">
        <f t="shared" si="102"/>
        <v/>
      </c>
      <c r="AJ1230" s="865"/>
    </row>
    <row r="1231" spans="1:103" ht="15">
      <c r="A1231" s="19" t="s">
        <v>7421</v>
      </c>
      <c r="D1231" s="1069" t="s">
        <v>9708</v>
      </c>
      <c r="E1231" s="514" t="s">
        <v>3527</v>
      </c>
      <c r="F1231" s="1054"/>
      <c r="G1231" s="827"/>
      <c r="H1231" s="809" t="s">
        <v>9710</v>
      </c>
      <c r="I1231" s="92">
        <v>16</v>
      </c>
      <c r="J1231" s="92" t="s">
        <v>18</v>
      </c>
      <c r="K1231" s="92" t="s">
        <v>768</v>
      </c>
      <c r="L1231" s="810">
        <v>5</v>
      </c>
      <c r="M1231" s="811" t="str">
        <f t="shared" si="100"/>
        <v>High School Graduate</v>
      </c>
      <c r="P1231" s="1638"/>
      <c r="V1231" s="828"/>
      <c r="X1231" s="811" t="str">
        <f t="shared" si="101"/>
        <v/>
      </c>
      <c r="AB1231" s="953"/>
      <c r="AG1231" s="807" t="str">
        <f t="shared" si="102"/>
        <v/>
      </c>
      <c r="AJ1231" s="865"/>
    </row>
    <row r="1232" spans="1:103" ht="15">
      <c r="A1232" s="19" t="s">
        <v>7421</v>
      </c>
      <c r="D1232" s="1069" t="s">
        <v>9708</v>
      </c>
      <c r="E1232" s="514" t="s">
        <v>3527</v>
      </c>
      <c r="F1232" s="1054"/>
      <c r="G1232" s="827"/>
      <c r="H1232" s="809" t="s">
        <v>9711</v>
      </c>
      <c r="I1232" s="92">
        <v>13</v>
      </c>
      <c r="J1232" s="92" t="s">
        <v>10</v>
      </c>
      <c r="K1232" s="92" t="s">
        <v>768</v>
      </c>
      <c r="L1232" s="810">
        <v>4</v>
      </c>
      <c r="M1232" s="811" t="str">
        <f t="shared" si="100"/>
        <v>High School Level</v>
      </c>
      <c r="P1232" s="1638"/>
      <c r="V1232" s="828"/>
      <c r="X1232" s="811" t="str">
        <f t="shared" si="101"/>
        <v/>
      </c>
      <c r="AB1232" s="953"/>
      <c r="AG1232" s="807" t="str">
        <f t="shared" si="102"/>
        <v/>
      </c>
      <c r="AJ1232" s="865"/>
    </row>
    <row r="1233" spans="1:103" ht="15">
      <c r="A1233" s="19" t="s">
        <v>7421</v>
      </c>
      <c r="D1233" s="1069" t="s">
        <v>9708</v>
      </c>
      <c r="E1233" s="514" t="s">
        <v>3527</v>
      </c>
      <c r="F1233" s="1054"/>
      <c r="G1233" s="827"/>
      <c r="H1233" s="809" t="s">
        <v>9712</v>
      </c>
      <c r="I1233" s="92">
        <v>7</v>
      </c>
      <c r="J1233" s="92" t="s">
        <v>18</v>
      </c>
      <c r="K1233" s="92" t="s">
        <v>768</v>
      </c>
      <c r="L1233" s="810">
        <v>2</v>
      </c>
      <c r="M1233" s="811" t="str">
        <f t="shared" si="100"/>
        <v>Elementary Level</v>
      </c>
      <c r="P1233" s="1638"/>
      <c r="V1233" s="828"/>
      <c r="X1233" s="811" t="str">
        <f t="shared" si="101"/>
        <v/>
      </c>
      <c r="AB1233" s="953"/>
      <c r="AG1233" s="807" t="str">
        <f t="shared" si="102"/>
        <v/>
      </c>
      <c r="AJ1233" s="865"/>
    </row>
    <row r="1234" spans="1:103" ht="15">
      <c r="A1234" s="19" t="s">
        <v>7421</v>
      </c>
      <c r="D1234" s="1069" t="s">
        <v>9708</v>
      </c>
      <c r="E1234" s="514" t="s">
        <v>3527</v>
      </c>
      <c r="F1234" s="1054"/>
      <c r="G1234" s="827"/>
      <c r="H1234" s="809" t="s">
        <v>9713</v>
      </c>
      <c r="I1234" s="92">
        <v>6</v>
      </c>
      <c r="J1234" s="92" t="s">
        <v>10</v>
      </c>
      <c r="K1234" s="92" t="s">
        <v>768</v>
      </c>
      <c r="L1234" s="810">
        <v>1</v>
      </c>
      <c r="M1234" s="811" t="str">
        <f t="shared" si="100"/>
        <v>Pre-school</v>
      </c>
      <c r="P1234" s="1638"/>
      <c r="V1234" s="828">
        <f>SUM(S1228:U1234)</f>
        <v>90000</v>
      </c>
      <c r="X1234" s="811" t="str">
        <f t="shared" si="101"/>
        <v/>
      </c>
      <c r="AB1234" s="953">
        <f>SUM(Y1228:AA1234)</f>
        <v>1440</v>
      </c>
      <c r="AG1234" s="807" t="str">
        <f t="shared" si="102"/>
        <v/>
      </c>
      <c r="AJ1234" s="865"/>
    </row>
    <row r="1235" spans="1:103" ht="15">
      <c r="A1235" s="19" t="s">
        <v>7421</v>
      </c>
      <c r="D1235" s="1069" t="s">
        <v>9708</v>
      </c>
      <c r="E1235" s="514" t="s">
        <v>3527</v>
      </c>
      <c r="F1235" s="1054"/>
      <c r="G1235" s="827"/>
      <c r="H1235" s="1639" t="s">
        <v>9714</v>
      </c>
      <c r="I1235" s="1044">
        <v>1</v>
      </c>
      <c r="J1235" s="1044" t="s">
        <v>10</v>
      </c>
      <c r="K1235" s="1044" t="s">
        <v>768</v>
      </c>
      <c r="L1235" s="1640">
        <v>0</v>
      </c>
      <c r="M1235" s="1641" t="str">
        <f t="shared" si="100"/>
        <v>No Schooling</v>
      </c>
      <c r="N1235" s="1044"/>
      <c r="O1235" s="1642"/>
      <c r="P1235" s="1643"/>
      <c r="Q1235" s="1642"/>
      <c r="R1235" s="1044" t="s">
        <v>8234</v>
      </c>
      <c r="S1235" s="1646"/>
      <c r="T1235" s="1646">
        <v>15000</v>
      </c>
      <c r="U1235" s="1646"/>
      <c r="V1235" s="948"/>
      <c r="W1235" s="815">
        <v>1</v>
      </c>
      <c r="X1235" s="811" t="str">
        <f t="shared" si="101"/>
        <v>within the Brgy</v>
      </c>
      <c r="Z1235" s="816">
        <v>600</v>
      </c>
      <c r="AB1235" s="949"/>
      <c r="AG1235" s="807" t="str">
        <f t="shared" si="102"/>
        <v/>
      </c>
      <c r="AJ1235" s="865"/>
    </row>
    <row r="1236" spans="1:103" ht="15">
      <c r="A1236" s="19" t="s">
        <v>7421</v>
      </c>
      <c r="B1236" s="752" t="s">
        <v>7775</v>
      </c>
      <c r="C1236" s="133" t="s">
        <v>3530</v>
      </c>
      <c r="D1236" s="1069" t="s">
        <v>9715</v>
      </c>
      <c r="E1236" s="514" t="s">
        <v>3530</v>
      </c>
      <c r="F1236" s="1048" t="s">
        <v>3543</v>
      </c>
      <c r="G1236" s="809" t="s">
        <v>3530</v>
      </c>
      <c r="H1236" s="809" t="s">
        <v>9716</v>
      </c>
      <c r="I1236" s="92">
        <v>48</v>
      </c>
      <c r="J1236" s="92" t="s">
        <v>18</v>
      </c>
      <c r="K1236" s="92" t="s">
        <v>783</v>
      </c>
      <c r="L1236" s="810">
        <v>5</v>
      </c>
      <c r="M1236" s="811" t="str">
        <f t="shared" si="100"/>
        <v>High School Graduate</v>
      </c>
      <c r="N1236" s="92" t="s">
        <v>1208</v>
      </c>
      <c r="O1236" s="812" t="s">
        <v>9290</v>
      </c>
      <c r="P1236" s="1638"/>
      <c r="Q1236" s="812" t="s">
        <v>9290</v>
      </c>
      <c r="S1236" s="813">
        <v>12000</v>
      </c>
      <c r="V1236" s="948">
        <f>SUM(S1235:U1236)</f>
        <v>27000</v>
      </c>
      <c r="W1236" s="815">
        <v>3</v>
      </c>
      <c r="X1236" s="811" t="str">
        <f t="shared" si="101"/>
        <v>within the Province</v>
      </c>
      <c r="Y1236" s="816">
        <v>1500</v>
      </c>
      <c r="AB1236" s="949">
        <f>SUM(Y1235:AA1236)</f>
        <v>2100</v>
      </c>
      <c r="AG1236" s="807" t="str">
        <f t="shared" si="102"/>
        <v/>
      </c>
      <c r="AJ1236" s="865"/>
    </row>
    <row r="1237" spans="1:103" ht="15">
      <c r="A1237" s="19" t="s">
        <v>7421</v>
      </c>
      <c r="D1237" s="1069" t="s">
        <v>9715</v>
      </c>
      <c r="E1237" s="514" t="s">
        <v>3530</v>
      </c>
      <c r="F1237" s="1054"/>
      <c r="G1237" s="827"/>
      <c r="H1237" s="809" t="s">
        <v>9717</v>
      </c>
      <c r="I1237" s="92">
        <v>25</v>
      </c>
      <c r="J1237" s="92" t="s">
        <v>10</v>
      </c>
      <c r="K1237" s="92" t="s">
        <v>768</v>
      </c>
      <c r="L1237" s="810">
        <v>4</v>
      </c>
      <c r="M1237" s="811" t="str">
        <f t="shared" si="100"/>
        <v>High School Level</v>
      </c>
      <c r="N1237" s="92" t="s">
        <v>1208</v>
      </c>
      <c r="O1237" s="812" t="s">
        <v>9718</v>
      </c>
      <c r="P1237" s="1638" t="s">
        <v>12602</v>
      </c>
      <c r="Q1237" s="812" t="s">
        <v>9718</v>
      </c>
      <c r="R1237" s="92" t="s">
        <v>8234</v>
      </c>
      <c r="U1237" s="813">
        <v>9000</v>
      </c>
      <c r="W1237" s="815">
        <v>2</v>
      </c>
      <c r="X1237" s="811" t="str">
        <f t="shared" si="101"/>
        <v>within the Municipality/City</v>
      </c>
      <c r="AB1237" s="940"/>
      <c r="AG1237" s="807" t="str">
        <f t="shared" si="102"/>
        <v/>
      </c>
      <c r="AJ1237" s="865"/>
      <c r="CS1237" s="807">
        <v>1</v>
      </c>
      <c r="CY1237" s="807" t="s">
        <v>2145</v>
      </c>
    </row>
    <row r="1238" spans="1:103" ht="15">
      <c r="A1238" s="19" t="s">
        <v>7421</v>
      </c>
      <c r="B1238" s="752" t="s">
        <v>7776</v>
      </c>
      <c r="C1238" s="132" t="s">
        <v>3544</v>
      </c>
      <c r="D1238" s="1069" t="s">
        <v>9719</v>
      </c>
      <c r="E1238" s="169" t="s">
        <v>15</v>
      </c>
      <c r="F1238" s="1047" t="s">
        <v>3551</v>
      </c>
      <c r="G1238" s="809" t="s">
        <v>3544</v>
      </c>
      <c r="H1238" s="809" t="s">
        <v>9720</v>
      </c>
      <c r="I1238" s="92">
        <v>49</v>
      </c>
      <c r="J1238" s="92" t="s">
        <v>10</v>
      </c>
      <c r="K1238" s="92" t="s">
        <v>722</v>
      </c>
      <c r="L1238" s="810">
        <v>4</v>
      </c>
      <c r="M1238" s="811" t="str">
        <f t="shared" si="100"/>
        <v>High School Level</v>
      </c>
      <c r="N1238" s="92" t="s">
        <v>1208</v>
      </c>
      <c r="O1238" s="812" t="s">
        <v>3545</v>
      </c>
      <c r="P1238" s="1638"/>
      <c r="Q1238" s="812" t="s">
        <v>3545</v>
      </c>
      <c r="X1238" s="811" t="str">
        <f t="shared" si="101"/>
        <v/>
      </c>
      <c r="AB1238" s="940"/>
      <c r="AG1238" s="807" t="str">
        <f t="shared" si="102"/>
        <v/>
      </c>
      <c r="AJ1238" s="865"/>
      <c r="CF1238" s="807" t="s">
        <v>2144</v>
      </c>
    </row>
    <row r="1239" spans="1:103" ht="15">
      <c r="A1239" s="19" t="s">
        <v>7421</v>
      </c>
      <c r="D1239" s="1069" t="s">
        <v>9719</v>
      </c>
      <c r="E1239" s="169" t="s">
        <v>15</v>
      </c>
      <c r="F1239" s="1054"/>
      <c r="G1239" s="827"/>
      <c r="H1239" s="809" t="s">
        <v>9721</v>
      </c>
      <c r="I1239" s="92">
        <v>42</v>
      </c>
      <c r="J1239" s="92" t="s">
        <v>18</v>
      </c>
      <c r="K1239" s="92" t="s">
        <v>722</v>
      </c>
      <c r="L1239" s="810">
        <v>5</v>
      </c>
      <c r="M1239" s="811" t="str">
        <f t="shared" si="100"/>
        <v>High School Graduate</v>
      </c>
      <c r="P1239" s="1638"/>
      <c r="X1239" s="811" t="str">
        <f t="shared" si="101"/>
        <v/>
      </c>
      <c r="AB1239" s="940"/>
      <c r="AG1239" s="807" t="str">
        <f t="shared" si="102"/>
        <v/>
      </c>
      <c r="AJ1239" s="865"/>
    </row>
    <row r="1240" spans="1:103" ht="15">
      <c r="A1240" s="19" t="s">
        <v>7421</v>
      </c>
      <c r="D1240" s="1069" t="s">
        <v>9719</v>
      </c>
      <c r="E1240" s="169" t="s">
        <v>15</v>
      </c>
      <c r="F1240" s="1054"/>
      <c r="G1240" s="827"/>
      <c r="H1240" s="809" t="s">
        <v>9722</v>
      </c>
      <c r="I1240" s="92">
        <v>9</v>
      </c>
      <c r="J1240" s="92" t="s">
        <v>18</v>
      </c>
      <c r="K1240" s="92" t="s">
        <v>768</v>
      </c>
      <c r="L1240" s="810">
        <v>2</v>
      </c>
      <c r="M1240" s="811" t="str">
        <f t="shared" si="100"/>
        <v>Elementary Level</v>
      </c>
      <c r="P1240" s="1638"/>
      <c r="X1240" s="811" t="str">
        <f t="shared" si="101"/>
        <v/>
      </c>
      <c r="AB1240" s="940"/>
      <c r="AG1240" s="807" t="str">
        <f t="shared" si="102"/>
        <v/>
      </c>
      <c r="AJ1240" s="865"/>
    </row>
    <row r="1241" spans="1:103" ht="15">
      <c r="A1241" s="19" t="s">
        <v>7421</v>
      </c>
      <c r="D1241" s="1069" t="s">
        <v>9719</v>
      </c>
      <c r="E1241" s="169" t="s">
        <v>15</v>
      </c>
      <c r="F1241" s="1054"/>
      <c r="G1241" s="827"/>
      <c r="H1241" s="809" t="s">
        <v>9723</v>
      </c>
      <c r="I1241" s="92">
        <v>6</v>
      </c>
      <c r="J1241" s="92" t="s">
        <v>10</v>
      </c>
      <c r="K1241" s="92" t="s">
        <v>768</v>
      </c>
      <c r="L1241" s="810">
        <v>2</v>
      </c>
      <c r="M1241" s="811" t="str">
        <f t="shared" si="100"/>
        <v>Elementary Level</v>
      </c>
      <c r="P1241" s="1638"/>
      <c r="V1241" s="814">
        <f>SUM(S1237:U1241)</f>
        <v>9000</v>
      </c>
      <c r="X1241" s="811" t="str">
        <f t="shared" si="101"/>
        <v/>
      </c>
      <c r="AB1241" s="940">
        <f>SUM(Y1237:AA1241)</f>
        <v>0</v>
      </c>
      <c r="AG1241" s="807" t="str">
        <f t="shared" si="102"/>
        <v/>
      </c>
      <c r="AJ1241" s="865"/>
    </row>
    <row r="1242" spans="1:103" ht="15">
      <c r="A1242" s="19" t="s">
        <v>7421</v>
      </c>
      <c r="D1242" s="1069" t="s">
        <v>9719</v>
      </c>
      <c r="E1242" s="169" t="s">
        <v>15</v>
      </c>
      <c r="F1242" s="1054"/>
      <c r="G1242" s="827"/>
      <c r="H1242" s="1639" t="s">
        <v>9724</v>
      </c>
      <c r="I1242" s="1044">
        <v>4</v>
      </c>
      <c r="J1242" s="1044" t="s">
        <v>10</v>
      </c>
      <c r="K1242" s="1044" t="s">
        <v>768</v>
      </c>
      <c r="L1242" s="1640">
        <v>0</v>
      </c>
      <c r="M1242" s="1641" t="str">
        <f t="shared" si="100"/>
        <v>No Schooling</v>
      </c>
      <c r="N1242" s="1044"/>
      <c r="O1242" s="1642"/>
      <c r="P1242" s="1643"/>
      <c r="Q1242" s="1642"/>
      <c r="R1242" s="1044" t="s">
        <v>8234</v>
      </c>
      <c r="S1242" s="1646">
        <v>15000</v>
      </c>
      <c r="T1242" s="1646"/>
      <c r="U1242" s="1646"/>
      <c r="V1242" s="961"/>
      <c r="W1242" s="815">
        <v>3</v>
      </c>
      <c r="X1242" s="811" t="str">
        <f t="shared" si="101"/>
        <v>within the Province</v>
      </c>
      <c r="Y1242" s="816">
        <v>4500</v>
      </c>
      <c r="AB1242" s="964"/>
      <c r="AG1242" s="807" t="str">
        <f t="shared" si="102"/>
        <v/>
      </c>
      <c r="AJ1242" s="865"/>
    </row>
    <row r="1243" spans="1:103" ht="15">
      <c r="A1243" s="19" t="s">
        <v>7421</v>
      </c>
      <c r="B1243" s="752" t="s">
        <v>7769</v>
      </c>
      <c r="C1243" s="132" t="s">
        <v>3324</v>
      </c>
      <c r="D1243" s="1070" t="s">
        <v>9725</v>
      </c>
      <c r="E1243" s="533" t="s">
        <v>3324</v>
      </c>
      <c r="F1243" s="1048" t="s">
        <v>3335</v>
      </c>
      <c r="G1243" s="117" t="s">
        <v>3324</v>
      </c>
      <c r="H1243" s="809" t="s">
        <v>9726</v>
      </c>
      <c r="I1243" s="92">
        <v>56</v>
      </c>
      <c r="J1243" s="92" t="s">
        <v>10</v>
      </c>
      <c r="K1243" s="92" t="s">
        <v>707</v>
      </c>
      <c r="L1243" s="810">
        <v>2</v>
      </c>
      <c r="M1243" s="811" t="str">
        <f t="shared" ref="M1243:M1274" si="103">IF(ISBLANK(L1243)=TRUE,"",LOOKUP(L1243,GQ:GR))</f>
        <v>Elementary Level</v>
      </c>
      <c r="N1243" s="92" t="s">
        <v>1208</v>
      </c>
      <c r="O1243" s="812" t="s">
        <v>11309</v>
      </c>
      <c r="P1243" s="1638"/>
      <c r="Q1243" s="812" t="s">
        <v>11309</v>
      </c>
      <c r="V1243" s="961"/>
      <c r="X1243" s="811" t="str">
        <f t="shared" si="101"/>
        <v/>
      </c>
      <c r="AB1243" s="964"/>
      <c r="AG1243" s="807" t="str">
        <f t="shared" si="102"/>
        <v/>
      </c>
      <c r="AJ1243" s="865"/>
    </row>
    <row r="1244" spans="1:103" ht="15">
      <c r="A1244" s="19" t="s">
        <v>7421</v>
      </c>
      <c r="D1244" s="1070" t="s">
        <v>9725</v>
      </c>
      <c r="E1244" s="533" t="s">
        <v>3324</v>
      </c>
      <c r="F1244" s="1054"/>
      <c r="G1244" s="827"/>
      <c r="H1244" s="809" t="s">
        <v>9727</v>
      </c>
      <c r="I1244" s="92">
        <v>44</v>
      </c>
      <c r="J1244" s="92" t="s">
        <v>18</v>
      </c>
      <c r="K1244" s="92" t="s">
        <v>707</v>
      </c>
      <c r="L1244" s="810">
        <v>4</v>
      </c>
      <c r="M1244" s="811" t="str">
        <f t="shared" si="103"/>
        <v>High School Level</v>
      </c>
      <c r="P1244" s="1638"/>
      <c r="R1244" s="812" t="s">
        <v>8285</v>
      </c>
      <c r="S1244" s="813">
        <v>15000</v>
      </c>
      <c r="V1244" s="961"/>
      <c r="W1244" s="815">
        <v>3</v>
      </c>
      <c r="X1244" s="811" t="str">
        <f t="shared" si="101"/>
        <v>within the Province</v>
      </c>
      <c r="Y1244" s="816">
        <v>4500</v>
      </c>
      <c r="AB1244" s="964"/>
      <c r="AG1244" s="807" t="str">
        <f t="shared" si="102"/>
        <v/>
      </c>
      <c r="AJ1244" s="865"/>
    </row>
    <row r="1245" spans="1:103" ht="15">
      <c r="A1245" s="19" t="s">
        <v>7421</v>
      </c>
      <c r="D1245" s="1070" t="s">
        <v>9725</v>
      </c>
      <c r="E1245" s="533" t="s">
        <v>3324</v>
      </c>
      <c r="F1245" s="1054"/>
      <c r="G1245" s="827"/>
      <c r="H1245" s="809" t="s">
        <v>9728</v>
      </c>
      <c r="I1245" s="92">
        <v>27</v>
      </c>
      <c r="J1245" s="92" t="s">
        <v>18</v>
      </c>
      <c r="K1245" s="92" t="s">
        <v>722</v>
      </c>
      <c r="L1245" s="810">
        <v>7</v>
      </c>
      <c r="M1245" s="811" t="str">
        <f t="shared" si="103"/>
        <v>College Graduate or Higher</v>
      </c>
      <c r="N1245" s="92" t="s">
        <v>1208</v>
      </c>
      <c r="O1245" s="812" t="s">
        <v>9729</v>
      </c>
      <c r="P1245" s="1638"/>
      <c r="Q1245" s="812" t="s">
        <v>9729</v>
      </c>
      <c r="R1245" s="812" t="s">
        <v>8285</v>
      </c>
      <c r="S1245" s="813">
        <v>15000</v>
      </c>
      <c r="V1245" s="961"/>
      <c r="W1245" s="815">
        <v>3</v>
      </c>
      <c r="X1245" s="811" t="str">
        <f t="shared" si="101"/>
        <v>within the Province</v>
      </c>
      <c r="Y1245" s="816">
        <v>4500</v>
      </c>
      <c r="AB1245" s="964"/>
      <c r="AG1245" s="807" t="str">
        <f t="shared" si="102"/>
        <v/>
      </c>
      <c r="AJ1245" s="865"/>
    </row>
    <row r="1246" spans="1:103" ht="15">
      <c r="A1246" s="19" t="s">
        <v>7421</v>
      </c>
      <c r="D1246" s="1070" t="s">
        <v>9725</v>
      </c>
      <c r="E1246" s="533" t="s">
        <v>3324</v>
      </c>
      <c r="F1246" s="1054"/>
      <c r="G1246" s="827"/>
      <c r="H1246" s="809" t="s">
        <v>9730</v>
      </c>
      <c r="I1246" s="92">
        <v>34</v>
      </c>
      <c r="J1246" s="92" t="s">
        <v>10</v>
      </c>
      <c r="K1246" s="92" t="s">
        <v>722</v>
      </c>
      <c r="L1246" s="810">
        <v>6</v>
      </c>
      <c r="M1246" s="811" t="str">
        <f t="shared" si="103"/>
        <v>College Level</v>
      </c>
      <c r="N1246" s="92" t="s">
        <v>1208</v>
      </c>
      <c r="O1246" s="812" t="s">
        <v>9731</v>
      </c>
      <c r="P1246" s="1638"/>
      <c r="Q1246" s="812" t="s">
        <v>9731</v>
      </c>
      <c r="V1246" s="961"/>
      <c r="X1246" s="811" t="str">
        <f t="shared" si="101"/>
        <v/>
      </c>
      <c r="AB1246" s="964"/>
      <c r="AG1246" s="807" t="str">
        <f t="shared" si="102"/>
        <v/>
      </c>
      <c r="AJ1246" s="865"/>
    </row>
    <row r="1247" spans="1:103" ht="15">
      <c r="A1247" s="19" t="s">
        <v>7421</v>
      </c>
      <c r="D1247" s="1070" t="s">
        <v>9725</v>
      </c>
      <c r="E1247" s="533" t="s">
        <v>3324</v>
      </c>
      <c r="F1247" s="1054"/>
      <c r="G1247" s="827"/>
      <c r="H1247" s="809" t="s">
        <v>9732</v>
      </c>
      <c r="I1247" s="92">
        <v>5</v>
      </c>
      <c r="J1247" s="92" t="s">
        <v>18</v>
      </c>
      <c r="K1247" s="92" t="s">
        <v>768</v>
      </c>
      <c r="L1247" s="810">
        <v>1</v>
      </c>
      <c r="M1247" s="811" t="str">
        <f t="shared" si="103"/>
        <v>Pre-school</v>
      </c>
      <c r="P1247" s="1638"/>
      <c r="R1247" s="812" t="s">
        <v>8285</v>
      </c>
      <c r="S1247" s="813">
        <v>11100</v>
      </c>
      <c r="V1247" s="961"/>
      <c r="W1247" s="815">
        <v>3</v>
      </c>
      <c r="X1247" s="811" t="str">
        <f t="shared" si="101"/>
        <v>within the Province</v>
      </c>
      <c r="Y1247" s="816">
        <v>450</v>
      </c>
      <c r="AB1247" s="964"/>
      <c r="AG1247" s="807" t="str">
        <f t="shared" si="102"/>
        <v/>
      </c>
      <c r="AJ1247" s="865"/>
    </row>
    <row r="1248" spans="1:103" ht="15">
      <c r="A1248" s="19" t="s">
        <v>7421</v>
      </c>
      <c r="C1248" s="807"/>
      <c r="D1248" s="1070" t="s">
        <v>9725</v>
      </c>
      <c r="E1248" s="533" t="s">
        <v>3324</v>
      </c>
      <c r="F1248" s="1054"/>
      <c r="G1248" s="827"/>
      <c r="H1248" s="809" t="s">
        <v>9733</v>
      </c>
      <c r="I1248" s="92">
        <v>26</v>
      </c>
      <c r="J1248" s="92" t="s">
        <v>10</v>
      </c>
      <c r="K1248" s="92" t="s">
        <v>768</v>
      </c>
      <c r="L1248" s="810">
        <v>7</v>
      </c>
      <c r="M1248" s="811" t="str">
        <f t="shared" si="103"/>
        <v>College Graduate or Higher</v>
      </c>
      <c r="N1248" s="92" t="s">
        <v>1208</v>
      </c>
      <c r="O1248" s="812" t="s">
        <v>9734</v>
      </c>
      <c r="P1248" s="1638"/>
      <c r="Q1248" s="812" t="s">
        <v>9734</v>
      </c>
      <c r="V1248" s="961"/>
      <c r="X1248" s="811" t="str">
        <f t="shared" si="101"/>
        <v/>
      </c>
      <c r="AB1248" s="964"/>
      <c r="AG1248" s="807" t="str">
        <f t="shared" si="102"/>
        <v/>
      </c>
      <c r="AJ1248" s="865"/>
    </row>
    <row r="1249" spans="1:97" ht="15">
      <c r="A1249" s="19" t="s">
        <v>7421</v>
      </c>
      <c r="C1249" s="807"/>
      <c r="D1249" s="1070" t="s">
        <v>9725</v>
      </c>
      <c r="E1249" s="533" t="s">
        <v>3324</v>
      </c>
      <c r="F1249" s="1054"/>
      <c r="G1249" s="827"/>
      <c r="H1249" s="809" t="s">
        <v>9735</v>
      </c>
      <c r="I1249" s="92">
        <v>2</v>
      </c>
      <c r="J1249" s="92" t="s">
        <v>10</v>
      </c>
      <c r="K1249" s="92" t="s">
        <v>768</v>
      </c>
      <c r="L1249" s="810">
        <v>10</v>
      </c>
      <c r="M1249" s="811" t="str">
        <f t="shared" si="103"/>
        <v>Not In School Age</v>
      </c>
      <c r="P1249" s="1638"/>
      <c r="R1249" s="812" t="s">
        <v>8285</v>
      </c>
      <c r="S1249" s="813">
        <v>10000</v>
      </c>
      <c r="V1249" s="961"/>
      <c r="W1249" s="815">
        <v>2</v>
      </c>
      <c r="X1249" s="811" t="str">
        <f t="shared" si="101"/>
        <v>within the Municipality/City</v>
      </c>
      <c r="Y1249" s="816">
        <v>4500</v>
      </c>
      <c r="AB1249" s="964"/>
      <c r="AG1249" s="807" t="str">
        <f t="shared" si="102"/>
        <v/>
      </c>
      <c r="AJ1249" s="865"/>
    </row>
    <row r="1250" spans="1:97" ht="15">
      <c r="A1250" s="19" t="s">
        <v>7421</v>
      </c>
      <c r="C1250" s="807"/>
      <c r="D1250" s="1070" t="s">
        <v>9725</v>
      </c>
      <c r="E1250" s="533" t="s">
        <v>3324</v>
      </c>
      <c r="F1250" s="1054"/>
      <c r="G1250" s="827"/>
      <c r="H1250" s="809" t="s">
        <v>9736</v>
      </c>
      <c r="I1250" s="92">
        <v>25</v>
      </c>
      <c r="J1250" s="92" t="s">
        <v>18</v>
      </c>
      <c r="K1250" s="92" t="s">
        <v>722</v>
      </c>
      <c r="L1250" s="810">
        <v>6</v>
      </c>
      <c r="M1250" s="811" t="str">
        <f t="shared" si="103"/>
        <v>College Level</v>
      </c>
      <c r="N1250" s="92" t="s">
        <v>1208</v>
      </c>
      <c r="O1250" s="812" t="s">
        <v>3337</v>
      </c>
      <c r="P1250" s="1638"/>
      <c r="Q1250" s="812" t="s">
        <v>3337</v>
      </c>
      <c r="R1250" s="812" t="s">
        <v>8285</v>
      </c>
      <c r="S1250" s="813">
        <v>11100</v>
      </c>
      <c r="V1250" s="961"/>
      <c r="W1250" s="815">
        <v>3</v>
      </c>
      <c r="X1250" s="811" t="str">
        <f t="shared" si="101"/>
        <v>within the Province</v>
      </c>
      <c r="Y1250" s="816">
        <v>4500</v>
      </c>
      <c r="AB1250" s="964"/>
      <c r="AG1250" s="807" t="str">
        <f t="shared" si="102"/>
        <v/>
      </c>
      <c r="AJ1250" s="865"/>
    </row>
    <row r="1251" spans="1:97" ht="15">
      <c r="A1251" s="19" t="s">
        <v>7421</v>
      </c>
      <c r="C1251" s="807"/>
      <c r="D1251" s="1070" t="s">
        <v>9725</v>
      </c>
      <c r="E1251" s="533" t="s">
        <v>3324</v>
      </c>
      <c r="F1251" s="1054"/>
      <c r="G1251" s="827"/>
      <c r="H1251" s="809" t="s">
        <v>9737</v>
      </c>
      <c r="I1251" s="92">
        <v>29</v>
      </c>
      <c r="J1251" s="92" t="s">
        <v>10</v>
      </c>
      <c r="K1251" s="92" t="s">
        <v>722</v>
      </c>
      <c r="L1251" s="810">
        <v>5</v>
      </c>
      <c r="M1251" s="811" t="str">
        <f t="shared" si="103"/>
        <v>High School Graduate</v>
      </c>
      <c r="N1251" s="92" t="s">
        <v>1208</v>
      </c>
      <c r="O1251" s="812" t="s">
        <v>9734</v>
      </c>
      <c r="P1251" s="1638"/>
      <c r="Q1251" s="812" t="s">
        <v>9734</v>
      </c>
      <c r="V1251" s="961"/>
      <c r="X1251" s="811" t="str">
        <f t="shared" si="101"/>
        <v/>
      </c>
      <c r="AB1251" s="964"/>
      <c r="AG1251" s="807" t="str">
        <f t="shared" si="102"/>
        <v/>
      </c>
      <c r="AJ1251" s="865"/>
    </row>
    <row r="1252" spans="1:97" ht="15">
      <c r="A1252" s="19" t="s">
        <v>7421</v>
      </c>
      <c r="C1252" s="807"/>
      <c r="D1252" s="1070" t="s">
        <v>9725</v>
      </c>
      <c r="E1252" s="533" t="s">
        <v>3324</v>
      </c>
      <c r="F1252" s="1054"/>
      <c r="G1252" s="827"/>
      <c r="H1252" s="809" t="s">
        <v>9738</v>
      </c>
      <c r="I1252" s="92">
        <v>2</v>
      </c>
      <c r="J1252" s="92" t="s">
        <v>18</v>
      </c>
      <c r="K1252" s="92" t="s">
        <v>768</v>
      </c>
      <c r="L1252" s="810">
        <v>10</v>
      </c>
      <c r="M1252" s="811" t="str">
        <f t="shared" si="103"/>
        <v>Not In School Age</v>
      </c>
      <c r="P1252" s="1638"/>
      <c r="V1252" s="961"/>
      <c r="X1252" s="811" t="str">
        <f t="shared" si="101"/>
        <v/>
      </c>
      <c r="AB1252" s="964"/>
      <c r="AG1252" s="807" t="str">
        <f t="shared" si="102"/>
        <v/>
      </c>
      <c r="AJ1252" s="865"/>
    </row>
    <row r="1253" spans="1:97" ht="15">
      <c r="A1253" s="19" t="s">
        <v>7421</v>
      </c>
      <c r="C1253" s="807"/>
      <c r="D1253" s="1070" t="s">
        <v>9725</v>
      </c>
      <c r="E1253" s="533" t="s">
        <v>3324</v>
      </c>
      <c r="F1253" s="1054"/>
      <c r="G1253" s="827"/>
      <c r="H1253" s="809" t="s">
        <v>9739</v>
      </c>
      <c r="I1253" s="92">
        <v>24</v>
      </c>
      <c r="J1253" s="92" t="s">
        <v>18</v>
      </c>
      <c r="K1253" s="92" t="s">
        <v>768</v>
      </c>
      <c r="L1253" s="810">
        <v>6</v>
      </c>
      <c r="M1253" s="811" t="str">
        <f t="shared" si="103"/>
        <v>College Level</v>
      </c>
      <c r="P1253" s="1638"/>
      <c r="R1253" s="812" t="s">
        <v>8285</v>
      </c>
      <c r="S1253" s="813">
        <v>7400</v>
      </c>
      <c r="V1253" s="961"/>
      <c r="W1253" s="815">
        <v>3</v>
      </c>
      <c r="X1253" s="811" t="str">
        <f t="shared" ref="X1253:X1284" si="104">IF(ISBLANK(W1253)=TRUE,"",LOOKUP(W1253,GO:GP))</f>
        <v>within the Province</v>
      </c>
      <c r="AB1253" s="964"/>
      <c r="AG1253" s="807" t="str">
        <f t="shared" si="102"/>
        <v/>
      </c>
      <c r="AJ1253" s="865"/>
    </row>
    <row r="1254" spans="1:97" ht="15">
      <c r="A1254" s="19" t="s">
        <v>7421</v>
      </c>
      <c r="C1254" s="807"/>
      <c r="D1254" s="1070" t="s">
        <v>9725</v>
      </c>
      <c r="E1254" s="533" t="s">
        <v>3324</v>
      </c>
      <c r="F1254" s="1054"/>
      <c r="G1254" s="827"/>
      <c r="H1254" s="809" t="s">
        <v>9740</v>
      </c>
      <c r="I1254" s="92">
        <v>22</v>
      </c>
      <c r="J1254" s="92" t="s">
        <v>10</v>
      </c>
      <c r="K1254" s="92" t="s">
        <v>722</v>
      </c>
      <c r="L1254" s="810">
        <v>7</v>
      </c>
      <c r="M1254" s="811" t="str">
        <f t="shared" si="103"/>
        <v>College Graduate or Higher</v>
      </c>
      <c r="N1254" s="92" t="s">
        <v>1208</v>
      </c>
      <c r="O1254" s="812" t="s">
        <v>9734</v>
      </c>
      <c r="P1254" s="1638"/>
      <c r="Q1254" s="812" t="s">
        <v>9734</v>
      </c>
      <c r="V1254" s="961"/>
      <c r="X1254" s="811" t="str">
        <f t="shared" si="104"/>
        <v/>
      </c>
      <c r="AB1254" s="964"/>
      <c r="AG1254" s="807" t="str">
        <f t="shared" si="102"/>
        <v/>
      </c>
      <c r="AJ1254" s="865"/>
    </row>
    <row r="1255" spans="1:97" ht="15">
      <c r="A1255" s="19" t="s">
        <v>7421</v>
      </c>
      <c r="C1255" s="807"/>
      <c r="D1255" s="1070" t="s">
        <v>9725</v>
      </c>
      <c r="E1255" s="533" t="s">
        <v>3324</v>
      </c>
      <c r="F1255" s="1054"/>
      <c r="G1255" s="827"/>
      <c r="H1255" s="809" t="s">
        <v>9741</v>
      </c>
      <c r="I1255" s="92">
        <v>1</v>
      </c>
      <c r="J1255" s="92" t="s">
        <v>18</v>
      </c>
      <c r="K1255" s="92" t="s">
        <v>768</v>
      </c>
      <c r="L1255" s="810">
        <v>10</v>
      </c>
      <c r="M1255" s="811" t="str">
        <f t="shared" si="103"/>
        <v>Not In School Age</v>
      </c>
      <c r="P1255" s="1638"/>
      <c r="V1255" s="961"/>
      <c r="X1255" s="811" t="str">
        <f t="shared" si="104"/>
        <v/>
      </c>
      <c r="AB1255" s="964"/>
      <c r="AG1255" s="807" t="str">
        <f t="shared" si="102"/>
        <v/>
      </c>
      <c r="AJ1255" s="865"/>
    </row>
    <row r="1256" spans="1:97" ht="15">
      <c r="A1256" s="19" t="s">
        <v>7421</v>
      </c>
      <c r="C1256" s="807"/>
      <c r="D1256" s="1070" t="s">
        <v>9725</v>
      </c>
      <c r="E1256" s="533" t="s">
        <v>3324</v>
      </c>
      <c r="F1256" s="1054"/>
      <c r="G1256" s="827"/>
      <c r="H1256" s="809" t="s">
        <v>9742</v>
      </c>
      <c r="I1256" s="92">
        <v>20</v>
      </c>
      <c r="J1256" s="92" t="s">
        <v>18</v>
      </c>
      <c r="K1256" s="92" t="s">
        <v>768</v>
      </c>
      <c r="L1256" s="810">
        <v>7</v>
      </c>
      <c r="M1256" s="811" t="str">
        <f t="shared" si="103"/>
        <v>College Graduate or Higher</v>
      </c>
      <c r="P1256" s="1638"/>
      <c r="V1256" s="961">
        <f>SUM(S1242:U1256)</f>
        <v>84600</v>
      </c>
      <c r="X1256" s="811" t="str">
        <f t="shared" si="104"/>
        <v/>
      </c>
      <c r="AB1256" s="964">
        <f>SUM(Y1242:AA1256)</f>
        <v>22950</v>
      </c>
      <c r="AG1256" s="807" t="str">
        <f t="shared" si="102"/>
        <v/>
      </c>
      <c r="AJ1256" s="865"/>
    </row>
    <row r="1257" spans="1:97" ht="15">
      <c r="A1257" s="19" t="s">
        <v>7421</v>
      </c>
      <c r="C1257" s="807"/>
      <c r="D1257" s="1070" t="s">
        <v>9725</v>
      </c>
      <c r="E1257" s="533" t="s">
        <v>3324</v>
      </c>
      <c r="F1257" s="1054"/>
      <c r="G1257" s="827"/>
      <c r="H1257" s="809" t="s">
        <v>9743</v>
      </c>
      <c r="I1257" s="92">
        <v>22</v>
      </c>
      <c r="J1257" s="92" t="s">
        <v>18</v>
      </c>
      <c r="K1257" s="92" t="s">
        <v>722</v>
      </c>
      <c r="L1257" s="810">
        <v>7</v>
      </c>
      <c r="M1257" s="811" t="str">
        <f t="shared" si="103"/>
        <v>College Graduate or Higher</v>
      </c>
      <c r="P1257" s="1638"/>
      <c r="X1257" s="811" t="str">
        <f t="shared" si="104"/>
        <v/>
      </c>
      <c r="AG1257" s="807" t="str">
        <f t="shared" si="102"/>
        <v/>
      </c>
      <c r="AJ1257" s="865"/>
      <c r="AK1257" s="836" t="s">
        <v>2917</v>
      </c>
      <c r="AL1257" s="92" t="s">
        <v>8276</v>
      </c>
      <c r="AM1257" s="92" t="s">
        <v>2908</v>
      </c>
      <c r="AN1257" s="813" t="s">
        <v>9745</v>
      </c>
    </row>
    <row r="1258" spans="1:97" ht="15">
      <c r="C1258" s="807"/>
      <c r="D1258" s="1069" t="s">
        <v>9744</v>
      </c>
      <c r="E1258" s="533" t="s">
        <v>3324</v>
      </c>
      <c r="G1258" s="827"/>
      <c r="H1258" s="809" t="s">
        <v>3386</v>
      </c>
      <c r="I1258" s="857">
        <v>75</v>
      </c>
      <c r="J1258" s="92" t="s">
        <v>18</v>
      </c>
      <c r="K1258" s="92" t="s">
        <v>707</v>
      </c>
      <c r="L1258" s="810">
        <v>5</v>
      </c>
      <c r="M1258" s="811" t="str">
        <f t="shared" si="103"/>
        <v>High School Graduate</v>
      </c>
      <c r="N1258" s="92" t="s">
        <v>1208</v>
      </c>
      <c r="O1258" s="812" t="s">
        <v>9747</v>
      </c>
      <c r="P1258" s="1638"/>
      <c r="Q1258" s="812" t="s">
        <v>9747</v>
      </c>
      <c r="U1258" s="813">
        <v>6000</v>
      </c>
      <c r="V1258" s="961"/>
      <c r="W1258" s="815">
        <v>1</v>
      </c>
      <c r="X1258" s="811" t="str">
        <f t="shared" si="104"/>
        <v>within the Brgy</v>
      </c>
      <c r="AB1258" s="964"/>
      <c r="AD1258" s="817" t="s">
        <v>9748</v>
      </c>
      <c r="AE1258" s="93" t="s">
        <v>9749</v>
      </c>
      <c r="AF1258" s="818">
        <v>3</v>
      </c>
      <c r="AG1258" s="807" t="str">
        <f t="shared" si="102"/>
        <v>Special Medical Care</v>
      </c>
      <c r="AJ1258" s="865"/>
      <c r="CS1258" s="807">
        <v>1</v>
      </c>
    </row>
    <row r="1259" spans="1:97" ht="15">
      <c r="C1259" s="807"/>
      <c r="D1259" s="1069" t="s">
        <v>9746</v>
      </c>
      <c r="E1259" s="533" t="s">
        <v>3324</v>
      </c>
      <c r="G1259" s="846" t="s">
        <v>3381</v>
      </c>
      <c r="H1259" s="809" t="s">
        <v>9750</v>
      </c>
      <c r="I1259" s="857">
        <v>77</v>
      </c>
      <c r="J1259" s="92" t="s">
        <v>10</v>
      </c>
      <c r="K1259" s="92" t="s">
        <v>707</v>
      </c>
      <c r="L1259" s="810">
        <v>5</v>
      </c>
      <c r="M1259" s="811" t="str">
        <f t="shared" si="103"/>
        <v>High School Graduate</v>
      </c>
      <c r="N1259" s="92" t="s">
        <v>1208</v>
      </c>
      <c r="O1259" s="812" t="s">
        <v>3387</v>
      </c>
      <c r="P1259" s="1638"/>
      <c r="Q1259" s="812" t="s">
        <v>3387</v>
      </c>
      <c r="S1259" s="813">
        <v>15000</v>
      </c>
      <c r="V1259" s="961"/>
      <c r="W1259" s="815">
        <v>0</v>
      </c>
      <c r="X1259" s="811" t="str">
        <f t="shared" si="104"/>
        <v>Pensioner/ Support from children</v>
      </c>
      <c r="AB1259" s="964"/>
      <c r="AD1259" s="817" t="s">
        <v>9751</v>
      </c>
      <c r="AG1259" s="807" t="str">
        <f t="shared" si="102"/>
        <v/>
      </c>
      <c r="AJ1259" s="865"/>
    </row>
    <row r="1260" spans="1:97" ht="15">
      <c r="C1260" s="807"/>
      <c r="D1260" s="1069"/>
      <c r="E1260" s="533" t="s">
        <v>3324</v>
      </c>
      <c r="G1260" s="827"/>
      <c r="H1260" s="809" t="s">
        <v>9752</v>
      </c>
      <c r="I1260" s="92">
        <v>29</v>
      </c>
      <c r="J1260" s="92" t="s">
        <v>10</v>
      </c>
      <c r="K1260" s="92" t="s">
        <v>707</v>
      </c>
      <c r="L1260" s="810">
        <v>5</v>
      </c>
      <c r="M1260" s="811" t="str">
        <f t="shared" si="103"/>
        <v>High School Graduate</v>
      </c>
      <c r="N1260" s="92" t="s">
        <v>1208</v>
      </c>
      <c r="O1260" s="812" t="s">
        <v>3388</v>
      </c>
      <c r="P1260" s="1638" t="s">
        <v>12606</v>
      </c>
      <c r="Q1260" s="812" t="s">
        <v>3388</v>
      </c>
      <c r="R1260" s="92" t="s">
        <v>8234</v>
      </c>
      <c r="U1260" s="813">
        <v>11100</v>
      </c>
      <c r="V1260" s="961">
        <f>SUM(S1258:U1259)</f>
        <v>21000</v>
      </c>
      <c r="W1260" s="815">
        <v>2</v>
      </c>
      <c r="X1260" s="811" t="str">
        <f t="shared" si="104"/>
        <v>within the Municipality/City</v>
      </c>
      <c r="Y1260" s="816">
        <v>4800</v>
      </c>
      <c r="AB1260" s="964">
        <f>SUM(Y1258:AA1260)</f>
        <v>4800</v>
      </c>
      <c r="AG1260" s="807" t="str">
        <f t="shared" si="102"/>
        <v/>
      </c>
      <c r="AJ1260" s="865"/>
    </row>
    <row r="1261" spans="1:97" ht="15">
      <c r="C1261" s="807"/>
      <c r="D1261" s="1069"/>
      <c r="E1261" s="533" t="s">
        <v>3324</v>
      </c>
      <c r="G1261" s="827"/>
      <c r="H1261" s="809" t="s">
        <v>3396</v>
      </c>
      <c r="I1261" s="92">
        <v>31</v>
      </c>
      <c r="J1261" s="92" t="s">
        <v>10</v>
      </c>
      <c r="K1261" s="92" t="s">
        <v>768</v>
      </c>
      <c r="L1261" s="810">
        <v>4</v>
      </c>
      <c r="M1261" s="811" t="str">
        <f t="shared" si="103"/>
        <v>High School Level</v>
      </c>
      <c r="N1261" s="92" t="s">
        <v>1208</v>
      </c>
      <c r="O1261" s="812" t="s">
        <v>3401</v>
      </c>
      <c r="P1261" s="1638"/>
      <c r="Q1261" s="812" t="s">
        <v>3401</v>
      </c>
      <c r="R1261" s="812" t="s">
        <v>10434</v>
      </c>
      <c r="U1261" s="813">
        <v>9000</v>
      </c>
      <c r="W1261" s="815">
        <v>1</v>
      </c>
      <c r="X1261" s="811" t="str">
        <f t="shared" si="104"/>
        <v>within the Brgy</v>
      </c>
      <c r="AG1261" s="807" t="str">
        <f t="shared" si="102"/>
        <v/>
      </c>
      <c r="AJ1261" s="865"/>
    </row>
    <row r="1262" spans="1:97" ht="15">
      <c r="A1262" s="807"/>
      <c r="C1262" s="807"/>
      <c r="D1262" s="807"/>
      <c r="E1262" s="807"/>
      <c r="F1262" s="807"/>
      <c r="G1262" s="807"/>
      <c r="H1262" s="809" t="s">
        <v>9754</v>
      </c>
      <c r="I1262" s="92">
        <v>28</v>
      </c>
      <c r="J1262" s="92" t="s">
        <v>18</v>
      </c>
      <c r="K1262" s="92" t="s">
        <v>722</v>
      </c>
      <c r="L1262" s="810">
        <v>7</v>
      </c>
      <c r="M1262" s="811" t="str">
        <f t="shared" si="103"/>
        <v>College Graduate or Higher</v>
      </c>
      <c r="N1262" s="92" t="s">
        <v>1208</v>
      </c>
      <c r="O1262" s="812" t="s">
        <v>1909</v>
      </c>
      <c r="P1262" s="1638"/>
      <c r="Q1262" s="812" t="s">
        <v>1909</v>
      </c>
      <c r="W1262" s="815">
        <v>1</v>
      </c>
      <c r="X1262" s="811" t="str">
        <f t="shared" si="104"/>
        <v>within the Brgy</v>
      </c>
      <c r="AG1262" s="807" t="str">
        <f t="shared" si="102"/>
        <v/>
      </c>
      <c r="AJ1262" s="865"/>
    </row>
    <row r="1263" spans="1:97" ht="15">
      <c r="A1263" s="19" t="s">
        <v>7421</v>
      </c>
      <c r="B1263" s="752" t="s">
        <v>7783</v>
      </c>
      <c r="C1263" s="132" t="s">
        <v>3391</v>
      </c>
      <c r="D1263" s="1069" t="s">
        <v>9753</v>
      </c>
      <c r="E1263" s="533" t="s">
        <v>3391</v>
      </c>
      <c r="F1263" s="1048" t="s">
        <v>3396</v>
      </c>
      <c r="G1263" s="827"/>
      <c r="H1263" s="1639" t="s">
        <v>9755</v>
      </c>
      <c r="I1263" s="1044">
        <v>7</v>
      </c>
      <c r="J1263" s="1044" t="s">
        <v>10</v>
      </c>
      <c r="K1263" s="1044" t="s">
        <v>768</v>
      </c>
      <c r="L1263" s="1640">
        <v>2</v>
      </c>
      <c r="M1263" s="1641" t="str">
        <f t="shared" si="103"/>
        <v>Elementary Level</v>
      </c>
      <c r="N1263" s="1044"/>
      <c r="O1263" s="1642"/>
      <c r="P1263" s="1643"/>
      <c r="Q1263" s="1642"/>
      <c r="R1263" s="1044" t="s">
        <v>8234</v>
      </c>
      <c r="S1263" s="1646"/>
      <c r="T1263" s="1646"/>
      <c r="U1263" s="1646">
        <v>12000</v>
      </c>
      <c r="V1263" s="814">
        <f>SUM(S1260:U1262)</f>
        <v>20100</v>
      </c>
      <c r="X1263" s="811" t="str">
        <f t="shared" si="104"/>
        <v/>
      </c>
      <c r="AG1263" s="807" t="str">
        <f t="shared" si="102"/>
        <v/>
      </c>
      <c r="AJ1263" s="865"/>
    </row>
    <row r="1264" spans="1:97" ht="15">
      <c r="A1264" s="19" t="s">
        <v>7421</v>
      </c>
      <c r="D1264" s="1069" t="s">
        <v>9753</v>
      </c>
      <c r="E1264" s="533" t="s">
        <v>3391</v>
      </c>
      <c r="G1264" s="827"/>
      <c r="H1264" s="809" t="s">
        <v>3408</v>
      </c>
      <c r="I1264" s="92">
        <v>69</v>
      </c>
      <c r="J1264" s="92" t="s">
        <v>18</v>
      </c>
      <c r="K1264" s="92" t="s">
        <v>719</v>
      </c>
      <c r="L1264" s="810">
        <v>5</v>
      </c>
      <c r="M1264" s="811" t="str">
        <f t="shared" si="103"/>
        <v>High School Graduate</v>
      </c>
      <c r="N1264" s="92" t="s">
        <v>1208</v>
      </c>
      <c r="O1264" s="812" t="s">
        <v>2968</v>
      </c>
      <c r="P1264" s="1638"/>
      <c r="Q1264" s="812" t="s">
        <v>2968</v>
      </c>
      <c r="V1264" s="961"/>
      <c r="W1264" s="815">
        <v>2</v>
      </c>
      <c r="X1264" s="811" t="str">
        <f t="shared" si="104"/>
        <v>within the Municipality/City</v>
      </c>
      <c r="AA1264" s="816">
        <v>420</v>
      </c>
      <c r="AB1264" s="964"/>
      <c r="AD1264" s="817" t="s">
        <v>9757</v>
      </c>
      <c r="AG1264" s="807" t="str">
        <f t="shared" si="102"/>
        <v/>
      </c>
      <c r="AJ1264" s="865"/>
    </row>
    <row r="1265" spans="1:36" ht="15">
      <c r="A1265" s="19" t="s">
        <v>7421</v>
      </c>
      <c r="D1265" s="1069" t="s">
        <v>9753</v>
      </c>
      <c r="E1265" s="533" t="s">
        <v>3391</v>
      </c>
      <c r="G1265" s="827"/>
      <c r="H1265" s="809" t="s">
        <v>9758</v>
      </c>
      <c r="I1265" s="92">
        <v>32</v>
      </c>
      <c r="J1265" s="92" t="s">
        <v>10</v>
      </c>
      <c r="K1265" s="92" t="s">
        <v>768</v>
      </c>
      <c r="L1265" s="810">
        <v>4</v>
      </c>
      <c r="M1265" s="811" t="str">
        <f t="shared" si="103"/>
        <v>High School Level</v>
      </c>
      <c r="P1265" s="1638"/>
      <c r="V1265" s="961"/>
      <c r="X1265" s="811" t="str">
        <f t="shared" si="104"/>
        <v/>
      </c>
      <c r="AB1265" s="964"/>
      <c r="AG1265" s="807" t="str">
        <f t="shared" si="102"/>
        <v/>
      </c>
      <c r="AJ1265" s="865"/>
    </row>
    <row r="1266" spans="1:36" ht="15">
      <c r="A1266" s="19" t="s">
        <v>7421</v>
      </c>
      <c r="B1266" s="752" t="s">
        <v>7695</v>
      </c>
      <c r="C1266" s="132" t="s">
        <v>3407</v>
      </c>
      <c r="D1266" s="1069" t="s">
        <v>9756</v>
      </c>
      <c r="E1266" s="533" t="s">
        <v>3407</v>
      </c>
      <c r="F1266" s="1048" t="s">
        <v>3408</v>
      </c>
      <c r="G1266" s="846" t="s">
        <v>3407</v>
      </c>
      <c r="H1266" s="809" t="s">
        <v>9759</v>
      </c>
      <c r="I1266" s="92">
        <v>13</v>
      </c>
      <c r="J1266" s="92" t="s">
        <v>10</v>
      </c>
      <c r="K1266" s="92" t="s">
        <v>768</v>
      </c>
      <c r="L1266" s="810">
        <v>3</v>
      </c>
      <c r="M1266" s="811" t="str">
        <f t="shared" si="103"/>
        <v>Elementary Graduate</v>
      </c>
      <c r="P1266" s="1638"/>
      <c r="V1266" s="961"/>
      <c r="X1266" s="811" t="str">
        <f t="shared" si="104"/>
        <v/>
      </c>
      <c r="AB1266" s="964"/>
      <c r="AG1266" s="807" t="str">
        <f t="shared" si="102"/>
        <v/>
      </c>
      <c r="AJ1266" s="865"/>
    </row>
    <row r="1267" spans="1:36" ht="15">
      <c r="A1267" s="19" t="s">
        <v>7421</v>
      </c>
      <c r="D1267" s="1069" t="s">
        <v>9756</v>
      </c>
      <c r="E1267" s="533" t="s">
        <v>3407</v>
      </c>
      <c r="G1267" s="827"/>
      <c r="H1267" s="809" t="s">
        <v>9760</v>
      </c>
      <c r="I1267" s="92">
        <v>10</v>
      </c>
      <c r="J1267" s="92" t="s">
        <v>10</v>
      </c>
      <c r="K1267" s="92" t="s">
        <v>768</v>
      </c>
      <c r="L1267" s="810">
        <v>2</v>
      </c>
      <c r="M1267" s="811" t="str">
        <f t="shared" si="103"/>
        <v>Elementary Level</v>
      </c>
      <c r="P1267" s="1638"/>
      <c r="V1267" s="961"/>
      <c r="X1267" s="811" t="str">
        <f t="shared" si="104"/>
        <v/>
      </c>
      <c r="AB1267" s="964"/>
      <c r="AG1267" s="807" t="str">
        <f t="shared" si="102"/>
        <v/>
      </c>
      <c r="AJ1267" s="865"/>
    </row>
    <row r="1268" spans="1:36" ht="15">
      <c r="A1268" s="19" t="s">
        <v>7421</v>
      </c>
      <c r="B1268" s="831"/>
      <c r="C1268" s="807"/>
      <c r="D1268" s="1069" t="s">
        <v>9756</v>
      </c>
      <c r="E1268" s="533" t="s">
        <v>3407</v>
      </c>
      <c r="G1268" s="827"/>
      <c r="H1268" s="809" t="s">
        <v>9761</v>
      </c>
      <c r="I1268" s="92">
        <v>7</v>
      </c>
      <c r="J1268" s="92" t="s">
        <v>10</v>
      </c>
      <c r="K1268" s="92" t="s">
        <v>768</v>
      </c>
      <c r="L1268" s="810">
        <v>1</v>
      </c>
      <c r="M1268" s="811" t="str">
        <f t="shared" si="103"/>
        <v>Pre-school</v>
      </c>
      <c r="P1268" s="1638"/>
      <c r="R1268" s="812" t="s">
        <v>8285</v>
      </c>
      <c r="U1268" s="813">
        <v>10000</v>
      </c>
      <c r="V1268" s="961"/>
      <c r="X1268" s="811" t="str">
        <f t="shared" si="104"/>
        <v/>
      </c>
      <c r="AB1268" s="964"/>
      <c r="AG1268" s="807" t="str">
        <f t="shared" si="102"/>
        <v/>
      </c>
      <c r="AJ1268" s="865"/>
    </row>
    <row r="1269" spans="1:36" ht="15">
      <c r="A1269" s="19" t="s">
        <v>7421</v>
      </c>
      <c r="B1269" s="831"/>
      <c r="C1269" s="807"/>
      <c r="D1269" s="1069" t="s">
        <v>9756</v>
      </c>
      <c r="E1269" s="533" t="s">
        <v>3407</v>
      </c>
      <c r="G1269" s="827"/>
      <c r="H1269" s="809" t="s">
        <v>9762</v>
      </c>
      <c r="I1269" s="92">
        <v>37</v>
      </c>
      <c r="J1269" s="92" t="s">
        <v>10</v>
      </c>
      <c r="K1269" s="92" t="s">
        <v>722</v>
      </c>
      <c r="L1269" s="810">
        <v>4</v>
      </c>
      <c r="M1269" s="811" t="str">
        <f t="shared" si="103"/>
        <v>High School Level</v>
      </c>
      <c r="N1269" s="92" t="s">
        <v>1208</v>
      </c>
      <c r="O1269" s="812" t="s">
        <v>2968</v>
      </c>
      <c r="P1269" s="1638"/>
      <c r="Q1269" s="812" t="s">
        <v>2968</v>
      </c>
      <c r="V1269" s="961"/>
      <c r="W1269" s="815">
        <v>3</v>
      </c>
      <c r="X1269" s="811" t="str">
        <f t="shared" si="104"/>
        <v>within the Province</v>
      </c>
      <c r="AA1269" s="816">
        <v>3600</v>
      </c>
      <c r="AB1269" s="964"/>
      <c r="AG1269" s="807" t="str">
        <f t="shared" si="102"/>
        <v/>
      </c>
      <c r="AJ1269" s="865"/>
    </row>
    <row r="1270" spans="1:36" ht="15">
      <c r="A1270" s="19" t="s">
        <v>7421</v>
      </c>
      <c r="B1270" s="831"/>
      <c r="C1270" s="807"/>
      <c r="D1270" s="1069" t="s">
        <v>9756</v>
      </c>
      <c r="E1270" s="533" t="s">
        <v>3407</v>
      </c>
      <c r="G1270" s="827"/>
      <c r="H1270" s="809" t="s">
        <v>9763</v>
      </c>
      <c r="I1270" s="92">
        <v>40</v>
      </c>
      <c r="J1270" s="92" t="s">
        <v>18</v>
      </c>
      <c r="K1270" s="92" t="s">
        <v>722</v>
      </c>
      <c r="L1270" s="810">
        <v>0</v>
      </c>
      <c r="M1270" s="811" t="str">
        <f t="shared" si="103"/>
        <v>No Schooling</v>
      </c>
      <c r="P1270" s="1638"/>
      <c r="V1270" s="961"/>
      <c r="X1270" s="811" t="str">
        <f t="shared" si="104"/>
        <v/>
      </c>
      <c r="AB1270" s="964"/>
      <c r="AG1270" s="807" t="str">
        <f t="shared" si="102"/>
        <v/>
      </c>
      <c r="AJ1270" s="865"/>
    </row>
    <row r="1271" spans="1:36" ht="15">
      <c r="A1271" s="19" t="s">
        <v>7421</v>
      </c>
      <c r="B1271" s="831"/>
      <c r="C1271" s="807"/>
      <c r="D1271" s="1069" t="s">
        <v>9756</v>
      </c>
      <c r="E1271" s="533" t="s">
        <v>3407</v>
      </c>
      <c r="G1271" s="827"/>
      <c r="H1271" s="1639" t="s">
        <v>9764</v>
      </c>
      <c r="I1271" s="1044">
        <v>2</v>
      </c>
      <c r="J1271" s="1044" t="s">
        <v>18</v>
      </c>
      <c r="K1271" s="1044" t="s">
        <v>768</v>
      </c>
      <c r="L1271" s="1640">
        <v>10</v>
      </c>
      <c r="M1271" s="1641" t="str">
        <f t="shared" si="103"/>
        <v>Not In School Age</v>
      </c>
      <c r="N1271" s="1044"/>
      <c r="O1271" s="1642"/>
      <c r="P1271" s="1643"/>
      <c r="Q1271" s="1642"/>
      <c r="R1271" s="1044" t="s">
        <v>8234</v>
      </c>
      <c r="S1271" s="1646">
        <v>7500</v>
      </c>
      <c r="T1271" s="1646"/>
      <c r="U1271" s="1646"/>
      <c r="V1271" s="961">
        <f>SUM(S1263:U1270)</f>
        <v>22000</v>
      </c>
      <c r="X1271" s="811" t="str">
        <f t="shared" si="104"/>
        <v/>
      </c>
      <c r="AB1271" s="964">
        <f>SUM(Y1264:AA1271)</f>
        <v>4020</v>
      </c>
      <c r="AG1271" s="807" t="str">
        <f t="shared" si="102"/>
        <v/>
      </c>
      <c r="AJ1271" s="865"/>
    </row>
    <row r="1272" spans="1:36" ht="15">
      <c r="A1272" s="19" t="s">
        <v>7421</v>
      </c>
      <c r="B1272" s="831"/>
      <c r="C1272" s="807"/>
      <c r="D1272" s="1069" t="s">
        <v>9756</v>
      </c>
      <c r="E1272" s="533" t="s">
        <v>3407</v>
      </c>
      <c r="G1272" s="827"/>
      <c r="H1272" s="809" t="s">
        <v>3414</v>
      </c>
      <c r="I1272" s="92">
        <v>35</v>
      </c>
      <c r="J1272" s="92" t="s">
        <v>18</v>
      </c>
      <c r="K1272" s="92" t="s">
        <v>768</v>
      </c>
      <c r="L1272" s="810">
        <v>5</v>
      </c>
      <c r="M1272" s="811" t="str">
        <f t="shared" si="103"/>
        <v>High School Graduate</v>
      </c>
      <c r="N1272" s="92" t="s">
        <v>1208</v>
      </c>
      <c r="O1272" s="812" t="s">
        <v>9766</v>
      </c>
      <c r="P1272" s="1638" t="s">
        <v>12606</v>
      </c>
      <c r="Q1272" s="812" t="s">
        <v>9766</v>
      </c>
      <c r="R1272" s="92" t="s">
        <v>8234</v>
      </c>
      <c r="S1272" s="813">
        <v>9500</v>
      </c>
      <c r="V1272" s="814">
        <f>SUM(S1271:U1271)</f>
        <v>7500</v>
      </c>
      <c r="W1272" s="815">
        <v>2</v>
      </c>
      <c r="X1272" s="811" t="str">
        <f t="shared" si="104"/>
        <v>within the Municipality/City</v>
      </c>
      <c r="Y1272" s="816">
        <v>660</v>
      </c>
      <c r="AB1272" s="924">
        <f>SUM(Y1272:AA1272)</f>
        <v>660</v>
      </c>
      <c r="AG1272" s="807" t="str">
        <f t="shared" si="102"/>
        <v/>
      </c>
      <c r="AJ1272" s="865"/>
    </row>
    <row r="1273" spans="1:36" ht="15">
      <c r="A1273" s="19" t="s">
        <v>7421</v>
      </c>
      <c r="B1273" s="831"/>
      <c r="C1273" s="807"/>
      <c r="D1273" s="1069" t="s">
        <v>9756</v>
      </c>
      <c r="E1273" s="533" t="s">
        <v>3407</v>
      </c>
      <c r="G1273" s="827"/>
      <c r="H1273" s="809" t="s">
        <v>3420</v>
      </c>
      <c r="I1273" s="92">
        <v>37</v>
      </c>
      <c r="J1273" s="92" t="s">
        <v>10</v>
      </c>
      <c r="K1273" s="92" t="s">
        <v>707</v>
      </c>
      <c r="L1273" s="810">
        <v>5</v>
      </c>
      <c r="M1273" s="811" t="str">
        <f t="shared" si="103"/>
        <v>High School Graduate</v>
      </c>
      <c r="N1273" s="92" t="s">
        <v>1208</v>
      </c>
      <c r="O1273" s="812" t="s">
        <v>2225</v>
      </c>
      <c r="P1273" s="1638"/>
      <c r="Q1273" s="812" t="s">
        <v>2225</v>
      </c>
      <c r="R1273" s="812" t="s">
        <v>8234</v>
      </c>
      <c r="U1273" s="813">
        <v>900</v>
      </c>
      <c r="V1273" s="961"/>
      <c r="W1273" s="815">
        <v>3</v>
      </c>
      <c r="X1273" s="811" t="str">
        <f t="shared" si="104"/>
        <v>within the Province</v>
      </c>
      <c r="Y1273" s="816">
        <v>2400</v>
      </c>
      <c r="AB1273" s="964"/>
      <c r="AG1273" s="807" t="str">
        <f t="shared" si="102"/>
        <v/>
      </c>
      <c r="AJ1273" s="865"/>
    </row>
    <row r="1274" spans="1:36" ht="15">
      <c r="A1274" s="19" t="s">
        <v>7421</v>
      </c>
      <c r="B1274" s="752" t="s">
        <v>7696</v>
      </c>
      <c r="C1274" s="132" t="s">
        <v>3409</v>
      </c>
      <c r="D1274" s="1069" t="s">
        <v>9765</v>
      </c>
      <c r="E1274" s="533" t="s">
        <v>3409</v>
      </c>
      <c r="F1274" s="1048" t="s">
        <v>3414</v>
      </c>
      <c r="G1274" s="846" t="s">
        <v>3409</v>
      </c>
      <c r="H1274" s="809" t="s">
        <v>9768</v>
      </c>
      <c r="I1274" s="92">
        <v>34</v>
      </c>
      <c r="J1274" s="92" t="s">
        <v>18</v>
      </c>
      <c r="K1274" s="92" t="s">
        <v>707</v>
      </c>
      <c r="L1274" s="810">
        <v>5</v>
      </c>
      <c r="M1274" s="811" t="str">
        <f t="shared" si="103"/>
        <v>High School Graduate</v>
      </c>
      <c r="N1274" s="92" t="s">
        <v>1208</v>
      </c>
      <c r="O1274" s="812" t="s">
        <v>2968</v>
      </c>
      <c r="P1274" s="1638"/>
      <c r="Q1274" s="812" t="s">
        <v>2968</v>
      </c>
      <c r="R1274" s="812" t="s">
        <v>10434</v>
      </c>
      <c r="V1274" s="961"/>
      <c r="W1274" s="815">
        <v>2</v>
      </c>
      <c r="X1274" s="811" t="str">
        <f t="shared" si="104"/>
        <v>within the Municipality/City</v>
      </c>
      <c r="AA1274" s="816">
        <v>960</v>
      </c>
      <c r="AB1274" s="964"/>
      <c r="AG1274" s="807" t="str">
        <f t="shared" si="102"/>
        <v/>
      </c>
      <c r="AJ1274" s="865"/>
    </row>
    <row r="1275" spans="1:36" ht="15">
      <c r="A1275" s="19" t="s">
        <v>7421</v>
      </c>
      <c r="B1275" s="752" t="s">
        <v>7697</v>
      </c>
      <c r="C1275" s="132" t="s">
        <v>3415</v>
      </c>
      <c r="D1275" s="1070" t="s">
        <v>9767</v>
      </c>
      <c r="E1275" s="533" t="s">
        <v>3415</v>
      </c>
      <c r="F1275" s="1048" t="s">
        <v>3420</v>
      </c>
      <c r="G1275" s="126" t="s">
        <v>3415</v>
      </c>
      <c r="H1275" s="809" t="s">
        <v>9769</v>
      </c>
      <c r="I1275" s="92">
        <v>14</v>
      </c>
      <c r="J1275" s="92" t="s">
        <v>10</v>
      </c>
      <c r="K1275" s="92" t="s">
        <v>768</v>
      </c>
      <c r="L1275" s="810">
        <v>4</v>
      </c>
      <c r="M1275" s="811" t="str">
        <f t="shared" ref="M1275:M1306" si="105">IF(ISBLANK(L1275)=TRUE,"",LOOKUP(L1275,GQ:GR))</f>
        <v>High School Level</v>
      </c>
      <c r="P1275" s="1638"/>
      <c r="V1275" s="961"/>
      <c r="X1275" s="811" t="str">
        <f t="shared" si="104"/>
        <v/>
      </c>
      <c r="AB1275" s="964"/>
      <c r="AG1275" s="807" t="str">
        <f t="shared" si="102"/>
        <v/>
      </c>
      <c r="AJ1275" s="865"/>
    </row>
    <row r="1276" spans="1:36" ht="15">
      <c r="A1276" s="19" t="s">
        <v>7421</v>
      </c>
      <c r="D1276" s="1070" t="s">
        <v>9767</v>
      </c>
      <c r="E1276" s="533" t="s">
        <v>3415</v>
      </c>
      <c r="G1276" s="827"/>
      <c r="H1276" s="809" t="s">
        <v>9770</v>
      </c>
      <c r="I1276" s="92">
        <v>11</v>
      </c>
      <c r="J1276" s="92" t="s">
        <v>18</v>
      </c>
      <c r="K1276" s="92" t="s">
        <v>768</v>
      </c>
      <c r="L1276" s="810">
        <v>2</v>
      </c>
      <c r="M1276" s="811" t="str">
        <f t="shared" si="105"/>
        <v>Elementary Level</v>
      </c>
      <c r="P1276" s="1638"/>
      <c r="V1276" s="961"/>
      <c r="X1276" s="811" t="str">
        <f t="shared" si="104"/>
        <v/>
      </c>
      <c r="AB1276" s="964"/>
      <c r="AG1276" s="807" t="str">
        <f t="shared" si="102"/>
        <v/>
      </c>
      <c r="AJ1276" s="865"/>
    </row>
    <row r="1277" spans="1:36" ht="15">
      <c r="A1277" s="19" t="s">
        <v>7421</v>
      </c>
      <c r="D1277" s="1070" t="s">
        <v>9767</v>
      </c>
      <c r="E1277" s="533" t="s">
        <v>3415</v>
      </c>
      <c r="G1277" s="827"/>
      <c r="H1277" s="809" t="s">
        <v>9771</v>
      </c>
      <c r="I1277" s="92">
        <v>8</v>
      </c>
      <c r="J1277" s="92" t="s">
        <v>10</v>
      </c>
      <c r="K1277" s="92" t="s">
        <v>768</v>
      </c>
      <c r="L1277" s="810">
        <v>2</v>
      </c>
      <c r="M1277" s="811" t="str">
        <f t="shared" si="105"/>
        <v>Elementary Level</v>
      </c>
      <c r="P1277" s="1638"/>
      <c r="V1277" s="961"/>
      <c r="X1277" s="811" t="str">
        <f t="shared" si="104"/>
        <v/>
      </c>
      <c r="AB1277" s="964"/>
      <c r="AG1277" s="807" t="str">
        <f t="shared" si="102"/>
        <v/>
      </c>
      <c r="AJ1277" s="865"/>
    </row>
    <row r="1278" spans="1:36" ht="15">
      <c r="A1278" s="19" t="s">
        <v>7421</v>
      </c>
      <c r="D1278" s="1070" t="s">
        <v>9767</v>
      </c>
      <c r="E1278" s="533" t="s">
        <v>3415</v>
      </c>
      <c r="G1278" s="827"/>
      <c r="H1278" s="809" t="s">
        <v>9772</v>
      </c>
      <c r="I1278" s="92">
        <v>5</v>
      </c>
      <c r="J1278" s="92" t="s">
        <v>18</v>
      </c>
      <c r="K1278" s="92" t="s">
        <v>768</v>
      </c>
      <c r="L1278" s="810">
        <v>0</v>
      </c>
      <c r="M1278" s="811" t="str">
        <f t="shared" si="105"/>
        <v>No Schooling</v>
      </c>
      <c r="P1278" s="1638"/>
      <c r="R1278" s="92"/>
      <c r="S1278" s="813">
        <v>6000</v>
      </c>
      <c r="V1278" s="961">
        <f>SUM(S1272:U1277)</f>
        <v>10400</v>
      </c>
      <c r="X1278" s="811" t="str">
        <f t="shared" si="104"/>
        <v/>
      </c>
      <c r="AB1278" s="964">
        <f>SUM(Y1273:AA1278)</f>
        <v>3360</v>
      </c>
      <c r="AG1278" s="807" t="str">
        <f t="shared" si="102"/>
        <v/>
      </c>
      <c r="AJ1278" s="865"/>
    </row>
    <row r="1279" spans="1:36" ht="15">
      <c r="A1279" s="19" t="s">
        <v>7421</v>
      </c>
      <c r="D1279" s="1070" t="s">
        <v>9767</v>
      </c>
      <c r="E1279" s="533" t="s">
        <v>3415</v>
      </c>
      <c r="G1279" s="827"/>
      <c r="H1279" s="809" t="s">
        <v>3569</v>
      </c>
      <c r="I1279" s="92">
        <v>49</v>
      </c>
      <c r="J1279" s="92" t="s">
        <v>18</v>
      </c>
      <c r="K1279" s="92" t="s">
        <v>707</v>
      </c>
      <c r="L1279" s="810">
        <v>5</v>
      </c>
      <c r="M1279" s="811" t="str">
        <f t="shared" si="105"/>
        <v>High School Graduate</v>
      </c>
      <c r="N1279" s="92" t="s">
        <v>1208</v>
      </c>
      <c r="O1279" s="812" t="s">
        <v>3570</v>
      </c>
      <c r="P1279" s="1638"/>
      <c r="Q1279" s="812" t="s">
        <v>3570</v>
      </c>
      <c r="R1279" s="812" t="s">
        <v>8234</v>
      </c>
      <c r="V1279" s="828"/>
      <c r="W1279" s="815">
        <v>2</v>
      </c>
      <c r="X1279" s="811" t="str">
        <f t="shared" si="104"/>
        <v>within the Municipality/City</v>
      </c>
      <c r="Y1279" s="816">
        <v>480</v>
      </c>
      <c r="AB1279" s="950"/>
      <c r="AE1279" s="93" t="s">
        <v>9774</v>
      </c>
      <c r="AF1279" s="818">
        <v>2</v>
      </c>
      <c r="AG1279" s="807" t="str">
        <f t="shared" si="102"/>
        <v>Assistance to walk</v>
      </c>
      <c r="AJ1279" s="865"/>
    </row>
    <row r="1280" spans="1:36" ht="15">
      <c r="A1280" s="19" t="s">
        <v>7421</v>
      </c>
      <c r="D1280" s="1070" t="s">
        <v>9767</v>
      </c>
      <c r="E1280" s="533" t="s">
        <v>3415</v>
      </c>
      <c r="G1280" s="827"/>
      <c r="H1280" s="809" t="s">
        <v>9775</v>
      </c>
      <c r="I1280" s="92">
        <v>18</v>
      </c>
      <c r="J1280" s="92" t="s">
        <v>10</v>
      </c>
      <c r="K1280" s="92" t="s">
        <v>768</v>
      </c>
      <c r="L1280" s="810">
        <v>6</v>
      </c>
      <c r="M1280" s="811" t="str">
        <f t="shared" si="105"/>
        <v>College Level</v>
      </c>
      <c r="P1280" s="1638"/>
      <c r="V1280" s="828"/>
      <c r="X1280" s="811" t="str">
        <f t="shared" si="104"/>
        <v/>
      </c>
      <c r="AB1280" s="950"/>
      <c r="AG1280" s="807" t="str">
        <f t="shared" si="102"/>
        <v/>
      </c>
      <c r="AJ1280" s="865"/>
    </row>
    <row r="1281" spans="1:104" ht="15">
      <c r="A1281" s="19" t="s">
        <v>7421</v>
      </c>
      <c r="B1281" s="752" t="s">
        <v>7698</v>
      </c>
      <c r="C1281" s="132" t="s">
        <v>3564</v>
      </c>
      <c r="D1281" s="1070" t="s">
        <v>9773</v>
      </c>
      <c r="E1281" s="533" t="s">
        <v>3564</v>
      </c>
      <c r="F1281" s="1048" t="s">
        <v>3569</v>
      </c>
      <c r="G1281" s="809" t="s">
        <v>3564</v>
      </c>
      <c r="H1281" s="809" t="s">
        <v>9776</v>
      </c>
      <c r="I1281" s="92">
        <v>15</v>
      </c>
      <c r="J1281" s="92" t="s">
        <v>18</v>
      </c>
      <c r="K1281" s="92" t="s">
        <v>768</v>
      </c>
      <c r="L1281" s="810">
        <v>4</v>
      </c>
      <c r="M1281" s="811" t="str">
        <f t="shared" si="105"/>
        <v>High School Level</v>
      </c>
      <c r="P1281" s="1638"/>
      <c r="V1281" s="828"/>
      <c r="X1281" s="811" t="str">
        <f t="shared" si="104"/>
        <v/>
      </c>
      <c r="AB1281" s="950"/>
      <c r="AG1281" s="807" t="str">
        <f t="shared" si="102"/>
        <v/>
      </c>
      <c r="AJ1281" s="865"/>
    </row>
    <row r="1282" spans="1:104" ht="15">
      <c r="A1282" s="19" t="s">
        <v>7421</v>
      </c>
      <c r="D1282" s="1070" t="s">
        <v>9773</v>
      </c>
      <c r="E1282" s="533" t="s">
        <v>3564</v>
      </c>
      <c r="G1282" s="827"/>
      <c r="H1282" s="809" t="s">
        <v>9777</v>
      </c>
      <c r="I1282" s="92">
        <v>52</v>
      </c>
      <c r="J1282" s="92" t="s">
        <v>18</v>
      </c>
      <c r="K1282" s="92" t="s">
        <v>768</v>
      </c>
      <c r="L1282" s="810">
        <v>4</v>
      </c>
      <c r="M1282" s="811" t="str">
        <f t="shared" si="105"/>
        <v>High School Level</v>
      </c>
      <c r="P1282" s="1638"/>
      <c r="R1282" s="92"/>
      <c r="S1282" s="813">
        <v>8400</v>
      </c>
      <c r="V1282" s="828">
        <f>SUM(S1278:U1281)</f>
        <v>6000</v>
      </c>
      <c r="X1282" s="811" t="str">
        <f t="shared" si="104"/>
        <v/>
      </c>
      <c r="AB1282" s="953">
        <f>SUM(Y1279:AA1282)</f>
        <v>480</v>
      </c>
      <c r="AG1282" s="807" t="str">
        <f t="shared" si="102"/>
        <v/>
      </c>
      <c r="AJ1282" s="865"/>
    </row>
    <row r="1283" spans="1:104" ht="15">
      <c r="A1283" s="19" t="s">
        <v>7421</v>
      </c>
      <c r="D1283" s="1070" t="s">
        <v>9773</v>
      </c>
      <c r="E1283" s="533" t="s">
        <v>3564</v>
      </c>
      <c r="G1283" s="827"/>
      <c r="H1283" s="809" t="s">
        <v>3577</v>
      </c>
      <c r="I1283" s="92">
        <v>46</v>
      </c>
      <c r="J1283" s="92" t="s">
        <v>10</v>
      </c>
      <c r="K1283" s="92" t="s">
        <v>722</v>
      </c>
      <c r="L1283" s="810">
        <v>5</v>
      </c>
      <c r="M1283" s="811" t="str">
        <f t="shared" si="105"/>
        <v>High School Graduate</v>
      </c>
      <c r="N1283" s="92" t="s">
        <v>1208</v>
      </c>
      <c r="O1283" s="812" t="s">
        <v>1985</v>
      </c>
      <c r="P1283" s="1638"/>
      <c r="Q1283" s="812" t="s">
        <v>1985</v>
      </c>
      <c r="R1283" s="812" t="s">
        <v>8234</v>
      </c>
      <c r="V1283" s="948"/>
      <c r="W1283" s="815">
        <v>2</v>
      </c>
      <c r="X1283" s="811" t="str">
        <f t="shared" si="104"/>
        <v>within the Municipality/City</v>
      </c>
      <c r="Y1283" s="816">
        <v>240</v>
      </c>
      <c r="AB1283" s="949"/>
      <c r="AG1283" s="807" t="str">
        <f t="shared" si="102"/>
        <v/>
      </c>
      <c r="AJ1283" s="865"/>
      <c r="BU1283" s="807" t="s">
        <v>2145</v>
      </c>
      <c r="CS1283" s="807" t="s">
        <v>2144</v>
      </c>
      <c r="CZ1283" s="807" t="s">
        <v>2146</v>
      </c>
    </row>
    <row r="1284" spans="1:104" ht="15">
      <c r="A1284" s="19" t="s">
        <v>7421</v>
      </c>
      <c r="D1284" s="1070" t="s">
        <v>9773</v>
      </c>
      <c r="E1284" s="533" t="s">
        <v>3564</v>
      </c>
      <c r="G1284" s="827"/>
      <c r="H1284" s="809" t="s">
        <v>9779</v>
      </c>
      <c r="I1284" s="92">
        <v>41</v>
      </c>
      <c r="J1284" s="92" t="s">
        <v>18</v>
      </c>
      <c r="K1284" s="92" t="s">
        <v>722</v>
      </c>
      <c r="L1284" s="810">
        <v>5</v>
      </c>
      <c r="M1284" s="811" t="str">
        <f t="shared" si="105"/>
        <v>High School Graduate</v>
      </c>
      <c r="P1284" s="1638"/>
      <c r="V1284" s="948"/>
      <c r="X1284" s="811" t="str">
        <f t="shared" si="104"/>
        <v/>
      </c>
      <c r="AB1284" s="949"/>
      <c r="AG1284" s="807" t="str">
        <f t="shared" si="102"/>
        <v/>
      </c>
      <c r="AJ1284" s="865"/>
    </row>
    <row r="1285" spans="1:104" ht="15">
      <c r="A1285" s="19" t="s">
        <v>7421</v>
      </c>
      <c r="B1285" s="752" t="s">
        <v>7784</v>
      </c>
      <c r="C1285" s="133" t="s">
        <v>3571</v>
      </c>
      <c r="D1285" s="1070" t="s">
        <v>9778</v>
      </c>
      <c r="E1285" s="514" t="s">
        <v>3571</v>
      </c>
      <c r="F1285" s="1048" t="s">
        <v>3577</v>
      </c>
      <c r="G1285" s="809" t="s">
        <v>3571</v>
      </c>
      <c r="H1285" s="809" t="s">
        <v>9780</v>
      </c>
      <c r="I1285" s="92">
        <v>22</v>
      </c>
      <c r="J1285" s="92" t="s">
        <v>18</v>
      </c>
      <c r="K1285" s="92" t="s">
        <v>768</v>
      </c>
      <c r="L1285" s="810">
        <v>5</v>
      </c>
      <c r="M1285" s="811" t="str">
        <f t="shared" si="105"/>
        <v>High School Graduate</v>
      </c>
      <c r="N1285" s="92" t="s">
        <v>1208</v>
      </c>
      <c r="O1285" s="812" t="s">
        <v>2210</v>
      </c>
      <c r="P1285" s="1638"/>
      <c r="Q1285" s="812" t="s">
        <v>2210</v>
      </c>
      <c r="V1285" s="948"/>
      <c r="W1285" s="815">
        <v>5</v>
      </c>
      <c r="X1285" s="811" t="str">
        <f t="shared" ref="X1285:X1316" si="106">IF(ISBLANK(W1285)=TRUE,"",LOOKUP(W1285,GO:GP))</f>
        <v>Overseas Worker</v>
      </c>
      <c r="AB1285" s="949"/>
      <c r="AG1285" s="807" t="str">
        <f t="shared" ref="AG1285:AG1348" si="107">IF(ISBLANK(AF1285)=TRUE,"",LOOKUP(AF1285,GS:GT))</f>
        <v/>
      </c>
      <c r="AJ1285" s="865"/>
    </row>
    <row r="1286" spans="1:104" ht="15">
      <c r="A1286" s="19" t="s">
        <v>7421</v>
      </c>
      <c r="D1286" s="1070" t="s">
        <v>9778</v>
      </c>
      <c r="E1286" s="514" t="s">
        <v>3571</v>
      </c>
      <c r="G1286" s="827"/>
      <c r="H1286" s="1639" t="s">
        <v>9781</v>
      </c>
      <c r="I1286" s="1044">
        <v>19</v>
      </c>
      <c r="J1286" s="1044" t="s">
        <v>18</v>
      </c>
      <c r="K1286" s="1044" t="s">
        <v>768</v>
      </c>
      <c r="L1286" s="1640">
        <v>5</v>
      </c>
      <c r="M1286" s="1641" t="str">
        <f t="shared" si="105"/>
        <v>High School Graduate</v>
      </c>
      <c r="N1286" s="1044"/>
      <c r="O1286" s="1642"/>
      <c r="P1286" s="1643"/>
      <c r="Q1286" s="1642"/>
      <c r="R1286" s="1044" t="s">
        <v>8234</v>
      </c>
      <c r="S1286" s="1646"/>
      <c r="T1286" s="1646"/>
      <c r="U1286" s="1646">
        <v>500</v>
      </c>
      <c r="V1286" s="948">
        <f>SUM(S1282:U1285)</f>
        <v>8400</v>
      </c>
      <c r="X1286" s="811" t="str">
        <f t="shared" si="106"/>
        <v/>
      </c>
      <c r="AB1286" s="949">
        <f>SUM(Y1283:AA1286)</f>
        <v>240</v>
      </c>
      <c r="AG1286" s="807" t="str">
        <f t="shared" si="107"/>
        <v/>
      </c>
      <c r="AJ1286" s="865"/>
    </row>
    <row r="1287" spans="1:104" ht="15">
      <c r="A1287" s="19" t="s">
        <v>7421</v>
      </c>
      <c r="D1287" s="1070" t="s">
        <v>9778</v>
      </c>
      <c r="E1287" s="514" t="s">
        <v>3571</v>
      </c>
      <c r="F1287" s="1046"/>
      <c r="G1287" s="827"/>
      <c r="H1287" s="809" t="s">
        <v>3427</v>
      </c>
      <c r="I1287" s="92">
        <v>77</v>
      </c>
      <c r="J1287" s="92" t="s">
        <v>18</v>
      </c>
      <c r="K1287" s="92" t="s">
        <v>719</v>
      </c>
      <c r="L1287" s="810">
        <v>2</v>
      </c>
      <c r="M1287" s="811" t="str">
        <f t="shared" si="105"/>
        <v>Elementary Level</v>
      </c>
      <c r="N1287" s="92" t="s">
        <v>1208</v>
      </c>
      <c r="O1287" s="812" t="s">
        <v>3387</v>
      </c>
      <c r="P1287" s="1638"/>
      <c r="Q1287" s="812" t="s">
        <v>3387</v>
      </c>
      <c r="R1287" s="812" t="s">
        <v>10310</v>
      </c>
      <c r="S1287" s="813">
        <v>4500</v>
      </c>
      <c r="W1287" s="815">
        <v>0</v>
      </c>
      <c r="X1287" s="811" t="str">
        <f t="shared" si="106"/>
        <v>Pensioner/ Support from children</v>
      </c>
      <c r="AD1287" s="817" t="s">
        <v>9783</v>
      </c>
      <c r="AG1287" s="807" t="str">
        <f t="shared" si="107"/>
        <v/>
      </c>
      <c r="AJ1287" s="865"/>
      <c r="CF1287" s="807">
        <v>2</v>
      </c>
      <c r="CS1287" s="807">
        <v>1</v>
      </c>
    </row>
    <row r="1288" spans="1:104" ht="15">
      <c r="A1288" s="19" t="s">
        <v>7421</v>
      </c>
      <c r="D1288" s="1070" t="s">
        <v>9778</v>
      </c>
      <c r="E1288" s="514" t="s">
        <v>3571</v>
      </c>
      <c r="F1288" s="1046"/>
      <c r="G1288" s="827"/>
      <c r="H1288" s="809" t="s">
        <v>9784</v>
      </c>
      <c r="I1288" s="92">
        <v>46</v>
      </c>
      <c r="J1288" s="92" t="s">
        <v>18</v>
      </c>
      <c r="K1288" s="92" t="s">
        <v>719</v>
      </c>
      <c r="L1288" s="810">
        <v>4</v>
      </c>
      <c r="M1288" s="811" t="str">
        <f t="shared" si="105"/>
        <v>High School Level</v>
      </c>
      <c r="N1288" s="92" t="s">
        <v>1208</v>
      </c>
      <c r="O1288" s="812" t="s">
        <v>3421</v>
      </c>
      <c r="P1288" s="1638"/>
      <c r="Q1288" s="812" t="s">
        <v>3421</v>
      </c>
      <c r="W1288" s="815">
        <v>3</v>
      </c>
      <c r="X1288" s="811" t="str">
        <f t="shared" si="106"/>
        <v>within the Province</v>
      </c>
      <c r="Y1288" s="816">
        <v>420</v>
      </c>
      <c r="AG1288" s="807" t="str">
        <f t="shared" si="107"/>
        <v/>
      </c>
      <c r="AJ1288" s="865"/>
    </row>
    <row r="1289" spans="1:104" ht="15">
      <c r="A1289" s="19" t="s">
        <v>7421</v>
      </c>
      <c r="B1289" s="752" t="s">
        <v>7785</v>
      </c>
      <c r="C1289" s="132" t="s">
        <v>2918</v>
      </c>
      <c r="D1289" s="1069" t="s">
        <v>9782</v>
      </c>
      <c r="E1289" s="533" t="s">
        <v>2918</v>
      </c>
      <c r="F1289" s="1048" t="s">
        <v>3427</v>
      </c>
      <c r="G1289" s="846" t="s">
        <v>2918</v>
      </c>
      <c r="H1289" s="809" t="s">
        <v>9785</v>
      </c>
      <c r="I1289" s="92">
        <v>34</v>
      </c>
      <c r="J1289" s="92" t="s">
        <v>18</v>
      </c>
      <c r="K1289" s="92" t="s">
        <v>722</v>
      </c>
      <c r="L1289" s="810">
        <v>4</v>
      </c>
      <c r="M1289" s="811" t="str">
        <f t="shared" si="105"/>
        <v>High School Level</v>
      </c>
      <c r="P1289" s="1638"/>
      <c r="S1289" s="813">
        <v>14500</v>
      </c>
      <c r="X1289" s="811" t="str">
        <f t="shared" si="106"/>
        <v/>
      </c>
      <c r="AG1289" s="807" t="str">
        <f t="shared" si="107"/>
        <v/>
      </c>
      <c r="AJ1289" s="865"/>
    </row>
    <row r="1290" spans="1:104" ht="15">
      <c r="A1290" s="19" t="s">
        <v>7421</v>
      </c>
      <c r="D1290" s="1069" t="s">
        <v>9782</v>
      </c>
      <c r="E1290" s="533" t="s">
        <v>2918</v>
      </c>
      <c r="G1290" s="827"/>
      <c r="H1290" s="809" t="s">
        <v>9786</v>
      </c>
      <c r="I1290" s="92">
        <v>21</v>
      </c>
      <c r="J1290" s="92" t="s">
        <v>10</v>
      </c>
      <c r="K1290" s="92" t="s">
        <v>722</v>
      </c>
      <c r="L1290" s="810">
        <v>4</v>
      </c>
      <c r="M1290" s="811" t="str">
        <f t="shared" si="105"/>
        <v>High School Level</v>
      </c>
      <c r="N1290" s="92" t="s">
        <v>1208</v>
      </c>
      <c r="O1290" s="812" t="s">
        <v>9787</v>
      </c>
      <c r="P1290" s="1638"/>
      <c r="Q1290" s="812" t="s">
        <v>9787</v>
      </c>
      <c r="W1290" s="815">
        <v>3</v>
      </c>
      <c r="X1290" s="811" t="str">
        <f t="shared" si="106"/>
        <v>within the Province</v>
      </c>
      <c r="Y1290" s="816">
        <v>3000</v>
      </c>
      <c r="AG1290" s="807" t="str">
        <f t="shared" si="107"/>
        <v/>
      </c>
      <c r="AJ1290" s="865"/>
    </row>
    <row r="1291" spans="1:104" ht="15">
      <c r="A1291" s="19" t="s">
        <v>7421</v>
      </c>
      <c r="D1291" s="1069" t="s">
        <v>9782</v>
      </c>
      <c r="E1291" s="533" t="s">
        <v>2918</v>
      </c>
      <c r="G1291" s="827"/>
      <c r="H1291" s="809" t="s">
        <v>9788</v>
      </c>
      <c r="I1291" s="92">
        <v>9</v>
      </c>
      <c r="J1291" s="92" t="s">
        <v>10</v>
      </c>
      <c r="K1291" s="92" t="s">
        <v>768</v>
      </c>
      <c r="L1291" s="810">
        <v>2</v>
      </c>
      <c r="M1291" s="811" t="str">
        <f t="shared" si="105"/>
        <v>Elementary Level</v>
      </c>
      <c r="P1291" s="1638"/>
      <c r="X1291" s="811" t="str">
        <f t="shared" si="106"/>
        <v/>
      </c>
      <c r="AG1291" s="807" t="str">
        <f t="shared" si="107"/>
        <v/>
      </c>
      <c r="AJ1291" s="865"/>
    </row>
    <row r="1292" spans="1:104" ht="15">
      <c r="A1292" s="19" t="s">
        <v>7421</v>
      </c>
      <c r="D1292" s="1069" t="s">
        <v>9782</v>
      </c>
      <c r="E1292" s="533" t="s">
        <v>2918</v>
      </c>
      <c r="G1292" s="827"/>
      <c r="H1292" s="809" t="s">
        <v>9789</v>
      </c>
      <c r="I1292" s="92">
        <v>6</v>
      </c>
      <c r="J1292" s="92" t="s">
        <v>18</v>
      </c>
      <c r="K1292" s="92" t="s">
        <v>768</v>
      </c>
      <c r="L1292" s="810">
        <v>2</v>
      </c>
      <c r="M1292" s="811" t="str">
        <f t="shared" si="105"/>
        <v>Elementary Level</v>
      </c>
      <c r="P1292" s="1638"/>
      <c r="X1292" s="811" t="str">
        <f t="shared" si="106"/>
        <v/>
      </c>
      <c r="AG1292" s="807" t="str">
        <f t="shared" si="107"/>
        <v/>
      </c>
      <c r="AJ1292" s="865"/>
    </row>
    <row r="1293" spans="1:104" ht="15">
      <c r="A1293" s="19" t="s">
        <v>7421</v>
      </c>
      <c r="D1293" s="1069" t="s">
        <v>9782</v>
      </c>
      <c r="E1293" s="533" t="s">
        <v>2918</v>
      </c>
      <c r="G1293" s="827"/>
      <c r="H1293" s="1639" t="s">
        <v>9790</v>
      </c>
      <c r="I1293" s="1044">
        <v>23</v>
      </c>
      <c r="J1293" s="1044" t="s">
        <v>18</v>
      </c>
      <c r="K1293" s="1044" t="s">
        <v>768</v>
      </c>
      <c r="L1293" s="1640">
        <v>5</v>
      </c>
      <c r="M1293" s="1641" t="str">
        <f t="shared" si="105"/>
        <v>High School Graduate</v>
      </c>
      <c r="N1293" s="1044"/>
      <c r="O1293" s="1642"/>
      <c r="P1293" s="1643"/>
      <c r="Q1293" s="1642"/>
      <c r="R1293" s="1642" t="s">
        <v>8234</v>
      </c>
      <c r="S1293" s="1646">
        <v>9000</v>
      </c>
      <c r="T1293" s="1646"/>
      <c r="U1293" s="1646"/>
      <c r="X1293" s="811" t="str">
        <f t="shared" si="106"/>
        <v/>
      </c>
      <c r="AG1293" s="807" t="str">
        <f t="shared" si="107"/>
        <v/>
      </c>
      <c r="AJ1293" s="865"/>
    </row>
    <row r="1294" spans="1:104" ht="15">
      <c r="A1294" s="19" t="s">
        <v>7421</v>
      </c>
      <c r="D1294" s="1069" t="s">
        <v>9782</v>
      </c>
      <c r="E1294" s="533" t="s">
        <v>2918</v>
      </c>
      <c r="G1294" s="827"/>
      <c r="H1294" s="809" t="s">
        <v>9791</v>
      </c>
      <c r="I1294" s="92">
        <v>20</v>
      </c>
      <c r="J1294" s="92" t="s">
        <v>10</v>
      </c>
      <c r="K1294" s="92" t="s">
        <v>768</v>
      </c>
      <c r="L1294" s="810">
        <v>5</v>
      </c>
      <c r="M1294" s="811" t="str">
        <f t="shared" si="105"/>
        <v>High School Graduate</v>
      </c>
      <c r="N1294" s="92" t="s">
        <v>1208</v>
      </c>
      <c r="O1294" s="812" t="s">
        <v>8632</v>
      </c>
      <c r="P1294" s="1638" t="s">
        <v>12597</v>
      </c>
      <c r="Q1294" s="812" t="s">
        <v>8632</v>
      </c>
      <c r="R1294" s="92" t="s">
        <v>10434</v>
      </c>
      <c r="T1294" s="813">
        <v>3000</v>
      </c>
      <c r="V1294" s="961"/>
      <c r="X1294" s="811" t="str">
        <f t="shared" si="106"/>
        <v/>
      </c>
      <c r="AB1294" s="964"/>
      <c r="AD1294" s="817" t="s">
        <v>9794</v>
      </c>
      <c r="AE1294" s="93" t="s">
        <v>9795</v>
      </c>
      <c r="AF1294" s="818">
        <v>2</v>
      </c>
      <c r="AG1294" s="807" t="str">
        <f t="shared" si="107"/>
        <v>Assistance to walk</v>
      </c>
      <c r="AJ1294" s="865"/>
    </row>
    <row r="1295" spans="1:104" ht="15">
      <c r="A1295" s="19" t="s">
        <v>7421</v>
      </c>
      <c r="D1295" s="1069" t="s">
        <v>9782</v>
      </c>
      <c r="E1295" s="533" t="s">
        <v>2918</v>
      </c>
      <c r="G1295" s="827"/>
      <c r="H1295" s="809" t="s">
        <v>3582</v>
      </c>
      <c r="I1295" s="92">
        <v>31</v>
      </c>
      <c r="J1295" s="92" t="s">
        <v>10</v>
      </c>
      <c r="K1295" s="92" t="s">
        <v>722</v>
      </c>
      <c r="L1295" s="810">
        <v>4</v>
      </c>
      <c r="M1295" s="811" t="str">
        <f t="shared" si="105"/>
        <v>High School Level</v>
      </c>
      <c r="N1295" s="92" t="s">
        <v>1208</v>
      </c>
      <c r="O1295" s="812" t="s">
        <v>2220</v>
      </c>
      <c r="P1295" s="1638"/>
      <c r="Q1295" s="812" t="s">
        <v>2220</v>
      </c>
      <c r="W1295" s="815">
        <v>1</v>
      </c>
      <c r="X1295" s="811" t="str">
        <f t="shared" si="106"/>
        <v>within the Brgy</v>
      </c>
      <c r="AG1295" s="807" t="str">
        <f t="shared" si="107"/>
        <v/>
      </c>
      <c r="AJ1295" s="865"/>
    </row>
    <row r="1296" spans="1:104" ht="15">
      <c r="A1296" s="19" t="s">
        <v>7421</v>
      </c>
      <c r="D1296" s="1069" t="s">
        <v>9782</v>
      </c>
      <c r="E1296" s="533" t="s">
        <v>2918</v>
      </c>
      <c r="G1296" s="827"/>
      <c r="H1296" s="809" t="s">
        <v>9797</v>
      </c>
      <c r="I1296" s="92">
        <v>30</v>
      </c>
      <c r="J1296" s="92" t="s">
        <v>18</v>
      </c>
      <c r="K1296" s="92" t="s">
        <v>722</v>
      </c>
      <c r="L1296" s="810">
        <v>4</v>
      </c>
      <c r="M1296" s="811" t="str">
        <f t="shared" si="105"/>
        <v>High School Level</v>
      </c>
      <c r="P1296" s="1638"/>
      <c r="X1296" s="811" t="str">
        <f t="shared" si="106"/>
        <v/>
      </c>
      <c r="AG1296" s="807" t="str">
        <f t="shared" si="107"/>
        <v/>
      </c>
      <c r="AJ1296" s="865"/>
    </row>
    <row r="1297" spans="1:114" ht="15">
      <c r="A1297" s="19" t="s">
        <v>7421</v>
      </c>
      <c r="B1297" s="127" t="s">
        <v>7699</v>
      </c>
      <c r="C1297" s="132" t="s">
        <v>3581</v>
      </c>
      <c r="D1297" s="1069" t="s">
        <v>9796</v>
      </c>
      <c r="E1297" s="533" t="s">
        <v>3581</v>
      </c>
      <c r="F1297" s="1048" t="s">
        <v>3582</v>
      </c>
      <c r="G1297" s="809" t="s">
        <v>3581</v>
      </c>
      <c r="H1297" s="809" t="s">
        <v>9798</v>
      </c>
      <c r="I1297" s="92">
        <v>10</v>
      </c>
      <c r="J1297" s="92" t="s">
        <v>10</v>
      </c>
      <c r="K1297" s="92" t="s">
        <v>768</v>
      </c>
      <c r="L1297" s="810">
        <v>2</v>
      </c>
      <c r="M1297" s="811" t="str">
        <f t="shared" si="105"/>
        <v>Elementary Level</v>
      </c>
      <c r="P1297" s="1638"/>
      <c r="X1297" s="811" t="str">
        <f t="shared" si="106"/>
        <v/>
      </c>
      <c r="AG1297" s="807" t="str">
        <f t="shared" si="107"/>
        <v/>
      </c>
      <c r="AJ1297" s="865"/>
    </row>
    <row r="1298" spans="1:114" ht="15">
      <c r="A1298" s="19" t="s">
        <v>7421</v>
      </c>
      <c r="D1298" s="1069" t="s">
        <v>9796</v>
      </c>
      <c r="E1298" s="533" t="s">
        <v>3581</v>
      </c>
      <c r="G1298" s="827"/>
      <c r="H1298" s="809" t="s">
        <v>9799</v>
      </c>
      <c r="I1298" s="92">
        <v>9</v>
      </c>
      <c r="J1298" s="92" t="s">
        <v>18</v>
      </c>
      <c r="K1298" s="92" t="s">
        <v>768</v>
      </c>
      <c r="L1298" s="810">
        <v>2</v>
      </c>
      <c r="M1298" s="811" t="str">
        <f t="shared" si="105"/>
        <v>Elementary Level</v>
      </c>
      <c r="P1298" s="1638"/>
      <c r="X1298" s="811" t="str">
        <f t="shared" si="106"/>
        <v/>
      </c>
      <c r="AG1298" s="807" t="str">
        <f t="shared" si="107"/>
        <v/>
      </c>
      <c r="AJ1298" s="865"/>
    </row>
    <row r="1299" spans="1:114" ht="15">
      <c r="A1299" s="19" t="s">
        <v>7421</v>
      </c>
      <c r="D1299" s="1069" t="s">
        <v>9796</v>
      </c>
      <c r="E1299" s="533" t="s">
        <v>3581</v>
      </c>
      <c r="G1299" s="827"/>
      <c r="H1299" s="1639" t="s">
        <v>9800</v>
      </c>
      <c r="I1299" s="1044">
        <v>3</v>
      </c>
      <c r="J1299" s="1044" t="s">
        <v>18</v>
      </c>
      <c r="K1299" s="1044" t="s">
        <v>768</v>
      </c>
      <c r="L1299" s="1640">
        <v>10</v>
      </c>
      <c r="M1299" s="1641" t="str">
        <f t="shared" si="105"/>
        <v>Not In School Age</v>
      </c>
      <c r="N1299" s="1044"/>
      <c r="O1299" s="1642"/>
      <c r="P1299" s="1643"/>
      <c r="Q1299" s="1642"/>
      <c r="R1299" s="1044" t="s">
        <v>8234</v>
      </c>
      <c r="S1299" s="1646">
        <v>16000</v>
      </c>
      <c r="T1299" s="1646"/>
      <c r="U1299" s="1646"/>
      <c r="V1299" s="814">
        <f>SUM(S1286:U1293)</f>
        <v>28500</v>
      </c>
      <c r="W1299" s="815">
        <v>3</v>
      </c>
      <c r="X1299" s="811" t="str">
        <f t="shared" si="106"/>
        <v>within the Province</v>
      </c>
      <c r="Y1299" s="816">
        <v>2100</v>
      </c>
      <c r="AB1299" s="924">
        <f>SUM(Y1287:AA1299)</f>
        <v>5520</v>
      </c>
      <c r="AG1299" s="807" t="str">
        <f t="shared" si="107"/>
        <v/>
      </c>
      <c r="AJ1299" s="865"/>
    </row>
    <row r="1300" spans="1:114" ht="15">
      <c r="A1300" s="19" t="s">
        <v>7421</v>
      </c>
      <c r="D1300" s="1069" t="s">
        <v>9796</v>
      </c>
      <c r="E1300" s="533" t="s">
        <v>3581</v>
      </c>
      <c r="G1300" s="827"/>
      <c r="H1300" s="809" t="s">
        <v>3435</v>
      </c>
      <c r="I1300" s="92">
        <v>19</v>
      </c>
      <c r="J1300" s="92" t="s">
        <v>10</v>
      </c>
      <c r="K1300" s="92" t="s">
        <v>722</v>
      </c>
      <c r="L1300" s="810">
        <v>6</v>
      </c>
      <c r="M1300" s="811" t="str">
        <f t="shared" si="105"/>
        <v>College Level</v>
      </c>
      <c r="N1300" s="92" t="s">
        <v>1208</v>
      </c>
      <c r="O1300" s="812" t="s">
        <v>3437</v>
      </c>
      <c r="P1300" s="1638"/>
      <c r="Q1300" s="812" t="s">
        <v>3437</v>
      </c>
      <c r="V1300" s="828"/>
      <c r="W1300" s="815">
        <v>3</v>
      </c>
      <c r="X1300" s="811" t="str">
        <f t="shared" si="106"/>
        <v>within the Province</v>
      </c>
      <c r="Y1300" s="816">
        <v>1000</v>
      </c>
      <c r="AB1300" s="950"/>
      <c r="AG1300" s="807" t="str">
        <f t="shared" si="107"/>
        <v/>
      </c>
      <c r="AJ1300" s="865"/>
    </row>
    <row r="1301" spans="1:114" ht="15">
      <c r="A1301" s="19" t="s">
        <v>7421</v>
      </c>
      <c r="D1301" s="1069" t="s">
        <v>9796</v>
      </c>
      <c r="E1301" s="533" t="s">
        <v>3581</v>
      </c>
      <c r="G1301" s="827"/>
      <c r="H1301" s="809" t="s">
        <v>9792</v>
      </c>
      <c r="I1301" s="92">
        <v>21</v>
      </c>
      <c r="J1301" s="92" t="s">
        <v>18</v>
      </c>
      <c r="K1301" s="92" t="s">
        <v>722</v>
      </c>
      <c r="L1301" s="810">
        <v>6</v>
      </c>
      <c r="M1301" s="811" t="str">
        <f t="shared" si="105"/>
        <v>College Level</v>
      </c>
      <c r="P1301" s="1638"/>
      <c r="V1301" s="828"/>
      <c r="X1301" s="811" t="str">
        <f t="shared" si="106"/>
        <v/>
      </c>
      <c r="AB1301" s="950"/>
      <c r="AG1301" s="807" t="str">
        <f t="shared" si="107"/>
        <v/>
      </c>
      <c r="AJ1301" s="865"/>
    </row>
    <row r="1302" spans="1:114" ht="15">
      <c r="A1302" s="19" t="s">
        <v>7421</v>
      </c>
      <c r="B1302" s="752" t="s">
        <v>7700</v>
      </c>
      <c r="C1302" s="132" t="s">
        <v>3429</v>
      </c>
      <c r="D1302" s="1070" t="s">
        <v>12583</v>
      </c>
      <c r="E1302" s="533" t="s">
        <v>3429</v>
      </c>
      <c r="F1302" s="1048" t="s">
        <v>3435</v>
      </c>
      <c r="G1302" s="126" t="s">
        <v>3429</v>
      </c>
      <c r="H1302" s="809" t="s">
        <v>9793</v>
      </c>
      <c r="I1302" s="930">
        <f>5/12</f>
        <v>0.41666666666666669</v>
      </c>
      <c r="J1302" s="92" t="s">
        <v>10</v>
      </c>
      <c r="K1302" s="92" t="s">
        <v>768</v>
      </c>
      <c r="L1302" s="810">
        <v>10</v>
      </c>
      <c r="M1302" s="811" t="str">
        <f t="shared" si="105"/>
        <v>Not In School Age</v>
      </c>
      <c r="P1302" s="1638"/>
      <c r="V1302" s="828">
        <f>SUM(S1299:U1301)</f>
        <v>16000</v>
      </c>
      <c r="X1302" s="811" t="str">
        <f t="shared" si="106"/>
        <v/>
      </c>
      <c r="AB1302" s="950">
        <f>SUM(Y1300:AA1302)</f>
        <v>1000</v>
      </c>
      <c r="AG1302" s="807" t="str">
        <f t="shared" si="107"/>
        <v/>
      </c>
      <c r="AJ1302" s="865"/>
    </row>
    <row r="1303" spans="1:114" ht="15">
      <c r="A1303" s="19" t="s">
        <v>7421</v>
      </c>
      <c r="D1303" s="1070" t="s">
        <v>12583</v>
      </c>
      <c r="E1303" s="533" t="s">
        <v>3429</v>
      </c>
      <c r="G1303" s="827"/>
      <c r="M1303" s="811" t="str">
        <f t="shared" si="105"/>
        <v/>
      </c>
      <c r="P1303" s="1638"/>
      <c r="V1303" s="828"/>
      <c r="W1303" s="815">
        <v>3</v>
      </c>
      <c r="X1303" s="811" t="str">
        <f t="shared" si="106"/>
        <v>within the Province</v>
      </c>
      <c r="Y1303" s="816">
        <f>SUM(1500,1800)</f>
        <v>3300</v>
      </c>
      <c r="AB1303" s="953"/>
      <c r="AG1303" s="807" t="str">
        <f t="shared" si="107"/>
        <v/>
      </c>
      <c r="AJ1303" s="865"/>
    </row>
    <row r="1304" spans="1:114" ht="15">
      <c r="A1304" s="19" t="s">
        <v>7421</v>
      </c>
      <c r="D1304" s="1070" t="s">
        <v>12583</v>
      </c>
      <c r="E1304" s="533" t="s">
        <v>3429</v>
      </c>
      <c r="G1304" s="827"/>
      <c r="H1304" s="809" t="s">
        <v>9801</v>
      </c>
      <c r="I1304" s="92">
        <v>57</v>
      </c>
      <c r="J1304" s="92" t="s">
        <v>18</v>
      </c>
      <c r="K1304" s="92" t="s">
        <v>707</v>
      </c>
      <c r="L1304" s="810">
        <v>4</v>
      </c>
      <c r="M1304" s="811" t="str">
        <f t="shared" si="105"/>
        <v>High School Level</v>
      </c>
      <c r="P1304" s="1638"/>
      <c r="R1304" s="92" t="s">
        <v>8234</v>
      </c>
      <c r="S1304" s="813">
        <v>6000</v>
      </c>
      <c r="V1304" s="828">
        <f>SUM(S1303:U1303)</f>
        <v>0</v>
      </c>
      <c r="X1304" s="811" t="str">
        <f t="shared" si="106"/>
        <v/>
      </c>
      <c r="AB1304" s="953">
        <f>SUM(Y1303:AA1304)</f>
        <v>3300</v>
      </c>
      <c r="AG1304" s="807" t="str">
        <f t="shared" si="107"/>
        <v/>
      </c>
      <c r="AJ1304" s="865"/>
    </row>
    <row r="1305" spans="1:114" ht="15">
      <c r="D1305" s="1069" t="s">
        <v>12584</v>
      </c>
      <c r="E1305" s="93"/>
      <c r="G1305" s="827"/>
      <c r="H1305" s="809" t="s">
        <v>3596</v>
      </c>
      <c r="I1305" s="92">
        <v>30</v>
      </c>
      <c r="J1305" s="92" t="s">
        <v>18</v>
      </c>
      <c r="K1305" s="92" t="s">
        <v>768</v>
      </c>
      <c r="L1305" s="810">
        <v>5</v>
      </c>
      <c r="M1305" s="811" t="str">
        <f t="shared" si="105"/>
        <v>High School Graduate</v>
      </c>
      <c r="N1305" s="92" t="s">
        <v>1208</v>
      </c>
      <c r="O1305" s="812" t="s">
        <v>1985</v>
      </c>
      <c r="P1305" s="1638"/>
      <c r="Q1305" s="812" t="s">
        <v>1985</v>
      </c>
      <c r="V1305" s="961"/>
      <c r="W1305" s="815">
        <v>2</v>
      </c>
      <c r="X1305" s="811" t="str">
        <f t="shared" si="106"/>
        <v>within the Municipality/City</v>
      </c>
      <c r="Y1305" s="816">
        <v>400</v>
      </c>
      <c r="AB1305" s="962"/>
      <c r="AG1305" s="807" t="str">
        <f t="shared" si="107"/>
        <v/>
      </c>
      <c r="AJ1305" s="865"/>
    </row>
    <row r="1306" spans="1:114" ht="15">
      <c r="A1306" s="19" t="s">
        <v>7421</v>
      </c>
      <c r="B1306" s="752" t="s">
        <v>7701</v>
      </c>
      <c r="C1306" s="132" t="s">
        <v>3589</v>
      </c>
      <c r="D1306" s="1070" t="s">
        <v>9802</v>
      </c>
      <c r="E1306" s="533" t="s">
        <v>3589</v>
      </c>
      <c r="G1306" s="827"/>
      <c r="H1306" s="809" t="s">
        <v>9803</v>
      </c>
      <c r="I1306" s="92">
        <v>9</v>
      </c>
      <c r="J1306" s="92" t="s">
        <v>10</v>
      </c>
      <c r="K1306" s="92" t="s">
        <v>768</v>
      </c>
      <c r="L1306" s="810">
        <v>2</v>
      </c>
      <c r="M1306" s="811" t="str">
        <f t="shared" si="105"/>
        <v>Elementary Level</v>
      </c>
      <c r="P1306" s="1638"/>
      <c r="V1306" s="961"/>
      <c r="X1306" s="811" t="str">
        <f t="shared" si="106"/>
        <v/>
      </c>
      <c r="AB1306" s="962"/>
      <c r="AG1306" s="807" t="str">
        <f t="shared" si="107"/>
        <v/>
      </c>
      <c r="AJ1306" s="865"/>
    </row>
    <row r="1307" spans="1:114" ht="15">
      <c r="A1307" s="311" t="s">
        <v>7421</v>
      </c>
      <c r="B1307" s="752" t="s">
        <v>7701</v>
      </c>
      <c r="C1307" s="132" t="s">
        <v>3589</v>
      </c>
      <c r="D1307" s="1070" t="s">
        <v>7701</v>
      </c>
      <c r="E1307" s="533" t="s">
        <v>3589</v>
      </c>
      <c r="G1307" s="827"/>
      <c r="H1307" s="809" t="s">
        <v>9804</v>
      </c>
      <c r="I1307" s="92">
        <v>7</v>
      </c>
      <c r="J1307" s="92" t="s">
        <v>18</v>
      </c>
      <c r="K1307" s="92" t="s">
        <v>768</v>
      </c>
      <c r="L1307" s="810">
        <v>2</v>
      </c>
      <c r="M1307" s="811" t="str">
        <f t="shared" ref="M1307:M1338" si="108">IF(ISBLANK(L1307)=TRUE,"",LOOKUP(L1307,GQ:GR))</f>
        <v>Elementary Level</v>
      </c>
      <c r="P1307" s="1638"/>
      <c r="V1307" s="961"/>
      <c r="X1307" s="811" t="str">
        <f t="shared" si="106"/>
        <v/>
      </c>
      <c r="AB1307" s="962"/>
      <c r="AG1307" s="807" t="str">
        <f t="shared" si="107"/>
        <v/>
      </c>
      <c r="AJ1307" s="865"/>
    </row>
    <row r="1308" spans="1:114" ht="15">
      <c r="A1308" s="311" t="s">
        <v>7421</v>
      </c>
      <c r="D1308" s="1070" t="s">
        <v>7701</v>
      </c>
      <c r="G1308" s="827"/>
      <c r="H1308" s="1639" t="s">
        <v>9805</v>
      </c>
      <c r="I1308" s="1044">
        <v>2</v>
      </c>
      <c r="J1308" s="1044" t="s">
        <v>18</v>
      </c>
      <c r="K1308" s="1044" t="s">
        <v>768</v>
      </c>
      <c r="L1308" s="1640">
        <v>10</v>
      </c>
      <c r="M1308" s="1641" t="str">
        <f t="shared" si="108"/>
        <v>Not In School Age</v>
      </c>
      <c r="N1308" s="1044"/>
      <c r="O1308" s="1642"/>
      <c r="P1308" s="1643"/>
      <c r="Q1308" s="1642"/>
      <c r="R1308" s="1642" t="s">
        <v>8234</v>
      </c>
      <c r="S1308" s="1646"/>
      <c r="T1308" s="1646"/>
      <c r="U1308" s="1646">
        <v>2500</v>
      </c>
      <c r="V1308" s="961">
        <f>SUM(S1304:U1307)</f>
        <v>6000</v>
      </c>
      <c r="X1308" s="811" t="str">
        <f t="shared" si="106"/>
        <v/>
      </c>
      <c r="AB1308" s="962">
        <f>SUM(Y1305:AA1308)</f>
        <v>400</v>
      </c>
      <c r="AG1308" s="807" t="str">
        <f t="shared" si="107"/>
        <v/>
      </c>
      <c r="AJ1308" s="865"/>
    </row>
    <row r="1309" spans="1:114" ht="15">
      <c r="A1309" s="311" t="s">
        <v>7421</v>
      </c>
      <c r="D1309" s="1070" t="s">
        <v>7701</v>
      </c>
      <c r="G1309" s="827"/>
      <c r="H1309" s="809" t="s">
        <v>2929</v>
      </c>
      <c r="I1309" s="92">
        <v>43</v>
      </c>
      <c r="J1309" s="92" t="s">
        <v>10</v>
      </c>
      <c r="K1309" s="92" t="s">
        <v>707</v>
      </c>
      <c r="L1309" s="810">
        <v>5</v>
      </c>
      <c r="M1309" s="811" t="str">
        <f t="shared" si="108"/>
        <v>High School Graduate</v>
      </c>
      <c r="N1309" s="92" t="s">
        <v>1208</v>
      </c>
      <c r="O1309" s="812" t="s">
        <v>9807</v>
      </c>
      <c r="P1309" s="1638"/>
      <c r="Q1309" s="812" t="s">
        <v>9807</v>
      </c>
      <c r="W1309" s="815">
        <v>1</v>
      </c>
      <c r="X1309" s="811" t="str">
        <f t="shared" si="106"/>
        <v>within the Brgy</v>
      </c>
      <c r="AB1309" s="940"/>
      <c r="AG1309" s="807" t="str">
        <f t="shared" si="107"/>
        <v/>
      </c>
      <c r="AJ1309" s="865"/>
      <c r="AO1309" s="817" t="s">
        <v>9808</v>
      </c>
      <c r="DJ1309" s="807" t="s">
        <v>2144</v>
      </c>
    </row>
    <row r="1310" spans="1:114" ht="15">
      <c r="A1310" s="311" t="s">
        <v>7421</v>
      </c>
      <c r="D1310" s="1070" t="s">
        <v>7701</v>
      </c>
      <c r="G1310" s="827"/>
      <c r="H1310" s="809" t="s">
        <v>9809</v>
      </c>
      <c r="I1310" s="92">
        <v>30</v>
      </c>
      <c r="J1310" s="92" t="s">
        <v>18</v>
      </c>
      <c r="K1310" s="92" t="s">
        <v>707</v>
      </c>
      <c r="L1310" s="810">
        <v>5</v>
      </c>
      <c r="M1310" s="811" t="str">
        <f t="shared" si="108"/>
        <v>High School Graduate</v>
      </c>
      <c r="P1310" s="1638"/>
      <c r="X1310" s="811" t="str">
        <f t="shared" si="106"/>
        <v/>
      </c>
      <c r="AB1310" s="940"/>
      <c r="AG1310" s="807" t="str">
        <f t="shared" si="107"/>
        <v/>
      </c>
      <c r="AJ1310" s="865"/>
      <c r="AO1310" s="817" t="s">
        <v>9810</v>
      </c>
    </row>
    <row r="1311" spans="1:114" ht="15">
      <c r="A1311" s="311" t="s">
        <v>12452</v>
      </c>
      <c r="B1311" s="752" t="s">
        <v>7501</v>
      </c>
      <c r="C1311" s="132" t="s">
        <v>2924</v>
      </c>
      <c r="D1311" s="1070" t="s">
        <v>9806</v>
      </c>
      <c r="G1311" s="809" t="s">
        <v>2924</v>
      </c>
      <c r="H1311" s="809" t="s">
        <v>9811</v>
      </c>
      <c r="I1311" s="92">
        <v>8</v>
      </c>
      <c r="J1311" s="92" t="s">
        <v>18</v>
      </c>
      <c r="K1311" s="92" t="s">
        <v>768</v>
      </c>
      <c r="L1311" s="810">
        <v>2</v>
      </c>
      <c r="M1311" s="811" t="str">
        <f t="shared" si="108"/>
        <v>Elementary Level</v>
      </c>
      <c r="P1311" s="1638"/>
      <c r="X1311" s="811" t="str">
        <f t="shared" si="106"/>
        <v/>
      </c>
      <c r="AB1311" s="940"/>
      <c r="AG1311" s="807" t="str">
        <f t="shared" si="107"/>
        <v/>
      </c>
      <c r="AJ1311" s="865"/>
    </row>
    <row r="1312" spans="1:114" ht="15">
      <c r="A1312" s="311" t="s">
        <v>12452</v>
      </c>
      <c r="D1312" s="1070" t="s">
        <v>9806</v>
      </c>
      <c r="G1312" s="827"/>
      <c r="H1312" s="809" t="s">
        <v>9812</v>
      </c>
      <c r="I1312" s="92">
        <v>4</v>
      </c>
      <c r="J1312" s="92" t="s">
        <v>18</v>
      </c>
      <c r="K1312" s="92" t="s">
        <v>768</v>
      </c>
      <c r="L1312" s="810">
        <v>1</v>
      </c>
      <c r="M1312" s="811" t="str">
        <f t="shared" si="108"/>
        <v>Pre-school</v>
      </c>
      <c r="P1312" s="1638"/>
      <c r="X1312" s="811" t="str">
        <f t="shared" si="106"/>
        <v/>
      </c>
      <c r="AB1312" s="940"/>
      <c r="AG1312" s="807" t="str">
        <f t="shared" si="107"/>
        <v/>
      </c>
      <c r="AJ1312" s="865"/>
    </row>
    <row r="1313" spans="1:56" ht="15">
      <c r="A1313" s="311" t="s">
        <v>12452</v>
      </c>
      <c r="D1313" s="1070" t="s">
        <v>9806</v>
      </c>
      <c r="G1313" s="827"/>
      <c r="H1313" s="1639" t="s">
        <v>9813</v>
      </c>
      <c r="I1313" s="1044">
        <v>16</v>
      </c>
      <c r="J1313" s="1044" t="s">
        <v>10</v>
      </c>
      <c r="K1313" s="1044" t="s">
        <v>768</v>
      </c>
      <c r="L1313" s="1640">
        <v>2</v>
      </c>
      <c r="M1313" s="1641" t="str">
        <f t="shared" si="108"/>
        <v>Elementary Level</v>
      </c>
      <c r="N1313" s="1044"/>
      <c r="O1313" s="1642"/>
      <c r="P1313" s="1643"/>
      <c r="Q1313" s="1642"/>
      <c r="R1313" s="1044" t="s">
        <v>8234</v>
      </c>
      <c r="S1313" s="1646">
        <f>491*26</f>
        <v>12766</v>
      </c>
      <c r="T1313" s="1646"/>
      <c r="U1313" s="1646"/>
      <c r="V1313" s="814">
        <f>SUM(S1308:U1312)</f>
        <v>2500</v>
      </c>
      <c r="X1313" s="811" t="str">
        <f t="shared" si="106"/>
        <v/>
      </c>
      <c r="AB1313" s="940">
        <f>SUM(Y1309:AA1313)</f>
        <v>0</v>
      </c>
      <c r="AG1313" s="807" t="str">
        <f t="shared" si="107"/>
        <v/>
      </c>
      <c r="AJ1313" s="865"/>
    </row>
    <row r="1314" spans="1:56" ht="15">
      <c r="A1314" s="311" t="s">
        <v>12452</v>
      </c>
      <c r="D1314" s="1070" t="s">
        <v>9806</v>
      </c>
      <c r="G1314" s="827"/>
      <c r="H1314" s="809" t="s">
        <v>3616</v>
      </c>
      <c r="I1314" s="92">
        <v>24</v>
      </c>
      <c r="J1314" s="92" t="s">
        <v>10</v>
      </c>
      <c r="K1314" s="92" t="s">
        <v>722</v>
      </c>
      <c r="L1314" s="810">
        <v>4</v>
      </c>
      <c r="M1314" s="811" t="str">
        <f t="shared" si="108"/>
        <v>High School Level</v>
      </c>
      <c r="N1314" s="92" t="s">
        <v>1208</v>
      </c>
      <c r="O1314" s="812" t="s">
        <v>3617</v>
      </c>
      <c r="P1314" s="1638"/>
      <c r="Q1314" s="812" t="s">
        <v>3617</v>
      </c>
      <c r="V1314" s="828"/>
      <c r="W1314" s="815">
        <v>3</v>
      </c>
      <c r="X1314" s="811" t="str">
        <f t="shared" si="106"/>
        <v>within the Province</v>
      </c>
      <c r="Y1314" s="816">
        <f>70*26</f>
        <v>1820</v>
      </c>
      <c r="AB1314" s="953"/>
      <c r="AG1314" s="807" t="str">
        <f t="shared" si="107"/>
        <v/>
      </c>
      <c r="AJ1314" s="865"/>
    </row>
    <row r="1315" spans="1:56" ht="15">
      <c r="A1315" s="311" t="s">
        <v>12452</v>
      </c>
      <c r="C1315" s="807"/>
      <c r="D1315" s="1070" t="s">
        <v>9806</v>
      </c>
      <c r="G1315" s="827"/>
      <c r="H1315" s="809" t="s">
        <v>9815</v>
      </c>
      <c r="I1315" s="92">
        <v>26</v>
      </c>
      <c r="J1315" s="92" t="s">
        <v>18</v>
      </c>
      <c r="K1315" s="92" t="s">
        <v>722</v>
      </c>
      <c r="L1315" s="810">
        <v>6</v>
      </c>
      <c r="M1315" s="811" t="str">
        <f t="shared" si="108"/>
        <v>College Level</v>
      </c>
      <c r="P1315" s="1638"/>
      <c r="V1315" s="828"/>
      <c r="X1315" s="811" t="str">
        <f t="shared" si="106"/>
        <v/>
      </c>
      <c r="AB1315" s="953"/>
      <c r="AG1315" s="807" t="str">
        <f t="shared" si="107"/>
        <v/>
      </c>
      <c r="AJ1315" s="865"/>
    </row>
    <row r="1316" spans="1:56" ht="15">
      <c r="A1316" s="19" t="s">
        <v>7421</v>
      </c>
      <c r="B1316" s="127" t="s">
        <v>7702</v>
      </c>
      <c r="C1316" s="132" t="s">
        <v>3615</v>
      </c>
      <c r="D1316" s="1069" t="s">
        <v>9814</v>
      </c>
      <c r="E1316" s="533" t="s">
        <v>3615</v>
      </c>
      <c r="F1316" s="1048" t="s">
        <v>3616</v>
      </c>
      <c r="G1316" s="809" t="s">
        <v>3615</v>
      </c>
      <c r="H1316" s="809" t="s">
        <v>9816</v>
      </c>
      <c r="I1316" s="92">
        <v>19</v>
      </c>
      <c r="J1316" s="92" t="s">
        <v>18</v>
      </c>
      <c r="K1316" s="92" t="s">
        <v>722</v>
      </c>
      <c r="L1316" s="810">
        <v>4</v>
      </c>
      <c r="M1316" s="811" t="str">
        <f t="shared" si="108"/>
        <v>High School Level</v>
      </c>
      <c r="P1316" s="1638"/>
      <c r="R1316" s="812" t="s">
        <v>8285</v>
      </c>
      <c r="U1316" s="813">
        <f>200*30</f>
        <v>6000</v>
      </c>
      <c r="V1316" s="828"/>
      <c r="X1316" s="811" t="str">
        <f t="shared" si="106"/>
        <v/>
      </c>
      <c r="AB1316" s="953"/>
      <c r="AG1316" s="807" t="str">
        <f t="shared" si="107"/>
        <v/>
      </c>
      <c r="AJ1316" s="865"/>
    </row>
    <row r="1317" spans="1:56" ht="15">
      <c r="A1317" s="19" t="s">
        <v>7421</v>
      </c>
      <c r="D1317" s="1069" t="s">
        <v>9814</v>
      </c>
      <c r="E1317" s="533" t="s">
        <v>3615</v>
      </c>
      <c r="G1317" s="827"/>
      <c r="H1317" s="809" t="s">
        <v>9817</v>
      </c>
      <c r="I1317" s="92">
        <v>19</v>
      </c>
      <c r="J1317" s="92" t="s">
        <v>10</v>
      </c>
      <c r="K1317" s="92" t="s">
        <v>722</v>
      </c>
      <c r="L1317" s="810">
        <v>4</v>
      </c>
      <c r="M1317" s="811" t="str">
        <f t="shared" si="108"/>
        <v>High School Level</v>
      </c>
      <c r="N1317" s="92" t="s">
        <v>1208</v>
      </c>
      <c r="O1317" s="812" t="s">
        <v>2220</v>
      </c>
      <c r="P1317" s="1638"/>
      <c r="Q1317" s="812" t="s">
        <v>2220</v>
      </c>
      <c r="V1317" s="828"/>
      <c r="W1317" s="815">
        <v>1</v>
      </c>
      <c r="X1317" s="811" t="str">
        <f t="shared" ref="X1317:X1348" si="109">IF(ISBLANK(W1317)=TRUE,"",LOOKUP(W1317,GO:GP))</f>
        <v>within the Brgy</v>
      </c>
      <c r="AB1317" s="953"/>
      <c r="AG1317" s="807" t="str">
        <f t="shared" si="107"/>
        <v/>
      </c>
      <c r="AJ1317" s="865"/>
    </row>
    <row r="1318" spans="1:56" ht="15">
      <c r="A1318" s="19" t="s">
        <v>7421</v>
      </c>
      <c r="C1318" s="807"/>
      <c r="D1318" s="1069" t="s">
        <v>9814</v>
      </c>
      <c r="E1318" s="533" t="s">
        <v>3615</v>
      </c>
      <c r="G1318" s="827"/>
      <c r="H1318" s="809" t="s">
        <v>9818</v>
      </c>
      <c r="I1318" s="92">
        <v>7</v>
      </c>
      <c r="J1318" s="92" t="s">
        <v>18</v>
      </c>
      <c r="K1318" s="92" t="s">
        <v>768</v>
      </c>
      <c r="L1318" s="810">
        <v>2</v>
      </c>
      <c r="M1318" s="811" t="str">
        <f t="shared" si="108"/>
        <v>Elementary Level</v>
      </c>
      <c r="P1318" s="1638"/>
      <c r="V1318" s="828"/>
      <c r="X1318" s="811" t="str">
        <f t="shared" si="109"/>
        <v/>
      </c>
      <c r="AB1318" s="953"/>
      <c r="AG1318" s="807" t="str">
        <f t="shared" si="107"/>
        <v/>
      </c>
      <c r="AJ1318" s="865"/>
    </row>
    <row r="1319" spans="1:56" ht="15">
      <c r="A1319" s="19" t="s">
        <v>7421</v>
      </c>
      <c r="B1319" s="831"/>
      <c r="C1319" s="807"/>
      <c r="D1319" s="1069" t="s">
        <v>9814</v>
      </c>
      <c r="E1319" s="533" t="s">
        <v>3615</v>
      </c>
      <c r="G1319" s="827"/>
      <c r="H1319" s="809" t="s">
        <v>9819</v>
      </c>
      <c r="I1319" s="92">
        <v>15</v>
      </c>
      <c r="J1319" s="92" t="s">
        <v>18</v>
      </c>
      <c r="K1319" s="92" t="s">
        <v>768</v>
      </c>
      <c r="L1319" s="810">
        <v>4</v>
      </c>
      <c r="M1319" s="811" t="str">
        <f t="shared" si="108"/>
        <v>High School Level</v>
      </c>
      <c r="P1319" s="1638"/>
      <c r="V1319" s="828"/>
      <c r="X1319" s="811" t="str">
        <f t="shared" si="109"/>
        <v/>
      </c>
      <c r="AB1319" s="953"/>
      <c r="AG1319" s="807" t="str">
        <f t="shared" si="107"/>
        <v/>
      </c>
      <c r="AJ1319" s="865"/>
    </row>
    <row r="1320" spans="1:56" ht="15">
      <c r="A1320" s="19" t="s">
        <v>7421</v>
      </c>
      <c r="B1320" s="831"/>
      <c r="C1320" s="807"/>
      <c r="D1320" s="1069" t="s">
        <v>9814</v>
      </c>
      <c r="E1320" s="533" t="s">
        <v>3615</v>
      </c>
      <c r="G1320" s="827"/>
      <c r="H1320" s="809" t="s">
        <v>9820</v>
      </c>
      <c r="I1320" s="92">
        <v>5</v>
      </c>
      <c r="J1320" s="92" t="s">
        <v>18</v>
      </c>
      <c r="K1320" s="92" t="s">
        <v>768</v>
      </c>
      <c r="L1320" s="810">
        <v>1</v>
      </c>
      <c r="M1320" s="811" t="str">
        <f t="shared" si="108"/>
        <v>Pre-school</v>
      </c>
      <c r="P1320" s="1638"/>
      <c r="R1320" s="1053"/>
      <c r="V1320" s="828">
        <f>SUM(S1313:U1319)</f>
        <v>18766</v>
      </c>
      <c r="X1320" s="811" t="str">
        <f t="shared" si="109"/>
        <v/>
      </c>
      <c r="AB1320" s="953">
        <f>SUM(Y1314:AA1320)</f>
        <v>1820</v>
      </c>
      <c r="AG1320" s="807" t="str">
        <f t="shared" si="107"/>
        <v/>
      </c>
      <c r="AJ1320" s="865"/>
    </row>
    <row r="1321" spans="1:56" ht="15">
      <c r="A1321" s="19" t="s">
        <v>7421</v>
      </c>
      <c r="B1321" s="831"/>
      <c r="C1321" s="807"/>
      <c r="D1321" s="1069" t="s">
        <v>9814</v>
      </c>
      <c r="E1321" s="533" t="s">
        <v>3615</v>
      </c>
      <c r="G1321" s="827"/>
      <c r="H1321" s="809" t="s">
        <v>2937</v>
      </c>
      <c r="I1321" s="92">
        <v>39</v>
      </c>
      <c r="J1321" s="92" t="s">
        <v>18</v>
      </c>
      <c r="K1321" s="92" t="s">
        <v>707</v>
      </c>
      <c r="L1321" s="810">
        <v>4</v>
      </c>
      <c r="M1321" s="811" t="str">
        <f t="shared" si="108"/>
        <v>High School Level</v>
      </c>
      <c r="P1321" s="1638"/>
      <c r="R1321" s="92" t="s">
        <v>10434</v>
      </c>
      <c r="S1321" s="813">
        <v>14000</v>
      </c>
      <c r="V1321" s="961"/>
      <c r="X1321" s="811" t="str">
        <f t="shared" si="109"/>
        <v/>
      </c>
      <c r="AB1321" s="964"/>
      <c r="AG1321" s="807" t="str">
        <f t="shared" si="107"/>
        <v/>
      </c>
      <c r="AJ1321" s="865"/>
    </row>
    <row r="1322" spans="1:56" ht="15">
      <c r="A1322" s="19" t="s">
        <v>7421</v>
      </c>
      <c r="B1322" s="831"/>
      <c r="C1322" s="807"/>
      <c r="D1322" s="1069" t="s">
        <v>9814</v>
      </c>
      <c r="E1322" s="533" t="s">
        <v>3615</v>
      </c>
      <c r="G1322" s="827"/>
      <c r="H1322" s="809" t="s">
        <v>9822</v>
      </c>
      <c r="I1322" s="92">
        <v>43</v>
      </c>
      <c r="J1322" s="92" t="s">
        <v>10</v>
      </c>
      <c r="K1322" s="92" t="s">
        <v>707</v>
      </c>
      <c r="L1322" s="810">
        <v>6</v>
      </c>
      <c r="M1322" s="811" t="str">
        <f t="shared" si="108"/>
        <v>College Level</v>
      </c>
      <c r="N1322" s="92" t="s">
        <v>1208</v>
      </c>
      <c r="O1322" s="812" t="s">
        <v>2966</v>
      </c>
      <c r="P1322" s="1638"/>
      <c r="Q1322" s="812" t="s">
        <v>2966</v>
      </c>
      <c r="V1322" s="961"/>
      <c r="W1322" s="815">
        <v>3</v>
      </c>
      <c r="X1322" s="811" t="str">
        <f t="shared" si="109"/>
        <v>within the Province</v>
      </c>
      <c r="Y1322" s="816">
        <v>3000</v>
      </c>
      <c r="AB1322" s="964"/>
      <c r="AG1322" s="807" t="str">
        <f t="shared" si="107"/>
        <v/>
      </c>
      <c r="AJ1322" s="865"/>
    </row>
    <row r="1323" spans="1:56" ht="15">
      <c r="A1323" s="19" t="s">
        <v>7421</v>
      </c>
      <c r="B1323" s="752" t="s">
        <v>7786</v>
      </c>
      <c r="C1323" s="132" t="s">
        <v>2931</v>
      </c>
      <c r="D1323" s="1070" t="s">
        <v>9821</v>
      </c>
      <c r="E1323" s="533" t="s">
        <v>2931</v>
      </c>
      <c r="F1323" s="1048" t="s">
        <v>2937</v>
      </c>
      <c r="G1323" s="592" t="s">
        <v>2931</v>
      </c>
      <c r="H1323" s="809" t="s">
        <v>9823</v>
      </c>
      <c r="I1323" s="92">
        <v>4</v>
      </c>
      <c r="J1323" s="92" t="s">
        <v>18</v>
      </c>
      <c r="K1323" s="92" t="s">
        <v>768</v>
      </c>
      <c r="L1323" s="810">
        <v>10</v>
      </c>
      <c r="M1323" s="811" t="str">
        <f t="shared" si="108"/>
        <v>Not In School Age</v>
      </c>
      <c r="P1323" s="1638"/>
      <c r="V1323" s="961"/>
      <c r="X1323" s="811" t="str">
        <f t="shared" si="109"/>
        <v/>
      </c>
      <c r="AB1323" s="964"/>
      <c r="AG1323" s="807" t="str">
        <f t="shared" si="107"/>
        <v/>
      </c>
      <c r="AJ1323" s="865"/>
    </row>
    <row r="1324" spans="1:56" ht="15">
      <c r="B1324" s="831"/>
      <c r="C1324" s="807"/>
      <c r="D1324" s="1069"/>
      <c r="E1324" s="533" t="s">
        <v>2931</v>
      </c>
      <c r="G1324" s="827"/>
      <c r="H1324" s="809" t="s">
        <v>9824</v>
      </c>
      <c r="I1324" s="92">
        <f>3/12</f>
        <v>0.25</v>
      </c>
      <c r="J1324" s="92" t="s">
        <v>18</v>
      </c>
      <c r="K1324" s="92" t="s">
        <v>768</v>
      </c>
      <c r="L1324" s="810">
        <v>10</v>
      </c>
      <c r="M1324" s="811" t="str">
        <f t="shared" si="108"/>
        <v>Not In School Age</v>
      </c>
      <c r="P1324" s="1638"/>
      <c r="R1324" s="92" t="s">
        <v>8234</v>
      </c>
      <c r="U1324" s="813">
        <v>6000</v>
      </c>
      <c r="V1324" s="961">
        <f>SUM(S1320:U1323)</f>
        <v>14000</v>
      </c>
      <c r="X1324" s="811" t="str">
        <f t="shared" si="109"/>
        <v/>
      </c>
      <c r="AB1324" s="964">
        <f>SUM(Y1321:AA1324)</f>
        <v>3000</v>
      </c>
      <c r="AG1324" s="807" t="str">
        <f t="shared" si="107"/>
        <v/>
      </c>
      <c r="AJ1324" s="865"/>
    </row>
    <row r="1325" spans="1:56" ht="15">
      <c r="B1325" s="831"/>
      <c r="C1325" s="807"/>
      <c r="D1325" s="1069"/>
      <c r="E1325" s="533" t="s">
        <v>2931</v>
      </c>
      <c r="G1325" s="827"/>
      <c r="H1325" s="809" t="s">
        <v>3634</v>
      </c>
      <c r="I1325" s="92">
        <v>42</v>
      </c>
      <c r="J1325" s="92" t="s">
        <v>10</v>
      </c>
      <c r="K1325" s="92" t="s">
        <v>707</v>
      </c>
      <c r="L1325" s="810">
        <v>4</v>
      </c>
      <c r="M1325" s="811" t="str">
        <f t="shared" si="108"/>
        <v>High School Level</v>
      </c>
      <c r="N1325" s="92" t="s">
        <v>1208</v>
      </c>
      <c r="O1325" s="812" t="s">
        <v>11310</v>
      </c>
      <c r="P1325" s="1638"/>
      <c r="Q1325" s="812" t="s">
        <v>11310</v>
      </c>
      <c r="W1325" s="815">
        <v>1</v>
      </c>
      <c r="X1325" s="811" t="str">
        <f t="shared" si="109"/>
        <v>within the Brgy</v>
      </c>
      <c r="AA1325" s="816">
        <v>400</v>
      </c>
      <c r="AG1325" s="807" t="str">
        <f t="shared" si="107"/>
        <v/>
      </c>
      <c r="AJ1325" s="865"/>
      <c r="AQ1325" s="807">
        <v>2</v>
      </c>
      <c r="AW1325" s="807">
        <v>1</v>
      </c>
      <c r="BD1325" s="93">
        <v>3</v>
      </c>
    </row>
    <row r="1326" spans="1:56" ht="15">
      <c r="B1326" s="831"/>
      <c r="C1326" s="807"/>
      <c r="D1326" s="1069"/>
      <c r="E1326" s="533" t="s">
        <v>2931</v>
      </c>
      <c r="G1326" s="827"/>
      <c r="H1326" s="809" t="s">
        <v>9826</v>
      </c>
      <c r="I1326" s="92">
        <v>39</v>
      </c>
      <c r="J1326" s="92" t="s">
        <v>18</v>
      </c>
      <c r="K1326" s="92" t="s">
        <v>707</v>
      </c>
      <c r="L1326" s="810">
        <v>4</v>
      </c>
      <c r="M1326" s="811" t="str">
        <f t="shared" si="108"/>
        <v>High School Level</v>
      </c>
      <c r="P1326" s="1638"/>
      <c r="X1326" s="811" t="str">
        <f t="shared" si="109"/>
        <v/>
      </c>
      <c r="AG1326" s="807" t="str">
        <f t="shared" si="107"/>
        <v/>
      </c>
      <c r="AJ1326" s="865"/>
    </row>
    <row r="1327" spans="1:56" ht="15">
      <c r="C1327" s="807"/>
      <c r="D1327" s="1069" t="s">
        <v>9825</v>
      </c>
      <c r="E1327" s="533" t="s">
        <v>2938</v>
      </c>
      <c r="F1327" s="1048" t="s">
        <v>3634</v>
      </c>
      <c r="G1327" s="809" t="s">
        <v>2938</v>
      </c>
      <c r="H1327" s="809" t="s">
        <v>9827</v>
      </c>
      <c r="I1327" s="92">
        <v>22</v>
      </c>
      <c r="J1327" s="92" t="s">
        <v>10</v>
      </c>
      <c r="K1327" s="92" t="s">
        <v>722</v>
      </c>
      <c r="L1327" s="810">
        <v>4</v>
      </c>
      <c r="M1327" s="811" t="str">
        <f t="shared" si="108"/>
        <v>High School Level</v>
      </c>
      <c r="P1327" s="1638"/>
      <c r="X1327" s="811" t="str">
        <f t="shared" si="109"/>
        <v/>
      </c>
      <c r="AG1327" s="807" t="str">
        <f t="shared" si="107"/>
        <v/>
      </c>
      <c r="AJ1327" s="865"/>
    </row>
    <row r="1328" spans="1:56" ht="15">
      <c r="C1328" s="807"/>
      <c r="D1328" s="1069"/>
      <c r="E1328" s="533" t="s">
        <v>2938</v>
      </c>
      <c r="G1328" s="827"/>
      <c r="H1328" s="809" t="s">
        <v>9828</v>
      </c>
      <c r="I1328" s="92">
        <v>19</v>
      </c>
      <c r="J1328" s="92" t="s">
        <v>10</v>
      </c>
      <c r="K1328" s="92" t="s">
        <v>768</v>
      </c>
      <c r="L1328" s="810">
        <v>4</v>
      </c>
      <c r="M1328" s="811" t="str">
        <f t="shared" si="108"/>
        <v>High School Level</v>
      </c>
      <c r="P1328" s="1638"/>
      <c r="X1328" s="811" t="str">
        <f t="shared" si="109"/>
        <v/>
      </c>
      <c r="AG1328" s="807" t="str">
        <f t="shared" si="107"/>
        <v/>
      </c>
      <c r="AJ1328" s="865"/>
    </row>
    <row r="1329" spans="1:76" ht="15">
      <c r="C1329" s="807"/>
      <c r="D1329" s="1069"/>
      <c r="E1329" s="533" t="s">
        <v>2938</v>
      </c>
      <c r="G1329" s="827"/>
      <c r="H1329" s="809" t="s">
        <v>9829</v>
      </c>
      <c r="I1329" s="92">
        <v>17</v>
      </c>
      <c r="J1329" s="92" t="s">
        <v>10</v>
      </c>
      <c r="K1329" s="92" t="s">
        <v>768</v>
      </c>
      <c r="L1329" s="810">
        <v>2</v>
      </c>
      <c r="M1329" s="811" t="str">
        <f t="shared" si="108"/>
        <v>Elementary Level</v>
      </c>
      <c r="P1329" s="1638"/>
      <c r="X1329" s="811" t="str">
        <f t="shared" si="109"/>
        <v/>
      </c>
      <c r="AG1329" s="807" t="str">
        <f t="shared" si="107"/>
        <v/>
      </c>
      <c r="AJ1329" s="865"/>
    </row>
    <row r="1330" spans="1:76" ht="15">
      <c r="C1330" s="807"/>
      <c r="D1330" s="1069"/>
      <c r="E1330" s="533" t="s">
        <v>2938</v>
      </c>
      <c r="G1330" s="827"/>
      <c r="H1330" s="809" t="s">
        <v>9830</v>
      </c>
      <c r="I1330" s="92">
        <v>14</v>
      </c>
      <c r="J1330" s="92" t="s">
        <v>18</v>
      </c>
      <c r="K1330" s="92" t="s">
        <v>768</v>
      </c>
      <c r="L1330" s="810">
        <v>4</v>
      </c>
      <c r="M1330" s="811" t="str">
        <f t="shared" si="108"/>
        <v>High School Level</v>
      </c>
      <c r="P1330" s="1638"/>
      <c r="X1330" s="811" t="str">
        <f t="shared" si="109"/>
        <v/>
      </c>
      <c r="AG1330" s="807" t="str">
        <f t="shared" si="107"/>
        <v/>
      </c>
      <c r="AJ1330" s="865"/>
    </row>
    <row r="1331" spans="1:76" ht="15">
      <c r="D1331" s="1069"/>
      <c r="E1331" s="533" t="s">
        <v>2938</v>
      </c>
      <c r="G1331" s="827"/>
      <c r="H1331" s="809" t="s">
        <v>9831</v>
      </c>
      <c r="I1331" s="92">
        <v>12</v>
      </c>
      <c r="J1331" s="92" t="s">
        <v>18</v>
      </c>
      <c r="K1331" s="92" t="s">
        <v>768</v>
      </c>
      <c r="L1331" s="810">
        <v>2</v>
      </c>
      <c r="M1331" s="811" t="str">
        <f t="shared" si="108"/>
        <v>Elementary Level</v>
      </c>
      <c r="P1331" s="1638"/>
      <c r="X1331" s="811" t="str">
        <f t="shared" si="109"/>
        <v/>
      </c>
      <c r="AG1331" s="807" t="str">
        <f t="shared" si="107"/>
        <v/>
      </c>
      <c r="AJ1331" s="865"/>
    </row>
    <row r="1332" spans="1:76" ht="15">
      <c r="D1332" s="1069"/>
      <c r="E1332" s="533" t="s">
        <v>2938</v>
      </c>
      <c r="G1332" s="827"/>
      <c r="H1332" s="809" t="s">
        <v>9832</v>
      </c>
      <c r="I1332" s="92">
        <v>1</v>
      </c>
      <c r="J1332" s="92" t="s">
        <v>18</v>
      </c>
      <c r="K1332" s="92" t="s">
        <v>768</v>
      </c>
      <c r="L1332" s="810">
        <v>10</v>
      </c>
      <c r="M1332" s="811" t="str">
        <f t="shared" si="108"/>
        <v>Not In School Age</v>
      </c>
      <c r="P1332" s="1638"/>
      <c r="X1332" s="811" t="str">
        <f t="shared" si="109"/>
        <v/>
      </c>
      <c r="AG1332" s="807" t="str">
        <f t="shared" si="107"/>
        <v/>
      </c>
      <c r="AJ1332" s="865"/>
    </row>
    <row r="1333" spans="1:76" ht="15">
      <c r="D1333" s="1069"/>
      <c r="E1333" s="533" t="s">
        <v>2938</v>
      </c>
      <c r="G1333" s="827"/>
      <c r="H1333" s="809" t="s">
        <v>9833</v>
      </c>
      <c r="I1333" s="92">
        <v>15</v>
      </c>
      <c r="J1333" s="92" t="s">
        <v>10</v>
      </c>
      <c r="K1333" s="92" t="s">
        <v>768</v>
      </c>
      <c r="L1333" s="810">
        <v>2</v>
      </c>
      <c r="M1333" s="811" t="str">
        <f t="shared" si="108"/>
        <v>Elementary Level</v>
      </c>
      <c r="P1333" s="1638"/>
      <c r="V1333" s="814">
        <f>SUM(S1324:U1332)</f>
        <v>6000</v>
      </c>
      <c r="X1333" s="811" t="str">
        <f t="shared" si="109"/>
        <v/>
      </c>
      <c r="AB1333" s="940">
        <f>SUM(Y1325:AA1333)</f>
        <v>400</v>
      </c>
      <c r="AG1333" s="807" t="str">
        <f t="shared" si="107"/>
        <v/>
      </c>
      <c r="AJ1333" s="865"/>
    </row>
    <row r="1334" spans="1:76" ht="15">
      <c r="D1334" s="1069"/>
      <c r="E1334" s="533" t="s">
        <v>2938</v>
      </c>
      <c r="G1334" s="827"/>
      <c r="M1334" s="811" t="str">
        <f t="shared" si="108"/>
        <v/>
      </c>
      <c r="P1334" s="1638"/>
      <c r="R1334" s="92" t="s">
        <v>8234</v>
      </c>
      <c r="T1334" s="813">
        <v>13290</v>
      </c>
      <c r="V1334" s="828"/>
      <c r="X1334" s="811" t="str">
        <f t="shared" si="109"/>
        <v/>
      </c>
      <c r="AB1334" s="950"/>
      <c r="AD1334" s="817" t="s">
        <v>9835</v>
      </c>
      <c r="AE1334" s="93" t="s">
        <v>9836</v>
      </c>
      <c r="AG1334" s="807" t="str">
        <f t="shared" si="107"/>
        <v/>
      </c>
      <c r="AJ1334" s="865"/>
    </row>
    <row r="1335" spans="1:76" ht="15">
      <c r="D1335" s="1069"/>
      <c r="E1335" s="533" t="s">
        <v>2938</v>
      </c>
      <c r="G1335" s="827"/>
      <c r="H1335" s="809" t="s">
        <v>3638</v>
      </c>
      <c r="I1335" s="92">
        <v>55</v>
      </c>
      <c r="J1335" s="92" t="s">
        <v>10</v>
      </c>
      <c r="K1335" s="92" t="s">
        <v>722</v>
      </c>
      <c r="L1335" s="810">
        <v>4</v>
      </c>
      <c r="M1335" s="811" t="str">
        <f t="shared" si="108"/>
        <v>High School Level</v>
      </c>
      <c r="N1335" s="92" t="s">
        <v>1208</v>
      </c>
      <c r="O1335" s="812" t="s">
        <v>3640</v>
      </c>
      <c r="P1335" s="1638"/>
      <c r="Q1335" s="812" t="s">
        <v>3640</v>
      </c>
      <c r="R1335" s="1053"/>
      <c r="V1335" s="961"/>
      <c r="W1335" s="815">
        <v>2</v>
      </c>
      <c r="X1335" s="811" t="str">
        <f t="shared" si="109"/>
        <v>within the Municipality/City</v>
      </c>
      <c r="AB1335" s="964"/>
      <c r="AG1335" s="807" t="str">
        <f t="shared" si="107"/>
        <v/>
      </c>
      <c r="AJ1335" s="865"/>
      <c r="BV1335" s="807">
        <v>1</v>
      </c>
    </row>
    <row r="1336" spans="1:76" ht="15">
      <c r="A1336" s="19" t="s">
        <v>7421</v>
      </c>
      <c r="B1336" s="752" t="s">
        <v>11706</v>
      </c>
      <c r="C1336" s="132" t="s">
        <v>2938</v>
      </c>
      <c r="D1336" s="1069" t="s">
        <v>9834</v>
      </c>
      <c r="G1336" s="827"/>
      <c r="H1336" s="809" t="s">
        <v>9838</v>
      </c>
      <c r="I1336" s="92">
        <v>26</v>
      </c>
      <c r="J1336" s="92" t="s">
        <v>18</v>
      </c>
      <c r="K1336" s="92" t="s">
        <v>722</v>
      </c>
      <c r="L1336" s="810">
        <v>4</v>
      </c>
      <c r="M1336" s="811" t="str">
        <f t="shared" si="108"/>
        <v>High School Level</v>
      </c>
      <c r="P1336" s="1638"/>
      <c r="S1336" s="813">
        <v>15000</v>
      </c>
      <c r="U1336" s="813">
        <v>600</v>
      </c>
      <c r="V1336" s="961">
        <f>SUM(S1334:U1335)</f>
        <v>13290</v>
      </c>
      <c r="X1336" s="811" t="str">
        <f t="shared" si="109"/>
        <v/>
      </c>
      <c r="AB1336" s="962">
        <f>SUM(Y1335:AA1336)</f>
        <v>0</v>
      </c>
      <c r="AG1336" s="807" t="str">
        <f t="shared" si="107"/>
        <v/>
      </c>
      <c r="AJ1336" s="865"/>
    </row>
    <row r="1337" spans="1:76" ht="15">
      <c r="A1337" s="19" t="s">
        <v>7421</v>
      </c>
      <c r="B1337" s="752" t="s">
        <v>7794</v>
      </c>
      <c r="C1337" s="132" t="s">
        <v>3635</v>
      </c>
      <c r="D1337" s="1070" t="s">
        <v>9837</v>
      </c>
      <c r="E1337" s="533" t="s">
        <v>3635</v>
      </c>
      <c r="F1337" s="1048" t="s">
        <v>3638</v>
      </c>
      <c r="G1337" s="809" t="s">
        <v>3635</v>
      </c>
      <c r="M1337" s="811" t="str">
        <f t="shared" si="108"/>
        <v/>
      </c>
      <c r="O1337" s="812" t="s">
        <v>9840</v>
      </c>
      <c r="P1337" s="1638"/>
      <c r="Q1337" s="812" t="s">
        <v>9840</v>
      </c>
      <c r="S1337" s="813" t="s">
        <v>9843</v>
      </c>
      <c r="V1337" s="814">
        <f>SUM(S1336:U1336)</f>
        <v>15600</v>
      </c>
      <c r="X1337" s="811" t="str">
        <f t="shared" si="109"/>
        <v/>
      </c>
      <c r="AB1337" s="940">
        <f>SUM(Y1337:AA1337)</f>
        <v>0</v>
      </c>
      <c r="AG1337" s="807" t="str">
        <f t="shared" si="107"/>
        <v/>
      </c>
      <c r="AJ1337" s="865"/>
    </row>
    <row r="1338" spans="1:76" ht="15">
      <c r="A1338" s="19" t="s">
        <v>7421</v>
      </c>
      <c r="D1338" s="1070" t="s">
        <v>9837</v>
      </c>
      <c r="E1338" s="533" t="s">
        <v>3635</v>
      </c>
      <c r="G1338" s="827"/>
      <c r="H1338" s="809" t="s">
        <v>9842</v>
      </c>
      <c r="I1338" s="92">
        <v>56</v>
      </c>
      <c r="J1338" s="92" t="s">
        <v>10</v>
      </c>
      <c r="K1338" s="92" t="s">
        <v>707</v>
      </c>
      <c r="L1338" s="810">
        <v>7</v>
      </c>
      <c r="M1338" s="811" t="str">
        <f t="shared" si="108"/>
        <v>College Graduate or Higher</v>
      </c>
      <c r="N1338" s="92" t="s">
        <v>1208</v>
      </c>
      <c r="O1338" s="812" t="s">
        <v>236</v>
      </c>
      <c r="P1338" s="1638"/>
      <c r="Q1338" s="812" t="s">
        <v>236</v>
      </c>
      <c r="V1338" s="828"/>
      <c r="W1338" s="815">
        <v>1</v>
      </c>
      <c r="X1338" s="811" t="str">
        <f t="shared" si="109"/>
        <v>within the Brgy</v>
      </c>
      <c r="AB1338" s="953"/>
      <c r="AG1338" s="807" t="str">
        <f t="shared" si="107"/>
        <v/>
      </c>
      <c r="AJ1338" s="865"/>
    </row>
    <row r="1339" spans="1:76" ht="15">
      <c r="D1339" s="1069" t="s">
        <v>9839</v>
      </c>
      <c r="G1339" s="809" t="s">
        <v>2945</v>
      </c>
      <c r="H1339" s="809" t="s">
        <v>9844</v>
      </c>
      <c r="I1339" s="92">
        <v>53</v>
      </c>
      <c r="J1339" s="92" t="s">
        <v>18</v>
      </c>
      <c r="K1339" s="92" t="s">
        <v>768</v>
      </c>
      <c r="L1339" s="810">
        <v>5</v>
      </c>
      <c r="M1339" s="811" t="str">
        <f t="shared" ref="M1339:M1370" si="110">IF(ISBLANK(L1339)=TRUE,"",LOOKUP(L1339,GQ:GR))</f>
        <v>High School Graduate</v>
      </c>
      <c r="P1339" s="1638"/>
      <c r="V1339" s="828"/>
      <c r="X1339" s="811" t="str">
        <f t="shared" si="109"/>
        <v/>
      </c>
      <c r="AB1339" s="953"/>
      <c r="AG1339" s="807" t="str">
        <f t="shared" si="107"/>
        <v/>
      </c>
      <c r="AJ1339" s="865"/>
    </row>
    <row r="1340" spans="1:76" ht="15">
      <c r="D1340" s="1070" t="s">
        <v>9841</v>
      </c>
      <c r="G1340" s="809" t="s">
        <v>3651</v>
      </c>
      <c r="H1340" s="809" t="s">
        <v>9845</v>
      </c>
      <c r="I1340" s="92">
        <v>54</v>
      </c>
      <c r="J1340" s="92" t="s">
        <v>18</v>
      </c>
      <c r="K1340" s="92" t="s">
        <v>707</v>
      </c>
      <c r="L1340" s="810">
        <v>5</v>
      </c>
      <c r="M1340" s="811" t="str">
        <f t="shared" si="110"/>
        <v>High School Graduate</v>
      </c>
      <c r="P1340" s="1638"/>
      <c r="S1340" s="813" t="s">
        <v>9843</v>
      </c>
      <c r="V1340" s="828"/>
      <c r="X1340" s="811" t="str">
        <f t="shared" si="109"/>
        <v/>
      </c>
      <c r="AB1340" s="953"/>
      <c r="AG1340" s="807" t="str">
        <f t="shared" si="107"/>
        <v/>
      </c>
      <c r="AJ1340" s="865"/>
    </row>
    <row r="1341" spans="1:76" ht="15">
      <c r="D1341" s="1069"/>
      <c r="G1341" s="827"/>
      <c r="H1341" s="809" t="s">
        <v>9846</v>
      </c>
      <c r="I1341" s="92">
        <v>34</v>
      </c>
      <c r="J1341" s="92" t="s">
        <v>18</v>
      </c>
      <c r="K1341" s="92" t="s">
        <v>707</v>
      </c>
      <c r="L1341" s="810">
        <v>7</v>
      </c>
      <c r="M1341" s="811" t="str">
        <f t="shared" si="110"/>
        <v>College Graduate or Higher</v>
      </c>
      <c r="N1341" s="92" t="s">
        <v>1208</v>
      </c>
      <c r="O1341" s="812" t="s">
        <v>2015</v>
      </c>
      <c r="P1341" s="1638"/>
      <c r="Q1341" s="812" t="s">
        <v>2015</v>
      </c>
      <c r="S1341" s="813" t="s">
        <v>9843</v>
      </c>
      <c r="V1341" s="828"/>
      <c r="W1341" s="815">
        <v>3</v>
      </c>
      <c r="X1341" s="811" t="str">
        <f t="shared" si="109"/>
        <v>within the Province</v>
      </c>
      <c r="AB1341" s="953"/>
      <c r="AG1341" s="807" t="str">
        <f t="shared" si="107"/>
        <v/>
      </c>
      <c r="AJ1341" s="865"/>
    </row>
    <row r="1342" spans="1:76" ht="15">
      <c r="D1342" s="1069"/>
      <c r="G1342" s="827"/>
      <c r="H1342" s="809" t="s">
        <v>9847</v>
      </c>
      <c r="I1342" s="92">
        <v>28</v>
      </c>
      <c r="J1342" s="92" t="s">
        <v>18</v>
      </c>
      <c r="K1342" s="92" t="s">
        <v>768</v>
      </c>
      <c r="L1342" s="810">
        <v>7</v>
      </c>
      <c r="M1342" s="811" t="str">
        <f t="shared" si="110"/>
        <v>College Graduate or Higher</v>
      </c>
      <c r="N1342" s="92" t="s">
        <v>1208</v>
      </c>
      <c r="O1342" s="812" t="s">
        <v>9848</v>
      </c>
      <c r="P1342" s="1638"/>
      <c r="Q1342" s="812" t="s">
        <v>9848</v>
      </c>
      <c r="R1342" s="92" t="s">
        <v>8234</v>
      </c>
      <c r="S1342" s="813">
        <v>800</v>
      </c>
      <c r="V1342" s="828"/>
      <c r="W1342" s="815">
        <v>3</v>
      </c>
      <c r="X1342" s="811" t="str">
        <f t="shared" si="109"/>
        <v>within the Province</v>
      </c>
      <c r="AB1342" s="953"/>
      <c r="AG1342" s="807" t="str">
        <f t="shared" si="107"/>
        <v/>
      </c>
      <c r="AJ1342" s="865"/>
    </row>
    <row r="1343" spans="1:76" ht="15">
      <c r="D1343" s="1069"/>
      <c r="G1343" s="827"/>
      <c r="H1343" s="809" t="s">
        <v>3448</v>
      </c>
      <c r="I1343" s="92">
        <v>65</v>
      </c>
      <c r="J1343" s="92" t="s">
        <v>18</v>
      </c>
      <c r="K1343" s="92" t="s">
        <v>783</v>
      </c>
      <c r="L1343" s="810">
        <v>5</v>
      </c>
      <c r="M1343" s="811" t="str">
        <f t="shared" si="110"/>
        <v>High School Graduate</v>
      </c>
      <c r="N1343" s="92" t="s">
        <v>1208</v>
      </c>
      <c r="O1343" s="812" t="s">
        <v>9850</v>
      </c>
      <c r="P1343" s="1638"/>
      <c r="Q1343" s="812" t="s">
        <v>9850</v>
      </c>
      <c r="S1343" s="813">
        <f>2000*4</f>
        <v>8000</v>
      </c>
      <c r="V1343" s="961"/>
      <c r="W1343" s="815">
        <v>1</v>
      </c>
      <c r="X1343" s="811" t="str">
        <f t="shared" si="109"/>
        <v>within the Brgy</v>
      </c>
      <c r="Y1343" s="816">
        <v>200</v>
      </c>
      <c r="AB1343" s="964"/>
      <c r="AD1343" s="817" t="s">
        <v>9851</v>
      </c>
      <c r="AE1343" s="93" t="s">
        <v>9852</v>
      </c>
      <c r="AF1343" s="818">
        <v>2</v>
      </c>
      <c r="AG1343" s="807" t="str">
        <f t="shared" si="107"/>
        <v>Assistance to walk</v>
      </c>
      <c r="AJ1343" s="865"/>
      <c r="BX1343" s="807">
        <v>1</v>
      </c>
    </row>
    <row r="1344" spans="1:76" ht="15">
      <c r="D1344" s="1069"/>
      <c r="G1344" s="827"/>
      <c r="H1344" s="809" t="s">
        <v>9853</v>
      </c>
      <c r="I1344" s="92">
        <v>67</v>
      </c>
      <c r="J1344" s="92" t="s">
        <v>10</v>
      </c>
      <c r="K1344" s="92" t="s">
        <v>783</v>
      </c>
      <c r="L1344" s="810">
        <v>4</v>
      </c>
      <c r="M1344" s="811" t="str">
        <f t="shared" si="110"/>
        <v>High School Level</v>
      </c>
      <c r="N1344" s="92" t="s">
        <v>1208</v>
      </c>
      <c r="O1344" s="812" t="s">
        <v>2978</v>
      </c>
      <c r="P1344" s="1638"/>
      <c r="Q1344" s="812" t="s">
        <v>2978</v>
      </c>
      <c r="S1344" s="813">
        <v>7000</v>
      </c>
      <c r="V1344" s="961"/>
      <c r="W1344" s="815">
        <v>2</v>
      </c>
      <c r="X1344" s="811" t="str">
        <f t="shared" si="109"/>
        <v>within the Municipality/City</v>
      </c>
      <c r="Y1344" s="816">
        <f>52*26</f>
        <v>1352</v>
      </c>
      <c r="AB1344" s="964"/>
      <c r="AD1344" s="817" t="s">
        <v>9854</v>
      </c>
      <c r="AE1344" s="93" t="s">
        <v>9855</v>
      </c>
      <c r="AF1344" s="818">
        <v>1</v>
      </c>
      <c r="AG1344" s="807" t="str">
        <f t="shared" si="107"/>
        <v>Mental disabilities or PWD</v>
      </c>
      <c r="AJ1344" s="865"/>
    </row>
    <row r="1345" spans="1:97" ht="15">
      <c r="D1345" s="1070" t="s">
        <v>9849</v>
      </c>
      <c r="E1345" s="1046"/>
      <c r="F1345" s="1046"/>
      <c r="G1345" s="288" t="s">
        <v>3442</v>
      </c>
      <c r="H1345" s="809" t="s">
        <v>9856</v>
      </c>
      <c r="I1345" s="92">
        <v>35</v>
      </c>
      <c r="J1345" s="92" t="s">
        <v>10</v>
      </c>
      <c r="K1345" s="92" t="s">
        <v>707</v>
      </c>
      <c r="L1345" s="810">
        <v>5</v>
      </c>
      <c r="M1345" s="811" t="str">
        <f t="shared" si="110"/>
        <v>High School Graduate</v>
      </c>
      <c r="N1345" s="92" t="s">
        <v>1208</v>
      </c>
      <c r="O1345" s="812" t="s">
        <v>9857</v>
      </c>
      <c r="P1345" s="1638"/>
      <c r="Q1345" s="812" t="s">
        <v>9857</v>
      </c>
      <c r="V1345" s="961"/>
      <c r="W1345" s="815">
        <v>2</v>
      </c>
      <c r="X1345" s="811" t="str">
        <f t="shared" si="109"/>
        <v>within the Municipality/City</v>
      </c>
      <c r="Y1345" s="816">
        <f>20*26</f>
        <v>520</v>
      </c>
      <c r="AB1345" s="964"/>
      <c r="AG1345" s="807" t="str">
        <f t="shared" si="107"/>
        <v/>
      </c>
      <c r="AJ1345" s="865"/>
    </row>
    <row r="1346" spans="1:97" ht="15">
      <c r="A1346" s="93"/>
      <c r="B1346" s="93"/>
      <c r="D1346" s="1069"/>
      <c r="G1346" s="933"/>
      <c r="H1346" s="809" t="s">
        <v>9858</v>
      </c>
      <c r="I1346" s="92">
        <v>27</v>
      </c>
      <c r="J1346" s="92" t="s">
        <v>18</v>
      </c>
      <c r="K1346" s="92" t="s">
        <v>707</v>
      </c>
      <c r="L1346" s="810">
        <v>5</v>
      </c>
      <c r="M1346" s="811" t="str">
        <f t="shared" si="110"/>
        <v>High School Graduate</v>
      </c>
      <c r="P1346" s="1638"/>
      <c r="V1346" s="961"/>
      <c r="X1346" s="811" t="str">
        <f t="shared" si="109"/>
        <v/>
      </c>
      <c r="AB1346" s="964"/>
      <c r="AG1346" s="807" t="str">
        <f t="shared" si="107"/>
        <v/>
      </c>
      <c r="AJ1346" s="865"/>
      <c r="CS1346" s="807">
        <v>1</v>
      </c>
    </row>
    <row r="1347" spans="1:97" ht="15">
      <c r="A1347" s="93"/>
      <c r="B1347" s="93"/>
      <c r="D1347" s="1069"/>
      <c r="G1347" s="827"/>
      <c r="H1347" s="809" t="s">
        <v>9859</v>
      </c>
      <c r="I1347" s="92">
        <v>8</v>
      </c>
      <c r="J1347" s="92" t="s">
        <v>10</v>
      </c>
      <c r="K1347" s="92" t="s">
        <v>768</v>
      </c>
      <c r="L1347" s="810">
        <v>3</v>
      </c>
      <c r="M1347" s="811" t="str">
        <f t="shared" si="110"/>
        <v>Elementary Graduate</v>
      </c>
      <c r="P1347" s="1638"/>
      <c r="V1347" s="961"/>
      <c r="X1347" s="811" t="str">
        <f t="shared" si="109"/>
        <v/>
      </c>
      <c r="AB1347" s="964"/>
      <c r="AG1347" s="807" t="str">
        <f t="shared" si="107"/>
        <v/>
      </c>
      <c r="AJ1347" s="865"/>
    </row>
    <row r="1348" spans="1:97" ht="15">
      <c r="A1348" s="946"/>
      <c r="B1348" s="292"/>
      <c r="C1348" s="292"/>
      <c r="D1348" s="1069"/>
      <c r="G1348" s="827"/>
      <c r="H1348" s="809" t="s">
        <v>9860</v>
      </c>
      <c r="I1348" s="92">
        <v>5</v>
      </c>
      <c r="J1348" s="92" t="s">
        <v>18</v>
      </c>
      <c r="K1348" s="92" t="s">
        <v>768</v>
      </c>
      <c r="L1348" s="810">
        <v>1</v>
      </c>
      <c r="M1348" s="811" t="str">
        <f t="shared" si="110"/>
        <v>Pre-school</v>
      </c>
      <c r="P1348" s="1638"/>
      <c r="S1348" s="813">
        <f>300*26</f>
        <v>7800</v>
      </c>
      <c r="V1348" s="961"/>
      <c r="X1348" s="811" t="str">
        <f t="shared" si="109"/>
        <v/>
      </c>
      <c r="AB1348" s="964"/>
      <c r="AG1348" s="807" t="str">
        <f t="shared" si="107"/>
        <v/>
      </c>
      <c r="AJ1348" s="865"/>
    </row>
    <row r="1349" spans="1:97" ht="15">
      <c r="A1349" s="946"/>
      <c r="B1349" s="292"/>
      <c r="C1349" s="292"/>
      <c r="D1349" s="1069"/>
      <c r="G1349" s="827"/>
      <c r="H1349" s="809" t="s">
        <v>9861</v>
      </c>
      <c r="I1349" s="92">
        <v>27</v>
      </c>
      <c r="J1349" s="92" t="s">
        <v>10</v>
      </c>
      <c r="K1349" s="92" t="s">
        <v>722</v>
      </c>
      <c r="L1349" s="810">
        <v>5</v>
      </c>
      <c r="M1349" s="811" t="str">
        <f t="shared" si="110"/>
        <v>High School Graduate</v>
      </c>
      <c r="N1349" s="92" t="s">
        <v>1208</v>
      </c>
      <c r="O1349" s="812" t="s">
        <v>9862</v>
      </c>
      <c r="P1349" s="1638"/>
      <c r="Q1349" s="812" t="s">
        <v>9862</v>
      </c>
      <c r="V1349" s="961"/>
      <c r="W1349" s="815">
        <v>2</v>
      </c>
      <c r="X1349" s="811" t="str">
        <f t="shared" ref="X1349:X1380" si="111">IF(ISBLANK(W1349)=TRUE,"",LOOKUP(W1349,GO:GP))</f>
        <v>within the Municipality/City</v>
      </c>
      <c r="Y1349" s="816">
        <f>20*26</f>
        <v>520</v>
      </c>
      <c r="AB1349" s="964"/>
      <c r="AG1349" s="807" t="str">
        <f t="shared" ref="AG1349:AG1412" si="112">IF(ISBLANK(AF1349)=TRUE,"",LOOKUP(AF1349,GS:GT))</f>
        <v/>
      </c>
      <c r="AJ1349" s="865"/>
    </row>
    <row r="1350" spans="1:97" ht="15">
      <c r="A1350" s="946"/>
      <c r="B1350" s="292"/>
      <c r="C1350" s="292"/>
      <c r="D1350" s="1069"/>
      <c r="G1350" s="827"/>
      <c r="H1350" s="809" t="s">
        <v>9863</v>
      </c>
      <c r="I1350" s="92">
        <v>26</v>
      </c>
      <c r="J1350" s="92" t="s">
        <v>10</v>
      </c>
      <c r="K1350" s="92" t="s">
        <v>722</v>
      </c>
      <c r="L1350" s="810">
        <v>5</v>
      </c>
      <c r="M1350" s="811" t="str">
        <f t="shared" si="110"/>
        <v>High School Graduate</v>
      </c>
      <c r="P1350" s="1638"/>
      <c r="V1350" s="961"/>
      <c r="X1350" s="811" t="str">
        <f t="shared" si="111"/>
        <v/>
      </c>
      <c r="AB1350" s="964"/>
      <c r="AG1350" s="807" t="str">
        <f t="shared" si="112"/>
        <v/>
      </c>
      <c r="AJ1350" s="865"/>
      <c r="CM1350" s="807">
        <v>1</v>
      </c>
    </row>
    <row r="1351" spans="1:97" ht="15">
      <c r="A1351" s="946"/>
      <c r="B1351" s="292"/>
      <c r="C1351" s="292"/>
      <c r="D1351" s="1069"/>
      <c r="G1351" s="827"/>
      <c r="H1351" s="809" t="s">
        <v>9864</v>
      </c>
      <c r="I1351" s="92">
        <v>8</v>
      </c>
      <c r="J1351" s="92" t="s">
        <v>18</v>
      </c>
      <c r="K1351" s="92" t="s">
        <v>768</v>
      </c>
      <c r="L1351" s="810">
        <v>3</v>
      </c>
      <c r="M1351" s="811" t="str">
        <f t="shared" si="110"/>
        <v>Elementary Graduate</v>
      </c>
      <c r="P1351" s="1638"/>
      <c r="R1351" s="1053"/>
      <c r="V1351" s="961">
        <f>SUM(S1342:U1350)</f>
        <v>23600</v>
      </c>
      <c r="X1351" s="811" t="str">
        <f t="shared" si="111"/>
        <v/>
      </c>
      <c r="AB1351" s="964">
        <f>SUM(Y1343:AA1351)</f>
        <v>2592</v>
      </c>
      <c r="AG1351" s="807" t="str">
        <f t="shared" si="112"/>
        <v/>
      </c>
      <c r="AJ1351" s="865"/>
    </row>
    <row r="1352" spans="1:97" ht="15">
      <c r="A1352" s="946"/>
      <c r="B1352" s="292"/>
      <c r="C1352" s="292"/>
      <c r="D1352" s="1069"/>
      <c r="G1352" s="827"/>
      <c r="H1352" s="809" t="s">
        <v>3666</v>
      </c>
      <c r="I1352" s="857">
        <v>60</v>
      </c>
      <c r="J1352" s="92" t="s">
        <v>18</v>
      </c>
      <c r="K1352" s="92" t="s">
        <v>707</v>
      </c>
      <c r="L1352" s="810">
        <v>4</v>
      </c>
      <c r="M1352" s="811" t="str">
        <f t="shared" si="110"/>
        <v>High School Level</v>
      </c>
      <c r="P1352" s="1638"/>
      <c r="X1352" s="811" t="str">
        <f t="shared" si="111"/>
        <v/>
      </c>
      <c r="AD1352" s="817" t="s">
        <v>9866</v>
      </c>
      <c r="AE1352" s="93" t="s">
        <v>9867</v>
      </c>
      <c r="AF1352" s="818">
        <v>2</v>
      </c>
      <c r="AG1352" s="807" t="str">
        <f t="shared" si="112"/>
        <v>Assistance to walk</v>
      </c>
      <c r="AJ1352" s="865"/>
    </row>
    <row r="1353" spans="1:97" ht="15">
      <c r="A1353" s="19" t="s">
        <v>7421</v>
      </c>
      <c r="B1353" s="752" t="s">
        <v>7796</v>
      </c>
      <c r="C1353" s="132" t="s">
        <v>2952</v>
      </c>
      <c r="D1353" s="1069"/>
      <c r="G1353" s="827"/>
      <c r="H1353" s="809" t="s">
        <v>9868</v>
      </c>
      <c r="I1353" s="92">
        <v>63</v>
      </c>
      <c r="J1353" s="92" t="s">
        <v>10</v>
      </c>
      <c r="K1353" s="92" t="s">
        <v>707</v>
      </c>
      <c r="L1353" s="810">
        <v>4</v>
      </c>
      <c r="M1353" s="811" t="str">
        <f t="shared" si="110"/>
        <v>High School Level</v>
      </c>
      <c r="P1353" s="1638"/>
      <c r="R1353" s="1053"/>
      <c r="X1353" s="811" t="str">
        <f t="shared" si="111"/>
        <v/>
      </c>
      <c r="AG1353" s="807" t="str">
        <f t="shared" si="112"/>
        <v/>
      </c>
      <c r="AJ1353" s="865"/>
    </row>
    <row r="1354" spans="1:97" ht="15">
      <c r="A1354" s="19" t="s">
        <v>7421</v>
      </c>
      <c r="B1354" s="752" t="s">
        <v>7705</v>
      </c>
      <c r="C1354" s="132" t="s">
        <v>3659</v>
      </c>
      <c r="D1354" s="1070" t="s">
        <v>9865</v>
      </c>
      <c r="E1354" s="533" t="s">
        <v>3659</v>
      </c>
      <c r="F1354" s="1048" t="s">
        <v>3666</v>
      </c>
      <c r="G1354" s="745" t="s">
        <v>3659</v>
      </c>
      <c r="H1354" s="809" t="s">
        <v>3670</v>
      </c>
      <c r="I1354" s="92">
        <v>27</v>
      </c>
      <c r="J1354" s="92" t="s">
        <v>18</v>
      </c>
      <c r="K1354" s="92" t="s">
        <v>768</v>
      </c>
      <c r="L1354" s="810">
        <v>4</v>
      </c>
      <c r="M1354" s="811" t="str">
        <f t="shared" si="110"/>
        <v>High School Level</v>
      </c>
      <c r="P1354" s="1638"/>
      <c r="R1354" s="92" t="s">
        <v>8285</v>
      </c>
      <c r="S1354" s="813">
        <v>10000</v>
      </c>
      <c r="V1354" s="828"/>
      <c r="X1354" s="811" t="str">
        <f t="shared" si="111"/>
        <v/>
      </c>
      <c r="AB1354" s="950"/>
      <c r="AG1354" s="807" t="str">
        <f t="shared" si="112"/>
        <v/>
      </c>
      <c r="AJ1354" s="865"/>
    </row>
    <row r="1355" spans="1:97" ht="15">
      <c r="A1355" s="19" t="s">
        <v>7421</v>
      </c>
      <c r="D1355" s="1070" t="s">
        <v>9865</v>
      </c>
      <c r="E1355" s="533" t="s">
        <v>3659</v>
      </c>
      <c r="G1355" s="827"/>
      <c r="H1355" s="809" t="s">
        <v>9870</v>
      </c>
      <c r="I1355" s="92">
        <v>34</v>
      </c>
      <c r="J1355" s="92" t="s">
        <v>18</v>
      </c>
      <c r="K1355" s="92" t="s">
        <v>768</v>
      </c>
      <c r="L1355" s="810">
        <v>7</v>
      </c>
      <c r="M1355" s="811" t="str">
        <f t="shared" si="110"/>
        <v>College Graduate or Higher</v>
      </c>
      <c r="N1355" s="92" t="s">
        <v>1208</v>
      </c>
      <c r="O1355" s="812" t="s">
        <v>9871</v>
      </c>
      <c r="P1355" s="1638" t="s">
        <v>12606</v>
      </c>
      <c r="Q1355" s="812" t="s">
        <v>9871</v>
      </c>
      <c r="R1355" s="92" t="s">
        <v>8234</v>
      </c>
      <c r="S1355" s="813">
        <v>12000</v>
      </c>
      <c r="V1355" s="828">
        <f>SUM(S1353:U1354)</f>
        <v>10000</v>
      </c>
      <c r="W1355" s="815">
        <v>3</v>
      </c>
      <c r="X1355" s="811" t="str">
        <f t="shared" si="111"/>
        <v>within the Province</v>
      </c>
      <c r="Y1355" s="816">
        <v>200</v>
      </c>
      <c r="AB1355" s="953">
        <f>SUM(Y1354:AA1355)</f>
        <v>200</v>
      </c>
      <c r="AG1355" s="807" t="str">
        <f t="shared" si="112"/>
        <v/>
      </c>
      <c r="AJ1355" s="865"/>
    </row>
    <row r="1356" spans="1:97" ht="15">
      <c r="A1356" s="311" t="s">
        <v>12353</v>
      </c>
      <c r="B1356" s="752" t="s">
        <v>7797</v>
      </c>
      <c r="C1356" s="132" t="s">
        <v>3667</v>
      </c>
      <c r="D1356" s="1070" t="s">
        <v>9869</v>
      </c>
      <c r="E1356" s="533" t="s">
        <v>3667</v>
      </c>
      <c r="F1356" s="1048" t="s">
        <v>3670</v>
      </c>
      <c r="G1356" s="745" t="s">
        <v>3667</v>
      </c>
      <c r="H1356" s="809" t="s">
        <v>3464</v>
      </c>
      <c r="I1356" s="92">
        <v>40</v>
      </c>
      <c r="J1356" s="92" t="s">
        <v>10</v>
      </c>
      <c r="K1356" s="92" t="s">
        <v>707</v>
      </c>
      <c r="L1356" s="810">
        <v>5</v>
      </c>
      <c r="M1356" s="811" t="str">
        <f t="shared" si="110"/>
        <v>High School Graduate</v>
      </c>
      <c r="N1356" s="92" t="s">
        <v>1208</v>
      </c>
      <c r="O1356" s="812" t="s">
        <v>2223</v>
      </c>
      <c r="P1356" s="1638"/>
      <c r="Q1356" s="812" t="s">
        <v>2223</v>
      </c>
      <c r="V1356" s="961"/>
      <c r="W1356" s="815">
        <v>2</v>
      </c>
      <c r="X1356" s="811" t="str">
        <f t="shared" si="111"/>
        <v>within the Municipality/City</v>
      </c>
      <c r="Y1356" s="816">
        <v>1500</v>
      </c>
      <c r="AB1356" s="964"/>
      <c r="AG1356" s="807" t="str">
        <f t="shared" si="112"/>
        <v/>
      </c>
      <c r="AJ1356" s="865"/>
    </row>
    <row r="1357" spans="1:97" ht="15">
      <c r="A1357" s="311" t="s">
        <v>12353</v>
      </c>
      <c r="D1357" s="1070" t="s">
        <v>9869</v>
      </c>
      <c r="E1357" s="533" t="s">
        <v>3667</v>
      </c>
      <c r="G1357" s="827"/>
      <c r="H1357" s="809" t="s">
        <v>3465</v>
      </c>
      <c r="I1357" s="92">
        <v>34</v>
      </c>
      <c r="J1357" s="92" t="s">
        <v>18</v>
      </c>
      <c r="K1357" s="92" t="s">
        <v>707</v>
      </c>
      <c r="L1357" s="810">
        <v>4</v>
      </c>
      <c r="M1357" s="811" t="str">
        <f t="shared" si="110"/>
        <v>High School Level</v>
      </c>
      <c r="P1357" s="1638"/>
      <c r="V1357" s="961">
        <f>SUM(S1355:U1356)</f>
        <v>12000</v>
      </c>
      <c r="X1357" s="811" t="str">
        <f t="shared" si="111"/>
        <v/>
      </c>
      <c r="AB1357" s="964">
        <f>SUM(Y1356:AA1357)</f>
        <v>1500</v>
      </c>
      <c r="AG1357" s="807" t="str">
        <f t="shared" si="112"/>
        <v/>
      </c>
      <c r="AJ1357" s="865"/>
      <c r="CO1357" s="807" t="s">
        <v>2144</v>
      </c>
    </row>
    <row r="1358" spans="1:97" ht="15">
      <c r="A1358" s="311" t="s">
        <v>12353</v>
      </c>
      <c r="B1358" s="752" t="s">
        <v>7798</v>
      </c>
      <c r="C1358" s="133" t="s">
        <v>3457</v>
      </c>
      <c r="D1358" s="1070" t="s">
        <v>9872</v>
      </c>
      <c r="E1358" s="514" t="s">
        <v>3457</v>
      </c>
      <c r="F1358" s="1048" t="s">
        <v>3464</v>
      </c>
      <c r="G1358" s="117" t="s">
        <v>3457</v>
      </c>
      <c r="H1358" s="1639"/>
      <c r="I1358" s="1044"/>
      <c r="J1358" s="1044"/>
      <c r="K1358" s="1044"/>
      <c r="L1358" s="1640"/>
      <c r="M1358" s="1641" t="str">
        <f t="shared" si="110"/>
        <v/>
      </c>
      <c r="N1358" s="1044"/>
      <c r="O1358" s="1642"/>
      <c r="P1358" s="1643"/>
      <c r="Q1358" s="1642"/>
      <c r="R1358" s="1044" t="s">
        <v>8234</v>
      </c>
      <c r="S1358" s="1646">
        <v>8000</v>
      </c>
      <c r="T1358" s="1646"/>
      <c r="U1358" s="1646"/>
      <c r="X1358" s="811" t="str">
        <f t="shared" si="111"/>
        <v/>
      </c>
      <c r="AD1358" s="817" t="s">
        <v>9874</v>
      </c>
      <c r="AG1358" s="807" t="str">
        <f t="shared" si="112"/>
        <v/>
      </c>
      <c r="AJ1358" s="865"/>
    </row>
    <row r="1359" spans="1:97" ht="15">
      <c r="A1359" s="311" t="s">
        <v>12353</v>
      </c>
      <c r="D1359" s="1070" t="s">
        <v>9872</v>
      </c>
      <c r="E1359" s="514" t="s">
        <v>3457</v>
      </c>
      <c r="G1359" s="827"/>
      <c r="H1359" s="809" t="s">
        <v>3675</v>
      </c>
      <c r="I1359" s="92">
        <v>58</v>
      </c>
      <c r="J1359" s="92" t="s">
        <v>18</v>
      </c>
      <c r="K1359" s="92" t="s">
        <v>707</v>
      </c>
      <c r="L1359" s="810">
        <v>4</v>
      </c>
      <c r="M1359" s="811" t="str">
        <f t="shared" si="110"/>
        <v>High School Level</v>
      </c>
      <c r="N1359" s="92" t="s">
        <v>1208</v>
      </c>
      <c r="O1359" s="812" t="s">
        <v>9876</v>
      </c>
      <c r="P1359" s="1638"/>
      <c r="Q1359" s="812" t="s">
        <v>9876</v>
      </c>
      <c r="R1359" s="812" t="s">
        <v>10434</v>
      </c>
      <c r="U1359" s="813">
        <v>500</v>
      </c>
      <c r="V1359" s="828"/>
      <c r="W1359" s="815">
        <v>3</v>
      </c>
      <c r="X1359" s="811" t="str">
        <f t="shared" si="111"/>
        <v>within the Province</v>
      </c>
      <c r="Y1359" s="816">
        <v>3000</v>
      </c>
      <c r="AB1359" s="950"/>
      <c r="AG1359" s="807" t="str">
        <f t="shared" si="112"/>
        <v/>
      </c>
      <c r="AJ1359" s="865"/>
    </row>
    <row r="1360" spans="1:97" ht="15">
      <c r="D1360" s="1072" t="s">
        <v>9873</v>
      </c>
      <c r="G1360" s="831" t="s">
        <v>3466</v>
      </c>
      <c r="H1360" s="809" t="s">
        <v>9877</v>
      </c>
      <c r="I1360" s="92">
        <v>58</v>
      </c>
      <c r="J1360" s="92" t="s">
        <v>10</v>
      </c>
      <c r="K1360" s="92" t="s">
        <v>707</v>
      </c>
      <c r="L1360" s="810">
        <v>7</v>
      </c>
      <c r="M1360" s="811" t="str">
        <f t="shared" si="110"/>
        <v>College Graduate or Higher</v>
      </c>
      <c r="N1360" s="92" t="s">
        <v>1208</v>
      </c>
      <c r="O1360" s="812" t="s">
        <v>9878</v>
      </c>
      <c r="P1360" s="1638" t="s">
        <v>12606</v>
      </c>
      <c r="Q1360" s="812" t="s">
        <v>9878</v>
      </c>
      <c r="R1360" s="92" t="s">
        <v>8234</v>
      </c>
      <c r="S1360" s="813">
        <v>10000</v>
      </c>
      <c r="V1360" s="828">
        <f>SUM(S1358:U1359)</f>
        <v>8500</v>
      </c>
      <c r="W1360" s="815">
        <v>1</v>
      </c>
      <c r="X1360" s="811" t="str">
        <f t="shared" si="111"/>
        <v>within the Brgy</v>
      </c>
      <c r="AB1360" s="953">
        <f>SUM(Y1359:AA1360)</f>
        <v>3000</v>
      </c>
      <c r="AG1360" s="807" t="str">
        <f t="shared" si="112"/>
        <v/>
      </c>
      <c r="AJ1360" s="865"/>
    </row>
    <row r="1361" spans="1:36" ht="15">
      <c r="D1361" s="1072" t="s">
        <v>9875</v>
      </c>
      <c r="E1361" s="514" t="s">
        <v>3671</v>
      </c>
      <c r="F1361" s="1048" t="s">
        <v>3675</v>
      </c>
      <c r="G1361" s="831" t="s">
        <v>3671</v>
      </c>
      <c r="H1361" s="809" t="s">
        <v>3478</v>
      </c>
      <c r="I1361" s="92">
        <v>33</v>
      </c>
      <c r="J1361" s="92" t="s">
        <v>10</v>
      </c>
      <c r="K1361" s="92" t="s">
        <v>707</v>
      </c>
      <c r="L1361" s="810">
        <v>5</v>
      </c>
      <c r="M1361" s="811" t="str">
        <f t="shared" si="110"/>
        <v>High School Graduate</v>
      </c>
      <c r="N1361" s="92" t="s">
        <v>1208</v>
      </c>
      <c r="O1361" s="812" t="s">
        <v>2230</v>
      </c>
      <c r="P1361" s="1638" t="s">
        <v>12606</v>
      </c>
      <c r="Q1361" s="812" t="s">
        <v>2230</v>
      </c>
      <c r="V1361" s="961"/>
      <c r="W1361" s="815">
        <v>3</v>
      </c>
      <c r="X1361" s="811" t="str">
        <f t="shared" si="111"/>
        <v>within the Province</v>
      </c>
      <c r="Y1361" s="816">
        <v>800</v>
      </c>
      <c r="AB1361" s="964"/>
      <c r="AG1361" s="807" t="str">
        <f t="shared" si="112"/>
        <v/>
      </c>
      <c r="AJ1361" s="865"/>
    </row>
    <row r="1362" spans="1:36" ht="15">
      <c r="D1362" s="1072"/>
      <c r="E1362" s="514" t="s">
        <v>3671</v>
      </c>
      <c r="G1362" s="835"/>
      <c r="H1362" s="809" t="s">
        <v>9880</v>
      </c>
      <c r="I1362" s="92">
        <v>32</v>
      </c>
      <c r="J1362" s="92" t="s">
        <v>18</v>
      </c>
      <c r="K1362" s="92" t="s">
        <v>707</v>
      </c>
      <c r="L1362" s="810">
        <v>5</v>
      </c>
      <c r="M1362" s="811" t="str">
        <f t="shared" si="110"/>
        <v>High School Graduate</v>
      </c>
      <c r="P1362" s="1638"/>
      <c r="V1362" s="961"/>
      <c r="X1362" s="811" t="str">
        <f t="shared" si="111"/>
        <v/>
      </c>
      <c r="AB1362" s="964"/>
      <c r="AG1362" s="807" t="str">
        <f t="shared" si="112"/>
        <v/>
      </c>
      <c r="AJ1362" s="865"/>
    </row>
    <row r="1363" spans="1:36" ht="15">
      <c r="A1363" s="343" t="s">
        <v>12352</v>
      </c>
      <c r="B1363" s="752" t="s">
        <v>7800</v>
      </c>
      <c r="C1363" s="133" t="s">
        <v>3471</v>
      </c>
      <c r="D1363" s="1072" t="s">
        <v>9879</v>
      </c>
      <c r="G1363" s="831" t="s">
        <v>3471</v>
      </c>
      <c r="H1363" s="809" t="s">
        <v>9881</v>
      </c>
      <c r="I1363" s="92">
        <v>14</v>
      </c>
      <c r="J1363" s="92" t="s">
        <v>10</v>
      </c>
      <c r="K1363" s="92" t="s">
        <v>768</v>
      </c>
      <c r="L1363" s="810">
        <v>4</v>
      </c>
      <c r="M1363" s="811" t="str">
        <f t="shared" si="110"/>
        <v>High School Level</v>
      </c>
      <c r="P1363" s="1638"/>
      <c r="V1363" s="961"/>
      <c r="X1363" s="811" t="str">
        <f t="shared" si="111"/>
        <v/>
      </c>
      <c r="AB1363" s="964"/>
      <c r="AG1363" s="807" t="str">
        <f t="shared" si="112"/>
        <v/>
      </c>
      <c r="AJ1363" s="865"/>
    </row>
    <row r="1364" spans="1:36" ht="15">
      <c r="A1364" s="343" t="s">
        <v>12352</v>
      </c>
      <c r="D1364" s="1072" t="s">
        <v>9879</v>
      </c>
      <c r="E1364" s="821"/>
      <c r="F1364" s="821"/>
      <c r="G1364" s="835"/>
      <c r="H1364" s="809" t="s">
        <v>9882</v>
      </c>
      <c r="I1364" s="92">
        <v>8</v>
      </c>
      <c r="J1364" s="92" t="s">
        <v>10</v>
      </c>
      <c r="K1364" s="92" t="s">
        <v>768</v>
      </c>
      <c r="L1364" s="810">
        <v>2</v>
      </c>
      <c r="M1364" s="811" t="str">
        <f t="shared" si="110"/>
        <v>Elementary Level</v>
      </c>
      <c r="P1364" s="1638"/>
      <c r="V1364" s="961"/>
      <c r="X1364" s="811" t="str">
        <f t="shared" si="111"/>
        <v/>
      </c>
      <c r="AB1364" s="964"/>
      <c r="AG1364" s="807" t="str">
        <f t="shared" si="112"/>
        <v/>
      </c>
      <c r="AJ1364" s="865"/>
    </row>
    <row r="1365" spans="1:36" ht="15">
      <c r="A1365" s="343" t="s">
        <v>12352</v>
      </c>
      <c r="D1365" s="1072" t="s">
        <v>9879</v>
      </c>
      <c r="E1365" s="821"/>
      <c r="F1365" s="821"/>
      <c r="G1365" s="835"/>
      <c r="H1365" s="1639" t="s">
        <v>9883</v>
      </c>
      <c r="I1365" s="1044">
        <v>7</v>
      </c>
      <c r="J1365" s="1044" t="s">
        <v>18</v>
      </c>
      <c r="K1365" s="1044" t="s">
        <v>768</v>
      </c>
      <c r="L1365" s="1640">
        <v>2</v>
      </c>
      <c r="M1365" s="1641" t="str">
        <f t="shared" si="110"/>
        <v>Elementary Level</v>
      </c>
      <c r="N1365" s="1044"/>
      <c r="O1365" s="1642"/>
      <c r="P1365" s="1643"/>
      <c r="Q1365" s="1642"/>
      <c r="R1365" s="1044" t="s">
        <v>8234</v>
      </c>
      <c r="S1365" s="1646"/>
      <c r="T1365" s="1646"/>
      <c r="U1365" s="1646"/>
      <c r="V1365" s="961">
        <f>SUM(S1360:U1364)</f>
        <v>10000</v>
      </c>
      <c r="X1365" s="811" t="str">
        <f t="shared" si="111"/>
        <v/>
      </c>
      <c r="AB1365" s="964">
        <f>SUM(Y1361:AA1365)</f>
        <v>800</v>
      </c>
      <c r="AG1365" s="807" t="str">
        <f t="shared" si="112"/>
        <v/>
      </c>
      <c r="AJ1365" s="865"/>
    </row>
    <row r="1366" spans="1:36" ht="15">
      <c r="A1366" s="343" t="s">
        <v>12352</v>
      </c>
      <c r="D1366" s="1072" t="s">
        <v>9879</v>
      </c>
      <c r="E1366" s="821"/>
      <c r="F1366" s="821"/>
      <c r="G1366" s="835"/>
      <c r="H1366" s="809" t="s">
        <v>3677</v>
      </c>
      <c r="I1366" s="92">
        <v>84</v>
      </c>
      <c r="J1366" s="92" t="s">
        <v>18</v>
      </c>
      <c r="K1366" s="92" t="s">
        <v>707</v>
      </c>
      <c r="L1366" s="810">
        <v>4</v>
      </c>
      <c r="M1366" s="811" t="str">
        <f t="shared" si="110"/>
        <v>High School Level</v>
      </c>
      <c r="P1366" s="1638"/>
      <c r="R1366" s="92" t="s">
        <v>8285</v>
      </c>
      <c r="S1366" s="813" t="s">
        <v>1217</v>
      </c>
      <c r="X1366" s="811" t="str">
        <f t="shared" si="111"/>
        <v/>
      </c>
      <c r="AD1366" s="817" t="s">
        <v>9885</v>
      </c>
      <c r="AE1366" s="93" t="s">
        <v>9886</v>
      </c>
      <c r="AF1366" s="818">
        <v>4</v>
      </c>
      <c r="AG1366" s="807" t="str">
        <f t="shared" si="112"/>
        <v>Serious Illness</v>
      </c>
      <c r="AJ1366" s="865"/>
    </row>
    <row r="1367" spans="1:36" ht="15">
      <c r="A1367" s="343" t="s">
        <v>12352</v>
      </c>
      <c r="D1367" s="1072" t="s">
        <v>9879</v>
      </c>
      <c r="E1367" s="821"/>
      <c r="F1367" s="821"/>
      <c r="G1367" s="835"/>
      <c r="H1367" s="809" t="s">
        <v>9887</v>
      </c>
      <c r="I1367" s="92">
        <v>28</v>
      </c>
      <c r="J1367" s="92" t="s">
        <v>10</v>
      </c>
      <c r="K1367" s="92" t="s">
        <v>768</v>
      </c>
      <c r="L1367" s="810">
        <v>7</v>
      </c>
      <c r="M1367" s="811" t="str">
        <f t="shared" si="110"/>
        <v>College Graduate or Higher</v>
      </c>
      <c r="N1367" s="92" t="s">
        <v>1208</v>
      </c>
      <c r="O1367" s="812" t="s">
        <v>3678</v>
      </c>
      <c r="P1367" s="1638"/>
      <c r="Q1367" s="812" t="s">
        <v>3678</v>
      </c>
      <c r="W1367" s="815">
        <v>3</v>
      </c>
      <c r="X1367" s="811" t="str">
        <f t="shared" si="111"/>
        <v>within the Province</v>
      </c>
      <c r="Y1367" s="816" t="s">
        <v>2979</v>
      </c>
      <c r="AD1367" s="817" t="s">
        <v>9888</v>
      </c>
      <c r="AE1367" s="92"/>
      <c r="AF1367" s="810"/>
      <c r="AG1367" s="807" t="str">
        <f t="shared" si="112"/>
        <v/>
      </c>
      <c r="AJ1367" s="865"/>
    </row>
    <row r="1368" spans="1:36" ht="15">
      <c r="A1368" s="925"/>
      <c r="B1368" s="292"/>
      <c r="C1368" s="807"/>
      <c r="D1368" s="1072" t="s">
        <v>9884</v>
      </c>
      <c r="E1368" s="821"/>
      <c r="F1368" s="821"/>
      <c r="G1368" s="967" t="s">
        <v>3676</v>
      </c>
      <c r="H1368" s="809" t="s">
        <v>9889</v>
      </c>
      <c r="I1368" s="92">
        <v>62</v>
      </c>
      <c r="J1368" s="92" t="s">
        <v>18</v>
      </c>
      <c r="K1368" s="92" t="s">
        <v>768</v>
      </c>
      <c r="L1368" s="810">
        <v>3</v>
      </c>
      <c r="M1368" s="811" t="str">
        <f t="shared" si="110"/>
        <v>Elementary Graduate</v>
      </c>
      <c r="P1368" s="1638"/>
      <c r="X1368" s="811" t="str">
        <f t="shared" si="111"/>
        <v/>
      </c>
      <c r="AE1368" s="92"/>
      <c r="AF1368" s="810"/>
      <c r="AG1368" s="807" t="str">
        <f t="shared" si="112"/>
        <v/>
      </c>
      <c r="AJ1368" s="865"/>
    </row>
    <row r="1369" spans="1:36" ht="15">
      <c r="A1369" s="925"/>
      <c r="B1369" s="292"/>
      <c r="C1369" s="807"/>
      <c r="D1369" s="1072"/>
      <c r="E1369" s="821"/>
      <c r="F1369" s="821"/>
      <c r="G1369" s="835"/>
      <c r="H1369" s="809" t="s">
        <v>9890</v>
      </c>
      <c r="I1369" s="92">
        <v>21</v>
      </c>
      <c r="J1369" s="92" t="s">
        <v>10</v>
      </c>
      <c r="K1369" s="92" t="s">
        <v>768</v>
      </c>
      <c r="L1369" s="810">
        <v>7</v>
      </c>
      <c r="M1369" s="811" t="str">
        <f t="shared" si="110"/>
        <v>College Graduate or Higher</v>
      </c>
      <c r="P1369" s="1638"/>
      <c r="R1369" s="92" t="s">
        <v>8234</v>
      </c>
      <c r="V1369" s="814">
        <f>SUM(S1365:U1368)</f>
        <v>0</v>
      </c>
      <c r="X1369" s="811" t="str">
        <f t="shared" si="111"/>
        <v/>
      </c>
      <c r="AB1369" s="940">
        <f>SUM(Y1366:AA1369)</f>
        <v>0</v>
      </c>
      <c r="AG1369" s="807" t="str">
        <f t="shared" si="112"/>
        <v/>
      </c>
      <c r="AJ1369" s="865"/>
    </row>
    <row r="1370" spans="1:36" ht="15">
      <c r="A1370" s="925"/>
      <c r="B1370" s="292"/>
      <c r="C1370" s="807"/>
      <c r="D1370" s="1072"/>
      <c r="E1370" s="821"/>
      <c r="F1370" s="821"/>
      <c r="G1370" s="835"/>
      <c r="H1370" s="809" t="s">
        <v>3694</v>
      </c>
      <c r="I1370" s="92">
        <v>53</v>
      </c>
      <c r="J1370" s="92" t="s">
        <v>10</v>
      </c>
      <c r="K1370" s="92" t="s">
        <v>707</v>
      </c>
      <c r="L1370" s="810">
        <v>5</v>
      </c>
      <c r="M1370" s="811" t="str">
        <f t="shared" si="110"/>
        <v>High School Graduate</v>
      </c>
      <c r="P1370" s="1638"/>
      <c r="V1370" s="828"/>
      <c r="X1370" s="811" t="str">
        <f t="shared" si="111"/>
        <v/>
      </c>
      <c r="AB1370" s="953"/>
      <c r="AG1370" s="807" t="str">
        <f t="shared" si="112"/>
        <v/>
      </c>
      <c r="AJ1370" s="865"/>
    </row>
    <row r="1371" spans="1:36" ht="15">
      <c r="A1371" s="925"/>
      <c r="B1371" s="292"/>
      <c r="C1371" s="807"/>
      <c r="D1371" s="1072"/>
      <c r="E1371" s="821"/>
      <c r="F1371" s="821"/>
      <c r="G1371" s="835"/>
      <c r="H1371" s="809" t="s">
        <v>9892</v>
      </c>
      <c r="I1371" s="92">
        <v>48</v>
      </c>
      <c r="J1371" s="92" t="s">
        <v>18</v>
      </c>
      <c r="K1371" s="92" t="s">
        <v>707</v>
      </c>
      <c r="L1371" s="810">
        <v>3</v>
      </c>
      <c r="M1371" s="811" t="str">
        <f t="shared" ref="M1371:M1396" si="113">IF(ISBLANK(L1371)=TRUE,"",LOOKUP(L1371,GQ:GR))</f>
        <v>Elementary Graduate</v>
      </c>
      <c r="P1371" s="1638"/>
      <c r="R1371" s="92" t="s">
        <v>8285</v>
      </c>
      <c r="S1371" s="813">
        <v>25000</v>
      </c>
      <c r="V1371" s="828"/>
      <c r="X1371" s="811" t="str">
        <f t="shared" si="111"/>
        <v/>
      </c>
      <c r="AB1371" s="953"/>
      <c r="AG1371" s="807" t="str">
        <f t="shared" si="112"/>
        <v/>
      </c>
      <c r="AJ1371" s="865"/>
    </row>
    <row r="1372" spans="1:36" ht="15">
      <c r="A1372" s="343" t="s">
        <v>7419</v>
      </c>
      <c r="B1372" s="752" t="s">
        <v>7803</v>
      </c>
      <c r="C1372" s="133" t="s">
        <v>3685</v>
      </c>
      <c r="D1372" s="1070" t="s">
        <v>9891</v>
      </c>
      <c r="E1372" s="1046"/>
      <c r="F1372" s="1046"/>
      <c r="G1372" s="966" t="s">
        <v>3685</v>
      </c>
      <c r="H1372" s="809" t="s">
        <v>9893</v>
      </c>
      <c r="I1372" s="92">
        <v>26</v>
      </c>
      <c r="J1372" s="92" t="s">
        <v>18</v>
      </c>
      <c r="K1372" s="92" t="s">
        <v>768</v>
      </c>
      <c r="L1372" s="810">
        <v>7</v>
      </c>
      <c r="M1372" s="811" t="str">
        <f t="shared" si="113"/>
        <v>College Graduate or Higher</v>
      </c>
      <c r="N1372" s="92" t="s">
        <v>1208</v>
      </c>
      <c r="O1372" s="812" t="s">
        <v>9894</v>
      </c>
      <c r="P1372" s="1638" t="s">
        <v>12617</v>
      </c>
      <c r="Q1372" s="812" t="s">
        <v>9894</v>
      </c>
      <c r="R1372" s="92" t="s">
        <v>8285</v>
      </c>
      <c r="S1372" s="813">
        <v>30000</v>
      </c>
      <c r="V1372" s="828"/>
      <c r="W1372" s="815">
        <v>3</v>
      </c>
      <c r="X1372" s="811" t="str">
        <f t="shared" si="111"/>
        <v>within the Province</v>
      </c>
      <c r="Y1372" s="816">
        <v>200</v>
      </c>
      <c r="AB1372" s="953"/>
      <c r="AG1372" s="807" t="str">
        <f t="shared" si="112"/>
        <v/>
      </c>
      <c r="AJ1372" s="865"/>
    </row>
    <row r="1373" spans="1:36" ht="15">
      <c r="A1373" s="343" t="s">
        <v>7419</v>
      </c>
      <c r="D1373" s="1070" t="s">
        <v>9891</v>
      </c>
      <c r="E1373" s="821"/>
      <c r="F1373" s="821"/>
      <c r="G1373" s="835"/>
      <c r="H1373" s="809" t="s">
        <v>9895</v>
      </c>
      <c r="I1373" s="92">
        <v>25</v>
      </c>
      <c r="J1373" s="92" t="s">
        <v>18</v>
      </c>
      <c r="K1373" s="92" t="s">
        <v>768</v>
      </c>
      <c r="L1373" s="810">
        <v>7</v>
      </c>
      <c r="M1373" s="811" t="str">
        <f t="shared" si="113"/>
        <v>College Graduate or Higher</v>
      </c>
      <c r="N1373" s="92" t="s">
        <v>1208</v>
      </c>
      <c r="O1373" s="812" t="s">
        <v>9896</v>
      </c>
      <c r="P1373" s="1638" t="s">
        <v>12617</v>
      </c>
      <c r="Q1373" s="812" t="s">
        <v>9896</v>
      </c>
      <c r="V1373" s="828"/>
      <c r="W1373" s="815">
        <v>3</v>
      </c>
      <c r="X1373" s="811" t="str">
        <f t="shared" si="111"/>
        <v>within the Province</v>
      </c>
      <c r="Y1373" s="816">
        <v>150</v>
      </c>
      <c r="AB1373" s="953"/>
      <c r="AG1373" s="807" t="str">
        <f t="shared" si="112"/>
        <v/>
      </c>
      <c r="AJ1373" s="865"/>
    </row>
    <row r="1374" spans="1:36" ht="15">
      <c r="A1374" s="343" t="s">
        <v>7419</v>
      </c>
      <c r="D1374" s="1070" t="s">
        <v>9891</v>
      </c>
      <c r="E1374" s="821"/>
      <c r="F1374" s="821"/>
      <c r="G1374" s="835"/>
      <c r="H1374" s="809" t="s">
        <v>9897</v>
      </c>
      <c r="I1374" s="92">
        <v>21</v>
      </c>
      <c r="J1374" s="92" t="s">
        <v>18</v>
      </c>
      <c r="K1374" s="92" t="s">
        <v>768</v>
      </c>
      <c r="L1374" s="810">
        <v>7</v>
      </c>
      <c r="M1374" s="811" t="str">
        <f t="shared" si="113"/>
        <v>College Graduate or Higher</v>
      </c>
      <c r="P1374" s="1638"/>
      <c r="R1374" s="807"/>
      <c r="S1374" s="807"/>
      <c r="T1374" s="807"/>
      <c r="U1374" s="807"/>
      <c r="V1374" s="828"/>
      <c r="X1374" s="811" t="str">
        <f t="shared" si="111"/>
        <v/>
      </c>
      <c r="AB1374" s="953"/>
      <c r="AG1374" s="807" t="str">
        <f t="shared" si="112"/>
        <v/>
      </c>
      <c r="AJ1374" s="865"/>
    </row>
    <row r="1375" spans="1:36" ht="15">
      <c r="A1375" s="343" t="s">
        <v>7419</v>
      </c>
      <c r="B1375" s="292"/>
      <c r="C1375" s="807"/>
      <c r="D1375" s="1070" t="s">
        <v>9891</v>
      </c>
      <c r="E1375" s="821"/>
      <c r="F1375" s="821"/>
      <c r="G1375" s="835"/>
      <c r="H1375" s="1639" t="s">
        <v>9898</v>
      </c>
      <c r="I1375" s="1044">
        <v>5</v>
      </c>
      <c r="J1375" s="1044" t="s">
        <v>18</v>
      </c>
      <c r="K1375" s="1044" t="s">
        <v>768</v>
      </c>
      <c r="L1375" s="1640">
        <v>1</v>
      </c>
      <c r="M1375" s="1641" t="str">
        <f t="shared" si="113"/>
        <v>Pre-school</v>
      </c>
      <c r="N1375" s="1647"/>
      <c r="O1375" s="1647"/>
      <c r="P1375" s="1643"/>
      <c r="Q1375" s="1647"/>
      <c r="R1375" s="1044" t="s">
        <v>8234</v>
      </c>
      <c r="S1375" s="1646"/>
      <c r="T1375" s="1646"/>
      <c r="U1375" s="1646">
        <v>1500</v>
      </c>
      <c r="V1375" s="828">
        <f>SUM(S1369:U1375)</f>
        <v>56500</v>
      </c>
      <c r="X1375" s="811" t="str">
        <f t="shared" si="111"/>
        <v/>
      </c>
      <c r="AB1375" s="953">
        <f>SUM(Y1370:AA1375)</f>
        <v>350</v>
      </c>
      <c r="AG1375" s="807" t="str">
        <f t="shared" si="112"/>
        <v/>
      </c>
      <c r="AJ1375" s="865"/>
    </row>
    <row r="1376" spans="1:36" ht="15">
      <c r="A1376" s="343" t="s">
        <v>7419</v>
      </c>
      <c r="B1376" s="292"/>
      <c r="C1376" s="807"/>
      <c r="D1376" s="1070" t="s">
        <v>9891</v>
      </c>
      <c r="E1376" s="821"/>
      <c r="F1376" s="821"/>
      <c r="G1376" s="835"/>
      <c r="H1376" s="809" t="s">
        <v>3702</v>
      </c>
      <c r="I1376" s="92">
        <v>84</v>
      </c>
      <c r="J1376" s="92" t="s">
        <v>10</v>
      </c>
      <c r="K1376" s="92" t="s">
        <v>707</v>
      </c>
      <c r="L1376" s="810">
        <v>3</v>
      </c>
      <c r="M1376" s="811" t="str">
        <f t="shared" si="113"/>
        <v>Elementary Graduate</v>
      </c>
      <c r="N1376" s="92" t="s">
        <v>1208</v>
      </c>
      <c r="O1376" s="812" t="s">
        <v>9900</v>
      </c>
      <c r="P1376" s="1638"/>
      <c r="Q1376" s="812" t="s">
        <v>9900</v>
      </c>
      <c r="V1376" s="961"/>
      <c r="W1376" s="815">
        <v>1</v>
      </c>
      <c r="X1376" s="811" t="str">
        <f t="shared" si="111"/>
        <v>within the Brgy</v>
      </c>
      <c r="AB1376" s="962"/>
      <c r="AD1376" s="817" t="s">
        <v>9901</v>
      </c>
      <c r="AE1376" s="92"/>
      <c r="AF1376" s="810"/>
      <c r="AG1376" s="807" t="str">
        <f t="shared" si="112"/>
        <v/>
      </c>
      <c r="AJ1376" s="865"/>
    </row>
    <row r="1377" spans="1:102" ht="15">
      <c r="A1377" s="343" t="s">
        <v>7419</v>
      </c>
      <c r="B1377" s="292"/>
      <c r="D1377" s="1070" t="s">
        <v>9891</v>
      </c>
      <c r="E1377" s="821"/>
      <c r="F1377" s="821"/>
      <c r="G1377" s="835"/>
      <c r="H1377" s="809" t="s">
        <v>9902</v>
      </c>
      <c r="I1377" s="92">
        <v>84</v>
      </c>
      <c r="J1377" s="92" t="s">
        <v>18</v>
      </c>
      <c r="K1377" s="92" t="s">
        <v>707</v>
      </c>
      <c r="L1377" s="810">
        <v>3</v>
      </c>
      <c r="M1377" s="811" t="str">
        <f t="shared" si="113"/>
        <v>Elementary Graduate</v>
      </c>
      <c r="P1377" s="1638"/>
      <c r="V1377" s="961"/>
      <c r="X1377" s="811" t="str">
        <f t="shared" si="111"/>
        <v/>
      </c>
      <c r="AB1377" s="962"/>
      <c r="AD1377" s="817" t="s">
        <v>9903</v>
      </c>
      <c r="AE1377" s="92"/>
      <c r="AF1377" s="810"/>
      <c r="AG1377" s="807" t="str">
        <f t="shared" si="112"/>
        <v/>
      </c>
      <c r="AJ1377" s="865"/>
    </row>
    <row r="1378" spans="1:102" ht="15">
      <c r="A1378" s="925"/>
      <c r="B1378" s="292"/>
      <c r="D1378" s="1070" t="s">
        <v>9899</v>
      </c>
      <c r="E1378" s="1046"/>
      <c r="F1378" s="1046"/>
      <c r="G1378" s="115" t="s">
        <v>3695</v>
      </c>
      <c r="H1378" s="809" t="s">
        <v>9904</v>
      </c>
      <c r="I1378" s="92">
        <v>16</v>
      </c>
      <c r="J1378" s="92" t="s">
        <v>18</v>
      </c>
      <c r="K1378" s="92" t="s">
        <v>768</v>
      </c>
      <c r="L1378" s="810">
        <v>6</v>
      </c>
      <c r="M1378" s="811" t="str">
        <f t="shared" si="113"/>
        <v>College Level</v>
      </c>
      <c r="P1378" s="1638"/>
      <c r="V1378" s="961"/>
      <c r="X1378" s="811" t="str">
        <f t="shared" si="111"/>
        <v/>
      </c>
      <c r="AB1378" s="962"/>
      <c r="AG1378" s="807" t="str">
        <f t="shared" si="112"/>
        <v/>
      </c>
      <c r="AJ1378" s="865"/>
    </row>
    <row r="1379" spans="1:102" ht="15">
      <c r="A1379" s="925"/>
      <c r="B1379" s="292"/>
      <c r="D1379" s="1072"/>
      <c r="E1379" s="821"/>
      <c r="F1379" s="821"/>
      <c r="G1379" s="835"/>
      <c r="H1379" s="809" t="s">
        <v>9905</v>
      </c>
      <c r="I1379" s="92">
        <v>12</v>
      </c>
      <c r="J1379" s="92" t="s">
        <v>18</v>
      </c>
      <c r="K1379" s="92" t="s">
        <v>768</v>
      </c>
      <c r="L1379" s="810">
        <v>3</v>
      </c>
      <c r="M1379" s="811" t="str">
        <f t="shared" si="113"/>
        <v>Elementary Graduate</v>
      </c>
      <c r="P1379" s="1638"/>
      <c r="V1379" s="961"/>
      <c r="X1379" s="811" t="str">
        <f t="shared" si="111"/>
        <v/>
      </c>
      <c r="AB1379" s="962"/>
      <c r="AG1379" s="807" t="str">
        <f t="shared" si="112"/>
        <v/>
      </c>
      <c r="AJ1379" s="865"/>
    </row>
    <row r="1380" spans="1:102" ht="15">
      <c r="A1380" s="925"/>
      <c r="B1380" s="292"/>
      <c r="D1380" s="1072"/>
      <c r="E1380" s="821"/>
      <c r="F1380" s="821"/>
      <c r="G1380" s="835"/>
      <c r="H1380" s="809" t="s">
        <v>9906</v>
      </c>
      <c r="I1380" s="92">
        <v>6</v>
      </c>
      <c r="J1380" s="92" t="s">
        <v>10</v>
      </c>
      <c r="K1380" s="92" t="s">
        <v>768</v>
      </c>
      <c r="L1380" s="810">
        <v>2</v>
      </c>
      <c r="M1380" s="811" t="str">
        <f t="shared" si="113"/>
        <v>Elementary Level</v>
      </c>
      <c r="P1380" s="1638"/>
      <c r="R1380" s="92" t="s">
        <v>8234</v>
      </c>
      <c r="U1380" s="813">
        <v>8000</v>
      </c>
      <c r="V1380" s="961">
        <f>SUM(S1375:U1379)</f>
        <v>1500</v>
      </c>
      <c r="X1380" s="811" t="str">
        <f t="shared" si="111"/>
        <v/>
      </c>
      <c r="AB1380" s="962">
        <f>SUM(Y1376:AA1380)</f>
        <v>0</v>
      </c>
      <c r="AG1380" s="807" t="str">
        <f t="shared" si="112"/>
        <v/>
      </c>
      <c r="AJ1380" s="865"/>
    </row>
    <row r="1381" spans="1:102" ht="15">
      <c r="A1381" s="925"/>
      <c r="B1381" s="292"/>
      <c r="D1381" s="1072"/>
      <c r="E1381" s="821"/>
      <c r="F1381" s="821"/>
      <c r="G1381" s="835"/>
      <c r="H1381" s="809" t="s">
        <v>3705</v>
      </c>
      <c r="I1381" s="92">
        <v>49</v>
      </c>
      <c r="J1381" s="92" t="s">
        <v>18</v>
      </c>
      <c r="K1381" s="92" t="s">
        <v>722</v>
      </c>
      <c r="L1381" s="810">
        <v>6</v>
      </c>
      <c r="M1381" s="811" t="str">
        <f t="shared" si="113"/>
        <v>College Level</v>
      </c>
      <c r="N1381" s="92" t="s">
        <v>1208</v>
      </c>
      <c r="O1381" s="812" t="s">
        <v>3706</v>
      </c>
      <c r="P1381" s="1638"/>
      <c r="Q1381" s="812" t="s">
        <v>3706</v>
      </c>
      <c r="W1381" s="815">
        <v>1</v>
      </c>
      <c r="X1381" s="811" t="str">
        <f t="shared" ref="X1381:X1396" si="114">IF(ISBLANK(W1381)=TRUE,"",LOOKUP(W1381,GO:GP))</f>
        <v>within the Brgy</v>
      </c>
      <c r="AB1381" s="940"/>
      <c r="AE1381" s="93" t="s">
        <v>9908</v>
      </c>
      <c r="AF1381" s="818">
        <v>4</v>
      </c>
      <c r="AG1381" s="807" t="str">
        <f t="shared" si="112"/>
        <v>Serious Illness</v>
      </c>
      <c r="AJ1381" s="865"/>
    </row>
    <row r="1382" spans="1:102" ht="15">
      <c r="A1382" s="925"/>
      <c r="B1382" s="292"/>
      <c r="D1382" s="1072"/>
      <c r="E1382" s="821"/>
      <c r="F1382" s="821"/>
      <c r="G1382" s="835"/>
      <c r="H1382" s="809" t="s">
        <v>9909</v>
      </c>
      <c r="I1382" s="92">
        <v>49</v>
      </c>
      <c r="J1382" s="92" t="s">
        <v>10</v>
      </c>
      <c r="K1382" s="92" t="s">
        <v>722</v>
      </c>
      <c r="L1382" s="810">
        <v>6</v>
      </c>
      <c r="M1382" s="811" t="str">
        <f t="shared" si="113"/>
        <v>College Level</v>
      </c>
      <c r="P1382" s="1638"/>
      <c r="S1382" s="813">
        <v>16000</v>
      </c>
      <c r="U1382" s="813">
        <v>20000</v>
      </c>
      <c r="V1382" s="814">
        <f>SUM(S1380:U1381)</f>
        <v>8000</v>
      </c>
      <c r="X1382" s="811" t="str">
        <f t="shared" si="114"/>
        <v/>
      </c>
      <c r="AB1382" s="940">
        <f>SUM(Y1381:AA1382)</f>
        <v>0</v>
      </c>
      <c r="AG1382" s="807" t="str">
        <f t="shared" si="112"/>
        <v/>
      </c>
      <c r="AJ1382" s="865"/>
    </row>
    <row r="1383" spans="1:102" ht="15">
      <c r="A1383" s="925"/>
      <c r="B1383" s="292"/>
      <c r="D1383" s="1072" t="s">
        <v>9907</v>
      </c>
      <c r="E1383" s="821"/>
      <c r="F1383" s="821"/>
      <c r="G1383" s="831" t="s">
        <v>3704</v>
      </c>
      <c r="H1383" s="809" t="s">
        <v>3724</v>
      </c>
      <c r="I1383" s="92">
        <v>39</v>
      </c>
      <c r="J1383" s="92" t="s">
        <v>18</v>
      </c>
      <c r="K1383" s="92" t="s">
        <v>783</v>
      </c>
      <c r="L1383" s="810">
        <v>7</v>
      </c>
      <c r="M1383" s="811" t="str">
        <f t="shared" si="113"/>
        <v>College Graduate or Higher</v>
      </c>
      <c r="N1383" s="92" t="s">
        <v>1208</v>
      </c>
      <c r="O1383" s="812" t="s">
        <v>3725</v>
      </c>
      <c r="P1383" s="1638"/>
      <c r="Q1383" s="812" t="s">
        <v>3725</v>
      </c>
      <c r="V1383" s="828">
        <f>SUM(S1382:U1382)</f>
        <v>36000</v>
      </c>
      <c r="W1383" s="815">
        <v>3</v>
      </c>
      <c r="X1383" s="811" t="str">
        <f t="shared" si="114"/>
        <v>within the Province</v>
      </c>
      <c r="Y1383" s="816">
        <f>41*20</f>
        <v>820</v>
      </c>
      <c r="AB1383" s="953">
        <f>SUM(Y1383:AA1383)</f>
        <v>820</v>
      </c>
      <c r="AE1383" s="93" t="s">
        <v>9911</v>
      </c>
      <c r="AF1383" s="818">
        <v>4</v>
      </c>
      <c r="AG1383" s="807" t="str">
        <f t="shared" si="112"/>
        <v>Serious Illness</v>
      </c>
      <c r="AJ1383" s="865"/>
      <c r="AK1383" s="836" t="s">
        <v>9912</v>
      </c>
      <c r="AL1383" s="92" t="s">
        <v>8276</v>
      </c>
      <c r="AN1383" s="813">
        <v>10000</v>
      </c>
      <c r="CX1383" s="807" t="s">
        <v>2144</v>
      </c>
    </row>
    <row r="1384" spans="1:102" ht="15">
      <c r="A1384" s="925"/>
      <c r="B1384" s="292"/>
      <c r="D1384" s="1072"/>
      <c r="E1384" s="821"/>
      <c r="F1384" s="821"/>
      <c r="G1384" s="835"/>
      <c r="M1384" s="811" t="str">
        <f t="shared" si="113"/>
        <v/>
      </c>
      <c r="P1384" s="1638"/>
      <c r="V1384" s="828"/>
      <c r="X1384" s="811" t="str">
        <f t="shared" si="114"/>
        <v/>
      </c>
      <c r="AB1384" s="953"/>
      <c r="AG1384" s="807" t="str">
        <f t="shared" si="112"/>
        <v/>
      </c>
      <c r="AJ1384" s="865"/>
      <c r="AK1384" s="836" t="s">
        <v>9913</v>
      </c>
      <c r="AL1384" s="92" t="s">
        <v>8276</v>
      </c>
      <c r="AN1384" s="813">
        <v>5000</v>
      </c>
    </row>
    <row r="1385" spans="1:102" ht="15">
      <c r="D1385" s="1070" t="s">
        <v>9910</v>
      </c>
      <c r="E1385" s="1046"/>
      <c r="F1385" s="1046"/>
      <c r="G1385" s="835"/>
      <c r="M1385" s="811" t="str">
        <f t="shared" si="113"/>
        <v/>
      </c>
      <c r="P1385" s="1638"/>
      <c r="U1385" s="813">
        <v>10000</v>
      </c>
      <c r="V1385" s="828"/>
      <c r="X1385" s="811" t="str">
        <f t="shared" si="114"/>
        <v/>
      </c>
      <c r="AB1385" s="953"/>
      <c r="AG1385" s="807" t="str">
        <f t="shared" si="112"/>
        <v/>
      </c>
      <c r="AJ1385" s="865"/>
      <c r="AK1385" s="836" t="s">
        <v>9914</v>
      </c>
      <c r="AL1385" s="92" t="s">
        <v>8276</v>
      </c>
      <c r="AN1385" s="813">
        <v>10000</v>
      </c>
    </row>
    <row r="1386" spans="1:102" ht="15">
      <c r="D1386" s="1070"/>
      <c r="E1386" s="1046"/>
      <c r="F1386" s="1046"/>
      <c r="G1386" s="835"/>
      <c r="H1386" s="809" t="s">
        <v>3736</v>
      </c>
      <c r="I1386" s="92">
        <v>55</v>
      </c>
      <c r="J1386" s="92" t="s">
        <v>10</v>
      </c>
      <c r="K1386" s="92" t="s">
        <v>707</v>
      </c>
      <c r="L1386" s="810">
        <v>6</v>
      </c>
      <c r="M1386" s="811" t="str">
        <f t="shared" si="113"/>
        <v>College Level</v>
      </c>
      <c r="N1386" s="92" t="s">
        <v>1208</v>
      </c>
      <c r="O1386" s="812" t="s">
        <v>9916</v>
      </c>
      <c r="P1386" s="1638"/>
      <c r="Q1386" s="812" t="s">
        <v>9916</v>
      </c>
      <c r="V1386" s="961"/>
      <c r="W1386" s="815">
        <v>1</v>
      </c>
      <c r="X1386" s="811" t="str">
        <f t="shared" si="114"/>
        <v>within the Brgy</v>
      </c>
      <c r="AB1386" s="962"/>
      <c r="AD1386" s="817" t="s">
        <v>9917</v>
      </c>
      <c r="AE1386" s="93" t="s">
        <v>9918</v>
      </c>
      <c r="AG1386" s="807" t="str">
        <f t="shared" si="112"/>
        <v/>
      </c>
      <c r="AJ1386" s="865"/>
      <c r="AK1386" s="836" t="s">
        <v>9919</v>
      </c>
      <c r="AL1386" s="92" t="s">
        <v>2223</v>
      </c>
      <c r="AN1386" s="813">
        <v>10000</v>
      </c>
    </row>
    <row r="1387" spans="1:102" ht="15">
      <c r="D1387" s="1070"/>
      <c r="E1387" s="1046"/>
      <c r="F1387" s="1046"/>
      <c r="G1387" s="835"/>
      <c r="H1387" s="809" t="s">
        <v>9920</v>
      </c>
      <c r="I1387" s="92">
        <v>13</v>
      </c>
      <c r="J1387" s="92" t="s">
        <v>10</v>
      </c>
      <c r="K1387" s="92" t="s">
        <v>707</v>
      </c>
      <c r="L1387" s="810">
        <v>5</v>
      </c>
      <c r="M1387" s="811" t="str">
        <f t="shared" si="113"/>
        <v>High School Graduate</v>
      </c>
      <c r="P1387" s="1638"/>
      <c r="V1387" s="961"/>
      <c r="X1387" s="811" t="str">
        <f t="shared" si="114"/>
        <v/>
      </c>
      <c r="AB1387" s="962"/>
      <c r="AG1387" s="807" t="str">
        <f t="shared" si="112"/>
        <v/>
      </c>
      <c r="AJ1387" s="865"/>
      <c r="AK1387" s="836" t="s">
        <v>9921</v>
      </c>
      <c r="AL1387" s="92" t="s">
        <v>2223</v>
      </c>
      <c r="AN1387" s="813">
        <v>10000</v>
      </c>
    </row>
    <row r="1388" spans="1:102" ht="15">
      <c r="D1388" s="1070" t="s">
        <v>9915</v>
      </c>
      <c r="E1388" s="1046"/>
      <c r="F1388" s="1046"/>
      <c r="G1388" s="831" t="s">
        <v>2955</v>
      </c>
      <c r="H1388" s="809" t="s">
        <v>9922</v>
      </c>
      <c r="I1388" s="92">
        <v>38</v>
      </c>
      <c r="J1388" s="92" t="s">
        <v>10</v>
      </c>
      <c r="K1388" s="92" t="s">
        <v>768</v>
      </c>
      <c r="L1388" s="810">
        <v>2</v>
      </c>
      <c r="M1388" s="811" t="str">
        <f t="shared" si="113"/>
        <v>Elementary Level</v>
      </c>
      <c r="P1388" s="1638"/>
      <c r="V1388" s="961"/>
      <c r="X1388" s="811" t="str">
        <f t="shared" si="114"/>
        <v/>
      </c>
      <c r="AB1388" s="962"/>
      <c r="AG1388" s="807" t="str">
        <f t="shared" si="112"/>
        <v/>
      </c>
      <c r="AJ1388" s="865"/>
      <c r="AK1388" s="836" t="s">
        <v>9923</v>
      </c>
      <c r="AL1388" s="92" t="s">
        <v>2223</v>
      </c>
      <c r="AN1388" s="813">
        <v>10000</v>
      </c>
    </row>
    <row r="1389" spans="1:102" ht="15">
      <c r="D1389" s="1070"/>
      <c r="E1389" s="1046"/>
      <c r="F1389" s="1046"/>
      <c r="G1389" s="835"/>
      <c r="H1389" s="809" t="s">
        <v>9919</v>
      </c>
      <c r="I1389" s="92">
        <v>20</v>
      </c>
      <c r="J1389" s="92" t="s">
        <v>10</v>
      </c>
      <c r="K1389" s="92" t="s">
        <v>768</v>
      </c>
      <c r="L1389" s="810">
        <v>5</v>
      </c>
      <c r="M1389" s="811" t="str">
        <f t="shared" si="113"/>
        <v>High School Graduate</v>
      </c>
      <c r="P1389" s="1638"/>
      <c r="V1389" s="961"/>
      <c r="X1389" s="811" t="str">
        <f t="shared" si="114"/>
        <v/>
      </c>
      <c r="AB1389" s="962"/>
      <c r="AG1389" s="807" t="str">
        <f t="shared" si="112"/>
        <v/>
      </c>
      <c r="AJ1389" s="865"/>
      <c r="AK1389" s="836" t="s">
        <v>9920</v>
      </c>
      <c r="AL1389" s="92" t="s">
        <v>2223</v>
      </c>
      <c r="AN1389" s="813">
        <v>10000</v>
      </c>
    </row>
    <row r="1390" spans="1:102" ht="15">
      <c r="D1390" s="1070"/>
      <c r="E1390" s="1046"/>
      <c r="F1390" s="1046"/>
      <c r="G1390" s="835"/>
      <c r="M1390" s="811" t="str">
        <f t="shared" si="113"/>
        <v/>
      </c>
      <c r="P1390" s="1638"/>
      <c r="V1390" s="961"/>
      <c r="X1390" s="811" t="str">
        <f t="shared" si="114"/>
        <v/>
      </c>
      <c r="AB1390" s="962"/>
      <c r="AG1390" s="807" t="str">
        <f t="shared" si="112"/>
        <v/>
      </c>
      <c r="AJ1390" s="865"/>
      <c r="AK1390" s="836" t="s">
        <v>9924</v>
      </c>
      <c r="AL1390" s="92" t="s">
        <v>2214</v>
      </c>
      <c r="AN1390" s="813">
        <v>10000</v>
      </c>
    </row>
    <row r="1391" spans="1:102" ht="15">
      <c r="D1391" s="1070"/>
      <c r="E1391" s="1046"/>
      <c r="F1391" s="1046"/>
      <c r="G1391" s="835"/>
      <c r="M1391" s="811" t="str">
        <f t="shared" si="113"/>
        <v/>
      </c>
      <c r="P1391" s="1638"/>
      <c r="R1391" s="92" t="s">
        <v>8234</v>
      </c>
      <c r="S1391" s="813">
        <v>10000</v>
      </c>
      <c r="V1391" s="961">
        <f>SUM(S1385:U1390)</f>
        <v>10000</v>
      </c>
      <c r="X1391" s="811" t="str">
        <f t="shared" si="114"/>
        <v/>
      </c>
      <c r="AB1391" s="962">
        <f>SUM(Y1386:AA1391)</f>
        <v>0</v>
      </c>
      <c r="AG1391" s="807" t="str">
        <f t="shared" si="112"/>
        <v/>
      </c>
      <c r="AJ1391" s="865"/>
      <c r="AK1391" s="836" t="s">
        <v>9925</v>
      </c>
      <c r="AL1391" s="92" t="s">
        <v>2214</v>
      </c>
      <c r="AN1391" s="813">
        <v>60000</v>
      </c>
    </row>
    <row r="1392" spans="1:102" ht="15">
      <c r="D1392" s="1070"/>
      <c r="E1392" s="1046"/>
      <c r="F1392" s="1046"/>
      <c r="G1392" s="835"/>
      <c r="H1392" s="809" t="s">
        <v>3743</v>
      </c>
      <c r="I1392" s="92">
        <v>43</v>
      </c>
      <c r="J1392" s="92" t="s">
        <v>10</v>
      </c>
      <c r="K1392" s="92" t="s">
        <v>707</v>
      </c>
      <c r="L1392" s="810">
        <v>5</v>
      </c>
      <c r="M1392" s="811" t="str">
        <f t="shared" si="113"/>
        <v>High School Graduate</v>
      </c>
      <c r="N1392" s="92" t="s">
        <v>1208</v>
      </c>
      <c r="O1392" s="812" t="s">
        <v>9927</v>
      </c>
      <c r="P1392" s="1638" t="s">
        <v>12608</v>
      </c>
      <c r="Q1392" s="812" t="s">
        <v>9927</v>
      </c>
      <c r="V1392" s="828"/>
      <c r="W1392" s="815">
        <v>4</v>
      </c>
      <c r="X1392" s="811" t="str">
        <f t="shared" si="114"/>
        <v>Other Province</v>
      </c>
      <c r="Y1392" s="816">
        <v>6000</v>
      </c>
      <c r="AB1392" s="953"/>
      <c r="AG1392" s="807" t="str">
        <f t="shared" si="112"/>
        <v/>
      </c>
      <c r="AJ1392" s="865"/>
    </row>
    <row r="1393" spans="1:100" ht="15">
      <c r="D1393" s="1070"/>
      <c r="E1393" s="1046"/>
      <c r="F1393" s="1046"/>
      <c r="G1393" s="835"/>
      <c r="H1393" s="809" t="s">
        <v>9928</v>
      </c>
      <c r="I1393" s="92">
        <v>30</v>
      </c>
      <c r="J1393" s="92" t="s">
        <v>18</v>
      </c>
      <c r="K1393" s="92" t="s">
        <v>707</v>
      </c>
      <c r="L1393" s="810">
        <v>5</v>
      </c>
      <c r="M1393" s="811" t="str">
        <f t="shared" si="113"/>
        <v>High School Graduate</v>
      </c>
      <c r="P1393" s="1638"/>
      <c r="V1393" s="828"/>
      <c r="X1393" s="811" t="str">
        <f t="shared" si="114"/>
        <v/>
      </c>
      <c r="AB1393" s="953"/>
      <c r="AG1393" s="807" t="str">
        <f t="shared" si="112"/>
        <v/>
      </c>
      <c r="AJ1393" s="865"/>
    </row>
    <row r="1394" spans="1:100" ht="15">
      <c r="A1394" s="19" t="s">
        <v>7421</v>
      </c>
      <c r="B1394" s="752" t="s">
        <v>7709</v>
      </c>
      <c r="C1394" s="132" t="s">
        <v>3737</v>
      </c>
      <c r="D1394" s="1070" t="s">
        <v>9926</v>
      </c>
      <c r="E1394" s="533" t="s">
        <v>3737</v>
      </c>
      <c r="F1394" s="1048" t="s">
        <v>3743</v>
      </c>
      <c r="G1394" s="831" t="s">
        <v>3737</v>
      </c>
      <c r="H1394" s="809" t="s">
        <v>9929</v>
      </c>
      <c r="I1394" s="92">
        <v>20</v>
      </c>
      <c r="J1394" s="92" t="s">
        <v>10</v>
      </c>
      <c r="K1394" s="92" t="s">
        <v>768</v>
      </c>
      <c r="L1394" s="810">
        <v>6</v>
      </c>
      <c r="M1394" s="811" t="str">
        <f t="shared" si="113"/>
        <v>College Level</v>
      </c>
      <c r="P1394" s="1638"/>
      <c r="V1394" s="828"/>
      <c r="X1394" s="811" t="str">
        <f t="shared" si="114"/>
        <v/>
      </c>
      <c r="AB1394" s="953"/>
      <c r="AG1394" s="807" t="str">
        <f t="shared" si="112"/>
        <v/>
      </c>
      <c r="AJ1394" s="865"/>
    </row>
    <row r="1395" spans="1:100" ht="15">
      <c r="A1395" s="19" t="s">
        <v>7421</v>
      </c>
      <c r="D1395" s="1070" t="s">
        <v>9926</v>
      </c>
      <c r="E1395" s="533" t="s">
        <v>3737</v>
      </c>
      <c r="G1395" s="835"/>
      <c r="H1395" s="809" t="s">
        <v>9930</v>
      </c>
      <c r="I1395" s="92">
        <v>12</v>
      </c>
      <c r="J1395" s="92" t="s">
        <v>18</v>
      </c>
      <c r="K1395" s="92" t="s">
        <v>768</v>
      </c>
      <c r="L1395" s="810">
        <v>3</v>
      </c>
      <c r="M1395" s="811" t="str">
        <f t="shared" si="113"/>
        <v>Elementary Graduate</v>
      </c>
      <c r="P1395" s="1638"/>
      <c r="V1395" s="828"/>
      <c r="X1395" s="811" t="str">
        <f t="shared" si="114"/>
        <v/>
      </c>
      <c r="AB1395" s="953"/>
      <c r="AG1395" s="807" t="str">
        <f t="shared" si="112"/>
        <v/>
      </c>
      <c r="AJ1395" s="865"/>
    </row>
    <row r="1396" spans="1:100" ht="15">
      <c r="A1396" s="19" t="s">
        <v>7421</v>
      </c>
      <c r="B1396" s="292"/>
      <c r="D1396" s="1070" t="s">
        <v>9926</v>
      </c>
      <c r="E1396" s="533" t="s">
        <v>3737</v>
      </c>
      <c r="F1396" s="1046"/>
      <c r="G1396" s="835"/>
      <c r="H1396" s="809" t="s">
        <v>9931</v>
      </c>
      <c r="I1396" s="92">
        <v>10</v>
      </c>
      <c r="J1396" s="92" t="s">
        <v>10</v>
      </c>
      <c r="K1396" s="92" t="s">
        <v>768</v>
      </c>
      <c r="L1396" s="810">
        <v>3</v>
      </c>
      <c r="M1396" s="811" t="str">
        <f t="shared" si="113"/>
        <v>Elementary Graduate</v>
      </c>
      <c r="P1396" s="1638"/>
      <c r="V1396" s="828">
        <f>SUM(S1391:U1395)</f>
        <v>10000</v>
      </c>
      <c r="X1396" s="811" t="str">
        <f t="shared" si="114"/>
        <v/>
      </c>
      <c r="AB1396" s="953">
        <f>SUM(Y1392:AA1396)</f>
        <v>6000</v>
      </c>
      <c r="AG1396" s="807" t="str">
        <f t="shared" si="112"/>
        <v/>
      </c>
      <c r="AJ1396" s="865"/>
    </row>
    <row r="1397" spans="1:100" ht="15">
      <c r="A1397" s="19" t="s">
        <v>7421</v>
      </c>
      <c r="B1397" s="292"/>
      <c r="D1397" s="1070" t="s">
        <v>9926</v>
      </c>
      <c r="E1397" s="533" t="s">
        <v>3737</v>
      </c>
      <c r="F1397" s="1046"/>
      <c r="G1397" s="835"/>
      <c r="H1397" s="1639"/>
      <c r="I1397" s="1044"/>
      <c r="J1397" s="1044"/>
      <c r="K1397" s="1044"/>
      <c r="L1397" s="1640"/>
      <c r="M1397" s="1641"/>
      <c r="N1397" s="1044"/>
      <c r="O1397" s="1642"/>
      <c r="P1397" s="1643"/>
      <c r="Q1397" s="1642"/>
      <c r="R1397" s="1642" t="s">
        <v>8234</v>
      </c>
      <c r="S1397" s="1646"/>
      <c r="T1397" s="1646"/>
      <c r="U1397" s="1646">
        <v>2000</v>
      </c>
      <c r="V1397" s="961"/>
      <c r="AB1397" s="962"/>
      <c r="AG1397" s="807" t="str">
        <f t="shared" si="112"/>
        <v/>
      </c>
      <c r="AJ1397" s="865"/>
      <c r="AO1397" s="817" t="s">
        <v>9933</v>
      </c>
    </row>
    <row r="1398" spans="1:100" ht="15">
      <c r="A1398" s="19" t="s">
        <v>7421</v>
      </c>
      <c r="B1398" s="292"/>
      <c r="D1398" s="1070" t="s">
        <v>9926</v>
      </c>
      <c r="E1398" s="533" t="s">
        <v>3737</v>
      </c>
      <c r="F1398" s="1046"/>
      <c r="G1398" s="835"/>
      <c r="H1398" s="809" t="s">
        <v>3773</v>
      </c>
      <c r="I1398" s="92">
        <v>38</v>
      </c>
      <c r="J1398" s="92" t="s">
        <v>18</v>
      </c>
      <c r="K1398" s="92" t="s">
        <v>707</v>
      </c>
      <c r="L1398" s="810">
        <v>7</v>
      </c>
      <c r="M1398" s="811" t="str">
        <f t="shared" ref="M1398:M1429" si="115">IF(ISBLANK(L1398)=TRUE,"",LOOKUP(L1398,GQ:GR))</f>
        <v>College Graduate or Higher</v>
      </c>
      <c r="N1398" s="92" t="s">
        <v>1208</v>
      </c>
      <c r="O1398" s="812" t="s">
        <v>3774</v>
      </c>
      <c r="P1398" s="1638" t="s">
        <v>12608</v>
      </c>
      <c r="Q1398" s="812" t="s">
        <v>3774</v>
      </c>
      <c r="S1398" s="813">
        <v>7200</v>
      </c>
      <c r="W1398" s="815">
        <v>1</v>
      </c>
      <c r="X1398" s="811" t="str">
        <f t="shared" ref="X1398:X1411" si="116">IF(ISBLANK(W1398)=TRUE,"",LOOKUP(W1398,GO:GP))</f>
        <v>within the Brgy</v>
      </c>
      <c r="Y1398" s="816">
        <v>500</v>
      </c>
      <c r="AB1398" s="940"/>
      <c r="AG1398" s="807" t="str">
        <f t="shared" si="112"/>
        <v/>
      </c>
      <c r="AJ1398" s="865"/>
    </row>
    <row r="1399" spans="1:100" ht="15">
      <c r="D1399" s="1070" t="s">
        <v>9932</v>
      </c>
      <c r="E1399" s="1046"/>
      <c r="F1399" s="1046"/>
      <c r="G1399" s="831" t="s">
        <v>3757</v>
      </c>
      <c r="H1399" s="809" t="s">
        <v>9935</v>
      </c>
      <c r="I1399" s="92">
        <v>38</v>
      </c>
      <c r="J1399" s="92" t="s">
        <v>10</v>
      </c>
      <c r="K1399" s="92" t="s">
        <v>707</v>
      </c>
      <c r="L1399" s="810">
        <v>6</v>
      </c>
      <c r="M1399" s="811" t="str">
        <f t="shared" si="115"/>
        <v>College Level</v>
      </c>
      <c r="N1399" s="92" t="s">
        <v>1208</v>
      </c>
      <c r="O1399" s="812" t="s">
        <v>9936</v>
      </c>
      <c r="P1399" s="1638" t="s">
        <v>12606</v>
      </c>
      <c r="Q1399" s="812" t="s">
        <v>9936</v>
      </c>
      <c r="W1399" s="815">
        <v>3</v>
      </c>
      <c r="X1399" s="811" t="str">
        <f t="shared" si="116"/>
        <v>within the Province</v>
      </c>
      <c r="Y1399" s="816">
        <v>1200</v>
      </c>
      <c r="AB1399" s="940"/>
      <c r="AG1399" s="807" t="str">
        <f t="shared" si="112"/>
        <v/>
      </c>
      <c r="AJ1399" s="865"/>
    </row>
    <row r="1400" spans="1:100" ht="15">
      <c r="A1400" s="19" t="s">
        <v>7421</v>
      </c>
      <c r="B1400" s="752" t="s">
        <v>7994</v>
      </c>
      <c r="C1400" s="132" t="s">
        <v>3765</v>
      </c>
      <c r="D1400" s="1070" t="s">
        <v>9934</v>
      </c>
      <c r="E1400" s="1046"/>
      <c r="F1400" s="1046"/>
      <c r="G1400" s="831" t="s">
        <v>3765</v>
      </c>
      <c r="H1400" s="809" t="s">
        <v>9937</v>
      </c>
      <c r="I1400" s="92">
        <v>15</v>
      </c>
      <c r="J1400" s="92" t="s">
        <v>18</v>
      </c>
      <c r="K1400" s="92" t="s">
        <v>768</v>
      </c>
      <c r="L1400" s="810">
        <v>4</v>
      </c>
      <c r="M1400" s="811" t="str">
        <f t="shared" si="115"/>
        <v>High School Level</v>
      </c>
      <c r="P1400" s="1638"/>
      <c r="X1400" s="811" t="str">
        <f t="shared" si="116"/>
        <v/>
      </c>
      <c r="AB1400" s="940"/>
      <c r="AG1400" s="807" t="str">
        <f t="shared" si="112"/>
        <v/>
      </c>
      <c r="AJ1400" s="865"/>
    </row>
    <row r="1401" spans="1:100" ht="15">
      <c r="A1401" s="19" t="s">
        <v>7421</v>
      </c>
      <c r="D1401" s="1070" t="s">
        <v>9934</v>
      </c>
      <c r="E1401" s="1046"/>
      <c r="F1401" s="1046"/>
      <c r="G1401" s="835"/>
      <c r="H1401" s="809" t="s">
        <v>9938</v>
      </c>
      <c r="I1401" s="92">
        <v>8</v>
      </c>
      <c r="J1401" s="92" t="s">
        <v>18</v>
      </c>
      <c r="K1401" s="92" t="s">
        <v>768</v>
      </c>
      <c r="L1401" s="810">
        <v>2</v>
      </c>
      <c r="M1401" s="811" t="str">
        <f t="shared" si="115"/>
        <v>Elementary Level</v>
      </c>
      <c r="P1401" s="1638"/>
      <c r="X1401" s="811" t="str">
        <f t="shared" si="116"/>
        <v/>
      </c>
      <c r="AB1401" s="940"/>
      <c r="AG1401" s="807" t="str">
        <f t="shared" si="112"/>
        <v/>
      </c>
      <c r="AJ1401" s="865"/>
    </row>
    <row r="1402" spans="1:100" ht="15">
      <c r="A1402" s="19" t="s">
        <v>7421</v>
      </c>
      <c r="D1402" s="1070" t="s">
        <v>9934</v>
      </c>
      <c r="E1402" s="1046"/>
      <c r="F1402" s="1046"/>
      <c r="G1402" s="835"/>
      <c r="H1402" s="1639" t="s">
        <v>9939</v>
      </c>
      <c r="I1402" s="1044">
        <v>7</v>
      </c>
      <c r="J1402" s="1044" t="s">
        <v>18</v>
      </c>
      <c r="K1402" s="1044" t="s">
        <v>768</v>
      </c>
      <c r="L1402" s="1640">
        <v>2</v>
      </c>
      <c r="M1402" s="1641" t="str">
        <f t="shared" si="115"/>
        <v>Elementary Level</v>
      </c>
      <c r="N1402" s="1044"/>
      <c r="O1402" s="1642"/>
      <c r="P1402" s="1643"/>
      <c r="Q1402" s="1642"/>
      <c r="R1402" s="1044" t="s">
        <v>8234</v>
      </c>
      <c r="S1402" s="1646">
        <f>1500*4</f>
        <v>6000</v>
      </c>
      <c r="T1402" s="1646"/>
      <c r="U1402" s="1646"/>
      <c r="V1402" s="814">
        <f>SUM(S1397:U1401)</f>
        <v>9200</v>
      </c>
      <c r="X1402" s="811" t="str">
        <f t="shared" si="116"/>
        <v/>
      </c>
      <c r="AB1402" s="940">
        <f>SUM(Y1398:AA1402)</f>
        <v>1700</v>
      </c>
      <c r="AG1402" s="807" t="str">
        <f t="shared" si="112"/>
        <v/>
      </c>
      <c r="AJ1402" s="865"/>
    </row>
    <row r="1403" spans="1:100" ht="15">
      <c r="A1403" s="19" t="s">
        <v>7421</v>
      </c>
      <c r="D1403" s="1070" t="s">
        <v>9934</v>
      </c>
      <c r="E1403" s="1046"/>
      <c r="F1403" s="1046"/>
      <c r="G1403" s="835"/>
      <c r="H1403" s="809" t="s">
        <v>3790</v>
      </c>
      <c r="I1403" s="92">
        <v>53</v>
      </c>
      <c r="J1403" s="92" t="s">
        <v>10</v>
      </c>
      <c r="K1403" s="92" t="s">
        <v>722</v>
      </c>
      <c r="L1403" s="810">
        <v>4</v>
      </c>
      <c r="M1403" s="811" t="str">
        <f t="shared" si="115"/>
        <v>High School Level</v>
      </c>
      <c r="N1403" s="92" t="s">
        <v>1208</v>
      </c>
      <c r="O1403" s="812" t="s">
        <v>3789</v>
      </c>
      <c r="P1403" s="1638"/>
      <c r="Q1403" s="812" t="s">
        <v>3789</v>
      </c>
      <c r="U1403" s="813">
        <f>600*4</f>
        <v>2400</v>
      </c>
      <c r="V1403" s="828"/>
      <c r="W1403" s="815">
        <v>1</v>
      </c>
      <c r="X1403" s="811" t="str">
        <f t="shared" si="116"/>
        <v>within the Brgy</v>
      </c>
      <c r="Y1403" s="816">
        <f>30*26</f>
        <v>780</v>
      </c>
      <c r="AB1403" s="953"/>
      <c r="AG1403" s="807" t="str">
        <f t="shared" si="112"/>
        <v/>
      </c>
      <c r="AJ1403" s="865"/>
    </row>
    <row r="1404" spans="1:100" ht="15">
      <c r="A1404" s="19" t="s">
        <v>7421</v>
      </c>
      <c r="B1404" s="752" t="s">
        <v>7793</v>
      </c>
      <c r="C1404" s="132" t="s">
        <v>3775</v>
      </c>
      <c r="D1404" s="1070"/>
      <c r="E1404" s="1046"/>
      <c r="F1404" s="1046"/>
      <c r="G1404" s="835"/>
      <c r="H1404" s="809" t="s">
        <v>9941</v>
      </c>
      <c r="I1404" s="92">
        <v>45</v>
      </c>
      <c r="J1404" s="92" t="s">
        <v>18</v>
      </c>
      <c r="K1404" s="92" t="s">
        <v>722</v>
      </c>
      <c r="L1404" s="810">
        <v>3</v>
      </c>
      <c r="M1404" s="811" t="str">
        <f t="shared" si="115"/>
        <v>Elementary Graduate</v>
      </c>
      <c r="N1404" s="92" t="s">
        <v>1208</v>
      </c>
      <c r="O1404" s="812" t="s">
        <v>2972</v>
      </c>
      <c r="P1404" s="1638"/>
      <c r="Q1404" s="812" t="s">
        <v>2972</v>
      </c>
      <c r="R1404" s="92" t="s">
        <v>8234</v>
      </c>
      <c r="S1404" s="813">
        <f>1800*4</f>
        <v>7200</v>
      </c>
      <c r="V1404" s="828">
        <f>SUM(S1402:U1403)</f>
        <v>8400</v>
      </c>
      <c r="W1404" s="815">
        <v>1</v>
      </c>
      <c r="X1404" s="811" t="str">
        <f t="shared" si="116"/>
        <v>within the Brgy</v>
      </c>
      <c r="AA1404" s="816">
        <f>30*26</f>
        <v>780</v>
      </c>
      <c r="AB1404" s="953">
        <f>SUM(Y1403:AA1404)</f>
        <v>1560</v>
      </c>
      <c r="AG1404" s="807" t="str">
        <f t="shared" si="112"/>
        <v/>
      </c>
      <c r="AJ1404" s="865"/>
    </row>
    <row r="1405" spans="1:100" ht="15">
      <c r="A1405" s="343" t="s">
        <v>7419</v>
      </c>
      <c r="B1405" s="752" t="s">
        <v>7805</v>
      </c>
      <c r="C1405" s="132" t="s">
        <v>3784</v>
      </c>
      <c r="D1405" s="1070" t="s">
        <v>9940</v>
      </c>
      <c r="E1405" s="533" t="s">
        <v>3784</v>
      </c>
      <c r="F1405" s="1048" t="s">
        <v>3790</v>
      </c>
      <c r="G1405" s="831" t="s">
        <v>3784</v>
      </c>
      <c r="H1405" s="809" t="s">
        <v>9943</v>
      </c>
      <c r="I1405" s="92">
        <v>58</v>
      </c>
      <c r="J1405" s="92" t="s">
        <v>10</v>
      </c>
      <c r="K1405" s="92" t="s">
        <v>768</v>
      </c>
      <c r="L1405" s="810">
        <v>4</v>
      </c>
      <c r="M1405" s="811" t="str">
        <f t="shared" si="115"/>
        <v>High School Level</v>
      </c>
      <c r="N1405" s="92" t="s">
        <v>1208</v>
      </c>
      <c r="O1405" s="812" t="s">
        <v>8632</v>
      </c>
      <c r="P1405" s="1638"/>
      <c r="Q1405" s="812" t="s">
        <v>8632</v>
      </c>
      <c r="V1405" s="961"/>
      <c r="W1405" s="815">
        <v>3</v>
      </c>
      <c r="X1405" s="811" t="str">
        <f t="shared" si="116"/>
        <v>within the Province</v>
      </c>
      <c r="Y1405" s="816">
        <v>62</v>
      </c>
      <c r="AB1405" s="962"/>
      <c r="AG1405" s="807" t="str">
        <f t="shared" si="112"/>
        <v/>
      </c>
      <c r="AJ1405" s="865"/>
      <c r="BV1405" s="807">
        <v>2</v>
      </c>
      <c r="CN1405" s="807">
        <v>3</v>
      </c>
      <c r="CV1405" s="807">
        <v>1</v>
      </c>
    </row>
    <row r="1406" spans="1:100" ht="15">
      <c r="D1406" s="1070"/>
      <c r="E1406" s="533" t="s">
        <v>3784</v>
      </c>
      <c r="F1406" s="1046"/>
      <c r="G1406" s="835"/>
      <c r="H1406" s="809" t="s">
        <v>9944</v>
      </c>
      <c r="I1406" s="92">
        <v>21</v>
      </c>
      <c r="J1406" s="92" t="s">
        <v>18</v>
      </c>
      <c r="K1406" s="92" t="s">
        <v>768</v>
      </c>
      <c r="L1406" s="810">
        <v>4</v>
      </c>
      <c r="M1406" s="811" t="str">
        <f t="shared" si="115"/>
        <v>High School Level</v>
      </c>
      <c r="P1406" s="1638"/>
      <c r="S1406" s="813">
        <f>400*26</f>
        <v>10400</v>
      </c>
      <c r="V1406" s="961"/>
      <c r="X1406" s="811" t="str">
        <f t="shared" si="116"/>
        <v/>
      </c>
      <c r="AB1406" s="962"/>
      <c r="AG1406" s="807" t="str">
        <f t="shared" si="112"/>
        <v/>
      </c>
      <c r="AJ1406" s="865"/>
    </row>
    <row r="1407" spans="1:100" ht="15">
      <c r="D1407" s="1070" t="s">
        <v>9942</v>
      </c>
      <c r="E1407" s="1046"/>
      <c r="F1407" s="1046"/>
      <c r="G1407" s="831" t="s">
        <v>3793</v>
      </c>
      <c r="H1407" s="809" t="s">
        <v>9945</v>
      </c>
      <c r="I1407" s="92">
        <v>27</v>
      </c>
      <c r="J1407" s="92" t="s">
        <v>10</v>
      </c>
      <c r="K1407" s="92" t="s">
        <v>768</v>
      </c>
      <c r="L1407" s="810">
        <v>5</v>
      </c>
      <c r="M1407" s="811" t="str">
        <f t="shared" si="115"/>
        <v>High School Graduate</v>
      </c>
      <c r="N1407" s="92" t="s">
        <v>1208</v>
      </c>
      <c r="O1407" s="812" t="s">
        <v>9235</v>
      </c>
      <c r="P1407" s="1638"/>
      <c r="Q1407" s="812" t="s">
        <v>9235</v>
      </c>
      <c r="V1407" s="961"/>
      <c r="W1407" s="815">
        <v>1</v>
      </c>
      <c r="X1407" s="811" t="str">
        <f t="shared" si="116"/>
        <v>within the Brgy</v>
      </c>
      <c r="Y1407" s="816">
        <v>100</v>
      </c>
      <c r="AB1407" s="962"/>
      <c r="AG1407" s="807" t="str">
        <f t="shared" si="112"/>
        <v/>
      </c>
      <c r="AJ1407" s="865"/>
    </row>
    <row r="1408" spans="1:100" ht="15">
      <c r="D1408" s="1070"/>
      <c r="E1408" s="1046"/>
      <c r="F1408" s="1046"/>
      <c r="G1408" s="835"/>
      <c r="H1408" s="809" t="s">
        <v>9946</v>
      </c>
      <c r="I1408" s="92">
        <v>30</v>
      </c>
      <c r="J1408" s="92" t="s">
        <v>18</v>
      </c>
      <c r="K1408" s="92" t="s">
        <v>768</v>
      </c>
      <c r="L1408" s="810">
        <v>2</v>
      </c>
      <c r="M1408" s="811" t="str">
        <f t="shared" si="115"/>
        <v>Elementary Level</v>
      </c>
      <c r="P1408" s="1638"/>
      <c r="S1408" s="813">
        <f>450*26</f>
        <v>11700</v>
      </c>
      <c r="V1408" s="961"/>
      <c r="X1408" s="811" t="str">
        <f t="shared" si="116"/>
        <v/>
      </c>
      <c r="AB1408" s="962"/>
      <c r="AG1408" s="807" t="str">
        <f t="shared" si="112"/>
        <v/>
      </c>
      <c r="AJ1408" s="865"/>
    </row>
    <row r="1409" spans="1:36" ht="15">
      <c r="D1409" s="1070"/>
      <c r="E1409" s="1046"/>
      <c r="F1409" s="1046"/>
      <c r="G1409" s="835"/>
      <c r="H1409" s="809" t="s">
        <v>9947</v>
      </c>
      <c r="I1409" s="92">
        <v>24</v>
      </c>
      <c r="J1409" s="92" t="s">
        <v>10</v>
      </c>
      <c r="K1409" s="92" t="s">
        <v>768</v>
      </c>
      <c r="L1409" s="810">
        <v>1</v>
      </c>
      <c r="M1409" s="811" t="str">
        <f t="shared" si="115"/>
        <v>Pre-school</v>
      </c>
      <c r="N1409" s="92" t="s">
        <v>1208</v>
      </c>
      <c r="O1409" s="812" t="s">
        <v>2222</v>
      </c>
      <c r="P1409" s="1638"/>
      <c r="Q1409" s="812" t="s">
        <v>2222</v>
      </c>
      <c r="V1409" s="961"/>
      <c r="W1409" s="815">
        <v>3</v>
      </c>
      <c r="X1409" s="811" t="str">
        <f t="shared" si="116"/>
        <v>within the Province</v>
      </c>
      <c r="AB1409" s="962"/>
      <c r="AG1409" s="807" t="str">
        <f t="shared" si="112"/>
        <v/>
      </c>
      <c r="AJ1409" s="865"/>
    </row>
    <row r="1410" spans="1:36" ht="15">
      <c r="D1410" s="1070"/>
      <c r="E1410" s="1046"/>
      <c r="F1410" s="1046"/>
      <c r="G1410" s="835"/>
      <c r="H1410" s="809" t="s">
        <v>9948</v>
      </c>
      <c r="I1410" s="92">
        <v>15</v>
      </c>
      <c r="J1410" s="92" t="s">
        <v>10</v>
      </c>
      <c r="K1410" s="92" t="s">
        <v>768</v>
      </c>
      <c r="L1410" s="810">
        <v>3</v>
      </c>
      <c r="M1410" s="811" t="str">
        <f t="shared" si="115"/>
        <v>Elementary Graduate</v>
      </c>
      <c r="P1410" s="1638"/>
      <c r="V1410" s="961"/>
      <c r="X1410" s="811" t="str">
        <f t="shared" si="116"/>
        <v/>
      </c>
      <c r="AB1410" s="962"/>
      <c r="AG1410" s="807" t="str">
        <f t="shared" si="112"/>
        <v/>
      </c>
      <c r="AJ1410" s="865"/>
    </row>
    <row r="1411" spans="1:36" ht="15">
      <c r="D1411" s="1070"/>
      <c r="E1411" s="1046"/>
      <c r="F1411" s="1046"/>
      <c r="G1411" s="835"/>
      <c r="H1411" s="809" t="s">
        <v>9949</v>
      </c>
      <c r="I1411" s="92">
        <v>10</v>
      </c>
      <c r="J1411" s="92" t="s">
        <v>10</v>
      </c>
      <c r="K1411" s="92" t="s">
        <v>768</v>
      </c>
      <c r="L1411" s="810">
        <v>2</v>
      </c>
      <c r="M1411" s="811" t="str">
        <f t="shared" si="115"/>
        <v>Elementary Level</v>
      </c>
      <c r="P1411" s="1638"/>
      <c r="R1411" s="92" t="s">
        <v>8234</v>
      </c>
      <c r="U1411" s="813">
        <v>6000</v>
      </c>
      <c r="V1411" s="961">
        <f>SUM(S1404:U1410)</f>
        <v>29300</v>
      </c>
      <c r="X1411" s="811" t="str">
        <f t="shared" si="116"/>
        <v/>
      </c>
      <c r="AB1411" s="962">
        <f>SUM(Y1405:AA1411)</f>
        <v>162</v>
      </c>
      <c r="AG1411" s="807" t="str">
        <f t="shared" si="112"/>
        <v/>
      </c>
      <c r="AJ1411" s="865"/>
    </row>
    <row r="1412" spans="1:36" ht="15">
      <c r="D1412" s="1070"/>
      <c r="E1412" s="1046"/>
      <c r="F1412" s="1046"/>
      <c r="G1412" s="835"/>
      <c r="H1412" s="809" t="s">
        <v>3801</v>
      </c>
      <c r="I1412" s="92">
        <v>58</v>
      </c>
      <c r="J1412" s="92" t="s">
        <v>18</v>
      </c>
      <c r="K1412" s="92" t="s">
        <v>783</v>
      </c>
      <c r="L1412" s="810">
        <v>9</v>
      </c>
      <c r="M1412" s="811" t="str">
        <f t="shared" si="115"/>
        <v>Vocational Graduate</v>
      </c>
      <c r="N1412" s="92" t="s">
        <v>1208</v>
      </c>
      <c r="O1412" s="812" t="s">
        <v>2968</v>
      </c>
      <c r="P1412" s="1638"/>
      <c r="Q1412" s="812" t="s">
        <v>2968</v>
      </c>
      <c r="AB1412" s="940"/>
      <c r="AD1412" s="817" t="s">
        <v>9951</v>
      </c>
      <c r="AE1412" s="93" t="s">
        <v>9952</v>
      </c>
      <c r="AF1412" s="818">
        <v>3</v>
      </c>
      <c r="AG1412" s="807" t="str">
        <f t="shared" si="112"/>
        <v>Special Medical Care</v>
      </c>
      <c r="AJ1412" s="865"/>
    </row>
    <row r="1413" spans="1:36" ht="15">
      <c r="D1413" s="1070"/>
      <c r="E1413" s="1046"/>
      <c r="F1413" s="1046"/>
      <c r="G1413" s="835"/>
      <c r="H1413" s="809" t="s">
        <v>9953</v>
      </c>
      <c r="I1413" s="92">
        <v>81</v>
      </c>
      <c r="J1413" s="92" t="s">
        <v>10</v>
      </c>
      <c r="K1413" s="92" t="s">
        <v>707</v>
      </c>
      <c r="L1413" s="810">
        <v>3</v>
      </c>
      <c r="M1413" s="811" t="str">
        <f t="shared" si="115"/>
        <v>Elementary Graduate</v>
      </c>
      <c r="P1413" s="1638"/>
      <c r="AB1413" s="940"/>
      <c r="AD1413" s="817" t="s">
        <v>9954</v>
      </c>
      <c r="AE1413" s="93" t="s">
        <v>9955</v>
      </c>
      <c r="AF1413" s="818">
        <v>3</v>
      </c>
      <c r="AG1413" s="807" t="str">
        <f t="shared" ref="AG1413:AG1448" si="117">IF(ISBLANK(AF1413)=TRUE,"",LOOKUP(AF1413,GS:GT))</f>
        <v>Special Medical Care</v>
      </c>
      <c r="AJ1413" s="865"/>
    </row>
    <row r="1414" spans="1:36" ht="15">
      <c r="D1414" s="1070" t="s">
        <v>9950</v>
      </c>
      <c r="E1414" s="1046"/>
      <c r="F1414" s="1046"/>
      <c r="G1414" s="831" t="s">
        <v>3800</v>
      </c>
      <c r="H1414" s="809" t="s">
        <v>9956</v>
      </c>
      <c r="I1414" s="92">
        <v>75</v>
      </c>
      <c r="J1414" s="92" t="s">
        <v>18</v>
      </c>
      <c r="K1414" s="92" t="s">
        <v>707</v>
      </c>
      <c r="L1414" s="810">
        <v>2</v>
      </c>
      <c r="M1414" s="811" t="str">
        <f t="shared" si="115"/>
        <v>Elementary Level</v>
      </c>
      <c r="P1414" s="1638"/>
      <c r="AB1414" s="940"/>
      <c r="AG1414" s="807" t="str">
        <f t="shared" si="117"/>
        <v/>
      </c>
      <c r="AJ1414" s="865"/>
    </row>
    <row r="1415" spans="1:36" ht="15">
      <c r="D1415" s="1070"/>
      <c r="E1415" s="1046"/>
      <c r="F1415" s="1046"/>
      <c r="G1415" s="835"/>
      <c r="H1415" s="809" t="s">
        <v>9957</v>
      </c>
      <c r="I1415" s="92">
        <v>34</v>
      </c>
      <c r="J1415" s="92" t="s">
        <v>18</v>
      </c>
      <c r="K1415" s="92" t="s">
        <v>707</v>
      </c>
      <c r="L1415" s="810">
        <v>5</v>
      </c>
      <c r="M1415" s="811" t="str">
        <f t="shared" si="115"/>
        <v>High School Graduate</v>
      </c>
      <c r="P1415" s="1638"/>
      <c r="AB1415" s="940"/>
      <c r="AG1415" s="807" t="str">
        <f t="shared" si="117"/>
        <v/>
      </c>
      <c r="AJ1415" s="865"/>
    </row>
    <row r="1416" spans="1:36" ht="15">
      <c r="A1416" s="946"/>
      <c r="B1416" s="292"/>
      <c r="D1416" s="1070"/>
      <c r="E1416" s="1046"/>
      <c r="F1416" s="1046"/>
      <c r="G1416" s="835"/>
      <c r="H1416" s="809" t="s">
        <v>9958</v>
      </c>
      <c r="I1416" s="92">
        <v>37</v>
      </c>
      <c r="J1416" s="92" t="s">
        <v>18</v>
      </c>
      <c r="K1416" s="92" t="s">
        <v>768</v>
      </c>
      <c r="L1416" s="810">
        <v>5</v>
      </c>
      <c r="M1416" s="811" t="str">
        <f t="shared" si="115"/>
        <v>High School Graduate</v>
      </c>
      <c r="P1416" s="1638"/>
      <c r="AB1416" s="940"/>
      <c r="AG1416" s="807" t="str">
        <f t="shared" si="117"/>
        <v/>
      </c>
      <c r="AJ1416" s="865"/>
    </row>
    <row r="1417" spans="1:36" ht="15">
      <c r="A1417" s="946"/>
      <c r="B1417" s="292"/>
      <c r="C1417" s="292"/>
      <c r="D1417" s="1070"/>
      <c r="E1417" s="1046"/>
      <c r="F1417" s="1046"/>
      <c r="G1417" s="835"/>
      <c r="H1417" s="809" t="s">
        <v>9959</v>
      </c>
      <c r="I1417" s="92">
        <v>33</v>
      </c>
      <c r="J1417" s="92" t="s">
        <v>18</v>
      </c>
      <c r="K1417" s="92" t="s">
        <v>722</v>
      </c>
      <c r="L1417" s="810">
        <v>5</v>
      </c>
      <c r="M1417" s="811" t="str">
        <f t="shared" si="115"/>
        <v>High School Graduate</v>
      </c>
      <c r="P1417" s="1638"/>
      <c r="AB1417" s="940"/>
      <c r="AG1417" s="807" t="str">
        <f t="shared" si="117"/>
        <v/>
      </c>
      <c r="AJ1417" s="865"/>
    </row>
    <row r="1418" spans="1:36" ht="15">
      <c r="A1418" s="946"/>
      <c r="B1418" s="292"/>
      <c r="C1418" s="807"/>
      <c r="D1418" s="1070"/>
      <c r="E1418" s="1046"/>
      <c r="F1418" s="1046"/>
      <c r="G1418" s="835"/>
      <c r="H1418" s="809" t="s">
        <v>9960</v>
      </c>
      <c r="I1418" s="92">
        <v>34</v>
      </c>
      <c r="J1418" s="92" t="s">
        <v>10</v>
      </c>
      <c r="K1418" s="92" t="s">
        <v>722</v>
      </c>
      <c r="L1418" s="810">
        <v>3</v>
      </c>
      <c r="M1418" s="811" t="str">
        <f t="shared" si="115"/>
        <v>Elementary Graduate</v>
      </c>
      <c r="P1418" s="1638"/>
      <c r="AB1418" s="940"/>
      <c r="AG1418" s="807" t="str">
        <f t="shared" si="117"/>
        <v/>
      </c>
      <c r="AJ1418" s="865"/>
    </row>
    <row r="1419" spans="1:36" ht="15">
      <c r="A1419" s="946"/>
      <c r="B1419" s="292"/>
      <c r="C1419" s="807"/>
      <c r="D1419" s="1070"/>
      <c r="E1419" s="1046"/>
      <c r="F1419" s="1046"/>
      <c r="G1419" s="835"/>
      <c r="H1419" s="809" t="s">
        <v>9961</v>
      </c>
      <c r="I1419" s="92">
        <v>32</v>
      </c>
      <c r="J1419" s="92" t="s">
        <v>10</v>
      </c>
      <c r="K1419" s="92" t="s">
        <v>707</v>
      </c>
      <c r="L1419" s="810">
        <v>3</v>
      </c>
      <c r="M1419" s="811" t="str">
        <f t="shared" si="115"/>
        <v>Elementary Graduate</v>
      </c>
      <c r="P1419" s="1638"/>
      <c r="AB1419" s="940"/>
      <c r="AG1419" s="807" t="str">
        <f t="shared" si="117"/>
        <v/>
      </c>
      <c r="AJ1419" s="865"/>
    </row>
    <row r="1420" spans="1:36" ht="15">
      <c r="A1420" s="946"/>
      <c r="B1420" s="292"/>
      <c r="C1420" s="807"/>
      <c r="D1420" s="1070"/>
      <c r="E1420" s="1046"/>
      <c r="F1420" s="1046"/>
      <c r="G1420" s="835"/>
      <c r="H1420" s="809" t="s">
        <v>9962</v>
      </c>
      <c r="I1420" s="92">
        <v>10</v>
      </c>
      <c r="J1420" s="92" t="s">
        <v>10</v>
      </c>
      <c r="K1420" s="92" t="s">
        <v>768</v>
      </c>
      <c r="L1420" s="810">
        <v>2</v>
      </c>
      <c r="M1420" s="811" t="str">
        <f t="shared" si="115"/>
        <v>Elementary Level</v>
      </c>
      <c r="P1420" s="1638"/>
      <c r="S1420" s="813">
        <v>3830</v>
      </c>
      <c r="AB1420" s="940"/>
      <c r="AG1420" s="807" t="str">
        <f t="shared" si="117"/>
        <v/>
      </c>
      <c r="AJ1420" s="865"/>
    </row>
    <row r="1421" spans="1:36" ht="15">
      <c r="A1421" s="946"/>
      <c r="B1421" s="292"/>
      <c r="C1421" s="807"/>
      <c r="D1421" s="1070"/>
      <c r="E1421" s="1046"/>
      <c r="F1421" s="1046"/>
      <c r="G1421" s="835"/>
      <c r="H1421" s="809" t="s">
        <v>9963</v>
      </c>
      <c r="I1421" s="92">
        <v>31</v>
      </c>
      <c r="J1421" s="92" t="s">
        <v>10</v>
      </c>
      <c r="K1421" s="92" t="s">
        <v>768</v>
      </c>
      <c r="L1421" s="810">
        <v>6</v>
      </c>
      <c r="M1421" s="811" t="str">
        <f t="shared" si="115"/>
        <v>College Level</v>
      </c>
      <c r="N1421" s="92" t="s">
        <v>1208</v>
      </c>
      <c r="O1421" s="812" t="s">
        <v>2981</v>
      </c>
      <c r="P1421" s="1638"/>
      <c r="Q1421" s="812" t="s">
        <v>2981</v>
      </c>
      <c r="AB1421" s="940"/>
      <c r="AG1421" s="807" t="str">
        <f t="shared" si="117"/>
        <v/>
      </c>
      <c r="AJ1421" s="865"/>
    </row>
    <row r="1422" spans="1:36" ht="15">
      <c r="A1422" s="946"/>
      <c r="B1422" s="292"/>
      <c r="D1422" s="1070"/>
      <c r="E1422" s="1046"/>
      <c r="F1422" s="1046"/>
      <c r="G1422" s="835"/>
      <c r="H1422" s="809" t="s">
        <v>9964</v>
      </c>
      <c r="I1422" s="92">
        <v>33</v>
      </c>
      <c r="J1422" s="92" t="s">
        <v>10</v>
      </c>
      <c r="K1422" s="92" t="s">
        <v>768</v>
      </c>
      <c r="L1422" s="810">
        <v>3</v>
      </c>
      <c r="M1422" s="811" t="str">
        <f t="shared" si="115"/>
        <v>Elementary Graduate</v>
      </c>
      <c r="P1422" s="1638"/>
      <c r="S1422" s="813">
        <f>300*26</f>
        <v>7800</v>
      </c>
      <c r="V1422" s="814">
        <f>SUM(S1411:U1421)</f>
        <v>9830</v>
      </c>
      <c r="AB1422" s="940">
        <f>SUM(Y1412:AA1422)</f>
        <v>0</v>
      </c>
      <c r="AG1422" s="807" t="str">
        <f t="shared" si="117"/>
        <v/>
      </c>
      <c r="AJ1422" s="865"/>
    </row>
    <row r="1423" spans="1:36" ht="15">
      <c r="A1423" s="946"/>
      <c r="B1423" s="292"/>
      <c r="D1423" s="1070"/>
      <c r="E1423" s="1046"/>
      <c r="F1423" s="1046"/>
      <c r="G1423" s="835"/>
      <c r="H1423" s="809" t="s">
        <v>9965</v>
      </c>
      <c r="I1423" s="92">
        <v>24</v>
      </c>
      <c r="J1423" s="92" t="s">
        <v>10</v>
      </c>
      <c r="K1423" s="92" t="s">
        <v>768</v>
      </c>
      <c r="L1423" s="810">
        <v>4</v>
      </c>
      <c r="M1423" s="811" t="str">
        <f t="shared" si="115"/>
        <v>High School Level</v>
      </c>
      <c r="N1423" s="92" t="s">
        <v>1208</v>
      </c>
      <c r="O1423" s="812" t="s">
        <v>2215</v>
      </c>
      <c r="P1423" s="1638" t="s">
        <v>12606</v>
      </c>
      <c r="Q1423" s="812" t="s">
        <v>2215</v>
      </c>
      <c r="R1423" s="92" t="s">
        <v>8234</v>
      </c>
      <c r="U1423" s="813">
        <v>15000</v>
      </c>
      <c r="V1423" s="828">
        <f>SUM(S1404:U1422)</f>
        <v>46930</v>
      </c>
      <c r="W1423" s="815">
        <v>1</v>
      </c>
      <c r="X1423" s="811" t="str">
        <f t="shared" ref="X1423:X1448" si="118">IF(ISBLANK(W1423)=TRUE,"",LOOKUP(W1423,GO:GP))</f>
        <v>within the Brgy</v>
      </c>
      <c r="AB1423" s="953">
        <f>SUM(Y1405:AA1423)</f>
        <v>162</v>
      </c>
      <c r="AG1423" s="807" t="str">
        <f t="shared" si="117"/>
        <v/>
      </c>
      <c r="AJ1423" s="865"/>
    </row>
    <row r="1424" spans="1:36" ht="15">
      <c r="A1424" s="946"/>
      <c r="B1424" s="292"/>
      <c r="D1424" s="1070"/>
      <c r="E1424" s="1046"/>
      <c r="F1424" s="1046"/>
      <c r="G1424" s="835"/>
      <c r="H1424" s="809" t="s">
        <v>3813</v>
      </c>
      <c r="I1424" s="92">
        <v>51</v>
      </c>
      <c r="J1424" s="92" t="s">
        <v>18</v>
      </c>
      <c r="K1424" s="92" t="s">
        <v>707</v>
      </c>
      <c r="L1424" s="810">
        <v>4</v>
      </c>
      <c r="M1424" s="811" t="str">
        <f t="shared" si="115"/>
        <v>High School Level</v>
      </c>
      <c r="N1424" s="92" t="s">
        <v>1208</v>
      </c>
      <c r="O1424" s="812" t="s">
        <v>2968</v>
      </c>
      <c r="P1424" s="1638"/>
      <c r="Q1424" s="812" t="s">
        <v>2968</v>
      </c>
      <c r="V1424" s="961"/>
      <c r="W1424" s="815">
        <v>2</v>
      </c>
      <c r="X1424" s="811" t="str">
        <f t="shared" si="118"/>
        <v>within the Municipality/City</v>
      </c>
      <c r="AB1424" s="962"/>
      <c r="AG1424" s="807" t="str">
        <f t="shared" si="117"/>
        <v/>
      </c>
      <c r="AJ1424" s="865"/>
    </row>
    <row r="1425" spans="1:36" ht="15">
      <c r="A1425" s="946"/>
      <c r="B1425" s="292"/>
      <c r="D1425" s="1070"/>
      <c r="E1425" s="1046"/>
      <c r="F1425" s="1046"/>
      <c r="G1425" s="835"/>
      <c r="H1425" s="809" t="s">
        <v>9967</v>
      </c>
      <c r="I1425" s="92">
        <v>23</v>
      </c>
      <c r="J1425" s="92" t="s">
        <v>18</v>
      </c>
      <c r="K1425" s="92" t="s">
        <v>722</v>
      </c>
      <c r="L1425" s="810">
        <v>6</v>
      </c>
      <c r="M1425" s="811" t="str">
        <f t="shared" si="115"/>
        <v>College Level</v>
      </c>
      <c r="P1425" s="1638"/>
      <c r="V1425" s="961"/>
      <c r="X1425" s="811" t="str">
        <f t="shared" si="118"/>
        <v/>
      </c>
      <c r="AB1425" s="962"/>
      <c r="AG1425" s="807" t="str">
        <f t="shared" si="117"/>
        <v/>
      </c>
      <c r="AJ1425" s="865"/>
    </row>
    <row r="1426" spans="1:36" ht="15">
      <c r="A1426" s="343" t="s">
        <v>7419</v>
      </c>
      <c r="B1426" s="752" t="s">
        <v>7710</v>
      </c>
      <c r="C1426" s="132" t="s">
        <v>3807</v>
      </c>
      <c r="D1426" s="1070" t="s">
        <v>9966</v>
      </c>
      <c r="E1426" s="1046"/>
      <c r="F1426" s="1046"/>
      <c r="G1426" s="831" t="s">
        <v>3807</v>
      </c>
      <c r="H1426" s="809" t="s">
        <v>9968</v>
      </c>
      <c r="I1426" s="92">
        <v>16</v>
      </c>
      <c r="J1426" s="92" t="s">
        <v>10</v>
      </c>
      <c r="K1426" s="92" t="s">
        <v>768</v>
      </c>
      <c r="L1426" s="810">
        <v>5</v>
      </c>
      <c r="M1426" s="811" t="str">
        <f t="shared" si="115"/>
        <v>High School Graduate</v>
      </c>
      <c r="P1426" s="1638"/>
      <c r="S1426" s="813">
        <v>12000</v>
      </c>
      <c r="V1426" s="961"/>
      <c r="X1426" s="811" t="str">
        <f t="shared" si="118"/>
        <v/>
      </c>
      <c r="AB1426" s="962"/>
      <c r="AG1426" s="807" t="str">
        <f t="shared" si="117"/>
        <v/>
      </c>
      <c r="AJ1426" s="865"/>
    </row>
    <row r="1427" spans="1:36" ht="15">
      <c r="D1427" s="1070"/>
      <c r="E1427" s="1046"/>
      <c r="F1427" s="1046"/>
      <c r="G1427" s="835"/>
      <c r="H1427" s="809" t="s">
        <v>9969</v>
      </c>
      <c r="I1427" s="92">
        <v>25</v>
      </c>
      <c r="J1427" s="92" t="s">
        <v>10</v>
      </c>
      <c r="K1427" s="92" t="s">
        <v>722</v>
      </c>
      <c r="L1427" s="810">
        <v>6</v>
      </c>
      <c r="M1427" s="811" t="str">
        <f t="shared" si="115"/>
        <v>College Level</v>
      </c>
      <c r="N1427" s="92" t="s">
        <v>1208</v>
      </c>
      <c r="O1427" s="812" t="s">
        <v>9370</v>
      </c>
      <c r="P1427" s="1638"/>
      <c r="Q1427" s="812" t="s">
        <v>9370</v>
      </c>
      <c r="V1427" s="961"/>
      <c r="W1427" s="815">
        <v>3</v>
      </c>
      <c r="X1427" s="811" t="str">
        <f t="shared" si="118"/>
        <v>within the Province</v>
      </c>
      <c r="Y1427" s="816">
        <f>30*30</f>
        <v>900</v>
      </c>
      <c r="AB1427" s="962"/>
      <c r="AG1427" s="807" t="str">
        <f t="shared" si="117"/>
        <v/>
      </c>
      <c r="AJ1427" s="865"/>
    </row>
    <row r="1428" spans="1:36" ht="15">
      <c r="D1428" s="1070"/>
      <c r="E1428" s="1046"/>
      <c r="F1428" s="1046"/>
      <c r="G1428" s="835"/>
      <c r="H1428" s="809" t="s">
        <v>9970</v>
      </c>
      <c r="I1428" s="92">
        <v>5</v>
      </c>
      <c r="J1428" s="92" t="s">
        <v>18</v>
      </c>
      <c r="K1428" s="92" t="s">
        <v>768</v>
      </c>
      <c r="L1428" s="810">
        <v>1</v>
      </c>
      <c r="M1428" s="811" t="str">
        <f t="shared" si="115"/>
        <v>Pre-school</v>
      </c>
      <c r="P1428" s="1638"/>
      <c r="R1428" s="92" t="s">
        <v>8234</v>
      </c>
      <c r="V1428" s="961">
        <f>SUM(S1423:U1427)</f>
        <v>27000</v>
      </c>
      <c r="X1428" s="811" t="str">
        <f t="shared" si="118"/>
        <v/>
      </c>
      <c r="AB1428" s="962">
        <f>SUM(Y1424:AA1428)</f>
        <v>900</v>
      </c>
      <c r="AG1428" s="807" t="str">
        <f t="shared" si="117"/>
        <v/>
      </c>
      <c r="AJ1428" s="865"/>
    </row>
    <row r="1429" spans="1:36" ht="15">
      <c r="D1429" s="1070"/>
      <c r="E1429" s="1046"/>
      <c r="F1429" s="1046"/>
      <c r="G1429" s="835"/>
      <c r="H1429" s="809" t="s">
        <v>3825</v>
      </c>
      <c r="I1429" s="92">
        <v>62</v>
      </c>
      <c r="J1429" s="92" t="s">
        <v>18</v>
      </c>
      <c r="K1429" s="92" t="s">
        <v>719</v>
      </c>
      <c r="L1429" s="810">
        <v>5</v>
      </c>
      <c r="M1429" s="811" t="str">
        <f t="shared" si="115"/>
        <v>High School Graduate</v>
      </c>
      <c r="N1429" s="92" t="s">
        <v>1208</v>
      </c>
      <c r="O1429" s="812" t="s">
        <v>9972</v>
      </c>
      <c r="P1429" s="1638"/>
      <c r="Q1429" s="812" t="s">
        <v>9972</v>
      </c>
      <c r="X1429" s="811" t="str">
        <f t="shared" si="118"/>
        <v/>
      </c>
      <c r="AB1429" s="940"/>
      <c r="AG1429" s="807" t="str">
        <f t="shared" si="117"/>
        <v/>
      </c>
      <c r="AJ1429" s="865"/>
    </row>
    <row r="1430" spans="1:36" ht="15">
      <c r="D1430" s="1070"/>
      <c r="E1430" s="1046"/>
      <c r="F1430" s="1046"/>
      <c r="G1430" s="835"/>
      <c r="H1430" s="809" t="s">
        <v>9973</v>
      </c>
      <c r="I1430" s="92">
        <v>67</v>
      </c>
      <c r="J1430" s="92" t="s">
        <v>18</v>
      </c>
      <c r="K1430" s="92" t="s">
        <v>768</v>
      </c>
      <c r="L1430" s="810">
        <v>3</v>
      </c>
      <c r="M1430" s="811" t="str">
        <f t="shared" ref="M1430:M1461" si="119">IF(ISBLANK(L1430)=TRUE,"",LOOKUP(L1430,GQ:GR))</f>
        <v>Elementary Graduate</v>
      </c>
      <c r="P1430" s="1638"/>
      <c r="X1430" s="811" t="str">
        <f t="shared" si="118"/>
        <v/>
      </c>
      <c r="AB1430" s="940"/>
      <c r="AG1430" s="807" t="str">
        <f t="shared" si="117"/>
        <v/>
      </c>
      <c r="AJ1430" s="865"/>
    </row>
    <row r="1431" spans="1:36" ht="15">
      <c r="A1431" s="19" t="s">
        <v>7421</v>
      </c>
      <c r="B1431" s="752" t="s">
        <v>7787</v>
      </c>
      <c r="C1431" s="132" t="s">
        <v>3814</v>
      </c>
      <c r="D1431" s="1070" t="s">
        <v>9971</v>
      </c>
      <c r="E1431" s="533" t="s">
        <v>3814</v>
      </c>
      <c r="F1431" s="1048" t="s">
        <v>3825</v>
      </c>
      <c r="G1431" s="831" t="s">
        <v>3814</v>
      </c>
      <c r="H1431" s="809" t="s">
        <v>9974</v>
      </c>
      <c r="I1431" s="92">
        <v>43</v>
      </c>
      <c r="J1431" s="92" t="s">
        <v>10</v>
      </c>
      <c r="K1431" s="92" t="s">
        <v>768</v>
      </c>
      <c r="L1431" s="810">
        <v>6</v>
      </c>
      <c r="M1431" s="811" t="str">
        <f t="shared" si="119"/>
        <v>College Level</v>
      </c>
      <c r="P1431" s="1638"/>
      <c r="S1431" s="813">
        <f>400*26</f>
        <v>10400</v>
      </c>
      <c r="X1431" s="811" t="str">
        <f t="shared" si="118"/>
        <v/>
      </c>
      <c r="AB1431" s="940"/>
      <c r="AG1431" s="807" t="str">
        <f t="shared" si="117"/>
        <v/>
      </c>
      <c r="AJ1431" s="865"/>
    </row>
    <row r="1432" spans="1:36" ht="15">
      <c r="D1432" s="1070"/>
      <c r="E1432" s="533" t="s">
        <v>3814</v>
      </c>
      <c r="G1432" s="835"/>
      <c r="H1432" s="809" t="s">
        <v>3826</v>
      </c>
      <c r="I1432" s="92">
        <v>63</v>
      </c>
      <c r="J1432" s="92" t="s">
        <v>10</v>
      </c>
      <c r="K1432" s="92" t="s">
        <v>707</v>
      </c>
      <c r="L1432" s="810">
        <v>7</v>
      </c>
      <c r="M1432" s="811" t="str">
        <f t="shared" si="119"/>
        <v>College Graduate or Higher</v>
      </c>
      <c r="N1432" s="92" t="s">
        <v>1208</v>
      </c>
      <c r="P1432" s="1638"/>
      <c r="V1432" s="828"/>
      <c r="W1432" s="815">
        <v>3</v>
      </c>
      <c r="X1432" s="811" t="str">
        <f t="shared" si="118"/>
        <v>within the Province</v>
      </c>
      <c r="AB1432" s="953"/>
      <c r="AD1432" s="817" t="s">
        <v>9976</v>
      </c>
      <c r="AE1432" s="92"/>
      <c r="AF1432" s="810"/>
      <c r="AG1432" s="807" t="str">
        <f t="shared" si="117"/>
        <v/>
      </c>
      <c r="AJ1432" s="865"/>
    </row>
    <row r="1433" spans="1:36" ht="15">
      <c r="D1433" s="1070"/>
      <c r="E1433" s="533" t="s">
        <v>3814</v>
      </c>
      <c r="G1433" s="835"/>
      <c r="H1433" s="809" t="s">
        <v>3827</v>
      </c>
      <c r="I1433" s="92">
        <v>63</v>
      </c>
      <c r="J1433" s="92" t="s">
        <v>18</v>
      </c>
      <c r="K1433" s="92" t="s">
        <v>707</v>
      </c>
      <c r="L1433" s="810">
        <v>7</v>
      </c>
      <c r="M1433" s="811" t="str">
        <f t="shared" si="119"/>
        <v>College Graduate or Higher</v>
      </c>
      <c r="P1433" s="1638"/>
      <c r="S1433" s="813">
        <f>400*26</f>
        <v>10400</v>
      </c>
      <c r="V1433" s="828"/>
      <c r="X1433" s="811" t="str">
        <f t="shared" si="118"/>
        <v/>
      </c>
      <c r="AB1433" s="953"/>
      <c r="AD1433" s="817" t="s">
        <v>9977</v>
      </c>
      <c r="AE1433" s="92"/>
      <c r="AF1433" s="810"/>
      <c r="AG1433" s="807" t="str">
        <f t="shared" si="117"/>
        <v/>
      </c>
      <c r="AJ1433" s="865"/>
    </row>
    <row r="1434" spans="1:36" ht="15">
      <c r="A1434" s="19" t="s">
        <v>7421</v>
      </c>
      <c r="B1434" s="1007" t="s">
        <v>7711</v>
      </c>
      <c r="C1434" s="132" t="s">
        <v>2781</v>
      </c>
      <c r="D1434" s="1070" t="s">
        <v>9975</v>
      </c>
      <c r="G1434" s="831" t="s">
        <v>2781</v>
      </c>
      <c r="H1434" s="809" t="s">
        <v>9978</v>
      </c>
      <c r="I1434" s="92">
        <v>41</v>
      </c>
      <c r="J1434" s="92" t="s">
        <v>10</v>
      </c>
      <c r="K1434" s="92" t="s">
        <v>707</v>
      </c>
      <c r="L1434" s="810">
        <v>7</v>
      </c>
      <c r="M1434" s="811" t="str">
        <f t="shared" si="119"/>
        <v>College Graduate or Higher</v>
      </c>
      <c r="N1434" s="92" t="s">
        <v>1208</v>
      </c>
      <c r="P1434" s="1638"/>
      <c r="S1434" s="813">
        <f>400*26</f>
        <v>10400</v>
      </c>
      <c r="V1434" s="828"/>
      <c r="W1434" s="815">
        <v>3</v>
      </c>
      <c r="X1434" s="811" t="str">
        <f t="shared" si="118"/>
        <v>within the Province</v>
      </c>
      <c r="AB1434" s="953"/>
      <c r="AG1434" s="807" t="str">
        <f t="shared" si="117"/>
        <v/>
      </c>
      <c r="AJ1434" s="865"/>
    </row>
    <row r="1435" spans="1:36" ht="15">
      <c r="D1435" s="1070"/>
      <c r="G1435" s="835"/>
      <c r="H1435" s="809" t="s">
        <v>9979</v>
      </c>
      <c r="I1435" s="92">
        <v>38</v>
      </c>
      <c r="J1435" s="92" t="s">
        <v>18</v>
      </c>
      <c r="K1435" s="92" t="s">
        <v>707</v>
      </c>
      <c r="L1435" s="810">
        <v>7</v>
      </c>
      <c r="M1435" s="811" t="str">
        <f t="shared" si="119"/>
        <v>College Graduate or Higher</v>
      </c>
      <c r="N1435" s="92" t="s">
        <v>1208</v>
      </c>
      <c r="P1435" s="1638"/>
      <c r="V1435" s="828"/>
      <c r="W1435" s="815">
        <v>3</v>
      </c>
      <c r="X1435" s="811" t="str">
        <f t="shared" si="118"/>
        <v>within the Province</v>
      </c>
      <c r="AB1435" s="953"/>
      <c r="AG1435" s="807" t="str">
        <f t="shared" si="117"/>
        <v/>
      </c>
      <c r="AJ1435" s="865"/>
    </row>
    <row r="1436" spans="1:36" ht="15">
      <c r="D1436" s="1070"/>
      <c r="G1436" s="835"/>
      <c r="H1436" s="809" t="s">
        <v>9980</v>
      </c>
      <c r="I1436" s="92">
        <v>11</v>
      </c>
      <c r="J1436" s="92" t="s">
        <v>18</v>
      </c>
      <c r="K1436" s="92" t="s">
        <v>768</v>
      </c>
      <c r="L1436" s="810">
        <v>3</v>
      </c>
      <c r="M1436" s="811" t="str">
        <f t="shared" si="119"/>
        <v>Elementary Graduate</v>
      </c>
      <c r="P1436" s="1638"/>
      <c r="V1436" s="828">
        <f>SUM(S1431:U1435)</f>
        <v>31200</v>
      </c>
      <c r="X1436" s="811" t="str">
        <f t="shared" si="118"/>
        <v/>
      </c>
      <c r="AB1436" s="953">
        <f>SUM(Y1432:AA1436)</f>
        <v>0</v>
      </c>
      <c r="AG1436" s="807" t="str">
        <f t="shared" si="117"/>
        <v/>
      </c>
      <c r="AJ1436" s="865"/>
    </row>
    <row r="1437" spans="1:36" ht="15">
      <c r="D1437" s="1070"/>
      <c r="G1437" s="835"/>
      <c r="H1437" s="809" t="s">
        <v>2708</v>
      </c>
      <c r="I1437" s="92">
        <v>56</v>
      </c>
      <c r="J1437" s="92" t="s">
        <v>10</v>
      </c>
      <c r="K1437" s="92" t="s">
        <v>707</v>
      </c>
      <c r="L1437" s="810">
        <v>6</v>
      </c>
      <c r="M1437" s="811" t="str">
        <f t="shared" si="119"/>
        <v>College Level</v>
      </c>
      <c r="P1437" s="1638"/>
      <c r="S1437" s="813">
        <v>18000</v>
      </c>
      <c r="V1437" s="968"/>
      <c r="X1437" s="811" t="str">
        <f t="shared" si="118"/>
        <v/>
      </c>
      <c r="AB1437" s="947"/>
      <c r="AG1437" s="807" t="str">
        <f t="shared" si="117"/>
        <v/>
      </c>
      <c r="AJ1437" s="865"/>
    </row>
    <row r="1438" spans="1:36" ht="15">
      <c r="D1438" s="1070"/>
      <c r="G1438" s="835"/>
      <c r="H1438" s="809" t="s">
        <v>9982</v>
      </c>
      <c r="I1438" s="92">
        <v>29</v>
      </c>
      <c r="J1438" s="92" t="s">
        <v>18</v>
      </c>
      <c r="K1438" s="92" t="s">
        <v>707</v>
      </c>
      <c r="L1438" s="810">
        <v>7</v>
      </c>
      <c r="M1438" s="811" t="str">
        <f t="shared" si="119"/>
        <v>College Graduate or Higher</v>
      </c>
      <c r="N1438" s="92" t="s">
        <v>1208</v>
      </c>
      <c r="O1438" s="812" t="s">
        <v>2226</v>
      </c>
      <c r="P1438" s="1638"/>
      <c r="Q1438" s="812" t="s">
        <v>2226</v>
      </c>
      <c r="V1438" s="968"/>
      <c r="W1438" s="815">
        <v>3</v>
      </c>
      <c r="X1438" s="811" t="str">
        <f t="shared" si="118"/>
        <v>within the Province</v>
      </c>
      <c r="Y1438" s="816">
        <v>104</v>
      </c>
      <c r="AB1438" s="947"/>
      <c r="AG1438" s="807" t="str">
        <f t="shared" si="117"/>
        <v/>
      </c>
      <c r="AJ1438" s="865"/>
    </row>
    <row r="1439" spans="1:36" ht="15">
      <c r="D1439" s="1070" t="s">
        <v>9981</v>
      </c>
      <c r="G1439" s="831" t="s">
        <v>2701</v>
      </c>
      <c r="H1439" s="809" t="s">
        <v>9983</v>
      </c>
      <c r="I1439" s="92">
        <v>19</v>
      </c>
      <c r="J1439" s="92" t="s">
        <v>18</v>
      </c>
      <c r="K1439" s="92" t="s">
        <v>768</v>
      </c>
      <c r="L1439" s="810">
        <v>7</v>
      </c>
      <c r="M1439" s="811" t="str">
        <f t="shared" si="119"/>
        <v>College Graduate or Higher</v>
      </c>
      <c r="P1439" s="1638"/>
      <c r="S1439" s="813">
        <v>18000</v>
      </c>
      <c r="V1439" s="968"/>
      <c r="X1439" s="811" t="str">
        <f t="shared" si="118"/>
        <v/>
      </c>
      <c r="AB1439" s="947"/>
      <c r="AG1439" s="807" t="str">
        <f t="shared" si="117"/>
        <v/>
      </c>
      <c r="AJ1439" s="865"/>
    </row>
    <row r="1440" spans="1:36" ht="15">
      <c r="D1440" s="1070"/>
      <c r="E1440" s="93"/>
      <c r="F1440" s="93"/>
      <c r="G1440" s="835"/>
      <c r="H1440" s="809" t="s">
        <v>9984</v>
      </c>
      <c r="I1440" s="92">
        <v>38</v>
      </c>
      <c r="J1440" s="92" t="s">
        <v>10</v>
      </c>
      <c r="K1440" s="92" t="s">
        <v>768</v>
      </c>
      <c r="L1440" s="810">
        <v>7</v>
      </c>
      <c r="M1440" s="811" t="str">
        <f t="shared" si="119"/>
        <v>College Graduate or Higher</v>
      </c>
      <c r="N1440" s="92" t="s">
        <v>1208</v>
      </c>
      <c r="O1440" s="812" t="s">
        <v>2226</v>
      </c>
      <c r="P1440" s="1638"/>
      <c r="Q1440" s="812" t="s">
        <v>2226</v>
      </c>
      <c r="V1440" s="968"/>
      <c r="W1440" s="815">
        <v>3</v>
      </c>
      <c r="X1440" s="811" t="str">
        <f t="shared" si="118"/>
        <v>within the Province</v>
      </c>
      <c r="Y1440" s="816">
        <v>104</v>
      </c>
      <c r="AB1440" s="947"/>
      <c r="AG1440" s="807" t="str">
        <f t="shared" si="117"/>
        <v/>
      </c>
      <c r="AJ1440" s="865"/>
    </row>
    <row r="1441" spans="1:40" ht="15">
      <c r="D1441" s="1070"/>
      <c r="E1441" s="93"/>
      <c r="F1441" s="93"/>
      <c r="G1441" s="835"/>
      <c r="H1441" s="809" t="s">
        <v>9985</v>
      </c>
      <c r="I1441" s="92">
        <v>7</v>
      </c>
      <c r="J1441" s="92" t="s">
        <v>18</v>
      </c>
      <c r="K1441" s="92" t="s">
        <v>768</v>
      </c>
      <c r="L1441" s="810">
        <v>2</v>
      </c>
      <c r="M1441" s="811" t="str">
        <f t="shared" si="119"/>
        <v>Elementary Level</v>
      </c>
      <c r="P1441" s="1638"/>
      <c r="U1441" s="813">
        <v>24000</v>
      </c>
      <c r="V1441" s="968">
        <f>SUM(S1437:U1440)</f>
        <v>36000</v>
      </c>
      <c r="X1441" s="811" t="str">
        <f t="shared" si="118"/>
        <v/>
      </c>
      <c r="AB1441" s="947">
        <f>SUM(Y1438:AA1441)</f>
        <v>208</v>
      </c>
      <c r="AG1441" s="807" t="str">
        <f t="shared" si="117"/>
        <v/>
      </c>
      <c r="AJ1441" s="865"/>
    </row>
    <row r="1442" spans="1:40" ht="15">
      <c r="D1442" s="1070"/>
      <c r="E1442" s="93"/>
      <c r="F1442" s="93"/>
      <c r="G1442" s="835"/>
      <c r="H1442" s="809" t="s">
        <v>2715</v>
      </c>
      <c r="I1442" s="92">
        <v>55</v>
      </c>
      <c r="J1442" s="92" t="s">
        <v>10</v>
      </c>
      <c r="K1442" s="92" t="s">
        <v>707</v>
      </c>
      <c r="L1442" s="810">
        <v>4</v>
      </c>
      <c r="M1442" s="811" t="str">
        <f t="shared" si="119"/>
        <v>High School Level</v>
      </c>
      <c r="N1442" s="92" t="s">
        <v>1208</v>
      </c>
      <c r="O1442" s="812" t="s">
        <v>2971</v>
      </c>
      <c r="P1442" s="1638"/>
      <c r="Q1442" s="812" t="s">
        <v>2971</v>
      </c>
      <c r="U1442" s="813">
        <v>3800</v>
      </c>
      <c r="V1442" s="961"/>
      <c r="W1442" s="815">
        <v>1</v>
      </c>
      <c r="X1442" s="811" t="str">
        <f t="shared" si="118"/>
        <v>within the Brgy</v>
      </c>
      <c r="AA1442" s="816">
        <v>400</v>
      </c>
      <c r="AB1442" s="964"/>
      <c r="AE1442" s="93" t="s">
        <v>9987</v>
      </c>
      <c r="AF1442" s="818">
        <v>1</v>
      </c>
      <c r="AG1442" s="807" t="str">
        <f t="shared" si="117"/>
        <v>Mental disabilities or PWD</v>
      </c>
      <c r="AJ1442" s="865"/>
    </row>
    <row r="1443" spans="1:40" ht="15">
      <c r="D1443" s="1070"/>
      <c r="E1443" s="1046"/>
      <c r="F1443" s="1046"/>
      <c r="G1443" s="835"/>
      <c r="H1443" s="809" t="s">
        <v>9988</v>
      </c>
      <c r="I1443" s="92">
        <v>48</v>
      </c>
      <c r="J1443" s="92" t="s">
        <v>18</v>
      </c>
      <c r="K1443" s="92" t="s">
        <v>707</v>
      </c>
      <c r="L1443" s="810">
        <v>2</v>
      </c>
      <c r="M1443" s="811" t="str">
        <f t="shared" si="119"/>
        <v>Elementary Level</v>
      </c>
      <c r="N1443" s="92" t="s">
        <v>1208</v>
      </c>
      <c r="O1443" s="812" t="s">
        <v>2972</v>
      </c>
      <c r="P1443" s="1638"/>
      <c r="Q1443" s="812" t="s">
        <v>2972</v>
      </c>
      <c r="U1443" s="813">
        <v>7500</v>
      </c>
      <c r="V1443" s="961"/>
      <c r="W1443" s="815">
        <v>1</v>
      </c>
      <c r="X1443" s="811" t="str">
        <f t="shared" si="118"/>
        <v>within the Brgy</v>
      </c>
      <c r="AB1443" s="964"/>
      <c r="AG1443" s="807" t="str">
        <f t="shared" si="117"/>
        <v/>
      </c>
      <c r="AJ1443" s="865"/>
    </row>
    <row r="1444" spans="1:40" ht="15">
      <c r="D1444" s="1069" t="s">
        <v>9986</v>
      </c>
      <c r="G1444" s="809" t="s">
        <v>2709</v>
      </c>
      <c r="H1444" s="809" t="s">
        <v>9989</v>
      </c>
      <c r="I1444" s="92">
        <v>20</v>
      </c>
      <c r="J1444" s="92" t="s">
        <v>10</v>
      </c>
      <c r="K1444" s="92" t="s">
        <v>768</v>
      </c>
      <c r="L1444" s="810">
        <v>4</v>
      </c>
      <c r="M1444" s="811" t="str">
        <f t="shared" si="119"/>
        <v>High School Level</v>
      </c>
      <c r="N1444" s="92" t="s">
        <v>1208</v>
      </c>
      <c r="O1444" s="812" t="s">
        <v>9990</v>
      </c>
      <c r="P1444" s="1638"/>
      <c r="Q1444" s="812" t="s">
        <v>9990</v>
      </c>
      <c r="V1444" s="961"/>
      <c r="W1444" s="815">
        <v>1</v>
      </c>
      <c r="X1444" s="811" t="str">
        <f t="shared" si="118"/>
        <v>within the Brgy</v>
      </c>
      <c r="AB1444" s="964"/>
      <c r="AG1444" s="807" t="str">
        <f t="shared" si="117"/>
        <v/>
      </c>
      <c r="AJ1444" s="865"/>
    </row>
    <row r="1445" spans="1:40" ht="15">
      <c r="D1445" s="1069"/>
      <c r="G1445" s="827"/>
      <c r="H1445" s="809" t="s">
        <v>9991</v>
      </c>
      <c r="I1445" s="92">
        <v>18</v>
      </c>
      <c r="J1445" s="92" t="s">
        <v>18</v>
      </c>
      <c r="K1445" s="92" t="s">
        <v>768</v>
      </c>
      <c r="L1445" s="810">
        <v>6</v>
      </c>
      <c r="M1445" s="811" t="str">
        <f t="shared" si="119"/>
        <v>College Level</v>
      </c>
      <c r="P1445" s="1638"/>
      <c r="R1445" s="92" t="s">
        <v>8234</v>
      </c>
      <c r="S1445" s="813">
        <v>30000</v>
      </c>
      <c r="V1445" s="961">
        <f>SUM(S1441:U1444)</f>
        <v>35300</v>
      </c>
      <c r="X1445" s="811" t="str">
        <f t="shared" si="118"/>
        <v/>
      </c>
      <c r="AB1445" s="964">
        <f>SUM(Y1442:AA1445)</f>
        <v>400</v>
      </c>
      <c r="AG1445" s="807" t="str">
        <f t="shared" si="117"/>
        <v/>
      </c>
      <c r="AJ1445" s="865"/>
    </row>
    <row r="1446" spans="1:40" ht="15">
      <c r="D1446" s="1069"/>
      <c r="G1446" s="827"/>
      <c r="H1446" s="809" t="s">
        <v>2723</v>
      </c>
      <c r="I1446" s="92">
        <v>33</v>
      </c>
      <c r="J1446" s="92" t="s">
        <v>10</v>
      </c>
      <c r="K1446" s="92" t="s">
        <v>707</v>
      </c>
      <c r="L1446" s="810">
        <v>7</v>
      </c>
      <c r="M1446" s="811" t="str">
        <f t="shared" si="119"/>
        <v>College Graduate or Higher</v>
      </c>
      <c r="N1446" s="92" t="s">
        <v>1208</v>
      </c>
      <c r="O1446" s="812" t="s">
        <v>3829</v>
      </c>
      <c r="P1446" s="1638"/>
      <c r="Q1446" s="812" t="s">
        <v>3829</v>
      </c>
      <c r="V1446" s="873"/>
      <c r="W1446" s="815">
        <v>1</v>
      </c>
      <c r="X1446" s="811" t="str">
        <f t="shared" si="118"/>
        <v>within the Brgy</v>
      </c>
      <c r="AB1446" s="873"/>
      <c r="AG1446" s="807" t="str">
        <f t="shared" si="117"/>
        <v/>
      </c>
      <c r="AJ1446" s="865"/>
      <c r="AK1446" s="809" t="s">
        <v>9993</v>
      </c>
      <c r="AL1446" s="92" t="s">
        <v>2223</v>
      </c>
      <c r="AN1446" s="813">
        <v>2500</v>
      </c>
    </row>
    <row r="1447" spans="1:40" ht="15">
      <c r="D1447" s="1069"/>
      <c r="G1447" s="827"/>
      <c r="H1447" s="809" t="s">
        <v>9994</v>
      </c>
      <c r="I1447" s="92">
        <v>33</v>
      </c>
      <c r="J1447" s="92" t="s">
        <v>18</v>
      </c>
      <c r="K1447" s="92" t="s">
        <v>707</v>
      </c>
      <c r="L1447" s="810">
        <v>7</v>
      </c>
      <c r="M1447" s="811" t="str">
        <f t="shared" si="119"/>
        <v>College Graduate or Higher</v>
      </c>
      <c r="P1447" s="1638"/>
      <c r="V1447" s="873"/>
      <c r="X1447" s="811" t="str">
        <f t="shared" si="118"/>
        <v/>
      </c>
      <c r="AB1447" s="873"/>
      <c r="AG1447" s="807" t="str">
        <f t="shared" si="117"/>
        <v/>
      </c>
      <c r="AJ1447" s="865"/>
      <c r="AK1447" s="809" t="s">
        <v>9995</v>
      </c>
      <c r="AL1447" s="92" t="s">
        <v>2223</v>
      </c>
      <c r="AN1447" s="813">
        <v>1500</v>
      </c>
    </row>
    <row r="1448" spans="1:40" ht="15">
      <c r="A1448" s="946"/>
      <c r="B1448" s="292"/>
      <c r="C1448" s="807"/>
      <c r="D1448" s="1069" t="s">
        <v>9992</v>
      </c>
      <c r="E1448" s="514" t="s">
        <v>3828</v>
      </c>
      <c r="F1448" s="1048" t="s">
        <v>2723</v>
      </c>
      <c r="G1448" s="809" t="s">
        <v>3828</v>
      </c>
      <c r="H1448" s="809" t="s">
        <v>9996</v>
      </c>
      <c r="I1448" s="92">
        <v>13</v>
      </c>
      <c r="J1448" s="92" t="s">
        <v>18</v>
      </c>
      <c r="K1448" s="92" t="s">
        <v>768</v>
      </c>
      <c r="L1448" s="810">
        <v>4</v>
      </c>
      <c r="M1448" s="811" t="str">
        <f t="shared" si="119"/>
        <v>High School Level</v>
      </c>
      <c r="P1448" s="1638"/>
      <c r="V1448" s="807"/>
      <c r="X1448" s="811" t="str">
        <f t="shared" si="118"/>
        <v/>
      </c>
      <c r="AB1448" s="807"/>
      <c r="AG1448" s="807" t="str">
        <f t="shared" si="117"/>
        <v/>
      </c>
      <c r="AJ1448" s="865"/>
    </row>
    <row r="1449" spans="1:40" ht="15">
      <c r="A1449" s="946"/>
      <c r="B1449" s="292"/>
      <c r="D1449" s="1069"/>
      <c r="E1449" s="514" t="s">
        <v>3828</v>
      </c>
      <c r="G1449" s="827"/>
      <c r="H1449" s="809" t="s">
        <v>11617</v>
      </c>
      <c r="I1449" s="92">
        <v>18</v>
      </c>
      <c r="J1449" s="92" t="s">
        <v>10</v>
      </c>
      <c r="K1449" s="92" t="s">
        <v>768</v>
      </c>
      <c r="L1449" s="810">
        <v>4</v>
      </c>
      <c r="M1449" s="811" t="str">
        <f t="shared" si="119"/>
        <v>High School Level</v>
      </c>
      <c r="P1449" s="1638"/>
      <c r="V1449" s="873"/>
      <c r="AB1449" s="873"/>
      <c r="AG1449" s="807"/>
      <c r="AJ1449" s="865"/>
    </row>
    <row r="1450" spans="1:40" ht="15">
      <c r="A1450" s="946"/>
      <c r="B1450" s="292"/>
      <c r="D1450" s="1069"/>
      <c r="E1450" s="514" t="s">
        <v>3828</v>
      </c>
      <c r="G1450" s="827"/>
      <c r="H1450" s="809" t="s">
        <v>9995</v>
      </c>
      <c r="I1450" s="92">
        <v>20</v>
      </c>
      <c r="J1450" s="92" t="s">
        <v>10</v>
      </c>
      <c r="K1450" s="92" t="s">
        <v>768</v>
      </c>
      <c r="L1450" s="810">
        <v>4</v>
      </c>
      <c r="M1450" s="811" t="str">
        <f t="shared" si="119"/>
        <v>High School Level</v>
      </c>
      <c r="P1450" s="1638"/>
      <c r="U1450" s="813">
        <v>10000</v>
      </c>
      <c r="V1450" s="873">
        <f>SUM(S1445:U1449)</f>
        <v>30000</v>
      </c>
      <c r="AB1450" s="873">
        <f>SUM(Y1446:AA1450)</f>
        <v>0</v>
      </c>
      <c r="AG1450" s="807"/>
      <c r="AJ1450" s="865"/>
    </row>
    <row r="1451" spans="1:40" ht="15">
      <c r="A1451" s="946"/>
      <c r="B1451" s="292"/>
      <c r="D1451" s="1069"/>
      <c r="E1451" s="514"/>
      <c r="G1451" s="827"/>
      <c r="H1451" s="809" t="s">
        <v>2973</v>
      </c>
      <c r="I1451" s="92">
        <v>67</v>
      </c>
      <c r="J1451" s="92" t="s">
        <v>10</v>
      </c>
      <c r="K1451" s="92" t="s">
        <v>707</v>
      </c>
      <c r="L1451" s="810">
        <v>5</v>
      </c>
      <c r="M1451" s="811" t="str">
        <f t="shared" si="119"/>
        <v>High School Graduate</v>
      </c>
      <c r="N1451" s="92" t="s">
        <v>1208</v>
      </c>
      <c r="O1451" s="812" t="s">
        <v>2974</v>
      </c>
      <c r="P1451" s="1638"/>
      <c r="Q1451" s="812" t="s">
        <v>2974</v>
      </c>
      <c r="V1451" s="828"/>
      <c r="W1451" s="815">
        <v>1</v>
      </c>
      <c r="X1451" s="811" t="str">
        <f t="shared" ref="X1451:X1514" si="120">IF(ISBLANK(W1451)=TRUE,"",LOOKUP(W1451,GO:GP))</f>
        <v>within the Brgy</v>
      </c>
      <c r="AB1451" s="950"/>
      <c r="AD1451" s="817" t="s">
        <v>9998</v>
      </c>
      <c r="AE1451" s="93" t="s">
        <v>9999</v>
      </c>
      <c r="AF1451" s="818">
        <v>4</v>
      </c>
      <c r="AG1451" s="807" t="str">
        <f t="shared" ref="AG1451:AG1514" si="121">IF(ISBLANK(AF1451)=TRUE,"",LOOKUP(AF1451,GS:GT))</f>
        <v>Serious Illness</v>
      </c>
      <c r="AJ1451" s="865"/>
    </row>
    <row r="1452" spans="1:40" ht="15">
      <c r="A1452" s="946"/>
      <c r="B1452" s="292"/>
      <c r="D1452" s="1069"/>
      <c r="E1452" s="514"/>
      <c r="G1452" s="827"/>
      <c r="H1452" s="809" t="s">
        <v>10000</v>
      </c>
      <c r="I1452" s="92">
        <v>65</v>
      </c>
      <c r="J1452" s="92" t="s">
        <v>18</v>
      </c>
      <c r="K1452" s="92" t="s">
        <v>707</v>
      </c>
      <c r="L1452" s="810">
        <v>7</v>
      </c>
      <c r="M1452" s="811" t="str">
        <f t="shared" si="119"/>
        <v>College Graduate or Higher</v>
      </c>
      <c r="P1452" s="1638"/>
      <c r="R1452" s="92" t="s">
        <v>8234</v>
      </c>
      <c r="V1452" s="849">
        <f>SUM(S1450:U1451)</f>
        <v>10000</v>
      </c>
      <c r="X1452" s="811" t="str">
        <f t="shared" si="120"/>
        <v/>
      </c>
      <c r="AB1452" s="950">
        <f>SUM(Y1451:AA1452)</f>
        <v>0</v>
      </c>
      <c r="AD1452" s="817" t="s">
        <v>10001</v>
      </c>
      <c r="AG1452" s="807" t="str">
        <f t="shared" si="121"/>
        <v/>
      </c>
      <c r="AJ1452" s="865"/>
    </row>
    <row r="1453" spans="1:40" ht="15">
      <c r="A1453" s="946"/>
      <c r="D1453" s="1070" t="s">
        <v>9997</v>
      </c>
      <c r="G1453" s="126" t="s">
        <v>3830</v>
      </c>
      <c r="H1453" s="809" t="s">
        <v>3832</v>
      </c>
      <c r="I1453" s="92">
        <v>66</v>
      </c>
      <c r="J1453" s="92" t="s">
        <v>10</v>
      </c>
      <c r="K1453" s="92" t="s">
        <v>707</v>
      </c>
      <c r="L1453" s="810">
        <v>6</v>
      </c>
      <c r="M1453" s="811" t="str">
        <f t="shared" si="119"/>
        <v>College Level</v>
      </c>
      <c r="P1453" s="1638"/>
      <c r="R1453" s="92" t="s">
        <v>8285</v>
      </c>
      <c r="S1453" s="813">
        <v>6000</v>
      </c>
      <c r="V1453" s="961"/>
      <c r="X1453" s="811" t="str">
        <f t="shared" si="120"/>
        <v/>
      </c>
      <c r="AB1453" s="964"/>
      <c r="AD1453" s="817" t="s">
        <v>10003</v>
      </c>
      <c r="AE1453" s="93" t="s">
        <v>10004</v>
      </c>
      <c r="AF1453" s="818">
        <v>3</v>
      </c>
      <c r="AG1453" s="807" t="str">
        <f t="shared" si="121"/>
        <v>Special Medical Care</v>
      </c>
      <c r="AJ1453" s="865"/>
    </row>
    <row r="1454" spans="1:40" ht="15">
      <c r="A1454" s="946"/>
      <c r="D1454" s="1069"/>
      <c r="G1454" s="934"/>
      <c r="H1454" s="809" t="s">
        <v>3831</v>
      </c>
      <c r="I1454" s="92">
        <v>61</v>
      </c>
      <c r="J1454" s="92" t="s">
        <v>18</v>
      </c>
      <c r="K1454" s="92" t="s">
        <v>707</v>
      </c>
      <c r="L1454" s="810">
        <v>7</v>
      </c>
      <c r="M1454" s="811" t="str">
        <f t="shared" si="119"/>
        <v>College Graduate or Higher</v>
      </c>
      <c r="N1454" s="92" t="s">
        <v>1208</v>
      </c>
      <c r="O1454" s="812" t="s">
        <v>1985</v>
      </c>
      <c r="P1454" s="1638"/>
      <c r="Q1454" s="812" t="s">
        <v>1985</v>
      </c>
      <c r="V1454" s="961"/>
      <c r="W1454" s="815">
        <v>2</v>
      </c>
      <c r="X1454" s="811" t="str">
        <f t="shared" si="120"/>
        <v>within the Municipality/City</v>
      </c>
      <c r="Y1454" s="816">
        <f>16*26</f>
        <v>416</v>
      </c>
      <c r="AB1454" s="964"/>
      <c r="AD1454" s="817" t="s">
        <v>10005</v>
      </c>
      <c r="AE1454" s="93" t="s">
        <v>10006</v>
      </c>
      <c r="AF1454" s="818">
        <v>3</v>
      </c>
      <c r="AG1454" s="807" t="str">
        <f t="shared" si="121"/>
        <v>Special Medical Care</v>
      </c>
      <c r="AJ1454" s="865"/>
    </row>
    <row r="1455" spans="1:40" ht="15">
      <c r="A1455" s="925"/>
      <c r="B1455" s="288"/>
      <c r="D1455" s="1071" t="s">
        <v>10002</v>
      </c>
      <c r="G1455" s="841" t="s">
        <v>2733</v>
      </c>
      <c r="H1455" s="809" t="s">
        <v>10007</v>
      </c>
      <c r="I1455" s="92">
        <v>38</v>
      </c>
      <c r="J1455" s="92" t="s">
        <v>10</v>
      </c>
      <c r="K1455" s="92" t="s">
        <v>768</v>
      </c>
      <c r="L1455" s="810">
        <v>7</v>
      </c>
      <c r="M1455" s="811" t="str">
        <f t="shared" si="119"/>
        <v>College Graduate or Higher</v>
      </c>
      <c r="P1455" s="1638"/>
      <c r="R1455" s="92" t="s">
        <v>8234</v>
      </c>
      <c r="S1455" s="813">
        <v>18000</v>
      </c>
      <c r="V1455" s="961">
        <f>SUM(S1452:U1454)</f>
        <v>6000</v>
      </c>
      <c r="X1455" s="811" t="str">
        <f t="shared" si="120"/>
        <v/>
      </c>
      <c r="AB1455" s="962">
        <f>SUM(Y1453:AA1455)</f>
        <v>416</v>
      </c>
      <c r="AG1455" s="807" t="str">
        <f t="shared" si="121"/>
        <v/>
      </c>
      <c r="AJ1455" s="865"/>
    </row>
    <row r="1456" spans="1:40" ht="15">
      <c r="A1456" s="925"/>
      <c r="B1456" s="288"/>
      <c r="D1456" s="1069"/>
      <c r="G1456" s="827"/>
      <c r="H1456" s="809" t="s">
        <v>3833</v>
      </c>
      <c r="I1456" s="92">
        <v>25</v>
      </c>
      <c r="J1456" s="92" t="s">
        <v>18</v>
      </c>
      <c r="K1456" s="92" t="s">
        <v>768</v>
      </c>
      <c r="L1456" s="810">
        <v>6</v>
      </c>
      <c r="M1456" s="811" t="str">
        <f t="shared" si="119"/>
        <v>College Level</v>
      </c>
      <c r="N1456" s="92" t="s">
        <v>1208</v>
      </c>
      <c r="O1456" s="812" t="s">
        <v>2229</v>
      </c>
      <c r="P1456" s="1638"/>
      <c r="Q1456" s="812" t="s">
        <v>2229</v>
      </c>
      <c r="W1456" s="815">
        <v>2</v>
      </c>
      <c r="X1456" s="811" t="str">
        <f t="shared" si="120"/>
        <v>within the Municipality/City</v>
      </c>
      <c r="Y1456" s="816">
        <v>5400</v>
      </c>
      <c r="AB1456" s="940"/>
      <c r="AG1456" s="807" t="str">
        <f t="shared" si="121"/>
        <v/>
      </c>
      <c r="AJ1456" s="865"/>
    </row>
    <row r="1457" spans="1:73" ht="15">
      <c r="A1457" s="925"/>
      <c r="B1457" s="288"/>
      <c r="D1457" s="1069"/>
      <c r="G1457" s="827"/>
      <c r="H1457" s="809" t="s">
        <v>10009</v>
      </c>
      <c r="I1457" s="92">
        <v>9</v>
      </c>
      <c r="J1457" s="92" t="s">
        <v>10</v>
      </c>
      <c r="K1457" s="92" t="s">
        <v>768</v>
      </c>
      <c r="L1457" s="810">
        <v>2</v>
      </c>
      <c r="M1457" s="811" t="str">
        <f t="shared" si="119"/>
        <v>Elementary Level</v>
      </c>
      <c r="P1457" s="1638"/>
      <c r="R1457" s="1053"/>
      <c r="V1457" s="814">
        <f>SUM(S1455:U1456)</f>
        <v>18000</v>
      </c>
      <c r="X1457" s="811" t="str">
        <f t="shared" si="120"/>
        <v/>
      </c>
      <c r="AB1457" s="940">
        <f>SUM(Y1456:AA1457)</f>
        <v>5400</v>
      </c>
      <c r="AG1457" s="807" t="str">
        <f t="shared" si="121"/>
        <v/>
      </c>
      <c r="AJ1457" s="865"/>
    </row>
    <row r="1458" spans="1:73" ht="15">
      <c r="A1458" s="17" t="s">
        <v>7421</v>
      </c>
      <c r="B1458" s="752" t="s">
        <v>7714</v>
      </c>
      <c r="C1458" s="132" t="s">
        <v>2742</v>
      </c>
      <c r="D1458" s="1069" t="s">
        <v>10008</v>
      </c>
      <c r="E1458" s="533" t="s">
        <v>2742</v>
      </c>
      <c r="F1458" s="1048" t="s">
        <v>3833</v>
      </c>
      <c r="G1458" s="809" t="s">
        <v>2742</v>
      </c>
      <c r="H1458" s="809" t="s">
        <v>2757</v>
      </c>
      <c r="I1458" s="92">
        <v>74</v>
      </c>
      <c r="J1458" s="92" t="s">
        <v>18</v>
      </c>
      <c r="K1458" s="92" t="s">
        <v>719</v>
      </c>
      <c r="L1458" s="810">
        <v>3</v>
      </c>
      <c r="M1458" s="811" t="str">
        <f t="shared" si="119"/>
        <v>Elementary Graduate</v>
      </c>
      <c r="P1458" s="1638"/>
      <c r="V1458" s="828"/>
      <c r="X1458" s="811" t="str">
        <f t="shared" si="120"/>
        <v/>
      </c>
      <c r="AB1458" s="953"/>
      <c r="AD1458" s="817" t="s">
        <v>10011</v>
      </c>
      <c r="AE1458" s="92" t="s">
        <v>10012</v>
      </c>
      <c r="AF1458" s="810">
        <v>1</v>
      </c>
      <c r="AG1458" s="807" t="str">
        <f t="shared" si="121"/>
        <v>Mental disabilities or PWD</v>
      </c>
      <c r="AJ1458" s="865"/>
    </row>
    <row r="1459" spans="1:73" ht="15">
      <c r="D1459" s="1069"/>
      <c r="E1459" s="533" t="s">
        <v>2742</v>
      </c>
      <c r="G1459" s="827"/>
      <c r="H1459" s="809" t="s">
        <v>2761</v>
      </c>
      <c r="I1459" s="92">
        <v>42</v>
      </c>
      <c r="J1459" s="92" t="s">
        <v>10</v>
      </c>
      <c r="K1459" s="92" t="s">
        <v>722</v>
      </c>
      <c r="L1459" s="810">
        <v>5</v>
      </c>
      <c r="M1459" s="811" t="str">
        <f t="shared" si="119"/>
        <v>High School Graduate</v>
      </c>
      <c r="P1459" s="1638"/>
      <c r="R1459" s="812" t="s">
        <v>8285</v>
      </c>
      <c r="S1459" s="813">
        <v>10000</v>
      </c>
      <c r="V1459" s="828"/>
      <c r="X1459" s="811" t="str">
        <f t="shared" si="120"/>
        <v/>
      </c>
      <c r="AB1459" s="953"/>
      <c r="AE1459" s="93" t="s">
        <v>10013</v>
      </c>
      <c r="AF1459" s="818">
        <v>3</v>
      </c>
      <c r="AG1459" s="807" t="str">
        <f t="shared" si="121"/>
        <v>Special Medical Care</v>
      </c>
      <c r="AJ1459" s="865"/>
    </row>
    <row r="1460" spans="1:73" ht="15">
      <c r="A1460" s="17" t="s">
        <v>7421</v>
      </c>
      <c r="B1460" s="752" t="s">
        <v>7715</v>
      </c>
      <c r="C1460" s="132" t="s">
        <v>2750</v>
      </c>
      <c r="D1460" s="1069" t="s">
        <v>10010</v>
      </c>
      <c r="E1460" s="533" t="s">
        <v>2750</v>
      </c>
      <c r="F1460" s="1048" t="s">
        <v>2757</v>
      </c>
      <c r="G1460" s="846" t="s">
        <v>2750</v>
      </c>
      <c r="H1460" s="809" t="s">
        <v>10014</v>
      </c>
      <c r="I1460" s="92">
        <v>48</v>
      </c>
      <c r="J1460" s="92" t="s">
        <v>18</v>
      </c>
      <c r="K1460" s="92" t="s">
        <v>722</v>
      </c>
      <c r="L1460" s="810">
        <v>5</v>
      </c>
      <c r="M1460" s="811" t="str">
        <f t="shared" si="119"/>
        <v>High School Graduate</v>
      </c>
      <c r="N1460" s="92" t="s">
        <v>1208</v>
      </c>
      <c r="O1460" s="812" t="s">
        <v>1985</v>
      </c>
      <c r="P1460" s="1638"/>
      <c r="Q1460" s="812" t="s">
        <v>1985</v>
      </c>
      <c r="V1460" s="828"/>
      <c r="W1460" s="815">
        <v>3</v>
      </c>
      <c r="X1460" s="811" t="str">
        <f t="shared" si="120"/>
        <v>within the Province</v>
      </c>
      <c r="Y1460" s="816">
        <v>7500</v>
      </c>
      <c r="AB1460" s="953"/>
      <c r="AG1460" s="807" t="str">
        <f t="shared" si="121"/>
        <v/>
      </c>
      <c r="AJ1460" s="865"/>
    </row>
    <row r="1461" spans="1:73" ht="15">
      <c r="D1461" s="1069"/>
      <c r="E1461" s="533" t="s">
        <v>2750</v>
      </c>
      <c r="G1461" s="827"/>
      <c r="H1461" s="809" t="s">
        <v>10015</v>
      </c>
      <c r="I1461" s="92">
        <v>12</v>
      </c>
      <c r="J1461" s="92" t="s">
        <v>18</v>
      </c>
      <c r="K1461" s="92" t="s">
        <v>768</v>
      </c>
      <c r="L1461" s="810">
        <v>4</v>
      </c>
      <c r="M1461" s="811" t="str">
        <f t="shared" si="119"/>
        <v>High School Level</v>
      </c>
      <c r="P1461" s="1638"/>
      <c r="V1461" s="828"/>
      <c r="X1461" s="811" t="str">
        <f t="shared" si="120"/>
        <v/>
      </c>
      <c r="AB1461" s="953"/>
      <c r="AG1461" s="807" t="str">
        <f t="shared" si="121"/>
        <v/>
      </c>
      <c r="AJ1461" s="865"/>
    </row>
    <row r="1462" spans="1:73" ht="15">
      <c r="D1462" s="1069"/>
      <c r="E1462" s="533" t="s">
        <v>2750</v>
      </c>
      <c r="G1462" s="827"/>
      <c r="H1462" s="809" t="s">
        <v>10016</v>
      </c>
      <c r="I1462" s="92">
        <v>10</v>
      </c>
      <c r="J1462" s="92" t="s">
        <v>10</v>
      </c>
      <c r="K1462" s="92" t="s">
        <v>768</v>
      </c>
      <c r="L1462" s="810">
        <v>2</v>
      </c>
      <c r="M1462" s="811" t="str">
        <f t="shared" ref="M1462:M1493" si="122">IF(ISBLANK(L1462)=TRUE,"",LOOKUP(L1462,GQ:GR))</f>
        <v>Elementary Level</v>
      </c>
      <c r="P1462" s="1638"/>
      <c r="R1462" s="92" t="s">
        <v>8234</v>
      </c>
      <c r="S1462" s="813">
        <v>6000</v>
      </c>
      <c r="V1462" s="828">
        <f>SUM(S1457:U1461)</f>
        <v>10000</v>
      </c>
      <c r="X1462" s="811" t="str">
        <f t="shared" si="120"/>
        <v/>
      </c>
      <c r="AB1462" s="953">
        <f>SUM(Y1458:AA1462)</f>
        <v>7500</v>
      </c>
      <c r="AG1462" s="807" t="str">
        <f t="shared" si="121"/>
        <v/>
      </c>
      <c r="AJ1462" s="865"/>
    </row>
    <row r="1463" spans="1:73" ht="15">
      <c r="D1463" s="1069"/>
      <c r="E1463" s="533" t="s">
        <v>2750</v>
      </c>
      <c r="G1463" s="827"/>
      <c r="H1463" s="809" t="s">
        <v>10018</v>
      </c>
      <c r="I1463" s="92">
        <v>32</v>
      </c>
      <c r="J1463" s="92" t="s">
        <v>18</v>
      </c>
      <c r="K1463" s="92" t="s">
        <v>783</v>
      </c>
      <c r="L1463" s="810">
        <v>3</v>
      </c>
      <c r="M1463" s="811" t="str">
        <f t="shared" si="122"/>
        <v>Elementary Graduate</v>
      </c>
      <c r="N1463" s="92" t="s">
        <v>1208</v>
      </c>
      <c r="O1463" s="812" t="s">
        <v>10019</v>
      </c>
      <c r="P1463" s="1638"/>
      <c r="Q1463" s="812" t="s">
        <v>10019</v>
      </c>
      <c r="V1463" s="961"/>
      <c r="W1463" s="815">
        <v>1</v>
      </c>
      <c r="X1463" s="811" t="str">
        <f t="shared" si="120"/>
        <v>within the Brgy</v>
      </c>
      <c r="AB1463" s="962"/>
      <c r="AE1463" s="767" t="s">
        <v>10020</v>
      </c>
      <c r="AF1463" s="965">
        <v>3</v>
      </c>
      <c r="AG1463" s="807" t="str">
        <f t="shared" si="121"/>
        <v>Special Medical Care</v>
      </c>
      <c r="AJ1463" s="865"/>
    </row>
    <row r="1464" spans="1:73" ht="15">
      <c r="D1464" s="1069"/>
      <c r="E1464" s="533" t="s">
        <v>2750</v>
      </c>
      <c r="G1464" s="827"/>
      <c r="H1464" s="809" t="s">
        <v>10021</v>
      </c>
      <c r="I1464" s="92">
        <v>13</v>
      </c>
      <c r="J1464" s="92" t="s">
        <v>10</v>
      </c>
      <c r="K1464" s="92" t="s">
        <v>768</v>
      </c>
      <c r="L1464" s="810">
        <v>3</v>
      </c>
      <c r="M1464" s="811" t="str">
        <f t="shared" si="122"/>
        <v>Elementary Graduate</v>
      </c>
      <c r="P1464" s="1638"/>
      <c r="V1464" s="961"/>
      <c r="X1464" s="811" t="str">
        <f t="shared" si="120"/>
        <v/>
      </c>
      <c r="AB1464" s="962"/>
      <c r="AG1464" s="807" t="str">
        <f t="shared" si="121"/>
        <v/>
      </c>
      <c r="AJ1464" s="865"/>
    </row>
    <row r="1465" spans="1:73" ht="15">
      <c r="A1465" s="17" t="s">
        <v>7421</v>
      </c>
      <c r="B1465" s="752" t="s">
        <v>7716</v>
      </c>
      <c r="C1465" s="132" t="s">
        <v>2762</v>
      </c>
      <c r="D1465" s="1069" t="s">
        <v>10017</v>
      </c>
      <c r="E1465" s="533" t="s">
        <v>2762</v>
      </c>
      <c r="F1465" s="1048" t="s">
        <v>2771</v>
      </c>
      <c r="G1465" s="809" t="s">
        <v>2762</v>
      </c>
      <c r="H1465" s="809" t="s">
        <v>10022</v>
      </c>
      <c r="I1465" s="92">
        <v>12</v>
      </c>
      <c r="J1465" s="92" t="s">
        <v>10</v>
      </c>
      <c r="K1465" s="92" t="s">
        <v>768</v>
      </c>
      <c r="L1465" s="810">
        <v>2</v>
      </c>
      <c r="M1465" s="811" t="str">
        <f t="shared" si="122"/>
        <v>Elementary Level</v>
      </c>
      <c r="P1465" s="1638"/>
      <c r="V1465" s="961"/>
      <c r="X1465" s="811" t="str">
        <f t="shared" si="120"/>
        <v/>
      </c>
      <c r="AB1465" s="962"/>
      <c r="AG1465" s="807" t="str">
        <f t="shared" si="121"/>
        <v/>
      </c>
      <c r="AJ1465" s="865"/>
    </row>
    <row r="1466" spans="1:73" ht="15">
      <c r="D1466" s="1069"/>
      <c r="E1466" s="533" t="s">
        <v>2762</v>
      </c>
      <c r="G1466" s="827"/>
      <c r="H1466" s="809" t="s">
        <v>10023</v>
      </c>
      <c r="I1466" s="92">
        <v>11</v>
      </c>
      <c r="J1466" s="92" t="s">
        <v>18</v>
      </c>
      <c r="K1466" s="92" t="s">
        <v>768</v>
      </c>
      <c r="L1466" s="810">
        <v>2</v>
      </c>
      <c r="M1466" s="811" t="str">
        <f t="shared" si="122"/>
        <v>Elementary Level</v>
      </c>
      <c r="P1466" s="1638"/>
      <c r="V1466" s="961"/>
      <c r="X1466" s="811" t="str">
        <f t="shared" si="120"/>
        <v/>
      </c>
      <c r="AB1466" s="962"/>
      <c r="AG1466" s="807" t="str">
        <f t="shared" si="121"/>
        <v/>
      </c>
      <c r="AJ1466" s="865"/>
    </row>
    <row r="1467" spans="1:73" ht="15">
      <c r="D1467" s="1069"/>
      <c r="E1467" s="533" t="s">
        <v>2762</v>
      </c>
      <c r="G1467" s="827"/>
      <c r="H1467" s="809" t="s">
        <v>10024</v>
      </c>
      <c r="I1467" s="92">
        <v>3</v>
      </c>
      <c r="J1467" s="92" t="s">
        <v>10</v>
      </c>
      <c r="K1467" s="92" t="s">
        <v>768</v>
      </c>
      <c r="L1467" s="810">
        <v>10</v>
      </c>
      <c r="M1467" s="811" t="str">
        <f t="shared" si="122"/>
        <v>Not In School Age</v>
      </c>
      <c r="P1467" s="1638"/>
      <c r="R1467" s="92" t="s">
        <v>8234</v>
      </c>
      <c r="U1467" s="813">
        <v>10000</v>
      </c>
      <c r="V1467" s="961">
        <f>SUM(S1462:U1466)</f>
        <v>6000</v>
      </c>
      <c r="X1467" s="811" t="str">
        <f t="shared" si="120"/>
        <v/>
      </c>
      <c r="AB1467" s="962">
        <f>SUM(Y1463:AA1467)</f>
        <v>0</v>
      </c>
      <c r="AG1467" s="807" t="str">
        <f t="shared" si="121"/>
        <v/>
      </c>
      <c r="AJ1467" s="865"/>
    </row>
    <row r="1468" spans="1:73" ht="15">
      <c r="D1468" s="1069"/>
      <c r="E1468" s="533" t="s">
        <v>2762</v>
      </c>
      <c r="G1468" s="827"/>
      <c r="H1468" s="809" t="s">
        <v>3834</v>
      </c>
      <c r="I1468" s="92">
        <v>33</v>
      </c>
      <c r="J1468" s="92" t="s">
        <v>10</v>
      </c>
      <c r="K1468" s="92" t="s">
        <v>722</v>
      </c>
      <c r="L1468" s="810">
        <v>5</v>
      </c>
      <c r="M1468" s="811" t="str">
        <f t="shared" si="122"/>
        <v>High School Graduate</v>
      </c>
      <c r="N1468" s="92" t="s">
        <v>1208</v>
      </c>
      <c r="O1468" s="812" t="s">
        <v>2220</v>
      </c>
      <c r="P1468" s="1638"/>
      <c r="Q1468" s="812" t="s">
        <v>2220</v>
      </c>
      <c r="W1468" s="815">
        <v>1</v>
      </c>
      <c r="X1468" s="811" t="str">
        <f t="shared" si="120"/>
        <v>within the Brgy</v>
      </c>
      <c r="AB1468" s="940"/>
      <c r="AE1468" s="767" t="s">
        <v>10026</v>
      </c>
      <c r="AF1468" s="965">
        <v>3</v>
      </c>
      <c r="AG1468" s="807" t="str">
        <f t="shared" si="121"/>
        <v>Special Medical Care</v>
      </c>
      <c r="AJ1468" s="865"/>
      <c r="BU1468" s="807">
        <v>1</v>
      </c>
    </row>
    <row r="1469" spans="1:73" ht="15">
      <c r="A1469" s="946"/>
      <c r="B1469" s="292"/>
      <c r="D1469" s="1069"/>
      <c r="E1469" s="533" t="s">
        <v>2762</v>
      </c>
      <c r="G1469" s="827"/>
      <c r="H1469" s="809" t="s">
        <v>10027</v>
      </c>
      <c r="I1469" s="92">
        <v>25</v>
      </c>
      <c r="J1469" s="92" t="s">
        <v>18</v>
      </c>
      <c r="K1469" s="92" t="s">
        <v>722</v>
      </c>
      <c r="L1469" s="810">
        <v>3</v>
      </c>
      <c r="M1469" s="811" t="str">
        <f t="shared" si="122"/>
        <v>Elementary Graduate</v>
      </c>
      <c r="P1469" s="1638"/>
      <c r="X1469" s="811" t="str">
        <f t="shared" si="120"/>
        <v/>
      </c>
      <c r="AB1469" s="940"/>
      <c r="AG1469" s="807" t="str">
        <f t="shared" si="121"/>
        <v/>
      </c>
      <c r="AJ1469" s="865"/>
    </row>
    <row r="1470" spans="1:73" ht="15">
      <c r="A1470" s="17" t="s">
        <v>7421</v>
      </c>
      <c r="B1470" s="752" t="s">
        <v>7717</v>
      </c>
      <c r="C1470" s="132" t="s">
        <v>2772</v>
      </c>
      <c r="D1470" s="1069" t="s">
        <v>10025</v>
      </c>
      <c r="E1470" s="533" t="s">
        <v>2772</v>
      </c>
      <c r="F1470" s="1048" t="s">
        <v>3834</v>
      </c>
      <c r="G1470" s="809" t="s">
        <v>2772</v>
      </c>
      <c r="H1470" s="809" t="s">
        <v>10028</v>
      </c>
      <c r="I1470" s="92">
        <v>6</v>
      </c>
      <c r="J1470" s="92" t="s">
        <v>10</v>
      </c>
      <c r="K1470" s="92" t="s">
        <v>768</v>
      </c>
      <c r="L1470" s="810">
        <v>2</v>
      </c>
      <c r="M1470" s="811" t="str">
        <f t="shared" si="122"/>
        <v>Elementary Level</v>
      </c>
      <c r="P1470" s="1638"/>
      <c r="X1470" s="811" t="str">
        <f t="shared" si="120"/>
        <v/>
      </c>
      <c r="AB1470" s="940"/>
      <c r="AG1470" s="807" t="str">
        <f t="shared" si="121"/>
        <v/>
      </c>
      <c r="AJ1470" s="865"/>
    </row>
    <row r="1471" spans="1:73" ht="15">
      <c r="D1471" s="1069"/>
      <c r="E1471" s="533" t="s">
        <v>2772</v>
      </c>
      <c r="G1471" s="827"/>
      <c r="H1471" s="809" t="s">
        <v>10029</v>
      </c>
      <c r="I1471" s="92">
        <v>2</v>
      </c>
      <c r="J1471" s="92" t="s">
        <v>10</v>
      </c>
      <c r="K1471" s="92" t="s">
        <v>768</v>
      </c>
      <c r="L1471" s="810">
        <v>10</v>
      </c>
      <c r="M1471" s="811" t="str">
        <f t="shared" si="122"/>
        <v>Not In School Age</v>
      </c>
      <c r="P1471" s="1638"/>
      <c r="X1471" s="811" t="str">
        <f t="shared" si="120"/>
        <v/>
      </c>
      <c r="AB1471" s="940"/>
      <c r="AG1471" s="807" t="str">
        <f t="shared" si="121"/>
        <v/>
      </c>
      <c r="AJ1471" s="865"/>
    </row>
    <row r="1472" spans="1:73" ht="15">
      <c r="D1472" s="1069"/>
      <c r="E1472" s="533" t="s">
        <v>2772</v>
      </c>
      <c r="G1472" s="827"/>
      <c r="H1472" s="809" t="s">
        <v>10030</v>
      </c>
      <c r="I1472" s="92">
        <f>3/12</f>
        <v>0.25</v>
      </c>
      <c r="J1472" s="92" t="s">
        <v>10</v>
      </c>
      <c r="K1472" s="92" t="s">
        <v>768</v>
      </c>
      <c r="L1472" s="810">
        <v>10</v>
      </c>
      <c r="M1472" s="811" t="str">
        <f t="shared" si="122"/>
        <v>Not In School Age</v>
      </c>
      <c r="P1472" s="1638"/>
      <c r="R1472" s="92" t="s">
        <v>8234</v>
      </c>
      <c r="S1472" s="813">
        <v>14500</v>
      </c>
      <c r="V1472" s="814">
        <f>SUM(S1467:U1471)</f>
        <v>10000</v>
      </c>
      <c r="X1472" s="811" t="str">
        <f t="shared" si="120"/>
        <v/>
      </c>
      <c r="AB1472" s="940">
        <f>SUM(Y1468:AA1472)</f>
        <v>0</v>
      </c>
      <c r="AG1472" s="807" t="str">
        <f t="shared" si="121"/>
        <v/>
      </c>
      <c r="AJ1472" s="865"/>
    </row>
    <row r="1473" spans="1:104" ht="15">
      <c r="A1473" s="946"/>
      <c r="B1473" s="292"/>
      <c r="D1473" s="1069"/>
      <c r="E1473" s="533" t="s">
        <v>2772</v>
      </c>
      <c r="G1473" s="827"/>
      <c r="H1473" s="809" t="s">
        <v>2796</v>
      </c>
      <c r="I1473" s="92">
        <v>36</v>
      </c>
      <c r="J1473" s="92" t="s">
        <v>10</v>
      </c>
      <c r="K1473" s="92" t="s">
        <v>722</v>
      </c>
      <c r="L1473" s="810">
        <v>4</v>
      </c>
      <c r="M1473" s="811" t="str">
        <f t="shared" si="122"/>
        <v>High School Level</v>
      </c>
      <c r="N1473" s="92" t="s">
        <v>1208</v>
      </c>
      <c r="O1473" s="812" t="s">
        <v>10032</v>
      </c>
      <c r="P1473" s="1638"/>
      <c r="Q1473" s="812" t="s">
        <v>10032</v>
      </c>
      <c r="R1473" s="812" t="s">
        <v>10434</v>
      </c>
      <c r="U1473" s="813">
        <v>2000</v>
      </c>
      <c r="V1473" s="828"/>
      <c r="W1473" s="815">
        <v>1</v>
      </c>
      <c r="X1473" s="811" t="str">
        <f t="shared" si="120"/>
        <v>within the Brgy</v>
      </c>
      <c r="AB1473" s="953"/>
      <c r="AG1473" s="807" t="str">
        <f t="shared" si="121"/>
        <v/>
      </c>
      <c r="AJ1473" s="865"/>
      <c r="BU1473" s="807">
        <v>1</v>
      </c>
      <c r="CW1473" s="807">
        <v>2</v>
      </c>
      <c r="CZ1473" s="807">
        <v>3</v>
      </c>
    </row>
    <row r="1474" spans="1:104" ht="15">
      <c r="A1474" s="946"/>
      <c r="B1474" s="292"/>
      <c r="D1474" s="1069"/>
      <c r="E1474" s="533" t="s">
        <v>2772</v>
      </c>
      <c r="G1474" s="827"/>
      <c r="H1474" s="809" t="s">
        <v>2795</v>
      </c>
      <c r="I1474" s="92">
        <v>30</v>
      </c>
      <c r="J1474" s="92" t="s">
        <v>18</v>
      </c>
      <c r="K1474" s="92" t="s">
        <v>722</v>
      </c>
      <c r="L1474" s="810">
        <v>5</v>
      </c>
      <c r="M1474" s="811" t="str">
        <f t="shared" si="122"/>
        <v>High School Graduate</v>
      </c>
      <c r="N1474" s="92" t="s">
        <v>1208</v>
      </c>
      <c r="O1474" s="812" t="s">
        <v>1909</v>
      </c>
      <c r="P1474" s="1638"/>
      <c r="Q1474" s="812" t="s">
        <v>1909</v>
      </c>
      <c r="V1474" s="828"/>
      <c r="W1474" s="815">
        <v>1</v>
      </c>
      <c r="X1474" s="811" t="str">
        <f t="shared" si="120"/>
        <v>within the Brgy</v>
      </c>
      <c r="AB1474" s="953"/>
      <c r="AG1474" s="807" t="str">
        <f t="shared" si="121"/>
        <v/>
      </c>
      <c r="AJ1474" s="865"/>
    </row>
    <row r="1475" spans="1:104" ht="15">
      <c r="A1475" s="17" t="s">
        <v>7421</v>
      </c>
      <c r="B1475" s="752" t="s">
        <v>7894</v>
      </c>
      <c r="C1475" s="133" t="s">
        <v>2787</v>
      </c>
      <c r="D1475" s="1069" t="s">
        <v>10031</v>
      </c>
      <c r="E1475" s="514" t="s">
        <v>2787</v>
      </c>
      <c r="F1475" s="1048" t="s">
        <v>2796</v>
      </c>
      <c r="G1475" s="809" t="s">
        <v>2787</v>
      </c>
      <c r="H1475" s="809" t="s">
        <v>10033</v>
      </c>
      <c r="I1475" s="92">
        <v>12</v>
      </c>
      <c r="J1475" s="92" t="s">
        <v>18</v>
      </c>
      <c r="K1475" s="92" t="s">
        <v>768</v>
      </c>
      <c r="L1475" s="810">
        <v>3</v>
      </c>
      <c r="M1475" s="811" t="str">
        <f t="shared" si="122"/>
        <v>Elementary Graduate</v>
      </c>
      <c r="P1475" s="1638"/>
      <c r="V1475" s="828">
        <f>SUM(S1472:U1474)</f>
        <v>16500</v>
      </c>
      <c r="X1475" s="811" t="str">
        <f t="shared" si="120"/>
        <v/>
      </c>
      <c r="AB1475" s="953">
        <f>SUM(Y1473:AA1475)</f>
        <v>0</v>
      </c>
      <c r="AG1475" s="807" t="str">
        <f t="shared" si="121"/>
        <v/>
      </c>
      <c r="AJ1475" s="865"/>
    </row>
    <row r="1476" spans="1:104" ht="15">
      <c r="A1476" s="946"/>
      <c r="B1476" s="292"/>
      <c r="D1476" s="1069"/>
      <c r="E1476" s="514" t="s">
        <v>2787</v>
      </c>
      <c r="G1476" s="827"/>
      <c r="H1476" s="809" t="s">
        <v>3835</v>
      </c>
      <c r="I1476" s="92">
        <v>77</v>
      </c>
      <c r="J1476" s="92" t="s">
        <v>18</v>
      </c>
      <c r="K1476" s="92" t="s">
        <v>707</v>
      </c>
      <c r="L1476" s="810">
        <v>5</v>
      </c>
      <c r="M1476" s="811" t="str">
        <f t="shared" si="122"/>
        <v>High School Graduate</v>
      </c>
      <c r="P1476" s="1638"/>
      <c r="S1476" s="813">
        <v>2000</v>
      </c>
      <c r="V1476" s="961"/>
      <c r="X1476" s="811" t="str">
        <f t="shared" si="120"/>
        <v/>
      </c>
      <c r="AB1476" s="962"/>
      <c r="AD1476" s="817" t="s">
        <v>10035</v>
      </c>
      <c r="AE1476" s="93" t="s">
        <v>10036</v>
      </c>
      <c r="AF1476" s="818">
        <v>3</v>
      </c>
      <c r="AG1476" s="807" t="str">
        <f t="shared" si="121"/>
        <v>Special Medical Care</v>
      </c>
      <c r="AJ1476" s="865"/>
    </row>
    <row r="1477" spans="1:104" ht="15">
      <c r="A1477" s="946"/>
      <c r="B1477" s="292"/>
      <c r="D1477" s="1069"/>
      <c r="E1477" s="514" t="s">
        <v>2787</v>
      </c>
      <c r="G1477" s="827"/>
      <c r="H1477" s="809" t="s">
        <v>10037</v>
      </c>
      <c r="I1477" s="92">
        <v>41</v>
      </c>
      <c r="J1477" s="92" t="s">
        <v>10</v>
      </c>
      <c r="K1477" s="92" t="s">
        <v>722</v>
      </c>
      <c r="L1477" s="810">
        <v>7</v>
      </c>
      <c r="M1477" s="811" t="str">
        <f t="shared" si="122"/>
        <v>College Graduate or Higher</v>
      </c>
      <c r="N1477" s="92" t="s">
        <v>1208</v>
      </c>
      <c r="O1477" s="812" t="s">
        <v>10038</v>
      </c>
      <c r="P1477" s="1638"/>
      <c r="Q1477" s="812" t="s">
        <v>10038</v>
      </c>
      <c r="S1477" s="813">
        <v>30000</v>
      </c>
      <c r="V1477" s="961"/>
      <c r="W1477" s="815">
        <v>3</v>
      </c>
      <c r="X1477" s="811" t="str">
        <f t="shared" si="120"/>
        <v>within the Province</v>
      </c>
      <c r="Y1477" s="816">
        <v>150</v>
      </c>
      <c r="AB1477" s="962"/>
      <c r="AD1477" s="817" t="s">
        <v>10039</v>
      </c>
      <c r="AE1477" s="92"/>
      <c r="AF1477" s="810"/>
      <c r="AG1477" s="807" t="str">
        <f t="shared" si="121"/>
        <v/>
      </c>
      <c r="AJ1477" s="865"/>
    </row>
    <row r="1478" spans="1:104" ht="15">
      <c r="D1478" s="1069" t="s">
        <v>10034</v>
      </c>
      <c r="G1478" s="846" t="s">
        <v>2797</v>
      </c>
      <c r="H1478" s="809" t="s">
        <v>10040</v>
      </c>
      <c r="I1478" s="92">
        <v>29</v>
      </c>
      <c r="J1478" s="92" t="s">
        <v>18</v>
      </c>
      <c r="K1478" s="92" t="s">
        <v>722</v>
      </c>
      <c r="L1478" s="810">
        <v>7</v>
      </c>
      <c r="M1478" s="811" t="str">
        <f t="shared" si="122"/>
        <v>College Graduate or Higher</v>
      </c>
      <c r="N1478" s="92" t="s">
        <v>1208</v>
      </c>
      <c r="O1478" s="812" t="s">
        <v>3337</v>
      </c>
      <c r="P1478" s="1638"/>
      <c r="Q1478" s="812" t="s">
        <v>3337</v>
      </c>
      <c r="V1478" s="961"/>
      <c r="W1478" s="815">
        <v>3</v>
      </c>
      <c r="X1478" s="811" t="str">
        <f t="shared" si="120"/>
        <v>within the Province</v>
      </c>
      <c r="Y1478" s="816">
        <v>200</v>
      </c>
      <c r="AB1478" s="962"/>
      <c r="AG1478" s="807" t="str">
        <f t="shared" si="121"/>
        <v/>
      </c>
      <c r="AJ1478" s="865"/>
    </row>
    <row r="1479" spans="1:104" ht="15">
      <c r="D1479" s="1069"/>
      <c r="G1479" s="827"/>
      <c r="H1479" s="809" t="s">
        <v>10041</v>
      </c>
      <c r="I1479" s="92">
        <v>18</v>
      </c>
      <c r="J1479" s="92" t="s">
        <v>18</v>
      </c>
      <c r="K1479" s="92" t="s">
        <v>768</v>
      </c>
      <c r="L1479" s="810">
        <v>6</v>
      </c>
      <c r="M1479" s="811" t="str">
        <f t="shared" si="122"/>
        <v>College Level</v>
      </c>
      <c r="P1479" s="1638"/>
      <c r="V1479" s="961"/>
      <c r="X1479" s="811" t="str">
        <f t="shared" si="120"/>
        <v/>
      </c>
      <c r="AB1479" s="962"/>
      <c r="AG1479" s="807" t="str">
        <f t="shared" si="121"/>
        <v/>
      </c>
      <c r="AJ1479" s="865"/>
    </row>
    <row r="1480" spans="1:104" ht="15">
      <c r="D1480" s="1069"/>
      <c r="G1480" s="827"/>
      <c r="H1480" s="809" t="s">
        <v>10042</v>
      </c>
      <c r="I1480" s="92">
        <v>4</v>
      </c>
      <c r="J1480" s="92" t="s">
        <v>18</v>
      </c>
      <c r="K1480" s="92" t="s">
        <v>768</v>
      </c>
      <c r="L1480" s="810">
        <v>1</v>
      </c>
      <c r="M1480" s="811" t="str">
        <f t="shared" si="122"/>
        <v>Pre-school</v>
      </c>
      <c r="P1480" s="1638"/>
      <c r="V1480" s="961"/>
      <c r="X1480" s="811" t="str">
        <f t="shared" si="120"/>
        <v/>
      </c>
      <c r="AB1480" s="962"/>
      <c r="AG1480" s="807" t="str">
        <f t="shared" si="121"/>
        <v/>
      </c>
      <c r="AJ1480" s="865"/>
    </row>
    <row r="1481" spans="1:104" ht="15">
      <c r="D1481" s="1069"/>
      <c r="G1481" s="827"/>
      <c r="H1481" s="809" t="s">
        <v>10043</v>
      </c>
      <c r="I1481" s="92">
        <v>48</v>
      </c>
      <c r="J1481" s="92" t="s">
        <v>18</v>
      </c>
      <c r="K1481" s="92" t="s">
        <v>707</v>
      </c>
      <c r="L1481" s="810">
        <v>7</v>
      </c>
      <c r="M1481" s="811" t="str">
        <f t="shared" si="122"/>
        <v>College Graduate or Higher</v>
      </c>
      <c r="P1481" s="1638"/>
      <c r="S1481" s="813">
        <v>20000</v>
      </c>
      <c r="V1481" s="961"/>
      <c r="X1481" s="811" t="str">
        <f t="shared" si="120"/>
        <v/>
      </c>
      <c r="AB1481" s="962"/>
      <c r="AG1481" s="807" t="str">
        <f t="shared" si="121"/>
        <v/>
      </c>
      <c r="AJ1481" s="865"/>
    </row>
    <row r="1482" spans="1:104" ht="15">
      <c r="D1482" s="1069"/>
      <c r="G1482" s="827"/>
      <c r="H1482" s="809" t="s">
        <v>10044</v>
      </c>
      <c r="I1482" s="92">
        <v>38</v>
      </c>
      <c r="J1482" s="92" t="s">
        <v>10</v>
      </c>
      <c r="K1482" s="92" t="s">
        <v>707</v>
      </c>
      <c r="L1482" s="810">
        <v>7</v>
      </c>
      <c r="M1482" s="811" t="str">
        <f t="shared" si="122"/>
        <v>College Graduate or Higher</v>
      </c>
      <c r="N1482" s="92" t="s">
        <v>1208</v>
      </c>
      <c r="O1482" s="812" t="s">
        <v>8685</v>
      </c>
      <c r="P1482" s="1638"/>
      <c r="Q1482" s="812" t="s">
        <v>8685</v>
      </c>
      <c r="V1482" s="961"/>
      <c r="W1482" s="815">
        <v>3</v>
      </c>
      <c r="X1482" s="811" t="str">
        <f t="shared" si="120"/>
        <v>within the Province</v>
      </c>
      <c r="Y1482" s="816">
        <v>200</v>
      </c>
      <c r="AB1482" s="962"/>
      <c r="AG1482" s="807" t="str">
        <f t="shared" si="121"/>
        <v/>
      </c>
      <c r="AJ1482" s="865"/>
    </row>
    <row r="1483" spans="1:104" ht="15">
      <c r="D1483" s="1069"/>
      <c r="G1483" s="827"/>
      <c r="H1483" s="809" t="s">
        <v>10045</v>
      </c>
      <c r="I1483" s="92">
        <v>16</v>
      </c>
      <c r="J1483" s="92" t="s">
        <v>10</v>
      </c>
      <c r="K1483" s="92" t="s">
        <v>768</v>
      </c>
      <c r="L1483" s="810">
        <v>4</v>
      </c>
      <c r="M1483" s="811" t="str">
        <f t="shared" si="122"/>
        <v>High School Level</v>
      </c>
      <c r="P1483" s="1638"/>
      <c r="V1483" s="961"/>
      <c r="X1483" s="811" t="str">
        <f t="shared" si="120"/>
        <v/>
      </c>
      <c r="AB1483" s="962"/>
      <c r="AG1483" s="807" t="str">
        <f t="shared" si="121"/>
        <v/>
      </c>
      <c r="AJ1483" s="865"/>
    </row>
    <row r="1484" spans="1:104" ht="15">
      <c r="D1484" s="1069"/>
      <c r="G1484" s="827"/>
      <c r="H1484" s="809" t="s">
        <v>10046</v>
      </c>
      <c r="I1484" s="92">
        <v>7</v>
      </c>
      <c r="J1484" s="92" t="s">
        <v>18</v>
      </c>
      <c r="K1484" s="92" t="s">
        <v>768</v>
      </c>
      <c r="L1484" s="810">
        <v>2</v>
      </c>
      <c r="M1484" s="811" t="str">
        <f t="shared" si="122"/>
        <v>Elementary Level</v>
      </c>
      <c r="P1484" s="1638"/>
      <c r="V1484" s="961"/>
      <c r="X1484" s="811" t="str">
        <f t="shared" si="120"/>
        <v/>
      </c>
      <c r="AB1484" s="962"/>
      <c r="AG1484" s="807" t="str">
        <f t="shared" si="121"/>
        <v/>
      </c>
      <c r="AJ1484" s="865"/>
    </row>
    <row r="1485" spans="1:104" ht="15">
      <c r="D1485" s="1069"/>
      <c r="G1485" s="827"/>
      <c r="H1485" s="809" t="s">
        <v>10047</v>
      </c>
      <c r="I1485" s="92">
        <v>63</v>
      </c>
      <c r="J1485" s="92" t="s">
        <v>18</v>
      </c>
      <c r="K1485" s="92" t="s">
        <v>719</v>
      </c>
      <c r="L1485" s="810">
        <v>3</v>
      </c>
      <c r="M1485" s="811" t="str">
        <f t="shared" si="122"/>
        <v>Elementary Graduate</v>
      </c>
      <c r="P1485" s="1638"/>
      <c r="V1485" s="961"/>
      <c r="X1485" s="811" t="str">
        <f t="shared" si="120"/>
        <v/>
      </c>
      <c r="AB1485" s="962"/>
      <c r="AG1485" s="807" t="str">
        <f t="shared" si="121"/>
        <v/>
      </c>
      <c r="AJ1485" s="865"/>
    </row>
    <row r="1486" spans="1:104" ht="15">
      <c r="D1486" s="1069"/>
      <c r="G1486" s="827"/>
      <c r="H1486" s="809" t="s">
        <v>10048</v>
      </c>
      <c r="I1486" s="92">
        <v>16</v>
      </c>
      <c r="J1486" s="92" t="s">
        <v>10</v>
      </c>
      <c r="K1486" s="92" t="s">
        <v>768</v>
      </c>
      <c r="L1486" s="810">
        <v>4</v>
      </c>
      <c r="M1486" s="811" t="str">
        <f t="shared" si="122"/>
        <v>High School Level</v>
      </c>
      <c r="P1486" s="1638"/>
      <c r="V1486" s="961"/>
      <c r="X1486" s="811" t="str">
        <f t="shared" si="120"/>
        <v/>
      </c>
      <c r="AB1486" s="962"/>
      <c r="AG1486" s="807" t="str">
        <f t="shared" si="121"/>
        <v/>
      </c>
      <c r="AJ1486" s="865"/>
    </row>
    <row r="1487" spans="1:104" ht="15">
      <c r="D1487" s="1069"/>
      <c r="G1487" s="827"/>
      <c r="H1487" s="809" t="s">
        <v>10049</v>
      </c>
      <c r="I1487" s="92">
        <v>34</v>
      </c>
      <c r="J1487" s="92" t="s">
        <v>18</v>
      </c>
      <c r="K1487" s="92" t="s">
        <v>722</v>
      </c>
      <c r="L1487" s="810">
        <v>5</v>
      </c>
      <c r="M1487" s="811" t="str">
        <f t="shared" si="122"/>
        <v>High School Graduate</v>
      </c>
      <c r="P1487" s="1638"/>
      <c r="S1487" s="813">
        <v>5000</v>
      </c>
      <c r="V1487" s="961">
        <f>SUM(S1475:U1486)</f>
        <v>52000</v>
      </c>
      <c r="X1487" s="811" t="str">
        <f t="shared" si="120"/>
        <v/>
      </c>
      <c r="AB1487" s="962">
        <f>SUM(Y1476:AA1487)</f>
        <v>550</v>
      </c>
      <c r="AG1487" s="807" t="str">
        <f t="shared" si="121"/>
        <v/>
      </c>
      <c r="AJ1487" s="865"/>
    </row>
    <row r="1488" spans="1:104" ht="15">
      <c r="D1488" s="1069"/>
      <c r="G1488" s="827"/>
      <c r="H1488" s="809" t="s">
        <v>3836</v>
      </c>
      <c r="I1488" s="92">
        <v>35</v>
      </c>
      <c r="J1488" s="92" t="s">
        <v>10</v>
      </c>
      <c r="K1488" s="92" t="s">
        <v>707</v>
      </c>
      <c r="L1488" s="810">
        <v>5</v>
      </c>
      <c r="M1488" s="811" t="str">
        <f t="shared" si="122"/>
        <v>High School Graduate</v>
      </c>
      <c r="N1488" s="92" t="s">
        <v>1208</v>
      </c>
      <c r="O1488" s="812" t="s">
        <v>3837</v>
      </c>
      <c r="P1488" s="1638"/>
      <c r="Q1488" s="812" t="s">
        <v>3837</v>
      </c>
      <c r="W1488" s="815">
        <v>1</v>
      </c>
      <c r="X1488" s="811" t="str">
        <f t="shared" si="120"/>
        <v>within the Brgy</v>
      </c>
      <c r="AB1488" s="940"/>
      <c r="AG1488" s="807" t="str">
        <f t="shared" si="121"/>
        <v/>
      </c>
      <c r="AJ1488" s="865"/>
    </row>
    <row r="1489" spans="1:39" ht="15">
      <c r="D1489" s="1069"/>
      <c r="G1489" s="827"/>
      <c r="H1489" s="809" t="s">
        <v>10051</v>
      </c>
      <c r="I1489" s="92">
        <v>29</v>
      </c>
      <c r="J1489" s="92" t="s">
        <v>18</v>
      </c>
      <c r="K1489" s="92" t="s">
        <v>707</v>
      </c>
      <c r="L1489" s="810">
        <v>5</v>
      </c>
      <c r="M1489" s="811" t="str">
        <f t="shared" si="122"/>
        <v>High School Graduate</v>
      </c>
      <c r="P1489" s="1638"/>
      <c r="X1489" s="811" t="str">
        <f t="shared" si="120"/>
        <v/>
      </c>
      <c r="AB1489" s="940"/>
      <c r="AG1489" s="807" t="str">
        <f t="shared" si="121"/>
        <v/>
      </c>
      <c r="AJ1489" s="865"/>
    </row>
    <row r="1490" spans="1:39" ht="15">
      <c r="D1490" s="1070" t="s">
        <v>10050</v>
      </c>
      <c r="E1490" s="1046"/>
      <c r="F1490" s="1046"/>
      <c r="H1490" s="809" t="s">
        <v>10052</v>
      </c>
      <c r="I1490" s="930">
        <f>10/12</f>
        <v>0.83333333333333337</v>
      </c>
      <c r="J1490" s="92" t="s">
        <v>18</v>
      </c>
      <c r="K1490" s="92" t="s">
        <v>768</v>
      </c>
      <c r="L1490" s="810">
        <v>10</v>
      </c>
      <c r="M1490" s="811" t="str">
        <f t="shared" si="122"/>
        <v>Not In School Age</v>
      </c>
      <c r="P1490" s="1638"/>
      <c r="R1490" s="92" t="s">
        <v>8234</v>
      </c>
      <c r="S1490" s="813">
        <v>6500</v>
      </c>
      <c r="V1490" s="814">
        <f>SUM(S1487:U1489)</f>
        <v>5000</v>
      </c>
      <c r="X1490" s="811" t="str">
        <f t="shared" si="120"/>
        <v/>
      </c>
      <c r="AB1490" s="940">
        <f>SUM(Y1488:AA1490)</f>
        <v>0</v>
      </c>
      <c r="AG1490" s="807" t="str">
        <f t="shared" si="121"/>
        <v/>
      </c>
      <c r="AJ1490" s="865"/>
    </row>
    <row r="1491" spans="1:39" ht="15">
      <c r="D1491" s="1069"/>
      <c r="G1491" s="827"/>
      <c r="H1491" s="809" t="s">
        <v>3838</v>
      </c>
      <c r="I1491" s="92">
        <v>35</v>
      </c>
      <c r="J1491" s="92" t="s">
        <v>10</v>
      </c>
      <c r="K1491" s="92" t="s">
        <v>722</v>
      </c>
      <c r="L1491" s="810">
        <v>6</v>
      </c>
      <c r="M1491" s="811" t="str">
        <f t="shared" si="122"/>
        <v>College Level</v>
      </c>
      <c r="N1491" s="92" t="s">
        <v>1208</v>
      </c>
      <c r="O1491" s="812" t="s">
        <v>10054</v>
      </c>
      <c r="P1491" s="1638"/>
      <c r="Q1491" s="812" t="s">
        <v>10054</v>
      </c>
      <c r="V1491" s="828"/>
      <c r="W1491" s="815">
        <v>3</v>
      </c>
      <c r="X1491" s="811" t="str">
        <f t="shared" si="120"/>
        <v>within the Province</v>
      </c>
      <c r="Y1491" s="816">
        <v>50</v>
      </c>
      <c r="AB1491" s="953"/>
      <c r="AE1491" s="767" t="s">
        <v>10055</v>
      </c>
      <c r="AF1491" s="965">
        <v>4</v>
      </c>
      <c r="AG1491" s="807" t="str">
        <f t="shared" si="121"/>
        <v>Serious Illness</v>
      </c>
      <c r="AJ1491" s="865"/>
    </row>
    <row r="1492" spans="1:39" ht="15">
      <c r="D1492" s="1069"/>
      <c r="G1492" s="827"/>
      <c r="H1492" s="809" t="s">
        <v>2832</v>
      </c>
      <c r="I1492" s="92">
        <v>32</v>
      </c>
      <c r="J1492" s="92" t="s">
        <v>18</v>
      </c>
      <c r="K1492" s="92" t="s">
        <v>722</v>
      </c>
      <c r="L1492" s="810">
        <v>5</v>
      </c>
      <c r="M1492" s="811" t="str">
        <f t="shared" si="122"/>
        <v>High School Graduate</v>
      </c>
      <c r="P1492" s="1638"/>
      <c r="V1492" s="828"/>
      <c r="X1492" s="811" t="str">
        <f t="shared" si="120"/>
        <v/>
      </c>
      <c r="AB1492" s="953"/>
      <c r="AE1492" s="767"/>
      <c r="AF1492" s="965"/>
      <c r="AG1492" s="807" t="str">
        <f t="shared" si="121"/>
        <v/>
      </c>
      <c r="AJ1492" s="865"/>
    </row>
    <row r="1493" spans="1:39" ht="15">
      <c r="A1493" s="343" t="s">
        <v>7419</v>
      </c>
      <c r="B1493" s="752" t="s">
        <v>7503</v>
      </c>
      <c r="C1493" s="132" t="s">
        <v>2826</v>
      </c>
      <c r="D1493" s="1070" t="s">
        <v>10053</v>
      </c>
      <c r="E1493" s="1046"/>
      <c r="F1493" s="1046"/>
      <c r="G1493" s="117" t="s">
        <v>2826</v>
      </c>
      <c r="H1493" s="809" t="s">
        <v>10056</v>
      </c>
      <c r="I1493" s="92">
        <v>10</v>
      </c>
      <c r="J1493" s="92" t="s">
        <v>10</v>
      </c>
      <c r="K1493" s="92" t="s">
        <v>768</v>
      </c>
      <c r="L1493" s="810">
        <v>2</v>
      </c>
      <c r="M1493" s="811" t="str">
        <f t="shared" si="122"/>
        <v>Elementary Level</v>
      </c>
      <c r="P1493" s="1638"/>
      <c r="V1493" s="828"/>
      <c r="X1493" s="811" t="str">
        <f t="shared" si="120"/>
        <v/>
      </c>
      <c r="AB1493" s="953"/>
      <c r="AE1493" s="767"/>
      <c r="AF1493" s="965"/>
      <c r="AG1493" s="807" t="str">
        <f t="shared" si="121"/>
        <v/>
      </c>
      <c r="AJ1493" s="865"/>
      <c r="AK1493" s="836" t="s">
        <v>14266</v>
      </c>
      <c r="AM1493" s="92" t="s">
        <v>14272</v>
      </c>
    </row>
    <row r="1494" spans="1:39" ht="15">
      <c r="A1494" s="343" t="s">
        <v>7419</v>
      </c>
      <c r="D1494" s="1070" t="s">
        <v>10053</v>
      </c>
      <c r="E1494" s="1046"/>
      <c r="F1494" s="1046"/>
      <c r="G1494" s="934"/>
      <c r="H1494" s="809" t="s">
        <v>10057</v>
      </c>
      <c r="I1494" s="92">
        <v>4</v>
      </c>
      <c r="J1494" s="92" t="s">
        <v>18</v>
      </c>
      <c r="K1494" s="92" t="s">
        <v>768</v>
      </c>
      <c r="L1494" s="810">
        <v>10</v>
      </c>
      <c r="M1494" s="811" t="str">
        <f t="shared" ref="M1494:M1525" si="123">IF(ISBLANK(L1494)=TRUE,"",LOOKUP(L1494,GQ:GR))</f>
        <v>Not In School Age</v>
      </c>
      <c r="P1494" s="1638"/>
      <c r="V1494" s="828"/>
      <c r="X1494" s="811" t="str">
        <f t="shared" si="120"/>
        <v/>
      </c>
      <c r="AB1494" s="953"/>
      <c r="AE1494" s="767"/>
      <c r="AF1494" s="965"/>
      <c r="AG1494" s="807" t="str">
        <f t="shared" si="121"/>
        <v/>
      </c>
      <c r="AJ1494" s="865"/>
      <c r="AK1494" s="836" t="s">
        <v>14267</v>
      </c>
      <c r="AM1494" s="92" t="s">
        <v>14272</v>
      </c>
    </row>
    <row r="1495" spans="1:39" ht="15">
      <c r="A1495" s="343" t="s">
        <v>7419</v>
      </c>
      <c r="D1495" s="1070" t="s">
        <v>10053</v>
      </c>
      <c r="E1495" s="1046"/>
      <c r="F1495" s="1046"/>
      <c r="G1495" s="934"/>
      <c r="H1495" s="809" t="s">
        <v>10058</v>
      </c>
      <c r="I1495" s="92">
        <v>2</v>
      </c>
      <c r="J1495" s="92" t="s">
        <v>10</v>
      </c>
      <c r="K1495" s="92" t="s">
        <v>768</v>
      </c>
      <c r="L1495" s="810">
        <v>10</v>
      </c>
      <c r="M1495" s="811" t="str">
        <f t="shared" si="123"/>
        <v>Not In School Age</v>
      </c>
      <c r="P1495" s="1638"/>
      <c r="V1495" s="828"/>
      <c r="X1495" s="811" t="str">
        <f t="shared" si="120"/>
        <v/>
      </c>
      <c r="AB1495" s="953"/>
      <c r="AE1495" s="767"/>
      <c r="AF1495" s="965"/>
      <c r="AG1495" s="807" t="str">
        <f t="shared" si="121"/>
        <v/>
      </c>
      <c r="AJ1495" s="865"/>
      <c r="AK1495" s="836" t="s">
        <v>14268</v>
      </c>
    </row>
    <row r="1496" spans="1:39" ht="15">
      <c r="A1496" s="343" t="s">
        <v>7419</v>
      </c>
      <c r="D1496" s="1070" t="s">
        <v>10053</v>
      </c>
      <c r="E1496" s="1046"/>
      <c r="F1496" s="1046"/>
      <c r="G1496" s="934"/>
      <c r="H1496" s="1639" t="s">
        <v>10059</v>
      </c>
      <c r="I1496" s="1044">
        <v>1</v>
      </c>
      <c r="J1496" s="1044" t="s">
        <v>10</v>
      </c>
      <c r="K1496" s="1044" t="s">
        <v>768</v>
      </c>
      <c r="L1496" s="1640">
        <v>10</v>
      </c>
      <c r="M1496" s="1641" t="str">
        <f t="shared" si="123"/>
        <v>Not In School Age</v>
      </c>
      <c r="N1496" s="1044"/>
      <c r="O1496" s="1642"/>
      <c r="P1496" s="1643"/>
      <c r="Q1496" s="1642"/>
      <c r="R1496" s="1044" t="s">
        <v>8234</v>
      </c>
      <c r="S1496" s="1646">
        <v>10000</v>
      </c>
      <c r="T1496" s="1646"/>
      <c r="U1496" s="1646"/>
      <c r="V1496" s="828">
        <f>SUM(S1490:U1495)</f>
        <v>6500</v>
      </c>
      <c r="X1496" s="811" t="str">
        <f t="shared" si="120"/>
        <v/>
      </c>
      <c r="AB1496" s="953">
        <f>SUM(Y1491:AA1496)</f>
        <v>50</v>
      </c>
      <c r="AE1496" s="767"/>
      <c r="AF1496" s="965"/>
      <c r="AG1496" s="807" t="str">
        <f t="shared" si="121"/>
        <v/>
      </c>
      <c r="AJ1496" s="865"/>
      <c r="AK1496" s="836" t="s">
        <v>14269</v>
      </c>
    </row>
    <row r="1497" spans="1:39" ht="15">
      <c r="A1497" s="343" t="s">
        <v>7419</v>
      </c>
      <c r="D1497" s="1070" t="s">
        <v>10053</v>
      </c>
      <c r="E1497" s="1046"/>
      <c r="F1497" s="1046"/>
      <c r="G1497" s="934"/>
      <c r="H1497" s="809" t="s">
        <v>3845</v>
      </c>
      <c r="I1497" s="92">
        <v>44</v>
      </c>
      <c r="J1497" s="92" t="s">
        <v>10</v>
      </c>
      <c r="K1497" s="92" t="s">
        <v>722</v>
      </c>
      <c r="L1497" s="810">
        <v>2</v>
      </c>
      <c r="M1497" s="811" t="str">
        <f t="shared" si="123"/>
        <v>Elementary Level</v>
      </c>
      <c r="N1497" s="92" t="s">
        <v>1208</v>
      </c>
      <c r="O1497" s="812" t="s">
        <v>11311</v>
      </c>
      <c r="P1497" s="1638"/>
      <c r="Q1497" s="812" t="s">
        <v>11311</v>
      </c>
      <c r="V1497" s="961"/>
      <c r="W1497" s="815">
        <v>1</v>
      </c>
      <c r="X1497" s="811" t="str">
        <f t="shared" si="120"/>
        <v>within the Brgy</v>
      </c>
      <c r="AB1497" s="962"/>
      <c r="AE1497" s="767"/>
      <c r="AF1497" s="965"/>
      <c r="AG1497" s="807" t="str">
        <f t="shared" si="121"/>
        <v/>
      </c>
      <c r="AJ1497" s="865"/>
      <c r="AK1497" s="836" t="s">
        <v>14270</v>
      </c>
    </row>
    <row r="1498" spans="1:39" ht="15">
      <c r="A1498" s="343" t="s">
        <v>7419</v>
      </c>
      <c r="D1498" s="1070" t="s">
        <v>10053</v>
      </c>
      <c r="E1498" s="1046"/>
      <c r="F1498" s="1046"/>
      <c r="G1498" s="934"/>
      <c r="H1498" s="809" t="s">
        <v>10061</v>
      </c>
      <c r="I1498" s="92">
        <v>33</v>
      </c>
      <c r="J1498" s="92" t="s">
        <v>18</v>
      </c>
      <c r="K1498" s="92" t="s">
        <v>722</v>
      </c>
      <c r="L1498" s="810">
        <v>5</v>
      </c>
      <c r="M1498" s="811" t="str">
        <f t="shared" si="123"/>
        <v>High School Graduate</v>
      </c>
      <c r="P1498" s="1638"/>
      <c r="R1498" s="812" t="s">
        <v>8285</v>
      </c>
      <c r="S1498" s="813">
        <v>6000</v>
      </c>
      <c r="V1498" s="961"/>
      <c r="X1498" s="811" t="str">
        <f t="shared" si="120"/>
        <v/>
      </c>
      <c r="AB1498" s="962"/>
      <c r="AE1498" s="767"/>
      <c r="AF1498" s="965"/>
      <c r="AG1498" s="807" t="str">
        <f t="shared" si="121"/>
        <v/>
      </c>
      <c r="AJ1498" s="865"/>
      <c r="AK1498" s="836" t="s">
        <v>14271</v>
      </c>
    </row>
    <row r="1499" spans="1:39" ht="15">
      <c r="A1499" s="17" t="s">
        <v>7421</v>
      </c>
      <c r="B1499" s="752" t="s">
        <v>7403</v>
      </c>
      <c r="C1499" s="132" t="s">
        <v>3840</v>
      </c>
      <c r="D1499" s="1070" t="s">
        <v>10060</v>
      </c>
      <c r="E1499" s="533" t="s">
        <v>3840</v>
      </c>
      <c r="F1499" s="1048" t="s">
        <v>3845</v>
      </c>
      <c r="G1499" s="117" t="s">
        <v>3840</v>
      </c>
      <c r="H1499" s="809" t="s">
        <v>10062</v>
      </c>
      <c r="I1499" s="92">
        <v>23</v>
      </c>
      <c r="J1499" s="92" t="s">
        <v>10</v>
      </c>
      <c r="K1499" s="92" t="s">
        <v>722</v>
      </c>
      <c r="L1499" s="810">
        <v>5</v>
      </c>
      <c r="M1499" s="811" t="str">
        <f t="shared" si="123"/>
        <v>High School Graduate</v>
      </c>
      <c r="N1499" s="92" t="s">
        <v>1208</v>
      </c>
      <c r="O1499" s="812" t="s">
        <v>10063</v>
      </c>
      <c r="P1499" s="1638"/>
      <c r="Q1499" s="812" t="s">
        <v>10063</v>
      </c>
      <c r="R1499" s="812" t="s">
        <v>8285</v>
      </c>
      <c r="S1499" s="813">
        <v>6000</v>
      </c>
      <c r="V1499" s="961"/>
      <c r="W1499" s="815">
        <v>1</v>
      </c>
      <c r="X1499" s="811" t="str">
        <f t="shared" si="120"/>
        <v>within the Brgy</v>
      </c>
      <c r="AB1499" s="962"/>
      <c r="AE1499" s="767"/>
      <c r="AF1499" s="965"/>
      <c r="AG1499" s="807" t="str">
        <f t="shared" si="121"/>
        <v/>
      </c>
      <c r="AJ1499" s="865"/>
    </row>
    <row r="1500" spans="1:39" ht="15">
      <c r="A1500" s="17" t="s">
        <v>7421</v>
      </c>
      <c r="D1500" s="1070" t="s">
        <v>10060</v>
      </c>
      <c r="E1500" s="533" t="s">
        <v>3840</v>
      </c>
      <c r="G1500" s="934"/>
      <c r="H1500" s="809" t="s">
        <v>10064</v>
      </c>
      <c r="I1500" s="92">
        <v>23</v>
      </c>
      <c r="J1500" s="92" t="s">
        <v>10</v>
      </c>
      <c r="K1500" s="92" t="s">
        <v>768</v>
      </c>
      <c r="L1500" s="810">
        <v>3</v>
      </c>
      <c r="M1500" s="811" t="str">
        <f t="shared" si="123"/>
        <v>Elementary Graduate</v>
      </c>
      <c r="N1500" s="92" t="s">
        <v>1208</v>
      </c>
      <c r="O1500" s="812" t="s">
        <v>10063</v>
      </c>
      <c r="P1500" s="1638"/>
      <c r="Q1500" s="812" t="s">
        <v>10063</v>
      </c>
      <c r="V1500" s="961"/>
      <c r="W1500" s="815">
        <v>1</v>
      </c>
      <c r="X1500" s="811" t="str">
        <f t="shared" si="120"/>
        <v>within the Brgy</v>
      </c>
      <c r="AB1500" s="962"/>
      <c r="AE1500" s="767"/>
      <c r="AF1500" s="965"/>
      <c r="AG1500" s="807" t="str">
        <f t="shared" si="121"/>
        <v/>
      </c>
      <c r="AJ1500" s="865"/>
    </row>
    <row r="1501" spans="1:39" ht="15">
      <c r="A1501" s="17" t="s">
        <v>7421</v>
      </c>
      <c r="D1501" s="1070" t="s">
        <v>10060</v>
      </c>
      <c r="E1501" s="533" t="s">
        <v>3840</v>
      </c>
      <c r="G1501" s="934"/>
      <c r="H1501" s="1639" t="s">
        <v>10065</v>
      </c>
      <c r="I1501" s="1044">
        <v>3</v>
      </c>
      <c r="J1501" s="1044" t="s">
        <v>10</v>
      </c>
      <c r="K1501" s="1044" t="s">
        <v>768</v>
      </c>
      <c r="L1501" s="1640">
        <v>10</v>
      </c>
      <c r="M1501" s="1641" t="str">
        <f t="shared" si="123"/>
        <v>Not In School Age</v>
      </c>
      <c r="N1501" s="1044"/>
      <c r="O1501" s="1642"/>
      <c r="P1501" s="1643"/>
      <c r="Q1501" s="1642"/>
      <c r="R1501" s="1044" t="s">
        <v>8234</v>
      </c>
      <c r="S1501" s="1646">
        <v>12000</v>
      </c>
      <c r="T1501" s="1646"/>
      <c r="U1501" s="1646"/>
      <c r="V1501" s="961">
        <f>SUM(S1496:U1500)</f>
        <v>22000</v>
      </c>
      <c r="X1501" s="811" t="str">
        <f t="shared" si="120"/>
        <v/>
      </c>
      <c r="AB1501" s="962">
        <f>SUM(Y1497:AA1501)</f>
        <v>0</v>
      </c>
      <c r="AE1501" s="767"/>
      <c r="AF1501" s="965"/>
      <c r="AG1501" s="807" t="str">
        <f t="shared" si="121"/>
        <v/>
      </c>
      <c r="AJ1501" s="865"/>
    </row>
    <row r="1502" spans="1:39" ht="15">
      <c r="A1502" s="17" t="s">
        <v>7421</v>
      </c>
      <c r="D1502" s="1070" t="s">
        <v>10060</v>
      </c>
      <c r="E1502" s="533" t="s">
        <v>3840</v>
      </c>
      <c r="F1502" s="1046"/>
      <c r="G1502" s="934"/>
      <c r="H1502" s="809" t="s">
        <v>3863</v>
      </c>
      <c r="I1502" s="92">
        <v>39</v>
      </c>
      <c r="J1502" s="92" t="s">
        <v>18</v>
      </c>
      <c r="K1502" s="92" t="s">
        <v>722</v>
      </c>
      <c r="L1502" s="810">
        <v>5</v>
      </c>
      <c r="M1502" s="811" t="str">
        <f t="shared" si="123"/>
        <v>High School Graduate</v>
      </c>
      <c r="N1502" s="92" t="s">
        <v>1208</v>
      </c>
      <c r="O1502" s="812" t="s">
        <v>10067</v>
      </c>
      <c r="P1502" s="1638"/>
      <c r="Q1502" s="812" t="s">
        <v>10067</v>
      </c>
      <c r="W1502" s="815">
        <v>1</v>
      </c>
      <c r="X1502" s="811" t="str">
        <f t="shared" si="120"/>
        <v>within the Brgy</v>
      </c>
      <c r="AB1502" s="940"/>
      <c r="AD1502" s="817" t="s">
        <v>10068</v>
      </c>
      <c r="AE1502" s="92"/>
      <c r="AF1502" s="810"/>
      <c r="AG1502" s="807" t="str">
        <f t="shared" si="121"/>
        <v/>
      </c>
      <c r="AJ1502" s="865"/>
    </row>
    <row r="1503" spans="1:39" ht="15">
      <c r="A1503" s="17" t="s">
        <v>7421</v>
      </c>
      <c r="D1503" s="1070" t="s">
        <v>10060</v>
      </c>
      <c r="E1503" s="533" t="s">
        <v>3840</v>
      </c>
      <c r="F1503" s="1046"/>
      <c r="G1503" s="934"/>
      <c r="H1503" s="809" t="s">
        <v>10069</v>
      </c>
      <c r="I1503" s="857">
        <v>60</v>
      </c>
      <c r="J1503" s="92" t="s">
        <v>10</v>
      </c>
      <c r="K1503" s="92" t="s">
        <v>722</v>
      </c>
      <c r="L1503" s="810">
        <v>7</v>
      </c>
      <c r="M1503" s="811" t="str">
        <f t="shared" si="123"/>
        <v>College Graduate or Higher</v>
      </c>
      <c r="P1503" s="1638"/>
      <c r="R1503" s="812" t="s">
        <v>8285</v>
      </c>
      <c r="X1503" s="811" t="str">
        <f t="shared" si="120"/>
        <v/>
      </c>
      <c r="AB1503" s="940"/>
      <c r="AE1503" s="767"/>
      <c r="AF1503" s="965"/>
      <c r="AG1503" s="807" t="str">
        <f t="shared" si="121"/>
        <v/>
      </c>
      <c r="AJ1503" s="865"/>
    </row>
    <row r="1504" spans="1:39" ht="15">
      <c r="A1504" s="17" t="s">
        <v>7421</v>
      </c>
      <c r="B1504" s="752" t="s">
        <v>7404</v>
      </c>
      <c r="C1504" s="132" t="s">
        <v>3855</v>
      </c>
      <c r="D1504" s="1070" t="s">
        <v>10066</v>
      </c>
      <c r="E1504" s="533" t="s">
        <v>3855</v>
      </c>
      <c r="F1504" s="1048" t="s">
        <v>3863</v>
      </c>
      <c r="G1504" s="117" t="s">
        <v>3855</v>
      </c>
      <c r="H1504" s="809" t="s">
        <v>10070</v>
      </c>
      <c r="I1504" s="92">
        <v>30</v>
      </c>
      <c r="J1504" s="92" t="s">
        <v>10</v>
      </c>
      <c r="K1504" s="92" t="s">
        <v>768</v>
      </c>
      <c r="L1504" s="810">
        <v>5</v>
      </c>
      <c r="M1504" s="811" t="str">
        <f t="shared" si="123"/>
        <v>High School Graduate</v>
      </c>
      <c r="N1504" s="92" t="s">
        <v>1208</v>
      </c>
      <c r="O1504" s="812" t="s">
        <v>2228</v>
      </c>
      <c r="P1504" s="1638"/>
      <c r="Q1504" s="812" t="s">
        <v>2228</v>
      </c>
      <c r="W1504" s="815">
        <v>4</v>
      </c>
      <c r="X1504" s="811" t="str">
        <f t="shared" si="120"/>
        <v>Other Province</v>
      </c>
      <c r="Y1504" s="816">
        <v>900</v>
      </c>
      <c r="AB1504" s="940"/>
      <c r="AE1504" s="767"/>
      <c r="AF1504" s="965"/>
      <c r="AG1504" s="807" t="str">
        <f t="shared" si="121"/>
        <v/>
      </c>
      <c r="AJ1504" s="865"/>
    </row>
    <row r="1505" spans="1:36" ht="15">
      <c r="A1505" s="17" t="s">
        <v>7421</v>
      </c>
      <c r="D1505" s="1070" t="s">
        <v>10066</v>
      </c>
      <c r="E1505" s="533" t="s">
        <v>3855</v>
      </c>
      <c r="F1505" s="1046"/>
      <c r="G1505" s="934"/>
      <c r="H1505" s="809" t="s">
        <v>10071</v>
      </c>
      <c r="I1505" s="92">
        <v>8</v>
      </c>
      <c r="J1505" s="92" t="s">
        <v>10</v>
      </c>
      <c r="K1505" s="92" t="s">
        <v>768</v>
      </c>
      <c r="L1505" s="810">
        <v>2</v>
      </c>
      <c r="M1505" s="811" t="str">
        <f t="shared" si="123"/>
        <v>Elementary Level</v>
      </c>
      <c r="P1505" s="1638"/>
      <c r="R1505" s="932"/>
      <c r="X1505" s="811" t="str">
        <f t="shared" si="120"/>
        <v/>
      </c>
      <c r="AB1505" s="940"/>
      <c r="AE1505" s="767"/>
      <c r="AF1505" s="965"/>
      <c r="AG1505" s="807" t="str">
        <f t="shared" si="121"/>
        <v/>
      </c>
      <c r="AJ1505" s="865"/>
    </row>
    <row r="1506" spans="1:36" ht="15">
      <c r="A1506" s="17" t="s">
        <v>7421</v>
      </c>
      <c r="D1506" s="1070" t="s">
        <v>10066</v>
      </c>
      <c r="E1506" s="533" t="s">
        <v>3855</v>
      </c>
      <c r="F1506" s="1046"/>
      <c r="G1506" s="934"/>
      <c r="H1506" s="809" t="s">
        <v>10072</v>
      </c>
      <c r="I1506" s="92">
        <v>23</v>
      </c>
      <c r="J1506" s="92" t="s">
        <v>10</v>
      </c>
      <c r="K1506" s="92" t="s">
        <v>768</v>
      </c>
      <c r="L1506" s="810">
        <v>5</v>
      </c>
      <c r="M1506" s="811" t="str">
        <f t="shared" si="123"/>
        <v>High School Graduate</v>
      </c>
      <c r="N1506" s="92" t="s">
        <v>1208</v>
      </c>
      <c r="P1506" s="1638"/>
      <c r="R1506" s="812" t="s">
        <v>8285</v>
      </c>
      <c r="W1506" s="815">
        <v>3</v>
      </c>
      <c r="X1506" s="811" t="str">
        <f t="shared" si="120"/>
        <v>within the Province</v>
      </c>
      <c r="Y1506" s="816">
        <v>140</v>
      </c>
      <c r="AB1506" s="940"/>
      <c r="AE1506" s="767"/>
      <c r="AF1506" s="965"/>
      <c r="AG1506" s="807" t="str">
        <f t="shared" si="121"/>
        <v/>
      </c>
      <c r="AJ1506" s="865"/>
    </row>
    <row r="1507" spans="1:36" ht="15">
      <c r="A1507" s="17" t="s">
        <v>7421</v>
      </c>
      <c r="D1507" s="1070" t="s">
        <v>10066</v>
      </c>
      <c r="E1507" s="533" t="s">
        <v>3855</v>
      </c>
      <c r="F1507" s="1046"/>
      <c r="G1507" s="934"/>
      <c r="H1507" s="809" t="s">
        <v>10073</v>
      </c>
      <c r="I1507" s="92">
        <v>23</v>
      </c>
      <c r="J1507" s="92" t="s">
        <v>10</v>
      </c>
      <c r="K1507" s="92" t="s">
        <v>768</v>
      </c>
      <c r="L1507" s="810">
        <v>5</v>
      </c>
      <c r="M1507" s="811" t="str">
        <f t="shared" si="123"/>
        <v>High School Graduate</v>
      </c>
      <c r="N1507" s="92" t="s">
        <v>1208</v>
      </c>
      <c r="O1507" s="812" t="s">
        <v>3401</v>
      </c>
      <c r="P1507" s="1638"/>
      <c r="Q1507" s="812" t="s">
        <v>3401</v>
      </c>
      <c r="R1507" s="812" t="s">
        <v>8285</v>
      </c>
      <c r="S1507" s="813">
        <v>12000</v>
      </c>
      <c r="W1507" s="815">
        <v>1</v>
      </c>
      <c r="X1507" s="811" t="str">
        <f t="shared" si="120"/>
        <v>within the Brgy</v>
      </c>
      <c r="AB1507" s="940"/>
      <c r="AE1507" s="767"/>
      <c r="AF1507" s="965"/>
      <c r="AG1507" s="807" t="str">
        <f t="shared" si="121"/>
        <v/>
      </c>
      <c r="AJ1507" s="865"/>
    </row>
    <row r="1508" spans="1:36" ht="15">
      <c r="A1508" s="17" t="s">
        <v>7421</v>
      </c>
      <c r="D1508" s="1070" t="s">
        <v>10066</v>
      </c>
      <c r="E1508" s="533" t="s">
        <v>3855</v>
      </c>
      <c r="F1508" s="1046"/>
      <c r="G1508" s="934"/>
      <c r="H1508" s="809" t="s">
        <v>10074</v>
      </c>
      <c r="I1508" s="92">
        <v>34</v>
      </c>
      <c r="J1508" s="92" t="s">
        <v>10</v>
      </c>
      <c r="K1508" s="92" t="s">
        <v>768</v>
      </c>
      <c r="L1508" s="810">
        <v>6</v>
      </c>
      <c r="M1508" s="811" t="str">
        <f t="shared" si="123"/>
        <v>College Level</v>
      </c>
      <c r="N1508" s="92" t="s">
        <v>1208</v>
      </c>
      <c r="O1508" s="812" t="s">
        <v>3401</v>
      </c>
      <c r="P1508" s="1638"/>
      <c r="Q1508" s="812" t="s">
        <v>3401</v>
      </c>
      <c r="R1508" s="92" t="s">
        <v>8234</v>
      </c>
      <c r="S1508" s="813">
        <v>12000</v>
      </c>
      <c r="V1508" s="814">
        <f>SUM(S1501:U1507)</f>
        <v>24000</v>
      </c>
      <c r="W1508" s="815">
        <v>1</v>
      </c>
      <c r="X1508" s="811" t="str">
        <f t="shared" si="120"/>
        <v>within the Brgy</v>
      </c>
      <c r="AB1508" s="940">
        <f>SUM(Y1502:AA1508)</f>
        <v>1040</v>
      </c>
      <c r="AE1508" s="767"/>
      <c r="AF1508" s="965"/>
      <c r="AG1508" s="807" t="str">
        <f t="shared" si="121"/>
        <v/>
      </c>
      <c r="AJ1508" s="865"/>
    </row>
    <row r="1509" spans="1:36" ht="15">
      <c r="A1509" s="17" t="s">
        <v>7421</v>
      </c>
      <c r="D1509" s="1070" t="s">
        <v>10066</v>
      </c>
      <c r="E1509" s="533" t="s">
        <v>3855</v>
      </c>
      <c r="F1509" s="1046"/>
      <c r="G1509" s="934"/>
      <c r="H1509" s="809" t="s">
        <v>3875</v>
      </c>
      <c r="I1509" s="92">
        <v>24</v>
      </c>
      <c r="J1509" s="92" t="s">
        <v>10</v>
      </c>
      <c r="K1509" s="92" t="s">
        <v>768</v>
      </c>
      <c r="L1509" s="810">
        <v>7</v>
      </c>
      <c r="M1509" s="811" t="str">
        <f t="shared" si="123"/>
        <v>College Graduate or Higher</v>
      </c>
      <c r="N1509" s="92" t="s">
        <v>1208</v>
      </c>
      <c r="O1509" s="812" t="s">
        <v>2230</v>
      </c>
      <c r="P1509" s="1638"/>
      <c r="Q1509" s="812" t="s">
        <v>2230</v>
      </c>
      <c r="V1509" s="828"/>
      <c r="W1509" s="815">
        <v>3</v>
      </c>
      <c r="X1509" s="811" t="str">
        <f t="shared" si="120"/>
        <v>within the Province</v>
      </c>
      <c r="Y1509" s="816">
        <v>300</v>
      </c>
      <c r="AB1509" s="953"/>
      <c r="AE1509" s="767"/>
      <c r="AF1509" s="965"/>
      <c r="AG1509" s="807" t="str">
        <f t="shared" si="121"/>
        <v/>
      </c>
      <c r="AJ1509" s="865"/>
    </row>
    <row r="1510" spans="1:36" ht="15">
      <c r="A1510" s="17" t="s">
        <v>7421</v>
      </c>
      <c r="D1510" s="1070" t="s">
        <v>10066</v>
      </c>
      <c r="E1510" s="533" t="s">
        <v>3855</v>
      </c>
      <c r="F1510" s="1046"/>
      <c r="G1510" s="934"/>
      <c r="H1510" s="809" t="s">
        <v>10076</v>
      </c>
      <c r="I1510" s="92">
        <v>58</v>
      </c>
      <c r="J1510" s="92" t="s">
        <v>18</v>
      </c>
      <c r="K1510" s="92" t="s">
        <v>768</v>
      </c>
      <c r="L1510" s="810">
        <v>6</v>
      </c>
      <c r="M1510" s="811" t="str">
        <f t="shared" si="123"/>
        <v>College Level</v>
      </c>
      <c r="P1510" s="1638"/>
      <c r="R1510" s="92" t="s">
        <v>8234</v>
      </c>
      <c r="S1510" s="813">
        <v>5250</v>
      </c>
      <c r="V1510" s="828">
        <f>SUM(S1508:U1509)</f>
        <v>12000</v>
      </c>
      <c r="X1510" s="811" t="str">
        <f t="shared" si="120"/>
        <v/>
      </c>
      <c r="AB1510" s="953">
        <f>SUM(Y1509:AA1510)</f>
        <v>300</v>
      </c>
      <c r="AE1510" s="767"/>
      <c r="AF1510" s="965"/>
      <c r="AG1510" s="807" t="str">
        <f t="shared" si="121"/>
        <v/>
      </c>
      <c r="AJ1510" s="865"/>
    </row>
    <row r="1511" spans="1:36" ht="15">
      <c r="D1511" s="1070" t="s">
        <v>10075</v>
      </c>
      <c r="E1511" s="1046"/>
      <c r="F1511" s="1046"/>
      <c r="G1511" s="117" t="s">
        <v>3870</v>
      </c>
      <c r="H1511" s="809" t="s">
        <v>3865</v>
      </c>
      <c r="I1511" s="92">
        <v>56</v>
      </c>
      <c r="J1511" s="92" t="s">
        <v>10</v>
      </c>
      <c r="K1511" s="92" t="s">
        <v>707</v>
      </c>
      <c r="L1511" s="810">
        <v>4</v>
      </c>
      <c r="M1511" s="811" t="str">
        <f t="shared" si="123"/>
        <v>High School Level</v>
      </c>
      <c r="N1511" s="92" t="s">
        <v>1208</v>
      </c>
      <c r="O1511" s="812" t="s">
        <v>10032</v>
      </c>
      <c r="P1511" s="1638"/>
      <c r="Q1511" s="812" t="s">
        <v>10032</v>
      </c>
      <c r="R1511" s="812" t="s">
        <v>8285</v>
      </c>
      <c r="S1511" s="813">
        <v>8000</v>
      </c>
      <c r="V1511" s="828"/>
      <c r="W1511" s="815">
        <v>1</v>
      </c>
      <c r="X1511" s="811" t="str">
        <f t="shared" si="120"/>
        <v>within the Brgy</v>
      </c>
      <c r="AB1511" s="953"/>
      <c r="AE1511" s="767"/>
      <c r="AF1511" s="965"/>
      <c r="AG1511" s="807" t="str">
        <f t="shared" si="121"/>
        <v/>
      </c>
      <c r="AJ1511" s="865"/>
    </row>
    <row r="1512" spans="1:36" ht="15">
      <c r="A1512" s="946"/>
      <c r="B1512" s="292"/>
      <c r="D1512" s="1070"/>
      <c r="E1512" s="1046"/>
      <c r="F1512" s="1046"/>
      <c r="G1512" s="934"/>
      <c r="H1512" s="809" t="s">
        <v>10078</v>
      </c>
      <c r="I1512" s="92">
        <v>26</v>
      </c>
      <c r="J1512" s="92" t="s">
        <v>10</v>
      </c>
      <c r="K1512" s="92" t="s">
        <v>722</v>
      </c>
      <c r="L1512" s="810">
        <v>5</v>
      </c>
      <c r="M1512" s="811" t="str">
        <f t="shared" si="123"/>
        <v>High School Graduate</v>
      </c>
      <c r="N1512" s="92" t="s">
        <v>1208</v>
      </c>
      <c r="O1512" s="812" t="s">
        <v>2966</v>
      </c>
      <c r="P1512" s="1638"/>
      <c r="Q1512" s="812" t="s">
        <v>2966</v>
      </c>
      <c r="V1512" s="828"/>
      <c r="W1512" s="815">
        <v>2</v>
      </c>
      <c r="X1512" s="811" t="str">
        <f t="shared" si="120"/>
        <v>within the Municipality/City</v>
      </c>
      <c r="AB1512" s="953"/>
      <c r="AE1512" s="767"/>
      <c r="AF1512" s="965"/>
      <c r="AG1512" s="807" t="str">
        <f t="shared" si="121"/>
        <v/>
      </c>
      <c r="AJ1512" s="865"/>
    </row>
    <row r="1513" spans="1:36" ht="15">
      <c r="A1513" s="343" t="s">
        <v>7419</v>
      </c>
      <c r="B1513" s="752" t="s">
        <v>7406</v>
      </c>
      <c r="C1513" s="132" t="s">
        <v>3864</v>
      </c>
      <c r="D1513" s="1070" t="s">
        <v>10077</v>
      </c>
      <c r="E1513" s="1046"/>
      <c r="F1513" s="1046"/>
      <c r="G1513" s="117" t="s">
        <v>3864</v>
      </c>
      <c r="H1513" s="809" t="s">
        <v>10079</v>
      </c>
      <c r="I1513" s="92">
        <v>24</v>
      </c>
      <c r="J1513" s="92" t="s">
        <v>18</v>
      </c>
      <c r="K1513" s="92" t="s">
        <v>722</v>
      </c>
      <c r="L1513" s="810">
        <v>4</v>
      </c>
      <c r="M1513" s="811" t="str">
        <f t="shared" si="123"/>
        <v>High School Level</v>
      </c>
      <c r="P1513" s="1638"/>
      <c r="V1513" s="828"/>
      <c r="X1513" s="811" t="str">
        <f t="shared" si="120"/>
        <v/>
      </c>
      <c r="AB1513" s="953"/>
      <c r="AE1513" s="767"/>
      <c r="AF1513" s="965"/>
      <c r="AG1513" s="807" t="str">
        <f t="shared" si="121"/>
        <v/>
      </c>
      <c r="AJ1513" s="865"/>
    </row>
    <row r="1514" spans="1:36" ht="15">
      <c r="A1514" s="343" t="s">
        <v>7419</v>
      </c>
      <c r="D1514" s="1070" t="s">
        <v>10077</v>
      </c>
      <c r="E1514" s="1046"/>
      <c r="F1514" s="1046"/>
      <c r="G1514" s="934"/>
      <c r="H1514" s="809" t="s">
        <v>10080</v>
      </c>
      <c r="I1514" s="92">
        <v>3</v>
      </c>
      <c r="J1514" s="92" t="s">
        <v>18</v>
      </c>
      <c r="K1514" s="92" t="s">
        <v>768</v>
      </c>
      <c r="L1514" s="810">
        <v>10</v>
      </c>
      <c r="M1514" s="811" t="str">
        <f t="shared" si="123"/>
        <v>Not In School Age</v>
      </c>
      <c r="P1514" s="1638"/>
      <c r="V1514" s="828"/>
      <c r="X1514" s="811" t="str">
        <f t="shared" si="120"/>
        <v/>
      </c>
      <c r="AB1514" s="953"/>
      <c r="AE1514" s="767"/>
      <c r="AF1514" s="965"/>
      <c r="AG1514" s="807" t="str">
        <f t="shared" si="121"/>
        <v/>
      </c>
      <c r="AJ1514" s="865"/>
    </row>
    <row r="1515" spans="1:36" ht="15">
      <c r="A1515" s="343" t="s">
        <v>7419</v>
      </c>
      <c r="D1515" s="1070" t="s">
        <v>10077</v>
      </c>
      <c r="E1515" s="1046"/>
      <c r="F1515" s="1046"/>
      <c r="G1515" s="934"/>
      <c r="H1515" s="809" t="s">
        <v>10081</v>
      </c>
      <c r="I1515" s="92">
        <v>1</v>
      </c>
      <c r="J1515" s="92" t="s">
        <v>18</v>
      </c>
      <c r="K1515" s="92" t="s">
        <v>768</v>
      </c>
      <c r="L1515" s="810">
        <v>10</v>
      </c>
      <c r="M1515" s="811" t="str">
        <f t="shared" si="123"/>
        <v>Not In School Age</v>
      </c>
      <c r="P1515" s="1638"/>
      <c r="R1515" s="812" t="s">
        <v>8285</v>
      </c>
      <c r="S1515" s="813">
        <v>5000</v>
      </c>
      <c r="V1515" s="828"/>
      <c r="X1515" s="811" t="str">
        <f t="shared" ref="X1515:X1578" si="124">IF(ISBLANK(W1515)=TRUE,"",LOOKUP(W1515,GO:GP))</f>
        <v/>
      </c>
      <c r="AB1515" s="953"/>
      <c r="AE1515" s="767"/>
      <c r="AF1515" s="965"/>
      <c r="AG1515" s="807" t="str">
        <f t="shared" ref="AG1515:AG1578" si="125">IF(ISBLANK(AF1515)=TRUE,"",LOOKUP(AF1515,GS:GT))</f>
        <v/>
      </c>
      <c r="AJ1515" s="865"/>
    </row>
    <row r="1516" spans="1:36" ht="15">
      <c r="A1516" s="343" t="s">
        <v>7419</v>
      </c>
      <c r="D1516" s="1070" t="s">
        <v>10077</v>
      </c>
      <c r="E1516" s="1046"/>
      <c r="F1516" s="1046"/>
      <c r="G1516" s="934"/>
      <c r="H1516" s="809" t="s">
        <v>10082</v>
      </c>
      <c r="I1516" s="92">
        <v>23</v>
      </c>
      <c r="J1516" s="92" t="s">
        <v>10</v>
      </c>
      <c r="K1516" s="92" t="s">
        <v>722</v>
      </c>
      <c r="L1516" s="810">
        <v>4</v>
      </c>
      <c r="M1516" s="811" t="str">
        <f t="shared" si="123"/>
        <v>High School Level</v>
      </c>
      <c r="N1516" s="92" t="s">
        <v>1208</v>
      </c>
      <c r="O1516" s="812" t="s">
        <v>2966</v>
      </c>
      <c r="P1516" s="1638"/>
      <c r="Q1516" s="812" t="s">
        <v>2966</v>
      </c>
      <c r="V1516" s="828"/>
      <c r="W1516" s="815">
        <v>2</v>
      </c>
      <c r="X1516" s="811" t="str">
        <f t="shared" si="124"/>
        <v>within the Municipality/City</v>
      </c>
      <c r="AB1516" s="953"/>
      <c r="AE1516" s="767"/>
      <c r="AF1516" s="965"/>
      <c r="AG1516" s="807" t="str">
        <f t="shared" si="125"/>
        <v/>
      </c>
      <c r="AJ1516" s="865"/>
    </row>
    <row r="1517" spans="1:36" ht="15">
      <c r="A1517" s="343" t="s">
        <v>7419</v>
      </c>
      <c r="D1517" s="1070" t="s">
        <v>10077</v>
      </c>
      <c r="E1517" s="1046"/>
      <c r="F1517" s="1046"/>
      <c r="G1517" s="934"/>
      <c r="H1517" s="809" t="s">
        <v>10083</v>
      </c>
      <c r="I1517" s="92">
        <v>21</v>
      </c>
      <c r="J1517" s="92" t="s">
        <v>18</v>
      </c>
      <c r="K1517" s="92" t="s">
        <v>722</v>
      </c>
      <c r="L1517" s="810">
        <v>4</v>
      </c>
      <c r="M1517" s="811" t="str">
        <f t="shared" si="123"/>
        <v>High School Level</v>
      </c>
      <c r="P1517" s="1638"/>
      <c r="V1517" s="828"/>
      <c r="X1517" s="811" t="str">
        <f t="shared" si="124"/>
        <v/>
      </c>
      <c r="AB1517" s="953"/>
      <c r="AE1517" s="767"/>
      <c r="AF1517" s="965"/>
      <c r="AG1517" s="807" t="str">
        <f t="shared" si="125"/>
        <v/>
      </c>
      <c r="AJ1517" s="865"/>
    </row>
    <row r="1518" spans="1:36" ht="15">
      <c r="A1518" s="343" t="s">
        <v>7419</v>
      </c>
      <c r="D1518" s="1070" t="s">
        <v>10077</v>
      </c>
      <c r="E1518" s="1046"/>
      <c r="F1518" s="1046"/>
      <c r="G1518" s="934"/>
      <c r="H1518" s="809" t="s">
        <v>10084</v>
      </c>
      <c r="I1518" s="92">
        <v>1</v>
      </c>
      <c r="J1518" s="92" t="s">
        <v>18</v>
      </c>
      <c r="K1518" s="92" t="s">
        <v>768</v>
      </c>
      <c r="L1518" s="810">
        <v>10</v>
      </c>
      <c r="M1518" s="811" t="str">
        <f t="shared" si="123"/>
        <v>Not In School Age</v>
      </c>
      <c r="P1518" s="1638"/>
      <c r="V1518" s="828"/>
      <c r="X1518" s="811" t="str">
        <f t="shared" si="124"/>
        <v/>
      </c>
      <c r="AB1518" s="953"/>
      <c r="AE1518" s="767"/>
      <c r="AF1518" s="965"/>
      <c r="AG1518" s="807" t="str">
        <f t="shared" si="125"/>
        <v/>
      </c>
      <c r="AJ1518" s="865"/>
    </row>
    <row r="1519" spans="1:36" ht="15">
      <c r="A1519" s="343" t="s">
        <v>7419</v>
      </c>
      <c r="D1519" s="1070" t="s">
        <v>10077</v>
      </c>
      <c r="E1519" s="1046"/>
      <c r="F1519" s="1046"/>
      <c r="G1519" s="934"/>
      <c r="H1519" s="809" t="s">
        <v>10085</v>
      </c>
      <c r="I1519" s="92">
        <v>3</v>
      </c>
      <c r="J1519" s="92" t="s">
        <v>18</v>
      </c>
      <c r="K1519" s="92" t="s">
        <v>768</v>
      </c>
      <c r="L1519" s="810">
        <v>10</v>
      </c>
      <c r="M1519" s="811" t="str">
        <f t="shared" si="123"/>
        <v>Not In School Age</v>
      </c>
      <c r="P1519" s="1638"/>
      <c r="V1519" s="828"/>
      <c r="X1519" s="811" t="str">
        <f t="shared" si="124"/>
        <v/>
      </c>
      <c r="AB1519" s="953"/>
      <c r="AE1519" s="767"/>
      <c r="AF1519" s="965"/>
      <c r="AG1519" s="807" t="str">
        <f t="shared" si="125"/>
        <v/>
      </c>
      <c r="AJ1519" s="865"/>
    </row>
    <row r="1520" spans="1:36" ht="15">
      <c r="A1520" s="343" t="s">
        <v>7419</v>
      </c>
      <c r="B1520" s="292"/>
      <c r="C1520" s="807"/>
      <c r="D1520" s="1070" t="s">
        <v>10077</v>
      </c>
      <c r="E1520" s="1046"/>
      <c r="F1520" s="1046"/>
      <c r="G1520" s="934"/>
      <c r="H1520" s="809" t="s">
        <v>10086</v>
      </c>
      <c r="I1520" s="92">
        <v>17</v>
      </c>
      <c r="J1520" s="92" t="s">
        <v>18</v>
      </c>
      <c r="K1520" s="92" t="s">
        <v>768</v>
      </c>
      <c r="L1520" s="810">
        <v>4</v>
      </c>
      <c r="M1520" s="811" t="str">
        <f t="shared" si="123"/>
        <v>High School Level</v>
      </c>
      <c r="P1520" s="1638"/>
      <c r="V1520" s="828"/>
      <c r="X1520" s="811" t="str">
        <f t="shared" si="124"/>
        <v/>
      </c>
      <c r="AB1520" s="953"/>
      <c r="AE1520" s="767"/>
      <c r="AF1520" s="965"/>
      <c r="AG1520" s="807" t="str">
        <f t="shared" si="125"/>
        <v/>
      </c>
      <c r="AJ1520" s="865"/>
    </row>
    <row r="1521" spans="1:104" ht="15">
      <c r="A1521" s="343" t="s">
        <v>7419</v>
      </c>
      <c r="B1521" s="292"/>
      <c r="C1521" s="807"/>
      <c r="D1521" s="1070" t="s">
        <v>10077</v>
      </c>
      <c r="E1521" s="1046"/>
      <c r="F1521" s="1046"/>
      <c r="G1521" s="934"/>
      <c r="H1521" s="809" t="s">
        <v>10087</v>
      </c>
      <c r="I1521" s="92">
        <v>3</v>
      </c>
      <c r="J1521" s="92" t="s">
        <v>10</v>
      </c>
      <c r="K1521" s="92" t="s">
        <v>768</v>
      </c>
      <c r="L1521" s="810">
        <v>3</v>
      </c>
      <c r="M1521" s="811" t="str">
        <f t="shared" si="123"/>
        <v>Elementary Graduate</v>
      </c>
      <c r="P1521" s="1638"/>
      <c r="V1521" s="828"/>
      <c r="X1521" s="811" t="str">
        <f t="shared" si="124"/>
        <v/>
      </c>
      <c r="AB1521" s="953"/>
      <c r="AE1521" s="767"/>
      <c r="AF1521" s="965"/>
      <c r="AG1521" s="807" t="str">
        <f t="shared" si="125"/>
        <v/>
      </c>
      <c r="AJ1521" s="865"/>
    </row>
    <row r="1522" spans="1:104" ht="15">
      <c r="A1522" s="343" t="s">
        <v>7419</v>
      </c>
      <c r="B1522" s="292"/>
      <c r="C1522" s="807"/>
      <c r="D1522" s="1070" t="s">
        <v>10077</v>
      </c>
      <c r="E1522" s="1046"/>
      <c r="F1522" s="1046"/>
      <c r="G1522" s="934"/>
      <c r="H1522" s="809" t="s">
        <v>10088</v>
      </c>
      <c r="I1522" s="92">
        <v>11</v>
      </c>
      <c r="J1522" s="92" t="s">
        <v>10</v>
      </c>
      <c r="K1522" s="92" t="s">
        <v>768</v>
      </c>
      <c r="L1522" s="810">
        <v>2</v>
      </c>
      <c r="M1522" s="811" t="str">
        <f t="shared" si="123"/>
        <v>Elementary Level</v>
      </c>
      <c r="P1522" s="1638"/>
      <c r="V1522" s="828"/>
      <c r="X1522" s="811" t="str">
        <f t="shared" si="124"/>
        <v/>
      </c>
      <c r="AB1522" s="953"/>
      <c r="AE1522" s="767"/>
      <c r="AF1522" s="965"/>
      <c r="AG1522" s="807" t="str">
        <f t="shared" si="125"/>
        <v/>
      </c>
      <c r="AJ1522" s="865"/>
    </row>
    <row r="1523" spans="1:104" ht="15">
      <c r="A1523" s="343" t="s">
        <v>7419</v>
      </c>
      <c r="B1523" s="292"/>
      <c r="C1523" s="807"/>
      <c r="D1523" s="1070" t="s">
        <v>10077</v>
      </c>
      <c r="E1523" s="1046"/>
      <c r="F1523" s="1046"/>
      <c r="G1523" s="934"/>
      <c r="H1523" s="809" t="s">
        <v>10089</v>
      </c>
      <c r="I1523" s="92">
        <v>9</v>
      </c>
      <c r="J1523" s="92" t="s">
        <v>18</v>
      </c>
      <c r="K1523" s="92" t="s">
        <v>768</v>
      </c>
      <c r="L1523" s="810">
        <v>2</v>
      </c>
      <c r="M1523" s="811" t="str">
        <f t="shared" si="123"/>
        <v>Elementary Level</v>
      </c>
      <c r="P1523" s="1638"/>
      <c r="S1523" s="807"/>
      <c r="U1523" s="813">
        <v>2000</v>
      </c>
      <c r="V1523" s="828">
        <f>SUM(S1510:U1522)</f>
        <v>18250</v>
      </c>
      <c r="X1523" s="811" t="str">
        <f t="shared" si="124"/>
        <v/>
      </c>
      <c r="AB1523" s="953">
        <f>SUM(Y1511:AA1523)</f>
        <v>0</v>
      </c>
      <c r="AE1523" s="767"/>
      <c r="AF1523" s="965"/>
      <c r="AG1523" s="807" t="str">
        <f t="shared" si="125"/>
        <v/>
      </c>
      <c r="AJ1523" s="865"/>
    </row>
    <row r="1524" spans="1:104" ht="15">
      <c r="A1524" s="343" t="s">
        <v>7419</v>
      </c>
      <c r="B1524" s="292"/>
      <c r="D1524" s="1070" t="s">
        <v>10077</v>
      </c>
      <c r="E1524" s="1046"/>
      <c r="F1524" s="1046"/>
      <c r="G1524" s="934"/>
      <c r="H1524" s="809" t="s">
        <v>3884</v>
      </c>
      <c r="I1524" s="92">
        <v>26</v>
      </c>
      <c r="J1524" s="92" t="s">
        <v>10</v>
      </c>
      <c r="K1524" s="92" t="s">
        <v>707</v>
      </c>
      <c r="L1524" s="810">
        <v>5</v>
      </c>
      <c r="M1524" s="811" t="str">
        <f t="shared" si="123"/>
        <v>High School Graduate</v>
      </c>
      <c r="N1524" s="92" t="s">
        <v>1208</v>
      </c>
      <c r="O1524" s="812" t="s">
        <v>2243</v>
      </c>
      <c r="P1524" s="1638"/>
      <c r="Q1524" s="812" t="s">
        <v>2243</v>
      </c>
      <c r="V1524" s="961"/>
      <c r="W1524" s="815">
        <v>1</v>
      </c>
      <c r="X1524" s="811" t="str">
        <f t="shared" si="124"/>
        <v>within the Brgy</v>
      </c>
      <c r="AB1524" s="962"/>
      <c r="AE1524" s="767"/>
      <c r="AF1524" s="965"/>
      <c r="AG1524" s="807" t="str">
        <f t="shared" si="125"/>
        <v/>
      </c>
      <c r="AJ1524" s="865"/>
    </row>
    <row r="1525" spans="1:104" ht="15">
      <c r="A1525" s="343" t="s">
        <v>7419</v>
      </c>
      <c r="B1525" s="292"/>
      <c r="D1525" s="1070" t="s">
        <v>10077</v>
      </c>
      <c r="E1525" s="1046"/>
      <c r="F1525" s="1046"/>
      <c r="G1525" s="934"/>
      <c r="H1525" s="809" t="s">
        <v>3882</v>
      </c>
      <c r="I1525" s="92">
        <v>26</v>
      </c>
      <c r="J1525" s="92" t="s">
        <v>18</v>
      </c>
      <c r="K1525" s="92" t="s">
        <v>707</v>
      </c>
      <c r="L1525" s="810">
        <v>5</v>
      </c>
      <c r="M1525" s="811" t="str">
        <f t="shared" si="123"/>
        <v>High School Graduate</v>
      </c>
      <c r="P1525" s="1638"/>
      <c r="V1525" s="961"/>
      <c r="X1525" s="811" t="str">
        <f t="shared" si="124"/>
        <v/>
      </c>
      <c r="AB1525" s="962"/>
      <c r="AE1525" s="767"/>
      <c r="AF1525" s="965"/>
      <c r="AG1525" s="807" t="str">
        <f t="shared" si="125"/>
        <v/>
      </c>
      <c r="AJ1525" s="865"/>
    </row>
    <row r="1526" spans="1:104" ht="15">
      <c r="D1526" s="1070" t="s">
        <v>10090</v>
      </c>
      <c r="E1526" s="1046"/>
      <c r="F1526" s="1046"/>
      <c r="G1526" s="117" t="s">
        <v>3876</v>
      </c>
      <c r="H1526" s="809" t="s">
        <v>10091</v>
      </c>
      <c r="I1526" s="92">
        <v>9</v>
      </c>
      <c r="J1526" s="92" t="s">
        <v>18</v>
      </c>
      <c r="K1526" s="92" t="s">
        <v>768</v>
      </c>
      <c r="L1526" s="810">
        <v>2</v>
      </c>
      <c r="M1526" s="811" t="str">
        <f t="shared" ref="M1526:M1557" si="126">IF(ISBLANK(L1526)=TRUE,"",LOOKUP(L1526,GQ:GR))</f>
        <v>Elementary Level</v>
      </c>
      <c r="P1526" s="1638"/>
      <c r="V1526" s="961"/>
      <c r="X1526" s="811" t="str">
        <f t="shared" si="124"/>
        <v/>
      </c>
      <c r="AB1526" s="962"/>
      <c r="AE1526" s="767"/>
      <c r="AF1526" s="965"/>
      <c r="AG1526" s="807" t="str">
        <f t="shared" si="125"/>
        <v/>
      </c>
      <c r="AJ1526" s="865"/>
    </row>
    <row r="1527" spans="1:104" ht="15">
      <c r="D1527" s="1070"/>
      <c r="E1527" s="1046"/>
      <c r="F1527" s="1046"/>
      <c r="G1527" s="934"/>
      <c r="H1527" s="809" t="s">
        <v>10092</v>
      </c>
      <c r="I1527" s="92">
        <v>4</v>
      </c>
      <c r="J1527" s="92" t="s">
        <v>10</v>
      </c>
      <c r="K1527" s="92" t="s">
        <v>768</v>
      </c>
      <c r="L1527" s="810">
        <v>1</v>
      </c>
      <c r="M1527" s="811" t="str">
        <f t="shared" si="126"/>
        <v>Pre-school</v>
      </c>
      <c r="P1527" s="1638"/>
      <c r="R1527" s="92" t="s">
        <v>8234</v>
      </c>
      <c r="V1527" s="961">
        <f>SUM(S1523:U1526)</f>
        <v>2000</v>
      </c>
      <c r="X1527" s="811" t="str">
        <f t="shared" si="124"/>
        <v/>
      </c>
      <c r="AB1527" s="962">
        <f>SUM(Y1524:AA1527)</f>
        <v>0</v>
      </c>
      <c r="AE1527" s="767"/>
      <c r="AF1527" s="965"/>
      <c r="AG1527" s="807" t="str">
        <f t="shared" si="125"/>
        <v/>
      </c>
      <c r="AJ1527" s="865"/>
    </row>
    <row r="1528" spans="1:104" ht="15">
      <c r="D1528" s="1070"/>
      <c r="E1528" s="1046"/>
      <c r="F1528" s="1046"/>
      <c r="G1528" s="934"/>
      <c r="H1528" s="809" t="s">
        <v>3885</v>
      </c>
      <c r="I1528" s="92">
        <v>74</v>
      </c>
      <c r="J1528" s="92" t="s">
        <v>18</v>
      </c>
      <c r="K1528" s="92" t="s">
        <v>707</v>
      </c>
      <c r="L1528" s="810">
        <v>2</v>
      </c>
      <c r="M1528" s="811" t="str">
        <f t="shared" si="126"/>
        <v>Elementary Level</v>
      </c>
      <c r="P1528" s="1638"/>
      <c r="R1528" s="92" t="s">
        <v>8285</v>
      </c>
      <c r="U1528" s="813">
        <v>3000</v>
      </c>
      <c r="X1528" s="811" t="str">
        <f t="shared" si="124"/>
        <v/>
      </c>
      <c r="AB1528" s="940"/>
      <c r="AD1528" s="817" t="s">
        <v>10094</v>
      </c>
      <c r="AE1528" s="93" t="s">
        <v>10095</v>
      </c>
      <c r="AF1528" s="818">
        <v>3</v>
      </c>
      <c r="AG1528" s="807" t="str">
        <f t="shared" si="125"/>
        <v>Special Medical Care</v>
      </c>
      <c r="AJ1528" s="865"/>
    </row>
    <row r="1529" spans="1:104" ht="15">
      <c r="D1529" s="1070"/>
      <c r="E1529" s="1046"/>
      <c r="F1529" s="1046"/>
      <c r="G1529" s="934"/>
      <c r="H1529" s="809" t="s">
        <v>3886</v>
      </c>
      <c r="I1529" s="92">
        <v>44</v>
      </c>
      <c r="J1529" s="92" t="s">
        <v>18</v>
      </c>
      <c r="K1529" s="92" t="s">
        <v>783</v>
      </c>
      <c r="L1529" s="810">
        <v>5</v>
      </c>
      <c r="M1529" s="811" t="str">
        <f t="shared" si="126"/>
        <v>High School Graduate</v>
      </c>
      <c r="N1529" s="92" t="s">
        <v>1208</v>
      </c>
      <c r="O1529" s="812" t="s">
        <v>10096</v>
      </c>
      <c r="P1529" s="1638"/>
      <c r="Q1529" s="812" t="s">
        <v>10096</v>
      </c>
      <c r="W1529" s="815">
        <v>1</v>
      </c>
      <c r="X1529" s="811" t="str">
        <f t="shared" si="124"/>
        <v>within the Brgy</v>
      </c>
      <c r="AB1529" s="940"/>
      <c r="AE1529" s="767"/>
      <c r="AF1529" s="965"/>
      <c r="AG1529" s="807" t="str">
        <f t="shared" si="125"/>
        <v/>
      </c>
      <c r="AJ1529" s="865"/>
    </row>
    <row r="1530" spans="1:104" ht="15">
      <c r="A1530" s="343" t="s">
        <v>7419</v>
      </c>
      <c r="B1530" s="752" t="s">
        <v>7810</v>
      </c>
      <c r="C1530" s="133" t="s">
        <v>2874</v>
      </c>
      <c r="D1530" s="1070" t="s">
        <v>10093</v>
      </c>
      <c r="E1530" s="1046"/>
      <c r="F1530" s="1046"/>
      <c r="G1530" s="593" t="s">
        <v>2874</v>
      </c>
      <c r="H1530" s="809" t="s">
        <v>10097</v>
      </c>
      <c r="I1530" s="92">
        <v>52</v>
      </c>
      <c r="J1530" s="92" t="s">
        <v>18</v>
      </c>
      <c r="K1530" s="92" t="s">
        <v>768</v>
      </c>
      <c r="L1530" s="810">
        <v>5</v>
      </c>
      <c r="M1530" s="811" t="str">
        <f t="shared" si="126"/>
        <v>High School Graduate</v>
      </c>
      <c r="P1530" s="1638"/>
      <c r="X1530" s="811" t="str">
        <f t="shared" si="124"/>
        <v/>
      </c>
      <c r="AB1530" s="940"/>
      <c r="AE1530" s="767"/>
      <c r="AF1530" s="965"/>
      <c r="AG1530" s="807" t="str">
        <f t="shared" si="125"/>
        <v/>
      </c>
      <c r="AJ1530" s="865"/>
      <c r="CS1530" s="807">
        <v>1</v>
      </c>
      <c r="CU1530" s="807" t="s">
        <v>2145</v>
      </c>
      <c r="CZ1530" s="807">
        <v>3</v>
      </c>
    </row>
    <row r="1531" spans="1:104" ht="15">
      <c r="A1531" s="343" t="s">
        <v>7419</v>
      </c>
      <c r="D1531" s="1070" t="s">
        <v>10093</v>
      </c>
      <c r="E1531" s="1046"/>
      <c r="F1531" s="1046"/>
      <c r="G1531" s="934"/>
      <c r="H1531" s="809" t="s">
        <v>10098</v>
      </c>
      <c r="I1531" s="92">
        <v>23</v>
      </c>
      <c r="J1531" s="92" t="s">
        <v>18</v>
      </c>
      <c r="K1531" s="92" t="s">
        <v>768</v>
      </c>
      <c r="L1531" s="810">
        <v>6</v>
      </c>
      <c r="M1531" s="811" t="str">
        <f t="shared" si="126"/>
        <v>College Level</v>
      </c>
      <c r="P1531" s="1638"/>
      <c r="X1531" s="811" t="str">
        <f t="shared" si="124"/>
        <v/>
      </c>
      <c r="AB1531" s="940"/>
      <c r="AE1531" s="767"/>
      <c r="AF1531" s="965"/>
      <c r="AG1531" s="807" t="str">
        <f t="shared" si="125"/>
        <v/>
      </c>
      <c r="AJ1531" s="865"/>
    </row>
    <row r="1532" spans="1:104" ht="15">
      <c r="A1532" s="343" t="s">
        <v>7419</v>
      </c>
      <c r="D1532" s="1070" t="s">
        <v>10093</v>
      </c>
      <c r="E1532" s="1046"/>
      <c r="F1532" s="1046"/>
      <c r="G1532" s="934"/>
      <c r="H1532" s="809" t="s">
        <v>10099</v>
      </c>
      <c r="I1532" s="92">
        <v>21</v>
      </c>
      <c r="J1532" s="92" t="s">
        <v>10</v>
      </c>
      <c r="K1532" s="92" t="s">
        <v>768</v>
      </c>
      <c r="L1532" s="810">
        <v>5</v>
      </c>
      <c r="M1532" s="811" t="str">
        <f t="shared" si="126"/>
        <v>High School Graduate</v>
      </c>
      <c r="P1532" s="1638"/>
      <c r="X1532" s="811" t="str">
        <f t="shared" si="124"/>
        <v/>
      </c>
      <c r="AB1532" s="940"/>
      <c r="AE1532" s="767"/>
      <c r="AF1532" s="965"/>
      <c r="AG1532" s="807" t="str">
        <f t="shared" si="125"/>
        <v/>
      </c>
      <c r="AJ1532" s="865"/>
    </row>
    <row r="1533" spans="1:104" ht="15">
      <c r="A1533" s="343" t="s">
        <v>7419</v>
      </c>
      <c r="D1533" s="1070" t="s">
        <v>10093</v>
      </c>
      <c r="E1533" s="1046"/>
      <c r="F1533" s="1046"/>
      <c r="G1533" s="934"/>
      <c r="H1533" s="809" t="s">
        <v>10100</v>
      </c>
      <c r="I1533" s="92">
        <v>17</v>
      </c>
      <c r="J1533" s="92" t="s">
        <v>18</v>
      </c>
      <c r="K1533" s="92" t="s">
        <v>768</v>
      </c>
      <c r="L1533" s="810">
        <v>5</v>
      </c>
      <c r="M1533" s="811" t="str">
        <f t="shared" si="126"/>
        <v>High School Graduate</v>
      </c>
      <c r="P1533" s="1638"/>
      <c r="X1533" s="811" t="str">
        <f t="shared" si="124"/>
        <v/>
      </c>
      <c r="AB1533" s="940"/>
      <c r="AE1533" s="767"/>
      <c r="AF1533" s="965"/>
      <c r="AG1533" s="807" t="str">
        <f t="shared" si="125"/>
        <v/>
      </c>
      <c r="AJ1533" s="865"/>
    </row>
    <row r="1534" spans="1:104" ht="15">
      <c r="A1534" s="343" t="s">
        <v>7419</v>
      </c>
      <c r="D1534" s="1070" t="s">
        <v>10093</v>
      </c>
      <c r="E1534" s="1046"/>
      <c r="F1534" s="1046"/>
      <c r="G1534" s="934"/>
      <c r="H1534" s="809" t="s">
        <v>10101</v>
      </c>
      <c r="I1534" s="92">
        <v>13</v>
      </c>
      <c r="J1534" s="92" t="s">
        <v>10</v>
      </c>
      <c r="K1534" s="92" t="s">
        <v>768</v>
      </c>
      <c r="L1534" s="810">
        <v>2</v>
      </c>
      <c r="M1534" s="811" t="str">
        <f t="shared" si="126"/>
        <v>Elementary Level</v>
      </c>
      <c r="P1534" s="1638"/>
      <c r="S1534" s="813">
        <f>400*20</f>
        <v>8000</v>
      </c>
      <c r="V1534" s="814">
        <f>SUM(S1527:U1533)</f>
        <v>3000</v>
      </c>
      <c r="X1534" s="811" t="str">
        <f t="shared" si="124"/>
        <v/>
      </c>
      <c r="AB1534" s="940">
        <f>SUM(Y1528:AA1534)</f>
        <v>0</v>
      </c>
      <c r="AE1534" s="767"/>
      <c r="AF1534" s="965"/>
      <c r="AG1534" s="807" t="str">
        <f t="shared" si="125"/>
        <v/>
      </c>
      <c r="AJ1534" s="865"/>
    </row>
    <row r="1535" spans="1:104" ht="15">
      <c r="A1535" s="343" t="s">
        <v>7419</v>
      </c>
      <c r="D1535" s="1070" t="s">
        <v>10093</v>
      </c>
      <c r="E1535" s="1046"/>
      <c r="F1535" s="1046"/>
      <c r="G1535" s="934"/>
      <c r="H1535" s="809" t="s">
        <v>2977</v>
      </c>
      <c r="I1535" s="92">
        <v>51</v>
      </c>
      <c r="J1535" s="92" t="s">
        <v>10</v>
      </c>
      <c r="K1535" s="92" t="s">
        <v>707</v>
      </c>
      <c r="L1535" s="810">
        <v>3</v>
      </c>
      <c r="M1535" s="811" t="str">
        <f t="shared" si="126"/>
        <v>Elementary Graduate</v>
      </c>
      <c r="N1535" s="92" t="s">
        <v>1208</v>
      </c>
      <c r="O1535" s="812" t="s">
        <v>2978</v>
      </c>
      <c r="P1535" s="1638"/>
      <c r="Q1535" s="812" t="s">
        <v>2978</v>
      </c>
      <c r="S1535" s="813">
        <v>800</v>
      </c>
      <c r="V1535" s="828"/>
      <c r="W1535" s="815">
        <v>1</v>
      </c>
      <c r="X1535" s="811" t="str">
        <f t="shared" si="124"/>
        <v>within the Brgy</v>
      </c>
      <c r="AB1535" s="953"/>
      <c r="AG1535" s="807" t="str">
        <f t="shared" si="125"/>
        <v/>
      </c>
      <c r="AJ1535" s="865"/>
      <c r="CX1535" s="807">
        <v>1</v>
      </c>
    </row>
    <row r="1536" spans="1:104" ht="15">
      <c r="A1536" s="343" t="s">
        <v>7419</v>
      </c>
      <c r="B1536" s="292"/>
      <c r="D1536" s="1070" t="s">
        <v>10093</v>
      </c>
      <c r="E1536" s="1046"/>
      <c r="F1536" s="1046"/>
      <c r="G1536" s="934"/>
      <c r="H1536" s="809" t="s">
        <v>10103</v>
      </c>
      <c r="I1536" s="92">
        <v>57</v>
      </c>
      <c r="J1536" s="92" t="s">
        <v>18</v>
      </c>
      <c r="K1536" s="92" t="s">
        <v>707</v>
      </c>
      <c r="L1536" s="810">
        <v>5</v>
      </c>
      <c r="M1536" s="811" t="str">
        <f t="shared" si="126"/>
        <v>High School Graduate</v>
      </c>
      <c r="N1536" s="92" t="s">
        <v>1208</v>
      </c>
      <c r="O1536" s="812" t="s">
        <v>8483</v>
      </c>
      <c r="P1536" s="1638"/>
      <c r="Q1536" s="812" t="s">
        <v>8483</v>
      </c>
      <c r="S1536" s="813" t="s">
        <v>2979</v>
      </c>
      <c r="V1536" s="828"/>
      <c r="W1536" s="815">
        <v>2</v>
      </c>
      <c r="X1536" s="811" t="str">
        <f t="shared" si="124"/>
        <v>within the Municipality/City</v>
      </c>
      <c r="AB1536" s="953"/>
      <c r="AG1536" s="807" t="str">
        <f t="shared" si="125"/>
        <v/>
      </c>
      <c r="AJ1536" s="865"/>
    </row>
    <row r="1537" spans="4:104" ht="15">
      <c r="D1537" s="1069" t="s">
        <v>10102</v>
      </c>
      <c r="H1537" s="809" t="s">
        <v>10104</v>
      </c>
      <c r="I1537" s="92">
        <v>25</v>
      </c>
      <c r="J1537" s="92" t="s">
        <v>10</v>
      </c>
      <c r="K1537" s="92" t="s">
        <v>768</v>
      </c>
      <c r="L1537" s="810">
        <v>7</v>
      </c>
      <c r="M1537" s="811" t="str">
        <f t="shared" si="126"/>
        <v>College Graduate or Higher</v>
      </c>
      <c r="N1537" s="92" t="s">
        <v>1208</v>
      </c>
      <c r="O1537" s="812" t="s">
        <v>10105</v>
      </c>
      <c r="P1537" s="1638"/>
      <c r="Q1537" s="812" t="s">
        <v>10105</v>
      </c>
      <c r="V1537" s="828"/>
      <c r="W1537" s="815">
        <v>3</v>
      </c>
      <c r="X1537" s="811" t="str">
        <f t="shared" si="124"/>
        <v>within the Province</v>
      </c>
      <c r="Y1537" s="816">
        <v>200</v>
      </c>
      <c r="AB1537" s="953"/>
      <c r="AG1537" s="807" t="str">
        <f t="shared" si="125"/>
        <v/>
      </c>
      <c r="AJ1537" s="865"/>
    </row>
    <row r="1538" spans="4:104" ht="15">
      <c r="D1538" s="1069"/>
      <c r="G1538" s="827"/>
      <c r="H1538" s="809" t="s">
        <v>10106</v>
      </c>
      <c r="I1538" s="92">
        <v>23</v>
      </c>
      <c r="J1538" s="92" t="s">
        <v>10</v>
      </c>
      <c r="K1538" s="92" t="s">
        <v>768</v>
      </c>
      <c r="L1538" s="810">
        <v>6</v>
      </c>
      <c r="M1538" s="811" t="str">
        <f t="shared" si="126"/>
        <v>College Level</v>
      </c>
      <c r="P1538" s="1638"/>
      <c r="V1538" s="828"/>
      <c r="X1538" s="811" t="str">
        <f t="shared" si="124"/>
        <v/>
      </c>
      <c r="AB1538" s="953"/>
      <c r="AG1538" s="807" t="str">
        <f t="shared" si="125"/>
        <v/>
      </c>
      <c r="AJ1538" s="865"/>
    </row>
    <row r="1539" spans="4:104" ht="15">
      <c r="D1539" s="1069"/>
      <c r="G1539" s="827"/>
      <c r="H1539" s="809" t="s">
        <v>10107</v>
      </c>
      <c r="I1539" s="92">
        <v>22</v>
      </c>
      <c r="J1539" s="92" t="s">
        <v>18</v>
      </c>
      <c r="K1539" s="92" t="s">
        <v>768</v>
      </c>
      <c r="L1539" s="810">
        <v>5</v>
      </c>
      <c r="M1539" s="811" t="str">
        <f t="shared" si="126"/>
        <v>High School Graduate</v>
      </c>
      <c r="P1539" s="1638"/>
      <c r="S1539" s="813">
        <f>350*26</f>
        <v>9100</v>
      </c>
      <c r="V1539" s="828"/>
      <c r="X1539" s="811" t="str">
        <f t="shared" si="124"/>
        <v/>
      </c>
      <c r="AB1539" s="953"/>
      <c r="AG1539" s="807" t="str">
        <f t="shared" si="125"/>
        <v/>
      </c>
      <c r="AJ1539" s="865"/>
    </row>
    <row r="1540" spans="4:104" ht="15">
      <c r="D1540" s="1069"/>
      <c r="G1540" s="827"/>
      <c r="H1540" s="809" t="s">
        <v>10108</v>
      </c>
      <c r="I1540" s="92">
        <v>25</v>
      </c>
      <c r="J1540" s="92" t="s">
        <v>10</v>
      </c>
      <c r="K1540" s="92" t="s">
        <v>768</v>
      </c>
      <c r="L1540" s="810">
        <v>5</v>
      </c>
      <c r="M1540" s="811" t="str">
        <f t="shared" si="126"/>
        <v>High School Graduate</v>
      </c>
      <c r="N1540" s="92" t="s">
        <v>1208</v>
      </c>
      <c r="O1540" s="812" t="s">
        <v>8632</v>
      </c>
      <c r="P1540" s="1638"/>
      <c r="Q1540" s="812" t="s">
        <v>8632</v>
      </c>
      <c r="V1540" s="828"/>
      <c r="W1540" s="815">
        <v>2</v>
      </c>
      <c r="X1540" s="811" t="str">
        <f t="shared" si="124"/>
        <v>within the Municipality/City</v>
      </c>
      <c r="AB1540" s="953"/>
      <c r="AG1540" s="807" t="str">
        <f t="shared" si="125"/>
        <v/>
      </c>
      <c r="AJ1540" s="865"/>
    </row>
    <row r="1541" spans="4:104" ht="15">
      <c r="D1541" s="1069"/>
      <c r="G1541" s="827"/>
      <c r="H1541" s="809" t="s">
        <v>10109</v>
      </c>
      <c r="I1541" s="92">
        <v>2</v>
      </c>
      <c r="J1541" s="92" t="s">
        <v>10</v>
      </c>
      <c r="K1541" s="92" t="s">
        <v>768</v>
      </c>
      <c r="L1541" s="810">
        <v>10</v>
      </c>
      <c r="M1541" s="811" t="str">
        <f t="shared" si="126"/>
        <v>Not In School Age</v>
      </c>
      <c r="P1541" s="1638"/>
      <c r="V1541" s="828"/>
      <c r="X1541" s="811" t="str">
        <f t="shared" si="124"/>
        <v/>
      </c>
      <c r="AB1541" s="953"/>
      <c r="AG1541" s="807" t="str">
        <f t="shared" si="125"/>
        <v/>
      </c>
      <c r="AJ1541" s="865"/>
    </row>
    <row r="1542" spans="4:104" ht="15">
      <c r="D1542" s="1069"/>
      <c r="G1542" s="827"/>
      <c r="H1542" s="809" t="s">
        <v>10110</v>
      </c>
      <c r="I1542" s="92">
        <v>1</v>
      </c>
      <c r="J1542" s="92" t="s">
        <v>18</v>
      </c>
      <c r="K1542" s="92" t="s">
        <v>768</v>
      </c>
      <c r="L1542" s="810">
        <v>10</v>
      </c>
      <c r="M1542" s="811" t="str">
        <f t="shared" si="126"/>
        <v>Not In School Age</v>
      </c>
      <c r="P1542" s="1638"/>
      <c r="S1542" s="813">
        <v>5200</v>
      </c>
      <c r="U1542" s="813">
        <v>6000</v>
      </c>
      <c r="V1542" s="828">
        <f>SUM(S1534:U1541)</f>
        <v>17900</v>
      </c>
      <c r="X1542" s="811" t="str">
        <f t="shared" si="124"/>
        <v/>
      </c>
      <c r="AB1542" s="953">
        <f>SUM(Y1535:AA1542)</f>
        <v>200</v>
      </c>
      <c r="AG1542" s="807" t="str">
        <f t="shared" si="125"/>
        <v/>
      </c>
      <c r="AJ1542" s="865"/>
    </row>
    <row r="1543" spans="4:104" ht="15">
      <c r="D1543" s="1069"/>
      <c r="G1543" s="827"/>
      <c r="H1543" s="809" t="s">
        <v>10112</v>
      </c>
      <c r="I1543" s="857">
        <v>60</v>
      </c>
      <c r="J1543" s="92" t="s">
        <v>10</v>
      </c>
      <c r="K1543" s="92" t="s">
        <v>707</v>
      </c>
      <c r="L1543" s="810">
        <v>5</v>
      </c>
      <c r="M1543" s="811" t="str">
        <f t="shared" si="126"/>
        <v>High School Graduate</v>
      </c>
      <c r="N1543" s="92" t="s">
        <v>1208</v>
      </c>
      <c r="O1543" s="812" t="s">
        <v>10113</v>
      </c>
      <c r="P1543" s="1638"/>
      <c r="Q1543" s="812" t="s">
        <v>10113</v>
      </c>
      <c r="U1543" s="813">
        <v>3000</v>
      </c>
      <c r="V1543" s="961"/>
      <c r="W1543" s="815">
        <v>1</v>
      </c>
      <c r="X1543" s="811" t="str">
        <f t="shared" si="124"/>
        <v>within the Brgy</v>
      </c>
      <c r="AB1543" s="962"/>
      <c r="AD1543" s="817" t="s">
        <v>10114</v>
      </c>
      <c r="AE1543" s="92"/>
      <c r="AF1543" s="810"/>
      <c r="AG1543" s="807" t="str">
        <f t="shared" si="125"/>
        <v/>
      </c>
      <c r="AJ1543" s="865"/>
    </row>
    <row r="1544" spans="4:104" ht="15">
      <c r="D1544" s="1069"/>
      <c r="G1544" s="827"/>
      <c r="H1544" s="809" t="s">
        <v>3903</v>
      </c>
      <c r="I1544" s="92">
        <v>58</v>
      </c>
      <c r="J1544" s="92" t="s">
        <v>18</v>
      </c>
      <c r="K1544" s="92" t="s">
        <v>707</v>
      </c>
      <c r="L1544" s="810">
        <v>7</v>
      </c>
      <c r="M1544" s="811" t="str">
        <f t="shared" si="126"/>
        <v>College Graduate or Higher</v>
      </c>
      <c r="N1544" s="92" t="s">
        <v>1208</v>
      </c>
      <c r="O1544" s="812" t="s">
        <v>1896</v>
      </c>
      <c r="P1544" s="1638"/>
      <c r="Q1544" s="812" t="s">
        <v>1896</v>
      </c>
      <c r="V1544" s="961"/>
      <c r="W1544" s="815">
        <v>1</v>
      </c>
      <c r="X1544" s="811" t="str">
        <f t="shared" si="124"/>
        <v>within the Brgy</v>
      </c>
      <c r="AB1544" s="962"/>
      <c r="AG1544" s="807" t="str">
        <f t="shared" si="125"/>
        <v/>
      </c>
      <c r="AJ1544" s="865"/>
      <c r="CP1544" s="807">
        <v>1</v>
      </c>
      <c r="CZ1544" s="807">
        <v>1</v>
      </c>
    </row>
    <row r="1545" spans="4:104" ht="15">
      <c r="D1545" s="1070" t="s">
        <v>10111</v>
      </c>
      <c r="E1545" s="1046"/>
      <c r="F1545" s="1046"/>
      <c r="G1545" s="809" t="s">
        <v>2884</v>
      </c>
      <c r="H1545" s="809" t="s">
        <v>10115</v>
      </c>
      <c r="I1545" s="92">
        <v>24</v>
      </c>
      <c r="J1545" s="92" t="s">
        <v>10</v>
      </c>
      <c r="K1545" s="92" t="s">
        <v>722</v>
      </c>
      <c r="L1545" s="810">
        <v>6</v>
      </c>
      <c r="M1545" s="811" t="str">
        <f t="shared" si="126"/>
        <v>College Level</v>
      </c>
      <c r="N1545" s="92" t="s">
        <v>1208</v>
      </c>
      <c r="O1545" s="812" t="s">
        <v>10116</v>
      </c>
      <c r="P1545" s="1638"/>
      <c r="Q1545" s="812" t="s">
        <v>10116</v>
      </c>
      <c r="V1545" s="961"/>
      <c r="W1545" s="815">
        <v>3</v>
      </c>
      <c r="X1545" s="811" t="str">
        <f t="shared" si="124"/>
        <v>within the Province</v>
      </c>
      <c r="AB1545" s="962"/>
      <c r="AG1545" s="807" t="str">
        <f t="shared" si="125"/>
        <v/>
      </c>
      <c r="AJ1545" s="865"/>
    </row>
    <row r="1546" spans="4:104" ht="15">
      <c r="D1546" s="1069"/>
      <c r="G1546" s="827"/>
      <c r="H1546" s="809" t="s">
        <v>10117</v>
      </c>
      <c r="I1546" s="92">
        <v>25</v>
      </c>
      <c r="J1546" s="92" t="s">
        <v>18</v>
      </c>
      <c r="K1546" s="92" t="s">
        <v>722</v>
      </c>
      <c r="L1546" s="810">
        <v>6</v>
      </c>
      <c r="M1546" s="811" t="str">
        <f t="shared" si="126"/>
        <v>College Level</v>
      </c>
      <c r="P1546" s="1638"/>
      <c r="U1546" s="813">
        <v>8000</v>
      </c>
      <c r="V1546" s="961">
        <f>SUM(S1542:U1545)</f>
        <v>14200</v>
      </c>
      <c r="X1546" s="811" t="str">
        <f t="shared" si="124"/>
        <v/>
      </c>
      <c r="AB1546" s="962">
        <f>SUM(Y1543:AA1546)</f>
        <v>0</v>
      </c>
      <c r="AG1546" s="807" t="str">
        <f t="shared" si="125"/>
        <v/>
      </c>
      <c r="AJ1546" s="865"/>
    </row>
    <row r="1547" spans="4:104" ht="15">
      <c r="D1547" s="1069"/>
      <c r="G1547" s="827"/>
      <c r="H1547" s="809" t="s">
        <v>2982</v>
      </c>
      <c r="I1547" s="92">
        <v>36</v>
      </c>
      <c r="J1547" s="92" t="s">
        <v>10</v>
      </c>
      <c r="K1547" s="92" t="s">
        <v>707</v>
      </c>
      <c r="L1547" s="810">
        <v>6</v>
      </c>
      <c r="M1547" s="811" t="str">
        <f t="shared" si="126"/>
        <v>College Level</v>
      </c>
      <c r="N1547" s="92" t="s">
        <v>1208</v>
      </c>
      <c r="O1547" s="812" t="s">
        <v>1909</v>
      </c>
      <c r="P1547" s="1638"/>
      <c r="Q1547" s="812" t="s">
        <v>1909</v>
      </c>
      <c r="W1547" s="815">
        <v>1</v>
      </c>
      <c r="X1547" s="811" t="str">
        <f t="shared" si="124"/>
        <v>within the Brgy</v>
      </c>
      <c r="AB1547" s="940"/>
      <c r="AG1547" s="807" t="str">
        <f t="shared" si="125"/>
        <v/>
      </c>
      <c r="AJ1547" s="865"/>
    </row>
    <row r="1548" spans="4:104" ht="15">
      <c r="D1548" s="1069"/>
      <c r="G1548" s="827"/>
      <c r="H1548" s="809" t="s">
        <v>10119</v>
      </c>
      <c r="I1548" s="92">
        <v>39</v>
      </c>
      <c r="J1548" s="92" t="s">
        <v>18</v>
      </c>
      <c r="K1548" s="92" t="s">
        <v>707</v>
      </c>
      <c r="L1548" s="810">
        <v>7</v>
      </c>
      <c r="M1548" s="811" t="str">
        <f t="shared" si="126"/>
        <v>College Graduate or Higher</v>
      </c>
      <c r="P1548" s="1638"/>
      <c r="X1548" s="811" t="str">
        <f t="shared" si="124"/>
        <v/>
      </c>
      <c r="AB1548" s="940"/>
      <c r="AG1548" s="807" t="str">
        <f t="shared" si="125"/>
        <v/>
      </c>
      <c r="AJ1548" s="865"/>
    </row>
    <row r="1549" spans="4:104" ht="15">
      <c r="D1549" s="1069" t="s">
        <v>10118</v>
      </c>
      <c r="G1549" s="809" t="s">
        <v>2884</v>
      </c>
      <c r="H1549" s="809" t="s">
        <v>10120</v>
      </c>
      <c r="I1549" s="92">
        <v>10</v>
      </c>
      <c r="J1549" s="92" t="s">
        <v>10</v>
      </c>
      <c r="K1549" s="92" t="s">
        <v>768</v>
      </c>
      <c r="L1549" s="810">
        <v>3</v>
      </c>
      <c r="M1549" s="811" t="str">
        <f t="shared" si="126"/>
        <v>Elementary Graduate</v>
      </c>
      <c r="P1549" s="1638"/>
      <c r="X1549" s="811" t="str">
        <f t="shared" si="124"/>
        <v/>
      </c>
      <c r="AB1549" s="940"/>
      <c r="AG1549" s="807" t="str">
        <f t="shared" si="125"/>
        <v/>
      </c>
      <c r="AJ1549" s="865"/>
    </row>
    <row r="1550" spans="4:104" ht="15">
      <c r="D1550" s="1069"/>
      <c r="G1550" s="827"/>
      <c r="H1550" s="809" t="s">
        <v>10121</v>
      </c>
      <c r="I1550" s="92">
        <v>7</v>
      </c>
      <c r="J1550" s="92" t="s">
        <v>18</v>
      </c>
      <c r="K1550" s="92" t="s">
        <v>768</v>
      </c>
      <c r="L1550" s="810">
        <v>2</v>
      </c>
      <c r="M1550" s="811" t="str">
        <f t="shared" si="126"/>
        <v>Elementary Level</v>
      </c>
      <c r="P1550" s="1638"/>
      <c r="R1550" s="92" t="s">
        <v>8234</v>
      </c>
      <c r="S1550" s="813">
        <v>11500</v>
      </c>
      <c r="U1550" s="813">
        <v>3500</v>
      </c>
      <c r="V1550" s="814">
        <f>SUM(S1546:U1549)</f>
        <v>8000</v>
      </c>
      <c r="X1550" s="811" t="str">
        <f t="shared" si="124"/>
        <v/>
      </c>
      <c r="AB1550" s="940">
        <f>SUM(Y1547:AA1550)</f>
        <v>0</v>
      </c>
      <c r="AG1550" s="807" t="str">
        <f t="shared" si="125"/>
        <v/>
      </c>
      <c r="AJ1550" s="865"/>
    </row>
    <row r="1551" spans="4:104" ht="15">
      <c r="D1551" s="1069"/>
      <c r="G1551" s="827"/>
      <c r="H1551" s="809" t="s">
        <v>3916</v>
      </c>
      <c r="I1551" s="92">
        <v>53</v>
      </c>
      <c r="J1551" s="92" t="s">
        <v>10</v>
      </c>
      <c r="K1551" s="92" t="s">
        <v>707</v>
      </c>
      <c r="L1551" s="810">
        <v>6</v>
      </c>
      <c r="M1551" s="811" t="str">
        <f t="shared" si="126"/>
        <v>College Level</v>
      </c>
      <c r="N1551" s="92" t="s">
        <v>1208</v>
      </c>
      <c r="O1551" s="812" t="s">
        <v>10123</v>
      </c>
      <c r="P1551" s="1638"/>
      <c r="Q1551" s="812" t="s">
        <v>10123</v>
      </c>
      <c r="V1551" s="828"/>
      <c r="W1551" s="815">
        <v>1</v>
      </c>
      <c r="X1551" s="811" t="str">
        <f t="shared" si="124"/>
        <v>within the Brgy</v>
      </c>
      <c r="AB1551" s="953"/>
      <c r="AG1551" s="807" t="str">
        <f t="shared" si="125"/>
        <v/>
      </c>
      <c r="AJ1551" s="865"/>
    </row>
    <row r="1552" spans="4:104" ht="15">
      <c r="D1552" s="1069"/>
      <c r="G1552" s="827"/>
      <c r="H1552" s="809" t="s">
        <v>10124</v>
      </c>
      <c r="I1552" s="92">
        <v>27</v>
      </c>
      <c r="J1552" s="92" t="s">
        <v>10</v>
      </c>
      <c r="K1552" s="92" t="s">
        <v>768</v>
      </c>
      <c r="L1552" s="810">
        <v>6</v>
      </c>
      <c r="M1552" s="811" t="str">
        <f t="shared" si="126"/>
        <v>College Level</v>
      </c>
      <c r="P1552" s="1638"/>
      <c r="R1552" s="92" t="s">
        <v>8234</v>
      </c>
      <c r="S1552" s="813">
        <v>20000</v>
      </c>
      <c r="V1552" s="828">
        <f>SUM(S1550:U1551)</f>
        <v>15000</v>
      </c>
      <c r="X1552" s="811" t="str">
        <f t="shared" si="124"/>
        <v/>
      </c>
      <c r="AB1552" s="953">
        <f>SUM(Y1551:AA1552)</f>
        <v>0</v>
      </c>
      <c r="AG1552" s="807" t="str">
        <f t="shared" si="125"/>
        <v/>
      </c>
      <c r="AJ1552" s="865"/>
    </row>
    <row r="1553" spans="1:102" ht="15">
      <c r="A1553" s="925"/>
      <c r="B1553" s="292"/>
      <c r="D1553" s="1070" t="s">
        <v>10122</v>
      </c>
      <c r="E1553" s="1046"/>
      <c r="F1553" s="1046"/>
      <c r="G1553" s="809" t="s">
        <v>3906</v>
      </c>
      <c r="H1553" s="809" t="s">
        <v>3925</v>
      </c>
      <c r="I1553" s="857">
        <v>60</v>
      </c>
      <c r="J1553" s="92" t="s">
        <v>10</v>
      </c>
      <c r="K1553" s="92" t="s">
        <v>707</v>
      </c>
      <c r="L1553" s="810">
        <v>3</v>
      </c>
      <c r="M1553" s="811" t="str">
        <f t="shared" si="126"/>
        <v>Elementary Graduate</v>
      </c>
      <c r="N1553" s="92" t="s">
        <v>1208</v>
      </c>
      <c r="O1553" s="812" t="s">
        <v>3490</v>
      </c>
      <c r="P1553" s="1638"/>
      <c r="Q1553" s="812" t="s">
        <v>3490</v>
      </c>
      <c r="V1553" s="873"/>
      <c r="W1553" s="815">
        <v>1</v>
      </c>
      <c r="X1553" s="811" t="str">
        <f t="shared" si="124"/>
        <v>within the Brgy</v>
      </c>
      <c r="AB1553" s="873"/>
      <c r="AD1553" s="817" t="s">
        <v>10126</v>
      </c>
      <c r="AE1553" s="92"/>
      <c r="AF1553" s="810"/>
      <c r="AG1553" s="807" t="str">
        <f t="shared" si="125"/>
        <v/>
      </c>
      <c r="AJ1553" s="865"/>
      <c r="AK1553" s="836" t="s">
        <v>10127</v>
      </c>
      <c r="AL1553" s="92" t="s">
        <v>2040</v>
      </c>
      <c r="AM1553" s="92" t="s">
        <v>10128</v>
      </c>
      <c r="AN1553" s="813">
        <v>300</v>
      </c>
      <c r="CX1553" s="807">
        <v>1</v>
      </c>
    </row>
    <row r="1554" spans="1:102" ht="15">
      <c r="A1554" s="925"/>
      <c r="B1554" s="292"/>
      <c r="D1554" s="1069"/>
      <c r="G1554" s="827"/>
      <c r="H1554" s="809" t="s">
        <v>11615</v>
      </c>
      <c r="I1554" s="92">
        <v>56</v>
      </c>
      <c r="J1554" s="92" t="s">
        <v>18</v>
      </c>
      <c r="K1554" s="92" t="s">
        <v>707</v>
      </c>
      <c r="L1554" s="810">
        <v>3</v>
      </c>
      <c r="M1554" s="811" t="str">
        <f t="shared" si="126"/>
        <v>Elementary Graduate</v>
      </c>
      <c r="P1554" s="1638"/>
      <c r="R1554" s="812" t="s">
        <v>10310</v>
      </c>
      <c r="S1554" s="813">
        <v>9000</v>
      </c>
      <c r="V1554" s="873"/>
      <c r="X1554" s="811" t="str">
        <f t="shared" si="124"/>
        <v/>
      </c>
      <c r="AB1554" s="873"/>
      <c r="AG1554" s="807" t="str">
        <f t="shared" si="125"/>
        <v/>
      </c>
      <c r="AJ1554" s="865"/>
      <c r="AK1554" s="836" t="s">
        <v>10129</v>
      </c>
      <c r="AL1554" s="92" t="s">
        <v>2040</v>
      </c>
      <c r="AM1554" s="92" t="s">
        <v>2869</v>
      </c>
      <c r="AN1554" s="813">
        <v>350</v>
      </c>
    </row>
    <row r="1555" spans="1:102" ht="15">
      <c r="A1555" s="17" t="s">
        <v>7421</v>
      </c>
      <c r="B1555" s="752" t="s">
        <v>7817</v>
      </c>
      <c r="C1555" s="133" t="s">
        <v>3917</v>
      </c>
      <c r="D1555" s="1070" t="s">
        <v>10125</v>
      </c>
      <c r="E1555" s="514" t="s">
        <v>3917</v>
      </c>
      <c r="F1555" s="1048" t="s">
        <v>11271</v>
      </c>
      <c r="G1555" s="809" t="s">
        <v>3917</v>
      </c>
      <c r="H1555" s="809" t="s">
        <v>11616</v>
      </c>
      <c r="I1555" s="92">
        <v>36</v>
      </c>
      <c r="J1555" s="92" t="s">
        <v>10</v>
      </c>
      <c r="K1555" s="92" t="s">
        <v>722</v>
      </c>
      <c r="L1555" s="810">
        <v>7</v>
      </c>
      <c r="M1555" s="811" t="str">
        <f t="shared" si="126"/>
        <v>College Graduate or Higher</v>
      </c>
      <c r="N1555" s="92" t="s">
        <v>1208</v>
      </c>
      <c r="P1555" s="1638"/>
      <c r="V1555" s="873"/>
      <c r="W1555" s="815">
        <v>1</v>
      </c>
      <c r="X1555" s="811" t="str">
        <f t="shared" si="124"/>
        <v>within the Brgy</v>
      </c>
      <c r="AB1555" s="873"/>
      <c r="AG1555" s="807" t="str">
        <f t="shared" si="125"/>
        <v/>
      </c>
      <c r="AJ1555" s="865"/>
      <c r="AK1555" s="836" t="s">
        <v>10130</v>
      </c>
      <c r="AL1555" s="92" t="s">
        <v>2040</v>
      </c>
      <c r="AN1555" s="813">
        <v>350</v>
      </c>
    </row>
    <row r="1556" spans="1:102" ht="15">
      <c r="D1556" s="1069"/>
      <c r="G1556" s="827"/>
      <c r="M1556" s="811" t="str">
        <f t="shared" si="126"/>
        <v/>
      </c>
      <c r="P1556" s="1638"/>
      <c r="V1556" s="873"/>
      <c r="X1556" s="811" t="str">
        <f t="shared" si="124"/>
        <v/>
      </c>
      <c r="AB1556" s="873"/>
      <c r="AG1556" s="807" t="str">
        <f t="shared" si="125"/>
        <v/>
      </c>
      <c r="AJ1556" s="865"/>
      <c r="AK1556" s="836" t="s">
        <v>10131</v>
      </c>
      <c r="AL1556" s="92" t="s">
        <v>2040</v>
      </c>
      <c r="AN1556" s="813">
        <v>350</v>
      </c>
    </row>
    <row r="1557" spans="1:102" ht="15">
      <c r="D1557" s="1069"/>
      <c r="G1557" s="827"/>
      <c r="M1557" s="811" t="str">
        <f t="shared" si="126"/>
        <v/>
      </c>
      <c r="P1557" s="1638"/>
      <c r="V1557" s="873"/>
      <c r="X1557" s="811" t="str">
        <f t="shared" si="124"/>
        <v/>
      </c>
      <c r="AB1557" s="873"/>
      <c r="AG1557" s="807" t="str">
        <f t="shared" si="125"/>
        <v/>
      </c>
      <c r="AJ1557" s="865"/>
      <c r="AK1557" s="836" t="s">
        <v>10132</v>
      </c>
      <c r="AL1557" s="92" t="s">
        <v>2040</v>
      </c>
      <c r="AN1557" s="813">
        <v>350</v>
      </c>
    </row>
    <row r="1558" spans="1:102" ht="15">
      <c r="D1558" s="1069"/>
      <c r="G1558" s="827"/>
      <c r="M1558" s="811" t="str">
        <f>IF(ISBLANK(L1558)=TRUE,"",LOOKUP(L1558,GQ:GR))</f>
        <v/>
      </c>
      <c r="P1558" s="1638"/>
      <c r="V1558" s="873"/>
      <c r="X1558" s="811" t="str">
        <f t="shared" si="124"/>
        <v/>
      </c>
      <c r="AB1558" s="873"/>
      <c r="AG1558" s="807" t="str">
        <f t="shared" si="125"/>
        <v/>
      </c>
      <c r="AJ1558" s="865"/>
      <c r="AK1558" s="836" t="s">
        <v>10133</v>
      </c>
      <c r="AL1558" s="92" t="s">
        <v>2040</v>
      </c>
      <c r="AN1558" s="813">
        <v>250</v>
      </c>
    </row>
    <row r="1559" spans="1:102" ht="15">
      <c r="D1559" s="1069"/>
      <c r="G1559" s="827"/>
      <c r="M1559" s="811" t="str">
        <f>IF(ISBLANK(L1559)=TRUE,"",LOOKUP(L1559,GQ:GR))</f>
        <v/>
      </c>
      <c r="P1559" s="1638"/>
      <c r="V1559" s="873"/>
      <c r="X1559" s="811" t="str">
        <f t="shared" si="124"/>
        <v/>
      </c>
      <c r="AB1559" s="873"/>
      <c r="AG1559" s="807" t="str">
        <f t="shared" si="125"/>
        <v/>
      </c>
      <c r="AJ1559" s="865"/>
      <c r="AK1559" s="836" t="s">
        <v>10134</v>
      </c>
      <c r="AL1559" s="92" t="s">
        <v>2040</v>
      </c>
      <c r="AN1559" s="813">
        <v>250</v>
      </c>
    </row>
    <row r="1560" spans="1:102" ht="15">
      <c r="D1560" s="1069"/>
      <c r="G1560" s="827"/>
      <c r="M1560" s="811"/>
      <c r="P1560" s="1638"/>
      <c r="V1560" s="873">
        <f>SUM(S1550:U1560)</f>
        <v>44000</v>
      </c>
      <c r="X1560" s="811" t="str">
        <f t="shared" si="124"/>
        <v/>
      </c>
      <c r="AB1560" s="873">
        <f>SUM(Y1551:AA1560)</f>
        <v>0</v>
      </c>
      <c r="AG1560" s="807" t="str">
        <f t="shared" si="125"/>
        <v/>
      </c>
      <c r="AJ1560" s="865"/>
      <c r="AK1560" s="836" t="s">
        <v>2841</v>
      </c>
      <c r="AL1560" s="92" t="s">
        <v>2040</v>
      </c>
      <c r="AN1560" s="813">
        <v>350</v>
      </c>
    </row>
    <row r="1561" spans="1:102" ht="15">
      <c r="D1561" s="1069"/>
      <c r="G1561" s="827"/>
      <c r="M1561" s="811" t="str">
        <f t="shared" ref="M1561:M1624" si="127">IF(ISBLANK(L1561)=TRUE,"",LOOKUP(L1561,GQ:GR))</f>
        <v/>
      </c>
      <c r="P1561" s="1638"/>
      <c r="S1561" s="813">
        <v>2000</v>
      </c>
      <c r="V1561" s="961"/>
      <c r="W1561" s="815">
        <v>1</v>
      </c>
      <c r="X1561" s="811" t="str">
        <f t="shared" si="124"/>
        <v>within the Brgy</v>
      </c>
      <c r="AB1561" s="962"/>
      <c r="AD1561" s="817" t="s">
        <v>10136</v>
      </c>
      <c r="AE1561" s="93" t="s">
        <v>10137</v>
      </c>
      <c r="AF1561" s="818">
        <v>1</v>
      </c>
      <c r="AG1561" s="807" t="str">
        <f t="shared" si="125"/>
        <v>Mental disabilities or PWD</v>
      </c>
      <c r="AJ1561" s="865"/>
    </row>
    <row r="1562" spans="1:102" ht="15">
      <c r="D1562" s="1069"/>
      <c r="G1562" s="827"/>
      <c r="H1562" s="809" t="s">
        <v>2840</v>
      </c>
      <c r="I1562" s="92">
        <v>62</v>
      </c>
      <c r="J1562" s="92" t="s">
        <v>10</v>
      </c>
      <c r="K1562" s="92" t="s">
        <v>707</v>
      </c>
      <c r="L1562" s="810">
        <v>5</v>
      </c>
      <c r="M1562" s="811" t="str">
        <f t="shared" si="127"/>
        <v>High School Graduate</v>
      </c>
      <c r="N1562" s="92" t="s">
        <v>1208</v>
      </c>
      <c r="O1562" s="812" t="s">
        <v>1985</v>
      </c>
      <c r="P1562" s="1638"/>
      <c r="Q1562" s="812" t="s">
        <v>1985</v>
      </c>
      <c r="V1562" s="961"/>
      <c r="X1562" s="811" t="str">
        <f t="shared" si="124"/>
        <v/>
      </c>
      <c r="AB1562" s="962"/>
      <c r="AG1562" s="807" t="str">
        <f t="shared" si="125"/>
        <v/>
      </c>
      <c r="AJ1562" s="865"/>
    </row>
    <row r="1563" spans="1:102" ht="15">
      <c r="D1563" s="1069"/>
      <c r="G1563" s="827"/>
      <c r="H1563" s="809" t="s">
        <v>10138</v>
      </c>
      <c r="I1563" s="92">
        <v>59</v>
      </c>
      <c r="J1563" s="92" t="s">
        <v>18</v>
      </c>
      <c r="K1563" s="92" t="s">
        <v>707</v>
      </c>
      <c r="L1563" s="810">
        <v>3</v>
      </c>
      <c r="M1563" s="811" t="str">
        <f t="shared" si="127"/>
        <v>Elementary Graduate</v>
      </c>
      <c r="P1563" s="1638"/>
      <c r="V1563" s="961"/>
      <c r="X1563" s="811" t="str">
        <f t="shared" si="124"/>
        <v/>
      </c>
      <c r="AB1563" s="962"/>
      <c r="AG1563" s="807" t="str">
        <f t="shared" si="125"/>
        <v/>
      </c>
      <c r="AJ1563" s="865"/>
    </row>
    <row r="1564" spans="1:102" ht="15">
      <c r="D1564" s="1070" t="s">
        <v>10135</v>
      </c>
      <c r="G1564" s="809" t="s">
        <v>2834</v>
      </c>
      <c r="H1564" s="809" t="s">
        <v>10139</v>
      </c>
      <c r="I1564" s="92">
        <v>37</v>
      </c>
      <c r="J1564" s="92" t="s">
        <v>18</v>
      </c>
      <c r="K1564" s="92" t="s">
        <v>768</v>
      </c>
      <c r="L1564" s="810">
        <v>2</v>
      </c>
      <c r="M1564" s="811" t="str">
        <f t="shared" si="127"/>
        <v>Elementary Level</v>
      </c>
      <c r="P1564" s="1638"/>
      <c r="V1564" s="961"/>
      <c r="W1564" s="815">
        <v>5</v>
      </c>
      <c r="X1564" s="811" t="str">
        <f t="shared" si="124"/>
        <v>Overseas Worker</v>
      </c>
      <c r="AB1564" s="962"/>
      <c r="AG1564" s="807" t="str">
        <f t="shared" si="125"/>
        <v/>
      </c>
      <c r="AJ1564" s="865"/>
    </row>
    <row r="1565" spans="1:102" ht="15">
      <c r="D1565" s="1069"/>
      <c r="G1565" s="827"/>
      <c r="H1565" s="809" t="s">
        <v>10140</v>
      </c>
      <c r="I1565" s="92">
        <v>34</v>
      </c>
      <c r="J1565" s="92" t="s">
        <v>10</v>
      </c>
      <c r="K1565" s="92" t="s">
        <v>707</v>
      </c>
      <c r="L1565" s="810">
        <v>7</v>
      </c>
      <c r="M1565" s="811" t="str">
        <f t="shared" si="127"/>
        <v>College Graduate or Higher</v>
      </c>
      <c r="N1565" s="92" t="s">
        <v>1208</v>
      </c>
      <c r="O1565" s="812" t="s">
        <v>2210</v>
      </c>
      <c r="P1565" s="1638"/>
      <c r="Q1565" s="812" t="s">
        <v>2210</v>
      </c>
      <c r="V1565" s="961"/>
      <c r="X1565" s="811" t="str">
        <f t="shared" si="124"/>
        <v/>
      </c>
      <c r="AB1565" s="962"/>
      <c r="AG1565" s="807" t="str">
        <f t="shared" si="125"/>
        <v/>
      </c>
      <c r="AJ1565" s="865"/>
    </row>
    <row r="1566" spans="1:102" ht="15">
      <c r="D1566" s="1069"/>
      <c r="G1566" s="827"/>
      <c r="H1566" s="809" t="s">
        <v>10141</v>
      </c>
      <c r="I1566" s="92">
        <v>33</v>
      </c>
      <c r="J1566" s="92" t="s">
        <v>18</v>
      </c>
      <c r="K1566" s="92" t="s">
        <v>707</v>
      </c>
      <c r="L1566" s="810">
        <v>6</v>
      </c>
      <c r="M1566" s="811" t="str">
        <f t="shared" si="127"/>
        <v>College Level</v>
      </c>
      <c r="P1566" s="1638"/>
      <c r="V1566" s="961">
        <f>SUM(S1561:U1566)</f>
        <v>2000</v>
      </c>
      <c r="X1566" s="811" t="str">
        <f t="shared" si="124"/>
        <v/>
      </c>
      <c r="AB1566" s="962">
        <f>SUM(Y1561:AA1566)</f>
        <v>0</v>
      </c>
      <c r="AG1566" s="807" t="str">
        <f t="shared" si="125"/>
        <v/>
      </c>
      <c r="AJ1566" s="865"/>
    </row>
    <row r="1567" spans="1:102" ht="15">
      <c r="D1567" s="1069"/>
      <c r="G1567" s="827"/>
      <c r="H1567" s="809" t="s">
        <v>10142</v>
      </c>
      <c r="I1567" s="92">
        <v>3</v>
      </c>
      <c r="J1567" s="92" t="s">
        <v>10</v>
      </c>
      <c r="K1567" s="92" t="s">
        <v>768</v>
      </c>
      <c r="L1567" s="810">
        <v>10</v>
      </c>
      <c r="M1567" s="811" t="str">
        <f t="shared" si="127"/>
        <v>Not In School Age</v>
      </c>
      <c r="P1567" s="1638"/>
      <c r="S1567" s="813">
        <f>350*26</f>
        <v>9100</v>
      </c>
      <c r="W1567" s="815">
        <v>1</v>
      </c>
      <c r="X1567" s="811" t="str">
        <f t="shared" si="124"/>
        <v>within the Brgy</v>
      </c>
      <c r="AG1567" s="807" t="str">
        <f t="shared" si="125"/>
        <v/>
      </c>
      <c r="AJ1567" s="865"/>
    </row>
    <row r="1568" spans="1:102" ht="15">
      <c r="D1568" s="1069"/>
      <c r="G1568" s="827"/>
      <c r="H1568" s="809" t="s">
        <v>2983</v>
      </c>
      <c r="I1568" s="92">
        <v>34</v>
      </c>
      <c r="J1568" s="92" t="s">
        <v>10</v>
      </c>
      <c r="K1568" s="92" t="s">
        <v>707</v>
      </c>
      <c r="L1568" s="810">
        <v>5</v>
      </c>
      <c r="M1568" s="811" t="str">
        <f t="shared" si="127"/>
        <v>High School Graduate</v>
      </c>
      <c r="N1568" s="92" t="s">
        <v>1208</v>
      </c>
      <c r="O1568" s="812" t="s">
        <v>2984</v>
      </c>
      <c r="P1568" s="1638"/>
      <c r="Q1568" s="812" t="s">
        <v>2984</v>
      </c>
      <c r="X1568" s="811" t="str">
        <f t="shared" si="124"/>
        <v/>
      </c>
      <c r="AG1568" s="807" t="str">
        <f t="shared" si="125"/>
        <v/>
      </c>
      <c r="AJ1568" s="865"/>
    </row>
    <row r="1569" spans="3:36" ht="15">
      <c r="D1569" s="1069"/>
      <c r="G1569" s="827"/>
      <c r="H1569" s="809" t="s">
        <v>10144</v>
      </c>
      <c r="I1569" s="92">
        <v>30</v>
      </c>
      <c r="J1569" s="92" t="s">
        <v>18</v>
      </c>
      <c r="K1569" s="92" t="s">
        <v>707</v>
      </c>
      <c r="L1569" s="810">
        <v>4</v>
      </c>
      <c r="M1569" s="811" t="str">
        <f t="shared" si="127"/>
        <v>High School Level</v>
      </c>
      <c r="P1569" s="1638"/>
      <c r="X1569" s="811" t="str">
        <f t="shared" si="124"/>
        <v/>
      </c>
      <c r="AG1569" s="807" t="str">
        <f t="shared" si="125"/>
        <v/>
      </c>
      <c r="AJ1569" s="865"/>
    </row>
    <row r="1570" spans="3:36" ht="15">
      <c r="D1570" s="1069" t="s">
        <v>10143</v>
      </c>
      <c r="G1570" s="827"/>
      <c r="H1570" s="809" t="s">
        <v>10145</v>
      </c>
      <c r="I1570" s="92">
        <v>12</v>
      </c>
      <c r="J1570" s="92" t="s">
        <v>10</v>
      </c>
      <c r="K1570" s="92" t="s">
        <v>768</v>
      </c>
      <c r="L1570" s="810">
        <v>2</v>
      </c>
      <c r="M1570" s="811" t="str">
        <f t="shared" si="127"/>
        <v>Elementary Level</v>
      </c>
      <c r="P1570" s="1638"/>
      <c r="X1570" s="811" t="str">
        <f t="shared" si="124"/>
        <v/>
      </c>
      <c r="AG1570" s="807" t="str">
        <f t="shared" si="125"/>
        <v/>
      </c>
      <c r="AJ1570" s="865"/>
    </row>
    <row r="1571" spans="3:36" ht="15">
      <c r="D1571" s="1069"/>
      <c r="G1571" s="827"/>
      <c r="H1571" s="809" t="s">
        <v>10146</v>
      </c>
      <c r="I1571" s="92">
        <v>2</v>
      </c>
      <c r="J1571" s="92" t="s">
        <v>10</v>
      </c>
      <c r="K1571" s="92" t="s">
        <v>768</v>
      </c>
      <c r="L1571" s="810">
        <v>10</v>
      </c>
      <c r="M1571" s="811" t="str">
        <f t="shared" si="127"/>
        <v>Not In School Age</v>
      </c>
      <c r="P1571" s="1638"/>
      <c r="V1571" s="814">
        <f>SUM(S1567:U1571)</f>
        <v>9100</v>
      </c>
      <c r="X1571" s="811" t="str">
        <f t="shared" si="124"/>
        <v/>
      </c>
      <c r="AG1571" s="807" t="str">
        <f t="shared" si="125"/>
        <v/>
      </c>
      <c r="AJ1571" s="865"/>
    </row>
    <row r="1572" spans="3:36" ht="15">
      <c r="D1572" s="1069"/>
      <c r="G1572" s="827"/>
      <c r="H1572" s="809" t="s">
        <v>10147</v>
      </c>
      <c r="I1572" s="930">
        <f>10/12</f>
        <v>0.83333333333333337</v>
      </c>
      <c r="J1572" s="92" t="s">
        <v>18</v>
      </c>
      <c r="K1572" s="92" t="s">
        <v>768</v>
      </c>
      <c r="L1572" s="810">
        <v>10</v>
      </c>
      <c r="M1572" s="811" t="str">
        <f t="shared" si="127"/>
        <v>Not In School Age</v>
      </c>
      <c r="P1572" s="1638"/>
      <c r="S1572" s="813">
        <f>450*26</f>
        <v>11700</v>
      </c>
      <c r="V1572" s="828"/>
      <c r="W1572" s="815">
        <v>3</v>
      </c>
      <c r="X1572" s="811" t="str">
        <f t="shared" si="124"/>
        <v>within the Province</v>
      </c>
      <c r="Y1572" s="816">
        <f>150*26</f>
        <v>3900</v>
      </c>
      <c r="AB1572" s="953"/>
      <c r="AG1572" s="807" t="str">
        <f t="shared" si="125"/>
        <v/>
      </c>
      <c r="AJ1572" s="865"/>
    </row>
    <row r="1573" spans="3:36" ht="15">
      <c r="D1573" s="1069"/>
      <c r="G1573" s="827"/>
      <c r="H1573" s="809" t="s">
        <v>2985</v>
      </c>
      <c r="I1573" s="92">
        <v>31</v>
      </c>
      <c r="J1573" s="92" t="s">
        <v>10</v>
      </c>
      <c r="K1573" s="92" t="s">
        <v>722</v>
      </c>
      <c r="L1573" s="810">
        <v>7</v>
      </c>
      <c r="M1573" s="811" t="str">
        <f t="shared" si="127"/>
        <v>College Graduate or Higher</v>
      </c>
      <c r="N1573" s="92" t="s">
        <v>1208</v>
      </c>
      <c r="O1573" s="812" t="s">
        <v>10149</v>
      </c>
      <c r="P1573" s="1638"/>
      <c r="Q1573" s="812" t="s">
        <v>10149</v>
      </c>
      <c r="U1573" s="813">
        <v>300</v>
      </c>
      <c r="V1573" s="828"/>
      <c r="W1573" s="815">
        <v>1</v>
      </c>
      <c r="X1573" s="811" t="str">
        <f t="shared" si="124"/>
        <v>within the Brgy</v>
      </c>
      <c r="AB1573" s="953"/>
      <c r="AG1573" s="807" t="str">
        <f t="shared" si="125"/>
        <v/>
      </c>
      <c r="AJ1573" s="865"/>
    </row>
    <row r="1574" spans="3:36" ht="15">
      <c r="C1574" s="807"/>
      <c r="D1574" s="1069"/>
      <c r="G1574" s="827"/>
      <c r="H1574" s="809" t="s">
        <v>10150</v>
      </c>
      <c r="I1574" s="92">
        <v>29</v>
      </c>
      <c r="J1574" s="92" t="s">
        <v>18</v>
      </c>
      <c r="K1574" s="92" t="s">
        <v>722</v>
      </c>
      <c r="L1574" s="810">
        <v>6</v>
      </c>
      <c r="M1574" s="811" t="str">
        <f t="shared" si="127"/>
        <v>College Level</v>
      </c>
      <c r="N1574" s="92" t="s">
        <v>1208</v>
      </c>
      <c r="O1574" s="812" t="s">
        <v>2968</v>
      </c>
      <c r="P1574" s="1638"/>
      <c r="Q1574" s="812" t="s">
        <v>2968</v>
      </c>
      <c r="V1574" s="828"/>
      <c r="X1574" s="811" t="str">
        <f t="shared" si="124"/>
        <v/>
      </c>
      <c r="AB1574" s="953"/>
      <c r="AG1574" s="807" t="str">
        <f t="shared" si="125"/>
        <v/>
      </c>
      <c r="AJ1574" s="865"/>
    </row>
    <row r="1575" spans="3:36" ht="15">
      <c r="D1575" s="1069" t="s">
        <v>10148</v>
      </c>
      <c r="G1575" s="827"/>
      <c r="H1575" s="809" t="s">
        <v>10151</v>
      </c>
      <c r="I1575" s="92">
        <v>4</v>
      </c>
      <c r="J1575" s="92" t="s">
        <v>10</v>
      </c>
      <c r="K1575" s="92" t="s">
        <v>768</v>
      </c>
      <c r="L1575" s="810">
        <v>10</v>
      </c>
      <c r="M1575" s="811" t="str">
        <f t="shared" si="127"/>
        <v>Not In School Age</v>
      </c>
      <c r="P1575" s="1638"/>
      <c r="V1575" s="828">
        <f>SUM(S1572:U1575)</f>
        <v>12000</v>
      </c>
      <c r="X1575" s="811" t="str">
        <f t="shared" si="124"/>
        <v/>
      </c>
      <c r="AB1575" s="953">
        <f>SUM(Y1572:AA1575)</f>
        <v>3900</v>
      </c>
      <c r="AG1575" s="807" t="str">
        <f t="shared" si="125"/>
        <v/>
      </c>
      <c r="AJ1575" s="865"/>
    </row>
    <row r="1576" spans="3:36" ht="15">
      <c r="D1576" s="1069"/>
      <c r="G1576" s="827"/>
      <c r="H1576" s="809" t="s">
        <v>10152</v>
      </c>
      <c r="I1576" s="92">
        <v>6</v>
      </c>
      <c r="J1576" s="92" t="s">
        <v>10</v>
      </c>
      <c r="K1576" s="92" t="s">
        <v>768</v>
      </c>
      <c r="L1576" s="810">
        <v>1</v>
      </c>
      <c r="M1576" s="811" t="str">
        <f t="shared" si="127"/>
        <v>Pre-school</v>
      </c>
      <c r="P1576" s="1638"/>
      <c r="S1576" s="813">
        <v>10000</v>
      </c>
      <c r="V1576" s="961"/>
      <c r="W1576" s="815">
        <v>3</v>
      </c>
      <c r="X1576" s="811" t="str">
        <f t="shared" si="124"/>
        <v>within the Province</v>
      </c>
      <c r="Y1576" s="816">
        <f>100*26</f>
        <v>2600</v>
      </c>
      <c r="AB1576" s="962"/>
      <c r="AG1576" s="807" t="str">
        <f t="shared" si="125"/>
        <v/>
      </c>
      <c r="AJ1576" s="865"/>
    </row>
    <row r="1577" spans="3:36" ht="15">
      <c r="D1577" s="1069"/>
      <c r="G1577" s="827"/>
      <c r="H1577" s="809" t="s">
        <v>3941</v>
      </c>
      <c r="I1577" s="92">
        <v>58</v>
      </c>
      <c r="J1577" s="92" t="s">
        <v>10</v>
      </c>
      <c r="K1577" s="92" t="s">
        <v>707</v>
      </c>
      <c r="L1577" s="810">
        <v>5</v>
      </c>
      <c r="M1577" s="811" t="str">
        <f t="shared" si="127"/>
        <v>High School Graduate</v>
      </c>
      <c r="N1577" s="92" t="s">
        <v>1208</v>
      </c>
      <c r="O1577" s="812" t="s">
        <v>2984</v>
      </c>
      <c r="P1577" s="1638"/>
      <c r="Q1577" s="812" t="s">
        <v>2984</v>
      </c>
      <c r="V1577" s="961"/>
      <c r="X1577" s="811" t="str">
        <f t="shared" si="124"/>
        <v/>
      </c>
      <c r="AB1577" s="962"/>
      <c r="AG1577" s="807" t="str">
        <f t="shared" si="125"/>
        <v/>
      </c>
      <c r="AJ1577" s="865"/>
    </row>
    <row r="1578" spans="3:36" ht="15">
      <c r="D1578" s="1069"/>
      <c r="G1578" s="827"/>
      <c r="H1578" s="809" t="s">
        <v>3942</v>
      </c>
      <c r="I1578" s="92">
        <v>55</v>
      </c>
      <c r="J1578" s="92" t="s">
        <v>18</v>
      </c>
      <c r="K1578" s="92" t="s">
        <v>707</v>
      </c>
      <c r="L1578" s="810">
        <v>4</v>
      </c>
      <c r="M1578" s="811" t="str">
        <f t="shared" si="127"/>
        <v>High School Level</v>
      </c>
      <c r="P1578" s="1638"/>
      <c r="S1578" s="813" t="s">
        <v>1217</v>
      </c>
      <c r="V1578" s="961"/>
      <c r="W1578" s="815">
        <v>5</v>
      </c>
      <c r="X1578" s="811" t="str">
        <f t="shared" si="124"/>
        <v>Overseas Worker</v>
      </c>
      <c r="AB1578" s="962"/>
      <c r="AG1578" s="807" t="str">
        <f t="shared" si="125"/>
        <v/>
      </c>
      <c r="AJ1578" s="865"/>
    </row>
    <row r="1579" spans="3:36" ht="15">
      <c r="D1579" s="1069" t="s">
        <v>10153</v>
      </c>
      <c r="G1579" s="809" t="s">
        <v>3935</v>
      </c>
      <c r="H1579" s="809" t="s">
        <v>10154</v>
      </c>
      <c r="I1579" s="92">
        <v>35</v>
      </c>
      <c r="J1579" s="92" t="s">
        <v>10</v>
      </c>
      <c r="K1579" s="92" t="s">
        <v>707</v>
      </c>
      <c r="L1579" s="810">
        <v>6</v>
      </c>
      <c r="M1579" s="811" t="str">
        <f t="shared" si="127"/>
        <v>College Level</v>
      </c>
      <c r="N1579" s="92" t="s">
        <v>1208</v>
      </c>
      <c r="O1579" s="812" t="s">
        <v>2210</v>
      </c>
      <c r="P1579" s="1638"/>
      <c r="Q1579" s="812" t="s">
        <v>2210</v>
      </c>
      <c r="V1579" s="961"/>
      <c r="X1579" s="811" t="str">
        <f t="shared" ref="X1579:X1642" si="128">IF(ISBLANK(W1579)=TRUE,"",LOOKUP(W1579,GO:GP))</f>
        <v/>
      </c>
      <c r="AB1579" s="962"/>
      <c r="AG1579" s="807" t="str">
        <f t="shared" ref="AG1579:AG1642" si="129">IF(ISBLANK(AF1579)=TRUE,"",LOOKUP(AF1579,GS:GT))</f>
        <v/>
      </c>
      <c r="AJ1579" s="865"/>
    </row>
    <row r="1580" spans="3:36" ht="15">
      <c r="D1580" s="1069"/>
      <c r="G1580" s="827"/>
      <c r="H1580" s="809" t="s">
        <v>10155</v>
      </c>
      <c r="I1580" s="92">
        <v>35</v>
      </c>
      <c r="J1580" s="92" t="s">
        <v>18</v>
      </c>
      <c r="K1580" s="92" t="s">
        <v>707</v>
      </c>
      <c r="L1580" s="810">
        <v>7</v>
      </c>
      <c r="M1580" s="811" t="str">
        <f t="shared" si="127"/>
        <v>College Graduate or Higher</v>
      </c>
      <c r="P1580" s="1638"/>
      <c r="V1580" s="961"/>
      <c r="X1580" s="811" t="str">
        <f t="shared" si="128"/>
        <v/>
      </c>
      <c r="AB1580" s="962"/>
      <c r="AG1580" s="807" t="str">
        <f t="shared" si="129"/>
        <v/>
      </c>
      <c r="AJ1580" s="865"/>
    </row>
    <row r="1581" spans="3:36" ht="15">
      <c r="D1581" s="1069"/>
      <c r="G1581" s="827"/>
      <c r="H1581" s="809" t="s">
        <v>10156</v>
      </c>
      <c r="I1581" s="92">
        <v>8</v>
      </c>
      <c r="J1581" s="92" t="s">
        <v>10</v>
      </c>
      <c r="K1581" s="92" t="s">
        <v>768</v>
      </c>
      <c r="L1581" s="810">
        <v>3</v>
      </c>
      <c r="M1581" s="811" t="str">
        <f t="shared" si="127"/>
        <v>Elementary Graduate</v>
      </c>
      <c r="P1581" s="1638"/>
      <c r="V1581" s="961"/>
      <c r="X1581" s="811" t="str">
        <f t="shared" si="128"/>
        <v/>
      </c>
      <c r="AB1581" s="962"/>
      <c r="AG1581" s="807" t="str">
        <f t="shared" si="129"/>
        <v/>
      </c>
      <c r="AJ1581" s="865"/>
    </row>
    <row r="1582" spans="3:36" ht="15">
      <c r="D1582" s="1069"/>
      <c r="G1582" s="827"/>
      <c r="H1582" s="809" t="s">
        <v>10157</v>
      </c>
      <c r="I1582" s="92">
        <v>33</v>
      </c>
      <c r="J1582" s="92" t="s">
        <v>18</v>
      </c>
      <c r="K1582" s="92" t="s">
        <v>707</v>
      </c>
      <c r="L1582" s="810">
        <v>4</v>
      </c>
      <c r="M1582" s="811" t="str">
        <f t="shared" si="127"/>
        <v>High School Level</v>
      </c>
      <c r="P1582" s="1638"/>
      <c r="S1582" s="813" t="s">
        <v>3650</v>
      </c>
      <c r="V1582" s="961"/>
      <c r="W1582" s="815">
        <v>3</v>
      </c>
      <c r="X1582" s="811" t="str">
        <f t="shared" si="128"/>
        <v>within the Province</v>
      </c>
      <c r="Y1582" s="816">
        <f>100*26</f>
        <v>2600</v>
      </c>
      <c r="AB1582" s="962"/>
      <c r="AG1582" s="807" t="str">
        <f t="shared" si="129"/>
        <v/>
      </c>
      <c r="AJ1582" s="865"/>
    </row>
    <row r="1583" spans="3:36" ht="15">
      <c r="D1583" s="1069"/>
      <c r="G1583" s="827"/>
      <c r="H1583" s="809" t="s">
        <v>10158</v>
      </c>
      <c r="I1583" s="92">
        <v>39</v>
      </c>
      <c r="J1583" s="92" t="s">
        <v>10</v>
      </c>
      <c r="K1583" s="92" t="s">
        <v>707</v>
      </c>
      <c r="L1583" s="810">
        <v>7</v>
      </c>
      <c r="M1583" s="811" t="str">
        <f t="shared" si="127"/>
        <v>College Graduate or Higher</v>
      </c>
      <c r="N1583" s="92" t="s">
        <v>1208</v>
      </c>
      <c r="O1583" s="812" t="s">
        <v>8190</v>
      </c>
      <c r="P1583" s="1638"/>
      <c r="Q1583" s="812" t="s">
        <v>8190</v>
      </c>
      <c r="V1583" s="961"/>
      <c r="X1583" s="811" t="str">
        <f t="shared" si="128"/>
        <v/>
      </c>
      <c r="AB1583" s="962"/>
      <c r="AG1583" s="807" t="str">
        <f t="shared" si="129"/>
        <v/>
      </c>
      <c r="AJ1583" s="865"/>
    </row>
    <row r="1584" spans="3:36" ht="15">
      <c r="D1584" s="1069"/>
      <c r="G1584" s="827"/>
      <c r="H1584" s="809" t="s">
        <v>10159</v>
      </c>
      <c r="I1584" s="92">
        <v>6</v>
      </c>
      <c r="J1584" s="92" t="s">
        <v>18</v>
      </c>
      <c r="K1584" s="92" t="s">
        <v>768</v>
      </c>
      <c r="L1584" s="810">
        <v>2</v>
      </c>
      <c r="M1584" s="811" t="str">
        <f t="shared" si="127"/>
        <v>Elementary Level</v>
      </c>
      <c r="P1584" s="1638"/>
      <c r="S1584" s="813">
        <f>480*26</f>
        <v>12480</v>
      </c>
      <c r="V1584" s="961">
        <f>SUM(S1576:U1584)</f>
        <v>22480</v>
      </c>
      <c r="W1584" s="815">
        <v>3</v>
      </c>
      <c r="X1584" s="811" t="str">
        <f t="shared" si="128"/>
        <v>within the Province</v>
      </c>
      <c r="Y1584" s="816">
        <f>24*26</f>
        <v>624</v>
      </c>
      <c r="AB1584" s="962">
        <f>SUM(Y1576:AA1584)</f>
        <v>5824</v>
      </c>
      <c r="AG1584" s="807" t="str">
        <f t="shared" si="129"/>
        <v/>
      </c>
      <c r="AJ1584" s="865"/>
    </row>
    <row r="1585" spans="1:109" ht="15">
      <c r="D1585" s="1069"/>
      <c r="G1585" s="827"/>
      <c r="H1585" s="809" t="s">
        <v>10160</v>
      </c>
      <c r="I1585" s="92">
        <v>28</v>
      </c>
      <c r="J1585" s="92" t="s">
        <v>18</v>
      </c>
      <c r="K1585" s="92" t="s">
        <v>768</v>
      </c>
      <c r="L1585" s="810">
        <v>6</v>
      </c>
      <c r="M1585" s="811" t="str">
        <f t="shared" si="127"/>
        <v>College Level</v>
      </c>
      <c r="N1585" s="92" t="s">
        <v>1208</v>
      </c>
      <c r="O1585" s="812" t="s">
        <v>2225</v>
      </c>
      <c r="P1585" s="1638" t="s">
        <v>12606</v>
      </c>
      <c r="Q1585" s="812" t="s">
        <v>2225</v>
      </c>
      <c r="U1585" s="813">
        <v>10000</v>
      </c>
      <c r="W1585" s="815">
        <v>2</v>
      </c>
      <c r="X1585" s="811" t="str">
        <f t="shared" si="128"/>
        <v>within the Municipality/City</v>
      </c>
      <c r="AB1585" s="940"/>
      <c r="AD1585" s="809" t="s">
        <v>10162</v>
      </c>
      <c r="AG1585" s="807" t="str">
        <f t="shared" si="129"/>
        <v/>
      </c>
      <c r="AJ1585" s="865"/>
      <c r="AO1585" s="817" t="s">
        <v>2848</v>
      </c>
    </row>
    <row r="1586" spans="1:109" ht="15">
      <c r="D1586" s="1069"/>
      <c r="G1586" s="827"/>
      <c r="H1586" s="809" t="s">
        <v>2847</v>
      </c>
      <c r="I1586" s="92">
        <v>64</v>
      </c>
      <c r="J1586" s="92" t="s">
        <v>10</v>
      </c>
      <c r="K1586" s="92" t="s">
        <v>707</v>
      </c>
      <c r="L1586" s="810">
        <v>5</v>
      </c>
      <c r="M1586" s="811" t="str">
        <f t="shared" si="127"/>
        <v>High School Graduate</v>
      </c>
      <c r="N1586" s="92" t="s">
        <v>1208</v>
      </c>
      <c r="O1586" s="812" t="s">
        <v>3703</v>
      </c>
      <c r="P1586" s="1638"/>
      <c r="Q1586" s="812" t="s">
        <v>3703</v>
      </c>
      <c r="X1586" s="811" t="str">
        <f t="shared" si="128"/>
        <v/>
      </c>
      <c r="AB1586" s="940"/>
      <c r="AG1586" s="807" t="str">
        <f t="shared" si="129"/>
        <v/>
      </c>
      <c r="AJ1586" s="865"/>
      <c r="AO1586" s="817" t="s">
        <v>3032</v>
      </c>
    </row>
    <row r="1587" spans="1:109" ht="15">
      <c r="D1587" s="1069"/>
      <c r="G1587" s="827"/>
      <c r="H1587" s="809" t="s">
        <v>10163</v>
      </c>
      <c r="I1587" s="92">
        <v>63</v>
      </c>
      <c r="J1587" s="92" t="s">
        <v>18</v>
      </c>
      <c r="K1587" s="92" t="s">
        <v>707</v>
      </c>
      <c r="L1587" s="810">
        <v>5</v>
      </c>
      <c r="M1587" s="811" t="str">
        <f t="shared" si="127"/>
        <v>High School Graduate</v>
      </c>
      <c r="P1587" s="1638"/>
      <c r="X1587" s="811" t="str">
        <f t="shared" si="128"/>
        <v/>
      </c>
      <c r="AB1587" s="940"/>
      <c r="AG1587" s="807" t="str">
        <f t="shared" si="129"/>
        <v/>
      </c>
      <c r="AJ1587" s="865"/>
      <c r="AO1587" s="817" t="s">
        <v>2861</v>
      </c>
    </row>
    <row r="1588" spans="1:109" ht="15">
      <c r="A1588" s="343" t="s">
        <v>12458</v>
      </c>
      <c r="B1588" s="752" t="s">
        <v>7506</v>
      </c>
      <c r="C1588" s="132" t="s">
        <v>2853</v>
      </c>
      <c r="D1588" s="1069" t="s">
        <v>10161</v>
      </c>
      <c r="G1588" s="809" t="s">
        <v>2853</v>
      </c>
      <c r="H1588" s="809" t="s">
        <v>10164</v>
      </c>
      <c r="I1588" s="92">
        <v>40</v>
      </c>
      <c r="J1588" s="92" t="s">
        <v>18</v>
      </c>
      <c r="K1588" s="92" t="s">
        <v>768</v>
      </c>
      <c r="L1588" s="810">
        <v>6</v>
      </c>
      <c r="M1588" s="811" t="str">
        <f t="shared" si="127"/>
        <v>College Level</v>
      </c>
      <c r="P1588" s="1638"/>
      <c r="X1588" s="811" t="str">
        <f t="shared" si="128"/>
        <v/>
      </c>
      <c r="AB1588" s="940"/>
      <c r="AG1588" s="807" t="str">
        <f t="shared" si="129"/>
        <v/>
      </c>
      <c r="AJ1588" s="865"/>
    </row>
    <row r="1589" spans="1:109" ht="15">
      <c r="A1589" s="17"/>
      <c r="B1589" s="752"/>
      <c r="C1589" s="771"/>
      <c r="D1589" s="1069"/>
      <c r="G1589" s="827"/>
      <c r="H1589" s="809" t="s">
        <v>10165</v>
      </c>
      <c r="I1589" s="92">
        <v>25</v>
      </c>
      <c r="J1589" s="92" t="s">
        <v>18</v>
      </c>
      <c r="K1589" s="92" t="s">
        <v>768</v>
      </c>
      <c r="L1589" s="810">
        <v>5</v>
      </c>
      <c r="M1589" s="811" t="str">
        <f t="shared" si="127"/>
        <v>High School Graduate</v>
      </c>
      <c r="P1589" s="1638"/>
      <c r="X1589" s="811" t="str">
        <f t="shared" si="128"/>
        <v/>
      </c>
      <c r="AB1589" s="940"/>
      <c r="AG1589" s="807" t="str">
        <f t="shared" si="129"/>
        <v/>
      </c>
      <c r="AJ1589" s="865"/>
    </row>
    <row r="1590" spans="1:109" ht="15">
      <c r="A1590" s="17"/>
      <c r="B1590" s="752"/>
      <c r="C1590" s="771"/>
      <c r="D1590" s="1069"/>
      <c r="G1590" s="827"/>
      <c r="H1590" s="809" t="s">
        <v>10166</v>
      </c>
      <c r="I1590" s="92">
        <v>33</v>
      </c>
      <c r="J1590" s="92" t="s">
        <v>10</v>
      </c>
      <c r="K1590" s="92" t="s">
        <v>768</v>
      </c>
      <c r="L1590" s="810">
        <v>5</v>
      </c>
      <c r="M1590" s="811" t="str">
        <f t="shared" si="127"/>
        <v>High School Graduate</v>
      </c>
      <c r="P1590" s="1638"/>
      <c r="S1590" s="813">
        <f>500*26</f>
        <v>13000</v>
      </c>
      <c r="V1590" s="814">
        <f>SUM(S1585:U1590)</f>
        <v>23000</v>
      </c>
      <c r="W1590" s="815">
        <v>3</v>
      </c>
      <c r="X1590" s="811" t="str">
        <f t="shared" si="128"/>
        <v>within the Province</v>
      </c>
      <c r="AB1590" s="940">
        <f>SUM(Y1585:AA1590)</f>
        <v>0</v>
      </c>
      <c r="AG1590" s="807" t="str">
        <f t="shared" si="129"/>
        <v/>
      </c>
      <c r="AJ1590" s="865"/>
    </row>
    <row r="1591" spans="1:109" ht="15">
      <c r="A1591" s="17"/>
      <c r="B1591" s="752"/>
      <c r="C1591" s="17"/>
      <c r="D1591" s="1069"/>
      <c r="G1591" s="827"/>
      <c r="H1591" s="809" t="s">
        <v>10167</v>
      </c>
      <c r="I1591" s="92">
        <v>30</v>
      </c>
      <c r="J1591" s="92" t="s">
        <v>10</v>
      </c>
      <c r="K1591" s="92" t="s">
        <v>768</v>
      </c>
      <c r="L1591" s="810">
        <v>5</v>
      </c>
      <c r="M1591" s="811" t="str">
        <f t="shared" si="127"/>
        <v>High School Graduate</v>
      </c>
      <c r="N1591" s="92" t="s">
        <v>1208</v>
      </c>
      <c r="O1591" s="812" t="s">
        <v>8632</v>
      </c>
      <c r="P1591" s="1638"/>
      <c r="Q1591" s="812" t="s">
        <v>8632</v>
      </c>
      <c r="U1591" s="813">
        <v>4350</v>
      </c>
      <c r="W1591" s="815">
        <v>1</v>
      </c>
      <c r="X1591" s="811" t="str">
        <f t="shared" si="128"/>
        <v>within the Brgy</v>
      </c>
      <c r="AA1591" s="816">
        <f>100*4</f>
        <v>400</v>
      </c>
      <c r="AG1591" s="807" t="str">
        <f t="shared" si="129"/>
        <v/>
      </c>
      <c r="AJ1591" s="865"/>
    </row>
    <row r="1592" spans="1:109" ht="15">
      <c r="D1592" s="1069"/>
      <c r="G1592" s="827"/>
      <c r="H1592" s="809" t="s">
        <v>2848</v>
      </c>
      <c r="I1592" s="92">
        <v>56</v>
      </c>
      <c r="J1592" s="92" t="s">
        <v>18</v>
      </c>
      <c r="K1592" s="92" t="s">
        <v>783</v>
      </c>
      <c r="L1592" s="810">
        <v>4</v>
      </c>
      <c r="M1592" s="811" t="str">
        <f t="shared" si="127"/>
        <v>High School Level</v>
      </c>
      <c r="N1592" s="92" t="s">
        <v>1208</v>
      </c>
      <c r="O1592" s="812" t="s">
        <v>10169</v>
      </c>
      <c r="P1592" s="1638"/>
      <c r="Q1592" s="812" t="s">
        <v>10169</v>
      </c>
      <c r="S1592" s="813">
        <f>480*26</f>
        <v>12480</v>
      </c>
      <c r="W1592" s="815">
        <v>2</v>
      </c>
      <c r="X1592" s="811" t="str">
        <f t="shared" si="128"/>
        <v>within the Municipality/City</v>
      </c>
      <c r="AG1592" s="807" t="str">
        <f t="shared" si="129"/>
        <v/>
      </c>
      <c r="AJ1592" s="865"/>
    </row>
    <row r="1593" spans="1:109" ht="15">
      <c r="D1593" s="1069"/>
      <c r="G1593" s="827"/>
      <c r="H1593" s="809" t="s">
        <v>10170</v>
      </c>
      <c r="I1593" s="92">
        <v>23</v>
      </c>
      <c r="J1593" s="92" t="s">
        <v>10</v>
      </c>
      <c r="K1593" s="92" t="s">
        <v>768</v>
      </c>
      <c r="L1593" s="810">
        <v>4</v>
      </c>
      <c r="M1593" s="811" t="str">
        <f t="shared" si="127"/>
        <v>High School Level</v>
      </c>
      <c r="N1593" s="92" t="s">
        <v>1208</v>
      </c>
      <c r="O1593" s="812" t="s">
        <v>2225</v>
      </c>
      <c r="P1593" s="1638"/>
      <c r="Q1593" s="812" t="s">
        <v>2225</v>
      </c>
      <c r="V1593" s="814">
        <f>SUM(S1591:U1593)</f>
        <v>16830</v>
      </c>
      <c r="X1593" s="811" t="str">
        <f t="shared" si="128"/>
        <v/>
      </c>
      <c r="AB1593" s="924">
        <f>SUM(Y1591:AA1593)</f>
        <v>400</v>
      </c>
      <c r="AG1593" s="807" t="str">
        <f t="shared" si="129"/>
        <v/>
      </c>
      <c r="AJ1593" s="865"/>
    </row>
    <row r="1594" spans="1:109" ht="15">
      <c r="D1594" s="1069" t="s">
        <v>10168</v>
      </c>
      <c r="G1594" s="827"/>
      <c r="H1594" s="809" t="s">
        <v>10171</v>
      </c>
      <c r="I1594" s="92">
        <v>21</v>
      </c>
      <c r="J1594" s="92" t="s">
        <v>18</v>
      </c>
      <c r="K1594" s="92" t="s">
        <v>768</v>
      </c>
      <c r="L1594" s="810">
        <v>4</v>
      </c>
      <c r="M1594" s="811" t="str">
        <f t="shared" si="127"/>
        <v>High School Level</v>
      </c>
      <c r="P1594" s="1638"/>
      <c r="S1594" s="813">
        <f>230*30</f>
        <v>6900</v>
      </c>
      <c r="V1594" s="828"/>
      <c r="W1594" s="815">
        <v>3</v>
      </c>
      <c r="X1594" s="811" t="str">
        <f t="shared" si="128"/>
        <v>within the Province</v>
      </c>
      <c r="AB1594" s="950"/>
      <c r="AG1594" s="807" t="str">
        <f t="shared" si="129"/>
        <v/>
      </c>
      <c r="AJ1594" s="865"/>
      <c r="CR1594" s="807">
        <v>1</v>
      </c>
    </row>
    <row r="1595" spans="1:109" ht="15">
      <c r="D1595" s="1069"/>
      <c r="G1595" s="827"/>
      <c r="H1595" s="809" t="s">
        <v>10173</v>
      </c>
      <c r="I1595" s="92">
        <v>48</v>
      </c>
      <c r="J1595" s="92" t="s">
        <v>18</v>
      </c>
      <c r="K1595" s="92" t="s">
        <v>722</v>
      </c>
      <c r="L1595" s="810">
        <v>3</v>
      </c>
      <c r="M1595" s="811" t="str">
        <f t="shared" si="127"/>
        <v>Elementary Graduate</v>
      </c>
      <c r="N1595" s="92" t="s">
        <v>1208</v>
      </c>
      <c r="O1595" s="812" t="s">
        <v>2986</v>
      </c>
      <c r="P1595" s="1638"/>
      <c r="Q1595" s="812" t="s">
        <v>2986</v>
      </c>
      <c r="U1595" s="813">
        <f>700*30</f>
        <v>21000</v>
      </c>
      <c r="V1595" s="828"/>
      <c r="W1595" s="815">
        <v>1</v>
      </c>
      <c r="X1595" s="811" t="str">
        <f t="shared" si="128"/>
        <v>within the Brgy</v>
      </c>
      <c r="AB1595" s="950"/>
      <c r="AG1595" s="807" t="str">
        <f t="shared" si="129"/>
        <v/>
      </c>
      <c r="AJ1595" s="865"/>
      <c r="DE1595" s="807">
        <v>1</v>
      </c>
    </row>
    <row r="1596" spans="1:109" ht="15">
      <c r="D1596" s="1069"/>
      <c r="G1596" s="827"/>
      <c r="H1596" s="809" t="s">
        <v>10174</v>
      </c>
      <c r="I1596" s="92">
        <v>33</v>
      </c>
      <c r="J1596" s="92" t="s">
        <v>10</v>
      </c>
      <c r="K1596" s="92" t="s">
        <v>722</v>
      </c>
      <c r="L1596" s="810">
        <v>3</v>
      </c>
      <c r="M1596" s="811" t="str">
        <f t="shared" si="127"/>
        <v>Elementary Graduate</v>
      </c>
      <c r="N1596" s="92" t="s">
        <v>1208</v>
      </c>
      <c r="O1596" s="812" t="s">
        <v>2220</v>
      </c>
      <c r="P1596" s="1638"/>
      <c r="Q1596" s="812" t="s">
        <v>2220</v>
      </c>
      <c r="V1596" s="828">
        <f>SUM(S1594:U1596)</f>
        <v>27900</v>
      </c>
      <c r="X1596" s="811" t="str">
        <f t="shared" si="128"/>
        <v/>
      </c>
      <c r="AB1596" s="950"/>
      <c r="AG1596" s="807" t="str">
        <f t="shared" si="129"/>
        <v/>
      </c>
      <c r="AJ1596" s="865"/>
    </row>
    <row r="1597" spans="1:109" ht="15">
      <c r="D1597" s="1069" t="s">
        <v>10172</v>
      </c>
      <c r="G1597" s="827"/>
      <c r="H1597" s="809" t="s">
        <v>10175</v>
      </c>
      <c r="I1597" s="92">
        <v>16</v>
      </c>
      <c r="J1597" s="92" t="s">
        <v>10</v>
      </c>
      <c r="K1597" s="92" t="s">
        <v>10176</v>
      </c>
      <c r="L1597" s="810">
        <v>3</v>
      </c>
      <c r="M1597" s="811" t="str">
        <f t="shared" si="127"/>
        <v>Elementary Graduate</v>
      </c>
      <c r="P1597" s="1638"/>
      <c r="S1597" s="813">
        <v>8400</v>
      </c>
      <c r="V1597" s="961"/>
      <c r="W1597" s="815">
        <v>1</v>
      </c>
      <c r="X1597" s="811" t="str">
        <f t="shared" si="128"/>
        <v>within the Brgy</v>
      </c>
      <c r="AB1597" s="962"/>
      <c r="AG1597" s="807" t="str">
        <f t="shared" si="129"/>
        <v/>
      </c>
      <c r="AJ1597" s="865"/>
    </row>
    <row r="1598" spans="1:109" ht="15">
      <c r="D1598" s="1069"/>
      <c r="G1598" s="827"/>
      <c r="H1598" s="809" t="s">
        <v>2861</v>
      </c>
      <c r="I1598" s="92">
        <v>20</v>
      </c>
      <c r="J1598" s="92" t="s">
        <v>10</v>
      </c>
      <c r="K1598" s="92" t="s">
        <v>722</v>
      </c>
      <c r="L1598" s="810">
        <v>5</v>
      </c>
      <c r="M1598" s="811" t="str">
        <f t="shared" si="127"/>
        <v>High School Graduate</v>
      </c>
      <c r="N1598" s="92" t="s">
        <v>1208</v>
      </c>
      <c r="O1598" s="812" t="s">
        <v>2222</v>
      </c>
      <c r="P1598" s="1638"/>
      <c r="Q1598" s="812" t="s">
        <v>2222</v>
      </c>
      <c r="S1598" s="813">
        <v>7500</v>
      </c>
      <c r="V1598" s="961">
        <f>SUM(S1597:U1598)</f>
        <v>15900</v>
      </c>
      <c r="W1598" s="815">
        <v>3</v>
      </c>
      <c r="X1598" s="811" t="str">
        <f t="shared" si="128"/>
        <v>within the Province</v>
      </c>
      <c r="Y1598" s="816">
        <v>480</v>
      </c>
      <c r="AB1598" s="962">
        <f>SUM(Y1597:AA1598)</f>
        <v>480</v>
      </c>
      <c r="AG1598" s="807" t="str">
        <f t="shared" si="129"/>
        <v/>
      </c>
      <c r="AJ1598" s="865"/>
    </row>
    <row r="1599" spans="1:109" ht="15">
      <c r="D1599" s="1069"/>
      <c r="G1599" s="827"/>
      <c r="H1599" s="809" t="s">
        <v>10178</v>
      </c>
      <c r="I1599" s="92">
        <v>18</v>
      </c>
      <c r="J1599" s="92" t="s">
        <v>18</v>
      </c>
      <c r="K1599" s="92" t="s">
        <v>722</v>
      </c>
      <c r="L1599" s="810">
        <v>5</v>
      </c>
      <c r="M1599" s="811" t="str">
        <f t="shared" si="127"/>
        <v>High School Graduate</v>
      </c>
      <c r="N1599" s="92" t="s">
        <v>1208</v>
      </c>
      <c r="O1599" s="812" t="s">
        <v>10179</v>
      </c>
      <c r="P1599" s="1638"/>
      <c r="Q1599" s="812" t="s">
        <v>10179</v>
      </c>
      <c r="X1599" s="811" t="str">
        <f t="shared" si="128"/>
        <v/>
      </c>
      <c r="AE1599" s="767" t="s">
        <v>10181</v>
      </c>
      <c r="AF1599" s="965">
        <v>3</v>
      </c>
      <c r="AG1599" s="807" t="str">
        <f t="shared" si="129"/>
        <v>Special Medical Care</v>
      </c>
      <c r="AJ1599" s="865"/>
      <c r="CB1599" s="93">
        <v>1</v>
      </c>
    </row>
    <row r="1600" spans="1:109" ht="15">
      <c r="D1600" s="1069" t="s">
        <v>10177</v>
      </c>
      <c r="G1600" s="827"/>
      <c r="M1600" s="811" t="str">
        <f t="shared" si="127"/>
        <v/>
      </c>
      <c r="P1600" s="1638"/>
      <c r="R1600" s="92" t="s">
        <v>8234</v>
      </c>
      <c r="S1600" s="813">
        <v>12000</v>
      </c>
      <c r="V1600" s="969"/>
      <c r="W1600" s="815">
        <v>2</v>
      </c>
      <c r="X1600" s="811" t="str">
        <f t="shared" si="128"/>
        <v>within the Municipality/City</v>
      </c>
      <c r="Y1600" s="816">
        <f>32*26</f>
        <v>832</v>
      </c>
      <c r="AB1600" s="970"/>
      <c r="AE1600" s="767"/>
      <c r="AF1600" s="965"/>
      <c r="AG1600" s="807" t="str">
        <f t="shared" si="129"/>
        <v/>
      </c>
      <c r="AJ1600" s="865"/>
      <c r="CB1600" s="93"/>
    </row>
    <row r="1601" spans="1:80" ht="15">
      <c r="D1601" s="1069"/>
      <c r="G1601" s="827"/>
      <c r="H1601" s="809" t="s">
        <v>3986</v>
      </c>
      <c r="I1601" s="92">
        <v>28</v>
      </c>
      <c r="J1601" s="92" t="s">
        <v>10</v>
      </c>
      <c r="K1601" s="92" t="s">
        <v>722</v>
      </c>
      <c r="L1601" s="810">
        <v>5</v>
      </c>
      <c r="M1601" s="811" t="str">
        <f t="shared" si="127"/>
        <v>High School Graduate</v>
      </c>
      <c r="N1601" s="92" t="s">
        <v>1208</v>
      </c>
      <c r="O1601" s="812" t="s">
        <v>2966</v>
      </c>
      <c r="P1601" s="1638"/>
      <c r="Q1601" s="812" t="s">
        <v>2966</v>
      </c>
      <c r="V1601" s="969">
        <f>SUM(S1600:U1601)</f>
        <v>12000</v>
      </c>
      <c r="X1601" s="811" t="str">
        <f t="shared" si="128"/>
        <v/>
      </c>
      <c r="AB1601" s="970">
        <f>SUM(Y1600:AA1601)</f>
        <v>832</v>
      </c>
      <c r="AE1601" s="767"/>
      <c r="AF1601" s="965"/>
      <c r="AG1601" s="807" t="str">
        <f t="shared" si="129"/>
        <v/>
      </c>
      <c r="AJ1601" s="865"/>
      <c r="CB1601" s="93"/>
    </row>
    <row r="1602" spans="1:80" ht="15">
      <c r="A1602" s="925"/>
      <c r="D1602" s="1069" t="s">
        <v>10180</v>
      </c>
      <c r="G1602" s="827"/>
      <c r="H1602" s="809" t="s">
        <v>10183</v>
      </c>
      <c r="I1602" s="92">
        <v>25</v>
      </c>
      <c r="J1602" s="92" t="s">
        <v>18</v>
      </c>
      <c r="K1602" s="92" t="s">
        <v>722</v>
      </c>
      <c r="L1602" s="810">
        <v>5</v>
      </c>
      <c r="M1602" s="811" t="str">
        <f t="shared" si="127"/>
        <v>High School Graduate</v>
      </c>
      <c r="P1602" s="1638"/>
      <c r="R1602" s="92" t="s">
        <v>8234</v>
      </c>
      <c r="S1602" s="813">
        <f>491*26</f>
        <v>12766</v>
      </c>
      <c r="V1602" s="971"/>
      <c r="W1602" s="815">
        <v>3</v>
      </c>
      <c r="X1602" s="811" t="str">
        <f t="shared" si="128"/>
        <v>within the Province</v>
      </c>
      <c r="Y1602" s="816">
        <f>50*26</f>
        <v>1300</v>
      </c>
      <c r="AB1602" s="972"/>
      <c r="AE1602" s="767"/>
      <c r="AF1602" s="965"/>
      <c r="AG1602" s="807" t="str">
        <f t="shared" si="129"/>
        <v/>
      </c>
      <c r="AJ1602" s="865"/>
      <c r="CB1602" s="93"/>
    </row>
    <row r="1603" spans="1:80" ht="15">
      <c r="A1603" s="925"/>
      <c r="B1603" s="292"/>
      <c r="D1603" s="1070" t="s">
        <v>10182</v>
      </c>
      <c r="E1603" s="1046"/>
      <c r="F1603" s="1046"/>
      <c r="G1603" s="809" t="s">
        <v>3979</v>
      </c>
      <c r="H1603" s="809" t="s">
        <v>3988</v>
      </c>
      <c r="I1603" s="92">
        <v>30</v>
      </c>
      <c r="J1603" s="92" t="s">
        <v>10</v>
      </c>
      <c r="K1603" s="92" t="s">
        <v>722</v>
      </c>
      <c r="L1603" s="810">
        <v>5</v>
      </c>
      <c r="M1603" s="811" t="str">
        <f t="shared" si="127"/>
        <v>High School Graduate</v>
      </c>
      <c r="N1603" s="92" t="s">
        <v>1208</v>
      </c>
      <c r="O1603" s="812" t="s">
        <v>2222</v>
      </c>
      <c r="P1603" s="1638"/>
      <c r="Q1603" s="812" t="s">
        <v>2222</v>
      </c>
      <c r="R1603" s="812" t="s">
        <v>20</v>
      </c>
      <c r="S1603" s="813">
        <v>16000</v>
      </c>
      <c r="V1603" s="971"/>
      <c r="W1603" s="815">
        <v>5</v>
      </c>
      <c r="X1603" s="811" t="str">
        <f t="shared" si="128"/>
        <v>Overseas Worker</v>
      </c>
      <c r="AB1603" s="972"/>
      <c r="AE1603" s="767"/>
      <c r="AF1603" s="965"/>
      <c r="AG1603" s="807" t="str">
        <f t="shared" si="129"/>
        <v/>
      </c>
      <c r="AJ1603" s="865"/>
      <c r="CB1603" s="93"/>
    </row>
    <row r="1604" spans="1:80" ht="15">
      <c r="A1604" s="946"/>
      <c r="B1604" s="292"/>
      <c r="D1604" s="1070"/>
      <c r="E1604" s="1046"/>
      <c r="F1604" s="1046"/>
      <c r="G1604" s="827"/>
      <c r="H1604" s="809" t="s">
        <v>10185</v>
      </c>
      <c r="I1604" s="92">
        <v>26</v>
      </c>
      <c r="J1604" s="92" t="s">
        <v>18</v>
      </c>
      <c r="K1604" s="92" t="s">
        <v>722</v>
      </c>
      <c r="L1604" s="810">
        <v>5</v>
      </c>
      <c r="M1604" s="811" t="str">
        <f t="shared" si="127"/>
        <v>High School Graduate</v>
      </c>
      <c r="N1604" s="92" t="s">
        <v>1208</v>
      </c>
      <c r="O1604" s="812" t="s">
        <v>2217</v>
      </c>
      <c r="P1604" s="1638"/>
      <c r="Q1604" s="812" t="s">
        <v>2217</v>
      </c>
      <c r="V1604" s="971">
        <f>SUM(S1602:U1604)</f>
        <v>28766</v>
      </c>
      <c r="X1604" s="811" t="str">
        <f t="shared" si="128"/>
        <v/>
      </c>
      <c r="AB1604" s="972">
        <f>SUM(Y1602:AA1604)</f>
        <v>1300</v>
      </c>
      <c r="AE1604" s="767"/>
      <c r="AF1604" s="965"/>
      <c r="AG1604" s="807" t="str">
        <f t="shared" si="129"/>
        <v/>
      </c>
      <c r="AJ1604" s="865"/>
      <c r="CB1604" s="93"/>
    </row>
    <row r="1605" spans="1:80" ht="15">
      <c r="A1605" s="17" t="s">
        <v>7421</v>
      </c>
      <c r="B1605" s="752" t="s">
        <v>7822</v>
      </c>
      <c r="C1605" s="132" t="s">
        <v>3987</v>
      </c>
      <c r="D1605" s="1070" t="s">
        <v>10184</v>
      </c>
      <c r="E1605" s="533" t="s">
        <v>3987</v>
      </c>
      <c r="F1605" s="1048" t="s">
        <v>3988</v>
      </c>
      <c r="G1605" s="809" t="s">
        <v>3987</v>
      </c>
      <c r="H1605" s="1639" t="s">
        <v>10186</v>
      </c>
      <c r="I1605" s="1044">
        <v>5</v>
      </c>
      <c r="J1605" s="1044" t="s">
        <v>10</v>
      </c>
      <c r="K1605" s="1044" t="s">
        <v>768</v>
      </c>
      <c r="L1605" s="1640">
        <v>1</v>
      </c>
      <c r="M1605" s="1641" t="str">
        <f t="shared" si="127"/>
        <v>Pre-school</v>
      </c>
      <c r="N1605" s="1044"/>
      <c r="O1605" s="1642"/>
      <c r="P1605" s="1643"/>
      <c r="Q1605" s="1642"/>
      <c r="R1605" s="1044" t="s">
        <v>8234</v>
      </c>
      <c r="S1605" s="1646"/>
      <c r="T1605" s="1646"/>
      <c r="U1605" s="1646">
        <f>500*30</f>
        <v>15000</v>
      </c>
      <c r="V1605" s="973"/>
      <c r="W1605" s="815">
        <v>1</v>
      </c>
      <c r="X1605" s="811" t="str">
        <f t="shared" si="128"/>
        <v>within the Brgy</v>
      </c>
      <c r="AA1605" s="816">
        <f>16*30</f>
        <v>480</v>
      </c>
      <c r="AB1605" s="974"/>
      <c r="AE1605" s="767"/>
      <c r="AF1605" s="965"/>
      <c r="AG1605" s="807" t="str">
        <f t="shared" si="129"/>
        <v/>
      </c>
      <c r="AJ1605" s="865"/>
      <c r="CB1605" s="93"/>
    </row>
    <row r="1606" spans="1:80" ht="15">
      <c r="A1606" s="17" t="s">
        <v>7421</v>
      </c>
      <c r="D1606" s="1070" t="s">
        <v>10184</v>
      </c>
      <c r="E1606" s="533" t="s">
        <v>3987</v>
      </c>
      <c r="G1606" s="827"/>
      <c r="H1606" s="809" t="s">
        <v>4004</v>
      </c>
      <c r="I1606" s="92">
        <v>41</v>
      </c>
      <c r="J1606" s="92" t="s">
        <v>18</v>
      </c>
      <c r="K1606" s="92" t="s">
        <v>783</v>
      </c>
      <c r="L1606" s="810">
        <v>5</v>
      </c>
      <c r="M1606" s="811" t="str">
        <f t="shared" si="127"/>
        <v>High School Graduate</v>
      </c>
      <c r="N1606" s="92" t="s">
        <v>1208</v>
      </c>
      <c r="O1606" s="812" t="s">
        <v>10188</v>
      </c>
      <c r="P1606" s="1638"/>
      <c r="Q1606" s="812" t="s">
        <v>10188</v>
      </c>
      <c r="V1606" s="973"/>
      <c r="X1606" s="811" t="str">
        <f t="shared" si="128"/>
        <v/>
      </c>
      <c r="AB1606" s="974"/>
      <c r="AE1606" s="767"/>
      <c r="AF1606" s="965"/>
      <c r="AG1606" s="807" t="str">
        <f t="shared" si="129"/>
        <v/>
      </c>
      <c r="AJ1606" s="865"/>
      <c r="CB1606" s="93"/>
    </row>
    <row r="1607" spans="1:80" ht="15">
      <c r="A1607" s="17" t="s">
        <v>7421</v>
      </c>
      <c r="D1607" s="1070" t="s">
        <v>10184</v>
      </c>
      <c r="E1607" s="533" t="s">
        <v>3987</v>
      </c>
      <c r="G1607" s="827"/>
      <c r="H1607" s="809" t="s">
        <v>10189</v>
      </c>
      <c r="I1607" s="92">
        <v>19</v>
      </c>
      <c r="J1607" s="92" t="s">
        <v>10</v>
      </c>
      <c r="K1607" s="92" t="s">
        <v>768</v>
      </c>
      <c r="L1607" s="810">
        <v>4</v>
      </c>
      <c r="M1607" s="811" t="str">
        <f t="shared" si="127"/>
        <v>High School Level</v>
      </c>
      <c r="P1607" s="1638"/>
      <c r="V1607" s="973"/>
      <c r="X1607" s="811" t="str">
        <f t="shared" si="128"/>
        <v/>
      </c>
      <c r="AB1607" s="974"/>
      <c r="AE1607" s="93" t="s">
        <v>10191</v>
      </c>
      <c r="AF1607" s="818">
        <v>1</v>
      </c>
      <c r="AG1607" s="807" t="str">
        <f t="shared" si="129"/>
        <v>Mental disabilities or PWD</v>
      </c>
      <c r="AJ1607" s="865"/>
      <c r="CB1607" s="93"/>
    </row>
    <row r="1608" spans="1:80" ht="15">
      <c r="A1608" s="17" t="s">
        <v>7421</v>
      </c>
      <c r="B1608" s="752" t="s">
        <v>7402</v>
      </c>
      <c r="C1608" s="132" t="s">
        <v>3999</v>
      </c>
      <c r="D1608" s="1070" t="s">
        <v>10187</v>
      </c>
      <c r="E1608" s="533" t="s">
        <v>3999</v>
      </c>
      <c r="F1608" s="1048" t="s">
        <v>4004</v>
      </c>
      <c r="G1608" s="809" t="s">
        <v>3999</v>
      </c>
      <c r="H1608" s="809" t="s">
        <v>10190</v>
      </c>
      <c r="I1608" s="92">
        <v>12</v>
      </c>
      <c r="J1608" s="92" t="s">
        <v>18</v>
      </c>
      <c r="K1608" s="92" t="s">
        <v>768</v>
      </c>
      <c r="L1608" s="810">
        <v>4</v>
      </c>
      <c r="M1608" s="811" t="str">
        <f t="shared" si="127"/>
        <v>High School Level</v>
      </c>
      <c r="P1608" s="1638"/>
      <c r="V1608" s="973"/>
      <c r="X1608" s="811" t="str">
        <f t="shared" si="128"/>
        <v/>
      </c>
      <c r="AB1608" s="974"/>
      <c r="AE1608" s="93" t="s">
        <v>10193</v>
      </c>
      <c r="AF1608" s="818">
        <v>4</v>
      </c>
      <c r="AG1608" s="807" t="str">
        <f t="shared" si="129"/>
        <v>Serious Illness</v>
      </c>
      <c r="AJ1608" s="865"/>
      <c r="CB1608" s="93"/>
    </row>
    <row r="1609" spans="1:80" ht="15">
      <c r="A1609" s="17" t="s">
        <v>7421</v>
      </c>
      <c r="D1609" s="1070" t="s">
        <v>10187</v>
      </c>
      <c r="E1609" s="533" t="s">
        <v>3999</v>
      </c>
      <c r="G1609" s="827"/>
      <c r="H1609" s="809" t="s">
        <v>10192</v>
      </c>
      <c r="I1609" s="92">
        <v>10</v>
      </c>
      <c r="J1609" s="92" t="s">
        <v>18</v>
      </c>
      <c r="K1609" s="92" t="s">
        <v>768</v>
      </c>
      <c r="L1609" s="810">
        <v>2</v>
      </c>
      <c r="M1609" s="811" t="str">
        <f t="shared" si="127"/>
        <v>Elementary Level</v>
      </c>
      <c r="P1609" s="1638"/>
      <c r="V1609" s="973"/>
      <c r="X1609" s="811" t="str">
        <f t="shared" si="128"/>
        <v/>
      </c>
      <c r="AB1609" s="974"/>
      <c r="AE1609" s="767"/>
      <c r="AF1609" s="965"/>
      <c r="AG1609" s="807" t="str">
        <f t="shared" si="129"/>
        <v/>
      </c>
      <c r="AJ1609" s="865"/>
      <c r="CB1609" s="93"/>
    </row>
    <row r="1610" spans="1:80" ht="15">
      <c r="A1610" s="17" t="s">
        <v>7421</v>
      </c>
      <c r="D1610" s="1070" t="s">
        <v>10187</v>
      </c>
      <c r="E1610" s="533" t="s">
        <v>3999</v>
      </c>
      <c r="G1610" s="827"/>
      <c r="H1610" s="809" t="s">
        <v>10194</v>
      </c>
      <c r="I1610" s="92">
        <v>8</v>
      </c>
      <c r="J1610" s="92" t="s">
        <v>10</v>
      </c>
      <c r="K1610" s="92" t="s">
        <v>768</v>
      </c>
      <c r="L1610" s="810">
        <v>2</v>
      </c>
      <c r="M1610" s="811" t="str">
        <f t="shared" si="127"/>
        <v>Elementary Level</v>
      </c>
      <c r="P1610" s="1638"/>
      <c r="V1610" s="973">
        <f>SUM(S1605:U1610)</f>
        <v>15000</v>
      </c>
      <c r="X1610" s="811" t="str">
        <f t="shared" si="128"/>
        <v/>
      </c>
      <c r="AB1610" s="974">
        <f>SUM(Y1605:AA1610)</f>
        <v>480</v>
      </c>
      <c r="AE1610" s="767"/>
      <c r="AF1610" s="965"/>
      <c r="AG1610" s="807" t="str">
        <f t="shared" si="129"/>
        <v/>
      </c>
      <c r="AJ1610" s="865"/>
      <c r="CB1610" s="93"/>
    </row>
    <row r="1611" spans="1:80" ht="15">
      <c r="A1611" s="17" t="s">
        <v>7421</v>
      </c>
      <c r="D1611" s="1070" t="s">
        <v>10187</v>
      </c>
      <c r="E1611" s="533" t="s">
        <v>3999</v>
      </c>
      <c r="G1611" s="827"/>
      <c r="H1611" s="1639" t="s">
        <v>10195</v>
      </c>
      <c r="I1611" s="1044">
        <v>10</v>
      </c>
      <c r="J1611" s="1044" t="s">
        <v>10</v>
      </c>
      <c r="K1611" s="1044" t="s">
        <v>768</v>
      </c>
      <c r="L1611" s="1640">
        <v>0</v>
      </c>
      <c r="M1611" s="1641" t="str">
        <f t="shared" si="127"/>
        <v>No Schooling</v>
      </c>
      <c r="N1611" s="1044"/>
      <c r="O1611" s="1642"/>
      <c r="P1611" s="1643"/>
      <c r="Q1611" s="1642"/>
      <c r="R1611" s="1642" t="s">
        <v>8234</v>
      </c>
      <c r="S1611" s="1646">
        <v>12000</v>
      </c>
      <c r="T1611" s="1646"/>
      <c r="U1611" s="1646"/>
      <c r="V1611" s="969"/>
      <c r="W1611" s="815">
        <v>3</v>
      </c>
      <c r="X1611" s="811" t="str">
        <f t="shared" si="128"/>
        <v>within the Province</v>
      </c>
      <c r="Y1611" s="816">
        <v>960</v>
      </c>
      <c r="AB1611" s="970"/>
      <c r="AE1611" s="767"/>
      <c r="AF1611" s="965"/>
      <c r="AG1611" s="807" t="str">
        <f t="shared" si="129"/>
        <v/>
      </c>
      <c r="AJ1611" s="865"/>
      <c r="CB1611" s="93"/>
    </row>
    <row r="1612" spans="1:80" ht="15">
      <c r="A1612" s="17" t="s">
        <v>7421</v>
      </c>
      <c r="D1612" s="1070" t="s">
        <v>10187</v>
      </c>
      <c r="E1612" s="533" t="s">
        <v>3999</v>
      </c>
      <c r="G1612" s="827"/>
      <c r="H1612" s="809" t="s">
        <v>4006</v>
      </c>
      <c r="I1612" s="92">
        <v>40</v>
      </c>
      <c r="J1612" s="92" t="s">
        <v>10</v>
      </c>
      <c r="K1612" s="92" t="s">
        <v>722</v>
      </c>
      <c r="L1612" s="810">
        <v>7</v>
      </c>
      <c r="M1612" s="811" t="str">
        <f t="shared" si="127"/>
        <v>College Graduate or Higher</v>
      </c>
      <c r="N1612" s="92" t="s">
        <v>1208</v>
      </c>
      <c r="O1612" s="812" t="s">
        <v>4008</v>
      </c>
      <c r="P1612" s="1638"/>
      <c r="Q1612" s="812" t="s">
        <v>4008</v>
      </c>
      <c r="V1612" s="969"/>
      <c r="X1612" s="811" t="str">
        <f t="shared" si="128"/>
        <v/>
      </c>
      <c r="AB1612" s="970"/>
      <c r="AE1612" s="767"/>
      <c r="AF1612" s="965"/>
      <c r="AG1612" s="807" t="str">
        <f t="shared" si="129"/>
        <v/>
      </c>
      <c r="AJ1612" s="865"/>
      <c r="CB1612" s="93"/>
    </row>
    <row r="1613" spans="1:80" ht="15">
      <c r="A1613" s="17" t="s">
        <v>7421</v>
      </c>
      <c r="D1613" s="1070" t="s">
        <v>10187</v>
      </c>
      <c r="E1613" s="533" t="s">
        <v>3999</v>
      </c>
      <c r="G1613" s="827"/>
      <c r="H1613" s="809" t="s">
        <v>10197</v>
      </c>
      <c r="I1613" s="92">
        <v>36</v>
      </c>
      <c r="J1613" s="92" t="s">
        <v>18</v>
      </c>
      <c r="K1613" s="92" t="s">
        <v>722</v>
      </c>
      <c r="L1613" s="810">
        <v>6</v>
      </c>
      <c r="M1613" s="811" t="str">
        <f t="shared" si="127"/>
        <v>College Level</v>
      </c>
      <c r="P1613" s="1638"/>
      <c r="R1613" s="812" t="s">
        <v>8285</v>
      </c>
      <c r="U1613" s="813">
        <v>5000</v>
      </c>
      <c r="V1613" s="969"/>
      <c r="W1613" s="815">
        <v>1</v>
      </c>
      <c r="X1613" s="811" t="str">
        <f t="shared" si="128"/>
        <v>within the Brgy</v>
      </c>
      <c r="AB1613" s="970"/>
      <c r="AE1613" s="767"/>
      <c r="AF1613" s="965"/>
      <c r="AG1613" s="807" t="str">
        <f t="shared" si="129"/>
        <v/>
      </c>
      <c r="AJ1613" s="865"/>
      <c r="CB1613" s="93"/>
    </row>
    <row r="1614" spans="1:80" ht="15">
      <c r="D1614" s="1070" t="s">
        <v>10196</v>
      </c>
      <c r="G1614" s="809" t="s">
        <v>4005</v>
      </c>
      <c r="H1614" s="809" t="s">
        <v>4007</v>
      </c>
      <c r="I1614" s="92">
        <v>56</v>
      </c>
      <c r="J1614" s="92" t="s">
        <v>18</v>
      </c>
      <c r="K1614" s="92" t="s">
        <v>768</v>
      </c>
      <c r="L1614" s="810">
        <v>6</v>
      </c>
      <c r="M1614" s="811" t="str">
        <f t="shared" si="127"/>
        <v>College Level</v>
      </c>
      <c r="N1614" s="92" t="s">
        <v>1208</v>
      </c>
      <c r="O1614" s="812" t="s">
        <v>9681</v>
      </c>
      <c r="P1614" s="1638"/>
      <c r="Q1614" s="812" t="s">
        <v>9681</v>
      </c>
      <c r="V1614" s="969"/>
      <c r="X1614" s="811" t="str">
        <f t="shared" si="128"/>
        <v/>
      </c>
      <c r="AB1614" s="970"/>
      <c r="AE1614" s="767"/>
      <c r="AF1614" s="965"/>
      <c r="AG1614" s="807" t="str">
        <f t="shared" si="129"/>
        <v/>
      </c>
      <c r="AJ1614" s="865"/>
      <c r="CB1614" s="93"/>
    </row>
    <row r="1615" spans="1:80" ht="15">
      <c r="D1615" s="1070"/>
      <c r="G1615" s="827"/>
      <c r="H1615" s="809" t="s">
        <v>10198</v>
      </c>
      <c r="I1615" s="92">
        <v>13</v>
      </c>
      <c r="J1615" s="92" t="s">
        <v>18</v>
      </c>
      <c r="K1615" s="92" t="s">
        <v>768</v>
      </c>
      <c r="L1615" s="810">
        <v>3</v>
      </c>
      <c r="M1615" s="811" t="str">
        <f t="shared" si="127"/>
        <v>Elementary Graduate</v>
      </c>
      <c r="P1615" s="1638"/>
      <c r="V1615" s="969"/>
      <c r="X1615" s="811" t="str">
        <f t="shared" si="128"/>
        <v/>
      </c>
      <c r="AB1615" s="970"/>
      <c r="AE1615" s="767"/>
      <c r="AF1615" s="965"/>
      <c r="AG1615" s="807" t="str">
        <f t="shared" si="129"/>
        <v/>
      </c>
      <c r="AJ1615" s="865"/>
      <c r="CB1615" s="93"/>
    </row>
    <row r="1616" spans="1:80" ht="15">
      <c r="D1616" s="1070"/>
      <c r="E1616" s="1046"/>
      <c r="F1616" s="1046"/>
      <c r="G1616" s="827"/>
      <c r="H1616" s="809" t="s">
        <v>10199</v>
      </c>
      <c r="I1616" s="92">
        <v>11</v>
      </c>
      <c r="J1616" s="92" t="s">
        <v>18</v>
      </c>
      <c r="K1616" s="92" t="s">
        <v>768</v>
      </c>
      <c r="L1616" s="810">
        <v>3</v>
      </c>
      <c r="M1616" s="811" t="str">
        <f t="shared" si="127"/>
        <v>Elementary Graduate</v>
      </c>
      <c r="P1616" s="1638"/>
      <c r="V1616" s="969"/>
      <c r="X1616" s="811" t="str">
        <f t="shared" si="128"/>
        <v/>
      </c>
      <c r="AB1616" s="970"/>
      <c r="AE1616" s="767"/>
      <c r="AF1616" s="965"/>
      <c r="AG1616" s="807" t="str">
        <f t="shared" si="129"/>
        <v/>
      </c>
      <c r="AJ1616" s="865"/>
      <c r="CB1616" s="93"/>
    </row>
    <row r="1617" spans="1:102" ht="15">
      <c r="D1617" s="1070"/>
      <c r="E1617" s="1046"/>
      <c r="F1617" s="1046"/>
      <c r="G1617" s="827"/>
      <c r="H1617" s="809" t="s">
        <v>10200</v>
      </c>
      <c r="I1617" s="92">
        <v>9</v>
      </c>
      <c r="J1617" s="92" t="s">
        <v>10</v>
      </c>
      <c r="K1617" s="92" t="s">
        <v>768</v>
      </c>
      <c r="L1617" s="810">
        <v>2</v>
      </c>
      <c r="M1617" s="811" t="str">
        <f t="shared" si="127"/>
        <v>Elementary Level</v>
      </c>
      <c r="P1617" s="1638"/>
      <c r="V1617" s="969">
        <f>SUM(S1611:U1617)</f>
        <v>17000</v>
      </c>
      <c r="X1617" s="811" t="str">
        <f t="shared" si="128"/>
        <v/>
      </c>
      <c r="AB1617" s="970">
        <f>SUM(Y1611:AA1617)</f>
        <v>960</v>
      </c>
      <c r="AE1617" s="767"/>
      <c r="AF1617" s="965"/>
      <c r="AG1617" s="807" t="str">
        <f t="shared" si="129"/>
        <v/>
      </c>
      <c r="AJ1617" s="865"/>
      <c r="CB1617" s="93"/>
    </row>
    <row r="1618" spans="1:102" ht="15">
      <c r="D1618" s="1070"/>
      <c r="E1618" s="1046"/>
      <c r="F1618" s="1046"/>
      <c r="G1618" s="827"/>
      <c r="H1618" s="809" t="s">
        <v>10201</v>
      </c>
      <c r="I1618" s="92">
        <v>7</v>
      </c>
      <c r="J1618" s="92" t="s">
        <v>10</v>
      </c>
      <c r="K1618" s="92" t="s">
        <v>768</v>
      </c>
      <c r="L1618" s="810">
        <v>2</v>
      </c>
      <c r="M1618" s="811" t="str">
        <f t="shared" si="127"/>
        <v>Elementary Level</v>
      </c>
      <c r="P1618" s="1638"/>
      <c r="R1618" s="92" t="s">
        <v>8234</v>
      </c>
      <c r="T1618" s="813">
        <v>30000</v>
      </c>
      <c r="V1618" s="971"/>
      <c r="W1618" s="815">
        <v>1</v>
      </c>
      <c r="X1618" s="811" t="str">
        <f t="shared" si="128"/>
        <v>within the Brgy</v>
      </c>
      <c r="Z1618" s="816">
        <v>10000</v>
      </c>
      <c r="AB1618" s="972"/>
      <c r="AE1618" s="767"/>
      <c r="AF1618" s="965"/>
      <c r="AG1618" s="807" t="str">
        <f t="shared" si="129"/>
        <v/>
      </c>
      <c r="AJ1618" s="865"/>
      <c r="CB1618" s="93"/>
      <c r="CX1618" s="807">
        <v>1</v>
      </c>
    </row>
    <row r="1619" spans="1:102" ht="15">
      <c r="D1619" s="1070"/>
      <c r="E1619" s="1046"/>
      <c r="F1619" s="1046"/>
      <c r="G1619" s="827"/>
      <c r="H1619" s="809" t="s">
        <v>4024</v>
      </c>
      <c r="I1619" s="92">
        <v>38</v>
      </c>
      <c r="J1619" s="92" t="s">
        <v>10</v>
      </c>
      <c r="K1619" s="92" t="s">
        <v>722</v>
      </c>
      <c r="L1619" s="810">
        <v>6</v>
      </c>
      <c r="M1619" s="811" t="str">
        <f t="shared" si="127"/>
        <v>College Level</v>
      </c>
      <c r="N1619" s="92" t="s">
        <v>1208</v>
      </c>
      <c r="O1619" s="812" t="s">
        <v>10203</v>
      </c>
      <c r="P1619" s="1638"/>
      <c r="Q1619" s="812" t="s">
        <v>10203</v>
      </c>
      <c r="U1619" s="813">
        <f>1200*4</f>
        <v>4800</v>
      </c>
      <c r="V1619" s="971"/>
      <c r="W1619" s="815">
        <v>2</v>
      </c>
      <c r="X1619" s="811" t="str">
        <f t="shared" si="128"/>
        <v>within the Municipality/City</v>
      </c>
      <c r="AA1619" s="816">
        <f>16*26</f>
        <v>416</v>
      </c>
      <c r="AB1619" s="972"/>
      <c r="AE1619" s="767"/>
      <c r="AF1619" s="965"/>
      <c r="AG1619" s="807" t="str">
        <f t="shared" si="129"/>
        <v/>
      </c>
      <c r="AJ1619" s="865"/>
      <c r="CB1619" s="93"/>
    </row>
    <row r="1620" spans="1:102" ht="15">
      <c r="D1620" s="1070"/>
      <c r="E1620" s="1046"/>
      <c r="F1620" s="1046"/>
      <c r="G1620" s="827"/>
      <c r="H1620" s="809" t="s">
        <v>10204</v>
      </c>
      <c r="I1620" s="92">
        <v>40</v>
      </c>
      <c r="J1620" s="92" t="s">
        <v>18</v>
      </c>
      <c r="K1620" s="92" t="s">
        <v>722</v>
      </c>
      <c r="L1620" s="810">
        <v>6</v>
      </c>
      <c r="M1620" s="811" t="str">
        <f t="shared" si="127"/>
        <v>College Level</v>
      </c>
      <c r="N1620" s="92" t="s">
        <v>1208</v>
      </c>
      <c r="O1620" s="812" t="s">
        <v>2972</v>
      </c>
      <c r="P1620" s="1638"/>
      <c r="Q1620" s="812" t="s">
        <v>2972</v>
      </c>
      <c r="V1620" s="971"/>
      <c r="X1620" s="811" t="str">
        <f t="shared" si="128"/>
        <v/>
      </c>
      <c r="AB1620" s="972"/>
      <c r="AE1620" s="767"/>
      <c r="AF1620" s="965"/>
      <c r="AG1620" s="807" t="str">
        <f t="shared" si="129"/>
        <v/>
      </c>
      <c r="AJ1620" s="865"/>
      <c r="CB1620" s="93"/>
    </row>
    <row r="1621" spans="1:102" ht="15">
      <c r="A1621" s="343" t="s">
        <v>7419</v>
      </c>
      <c r="B1621" s="752" t="s">
        <v>7723</v>
      </c>
      <c r="C1621" s="133" t="s">
        <v>4016</v>
      </c>
      <c r="D1621" s="1070" t="s">
        <v>10202</v>
      </c>
      <c r="E1621" s="1046"/>
      <c r="F1621" s="1046"/>
      <c r="G1621" s="809" t="s">
        <v>4016</v>
      </c>
      <c r="H1621" s="809" t="s">
        <v>10205</v>
      </c>
      <c r="I1621" s="92">
        <v>16</v>
      </c>
      <c r="J1621" s="92" t="s">
        <v>10</v>
      </c>
      <c r="K1621" s="92" t="s">
        <v>768</v>
      </c>
      <c r="L1621" s="810">
        <v>5</v>
      </c>
      <c r="M1621" s="811" t="str">
        <f t="shared" si="127"/>
        <v>High School Graduate</v>
      </c>
      <c r="P1621" s="1638"/>
      <c r="V1621" s="971"/>
      <c r="X1621" s="811" t="str">
        <f t="shared" si="128"/>
        <v/>
      </c>
      <c r="AB1621" s="972"/>
      <c r="AE1621" s="767"/>
      <c r="AF1621" s="965"/>
      <c r="AG1621" s="807" t="str">
        <f t="shared" si="129"/>
        <v/>
      </c>
      <c r="AJ1621" s="865"/>
      <c r="CB1621" s="93"/>
    </row>
    <row r="1622" spans="1:102" ht="15">
      <c r="A1622" s="343" t="s">
        <v>7419</v>
      </c>
      <c r="D1622" s="1070" t="s">
        <v>10202</v>
      </c>
      <c r="E1622" s="1046"/>
      <c r="F1622" s="1046"/>
      <c r="G1622" s="827"/>
      <c r="H1622" s="809" t="s">
        <v>10206</v>
      </c>
      <c r="I1622" s="92">
        <v>17</v>
      </c>
      <c r="J1622" s="92" t="s">
        <v>10</v>
      </c>
      <c r="K1622" s="92" t="s">
        <v>768</v>
      </c>
      <c r="L1622" s="810">
        <v>4</v>
      </c>
      <c r="M1622" s="811" t="str">
        <f t="shared" si="127"/>
        <v>High School Level</v>
      </c>
      <c r="P1622" s="1638"/>
      <c r="V1622" s="971"/>
      <c r="X1622" s="811" t="str">
        <f t="shared" si="128"/>
        <v/>
      </c>
      <c r="AB1622" s="972"/>
      <c r="AE1622" s="767"/>
      <c r="AF1622" s="965"/>
      <c r="AG1622" s="807" t="str">
        <f t="shared" si="129"/>
        <v/>
      </c>
      <c r="AJ1622" s="865"/>
      <c r="CB1622" s="93"/>
    </row>
    <row r="1623" spans="1:102" ht="15">
      <c r="A1623" s="343" t="s">
        <v>7419</v>
      </c>
      <c r="D1623" s="1070" t="s">
        <v>10202</v>
      </c>
      <c r="E1623" s="1046"/>
      <c r="F1623" s="1046"/>
      <c r="G1623" s="827"/>
      <c r="H1623" s="809" t="s">
        <v>10207</v>
      </c>
      <c r="I1623" s="92">
        <v>13</v>
      </c>
      <c r="J1623" s="92" t="s">
        <v>10</v>
      </c>
      <c r="K1623" s="92" t="s">
        <v>768</v>
      </c>
      <c r="L1623" s="810">
        <v>2</v>
      </c>
      <c r="M1623" s="811" t="str">
        <f t="shared" si="127"/>
        <v>Elementary Level</v>
      </c>
      <c r="P1623" s="1638"/>
      <c r="V1623" s="971"/>
      <c r="X1623" s="811" t="str">
        <f t="shared" si="128"/>
        <v/>
      </c>
      <c r="AB1623" s="972"/>
      <c r="AE1623" s="767"/>
      <c r="AF1623" s="965"/>
      <c r="AG1623" s="807" t="str">
        <f t="shared" si="129"/>
        <v/>
      </c>
      <c r="AJ1623" s="865"/>
      <c r="CB1623" s="93"/>
    </row>
    <row r="1624" spans="1:102" ht="15">
      <c r="A1624" s="343" t="s">
        <v>7419</v>
      </c>
      <c r="D1624" s="1070" t="s">
        <v>10202</v>
      </c>
      <c r="E1624" s="1046"/>
      <c r="F1624" s="1046"/>
      <c r="G1624" s="827"/>
      <c r="H1624" s="809" t="s">
        <v>10208</v>
      </c>
      <c r="I1624" s="92">
        <v>10</v>
      </c>
      <c r="J1624" s="92" t="s">
        <v>18</v>
      </c>
      <c r="K1624" s="92" t="s">
        <v>768</v>
      </c>
      <c r="L1624" s="810">
        <v>2</v>
      </c>
      <c r="M1624" s="811" t="str">
        <f t="shared" si="127"/>
        <v>Elementary Level</v>
      </c>
      <c r="P1624" s="1638"/>
      <c r="V1624" s="971">
        <f>SUM(S1618:U1624)</f>
        <v>34800</v>
      </c>
      <c r="X1624" s="811" t="str">
        <f t="shared" si="128"/>
        <v/>
      </c>
      <c r="AB1624" s="972">
        <f>SUM(Y1618:AA1624)</f>
        <v>10416</v>
      </c>
      <c r="AE1624" s="767"/>
      <c r="AF1624" s="965"/>
      <c r="AG1624" s="807" t="str">
        <f t="shared" si="129"/>
        <v/>
      </c>
      <c r="AJ1624" s="865"/>
      <c r="CB1624" s="93"/>
    </row>
    <row r="1625" spans="1:102" ht="15">
      <c r="A1625" s="343" t="s">
        <v>7419</v>
      </c>
      <c r="D1625" s="1070" t="s">
        <v>10202</v>
      </c>
      <c r="E1625" s="1046"/>
      <c r="F1625" s="1046"/>
      <c r="G1625" s="827"/>
      <c r="H1625" s="1639" t="s">
        <v>10209</v>
      </c>
      <c r="I1625" s="1044">
        <v>5</v>
      </c>
      <c r="J1625" s="1044" t="s">
        <v>10</v>
      </c>
      <c r="K1625" s="1044" t="s">
        <v>768</v>
      </c>
      <c r="L1625" s="1640">
        <v>1</v>
      </c>
      <c r="M1625" s="1641" t="str">
        <f t="shared" ref="M1625:M1688" si="130">IF(ISBLANK(L1625)=TRUE,"",LOOKUP(L1625,GQ:GR))</f>
        <v>Pre-school</v>
      </c>
      <c r="N1625" s="1044"/>
      <c r="O1625" s="1642"/>
      <c r="P1625" s="1643"/>
      <c r="Q1625" s="1642"/>
      <c r="R1625" s="1044" t="s">
        <v>8234</v>
      </c>
      <c r="S1625" s="1646"/>
      <c r="T1625" s="1646"/>
      <c r="U1625" s="1646"/>
      <c r="V1625" s="973"/>
      <c r="X1625" s="811" t="str">
        <f t="shared" si="128"/>
        <v/>
      </c>
      <c r="AB1625" s="974"/>
      <c r="AD1625" s="817" t="s">
        <v>10211</v>
      </c>
      <c r="AE1625" s="767"/>
      <c r="AF1625" s="965"/>
      <c r="AG1625" s="807" t="str">
        <f t="shared" si="129"/>
        <v/>
      </c>
      <c r="AJ1625" s="865"/>
      <c r="CB1625" s="93"/>
    </row>
    <row r="1626" spans="1:102" ht="15">
      <c r="A1626" s="343" t="s">
        <v>7419</v>
      </c>
      <c r="D1626" s="1070" t="s">
        <v>10202</v>
      </c>
      <c r="E1626" s="1046"/>
      <c r="F1626" s="1046"/>
      <c r="G1626" s="827"/>
      <c r="H1626" s="809" t="s">
        <v>4033</v>
      </c>
      <c r="I1626" s="92">
        <v>80</v>
      </c>
      <c r="J1626" s="92" t="s">
        <v>10</v>
      </c>
      <c r="K1626" s="92" t="s">
        <v>719</v>
      </c>
      <c r="L1626" s="810">
        <v>2</v>
      </c>
      <c r="M1626" s="811" t="str">
        <f t="shared" si="130"/>
        <v>Elementary Level</v>
      </c>
      <c r="P1626" s="1638"/>
      <c r="V1626" s="973"/>
      <c r="X1626" s="811" t="str">
        <f t="shared" si="128"/>
        <v/>
      </c>
      <c r="AB1626" s="974"/>
      <c r="AE1626" s="767"/>
      <c r="AF1626" s="965"/>
      <c r="AG1626" s="807" t="str">
        <f t="shared" si="129"/>
        <v/>
      </c>
      <c r="AJ1626" s="865"/>
      <c r="CB1626" s="93"/>
    </row>
    <row r="1627" spans="1:102" ht="15">
      <c r="A1627" s="343" t="s">
        <v>7419</v>
      </c>
      <c r="D1627" s="1070" t="s">
        <v>10202</v>
      </c>
      <c r="E1627" s="1046"/>
      <c r="F1627" s="1046"/>
      <c r="G1627" s="827"/>
      <c r="H1627" s="809" t="s">
        <v>10212</v>
      </c>
      <c r="I1627" s="92">
        <v>52</v>
      </c>
      <c r="J1627" s="92" t="s">
        <v>18</v>
      </c>
      <c r="K1627" s="92" t="s">
        <v>707</v>
      </c>
      <c r="L1627" s="810">
        <v>5</v>
      </c>
      <c r="M1627" s="811" t="str">
        <f t="shared" si="130"/>
        <v>High School Graduate</v>
      </c>
      <c r="P1627" s="1638"/>
      <c r="V1627" s="973"/>
      <c r="X1627" s="811" t="str">
        <f t="shared" si="128"/>
        <v/>
      </c>
      <c r="AB1627" s="974"/>
      <c r="AE1627" s="767"/>
      <c r="AF1627" s="965"/>
      <c r="AG1627" s="807" t="str">
        <f t="shared" si="129"/>
        <v/>
      </c>
      <c r="AJ1627" s="865"/>
      <c r="CB1627" s="93"/>
    </row>
    <row r="1628" spans="1:102" ht="15">
      <c r="D1628" s="1070" t="s">
        <v>10210</v>
      </c>
      <c r="E1628" s="1046"/>
      <c r="F1628" s="1046"/>
      <c r="G1628" s="841" t="s">
        <v>4026</v>
      </c>
      <c r="H1628" s="809" t="s">
        <v>10213</v>
      </c>
      <c r="I1628" s="92">
        <v>48</v>
      </c>
      <c r="J1628" s="92" t="s">
        <v>18</v>
      </c>
      <c r="K1628" s="92" t="s">
        <v>707</v>
      </c>
      <c r="L1628" s="810">
        <v>6</v>
      </c>
      <c r="M1628" s="811" t="str">
        <f t="shared" si="130"/>
        <v>College Level</v>
      </c>
      <c r="P1628" s="1638"/>
      <c r="V1628" s="973"/>
      <c r="X1628" s="811" t="str">
        <f t="shared" si="128"/>
        <v/>
      </c>
      <c r="AB1628" s="974"/>
      <c r="AE1628" s="767"/>
      <c r="AF1628" s="965"/>
      <c r="AG1628" s="807" t="str">
        <f t="shared" si="129"/>
        <v/>
      </c>
      <c r="AJ1628" s="865"/>
      <c r="CB1628" s="93"/>
    </row>
    <row r="1629" spans="1:102" ht="15">
      <c r="D1629" s="1070"/>
      <c r="E1629" s="1046"/>
      <c r="F1629" s="1046"/>
      <c r="G1629" s="827"/>
      <c r="H1629" s="809" t="s">
        <v>10214</v>
      </c>
      <c r="I1629" s="92">
        <v>46</v>
      </c>
      <c r="J1629" s="92" t="s">
        <v>10</v>
      </c>
      <c r="K1629" s="92" t="s">
        <v>707</v>
      </c>
      <c r="L1629" s="810">
        <v>6</v>
      </c>
      <c r="M1629" s="811" t="str">
        <f t="shared" si="130"/>
        <v>College Level</v>
      </c>
      <c r="P1629" s="1638"/>
      <c r="V1629" s="973"/>
      <c r="X1629" s="811" t="str">
        <f t="shared" si="128"/>
        <v/>
      </c>
      <c r="AB1629" s="974"/>
      <c r="AE1629" s="767"/>
      <c r="AF1629" s="965"/>
      <c r="AG1629" s="807" t="str">
        <f t="shared" si="129"/>
        <v/>
      </c>
      <c r="AJ1629" s="865"/>
      <c r="CB1629" s="93"/>
    </row>
    <row r="1630" spans="1:102" ht="15">
      <c r="D1630" s="1070"/>
      <c r="E1630" s="1046"/>
      <c r="F1630" s="1046"/>
      <c r="G1630" s="827"/>
      <c r="H1630" s="809" t="s">
        <v>10215</v>
      </c>
      <c r="I1630" s="92">
        <v>54</v>
      </c>
      <c r="J1630" s="92" t="s">
        <v>10</v>
      </c>
      <c r="K1630" s="92" t="s">
        <v>768</v>
      </c>
      <c r="L1630" s="810">
        <v>5</v>
      </c>
      <c r="M1630" s="811" t="str">
        <f t="shared" si="130"/>
        <v>High School Graduate</v>
      </c>
      <c r="P1630" s="1638"/>
      <c r="V1630" s="973"/>
      <c r="X1630" s="811" t="str">
        <f t="shared" si="128"/>
        <v/>
      </c>
      <c r="AB1630" s="974"/>
      <c r="AE1630" s="767"/>
      <c r="AF1630" s="965"/>
      <c r="AG1630" s="807" t="str">
        <f t="shared" si="129"/>
        <v/>
      </c>
      <c r="AJ1630" s="865"/>
      <c r="CB1630" s="93"/>
    </row>
    <row r="1631" spans="1:102" ht="15">
      <c r="D1631" s="1070"/>
      <c r="E1631" s="1046"/>
      <c r="F1631" s="1046"/>
      <c r="G1631" s="827"/>
      <c r="H1631" s="809" t="s">
        <v>10216</v>
      </c>
      <c r="I1631" s="92">
        <v>57</v>
      </c>
      <c r="J1631" s="92" t="s">
        <v>10</v>
      </c>
      <c r="K1631" s="92" t="s">
        <v>768</v>
      </c>
      <c r="L1631" s="810">
        <v>5</v>
      </c>
      <c r="M1631" s="811" t="str">
        <f t="shared" si="130"/>
        <v>High School Graduate</v>
      </c>
      <c r="P1631" s="1638"/>
      <c r="S1631" s="813">
        <v>12000</v>
      </c>
      <c r="V1631" s="973"/>
      <c r="W1631" s="815">
        <v>3</v>
      </c>
      <c r="X1631" s="811" t="str">
        <f t="shared" si="128"/>
        <v>within the Province</v>
      </c>
      <c r="AB1631" s="974"/>
      <c r="AE1631" s="767"/>
      <c r="AF1631" s="965"/>
      <c r="AG1631" s="807" t="str">
        <f t="shared" si="129"/>
        <v/>
      </c>
      <c r="AJ1631" s="865"/>
      <c r="CB1631" s="93"/>
    </row>
    <row r="1632" spans="1:102" ht="15">
      <c r="D1632" s="1070"/>
      <c r="E1632" s="1046"/>
      <c r="F1632" s="1046"/>
      <c r="G1632" s="827"/>
      <c r="H1632" s="809" t="s">
        <v>10217</v>
      </c>
      <c r="I1632" s="92">
        <v>32</v>
      </c>
      <c r="J1632" s="92" t="s">
        <v>10</v>
      </c>
      <c r="K1632" s="92" t="s">
        <v>768</v>
      </c>
      <c r="L1632" s="810">
        <v>5</v>
      </c>
      <c r="M1632" s="811" t="str">
        <f t="shared" si="130"/>
        <v>High School Graduate</v>
      </c>
      <c r="N1632" s="92" t="s">
        <v>1208</v>
      </c>
      <c r="O1632" s="812" t="s">
        <v>10218</v>
      </c>
      <c r="P1632" s="1638"/>
      <c r="Q1632" s="812" t="s">
        <v>10218</v>
      </c>
      <c r="V1632" s="973"/>
      <c r="X1632" s="811" t="str">
        <f t="shared" si="128"/>
        <v/>
      </c>
      <c r="AB1632" s="974"/>
      <c r="AE1632" s="767"/>
      <c r="AF1632" s="965"/>
      <c r="AG1632" s="807" t="str">
        <f t="shared" si="129"/>
        <v/>
      </c>
      <c r="AJ1632" s="865"/>
      <c r="CB1632" s="93"/>
    </row>
    <row r="1633" spans="1:97" ht="15">
      <c r="D1633" s="1070"/>
      <c r="E1633" s="1046"/>
      <c r="F1633" s="1046"/>
      <c r="G1633" s="827"/>
      <c r="H1633" s="809" t="s">
        <v>10219</v>
      </c>
      <c r="I1633" s="92">
        <v>42</v>
      </c>
      <c r="J1633" s="92" t="s">
        <v>18</v>
      </c>
      <c r="K1633" s="92" t="s">
        <v>707</v>
      </c>
      <c r="L1633" s="810">
        <v>3</v>
      </c>
      <c r="M1633" s="811" t="str">
        <f t="shared" si="130"/>
        <v>Elementary Graduate</v>
      </c>
      <c r="P1633" s="1638"/>
      <c r="V1633" s="973"/>
      <c r="X1633" s="811" t="str">
        <f t="shared" si="128"/>
        <v/>
      </c>
      <c r="AB1633" s="974"/>
      <c r="AE1633" s="767"/>
      <c r="AF1633" s="965"/>
      <c r="AG1633" s="807" t="str">
        <f t="shared" si="129"/>
        <v/>
      </c>
      <c r="AJ1633" s="865"/>
      <c r="CB1633" s="93"/>
    </row>
    <row r="1634" spans="1:97" ht="15">
      <c r="A1634" s="946"/>
      <c r="B1634" s="292"/>
      <c r="C1634" s="292"/>
      <c r="D1634" s="1070"/>
      <c r="E1634" s="1046"/>
      <c r="F1634" s="1046"/>
      <c r="G1634" s="827"/>
      <c r="H1634" s="809" t="s">
        <v>10220</v>
      </c>
      <c r="I1634" s="92">
        <v>18</v>
      </c>
      <c r="J1634" s="92" t="s">
        <v>18</v>
      </c>
      <c r="K1634" s="92" t="s">
        <v>768</v>
      </c>
      <c r="L1634" s="810">
        <v>5</v>
      </c>
      <c r="M1634" s="811" t="str">
        <f t="shared" si="130"/>
        <v>High School Graduate</v>
      </c>
      <c r="P1634" s="1638"/>
      <c r="S1634" s="813">
        <v>12000</v>
      </c>
      <c r="V1634" s="973"/>
      <c r="W1634" s="815">
        <v>3</v>
      </c>
      <c r="X1634" s="811" t="str">
        <f t="shared" si="128"/>
        <v>within the Province</v>
      </c>
      <c r="Y1634" s="816">
        <v>590</v>
      </c>
      <c r="AB1634" s="974"/>
      <c r="AE1634" s="767"/>
      <c r="AF1634" s="965"/>
      <c r="AG1634" s="807" t="str">
        <f t="shared" si="129"/>
        <v/>
      </c>
      <c r="AJ1634" s="865"/>
      <c r="CB1634" s="93"/>
    </row>
    <row r="1635" spans="1:97" ht="15">
      <c r="A1635" s="946"/>
      <c r="B1635" s="292"/>
      <c r="C1635" s="292"/>
      <c r="D1635" s="1070"/>
      <c r="E1635" s="1046"/>
      <c r="F1635" s="1046"/>
      <c r="G1635" s="827"/>
      <c r="H1635" s="809" t="s">
        <v>10221</v>
      </c>
      <c r="I1635" s="92">
        <v>23</v>
      </c>
      <c r="J1635" s="92" t="s">
        <v>10</v>
      </c>
      <c r="K1635" s="92" t="s">
        <v>722</v>
      </c>
      <c r="L1635" s="810">
        <v>9</v>
      </c>
      <c r="M1635" s="811" t="str">
        <f t="shared" si="130"/>
        <v>Vocational Graduate</v>
      </c>
      <c r="N1635" s="92" t="s">
        <v>1208</v>
      </c>
      <c r="O1635" s="812" t="s">
        <v>2226</v>
      </c>
      <c r="P1635" s="1638"/>
      <c r="Q1635" s="812" t="s">
        <v>2226</v>
      </c>
      <c r="V1635" s="973"/>
      <c r="X1635" s="811" t="str">
        <f t="shared" si="128"/>
        <v/>
      </c>
      <c r="AB1635" s="974"/>
      <c r="AE1635" s="767"/>
      <c r="AF1635" s="965"/>
      <c r="AG1635" s="807" t="str">
        <f t="shared" si="129"/>
        <v/>
      </c>
      <c r="AJ1635" s="865"/>
      <c r="CB1635" s="93"/>
    </row>
    <row r="1636" spans="1:97" ht="15">
      <c r="A1636" s="946"/>
      <c r="B1636" s="292"/>
      <c r="D1636" s="1070"/>
      <c r="E1636" s="1046"/>
      <c r="F1636" s="1046"/>
      <c r="G1636" s="827"/>
      <c r="H1636" s="809" t="s">
        <v>10222</v>
      </c>
      <c r="I1636" s="92">
        <v>8</v>
      </c>
      <c r="J1636" s="92" t="s">
        <v>18</v>
      </c>
      <c r="K1636" s="92" t="s">
        <v>768</v>
      </c>
      <c r="L1636" s="810">
        <v>2</v>
      </c>
      <c r="M1636" s="811" t="str">
        <f t="shared" si="130"/>
        <v>Elementary Level</v>
      </c>
      <c r="P1636" s="1638"/>
      <c r="V1636" s="973"/>
      <c r="X1636" s="811" t="str">
        <f t="shared" si="128"/>
        <v/>
      </c>
      <c r="AB1636" s="974"/>
      <c r="AE1636" s="767"/>
      <c r="AF1636" s="965"/>
      <c r="AG1636" s="807" t="str">
        <f t="shared" si="129"/>
        <v/>
      </c>
      <c r="AJ1636" s="865"/>
      <c r="CB1636" s="93"/>
    </row>
    <row r="1637" spans="1:97" ht="15">
      <c r="A1637" s="946"/>
      <c r="B1637" s="292"/>
      <c r="D1637" s="1070"/>
      <c r="E1637" s="1046"/>
      <c r="F1637" s="1046"/>
      <c r="G1637" s="827"/>
      <c r="H1637" s="809" t="s">
        <v>10223</v>
      </c>
      <c r="I1637" s="92">
        <v>22</v>
      </c>
      <c r="J1637" s="92" t="s">
        <v>18</v>
      </c>
      <c r="K1637" s="92" t="s">
        <v>722</v>
      </c>
      <c r="L1637" s="810">
        <v>7</v>
      </c>
      <c r="M1637" s="811" t="str">
        <f t="shared" si="130"/>
        <v>College Graduate or Higher</v>
      </c>
      <c r="P1637" s="1638"/>
      <c r="V1637" s="973"/>
      <c r="X1637" s="811" t="str">
        <f t="shared" si="128"/>
        <v/>
      </c>
      <c r="AB1637" s="974"/>
      <c r="AE1637" s="767"/>
      <c r="AF1637" s="965"/>
      <c r="AG1637" s="807" t="str">
        <f t="shared" si="129"/>
        <v/>
      </c>
      <c r="AJ1637" s="865"/>
      <c r="CB1637" s="93"/>
    </row>
    <row r="1638" spans="1:97" ht="15">
      <c r="A1638" s="946"/>
      <c r="B1638" s="292"/>
      <c r="D1638" s="1070"/>
      <c r="E1638" s="1046"/>
      <c r="F1638" s="1046"/>
      <c r="G1638" s="827"/>
      <c r="H1638" s="809" t="s">
        <v>10224</v>
      </c>
      <c r="I1638" s="92">
        <v>2</v>
      </c>
      <c r="J1638" s="92" t="s">
        <v>10</v>
      </c>
      <c r="K1638" s="92" t="s">
        <v>768</v>
      </c>
      <c r="L1638" s="810">
        <v>0</v>
      </c>
      <c r="M1638" s="811" t="str">
        <f t="shared" si="130"/>
        <v>No Schooling</v>
      </c>
      <c r="P1638" s="1638"/>
      <c r="V1638" s="973"/>
      <c r="X1638" s="811" t="str">
        <f t="shared" si="128"/>
        <v/>
      </c>
      <c r="AB1638" s="974"/>
      <c r="AE1638" s="767"/>
      <c r="AF1638" s="965"/>
      <c r="AG1638" s="807" t="str">
        <f t="shared" si="129"/>
        <v/>
      </c>
      <c r="AJ1638" s="865"/>
      <c r="CB1638" s="93"/>
    </row>
    <row r="1639" spans="1:97" ht="15">
      <c r="A1639" s="946"/>
      <c r="B1639" s="292"/>
      <c r="D1639" s="1070"/>
      <c r="E1639" s="1046"/>
      <c r="F1639" s="1046"/>
      <c r="G1639" s="827"/>
      <c r="H1639" s="809" t="s">
        <v>10225</v>
      </c>
      <c r="I1639" s="92">
        <v>3</v>
      </c>
      <c r="J1639" s="92" t="s">
        <v>10</v>
      </c>
      <c r="K1639" s="92" t="s">
        <v>768</v>
      </c>
      <c r="L1639" s="810">
        <v>0</v>
      </c>
      <c r="M1639" s="811" t="str">
        <f t="shared" si="130"/>
        <v>No Schooling</v>
      </c>
      <c r="P1639" s="1638"/>
      <c r="S1639" s="813">
        <v>12000</v>
      </c>
      <c r="V1639" s="973"/>
      <c r="W1639" s="815">
        <v>3</v>
      </c>
      <c r="X1639" s="811" t="str">
        <f t="shared" si="128"/>
        <v>within the Province</v>
      </c>
      <c r="AB1639" s="974"/>
      <c r="AE1639" s="767"/>
      <c r="AF1639" s="965"/>
      <c r="AG1639" s="807" t="str">
        <f t="shared" si="129"/>
        <v/>
      </c>
      <c r="AJ1639" s="865"/>
      <c r="CB1639" s="93"/>
    </row>
    <row r="1640" spans="1:97" ht="15">
      <c r="A1640" s="946"/>
      <c r="B1640" s="292"/>
      <c r="D1640" s="1070"/>
      <c r="E1640" s="1046"/>
      <c r="F1640" s="1046"/>
      <c r="G1640" s="827"/>
      <c r="H1640" s="809" t="s">
        <v>10226</v>
      </c>
      <c r="I1640" s="92">
        <v>26</v>
      </c>
      <c r="J1640" s="92" t="s">
        <v>10</v>
      </c>
      <c r="K1640" s="92" t="s">
        <v>707</v>
      </c>
      <c r="L1640" s="810">
        <v>6</v>
      </c>
      <c r="M1640" s="811" t="str">
        <f t="shared" si="130"/>
        <v>College Level</v>
      </c>
      <c r="N1640" s="92" t="s">
        <v>1208</v>
      </c>
      <c r="O1640" s="812" t="s">
        <v>3388</v>
      </c>
      <c r="P1640" s="1638"/>
      <c r="Q1640" s="812" t="s">
        <v>3388</v>
      </c>
      <c r="V1640" s="973"/>
      <c r="X1640" s="811" t="str">
        <f t="shared" si="128"/>
        <v/>
      </c>
      <c r="AB1640" s="974"/>
      <c r="AE1640" s="767"/>
      <c r="AF1640" s="965"/>
      <c r="AG1640" s="807" t="str">
        <f t="shared" si="129"/>
        <v/>
      </c>
      <c r="AJ1640" s="865"/>
      <c r="CB1640" s="93"/>
    </row>
    <row r="1641" spans="1:97" ht="15">
      <c r="A1641" s="946"/>
      <c r="B1641" s="292"/>
      <c r="D1641" s="1070"/>
      <c r="E1641" s="1046"/>
      <c r="F1641" s="1046"/>
      <c r="G1641" s="827"/>
      <c r="H1641" s="809" t="s">
        <v>10227</v>
      </c>
      <c r="I1641" s="92">
        <v>3</v>
      </c>
      <c r="J1641" s="92" t="s">
        <v>10</v>
      </c>
      <c r="K1641" s="92" t="s">
        <v>768</v>
      </c>
      <c r="L1641" s="810">
        <v>0</v>
      </c>
      <c r="M1641" s="811" t="str">
        <f t="shared" si="130"/>
        <v>No Schooling</v>
      </c>
      <c r="P1641" s="1638"/>
      <c r="S1641" s="813">
        <v>12000</v>
      </c>
      <c r="V1641" s="973">
        <f>SUM(S1625:U1641)</f>
        <v>48000</v>
      </c>
      <c r="W1641" s="815">
        <v>3</v>
      </c>
      <c r="X1641" s="811" t="str">
        <f t="shared" si="128"/>
        <v>within the Province</v>
      </c>
      <c r="Y1641" s="816">
        <v>480</v>
      </c>
      <c r="AB1641" s="974">
        <f>SUM(Y1625:AA1641)</f>
        <v>1070</v>
      </c>
      <c r="AE1641" s="767"/>
      <c r="AF1641" s="965"/>
      <c r="AG1641" s="807" t="str">
        <f t="shared" si="129"/>
        <v/>
      </c>
      <c r="AJ1641" s="865"/>
      <c r="CB1641" s="93"/>
    </row>
    <row r="1642" spans="1:97" ht="15">
      <c r="A1642" s="946"/>
      <c r="B1642" s="292"/>
      <c r="D1642" s="1070"/>
      <c r="E1642" s="1046"/>
      <c r="F1642" s="1046"/>
      <c r="G1642" s="827"/>
      <c r="H1642" s="809" t="s">
        <v>10228</v>
      </c>
      <c r="I1642" s="92">
        <v>27</v>
      </c>
      <c r="J1642" s="92" t="s">
        <v>18</v>
      </c>
      <c r="K1642" s="92" t="s">
        <v>707</v>
      </c>
      <c r="L1642" s="810">
        <v>7</v>
      </c>
      <c r="M1642" s="811" t="str">
        <f t="shared" si="130"/>
        <v>College Graduate or Higher</v>
      </c>
      <c r="N1642" s="92" t="s">
        <v>1208</v>
      </c>
      <c r="O1642" s="812" t="s">
        <v>10229</v>
      </c>
      <c r="P1642" s="1638" t="s">
        <v>12606</v>
      </c>
      <c r="Q1642" s="812" t="s">
        <v>10229</v>
      </c>
      <c r="R1642" s="92" t="s">
        <v>8234</v>
      </c>
      <c r="S1642" s="813">
        <v>5000</v>
      </c>
      <c r="V1642" s="969"/>
      <c r="W1642" s="815">
        <v>1</v>
      </c>
      <c r="X1642" s="811" t="str">
        <f t="shared" si="128"/>
        <v>within the Brgy</v>
      </c>
      <c r="AB1642" s="970"/>
      <c r="AD1642" s="817" t="s">
        <v>10231</v>
      </c>
      <c r="AE1642" s="767"/>
      <c r="AF1642" s="965"/>
      <c r="AG1642" s="807" t="str">
        <f t="shared" si="129"/>
        <v/>
      </c>
      <c r="AJ1642" s="865"/>
      <c r="CB1642" s="93"/>
      <c r="CS1642" s="807">
        <v>1</v>
      </c>
    </row>
    <row r="1643" spans="1:97" ht="15">
      <c r="A1643" s="946"/>
      <c r="B1643" s="292"/>
      <c r="D1643" s="1070"/>
      <c r="E1643" s="1046"/>
      <c r="F1643" s="1046"/>
      <c r="G1643" s="827"/>
      <c r="H1643" s="809" t="s">
        <v>4046</v>
      </c>
      <c r="I1643" s="92">
        <v>72</v>
      </c>
      <c r="J1643" s="92" t="s">
        <v>10</v>
      </c>
      <c r="K1643" s="92" t="s">
        <v>707</v>
      </c>
      <c r="L1643" s="810">
        <v>2</v>
      </c>
      <c r="M1643" s="811" t="str">
        <f t="shared" si="130"/>
        <v>Elementary Level</v>
      </c>
      <c r="N1643" s="92" t="s">
        <v>1208</v>
      </c>
      <c r="O1643" s="812" t="s">
        <v>9419</v>
      </c>
      <c r="P1643" s="1638"/>
      <c r="Q1643" s="812" t="s">
        <v>9419</v>
      </c>
      <c r="V1643" s="969"/>
      <c r="X1643" s="811" t="str">
        <f t="shared" ref="X1643:X1706" si="131">IF(ISBLANK(W1643)=TRUE,"",LOOKUP(W1643,GO:GP))</f>
        <v/>
      </c>
      <c r="AB1643" s="970"/>
      <c r="AD1643" s="817" t="s">
        <v>10233</v>
      </c>
      <c r="AE1643" s="767"/>
      <c r="AF1643" s="965"/>
      <c r="AG1643" s="807" t="str">
        <f t="shared" ref="AG1643:AG1683" si="132">IF(ISBLANK(AF1643)=TRUE,"",LOOKUP(AF1643,GS:GT))</f>
        <v/>
      </c>
      <c r="AJ1643" s="865"/>
      <c r="CB1643" s="93"/>
    </row>
    <row r="1644" spans="1:97" ht="15">
      <c r="A1644" s="925"/>
      <c r="B1644" s="292"/>
      <c r="D1644" s="1070"/>
      <c r="E1644" s="1046"/>
      <c r="F1644" s="1046"/>
      <c r="G1644" s="827"/>
      <c r="H1644" s="809" t="s">
        <v>10232</v>
      </c>
      <c r="I1644" s="92">
        <v>72</v>
      </c>
      <c r="J1644" s="92" t="s">
        <v>18</v>
      </c>
      <c r="K1644" s="92" t="s">
        <v>707</v>
      </c>
      <c r="L1644" s="810">
        <v>2</v>
      </c>
      <c r="M1644" s="811" t="str">
        <f t="shared" si="130"/>
        <v>Elementary Level</v>
      </c>
      <c r="P1644" s="1638"/>
      <c r="S1644" s="813" t="s">
        <v>2979</v>
      </c>
      <c r="V1644" s="969"/>
      <c r="X1644" s="811" t="str">
        <f t="shared" si="131"/>
        <v/>
      </c>
      <c r="AB1644" s="970"/>
      <c r="AE1644" s="767"/>
      <c r="AF1644" s="965"/>
      <c r="AG1644" s="807" t="str">
        <f t="shared" si="132"/>
        <v/>
      </c>
      <c r="AJ1644" s="865"/>
      <c r="CB1644" s="93"/>
    </row>
    <row r="1645" spans="1:97" ht="15">
      <c r="A1645" s="17" t="s">
        <v>7421</v>
      </c>
      <c r="B1645" s="752" t="s">
        <v>7824</v>
      </c>
      <c r="C1645" s="133" t="s">
        <v>4044</v>
      </c>
      <c r="D1645" s="1070" t="s">
        <v>10230</v>
      </c>
      <c r="E1645" s="514" t="s">
        <v>4044</v>
      </c>
      <c r="F1645" s="1048" t="s">
        <v>4046</v>
      </c>
      <c r="G1645" s="846" t="s">
        <v>4044</v>
      </c>
      <c r="H1645" s="809" t="s">
        <v>10234</v>
      </c>
      <c r="I1645" s="92">
        <v>49</v>
      </c>
      <c r="J1645" s="92" t="s">
        <v>18</v>
      </c>
      <c r="K1645" s="92" t="s">
        <v>768</v>
      </c>
      <c r="L1645" s="810">
        <v>7</v>
      </c>
      <c r="M1645" s="811" t="str">
        <f t="shared" si="130"/>
        <v>College Graduate or Higher</v>
      </c>
      <c r="N1645" s="92" t="s">
        <v>1208</v>
      </c>
      <c r="O1645" s="812" t="s">
        <v>10236</v>
      </c>
      <c r="P1645" s="1638"/>
      <c r="Q1645" s="812" t="s">
        <v>10236</v>
      </c>
      <c r="V1645" s="969">
        <f>SUM(S1642:U1644)</f>
        <v>5000</v>
      </c>
      <c r="W1645" s="815">
        <v>3</v>
      </c>
      <c r="X1645" s="811" t="str">
        <f t="shared" si="131"/>
        <v>within the Province</v>
      </c>
      <c r="AB1645" s="970">
        <f>SUM(Y1642:AA1645)</f>
        <v>0</v>
      </c>
      <c r="AE1645" s="767"/>
      <c r="AF1645" s="965"/>
      <c r="AG1645" s="807" t="str">
        <f t="shared" si="132"/>
        <v/>
      </c>
      <c r="AJ1645" s="865"/>
      <c r="CB1645" s="93"/>
    </row>
    <row r="1646" spans="1:97" ht="15">
      <c r="A1646" s="17" t="s">
        <v>7421</v>
      </c>
      <c r="D1646" s="1070" t="s">
        <v>10230</v>
      </c>
      <c r="E1646" s="514" t="s">
        <v>4044</v>
      </c>
      <c r="G1646" s="827"/>
      <c r="H1646" s="809" t="s">
        <v>10235</v>
      </c>
      <c r="I1646" s="92">
        <v>25</v>
      </c>
      <c r="J1646" s="92" t="s">
        <v>10</v>
      </c>
      <c r="K1646" s="92" t="s">
        <v>768</v>
      </c>
      <c r="L1646" s="810">
        <v>7</v>
      </c>
      <c r="M1646" s="811" t="str">
        <f t="shared" si="130"/>
        <v>College Graduate or Higher</v>
      </c>
      <c r="P1646" s="1638"/>
      <c r="S1646" s="813">
        <f>200*26</f>
        <v>5200</v>
      </c>
      <c r="V1646" s="971">
        <f>SUM(S1646:U1646)</f>
        <v>5200</v>
      </c>
      <c r="W1646" s="815">
        <v>1</v>
      </c>
      <c r="X1646" s="811" t="str">
        <f t="shared" si="131"/>
        <v>within the Brgy</v>
      </c>
      <c r="AB1646" s="971">
        <f>SUM(Y1646:AA1646)</f>
        <v>0</v>
      </c>
      <c r="AD1646" s="817" t="s">
        <v>10238</v>
      </c>
      <c r="AE1646" s="767"/>
      <c r="AF1646" s="965"/>
      <c r="AG1646" s="807" t="str">
        <f t="shared" si="132"/>
        <v/>
      </c>
      <c r="AJ1646" s="865"/>
      <c r="AO1646" s="975"/>
      <c r="AP1646" s="976"/>
      <c r="CB1646" s="93"/>
    </row>
    <row r="1647" spans="1:97" ht="15">
      <c r="A1647" s="17" t="s">
        <v>7421</v>
      </c>
      <c r="D1647" s="1070" t="s">
        <v>10230</v>
      </c>
      <c r="E1647" s="514" t="s">
        <v>4044</v>
      </c>
      <c r="G1647" s="827"/>
      <c r="H1647" s="809" t="s">
        <v>7902</v>
      </c>
      <c r="I1647" s="857">
        <v>60</v>
      </c>
      <c r="J1647" s="92" t="s">
        <v>18</v>
      </c>
      <c r="K1647" s="92" t="s">
        <v>768</v>
      </c>
      <c r="L1647" s="810">
        <v>4</v>
      </c>
      <c r="M1647" s="811" t="str">
        <f t="shared" si="130"/>
        <v>High School Level</v>
      </c>
      <c r="P1647" s="1638"/>
      <c r="R1647" s="812" t="s">
        <v>10310</v>
      </c>
      <c r="S1647" s="813">
        <v>14000</v>
      </c>
      <c r="V1647" s="977"/>
      <c r="W1647" s="815">
        <v>1</v>
      </c>
      <c r="X1647" s="811" t="str">
        <f t="shared" si="131"/>
        <v>within the Brgy</v>
      </c>
      <c r="AB1647" s="977"/>
      <c r="AE1647" s="767"/>
      <c r="AF1647" s="965"/>
      <c r="AG1647" s="807" t="str">
        <f t="shared" si="132"/>
        <v/>
      </c>
      <c r="AJ1647" s="865"/>
      <c r="AO1647" s="975"/>
      <c r="AP1647" s="976"/>
      <c r="CB1647" s="93"/>
    </row>
    <row r="1648" spans="1:97" ht="15">
      <c r="A1648" s="17" t="s">
        <v>7421</v>
      </c>
      <c r="D1648" s="1070" t="s">
        <v>10230</v>
      </c>
      <c r="E1648" s="514" t="s">
        <v>4044</v>
      </c>
      <c r="G1648" s="827"/>
      <c r="H1648" s="809" t="s">
        <v>7905</v>
      </c>
      <c r="I1648" s="92">
        <v>51</v>
      </c>
      <c r="J1648" s="92" t="s">
        <v>10</v>
      </c>
      <c r="K1648" s="92" t="s">
        <v>707</v>
      </c>
      <c r="L1648" s="810">
        <v>4</v>
      </c>
      <c r="M1648" s="811" t="str">
        <f t="shared" si="130"/>
        <v>High School Level</v>
      </c>
      <c r="N1648" s="92" t="s">
        <v>1208</v>
      </c>
      <c r="O1648" s="812" t="s">
        <v>2214</v>
      </c>
      <c r="P1648" s="1638"/>
      <c r="Q1648" s="812" t="s">
        <v>2214</v>
      </c>
      <c r="R1648" s="812" t="s">
        <v>20</v>
      </c>
      <c r="S1648" s="813">
        <v>1200</v>
      </c>
      <c r="V1648" s="977"/>
      <c r="W1648" s="815">
        <v>3</v>
      </c>
      <c r="X1648" s="811" t="str">
        <f t="shared" si="131"/>
        <v>within the Province</v>
      </c>
      <c r="Y1648" s="816">
        <v>1500</v>
      </c>
      <c r="AB1648" s="977"/>
      <c r="AE1648" s="767"/>
      <c r="AF1648" s="965"/>
      <c r="AG1648" s="807" t="str">
        <f t="shared" si="132"/>
        <v/>
      </c>
      <c r="AJ1648" s="865"/>
      <c r="AO1648" s="975"/>
      <c r="AP1648" s="976"/>
      <c r="CB1648" s="93"/>
    </row>
    <row r="1649" spans="1:80" ht="15">
      <c r="A1649" s="17" t="s">
        <v>7421</v>
      </c>
      <c r="B1649" s="752" t="s">
        <v>7825</v>
      </c>
      <c r="C1649" s="133" t="s">
        <v>2987</v>
      </c>
      <c r="D1649" s="1070" t="s">
        <v>10237</v>
      </c>
      <c r="E1649" s="514" t="s">
        <v>2992</v>
      </c>
      <c r="F1649" s="1048" t="s">
        <v>7902</v>
      </c>
      <c r="G1649" s="809" t="s">
        <v>2987</v>
      </c>
      <c r="H1649" s="809" t="s">
        <v>7906</v>
      </c>
      <c r="I1649" s="92">
        <v>41</v>
      </c>
      <c r="J1649" s="92" t="s">
        <v>18</v>
      </c>
      <c r="K1649" s="92" t="s">
        <v>707</v>
      </c>
      <c r="L1649" s="810">
        <v>4</v>
      </c>
      <c r="M1649" s="811" t="str">
        <f t="shared" si="130"/>
        <v>High School Level</v>
      </c>
      <c r="N1649" s="92" t="s">
        <v>1208</v>
      </c>
      <c r="O1649" s="812" t="s">
        <v>10240</v>
      </c>
      <c r="P1649" s="1638"/>
      <c r="Q1649" s="812" t="s">
        <v>10240</v>
      </c>
      <c r="V1649" s="977"/>
      <c r="X1649" s="811" t="str">
        <f t="shared" si="131"/>
        <v/>
      </c>
      <c r="AB1649" s="977"/>
      <c r="AE1649" s="767"/>
      <c r="AF1649" s="965"/>
      <c r="AG1649" s="807" t="str">
        <f t="shared" si="132"/>
        <v/>
      </c>
      <c r="AJ1649" s="865"/>
      <c r="AO1649" s="975"/>
      <c r="AP1649" s="976"/>
      <c r="CB1649" s="93"/>
    </row>
    <row r="1650" spans="1:80" ht="15">
      <c r="A1650" s="311" t="s">
        <v>12353</v>
      </c>
      <c r="B1650" s="752" t="s">
        <v>7825</v>
      </c>
      <c r="C1650" s="133" t="s">
        <v>2987</v>
      </c>
      <c r="D1650" s="1070" t="s">
        <v>10239</v>
      </c>
      <c r="E1650" s="533" t="s">
        <v>2952</v>
      </c>
      <c r="F1650" s="1048" t="s">
        <v>11318</v>
      </c>
      <c r="H1650" s="809" t="s">
        <v>10241</v>
      </c>
      <c r="I1650" s="92">
        <v>22</v>
      </c>
      <c r="J1650" s="92" t="s">
        <v>10</v>
      </c>
      <c r="K1650" s="92" t="s">
        <v>768</v>
      </c>
      <c r="L1650" s="810">
        <v>7</v>
      </c>
      <c r="M1650" s="811" t="str">
        <f t="shared" si="130"/>
        <v>College Graduate or Higher</v>
      </c>
      <c r="P1650" s="1638"/>
      <c r="V1650" s="977"/>
      <c r="X1650" s="811" t="str">
        <f t="shared" si="131"/>
        <v/>
      </c>
      <c r="AB1650" s="977"/>
      <c r="AE1650" s="767"/>
      <c r="AF1650" s="965"/>
      <c r="AG1650" s="807" t="str">
        <f t="shared" si="132"/>
        <v/>
      </c>
      <c r="AJ1650" s="865"/>
      <c r="AO1650" s="975"/>
      <c r="AP1650" s="976"/>
      <c r="CB1650" s="93"/>
    </row>
    <row r="1651" spans="1:80" ht="15">
      <c r="A1651" s="311" t="s">
        <v>12353</v>
      </c>
      <c r="D1651" s="1070" t="s">
        <v>10239</v>
      </c>
      <c r="E1651" s="533" t="s">
        <v>2952</v>
      </c>
      <c r="H1651" s="809" t="s">
        <v>10242</v>
      </c>
      <c r="I1651" s="92">
        <v>18</v>
      </c>
      <c r="J1651" s="92" t="s">
        <v>18</v>
      </c>
      <c r="K1651" s="92" t="s">
        <v>768</v>
      </c>
      <c r="L1651" s="810">
        <v>5</v>
      </c>
      <c r="M1651" s="811" t="str">
        <f t="shared" si="130"/>
        <v>High School Graduate</v>
      </c>
      <c r="P1651" s="1638"/>
      <c r="R1651" s="92" t="s">
        <v>8234</v>
      </c>
      <c r="S1651" s="813">
        <v>12000</v>
      </c>
      <c r="V1651" s="977">
        <f>SUM(S1647:U1650)</f>
        <v>15200</v>
      </c>
      <c r="X1651" s="811" t="str">
        <f t="shared" si="131"/>
        <v/>
      </c>
      <c r="AB1651" s="977">
        <f>SUM(Y1647:AA1651)</f>
        <v>1500</v>
      </c>
      <c r="AE1651" s="767"/>
      <c r="AF1651" s="965"/>
      <c r="AG1651" s="807" t="str">
        <f t="shared" si="132"/>
        <v/>
      </c>
      <c r="AJ1651" s="865"/>
      <c r="AO1651" s="975"/>
      <c r="AP1651" s="976"/>
      <c r="CB1651" s="93"/>
    </row>
    <row r="1652" spans="1:80" ht="15">
      <c r="A1652" s="311" t="s">
        <v>12353</v>
      </c>
      <c r="D1652" s="1070" t="s">
        <v>10239</v>
      </c>
      <c r="E1652" s="533" t="s">
        <v>2952</v>
      </c>
      <c r="H1652" s="809" t="s">
        <v>10243</v>
      </c>
      <c r="I1652" s="92">
        <v>21</v>
      </c>
      <c r="J1652" s="92" t="s">
        <v>18</v>
      </c>
      <c r="K1652" s="92" t="s">
        <v>768</v>
      </c>
      <c r="L1652" s="810">
        <v>6</v>
      </c>
      <c r="M1652" s="811" t="str">
        <f t="shared" si="130"/>
        <v>College Level</v>
      </c>
      <c r="N1652" s="92" t="s">
        <v>1208</v>
      </c>
      <c r="O1652" s="812" t="s">
        <v>7911</v>
      </c>
      <c r="P1652" s="1638" t="s">
        <v>12606</v>
      </c>
      <c r="Q1652" s="812" t="s">
        <v>7911</v>
      </c>
      <c r="R1652" s="812" t="s">
        <v>20</v>
      </c>
      <c r="S1652" s="813">
        <f>400*26</f>
        <v>10400</v>
      </c>
      <c r="V1652" s="978"/>
      <c r="W1652" s="815">
        <v>3</v>
      </c>
      <c r="X1652" s="811" t="str">
        <f t="shared" si="131"/>
        <v>within the Province</v>
      </c>
      <c r="Y1652" s="816">
        <v>800</v>
      </c>
      <c r="AB1652" s="978"/>
      <c r="AE1652" s="767"/>
      <c r="AF1652" s="965"/>
      <c r="AG1652" s="807" t="str">
        <f t="shared" si="132"/>
        <v/>
      </c>
      <c r="AJ1652" s="865"/>
      <c r="AO1652" s="975"/>
      <c r="AP1652" s="976"/>
      <c r="CB1652" s="93"/>
    </row>
    <row r="1653" spans="1:80" ht="15">
      <c r="A1653" s="311" t="s">
        <v>12353</v>
      </c>
      <c r="D1653" s="1070" t="s">
        <v>10239</v>
      </c>
      <c r="E1653" s="533" t="s">
        <v>2952</v>
      </c>
      <c r="H1653" s="809" t="s">
        <v>7910</v>
      </c>
      <c r="I1653" s="92">
        <v>46</v>
      </c>
      <c r="J1653" s="92" t="s">
        <v>10</v>
      </c>
      <c r="K1653" s="92" t="s">
        <v>707</v>
      </c>
      <c r="L1653" s="810">
        <v>6</v>
      </c>
      <c r="M1653" s="811" t="str">
        <f t="shared" si="130"/>
        <v>College Level</v>
      </c>
      <c r="N1653" s="92" t="s">
        <v>1208</v>
      </c>
      <c r="P1653" s="1638"/>
      <c r="V1653" s="978"/>
      <c r="W1653" s="815">
        <v>2</v>
      </c>
      <c r="X1653" s="811" t="str">
        <f t="shared" si="131"/>
        <v>within the Municipality/City</v>
      </c>
      <c r="AB1653" s="978"/>
      <c r="AE1653" s="767"/>
      <c r="AF1653" s="965"/>
      <c r="AG1653" s="807" t="str">
        <f t="shared" si="132"/>
        <v/>
      </c>
      <c r="AJ1653" s="865"/>
      <c r="AO1653" s="975"/>
      <c r="AP1653" s="976"/>
      <c r="CB1653" s="93"/>
    </row>
    <row r="1654" spans="1:80" ht="15">
      <c r="A1654" s="311" t="s">
        <v>12353</v>
      </c>
      <c r="D1654" s="1070" t="s">
        <v>10239</v>
      </c>
      <c r="E1654" s="533" t="s">
        <v>2952</v>
      </c>
      <c r="F1654" s="1046"/>
      <c r="H1654" s="809" t="s">
        <v>10245</v>
      </c>
      <c r="I1654" s="92">
        <v>42</v>
      </c>
      <c r="J1654" s="92" t="s">
        <v>18</v>
      </c>
      <c r="K1654" s="92" t="s">
        <v>707</v>
      </c>
      <c r="L1654" s="810">
        <v>3</v>
      </c>
      <c r="M1654" s="811" t="str">
        <f t="shared" si="130"/>
        <v>Elementary Graduate</v>
      </c>
      <c r="P1654" s="1638"/>
      <c r="V1654" s="978"/>
      <c r="X1654" s="811" t="str">
        <f t="shared" si="131"/>
        <v/>
      </c>
      <c r="AB1654" s="978"/>
      <c r="AE1654" s="767"/>
      <c r="AF1654" s="965"/>
      <c r="AG1654" s="807" t="str">
        <f t="shared" si="132"/>
        <v/>
      </c>
      <c r="AJ1654" s="865"/>
      <c r="AO1654" s="975"/>
      <c r="AP1654" s="976"/>
      <c r="CB1654" s="93"/>
    </row>
    <row r="1655" spans="1:80" ht="15">
      <c r="A1655" s="311" t="s">
        <v>12353</v>
      </c>
      <c r="B1655" s="752" t="s">
        <v>7825</v>
      </c>
      <c r="C1655" s="133" t="s">
        <v>2987</v>
      </c>
      <c r="D1655" s="1070" t="s">
        <v>10244</v>
      </c>
      <c r="E1655" s="514" t="s">
        <v>2987</v>
      </c>
      <c r="F1655" s="1048" t="s">
        <v>7910</v>
      </c>
      <c r="G1655" s="809" t="s">
        <v>2987</v>
      </c>
      <c r="H1655" s="809" t="s">
        <v>10246</v>
      </c>
      <c r="I1655" s="92">
        <v>12</v>
      </c>
      <c r="J1655" s="92" t="s">
        <v>10</v>
      </c>
      <c r="K1655" s="92" t="s">
        <v>768</v>
      </c>
      <c r="L1655" s="810">
        <v>3</v>
      </c>
      <c r="M1655" s="811" t="str">
        <f t="shared" si="130"/>
        <v>Elementary Graduate</v>
      </c>
      <c r="P1655" s="1638"/>
      <c r="V1655" s="978">
        <f>SUBTOTAL(9,S1651:U1654)</f>
        <v>22400</v>
      </c>
      <c r="X1655" s="811" t="str">
        <f t="shared" si="131"/>
        <v/>
      </c>
      <c r="AB1655" s="978">
        <f>SUBTOTAL(9,Y1652:AA1655)</f>
        <v>800</v>
      </c>
      <c r="AE1655" s="767"/>
      <c r="AF1655" s="965"/>
      <c r="AG1655" s="807" t="str">
        <f t="shared" si="132"/>
        <v/>
      </c>
      <c r="AJ1655" s="865"/>
      <c r="AO1655" s="975"/>
      <c r="AP1655" s="976"/>
      <c r="CB1655" s="93"/>
    </row>
    <row r="1656" spans="1:80" ht="15">
      <c r="A1656" s="311" t="s">
        <v>12353</v>
      </c>
      <c r="D1656" s="1070" t="s">
        <v>10244</v>
      </c>
      <c r="E1656" s="514" t="s">
        <v>2987</v>
      </c>
      <c r="H1656" s="809" t="s">
        <v>10247</v>
      </c>
      <c r="I1656" s="92">
        <v>19</v>
      </c>
      <c r="J1656" s="92" t="s">
        <v>10</v>
      </c>
      <c r="K1656" s="92" t="s">
        <v>768</v>
      </c>
      <c r="L1656" s="810">
        <v>6</v>
      </c>
      <c r="M1656" s="811" t="str">
        <f t="shared" si="130"/>
        <v>College Level</v>
      </c>
      <c r="P1656" s="1638"/>
      <c r="R1656" s="92" t="s">
        <v>8234</v>
      </c>
      <c r="S1656" s="813">
        <f>30*26</f>
        <v>780</v>
      </c>
      <c r="U1656" s="813">
        <v>5500</v>
      </c>
      <c r="V1656" s="971"/>
      <c r="X1656" s="811" t="str">
        <f t="shared" si="131"/>
        <v/>
      </c>
      <c r="AB1656" s="971"/>
      <c r="AE1656" s="767"/>
      <c r="AF1656" s="965"/>
      <c r="AG1656" s="807" t="str">
        <f t="shared" si="132"/>
        <v/>
      </c>
      <c r="AJ1656" s="865"/>
      <c r="AO1656" s="975" t="s">
        <v>10249</v>
      </c>
      <c r="AP1656" s="976"/>
      <c r="CB1656" s="93"/>
    </row>
    <row r="1657" spans="1:80" ht="15">
      <c r="A1657" s="311" t="s">
        <v>12353</v>
      </c>
      <c r="D1657" s="1070" t="s">
        <v>10244</v>
      </c>
      <c r="E1657" s="514" t="s">
        <v>2987</v>
      </c>
      <c r="M1657" s="811" t="str">
        <f t="shared" si="130"/>
        <v/>
      </c>
      <c r="N1657" s="92" t="s">
        <v>1208</v>
      </c>
      <c r="O1657" s="812" t="s">
        <v>10251</v>
      </c>
      <c r="P1657" s="1638" t="s">
        <v>12624</v>
      </c>
      <c r="Q1657" s="812" t="s">
        <v>10251</v>
      </c>
      <c r="V1657" s="973"/>
      <c r="W1657" s="815">
        <v>2</v>
      </c>
      <c r="X1657" s="811" t="str">
        <f t="shared" si="131"/>
        <v>within the Municipality/City</v>
      </c>
      <c r="AB1657" s="974"/>
      <c r="AD1657" s="817" t="s">
        <v>10252</v>
      </c>
      <c r="AE1657" s="92"/>
      <c r="AF1657" s="810"/>
      <c r="AG1657" s="807" t="str">
        <f t="shared" si="132"/>
        <v/>
      </c>
      <c r="AJ1657" s="865"/>
      <c r="AN1657" s="18"/>
      <c r="AO1657" s="975" t="s">
        <v>10253</v>
      </c>
      <c r="AP1657" s="976"/>
      <c r="CB1657" s="93"/>
    </row>
    <row r="1658" spans="1:80" ht="15">
      <c r="A1658" s="311" t="s">
        <v>12353</v>
      </c>
      <c r="B1658" s="752"/>
      <c r="C1658" s="17"/>
      <c r="D1658" s="1070" t="s">
        <v>10244</v>
      </c>
      <c r="E1658" s="514" t="s">
        <v>2987</v>
      </c>
      <c r="H1658" s="809" t="s">
        <v>2997</v>
      </c>
      <c r="I1658" s="92">
        <v>46</v>
      </c>
      <c r="J1658" s="92" t="s">
        <v>10</v>
      </c>
      <c r="K1658" s="92" t="s">
        <v>707</v>
      </c>
      <c r="L1658" s="810">
        <v>8</v>
      </c>
      <c r="M1658" s="811" t="str">
        <f t="shared" si="130"/>
        <v>Vocational Level</v>
      </c>
      <c r="P1658" s="1638"/>
      <c r="V1658" s="973"/>
      <c r="X1658" s="811" t="str">
        <f t="shared" si="131"/>
        <v/>
      </c>
      <c r="AB1658" s="974"/>
      <c r="AE1658" s="767"/>
      <c r="AF1658" s="965"/>
      <c r="AG1658" s="807" t="str">
        <f t="shared" si="132"/>
        <v/>
      </c>
      <c r="AJ1658" s="865"/>
      <c r="AN1658" s="18"/>
      <c r="AO1658" s="975" t="s">
        <v>10255</v>
      </c>
      <c r="AP1658" s="976"/>
      <c r="CB1658" s="93"/>
    </row>
    <row r="1659" spans="1:80" ht="15">
      <c r="A1659" s="17" t="s">
        <v>7421</v>
      </c>
      <c r="B1659" s="752" t="s">
        <v>7809</v>
      </c>
      <c r="C1659" s="133" t="s">
        <v>2992</v>
      </c>
      <c r="D1659" s="1070" t="s">
        <v>10248</v>
      </c>
      <c r="G1659" s="809" t="s">
        <v>2992</v>
      </c>
      <c r="H1659" s="809" t="s">
        <v>10254</v>
      </c>
      <c r="I1659" s="92">
        <v>36</v>
      </c>
      <c r="J1659" s="92" t="s">
        <v>18</v>
      </c>
      <c r="K1659" s="92" t="s">
        <v>707</v>
      </c>
      <c r="L1659" s="810">
        <v>5</v>
      </c>
      <c r="M1659" s="811" t="str">
        <f t="shared" si="130"/>
        <v>High School Graduate</v>
      </c>
      <c r="P1659" s="1638"/>
      <c r="V1659" s="973"/>
      <c r="X1659" s="811" t="str">
        <f t="shared" si="131"/>
        <v/>
      </c>
      <c r="AB1659" s="974"/>
      <c r="AE1659" s="767"/>
      <c r="AF1659" s="965"/>
      <c r="AG1659" s="807" t="str">
        <f t="shared" si="132"/>
        <v/>
      </c>
      <c r="AJ1659" s="865"/>
      <c r="AO1659" s="975"/>
      <c r="AP1659" s="976"/>
      <c r="CB1659" s="93"/>
    </row>
    <row r="1660" spans="1:80" ht="15">
      <c r="A1660" s="343" t="s">
        <v>7419</v>
      </c>
      <c r="B1660" s="752" t="s">
        <v>7921</v>
      </c>
      <c r="C1660" s="133" t="s">
        <v>3000</v>
      </c>
      <c r="D1660" s="1070" t="s">
        <v>10250</v>
      </c>
      <c r="E1660" s="514" t="s">
        <v>3000</v>
      </c>
      <c r="F1660" s="1048" t="s">
        <v>2997</v>
      </c>
      <c r="G1660" s="809" t="s">
        <v>3000</v>
      </c>
      <c r="H1660" s="809" t="s">
        <v>10256</v>
      </c>
      <c r="I1660" s="92">
        <v>71</v>
      </c>
      <c r="J1660" s="92" t="s">
        <v>18</v>
      </c>
      <c r="K1660" s="92" t="s">
        <v>719</v>
      </c>
      <c r="L1660" s="810">
        <v>3</v>
      </c>
      <c r="M1660" s="811" t="str">
        <f t="shared" si="130"/>
        <v>Elementary Graduate</v>
      </c>
      <c r="P1660" s="1638"/>
      <c r="V1660" s="973"/>
      <c r="X1660" s="811" t="str">
        <f t="shared" si="131"/>
        <v/>
      </c>
      <c r="AB1660" s="974"/>
      <c r="AE1660" s="767"/>
      <c r="AF1660" s="965"/>
      <c r="AG1660" s="807" t="str">
        <f t="shared" si="132"/>
        <v/>
      </c>
      <c r="AJ1660" s="865"/>
      <c r="AO1660" s="975"/>
      <c r="AP1660" s="976"/>
      <c r="CB1660" s="93"/>
    </row>
    <row r="1661" spans="1:80" ht="15">
      <c r="A1661" s="343" t="s">
        <v>7419</v>
      </c>
      <c r="D1661" s="1070" t="s">
        <v>10250</v>
      </c>
      <c r="E1661" s="514" t="s">
        <v>3000</v>
      </c>
      <c r="G1661" s="827"/>
      <c r="H1661" s="809" t="s">
        <v>10257</v>
      </c>
      <c r="I1661" s="92">
        <v>15</v>
      </c>
      <c r="J1661" s="92" t="s">
        <v>10</v>
      </c>
      <c r="K1661" s="92" t="s">
        <v>768</v>
      </c>
      <c r="L1661" s="810">
        <v>4</v>
      </c>
      <c r="M1661" s="811" t="str">
        <f t="shared" si="130"/>
        <v>High School Level</v>
      </c>
      <c r="P1661" s="1638"/>
      <c r="V1661" s="973"/>
      <c r="X1661" s="811" t="str">
        <f t="shared" si="131"/>
        <v/>
      </c>
      <c r="AB1661" s="974"/>
      <c r="AE1661" s="767"/>
      <c r="AF1661" s="965"/>
      <c r="AG1661" s="807" t="str">
        <f t="shared" si="132"/>
        <v/>
      </c>
      <c r="AJ1661" s="865"/>
      <c r="AO1661" s="975"/>
      <c r="AP1661" s="976"/>
      <c r="CB1661" s="93"/>
    </row>
    <row r="1662" spans="1:80" ht="15">
      <c r="A1662" s="343" t="s">
        <v>7419</v>
      </c>
      <c r="D1662" s="1070" t="s">
        <v>10250</v>
      </c>
      <c r="E1662" s="514" t="s">
        <v>3000</v>
      </c>
      <c r="G1662" s="827"/>
      <c r="H1662" s="809" t="s">
        <v>10258</v>
      </c>
      <c r="I1662" s="92">
        <v>9</v>
      </c>
      <c r="J1662" s="92" t="s">
        <v>18</v>
      </c>
      <c r="K1662" s="92" t="s">
        <v>768</v>
      </c>
      <c r="L1662" s="810">
        <v>2</v>
      </c>
      <c r="M1662" s="811" t="str">
        <f t="shared" si="130"/>
        <v>Elementary Level</v>
      </c>
      <c r="P1662" s="1638"/>
      <c r="V1662" s="973">
        <f>SUM(S1656:U1661)</f>
        <v>6280</v>
      </c>
      <c r="X1662" s="811" t="str">
        <f t="shared" si="131"/>
        <v/>
      </c>
      <c r="AB1662" s="974">
        <f>SUM(Y1657:AA1662)</f>
        <v>0</v>
      </c>
      <c r="AE1662" s="767"/>
      <c r="AF1662" s="965"/>
      <c r="AG1662" s="807" t="str">
        <f t="shared" si="132"/>
        <v/>
      </c>
      <c r="AJ1662" s="865"/>
      <c r="AO1662" s="975"/>
      <c r="AP1662" s="976"/>
      <c r="CB1662" s="93"/>
    </row>
    <row r="1663" spans="1:80" ht="15">
      <c r="A1663" s="343" t="s">
        <v>7419</v>
      </c>
      <c r="D1663" s="1070" t="s">
        <v>10250</v>
      </c>
      <c r="E1663" s="514" t="s">
        <v>3000</v>
      </c>
      <c r="F1663" s="1046"/>
      <c r="G1663" s="827"/>
      <c r="H1663" s="809" t="s">
        <v>10259</v>
      </c>
      <c r="I1663" s="92">
        <v>7</v>
      </c>
      <c r="J1663" s="92" t="s">
        <v>18</v>
      </c>
      <c r="K1663" s="92" t="s">
        <v>768</v>
      </c>
      <c r="L1663" s="810">
        <v>2</v>
      </c>
      <c r="M1663" s="811" t="str">
        <f t="shared" si="130"/>
        <v>Elementary Level</v>
      </c>
      <c r="N1663" s="807"/>
      <c r="P1663" s="1638"/>
      <c r="S1663" s="816"/>
      <c r="T1663" s="816"/>
      <c r="U1663" s="816"/>
      <c r="V1663" s="828"/>
      <c r="X1663" s="811" t="str">
        <f t="shared" si="131"/>
        <v/>
      </c>
      <c r="AB1663" s="953"/>
      <c r="AE1663" s="93" t="s">
        <v>10261</v>
      </c>
      <c r="AF1663" s="818">
        <v>5</v>
      </c>
      <c r="AG1663" s="807" t="str">
        <f t="shared" si="132"/>
        <v>Difficulties in Communication</v>
      </c>
      <c r="AJ1663" s="865"/>
    </row>
    <row r="1664" spans="1:80" ht="15">
      <c r="A1664" s="343" t="s">
        <v>7419</v>
      </c>
      <c r="D1664" s="1070" t="s">
        <v>10250</v>
      </c>
      <c r="E1664" s="514" t="s">
        <v>3000</v>
      </c>
      <c r="F1664" s="1046"/>
      <c r="G1664" s="827"/>
      <c r="H1664" s="807"/>
      <c r="I1664" s="807"/>
      <c r="J1664" s="807"/>
      <c r="K1664" s="807"/>
      <c r="L1664" s="979"/>
      <c r="M1664" s="811" t="str">
        <f t="shared" si="130"/>
        <v/>
      </c>
      <c r="N1664" s="93"/>
      <c r="P1664" s="1638"/>
      <c r="S1664" s="816"/>
      <c r="T1664" s="816"/>
      <c r="U1664" s="816"/>
      <c r="V1664" s="961"/>
      <c r="X1664" s="811" t="str">
        <f t="shared" si="131"/>
        <v/>
      </c>
      <c r="AB1664" s="962"/>
      <c r="AG1664" s="807" t="str">
        <f t="shared" si="132"/>
        <v/>
      </c>
      <c r="AJ1664" s="865"/>
    </row>
    <row r="1665" spans="1:76" ht="15">
      <c r="A1665" s="343" t="s">
        <v>7419</v>
      </c>
      <c r="B1665" s="292"/>
      <c r="D1665" s="1070" t="s">
        <v>10250</v>
      </c>
      <c r="E1665" s="514" t="s">
        <v>3000</v>
      </c>
      <c r="F1665" s="1046"/>
      <c r="G1665" s="827"/>
      <c r="H1665" s="807" t="s">
        <v>4055</v>
      </c>
      <c r="I1665" s="93">
        <v>50</v>
      </c>
      <c r="J1665" s="93" t="s">
        <v>18</v>
      </c>
      <c r="K1665" s="93" t="s">
        <v>719</v>
      </c>
      <c r="L1665" s="818">
        <v>8</v>
      </c>
      <c r="M1665" s="811" t="str">
        <f t="shared" si="130"/>
        <v>Vocational Level</v>
      </c>
      <c r="N1665" s="93"/>
      <c r="P1665" s="1638"/>
      <c r="R1665" s="92" t="s">
        <v>8234</v>
      </c>
      <c r="S1665" s="816"/>
      <c r="T1665" s="816"/>
      <c r="U1665" s="816">
        <v>6000</v>
      </c>
      <c r="V1665" s="961">
        <f>SUM(S1663:U1664)</f>
        <v>0</v>
      </c>
      <c r="X1665" s="811" t="str">
        <f t="shared" si="131"/>
        <v/>
      </c>
      <c r="AB1665" s="962">
        <f>SUM(Y1664:AA1665)</f>
        <v>0</v>
      </c>
      <c r="AG1665" s="807" t="str">
        <f t="shared" si="132"/>
        <v/>
      </c>
      <c r="AJ1665" s="865"/>
    </row>
    <row r="1666" spans="1:76" ht="15">
      <c r="D1666" s="1069" t="s">
        <v>10260</v>
      </c>
      <c r="G1666" s="827"/>
      <c r="H1666" s="807" t="s">
        <v>10263</v>
      </c>
      <c r="I1666" s="93">
        <v>20</v>
      </c>
      <c r="J1666" s="93" t="s">
        <v>10</v>
      </c>
      <c r="K1666" s="93" t="s">
        <v>768</v>
      </c>
      <c r="L1666" s="818">
        <v>6</v>
      </c>
      <c r="M1666" s="811" t="str">
        <f t="shared" si="130"/>
        <v>College Level</v>
      </c>
      <c r="N1666" s="93" t="s">
        <v>1208</v>
      </c>
      <c r="O1666" s="812" t="s">
        <v>2220</v>
      </c>
      <c r="P1666" s="1638" t="s">
        <v>12605</v>
      </c>
      <c r="Q1666" s="812" t="s">
        <v>2220</v>
      </c>
      <c r="R1666" s="92" t="s">
        <v>8234</v>
      </c>
      <c r="S1666" s="816" t="s">
        <v>1217</v>
      </c>
      <c r="T1666" s="816"/>
      <c r="U1666" s="816"/>
      <c r="V1666" s="814">
        <f>SUM(S1665:U1665)</f>
        <v>6000</v>
      </c>
      <c r="W1666" s="815">
        <v>1</v>
      </c>
      <c r="X1666" s="811" t="str">
        <f t="shared" si="131"/>
        <v>within the Brgy</v>
      </c>
      <c r="AB1666" s="940">
        <f>SUM(Y1666:AA1666)</f>
        <v>0</v>
      </c>
      <c r="AG1666" s="807" t="str">
        <f t="shared" si="132"/>
        <v/>
      </c>
      <c r="AJ1666" s="865"/>
    </row>
    <row r="1667" spans="1:76" ht="15">
      <c r="D1667" s="1069" t="s">
        <v>10262</v>
      </c>
      <c r="G1667" s="809" t="s">
        <v>4054</v>
      </c>
      <c r="H1667" s="807" t="s">
        <v>10265</v>
      </c>
      <c r="I1667" s="93">
        <v>20</v>
      </c>
      <c r="J1667" s="93" t="s">
        <v>10</v>
      </c>
      <c r="K1667" s="93" t="s">
        <v>768</v>
      </c>
      <c r="L1667" s="818">
        <v>5</v>
      </c>
      <c r="M1667" s="811" t="str">
        <f t="shared" si="130"/>
        <v>High School Graduate</v>
      </c>
      <c r="N1667" s="93" t="s">
        <v>1208</v>
      </c>
      <c r="O1667" s="812" t="s">
        <v>3388</v>
      </c>
      <c r="P1667" s="1638" t="s">
        <v>12606</v>
      </c>
      <c r="Q1667" s="812" t="s">
        <v>3388</v>
      </c>
      <c r="S1667" s="816" t="s">
        <v>1217</v>
      </c>
      <c r="T1667" s="816"/>
      <c r="U1667" s="816"/>
      <c r="V1667" s="828"/>
      <c r="W1667" s="815">
        <v>2</v>
      </c>
      <c r="X1667" s="811" t="str">
        <f t="shared" si="131"/>
        <v>within the Municipality/City</v>
      </c>
      <c r="Y1667" s="816">
        <f>32*26</f>
        <v>832</v>
      </c>
      <c r="AB1667" s="953"/>
      <c r="AG1667" s="807" t="str">
        <f t="shared" si="132"/>
        <v/>
      </c>
      <c r="AJ1667" s="865"/>
    </row>
    <row r="1668" spans="1:76" ht="15">
      <c r="A1668" s="946"/>
      <c r="D1668" s="1069"/>
      <c r="G1668" s="827"/>
      <c r="H1668" s="807" t="s">
        <v>10267</v>
      </c>
      <c r="I1668" s="93">
        <v>50</v>
      </c>
      <c r="J1668" s="93" t="s">
        <v>10</v>
      </c>
      <c r="K1668" s="93" t="s">
        <v>707</v>
      </c>
      <c r="L1668" s="818">
        <v>5</v>
      </c>
      <c r="M1668" s="811" t="str">
        <f t="shared" si="130"/>
        <v>High School Graduate</v>
      </c>
      <c r="N1668" s="93" t="s">
        <v>1208</v>
      </c>
      <c r="O1668" s="812" t="s">
        <v>2239</v>
      </c>
      <c r="P1668" s="1638"/>
      <c r="Q1668" s="812" t="s">
        <v>2239</v>
      </c>
      <c r="S1668" s="816"/>
      <c r="T1668" s="816"/>
      <c r="U1668" s="816"/>
      <c r="V1668" s="828"/>
      <c r="W1668" s="815">
        <v>3</v>
      </c>
      <c r="X1668" s="811" t="str">
        <f t="shared" si="131"/>
        <v>within the Province</v>
      </c>
      <c r="AB1668" s="953"/>
      <c r="AG1668" s="807" t="str">
        <f t="shared" si="132"/>
        <v/>
      </c>
      <c r="AJ1668" s="865"/>
    </row>
    <row r="1669" spans="1:76" ht="15">
      <c r="A1669" s="17" t="s">
        <v>7421</v>
      </c>
      <c r="B1669" s="127" t="s">
        <v>7400</v>
      </c>
      <c r="C1669" s="132" t="s">
        <v>4069</v>
      </c>
      <c r="D1669" s="1069" t="s">
        <v>10264</v>
      </c>
      <c r="E1669" s="533" t="s">
        <v>4069</v>
      </c>
      <c r="F1669" s="1048" t="s">
        <v>4070</v>
      </c>
      <c r="G1669" s="809" t="s">
        <v>4069</v>
      </c>
      <c r="H1669" s="807" t="s">
        <v>10268</v>
      </c>
      <c r="I1669" s="93">
        <v>49</v>
      </c>
      <c r="J1669" s="93" t="s">
        <v>18</v>
      </c>
      <c r="K1669" s="93" t="s">
        <v>707</v>
      </c>
      <c r="L1669" s="818">
        <v>6</v>
      </c>
      <c r="M1669" s="811" t="str">
        <f t="shared" si="130"/>
        <v>College Level</v>
      </c>
      <c r="N1669" s="93"/>
      <c r="P1669" s="1638"/>
      <c r="S1669" s="816"/>
      <c r="T1669" s="816"/>
      <c r="U1669" s="816"/>
      <c r="V1669" s="828"/>
      <c r="X1669" s="811" t="str">
        <f t="shared" si="131"/>
        <v/>
      </c>
      <c r="AB1669" s="953"/>
      <c r="AG1669" s="807" t="str">
        <f t="shared" si="132"/>
        <v/>
      </c>
      <c r="AJ1669" s="865"/>
    </row>
    <row r="1670" spans="1:76" ht="15">
      <c r="A1670" s="17" t="s">
        <v>7421</v>
      </c>
      <c r="B1670" s="127" t="s">
        <v>7725</v>
      </c>
      <c r="C1670" s="132" t="s">
        <v>4078</v>
      </c>
      <c r="D1670" s="1069" t="s">
        <v>10266</v>
      </c>
      <c r="E1670" s="533" t="s">
        <v>4078</v>
      </c>
      <c r="F1670" s="1048" t="s">
        <v>4084</v>
      </c>
      <c r="G1670" s="809" t="s">
        <v>4078</v>
      </c>
      <c r="H1670" s="807" t="s">
        <v>10269</v>
      </c>
      <c r="I1670" s="93">
        <v>23</v>
      </c>
      <c r="J1670" s="93" t="s">
        <v>10</v>
      </c>
      <c r="K1670" s="93" t="s">
        <v>768</v>
      </c>
      <c r="L1670" s="818">
        <v>6</v>
      </c>
      <c r="M1670" s="811" t="str">
        <f t="shared" si="130"/>
        <v>College Level</v>
      </c>
      <c r="N1670" s="93"/>
      <c r="P1670" s="1638"/>
      <c r="R1670" s="92" t="s">
        <v>11317</v>
      </c>
      <c r="V1670" s="828">
        <f>SUM(S1666:U1669)</f>
        <v>0</v>
      </c>
      <c r="X1670" s="811" t="str">
        <f t="shared" si="131"/>
        <v/>
      </c>
      <c r="AB1670" s="953">
        <f>SUM(Y1667:AA1670)</f>
        <v>832</v>
      </c>
      <c r="AG1670" s="807" t="str">
        <f t="shared" si="132"/>
        <v/>
      </c>
      <c r="AJ1670" s="865"/>
    </row>
    <row r="1671" spans="1:76" ht="15">
      <c r="D1671" s="1069"/>
      <c r="E1671" s="533" t="s">
        <v>4078</v>
      </c>
      <c r="G1671" s="827"/>
      <c r="H1671" s="807" t="s">
        <v>10270</v>
      </c>
      <c r="I1671" s="93">
        <v>17</v>
      </c>
      <c r="J1671" s="93" t="s">
        <v>18</v>
      </c>
      <c r="K1671" s="93" t="s">
        <v>768</v>
      </c>
      <c r="L1671" s="818">
        <v>6</v>
      </c>
      <c r="M1671" s="811" t="str">
        <f t="shared" si="130"/>
        <v>College Level</v>
      </c>
      <c r="P1671" s="1638"/>
      <c r="V1671" s="961"/>
      <c r="X1671" s="811" t="str">
        <f t="shared" si="131"/>
        <v/>
      </c>
      <c r="AB1671" s="962"/>
      <c r="AG1671" s="807" t="str">
        <f t="shared" si="132"/>
        <v/>
      </c>
      <c r="AJ1671" s="865"/>
    </row>
    <row r="1672" spans="1:76" ht="15">
      <c r="D1672" s="1069"/>
      <c r="E1672" s="533" t="s">
        <v>4078</v>
      </c>
      <c r="G1672" s="827"/>
      <c r="H1672" s="809" t="s">
        <v>3962</v>
      </c>
      <c r="I1672" s="92">
        <v>49</v>
      </c>
      <c r="J1672" s="92" t="s">
        <v>10</v>
      </c>
      <c r="K1672" s="92" t="s">
        <v>768</v>
      </c>
      <c r="L1672" s="810">
        <v>5</v>
      </c>
      <c r="M1672" s="811" t="str">
        <f t="shared" si="130"/>
        <v>High School Graduate</v>
      </c>
      <c r="P1672" s="1638"/>
      <c r="R1672" s="92" t="s">
        <v>8234</v>
      </c>
      <c r="U1672" s="813">
        <v>10000</v>
      </c>
      <c r="V1672" s="961">
        <f>SUM(S1670:U1671)</f>
        <v>0</v>
      </c>
      <c r="X1672" s="811" t="str">
        <f t="shared" si="131"/>
        <v/>
      </c>
      <c r="AB1672" s="962">
        <f>SUM(Y1671:AA1672)</f>
        <v>0</v>
      </c>
      <c r="AG1672" s="807" t="str">
        <f t="shared" si="132"/>
        <v/>
      </c>
      <c r="AJ1672" s="865"/>
    </row>
    <row r="1673" spans="1:76" ht="15">
      <c r="C1673" s="807"/>
      <c r="D1673" s="1069"/>
      <c r="E1673" s="533" t="s">
        <v>4078</v>
      </c>
      <c r="G1673" s="827"/>
      <c r="H1673" s="809" t="s">
        <v>10272</v>
      </c>
      <c r="I1673" s="92">
        <v>87</v>
      </c>
      <c r="J1673" s="92" t="s">
        <v>18</v>
      </c>
      <c r="K1673" s="92" t="s">
        <v>719</v>
      </c>
      <c r="L1673" s="810">
        <v>5</v>
      </c>
      <c r="M1673" s="811" t="str">
        <f t="shared" si="130"/>
        <v>High School Graduate</v>
      </c>
      <c r="N1673" s="92" t="s">
        <v>1208</v>
      </c>
      <c r="O1673" s="812" t="s">
        <v>3490</v>
      </c>
      <c r="P1673" s="1638" t="s">
        <v>12608</v>
      </c>
      <c r="Q1673" s="812" t="s">
        <v>3490</v>
      </c>
      <c r="S1673" s="813">
        <v>6000</v>
      </c>
      <c r="W1673" s="815">
        <v>1</v>
      </c>
      <c r="X1673" s="811" t="str">
        <f t="shared" si="131"/>
        <v>within the Brgy</v>
      </c>
      <c r="AB1673" s="940"/>
      <c r="AG1673" s="807" t="str">
        <f t="shared" si="132"/>
        <v/>
      </c>
      <c r="AJ1673" s="865"/>
      <c r="BX1673" s="807">
        <v>1</v>
      </c>
    </row>
    <row r="1674" spans="1:76" ht="15">
      <c r="A1674" s="311" t="s">
        <v>7421</v>
      </c>
      <c r="B1674" s="752" t="s">
        <v>7726</v>
      </c>
      <c r="C1674" s="132" t="s">
        <v>3955</v>
      </c>
      <c r="D1674" s="1070" t="s">
        <v>10271</v>
      </c>
      <c r="E1674" s="533" t="s">
        <v>3955</v>
      </c>
      <c r="F1674" s="1048" t="s">
        <v>3962</v>
      </c>
      <c r="G1674" s="809" t="s">
        <v>3955</v>
      </c>
      <c r="H1674" s="809" t="s">
        <v>10274</v>
      </c>
      <c r="I1674" s="92">
        <v>54</v>
      </c>
      <c r="J1674" s="92" t="s">
        <v>10</v>
      </c>
      <c r="K1674" s="92" t="s">
        <v>783</v>
      </c>
      <c r="L1674" s="810">
        <v>5</v>
      </c>
      <c r="M1674" s="811" t="str">
        <f t="shared" si="130"/>
        <v>High School Graduate</v>
      </c>
      <c r="N1674" s="92" t="s">
        <v>1208</v>
      </c>
      <c r="O1674" s="812" t="s">
        <v>8933</v>
      </c>
      <c r="P1674" s="1638"/>
      <c r="Q1674" s="812" t="s">
        <v>8933</v>
      </c>
      <c r="W1674" s="815">
        <v>2</v>
      </c>
      <c r="X1674" s="811" t="str">
        <f t="shared" si="131"/>
        <v>within the Municipality/City</v>
      </c>
      <c r="AB1674" s="940"/>
      <c r="AG1674" s="807" t="str">
        <f t="shared" si="132"/>
        <v/>
      </c>
      <c r="AJ1674" s="865"/>
    </row>
    <row r="1675" spans="1:76" ht="15">
      <c r="A1675" s="311" t="s">
        <v>7421</v>
      </c>
      <c r="C1675" s="132"/>
      <c r="D1675" s="1070" t="s">
        <v>10271</v>
      </c>
      <c r="E1675" s="533" t="s">
        <v>3955</v>
      </c>
      <c r="G1675" s="827"/>
      <c r="H1675" s="809" t="s">
        <v>10275</v>
      </c>
      <c r="I1675" s="92">
        <v>48</v>
      </c>
      <c r="J1675" s="92" t="s">
        <v>18</v>
      </c>
      <c r="K1675" s="92" t="s">
        <v>722</v>
      </c>
      <c r="L1675" s="810">
        <v>5</v>
      </c>
      <c r="M1675" s="811" t="str">
        <f t="shared" si="130"/>
        <v>High School Graduate</v>
      </c>
      <c r="P1675" s="1638"/>
      <c r="R1675" s="92" t="s">
        <v>8234</v>
      </c>
      <c r="S1675" s="813">
        <v>12000</v>
      </c>
      <c r="V1675" s="814">
        <f>SUM(S1672:U1674)</f>
        <v>16000</v>
      </c>
      <c r="X1675" s="811" t="str">
        <f t="shared" si="131"/>
        <v/>
      </c>
      <c r="AB1675" s="940">
        <f>SUM(Y1673:AA1675)</f>
        <v>0</v>
      </c>
      <c r="AG1675" s="807" t="str">
        <f t="shared" si="132"/>
        <v/>
      </c>
      <c r="AJ1675" s="865"/>
    </row>
    <row r="1676" spans="1:76" ht="15">
      <c r="A1676" s="771" t="s">
        <v>7421</v>
      </c>
      <c r="B1676" s="752" t="s">
        <v>7399</v>
      </c>
      <c r="C1676" s="133" t="s">
        <v>3963</v>
      </c>
      <c r="D1676" s="1070" t="s">
        <v>10273</v>
      </c>
      <c r="E1676" s="514" t="s">
        <v>3963</v>
      </c>
      <c r="F1676" s="1048" t="s">
        <v>3972</v>
      </c>
      <c r="G1676" s="809" t="s">
        <v>3963</v>
      </c>
      <c r="H1676" s="809" t="s">
        <v>10276</v>
      </c>
      <c r="I1676" s="92">
        <v>19</v>
      </c>
      <c r="J1676" s="92" t="s">
        <v>18</v>
      </c>
      <c r="K1676" s="92" t="s">
        <v>768</v>
      </c>
      <c r="L1676" s="810">
        <v>6</v>
      </c>
      <c r="M1676" s="811" t="str">
        <f t="shared" si="130"/>
        <v>College Level</v>
      </c>
      <c r="N1676" s="92" t="s">
        <v>1208</v>
      </c>
      <c r="O1676" s="812" t="s">
        <v>2986</v>
      </c>
      <c r="P1676" s="1638" t="s">
        <v>12606</v>
      </c>
      <c r="Q1676" s="812" t="s">
        <v>2986</v>
      </c>
      <c r="V1676" s="828"/>
      <c r="W1676" s="815">
        <v>1</v>
      </c>
      <c r="X1676" s="811" t="str">
        <f t="shared" si="131"/>
        <v>within the Brgy</v>
      </c>
      <c r="AB1676" s="953"/>
      <c r="AG1676" s="807" t="str">
        <f t="shared" si="132"/>
        <v/>
      </c>
      <c r="AJ1676" s="865"/>
    </row>
    <row r="1677" spans="1:76" ht="15">
      <c r="A1677" s="771" t="s">
        <v>7421</v>
      </c>
      <c r="B1677" s="292"/>
      <c r="C1677" s="807"/>
      <c r="D1677" s="1070" t="s">
        <v>10273</v>
      </c>
      <c r="E1677" s="514" t="s">
        <v>3963</v>
      </c>
      <c r="G1677" s="827"/>
      <c r="H1677" s="809" t="s">
        <v>4095</v>
      </c>
      <c r="I1677" s="92">
        <v>33</v>
      </c>
      <c r="J1677" s="92" t="s">
        <v>10</v>
      </c>
      <c r="K1677" s="92" t="s">
        <v>722</v>
      </c>
      <c r="L1677" s="810">
        <v>5</v>
      </c>
      <c r="M1677" s="811" t="str">
        <f t="shared" si="130"/>
        <v>High School Graduate</v>
      </c>
      <c r="P1677" s="1638"/>
      <c r="R1677" s="92" t="s">
        <v>8234</v>
      </c>
      <c r="S1677" s="813">
        <f>2500*4</f>
        <v>10000</v>
      </c>
      <c r="V1677" s="828">
        <f>SUM(S1675:U1676)</f>
        <v>12000</v>
      </c>
      <c r="X1677" s="811" t="str">
        <f t="shared" si="131"/>
        <v/>
      </c>
      <c r="AB1677" s="953">
        <f>SUM(Y1676:AA1677)</f>
        <v>0</v>
      </c>
      <c r="AG1677" s="807" t="str">
        <f t="shared" si="132"/>
        <v/>
      </c>
      <c r="AJ1677" s="865"/>
    </row>
    <row r="1678" spans="1:76" ht="15">
      <c r="A1678" s="771" t="s">
        <v>7421</v>
      </c>
      <c r="B1678" s="292"/>
      <c r="D1678" s="1070" t="s">
        <v>10273</v>
      </c>
      <c r="E1678" s="514" t="s">
        <v>3963</v>
      </c>
      <c r="G1678" s="827"/>
      <c r="H1678" s="809" t="s">
        <v>10278</v>
      </c>
      <c r="I1678" s="92">
        <v>39</v>
      </c>
      <c r="J1678" s="92" t="s">
        <v>18</v>
      </c>
      <c r="K1678" s="92" t="s">
        <v>722</v>
      </c>
      <c r="L1678" s="810">
        <v>5</v>
      </c>
      <c r="M1678" s="811" t="str">
        <f t="shared" si="130"/>
        <v>High School Graduate</v>
      </c>
      <c r="N1678" s="92" t="s">
        <v>1208</v>
      </c>
      <c r="O1678" s="812" t="s">
        <v>2225</v>
      </c>
      <c r="P1678" s="1638" t="s">
        <v>12606</v>
      </c>
      <c r="Q1678" s="812" t="s">
        <v>2225</v>
      </c>
      <c r="S1678" s="813">
        <f>3000*4</f>
        <v>12000</v>
      </c>
      <c r="V1678" s="961"/>
      <c r="W1678" s="815">
        <v>3</v>
      </c>
      <c r="X1678" s="811" t="str">
        <f t="shared" si="131"/>
        <v>within the Province</v>
      </c>
      <c r="Y1678" s="816">
        <f>32*26</f>
        <v>832</v>
      </c>
      <c r="AB1678" s="962"/>
      <c r="AG1678" s="807" t="str">
        <f t="shared" si="132"/>
        <v/>
      </c>
      <c r="AJ1678" s="865"/>
    </row>
    <row r="1679" spans="1:76" ht="15">
      <c r="A1679" s="771" t="s">
        <v>7421</v>
      </c>
      <c r="B1679" s="752" t="s">
        <v>7398</v>
      </c>
      <c r="C1679" s="132" t="s">
        <v>4086</v>
      </c>
      <c r="D1679" s="1070" t="s">
        <v>10277</v>
      </c>
      <c r="E1679" s="533" t="s">
        <v>4086</v>
      </c>
      <c r="F1679" s="1048" t="s">
        <v>4095</v>
      </c>
      <c r="G1679" s="809" t="s">
        <v>4086</v>
      </c>
      <c r="H1679" s="809" t="s">
        <v>4097</v>
      </c>
      <c r="I1679" s="92">
        <v>19</v>
      </c>
      <c r="J1679" s="92" t="s">
        <v>18</v>
      </c>
      <c r="K1679" s="92" t="s">
        <v>768</v>
      </c>
      <c r="L1679" s="810">
        <v>6</v>
      </c>
      <c r="M1679" s="811" t="str">
        <f t="shared" si="130"/>
        <v>College Level</v>
      </c>
      <c r="N1679" s="92" t="s">
        <v>1208</v>
      </c>
      <c r="O1679" s="812" t="s">
        <v>2978</v>
      </c>
      <c r="P1679" s="1638"/>
      <c r="Q1679" s="812" t="s">
        <v>2978</v>
      </c>
      <c r="V1679" s="961"/>
      <c r="W1679" s="815">
        <v>2</v>
      </c>
      <c r="X1679" s="811" t="str">
        <f t="shared" si="131"/>
        <v>within the Municipality/City</v>
      </c>
      <c r="AB1679" s="962"/>
      <c r="AG1679" s="807" t="str">
        <f t="shared" si="132"/>
        <v/>
      </c>
      <c r="AJ1679" s="865"/>
    </row>
    <row r="1680" spans="1:76" ht="15">
      <c r="A1680" s="771" t="s">
        <v>7421</v>
      </c>
      <c r="D1680" s="1070" t="s">
        <v>10277</v>
      </c>
      <c r="E1680" s="533" t="s">
        <v>4086</v>
      </c>
      <c r="G1680" s="827"/>
      <c r="H1680" s="809" t="s">
        <v>10280</v>
      </c>
      <c r="I1680" s="92">
        <v>43</v>
      </c>
      <c r="J1680" s="92" t="s">
        <v>10</v>
      </c>
      <c r="K1680" s="92" t="s">
        <v>707</v>
      </c>
      <c r="L1680" s="810">
        <v>5</v>
      </c>
      <c r="M1680" s="811" t="str">
        <f t="shared" si="130"/>
        <v>High School Graduate</v>
      </c>
      <c r="P1680" s="1638"/>
      <c r="V1680" s="961"/>
      <c r="X1680" s="811" t="str">
        <f t="shared" si="131"/>
        <v/>
      </c>
      <c r="AB1680" s="962"/>
      <c r="AG1680" s="807" t="str">
        <f t="shared" si="132"/>
        <v/>
      </c>
      <c r="AJ1680" s="865"/>
    </row>
    <row r="1681" spans="1:41" ht="15">
      <c r="A1681" s="771" t="s">
        <v>7421</v>
      </c>
      <c r="B1681" s="752" t="s">
        <v>7397</v>
      </c>
      <c r="C1681" s="132" t="s">
        <v>4096</v>
      </c>
      <c r="D1681" s="1070" t="s">
        <v>10279</v>
      </c>
      <c r="E1681" s="533" t="s">
        <v>4096</v>
      </c>
      <c r="F1681" s="1048" t="s">
        <v>4097</v>
      </c>
      <c r="G1681" s="809" t="s">
        <v>4096</v>
      </c>
      <c r="H1681" s="809" t="s">
        <v>10281</v>
      </c>
      <c r="I1681" s="92">
        <v>15</v>
      </c>
      <c r="J1681" s="92" t="s">
        <v>18</v>
      </c>
      <c r="K1681" s="92" t="s">
        <v>768</v>
      </c>
      <c r="L1681" s="810">
        <v>5</v>
      </c>
      <c r="M1681" s="811" t="str">
        <f t="shared" si="130"/>
        <v>High School Graduate</v>
      </c>
      <c r="P1681" s="1638"/>
      <c r="V1681" s="961"/>
      <c r="X1681" s="811" t="str">
        <f t="shared" si="131"/>
        <v/>
      </c>
      <c r="AB1681" s="962"/>
      <c r="AG1681" s="807" t="str">
        <f t="shared" si="132"/>
        <v/>
      </c>
      <c r="AJ1681" s="865"/>
    </row>
    <row r="1682" spans="1:41" ht="15">
      <c r="A1682" s="771" t="s">
        <v>7421</v>
      </c>
      <c r="D1682" s="1070" t="s">
        <v>10279</v>
      </c>
      <c r="E1682" s="533" t="s">
        <v>4096</v>
      </c>
      <c r="G1682" s="827"/>
      <c r="H1682" s="809" t="s">
        <v>10282</v>
      </c>
      <c r="I1682" s="92">
        <v>12</v>
      </c>
      <c r="J1682" s="92" t="s">
        <v>10</v>
      </c>
      <c r="K1682" s="92" t="s">
        <v>768</v>
      </c>
      <c r="L1682" s="810">
        <v>2</v>
      </c>
      <c r="M1682" s="811" t="str">
        <f t="shared" si="130"/>
        <v>Elementary Level</v>
      </c>
      <c r="P1682" s="1638"/>
      <c r="V1682" s="961"/>
      <c r="X1682" s="811" t="str">
        <f t="shared" si="131"/>
        <v/>
      </c>
      <c r="AB1682" s="962"/>
      <c r="AG1682" s="807" t="str">
        <f t="shared" si="132"/>
        <v/>
      </c>
      <c r="AJ1682" s="865"/>
    </row>
    <row r="1683" spans="1:41" ht="15">
      <c r="A1683" s="771" t="s">
        <v>7421</v>
      </c>
      <c r="D1683" s="1070" t="s">
        <v>10279</v>
      </c>
      <c r="E1683" s="533" t="s">
        <v>4096</v>
      </c>
      <c r="G1683" s="827"/>
      <c r="H1683" s="809" t="s">
        <v>10283</v>
      </c>
      <c r="I1683" s="92">
        <v>7</v>
      </c>
      <c r="J1683" s="92" t="s">
        <v>18</v>
      </c>
      <c r="K1683" s="92" t="s">
        <v>768</v>
      </c>
      <c r="L1683" s="810">
        <v>2</v>
      </c>
      <c r="M1683" s="811" t="str">
        <f t="shared" si="130"/>
        <v>Elementary Level</v>
      </c>
      <c r="P1683" s="1638"/>
      <c r="R1683" s="812" t="s">
        <v>8234</v>
      </c>
      <c r="S1683" s="813">
        <v>12000</v>
      </c>
      <c r="V1683" s="961">
        <f>SUM(S1677:U1682)</f>
        <v>22000</v>
      </c>
      <c r="X1683" s="811" t="str">
        <f t="shared" si="131"/>
        <v/>
      </c>
      <c r="AB1683" s="962">
        <f>SUM(Y1678:AA1683)</f>
        <v>832</v>
      </c>
      <c r="AG1683" s="807" t="str">
        <f t="shared" si="132"/>
        <v/>
      </c>
      <c r="AJ1683" s="865"/>
    </row>
    <row r="1684" spans="1:41" ht="15">
      <c r="A1684" s="19" t="s">
        <v>7421</v>
      </c>
      <c r="D1684" s="1070" t="s">
        <v>10279</v>
      </c>
      <c r="E1684" s="533" t="s">
        <v>4096</v>
      </c>
      <c r="G1684" s="827"/>
      <c r="H1684" s="809" t="s">
        <v>10284</v>
      </c>
      <c r="I1684" s="92">
        <v>1</v>
      </c>
      <c r="J1684" s="92" t="s">
        <v>18</v>
      </c>
      <c r="K1684" s="92" t="s">
        <v>768</v>
      </c>
      <c r="L1684" s="810">
        <v>10</v>
      </c>
      <c r="M1684" s="811" t="str">
        <f t="shared" si="130"/>
        <v>Not In School Age</v>
      </c>
      <c r="N1684" s="92" t="s">
        <v>1208</v>
      </c>
      <c r="O1684" s="812" t="s">
        <v>2225</v>
      </c>
      <c r="P1684" s="1638" t="s">
        <v>12606</v>
      </c>
      <c r="Q1684" s="812" t="s">
        <v>2225</v>
      </c>
      <c r="R1684" s="812" t="s">
        <v>20</v>
      </c>
      <c r="U1684" s="813">
        <v>15000</v>
      </c>
      <c r="V1684" s="873"/>
      <c r="W1684" s="815">
        <v>2</v>
      </c>
      <c r="X1684" s="811" t="str">
        <f t="shared" si="131"/>
        <v>within the Municipality/City</v>
      </c>
      <c r="Y1684" s="816">
        <v>1600</v>
      </c>
      <c r="AB1684" s="873"/>
      <c r="AG1684" s="807"/>
      <c r="AJ1684" s="865"/>
    </row>
    <row r="1685" spans="1:41" ht="15">
      <c r="A1685" s="19" t="s">
        <v>7421</v>
      </c>
      <c r="D1685" s="1070" t="s">
        <v>10279</v>
      </c>
      <c r="E1685" s="533" t="s">
        <v>4096</v>
      </c>
      <c r="G1685" s="827"/>
      <c r="H1685" s="809" t="s">
        <v>11433</v>
      </c>
      <c r="I1685" s="92">
        <v>37</v>
      </c>
      <c r="J1685" s="92" t="s">
        <v>10</v>
      </c>
      <c r="K1685" s="92" t="s">
        <v>722</v>
      </c>
      <c r="L1685" s="810">
        <v>6</v>
      </c>
      <c r="M1685" s="811" t="str">
        <f t="shared" si="130"/>
        <v>College Level</v>
      </c>
      <c r="N1685" s="92" t="s">
        <v>1208</v>
      </c>
      <c r="O1685" s="812" t="s">
        <v>12572</v>
      </c>
      <c r="P1685" s="1638"/>
      <c r="Q1685" s="812" t="s">
        <v>12572</v>
      </c>
      <c r="V1685" s="873"/>
      <c r="W1685" s="815">
        <v>1</v>
      </c>
      <c r="X1685" s="811" t="str">
        <f t="shared" si="131"/>
        <v>within the Brgy</v>
      </c>
      <c r="AB1685" s="873"/>
      <c r="AG1685" s="807"/>
      <c r="AJ1685" s="865"/>
    </row>
    <row r="1686" spans="1:41" ht="15">
      <c r="A1686" s="19" t="s">
        <v>7421</v>
      </c>
      <c r="D1686" s="1070" t="s">
        <v>10279</v>
      </c>
      <c r="E1686" s="533" t="s">
        <v>4096</v>
      </c>
      <c r="G1686" s="827"/>
      <c r="H1686" s="809" t="s">
        <v>11431</v>
      </c>
      <c r="I1686" s="92">
        <v>37</v>
      </c>
      <c r="J1686" s="92" t="s">
        <v>18</v>
      </c>
      <c r="K1686" s="92" t="s">
        <v>722</v>
      </c>
      <c r="L1686" s="810">
        <v>5</v>
      </c>
      <c r="M1686" s="811" t="str">
        <f t="shared" si="130"/>
        <v>High School Graduate</v>
      </c>
      <c r="P1686" s="1638"/>
      <c r="V1686" s="873"/>
      <c r="X1686" s="811" t="str">
        <f t="shared" si="131"/>
        <v/>
      </c>
      <c r="AB1686" s="873"/>
      <c r="AG1686" s="807"/>
      <c r="AJ1686" s="865"/>
    </row>
    <row r="1687" spans="1:41" ht="15">
      <c r="A1687" s="49" t="s">
        <v>7421</v>
      </c>
      <c r="B1687" s="1079" t="s">
        <v>11414</v>
      </c>
      <c r="C1687" s="533" t="s">
        <v>11415</v>
      </c>
      <c r="D1687" s="1235" t="s">
        <v>11415</v>
      </c>
      <c r="E1687" s="533" t="s">
        <v>11415</v>
      </c>
      <c r="G1687" s="827"/>
      <c r="H1687" s="809" t="s">
        <v>12569</v>
      </c>
      <c r="I1687" s="92">
        <v>13</v>
      </c>
      <c r="J1687" s="92" t="s">
        <v>10</v>
      </c>
      <c r="K1687" s="92" t="s">
        <v>768</v>
      </c>
      <c r="L1687" s="810">
        <v>4</v>
      </c>
      <c r="M1687" s="811" t="str">
        <f t="shared" si="130"/>
        <v>High School Level</v>
      </c>
      <c r="P1687" s="1638"/>
      <c r="V1687" s="873"/>
      <c r="X1687" s="811" t="str">
        <f t="shared" si="131"/>
        <v/>
      </c>
      <c r="AB1687" s="873"/>
      <c r="AG1687" s="807"/>
      <c r="AJ1687" s="865"/>
    </row>
    <row r="1688" spans="1:41" ht="15">
      <c r="A1688" s="49" t="s">
        <v>7421</v>
      </c>
      <c r="D1688" s="1235" t="s">
        <v>11415</v>
      </c>
      <c r="E1688" s="533"/>
      <c r="G1688" s="827"/>
      <c r="H1688" s="807" t="s">
        <v>12571</v>
      </c>
      <c r="I1688" s="92">
        <v>12</v>
      </c>
      <c r="J1688" s="92" t="s">
        <v>18</v>
      </c>
      <c r="K1688" s="92" t="s">
        <v>768</v>
      </c>
      <c r="L1688" s="810">
        <v>4</v>
      </c>
      <c r="M1688" s="811" t="str">
        <f t="shared" si="130"/>
        <v>High School Level</v>
      </c>
      <c r="P1688" s="1638"/>
      <c r="V1688" s="873">
        <f>SUM(S1683:U1687)</f>
        <v>27000</v>
      </c>
      <c r="X1688" s="811" t="str">
        <f t="shared" si="131"/>
        <v/>
      </c>
      <c r="AB1688" s="873">
        <f>SUM(Y1684:AA1688)</f>
        <v>1600</v>
      </c>
      <c r="AG1688" s="807"/>
      <c r="AJ1688" s="865"/>
    </row>
    <row r="1689" spans="1:41" ht="15">
      <c r="A1689" s="49" t="s">
        <v>7421</v>
      </c>
      <c r="D1689" s="1235" t="s">
        <v>11415</v>
      </c>
      <c r="E1689" s="533"/>
      <c r="G1689" s="827"/>
      <c r="H1689" s="809" t="s">
        <v>12570</v>
      </c>
      <c r="I1689" s="92">
        <v>6</v>
      </c>
      <c r="J1689" s="92" t="s">
        <v>18</v>
      </c>
      <c r="K1689" s="92" t="s">
        <v>768</v>
      </c>
      <c r="L1689" s="810">
        <v>2</v>
      </c>
      <c r="M1689" s="811" t="str">
        <f t="shared" ref="M1689:M1752" si="133">IF(ISBLANK(L1689)=TRUE,"",LOOKUP(L1689,GQ:GR))</f>
        <v>Elementary Level</v>
      </c>
      <c r="N1689" s="807"/>
      <c r="P1689" s="1638"/>
      <c r="X1689" s="811" t="str">
        <f t="shared" si="131"/>
        <v/>
      </c>
      <c r="AB1689" s="940"/>
      <c r="AG1689" s="807" t="str">
        <f t="shared" ref="AG1689:AG1729" si="134">IF(ISBLANK(AF1689)=TRUE,"",LOOKUP(AF1689,GS:GT))</f>
        <v/>
      </c>
      <c r="AJ1689" s="865"/>
      <c r="AO1689" s="817" t="s">
        <v>10286</v>
      </c>
    </row>
    <row r="1690" spans="1:41" ht="15">
      <c r="A1690" s="49" t="s">
        <v>7421</v>
      </c>
      <c r="D1690" s="1235" t="s">
        <v>11415</v>
      </c>
      <c r="E1690" s="533"/>
      <c r="G1690" s="827"/>
      <c r="H1690" s="807"/>
      <c r="I1690" s="807"/>
      <c r="J1690" s="807"/>
      <c r="K1690" s="807"/>
      <c r="L1690" s="979"/>
      <c r="M1690" s="811" t="str">
        <f t="shared" si="133"/>
        <v/>
      </c>
      <c r="P1690" s="1638"/>
      <c r="X1690" s="811" t="str">
        <f t="shared" si="131"/>
        <v/>
      </c>
      <c r="AB1690" s="940"/>
      <c r="AG1690" s="807" t="str">
        <f t="shared" si="134"/>
        <v/>
      </c>
      <c r="AJ1690" s="865"/>
      <c r="AO1690" s="817" t="s">
        <v>10287</v>
      </c>
    </row>
    <row r="1691" spans="1:41" ht="15">
      <c r="A1691" s="49" t="s">
        <v>7421</v>
      </c>
      <c r="D1691" s="1235" t="s">
        <v>11415</v>
      </c>
      <c r="E1691" s="533"/>
      <c r="G1691" s="827"/>
      <c r="M1691" s="811" t="str">
        <f t="shared" si="133"/>
        <v/>
      </c>
      <c r="P1691" s="1638"/>
      <c r="X1691" s="811" t="str">
        <f t="shared" si="131"/>
        <v/>
      </c>
      <c r="AB1691" s="940"/>
      <c r="AG1691" s="807" t="str">
        <f t="shared" si="134"/>
        <v/>
      </c>
      <c r="AJ1691" s="865"/>
      <c r="AO1691" s="817" t="s">
        <v>10288</v>
      </c>
    </row>
    <row r="1692" spans="1:41" ht="15">
      <c r="D1692" s="1069" t="s">
        <v>10285</v>
      </c>
      <c r="G1692" s="827"/>
      <c r="M1692" s="811" t="str">
        <f t="shared" si="133"/>
        <v/>
      </c>
      <c r="P1692" s="1638"/>
      <c r="X1692" s="811" t="str">
        <f t="shared" si="131"/>
        <v/>
      </c>
      <c r="AB1692" s="940"/>
      <c r="AG1692" s="807" t="str">
        <f t="shared" si="134"/>
        <v/>
      </c>
      <c r="AJ1692" s="865"/>
      <c r="AO1692" s="817" t="s">
        <v>10289</v>
      </c>
    </row>
    <row r="1693" spans="1:41" ht="15">
      <c r="D1693" s="1069"/>
      <c r="G1693" s="827"/>
      <c r="M1693" s="811" t="str">
        <f t="shared" si="133"/>
        <v/>
      </c>
      <c r="P1693" s="1638"/>
      <c r="R1693" s="92" t="s">
        <v>8234</v>
      </c>
      <c r="S1693" s="813" t="s">
        <v>2979</v>
      </c>
      <c r="X1693" s="811" t="str">
        <f t="shared" si="131"/>
        <v/>
      </c>
      <c r="AB1693" s="940"/>
      <c r="AG1693" s="807" t="str">
        <f t="shared" si="134"/>
        <v/>
      </c>
      <c r="AJ1693" s="865"/>
      <c r="AO1693" s="817" t="s">
        <v>10290</v>
      </c>
    </row>
    <row r="1694" spans="1:41" ht="15">
      <c r="D1694" s="1069"/>
      <c r="G1694" s="827"/>
      <c r="M1694" s="811" t="str">
        <f t="shared" si="133"/>
        <v/>
      </c>
      <c r="N1694" s="92" t="s">
        <v>1208</v>
      </c>
      <c r="O1694" s="812" t="s">
        <v>10292</v>
      </c>
      <c r="P1694" s="1638" t="s">
        <v>12606</v>
      </c>
      <c r="Q1694" s="812" t="s">
        <v>10292</v>
      </c>
      <c r="U1694" s="813">
        <f>5000*4</f>
        <v>20000</v>
      </c>
      <c r="V1694" s="828"/>
      <c r="W1694" s="815">
        <v>3</v>
      </c>
      <c r="X1694" s="811" t="str">
        <f t="shared" si="131"/>
        <v>within the Province</v>
      </c>
      <c r="AB1694" s="953"/>
      <c r="AG1694" s="807" t="str">
        <f t="shared" si="134"/>
        <v/>
      </c>
      <c r="AJ1694" s="865"/>
    </row>
    <row r="1695" spans="1:41" ht="15">
      <c r="D1695" s="1069"/>
      <c r="G1695" s="827"/>
      <c r="H1695" s="809" t="s">
        <v>4119</v>
      </c>
      <c r="I1695" s="92">
        <v>50</v>
      </c>
      <c r="J1695" s="92" t="s">
        <v>10</v>
      </c>
      <c r="K1695" s="92" t="s">
        <v>707</v>
      </c>
      <c r="L1695" s="810">
        <v>7</v>
      </c>
      <c r="M1695" s="811" t="str">
        <f t="shared" si="133"/>
        <v>College Graduate or Higher</v>
      </c>
      <c r="N1695" s="92" t="s">
        <v>1208</v>
      </c>
      <c r="O1695" s="812" t="s">
        <v>1909</v>
      </c>
      <c r="P1695" s="1638"/>
      <c r="Q1695" s="812" t="s">
        <v>1909</v>
      </c>
      <c r="V1695" s="828"/>
      <c r="W1695" s="815">
        <v>1</v>
      </c>
      <c r="X1695" s="811" t="str">
        <f t="shared" si="131"/>
        <v>within the Brgy</v>
      </c>
      <c r="AB1695" s="953"/>
      <c r="AG1695" s="807" t="str">
        <f t="shared" si="134"/>
        <v/>
      </c>
      <c r="AJ1695" s="865"/>
    </row>
    <row r="1696" spans="1:41" ht="15">
      <c r="D1696" s="1069"/>
      <c r="G1696" s="827"/>
      <c r="H1696" s="809" t="s">
        <v>4122</v>
      </c>
      <c r="I1696" s="92">
        <v>49</v>
      </c>
      <c r="J1696" s="92" t="s">
        <v>18</v>
      </c>
      <c r="K1696" s="92" t="s">
        <v>707</v>
      </c>
      <c r="L1696" s="810">
        <v>7</v>
      </c>
      <c r="M1696" s="811" t="str">
        <f t="shared" si="133"/>
        <v>College Graduate or Higher</v>
      </c>
      <c r="P1696" s="1638"/>
      <c r="V1696" s="828"/>
      <c r="X1696" s="811" t="str">
        <f t="shared" si="131"/>
        <v/>
      </c>
      <c r="AB1696" s="953"/>
      <c r="AG1696" s="807" t="str">
        <f t="shared" si="134"/>
        <v/>
      </c>
      <c r="AJ1696" s="865"/>
    </row>
    <row r="1697" spans="1:36" ht="15">
      <c r="A1697" s="19" t="s">
        <v>7421</v>
      </c>
      <c r="B1697" s="1082" t="s">
        <v>7407</v>
      </c>
      <c r="C1697" s="533" t="s">
        <v>4110</v>
      </c>
      <c r="D1697" s="1069" t="s">
        <v>10291</v>
      </c>
      <c r="E1697" s="533" t="s">
        <v>4110</v>
      </c>
      <c r="F1697" s="1048" t="s">
        <v>4119</v>
      </c>
      <c r="G1697" s="809" t="s">
        <v>4110</v>
      </c>
      <c r="H1697" s="809" t="s">
        <v>10293</v>
      </c>
      <c r="I1697" s="92">
        <v>24</v>
      </c>
      <c r="J1697" s="92" t="s">
        <v>18</v>
      </c>
      <c r="K1697" s="92" t="s">
        <v>707</v>
      </c>
      <c r="L1697" s="810">
        <v>7</v>
      </c>
      <c r="M1697" s="811" t="str">
        <f t="shared" si="133"/>
        <v>College Graduate or Higher</v>
      </c>
      <c r="P1697" s="1638"/>
      <c r="R1697" s="92" t="s">
        <v>8234</v>
      </c>
      <c r="S1697" s="813">
        <v>16500</v>
      </c>
      <c r="V1697" s="828">
        <f>SUM(S1693:U1696)</f>
        <v>20000</v>
      </c>
      <c r="X1697" s="811" t="str">
        <f t="shared" si="131"/>
        <v/>
      </c>
      <c r="AB1697" s="953">
        <f>SUM(Y1694:AA1697)</f>
        <v>0</v>
      </c>
      <c r="AG1697" s="807" t="str">
        <f t="shared" si="134"/>
        <v/>
      </c>
      <c r="AJ1697" s="865"/>
    </row>
    <row r="1698" spans="1:36" ht="15">
      <c r="A1698" s="19" t="s">
        <v>7421</v>
      </c>
      <c r="B1698" s="292"/>
      <c r="D1698" s="1069" t="s">
        <v>10291</v>
      </c>
      <c r="E1698" s="533" t="s">
        <v>4110</v>
      </c>
      <c r="G1698" s="827"/>
      <c r="H1698" s="809" t="s">
        <v>10294</v>
      </c>
      <c r="I1698" s="92">
        <v>19</v>
      </c>
      <c r="J1698" s="92" t="s">
        <v>18</v>
      </c>
      <c r="K1698" s="92" t="s">
        <v>768</v>
      </c>
      <c r="L1698" s="810">
        <v>6</v>
      </c>
      <c r="M1698" s="811" t="str">
        <f t="shared" si="133"/>
        <v>College Level</v>
      </c>
      <c r="N1698" s="92" t="s">
        <v>1208</v>
      </c>
      <c r="O1698" s="812" t="s">
        <v>11316</v>
      </c>
      <c r="P1698" s="1638" t="s">
        <v>12606</v>
      </c>
      <c r="Q1698" s="812" t="s">
        <v>11316</v>
      </c>
      <c r="V1698" s="961"/>
      <c r="W1698" s="815">
        <v>3</v>
      </c>
      <c r="X1698" s="811" t="str">
        <f t="shared" si="131"/>
        <v>within the Province</v>
      </c>
      <c r="AB1698" s="962"/>
      <c r="AG1698" s="807" t="str">
        <f t="shared" si="134"/>
        <v/>
      </c>
      <c r="AJ1698" s="865"/>
    </row>
    <row r="1699" spans="1:36" ht="15">
      <c r="A1699" s="19" t="s">
        <v>7421</v>
      </c>
      <c r="B1699" s="292"/>
      <c r="D1699" s="1069" t="s">
        <v>10291</v>
      </c>
      <c r="E1699" s="533" t="s">
        <v>4110</v>
      </c>
      <c r="G1699" s="827"/>
      <c r="H1699" s="809" t="s">
        <v>4130</v>
      </c>
      <c r="I1699" s="92">
        <v>54</v>
      </c>
      <c r="J1699" s="92" t="s">
        <v>10</v>
      </c>
      <c r="K1699" s="92" t="s">
        <v>707</v>
      </c>
      <c r="L1699" s="810">
        <v>6</v>
      </c>
      <c r="M1699" s="811" t="str">
        <f t="shared" si="133"/>
        <v>College Level</v>
      </c>
      <c r="P1699" s="1638"/>
      <c r="R1699" s="812" t="s">
        <v>10310</v>
      </c>
      <c r="S1699" s="813">
        <v>14000</v>
      </c>
      <c r="V1699" s="961"/>
      <c r="X1699" s="811" t="str">
        <f t="shared" si="131"/>
        <v/>
      </c>
      <c r="AB1699" s="962"/>
      <c r="AG1699" s="807" t="str">
        <f t="shared" si="134"/>
        <v/>
      </c>
      <c r="AJ1699" s="865"/>
    </row>
    <row r="1700" spans="1:36" ht="15">
      <c r="A1700" s="19" t="s">
        <v>7421</v>
      </c>
      <c r="B1700" s="292"/>
      <c r="D1700" s="1069" t="s">
        <v>10291</v>
      </c>
      <c r="E1700" s="533" t="s">
        <v>4110</v>
      </c>
      <c r="G1700" s="827"/>
      <c r="H1700" s="809" t="s">
        <v>10296</v>
      </c>
      <c r="I1700" s="92">
        <v>49</v>
      </c>
      <c r="J1700" s="92" t="s">
        <v>18</v>
      </c>
      <c r="K1700" s="92" t="s">
        <v>707</v>
      </c>
      <c r="L1700" s="810">
        <v>5</v>
      </c>
      <c r="M1700" s="811" t="str">
        <f t="shared" si="133"/>
        <v>High School Graduate</v>
      </c>
      <c r="N1700" s="92" t="s">
        <v>1208</v>
      </c>
      <c r="O1700" s="812" t="s">
        <v>10298</v>
      </c>
      <c r="P1700" s="1638"/>
      <c r="Q1700" s="812" t="s">
        <v>10298</v>
      </c>
      <c r="R1700" s="812" t="s">
        <v>10310</v>
      </c>
      <c r="S1700" s="813">
        <v>12000</v>
      </c>
      <c r="V1700" s="961"/>
      <c r="W1700" s="815">
        <v>3</v>
      </c>
      <c r="X1700" s="811" t="str">
        <f t="shared" si="131"/>
        <v>within the Province</v>
      </c>
      <c r="Y1700" s="816">
        <v>1500</v>
      </c>
      <c r="AB1700" s="962"/>
      <c r="AG1700" s="807" t="str">
        <f t="shared" si="134"/>
        <v/>
      </c>
      <c r="AJ1700" s="865"/>
    </row>
    <row r="1701" spans="1:36" ht="15">
      <c r="A1701" s="19" t="s">
        <v>7421</v>
      </c>
      <c r="B1701" s="1082" t="s">
        <v>7727</v>
      </c>
      <c r="C1701" s="533" t="s">
        <v>4123</v>
      </c>
      <c r="D1701" s="1070" t="s">
        <v>10295</v>
      </c>
      <c r="E1701" s="533" t="s">
        <v>4123</v>
      </c>
      <c r="F1701" s="1048" t="s">
        <v>4130</v>
      </c>
      <c r="G1701" s="809" t="s">
        <v>4123</v>
      </c>
      <c r="H1701" s="809" t="s">
        <v>10297</v>
      </c>
      <c r="I1701" s="92">
        <v>26</v>
      </c>
      <c r="J1701" s="92" t="s">
        <v>10</v>
      </c>
      <c r="K1701" s="92" t="s">
        <v>722</v>
      </c>
      <c r="L1701" s="810">
        <v>7</v>
      </c>
      <c r="M1701" s="811" t="str">
        <f t="shared" si="133"/>
        <v>College Graduate or Higher</v>
      </c>
      <c r="N1701" s="92" t="s">
        <v>1208</v>
      </c>
      <c r="O1701" s="812" t="s">
        <v>2200</v>
      </c>
      <c r="P1701" s="1638"/>
      <c r="Q1701" s="812" t="s">
        <v>2200</v>
      </c>
      <c r="V1701" s="961"/>
      <c r="W1701" s="815">
        <v>3</v>
      </c>
      <c r="X1701" s="811" t="str">
        <f t="shared" si="131"/>
        <v>within the Province</v>
      </c>
      <c r="Y1701" s="816">
        <v>1200</v>
      </c>
      <c r="AB1701" s="962"/>
      <c r="AG1701" s="807" t="str">
        <f t="shared" si="134"/>
        <v/>
      </c>
      <c r="AJ1701" s="865"/>
    </row>
    <row r="1702" spans="1:36" ht="15">
      <c r="A1702" s="19" t="s">
        <v>7421</v>
      </c>
      <c r="D1702" s="1070" t="s">
        <v>10295</v>
      </c>
      <c r="E1702" s="533" t="s">
        <v>4123</v>
      </c>
      <c r="G1702" s="827"/>
      <c r="H1702" s="809" t="s">
        <v>10299</v>
      </c>
      <c r="I1702" s="92">
        <v>24</v>
      </c>
      <c r="J1702" s="92" t="s">
        <v>18</v>
      </c>
      <c r="K1702" s="92" t="s">
        <v>722</v>
      </c>
      <c r="L1702" s="810">
        <v>6</v>
      </c>
      <c r="M1702" s="811" t="str">
        <f t="shared" si="133"/>
        <v>College Level</v>
      </c>
      <c r="P1702" s="1638"/>
      <c r="V1702" s="961"/>
      <c r="X1702" s="811" t="str">
        <f t="shared" si="131"/>
        <v/>
      </c>
      <c r="AB1702" s="962"/>
      <c r="AG1702" s="807" t="str">
        <f t="shared" si="134"/>
        <v/>
      </c>
      <c r="AJ1702" s="865"/>
    </row>
    <row r="1703" spans="1:36" ht="15">
      <c r="A1703" s="19" t="s">
        <v>7421</v>
      </c>
      <c r="D1703" s="1070" t="s">
        <v>10295</v>
      </c>
      <c r="E1703" s="533" t="s">
        <v>4123</v>
      </c>
      <c r="G1703" s="827"/>
      <c r="H1703" s="809" t="s">
        <v>10300</v>
      </c>
      <c r="I1703" s="92">
        <v>3</v>
      </c>
      <c r="J1703" s="92" t="s">
        <v>10</v>
      </c>
      <c r="K1703" s="92" t="s">
        <v>768</v>
      </c>
      <c r="L1703" s="810">
        <v>10</v>
      </c>
      <c r="M1703" s="811" t="str">
        <f t="shared" si="133"/>
        <v>Not In School Age</v>
      </c>
      <c r="P1703" s="1638"/>
      <c r="R1703" s="812" t="s">
        <v>8234</v>
      </c>
      <c r="S1703" s="813">
        <v>12000</v>
      </c>
      <c r="V1703" s="961">
        <f>SUM(S1697:U1702)</f>
        <v>42500</v>
      </c>
      <c r="X1703" s="811" t="str">
        <f t="shared" si="131"/>
        <v/>
      </c>
      <c r="AB1703" s="962">
        <f>SUM(Y1698:AA1703)</f>
        <v>2700</v>
      </c>
      <c r="AG1703" s="807" t="str">
        <f t="shared" si="134"/>
        <v/>
      </c>
      <c r="AJ1703" s="865"/>
    </row>
    <row r="1704" spans="1:36" ht="15">
      <c r="A1704" s="19" t="s">
        <v>7421</v>
      </c>
      <c r="D1704" s="1070" t="s">
        <v>10295</v>
      </c>
      <c r="E1704" s="533" t="s">
        <v>4123</v>
      </c>
      <c r="G1704" s="827"/>
      <c r="H1704" s="809" t="s">
        <v>10301</v>
      </c>
      <c r="I1704" s="92">
        <v>19</v>
      </c>
      <c r="J1704" s="92" t="s">
        <v>18</v>
      </c>
      <c r="K1704" s="92" t="s">
        <v>768</v>
      </c>
      <c r="L1704" s="810">
        <v>6</v>
      </c>
      <c r="M1704" s="811" t="str">
        <f t="shared" si="133"/>
        <v>College Level</v>
      </c>
      <c r="N1704" s="92" t="s">
        <v>1208</v>
      </c>
      <c r="O1704" s="812" t="s">
        <v>2968</v>
      </c>
      <c r="P1704" s="1638" t="s">
        <v>12615</v>
      </c>
      <c r="Q1704" s="812" t="s">
        <v>2968</v>
      </c>
      <c r="V1704" s="873"/>
      <c r="W1704" s="815">
        <v>3</v>
      </c>
      <c r="X1704" s="811" t="str">
        <f t="shared" si="131"/>
        <v>within the Province</v>
      </c>
      <c r="Y1704" s="816">
        <v>2400</v>
      </c>
      <c r="AB1704" s="873"/>
      <c r="AG1704" s="807" t="str">
        <f t="shared" si="134"/>
        <v/>
      </c>
      <c r="AJ1704" s="865"/>
    </row>
    <row r="1705" spans="1:36" ht="15">
      <c r="A1705" s="19" t="s">
        <v>7421</v>
      </c>
      <c r="D1705" s="1070" t="s">
        <v>10295</v>
      </c>
      <c r="E1705" s="533" t="s">
        <v>4123</v>
      </c>
      <c r="G1705" s="827"/>
      <c r="H1705" s="809" t="s">
        <v>10304</v>
      </c>
      <c r="I1705" s="92">
        <v>31</v>
      </c>
      <c r="J1705" s="92" t="s">
        <v>10</v>
      </c>
      <c r="K1705" s="92" t="s">
        <v>722</v>
      </c>
      <c r="L1705" s="810">
        <v>5</v>
      </c>
      <c r="M1705" s="811" t="str">
        <f t="shared" si="133"/>
        <v>High School Graduate</v>
      </c>
      <c r="P1705" s="1638"/>
      <c r="V1705" s="873"/>
      <c r="X1705" s="811" t="str">
        <f t="shared" si="131"/>
        <v/>
      </c>
      <c r="AB1705" s="873"/>
      <c r="AG1705" s="807" t="str">
        <f t="shared" si="134"/>
        <v/>
      </c>
      <c r="AJ1705" s="865"/>
    </row>
    <row r="1706" spans="1:36" ht="15">
      <c r="A1706" s="19" t="s">
        <v>7421</v>
      </c>
      <c r="D1706" s="1070" t="s">
        <v>10295</v>
      </c>
      <c r="E1706" s="533" t="s">
        <v>4123</v>
      </c>
      <c r="G1706" s="827"/>
      <c r="H1706" s="809" t="s">
        <v>10305</v>
      </c>
      <c r="I1706" s="92">
        <v>22</v>
      </c>
      <c r="J1706" s="92" t="s">
        <v>18</v>
      </c>
      <c r="K1706" s="92" t="s">
        <v>722</v>
      </c>
      <c r="L1706" s="810">
        <v>4</v>
      </c>
      <c r="M1706" s="811" t="str">
        <f t="shared" si="133"/>
        <v>High School Level</v>
      </c>
      <c r="P1706" s="1638"/>
      <c r="V1706" s="873"/>
      <c r="X1706" s="811" t="str">
        <f t="shared" si="131"/>
        <v/>
      </c>
      <c r="AB1706" s="873"/>
      <c r="AG1706" s="807" t="str">
        <f t="shared" si="134"/>
        <v/>
      </c>
      <c r="AJ1706" s="865"/>
    </row>
    <row r="1707" spans="1:36" ht="15">
      <c r="A1707" s="19" t="s">
        <v>7421</v>
      </c>
      <c r="B1707" s="1080" t="s">
        <v>10302</v>
      </c>
      <c r="C1707" s="514" t="s">
        <v>10303</v>
      </c>
      <c r="D1707" s="1069" t="s">
        <v>10302</v>
      </c>
      <c r="G1707" s="846" t="s">
        <v>10303</v>
      </c>
      <c r="H1707" s="809" t="s">
        <v>10306</v>
      </c>
      <c r="I1707" s="92">
        <v>7</v>
      </c>
      <c r="J1707" s="92" t="s">
        <v>18</v>
      </c>
      <c r="K1707" s="92" t="s">
        <v>768</v>
      </c>
      <c r="L1707" s="810">
        <v>2</v>
      </c>
      <c r="M1707" s="811" t="str">
        <f t="shared" si="133"/>
        <v>Elementary Level</v>
      </c>
      <c r="P1707" s="1638"/>
      <c r="V1707" s="873"/>
      <c r="X1707" s="811" t="str">
        <f t="shared" ref="X1707:X1770" si="135">IF(ISBLANK(W1707)=TRUE,"",LOOKUP(W1707,GO:GP))</f>
        <v/>
      </c>
      <c r="AB1707" s="873"/>
      <c r="AG1707" s="807" t="str">
        <f t="shared" si="134"/>
        <v/>
      </c>
      <c r="AJ1707" s="865"/>
    </row>
    <row r="1708" spans="1:36" ht="15">
      <c r="A1708" s="19" t="s">
        <v>7421</v>
      </c>
      <c r="D1708" s="1069" t="s">
        <v>10302</v>
      </c>
      <c r="G1708" s="827"/>
      <c r="H1708" s="809" t="s">
        <v>10307</v>
      </c>
      <c r="I1708" s="92">
        <v>3</v>
      </c>
      <c r="J1708" s="92" t="s">
        <v>18</v>
      </c>
      <c r="K1708" s="92" t="s">
        <v>768</v>
      </c>
      <c r="L1708" s="810">
        <v>1</v>
      </c>
      <c r="M1708" s="811" t="str">
        <f t="shared" si="133"/>
        <v>Pre-school</v>
      </c>
      <c r="P1708" s="1638"/>
      <c r="R1708" s="812" t="s">
        <v>10310</v>
      </c>
      <c r="S1708" s="813">
        <v>9000</v>
      </c>
      <c r="V1708" s="873"/>
      <c r="X1708" s="811" t="str">
        <f t="shared" si="135"/>
        <v/>
      </c>
      <c r="AB1708" s="873"/>
      <c r="AG1708" s="807" t="str">
        <f t="shared" si="134"/>
        <v/>
      </c>
      <c r="AJ1708" s="865"/>
    </row>
    <row r="1709" spans="1:36" ht="15">
      <c r="A1709" s="19" t="s">
        <v>7421</v>
      </c>
      <c r="D1709" s="1069" t="s">
        <v>10302</v>
      </c>
      <c r="G1709" s="827"/>
      <c r="H1709" s="809" t="s">
        <v>10308</v>
      </c>
      <c r="I1709" s="92">
        <v>40</v>
      </c>
      <c r="J1709" s="92" t="s">
        <v>18</v>
      </c>
      <c r="K1709" s="92" t="s">
        <v>722</v>
      </c>
      <c r="L1709" s="810">
        <v>6</v>
      </c>
      <c r="M1709" s="811" t="str">
        <f t="shared" si="133"/>
        <v>College Level</v>
      </c>
      <c r="N1709" s="92" t="s">
        <v>1208</v>
      </c>
      <c r="O1709" s="812" t="s">
        <v>2979</v>
      </c>
      <c r="P1709" s="1638"/>
      <c r="Q1709" s="812" t="s">
        <v>2979</v>
      </c>
      <c r="V1709" s="873"/>
      <c r="W1709" s="815">
        <v>3</v>
      </c>
      <c r="X1709" s="811" t="str">
        <f t="shared" si="135"/>
        <v>within the Province</v>
      </c>
      <c r="Y1709" s="816">
        <v>480</v>
      </c>
      <c r="AB1709" s="873"/>
      <c r="AG1709" s="807" t="str">
        <f t="shared" si="134"/>
        <v/>
      </c>
      <c r="AJ1709" s="865"/>
    </row>
    <row r="1710" spans="1:36" ht="15">
      <c r="A1710" s="19" t="s">
        <v>7421</v>
      </c>
      <c r="D1710" s="1069" t="s">
        <v>10302</v>
      </c>
      <c r="G1710" s="827"/>
      <c r="H1710" s="809" t="s">
        <v>10309</v>
      </c>
      <c r="I1710" s="92">
        <v>37</v>
      </c>
      <c r="J1710" s="92" t="s">
        <v>10</v>
      </c>
      <c r="K1710" s="92" t="s">
        <v>722</v>
      </c>
      <c r="L1710" s="810">
        <v>4</v>
      </c>
      <c r="M1710" s="811" t="str">
        <f t="shared" si="133"/>
        <v>High School Level</v>
      </c>
      <c r="P1710" s="1638"/>
      <c r="V1710" s="873"/>
      <c r="X1710" s="811" t="str">
        <f t="shared" si="135"/>
        <v/>
      </c>
      <c r="AB1710" s="873"/>
      <c r="AG1710" s="807" t="str">
        <f t="shared" si="134"/>
        <v/>
      </c>
      <c r="AJ1710" s="865"/>
    </row>
    <row r="1711" spans="1:36" ht="15">
      <c r="A1711" s="19" t="s">
        <v>7421</v>
      </c>
      <c r="D1711" s="1069" t="s">
        <v>10302</v>
      </c>
      <c r="G1711" s="827"/>
      <c r="H1711" s="809" t="s">
        <v>10311</v>
      </c>
      <c r="I1711" s="857">
        <v>60</v>
      </c>
      <c r="J1711" s="92" t="s">
        <v>10</v>
      </c>
      <c r="K1711" s="92" t="s">
        <v>707</v>
      </c>
      <c r="L1711" s="810">
        <v>5</v>
      </c>
      <c r="M1711" s="811" t="str">
        <f t="shared" si="133"/>
        <v>High School Graduate</v>
      </c>
      <c r="P1711" s="1638"/>
      <c r="R1711" s="812" t="s">
        <v>8234</v>
      </c>
      <c r="S1711" s="813">
        <v>35000</v>
      </c>
      <c r="V1711" s="873">
        <f>SUM(S1703:U1710)</f>
        <v>21000</v>
      </c>
      <c r="X1711" s="811" t="str">
        <f t="shared" si="135"/>
        <v/>
      </c>
      <c r="AB1711" s="873">
        <f>SUM(Y1704:AA1711)</f>
        <v>2880</v>
      </c>
      <c r="AG1711" s="807" t="str">
        <f t="shared" si="134"/>
        <v/>
      </c>
      <c r="AJ1711" s="865"/>
    </row>
    <row r="1712" spans="1:36" ht="15">
      <c r="A1712" s="19" t="s">
        <v>7421</v>
      </c>
      <c r="D1712" s="1069" t="s">
        <v>10302</v>
      </c>
      <c r="G1712" s="827"/>
      <c r="H1712" s="809" t="s">
        <v>10312</v>
      </c>
      <c r="I1712" s="92">
        <v>57</v>
      </c>
      <c r="J1712" s="92" t="s">
        <v>18</v>
      </c>
      <c r="K1712" s="92" t="s">
        <v>707</v>
      </c>
      <c r="L1712" s="810">
        <v>5</v>
      </c>
      <c r="M1712" s="811" t="str">
        <f t="shared" si="133"/>
        <v>High School Graduate</v>
      </c>
      <c r="N1712" s="92" t="s">
        <v>1208</v>
      </c>
      <c r="O1712" s="812" t="s">
        <v>2210</v>
      </c>
      <c r="P1712" s="1638" t="s">
        <v>12607</v>
      </c>
      <c r="Q1712" s="812" t="s">
        <v>2210</v>
      </c>
      <c r="V1712" s="828"/>
      <c r="W1712" s="815">
        <v>5</v>
      </c>
      <c r="X1712" s="811" t="str">
        <f t="shared" si="135"/>
        <v>Overseas Worker</v>
      </c>
      <c r="AB1712" s="828"/>
      <c r="AG1712" s="807" t="str">
        <f t="shared" si="134"/>
        <v/>
      </c>
      <c r="AJ1712" s="865"/>
    </row>
    <row r="1713" spans="1:36" ht="15">
      <c r="A1713" s="19" t="s">
        <v>7421</v>
      </c>
      <c r="D1713" s="1069" t="s">
        <v>10302</v>
      </c>
      <c r="G1713" s="827"/>
      <c r="H1713" s="809" t="s">
        <v>10315</v>
      </c>
      <c r="I1713" s="92">
        <v>36</v>
      </c>
      <c r="J1713" s="92" t="s">
        <v>10</v>
      </c>
      <c r="K1713" s="92" t="s">
        <v>707</v>
      </c>
      <c r="L1713" s="810">
        <v>7</v>
      </c>
      <c r="M1713" s="811" t="str">
        <f t="shared" si="133"/>
        <v>College Graduate or Higher</v>
      </c>
      <c r="P1713" s="1638"/>
      <c r="V1713" s="828"/>
      <c r="X1713" s="811" t="str">
        <f t="shared" si="135"/>
        <v/>
      </c>
      <c r="AB1713" s="828"/>
      <c r="AG1713" s="807" t="str">
        <f t="shared" si="134"/>
        <v/>
      </c>
      <c r="AJ1713" s="865"/>
    </row>
    <row r="1714" spans="1:36" ht="15">
      <c r="A1714" s="19" t="s">
        <v>7421</v>
      </c>
      <c r="D1714" s="1069" t="s">
        <v>10302</v>
      </c>
      <c r="G1714" s="827"/>
      <c r="H1714" s="809" t="s">
        <v>10316</v>
      </c>
      <c r="I1714" s="92">
        <v>36</v>
      </c>
      <c r="J1714" s="92" t="s">
        <v>18</v>
      </c>
      <c r="K1714" s="92" t="s">
        <v>707</v>
      </c>
      <c r="L1714" s="810">
        <v>7</v>
      </c>
      <c r="M1714" s="811" t="str">
        <f t="shared" si="133"/>
        <v>College Graduate or Higher</v>
      </c>
      <c r="P1714" s="1638"/>
      <c r="V1714" s="828"/>
      <c r="X1714" s="811" t="str">
        <f t="shared" si="135"/>
        <v/>
      </c>
      <c r="AB1714" s="828"/>
      <c r="AG1714" s="807" t="str">
        <f t="shared" si="134"/>
        <v/>
      </c>
      <c r="AJ1714" s="865"/>
    </row>
    <row r="1715" spans="1:36" ht="15">
      <c r="A1715" s="19" t="s">
        <v>7421</v>
      </c>
      <c r="B1715" s="1080" t="s">
        <v>11468</v>
      </c>
      <c r="C1715" s="514" t="s">
        <v>10314</v>
      </c>
      <c r="D1715" s="1073" t="s">
        <v>10313</v>
      </c>
      <c r="E1715" s="853"/>
      <c r="F1715" s="853"/>
      <c r="G1715" s="846" t="s">
        <v>10314</v>
      </c>
      <c r="H1715" s="809" t="s">
        <v>10317</v>
      </c>
      <c r="I1715" s="92">
        <v>10</v>
      </c>
      <c r="J1715" s="92" t="s">
        <v>18</v>
      </c>
      <c r="K1715" s="92" t="s">
        <v>768</v>
      </c>
      <c r="L1715" s="810">
        <v>2</v>
      </c>
      <c r="M1715" s="811" t="str">
        <f t="shared" si="133"/>
        <v>Elementary Level</v>
      </c>
      <c r="P1715" s="1638"/>
      <c r="R1715" s="812" t="s">
        <v>8234</v>
      </c>
      <c r="S1715" s="813">
        <f>AVERAGE(15000,3000)</f>
        <v>9000</v>
      </c>
      <c r="V1715" s="828">
        <f>SUBTOTAL(9,S1711:U1714)</f>
        <v>35000</v>
      </c>
      <c r="X1715" s="811" t="str">
        <f t="shared" si="135"/>
        <v/>
      </c>
      <c r="AB1715" s="828">
        <f>SUBTOTAL(9,Y1712:AA1715)</f>
        <v>0</v>
      </c>
      <c r="AG1715" s="807" t="str">
        <f t="shared" si="134"/>
        <v/>
      </c>
      <c r="AJ1715" s="865"/>
    </row>
    <row r="1716" spans="1:36" ht="15">
      <c r="A1716" s="19" t="s">
        <v>7421</v>
      </c>
      <c r="D1716" s="1073" t="s">
        <v>10313</v>
      </c>
      <c r="G1716" s="827"/>
      <c r="H1716" s="809" t="s">
        <v>10318</v>
      </c>
      <c r="I1716" s="92">
        <v>8</v>
      </c>
      <c r="J1716" s="92" t="s">
        <v>10</v>
      </c>
      <c r="K1716" s="92" t="s">
        <v>768</v>
      </c>
      <c r="L1716" s="810">
        <v>2</v>
      </c>
      <c r="M1716" s="811" t="str">
        <f t="shared" si="133"/>
        <v>Elementary Level</v>
      </c>
      <c r="N1716" s="92" t="s">
        <v>1208</v>
      </c>
      <c r="O1716" s="812" t="s">
        <v>10322</v>
      </c>
      <c r="P1716" s="1638" t="s">
        <v>12606</v>
      </c>
      <c r="Q1716" s="812" t="s">
        <v>10322</v>
      </c>
      <c r="V1716" s="873"/>
      <c r="W1716" s="815">
        <v>1</v>
      </c>
      <c r="X1716" s="811" t="str">
        <f t="shared" si="135"/>
        <v>within the Brgy</v>
      </c>
      <c r="Y1716" s="816">
        <f>60*20</f>
        <v>1200</v>
      </c>
      <c r="AB1716" s="873"/>
      <c r="AD1716" s="817" t="s">
        <v>10323</v>
      </c>
      <c r="AE1716" s="93" t="s">
        <v>10324</v>
      </c>
      <c r="AF1716" s="818">
        <v>4</v>
      </c>
      <c r="AG1716" s="807" t="str">
        <f t="shared" si="134"/>
        <v>Serious Illness</v>
      </c>
      <c r="AJ1716" s="865"/>
    </row>
    <row r="1717" spans="1:36" ht="15">
      <c r="A1717" s="19" t="s">
        <v>7421</v>
      </c>
      <c r="D1717" s="1073" t="s">
        <v>10313</v>
      </c>
      <c r="G1717" s="827"/>
      <c r="H1717" s="809" t="s">
        <v>10321</v>
      </c>
      <c r="I1717" s="857">
        <v>60</v>
      </c>
      <c r="J1717" s="92" t="s">
        <v>10</v>
      </c>
      <c r="K1717" s="92" t="s">
        <v>722</v>
      </c>
      <c r="L1717" s="810">
        <v>7</v>
      </c>
      <c r="M1717" s="811" t="str">
        <f t="shared" si="133"/>
        <v>College Graduate or Higher</v>
      </c>
      <c r="P1717" s="1638"/>
      <c r="R1717" s="812" t="s">
        <v>8234</v>
      </c>
      <c r="S1717" s="813">
        <v>12000</v>
      </c>
      <c r="V1717" s="873">
        <f>SUBTOTAL(9,S1715:U1716)</f>
        <v>9000</v>
      </c>
      <c r="X1717" s="811" t="str">
        <f t="shared" si="135"/>
        <v/>
      </c>
      <c r="AB1717" s="873">
        <f>SUBTOTAL(9,Y1716:AA1717)</f>
        <v>1200</v>
      </c>
      <c r="AG1717" s="807" t="str">
        <f t="shared" si="134"/>
        <v/>
      </c>
      <c r="AJ1717" s="865"/>
    </row>
    <row r="1718" spans="1:36" ht="15">
      <c r="A1718" s="19" t="s">
        <v>7421</v>
      </c>
      <c r="D1718" s="1073" t="s">
        <v>10313</v>
      </c>
      <c r="G1718" s="827"/>
      <c r="H1718" s="809" t="s">
        <v>10325</v>
      </c>
      <c r="I1718" s="92">
        <v>43</v>
      </c>
      <c r="J1718" s="92" t="s">
        <v>18</v>
      </c>
      <c r="K1718" s="92" t="s">
        <v>722</v>
      </c>
      <c r="L1718" s="810">
        <v>5</v>
      </c>
      <c r="M1718" s="811" t="str">
        <f t="shared" si="133"/>
        <v>High School Graduate</v>
      </c>
      <c r="N1718" s="92" t="s">
        <v>1208</v>
      </c>
      <c r="O1718" s="812" t="s">
        <v>10328</v>
      </c>
      <c r="P1718" s="1638" t="s">
        <v>12606</v>
      </c>
      <c r="Q1718" s="812" t="s">
        <v>10328</v>
      </c>
      <c r="V1718" s="828"/>
      <c r="W1718" s="815">
        <v>2</v>
      </c>
      <c r="X1718" s="811" t="str">
        <f t="shared" si="135"/>
        <v>within the Municipality/City</v>
      </c>
      <c r="AB1718" s="828"/>
      <c r="AG1718" s="807" t="str">
        <f t="shared" si="134"/>
        <v/>
      </c>
      <c r="AJ1718" s="865"/>
    </row>
    <row r="1719" spans="1:36" ht="15">
      <c r="A1719" s="19" t="s">
        <v>7421</v>
      </c>
      <c r="B1719" s="1080" t="s">
        <v>11491</v>
      </c>
      <c r="C1719" s="514" t="s">
        <v>10320</v>
      </c>
      <c r="D1719" s="1069" t="s">
        <v>10319</v>
      </c>
      <c r="G1719" s="846" t="s">
        <v>10320</v>
      </c>
      <c r="H1719" s="809" t="s">
        <v>10327</v>
      </c>
      <c r="I1719" s="92">
        <v>23</v>
      </c>
      <c r="J1719" s="92" t="s">
        <v>10</v>
      </c>
      <c r="K1719" s="92" t="s">
        <v>707</v>
      </c>
      <c r="L1719" s="810">
        <v>7</v>
      </c>
      <c r="M1719" s="811" t="str">
        <f t="shared" si="133"/>
        <v>College Graduate or Higher</v>
      </c>
      <c r="P1719" s="1638"/>
      <c r="V1719" s="828"/>
      <c r="X1719" s="811" t="str">
        <f t="shared" si="135"/>
        <v/>
      </c>
      <c r="AB1719" s="828"/>
      <c r="AG1719" s="807" t="str">
        <f t="shared" si="134"/>
        <v/>
      </c>
      <c r="AJ1719" s="865"/>
    </row>
    <row r="1720" spans="1:36" ht="15">
      <c r="A1720" s="19" t="s">
        <v>7421</v>
      </c>
      <c r="D1720" s="1069" t="s">
        <v>10319</v>
      </c>
      <c r="G1720" s="827"/>
      <c r="H1720" s="809" t="s">
        <v>10329</v>
      </c>
      <c r="I1720" s="92">
        <v>24</v>
      </c>
      <c r="J1720" s="92" t="s">
        <v>18</v>
      </c>
      <c r="K1720" s="92" t="s">
        <v>707</v>
      </c>
      <c r="L1720" s="810">
        <v>7</v>
      </c>
      <c r="M1720" s="811" t="str">
        <f t="shared" si="133"/>
        <v>College Graduate or Higher</v>
      </c>
      <c r="P1720" s="1638"/>
      <c r="R1720" s="812" t="s">
        <v>8234</v>
      </c>
      <c r="S1720" s="813">
        <v>10000</v>
      </c>
      <c r="V1720" s="828">
        <f>SUM(S1717:U1719)</f>
        <v>12000</v>
      </c>
      <c r="X1720" s="811" t="str">
        <f t="shared" si="135"/>
        <v/>
      </c>
      <c r="AB1720" s="828">
        <f>SUM(Y1718:AA1720)</f>
        <v>0</v>
      </c>
      <c r="AG1720" s="807" t="str">
        <f t="shared" si="134"/>
        <v/>
      </c>
      <c r="AJ1720" s="865"/>
    </row>
    <row r="1721" spans="1:36" ht="15">
      <c r="A1721" s="19" t="s">
        <v>7421</v>
      </c>
      <c r="B1721" s="1080" t="s">
        <v>11500</v>
      </c>
      <c r="C1721" s="514" t="s">
        <v>10320</v>
      </c>
      <c r="D1721" s="1069" t="s">
        <v>10326</v>
      </c>
      <c r="G1721" s="846" t="s">
        <v>10320</v>
      </c>
      <c r="H1721" s="809" t="s">
        <v>10330</v>
      </c>
      <c r="I1721" s="92">
        <v>2</v>
      </c>
      <c r="J1721" s="92" t="s">
        <v>18</v>
      </c>
      <c r="K1721" s="92" t="s">
        <v>768</v>
      </c>
      <c r="L1721" s="810">
        <v>10</v>
      </c>
      <c r="M1721" s="811" t="str">
        <f t="shared" si="133"/>
        <v>Not In School Age</v>
      </c>
      <c r="N1721" s="92" t="s">
        <v>1208</v>
      </c>
      <c r="O1721" s="812" t="s">
        <v>10334</v>
      </c>
      <c r="P1721" s="1638" t="s">
        <v>12602</v>
      </c>
      <c r="Q1721" s="812" t="s">
        <v>10334</v>
      </c>
      <c r="V1721" s="873"/>
      <c r="W1721" s="815">
        <v>3</v>
      </c>
      <c r="X1721" s="811" t="str">
        <f t="shared" si="135"/>
        <v>within the Province</v>
      </c>
      <c r="AB1721" s="873"/>
      <c r="AG1721" s="807" t="str">
        <f t="shared" si="134"/>
        <v/>
      </c>
      <c r="AJ1721" s="865"/>
    </row>
    <row r="1722" spans="1:36" ht="15">
      <c r="A1722" s="19" t="s">
        <v>7421</v>
      </c>
      <c r="D1722" s="1069" t="s">
        <v>10326</v>
      </c>
      <c r="G1722" s="827"/>
      <c r="H1722" s="809" t="s">
        <v>10333</v>
      </c>
      <c r="I1722" s="92">
        <v>30</v>
      </c>
      <c r="J1722" s="92" t="s">
        <v>10</v>
      </c>
      <c r="K1722" s="92" t="s">
        <v>722</v>
      </c>
      <c r="L1722" s="810">
        <v>9</v>
      </c>
      <c r="M1722" s="811" t="str">
        <f t="shared" si="133"/>
        <v>Vocational Graduate</v>
      </c>
      <c r="P1722" s="1638"/>
      <c r="R1722" s="812" t="s">
        <v>8285</v>
      </c>
      <c r="S1722" s="813">
        <v>5000</v>
      </c>
      <c r="V1722" s="873"/>
      <c r="X1722" s="811" t="str">
        <f t="shared" si="135"/>
        <v/>
      </c>
      <c r="AB1722" s="873"/>
      <c r="AG1722" s="807" t="str">
        <f t="shared" si="134"/>
        <v/>
      </c>
      <c r="AJ1722" s="865"/>
    </row>
    <row r="1723" spans="1:36" ht="15">
      <c r="A1723" s="19" t="s">
        <v>7421</v>
      </c>
      <c r="D1723" s="1069" t="s">
        <v>10326</v>
      </c>
      <c r="G1723" s="827"/>
      <c r="H1723" s="809" t="s">
        <v>10335</v>
      </c>
      <c r="I1723" s="92">
        <v>26</v>
      </c>
      <c r="J1723" s="92" t="s">
        <v>18</v>
      </c>
      <c r="K1723" s="92" t="s">
        <v>722</v>
      </c>
      <c r="L1723" s="810">
        <v>9</v>
      </c>
      <c r="M1723" s="811" t="str">
        <f t="shared" si="133"/>
        <v>Vocational Graduate</v>
      </c>
      <c r="N1723" s="92" t="s">
        <v>1208</v>
      </c>
      <c r="O1723" s="812" t="s">
        <v>3336</v>
      </c>
      <c r="P1723" s="1638"/>
      <c r="Q1723" s="812" t="s">
        <v>3336</v>
      </c>
      <c r="V1723" s="873"/>
      <c r="W1723" s="815">
        <v>3</v>
      </c>
      <c r="X1723" s="811" t="str">
        <f t="shared" si="135"/>
        <v>within the Province</v>
      </c>
      <c r="AB1723" s="873"/>
      <c r="AG1723" s="807" t="str">
        <f t="shared" si="134"/>
        <v/>
      </c>
      <c r="AJ1723" s="865"/>
    </row>
    <row r="1724" spans="1:36" ht="15">
      <c r="A1724" s="19" t="s">
        <v>7421</v>
      </c>
      <c r="B1724" s="1080" t="s">
        <v>10332</v>
      </c>
      <c r="C1724" s="514" t="s">
        <v>10331</v>
      </c>
      <c r="D1724" s="1069" t="s">
        <v>10332</v>
      </c>
      <c r="G1724" s="846" t="s">
        <v>10331</v>
      </c>
      <c r="H1724" s="809" t="s">
        <v>10336</v>
      </c>
      <c r="I1724" s="92">
        <v>23</v>
      </c>
      <c r="J1724" s="92" t="s">
        <v>10</v>
      </c>
      <c r="K1724" s="92" t="s">
        <v>768</v>
      </c>
      <c r="L1724" s="810">
        <v>9</v>
      </c>
      <c r="M1724" s="811" t="str">
        <f t="shared" si="133"/>
        <v>Vocational Graduate</v>
      </c>
      <c r="P1724" s="1638"/>
      <c r="V1724" s="873"/>
      <c r="X1724" s="811" t="str">
        <f t="shared" si="135"/>
        <v/>
      </c>
      <c r="AB1724" s="873"/>
      <c r="AG1724" s="807" t="str">
        <f t="shared" si="134"/>
        <v/>
      </c>
      <c r="AJ1724" s="865"/>
    </row>
    <row r="1725" spans="1:36" ht="15">
      <c r="A1725" s="19" t="s">
        <v>7421</v>
      </c>
      <c r="D1725" s="1069" t="s">
        <v>10332</v>
      </c>
      <c r="G1725" s="827"/>
      <c r="H1725" s="809" t="s">
        <v>10337</v>
      </c>
      <c r="I1725" s="92">
        <f>6/12</f>
        <v>0.5</v>
      </c>
      <c r="J1725" s="92" t="s">
        <v>18</v>
      </c>
      <c r="K1725" s="92" t="s">
        <v>768</v>
      </c>
      <c r="L1725" s="810">
        <v>10</v>
      </c>
      <c r="M1725" s="811" t="str">
        <f t="shared" si="133"/>
        <v>Not In School Age</v>
      </c>
      <c r="P1725" s="1638"/>
      <c r="V1725" s="873"/>
      <c r="X1725" s="811" t="str">
        <f t="shared" si="135"/>
        <v/>
      </c>
      <c r="AB1725" s="873"/>
      <c r="AG1725" s="807" t="str">
        <f t="shared" si="134"/>
        <v/>
      </c>
      <c r="AJ1725" s="865"/>
    </row>
    <row r="1726" spans="1:36" ht="15">
      <c r="A1726" s="19" t="s">
        <v>7421</v>
      </c>
      <c r="D1726" s="1069" t="s">
        <v>10332</v>
      </c>
      <c r="G1726" s="827"/>
      <c r="H1726" s="809" t="s">
        <v>10338</v>
      </c>
      <c r="I1726" s="92">
        <v>23</v>
      </c>
      <c r="J1726" s="92" t="s">
        <v>18</v>
      </c>
      <c r="K1726" s="92" t="s">
        <v>768</v>
      </c>
      <c r="L1726" s="810">
        <v>9</v>
      </c>
      <c r="M1726" s="811" t="str">
        <f t="shared" si="133"/>
        <v>Vocational Graduate</v>
      </c>
      <c r="P1726" s="1638"/>
      <c r="V1726" s="873">
        <f>SUM(S1720:U1725)</f>
        <v>15000</v>
      </c>
      <c r="X1726" s="811" t="str">
        <f t="shared" si="135"/>
        <v/>
      </c>
      <c r="AB1726" s="873">
        <f>SUM(Y1721:AA1726)</f>
        <v>0</v>
      </c>
      <c r="AG1726" s="807" t="str">
        <f t="shared" si="134"/>
        <v/>
      </c>
      <c r="AJ1726" s="865"/>
    </row>
    <row r="1727" spans="1:36" ht="15">
      <c r="A1727" s="19" t="s">
        <v>7421</v>
      </c>
      <c r="D1727" s="1069" t="s">
        <v>10332</v>
      </c>
      <c r="G1727" s="827"/>
      <c r="H1727" s="809" t="s">
        <v>10339</v>
      </c>
      <c r="I1727" s="930">
        <f>2.5/12</f>
        <v>0.20833333333333334</v>
      </c>
      <c r="J1727" s="92" t="s">
        <v>18</v>
      </c>
      <c r="K1727" s="92" t="s">
        <v>768</v>
      </c>
      <c r="L1727" s="810">
        <v>10</v>
      </c>
      <c r="M1727" s="811" t="str">
        <f t="shared" si="133"/>
        <v>Not In School Age</v>
      </c>
      <c r="P1727" s="1638"/>
      <c r="V1727" s="828"/>
      <c r="X1727" s="811" t="str">
        <f t="shared" si="135"/>
        <v/>
      </c>
      <c r="AB1727" s="828"/>
      <c r="AD1727" s="817" t="s">
        <v>10343</v>
      </c>
      <c r="AE1727" s="93" t="s">
        <v>10344</v>
      </c>
      <c r="AF1727" s="818">
        <v>2</v>
      </c>
      <c r="AG1727" s="807" t="str">
        <f t="shared" si="134"/>
        <v>Assistance to walk</v>
      </c>
      <c r="AJ1727" s="865"/>
    </row>
    <row r="1728" spans="1:36" ht="15">
      <c r="A1728" s="19" t="s">
        <v>7421</v>
      </c>
      <c r="D1728" s="1069" t="s">
        <v>10332</v>
      </c>
      <c r="G1728" s="827"/>
      <c r="H1728" s="809" t="s">
        <v>10342</v>
      </c>
      <c r="I1728" s="819">
        <v>69</v>
      </c>
      <c r="J1728" s="92" t="s">
        <v>10</v>
      </c>
      <c r="K1728" s="92" t="s">
        <v>707</v>
      </c>
      <c r="L1728" s="810">
        <v>4</v>
      </c>
      <c r="M1728" s="811" t="str">
        <f t="shared" si="133"/>
        <v>High School Level</v>
      </c>
      <c r="P1728" s="1638"/>
      <c r="V1728" s="828"/>
      <c r="X1728" s="811" t="str">
        <f t="shared" si="135"/>
        <v/>
      </c>
      <c r="AB1728" s="828"/>
      <c r="AD1728" s="817" t="s">
        <v>10346</v>
      </c>
      <c r="AG1728" s="807" t="str">
        <f t="shared" si="134"/>
        <v/>
      </c>
      <c r="AJ1728" s="865"/>
    </row>
    <row r="1729" spans="1:36" ht="15">
      <c r="A1729" s="19" t="s">
        <v>7421</v>
      </c>
      <c r="B1729" s="1234" t="s">
        <v>11516</v>
      </c>
      <c r="C1729" s="514" t="s">
        <v>11517</v>
      </c>
      <c r="D1729" s="1069" t="s">
        <v>10332</v>
      </c>
      <c r="G1729" s="827"/>
      <c r="H1729" s="809" t="s">
        <v>10345</v>
      </c>
      <c r="I1729" s="819">
        <v>68</v>
      </c>
      <c r="J1729" s="92" t="s">
        <v>18</v>
      </c>
      <c r="K1729" s="92" t="s">
        <v>707</v>
      </c>
      <c r="L1729" s="810">
        <v>4</v>
      </c>
      <c r="M1729" s="811" t="str">
        <f t="shared" si="133"/>
        <v>High School Level</v>
      </c>
      <c r="P1729" s="1638"/>
      <c r="R1729" s="812" t="s">
        <v>10310</v>
      </c>
      <c r="T1729" s="813">
        <v>7000</v>
      </c>
      <c r="V1729" s="828"/>
      <c r="X1729" s="811" t="str">
        <f t="shared" si="135"/>
        <v/>
      </c>
      <c r="AB1729" s="828"/>
      <c r="AD1729" s="817" t="s">
        <v>10348</v>
      </c>
      <c r="AG1729" s="807" t="str">
        <f t="shared" si="134"/>
        <v/>
      </c>
      <c r="AJ1729" s="865"/>
    </row>
    <row r="1730" spans="1:36" ht="15">
      <c r="A1730" s="19" t="s">
        <v>7421</v>
      </c>
      <c r="B1730" s="1080" t="s">
        <v>10340</v>
      </c>
      <c r="C1730" s="514" t="s">
        <v>10341</v>
      </c>
      <c r="D1730" s="1069" t="s">
        <v>10340</v>
      </c>
      <c r="G1730" s="846" t="s">
        <v>10341</v>
      </c>
      <c r="H1730" s="809" t="s">
        <v>10347</v>
      </c>
      <c r="I1730" s="819">
        <v>71</v>
      </c>
      <c r="J1730" s="92" t="s">
        <v>18</v>
      </c>
      <c r="K1730" s="92" t="s">
        <v>768</v>
      </c>
      <c r="L1730" s="810">
        <v>4</v>
      </c>
      <c r="M1730" s="811" t="str">
        <f t="shared" si="133"/>
        <v>High School Level</v>
      </c>
      <c r="N1730" s="92" t="s">
        <v>1208</v>
      </c>
      <c r="O1730" s="812" t="s">
        <v>10350</v>
      </c>
      <c r="P1730" s="1638"/>
      <c r="Q1730" s="812" t="s">
        <v>10350</v>
      </c>
      <c r="R1730" s="812" t="s">
        <v>10310</v>
      </c>
      <c r="S1730" s="812">
        <v>12000</v>
      </c>
      <c r="V1730" s="828"/>
      <c r="W1730" s="815">
        <v>1</v>
      </c>
      <c r="X1730" s="811" t="str">
        <f t="shared" si="135"/>
        <v>within the Brgy</v>
      </c>
      <c r="AB1730" s="828"/>
      <c r="AG1730" s="807"/>
      <c r="AJ1730" s="865"/>
    </row>
    <row r="1731" spans="1:36" ht="15">
      <c r="A1731" s="19" t="s">
        <v>7421</v>
      </c>
      <c r="D1731" s="1069" t="s">
        <v>10340</v>
      </c>
      <c r="G1731" s="827"/>
      <c r="H1731" s="809" t="s">
        <v>10349</v>
      </c>
      <c r="I1731" s="819">
        <v>36</v>
      </c>
      <c r="J1731" s="92" t="s">
        <v>10</v>
      </c>
      <c r="K1731" s="92" t="s">
        <v>722</v>
      </c>
      <c r="L1731" s="810">
        <v>9</v>
      </c>
      <c r="M1731" s="811" t="str">
        <f t="shared" si="133"/>
        <v>Vocational Graduate</v>
      </c>
      <c r="N1731" s="92" t="s">
        <v>1208</v>
      </c>
      <c r="O1731" s="812" t="s">
        <v>2198</v>
      </c>
      <c r="P1731" s="1638"/>
      <c r="Q1731" s="812" t="s">
        <v>2198</v>
      </c>
      <c r="R1731" s="812" t="s">
        <v>10310</v>
      </c>
      <c r="S1731" s="812">
        <v>10000</v>
      </c>
      <c r="T1731" s="813">
        <v>3000</v>
      </c>
      <c r="V1731" s="828"/>
      <c r="W1731" s="815">
        <v>2</v>
      </c>
      <c r="X1731" s="811" t="str">
        <f t="shared" si="135"/>
        <v>within the Municipality/City</v>
      </c>
      <c r="Y1731" s="816">
        <v>2000</v>
      </c>
      <c r="AB1731" s="828"/>
      <c r="AG1731" s="807"/>
      <c r="AJ1731" s="865"/>
    </row>
    <row r="1732" spans="1:36" ht="15">
      <c r="A1732" s="19" t="s">
        <v>7421</v>
      </c>
      <c r="D1732" s="1069" t="s">
        <v>10340</v>
      </c>
      <c r="G1732" s="827"/>
      <c r="H1732" s="809" t="s">
        <v>10342</v>
      </c>
      <c r="I1732" s="819">
        <v>37</v>
      </c>
      <c r="J1732" s="92" t="s">
        <v>10</v>
      </c>
      <c r="K1732" s="92" t="s">
        <v>783</v>
      </c>
      <c r="L1732" s="810">
        <v>4</v>
      </c>
      <c r="M1732" s="811" t="str">
        <f t="shared" si="133"/>
        <v>High School Level</v>
      </c>
      <c r="N1732" s="92" t="s">
        <v>1208</v>
      </c>
      <c r="O1732" s="812" t="s">
        <v>10352</v>
      </c>
      <c r="P1732" s="1638"/>
      <c r="Q1732" s="812" t="s">
        <v>10352</v>
      </c>
      <c r="S1732" s="812"/>
      <c r="V1732" s="828"/>
      <c r="W1732" s="815">
        <v>3</v>
      </c>
      <c r="X1732" s="811" t="str">
        <f t="shared" si="135"/>
        <v>within the Province</v>
      </c>
      <c r="AA1732" s="816">
        <v>3000</v>
      </c>
      <c r="AB1732" s="828"/>
      <c r="AG1732" s="807"/>
      <c r="AJ1732" s="865"/>
    </row>
    <row r="1733" spans="1:36" ht="15">
      <c r="A1733" s="19" t="s">
        <v>7421</v>
      </c>
      <c r="D1733" s="1069" t="s">
        <v>10340</v>
      </c>
      <c r="G1733" s="846"/>
      <c r="H1733" s="809" t="s">
        <v>10351</v>
      </c>
      <c r="I1733" s="819">
        <v>38</v>
      </c>
      <c r="J1733" s="92" t="s">
        <v>18</v>
      </c>
      <c r="K1733" s="92" t="s">
        <v>783</v>
      </c>
      <c r="L1733" s="810">
        <v>6</v>
      </c>
      <c r="M1733" s="811" t="str">
        <f t="shared" si="133"/>
        <v>College Level</v>
      </c>
      <c r="P1733" s="1638"/>
      <c r="R1733" s="807"/>
      <c r="S1733" s="812"/>
      <c r="V1733" s="828">
        <f>SUM(S1726:U1733)</f>
        <v>32000</v>
      </c>
      <c r="X1733" s="811" t="str">
        <f t="shared" si="135"/>
        <v/>
      </c>
      <c r="AB1733" s="828">
        <f>SUM(Y1726:AA1733)</f>
        <v>5000</v>
      </c>
      <c r="AG1733" s="807"/>
      <c r="AJ1733" s="865"/>
    </row>
    <row r="1734" spans="1:36" ht="15">
      <c r="A1734" s="19" t="s">
        <v>7421</v>
      </c>
      <c r="D1734" s="1069" t="s">
        <v>10340</v>
      </c>
      <c r="G1734" s="827"/>
      <c r="H1734" s="809" t="s">
        <v>10353</v>
      </c>
      <c r="I1734" s="819">
        <v>21</v>
      </c>
      <c r="J1734" s="92" t="s">
        <v>10</v>
      </c>
      <c r="K1734" s="92" t="s">
        <v>768</v>
      </c>
      <c r="L1734" s="810">
        <v>4</v>
      </c>
      <c r="M1734" s="811" t="str">
        <f t="shared" si="133"/>
        <v>High School Level</v>
      </c>
      <c r="P1734" s="1638"/>
      <c r="R1734" s="807" t="s">
        <v>8234</v>
      </c>
      <c r="S1734" s="812">
        <v>8000</v>
      </c>
      <c r="V1734" s="873"/>
      <c r="W1734" s="815">
        <v>3</v>
      </c>
      <c r="X1734" s="811" t="str">
        <f t="shared" si="135"/>
        <v>within the Province</v>
      </c>
      <c r="Y1734" s="816">
        <v>100</v>
      </c>
      <c r="AB1734" s="873"/>
      <c r="AG1734" s="807"/>
      <c r="AJ1734" s="865"/>
    </row>
    <row r="1735" spans="1:36" ht="15">
      <c r="A1735" s="19" t="s">
        <v>7421</v>
      </c>
      <c r="D1735" s="1069" t="s">
        <v>10340</v>
      </c>
      <c r="G1735" s="827"/>
      <c r="H1735" s="809" t="s">
        <v>10354</v>
      </c>
      <c r="I1735" s="819">
        <v>15</v>
      </c>
      <c r="J1735" s="92" t="s">
        <v>18</v>
      </c>
      <c r="K1735" s="92" t="s">
        <v>768</v>
      </c>
      <c r="L1735" s="810">
        <v>4</v>
      </c>
      <c r="M1735" s="811" t="str">
        <f t="shared" si="133"/>
        <v>High School Level</v>
      </c>
      <c r="N1735" s="92" t="s">
        <v>1208</v>
      </c>
      <c r="O1735" s="812" t="s">
        <v>2232</v>
      </c>
      <c r="P1735" s="1638" t="s">
        <v>12602</v>
      </c>
      <c r="Q1735" s="812" t="s">
        <v>2232</v>
      </c>
      <c r="R1735" s="807" t="s">
        <v>20</v>
      </c>
      <c r="S1735" s="812">
        <v>8000</v>
      </c>
      <c r="V1735" s="873"/>
      <c r="W1735" s="815">
        <v>2</v>
      </c>
      <c r="X1735" s="811" t="str">
        <f t="shared" si="135"/>
        <v>within the Municipality/City</v>
      </c>
      <c r="Y1735" s="816">
        <v>100</v>
      </c>
      <c r="AB1735" s="873"/>
      <c r="AD1735" s="809" t="s">
        <v>12575</v>
      </c>
      <c r="AG1735" s="807"/>
      <c r="AJ1735" s="865"/>
    </row>
    <row r="1736" spans="1:36" ht="15">
      <c r="A1736" s="19" t="s">
        <v>7421</v>
      </c>
      <c r="D1736" s="1069" t="s">
        <v>10340</v>
      </c>
      <c r="G1736" s="827"/>
      <c r="H1736" s="809" t="s">
        <v>12521</v>
      </c>
      <c r="I1736" s="819">
        <v>30</v>
      </c>
      <c r="J1736" s="92" t="s">
        <v>10</v>
      </c>
      <c r="K1736" s="92" t="s">
        <v>722</v>
      </c>
      <c r="L1736" s="810">
        <v>5</v>
      </c>
      <c r="M1736" s="811" t="str">
        <f t="shared" si="133"/>
        <v>High School Graduate</v>
      </c>
      <c r="N1736" s="92" t="s">
        <v>1208</v>
      </c>
      <c r="O1736" s="812" t="s">
        <v>10678</v>
      </c>
      <c r="P1736" s="1638"/>
      <c r="Q1736" s="812" t="s">
        <v>10678</v>
      </c>
      <c r="R1736" s="807"/>
      <c r="S1736" s="812"/>
      <c r="V1736" s="873">
        <f>SUM(S1734:U1736)</f>
        <v>16000</v>
      </c>
      <c r="X1736" s="811" t="str">
        <f t="shared" si="135"/>
        <v/>
      </c>
      <c r="AB1736" s="873">
        <f>SUM(Y1734:AA1736)</f>
        <v>200</v>
      </c>
      <c r="AG1736" s="807"/>
      <c r="AJ1736" s="865"/>
    </row>
    <row r="1737" spans="1:36" ht="15">
      <c r="A1737" s="19" t="s">
        <v>7421</v>
      </c>
      <c r="D1737" s="1069" t="s">
        <v>10340</v>
      </c>
      <c r="G1737" s="827"/>
      <c r="H1737" s="809" t="s">
        <v>12522</v>
      </c>
      <c r="I1737" s="819">
        <v>31</v>
      </c>
      <c r="J1737" s="92" t="s">
        <v>18</v>
      </c>
      <c r="K1737" s="92" t="s">
        <v>722</v>
      </c>
      <c r="L1737" s="810">
        <v>5</v>
      </c>
      <c r="M1737" s="811" t="str">
        <f t="shared" si="133"/>
        <v>High School Graduate</v>
      </c>
      <c r="P1737" s="1638"/>
      <c r="R1737" s="807"/>
      <c r="S1737" s="812"/>
      <c r="V1737" s="828"/>
      <c r="X1737" s="811" t="str">
        <f t="shared" si="135"/>
        <v/>
      </c>
      <c r="AB1737" s="828"/>
      <c r="AG1737" s="807"/>
      <c r="AJ1737" s="865"/>
    </row>
    <row r="1738" spans="1:36" ht="15">
      <c r="A1738" s="19" t="s">
        <v>7421</v>
      </c>
      <c r="B1738" s="1082" t="s">
        <v>11708</v>
      </c>
      <c r="C1738" s="533" t="s">
        <v>4148</v>
      </c>
      <c r="D1738" s="1069" t="s">
        <v>11708</v>
      </c>
      <c r="G1738" s="910" t="s">
        <v>4148</v>
      </c>
      <c r="H1738" s="809" t="s">
        <v>12523</v>
      </c>
      <c r="I1738" s="819">
        <v>66</v>
      </c>
      <c r="J1738" s="92" t="s">
        <v>18</v>
      </c>
      <c r="K1738" s="92" t="s">
        <v>707</v>
      </c>
      <c r="L1738" s="810">
        <v>7</v>
      </c>
      <c r="M1738" s="811" t="str">
        <f t="shared" si="133"/>
        <v>College Graduate or Higher</v>
      </c>
      <c r="P1738" s="1638"/>
      <c r="R1738" s="807"/>
      <c r="S1738" s="812"/>
      <c r="V1738" s="873"/>
      <c r="X1738" s="811" t="str">
        <f t="shared" si="135"/>
        <v/>
      </c>
      <c r="AB1738" s="873"/>
      <c r="AG1738" s="807"/>
      <c r="AJ1738" s="865"/>
    </row>
    <row r="1739" spans="1:36" ht="15">
      <c r="A1739" s="19" t="s">
        <v>7421</v>
      </c>
      <c r="D1739" s="1069" t="s">
        <v>11708</v>
      </c>
      <c r="G1739" s="827"/>
      <c r="H1739" s="809" t="s">
        <v>12566</v>
      </c>
      <c r="I1739" s="819">
        <v>55</v>
      </c>
      <c r="J1739" s="92" t="s">
        <v>10</v>
      </c>
      <c r="K1739" s="92" t="s">
        <v>783</v>
      </c>
      <c r="L1739" s="810">
        <v>5</v>
      </c>
      <c r="M1739" s="811" t="str">
        <f t="shared" si="133"/>
        <v>High School Graduate</v>
      </c>
      <c r="P1739" s="1638"/>
      <c r="R1739" s="807" t="s">
        <v>20</v>
      </c>
      <c r="S1739" s="812">
        <v>12000</v>
      </c>
      <c r="V1739" s="873"/>
      <c r="X1739" s="811" t="str">
        <f t="shared" si="135"/>
        <v/>
      </c>
      <c r="AB1739" s="873"/>
      <c r="AG1739" s="807"/>
      <c r="AJ1739" s="865"/>
    </row>
    <row r="1740" spans="1:36" ht="15">
      <c r="A1740" s="19" t="s">
        <v>7421</v>
      </c>
      <c r="C1740" s="807"/>
      <c r="D1740" s="1069" t="s">
        <v>11708</v>
      </c>
      <c r="G1740" s="827"/>
      <c r="H1740" s="809" t="s">
        <v>12567</v>
      </c>
      <c r="I1740" s="819">
        <v>13</v>
      </c>
      <c r="J1740" s="92" t="s">
        <v>10</v>
      </c>
      <c r="K1740" s="92" t="s">
        <v>768</v>
      </c>
      <c r="L1740" s="810">
        <v>3</v>
      </c>
      <c r="M1740" s="811" t="str">
        <f t="shared" si="133"/>
        <v>Elementary Graduate</v>
      </c>
      <c r="N1740" s="92" t="s">
        <v>1208</v>
      </c>
      <c r="O1740" s="812" t="s">
        <v>2968</v>
      </c>
      <c r="P1740" s="1638"/>
      <c r="Q1740" s="812" t="s">
        <v>2968</v>
      </c>
      <c r="R1740" s="807"/>
      <c r="S1740" s="812">
        <v>18000</v>
      </c>
      <c r="V1740" s="873">
        <f>SUM(S1737:U1739)</f>
        <v>12000</v>
      </c>
      <c r="W1740" s="815">
        <v>1</v>
      </c>
      <c r="X1740" s="811" t="str">
        <f t="shared" si="135"/>
        <v>within the Brgy</v>
      </c>
      <c r="Y1740" s="816">
        <v>6000</v>
      </c>
      <c r="AB1740" s="873">
        <f>SUM(Y1738:AA1740)</f>
        <v>6000</v>
      </c>
      <c r="AG1740" s="807"/>
      <c r="AJ1740" s="865"/>
    </row>
    <row r="1741" spans="1:36" ht="15">
      <c r="A1741" s="19" t="s">
        <v>7421</v>
      </c>
      <c r="B1741" s="1080" t="s">
        <v>11538</v>
      </c>
      <c r="C1741" s="533" t="s">
        <v>4148</v>
      </c>
      <c r="D1741" s="1069" t="s">
        <v>11538</v>
      </c>
      <c r="G1741" s="846" t="s">
        <v>4148</v>
      </c>
      <c r="H1741" s="809" t="s">
        <v>12568</v>
      </c>
      <c r="I1741" s="819">
        <v>27</v>
      </c>
      <c r="J1741" s="92" t="s">
        <v>18</v>
      </c>
      <c r="K1741" s="92" t="s">
        <v>707</v>
      </c>
      <c r="L1741" s="810">
        <v>6</v>
      </c>
      <c r="M1741" s="811" t="str">
        <f t="shared" si="133"/>
        <v>College Level</v>
      </c>
      <c r="N1741" s="92" t="s">
        <v>1208</v>
      </c>
      <c r="O1741" s="812" t="s">
        <v>12515</v>
      </c>
      <c r="P1741" s="1638" t="s">
        <v>12606</v>
      </c>
      <c r="Q1741" s="812" t="s">
        <v>12515</v>
      </c>
      <c r="V1741" s="828"/>
      <c r="X1741" s="811" t="str">
        <f t="shared" si="135"/>
        <v/>
      </c>
      <c r="AB1741" s="828"/>
      <c r="AG1741" s="807"/>
      <c r="AJ1741" s="865"/>
    </row>
    <row r="1742" spans="1:36" ht="15">
      <c r="A1742" s="19" t="s">
        <v>7421</v>
      </c>
      <c r="C1742" s="807"/>
      <c r="D1742" s="1069" t="s">
        <v>11538</v>
      </c>
      <c r="G1742" s="827"/>
      <c r="H1742" s="809" t="s">
        <v>4165</v>
      </c>
      <c r="I1742" s="819">
        <v>61</v>
      </c>
      <c r="J1742" s="92" t="s">
        <v>10</v>
      </c>
      <c r="K1742" s="92" t="s">
        <v>707</v>
      </c>
      <c r="L1742" s="810">
        <v>6</v>
      </c>
      <c r="M1742" s="811" t="str">
        <f t="shared" si="133"/>
        <v>College Level</v>
      </c>
      <c r="P1742" s="1638"/>
      <c r="V1742" s="828"/>
      <c r="X1742" s="811" t="str">
        <f t="shared" si="135"/>
        <v/>
      </c>
      <c r="AB1742" s="828"/>
      <c r="AG1742" s="807"/>
      <c r="AJ1742" s="865"/>
    </row>
    <row r="1743" spans="1:36" ht="15">
      <c r="A1743" s="19" t="s">
        <v>7421</v>
      </c>
      <c r="C1743" s="807"/>
      <c r="D1743" s="1069" t="s">
        <v>11538</v>
      </c>
      <c r="G1743" s="827"/>
      <c r="H1743" s="809" t="s">
        <v>11547</v>
      </c>
      <c r="I1743" s="1194">
        <v>60</v>
      </c>
      <c r="J1743" s="92" t="s">
        <v>18</v>
      </c>
      <c r="K1743" s="92" t="s">
        <v>707</v>
      </c>
      <c r="L1743" s="810">
        <v>5</v>
      </c>
      <c r="M1743" s="811" t="str">
        <f t="shared" si="133"/>
        <v>High School Graduate</v>
      </c>
      <c r="P1743" s="1638"/>
      <c r="V1743" s="828"/>
      <c r="X1743" s="811" t="str">
        <f t="shared" si="135"/>
        <v/>
      </c>
      <c r="AB1743" s="828"/>
      <c r="AG1743" s="807"/>
      <c r="AJ1743" s="865"/>
    </row>
    <row r="1744" spans="1:36" ht="15">
      <c r="A1744" s="19" t="s">
        <v>7421</v>
      </c>
      <c r="B1744" s="1082" t="s">
        <v>7828</v>
      </c>
      <c r="C1744" s="533" t="s">
        <v>4158</v>
      </c>
      <c r="D1744" s="1069" t="s">
        <v>12508</v>
      </c>
      <c r="G1744" s="846" t="s">
        <v>4158</v>
      </c>
      <c r="H1744" s="809" t="s">
        <v>12509</v>
      </c>
      <c r="I1744" s="819">
        <v>14</v>
      </c>
      <c r="J1744" s="92" t="s">
        <v>10</v>
      </c>
      <c r="K1744" s="92" t="s">
        <v>768</v>
      </c>
      <c r="L1744" s="810">
        <v>4</v>
      </c>
      <c r="M1744" s="811" t="str">
        <f t="shared" si="133"/>
        <v>High School Level</v>
      </c>
      <c r="P1744" s="1638"/>
      <c r="V1744" s="828"/>
      <c r="X1744" s="811" t="str">
        <f t="shared" si="135"/>
        <v/>
      </c>
      <c r="AB1744" s="828"/>
      <c r="AG1744" s="807"/>
      <c r="AJ1744" s="865"/>
    </row>
    <row r="1745" spans="1:36" ht="15">
      <c r="A1745" s="19" t="s">
        <v>7421</v>
      </c>
      <c r="B1745" s="1233"/>
      <c r="D1745" s="1069" t="s">
        <v>12508</v>
      </c>
      <c r="G1745" s="827"/>
      <c r="H1745" s="809" t="s">
        <v>12510</v>
      </c>
      <c r="I1745" s="819">
        <v>10</v>
      </c>
      <c r="J1745" s="92" t="s">
        <v>10</v>
      </c>
      <c r="K1745" s="92" t="s">
        <v>768</v>
      </c>
      <c r="L1745" s="810">
        <v>2</v>
      </c>
      <c r="M1745" s="811" t="str">
        <f t="shared" si="133"/>
        <v>Elementary Level</v>
      </c>
      <c r="P1745" s="1638"/>
      <c r="V1745" s="828"/>
      <c r="X1745" s="811" t="str">
        <f t="shared" si="135"/>
        <v/>
      </c>
      <c r="AB1745" s="828"/>
      <c r="AG1745" s="807"/>
      <c r="AJ1745" s="865"/>
    </row>
    <row r="1746" spans="1:36" ht="15">
      <c r="A1746" s="19" t="s">
        <v>7421</v>
      </c>
      <c r="D1746" s="1069" t="s">
        <v>12508</v>
      </c>
      <c r="G1746" s="827"/>
      <c r="H1746" s="809" t="s">
        <v>12511</v>
      </c>
      <c r="I1746" s="819">
        <v>6</v>
      </c>
      <c r="J1746" s="92" t="s">
        <v>10</v>
      </c>
      <c r="K1746" s="92" t="s">
        <v>768</v>
      </c>
      <c r="L1746" s="810">
        <v>2</v>
      </c>
      <c r="M1746" s="811" t="str">
        <f t="shared" si="133"/>
        <v>Elementary Level</v>
      </c>
      <c r="P1746" s="1638"/>
      <c r="V1746" s="828">
        <f>SUM(S1740:U1746)</f>
        <v>18000</v>
      </c>
      <c r="X1746" s="811" t="str">
        <f t="shared" si="135"/>
        <v/>
      </c>
      <c r="AB1746" s="828">
        <f>SUM(Y1737:AA1746)</f>
        <v>6000</v>
      </c>
      <c r="AG1746" s="807"/>
      <c r="AJ1746" s="865"/>
    </row>
    <row r="1747" spans="1:36" ht="15">
      <c r="A1747" s="19" t="s">
        <v>7421</v>
      </c>
      <c r="D1747" s="1069" t="s">
        <v>12508</v>
      </c>
      <c r="G1747" s="827"/>
      <c r="H1747" s="809" t="s">
        <v>12512</v>
      </c>
      <c r="I1747" s="819">
        <v>21</v>
      </c>
      <c r="J1747" s="92" t="s">
        <v>18</v>
      </c>
      <c r="K1747" s="92" t="s">
        <v>768</v>
      </c>
      <c r="L1747" s="810">
        <v>6</v>
      </c>
      <c r="M1747" s="811" t="str">
        <f t="shared" si="133"/>
        <v>College Level</v>
      </c>
      <c r="N1747" s="92" t="s">
        <v>1208</v>
      </c>
      <c r="O1747" s="812" t="s">
        <v>12514</v>
      </c>
      <c r="P1747" s="1638"/>
      <c r="Q1747" s="812" t="s">
        <v>12514</v>
      </c>
      <c r="R1747" s="92" t="s">
        <v>8234</v>
      </c>
      <c r="S1747" s="813">
        <f>1800*4</f>
        <v>7200</v>
      </c>
      <c r="V1747" s="873">
        <f>SUM(R1726:U1733)</f>
        <v>32000</v>
      </c>
      <c r="X1747" s="811" t="str">
        <f t="shared" si="135"/>
        <v/>
      </c>
      <c r="AB1747" s="873">
        <f>SUM(X1726:AA1733)</f>
        <v>5000</v>
      </c>
      <c r="AG1747" s="807"/>
      <c r="AJ1747" s="865"/>
    </row>
    <row r="1748" spans="1:36" ht="15">
      <c r="A1748" s="19" t="s">
        <v>7421</v>
      </c>
      <c r="D1748" s="1069" t="s">
        <v>12508</v>
      </c>
      <c r="G1748" s="827"/>
      <c r="H1748" s="809" t="s">
        <v>12513</v>
      </c>
      <c r="I1748" s="819">
        <v>25</v>
      </c>
      <c r="J1748" s="92" t="s">
        <v>10</v>
      </c>
      <c r="K1748" s="92" t="s">
        <v>768</v>
      </c>
      <c r="L1748" s="810">
        <v>7</v>
      </c>
      <c r="M1748" s="811" t="str">
        <f t="shared" si="133"/>
        <v>College Graduate or Higher</v>
      </c>
      <c r="N1748" s="92" t="s">
        <v>1208</v>
      </c>
      <c r="O1748" s="812" t="s">
        <v>2198</v>
      </c>
      <c r="P1748" s="1638" t="s">
        <v>12597</v>
      </c>
      <c r="Q1748" s="812" t="s">
        <v>2198</v>
      </c>
      <c r="W1748" s="815">
        <v>3</v>
      </c>
      <c r="X1748" s="811" t="str">
        <f t="shared" si="135"/>
        <v>within the Province</v>
      </c>
      <c r="Y1748" s="816">
        <f>150*20</f>
        <v>3000</v>
      </c>
      <c r="AB1748" s="940"/>
      <c r="AE1748" s="93" t="s">
        <v>10356</v>
      </c>
      <c r="AF1748" s="818">
        <v>3</v>
      </c>
      <c r="AG1748" s="807" t="str">
        <f t="shared" ref="AG1748:AG1779" si="136">IF(ISBLANK(AF1748)=TRUE,"",LOOKUP(AF1748,GS:GT))</f>
        <v>Special Medical Care</v>
      </c>
      <c r="AJ1748" s="865"/>
    </row>
    <row r="1749" spans="1:36" ht="15">
      <c r="A1749" s="19" t="s">
        <v>7421</v>
      </c>
      <c r="D1749" s="1069" t="s">
        <v>12508</v>
      </c>
      <c r="G1749" s="827"/>
      <c r="H1749" s="809" t="s">
        <v>4202</v>
      </c>
      <c r="I1749" s="92">
        <v>40</v>
      </c>
      <c r="J1749" s="92" t="s">
        <v>10</v>
      </c>
      <c r="K1749" s="92" t="s">
        <v>722</v>
      </c>
      <c r="L1749" s="810">
        <v>3</v>
      </c>
      <c r="M1749" s="811" t="str">
        <f t="shared" si="133"/>
        <v>Elementary Graduate</v>
      </c>
      <c r="P1749" s="1638"/>
      <c r="X1749" s="811" t="str">
        <f t="shared" si="135"/>
        <v/>
      </c>
      <c r="AB1749" s="940"/>
      <c r="AG1749" s="807" t="str">
        <f t="shared" si="136"/>
        <v/>
      </c>
      <c r="AJ1749" s="865"/>
    </row>
    <row r="1750" spans="1:36" ht="15">
      <c r="A1750" s="19" t="s">
        <v>7421</v>
      </c>
      <c r="D1750" s="1069" t="s">
        <v>12508</v>
      </c>
      <c r="G1750" s="827"/>
      <c r="H1750" s="809" t="s">
        <v>4203</v>
      </c>
      <c r="I1750" s="92">
        <v>33</v>
      </c>
      <c r="J1750" s="92" t="s">
        <v>18</v>
      </c>
      <c r="K1750" s="92" t="s">
        <v>722</v>
      </c>
      <c r="L1750" s="810">
        <v>3</v>
      </c>
      <c r="M1750" s="811" t="str">
        <f t="shared" si="133"/>
        <v>Elementary Graduate</v>
      </c>
      <c r="P1750" s="1638"/>
      <c r="X1750" s="811" t="str">
        <f t="shared" si="135"/>
        <v/>
      </c>
      <c r="AB1750" s="940"/>
      <c r="AG1750" s="807" t="str">
        <f t="shared" si="136"/>
        <v/>
      </c>
      <c r="AJ1750" s="865"/>
    </row>
    <row r="1751" spans="1:36" ht="15">
      <c r="A1751" s="19" t="s">
        <v>7421</v>
      </c>
      <c r="B1751" s="752" t="s">
        <v>7409</v>
      </c>
      <c r="C1751" s="132" t="s">
        <v>4195</v>
      </c>
      <c r="D1751" s="1070" t="s">
        <v>10355</v>
      </c>
      <c r="E1751" s="533" t="s">
        <v>4195</v>
      </c>
      <c r="F1751" s="1048" t="s">
        <v>4202</v>
      </c>
      <c r="G1751" s="809" t="s">
        <v>4195</v>
      </c>
      <c r="H1751" s="809" t="s">
        <v>10357</v>
      </c>
      <c r="I1751" s="92">
        <v>15</v>
      </c>
      <c r="J1751" s="92" t="s">
        <v>18</v>
      </c>
      <c r="K1751" s="92" t="s">
        <v>722</v>
      </c>
      <c r="L1751" s="810">
        <v>2</v>
      </c>
      <c r="M1751" s="811" t="str">
        <f t="shared" si="133"/>
        <v>Elementary Level</v>
      </c>
      <c r="P1751" s="1638"/>
      <c r="X1751" s="811" t="str">
        <f t="shared" si="135"/>
        <v/>
      </c>
      <c r="AB1751" s="940"/>
      <c r="AG1751" s="807" t="str">
        <f t="shared" si="136"/>
        <v/>
      </c>
      <c r="AJ1751" s="865"/>
    </row>
    <row r="1752" spans="1:36" ht="15">
      <c r="A1752" s="19" t="s">
        <v>7421</v>
      </c>
      <c r="D1752" s="1070" t="s">
        <v>10355</v>
      </c>
      <c r="E1752" s="533" t="s">
        <v>4195</v>
      </c>
      <c r="G1752" s="827"/>
      <c r="H1752" s="809" t="s">
        <v>10358</v>
      </c>
      <c r="I1752" s="92">
        <v>10</v>
      </c>
      <c r="J1752" s="92" t="s">
        <v>18</v>
      </c>
      <c r="K1752" s="92" t="s">
        <v>768</v>
      </c>
      <c r="L1752" s="810">
        <v>2</v>
      </c>
      <c r="M1752" s="811" t="str">
        <f t="shared" si="133"/>
        <v>Elementary Level</v>
      </c>
      <c r="P1752" s="1638"/>
      <c r="X1752" s="811" t="str">
        <f t="shared" si="135"/>
        <v/>
      </c>
      <c r="AB1752" s="940"/>
      <c r="AG1752" s="807" t="str">
        <f t="shared" si="136"/>
        <v/>
      </c>
      <c r="AJ1752" s="865"/>
    </row>
    <row r="1753" spans="1:36" ht="15">
      <c r="A1753" s="19" t="s">
        <v>7421</v>
      </c>
      <c r="D1753" s="1070" t="s">
        <v>10355</v>
      </c>
      <c r="E1753" s="533" t="s">
        <v>4195</v>
      </c>
      <c r="G1753" s="827"/>
      <c r="H1753" s="809" t="s">
        <v>10359</v>
      </c>
      <c r="I1753" s="92">
        <v>6</v>
      </c>
      <c r="J1753" s="92" t="s">
        <v>10</v>
      </c>
      <c r="K1753" s="92" t="s">
        <v>768</v>
      </c>
      <c r="L1753" s="810">
        <v>10</v>
      </c>
      <c r="M1753" s="811" t="str">
        <f t="shared" ref="M1753:M1816" si="137">IF(ISBLANK(L1753)=TRUE,"",LOOKUP(L1753,GQ:GR))</f>
        <v>Not In School Age</v>
      </c>
      <c r="P1753" s="1638"/>
      <c r="R1753" s="92" t="s">
        <v>8234</v>
      </c>
      <c r="S1753" s="813">
        <f>4500*4</f>
        <v>18000</v>
      </c>
      <c r="V1753" s="814">
        <f>SUM(S1747:U1752)</f>
        <v>7200</v>
      </c>
      <c r="X1753" s="811" t="str">
        <f t="shared" si="135"/>
        <v/>
      </c>
      <c r="AB1753" s="940">
        <f>SUM(Y1748:AA1753)</f>
        <v>3000</v>
      </c>
      <c r="AG1753" s="807" t="str">
        <f t="shared" si="136"/>
        <v/>
      </c>
      <c r="AJ1753" s="865"/>
    </row>
    <row r="1754" spans="1:36" ht="15">
      <c r="A1754" s="19" t="s">
        <v>7421</v>
      </c>
      <c r="D1754" s="1070" t="s">
        <v>10355</v>
      </c>
      <c r="E1754" s="533" t="s">
        <v>4195</v>
      </c>
      <c r="G1754" s="827"/>
      <c r="H1754" s="809" t="s">
        <v>10360</v>
      </c>
      <c r="I1754" s="92">
        <v>1</v>
      </c>
      <c r="J1754" s="92" t="s">
        <v>10</v>
      </c>
      <c r="K1754" s="92" t="s">
        <v>768</v>
      </c>
      <c r="L1754" s="810">
        <v>10</v>
      </c>
      <c r="M1754" s="811" t="str">
        <f t="shared" si="137"/>
        <v>Not In School Age</v>
      </c>
      <c r="N1754" s="92" t="s">
        <v>1208</v>
      </c>
      <c r="O1754" s="812" t="s">
        <v>2968</v>
      </c>
      <c r="P1754" s="1638" t="s">
        <v>12615</v>
      </c>
      <c r="Q1754" s="812" t="s">
        <v>2968</v>
      </c>
      <c r="S1754" s="813">
        <v>5000</v>
      </c>
      <c r="V1754" s="828"/>
      <c r="W1754" s="815">
        <v>3</v>
      </c>
      <c r="X1754" s="811" t="str">
        <f t="shared" si="135"/>
        <v>within the Province</v>
      </c>
      <c r="Y1754" s="816">
        <f>200*30</f>
        <v>6000</v>
      </c>
      <c r="AB1754" s="953"/>
      <c r="AG1754" s="807" t="str">
        <f t="shared" si="136"/>
        <v/>
      </c>
      <c r="AJ1754" s="865"/>
    </row>
    <row r="1755" spans="1:36" ht="15">
      <c r="A1755" s="19" t="s">
        <v>7421</v>
      </c>
      <c r="D1755" s="1070" t="s">
        <v>10355</v>
      </c>
      <c r="E1755" s="533" t="s">
        <v>4195</v>
      </c>
      <c r="G1755" s="827"/>
      <c r="H1755" s="809" t="s">
        <v>10362</v>
      </c>
      <c r="I1755" s="92">
        <v>38</v>
      </c>
      <c r="J1755" s="92" t="s">
        <v>10</v>
      </c>
      <c r="K1755" s="92" t="s">
        <v>722</v>
      </c>
      <c r="L1755" s="810">
        <v>4</v>
      </c>
      <c r="M1755" s="811" t="str">
        <f t="shared" si="137"/>
        <v>High School Level</v>
      </c>
      <c r="N1755" s="92" t="s">
        <v>1208</v>
      </c>
      <c r="O1755" s="812" t="s">
        <v>2968</v>
      </c>
      <c r="P1755" s="1638"/>
      <c r="Q1755" s="812" t="s">
        <v>2968</v>
      </c>
      <c r="V1755" s="828"/>
      <c r="W1755" s="815">
        <v>2</v>
      </c>
      <c r="X1755" s="811" t="str">
        <f t="shared" si="135"/>
        <v>within the Municipality/City</v>
      </c>
      <c r="Y1755" s="816">
        <f>50*30</f>
        <v>1500</v>
      </c>
      <c r="AB1755" s="953"/>
      <c r="AG1755" s="807" t="str">
        <f t="shared" si="136"/>
        <v/>
      </c>
      <c r="AJ1755" s="865"/>
    </row>
    <row r="1756" spans="1:36" ht="15">
      <c r="A1756" s="19" t="s">
        <v>7421</v>
      </c>
      <c r="D1756" s="1070" t="s">
        <v>10355</v>
      </c>
      <c r="E1756" s="533" t="s">
        <v>4195</v>
      </c>
      <c r="G1756" s="827"/>
      <c r="H1756" s="809" t="s">
        <v>10363</v>
      </c>
      <c r="I1756" s="92">
        <v>31</v>
      </c>
      <c r="J1756" s="92" t="s">
        <v>18</v>
      </c>
      <c r="K1756" s="92" t="s">
        <v>722</v>
      </c>
      <c r="L1756" s="810">
        <v>6</v>
      </c>
      <c r="M1756" s="811" t="str">
        <f t="shared" si="137"/>
        <v>College Level</v>
      </c>
      <c r="P1756" s="1638"/>
      <c r="S1756" s="813">
        <f>SUM(20000,20000)</f>
        <v>40000</v>
      </c>
      <c r="V1756" s="828">
        <f>SUM(S1753:U1755)</f>
        <v>23000</v>
      </c>
      <c r="X1756" s="811" t="str">
        <f t="shared" si="135"/>
        <v/>
      </c>
      <c r="AB1756" s="953">
        <f>SUM(Y1754:AA1756)</f>
        <v>7500</v>
      </c>
      <c r="AG1756" s="807" t="str">
        <f t="shared" si="136"/>
        <v/>
      </c>
      <c r="AJ1756" s="865"/>
    </row>
    <row r="1757" spans="1:36" ht="15">
      <c r="A1757" s="19" t="s">
        <v>7421</v>
      </c>
      <c r="B1757" s="752" t="s">
        <v>7408</v>
      </c>
      <c r="C1757" s="132" t="s">
        <v>4204</v>
      </c>
      <c r="D1757" s="1069" t="s">
        <v>10361</v>
      </c>
      <c r="E1757" s="533" t="s">
        <v>4204</v>
      </c>
      <c r="F1757" s="1048" t="s">
        <v>4205</v>
      </c>
      <c r="G1757" s="809" t="s">
        <v>4204</v>
      </c>
      <c r="H1757" s="809" t="s">
        <v>10364</v>
      </c>
      <c r="I1757" s="92">
        <v>11</v>
      </c>
      <c r="J1757" s="92" t="s">
        <v>18</v>
      </c>
      <c r="K1757" s="92" t="s">
        <v>768</v>
      </c>
      <c r="L1757" s="810">
        <v>2</v>
      </c>
      <c r="M1757" s="811" t="str">
        <f t="shared" si="137"/>
        <v>Elementary Level</v>
      </c>
      <c r="N1757" s="92" t="s">
        <v>1208</v>
      </c>
      <c r="O1757" s="812" t="s">
        <v>10366</v>
      </c>
      <c r="P1757" s="1638" t="s">
        <v>12618</v>
      </c>
      <c r="Q1757" s="812" t="s">
        <v>10366</v>
      </c>
      <c r="V1757" s="961"/>
      <c r="W1757" s="815">
        <v>1</v>
      </c>
      <c r="X1757" s="811" t="str">
        <f t="shared" si="135"/>
        <v>within the Brgy</v>
      </c>
      <c r="Y1757" s="816">
        <v>500</v>
      </c>
      <c r="AB1757" s="962"/>
      <c r="AG1757" s="807" t="str">
        <f t="shared" si="136"/>
        <v/>
      </c>
      <c r="AJ1757" s="865"/>
    </row>
    <row r="1758" spans="1:36" ht="15">
      <c r="A1758" s="19" t="s">
        <v>7421</v>
      </c>
      <c r="D1758" s="1069" t="s">
        <v>10361</v>
      </c>
      <c r="E1758" s="533" t="s">
        <v>4204</v>
      </c>
      <c r="G1758" s="827"/>
      <c r="H1758" s="809" t="s">
        <v>4247</v>
      </c>
      <c r="I1758" s="92">
        <v>25</v>
      </c>
      <c r="J1758" s="92" t="s">
        <v>18</v>
      </c>
      <c r="K1758" s="92" t="s">
        <v>783</v>
      </c>
      <c r="L1758" s="810">
        <v>6</v>
      </c>
      <c r="M1758" s="811" t="str">
        <f t="shared" si="137"/>
        <v>College Level</v>
      </c>
      <c r="P1758" s="1638"/>
      <c r="R1758" s="92" t="s">
        <v>8234</v>
      </c>
      <c r="S1758" s="813">
        <f>800*26</f>
        <v>20800</v>
      </c>
      <c r="V1758" s="961">
        <f>SUM(S1756:U1757)</f>
        <v>40000</v>
      </c>
      <c r="X1758" s="811" t="str">
        <f t="shared" si="135"/>
        <v/>
      </c>
      <c r="AB1758" s="962">
        <f>SUM(Y1757:AA1758)</f>
        <v>500</v>
      </c>
      <c r="AG1758" s="807" t="str">
        <f t="shared" si="136"/>
        <v/>
      </c>
      <c r="AJ1758" s="865"/>
    </row>
    <row r="1759" spans="1:36" ht="15">
      <c r="A1759" s="19" t="s">
        <v>7421</v>
      </c>
      <c r="D1759" s="1069" t="s">
        <v>10361</v>
      </c>
      <c r="E1759" s="533" t="s">
        <v>4204</v>
      </c>
      <c r="G1759" s="827"/>
      <c r="H1759" s="809" t="s">
        <v>10367</v>
      </c>
      <c r="I1759" s="92">
        <v>3</v>
      </c>
      <c r="J1759" s="92" t="s">
        <v>10</v>
      </c>
      <c r="K1759" s="92" t="s">
        <v>768</v>
      </c>
      <c r="L1759" s="810">
        <v>10</v>
      </c>
      <c r="M1759" s="811" t="str">
        <f t="shared" si="137"/>
        <v>Not In School Age</v>
      </c>
      <c r="N1759" s="92" t="s">
        <v>1208</v>
      </c>
      <c r="O1759" s="812" t="s">
        <v>2214</v>
      </c>
      <c r="P1759" s="1638" t="s">
        <v>12605</v>
      </c>
      <c r="Q1759" s="812" t="s">
        <v>2214</v>
      </c>
      <c r="W1759" s="815">
        <v>3</v>
      </c>
      <c r="X1759" s="811" t="str">
        <f t="shared" si="135"/>
        <v>within the Province</v>
      </c>
      <c r="AB1759" s="940"/>
      <c r="AG1759" s="807" t="str">
        <f t="shared" si="136"/>
        <v/>
      </c>
      <c r="AJ1759" s="865"/>
    </row>
    <row r="1760" spans="1:36" ht="15">
      <c r="A1760" s="343" t="s">
        <v>7421</v>
      </c>
      <c r="B1760" s="752" t="s">
        <v>7842</v>
      </c>
      <c r="C1760" s="132" t="s">
        <v>4232</v>
      </c>
      <c r="D1760" s="1070" t="s">
        <v>10365</v>
      </c>
      <c r="E1760" s="533" t="s">
        <v>4204</v>
      </c>
      <c r="F1760" s="1046"/>
      <c r="G1760" s="809" t="s">
        <v>4232</v>
      </c>
      <c r="H1760" s="809" t="s">
        <v>4250</v>
      </c>
      <c r="I1760" s="92">
        <v>36</v>
      </c>
      <c r="J1760" s="92" t="s">
        <v>10</v>
      </c>
      <c r="K1760" s="92" t="s">
        <v>707</v>
      </c>
      <c r="L1760" s="810">
        <v>7</v>
      </c>
      <c r="M1760" s="811" t="str">
        <f t="shared" si="137"/>
        <v>College Graduate or Higher</v>
      </c>
      <c r="P1760" s="1638"/>
      <c r="X1760" s="811" t="str">
        <f t="shared" si="135"/>
        <v/>
      </c>
      <c r="AB1760" s="940"/>
      <c r="AG1760" s="807" t="str">
        <f t="shared" si="136"/>
        <v/>
      </c>
      <c r="AJ1760" s="865"/>
    </row>
    <row r="1761" spans="1:36" ht="15">
      <c r="A1761" s="343" t="s">
        <v>7421</v>
      </c>
      <c r="D1761" s="1070" t="s">
        <v>10365</v>
      </c>
      <c r="E1761" s="533" t="s">
        <v>4204</v>
      </c>
      <c r="G1761" s="827"/>
      <c r="H1761" s="809" t="s">
        <v>3038</v>
      </c>
      <c r="I1761" s="92">
        <v>43</v>
      </c>
      <c r="J1761" s="92" t="s">
        <v>18</v>
      </c>
      <c r="K1761" s="92" t="s">
        <v>707</v>
      </c>
      <c r="L1761" s="810">
        <v>9</v>
      </c>
      <c r="M1761" s="811" t="str">
        <f t="shared" si="137"/>
        <v>Vocational Graduate</v>
      </c>
      <c r="P1761" s="1638"/>
      <c r="R1761" s="92" t="s">
        <v>8234</v>
      </c>
      <c r="U1761" s="813">
        <v>5000</v>
      </c>
      <c r="V1761" s="814">
        <f>SUM(S1758:U1760)</f>
        <v>20800</v>
      </c>
      <c r="X1761" s="811" t="str">
        <f t="shared" si="135"/>
        <v/>
      </c>
      <c r="AB1761" s="940">
        <f>SUM(Y1759:AA1761)</f>
        <v>0</v>
      </c>
      <c r="AG1761" s="807" t="str">
        <f t="shared" si="136"/>
        <v/>
      </c>
      <c r="AJ1761" s="865"/>
    </row>
    <row r="1762" spans="1:36" ht="15">
      <c r="A1762" s="19" t="s">
        <v>7421</v>
      </c>
      <c r="B1762" s="127" t="s">
        <v>7728</v>
      </c>
      <c r="C1762" s="132" t="s">
        <v>4249</v>
      </c>
      <c r="D1762" s="1069" t="s">
        <v>10368</v>
      </c>
      <c r="E1762" s="533" t="s">
        <v>4249</v>
      </c>
      <c r="F1762" s="1048" t="s">
        <v>4250</v>
      </c>
      <c r="G1762" s="809" t="s">
        <v>4249</v>
      </c>
      <c r="H1762" s="809" t="s">
        <v>10369</v>
      </c>
      <c r="I1762" s="92">
        <v>8</v>
      </c>
      <c r="J1762" s="92" t="s">
        <v>18</v>
      </c>
      <c r="K1762" s="92" t="s">
        <v>768</v>
      </c>
      <c r="L1762" s="810">
        <v>2</v>
      </c>
      <c r="M1762" s="811" t="str">
        <f t="shared" si="137"/>
        <v>Elementary Level</v>
      </c>
      <c r="N1762" s="92" t="s">
        <v>1208</v>
      </c>
      <c r="O1762" s="812" t="s">
        <v>2968</v>
      </c>
      <c r="P1762" s="1638" t="s">
        <v>12615</v>
      </c>
      <c r="Q1762" s="812" t="s">
        <v>2968</v>
      </c>
      <c r="S1762" s="813">
        <v>16000</v>
      </c>
      <c r="V1762" s="828">
        <f>SUM(S1761:U1761)</f>
        <v>5000</v>
      </c>
      <c r="W1762" s="815">
        <v>1</v>
      </c>
      <c r="X1762" s="811" t="str">
        <f t="shared" si="135"/>
        <v>within the Brgy</v>
      </c>
      <c r="AG1762" s="807" t="str">
        <f t="shared" si="136"/>
        <v/>
      </c>
      <c r="AJ1762" s="865"/>
    </row>
    <row r="1763" spans="1:36" ht="15">
      <c r="A1763" s="19" t="s">
        <v>7421</v>
      </c>
      <c r="D1763" s="1069" t="s">
        <v>10368</v>
      </c>
      <c r="E1763" s="533" t="s">
        <v>4249</v>
      </c>
      <c r="G1763" s="827"/>
      <c r="H1763" s="809" t="s">
        <v>3039</v>
      </c>
      <c r="I1763" s="92">
        <v>37</v>
      </c>
      <c r="J1763" s="92" t="s">
        <v>18</v>
      </c>
      <c r="K1763" s="92" t="s">
        <v>768</v>
      </c>
      <c r="L1763" s="810">
        <v>7</v>
      </c>
      <c r="M1763" s="811" t="str">
        <f t="shared" si="137"/>
        <v>College Graduate or Higher</v>
      </c>
      <c r="N1763" s="92" t="s">
        <v>1208</v>
      </c>
      <c r="O1763" s="812" t="s">
        <v>3040</v>
      </c>
      <c r="P1763" s="1638" t="s">
        <v>12606</v>
      </c>
      <c r="Q1763" s="812" t="s">
        <v>3040</v>
      </c>
      <c r="V1763" s="961"/>
      <c r="W1763" s="815">
        <v>3</v>
      </c>
      <c r="X1763" s="811" t="str">
        <f t="shared" si="135"/>
        <v>within the Province</v>
      </c>
      <c r="Y1763" s="816">
        <f>160*26</f>
        <v>4160</v>
      </c>
      <c r="AB1763" s="962"/>
      <c r="AG1763" s="807" t="str">
        <f t="shared" si="136"/>
        <v/>
      </c>
      <c r="AJ1763" s="865"/>
    </row>
    <row r="1764" spans="1:36" ht="15">
      <c r="A1764" s="19" t="s">
        <v>7421</v>
      </c>
      <c r="D1764" s="1069" t="s">
        <v>10368</v>
      </c>
      <c r="E1764" s="533" t="s">
        <v>4249</v>
      </c>
      <c r="G1764" s="827"/>
      <c r="H1764" s="809" t="s">
        <v>10372</v>
      </c>
      <c r="I1764" s="92">
        <v>22</v>
      </c>
      <c r="J1764" s="92" t="s">
        <v>18</v>
      </c>
      <c r="K1764" s="92" t="s">
        <v>707</v>
      </c>
      <c r="L1764" s="810">
        <v>6</v>
      </c>
      <c r="M1764" s="811" t="str">
        <f t="shared" si="137"/>
        <v>College Level</v>
      </c>
      <c r="P1764" s="1638"/>
      <c r="V1764" s="961"/>
      <c r="X1764" s="811" t="str">
        <f t="shared" si="135"/>
        <v/>
      </c>
      <c r="AB1764" s="962"/>
      <c r="AG1764" s="807" t="str">
        <f t="shared" si="136"/>
        <v/>
      </c>
      <c r="AJ1764" s="865"/>
    </row>
    <row r="1765" spans="1:36" ht="15">
      <c r="A1765" s="311" t="s">
        <v>12355</v>
      </c>
      <c r="B1765" s="752" t="s">
        <v>7729</v>
      </c>
      <c r="C1765" s="132" t="s">
        <v>3014</v>
      </c>
      <c r="D1765" s="1069" t="s">
        <v>10370</v>
      </c>
      <c r="E1765" s="1043" t="s">
        <v>471</v>
      </c>
      <c r="F1765" s="1048" t="s">
        <v>11320</v>
      </c>
      <c r="G1765" s="809" t="s">
        <v>3014</v>
      </c>
      <c r="H1765" s="809" t="s">
        <v>10373</v>
      </c>
      <c r="I1765" s="92">
        <v>21</v>
      </c>
      <c r="J1765" s="92" t="s">
        <v>10</v>
      </c>
      <c r="K1765" s="92" t="s">
        <v>768</v>
      </c>
      <c r="L1765" s="810">
        <v>6</v>
      </c>
      <c r="M1765" s="811" t="str">
        <f t="shared" si="137"/>
        <v>College Level</v>
      </c>
      <c r="P1765" s="1638"/>
      <c r="V1765" s="961"/>
      <c r="X1765" s="811" t="str">
        <f t="shared" si="135"/>
        <v/>
      </c>
      <c r="AB1765" s="962"/>
      <c r="AG1765" s="807" t="str">
        <f t="shared" si="136"/>
        <v/>
      </c>
      <c r="AJ1765" s="865"/>
    </row>
    <row r="1766" spans="1:36" ht="15">
      <c r="A1766" s="311" t="s">
        <v>12355</v>
      </c>
      <c r="B1766" s="752" t="s">
        <v>7730</v>
      </c>
      <c r="C1766" s="132" t="s">
        <v>3041</v>
      </c>
      <c r="D1766" s="1069" t="s">
        <v>10371</v>
      </c>
      <c r="G1766" s="809" t="s">
        <v>3041</v>
      </c>
      <c r="H1766" s="809" t="s">
        <v>10374</v>
      </c>
      <c r="I1766" s="92">
        <v>2</v>
      </c>
      <c r="J1766" s="92" t="s">
        <v>10</v>
      </c>
      <c r="K1766" s="92" t="s">
        <v>768</v>
      </c>
      <c r="L1766" s="810">
        <v>10</v>
      </c>
      <c r="M1766" s="811" t="str">
        <f t="shared" si="137"/>
        <v>Not In School Age</v>
      </c>
      <c r="P1766" s="1638"/>
      <c r="V1766" s="961"/>
      <c r="X1766" s="811" t="str">
        <f t="shared" si="135"/>
        <v/>
      </c>
      <c r="AB1766" s="962"/>
      <c r="AG1766" s="807" t="str">
        <f t="shared" si="136"/>
        <v/>
      </c>
      <c r="AJ1766" s="865"/>
    </row>
    <row r="1767" spans="1:36" ht="15">
      <c r="A1767" s="311" t="s">
        <v>12355</v>
      </c>
      <c r="D1767" s="1069" t="s">
        <v>10371</v>
      </c>
      <c r="G1767" s="827"/>
      <c r="H1767" s="809" t="s">
        <v>10375</v>
      </c>
      <c r="I1767" s="92">
        <v>19</v>
      </c>
      <c r="J1767" s="92" t="s">
        <v>10</v>
      </c>
      <c r="K1767" s="92" t="s">
        <v>768</v>
      </c>
      <c r="L1767" s="810">
        <v>6</v>
      </c>
      <c r="M1767" s="811" t="str">
        <f t="shared" si="137"/>
        <v>College Level</v>
      </c>
      <c r="P1767" s="1638"/>
      <c r="V1767" s="961"/>
      <c r="X1767" s="811" t="str">
        <f t="shared" si="135"/>
        <v/>
      </c>
      <c r="AB1767" s="962"/>
      <c r="AG1767" s="807" t="str">
        <f t="shared" si="136"/>
        <v/>
      </c>
      <c r="AJ1767" s="865"/>
    </row>
    <row r="1768" spans="1:36" ht="15">
      <c r="A1768" s="311" t="s">
        <v>12355</v>
      </c>
      <c r="D1768" s="1069" t="s">
        <v>10371</v>
      </c>
      <c r="G1768" s="827"/>
      <c r="H1768" s="809" t="s">
        <v>10376</v>
      </c>
      <c r="I1768" s="92">
        <v>18</v>
      </c>
      <c r="J1768" s="92" t="s">
        <v>10</v>
      </c>
      <c r="K1768" s="92" t="s">
        <v>768</v>
      </c>
      <c r="L1768" s="810">
        <v>6</v>
      </c>
      <c r="M1768" s="811" t="str">
        <f t="shared" si="137"/>
        <v>College Level</v>
      </c>
      <c r="P1768" s="1638"/>
      <c r="R1768" s="92" t="s">
        <v>8234</v>
      </c>
      <c r="V1768" s="961">
        <f>SUM(S1762:U1767)</f>
        <v>16000</v>
      </c>
      <c r="X1768" s="811" t="str">
        <f t="shared" si="135"/>
        <v/>
      </c>
      <c r="AB1768" s="962">
        <f>SUM(Y1763:AA1768)</f>
        <v>4160</v>
      </c>
      <c r="AG1768" s="807" t="str">
        <f t="shared" si="136"/>
        <v/>
      </c>
      <c r="AJ1768" s="865"/>
    </row>
    <row r="1769" spans="1:36" ht="15">
      <c r="A1769" s="311" t="s">
        <v>12355</v>
      </c>
      <c r="D1769" s="1069" t="s">
        <v>10371</v>
      </c>
      <c r="G1769" s="827"/>
      <c r="H1769" s="809" t="s">
        <v>10377</v>
      </c>
      <c r="I1769" s="92">
        <v>14</v>
      </c>
      <c r="J1769" s="92" t="s">
        <v>10</v>
      </c>
      <c r="K1769" s="92" t="s">
        <v>768</v>
      </c>
      <c r="L1769" s="810">
        <v>4</v>
      </c>
      <c r="M1769" s="811" t="str">
        <f t="shared" si="137"/>
        <v>High School Level</v>
      </c>
      <c r="P1769" s="1638"/>
      <c r="X1769" s="811" t="str">
        <f t="shared" si="135"/>
        <v/>
      </c>
      <c r="AB1769" s="940"/>
      <c r="AD1769" s="817" t="s">
        <v>10379</v>
      </c>
      <c r="AE1769" s="93" t="s">
        <v>10380</v>
      </c>
      <c r="AF1769" s="818">
        <v>1</v>
      </c>
      <c r="AG1769" s="807" t="str">
        <f t="shared" si="136"/>
        <v>Mental disabilities or PWD</v>
      </c>
      <c r="AJ1769" s="865"/>
    </row>
    <row r="1770" spans="1:36" ht="15">
      <c r="A1770" s="311" t="s">
        <v>12355</v>
      </c>
      <c r="D1770" s="1069" t="s">
        <v>10371</v>
      </c>
      <c r="G1770" s="827"/>
      <c r="H1770" s="809" t="s">
        <v>4272</v>
      </c>
      <c r="I1770" s="92">
        <v>64</v>
      </c>
      <c r="J1770" s="92" t="s">
        <v>10</v>
      </c>
      <c r="K1770" s="92" t="s">
        <v>707</v>
      </c>
      <c r="L1770" s="810">
        <v>4</v>
      </c>
      <c r="M1770" s="811" t="str">
        <f t="shared" si="137"/>
        <v>High School Level</v>
      </c>
      <c r="P1770" s="1638"/>
      <c r="X1770" s="811" t="str">
        <f t="shared" si="135"/>
        <v/>
      </c>
      <c r="AB1770" s="940"/>
      <c r="AG1770" s="807" t="str">
        <f t="shared" si="136"/>
        <v/>
      </c>
      <c r="AJ1770" s="865"/>
    </row>
    <row r="1771" spans="1:36" ht="15">
      <c r="A1771" s="311" t="s">
        <v>12355</v>
      </c>
      <c r="D1771" s="1069" t="s">
        <v>10371</v>
      </c>
      <c r="G1771" s="827"/>
      <c r="H1771" s="809" t="s">
        <v>10381</v>
      </c>
      <c r="I1771" s="92">
        <v>47</v>
      </c>
      <c r="J1771" s="92" t="s">
        <v>18</v>
      </c>
      <c r="K1771" s="92" t="s">
        <v>707</v>
      </c>
      <c r="L1771" s="810">
        <v>5</v>
      </c>
      <c r="M1771" s="811" t="str">
        <f t="shared" si="137"/>
        <v>High School Graduate</v>
      </c>
      <c r="P1771" s="1638"/>
      <c r="R1771" s="92" t="s">
        <v>8285</v>
      </c>
      <c r="S1771" s="813">
        <f>350*26</f>
        <v>9100</v>
      </c>
      <c r="X1771" s="811" t="str">
        <f t="shared" ref="X1771:X1821" si="138">IF(ISBLANK(W1771)=TRUE,"",LOOKUP(W1771,GO:GP))</f>
        <v/>
      </c>
      <c r="AB1771" s="940"/>
      <c r="AG1771" s="807" t="str">
        <f t="shared" si="136"/>
        <v/>
      </c>
      <c r="AJ1771" s="865"/>
    </row>
    <row r="1772" spans="1:36" ht="15">
      <c r="A1772" s="19" t="s">
        <v>7421</v>
      </c>
      <c r="B1772" s="752" t="s">
        <v>7410</v>
      </c>
      <c r="C1772" s="132" t="s">
        <v>4264</v>
      </c>
      <c r="D1772" s="1070" t="s">
        <v>10378</v>
      </c>
      <c r="G1772" s="745" t="s">
        <v>4264</v>
      </c>
      <c r="H1772" s="809" t="s">
        <v>10382</v>
      </c>
      <c r="I1772" s="92">
        <v>33</v>
      </c>
      <c r="J1772" s="92" t="s">
        <v>10</v>
      </c>
      <c r="K1772" s="92" t="s">
        <v>722</v>
      </c>
      <c r="L1772" s="810">
        <v>4</v>
      </c>
      <c r="M1772" s="811" t="str">
        <f t="shared" si="137"/>
        <v>High School Level</v>
      </c>
      <c r="N1772" s="92" t="s">
        <v>1208</v>
      </c>
      <c r="O1772" s="812" t="s">
        <v>2198</v>
      </c>
      <c r="P1772" s="1638"/>
      <c r="Q1772" s="812" t="s">
        <v>2198</v>
      </c>
      <c r="W1772" s="815">
        <v>3</v>
      </c>
      <c r="X1772" s="811" t="str">
        <f t="shared" si="138"/>
        <v>within the Province</v>
      </c>
      <c r="Y1772" s="816">
        <v>200</v>
      </c>
      <c r="AB1772" s="940"/>
      <c r="AG1772" s="807" t="str">
        <f t="shared" si="136"/>
        <v/>
      </c>
      <c r="AJ1772" s="865"/>
    </row>
    <row r="1773" spans="1:36" ht="15">
      <c r="A1773" s="19" t="s">
        <v>7421</v>
      </c>
      <c r="B1773" s="292"/>
      <c r="D1773" s="1070" t="s">
        <v>10378</v>
      </c>
      <c r="G1773" s="827"/>
      <c r="H1773" s="809" t="s">
        <v>10383</v>
      </c>
      <c r="I1773" s="92">
        <v>29</v>
      </c>
      <c r="J1773" s="92" t="s">
        <v>10</v>
      </c>
      <c r="K1773" s="92" t="s">
        <v>768</v>
      </c>
      <c r="L1773" s="810">
        <v>5</v>
      </c>
      <c r="M1773" s="811" t="str">
        <f t="shared" si="137"/>
        <v>High School Graduate</v>
      </c>
      <c r="P1773" s="1638"/>
      <c r="X1773" s="811" t="str">
        <f t="shared" si="138"/>
        <v/>
      </c>
      <c r="AB1773" s="940"/>
      <c r="AG1773" s="807" t="str">
        <f t="shared" si="136"/>
        <v/>
      </c>
      <c r="AJ1773" s="865"/>
    </row>
    <row r="1774" spans="1:36" ht="15">
      <c r="A1774" s="19" t="s">
        <v>7421</v>
      </c>
      <c r="B1774" s="292"/>
      <c r="D1774" s="1070" t="s">
        <v>10378</v>
      </c>
      <c r="G1774" s="827"/>
      <c r="H1774" s="809" t="s">
        <v>10384</v>
      </c>
      <c r="I1774" s="92">
        <v>17</v>
      </c>
      <c r="J1774" s="92" t="s">
        <v>10</v>
      </c>
      <c r="K1774" s="92" t="s">
        <v>768</v>
      </c>
      <c r="L1774" s="810">
        <v>4</v>
      </c>
      <c r="M1774" s="811" t="str">
        <f t="shared" si="137"/>
        <v>High School Level</v>
      </c>
      <c r="P1774" s="1638"/>
      <c r="V1774" s="814">
        <f>SUM(S1768:U1773)</f>
        <v>9100</v>
      </c>
      <c r="X1774" s="811" t="str">
        <f t="shared" si="138"/>
        <v/>
      </c>
      <c r="AB1774" s="940">
        <f>SUM(Y1769:AA1774)</f>
        <v>200</v>
      </c>
      <c r="AG1774" s="807" t="str">
        <f t="shared" si="136"/>
        <v/>
      </c>
      <c r="AJ1774" s="865"/>
    </row>
    <row r="1775" spans="1:36" ht="15">
      <c r="A1775" s="19" t="s">
        <v>7421</v>
      </c>
      <c r="B1775" s="292"/>
      <c r="D1775" s="1070" t="s">
        <v>10378</v>
      </c>
      <c r="G1775" s="827"/>
      <c r="H1775" s="809" t="s">
        <v>10385</v>
      </c>
      <c r="I1775" s="92">
        <v>16</v>
      </c>
      <c r="J1775" s="92" t="s">
        <v>10</v>
      </c>
      <c r="K1775" s="92" t="s">
        <v>768</v>
      </c>
      <c r="L1775" s="810">
        <v>4</v>
      </c>
      <c r="M1775" s="811" t="str">
        <f t="shared" si="137"/>
        <v>High School Level</v>
      </c>
      <c r="O1775" s="812" t="s">
        <v>10387</v>
      </c>
      <c r="P1775" s="1638"/>
      <c r="Q1775" s="812" t="s">
        <v>10387</v>
      </c>
      <c r="V1775" s="828"/>
      <c r="X1775" s="811" t="str">
        <f t="shared" si="138"/>
        <v/>
      </c>
      <c r="AB1775" s="950"/>
      <c r="AD1775" s="817" t="s">
        <v>10388</v>
      </c>
      <c r="AE1775" s="92"/>
      <c r="AF1775" s="810"/>
      <c r="AG1775" s="807" t="str">
        <f t="shared" si="136"/>
        <v/>
      </c>
      <c r="AJ1775" s="865"/>
    </row>
    <row r="1776" spans="1:36" ht="15">
      <c r="A1776" s="19" t="s">
        <v>7421</v>
      </c>
      <c r="B1776" s="292"/>
      <c r="D1776" s="1070" t="s">
        <v>10378</v>
      </c>
      <c r="G1776" s="827"/>
      <c r="H1776" s="809" t="s">
        <v>4274</v>
      </c>
      <c r="I1776" s="92">
        <v>70</v>
      </c>
      <c r="J1776" s="92" t="s">
        <v>10</v>
      </c>
      <c r="K1776" s="92" t="s">
        <v>707</v>
      </c>
      <c r="L1776" s="810">
        <v>5</v>
      </c>
      <c r="M1776" s="811" t="str">
        <f t="shared" si="137"/>
        <v>High School Graduate</v>
      </c>
      <c r="P1776" s="1638"/>
      <c r="S1776" s="813">
        <v>3000</v>
      </c>
      <c r="V1776" s="828"/>
      <c r="X1776" s="811" t="str">
        <f t="shared" si="138"/>
        <v/>
      </c>
      <c r="AB1776" s="950"/>
      <c r="AD1776" s="817" t="s">
        <v>10390</v>
      </c>
      <c r="AE1776" s="92"/>
      <c r="AF1776" s="810"/>
      <c r="AG1776" s="807" t="str">
        <f t="shared" si="136"/>
        <v/>
      </c>
      <c r="AJ1776" s="865"/>
    </row>
    <row r="1777" spans="1:117" ht="15">
      <c r="A1777" s="19" t="s">
        <v>7421</v>
      </c>
      <c r="B1777" s="292"/>
      <c r="D1777" s="1070" t="s">
        <v>10378</v>
      </c>
      <c r="G1777" s="827"/>
      <c r="H1777" s="809" t="s">
        <v>10389</v>
      </c>
      <c r="I1777" s="92">
        <v>69</v>
      </c>
      <c r="J1777" s="92" t="s">
        <v>18</v>
      </c>
      <c r="K1777" s="92" t="s">
        <v>707</v>
      </c>
      <c r="L1777" s="810">
        <v>7</v>
      </c>
      <c r="M1777" s="811" t="str">
        <f t="shared" si="137"/>
        <v>College Graduate or Higher</v>
      </c>
      <c r="N1777" s="92" t="s">
        <v>1208</v>
      </c>
      <c r="O1777" s="812" t="s">
        <v>10392</v>
      </c>
      <c r="P1777" s="1638"/>
      <c r="Q1777" s="812" t="s">
        <v>10392</v>
      </c>
      <c r="S1777" s="813" t="s">
        <v>2979</v>
      </c>
      <c r="U1777" s="813">
        <v>1000</v>
      </c>
      <c r="X1777" s="811" t="str">
        <f t="shared" si="138"/>
        <v/>
      </c>
      <c r="AD1777" s="817" t="s">
        <v>10393</v>
      </c>
      <c r="AG1777" s="807" t="str">
        <f t="shared" si="136"/>
        <v/>
      </c>
      <c r="AJ1777" s="865"/>
    </row>
    <row r="1778" spans="1:117" ht="15">
      <c r="D1778" s="1069" t="s">
        <v>10386</v>
      </c>
      <c r="G1778" s="846" t="s">
        <v>4273</v>
      </c>
      <c r="H1778" s="809" t="s">
        <v>3058</v>
      </c>
      <c r="I1778" s="92">
        <v>63</v>
      </c>
      <c r="J1778" s="92" t="s">
        <v>10</v>
      </c>
      <c r="K1778" s="92" t="s">
        <v>707</v>
      </c>
      <c r="L1778" s="810">
        <v>7</v>
      </c>
      <c r="M1778" s="811" t="str">
        <f t="shared" si="137"/>
        <v>College Graduate or Higher</v>
      </c>
      <c r="N1778" s="92" t="s">
        <v>1208</v>
      </c>
      <c r="O1778" s="812" t="s">
        <v>10395</v>
      </c>
      <c r="P1778" s="1638"/>
      <c r="Q1778" s="812" t="s">
        <v>10395</v>
      </c>
      <c r="R1778" s="92" t="s">
        <v>8234</v>
      </c>
      <c r="U1778" s="813">
        <v>15000</v>
      </c>
      <c r="V1778" s="814">
        <f>SUM(S1776:U1777)</f>
        <v>4000</v>
      </c>
      <c r="W1778" s="815">
        <v>3</v>
      </c>
      <c r="X1778" s="811" t="str">
        <f t="shared" si="138"/>
        <v>within the Province</v>
      </c>
      <c r="Y1778" s="816">
        <v>120</v>
      </c>
      <c r="AB1778" s="924">
        <f>SUM(Y1777:AA1778)</f>
        <v>120</v>
      </c>
      <c r="AD1778" s="817" t="s">
        <v>10396</v>
      </c>
      <c r="AG1778" s="807" t="str">
        <f t="shared" si="136"/>
        <v/>
      </c>
      <c r="AJ1778" s="865"/>
    </row>
    <row r="1779" spans="1:117" ht="15">
      <c r="D1779" s="1069"/>
      <c r="G1779" s="827"/>
      <c r="H1779" s="809" t="s">
        <v>10394</v>
      </c>
      <c r="I1779" s="92">
        <v>68</v>
      </c>
      <c r="J1779" s="92" t="s">
        <v>18</v>
      </c>
      <c r="K1779" s="92" t="s">
        <v>707</v>
      </c>
      <c r="L1779" s="810">
        <v>7</v>
      </c>
      <c r="M1779" s="811" t="str">
        <f t="shared" si="137"/>
        <v>College Graduate or Higher</v>
      </c>
      <c r="N1779" s="92" t="s">
        <v>1208</v>
      </c>
      <c r="O1779" s="812" t="s">
        <v>10398</v>
      </c>
      <c r="P1779" s="1638"/>
      <c r="Q1779" s="812" t="s">
        <v>10398</v>
      </c>
      <c r="V1779" s="828"/>
      <c r="W1779" s="815">
        <v>1</v>
      </c>
      <c r="X1779" s="811" t="str">
        <f t="shared" si="138"/>
        <v>within the Brgy</v>
      </c>
      <c r="AB1779" s="953"/>
      <c r="AD1779" s="817" t="s">
        <v>10399</v>
      </c>
      <c r="AG1779" s="807" t="str">
        <f t="shared" si="136"/>
        <v/>
      </c>
      <c r="AJ1779" s="865"/>
      <c r="CS1779" s="807">
        <v>1</v>
      </c>
    </row>
    <row r="1780" spans="1:117" ht="15">
      <c r="D1780" s="1069" t="s">
        <v>10391</v>
      </c>
      <c r="G1780" s="846" t="s">
        <v>3052</v>
      </c>
      <c r="H1780" s="809" t="s">
        <v>4320</v>
      </c>
      <c r="I1780" s="92">
        <v>63</v>
      </c>
      <c r="J1780" s="92" t="s">
        <v>18</v>
      </c>
      <c r="K1780" s="92" t="s">
        <v>707</v>
      </c>
      <c r="L1780" s="810">
        <v>2</v>
      </c>
      <c r="M1780" s="811" t="str">
        <f t="shared" si="137"/>
        <v>Elementary Level</v>
      </c>
      <c r="P1780" s="1638"/>
      <c r="V1780" s="828"/>
      <c r="X1780" s="811" t="str">
        <f t="shared" si="138"/>
        <v/>
      </c>
      <c r="AB1780" s="953"/>
      <c r="AG1780" s="807" t="str">
        <f t="shared" ref="AG1780:AG1807" si="139">IF(ISBLANK(AF1780)=TRUE,"",LOOKUP(AF1780,GS:GT))</f>
        <v/>
      </c>
      <c r="AJ1780" s="865"/>
    </row>
    <row r="1781" spans="1:117" ht="15">
      <c r="A1781" s="17"/>
      <c r="D1781" s="1069"/>
      <c r="G1781" s="827"/>
      <c r="H1781" s="809" t="s">
        <v>10400</v>
      </c>
      <c r="I1781" s="92">
        <v>51</v>
      </c>
      <c r="J1781" s="92" t="s">
        <v>10</v>
      </c>
      <c r="K1781" s="92" t="s">
        <v>707</v>
      </c>
      <c r="L1781" s="810">
        <v>4</v>
      </c>
      <c r="M1781" s="811" t="str">
        <f t="shared" si="137"/>
        <v>High School Level</v>
      </c>
      <c r="P1781" s="1638"/>
      <c r="V1781" s="828"/>
      <c r="X1781" s="811" t="str">
        <f t="shared" si="138"/>
        <v/>
      </c>
      <c r="AB1781" s="953"/>
      <c r="AG1781" s="807" t="str">
        <f t="shared" si="139"/>
        <v/>
      </c>
      <c r="AJ1781" s="865"/>
    </row>
    <row r="1782" spans="1:117" ht="15">
      <c r="A1782" s="807"/>
      <c r="C1782" s="807"/>
      <c r="D1782" s="1074" t="s">
        <v>10397</v>
      </c>
      <c r="G1782" s="809" t="s">
        <v>4309</v>
      </c>
      <c r="H1782" s="809" t="s">
        <v>10401</v>
      </c>
      <c r="I1782" s="92">
        <v>25</v>
      </c>
      <c r="J1782" s="92" t="s">
        <v>10</v>
      </c>
      <c r="K1782" s="92" t="s">
        <v>768</v>
      </c>
      <c r="L1782" s="810">
        <v>4</v>
      </c>
      <c r="M1782" s="811" t="str">
        <f t="shared" si="137"/>
        <v>High School Level</v>
      </c>
      <c r="P1782" s="1638"/>
      <c r="R1782" s="92" t="s">
        <v>8234</v>
      </c>
      <c r="U1782" s="813" t="s">
        <v>2979</v>
      </c>
      <c r="V1782" s="828">
        <f>SUM(S1778:U1781)</f>
        <v>15000</v>
      </c>
      <c r="X1782" s="811" t="str">
        <f t="shared" si="138"/>
        <v/>
      </c>
      <c r="AB1782" s="953">
        <f>SUM(Y1779:AA1782)</f>
        <v>0</v>
      </c>
      <c r="AG1782" s="807" t="str">
        <f t="shared" si="139"/>
        <v/>
      </c>
      <c r="AJ1782" s="865"/>
    </row>
    <row r="1783" spans="1:117" ht="15">
      <c r="A1783" s="807"/>
      <c r="C1783" s="807"/>
      <c r="D1783" s="1074"/>
      <c r="G1783" s="827"/>
      <c r="H1783" s="809" t="s">
        <v>10402</v>
      </c>
      <c r="I1783" s="92">
        <v>9</v>
      </c>
      <c r="J1783" s="92" t="s">
        <v>18</v>
      </c>
      <c r="K1783" s="92" t="s">
        <v>768</v>
      </c>
      <c r="L1783" s="810">
        <v>2</v>
      </c>
      <c r="M1783" s="811" t="str">
        <f t="shared" si="137"/>
        <v>Elementary Level</v>
      </c>
      <c r="N1783" s="92" t="s">
        <v>1208</v>
      </c>
      <c r="O1783" s="812" t="s">
        <v>10405</v>
      </c>
      <c r="P1783" s="1638"/>
      <c r="Q1783" s="812" t="s">
        <v>10405</v>
      </c>
      <c r="V1783" s="961"/>
      <c r="X1783" s="811" t="str">
        <f t="shared" si="138"/>
        <v/>
      </c>
      <c r="AB1783" s="962"/>
      <c r="AG1783" s="807" t="str">
        <f t="shared" si="139"/>
        <v/>
      </c>
      <c r="AJ1783" s="865"/>
    </row>
    <row r="1784" spans="1:117" ht="15">
      <c r="A1784" s="807"/>
      <c r="C1784" s="807"/>
      <c r="D1784" s="1074"/>
      <c r="G1784" s="827"/>
      <c r="H1784" s="809" t="s">
        <v>10404</v>
      </c>
      <c r="I1784" s="92">
        <v>55</v>
      </c>
      <c r="J1784" s="92" t="s">
        <v>18</v>
      </c>
      <c r="K1784" s="92" t="s">
        <v>707</v>
      </c>
      <c r="L1784" s="810">
        <v>9</v>
      </c>
      <c r="M1784" s="811" t="str">
        <f t="shared" si="137"/>
        <v>Vocational Graduate</v>
      </c>
      <c r="P1784" s="1638"/>
      <c r="V1784" s="961"/>
      <c r="X1784" s="811" t="str">
        <f t="shared" si="138"/>
        <v/>
      </c>
      <c r="AB1784" s="962"/>
      <c r="AG1784" s="807" t="str">
        <f t="shared" si="139"/>
        <v/>
      </c>
      <c r="AJ1784" s="865"/>
    </row>
    <row r="1785" spans="1:117" ht="15">
      <c r="A1785" s="807"/>
      <c r="C1785" s="807"/>
      <c r="D1785" s="1074"/>
      <c r="G1785" s="827"/>
      <c r="H1785" s="809" t="s">
        <v>10406</v>
      </c>
      <c r="I1785" s="92">
        <v>56</v>
      </c>
      <c r="J1785" s="92" t="s">
        <v>10</v>
      </c>
      <c r="K1785" s="92" t="s">
        <v>707</v>
      </c>
      <c r="L1785" s="810">
        <v>5</v>
      </c>
      <c r="M1785" s="811" t="str">
        <f t="shared" si="137"/>
        <v>High School Graduate</v>
      </c>
      <c r="P1785" s="1638"/>
      <c r="S1785" s="813" t="s">
        <v>10409</v>
      </c>
      <c r="V1785" s="961"/>
      <c r="X1785" s="811" t="str">
        <f t="shared" si="138"/>
        <v/>
      </c>
      <c r="AB1785" s="962"/>
      <c r="AG1785" s="807" t="str">
        <f t="shared" si="139"/>
        <v/>
      </c>
      <c r="AJ1785" s="865"/>
    </row>
    <row r="1786" spans="1:117" ht="15">
      <c r="A1786" s="807"/>
      <c r="C1786" s="807"/>
      <c r="D1786" s="1074" t="s">
        <v>10403</v>
      </c>
      <c r="G1786" s="809" t="s">
        <v>3059</v>
      </c>
      <c r="H1786" s="809" t="s">
        <v>10407</v>
      </c>
      <c r="I1786" s="92">
        <v>34</v>
      </c>
      <c r="J1786" s="92" t="s">
        <v>10</v>
      </c>
      <c r="K1786" s="92" t="s">
        <v>768</v>
      </c>
      <c r="L1786" s="810">
        <v>6</v>
      </c>
      <c r="M1786" s="92" t="str">
        <f t="shared" si="137"/>
        <v>College Level</v>
      </c>
      <c r="N1786" s="92" t="s">
        <v>1208</v>
      </c>
      <c r="O1786" s="812" t="s">
        <v>2210</v>
      </c>
      <c r="P1786" s="1638"/>
      <c r="Q1786" s="812" t="s">
        <v>2210</v>
      </c>
      <c r="R1786" s="92"/>
      <c r="V1786" s="961">
        <f>SUM(S1782:U1785)</f>
        <v>0</v>
      </c>
      <c r="W1786" s="815">
        <v>5</v>
      </c>
      <c r="X1786" s="811" t="str">
        <f t="shared" si="138"/>
        <v>Overseas Worker</v>
      </c>
      <c r="AB1786" s="962">
        <f>SUM(Y1783:AA1786)</f>
        <v>0</v>
      </c>
      <c r="AG1786" s="807" t="str">
        <f t="shared" si="139"/>
        <v/>
      </c>
      <c r="AJ1786" s="865"/>
    </row>
    <row r="1787" spans="1:117" ht="15">
      <c r="A1787" s="807"/>
      <c r="C1787" s="807"/>
      <c r="D1787" s="1074"/>
      <c r="G1787" s="827"/>
      <c r="H1787" s="809" t="s">
        <v>10408</v>
      </c>
      <c r="I1787" s="92">
        <v>36</v>
      </c>
      <c r="J1787" s="92" t="s">
        <v>18</v>
      </c>
      <c r="K1787" s="92" t="s">
        <v>768</v>
      </c>
      <c r="L1787" s="810">
        <v>6</v>
      </c>
      <c r="M1787" s="811" t="str">
        <f t="shared" si="137"/>
        <v>College Level</v>
      </c>
      <c r="P1787" s="1638"/>
      <c r="R1787" s="92" t="s">
        <v>8285</v>
      </c>
      <c r="T1787" s="813">
        <v>20000</v>
      </c>
      <c r="X1787" s="811" t="str">
        <f t="shared" si="138"/>
        <v/>
      </c>
      <c r="AB1787" s="940"/>
      <c r="AG1787" s="807" t="str">
        <f t="shared" si="139"/>
        <v/>
      </c>
      <c r="AJ1787" s="865"/>
    </row>
    <row r="1788" spans="1:117" ht="15">
      <c r="A1788" s="807"/>
      <c r="C1788" s="807"/>
      <c r="D1788" s="1074"/>
      <c r="G1788" s="827"/>
      <c r="H1788" s="809" t="s">
        <v>4338</v>
      </c>
      <c r="I1788" s="92">
        <v>51</v>
      </c>
      <c r="J1788" s="92" t="s">
        <v>18</v>
      </c>
      <c r="K1788" s="92" t="s">
        <v>722</v>
      </c>
      <c r="L1788" s="810">
        <v>5</v>
      </c>
      <c r="M1788" s="811" t="str">
        <f t="shared" si="137"/>
        <v>High School Graduate</v>
      </c>
      <c r="N1788" s="92" t="s">
        <v>1208</v>
      </c>
      <c r="O1788" s="812" t="s">
        <v>4339</v>
      </c>
      <c r="P1788" s="1638"/>
      <c r="Q1788" s="812" t="s">
        <v>4339</v>
      </c>
      <c r="S1788" s="813">
        <v>20000</v>
      </c>
      <c r="W1788" s="815">
        <v>3</v>
      </c>
      <c r="X1788" s="811" t="str">
        <f t="shared" si="138"/>
        <v>within the Province</v>
      </c>
      <c r="AB1788" s="940"/>
      <c r="AG1788" s="807" t="str">
        <f t="shared" si="139"/>
        <v/>
      </c>
      <c r="AJ1788" s="865"/>
    </row>
    <row r="1789" spans="1:117" ht="15">
      <c r="A1789" s="807"/>
      <c r="C1789" s="807"/>
      <c r="D1789" s="1074"/>
      <c r="G1789" s="827"/>
      <c r="H1789" s="809" t="s">
        <v>10411</v>
      </c>
      <c r="I1789" s="92">
        <v>26</v>
      </c>
      <c r="J1789" s="92" t="s">
        <v>10</v>
      </c>
      <c r="K1789" s="92" t="s">
        <v>768</v>
      </c>
      <c r="L1789" s="810">
        <v>6</v>
      </c>
      <c r="M1789" s="811" t="str">
        <f t="shared" si="137"/>
        <v>College Level</v>
      </c>
      <c r="N1789" s="92" t="s">
        <v>1208</v>
      </c>
      <c r="P1789" s="1638"/>
      <c r="R1789" s="92" t="s">
        <v>8234</v>
      </c>
      <c r="U1789" s="813">
        <v>4500</v>
      </c>
      <c r="V1789" s="814">
        <f>SUM(S1786:U1788)</f>
        <v>40000</v>
      </c>
      <c r="W1789" s="815">
        <v>3</v>
      </c>
      <c r="X1789" s="811" t="str">
        <f t="shared" si="138"/>
        <v>within the Province</v>
      </c>
      <c r="Y1789" s="816">
        <v>2000</v>
      </c>
      <c r="AB1789" s="940">
        <f>SUM(Y1787:AA1789)</f>
        <v>2000</v>
      </c>
      <c r="AG1789" s="807" t="str">
        <f t="shared" si="139"/>
        <v/>
      </c>
      <c r="AJ1789" s="865"/>
    </row>
    <row r="1790" spans="1:117" ht="15">
      <c r="A1790" s="343" t="s">
        <v>7419</v>
      </c>
      <c r="B1790" s="292" t="s">
        <v>7428</v>
      </c>
      <c r="C1790" s="149" t="s">
        <v>4329</v>
      </c>
      <c r="D1790" s="410" t="s">
        <v>10410</v>
      </c>
      <c r="E1790" s="1045" t="s">
        <v>4329</v>
      </c>
      <c r="F1790" s="1048" t="s">
        <v>4338</v>
      </c>
      <c r="G1790" s="745" t="s">
        <v>4329</v>
      </c>
      <c r="H1790" s="809" t="s">
        <v>10412</v>
      </c>
      <c r="I1790" s="92">
        <v>22</v>
      </c>
      <c r="J1790" s="92" t="s">
        <v>18</v>
      </c>
      <c r="K1790" s="92" t="s">
        <v>768</v>
      </c>
      <c r="L1790" s="810">
        <v>7</v>
      </c>
      <c r="M1790" s="811" t="str">
        <f t="shared" si="137"/>
        <v>College Graduate or Higher</v>
      </c>
      <c r="N1790" s="92" t="s">
        <v>1208</v>
      </c>
      <c r="O1790" s="812" t="s">
        <v>4362</v>
      </c>
      <c r="P1790" s="1638" t="s">
        <v>12615</v>
      </c>
      <c r="Q1790" s="812" t="s">
        <v>4362</v>
      </c>
      <c r="R1790" s="92" t="s">
        <v>8234</v>
      </c>
      <c r="U1790" s="813">
        <v>7000</v>
      </c>
      <c r="V1790" s="828">
        <f>SUM(S1789:U1789)</f>
        <v>4500</v>
      </c>
      <c r="W1790" s="815">
        <v>3</v>
      </c>
      <c r="X1790" s="811" t="str">
        <f t="shared" si="138"/>
        <v>within the Province</v>
      </c>
      <c r="AB1790" s="953">
        <f>SUM(Y1790:AA1790)</f>
        <v>0</v>
      </c>
      <c r="AG1790" s="807" t="str">
        <f t="shared" si="139"/>
        <v/>
      </c>
      <c r="AJ1790" s="865"/>
      <c r="AQ1790" s="807">
        <v>1</v>
      </c>
      <c r="CS1790" s="807">
        <v>1</v>
      </c>
    </row>
    <row r="1791" spans="1:117" ht="15">
      <c r="A1791" s="807"/>
      <c r="C1791" s="807"/>
      <c r="D1791" s="1074"/>
      <c r="E1791" s="1045" t="s">
        <v>4329</v>
      </c>
      <c r="F1791" s="807"/>
      <c r="G1791" s="827"/>
      <c r="H1791" s="809" t="s">
        <v>4361</v>
      </c>
      <c r="I1791" s="92">
        <v>41</v>
      </c>
      <c r="J1791" s="92" t="s">
        <v>10</v>
      </c>
      <c r="K1791" s="92" t="s">
        <v>768</v>
      </c>
      <c r="L1791" s="810">
        <v>3</v>
      </c>
      <c r="M1791" s="811" t="str">
        <f t="shared" si="137"/>
        <v>Elementary Graduate</v>
      </c>
      <c r="N1791" s="92" t="s">
        <v>1208</v>
      </c>
      <c r="O1791" s="812" t="s">
        <v>2220</v>
      </c>
      <c r="P1791" s="1638" t="s">
        <v>12605</v>
      </c>
      <c r="Q1791" s="812" t="s">
        <v>2220</v>
      </c>
      <c r="V1791" s="961"/>
      <c r="W1791" s="815">
        <v>2</v>
      </c>
      <c r="X1791" s="811" t="str">
        <f t="shared" si="138"/>
        <v>within the Municipality/City</v>
      </c>
      <c r="AB1791" s="962"/>
      <c r="AG1791" s="807" t="str">
        <f t="shared" si="139"/>
        <v/>
      </c>
      <c r="AJ1791" s="865"/>
      <c r="CS1791" s="807">
        <v>1</v>
      </c>
      <c r="CZ1791" s="807" t="s">
        <v>2145</v>
      </c>
      <c r="DM1791" s="807">
        <v>3</v>
      </c>
    </row>
    <row r="1792" spans="1:117" ht="15">
      <c r="A1792" s="807"/>
      <c r="C1792" s="807"/>
      <c r="D1792" s="1074"/>
      <c r="E1792" s="1045" t="s">
        <v>4329</v>
      </c>
      <c r="F1792" s="807"/>
      <c r="G1792" s="827"/>
      <c r="H1792" s="809" t="s">
        <v>4463</v>
      </c>
      <c r="I1792" s="92">
        <v>50</v>
      </c>
      <c r="J1792" s="92" t="s">
        <v>10</v>
      </c>
      <c r="K1792" s="92" t="s">
        <v>707</v>
      </c>
      <c r="L1792" s="810">
        <v>2</v>
      </c>
      <c r="M1792" s="811" t="str">
        <f t="shared" si="137"/>
        <v>Elementary Level</v>
      </c>
      <c r="P1792" s="1638"/>
      <c r="V1792" s="961"/>
      <c r="X1792" s="811" t="str">
        <f t="shared" si="138"/>
        <v/>
      </c>
      <c r="AB1792" s="962"/>
      <c r="AG1792" s="807" t="str">
        <f t="shared" si="139"/>
        <v/>
      </c>
      <c r="AJ1792" s="865"/>
    </row>
    <row r="1793" spans="1:36" ht="15">
      <c r="A1793" s="19" t="s">
        <v>7421</v>
      </c>
      <c r="B1793" s="292" t="s">
        <v>7996</v>
      </c>
      <c r="C1793" s="149" t="s">
        <v>4347</v>
      </c>
      <c r="D1793" s="410" t="s">
        <v>10413</v>
      </c>
      <c r="E1793" s="1045" t="s">
        <v>4347</v>
      </c>
      <c r="F1793" s="1048" t="s">
        <v>4361</v>
      </c>
      <c r="G1793" s="809" t="s">
        <v>4347</v>
      </c>
      <c r="H1793" s="809" t="s">
        <v>4464</v>
      </c>
      <c r="I1793" s="92">
        <v>51</v>
      </c>
      <c r="J1793" s="92" t="s">
        <v>18</v>
      </c>
      <c r="K1793" s="92" t="s">
        <v>707</v>
      </c>
      <c r="L1793" s="810">
        <v>5</v>
      </c>
      <c r="M1793" s="811" t="str">
        <f t="shared" si="137"/>
        <v>High School Graduate</v>
      </c>
      <c r="P1793" s="1638"/>
      <c r="V1793" s="961"/>
      <c r="X1793" s="811" t="str">
        <f t="shared" si="138"/>
        <v/>
      </c>
      <c r="AB1793" s="962"/>
      <c r="AG1793" s="807" t="str">
        <f t="shared" si="139"/>
        <v/>
      </c>
      <c r="AJ1793" s="865"/>
    </row>
    <row r="1794" spans="1:36" ht="15">
      <c r="A1794" s="19" t="s">
        <v>7421</v>
      </c>
      <c r="B1794" s="292" t="s">
        <v>8007</v>
      </c>
      <c r="C1794" s="149" t="s">
        <v>4452</v>
      </c>
      <c r="D1794" s="410" t="s">
        <v>10414</v>
      </c>
      <c r="E1794" s="1045" t="s">
        <v>4452</v>
      </c>
      <c r="F1794" s="1048" t="s">
        <v>4463</v>
      </c>
      <c r="G1794" s="809" t="s">
        <v>4452</v>
      </c>
      <c r="H1794" s="809" t="s">
        <v>10415</v>
      </c>
      <c r="I1794" s="92">
        <v>21</v>
      </c>
      <c r="J1794" s="92" t="s">
        <v>10</v>
      </c>
      <c r="K1794" s="92" t="s">
        <v>768</v>
      </c>
      <c r="L1794" s="810">
        <v>6</v>
      </c>
      <c r="M1794" s="811" t="str">
        <f t="shared" si="137"/>
        <v>College Level</v>
      </c>
      <c r="P1794" s="1638"/>
      <c r="V1794" s="961"/>
      <c r="X1794" s="811" t="str">
        <f t="shared" si="138"/>
        <v/>
      </c>
      <c r="AB1794" s="962"/>
      <c r="AG1794" s="807" t="str">
        <f t="shared" si="139"/>
        <v/>
      </c>
      <c r="AJ1794" s="865"/>
    </row>
    <row r="1795" spans="1:36" ht="15">
      <c r="A1795" s="807"/>
      <c r="C1795" s="807"/>
      <c r="D1795" s="410"/>
      <c r="E1795" s="1045" t="s">
        <v>4452</v>
      </c>
      <c r="F1795" s="807"/>
      <c r="G1795" s="827"/>
      <c r="H1795" s="809" t="s">
        <v>10416</v>
      </c>
      <c r="I1795" s="92">
        <v>18</v>
      </c>
      <c r="J1795" s="92" t="s">
        <v>10</v>
      </c>
      <c r="K1795" s="92" t="s">
        <v>768</v>
      </c>
      <c r="L1795" s="810">
        <v>5</v>
      </c>
      <c r="M1795" s="811" t="str">
        <f t="shared" si="137"/>
        <v>High School Graduate</v>
      </c>
      <c r="P1795" s="1638"/>
      <c r="R1795" s="92" t="s">
        <v>8234</v>
      </c>
      <c r="U1795" s="813">
        <v>6000</v>
      </c>
      <c r="V1795" s="961">
        <f>SUM(S1790:U1794)</f>
        <v>7000</v>
      </c>
      <c r="X1795" s="811" t="str">
        <f t="shared" si="138"/>
        <v/>
      </c>
      <c r="AB1795" s="962">
        <f>SUM(Y1791:AA1795)</f>
        <v>0</v>
      </c>
      <c r="AG1795" s="807" t="str">
        <f t="shared" si="139"/>
        <v/>
      </c>
      <c r="AJ1795" s="865"/>
    </row>
    <row r="1796" spans="1:36" ht="15">
      <c r="A1796" s="807"/>
      <c r="C1796" s="807"/>
      <c r="D1796" s="410"/>
      <c r="E1796" s="1045" t="s">
        <v>4452</v>
      </c>
      <c r="F1796" s="807"/>
      <c r="G1796" s="827"/>
      <c r="H1796" s="809" t="s">
        <v>10417</v>
      </c>
      <c r="I1796" s="92">
        <v>4</v>
      </c>
      <c r="J1796" s="92" t="s">
        <v>18</v>
      </c>
      <c r="K1796" s="92" t="s">
        <v>768</v>
      </c>
      <c r="L1796" s="810">
        <v>1</v>
      </c>
      <c r="M1796" s="811" t="str">
        <f t="shared" si="137"/>
        <v>Pre-school</v>
      </c>
      <c r="N1796" s="92" t="s">
        <v>1208</v>
      </c>
      <c r="O1796" s="812" t="s">
        <v>2968</v>
      </c>
      <c r="P1796" s="1638" t="s">
        <v>12615</v>
      </c>
      <c r="Q1796" s="812" t="s">
        <v>2968</v>
      </c>
      <c r="W1796" s="815">
        <v>2</v>
      </c>
      <c r="X1796" s="811" t="str">
        <f t="shared" si="138"/>
        <v>within the Municipality/City</v>
      </c>
      <c r="AA1796" s="816">
        <v>240</v>
      </c>
      <c r="AB1796" s="940"/>
      <c r="AG1796" s="807" t="str">
        <f t="shared" si="139"/>
        <v/>
      </c>
      <c r="AJ1796" s="865"/>
    </row>
    <row r="1797" spans="1:36" ht="15">
      <c r="A1797" s="807"/>
      <c r="C1797" s="807"/>
      <c r="D1797" s="410"/>
      <c r="E1797" s="1045" t="s">
        <v>4452</v>
      </c>
      <c r="F1797" s="807"/>
      <c r="G1797" s="827"/>
      <c r="H1797" s="809" t="s">
        <v>4466</v>
      </c>
      <c r="I1797" s="92">
        <v>52</v>
      </c>
      <c r="J1797" s="92" t="s">
        <v>10</v>
      </c>
      <c r="K1797" s="92" t="s">
        <v>707</v>
      </c>
      <c r="L1797" s="810">
        <v>4</v>
      </c>
      <c r="M1797" s="811" t="str">
        <f t="shared" si="137"/>
        <v>High School Level</v>
      </c>
      <c r="P1797" s="1638"/>
      <c r="U1797" s="813">
        <v>6000</v>
      </c>
      <c r="X1797" s="811" t="str">
        <f t="shared" si="138"/>
        <v/>
      </c>
      <c r="AB1797" s="940"/>
      <c r="AG1797" s="807" t="str">
        <f t="shared" si="139"/>
        <v/>
      </c>
      <c r="AJ1797" s="865"/>
    </row>
    <row r="1798" spans="1:36" ht="15">
      <c r="A1798" s="807"/>
      <c r="C1798" s="807"/>
      <c r="D1798" s="410"/>
      <c r="E1798" s="1045" t="s">
        <v>4452</v>
      </c>
      <c r="F1798" s="807"/>
      <c r="G1798" s="827"/>
      <c r="H1798" s="809" t="s">
        <v>4467</v>
      </c>
      <c r="I1798" s="92">
        <v>51</v>
      </c>
      <c r="J1798" s="92" t="s">
        <v>18</v>
      </c>
      <c r="K1798" s="92" t="s">
        <v>707</v>
      </c>
      <c r="L1798" s="810">
        <v>4</v>
      </c>
      <c r="M1798" s="811" t="str">
        <f t="shared" si="137"/>
        <v>High School Level</v>
      </c>
      <c r="N1798" s="92" t="s">
        <v>1208</v>
      </c>
      <c r="O1798" s="812" t="s">
        <v>2968</v>
      </c>
      <c r="P1798" s="1638"/>
      <c r="Q1798" s="812" t="s">
        <v>2968</v>
      </c>
      <c r="W1798" s="815">
        <v>1</v>
      </c>
      <c r="X1798" s="811" t="str">
        <f t="shared" si="138"/>
        <v>within the Brgy</v>
      </c>
      <c r="AB1798" s="940"/>
      <c r="AG1798" s="807" t="str">
        <f t="shared" si="139"/>
        <v/>
      </c>
      <c r="AJ1798" s="865"/>
    </row>
    <row r="1799" spans="1:36" ht="15">
      <c r="A1799" s="19" t="s">
        <v>7421</v>
      </c>
      <c r="B1799" s="292" t="s">
        <v>8008</v>
      </c>
      <c r="C1799" s="149" t="s">
        <v>4465</v>
      </c>
      <c r="D1799" s="410" t="s">
        <v>10418</v>
      </c>
      <c r="E1799" s="1045" t="s">
        <v>4465</v>
      </c>
      <c r="F1799" s="1048" t="s">
        <v>4466</v>
      </c>
      <c r="G1799" s="809" t="s">
        <v>4465</v>
      </c>
      <c r="H1799" s="809" t="s">
        <v>10419</v>
      </c>
      <c r="I1799" s="92">
        <v>50</v>
      </c>
      <c r="J1799" s="92" t="s">
        <v>10</v>
      </c>
      <c r="K1799" s="92" t="s">
        <v>768</v>
      </c>
      <c r="L1799" s="810">
        <v>0</v>
      </c>
      <c r="M1799" s="811" t="str">
        <f t="shared" si="137"/>
        <v>No Schooling</v>
      </c>
      <c r="P1799" s="1638"/>
      <c r="X1799" s="811" t="str">
        <f t="shared" si="138"/>
        <v/>
      </c>
      <c r="AB1799" s="940"/>
      <c r="AG1799" s="807" t="str">
        <f t="shared" si="139"/>
        <v/>
      </c>
      <c r="AJ1799" s="865"/>
    </row>
    <row r="1800" spans="1:36" ht="15">
      <c r="A1800" s="807"/>
      <c r="C1800" s="807"/>
      <c r="D1800" s="410"/>
      <c r="E1800" s="1045" t="s">
        <v>4465</v>
      </c>
      <c r="F1800" s="807"/>
      <c r="G1800" s="827"/>
      <c r="H1800" s="809" t="s">
        <v>10420</v>
      </c>
      <c r="I1800" s="92">
        <v>11</v>
      </c>
      <c r="J1800" s="92" t="s">
        <v>18</v>
      </c>
      <c r="K1800" s="92" t="s">
        <v>768</v>
      </c>
      <c r="L1800" s="810">
        <v>2</v>
      </c>
      <c r="M1800" s="811" t="str">
        <f t="shared" si="137"/>
        <v>Elementary Level</v>
      </c>
      <c r="P1800" s="1638"/>
      <c r="R1800" s="92" t="s">
        <v>8234</v>
      </c>
      <c r="U1800" s="813">
        <v>18000</v>
      </c>
      <c r="V1800" s="814">
        <f>SUM(S1795:U1799)</f>
        <v>12000</v>
      </c>
      <c r="X1800" s="811" t="str">
        <f t="shared" si="138"/>
        <v/>
      </c>
      <c r="AB1800" s="940">
        <f>SUM(Y1796:AA1800)</f>
        <v>240</v>
      </c>
      <c r="AG1800" s="807" t="str">
        <f t="shared" si="139"/>
        <v/>
      </c>
      <c r="AJ1800" s="865"/>
    </row>
    <row r="1801" spans="1:36" ht="15">
      <c r="A1801" s="807"/>
      <c r="C1801" s="807"/>
      <c r="D1801" s="410"/>
      <c r="E1801" s="1045" t="s">
        <v>4465</v>
      </c>
      <c r="F1801" s="807"/>
      <c r="G1801" s="827"/>
      <c r="H1801" s="809" t="s">
        <v>10421</v>
      </c>
      <c r="I1801" s="92">
        <v>7</v>
      </c>
      <c r="J1801" s="92" t="s">
        <v>10</v>
      </c>
      <c r="K1801" s="92" t="s">
        <v>722</v>
      </c>
      <c r="L1801" s="810">
        <v>2</v>
      </c>
      <c r="M1801" s="811" t="str">
        <f t="shared" si="137"/>
        <v>Elementary Level</v>
      </c>
      <c r="N1801" s="92" t="s">
        <v>1208</v>
      </c>
      <c r="O1801" s="812" t="s">
        <v>2968</v>
      </c>
      <c r="P1801" s="1638" t="s">
        <v>12615</v>
      </c>
      <c r="Q1801" s="812" t="s">
        <v>2968</v>
      </c>
      <c r="U1801" s="813">
        <f>SUM(9000,7500)</f>
        <v>16500</v>
      </c>
      <c r="V1801" s="828"/>
      <c r="W1801" s="815">
        <v>1</v>
      </c>
      <c r="X1801" s="811" t="str">
        <f t="shared" si="138"/>
        <v>within the Brgy</v>
      </c>
      <c r="AB1801" s="953"/>
      <c r="AG1801" s="807" t="str">
        <f t="shared" si="139"/>
        <v/>
      </c>
      <c r="AJ1801" s="865"/>
    </row>
    <row r="1802" spans="1:36" ht="15">
      <c r="A1802" s="807"/>
      <c r="C1802" s="807"/>
      <c r="D1802" s="410"/>
      <c r="E1802" s="1045" t="s">
        <v>4465</v>
      </c>
      <c r="F1802" s="807"/>
      <c r="G1802" s="827"/>
      <c r="H1802" s="809" t="s">
        <v>4496</v>
      </c>
      <c r="I1802" s="92">
        <v>36</v>
      </c>
      <c r="J1802" s="92" t="s">
        <v>18</v>
      </c>
      <c r="K1802" s="92" t="s">
        <v>722</v>
      </c>
      <c r="L1802" s="810">
        <v>4</v>
      </c>
      <c r="M1802" s="811" t="str">
        <f t="shared" si="137"/>
        <v>High School Level</v>
      </c>
      <c r="N1802" s="92" t="s">
        <v>1208</v>
      </c>
      <c r="O1802" s="812" t="s">
        <v>4497</v>
      </c>
      <c r="P1802" s="1638"/>
      <c r="Q1802" s="812" t="s">
        <v>4497</v>
      </c>
      <c r="V1802" s="828"/>
      <c r="W1802" s="815">
        <v>1</v>
      </c>
      <c r="X1802" s="811" t="str">
        <f t="shared" si="138"/>
        <v>within the Brgy</v>
      </c>
      <c r="AB1802" s="953"/>
      <c r="AG1802" s="807" t="str">
        <f t="shared" si="139"/>
        <v/>
      </c>
      <c r="AJ1802" s="865"/>
    </row>
    <row r="1803" spans="1:36" ht="15">
      <c r="A1803" s="807"/>
      <c r="C1803" s="807"/>
      <c r="D1803" s="410"/>
      <c r="E1803" s="1045" t="s">
        <v>4465</v>
      </c>
      <c r="F1803" s="807"/>
      <c r="G1803" s="827"/>
      <c r="H1803" s="809" t="s">
        <v>10423</v>
      </c>
      <c r="I1803" s="92">
        <v>45</v>
      </c>
      <c r="J1803" s="92" t="s">
        <v>10</v>
      </c>
      <c r="K1803" s="92" t="s">
        <v>722</v>
      </c>
      <c r="L1803" s="810">
        <v>5</v>
      </c>
      <c r="M1803" s="811" t="str">
        <f t="shared" si="137"/>
        <v>High School Graduate</v>
      </c>
      <c r="P1803" s="1638"/>
      <c r="V1803" s="828"/>
      <c r="X1803" s="811" t="str">
        <f t="shared" si="138"/>
        <v/>
      </c>
      <c r="AB1803" s="953"/>
      <c r="AG1803" s="807" t="str">
        <f t="shared" si="139"/>
        <v/>
      </c>
      <c r="AJ1803" s="865"/>
    </row>
    <row r="1804" spans="1:36" ht="15">
      <c r="A1804" s="19" t="s">
        <v>1101</v>
      </c>
      <c r="B1804" s="292" t="s">
        <v>8012</v>
      </c>
      <c r="C1804" s="149" t="s">
        <v>4488</v>
      </c>
      <c r="D1804" s="410" t="s">
        <v>10422</v>
      </c>
      <c r="E1804" s="1045" t="s">
        <v>4488</v>
      </c>
      <c r="F1804" s="1048" t="s">
        <v>4496</v>
      </c>
      <c r="G1804" s="809" t="s">
        <v>4488</v>
      </c>
      <c r="H1804" s="809" t="s">
        <v>10424</v>
      </c>
      <c r="I1804" s="92">
        <v>16</v>
      </c>
      <c r="J1804" s="92" t="s">
        <v>18</v>
      </c>
      <c r="K1804" s="92" t="s">
        <v>768</v>
      </c>
      <c r="L1804" s="810">
        <v>4</v>
      </c>
      <c r="M1804" s="811" t="str">
        <f t="shared" si="137"/>
        <v>High School Level</v>
      </c>
      <c r="P1804" s="1638"/>
      <c r="V1804" s="828"/>
      <c r="X1804" s="811" t="str">
        <f t="shared" si="138"/>
        <v/>
      </c>
      <c r="AB1804" s="953"/>
      <c r="AG1804" s="807" t="str">
        <f t="shared" si="139"/>
        <v/>
      </c>
      <c r="AJ1804" s="865"/>
    </row>
    <row r="1805" spans="1:36" ht="15">
      <c r="A1805" s="807"/>
      <c r="C1805" s="807"/>
      <c r="D1805" s="410"/>
      <c r="E1805" s="1045" t="s">
        <v>4488</v>
      </c>
      <c r="F1805" s="807"/>
      <c r="G1805" s="827"/>
      <c r="H1805" s="809" t="s">
        <v>10425</v>
      </c>
      <c r="I1805" s="92">
        <v>15</v>
      </c>
      <c r="J1805" s="92" t="s">
        <v>10</v>
      </c>
      <c r="K1805" s="92" t="s">
        <v>768</v>
      </c>
      <c r="L1805" s="810">
        <v>3</v>
      </c>
      <c r="M1805" s="811" t="str">
        <f t="shared" si="137"/>
        <v>Elementary Graduate</v>
      </c>
      <c r="P1805" s="1638"/>
      <c r="V1805" s="828"/>
      <c r="X1805" s="811" t="str">
        <f t="shared" si="138"/>
        <v/>
      </c>
      <c r="AB1805" s="953"/>
      <c r="AG1805" s="807" t="str">
        <f t="shared" si="139"/>
        <v/>
      </c>
      <c r="AJ1805" s="865"/>
    </row>
    <row r="1806" spans="1:36" ht="15">
      <c r="A1806" s="807"/>
      <c r="C1806" s="807"/>
      <c r="D1806" s="410"/>
      <c r="E1806" s="1045" t="s">
        <v>4488</v>
      </c>
      <c r="F1806" s="807"/>
      <c r="G1806" s="827"/>
      <c r="H1806" s="809" t="s">
        <v>11289</v>
      </c>
      <c r="I1806" s="92">
        <v>12</v>
      </c>
      <c r="J1806" s="92" t="s">
        <v>10</v>
      </c>
      <c r="K1806" s="92" t="s">
        <v>768</v>
      </c>
      <c r="L1806" s="810">
        <v>4</v>
      </c>
      <c r="M1806" s="811" t="str">
        <f t="shared" si="137"/>
        <v>High School Level</v>
      </c>
      <c r="P1806" s="1638"/>
      <c r="V1806" s="828"/>
      <c r="X1806" s="811" t="str">
        <f t="shared" si="138"/>
        <v/>
      </c>
      <c r="AB1806" s="953"/>
      <c r="AG1806" s="807" t="str">
        <f t="shared" si="139"/>
        <v/>
      </c>
      <c r="AJ1806" s="865"/>
    </row>
    <row r="1807" spans="1:36" ht="15">
      <c r="A1807" s="807"/>
      <c r="C1807" s="807"/>
      <c r="D1807" s="410"/>
      <c r="E1807" s="1045" t="s">
        <v>4488</v>
      </c>
      <c r="F1807" s="807"/>
      <c r="G1807" s="827"/>
      <c r="H1807" s="809" t="s">
        <v>10426</v>
      </c>
      <c r="I1807" s="92">
        <v>11</v>
      </c>
      <c r="J1807" s="92" t="s">
        <v>18</v>
      </c>
      <c r="K1807" s="92" t="s">
        <v>768</v>
      </c>
      <c r="L1807" s="810">
        <v>4</v>
      </c>
      <c r="M1807" s="811" t="str">
        <f t="shared" si="137"/>
        <v>High School Level</v>
      </c>
      <c r="P1807" s="1638"/>
      <c r="R1807" s="92" t="s">
        <v>8234</v>
      </c>
      <c r="S1807" s="813">
        <v>15000</v>
      </c>
      <c r="V1807" s="828">
        <f>SUM(S1800:U1806)</f>
        <v>34500</v>
      </c>
      <c r="X1807" s="811" t="str">
        <f t="shared" si="138"/>
        <v/>
      </c>
      <c r="AB1807" s="953">
        <f>SUM(Y1801:AA1807)</f>
        <v>0</v>
      </c>
      <c r="AG1807" s="807" t="str">
        <f t="shared" si="139"/>
        <v/>
      </c>
      <c r="AJ1807" s="865"/>
    </row>
    <row r="1808" spans="1:36" ht="15">
      <c r="A1808" s="807"/>
      <c r="C1808" s="807"/>
      <c r="D1808" s="410"/>
      <c r="E1808" s="1045" t="s">
        <v>4488</v>
      </c>
      <c r="F1808" s="807"/>
      <c r="G1808" s="827"/>
      <c r="H1808" s="809" t="s">
        <v>10427</v>
      </c>
      <c r="I1808" s="92">
        <v>5</v>
      </c>
      <c r="J1808" s="92" t="s">
        <v>18</v>
      </c>
      <c r="K1808" s="92" t="s">
        <v>768</v>
      </c>
      <c r="L1808" s="810">
        <v>1</v>
      </c>
      <c r="M1808" s="811" t="str">
        <f t="shared" si="137"/>
        <v>Pre-school</v>
      </c>
      <c r="N1808" s="92" t="s">
        <v>1208</v>
      </c>
      <c r="O1808" s="812" t="s">
        <v>2212</v>
      </c>
      <c r="P1808" s="1638" t="s">
        <v>12607</v>
      </c>
      <c r="Q1808" s="812" t="s">
        <v>2212</v>
      </c>
      <c r="R1808" s="812" t="s">
        <v>20</v>
      </c>
      <c r="S1808" s="813">
        <v>4000</v>
      </c>
      <c r="V1808" s="873"/>
      <c r="W1808" s="815">
        <v>5</v>
      </c>
      <c r="X1808" s="811" t="str">
        <f t="shared" si="138"/>
        <v>Overseas Worker</v>
      </c>
      <c r="AB1808" s="873"/>
      <c r="AG1808" s="807"/>
      <c r="AJ1808" s="865"/>
    </row>
    <row r="1809" spans="1:36" ht="15">
      <c r="A1809" s="807"/>
      <c r="C1809" s="807"/>
      <c r="D1809" s="410"/>
      <c r="E1809" s="1045" t="s">
        <v>4488</v>
      </c>
      <c r="F1809" s="807"/>
      <c r="G1809" s="827"/>
      <c r="H1809" s="809" t="s">
        <v>11272</v>
      </c>
      <c r="I1809" s="92">
        <v>47</v>
      </c>
      <c r="J1809" s="92" t="s">
        <v>10</v>
      </c>
      <c r="K1809" s="92" t="s">
        <v>707</v>
      </c>
      <c r="L1809" s="810">
        <v>7</v>
      </c>
      <c r="M1809" s="811" t="str">
        <f t="shared" si="137"/>
        <v>College Graduate or Higher</v>
      </c>
      <c r="N1809" s="92" t="s">
        <v>1208</v>
      </c>
      <c r="O1809" s="812" t="s">
        <v>1898</v>
      </c>
      <c r="P1809" s="1638"/>
      <c r="Q1809" s="812" t="s">
        <v>1898</v>
      </c>
      <c r="R1809" s="812" t="s">
        <v>8285</v>
      </c>
      <c r="S1809" s="813">
        <v>20000</v>
      </c>
      <c r="V1809" s="873"/>
      <c r="W1809" s="815">
        <v>1</v>
      </c>
      <c r="X1809" s="811" t="str">
        <f t="shared" si="138"/>
        <v>within the Brgy</v>
      </c>
      <c r="AB1809" s="873"/>
      <c r="AG1809" s="807"/>
      <c r="AJ1809" s="865"/>
    </row>
    <row r="1810" spans="1:36" ht="15">
      <c r="A1810" s="807"/>
      <c r="C1810" s="807"/>
      <c r="D1810" s="410"/>
      <c r="E1810" s="1045" t="s">
        <v>4488</v>
      </c>
      <c r="F1810" s="807"/>
      <c r="G1810" s="827"/>
      <c r="H1810" s="809" t="s">
        <v>11290</v>
      </c>
      <c r="I1810" s="92">
        <v>44</v>
      </c>
      <c r="J1810" s="92" t="s">
        <v>18</v>
      </c>
      <c r="K1810" s="92" t="s">
        <v>707</v>
      </c>
      <c r="L1810" s="810">
        <v>6</v>
      </c>
      <c r="M1810" s="811" t="str">
        <f t="shared" si="137"/>
        <v>College Level</v>
      </c>
      <c r="N1810" s="92" t="s">
        <v>1208</v>
      </c>
      <c r="O1810" s="812" t="s">
        <v>11301</v>
      </c>
      <c r="P1810" s="1638"/>
      <c r="Q1810" s="812" t="s">
        <v>11301</v>
      </c>
      <c r="R1810" s="812" t="s">
        <v>8285</v>
      </c>
      <c r="S1810" s="813">
        <v>11000</v>
      </c>
      <c r="V1810" s="873"/>
      <c r="W1810" s="815">
        <v>2</v>
      </c>
      <c r="X1810" s="811" t="str">
        <f t="shared" si="138"/>
        <v>within the Municipality/City</v>
      </c>
      <c r="Y1810" s="816">
        <v>2000</v>
      </c>
      <c r="AB1810" s="873"/>
      <c r="AG1810" s="807"/>
      <c r="AJ1810" s="865"/>
    </row>
    <row r="1811" spans="1:36" ht="15">
      <c r="A1811" s="19" t="s">
        <v>7421</v>
      </c>
      <c r="B1811" s="292" t="s">
        <v>7432</v>
      </c>
      <c r="C1811" s="149" t="s">
        <v>4510</v>
      </c>
      <c r="D1811" s="410" t="s">
        <v>7432</v>
      </c>
      <c r="E1811" s="1045" t="s">
        <v>4510</v>
      </c>
      <c r="F1811" s="1048" t="s">
        <v>11272</v>
      </c>
      <c r="G1811" s="846" t="s">
        <v>4510</v>
      </c>
      <c r="H1811" s="809" t="s">
        <v>11291</v>
      </c>
      <c r="I1811" s="92">
        <v>26</v>
      </c>
      <c r="J1811" s="92" t="s">
        <v>18</v>
      </c>
      <c r="K1811" s="92" t="s">
        <v>722</v>
      </c>
      <c r="L1811" s="810">
        <v>6</v>
      </c>
      <c r="M1811" s="811" t="str">
        <f t="shared" si="137"/>
        <v>College Level</v>
      </c>
      <c r="N1811" s="92" t="s">
        <v>1208</v>
      </c>
      <c r="O1811" s="812" t="s">
        <v>2200</v>
      </c>
      <c r="P1811" s="1638"/>
      <c r="Q1811" s="812" t="s">
        <v>2200</v>
      </c>
      <c r="S1811" s="807"/>
      <c r="V1811" s="873"/>
      <c r="W1811" s="815">
        <v>3</v>
      </c>
      <c r="X1811" s="811" t="str">
        <f t="shared" si="138"/>
        <v>within the Province</v>
      </c>
      <c r="Y1811" s="816">
        <v>3000</v>
      </c>
      <c r="AB1811" s="873"/>
      <c r="AG1811" s="807"/>
      <c r="AJ1811" s="865"/>
    </row>
    <row r="1812" spans="1:36" ht="15">
      <c r="A1812" s="807"/>
      <c r="C1812" s="807"/>
      <c r="D1812" s="410"/>
      <c r="E1812" s="1045" t="s">
        <v>4510</v>
      </c>
      <c r="F1812" s="807"/>
      <c r="G1812" s="827"/>
      <c r="H1812" s="809" t="s">
        <v>11292</v>
      </c>
      <c r="I1812" s="92">
        <v>23</v>
      </c>
      <c r="J1812" s="92" t="s">
        <v>18</v>
      </c>
      <c r="K1812" s="92" t="s">
        <v>722</v>
      </c>
      <c r="L1812" s="810">
        <v>6</v>
      </c>
      <c r="M1812" s="811" t="str">
        <f t="shared" si="137"/>
        <v>College Level</v>
      </c>
      <c r="P1812" s="1638"/>
      <c r="R1812" s="812" t="s">
        <v>8285</v>
      </c>
      <c r="S1812" s="813">
        <v>11000</v>
      </c>
      <c r="V1812" s="873"/>
      <c r="X1812" s="811" t="str">
        <f t="shared" si="138"/>
        <v/>
      </c>
      <c r="AB1812" s="873"/>
      <c r="AG1812" s="807"/>
      <c r="AJ1812" s="865"/>
    </row>
    <row r="1813" spans="1:36" ht="15">
      <c r="A1813" s="807"/>
      <c r="C1813" s="807"/>
      <c r="D1813" s="410"/>
      <c r="E1813" s="1045" t="s">
        <v>4510</v>
      </c>
      <c r="F1813" s="807"/>
      <c r="G1813" s="827"/>
      <c r="H1813" s="809" t="s">
        <v>11293</v>
      </c>
      <c r="I1813" s="92">
        <v>20</v>
      </c>
      <c r="J1813" s="92" t="s">
        <v>18</v>
      </c>
      <c r="K1813" s="92" t="s">
        <v>722</v>
      </c>
      <c r="L1813" s="810">
        <v>7</v>
      </c>
      <c r="M1813" s="811" t="str">
        <f t="shared" si="137"/>
        <v>College Graduate or Higher</v>
      </c>
      <c r="N1813" s="92" t="s">
        <v>1208</v>
      </c>
      <c r="O1813" s="812" t="s">
        <v>11302</v>
      </c>
      <c r="P1813" s="1638"/>
      <c r="Q1813" s="812" t="s">
        <v>11302</v>
      </c>
      <c r="V1813" s="873"/>
      <c r="W1813" s="815">
        <v>2</v>
      </c>
      <c r="X1813" s="811" t="str">
        <f t="shared" si="138"/>
        <v>within the Municipality/City</v>
      </c>
      <c r="Y1813" s="816">
        <v>3000</v>
      </c>
      <c r="AB1813" s="873"/>
      <c r="AG1813" s="807"/>
      <c r="AJ1813" s="865"/>
    </row>
    <row r="1814" spans="1:36" ht="15">
      <c r="A1814" s="807"/>
      <c r="C1814" s="807"/>
      <c r="D1814" s="410"/>
      <c r="E1814" s="1045" t="s">
        <v>4510</v>
      </c>
      <c r="F1814" s="807"/>
      <c r="G1814" s="827"/>
      <c r="H1814" s="809" t="s">
        <v>11294</v>
      </c>
      <c r="I1814" s="92">
        <v>29</v>
      </c>
      <c r="J1814" s="92" t="s">
        <v>10</v>
      </c>
      <c r="K1814" s="92" t="s">
        <v>722</v>
      </c>
      <c r="L1814" s="810">
        <v>6</v>
      </c>
      <c r="M1814" s="811" t="str">
        <f t="shared" si="137"/>
        <v>College Level</v>
      </c>
      <c r="P1814" s="1638"/>
      <c r="V1814" s="873"/>
      <c r="X1814" s="811" t="str">
        <f t="shared" si="138"/>
        <v/>
      </c>
      <c r="AB1814" s="873"/>
      <c r="AG1814" s="807"/>
      <c r="AJ1814" s="865"/>
    </row>
    <row r="1815" spans="1:36" ht="15">
      <c r="A1815" s="807"/>
      <c r="C1815" s="807"/>
      <c r="D1815" s="410"/>
      <c r="E1815" s="1045" t="s">
        <v>4510</v>
      </c>
      <c r="F1815" s="807"/>
      <c r="G1815" s="827"/>
      <c r="H1815" s="809" t="s">
        <v>11295</v>
      </c>
      <c r="I1815" s="92">
        <v>17</v>
      </c>
      <c r="J1815" s="92" t="s">
        <v>18</v>
      </c>
      <c r="K1815" s="92" t="s">
        <v>768</v>
      </c>
      <c r="L1815" s="810">
        <v>5</v>
      </c>
      <c r="M1815" s="811" t="str">
        <f t="shared" si="137"/>
        <v>High School Graduate</v>
      </c>
      <c r="P1815" s="1638"/>
      <c r="V1815" s="873"/>
      <c r="X1815" s="811" t="str">
        <f t="shared" si="138"/>
        <v/>
      </c>
      <c r="AB1815" s="873"/>
      <c r="AG1815" s="807"/>
      <c r="AJ1815" s="865"/>
    </row>
    <row r="1816" spans="1:36" ht="15">
      <c r="A1816" s="807"/>
      <c r="C1816" s="807"/>
      <c r="D1816" s="410"/>
      <c r="E1816" s="1045" t="s">
        <v>4510</v>
      </c>
      <c r="F1816" s="807"/>
      <c r="G1816" s="827"/>
      <c r="H1816" s="809" t="s">
        <v>11296</v>
      </c>
      <c r="I1816" s="92">
        <v>15</v>
      </c>
      <c r="J1816" s="92" t="s">
        <v>10</v>
      </c>
      <c r="K1816" s="92" t="s">
        <v>768</v>
      </c>
      <c r="L1816" s="810">
        <v>4</v>
      </c>
      <c r="M1816" s="811" t="str">
        <f t="shared" si="137"/>
        <v>High School Level</v>
      </c>
      <c r="P1816" s="1638"/>
      <c r="V1816" s="873"/>
      <c r="X1816" s="811" t="str">
        <f t="shared" si="138"/>
        <v/>
      </c>
      <c r="AB1816" s="873"/>
      <c r="AG1816" s="807"/>
      <c r="AJ1816" s="865"/>
    </row>
    <row r="1817" spans="1:36" ht="15">
      <c r="A1817" s="807"/>
      <c r="C1817" s="807"/>
      <c r="D1817" s="410"/>
      <c r="E1817" s="1045" t="s">
        <v>4510</v>
      </c>
      <c r="F1817" s="807"/>
      <c r="G1817" s="827"/>
      <c r="H1817" s="809" t="s">
        <v>11297</v>
      </c>
      <c r="I1817" s="92">
        <v>9</v>
      </c>
      <c r="J1817" s="92" t="s">
        <v>18</v>
      </c>
      <c r="K1817" s="92" t="s">
        <v>768</v>
      </c>
      <c r="L1817" s="810">
        <v>2</v>
      </c>
      <c r="M1817" s="811" t="str">
        <f t="shared" ref="M1817:M1839" si="140">IF(ISBLANK(L1817)=TRUE,"",LOOKUP(L1817,GQ:GR))</f>
        <v>Elementary Level</v>
      </c>
      <c r="P1817" s="1638"/>
      <c r="V1817" s="873"/>
      <c r="X1817" s="811" t="str">
        <f t="shared" si="138"/>
        <v/>
      </c>
      <c r="AB1817" s="873"/>
      <c r="AG1817" s="807"/>
      <c r="AJ1817" s="865"/>
    </row>
    <row r="1818" spans="1:36" ht="15">
      <c r="A1818" s="807"/>
      <c r="C1818" s="807"/>
      <c r="D1818" s="410"/>
      <c r="E1818" s="1045" t="s">
        <v>4510</v>
      </c>
      <c r="F1818" s="807"/>
      <c r="G1818" s="827"/>
      <c r="H1818" s="809" t="s">
        <v>11298</v>
      </c>
      <c r="I1818" s="92">
        <v>7</v>
      </c>
      <c r="J1818" s="92" t="s">
        <v>18</v>
      </c>
      <c r="K1818" s="92" t="s">
        <v>768</v>
      </c>
      <c r="L1818" s="810">
        <v>2</v>
      </c>
      <c r="M1818" s="811" t="str">
        <f t="shared" si="140"/>
        <v>Elementary Level</v>
      </c>
      <c r="P1818" s="1638"/>
      <c r="V1818" s="873"/>
      <c r="X1818" s="811" t="str">
        <f t="shared" si="138"/>
        <v/>
      </c>
      <c r="AB1818" s="873"/>
      <c r="AG1818" s="807"/>
      <c r="AJ1818" s="865"/>
    </row>
    <row r="1819" spans="1:36" ht="15">
      <c r="A1819" s="807"/>
      <c r="C1819" s="807"/>
      <c r="D1819" s="410"/>
      <c r="E1819" s="1045" t="s">
        <v>4510</v>
      </c>
      <c r="F1819" s="807"/>
      <c r="G1819" s="827"/>
      <c r="H1819" s="809" t="s">
        <v>11299</v>
      </c>
      <c r="I1819" s="92">
        <v>1</v>
      </c>
      <c r="J1819" s="92" t="s">
        <v>10</v>
      </c>
      <c r="K1819" s="92" t="s">
        <v>768</v>
      </c>
      <c r="L1819" s="810">
        <v>10</v>
      </c>
      <c r="M1819" s="811" t="str">
        <f t="shared" si="140"/>
        <v>Not In School Age</v>
      </c>
      <c r="P1819" s="1638"/>
      <c r="R1819" s="92" t="s">
        <v>8234</v>
      </c>
      <c r="S1819" s="807"/>
      <c r="T1819" s="813">
        <v>3500</v>
      </c>
      <c r="U1819" s="813">
        <v>2200</v>
      </c>
      <c r="V1819" s="873">
        <f>SUM(S1807:U1818)</f>
        <v>61000</v>
      </c>
      <c r="X1819" s="811" t="str">
        <f t="shared" si="138"/>
        <v/>
      </c>
      <c r="AB1819" s="873">
        <f>SUM(Y1808:AA1819)</f>
        <v>8000</v>
      </c>
      <c r="AG1819" s="807"/>
      <c r="AJ1819" s="865"/>
    </row>
    <row r="1820" spans="1:36" ht="15">
      <c r="A1820" s="807"/>
      <c r="C1820" s="807"/>
      <c r="D1820" s="410"/>
      <c r="E1820" s="1045" t="s">
        <v>4510</v>
      </c>
      <c r="F1820" s="807"/>
      <c r="G1820" s="827"/>
      <c r="H1820" s="809" t="s">
        <v>11300</v>
      </c>
      <c r="I1820" s="930">
        <f>8/12</f>
        <v>0.66666666666666663</v>
      </c>
      <c r="J1820" s="92" t="s">
        <v>10</v>
      </c>
      <c r="K1820" s="92" t="s">
        <v>768</v>
      </c>
      <c r="L1820" s="810">
        <v>10</v>
      </c>
      <c r="M1820" s="811" t="str">
        <f t="shared" si="140"/>
        <v>Not In School Age</v>
      </c>
      <c r="N1820" s="92" t="s">
        <v>1208</v>
      </c>
      <c r="O1820" s="812" t="s">
        <v>11305</v>
      </c>
      <c r="P1820" s="1638" t="s">
        <v>12608</v>
      </c>
      <c r="Q1820" s="812" t="s">
        <v>11305</v>
      </c>
      <c r="S1820" s="813">
        <v>15000</v>
      </c>
      <c r="V1820" s="828"/>
      <c r="W1820" s="815">
        <v>1</v>
      </c>
      <c r="X1820" s="811" t="str">
        <f t="shared" si="138"/>
        <v>within the Brgy</v>
      </c>
      <c r="AB1820" s="828"/>
      <c r="AD1820" s="817" t="s">
        <v>10429</v>
      </c>
      <c r="AG1820" s="807" t="str">
        <f>IF(ISBLANK(AF1820)=TRUE,"",LOOKUP(AF1820,GS:GT))</f>
        <v/>
      </c>
      <c r="AJ1820" s="865"/>
    </row>
    <row r="1821" spans="1:36" ht="15">
      <c r="A1821" s="807"/>
      <c r="C1821" s="807"/>
      <c r="D1821" s="410"/>
      <c r="E1821" s="1045" t="s">
        <v>4510</v>
      </c>
      <c r="F1821" s="807"/>
      <c r="G1821" s="827"/>
      <c r="H1821" s="809" t="s">
        <v>11273</v>
      </c>
      <c r="I1821" s="92">
        <v>68</v>
      </c>
      <c r="J1821" s="92" t="s">
        <v>10</v>
      </c>
      <c r="K1821" s="92" t="s">
        <v>719</v>
      </c>
      <c r="L1821" s="810">
        <v>6</v>
      </c>
      <c r="M1821" s="811" t="str">
        <f t="shared" si="140"/>
        <v>College Level</v>
      </c>
      <c r="N1821" s="92" t="s">
        <v>1208</v>
      </c>
      <c r="P1821" s="1638"/>
      <c r="V1821" s="828"/>
      <c r="W1821" s="815">
        <v>1</v>
      </c>
      <c r="X1821" s="811" t="str">
        <f t="shared" si="138"/>
        <v>within the Brgy</v>
      </c>
      <c r="Y1821" s="816">
        <v>1100</v>
      </c>
      <c r="AB1821" s="828"/>
      <c r="AG1821" s="807"/>
      <c r="AJ1821" s="865"/>
    </row>
    <row r="1822" spans="1:36" ht="15">
      <c r="A1822" s="807"/>
      <c r="C1822" s="807"/>
      <c r="D1822" s="410"/>
      <c r="E1822" s="1045" t="s">
        <v>4510</v>
      </c>
      <c r="F1822" s="807"/>
      <c r="G1822" s="827"/>
      <c r="H1822" s="809" t="s">
        <v>11303</v>
      </c>
      <c r="I1822" s="92">
        <v>27</v>
      </c>
      <c r="J1822" s="92" t="s">
        <v>18</v>
      </c>
      <c r="K1822" s="92" t="s">
        <v>768</v>
      </c>
      <c r="L1822" s="810">
        <v>7</v>
      </c>
      <c r="M1822" s="811" t="str">
        <f t="shared" si="140"/>
        <v>College Graduate or Higher</v>
      </c>
      <c r="P1822" s="1638"/>
      <c r="R1822" s="92" t="s">
        <v>8234</v>
      </c>
      <c r="U1822" s="813">
        <v>15000</v>
      </c>
      <c r="V1822" s="828">
        <f>SUM(S1819:U1821)</f>
        <v>20700</v>
      </c>
      <c r="AB1822" s="828">
        <f>SUM(Y1820:AA1822)</f>
        <v>1100</v>
      </c>
      <c r="AG1822" s="807"/>
      <c r="AJ1822" s="865"/>
    </row>
    <row r="1823" spans="1:36" ht="15">
      <c r="A1823" s="19" t="s">
        <v>7421</v>
      </c>
      <c r="B1823" s="292" t="s">
        <v>8015</v>
      </c>
      <c r="C1823" s="149" t="s">
        <v>4524</v>
      </c>
      <c r="D1823" s="410" t="s">
        <v>10428</v>
      </c>
      <c r="E1823" s="1045" t="s">
        <v>4524</v>
      </c>
      <c r="F1823" s="1048" t="s">
        <v>11273</v>
      </c>
      <c r="G1823" s="809" t="s">
        <v>4524</v>
      </c>
      <c r="H1823" s="809" t="s">
        <v>11304</v>
      </c>
      <c r="I1823" s="92">
        <v>40</v>
      </c>
      <c r="J1823" s="92" t="s">
        <v>18</v>
      </c>
      <c r="K1823" s="92" t="s">
        <v>768</v>
      </c>
      <c r="L1823" s="810">
        <v>6</v>
      </c>
      <c r="M1823" s="811" t="str">
        <f t="shared" si="140"/>
        <v>College Level</v>
      </c>
      <c r="N1823" s="92" t="s">
        <v>1208</v>
      </c>
      <c r="O1823" s="812" t="s">
        <v>2968</v>
      </c>
      <c r="P1823" s="1638" t="s">
        <v>12615</v>
      </c>
      <c r="Q1823" s="812" t="s">
        <v>2968</v>
      </c>
      <c r="V1823" s="873"/>
      <c r="W1823" s="815">
        <v>1</v>
      </c>
      <c r="X1823" s="811" t="str">
        <f t="shared" ref="X1823:X1838" si="141">IF(ISBLANK(W1823)=TRUE,"",LOOKUP(W1823,GO:GP))</f>
        <v>within the Brgy</v>
      </c>
      <c r="AA1823" s="816">
        <v>7500</v>
      </c>
      <c r="AB1823" s="873"/>
      <c r="AD1823" s="809" t="s">
        <v>10431</v>
      </c>
      <c r="AG1823" s="807"/>
      <c r="AJ1823" s="865"/>
    </row>
    <row r="1824" spans="1:36" ht="15">
      <c r="A1824" s="807"/>
      <c r="C1824" s="807"/>
      <c r="D1824" s="410"/>
      <c r="E1824" s="1045" t="s">
        <v>4524</v>
      </c>
      <c r="F1824" s="93"/>
      <c r="H1824" s="809" t="s">
        <v>4537</v>
      </c>
      <c r="I1824" s="92">
        <v>46</v>
      </c>
      <c r="J1824" s="92" t="s">
        <v>10</v>
      </c>
      <c r="K1824" s="92" t="s">
        <v>768</v>
      </c>
      <c r="L1824" s="810">
        <v>5</v>
      </c>
      <c r="M1824" s="811" t="str">
        <f t="shared" si="140"/>
        <v>High School Graduate</v>
      </c>
      <c r="P1824" s="1638"/>
      <c r="R1824" s="812" t="s">
        <v>10310</v>
      </c>
      <c r="U1824" s="813">
        <v>4500</v>
      </c>
      <c r="V1824" s="807"/>
      <c r="X1824" s="811" t="str">
        <f t="shared" si="141"/>
        <v/>
      </c>
      <c r="AB1824" s="807"/>
      <c r="AG1824" s="807"/>
      <c r="AJ1824" s="865"/>
    </row>
    <row r="1825" spans="1:36" ht="15">
      <c r="A1825" s="807"/>
      <c r="C1825" s="807"/>
      <c r="D1825" s="410"/>
      <c r="E1825" s="1045" t="s">
        <v>4524</v>
      </c>
      <c r="F1825" s="93"/>
      <c r="H1825" s="809" t="s">
        <v>10432</v>
      </c>
      <c r="I1825" s="92">
        <v>71</v>
      </c>
      <c r="J1825" s="92" t="s">
        <v>18</v>
      </c>
      <c r="K1825" s="92" t="s">
        <v>707</v>
      </c>
      <c r="L1825" s="810">
        <v>5</v>
      </c>
      <c r="M1825" s="811" t="str">
        <f t="shared" si="140"/>
        <v>High School Graduate</v>
      </c>
      <c r="N1825" s="92" t="s">
        <v>1208</v>
      </c>
      <c r="O1825" s="812" t="s">
        <v>2968</v>
      </c>
      <c r="P1825" s="1638"/>
      <c r="Q1825" s="812" t="s">
        <v>2968</v>
      </c>
      <c r="V1825" s="873"/>
      <c r="W1825" s="815">
        <v>1</v>
      </c>
      <c r="X1825" s="811" t="str">
        <f t="shared" si="141"/>
        <v>within the Brgy</v>
      </c>
      <c r="AB1825" s="873"/>
      <c r="AG1825" s="807"/>
      <c r="AJ1825" s="865"/>
    </row>
    <row r="1826" spans="1:36" ht="15">
      <c r="A1826" s="19" t="s">
        <v>7421</v>
      </c>
      <c r="B1826" s="292" t="s">
        <v>8016</v>
      </c>
      <c r="C1826" s="149" t="s">
        <v>3070</v>
      </c>
      <c r="D1826" s="410" t="s">
        <v>10430</v>
      </c>
      <c r="E1826" s="1045" t="s">
        <v>3070</v>
      </c>
      <c r="F1826" s="1048" t="s">
        <v>4537</v>
      </c>
      <c r="G1826" s="809" t="s">
        <v>3070</v>
      </c>
      <c r="H1826" s="809" t="s">
        <v>3074</v>
      </c>
      <c r="I1826" s="92">
        <v>40</v>
      </c>
      <c r="J1826" s="92" t="s">
        <v>18</v>
      </c>
      <c r="K1826" s="92" t="s">
        <v>783</v>
      </c>
      <c r="L1826" s="810">
        <v>5</v>
      </c>
      <c r="M1826" s="811" t="str">
        <f t="shared" si="140"/>
        <v>High School Graduate</v>
      </c>
      <c r="P1826" s="1638"/>
      <c r="V1826" s="873"/>
      <c r="X1826" s="811" t="str">
        <f t="shared" si="141"/>
        <v/>
      </c>
      <c r="AB1826" s="873"/>
      <c r="AG1826" s="807"/>
      <c r="AJ1826" s="865"/>
    </row>
    <row r="1827" spans="1:36" ht="15">
      <c r="A1827" s="19" t="s">
        <v>7421</v>
      </c>
      <c r="C1827" s="807"/>
      <c r="D1827" s="410" t="s">
        <v>10430</v>
      </c>
      <c r="E1827" s="1045" t="s">
        <v>3070</v>
      </c>
      <c r="F1827" s="807"/>
      <c r="H1827" s="809" t="s">
        <v>10436</v>
      </c>
      <c r="I1827" s="92">
        <v>17</v>
      </c>
      <c r="J1827" s="92" t="s">
        <v>18</v>
      </c>
      <c r="K1827" s="92" t="s">
        <v>768</v>
      </c>
      <c r="L1827" s="810">
        <v>5</v>
      </c>
      <c r="M1827" s="811" t="str">
        <f t="shared" si="140"/>
        <v>High School Graduate</v>
      </c>
      <c r="P1827" s="1638"/>
      <c r="V1827" s="873"/>
      <c r="X1827" s="811" t="str">
        <f t="shared" si="141"/>
        <v/>
      </c>
      <c r="AB1827" s="873"/>
      <c r="AG1827" s="807"/>
      <c r="AJ1827" s="865"/>
    </row>
    <row r="1828" spans="1:36" ht="15">
      <c r="A1828" s="19" t="s">
        <v>7421</v>
      </c>
      <c r="C1828" s="807"/>
      <c r="D1828" s="410" t="s">
        <v>10430</v>
      </c>
      <c r="E1828" s="1045"/>
      <c r="F1828" s="807"/>
      <c r="H1828" s="809" t="s">
        <v>11665</v>
      </c>
      <c r="I1828" s="92">
        <v>7</v>
      </c>
      <c r="J1828" s="92" t="s">
        <v>10</v>
      </c>
      <c r="K1828" s="92" t="s">
        <v>768</v>
      </c>
      <c r="L1828" s="810">
        <v>2</v>
      </c>
      <c r="M1828" s="811" t="str">
        <f t="shared" si="140"/>
        <v>Elementary Level</v>
      </c>
      <c r="P1828" s="1638"/>
      <c r="R1828" s="92" t="s">
        <v>8234</v>
      </c>
      <c r="S1828" s="813">
        <v>4500</v>
      </c>
      <c r="V1828" s="873">
        <f>SUM(S1822:U1827)</f>
        <v>19500</v>
      </c>
      <c r="X1828" s="811" t="str">
        <f t="shared" si="141"/>
        <v/>
      </c>
      <c r="AB1828" s="873">
        <f>SUM(Y1823:AA1828)</f>
        <v>7500</v>
      </c>
      <c r="AG1828" s="807"/>
      <c r="AJ1828" s="865"/>
    </row>
    <row r="1829" spans="1:36" ht="15">
      <c r="A1829" s="19" t="s">
        <v>7421</v>
      </c>
      <c r="C1829" s="807"/>
      <c r="D1829" s="410" t="s">
        <v>10430</v>
      </c>
      <c r="E1829" s="1045"/>
      <c r="F1829" s="807"/>
      <c r="H1829" s="809" t="s">
        <v>11666</v>
      </c>
      <c r="I1829" s="92">
        <v>10</v>
      </c>
      <c r="J1829" s="92" t="s">
        <v>10</v>
      </c>
      <c r="K1829" s="92" t="s">
        <v>768</v>
      </c>
      <c r="L1829" s="810">
        <v>2</v>
      </c>
      <c r="M1829" s="811" t="str">
        <f t="shared" si="140"/>
        <v>Elementary Level</v>
      </c>
      <c r="N1829" s="92" t="s">
        <v>1208</v>
      </c>
      <c r="O1829" s="812" t="s">
        <v>2968</v>
      </c>
      <c r="P1829" s="1638" t="s">
        <v>12615</v>
      </c>
      <c r="Q1829" s="812" t="s">
        <v>2968</v>
      </c>
      <c r="V1829" s="828"/>
      <c r="W1829" s="815">
        <v>1</v>
      </c>
      <c r="X1829" s="811" t="str">
        <f t="shared" si="141"/>
        <v>within the Brgy</v>
      </c>
      <c r="AB1829" s="953"/>
      <c r="AG1829" s="807" t="str">
        <f>IF(ISBLANK(AF1829)=TRUE,"",LOOKUP(AF1829,GS:GT))</f>
        <v/>
      </c>
      <c r="AJ1829" s="865"/>
    </row>
    <row r="1830" spans="1:36" ht="15">
      <c r="A1830" s="19" t="s">
        <v>7421</v>
      </c>
      <c r="C1830" s="807"/>
      <c r="D1830" s="410" t="s">
        <v>10430</v>
      </c>
      <c r="E1830" s="1045"/>
      <c r="F1830" s="807"/>
      <c r="H1830" s="809" t="s">
        <v>3074</v>
      </c>
      <c r="I1830" s="92">
        <v>40</v>
      </c>
      <c r="J1830" s="92" t="s">
        <v>18</v>
      </c>
      <c r="K1830" s="92" t="s">
        <v>722</v>
      </c>
      <c r="L1830" s="810">
        <v>5</v>
      </c>
      <c r="M1830" s="811" t="str">
        <f t="shared" si="140"/>
        <v>High School Graduate</v>
      </c>
      <c r="P1830" s="1638"/>
      <c r="V1830" s="828"/>
      <c r="X1830" s="811" t="str">
        <f t="shared" si="141"/>
        <v/>
      </c>
      <c r="AB1830" s="953"/>
      <c r="AG1830" s="807" t="str">
        <f>IF(ISBLANK(AF1830)=TRUE,"",LOOKUP(AF1830,GS:GT))</f>
        <v/>
      </c>
      <c r="AJ1830" s="865"/>
    </row>
    <row r="1831" spans="1:36" ht="15">
      <c r="A1831" s="19" t="s">
        <v>7421</v>
      </c>
      <c r="C1831" s="807"/>
      <c r="D1831" s="410" t="s">
        <v>10430</v>
      </c>
      <c r="E1831" s="1045"/>
      <c r="F1831" s="807"/>
      <c r="H1831" s="809" t="s">
        <v>10435</v>
      </c>
      <c r="I1831" s="92">
        <v>44</v>
      </c>
      <c r="J1831" s="92" t="s">
        <v>10</v>
      </c>
      <c r="K1831" s="92" t="s">
        <v>722</v>
      </c>
      <c r="L1831" s="810">
        <v>4</v>
      </c>
      <c r="M1831" s="811" t="str">
        <f t="shared" si="140"/>
        <v>High School Level</v>
      </c>
      <c r="P1831" s="1638"/>
      <c r="V1831" s="828"/>
      <c r="X1831" s="811" t="str">
        <f t="shared" si="141"/>
        <v/>
      </c>
      <c r="AB1831" s="953"/>
      <c r="AG1831" s="807" t="str">
        <f>IF(ISBLANK(AF1831)=TRUE,"",LOOKUP(AF1831,GS:GT))</f>
        <v/>
      </c>
      <c r="AJ1831" s="865"/>
    </row>
    <row r="1832" spans="1:36" ht="15">
      <c r="A1832" s="1118" t="s">
        <v>12355</v>
      </c>
      <c r="B1832" s="292" t="s">
        <v>8073</v>
      </c>
      <c r="C1832" s="149" t="s">
        <v>3070</v>
      </c>
      <c r="D1832" s="1074" t="s">
        <v>10433</v>
      </c>
      <c r="E1832" s="1045" t="s">
        <v>5804</v>
      </c>
      <c r="F1832" s="1048" t="s">
        <v>11275</v>
      </c>
      <c r="G1832" s="809" t="s">
        <v>3070</v>
      </c>
      <c r="H1832" s="809" t="s">
        <v>10436</v>
      </c>
      <c r="I1832" s="92">
        <v>17</v>
      </c>
      <c r="J1832" s="92" t="s">
        <v>18</v>
      </c>
      <c r="K1832" s="92" t="s">
        <v>768</v>
      </c>
      <c r="L1832" s="810">
        <v>5</v>
      </c>
      <c r="M1832" s="811" t="str">
        <f t="shared" si="140"/>
        <v>High School Graduate</v>
      </c>
      <c r="P1832" s="1638"/>
      <c r="V1832" s="828"/>
      <c r="X1832" s="811" t="str">
        <f t="shared" si="141"/>
        <v/>
      </c>
      <c r="AB1832" s="953"/>
      <c r="AG1832" s="807" t="str">
        <f>IF(ISBLANK(AF1832)=TRUE,"",LOOKUP(AF1832,GS:GT))</f>
        <v/>
      </c>
      <c r="AJ1832" s="865"/>
    </row>
    <row r="1833" spans="1:36" ht="15">
      <c r="A1833" s="1118" t="s">
        <v>12355</v>
      </c>
      <c r="C1833" s="807"/>
      <c r="D1833" s="1074" t="s">
        <v>10433</v>
      </c>
      <c r="E1833" s="1045" t="s">
        <v>5804</v>
      </c>
      <c r="F1833" s="807"/>
      <c r="G1833" s="827"/>
      <c r="H1833" s="809" t="s">
        <v>10437</v>
      </c>
      <c r="I1833" s="92">
        <v>11</v>
      </c>
      <c r="J1833" s="92" t="s">
        <v>10</v>
      </c>
      <c r="K1833" s="92" t="s">
        <v>768</v>
      </c>
      <c r="L1833" s="810">
        <v>2</v>
      </c>
      <c r="M1833" s="811" t="str">
        <f t="shared" si="140"/>
        <v>Elementary Level</v>
      </c>
      <c r="P1833" s="1638"/>
      <c r="R1833" s="812" t="s">
        <v>8234</v>
      </c>
      <c r="S1833" s="813">
        <v>11000</v>
      </c>
      <c r="V1833" s="828">
        <f>SUM(S1828:U1832)</f>
        <v>4500</v>
      </c>
      <c r="X1833" s="811" t="str">
        <f t="shared" si="141"/>
        <v/>
      </c>
      <c r="AB1833" s="953">
        <f>SUM(Y1829:AA1833)</f>
        <v>0</v>
      </c>
      <c r="AG1833" s="807" t="str">
        <f>IF(ISBLANK(AF1833)=TRUE,"",LOOKUP(AF1833,GS:GT))</f>
        <v/>
      </c>
      <c r="AJ1833" s="865"/>
    </row>
    <row r="1834" spans="1:36" ht="15">
      <c r="A1834" s="1118" t="s">
        <v>12355</v>
      </c>
      <c r="C1834" s="807"/>
      <c r="D1834" s="1074" t="s">
        <v>10433</v>
      </c>
      <c r="E1834" s="1045" t="s">
        <v>5804</v>
      </c>
      <c r="F1834" s="807"/>
      <c r="G1834" s="827"/>
      <c r="H1834" s="809" t="s">
        <v>10438</v>
      </c>
      <c r="I1834" s="92">
        <v>7</v>
      </c>
      <c r="J1834" s="92" t="s">
        <v>10</v>
      </c>
      <c r="K1834" s="92" t="s">
        <v>768</v>
      </c>
      <c r="L1834" s="810">
        <v>2</v>
      </c>
      <c r="M1834" s="811" t="str">
        <f t="shared" si="140"/>
        <v>Elementary Level</v>
      </c>
      <c r="N1834" s="92" t="s">
        <v>1208</v>
      </c>
      <c r="O1834" s="812" t="s">
        <v>4617</v>
      </c>
      <c r="P1834" s="1638"/>
      <c r="Q1834" s="812" t="s">
        <v>4617</v>
      </c>
      <c r="V1834" s="873"/>
      <c r="W1834" s="815">
        <v>1</v>
      </c>
      <c r="X1834" s="811" t="str">
        <f t="shared" si="141"/>
        <v>within the Brgy</v>
      </c>
      <c r="AB1834" s="873"/>
      <c r="AG1834" s="807"/>
      <c r="AJ1834" s="865"/>
    </row>
    <row r="1835" spans="1:36" ht="15">
      <c r="A1835" s="1118" t="s">
        <v>12355</v>
      </c>
      <c r="C1835" s="807"/>
      <c r="D1835" s="1074" t="s">
        <v>10433</v>
      </c>
      <c r="E1835" s="1045" t="s">
        <v>5804</v>
      </c>
      <c r="F1835" s="807"/>
      <c r="G1835" s="827"/>
      <c r="H1835" s="809" t="s">
        <v>11669</v>
      </c>
      <c r="I1835" s="92">
        <v>45</v>
      </c>
      <c r="J1835" s="92" t="s">
        <v>10</v>
      </c>
      <c r="K1835" s="92" t="s">
        <v>707</v>
      </c>
      <c r="L1835" s="810">
        <v>5</v>
      </c>
      <c r="M1835" s="811" t="str">
        <f t="shared" si="140"/>
        <v>High School Graduate</v>
      </c>
      <c r="P1835" s="1638"/>
      <c r="V1835" s="873"/>
      <c r="X1835" s="811" t="str">
        <f t="shared" si="141"/>
        <v/>
      </c>
      <c r="AB1835" s="873"/>
      <c r="AG1835" s="807"/>
      <c r="AJ1835" s="865"/>
    </row>
    <row r="1836" spans="1:36" ht="15">
      <c r="A1836" s="1118" t="s">
        <v>12355</v>
      </c>
      <c r="C1836" s="807"/>
      <c r="D1836" s="1074" t="s">
        <v>10433</v>
      </c>
      <c r="E1836" s="1045" t="s">
        <v>5804</v>
      </c>
      <c r="F1836" s="807"/>
      <c r="G1836" s="827"/>
      <c r="H1836" s="809" t="s">
        <v>11670</v>
      </c>
      <c r="I1836" s="92">
        <v>42</v>
      </c>
      <c r="J1836" s="92" t="s">
        <v>18</v>
      </c>
      <c r="K1836" s="92" t="s">
        <v>707</v>
      </c>
      <c r="L1836" s="810">
        <v>8</v>
      </c>
      <c r="M1836" s="811" t="str">
        <f t="shared" si="140"/>
        <v>Vocational Level</v>
      </c>
      <c r="P1836" s="1638"/>
      <c r="R1836" s="812" t="s">
        <v>8285</v>
      </c>
      <c r="S1836" s="813">
        <v>15000</v>
      </c>
      <c r="V1836" s="873"/>
      <c r="X1836" s="811" t="str">
        <f t="shared" si="141"/>
        <v/>
      </c>
      <c r="AB1836" s="873"/>
      <c r="AG1836" s="807"/>
      <c r="AJ1836" s="865"/>
    </row>
    <row r="1837" spans="1:36" ht="15">
      <c r="A1837" s="807"/>
      <c r="C1837" s="807"/>
      <c r="D1837" s="1074"/>
      <c r="E1837" s="1045"/>
      <c r="F1837" s="807"/>
      <c r="G1837" s="846" t="s">
        <v>3070</v>
      </c>
      <c r="H1837" s="809" t="s">
        <v>11671</v>
      </c>
      <c r="I1837" s="92">
        <v>23</v>
      </c>
      <c r="J1837" s="92" t="s">
        <v>10</v>
      </c>
      <c r="K1837" s="92" t="s">
        <v>768</v>
      </c>
      <c r="L1837" s="810">
        <v>6</v>
      </c>
      <c r="M1837" s="811" t="str">
        <f t="shared" si="140"/>
        <v>College Level</v>
      </c>
      <c r="N1837" s="92" t="s">
        <v>1208</v>
      </c>
      <c r="O1837" s="812" t="s">
        <v>4639</v>
      </c>
      <c r="P1837" s="1638"/>
      <c r="Q1837" s="812" t="s">
        <v>4639</v>
      </c>
      <c r="V1837" s="873"/>
      <c r="W1837" s="815">
        <v>1</v>
      </c>
      <c r="X1837" s="811" t="str">
        <f t="shared" si="141"/>
        <v>within the Brgy</v>
      </c>
      <c r="Y1837" s="816">
        <f>20*26</f>
        <v>520</v>
      </c>
      <c r="AB1837" s="873"/>
      <c r="AG1837" s="807"/>
      <c r="AJ1837" s="865"/>
    </row>
    <row r="1838" spans="1:36" ht="15">
      <c r="A1838" s="807"/>
      <c r="C1838" s="807"/>
      <c r="D1838" s="1074"/>
      <c r="E1838" s="1045"/>
      <c r="F1838" s="807"/>
      <c r="G1838" s="827"/>
      <c r="H1838" s="809" t="s">
        <v>11672</v>
      </c>
      <c r="I1838" s="92">
        <v>21</v>
      </c>
      <c r="J1838" s="92" t="s">
        <v>18</v>
      </c>
      <c r="K1838" s="92" t="s">
        <v>768</v>
      </c>
      <c r="L1838" s="810">
        <v>7</v>
      </c>
      <c r="M1838" s="811" t="str">
        <f t="shared" si="140"/>
        <v>College Graduate or Higher</v>
      </c>
      <c r="P1838" s="1638"/>
      <c r="R1838" s="92"/>
      <c r="V1838" s="873">
        <f>SUM(S1833:U1837)</f>
        <v>26000</v>
      </c>
      <c r="X1838" s="811" t="str">
        <f t="shared" si="141"/>
        <v/>
      </c>
      <c r="AB1838" s="873">
        <f>SUM(Y1834:AA1838)</f>
        <v>520</v>
      </c>
      <c r="AG1838" s="807"/>
      <c r="AJ1838" s="865"/>
    </row>
    <row r="1839" spans="1:36" ht="15">
      <c r="A1839" s="807"/>
      <c r="C1839" s="807"/>
      <c r="D1839" s="1074"/>
      <c r="E1839" s="1045"/>
      <c r="F1839" s="807"/>
      <c r="G1839" s="827"/>
      <c r="H1839" s="809" t="s">
        <v>11673</v>
      </c>
      <c r="I1839" s="92">
        <v>13</v>
      </c>
      <c r="J1839" s="92" t="s">
        <v>10</v>
      </c>
      <c r="K1839" s="92" t="s">
        <v>768</v>
      </c>
      <c r="L1839" s="810">
        <v>4</v>
      </c>
      <c r="M1839" s="811" t="str">
        <f t="shared" si="140"/>
        <v>High School Level</v>
      </c>
      <c r="P1839" s="1638"/>
      <c r="R1839" s="92"/>
      <c r="V1839" s="873"/>
      <c r="AB1839" s="873"/>
      <c r="AG1839" s="807"/>
      <c r="AJ1839" s="865"/>
    </row>
    <row r="1840" spans="1:36" ht="15">
      <c r="A1840" s="807"/>
      <c r="C1840" s="807"/>
      <c r="D1840" s="1074"/>
      <c r="E1840" s="1045"/>
      <c r="F1840" s="807"/>
      <c r="G1840" s="827"/>
      <c r="H1840" s="809" t="s">
        <v>11274</v>
      </c>
      <c r="M1840" s="811"/>
      <c r="P1840" s="1638"/>
      <c r="R1840" s="92"/>
      <c r="V1840" s="873"/>
      <c r="AB1840" s="873"/>
      <c r="AG1840" s="807"/>
      <c r="AJ1840" s="865"/>
    </row>
    <row r="1841" spans="1:36" ht="15">
      <c r="A1841" s="807"/>
      <c r="C1841" s="807"/>
      <c r="D1841" s="1074"/>
      <c r="E1841" s="1045"/>
      <c r="F1841" s="807"/>
      <c r="G1841" s="827"/>
      <c r="H1841" s="809" t="s">
        <v>3082</v>
      </c>
      <c r="M1841" s="811"/>
      <c r="P1841" s="1638"/>
      <c r="R1841" s="92"/>
      <c r="V1841" s="873"/>
      <c r="AB1841" s="873"/>
      <c r="AG1841" s="807"/>
      <c r="AJ1841" s="865"/>
    </row>
    <row r="1842" spans="1:36" ht="15">
      <c r="A1842" s="17" t="s">
        <v>7421</v>
      </c>
      <c r="B1842" s="292" t="s">
        <v>7433</v>
      </c>
      <c r="C1842" s="149" t="s">
        <v>3076</v>
      </c>
      <c r="D1842" s="410" t="s">
        <v>10439</v>
      </c>
      <c r="E1842" s="1045" t="s">
        <v>3076</v>
      </c>
      <c r="F1842" s="1048" t="s">
        <v>11274</v>
      </c>
      <c r="G1842" s="846" t="s">
        <v>3076</v>
      </c>
      <c r="H1842" s="809" t="s">
        <v>12516</v>
      </c>
      <c r="M1842" s="811"/>
      <c r="P1842" s="1638"/>
      <c r="R1842" s="92"/>
      <c r="V1842" s="873"/>
      <c r="AB1842" s="873"/>
      <c r="AG1842" s="807"/>
      <c r="AJ1842" s="865"/>
    </row>
    <row r="1843" spans="1:36" ht="15">
      <c r="A1843" s="17" t="s">
        <v>7421</v>
      </c>
      <c r="C1843" s="807"/>
      <c r="D1843" s="410" t="s">
        <v>10439</v>
      </c>
      <c r="E1843" s="1045"/>
      <c r="F1843" s="1048"/>
      <c r="G1843" s="846"/>
      <c r="H1843" s="809" t="s">
        <v>12517</v>
      </c>
      <c r="M1843" s="811"/>
      <c r="P1843" s="1638"/>
      <c r="R1843" s="92"/>
      <c r="V1843" s="873"/>
      <c r="AB1843" s="873"/>
      <c r="AG1843" s="807"/>
      <c r="AJ1843" s="865"/>
    </row>
    <row r="1844" spans="1:36" ht="15">
      <c r="A1844" s="17" t="s">
        <v>7421</v>
      </c>
      <c r="C1844" s="807"/>
      <c r="D1844" s="410" t="s">
        <v>10439</v>
      </c>
      <c r="E1844" s="1045"/>
      <c r="F1844" s="1048"/>
      <c r="G1844" s="846"/>
      <c r="H1844" s="809" t="s">
        <v>12518</v>
      </c>
      <c r="M1844" s="811"/>
      <c r="P1844" s="1638"/>
      <c r="V1844" s="873"/>
      <c r="X1844" s="811" t="str">
        <f>IF(ISBLANK(W1844)=TRUE,"",LOOKUP(W1844,GO:GP))</f>
        <v/>
      </c>
      <c r="AB1844" s="962"/>
      <c r="AD1844" s="817" t="s">
        <v>10440</v>
      </c>
      <c r="AG1844" s="807" t="str">
        <f>IF(ISBLANK(AF1844)=TRUE,"",LOOKUP(AF1844,GS:GT))</f>
        <v/>
      </c>
      <c r="AJ1844" s="865"/>
    </row>
    <row r="1845" spans="1:36" ht="15">
      <c r="A1845" s="17" t="s">
        <v>7421</v>
      </c>
      <c r="C1845" s="807"/>
      <c r="D1845" s="410" t="s">
        <v>10439</v>
      </c>
      <c r="E1845" s="1045"/>
      <c r="F1845" s="1048"/>
      <c r="G1845" s="846"/>
      <c r="H1845" s="809" t="s">
        <v>12519</v>
      </c>
      <c r="M1845" s="811"/>
      <c r="P1845" s="1638"/>
      <c r="V1845" s="873"/>
      <c r="X1845" s="811" t="str">
        <f>IF(ISBLANK(W1845)=TRUE,"",LOOKUP(W1845,GO:GP))</f>
        <v/>
      </c>
      <c r="AB1845" s="962"/>
      <c r="AG1845" s="807"/>
      <c r="AJ1845" s="865"/>
    </row>
    <row r="1846" spans="1:36" ht="15">
      <c r="A1846" s="17" t="s">
        <v>7421</v>
      </c>
      <c r="C1846" s="807"/>
      <c r="D1846" s="410" t="s">
        <v>10439</v>
      </c>
      <c r="E1846" s="1045"/>
      <c r="F1846" s="1048"/>
      <c r="G1846" s="846"/>
      <c r="M1846" s="811"/>
      <c r="P1846" s="1638"/>
      <c r="V1846" s="873"/>
      <c r="AB1846" s="962"/>
      <c r="AG1846" s="807"/>
      <c r="AJ1846" s="865"/>
    </row>
    <row r="1847" spans="1:36" ht="15">
      <c r="A1847" s="17" t="s">
        <v>7421</v>
      </c>
      <c r="C1847" s="807"/>
      <c r="D1847" s="410" t="s">
        <v>10439</v>
      </c>
      <c r="E1847" s="1045"/>
      <c r="F1847" s="1048"/>
      <c r="G1847" s="846"/>
      <c r="H1847" s="1639"/>
      <c r="I1847" s="1044"/>
      <c r="J1847" s="1044"/>
      <c r="K1847" s="1044"/>
      <c r="L1847" s="1640"/>
      <c r="M1847" s="1641"/>
      <c r="N1847" s="1044"/>
      <c r="O1847" s="1642"/>
      <c r="P1847" s="1643"/>
      <c r="Q1847" s="1642"/>
      <c r="R1847" s="1044" t="s">
        <v>8234</v>
      </c>
      <c r="S1847" s="1646">
        <v>10000</v>
      </c>
      <c r="T1847" s="1646"/>
      <c r="U1847" s="1646"/>
      <c r="V1847" s="961"/>
      <c r="X1847" s="811" t="str">
        <f t="shared" ref="X1847:X1878" si="142">IF(ISBLANK(W1847)=TRUE,"",LOOKUP(W1847,GO:GP))</f>
        <v/>
      </c>
      <c r="AB1847" s="962"/>
      <c r="AD1847" s="936" t="s">
        <v>10441</v>
      </c>
      <c r="AG1847" s="807" t="str">
        <f t="shared" ref="AG1847:AG1853" si="143">IF(ISBLANK(AF1847)=TRUE,"",LOOKUP(AF1847,GS:GT))</f>
        <v/>
      </c>
      <c r="AJ1847" s="865"/>
    </row>
    <row r="1848" spans="1:36" ht="15">
      <c r="A1848" s="17" t="s">
        <v>7421</v>
      </c>
      <c r="B1848" s="292" t="s">
        <v>8058</v>
      </c>
      <c r="C1848" s="149" t="s">
        <v>5804</v>
      </c>
      <c r="D1848" s="1239" t="s">
        <v>5804</v>
      </c>
      <c r="E1848" s="1045"/>
      <c r="F1848" s="807"/>
      <c r="G1848" s="841" t="s">
        <v>5804</v>
      </c>
      <c r="M1848" s="811"/>
      <c r="N1848" s="92" t="s">
        <v>1208</v>
      </c>
      <c r="O1848" s="812" t="s">
        <v>10443</v>
      </c>
      <c r="P1848" s="1638"/>
      <c r="Q1848" s="812" t="s">
        <v>10443</v>
      </c>
      <c r="R1848" s="92" t="s">
        <v>8285</v>
      </c>
      <c r="S1848" s="813">
        <f>250*25</f>
        <v>6250</v>
      </c>
      <c r="X1848" s="811" t="str">
        <f t="shared" si="142"/>
        <v/>
      </c>
      <c r="AG1848" s="807" t="str">
        <f t="shared" si="143"/>
        <v/>
      </c>
      <c r="AJ1848" s="865"/>
    </row>
    <row r="1849" spans="1:36" ht="15">
      <c r="A1849" s="17" t="s">
        <v>7421</v>
      </c>
      <c r="C1849" s="807"/>
      <c r="D1849" s="1239" t="s">
        <v>5804</v>
      </c>
      <c r="E1849" s="1045"/>
      <c r="F1849" s="807"/>
      <c r="G1849" s="846"/>
      <c r="H1849" s="809" t="s">
        <v>3083</v>
      </c>
      <c r="I1849" s="92">
        <v>38</v>
      </c>
      <c r="J1849" s="92" t="s">
        <v>10</v>
      </c>
      <c r="K1849" s="92" t="s">
        <v>707</v>
      </c>
      <c r="L1849" s="810">
        <v>5</v>
      </c>
      <c r="M1849" s="811" t="str">
        <f t="shared" ref="M1849:M1880" si="144">IF(ISBLANK(L1849)=TRUE,"",LOOKUP(L1849,GQ:GR))</f>
        <v>High School Graduate</v>
      </c>
      <c r="N1849" s="92" t="s">
        <v>1208</v>
      </c>
      <c r="O1849" s="812" t="s">
        <v>10445</v>
      </c>
      <c r="P1849" s="1638"/>
      <c r="Q1849" s="812" t="s">
        <v>10445</v>
      </c>
      <c r="W1849" s="815">
        <v>1</v>
      </c>
      <c r="X1849" s="811" t="str">
        <f t="shared" si="142"/>
        <v>within the Brgy</v>
      </c>
      <c r="AG1849" s="807" t="str">
        <f t="shared" si="143"/>
        <v/>
      </c>
      <c r="AJ1849" s="865"/>
    </row>
    <row r="1850" spans="1:36" ht="15">
      <c r="A1850" s="17" t="s">
        <v>7421</v>
      </c>
      <c r="C1850" s="807"/>
      <c r="D1850" s="1239" t="s">
        <v>5804</v>
      </c>
      <c r="E1850" s="1045"/>
      <c r="F1850" s="807"/>
      <c r="G1850" s="827"/>
      <c r="H1850" s="809" t="s">
        <v>10444</v>
      </c>
      <c r="I1850" s="92">
        <v>34</v>
      </c>
      <c r="J1850" s="92" t="s">
        <v>18</v>
      </c>
      <c r="K1850" s="92" t="s">
        <v>707</v>
      </c>
      <c r="L1850" s="810">
        <v>5</v>
      </c>
      <c r="M1850" s="811" t="str">
        <f t="shared" si="144"/>
        <v>High School Graduate</v>
      </c>
      <c r="P1850" s="1638"/>
      <c r="W1850" s="815">
        <v>2</v>
      </c>
      <c r="X1850" s="811" t="str">
        <f t="shared" si="142"/>
        <v>within the Municipality/City</v>
      </c>
      <c r="AG1850" s="807" t="str">
        <f t="shared" si="143"/>
        <v/>
      </c>
      <c r="AJ1850" s="865"/>
    </row>
    <row r="1851" spans="1:36" ht="15">
      <c r="A1851" s="807"/>
      <c r="C1851" s="807"/>
      <c r="D1851" s="1074" t="s">
        <v>10442</v>
      </c>
      <c r="E1851" s="807"/>
      <c r="F1851" s="807"/>
      <c r="G1851" s="827"/>
      <c r="H1851" s="809" t="s">
        <v>10446</v>
      </c>
      <c r="I1851" s="92">
        <v>16</v>
      </c>
      <c r="J1851" s="92" t="s">
        <v>10</v>
      </c>
      <c r="K1851" s="92" t="s">
        <v>768</v>
      </c>
      <c r="L1851" s="810">
        <v>4</v>
      </c>
      <c r="M1851" s="811" t="str">
        <f t="shared" si="144"/>
        <v>High School Level</v>
      </c>
      <c r="P1851" s="1638"/>
      <c r="X1851" s="811" t="str">
        <f t="shared" si="142"/>
        <v/>
      </c>
      <c r="AG1851" s="807" t="str">
        <f t="shared" si="143"/>
        <v/>
      </c>
      <c r="AJ1851" s="865"/>
    </row>
    <row r="1852" spans="1:36" ht="15">
      <c r="A1852" s="807"/>
      <c r="C1852" s="807"/>
      <c r="D1852" s="1074"/>
      <c r="E1852" s="807"/>
      <c r="F1852" s="807"/>
      <c r="G1852" s="827"/>
      <c r="H1852" s="809" t="s">
        <v>10447</v>
      </c>
      <c r="I1852" s="92">
        <v>11</v>
      </c>
      <c r="J1852" s="92" t="s">
        <v>10</v>
      </c>
      <c r="K1852" s="92" t="s">
        <v>768</v>
      </c>
      <c r="L1852" s="810">
        <v>2</v>
      </c>
      <c r="M1852" s="811" t="str">
        <f t="shared" si="144"/>
        <v>Elementary Level</v>
      </c>
      <c r="P1852" s="1638"/>
      <c r="R1852" s="92" t="s">
        <v>8234</v>
      </c>
      <c r="U1852" s="813">
        <v>3000</v>
      </c>
      <c r="V1852" s="814">
        <f>SUM(S1847:U1851)</f>
        <v>16250</v>
      </c>
      <c r="X1852" s="811" t="str">
        <f t="shared" si="142"/>
        <v/>
      </c>
      <c r="AB1852" s="924">
        <f>SUM(Y1848:AA1852)</f>
        <v>0</v>
      </c>
      <c r="AG1852" s="807" t="str">
        <f t="shared" si="143"/>
        <v/>
      </c>
      <c r="AJ1852" s="865"/>
    </row>
    <row r="1853" spans="1:36" ht="15">
      <c r="A1853" s="807"/>
      <c r="C1853" s="807"/>
      <c r="D1853" s="1074"/>
      <c r="E1853" s="807"/>
      <c r="F1853" s="807"/>
      <c r="G1853" s="827"/>
      <c r="H1853" s="809" t="s">
        <v>10448</v>
      </c>
      <c r="I1853" s="92">
        <v>9</v>
      </c>
      <c r="J1853" s="92" t="s">
        <v>10</v>
      </c>
      <c r="K1853" s="92" t="s">
        <v>768</v>
      </c>
      <c r="L1853" s="810">
        <v>2</v>
      </c>
      <c r="M1853" s="811" t="str">
        <f t="shared" si="144"/>
        <v>Elementary Level</v>
      </c>
      <c r="N1853" s="92" t="s">
        <v>1208</v>
      </c>
      <c r="O1853" s="812" t="s">
        <v>3703</v>
      </c>
      <c r="P1853" s="1638"/>
      <c r="Q1853" s="812" t="s">
        <v>3703</v>
      </c>
      <c r="R1853" s="92"/>
      <c r="V1853" s="828">
        <f>SUM(S1852:U1852)</f>
        <v>3000</v>
      </c>
      <c r="W1853" s="815">
        <v>1</v>
      </c>
      <c r="X1853" s="811" t="str">
        <f t="shared" si="142"/>
        <v>within the Brgy</v>
      </c>
      <c r="AB1853" s="953">
        <f>SUM(Y1853:AA1853)</f>
        <v>0</v>
      </c>
      <c r="AD1853" s="817" t="s">
        <v>10450</v>
      </c>
      <c r="AG1853" s="807" t="str">
        <f t="shared" si="143"/>
        <v/>
      </c>
      <c r="AJ1853" s="865"/>
    </row>
    <row r="1854" spans="1:36" ht="15">
      <c r="A1854" s="807"/>
      <c r="C1854" s="807"/>
      <c r="D1854" s="1074"/>
      <c r="E1854" s="807"/>
      <c r="F1854" s="807"/>
      <c r="G1854" s="827"/>
      <c r="H1854" s="809" t="s">
        <v>4561</v>
      </c>
      <c r="I1854" s="92">
        <v>90</v>
      </c>
      <c r="J1854" s="92" t="s">
        <v>18</v>
      </c>
      <c r="K1854" s="92" t="s">
        <v>719</v>
      </c>
      <c r="L1854" s="810">
        <v>2</v>
      </c>
      <c r="M1854" s="811" t="str">
        <f t="shared" si="144"/>
        <v>Elementary Level</v>
      </c>
      <c r="P1854" s="1638"/>
      <c r="R1854" s="92" t="s">
        <v>8285</v>
      </c>
      <c r="S1854" s="813">
        <v>15000</v>
      </c>
      <c r="V1854" s="873"/>
      <c r="X1854" s="811" t="str">
        <f t="shared" si="142"/>
        <v/>
      </c>
      <c r="AB1854" s="873"/>
      <c r="AG1854" s="807"/>
      <c r="AJ1854" s="865"/>
    </row>
    <row r="1855" spans="1:36" ht="15">
      <c r="A1855" s="807"/>
      <c r="C1855" s="807"/>
      <c r="D1855" s="1074"/>
      <c r="E1855" s="807"/>
      <c r="F1855" s="807"/>
      <c r="G1855" s="827"/>
      <c r="H1855" s="809" t="s">
        <v>11674</v>
      </c>
      <c r="I1855" s="92">
        <v>22</v>
      </c>
      <c r="J1855" s="92" t="s">
        <v>18</v>
      </c>
      <c r="K1855" s="92" t="s">
        <v>768</v>
      </c>
      <c r="L1855" s="810">
        <v>4</v>
      </c>
      <c r="M1855" s="811" t="str">
        <f t="shared" si="144"/>
        <v>High School Level</v>
      </c>
      <c r="N1855" s="92" t="s">
        <v>1208</v>
      </c>
      <c r="O1855" s="812" t="s">
        <v>3303</v>
      </c>
      <c r="P1855" s="1638"/>
      <c r="Q1855" s="812" t="s">
        <v>3303</v>
      </c>
      <c r="R1855" s="92"/>
      <c r="V1855" s="873"/>
      <c r="W1855" s="815">
        <v>2</v>
      </c>
      <c r="X1855" s="811" t="str">
        <f t="shared" si="142"/>
        <v>within the Municipality/City</v>
      </c>
      <c r="Y1855" s="816">
        <v>1500</v>
      </c>
      <c r="AB1855" s="873"/>
      <c r="AG1855" s="807"/>
      <c r="AJ1855" s="865"/>
    </row>
    <row r="1856" spans="1:36" ht="15">
      <c r="A1856" s="807"/>
      <c r="C1856" s="807"/>
      <c r="D1856" s="410" t="s">
        <v>10449</v>
      </c>
      <c r="E1856" s="807"/>
      <c r="F1856" s="807"/>
      <c r="G1856" s="846" t="s">
        <v>3101</v>
      </c>
      <c r="H1856" s="809" t="s">
        <v>11676</v>
      </c>
      <c r="I1856" s="92">
        <v>20</v>
      </c>
      <c r="J1856" s="92" t="s">
        <v>18</v>
      </c>
      <c r="K1856" s="92" t="s">
        <v>768</v>
      </c>
      <c r="L1856" s="810">
        <v>9</v>
      </c>
      <c r="M1856" s="811" t="str">
        <f t="shared" si="144"/>
        <v>Vocational Graduate</v>
      </c>
      <c r="P1856" s="1638"/>
      <c r="R1856" s="92"/>
      <c r="V1856" s="873"/>
      <c r="X1856" s="811" t="str">
        <f t="shared" si="142"/>
        <v/>
      </c>
      <c r="AB1856" s="873"/>
      <c r="AG1856" s="807"/>
      <c r="AJ1856" s="865"/>
    </row>
    <row r="1857" spans="1:36" ht="15">
      <c r="A1857" s="807"/>
      <c r="C1857" s="807"/>
      <c r="D1857" s="410" t="s">
        <v>11675</v>
      </c>
      <c r="E1857" s="807"/>
      <c r="F1857" s="807"/>
      <c r="G1857" s="846" t="s">
        <v>3101</v>
      </c>
      <c r="H1857" s="809" t="s">
        <v>11677</v>
      </c>
      <c r="I1857" s="92">
        <v>17</v>
      </c>
      <c r="J1857" s="92" t="s">
        <v>10</v>
      </c>
      <c r="K1857" s="92" t="s">
        <v>768</v>
      </c>
      <c r="L1857" s="810">
        <v>5</v>
      </c>
      <c r="M1857" s="811" t="str">
        <f t="shared" si="144"/>
        <v>High School Graduate</v>
      </c>
      <c r="P1857" s="1638"/>
      <c r="R1857" s="92"/>
      <c r="V1857" s="873"/>
      <c r="X1857" s="811" t="str">
        <f t="shared" si="142"/>
        <v/>
      </c>
      <c r="AB1857" s="873"/>
      <c r="AG1857" s="807"/>
      <c r="AJ1857" s="865"/>
    </row>
    <row r="1858" spans="1:36" ht="15">
      <c r="A1858" s="807"/>
      <c r="C1858" s="807"/>
      <c r="D1858" s="410"/>
      <c r="E1858" s="807"/>
      <c r="F1858" s="807"/>
      <c r="G1858" s="846"/>
      <c r="H1858" s="809" t="s">
        <v>11678</v>
      </c>
      <c r="I1858" s="92">
        <v>30</v>
      </c>
      <c r="J1858" s="92" t="s">
        <v>10</v>
      </c>
      <c r="K1858" s="92" t="s">
        <v>768</v>
      </c>
      <c r="L1858" s="810">
        <v>4</v>
      </c>
      <c r="M1858" s="811" t="str">
        <f t="shared" si="144"/>
        <v>High School Level</v>
      </c>
      <c r="P1858" s="1638"/>
      <c r="R1858" s="92" t="s">
        <v>8234</v>
      </c>
      <c r="S1858" s="813">
        <v>5000</v>
      </c>
      <c r="V1858" s="873">
        <f>SUM(S1853:U1857)</f>
        <v>15000</v>
      </c>
      <c r="X1858" s="811" t="str">
        <f t="shared" si="142"/>
        <v/>
      </c>
      <c r="AB1858" s="873">
        <f>SUM(Y1854:AA1858)</f>
        <v>1500</v>
      </c>
      <c r="AG1858" s="807"/>
      <c r="AJ1858" s="865"/>
    </row>
    <row r="1859" spans="1:36" ht="15">
      <c r="A1859" s="92"/>
      <c r="B1859" s="831"/>
      <c r="D1859" s="410"/>
      <c r="E1859" s="807"/>
      <c r="F1859" s="807"/>
      <c r="G1859" s="846"/>
      <c r="H1859" s="809" t="s">
        <v>11679</v>
      </c>
      <c r="I1859" s="92">
        <v>15</v>
      </c>
      <c r="J1859" s="92" t="s">
        <v>18</v>
      </c>
      <c r="K1859" s="92" t="s">
        <v>768</v>
      </c>
      <c r="L1859" s="810">
        <v>4</v>
      </c>
      <c r="M1859" s="811" t="str">
        <f t="shared" si="144"/>
        <v>High School Level</v>
      </c>
      <c r="N1859" s="92" t="s">
        <v>1208</v>
      </c>
      <c r="O1859" s="812" t="s">
        <v>2220</v>
      </c>
      <c r="P1859" s="1638"/>
      <c r="Q1859" s="812" t="s">
        <v>2220</v>
      </c>
      <c r="R1859" s="92"/>
      <c r="W1859" s="815">
        <v>1</v>
      </c>
      <c r="X1859" s="811" t="str">
        <f t="shared" si="142"/>
        <v>within the Brgy</v>
      </c>
      <c r="AB1859" s="814"/>
      <c r="AG1859" s="807"/>
      <c r="AJ1859" s="865"/>
    </row>
    <row r="1860" spans="1:36" ht="15">
      <c r="A1860" s="92"/>
      <c r="B1860" s="831"/>
      <c r="D1860" s="410"/>
      <c r="E1860" s="807"/>
      <c r="F1860" s="807"/>
      <c r="G1860" s="846"/>
      <c r="H1860" s="809" t="s">
        <v>11680</v>
      </c>
      <c r="I1860" s="92">
        <v>26</v>
      </c>
      <c r="J1860" s="92" t="s">
        <v>10</v>
      </c>
      <c r="K1860" s="92" t="s">
        <v>707</v>
      </c>
      <c r="L1860" s="810">
        <v>4</v>
      </c>
      <c r="M1860" s="811" t="str">
        <f t="shared" si="144"/>
        <v>High School Level</v>
      </c>
      <c r="P1860" s="1638"/>
      <c r="R1860" s="92"/>
      <c r="X1860" s="811" t="str">
        <f t="shared" si="142"/>
        <v/>
      </c>
      <c r="AB1860" s="814"/>
      <c r="AG1860" s="807"/>
      <c r="AJ1860" s="865"/>
    </row>
    <row r="1861" spans="1:36" ht="15">
      <c r="A1861" s="92"/>
      <c r="B1861" s="831"/>
      <c r="D1861" s="410"/>
      <c r="E1861" s="807"/>
      <c r="F1861" s="807"/>
      <c r="G1861" s="846"/>
      <c r="H1861" s="809" t="s">
        <v>3110</v>
      </c>
      <c r="I1861" s="92">
        <v>23</v>
      </c>
      <c r="J1861" s="92" t="s">
        <v>18</v>
      </c>
      <c r="K1861" s="92" t="s">
        <v>707</v>
      </c>
      <c r="L1861" s="810">
        <v>4</v>
      </c>
      <c r="M1861" s="811" t="str">
        <f t="shared" si="144"/>
        <v>High School Level</v>
      </c>
      <c r="P1861" s="1638"/>
      <c r="R1861" s="92"/>
      <c r="X1861" s="811" t="str">
        <f t="shared" si="142"/>
        <v/>
      </c>
      <c r="AB1861" s="814"/>
      <c r="AG1861" s="807"/>
      <c r="AJ1861" s="865"/>
    </row>
    <row r="1862" spans="1:36" ht="15">
      <c r="A1862" s="807"/>
      <c r="C1862" s="807"/>
      <c r="D1862" s="410" t="s">
        <v>7436</v>
      </c>
      <c r="E1862" s="807"/>
      <c r="F1862" s="807"/>
      <c r="G1862" s="846" t="s">
        <v>3101</v>
      </c>
      <c r="H1862" s="809" t="s">
        <v>11681</v>
      </c>
      <c r="I1862" s="92">
        <v>4</v>
      </c>
      <c r="J1862" s="92" t="s">
        <v>18</v>
      </c>
      <c r="K1862" s="92" t="s">
        <v>768</v>
      </c>
      <c r="L1862" s="810">
        <v>1</v>
      </c>
      <c r="M1862" s="811" t="str">
        <f t="shared" si="144"/>
        <v>Pre-school</v>
      </c>
      <c r="P1862" s="1638"/>
      <c r="R1862" s="92"/>
      <c r="V1862" s="814">
        <f>SUM(S1858:U1861)</f>
        <v>5000</v>
      </c>
      <c r="X1862" s="811" t="str">
        <f t="shared" si="142"/>
        <v/>
      </c>
      <c r="AB1862" s="814">
        <f>SUM(Y1859:AA1862)</f>
        <v>0</v>
      </c>
      <c r="AG1862" s="807"/>
      <c r="AJ1862" s="865"/>
    </row>
    <row r="1863" spans="1:36" ht="15">
      <c r="A1863" s="807"/>
      <c r="C1863" s="807"/>
      <c r="D1863" s="410"/>
      <c r="E1863" s="807"/>
      <c r="F1863" s="807"/>
      <c r="G1863" s="846"/>
      <c r="H1863" s="809" t="s">
        <v>11682</v>
      </c>
      <c r="I1863" s="92">
        <f>8/12</f>
        <v>0.66666666666666663</v>
      </c>
      <c r="J1863" s="92" t="s">
        <v>18</v>
      </c>
      <c r="K1863" s="92" t="s">
        <v>768</v>
      </c>
      <c r="L1863" s="810">
        <v>10</v>
      </c>
      <c r="M1863" s="811" t="str">
        <f t="shared" si="144"/>
        <v>Not In School Age</v>
      </c>
      <c r="P1863" s="1638"/>
      <c r="R1863" s="92" t="s">
        <v>20</v>
      </c>
      <c r="S1863" s="813">
        <v>9000</v>
      </c>
      <c r="U1863" s="813">
        <v>5000</v>
      </c>
      <c r="X1863" s="811" t="str">
        <f t="shared" si="142"/>
        <v/>
      </c>
      <c r="AB1863" s="814"/>
      <c r="AD1863" s="817" t="s">
        <v>11326</v>
      </c>
      <c r="AG1863" s="807" t="str">
        <f>IF(ISBLANK(AF1863)=TRUE,"",LOOKUP(AF1863,GS:GT))</f>
        <v/>
      </c>
      <c r="AJ1863" s="865"/>
    </row>
    <row r="1864" spans="1:36" ht="15">
      <c r="A1864" s="807"/>
      <c r="C1864" s="807"/>
      <c r="D1864" s="410"/>
      <c r="E1864" s="807"/>
      <c r="F1864" s="807"/>
      <c r="G1864" s="846"/>
      <c r="H1864" s="809" t="s">
        <v>11276</v>
      </c>
      <c r="I1864" s="92">
        <v>43</v>
      </c>
      <c r="J1864" s="92" t="s">
        <v>10</v>
      </c>
      <c r="K1864" s="92" t="s">
        <v>707</v>
      </c>
      <c r="L1864" s="810">
        <v>7</v>
      </c>
      <c r="M1864" s="811" t="str">
        <f t="shared" si="144"/>
        <v>College Graduate or Higher</v>
      </c>
      <c r="N1864" s="92" t="s">
        <v>1208</v>
      </c>
      <c r="O1864" s="812" t="s">
        <v>11325</v>
      </c>
      <c r="P1864" s="1638"/>
      <c r="Q1864" s="812" t="s">
        <v>11325</v>
      </c>
      <c r="R1864" s="92"/>
      <c r="W1864" s="815">
        <v>1</v>
      </c>
      <c r="X1864" s="811" t="str">
        <f t="shared" si="142"/>
        <v>within the Brgy</v>
      </c>
      <c r="AB1864" s="814"/>
      <c r="AG1864" s="807"/>
      <c r="AJ1864" s="865"/>
    </row>
    <row r="1865" spans="1:36" ht="15">
      <c r="A1865" s="807"/>
      <c r="C1865" s="807"/>
      <c r="D1865" s="410"/>
      <c r="E1865" s="807"/>
      <c r="F1865" s="807"/>
      <c r="G1865" s="846"/>
      <c r="H1865" s="809" t="s">
        <v>11322</v>
      </c>
      <c r="I1865" s="92">
        <v>62</v>
      </c>
      <c r="J1865" s="92" t="s">
        <v>18</v>
      </c>
      <c r="K1865" s="92" t="s">
        <v>707</v>
      </c>
      <c r="L1865" s="810">
        <v>5</v>
      </c>
      <c r="M1865" s="811" t="str">
        <f t="shared" si="144"/>
        <v>High School Graduate</v>
      </c>
      <c r="P1865" s="1638"/>
      <c r="R1865" s="92"/>
      <c r="X1865" s="811" t="str">
        <f t="shared" si="142"/>
        <v/>
      </c>
      <c r="AB1865" s="814"/>
      <c r="AG1865" s="807"/>
      <c r="AJ1865" s="865"/>
    </row>
    <row r="1866" spans="1:36" ht="15">
      <c r="A1866" s="807"/>
      <c r="C1866" s="807"/>
      <c r="D1866" s="1074" t="s">
        <v>10451</v>
      </c>
      <c r="E1866" s="1045" t="s">
        <v>3111</v>
      </c>
      <c r="F1866" s="1048" t="s">
        <v>11276</v>
      </c>
      <c r="G1866" s="846" t="s">
        <v>3111</v>
      </c>
      <c r="H1866" s="809" t="s">
        <v>11324</v>
      </c>
      <c r="I1866" s="92">
        <v>18</v>
      </c>
      <c r="J1866" s="92" t="s">
        <v>10</v>
      </c>
      <c r="K1866" s="92" t="s">
        <v>768</v>
      </c>
      <c r="L1866" s="810">
        <v>6</v>
      </c>
      <c r="M1866" s="811" t="str">
        <f t="shared" si="144"/>
        <v>College Level</v>
      </c>
      <c r="P1866" s="1638"/>
      <c r="R1866" s="92" t="s">
        <v>8234</v>
      </c>
      <c r="V1866" s="814">
        <f>SUM(S1863:U1865)</f>
        <v>14000</v>
      </c>
      <c r="X1866" s="811" t="str">
        <f t="shared" si="142"/>
        <v/>
      </c>
      <c r="AB1866" s="814">
        <f>SUM(Y1864:AA1866)</f>
        <v>0</v>
      </c>
      <c r="AG1866" s="807"/>
      <c r="AJ1866" s="865"/>
    </row>
    <row r="1867" spans="1:36" ht="15">
      <c r="A1867" s="807"/>
      <c r="C1867" s="807"/>
      <c r="D1867" s="1074"/>
      <c r="E1867" s="1045" t="s">
        <v>3111</v>
      </c>
      <c r="F1867" s="93"/>
      <c r="G1867" s="846"/>
      <c r="H1867" s="809" t="s">
        <v>11323</v>
      </c>
      <c r="I1867" s="92">
        <v>17</v>
      </c>
      <c r="J1867" s="92" t="s">
        <v>18</v>
      </c>
      <c r="K1867" s="92" t="s">
        <v>768</v>
      </c>
      <c r="L1867" s="810">
        <v>5</v>
      </c>
      <c r="M1867" s="811" t="str">
        <f t="shared" si="144"/>
        <v>High School Graduate</v>
      </c>
      <c r="P1867" s="1638"/>
      <c r="R1867" s="92" t="s">
        <v>8285</v>
      </c>
      <c r="S1867" s="813">
        <v>12000</v>
      </c>
      <c r="V1867" s="873"/>
      <c r="X1867" s="811" t="str">
        <f t="shared" si="142"/>
        <v/>
      </c>
      <c r="AB1867" s="873"/>
      <c r="AD1867" s="817" t="s">
        <v>10453</v>
      </c>
      <c r="AE1867" s="93" t="s">
        <v>10454</v>
      </c>
      <c r="AF1867" s="818">
        <v>3</v>
      </c>
      <c r="AG1867" s="807" t="str">
        <f t="shared" ref="AG1867:AG1907" si="145">IF(ISBLANK(AF1867)=TRUE,"",LOOKUP(AF1867,GS:GT))</f>
        <v>Special Medical Care</v>
      </c>
      <c r="AJ1867" s="865"/>
    </row>
    <row r="1868" spans="1:36" ht="15">
      <c r="A1868" s="807"/>
      <c r="C1868" s="807"/>
      <c r="D1868" s="1074"/>
      <c r="E1868" s="1045" t="s">
        <v>3111</v>
      </c>
      <c r="F1868" s="93"/>
      <c r="G1868" s="846"/>
      <c r="H1868" s="809" t="s">
        <v>4571</v>
      </c>
      <c r="I1868" s="92">
        <v>85</v>
      </c>
      <c r="J1868" s="92" t="s">
        <v>18</v>
      </c>
      <c r="K1868" s="92" t="s">
        <v>707</v>
      </c>
      <c r="L1868" s="810">
        <v>3</v>
      </c>
      <c r="M1868" s="811" t="str">
        <f t="shared" si="144"/>
        <v>Elementary Graduate</v>
      </c>
      <c r="N1868" s="92" t="s">
        <v>1208</v>
      </c>
      <c r="O1868" s="812" t="s">
        <v>2243</v>
      </c>
      <c r="P1868" s="1638"/>
      <c r="Q1868" s="812" t="s">
        <v>2243</v>
      </c>
      <c r="R1868" s="92" t="s">
        <v>8234</v>
      </c>
      <c r="U1868" s="813">
        <v>12000</v>
      </c>
      <c r="V1868" s="873">
        <f>SUM(S1866:U1867)</f>
        <v>12000</v>
      </c>
      <c r="W1868" s="815">
        <v>3</v>
      </c>
      <c r="X1868" s="811" t="str">
        <f t="shared" si="142"/>
        <v>within the Province</v>
      </c>
      <c r="Y1868" s="816">
        <v>120</v>
      </c>
      <c r="AB1868" s="873">
        <f>SUM(Y1867:AA1868)</f>
        <v>120</v>
      </c>
      <c r="AG1868" s="807" t="str">
        <f t="shared" si="145"/>
        <v/>
      </c>
      <c r="AJ1868" s="865"/>
    </row>
    <row r="1869" spans="1:36" ht="15">
      <c r="A1869" s="807"/>
      <c r="C1869" s="807"/>
      <c r="D1869" s="1074"/>
      <c r="E1869" s="1045" t="s">
        <v>3111</v>
      </c>
      <c r="F1869" s="93"/>
      <c r="G1869" s="846"/>
      <c r="H1869" s="809" t="s">
        <v>10455</v>
      </c>
      <c r="I1869" s="92">
        <v>52</v>
      </c>
      <c r="J1869" s="92" t="s">
        <v>10</v>
      </c>
      <c r="K1869" s="92" t="s">
        <v>768</v>
      </c>
      <c r="L1869" s="810">
        <v>7</v>
      </c>
      <c r="M1869" s="811" t="str">
        <f t="shared" si="144"/>
        <v>College Graduate or Higher</v>
      </c>
      <c r="N1869" s="92" t="s">
        <v>1208</v>
      </c>
      <c r="O1869" s="812" t="s">
        <v>10457</v>
      </c>
      <c r="P1869" s="1638"/>
      <c r="Q1869" s="812" t="s">
        <v>10457</v>
      </c>
      <c r="S1869" s="813" t="s">
        <v>4328</v>
      </c>
      <c r="V1869" s="828"/>
      <c r="W1869" s="815">
        <v>1</v>
      </c>
      <c r="X1869" s="811" t="str">
        <f t="shared" si="142"/>
        <v>within the Brgy</v>
      </c>
      <c r="AB1869" s="953"/>
      <c r="AD1869" s="817" t="s">
        <v>10458</v>
      </c>
      <c r="AG1869" s="807" t="str">
        <f t="shared" si="145"/>
        <v/>
      </c>
      <c r="AJ1869" s="865"/>
    </row>
    <row r="1870" spans="1:36" ht="15">
      <c r="A1870" s="807"/>
      <c r="C1870" s="807"/>
      <c r="D1870" s="410" t="s">
        <v>10452</v>
      </c>
      <c r="E1870" s="93"/>
      <c r="F1870" s="807"/>
      <c r="G1870" s="846" t="s">
        <v>4572</v>
      </c>
      <c r="H1870" s="809" t="s">
        <v>4587</v>
      </c>
      <c r="I1870" s="92">
        <v>58</v>
      </c>
      <c r="J1870" s="92" t="s">
        <v>18</v>
      </c>
      <c r="K1870" s="92" t="s">
        <v>707</v>
      </c>
      <c r="L1870" s="810">
        <v>5</v>
      </c>
      <c r="M1870" s="811" t="str">
        <f t="shared" si="144"/>
        <v>High School Graduate</v>
      </c>
      <c r="N1870" s="92" t="s">
        <v>1208</v>
      </c>
      <c r="O1870" s="812" t="s">
        <v>2218</v>
      </c>
      <c r="P1870" s="1638"/>
      <c r="Q1870" s="812" t="s">
        <v>2218</v>
      </c>
      <c r="U1870" s="813">
        <v>12000</v>
      </c>
      <c r="V1870" s="828"/>
      <c r="W1870" s="815">
        <v>0</v>
      </c>
      <c r="X1870" s="811" t="str">
        <f t="shared" si="142"/>
        <v>Pensioner/ Support from children</v>
      </c>
      <c r="AB1870" s="953"/>
      <c r="AG1870" s="807" t="str">
        <f t="shared" si="145"/>
        <v/>
      </c>
      <c r="AJ1870" s="865"/>
    </row>
    <row r="1871" spans="1:36" ht="15">
      <c r="A1871" s="807"/>
      <c r="C1871" s="807"/>
      <c r="D1871" s="1074"/>
      <c r="E1871" s="93"/>
      <c r="F1871" s="807"/>
      <c r="G1871" s="827"/>
      <c r="H1871" s="809" t="s">
        <v>10459</v>
      </c>
      <c r="I1871" s="92">
        <v>66</v>
      </c>
      <c r="J1871" s="92" t="s">
        <v>10</v>
      </c>
      <c r="K1871" s="92" t="s">
        <v>707</v>
      </c>
      <c r="L1871" s="810">
        <v>7</v>
      </c>
      <c r="M1871" s="811" t="str">
        <f t="shared" si="144"/>
        <v>College Graduate or Higher</v>
      </c>
      <c r="N1871" s="92" t="s">
        <v>1208</v>
      </c>
      <c r="O1871" s="812" t="s">
        <v>10461</v>
      </c>
      <c r="P1871" s="1638"/>
      <c r="Q1871" s="812" t="s">
        <v>10461</v>
      </c>
      <c r="V1871" s="828"/>
      <c r="W1871" s="815">
        <v>3</v>
      </c>
      <c r="X1871" s="811" t="str">
        <f t="shared" si="142"/>
        <v>within the Province</v>
      </c>
      <c r="AA1871" s="816">
        <v>200</v>
      </c>
      <c r="AB1871" s="953"/>
      <c r="AG1871" s="807" t="str">
        <f t="shared" si="145"/>
        <v/>
      </c>
      <c r="AJ1871" s="865"/>
    </row>
    <row r="1872" spans="1:36" ht="15">
      <c r="A1872" s="807"/>
      <c r="C1872" s="807"/>
      <c r="D1872" s="1074" t="s">
        <v>10456</v>
      </c>
      <c r="E1872" s="807"/>
      <c r="F1872" s="807"/>
      <c r="G1872" s="809" t="s">
        <v>4573</v>
      </c>
      <c r="H1872" s="809" t="s">
        <v>10460</v>
      </c>
      <c r="I1872" s="92">
        <v>34</v>
      </c>
      <c r="J1872" s="92" t="s">
        <v>10</v>
      </c>
      <c r="K1872" s="92" t="s">
        <v>768</v>
      </c>
      <c r="L1872" s="810">
        <v>7</v>
      </c>
      <c r="M1872" s="811" t="str">
        <f t="shared" si="144"/>
        <v>College Graduate or Higher</v>
      </c>
      <c r="P1872" s="1638"/>
      <c r="V1872" s="828"/>
      <c r="X1872" s="811" t="str">
        <f t="shared" si="142"/>
        <v/>
      </c>
      <c r="AB1872" s="953"/>
      <c r="AG1872" s="807" t="str">
        <f t="shared" si="145"/>
        <v/>
      </c>
      <c r="AJ1872" s="865"/>
    </row>
    <row r="1873" spans="1:105" ht="15">
      <c r="D1873" s="1074"/>
      <c r="E1873" s="807"/>
      <c r="F1873" s="807"/>
      <c r="G1873" s="827"/>
      <c r="H1873" s="809" t="s">
        <v>10462</v>
      </c>
      <c r="I1873" s="92">
        <v>42</v>
      </c>
      <c r="J1873" s="92" t="s">
        <v>10</v>
      </c>
      <c r="K1873" s="92" t="s">
        <v>768</v>
      </c>
      <c r="L1873" s="810">
        <v>6</v>
      </c>
      <c r="M1873" s="811" t="str">
        <f t="shared" si="144"/>
        <v>College Level</v>
      </c>
      <c r="P1873" s="1638"/>
      <c r="R1873" s="92" t="s">
        <v>8234</v>
      </c>
      <c r="T1873" s="813">
        <v>21000</v>
      </c>
      <c r="V1873" s="828">
        <f>SUM(S1868:U1872)</f>
        <v>24000</v>
      </c>
      <c r="X1873" s="811" t="str">
        <f t="shared" si="142"/>
        <v/>
      </c>
      <c r="AB1873" s="953">
        <f>SUM(Y1869:AA1873)</f>
        <v>200</v>
      </c>
      <c r="AG1873" s="807" t="str">
        <f t="shared" si="145"/>
        <v/>
      </c>
      <c r="AJ1873" s="865"/>
    </row>
    <row r="1874" spans="1:105" ht="15">
      <c r="D1874" s="1074"/>
      <c r="E1874" s="807"/>
      <c r="F1874" s="807"/>
      <c r="G1874" s="827"/>
      <c r="H1874" s="809" t="s">
        <v>10463</v>
      </c>
      <c r="I1874" s="92">
        <v>28</v>
      </c>
      <c r="J1874" s="92" t="s">
        <v>10</v>
      </c>
      <c r="K1874" s="92" t="s">
        <v>768</v>
      </c>
      <c r="L1874" s="810">
        <v>4</v>
      </c>
      <c r="M1874" s="811" t="str">
        <f t="shared" si="144"/>
        <v>High School Level</v>
      </c>
      <c r="N1874" s="92" t="s">
        <v>1208</v>
      </c>
      <c r="O1874" s="812" t="s">
        <v>2203</v>
      </c>
      <c r="P1874" s="1638" t="s">
        <v>12615</v>
      </c>
      <c r="Q1874" s="812" t="s">
        <v>2203</v>
      </c>
      <c r="R1874" s="812" t="s">
        <v>8285</v>
      </c>
      <c r="U1874" s="813">
        <v>2400</v>
      </c>
      <c r="V1874" s="961"/>
      <c r="W1874" s="815">
        <v>2</v>
      </c>
      <c r="X1874" s="811" t="str">
        <f t="shared" si="142"/>
        <v>within the Municipality/City</v>
      </c>
      <c r="Z1874" s="816">
        <v>240</v>
      </c>
      <c r="AB1874" s="962"/>
      <c r="AD1874" s="817" t="s">
        <v>10465</v>
      </c>
      <c r="AE1874" s="92"/>
      <c r="AF1874" s="810"/>
      <c r="AG1874" s="807" t="str">
        <f t="shared" si="145"/>
        <v/>
      </c>
      <c r="AJ1874" s="865"/>
    </row>
    <row r="1875" spans="1:105" ht="15">
      <c r="D1875" s="1074"/>
      <c r="E1875" s="807"/>
      <c r="F1875" s="807"/>
      <c r="G1875" s="827"/>
      <c r="H1875" s="809" t="s">
        <v>4589</v>
      </c>
      <c r="I1875" s="92">
        <v>50</v>
      </c>
      <c r="J1875" s="92" t="s">
        <v>10</v>
      </c>
      <c r="K1875" s="92" t="s">
        <v>707</v>
      </c>
      <c r="L1875" s="810">
        <v>6</v>
      </c>
      <c r="M1875" s="811" t="str">
        <f t="shared" si="144"/>
        <v>College Level</v>
      </c>
      <c r="N1875" s="92" t="s">
        <v>1208</v>
      </c>
      <c r="O1875" s="812" t="s">
        <v>10467</v>
      </c>
      <c r="P1875" s="1638"/>
      <c r="Q1875" s="812" t="s">
        <v>10467</v>
      </c>
      <c r="R1875" s="812" t="s">
        <v>8285</v>
      </c>
      <c r="T1875" s="813">
        <v>12000</v>
      </c>
      <c r="V1875" s="961"/>
      <c r="W1875" s="815">
        <v>3</v>
      </c>
      <c r="X1875" s="811" t="str">
        <f t="shared" si="142"/>
        <v>within the Province</v>
      </c>
      <c r="AA1875" s="816">
        <v>2400</v>
      </c>
      <c r="AB1875" s="962"/>
      <c r="AD1875" s="817" t="s">
        <v>10468</v>
      </c>
      <c r="AE1875" s="92"/>
      <c r="AF1875" s="810"/>
      <c r="AG1875" s="807" t="str">
        <f t="shared" si="145"/>
        <v/>
      </c>
      <c r="AJ1875" s="865"/>
    </row>
    <row r="1876" spans="1:105" ht="15">
      <c r="A1876" s="17"/>
      <c r="D1876" s="1074"/>
      <c r="E1876" s="807"/>
      <c r="F1876" s="807"/>
      <c r="G1876" s="827"/>
      <c r="H1876" s="809" t="s">
        <v>10466</v>
      </c>
      <c r="I1876" s="857">
        <v>60</v>
      </c>
      <c r="J1876" s="92" t="s">
        <v>10</v>
      </c>
      <c r="K1876" s="92" t="s">
        <v>707</v>
      </c>
      <c r="L1876" s="810">
        <v>7</v>
      </c>
      <c r="M1876" s="811" t="str">
        <f t="shared" si="144"/>
        <v>College Graduate or Higher</v>
      </c>
      <c r="N1876" s="92" t="s">
        <v>1208</v>
      </c>
      <c r="O1876" s="812" t="s">
        <v>10467</v>
      </c>
      <c r="P1876" s="1638"/>
      <c r="Q1876" s="812" t="s">
        <v>10467</v>
      </c>
      <c r="V1876" s="961"/>
      <c r="W1876" s="815">
        <v>2</v>
      </c>
      <c r="X1876" s="811" t="str">
        <f t="shared" si="142"/>
        <v>within the Municipality/City</v>
      </c>
      <c r="Z1876" s="816">
        <v>900</v>
      </c>
      <c r="AB1876" s="962"/>
      <c r="AG1876" s="807" t="str">
        <f t="shared" si="145"/>
        <v/>
      </c>
      <c r="AJ1876" s="865"/>
    </row>
    <row r="1877" spans="1:105" ht="15">
      <c r="A1877" s="19" t="s">
        <v>7421</v>
      </c>
      <c r="B1877" s="809" t="s">
        <v>8021</v>
      </c>
      <c r="C1877" s="149" t="s">
        <v>4588</v>
      </c>
      <c r="D1877" s="1074" t="s">
        <v>10464</v>
      </c>
      <c r="E1877" s="1045" t="s">
        <v>4588</v>
      </c>
      <c r="F1877" s="1048" t="s">
        <v>4589</v>
      </c>
      <c r="G1877" s="809" t="s">
        <v>4588</v>
      </c>
      <c r="H1877" s="809" t="s">
        <v>10469</v>
      </c>
      <c r="I1877" s="92">
        <v>80</v>
      </c>
      <c r="J1877" s="92" t="s">
        <v>18</v>
      </c>
      <c r="K1877" s="92" t="s">
        <v>719</v>
      </c>
      <c r="L1877" s="810">
        <v>3</v>
      </c>
      <c r="M1877" s="811" t="str">
        <f t="shared" si="144"/>
        <v>Elementary Graduate</v>
      </c>
      <c r="P1877" s="1638"/>
      <c r="R1877" s="92" t="s">
        <v>8234</v>
      </c>
      <c r="S1877" s="813">
        <v>1000</v>
      </c>
      <c r="V1877" s="961">
        <f>SUM(S1873:U1876)</f>
        <v>35400</v>
      </c>
      <c r="X1877" s="811" t="str">
        <f t="shared" si="142"/>
        <v/>
      </c>
      <c r="AB1877" s="962">
        <f>SUM(Y1874:AA1877)</f>
        <v>3540</v>
      </c>
      <c r="AG1877" s="807" t="str">
        <f t="shared" si="145"/>
        <v/>
      </c>
      <c r="AJ1877" s="865"/>
    </row>
    <row r="1878" spans="1:105" ht="15">
      <c r="A1878" s="807"/>
      <c r="C1878" s="807"/>
      <c r="D1878" s="1074"/>
      <c r="E1878" s="1045" t="s">
        <v>4588</v>
      </c>
      <c r="F1878" s="807"/>
      <c r="G1878" s="827"/>
      <c r="H1878" s="809" t="s">
        <v>10470</v>
      </c>
      <c r="I1878" s="92">
        <v>25</v>
      </c>
      <c r="J1878" s="92" t="s">
        <v>10</v>
      </c>
      <c r="K1878" s="92" t="s">
        <v>722</v>
      </c>
      <c r="L1878" s="810">
        <v>6</v>
      </c>
      <c r="M1878" s="811" t="str">
        <f t="shared" si="144"/>
        <v>College Level</v>
      </c>
      <c r="N1878" s="92" t="s">
        <v>1208</v>
      </c>
      <c r="O1878" s="812" t="s">
        <v>10472</v>
      </c>
      <c r="P1878" s="1638" t="s">
        <v>12621</v>
      </c>
      <c r="Q1878" s="812" t="s">
        <v>10472</v>
      </c>
      <c r="W1878" s="815">
        <v>1</v>
      </c>
      <c r="X1878" s="811" t="str">
        <f t="shared" si="142"/>
        <v>within the Brgy</v>
      </c>
      <c r="AB1878" s="940"/>
      <c r="AG1878" s="807" t="str">
        <f t="shared" si="145"/>
        <v/>
      </c>
      <c r="AJ1878" s="865"/>
      <c r="BZ1878" s="807">
        <v>1</v>
      </c>
      <c r="CE1878" s="93">
        <v>2</v>
      </c>
      <c r="CU1878" s="807">
        <v>1</v>
      </c>
      <c r="DA1878" s="807" t="s">
        <v>2146</v>
      </c>
    </row>
    <row r="1879" spans="1:105" ht="15">
      <c r="D1879" s="1074"/>
      <c r="E1879" s="1045" t="s">
        <v>4588</v>
      </c>
      <c r="F1879" s="807"/>
      <c r="G1879" s="827"/>
      <c r="H1879" s="809" t="s">
        <v>4602</v>
      </c>
      <c r="I1879" s="92">
        <v>51</v>
      </c>
      <c r="J1879" s="92" t="s">
        <v>18</v>
      </c>
      <c r="K1879" s="92" t="s">
        <v>719</v>
      </c>
      <c r="L1879" s="810">
        <v>3</v>
      </c>
      <c r="M1879" s="811" t="str">
        <f t="shared" si="144"/>
        <v>Elementary Graduate</v>
      </c>
      <c r="P1879" s="1638"/>
      <c r="X1879" s="811" t="str">
        <f t="shared" ref="X1879:X1910" si="146">IF(ISBLANK(W1879)=TRUE,"",LOOKUP(W1879,GO:GP))</f>
        <v/>
      </c>
      <c r="AB1879" s="940"/>
      <c r="AG1879" s="807" t="str">
        <f t="shared" si="145"/>
        <v/>
      </c>
      <c r="AJ1879" s="865"/>
    </row>
    <row r="1880" spans="1:105" ht="15">
      <c r="A1880" s="17"/>
      <c r="D1880" s="1074"/>
      <c r="E1880" s="1045" t="s">
        <v>4588</v>
      </c>
      <c r="F1880" s="807"/>
      <c r="G1880" s="827"/>
      <c r="H1880" s="809" t="s">
        <v>10473</v>
      </c>
      <c r="I1880" s="92">
        <v>4</v>
      </c>
      <c r="J1880" s="92" t="s">
        <v>18</v>
      </c>
      <c r="K1880" s="92" t="s">
        <v>768</v>
      </c>
      <c r="L1880" s="810">
        <v>1</v>
      </c>
      <c r="M1880" s="811" t="str">
        <f t="shared" si="144"/>
        <v>Pre-school</v>
      </c>
      <c r="P1880" s="1638"/>
      <c r="S1880" s="813">
        <f>300*26</f>
        <v>7800</v>
      </c>
      <c r="X1880" s="811" t="str">
        <f t="shared" si="146"/>
        <v/>
      </c>
      <c r="AB1880" s="940"/>
      <c r="AG1880" s="807" t="str">
        <f t="shared" si="145"/>
        <v/>
      </c>
      <c r="AJ1880" s="865"/>
    </row>
    <row r="1881" spans="1:105" ht="15">
      <c r="A1881" s="311" t="s">
        <v>12355</v>
      </c>
      <c r="B1881" s="292" t="s">
        <v>8022</v>
      </c>
      <c r="C1881" s="149" t="s">
        <v>3112</v>
      </c>
      <c r="D1881" s="1074" t="s">
        <v>10471</v>
      </c>
      <c r="E1881" s="807"/>
      <c r="F1881" s="807"/>
      <c r="G1881" s="809" t="s">
        <v>3112</v>
      </c>
      <c r="H1881" s="809" t="s">
        <v>10474</v>
      </c>
      <c r="I1881" s="92">
        <v>14</v>
      </c>
      <c r="J1881" s="92" t="s">
        <v>18</v>
      </c>
      <c r="K1881" s="92" t="s">
        <v>768</v>
      </c>
      <c r="L1881" s="810">
        <v>2</v>
      </c>
      <c r="M1881" s="811" t="str">
        <f t="shared" ref="M1881:M1912" si="147">IF(ISBLANK(L1881)=TRUE,"",LOOKUP(L1881,GQ:GR))</f>
        <v>Elementary Level</v>
      </c>
      <c r="N1881" s="92" t="s">
        <v>1208</v>
      </c>
      <c r="P1881" s="1638"/>
      <c r="R1881" s="92" t="s">
        <v>8234</v>
      </c>
      <c r="V1881" s="814">
        <f>SUM(S1877:U1880)</f>
        <v>8800</v>
      </c>
      <c r="W1881" s="815">
        <v>3</v>
      </c>
      <c r="X1881" s="811" t="str">
        <f t="shared" si="146"/>
        <v>within the Province</v>
      </c>
      <c r="Y1881" s="816">
        <f>16*26</f>
        <v>416</v>
      </c>
      <c r="AB1881" s="940">
        <f>SUM(Y1878:AA1881)</f>
        <v>416</v>
      </c>
      <c r="AG1881" s="807" t="str">
        <f t="shared" si="145"/>
        <v/>
      </c>
      <c r="AJ1881" s="865"/>
      <c r="AQ1881" s="807">
        <v>1</v>
      </c>
      <c r="AR1881" s="807">
        <v>2</v>
      </c>
      <c r="AX1881" s="807">
        <v>3</v>
      </c>
    </row>
    <row r="1882" spans="1:105" ht="15">
      <c r="D1882" s="1074"/>
      <c r="E1882" s="807"/>
      <c r="F1882" s="807"/>
      <c r="G1882" s="827"/>
      <c r="H1882" s="809" t="s">
        <v>10475</v>
      </c>
      <c r="I1882" s="92">
        <v>37</v>
      </c>
      <c r="J1882" s="92" t="s">
        <v>10</v>
      </c>
      <c r="K1882" s="92" t="s">
        <v>722</v>
      </c>
      <c r="L1882" s="810">
        <v>5</v>
      </c>
      <c r="M1882" s="811" t="str">
        <f t="shared" si="147"/>
        <v>High School Graduate</v>
      </c>
      <c r="P1882" s="1638"/>
      <c r="V1882" s="828"/>
      <c r="X1882" s="811" t="str">
        <f t="shared" si="146"/>
        <v/>
      </c>
      <c r="AB1882" s="953"/>
      <c r="AG1882" s="807" t="str">
        <f t="shared" si="145"/>
        <v/>
      </c>
      <c r="AJ1882" s="865"/>
    </row>
    <row r="1883" spans="1:105" ht="15">
      <c r="D1883" s="1074"/>
      <c r="E1883" s="807"/>
      <c r="F1883" s="807"/>
      <c r="G1883" s="827"/>
      <c r="H1883" s="809" t="s">
        <v>3117</v>
      </c>
      <c r="I1883" s="92">
        <v>32</v>
      </c>
      <c r="J1883" s="92" t="s">
        <v>18</v>
      </c>
      <c r="K1883" s="92" t="s">
        <v>707</v>
      </c>
      <c r="L1883" s="810">
        <v>4</v>
      </c>
      <c r="M1883" s="811" t="str">
        <f t="shared" si="147"/>
        <v>High School Level</v>
      </c>
      <c r="P1883" s="1638"/>
      <c r="V1883" s="828"/>
      <c r="X1883" s="811" t="str">
        <f t="shared" si="146"/>
        <v/>
      </c>
      <c r="AB1883" s="953"/>
      <c r="AG1883" s="807" t="str">
        <f t="shared" si="145"/>
        <v/>
      </c>
      <c r="AJ1883" s="865"/>
    </row>
    <row r="1884" spans="1:105" ht="15">
      <c r="A1884" s="17"/>
      <c r="D1884" s="1074"/>
      <c r="E1884" s="807"/>
      <c r="F1884" s="807"/>
      <c r="G1884" s="827"/>
      <c r="H1884" s="809" t="s">
        <v>10477</v>
      </c>
      <c r="I1884" s="92">
        <v>16</v>
      </c>
      <c r="J1884" s="92" t="s">
        <v>10</v>
      </c>
      <c r="K1884" s="92" t="s">
        <v>768</v>
      </c>
      <c r="L1884" s="810">
        <v>2</v>
      </c>
      <c r="M1884" s="811" t="str">
        <f t="shared" si="147"/>
        <v>Elementary Level</v>
      </c>
      <c r="P1884" s="1638"/>
      <c r="V1884" s="828"/>
      <c r="X1884" s="811" t="str">
        <f t="shared" si="146"/>
        <v/>
      </c>
      <c r="AB1884" s="953"/>
      <c r="AG1884" s="807" t="str">
        <f t="shared" si="145"/>
        <v/>
      </c>
      <c r="AJ1884" s="865"/>
    </row>
    <row r="1885" spans="1:105" ht="15">
      <c r="B1885" s="809"/>
      <c r="D1885" s="1074" t="s">
        <v>10476</v>
      </c>
      <c r="E1885" s="807"/>
      <c r="F1885" s="807"/>
      <c r="G1885" s="929"/>
      <c r="H1885" s="809" t="s">
        <v>10474</v>
      </c>
      <c r="I1885" s="92">
        <v>14</v>
      </c>
      <c r="J1885" s="92" t="s">
        <v>18</v>
      </c>
      <c r="K1885" s="92" t="s">
        <v>768</v>
      </c>
      <c r="L1885" s="810">
        <v>2</v>
      </c>
      <c r="M1885" s="811" t="str">
        <f t="shared" si="147"/>
        <v>Elementary Level</v>
      </c>
      <c r="P1885" s="1638"/>
      <c r="V1885" s="828"/>
      <c r="X1885" s="811" t="str">
        <f t="shared" si="146"/>
        <v/>
      </c>
      <c r="AB1885" s="953"/>
      <c r="AG1885" s="807" t="str">
        <f t="shared" si="145"/>
        <v/>
      </c>
      <c r="AJ1885" s="865"/>
    </row>
    <row r="1886" spans="1:105" ht="15">
      <c r="D1886" s="1074"/>
      <c r="E1886" s="807"/>
      <c r="F1886" s="807"/>
      <c r="G1886" s="827"/>
      <c r="H1886" s="809" t="s">
        <v>10478</v>
      </c>
      <c r="I1886" s="92">
        <v>10</v>
      </c>
      <c r="J1886" s="92" t="s">
        <v>10</v>
      </c>
      <c r="K1886" s="92" t="s">
        <v>768</v>
      </c>
      <c r="L1886" s="810">
        <v>2</v>
      </c>
      <c r="M1886" s="811" t="str">
        <f t="shared" si="147"/>
        <v>Elementary Level</v>
      </c>
      <c r="P1886" s="1638"/>
      <c r="V1886" s="828"/>
      <c r="X1886" s="811" t="str">
        <f t="shared" si="146"/>
        <v/>
      </c>
      <c r="AB1886" s="953"/>
      <c r="AG1886" s="807" t="str">
        <f t="shared" si="145"/>
        <v/>
      </c>
      <c r="AJ1886" s="865"/>
    </row>
    <row r="1887" spans="1:105" ht="15">
      <c r="A1887" s="17"/>
      <c r="D1887" s="1074"/>
      <c r="E1887" s="807"/>
      <c r="F1887" s="807"/>
      <c r="G1887" s="827"/>
      <c r="H1887" s="809" t="s">
        <v>10479</v>
      </c>
      <c r="I1887" s="92">
        <v>8</v>
      </c>
      <c r="J1887" s="92" t="s">
        <v>18</v>
      </c>
      <c r="K1887" s="92" t="s">
        <v>768</v>
      </c>
      <c r="L1887" s="810">
        <v>2</v>
      </c>
      <c r="M1887" s="811" t="str">
        <f t="shared" si="147"/>
        <v>Elementary Level</v>
      </c>
      <c r="P1887" s="1638"/>
      <c r="V1887" s="828"/>
      <c r="X1887" s="811" t="str">
        <f t="shared" si="146"/>
        <v/>
      </c>
      <c r="AB1887" s="953"/>
      <c r="AG1887" s="807" t="str">
        <f t="shared" si="145"/>
        <v/>
      </c>
      <c r="AJ1887" s="865"/>
    </row>
    <row r="1888" spans="1:105" ht="15">
      <c r="A1888" s="17"/>
      <c r="B1888" s="292"/>
      <c r="D1888" s="1074"/>
      <c r="E1888" s="807"/>
      <c r="F1888" s="807"/>
      <c r="G1888" s="827"/>
      <c r="H1888" s="809" t="s">
        <v>10480</v>
      </c>
      <c r="I1888" s="92">
        <v>7</v>
      </c>
      <c r="J1888" s="92" t="s">
        <v>10</v>
      </c>
      <c r="K1888" s="92" t="s">
        <v>768</v>
      </c>
      <c r="L1888" s="810">
        <v>2</v>
      </c>
      <c r="M1888" s="811" t="str">
        <f t="shared" si="147"/>
        <v>Elementary Level</v>
      </c>
      <c r="P1888" s="1638"/>
      <c r="V1888" s="828"/>
      <c r="X1888" s="811" t="str">
        <f t="shared" si="146"/>
        <v/>
      </c>
      <c r="AB1888" s="953"/>
      <c r="AG1888" s="807" t="str">
        <f t="shared" si="145"/>
        <v/>
      </c>
      <c r="AJ1888" s="865"/>
    </row>
    <row r="1889" spans="1:104" ht="15">
      <c r="A1889" s="17"/>
      <c r="B1889" s="292"/>
      <c r="D1889" s="1074"/>
      <c r="E1889" s="807"/>
      <c r="F1889" s="807"/>
      <c r="G1889" s="827"/>
      <c r="H1889" s="809" t="s">
        <v>10481</v>
      </c>
      <c r="I1889" s="92">
        <v>3</v>
      </c>
      <c r="J1889" s="92" t="s">
        <v>10</v>
      </c>
      <c r="K1889" s="92" t="s">
        <v>768</v>
      </c>
      <c r="L1889" s="810">
        <v>10</v>
      </c>
      <c r="M1889" s="811" t="str">
        <f t="shared" si="147"/>
        <v>Not In School Age</v>
      </c>
      <c r="P1889" s="1638"/>
      <c r="S1889" s="813">
        <f>300*30</f>
        <v>9000</v>
      </c>
      <c r="V1889" s="828"/>
      <c r="X1889" s="811" t="str">
        <f t="shared" si="146"/>
        <v/>
      </c>
      <c r="AB1889" s="953"/>
      <c r="AG1889" s="807" t="str">
        <f t="shared" si="145"/>
        <v/>
      </c>
      <c r="AJ1889" s="865"/>
    </row>
    <row r="1890" spans="1:104" ht="15">
      <c r="B1890" s="292"/>
      <c r="D1890" s="1074"/>
      <c r="E1890" s="807"/>
      <c r="F1890" s="807"/>
      <c r="G1890" s="827"/>
      <c r="H1890" s="809" t="s">
        <v>10482</v>
      </c>
      <c r="I1890" s="92">
        <v>2</v>
      </c>
      <c r="J1890" s="92" t="s">
        <v>18</v>
      </c>
      <c r="K1890" s="92" t="s">
        <v>768</v>
      </c>
      <c r="L1890" s="810">
        <v>10</v>
      </c>
      <c r="M1890" s="811" t="str">
        <f t="shared" si="147"/>
        <v>Not In School Age</v>
      </c>
      <c r="N1890" s="92" t="s">
        <v>1208</v>
      </c>
      <c r="O1890" s="812" t="s">
        <v>2214</v>
      </c>
      <c r="P1890" s="1638"/>
      <c r="Q1890" s="812" t="s">
        <v>2214</v>
      </c>
      <c r="V1890" s="828">
        <f>SUM(S1881:U1889)</f>
        <v>9000</v>
      </c>
      <c r="W1890" s="815">
        <v>2</v>
      </c>
      <c r="X1890" s="811" t="str">
        <f t="shared" si="146"/>
        <v>within the Municipality/City</v>
      </c>
      <c r="AB1890" s="953">
        <f>SUM(Y1882:AA1890)</f>
        <v>0</v>
      </c>
      <c r="AG1890" s="807" t="str">
        <f t="shared" si="145"/>
        <v/>
      </c>
      <c r="AJ1890" s="865"/>
      <c r="AQ1890" s="807">
        <v>1</v>
      </c>
      <c r="AR1890" s="807">
        <v>2</v>
      </c>
      <c r="AV1890" s="807">
        <v>3</v>
      </c>
    </row>
    <row r="1891" spans="1:104" ht="15">
      <c r="D1891" s="1074"/>
      <c r="E1891" s="807"/>
      <c r="F1891" s="807"/>
      <c r="G1891" s="827"/>
      <c r="H1891" s="809" t="s">
        <v>10483</v>
      </c>
      <c r="I1891" s="92">
        <v>37</v>
      </c>
      <c r="J1891" s="92" t="s">
        <v>10</v>
      </c>
      <c r="K1891" s="92" t="s">
        <v>707</v>
      </c>
      <c r="L1891" s="810">
        <v>4</v>
      </c>
      <c r="M1891" s="811" t="str">
        <f t="shared" si="147"/>
        <v>High School Level</v>
      </c>
      <c r="P1891" s="1638"/>
      <c r="S1891" s="813">
        <v>9500</v>
      </c>
      <c r="V1891" s="961"/>
      <c r="X1891" s="811" t="str">
        <f t="shared" si="146"/>
        <v/>
      </c>
      <c r="AB1891" s="962"/>
      <c r="AG1891" s="807" t="str">
        <f t="shared" si="145"/>
        <v/>
      </c>
      <c r="AJ1891" s="865"/>
      <c r="AZ1891" s="807" t="s">
        <v>2144</v>
      </c>
      <c r="BS1891" s="807">
        <v>1</v>
      </c>
    </row>
    <row r="1892" spans="1:104" ht="15">
      <c r="D1892" s="1074"/>
      <c r="E1892" s="807"/>
      <c r="F1892" s="807"/>
      <c r="G1892" s="827"/>
      <c r="H1892" s="809" t="s">
        <v>10485</v>
      </c>
      <c r="I1892" s="92">
        <v>50</v>
      </c>
      <c r="J1892" s="92" t="s">
        <v>18</v>
      </c>
      <c r="K1892" s="92" t="s">
        <v>783</v>
      </c>
      <c r="L1892" s="810">
        <v>9</v>
      </c>
      <c r="M1892" s="811" t="str">
        <f t="shared" si="147"/>
        <v>Vocational Graduate</v>
      </c>
      <c r="N1892" s="92" t="s">
        <v>1208</v>
      </c>
      <c r="O1892" s="812" t="s">
        <v>3122</v>
      </c>
      <c r="P1892" s="1638"/>
      <c r="Q1892" s="812" t="s">
        <v>3122</v>
      </c>
      <c r="V1892" s="961"/>
      <c r="W1892" s="815">
        <v>2</v>
      </c>
      <c r="X1892" s="811" t="str">
        <f t="shared" si="146"/>
        <v>within the Municipality/City</v>
      </c>
      <c r="Y1892" s="816">
        <v>960</v>
      </c>
      <c r="AB1892" s="962"/>
      <c r="AG1892" s="807" t="str">
        <f t="shared" si="145"/>
        <v/>
      </c>
      <c r="AJ1892" s="865"/>
    </row>
    <row r="1893" spans="1:104" ht="15">
      <c r="D1893" s="1074"/>
      <c r="E1893" s="807"/>
      <c r="F1893" s="807"/>
      <c r="G1893" s="827"/>
      <c r="H1893" s="809" t="s">
        <v>10486</v>
      </c>
      <c r="I1893" s="92">
        <v>20</v>
      </c>
      <c r="J1893" s="92" t="s">
        <v>10</v>
      </c>
      <c r="K1893" s="92" t="s">
        <v>768</v>
      </c>
      <c r="L1893" s="810">
        <v>5</v>
      </c>
      <c r="M1893" s="811" t="str">
        <f t="shared" si="147"/>
        <v>High School Graduate</v>
      </c>
      <c r="P1893" s="1638"/>
      <c r="V1893" s="961"/>
      <c r="X1893" s="811" t="str">
        <f t="shared" si="146"/>
        <v/>
      </c>
      <c r="AB1893" s="962"/>
      <c r="AG1893" s="807" t="str">
        <f t="shared" si="145"/>
        <v/>
      </c>
      <c r="AJ1893" s="865"/>
    </row>
    <row r="1894" spans="1:104" ht="15">
      <c r="A1894" s="311" t="s">
        <v>12353</v>
      </c>
      <c r="B1894" s="292" t="s">
        <v>8023</v>
      </c>
      <c r="C1894" s="149" t="s">
        <v>3118</v>
      </c>
      <c r="D1894" s="1074" t="s">
        <v>10484</v>
      </c>
      <c r="E1894" s="807"/>
      <c r="F1894" s="807"/>
      <c r="G1894" s="809" t="s">
        <v>3118</v>
      </c>
      <c r="H1894" s="809" t="s">
        <v>10487</v>
      </c>
      <c r="I1894" s="92">
        <v>17</v>
      </c>
      <c r="J1894" s="92" t="s">
        <v>18</v>
      </c>
      <c r="K1894" s="92" t="s">
        <v>768</v>
      </c>
      <c r="L1894" s="810">
        <v>4</v>
      </c>
      <c r="M1894" s="811" t="str">
        <f t="shared" si="147"/>
        <v>High School Level</v>
      </c>
      <c r="P1894" s="1638"/>
      <c r="R1894" s="92" t="s">
        <v>8234</v>
      </c>
      <c r="S1894" s="813">
        <f>500*26</f>
        <v>13000</v>
      </c>
      <c r="V1894" s="961">
        <f>SUM(S1890:U1893)</f>
        <v>9500</v>
      </c>
      <c r="X1894" s="811" t="str">
        <f t="shared" si="146"/>
        <v/>
      </c>
      <c r="AB1894" s="962">
        <f>SUM(Y1891:AA1894)</f>
        <v>960</v>
      </c>
      <c r="AG1894" s="807" t="str">
        <f t="shared" si="145"/>
        <v/>
      </c>
      <c r="AJ1894" s="865"/>
    </row>
    <row r="1895" spans="1:104" ht="15">
      <c r="A1895" s="807"/>
      <c r="C1895" s="807"/>
      <c r="D1895" s="1074"/>
      <c r="E1895" s="807"/>
      <c r="F1895" s="807"/>
      <c r="G1895" s="827"/>
      <c r="H1895" s="809" t="s">
        <v>10488</v>
      </c>
      <c r="I1895" s="92">
        <v>5</v>
      </c>
      <c r="J1895" s="92" t="s">
        <v>10</v>
      </c>
      <c r="K1895" s="92" t="s">
        <v>768</v>
      </c>
      <c r="L1895" s="810">
        <v>1</v>
      </c>
      <c r="M1895" s="811" t="str">
        <f t="shared" si="147"/>
        <v>Pre-school</v>
      </c>
      <c r="N1895" s="92" t="s">
        <v>1208</v>
      </c>
      <c r="O1895" s="812" t="s">
        <v>2198</v>
      </c>
      <c r="P1895" s="1638" t="s">
        <v>12597</v>
      </c>
      <c r="Q1895" s="812" t="s">
        <v>2198</v>
      </c>
      <c r="U1895" s="813">
        <v>12000</v>
      </c>
      <c r="W1895" s="815">
        <v>3</v>
      </c>
      <c r="X1895" s="811" t="str">
        <f t="shared" si="146"/>
        <v>within the Province</v>
      </c>
      <c r="Y1895" s="816">
        <v>200</v>
      </c>
      <c r="AB1895" s="940"/>
      <c r="AG1895" s="807" t="str">
        <f t="shared" si="145"/>
        <v/>
      </c>
      <c r="AJ1895" s="865"/>
    </row>
    <row r="1896" spans="1:104" ht="15">
      <c r="A1896" s="807"/>
      <c r="C1896" s="807"/>
      <c r="D1896" s="1074"/>
      <c r="E1896" s="807"/>
      <c r="F1896" s="807"/>
      <c r="G1896" s="827"/>
      <c r="H1896" s="809" t="s">
        <v>4605</v>
      </c>
      <c r="I1896" s="92">
        <v>43</v>
      </c>
      <c r="J1896" s="92" t="s">
        <v>10</v>
      </c>
      <c r="K1896" s="92" t="s">
        <v>722</v>
      </c>
      <c r="L1896" s="810">
        <v>2</v>
      </c>
      <c r="M1896" s="811" t="str">
        <f t="shared" si="147"/>
        <v>Elementary Level</v>
      </c>
      <c r="N1896" s="92" t="s">
        <v>1208</v>
      </c>
      <c r="O1896" s="812" t="s">
        <v>10491</v>
      </c>
      <c r="P1896" s="1638"/>
      <c r="Q1896" s="812" t="s">
        <v>10491</v>
      </c>
      <c r="R1896" s="92" t="s">
        <v>8234</v>
      </c>
      <c r="T1896" s="813">
        <v>10000</v>
      </c>
      <c r="V1896" s="814">
        <f>SUM(S1894:U1895)</f>
        <v>25000</v>
      </c>
      <c r="W1896" s="815">
        <v>1</v>
      </c>
      <c r="X1896" s="811" t="str">
        <f t="shared" si="146"/>
        <v>within the Brgy</v>
      </c>
      <c r="Y1896" s="816">
        <f>50*26</f>
        <v>1300</v>
      </c>
      <c r="AB1896" s="940">
        <f>SUM(Y1895:AA1896)</f>
        <v>1500</v>
      </c>
      <c r="AG1896" s="807" t="str">
        <f t="shared" si="145"/>
        <v/>
      </c>
      <c r="AJ1896" s="865"/>
    </row>
    <row r="1897" spans="1:104" ht="15">
      <c r="A1897" s="807"/>
      <c r="C1897" s="807"/>
      <c r="D1897" s="1074"/>
      <c r="E1897" s="807"/>
      <c r="F1897" s="807"/>
      <c r="G1897" s="827"/>
      <c r="H1897" s="809" t="s">
        <v>10490</v>
      </c>
      <c r="I1897" s="92">
        <v>36</v>
      </c>
      <c r="J1897" s="92" t="s">
        <v>18</v>
      </c>
      <c r="K1897" s="92" t="s">
        <v>722</v>
      </c>
      <c r="L1897" s="810">
        <v>5</v>
      </c>
      <c r="M1897" s="811" t="str">
        <f t="shared" si="147"/>
        <v>High School Graduate</v>
      </c>
      <c r="N1897" s="92" t="s">
        <v>1208</v>
      </c>
      <c r="O1897" s="812" t="s">
        <v>10493</v>
      </c>
      <c r="P1897" s="1638" t="s">
        <v>12629</v>
      </c>
      <c r="Q1897" s="812" t="s">
        <v>10493</v>
      </c>
      <c r="V1897" s="828"/>
      <c r="W1897" s="815">
        <v>1</v>
      </c>
      <c r="X1897" s="811" t="str">
        <f t="shared" si="146"/>
        <v>within the Brgy</v>
      </c>
      <c r="AB1897" s="953"/>
      <c r="AG1897" s="807" t="str">
        <f t="shared" si="145"/>
        <v/>
      </c>
      <c r="AJ1897" s="865"/>
      <c r="CC1897" s="807">
        <v>3</v>
      </c>
      <c r="CE1897" s="93">
        <v>2</v>
      </c>
      <c r="CZ1897" s="807">
        <v>1</v>
      </c>
    </row>
    <row r="1898" spans="1:104" ht="15">
      <c r="A1898" s="19" t="s">
        <v>7421</v>
      </c>
      <c r="B1898" s="292" t="s">
        <v>8024</v>
      </c>
      <c r="C1898" s="149" t="s">
        <v>4604</v>
      </c>
      <c r="D1898" s="1074" t="s">
        <v>10489</v>
      </c>
      <c r="E1898" s="1045" t="s">
        <v>4604</v>
      </c>
      <c r="F1898" s="1048" t="s">
        <v>4605</v>
      </c>
      <c r="G1898" s="809" t="s">
        <v>4604</v>
      </c>
      <c r="H1898" s="809" t="s">
        <v>4615</v>
      </c>
      <c r="I1898" s="92">
        <v>32</v>
      </c>
      <c r="J1898" s="92" t="s">
        <v>10</v>
      </c>
      <c r="K1898" s="92" t="s">
        <v>722</v>
      </c>
      <c r="L1898" s="810">
        <v>7</v>
      </c>
      <c r="M1898" s="811" t="str">
        <f t="shared" si="147"/>
        <v>College Graduate or Higher</v>
      </c>
      <c r="P1898" s="1638"/>
      <c r="V1898" s="828"/>
      <c r="X1898" s="811" t="str">
        <f t="shared" si="146"/>
        <v/>
      </c>
      <c r="AB1898" s="953"/>
      <c r="AG1898" s="807" t="str">
        <f t="shared" si="145"/>
        <v/>
      </c>
      <c r="AJ1898" s="865"/>
    </row>
    <row r="1899" spans="1:104" ht="15">
      <c r="A1899" s="807"/>
      <c r="C1899" s="807"/>
      <c r="D1899" s="1074"/>
      <c r="E1899" s="1045" t="s">
        <v>4604</v>
      </c>
      <c r="F1899" s="807"/>
      <c r="G1899" s="827"/>
      <c r="H1899" s="809" t="s">
        <v>10494</v>
      </c>
      <c r="I1899" s="92">
        <v>22</v>
      </c>
      <c r="J1899" s="92" t="s">
        <v>10</v>
      </c>
      <c r="K1899" s="92" t="s">
        <v>768</v>
      </c>
      <c r="L1899" s="810">
        <v>7</v>
      </c>
      <c r="M1899" s="811" t="str">
        <f t="shared" si="147"/>
        <v>College Graduate or Higher</v>
      </c>
      <c r="P1899" s="1638"/>
      <c r="V1899" s="828"/>
      <c r="X1899" s="811" t="str">
        <f t="shared" si="146"/>
        <v/>
      </c>
      <c r="AB1899" s="953"/>
      <c r="AG1899" s="807" t="str">
        <f t="shared" si="145"/>
        <v/>
      </c>
      <c r="AJ1899" s="865"/>
    </row>
    <row r="1900" spans="1:104" ht="15">
      <c r="A1900" s="19" t="s">
        <v>7421</v>
      </c>
      <c r="B1900" s="292" t="s">
        <v>8025</v>
      </c>
      <c r="C1900" s="149" t="s">
        <v>4618</v>
      </c>
      <c r="D1900" s="410" t="s">
        <v>10492</v>
      </c>
      <c r="E1900" s="1045" t="s">
        <v>4618</v>
      </c>
      <c r="F1900" s="1048" t="s">
        <v>4615</v>
      </c>
      <c r="G1900" s="809" t="s">
        <v>4618</v>
      </c>
      <c r="H1900" s="809" t="s">
        <v>10495</v>
      </c>
      <c r="I1900" s="92">
        <v>23</v>
      </c>
      <c r="J1900" s="92" t="s">
        <v>18</v>
      </c>
      <c r="K1900" s="92" t="s">
        <v>768</v>
      </c>
      <c r="L1900" s="810">
        <v>7</v>
      </c>
      <c r="M1900" s="811" t="str">
        <f t="shared" si="147"/>
        <v>College Graduate or Higher</v>
      </c>
      <c r="P1900" s="1638"/>
      <c r="R1900" s="92" t="s">
        <v>8234</v>
      </c>
      <c r="S1900" s="813">
        <v>12000</v>
      </c>
      <c r="V1900" s="828">
        <f>SUM(S1896:U1899)</f>
        <v>10000</v>
      </c>
      <c r="X1900" s="811" t="str">
        <f t="shared" si="146"/>
        <v/>
      </c>
      <c r="AB1900" s="953">
        <f>SUM(Y1897:AA1900)</f>
        <v>0</v>
      </c>
      <c r="AG1900" s="807" t="str">
        <f t="shared" si="145"/>
        <v/>
      </c>
      <c r="AJ1900" s="865"/>
    </row>
    <row r="1901" spans="1:104" ht="15">
      <c r="A1901" s="807"/>
      <c r="C1901" s="807"/>
      <c r="D1901" s="1074"/>
      <c r="E1901" s="1045" t="s">
        <v>4618</v>
      </c>
      <c r="F1901" s="807"/>
      <c r="G1901" s="827"/>
      <c r="H1901" s="809" t="s">
        <v>10496</v>
      </c>
      <c r="I1901" s="92">
        <v>53</v>
      </c>
      <c r="J1901" s="92" t="s">
        <v>18</v>
      </c>
      <c r="K1901" s="92" t="s">
        <v>707</v>
      </c>
      <c r="L1901" s="810">
        <v>7</v>
      </c>
      <c r="M1901" s="811" t="str">
        <f t="shared" si="147"/>
        <v>College Graduate or Higher</v>
      </c>
      <c r="N1901" s="92" t="s">
        <v>1208</v>
      </c>
      <c r="O1901" s="812" t="s">
        <v>2225</v>
      </c>
      <c r="P1901" s="1638" t="s">
        <v>12606</v>
      </c>
      <c r="Q1901" s="812" t="s">
        <v>2225</v>
      </c>
      <c r="V1901" s="961"/>
      <c r="W1901" s="815">
        <v>3</v>
      </c>
      <c r="X1901" s="811" t="str">
        <f t="shared" si="146"/>
        <v>within the Province</v>
      </c>
      <c r="Y1901" s="816">
        <v>1680</v>
      </c>
      <c r="AB1901" s="962"/>
      <c r="AD1901" s="817" t="s">
        <v>10498</v>
      </c>
      <c r="AE1901" s="92"/>
      <c r="AF1901" s="810"/>
      <c r="AG1901" s="807" t="str">
        <f t="shared" si="145"/>
        <v/>
      </c>
      <c r="AJ1901" s="865"/>
    </row>
    <row r="1902" spans="1:104" ht="15">
      <c r="A1902" s="807"/>
      <c r="C1902" s="807"/>
      <c r="D1902" s="1074"/>
      <c r="E1902" s="1045" t="s">
        <v>4618</v>
      </c>
      <c r="F1902" s="807"/>
      <c r="G1902" s="827"/>
      <c r="H1902" s="809" t="s">
        <v>4620</v>
      </c>
      <c r="I1902" s="92">
        <v>33</v>
      </c>
      <c r="J1902" s="92" t="s">
        <v>18</v>
      </c>
      <c r="K1902" s="92" t="s">
        <v>707</v>
      </c>
      <c r="L1902" s="810">
        <v>7</v>
      </c>
      <c r="M1902" s="811" t="str">
        <f t="shared" si="147"/>
        <v>College Graduate or Higher</v>
      </c>
      <c r="P1902" s="1638"/>
      <c r="V1902" s="961"/>
      <c r="X1902" s="811" t="str">
        <f t="shared" si="146"/>
        <v/>
      </c>
      <c r="AB1902" s="962"/>
      <c r="AD1902" s="817" t="s">
        <v>10500</v>
      </c>
      <c r="AE1902" s="92"/>
      <c r="AF1902" s="810"/>
      <c r="AG1902" s="807" t="str">
        <f t="shared" si="145"/>
        <v/>
      </c>
      <c r="AJ1902" s="865"/>
    </row>
    <row r="1903" spans="1:104" ht="15">
      <c r="A1903" s="807"/>
      <c r="C1903" s="807"/>
      <c r="D1903" s="1074"/>
      <c r="E1903" s="1045" t="s">
        <v>4618</v>
      </c>
      <c r="F1903" s="807"/>
      <c r="G1903" s="827"/>
      <c r="H1903" s="809" t="s">
        <v>10499</v>
      </c>
      <c r="I1903" s="92">
        <v>7</v>
      </c>
      <c r="J1903" s="92" t="s">
        <v>18</v>
      </c>
      <c r="K1903" s="92" t="s">
        <v>768</v>
      </c>
      <c r="L1903" s="810">
        <v>2</v>
      </c>
      <c r="M1903" s="811" t="str">
        <f t="shared" si="147"/>
        <v>Elementary Level</v>
      </c>
      <c r="P1903" s="1638"/>
      <c r="V1903" s="961"/>
      <c r="X1903" s="811" t="str">
        <f t="shared" si="146"/>
        <v/>
      </c>
      <c r="AB1903" s="962"/>
      <c r="AG1903" s="807" t="str">
        <f t="shared" si="145"/>
        <v/>
      </c>
      <c r="AJ1903" s="865"/>
    </row>
    <row r="1904" spans="1:104" ht="15">
      <c r="A1904" s="19" t="s">
        <v>7421</v>
      </c>
      <c r="B1904" s="809" t="s">
        <v>8026</v>
      </c>
      <c r="C1904" s="149" t="s">
        <v>4619</v>
      </c>
      <c r="D1904" s="1074" t="s">
        <v>10497</v>
      </c>
      <c r="E1904" s="1045" t="s">
        <v>4619</v>
      </c>
      <c r="F1904" s="1048" t="s">
        <v>4620</v>
      </c>
      <c r="G1904" s="809" t="s">
        <v>4619</v>
      </c>
      <c r="H1904" s="809" t="s">
        <v>10501</v>
      </c>
      <c r="I1904" s="92">
        <v>1</v>
      </c>
      <c r="J1904" s="92" t="s">
        <v>18</v>
      </c>
      <c r="K1904" s="92" t="s">
        <v>768</v>
      </c>
      <c r="L1904" s="810">
        <v>10</v>
      </c>
      <c r="M1904" s="811" t="str">
        <f t="shared" si="147"/>
        <v>Not In School Age</v>
      </c>
      <c r="P1904" s="1638"/>
      <c r="V1904" s="961"/>
      <c r="X1904" s="811" t="str">
        <f t="shared" si="146"/>
        <v/>
      </c>
      <c r="AB1904" s="962"/>
      <c r="AG1904" s="807" t="str">
        <f t="shared" si="145"/>
        <v/>
      </c>
      <c r="AJ1904" s="865"/>
    </row>
    <row r="1905" spans="1:36" ht="15">
      <c r="A1905" s="807"/>
      <c r="C1905" s="807"/>
      <c r="D1905" s="1074"/>
      <c r="E1905" s="1045" t="s">
        <v>4619</v>
      </c>
      <c r="F1905" s="807"/>
      <c r="G1905" s="827"/>
      <c r="H1905" s="809" t="s">
        <v>10502</v>
      </c>
      <c r="I1905" s="92">
        <v>65</v>
      </c>
      <c r="J1905" s="92" t="s">
        <v>10</v>
      </c>
      <c r="K1905" s="92" t="s">
        <v>707</v>
      </c>
      <c r="L1905" s="810">
        <v>4</v>
      </c>
      <c r="M1905" s="811" t="str">
        <f t="shared" si="147"/>
        <v>High School Level</v>
      </c>
      <c r="P1905" s="1638"/>
      <c r="V1905" s="961"/>
      <c r="X1905" s="811" t="str">
        <f t="shared" si="146"/>
        <v/>
      </c>
      <c r="AB1905" s="962"/>
      <c r="AG1905" s="807" t="str">
        <f t="shared" si="145"/>
        <v/>
      </c>
      <c r="AJ1905" s="865"/>
    </row>
    <row r="1906" spans="1:36" ht="15">
      <c r="A1906" s="807"/>
      <c r="C1906" s="807"/>
      <c r="D1906" s="1074"/>
      <c r="E1906" s="1045" t="s">
        <v>4619</v>
      </c>
      <c r="F1906" s="807"/>
      <c r="G1906" s="827"/>
      <c r="H1906" s="809" t="s">
        <v>10503</v>
      </c>
      <c r="I1906" s="92">
        <v>62</v>
      </c>
      <c r="J1906" s="92" t="s">
        <v>18</v>
      </c>
      <c r="K1906" s="92" t="s">
        <v>707</v>
      </c>
      <c r="L1906" s="810">
        <v>5</v>
      </c>
      <c r="M1906" s="811" t="str">
        <f t="shared" si="147"/>
        <v>High School Graduate</v>
      </c>
      <c r="P1906" s="1638"/>
      <c r="R1906" s="92" t="s">
        <v>8234</v>
      </c>
      <c r="U1906" s="813">
        <f>SUM(15000,2000)</f>
        <v>17000</v>
      </c>
      <c r="V1906" s="961">
        <f>SUM(S1900:U1905)</f>
        <v>12000</v>
      </c>
      <c r="X1906" s="811" t="str">
        <f t="shared" si="146"/>
        <v/>
      </c>
      <c r="AB1906" s="962">
        <f>SUM(Y1901:AA1906)</f>
        <v>1680</v>
      </c>
      <c r="AG1906" s="807" t="str">
        <f t="shared" si="145"/>
        <v/>
      </c>
      <c r="AJ1906" s="865"/>
    </row>
    <row r="1907" spans="1:36" ht="15">
      <c r="A1907" s="807"/>
      <c r="C1907" s="807"/>
      <c r="D1907" s="1074"/>
      <c r="E1907" s="1045" t="s">
        <v>4619</v>
      </c>
      <c r="F1907" s="807"/>
      <c r="G1907" s="827"/>
      <c r="H1907" s="809" t="s">
        <v>10504</v>
      </c>
      <c r="I1907" s="92">
        <v>36</v>
      </c>
      <c r="J1907" s="92" t="s">
        <v>10</v>
      </c>
      <c r="K1907" s="92" t="s">
        <v>707</v>
      </c>
      <c r="L1907" s="810">
        <v>7</v>
      </c>
      <c r="M1907" s="811" t="str">
        <f t="shared" si="147"/>
        <v>College Graduate or Higher</v>
      </c>
      <c r="N1907" s="92" t="s">
        <v>1208</v>
      </c>
      <c r="O1907" s="812" t="s">
        <v>4634</v>
      </c>
      <c r="P1907" s="1638" t="s">
        <v>12614</v>
      </c>
      <c r="Q1907" s="812" t="s">
        <v>4634</v>
      </c>
      <c r="R1907" s="92" t="s">
        <v>8234</v>
      </c>
      <c r="U1907" s="813">
        <v>3000</v>
      </c>
      <c r="V1907" s="814">
        <f>SUM(S1906:U1906)</f>
        <v>17000</v>
      </c>
      <c r="W1907" s="815">
        <v>2</v>
      </c>
      <c r="X1907" s="811" t="str">
        <f t="shared" si="146"/>
        <v>within the Municipality/City</v>
      </c>
      <c r="AB1907" s="940">
        <f>SUM(Y1907:AA1907)</f>
        <v>0</v>
      </c>
      <c r="AG1907" s="807" t="str">
        <f t="shared" si="145"/>
        <v/>
      </c>
      <c r="AJ1907" s="865"/>
    </row>
    <row r="1908" spans="1:36" ht="15">
      <c r="A1908" s="807"/>
      <c r="C1908" s="807"/>
      <c r="D1908" s="1074"/>
      <c r="E1908" s="1045" t="s">
        <v>4619</v>
      </c>
      <c r="F1908" s="807"/>
      <c r="G1908" s="827"/>
      <c r="H1908" s="809" t="s">
        <v>4632</v>
      </c>
      <c r="I1908" s="92">
        <v>65</v>
      </c>
      <c r="J1908" s="92" t="s">
        <v>18</v>
      </c>
      <c r="K1908" s="92" t="s">
        <v>719</v>
      </c>
      <c r="L1908" s="810">
        <v>5</v>
      </c>
      <c r="M1908" s="811" t="str">
        <f t="shared" si="147"/>
        <v>High School Graduate</v>
      </c>
      <c r="N1908" s="92" t="s">
        <v>1208</v>
      </c>
      <c r="O1908" s="812" t="s">
        <v>2968</v>
      </c>
      <c r="P1908" s="1638" t="s">
        <v>12615</v>
      </c>
      <c r="Q1908" s="812" t="s">
        <v>2968</v>
      </c>
      <c r="R1908" s="92"/>
      <c r="V1908" s="873"/>
      <c r="W1908" s="815">
        <v>2</v>
      </c>
      <c r="X1908" s="811" t="str">
        <f t="shared" si="146"/>
        <v>within the Municipality/City</v>
      </c>
      <c r="AA1908" s="816">
        <v>4500</v>
      </c>
      <c r="AB1908" s="873"/>
      <c r="AG1908" s="807"/>
      <c r="AJ1908" s="865"/>
    </row>
    <row r="1909" spans="1:36" ht="15">
      <c r="A1909" s="807"/>
      <c r="C1909" s="807"/>
      <c r="D1909" s="1074"/>
      <c r="E1909" s="1045" t="s">
        <v>4619</v>
      </c>
      <c r="F1909" s="807"/>
      <c r="G1909" s="827"/>
      <c r="H1909" s="809" t="s">
        <v>11688</v>
      </c>
      <c r="I1909" s="92">
        <v>29</v>
      </c>
      <c r="J1909" s="92" t="s">
        <v>18</v>
      </c>
      <c r="K1909" s="92" t="s">
        <v>722</v>
      </c>
      <c r="L1909" s="810">
        <v>6</v>
      </c>
      <c r="M1909" s="811" t="str">
        <f t="shared" si="147"/>
        <v>College Level</v>
      </c>
      <c r="P1909" s="1638"/>
      <c r="R1909" s="92"/>
      <c r="V1909" s="873"/>
      <c r="X1909" s="811" t="str">
        <f t="shared" si="146"/>
        <v/>
      </c>
      <c r="AB1909" s="873"/>
      <c r="AG1909" s="807"/>
      <c r="AJ1909" s="865"/>
    </row>
    <row r="1910" spans="1:36" ht="15">
      <c r="A1910" s="771" t="s">
        <v>7421</v>
      </c>
      <c r="B1910" s="809" t="s">
        <v>8027</v>
      </c>
      <c r="C1910" s="149" t="s">
        <v>3123</v>
      </c>
      <c r="D1910" s="1074" t="s">
        <v>10505</v>
      </c>
      <c r="E1910" s="1045" t="s">
        <v>3123</v>
      </c>
      <c r="F1910" s="1048" t="s">
        <v>4632</v>
      </c>
      <c r="G1910" s="846" t="s">
        <v>3123</v>
      </c>
      <c r="H1910" s="809" t="s">
        <v>11690</v>
      </c>
      <c r="I1910" s="92">
        <v>34</v>
      </c>
      <c r="J1910" s="92" t="s">
        <v>10</v>
      </c>
      <c r="K1910" s="92" t="s">
        <v>722</v>
      </c>
      <c r="L1910" s="810">
        <v>9</v>
      </c>
      <c r="M1910" s="811" t="str">
        <f t="shared" si="147"/>
        <v>Vocational Graduate</v>
      </c>
      <c r="P1910" s="1638"/>
      <c r="V1910" s="873">
        <f>SUM(S1907:U1909)</f>
        <v>3000</v>
      </c>
      <c r="X1910" s="811" t="str">
        <f t="shared" si="146"/>
        <v/>
      </c>
      <c r="AB1910" s="873">
        <f>SUM(Y1908:AA1910)</f>
        <v>4500</v>
      </c>
      <c r="AG1910" s="807"/>
      <c r="AJ1910" s="865"/>
    </row>
    <row r="1911" spans="1:36" ht="15">
      <c r="A1911" s="311" t="s">
        <v>12452</v>
      </c>
      <c r="B1911" s="292" t="s">
        <v>7438</v>
      </c>
      <c r="C1911" s="149" t="s">
        <v>3123</v>
      </c>
      <c r="D1911" s="1074" t="s">
        <v>11689</v>
      </c>
      <c r="E1911" s="1045"/>
      <c r="F1911" s="1048"/>
      <c r="G1911" s="846" t="s">
        <v>3123</v>
      </c>
      <c r="H1911" s="809" t="s">
        <v>11691</v>
      </c>
      <c r="I1911" s="92">
        <v>21</v>
      </c>
      <c r="J1911" s="92" t="s">
        <v>10</v>
      </c>
      <c r="K1911" s="92" t="s">
        <v>768</v>
      </c>
      <c r="L1911" s="810">
        <v>6</v>
      </c>
      <c r="M1911" s="811" t="str">
        <f t="shared" si="147"/>
        <v>College Level</v>
      </c>
      <c r="P1911" s="1638"/>
      <c r="V1911" s="828"/>
      <c r="X1911" s="811" t="str">
        <f t="shared" ref="X1911:X1923" si="148">IF(ISBLANK(W1911)=TRUE,"",LOOKUP(W1911,GO:GP))</f>
        <v/>
      </c>
      <c r="AB1911" s="953"/>
      <c r="AD1911" s="817" t="s">
        <v>10508</v>
      </c>
      <c r="AE1911" s="92"/>
      <c r="AF1911" s="810"/>
      <c r="AG1911" s="807" t="str">
        <f t="shared" ref="AG1911:AG1940" si="149">IF(ISBLANK(AF1911)=TRUE,"",LOOKUP(AF1911,GS:GT))</f>
        <v/>
      </c>
      <c r="AJ1911" s="865"/>
    </row>
    <row r="1912" spans="1:36" ht="15">
      <c r="A1912" s="807"/>
      <c r="C1912" s="807"/>
      <c r="D1912" s="1074"/>
      <c r="E1912" s="1045"/>
      <c r="F1912" s="1048"/>
      <c r="G1912" s="846"/>
      <c r="H1912" s="809" t="s">
        <v>10507</v>
      </c>
      <c r="I1912" s="92">
        <v>75</v>
      </c>
      <c r="J1912" s="92" t="s">
        <v>18</v>
      </c>
      <c r="K1912" s="92" t="s">
        <v>719</v>
      </c>
      <c r="L1912" s="810">
        <v>4</v>
      </c>
      <c r="M1912" s="811" t="str">
        <f t="shared" si="147"/>
        <v>High School Level</v>
      </c>
      <c r="P1912" s="1638"/>
      <c r="R1912" s="812" t="s">
        <v>8285</v>
      </c>
      <c r="S1912" s="813">
        <v>40000</v>
      </c>
      <c r="V1912" s="828"/>
      <c r="X1912" s="811" t="str">
        <f t="shared" si="148"/>
        <v/>
      </c>
      <c r="AB1912" s="953"/>
      <c r="AD1912" s="817" t="s">
        <v>10510</v>
      </c>
      <c r="AE1912" s="92"/>
      <c r="AF1912" s="810"/>
      <c r="AG1912" s="807" t="str">
        <f t="shared" si="149"/>
        <v/>
      </c>
      <c r="AJ1912" s="865"/>
    </row>
    <row r="1913" spans="1:36" ht="15">
      <c r="A1913" s="807"/>
      <c r="C1913" s="807"/>
      <c r="D1913" s="1074"/>
      <c r="E1913" s="1045"/>
      <c r="F1913" s="1048"/>
      <c r="G1913" s="846"/>
      <c r="H1913" s="809" t="s">
        <v>10509</v>
      </c>
      <c r="I1913" s="92">
        <v>72</v>
      </c>
      <c r="J1913" s="92" t="s">
        <v>10</v>
      </c>
      <c r="K1913" s="92" t="s">
        <v>719</v>
      </c>
      <c r="L1913" s="810">
        <v>10</v>
      </c>
      <c r="M1913" s="811" t="str">
        <f t="shared" ref="M1913:M1924" si="150">IF(ISBLANK(L1913)=TRUE,"",LOOKUP(L1913,GQ:GR))</f>
        <v>Not In School Age</v>
      </c>
      <c r="N1913" s="92" t="s">
        <v>1208</v>
      </c>
      <c r="O1913" s="812" t="s">
        <v>4639</v>
      </c>
      <c r="P1913" s="1638"/>
      <c r="Q1913" s="812" t="s">
        <v>4639</v>
      </c>
      <c r="V1913" s="828"/>
      <c r="W1913" s="815">
        <v>2</v>
      </c>
      <c r="X1913" s="811" t="str">
        <f t="shared" si="148"/>
        <v>within the Municipality/City</v>
      </c>
      <c r="AB1913" s="953"/>
      <c r="AG1913" s="807" t="str">
        <f t="shared" si="149"/>
        <v/>
      </c>
      <c r="AJ1913" s="865"/>
    </row>
    <row r="1914" spans="1:36" ht="15">
      <c r="A1914" s="807"/>
      <c r="C1914" s="807"/>
      <c r="D1914" s="1074" t="s">
        <v>10506</v>
      </c>
      <c r="E1914" s="93"/>
      <c r="F1914" s="807"/>
      <c r="G1914" s="846" t="s">
        <v>4635</v>
      </c>
      <c r="H1914" s="809" t="s">
        <v>10511</v>
      </c>
      <c r="I1914" s="92">
        <v>50</v>
      </c>
      <c r="J1914" s="92" t="s">
        <v>18</v>
      </c>
      <c r="K1914" s="92" t="s">
        <v>768</v>
      </c>
      <c r="L1914" s="810">
        <v>7</v>
      </c>
      <c r="M1914" s="811" t="str">
        <f t="shared" si="150"/>
        <v>College Graduate or Higher</v>
      </c>
      <c r="P1914" s="1638"/>
      <c r="V1914" s="828"/>
      <c r="X1914" s="811" t="str">
        <f t="shared" si="148"/>
        <v/>
      </c>
      <c r="AB1914" s="953"/>
      <c r="AG1914" s="807" t="str">
        <f t="shared" si="149"/>
        <v/>
      </c>
      <c r="AJ1914" s="865"/>
    </row>
    <row r="1915" spans="1:36" ht="15">
      <c r="A1915" s="807"/>
      <c r="C1915" s="807"/>
      <c r="D1915" s="1074"/>
      <c r="E1915" s="807"/>
      <c r="F1915" s="807"/>
      <c r="G1915" s="827"/>
      <c r="H1915" s="809" t="s">
        <v>10512</v>
      </c>
      <c r="I1915" s="92">
        <v>46</v>
      </c>
      <c r="J1915" s="92" t="s">
        <v>18</v>
      </c>
      <c r="K1915" s="92" t="s">
        <v>768</v>
      </c>
      <c r="L1915" s="810">
        <v>6</v>
      </c>
      <c r="M1915" s="811" t="str">
        <f t="shared" si="150"/>
        <v>College Level</v>
      </c>
      <c r="P1915" s="1638"/>
      <c r="R1915" s="812" t="s">
        <v>8285</v>
      </c>
      <c r="S1915" s="813">
        <v>12000</v>
      </c>
      <c r="V1915" s="828"/>
      <c r="X1915" s="811" t="str">
        <f t="shared" si="148"/>
        <v/>
      </c>
      <c r="AB1915" s="953"/>
      <c r="AG1915" s="807" t="str">
        <f t="shared" si="149"/>
        <v/>
      </c>
      <c r="AJ1915" s="865"/>
    </row>
    <row r="1916" spans="1:36" ht="15">
      <c r="A1916" s="807"/>
      <c r="C1916" s="807"/>
      <c r="D1916" s="1074"/>
      <c r="E1916" s="807"/>
      <c r="F1916" s="807"/>
      <c r="G1916" s="827"/>
      <c r="H1916" s="809" t="s">
        <v>10513</v>
      </c>
      <c r="I1916" s="92">
        <v>23</v>
      </c>
      <c r="J1916" s="92" t="s">
        <v>18</v>
      </c>
      <c r="K1916" s="92" t="s">
        <v>768</v>
      </c>
      <c r="L1916" s="810">
        <v>6</v>
      </c>
      <c r="M1916" s="811" t="str">
        <f t="shared" si="150"/>
        <v>College Level</v>
      </c>
      <c r="N1916" s="92" t="s">
        <v>1208</v>
      </c>
      <c r="O1916" s="812" t="s">
        <v>10515</v>
      </c>
      <c r="P1916" s="1638"/>
      <c r="Q1916" s="812" t="s">
        <v>10515</v>
      </c>
      <c r="R1916" s="92" t="s">
        <v>8234</v>
      </c>
      <c r="S1916" s="813">
        <v>18000</v>
      </c>
      <c r="U1916" s="813">
        <v>1200</v>
      </c>
      <c r="V1916" s="828">
        <f>SUM(S1910:U1915)</f>
        <v>52000</v>
      </c>
      <c r="W1916" s="815">
        <v>2</v>
      </c>
      <c r="X1916" s="811" t="str">
        <f t="shared" si="148"/>
        <v>within the Municipality/City</v>
      </c>
      <c r="AB1916" s="953">
        <f>SUM(Y1911:AA1916)</f>
        <v>0</v>
      </c>
      <c r="AG1916" s="807" t="str">
        <f t="shared" si="149"/>
        <v/>
      </c>
      <c r="AJ1916" s="865"/>
    </row>
    <row r="1917" spans="1:36" ht="15">
      <c r="A1917" s="17"/>
      <c r="B1917" s="809"/>
      <c r="D1917" s="1074"/>
      <c r="E1917" s="807"/>
      <c r="F1917" s="807"/>
      <c r="G1917" s="827"/>
      <c r="H1917" s="809" t="s">
        <v>10514</v>
      </c>
      <c r="I1917" s="92">
        <v>25</v>
      </c>
      <c r="J1917" s="92" t="s">
        <v>10</v>
      </c>
      <c r="K1917" s="92" t="s">
        <v>707</v>
      </c>
      <c r="L1917" s="810">
        <v>9</v>
      </c>
      <c r="M1917" s="811" t="str">
        <f t="shared" si="150"/>
        <v>Vocational Graduate</v>
      </c>
      <c r="N1917" s="92" t="s">
        <v>1208</v>
      </c>
      <c r="O1917" s="812" t="s">
        <v>2229</v>
      </c>
      <c r="P1917" s="1638" t="s">
        <v>12606</v>
      </c>
      <c r="Q1917" s="812" t="s">
        <v>2229</v>
      </c>
      <c r="W1917" s="815">
        <v>3</v>
      </c>
      <c r="X1917" s="811" t="str">
        <f t="shared" si="148"/>
        <v>within the Province</v>
      </c>
      <c r="Y1917" s="816">
        <v>300</v>
      </c>
      <c r="Z1917" s="980">
        <f>Y1917/26</f>
        <v>11.538461538461538</v>
      </c>
      <c r="AB1917" s="940"/>
      <c r="AE1917" s="93" t="s">
        <v>10517</v>
      </c>
      <c r="AF1917" s="818">
        <v>3</v>
      </c>
      <c r="AG1917" s="807" t="str">
        <f t="shared" si="149"/>
        <v>Special Medical Care</v>
      </c>
      <c r="AJ1917" s="865"/>
    </row>
    <row r="1918" spans="1:36" ht="15">
      <c r="A1918" s="17"/>
      <c r="B1918" s="809"/>
      <c r="D1918" s="1074"/>
      <c r="E1918" s="807"/>
      <c r="F1918" s="807"/>
      <c r="G1918" s="827"/>
      <c r="H1918" s="809" t="s">
        <v>4640</v>
      </c>
      <c r="I1918" s="92">
        <v>31</v>
      </c>
      <c r="J1918" s="92" t="s">
        <v>18</v>
      </c>
      <c r="K1918" s="92" t="s">
        <v>707</v>
      </c>
      <c r="L1918" s="810">
        <v>6</v>
      </c>
      <c r="M1918" s="811" t="str">
        <f t="shared" si="150"/>
        <v>College Level</v>
      </c>
      <c r="P1918" s="1638"/>
      <c r="X1918" s="811" t="str">
        <f t="shared" si="148"/>
        <v/>
      </c>
      <c r="AB1918" s="940"/>
      <c r="AG1918" s="807" t="str">
        <f t="shared" si="149"/>
        <v/>
      </c>
      <c r="AJ1918" s="865"/>
    </row>
    <row r="1919" spans="1:36" ht="15">
      <c r="A1919" s="17"/>
      <c r="B1919" s="809"/>
      <c r="D1919" s="1074"/>
      <c r="E1919" s="807"/>
      <c r="F1919" s="807"/>
      <c r="G1919" s="827"/>
      <c r="H1919" s="809" t="s">
        <v>10518</v>
      </c>
      <c r="I1919" s="92">
        <v>58</v>
      </c>
      <c r="J1919" s="92" t="s">
        <v>18</v>
      </c>
      <c r="K1919" s="92" t="s">
        <v>707</v>
      </c>
      <c r="L1919" s="810">
        <v>6</v>
      </c>
      <c r="M1919" s="811" t="str">
        <f t="shared" si="150"/>
        <v>College Level</v>
      </c>
      <c r="P1919" s="1638"/>
      <c r="X1919" s="811" t="str">
        <f t="shared" si="148"/>
        <v/>
      </c>
      <c r="AB1919" s="940"/>
      <c r="AG1919" s="807" t="str">
        <f t="shared" si="149"/>
        <v/>
      </c>
      <c r="AJ1919" s="865"/>
    </row>
    <row r="1920" spans="1:36" ht="15">
      <c r="A1920" s="19" t="s">
        <v>7421</v>
      </c>
      <c r="B1920" s="809" t="s">
        <v>7439</v>
      </c>
      <c r="C1920" s="149" t="s">
        <v>3130</v>
      </c>
      <c r="D1920" s="1074" t="s">
        <v>10516</v>
      </c>
      <c r="E1920" s="1045" t="s">
        <v>3130</v>
      </c>
      <c r="F1920" s="1048" t="s">
        <v>4640</v>
      </c>
      <c r="G1920" s="809" t="s">
        <v>3130</v>
      </c>
      <c r="H1920" s="809" t="s">
        <v>10519</v>
      </c>
      <c r="I1920" s="92">
        <v>16</v>
      </c>
      <c r="J1920" s="92" t="s">
        <v>18</v>
      </c>
      <c r="K1920" s="92" t="s">
        <v>768</v>
      </c>
      <c r="L1920" s="810">
        <v>4</v>
      </c>
      <c r="M1920" s="811" t="str">
        <f t="shared" si="150"/>
        <v>High School Level</v>
      </c>
      <c r="P1920" s="1638"/>
      <c r="R1920" s="92" t="s">
        <v>8234</v>
      </c>
      <c r="S1920" s="813">
        <v>20000</v>
      </c>
      <c r="V1920" s="814">
        <f>SUM(S1916:U1919)</f>
        <v>19200</v>
      </c>
      <c r="X1920" s="811" t="str">
        <f t="shared" si="148"/>
        <v/>
      </c>
      <c r="AB1920" s="940">
        <f>SUM(Y1917:AA1920)</f>
        <v>311.53846153846155</v>
      </c>
      <c r="AG1920" s="807" t="str">
        <f t="shared" si="149"/>
        <v/>
      </c>
      <c r="AJ1920" s="865"/>
    </row>
    <row r="1921" spans="1:42" ht="15">
      <c r="A1921" s="807"/>
      <c r="C1921" s="807"/>
      <c r="D1921" s="1074"/>
      <c r="E1921" s="1045" t="s">
        <v>3130</v>
      </c>
      <c r="F1921" s="807"/>
      <c r="G1921" s="827"/>
      <c r="H1921" s="809" t="s">
        <v>10520</v>
      </c>
      <c r="I1921" s="92">
        <v>12</v>
      </c>
      <c r="J1921" s="92" t="s">
        <v>10</v>
      </c>
      <c r="K1921" s="92" t="s">
        <v>768</v>
      </c>
      <c r="L1921" s="810">
        <v>4</v>
      </c>
      <c r="M1921" s="811" t="str">
        <f t="shared" si="150"/>
        <v>High School Level</v>
      </c>
      <c r="N1921" s="92" t="s">
        <v>1208</v>
      </c>
      <c r="O1921" s="812" t="s">
        <v>11312</v>
      </c>
      <c r="P1921" s="1638" t="s">
        <v>12606</v>
      </c>
      <c r="Q1921" s="812" t="s">
        <v>11312</v>
      </c>
      <c r="V1921" s="961"/>
      <c r="W1921" s="815">
        <v>3</v>
      </c>
      <c r="X1921" s="811" t="str">
        <f t="shared" si="148"/>
        <v>within the Province</v>
      </c>
      <c r="AB1921" s="962"/>
      <c r="AG1921" s="807" t="str">
        <f t="shared" si="149"/>
        <v/>
      </c>
      <c r="AJ1921" s="865"/>
    </row>
    <row r="1922" spans="1:42" ht="15">
      <c r="A1922" s="807"/>
      <c r="C1922" s="807"/>
      <c r="D1922" s="1074"/>
      <c r="E1922" s="1045" t="s">
        <v>3130</v>
      </c>
      <c r="F1922" s="807"/>
      <c r="G1922" s="827"/>
      <c r="H1922" s="809" t="s">
        <v>3141</v>
      </c>
      <c r="I1922" s="92">
        <v>38</v>
      </c>
      <c r="J1922" s="92" t="s">
        <v>18</v>
      </c>
      <c r="K1922" s="92" t="s">
        <v>768</v>
      </c>
      <c r="L1922" s="810">
        <v>7</v>
      </c>
      <c r="M1922" s="811" t="str">
        <f t="shared" si="150"/>
        <v>College Graduate or Higher</v>
      </c>
      <c r="P1922" s="1638"/>
      <c r="V1922" s="961"/>
      <c r="X1922" s="811" t="str">
        <f t="shared" si="148"/>
        <v/>
      </c>
      <c r="AB1922" s="962"/>
      <c r="AG1922" s="807" t="str">
        <f t="shared" si="149"/>
        <v/>
      </c>
      <c r="AJ1922" s="865"/>
    </row>
    <row r="1923" spans="1:42" ht="15">
      <c r="A1923" s="807"/>
      <c r="C1923" s="807"/>
      <c r="D1923" s="1074"/>
      <c r="E1923" s="1045" t="s">
        <v>3130</v>
      </c>
      <c r="F1923" s="807"/>
      <c r="G1923" s="827"/>
      <c r="H1923" s="809" t="s">
        <v>10522</v>
      </c>
      <c r="I1923" s="92">
        <v>5</v>
      </c>
      <c r="J1923" s="92" t="s">
        <v>18</v>
      </c>
      <c r="K1923" s="92" t="s">
        <v>768</v>
      </c>
      <c r="L1923" s="810">
        <v>1</v>
      </c>
      <c r="M1923" s="811" t="str">
        <f t="shared" si="150"/>
        <v>Pre-school</v>
      </c>
      <c r="P1923" s="1638"/>
      <c r="V1923" s="961">
        <f>SUM(S1920:U1922)</f>
        <v>20000</v>
      </c>
      <c r="X1923" s="811" t="str">
        <f t="shared" si="148"/>
        <v/>
      </c>
      <c r="AB1923" s="962">
        <f>SUM(Y1921:AA1923)</f>
        <v>0</v>
      </c>
      <c r="AG1923" s="807" t="str">
        <f t="shared" si="149"/>
        <v/>
      </c>
      <c r="AJ1923" s="865"/>
    </row>
    <row r="1924" spans="1:42" ht="15">
      <c r="A1924" s="19" t="s">
        <v>7421</v>
      </c>
      <c r="B1924" s="292" t="s">
        <v>7440</v>
      </c>
      <c r="C1924" s="149" t="s">
        <v>3142</v>
      </c>
      <c r="D1924" s="1074" t="s">
        <v>10521</v>
      </c>
      <c r="E1924" s="1045" t="s">
        <v>3142</v>
      </c>
      <c r="F1924" s="1048" t="s">
        <v>11277</v>
      </c>
      <c r="G1924" s="981"/>
      <c r="H1924" s="809" t="s">
        <v>10523</v>
      </c>
      <c r="I1924" s="92">
        <v>3</v>
      </c>
      <c r="J1924" s="92" t="s">
        <v>10</v>
      </c>
      <c r="K1924" s="92" t="s">
        <v>768</v>
      </c>
      <c r="L1924" s="810">
        <v>10</v>
      </c>
      <c r="M1924" s="811" t="str">
        <f t="shared" si="150"/>
        <v>Not In School Age</v>
      </c>
      <c r="P1924" s="1638"/>
      <c r="R1924" s="92"/>
      <c r="V1924" s="961"/>
      <c r="AB1924" s="962"/>
      <c r="AG1924" s="807" t="str">
        <f t="shared" si="149"/>
        <v/>
      </c>
      <c r="AJ1924" s="865"/>
      <c r="AO1924" s="982" t="s">
        <v>10525</v>
      </c>
      <c r="AP1924" s="982"/>
    </row>
    <row r="1925" spans="1:42" ht="15">
      <c r="A1925" s="807"/>
      <c r="C1925" s="807"/>
      <c r="D1925" s="1074"/>
      <c r="E1925" s="1045" t="s">
        <v>3142</v>
      </c>
      <c r="F1925" s="807"/>
      <c r="G1925" s="827"/>
      <c r="M1925" s="811"/>
      <c r="P1925" s="1638"/>
      <c r="V1925" s="828"/>
      <c r="X1925" s="811" t="str">
        <f t="shared" ref="X1925:X1988" si="151">IF(ISBLANK(W1925)=TRUE,"",LOOKUP(W1925,GO:GP))</f>
        <v/>
      </c>
      <c r="AB1925" s="953"/>
      <c r="AD1925" s="817" t="s">
        <v>10528</v>
      </c>
      <c r="AG1925" s="807" t="str">
        <f t="shared" si="149"/>
        <v/>
      </c>
      <c r="AJ1925" s="865"/>
    </row>
    <row r="1926" spans="1:42" ht="15">
      <c r="A1926" s="807"/>
      <c r="C1926" s="807"/>
      <c r="D1926" s="1074"/>
      <c r="E1926" s="1045" t="s">
        <v>3142</v>
      </c>
      <c r="F1926" s="807"/>
      <c r="G1926" s="827"/>
      <c r="H1926" s="809" t="s">
        <v>10527</v>
      </c>
      <c r="I1926" s="92">
        <v>75</v>
      </c>
      <c r="J1926" s="92" t="s">
        <v>10</v>
      </c>
      <c r="K1926" s="92" t="s">
        <v>707</v>
      </c>
      <c r="L1926" s="810">
        <v>5</v>
      </c>
      <c r="M1926" s="811" t="str">
        <f t="shared" ref="M1926:M1957" si="152">IF(ISBLANK(L1926)=TRUE,"",LOOKUP(L1926,GQ:GR))</f>
        <v>High School Graduate</v>
      </c>
      <c r="P1926" s="1638"/>
      <c r="R1926" s="812" t="s">
        <v>8285</v>
      </c>
      <c r="S1926" s="813">
        <v>5000</v>
      </c>
      <c r="V1926" s="828"/>
      <c r="X1926" s="811" t="str">
        <f t="shared" si="151"/>
        <v/>
      </c>
      <c r="AB1926" s="953"/>
      <c r="AG1926" s="807" t="str">
        <f t="shared" si="149"/>
        <v/>
      </c>
      <c r="AJ1926" s="865"/>
    </row>
    <row r="1927" spans="1:42" ht="15">
      <c r="A1927" s="807"/>
      <c r="C1927" s="807"/>
      <c r="D1927" s="1074" t="s">
        <v>10524</v>
      </c>
      <c r="E1927" s="807"/>
      <c r="F1927" s="807"/>
      <c r="G1927" s="809" t="s">
        <v>3142</v>
      </c>
      <c r="H1927" s="809" t="s">
        <v>10529</v>
      </c>
      <c r="I1927" s="92">
        <v>45</v>
      </c>
      <c r="J1927" s="92" t="s">
        <v>18</v>
      </c>
      <c r="K1927" s="92" t="s">
        <v>707</v>
      </c>
      <c r="L1927" s="810">
        <v>3</v>
      </c>
      <c r="M1927" s="811" t="str">
        <f t="shared" si="152"/>
        <v>Elementary Graduate</v>
      </c>
      <c r="N1927" s="92" t="s">
        <v>1208</v>
      </c>
      <c r="O1927" s="812" t="s">
        <v>10531</v>
      </c>
      <c r="P1927" s="1638"/>
      <c r="Q1927" s="812" t="s">
        <v>10531</v>
      </c>
      <c r="V1927" s="828"/>
      <c r="W1927" s="815">
        <v>2</v>
      </c>
      <c r="X1927" s="811" t="str">
        <f t="shared" si="151"/>
        <v>within the Municipality/City</v>
      </c>
      <c r="Y1927" s="816">
        <f>32*26</f>
        <v>832</v>
      </c>
      <c r="AB1927" s="953"/>
      <c r="AG1927" s="807" t="str">
        <f t="shared" si="149"/>
        <v/>
      </c>
      <c r="AJ1927" s="865"/>
    </row>
    <row r="1928" spans="1:42" ht="15">
      <c r="A1928" s="19" t="s">
        <v>7421</v>
      </c>
      <c r="B1928" s="292" t="s">
        <v>7441</v>
      </c>
      <c r="C1928" s="149" t="s">
        <v>4637</v>
      </c>
      <c r="D1928" s="1074" t="s">
        <v>10526</v>
      </c>
      <c r="E1928" s="1045" t="s">
        <v>4637</v>
      </c>
      <c r="F1928" s="1048" t="s">
        <v>4669</v>
      </c>
      <c r="G1928" s="846" t="s">
        <v>4637</v>
      </c>
      <c r="H1928" s="809" t="s">
        <v>10530</v>
      </c>
      <c r="I1928" s="92">
        <v>43</v>
      </c>
      <c r="J1928" s="92" t="s">
        <v>18</v>
      </c>
      <c r="K1928" s="92" t="s">
        <v>768</v>
      </c>
      <c r="L1928" s="810">
        <v>4</v>
      </c>
      <c r="M1928" s="811" t="str">
        <f t="shared" si="152"/>
        <v>High School Level</v>
      </c>
      <c r="P1928" s="1638"/>
      <c r="R1928" s="812" t="s">
        <v>8285</v>
      </c>
      <c r="S1928" s="813">
        <f>100*30</f>
        <v>3000</v>
      </c>
      <c r="V1928" s="828"/>
      <c r="X1928" s="811" t="str">
        <f t="shared" si="151"/>
        <v/>
      </c>
      <c r="AB1928" s="953"/>
      <c r="AG1928" s="807" t="str">
        <f t="shared" si="149"/>
        <v/>
      </c>
      <c r="AJ1928" s="865"/>
    </row>
    <row r="1929" spans="1:42" ht="15">
      <c r="A1929" s="807"/>
      <c r="C1929" s="807"/>
      <c r="D1929" s="1074"/>
      <c r="E1929" s="1045" t="s">
        <v>4637</v>
      </c>
      <c r="F1929" s="807"/>
      <c r="G1929" s="827"/>
      <c r="H1929" s="809" t="s">
        <v>10532</v>
      </c>
      <c r="I1929" s="92">
        <v>27</v>
      </c>
      <c r="J1929" s="92" t="s">
        <v>18</v>
      </c>
      <c r="K1929" s="92" t="s">
        <v>768</v>
      </c>
      <c r="L1929" s="810">
        <v>4</v>
      </c>
      <c r="M1929" s="811" t="str">
        <f t="shared" si="152"/>
        <v>High School Level</v>
      </c>
      <c r="N1929" s="92" t="s">
        <v>1208</v>
      </c>
      <c r="O1929" s="812" t="s">
        <v>4638</v>
      </c>
      <c r="P1929" s="1638"/>
      <c r="Q1929" s="812" t="s">
        <v>4638</v>
      </c>
      <c r="V1929" s="828"/>
      <c r="W1929" s="815">
        <v>2</v>
      </c>
      <c r="X1929" s="811" t="str">
        <f t="shared" si="151"/>
        <v>within the Municipality/City</v>
      </c>
      <c r="Y1929" s="816">
        <f>100*26</f>
        <v>2600</v>
      </c>
      <c r="AB1929" s="953"/>
      <c r="AG1929" s="807" t="str">
        <f t="shared" si="149"/>
        <v/>
      </c>
      <c r="AJ1929" s="865"/>
    </row>
    <row r="1930" spans="1:42" ht="15">
      <c r="A1930" s="807"/>
      <c r="C1930" s="807"/>
      <c r="D1930" s="1074"/>
      <c r="E1930" s="1045" t="s">
        <v>4637</v>
      </c>
      <c r="F1930" s="807"/>
      <c r="G1930" s="827"/>
      <c r="H1930" s="809" t="s">
        <v>10533</v>
      </c>
      <c r="I1930" s="92">
        <v>40</v>
      </c>
      <c r="J1930" s="92" t="s">
        <v>10</v>
      </c>
      <c r="K1930" s="92" t="s">
        <v>707</v>
      </c>
      <c r="L1930" s="810">
        <v>3</v>
      </c>
      <c r="M1930" s="811" t="str">
        <f t="shared" si="152"/>
        <v>Elementary Graduate</v>
      </c>
      <c r="P1930" s="1638"/>
      <c r="R1930" s="812" t="s">
        <v>8285</v>
      </c>
      <c r="S1930" s="813">
        <f>150*30</f>
        <v>4500</v>
      </c>
      <c r="V1930" s="828"/>
      <c r="X1930" s="811" t="str">
        <f t="shared" si="151"/>
        <v/>
      </c>
      <c r="AB1930" s="953"/>
      <c r="AG1930" s="807" t="str">
        <f t="shared" si="149"/>
        <v/>
      </c>
      <c r="AJ1930" s="865"/>
    </row>
    <row r="1931" spans="1:42" ht="15">
      <c r="D1931" s="1074"/>
      <c r="E1931" s="1045" t="s">
        <v>4637</v>
      </c>
      <c r="F1931" s="807"/>
      <c r="G1931" s="827"/>
      <c r="H1931" s="809" t="s">
        <v>10534</v>
      </c>
      <c r="I1931" s="92">
        <v>31</v>
      </c>
      <c r="J1931" s="92" t="s">
        <v>10</v>
      </c>
      <c r="K1931" s="92" t="s">
        <v>768</v>
      </c>
      <c r="L1931" s="810">
        <v>4</v>
      </c>
      <c r="M1931" s="811" t="str">
        <f t="shared" si="152"/>
        <v>High School Level</v>
      </c>
      <c r="N1931" s="92" t="s">
        <v>1208</v>
      </c>
      <c r="O1931" s="812" t="s">
        <v>10536</v>
      </c>
      <c r="P1931" s="1638"/>
      <c r="Q1931" s="812" t="s">
        <v>10536</v>
      </c>
      <c r="V1931" s="828"/>
      <c r="X1931" s="811" t="str">
        <f t="shared" si="151"/>
        <v/>
      </c>
      <c r="AB1931" s="953"/>
      <c r="AG1931" s="807" t="str">
        <f t="shared" si="149"/>
        <v/>
      </c>
      <c r="AJ1931" s="865"/>
    </row>
    <row r="1932" spans="1:42" ht="15">
      <c r="D1932" s="1074"/>
      <c r="E1932" s="1045" t="s">
        <v>4637</v>
      </c>
      <c r="F1932" s="807"/>
      <c r="G1932" s="827"/>
      <c r="H1932" s="809" t="s">
        <v>10535</v>
      </c>
      <c r="I1932" s="92">
        <v>47</v>
      </c>
      <c r="J1932" s="92" t="s">
        <v>10</v>
      </c>
      <c r="K1932" s="92" t="s">
        <v>768</v>
      </c>
      <c r="L1932" s="810">
        <v>4</v>
      </c>
      <c r="M1932" s="811" t="str">
        <f t="shared" si="152"/>
        <v>High School Level</v>
      </c>
      <c r="P1932" s="1638"/>
      <c r="V1932" s="828"/>
      <c r="X1932" s="811" t="str">
        <f t="shared" si="151"/>
        <v/>
      </c>
      <c r="AB1932" s="953"/>
      <c r="AG1932" s="807" t="str">
        <f t="shared" si="149"/>
        <v/>
      </c>
      <c r="AJ1932" s="865"/>
    </row>
    <row r="1933" spans="1:42" ht="15">
      <c r="D1933" s="1074"/>
      <c r="E1933" s="1045" t="s">
        <v>4637</v>
      </c>
      <c r="F1933" s="807"/>
      <c r="G1933" s="827"/>
      <c r="H1933" s="809" t="s">
        <v>10537</v>
      </c>
      <c r="I1933" s="92">
        <v>24</v>
      </c>
      <c r="J1933" s="92" t="s">
        <v>10</v>
      </c>
      <c r="K1933" s="92" t="s">
        <v>707</v>
      </c>
      <c r="L1933" s="810">
        <v>5</v>
      </c>
      <c r="M1933" s="811" t="str">
        <f t="shared" si="152"/>
        <v>High School Graduate</v>
      </c>
      <c r="P1933" s="1638"/>
      <c r="R1933" s="812" t="s">
        <v>8285</v>
      </c>
      <c r="S1933" s="813">
        <f>7000/4</f>
        <v>1750</v>
      </c>
      <c r="V1933" s="828"/>
      <c r="X1933" s="811" t="str">
        <f t="shared" si="151"/>
        <v/>
      </c>
      <c r="AB1933" s="953"/>
      <c r="AG1933" s="807" t="str">
        <f t="shared" si="149"/>
        <v/>
      </c>
      <c r="AJ1933" s="865"/>
    </row>
    <row r="1934" spans="1:42" ht="15">
      <c r="D1934" s="1074"/>
      <c r="E1934" s="1045" t="s">
        <v>4637</v>
      </c>
      <c r="F1934" s="807"/>
      <c r="G1934" s="827"/>
      <c r="H1934" s="809" t="s">
        <v>10538</v>
      </c>
      <c r="I1934" s="92">
        <v>21</v>
      </c>
      <c r="J1934" s="92" t="s">
        <v>18</v>
      </c>
      <c r="K1934" s="92" t="s">
        <v>768</v>
      </c>
      <c r="L1934" s="810">
        <v>6</v>
      </c>
      <c r="M1934" s="811" t="str">
        <f t="shared" si="152"/>
        <v>College Level</v>
      </c>
      <c r="N1934" s="92" t="s">
        <v>1208</v>
      </c>
      <c r="O1934" s="812" t="s">
        <v>10540</v>
      </c>
      <c r="P1934" s="1638"/>
      <c r="Q1934" s="812" t="s">
        <v>10540</v>
      </c>
      <c r="R1934" s="812" t="s">
        <v>8285</v>
      </c>
      <c r="S1934" s="813">
        <f>500*26</f>
        <v>13000</v>
      </c>
      <c r="V1934" s="828"/>
      <c r="W1934" s="815">
        <v>2</v>
      </c>
      <c r="X1934" s="811" t="str">
        <f t="shared" si="151"/>
        <v>within the Municipality/City</v>
      </c>
      <c r="Y1934" s="816">
        <f>32*26</f>
        <v>832</v>
      </c>
      <c r="AB1934" s="953"/>
      <c r="AG1934" s="807" t="str">
        <f t="shared" si="149"/>
        <v/>
      </c>
      <c r="AJ1934" s="865"/>
    </row>
    <row r="1935" spans="1:42" ht="15">
      <c r="D1935" s="1074"/>
      <c r="E1935" s="1045" t="s">
        <v>4637</v>
      </c>
      <c r="F1935" s="807"/>
      <c r="G1935" s="827"/>
      <c r="H1935" s="809" t="s">
        <v>10539</v>
      </c>
      <c r="I1935" s="92">
        <v>26</v>
      </c>
      <c r="J1935" s="92" t="s">
        <v>10</v>
      </c>
      <c r="K1935" s="92" t="s">
        <v>768</v>
      </c>
      <c r="L1935" s="810">
        <v>4</v>
      </c>
      <c r="M1935" s="811" t="str">
        <f t="shared" si="152"/>
        <v>High School Level</v>
      </c>
      <c r="N1935" s="92" t="s">
        <v>1208</v>
      </c>
      <c r="O1935" s="812" t="s">
        <v>10298</v>
      </c>
      <c r="P1935" s="1638"/>
      <c r="Q1935" s="812" t="s">
        <v>10298</v>
      </c>
      <c r="R1935" s="92" t="s">
        <v>8234</v>
      </c>
      <c r="S1935" s="813">
        <v>12000</v>
      </c>
      <c r="V1935" s="828">
        <f>SUM(S1924:U1934)</f>
        <v>27250</v>
      </c>
      <c r="W1935" s="815">
        <v>2</v>
      </c>
      <c r="X1935" s="811" t="str">
        <f t="shared" si="151"/>
        <v>within the Municipality/City</v>
      </c>
      <c r="AB1935" s="953">
        <f>SUM(Y1925:AA1935)</f>
        <v>4264</v>
      </c>
      <c r="AG1935" s="807" t="str">
        <f t="shared" si="149"/>
        <v/>
      </c>
      <c r="AJ1935" s="865"/>
    </row>
    <row r="1936" spans="1:42" ht="15">
      <c r="D1936" s="1074"/>
      <c r="E1936" s="1045" t="s">
        <v>4637</v>
      </c>
      <c r="F1936" s="807"/>
      <c r="G1936" s="827"/>
      <c r="H1936" s="809" t="s">
        <v>10541</v>
      </c>
      <c r="I1936" s="92">
        <v>47</v>
      </c>
      <c r="J1936" s="92" t="s">
        <v>10</v>
      </c>
      <c r="K1936" s="92" t="s">
        <v>707</v>
      </c>
      <c r="L1936" s="810">
        <v>5</v>
      </c>
      <c r="M1936" s="811" t="str">
        <f t="shared" si="152"/>
        <v>High School Graduate</v>
      </c>
      <c r="N1936" s="92" t="s">
        <v>1208</v>
      </c>
      <c r="O1936" s="812" t="s">
        <v>4679</v>
      </c>
      <c r="P1936" s="1638" t="s">
        <v>12606</v>
      </c>
      <c r="Q1936" s="812" t="s">
        <v>4679</v>
      </c>
      <c r="V1936" s="873"/>
      <c r="W1936" s="815">
        <v>3</v>
      </c>
      <c r="X1936" s="811" t="str">
        <f t="shared" si="151"/>
        <v>within the Province</v>
      </c>
      <c r="Y1936" s="816">
        <v>200</v>
      </c>
      <c r="AB1936" s="873"/>
      <c r="AG1936" s="807" t="str">
        <f t="shared" si="149"/>
        <v/>
      </c>
      <c r="AJ1936" s="865"/>
    </row>
    <row r="1937" spans="1:36" ht="15">
      <c r="D1937" s="1074"/>
      <c r="E1937" s="1045" t="s">
        <v>4637</v>
      </c>
      <c r="F1937" s="807"/>
      <c r="G1937" s="827"/>
      <c r="H1937" s="809" t="s">
        <v>10543</v>
      </c>
      <c r="I1937" s="92">
        <v>24</v>
      </c>
      <c r="J1937" s="92" t="s">
        <v>10</v>
      </c>
      <c r="K1937" s="92" t="s">
        <v>722</v>
      </c>
      <c r="L1937" s="810">
        <v>5</v>
      </c>
      <c r="M1937" s="811" t="str">
        <f t="shared" si="152"/>
        <v>High School Graduate</v>
      </c>
      <c r="P1937" s="1638"/>
      <c r="R1937" s="812" t="s">
        <v>8285</v>
      </c>
      <c r="S1937" s="813">
        <v>10000</v>
      </c>
      <c r="V1937" s="873"/>
      <c r="X1937" s="811" t="str">
        <f t="shared" si="151"/>
        <v/>
      </c>
      <c r="AB1937" s="873"/>
      <c r="AG1937" s="807" t="str">
        <f t="shared" si="149"/>
        <v/>
      </c>
      <c r="AJ1937" s="865"/>
    </row>
    <row r="1938" spans="1:36" ht="15">
      <c r="A1938" s="17"/>
      <c r="D1938" s="1074"/>
      <c r="E1938" s="1045" t="s">
        <v>4637</v>
      </c>
      <c r="F1938" s="807"/>
      <c r="G1938" s="827"/>
      <c r="H1938" s="809" t="s">
        <v>4680</v>
      </c>
      <c r="I1938" s="92">
        <v>21</v>
      </c>
      <c r="J1938" s="92" t="s">
        <v>18</v>
      </c>
      <c r="K1938" s="92" t="s">
        <v>722</v>
      </c>
      <c r="L1938" s="810">
        <v>5</v>
      </c>
      <c r="M1938" s="811" t="str">
        <f t="shared" si="152"/>
        <v>High School Graduate</v>
      </c>
      <c r="N1938" s="92" t="s">
        <v>1208</v>
      </c>
      <c r="O1938" s="812" t="s">
        <v>10545</v>
      </c>
      <c r="P1938" s="1638"/>
      <c r="Q1938" s="812" t="s">
        <v>10545</v>
      </c>
      <c r="R1938" s="812" t="s">
        <v>8285</v>
      </c>
      <c r="S1938" s="813">
        <v>10000</v>
      </c>
      <c r="V1938" s="873"/>
      <c r="W1938" s="815">
        <v>3</v>
      </c>
      <c r="X1938" s="811" t="str">
        <f t="shared" si="151"/>
        <v>within the Province</v>
      </c>
      <c r="Y1938" s="816">
        <v>100</v>
      </c>
      <c r="AB1938" s="873"/>
      <c r="AG1938" s="807" t="str">
        <f t="shared" si="149"/>
        <v/>
      </c>
      <c r="AJ1938" s="865"/>
    </row>
    <row r="1939" spans="1:36" ht="15">
      <c r="A1939" s="19" t="s">
        <v>7421</v>
      </c>
      <c r="B1939" s="292" t="s">
        <v>8029</v>
      </c>
      <c r="C1939" s="149" t="s">
        <v>4670</v>
      </c>
      <c r="D1939" s="410" t="s">
        <v>10542</v>
      </c>
      <c r="E1939" s="1045" t="s">
        <v>4670</v>
      </c>
      <c r="F1939" s="1048" t="s">
        <v>4678</v>
      </c>
      <c r="G1939" s="809" t="s">
        <v>4670</v>
      </c>
      <c r="H1939" s="809" t="s">
        <v>10544</v>
      </c>
      <c r="I1939" s="92">
        <v>21</v>
      </c>
      <c r="J1939" s="92" t="s">
        <v>10</v>
      </c>
      <c r="K1939" s="92" t="s">
        <v>768</v>
      </c>
      <c r="L1939" s="810">
        <v>5</v>
      </c>
      <c r="M1939" s="811" t="str">
        <f t="shared" si="152"/>
        <v>High School Graduate</v>
      </c>
      <c r="N1939" s="92" t="s">
        <v>1208</v>
      </c>
      <c r="O1939" s="812" t="s">
        <v>9501</v>
      </c>
      <c r="P1939" s="1638"/>
      <c r="Q1939" s="812" t="s">
        <v>9501</v>
      </c>
      <c r="V1939" s="873"/>
      <c r="W1939" s="815">
        <v>3</v>
      </c>
      <c r="X1939" s="811" t="str">
        <f t="shared" si="151"/>
        <v>within the Province</v>
      </c>
      <c r="AB1939" s="873"/>
      <c r="AG1939" s="807" t="str">
        <f t="shared" si="149"/>
        <v/>
      </c>
      <c r="AJ1939" s="865"/>
    </row>
    <row r="1940" spans="1:36" ht="15">
      <c r="A1940" s="311" t="s">
        <v>12356</v>
      </c>
      <c r="B1940" s="744" t="s">
        <v>7442</v>
      </c>
      <c r="C1940" s="149" t="s">
        <v>4682</v>
      </c>
      <c r="D1940" s="1074"/>
      <c r="E1940" s="1045" t="s">
        <v>4670</v>
      </c>
      <c r="F1940" s="807"/>
      <c r="G1940" s="827"/>
      <c r="H1940" s="809" t="s">
        <v>10546</v>
      </c>
      <c r="I1940" s="92">
        <v>23</v>
      </c>
      <c r="J1940" s="92" t="s">
        <v>10</v>
      </c>
      <c r="K1940" s="92" t="s">
        <v>768</v>
      </c>
      <c r="L1940" s="810">
        <v>5</v>
      </c>
      <c r="M1940" s="811" t="str">
        <f t="shared" si="152"/>
        <v>High School Graduate</v>
      </c>
      <c r="P1940" s="1638"/>
      <c r="V1940" s="873"/>
      <c r="X1940" s="811" t="str">
        <f t="shared" si="151"/>
        <v/>
      </c>
      <c r="AB1940" s="873"/>
      <c r="AG1940" s="807" t="str">
        <f t="shared" si="149"/>
        <v/>
      </c>
      <c r="AJ1940" s="865"/>
    </row>
    <row r="1941" spans="1:36" ht="15">
      <c r="A1941" s="17"/>
      <c r="D1941" s="1074"/>
      <c r="E1941" s="1045" t="s">
        <v>4670</v>
      </c>
      <c r="F1941" s="807"/>
      <c r="G1941" s="827"/>
      <c r="H1941" s="809" t="s">
        <v>10547</v>
      </c>
      <c r="I1941" s="930">
        <f>5/12</f>
        <v>0.41666666666666669</v>
      </c>
      <c r="J1941" s="92" t="s">
        <v>18</v>
      </c>
      <c r="K1941" s="92" t="s">
        <v>768</v>
      </c>
      <c r="L1941" s="810">
        <v>10</v>
      </c>
      <c r="M1941" s="811" t="str">
        <f t="shared" si="152"/>
        <v>Not In School Age</v>
      </c>
      <c r="P1941" s="1638"/>
      <c r="R1941" s="812" t="s">
        <v>8285</v>
      </c>
      <c r="S1941" s="813">
        <v>12000</v>
      </c>
      <c r="V1941" s="873"/>
      <c r="X1941" s="811" t="str">
        <f t="shared" si="151"/>
        <v/>
      </c>
      <c r="AB1941" s="873"/>
      <c r="AG1941" s="807"/>
      <c r="AJ1941" s="865"/>
    </row>
    <row r="1942" spans="1:36" ht="15">
      <c r="A1942" s="17"/>
      <c r="D1942" s="1074"/>
      <c r="E1942" s="1045" t="s">
        <v>4670</v>
      </c>
      <c r="F1942" s="807"/>
      <c r="G1942" s="827"/>
      <c r="H1942" s="809" t="s">
        <v>11692</v>
      </c>
      <c r="I1942" s="819">
        <v>48</v>
      </c>
      <c r="J1942" s="92" t="s">
        <v>18</v>
      </c>
      <c r="K1942" s="92" t="s">
        <v>768</v>
      </c>
      <c r="L1942" s="810">
        <v>5</v>
      </c>
      <c r="M1942" s="811" t="str">
        <f t="shared" si="152"/>
        <v>High School Graduate</v>
      </c>
      <c r="N1942" s="92" t="s">
        <v>1208</v>
      </c>
      <c r="O1942" s="812" t="s">
        <v>11698</v>
      </c>
      <c r="P1942" s="1638"/>
      <c r="Q1942" s="812" t="s">
        <v>11698</v>
      </c>
      <c r="V1942" s="873"/>
      <c r="W1942" s="815">
        <v>2</v>
      </c>
      <c r="X1942" s="811" t="str">
        <f t="shared" si="151"/>
        <v>within the Municipality/City</v>
      </c>
      <c r="Y1942" s="816">
        <v>960</v>
      </c>
      <c r="AB1942" s="873"/>
      <c r="AG1942" s="807"/>
      <c r="AJ1942" s="865"/>
    </row>
    <row r="1943" spans="1:36" ht="15">
      <c r="A1943" s="17"/>
      <c r="D1943" s="1074"/>
      <c r="E1943" s="1045" t="s">
        <v>4670</v>
      </c>
      <c r="F1943" s="807"/>
      <c r="G1943" s="827"/>
      <c r="H1943" s="809" t="s">
        <v>11697</v>
      </c>
      <c r="I1943" s="819">
        <v>26</v>
      </c>
      <c r="J1943" s="92" t="s">
        <v>10</v>
      </c>
      <c r="K1943" s="92" t="s">
        <v>768</v>
      </c>
      <c r="L1943" s="810">
        <v>7</v>
      </c>
      <c r="M1943" s="811" t="str">
        <f t="shared" si="152"/>
        <v>College Graduate or Higher</v>
      </c>
      <c r="P1943" s="1638"/>
      <c r="V1943" s="873"/>
      <c r="X1943" s="811" t="str">
        <f t="shared" si="151"/>
        <v/>
      </c>
      <c r="AB1943" s="873"/>
      <c r="AG1943" s="807"/>
      <c r="AJ1943" s="865"/>
    </row>
    <row r="1944" spans="1:36" ht="15">
      <c r="A1944" s="17"/>
      <c r="D1944" s="1074"/>
      <c r="E1944" s="1045"/>
      <c r="F1944" s="807"/>
      <c r="G1944" s="827"/>
      <c r="H1944" s="809" t="s">
        <v>11693</v>
      </c>
      <c r="I1944" s="819">
        <v>21</v>
      </c>
      <c r="J1944" s="92" t="s">
        <v>18</v>
      </c>
      <c r="K1944" s="92" t="s">
        <v>768</v>
      </c>
      <c r="L1944" s="810">
        <v>7</v>
      </c>
      <c r="M1944" s="811" t="str">
        <f t="shared" si="152"/>
        <v>College Graduate or Higher</v>
      </c>
      <c r="P1944" s="1638"/>
      <c r="V1944" s="873"/>
      <c r="X1944" s="811" t="str">
        <f t="shared" si="151"/>
        <v/>
      </c>
      <c r="AB1944" s="873"/>
      <c r="AG1944" s="807"/>
      <c r="AJ1944" s="865"/>
    </row>
    <row r="1945" spans="1:36" ht="15">
      <c r="A1945" s="17"/>
      <c r="D1945" s="1074"/>
      <c r="E1945" s="1045"/>
      <c r="F1945" s="807"/>
      <c r="G1945" s="827"/>
      <c r="H1945" s="809" t="s">
        <v>11694</v>
      </c>
      <c r="I1945" s="819">
        <v>19</v>
      </c>
      <c r="J1945" s="92" t="s">
        <v>18</v>
      </c>
      <c r="K1945" s="92" t="s">
        <v>768</v>
      </c>
      <c r="L1945" s="810">
        <v>7</v>
      </c>
      <c r="M1945" s="811" t="str">
        <f t="shared" si="152"/>
        <v>College Graduate or Higher</v>
      </c>
      <c r="P1945" s="1638"/>
      <c r="V1945" s="873"/>
      <c r="X1945" s="811" t="str">
        <f t="shared" si="151"/>
        <v/>
      </c>
      <c r="AB1945" s="873"/>
      <c r="AG1945" s="807"/>
      <c r="AJ1945" s="865"/>
    </row>
    <row r="1946" spans="1:36" ht="15">
      <c r="A1946" s="17"/>
      <c r="D1946" s="1074"/>
      <c r="E1946" s="1045"/>
      <c r="F1946" s="807"/>
      <c r="G1946" s="827"/>
      <c r="H1946" s="809" t="s">
        <v>11695</v>
      </c>
      <c r="I1946" s="819">
        <v>18</v>
      </c>
      <c r="J1946" s="92" t="s">
        <v>18</v>
      </c>
      <c r="K1946" s="92" t="s">
        <v>768</v>
      </c>
      <c r="L1946" s="810">
        <v>7</v>
      </c>
      <c r="M1946" s="811" t="str">
        <f t="shared" si="152"/>
        <v>College Graduate or Higher</v>
      </c>
      <c r="P1946" s="1638"/>
      <c r="V1946" s="873">
        <f>SUM(S1935:U1945)</f>
        <v>44000</v>
      </c>
      <c r="X1946" s="811" t="str">
        <f t="shared" si="151"/>
        <v/>
      </c>
      <c r="AB1946" s="873">
        <f>SUM(Y1936:AA1946)</f>
        <v>1260</v>
      </c>
      <c r="AG1946" s="807"/>
      <c r="AJ1946" s="865"/>
    </row>
    <row r="1947" spans="1:36" ht="15">
      <c r="A1947" s="17"/>
      <c r="D1947" s="1074"/>
      <c r="E1947" s="1045"/>
      <c r="F1947" s="807"/>
      <c r="G1947" s="827"/>
      <c r="H1947" s="809" t="s">
        <v>11696</v>
      </c>
      <c r="I1947" s="819">
        <v>16</v>
      </c>
      <c r="J1947" s="92" t="s">
        <v>18</v>
      </c>
      <c r="K1947" s="92" t="s">
        <v>768</v>
      </c>
      <c r="L1947" s="810">
        <v>4</v>
      </c>
      <c r="M1947" s="811" t="str">
        <f t="shared" si="152"/>
        <v>High School Level</v>
      </c>
      <c r="P1947" s="1638"/>
      <c r="X1947" s="811" t="str">
        <f t="shared" si="151"/>
        <v/>
      </c>
      <c r="AB1947" s="940"/>
      <c r="AG1947" s="807" t="str">
        <f t="shared" ref="AG1947:AG1971" si="153">IF(ISBLANK(AF1947)=TRUE,"",LOOKUP(AF1947,GS:GT))</f>
        <v/>
      </c>
      <c r="AJ1947" s="865"/>
    </row>
    <row r="1948" spans="1:36" ht="15">
      <c r="A1948" s="17"/>
      <c r="D1948" s="1074"/>
      <c r="E1948" s="1045"/>
      <c r="F1948" s="807"/>
      <c r="G1948" s="827"/>
      <c r="H1948" s="809" t="s">
        <v>10549</v>
      </c>
      <c r="I1948" s="819">
        <v>45</v>
      </c>
      <c r="J1948" s="92" t="s">
        <v>10</v>
      </c>
      <c r="K1948" s="92" t="s">
        <v>707</v>
      </c>
      <c r="L1948" s="810">
        <v>5</v>
      </c>
      <c r="M1948" s="811" t="str">
        <f t="shared" si="152"/>
        <v>High School Graduate</v>
      </c>
      <c r="P1948" s="1638"/>
      <c r="S1948" s="813">
        <v>20000</v>
      </c>
      <c r="X1948" s="811" t="str">
        <f t="shared" si="151"/>
        <v/>
      </c>
      <c r="AB1948" s="940"/>
      <c r="AD1948" s="817" t="s">
        <v>10551</v>
      </c>
      <c r="AE1948" s="819"/>
      <c r="AF1948" s="983"/>
      <c r="AG1948" s="807" t="str">
        <f t="shared" si="153"/>
        <v/>
      </c>
      <c r="AJ1948" s="865"/>
    </row>
    <row r="1949" spans="1:36" ht="15">
      <c r="A1949" s="17"/>
      <c r="D1949" s="1074"/>
      <c r="E1949" s="1045"/>
      <c r="F1949" s="807"/>
      <c r="G1949" s="827"/>
      <c r="H1949" s="809" t="s">
        <v>10550</v>
      </c>
      <c r="I1949" s="819">
        <v>74</v>
      </c>
      <c r="J1949" s="92" t="s">
        <v>18</v>
      </c>
      <c r="K1949" s="92" t="s">
        <v>707</v>
      </c>
      <c r="L1949" s="810">
        <v>3</v>
      </c>
      <c r="M1949" s="811" t="str">
        <f t="shared" si="152"/>
        <v>Elementary Graduate</v>
      </c>
      <c r="N1949" s="92" t="s">
        <v>1208</v>
      </c>
      <c r="O1949" s="812" t="s">
        <v>4691</v>
      </c>
      <c r="P1949" s="1638"/>
      <c r="Q1949" s="812" t="s">
        <v>4691</v>
      </c>
      <c r="W1949" s="815">
        <v>3</v>
      </c>
      <c r="X1949" s="811" t="str">
        <f t="shared" si="151"/>
        <v>within the Province</v>
      </c>
      <c r="AB1949" s="940"/>
      <c r="AG1949" s="807" t="str">
        <f t="shared" si="153"/>
        <v/>
      </c>
      <c r="AJ1949" s="865"/>
    </row>
    <row r="1950" spans="1:36" ht="15">
      <c r="A1950" s="17"/>
      <c r="B1950" s="292"/>
      <c r="D1950" s="410" t="s">
        <v>10548</v>
      </c>
      <c r="E1950" s="807"/>
      <c r="F1950" s="807"/>
      <c r="G1950" s="809" t="s">
        <v>4683</v>
      </c>
      <c r="H1950" s="809" t="s">
        <v>10552</v>
      </c>
      <c r="I1950" s="819">
        <v>24</v>
      </c>
      <c r="J1950" s="92" t="s">
        <v>10</v>
      </c>
      <c r="K1950" s="92" t="s">
        <v>768</v>
      </c>
      <c r="L1950" s="810">
        <v>7</v>
      </c>
      <c r="M1950" s="811" t="str">
        <f t="shared" si="152"/>
        <v>College Graduate or Higher</v>
      </c>
      <c r="P1950" s="1638"/>
      <c r="V1950" s="814">
        <f>SUM(S1946:U1949)</f>
        <v>20000</v>
      </c>
      <c r="X1950" s="811" t="str">
        <f t="shared" si="151"/>
        <v/>
      </c>
      <c r="AB1950" s="940">
        <f>SUM(Y1947:AA1950)</f>
        <v>0</v>
      </c>
      <c r="AG1950" s="807" t="str">
        <f t="shared" si="153"/>
        <v/>
      </c>
      <c r="AJ1950" s="865"/>
    </row>
    <row r="1951" spans="1:36" ht="15">
      <c r="A1951" s="17"/>
      <c r="B1951" s="292"/>
      <c r="D1951" s="1074"/>
      <c r="E1951" s="807"/>
      <c r="F1951" s="807"/>
      <c r="G1951" s="827"/>
      <c r="H1951" s="809" t="s">
        <v>10553</v>
      </c>
      <c r="I1951" s="819">
        <v>21</v>
      </c>
      <c r="J1951" s="92" t="s">
        <v>18</v>
      </c>
      <c r="K1951" s="92" t="s">
        <v>768</v>
      </c>
      <c r="L1951" s="810">
        <v>6</v>
      </c>
      <c r="M1951" s="811" t="str">
        <f t="shared" si="152"/>
        <v>College Level</v>
      </c>
      <c r="P1951" s="1638"/>
      <c r="S1951" s="813">
        <v>20000</v>
      </c>
      <c r="V1951" s="828"/>
      <c r="X1951" s="811" t="str">
        <f t="shared" si="151"/>
        <v/>
      </c>
      <c r="AB1951" s="953"/>
      <c r="AG1951" s="807" t="str">
        <f t="shared" si="153"/>
        <v/>
      </c>
      <c r="AJ1951" s="865"/>
    </row>
    <row r="1952" spans="1:36" ht="15">
      <c r="A1952" s="17"/>
      <c r="B1952" s="292"/>
      <c r="D1952" s="1074"/>
      <c r="E1952" s="807"/>
      <c r="F1952" s="807"/>
      <c r="G1952" s="827"/>
      <c r="H1952" s="809" t="s">
        <v>4698</v>
      </c>
      <c r="I1952" s="819">
        <v>55</v>
      </c>
      <c r="J1952" s="92" t="s">
        <v>10</v>
      </c>
      <c r="K1952" s="92" t="s">
        <v>707</v>
      </c>
      <c r="L1952" s="810">
        <v>7</v>
      </c>
      <c r="M1952" s="811" t="str">
        <f t="shared" si="152"/>
        <v>College Graduate or Higher</v>
      </c>
      <c r="N1952" s="92" t="s">
        <v>1208</v>
      </c>
      <c r="O1952" s="812" t="s">
        <v>10557</v>
      </c>
      <c r="P1952" s="1638"/>
      <c r="Q1952" s="812" t="s">
        <v>10557</v>
      </c>
      <c r="T1952" s="813">
        <v>70000</v>
      </c>
      <c r="V1952" s="828"/>
      <c r="W1952" s="815">
        <v>2</v>
      </c>
      <c r="X1952" s="811" t="str">
        <f t="shared" si="151"/>
        <v>within the Municipality/City</v>
      </c>
      <c r="Y1952" s="816">
        <f>150*26</f>
        <v>3900</v>
      </c>
      <c r="AB1952" s="953"/>
      <c r="AG1952" s="807" t="str">
        <f t="shared" si="153"/>
        <v/>
      </c>
      <c r="AJ1952" s="865"/>
    </row>
    <row r="1953" spans="1:97" ht="15">
      <c r="A1953" s="17"/>
      <c r="B1953" s="292"/>
      <c r="D1953" s="1074"/>
      <c r="E1953" s="807"/>
      <c r="F1953" s="807"/>
      <c r="G1953" s="827"/>
      <c r="H1953" s="809" t="s">
        <v>10556</v>
      </c>
      <c r="I1953" s="819">
        <v>30</v>
      </c>
      <c r="J1953" s="92" t="s">
        <v>10</v>
      </c>
      <c r="K1953" s="92" t="s">
        <v>707</v>
      </c>
      <c r="L1953" s="810">
        <v>7</v>
      </c>
      <c r="M1953" s="811" t="str">
        <f t="shared" si="152"/>
        <v>College Graduate or Higher</v>
      </c>
      <c r="N1953" s="92" t="s">
        <v>1208</v>
      </c>
      <c r="O1953" s="812" t="s">
        <v>10559</v>
      </c>
      <c r="P1953" s="1638"/>
      <c r="Q1953" s="812" t="s">
        <v>10559</v>
      </c>
      <c r="V1953" s="828"/>
      <c r="W1953" s="815">
        <v>2</v>
      </c>
      <c r="X1953" s="811" t="str">
        <f t="shared" si="151"/>
        <v>within the Municipality/City</v>
      </c>
      <c r="Y1953" s="816">
        <f>50*26</f>
        <v>1300</v>
      </c>
      <c r="AB1953" s="953"/>
      <c r="AG1953" s="807" t="str">
        <f t="shared" si="153"/>
        <v/>
      </c>
      <c r="AJ1953" s="865"/>
    </row>
    <row r="1954" spans="1:97" ht="15">
      <c r="A1954" s="17"/>
      <c r="B1954" s="292"/>
      <c r="D1954" s="410" t="s">
        <v>10554</v>
      </c>
      <c r="E1954" s="807"/>
      <c r="F1954" s="807"/>
      <c r="G1954" s="809" t="s">
        <v>10555</v>
      </c>
      <c r="H1954" s="809" t="s">
        <v>10558</v>
      </c>
      <c r="I1954" s="819">
        <v>28</v>
      </c>
      <c r="J1954" s="92" t="s">
        <v>18</v>
      </c>
      <c r="K1954" s="92" t="s">
        <v>707</v>
      </c>
      <c r="L1954" s="810">
        <v>7</v>
      </c>
      <c r="M1954" s="811" t="str">
        <f t="shared" si="152"/>
        <v>College Graduate or Higher</v>
      </c>
      <c r="P1954" s="1638"/>
      <c r="V1954" s="828"/>
      <c r="X1954" s="811" t="str">
        <f t="shared" si="151"/>
        <v/>
      </c>
      <c r="AB1954" s="953"/>
      <c r="AG1954" s="807" t="str">
        <f t="shared" si="153"/>
        <v/>
      </c>
      <c r="AJ1954" s="865"/>
    </row>
    <row r="1955" spans="1:97" ht="15">
      <c r="A1955" s="17"/>
      <c r="B1955" s="292"/>
      <c r="D1955" s="1074"/>
      <c r="E1955" s="807"/>
      <c r="F1955" s="807"/>
      <c r="G1955" s="827"/>
      <c r="H1955" s="809" t="s">
        <v>10560</v>
      </c>
      <c r="I1955" s="819">
        <v>20</v>
      </c>
      <c r="J1955" s="92" t="s">
        <v>18</v>
      </c>
      <c r="K1955" s="92" t="s">
        <v>768</v>
      </c>
      <c r="L1955" s="810">
        <v>7</v>
      </c>
      <c r="M1955" s="811" t="str">
        <f t="shared" si="152"/>
        <v>College Graduate or Higher</v>
      </c>
      <c r="P1955" s="1638"/>
      <c r="S1955" s="813">
        <v>18000</v>
      </c>
      <c r="V1955" s="828">
        <f>SUM(S1950:U1954)</f>
        <v>90000</v>
      </c>
      <c r="X1955" s="811" t="str">
        <f t="shared" si="151"/>
        <v/>
      </c>
      <c r="AB1955" s="953">
        <f>SUM(Y1951:AA1955)</f>
        <v>5200</v>
      </c>
      <c r="AG1955" s="807" t="str">
        <f t="shared" si="153"/>
        <v/>
      </c>
      <c r="AJ1955" s="865"/>
    </row>
    <row r="1956" spans="1:97" ht="15">
      <c r="A1956" s="17"/>
      <c r="B1956" s="292"/>
      <c r="D1956" s="1074"/>
      <c r="E1956" s="807"/>
      <c r="F1956" s="807"/>
      <c r="G1956" s="827"/>
      <c r="H1956" s="809" t="s">
        <v>10561</v>
      </c>
      <c r="I1956" s="819">
        <v>52</v>
      </c>
      <c r="J1956" s="92" t="s">
        <v>18</v>
      </c>
      <c r="K1956" s="92" t="s">
        <v>707</v>
      </c>
      <c r="L1956" s="810">
        <v>8</v>
      </c>
      <c r="M1956" s="811" t="str">
        <f t="shared" si="152"/>
        <v>Vocational Level</v>
      </c>
      <c r="N1956" s="92" t="s">
        <v>1208</v>
      </c>
      <c r="O1956" s="812" t="s">
        <v>10564</v>
      </c>
      <c r="P1956" s="1638"/>
      <c r="Q1956" s="812" t="s">
        <v>10564</v>
      </c>
      <c r="R1956" s="92"/>
      <c r="U1956" s="813">
        <v>6000</v>
      </c>
      <c r="V1956" s="961">
        <f>SUM(S1955:U1955)</f>
        <v>18000</v>
      </c>
      <c r="W1956" s="815">
        <v>3</v>
      </c>
      <c r="X1956" s="811" t="str">
        <f t="shared" si="151"/>
        <v>within the Province</v>
      </c>
      <c r="Y1956" s="816">
        <f>250*26</f>
        <v>6500</v>
      </c>
      <c r="AB1956" s="962">
        <f>SUM(Y1956:AA1956)</f>
        <v>6500</v>
      </c>
      <c r="AG1956" s="807" t="str">
        <f t="shared" si="153"/>
        <v/>
      </c>
      <c r="AJ1956" s="865"/>
    </row>
    <row r="1957" spans="1:97" ht="15">
      <c r="A1957" s="17"/>
      <c r="B1957" s="292"/>
      <c r="D1957" s="1074"/>
      <c r="E1957" s="807"/>
      <c r="F1957" s="807"/>
      <c r="G1957" s="827"/>
      <c r="H1957" s="809" t="s">
        <v>10563</v>
      </c>
      <c r="I1957" s="819">
        <v>27</v>
      </c>
      <c r="J1957" s="92" t="s">
        <v>10</v>
      </c>
      <c r="K1957" s="92" t="s">
        <v>722</v>
      </c>
      <c r="L1957" s="810">
        <v>7</v>
      </c>
      <c r="M1957" s="811" t="str">
        <f t="shared" si="152"/>
        <v>College Graduate or Higher</v>
      </c>
      <c r="N1957" s="92" t="s">
        <v>1208</v>
      </c>
      <c r="P1957" s="1638"/>
      <c r="R1957" s="807"/>
      <c r="W1957" s="815">
        <v>1</v>
      </c>
      <c r="X1957" s="811" t="str">
        <f t="shared" si="151"/>
        <v>within the Brgy</v>
      </c>
      <c r="AB1957" s="940"/>
      <c r="AD1957" s="817" t="s">
        <v>10566</v>
      </c>
      <c r="AE1957" s="819"/>
      <c r="AF1957" s="983"/>
      <c r="AG1957" s="807" t="str">
        <f t="shared" si="153"/>
        <v/>
      </c>
      <c r="AJ1957" s="865"/>
      <c r="CS1957" s="807">
        <v>1</v>
      </c>
    </row>
    <row r="1958" spans="1:97" ht="15">
      <c r="B1958" s="292"/>
      <c r="D1958" s="1074"/>
      <c r="E1958" s="807"/>
      <c r="F1958" s="807"/>
      <c r="G1958" s="827"/>
      <c r="H1958" s="809" t="s">
        <v>4706</v>
      </c>
      <c r="I1958" s="819">
        <v>70</v>
      </c>
      <c r="J1958" s="92" t="s">
        <v>18</v>
      </c>
      <c r="K1958" s="92" t="s">
        <v>707</v>
      </c>
      <c r="L1958" s="810">
        <v>7</v>
      </c>
      <c r="M1958" s="811" t="str">
        <f t="shared" ref="M1958:M1989" si="154">IF(ISBLANK(L1958)=TRUE,"",LOOKUP(L1958,GQ:GR))</f>
        <v>College Graduate or Higher</v>
      </c>
      <c r="O1958" s="807"/>
      <c r="P1958" s="1638"/>
      <c r="Q1958" s="807"/>
      <c r="R1958" s="92" t="s">
        <v>8234</v>
      </c>
      <c r="S1958" s="807"/>
      <c r="U1958" s="813">
        <v>24000</v>
      </c>
      <c r="V1958" s="814">
        <f>SUM(S1956:U1957)</f>
        <v>6000</v>
      </c>
      <c r="X1958" s="811" t="str">
        <f t="shared" si="151"/>
        <v/>
      </c>
      <c r="AB1958" s="940">
        <f>SUM(Y1957:AA1958)</f>
        <v>0</v>
      </c>
      <c r="AD1958" s="817" t="s">
        <v>10568</v>
      </c>
      <c r="AE1958" s="819"/>
      <c r="AF1958" s="983"/>
      <c r="AG1958" s="807" t="str">
        <f t="shared" si="153"/>
        <v/>
      </c>
      <c r="AJ1958" s="865"/>
    </row>
    <row r="1959" spans="1:97" ht="15">
      <c r="A1959" s="17"/>
      <c r="D1959" s="1074" t="s">
        <v>10562</v>
      </c>
      <c r="G1959" s="809" t="s">
        <v>4699</v>
      </c>
      <c r="H1959" s="809" t="s">
        <v>10567</v>
      </c>
      <c r="I1959" s="819">
        <v>80</v>
      </c>
      <c r="J1959" s="92" t="s">
        <v>10</v>
      </c>
      <c r="K1959" s="92" t="s">
        <v>707</v>
      </c>
      <c r="L1959" s="810">
        <v>7</v>
      </c>
      <c r="M1959" s="811" t="str">
        <f t="shared" si="154"/>
        <v>College Graduate or Higher</v>
      </c>
      <c r="N1959" s="92" t="s">
        <v>1208</v>
      </c>
      <c r="O1959" s="812" t="s">
        <v>4720</v>
      </c>
      <c r="P1959" s="1638" t="s">
        <v>12606</v>
      </c>
      <c r="Q1959" s="812" t="s">
        <v>4720</v>
      </c>
      <c r="R1959" s="812" t="s">
        <v>8285</v>
      </c>
      <c r="S1959" s="813">
        <f>500*30</f>
        <v>15000</v>
      </c>
      <c r="V1959" s="828"/>
      <c r="W1959" s="815">
        <v>3</v>
      </c>
      <c r="X1959" s="811" t="str">
        <f t="shared" si="151"/>
        <v>within the Province</v>
      </c>
      <c r="AA1959" s="816">
        <f>180*26</f>
        <v>4680</v>
      </c>
      <c r="AB1959" s="953"/>
      <c r="AD1959" s="817" t="s">
        <v>10571</v>
      </c>
      <c r="AE1959" s="819"/>
      <c r="AF1959" s="983"/>
      <c r="AG1959" s="807" t="str">
        <f t="shared" si="153"/>
        <v/>
      </c>
      <c r="AJ1959" s="865"/>
    </row>
    <row r="1960" spans="1:97" ht="15">
      <c r="A1960" s="19" t="s">
        <v>7421</v>
      </c>
      <c r="B1960" s="292" t="s">
        <v>7443</v>
      </c>
      <c r="C1960" s="149" t="s">
        <v>4705</v>
      </c>
      <c r="D1960" s="1074" t="s">
        <v>10565</v>
      </c>
      <c r="E1960" s="1045" t="s">
        <v>4705</v>
      </c>
      <c r="F1960" s="1048" t="s">
        <v>4706</v>
      </c>
      <c r="G1960" s="846" t="s">
        <v>4705</v>
      </c>
      <c r="H1960" s="809" t="s">
        <v>10570</v>
      </c>
      <c r="I1960" s="819">
        <v>52</v>
      </c>
      <c r="J1960" s="92" t="s">
        <v>18</v>
      </c>
      <c r="K1960" s="92" t="s">
        <v>719</v>
      </c>
      <c r="L1960" s="810">
        <v>6</v>
      </c>
      <c r="M1960" s="811" t="str">
        <f t="shared" si="154"/>
        <v>College Level</v>
      </c>
      <c r="N1960" s="92" t="s">
        <v>1208</v>
      </c>
      <c r="O1960" s="812" t="s">
        <v>10573</v>
      </c>
      <c r="P1960" s="1638"/>
      <c r="Q1960" s="812" t="s">
        <v>10573</v>
      </c>
      <c r="V1960" s="828"/>
      <c r="X1960" s="811" t="str">
        <f t="shared" si="151"/>
        <v/>
      </c>
      <c r="AB1960" s="953"/>
      <c r="AE1960" s="819"/>
      <c r="AF1960" s="983"/>
      <c r="AG1960" s="807" t="str">
        <f t="shared" si="153"/>
        <v/>
      </c>
      <c r="AJ1960" s="865"/>
    </row>
    <row r="1961" spans="1:97" ht="15">
      <c r="A1961" s="19" t="s">
        <v>7421</v>
      </c>
      <c r="C1961" s="807"/>
      <c r="D1961" s="1074" t="s">
        <v>10565</v>
      </c>
      <c r="E1961" s="1045" t="s">
        <v>4705</v>
      </c>
      <c r="F1961" s="807"/>
      <c r="G1961" s="827"/>
      <c r="H1961" s="809" t="s">
        <v>10572</v>
      </c>
      <c r="I1961" s="819">
        <v>22</v>
      </c>
      <c r="J1961" s="92" t="s">
        <v>18</v>
      </c>
      <c r="K1961" s="92" t="s">
        <v>768</v>
      </c>
      <c r="L1961" s="810">
        <v>7</v>
      </c>
      <c r="M1961" s="811" t="str">
        <f t="shared" si="154"/>
        <v>College Graduate or Higher</v>
      </c>
      <c r="P1961" s="1638"/>
      <c r="R1961" s="812" t="s">
        <v>8285</v>
      </c>
      <c r="S1961" s="813">
        <v>18000</v>
      </c>
      <c r="V1961" s="828"/>
      <c r="X1961" s="811" t="str">
        <f t="shared" si="151"/>
        <v/>
      </c>
      <c r="AB1961" s="953"/>
      <c r="AE1961" s="819"/>
      <c r="AF1961" s="983"/>
      <c r="AG1961" s="807" t="str">
        <f t="shared" si="153"/>
        <v/>
      </c>
      <c r="AJ1961" s="865"/>
    </row>
    <row r="1962" spans="1:97" ht="15">
      <c r="A1962" s="19" t="s">
        <v>7421</v>
      </c>
      <c r="B1962" s="292" t="s">
        <v>8033</v>
      </c>
      <c r="C1962" s="149" t="s">
        <v>4714</v>
      </c>
      <c r="D1962" s="410" t="s">
        <v>10569</v>
      </c>
      <c r="E1962" s="1045" t="s">
        <v>4714</v>
      </c>
      <c r="F1962" s="1048" t="s">
        <v>11288</v>
      </c>
      <c r="G1962" s="809" t="s">
        <v>4714</v>
      </c>
      <c r="H1962" s="809" t="s">
        <v>10574</v>
      </c>
      <c r="I1962" s="819">
        <v>22</v>
      </c>
      <c r="J1962" s="92" t="s">
        <v>18</v>
      </c>
      <c r="K1962" s="92" t="s">
        <v>768</v>
      </c>
      <c r="L1962" s="810">
        <v>6</v>
      </c>
      <c r="M1962" s="811" t="str">
        <f t="shared" si="154"/>
        <v>College Level</v>
      </c>
      <c r="N1962" s="92" t="s">
        <v>1208</v>
      </c>
      <c r="O1962" s="812" t="s">
        <v>2229</v>
      </c>
      <c r="P1962" s="1638"/>
      <c r="Q1962" s="812" t="s">
        <v>2229</v>
      </c>
      <c r="R1962" s="812" t="s">
        <v>8285</v>
      </c>
      <c r="S1962" s="813">
        <f>500*30</f>
        <v>15000</v>
      </c>
      <c r="V1962" s="828"/>
      <c r="W1962" s="815">
        <v>2</v>
      </c>
      <c r="X1962" s="811" t="str">
        <f t="shared" si="151"/>
        <v>within the Municipality/City</v>
      </c>
      <c r="Y1962" s="816">
        <f>50*30</f>
        <v>1500</v>
      </c>
      <c r="AB1962" s="953"/>
      <c r="AE1962" s="819"/>
      <c r="AF1962" s="983"/>
      <c r="AG1962" s="807" t="str">
        <f t="shared" si="153"/>
        <v/>
      </c>
      <c r="AJ1962" s="865"/>
    </row>
    <row r="1963" spans="1:97" ht="15">
      <c r="A1963" s="19" t="s">
        <v>7421</v>
      </c>
      <c r="C1963" s="807"/>
      <c r="D1963" s="410" t="s">
        <v>10569</v>
      </c>
      <c r="E1963" s="1045" t="s">
        <v>4714</v>
      </c>
      <c r="F1963" s="807"/>
      <c r="G1963" s="827"/>
      <c r="H1963" s="807" t="s">
        <v>10575</v>
      </c>
      <c r="I1963" s="819">
        <v>29</v>
      </c>
      <c r="J1963" s="92" t="s">
        <v>18</v>
      </c>
      <c r="K1963" s="92" t="s">
        <v>722</v>
      </c>
      <c r="L1963" s="810">
        <v>7</v>
      </c>
      <c r="M1963" s="811" t="str">
        <f t="shared" si="154"/>
        <v>College Graduate or Higher</v>
      </c>
      <c r="N1963" s="92" t="s">
        <v>1208</v>
      </c>
      <c r="O1963" s="812" t="s">
        <v>8514</v>
      </c>
      <c r="P1963" s="1638"/>
      <c r="Q1963" s="812" t="s">
        <v>8514</v>
      </c>
      <c r="R1963" s="812" t="s">
        <v>8285</v>
      </c>
      <c r="S1963" s="807"/>
      <c r="U1963" s="813">
        <v>20000</v>
      </c>
      <c r="V1963" s="828"/>
      <c r="W1963" s="815">
        <v>3</v>
      </c>
      <c r="X1963" s="811" t="str">
        <f t="shared" si="151"/>
        <v>within the Province</v>
      </c>
      <c r="Y1963" s="816">
        <f>150*26</f>
        <v>3900</v>
      </c>
      <c r="AB1963" s="953"/>
      <c r="AE1963" s="819"/>
      <c r="AF1963" s="983"/>
      <c r="AG1963" s="807" t="str">
        <f t="shared" si="153"/>
        <v/>
      </c>
      <c r="AJ1963" s="865"/>
    </row>
    <row r="1964" spans="1:97" ht="15">
      <c r="A1964" s="19" t="s">
        <v>7421</v>
      </c>
      <c r="C1964" s="807"/>
      <c r="D1964" s="410" t="s">
        <v>10569</v>
      </c>
      <c r="E1964" s="1045" t="s">
        <v>4714</v>
      </c>
      <c r="F1964" s="807"/>
      <c r="G1964" s="827"/>
      <c r="H1964" s="809" t="s">
        <v>10576</v>
      </c>
      <c r="I1964" s="819">
        <v>29</v>
      </c>
      <c r="J1964" s="92" t="s">
        <v>18</v>
      </c>
      <c r="K1964" s="92" t="s">
        <v>722</v>
      </c>
      <c r="L1964" s="810">
        <v>5</v>
      </c>
      <c r="M1964" s="811" t="str">
        <f t="shared" si="154"/>
        <v>High School Graduate</v>
      </c>
      <c r="N1964" s="92" t="s">
        <v>1208</v>
      </c>
      <c r="O1964" s="812" t="s">
        <v>10578</v>
      </c>
      <c r="P1964" s="1638"/>
      <c r="Q1964" s="812" t="s">
        <v>10578</v>
      </c>
      <c r="V1964" s="828"/>
      <c r="W1964" s="815">
        <v>2</v>
      </c>
      <c r="X1964" s="811" t="str">
        <f t="shared" si="151"/>
        <v>within the Municipality/City</v>
      </c>
      <c r="Y1964" s="807"/>
      <c r="AA1964" s="816">
        <f>50*26</f>
        <v>1300</v>
      </c>
      <c r="AB1964" s="953"/>
      <c r="AE1964" s="819"/>
      <c r="AF1964" s="983"/>
      <c r="AG1964" s="807" t="str">
        <f t="shared" si="153"/>
        <v/>
      </c>
      <c r="AJ1964" s="865"/>
    </row>
    <row r="1965" spans="1:97" ht="15">
      <c r="A1965" s="19" t="s">
        <v>7421</v>
      </c>
      <c r="C1965" s="807"/>
      <c r="D1965" s="410" t="s">
        <v>10569</v>
      </c>
      <c r="E1965" s="1045" t="s">
        <v>4714</v>
      </c>
      <c r="F1965" s="807"/>
      <c r="G1965" s="827"/>
      <c r="H1965" s="809" t="s">
        <v>10577</v>
      </c>
      <c r="I1965" s="819">
        <v>25</v>
      </c>
      <c r="J1965" s="92" t="s">
        <v>10</v>
      </c>
      <c r="K1965" s="92" t="s">
        <v>722</v>
      </c>
      <c r="L1965" s="810">
        <v>6</v>
      </c>
      <c r="M1965" s="811" t="str">
        <f t="shared" si="154"/>
        <v>College Level</v>
      </c>
      <c r="P1965" s="1638"/>
      <c r="V1965" s="828"/>
      <c r="X1965" s="811" t="str">
        <f t="shared" si="151"/>
        <v/>
      </c>
      <c r="AB1965" s="953"/>
      <c r="AE1965" s="819"/>
      <c r="AF1965" s="983"/>
      <c r="AG1965" s="807" t="str">
        <f t="shared" si="153"/>
        <v/>
      </c>
      <c r="AJ1965" s="865"/>
    </row>
    <row r="1966" spans="1:97" ht="15">
      <c r="A1966" s="19" t="s">
        <v>7421</v>
      </c>
      <c r="C1966" s="807"/>
      <c r="D1966" s="410" t="s">
        <v>10569</v>
      </c>
      <c r="E1966" s="1045" t="s">
        <v>4714</v>
      </c>
      <c r="F1966" s="807"/>
      <c r="G1966" s="827"/>
      <c r="H1966" s="809" t="s">
        <v>10579</v>
      </c>
      <c r="I1966" s="819">
        <v>25</v>
      </c>
      <c r="J1966" s="92" t="s">
        <v>18</v>
      </c>
      <c r="K1966" s="92" t="s">
        <v>722</v>
      </c>
      <c r="L1966" s="810">
        <v>5</v>
      </c>
      <c r="M1966" s="811" t="str">
        <f t="shared" si="154"/>
        <v>High School Graduate</v>
      </c>
      <c r="P1966" s="1638"/>
      <c r="R1966" s="812" t="s">
        <v>8285</v>
      </c>
      <c r="S1966" s="813">
        <v>30000</v>
      </c>
      <c r="V1966" s="828"/>
      <c r="X1966" s="811" t="str">
        <f t="shared" si="151"/>
        <v/>
      </c>
      <c r="AB1966" s="953"/>
      <c r="AE1966" s="819"/>
      <c r="AF1966" s="983"/>
      <c r="AG1966" s="807" t="str">
        <f t="shared" si="153"/>
        <v/>
      </c>
      <c r="AJ1966" s="865"/>
    </row>
    <row r="1967" spans="1:97" ht="15">
      <c r="A1967" s="19" t="s">
        <v>7421</v>
      </c>
      <c r="C1967" s="807"/>
      <c r="D1967" s="410" t="s">
        <v>10569</v>
      </c>
      <c r="E1967" s="1045" t="s">
        <v>4714</v>
      </c>
      <c r="F1967" s="807"/>
      <c r="G1967" s="827"/>
      <c r="H1967" s="809" t="s">
        <v>10580</v>
      </c>
      <c r="I1967" s="819">
        <v>3</v>
      </c>
      <c r="J1967" s="92" t="s">
        <v>10</v>
      </c>
      <c r="K1967" s="92" t="s">
        <v>768</v>
      </c>
      <c r="L1967" s="810">
        <v>10</v>
      </c>
      <c r="M1967" s="811" t="str">
        <f t="shared" si="154"/>
        <v>Not In School Age</v>
      </c>
      <c r="N1967" s="92" t="s">
        <v>1208</v>
      </c>
      <c r="O1967" s="812" t="s">
        <v>10573</v>
      </c>
      <c r="P1967" s="1638"/>
      <c r="Q1967" s="812" t="s">
        <v>10573</v>
      </c>
      <c r="V1967" s="828"/>
      <c r="W1967" s="815">
        <v>3</v>
      </c>
      <c r="X1967" s="811" t="str">
        <f t="shared" si="151"/>
        <v>within the Province</v>
      </c>
      <c r="Y1967" s="816">
        <f>80*30</f>
        <v>2400</v>
      </c>
      <c r="AB1967" s="953"/>
      <c r="AE1967" s="819"/>
      <c r="AF1967" s="983"/>
      <c r="AG1967" s="807" t="str">
        <f t="shared" si="153"/>
        <v/>
      </c>
      <c r="AJ1967" s="865"/>
    </row>
    <row r="1968" spans="1:97" ht="15">
      <c r="A1968" s="19" t="s">
        <v>7421</v>
      </c>
      <c r="C1968" s="807"/>
      <c r="D1968" s="410" t="s">
        <v>10569</v>
      </c>
      <c r="E1968" s="1045" t="s">
        <v>4714</v>
      </c>
      <c r="G1968" s="827"/>
      <c r="H1968" s="809" t="s">
        <v>10581</v>
      </c>
      <c r="I1968" s="819">
        <v>6</v>
      </c>
      <c r="J1968" s="92" t="s">
        <v>18</v>
      </c>
      <c r="K1968" s="92" t="s">
        <v>768</v>
      </c>
      <c r="L1968" s="810">
        <v>2</v>
      </c>
      <c r="M1968" s="811" t="str">
        <f t="shared" si="154"/>
        <v>Elementary Level</v>
      </c>
      <c r="P1968" s="1638"/>
      <c r="V1968" s="828"/>
      <c r="X1968" s="811" t="str">
        <f t="shared" si="151"/>
        <v/>
      </c>
      <c r="AB1968" s="953"/>
      <c r="AE1968" s="819"/>
      <c r="AF1968" s="983"/>
      <c r="AG1968" s="807" t="str">
        <f t="shared" si="153"/>
        <v/>
      </c>
      <c r="AJ1968" s="865"/>
    </row>
    <row r="1969" spans="1:36" ht="15">
      <c r="A1969" s="19" t="s">
        <v>7421</v>
      </c>
      <c r="C1969" s="807"/>
      <c r="D1969" s="410" t="s">
        <v>10569</v>
      </c>
      <c r="E1969" s="1045" t="s">
        <v>4714</v>
      </c>
      <c r="G1969" s="827"/>
      <c r="H1969" s="809" t="s">
        <v>10582</v>
      </c>
      <c r="I1969" s="819">
        <v>24</v>
      </c>
      <c r="J1969" s="92" t="s">
        <v>18</v>
      </c>
      <c r="K1969" s="92" t="s">
        <v>768</v>
      </c>
      <c r="L1969" s="810">
        <v>7</v>
      </c>
      <c r="M1969" s="811" t="str">
        <f t="shared" si="154"/>
        <v>College Graduate or Higher</v>
      </c>
      <c r="P1969" s="1638"/>
      <c r="R1969" s="92" t="s">
        <v>8234</v>
      </c>
      <c r="V1969" s="828">
        <f>SUM(S1958:U1968)</f>
        <v>122000</v>
      </c>
      <c r="X1969" s="811" t="str">
        <f t="shared" si="151"/>
        <v/>
      </c>
      <c r="AB1969" s="953">
        <f>SUM(Y1959:AA1969)</f>
        <v>13780</v>
      </c>
      <c r="AE1969" s="819"/>
      <c r="AF1969" s="983"/>
      <c r="AG1969" s="807" t="str">
        <f t="shared" si="153"/>
        <v/>
      </c>
      <c r="AJ1969" s="865"/>
    </row>
    <row r="1970" spans="1:36" ht="15">
      <c r="A1970" s="19" t="s">
        <v>7421</v>
      </c>
      <c r="C1970" s="807"/>
      <c r="D1970" s="410" t="s">
        <v>10569</v>
      </c>
      <c r="E1970" s="1045" t="s">
        <v>4714</v>
      </c>
      <c r="G1970" s="827"/>
      <c r="H1970" s="809" t="s">
        <v>10583</v>
      </c>
      <c r="I1970" s="819">
        <v>77</v>
      </c>
      <c r="J1970" s="92" t="s">
        <v>18</v>
      </c>
      <c r="K1970" s="92" t="s">
        <v>719</v>
      </c>
      <c r="L1970" s="810">
        <v>3</v>
      </c>
      <c r="M1970" s="811" t="str">
        <f t="shared" si="154"/>
        <v>Elementary Graduate</v>
      </c>
      <c r="O1970" s="812" t="s">
        <v>10585</v>
      </c>
      <c r="P1970" s="1638"/>
      <c r="V1970" s="961"/>
      <c r="X1970" s="811" t="str">
        <f t="shared" si="151"/>
        <v/>
      </c>
      <c r="AB1970" s="962"/>
      <c r="AE1970" s="819"/>
      <c r="AF1970" s="983"/>
      <c r="AG1970" s="807" t="str">
        <f t="shared" si="153"/>
        <v/>
      </c>
      <c r="AJ1970" s="865"/>
    </row>
    <row r="1971" spans="1:36" ht="15">
      <c r="A1971" s="19" t="s">
        <v>7421</v>
      </c>
      <c r="C1971" s="807"/>
      <c r="D1971" s="410" t="s">
        <v>10569</v>
      </c>
      <c r="E1971" s="1045" t="s">
        <v>4714</v>
      </c>
      <c r="G1971" s="827"/>
      <c r="H1971" s="809" t="s">
        <v>4728</v>
      </c>
      <c r="I1971" s="819">
        <v>65</v>
      </c>
      <c r="J1971" s="92" t="s">
        <v>10</v>
      </c>
      <c r="K1971" s="92" t="s">
        <v>707</v>
      </c>
      <c r="L1971" s="810">
        <v>5</v>
      </c>
      <c r="M1971" s="811" t="str">
        <f t="shared" si="154"/>
        <v>High School Graduate</v>
      </c>
      <c r="P1971" s="1638"/>
      <c r="S1971" s="813">
        <v>10000</v>
      </c>
      <c r="V1971" s="961"/>
      <c r="X1971" s="811" t="str">
        <f t="shared" si="151"/>
        <v/>
      </c>
      <c r="AB1971" s="962">
        <f>SUM(Y1978:AA1991)</f>
        <v>1580</v>
      </c>
      <c r="AE1971" s="819"/>
      <c r="AF1971" s="983"/>
      <c r="AG1971" s="807" t="str">
        <f t="shared" si="153"/>
        <v/>
      </c>
      <c r="AJ1971" s="865"/>
    </row>
    <row r="1972" spans="1:36" ht="15">
      <c r="A1972" s="19" t="s">
        <v>7421</v>
      </c>
      <c r="D1972" s="410" t="s">
        <v>10569</v>
      </c>
      <c r="E1972" s="1045" t="s">
        <v>4714</v>
      </c>
      <c r="G1972" s="827"/>
      <c r="H1972" s="809" t="s">
        <v>10586</v>
      </c>
      <c r="I1972" s="819">
        <v>63</v>
      </c>
      <c r="J1972" s="92" t="s">
        <v>18</v>
      </c>
      <c r="K1972" s="92" t="s">
        <v>707</v>
      </c>
      <c r="L1972" s="810">
        <v>5</v>
      </c>
      <c r="M1972" s="811" t="str">
        <f t="shared" si="154"/>
        <v>High School Graduate</v>
      </c>
      <c r="N1972" s="92" t="s">
        <v>1208</v>
      </c>
      <c r="O1972" s="812" t="s">
        <v>10588</v>
      </c>
      <c r="P1972" s="1638"/>
      <c r="Q1972" s="812" t="s">
        <v>10588</v>
      </c>
      <c r="V1972" s="873"/>
      <c r="W1972" s="815">
        <v>3</v>
      </c>
      <c r="X1972" s="811" t="str">
        <f t="shared" si="151"/>
        <v>within the Province</v>
      </c>
      <c r="Y1972" s="816">
        <f>300*30</f>
        <v>9000</v>
      </c>
      <c r="AB1972" s="873"/>
      <c r="AE1972" s="819"/>
      <c r="AF1972" s="983"/>
      <c r="AG1972" s="807"/>
      <c r="AJ1972" s="865"/>
    </row>
    <row r="1973" spans="1:36" ht="15">
      <c r="A1973" s="19" t="s">
        <v>7421</v>
      </c>
      <c r="B1973" s="292" t="s">
        <v>7444</v>
      </c>
      <c r="C1973" s="149" t="s">
        <v>4721</v>
      </c>
      <c r="D1973" s="410" t="s">
        <v>10584</v>
      </c>
      <c r="E1973" s="1045" t="s">
        <v>4721</v>
      </c>
      <c r="F1973" s="1048" t="s">
        <v>4728</v>
      </c>
      <c r="G1973" s="846" t="s">
        <v>4721</v>
      </c>
      <c r="H1973" s="809" t="s">
        <v>3512</v>
      </c>
      <c r="I1973" s="819">
        <v>51</v>
      </c>
      <c r="J1973" s="92" t="s">
        <v>10</v>
      </c>
      <c r="K1973" s="92" t="s">
        <v>707</v>
      </c>
      <c r="L1973" s="810">
        <v>5</v>
      </c>
      <c r="M1973" s="811" t="str">
        <f t="shared" si="154"/>
        <v>High School Graduate</v>
      </c>
      <c r="P1973" s="1638"/>
      <c r="V1973" s="873"/>
      <c r="X1973" s="811" t="str">
        <f t="shared" si="151"/>
        <v/>
      </c>
      <c r="AB1973" s="873"/>
      <c r="AE1973" s="819"/>
      <c r="AF1973" s="983"/>
      <c r="AG1973" s="807"/>
      <c r="AJ1973" s="865"/>
    </row>
    <row r="1974" spans="1:36" ht="15">
      <c r="A1974" s="19" t="s">
        <v>7421</v>
      </c>
      <c r="C1974" s="807"/>
      <c r="D1974" s="410" t="s">
        <v>10584</v>
      </c>
      <c r="E1974" s="1045" t="s">
        <v>4721</v>
      </c>
      <c r="F1974" s="807"/>
      <c r="G1974" s="827"/>
      <c r="H1974" s="809" t="s">
        <v>7877</v>
      </c>
      <c r="I1974" s="819">
        <v>48</v>
      </c>
      <c r="J1974" s="92" t="s">
        <v>18</v>
      </c>
      <c r="K1974" s="92" t="s">
        <v>707</v>
      </c>
      <c r="L1974" s="810">
        <v>5</v>
      </c>
      <c r="M1974" s="811" t="str">
        <f t="shared" si="154"/>
        <v>High School Graduate</v>
      </c>
      <c r="P1974" s="1638"/>
      <c r="V1974" s="873"/>
      <c r="X1974" s="811" t="str">
        <f t="shared" si="151"/>
        <v/>
      </c>
      <c r="AB1974" s="873"/>
      <c r="AE1974" s="819"/>
      <c r="AF1974" s="983"/>
      <c r="AG1974" s="807"/>
      <c r="AJ1974" s="865"/>
    </row>
    <row r="1975" spans="1:36" ht="15">
      <c r="A1975" s="807"/>
      <c r="C1975" s="807"/>
      <c r="D1975" s="1074" t="s">
        <v>10587</v>
      </c>
      <c r="G1975" s="846" t="s">
        <v>4721</v>
      </c>
      <c r="H1975" s="809" t="s">
        <v>10589</v>
      </c>
      <c r="I1975" s="819">
        <v>24</v>
      </c>
      <c r="J1975" s="92" t="s">
        <v>10</v>
      </c>
      <c r="K1975" s="92" t="s">
        <v>768</v>
      </c>
      <c r="L1975" s="810">
        <v>5</v>
      </c>
      <c r="M1975" s="811" t="str">
        <f t="shared" si="154"/>
        <v>High School Graduate</v>
      </c>
      <c r="P1975" s="1638"/>
      <c r="V1975" s="873"/>
      <c r="X1975" s="811" t="str">
        <f t="shared" si="151"/>
        <v/>
      </c>
      <c r="AB1975" s="873"/>
      <c r="AE1975" s="819"/>
      <c r="AF1975" s="983"/>
      <c r="AG1975" s="807"/>
      <c r="AJ1975" s="865"/>
    </row>
    <row r="1976" spans="1:36" ht="15">
      <c r="A1976" s="807"/>
      <c r="C1976" s="807"/>
      <c r="D1976" s="1074"/>
      <c r="G1976" s="827"/>
      <c r="H1976" s="809" t="s">
        <v>10590</v>
      </c>
      <c r="I1976" s="819">
        <v>23</v>
      </c>
      <c r="J1976" s="92" t="s">
        <v>18</v>
      </c>
      <c r="K1976" s="92" t="s">
        <v>768</v>
      </c>
      <c r="L1976" s="810">
        <v>5</v>
      </c>
      <c r="M1976" s="811" t="str">
        <f t="shared" si="154"/>
        <v>High School Graduate</v>
      </c>
      <c r="P1976" s="1638"/>
      <c r="V1976" s="873"/>
      <c r="X1976" s="811" t="str">
        <f t="shared" si="151"/>
        <v/>
      </c>
      <c r="AB1976" s="873"/>
      <c r="AE1976" s="819"/>
      <c r="AF1976" s="983"/>
      <c r="AG1976" s="807"/>
      <c r="AJ1976" s="865"/>
    </row>
    <row r="1977" spans="1:36" ht="15">
      <c r="A1977" s="807"/>
      <c r="C1977" s="807"/>
      <c r="D1977" s="1074"/>
      <c r="G1977" s="827"/>
      <c r="H1977" s="809" t="s">
        <v>10591</v>
      </c>
      <c r="I1977" s="819">
        <v>20</v>
      </c>
      <c r="J1977" s="92" t="s">
        <v>10</v>
      </c>
      <c r="K1977" s="92" t="s">
        <v>768</v>
      </c>
      <c r="L1977" s="810">
        <v>6</v>
      </c>
      <c r="M1977" s="811" t="str">
        <f t="shared" si="154"/>
        <v>College Level</v>
      </c>
      <c r="P1977" s="1638"/>
      <c r="R1977" s="92" t="s">
        <v>8234</v>
      </c>
      <c r="S1977" s="813">
        <v>14000</v>
      </c>
      <c r="U1977" s="813">
        <v>30000</v>
      </c>
      <c r="V1977" s="873">
        <f>SUM(S1971:U1976)</f>
        <v>10000</v>
      </c>
      <c r="X1977" s="811" t="str">
        <f t="shared" si="151"/>
        <v/>
      </c>
      <c r="AB1977" s="873">
        <f>SUM(Y1972:AA1977)</f>
        <v>9000</v>
      </c>
      <c r="AE1977" s="819"/>
      <c r="AF1977" s="983"/>
      <c r="AG1977" s="807"/>
      <c r="AJ1977" s="865"/>
    </row>
    <row r="1978" spans="1:36" ht="15">
      <c r="A1978" s="807"/>
      <c r="C1978" s="807"/>
      <c r="D1978" s="1074"/>
      <c r="G1978" s="827"/>
      <c r="H1978" s="809" t="s">
        <v>10592</v>
      </c>
      <c r="I1978" s="819">
        <v>14</v>
      </c>
      <c r="J1978" s="92" t="s">
        <v>18</v>
      </c>
      <c r="K1978" s="92" t="s">
        <v>768</v>
      </c>
      <c r="L1978" s="810">
        <v>2</v>
      </c>
      <c r="M1978" s="811" t="str">
        <f t="shared" si="154"/>
        <v>Elementary Level</v>
      </c>
      <c r="N1978" s="92" t="s">
        <v>1208</v>
      </c>
      <c r="O1978" s="812" t="s">
        <v>10594</v>
      </c>
      <c r="P1978" s="1638" t="s">
        <v>12602</v>
      </c>
      <c r="Q1978" s="812" t="s">
        <v>10594</v>
      </c>
      <c r="W1978" s="815">
        <v>1</v>
      </c>
      <c r="X1978" s="811" t="str">
        <f t="shared" si="151"/>
        <v>within the Brgy</v>
      </c>
      <c r="AB1978" s="940"/>
      <c r="AE1978" s="819"/>
      <c r="AF1978" s="983"/>
      <c r="AG1978" s="807" t="str">
        <f t="shared" ref="AG1978:AG2001" si="155">IF(ISBLANK(AF1978)=TRUE,"",LOOKUP(AF1978,GS:GT))</f>
        <v/>
      </c>
      <c r="AJ1978" s="865"/>
    </row>
    <row r="1979" spans="1:36" ht="15">
      <c r="A1979" s="807"/>
      <c r="C1979" s="807"/>
      <c r="D1979" s="1074"/>
      <c r="G1979" s="827"/>
      <c r="H1979" s="809" t="s">
        <v>4741</v>
      </c>
      <c r="I1979" s="819">
        <v>52</v>
      </c>
      <c r="J1979" s="92" t="s">
        <v>10</v>
      </c>
      <c r="K1979" s="92" t="s">
        <v>707</v>
      </c>
      <c r="L1979" s="810">
        <v>9</v>
      </c>
      <c r="M1979" s="811" t="str">
        <f t="shared" si="154"/>
        <v>Vocational Graduate</v>
      </c>
      <c r="P1979" s="1638"/>
      <c r="R1979" s="812" t="s">
        <v>8285</v>
      </c>
      <c r="S1979" s="813">
        <v>25000</v>
      </c>
      <c r="X1979" s="811" t="str">
        <f t="shared" si="151"/>
        <v/>
      </c>
      <c r="AB1979" s="940"/>
      <c r="AE1979" s="819"/>
      <c r="AF1979" s="983"/>
      <c r="AG1979" s="807" t="str">
        <f t="shared" si="155"/>
        <v/>
      </c>
      <c r="AJ1979" s="865"/>
    </row>
    <row r="1980" spans="1:36" ht="15">
      <c r="A1980" s="807"/>
      <c r="C1980" s="807"/>
      <c r="D1980" s="1074"/>
      <c r="G1980" s="827"/>
      <c r="H1980" s="809" t="s">
        <v>4739</v>
      </c>
      <c r="I1980" s="819">
        <v>56</v>
      </c>
      <c r="J1980" s="92" t="s">
        <v>18</v>
      </c>
      <c r="K1980" s="92" t="s">
        <v>707</v>
      </c>
      <c r="L1980" s="810">
        <v>5</v>
      </c>
      <c r="M1980" s="811" t="str">
        <f t="shared" si="154"/>
        <v>High School Graduate</v>
      </c>
      <c r="N1980" s="92" t="s">
        <v>1208</v>
      </c>
      <c r="O1980" s="812" t="s">
        <v>2201</v>
      </c>
      <c r="P1980" s="1638"/>
      <c r="Q1980" s="812" t="s">
        <v>2201</v>
      </c>
      <c r="W1980" s="815">
        <v>3</v>
      </c>
      <c r="X1980" s="811" t="str">
        <f t="shared" si="151"/>
        <v>within the Province</v>
      </c>
      <c r="AB1980" s="940"/>
      <c r="AE1980" s="819"/>
      <c r="AF1980" s="983"/>
      <c r="AG1980" s="807" t="str">
        <f t="shared" si="155"/>
        <v/>
      </c>
      <c r="AJ1980" s="865"/>
    </row>
    <row r="1981" spans="1:36" ht="15">
      <c r="A1981" s="19" t="s">
        <v>7421</v>
      </c>
      <c r="B1981" s="292" t="s">
        <v>7445</v>
      </c>
      <c r="C1981" s="149" t="s">
        <v>4729</v>
      </c>
      <c r="D1981" s="410" t="s">
        <v>10593</v>
      </c>
      <c r="E1981" s="1045" t="s">
        <v>4729</v>
      </c>
      <c r="F1981" s="1048" t="s">
        <v>4741</v>
      </c>
      <c r="G1981" s="809" t="s">
        <v>4729</v>
      </c>
      <c r="H1981" s="809" t="s">
        <v>10595</v>
      </c>
      <c r="I1981" s="819">
        <v>27</v>
      </c>
      <c r="J1981" s="92" t="s">
        <v>10</v>
      </c>
      <c r="K1981" s="92" t="s">
        <v>707</v>
      </c>
      <c r="L1981" s="810">
        <v>9</v>
      </c>
      <c r="M1981" s="811" t="str">
        <f t="shared" si="154"/>
        <v>Vocational Graduate</v>
      </c>
      <c r="P1981" s="1638"/>
      <c r="X1981" s="811" t="str">
        <f t="shared" si="151"/>
        <v/>
      </c>
      <c r="AB1981" s="940"/>
      <c r="AE1981" s="819"/>
      <c r="AF1981" s="983"/>
      <c r="AG1981" s="807" t="str">
        <f t="shared" si="155"/>
        <v/>
      </c>
      <c r="AJ1981" s="865"/>
    </row>
    <row r="1982" spans="1:36" ht="15">
      <c r="A1982" s="19" t="s">
        <v>7421</v>
      </c>
      <c r="C1982" s="807"/>
      <c r="D1982" s="410" t="s">
        <v>10593</v>
      </c>
      <c r="E1982" s="1045" t="s">
        <v>4729</v>
      </c>
      <c r="G1982" s="827"/>
      <c r="H1982" s="809" t="s">
        <v>10596</v>
      </c>
      <c r="I1982" s="819">
        <v>24</v>
      </c>
      <c r="J1982" s="92" t="s">
        <v>18</v>
      </c>
      <c r="K1982" s="92" t="s">
        <v>768</v>
      </c>
      <c r="L1982" s="810">
        <v>7</v>
      </c>
      <c r="M1982" s="811" t="str">
        <f t="shared" si="154"/>
        <v>College Graduate or Higher</v>
      </c>
      <c r="P1982" s="1638"/>
      <c r="X1982" s="811" t="str">
        <f t="shared" si="151"/>
        <v/>
      </c>
      <c r="AB1982" s="940"/>
      <c r="AE1982" s="819"/>
      <c r="AF1982" s="983"/>
      <c r="AG1982" s="807" t="str">
        <f t="shared" si="155"/>
        <v/>
      </c>
      <c r="AJ1982" s="865"/>
    </row>
    <row r="1983" spans="1:36" ht="15">
      <c r="A1983" s="19" t="s">
        <v>7421</v>
      </c>
      <c r="C1983" s="807"/>
      <c r="D1983" s="410" t="s">
        <v>10593</v>
      </c>
      <c r="E1983" s="1045" t="s">
        <v>4729</v>
      </c>
      <c r="G1983" s="827"/>
      <c r="H1983" s="809" t="s">
        <v>10597</v>
      </c>
      <c r="I1983" s="819">
        <v>23</v>
      </c>
      <c r="J1983" s="92" t="s">
        <v>10</v>
      </c>
      <c r="K1983" s="92" t="s">
        <v>768</v>
      </c>
      <c r="L1983" s="810">
        <v>6</v>
      </c>
      <c r="M1983" s="811" t="str">
        <f t="shared" si="154"/>
        <v>College Level</v>
      </c>
      <c r="P1983" s="1638"/>
      <c r="R1983" s="812" t="s">
        <v>8285</v>
      </c>
      <c r="S1983" s="813">
        <v>6000</v>
      </c>
      <c r="X1983" s="811" t="str">
        <f t="shared" si="151"/>
        <v/>
      </c>
      <c r="AB1983" s="940"/>
      <c r="AE1983" s="819"/>
      <c r="AF1983" s="983"/>
      <c r="AG1983" s="807" t="str">
        <f t="shared" si="155"/>
        <v/>
      </c>
      <c r="AJ1983" s="865"/>
    </row>
    <row r="1984" spans="1:36" ht="15">
      <c r="A1984" s="19" t="s">
        <v>7421</v>
      </c>
      <c r="C1984" s="807"/>
      <c r="D1984" s="410" t="s">
        <v>10593</v>
      </c>
      <c r="E1984" s="1045" t="s">
        <v>4729</v>
      </c>
      <c r="G1984" s="827"/>
      <c r="H1984" s="809" t="s">
        <v>10598</v>
      </c>
      <c r="I1984" s="819">
        <v>28</v>
      </c>
      <c r="J1984" s="92" t="s">
        <v>18</v>
      </c>
      <c r="K1984" s="92" t="s">
        <v>707</v>
      </c>
      <c r="L1984" s="810">
        <v>9</v>
      </c>
      <c r="M1984" s="811" t="str">
        <f t="shared" si="154"/>
        <v>Vocational Graduate</v>
      </c>
      <c r="N1984" s="92" t="s">
        <v>1208</v>
      </c>
      <c r="O1984" s="812" t="s">
        <v>2223</v>
      </c>
      <c r="P1984" s="1638"/>
      <c r="Q1984" s="812" t="s">
        <v>2223</v>
      </c>
      <c r="W1984" s="815">
        <v>1</v>
      </c>
      <c r="X1984" s="811" t="str">
        <f t="shared" si="151"/>
        <v>within the Brgy</v>
      </c>
      <c r="AB1984" s="940"/>
      <c r="AE1984" s="819"/>
      <c r="AF1984" s="983"/>
      <c r="AG1984" s="807" t="str">
        <f t="shared" si="155"/>
        <v/>
      </c>
      <c r="AJ1984" s="865"/>
    </row>
    <row r="1985" spans="1:97" ht="15">
      <c r="A1985" s="19" t="s">
        <v>7421</v>
      </c>
      <c r="C1985" s="807"/>
      <c r="D1985" s="410" t="s">
        <v>10593</v>
      </c>
      <c r="E1985" s="1045" t="s">
        <v>4729</v>
      </c>
      <c r="G1985" s="827"/>
      <c r="H1985" s="809" t="s">
        <v>10599</v>
      </c>
      <c r="I1985" s="819">
        <v>5</v>
      </c>
      <c r="J1985" s="92" t="s">
        <v>10</v>
      </c>
      <c r="K1985" s="92" t="s">
        <v>768</v>
      </c>
      <c r="L1985" s="810">
        <v>2</v>
      </c>
      <c r="M1985" s="811" t="str">
        <f t="shared" si="154"/>
        <v>Elementary Level</v>
      </c>
      <c r="P1985" s="1638"/>
      <c r="R1985" s="812" t="s">
        <v>8285</v>
      </c>
      <c r="S1985" s="813">
        <v>21000</v>
      </c>
      <c r="X1985" s="811" t="str">
        <f t="shared" si="151"/>
        <v/>
      </c>
      <c r="AB1985" s="940"/>
      <c r="AE1985" s="819"/>
      <c r="AF1985" s="983"/>
      <c r="AG1985" s="807" t="str">
        <f t="shared" si="155"/>
        <v/>
      </c>
      <c r="AJ1985" s="865"/>
    </row>
    <row r="1986" spans="1:97" ht="15">
      <c r="A1986" s="19" t="s">
        <v>7421</v>
      </c>
      <c r="C1986" s="807"/>
      <c r="D1986" s="410" t="s">
        <v>10593</v>
      </c>
      <c r="E1986" s="1045" t="s">
        <v>4729</v>
      </c>
      <c r="G1986" s="827"/>
      <c r="H1986" s="809" t="s">
        <v>10600</v>
      </c>
      <c r="I1986" s="819">
        <v>47</v>
      </c>
      <c r="J1986" s="92" t="s">
        <v>10</v>
      </c>
      <c r="K1986" s="92" t="s">
        <v>707</v>
      </c>
      <c r="L1986" s="810">
        <v>5</v>
      </c>
      <c r="M1986" s="811" t="str">
        <f t="shared" si="154"/>
        <v>High School Graduate</v>
      </c>
      <c r="N1986" s="92" t="s">
        <v>1208</v>
      </c>
      <c r="O1986" s="812" t="s">
        <v>10602</v>
      </c>
      <c r="P1986" s="1638"/>
      <c r="Q1986" s="812" t="s">
        <v>10602</v>
      </c>
      <c r="W1986" s="815">
        <v>3</v>
      </c>
      <c r="X1986" s="811" t="str">
        <f t="shared" si="151"/>
        <v>within the Province</v>
      </c>
      <c r="Y1986" s="816">
        <v>1580</v>
      </c>
      <c r="AB1986" s="940"/>
      <c r="AE1986" s="819"/>
      <c r="AF1986" s="983"/>
      <c r="AG1986" s="807" t="str">
        <f t="shared" si="155"/>
        <v/>
      </c>
      <c r="AJ1986" s="865"/>
    </row>
    <row r="1987" spans="1:97" ht="15">
      <c r="A1987" s="19" t="s">
        <v>7421</v>
      </c>
      <c r="C1987" s="807"/>
      <c r="D1987" s="410" t="s">
        <v>10593</v>
      </c>
      <c r="E1987" s="1045" t="s">
        <v>4729</v>
      </c>
      <c r="G1987" s="827"/>
      <c r="H1987" s="809" t="s">
        <v>10601</v>
      </c>
      <c r="I1987" s="819">
        <v>46</v>
      </c>
      <c r="J1987" s="92" t="s">
        <v>18</v>
      </c>
      <c r="K1987" s="92" t="s">
        <v>707</v>
      </c>
      <c r="L1987" s="810">
        <v>5</v>
      </c>
      <c r="M1987" s="811" t="str">
        <f t="shared" si="154"/>
        <v>High School Graduate</v>
      </c>
      <c r="P1987" s="1638"/>
      <c r="R1987" s="812" t="s">
        <v>8285</v>
      </c>
      <c r="S1987" s="813">
        <v>6000</v>
      </c>
      <c r="X1987" s="811" t="str">
        <f t="shared" si="151"/>
        <v/>
      </c>
      <c r="AB1987" s="940"/>
      <c r="AE1987" s="819"/>
      <c r="AF1987" s="983"/>
      <c r="AG1987" s="807" t="str">
        <f t="shared" si="155"/>
        <v/>
      </c>
      <c r="AJ1987" s="865"/>
    </row>
    <row r="1988" spans="1:97" ht="15">
      <c r="A1988" s="19" t="s">
        <v>7421</v>
      </c>
      <c r="C1988" s="807"/>
      <c r="D1988" s="410" t="s">
        <v>10593</v>
      </c>
      <c r="E1988" s="1045" t="s">
        <v>4729</v>
      </c>
      <c r="G1988" s="827"/>
      <c r="H1988" s="809" t="s">
        <v>10603</v>
      </c>
      <c r="I1988" s="819">
        <v>18</v>
      </c>
      <c r="J1988" s="92" t="s">
        <v>18</v>
      </c>
      <c r="K1988" s="92" t="s">
        <v>768</v>
      </c>
      <c r="L1988" s="810">
        <v>5</v>
      </c>
      <c r="M1988" s="811" t="str">
        <f t="shared" si="154"/>
        <v>High School Graduate</v>
      </c>
      <c r="N1988" s="857" t="s">
        <v>1208</v>
      </c>
      <c r="O1988" s="812" t="s">
        <v>2223</v>
      </c>
      <c r="P1988" s="1638"/>
      <c r="Q1988" s="812" t="s">
        <v>2223</v>
      </c>
      <c r="W1988" s="815">
        <v>1</v>
      </c>
      <c r="X1988" s="811" t="str">
        <f t="shared" si="151"/>
        <v>within the Brgy</v>
      </c>
      <c r="AB1988" s="940"/>
      <c r="AE1988" s="819"/>
      <c r="AF1988" s="983"/>
      <c r="AG1988" s="807" t="str">
        <f t="shared" si="155"/>
        <v/>
      </c>
      <c r="AJ1988" s="865"/>
    </row>
    <row r="1989" spans="1:97" ht="15">
      <c r="A1989" s="19" t="s">
        <v>7421</v>
      </c>
      <c r="D1989" s="410" t="s">
        <v>10593</v>
      </c>
      <c r="E1989" s="1045" t="s">
        <v>4729</v>
      </c>
      <c r="G1989" s="827"/>
      <c r="H1989" s="809" t="s">
        <v>10604</v>
      </c>
      <c r="I1989" s="819">
        <v>1</v>
      </c>
      <c r="J1989" s="92" t="s">
        <v>10</v>
      </c>
      <c r="K1989" s="92" t="s">
        <v>768</v>
      </c>
      <c r="L1989" s="810">
        <v>10</v>
      </c>
      <c r="M1989" s="811" t="str">
        <f t="shared" si="154"/>
        <v>Not In School Age</v>
      </c>
      <c r="P1989" s="1638"/>
      <c r="X1989" s="811" t="str">
        <f t="shared" ref="X1989:X2052" si="156">IF(ISBLANK(W1989)=TRUE,"",LOOKUP(W1989,GO:GP))</f>
        <v/>
      </c>
      <c r="AB1989" s="940"/>
      <c r="AE1989" s="819"/>
      <c r="AF1989" s="983"/>
      <c r="AG1989" s="807" t="str">
        <f t="shared" si="155"/>
        <v/>
      </c>
      <c r="AJ1989" s="865"/>
    </row>
    <row r="1990" spans="1:97" ht="15">
      <c r="A1990" s="19" t="s">
        <v>7421</v>
      </c>
      <c r="D1990" s="410" t="s">
        <v>10593</v>
      </c>
      <c r="E1990" s="1045" t="s">
        <v>4729</v>
      </c>
      <c r="G1990" s="827"/>
      <c r="H1990" s="809" t="s">
        <v>10605</v>
      </c>
      <c r="I1990" s="819">
        <v>30</v>
      </c>
      <c r="J1990" s="92" t="s">
        <v>10</v>
      </c>
      <c r="K1990" s="92" t="s">
        <v>707</v>
      </c>
      <c r="L1990" s="810">
        <v>5</v>
      </c>
      <c r="M1990" s="811" t="str">
        <f t="shared" ref="M1990:M2014" si="157">IF(ISBLANK(L1990)=TRUE,"",LOOKUP(L1990,GQ:GR))</f>
        <v>High School Graduate</v>
      </c>
      <c r="P1990" s="1638"/>
      <c r="X1990" s="811" t="str">
        <f t="shared" si="156"/>
        <v/>
      </c>
      <c r="AB1990" s="940"/>
      <c r="AE1990" s="819"/>
      <c r="AF1990" s="983"/>
      <c r="AG1990" s="807" t="str">
        <f t="shared" si="155"/>
        <v/>
      </c>
      <c r="AJ1990" s="865"/>
    </row>
    <row r="1991" spans="1:97" ht="15">
      <c r="A1991" s="19" t="s">
        <v>7421</v>
      </c>
      <c r="D1991" s="410" t="s">
        <v>10593</v>
      </c>
      <c r="E1991" s="1045" t="s">
        <v>4729</v>
      </c>
      <c r="G1991" s="827"/>
      <c r="H1991" s="809" t="s">
        <v>10606</v>
      </c>
      <c r="I1991" s="819">
        <v>30</v>
      </c>
      <c r="J1991" s="92" t="s">
        <v>18</v>
      </c>
      <c r="K1991" s="92" t="s">
        <v>707</v>
      </c>
      <c r="L1991" s="810">
        <v>7</v>
      </c>
      <c r="M1991" s="811" t="str">
        <f t="shared" si="157"/>
        <v>College Graduate or Higher</v>
      </c>
      <c r="P1991" s="1638"/>
      <c r="V1991" s="814">
        <f>SUM(S1977:U1990)</f>
        <v>102000</v>
      </c>
      <c r="X1991" s="811" t="str">
        <f t="shared" si="156"/>
        <v/>
      </c>
      <c r="AB1991" s="940">
        <f>SUM(Y1978:AA1991)</f>
        <v>1580</v>
      </c>
      <c r="AE1991" s="819"/>
      <c r="AF1991" s="983"/>
      <c r="AG1991" s="807" t="str">
        <f t="shared" si="155"/>
        <v/>
      </c>
      <c r="AJ1991" s="865"/>
    </row>
    <row r="1992" spans="1:97" ht="15">
      <c r="A1992" s="19" t="s">
        <v>7421</v>
      </c>
      <c r="D1992" s="410" t="s">
        <v>10593</v>
      </c>
      <c r="E1992" s="1045" t="s">
        <v>4729</v>
      </c>
      <c r="G1992" s="827"/>
      <c r="H1992" s="809" t="s">
        <v>10607</v>
      </c>
      <c r="I1992" s="819">
        <v>5</v>
      </c>
      <c r="J1992" s="92" t="s">
        <v>18</v>
      </c>
      <c r="K1992" s="92" t="s">
        <v>768</v>
      </c>
      <c r="L1992" s="810">
        <v>2</v>
      </c>
      <c r="M1992" s="811" t="str">
        <f t="shared" si="157"/>
        <v>Elementary Level</v>
      </c>
      <c r="P1992" s="1638"/>
      <c r="V1992" s="828"/>
      <c r="X1992" s="811" t="str">
        <f t="shared" si="156"/>
        <v/>
      </c>
      <c r="AB1992" s="953"/>
      <c r="AD1992" s="817" t="s">
        <v>10609</v>
      </c>
      <c r="AE1992" s="819" t="s">
        <v>10610</v>
      </c>
      <c r="AF1992" s="983">
        <v>4</v>
      </c>
      <c r="AG1992" s="807" t="str">
        <f t="shared" si="155"/>
        <v>Serious Illness</v>
      </c>
      <c r="AJ1992" s="865"/>
    </row>
    <row r="1993" spans="1:97" ht="15">
      <c r="A1993" s="19" t="s">
        <v>7421</v>
      </c>
      <c r="D1993" s="410" t="s">
        <v>10593</v>
      </c>
      <c r="E1993" s="1045" t="s">
        <v>4729</v>
      </c>
      <c r="G1993" s="827"/>
      <c r="I1993" s="819"/>
      <c r="M1993" s="811" t="str">
        <f t="shared" si="157"/>
        <v/>
      </c>
      <c r="P1993" s="1638"/>
      <c r="X1993" s="811" t="str">
        <f t="shared" si="156"/>
        <v/>
      </c>
      <c r="AD1993" s="817" t="s">
        <v>10612</v>
      </c>
      <c r="AG1993" s="807" t="str">
        <f t="shared" si="155"/>
        <v/>
      </c>
      <c r="AJ1993" s="865"/>
      <c r="CS1993" s="807">
        <v>1</v>
      </c>
    </row>
    <row r="1994" spans="1:97" ht="15">
      <c r="A1994" s="19" t="s">
        <v>7421</v>
      </c>
      <c r="D1994" s="410" t="s">
        <v>10593</v>
      </c>
      <c r="E1994" s="1045" t="s">
        <v>4729</v>
      </c>
      <c r="G1994" s="827"/>
      <c r="I1994" s="819"/>
      <c r="M1994" s="811" t="str">
        <f t="shared" si="157"/>
        <v/>
      </c>
      <c r="P1994" s="1638"/>
      <c r="X1994" s="811" t="str">
        <f t="shared" si="156"/>
        <v/>
      </c>
      <c r="AD1994" s="817" t="s">
        <v>10614</v>
      </c>
      <c r="AE1994" s="93" t="s">
        <v>10615</v>
      </c>
      <c r="AF1994" s="818">
        <v>4</v>
      </c>
      <c r="AG1994" s="807" t="str">
        <f t="shared" si="155"/>
        <v>Serious Illness</v>
      </c>
      <c r="AJ1994" s="865"/>
    </row>
    <row r="1995" spans="1:97" ht="15">
      <c r="D1995" s="1074" t="s">
        <v>10608</v>
      </c>
      <c r="G1995" s="809" t="s">
        <v>4750</v>
      </c>
      <c r="I1995" s="819"/>
      <c r="M1995" s="811" t="str">
        <f t="shared" si="157"/>
        <v/>
      </c>
      <c r="P1995" s="1638"/>
      <c r="X1995" s="811" t="str">
        <f t="shared" si="156"/>
        <v/>
      </c>
      <c r="AD1995" s="817" t="s">
        <v>10617</v>
      </c>
      <c r="AG1995" s="807" t="str">
        <f t="shared" si="155"/>
        <v/>
      </c>
      <c r="AJ1995" s="865"/>
    </row>
    <row r="1996" spans="1:97" ht="15">
      <c r="D1996" s="1074" t="s">
        <v>10611</v>
      </c>
      <c r="G1996" s="846" t="s">
        <v>3149</v>
      </c>
      <c r="I1996" s="819"/>
      <c r="M1996" s="811" t="str">
        <f t="shared" si="157"/>
        <v/>
      </c>
      <c r="P1996" s="1638"/>
      <c r="X1996" s="811" t="str">
        <f t="shared" si="156"/>
        <v/>
      </c>
      <c r="AG1996" s="807" t="str">
        <f t="shared" si="155"/>
        <v/>
      </c>
      <c r="AH1996" s="817" t="s">
        <v>10619</v>
      </c>
      <c r="AJ1996" s="820">
        <v>2500</v>
      </c>
    </row>
    <row r="1997" spans="1:97" ht="15">
      <c r="D1997" s="1074" t="s">
        <v>10613</v>
      </c>
      <c r="G1997" s="809" t="s">
        <v>4768</v>
      </c>
      <c r="I1997" s="819"/>
      <c r="M1997" s="811" t="str">
        <f t="shared" si="157"/>
        <v/>
      </c>
      <c r="P1997" s="1638"/>
      <c r="X1997" s="811" t="str">
        <f t="shared" si="156"/>
        <v/>
      </c>
      <c r="AG1997" s="807" t="str">
        <f t="shared" si="155"/>
        <v/>
      </c>
      <c r="AH1997" s="817" t="s">
        <v>10620</v>
      </c>
      <c r="AJ1997" s="820">
        <v>1500</v>
      </c>
    </row>
    <row r="1998" spans="1:97" ht="15">
      <c r="D1998" s="1074" t="s">
        <v>10616</v>
      </c>
      <c r="G1998" s="809" t="s">
        <v>4777</v>
      </c>
      <c r="I1998" s="819"/>
      <c r="M1998" s="811" t="str">
        <f t="shared" si="157"/>
        <v/>
      </c>
      <c r="P1998" s="1638"/>
      <c r="X1998" s="811" t="str">
        <f t="shared" si="156"/>
        <v/>
      </c>
      <c r="AE1998" s="93" t="s">
        <v>10622</v>
      </c>
      <c r="AF1998" s="818">
        <v>4</v>
      </c>
      <c r="AG1998" s="807" t="str">
        <f t="shared" si="155"/>
        <v>Serious Illness</v>
      </c>
      <c r="AJ1998" s="865"/>
    </row>
    <row r="1999" spans="1:97" ht="15">
      <c r="A1999" s="19" t="s">
        <v>1101</v>
      </c>
      <c r="B1999" s="292" t="s">
        <v>8066</v>
      </c>
      <c r="C1999" s="149" t="s">
        <v>3155</v>
      </c>
      <c r="D1999" s="410" t="s">
        <v>10618</v>
      </c>
      <c r="E1999" s="807"/>
      <c r="F1999" s="807"/>
      <c r="G1999" s="809" t="s">
        <v>3155</v>
      </c>
      <c r="I1999" s="819"/>
      <c r="M1999" s="811" t="str">
        <f t="shared" si="157"/>
        <v/>
      </c>
      <c r="P1999" s="1638"/>
      <c r="U1999" s="813">
        <v>1800</v>
      </c>
      <c r="V1999" s="828"/>
      <c r="W1999" s="811"/>
      <c r="X1999" s="811" t="str">
        <f t="shared" si="156"/>
        <v/>
      </c>
      <c r="AB1999" s="828"/>
      <c r="AE1999" s="93" t="s">
        <v>10625</v>
      </c>
      <c r="AF1999" s="818">
        <v>2</v>
      </c>
      <c r="AG1999" s="807" t="str">
        <f t="shared" si="155"/>
        <v>Assistance to walk</v>
      </c>
      <c r="AJ1999" s="865"/>
    </row>
    <row r="2000" spans="1:97" ht="15">
      <c r="A2000" s="19" t="s">
        <v>1101</v>
      </c>
      <c r="C2000" s="807"/>
      <c r="D2000" s="410" t="s">
        <v>10618</v>
      </c>
      <c r="G2000" s="827"/>
      <c r="H2000" s="809" t="s">
        <v>10624</v>
      </c>
      <c r="I2000" s="819">
        <v>47</v>
      </c>
      <c r="J2000" s="92" t="s">
        <v>18</v>
      </c>
      <c r="K2000" s="92" t="s">
        <v>707</v>
      </c>
      <c r="L2000" s="810">
        <v>2</v>
      </c>
      <c r="M2000" s="811" t="str">
        <f t="shared" si="157"/>
        <v>Elementary Level</v>
      </c>
      <c r="N2000" s="92" t="s">
        <v>1208</v>
      </c>
      <c r="O2000" s="812" t="s">
        <v>3172</v>
      </c>
      <c r="P2000" s="1638"/>
      <c r="Q2000" s="812" t="s">
        <v>3172</v>
      </c>
      <c r="V2000" s="828"/>
      <c r="W2000" s="811">
        <v>1</v>
      </c>
      <c r="X2000" s="811" t="str">
        <f t="shared" si="156"/>
        <v>within the Brgy</v>
      </c>
      <c r="AB2000" s="828"/>
      <c r="AG2000" s="807" t="str">
        <f t="shared" si="155"/>
        <v/>
      </c>
      <c r="AJ2000" s="865"/>
    </row>
    <row r="2001" spans="1:42" ht="15">
      <c r="A2001" s="311" t="s">
        <v>12452</v>
      </c>
      <c r="B2001" s="292" t="s">
        <v>8068</v>
      </c>
      <c r="C2001" s="149" t="s">
        <v>3155</v>
      </c>
      <c r="D2001" s="1074" t="s">
        <v>10621</v>
      </c>
      <c r="G2001" s="827"/>
      <c r="H2001" s="809" t="s">
        <v>10626</v>
      </c>
      <c r="I2001" s="819">
        <v>51</v>
      </c>
      <c r="J2001" s="92" t="s">
        <v>10</v>
      </c>
      <c r="K2001" s="92" t="s">
        <v>707</v>
      </c>
      <c r="L2001" s="810">
        <v>5</v>
      </c>
      <c r="M2001" s="811" t="str">
        <f t="shared" si="157"/>
        <v>High School Graduate</v>
      </c>
      <c r="P2001" s="1638"/>
      <c r="V2001" s="828"/>
      <c r="W2001" s="811"/>
      <c r="X2001" s="811" t="str">
        <f t="shared" si="156"/>
        <v/>
      </c>
      <c r="AB2001" s="828"/>
      <c r="AG2001" s="807" t="str">
        <f t="shared" si="155"/>
        <v/>
      </c>
      <c r="AJ2001" s="865"/>
    </row>
    <row r="2002" spans="1:42" ht="15">
      <c r="A2002" s="311" t="s">
        <v>12452</v>
      </c>
      <c r="B2002" s="292" t="s">
        <v>7446</v>
      </c>
      <c r="C2002" s="149" t="s">
        <v>3155</v>
      </c>
      <c r="D2002" s="1074" t="s">
        <v>10623</v>
      </c>
      <c r="G2002" s="827"/>
      <c r="H2002" s="809" t="s">
        <v>10627</v>
      </c>
      <c r="I2002" s="819">
        <v>25</v>
      </c>
      <c r="J2002" s="92" t="s">
        <v>10</v>
      </c>
      <c r="K2002" s="92" t="s">
        <v>768</v>
      </c>
      <c r="L2002" s="810">
        <v>6</v>
      </c>
      <c r="M2002" s="811" t="str">
        <f t="shared" si="157"/>
        <v>College Level</v>
      </c>
      <c r="P2002" s="1638"/>
      <c r="R2002" s="812" t="s">
        <v>28</v>
      </c>
      <c r="S2002" s="813">
        <v>10000</v>
      </c>
      <c r="V2002" s="873"/>
      <c r="W2002" s="811">
        <v>1</v>
      </c>
      <c r="X2002" s="811" t="str">
        <f t="shared" si="156"/>
        <v>within the Brgy</v>
      </c>
      <c r="AB2002" s="873"/>
      <c r="AG2002" s="807"/>
      <c r="AJ2002" s="865"/>
    </row>
    <row r="2003" spans="1:42" ht="15">
      <c r="A2003" s="311" t="s">
        <v>12452</v>
      </c>
      <c r="C2003" s="807"/>
      <c r="D2003" s="1074" t="s">
        <v>10623</v>
      </c>
      <c r="G2003" s="827"/>
      <c r="H2003" s="809" t="s">
        <v>10628</v>
      </c>
      <c r="I2003" s="819">
        <v>15</v>
      </c>
      <c r="J2003" s="92" t="s">
        <v>10</v>
      </c>
      <c r="K2003" s="92" t="s">
        <v>768</v>
      </c>
      <c r="L2003" s="810">
        <v>4</v>
      </c>
      <c r="M2003" s="811" t="str">
        <f t="shared" si="157"/>
        <v>High School Level</v>
      </c>
      <c r="N2003" s="92" t="s">
        <v>1208</v>
      </c>
      <c r="O2003" s="812" t="s">
        <v>12503</v>
      </c>
      <c r="P2003" s="1638" t="s">
        <v>12602</v>
      </c>
      <c r="Q2003" s="812" t="s">
        <v>12503</v>
      </c>
      <c r="R2003" s="812" t="s">
        <v>8285</v>
      </c>
      <c r="S2003" s="813">
        <v>10000</v>
      </c>
      <c r="V2003" s="873"/>
      <c r="W2003" s="811">
        <v>1</v>
      </c>
      <c r="X2003" s="811" t="str">
        <f t="shared" si="156"/>
        <v>within the Brgy</v>
      </c>
      <c r="AB2003" s="873"/>
      <c r="AG2003" s="807"/>
      <c r="AJ2003" s="865"/>
    </row>
    <row r="2004" spans="1:42" ht="15">
      <c r="A2004" s="311" t="s">
        <v>12452</v>
      </c>
      <c r="C2004" s="807"/>
      <c r="D2004" s="1074" t="s">
        <v>10623</v>
      </c>
      <c r="G2004" s="827"/>
      <c r="H2004" s="809" t="s">
        <v>10620</v>
      </c>
      <c r="I2004" s="819">
        <v>30</v>
      </c>
      <c r="J2004" s="92" t="s">
        <v>18</v>
      </c>
      <c r="K2004" s="92" t="s">
        <v>768</v>
      </c>
      <c r="L2004" s="810">
        <v>5</v>
      </c>
      <c r="M2004" s="811" t="str">
        <f t="shared" si="157"/>
        <v>High School Graduate</v>
      </c>
      <c r="N2004" s="92" t="s">
        <v>1208</v>
      </c>
      <c r="O2004" s="812" t="s">
        <v>12503</v>
      </c>
      <c r="P2004" s="1638"/>
      <c r="Q2004" s="812" t="s">
        <v>12503</v>
      </c>
      <c r="V2004" s="873"/>
      <c r="W2004" s="811"/>
      <c r="X2004" s="811" t="str">
        <f t="shared" si="156"/>
        <v/>
      </c>
      <c r="AB2004" s="873"/>
      <c r="AG2004" s="807"/>
      <c r="AJ2004" s="865"/>
    </row>
    <row r="2005" spans="1:42" ht="15">
      <c r="A2005" s="311" t="s">
        <v>12452</v>
      </c>
      <c r="C2005" s="807"/>
      <c r="D2005" s="1074" t="s">
        <v>10623</v>
      </c>
      <c r="G2005" s="846"/>
      <c r="H2005" s="809" t="s">
        <v>12504</v>
      </c>
      <c r="I2005" s="819">
        <v>31</v>
      </c>
      <c r="J2005" s="92" t="s">
        <v>18</v>
      </c>
      <c r="K2005" s="92" t="s">
        <v>768</v>
      </c>
      <c r="L2005" s="810">
        <v>5</v>
      </c>
      <c r="M2005" s="811" t="str">
        <f t="shared" si="157"/>
        <v>High School Graduate</v>
      </c>
      <c r="P2005" s="1638"/>
      <c r="V2005" s="873"/>
      <c r="W2005" s="811"/>
      <c r="X2005" s="811" t="str">
        <f t="shared" si="156"/>
        <v/>
      </c>
      <c r="AB2005" s="873"/>
      <c r="AG2005" s="807"/>
      <c r="AJ2005" s="865"/>
    </row>
    <row r="2006" spans="1:42" ht="15">
      <c r="A2006" s="311" t="s">
        <v>12452</v>
      </c>
      <c r="B2006" s="292" t="s">
        <v>8067</v>
      </c>
      <c r="C2006" s="149" t="s">
        <v>3155</v>
      </c>
      <c r="D2006" s="1074" t="s">
        <v>8067</v>
      </c>
      <c r="G2006" s="846" t="s">
        <v>3155</v>
      </c>
      <c r="H2006" s="809" t="s">
        <v>12502</v>
      </c>
      <c r="I2006" s="819">
        <v>32</v>
      </c>
      <c r="J2006" s="92" t="s">
        <v>10</v>
      </c>
      <c r="K2006" s="92" t="s">
        <v>768</v>
      </c>
      <c r="L2006" s="810">
        <v>7</v>
      </c>
      <c r="M2006" s="811" t="str">
        <f t="shared" si="157"/>
        <v>College Graduate or Higher</v>
      </c>
      <c r="P2006" s="1638"/>
      <c r="V2006" s="873"/>
      <c r="W2006" s="811"/>
      <c r="X2006" s="811" t="str">
        <f t="shared" si="156"/>
        <v/>
      </c>
      <c r="AB2006" s="873"/>
      <c r="AG2006" s="807"/>
      <c r="AJ2006" s="865"/>
    </row>
    <row r="2007" spans="1:42" ht="15">
      <c r="A2007" s="311" t="s">
        <v>12452</v>
      </c>
      <c r="C2007" s="807"/>
      <c r="D2007" s="1074" t="s">
        <v>8067</v>
      </c>
      <c r="G2007" s="827"/>
      <c r="H2007" s="809" t="s">
        <v>12505</v>
      </c>
      <c r="I2007" s="819">
        <v>17</v>
      </c>
      <c r="J2007" s="92" t="s">
        <v>18</v>
      </c>
      <c r="K2007" s="92" t="s">
        <v>768</v>
      </c>
      <c r="L2007" s="810">
        <v>6</v>
      </c>
      <c r="M2007" s="811" t="str">
        <f t="shared" si="157"/>
        <v>College Level</v>
      </c>
      <c r="P2007" s="1638"/>
      <c r="V2007" s="873">
        <f>SUM(S2002:U2007)</f>
        <v>20000</v>
      </c>
      <c r="W2007" s="811"/>
      <c r="X2007" s="811" t="str">
        <f t="shared" si="156"/>
        <v/>
      </c>
      <c r="AB2007" s="873">
        <f>SUM(Y2002:AA2007)</f>
        <v>0</v>
      </c>
      <c r="AG2007" s="807"/>
      <c r="AJ2007" s="865"/>
    </row>
    <row r="2008" spans="1:42" ht="15">
      <c r="A2008" s="311" t="s">
        <v>12452</v>
      </c>
      <c r="C2008" s="807"/>
      <c r="D2008" s="1074" t="s">
        <v>8067</v>
      </c>
      <c r="G2008" s="827"/>
      <c r="H2008" s="809" t="s">
        <v>12506</v>
      </c>
      <c r="I2008" s="819">
        <v>5</v>
      </c>
      <c r="J2008" s="92" t="s">
        <v>18</v>
      </c>
      <c r="K2008" s="92" t="s">
        <v>768</v>
      </c>
      <c r="L2008" s="810">
        <v>1</v>
      </c>
      <c r="M2008" s="811" t="str">
        <f t="shared" si="157"/>
        <v>Pre-school</v>
      </c>
      <c r="P2008" s="1638"/>
      <c r="V2008" s="828">
        <f>SUBTOTAL(9,S1998:U2001)</f>
        <v>1800</v>
      </c>
      <c r="W2008" s="811"/>
      <c r="X2008" s="811" t="str">
        <f t="shared" si="156"/>
        <v/>
      </c>
      <c r="AB2008" s="828">
        <f>SUBTOTAL(9,Y1999:AA2008)</f>
        <v>0</v>
      </c>
      <c r="AG2008" s="807" t="str">
        <f t="shared" ref="AG2008:AG2071" si="158">IF(ISBLANK(AF2008)=TRUE,"",LOOKUP(AF2008,GS:GT))</f>
        <v/>
      </c>
      <c r="AJ2008" s="865"/>
    </row>
    <row r="2009" spans="1:42" ht="15">
      <c r="A2009" s="311" t="s">
        <v>12452</v>
      </c>
      <c r="C2009" s="807"/>
      <c r="D2009" s="1074" t="s">
        <v>8067</v>
      </c>
      <c r="G2009" s="827"/>
      <c r="H2009" s="809" t="s">
        <v>12507</v>
      </c>
      <c r="I2009" s="819">
        <v>1</v>
      </c>
      <c r="J2009" s="92" t="s">
        <v>18</v>
      </c>
      <c r="K2009" s="92" t="s">
        <v>768</v>
      </c>
      <c r="L2009" s="810">
        <v>0</v>
      </c>
      <c r="M2009" s="811" t="str">
        <f t="shared" si="157"/>
        <v>No Schooling</v>
      </c>
      <c r="P2009" s="1638"/>
      <c r="V2009" s="961"/>
      <c r="X2009" s="811" t="str">
        <f t="shared" si="156"/>
        <v/>
      </c>
      <c r="AB2009" s="964"/>
      <c r="AD2009" s="817" t="s">
        <v>10630</v>
      </c>
      <c r="AG2009" s="807" t="str">
        <f t="shared" si="158"/>
        <v/>
      </c>
      <c r="AJ2009" s="865"/>
    </row>
    <row r="2010" spans="1:42" ht="15">
      <c r="A2010" s="311" t="s">
        <v>12452</v>
      </c>
      <c r="C2010" s="807"/>
      <c r="D2010" s="1074" t="s">
        <v>8067</v>
      </c>
      <c r="G2010" s="827"/>
      <c r="M2010" s="811" t="str">
        <f t="shared" si="157"/>
        <v/>
      </c>
      <c r="P2010" s="1638"/>
      <c r="S2010" s="813">
        <f>300*26</f>
        <v>7800</v>
      </c>
      <c r="V2010" s="961"/>
      <c r="X2010" s="811" t="str">
        <f t="shared" si="156"/>
        <v/>
      </c>
      <c r="AB2010" s="964"/>
      <c r="AD2010" s="817" t="s">
        <v>10632</v>
      </c>
      <c r="AG2010" s="807" t="str">
        <f t="shared" si="158"/>
        <v/>
      </c>
      <c r="AJ2010" s="865"/>
    </row>
    <row r="2011" spans="1:42" ht="15">
      <c r="A2011" s="311" t="s">
        <v>12452</v>
      </c>
      <c r="C2011" s="807"/>
      <c r="D2011" s="1074" t="s">
        <v>8067</v>
      </c>
      <c r="G2011" s="827"/>
      <c r="M2011" s="811" t="str">
        <f t="shared" si="157"/>
        <v/>
      </c>
      <c r="N2011" s="92" t="s">
        <v>1208</v>
      </c>
      <c r="O2011" s="812" t="s">
        <v>2198</v>
      </c>
      <c r="P2011" s="1638"/>
      <c r="Q2011" s="812" t="s">
        <v>2198</v>
      </c>
      <c r="S2011" s="813" t="s">
        <v>10635</v>
      </c>
      <c r="W2011" s="815">
        <v>1</v>
      </c>
      <c r="X2011" s="811" t="str">
        <f t="shared" si="156"/>
        <v>within the Brgy</v>
      </c>
      <c r="Y2011" s="816">
        <f>16*26</f>
        <v>416</v>
      </c>
      <c r="AG2011" s="807" t="str">
        <f t="shared" si="158"/>
        <v/>
      </c>
      <c r="AJ2011" s="865"/>
    </row>
    <row r="2012" spans="1:42" ht="15">
      <c r="D2012" s="410" t="s">
        <v>10629</v>
      </c>
      <c r="E2012" s="1046"/>
      <c r="F2012" s="1046"/>
      <c r="G2012" s="809" t="s">
        <v>4839</v>
      </c>
      <c r="H2012" s="809" t="s">
        <v>3177</v>
      </c>
      <c r="I2012" s="92">
        <v>50</v>
      </c>
      <c r="J2012" s="92" t="s">
        <v>10</v>
      </c>
      <c r="K2012" s="92" t="s">
        <v>707</v>
      </c>
      <c r="L2012" s="810">
        <v>5</v>
      </c>
      <c r="M2012" s="811" t="str">
        <f t="shared" si="157"/>
        <v>High School Graduate</v>
      </c>
      <c r="N2012" s="92" t="s">
        <v>1208</v>
      </c>
      <c r="O2012" s="812" t="s">
        <v>2223</v>
      </c>
      <c r="P2012" s="1638"/>
      <c r="Q2012" s="812" t="s">
        <v>2223</v>
      </c>
      <c r="W2012" s="815">
        <v>5</v>
      </c>
      <c r="X2012" s="811" t="str">
        <f t="shared" si="156"/>
        <v>Overseas Worker</v>
      </c>
      <c r="AG2012" s="807" t="str">
        <f t="shared" si="158"/>
        <v/>
      </c>
      <c r="AJ2012" s="865"/>
    </row>
    <row r="2013" spans="1:42" ht="15">
      <c r="D2013" s="410" t="s">
        <v>10631</v>
      </c>
      <c r="E2013" s="1046"/>
      <c r="F2013" s="1046"/>
      <c r="G2013" s="809" t="s">
        <v>3173</v>
      </c>
      <c r="H2013" s="809" t="s">
        <v>10634</v>
      </c>
      <c r="I2013" s="92">
        <v>37</v>
      </c>
      <c r="J2013" s="92" t="s">
        <v>18</v>
      </c>
      <c r="K2013" s="92" t="s">
        <v>707</v>
      </c>
      <c r="L2013" s="810">
        <v>5</v>
      </c>
      <c r="M2013" s="811" t="str">
        <f t="shared" si="157"/>
        <v>High School Graduate</v>
      </c>
      <c r="P2013" s="1638"/>
      <c r="V2013" s="814">
        <f>SUM(S2010:U2012)</f>
        <v>7800</v>
      </c>
      <c r="X2013" s="811" t="str">
        <f t="shared" si="156"/>
        <v/>
      </c>
      <c r="AB2013" s="924">
        <f>SUM(Y2011:AA2013)</f>
        <v>416</v>
      </c>
      <c r="AG2013" s="807" t="str">
        <f t="shared" si="158"/>
        <v/>
      </c>
      <c r="AJ2013" s="865"/>
    </row>
    <row r="2014" spans="1:42" ht="15">
      <c r="D2014" s="410" t="s">
        <v>10633</v>
      </c>
      <c r="E2014" s="1046"/>
      <c r="F2014" s="1046"/>
      <c r="G2014" s="934"/>
      <c r="H2014" s="809" t="s">
        <v>10636</v>
      </c>
      <c r="I2014" s="92">
        <v>14</v>
      </c>
      <c r="J2014" s="92" t="s">
        <v>10</v>
      </c>
      <c r="K2014" s="92" t="s">
        <v>768</v>
      </c>
      <c r="L2014" s="810">
        <v>4</v>
      </c>
      <c r="M2014" s="811" t="str">
        <f t="shared" si="157"/>
        <v>High School Level</v>
      </c>
      <c r="P2014" s="1638"/>
      <c r="R2014" s="92" t="s">
        <v>8234</v>
      </c>
      <c r="S2014" s="813">
        <v>10000</v>
      </c>
      <c r="V2014" s="828"/>
      <c r="W2014" s="815">
        <v>1</v>
      </c>
      <c r="X2014" s="811" t="str">
        <f t="shared" si="156"/>
        <v>within the Brgy</v>
      </c>
      <c r="Y2014" s="816">
        <v>1000</v>
      </c>
      <c r="AB2014" s="953"/>
      <c r="AG2014" s="807" t="str">
        <f t="shared" si="158"/>
        <v/>
      </c>
      <c r="AJ2014" s="865"/>
    </row>
    <row r="2015" spans="1:42" ht="15">
      <c r="D2015" s="1074"/>
      <c r="G2015" s="827"/>
      <c r="N2015" s="92" t="s">
        <v>1208</v>
      </c>
      <c r="O2015" s="812" t="s">
        <v>10638</v>
      </c>
      <c r="P2015" s="1638"/>
      <c r="Q2015" s="812" t="s">
        <v>10638</v>
      </c>
      <c r="R2015" s="812" t="s">
        <v>8285</v>
      </c>
      <c r="S2015" s="813">
        <v>12000</v>
      </c>
      <c r="V2015" s="828">
        <f>SUM(S2013:U2014)</f>
        <v>10000</v>
      </c>
      <c r="W2015" s="815">
        <v>3</v>
      </c>
      <c r="X2015" s="811" t="str">
        <f t="shared" si="156"/>
        <v>within the Province</v>
      </c>
      <c r="Y2015" s="816">
        <v>1200</v>
      </c>
      <c r="AB2015" s="953">
        <f>SUM(Y2014:AA2015)</f>
        <v>2200</v>
      </c>
      <c r="AG2015" s="807" t="str">
        <f t="shared" si="158"/>
        <v/>
      </c>
      <c r="AJ2015" s="865"/>
    </row>
    <row r="2016" spans="1:42" ht="15">
      <c r="C2016" s="807"/>
      <c r="H2016" s="809" t="s">
        <v>4868</v>
      </c>
      <c r="I2016" s="92">
        <v>34</v>
      </c>
      <c r="J2016" s="92" t="s">
        <v>10</v>
      </c>
      <c r="K2016" s="92" t="s">
        <v>768</v>
      </c>
      <c r="L2016" s="810">
        <v>5</v>
      </c>
      <c r="M2016" s="811" t="str">
        <f t="shared" ref="M2016:M2079" si="159">IF(ISBLANK(L2016)=TRUE,"",LOOKUP(L2016,GQ:GR))</f>
        <v>High School Graduate</v>
      </c>
      <c r="N2016" s="92" t="s">
        <v>1208</v>
      </c>
      <c r="O2016" s="812" t="s">
        <v>10640</v>
      </c>
      <c r="P2016" s="1638" t="s">
        <v>12606</v>
      </c>
      <c r="Q2016" s="812" t="s">
        <v>10640</v>
      </c>
      <c r="U2016" s="813">
        <f>SUM(2500,50*46)</f>
        <v>4800</v>
      </c>
      <c r="V2016" s="828"/>
      <c r="X2016" s="811" t="str">
        <f t="shared" si="156"/>
        <v/>
      </c>
      <c r="AB2016" s="953"/>
      <c r="AG2016" s="807" t="str">
        <f t="shared" si="158"/>
        <v/>
      </c>
      <c r="AJ2016" s="865"/>
      <c r="AO2016" s="18" t="s">
        <v>10642</v>
      </c>
      <c r="AP2016" s="820">
        <v>1500</v>
      </c>
    </row>
    <row r="2017" spans="1:42" ht="15">
      <c r="C2017" s="807"/>
      <c r="D2017" s="410" t="s">
        <v>10637</v>
      </c>
      <c r="E2017" s="1045" t="s">
        <v>4859</v>
      </c>
      <c r="F2017" s="1048" t="s">
        <v>4868</v>
      </c>
      <c r="G2017" s="809" t="s">
        <v>4859</v>
      </c>
      <c r="H2017" s="809" t="s">
        <v>10639</v>
      </c>
      <c r="I2017" s="92">
        <v>28</v>
      </c>
      <c r="J2017" s="92" t="s">
        <v>10</v>
      </c>
      <c r="K2017" s="92" t="s">
        <v>707</v>
      </c>
      <c r="L2017" s="810">
        <v>5</v>
      </c>
      <c r="M2017" s="811" t="str">
        <f t="shared" si="159"/>
        <v>High School Graduate</v>
      </c>
      <c r="N2017" s="92" t="s">
        <v>1208</v>
      </c>
      <c r="O2017" s="812" t="s">
        <v>10405</v>
      </c>
      <c r="P2017" s="1638"/>
      <c r="Q2017" s="812" t="s">
        <v>10405</v>
      </c>
      <c r="V2017" s="984">
        <f>SUM(S2016:U2016)</f>
        <v>4800</v>
      </c>
      <c r="W2017" s="815">
        <v>0</v>
      </c>
      <c r="X2017" s="811" t="str">
        <f t="shared" si="156"/>
        <v>Pensioner/ Support from children</v>
      </c>
      <c r="AB2017" s="985">
        <f>SUM(Y2017:AA2017)</f>
        <v>0</v>
      </c>
      <c r="AD2017" s="817" t="s">
        <v>10644</v>
      </c>
      <c r="AG2017" s="807" t="str">
        <f t="shared" si="158"/>
        <v/>
      </c>
      <c r="AJ2017" s="865"/>
    </row>
    <row r="2018" spans="1:42" ht="15">
      <c r="D2018" s="410"/>
      <c r="E2018" s="1045"/>
      <c r="F2018" s="1048"/>
      <c r="H2018" s="809" t="s">
        <v>3189</v>
      </c>
      <c r="I2018" s="92">
        <v>77</v>
      </c>
      <c r="J2018" s="92" t="s">
        <v>18</v>
      </c>
      <c r="K2018" s="92" t="s">
        <v>768</v>
      </c>
      <c r="L2018" s="810">
        <v>5</v>
      </c>
      <c r="M2018" s="811" t="str">
        <f t="shared" si="159"/>
        <v>High School Graduate</v>
      </c>
      <c r="P2018" s="1638"/>
      <c r="X2018" s="811" t="str">
        <f t="shared" si="156"/>
        <v/>
      </c>
      <c r="AB2018" s="940"/>
      <c r="AD2018" s="817" t="s">
        <v>10646</v>
      </c>
      <c r="AE2018" s="93" t="s">
        <v>10647</v>
      </c>
      <c r="AG2018" s="807" t="str">
        <f t="shared" si="158"/>
        <v/>
      </c>
      <c r="AJ2018" s="865"/>
      <c r="AN2018" s="18"/>
      <c r="AO2018" s="817" t="s">
        <v>10648</v>
      </c>
      <c r="AP2018" s="820">
        <v>1500</v>
      </c>
    </row>
    <row r="2019" spans="1:42" ht="15">
      <c r="A2019" s="19" t="s">
        <v>7421</v>
      </c>
      <c r="B2019" s="292" t="s">
        <v>7447</v>
      </c>
      <c r="C2019" s="149" t="s">
        <v>4859</v>
      </c>
      <c r="D2019" s="410" t="s">
        <v>10641</v>
      </c>
      <c r="E2019" s="807"/>
      <c r="F2019" s="807"/>
      <c r="G2019" s="809" t="s">
        <v>3178</v>
      </c>
      <c r="H2019" s="809" t="s">
        <v>4888</v>
      </c>
      <c r="I2019" s="92">
        <v>72</v>
      </c>
      <c r="J2019" s="92" t="s">
        <v>10</v>
      </c>
      <c r="K2019" s="92" t="s">
        <v>707</v>
      </c>
      <c r="L2019" s="810">
        <v>4</v>
      </c>
      <c r="M2019" s="811" t="str">
        <f t="shared" si="159"/>
        <v>High School Level</v>
      </c>
      <c r="P2019" s="1638"/>
      <c r="S2019" s="813">
        <v>20000</v>
      </c>
      <c r="X2019" s="811" t="str">
        <f t="shared" si="156"/>
        <v/>
      </c>
      <c r="AB2019" s="940"/>
      <c r="AD2019" s="817" t="s">
        <v>10650</v>
      </c>
      <c r="AG2019" s="807" t="str">
        <f t="shared" si="158"/>
        <v/>
      </c>
      <c r="AJ2019" s="865"/>
    </row>
    <row r="2020" spans="1:42" ht="15">
      <c r="A2020" s="807"/>
      <c r="C2020" s="807"/>
      <c r="D2020" s="1074" t="s">
        <v>10643</v>
      </c>
      <c r="E2020" s="807"/>
      <c r="F2020" s="807"/>
      <c r="G2020" s="846" t="s">
        <v>3178</v>
      </c>
      <c r="H2020" s="809" t="s">
        <v>10649</v>
      </c>
      <c r="I2020" s="92">
        <v>63</v>
      </c>
      <c r="J2020" s="92" t="s">
        <v>18</v>
      </c>
      <c r="K2020" s="92" t="s">
        <v>707</v>
      </c>
      <c r="L2020" s="810">
        <v>7</v>
      </c>
      <c r="M2020" s="811" t="str">
        <f t="shared" si="159"/>
        <v>College Graduate or Higher</v>
      </c>
      <c r="N2020" s="92" t="s">
        <v>1208</v>
      </c>
      <c r="O2020" s="812" t="s">
        <v>10652</v>
      </c>
      <c r="P2020" s="1638"/>
      <c r="Q2020" s="812" t="s">
        <v>10652</v>
      </c>
      <c r="S2020" s="813">
        <v>25000</v>
      </c>
      <c r="W2020" s="815">
        <v>2</v>
      </c>
      <c r="X2020" s="811" t="str">
        <f t="shared" si="156"/>
        <v>within the Municipality/City</v>
      </c>
      <c r="Y2020" s="816">
        <v>200</v>
      </c>
      <c r="AB2020" s="940"/>
      <c r="AG2020" s="807" t="str">
        <f t="shared" si="158"/>
        <v/>
      </c>
      <c r="AJ2020" s="865"/>
    </row>
    <row r="2021" spans="1:42" ht="15">
      <c r="A2021" s="807"/>
      <c r="C2021" s="807"/>
      <c r="D2021" s="410" t="s">
        <v>10645</v>
      </c>
      <c r="E2021" s="1046"/>
      <c r="F2021" s="1046"/>
      <c r="G2021" s="846" t="s">
        <v>3190</v>
      </c>
      <c r="H2021" s="809" t="s">
        <v>10651</v>
      </c>
      <c r="I2021" s="92">
        <v>44</v>
      </c>
      <c r="J2021" s="92" t="s">
        <v>18</v>
      </c>
      <c r="K2021" s="92" t="s">
        <v>707</v>
      </c>
      <c r="L2021" s="810">
        <v>6</v>
      </c>
      <c r="M2021" s="811" t="str">
        <f t="shared" si="159"/>
        <v>College Level</v>
      </c>
      <c r="N2021" s="92" t="s">
        <v>1208</v>
      </c>
      <c r="O2021" s="812" t="s">
        <v>4889</v>
      </c>
      <c r="P2021" s="1638"/>
      <c r="Q2021" s="812" t="s">
        <v>4889</v>
      </c>
      <c r="S2021" s="813">
        <v>15000</v>
      </c>
      <c r="W2021" s="815">
        <v>3</v>
      </c>
      <c r="X2021" s="811" t="str">
        <f t="shared" si="156"/>
        <v>within the Province</v>
      </c>
      <c r="Y2021" s="816">
        <v>200</v>
      </c>
      <c r="AB2021" s="940"/>
      <c r="AG2021" s="807" t="str">
        <f t="shared" si="158"/>
        <v/>
      </c>
      <c r="AJ2021" s="865"/>
    </row>
    <row r="2022" spans="1:42" ht="15">
      <c r="C2022" s="807"/>
      <c r="D2022" s="1074"/>
      <c r="G2022" s="827"/>
      <c r="H2022" s="809" t="s">
        <v>10653</v>
      </c>
      <c r="I2022" s="92">
        <v>43</v>
      </c>
      <c r="J2022" s="92" t="s">
        <v>10</v>
      </c>
      <c r="K2022" s="92" t="s">
        <v>707</v>
      </c>
      <c r="L2022" s="810">
        <v>6</v>
      </c>
      <c r="M2022" s="811" t="str">
        <f t="shared" si="159"/>
        <v>College Level</v>
      </c>
      <c r="N2022" s="92" t="s">
        <v>1208</v>
      </c>
      <c r="O2022" s="812" t="s">
        <v>2225</v>
      </c>
      <c r="P2022" s="1638"/>
      <c r="Q2022" s="812" t="s">
        <v>2225</v>
      </c>
      <c r="W2022" s="815">
        <v>3</v>
      </c>
      <c r="X2022" s="811" t="str">
        <f t="shared" si="156"/>
        <v>within the Province</v>
      </c>
      <c r="Y2022" s="816">
        <v>200</v>
      </c>
      <c r="AB2022" s="940"/>
      <c r="AG2022" s="807" t="str">
        <f t="shared" si="158"/>
        <v/>
      </c>
      <c r="AJ2022" s="865"/>
    </row>
    <row r="2023" spans="1:42" ht="15">
      <c r="D2023" s="1074"/>
      <c r="G2023" s="827"/>
      <c r="H2023" s="809" t="s">
        <v>10654</v>
      </c>
      <c r="I2023" s="92">
        <v>40</v>
      </c>
      <c r="J2023" s="92" t="s">
        <v>10</v>
      </c>
      <c r="K2023" s="92" t="s">
        <v>707</v>
      </c>
      <c r="L2023" s="810">
        <v>5</v>
      </c>
      <c r="M2023" s="811" t="str">
        <f t="shared" si="159"/>
        <v>High School Graduate</v>
      </c>
      <c r="P2023" s="1638"/>
      <c r="X2023" s="811" t="str">
        <f t="shared" si="156"/>
        <v/>
      </c>
      <c r="AB2023" s="940"/>
      <c r="AG2023" s="807" t="str">
        <f t="shared" si="158"/>
        <v/>
      </c>
      <c r="AJ2023" s="865"/>
    </row>
    <row r="2024" spans="1:42" ht="15">
      <c r="D2024" s="1074"/>
      <c r="G2024" s="827"/>
      <c r="H2024" s="809" t="s">
        <v>10655</v>
      </c>
      <c r="I2024" s="92">
        <v>25</v>
      </c>
      <c r="J2024" s="92" t="s">
        <v>18</v>
      </c>
      <c r="K2024" s="92" t="s">
        <v>768</v>
      </c>
      <c r="L2024" s="810">
        <v>7</v>
      </c>
      <c r="M2024" s="811" t="str">
        <f t="shared" si="159"/>
        <v>College Graduate or Higher</v>
      </c>
      <c r="P2024" s="1638"/>
      <c r="X2024" s="811" t="str">
        <f t="shared" si="156"/>
        <v/>
      </c>
      <c r="AB2024" s="940"/>
      <c r="AG2024" s="807" t="str">
        <f t="shared" si="158"/>
        <v/>
      </c>
      <c r="AJ2024" s="865"/>
    </row>
    <row r="2025" spans="1:42" ht="15">
      <c r="D2025" s="1074"/>
      <c r="G2025" s="827"/>
      <c r="H2025" s="809" t="s">
        <v>10656</v>
      </c>
      <c r="I2025" s="92">
        <v>21</v>
      </c>
      <c r="J2025" s="92" t="s">
        <v>18</v>
      </c>
      <c r="K2025" s="92" t="s">
        <v>768</v>
      </c>
      <c r="L2025" s="810">
        <v>7</v>
      </c>
      <c r="M2025" s="811" t="str">
        <f t="shared" si="159"/>
        <v>College Graduate or Higher</v>
      </c>
      <c r="P2025" s="1638"/>
      <c r="X2025" s="811" t="str">
        <f t="shared" si="156"/>
        <v/>
      </c>
      <c r="AB2025" s="940"/>
      <c r="AG2025" s="807" t="str">
        <f t="shared" si="158"/>
        <v/>
      </c>
      <c r="AJ2025" s="865"/>
    </row>
    <row r="2026" spans="1:42" ht="15">
      <c r="D2026" s="1074"/>
      <c r="G2026" s="827"/>
      <c r="H2026" s="809" t="s">
        <v>10657</v>
      </c>
      <c r="I2026" s="92">
        <v>11</v>
      </c>
      <c r="J2026" s="92" t="s">
        <v>10</v>
      </c>
      <c r="K2026" s="92" t="s">
        <v>768</v>
      </c>
      <c r="L2026" s="810">
        <v>2</v>
      </c>
      <c r="M2026" s="811" t="str">
        <f t="shared" si="159"/>
        <v>Elementary Level</v>
      </c>
      <c r="P2026" s="1638"/>
      <c r="X2026" s="811" t="str">
        <f t="shared" si="156"/>
        <v/>
      </c>
      <c r="AB2026" s="940"/>
      <c r="AG2026" s="807" t="str">
        <f t="shared" si="158"/>
        <v/>
      </c>
      <c r="AJ2026" s="865"/>
    </row>
    <row r="2027" spans="1:42" ht="15">
      <c r="D2027" s="1074"/>
      <c r="G2027" s="827"/>
      <c r="H2027" s="809" t="s">
        <v>10658</v>
      </c>
      <c r="I2027" s="92">
        <v>8</v>
      </c>
      <c r="J2027" s="92" t="s">
        <v>18</v>
      </c>
      <c r="K2027" s="92" t="s">
        <v>768</v>
      </c>
      <c r="L2027" s="810">
        <v>2</v>
      </c>
      <c r="M2027" s="811" t="str">
        <f t="shared" si="159"/>
        <v>Elementary Level</v>
      </c>
      <c r="P2027" s="1638"/>
      <c r="V2027" s="814">
        <f>SUM(S2017:U2026)</f>
        <v>60000</v>
      </c>
      <c r="X2027" s="811" t="str">
        <f t="shared" si="156"/>
        <v/>
      </c>
      <c r="AB2027" s="940">
        <f>SUM(Y2018:AA2027)</f>
        <v>600</v>
      </c>
      <c r="AG2027" s="807" t="str">
        <f t="shared" si="158"/>
        <v/>
      </c>
      <c r="AJ2027" s="865"/>
    </row>
    <row r="2028" spans="1:42" ht="15">
      <c r="D2028" s="1074"/>
      <c r="G2028" s="827"/>
      <c r="H2028" s="809" t="s">
        <v>10659</v>
      </c>
      <c r="I2028" s="92">
        <f>9/12</f>
        <v>0.75</v>
      </c>
      <c r="J2028" s="92" t="s">
        <v>18</v>
      </c>
      <c r="K2028" s="92" t="s">
        <v>768</v>
      </c>
      <c r="L2028" s="810">
        <v>10</v>
      </c>
      <c r="M2028" s="811" t="str">
        <f t="shared" si="159"/>
        <v>Not In School Age</v>
      </c>
      <c r="P2028" s="1638"/>
      <c r="T2028" s="813">
        <f>2500*30</f>
        <v>75000</v>
      </c>
      <c r="V2028" s="828"/>
      <c r="X2028" s="811" t="str">
        <f t="shared" si="156"/>
        <v/>
      </c>
      <c r="AB2028" s="953"/>
      <c r="AG2028" s="807" t="str">
        <f t="shared" si="158"/>
        <v/>
      </c>
      <c r="AJ2028" s="865"/>
    </row>
    <row r="2029" spans="1:42" ht="15">
      <c r="D2029" s="1074"/>
      <c r="G2029" s="827"/>
      <c r="H2029" s="809" t="s">
        <v>3194</v>
      </c>
      <c r="I2029" s="92">
        <v>30</v>
      </c>
      <c r="J2029" s="92" t="s">
        <v>10</v>
      </c>
      <c r="K2029" s="92" t="s">
        <v>722</v>
      </c>
      <c r="L2029" s="810">
        <v>5</v>
      </c>
      <c r="M2029" s="811" t="str">
        <f t="shared" si="159"/>
        <v>High School Graduate</v>
      </c>
      <c r="N2029" s="92" t="s">
        <v>1208</v>
      </c>
      <c r="O2029" s="812" t="s">
        <v>10662</v>
      </c>
      <c r="P2029" s="1638"/>
      <c r="Q2029" s="812" t="s">
        <v>10662</v>
      </c>
      <c r="S2029" s="813">
        <v>3400</v>
      </c>
      <c r="U2029" s="813">
        <v>12000</v>
      </c>
      <c r="V2029" s="828">
        <f>SUM(S2027:U2028)</f>
        <v>75000</v>
      </c>
      <c r="W2029" s="815">
        <v>2</v>
      </c>
      <c r="X2029" s="811" t="str">
        <f t="shared" si="156"/>
        <v>within the Municipality/City</v>
      </c>
      <c r="Z2029" s="816">
        <v>500</v>
      </c>
      <c r="AB2029" s="953">
        <f>SUM(Y2028:AA2029)</f>
        <v>500</v>
      </c>
      <c r="AG2029" s="807" t="str">
        <f t="shared" si="158"/>
        <v/>
      </c>
      <c r="AJ2029" s="865"/>
    </row>
    <row r="2030" spans="1:42" ht="15">
      <c r="D2030" s="1074"/>
      <c r="G2030" s="827"/>
      <c r="H2030" s="809" t="s">
        <v>10661</v>
      </c>
      <c r="I2030" s="92">
        <v>38</v>
      </c>
      <c r="J2030" s="92" t="s">
        <v>18</v>
      </c>
      <c r="K2030" s="92" t="s">
        <v>722</v>
      </c>
      <c r="L2030" s="810">
        <v>7</v>
      </c>
      <c r="M2030" s="811" t="str">
        <f t="shared" si="159"/>
        <v>College Graduate or Higher</v>
      </c>
      <c r="N2030" s="92" t="s">
        <v>1208</v>
      </c>
      <c r="O2030" s="812" t="s">
        <v>4896</v>
      </c>
      <c r="P2030" s="1638"/>
      <c r="Q2030" s="812" t="s">
        <v>4896</v>
      </c>
      <c r="V2030" s="961"/>
      <c r="W2030" s="815">
        <v>2</v>
      </c>
      <c r="X2030" s="811" t="str">
        <f t="shared" si="156"/>
        <v>within the Municipality/City</v>
      </c>
      <c r="Y2030" s="816">
        <f>300*26</f>
        <v>7800</v>
      </c>
      <c r="AB2030" s="962"/>
      <c r="AG2030" s="807" t="str">
        <f t="shared" si="158"/>
        <v/>
      </c>
      <c r="AJ2030" s="865"/>
    </row>
    <row r="2031" spans="1:42" ht="15">
      <c r="D2031" s="1074" t="s">
        <v>10660</v>
      </c>
      <c r="G2031" s="827"/>
      <c r="H2031" s="809" t="s">
        <v>4874</v>
      </c>
      <c r="I2031" s="92">
        <v>37</v>
      </c>
      <c r="J2031" s="92" t="s">
        <v>10</v>
      </c>
      <c r="K2031" s="92" t="s">
        <v>722</v>
      </c>
      <c r="L2031" s="810">
        <v>6</v>
      </c>
      <c r="M2031" s="811" t="str">
        <f t="shared" si="159"/>
        <v>College Level</v>
      </c>
      <c r="P2031" s="1638"/>
      <c r="S2031" s="813">
        <v>76000</v>
      </c>
      <c r="V2031" s="961"/>
      <c r="X2031" s="811" t="str">
        <f t="shared" si="156"/>
        <v/>
      </c>
      <c r="AB2031" s="962"/>
      <c r="AG2031" s="807" t="str">
        <f t="shared" si="158"/>
        <v/>
      </c>
      <c r="AJ2031" s="865"/>
    </row>
    <row r="2032" spans="1:42" ht="15">
      <c r="D2032" s="1074"/>
      <c r="G2032" s="827"/>
      <c r="H2032" s="809" t="s">
        <v>10664</v>
      </c>
      <c r="I2032" s="92">
        <v>38</v>
      </c>
      <c r="J2032" s="92" t="s">
        <v>18</v>
      </c>
      <c r="K2032" s="92" t="s">
        <v>722</v>
      </c>
      <c r="L2032" s="810">
        <v>6</v>
      </c>
      <c r="M2032" s="811" t="str">
        <f t="shared" si="159"/>
        <v>College Level</v>
      </c>
      <c r="N2032" s="92" t="s">
        <v>1208</v>
      </c>
      <c r="O2032" s="812" t="s">
        <v>2210</v>
      </c>
      <c r="P2032" s="1638"/>
      <c r="Q2032" s="812" t="s">
        <v>2210</v>
      </c>
      <c r="V2032" s="961"/>
      <c r="W2032" s="815">
        <v>5</v>
      </c>
      <c r="X2032" s="811" t="str">
        <f t="shared" si="156"/>
        <v>Overseas Worker</v>
      </c>
      <c r="AB2032" s="962"/>
      <c r="AG2032" s="807" t="str">
        <f t="shared" si="158"/>
        <v/>
      </c>
      <c r="AJ2032" s="865"/>
    </row>
    <row r="2033" spans="1:36" ht="15">
      <c r="D2033" s="410" t="s">
        <v>10663</v>
      </c>
      <c r="E2033" s="1046"/>
      <c r="F2033" s="1046"/>
      <c r="G2033" s="809" t="s">
        <v>4890</v>
      </c>
      <c r="H2033" s="809" t="s">
        <v>10665</v>
      </c>
      <c r="I2033" s="92">
        <v>54</v>
      </c>
      <c r="J2033" s="92" t="s">
        <v>18</v>
      </c>
      <c r="K2033" s="92" t="s">
        <v>707</v>
      </c>
      <c r="L2033" s="810">
        <v>7</v>
      </c>
      <c r="M2033" s="811" t="str">
        <f t="shared" si="159"/>
        <v>College Graduate or Higher</v>
      </c>
      <c r="P2033" s="1638"/>
      <c r="V2033" s="961"/>
      <c r="X2033" s="811" t="str">
        <f t="shared" si="156"/>
        <v/>
      </c>
      <c r="AB2033" s="962"/>
      <c r="AG2033" s="807" t="str">
        <f t="shared" si="158"/>
        <v/>
      </c>
      <c r="AJ2033" s="865"/>
    </row>
    <row r="2034" spans="1:36" ht="15">
      <c r="D2034" s="1074"/>
      <c r="G2034" s="827"/>
      <c r="H2034" s="809" t="s">
        <v>10666</v>
      </c>
      <c r="I2034" s="92">
        <v>19</v>
      </c>
      <c r="J2034" s="92" t="s">
        <v>18</v>
      </c>
      <c r="K2034" s="92" t="s">
        <v>768</v>
      </c>
      <c r="L2034" s="810">
        <v>6</v>
      </c>
      <c r="M2034" s="811" t="str">
        <f t="shared" si="159"/>
        <v>College Level</v>
      </c>
      <c r="P2034" s="1638"/>
      <c r="V2034" s="961"/>
      <c r="X2034" s="811" t="str">
        <f t="shared" si="156"/>
        <v/>
      </c>
      <c r="AB2034" s="962"/>
      <c r="AG2034" s="807" t="str">
        <f t="shared" si="158"/>
        <v/>
      </c>
      <c r="AJ2034" s="865"/>
    </row>
    <row r="2035" spans="1:36" ht="15">
      <c r="D2035" s="1074"/>
      <c r="G2035" s="827"/>
      <c r="H2035" s="809" t="s">
        <v>10667</v>
      </c>
      <c r="I2035" s="92">
        <v>18</v>
      </c>
      <c r="J2035" s="92" t="s">
        <v>10</v>
      </c>
      <c r="K2035" s="92" t="s">
        <v>768</v>
      </c>
      <c r="L2035" s="810">
        <v>6</v>
      </c>
      <c r="M2035" s="811" t="str">
        <f t="shared" si="159"/>
        <v>College Level</v>
      </c>
      <c r="P2035" s="1638"/>
      <c r="S2035" s="813">
        <f>1500*26</f>
        <v>39000</v>
      </c>
      <c r="V2035" s="961"/>
      <c r="X2035" s="811" t="str">
        <f t="shared" si="156"/>
        <v/>
      </c>
      <c r="AB2035" s="962"/>
      <c r="AG2035" s="807" t="str">
        <f t="shared" si="158"/>
        <v/>
      </c>
      <c r="AJ2035" s="865"/>
    </row>
    <row r="2036" spans="1:36" ht="15">
      <c r="D2036" s="1074"/>
      <c r="G2036" s="827"/>
      <c r="H2036" s="809" t="s">
        <v>10668</v>
      </c>
      <c r="I2036" s="92">
        <v>13</v>
      </c>
      <c r="J2036" s="92" t="s">
        <v>10</v>
      </c>
      <c r="K2036" s="92" t="s">
        <v>768</v>
      </c>
      <c r="L2036" s="810">
        <v>4</v>
      </c>
      <c r="M2036" s="811" t="str">
        <f t="shared" si="159"/>
        <v>High School Level</v>
      </c>
      <c r="N2036" s="92" t="s">
        <v>1208</v>
      </c>
      <c r="O2036" s="812" t="s">
        <v>2234</v>
      </c>
      <c r="P2036" s="1638"/>
      <c r="Q2036" s="812" t="s">
        <v>2234</v>
      </c>
      <c r="V2036" s="961"/>
      <c r="W2036" s="815">
        <v>1</v>
      </c>
      <c r="X2036" s="811" t="str">
        <f t="shared" si="156"/>
        <v>within the Brgy</v>
      </c>
      <c r="AB2036" s="962"/>
      <c r="AG2036" s="807" t="str">
        <f t="shared" si="158"/>
        <v/>
      </c>
      <c r="AJ2036" s="865"/>
    </row>
    <row r="2037" spans="1:36" ht="15">
      <c r="D2037" s="1074"/>
      <c r="G2037" s="827"/>
      <c r="H2037" s="809" t="s">
        <v>10669</v>
      </c>
      <c r="I2037" s="92">
        <v>12</v>
      </c>
      <c r="J2037" s="92" t="s">
        <v>10</v>
      </c>
      <c r="K2037" s="92" t="s">
        <v>768</v>
      </c>
      <c r="L2037" s="810">
        <v>4</v>
      </c>
      <c r="M2037" s="811" t="str">
        <f t="shared" si="159"/>
        <v>High School Level</v>
      </c>
      <c r="P2037" s="1638"/>
      <c r="R2037" s="92" t="s">
        <v>8234</v>
      </c>
      <c r="S2037" s="813">
        <v>675</v>
      </c>
      <c r="V2037" s="961">
        <f>SUM(S2029:U2036)</f>
        <v>130400</v>
      </c>
      <c r="X2037" s="811" t="str">
        <f t="shared" si="156"/>
        <v/>
      </c>
      <c r="AB2037" s="962">
        <f>SUM(Y2030:AA2037)</f>
        <v>7800</v>
      </c>
      <c r="AG2037" s="807" t="str">
        <f t="shared" si="158"/>
        <v/>
      </c>
      <c r="AJ2037" s="865"/>
    </row>
    <row r="2038" spans="1:36" ht="15">
      <c r="D2038" s="1074"/>
      <c r="G2038" s="827"/>
      <c r="H2038" s="809" t="s">
        <v>10670</v>
      </c>
      <c r="I2038" s="92">
        <v>35</v>
      </c>
      <c r="J2038" s="92" t="s">
        <v>10</v>
      </c>
      <c r="K2038" s="92" t="s">
        <v>722</v>
      </c>
      <c r="L2038" s="810">
        <v>5</v>
      </c>
      <c r="M2038" s="811" t="str">
        <f t="shared" si="159"/>
        <v>High School Graduate</v>
      </c>
      <c r="N2038" s="92" t="s">
        <v>1208</v>
      </c>
      <c r="O2038" s="812" t="s">
        <v>4603</v>
      </c>
      <c r="P2038" s="1638" t="s">
        <v>12621</v>
      </c>
      <c r="Q2038" s="812" t="s">
        <v>4603</v>
      </c>
      <c r="W2038" s="815">
        <v>1</v>
      </c>
      <c r="X2038" s="811" t="str">
        <f t="shared" si="156"/>
        <v>within the Brgy</v>
      </c>
      <c r="AB2038" s="940"/>
      <c r="AE2038" s="93" t="s">
        <v>10672</v>
      </c>
      <c r="AF2038" s="818">
        <v>3</v>
      </c>
      <c r="AG2038" s="807" t="str">
        <f t="shared" si="158"/>
        <v>Special Medical Care</v>
      </c>
      <c r="AJ2038" s="865"/>
    </row>
    <row r="2039" spans="1:36" ht="15">
      <c r="D2039" s="1074"/>
      <c r="G2039" s="827"/>
      <c r="H2039" s="809" t="s">
        <v>4904</v>
      </c>
      <c r="I2039" s="92">
        <v>54</v>
      </c>
      <c r="J2039" s="92" t="s">
        <v>18</v>
      </c>
      <c r="K2039" s="92" t="s">
        <v>707</v>
      </c>
      <c r="L2039" s="810">
        <v>3</v>
      </c>
      <c r="M2039" s="811" t="str">
        <f t="shared" si="159"/>
        <v>Elementary Graduate</v>
      </c>
      <c r="P2039" s="1638"/>
      <c r="X2039" s="811" t="str">
        <f t="shared" si="156"/>
        <v/>
      </c>
      <c r="AB2039" s="940"/>
      <c r="AG2039" s="807" t="str">
        <f t="shared" si="158"/>
        <v/>
      </c>
      <c r="AJ2039" s="865"/>
    </row>
    <row r="2040" spans="1:36" ht="15">
      <c r="D2040" s="1074"/>
      <c r="G2040" s="827"/>
      <c r="H2040" s="809" t="s">
        <v>10673</v>
      </c>
      <c r="I2040" s="92">
        <v>36</v>
      </c>
      <c r="J2040" s="92" t="s">
        <v>18</v>
      </c>
      <c r="K2040" s="92" t="s">
        <v>768</v>
      </c>
      <c r="L2040" s="810">
        <v>4</v>
      </c>
      <c r="M2040" s="811" t="str">
        <f t="shared" si="159"/>
        <v>High School Level</v>
      </c>
      <c r="P2040" s="1638"/>
      <c r="X2040" s="811" t="str">
        <f t="shared" si="156"/>
        <v/>
      </c>
      <c r="AB2040" s="940"/>
      <c r="AG2040" s="807" t="str">
        <f t="shared" si="158"/>
        <v/>
      </c>
      <c r="AJ2040" s="865"/>
    </row>
    <row r="2041" spans="1:36" ht="15">
      <c r="A2041" s="19" t="s">
        <v>7421</v>
      </c>
      <c r="B2041" s="292" t="s">
        <v>7453</v>
      </c>
      <c r="C2041" s="149" t="s">
        <v>4897</v>
      </c>
      <c r="D2041" s="1074" t="s">
        <v>10671</v>
      </c>
      <c r="E2041" s="1045" t="s">
        <v>4897</v>
      </c>
      <c r="F2041" s="1048" t="s">
        <v>4904</v>
      </c>
      <c r="G2041" s="809" t="s">
        <v>4897</v>
      </c>
      <c r="H2041" s="809" t="s">
        <v>10674</v>
      </c>
      <c r="I2041" s="92">
        <v>8</v>
      </c>
      <c r="J2041" s="92" t="s">
        <v>10</v>
      </c>
      <c r="K2041" s="92" t="s">
        <v>768</v>
      </c>
      <c r="L2041" s="810">
        <v>2</v>
      </c>
      <c r="M2041" s="811" t="str">
        <f t="shared" si="159"/>
        <v>Elementary Level</v>
      </c>
      <c r="P2041" s="1638"/>
      <c r="X2041" s="811" t="str">
        <f t="shared" si="156"/>
        <v/>
      </c>
      <c r="AB2041" s="940"/>
      <c r="AG2041" s="807" t="str">
        <f t="shared" si="158"/>
        <v/>
      </c>
      <c r="AJ2041" s="865"/>
    </row>
    <row r="2042" spans="1:36" ht="15">
      <c r="A2042" s="19" t="s">
        <v>7421</v>
      </c>
      <c r="D2042" s="1074" t="s">
        <v>10671</v>
      </c>
      <c r="E2042" s="1045" t="s">
        <v>4897</v>
      </c>
      <c r="F2042" s="807"/>
      <c r="G2042" s="827"/>
      <c r="H2042" s="809" t="s">
        <v>10675</v>
      </c>
      <c r="I2042" s="92">
        <v>3</v>
      </c>
      <c r="J2042" s="92" t="s">
        <v>10</v>
      </c>
      <c r="K2042" s="92" t="s">
        <v>768</v>
      </c>
      <c r="L2042" s="810">
        <v>10</v>
      </c>
      <c r="M2042" s="811" t="str">
        <f t="shared" si="159"/>
        <v>Not In School Age</v>
      </c>
      <c r="P2042" s="1638"/>
      <c r="R2042" s="812" t="s">
        <v>8285</v>
      </c>
      <c r="S2042" s="813">
        <f>480*26</f>
        <v>12480</v>
      </c>
      <c r="X2042" s="811" t="str">
        <f t="shared" si="156"/>
        <v/>
      </c>
      <c r="AB2042" s="940"/>
      <c r="AG2042" s="807" t="str">
        <f t="shared" si="158"/>
        <v/>
      </c>
      <c r="AJ2042" s="865"/>
    </row>
    <row r="2043" spans="1:36" ht="15">
      <c r="A2043" s="19" t="s">
        <v>7421</v>
      </c>
      <c r="D2043" s="1074" t="s">
        <v>10671</v>
      </c>
      <c r="E2043" s="1045" t="s">
        <v>4897</v>
      </c>
      <c r="G2043" s="827"/>
      <c r="H2043" s="809" t="s">
        <v>10676</v>
      </c>
      <c r="I2043" s="930">
        <f>5/12</f>
        <v>0.41666666666666669</v>
      </c>
      <c r="J2043" s="92" t="s">
        <v>10</v>
      </c>
      <c r="K2043" s="92" t="s">
        <v>768</v>
      </c>
      <c r="L2043" s="810">
        <v>10</v>
      </c>
      <c r="M2043" s="811" t="str">
        <f t="shared" si="159"/>
        <v>Not In School Age</v>
      </c>
      <c r="N2043" s="92" t="s">
        <v>1208</v>
      </c>
      <c r="O2043" s="812" t="s">
        <v>10678</v>
      </c>
      <c r="P2043" s="1638"/>
      <c r="Q2043" s="812" t="s">
        <v>10678</v>
      </c>
      <c r="W2043" s="815">
        <v>2</v>
      </c>
      <c r="X2043" s="811" t="str">
        <f t="shared" si="156"/>
        <v>within the Municipality/City</v>
      </c>
      <c r="Y2043" s="816">
        <f>14*26</f>
        <v>364</v>
      </c>
      <c r="AB2043" s="940"/>
      <c r="AG2043" s="807" t="str">
        <f t="shared" si="158"/>
        <v/>
      </c>
      <c r="AJ2043" s="865"/>
    </row>
    <row r="2044" spans="1:36" ht="15">
      <c r="A2044" s="19" t="s">
        <v>7421</v>
      </c>
      <c r="D2044" s="1074" t="s">
        <v>10671</v>
      </c>
      <c r="E2044" s="1045" t="s">
        <v>4897</v>
      </c>
      <c r="G2044" s="827"/>
      <c r="H2044" s="809" t="s">
        <v>10677</v>
      </c>
      <c r="I2044" s="92">
        <v>19</v>
      </c>
      <c r="J2044" s="92" t="s">
        <v>10</v>
      </c>
      <c r="K2044" s="92" t="s">
        <v>768</v>
      </c>
      <c r="L2044" s="810">
        <v>9</v>
      </c>
      <c r="M2044" s="811" t="str">
        <f t="shared" si="159"/>
        <v>Vocational Graduate</v>
      </c>
      <c r="P2044" s="1638"/>
      <c r="R2044" s="92"/>
      <c r="V2044" s="814">
        <f>SUM(S2037:U2043)</f>
        <v>13155</v>
      </c>
      <c r="X2044" s="811" t="str">
        <f t="shared" si="156"/>
        <v/>
      </c>
      <c r="AB2044" s="940">
        <f>SUM(Y2038:AA2044)</f>
        <v>364</v>
      </c>
      <c r="AG2044" s="807" t="str">
        <f t="shared" si="158"/>
        <v/>
      </c>
      <c r="AJ2044" s="865"/>
    </row>
    <row r="2045" spans="1:36" ht="15">
      <c r="A2045" s="19" t="s">
        <v>7421</v>
      </c>
      <c r="D2045" s="1074" t="s">
        <v>10671</v>
      </c>
      <c r="E2045" s="1045" t="s">
        <v>4897</v>
      </c>
      <c r="G2045" s="827"/>
      <c r="H2045" s="809" t="s">
        <v>10679</v>
      </c>
      <c r="I2045" s="92">
        <v>32</v>
      </c>
      <c r="J2045" s="92" t="s">
        <v>18</v>
      </c>
      <c r="K2045" s="92" t="s">
        <v>707</v>
      </c>
      <c r="L2045" s="810">
        <v>9</v>
      </c>
      <c r="M2045" s="811" t="str">
        <f t="shared" si="159"/>
        <v>Vocational Graduate</v>
      </c>
      <c r="P2045" s="1638"/>
      <c r="V2045" s="828"/>
      <c r="X2045" s="811" t="str">
        <f t="shared" si="156"/>
        <v/>
      </c>
      <c r="AB2045" s="940"/>
      <c r="AD2045" s="817" t="s">
        <v>10681</v>
      </c>
      <c r="AE2045" s="92"/>
      <c r="AF2045" s="810"/>
      <c r="AG2045" s="807" t="str">
        <f t="shared" si="158"/>
        <v/>
      </c>
      <c r="AJ2045" s="865"/>
    </row>
    <row r="2046" spans="1:36" ht="15">
      <c r="A2046" s="19" t="s">
        <v>7421</v>
      </c>
      <c r="D2046" s="1074" t="s">
        <v>10671</v>
      </c>
      <c r="E2046" s="1045" t="s">
        <v>4897</v>
      </c>
      <c r="G2046" s="827"/>
      <c r="H2046" s="809" t="s">
        <v>4911</v>
      </c>
      <c r="I2046" s="92">
        <v>65</v>
      </c>
      <c r="J2046" s="92" t="s">
        <v>10</v>
      </c>
      <c r="K2046" s="92" t="s">
        <v>707</v>
      </c>
      <c r="L2046" s="810">
        <v>6</v>
      </c>
      <c r="M2046" s="811" t="str">
        <f t="shared" si="159"/>
        <v>College Level</v>
      </c>
      <c r="P2046" s="1638"/>
      <c r="V2046" s="828"/>
      <c r="X2046" s="811" t="str">
        <f t="shared" si="156"/>
        <v/>
      </c>
      <c r="AB2046" s="940"/>
      <c r="AD2046" s="817" t="s">
        <v>10683</v>
      </c>
      <c r="AE2046" s="92"/>
      <c r="AF2046" s="810"/>
      <c r="AG2046" s="807" t="str">
        <f t="shared" si="158"/>
        <v/>
      </c>
      <c r="AJ2046" s="865"/>
    </row>
    <row r="2047" spans="1:36" ht="15">
      <c r="A2047" s="19" t="s">
        <v>7421</v>
      </c>
      <c r="D2047" s="1074" t="s">
        <v>10671</v>
      </c>
      <c r="E2047" s="1045" t="s">
        <v>4897</v>
      </c>
      <c r="G2047" s="827"/>
      <c r="H2047" s="809" t="s">
        <v>10682</v>
      </c>
      <c r="I2047" s="92">
        <v>63</v>
      </c>
      <c r="J2047" s="92" t="s">
        <v>18</v>
      </c>
      <c r="K2047" s="92" t="s">
        <v>707</v>
      </c>
      <c r="L2047" s="810">
        <v>9</v>
      </c>
      <c r="M2047" s="811" t="str">
        <f t="shared" si="159"/>
        <v>Vocational Graduate</v>
      </c>
      <c r="P2047" s="1638"/>
      <c r="R2047" s="812" t="s">
        <v>8285</v>
      </c>
      <c r="S2047" s="940"/>
      <c r="V2047" s="828"/>
      <c r="X2047" s="811" t="str">
        <f t="shared" si="156"/>
        <v/>
      </c>
      <c r="AB2047" s="940"/>
      <c r="AG2047" s="807" t="str">
        <f t="shared" si="158"/>
        <v/>
      </c>
      <c r="AJ2047" s="865"/>
    </row>
    <row r="2048" spans="1:36" ht="15">
      <c r="A2048" s="19" t="s">
        <v>7421</v>
      </c>
      <c r="B2048" s="292" t="s">
        <v>8055</v>
      </c>
      <c r="C2048" s="149" t="s">
        <v>4905</v>
      </c>
      <c r="D2048" s="410" t="s">
        <v>10680</v>
      </c>
      <c r="E2048" s="1045" t="s">
        <v>4905</v>
      </c>
      <c r="F2048" s="1048" t="s">
        <v>4911</v>
      </c>
      <c r="G2048" s="846" t="s">
        <v>4905</v>
      </c>
      <c r="H2048" s="809" t="s">
        <v>10684</v>
      </c>
      <c r="I2048" s="92">
        <v>41</v>
      </c>
      <c r="J2048" s="92" t="s">
        <v>18</v>
      </c>
      <c r="K2048" s="92" t="s">
        <v>707</v>
      </c>
      <c r="L2048" s="810">
        <v>6</v>
      </c>
      <c r="M2048" s="811" t="str">
        <f t="shared" si="159"/>
        <v>College Level</v>
      </c>
      <c r="N2048" s="92" t="s">
        <v>1208</v>
      </c>
      <c r="O2048" s="812" t="s">
        <v>4912</v>
      </c>
      <c r="P2048" s="1638"/>
      <c r="Q2048" s="812" t="s">
        <v>4912</v>
      </c>
      <c r="R2048" s="932"/>
      <c r="S2048" s="813">
        <v>16000</v>
      </c>
      <c r="V2048" s="828"/>
      <c r="W2048" s="926"/>
      <c r="X2048" s="811" t="str">
        <f t="shared" si="156"/>
        <v/>
      </c>
      <c r="AB2048" s="940"/>
      <c r="AG2048" s="807" t="str">
        <f t="shared" si="158"/>
        <v/>
      </c>
      <c r="AJ2048" s="865"/>
    </row>
    <row r="2049" spans="1:36" ht="15">
      <c r="A2049" s="19" t="s">
        <v>7421</v>
      </c>
      <c r="D2049" s="410" t="s">
        <v>10680</v>
      </c>
      <c r="E2049" s="1045" t="s">
        <v>4905</v>
      </c>
      <c r="G2049" s="827"/>
      <c r="H2049" s="809" t="s">
        <v>10685</v>
      </c>
      <c r="I2049" s="92">
        <v>25</v>
      </c>
      <c r="J2049" s="92" t="s">
        <v>18</v>
      </c>
      <c r="K2049" s="92" t="s">
        <v>768</v>
      </c>
      <c r="L2049" s="810">
        <v>7</v>
      </c>
      <c r="M2049" s="811" t="str">
        <f t="shared" si="159"/>
        <v>College Graduate or Higher</v>
      </c>
      <c r="N2049" s="92" t="s">
        <v>1208</v>
      </c>
      <c r="P2049" s="1638"/>
      <c r="V2049" s="828"/>
      <c r="W2049" s="815">
        <v>3</v>
      </c>
      <c r="X2049" s="811" t="str">
        <f t="shared" si="156"/>
        <v>within the Province</v>
      </c>
      <c r="AB2049" s="940"/>
      <c r="AG2049" s="807" t="str">
        <f t="shared" si="158"/>
        <v/>
      </c>
      <c r="AJ2049" s="865"/>
    </row>
    <row r="2050" spans="1:36" ht="15">
      <c r="A2050" s="19" t="s">
        <v>7421</v>
      </c>
      <c r="D2050" s="410" t="s">
        <v>10680</v>
      </c>
      <c r="E2050" s="1045" t="s">
        <v>4905</v>
      </c>
      <c r="G2050" s="827"/>
      <c r="H2050" s="809" t="s">
        <v>10686</v>
      </c>
      <c r="I2050" s="92">
        <v>24</v>
      </c>
      <c r="J2050" s="92" t="s">
        <v>18</v>
      </c>
      <c r="K2050" s="92" t="s">
        <v>768</v>
      </c>
      <c r="L2050" s="810">
        <v>7</v>
      </c>
      <c r="M2050" s="811" t="str">
        <f t="shared" si="159"/>
        <v>College Graduate or Higher</v>
      </c>
      <c r="P2050" s="1638"/>
      <c r="R2050" s="92"/>
      <c r="V2050" s="828">
        <f>SUM(S2044:U2049)</f>
        <v>16000</v>
      </c>
      <c r="X2050" s="811" t="str">
        <f t="shared" si="156"/>
        <v/>
      </c>
      <c r="AB2050" s="940"/>
      <c r="AG2050" s="807" t="str">
        <f t="shared" si="158"/>
        <v/>
      </c>
      <c r="AJ2050" s="865"/>
    </row>
    <row r="2051" spans="1:36" ht="15">
      <c r="A2051" s="19" t="s">
        <v>7421</v>
      </c>
      <c r="D2051" s="410" t="s">
        <v>10680</v>
      </c>
      <c r="E2051" s="1045" t="s">
        <v>4905</v>
      </c>
      <c r="G2051" s="827"/>
      <c r="H2051" s="809" t="s">
        <v>10687</v>
      </c>
      <c r="I2051" s="92">
        <v>19</v>
      </c>
      <c r="J2051" s="92" t="s">
        <v>10</v>
      </c>
      <c r="K2051" s="92" t="s">
        <v>768</v>
      </c>
      <c r="L2051" s="810">
        <v>6</v>
      </c>
      <c r="M2051" s="811" t="str">
        <f t="shared" si="159"/>
        <v>College Level</v>
      </c>
      <c r="P2051" s="1638"/>
      <c r="R2051" s="812" t="s">
        <v>8285</v>
      </c>
      <c r="S2051" s="813">
        <v>15000</v>
      </c>
      <c r="V2051" s="961"/>
      <c r="X2051" s="811" t="str">
        <f t="shared" si="156"/>
        <v/>
      </c>
      <c r="AB2051" s="962"/>
      <c r="AD2051" s="817" t="s">
        <v>10689</v>
      </c>
      <c r="AE2051" s="93" t="s">
        <v>10690</v>
      </c>
      <c r="AF2051" s="818">
        <v>3</v>
      </c>
      <c r="AG2051" s="807" t="str">
        <f t="shared" si="158"/>
        <v>Special Medical Care</v>
      </c>
      <c r="AJ2051" s="865"/>
    </row>
    <row r="2052" spans="1:36" ht="15">
      <c r="A2052" s="19" t="s">
        <v>7421</v>
      </c>
      <c r="D2052" s="410" t="s">
        <v>10680</v>
      </c>
      <c r="E2052" s="1045" t="s">
        <v>4905</v>
      </c>
      <c r="G2052" s="827"/>
      <c r="H2052" s="809" t="s">
        <v>4924</v>
      </c>
      <c r="I2052" s="92">
        <v>65</v>
      </c>
      <c r="J2052" s="92" t="s">
        <v>18</v>
      </c>
      <c r="K2052" s="92" t="s">
        <v>719</v>
      </c>
      <c r="L2052" s="810">
        <v>3</v>
      </c>
      <c r="M2052" s="811" t="str">
        <f t="shared" si="159"/>
        <v>Elementary Graduate</v>
      </c>
      <c r="N2052" s="92" t="s">
        <v>1208</v>
      </c>
      <c r="O2052" s="812" t="s">
        <v>4925</v>
      </c>
      <c r="P2052" s="1638"/>
      <c r="Q2052" s="812" t="s">
        <v>4925</v>
      </c>
      <c r="V2052" s="961"/>
      <c r="W2052" s="815">
        <v>3</v>
      </c>
      <c r="X2052" s="811" t="str">
        <f t="shared" si="156"/>
        <v>within the Province</v>
      </c>
      <c r="Y2052" s="816">
        <v>200</v>
      </c>
      <c r="AB2052" s="962"/>
      <c r="AG2052" s="807" t="str">
        <f t="shared" si="158"/>
        <v/>
      </c>
      <c r="AJ2052" s="865"/>
    </row>
    <row r="2053" spans="1:36" ht="15">
      <c r="A2053" s="19" t="s">
        <v>7421</v>
      </c>
      <c r="D2053" s="410" t="s">
        <v>10680</v>
      </c>
      <c r="E2053" s="1045" t="s">
        <v>4905</v>
      </c>
      <c r="G2053" s="827"/>
      <c r="H2053" s="809" t="s">
        <v>10691</v>
      </c>
      <c r="I2053" s="92">
        <v>23</v>
      </c>
      <c r="J2053" s="92" t="s">
        <v>18</v>
      </c>
      <c r="K2053" s="92" t="s">
        <v>768</v>
      </c>
      <c r="L2053" s="810">
        <v>7</v>
      </c>
      <c r="M2053" s="811" t="str">
        <f t="shared" si="159"/>
        <v>College Graduate or Higher</v>
      </c>
      <c r="P2053" s="1638"/>
      <c r="V2053" s="961"/>
      <c r="X2053" s="811" t="str">
        <f t="shared" ref="X2053:X2116" si="160">IF(ISBLANK(W2053)=TRUE,"",LOOKUP(W2053,GO:GP))</f>
        <v/>
      </c>
      <c r="AB2053" s="962"/>
      <c r="AG2053" s="807" t="str">
        <f t="shared" si="158"/>
        <v/>
      </c>
      <c r="AJ2053" s="865"/>
    </row>
    <row r="2054" spans="1:36" ht="15">
      <c r="A2054" s="19" t="s">
        <v>7421</v>
      </c>
      <c r="B2054" s="292" t="s">
        <v>8056</v>
      </c>
      <c r="C2054" s="149" t="s">
        <v>4913</v>
      </c>
      <c r="D2054" s="410" t="s">
        <v>10688</v>
      </c>
      <c r="E2054" s="1045" t="s">
        <v>4913</v>
      </c>
      <c r="F2054" s="1048" t="s">
        <v>4924</v>
      </c>
      <c r="G2054" s="846" t="s">
        <v>4913</v>
      </c>
      <c r="H2054" s="809" t="s">
        <v>10692</v>
      </c>
      <c r="I2054" s="92">
        <v>21</v>
      </c>
      <c r="J2054" s="92" t="s">
        <v>10</v>
      </c>
      <c r="K2054" s="92" t="s">
        <v>722</v>
      </c>
      <c r="L2054" s="810">
        <v>5</v>
      </c>
      <c r="M2054" s="811" t="str">
        <f t="shared" si="159"/>
        <v>High School Graduate</v>
      </c>
      <c r="P2054" s="1638"/>
      <c r="R2054" s="92"/>
      <c r="V2054" s="961">
        <f>SUM(S2050:U2053)</f>
        <v>15000</v>
      </c>
      <c r="X2054" s="811" t="str">
        <f t="shared" si="160"/>
        <v/>
      </c>
      <c r="AB2054" s="962">
        <f>SUM(Y2051:AA2054)</f>
        <v>200</v>
      </c>
      <c r="AG2054" s="807" t="str">
        <f t="shared" si="158"/>
        <v/>
      </c>
      <c r="AJ2054" s="865"/>
    </row>
    <row r="2055" spans="1:36" ht="15">
      <c r="A2055" s="19" t="s">
        <v>7421</v>
      </c>
      <c r="C2055" s="807"/>
      <c r="D2055" s="410" t="s">
        <v>10688</v>
      </c>
      <c r="E2055" s="1045" t="s">
        <v>4913</v>
      </c>
      <c r="F2055" s="807"/>
      <c r="G2055" s="827"/>
      <c r="H2055" s="809" t="s">
        <v>10693</v>
      </c>
      <c r="I2055" s="92">
        <v>2</v>
      </c>
      <c r="J2055" s="92" t="s">
        <v>18</v>
      </c>
      <c r="K2055" s="92" t="s">
        <v>768</v>
      </c>
      <c r="L2055" s="810">
        <v>10</v>
      </c>
      <c r="M2055" s="811" t="str">
        <f t="shared" si="159"/>
        <v>Not In School Age</v>
      </c>
      <c r="P2055" s="1638"/>
      <c r="R2055" s="812" t="s">
        <v>8285</v>
      </c>
      <c r="S2055" s="813">
        <v>12000</v>
      </c>
      <c r="X2055" s="811" t="str">
        <f t="shared" si="160"/>
        <v/>
      </c>
      <c r="AB2055" s="940"/>
      <c r="AD2055" s="817" t="s">
        <v>10695</v>
      </c>
      <c r="AE2055" s="92"/>
      <c r="AF2055" s="810"/>
      <c r="AG2055" s="807" t="str">
        <f t="shared" si="158"/>
        <v/>
      </c>
      <c r="AJ2055" s="865"/>
    </row>
    <row r="2056" spans="1:36" ht="15">
      <c r="A2056" s="19" t="s">
        <v>7421</v>
      </c>
      <c r="C2056" s="807"/>
      <c r="D2056" s="410" t="s">
        <v>10688</v>
      </c>
      <c r="E2056" s="1045" t="s">
        <v>4913</v>
      </c>
      <c r="F2056" s="807"/>
      <c r="G2056" s="827"/>
      <c r="H2056" s="809" t="s">
        <v>4934</v>
      </c>
      <c r="I2056" s="92">
        <v>66</v>
      </c>
      <c r="J2056" s="92" t="s">
        <v>10</v>
      </c>
      <c r="K2056" s="92" t="s">
        <v>707</v>
      </c>
      <c r="L2056" s="810">
        <v>5</v>
      </c>
      <c r="M2056" s="811" t="str">
        <f t="shared" si="159"/>
        <v>High School Graduate</v>
      </c>
      <c r="N2056" s="92" t="s">
        <v>1208</v>
      </c>
      <c r="O2056" s="812" t="s">
        <v>10697</v>
      </c>
      <c r="P2056" s="1638"/>
      <c r="Q2056" s="812" t="s">
        <v>10697</v>
      </c>
      <c r="R2056" s="92" t="s">
        <v>8234</v>
      </c>
      <c r="S2056" s="813">
        <v>10000</v>
      </c>
      <c r="V2056" s="814">
        <f>SUM(S2054:U2055)</f>
        <v>12000</v>
      </c>
      <c r="W2056" s="815">
        <v>3</v>
      </c>
      <c r="X2056" s="811" t="str">
        <f t="shared" si="160"/>
        <v>within the Province</v>
      </c>
      <c r="Y2056" s="816">
        <f>400*4</f>
        <v>1600</v>
      </c>
      <c r="AB2056" s="940">
        <f>SUM(Y2055:AA2056)</f>
        <v>1600</v>
      </c>
      <c r="AD2056" s="817" t="s">
        <v>10698</v>
      </c>
      <c r="AE2056" s="92"/>
      <c r="AF2056" s="810"/>
      <c r="AG2056" s="807" t="str">
        <f t="shared" si="158"/>
        <v/>
      </c>
      <c r="AJ2056" s="865"/>
    </row>
    <row r="2057" spans="1:36" ht="15">
      <c r="A2057" s="19" t="s">
        <v>7421</v>
      </c>
      <c r="C2057" s="807"/>
      <c r="D2057" s="410" t="s">
        <v>10688</v>
      </c>
      <c r="E2057" s="1045" t="s">
        <v>4913</v>
      </c>
      <c r="F2057" s="807"/>
      <c r="G2057" s="827"/>
      <c r="H2057" s="809" t="s">
        <v>10696</v>
      </c>
      <c r="I2057" s="92">
        <v>69</v>
      </c>
      <c r="J2057" s="92" t="s">
        <v>18</v>
      </c>
      <c r="K2057" s="92" t="s">
        <v>707</v>
      </c>
      <c r="L2057" s="810">
        <v>7</v>
      </c>
      <c r="M2057" s="811" t="str">
        <f t="shared" si="159"/>
        <v>College Graduate or Higher</v>
      </c>
      <c r="N2057" s="92" t="s">
        <v>1208</v>
      </c>
      <c r="O2057" s="812" t="s">
        <v>11313</v>
      </c>
      <c r="P2057" s="1638" t="s">
        <v>12606</v>
      </c>
      <c r="Q2057" s="812" t="s">
        <v>11313</v>
      </c>
      <c r="R2057" s="812" t="s">
        <v>10434</v>
      </c>
      <c r="S2057" s="813">
        <v>6000</v>
      </c>
      <c r="V2057" s="828"/>
      <c r="W2057" s="815">
        <v>2</v>
      </c>
      <c r="X2057" s="811" t="str">
        <f t="shared" si="160"/>
        <v>within the Municipality/City</v>
      </c>
      <c r="Y2057" s="816">
        <f>200*4</f>
        <v>800</v>
      </c>
      <c r="AB2057" s="953"/>
      <c r="AE2057" s="92"/>
      <c r="AF2057" s="810"/>
      <c r="AG2057" s="807" t="str">
        <f t="shared" si="158"/>
        <v/>
      </c>
      <c r="AJ2057" s="865"/>
    </row>
    <row r="2058" spans="1:36" ht="15">
      <c r="A2058" s="19" t="s">
        <v>7421</v>
      </c>
      <c r="B2058" s="292" t="s">
        <v>8057</v>
      </c>
      <c r="C2058" s="149" t="s">
        <v>4926</v>
      </c>
      <c r="D2058" s="410" t="s">
        <v>10694</v>
      </c>
      <c r="E2058" s="1045" t="s">
        <v>4926</v>
      </c>
      <c r="F2058" s="1048" t="s">
        <v>4934</v>
      </c>
      <c r="G2058" s="846" t="s">
        <v>4926</v>
      </c>
      <c r="H2058" s="809" t="s">
        <v>4939</v>
      </c>
      <c r="I2058" s="92">
        <v>36</v>
      </c>
      <c r="J2058" s="92" t="s">
        <v>10</v>
      </c>
      <c r="K2058" s="92" t="s">
        <v>707</v>
      </c>
      <c r="L2058" s="810">
        <v>7</v>
      </c>
      <c r="M2058" s="811" t="str">
        <f t="shared" si="159"/>
        <v>College Graduate or Higher</v>
      </c>
      <c r="N2058" s="92" t="s">
        <v>1208</v>
      </c>
      <c r="O2058" s="812" t="s">
        <v>8191</v>
      </c>
      <c r="P2058" s="1638"/>
      <c r="Q2058" s="812" t="s">
        <v>8191</v>
      </c>
      <c r="V2058" s="828"/>
      <c r="W2058" s="815">
        <v>3</v>
      </c>
      <c r="X2058" s="811" t="str">
        <f t="shared" si="160"/>
        <v>within the Province</v>
      </c>
      <c r="Y2058" s="816">
        <f>100*4</f>
        <v>400</v>
      </c>
      <c r="AB2058" s="953"/>
      <c r="AE2058" s="92"/>
      <c r="AF2058" s="810"/>
      <c r="AG2058" s="807" t="str">
        <f t="shared" si="158"/>
        <v/>
      </c>
      <c r="AJ2058" s="865"/>
    </row>
    <row r="2059" spans="1:36" ht="15">
      <c r="A2059" s="19" t="s">
        <v>7421</v>
      </c>
      <c r="C2059" s="807"/>
      <c r="D2059" s="410" t="s">
        <v>10694</v>
      </c>
      <c r="E2059" s="1045" t="s">
        <v>4926</v>
      </c>
      <c r="F2059" s="807"/>
      <c r="G2059" s="827"/>
      <c r="H2059" s="809" t="s">
        <v>10699</v>
      </c>
      <c r="I2059" s="92">
        <v>36</v>
      </c>
      <c r="J2059" s="92" t="s">
        <v>18</v>
      </c>
      <c r="K2059" s="92" t="s">
        <v>707</v>
      </c>
      <c r="L2059" s="810">
        <v>7</v>
      </c>
      <c r="M2059" s="811" t="str">
        <f t="shared" si="159"/>
        <v>College Graduate or Higher</v>
      </c>
      <c r="P2059" s="1638"/>
      <c r="V2059" s="828"/>
      <c r="X2059" s="811" t="str">
        <f t="shared" si="160"/>
        <v/>
      </c>
      <c r="AB2059" s="953"/>
      <c r="AE2059" s="92"/>
      <c r="AF2059" s="810"/>
      <c r="AG2059" s="807" t="str">
        <f t="shared" si="158"/>
        <v/>
      </c>
      <c r="AJ2059" s="865"/>
    </row>
    <row r="2060" spans="1:36" ht="15">
      <c r="A2060" s="19" t="s">
        <v>7421</v>
      </c>
      <c r="B2060" s="292" t="s">
        <v>8070</v>
      </c>
      <c r="C2060" s="149" t="s">
        <v>4935</v>
      </c>
      <c r="D2060" s="410" t="s">
        <v>8070</v>
      </c>
      <c r="E2060" s="1045" t="s">
        <v>4935</v>
      </c>
      <c r="F2060" s="1048" t="s">
        <v>4939</v>
      </c>
      <c r="G2060" s="809" t="s">
        <v>4935</v>
      </c>
      <c r="H2060" s="809" t="s">
        <v>10700</v>
      </c>
      <c r="I2060" s="92">
        <v>7</v>
      </c>
      <c r="J2060" s="92" t="s">
        <v>10</v>
      </c>
      <c r="K2060" s="92" t="s">
        <v>768</v>
      </c>
      <c r="L2060" s="810">
        <v>2</v>
      </c>
      <c r="M2060" s="811" t="str">
        <f t="shared" si="159"/>
        <v>Elementary Level</v>
      </c>
      <c r="P2060" s="1638"/>
      <c r="R2060" s="92" t="s">
        <v>8234</v>
      </c>
      <c r="S2060" s="807"/>
      <c r="U2060" s="813">
        <v>3000</v>
      </c>
      <c r="V2060" s="828">
        <f>SUM(S2056:U2059)</f>
        <v>16000</v>
      </c>
      <c r="X2060" s="811" t="str">
        <f t="shared" si="160"/>
        <v/>
      </c>
      <c r="AB2060" s="953">
        <f>SUM(Y2057:AA2060)</f>
        <v>1200</v>
      </c>
      <c r="AE2060" s="92"/>
      <c r="AF2060" s="810"/>
      <c r="AG2060" s="807" t="str">
        <f t="shared" si="158"/>
        <v/>
      </c>
      <c r="AJ2060" s="865"/>
    </row>
    <row r="2061" spans="1:36" ht="15">
      <c r="A2061" s="19" t="s">
        <v>7421</v>
      </c>
      <c r="C2061" s="807"/>
      <c r="D2061" s="1074"/>
      <c r="E2061" s="1045" t="s">
        <v>4935</v>
      </c>
      <c r="F2061" s="807"/>
      <c r="G2061" s="827"/>
      <c r="H2061" s="809" t="s">
        <v>10701</v>
      </c>
      <c r="I2061" s="92">
        <v>2</v>
      </c>
      <c r="J2061" s="92" t="s">
        <v>18</v>
      </c>
      <c r="K2061" s="92" t="s">
        <v>768</v>
      </c>
      <c r="L2061" s="810">
        <v>10</v>
      </c>
      <c r="M2061" s="811" t="str">
        <f t="shared" si="159"/>
        <v>Not In School Age</v>
      </c>
      <c r="N2061" s="92" t="s">
        <v>1208</v>
      </c>
      <c r="O2061" s="812" t="s">
        <v>10703</v>
      </c>
      <c r="P2061" s="1638" t="s">
        <v>12615</v>
      </c>
      <c r="Q2061" s="812" t="s">
        <v>10703</v>
      </c>
      <c r="V2061" s="961"/>
      <c r="W2061" s="815">
        <v>1</v>
      </c>
      <c r="X2061" s="811" t="str">
        <f t="shared" si="160"/>
        <v>within the Brgy</v>
      </c>
      <c r="AB2061" s="962"/>
      <c r="AD2061" s="817" t="s">
        <v>10704</v>
      </c>
      <c r="AE2061" s="92"/>
      <c r="AF2061" s="810"/>
      <c r="AG2061" s="807" t="str">
        <f t="shared" si="158"/>
        <v/>
      </c>
      <c r="AJ2061" s="865"/>
    </row>
    <row r="2062" spans="1:36" ht="15">
      <c r="A2062" s="19" t="s">
        <v>7421</v>
      </c>
      <c r="C2062" s="807"/>
      <c r="D2062" s="1074"/>
      <c r="E2062" s="1045" t="s">
        <v>4935</v>
      </c>
      <c r="F2062" s="807"/>
      <c r="G2062" s="827"/>
      <c r="H2062" s="809" t="s">
        <v>4951</v>
      </c>
      <c r="I2062" s="92">
        <v>75</v>
      </c>
      <c r="J2062" s="92" t="s">
        <v>18</v>
      </c>
      <c r="K2062" s="92" t="s">
        <v>719</v>
      </c>
      <c r="L2062" s="810">
        <v>5</v>
      </c>
      <c r="M2062" s="811" t="str">
        <f t="shared" si="159"/>
        <v>High School Graduate</v>
      </c>
      <c r="P2062" s="1638"/>
      <c r="V2062" s="961"/>
      <c r="X2062" s="811" t="str">
        <f t="shared" si="160"/>
        <v/>
      </c>
      <c r="AB2062" s="962"/>
      <c r="AE2062" s="92"/>
      <c r="AF2062" s="810"/>
      <c r="AG2062" s="807" t="str">
        <f t="shared" si="158"/>
        <v/>
      </c>
      <c r="AJ2062" s="865"/>
    </row>
    <row r="2063" spans="1:36" ht="15">
      <c r="A2063" s="19" t="s">
        <v>7421</v>
      </c>
      <c r="C2063" s="807"/>
      <c r="D2063" s="1074"/>
      <c r="E2063" s="1045" t="s">
        <v>4935</v>
      </c>
      <c r="F2063" s="807"/>
      <c r="G2063" s="827"/>
      <c r="H2063" s="809" t="s">
        <v>10705</v>
      </c>
      <c r="I2063" s="92">
        <v>33</v>
      </c>
      <c r="J2063" s="92" t="s">
        <v>10</v>
      </c>
      <c r="K2063" s="92" t="s">
        <v>707</v>
      </c>
      <c r="L2063" s="810">
        <v>6</v>
      </c>
      <c r="M2063" s="811" t="str">
        <f t="shared" si="159"/>
        <v>College Level</v>
      </c>
      <c r="P2063" s="1638"/>
      <c r="V2063" s="961"/>
      <c r="X2063" s="811" t="str">
        <f t="shared" si="160"/>
        <v/>
      </c>
      <c r="AB2063" s="962"/>
      <c r="AE2063" s="92"/>
      <c r="AF2063" s="810"/>
      <c r="AG2063" s="807" t="str">
        <f t="shared" si="158"/>
        <v/>
      </c>
      <c r="AJ2063" s="865"/>
    </row>
    <row r="2064" spans="1:36" ht="15">
      <c r="A2064" s="19" t="s">
        <v>7421</v>
      </c>
      <c r="B2064" s="292" t="s">
        <v>8054</v>
      </c>
      <c r="C2064" s="149" t="s">
        <v>4942</v>
      </c>
      <c r="D2064" s="410" t="s">
        <v>10702</v>
      </c>
      <c r="E2064" s="1045" t="s">
        <v>4942</v>
      </c>
      <c r="F2064" s="1048" t="s">
        <v>4951</v>
      </c>
      <c r="G2064" s="846" t="s">
        <v>4942</v>
      </c>
      <c r="H2064" s="809" t="s">
        <v>10706</v>
      </c>
      <c r="I2064" s="92">
        <v>50</v>
      </c>
      <c r="J2064" s="92" t="s">
        <v>10</v>
      </c>
      <c r="K2064" s="92" t="s">
        <v>768</v>
      </c>
      <c r="L2064" s="810">
        <v>5</v>
      </c>
      <c r="M2064" s="811" t="str">
        <f t="shared" si="159"/>
        <v>High School Graduate</v>
      </c>
      <c r="P2064" s="1638"/>
      <c r="V2064" s="961"/>
      <c r="X2064" s="811" t="str">
        <f t="shared" si="160"/>
        <v/>
      </c>
      <c r="AB2064" s="962"/>
      <c r="AE2064" s="92"/>
      <c r="AF2064" s="810"/>
      <c r="AG2064" s="807" t="str">
        <f t="shared" si="158"/>
        <v/>
      </c>
      <c r="AJ2064" s="865"/>
    </row>
    <row r="2065" spans="1:36" ht="15">
      <c r="A2065" s="19" t="s">
        <v>7421</v>
      </c>
      <c r="B2065" s="746" t="s">
        <v>7454</v>
      </c>
      <c r="C2065" s="149" t="s">
        <v>4791</v>
      </c>
      <c r="D2065" s="410" t="s">
        <v>10702</v>
      </c>
      <c r="E2065" s="1045" t="s">
        <v>4942</v>
      </c>
      <c r="F2065" s="807"/>
      <c r="G2065" s="827"/>
      <c r="H2065" s="809" t="s">
        <v>10707</v>
      </c>
      <c r="I2065" s="92">
        <v>7</v>
      </c>
      <c r="J2065" s="92" t="s">
        <v>10</v>
      </c>
      <c r="K2065" s="92" t="s">
        <v>768</v>
      </c>
      <c r="L2065" s="810">
        <v>2</v>
      </c>
      <c r="M2065" s="811" t="str">
        <f t="shared" si="159"/>
        <v>Elementary Level</v>
      </c>
      <c r="P2065" s="1638"/>
      <c r="V2065" s="961"/>
      <c r="X2065" s="811" t="str">
        <f t="shared" si="160"/>
        <v/>
      </c>
      <c r="AB2065" s="962"/>
      <c r="AE2065" s="92"/>
      <c r="AF2065" s="810"/>
      <c r="AG2065" s="807" t="str">
        <f t="shared" si="158"/>
        <v/>
      </c>
      <c r="AJ2065" s="865"/>
    </row>
    <row r="2066" spans="1:36" ht="15">
      <c r="A2066" s="19" t="s">
        <v>7421</v>
      </c>
      <c r="C2066" s="807"/>
      <c r="D2066" s="410" t="s">
        <v>10702</v>
      </c>
      <c r="E2066" s="1045" t="s">
        <v>4942</v>
      </c>
      <c r="F2066" s="807"/>
      <c r="G2066" s="827"/>
      <c r="H2066" s="809" t="s">
        <v>10708</v>
      </c>
      <c r="I2066" s="92">
        <v>3</v>
      </c>
      <c r="J2066" s="92" t="s">
        <v>10</v>
      </c>
      <c r="K2066" s="92" t="s">
        <v>768</v>
      </c>
      <c r="L2066" s="810">
        <v>10</v>
      </c>
      <c r="M2066" s="811" t="str">
        <f t="shared" si="159"/>
        <v>Not In School Age</v>
      </c>
      <c r="P2066" s="1638"/>
      <c r="R2066" s="812" t="s">
        <v>8285</v>
      </c>
      <c r="S2066" s="813">
        <v>20000</v>
      </c>
      <c r="V2066" s="961"/>
      <c r="X2066" s="811" t="str">
        <f t="shared" si="160"/>
        <v/>
      </c>
      <c r="AB2066" s="962"/>
      <c r="AE2066" s="92"/>
      <c r="AF2066" s="810"/>
      <c r="AG2066" s="807" t="str">
        <f t="shared" si="158"/>
        <v/>
      </c>
      <c r="AJ2066" s="865"/>
    </row>
    <row r="2067" spans="1:36" ht="15">
      <c r="A2067" s="19" t="s">
        <v>7421</v>
      </c>
      <c r="C2067" s="807"/>
      <c r="D2067" s="410" t="s">
        <v>10702</v>
      </c>
      <c r="E2067" s="1045" t="s">
        <v>4942</v>
      </c>
      <c r="F2067" s="807"/>
      <c r="G2067" s="827"/>
      <c r="H2067" s="809" t="s">
        <v>10709</v>
      </c>
      <c r="I2067" s="92">
        <v>2</v>
      </c>
      <c r="J2067" s="92" t="s">
        <v>10</v>
      </c>
      <c r="K2067" s="92" t="s">
        <v>768</v>
      </c>
      <c r="L2067" s="810">
        <v>10</v>
      </c>
      <c r="M2067" s="811" t="str">
        <f t="shared" si="159"/>
        <v>Not In School Age</v>
      </c>
      <c r="N2067" s="92" t="s">
        <v>1208</v>
      </c>
      <c r="O2067" s="812" t="s">
        <v>3337</v>
      </c>
      <c r="P2067" s="1638"/>
      <c r="Q2067" s="812" t="s">
        <v>3337</v>
      </c>
      <c r="V2067" s="961"/>
      <c r="W2067" s="815">
        <v>1</v>
      </c>
      <c r="X2067" s="811" t="str">
        <f t="shared" si="160"/>
        <v>within the Brgy</v>
      </c>
      <c r="Y2067" s="816">
        <v>3000</v>
      </c>
      <c r="AB2067" s="962"/>
      <c r="AE2067" s="92"/>
      <c r="AF2067" s="810"/>
      <c r="AG2067" s="807" t="str">
        <f t="shared" si="158"/>
        <v/>
      </c>
      <c r="AJ2067" s="865"/>
    </row>
    <row r="2068" spans="1:36" ht="15">
      <c r="A2068" s="19" t="s">
        <v>7421</v>
      </c>
      <c r="C2068" s="807"/>
      <c r="D2068" s="410" t="s">
        <v>10702</v>
      </c>
      <c r="E2068" s="1045" t="s">
        <v>4942</v>
      </c>
      <c r="F2068" s="807"/>
      <c r="G2068" s="827"/>
      <c r="H2068" s="809" t="s">
        <v>10710</v>
      </c>
      <c r="I2068" s="92">
        <v>4</v>
      </c>
      <c r="J2068" s="92" t="s">
        <v>18</v>
      </c>
      <c r="K2068" s="92" t="s">
        <v>768</v>
      </c>
      <c r="L2068" s="810">
        <v>1</v>
      </c>
      <c r="M2068" s="811" t="str">
        <f t="shared" si="159"/>
        <v>Pre-school</v>
      </c>
      <c r="P2068" s="1638"/>
      <c r="R2068" s="92" t="s">
        <v>8234</v>
      </c>
      <c r="S2068" s="813">
        <v>12000</v>
      </c>
      <c r="V2068" s="961">
        <f>SUM(S2060:U2067)</f>
        <v>23000</v>
      </c>
      <c r="X2068" s="811" t="str">
        <f t="shared" si="160"/>
        <v/>
      </c>
      <c r="AB2068" s="962">
        <f>SUM(Y2061:AA2068)</f>
        <v>3000</v>
      </c>
      <c r="AE2068" s="92"/>
      <c r="AF2068" s="810"/>
      <c r="AG2068" s="807" t="str">
        <f t="shared" si="158"/>
        <v/>
      </c>
      <c r="AJ2068" s="865"/>
    </row>
    <row r="2069" spans="1:36" ht="15">
      <c r="A2069" s="19" t="s">
        <v>7421</v>
      </c>
      <c r="C2069" s="807"/>
      <c r="D2069" s="410" t="s">
        <v>10702</v>
      </c>
      <c r="E2069" s="1045" t="s">
        <v>4942</v>
      </c>
      <c r="F2069" s="807"/>
      <c r="G2069" s="827"/>
      <c r="H2069" s="809" t="s">
        <v>10711</v>
      </c>
      <c r="I2069" s="92">
        <v>33</v>
      </c>
      <c r="J2069" s="92" t="s">
        <v>18</v>
      </c>
      <c r="K2069" s="92" t="s">
        <v>707</v>
      </c>
      <c r="L2069" s="810">
        <v>7</v>
      </c>
      <c r="M2069" s="811" t="str">
        <f t="shared" si="159"/>
        <v>College Graduate or Higher</v>
      </c>
      <c r="N2069" s="92" t="s">
        <v>1208</v>
      </c>
      <c r="O2069" s="812" t="s">
        <v>2215</v>
      </c>
      <c r="P2069" s="1638" t="s">
        <v>12606</v>
      </c>
      <c r="Q2069" s="812" t="s">
        <v>2215</v>
      </c>
      <c r="W2069" s="815">
        <v>2</v>
      </c>
      <c r="X2069" s="811" t="str">
        <f t="shared" si="160"/>
        <v>within the Municipality/City</v>
      </c>
      <c r="Y2069" s="816">
        <v>480</v>
      </c>
      <c r="AB2069" s="940"/>
      <c r="AE2069" s="92"/>
      <c r="AF2069" s="810"/>
      <c r="AG2069" s="807" t="str">
        <f t="shared" si="158"/>
        <v/>
      </c>
      <c r="AJ2069" s="865"/>
    </row>
    <row r="2070" spans="1:36" ht="15">
      <c r="A2070" s="19" t="s">
        <v>7421</v>
      </c>
      <c r="C2070" s="807"/>
      <c r="D2070" s="410" t="s">
        <v>10702</v>
      </c>
      <c r="E2070" s="1045" t="s">
        <v>4942</v>
      </c>
      <c r="F2070" s="93"/>
      <c r="G2070" s="827"/>
      <c r="H2070" s="809" t="s">
        <v>4959</v>
      </c>
      <c r="I2070" s="92">
        <v>30</v>
      </c>
      <c r="J2070" s="92" t="s">
        <v>10</v>
      </c>
      <c r="K2070" s="92" t="s">
        <v>768</v>
      </c>
      <c r="L2070" s="810">
        <v>4</v>
      </c>
      <c r="M2070" s="811" t="str">
        <f t="shared" si="159"/>
        <v>High School Level</v>
      </c>
      <c r="P2070" s="1638"/>
      <c r="X2070" s="811" t="str">
        <f t="shared" si="160"/>
        <v/>
      </c>
      <c r="AB2070" s="940"/>
      <c r="AE2070" s="92"/>
      <c r="AF2070" s="810"/>
      <c r="AG2070" s="807" t="str">
        <f t="shared" si="158"/>
        <v/>
      </c>
      <c r="AJ2070" s="865"/>
    </row>
    <row r="2071" spans="1:36" ht="15">
      <c r="A2071" s="19" t="s">
        <v>7421</v>
      </c>
      <c r="C2071" s="807"/>
      <c r="D2071" s="410" t="s">
        <v>10702</v>
      </c>
      <c r="E2071" s="1045" t="s">
        <v>4942</v>
      </c>
      <c r="F2071" s="93"/>
      <c r="G2071" s="827"/>
      <c r="H2071" s="809" t="s">
        <v>10713</v>
      </c>
      <c r="I2071" s="92">
        <v>23</v>
      </c>
      <c r="J2071" s="92" t="s">
        <v>10</v>
      </c>
      <c r="K2071" s="92" t="s">
        <v>768</v>
      </c>
      <c r="L2071" s="810">
        <v>5</v>
      </c>
      <c r="M2071" s="811" t="str">
        <f t="shared" si="159"/>
        <v>High School Graduate</v>
      </c>
      <c r="P2071" s="1638"/>
      <c r="R2071" s="92" t="s">
        <v>8234</v>
      </c>
      <c r="S2071" s="813">
        <v>4000</v>
      </c>
      <c r="V2071" s="814">
        <f>SUM(S2068:U2070)</f>
        <v>12000</v>
      </c>
      <c r="X2071" s="811" t="str">
        <f t="shared" si="160"/>
        <v/>
      </c>
      <c r="AB2071" s="940">
        <f>SUM(Y2069:AA2071)</f>
        <v>480</v>
      </c>
      <c r="AE2071" s="92"/>
      <c r="AF2071" s="810"/>
      <c r="AG2071" s="807" t="str">
        <f t="shared" si="158"/>
        <v/>
      </c>
      <c r="AJ2071" s="865"/>
    </row>
    <row r="2072" spans="1:36" ht="15">
      <c r="A2072" s="19" t="s">
        <v>7421</v>
      </c>
      <c r="B2072" s="292" t="s">
        <v>8050</v>
      </c>
      <c r="C2072" s="149" t="s">
        <v>4952</v>
      </c>
      <c r="D2072" s="410" t="s">
        <v>10712</v>
      </c>
      <c r="E2072" s="1045" t="s">
        <v>4952</v>
      </c>
      <c r="F2072" s="1048" t="s">
        <v>4959</v>
      </c>
      <c r="G2072" s="809" t="s">
        <v>4952</v>
      </c>
      <c r="H2072" s="809" t="s">
        <v>10714</v>
      </c>
      <c r="I2072" s="92">
        <v>32</v>
      </c>
      <c r="J2072" s="92" t="s">
        <v>18</v>
      </c>
      <c r="K2072" s="92" t="s">
        <v>768</v>
      </c>
      <c r="L2072" s="810">
        <v>4</v>
      </c>
      <c r="M2072" s="811" t="str">
        <f t="shared" si="159"/>
        <v>High School Level</v>
      </c>
      <c r="N2072" s="92" t="s">
        <v>1208</v>
      </c>
      <c r="O2072" s="812" t="s">
        <v>3640</v>
      </c>
      <c r="P2072" s="1638" t="s">
        <v>12605</v>
      </c>
      <c r="Q2072" s="812" t="s">
        <v>3640</v>
      </c>
      <c r="V2072" s="828"/>
      <c r="W2072" s="815">
        <v>3</v>
      </c>
      <c r="X2072" s="811" t="str">
        <f t="shared" si="160"/>
        <v>within the Province</v>
      </c>
      <c r="Y2072" s="816">
        <v>600</v>
      </c>
      <c r="AB2072" s="953"/>
      <c r="AE2072" s="92"/>
      <c r="AF2072" s="810"/>
      <c r="AG2072" s="807" t="str">
        <f t="shared" ref="AG2072:AG2135" si="161">IF(ISBLANK(AF2072)=TRUE,"",LOOKUP(AF2072,GS:GT))</f>
        <v/>
      </c>
      <c r="AJ2072" s="865"/>
    </row>
    <row r="2073" spans="1:36" ht="15">
      <c r="A2073" s="19" t="s">
        <v>7421</v>
      </c>
      <c r="C2073" s="807"/>
      <c r="D2073" s="410" t="s">
        <v>10712</v>
      </c>
      <c r="E2073" s="1045" t="s">
        <v>4952</v>
      </c>
      <c r="F2073" s="807"/>
      <c r="G2073" s="827"/>
      <c r="H2073" s="809" t="s">
        <v>4961</v>
      </c>
      <c r="I2073" s="857">
        <v>60</v>
      </c>
      <c r="J2073" s="92" t="s">
        <v>10</v>
      </c>
      <c r="K2073" s="92" t="s">
        <v>707</v>
      </c>
      <c r="L2073" s="810">
        <v>5</v>
      </c>
      <c r="M2073" s="811" t="str">
        <f t="shared" si="159"/>
        <v>High School Graduate</v>
      </c>
      <c r="P2073" s="1638"/>
      <c r="V2073" s="828"/>
      <c r="X2073" s="811" t="str">
        <f t="shared" si="160"/>
        <v/>
      </c>
      <c r="AB2073" s="953"/>
      <c r="AE2073" s="92"/>
      <c r="AF2073" s="810"/>
      <c r="AG2073" s="807" t="str">
        <f t="shared" si="161"/>
        <v/>
      </c>
      <c r="AJ2073" s="865"/>
    </row>
    <row r="2074" spans="1:36" ht="15">
      <c r="A2074" s="19" t="s">
        <v>7421</v>
      </c>
      <c r="C2074" s="807"/>
      <c r="D2074" s="410" t="s">
        <v>10712</v>
      </c>
      <c r="E2074" s="1045" t="s">
        <v>4952</v>
      </c>
      <c r="F2074" s="807"/>
      <c r="G2074" s="827"/>
      <c r="H2074" s="809" t="s">
        <v>10716</v>
      </c>
      <c r="I2074" s="92">
        <v>20</v>
      </c>
      <c r="J2074" s="92" t="s">
        <v>10</v>
      </c>
      <c r="K2074" s="92" t="s">
        <v>768</v>
      </c>
      <c r="L2074" s="810">
        <v>5</v>
      </c>
      <c r="M2074" s="811" t="str">
        <f t="shared" si="159"/>
        <v>High School Graduate</v>
      </c>
      <c r="P2074" s="1638"/>
      <c r="V2074" s="828"/>
      <c r="X2074" s="811" t="str">
        <f t="shared" si="160"/>
        <v/>
      </c>
      <c r="AB2074" s="953"/>
      <c r="AE2074" s="92"/>
      <c r="AF2074" s="810"/>
      <c r="AG2074" s="807" t="str">
        <f t="shared" si="161"/>
        <v/>
      </c>
      <c r="AJ2074" s="865"/>
    </row>
    <row r="2075" spans="1:36" ht="15">
      <c r="A2075" s="19" t="s">
        <v>7421</v>
      </c>
      <c r="B2075" s="809" t="s">
        <v>8051</v>
      </c>
      <c r="C2075" s="149" t="s">
        <v>4960</v>
      </c>
      <c r="D2075" s="1074" t="s">
        <v>10715</v>
      </c>
      <c r="E2075" s="1045" t="s">
        <v>4960</v>
      </c>
      <c r="F2075" s="1048" t="s">
        <v>4961</v>
      </c>
      <c r="G2075" s="809" t="s">
        <v>4960</v>
      </c>
      <c r="H2075" s="809" t="s">
        <v>10717</v>
      </c>
      <c r="I2075" s="92">
        <v>18</v>
      </c>
      <c r="J2075" s="92" t="s">
        <v>10</v>
      </c>
      <c r="K2075" s="92" t="s">
        <v>768</v>
      </c>
      <c r="L2075" s="810">
        <v>5</v>
      </c>
      <c r="M2075" s="811" t="str">
        <f t="shared" si="159"/>
        <v>High School Graduate</v>
      </c>
      <c r="P2075" s="1638"/>
      <c r="V2075" s="828"/>
      <c r="X2075" s="811" t="str">
        <f t="shared" si="160"/>
        <v/>
      </c>
      <c r="AB2075" s="953"/>
      <c r="AE2075" s="92"/>
      <c r="AF2075" s="810"/>
      <c r="AG2075" s="807" t="str">
        <f t="shared" si="161"/>
        <v/>
      </c>
      <c r="AJ2075" s="865"/>
    </row>
    <row r="2076" spans="1:36" ht="15">
      <c r="A2076" s="19" t="s">
        <v>7421</v>
      </c>
      <c r="C2076" s="807"/>
      <c r="D2076" s="1074" t="s">
        <v>10715</v>
      </c>
      <c r="E2076" s="1045" t="s">
        <v>4960</v>
      </c>
      <c r="F2076" s="807"/>
      <c r="G2076" s="827"/>
      <c r="H2076" s="809" t="s">
        <v>10718</v>
      </c>
      <c r="I2076" s="92">
        <v>16</v>
      </c>
      <c r="J2076" s="92" t="s">
        <v>10</v>
      </c>
      <c r="K2076" s="92" t="s">
        <v>768</v>
      </c>
      <c r="L2076" s="810">
        <v>4</v>
      </c>
      <c r="M2076" s="811" t="str">
        <f t="shared" si="159"/>
        <v>High School Level</v>
      </c>
      <c r="P2076" s="1638"/>
      <c r="R2076" s="92" t="s">
        <v>8234</v>
      </c>
      <c r="S2076" s="813">
        <v>12000</v>
      </c>
      <c r="V2076" s="828">
        <f>SUM(S2071:U2075)</f>
        <v>4000</v>
      </c>
      <c r="X2076" s="811" t="str">
        <f t="shared" si="160"/>
        <v/>
      </c>
      <c r="AB2076" s="953">
        <f>SUM(Y2072:AA2076)</f>
        <v>600</v>
      </c>
      <c r="AE2076" s="92"/>
      <c r="AF2076" s="810"/>
      <c r="AG2076" s="807" t="str">
        <f t="shared" si="161"/>
        <v/>
      </c>
      <c r="AJ2076" s="865"/>
    </row>
    <row r="2077" spans="1:36" ht="15">
      <c r="A2077" s="19" t="s">
        <v>7421</v>
      </c>
      <c r="C2077" s="807"/>
      <c r="D2077" s="1074" t="s">
        <v>10715</v>
      </c>
      <c r="E2077" s="1045" t="s">
        <v>4960</v>
      </c>
      <c r="F2077" s="807"/>
      <c r="G2077" s="827"/>
      <c r="H2077" s="809" t="s">
        <v>10719</v>
      </c>
      <c r="I2077" s="92">
        <v>14</v>
      </c>
      <c r="J2077" s="92" t="s">
        <v>10</v>
      </c>
      <c r="K2077" s="92" t="s">
        <v>768</v>
      </c>
      <c r="L2077" s="810">
        <v>4</v>
      </c>
      <c r="M2077" s="811" t="str">
        <f t="shared" si="159"/>
        <v>High School Level</v>
      </c>
      <c r="N2077" s="92" t="s">
        <v>1208</v>
      </c>
      <c r="O2077" s="812" t="s">
        <v>2198</v>
      </c>
      <c r="P2077" s="1638" t="s">
        <v>12597</v>
      </c>
      <c r="Q2077" s="812" t="s">
        <v>2198</v>
      </c>
      <c r="R2077" s="812" t="s">
        <v>8285</v>
      </c>
      <c r="S2077" s="813">
        <v>3500</v>
      </c>
      <c r="V2077" s="961"/>
      <c r="W2077" s="815">
        <v>3</v>
      </c>
      <c r="X2077" s="811" t="str">
        <f t="shared" si="160"/>
        <v>within the Province</v>
      </c>
      <c r="AA2077" s="816">
        <v>200</v>
      </c>
      <c r="AB2077" s="962"/>
      <c r="AD2077" s="817" t="s">
        <v>10721</v>
      </c>
      <c r="AE2077" s="92"/>
      <c r="AF2077" s="810"/>
      <c r="AG2077" s="807" t="str">
        <f t="shared" si="161"/>
        <v/>
      </c>
      <c r="AJ2077" s="865"/>
    </row>
    <row r="2078" spans="1:36" ht="15">
      <c r="A2078" s="19" t="s">
        <v>7421</v>
      </c>
      <c r="C2078" s="807"/>
      <c r="D2078" s="1074" t="s">
        <v>10715</v>
      </c>
      <c r="E2078" s="1045" t="s">
        <v>4960</v>
      </c>
      <c r="F2078" s="807"/>
      <c r="G2078" s="827"/>
      <c r="H2078" s="809" t="s">
        <v>4975</v>
      </c>
      <c r="I2078" s="92">
        <v>59</v>
      </c>
      <c r="J2078" s="92" t="s">
        <v>10</v>
      </c>
      <c r="K2078" s="92" t="s">
        <v>707</v>
      </c>
      <c r="L2078" s="810">
        <v>3</v>
      </c>
      <c r="M2078" s="811" t="str">
        <f t="shared" si="159"/>
        <v>Elementary Graduate</v>
      </c>
      <c r="N2078" s="92" t="s">
        <v>1208</v>
      </c>
      <c r="O2078" s="812" t="s">
        <v>10723</v>
      </c>
      <c r="P2078" s="1638"/>
      <c r="Q2078" s="812" t="s">
        <v>10723</v>
      </c>
      <c r="V2078" s="961"/>
      <c r="W2078" s="815">
        <v>2</v>
      </c>
      <c r="X2078" s="811" t="str">
        <f t="shared" si="160"/>
        <v>within the Municipality/City</v>
      </c>
      <c r="Y2078" s="816">
        <v>1000</v>
      </c>
      <c r="AB2078" s="962"/>
      <c r="AE2078" s="92"/>
      <c r="AF2078" s="810"/>
      <c r="AG2078" s="807" t="str">
        <f t="shared" si="161"/>
        <v/>
      </c>
      <c r="AJ2078" s="865"/>
    </row>
    <row r="2079" spans="1:36" ht="15">
      <c r="A2079" s="19" t="s">
        <v>7421</v>
      </c>
      <c r="C2079" s="807"/>
      <c r="D2079" s="1074" t="s">
        <v>10715</v>
      </c>
      <c r="E2079" s="1045" t="s">
        <v>4960</v>
      </c>
      <c r="G2079" s="827"/>
      <c r="H2079" s="809" t="s">
        <v>10722</v>
      </c>
      <c r="I2079" s="92">
        <v>31</v>
      </c>
      <c r="J2079" s="92" t="s">
        <v>10</v>
      </c>
      <c r="K2079" s="92" t="s">
        <v>722</v>
      </c>
      <c r="L2079" s="810">
        <v>5</v>
      </c>
      <c r="M2079" s="811" t="str">
        <f t="shared" si="159"/>
        <v>High School Graduate</v>
      </c>
      <c r="P2079" s="1638"/>
      <c r="R2079" s="92" t="s">
        <v>8234</v>
      </c>
      <c r="S2079" s="813">
        <v>6000</v>
      </c>
      <c r="V2079" s="961">
        <f>SUM(S2076:U2078)</f>
        <v>15500</v>
      </c>
      <c r="X2079" s="811" t="str">
        <f t="shared" si="160"/>
        <v/>
      </c>
      <c r="AB2079" s="962">
        <f>SUM(Y2077:AA2079)</f>
        <v>1200</v>
      </c>
      <c r="AE2079" s="92"/>
      <c r="AF2079" s="810"/>
      <c r="AG2079" s="807" t="str">
        <f t="shared" si="161"/>
        <v/>
      </c>
      <c r="AJ2079" s="865"/>
    </row>
    <row r="2080" spans="1:36" ht="15">
      <c r="A2080" s="19" t="s">
        <v>7421</v>
      </c>
      <c r="B2080" s="809" t="s">
        <v>8045</v>
      </c>
      <c r="C2080" s="149" t="s">
        <v>3195</v>
      </c>
      <c r="D2080" s="1074" t="s">
        <v>10720</v>
      </c>
      <c r="E2080" s="1045" t="s">
        <v>3195</v>
      </c>
      <c r="F2080" s="1048" t="s">
        <v>4974</v>
      </c>
      <c r="G2080" s="809" t="s">
        <v>3195</v>
      </c>
      <c r="H2080" s="809" t="s">
        <v>10724</v>
      </c>
      <c r="I2080" s="857">
        <v>60</v>
      </c>
      <c r="J2080" s="92" t="s">
        <v>18</v>
      </c>
      <c r="K2080" s="92" t="s">
        <v>707</v>
      </c>
      <c r="L2080" s="810">
        <v>4</v>
      </c>
      <c r="M2080" s="811" t="str">
        <f t="shared" ref="M2080:M2143" si="162">IF(ISBLANK(L2080)=TRUE,"",LOOKUP(L2080,GQ:GR))</f>
        <v>High School Level</v>
      </c>
      <c r="N2080" s="92" t="s">
        <v>1208</v>
      </c>
      <c r="O2080" s="812" t="s">
        <v>2223</v>
      </c>
      <c r="P2080" s="1638" t="s">
        <v>12606</v>
      </c>
      <c r="Q2080" s="812" t="s">
        <v>2223</v>
      </c>
      <c r="W2080" s="815">
        <v>2</v>
      </c>
      <c r="X2080" s="811" t="str">
        <f t="shared" si="160"/>
        <v>within the Municipality/City</v>
      </c>
      <c r="Y2080" s="816">
        <v>480</v>
      </c>
      <c r="AG2080" s="807" t="str">
        <f t="shared" si="161"/>
        <v/>
      </c>
      <c r="AJ2080" s="865"/>
    </row>
    <row r="2081" spans="1:105" ht="15">
      <c r="A2081" s="19" t="s">
        <v>7421</v>
      </c>
      <c r="C2081" s="807"/>
      <c r="D2081" s="1074" t="s">
        <v>10720</v>
      </c>
      <c r="E2081" s="1045" t="s">
        <v>3195</v>
      </c>
      <c r="F2081" s="807"/>
      <c r="G2081" s="827"/>
      <c r="H2081" s="809" t="s">
        <v>3200</v>
      </c>
      <c r="I2081" s="92">
        <v>32</v>
      </c>
      <c r="J2081" s="92" t="s">
        <v>10</v>
      </c>
      <c r="K2081" s="92" t="s">
        <v>768</v>
      </c>
      <c r="L2081" s="810">
        <v>4</v>
      </c>
      <c r="M2081" s="811" t="str">
        <f t="shared" si="162"/>
        <v>High School Level</v>
      </c>
      <c r="P2081" s="1638"/>
      <c r="V2081" s="814">
        <f>SUM(S2079:U2080)</f>
        <v>6000</v>
      </c>
      <c r="X2081" s="811" t="str">
        <f t="shared" si="160"/>
        <v/>
      </c>
      <c r="AB2081" s="924">
        <f>SUM(Y2080:AA2081)</f>
        <v>480</v>
      </c>
      <c r="AG2081" s="807" t="str">
        <f t="shared" si="161"/>
        <v/>
      </c>
      <c r="AJ2081" s="865"/>
    </row>
    <row r="2082" spans="1:105" ht="15">
      <c r="A2082" s="19" t="s">
        <v>7421</v>
      </c>
      <c r="C2082" s="807"/>
      <c r="D2082" s="1074" t="s">
        <v>10720</v>
      </c>
      <c r="E2082" s="1045" t="s">
        <v>3195</v>
      </c>
      <c r="F2082" s="807"/>
      <c r="G2082" s="827"/>
      <c r="H2082" s="809" t="s">
        <v>10726</v>
      </c>
      <c r="I2082" s="92">
        <v>45</v>
      </c>
      <c r="J2082" s="92" t="s">
        <v>18</v>
      </c>
      <c r="K2082" s="92" t="s">
        <v>768</v>
      </c>
      <c r="L2082" s="810">
        <v>4</v>
      </c>
      <c r="M2082" s="811" t="str">
        <f t="shared" si="162"/>
        <v>High School Level</v>
      </c>
      <c r="P2082" s="1638"/>
      <c r="R2082" s="92"/>
      <c r="V2082" s="828"/>
      <c r="X2082" s="811" t="str">
        <f t="shared" si="160"/>
        <v/>
      </c>
      <c r="AB2082" s="953"/>
      <c r="AG2082" s="807" t="str">
        <f t="shared" si="161"/>
        <v/>
      </c>
      <c r="AJ2082" s="865"/>
      <c r="BD2082" s="93" t="s">
        <v>2144</v>
      </c>
    </row>
    <row r="2083" spans="1:105" ht="15">
      <c r="A2083" s="19" t="s">
        <v>7421</v>
      </c>
      <c r="B2083" s="292" t="s">
        <v>8046</v>
      </c>
      <c r="C2083" s="149" t="s">
        <v>3195</v>
      </c>
      <c r="D2083" s="1074" t="s">
        <v>10725</v>
      </c>
      <c r="E2083" s="1045" t="s">
        <v>3195</v>
      </c>
      <c r="F2083" s="1048" t="s">
        <v>3200</v>
      </c>
      <c r="G2083" s="827"/>
      <c r="H2083" s="809" t="s">
        <v>10728</v>
      </c>
      <c r="I2083" s="92">
        <v>54</v>
      </c>
      <c r="J2083" s="92" t="s">
        <v>10</v>
      </c>
      <c r="K2083" s="92" t="s">
        <v>707</v>
      </c>
      <c r="L2083" s="942"/>
      <c r="M2083" s="986" t="str">
        <f t="shared" si="162"/>
        <v/>
      </c>
      <c r="P2083" s="1638"/>
      <c r="R2083" s="812" t="s">
        <v>10434</v>
      </c>
      <c r="S2083" s="813">
        <v>12000</v>
      </c>
      <c r="V2083" s="828"/>
      <c r="X2083" s="811" t="str">
        <f t="shared" si="160"/>
        <v/>
      </c>
      <c r="AB2083" s="953"/>
      <c r="AG2083" s="807" t="str">
        <f t="shared" si="161"/>
        <v/>
      </c>
      <c r="AJ2083" s="865"/>
      <c r="BV2083" s="807" t="s">
        <v>2144</v>
      </c>
      <c r="BZ2083" s="807" t="s">
        <v>2145</v>
      </c>
      <c r="DA2083" s="807">
        <v>1</v>
      </c>
    </row>
    <row r="2084" spans="1:105" ht="15">
      <c r="A2084" s="19" t="s">
        <v>7421</v>
      </c>
      <c r="C2084" s="807"/>
      <c r="D2084" s="1074" t="s">
        <v>10725</v>
      </c>
      <c r="E2084" s="1045" t="s">
        <v>3195</v>
      </c>
      <c r="F2084" s="807"/>
      <c r="G2084" s="827"/>
      <c r="H2084" s="809" t="s">
        <v>3210</v>
      </c>
      <c r="I2084" s="92">
        <v>53</v>
      </c>
      <c r="J2084" s="92" t="s">
        <v>18</v>
      </c>
      <c r="K2084" s="92" t="s">
        <v>707</v>
      </c>
      <c r="L2084" s="810">
        <v>5</v>
      </c>
      <c r="M2084" s="811" t="str">
        <f t="shared" si="162"/>
        <v>High School Graduate</v>
      </c>
      <c r="N2084" s="92" t="s">
        <v>1208</v>
      </c>
      <c r="O2084" s="812" t="s">
        <v>2233</v>
      </c>
      <c r="P2084" s="1638"/>
      <c r="Q2084" s="812" t="s">
        <v>2233</v>
      </c>
      <c r="V2084" s="828"/>
      <c r="W2084" s="815">
        <v>3</v>
      </c>
      <c r="X2084" s="811" t="str">
        <f t="shared" si="160"/>
        <v>within the Province</v>
      </c>
      <c r="Y2084" s="816">
        <v>1500</v>
      </c>
      <c r="AB2084" s="953"/>
      <c r="AG2084" s="807" t="str">
        <f t="shared" si="161"/>
        <v/>
      </c>
      <c r="AJ2084" s="865"/>
    </row>
    <row r="2085" spans="1:105" ht="15">
      <c r="A2085" s="311" t="s">
        <v>12452</v>
      </c>
      <c r="B2085" s="292" t="s">
        <v>7461</v>
      </c>
      <c r="C2085" s="149" t="s">
        <v>3195</v>
      </c>
      <c r="D2085" s="410" t="s">
        <v>10727</v>
      </c>
      <c r="E2085" s="93"/>
      <c r="F2085" s="93"/>
      <c r="G2085" s="934"/>
      <c r="H2085" s="809" t="s">
        <v>10730</v>
      </c>
      <c r="I2085" s="92">
        <v>52</v>
      </c>
      <c r="J2085" s="92" t="s">
        <v>10</v>
      </c>
      <c r="K2085" s="92" t="s">
        <v>707</v>
      </c>
      <c r="L2085" s="810">
        <v>6</v>
      </c>
      <c r="M2085" s="811" t="str">
        <f t="shared" si="162"/>
        <v>College Level</v>
      </c>
      <c r="P2085" s="1638"/>
      <c r="V2085" s="828"/>
      <c r="X2085" s="811" t="str">
        <f t="shared" si="160"/>
        <v/>
      </c>
      <c r="AB2085" s="953"/>
      <c r="AG2085" s="807" t="str">
        <f t="shared" si="161"/>
        <v/>
      </c>
      <c r="AJ2085" s="865"/>
    </row>
    <row r="2086" spans="1:105" ht="15">
      <c r="A2086" s="311" t="s">
        <v>12355</v>
      </c>
      <c r="B2086" s="292" t="s">
        <v>8046</v>
      </c>
      <c r="C2086" s="149" t="s">
        <v>3195</v>
      </c>
      <c r="D2086" s="1074" t="s">
        <v>10729</v>
      </c>
      <c r="E2086" s="1045" t="s">
        <v>3155</v>
      </c>
      <c r="F2086" s="1048" t="s">
        <v>11278</v>
      </c>
      <c r="G2086" s="827"/>
      <c r="H2086" s="809" t="s">
        <v>10731</v>
      </c>
      <c r="I2086" s="92">
        <v>27</v>
      </c>
      <c r="J2086" s="92" t="s">
        <v>10</v>
      </c>
      <c r="K2086" s="92" t="s">
        <v>768</v>
      </c>
      <c r="L2086" s="810">
        <v>6</v>
      </c>
      <c r="M2086" s="811" t="str">
        <f t="shared" si="162"/>
        <v>College Level</v>
      </c>
      <c r="P2086" s="1638"/>
      <c r="R2086" s="812" t="s">
        <v>8285</v>
      </c>
      <c r="S2086" s="813">
        <v>13000</v>
      </c>
      <c r="V2086" s="828">
        <f>SUM(S2082:U2085)</f>
        <v>12000</v>
      </c>
      <c r="X2086" s="811" t="str">
        <f t="shared" si="160"/>
        <v/>
      </c>
      <c r="AB2086" s="953">
        <f>SUM(Y2083:AA2086)</f>
        <v>1500</v>
      </c>
      <c r="AG2086" s="807" t="str">
        <f t="shared" si="161"/>
        <v/>
      </c>
      <c r="AJ2086" s="865"/>
    </row>
    <row r="2087" spans="1:105" ht="15">
      <c r="A2087" s="311" t="s">
        <v>12355</v>
      </c>
      <c r="C2087" s="807"/>
      <c r="D2087" s="1074" t="s">
        <v>10729</v>
      </c>
      <c r="E2087" s="1045" t="s">
        <v>3155</v>
      </c>
      <c r="F2087" s="93"/>
      <c r="G2087" s="827"/>
      <c r="H2087" s="809" t="s">
        <v>10732</v>
      </c>
      <c r="I2087" s="92">
        <v>18</v>
      </c>
      <c r="J2087" s="92" t="s">
        <v>10</v>
      </c>
      <c r="K2087" s="92" t="s">
        <v>768</v>
      </c>
      <c r="L2087" s="810">
        <v>6</v>
      </c>
      <c r="M2087" s="811" t="str">
        <f t="shared" si="162"/>
        <v>College Level</v>
      </c>
      <c r="N2087" s="92" t="s">
        <v>1208</v>
      </c>
      <c r="O2087" s="812" t="s">
        <v>3388</v>
      </c>
      <c r="P2087" s="1638" t="s">
        <v>12606</v>
      </c>
      <c r="Q2087" s="812" t="s">
        <v>3388</v>
      </c>
      <c r="V2087" s="961"/>
      <c r="W2087" s="815">
        <v>3</v>
      </c>
      <c r="X2087" s="811" t="str">
        <f t="shared" si="160"/>
        <v>within the Province</v>
      </c>
      <c r="Y2087" s="816">
        <v>1000</v>
      </c>
      <c r="AB2087" s="962"/>
      <c r="AG2087" s="807" t="str">
        <f t="shared" si="161"/>
        <v/>
      </c>
      <c r="AJ2087" s="865"/>
      <c r="CS2087" s="807">
        <v>1</v>
      </c>
    </row>
    <row r="2088" spans="1:105" ht="15">
      <c r="A2088" s="311" t="s">
        <v>12355</v>
      </c>
      <c r="C2088" s="807"/>
      <c r="D2088" s="1074" t="s">
        <v>10729</v>
      </c>
      <c r="E2088" s="1045" t="s">
        <v>3155</v>
      </c>
      <c r="F2088" s="93"/>
      <c r="G2088" s="827"/>
      <c r="H2088" s="809" t="s">
        <v>4976</v>
      </c>
      <c r="I2088" s="92">
        <v>46</v>
      </c>
      <c r="J2088" s="92" t="s">
        <v>10</v>
      </c>
      <c r="K2088" s="92" t="s">
        <v>707</v>
      </c>
      <c r="L2088" s="810">
        <v>5</v>
      </c>
      <c r="M2088" s="811" t="str">
        <f t="shared" si="162"/>
        <v>High School Graduate</v>
      </c>
      <c r="P2088" s="1638"/>
      <c r="V2088" s="961"/>
      <c r="X2088" s="811" t="str">
        <f t="shared" si="160"/>
        <v/>
      </c>
      <c r="AB2088" s="962"/>
      <c r="AG2088" s="807" t="str">
        <f t="shared" si="161"/>
        <v/>
      </c>
      <c r="AJ2088" s="865"/>
    </row>
    <row r="2089" spans="1:105" ht="15">
      <c r="A2089" s="311" t="s">
        <v>12355</v>
      </c>
      <c r="C2089" s="807"/>
      <c r="D2089" s="1074" t="s">
        <v>10729</v>
      </c>
      <c r="E2089" s="1045" t="s">
        <v>3155</v>
      </c>
      <c r="G2089" s="827"/>
      <c r="H2089" s="809" t="s">
        <v>10734</v>
      </c>
      <c r="I2089" s="92">
        <v>42</v>
      </c>
      <c r="J2089" s="92" t="s">
        <v>18</v>
      </c>
      <c r="K2089" s="92" t="s">
        <v>707</v>
      </c>
      <c r="L2089" s="810">
        <v>4</v>
      </c>
      <c r="M2089" s="811" t="str">
        <f t="shared" si="162"/>
        <v>High School Level</v>
      </c>
      <c r="P2089" s="1638"/>
      <c r="V2089" s="961"/>
      <c r="X2089" s="811" t="str">
        <f t="shared" si="160"/>
        <v/>
      </c>
      <c r="AB2089" s="962"/>
      <c r="AG2089" s="807" t="str">
        <f t="shared" si="161"/>
        <v/>
      </c>
      <c r="AJ2089" s="865"/>
    </row>
    <row r="2090" spans="1:105" ht="15">
      <c r="A2090" s="311" t="s">
        <v>12353</v>
      </c>
      <c r="B2090" s="809" t="s">
        <v>8047</v>
      </c>
      <c r="C2090" s="149" t="s">
        <v>3195</v>
      </c>
      <c r="D2090" s="1074" t="s">
        <v>10733</v>
      </c>
      <c r="G2090" s="827"/>
      <c r="H2090" s="809" t="s">
        <v>10735</v>
      </c>
      <c r="I2090" s="92">
        <v>18</v>
      </c>
      <c r="J2090" s="92" t="s">
        <v>18</v>
      </c>
      <c r="K2090" s="92" t="s">
        <v>768</v>
      </c>
      <c r="L2090" s="810">
        <v>4</v>
      </c>
      <c r="M2090" s="811" t="str">
        <f t="shared" si="162"/>
        <v>High School Level</v>
      </c>
      <c r="P2090" s="1638"/>
      <c r="V2090" s="961"/>
      <c r="X2090" s="811" t="str">
        <f t="shared" si="160"/>
        <v/>
      </c>
      <c r="AB2090" s="962"/>
      <c r="AG2090" s="807" t="str">
        <f t="shared" si="161"/>
        <v/>
      </c>
      <c r="AJ2090" s="865"/>
    </row>
    <row r="2091" spans="1:105" ht="15">
      <c r="A2091" s="311" t="s">
        <v>12353</v>
      </c>
      <c r="D2091" s="1074" t="s">
        <v>10733</v>
      </c>
      <c r="G2091" s="827"/>
      <c r="H2091" s="809" t="s">
        <v>10736</v>
      </c>
      <c r="I2091" s="92">
        <v>15</v>
      </c>
      <c r="J2091" s="92" t="s">
        <v>10</v>
      </c>
      <c r="K2091" s="92" t="s">
        <v>768</v>
      </c>
      <c r="L2091" s="810">
        <v>2</v>
      </c>
      <c r="M2091" s="811" t="str">
        <f t="shared" si="162"/>
        <v>Elementary Level</v>
      </c>
      <c r="P2091" s="1638"/>
      <c r="V2091" s="961"/>
      <c r="X2091" s="811" t="str">
        <f t="shared" si="160"/>
        <v/>
      </c>
      <c r="AB2091" s="962"/>
      <c r="AG2091" s="807" t="str">
        <f t="shared" si="161"/>
        <v/>
      </c>
      <c r="AJ2091" s="865"/>
    </row>
    <row r="2092" spans="1:105" ht="15">
      <c r="A2092" s="311" t="s">
        <v>12353</v>
      </c>
      <c r="B2092" s="809" t="s">
        <v>8048</v>
      </c>
      <c r="C2092" s="149" t="s">
        <v>11829</v>
      </c>
      <c r="D2092" s="1074" t="s">
        <v>8048</v>
      </c>
      <c r="G2092" s="827"/>
      <c r="H2092" s="809" t="s">
        <v>10737</v>
      </c>
      <c r="I2092" s="92">
        <v>14</v>
      </c>
      <c r="J2092" s="92" t="s">
        <v>10</v>
      </c>
      <c r="K2092" s="92" t="s">
        <v>768</v>
      </c>
      <c r="L2092" s="810">
        <v>4</v>
      </c>
      <c r="M2092" s="811" t="str">
        <f t="shared" si="162"/>
        <v>High School Level</v>
      </c>
      <c r="P2092" s="1638"/>
      <c r="R2092" s="92" t="s">
        <v>8234</v>
      </c>
      <c r="S2092" s="813">
        <v>6000</v>
      </c>
      <c r="V2092" s="961">
        <f>SUM(S2086:U2091)</f>
        <v>13000</v>
      </c>
      <c r="X2092" s="811" t="str">
        <f t="shared" si="160"/>
        <v/>
      </c>
      <c r="AB2092" s="962">
        <f>SUM(Y2087:AA2092)</f>
        <v>1000</v>
      </c>
      <c r="AG2092" s="807" t="str">
        <f t="shared" si="161"/>
        <v/>
      </c>
      <c r="AJ2092" s="865"/>
    </row>
    <row r="2093" spans="1:105" ht="15">
      <c r="A2093" s="311" t="s">
        <v>12353</v>
      </c>
      <c r="C2093" s="807"/>
      <c r="D2093" s="1074" t="s">
        <v>8048</v>
      </c>
      <c r="G2093" s="827"/>
      <c r="H2093" s="809" t="s">
        <v>10738</v>
      </c>
      <c r="I2093" s="92">
        <v>9</v>
      </c>
      <c r="J2093" s="92" t="s">
        <v>18</v>
      </c>
      <c r="K2093" s="92" t="s">
        <v>768</v>
      </c>
      <c r="L2093" s="810">
        <v>4</v>
      </c>
      <c r="M2093" s="811" t="str">
        <f t="shared" si="162"/>
        <v>High School Level</v>
      </c>
      <c r="N2093" s="92" t="s">
        <v>1208</v>
      </c>
      <c r="O2093" s="812" t="s">
        <v>2968</v>
      </c>
      <c r="P2093" s="1638" t="s">
        <v>12615</v>
      </c>
      <c r="Q2093" s="812" t="s">
        <v>2968</v>
      </c>
      <c r="W2093" s="815">
        <v>1</v>
      </c>
      <c r="X2093" s="811" t="str">
        <f t="shared" si="160"/>
        <v>within the Brgy</v>
      </c>
      <c r="AB2093" s="940"/>
      <c r="AG2093" s="807" t="str">
        <f t="shared" si="161"/>
        <v/>
      </c>
      <c r="AJ2093" s="865"/>
      <c r="CS2093" s="807">
        <v>1</v>
      </c>
    </row>
    <row r="2094" spans="1:105" ht="15">
      <c r="A2094" s="311" t="s">
        <v>12353</v>
      </c>
      <c r="C2094" s="807"/>
      <c r="D2094" s="1074" t="s">
        <v>8048</v>
      </c>
      <c r="G2094" s="827"/>
      <c r="H2094" s="809" t="s">
        <v>4995</v>
      </c>
      <c r="I2094" s="92">
        <v>26</v>
      </c>
      <c r="J2094" s="92" t="s">
        <v>18</v>
      </c>
      <c r="K2094" s="92" t="s">
        <v>707</v>
      </c>
      <c r="L2094" s="810">
        <v>5</v>
      </c>
      <c r="M2094" s="811" t="str">
        <f t="shared" si="162"/>
        <v>High School Graduate</v>
      </c>
      <c r="P2094" s="1638"/>
      <c r="R2094" s="812" t="s">
        <v>8285</v>
      </c>
      <c r="S2094" s="813">
        <v>6000</v>
      </c>
      <c r="X2094" s="811" t="str">
        <f t="shared" si="160"/>
        <v/>
      </c>
      <c r="AB2094" s="940"/>
      <c r="AG2094" s="807" t="str">
        <f t="shared" si="161"/>
        <v/>
      </c>
      <c r="AJ2094" s="865"/>
    </row>
    <row r="2095" spans="1:105" ht="15">
      <c r="A2095" s="311" t="s">
        <v>12353</v>
      </c>
      <c r="C2095" s="807"/>
      <c r="D2095" s="1074" t="s">
        <v>8048</v>
      </c>
      <c r="G2095" s="827"/>
      <c r="H2095" s="809" t="s">
        <v>10739</v>
      </c>
      <c r="I2095" s="92">
        <v>32</v>
      </c>
      <c r="J2095" s="92" t="s">
        <v>10</v>
      </c>
      <c r="K2095" s="92" t="s">
        <v>783</v>
      </c>
      <c r="L2095" s="810">
        <v>4</v>
      </c>
      <c r="M2095" s="811" t="str">
        <f t="shared" si="162"/>
        <v>High School Level</v>
      </c>
      <c r="N2095" s="92" t="s">
        <v>1208</v>
      </c>
      <c r="O2095" s="812" t="s">
        <v>3303</v>
      </c>
      <c r="P2095" s="1638"/>
      <c r="Q2095" s="812" t="s">
        <v>3303</v>
      </c>
      <c r="W2095" s="815">
        <v>2</v>
      </c>
      <c r="X2095" s="811" t="str">
        <f t="shared" si="160"/>
        <v>within the Municipality/City</v>
      </c>
      <c r="Y2095" s="816">
        <v>320</v>
      </c>
      <c r="AB2095" s="940"/>
      <c r="AG2095" s="807" t="str">
        <f t="shared" si="161"/>
        <v/>
      </c>
      <c r="AJ2095" s="865"/>
    </row>
    <row r="2096" spans="1:105" ht="15">
      <c r="A2096" s="311" t="s">
        <v>12353</v>
      </c>
      <c r="B2096" s="809" t="s">
        <v>8048</v>
      </c>
      <c r="C2096" s="149" t="s">
        <v>11829</v>
      </c>
      <c r="D2096" s="1074" t="s">
        <v>8048</v>
      </c>
      <c r="E2096" s="1045" t="s">
        <v>3195</v>
      </c>
      <c r="F2096" s="1048" t="s">
        <v>4995</v>
      </c>
      <c r="G2096" s="827"/>
      <c r="H2096" s="809" t="s">
        <v>10740</v>
      </c>
      <c r="I2096" s="92">
        <v>29</v>
      </c>
      <c r="J2096" s="92" t="s">
        <v>18</v>
      </c>
      <c r="K2096" s="92" t="s">
        <v>783</v>
      </c>
      <c r="L2096" s="810">
        <v>5</v>
      </c>
      <c r="M2096" s="811" t="str">
        <f t="shared" si="162"/>
        <v>High School Graduate</v>
      </c>
      <c r="P2096" s="1638"/>
      <c r="X2096" s="811" t="str">
        <f t="shared" si="160"/>
        <v/>
      </c>
      <c r="AB2096" s="940"/>
      <c r="AG2096" s="807" t="str">
        <f t="shared" si="161"/>
        <v/>
      </c>
      <c r="AJ2096" s="865"/>
    </row>
    <row r="2097" spans="1:97" ht="15">
      <c r="A2097" s="311" t="s">
        <v>12353</v>
      </c>
      <c r="B2097" s="831"/>
      <c r="D2097" s="1074" t="s">
        <v>8048</v>
      </c>
      <c r="E2097" s="1045" t="s">
        <v>3195</v>
      </c>
      <c r="G2097" s="827"/>
      <c r="H2097" s="809" t="s">
        <v>10741</v>
      </c>
      <c r="I2097" s="92">
        <v>17</v>
      </c>
      <c r="J2097" s="92" t="s">
        <v>18</v>
      </c>
      <c r="K2097" s="92" t="s">
        <v>768</v>
      </c>
      <c r="L2097" s="810">
        <v>4</v>
      </c>
      <c r="M2097" s="811" t="str">
        <f t="shared" si="162"/>
        <v>High School Level</v>
      </c>
      <c r="P2097" s="1638"/>
      <c r="X2097" s="811" t="str">
        <f t="shared" si="160"/>
        <v/>
      </c>
      <c r="AB2097" s="940"/>
      <c r="AG2097" s="807" t="str">
        <f t="shared" si="161"/>
        <v/>
      </c>
      <c r="AJ2097" s="865"/>
    </row>
    <row r="2098" spans="1:97" ht="15">
      <c r="A2098" s="311" t="s">
        <v>12353</v>
      </c>
      <c r="B2098" s="831"/>
      <c r="D2098" s="1074" t="s">
        <v>8048</v>
      </c>
      <c r="E2098" s="1045" t="s">
        <v>3195</v>
      </c>
      <c r="G2098" s="827"/>
      <c r="H2098" s="809" t="s">
        <v>10742</v>
      </c>
      <c r="I2098" s="92">
        <v>5</v>
      </c>
      <c r="J2098" s="92" t="s">
        <v>18</v>
      </c>
      <c r="K2098" s="92" t="s">
        <v>768</v>
      </c>
      <c r="L2098" s="810">
        <v>10</v>
      </c>
      <c r="M2098" s="811" t="str">
        <f t="shared" si="162"/>
        <v>Not In School Age</v>
      </c>
      <c r="P2098" s="1638"/>
      <c r="S2098" s="813">
        <v>15000</v>
      </c>
      <c r="V2098" s="814">
        <f>SUM(S2092:U2097)</f>
        <v>12000</v>
      </c>
      <c r="X2098" s="811" t="str">
        <f t="shared" si="160"/>
        <v/>
      </c>
      <c r="AB2098" s="940">
        <f>SUM(Y2093:AA2098)</f>
        <v>320</v>
      </c>
      <c r="AG2098" s="807" t="str">
        <f t="shared" si="161"/>
        <v/>
      </c>
      <c r="AJ2098" s="865"/>
    </row>
    <row r="2099" spans="1:97" ht="15">
      <c r="A2099" s="311" t="s">
        <v>12353</v>
      </c>
      <c r="B2099" s="831"/>
      <c r="D2099" s="1074" t="s">
        <v>8048</v>
      </c>
      <c r="E2099" s="1045" t="s">
        <v>3195</v>
      </c>
      <c r="G2099" s="827"/>
      <c r="H2099" s="809" t="s">
        <v>10743</v>
      </c>
      <c r="I2099" s="92">
        <v>9</v>
      </c>
      <c r="J2099" s="92" t="s">
        <v>18</v>
      </c>
      <c r="K2099" s="92" t="s">
        <v>768</v>
      </c>
      <c r="L2099" s="810">
        <v>2</v>
      </c>
      <c r="M2099" s="811" t="str">
        <f t="shared" si="162"/>
        <v>Elementary Level</v>
      </c>
      <c r="N2099" s="92" t="s">
        <v>1208</v>
      </c>
      <c r="O2099" s="812" t="s">
        <v>3640</v>
      </c>
      <c r="P2099" s="1638" t="s">
        <v>12605</v>
      </c>
      <c r="Q2099" s="812" t="s">
        <v>3640</v>
      </c>
      <c r="V2099" s="828"/>
      <c r="W2099" s="815">
        <v>3</v>
      </c>
      <c r="X2099" s="811" t="str">
        <f t="shared" si="160"/>
        <v>within the Province</v>
      </c>
      <c r="Y2099" s="816">
        <f>10*26</f>
        <v>260</v>
      </c>
      <c r="Z2099" s="987"/>
      <c r="AB2099" s="953"/>
      <c r="AG2099" s="807" t="str">
        <f t="shared" si="161"/>
        <v/>
      </c>
      <c r="AJ2099" s="865"/>
    </row>
    <row r="2100" spans="1:97" ht="15">
      <c r="A2100" s="311" t="s">
        <v>12353</v>
      </c>
      <c r="B2100" s="831"/>
      <c r="D2100" s="1074" t="s">
        <v>8048</v>
      </c>
      <c r="E2100" s="1045" t="s">
        <v>3195</v>
      </c>
      <c r="G2100" s="827"/>
      <c r="H2100" s="809" t="s">
        <v>5004</v>
      </c>
      <c r="I2100" s="92">
        <v>51</v>
      </c>
      <c r="J2100" s="92" t="s">
        <v>10</v>
      </c>
      <c r="K2100" s="92" t="s">
        <v>707</v>
      </c>
      <c r="L2100" s="810">
        <v>5</v>
      </c>
      <c r="M2100" s="811" t="str">
        <f t="shared" si="162"/>
        <v>High School Graduate</v>
      </c>
      <c r="P2100" s="1638"/>
      <c r="S2100" s="940"/>
      <c r="V2100" s="828"/>
      <c r="X2100" s="811" t="str">
        <f t="shared" si="160"/>
        <v/>
      </c>
      <c r="AB2100" s="953"/>
      <c r="AG2100" s="807" t="str">
        <f t="shared" si="161"/>
        <v/>
      </c>
      <c r="AJ2100" s="865"/>
    </row>
    <row r="2101" spans="1:97" ht="15">
      <c r="A2101" s="311" t="s">
        <v>12353</v>
      </c>
      <c r="B2101" s="831"/>
      <c r="D2101" s="1074" t="s">
        <v>8048</v>
      </c>
      <c r="E2101" s="1045" t="s">
        <v>3195</v>
      </c>
      <c r="G2101" s="827"/>
      <c r="H2101" s="809" t="s">
        <v>10745</v>
      </c>
      <c r="I2101" s="92">
        <v>52</v>
      </c>
      <c r="J2101" s="92" t="s">
        <v>18</v>
      </c>
      <c r="K2101" s="92" t="s">
        <v>707</v>
      </c>
      <c r="L2101" s="810">
        <v>4</v>
      </c>
      <c r="M2101" s="811" t="str">
        <f t="shared" si="162"/>
        <v>High School Level</v>
      </c>
      <c r="N2101" s="92" t="s">
        <v>1208</v>
      </c>
      <c r="O2101" s="812" t="s">
        <v>10747</v>
      </c>
      <c r="P2101" s="1638"/>
      <c r="Q2101" s="812" t="s">
        <v>10747</v>
      </c>
      <c r="S2101" s="940"/>
      <c r="V2101" s="828"/>
      <c r="W2101" s="815">
        <v>2</v>
      </c>
      <c r="X2101" s="811" t="str">
        <f t="shared" si="160"/>
        <v>within the Municipality/City</v>
      </c>
      <c r="Y2101" s="816">
        <f>30*26</f>
        <v>780</v>
      </c>
      <c r="AB2101" s="953"/>
      <c r="AG2101" s="807" t="str">
        <f t="shared" si="161"/>
        <v/>
      </c>
      <c r="AJ2101" s="865"/>
    </row>
    <row r="2102" spans="1:97" ht="15">
      <c r="A2102" s="343" t="s">
        <v>7419</v>
      </c>
      <c r="B2102" s="809" t="s">
        <v>8049</v>
      </c>
      <c r="C2102" s="149" t="s">
        <v>4996</v>
      </c>
      <c r="D2102" s="1074" t="s">
        <v>10744</v>
      </c>
      <c r="G2102" s="809" t="s">
        <v>4996</v>
      </c>
      <c r="H2102" s="809" t="s">
        <v>10746</v>
      </c>
      <c r="I2102" s="92">
        <v>28</v>
      </c>
      <c r="J2102" s="92" t="s">
        <v>10</v>
      </c>
      <c r="K2102" s="92" t="s">
        <v>768</v>
      </c>
      <c r="L2102" s="810">
        <v>7</v>
      </c>
      <c r="M2102" s="811" t="str">
        <f t="shared" si="162"/>
        <v>College Graduate or Higher</v>
      </c>
      <c r="N2102" s="92" t="s">
        <v>1208</v>
      </c>
      <c r="O2102" s="812" t="s">
        <v>8514</v>
      </c>
      <c r="P2102" s="1638"/>
      <c r="Q2102" s="812" t="s">
        <v>8514</v>
      </c>
      <c r="S2102" s="813">
        <f>1200*4</f>
        <v>4800</v>
      </c>
      <c r="V2102" s="828"/>
      <c r="W2102" s="815">
        <v>2</v>
      </c>
      <c r="X2102" s="811" t="str">
        <f t="shared" si="160"/>
        <v>within the Municipality/City</v>
      </c>
      <c r="Y2102" s="816">
        <f>64*26</f>
        <v>1664</v>
      </c>
      <c r="AB2102" s="953"/>
      <c r="AG2102" s="807" t="str">
        <f t="shared" si="161"/>
        <v/>
      </c>
      <c r="AJ2102" s="865"/>
    </row>
    <row r="2103" spans="1:97" ht="15">
      <c r="A2103" s="343" t="s">
        <v>7419</v>
      </c>
      <c r="C2103" s="807"/>
      <c r="D2103" s="1074" t="s">
        <v>10744</v>
      </c>
      <c r="G2103" s="827"/>
      <c r="H2103" s="809" t="s">
        <v>10748</v>
      </c>
      <c r="I2103" s="92">
        <v>26</v>
      </c>
      <c r="J2103" s="92" t="s">
        <v>18</v>
      </c>
      <c r="K2103" s="92" t="s">
        <v>768</v>
      </c>
      <c r="L2103" s="810">
        <v>6</v>
      </c>
      <c r="M2103" s="811" t="str">
        <f t="shared" si="162"/>
        <v>College Level</v>
      </c>
      <c r="N2103" s="92" t="s">
        <v>1208</v>
      </c>
      <c r="O2103" s="812" t="s">
        <v>10750</v>
      </c>
      <c r="P2103" s="1638"/>
      <c r="Q2103" s="812" t="s">
        <v>10750</v>
      </c>
      <c r="V2103" s="828"/>
      <c r="W2103" s="815">
        <v>2</v>
      </c>
      <c r="X2103" s="811" t="str">
        <f t="shared" si="160"/>
        <v>within the Municipality/City</v>
      </c>
      <c r="Y2103" s="816">
        <f>32*26</f>
        <v>832</v>
      </c>
      <c r="AB2103" s="953"/>
      <c r="AG2103" s="807" t="str">
        <f t="shared" si="161"/>
        <v/>
      </c>
      <c r="AJ2103" s="865"/>
    </row>
    <row r="2104" spans="1:97" ht="15">
      <c r="A2104" s="343" t="s">
        <v>7419</v>
      </c>
      <c r="C2104" s="807"/>
      <c r="D2104" s="1074" t="s">
        <v>10744</v>
      </c>
      <c r="G2104" s="827"/>
      <c r="H2104" s="809" t="s">
        <v>10749</v>
      </c>
      <c r="I2104" s="92">
        <v>25</v>
      </c>
      <c r="J2104" s="92" t="s">
        <v>10</v>
      </c>
      <c r="K2104" s="92" t="s">
        <v>768</v>
      </c>
      <c r="L2104" s="810">
        <v>4</v>
      </c>
      <c r="M2104" s="811" t="str">
        <f t="shared" si="162"/>
        <v>High School Level</v>
      </c>
      <c r="P2104" s="1638"/>
      <c r="V2104" s="828"/>
      <c r="X2104" s="811" t="str">
        <f t="shared" si="160"/>
        <v/>
      </c>
      <c r="AB2104" s="953"/>
      <c r="AG2104" s="807" t="str">
        <f t="shared" si="161"/>
        <v/>
      </c>
      <c r="AJ2104" s="865"/>
    </row>
    <row r="2105" spans="1:97" ht="15">
      <c r="A2105" s="343" t="s">
        <v>7419</v>
      </c>
      <c r="C2105" s="807"/>
      <c r="D2105" s="1074" t="s">
        <v>10744</v>
      </c>
      <c r="G2105" s="827"/>
      <c r="H2105" s="809" t="s">
        <v>10751</v>
      </c>
      <c r="I2105" s="92">
        <v>22</v>
      </c>
      <c r="J2105" s="92" t="s">
        <v>10</v>
      </c>
      <c r="K2105" s="92" t="s">
        <v>768</v>
      </c>
      <c r="L2105" s="810">
        <v>6</v>
      </c>
      <c r="M2105" s="811" t="str">
        <f t="shared" si="162"/>
        <v>College Level</v>
      </c>
      <c r="P2105" s="1638"/>
      <c r="V2105" s="828"/>
      <c r="X2105" s="811" t="str">
        <f t="shared" si="160"/>
        <v/>
      </c>
      <c r="AB2105" s="953"/>
      <c r="AG2105" s="807" t="str">
        <f t="shared" si="161"/>
        <v/>
      </c>
      <c r="AJ2105" s="865"/>
    </row>
    <row r="2106" spans="1:97" ht="15">
      <c r="A2106" s="343" t="s">
        <v>7419</v>
      </c>
      <c r="C2106" s="807"/>
      <c r="D2106" s="1074" t="s">
        <v>10744</v>
      </c>
      <c r="G2106" s="827"/>
      <c r="H2106" s="809" t="s">
        <v>10752</v>
      </c>
      <c r="I2106" s="92">
        <v>17</v>
      </c>
      <c r="J2106" s="92" t="s">
        <v>10</v>
      </c>
      <c r="K2106" s="92" t="s">
        <v>768</v>
      </c>
      <c r="L2106" s="810">
        <v>4</v>
      </c>
      <c r="M2106" s="811" t="str">
        <f t="shared" si="162"/>
        <v>High School Level</v>
      </c>
      <c r="P2106" s="1638"/>
      <c r="V2106" s="828"/>
      <c r="X2106" s="811" t="str">
        <f t="shared" si="160"/>
        <v/>
      </c>
      <c r="AB2106" s="953"/>
      <c r="AG2106" s="807" t="str">
        <f t="shared" si="161"/>
        <v/>
      </c>
      <c r="AJ2106" s="865"/>
    </row>
    <row r="2107" spans="1:97" ht="15">
      <c r="A2107" s="343" t="s">
        <v>7419</v>
      </c>
      <c r="C2107" s="807"/>
      <c r="D2107" s="1074" t="s">
        <v>10744</v>
      </c>
      <c r="G2107" s="827"/>
      <c r="H2107" s="809" t="s">
        <v>10753</v>
      </c>
      <c r="I2107" s="92">
        <v>4</v>
      </c>
      <c r="J2107" s="92" t="s">
        <v>18</v>
      </c>
      <c r="K2107" s="92" t="s">
        <v>768</v>
      </c>
      <c r="L2107" s="810">
        <v>1</v>
      </c>
      <c r="M2107" s="811" t="str">
        <f t="shared" si="162"/>
        <v>Pre-school</v>
      </c>
      <c r="P2107" s="1638"/>
      <c r="V2107" s="828"/>
      <c r="X2107" s="811" t="str">
        <f t="shared" si="160"/>
        <v/>
      </c>
      <c r="AB2107" s="953"/>
      <c r="AG2107" s="807" t="str">
        <f t="shared" si="161"/>
        <v/>
      </c>
      <c r="AJ2107" s="865"/>
    </row>
    <row r="2108" spans="1:97" ht="15">
      <c r="A2108" s="343" t="s">
        <v>7419</v>
      </c>
      <c r="C2108" s="807"/>
      <c r="D2108" s="1074" t="s">
        <v>10744</v>
      </c>
      <c r="G2108" s="827"/>
      <c r="H2108" s="809" t="s">
        <v>10754</v>
      </c>
      <c r="I2108" s="92">
        <v>3</v>
      </c>
      <c r="J2108" s="92" t="s">
        <v>10</v>
      </c>
      <c r="K2108" s="92" t="s">
        <v>768</v>
      </c>
      <c r="L2108" s="810">
        <v>1</v>
      </c>
      <c r="M2108" s="811" t="str">
        <f t="shared" si="162"/>
        <v>Pre-school</v>
      </c>
      <c r="P2108" s="1638"/>
      <c r="U2108" s="940">
        <v>900</v>
      </c>
      <c r="V2108" s="828">
        <f>SUM(S2098:U2107)</f>
        <v>19800</v>
      </c>
      <c r="X2108" s="811" t="str">
        <f t="shared" si="160"/>
        <v/>
      </c>
      <c r="AB2108" s="953">
        <f>SUM(Y2099:AA2108)</f>
        <v>3536</v>
      </c>
      <c r="AG2108" s="807" t="str">
        <f t="shared" si="161"/>
        <v/>
      </c>
      <c r="AJ2108" s="865"/>
    </row>
    <row r="2109" spans="1:97" ht="15">
      <c r="A2109" s="343" t="s">
        <v>7419</v>
      </c>
      <c r="C2109" s="807"/>
      <c r="D2109" s="1074" t="s">
        <v>10744</v>
      </c>
      <c r="G2109" s="827"/>
      <c r="H2109" s="809" t="s">
        <v>10755</v>
      </c>
      <c r="I2109" s="92">
        <v>0</v>
      </c>
      <c r="J2109" s="92" t="s">
        <v>10</v>
      </c>
      <c r="K2109" s="92" t="s">
        <v>768</v>
      </c>
      <c r="L2109" s="810">
        <v>10</v>
      </c>
      <c r="M2109" s="811" t="str">
        <f t="shared" si="162"/>
        <v>Not In School Age</v>
      </c>
      <c r="N2109" s="92" t="s">
        <v>1208</v>
      </c>
      <c r="O2109" s="812" t="s">
        <v>1263</v>
      </c>
      <c r="P2109" s="1638"/>
      <c r="Q2109" s="812" t="s">
        <v>1263</v>
      </c>
      <c r="U2109" s="813">
        <v>15000</v>
      </c>
      <c r="V2109" s="961"/>
      <c r="W2109" s="815">
        <v>3</v>
      </c>
      <c r="X2109" s="811" t="str">
        <f t="shared" si="160"/>
        <v>within the Province</v>
      </c>
      <c r="AB2109" s="962"/>
      <c r="AD2109" s="817" t="s">
        <v>10757</v>
      </c>
      <c r="AE2109" s="93" t="s">
        <v>10758</v>
      </c>
      <c r="AF2109" s="818">
        <v>4</v>
      </c>
      <c r="AG2109" s="807" t="str">
        <f t="shared" si="161"/>
        <v>Serious Illness</v>
      </c>
      <c r="AJ2109" s="865"/>
      <c r="CF2109" s="807">
        <v>1</v>
      </c>
      <c r="CS2109" s="807">
        <v>1</v>
      </c>
    </row>
    <row r="2110" spans="1:97" ht="15">
      <c r="A2110" s="343" t="s">
        <v>7419</v>
      </c>
      <c r="C2110" s="807"/>
      <c r="D2110" s="1074" t="s">
        <v>10744</v>
      </c>
      <c r="G2110" s="827"/>
      <c r="H2110" s="809" t="s">
        <v>3213</v>
      </c>
      <c r="I2110" s="857">
        <v>60</v>
      </c>
      <c r="J2110" s="92" t="s">
        <v>10</v>
      </c>
      <c r="K2110" s="92" t="s">
        <v>707</v>
      </c>
      <c r="L2110" s="810">
        <v>5</v>
      </c>
      <c r="M2110" s="811" t="str">
        <f t="shared" si="162"/>
        <v>High School Graduate</v>
      </c>
      <c r="N2110" s="92" t="s">
        <v>1208</v>
      </c>
      <c r="O2110" s="812" t="s">
        <v>10760</v>
      </c>
      <c r="P2110" s="1638"/>
      <c r="Q2110" s="812" t="s">
        <v>10760</v>
      </c>
      <c r="U2110" s="813">
        <v>2400</v>
      </c>
      <c r="V2110" s="961">
        <f>SUM(S2108:U2109)</f>
        <v>15900</v>
      </c>
      <c r="W2110" s="815">
        <v>3</v>
      </c>
      <c r="X2110" s="811" t="str">
        <f t="shared" si="160"/>
        <v>within the Province</v>
      </c>
      <c r="AB2110" s="962">
        <f>SUM(Y2109:AA2110)</f>
        <v>0</v>
      </c>
      <c r="AG2110" s="807" t="str">
        <f t="shared" si="161"/>
        <v/>
      </c>
      <c r="AJ2110" s="865"/>
    </row>
    <row r="2111" spans="1:97" ht="15">
      <c r="A2111" s="343" t="s">
        <v>7419</v>
      </c>
      <c r="C2111" s="807"/>
      <c r="D2111" s="1074" t="s">
        <v>10744</v>
      </c>
      <c r="G2111" s="827"/>
      <c r="H2111" s="809" t="s">
        <v>10759</v>
      </c>
      <c r="I2111" s="92">
        <v>53</v>
      </c>
      <c r="J2111" s="92" t="s">
        <v>18</v>
      </c>
      <c r="K2111" s="92" t="s">
        <v>707</v>
      </c>
      <c r="L2111" s="810">
        <v>4</v>
      </c>
      <c r="M2111" s="811" t="str">
        <f t="shared" si="162"/>
        <v>High School Level</v>
      </c>
      <c r="N2111" s="92" t="s">
        <v>1208</v>
      </c>
      <c r="O2111" s="812" t="s">
        <v>10762</v>
      </c>
      <c r="P2111" s="1638"/>
      <c r="Q2111" s="812" t="s">
        <v>10762</v>
      </c>
      <c r="S2111" s="813">
        <v>12000</v>
      </c>
      <c r="W2111" s="815">
        <v>2</v>
      </c>
      <c r="X2111" s="811" t="str">
        <f t="shared" si="160"/>
        <v>within the Municipality/City</v>
      </c>
      <c r="AB2111" s="940"/>
      <c r="AG2111" s="807" t="str">
        <f t="shared" si="161"/>
        <v/>
      </c>
      <c r="AJ2111" s="865"/>
    </row>
    <row r="2112" spans="1:97" ht="15">
      <c r="A2112" s="807"/>
      <c r="C2112" s="807"/>
      <c r="D2112" s="1074" t="s">
        <v>10756</v>
      </c>
      <c r="G2112" s="809" t="s">
        <v>3211</v>
      </c>
      <c r="H2112" s="809" t="s">
        <v>3215</v>
      </c>
      <c r="I2112" s="92">
        <v>47</v>
      </c>
      <c r="J2112" s="92" t="s">
        <v>18</v>
      </c>
      <c r="K2112" s="92" t="s">
        <v>783</v>
      </c>
      <c r="L2112" s="810">
        <v>5</v>
      </c>
      <c r="M2112" s="811" t="str">
        <f t="shared" si="162"/>
        <v>High School Graduate</v>
      </c>
      <c r="N2112" s="92" t="s">
        <v>1208</v>
      </c>
      <c r="O2112" s="812" t="s">
        <v>10764</v>
      </c>
      <c r="P2112" s="1638"/>
      <c r="Q2112" s="812" t="s">
        <v>10764</v>
      </c>
      <c r="W2112" s="815">
        <v>3</v>
      </c>
      <c r="X2112" s="811" t="str">
        <f t="shared" si="160"/>
        <v>within the Province</v>
      </c>
      <c r="Y2112" s="816">
        <v>3000</v>
      </c>
      <c r="AB2112" s="940"/>
      <c r="AG2112" s="807" t="str">
        <f t="shared" si="161"/>
        <v/>
      </c>
      <c r="AJ2112" s="865"/>
    </row>
    <row r="2113" spans="1:96" ht="15">
      <c r="A2113" s="807"/>
      <c r="C2113" s="807"/>
      <c r="D2113" s="1074"/>
      <c r="G2113" s="827"/>
      <c r="H2113" s="809" t="s">
        <v>10763</v>
      </c>
      <c r="I2113" s="92">
        <v>20</v>
      </c>
      <c r="J2113" s="92" t="s">
        <v>18</v>
      </c>
      <c r="K2113" s="92" t="s">
        <v>768</v>
      </c>
      <c r="L2113" s="810">
        <v>7</v>
      </c>
      <c r="M2113" s="811" t="str">
        <f t="shared" si="162"/>
        <v>College Graduate or Higher</v>
      </c>
      <c r="P2113" s="1638"/>
      <c r="X2113" s="811" t="str">
        <f t="shared" si="160"/>
        <v/>
      </c>
      <c r="AB2113" s="940"/>
      <c r="AG2113" s="807" t="str">
        <f t="shared" si="161"/>
        <v/>
      </c>
      <c r="AJ2113" s="865"/>
    </row>
    <row r="2114" spans="1:96" ht="15">
      <c r="A2114" s="807"/>
      <c r="C2114" s="807"/>
      <c r="D2114" s="410" t="s">
        <v>10761</v>
      </c>
      <c r="E2114" s="1046"/>
      <c r="F2114" s="1046"/>
      <c r="G2114" s="934"/>
      <c r="H2114" s="809" t="s">
        <v>10765</v>
      </c>
      <c r="I2114" s="92">
        <v>18</v>
      </c>
      <c r="J2114" s="92" t="s">
        <v>10</v>
      </c>
      <c r="K2114" s="92" t="s">
        <v>768</v>
      </c>
      <c r="L2114" s="810">
        <v>6</v>
      </c>
      <c r="M2114" s="811" t="str">
        <f t="shared" si="162"/>
        <v>College Level</v>
      </c>
      <c r="P2114" s="1638"/>
      <c r="V2114" s="814">
        <f>SUM(S2110:U2113)</f>
        <v>14400</v>
      </c>
      <c r="X2114" s="811" t="str">
        <f t="shared" si="160"/>
        <v/>
      </c>
      <c r="AB2114" s="940">
        <f>SUM(Y2111:AA2114)</f>
        <v>3000</v>
      </c>
      <c r="AG2114" s="807" t="str">
        <f t="shared" si="161"/>
        <v/>
      </c>
      <c r="AJ2114" s="865"/>
    </row>
    <row r="2115" spans="1:96" ht="15">
      <c r="A2115" s="92"/>
      <c r="B2115" s="831"/>
      <c r="D2115" s="1074"/>
      <c r="G2115" s="827"/>
      <c r="H2115" s="809" t="s">
        <v>10766</v>
      </c>
      <c r="I2115" s="92">
        <v>16</v>
      </c>
      <c r="J2115" s="92" t="s">
        <v>18</v>
      </c>
      <c r="K2115" s="92" t="s">
        <v>768</v>
      </c>
      <c r="L2115" s="810">
        <v>4</v>
      </c>
      <c r="M2115" s="811" t="str">
        <f t="shared" si="162"/>
        <v>High School Level</v>
      </c>
      <c r="P2115" s="1638"/>
      <c r="S2115" s="813">
        <v>10000</v>
      </c>
      <c r="V2115" s="828"/>
      <c r="X2115" s="811" t="str">
        <f t="shared" si="160"/>
        <v/>
      </c>
      <c r="AB2115" s="953"/>
      <c r="AD2115" s="817" t="s">
        <v>10768</v>
      </c>
      <c r="AE2115" s="93" t="s">
        <v>10769</v>
      </c>
      <c r="AF2115" s="818">
        <v>3</v>
      </c>
      <c r="AG2115" s="807" t="str">
        <f t="shared" si="161"/>
        <v>Special Medical Care</v>
      </c>
      <c r="AJ2115" s="865"/>
    </row>
    <row r="2116" spans="1:96" ht="15">
      <c r="A2116" s="92"/>
      <c r="B2116" s="831"/>
      <c r="D2116" s="1074"/>
      <c r="G2116" s="827"/>
      <c r="H2116" s="809" t="s">
        <v>3216</v>
      </c>
      <c r="I2116" s="92">
        <v>82</v>
      </c>
      <c r="J2116" s="92" t="s">
        <v>18</v>
      </c>
      <c r="K2116" s="92" t="s">
        <v>719</v>
      </c>
      <c r="L2116" s="810">
        <v>3</v>
      </c>
      <c r="M2116" s="811" t="str">
        <f t="shared" si="162"/>
        <v>Elementary Graduate</v>
      </c>
      <c r="N2116" s="92" t="s">
        <v>1208</v>
      </c>
      <c r="O2116" s="812" t="s">
        <v>10771</v>
      </c>
      <c r="P2116" s="1638"/>
      <c r="Q2116" s="812" t="s">
        <v>10771</v>
      </c>
      <c r="V2116" s="828"/>
      <c r="W2116" s="815">
        <v>2</v>
      </c>
      <c r="X2116" s="811" t="str">
        <f t="shared" si="160"/>
        <v>within the Municipality/City</v>
      </c>
      <c r="Y2116" s="816">
        <v>5700</v>
      </c>
      <c r="AB2116" s="953"/>
      <c r="AG2116" s="807" t="str">
        <f t="shared" si="161"/>
        <v/>
      </c>
      <c r="AJ2116" s="865"/>
    </row>
    <row r="2117" spans="1:96" ht="15">
      <c r="D2117" s="1074"/>
      <c r="G2117" s="827"/>
      <c r="H2117" s="809" t="s">
        <v>10770</v>
      </c>
      <c r="I2117" s="92">
        <v>50</v>
      </c>
      <c r="J2117" s="92" t="s">
        <v>18</v>
      </c>
      <c r="K2117" s="92" t="s">
        <v>783</v>
      </c>
      <c r="L2117" s="810">
        <v>9</v>
      </c>
      <c r="M2117" s="811" t="str">
        <f t="shared" si="162"/>
        <v>Vocational Graduate</v>
      </c>
      <c r="P2117" s="1638"/>
      <c r="S2117" s="813">
        <v>10000</v>
      </c>
      <c r="V2117" s="828"/>
      <c r="X2117" s="811" t="str">
        <f t="shared" ref="X2117:X2177" si="163">IF(ISBLANK(W2117)=TRUE,"",LOOKUP(W2117,GO:GP))</f>
        <v/>
      </c>
      <c r="AB2117" s="953"/>
      <c r="AG2117" s="807" t="str">
        <f t="shared" si="161"/>
        <v/>
      </c>
      <c r="AJ2117" s="865"/>
    </row>
    <row r="2118" spans="1:96" ht="15">
      <c r="D2118" s="410" t="s">
        <v>10767</v>
      </c>
      <c r="E2118" s="1046"/>
      <c r="F2118" s="1046"/>
      <c r="G2118" s="126" t="s">
        <v>3211</v>
      </c>
      <c r="H2118" s="809" t="s">
        <v>10772</v>
      </c>
      <c r="I2118" s="92">
        <v>25</v>
      </c>
      <c r="J2118" s="92" t="s">
        <v>18</v>
      </c>
      <c r="K2118" s="92" t="s">
        <v>768</v>
      </c>
      <c r="L2118" s="810">
        <v>7</v>
      </c>
      <c r="M2118" s="811" t="str">
        <f t="shared" si="162"/>
        <v>College Graduate or Higher</v>
      </c>
      <c r="N2118" s="92" t="s">
        <v>1208</v>
      </c>
      <c r="O2118" s="812" t="s">
        <v>10774</v>
      </c>
      <c r="P2118" s="1638"/>
      <c r="Q2118" s="812" t="s">
        <v>10774</v>
      </c>
      <c r="R2118" s="92" t="s">
        <v>8234</v>
      </c>
      <c r="U2118" s="940">
        <v>3000</v>
      </c>
      <c r="V2118" s="828">
        <f>SUM(S2114:U2117)</f>
        <v>20000</v>
      </c>
      <c r="W2118" s="815">
        <v>3</v>
      </c>
      <c r="X2118" s="811" t="str">
        <f t="shared" si="163"/>
        <v>within the Province</v>
      </c>
      <c r="Y2118" s="816">
        <v>2400</v>
      </c>
      <c r="AB2118" s="953">
        <f>SUM(Y2115:AA2118)</f>
        <v>8100</v>
      </c>
      <c r="AG2118" s="807" t="str">
        <f t="shared" si="161"/>
        <v/>
      </c>
      <c r="AJ2118" s="865"/>
    </row>
    <row r="2119" spans="1:96" ht="15">
      <c r="D2119" s="1074"/>
      <c r="G2119" s="827"/>
      <c r="H2119" s="809" t="s">
        <v>10773</v>
      </c>
      <c r="I2119" s="92">
        <v>23</v>
      </c>
      <c r="J2119" s="92" t="s">
        <v>18</v>
      </c>
      <c r="K2119" s="92" t="s">
        <v>768</v>
      </c>
      <c r="L2119" s="810">
        <v>7</v>
      </c>
      <c r="M2119" s="811" t="str">
        <f t="shared" si="162"/>
        <v>College Graduate or Higher</v>
      </c>
      <c r="N2119" s="92" t="s">
        <v>1208</v>
      </c>
      <c r="O2119" s="812" t="s">
        <v>10776</v>
      </c>
      <c r="P2119" s="1638" t="s">
        <v>12614</v>
      </c>
      <c r="Q2119" s="812" t="s">
        <v>10776</v>
      </c>
      <c r="R2119" s="812" t="s">
        <v>8285</v>
      </c>
      <c r="S2119" s="813" t="s">
        <v>4328</v>
      </c>
      <c r="V2119" s="961"/>
      <c r="W2119" s="815">
        <v>1</v>
      </c>
      <c r="X2119" s="811" t="str">
        <f t="shared" si="163"/>
        <v>within the Brgy</v>
      </c>
      <c r="AB2119" s="962"/>
      <c r="AD2119" s="817" t="s">
        <v>10777</v>
      </c>
      <c r="AG2119" s="807" t="str">
        <f t="shared" si="161"/>
        <v/>
      </c>
      <c r="AJ2119" s="865"/>
    </row>
    <row r="2120" spans="1:96" ht="15">
      <c r="D2120" s="1074"/>
      <c r="G2120" s="827"/>
      <c r="H2120" s="809" t="s">
        <v>5020</v>
      </c>
      <c r="I2120" s="92">
        <v>57</v>
      </c>
      <c r="J2120" s="92" t="s">
        <v>18</v>
      </c>
      <c r="K2120" s="92" t="s">
        <v>707</v>
      </c>
      <c r="L2120" s="810">
        <v>5</v>
      </c>
      <c r="M2120" s="811" t="str">
        <f t="shared" si="162"/>
        <v>High School Graduate</v>
      </c>
      <c r="N2120" s="92" t="s">
        <v>1208</v>
      </c>
      <c r="O2120" s="812" t="s">
        <v>10779</v>
      </c>
      <c r="P2120" s="1638"/>
      <c r="Q2120" s="812" t="s">
        <v>10779</v>
      </c>
      <c r="V2120" s="961"/>
      <c r="W2120" s="815">
        <v>3</v>
      </c>
      <c r="X2120" s="811" t="str">
        <f t="shared" si="163"/>
        <v>within the Province</v>
      </c>
      <c r="AB2120" s="962"/>
      <c r="AG2120" s="807" t="str">
        <f t="shared" si="161"/>
        <v/>
      </c>
      <c r="AJ2120" s="865"/>
    </row>
    <row r="2121" spans="1:96" ht="15">
      <c r="D2121" s="1074"/>
      <c r="G2121" s="827"/>
      <c r="H2121" s="809" t="s">
        <v>10778</v>
      </c>
      <c r="I2121" s="92">
        <v>37</v>
      </c>
      <c r="J2121" s="92" t="s">
        <v>10</v>
      </c>
      <c r="K2121" s="92" t="s">
        <v>768</v>
      </c>
      <c r="L2121" s="810">
        <v>7</v>
      </c>
      <c r="M2121" s="811" t="str">
        <f t="shared" si="162"/>
        <v>College Graduate or Higher</v>
      </c>
      <c r="P2121" s="1638"/>
      <c r="V2121" s="961"/>
      <c r="X2121" s="811" t="str">
        <f t="shared" si="163"/>
        <v/>
      </c>
      <c r="AB2121" s="962"/>
      <c r="AG2121" s="807" t="str">
        <f t="shared" si="161"/>
        <v/>
      </c>
      <c r="AJ2121" s="865"/>
    </row>
    <row r="2122" spans="1:96" ht="15">
      <c r="A2122" s="19" t="s">
        <v>7421</v>
      </c>
      <c r="B2122" s="292" t="s">
        <v>7463</v>
      </c>
      <c r="C2122" s="149" t="s">
        <v>5013</v>
      </c>
      <c r="D2122" s="410" t="s">
        <v>10775</v>
      </c>
      <c r="E2122" s="1045" t="s">
        <v>5013</v>
      </c>
      <c r="F2122" s="1048" t="s">
        <v>5020</v>
      </c>
      <c r="G2122" s="809" t="s">
        <v>5013</v>
      </c>
      <c r="H2122" s="809" t="s">
        <v>10780</v>
      </c>
      <c r="I2122" s="92">
        <v>77</v>
      </c>
      <c r="J2122" s="92" t="s">
        <v>18</v>
      </c>
      <c r="K2122" s="92" t="s">
        <v>719</v>
      </c>
      <c r="L2122" s="810">
        <v>4</v>
      </c>
      <c r="M2122" s="811" t="str">
        <f t="shared" si="162"/>
        <v>High School Level</v>
      </c>
      <c r="P2122" s="1638"/>
      <c r="V2122" s="961"/>
      <c r="X2122" s="811" t="str">
        <f t="shared" si="163"/>
        <v/>
      </c>
      <c r="AB2122" s="962"/>
      <c r="AG2122" s="807" t="str">
        <f t="shared" si="161"/>
        <v/>
      </c>
      <c r="AJ2122" s="865"/>
    </row>
    <row r="2123" spans="1:96" ht="15">
      <c r="A2123" s="19" t="s">
        <v>7421</v>
      </c>
      <c r="C2123" s="807"/>
      <c r="D2123" s="410" t="s">
        <v>10775</v>
      </c>
      <c r="E2123" s="1045" t="s">
        <v>5013</v>
      </c>
      <c r="F2123" s="807"/>
      <c r="G2123" s="827"/>
      <c r="H2123" s="809" t="s">
        <v>10781</v>
      </c>
      <c r="I2123" s="92">
        <v>18</v>
      </c>
      <c r="J2123" s="92" t="s">
        <v>18</v>
      </c>
      <c r="K2123" s="92" t="s">
        <v>768</v>
      </c>
      <c r="L2123" s="810">
        <v>4</v>
      </c>
      <c r="M2123" s="811" t="str">
        <f t="shared" si="162"/>
        <v>High School Level</v>
      </c>
      <c r="P2123" s="1638"/>
      <c r="R2123" s="812" t="s">
        <v>8285</v>
      </c>
      <c r="S2123" s="813" t="s">
        <v>4328</v>
      </c>
      <c r="V2123" s="961"/>
      <c r="X2123" s="811" t="str">
        <f t="shared" si="163"/>
        <v/>
      </c>
      <c r="AB2123" s="962"/>
      <c r="AG2123" s="807" t="str">
        <f t="shared" si="161"/>
        <v/>
      </c>
      <c r="AJ2123" s="865"/>
    </row>
    <row r="2124" spans="1:96" ht="15">
      <c r="A2124" s="19" t="s">
        <v>7421</v>
      </c>
      <c r="C2124" s="807"/>
      <c r="D2124" s="410" t="s">
        <v>10775</v>
      </c>
      <c r="E2124" s="1045" t="s">
        <v>5013</v>
      </c>
      <c r="F2124" s="807"/>
      <c r="G2124" s="827"/>
      <c r="H2124" s="809" t="s">
        <v>10782</v>
      </c>
      <c r="I2124" s="92">
        <v>44</v>
      </c>
      <c r="J2124" s="92" t="s">
        <v>10</v>
      </c>
      <c r="K2124" s="92" t="s">
        <v>768</v>
      </c>
      <c r="L2124" s="810">
        <v>6</v>
      </c>
      <c r="M2124" s="811" t="str">
        <f t="shared" si="162"/>
        <v>College Level</v>
      </c>
      <c r="N2124" s="92" t="s">
        <v>1208</v>
      </c>
      <c r="O2124" s="812" t="s">
        <v>2200</v>
      </c>
      <c r="P2124" s="1638"/>
      <c r="Q2124" s="812" t="s">
        <v>2200</v>
      </c>
      <c r="V2124" s="961"/>
      <c r="W2124" s="815">
        <v>3</v>
      </c>
      <c r="X2124" s="811" t="str">
        <f t="shared" si="163"/>
        <v>within the Province</v>
      </c>
      <c r="AB2124" s="962"/>
      <c r="AG2124" s="807" t="str">
        <f t="shared" si="161"/>
        <v/>
      </c>
      <c r="AJ2124" s="865"/>
    </row>
    <row r="2125" spans="1:96" ht="15">
      <c r="A2125" s="19" t="s">
        <v>7421</v>
      </c>
      <c r="C2125" s="807"/>
      <c r="D2125" s="410" t="s">
        <v>10775</v>
      </c>
      <c r="E2125" s="1045" t="s">
        <v>5013</v>
      </c>
      <c r="F2125" s="807"/>
      <c r="G2125" s="827"/>
      <c r="H2125" s="809" t="s">
        <v>10783</v>
      </c>
      <c r="I2125" s="857">
        <v>60</v>
      </c>
      <c r="J2125" s="92" t="s">
        <v>10</v>
      </c>
      <c r="K2125" s="92" t="s">
        <v>707</v>
      </c>
      <c r="L2125" s="810">
        <v>5</v>
      </c>
      <c r="M2125" s="811" t="str">
        <f t="shared" si="162"/>
        <v>High School Graduate</v>
      </c>
      <c r="P2125" s="1638"/>
      <c r="V2125" s="961"/>
      <c r="X2125" s="811" t="str">
        <f t="shared" si="163"/>
        <v/>
      </c>
      <c r="AB2125" s="962"/>
      <c r="AG2125" s="807" t="str">
        <f t="shared" si="161"/>
        <v/>
      </c>
      <c r="AJ2125" s="865"/>
    </row>
    <row r="2126" spans="1:96" ht="15">
      <c r="A2126" s="19" t="s">
        <v>7421</v>
      </c>
      <c r="C2126" s="807"/>
      <c r="D2126" s="410" t="s">
        <v>10775</v>
      </c>
      <c r="E2126" s="1045" t="s">
        <v>5013</v>
      </c>
      <c r="F2126" s="807"/>
      <c r="G2126" s="827"/>
      <c r="H2126" s="809" t="s">
        <v>10784</v>
      </c>
      <c r="I2126" s="92">
        <v>31</v>
      </c>
      <c r="J2126" s="92" t="s">
        <v>18</v>
      </c>
      <c r="K2126" s="92" t="s">
        <v>768</v>
      </c>
      <c r="L2126" s="810">
        <v>7</v>
      </c>
      <c r="M2126" s="811" t="str">
        <f t="shared" si="162"/>
        <v>College Graduate or Higher</v>
      </c>
      <c r="P2126" s="1638"/>
      <c r="R2126" s="92" t="s">
        <v>8234</v>
      </c>
      <c r="S2126" s="813">
        <v>4500</v>
      </c>
      <c r="V2126" s="961">
        <f>SUM(S2118:U2125)</f>
        <v>3000</v>
      </c>
      <c r="X2126" s="811" t="str">
        <f t="shared" si="163"/>
        <v/>
      </c>
      <c r="AB2126" s="962">
        <f>SUM(Y2119:AA2126)</f>
        <v>0</v>
      </c>
      <c r="AG2126" s="807" t="str">
        <f t="shared" si="161"/>
        <v/>
      </c>
      <c r="AJ2126" s="865"/>
    </row>
    <row r="2127" spans="1:96" ht="15">
      <c r="A2127" s="19" t="s">
        <v>7421</v>
      </c>
      <c r="C2127" s="807"/>
      <c r="D2127" s="410" t="s">
        <v>10775</v>
      </c>
      <c r="E2127" s="1045" t="s">
        <v>5013</v>
      </c>
      <c r="F2127" s="807"/>
      <c r="G2127" s="827"/>
      <c r="H2127" s="809" t="s">
        <v>10785</v>
      </c>
      <c r="I2127" s="92">
        <v>22</v>
      </c>
      <c r="J2127" s="92" t="s">
        <v>10</v>
      </c>
      <c r="K2127" s="92" t="s">
        <v>768</v>
      </c>
      <c r="L2127" s="810">
        <v>7</v>
      </c>
      <c r="M2127" s="811" t="str">
        <f t="shared" si="162"/>
        <v>College Graduate or Higher</v>
      </c>
      <c r="N2127" s="92" t="s">
        <v>1208</v>
      </c>
      <c r="O2127" s="812" t="s">
        <v>2968</v>
      </c>
      <c r="P2127" s="1638" t="s">
        <v>12615</v>
      </c>
      <c r="Q2127" s="812" t="s">
        <v>2968</v>
      </c>
      <c r="R2127" s="812" t="s">
        <v>10434</v>
      </c>
      <c r="S2127" s="813">
        <v>8000</v>
      </c>
      <c r="W2127" s="815">
        <v>2</v>
      </c>
      <c r="X2127" s="811" t="str">
        <f t="shared" si="163"/>
        <v>within the Municipality/City</v>
      </c>
      <c r="Y2127" s="816">
        <v>1200</v>
      </c>
      <c r="Z2127" s="816">
        <f>Y2127/26</f>
        <v>46.153846153846153</v>
      </c>
      <c r="AB2127" s="940"/>
      <c r="AG2127" s="807" t="str">
        <f t="shared" si="161"/>
        <v/>
      </c>
      <c r="AJ2127" s="865"/>
      <c r="CR2127" s="807">
        <v>1</v>
      </c>
    </row>
    <row r="2128" spans="1:96" ht="15">
      <c r="A2128" s="19" t="s">
        <v>7421</v>
      </c>
      <c r="C2128" s="807"/>
      <c r="D2128" s="410" t="s">
        <v>10775</v>
      </c>
      <c r="E2128" s="1045" t="s">
        <v>5013</v>
      </c>
      <c r="F2128" s="807"/>
      <c r="G2128" s="827"/>
      <c r="H2128" s="809" t="s">
        <v>5036</v>
      </c>
      <c r="I2128" s="92">
        <v>34</v>
      </c>
      <c r="J2128" s="92" t="s">
        <v>18</v>
      </c>
      <c r="K2128" s="92" t="s">
        <v>722</v>
      </c>
      <c r="L2128" s="810">
        <v>6</v>
      </c>
      <c r="M2128" s="811" t="str">
        <f t="shared" si="162"/>
        <v>College Level</v>
      </c>
      <c r="N2128" s="92" t="s">
        <v>1208</v>
      </c>
      <c r="O2128" s="812" t="s">
        <v>2220</v>
      </c>
      <c r="P2128" s="1638"/>
      <c r="Q2128" s="812" t="s">
        <v>2220</v>
      </c>
      <c r="R2128" s="92" t="s">
        <v>8234</v>
      </c>
      <c r="S2128" s="813">
        <v>4000</v>
      </c>
      <c r="V2128" s="814">
        <f>SUM(S2126:U2127)</f>
        <v>12500</v>
      </c>
      <c r="W2128" s="815">
        <v>1</v>
      </c>
      <c r="X2128" s="811" t="str">
        <f t="shared" si="163"/>
        <v>within the Brgy</v>
      </c>
      <c r="AB2128" s="940">
        <f>SUM(Y2127:AA2128)</f>
        <v>1246.1538461538462</v>
      </c>
      <c r="AG2128" s="807" t="str">
        <f t="shared" si="161"/>
        <v/>
      </c>
      <c r="AJ2128" s="865"/>
    </row>
    <row r="2129" spans="1:49" ht="15">
      <c r="A2129" s="19" t="s">
        <v>7421</v>
      </c>
      <c r="C2129" s="807"/>
      <c r="D2129" s="410" t="s">
        <v>10775</v>
      </c>
      <c r="E2129" s="1045" t="s">
        <v>5013</v>
      </c>
      <c r="F2129" s="807"/>
      <c r="G2129" s="827"/>
      <c r="H2129" s="809" t="s">
        <v>10787</v>
      </c>
      <c r="I2129" s="92">
        <v>44</v>
      </c>
      <c r="J2129" s="92" t="s">
        <v>10</v>
      </c>
      <c r="K2129" s="92" t="s">
        <v>722</v>
      </c>
      <c r="L2129" s="810">
        <v>2</v>
      </c>
      <c r="M2129" s="811" t="str">
        <f t="shared" si="162"/>
        <v>Elementary Level</v>
      </c>
      <c r="N2129" s="92" t="s">
        <v>1208</v>
      </c>
      <c r="O2129" s="812" t="s">
        <v>10789</v>
      </c>
      <c r="P2129" s="1638" t="s">
        <v>12597</v>
      </c>
      <c r="Q2129" s="812" t="s">
        <v>10789</v>
      </c>
      <c r="V2129" s="828"/>
      <c r="W2129" s="815">
        <v>3</v>
      </c>
      <c r="X2129" s="811" t="str">
        <f t="shared" si="163"/>
        <v>within the Province</v>
      </c>
      <c r="Y2129" s="816">
        <f>50*26</f>
        <v>1300</v>
      </c>
      <c r="AB2129" s="953"/>
      <c r="AG2129" s="807" t="str">
        <f t="shared" si="161"/>
        <v/>
      </c>
      <c r="AJ2129" s="865"/>
    </row>
    <row r="2130" spans="1:49" ht="15">
      <c r="A2130" s="19" t="s">
        <v>7421</v>
      </c>
      <c r="B2130" s="809" t="s">
        <v>8041</v>
      </c>
      <c r="C2130" s="149" t="s">
        <v>5021</v>
      </c>
      <c r="D2130" s="1074" t="s">
        <v>10786</v>
      </c>
      <c r="E2130" s="1045" t="s">
        <v>5021</v>
      </c>
      <c r="F2130" s="1048" t="s">
        <v>5036</v>
      </c>
      <c r="G2130" s="809" t="s">
        <v>5021</v>
      </c>
      <c r="H2130" s="809" t="s">
        <v>5023</v>
      </c>
      <c r="I2130" s="92">
        <v>52</v>
      </c>
      <c r="J2130" s="92" t="s">
        <v>10</v>
      </c>
      <c r="K2130" s="92" t="s">
        <v>722</v>
      </c>
      <c r="L2130" s="810">
        <v>5</v>
      </c>
      <c r="M2130" s="811" t="str">
        <f t="shared" si="162"/>
        <v>High School Graduate</v>
      </c>
      <c r="P2130" s="1638"/>
      <c r="V2130" s="828"/>
      <c r="X2130" s="811" t="str">
        <f t="shared" si="163"/>
        <v/>
      </c>
      <c r="AB2130" s="953"/>
      <c r="AG2130" s="807" t="str">
        <f t="shared" si="161"/>
        <v/>
      </c>
      <c r="AJ2130" s="865"/>
    </row>
    <row r="2131" spans="1:49" ht="15">
      <c r="A2131" s="19" t="s">
        <v>7421</v>
      </c>
      <c r="C2131" s="807"/>
      <c r="D2131" s="1074" t="s">
        <v>10786</v>
      </c>
      <c r="E2131" s="807"/>
      <c r="F2131" s="807"/>
      <c r="G2131" s="827"/>
      <c r="H2131" s="809" t="s">
        <v>10790</v>
      </c>
      <c r="I2131" s="92">
        <v>42</v>
      </c>
      <c r="J2131" s="92" t="s">
        <v>18</v>
      </c>
      <c r="K2131" s="92" t="s">
        <v>722</v>
      </c>
      <c r="L2131" s="810">
        <v>5</v>
      </c>
      <c r="M2131" s="811" t="str">
        <f t="shared" si="162"/>
        <v>High School Graduate</v>
      </c>
      <c r="P2131" s="1638"/>
      <c r="V2131" s="828"/>
      <c r="X2131" s="811" t="str">
        <f t="shared" si="163"/>
        <v/>
      </c>
      <c r="AB2131" s="953"/>
      <c r="AG2131" s="807" t="str">
        <f t="shared" si="161"/>
        <v/>
      </c>
      <c r="AJ2131" s="865"/>
    </row>
    <row r="2132" spans="1:49" ht="15">
      <c r="A2132" s="19" t="s">
        <v>7421</v>
      </c>
      <c r="B2132" s="809" t="s">
        <v>8042</v>
      </c>
      <c r="C2132" s="149" t="s">
        <v>5022</v>
      </c>
      <c r="D2132" s="1074" t="s">
        <v>10788</v>
      </c>
      <c r="E2132" s="1045" t="s">
        <v>5022</v>
      </c>
      <c r="F2132" s="1048" t="s">
        <v>5023</v>
      </c>
      <c r="G2132" s="809" t="s">
        <v>5022</v>
      </c>
      <c r="H2132" s="809" t="s">
        <v>10791</v>
      </c>
      <c r="I2132" s="92">
        <v>21</v>
      </c>
      <c r="J2132" s="92" t="s">
        <v>10</v>
      </c>
      <c r="K2132" s="92" t="s">
        <v>768</v>
      </c>
      <c r="L2132" s="810">
        <v>4</v>
      </c>
      <c r="M2132" s="811" t="str">
        <f t="shared" si="162"/>
        <v>High School Level</v>
      </c>
      <c r="P2132" s="1638"/>
      <c r="V2132" s="828"/>
      <c r="X2132" s="811" t="str">
        <f t="shared" si="163"/>
        <v/>
      </c>
      <c r="AB2132" s="953"/>
      <c r="AG2132" s="807" t="str">
        <f t="shared" si="161"/>
        <v/>
      </c>
      <c r="AJ2132" s="865"/>
    </row>
    <row r="2133" spans="1:49" ht="15">
      <c r="A2133" s="19" t="s">
        <v>7421</v>
      </c>
      <c r="B2133" s="762" t="s">
        <v>8069</v>
      </c>
      <c r="C2133" s="149" t="s">
        <v>5069</v>
      </c>
      <c r="D2133" s="1074"/>
      <c r="E2133" s="1045" t="s">
        <v>5022</v>
      </c>
      <c r="F2133" s="807"/>
      <c r="G2133" s="827"/>
      <c r="H2133" s="809" t="s">
        <v>10792</v>
      </c>
      <c r="I2133" s="92">
        <v>19</v>
      </c>
      <c r="J2133" s="92" t="s">
        <v>10</v>
      </c>
      <c r="K2133" s="92" t="s">
        <v>768</v>
      </c>
      <c r="L2133" s="810">
        <v>4</v>
      </c>
      <c r="M2133" s="811" t="str">
        <f t="shared" si="162"/>
        <v>High School Level</v>
      </c>
      <c r="P2133" s="1638"/>
      <c r="V2133" s="828"/>
      <c r="X2133" s="811" t="str">
        <f t="shared" si="163"/>
        <v/>
      </c>
      <c r="AB2133" s="953"/>
      <c r="AG2133" s="807" t="str">
        <f t="shared" si="161"/>
        <v/>
      </c>
      <c r="AJ2133" s="865"/>
    </row>
    <row r="2134" spans="1:49" ht="15">
      <c r="A2134" s="807"/>
      <c r="C2134" s="807"/>
      <c r="D2134" s="1074"/>
      <c r="E2134" s="1045" t="s">
        <v>5022</v>
      </c>
      <c r="F2134" s="807"/>
      <c r="G2134" s="827"/>
      <c r="H2134" s="809" t="s">
        <v>10793</v>
      </c>
      <c r="I2134" s="92">
        <v>17</v>
      </c>
      <c r="J2134" s="92" t="s">
        <v>18</v>
      </c>
      <c r="K2134" s="92" t="s">
        <v>768</v>
      </c>
      <c r="L2134" s="810">
        <v>4</v>
      </c>
      <c r="M2134" s="811" t="str">
        <f t="shared" si="162"/>
        <v>High School Level</v>
      </c>
      <c r="P2134" s="1638"/>
      <c r="V2134" s="828"/>
      <c r="X2134" s="811" t="str">
        <f t="shared" si="163"/>
        <v/>
      </c>
      <c r="AB2134" s="953"/>
      <c r="AG2134" s="807" t="str">
        <f t="shared" si="161"/>
        <v/>
      </c>
      <c r="AJ2134" s="865"/>
    </row>
    <row r="2135" spans="1:49" ht="15">
      <c r="A2135" s="807"/>
      <c r="C2135" s="807"/>
      <c r="D2135" s="1074"/>
      <c r="E2135" s="1045" t="s">
        <v>5022</v>
      </c>
      <c r="F2135" s="807"/>
      <c r="G2135" s="827"/>
      <c r="H2135" s="809" t="s">
        <v>10794</v>
      </c>
      <c r="I2135" s="92">
        <v>15</v>
      </c>
      <c r="J2135" s="92" t="s">
        <v>18</v>
      </c>
      <c r="K2135" s="92" t="s">
        <v>768</v>
      </c>
      <c r="L2135" s="810">
        <v>4</v>
      </c>
      <c r="M2135" s="811" t="str">
        <f t="shared" si="162"/>
        <v>High School Level</v>
      </c>
      <c r="P2135" s="1638"/>
      <c r="R2135" s="92" t="s">
        <v>8234</v>
      </c>
      <c r="S2135" s="813">
        <v>2000</v>
      </c>
      <c r="V2135" s="828">
        <f>SUM(S2128:U2134)</f>
        <v>4000</v>
      </c>
      <c r="X2135" s="811" t="str">
        <f t="shared" si="163"/>
        <v/>
      </c>
      <c r="AB2135" s="953">
        <f>SUM(Y2129:AA2135)</f>
        <v>1300</v>
      </c>
      <c r="AG2135" s="807" t="str">
        <f t="shared" si="161"/>
        <v/>
      </c>
      <c r="AJ2135" s="865"/>
    </row>
    <row r="2136" spans="1:49" ht="15">
      <c r="A2136" s="807"/>
      <c r="C2136" s="807"/>
      <c r="D2136" s="1074"/>
      <c r="E2136" s="1045" t="s">
        <v>5022</v>
      </c>
      <c r="F2136" s="807"/>
      <c r="G2136" s="827"/>
      <c r="H2136" s="809" t="s">
        <v>10795</v>
      </c>
      <c r="I2136" s="92">
        <v>11</v>
      </c>
      <c r="J2136" s="92" t="s">
        <v>10</v>
      </c>
      <c r="K2136" s="92" t="s">
        <v>768</v>
      </c>
      <c r="L2136" s="810">
        <v>2</v>
      </c>
      <c r="M2136" s="811" t="str">
        <f t="shared" si="162"/>
        <v>Elementary Level</v>
      </c>
      <c r="N2136" s="92" t="s">
        <v>1208</v>
      </c>
      <c r="O2136" s="812" t="s">
        <v>2223</v>
      </c>
      <c r="P2136" s="1638" t="s">
        <v>12606</v>
      </c>
      <c r="Q2136" s="812" t="s">
        <v>2223</v>
      </c>
      <c r="V2136" s="961"/>
      <c r="W2136" s="815">
        <v>1</v>
      </c>
      <c r="X2136" s="811" t="str">
        <f t="shared" si="163"/>
        <v>within the Brgy</v>
      </c>
      <c r="AB2136" s="962"/>
      <c r="AG2136" s="807" t="str">
        <f t="shared" ref="AG2136:AG2199" si="164">IF(ISBLANK(AF2136)=TRUE,"",LOOKUP(AF2136,GS:GT))</f>
        <v/>
      </c>
      <c r="AJ2136" s="865"/>
      <c r="AR2136" s="807">
        <v>1</v>
      </c>
      <c r="AW2136" s="807">
        <v>2</v>
      </c>
    </row>
    <row r="2137" spans="1:49" ht="15">
      <c r="A2137" s="807"/>
      <c r="C2137" s="807"/>
      <c r="D2137" s="1074"/>
      <c r="E2137" s="1045" t="s">
        <v>5022</v>
      </c>
      <c r="G2137" s="827"/>
      <c r="H2137" s="809" t="s">
        <v>5076</v>
      </c>
      <c r="I2137" s="92">
        <v>34</v>
      </c>
      <c r="J2137" s="92" t="s">
        <v>10</v>
      </c>
      <c r="K2137" s="92" t="s">
        <v>722</v>
      </c>
      <c r="L2137" s="810">
        <v>4</v>
      </c>
      <c r="M2137" s="811" t="str">
        <f t="shared" si="162"/>
        <v>High School Level</v>
      </c>
      <c r="P2137" s="1638"/>
      <c r="V2137" s="961"/>
      <c r="X2137" s="811" t="str">
        <f t="shared" si="163"/>
        <v/>
      </c>
      <c r="AB2137" s="962"/>
      <c r="AG2137" s="807" t="str">
        <f t="shared" si="164"/>
        <v/>
      </c>
      <c r="AJ2137" s="865"/>
    </row>
    <row r="2138" spans="1:49" ht="15">
      <c r="A2138" s="807"/>
      <c r="C2138" s="807"/>
      <c r="D2138" s="1074"/>
      <c r="E2138" s="1045" t="s">
        <v>5022</v>
      </c>
      <c r="G2138" s="827"/>
      <c r="H2138" s="809" t="s">
        <v>10797</v>
      </c>
      <c r="I2138" s="92">
        <v>41</v>
      </c>
      <c r="J2138" s="92" t="s">
        <v>18</v>
      </c>
      <c r="K2138" s="92" t="s">
        <v>722</v>
      </c>
      <c r="L2138" s="810">
        <v>5</v>
      </c>
      <c r="M2138" s="811" t="str">
        <f t="shared" si="162"/>
        <v>High School Graduate</v>
      </c>
      <c r="P2138" s="1638"/>
      <c r="R2138" s="92" t="s">
        <v>8234</v>
      </c>
      <c r="S2138" s="813">
        <v>11000</v>
      </c>
      <c r="V2138" s="961">
        <f>SUM(S2135:U2137)</f>
        <v>2000</v>
      </c>
      <c r="X2138" s="811" t="str">
        <f t="shared" si="163"/>
        <v/>
      </c>
      <c r="AB2138" s="962">
        <f>SUM(Y2136:AA2138)</f>
        <v>0</v>
      </c>
      <c r="AG2138" s="807" t="str">
        <f t="shared" si="164"/>
        <v/>
      </c>
      <c r="AJ2138" s="865"/>
    </row>
    <row r="2139" spans="1:49" ht="15">
      <c r="A2139" s="19" t="s">
        <v>7421</v>
      </c>
      <c r="B2139" s="292" t="s">
        <v>7464</v>
      </c>
      <c r="C2139" s="149" t="s">
        <v>5070</v>
      </c>
      <c r="D2139" s="1074" t="s">
        <v>10796</v>
      </c>
      <c r="E2139" s="1045" t="s">
        <v>5070</v>
      </c>
      <c r="F2139" s="1048" t="s">
        <v>5076</v>
      </c>
      <c r="G2139" s="807" t="s">
        <v>5070</v>
      </c>
      <c r="H2139" s="809" t="s">
        <v>10798</v>
      </c>
      <c r="I2139" s="92">
        <v>7</v>
      </c>
      <c r="J2139" s="92" t="s">
        <v>18</v>
      </c>
      <c r="K2139" s="92" t="s">
        <v>768</v>
      </c>
      <c r="L2139" s="810">
        <v>2</v>
      </c>
      <c r="M2139" s="811" t="str">
        <f t="shared" si="162"/>
        <v>Elementary Level</v>
      </c>
      <c r="N2139" s="92" t="s">
        <v>1208</v>
      </c>
      <c r="O2139" s="812" t="s">
        <v>5119</v>
      </c>
      <c r="P2139" s="1638" t="s">
        <v>12602</v>
      </c>
      <c r="Q2139" s="812" t="s">
        <v>5119</v>
      </c>
      <c r="R2139" s="812" t="s">
        <v>10434</v>
      </c>
      <c r="U2139" s="813">
        <f>2500*4</f>
        <v>10000</v>
      </c>
      <c r="W2139" s="815">
        <v>2</v>
      </c>
      <c r="X2139" s="811" t="str">
        <f t="shared" si="163"/>
        <v>within the Municipality/City</v>
      </c>
      <c r="AB2139" s="940"/>
      <c r="AD2139" s="817" t="s">
        <v>10800</v>
      </c>
      <c r="AG2139" s="807" t="str">
        <f t="shared" si="164"/>
        <v/>
      </c>
      <c r="AJ2139" s="865"/>
    </row>
    <row r="2140" spans="1:49" ht="15">
      <c r="A2140" s="19" t="s">
        <v>7421</v>
      </c>
      <c r="C2140" s="807"/>
      <c r="D2140" s="1074" t="s">
        <v>10796</v>
      </c>
      <c r="E2140" s="1045" t="s">
        <v>5070</v>
      </c>
      <c r="F2140" s="807"/>
      <c r="G2140" s="827"/>
      <c r="H2140" s="809" t="s">
        <v>5094</v>
      </c>
      <c r="I2140" s="92">
        <v>33</v>
      </c>
      <c r="J2140" s="92" t="s">
        <v>10</v>
      </c>
      <c r="K2140" s="92" t="s">
        <v>707</v>
      </c>
      <c r="L2140" s="810">
        <v>5</v>
      </c>
      <c r="M2140" s="811" t="str">
        <f t="shared" si="162"/>
        <v>High School Graduate</v>
      </c>
      <c r="N2140" s="92" t="s">
        <v>1208</v>
      </c>
      <c r="O2140" s="812" t="s">
        <v>10801</v>
      </c>
      <c r="P2140" s="1638"/>
      <c r="Q2140" s="812" t="s">
        <v>10801</v>
      </c>
      <c r="W2140" s="815">
        <v>1</v>
      </c>
      <c r="X2140" s="811" t="str">
        <f t="shared" si="163"/>
        <v>within the Brgy</v>
      </c>
      <c r="AB2140" s="940"/>
      <c r="AG2140" s="807" t="str">
        <f t="shared" si="164"/>
        <v/>
      </c>
      <c r="AJ2140" s="865"/>
    </row>
    <row r="2141" spans="1:49" ht="15">
      <c r="A2141" s="19" t="s">
        <v>7421</v>
      </c>
      <c r="C2141" s="807"/>
      <c r="D2141" s="1074" t="s">
        <v>10796</v>
      </c>
      <c r="E2141" s="1045" t="s">
        <v>5070</v>
      </c>
      <c r="F2141" s="807"/>
      <c r="G2141" s="827"/>
      <c r="H2141" s="809" t="s">
        <v>5095</v>
      </c>
      <c r="I2141" s="92">
        <v>32</v>
      </c>
      <c r="J2141" s="92" t="s">
        <v>18</v>
      </c>
      <c r="K2141" s="92" t="s">
        <v>707</v>
      </c>
      <c r="L2141" s="810">
        <v>7</v>
      </c>
      <c r="M2141" s="811" t="str">
        <f t="shared" si="162"/>
        <v>College Graduate or Higher</v>
      </c>
      <c r="P2141" s="1638"/>
      <c r="X2141" s="811" t="str">
        <f t="shared" si="163"/>
        <v/>
      </c>
      <c r="AB2141" s="940"/>
      <c r="AG2141" s="807" t="str">
        <f t="shared" si="164"/>
        <v/>
      </c>
      <c r="AJ2141" s="865"/>
    </row>
    <row r="2142" spans="1:49" ht="15">
      <c r="A2142" s="19" t="s">
        <v>7421</v>
      </c>
      <c r="B2142" s="292" t="s">
        <v>7465</v>
      </c>
      <c r="C2142" s="149" t="s">
        <v>3219</v>
      </c>
      <c r="D2142" s="1074" t="s">
        <v>10799</v>
      </c>
      <c r="E2142" s="1045" t="s">
        <v>3219</v>
      </c>
      <c r="F2142" s="1048" t="s">
        <v>5094</v>
      </c>
      <c r="G2142" s="809" t="s">
        <v>3219</v>
      </c>
      <c r="H2142" s="809" t="s">
        <v>10802</v>
      </c>
      <c r="I2142" s="92">
        <v>12</v>
      </c>
      <c r="J2142" s="92" t="s">
        <v>10</v>
      </c>
      <c r="K2142" s="92" t="s">
        <v>768</v>
      </c>
      <c r="L2142" s="810">
        <v>4</v>
      </c>
      <c r="M2142" s="811" t="str">
        <f t="shared" si="162"/>
        <v>High School Level</v>
      </c>
      <c r="P2142" s="1638"/>
      <c r="X2142" s="811" t="str">
        <f t="shared" si="163"/>
        <v/>
      </c>
      <c r="AB2142" s="940"/>
      <c r="AG2142" s="807" t="str">
        <f t="shared" si="164"/>
        <v/>
      </c>
      <c r="AJ2142" s="865"/>
    </row>
    <row r="2143" spans="1:49" ht="15">
      <c r="A2143" s="19" t="s">
        <v>7421</v>
      </c>
      <c r="C2143" s="807"/>
      <c r="D2143" s="1074" t="s">
        <v>10799</v>
      </c>
      <c r="E2143" s="1045" t="s">
        <v>3219</v>
      </c>
      <c r="F2143" s="807"/>
      <c r="G2143" s="827"/>
      <c r="H2143" s="809" t="s">
        <v>10803</v>
      </c>
      <c r="I2143" s="92">
        <v>6</v>
      </c>
      <c r="J2143" s="92" t="s">
        <v>18</v>
      </c>
      <c r="K2143" s="92" t="s">
        <v>768</v>
      </c>
      <c r="L2143" s="810">
        <v>2</v>
      </c>
      <c r="M2143" s="811" t="str">
        <f t="shared" si="162"/>
        <v>Elementary Level</v>
      </c>
      <c r="P2143" s="1638"/>
      <c r="X2143" s="811" t="str">
        <f t="shared" si="163"/>
        <v/>
      </c>
      <c r="AB2143" s="940"/>
      <c r="AG2143" s="807" t="str">
        <f t="shared" si="164"/>
        <v/>
      </c>
      <c r="AJ2143" s="865"/>
    </row>
    <row r="2144" spans="1:49" ht="15">
      <c r="A2144" s="19" t="s">
        <v>7421</v>
      </c>
      <c r="C2144" s="807"/>
      <c r="D2144" s="1074" t="s">
        <v>10799</v>
      </c>
      <c r="E2144" s="1045" t="s">
        <v>3219</v>
      </c>
      <c r="F2144" s="807"/>
      <c r="G2144" s="827"/>
      <c r="H2144" s="809" t="s">
        <v>10804</v>
      </c>
      <c r="I2144" s="92">
        <v>5</v>
      </c>
      <c r="J2144" s="92" t="s">
        <v>10</v>
      </c>
      <c r="K2144" s="92" t="s">
        <v>768</v>
      </c>
      <c r="L2144" s="810">
        <v>1</v>
      </c>
      <c r="M2144" s="811" t="str">
        <f t="shared" ref="M2144:M2207" si="165">IF(ISBLANK(L2144)=TRUE,"",LOOKUP(L2144,GQ:GR))</f>
        <v>Pre-school</v>
      </c>
      <c r="P2144" s="1638"/>
      <c r="S2144" s="813">
        <v>9000</v>
      </c>
      <c r="V2144" s="814">
        <f>SUM(S2138:U2143)</f>
        <v>21000</v>
      </c>
      <c r="X2144" s="811" t="str">
        <f t="shared" si="163"/>
        <v/>
      </c>
      <c r="AB2144" s="940">
        <f>SUM(Y2139:AA2144)</f>
        <v>0</v>
      </c>
      <c r="AG2144" s="807" t="str">
        <f t="shared" si="164"/>
        <v/>
      </c>
      <c r="AJ2144" s="865"/>
    </row>
    <row r="2145" spans="1:36" ht="15">
      <c r="A2145" s="19" t="s">
        <v>7421</v>
      </c>
      <c r="C2145" s="807"/>
      <c r="D2145" s="1074" t="s">
        <v>10799</v>
      </c>
      <c r="E2145" s="1045" t="s">
        <v>3219</v>
      </c>
      <c r="G2145" s="827"/>
      <c r="H2145" s="809" t="s">
        <v>10805</v>
      </c>
      <c r="I2145" s="92">
        <v>61</v>
      </c>
      <c r="J2145" s="92" t="s">
        <v>18</v>
      </c>
      <c r="K2145" s="92" t="s">
        <v>719</v>
      </c>
      <c r="L2145" s="810">
        <v>5</v>
      </c>
      <c r="M2145" s="811" t="str">
        <f t="shared" si="165"/>
        <v>High School Graduate</v>
      </c>
      <c r="N2145" s="92" t="s">
        <v>1208</v>
      </c>
      <c r="O2145" s="812" t="s">
        <v>2214</v>
      </c>
      <c r="P2145" s="1638" t="s">
        <v>12605</v>
      </c>
      <c r="Q2145" s="812" t="s">
        <v>2214</v>
      </c>
      <c r="W2145" s="815">
        <v>1</v>
      </c>
      <c r="X2145" s="811" t="str">
        <f t="shared" si="163"/>
        <v>within the Brgy</v>
      </c>
      <c r="AE2145" s="93" t="s">
        <v>10807</v>
      </c>
      <c r="AF2145" s="818">
        <v>4</v>
      </c>
      <c r="AG2145" s="807" t="str">
        <f t="shared" si="164"/>
        <v>Serious Illness</v>
      </c>
      <c r="AJ2145" s="865"/>
    </row>
    <row r="2146" spans="1:36" ht="15">
      <c r="A2146" s="19" t="s">
        <v>7421</v>
      </c>
      <c r="C2146" s="807"/>
      <c r="D2146" s="1074" t="s">
        <v>10799</v>
      </c>
      <c r="E2146" s="1045" t="s">
        <v>3219</v>
      </c>
      <c r="G2146" s="827"/>
      <c r="H2146" s="809" t="s">
        <v>3224</v>
      </c>
      <c r="I2146" s="92">
        <v>37</v>
      </c>
      <c r="J2146" s="92" t="s">
        <v>10</v>
      </c>
      <c r="K2146" s="92" t="s">
        <v>722</v>
      </c>
      <c r="L2146" s="810">
        <v>4</v>
      </c>
      <c r="M2146" s="811" t="str">
        <f t="shared" si="165"/>
        <v>High School Level</v>
      </c>
      <c r="P2146" s="1638"/>
      <c r="X2146" s="811" t="str">
        <f t="shared" si="163"/>
        <v/>
      </c>
      <c r="AG2146" s="807" t="str">
        <f t="shared" si="164"/>
        <v/>
      </c>
      <c r="AJ2146" s="865"/>
    </row>
    <row r="2147" spans="1:36" ht="15">
      <c r="A2147" s="19" t="s">
        <v>7421</v>
      </c>
      <c r="C2147" s="807"/>
      <c r="D2147" s="1074" t="s">
        <v>10799</v>
      </c>
      <c r="E2147" s="1045" t="s">
        <v>3219</v>
      </c>
      <c r="G2147" s="827"/>
      <c r="H2147" s="809" t="s">
        <v>10808</v>
      </c>
      <c r="I2147" s="92">
        <v>26</v>
      </c>
      <c r="J2147" s="92" t="s">
        <v>18</v>
      </c>
      <c r="K2147" s="92" t="s">
        <v>722</v>
      </c>
      <c r="L2147" s="810">
        <v>5</v>
      </c>
      <c r="M2147" s="811" t="str">
        <f t="shared" si="165"/>
        <v>High School Graduate</v>
      </c>
      <c r="P2147" s="1638"/>
      <c r="X2147" s="811" t="str">
        <f t="shared" si="163"/>
        <v/>
      </c>
      <c r="AG2147" s="807" t="str">
        <f t="shared" si="164"/>
        <v/>
      </c>
      <c r="AJ2147" s="865"/>
    </row>
    <row r="2148" spans="1:36" ht="15">
      <c r="A2148" s="311" t="s">
        <v>12353</v>
      </c>
      <c r="B2148" s="292" t="s">
        <v>7466</v>
      </c>
      <c r="C2148" s="149" t="s">
        <v>3219</v>
      </c>
      <c r="D2148" s="1074" t="s">
        <v>10806</v>
      </c>
      <c r="G2148" s="809" t="s">
        <v>3219</v>
      </c>
      <c r="H2148" s="809" t="s">
        <v>10809</v>
      </c>
      <c r="I2148" s="92">
        <v>8</v>
      </c>
      <c r="J2148" s="92" t="s">
        <v>10</v>
      </c>
      <c r="K2148" s="92" t="s">
        <v>768</v>
      </c>
      <c r="L2148" s="810">
        <v>3</v>
      </c>
      <c r="M2148" s="811" t="str">
        <f t="shared" si="165"/>
        <v>Elementary Graduate</v>
      </c>
      <c r="P2148" s="1638"/>
      <c r="X2148" s="811" t="str">
        <f t="shared" si="163"/>
        <v/>
      </c>
      <c r="AG2148" s="807" t="str">
        <f t="shared" si="164"/>
        <v/>
      </c>
      <c r="AJ2148" s="865"/>
    </row>
    <row r="2149" spans="1:36" ht="15">
      <c r="A2149" s="311" t="s">
        <v>12353</v>
      </c>
      <c r="C2149" s="807"/>
      <c r="D2149" s="1074" t="s">
        <v>10806</v>
      </c>
      <c r="G2149" s="827"/>
      <c r="H2149" s="809" t="s">
        <v>10810</v>
      </c>
      <c r="I2149" s="92">
        <v>5</v>
      </c>
      <c r="J2149" s="92" t="s">
        <v>10</v>
      </c>
      <c r="K2149" s="92" t="s">
        <v>768</v>
      </c>
      <c r="L2149" s="810">
        <v>1</v>
      </c>
      <c r="M2149" s="811" t="str">
        <f t="shared" si="165"/>
        <v>Pre-school</v>
      </c>
      <c r="P2149" s="1638"/>
      <c r="R2149" s="92" t="s">
        <v>8234</v>
      </c>
      <c r="U2149" s="813">
        <v>3000</v>
      </c>
      <c r="V2149" s="814">
        <f>SUM(S2144:U2148)</f>
        <v>9000</v>
      </c>
      <c r="X2149" s="811" t="str">
        <f t="shared" si="163"/>
        <v/>
      </c>
      <c r="AB2149" s="924">
        <f>SUM(Y2145:AA2149)</f>
        <v>0</v>
      </c>
      <c r="AG2149" s="807" t="str">
        <f t="shared" si="164"/>
        <v/>
      </c>
      <c r="AJ2149" s="865"/>
    </row>
    <row r="2150" spans="1:36" ht="15">
      <c r="A2150" s="311" t="s">
        <v>12353</v>
      </c>
      <c r="C2150" s="807"/>
      <c r="D2150" s="1074" t="s">
        <v>10806</v>
      </c>
      <c r="G2150" s="827"/>
      <c r="H2150" s="809" t="s">
        <v>10811</v>
      </c>
      <c r="I2150" s="92">
        <v>3</v>
      </c>
      <c r="J2150" s="92" t="s">
        <v>10</v>
      </c>
      <c r="K2150" s="92" t="s">
        <v>768</v>
      </c>
      <c r="L2150" s="810">
        <v>10</v>
      </c>
      <c r="M2150" s="811" t="str">
        <f t="shared" si="165"/>
        <v>Not In School Age</v>
      </c>
      <c r="N2150" s="92" t="s">
        <v>1208</v>
      </c>
      <c r="O2150" s="812" t="s">
        <v>1909</v>
      </c>
      <c r="P2150" s="1638" t="s">
        <v>12608</v>
      </c>
      <c r="Q2150" s="812" t="s">
        <v>1909</v>
      </c>
      <c r="V2150" s="828"/>
      <c r="W2150" s="815">
        <v>1</v>
      </c>
      <c r="X2150" s="811" t="str">
        <f t="shared" si="163"/>
        <v>within the Brgy</v>
      </c>
      <c r="AB2150" s="953"/>
      <c r="AG2150" s="807" t="str">
        <f t="shared" si="164"/>
        <v/>
      </c>
      <c r="AJ2150" s="865"/>
    </row>
    <row r="2151" spans="1:36" ht="15">
      <c r="A2151" s="311" t="s">
        <v>12353</v>
      </c>
      <c r="C2151" s="807"/>
      <c r="D2151" s="1074" t="s">
        <v>10806</v>
      </c>
      <c r="G2151" s="827"/>
      <c r="H2151" s="809" t="s">
        <v>5096</v>
      </c>
      <c r="I2151" s="92">
        <v>22</v>
      </c>
      <c r="J2151" s="92" t="s">
        <v>18</v>
      </c>
      <c r="K2151" s="92" t="s">
        <v>722</v>
      </c>
      <c r="L2151" s="810">
        <v>4</v>
      </c>
      <c r="M2151" s="811" t="str">
        <f t="shared" si="165"/>
        <v>High School Level</v>
      </c>
      <c r="P2151" s="1638"/>
      <c r="V2151" s="828"/>
      <c r="X2151" s="811" t="str">
        <f t="shared" si="163"/>
        <v/>
      </c>
      <c r="AB2151" s="953"/>
      <c r="AG2151" s="807" t="str">
        <f t="shared" si="164"/>
        <v/>
      </c>
      <c r="AJ2151" s="865"/>
    </row>
    <row r="2152" spans="1:36" ht="15">
      <c r="A2152" s="311" t="s">
        <v>12353</v>
      </c>
      <c r="C2152" s="807"/>
      <c r="D2152" s="1074" t="s">
        <v>10806</v>
      </c>
      <c r="G2152" s="827"/>
      <c r="H2152" s="809" t="s">
        <v>10813</v>
      </c>
      <c r="I2152" s="92">
        <v>34</v>
      </c>
      <c r="J2152" s="92" t="s">
        <v>10</v>
      </c>
      <c r="K2152" s="92" t="s">
        <v>722</v>
      </c>
      <c r="L2152" s="810">
        <v>5</v>
      </c>
      <c r="M2152" s="811" t="str">
        <f t="shared" si="165"/>
        <v>High School Graduate</v>
      </c>
      <c r="P2152" s="1638"/>
      <c r="V2152" s="828"/>
      <c r="X2152" s="811" t="str">
        <f t="shared" si="163"/>
        <v/>
      </c>
      <c r="AB2152" s="953"/>
      <c r="AG2152" s="807" t="str">
        <f t="shared" si="164"/>
        <v/>
      </c>
      <c r="AJ2152" s="865"/>
    </row>
    <row r="2153" spans="1:36" ht="15">
      <c r="A2153" s="19" t="s">
        <v>7421</v>
      </c>
      <c r="B2153" s="292" t="s">
        <v>7467</v>
      </c>
      <c r="C2153" s="149" t="s">
        <v>5092</v>
      </c>
      <c r="D2153" s="410" t="s">
        <v>10812</v>
      </c>
      <c r="E2153" s="1045" t="s">
        <v>5092</v>
      </c>
      <c r="F2153" s="1048" t="s">
        <v>5096</v>
      </c>
      <c r="G2153" s="809" t="s">
        <v>5092</v>
      </c>
      <c r="H2153" s="809" t="s">
        <v>10814</v>
      </c>
      <c r="I2153" s="92">
        <v>5</v>
      </c>
      <c r="J2153" s="92" t="s">
        <v>18</v>
      </c>
      <c r="K2153" s="92" t="s">
        <v>768</v>
      </c>
      <c r="L2153" s="810">
        <v>1</v>
      </c>
      <c r="M2153" s="811" t="str">
        <f t="shared" si="165"/>
        <v>Pre-school</v>
      </c>
      <c r="P2153" s="1638"/>
      <c r="R2153" s="92"/>
      <c r="V2153" s="828">
        <f>SUM(S2149:U2152)</f>
        <v>3000</v>
      </c>
      <c r="X2153" s="811" t="str">
        <f t="shared" si="163"/>
        <v/>
      </c>
      <c r="AB2153" s="953">
        <f>SUM(Y2150:AA2153)</f>
        <v>0</v>
      </c>
      <c r="AG2153" s="807" t="str">
        <f t="shared" si="164"/>
        <v/>
      </c>
      <c r="AJ2153" s="865"/>
    </row>
    <row r="2154" spans="1:36" ht="15">
      <c r="A2154" s="19" t="s">
        <v>7421</v>
      </c>
      <c r="C2154" s="807"/>
      <c r="D2154" s="410" t="s">
        <v>10812</v>
      </c>
      <c r="E2154" s="1045" t="s">
        <v>5092</v>
      </c>
      <c r="F2154" s="807"/>
      <c r="G2154" s="827"/>
      <c r="H2154" s="809" t="s">
        <v>10815</v>
      </c>
      <c r="I2154" s="92">
        <v>3</v>
      </c>
      <c r="J2154" s="92" t="s">
        <v>10</v>
      </c>
      <c r="K2154" s="92" t="s">
        <v>768</v>
      </c>
      <c r="L2154" s="810">
        <v>0</v>
      </c>
      <c r="M2154" s="811" t="str">
        <f t="shared" si="165"/>
        <v>No Schooling</v>
      </c>
      <c r="P2154" s="1638"/>
      <c r="V2154" s="961"/>
      <c r="X2154" s="811" t="str">
        <f t="shared" si="163"/>
        <v/>
      </c>
      <c r="AB2154" s="962"/>
      <c r="AD2154" s="817" t="s">
        <v>10817</v>
      </c>
      <c r="AE2154" s="93" t="s">
        <v>10818</v>
      </c>
      <c r="AG2154" s="807" t="str">
        <f t="shared" si="164"/>
        <v/>
      </c>
      <c r="AJ2154" s="865"/>
    </row>
    <row r="2155" spans="1:36" ht="15">
      <c r="A2155" s="19" t="s">
        <v>7421</v>
      </c>
      <c r="C2155" s="807"/>
      <c r="D2155" s="410" t="s">
        <v>10812</v>
      </c>
      <c r="E2155" s="1045" t="s">
        <v>5092</v>
      </c>
      <c r="G2155" s="827"/>
      <c r="H2155" s="809" t="s">
        <v>5097</v>
      </c>
      <c r="I2155" s="92">
        <v>72</v>
      </c>
      <c r="J2155" s="92" t="s">
        <v>18</v>
      </c>
      <c r="K2155" s="92" t="s">
        <v>719</v>
      </c>
      <c r="L2155" s="810">
        <v>5</v>
      </c>
      <c r="M2155" s="811" t="str">
        <f t="shared" si="165"/>
        <v>High School Graduate</v>
      </c>
      <c r="P2155" s="1638"/>
      <c r="V2155" s="961"/>
      <c r="X2155" s="811" t="str">
        <f t="shared" si="163"/>
        <v/>
      </c>
      <c r="AB2155" s="962"/>
      <c r="AG2155" s="807" t="str">
        <f t="shared" si="164"/>
        <v/>
      </c>
      <c r="AJ2155" s="865"/>
    </row>
    <row r="2156" spans="1:36" ht="15">
      <c r="A2156" s="19" t="s">
        <v>7421</v>
      </c>
      <c r="C2156" s="807"/>
      <c r="D2156" s="410" t="s">
        <v>10812</v>
      </c>
      <c r="E2156" s="1045" t="s">
        <v>5092</v>
      </c>
      <c r="G2156" s="827"/>
      <c r="H2156" s="809" t="s">
        <v>10819</v>
      </c>
      <c r="I2156" s="92">
        <v>51</v>
      </c>
      <c r="J2156" s="92" t="s">
        <v>10</v>
      </c>
      <c r="K2156" s="92" t="s">
        <v>707</v>
      </c>
      <c r="L2156" s="810">
        <v>7</v>
      </c>
      <c r="M2156" s="811" t="str">
        <f t="shared" si="165"/>
        <v>College Graduate or Higher</v>
      </c>
      <c r="P2156" s="1638"/>
      <c r="R2156" s="812" t="s">
        <v>8285</v>
      </c>
      <c r="S2156" s="813">
        <f>250*26</f>
        <v>6500</v>
      </c>
      <c r="V2156" s="961"/>
      <c r="X2156" s="811" t="str">
        <f t="shared" si="163"/>
        <v/>
      </c>
      <c r="AB2156" s="962"/>
      <c r="AG2156" s="807" t="str">
        <f t="shared" si="164"/>
        <v/>
      </c>
      <c r="AJ2156" s="865"/>
    </row>
    <row r="2157" spans="1:36" ht="15">
      <c r="A2157" s="19" t="s">
        <v>7421</v>
      </c>
      <c r="B2157" s="809" t="s">
        <v>7468</v>
      </c>
      <c r="C2157" s="149" t="s">
        <v>5093</v>
      </c>
      <c r="D2157" s="1074" t="s">
        <v>10816</v>
      </c>
      <c r="E2157" s="1045" t="s">
        <v>5093</v>
      </c>
      <c r="F2157" s="1048" t="s">
        <v>5097</v>
      </c>
      <c r="G2157" s="846" t="s">
        <v>5093</v>
      </c>
      <c r="H2157" s="809" t="s">
        <v>10820</v>
      </c>
      <c r="I2157" s="92">
        <v>21</v>
      </c>
      <c r="J2157" s="92" t="s">
        <v>10</v>
      </c>
      <c r="K2157" s="92" t="s">
        <v>768</v>
      </c>
      <c r="L2157" s="810">
        <v>5</v>
      </c>
      <c r="M2157" s="811" t="str">
        <f t="shared" si="165"/>
        <v>High School Graduate</v>
      </c>
      <c r="N2157" s="92" t="s">
        <v>1208</v>
      </c>
      <c r="O2157" s="812" t="s">
        <v>10678</v>
      </c>
      <c r="P2157" s="1638"/>
      <c r="Q2157" s="812" t="s">
        <v>10678</v>
      </c>
      <c r="V2157" s="961"/>
      <c r="W2157" s="815">
        <v>2</v>
      </c>
      <c r="X2157" s="811" t="str">
        <f t="shared" si="163"/>
        <v>within the Municipality/City</v>
      </c>
      <c r="Y2157" s="816">
        <f>32*26</f>
        <v>832</v>
      </c>
      <c r="AB2157" s="962"/>
      <c r="AG2157" s="807" t="str">
        <f t="shared" si="164"/>
        <v/>
      </c>
      <c r="AJ2157" s="865"/>
    </row>
    <row r="2158" spans="1:36" ht="15">
      <c r="A2158" s="19" t="s">
        <v>7421</v>
      </c>
      <c r="C2158" s="807"/>
      <c r="D2158" s="1074" t="s">
        <v>10816</v>
      </c>
      <c r="E2158" s="1045" t="s">
        <v>5093</v>
      </c>
      <c r="G2158" s="827"/>
      <c r="H2158" s="809" t="s">
        <v>10821</v>
      </c>
      <c r="I2158" s="92">
        <v>19</v>
      </c>
      <c r="J2158" s="92" t="s">
        <v>10</v>
      </c>
      <c r="K2158" s="92" t="s">
        <v>768</v>
      </c>
      <c r="L2158" s="810">
        <v>6</v>
      </c>
      <c r="M2158" s="811" t="str">
        <f t="shared" si="165"/>
        <v>College Level</v>
      </c>
      <c r="P2158" s="1638"/>
      <c r="R2158" s="812" t="s">
        <v>8285</v>
      </c>
      <c r="S2158" s="813">
        <v>12000</v>
      </c>
      <c r="V2158" s="961"/>
      <c r="X2158" s="811" t="str">
        <f t="shared" si="163"/>
        <v/>
      </c>
      <c r="AB2158" s="962"/>
      <c r="AG2158" s="807" t="str">
        <f t="shared" si="164"/>
        <v/>
      </c>
      <c r="AJ2158" s="865"/>
    </row>
    <row r="2159" spans="1:36" ht="15">
      <c r="A2159" s="19" t="s">
        <v>7421</v>
      </c>
      <c r="C2159" s="807"/>
      <c r="D2159" s="1074" t="s">
        <v>10816</v>
      </c>
      <c r="E2159" s="1045" t="s">
        <v>5093</v>
      </c>
      <c r="G2159" s="827"/>
      <c r="H2159" s="809" t="s">
        <v>10822</v>
      </c>
      <c r="I2159" s="92">
        <v>39</v>
      </c>
      <c r="J2159" s="92" t="s">
        <v>18</v>
      </c>
      <c r="K2159" s="92" t="s">
        <v>768</v>
      </c>
      <c r="L2159" s="810">
        <v>7</v>
      </c>
      <c r="M2159" s="811" t="str">
        <f t="shared" si="165"/>
        <v>College Graduate or Higher</v>
      </c>
      <c r="N2159" s="92" t="s">
        <v>1208</v>
      </c>
      <c r="O2159" s="812" t="s">
        <v>5130</v>
      </c>
      <c r="P2159" s="1638"/>
      <c r="Q2159" s="812" t="s">
        <v>5130</v>
      </c>
      <c r="V2159" s="961"/>
      <c r="W2159" s="815">
        <v>3</v>
      </c>
      <c r="X2159" s="811" t="str">
        <f t="shared" si="163"/>
        <v>within the Province</v>
      </c>
      <c r="Y2159" s="816">
        <f>60*26</f>
        <v>1560</v>
      </c>
      <c r="AB2159" s="962"/>
      <c r="AG2159" s="807" t="str">
        <f t="shared" si="164"/>
        <v/>
      </c>
      <c r="AJ2159" s="865"/>
    </row>
    <row r="2160" spans="1:36" ht="15">
      <c r="A2160" s="19" t="s">
        <v>7421</v>
      </c>
      <c r="D2160" s="1074" t="s">
        <v>10816</v>
      </c>
      <c r="E2160" s="1045" t="s">
        <v>5093</v>
      </c>
      <c r="G2160" s="827"/>
      <c r="H2160" s="809" t="s">
        <v>10823</v>
      </c>
      <c r="I2160" s="92">
        <v>23</v>
      </c>
      <c r="J2160" s="92" t="s">
        <v>18</v>
      </c>
      <c r="K2160" s="92" t="s">
        <v>768</v>
      </c>
      <c r="L2160" s="810">
        <v>7</v>
      </c>
      <c r="M2160" s="811" t="str">
        <f t="shared" si="165"/>
        <v>College Graduate or Higher</v>
      </c>
      <c r="P2160" s="1638"/>
      <c r="V2160" s="961">
        <f>SUM(S2153:U2159)</f>
        <v>18500</v>
      </c>
      <c r="X2160" s="811" t="str">
        <f t="shared" si="163"/>
        <v/>
      </c>
      <c r="AB2160" s="962">
        <f>SUM(Y2154:AA2160)</f>
        <v>2392</v>
      </c>
      <c r="AG2160" s="807" t="str">
        <f t="shared" si="164"/>
        <v/>
      </c>
      <c r="AJ2160" s="865"/>
    </row>
    <row r="2161" spans="1:50" ht="15">
      <c r="A2161" s="19" t="s">
        <v>7421</v>
      </c>
      <c r="D2161" s="1074" t="s">
        <v>10816</v>
      </c>
      <c r="E2161" s="1045" t="s">
        <v>5093</v>
      </c>
      <c r="G2161" s="827"/>
      <c r="H2161" s="809" t="s">
        <v>10824</v>
      </c>
      <c r="I2161" s="92">
        <v>18</v>
      </c>
      <c r="J2161" s="92" t="s">
        <v>18</v>
      </c>
      <c r="K2161" s="92" t="s">
        <v>768</v>
      </c>
      <c r="L2161" s="810">
        <v>6</v>
      </c>
      <c r="M2161" s="811" t="str">
        <f t="shared" si="165"/>
        <v>College Level</v>
      </c>
      <c r="P2161" s="1638"/>
      <c r="S2161" s="813">
        <v>15000</v>
      </c>
      <c r="X2161" s="811" t="str">
        <f t="shared" si="163"/>
        <v/>
      </c>
      <c r="AD2161" s="817" t="s">
        <v>10826</v>
      </c>
      <c r="AE2161" s="93" t="s">
        <v>10827</v>
      </c>
      <c r="AF2161" s="818">
        <v>2</v>
      </c>
      <c r="AG2161" s="807" t="str">
        <f t="shared" si="164"/>
        <v>Assistance to walk</v>
      </c>
      <c r="AJ2161" s="865"/>
    </row>
    <row r="2162" spans="1:50" ht="15">
      <c r="A2162" s="19" t="s">
        <v>7421</v>
      </c>
      <c r="D2162" s="1074" t="s">
        <v>10816</v>
      </c>
      <c r="E2162" s="1045" t="s">
        <v>5093</v>
      </c>
      <c r="G2162" s="827"/>
      <c r="H2162" s="809" t="s">
        <v>5098</v>
      </c>
      <c r="I2162" s="92">
        <v>59</v>
      </c>
      <c r="J2162" s="92" t="s">
        <v>10</v>
      </c>
      <c r="K2162" s="92" t="s">
        <v>783</v>
      </c>
      <c r="L2162" s="810">
        <v>6</v>
      </c>
      <c r="M2162" s="811" t="str">
        <f t="shared" si="165"/>
        <v>College Level</v>
      </c>
      <c r="N2162" s="92" t="s">
        <v>1208</v>
      </c>
      <c r="O2162" s="812" t="s">
        <v>2230</v>
      </c>
      <c r="P2162" s="1638"/>
      <c r="Q2162" s="812" t="s">
        <v>2230</v>
      </c>
      <c r="U2162" s="813">
        <f>300*26</f>
        <v>7800</v>
      </c>
      <c r="W2162" s="815">
        <v>3</v>
      </c>
      <c r="X2162" s="811" t="str">
        <f t="shared" si="163"/>
        <v>within the Province</v>
      </c>
      <c r="AG2162" s="807" t="str">
        <f t="shared" si="164"/>
        <v/>
      </c>
      <c r="AJ2162" s="865"/>
    </row>
    <row r="2163" spans="1:50" ht="15">
      <c r="A2163" s="19" t="s">
        <v>7421</v>
      </c>
      <c r="D2163" s="1074" t="s">
        <v>10816</v>
      </c>
      <c r="E2163" s="1045" t="s">
        <v>5093</v>
      </c>
      <c r="G2163" s="827"/>
      <c r="H2163" s="809" t="s">
        <v>10828</v>
      </c>
      <c r="I2163" s="92">
        <v>29</v>
      </c>
      <c r="J2163" s="92" t="s">
        <v>10</v>
      </c>
      <c r="K2163" s="92" t="s">
        <v>768</v>
      </c>
      <c r="L2163" s="810">
        <v>5</v>
      </c>
      <c r="M2163" s="811" t="str">
        <f t="shared" si="165"/>
        <v>High School Graduate</v>
      </c>
      <c r="N2163" s="92" t="s">
        <v>1208</v>
      </c>
      <c r="O2163" s="812" t="s">
        <v>2220</v>
      </c>
      <c r="P2163" s="1638"/>
      <c r="Q2163" s="812" t="s">
        <v>2220</v>
      </c>
      <c r="S2163" s="813">
        <v>10000</v>
      </c>
      <c r="V2163" s="814">
        <f>SUM(S2160:U2162)</f>
        <v>22800</v>
      </c>
      <c r="W2163" s="815">
        <v>1</v>
      </c>
      <c r="X2163" s="811" t="str">
        <f t="shared" si="163"/>
        <v>within the Brgy</v>
      </c>
      <c r="AG2163" s="807" t="str">
        <f t="shared" si="164"/>
        <v/>
      </c>
      <c r="AJ2163" s="865"/>
    </row>
    <row r="2164" spans="1:50" ht="15">
      <c r="A2164" s="807"/>
      <c r="C2164" s="807"/>
      <c r="D2164" s="1074" t="s">
        <v>10825</v>
      </c>
      <c r="G2164" s="809" t="s">
        <v>3225</v>
      </c>
      <c r="H2164" s="809" t="s">
        <v>10829</v>
      </c>
      <c r="I2164" s="92">
        <v>64</v>
      </c>
      <c r="J2164" s="92" t="s">
        <v>10</v>
      </c>
      <c r="K2164" s="92" t="s">
        <v>783</v>
      </c>
      <c r="L2164" s="810">
        <v>4</v>
      </c>
      <c r="M2164" s="811" t="str">
        <f t="shared" si="165"/>
        <v>High School Level</v>
      </c>
      <c r="N2164" s="92" t="s">
        <v>1208</v>
      </c>
      <c r="O2164" s="812" t="s">
        <v>2220</v>
      </c>
      <c r="P2164" s="1638" t="s">
        <v>12605</v>
      </c>
      <c r="Q2164" s="812" t="s">
        <v>2220</v>
      </c>
      <c r="U2164" s="813">
        <v>1200</v>
      </c>
      <c r="V2164" s="828"/>
      <c r="W2164" s="815">
        <v>1</v>
      </c>
      <c r="X2164" s="811" t="str">
        <f t="shared" si="163"/>
        <v>within the Brgy</v>
      </c>
      <c r="AG2164" s="807" t="str">
        <f t="shared" si="164"/>
        <v/>
      </c>
      <c r="AJ2164" s="865"/>
      <c r="AO2164" s="817">
        <v>1</v>
      </c>
      <c r="AQ2164" s="807">
        <v>2</v>
      </c>
      <c r="AX2164" s="807">
        <v>3</v>
      </c>
    </row>
    <row r="2165" spans="1:50" ht="15">
      <c r="A2165" s="807"/>
      <c r="C2165" s="807"/>
      <c r="D2165" s="1074"/>
      <c r="G2165" s="827"/>
      <c r="H2165" s="809" t="s">
        <v>3232</v>
      </c>
      <c r="I2165" s="92">
        <v>26</v>
      </c>
      <c r="J2165" s="92" t="s">
        <v>10</v>
      </c>
      <c r="K2165" s="92" t="s">
        <v>722</v>
      </c>
      <c r="L2165" s="810">
        <v>5</v>
      </c>
      <c r="M2165" s="811" t="str">
        <f t="shared" si="165"/>
        <v>High School Graduate</v>
      </c>
      <c r="N2165" s="92" t="s">
        <v>1208</v>
      </c>
      <c r="O2165" s="812" t="s">
        <v>2972</v>
      </c>
      <c r="P2165" s="1638"/>
      <c r="Q2165" s="812" t="s">
        <v>2972</v>
      </c>
      <c r="V2165" s="828"/>
      <c r="W2165" s="815">
        <v>1</v>
      </c>
      <c r="X2165" s="811" t="str">
        <f t="shared" si="163"/>
        <v>within the Brgy</v>
      </c>
      <c r="AG2165" s="807" t="str">
        <f t="shared" si="164"/>
        <v/>
      </c>
      <c r="AJ2165" s="865"/>
    </row>
    <row r="2166" spans="1:50" ht="15">
      <c r="D2166" s="1074"/>
      <c r="G2166" s="827"/>
      <c r="H2166" s="809" t="s">
        <v>10831</v>
      </c>
      <c r="I2166" s="92">
        <v>25</v>
      </c>
      <c r="J2166" s="92" t="s">
        <v>18</v>
      </c>
      <c r="K2166" s="92" t="s">
        <v>722</v>
      </c>
      <c r="L2166" s="810">
        <v>5</v>
      </c>
      <c r="M2166" s="811" t="str">
        <f t="shared" si="165"/>
        <v>High School Graduate</v>
      </c>
      <c r="P2166" s="1638"/>
      <c r="V2166" s="828"/>
      <c r="X2166" s="811" t="str">
        <f t="shared" si="163"/>
        <v/>
      </c>
      <c r="AG2166" s="807" t="str">
        <f t="shared" si="164"/>
        <v/>
      </c>
      <c r="AJ2166" s="865"/>
    </row>
    <row r="2167" spans="1:50" ht="15">
      <c r="A2167" s="343" t="s">
        <v>12352</v>
      </c>
      <c r="B2167" s="292" t="s">
        <v>7470</v>
      </c>
      <c r="C2167" s="149" t="s">
        <v>3225</v>
      </c>
      <c r="D2167" s="1074" t="s">
        <v>10830</v>
      </c>
      <c r="G2167" s="809" t="s">
        <v>3225</v>
      </c>
      <c r="H2167" s="809" t="s">
        <v>10832</v>
      </c>
      <c r="I2167" s="92">
        <v>5</v>
      </c>
      <c r="J2167" s="92" t="s">
        <v>10</v>
      </c>
      <c r="K2167" s="92" t="s">
        <v>768</v>
      </c>
      <c r="L2167" s="810">
        <v>1</v>
      </c>
      <c r="M2167" s="811" t="str">
        <f t="shared" si="165"/>
        <v>Pre-school</v>
      </c>
      <c r="P2167" s="1638"/>
      <c r="V2167" s="828"/>
      <c r="X2167" s="811" t="str">
        <f t="shared" si="163"/>
        <v/>
      </c>
      <c r="AG2167" s="807" t="str">
        <f t="shared" si="164"/>
        <v/>
      </c>
      <c r="AJ2167" s="865"/>
    </row>
    <row r="2168" spans="1:50" ht="15">
      <c r="A2168" s="343" t="s">
        <v>12352</v>
      </c>
      <c r="C2168" s="807"/>
      <c r="D2168" s="1074" t="s">
        <v>10830</v>
      </c>
      <c r="G2168" s="827"/>
      <c r="H2168" s="809" t="s">
        <v>10833</v>
      </c>
      <c r="I2168" s="92">
        <v>2</v>
      </c>
      <c r="J2168" s="92" t="s">
        <v>10</v>
      </c>
      <c r="K2168" s="92" t="s">
        <v>768</v>
      </c>
      <c r="L2168" s="810">
        <v>10</v>
      </c>
      <c r="M2168" s="811" t="str">
        <f t="shared" si="165"/>
        <v>Not In School Age</v>
      </c>
      <c r="P2168" s="1638"/>
      <c r="V2168" s="828">
        <f>SUM(S2163:U2167)</f>
        <v>11200</v>
      </c>
      <c r="X2168" s="811" t="str">
        <f t="shared" si="163"/>
        <v/>
      </c>
      <c r="AB2168" s="924">
        <f>SUM(Y2164:AA2168)</f>
        <v>0</v>
      </c>
      <c r="AG2168" s="807" t="str">
        <f t="shared" si="164"/>
        <v/>
      </c>
      <c r="AJ2168" s="865"/>
    </row>
    <row r="2169" spans="1:50" ht="15">
      <c r="A2169" s="343" t="s">
        <v>12352</v>
      </c>
      <c r="D2169" s="1074" t="s">
        <v>10830</v>
      </c>
      <c r="G2169" s="827"/>
      <c r="H2169" s="809" t="s">
        <v>10834</v>
      </c>
      <c r="I2169" s="92">
        <v>8</v>
      </c>
      <c r="J2169" s="92" t="s">
        <v>10835</v>
      </c>
      <c r="K2169" s="92" t="s">
        <v>768</v>
      </c>
      <c r="L2169" s="810">
        <v>2</v>
      </c>
      <c r="M2169" s="811" t="str">
        <f t="shared" si="165"/>
        <v>Elementary Level</v>
      </c>
      <c r="P2169" s="1638"/>
      <c r="V2169" s="961"/>
      <c r="X2169" s="811" t="str">
        <f t="shared" si="163"/>
        <v/>
      </c>
      <c r="AG2169" s="807" t="str">
        <f t="shared" si="164"/>
        <v/>
      </c>
      <c r="AJ2169" s="865"/>
    </row>
    <row r="2170" spans="1:50" ht="15">
      <c r="A2170" s="343" t="s">
        <v>12352</v>
      </c>
      <c r="D2170" s="1074" t="s">
        <v>10830</v>
      </c>
      <c r="G2170" s="827"/>
      <c r="H2170" s="809" t="s">
        <v>3235</v>
      </c>
      <c r="I2170" s="92">
        <v>49</v>
      </c>
      <c r="J2170" s="92" t="s">
        <v>10</v>
      </c>
      <c r="K2170" s="92" t="s">
        <v>707</v>
      </c>
      <c r="L2170" s="810">
        <v>5</v>
      </c>
      <c r="M2170" s="811" t="str">
        <f t="shared" si="165"/>
        <v>High School Graduate</v>
      </c>
      <c r="P2170" s="1638"/>
      <c r="S2170" s="813">
        <v>8850</v>
      </c>
      <c r="V2170" s="961"/>
      <c r="X2170" s="811" t="str">
        <f t="shared" si="163"/>
        <v/>
      </c>
      <c r="AG2170" s="807" t="str">
        <f t="shared" si="164"/>
        <v/>
      </c>
      <c r="AJ2170" s="865"/>
    </row>
    <row r="2171" spans="1:50" ht="15">
      <c r="A2171" s="343" t="s">
        <v>12352</v>
      </c>
      <c r="D2171" s="1074" t="s">
        <v>10830</v>
      </c>
      <c r="G2171" s="827"/>
      <c r="H2171" s="809" t="s">
        <v>10837</v>
      </c>
      <c r="I2171" s="92">
        <v>47</v>
      </c>
      <c r="J2171" s="92" t="s">
        <v>18</v>
      </c>
      <c r="K2171" s="92" t="s">
        <v>707</v>
      </c>
      <c r="L2171" s="810">
        <v>5</v>
      </c>
      <c r="M2171" s="811" t="str">
        <f t="shared" si="165"/>
        <v>High School Graduate</v>
      </c>
      <c r="N2171" s="92" t="s">
        <v>1208</v>
      </c>
      <c r="O2171" s="812" t="s">
        <v>9370</v>
      </c>
      <c r="P2171" s="1638"/>
      <c r="Q2171" s="812" t="s">
        <v>9370</v>
      </c>
      <c r="V2171" s="961"/>
      <c r="W2171" s="815">
        <v>2</v>
      </c>
      <c r="X2171" s="811" t="str">
        <f t="shared" si="163"/>
        <v>within the Municipality/City</v>
      </c>
      <c r="Y2171" s="816">
        <v>540</v>
      </c>
      <c r="AG2171" s="807" t="str">
        <f t="shared" si="164"/>
        <v/>
      </c>
      <c r="AJ2171" s="865"/>
    </row>
    <row r="2172" spans="1:50" ht="15">
      <c r="A2172" s="343" t="s">
        <v>12352</v>
      </c>
      <c r="B2172" s="292" t="s">
        <v>7470</v>
      </c>
      <c r="C2172" s="149" t="s">
        <v>3225</v>
      </c>
      <c r="D2172" s="1074" t="s">
        <v>10836</v>
      </c>
      <c r="G2172" s="827"/>
      <c r="H2172" s="809" t="s">
        <v>10838</v>
      </c>
      <c r="I2172" s="92">
        <v>18</v>
      </c>
      <c r="J2172" s="92" t="s">
        <v>10</v>
      </c>
      <c r="K2172" s="92" t="s">
        <v>768</v>
      </c>
      <c r="L2172" s="810">
        <v>4</v>
      </c>
      <c r="M2172" s="811" t="str">
        <f t="shared" si="165"/>
        <v>High School Level</v>
      </c>
      <c r="P2172" s="1638"/>
      <c r="V2172" s="961"/>
      <c r="X2172" s="811" t="str">
        <f t="shared" si="163"/>
        <v/>
      </c>
      <c r="AG2172" s="807" t="str">
        <f t="shared" si="164"/>
        <v/>
      </c>
      <c r="AJ2172" s="865"/>
    </row>
    <row r="2173" spans="1:50" ht="15">
      <c r="A2173" s="343" t="s">
        <v>12352</v>
      </c>
      <c r="D2173" s="1074" t="s">
        <v>10836</v>
      </c>
      <c r="G2173" s="827"/>
      <c r="H2173" s="809" t="s">
        <v>10839</v>
      </c>
      <c r="I2173" s="92">
        <v>17</v>
      </c>
      <c r="J2173" s="92" t="s">
        <v>10</v>
      </c>
      <c r="K2173" s="92" t="s">
        <v>768</v>
      </c>
      <c r="L2173" s="810">
        <v>2</v>
      </c>
      <c r="M2173" s="811" t="str">
        <f t="shared" si="165"/>
        <v>Elementary Level</v>
      </c>
      <c r="P2173" s="1638"/>
      <c r="V2173" s="961"/>
      <c r="X2173" s="811" t="str">
        <f t="shared" si="163"/>
        <v/>
      </c>
      <c r="AG2173" s="807" t="str">
        <f t="shared" si="164"/>
        <v/>
      </c>
      <c r="AJ2173" s="865"/>
    </row>
    <row r="2174" spans="1:50" ht="15">
      <c r="A2174" s="343" t="s">
        <v>12352</v>
      </c>
      <c r="D2174" s="1074" t="s">
        <v>10836</v>
      </c>
      <c r="G2174" s="827"/>
      <c r="H2174" s="809" t="s">
        <v>10840</v>
      </c>
      <c r="I2174" s="92">
        <v>24</v>
      </c>
      <c r="J2174" s="92" t="s">
        <v>10</v>
      </c>
      <c r="K2174" s="92" t="s">
        <v>768</v>
      </c>
      <c r="L2174" s="810">
        <v>4</v>
      </c>
      <c r="M2174" s="811" t="str">
        <f t="shared" si="165"/>
        <v>High School Level</v>
      </c>
      <c r="P2174" s="1638"/>
      <c r="R2174" s="92" t="s">
        <v>10434</v>
      </c>
      <c r="S2174" s="813">
        <v>6000</v>
      </c>
      <c r="U2174" s="813">
        <v>400</v>
      </c>
      <c r="V2174" s="961">
        <f>SUM(S2168:U2173)</f>
        <v>8850</v>
      </c>
      <c r="X2174" s="811" t="str">
        <f t="shared" si="163"/>
        <v/>
      </c>
      <c r="AB2174" s="924">
        <f>SUM(Y2169:AA2174)</f>
        <v>540</v>
      </c>
      <c r="AG2174" s="807" t="str">
        <f t="shared" si="164"/>
        <v/>
      </c>
      <c r="AJ2174" s="865"/>
    </row>
    <row r="2175" spans="1:50" ht="15">
      <c r="A2175" s="343" t="s">
        <v>12352</v>
      </c>
      <c r="D2175" s="1074" t="s">
        <v>10836</v>
      </c>
      <c r="G2175" s="827"/>
      <c r="H2175" s="809" t="s">
        <v>10841</v>
      </c>
      <c r="I2175" s="92">
        <v>13</v>
      </c>
      <c r="J2175" s="92" t="s">
        <v>18</v>
      </c>
      <c r="K2175" s="92" t="s">
        <v>768</v>
      </c>
      <c r="L2175" s="810">
        <v>2</v>
      </c>
      <c r="M2175" s="811" t="str">
        <f t="shared" si="165"/>
        <v>Elementary Level</v>
      </c>
      <c r="N2175" s="92" t="s">
        <v>1208</v>
      </c>
      <c r="O2175" s="812" t="s">
        <v>11314</v>
      </c>
      <c r="P2175" s="1638" t="s">
        <v>12606</v>
      </c>
      <c r="Q2175" s="812" t="s">
        <v>11314</v>
      </c>
      <c r="R2175" s="812" t="s">
        <v>8234</v>
      </c>
      <c r="S2175" s="813">
        <v>400</v>
      </c>
      <c r="V2175" s="828"/>
      <c r="W2175" s="815">
        <v>2</v>
      </c>
      <c r="X2175" s="811" t="str">
        <f t="shared" si="163"/>
        <v>within the Municipality/City</v>
      </c>
      <c r="Y2175" s="816">
        <v>384</v>
      </c>
      <c r="AB2175" s="953">
        <v>384</v>
      </c>
      <c r="AG2175" s="807" t="str">
        <f t="shared" si="164"/>
        <v/>
      </c>
      <c r="AJ2175" s="865"/>
    </row>
    <row r="2176" spans="1:50" ht="15">
      <c r="A2176" s="343" t="s">
        <v>12352</v>
      </c>
      <c r="D2176" s="1074" t="s">
        <v>10836</v>
      </c>
      <c r="G2176" s="827"/>
      <c r="H2176" s="809" t="s">
        <v>5100</v>
      </c>
      <c r="I2176" s="92">
        <v>18</v>
      </c>
      <c r="J2176" s="92" t="s">
        <v>18</v>
      </c>
      <c r="K2176" s="92" t="s">
        <v>722</v>
      </c>
      <c r="L2176" s="810">
        <v>4</v>
      </c>
      <c r="M2176" s="811" t="str">
        <f t="shared" si="165"/>
        <v>High School Level</v>
      </c>
      <c r="N2176" s="92" t="s">
        <v>1208</v>
      </c>
      <c r="O2176" s="812" t="s">
        <v>10844</v>
      </c>
      <c r="P2176" s="1638"/>
      <c r="Q2176" s="812" t="s">
        <v>10844</v>
      </c>
      <c r="V2176" s="828"/>
      <c r="W2176" s="815">
        <v>1</v>
      </c>
      <c r="X2176" s="811" t="str">
        <f t="shared" si="163"/>
        <v>within the Brgy</v>
      </c>
      <c r="AB2176" s="953"/>
      <c r="AG2176" s="807" t="str">
        <f t="shared" si="164"/>
        <v/>
      </c>
      <c r="AJ2176" s="865"/>
    </row>
    <row r="2177" spans="1:99" ht="15">
      <c r="A2177" s="343" t="s">
        <v>12352</v>
      </c>
      <c r="D2177" s="1074" t="s">
        <v>10836</v>
      </c>
      <c r="G2177" s="827"/>
      <c r="H2177" s="809" t="s">
        <v>10843</v>
      </c>
      <c r="I2177" s="92">
        <v>21</v>
      </c>
      <c r="J2177" s="92" t="s">
        <v>10</v>
      </c>
      <c r="K2177" s="92" t="s">
        <v>722</v>
      </c>
      <c r="L2177" s="810">
        <v>4</v>
      </c>
      <c r="M2177" s="811" t="str">
        <f t="shared" si="165"/>
        <v>High School Level</v>
      </c>
      <c r="P2177" s="1638"/>
      <c r="R2177" s="812" t="s">
        <v>8285</v>
      </c>
      <c r="S2177" s="813">
        <v>10000</v>
      </c>
      <c r="V2177" s="828"/>
      <c r="W2177" s="815">
        <v>1</v>
      </c>
      <c r="X2177" s="811" t="str">
        <f t="shared" si="163"/>
        <v>within the Brgy</v>
      </c>
      <c r="AB2177" s="953"/>
      <c r="AG2177" s="807" t="str">
        <f t="shared" si="164"/>
        <v/>
      </c>
      <c r="AJ2177" s="865"/>
    </row>
    <row r="2178" spans="1:99" ht="15">
      <c r="A2178" s="19" t="s">
        <v>7421</v>
      </c>
      <c r="B2178" s="292" t="s">
        <v>7471</v>
      </c>
      <c r="C2178" s="149" t="s">
        <v>5099</v>
      </c>
      <c r="D2178" s="1074" t="s">
        <v>10842</v>
      </c>
      <c r="E2178" s="1045" t="s">
        <v>5099</v>
      </c>
      <c r="F2178" s="1048" t="s">
        <v>5100</v>
      </c>
      <c r="G2178" s="809" t="s">
        <v>5099</v>
      </c>
      <c r="H2178" s="809" t="s">
        <v>10845</v>
      </c>
      <c r="I2178" s="92">
        <v>2</v>
      </c>
      <c r="J2178" s="92" t="s">
        <v>18</v>
      </c>
      <c r="K2178" s="92" t="s">
        <v>768</v>
      </c>
      <c r="L2178" s="810">
        <v>10</v>
      </c>
      <c r="M2178" s="811" t="str">
        <f t="shared" si="165"/>
        <v>Not In School Age</v>
      </c>
      <c r="N2178" s="92" t="s">
        <v>1208</v>
      </c>
      <c r="O2178" s="812" t="s">
        <v>2220</v>
      </c>
      <c r="P2178" s="1638"/>
      <c r="Q2178" s="812" t="s">
        <v>2220</v>
      </c>
      <c r="V2178" s="828"/>
      <c r="AB2178" s="953"/>
      <c r="AG2178" s="807" t="str">
        <f t="shared" si="164"/>
        <v/>
      </c>
      <c r="AJ2178" s="865"/>
    </row>
    <row r="2179" spans="1:99" ht="15">
      <c r="A2179" s="19" t="s">
        <v>7421</v>
      </c>
      <c r="C2179" s="807"/>
      <c r="D2179" s="1074" t="s">
        <v>10842</v>
      </c>
      <c r="E2179" s="1045" t="s">
        <v>5099</v>
      </c>
      <c r="F2179" s="807"/>
      <c r="G2179" s="827"/>
      <c r="H2179" s="809" t="s">
        <v>10846</v>
      </c>
      <c r="I2179" s="930">
        <f>3/12</f>
        <v>0.25</v>
      </c>
      <c r="J2179" s="92" t="s">
        <v>18</v>
      </c>
      <c r="K2179" s="92" t="s">
        <v>768</v>
      </c>
      <c r="L2179" s="810">
        <v>10</v>
      </c>
      <c r="M2179" s="811" t="str">
        <f t="shared" si="165"/>
        <v>Not In School Age</v>
      </c>
      <c r="P2179" s="1638"/>
      <c r="V2179" s="828"/>
      <c r="X2179" s="811" t="str">
        <f t="shared" ref="X2179:X2210" si="166">IF(ISBLANK(W2179)=TRUE,"",LOOKUP(W2179,GO:GP))</f>
        <v/>
      </c>
      <c r="AB2179" s="953"/>
      <c r="AG2179" s="807" t="str">
        <f t="shared" si="164"/>
        <v/>
      </c>
      <c r="AJ2179" s="865"/>
    </row>
    <row r="2180" spans="1:99" ht="15">
      <c r="A2180" s="19" t="s">
        <v>7421</v>
      </c>
      <c r="C2180" s="807"/>
      <c r="D2180" s="1074" t="s">
        <v>10842</v>
      </c>
      <c r="E2180" s="1045" t="s">
        <v>5099</v>
      </c>
      <c r="F2180" s="807"/>
      <c r="G2180" s="827"/>
      <c r="H2180" s="809" t="s">
        <v>10847</v>
      </c>
      <c r="I2180" s="92">
        <v>37</v>
      </c>
      <c r="J2180" s="92" t="s">
        <v>18</v>
      </c>
      <c r="K2180" s="92" t="s">
        <v>722</v>
      </c>
      <c r="L2180" s="810">
        <v>4</v>
      </c>
      <c r="M2180" s="811" t="str">
        <f t="shared" si="165"/>
        <v>High School Level</v>
      </c>
      <c r="P2180" s="1638"/>
      <c r="V2180" s="828"/>
      <c r="X2180" s="811" t="str">
        <f t="shared" si="166"/>
        <v/>
      </c>
      <c r="AB2180" s="953"/>
      <c r="AG2180" s="807" t="str">
        <f t="shared" si="164"/>
        <v/>
      </c>
      <c r="AJ2180" s="865"/>
    </row>
    <row r="2181" spans="1:99" ht="15">
      <c r="A2181" s="19" t="s">
        <v>7421</v>
      </c>
      <c r="C2181" s="807"/>
      <c r="D2181" s="1074" t="s">
        <v>10842</v>
      </c>
      <c r="E2181" s="1045" t="s">
        <v>5099</v>
      </c>
      <c r="F2181" s="807"/>
      <c r="G2181" s="827"/>
      <c r="H2181" s="809" t="s">
        <v>10848</v>
      </c>
      <c r="I2181" s="92">
        <v>14</v>
      </c>
      <c r="J2181" s="92" t="s">
        <v>10</v>
      </c>
      <c r="K2181" s="92" t="s">
        <v>768</v>
      </c>
      <c r="L2181" s="810">
        <v>2</v>
      </c>
      <c r="M2181" s="811" t="str">
        <f t="shared" si="165"/>
        <v>Elementary Level</v>
      </c>
      <c r="P2181" s="1638"/>
      <c r="V2181" s="828"/>
      <c r="X2181" s="811" t="str">
        <f t="shared" si="166"/>
        <v/>
      </c>
      <c r="AB2181" s="953"/>
      <c r="AG2181" s="807" t="str">
        <f t="shared" si="164"/>
        <v/>
      </c>
      <c r="AJ2181" s="865"/>
    </row>
    <row r="2182" spans="1:99" ht="15">
      <c r="A2182" s="19" t="s">
        <v>7421</v>
      </c>
      <c r="C2182" s="807"/>
      <c r="D2182" s="1074" t="s">
        <v>10842</v>
      </c>
      <c r="E2182" s="1045" t="s">
        <v>5099</v>
      </c>
      <c r="F2182" s="807"/>
      <c r="G2182" s="827"/>
      <c r="H2182" s="809" t="s">
        <v>10849</v>
      </c>
      <c r="I2182" s="92">
        <v>10</v>
      </c>
      <c r="J2182" s="92" t="s">
        <v>18</v>
      </c>
      <c r="K2182" s="92" t="s">
        <v>768</v>
      </c>
      <c r="L2182" s="810">
        <v>2</v>
      </c>
      <c r="M2182" s="811" t="str">
        <f t="shared" si="165"/>
        <v>Elementary Level</v>
      </c>
      <c r="P2182" s="1638"/>
      <c r="R2182" s="92" t="s">
        <v>8234</v>
      </c>
      <c r="S2182" s="813">
        <v>2000</v>
      </c>
      <c r="V2182" s="828">
        <f>SUM(S2174:U2181)</f>
        <v>16800</v>
      </c>
      <c r="X2182" s="811" t="str">
        <f t="shared" si="166"/>
        <v/>
      </c>
      <c r="AB2182" s="953">
        <f>SUM(Y2175:AA2182)</f>
        <v>384</v>
      </c>
      <c r="AG2182" s="807" t="str">
        <f t="shared" si="164"/>
        <v/>
      </c>
      <c r="AJ2182" s="865"/>
    </row>
    <row r="2183" spans="1:99" ht="15">
      <c r="A2183" s="19" t="s">
        <v>7421</v>
      </c>
      <c r="C2183" s="807"/>
      <c r="D2183" s="1074" t="s">
        <v>10842</v>
      </c>
      <c r="E2183" s="1045" t="s">
        <v>5099</v>
      </c>
      <c r="F2183" s="807"/>
      <c r="G2183" s="827"/>
      <c r="H2183" s="809" t="s">
        <v>10850</v>
      </c>
      <c r="I2183" s="92">
        <v>8</v>
      </c>
      <c r="J2183" s="92" t="s">
        <v>10</v>
      </c>
      <c r="K2183" s="92" t="s">
        <v>768</v>
      </c>
      <c r="L2183" s="810">
        <v>2</v>
      </c>
      <c r="M2183" s="811" t="str">
        <f t="shared" si="165"/>
        <v>Elementary Level</v>
      </c>
      <c r="N2183" s="92" t="s">
        <v>1208</v>
      </c>
      <c r="O2183" s="812" t="s">
        <v>10852</v>
      </c>
      <c r="P2183" s="1638" t="s">
        <v>12621</v>
      </c>
      <c r="Q2183" s="812" t="s">
        <v>10852</v>
      </c>
      <c r="R2183" s="92" t="s">
        <v>8234</v>
      </c>
      <c r="S2183" s="813">
        <v>2000</v>
      </c>
      <c r="U2183" s="813">
        <v>1250</v>
      </c>
      <c r="V2183" s="961"/>
      <c r="W2183" s="815">
        <v>1</v>
      </c>
      <c r="X2183" s="811" t="str">
        <f t="shared" si="166"/>
        <v>within the Brgy</v>
      </c>
      <c r="AB2183" s="962"/>
      <c r="AG2183" s="807" t="str">
        <f t="shared" si="164"/>
        <v/>
      </c>
      <c r="AJ2183" s="865"/>
    </row>
    <row r="2184" spans="1:99" ht="15">
      <c r="A2184" s="19" t="s">
        <v>7421</v>
      </c>
      <c r="C2184" s="807"/>
      <c r="D2184" s="1074" t="s">
        <v>10842</v>
      </c>
      <c r="E2184" s="1045" t="s">
        <v>5099</v>
      </c>
      <c r="F2184" s="807"/>
      <c r="G2184" s="827"/>
      <c r="H2184" s="809" t="s">
        <v>5102</v>
      </c>
      <c r="I2184" s="92">
        <v>44</v>
      </c>
      <c r="J2184" s="92" t="s">
        <v>10</v>
      </c>
      <c r="K2184" s="92" t="s">
        <v>722</v>
      </c>
      <c r="L2184" s="810">
        <v>3</v>
      </c>
      <c r="M2184" s="811" t="str">
        <f t="shared" si="165"/>
        <v>Elementary Graduate</v>
      </c>
      <c r="N2184" s="92" t="s">
        <v>1208</v>
      </c>
      <c r="O2184" s="812" t="s">
        <v>10854</v>
      </c>
      <c r="P2184" s="1638"/>
      <c r="Q2184" s="812" t="s">
        <v>10854</v>
      </c>
      <c r="R2184" s="92" t="s">
        <v>8234</v>
      </c>
      <c r="S2184" s="813">
        <f>400*26</f>
        <v>10400</v>
      </c>
      <c r="V2184" s="961">
        <f>SUM(S2182:U2183)</f>
        <v>5250</v>
      </c>
      <c r="W2184" s="815">
        <v>1</v>
      </c>
      <c r="X2184" s="811" t="str">
        <f t="shared" si="166"/>
        <v>within the Brgy</v>
      </c>
      <c r="AB2184" s="962">
        <f>SUM(Y2183:AA2184)</f>
        <v>0</v>
      </c>
      <c r="AG2184" s="807" t="str">
        <f t="shared" si="164"/>
        <v/>
      </c>
      <c r="AJ2184" s="865"/>
    </row>
    <row r="2185" spans="1:99" ht="15">
      <c r="A2185" s="19" t="s">
        <v>7421</v>
      </c>
      <c r="C2185" s="807"/>
      <c r="D2185" s="1074" t="s">
        <v>10842</v>
      </c>
      <c r="E2185" s="1045" t="s">
        <v>5099</v>
      </c>
      <c r="F2185" s="807"/>
      <c r="G2185" s="827"/>
      <c r="H2185" s="809" t="s">
        <v>10853</v>
      </c>
      <c r="I2185" s="92">
        <v>44</v>
      </c>
      <c r="J2185" s="92" t="s">
        <v>18</v>
      </c>
      <c r="K2185" s="92" t="s">
        <v>722</v>
      </c>
      <c r="L2185" s="810">
        <v>5</v>
      </c>
      <c r="M2185" s="811" t="str">
        <f t="shared" si="165"/>
        <v>High School Graduate</v>
      </c>
      <c r="N2185" s="92" t="s">
        <v>1208</v>
      </c>
      <c r="O2185" s="812" t="s">
        <v>2220</v>
      </c>
      <c r="P2185" s="1638" t="s">
        <v>12605</v>
      </c>
      <c r="Q2185" s="812" t="s">
        <v>2220</v>
      </c>
      <c r="R2185" s="812" t="s">
        <v>8285</v>
      </c>
      <c r="S2185" s="813">
        <f>400*26</f>
        <v>10400</v>
      </c>
      <c r="V2185" s="961"/>
      <c r="W2185" s="815">
        <v>2</v>
      </c>
      <c r="X2185" s="811" t="str">
        <f t="shared" si="166"/>
        <v>within the Municipality/City</v>
      </c>
      <c r="AB2185" s="962"/>
      <c r="AG2185" s="807" t="str">
        <f t="shared" si="164"/>
        <v/>
      </c>
      <c r="AJ2185" s="865"/>
      <c r="AQ2185" s="807">
        <v>1</v>
      </c>
      <c r="AZ2185" s="807">
        <v>2</v>
      </c>
    </row>
    <row r="2186" spans="1:99" ht="15">
      <c r="A2186" s="19" t="s">
        <v>7421</v>
      </c>
      <c r="B2186" s="292" t="s">
        <v>7472</v>
      </c>
      <c r="C2186" s="149" t="s">
        <v>5101</v>
      </c>
      <c r="D2186" s="1074" t="s">
        <v>10851</v>
      </c>
      <c r="E2186" s="1045" t="s">
        <v>5101</v>
      </c>
      <c r="F2186" s="1048" t="s">
        <v>5102</v>
      </c>
      <c r="G2186" s="809" t="s">
        <v>5101</v>
      </c>
      <c r="H2186" s="809" t="s">
        <v>5108</v>
      </c>
      <c r="I2186" s="92">
        <v>28</v>
      </c>
      <c r="J2186" s="92" t="s">
        <v>10</v>
      </c>
      <c r="K2186" s="92" t="s">
        <v>768</v>
      </c>
      <c r="L2186" s="810">
        <v>4</v>
      </c>
      <c r="M2186" s="811" t="str">
        <f t="shared" si="165"/>
        <v>High School Level</v>
      </c>
      <c r="N2186" s="92" t="s">
        <v>1208</v>
      </c>
      <c r="O2186" s="812" t="s">
        <v>2198</v>
      </c>
      <c r="P2186" s="1638"/>
      <c r="Q2186" s="812" t="s">
        <v>2198</v>
      </c>
      <c r="R2186" s="92" t="s">
        <v>8234</v>
      </c>
      <c r="S2186" s="813">
        <v>500</v>
      </c>
      <c r="V2186" s="961">
        <f>SUM(S2184:U2185)</f>
        <v>20800</v>
      </c>
      <c r="W2186" s="815">
        <v>3</v>
      </c>
      <c r="X2186" s="811" t="str">
        <f t="shared" si="166"/>
        <v>within the Province</v>
      </c>
      <c r="Y2186" s="816">
        <f>200*26</f>
        <v>5200</v>
      </c>
      <c r="AB2186" s="962">
        <f>SUM(Y2185:AA2186)</f>
        <v>5200</v>
      </c>
      <c r="AG2186" s="807" t="str">
        <f t="shared" si="164"/>
        <v/>
      </c>
      <c r="AJ2186" s="865"/>
    </row>
    <row r="2187" spans="1:99" ht="15">
      <c r="A2187" s="19" t="s">
        <v>7421</v>
      </c>
      <c r="C2187" s="807"/>
      <c r="D2187" s="1074" t="s">
        <v>10851</v>
      </c>
      <c r="E2187" s="1045" t="s">
        <v>5101</v>
      </c>
      <c r="F2187" s="807"/>
      <c r="G2187" s="827"/>
      <c r="H2187" s="809" t="s">
        <v>10867</v>
      </c>
      <c r="I2187" s="92">
        <v>25</v>
      </c>
      <c r="J2187" s="93" t="s">
        <v>10</v>
      </c>
      <c r="K2187" s="92" t="s">
        <v>768</v>
      </c>
      <c r="L2187" s="810">
        <v>4</v>
      </c>
      <c r="M2187" s="811" t="str">
        <f t="shared" si="165"/>
        <v>High School Level</v>
      </c>
      <c r="N2187" s="92" t="s">
        <v>1208</v>
      </c>
      <c r="O2187" s="812" t="s">
        <v>2968</v>
      </c>
      <c r="P2187" s="1638" t="s">
        <v>12615</v>
      </c>
      <c r="Q2187" s="812" t="s">
        <v>2968</v>
      </c>
      <c r="R2187" s="812" t="s">
        <v>8285</v>
      </c>
      <c r="S2187" s="813">
        <f>300*26</f>
        <v>7800</v>
      </c>
      <c r="W2187" s="815">
        <v>1</v>
      </c>
      <c r="X2187" s="811" t="str">
        <f t="shared" si="166"/>
        <v>within the Brgy</v>
      </c>
      <c r="AB2187" s="940"/>
      <c r="AD2187" s="817" t="s">
        <v>10856</v>
      </c>
      <c r="AE2187" s="93" t="s">
        <v>10857</v>
      </c>
      <c r="AF2187" s="818">
        <v>3</v>
      </c>
      <c r="AG2187" s="807" t="str">
        <f t="shared" si="164"/>
        <v>Special Medical Care</v>
      </c>
      <c r="AJ2187" s="865"/>
      <c r="CS2187" s="807">
        <v>1</v>
      </c>
    </row>
    <row r="2188" spans="1:99" ht="15">
      <c r="A2188" s="19" t="s">
        <v>7421</v>
      </c>
      <c r="B2188" s="292" t="s">
        <v>7473</v>
      </c>
      <c r="C2188" s="149" t="s">
        <v>5750</v>
      </c>
      <c r="D2188" s="1074" t="s">
        <v>11334</v>
      </c>
      <c r="E2188" s="1045" t="s">
        <v>5750</v>
      </c>
      <c r="F2188" s="1048" t="s">
        <v>5108</v>
      </c>
      <c r="G2188" s="809" t="s">
        <v>5750</v>
      </c>
      <c r="H2188" s="809" t="s">
        <v>5104</v>
      </c>
      <c r="I2188" s="92">
        <v>67</v>
      </c>
      <c r="J2188" s="92" t="s">
        <v>10</v>
      </c>
      <c r="K2188" s="92" t="s">
        <v>719</v>
      </c>
      <c r="L2188" s="810">
        <v>3</v>
      </c>
      <c r="M2188" s="811" t="str">
        <f t="shared" si="165"/>
        <v>Elementary Graduate</v>
      </c>
      <c r="N2188" s="92" t="s">
        <v>1208</v>
      </c>
      <c r="O2188" s="812" t="s">
        <v>2198</v>
      </c>
      <c r="P2188" s="1638"/>
      <c r="Q2188" s="812" t="s">
        <v>2198</v>
      </c>
      <c r="R2188" s="92" t="s">
        <v>8234</v>
      </c>
      <c r="S2188" s="813">
        <f>360*26</f>
        <v>9360</v>
      </c>
      <c r="V2188" s="814">
        <f>SUM(S2186:U2187)</f>
        <v>8300</v>
      </c>
      <c r="W2188" s="815">
        <v>1</v>
      </c>
      <c r="X2188" s="811" t="str">
        <f t="shared" si="166"/>
        <v>within the Brgy</v>
      </c>
      <c r="Y2188" s="816">
        <f>100*26</f>
        <v>2600</v>
      </c>
      <c r="AB2188" s="940">
        <f>SUM(Y2187:AA2188)</f>
        <v>2600</v>
      </c>
      <c r="AE2188" s="93" t="s">
        <v>10859</v>
      </c>
      <c r="AF2188" s="818">
        <v>3</v>
      </c>
      <c r="AG2188" s="807" t="str">
        <f t="shared" si="164"/>
        <v>Special Medical Care</v>
      </c>
      <c r="AJ2188" s="865"/>
    </row>
    <row r="2189" spans="1:99" ht="15">
      <c r="A2189" s="19" t="s">
        <v>7421</v>
      </c>
      <c r="C2189" s="807"/>
      <c r="D2189" s="1074" t="s">
        <v>11334</v>
      </c>
      <c r="E2189" s="1045" t="s">
        <v>5750</v>
      </c>
      <c r="F2189" s="93"/>
      <c r="G2189" s="827"/>
      <c r="H2189" s="809" t="s">
        <v>10858</v>
      </c>
      <c r="I2189" s="92">
        <v>40</v>
      </c>
      <c r="J2189" s="92" t="s">
        <v>10</v>
      </c>
      <c r="K2189" s="92" t="s">
        <v>768</v>
      </c>
      <c r="L2189" s="810">
        <v>3</v>
      </c>
      <c r="M2189" s="811" t="str">
        <f t="shared" si="165"/>
        <v>Elementary Graduate</v>
      </c>
      <c r="N2189" s="92" t="s">
        <v>1208</v>
      </c>
      <c r="O2189" s="812" t="s">
        <v>2198</v>
      </c>
      <c r="P2189" s="1638" t="s">
        <v>12597</v>
      </c>
      <c r="Q2189" s="812" t="s">
        <v>2198</v>
      </c>
      <c r="R2189" s="812" t="s">
        <v>10434</v>
      </c>
      <c r="S2189" s="813">
        <v>2000</v>
      </c>
      <c r="V2189" s="969"/>
      <c r="W2189" s="815">
        <v>3</v>
      </c>
      <c r="X2189" s="811" t="str">
        <f t="shared" si="166"/>
        <v>within the Province</v>
      </c>
      <c r="Y2189" s="816">
        <f>60*26</f>
        <v>1560</v>
      </c>
      <c r="AB2189" s="970"/>
      <c r="AG2189" s="807" t="str">
        <f t="shared" si="164"/>
        <v/>
      </c>
      <c r="AJ2189" s="865"/>
    </row>
    <row r="2190" spans="1:99" ht="15">
      <c r="A2190" s="19" t="s">
        <v>7421</v>
      </c>
      <c r="B2190" s="292" t="s">
        <v>7474</v>
      </c>
      <c r="C2190" s="149" t="s">
        <v>5103</v>
      </c>
      <c r="D2190" s="1074" t="s">
        <v>10855</v>
      </c>
      <c r="E2190" s="1045" t="s">
        <v>5103</v>
      </c>
      <c r="F2190" s="1048" t="s">
        <v>5104</v>
      </c>
      <c r="G2190" s="846" t="s">
        <v>5103</v>
      </c>
      <c r="H2190" s="809" t="s">
        <v>5106</v>
      </c>
      <c r="I2190" s="92">
        <v>45</v>
      </c>
      <c r="J2190" s="92" t="s">
        <v>10</v>
      </c>
      <c r="K2190" s="92" t="s">
        <v>707</v>
      </c>
      <c r="L2190" s="810">
        <v>4</v>
      </c>
      <c r="M2190" s="811" t="str">
        <f t="shared" si="165"/>
        <v>High School Level</v>
      </c>
      <c r="N2190" s="92" t="s">
        <v>1208</v>
      </c>
      <c r="O2190" s="812" t="s">
        <v>10862</v>
      </c>
      <c r="P2190" s="1638"/>
      <c r="Q2190" s="812" t="s">
        <v>10862</v>
      </c>
      <c r="V2190" s="969"/>
      <c r="W2190" s="815">
        <v>1</v>
      </c>
      <c r="X2190" s="811" t="str">
        <f t="shared" si="166"/>
        <v>within the Brgy</v>
      </c>
      <c r="AB2190" s="970"/>
      <c r="AG2190" s="807" t="str">
        <f t="shared" si="164"/>
        <v/>
      </c>
      <c r="AJ2190" s="865"/>
      <c r="CM2190" s="807">
        <v>2</v>
      </c>
      <c r="CS2190" s="807">
        <v>1</v>
      </c>
      <c r="CU2190" s="807">
        <v>3</v>
      </c>
    </row>
    <row r="2191" spans="1:99" ht="15">
      <c r="A2191" s="19" t="s">
        <v>7421</v>
      </c>
      <c r="C2191" s="807"/>
      <c r="D2191" s="1074" t="s">
        <v>10855</v>
      </c>
      <c r="E2191" s="1045" t="s">
        <v>5103</v>
      </c>
      <c r="F2191" s="807"/>
      <c r="G2191" s="827"/>
      <c r="H2191" s="809" t="s">
        <v>10861</v>
      </c>
      <c r="I2191" s="92">
        <v>39</v>
      </c>
      <c r="J2191" s="92" t="s">
        <v>18</v>
      </c>
      <c r="K2191" s="92" t="s">
        <v>707</v>
      </c>
      <c r="L2191" s="810">
        <v>5</v>
      </c>
      <c r="M2191" s="811" t="str">
        <f t="shared" si="165"/>
        <v>High School Graduate</v>
      </c>
      <c r="P2191" s="1638"/>
      <c r="V2191" s="969"/>
      <c r="X2191" s="811" t="str">
        <f t="shared" si="166"/>
        <v/>
      </c>
      <c r="AB2191" s="970"/>
      <c r="AG2191" s="807" t="str">
        <f t="shared" si="164"/>
        <v/>
      </c>
      <c r="AJ2191" s="865"/>
    </row>
    <row r="2192" spans="1:99" ht="15">
      <c r="A2192" s="19" t="s">
        <v>7421</v>
      </c>
      <c r="B2192" s="292" t="s">
        <v>7475</v>
      </c>
      <c r="C2192" s="149" t="s">
        <v>5105</v>
      </c>
      <c r="D2192" s="1074" t="s">
        <v>10860</v>
      </c>
      <c r="E2192" s="1045" t="s">
        <v>5105</v>
      </c>
      <c r="F2192" s="1048" t="s">
        <v>5106</v>
      </c>
      <c r="G2192" s="809" t="s">
        <v>5105</v>
      </c>
      <c r="H2192" s="809" t="s">
        <v>10863</v>
      </c>
      <c r="I2192" s="92">
        <v>16</v>
      </c>
      <c r="J2192" s="92" t="s">
        <v>18</v>
      </c>
      <c r="K2192" s="92" t="s">
        <v>768</v>
      </c>
      <c r="L2192" s="810">
        <v>5</v>
      </c>
      <c r="M2192" s="811" t="str">
        <f t="shared" si="165"/>
        <v>High School Graduate</v>
      </c>
      <c r="P2192" s="1638"/>
      <c r="V2192" s="969"/>
      <c r="X2192" s="811" t="str">
        <f t="shared" si="166"/>
        <v/>
      </c>
      <c r="AB2192" s="970"/>
      <c r="AG2192" s="807" t="str">
        <f t="shared" si="164"/>
        <v/>
      </c>
      <c r="AJ2192" s="865"/>
    </row>
    <row r="2193" spans="1:36" ht="15">
      <c r="A2193" s="19" t="s">
        <v>7421</v>
      </c>
      <c r="C2193" s="807"/>
      <c r="D2193" s="1074" t="s">
        <v>10860</v>
      </c>
      <c r="E2193" s="1045" t="s">
        <v>5105</v>
      </c>
      <c r="F2193" s="807"/>
      <c r="G2193" s="827"/>
      <c r="H2193" s="809" t="s">
        <v>10864</v>
      </c>
      <c r="I2193" s="92">
        <v>15</v>
      </c>
      <c r="J2193" s="92" t="s">
        <v>10</v>
      </c>
      <c r="K2193" s="92" t="s">
        <v>768</v>
      </c>
      <c r="L2193" s="810">
        <v>4</v>
      </c>
      <c r="M2193" s="811" t="str">
        <f t="shared" si="165"/>
        <v>High School Level</v>
      </c>
      <c r="P2193" s="1638"/>
      <c r="V2193" s="969"/>
      <c r="X2193" s="811" t="str">
        <f t="shared" si="166"/>
        <v/>
      </c>
      <c r="AB2193" s="970"/>
      <c r="AG2193" s="807" t="str">
        <f t="shared" si="164"/>
        <v/>
      </c>
      <c r="AJ2193" s="865"/>
    </row>
    <row r="2194" spans="1:36" ht="15">
      <c r="A2194" s="19" t="s">
        <v>7421</v>
      </c>
      <c r="C2194" s="807"/>
      <c r="D2194" s="1074" t="s">
        <v>10860</v>
      </c>
      <c r="E2194" s="1045" t="s">
        <v>5105</v>
      </c>
      <c r="F2194" s="807"/>
      <c r="G2194" s="827"/>
      <c r="H2194" s="809" t="s">
        <v>10865</v>
      </c>
      <c r="I2194" s="92">
        <v>6</v>
      </c>
      <c r="J2194" s="92" t="s">
        <v>10</v>
      </c>
      <c r="K2194" s="92" t="s">
        <v>768</v>
      </c>
      <c r="L2194" s="810">
        <v>2</v>
      </c>
      <c r="M2194" s="811" t="str">
        <f t="shared" si="165"/>
        <v>Elementary Level</v>
      </c>
      <c r="P2194" s="1638"/>
      <c r="R2194" s="812" t="s">
        <v>8285</v>
      </c>
      <c r="S2194" s="813">
        <v>3500</v>
      </c>
      <c r="U2194" s="813">
        <v>1250</v>
      </c>
      <c r="V2194" s="969">
        <f>SUM(S2188:U2193)</f>
        <v>11360</v>
      </c>
      <c r="X2194" s="811" t="str">
        <f t="shared" si="166"/>
        <v/>
      </c>
      <c r="AB2194" s="970">
        <f>SUM(Y2189:AA2194)</f>
        <v>1560</v>
      </c>
      <c r="AG2194" s="807" t="str">
        <f t="shared" si="164"/>
        <v/>
      </c>
      <c r="AJ2194" s="865"/>
    </row>
    <row r="2195" spans="1:36" ht="15">
      <c r="A2195" s="19" t="s">
        <v>7421</v>
      </c>
      <c r="C2195" s="807"/>
      <c r="D2195" s="1074" t="s">
        <v>10860</v>
      </c>
      <c r="E2195" s="1045" t="s">
        <v>5105</v>
      </c>
      <c r="F2195" s="807"/>
      <c r="G2195" s="827"/>
      <c r="H2195" s="809" t="s">
        <v>10866</v>
      </c>
      <c r="I2195" s="92">
        <v>8</v>
      </c>
      <c r="J2195" s="92" t="s">
        <v>18</v>
      </c>
      <c r="K2195" s="92" t="s">
        <v>768</v>
      </c>
      <c r="L2195" s="810">
        <v>2</v>
      </c>
      <c r="M2195" s="811" t="str">
        <f t="shared" si="165"/>
        <v>Elementary Level</v>
      </c>
      <c r="N2195" s="92" t="s">
        <v>1208</v>
      </c>
      <c r="O2195" s="812" t="s">
        <v>5142</v>
      </c>
      <c r="P2195" s="1638" t="s">
        <v>12623</v>
      </c>
      <c r="Q2195" s="812" t="s">
        <v>5142</v>
      </c>
      <c r="R2195" s="812" t="s">
        <v>8285</v>
      </c>
      <c r="S2195" s="813">
        <v>3500</v>
      </c>
      <c r="W2195" s="815">
        <v>3</v>
      </c>
      <c r="X2195" s="811" t="str">
        <f t="shared" si="166"/>
        <v>within the Province</v>
      </c>
      <c r="Y2195" s="816">
        <f>24*26</f>
        <v>624</v>
      </c>
      <c r="AB2195" s="940"/>
      <c r="AG2195" s="807" t="str">
        <f t="shared" si="164"/>
        <v/>
      </c>
      <c r="AJ2195" s="865"/>
    </row>
    <row r="2196" spans="1:36" ht="15">
      <c r="A2196" s="19" t="s">
        <v>7421</v>
      </c>
      <c r="C2196" s="807"/>
      <c r="D2196" s="1074" t="s">
        <v>10860</v>
      </c>
      <c r="E2196" s="1045" t="s">
        <v>5105</v>
      </c>
      <c r="F2196" s="807"/>
      <c r="G2196" s="827"/>
      <c r="H2196" s="809" t="s">
        <v>5109</v>
      </c>
      <c r="I2196" s="92">
        <v>40</v>
      </c>
      <c r="J2196" s="92" t="s">
        <v>18</v>
      </c>
      <c r="K2196" s="92" t="s">
        <v>783</v>
      </c>
      <c r="L2196" s="810">
        <v>5</v>
      </c>
      <c r="M2196" s="811" t="str">
        <f t="shared" si="165"/>
        <v>High School Graduate</v>
      </c>
      <c r="N2196" s="92" t="s">
        <v>1208</v>
      </c>
      <c r="O2196" s="812" t="s">
        <v>10869</v>
      </c>
      <c r="P2196" s="1638"/>
      <c r="Q2196" s="812" t="s">
        <v>10869</v>
      </c>
      <c r="W2196" s="815">
        <v>3</v>
      </c>
      <c r="X2196" s="811" t="str">
        <f t="shared" si="166"/>
        <v>within the Province</v>
      </c>
      <c r="Y2196" s="816">
        <v>1500</v>
      </c>
      <c r="AB2196" s="940"/>
      <c r="AG2196" s="807" t="str">
        <f t="shared" si="164"/>
        <v/>
      </c>
      <c r="AJ2196" s="865"/>
    </row>
    <row r="2197" spans="1:36" ht="15">
      <c r="A2197" s="19" t="s">
        <v>7421</v>
      </c>
      <c r="C2197" s="807"/>
      <c r="D2197" s="1074" t="s">
        <v>10860</v>
      </c>
      <c r="E2197" s="1045" t="s">
        <v>5105</v>
      </c>
      <c r="F2197" s="807"/>
      <c r="G2197" s="827"/>
      <c r="H2197" s="809" t="s">
        <v>5110</v>
      </c>
      <c r="I2197" s="92">
        <v>19</v>
      </c>
      <c r="J2197" s="92" t="s">
        <v>10</v>
      </c>
      <c r="K2197" s="92" t="s">
        <v>768</v>
      </c>
      <c r="L2197" s="810">
        <v>5</v>
      </c>
      <c r="M2197" s="811" t="str">
        <f t="shared" si="165"/>
        <v>High School Graduate</v>
      </c>
      <c r="P2197" s="1638"/>
      <c r="X2197" s="811" t="str">
        <f t="shared" si="166"/>
        <v/>
      </c>
      <c r="AB2197" s="940"/>
      <c r="AG2197" s="807" t="str">
        <f t="shared" si="164"/>
        <v/>
      </c>
      <c r="AJ2197" s="865"/>
    </row>
    <row r="2198" spans="1:36" ht="15">
      <c r="A2198" s="19" t="s">
        <v>7421</v>
      </c>
      <c r="B2198" s="292" t="s">
        <v>7476</v>
      </c>
      <c r="C2198" s="149" t="s">
        <v>5107</v>
      </c>
      <c r="D2198" s="1074" t="s">
        <v>10868</v>
      </c>
      <c r="E2198" s="1045" t="s">
        <v>5107</v>
      </c>
      <c r="F2198" s="1048" t="s">
        <v>5109</v>
      </c>
      <c r="G2198" s="809" t="s">
        <v>5107</v>
      </c>
      <c r="H2198" s="1639" t="s">
        <v>10870</v>
      </c>
      <c r="I2198" s="1044">
        <v>18</v>
      </c>
      <c r="J2198" s="1044" t="s">
        <v>10</v>
      </c>
      <c r="K2198" s="1044" t="s">
        <v>768</v>
      </c>
      <c r="L2198" s="1640">
        <v>4</v>
      </c>
      <c r="M2198" s="1641" t="str">
        <f t="shared" si="165"/>
        <v>High School Level</v>
      </c>
      <c r="N2198" s="1044"/>
      <c r="O2198" s="1642"/>
      <c r="P2198" s="1643"/>
      <c r="Q2198" s="1642"/>
      <c r="R2198" s="1044" t="s">
        <v>8234</v>
      </c>
      <c r="S2198" s="1646">
        <v>8000</v>
      </c>
      <c r="T2198" s="1646"/>
      <c r="U2198" s="1646"/>
      <c r="V2198" s="814">
        <f>SUM(S2194:U2197)</f>
        <v>8250</v>
      </c>
      <c r="X2198" s="811" t="str">
        <f t="shared" si="166"/>
        <v/>
      </c>
      <c r="AB2198" s="940">
        <f>SUM(Y2195:AA2198)</f>
        <v>2124</v>
      </c>
      <c r="AG2198" s="807" t="str">
        <f t="shared" si="164"/>
        <v/>
      </c>
      <c r="AJ2198" s="865"/>
    </row>
    <row r="2199" spans="1:36" ht="15">
      <c r="A2199" s="19" t="s">
        <v>7421</v>
      </c>
      <c r="C2199" s="807"/>
      <c r="D2199" s="1074" t="s">
        <v>10868</v>
      </c>
      <c r="E2199" s="1045" t="s">
        <v>5107</v>
      </c>
      <c r="F2199" s="807"/>
      <c r="G2199" s="827"/>
      <c r="H2199" s="809" t="s">
        <v>10871</v>
      </c>
      <c r="I2199" s="92">
        <v>16</v>
      </c>
      <c r="J2199" s="92" t="s">
        <v>18</v>
      </c>
      <c r="K2199" s="92" t="s">
        <v>768</v>
      </c>
      <c r="L2199" s="810">
        <v>4</v>
      </c>
      <c r="M2199" s="811" t="str">
        <f t="shared" si="165"/>
        <v>High School Level</v>
      </c>
      <c r="N2199" s="92" t="s">
        <v>1208</v>
      </c>
      <c r="O2199" s="812" t="s">
        <v>2215</v>
      </c>
      <c r="P2199" s="1638" t="s">
        <v>12606</v>
      </c>
      <c r="Q2199" s="812" t="s">
        <v>2215</v>
      </c>
      <c r="V2199" s="1648"/>
      <c r="W2199" s="815">
        <v>3</v>
      </c>
      <c r="X2199" s="811" t="str">
        <f t="shared" si="166"/>
        <v>within the Province</v>
      </c>
      <c r="Y2199" s="816">
        <v>3000</v>
      </c>
      <c r="AB2199" s="953"/>
      <c r="AE2199" s="93" t="s">
        <v>10873</v>
      </c>
      <c r="AG2199" s="807" t="str">
        <f t="shared" si="164"/>
        <v/>
      </c>
      <c r="AJ2199" s="865"/>
    </row>
    <row r="2200" spans="1:36" ht="15">
      <c r="A2200" s="19" t="s">
        <v>7421</v>
      </c>
      <c r="C2200" s="807"/>
      <c r="D2200" s="1074" t="s">
        <v>10868</v>
      </c>
      <c r="E2200" s="1045" t="s">
        <v>5107</v>
      </c>
      <c r="F2200" s="807"/>
      <c r="G2200" s="827"/>
      <c r="H2200" s="809" t="s">
        <v>5112</v>
      </c>
      <c r="I2200" s="92">
        <v>46</v>
      </c>
      <c r="J2200" s="92" t="s">
        <v>10</v>
      </c>
      <c r="K2200" s="92" t="s">
        <v>707</v>
      </c>
      <c r="L2200" s="810">
        <v>4</v>
      </c>
      <c r="M2200" s="811" t="str">
        <f t="shared" si="165"/>
        <v>High School Level</v>
      </c>
      <c r="P2200" s="1638"/>
      <c r="R2200" s="812" t="s">
        <v>8285</v>
      </c>
      <c r="S2200" s="813">
        <v>12000</v>
      </c>
      <c r="V2200" s="828"/>
      <c r="X2200" s="811" t="str">
        <f t="shared" si="166"/>
        <v/>
      </c>
      <c r="AB2200" s="953"/>
      <c r="AG2200" s="807" t="str">
        <f t="shared" ref="AG2200:AG2253" si="167">IF(ISBLANK(AF2200)=TRUE,"",LOOKUP(AF2200,GS:GT))</f>
        <v/>
      </c>
      <c r="AJ2200" s="865"/>
    </row>
    <row r="2201" spans="1:36" ht="15">
      <c r="A2201" s="19" t="s">
        <v>7421</v>
      </c>
      <c r="C2201" s="807"/>
      <c r="D2201" s="1074" t="s">
        <v>10868</v>
      </c>
      <c r="E2201" s="1045" t="s">
        <v>5107</v>
      </c>
      <c r="F2201" s="807"/>
      <c r="G2201" s="827"/>
      <c r="H2201" s="809" t="s">
        <v>5113</v>
      </c>
      <c r="I2201" s="92">
        <v>46</v>
      </c>
      <c r="J2201" s="92" t="s">
        <v>18</v>
      </c>
      <c r="K2201" s="92" t="s">
        <v>707</v>
      </c>
      <c r="L2201" s="810">
        <v>4</v>
      </c>
      <c r="M2201" s="811" t="str">
        <f t="shared" si="165"/>
        <v>High School Level</v>
      </c>
      <c r="N2201" s="92" t="s">
        <v>1208</v>
      </c>
      <c r="O2201" s="812" t="s">
        <v>2200</v>
      </c>
      <c r="P2201" s="1638"/>
      <c r="Q2201" s="812" t="s">
        <v>2200</v>
      </c>
      <c r="V2201" s="828"/>
      <c r="W2201" s="815">
        <v>3</v>
      </c>
      <c r="X2201" s="811" t="str">
        <f t="shared" si="166"/>
        <v>within the Province</v>
      </c>
      <c r="Y2201" s="816">
        <v>1500</v>
      </c>
      <c r="AB2201" s="953"/>
      <c r="AG2201" s="807" t="str">
        <f t="shared" si="167"/>
        <v/>
      </c>
      <c r="AJ2201" s="865"/>
    </row>
    <row r="2202" spans="1:36" ht="15">
      <c r="A2202" s="19" t="s">
        <v>7421</v>
      </c>
      <c r="B2202" s="292" t="s">
        <v>7912</v>
      </c>
      <c r="C2202" s="149" t="s">
        <v>5111</v>
      </c>
      <c r="D2202" s="1074" t="s">
        <v>10872</v>
      </c>
      <c r="E2202" s="1045" t="s">
        <v>5111</v>
      </c>
      <c r="F2202" s="1048" t="s">
        <v>5112</v>
      </c>
      <c r="G2202" s="809" t="s">
        <v>5111</v>
      </c>
      <c r="H2202" s="809" t="s">
        <v>10874</v>
      </c>
      <c r="I2202" s="92">
        <v>20</v>
      </c>
      <c r="J2202" s="92" t="s">
        <v>18</v>
      </c>
      <c r="K2202" s="92" t="s">
        <v>768</v>
      </c>
      <c r="L2202" s="810">
        <v>6</v>
      </c>
      <c r="M2202" s="811" t="str">
        <f t="shared" si="165"/>
        <v>College Level</v>
      </c>
      <c r="P2202" s="1638"/>
      <c r="V2202" s="828"/>
      <c r="X2202" s="811" t="str">
        <f t="shared" si="166"/>
        <v/>
      </c>
      <c r="AB2202" s="953"/>
      <c r="AG2202" s="807" t="str">
        <f t="shared" si="167"/>
        <v/>
      </c>
      <c r="AJ2202" s="865"/>
    </row>
    <row r="2203" spans="1:36" ht="15">
      <c r="A2203" s="19" t="s">
        <v>7421</v>
      </c>
      <c r="C2203" s="807"/>
      <c r="D2203" s="1074" t="s">
        <v>10872</v>
      </c>
      <c r="E2203" s="1045" t="s">
        <v>5111</v>
      </c>
      <c r="F2203" s="807"/>
      <c r="G2203" s="981"/>
      <c r="H2203" s="809" t="s">
        <v>10875</v>
      </c>
      <c r="I2203" s="92">
        <v>23</v>
      </c>
      <c r="J2203" s="92" t="s">
        <v>10</v>
      </c>
      <c r="K2203" s="92" t="s">
        <v>768</v>
      </c>
      <c r="L2203" s="810">
        <v>2</v>
      </c>
      <c r="M2203" s="811" t="str">
        <f t="shared" si="165"/>
        <v>Elementary Level</v>
      </c>
      <c r="P2203" s="1638"/>
      <c r="V2203" s="828"/>
      <c r="X2203" s="811" t="str">
        <f t="shared" si="166"/>
        <v/>
      </c>
      <c r="AB2203" s="953"/>
      <c r="AG2203" s="807" t="str">
        <f t="shared" si="167"/>
        <v/>
      </c>
      <c r="AJ2203" s="865"/>
    </row>
    <row r="2204" spans="1:36" ht="15">
      <c r="A2204" s="19" t="s">
        <v>7421</v>
      </c>
      <c r="C2204" s="807"/>
      <c r="D2204" s="1074" t="s">
        <v>10872</v>
      </c>
      <c r="E2204" s="1045" t="s">
        <v>5111</v>
      </c>
      <c r="F2204" s="807"/>
      <c r="G2204" s="827"/>
      <c r="H2204" s="809" t="s">
        <v>10876</v>
      </c>
      <c r="I2204" s="92">
        <v>18</v>
      </c>
      <c r="J2204" s="92" t="s">
        <v>18</v>
      </c>
      <c r="K2204" s="92" t="s">
        <v>768</v>
      </c>
      <c r="L2204" s="810">
        <v>4</v>
      </c>
      <c r="M2204" s="811" t="str">
        <f t="shared" si="165"/>
        <v>High School Level</v>
      </c>
      <c r="P2204" s="1638"/>
      <c r="V2204" s="828"/>
      <c r="X2204" s="811" t="str">
        <f t="shared" si="166"/>
        <v/>
      </c>
      <c r="AB2204" s="953"/>
      <c r="AG2204" s="807" t="str">
        <f t="shared" si="167"/>
        <v/>
      </c>
      <c r="AJ2204" s="865"/>
    </row>
    <row r="2205" spans="1:36" ht="15">
      <c r="A2205" s="19" t="s">
        <v>7421</v>
      </c>
      <c r="C2205" s="807"/>
      <c r="D2205" s="1074" t="s">
        <v>10872</v>
      </c>
      <c r="E2205" s="1045" t="s">
        <v>5111</v>
      </c>
      <c r="F2205" s="807"/>
      <c r="G2205" s="827"/>
      <c r="H2205" s="809" t="s">
        <v>10877</v>
      </c>
      <c r="I2205" s="92">
        <v>16</v>
      </c>
      <c r="J2205" s="92" t="s">
        <v>18</v>
      </c>
      <c r="K2205" s="92" t="s">
        <v>768</v>
      </c>
      <c r="L2205" s="810">
        <v>2</v>
      </c>
      <c r="M2205" s="811" t="str">
        <f t="shared" si="165"/>
        <v>Elementary Level</v>
      </c>
      <c r="P2205" s="1638"/>
      <c r="V2205" s="828"/>
      <c r="X2205" s="811" t="str">
        <f t="shared" si="166"/>
        <v/>
      </c>
      <c r="AB2205" s="953"/>
      <c r="AG2205" s="807" t="str">
        <f t="shared" si="167"/>
        <v/>
      </c>
      <c r="AJ2205" s="865"/>
    </row>
    <row r="2206" spans="1:36" ht="15">
      <c r="A2206" s="19" t="s">
        <v>7421</v>
      </c>
      <c r="C2206" s="807"/>
      <c r="D2206" s="1074" t="s">
        <v>10872</v>
      </c>
      <c r="E2206" s="1045" t="s">
        <v>5111</v>
      </c>
      <c r="F2206" s="807"/>
      <c r="G2206" s="827"/>
      <c r="H2206" s="1639" t="s">
        <v>10878</v>
      </c>
      <c r="I2206" s="1044">
        <v>11</v>
      </c>
      <c r="J2206" s="1044" t="s">
        <v>10</v>
      </c>
      <c r="K2206" s="1044" t="s">
        <v>768</v>
      </c>
      <c r="L2206" s="1640">
        <v>2</v>
      </c>
      <c r="M2206" s="1641" t="str">
        <f t="shared" si="165"/>
        <v>Elementary Level</v>
      </c>
      <c r="N2206" s="1044"/>
      <c r="O2206" s="1642"/>
      <c r="P2206" s="1643"/>
      <c r="Q2206" s="1642"/>
      <c r="R2206" s="1044" t="s">
        <v>8234</v>
      </c>
      <c r="S2206" s="1646">
        <f>450*26</f>
        <v>11700</v>
      </c>
      <c r="T2206" s="1646"/>
      <c r="U2206" s="1646"/>
      <c r="V2206" s="828">
        <f>SUM(S2198:U2205)</f>
        <v>20000</v>
      </c>
      <c r="X2206" s="811" t="str">
        <f t="shared" si="166"/>
        <v/>
      </c>
      <c r="AB2206" s="953">
        <f>SUM(Y2199:AA2206)</f>
        <v>4500</v>
      </c>
      <c r="AG2206" s="807" t="str">
        <f t="shared" si="167"/>
        <v/>
      </c>
      <c r="AJ2206" s="865"/>
    </row>
    <row r="2207" spans="1:36" ht="15">
      <c r="A2207" s="19" t="s">
        <v>7421</v>
      </c>
      <c r="C2207" s="807"/>
      <c r="D2207" s="1074" t="s">
        <v>10872</v>
      </c>
      <c r="E2207" s="1045" t="s">
        <v>5111</v>
      </c>
      <c r="F2207" s="807"/>
      <c r="G2207" s="827"/>
      <c r="H2207" s="809" t="s">
        <v>10866</v>
      </c>
      <c r="I2207" s="92">
        <v>8</v>
      </c>
      <c r="J2207" s="92" t="s">
        <v>18</v>
      </c>
      <c r="K2207" s="92" t="s">
        <v>768</v>
      </c>
      <c r="L2207" s="810">
        <v>2</v>
      </c>
      <c r="M2207" s="811" t="str">
        <f t="shared" si="165"/>
        <v>Elementary Level</v>
      </c>
      <c r="N2207" s="92" t="s">
        <v>1208</v>
      </c>
      <c r="O2207" s="812" t="s">
        <v>11310</v>
      </c>
      <c r="P2207" s="1638" t="s">
        <v>12606</v>
      </c>
      <c r="Q2207" s="812" t="s">
        <v>11310</v>
      </c>
      <c r="R2207" s="812" t="s">
        <v>10434</v>
      </c>
      <c r="S2207" s="813">
        <f>250*26</f>
        <v>6500</v>
      </c>
      <c r="U2207" s="813">
        <v>1250</v>
      </c>
      <c r="V2207" s="1648"/>
      <c r="W2207" s="815">
        <v>3</v>
      </c>
      <c r="X2207" s="811" t="str">
        <f t="shared" si="166"/>
        <v>within the Province</v>
      </c>
      <c r="Y2207" s="816">
        <v>500</v>
      </c>
      <c r="AB2207" s="962"/>
      <c r="AE2207" s="93" t="s">
        <v>10880</v>
      </c>
      <c r="AG2207" s="807" t="str">
        <f t="shared" si="167"/>
        <v/>
      </c>
      <c r="AJ2207" s="865"/>
    </row>
    <row r="2208" spans="1:36" ht="15">
      <c r="A2208" s="19" t="s">
        <v>7421</v>
      </c>
      <c r="C2208" s="807"/>
      <c r="D2208" s="1074" t="s">
        <v>10872</v>
      </c>
      <c r="E2208" s="1045" t="s">
        <v>5111</v>
      </c>
      <c r="F2208" s="807"/>
      <c r="G2208" s="827"/>
      <c r="H2208" s="809" t="s">
        <v>5115</v>
      </c>
      <c r="I2208" s="92">
        <v>44</v>
      </c>
      <c r="J2208" s="92" t="s">
        <v>10</v>
      </c>
      <c r="K2208" s="92" t="s">
        <v>707</v>
      </c>
      <c r="L2208" s="810">
        <v>5</v>
      </c>
      <c r="M2208" s="811" t="str">
        <f t="shared" ref="M2208:M2271" si="168">IF(ISBLANK(L2208)=TRUE,"",LOOKUP(L2208,GQ:GR))</f>
        <v>High School Graduate</v>
      </c>
      <c r="N2208" s="92" t="s">
        <v>1208</v>
      </c>
      <c r="O2208" s="812" t="s">
        <v>10881</v>
      </c>
      <c r="P2208" s="1638"/>
      <c r="Q2208" s="812" t="s">
        <v>10881</v>
      </c>
      <c r="V2208" s="961"/>
      <c r="W2208" s="815">
        <v>1</v>
      </c>
      <c r="X2208" s="811" t="str">
        <f t="shared" si="166"/>
        <v>within the Brgy</v>
      </c>
      <c r="AB2208" s="962"/>
      <c r="AG2208" s="807" t="str">
        <f t="shared" si="167"/>
        <v/>
      </c>
      <c r="AJ2208" s="865"/>
    </row>
    <row r="2209" spans="1:50" ht="15">
      <c r="A2209" s="19" t="s">
        <v>7421</v>
      </c>
      <c r="C2209" s="807"/>
      <c r="D2209" s="1074" t="s">
        <v>10872</v>
      </c>
      <c r="E2209" s="1045" t="s">
        <v>5111</v>
      </c>
      <c r="F2209" s="807"/>
      <c r="G2209" s="827"/>
      <c r="H2209" s="809" t="s">
        <v>5116</v>
      </c>
      <c r="I2209" s="92">
        <v>43</v>
      </c>
      <c r="J2209" s="92" t="s">
        <v>18</v>
      </c>
      <c r="K2209" s="92" t="s">
        <v>707</v>
      </c>
      <c r="L2209" s="810">
        <v>5</v>
      </c>
      <c r="M2209" s="811" t="str">
        <f t="shared" si="168"/>
        <v>High School Graduate</v>
      </c>
      <c r="P2209" s="1638"/>
      <c r="V2209" s="961"/>
      <c r="X2209" s="811" t="str">
        <f t="shared" si="166"/>
        <v/>
      </c>
      <c r="AB2209" s="962"/>
      <c r="AG2209" s="807" t="str">
        <f t="shared" si="167"/>
        <v/>
      </c>
      <c r="AJ2209" s="865"/>
    </row>
    <row r="2210" spans="1:50" ht="15">
      <c r="A2210" s="19" t="s">
        <v>7421</v>
      </c>
      <c r="B2210" s="292" t="s">
        <v>7913</v>
      </c>
      <c r="C2210" s="149" t="s">
        <v>5114</v>
      </c>
      <c r="D2210" s="1074" t="s">
        <v>10879</v>
      </c>
      <c r="E2210" s="1045" t="s">
        <v>5114</v>
      </c>
      <c r="F2210" s="1048" t="s">
        <v>5115</v>
      </c>
      <c r="G2210" s="809" t="s">
        <v>5114</v>
      </c>
      <c r="H2210" s="809" t="s">
        <v>10882</v>
      </c>
      <c r="I2210" s="92">
        <v>23</v>
      </c>
      <c r="J2210" s="92" t="s">
        <v>10</v>
      </c>
      <c r="K2210" s="92" t="s">
        <v>768</v>
      </c>
      <c r="L2210" s="810">
        <v>6</v>
      </c>
      <c r="M2210" s="811" t="str">
        <f t="shared" si="168"/>
        <v>College Level</v>
      </c>
      <c r="P2210" s="1638"/>
      <c r="V2210" s="961"/>
      <c r="X2210" s="811" t="str">
        <f t="shared" si="166"/>
        <v/>
      </c>
      <c r="AB2210" s="962"/>
      <c r="AG2210" s="807" t="str">
        <f t="shared" si="167"/>
        <v/>
      </c>
      <c r="AJ2210" s="865"/>
    </row>
    <row r="2211" spans="1:50" ht="15">
      <c r="A2211" s="19" t="s">
        <v>7421</v>
      </c>
      <c r="C2211" s="807"/>
      <c r="D2211" s="1074" t="s">
        <v>10879</v>
      </c>
      <c r="E2211" s="1045" t="s">
        <v>5114</v>
      </c>
      <c r="F2211" s="807"/>
      <c r="G2211" s="827"/>
      <c r="H2211" s="809" t="s">
        <v>10883</v>
      </c>
      <c r="I2211" s="92">
        <v>21</v>
      </c>
      <c r="J2211" s="92" t="s">
        <v>10</v>
      </c>
      <c r="K2211" s="92" t="s">
        <v>768</v>
      </c>
      <c r="L2211" s="810">
        <v>5</v>
      </c>
      <c r="M2211" s="811" t="str">
        <f t="shared" si="168"/>
        <v>High School Graduate</v>
      </c>
      <c r="P2211" s="1638"/>
      <c r="V2211" s="961"/>
      <c r="X2211" s="811" t="str">
        <f t="shared" ref="X2211:X2242" si="169">IF(ISBLANK(W2211)=TRUE,"",LOOKUP(W2211,GO:GP))</f>
        <v/>
      </c>
      <c r="AB2211" s="962"/>
      <c r="AG2211" s="807" t="str">
        <f t="shared" si="167"/>
        <v/>
      </c>
      <c r="AJ2211" s="865"/>
    </row>
    <row r="2212" spans="1:50" ht="15">
      <c r="A2212" s="19" t="s">
        <v>7421</v>
      </c>
      <c r="C2212" s="807"/>
      <c r="D2212" s="1074" t="s">
        <v>10879</v>
      </c>
      <c r="E2212" s="1045" t="s">
        <v>5114</v>
      </c>
      <c r="F2212" s="807"/>
      <c r="G2212" s="827"/>
      <c r="H2212" s="809" t="s">
        <v>10884</v>
      </c>
      <c r="I2212" s="92">
        <v>19</v>
      </c>
      <c r="J2212" s="92" t="s">
        <v>18</v>
      </c>
      <c r="K2212" s="92" t="s">
        <v>722</v>
      </c>
      <c r="L2212" s="810">
        <v>4</v>
      </c>
      <c r="M2212" s="811" t="str">
        <f t="shared" si="168"/>
        <v>High School Level</v>
      </c>
      <c r="P2212" s="1638"/>
      <c r="V2212" s="961"/>
      <c r="X2212" s="811" t="str">
        <f t="shared" si="169"/>
        <v/>
      </c>
      <c r="AB2212" s="962"/>
      <c r="AG2212" s="807" t="str">
        <f t="shared" si="167"/>
        <v/>
      </c>
      <c r="AJ2212" s="865"/>
    </row>
    <row r="2213" spans="1:50" ht="15">
      <c r="A2213" s="19" t="s">
        <v>7421</v>
      </c>
      <c r="C2213" s="807"/>
      <c r="D2213" s="1074" t="s">
        <v>10879</v>
      </c>
      <c r="E2213" s="1045" t="s">
        <v>5114</v>
      </c>
      <c r="F2213" s="807"/>
      <c r="G2213" s="827"/>
      <c r="H2213" s="809" t="s">
        <v>10885</v>
      </c>
      <c r="I2213" s="92">
        <v>10</v>
      </c>
      <c r="J2213" s="92" t="s">
        <v>10</v>
      </c>
      <c r="K2213" s="92" t="s">
        <v>768</v>
      </c>
      <c r="L2213" s="810">
        <v>2</v>
      </c>
      <c r="M2213" s="811" t="str">
        <f t="shared" si="168"/>
        <v>Elementary Level</v>
      </c>
      <c r="P2213" s="1638"/>
      <c r="V2213" s="961"/>
      <c r="X2213" s="811" t="str">
        <f t="shared" si="169"/>
        <v/>
      </c>
      <c r="AB2213" s="962"/>
      <c r="AG2213" s="807" t="str">
        <f t="shared" si="167"/>
        <v/>
      </c>
      <c r="AJ2213" s="865"/>
    </row>
    <row r="2214" spans="1:50" ht="15">
      <c r="A2214" s="19" t="s">
        <v>7421</v>
      </c>
      <c r="C2214" s="807"/>
      <c r="D2214" s="1074" t="s">
        <v>10879</v>
      </c>
      <c r="E2214" s="1045" t="s">
        <v>5114</v>
      </c>
      <c r="F2214" s="807"/>
      <c r="G2214" s="827"/>
      <c r="H2214" s="1639" t="s">
        <v>10886</v>
      </c>
      <c r="I2214" s="1044">
        <v>9</v>
      </c>
      <c r="J2214" s="1044" t="s">
        <v>18</v>
      </c>
      <c r="K2214" s="1044" t="s">
        <v>768</v>
      </c>
      <c r="L2214" s="1640">
        <v>2</v>
      </c>
      <c r="M2214" s="1641" t="str">
        <f t="shared" si="168"/>
        <v>Elementary Level</v>
      </c>
      <c r="N2214" s="1044"/>
      <c r="O2214" s="1642"/>
      <c r="P2214" s="1643"/>
      <c r="Q2214" s="1642"/>
      <c r="R2214" s="1044" t="s">
        <v>8234</v>
      </c>
      <c r="S2214" s="1646">
        <f>200*30</f>
        <v>6000</v>
      </c>
      <c r="T2214" s="1646"/>
      <c r="U2214" s="1646"/>
      <c r="V2214" s="961">
        <f>SUM(S2206:U2218)</f>
        <v>26700</v>
      </c>
      <c r="X2214" s="811" t="str">
        <f t="shared" si="169"/>
        <v/>
      </c>
      <c r="AB2214" s="962"/>
      <c r="AG2214" s="807" t="str">
        <f t="shared" si="167"/>
        <v/>
      </c>
      <c r="AJ2214" s="865"/>
    </row>
    <row r="2215" spans="1:50" ht="15">
      <c r="A2215" s="19" t="s">
        <v>7421</v>
      </c>
      <c r="C2215" s="807"/>
      <c r="D2215" s="1074" t="s">
        <v>10879</v>
      </c>
      <c r="E2215" s="1045" t="s">
        <v>5114</v>
      </c>
      <c r="F2215" s="807"/>
      <c r="G2215" s="827"/>
      <c r="H2215" s="809" t="s">
        <v>10887</v>
      </c>
      <c r="I2215" s="92">
        <v>20</v>
      </c>
      <c r="J2215" s="92" t="s">
        <v>10</v>
      </c>
      <c r="K2215" s="92" t="s">
        <v>722</v>
      </c>
      <c r="L2215" s="810">
        <v>5</v>
      </c>
      <c r="M2215" s="811" t="str">
        <f t="shared" si="168"/>
        <v>High School Graduate</v>
      </c>
      <c r="N2215" s="92" t="s">
        <v>1208</v>
      </c>
      <c r="O2215" s="812" t="s">
        <v>10889</v>
      </c>
      <c r="P2215" s="1638" t="s">
        <v>12605</v>
      </c>
      <c r="Q2215" s="812" t="s">
        <v>10889</v>
      </c>
      <c r="R2215" s="812" t="s">
        <v>10434</v>
      </c>
      <c r="U2215" s="813">
        <v>1250</v>
      </c>
      <c r="V2215" s="1648"/>
      <c r="W2215" s="815">
        <v>1</v>
      </c>
      <c r="X2215" s="811" t="str">
        <f t="shared" si="169"/>
        <v>within the Brgy</v>
      </c>
      <c r="AB2215" s="962"/>
      <c r="AD2215" s="817" t="s">
        <v>10890</v>
      </c>
      <c r="AE2215" s="92"/>
      <c r="AF2215" s="810"/>
      <c r="AG2215" s="807" t="str">
        <f t="shared" si="167"/>
        <v/>
      </c>
      <c r="AJ2215" s="865"/>
      <c r="AR2215" s="807">
        <v>1</v>
      </c>
      <c r="AT2215" s="807">
        <v>2</v>
      </c>
      <c r="AX2215" s="807">
        <v>3</v>
      </c>
    </row>
    <row r="2216" spans="1:50" ht="15">
      <c r="A2216" s="19" t="s">
        <v>7421</v>
      </c>
      <c r="C2216" s="807"/>
      <c r="D2216" s="1074" t="s">
        <v>10879</v>
      </c>
      <c r="E2216" s="1045" t="s">
        <v>5114</v>
      </c>
      <c r="F2216" s="807"/>
      <c r="G2216" s="827"/>
      <c r="H2216" s="809" t="s">
        <v>5118</v>
      </c>
      <c r="I2216" s="92">
        <v>69</v>
      </c>
      <c r="J2216" s="92" t="s">
        <v>10</v>
      </c>
      <c r="K2216" s="92" t="s">
        <v>722</v>
      </c>
      <c r="L2216" s="810">
        <v>4</v>
      </c>
      <c r="M2216" s="811" t="str">
        <f t="shared" si="168"/>
        <v>High School Level</v>
      </c>
      <c r="N2216" s="92" t="s">
        <v>1208</v>
      </c>
      <c r="O2216" s="812" t="s">
        <v>10892</v>
      </c>
      <c r="P2216" s="1638"/>
      <c r="Q2216" s="812" t="s">
        <v>10892</v>
      </c>
      <c r="X2216" s="811" t="str">
        <f t="shared" si="169"/>
        <v/>
      </c>
      <c r="AB2216" s="962"/>
      <c r="AG2216" s="807" t="str">
        <f t="shared" si="167"/>
        <v/>
      </c>
      <c r="AJ2216" s="865"/>
    </row>
    <row r="2217" spans="1:50" ht="15">
      <c r="A2217" s="19" t="s">
        <v>7421</v>
      </c>
      <c r="C2217" s="807"/>
      <c r="D2217" s="1074" t="s">
        <v>10879</v>
      </c>
      <c r="E2217" s="1045" t="s">
        <v>5114</v>
      </c>
      <c r="F2217" s="807"/>
      <c r="G2217" s="827"/>
      <c r="H2217" s="809" t="s">
        <v>10891</v>
      </c>
      <c r="I2217" s="92">
        <v>40</v>
      </c>
      <c r="J2217" s="92" t="s">
        <v>18</v>
      </c>
      <c r="K2217" s="92" t="s">
        <v>722</v>
      </c>
      <c r="L2217" s="810">
        <v>7</v>
      </c>
      <c r="M2217" s="811" t="str">
        <f t="shared" si="168"/>
        <v>College Graduate or Higher</v>
      </c>
      <c r="P2217" s="1638"/>
      <c r="X2217" s="811" t="str">
        <f t="shared" si="169"/>
        <v/>
      </c>
      <c r="AB2217" s="962"/>
      <c r="AG2217" s="807" t="str">
        <f t="shared" si="167"/>
        <v/>
      </c>
      <c r="AJ2217" s="865"/>
    </row>
    <row r="2218" spans="1:50" ht="15">
      <c r="A2218" s="19" t="s">
        <v>7421</v>
      </c>
      <c r="B2218" s="292" t="s">
        <v>7477</v>
      </c>
      <c r="C2218" s="149" t="s">
        <v>5117</v>
      </c>
      <c r="D2218" s="1074" t="s">
        <v>10888</v>
      </c>
      <c r="E2218" s="1045" t="s">
        <v>5117</v>
      </c>
      <c r="F2218" s="1048" t="s">
        <v>5118</v>
      </c>
      <c r="G2218" s="846" t="s">
        <v>5117</v>
      </c>
      <c r="H2218" s="809" t="s">
        <v>10893</v>
      </c>
      <c r="I2218" s="92">
        <v>12</v>
      </c>
      <c r="J2218" s="92" t="s">
        <v>10</v>
      </c>
      <c r="K2218" s="92" t="s">
        <v>768</v>
      </c>
      <c r="L2218" s="810">
        <v>2</v>
      </c>
      <c r="M2218" s="811" t="str">
        <f t="shared" si="168"/>
        <v>Elementary Level</v>
      </c>
      <c r="P2218" s="1638"/>
      <c r="X2218" s="811" t="str">
        <f t="shared" si="169"/>
        <v/>
      </c>
      <c r="AB2218" s="962"/>
      <c r="AG2218" s="807" t="str">
        <f t="shared" si="167"/>
        <v/>
      </c>
      <c r="AJ2218" s="865"/>
    </row>
    <row r="2219" spans="1:50" ht="15">
      <c r="A2219" s="19" t="s">
        <v>7421</v>
      </c>
      <c r="C2219" s="807"/>
      <c r="D2219" s="1074" t="s">
        <v>10888</v>
      </c>
      <c r="E2219" s="1045" t="s">
        <v>5117</v>
      </c>
      <c r="F2219" s="807"/>
      <c r="G2219" s="827"/>
      <c r="H2219" s="1639" t="s">
        <v>10894</v>
      </c>
      <c r="I2219" s="1044">
        <v>6</v>
      </c>
      <c r="J2219" s="1044" t="s">
        <v>10</v>
      </c>
      <c r="K2219" s="1044" t="s">
        <v>768</v>
      </c>
      <c r="L2219" s="1640">
        <v>10</v>
      </c>
      <c r="M2219" s="1641" t="str">
        <f t="shared" si="168"/>
        <v>Not In School Age</v>
      </c>
      <c r="N2219" s="1044"/>
      <c r="O2219" s="1642"/>
      <c r="P2219" s="1643"/>
      <c r="Q2219" s="1642"/>
      <c r="R2219" s="1044" t="s">
        <v>8234</v>
      </c>
      <c r="S2219" s="1646"/>
      <c r="T2219" s="1646"/>
      <c r="U2219" s="1646">
        <f>SUM(3000,2400)</f>
        <v>5400</v>
      </c>
      <c r="V2219" s="814">
        <f>SUM(S2214:U2218)</f>
        <v>7250</v>
      </c>
      <c r="X2219" s="811" t="str">
        <f t="shared" si="169"/>
        <v/>
      </c>
      <c r="AB2219" s="962">
        <f>SUM(Y2207:AA2219)</f>
        <v>500</v>
      </c>
      <c r="AG2219" s="807" t="str">
        <f t="shared" si="167"/>
        <v/>
      </c>
      <c r="AJ2219" s="865"/>
    </row>
    <row r="2220" spans="1:50" ht="15">
      <c r="A2220" s="19" t="s">
        <v>7421</v>
      </c>
      <c r="C2220" s="807"/>
      <c r="D2220" s="1074" t="s">
        <v>10888</v>
      </c>
      <c r="E2220" s="1045" t="s">
        <v>5117</v>
      </c>
      <c r="F2220" s="807"/>
      <c r="G2220" s="827"/>
      <c r="H2220" s="809" t="s">
        <v>10895</v>
      </c>
      <c r="I2220" s="92">
        <v>3</v>
      </c>
      <c r="J2220" s="92" t="s">
        <v>18</v>
      </c>
      <c r="K2220" s="92" t="s">
        <v>768</v>
      </c>
      <c r="L2220" s="810">
        <v>10</v>
      </c>
      <c r="M2220" s="811" t="str">
        <f t="shared" si="168"/>
        <v>Not In School Age</v>
      </c>
      <c r="N2220" s="92" t="s">
        <v>1208</v>
      </c>
      <c r="O2220" s="812" t="s">
        <v>5317</v>
      </c>
      <c r="P2220" s="1638" t="s">
        <v>12619</v>
      </c>
      <c r="Q2220" s="812" t="s">
        <v>5317</v>
      </c>
      <c r="R2220" s="812" t="s">
        <v>8285</v>
      </c>
      <c r="V2220" s="1648"/>
      <c r="W2220" s="815">
        <v>1</v>
      </c>
      <c r="X2220" s="811" t="str">
        <f t="shared" si="169"/>
        <v>within the Brgy</v>
      </c>
      <c r="AB2220" s="953"/>
      <c r="AD2220" s="817" t="s">
        <v>10897</v>
      </c>
      <c r="AG2220" s="807" t="str">
        <f t="shared" si="167"/>
        <v/>
      </c>
      <c r="AJ2220" s="865"/>
    </row>
    <row r="2221" spans="1:50" ht="15">
      <c r="A2221" s="19" t="s">
        <v>7421</v>
      </c>
      <c r="C2221" s="807"/>
      <c r="D2221" s="1074" t="s">
        <v>10888</v>
      </c>
      <c r="E2221" s="1045" t="s">
        <v>5117</v>
      </c>
      <c r="F2221" s="807"/>
      <c r="G2221" s="827"/>
      <c r="H2221" s="809" t="s">
        <v>5189</v>
      </c>
      <c r="I2221" s="92">
        <v>67</v>
      </c>
      <c r="J2221" s="92" t="s">
        <v>18</v>
      </c>
      <c r="K2221" s="92" t="s">
        <v>719</v>
      </c>
      <c r="L2221" s="810">
        <v>3</v>
      </c>
      <c r="M2221" s="811" t="str">
        <f t="shared" si="168"/>
        <v>Elementary Graduate</v>
      </c>
      <c r="N2221" s="92" t="s">
        <v>1208</v>
      </c>
      <c r="O2221" s="812" t="s">
        <v>3337</v>
      </c>
      <c r="P2221" s="1638"/>
      <c r="Q2221" s="812" t="s">
        <v>3337</v>
      </c>
      <c r="R2221" s="812" t="s">
        <v>8285</v>
      </c>
      <c r="S2221" s="813">
        <v>6000</v>
      </c>
      <c r="V2221" s="828">
        <f>SUM(S2219:U2220)</f>
        <v>5400</v>
      </c>
      <c r="W2221" s="815">
        <v>2</v>
      </c>
      <c r="X2221" s="811" t="str">
        <f t="shared" si="169"/>
        <v>within the Municipality/City</v>
      </c>
      <c r="Y2221" s="816">
        <v>960</v>
      </c>
      <c r="AB2221" s="953">
        <f>SUM(Y2220:AA2221)</f>
        <v>960</v>
      </c>
      <c r="AG2221" s="807" t="str">
        <f t="shared" si="167"/>
        <v/>
      </c>
      <c r="AJ2221" s="865"/>
    </row>
    <row r="2222" spans="1:50" ht="15">
      <c r="A2222" s="19" t="s">
        <v>7421</v>
      </c>
      <c r="C2222" s="807"/>
      <c r="D2222" s="1074" t="s">
        <v>10888</v>
      </c>
      <c r="E2222" s="1045" t="s">
        <v>5117</v>
      </c>
      <c r="F2222" s="807"/>
      <c r="G2222" s="827"/>
      <c r="H2222" s="809" t="s">
        <v>10898</v>
      </c>
      <c r="I2222" s="92">
        <v>42</v>
      </c>
      <c r="J2222" s="92" t="s">
        <v>10</v>
      </c>
      <c r="K2222" s="92" t="s">
        <v>768</v>
      </c>
      <c r="L2222" s="810">
        <v>9</v>
      </c>
      <c r="M2222" s="811" t="str">
        <f t="shared" si="168"/>
        <v>Vocational Graduate</v>
      </c>
      <c r="N2222" s="92" t="s">
        <v>1208</v>
      </c>
      <c r="O2222" s="812" t="s">
        <v>2225</v>
      </c>
      <c r="P2222" s="1638" t="s">
        <v>12606</v>
      </c>
      <c r="Q2222" s="812" t="s">
        <v>2225</v>
      </c>
      <c r="W2222" s="815">
        <v>3</v>
      </c>
      <c r="X2222" s="811" t="str">
        <f t="shared" si="169"/>
        <v>within the Province</v>
      </c>
      <c r="Y2222" s="816">
        <f>40*26</f>
        <v>1040</v>
      </c>
      <c r="AB2222" s="940"/>
      <c r="AG2222" s="807" t="str">
        <f t="shared" si="167"/>
        <v/>
      </c>
      <c r="AJ2222" s="865"/>
    </row>
    <row r="2223" spans="1:50" ht="15">
      <c r="A2223" s="19" t="s">
        <v>7421</v>
      </c>
      <c r="B2223" s="292" t="s">
        <v>7478</v>
      </c>
      <c r="C2223" s="149" t="s">
        <v>3236</v>
      </c>
      <c r="D2223" s="410" t="s">
        <v>10896</v>
      </c>
      <c r="E2223" s="1045" t="s">
        <v>3236</v>
      </c>
      <c r="F2223" s="1048" t="s">
        <v>5189</v>
      </c>
      <c r="G2223" s="846" t="s">
        <v>3236</v>
      </c>
      <c r="H2223" s="809" t="s">
        <v>3243</v>
      </c>
      <c r="I2223" s="92">
        <v>45</v>
      </c>
      <c r="J2223" s="92" t="s">
        <v>10</v>
      </c>
      <c r="K2223" s="92" t="s">
        <v>707</v>
      </c>
      <c r="L2223" s="810">
        <v>7</v>
      </c>
      <c r="M2223" s="811" t="str">
        <f t="shared" si="168"/>
        <v>College Graduate or Higher</v>
      </c>
      <c r="P2223" s="1638"/>
      <c r="X2223" s="811" t="str">
        <f t="shared" si="169"/>
        <v/>
      </c>
      <c r="AG2223" s="807" t="str">
        <f t="shared" si="167"/>
        <v/>
      </c>
      <c r="AJ2223" s="865"/>
    </row>
    <row r="2224" spans="1:50" ht="15">
      <c r="A2224" s="19" t="s">
        <v>7421</v>
      </c>
      <c r="C2224" s="807"/>
      <c r="D2224" s="410" t="s">
        <v>10896</v>
      </c>
      <c r="E2224" s="1045" t="s">
        <v>3236</v>
      </c>
      <c r="F2224" s="807"/>
      <c r="G2224" s="827"/>
      <c r="H2224" s="809" t="s">
        <v>10900</v>
      </c>
      <c r="I2224" s="92">
        <v>49</v>
      </c>
      <c r="J2224" s="92" t="s">
        <v>18</v>
      </c>
      <c r="K2224" s="92" t="s">
        <v>707</v>
      </c>
      <c r="L2224" s="810">
        <v>5</v>
      </c>
      <c r="M2224" s="811" t="str">
        <f t="shared" si="168"/>
        <v>High School Graduate</v>
      </c>
      <c r="P2224" s="1638"/>
      <c r="R2224" s="812" t="s">
        <v>8285</v>
      </c>
      <c r="S2224" s="813">
        <v>9660</v>
      </c>
      <c r="V2224" s="814">
        <f>SUM(S2221:U2223)</f>
        <v>6000</v>
      </c>
      <c r="X2224" s="811" t="str">
        <f t="shared" si="169"/>
        <v/>
      </c>
      <c r="AB2224" s="924">
        <f>SUM(Y2222:AA2224)</f>
        <v>1040</v>
      </c>
      <c r="AG2224" s="807" t="str">
        <f t="shared" si="167"/>
        <v/>
      </c>
      <c r="AJ2224" s="865"/>
    </row>
    <row r="2225" spans="1:42" ht="15">
      <c r="A2225" s="311" t="s">
        <v>12355</v>
      </c>
      <c r="B2225" s="292" t="s">
        <v>7479</v>
      </c>
      <c r="C2225" s="149" t="s">
        <v>3236</v>
      </c>
      <c r="D2225" s="1074" t="s">
        <v>10899</v>
      </c>
      <c r="E2225" s="807"/>
      <c r="F2225" s="807"/>
      <c r="G2225" s="827"/>
      <c r="H2225" s="809" t="s">
        <v>10901</v>
      </c>
      <c r="I2225" s="92">
        <v>15</v>
      </c>
      <c r="J2225" s="92" t="s">
        <v>10</v>
      </c>
      <c r="K2225" s="92" t="s">
        <v>768</v>
      </c>
      <c r="L2225" s="810">
        <v>4</v>
      </c>
      <c r="M2225" s="811" t="str">
        <f t="shared" si="168"/>
        <v>High School Level</v>
      </c>
      <c r="N2225" s="92" t="s">
        <v>1208</v>
      </c>
      <c r="O2225" s="812" t="s">
        <v>3245</v>
      </c>
      <c r="P2225" s="1638" t="s">
        <v>12606</v>
      </c>
      <c r="Q2225" s="812" t="s">
        <v>3245</v>
      </c>
      <c r="R2225" s="92" t="s">
        <v>8234</v>
      </c>
      <c r="S2225" s="813">
        <v>15000</v>
      </c>
      <c r="V2225" s="814">
        <f>SUM(S2224:U2224)</f>
        <v>9660</v>
      </c>
      <c r="W2225" s="815">
        <v>2</v>
      </c>
      <c r="X2225" s="811" t="str">
        <f t="shared" si="169"/>
        <v>within the Municipality/City</v>
      </c>
      <c r="Y2225" s="816">
        <v>960</v>
      </c>
      <c r="AB2225" s="924">
        <f>SUM(Y2225:AA2225)</f>
        <v>960</v>
      </c>
      <c r="AG2225" s="807" t="str">
        <f t="shared" si="167"/>
        <v/>
      </c>
      <c r="AJ2225" s="865"/>
    </row>
    <row r="2226" spans="1:42" ht="15">
      <c r="A2226" s="311" t="s">
        <v>12355</v>
      </c>
      <c r="C2226" s="807"/>
      <c r="D2226" s="1074" t="s">
        <v>10899</v>
      </c>
      <c r="E2226" s="807"/>
      <c r="F2226" s="807"/>
      <c r="G2226" s="827"/>
      <c r="H2226" s="809" t="s">
        <v>3244</v>
      </c>
      <c r="I2226" s="92">
        <v>40</v>
      </c>
      <c r="J2226" s="92" t="s">
        <v>10</v>
      </c>
      <c r="K2226" s="92" t="s">
        <v>768</v>
      </c>
      <c r="L2226" s="810">
        <v>6</v>
      </c>
      <c r="M2226" s="811" t="str">
        <f t="shared" si="168"/>
        <v>College Level</v>
      </c>
      <c r="N2226" s="92" t="s">
        <v>1208</v>
      </c>
      <c r="O2226" s="812" t="s">
        <v>2966</v>
      </c>
      <c r="P2226" s="1638" t="s">
        <v>12606</v>
      </c>
      <c r="Q2226" s="812" t="s">
        <v>2966</v>
      </c>
      <c r="V2226" s="828"/>
      <c r="W2226" s="815">
        <v>2</v>
      </c>
      <c r="X2226" s="811" t="str">
        <f t="shared" si="169"/>
        <v>within the Municipality/City</v>
      </c>
      <c r="AB2226" s="953"/>
      <c r="AG2226" s="807" t="str">
        <f t="shared" si="167"/>
        <v/>
      </c>
      <c r="AJ2226" s="865"/>
    </row>
    <row r="2227" spans="1:42" ht="15">
      <c r="A2227" s="311" t="s">
        <v>12355</v>
      </c>
      <c r="C2227" s="807"/>
      <c r="D2227" s="1074" t="s">
        <v>10899</v>
      </c>
      <c r="E2227" s="807"/>
      <c r="F2227" s="807"/>
      <c r="G2227" s="827"/>
      <c r="H2227" s="809" t="s">
        <v>4826</v>
      </c>
      <c r="I2227" s="92">
        <v>41</v>
      </c>
      <c r="J2227" s="92" t="s">
        <v>10</v>
      </c>
      <c r="K2227" s="92" t="s">
        <v>707</v>
      </c>
      <c r="L2227" s="810">
        <v>7</v>
      </c>
      <c r="M2227" s="811" t="str">
        <f t="shared" si="168"/>
        <v>College Graduate or Higher</v>
      </c>
      <c r="P2227" s="1638"/>
      <c r="R2227" s="812" t="s">
        <v>8285</v>
      </c>
      <c r="S2227" s="813">
        <v>15000</v>
      </c>
      <c r="V2227" s="828"/>
      <c r="X2227" s="811" t="str">
        <f t="shared" si="169"/>
        <v/>
      </c>
      <c r="AB2227" s="953"/>
      <c r="AG2227" s="807" t="str">
        <f t="shared" si="167"/>
        <v/>
      </c>
      <c r="AJ2227" s="865"/>
    </row>
    <row r="2228" spans="1:42" ht="15">
      <c r="A2228" s="311" t="s">
        <v>12355</v>
      </c>
      <c r="B2228" s="292" t="s">
        <v>7479</v>
      </c>
      <c r="C2228" s="149" t="s">
        <v>3236</v>
      </c>
      <c r="D2228" s="1074" t="s">
        <v>10902</v>
      </c>
      <c r="E2228" s="807"/>
      <c r="F2228" s="807"/>
      <c r="G2228" s="827"/>
      <c r="H2228" s="809" t="s">
        <v>10904</v>
      </c>
      <c r="I2228" s="92">
        <v>45</v>
      </c>
      <c r="J2228" s="92" t="s">
        <v>18</v>
      </c>
      <c r="K2228" s="92" t="s">
        <v>768</v>
      </c>
      <c r="L2228" s="810">
        <v>6</v>
      </c>
      <c r="M2228" s="811" t="str">
        <f t="shared" si="168"/>
        <v>College Level</v>
      </c>
      <c r="N2228" s="92" t="s">
        <v>1208</v>
      </c>
      <c r="O2228" s="812" t="s">
        <v>10906</v>
      </c>
      <c r="P2228" s="1638"/>
      <c r="Q2228" s="812" t="s">
        <v>10906</v>
      </c>
      <c r="V2228" s="828"/>
      <c r="W2228" s="815">
        <v>2</v>
      </c>
      <c r="X2228" s="811" t="str">
        <f t="shared" si="169"/>
        <v>within the Municipality/City</v>
      </c>
      <c r="Y2228" s="816">
        <f>60*26</f>
        <v>1560</v>
      </c>
      <c r="AB2228" s="953"/>
      <c r="AG2228" s="807" t="str">
        <f t="shared" si="167"/>
        <v/>
      </c>
      <c r="AJ2228" s="865"/>
    </row>
    <row r="2229" spans="1:42" ht="15">
      <c r="A2229" s="19" t="s">
        <v>7421</v>
      </c>
      <c r="B2229" s="292" t="s">
        <v>7480</v>
      </c>
      <c r="C2229" s="149" t="s">
        <v>4816</v>
      </c>
      <c r="D2229" s="410" t="s">
        <v>10903</v>
      </c>
      <c r="E2229" s="1045" t="s">
        <v>4816</v>
      </c>
      <c r="F2229" s="1048" t="s">
        <v>4826</v>
      </c>
      <c r="G2229" s="809" t="s">
        <v>4816</v>
      </c>
      <c r="H2229" s="809" t="s">
        <v>10905</v>
      </c>
      <c r="I2229" s="92">
        <v>22</v>
      </c>
      <c r="J2229" s="92" t="s">
        <v>10</v>
      </c>
      <c r="K2229" s="92" t="s">
        <v>768</v>
      </c>
      <c r="L2229" s="810">
        <v>7</v>
      </c>
      <c r="M2229" s="811" t="str">
        <f t="shared" si="168"/>
        <v>College Graduate or Higher</v>
      </c>
      <c r="P2229" s="1638"/>
      <c r="R2229" s="812" t="s">
        <v>8285</v>
      </c>
      <c r="S2229" s="813">
        <v>15000</v>
      </c>
      <c r="V2229" s="828"/>
      <c r="X2229" s="811" t="str">
        <f t="shared" si="169"/>
        <v/>
      </c>
      <c r="AB2229" s="953"/>
      <c r="AG2229" s="807" t="str">
        <f t="shared" si="167"/>
        <v/>
      </c>
      <c r="AJ2229" s="865"/>
    </row>
    <row r="2230" spans="1:42" ht="15">
      <c r="A2230" s="19" t="s">
        <v>7421</v>
      </c>
      <c r="C2230" s="807"/>
      <c r="D2230" s="410" t="s">
        <v>10903</v>
      </c>
      <c r="E2230" s="1045" t="s">
        <v>4816</v>
      </c>
      <c r="F2230" s="807"/>
      <c r="G2230" s="827"/>
      <c r="H2230" s="809" t="s">
        <v>10907</v>
      </c>
      <c r="I2230" s="92">
        <v>17</v>
      </c>
      <c r="J2230" s="92" t="s">
        <v>18</v>
      </c>
      <c r="K2230" s="92" t="s">
        <v>768</v>
      </c>
      <c r="L2230" s="810">
        <v>4</v>
      </c>
      <c r="M2230" s="811" t="str">
        <f t="shared" si="168"/>
        <v>High School Level</v>
      </c>
      <c r="N2230" s="92" t="s">
        <v>1208</v>
      </c>
      <c r="O2230" s="812" t="s">
        <v>10909</v>
      </c>
      <c r="P2230" s="1638"/>
      <c r="Q2230" s="812" t="s">
        <v>10909</v>
      </c>
      <c r="V2230" s="828"/>
      <c r="W2230" s="815">
        <v>1</v>
      </c>
      <c r="X2230" s="811" t="str">
        <f t="shared" si="169"/>
        <v>within the Brgy</v>
      </c>
      <c r="Y2230" s="816">
        <f>34*20</f>
        <v>680</v>
      </c>
      <c r="AB2230" s="953"/>
      <c r="AG2230" s="807" t="str">
        <f t="shared" si="167"/>
        <v/>
      </c>
      <c r="AJ2230" s="865"/>
    </row>
    <row r="2231" spans="1:42" ht="15">
      <c r="A2231" s="19" t="s">
        <v>7421</v>
      </c>
      <c r="C2231" s="807"/>
      <c r="D2231" s="410" t="s">
        <v>10903</v>
      </c>
      <c r="E2231" s="1045" t="s">
        <v>4816</v>
      </c>
      <c r="F2231" s="807"/>
      <c r="G2231" s="827"/>
      <c r="H2231" s="809" t="s">
        <v>10908</v>
      </c>
      <c r="I2231" s="92">
        <v>38</v>
      </c>
      <c r="J2231" s="92" t="s">
        <v>18</v>
      </c>
      <c r="K2231" s="92" t="s">
        <v>783</v>
      </c>
      <c r="L2231" s="810">
        <v>7</v>
      </c>
      <c r="M2231" s="811" t="str">
        <f t="shared" si="168"/>
        <v>College Graduate or Higher</v>
      </c>
      <c r="P2231" s="1638"/>
      <c r="V2231" s="828"/>
      <c r="X2231" s="811" t="str">
        <f t="shared" si="169"/>
        <v/>
      </c>
      <c r="AB2231" s="953"/>
      <c r="AG2231" s="807" t="str">
        <f t="shared" si="167"/>
        <v/>
      </c>
      <c r="AJ2231" s="865"/>
    </row>
    <row r="2232" spans="1:42" ht="15">
      <c r="A2232" s="19" t="s">
        <v>7421</v>
      </c>
      <c r="C2232" s="807"/>
      <c r="D2232" s="410" t="s">
        <v>10903</v>
      </c>
      <c r="E2232" s="1045" t="s">
        <v>4816</v>
      </c>
      <c r="F2232" s="807"/>
      <c r="G2232" s="827"/>
      <c r="H2232" s="1639" t="s">
        <v>10910</v>
      </c>
      <c r="I2232" s="1044">
        <v>18</v>
      </c>
      <c r="J2232" s="1044" t="s">
        <v>10</v>
      </c>
      <c r="K2232" s="1044" t="s">
        <v>768</v>
      </c>
      <c r="L2232" s="1640">
        <v>6</v>
      </c>
      <c r="M2232" s="1641" t="str">
        <f t="shared" si="168"/>
        <v>College Level</v>
      </c>
      <c r="N2232" s="1044"/>
      <c r="O2232" s="1642"/>
      <c r="P2232" s="1643"/>
      <c r="Q2232" s="1642"/>
      <c r="R2232" s="1044" t="s">
        <v>8234</v>
      </c>
      <c r="S2232" s="1646">
        <v>12980</v>
      </c>
      <c r="T2232" s="1646"/>
      <c r="U2232" s="1646">
        <v>1700</v>
      </c>
      <c r="V2232" s="828">
        <f>SUM(S2225:U2231)</f>
        <v>45000</v>
      </c>
      <c r="X2232" s="811" t="str">
        <f t="shared" si="169"/>
        <v/>
      </c>
      <c r="AB2232" s="953">
        <f>SUM(Y2226:AA2232)</f>
        <v>2240</v>
      </c>
      <c r="AG2232" s="807" t="str">
        <f t="shared" si="167"/>
        <v/>
      </c>
      <c r="AJ2232" s="865"/>
    </row>
    <row r="2233" spans="1:42" ht="15">
      <c r="A2233" s="19" t="s">
        <v>7421</v>
      </c>
      <c r="C2233" s="807"/>
      <c r="D2233" s="410" t="s">
        <v>10903</v>
      </c>
      <c r="E2233" s="1045" t="s">
        <v>4816</v>
      </c>
      <c r="F2233" s="807"/>
      <c r="G2233" s="827"/>
      <c r="H2233" s="809" t="s">
        <v>10911</v>
      </c>
      <c r="I2233" s="92">
        <v>11</v>
      </c>
      <c r="J2233" s="92" t="s">
        <v>18</v>
      </c>
      <c r="K2233" s="92" t="s">
        <v>768</v>
      </c>
      <c r="L2233" s="810">
        <v>0</v>
      </c>
      <c r="M2233" s="811" t="str">
        <f t="shared" si="168"/>
        <v>No Schooling</v>
      </c>
      <c r="N2233" s="92" t="s">
        <v>1208</v>
      </c>
      <c r="O2233" s="812" t="s">
        <v>5197</v>
      </c>
      <c r="P2233" s="1638" t="s">
        <v>12618</v>
      </c>
      <c r="Q2233" s="812" t="s">
        <v>5197</v>
      </c>
      <c r="V2233" s="961"/>
      <c r="W2233" s="815">
        <v>2</v>
      </c>
      <c r="X2233" s="811" t="str">
        <f t="shared" si="169"/>
        <v>within the Municipality/City</v>
      </c>
      <c r="Y2233" s="816">
        <v>1800</v>
      </c>
      <c r="AB2233" s="962"/>
      <c r="AG2233" s="807" t="str">
        <f t="shared" si="167"/>
        <v/>
      </c>
      <c r="AJ2233" s="865"/>
      <c r="AO2233" s="817" t="s">
        <v>10913</v>
      </c>
      <c r="AP2233" s="820">
        <v>1700</v>
      </c>
    </row>
    <row r="2234" spans="1:42" ht="15">
      <c r="A2234" s="19" t="s">
        <v>7421</v>
      </c>
      <c r="C2234" s="807"/>
      <c r="D2234" s="410" t="s">
        <v>10903</v>
      </c>
      <c r="E2234" s="1045" t="s">
        <v>4816</v>
      </c>
      <c r="F2234" s="807"/>
      <c r="G2234" s="827"/>
      <c r="H2234" s="809" t="s">
        <v>3257</v>
      </c>
      <c r="I2234" s="92">
        <v>22</v>
      </c>
      <c r="J2234" s="92" t="s">
        <v>10</v>
      </c>
      <c r="K2234" s="92" t="s">
        <v>722</v>
      </c>
      <c r="L2234" s="810">
        <v>5</v>
      </c>
      <c r="M2234" s="811" t="str">
        <f t="shared" si="168"/>
        <v>High School Graduate</v>
      </c>
      <c r="P2234" s="1638"/>
      <c r="R2234" s="807"/>
      <c r="S2234" s="807"/>
      <c r="V2234" s="961">
        <f>SUM(S2232:U2233)</f>
        <v>14680</v>
      </c>
      <c r="X2234" s="811" t="str">
        <f t="shared" si="169"/>
        <v/>
      </c>
      <c r="AB2234" s="962">
        <f>SUM(Y2233:AA2234)</f>
        <v>1800</v>
      </c>
      <c r="AG2234" s="807" t="str">
        <f t="shared" si="167"/>
        <v/>
      </c>
      <c r="AJ2234" s="865"/>
    </row>
    <row r="2235" spans="1:42" ht="15">
      <c r="A2235" s="19" t="s">
        <v>7421</v>
      </c>
      <c r="C2235" s="807"/>
      <c r="D2235" s="410" t="s">
        <v>10903</v>
      </c>
      <c r="E2235" s="1045" t="s">
        <v>4816</v>
      </c>
      <c r="F2235" s="807"/>
      <c r="G2235" s="827"/>
      <c r="H2235" s="809" t="s">
        <v>10914</v>
      </c>
      <c r="I2235" s="92">
        <v>19</v>
      </c>
      <c r="J2235" s="92" t="s">
        <v>18</v>
      </c>
      <c r="K2235" s="92" t="s">
        <v>722</v>
      </c>
      <c r="L2235" s="810">
        <v>5</v>
      </c>
      <c r="M2235" s="811" t="str">
        <f t="shared" si="168"/>
        <v>High School Graduate</v>
      </c>
      <c r="N2235" s="807"/>
      <c r="O2235" s="807"/>
      <c r="P2235" s="1638"/>
      <c r="Q2235" s="807"/>
      <c r="S2235" s="813" t="s">
        <v>4328</v>
      </c>
      <c r="X2235" s="811" t="str">
        <f t="shared" si="169"/>
        <v/>
      </c>
      <c r="AB2235" s="940"/>
      <c r="AD2235" s="817" t="s">
        <v>10916</v>
      </c>
      <c r="AE2235" s="93" t="s">
        <v>10917</v>
      </c>
      <c r="AF2235" s="818">
        <v>2</v>
      </c>
      <c r="AG2235" s="807" t="str">
        <f t="shared" si="167"/>
        <v>Assistance to walk</v>
      </c>
      <c r="AJ2235" s="865"/>
    </row>
    <row r="2236" spans="1:42" ht="15">
      <c r="A2236" s="19" t="s">
        <v>7421</v>
      </c>
      <c r="B2236" s="292" t="s">
        <v>7481</v>
      </c>
      <c r="C2236" s="149" t="s">
        <v>3249</v>
      </c>
      <c r="D2236" s="410" t="s">
        <v>10912</v>
      </c>
      <c r="E2236" s="1045" t="s">
        <v>3249</v>
      </c>
      <c r="F2236" s="1048" t="s">
        <v>3257</v>
      </c>
      <c r="G2236" s="809" t="s">
        <v>3249</v>
      </c>
      <c r="H2236" s="809" t="s">
        <v>5205</v>
      </c>
      <c r="I2236" s="92">
        <v>68</v>
      </c>
      <c r="J2236" s="92" t="s">
        <v>18</v>
      </c>
      <c r="K2236" s="92" t="s">
        <v>707</v>
      </c>
      <c r="L2236" s="810">
        <v>6</v>
      </c>
      <c r="M2236" s="811" t="str">
        <f t="shared" si="168"/>
        <v>College Level</v>
      </c>
      <c r="N2236" s="92" t="s">
        <v>1208</v>
      </c>
      <c r="O2236" s="812" t="s">
        <v>5206</v>
      </c>
      <c r="P2236" s="1638"/>
      <c r="Q2236" s="812" t="s">
        <v>5206</v>
      </c>
      <c r="S2236" s="813" t="s">
        <v>4328</v>
      </c>
      <c r="W2236" s="815">
        <v>3</v>
      </c>
      <c r="X2236" s="811" t="str">
        <f t="shared" si="169"/>
        <v>within the Province</v>
      </c>
      <c r="Y2236" s="816">
        <v>6000</v>
      </c>
      <c r="AB2236" s="940"/>
      <c r="AG2236" s="807" t="str">
        <f t="shared" si="167"/>
        <v/>
      </c>
      <c r="AJ2236" s="865"/>
    </row>
    <row r="2237" spans="1:42" ht="15">
      <c r="A2237" s="19" t="s">
        <v>7421</v>
      </c>
      <c r="C2237" s="807"/>
      <c r="D2237" s="410" t="s">
        <v>10912</v>
      </c>
      <c r="E2237" s="1045" t="s">
        <v>3249</v>
      </c>
      <c r="F2237" s="807"/>
      <c r="G2237" s="827"/>
      <c r="H2237" s="809" t="s">
        <v>10918</v>
      </c>
      <c r="I2237" s="92">
        <v>34</v>
      </c>
      <c r="J2237" s="92" t="s">
        <v>18</v>
      </c>
      <c r="K2237" s="92" t="s">
        <v>768</v>
      </c>
      <c r="L2237" s="810">
        <v>7</v>
      </c>
      <c r="M2237" s="811" t="str">
        <f t="shared" si="168"/>
        <v>College Graduate or Higher</v>
      </c>
      <c r="N2237" s="92" t="s">
        <v>1208</v>
      </c>
      <c r="O2237" s="812" t="s">
        <v>4912</v>
      </c>
      <c r="P2237" s="1638"/>
      <c r="Q2237" s="812" t="s">
        <v>4912</v>
      </c>
      <c r="S2237" s="813" t="s">
        <v>4328</v>
      </c>
      <c r="W2237" s="815">
        <v>2</v>
      </c>
      <c r="X2237" s="811" t="str">
        <f t="shared" si="169"/>
        <v>within the Municipality/City</v>
      </c>
      <c r="Y2237" s="816">
        <v>960</v>
      </c>
      <c r="AB2237" s="940"/>
      <c r="AG2237" s="807" t="str">
        <f t="shared" si="167"/>
        <v/>
      </c>
      <c r="AJ2237" s="865"/>
    </row>
    <row r="2238" spans="1:42" ht="15">
      <c r="A2238" s="807"/>
      <c r="C2238" s="807"/>
      <c r="D2238" s="410" t="s">
        <v>10915</v>
      </c>
      <c r="E2238" s="807"/>
      <c r="F2238" s="807"/>
      <c r="G2238" s="846" t="s">
        <v>5198</v>
      </c>
      <c r="H2238" s="809" t="s">
        <v>10919</v>
      </c>
      <c r="I2238" s="92">
        <v>33</v>
      </c>
      <c r="J2238" s="92" t="s">
        <v>18</v>
      </c>
      <c r="K2238" s="92" t="s">
        <v>768</v>
      </c>
      <c r="L2238" s="810">
        <v>7</v>
      </c>
      <c r="M2238" s="811" t="str">
        <f t="shared" si="168"/>
        <v>College Graduate or Higher</v>
      </c>
      <c r="N2238" s="92" t="s">
        <v>1208</v>
      </c>
      <c r="O2238" s="812" t="s">
        <v>10921</v>
      </c>
      <c r="P2238" s="1638"/>
      <c r="Q2238" s="812" t="s">
        <v>10921</v>
      </c>
      <c r="W2238" s="815">
        <v>2</v>
      </c>
      <c r="X2238" s="811" t="str">
        <f t="shared" si="169"/>
        <v>within the Municipality/City</v>
      </c>
      <c r="Y2238" s="816">
        <f>40*26</f>
        <v>1040</v>
      </c>
      <c r="AB2238" s="940"/>
      <c r="AG2238" s="807" t="str">
        <f t="shared" si="167"/>
        <v/>
      </c>
      <c r="AJ2238" s="865"/>
    </row>
    <row r="2239" spans="1:42" ht="15">
      <c r="A2239" s="807"/>
      <c r="C2239" s="807"/>
      <c r="D2239" s="1074"/>
      <c r="E2239" s="807"/>
      <c r="F2239" s="807"/>
      <c r="G2239" s="827"/>
      <c r="H2239" s="809" t="s">
        <v>10920</v>
      </c>
      <c r="I2239" s="92">
        <v>24</v>
      </c>
      <c r="J2239" s="92" t="s">
        <v>10</v>
      </c>
      <c r="K2239" s="92" t="s">
        <v>768</v>
      </c>
      <c r="L2239" s="810">
        <v>7</v>
      </c>
      <c r="M2239" s="811" t="str">
        <f t="shared" si="168"/>
        <v>College Graduate or Higher</v>
      </c>
      <c r="P2239" s="1638"/>
      <c r="X2239" s="811" t="str">
        <f t="shared" si="169"/>
        <v/>
      </c>
      <c r="AB2239" s="940"/>
      <c r="AG2239" s="807" t="str">
        <f t="shared" si="167"/>
        <v/>
      </c>
      <c r="AJ2239" s="865"/>
    </row>
    <row r="2240" spans="1:42" ht="15">
      <c r="A2240" s="807"/>
      <c r="C2240" s="807"/>
      <c r="D2240" s="1074"/>
      <c r="E2240" s="807"/>
      <c r="F2240" s="807"/>
      <c r="G2240" s="827"/>
      <c r="H2240" s="809" t="s">
        <v>10922</v>
      </c>
      <c r="I2240" s="92">
        <v>8</v>
      </c>
      <c r="J2240" s="92" t="s">
        <v>18</v>
      </c>
      <c r="K2240" s="92" t="s">
        <v>768</v>
      </c>
      <c r="L2240" s="810">
        <v>2</v>
      </c>
      <c r="M2240" s="811" t="str">
        <f t="shared" si="168"/>
        <v>Elementary Level</v>
      </c>
      <c r="P2240" s="1638"/>
      <c r="X2240" s="811" t="str">
        <f t="shared" si="169"/>
        <v/>
      </c>
      <c r="AB2240" s="940"/>
      <c r="AG2240" s="807" t="str">
        <f t="shared" si="167"/>
        <v/>
      </c>
      <c r="AJ2240" s="865"/>
    </row>
    <row r="2241" spans="1:73" ht="15">
      <c r="A2241" s="807"/>
      <c r="C2241" s="807"/>
      <c r="D2241" s="1074"/>
      <c r="E2241" s="807"/>
      <c r="F2241" s="807"/>
      <c r="G2241" s="827"/>
      <c r="H2241" s="809" t="s">
        <v>10923</v>
      </c>
      <c r="I2241" s="92">
        <v>52</v>
      </c>
      <c r="J2241" s="92" t="s">
        <v>18</v>
      </c>
      <c r="K2241" s="92" t="s">
        <v>719</v>
      </c>
      <c r="L2241" s="810">
        <v>6</v>
      </c>
      <c r="M2241" s="811" t="str">
        <f t="shared" si="168"/>
        <v>College Level</v>
      </c>
      <c r="P2241" s="1638"/>
      <c r="U2241" s="813">
        <v>3000</v>
      </c>
      <c r="V2241" s="814">
        <f>SUM(S2234:U2240)</f>
        <v>0</v>
      </c>
      <c r="X2241" s="811" t="str">
        <f t="shared" si="169"/>
        <v/>
      </c>
      <c r="AB2241" s="940">
        <f>SUM(Y2235:AA2241)</f>
        <v>8000</v>
      </c>
      <c r="AG2241" s="807" t="str">
        <f t="shared" si="167"/>
        <v/>
      </c>
      <c r="AJ2241" s="865"/>
    </row>
    <row r="2242" spans="1:73" ht="15">
      <c r="A2242" s="807"/>
      <c r="C2242" s="807"/>
      <c r="D2242" s="1074"/>
      <c r="E2242" s="807"/>
      <c r="F2242" s="807"/>
      <c r="G2242" s="827"/>
      <c r="H2242" s="809" t="s">
        <v>10924</v>
      </c>
      <c r="I2242" s="92">
        <v>6</v>
      </c>
      <c r="J2242" s="92" t="s">
        <v>18</v>
      </c>
      <c r="K2242" s="92" t="s">
        <v>768</v>
      </c>
      <c r="L2242" s="810">
        <v>4</v>
      </c>
      <c r="M2242" s="811" t="str">
        <f t="shared" si="168"/>
        <v>High School Level</v>
      </c>
      <c r="N2242" s="92" t="s">
        <v>1208</v>
      </c>
      <c r="O2242" s="812" t="s">
        <v>2220</v>
      </c>
      <c r="P2242" s="1638"/>
      <c r="Q2242" s="812" t="s">
        <v>2220</v>
      </c>
      <c r="U2242" s="813">
        <v>3000</v>
      </c>
      <c r="V2242" s="968"/>
      <c r="W2242" s="815">
        <v>1</v>
      </c>
      <c r="X2242" s="811" t="str">
        <f t="shared" si="169"/>
        <v>within the Brgy</v>
      </c>
      <c r="AB2242" s="947"/>
      <c r="AG2242" s="807" t="str">
        <f t="shared" si="167"/>
        <v/>
      </c>
      <c r="AJ2242" s="865"/>
      <c r="AO2242" s="817" t="s">
        <v>10926</v>
      </c>
      <c r="AP2242" s="820">
        <v>3000</v>
      </c>
    </row>
    <row r="2243" spans="1:73" ht="15">
      <c r="A2243" s="807"/>
      <c r="C2243" s="807"/>
      <c r="D2243" s="1074"/>
      <c r="E2243" s="807"/>
      <c r="F2243" s="807"/>
      <c r="G2243" s="827"/>
      <c r="H2243" s="809" t="s">
        <v>5220</v>
      </c>
      <c r="I2243" s="92">
        <v>42</v>
      </c>
      <c r="J2243" s="92" t="s">
        <v>10</v>
      </c>
      <c r="K2243" s="92" t="s">
        <v>707</v>
      </c>
      <c r="L2243" s="810">
        <v>6</v>
      </c>
      <c r="M2243" s="811" t="str">
        <f t="shared" si="168"/>
        <v>College Level</v>
      </c>
      <c r="N2243" s="92" t="s">
        <v>1208</v>
      </c>
      <c r="O2243" s="812" t="s">
        <v>2968</v>
      </c>
      <c r="P2243" s="1638"/>
      <c r="Q2243" s="812" t="s">
        <v>2968</v>
      </c>
      <c r="V2243" s="968"/>
      <c r="W2243" s="815">
        <v>1</v>
      </c>
      <c r="X2243" s="811" t="str">
        <f t="shared" ref="X2243:X2274" si="170">IF(ISBLANK(W2243)=TRUE,"",LOOKUP(W2243,GO:GP))</f>
        <v>within the Brgy</v>
      </c>
      <c r="AB2243" s="947"/>
      <c r="AG2243" s="807" t="str">
        <f t="shared" si="167"/>
        <v/>
      </c>
      <c r="AJ2243" s="865"/>
      <c r="AO2243" s="817" t="s">
        <v>10927</v>
      </c>
    </row>
    <row r="2244" spans="1:73" ht="15">
      <c r="B2244" s="292"/>
      <c r="D2244" s="1074"/>
      <c r="E2244" s="807"/>
      <c r="F2244" s="807"/>
      <c r="G2244" s="827"/>
      <c r="H2244" s="809" t="s">
        <v>3269</v>
      </c>
      <c r="I2244" s="92">
        <v>42</v>
      </c>
      <c r="J2244" s="92" t="s">
        <v>18</v>
      </c>
      <c r="K2244" s="92" t="s">
        <v>707</v>
      </c>
      <c r="L2244" s="810">
        <v>5</v>
      </c>
      <c r="M2244" s="811" t="str">
        <f t="shared" si="168"/>
        <v>High School Graduate</v>
      </c>
      <c r="P2244" s="1638"/>
      <c r="V2244" s="968"/>
      <c r="X2244" s="811" t="str">
        <f t="shared" si="170"/>
        <v/>
      </c>
      <c r="AB2244" s="947"/>
      <c r="AG2244" s="807" t="str">
        <f t="shared" si="167"/>
        <v/>
      </c>
      <c r="AJ2244" s="865"/>
    </row>
    <row r="2245" spans="1:73" ht="15">
      <c r="D2245" s="410" t="s">
        <v>10925</v>
      </c>
      <c r="E2245" s="1046"/>
      <c r="F2245" s="1046"/>
      <c r="G2245" s="809" t="s">
        <v>3260</v>
      </c>
      <c r="H2245" s="809" t="s">
        <v>10928</v>
      </c>
      <c r="I2245" s="92">
        <v>18</v>
      </c>
      <c r="J2245" s="92" t="s">
        <v>10</v>
      </c>
      <c r="K2245" s="92" t="s">
        <v>768</v>
      </c>
      <c r="L2245" s="810">
        <v>5</v>
      </c>
      <c r="M2245" s="811" t="str">
        <f t="shared" si="168"/>
        <v>High School Graduate</v>
      </c>
      <c r="P2245" s="1638"/>
      <c r="S2245" s="813">
        <f>400*26</f>
        <v>10400</v>
      </c>
      <c r="V2245" s="968"/>
      <c r="X2245" s="811" t="str">
        <f t="shared" si="170"/>
        <v/>
      </c>
      <c r="AB2245" s="947"/>
      <c r="AG2245" s="807" t="str">
        <f t="shared" si="167"/>
        <v/>
      </c>
      <c r="AJ2245" s="865"/>
    </row>
    <row r="2246" spans="1:73" ht="15">
      <c r="D2246" s="1074"/>
      <c r="G2246" s="827"/>
      <c r="H2246" s="809" t="s">
        <v>10929</v>
      </c>
      <c r="I2246" s="92">
        <v>12</v>
      </c>
      <c r="J2246" s="92" t="s">
        <v>10</v>
      </c>
      <c r="K2246" s="92" t="s">
        <v>768</v>
      </c>
      <c r="L2246" s="810">
        <v>4</v>
      </c>
      <c r="M2246" s="811" t="str">
        <f t="shared" si="168"/>
        <v>High School Level</v>
      </c>
      <c r="N2246" s="92" t="s">
        <v>1208</v>
      </c>
      <c r="O2246" s="812" t="s">
        <v>10931</v>
      </c>
      <c r="P2246" s="1638"/>
      <c r="Q2246" s="812" t="s">
        <v>10931</v>
      </c>
      <c r="V2246" s="968"/>
      <c r="W2246" s="815">
        <v>3</v>
      </c>
      <c r="X2246" s="811" t="str">
        <f t="shared" si="170"/>
        <v>within the Province</v>
      </c>
      <c r="Y2246" s="816">
        <f>16*26</f>
        <v>416</v>
      </c>
      <c r="AB2246" s="947"/>
      <c r="AG2246" s="807" t="str">
        <f t="shared" si="167"/>
        <v/>
      </c>
      <c r="AJ2246" s="865"/>
    </row>
    <row r="2247" spans="1:73" ht="15">
      <c r="D2247" s="1074"/>
      <c r="G2247" s="827"/>
      <c r="H2247" s="809" t="s">
        <v>10930</v>
      </c>
      <c r="I2247" s="92">
        <v>25</v>
      </c>
      <c r="J2247" s="92" t="s">
        <v>18</v>
      </c>
      <c r="K2247" s="92" t="s">
        <v>768</v>
      </c>
      <c r="L2247" s="810">
        <v>5</v>
      </c>
      <c r="M2247" s="811" t="str">
        <f t="shared" si="168"/>
        <v>High School Graduate</v>
      </c>
      <c r="P2247" s="1638"/>
      <c r="V2247" s="968"/>
      <c r="X2247" s="811" t="str">
        <f t="shared" si="170"/>
        <v/>
      </c>
      <c r="AB2247" s="947"/>
      <c r="AG2247" s="807" t="str">
        <f t="shared" si="167"/>
        <v/>
      </c>
      <c r="AJ2247" s="865"/>
    </row>
    <row r="2248" spans="1:73" ht="15">
      <c r="D2248" s="1074"/>
      <c r="G2248" s="827"/>
      <c r="H2248" s="809" t="s">
        <v>10932</v>
      </c>
      <c r="I2248" s="92">
        <v>8</v>
      </c>
      <c r="J2248" s="92" t="s">
        <v>10</v>
      </c>
      <c r="K2248" s="92" t="s">
        <v>768</v>
      </c>
      <c r="L2248" s="810">
        <v>2</v>
      </c>
      <c r="M2248" s="811" t="str">
        <f t="shared" si="168"/>
        <v>Elementary Level</v>
      </c>
      <c r="P2248" s="1638"/>
      <c r="V2248" s="968">
        <f>SUM(S2241:U2247)</f>
        <v>16400</v>
      </c>
      <c r="X2248" s="811" t="str">
        <f t="shared" si="170"/>
        <v/>
      </c>
      <c r="AB2248" s="947">
        <f>SUM(Y2242:AA2248)</f>
        <v>416</v>
      </c>
      <c r="AG2248" s="807" t="str">
        <f t="shared" si="167"/>
        <v/>
      </c>
      <c r="AJ2248" s="865"/>
    </row>
    <row r="2249" spans="1:73" ht="15">
      <c r="D2249" s="1074"/>
      <c r="G2249" s="827"/>
      <c r="H2249" s="809" t="s">
        <v>10933</v>
      </c>
      <c r="I2249" s="92">
        <v>4</v>
      </c>
      <c r="J2249" s="92" t="s">
        <v>10</v>
      </c>
      <c r="K2249" s="92" t="s">
        <v>768</v>
      </c>
      <c r="L2249" s="810">
        <v>10</v>
      </c>
      <c r="M2249" s="811" t="str">
        <f t="shared" si="168"/>
        <v>Not In School Age</v>
      </c>
      <c r="P2249" s="1638"/>
      <c r="X2249" s="811" t="str">
        <f t="shared" si="170"/>
        <v/>
      </c>
      <c r="AD2249" s="817" t="s">
        <v>10935</v>
      </c>
      <c r="AE2249" s="93" t="s">
        <v>10936</v>
      </c>
      <c r="AF2249" s="818">
        <v>3</v>
      </c>
      <c r="AG2249" s="807" t="str">
        <f t="shared" si="167"/>
        <v>Special Medical Care</v>
      </c>
      <c r="AJ2249" s="865"/>
    </row>
    <row r="2250" spans="1:73" ht="15">
      <c r="D2250" s="1074"/>
      <c r="G2250" s="827"/>
      <c r="M2250" s="811" t="str">
        <f t="shared" si="168"/>
        <v/>
      </c>
      <c r="P2250" s="1638"/>
      <c r="R2250" s="92" t="s">
        <v>8234</v>
      </c>
      <c r="U2250" s="813">
        <v>1500</v>
      </c>
      <c r="X2250" s="811" t="str">
        <f t="shared" si="170"/>
        <v/>
      </c>
      <c r="AD2250" s="817" t="s">
        <v>10937</v>
      </c>
      <c r="AG2250" s="807" t="str">
        <f t="shared" si="167"/>
        <v/>
      </c>
      <c r="AJ2250" s="865"/>
    </row>
    <row r="2251" spans="1:73" ht="15">
      <c r="A2251" s="17"/>
      <c r="D2251" s="1074"/>
      <c r="G2251" s="827"/>
      <c r="M2251" s="811" t="str">
        <f t="shared" si="168"/>
        <v/>
      </c>
      <c r="N2251" s="92" t="s">
        <v>1208</v>
      </c>
      <c r="O2251" s="812" t="s">
        <v>10940</v>
      </c>
      <c r="P2251" s="1638" t="s">
        <v>12608</v>
      </c>
      <c r="Q2251" s="812" t="s">
        <v>10940</v>
      </c>
      <c r="R2251" s="92"/>
      <c r="V2251" s="969">
        <f>SUM(S2250:U2250)</f>
        <v>1500</v>
      </c>
      <c r="W2251" s="815">
        <v>1</v>
      </c>
      <c r="X2251" s="811" t="str">
        <f t="shared" si="170"/>
        <v>within the Brgy</v>
      </c>
      <c r="AB2251" s="970">
        <f>SUM(Y2251:AA2251)</f>
        <v>0</v>
      </c>
      <c r="AD2251" s="817" t="s">
        <v>10941</v>
      </c>
      <c r="AE2251" s="93" t="s">
        <v>10942</v>
      </c>
      <c r="AF2251" s="818">
        <v>3</v>
      </c>
      <c r="AG2251" s="807" t="str">
        <f t="shared" si="167"/>
        <v>Special Medical Care</v>
      </c>
      <c r="AJ2251" s="865"/>
      <c r="AO2251" s="817" t="s">
        <v>11649</v>
      </c>
      <c r="BU2251" s="807" t="s">
        <v>2144</v>
      </c>
    </row>
    <row r="2252" spans="1:73" ht="15">
      <c r="A2252" s="17"/>
      <c r="B2252" s="292"/>
      <c r="D2252" s="1074" t="s">
        <v>10934</v>
      </c>
      <c r="G2252" s="827"/>
      <c r="H2252" s="809" t="s">
        <v>5228</v>
      </c>
      <c r="I2252" s="92">
        <v>88</v>
      </c>
      <c r="J2252" s="92" t="s">
        <v>18</v>
      </c>
      <c r="K2252" s="92" t="s">
        <v>707</v>
      </c>
      <c r="L2252" s="810">
        <v>4</v>
      </c>
      <c r="M2252" s="811" t="str">
        <f t="shared" si="168"/>
        <v>High School Level</v>
      </c>
      <c r="P2252" s="1638"/>
      <c r="V2252" s="873"/>
      <c r="X2252" s="811" t="str">
        <f t="shared" si="170"/>
        <v/>
      </c>
      <c r="AB2252" s="873"/>
      <c r="AD2252" s="817" t="s">
        <v>10944</v>
      </c>
      <c r="AE2252" s="93" t="s">
        <v>10945</v>
      </c>
      <c r="AF2252" s="818">
        <v>2</v>
      </c>
      <c r="AG2252" s="807" t="str">
        <f t="shared" si="167"/>
        <v>Assistance to walk</v>
      </c>
      <c r="AH2252" s="817" t="s">
        <v>10946</v>
      </c>
      <c r="AJ2252" s="820">
        <v>2500</v>
      </c>
      <c r="AO2252" s="817" t="s">
        <v>10947</v>
      </c>
    </row>
    <row r="2253" spans="1:73" ht="15">
      <c r="A2253" s="17"/>
      <c r="B2253" s="292"/>
      <c r="D2253" s="1074"/>
      <c r="G2253" s="827"/>
      <c r="H2253" s="809" t="s">
        <v>3285</v>
      </c>
      <c r="I2253" s="92">
        <v>58</v>
      </c>
      <c r="J2253" s="92" t="s">
        <v>10</v>
      </c>
      <c r="K2253" s="92" t="s">
        <v>722</v>
      </c>
      <c r="L2253" s="810">
        <v>4</v>
      </c>
      <c r="M2253" s="811" t="str">
        <f t="shared" si="168"/>
        <v>High School Level</v>
      </c>
      <c r="P2253" s="1638"/>
      <c r="V2253" s="873"/>
      <c r="X2253" s="811" t="str">
        <f t="shared" si="170"/>
        <v/>
      </c>
      <c r="AB2253" s="873"/>
      <c r="AG2253" s="807" t="str">
        <f t="shared" si="167"/>
        <v/>
      </c>
      <c r="AO2253" s="817" t="s">
        <v>10948</v>
      </c>
    </row>
    <row r="2254" spans="1:73" ht="15">
      <c r="A2254" s="19" t="s">
        <v>7421</v>
      </c>
      <c r="B2254" s="292" t="s">
        <v>7486</v>
      </c>
      <c r="C2254" s="149" t="s">
        <v>3270</v>
      </c>
      <c r="D2254" s="410" t="s">
        <v>10938</v>
      </c>
      <c r="E2254" s="1045" t="s">
        <v>3270</v>
      </c>
      <c r="F2254" s="1048" t="s">
        <v>5228</v>
      </c>
      <c r="G2254" s="846" t="s">
        <v>10939</v>
      </c>
      <c r="H2254" s="809" t="s">
        <v>11650</v>
      </c>
      <c r="I2254" s="92">
        <v>62</v>
      </c>
      <c r="J2254" s="92" t="s">
        <v>18</v>
      </c>
      <c r="K2254" s="92" t="s">
        <v>707</v>
      </c>
      <c r="L2254" s="810">
        <v>3</v>
      </c>
      <c r="M2254" s="811" t="str">
        <f t="shared" si="168"/>
        <v>Elementary Graduate</v>
      </c>
      <c r="P2254" s="1638"/>
      <c r="R2254" s="812" t="s">
        <v>8285</v>
      </c>
      <c r="S2254" s="813">
        <v>6000</v>
      </c>
      <c r="V2254" s="873"/>
      <c r="X2254" s="811" t="str">
        <f t="shared" si="170"/>
        <v/>
      </c>
      <c r="AB2254" s="873"/>
      <c r="AG2254" s="807"/>
    </row>
    <row r="2255" spans="1:73" ht="15">
      <c r="A2255" s="311" t="s">
        <v>12452</v>
      </c>
      <c r="B2255" s="1237" t="s">
        <v>7487</v>
      </c>
      <c r="C2255" s="149" t="s">
        <v>3270</v>
      </c>
      <c r="D2255" s="410" t="s">
        <v>10943</v>
      </c>
      <c r="E2255" s="1045" t="s">
        <v>3277</v>
      </c>
      <c r="F2255" s="1048" t="s">
        <v>3285</v>
      </c>
      <c r="G2255" s="809" t="s">
        <v>3277</v>
      </c>
      <c r="H2255" s="809" t="s">
        <v>11651</v>
      </c>
      <c r="I2255" s="92">
        <v>61</v>
      </c>
      <c r="J2255" s="92" t="s">
        <v>18</v>
      </c>
      <c r="K2255" s="92" t="s">
        <v>768</v>
      </c>
      <c r="L2255" s="810">
        <v>2</v>
      </c>
      <c r="M2255" s="811" t="str">
        <f t="shared" si="168"/>
        <v>Elementary Level</v>
      </c>
      <c r="N2255" s="92" t="s">
        <v>1208</v>
      </c>
      <c r="O2255" s="812" t="s">
        <v>3388</v>
      </c>
      <c r="P2255" s="1638"/>
      <c r="Q2255" s="812" t="s">
        <v>3388</v>
      </c>
      <c r="R2255" s="812" t="s">
        <v>8285</v>
      </c>
      <c r="S2255" s="813">
        <v>12000</v>
      </c>
      <c r="V2255" s="873"/>
      <c r="W2255" s="815">
        <v>2</v>
      </c>
      <c r="X2255" s="811" t="str">
        <f t="shared" si="170"/>
        <v>within the Municipality/City</v>
      </c>
      <c r="AB2255" s="873"/>
      <c r="AG2255" s="807"/>
    </row>
    <row r="2256" spans="1:73" ht="15">
      <c r="A2256" s="807"/>
      <c r="C2256" s="807"/>
      <c r="D2256" s="410"/>
      <c r="E2256" s="1045" t="s">
        <v>3277</v>
      </c>
      <c r="F2256" s="807"/>
      <c r="G2256" s="827"/>
      <c r="H2256" s="809" t="s">
        <v>11652</v>
      </c>
      <c r="I2256" s="92">
        <v>56</v>
      </c>
      <c r="J2256" s="92" t="s">
        <v>10</v>
      </c>
      <c r="K2256" s="92" t="s">
        <v>707</v>
      </c>
      <c r="L2256" s="810">
        <v>5</v>
      </c>
      <c r="M2256" s="811" t="str">
        <f t="shared" si="168"/>
        <v>High School Graduate</v>
      </c>
      <c r="N2256" s="92" t="s">
        <v>1208</v>
      </c>
      <c r="O2256" s="812" t="s">
        <v>2225</v>
      </c>
      <c r="P2256" s="1638"/>
      <c r="Q2256" s="812" t="s">
        <v>2225</v>
      </c>
      <c r="V2256" s="873"/>
      <c r="W2256" s="815">
        <v>1</v>
      </c>
      <c r="X2256" s="811" t="str">
        <f t="shared" si="170"/>
        <v>within the Brgy</v>
      </c>
      <c r="Y2256" s="816">
        <v>1500</v>
      </c>
      <c r="AB2256" s="873"/>
      <c r="AG2256" s="807"/>
    </row>
    <row r="2257" spans="1:36" ht="15">
      <c r="A2257" s="807"/>
      <c r="C2257" s="807"/>
      <c r="D2257" s="410"/>
      <c r="E2257" s="1045"/>
      <c r="F2257" s="807"/>
      <c r="G2257" s="827"/>
      <c r="H2257" s="809" t="s">
        <v>11653</v>
      </c>
      <c r="I2257" s="92">
        <v>53</v>
      </c>
      <c r="J2257" s="92" t="s">
        <v>18</v>
      </c>
      <c r="K2257" s="92" t="s">
        <v>768</v>
      </c>
      <c r="L2257" s="810">
        <v>6</v>
      </c>
      <c r="M2257" s="811" t="str">
        <f t="shared" si="168"/>
        <v>College Level</v>
      </c>
      <c r="P2257" s="1638"/>
      <c r="V2257" s="873"/>
      <c r="X2257" s="811" t="str">
        <f t="shared" si="170"/>
        <v/>
      </c>
      <c r="AB2257" s="873"/>
      <c r="AG2257" s="807"/>
    </row>
    <row r="2258" spans="1:36" ht="15">
      <c r="A2258" s="807"/>
      <c r="C2258" s="807"/>
      <c r="D2258" s="410"/>
      <c r="E2258" s="1045"/>
      <c r="F2258" s="807"/>
      <c r="G2258" s="827"/>
      <c r="H2258" s="809" t="s">
        <v>11654</v>
      </c>
      <c r="I2258" s="92">
        <v>51</v>
      </c>
      <c r="J2258" s="92" t="s">
        <v>18</v>
      </c>
      <c r="K2258" s="92" t="s">
        <v>768</v>
      </c>
      <c r="L2258" s="810">
        <v>4</v>
      </c>
      <c r="M2258" s="811" t="str">
        <f t="shared" si="168"/>
        <v>High School Level</v>
      </c>
      <c r="P2258" s="1638"/>
      <c r="V2258" s="873"/>
      <c r="X2258" s="811" t="str">
        <f t="shared" si="170"/>
        <v/>
      </c>
      <c r="AB2258" s="873"/>
      <c r="AG2258" s="807"/>
    </row>
    <row r="2259" spans="1:36" ht="15">
      <c r="A2259" s="807"/>
      <c r="C2259" s="807"/>
      <c r="D2259" s="410"/>
      <c r="E2259" s="1045"/>
      <c r="F2259" s="807"/>
      <c r="G2259" s="827"/>
      <c r="H2259" s="809" t="s">
        <v>11655</v>
      </c>
      <c r="I2259" s="92">
        <v>62</v>
      </c>
      <c r="J2259" s="92" t="s">
        <v>10</v>
      </c>
      <c r="K2259" s="92" t="s">
        <v>707</v>
      </c>
      <c r="L2259" s="810">
        <v>5</v>
      </c>
      <c r="M2259" s="811" t="str">
        <f t="shared" si="168"/>
        <v>High School Graduate</v>
      </c>
      <c r="P2259" s="1638"/>
      <c r="V2259" s="873"/>
      <c r="X2259" s="811" t="str">
        <f t="shared" si="170"/>
        <v/>
      </c>
      <c r="AB2259" s="873"/>
      <c r="AG2259" s="807"/>
    </row>
    <row r="2260" spans="1:36" ht="15">
      <c r="A2260" s="807"/>
      <c r="C2260" s="807"/>
      <c r="D2260" s="410"/>
      <c r="E2260" s="1045"/>
      <c r="F2260" s="807"/>
      <c r="G2260" s="827"/>
      <c r="H2260" s="809" t="s">
        <v>11656</v>
      </c>
      <c r="I2260" s="92">
        <v>37</v>
      </c>
      <c r="J2260" s="92" t="s">
        <v>18</v>
      </c>
      <c r="K2260" s="92" t="s">
        <v>768</v>
      </c>
      <c r="L2260" s="810">
        <v>7</v>
      </c>
      <c r="M2260" s="811" t="str">
        <f t="shared" si="168"/>
        <v>College Graduate or Higher</v>
      </c>
      <c r="P2260" s="1638"/>
      <c r="V2260" s="873"/>
      <c r="X2260" s="811" t="str">
        <f t="shared" si="170"/>
        <v/>
      </c>
      <c r="AB2260" s="873"/>
      <c r="AG2260" s="807"/>
    </row>
    <row r="2261" spans="1:36" ht="15">
      <c r="D2261" s="410"/>
      <c r="E2261" s="1045"/>
      <c r="F2261" s="807"/>
      <c r="G2261" s="827"/>
      <c r="H2261" s="809" t="s">
        <v>11657</v>
      </c>
      <c r="I2261" s="92">
        <v>33</v>
      </c>
      <c r="J2261" s="92" t="s">
        <v>10</v>
      </c>
      <c r="K2261" s="92" t="s">
        <v>768</v>
      </c>
      <c r="L2261" s="810">
        <v>6</v>
      </c>
      <c r="M2261" s="811" t="str">
        <f t="shared" si="168"/>
        <v>College Level</v>
      </c>
      <c r="P2261" s="1638"/>
      <c r="V2261" s="873"/>
      <c r="X2261" s="811" t="str">
        <f t="shared" si="170"/>
        <v/>
      </c>
      <c r="AB2261" s="873"/>
      <c r="AG2261" s="807"/>
    </row>
    <row r="2262" spans="1:36" ht="15">
      <c r="D2262" s="410"/>
      <c r="E2262" s="1045"/>
      <c r="F2262" s="807"/>
      <c r="G2262" s="827"/>
      <c r="H2262" s="809" t="s">
        <v>11652</v>
      </c>
      <c r="I2262" s="92">
        <v>55</v>
      </c>
      <c r="J2262" s="92" t="s">
        <v>10</v>
      </c>
      <c r="K2262" s="92" t="s">
        <v>707</v>
      </c>
      <c r="L2262" s="810">
        <v>5</v>
      </c>
      <c r="M2262" s="811" t="str">
        <f t="shared" si="168"/>
        <v>High School Graduate</v>
      </c>
      <c r="P2262" s="1638"/>
      <c r="R2262" s="1053"/>
      <c r="V2262" s="873">
        <f>SUM(S2251:U2261)</f>
        <v>18000</v>
      </c>
      <c r="X2262" s="811" t="str">
        <f t="shared" si="170"/>
        <v/>
      </c>
      <c r="AB2262" s="873">
        <f>SUM(Y2252:AA2262)</f>
        <v>1500</v>
      </c>
      <c r="AG2262" s="807"/>
    </row>
    <row r="2263" spans="1:36" ht="15">
      <c r="D2263" s="410"/>
      <c r="E2263" s="1045"/>
      <c r="F2263" s="807"/>
      <c r="G2263" s="827"/>
      <c r="H2263" s="809" t="s">
        <v>11658</v>
      </c>
      <c r="I2263" s="92">
        <v>49</v>
      </c>
      <c r="J2263" s="92" t="s">
        <v>18</v>
      </c>
      <c r="K2263" s="92" t="s">
        <v>707</v>
      </c>
      <c r="L2263" s="810">
        <v>5</v>
      </c>
      <c r="M2263" s="811" t="str">
        <f t="shared" si="168"/>
        <v>High School Graduate</v>
      </c>
      <c r="P2263" s="1638"/>
      <c r="U2263" s="813">
        <v>1000</v>
      </c>
      <c r="X2263" s="811" t="str">
        <f t="shared" si="170"/>
        <v/>
      </c>
      <c r="AB2263" s="940"/>
      <c r="AD2263" s="817" t="s">
        <v>10950</v>
      </c>
      <c r="AG2263" s="807" t="str">
        <f t="shared" ref="AG2263:AG2326" si="171">IF(ISBLANK(AF2263)=TRUE,"",LOOKUP(AF2263,GS:GT))</f>
        <v/>
      </c>
    </row>
    <row r="2264" spans="1:36" ht="15">
      <c r="D2264" s="410"/>
      <c r="E2264" s="1045"/>
      <c r="F2264" s="807"/>
      <c r="G2264" s="827"/>
      <c r="H2264" s="809" t="s">
        <v>5238</v>
      </c>
      <c r="I2264" s="92">
        <v>79</v>
      </c>
      <c r="J2264" s="92" t="s">
        <v>18</v>
      </c>
      <c r="K2264" s="92" t="s">
        <v>707</v>
      </c>
      <c r="L2264" s="810">
        <v>2</v>
      </c>
      <c r="M2264" s="811" t="str">
        <f t="shared" si="168"/>
        <v>Elementary Level</v>
      </c>
      <c r="N2264" s="92" t="s">
        <v>1208</v>
      </c>
      <c r="O2264" s="812" t="s">
        <v>5239</v>
      </c>
      <c r="P2264" s="1638"/>
      <c r="Q2264" s="812" t="s">
        <v>5239</v>
      </c>
      <c r="R2264" s="92" t="s">
        <v>8234</v>
      </c>
      <c r="U2264" s="813">
        <v>2000</v>
      </c>
      <c r="V2264" s="814">
        <f>SUM(S2263:U2263)</f>
        <v>1000</v>
      </c>
      <c r="W2264" s="815">
        <v>1</v>
      </c>
      <c r="X2264" s="811" t="str">
        <f t="shared" si="170"/>
        <v>within the Brgy</v>
      </c>
      <c r="AB2264" s="940">
        <f>SUM(Y2264:AA2264)</f>
        <v>0</v>
      </c>
      <c r="AG2264" s="807" t="str">
        <f t="shared" si="171"/>
        <v/>
      </c>
    </row>
    <row r="2265" spans="1:36" ht="15">
      <c r="D2265" s="410"/>
      <c r="E2265" s="1045"/>
      <c r="F2265" s="807"/>
      <c r="G2265" s="827"/>
      <c r="H2265" s="809" t="s">
        <v>10951</v>
      </c>
      <c r="I2265" s="92">
        <v>41</v>
      </c>
      <c r="J2265" s="92" t="s">
        <v>18</v>
      </c>
      <c r="K2265" s="92" t="s">
        <v>768</v>
      </c>
      <c r="L2265" s="810">
        <v>6</v>
      </c>
      <c r="M2265" s="811" t="str">
        <f t="shared" si="168"/>
        <v>College Level</v>
      </c>
      <c r="N2265" s="92" t="s">
        <v>1208</v>
      </c>
      <c r="O2265" s="812" t="s">
        <v>10953</v>
      </c>
      <c r="P2265" s="1638" t="s">
        <v>12608</v>
      </c>
      <c r="Q2265" s="812" t="s">
        <v>10953</v>
      </c>
      <c r="V2265" s="828"/>
      <c r="W2265" s="815">
        <v>1</v>
      </c>
      <c r="X2265" s="811" t="str">
        <f t="shared" si="170"/>
        <v>within the Brgy</v>
      </c>
      <c r="AB2265" s="953"/>
      <c r="AG2265" s="807" t="str">
        <f t="shared" si="171"/>
        <v/>
      </c>
    </row>
    <row r="2266" spans="1:36" ht="15">
      <c r="D2266" s="410" t="s">
        <v>10949</v>
      </c>
      <c r="E2266" s="1045" t="s">
        <v>5229</v>
      </c>
      <c r="F2266" s="1048" t="s">
        <v>5238</v>
      </c>
      <c r="G2266" s="846" t="s">
        <v>5229</v>
      </c>
      <c r="H2266" s="809" t="s">
        <v>3299</v>
      </c>
      <c r="I2266" s="92">
        <v>58</v>
      </c>
      <c r="J2266" s="92" t="s">
        <v>10</v>
      </c>
      <c r="K2266" s="92" t="s">
        <v>707</v>
      </c>
      <c r="L2266" s="810">
        <v>4</v>
      </c>
      <c r="M2266" s="811" t="str">
        <f t="shared" si="168"/>
        <v>High School Level</v>
      </c>
      <c r="P2266" s="1638"/>
      <c r="R2266" s="812" t="s">
        <v>8285</v>
      </c>
      <c r="S2266" s="813">
        <v>5000</v>
      </c>
      <c r="V2266" s="828"/>
      <c r="X2266" s="811" t="str">
        <f t="shared" si="170"/>
        <v/>
      </c>
      <c r="AB2266" s="953"/>
      <c r="AG2266" s="807" t="str">
        <f t="shared" si="171"/>
        <v/>
      </c>
    </row>
    <row r="2267" spans="1:36" ht="15">
      <c r="D2267" s="410"/>
      <c r="E2267" s="1045" t="s">
        <v>5229</v>
      </c>
      <c r="F2267" s="807"/>
      <c r="G2267" s="827"/>
      <c r="H2267" s="809" t="s">
        <v>10954</v>
      </c>
      <c r="I2267" s="92">
        <v>44</v>
      </c>
      <c r="J2267" s="92" t="s">
        <v>18</v>
      </c>
      <c r="K2267" s="92" t="s">
        <v>707</v>
      </c>
      <c r="L2267" s="810">
        <v>4</v>
      </c>
      <c r="M2267" s="811" t="str">
        <f t="shared" si="168"/>
        <v>High School Level</v>
      </c>
      <c r="N2267" s="92" t="s">
        <v>1208</v>
      </c>
      <c r="O2267" s="812" t="s">
        <v>2225</v>
      </c>
      <c r="P2267" s="1638"/>
      <c r="Q2267" s="812" t="s">
        <v>2225</v>
      </c>
      <c r="R2267" s="812" t="s">
        <v>8285</v>
      </c>
      <c r="S2267" s="813">
        <v>8000</v>
      </c>
      <c r="V2267" s="828"/>
      <c r="W2267" s="815">
        <v>3</v>
      </c>
      <c r="X2267" s="811" t="str">
        <f t="shared" si="170"/>
        <v>within the Province</v>
      </c>
      <c r="Y2267" s="816">
        <f>130*26</f>
        <v>3380</v>
      </c>
      <c r="AB2267" s="953"/>
      <c r="AG2267" s="807" t="str">
        <f t="shared" si="171"/>
        <v/>
      </c>
    </row>
    <row r="2268" spans="1:36" ht="15">
      <c r="A2268" s="19" t="s">
        <v>7421</v>
      </c>
      <c r="B2268" s="292" t="s">
        <v>7490</v>
      </c>
      <c r="C2268" s="149" t="s">
        <v>3288</v>
      </c>
      <c r="D2268" s="410" t="s">
        <v>10952</v>
      </c>
      <c r="E2268" s="1045" t="s">
        <v>3288</v>
      </c>
      <c r="F2268" s="1048" t="s">
        <v>3299</v>
      </c>
      <c r="G2268" s="809" t="s">
        <v>3288</v>
      </c>
      <c r="H2268" s="809" t="s">
        <v>10955</v>
      </c>
      <c r="I2268" s="92">
        <v>22</v>
      </c>
      <c r="J2268" s="92" t="s">
        <v>18</v>
      </c>
      <c r="K2268" s="92" t="s">
        <v>768</v>
      </c>
      <c r="L2268" s="810">
        <v>5</v>
      </c>
      <c r="M2268" s="811" t="str">
        <f t="shared" si="168"/>
        <v>High School Graduate</v>
      </c>
      <c r="N2268" s="92" t="s">
        <v>1208</v>
      </c>
      <c r="O2268" s="812" t="s">
        <v>11319</v>
      </c>
      <c r="P2268" s="1638"/>
      <c r="Q2268" s="812" t="s">
        <v>11319</v>
      </c>
      <c r="V2268" s="828"/>
      <c r="W2268" s="815">
        <v>3</v>
      </c>
      <c r="X2268" s="811" t="str">
        <f t="shared" si="170"/>
        <v>within the Province</v>
      </c>
      <c r="Y2268" s="816">
        <f>120*26</f>
        <v>3120</v>
      </c>
      <c r="AB2268" s="953"/>
      <c r="AG2268" s="807" t="str">
        <f t="shared" si="171"/>
        <v/>
      </c>
    </row>
    <row r="2269" spans="1:36" ht="15">
      <c r="A2269" s="19" t="s">
        <v>7421</v>
      </c>
      <c r="C2269" s="807"/>
      <c r="D2269" s="410" t="s">
        <v>10952</v>
      </c>
      <c r="E2269" s="1045" t="s">
        <v>3288</v>
      </c>
      <c r="F2269" s="807"/>
      <c r="G2269" s="827"/>
      <c r="H2269" s="809" t="s">
        <v>10956</v>
      </c>
      <c r="I2269" s="92">
        <v>23</v>
      </c>
      <c r="J2269" s="92" t="s">
        <v>10</v>
      </c>
      <c r="K2269" s="92" t="s">
        <v>768</v>
      </c>
      <c r="L2269" s="810">
        <v>5</v>
      </c>
      <c r="M2269" s="811" t="str">
        <f t="shared" si="168"/>
        <v>High School Graduate</v>
      </c>
      <c r="P2269" s="1638"/>
      <c r="V2269" s="828"/>
      <c r="X2269" s="811" t="str">
        <f t="shared" si="170"/>
        <v/>
      </c>
      <c r="AB2269" s="953"/>
      <c r="AG2269" s="807" t="str">
        <f t="shared" si="171"/>
        <v/>
      </c>
    </row>
    <row r="2270" spans="1:36" ht="15">
      <c r="A2270" s="19" t="s">
        <v>7421</v>
      </c>
      <c r="C2270" s="807"/>
      <c r="D2270" s="410" t="s">
        <v>10952</v>
      </c>
      <c r="E2270" s="1045" t="s">
        <v>3288</v>
      </c>
      <c r="F2270" s="807"/>
      <c r="G2270" s="827"/>
      <c r="H2270" s="809" t="s">
        <v>10957</v>
      </c>
      <c r="I2270" s="92">
        <v>16</v>
      </c>
      <c r="J2270" s="92" t="s">
        <v>10</v>
      </c>
      <c r="K2270" s="92" t="s">
        <v>768</v>
      </c>
      <c r="L2270" s="810">
        <v>5</v>
      </c>
      <c r="M2270" s="811" t="str">
        <f t="shared" si="168"/>
        <v>High School Graduate</v>
      </c>
      <c r="P2270" s="1638"/>
      <c r="R2270" s="92"/>
      <c r="V2270" s="828">
        <f>SUM(S2264:U2269)</f>
        <v>15000</v>
      </c>
      <c r="X2270" s="811" t="str">
        <f t="shared" si="170"/>
        <v/>
      </c>
      <c r="AB2270" s="953">
        <f>SUM(Y2265:AA2270)</f>
        <v>6500</v>
      </c>
      <c r="AG2270" s="807" t="str">
        <f t="shared" si="171"/>
        <v/>
      </c>
    </row>
    <row r="2271" spans="1:36" ht="15">
      <c r="A2271" s="19" t="s">
        <v>7421</v>
      </c>
      <c r="C2271" s="807"/>
      <c r="D2271" s="410" t="s">
        <v>10952</v>
      </c>
      <c r="E2271" s="1045" t="s">
        <v>3288</v>
      </c>
      <c r="F2271" s="807"/>
      <c r="G2271" s="827"/>
      <c r="H2271" s="809" t="s">
        <v>10958</v>
      </c>
      <c r="I2271" s="92">
        <v>15</v>
      </c>
      <c r="J2271" s="92" t="s">
        <v>18</v>
      </c>
      <c r="K2271" s="92" t="s">
        <v>768</v>
      </c>
      <c r="L2271" s="810">
        <v>4</v>
      </c>
      <c r="M2271" s="811" t="str">
        <f t="shared" si="168"/>
        <v>High School Level</v>
      </c>
      <c r="P2271" s="1638"/>
      <c r="V2271" s="961"/>
      <c r="X2271" s="811" t="str">
        <f t="shared" si="170"/>
        <v/>
      </c>
      <c r="AB2271" s="962"/>
      <c r="AD2271" s="817" t="s">
        <v>10960</v>
      </c>
      <c r="AE2271" s="93" t="s">
        <v>10961</v>
      </c>
      <c r="AG2271" s="807" t="str">
        <f t="shared" si="171"/>
        <v/>
      </c>
      <c r="AJ2271" s="865"/>
    </row>
    <row r="2272" spans="1:36" ht="15">
      <c r="A2272" s="19" t="s">
        <v>7421</v>
      </c>
      <c r="D2272" s="410" t="s">
        <v>10952</v>
      </c>
      <c r="E2272" s="1045" t="s">
        <v>3288</v>
      </c>
      <c r="F2272" s="1046"/>
      <c r="G2272" s="827"/>
      <c r="H2272" s="809" t="s">
        <v>3295</v>
      </c>
      <c r="I2272" s="92">
        <v>63</v>
      </c>
      <c r="J2272" s="92" t="s">
        <v>10</v>
      </c>
      <c r="K2272" s="92" t="s">
        <v>707</v>
      </c>
      <c r="L2272" s="810">
        <v>5</v>
      </c>
      <c r="M2272" s="811" t="str">
        <f t="shared" ref="M2272:M2285" si="172">IF(ISBLANK(L2272)=TRUE,"",LOOKUP(L2272,GQ:GR))</f>
        <v>High School Graduate</v>
      </c>
      <c r="P2272" s="1638"/>
      <c r="V2272" s="961"/>
      <c r="X2272" s="811" t="str">
        <f t="shared" si="170"/>
        <v/>
      </c>
      <c r="AB2272" s="962"/>
      <c r="AD2272" s="817" t="s">
        <v>10963</v>
      </c>
      <c r="AG2272" s="807" t="str">
        <f t="shared" si="171"/>
        <v/>
      </c>
      <c r="AJ2272" s="865"/>
    </row>
    <row r="2273" spans="1:41" ht="15">
      <c r="A2273" s="19" t="s">
        <v>7421</v>
      </c>
      <c r="D2273" s="410" t="s">
        <v>10952</v>
      </c>
      <c r="E2273" s="1045" t="s">
        <v>3288</v>
      </c>
      <c r="F2273" s="1046"/>
      <c r="G2273" s="827"/>
      <c r="H2273" s="809" t="s">
        <v>10962</v>
      </c>
      <c r="I2273" s="92">
        <v>40</v>
      </c>
      <c r="J2273" s="92" t="s">
        <v>10</v>
      </c>
      <c r="K2273" s="92" t="s">
        <v>707</v>
      </c>
      <c r="L2273" s="810">
        <v>6</v>
      </c>
      <c r="M2273" s="811" t="str">
        <f t="shared" si="172"/>
        <v>College Level</v>
      </c>
      <c r="P2273" s="1638"/>
      <c r="V2273" s="961"/>
      <c r="X2273" s="811" t="str">
        <f t="shared" si="170"/>
        <v/>
      </c>
      <c r="AB2273" s="962"/>
      <c r="AG2273" s="807" t="str">
        <f t="shared" si="171"/>
        <v/>
      </c>
      <c r="AJ2273" s="865"/>
    </row>
    <row r="2274" spans="1:41" ht="15">
      <c r="A2274" s="311" t="s">
        <v>12355</v>
      </c>
      <c r="B2274" s="292" t="s">
        <v>7491</v>
      </c>
      <c r="C2274" s="149" t="s">
        <v>3288</v>
      </c>
      <c r="D2274" s="410" t="s">
        <v>10959</v>
      </c>
      <c r="E2274" s="1045" t="s">
        <v>5252</v>
      </c>
      <c r="F2274" s="1048" t="s">
        <v>11279</v>
      </c>
      <c r="G2274" s="126" t="s">
        <v>3288</v>
      </c>
      <c r="H2274" s="809" t="s">
        <v>10964</v>
      </c>
      <c r="I2274" s="92">
        <v>15</v>
      </c>
      <c r="J2274" s="92" t="s">
        <v>10</v>
      </c>
      <c r="K2274" s="92" t="s">
        <v>768</v>
      </c>
      <c r="L2274" s="810">
        <v>0</v>
      </c>
      <c r="M2274" s="811" t="str">
        <f t="shared" si="172"/>
        <v>No Schooling</v>
      </c>
      <c r="P2274" s="1638"/>
      <c r="R2274" s="812" t="s">
        <v>10434</v>
      </c>
      <c r="S2274" s="813">
        <v>20000</v>
      </c>
      <c r="V2274" s="961"/>
      <c r="X2274" s="811" t="str">
        <f t="shared" si="170"/>
        <v/>
      </c>
      <c r="AB2274" s="962"/>
      <c r="AG2274" s="807" t="str">
        <f t="shared" si="171"/>
        <v/>
      </c>
      <c r="AJ2274" s="865"/>
    </row>
    <row r="2275" spans="1:41" ht="15">
      <c r="A2275" s="311" t="s">
        <v>12355</v>
      </c>
      <c r="C2275" s="807"/>
      <c r="D2275" s="410" t="s">
        <v>10959</v>
      </c>
      <c r="G2275" s="827"/>
      <c r="H2275" s="809" t="s">
        <v>10965</v>
      </c>
      <c r="I2275" s="92">
        <v>16</v>
      </c>
      <c r="J2275" s="92" t="s">
        <v>10</v>
      </c>
      <c r="K2275" s="92" t="s">
        <v>768</v>
      </c>
      <c r="L2275" s="810">
        <v>4</v>
      </c>
      <c r="M2275" s="811" t="str">
        <f t="shared" si="172"/>
        <v>High School Level</v>
      </c>
      <c r="N2275" s="92" t="s">
        <v>1208</v>
      </c>
      <c r="O2275" s="812" t="s">
        <v>2210</v>
      </c>
      <c r="P2275" s="1638"/>
      <c r="Q2275" s="812" t="s">
        <v>2210</v>
      </c>
      <c r="V2275" s="961">
        <f>SUM(S2270:U2274)</f>
        <v>20000</v>
      </c>
      <c r="W2275" s="815">
        <v>3</v>
      </c>
      <c r="X2275" s="811" t="str">
        <f t="shared" ref="X2275:X2284" si="173">IF(ISBLANK(W2275)=TRUE,"",LOOKUP(W2275,GO:GP))</f>
        <v>within the Province</v>
      </c>
      <c r="AB2275" s="962">
        <f>SUM(Y2271:AA2275)</f>
        <v>0</v>
      </c>
      <c r="AG2275" s="807" t="str">
        <f t="shared" si="171"/>
        <v/>
      </c>
      <c r="AJ2275" s="865"/>
    </row>
    <row r="2276" spans="1:41" ht="15">
      <c r="A2276" s="311" t="s">
        <v>12355</v>
      </c>
      <c r="C2276" s="807"/>
      <c r="D2276" s="410" t="s">
        <v>10959</v>
      </c>
      <c r="G2276" s="827"/>
      <c r="H2276" s="809" t="s">
        <v>10966</v>
      </c>
      <c r="I2276" s="92">
        <v>62</v>
      </c>
      <c r="J2276" s="92" t="s">
        <v>18</v>
      </c>
      <c r="K2276" s="92" t="s">
        <v>707</v>
      </c>
      <c r="L2276" s="810">
        <v>5</v>
      </c>
      <c r="M2276" s="811" t="str">
        <f t="shared" si="172"/>
        <v>High School Graduate</v>
      </c>
      <c r="P2276" s="1638"/>
      <c r="R2276" s="812" t="s">
        <v>8285</v>
      </c>
      <c r="S2276" s="813">
        <v>8000</v>
      </c>
      <c r="X2276" s="811" t="str">
        <f t="shared" si="173"/>
        <v/>
      </c>
      <c r="AB2276" s="940"/>
      <c r="AG2276" s="807" t="str">
        <f t="shared" si="171"/>
        <v/>
      </c>
      <c r="AJ2276" s="865"/>
    </row>
    <row r="2277" spans="1:41" ht="15">
      <c r="A2277" s="311" t="s">
        <v>12355</v>
      </c>
      <c r="D2277" s="410" t="s">
        <v>10959</v>
      </c>
      <c r="G2277" s="827"/>
      <c r="H2277" s="809" t="s">
        <v>3300</v>
      </c>
      <c r="I2277" s="92">
        <v>55</v>
      </c>
      <c r="J2277" s="92" t="s">
        <v>18</v>
      </c>
      <c r="K2277" s="92" t="s">
        <v>719</v>
      </c>
      <c r="L2277" s="810">
        <v>5</v>
      </c>
      <c r="M2277" s="811" t="str">
        <f t="shared" si="172"/>
        <v>High School Graduate</v>
      </c>
      <c r="N2277" s="92" t="s">
        <v>1208</v>
      </c>
      <c r="O2277" s="812" t="s">
        <v>2198</v>
      </c>
      <c r="P2277" s="1638"/>
      <c r="Q2277" s="812" t="s">
        <v>2198</v>
      </c>
      <c r="R2277" s="812" t="s">
        <v>8285</v>
      </c>
      <c r="U2277" s="813">
        <v>6000</v>
      </c>
      <c r="V2277" s="814">
        <f>SUM(S2275:U2276)</f>
        <v>8000</v>
      </c>
      <c r="W2277" s="815">
        <v>3</v>
      </c>
      <c r="X2277" s="811" t="str">
        <f t="shared" si="173"/>
        <v>within the Province</v>
      </c>
      <c r="Y2277" s="816">
        <v>3000</v>
      </c>
      <c r="AB2277" s="940">
        <f>SUM(Y2276:AA2277)</f>
        <v>3000</v>
      </c>
      <c r="AG2277" s="807" t="str">
        <f t="shared" si="171"/>
        <v/>
      </c>
      <c r="AJ2277" s="865"/>
    </row>
    <row r="2278" spans="1:41" ht="15">
      <c r="A2278" s="311" t="s">
        <v>12355</v>
      </c>
      <c r="D2278" s="410" t="s">
        <v>10959</v>
      </c>
      <c r="G2278" s="827"/>
      <c r="H2278" s="809" t="s">
        <v>10968</v>
      </c>
      <c r="I2278" s="92">
        <v>24</v>
      </c>
      <c r="J2278" s="92" t="s">
        <v>10</v>
      </c>
      <c r="K2278" s="92" t="s">
        <v>768</v>
      </c>
      <c r="L2278" s="810">
        <v>6</v>
      </c>
      <c r="M2278" s="811" t="str">
        <f t="shared" si="172"/>
        <v>College Level</v>
      </c>
      <c r="N2278" s="92" t="s">
        <v>1208</v>
      </c>
      <c r="O2278" s="812" t="s">
        <v>10970</v>
      </c>
      <c r="P2278" s="1638"/>
      <c r="Q2278" s="812" t="s">
        <v>10970</v>
      </c>
      <c r="V2278" s="828"/>
      <c r="W2278" s="815">
        <v>1</v>
      </c>
      <c r="X2278" s="811" t="str">
        <f t="shared" si="173"/>
        <v>within the Brgy</v>
      </c>
      <c r="AB2278" s="953"/>
      <c r="AE2278" s="93" t="s">
        <v>10971</v>
      </c>
      <c r="AF2278" s="818">
        <v>4</v>
      </c>
      <c r="AG2278" s="807" t="str">
        <f t="shared" si="171"/>
        <v>Serious Illness</v>
      </c>
      <c r="AJ2278" s="865"/>
    </row>
    <row r="2279" spans="1:41" ht="15">
      <c r="A2279" s="311" t="s">
        <v>12355</v>
      </c>
      <c r="B2279" s="292" t="s">
        <v>7491</v>
      </c>
      <c r="C2279" s="149" t="s">
        <v>3288</v>
      </c>
      <c r="D2279" s="410" t="s">
        <v>10967</v>
      </c>
      <c r="E2279" s="1046"/>
      <c r="F2279" s="1046"/>
      <c r="G2279" s="934"/>
      <c r="H2279" s="1639" t="s">
        <v>5267</v>
      </c>
      <c r="I2279" s="1044">
        <v>40</v>
      </c>
      <c r="J2279" s="1044" t="s">
        <v>10</v>
      </c>
      <c r="K2279" s="1044" t="s">
        <v>707</v>
      </c>
      <c r="L2279" s="1640">
        <v>7</v>
      </c>
      <c r="M2279" s="1641" t="str">
        <f t="shared" si="172"/>
        <v>College Graduate or Higher</v>
      </c>
      <c r="N2279" s="1044"/>
      <c r="O2279" s="1642"/>
      <c r="P2279" s="1643"/>
      <c r="Q2279" s="1642"/>
      <c r="R2279" s="1044" t="s">
        <v>8234</v>
      </c>
      <c r="S2279" s="1646"/>
      <c r="T2279" s="1646">
        <v>2000</v>
      </c>
      <c r="U2279" s="1646"/>
      <c r="V2279" s="828">
        <f>SUM(S2277:U2278)</f>
        <v>6000</v>
      </c>
      <c r="X2279" s="811" t="str">
        <f t="shared" si="173"/>
        <v/>
      </c>
      <c r="AB2279" s="953">
        <f>SUM(Y2278:AA2279)</f>
        <v>0</v>
      </c>
      <c r="AE2279" s="93" t="s">
        <v>11660</v>
      </c>
      <c r="AF2279" s="818">
        <v>5</v>
      </c>
      <c r="AG2279" s="807" t="str">
        <f t="shared" si="171"/>
        <v>Difficulties in Communication</v>
      </c>
      <c r="AJ2279" s="865"/>
    </row>
    <row r="2280" spans="1:41" ht="15">
      <c r="A2280" s="311" t="s">
        <v>12355</v>
      </c>
      <c r="B2280" s="292"/>
      <c r="C2280" s="771"/>
      <c r="D2280" s="410" t="s">
        <v>10967</v>
      </c>
      <c r="G2280" s="827"/>
      <c r="H2280" s="809" t="s">
        <v>10972</v>
      </c>
      <c r="I2280" s="92">
        <v>41</v>
      </c>
      <c r="J2280" s="92" t="s">
        <v>18</v>
      </c>
      <c r="K2280" s="92" t="s">
        <v>707</v>
      </c>
      <c r="L2280" s="810">
        <v>5</v>
      </c>
      <c r="M2280" s="811" t="str">
        <f t="shared" si="172"/>
        <v>High School Graduate</v>
      </c>
      <c r="N2280" s="92" t="s">
        <v>1208</v>
      </c>
      <c r="O2280" s="812" t="s">
        <v>11315</v>
      </c>
      <c r="P2280" s="1638" t="s">
        <v>12608</v>
      </c>
      <c r="Q2280" s="812" t="s">
        <v>11315</v>
      </c>
      <c r="S2280" s="813">
        <v>4000</v>
      </c>
      <c r="V2280" s="961"/>
      <c r="W2280" s="815">
        <v>1</v>
      </c>
      <c r="X2280" s="811" t="str">
        <f t="shared" si="173"/>
        <v>within the Brgy</v>
      </c>
      <c r="AB2280" s="962"/>
      <c r="AE2280" s="93" t="s">
        <v>10974</v>
      </c>
      <c r="AF2280" s="818">
        <v>4</v>
      </c>
      <c r="AG2280" s="807" t="str">
        <f t="shared" si="171"/>
        <v>Serious Illness</v>
      </c>
      <c r="AJ2280" s="865"/>
    </row>
    <row r="2281" spans="1:41" ht="15">
      <c r="A2281" s="17"/>
      <c r="B2281" s="292"/>
      <c r="D2281" s="1074" t="s">
        <v>10969</v>
      </c>
      <c r="G2281" s="809" t="s">
        <v>5258</v>
      </c>
      <c r="H2281" s="809" t="s">
        <v>5269</v>
      </c>
      <c r="I2281" s="92">
        <v>54</v>
      </c>
      <c r="J2281" s="92" t="s">
        <v>18</v>
      </c>
      <c r="K2281" s="92" t="s">
        <v>719</v>
      </c>
      <c r="L2281" s="810">
        <v>5</v>
      </c>
      <c r="M2281" s="811" t="str">
        <f t="shared" si="172"/>
        <v>High School Graduate</v>
      </c>
      <c r="P2281" s="1638"/>
      <c r="R2281" s="812" t="s">
        <v>8285</v>
      </c>
      <c r="V2281" s="961"/>
      <c r="W2281" s="815">
        <v>2</v>
      </c>
      <c r="X2281" s="811" t="str">
        <f t="shared" si="173"/>
        <v>within the Municipality/City</v>
      </c>
      <c r="Y2281" s="816">
        <f>500*26</f>
        <v>13000</v>
      </c>
      <c r="AB2281" s="962"/>
      <c r="AG2281" s="807" t="str">
        <f t="shared" si="171"/>
        <v/>
      </c>
      <c r="AJ2281" s="865"/>
    </row>
    <row r="2282" spans="1:41" ht="15">
      <c r="A2282" s="17"/>
      <c r="B2282" s="292"/>
      <c r="D2282" s="1074"/>
      <c r="G2282" s="827"/>
      <c r="H2282" s="809" t="s">
        <v>10975</v>
      </c>
      <c r="I2282" s="92">
        <v>21</v>
      </c>
      <c r="J2282" s="92" t="s">
        <v>18</v>
      </c>
      <c r="K2282" s="92" t="s">
        <v>722</v>
      </c>
      <c r="L2282" s="810">
        <v>5</v>
      </c>
      <c r="M2282" s="811" t="str">
        <f t="shared" si="172"/>
        <v>High School Graduate</v>
      </c>
      <c r="N2282" s="92" t="s">
        <v>1208</v>
      </c>
      <c r="O2282" s="812" t="s">
        <v>10977</v>
      </c>
      <c r="P2282" s="1638"/>
      <c r="Q2282" s="812" t="s">
        <v>10977</v>
      </c>
      <c r="V2282" s="961"/>
      <c r="X2282" s="811" t="str">
        <f t="shared" si="173"/>
        <v/>
      </c>
      <c r="AB2282" s="962"/>
      <c r="AG2282" s="807" t="str">
        <f t="shared" si="171"/>
        <v/>
      </c>
      <c r="AJ2282" s="865"/>
    </row>
    <row r="2283" spans="1:41" ht="15">
      <c r="A2283" s="343" t="s">
        <v>7419</v>
      </c>
      <c r="B2283" s="292" t="s">
        <v>7495</v>
      </c>
      <c r="C2283" s="149" t="s">
        <v>5268</v>
      </c>
      <c r="D2283" s="1074" t="s">
        <v>10973</v>
      </c>
      <c r="E2283" s="1045" t="s">
        <v>5268</v>
      </c>
      <c r="F2283" s="1048" t="s">
        <v>5269</v>
      </c>
      <c r="G2283" s="809" t="s">
        <v>11661</v>
      </c>
      <c r="H2283" s="809" t="s">
        <v>10976</v>
      </c>
      <c r="I2283" s="92">
        <v>25</v>
      </c>
      <c r="J2283" s="92" t="s">
        <v>10</v>
      </c>
      <c r="K2283" s="92" t="s">
        <v>722</v>
      </c>
      <c r="L2283" s="810">
        <v>5</v>
      </c>
      <c r="M2283" s="811" t="str">
        <f t="shared" si="172"/>
        <v>High School Graduate</v>
      </c>
      <c r="P2283" s="1638"/>
      <c r="V2283" s="961"/>
      <c r="X2283" s="811" t="str">
        <f t="shared" si="173"/>
        <v/>
      </c>
      <c r="AB2283" s="962"/>
      <c r="AG2283" s="807" t="str">
        <f t="shared" si="171"/>
        <v/>
      </c>
      <c r="AJ2283" s="865"/>
    </row>
    <row r="2284" spans="1:41" ht="15">
      <c r="A2284" s="343" t="s">
        <v>7419</v>
      </c>
      <c r="C2284" s="807"/>
      <c r="D2284" s="1074" t="s">
        <v>10973</v>
      </c>
      <c r="E2284" s="1045" t="s">
        <v>5268</v>
      </c>
      <c r="F2284" s="807"/>
      <c r="G2284" s="827"/>
      <c r="H2284" s="809" t="s">
        <v>10978</v>
      </c>
      <c r="I2284" s="92">
        <v>5</v>
      </c>
      <c r="J2284" s="92" t="s">
        <v>18</v>
      </c>
      <c r="K2284" s="92" t="s">
        <v>768</v>
      </c>
      <c r="L2284" s="810">
        <v>2</v>
      </c>
      <c r="M2284" s="811" t="str">
        <f t="shared" si="172"/>
        <v>Elementary Level</v>
      </c>
      <c r="P2284" s="1638"/>
      <c r="V2284" s="961">
        <f>SUM(S2279:U2283)</f>
        <v>6000</v>
      </c>
      <c r="X2284" s="811" t="str">
        <f t="shared" si="173"/>
        <v/>
      </c>
      <c r="AB2284" s="962">
        <f>SUM(Y2280:AA2284)</f>
        <v>13000</v>
      </c>
      <c r="AG2284" s="807" t="str">
        <f t="shared" si="171"/>
        <v/>
      </c>
      <c r="AJ2284" s="865"/>
    </row>
    <row r="2285" spans="1:41" ht="15">
      <c r="A2285" s="343" t="s">
        <v>7419</v>
      </c>
      <c r="C2285" s="807"/>
      <c r="D2285" s="1074" t="s">
        <v>10973</v>
      </c>
      <c r="E2285" s="1045" t="s">
        <v>5268</v>
      </c>
      <c r="G2285" s="827"/>
      <c r="H2285" s="809" t="s">
        <v>10979</v>
      </c>
      <c r="I2285" s="92">
        <v>1</v>
      </c>
      <c r="J2285" s="92" t="s">
        <v>10</v>
      </c>
      <c r="K2285" s="92" t="s">
        <v>768</v>
      </c>
      <c r="L2285" s="810">
        <v>0</v>
      </c>
      <c r="M2285" s="811" t="str">
        <f t="shared" si="172"/>
        <v>No Schooling</v>
      </c>
      <c r="P2285" s="1638"/>
      <c r="V2285" s="961"/>
      <c r="AB2285" s="962"/>
      <c r="AG2285" s="807" t="str">
        <f t="shared" si="171"/>
        <v/>
      </c>
      <c r="AJ2285" s="865"/>
      <c r="AO2285" s="817" t="s">
        <v>10982</v>
      </c>
    </row>
    <row r="2286" spans="1:41" ht="15">
      <c r="A2286" s="343" t="s">
        <v>7419</v>
      </c>
      <c r="C2286" s="807"/>
      <c r="D2286" s="1074" t="s">
        <v>10973</v>
      </c>
      <c r="E2286" s="1045" t="s">
        <v>5268</v>
      </c>
      <c r="G2286" s="827"/>
      <c r="M2286" s="811"/>
      <c r="P2286" s="1638"/>
      <c r="V2286" s="961"/>
      <c r="AB2286" s="962"/>
      <c r="AG2286" s="807" t="str">
        <f t="shared" si="171"/>
        <v/>
      </c>
      <c r="AJ2286" s="865"/>
      <c r="AO2286" s="817" t="s">
        <v>10983</v>
      </c>
    </row>
    <row r="2287" spans="1:41" ht="15">
      <c r="A2287" s="343" t="s">
        <v>7419</v>
      </c>
      <c r="C2287" s="807"/>
      <c r="D2287" s="1074" t="s">
        <v>10973</v>
      </c>
      <c r="E2287" s="1045" t="s">
        <v>5268</v>
      </c>
      <c r="G2287" s="827"/>
      <c r="M2287" s="811"/>
      <c r="P2287" s="1638"/>
      <c r="V2287" s="961"/>
      <c r="AB2287" s="962"/>
      <c r="AG2287" s="807" t="str">
        <f t="shared" si="171"/>
        <v/>
      </c>
      <c r="AJ2287" s="865"/>
      <c r="AO2287" s="817" t="s">
        <v>10985</v>
      </c>
    </row>
    <row r="2288" spans="1:41" ht="15">
      <c r="A2288" s="19" t="s">
        <v>7421</v>
      </c>
      <c r="B2288" s="292" t="s">
        <v>11825</v>
      </c>
      <c r="C2288" s="149" t="s">
        <v>5276</v>
      </c>
      <c r="D2288" s="410" t="s">
        <v>10980</v>
      </c>
      <c r="E2288" s="1046"/>
      <c r="F2288" s="1046"/>
      <c r="G2288" s="809" t="s">
        <v>10981</v>
      </c>
      <c r="M2288" s="811"/>
      <c r="P2288" s="1638"/>
      <c r="V2288" s="961"/>
      <c r="AB2288" s="962"/>
      <c r="AG2288" s="807" t="str">
        <f t="shared" si="171"/>
        <v/>
      </c>
      <c r="AJ2288" s="865"/>
      <c r="AO2288" s="817" t="s">
        <v>10986</v>
      </c>
    </row>
    <row r="2289" spans="1:41" ht="15">
      <c r="A2289" s="19" t="s">
        <v>7421</v>
      </c>
      <c r="B2289" s="288"/>
      <c r="C2289" s="771"/>
      <c r="D2289" s="410" t="s">
        <v>10980</v>
      </c>
      <c r="G2289" s="827"/>
      <c r="M2289" s="811"/>
      <c r="P2289" s="1638"/>
      <c r="V2289" s="961"/>
      <c r="AB2289" s="962"/>
      <c r="AE2289" s="93" t="s">
        <v>10988</v>
      </c>
      <c r="AF2289" s="818">
        <v>3</v>
      </c>
      <c r="AG2289" s="807" t="str">
        <f t="shared" si="171"/>
        <v>Special Medical Care</v>
      </c>
      <c r="AJ2289" s="865"/>
      <c r="AO2289" s="817" t="s">
        <v>10989</v>
      </c>
    </row>
    <row r="2290" spans="1:41" ht="15">
      <c r="A2290" s="19" t="s">
        <v>12452</v>
      </c>
      <c r="B2290" s="744" t="s">
        <v>11827</v>
      </c>
      <c r="C2290" s="149" t="s">
        <v>5276</v>
      </c>
      <c r="D2290" s="410" t="s">
        <v>10984</v>
      </c>
      <c r="E2290" s="1046"/>
      <c r="F2290" s="1046"/>
      <c r="G2290" s="809" t="s">
        <v>5276</v>
      </c>
      <c r="M2290" s="811"/>
      <c r="P2290" s="1638"/>
      <c r="R2290" s="92" t="s">
        <v>8234</v>
      </c>
      <c r="S2290" s="813">
        <v>18865</v>
      </c>
      <c r="V2290" s="961"/>
      <c r="AB2290" s="962"/>
      <c r="AG2290" s="807" t="str">
        <f t="shared" si="171"/>
        <v/>
      </c>
      <c r="AJ2290" s="865"/>
      <c r="AO2290" s="817" t="s">
        <v>10990</v>
      </c>
    </row>
    <row r="2291" spans="1:41" ht="15">
      <c r="A2291" s="19"/>
      <c r="B2291" s="744"/>
      <c r="C2291" s="771"/>
      <c r="G2291" s="827"/>
      <c r="M2291" s="811"/>
      <c r="N2291" s="92" t="s">
        <v>1208</v>
      </c>
      <c r="O2291" s="812" t="s">
        <v>3302</v>
      </c>
      <c r="P2291" s="1638" t="s">
        <v>12617</v>
      </c>
      <c r="Q2291" s="812" t="s">
        <v>3302</v>
      </c>
      <c r="R2291" s="812" t="s">
        <v>10434</v>
      </c>
      <c r="S2291" s="813">
        <v>8000</v>
      </c>
      <c r="W2291" s="815">
        <v>2</v>
      </c>
      <c r="X2291" s="811" t="str">
        <f t="shared" ref="X2291:X2354" si="174">IF(ISBLANK(W2291)=TRUE,"",LOOKUP(W2291,GO:GP))</f>
        <v>within the Municipality/City</v>
      </c>
      <c r="AG2291" s="807" t="str">
        <f t="shared" si="171"/>
        <v/>
      </c>
      <c r="AJ2291" s="865"/>
    </row>
    <row r="2292" spans="1:41" ht="15">
      <c r="A2292" s="19" t="s">
        <v>7421</v>
      </c>
      <c r="B2292" s="292" t="s">
        <v>7497</v>
      </c>
      <c r="C2292" s="149" t="s">
        <v>3304</v>
      </c>
      <c r="D2292" s="410" t="s">
        <v>10987</v>
      </c>
      <c r="E2292" s="1046"/>
      <c r="F2292" s="1046"/>
      <c r="G2292" s="809" t="s">
        <v>3304</v>
      </c>
      <c r="H2292" s="809" t="s">
        <v>3301</v>
      </c>
      <c r="I2292" s="92">
        <v>37</v>
      </c>
      <c r="J2292" s="92" t="s">
        <v>10</v>
      </c>
      <c r="K2292" s="92" t="s">
        <v>707</v>
      </c>
      <c r="L2292" s="810">
        <v>7</v>
      </c>
      <c r="M2292" s="811" t="str">
        <f t="shared" ref="M2292:M2314" si="175">IF(ISBLANK(L2292)=TRUE,"",LOOKUP(L2292,GQ:GR))</f>
        <v>College Graduate or Higher</v>
      </c>
      <c r="N2292" s="92" t="s">
        <v>1208</v>
      </c>
      <c r="O2292" s="812" t="s">
        <v>3303</v>
      </c>
      <c r="P2292" s="1638"/>
      <c r="Q2292" s="812" t="s">
        <v>3303</v>
      </c>
      <c r="W2292" s="815">
        <v>2</v>
      </c>
      <c r="X2292" s="811" t="str">
        <f t="shared" si="174"/>
        <v>within the Municipality/City</v>
      </c>
      <c r="AG2292" s="807" t="str">
        <f t="shared" si="171"/>
        <v/>
      </c>
      <c r="AJ2292" s="865"/>
    </row>
    <row r="2293" spans="1:41">
      <c r="A2293" s="19" t="s">
        <v>7421</v>
      </c>
      <c r="C2293" s="771"/>
      <c r="D2293" s="410" t="s">
        <v>10987</v>
      </c>
      <c r="G2293" s="827"/>
      <c r="H2293" s="809" t="s">
        <v>10992</v>
      </c>
      <c r="I2293" s="92">
        <v>32</v>
      </c>
      <c r="J2293" s="92" t="s">
        <v>18</v>
      </c>
      <c r="K2293" s="92" t="s">
        <v>707</v>
      </c>
      <c r="L2293" s="810">
        <v>6</v>
      </c>
      <c r="M2293" s="811" t="str">
        <f t="shared" si="175"/>
        <v>College Level</v>
      </c>
      <c r="X2293" s="811" t="str">
        <f t="shared" si="174"/>
        <v/>
      </c>
      <c r="AG2293" s="807" t="str">
        <f t="shared" si="171"/>
        <v/>
      </c>
      <c r="AJ2293" s="865"/>
    </row>
    <row r="2294" spans="1:41">
      <c r="A2294" s="19" t="s">
        <v>7421</v>
      </c>
      <c r="B2294" s="292" t="s">
        <v>7497</v>
      </c>
      <c r="C2294" s="149" t="s">
        <v>3304</v>
      </c>
      <c r="D2294" s="1074" t="s">
        <v>10991</v>
      </c>
      <c r="E2294" s="1045" t="s">
        <v>3304</v>
      </c>
      <c r="F2294" s="1048" t="s">
        <v>3301</v>
      </c>
      <c r="G2294" s="827"/>
      <c r="H2294" s="809" t="s">
        <v>10993</v>
      </c>
      <c r="I2294" s="92">
        <v>1</v>
      </c>
      <c r="J2294" s="92" t="s">
        <v>10</v>
      </c>
      <c r="K2294" s="92" t="s">
        <v>768</v>
      </c>
      <c r="L2294" s="810">
        <v>10</v>
      </c>
      <c r="M2294" s="811" t="str">
        <f t="shared" si="175"/>
        <v>Not In School Age</v>
      </c>
      <c r="V2294" s="814">
        <f>SUM(S2290:U2293)</f>
        <v>26865</v>
      </c>
      <c r="X2294" s="811" t="str">
        <f t="shared" si="174"/>
        <v/>
      </c>
      <c r="AB2294" s="924">
        <f>SUM(Y2291:AA2294)</f>
        <v>0</v>
      </c>
      <c r="AG2294" s="807" t="str">
        <f t="shared" si="171"/>
        <v/>
      </c>
      <c r="AJ2294" s="865"/>
    </row>
    <row r="2295" spans="1:41">
      <c r="A2295" s="19" t="s">
        <v>7421</v>
      </c>
      <c r="B2295" s="292"/>
      <c r="C2295" s="771"/>
      <c r="D2295" s="1074" t="s">
        <v>10991</v>
      </c>
      <c r="E2295" s="1045" t="s">
        <v>3304</v>
      </c>
      <c r="G2295" s="827"/>
      <c r="H2295" s="809" t="s">
        <v>10994</v>
      </c>
      <c r="I2295" s="92">
        <v>45</v>
      </c>
      <c r="J2295" s="92" t="s">
        <v>18</v>
      </c>
      <c r="K2295" s="92" t="s">
        <v>768</v>
      </c>
      <c r="L2295" s="810">
        <v>5</v>
      </c>
      <c r="M2295" s="811" t="str">
        <f t="shared" si="175"/>
        <v>High School Graduate</v>
      </c>
      <c r="X2295" s="811" t="str">
        <f t="shared" si="174"/>
        <v/>
      </c>
      <c r="AG2295" s="807" t="str">
        <f t="shared" si="171"/>
        <v/>
      </c>
      <c r="AJ2295" s="865"/>
    </row>
    <row r="2296" spans="1:41">
      <c r="A2296" s="19" t="s">
        <v>7421</v>
      </c>
      <c r="B2296" s="292"/>
      <c r="D2296" s="1074" t="s">
        <v>10991</v>
      </c>
      <c r="E2296" s="1045" t="s">
        <v>3304</v>
      </c>
      <c r="G2296" s="827"/>
      <c r="M2296" s="811" t="str">
        <f t="shared" si="175"/>
        <v/>
      </c>
      <c r="X2296" s="811" t="str">
        <f t="shared" si="174"/>
        <v/>
      </c>
      <c r="AG2296" s="807" t="str">
        <f t="shared" si="171"/>
        <v/>
      </c>
      <c r="AJ2296" s="865"/>
    </row>
    <row r="2297" spans="1:41">
      <c r="A2297" s="19" t="s">
        <v>7421</v>
      </c>
      <c r="D2297" s="1074" t="s">
        <v>10991</v>
      </c>
      <c r="E2297" s="1045" t="s">
        <v>3304</v>
      </c>
      <c r="G2297" s="827"/>
      <c r="M2297" s="811" t="str">
        <f t="shared" si="175"/>
        <v/>
      </c>
      <c r="X2297" s="811" t="str">
        <f t="shared" si="174"/>
        <v/>
      </c>
      <c r="AG2297" s="807" t="str">
        <f t="shared" si="171"/>
        <v/>
      </c>
      <c r="AJ2297" s="865"/>
    </row>
    <row r="2298" spans="1:41">
      <c r="M2298" s="811" t="str">
        <f t="shared" si="175"/>
        <v/>
      </c>
      <c r="X2298" s="811" t="str">
        <f t="shared" si="174"/>
        <v/>
      </c>
      <c r="AG2298" s="807" t="str">
        <f t="shared" si="171"/>
        <v/>
      </c>
      <c r="AJ2298" s="865"/>
    </row>
    <row r="2299" spans="1:41">
      <c r="M2299" s="811" t="str">
        <f t="shared" si="175"/>
        <v/>
      </c>
      <c r="X2299" s="811" t="str">
        <f t="shared" si="174"/>
        <v/>
      </c>
      <c r="AG2299" s="807" t="str">
        <f t="shared" si="171"/>
        <v/>
      </c>
      <c r="AJ2299" s="865"/>
    </row>
    <row r="2300" spans="1:41">
      <c r="E2300" s="6"/>
      <c r="F2300" s="6"/>
      <c r="M2300" s="811" t="str">
        <f t="shared" si="175"/>
        <v/>
      </c>
      <c r="X2300" s="811" t="str">
        <f t="shared" si="174"/>
        <v/>
      </c>
      <c r="AG2300" s="807" t="str">
        <f t="shared" si="171"/>
        <v/>
      </c>
      <c r="AJ2300" s="865"/>
    </row>
    <row r="2301" spans="1:41">
      <c r="D2301" s="1075"/>
      <c r="M2301" s="811" t="str">
        <f t="shared" si="175"/>
        <v/>
      </c>
      <c r="X2301" s="811" t="str">
        <f t="shared" si="174"/>
        <v/>
      </c>
      <c r="AG2301" s="807" t="str">
        <f t="shared" si="171"/>
        <v/>
      </c>
      <c r="AJ2301" s="865"/>
    </row>
    <row r="2302" spans="1:41">
      <c r="D2302" s="1075"/>
      <c r="M2302" s="811" t="str">
        <f t="shared" si="175"/>
        <v/>
      </c>
      <c r="X2302" s="811" t="str">
        <f t="shared" si="174"/>
        <v/>
      </c>
      <c r="AG2302" s="807" t="str">
        <f t="shared" si="171"/>
        <v/>
      </c>
      <c r="AJ2302" s="865"/>
    </row>
    <row r="2303" spans="1:41">
      <c r="D2303" s="1075"/>
      <c r="M2303" s="811" t="str">
        <f t="shared" si="175"/>
        <v/>
      </c>
      <c r="X2303" s="811" t="str">
        <f t="shared" si="174"/>
        <v/>
      </c>
      <c r="AG2303" s="807" t="str">
        <f t="shared" si="171"/>
        <v/>
      </c>
      <c r="AJ2303" s="865"/>
    </row>
    <row r="2304" spans="1:41">
      <c r="D2304" s="1075"/>
      <c r="M2304" s="811" t="str">
        <f t="shared" si="175"/>
        <v/>
      </c>
      <c r="X2304" s="811" t="str">
        <f t="shared" si="174"/>
        <v/>
      </c>
      <c r="AG2304" s="807" t="str">
        <f t="shared" si="171"/>
        <v/>
      </c>
      <c r="AJ2304" s="865"/>
    </row>
    <row r="2305" spans="4:36">
      <c r="D2305" s="1075"/>
      <c r="M2305" s="811" t="str">
        <f t="shared" si="175"/>
        <v/>
      </c>
      <c r="X2305" s="811" t="str">
        <f t="shared" si="174"/>
        <v/>
      </c>
      <c r="AG2305" s="807" t="str">
        <f t="shared" si="171"/>
        <v/>
      </c>
      <c r="AJ2305" s="865"/>
    </row>
    <row r="2306" spans="4:36">
      <c r="D2306" s="1075"/>
      <c r="M2306" s="811" t="str">
        <f t="shared" si="175"/>
        <v/>
      </c>
      <c r="X2306" s="811" t="str">
        <f t="shared" si="174"/>
        <v/>
      </c>
      <c r="AG2306" s="807" t="str">
        <f t="shared" si="171"/>
        <v/>
      </c>
      <c r="AJ2306" s="865"/>
    </row>
    <row r="2307" spans="4:36">
      <c r="D2307" s="1075"/>
      <c r="M2307" s="811" t="str">
        <f t="shared" si="175"/>
        <v/>
      </c>
      <c r="X2307" s="811" t="str">
        <f t="shared" si="174"/>
        <v/>
      </c>
      <c r="AG2307" s="807" t="str">
        <f t="shared" si="171"/>
        <v/>
      </c>
      <c r="AJ2307" s="865"/>
    </row>
    <row r="2308" spans="4:36">
      <c r="D2308" s="1075"/>
      <c r="M2308" s="811" t="str">
        <f t="shared" si="175"/>
        <v/>
      </c>
      <c r="X2308" s="811" t="str">
        <f t="shared" si="174"/>
        <v/>
      </c>
      <c r="AG2308" s="807" t="str">
        <f t="shared" si="171"/>
        <v/>
      </c>
      <c r="AJ2308" s="865"/>
    </row>
    <row r="2309" spans="4:36">
      <c r="D2309" s="1075"/>
      <c r="M2309" s="811" t="str">
        <f t="shared" si="175"/>
        <v/>
      </c>
      <c r="X2309" s="811" t="str">
        <f t="shared" si="174"/>
        <v/>
      </c>
      <c r="AG2309" s="807" t="str">
        <f t="shared" si="171"/>
        <v/>
      </c>
      <c r="AJ2309" s="865"/>
    </row>
    <row r="2310" spans="4:36">
      <c r="D2310" s="1075"/>
      <c r="M2310" s="811" t="str">
        <f t="shared" si="175"/>
        <v/>
      </c>
      <c r="X2310" s="811" t="str">
        <f t="shared" si="174"/>
        <v/>
      </c>
      <c r="AG2310" s="807" t="str">
        <f t="shared" si="171"/>
        <v/>
      </c>
      <c r="AJ2310" s="865"/>
    </row>
    <row r="2311" spans="4:36">
      <c r="D2311" s="1075"/>
      <c r="M2311" s="811" t="str">
        <f t="shared" si="175"/>
        <v/>
      </c>
      <c r="X2311" s="811" t="str">
        <f t="shared" si="174"/>
        <v/>
      </c>
      <c r="AG2311" s="807" t="str">
        <f t="shared" si="171"/>
        <v/>
      </c>
      <c r="AJ2311" s="865"/>
    </row>
    <row r="2312" spans="4:36">
      <c r="D2312" s="1075"/>
      <c r="M2312" s="811" t="str">
        <f t="shared" si="175"/>
        <v/>
      </c>
      <c r="X2312" s="811" t="str">
        <f t="shared" si="174"/>
        <v/>
      </c>
      <c r="AG2312" s="807" t="str">
        <f t="shared" si="171"/>
        <v/>
      </c>
      <c r="AJ2312" s="865"/>
    </row>
    <row r="2313" spans="4:36">
      <c r="D2313" s="1075"/>
      <c r="M2313" s="811" t="str">
        <f t="shared" si="175"/>
        <v/>
      </c>
      <c r="X2313" s="811" t="str">
        <f t="shared" si="174"/>
        <v/>
      </c>
      <c r="AG2313" s="807" t="str">
        <f t="shared" si="171"/>
        <v/>
      </c>
      <c r="AJ2313" s="865"/>
    </row>
    <row r="2314" spans="4:36">
      <c r="D2314" s="1075"/>
      <c r="M2314" s="811" t="str">
        <f t="shared" si="175"/>
        <v/>
      </c>
      <c r="X2314" s="811" t="str">
        <f t="shared" si="174"/>
        <v/>
      </c>
      <c r="AG2314" s="807" t="str">
        <f t="shared" si="171"/>
        <v/>
      </c>
      <c r="AJ2314" s="865"/>
    </row>
    <row r="2315" spans="4:36">
      <c r="D2315" s="1075"/>
      <c r="H2315" s="807"/>
      <c r="I2315" s="807"/>
      <c r="J2315" s="807"/>
      <c r="K2315" s="807"/>
      <c r="L2315" s="807"/>
      <c r="M2315" s="807"/>
      <c r="N2315" s="807"/>
      <c r="O2315" s="807"/>
      <c r="P2315" s="807"/>
      <c r="Q2315" s="807"/>
      <c r="R2315" s="807"/>
      <c r="S2315" s="807"/>
      <c r="T2315" s="807"/>
      <c r="U2315" s="807"/>
      <c r="X2315" s="811" t="str">
        <f t="shared" si="174"/>
        <v/>
      </c>
      <c r="AG2315" s="807" t="str">
        <f t="shared" si="171"/>
        <v/>
      </c>
      <c r="AJ2315" s="865"/>
    </row>
    <row r="2316" spans="4:36">
      <c r="D2316" s="1075"/>
      <c r="M2316" s="811" t="str">
        <f t="shared" ref="M2316:M2379" si="176">IF(ISBLANK(L2316)=TRUE,"",LOOKUP(L2316,GQ:GR))</f>
        <v/>
      </c>
      <c r="X2316" s="811" t="str">
        <f t="shared" si="174"/>
        <v/>
      </c>
      <c r="AG2316" s="807" t="str">
        <f t="shared" si="171"/>
        <v/>
      </c>
      <c r="AJ2316" s="865"/>
    </row>
    <row r="2317" spans="4:36">
      <c r="D2317" s="1075"/>
      <c r="M2317" s="811" t="str">
        <f t="shared" si="176"/>
        <v/>
      </c>
      <c r="X2317" s="811" t="str">
        <f t="shared" si="174"/>
        <v/>
      </c>
      <c r="AG2317" s="807" t="str">
        <f t="shared" si="171"/>
        <v/>
      </c>
      <c r="AJ2317" s="865"/>
    </row>
    <row r="2318" spans="4:36">
      <c r="D2318" s="1075"/>
      <c r="M2318" s="811" t="str">
        <f t="shared" si="176"/>
        <v/>
      </c>
      <c r="X2318" s="811" t="str">
        <f t="shared" si="174"/>
        <v/>
      </c>
      <c r="AG2318" s="807" t="str">
        <f t="shared" si="171"/>
        <v/>
      </c>
      <c r="AJ2318" s="865"/>
    </row>
    <row r="2319" spans="4:36">
      <c r="D2319" s="1075"/>
      <c r="M2319" s="811" t="str">
        <f t="shared" si="176"/>
        <v/>
      </c>
      <c r="X2319" s="811" t="str">
        <f t="shared" si="174"/>
        <v/>
      </c>
      <c r="AG2319" s="807" t="str">
        <f t="shared" si="171"/>
        <v/>
      </c>
      <c r="AJ2319" s="865"/>
    </row>
    <row r="2320" spans="4:36">
      <c r="D2320" s="1075"/>
      <c r="M2320" s="811" t="str">
        <f t="shared" si="176"/>
        <v/>
      </c>
      <c r="X2320" s="811" t="str">
        <f t="shared" si="174"/>
        <v/>
      </c>
      <c r="AG2320" s="807" t="str">
        <f t="shared" si="171"/>
        <v/>
      </c>
      <c r="AJ2320" s="865"/>
    </row>
    <row r="2321" spans="4:36">
      <c r="D2321" s="1075"/>
      <c r="M2321" s="811" t="str">
        <f t="shared" si="176"/>
        <v/>
      </c>
      <c r="X2321" s="811" t="str">
        <f t="shared" si="174"/>
        <v/>
      </c>
      <c r="AG2321" s="807" t="str">
        <f t="shared" si="171"/>
        <v/>
      </c>
      <c r="AJ2321" s="865"/>
    </row>
    <row r="2322" spans="4:36">
      <c r="D2322" s="1075"/>
      <c r="M2322" s="811" t="str">
        <f t="shared" si="176"/>
        <v/>
      </c>
      <c r="X2322" s="811" t="str">
        <f t="shared" si="174"/>
        <v/>
      </c>
      <c r="AG2322" s="807" t="str">
        <f t="shared" si="171"/>
        <v/>
      </c>
      <c r="AJ2322" s="865"/>
    </row>
    <row r="2323" spans="4:36">
      <c r="D2323" s="1075"/>
      <c r="M2323" s="811" t="str">
        <f t="shared" si="176"/>
        <v/>
      </c>
      <c r="X2323" s="811" t="str">
        <f t="shared" si="174"/>
        <v/>
      </c>
      <c r="AG2323" s="807" t="str">
        <f t="shared" si="171"/>
        <v/>
      </c>
      <c r="AJ2323" s="865"/>
    </row>
    <row r="2324" spans="4:36">
      <c r="D2324" s="1075"/>
      <c r="M2324" s="811" t="str">
        <f t="shared" si="176"/>
        <v/>
      </c>
      <c r="X2324" s="811" t="str">
        <f t="shared" si="174"/>
        <v/>
      </c>
      <c r="AG2324" s="807" t="str">
        <f t="shared" si="171"/>
        <v/>
      </c>
      <c r="AJ2324" s="865"/>
    </row>
    <row r="2325" spans="4:36">
      <c r="D2325" s="1075"/>
      <c r="M2325" s="811" t="str">
        <f t="shared" si="176"/>
        <v/>
      </c>
      <c r="X2325" s="811" t="str">
        <f t="shared" si="174"/>
        <v/>
      </c>
      <c r="AG2325" s="807" t="str">
        <f t="shared" si="171"/>
        <v/>
      </c>
      <c r="AJ2325" s="865"/>
    </row>
    <row r="2326" spans="4:36">
      <c r="D2326" s="1075"/>
      <c r="M2326" s="811" t="str">
        <f t="shared" si="176"/>
        <v/>
      </c>
      <c r="X2326" s="811" t="str">
        <f t="shared" si="174"/>
        <v/>
      </c>
      <c r="AG2326" s="807" t="str">
        <f t="shared" si="171"/>
        <v/>
      </c>
      <c r="AJ2326" s="865"/>
    </row>
    <row r="2327" spans="4:36">
      <c r="D2327" s="1075"/>
      <c r="M2327" s="811" t="str">
        <f t="shared" si="176"/>
        <v/>
      </c>
      <c r="X2327" s="811" t="str">
        <f t="shared" si="174"/>
        <v/>
      </c>
      <c r="AG2327" s="807" t="str">
        <f t="shared" ref="AG2327:AG2390" si="177">IF(ISBLANK(AF2327)=TRUE,"",LOOKUP(AF2327,GS:GT))</f>
        <v/>
      </c>
      <c r="AJ2327" s="865"/>
    </row>
    <row r="2328" spans="4:36">
      <c r="D2328" s="1075"/>
      <c r="M2328" s="811" t="str">
        <f t="shared" si="176"/>
        <v/>
      </c>
      <c r="X2328" s="811" t="str">
        <f t="shared" si="174"/>
        <v/>
      </c>
      <c r="AG2328" s="807" t="str">
        <f t="shared" si="177"/>
        <v/>
      </c>
      <c r="AJ2328" s="865"/>
    </row>
    <row r="2329" spans="4:36">
      <c r="D2329" s="1075"/>
      <c r="M2329" s="811" t="str">
        <f t="shared" si="176"/>
        <v/>
      </c>
      <c r="X2329" s="811" t="str">
        <f t="shared" si="174"/>
        <v/>
      </c>
      <c r="AG2329" s="807" t="str">
        <f t="shared" si="177"/>
        <v/>
      </c>
      <c r="AJ2329" s="865"/>
    </row>
    <row r="2330" spans="4:36">
      <c r="D2330" s="1075"/>
      <c r="M2330" s="811" t="str">
        <f t="shared" si="176"/>
        <v/>
      </c>
      <c r="X2330" s="811" t="str">
        <f t="shared" si="174"/>
        <v/>
      </c>
      <c r="AG2330" s="807" t="str">
        <f t="shared" si="177"/>
        <v/>
      </c>
      <c r="AJ2330" s="865"/>
    </row>
    <row r="2331" spans="4:36">
      <c r="D2331" s="1075"/>
      <c r="M2331" s="811" t="str">
        <f t="shared" si="176"/>
        <v/>
      </c>
      <c r="X2331" s="811" t="str">
        <f t="shared" si="174"/>
        <v/>
      </c>
      <c r="AG2331" s="807" t="str">
        <f t="shared" si="177"/>
        <v/>
      </c>
      <c r="AJ2331" s="865"/>
    </row>
    <row r="2332" spans="4:36">
      <c r="D2332" s="1075"/>
      <c r="M2332" s="811" t="str">
        <f t="shared" si="176"/>
        <v/>
      </c>
      <c r="X2332" s="811" t="str">
        <f t="shared" si="174"/>
        <v/>
      </c>
      <c r="AG2332" s="807" t="str">
        <f t="shared" si="177"/>
        <v/>
      </c>
      <c r="AJ2332" s="865"/>
    </row>
    <row r="2333" spans="4:36">
      <c r="D2333" s="1075"/>
      <c r="M2333" s="811" t="str">
        <f t="shared" si="176"/>
        <v/>
      </c>
      <c r="X2333" s="811" t="str">
        <f t="shared" si="174"/>
        <v/>
      </c>
      <c r="AG2333" s="807" t="str">
        <f t="shared" si="177"/>
        <v/>
      </c>
      <c r="AJ2333" s="865"/>
    </row>
    <row r="2334" spans="4:36">
      <c r="D2334" s="1075"/>
      <c r="M2334" s="811" t="str">
        <f t="shared" si="176"/>
        <v/>
      </c>
      <c r="X2334" s="811" t="str">
        <f t="shared" si="174"/>
        <v/>
      </c>
      <c r="AG2334" s="807" t="str">
        <f t="shared" si="177"/>
        <v/>
      </c>
      <c r="AJ2334" s="865"/>
    </row>
    <row r="2335" spans="4:36">
      <c r="D2335" s="1075"/>
      <c r="M2335" s="811" t="str">
        <f t="shared" si="176"/>
        <v/>
      </c>
      <c r="X2335" s="811" t="str">
        <f t="shared" si="174"/>
        <v/>
      </c>
      <c r="AG2335" s="807" t="str">
        <f t="shared" si="177"/>
        <v/>
      </c>
      <c r="AJ2335" s="865"/>
    </row>
    <row r="2336" spans="4:36">
      <c r="D2336" s="1075"/>
      <c r="M2336" s="811" t="str">
        <f t="shared" si="176"/>
        <v/>
      </c>
      <c r="X2336" s="811" t="str">
        <f t="shared" si="174"/>
        <v/>
      </c>
      <c r="AG2336" s="807" t="str">
        <f t="shared" si="177"/>
        <v/>
      </c>
      <c r="AJ2336" s="865"/>
    </row>
    <row r="2337" spans="4:36">
      <c r="D2337" s="1075"/>
      <c r="M2337" s="811" t="str">
        <f t="shared" si="176"/>
        <v/>
      </c>
      <c r="X2337" s="811" t="str">
        <f t="shared" si="174"/>
        <v/>
      </c>
      <c r="AG2337" s="807" t="str">
        <f t="shared" si="177"/>
        <v/>
      </c>
      <c r="AJ2337" s="865"/>
    </row>
    <row r="2338" spans="4:36">
      <c r="D2338" s="1075"/>
      <c r="M2338" s="811" t="str">
        <f t="shared" si="176"/>
        <v/>
      </c>
      <c r="X2338" s="811" t="str">
        <f t="shared" si="174"/>
        <v/>
      </c>
      <c r="AG2338" s="807" t="str">
        <f t="shared" si="177"/>
        <v/>
      </c>
      <c r="AJ2338" s="865"/>
    </row>
    <row r="2339" spans="4:36">
      <c r="D2339" s="1075"/>
      <c r="M2339" s="811" t="str">
        <f t="shared" si="176"/>
        <v/>
      </c>
      <c r="X2339" s="811" t="str">
        <f t="shared" si="174"/>
        <v/>
      </c>
      <c r="AG2339" s="807" t="str">
        <f t="shared" si="177"/>
        <v/>
      </c>
      <c r="AJ2339" s="865"/>
    </row>
    <row r="2340" spans="4:36">
      <c r="D2340" s="1075"/>
      <c r="M2340" s="811" t="str">
        <f t="shared" si="176"/>
        <v/>
      </c>
      <c r="X2340" s="811" t="str">
        <f t="shared" si="174"/>
        <v/>
      </c>
      <c r="AG2340" s="807" t="str">
        <f t="shared" si="177"/>
        <v/>
      </c>
      <c r="AJ2340" s="865"/>
    </row>
    <row r="2341" spans="4:36">
      <c r="D2341" s="1075"/>
      <c r="M2341" s="811" t="str">
        <f t="shared" si="176"/>
        <v/>
      </c>
      <c r="X2341" s="811" t="str">
        <f t="shared" si="174"/>
        <v/>
      </c>
      <c r="AG2341" s="807" t="str">
        <f t="shared" si="177"/>
        <v/>
      </c>
      <c r="AJ2341" s="865"/>
    </row>
    <row r="2342" spans="4:36">
      <c r="M2342" s="811" t="str">
        <f t="shared" si="176"/>
        <v/>
      </c>
      <c r="X2342" s="811" t="str">
        <f t="shared" si="174"/>
        <v/>
      </c>
      <c r="AG2342" s="807" t="str">
        <f t="shared" si="177"/>
        <v/>
      </c>
      <c r="AJ2342" s="865"/>
    </row>
    <row r="2343" spans="4:36">
      <c r="M2343" s="811" t="str">
        <f t="shared" si="176"/>
        <v/>
      </c>
      <c r="X2343" s="811" t="str">
        <f t="shared" si="174"/>
        <v/>
      </c>
      <c r="AG2343" s="807" t="str">
        <f t="shared" si="177"/>
        <v/>
      </c>
      <c r="AJ2343" s="865"/>
    </row>
    <row r="2344" spans="4:36">
      <c r="M2344" s="811" t="str">
        <f t="shared" si="176"/>
        <v/>
      </c>
      <c r="X2344" s="811" t="str">
        <f t="shared" si="174"/>
        <v/>
      </c>
      <c r="AG2344" s="807" t="str">
        <f t="shared" si="177"/>
        <v/>
      </c>
      <c r="AJ2344" s="865"/>
    </row>
    <row r="2345" spans="4:36">
      <c r="M2345" s="811" t="str">
        <f t="shared" si="176"/>
        <v/>
      </c>
      <c r="X2345" s="811" t="str">
        <f t="shared" si="174"/>
        <v/>
      </c>
      <c r="AG2345" s="807" t="str">
        <f t="shared" si="177"/>
        <v/>
      </c>
      <c r="AJ2345" s="865"/>
    </row>
    <row r="2346" spans="4:36">
      <c r="M2346" s="811" t="str">
        <f t="shared" si="176"/>
        <v/>
      </c>
      <c r="X2346" s="811" t="str">
        <f t="shared" si="174"/>
        <v/>
      </c>
      <c r="AG2346" s="807" t="str">
        <f t="shared" si="177"/>
        <v/>
      </c>
      <c r="AJ2346" s="865"/>
    </row>
    <row r="2347" spans="4:36">
      <c r="M2347" s="811" t="str">
        <f t="shared" si="176"/>
        <v/>
      </c>
      <c r="X2347" s="811" t="str">
        <f t="shared" si="174"/>
        <v/>
      </c>
      <c r="AG2347" s="807" t="str">
        <f t="shared" si="177"/>
        <v/>
      </c>
      <c r="AJ2347" s="865"/>
    </row>
    <row r="2348" spans="4:36">
      <c r="M2348" s="811" t="str">
        <f t="shared" si="176"/>
        <v/>
      </c>
      <c r="X2348" s="811" t="str">
        <f t="shared" si="174"/>
        <v/>
      </c>
      <c r="AG2348" s="807" t="str">
        <f t="shared" si="177"/>
        <v/>
      </c>
      <c r="AJ2348" s="865"/>
    </row>
    <row r="2349" spans="4:36">
      <c r="M2349" s="811" t="str">
        <f t="shared" si="176"/>
        <v/>
      </c>
      <c r="X2349" s="811" t="str">
        <f t="shared" si="174"/>
        <v/>
      </c>
      <c r="AG2349" s="807" t="str">
        <f t="shared" si="177"/>
        <v/>
      </c>
      <c r="AJ2349" s="865"/>
    </row>
    <row r="2350" spans="4:36">
      <c r="M2350" s="811" t="str">
        <f t="shared" si="176"/>
        <v/>
      </c>
      <c r="X2350" s="811" t="str">
        <f t="shared" si="174"/>
        <v/>
      </c>
      <c r="AG2350" s="807" t="str">
        <f t="shared" si="177"/>
        <v/>
      </c>
      <c r="AJ2350" s="865"/>
    </row>
    <row r="2351" spans="4:36">
      <c r="M2351" s="811" t="str">
        <f t="shared" si="176"/>
        <v/>
      </c>
      <c r="X2351" s="811" t="str">
        <f t="shared" si="174"/>
        <v/>
      </c>
      <c r="AG2351" s="807" t="str">
        <f t="shared" si="177"/>
        <v/>
      </c>
      <c r="AJ2351" s="865"/>
    </row>
    <row r="2352" spans="4:36">
      <c r="M2352" s="811" t="str">
        <f t="shared" si="176"/>
        <v/>
      </c>
      <c r="X2352" s="811" t="str">
        <f t="shared" si="174"/>
        <v/>
      </c>
      <c r="AG2352" s="807" t="str">
        <f t="shared" si="177"/>
        <v/>
      </c>
      <c r="AJ2352" s="865"/>
    </row>
    <row r="2353" spans="13:36">
      <c r="M2353" s="811" t="str">
        <f t="shared" si="176"/>
        <v/>
      </c>
      <c r="X2353" s="811" t="str">
        <f t="shared" si="174"/>
        <v/>
      </c>
      <c r="AG2353" s="807" t="str">
        <f t="shared" si="177"/>
        <v/>
      </c>
      <c r="AJ2353" s="865"/>
    </row>
    <row r="2354" spans="13:36">
      <c r="M2354" s="811" t="str">
        <f t="shared" si="176"/>
        <v/>
      </c>
      <c r="X2354" s="811" t="str">
        <f t="shared" si="174"/>
        <v/>
      </c>
      <c r="AG2354" s="807" t="str">
        <f t="shared" si="177"/>
        <v/>
      </c>
      <c r="AJ2354" s="865"/>
    </row>
    <row r="2355" spans="13:36">
      <c r="M2355" s="811" t="str">
        <f t="shared" si="176"/>
        <v/>
      </c>
      <c r="X2355" s="811" t="str">
        <f t="shared" ref="X2355:X2418" si="178">IF(ISBLANK(W2355)=TRUE,"",LOOKUP(W2355,GO:GP))</f>
        <v/>
      </c>
      <c r="AG2355" s="807" t="str">
        <f t="shared" si="177"/>
        <v/>
      </c>
      <c r="AJ2355" s="865"/>
    </row>
    <row r="2356" spans="13:36">
      <c r="M2356" s="811" t="str">
        <f t="shared" si="176"/>
        <v/>
      </c>
      <c r="X2356" s="811" t="str">
        <f t="shared" si="178"/>
        <v/>
      </c>
      <c r="AG2356" s="807" t="str">
        <f t="shared" si="177"/>
        <v/>
      </c>
      <c r="AJ2356" s="865"/>
    </row>
    <row r="2357" spans="13:36">
      <c r="M2357" s="811" t="str">
        <f t="shared" si="176"/>
        <v/>
      </c>
      <c r="X2357" s="811" t="str">
        <f t="shared" si="178"/>
        <v/>
      </c>
      <c r="AG2357" s="807" t="str">
        <f t="shared" si="177"/>
        <v/>
      </c>
      <c r="AJ2357" s="865"/>
    </row>
    <row r="2358" spans="13:36">
      <c r="M2358" s="811" t="str">
        <f t="shared" si="176"/>
        <v/>
      </c>
      <c r="X2358" s="811" t="str">
        <f t="shared" si="178"/>
        <v/>
      </c>
      <c r="AG2358" s="807" t="str">
        <f t="shared" si="177"/>
        <v/>
      </c>
      <c r="AJ2358" s="865"/>
    </row>
    <row r="2359" spans="13:36">
      <c r="M2359" s="811" t="str">
        <f t="shared" si="176"/>
        <v/>
      </c>
      <c r="X2359" s="811" t="str">
        <f t="shared" si="178"/>
        <v/>
      </c>
      <c r="AG2359" s="807" t="str">
        <f t="shared" si="177"/>
        <v/>
      </c>
      <c r="AJ2359" s="865"/>
    </row>
    <row r="2360" spans="13:36">
      <c r="M2360" s="811" t="str">
        <f t="shared" si="176"/>
        <v/>
      </c>
      <c r="X2360" s="811" t="str">
        <f t="shared" si="178"/>
        <v/>
      </c>
      <c r="AG2360" s="807" t="str">
        <f t="shared" si="177"/>
        <v/>
      </c>
      <c r="AJ2360" s="865"/>
    </row>
    <row r="2361" spans="13:36">
      <c r="M2361" s="811" t="str">
        <f t="shared" si="176"/>
        <v/>
      </c>
      <c r="X2361" s="811" t="str">
        <f t="shared" si="178"/>
        <v/>
      </c>
      <c r="AG2361" s="807" t="str">
        <f t="shared" si="177"/>
        <v/>
      </c>
      <c r="AJ2361" s="865"/>
    </row>
    <row r="2362" spans="13:36">
      <c r="M2362" s="811" t="str">
        <f t="shared" si="176"/>
        <v/>
      </c>
      <c r="X2362" s="811" t="str">
        <f t="shared" si="178"/>
        <v/>
      </c>
      <c r="AG2362" s="807" t="str">
        <f t="shared" si="177"/>
        <v/>
      </c>
      <c r="AJ2362" s="865"/>
    </row>
    <row r="2363" spans="13:36">
      <c r="M2363" s="811" t="str">
        <f t="shared" si="176"/>
        <v/>
      </c>
      <c r="X2363" s="811" t="str">
        <f t="shared" si="178"/>
        <v/>
      </c>
      <c r="AG2363" s="807" t="str">
        <f t="shared" si="177"/>
        <v/>
      </c>
      <c r="AJ2363" s="865"/>
    </row>
    <row r="2364" spans="13:36">
      <c r="M2364" s="811" t="str">
        <f t="shared" si="176"/>
        <v/>
      </c>
      <c r="X2364" s="811" t="str">
        <f t="shared" si="178"/>
        <v/>
      </c>
      <c r="AG2364" s="807" t="str">
        <f t="shared" si="177"/>
        <v/>
      </c>
      <c r="AJ2364" s="865"/>
    </row>
    <row r="2365" spans="13:36">
      <c r="M2365" s="811" t="str">
        <f t="shared" si="176"/>
        <v/>
      </c>
      <c r="X2365" s="811" t="str">
        <f t="shared" si="178"/>
        <v/>
      </c>
      <c r="AG2365" s="807" t="str">
        <f t="shared" si="177"/>
        <v/>
      </c>
      <c r="AJ2365" s="865"/>
    </row>
    <row r="2366" spans="13:36">
      <c r="M2366" s="811" t="str">
        <f t="shared" si="176"/>
        <v/>
      </c>
      <c r="X2366" s="811" t="str">
        <f t="shared" si="178"/>
        <v/>
      </c>
      <c r="AG2366" s="807" t="str">
        <f t="shared" si="177"/>
        <v/>
      </c>
      <c r="AJ2366" s="865"/>
    </row>
    <row r="2367" spans="13:36">
      <c r="M2367" s="811" t="str">
        <f t="shared" si="176"/>
        <v/>
      </c>
      <c r="X2367" s="811" t="str">
        <f t="shared" si="178"/>
        <v/>
      </c>
      <c r="AG2367" s="807" t="str">
        <f t="shared" si="177"/>
        <v/>
      </c>
      <c r="AJ2367" s="865"/>
    </row>
    <row r="2368" spans="13:36">
      <c r="M2368" s="811" t="str">
        <f t="shared" si="176"/>
        <v/>
      </c>
      <c r="X2368" s="811" t="str">
        <f t="shared" si="178"/>
        <v/>
      </c>
      <c r="AG2368" s="807" t="str">
        <f t="shared" si="177"/>
        <v/>
      </c>
      <c r="AJ2368" s="865"/>
    </row>
    <row r="2369" spans="4:36">
      <c r="M2369" s="811" t="str">
        <f t="shared" si="176"/>
        <v/>
      </c>
      <c r="X2369" s="811" t="str">
        <f t="shared" si="178"/>
        <v/>
      </c>
      <c r="AG2369" s="807" t="str">
        <f t="shared" si="177"/>
        <v/>
      </c>
      <c r="AJ2369" s="865"/>
    </row>
    <row r="2370" spans="4:36">
      <c r="M2370" s="811" t="str">
        <f t="shared" si="176"/>
        <v/>
      </c>
      <c r="X2370" s="811" t="str">
        <f t="shared" si="178"/>
        <v/>
      </c>
      <c r="AG2370" s="807" t="str">
        <f t="shared" si="177"/>
        <v/>
      </c>
      <c r="AJ2370" s="865"/>
    </row>
    <row r="2371" spans="4:36">
      <c r="M2371" s="811" t="str">
        <f t="shared" si="176"/>
        <v/>
      </c>
      <c r="X2371" s="811" t="str">
        <f t="shared" si="178"/>
        <v/>
      </c>
      <c r="AG2371" s="807" t="str">
        <f t="shared" si="177"/>
        <v/>
      </c>
      <c r="AJ2371" s="865"/>
    </row>
    <row r="2372" spans="4:36">
      <c r="M2372" s="811" t="str">
        <f t="shared" si="176"/>
        <v/>
      </c>
      <c r="X2372" s="811" t="str">
        <f t="shared" si="178"/>
        <v/>
      </c>
      <c r="AG2372" s="807" t="str">
        <f t="shared" si="177"/>
        <v/>
      </c>
      <c r="AJ2372" s="865"/>
    </row>
    <row r="2373" spans="4:36">
      <c r="M2373" s="811" t="str">
        <f t="shared" si="176"/>
        <v/>
      </c>
      <c r="X2373" s="811" t="str">
        <f t="shared" si="178"/>
        <v/>
      </c>
      <c r="AG2373" s="807" t="str">
        <f t="shared" si="177"/>
        <v/>
      </c>
      <c r="AJ2373" s="865"/>
    </row>
    <row r="2374" spans="4:36">
      <c r="M2374" s="811" t="str">
        <f t="shared" si="176"/>
        <v/>
      </c>
      <c r="X2374" s="811" t="str">
        <f t="shared" si="178"/>
        <v/>
      </c>
      <c r="AG2374" s="807" t="str">
        <f t="shared" si="177"/>
        <v/>
      </c>
      <c r="AJ2374" s="865"/>
    </row>
    <row r="2375" spans="4:36">
      <c r="M2375" s="811" t="str">
        <f t="shared" si="176"/>
        <v/>
      </c>
      <c r="X2375" s="811" t="str">
        <f t="shared" si="178"/>
        <v/>
      </c>
      <c r="AG2375" s="807" t="str">
        <f t="shared" si="177"/>
        <v/>
      </c>
      <c r="AJ2375" s="865"/>
    </row>
    <row r="2376" spans="4:36">
      <c r="D2376" s="127"/>
      <c r="M2376" s="811" t="str">
        <f t="shared" si="176"/>
        <v/>
      </c>
      <c r="X2376" s="811" t="str">
        <f t="shared" si="178"/>
        <v/>
      </c>
      <c r="AG2376" s="807" t="str">
        <f t="shared" si="177"/>
        <v/>
      </c>
      <c r="AJ2376" s="865"/>
    </row>
    <row r="2377" spans="4:36">
      <c r="M2377" s="811" t="str">
        <f t="shared" si="176"/>
        <v/>
      </c>
      <c r="X2377" s="811" t="str">
        <f t="shared" si="178"/>
        <v/>
      </c>
      <c r="AG2377" s="807" t="str">
        <f t="shared" si="177"/>
        <v/>
      </c>
      <c r="AJ2377" s="865"/>
    </row>
    <row r="2378" spans="4:36">
      <c r="D2378" s="127"/>
      <c r="M2378" s="811" t="str">
        <f t="shared" si="176"/>
        <v/>
      </c>
      <c r="X2378" s="811" t="str">
        <f t="shared" si="178"/>
        <v/>
      </c>
      <c r="AG2378" s="807" t="str">
        <f t="shared" si="177"/>
        <v/>
      </c>
      <c r="AJ2378" s="865"/>
    </row>
    <row r="2379" spans="4:36">
      <c r="D2379" s="127"/>
      <c r="M2379" s="811" t="str">
        <f t="shared" si="176"/>
        <v/>
      </c>
      <c r="X2379" s="811" t="str">
        <f t="shared" si="178"/>
        <v/>
      </c>
      <c r="AG2379" s="807" t="str">
        <f t="shared" si="177"/>
        <v/>
      </c>
      <c r="AJ2379" s="865"/>
    </row>
    <row r="2380" spans="4:36">
      <c r="M2380" s="811" t="str">
        <f t="shared" ref="M2380:M2443" si="179">IF(ISBLANK(L2380)=TRUE,"",LOOKUP(L2380,GQ:GR))</f>
        <v/>
      </c>
      <c r="X2380" s="811" t="str">
        <f t="shared" si="178"/>
        <v/>
      </c>
      <c r="AG2380" s="807" t="str">
        <f t="shared" si="177"/>
        <v/>
      </c>
      <c r="AJ2380" s="865"/>
    </row>
    <row r="2381" spans="4:36">
      <c r="M2381" s="811" t="str">
        <f t="shared" si="179"/>
        <v/>
      </c>
      <c r="X2381" s="811" t="str">
        <f t="shared" si="178"/>
        <v/>
      </c>
      <c r="AG2381" s="807" t="str">
        <f t="shared" si="177"/>
        <v/>
      </c>
      <c r="AJ2381" s="865"/>
    </row>
    <row r="2382" spans="4:36">
      <c r="D2382" s="127"/>
      <c r="M2382" s="811" t="str">
        <f t="shared" si="179"/>
        <v/>
      </c>
      <c r="X2382" s="811" t="str">
        <f t="shared" si="178"/>
        <v/>
      </c>
      <c r="AG2382" s="807" t="str">
        <f t="shared" si="177"/>
        <v/>
      </c>
      <c r="AJ2382" s="865"/>
    </row>
    <row r="2383" spans="4:36">
      <c r="D2383" s="127"/>
      <c r="M2383" s="811" t="str">
        <f t="shared" si="179"/>
        <v/>
      </c>
      <c r="X2383" s="811" t="str">
        <f t="shared" si="178"/>
        <v/>
      </c>
      <c r="AG2383" s="807" t="str">
        <f t="shared" si="177"/>
        <v/>
      </c>
      <c r="AJ2383" s="865"/>
    </row>
    <row r="2384" spans="4:36">
      <c r="D2384" s="127"/>
      <c r="M2384" s="811" t="str">
        <f t="shared" si="179"/>
        <v/>
      </c>
      <c r="X2384" s="811" t="str">
        <f t="shared" si="178"/>
        <v/>
      </c>
      <c r="AG2384" s="807" t="str">
        <f t="shared" si="177"/>
        <v/>
      </c>
      <c r="AJ2384" s="865"/>
    </row>
    <row r="2385" spans="4:36">
      <c r="D2385" s="127"/>
      <c r="M2385" s="811" t="str">
        <f t="shared" si="179"/>
        <v/>
      </c>
      <c r="X2385" s="811" t="str">
        <f t="shared" si="178"/>
        <v/>
      </c>
      <c r="AG2385" s="807" t="str">
        <f t="shared" si="177"/>
        <v/>
      </c>
      <c r="AJ2385" s="865"/>
    </row>
    <row r="2386" spans="4:36">
      <c r="M2386" s="811" t="str">
        <f t="shared" si="179"/>
        <v/>
      </c>
      <c r="X2386" s="811" t="str">
        <f t="shared" si="178"/>
        <v/>
      </c>
      <c r="AG2386" s="807" t="str">
        <f t="shared" si="177"/>
        <v/>
      </c>
      <c r="AJ2386" s="865"/>
    </row>
    <row r="2387" spans="4:36">
      <c r="D2387" s="127"/>
      <c r="M2387" s="811" t="str">
        <f t="shared" si="179"/>
        <v/>
      </c>
      <c r="X2387" s="811" t="str">
        <f t="shared" si="178"/>
        <v/>
      </c>
      <c r="AG2387" s="807" t="str">
        <f t="shared" si="177"/>
        <v/>
      </c>
      <c r="AJ2387" s="865"/>
    </row>
    <row r="2388" spans="4:36">
      <c r="M2388" s="811" t="str">
        <f t="shared" si="179"/>
        <v/>
      </c>
      <c r="X2388" s="811" t="str">
        <f t="shared" si="178"/>
        <v/>
      </c>
      <c r="AG2388" s="807" t="str">
        <f t="shared" si="177"/>
        <v/>
      </c>
      <c r="AJ2388" s="865"/>
    </row>
    <row r="2389" spans="4:36">
      <c r="D2389" s="127"/>
      <c r="M2389" s="811" t="str">
        <f t="shared" si="179"/>
        <v/>
      </c>
      <c r="X2389" s="811" t="str">
        <f t="shared" si="178"/>
        <v/>
      </c>
      <c r="AG2389" s="807" t="str">
        <f t="shared" si="177"/>
        <v/>
      </c>
      <c r="AJ2389" s="865"/>
    </row>
    <row r="2390" spans="4:36">
      <c r="M2390" s="811" t="str">
        <f t="shared" si="179"/>
        <v/>
      </c>
      <c r="X2390" s="811" t="str">
        <f t="shared" si="178"/>
        <v/>
      </c>
      <c r="AG2390" s="807" t="str">
        <f t="shared" si="177"/>
        <v/>
      </c>
      <c r="AJ2390" s="865"/>
    </row>
    <row r="2391" spans="4:36">
      <c r="M2391" s="811" t="str">
        <f t="shared" si="179"/>
        <v/>
      </c>
      <c r="X2391" s="811" t="str">
        <f t="shared" si="178"/>
        <v/>
      </c>
      <c r="AG2391" s="807" t="str">
        <f t="shared" ref="AG2391:AG2454" si="180">IF(ISBLANK(AF2391)=TRUE,"",LOOKUP(AF2391,GS:GT))</f>
        <v/>
      </c>
      <c r="AJ2391" s="865"/>
    </row>
    <row r="2392" spans="4:36">
      <c r="M2392" s="811" t="str">
        <f t="shared" si="179"/>
        <v/>
      </c>
      <c r="X2392" s="811" t="str">
        <f t="shared" si="178"/>
        <v/>
      </c>
      <c r="AG2392" s="807" t="str">
        <f t="shared" si="180"/>
        <v/>
      </c>
      <c r="AJ2392" s="865"/>
    </row>
    <row r="2393" spans="4:36">
      <c r="M2393" s="811" t="str">
        <f t="shared" si="179"/>
        <v/>
      </c>
      <c r="X2393" s="811" t="str">
        <f t="shared" si="178"/>
        <v/>
      </c>
      <c r="AG2393" s="807" t="str">
        <f t="shared" si="180"/>
        <v/>
      </c>
      <c r="AJ2393" s="865"/>
    </row>
    <row r="2394" spans="4:36">
      <c r="M2394" s="811" t="str">
        <f t="shared" si="179"/>
        <v/>
      </c>
      <c r="X2394" s="811" t="str">
        <f t="shared" si="178"/>
        <v/>
      </c>
      <c r="AG2394" s="807" t="str">
        <f t="shared" si="180"/>
        <v/>
      </c>
      <c r="AJ2394" s="865"/>
    </row>
    <row r="2395" spans="4:36">
      <c r="M2395" s="811" t="str">
        <f t="shared" si="179"/>
        <v/>
      </c>
      <c r="X2395" s="811" t="str">
        <f t="shared" si="178"/>
        <v/>
      </c>
      <c r="AG2395" s="807" t="str">
        <f t="shared" si="180"/>
        <v/>
      </c>
      <c r="AJ2395" s="865"/>
    </row>
    <row r="2396" spans="4:36">
      <c r="M2396" s="811" t="str">
        <f t="shared" si="179"/>
        <v/>
      </c>
      <c r="X2396" s="811" t="str">
        <f t="shared" si="178"/>
        <v/>
      </c>
      <c r="AG2396" s="807" t="str">
        <f t="shared" si="180"/>
        <v/>
      </c>
      <c r="AJ2396" s="865"/>
    </row>
    <row r="2397" spans="4:36">
      <c r="M2397" s="811" t="str">
        <f t="shared" si="179"/>
        <v/>
      </c>
      <c r="X2397" s="811" t="str">
        <f t="shared" si="178"/>
        <v/>
      </c>
      <c r="AG2397" s="807" t="str">
        <f t="shared" si="180"/>
        <v/>
      </c>
      <c r="AJ2397" s="865"/>
    </row>
    <row r="2398" spans="4:36">
      <c r="M2398" s="811" t="str">
        <f t="shared" si="179"/>
        <v/>
      </c>
      <c r="X2398" s="811" t="str">
        <f t="shared" si="178"/>
        <v/>
      </c>
      <c r="AG2398" s="807" t="str">
        <f t="shared" si="180"/>
        <v/>
      </c>
      <c r="AJ2398" s="865"/>
    </row>
    <row r="2399" spans="4:36">
      <c r="M2399" s="811" t="str">
        <f t="shared" si="179"/>
        <v/>
      </c>
      <c r="X2399" s="811" t="str">
        <f t="shared" si="178"/>
        <v/>
      </c>
      <c r="AG2399" s="807" t="str">
        <f t="shared" si="180"/>
        <v/>
      </c>
      <c r="AJ2399" s="865"/>
    </row>
    <row r="2400" spans="4:36">
      <c r="M2400" s="811" t="str">
        <f t="shared" si="179"/>
        <v/>
      </c>
      <c r="X2400" s="811" t="str">
        <f t="shared" si="178"/>
        <v/>
      </c>
      <c r="AG2400" s="807" t="str">
        <f t="shared" si="180"/>
        <v/>
      </c>
      <c r="AJ2400" s="865"/>
    </row>
    <row r="2401" spans="4:36">
      <c r="M2401" s="811" t="str">
        <f t="shared" si="179"/>
        <v/>
      </c>
      <c r="X2401" s="811" t="str">
        <f t="shared" si="178"/>
        <v/>
      </c>
      <c r="AG2401" s="807" t="str">
        <f t="shared" si="180"/>
        <v/>
      </c>
      <c r="AJ2401" s="865"/>
    </row>
    <row r="2402" spans="4:36">
      <c r="M2402" s="811" t="str">
        <f t="shared" si="179"/>
        <v/>
      </c>
      <c r="X2402" s="811" t="str">
        <f t="shared" si="178"/>
        <v/>
      </c>
      <c r="AG2402" s="807" t="str">
        <f t="shared" si="180"/>
        <v/>
      </c>
      <c r="AJ2402" s="865"/>
    </row>
    <row r="2403" spans="4:36">
      <c r="M2403" s="811" t="str">
        <f t="shared" si="179"/>
        <v/>
      </c>
      <c r="X2403" s="811" t="str">
        <f t="shared" si="178"/>
        <v/>
      </c>
      <c r="AG2403" s="807" t="str">
        <f t="shared" si="180"/>
        <v/>
      </c>
      <c r="AJ2403" s="865"/>
    </row>
    <row r="2404" spans="4:36">
      <c r="D2404" s="127"/>
      <c r="M2404" s="811" t="str">
        <f t="shared" si="179"/>
        <v/>
      </c>
      <c r="X2404" s="811" t="str">
        <f t="shared" si="178"/>
        <v/>
      </c>
      <c r="AG2404" s="807" t="str">
        <f t="shared" si="180"/>
        <v/>
      </c>
      <c r="AJ2404" s="865"/>
    </row>
    <row r="2405" spans="4:36">
      <c r="D2405" s="127"/>
      <c r="M2405" s="811" t="str">
        <f t="shared" si="179"/>
        <v/>
      </c>
      <c r="X2405" s="811" t="str">
        <f t="shared" si="178"/>
        <v/>
      </c>
      <c r="AG2405" s="807" t="str">
        <f t="shared" si="180"/>
        <v/>
      </c>
      <c r="AJ2405" s="865"/>
    </row>
    <row r="2406" spans="4:36">
      <c r="D2406" s="127"/>
      <c r="M2406" s="811" t="str">
        <f t="shared" si="179"/>
        <v/>
      </c>
      <c r="X2406" s="811" t="str">
        <f t="shared" si="178"/>
        <v/>
      </c>
      <c r="AG2406" s="807" t="str">
        <f t="shared" si="180"/>
        <v/>
      </c>
      <c r="AJ2406" s="865"/>
    </row>
    <row r="2407" spans="4:36">
      <c r="M2407" s="811" t="str">
        <f t="shared" si="179"/>
        <v/>
      </c>
      <c r="X2407" s="811" t="str">
        <f t="shared" si="178"/>
        <v/>
      </c>
      <c r="AG2407" s="807" t="str">
        <f t="shared" si="180"/>
        <v/>
      </c>
      <c r="AJ2407" s="865"/>
    </row>
    <row r="2408" spans="4:36">
      <c r="M2408" s="811" t="str">
        <f t="shared" si="179"/>
        <v/>
      </c>
      <c r="X2408" s="811" t="str">
        <f t="shared" si="178"/>
        <v/>
      </c>
      <c r="AG2408" s="807" t="str">
        <f t="shared" si="180"/>
        <v/>
      </c>
      <c r="AJ2408" s="865"/>
    </row>
    <row r="2409" spans="4:36">
      <c r="M2409" s="811" t="str">
        <f t="shared" si="179"/>
        <v/>
      </c>
      <c r="X2409" s="811" t="str">
        <f t="shared" si="178"/>
        <v/>
      </c>
      <c r="AG2409" s="807" t="str">
        <f t="shared" si="180"/>
        <v/>
      </c>
      <c r="AJ2409" s="865"/>
    </row>
    <row r="2410" spans="4:36">
      <c r="M2410" s="811" t="str">
        <f t="shared" si="179"/>
        <v/>
      </c>
      <c r="X2410" s="811" t="str">
        <f t="shared" si="178"/>
        <v/>
      </c>
      <c r="AG2410" s="807" t="str">
        <f t="shared" si="180"/>
        <v/>
      </c>
      <c r="AJ2410" s="865"/>
    </row>
    <row r="2411" spans="4:36">
      <c r="M2411" s="811" t="str">
        <f t="shared" si="179"/>
        <v/>
      </c>
      <c r="X2411" s="811" t="str">
        <f t="shared" si="178"/>
        <v/>
      </c>
      <c r="AG2411" s="807" t="str">
        <f t="shared" si="180"/>
        <v/>
      </c>
      <c r="AJ2411" s="865"/>
    </row>
    <row r="2412" spans="4:36">
      <c r="M2412" s="811" t="str">
        <f t="shared" si="179"/>
        <v/>
      </c>
      <c r="X2412" s="811" t="str">
        <f t="shared" si="178"/>
        <v/>
      </c>
      <c r="AG2412" s="807" t="str">
        <f t="shared" si="180"/>
        <v/>
      </c>
      <c r="AJ2412" s="865"/>
    </row>
    <row r="2413" spans="4:36">
      <c r="D2413" s="127"/>
      <c r="M2413" s="811" t="str">
        <f t="shared" si="179"/>
        <v/>
      </c>
      <c r="X2413" s="811" t="str">
        <f t="shared" si="178"/>
        <v/>
      </c>
      <c r="AG2413" s="807" t="str">
        <f t="shared" si="180"/>
        <v/>
      </c>
      <c r="AJ2413" s="865"/>
    </row>
    <row r="2414" spans="4:36">
      <c r="M2414" s="811" t="str">
        <f t="shared" si="179"/>
        <v/>
      </c>
      <c r="X2414" s="811" t="str">
        <f t="shared" si="178"/>
        <v/>
      </c>
      <c r="AG2414" s="807" t="str">
        <f t="shared" si="180"/>
        <v/>
      </c>
      <c r="AJ2414" s="865"/>
    </row>
    <row r="2415" spans="4:36">
      <c r="M2415" s="811" t="str">
        <f t="shared" si="179"/>
        <v/>
      </c>
      <c r="X2415" s="811" t="str">
        <f t="shared" si="178"/>
        <v/>
      </c>
      <c r="AG2415" s="807" t="str">
        <f t="shared" si="180"/>
        <v/>
      </c>
      <c r="AJ2415" s="865"/>
    </row>
    <row r="2416" spans="4:36">
      <c r="M2416" s="811" t="str">
        <f t="shared" si="179"/>
        <v/>
      </c>
      <c r="X2416" s="811" t="str">
        <f t="shared" si="178"/>
        <v/>
      </c>
      <c r="AG2416" s="807" t="str">
        <f t="shared" si="180"/>
        <v/>
      </c>
      <c r="AJ2416" s="865"/>
    </row>
    <row r="2417" spans="4:36">
      <c r="M2417" s="811" t="str">
        <f t="shared" si="179"/>
        <v/>
      </c>
      <c r="X2417" s="811" t="str">
        <f t="shared" si="178"/>
        <v/>
      </c>
      <c r="AG2417" s="807" t="str">
        <f t="shared" si="180"/>
        <v/>
      </c>
      <c r="AJ2417" s="865"/>
    </row>
    <row r="2418" spans="4:36">
      <c r="M2418" s="811" t="str">
        <f t="shared" si="179"/>
        <v/>
      </c>
      <c r="X2418" s="811" t="str">
        <f t="shared" si="178"/>
        <v/>
      </c>
      <c r="AG2418" s="807" t="str">
        <f t="shared" si="180"/>
        <v/>
      </c>
      <c r="AJ2418" s="865"/>
    </row>
    <row r="2419" spans="4:36">
      <c r="M2419" s="811" t="str">
        <f t="shared" si="179"/>
        <v/>
      </c>
      <c r="X2419" s="811" t="str">
        <f t="shared" ref="X2419:X2482" si="181">IF(ISBLANK(W2419)=TRUE,"",LOOKUP(W2419,GO:GP))</f>
        <v/>
      </c>
      <c r="AG2419" s="807" t="str">
        <f t="shared" si="180"/>
        <v/>
      </c>
      <c r="AJ2419" s="865"/>
    </row>
    <row r="2420" spans="4:36">
      <c r="M2420" s="811" t="str">
        <f t="shared" si="179"/>
        <v/>
      </c>
      <c r="X2420" s="811" t="str">
        <f t="shared" si="181"/>
        <v/>
      </c>
      <c r="AG2420" s="807" t="str">
        <f t="shared" si="180"/>
        <v/>
      </c>
      <c r="AJ2420" s="865"/>
    </row>
    <row r="2421" spans="4:36">
      <c r="M2421" s="811" t="str">
        <f t="shared" si="179"/>
        <v/>
      </c>
      <c r="X2421" s="811" t="str">
        <f t="shared" si="181"/>
        <v/>
      </c>
      <c r="AG2421" s="807" t="str">
        <f t="shared" si="180"/>
        <v/>
      </c>
      <c r="AJ2421" s="865"/>
    </row>
    <row r="2422" spans="4:36">
      <c r="M2422" s="811" t="str">
        <f t="shared" si="179"/>
        <v/>
      </c>
      <c r="X2422" s="811" t="str">
        <f t="shared" si="181"/>
        <v/>
      </c>
      <c r="AG2422" s="807" t="str">
        <f t="shared" si="180"/>
        <v/>
      </c>
      <c r="AJ2422" s="865"/>
    </row>
    <row r="2423" spans="4:36">
      <c r="M2423" s="811" t="str">
        <f t="shared" si="179"/>
        <v/>
      </c>
      <c r="X2423" s="811" t="str">
        <f t="shared" si="181"/>
        <v/>
      </c>
      <c r="AG2423" s="807" t="str">
        <f t="shared" si="180"/>
        <v/>
      </c>
      <c r="AJ2423" s="865"/>
    </row>
    <row r="2424" spans="4:36">
      <c r="M2424" s="811" t="str">
        <f t="shared" si="179"/>
        <v/>
      </c>
      <c r="X2424" s="811" t="str">
        <f t="shared" si="181"/>
        <v/>
      </c>
      <c r="AG2424" s="807" t="str">
        <f t="shared" si="180"/>
        <v/>
      </c>
      <c r="AJ2424" s="865"/>
    </row>
    <row r="2425" spans="4:36">
      <c r="D2425" s="127"/>
      <c r="M2425" s="811" t="str">
        <f t="shared" si="179"/>
        <v/>
      </c>
      <c r="X2425" s="811" t="str">
        <f t="shared" si="181"/>
        <v/>
      </c>
      <c r="AG2425" s="807" t="str">
        <f t="shared" si="180"/>
        <v/>
      </c>
      <c r="AJ2425" s="865"/>
    </row>
    <row r="2426" spans="4:36">
      <c r="D2426" s="127"/>
      <c r="M2426" s="811" t="str">
        <f t="shared" si="179"/>
        <v/>
      </c>
      <c r="X2426" s="811" t="str">
        <f t="shared" si="181"/>
        <v/>
      </c>
      <c r="AG2426" s="807" t="str">
        <f t="shared" si="180"/>
        <v/>
      </c>
      <c r="AJ2426" s="865"/>
    </row>
    <row r="2427" spans="4:36">
      <c r="M2427" s="811" t="str">
        <f t="shared" si="179"/>
        <v/>
      </c>
      <c r="X2427" s="811" t="str">
        <f t="shared" si="181"/>
        <v/>
      </c>
      <c r="AG2427" s="807" t="str">
        <f t="shared" si="180"/>
        <v/>
      </c>
      <c r="AJ2427" s="865"/>
    </row>
    <row r="2428" spans="4:36">
      <c r="M2428" s="811" t="str">
        <f t="shared" si="179"/>
        <v/>
      </c>
      <c r="X2428" s="811" t="str">
        <f t="shared" si="181"/>
        <v/>
      </c>
      <c r="AG2428" s="807" t="str">
        <f t="shared" si="180"/>
        <v/>
      </c>
      <c r="AJ2428" s="865"/>
    </row>
    <row r="2429" spans="4:36">
      <c r="M2429" s="811" t="str">
        <f t="shared" si="179"/>
        <v/>
      </c>
      <c r="X2429" s="811" t="str">
        <f t="shared" si="181"/>
        <v/>
      </c>
      <c r="AG2429" s="807" t="str">
        <f t="shared" si="180"/>
        <v/>
      </c>
      <c r="AJ2429" s="865"/>
    </row>
    <row r="2430" spans="4:36">
      <c r="D2430" s="127"/>
      <c r="M2430" s="811" t="str">
        <f t="shared" si="179"/>
        <v/>
      </c>
      <c r="X2430" s="811" t="str">
        <f t="shared" si="181"/>
        <v/>
      </c>
      <c r="AG2430" s="807" t="str">
        <f t="shared" si="180"/>
        <v/>
      </c>
      <c r="AJ2430" s="865"/>
    </row>
    <row r="2431" spans="4:36">
      <c r="M2431" s="811" t="str">
        <f t="shared" si="179"/>
        <v/>
      </c>
      <c r="X2431" s="811" t="str">
        <f t="shared" si="181"/>
        <v/>
      </c>
      <c r="AG2431" s="807" t="str">
        <f t="shared" si="180"/>
        <v/>
      </c>
      <c r="AJ2431" s="865"/>
    </row>
    <row r="2432" spans="4:36">
      <c r="M2432" s="811" t="str">
        <f t="shared" si="179"/>
        <v/>
      </c>
      <c r="X2432" s="811" t="str">
        <f t="shared" si="181"/>
        <v/>
      </c>
      <c r="AG2432" s="807" t="str">
        <f t="shared" si="180"/>
        <v/>
      </c>
      <c r="AJ2432" s="865"/>
    </row>
    <row r="2433" spans="4:36">
      <c r="M2433" s="811" t="str">
        <f t="shared" si="179"/>
        <v/>
      </c>
      <c r="X2433" s="811" t="str">
        <f t="shared" si="181"/>
        <v/>
      </c>
      <c r="AG2433" s="807" t="str">
        <f t="shared" si="180"/>
        <v/>
      </c>
      <c r="AJ2433" s="865"/>
    </row>
    <row r="2434" spans="4:36">
      <c r="M2434" s="811" t="str">
        <f t="shared" si="179"/>
        <v/>
      </c>
      <c r="X2434" s="811" t="str">
        <f t="shared" si="181"/>
        <v/>
      </c>
      <c r="AG2434" s="807" t="str">
        <f t="shared" si="180"/>
        <v/>
      </c>
      <c r="AJ2434" s="865"/>
    </row>
    <row r="2435" spans="4:36">
      <c r="D2435" s="127"/>
      <c r="M2435" s="811" t="str">
        <f t="shared" si="179"/>
        <v/>
      </c>
      <c r="X2435" s="811" t="str">
        <f t="shared" si="181"/>
        <v/>
      </c>
      <c r="AG2435" s="807" t="str">
        <f t="shared" si="180"/>
        <v/>
      </c>
      <c r="AJ2435" s="865"/>
    </row>
    <row r="2436" spans="4:36">
      <c r="M2436" s="811" t="str">
        <f t="shared" si="179"/>
        <v/>
      </c>
      <c r="X2436" s="811" t="str">
        <f t="shared" si="181"/>
        <v/>
      </c>
      <c r="AG2436" s="807" t="str">
        <f t="shared" si="180"/>
        <v/>
      </c>
      <c r="AJ2436" s="865"/>
    </row>
    <row r="2437" spans="4:36">
      <c r="M2437" s="811" t="str">
        <f t="shared" si="179"/>
        <v/>
      </c>
      <c r="X2437" s="811" t="str">
        <f t="shared" si="181"/>
        <v/>
      </c>
      <c r="AG2437" s="807" t="str">
        <f t="shared" si="180"/>
        <v/>
      </c>
      <c r="AJ2437" s="865"/>
    </row>
    <row r="2438" spans="4:36">
      <c r="D2438" s="127"/>
      <c r="M2438" s="811" t="str">
        <f t="shared" si="179"/>
        <v/>
      </c>
      <c r="X2438" s="811" t="str">
        <f t="shared" si="181"/>
        <v/>
      </c>
      <c r="AG2438" s="807" t="str">
        <f t="shared" si="180"/>
        <v/>
      </c>
      <c r="AJ2438" s="865"/>
    </row>
    <row r="2439" spans="4:36">
      <c r="M2439" s="811" t="str">
        <f t="shared" si="179"/>
        <v/>
      </c>
      <c r="X2439" s="811" t="str">
        <f t="shared" si="181"/>
        <v/>
      </c>
      <c r="AG2439" s="807" t="str">
        <f t="shared" si="180"/>
        <v/>
      </c>
      <c r="AJ2439" s="865"/>
    </row>
    <row r="2440" spans="4:36">
      <c r="M2440" s="811" t="str">
        <f t="shared" si="179"/>
        <v/>
      </c>
      <c r="X2440" s="811" t="str">
        <f t="shared" si="181"/>
        <v/>
      </c>
      <c r="AG2440" s="807" t="str">
        <f t="shared" si="180"/>
        <v/>
      </c>
      <c r="AJ2440" s="865"/>
    </row>
    <row r="2441" spans="4:36">
      <c r="D2441" s="127"/>
      <c r="M2441" s="811" t="str">
        <f t="shared" si="179"/>
        <v/>
      </c>
      <c r="X2441" s="811" t="str">
        <f t="shared" si="181"/>
        <v/>
      </c>
      <c r="AG2441" s="807" t="str">
        <f t="shared" si="180"/>
        <v/>
      </c>
      <c r="AJ2441" s="865"/>
    </row>
    <row r="2442" spans="4:36">
      <c r="D2442" s="127"/>
      <c r="M2442" s="811" t="str">
        <f t="shared" si="179"/>
        <v/>
      </c>
      <c r="X2442" s="811" t="str">
        <f t="shared" si="181"/>
        <v/>
      </c>
      <c r="AG2442" s="807" t="str">
        <f t="shared" si="180"/>
        <v/>
      </c>
      <c r="AJ2442" s="865"/>
    </row>
    <row r="2443" spans="4:36">
      <c r="D2443" s="127"/>
      <c r="M2443" s="811" t="str">
        <f t="shared" si="179"/>
        <v/>
      </c>
      <c r="X2443" s="811" t="str">
        <f t="shared" si="181"/>
        <v/>
      </c>
      <c r="AG2443" s="807" t="str">
        <f t="shared" si="180"/>
        <v/>
      </c>
      <c r="AJ2443" s="865"/>
    </row>
    <row r="2444" spans="4:36">
      <c r="D2444" s="127"/>
      <c r="M2444" s="811" t="str">
        <f t="shared" ref="M2444:M2507" si="182">IF(ISBLANK(L2444)=TRUE,"",LOOKUP(L2444,GQ:GR))</f>
        <v/>
      </c>
      <c r="X2444" s="811" t="str">
        <f t="shared" si="181"/>
        <v/>
      </c>
      <c r="AG2444" s="807" t="str">
        <f t="shared" si="180"/>
        <v/>
      </c>
      <c r="AJ2444" s="865"/>
    </row>
    <row r="2445" spans="4:36">
      <c r="M2445" s="811" t="str">
        <f t="shared" si="182"/>
        <v/>
      </c>
      <c r="X2445" s="811" t="str">
        <f t="shared" si="181"/>
        <v/>
      </c>
      <c r="AG2445" s="807" t="str">
        <f t="shared" si="180"/>
        <v/>
      </c>
      <c r="AJ2445" s="865"/>
    </row>
    <row r="2446" spans="4:36">
      <c r="M2446" s="811" t="str">
        <f t="shared" si="182"/>
        <v/>
      </c>
      <c r="X2446" s="811" t="str">
        <f t="shared" si="181"/>
        <v/>
      </c>
      <c r="AG2446" s="807" t="str">
        <f t="shared" si="180"/>
        <v/>
      </c>
      <c r="AJ2446" s="865"/>
    </row>
    <row r="2447" spans="4:36">
      <c r="M2447" s="811" t="str">
        <f t="shared" si="182"/>
        <v/>
      </c>
      <c r="X2447" s="811" t="str">
        <f t="shared" si="181"/>
        <v/>
      </c>
      <c r="AG2447" s="807" t="str">
        <f t="shared" si="180"/>
        <v/>
      </c>
      <c r="AJ2447" s="865"/>
    </row>
    <row r="2448" spans="4:36">
      <c r="D2448" s="127"/>
      <c r="M2448" s="811" t="str">
        <f t="shared" si="182"/>
        <v/>
      </c>
      <c r="X2448" s="811" t="str">
        <f t="shared" si="181"/>
        <v/>
      </c>
      <c r="AG2448" s="807" t="str">
        <f t="shared" si="180"/>
        <v/>
      </c>
      <c r="AJ2448" s="865"/>
    </row>
    <row r="2449" spans="13:36">
      <c r="M2449" s="811" t="str">
        <f t="shared" si="182"/>
        <v/>
      </c>
      <c r="X2449" s="811" t="str">
        <f t="shared" si="181"/>
        <v/>
      </c>
      <c r="AG2449" s="807" t="str">
        <f t="shared" si="180"/>
        <v/>
      </c>
      <c r="AJ2449" s="865"/>
    </row>
    <row r="2450" spans="13:36">
      <c r="M2450" s="811" t="str">
        <f t="shared" si="182"/>
        <v/>
      </c>
      <c r="X2450" s="811" t="str">
        <f t="shared" si="181"/>
        <v/>
      </c>
      <c r="AG2450" s="807" t="str">
        <f t="shared" si="180"/>
        <v/>
      </c>
      <c r="AJ2450" s="865"/>
    </row>
    <row r="2451" spans="13:36">
      <c r="M2451" s="811" t="str">
        <f t="shared" si="182"/>
        <v/>
      </c>
      <c r="X2451" s="811" t="str">
        <f t="shared" si="181"/>
        <v/>
      </c>
      <c r="AG2451" s="807" t="str">
        <f t="shared" si="180"/>
        <v/>
      </c>
      <c r="AJ2451" s="865"/>
    </row>
    <row r="2452" spans="13:36">
      <c r="M2452" s="811" t="str">
        <f t="shared" si="182"/>
        <v/>
      </c>
      <c r="X2452" s="811" t="str">
        <f t="shared" si="181"/>
        <v/>
      </c>
      <c r="AG2452" s="807" t="str">
        <f t="shared" si="180"/>
        <v/>
      </c>
      <c r="AJ2452" s="865"/>
    </row>
    <row r="2453" spans="13:36">
      <c r="M2453" s="811" t="str">
        <f t="shared" si="182"/>
        <v/>
      </c>
      <c r="X2453" s="811" t="str">
        <f t="shared" si="181"/>
        <v/>
      </c>
      <c r="AG2453" s="807" t="str">
        <f t="shared" si="180"/>
        <v/>
      </c>
      <c r="AJ2453" s="865"/>
    </row>
    <row r="2454" spans="13:36">
      <c r="M2454" s="811" t="str">
        <f t="shared" si="182"/>
        <v/>
      </c>
      <c r="X2454" s="811" t="str">
        <f t="shared" si="181"/>
        <v/>
      </c>
      <c r="AG2454" s="807" t="str">
        <f t="shared" si="180"/>
        <v/>
      </c>
      <c r="AJ2454" s="865"/>
    </row>
    <row r="2455" spans="13:36">
      <c r="M2455" s="811" t="str">
        <f t="shared" si="182"/>
        <v/>
      </c>
      <c r="X2455" s="811" t="str">
        <f t="shared" si="181"/>
        <v/>
      </c>
      <c r="AG2455" s="807" t="str">
        <f t="shared" ref="AG2455:AG2518" si="183">IF(ISBLANK(AF2455)=TRUE,"",LOOKUP(AF2455,GS:GT))</f>
        <v/>
      </c>
      <c r="AJ2455" s="865"/>
    </row>
    <row r="2456" spans="13:36">
      <c r="M2456" s="811" t="str">
        <f t="shared" si="182"/>
        <v/>
      </c>
      <c r="X2456" s="811" t="str">
        <f t="shared" si="181"/>
        <v/>
      </c>
      <c r="AG2456" s="807" t="str">
        <f t="shared" si="183"/>
        <v/>
      </c>
      <c r="AJ2456" s="865"/>
    </row>
    <row r="2457" spans="13:36">
      <c r="M2457" s="811" t="str">
        <f t="shared" si="182"/>
        <v/>
      </c>
      <c r="X2457" s="811" t="str">
        <f t="shared" si="181"/>
        <v/>
      </c>
      <c r="AG2457" s="807" t="str">
        <f t="shared" si="183"/>
        <v/>
      </c>
      <c r="AJ2457" s="865"/>
    </row>
    <row r="2458" spans="13:36">
      <c r="M2458" s="811" t="str">
        <f t="shared" si="182"/>
        <v/>
      </c>
      <c r="X2458" s="811" t="str">
        <f t="shared" si="181"/>
        <v/>
      </c>
      <c r="AG2458" s="807" t="str">
        <f t="shared" si="183"/>
        <v/>
      </c>
      <c r="AJ2458" s="865"/>
    </row>
    <row r="2459" spans="13:36">
      <c r="M2459" s="811" t="str">
        <f t="shared" si="182"/>
        <v/>
      </c>
      <c r="X2459" s="811" t="str">
        <f t="shared" si="181"/>
        <v/>
      </c>
      <c r="AG2459" s="807" t="str">
        <f t="shared" si="183"/>
        <v/>
      </c>
      <c r="AJ2459" s="865"/>
    </row>
    <row r="2460" spans="13:36">
      <c r="M2460" s="811" t="str">
        <f t="shared" si="182"/>
        <v/>
      </c>
      <c r="X2460" s="811" t="str">
        <f t="shared" si="181"/>
        <v/>
      </c>
      <c r="AG2460" s="807" t="str">
        <f t="shared" si="183"/>
        <v/>
      </c>
      <c r="AJ2460" s="865"/>
    </row>
    <row r="2461" spans="13:36">
      <c r="M2461" s="811" t="str">
        <f t="shared" si="182"/>
        <v/>
      </c>
      <c r="X2461" s="811" t="str">
        <f t="shared" si="181"/>
        <v/>
      </c>
      <c r="AG2461" s="807" t="str">
        <f t="shared" si="183"/>
        <v/>
      </c>
      <c r="AJ2461" s="865"/>
    </row>
    <row r="2462" spans="13:36">
      <c r="M2462" s="811" t="str">
        <f t="shared" si="182"/>
        <v/>
      </c>
      <c r="X2462" s="811" t="str">
        <f t="shared" si="181"/>
        <v/>
      </c>
      <c r="AG2462" s="807" t="str">
        <f t="shared" si="183"/>
        <v/>
      </c>
      <c r="AJ2462" s="865"/>
    </row>
    <row r="2463" spans="13:36">
      <c r="M2463" s="811" t="str">
        <f t="shared" si="182"/>
        <v/>
      </c>
      <c r="X2463" s="811" t="str">
        <f t="shared" si="181"/>
        <v/>
      </c>
      <c r="AG2463" s="807" t="str">
        <f t="shared" si="183"/>
        <v/>
      </c>
      <c r="AJ2463" s="865"/>
    </row>
    <row r="2464" spans="13:36">
      <c r="M2464" s="811" t="str">
        <f t="shared" si="182"/>
        <v/>
      </c>
      <c r="X2464" s="811" t="str">
        <f t="shared" si="181"/>
        <v/>
      </c>
      <c r="AG2464" s="807" t="str">
        <f t="shared" si="183"/>
        <v/>
      </c>
      <c r="AJ2464" s="865"/>
    </row>
    <row r="2465" spans="13:36">
      <c r="M2465" s="811" t="str">
        <f t="shared" si="182"/>
        <v/>
      </c>
      <c r="X2465" s="811" t="str">
        <f t="shared" si="181"/>
        <v/>
      </c>
      <c r="AG2465" s="807" t="str">
        <f t="shared" si="183"/>
        <v/>
      </c>
      <c r="AJ2465" s="865"/>
    </row>
    <row r="2466" spans="13:36">
      <c r="M2466" s="811" t="str">
        <f t="shared" si="182"/>
        <v/>
      </c>
      <c r="X2466" s="811" t="str">
        <f t="shared" si="181"/>
        <v/>
      </c>
      <c r="AG2466" s="807" t="str">
        <f t="shared" si="183"/>
        <v/>
      </c>
      <c r="AJ2466" s="865"/>
    </row>
    <row r="2467" spans="13:36">
      <c r="M2467" s="811" t="str">
        <f t="shared" si="182"/>
        <v/>
      </c>
      <c r="X2467" s="811" t="str">
        <f t="shared" si="181"/>
        <v/>
      </c>
      <c r="AG2467" s="807" t="str">
        <f t="shared" si="183"/>
        <v/>
      </c>
      <c r="AJ2467" s="865"/>
    </row>
    <row r="2468" spans="13:36">
      <c r="M2468" s="811" t="str">
        <f t="shared" si="182"/>
        <v/>
      </c>
      <c r="X2468" s="811" t="str">
        <f t="shared" si="181"/>
        <v/>
      </c>
      <c r="AG2468" s="807" t="str">
        <f t="shared" si="183"/>
        <v/>
      </c>
      <c r="AJ2468" s="865"/>
    </row>
    <row r="2469" spans="13:36">
      <c r="M2469" s="811" t="str">
        <f t="shared" si="182"/>
        <v/>
      </c>
      <c r="X2469" s="811" t="str">
        <f t="shared" si="181"/>
        <v/>
      </c>
      <c r="AG2469" s="807" t="str">
        <f t="shared" si="183"/>
        <v/>
      </c>
      <c r="AJ2469" s="865"/>
    </row>
    <row r="2470" spans="13:36">
      <c r="M2470" s="811" t="str">
        <f t="shared" si="182"/>
        <v/>
      </c>
      <c r="X2470" s="811" t="str">
        <f t="shared" si="181"/>
        <v/>
      </c>
      <c r="AG2470" s="807" t="str">
        <f t="shared" si="183"/>
        <v/>
      </c>
      <c r="AJ2470" s="865"/>
    </row>
    <row r="2471" spans="13:36">
      <c r="M2471" s="811" t="str">
        <f t="shared" si="182"/>
        <v/>
      </c>
      <c r="X2471" s="811" t="str">
        <f t="shared" si="181"/>
        <v/>
      </c>
      <c r="AG2471" s="807" t="str">
        <f t="shared" si="183"/>
        <v/>
      </c>
      <c r="AJ2471" s="865"/>
    </row>
    <row r="2472" spans="13:36">
      <c r="M2472" s="811" t="str">
        <f t="shared" si="182"/>
        <v/>
      </c>
      <c r="X2472" s="811" t="str">
        <f t="shared" si="181"/>
        <v/>
      </c>
      <c r="AG2472" s="807" t="str">
        <f t="shared" si="183"/>
        <v/>
      </c>
      <c r="AJ2472" s="865"/>
    </row>
    <row r="2473" spans="13:36">
      <c r="M2473" s="811" t="str">
        <f t="shared" si="182"/>
        <v/>
      </c>
      <c r="X2473" s="811" t="str">
        <f t="shared" si="181"/>
        <v/>
      </c>
      <c r="AG2473" s="807" t="str">
        <f t="shared" si="183"/>
        <v/>
      </c>
      <c r="AJ2473" s="865"/>
    </row>
    <row r="2474" spans="13:36">
      <c r="M2474" s="811" t="str">
        <f t="shared" si="182"/>
        <v/>
      </c>
      <c r="X2474" s="811" t="str">
        <f t="shared" si="181"/>
        <v/>
      </c>
      <c r="AG2474" s="807" t="str">
        <f t="shared" si="183"/>
        <v/>
      </c>
      <c r="AJ2474" s="865"/>
    </row>
    <row r="2475" spans="13:36">
      <c r="M2475" s="811" t="str">
        <f t="shared" si="182"/>
        <v/>
      </c>
      <c r="X2475" s="811" t="str">
        <f t="shared" si="181"/>
        <v/>
      </c>
      <c r="AG2475" s="807" t="str">
        <f t="shared" si="183"/>
        <v/>
      </c>
      <c r="AJ2475" s="865"/>
    </row>
    <row r="2476" spans="13:36">
      <c r="M2476" s="811" t="str">
        <f t="shared" si="182"/>
        <v/>
      </c>
      <c r="X2476" s="811" t="str">
        <f t="shared" si="181"/>
        <v/>
      </c>
      <c r="AG2476" s="807" t="str">
        <f t="shared" si="183"/>
        <v/>
      </c>
      <c r="AJ2476" s="865"/>
    </row>
    <row r="2477" spans="13:36">
      <c r="M2477" s="811" t="str">
        <f t="shared" si="182"/>
        <v/>
      </c>
      <c r="X2477" s="811" t="str">
        <f t="shared" si="181"/>
        <v/>
      </c>
      <c r="AG2477" s="807" t="str">
        <f t="shared" si="183"/>
        <v/>
      </c>
      <c r="AJ2477" s="865"/>
    </row>
    <row r="2478" spans="13:36">
      <c r="M2478" s="811" t="str">
        <f t="shared" si="182"/>
        <v/>
      </c>
      <c r="X2478" s="811" t="str">
        <f t="shared" si="181"/>
        <v/>
      </c>
      <c r="AG2478" s="807" t="str">
        <f t="shared" si="183"/>
        <v/>
      </c>
      <c r="AJ2478" s="865"/>
    </row>
    <row r="2479" spans="13:36">
      <c r="M2479" s="811" t="str">
        <f t="shared" si="182"/>
        <v/>
      </c>
      <c r="X2479" s="811" t="str">
        <f t="shared" si="181"/>
        <v/>
      </c>
      <c r="AG2479" s="807" t="str">
        <f t="shared" si="183"/>
        <v/>
      </c>
      <c r="AJ2479" s="865"/>
    </row>
    <row r="2480" spans="13:36">
      <c r="M2480" s="811" t="str">
        <f t="shared" si="182"/>
        <v/>
      </c>
      <c r="X2480" s="811" t="str">
        <f t="shared" si="181"/>
        <v/>
      </c>
      <c r="AG2480" s="807" t="str">
        <f t="shared" si="183"/>
        <v/>
      </c>
      <c r="AJ2480" s="865"/>
    </row>
    <row r="2481" spans="13:36">
      <c r="M2481" s="811" t="str">
        <f t="shared" si="182"/>
        <v/>
      </c>
      <c r="X2481" s="811" t="str">
        <f t="shared" si="181"/>
        <v/>
      </c>
      <c r="AG2481" s="807" t="str">
        <f t="shared" si="183"/>
        <v/>
      </c>
      <c r="AJ2481" s="865"/>
    </row>
    <row r="2482" spans="13:36">
      <c r="M2482" s="811" t="str">
        <f t="shared" si="182"/>
        <v/>
      </c>
      <c r="X2482" s="811" t="str">
        <f t="shared" si="181"/>
        <v/>
      </c>
      <c r="AG2482" s="807" t="str">
        <f t="shared" si="183"/>
        <v/>
      </c>
      <c r="AJ2482" s="865"/>
    </row>
    <row r="2483" spans="13:36">
      <c r="M2483" s="811" t="str">
        <f t="shared" si="182"/>
        <v/>
      </c>
      <c r="X2483" s="811" t="str">
        <f t="shared" ref="X2483:X2546" si="184">IF(ISBLANK(W2483)=TRUE,"",LOOKUP(W2483,GO:GP))</f>
        <v/>
      </c>
      <c r="AG2483" s="807" t="str">
        <f t="shared" si="183"/>
        <v/>
      </c>
      <c r="AJ2483" s="865"/>
    </row>
    <row r="2484" spans="13:36">
      <c r="M2484" s="811" t="str">
        <f t="shared" si="182"/>
        <v/>
      </c>
      <c r="X2484" s="811" t="str">
        <f t="shared" si="184"/>
        <v/>
      </c>
      <c r="AG2484" s="807" t="str">
        <f t="shared" si="183"/>
        <v/>
      </c>
      <c r="AJ2484" s="865"/>
    </row>
    <row r="2485" spans="13:36">
      <c r="M2485" s="811" t="str">
        <f t="shared" si="182"/>
        <v/>
      </c>
      <c r="X2485" s="811" t="str">
        <f t="shared" si="184"/>
        <v/>
      </c>
      <c r="AG2485" s="807" t="str">
        <f t="shared" si="183"/>
        <v/>
      </c>
      <c r="AJ2485" s="865"/>
    </row>
    <row r="2486" spans="13:36">
      <c r="M2486" s="811" t="str">
        <f t="shared" si="182"/>
        <v/>
      </c>
      <c r="X2486" s="811" t="str">
        <f t="shared" si="184"/>
        <v/>
      </c>
      <c r="AG2486" s="807" t="str">
        <f t="shared" si="183"/>
        <v/>
      </c>
      <c r="AJ2486" s="865"/>
    </row>
    <row r="2487" spans="13:36">
      <c r="M2487" s="811" t="str">
        <f t="shared" si="182"/>
        <v/>
      </c>
      <c r="X2487" s="811" t="str">
        <f t="shared" si="184"/>
        <v/>
      </c>
      <c r="AG2487" s="807" t="str">
        <f t="shared" si="183"/>
        <v/>
      </c>
      <c r="AJ2487" s="865"/>
    </row>
    <row r="2488" spans="13:36">
      <c r="M2488" s="811" t="str">
        <f t="shared" si="182"/>
        <v/>
      </c>
      <c r="X2488" s="811" t="str">
        <f t="shared" si="184"/>
        <v/>
      </c>
      <c r="AG2488" s="807" t="str">
        <f t="shared" si="183"/>
        <v/>
      </c>
      <c r="AJ2488" s="865"/>
    </row>
    <row r="2489" spans="13:36">
      <c r="M2489" s="811" t="str">
        <f t="shared" si="182"/>
        <v/>
      </c>
      <c r="X2489" s="811" t="str">
        <f t="shared" si="184"/>
        <v/>
      </c>
      <c r="AG2489" s="807" t="str">
        <f t="shared" si="183"/>
        <v/>
      </c>
      <c r="AJ2489" s="865"/>
    </row>
    <row r="2490" spans="13:36">
      <c r="M2490" s="811" t="str">
        <f t="shared" si="182"/>
        <v/>
      </c>
      <c r="X2490" s="811" t="str">
        <f t="shared" si="184"/>
        <v/>
      </c>
      <c r="AG2490" s="807" t="str">
        <f t="shared" si="183"/>
        <v/>
      </c>
      <c r="AJ2490" s="865"/>
    </row>
    <row r="2491" spans="13:36">
      <c r="M2491" s="811" t="str">
        <f t="shared" si="182"/>
        <v/>
      </c>
      <c r="X2491" s="811" t="str">
        <f t="shared" si="184"/>
        <v/>
      </c>
      <c r="AG2491" s="807" t="str">
        <f t="shared" si="183"/>
        <v/>
      </c>
      <c r="AJ2491" s="865"/>
    </row>
    <row r="2492" spans="13:36">
      <c r="M2492" s="811" t="str">
        <f t="shared" si="182"/>
        <v/>
      </c>
      <c r="X2492" s="811" t="str">
        <f t="shared" si="184"/>
        <v/>
      </c>
      <c r="AG2492" s="807" t="str">
        <f t="shared" si="183"/>
        <v/>
      </c>
      <c r="AJ2492" s="865"/>
    </row>
    <row r="2493" spans="13:36">
      <c r="M2493" s="811" t="str">
        <f t="shared" si="182"/>
        <v/>
      </c>
      <c r="X2493" s="811" t="str">
        <f t="shared" si="184"/>
        <v/>
      </c>
      <c r="AG2493" s="807" t="str">
        <f t="shared" si="183"/>
        <v/>
      </c>
      <c r="AJ2493" s="865"/>
    </row>
    <row r="2494" spans="13:36">
      <c r="M2494" s="811" t="str">
        <f t="shared" si="182"/>
        <v/>
      </c>
      <c r="X2494" s="811" t="str">
        <f t="shared" si="184"/>
        <v/>
      </c>
      <c r="AG2494" s="807" t="str">
        <f t="shared" si="183"/>
        <v/>
      </c>
      <c r="AJ2494" s="865"/>
    </row>
    <row r="2495" spans="13:36">
      <c r="M2495" s="811" t="str">
        <f t="shared" si="182"/>
        <v/>
      </c>
      <c r="X2495" s="811" t="str">
        <f t="shared" si="184"/>
        <v/>
      </c>
      <c r="AG2495" s="807" t="str">
        <f t="shared" si="183"/>
        <v/>
      </c>
      <c r="AJ2495" s="865"/>
    </row>
    <row r="2496" spans="13:36">
      <c r="M2496" s="811" t="str">
        <f t="shared" si="182"/>
        <v/>
      </c>
      <c r="X2496" s="811" t="str">
        <f t="shared" si="184"/>
        <v/>
      </c>
      <c r="AG2496" s="807" t="str">
        <f t="shared" si="183"/>
        <v/>
      </c>
      <c r="AJ2496" s="865"/>
    </row>
    <row r="2497" spans="13:36">
      <c r="M2497" s="811" t="str">
        <f t="shared" si="182"/>
        <v/>
      </c>
      <c r="X2497" s="811" t="str">
        <f t="shared" si="184"/>
        <v/>
      </c>
      <c r="AG2497" s="807" t="str">
        <f t="shared" si="183"/>
        <v/>
      </c>
      <c r="AJ2497" s="865"/>
    </row>
    <row r="2498" spans="13:36">
      <c r="M2498" s="811" t="str">
        <f t="shared" si="182"/>
        <v/>
      </c>
      <c r="X2498" s="811" t="str">
        <f t="shared" si="184"/>
        <v/>
      </c>
      <c r="AG2498" s="807" t="str">
        <f t="shared" si="183"/>
        <v/>
      </c>
      <c r="AJ2498" s="865"/>
    </row>
    <row r="2499" spans="13:36">
      <c r="M2499" s="811" t="str">
        <f t="shared" si="182"/>
        <v/>
      </c>
      <c r="X2499" s="811" t="str">
        <f t="shared" si="184"/>
        <v/>
      </c>
      <c r="AG2499" s="807" t="str">
        <f t="shared" si="183"/>
        <v/>
      </c>
      <c r="AJ2499" s="865"/>
    </row>
    <row r="2500" spans="13:36">
      <c r="M2500" s="811" t="str">
        <f t="shared" si="182"/>
        <v/>
      </c>
      <c r="X2500" s="811" t="str">
        <f t="shared" si="184"/>
        <v/>
      </c>
      <c r="AG2500" s="807" t="str">
        <f t="shared" si="183"/>
        <v/>
      </c>
      <c r="AJ2500" s="865"/>
    </row>
    <row r="2501" spans="13:36">
      <c r="M2501" s="811" t="str">
        <f t="shared" si="182"/>
        <v/>
      </c>
      <c r="X2501" s="811" t="str">
        <f t="shared" si="184"/>
        <v/>
      </c>
      <c r="AG2501" s="807" t="str">
        <f t="shared" si="183"/>
        <v/>
      </c>
      <c r="AJ2501" s="865"/>
    </row>
    <row r="2502" spans="13:36">
      <c r="M2502" s="811" t="str">
        <f t="shared" si="182"/>
        <v/>
      </c>
      <c r="X2502" s="811" t="str">
        <f t="shared" si="184"/>
        <v/>
      </c>
      <c r="AG2502" s="807" t="str">
        <f t="shared" si="183"/>
        <v/>
      </c>
      <c r="AJ2502" s="865"/>
    </row>
    <row r="2503" spans="13:36">
      <c r="M2503" s="811" t="str">
        <f t="shared" si="182"/>
        <v/>
      </c>
      <c r="X2503" s="811" t="str">
        <f t="shared" si="184"/>
        <v/>
      </c>
      <c r="AG2503" s="807" t="str">
        <f t="shared" si="183"/>
        <v/>
      </c>
      <c r="AJ2503" s="865"/>
    </row>
    <row r="2504" spans="13:36">
      <c r="M2504" s="811" t="str">
        <f t="shared" si="182"/>
        <v/>
      </c>
      <c r="X2504" s="811" t="str">
        <f t="shared" si="184"/>
        <v/>
      </c>
      <c r="AG2504" s="807" t="str">
        <f t="shared" si="183"/>
        <v/>
      </c>
      <c r="AJ2504" s="865"/>
    </row>
    <row r="2505" spans="13:36">
      <c r="M2505" s="811" t="str">
        <f t="shared" si="182"/>
        <v/>
      </c>
      <c r="X2505" s="811" t="str">
        <f t="shared" si="184"/>
        <v/>
      </c>
      <c r="AG2505" s="807" t="str">
        <f t="shared" si="183"/>
        <v/>
      </c>
      <c r="AJ2505" s="865"/>
    </row>
    <row r="2506" spans="13:36">
      <c r="M2506" s="811" t="str">
        <f t="shared" si="182"/>
        <v/>
      </c>
      <c r="X2506" s="811" t="str">
        <f t="shared" si="184"/>
        <v/>
      </c>
      <c r="AG2506" s="807" t="str">
        <f t="shared" si="183"/>
        <v/>
      </c>
      <c r="AJ2506" s="865"/>
    </row>
    <row r="2507" spans="13:36">
      <c r="M2507" s="811" t="str">
        <f t="shared" si="182"/>
        <v/>
      </c>
      <c r="X2507" s="811" t="str">
        <f t="shared" si="184"/>
        <v/>
      </c>
      <c r="AG2507" s="807" t="str">
        <f t="shared" si="183"/>
        <v/>
      </c>
      <c r="AJ2507" s="865"/>
    </row>
    <row r="2508" spans="13:36">
      <c r="M2508" s="811" t="str">
        <f t="shared" ref="M2508:M2571" si="185">IF(ISBLANK(L2508)=TRUE,"",LOOKUP(L2508,GQ:GR))</f>
        <v/>
      </c>
      <c r="X2508" s="811" t="str">
        <f t="shared" si="184"/>
        <v/>
      </c>
      <c r="AG2508" s="807" t="str">
        <f t="shared" si="183"/>
        <v/>
      </c>
      <c r="AJ2508" s="865"/>
    </row>
    <row r="2509" spans="13:36">
      <c r="M2509" s="811" t="str">
        <f t="shared" si="185"/>
        <v/>
      </c>
      <c r="X2509" s="811" t="str">
        <f t="shared" si="184"/>
        <v/>
      </c>
      <c r="AG2509" s="807" t="str">
        <f t="shared" si="183"/>
        <v/>
      </c>
      <c r="AJ2509" s="865"/>
    </row>
    <row r="2510" spans="13:36">
      <c r="M2510" s="811" t="str">
        <f t="shared" si="185"/>
        <v/>
      </c>
      <c r="X2510" s="811" t="str">
        <f t="shared" si="184"/>
        <v/>
      </c>
      <c r="AG2510" s="807" t="str">
        <f t="shared" si="183"/>
        <v/>
      </c>
      <c r="AJ2510" s="865"/>
    </row>
    <row r="2511" spans="13:36">
      <c r="M2511" s="811" t="str">
        <f t="shared" si="185"/>
        <v/>
      </c>
      <c r="X2511" s="811" t="str">
        <f t="shared" si="184"/>
        <v/>
      </c>
      <c r="AG2511" s="807" t="str">
        <f t="shared" si="183"/>
        <v/>
      </c>
      <c r="AJ2511" s="865"/>
    </row>
    <row r="2512" spans="13:36">
      <c r="M2512" s="811" t="str">
        <f t="shared" si="185"/>
        <v/>
      </c>
      <c r="X2512" s="811" t="str">
        <f t="shared" si="184"/>
        <v/>
      </c>
      <c r="AG2512" s="807" t="str">
        <f t="shared" si="183"/>
        <v/>
      </c>
      <c r="AJ2512" s="865"/>
    </row>
    <row r="2513" spans="13:36">
      <c r="M2513" s="811" t="str">
        <f t="shared" si="185"/>
        <v/>
      </c>
      <c r="X2513" s="811" t="str">
        <f t="shared" si="184"/>
        <v/>
      </c>
      <c r="AG2513" s="807" t="str">
        <f t="shared" si="183"/>
        <v/>
      </c>
      <c r="AJ2513" s="865"/>
    </row>
    <row r="2514" spans="13:36">
      <c r="M2514" s="811" t="str">
        <f t="shared" si="185"/>
        <v/>
      </c>
      <c r="X2514" s="811" t="str">
        <f t="shared" si="184"/>
        <v/>
      </c>
      <c r="AG2514" s="807" t="str">
        <f t="shared" si="183"/>
        <v/>
      </c>
      <c r="AJ2514" s="865"/>
    </row>
    <row r="2515" spans="13:36">
      <c r="M2515" s="811" t="str">
        <f t="shared" si="185"/>
        <v/>
      </c>
      <c r="X2515" s="811" t="str">
        <f t="shared" si="184"/>
        <v/>
      </c>
      <c r="AG2515" s="807" t="str">
        <f t="shared" si="183"/>
        <v/>
      </c>
      <c r="AJ2515" s="865"/>
    </row>
    <row r="2516" spans="13:36">
      <c r="M2516" s="811" t="str">
        <f t="shared" si="185"/>
        <v/>
      </c>
      <c r="X2516" s="811" t="str">
        <f t="shared" si="184"/>
        <v/>
      </c>
      <c r="AG2516" s="807" t="str">
        <f t="shared" si="183"/>
        <v/>
      </c>
      <c r="AJ2516" s="865"/>
    </row>
    <row r="2517" spans="13:36">
      <c r="M2517" s="811" t="str">
        <f t="shared" si="185"/>
        <v/>
      </c>
      <c r="X2517" s="811" t="str">
        <f t="shared" si="184"/>
        <v/>
      </c>
      <c r="AG2517" s="807" t="str">
        <f t="shared" si="183"/>
        <v/>
      </c>
      <c r="AJ2517" s="865"/>
    </row>
    <row r="2518" spans="13:36">
      <c r="M2518" s="811" t="str">
        <f t="shared" si="185"/>
        <v/>
      </c>
      <c r="X2518" s="811" t="str">
        <f t="shared" si="184"/>
        <v/>
      </c>
      <c r="AG2518" s="807" t="str">
        <f t="shared" si="183"/>
        <v/>
      </c>
      <c r="AJ2518" s="865"/>
    </row>
    <row r="2519" spans="13:36">
      <c r="M2519" s="811" t="str">
        <f t="shared" si="185"/>
        <v/>
      </c>
      <c r="X2519" s="811" t="str">
        <f t="shared" si="184"/>
        <v/>
      </c>
      <c r="AG2519" s="807" t="str">
        <f t="shared" ref="AG2519:AG2582" si="186">IF(ISBLANK(AF2519)=TRUE,"",LOOKUP(AF2519,GS:GT))</f>
        <v/>
      </c>
      <c r="AJ2519" s="865"/>
    </row>
    <row r="2520" spans="13:36">
      <c r="M2520" s="811" t="str">
        <f t="shared" si="185"/>
        <v/>
      </c>
      <c r="X2520" s="811" t="str">
        <f t="shared" si="184"/>
        <v/>
      </c>
      <c r="AG2520" s="807" t="str">
        <f t="shared" si="186"/>
        <v/>
      </c>
      <c r="AJ2520" s="865"/>
    </row>
    <row r="2521" spans="13:36">
      <c r="M2521" s="811" t="str">
        <f t="shared" si="185"/>
        <v/>
      </c>
      <c r="X2521" s="811" t="str">
        <f t="shared" si="184"/>
        <v/>
      </c>
      <c r="AG2521" s="807" t="str">
        <f t="shared" si="186"/>
        <v/>
      </c>
      <c r="AJ2521" s="865"/>
    </row>
    <row r="2522" spans="13:36">
      <c r="M2522" s="811" t="str">
        <f t="shared" si="185"/>
        <v/>
      </c>
      <c r="X2522" s="811" t="str">
        <f t="shared" si="184"/>
        <v/>
      </c>
      <c r="AG2522" s="807" t="str">
        <f t="shared" si="186"/>
        <v/>
      </c>
      <c r="AJ2522" s="865"/>
    </row>
    <row r="2523" spans="13:36">
      <c r="M2523" s="811" t="str">
        <f t="shared" si="185"/>
        <v/>
      </c>
      <c r="X2523" s="811" t="str">
        <f t="shared" si="184"/>
        <v/>
      </c>
      <c r="AG2523" s="807" t="str">
        <f t="shared" si="186"/>
        <v/>
      </c>
      <c r="AJ2523" s="865"/>
    </row>
    <row r="2524" spans="13:36">
      <c r="M2524" s="811" t="str">
        <f t="shared" si="185"/>
        <v/>
      </c>
      <c r="X2524" s="811" t="str">
        <f t="shared" si="184"/>
        <v/>
      </c>
      <c r="AG2524" s="807" t="str">
        <f t="shared" si="186"/>
        <v/>
      </c>
      <c r="AJ2524" s="865"/>
    </row>
    <row r="2525" spans="13:36">
      <c r="M2525" s="811" t="str">
        <f t="shared" si="185"/>
        <v/>
      </c>
      <c r="X2525" s="811" t="str">
        <f t="shared" si="184"/>
        <v/>
      </c>
      <c r="AG2525" s="807" t="str">
        <f t="shared" si="186"/>
        <v/>
      </c>
      <c r="AJ2525" s="865"/>
    </row>
    <row r="2526" spans="13:36">
      <c r="M2526" s="811" t="str">
        <f t="shared" si="185"/>
        <v/>
      </c>
      <c r="X2526" s="811" t="str">
        <f t="shared" si="184"/>
        <v/>
      </c>
      <c r="AG2526" s="807" t="str">
        <f t="shared" si="186"/>
        <v/>
      </c>
      <c r="AJ2526" s="865"/>
    </row>
    <row r="2527" spans="13:36">
      <c r="M2527" s="811" t="str">
        <f t="shared" si="185"/>
        <v/>
      </c>
      <c r="X2527" s="811" t="str">
        <f t="shared" si="184"/>
        <v/>
      </c>
      <c r="AG2527" s="807" t="str">
        <f t="shared" si="186"/>
        <v/>
      </c>
      <c r="AJ2527" s="865"/>
    </row>
    <row r="2528" spans="13:36">
      <c r="M2528" s="811" t="str">
        <f t="shared" si="185"/>
        <v/>
      </c>
      <c r="X2528" s="811" t="str">
        <f t="shared" si="184"/>
        <v/>
      </c>
      <c r="AG2528" s="807" t="str">
        <f t="shared" si="186"/>
        <v/>
      </c>
      <c r="AJ2528" s="865"/>
    </row>
    <row r="2529" spans="13:36">
      <c r="M2529" s="811" t="str">
        <f t="shared" si="185"/>
        <v/>
      </c>
      <c r="X2529" s="811" t="str">
        <f t="shared" si="184"/>
        <v/>
      </c>
      <c r="AG2529" s="807" t="str">
        <f t="shared" si="186"/>
        <v/>
      </c>
      <c r="AJ2529" s="865"/>
    </row>
    <row r="2530" spans="13:36">
      <c r="M2530" s="811" t="str">
        <f t="shared" si="185"/>
        <v/>
      </c>
      <c r="X2530" s="811" t="str">
        <f t="shared" si="184"/>
        <v/>
      </c>
      <c r="AG2530" s="807" t="str">
        <f t="shared" si="186"/>
        <v/>
      </c>
      <c r="AJ2530" s="865"/>
    </row>
    <row r="2531" spans="13:36">
      <c r="M2531" s="811" t="str">
        <f t="shared" si="185"/>
        <v/>
      </c>
      <c r="X2531" s="811" t="str">
        <f t="shared" si="184"/>
        <v/>
      </c>
      <c r="AG2531" s="807" t="str">
        <f t="shared" si="186"/>
        <v/>
      </c>
      <c r="AJ2531" s="865"/>
    </row>
    <row r="2532" spans="13:36">
      <c r="M2532" s="811" t="str">
        <f t="shared" si="185"/>
        <v/>
      </c>
      <c r="X2532" s="811" t="str">
        <f t="shared" si="184"/>
        <v/>
      </c>
      <c r="AG2532" s="807" t="str">
        <f t="shared" si="186"/>
        <v/>
      </c>
      <c r="AJ2532" s="865"/>
    </row>
    <row r="2533" spans="13:36">
      <c r="M2533" s="811" t="str">
        <f t="shared" si="185"/>
        <v/>
      </c>
      <c r="X2533" s="811" t="str">
        <f t="shared" si="184"/>
        <v/>
      </c>
      <c r="AG2533" s="807" t="str">
        <f t="shared" si="186"/>
        <v/>
      </c>
      <c r="AJ2533" s="865"/>
    </row>
    <row r="2534" spans="13:36">
      <c r="M2534" s="811" t="str">
        <f t="shared" si="185"/>
        <v/>
      </c>
      <c r="X2534" s="811" t="str">
        <f t="shared" si="184"/>
        <v/>
      </c>
      <c r="AG2534" s="807" t="str">
        <f t="shared" si="186"/>
        <v/>
      </c>
      <c r="AJ2534" s="865"/>
    </row>
    <row r="2535" spans="13:36">
      <c r="M2535" s="811" t="str">
        <f t="shared" si="185"/>
        <v/>
      </c>
      <c r="X2535" s="811" t="str">
        <f t="shared" si="184"/>
        <v/>
      </c>
      <c r="AG2535" s="807" t="str">
        <f t="shared" si="186"/>
        <v/>
      </c>
      <c r="AJ2535" s="865"/>
    </row>
    <row r="2536" spans="13:36">
      <c r="M2536" s="811" t="str">
        <f t="shared" si="185"/>
        <v/>
      </c>
      <c r="X2536" s="811" t="str">
        <f t="shared" si="184"/>
        <v/>
      </c>
      <c r="AG2536" s="807" t="str">
        <f t="shared" si="186"/>
        <v/>
      </c>
      <c r="AJ2536" s="865"/>
    </row>
    <row r="2537" spans="13:36">
      <c r="M2537" s="811" t="str">
        <f t="shared" si="185"/>
        <v/>
      </c>
      <c r="X2537" s="811" t="str">
        <f t="shared" si="184"/>
        <v/>
      </c>
      <c r="AG2537" s="807" t="str">
        <f t="shared" si="186"/>
        <v/>
      </c>
      <c r="AJ2537" s="865"/>
    </row>
    <row r="2538" spans="13:36">
      <c r="M2538" s="811" t="str">
        <f t="shared" si="185"/>
        <v/>
      </c>
      <c r="X2538" s="811" t="str">
        <f t="shared" si="184"/>
        <v/>
      </c>
      <c r="AG2538" s="807" t="str">
        <f t="shared" si="186"/>
        <v/>
      </c>
      <c r="AJ2538" s="865"/>
    </row>
    <row r="2539" spans="13:36">
      <c r="M2539" s="811" t="str">
        <f t="shared" si="185"/>
        <v/>
      </c>
      <c r="X2539" s="811" t="str">
        <f t="shared" si="184"/>
        <v/>
      </c>
      <c r="AG2539" s="807" t="str">
        <f t="shared" si="186"/>
        <v/>
      </c>
      <c r="AJ2539" s="865"/>
    </row>
    <row r="2540" spans="13:36">
      <c r="M2540" s="811" t="str">
        <f t="shared" si="185"/>
        <v/>
      </c>
      <c r="X2540" s="811" t="str">
        <f t="shared" si="184"/>
        <v/>
      </c>
      <c r="AG2540" s="807" t="str">
        <f t="shared" si="186"/>
        <v/>
      </c>
      <c r="AJ2540" s="865"/>
    </row>
    <row r="2541" spans="13:36">
      <c r="M2541" s="811" t="str">
        <f t="shared" si="185"/>
        <v/>
      </c>
      <c r="X2541" s="811" t="str">
        <f t="shared" si="184"/>
        <v/>
      </c>
      <c r="AG2541" s="807" t="str">
        <f t="shared" si="186"/>
        <v/>
      </c>
      <c r="AJ2541" s="865"/>
    </row>
    <row r="2542" spans="13:36">
      <c r="M2542" s="811" t="str">
        <f t="shared" si="185"/>
        <v/>
      </c>
      <c r="X2542" s="811" t="str">
        <f t="shared" si="184"/>
        <v/>
      </c>
      <c r="AG2542" s="807" t="str">
        <f t="shared" si="186"/>
        <v/>
      </c>
      <c r="AJ2542" s="865"/>
    </row>
    <row r="2543" spans="13:36">
      <c r="M2543" s="811" t="str">
        <f t="shared" si="185"/>
        <v/>
      </c>
      <c r="X2543" s="811" t="str">
        <f t="shared" si="184"/>
        <v/>
      </c>
      <c r="AG2543" s="807" t="str">
        <f t="shared" si="186"/>
        <v/>
      </c>
      <c r="AJ2543" s="865"/>
    </row>
    <row r="2544" spans="13:36">
      <c r="M2544" s="811" t="str">
        <f t="shared" si="185"/>
        <v/>
      </c>
      <c r="X2544" s="811" t="str">
        <f t="shared" si="184"/>
        <v/>
      </c>
      <c r="AG2544" s="807" t="str">
        <f t="shared" si="186"/>
        <v/>
      </c>
      <c r="AJ2544" s="865"/>
    </row>
    <row r="2545" spans="13:36">
      <c r="M2545" s="811" t="str">
        <f t="shared" si="185"/>
        <v/>
      </c>
      <c r="X2545" s="811" t="str">
        <f t="shared" si="184"/>
        <v/>
      </c>
      <c r="AG2545" s="807" t="str">
        <f t="shared" si="186"/>
        <v/>
      </c>
      <c r="AJ2545" s="865"/>
    </row>
    <row r="2546" spans="13:36">
      <c r="M2546" s="811" t="str">
        <f t="shared" si="185"/>
        <v/>
      </c>
      <c r="X2546" s="811" t="str">
        <f t="shared" si="184"/>
        <v/>
      </c>
      <c r="AG2546" s="807" t="str">
        <f t="shared" si="186"/>
        <v/>
      </c>
      <c r="AJ2546" s="865"/>
    </row>
    <row r="2547" spans="13:36">
      <c r="M2547" s="811" t="str">
        <f t="shared" si="185"/>
        <v/>
      </c>
      <c r="X2547" s="811" t="str">
        <f t="shared" ref="X2547:X2610" si="187">IF(ISBLANK(W2547)=TRUE,"",LOOKUP(W2547,GO:GP))</f>
        <v/>
      </c>
      <c r="AG2547" s="807" t="str">
        <f t="shared" si="186"/>
        <v/>
      </c>
      <c r="AJ2547" s="865"/>
    </row>
    <row r="2548" spans="13:36">
      <c r="M2548" s="811" t="str">
        <f t="shared" si="185"/>
        <v/>
      </c>
      <c r="X2548" s="811" t="str">
        <f t="shared" si="187"/>
        <v/>
      </c>
      <c r="AG2548" s="807" t="str">
        <f t="shared" si="186"/>
        <v/>
      </c>
      <c r="AJ2548" s="865"/>
    </row>
    <row r="2549" spans="13:36">
      <c r="M2549" s="811" t="str">
        <f t="shared" si="185"/>
        <v/>
      </c>
      <c r="X2549" s="811" t="str">
        <f t="shared" si="187"/>
        <v/>
      </c>
      <c r="AG2549" s="807" t="str">
        <f t="shared" si="186"/>
        <v/>
      </c>
      <c r="AJ2549" s="865"/>
    </row>
    <row r="2550" spans="13:36">
      <c r="M2550" s="811" t="str">
        <f t="shared" si="185"/>
        <v/>
      </c>
      <c r="X2550" s="811" t="str">
        <f t="shared" si="187"/>
        <v/>
      </c>
      <c r="AG2550" s="807" t="str">
        <f t="shared" si="186"/>
        <v/>
      </c>
      <c r="AJ2550" s="865"/>
    </row>
    <row r="2551" spans="13:36">
      <c r="M2551" s="811" t="str">
        <f t="shared" si="185"/>
        <v/>
      </c>
      <c r="X2551" s="811" t="str">
        <f t="shared" si="187"/>
        <v/>
      </c>
      <c r="AG2551" s="807" t="str">
        <f t="shared" si="186"/>
        <v/>
      </c>
      <c r="AJ2551" s="865"/>
    </row>
    <row r="2552" spans="13:36">
      <c r="M2552" s="811" t="str">
        <f t="shared" si="185"/>
        <v/>
      </c>
      <c r="X2552" s="811" t="str">
        <f t="shared" si="187"/>
        <v/>
      </c>
      <c r="AG2552" s="807" t="str">
        <f t="shared" si="186"/>
        <v/>
      </c>
      <c r="AJ2552" s="865"/>
    </row>
    <row r="2553" spans="13:36">
      <c r="M2553" s="811" t="str">
        <f t="shared" si="185"/>
        <v/>
      </c>
      <c r="X2553" s="811" t="str">
        <f t="shared" si="187"/>
        <v/>
      </c>
      <c r="AG2553" s="807" t="str">
        <f t="shared" si="186"/>
        <v/>
      </c>
      <c r="AJ2553" s="865"/>
    </row>
    <row r="2554" spans="13:36">
      <c r="M2554" s="811" t="str">
        <f t="shared" si="185"/>
        <v/>
      </c>
      <c r="X2554" s="811" t="str">
        <f t="shared" si="187"/>
        <v/>
      </c>
      <c r="AG2554" s="807" t="str">
        <f t="shared" si="186"/>
        <v/>
      </c>
      <c r="AJ2554" s="865"/>
    </row>
    <row r="2555" spans="13:36">
      <c r="M2555" s="811" t="str">
        <f t="shared" si="185"/>
        <v/>
      </c>
      <c r="X2555" s="811" t="str">
        <f t="shared" si="187"/>
        <v/>
      </c>
      <c r="AG2555" s="807" t="str">
        <f t="shared" si="186"/>
        <v/>
      </c>
      <c r="AJ2555" s="865"/>
    </row>
    <row r="2556" spans="13:36">
      <c r="M2556" s="811" t="str">
        <f t="shared" si="185"/>
        <v/>
      </c>
      <c r="X2556" s="811" t="str">
        <f t="shared" si="187"/>
        <v/>
      </c>
      <c r="AG2556" s="807" t="str">
        <f t="shared" si="186"/>
        <v/>
      </c>
      <c r="AJ2556" s="865"/>
    </row>
    <row r="2557" spans="13:36">
      <c r="M2557" s="811" t="str">
        <f t="shared" si="185"/>
        <v/>
      </c>
      <c r="X2557" s="811" t="str">
        <f t="shared" si="187"/>
        <v/>
      </c>
      <c r="AG2557" s="807" t="str">
        <f t="shared" si="186"/>
        <v/>
      </c>
      <c r="AJ2557" s="865"/>
    </row>
    <row r="2558" spans="13:36">
      <c r="M2558" s="811" t="str">
        <f t="shared" si="185"/>
        <v/>
      </c>
      <c r="X2558" s="811" t="str">
        <f t="shared" si="187"/>
        <v/>
      </c>
      <c r="AG2558" s="807" t="str">
        <f t="shared" si="186"/>
        <v/>
      </c>
      <c r="AJ2558" s="865"/>
    </row>
    <row r="2559" spans="13:36">
      <c r="M2559" s="811" t="str">
        <f t="shared" si="185"/>
        <v/>
      </c>
      <c r="X2559" s="811" t="str">
        <f t="shared" si="187"/>
        <v/>
      </c>
      <c r="AG2559" s="807" t="str">
        <f t="shared" si="186"/>
        <v/>
      </c>
      <c r="AJ2559" s="865"/>
    </row>
    <row r="2560" spans="13:36">
      <c r="M2560" s="811" t="str">
        <f t="shared" si="185"/>
        <v/>
      </c>
      <c r="X2560" s="811" t="str">
        <f t="shared" si="187"/>
        <v/>
      </c>
      <c r="AG2560" s="807" t="str">
        <f t="shared" si="186"/>
        <v/>
      </c>
      <c r="AJ2560" s="865"/>
    </row>
    <row r="2561" spans="13:36">
      <c r="M2561" s="811" t="str">
        <f t="shared" si="185"/>
        <v/>
      </c>
      <c r="X2561" s="811" t="str">
        <f t="shared" si="187"/>
        <v/>
      </c>
      <c r="AG2561" s="807" t="str">
        <f t="shared" si="186"/>
        <v/>
      </c>
      <c r="AJ2561" s="865"/>
    </row>
    <row r="2562" spans="13:36">
      <c r="M2562" s="811" t="str">
        <f t="shared" si="185"/>
        <v/>
      </c>
      <c r="X2562" s="811" t="str">
        <f t="shared" si="187"/>
        <v/>
      </c>
      <c r="AG2562" s="807" t="str">
        <f t="shared" si="186"/>
        <v/>
      </c>
      <c r="AJ2562" s="865"/>
    </row>
    <row r="2563" spans="13:36">
      <c r="M2563" s="811" t="str">
        <f t="shared" si="185"/>
        <v/>
      </c>
      <c r="X2563" s="811" t="str">
        <f t="shared" si="187"/>
        <v/>
      </c>
      <c r="AG2563" s="807" t="str">
        <f t="shared" si="186"/>
        <v/>
      </c>
      <c r="AJ2563" s="865"/>
    </row>
    <row r="2564" spans="13:36">
      <c r="M2564" s="811" t="str">
        <f t="shared" si="185"/>
        <v/>
      </c>
      <c r="X2564" s="811" t="str">
        <f t="shared" si="187"/>
        <v/>
      </c>
      <c r="AG2564" s="807" t="str">
        <f t="shared" si="186"/>
        <v/>
      </c>
      <c r="AJ2564" s="865"/>
    </row>
    <row r="2565" spans="13:36">
      <c r="M2565" s="811" t="str">
        <f t="shared" si="185"/>
        <v/>
      </c>
      <c r="X2565" s="811" t="str">
        <f t="shared" si="187"/>
        <v/>
      </c>
      <c r="AG2565" s="807" t="str">
        <f t="shared" si="186"/>
        <v/>
      </c>
      <c r="AJ2565" s="865"/>
    </row>
    <row r="2566" spans="13:36">
      <c r="M2566" s="811" t="str">
        <f t="shared" si="185"/>
        <v/>
      </c>
      <c r="X2566" s="811" t="str">
        <f t="shared" si="187"/>
        <v/>
      </c>
      <c r="AG2566" s="807" t="str">
        <f t="shared" si="186"/>
        <v/>
      </c>
      <c r="AJ2566" s="865"/>
    </row>
    <row r="2567" spans="13:36">
      <c r="M2567" s="811" t="str">
        <f t="shared" si="185"/>
        <v/>
      </c>
      <c r="X2567" s="811" t="str">
        <f t="shared" si="187"/>
        <v/>
      </c>
      <c r="AG2567" s="807" t="str">
        <f t="shared" si="186"/>
        <v/>
      </c>
      <c r="AJ2567" s="865"/>
    </row>
    <row r="2568" spans="13:36">
      <c r="M2568" s="811" t="str">
        <f t="shared" si="185"/>
        <v/>
      </c>
      <c r="X2568" s="811" t="str">
        <f t="shared" si="187"/>
        <v/>
      </c>
      <c r="AG2568" s="807" t="str">
        <f t="shared" si="186"/>
        <v/>
      </c>
      <c r="AJ2568" s="865"/>
    </row>
    <row r="2569" spans="13:36">
      <c r="M2569" s="811" t="str">
        <f t="shared" si="185"/>
        <v/>
      </c>
      <c r="X2569" s="811" t="str">
        <f t="shared" si="187"/>
        <v/>
      </c>
      <c r="AG2569" s="807" t="str">
        <f t="shared" si="186"/>
        <v/>
      </c>
      <c r="AJ2569" s="865"/>
    </row>
    <row r="2570" spans="13:36">
      <c r="M2570" s="811" t="str">
        <f t="shared" si="185"/>
        <v/>
      </c>
      <c r="X2570" s="811" t="str">
        <f t="shared" si="187"/>
        <v/>
      </c>
      <c r="AG2570" s="807" t="str">
        <f t="shared" si="186"/>
        <v/>
      </c>
      <c r="AJ2570" s="865"/>
    </row>
    <row r="2571" spans="13:36">
      <c r="M2571" s="811" t="str">
        <f t="shared" si="185"/>
        <v/>
      </c>
      <c r="X2571" s="811" t="str">
        <f t="shared" si="187"/>
        <v/>
      </c>
      <c r="AG2571" s="807" t="str">
        <f t="shared" si="186"/>
        <v/>
      </c>
      <c r="AJ2571" s="865"/>
    </row>
    <row r="2572" spans="13:36">
      <c r="M2572" s="811" t="str">
        <f t="shared" ref="M2572:M2635" si="188">IF(ISBLANK(L2572)=TRUE,"",LOOKUP(L2572,GQ:GR))</f>
        <v/>
      </c>
      <c r="X2572" s="811" t="str">
        <f t="shared" si="187"/>
        <v/>
      </c>
      <c r="AG2572" s="807" t="str">
        <f t="shared" si="186"/>
        <v/>
      </c>
      <c r="AJ2572" s="865"/>
    </row>
    <row r="2573" spans="13:36">
      <c r="M2573" s="811" t="str">
        <f t="shared" si="188"/>
        <v/>
      </c>
      <c r="X2573" s="811" t="str">
        <f t="shared" si="187"/>
        <v/>
      </c>
      <c r="AG2573" s="807" t="str">
        <f t="shared" si="186"/>
        <v/>
      </c>
      <c r="AJ2573" s="865"/>
    </row>
    <row r="2574" spans="13:36">
      <c r="M2574" s="811" t="str">
        <f t="shared" si="188"/>
        <v/>
      </c>
      <c r="X2574" s="811" t="str">
        <f t="shared" si="187"/>
        <v/>
      </c>
      <c r="AG2574" s="807" t="str">
        <f t="shared" si="186"/>
        <v/>
      </c>
      <c r="AJ2574" s="865"/>
    </row>
    <row r="2575" spans="13:36">
      <c r="M2575" s="811" t="str">
        <f t="shared" si="188"/>
        <v/>
      </c>
      <c r="X2575" s="811" t="str">
        <f t="shared" si="187"/>
        <v/>
      </c>
      <c r="AG2575" s="807" t="str">
        <f t="shared" si="186"/>
        <v/>
      </c>
      <c r="AJ2575" s="865"/>
    </row>
    <row r="2576" spans="13:36">
      <c r="M2576" s="811" t="str">
        <f t="shared" si="188"/>
        <v/>
      </c>
      <c r="X2576" s="811" t="str">
        <f t="shared" si="187"/>
        <v/>
      </c>
      <c r="AG2576" s="807" t="str">
        <f t="shared" si="186"/>
        <v/>
      </c>
      <c r="AJ2576" s="865"/>
    </row>
    <row r="2577" spans="13:36">
      <c r="M2577" s="811" t="str">
        <f t="shared" si="188"/>
        <v/>
      </c>
      <c r="X2577" s="811" t="str">
        <f t="shared" si="187"/>
        <v/>
      </c>
      <c r="AG2577" s="807" t="str">
        <f t="shared" si="186"/>
        <v/>
      </c>
      <c r="AJ2577" s="865"/>
    </row>
    <row r="2578" spans="13:36">
      <c r="M2578" s="811" t="str">
        <f t="shared" si="188"/>
        <v/>
      </c>
      <c r="X2578" s="811" t="str">
        <f t="shared" si="187"/>
        <v/>
      </c>
      <c r="AG2578" s="807" t="str">
        <f t="shared" si="186"/>
        <v/>
      </c>
      <c r="AJ2578" s="865"/>
    </row>
    <row r="2579" spans="13:36">
      <c r="M2579" s="811" t="str">
        <f t="shared" si="188"/>
        <v/>
      </c>
      <c r="X2579" s="811" t="str">
        <f t="shared" si="187"/>
        <v/>
      </c>
      <c r="AG2579" s="807" t="str">
        <f t="shared" si="186"/>
        <v/>
      </c>
      <c r="AJ2579" s="865"/>
    </row>
    <row r="2580" spans="13:36">
      <c r="M2580" s="811" t="str">
        <f t="shared" si="188"/>
        <v/>
      </c>
      <c r="X2580" s="811" t="str">
        <f t="shared" si="187"/>
        <v/>
      </c>
      <c r="AG2580" s="807" t="str">
        <f t="shared" si="186"/>
        <v/>
      </c>
      <c r="AJ2580" s="865"/>
    </row>
    <row r="2581" spans="13:36">
      <c r="M2581" s="811" t="str">
        <f t="shared" si="188"/>
        <v/>
      </c>
      <c r="X2581" s="811" t="str">
        <f t="shared" si="187"/>
        <v/>
      </c>
      <c r="AG2581" s="807" t="str">
        <f t="shared" si="186"/>
        <v/>
      </c>
      <c r="AJ2581" s="865"/>
    </row>
    <row r="2582" spans="13:36">
      <c r="M2582" s="811" t="str">
        <f t="shared" si="188"/>
        <v/>
      </c>
      <c r="X2582" s="811" t="str">
        <f t="shared" si="187"/>
        <v/>
      </c>
      <c r="AG2582" s="807" t="str">
        <f t="shared" si="186"/>
        <v/>
      </c>
      <c r="AJ2582" s="865"/>
    </row>
    <row r="2583" spans="13:36">
      <c r="M2583" s="811" t="str">
        <f t="shared" si="188"/>
        <v/>
      </c>
      <c r="X2583" s="811" t="str">
        <f t="shared" si="187"/>
        <v/>
      </c>
      <c r="AG2583" s="807" t="str">
        <f t="shared" ref="AG2583:AG2646" si="189">IF(ISBLANK(AF2583)=TRUE,"",LOOKUP(AF2583,GS:GT))</f>
        <v/>
      </c>
      <c r="AJ2583" s="865"/>
    </row>
    <row r="2584" spans="13:36">
      <c r="M2584" s="811" t="str">
        <f t="shared" si="188"/>
        <v/>
      </c>
      <c r="X2584" s="811" t="str">
        <f t="shared" si="187"/>
        <v/>
      </c>
      <c r="AG2584" s="807" t="str">
        <f t="shared" si="189"/>
        <v/>
      </c>
      <c r="AJ2584" s="865"/>
    </row>
    <row r="2585" spans="13:36">
      <c r="M2585" s="811" t="str">
        <f t="shared" si="188"/>
        <v/>
      </c>
      <c r="X2585" s="811" t="str">
        <f t="shared" si="187"/>
        <v/>
      </c>
      <c r="AG2585" s="807" t="str">
        <f t="shared" si="189"/>
        <v/>
      </c>
      <c r="AJ2585" s="865"/>
    </row>
    <row r="2586" spans="13:36">
      <c r="M2586" s="811" t="str">
        <f t="shared" si="188"/>
        <v/>
      </c>
      <c r="X2586" s="811" t="str">
        <f t="shared" si="187"/>
        <v/>
      </c>
      <c r="AG2586" s="807" t="str">
        <f t="shared" si="189"/>
        <v/>
      </c>
      <c r="AJ2586" s="865"/>
    </row>
    <row r="2587" spans="13:36">
      <c r="M2587" s="811" t="str">
        <f t="shared" si="188"/>
        <v/>
      </c>
      <c r="X2587" s="811" t="str">
        <f t="shared" si="187"/>
        <v/>
      </c>
      <c r="AG2587" s="807" t="str">
        <f t="shared" si="189"/>
        <v/>
      </c>
      <c r="AJ2587" s="865"/>
    </row>
    <row r="2588" spans="13:36">
      <c r="M2588" s="811" t="str">
        <f t="shared" si="188"/>
        <v/>
      </c>
      <c r="X2588" s="811" t="str">
        <f t="shared" si="187"/>
        <v/>
      </c>
      <c r="AG2588" s="807" t="str">
        <f t="shared" si="189"/>
        <v/>
      </c>
      <c r="AJ2588" s="865"/>
    </row>
    <row r="2589" spans="13:36">
      <c r="M2589" s="811" t="str">
        <f t="shared" si="188"/>
        <v/>
      </c>
      <c r="X2589" s="811" t="str">
        <f t="shared" si="187"/>
        <v/>
      </c>
      <c r="AG2589" s="807" t="str">
        <f t="shared" si="189"/>
        <v/>
      </c>
      <c r="AJ2589" s="865"/>
    </row>
    <row r="2590" spans="13:36">
      <c r="M2590" s="811" t="str">
        <f t="shared" si="188"/>
        <v/>
      </c>
      <c r="X2590" s="811" t="str">
        <f t="shared" si="187"/>
        <v/>
      </c>
      <c r="AG2590" s="807" t="str">
        <f t="shared" si="189"/>
        <v/>
      </c>
      <c r="AJ2590" s="865"/>
    </row>
    <row r="2591" spans="13:36">
      <c r="M2591" s="811" t="str">
        <f t="shared" si="188"/>
        <v/>
      </c>
      <c r="X2591" s="811" t="str">
        <f t="shared" si="187"/>
        <v/>
      </c>
      <c r="AG2591" s="807" t="str">
        <f t="shared" si="189"/>
        <v/>
      </c>
      <c r="AJ2591" s="865"/>
    </row>
    <row r="2592" spans="13:36">
      <c r="M2592" s="811" t="str">
        <f t="shared" si="188"/>
        <v/>
      </c>
      <c r="X2592" s="811" t="str">
        <f t="shared" si="187"/>
        <v/>
      </c>
      <c r="AG2592" s="807" t="str">
        <f t="shared" si="189"/>
        <v/>
      </c>
      <c r="AJ2592" s="865"/>
    </row>
    <row r="2593" spans="13:36">
      <c r="M2593" s="811" t="str">
        <f t="shared" si="188"/>
        <v/>
      </c>
      <c r="X2593" s="811" t="str">
        <f t="shared" si="187"/>
        <v/>
      </c>
      <c r="AG2593" s="807" t="str">
        <f t="shared" si="189"/>
        <v/>
      </c>
      <c r="AJ2593" s="865"/>
    </row>
    <row r="2594" spans="13:36">
      <c r="M2594" s="811" t="str">
        <f t="shared" si="188"/>
        <v/>
      </c>
      <c r="X2594" s="811" t="str">
        <f t="shared" si="187"/>
        <v/>
      </c>
      <c r="AG2594" s="807" t="str">
        <f t="shared" si="189"/>
        <v/>
      </c>
      <c r="AJ2594" s="865"/>
    </row>
    <row r="2595" spans="13:36">
      <c r="M2595" s="811" t="str">
        <f t="shared" si="188"/>
        <v/>
      </c>
      <c r="X2595" s="811" t="str">
        <f t="shared" si="187"/>
        <v/>
      </c>
      <c r="AG2595" s="807" t="str">
        <f t="shared" si="189"/>
        <v/>
      </c>
      <c r="AJ2595" s="865"/>
    </row>
    <row r="2596" spans="13:36">
      <c r="M2596" s="811" t="str">
        <f t="shared" si="188"/>
        <v/>
      </c>
      <c r="X2596" s="811" t="str">
        <f t="shared" si="187"/>
        <v/>
      </c>
      <c r="AG2596" s="807" t="str">
        <f t="shared" si="189"/>
        <v/>
      </c>
      <c r="AJ2596" s="865"/>
    </row>
    <row r="2597" spans="13:36">
      <c r="M2597" s="811" t="str">
        <f t="shared" si="188"/>
        <v/>
      </c>
      <c r="X2597" s="811" t="str">
        <f t="shared" si="187"/>
        <v/>
      </c>
      <c r="AG2597" s="807" t="str">
        <f t="shared" si="189"/>
        <v/>
      </c>
      <c r="AJ2597" s="865"/>
    </row>
    <row r="2598" spans="13:36">
      <c r="M2598" s="811" t="str">
        <f t="shared" si="188"/>
        <v/>
      </c>
      <c r="X2598" s="811" t="str">
        <f t="shared" si="187"/>
        <v/>
      </c>
      <c r="AG2598" s="807" t="str">
        <f t="shared" si="189"/>
        <v/>
      </c>
      <c r="AJ2598" s="865"/>
    </row>
    <row r="2599" spans="13:36">
      <c r="M2599" s="811" t="str">
        <f t="shared" si="188"/>
        <v/>
      </c>
      <c r="X2599" s="811" t="str">
        <f t="shared" si="187"/>
        <v/>
      </c>
      <c r="AG2599" s="807" t="str">
        <f t="shared" si="189"/>
        <v/>
      </c>
      <c r="AJ2599" s="865"/>
    </row>
    <row r="2600" spans="13:36">
      <c r="M2600" s="811" t="str">
        <f t="shared" si="188"/>
        <v/>
      </c>
      <c r="X2600" s="811" t="str">
        <f t="shared" si="187"/>
        <v/>
      </c>
      <c r="AG2600" s="807" t="str">
        <f t="shared" si="189"/>
        <v/>
      </c>
      <c r="AJ2600" s="865"/>
    </row>
    <row r="2601" spans="13:36">
      <c r="M2601" s="811" t="str">
        <f t="shared" si="188"/>
        <v/>
      </c>
      <c r="X2601" s="811" t="str">
        <f t="shared" si="187"/>
        <v/>
      </c>
      <c r="AG2601" s="807" t="str">
        <f t="shared" si="189"/>
        <v/>
      </c>
      <c r="AJ2601" s="865"/>
    </row>
    <row r="2602" spans="13:36">
      <c r="M2602" s="811" t="str">
        <f t="shared" si="188"/>
        <v/>
      </c>
      <c r="X2602" s="811" t="str">
        <f t="shared" si="187"/>
        <v/>
      </c>
      <c r="AG2602" s="807" t="str">
        <f t="shared" si="189"/>
        <v/>
      </c>
      <c r="AJ2602" s="865"/>
    </row>
    <row r="2603" spans="13:36">
      <c r="M2603" s="811" t="str">
        <f t="shared" si="188"/>
        <v/>
      </c>
      <c r="X2603" s="811" t="str">
        <f t="shared" si="187"/>
        <v/>
      </c>
      <c r="AG2603" s="807" t="str">
        <f t="shared" si="189"/>
        <v/>
      </c>
      <c r="AJ2603" s="865"/>
    </row>
    <row r="2604" spans="13:36">
      <c r="M2604" s="811" t="str">
        <f t="shared" si="188"/>
        <v/>
      </c>
      <c r="X2604" s="811" t="str">
        <f t="shared" si="187"/>
        <v/>
      </c>
      <c r="AG2604" s="807" t="str">
        <f t="shared" si="189"/>
        <v/>
      </c>
      <c r="AJ2604" s="865"/>
    </row>
    <row r="2605" spans="13:36">
      <c r="M2605" s="811" t="str">
        <f t="shared" si="188"/>
        <v/>
      </c>
      <c r="X2605" s="811" t="str">
        <f t="shared" si="187"/>
        <v/>
      </c>
      <c r="AG2605" s="807" t="str">
        <f t="shared" si="189"/>
        <v/>
      </c>
      <c r="AJ2605" s="865"/>
    </row>
    <row r="2606" spans="13:36">
      <c r="M2606" s="811" t="str">
        <f t="shared" si="188"/>
        <v/>
      </c>
      <c r="X2606" s="811" t="str">
        <f t="shared" si="187"/>
        <v/>
      </c>
      <c r="AG2606" s="807" t="str">
        <f t="shared" si="189"/>
        <v/>
      </c>
      <c r="AJ2606" s="865"/>
    </row>
    <row r="2607" spans="13:36">
      <c r="M2607" s="811" t="str">
        <f t="shared" si="188"/>
        <v/>
      </c>
      <c r="X2607" s="811" t="str">
        <f t="shared" si="187"/>
        <v/>
      </c>
      <c r="AG2607" s="807" t="str">
        <f t="shared" si="189"/>
        <v/>
      </c>
      <c r="AJ2607" s="865"/>
    </row>
    <row r="2608" spans="13:36">
      <c r="M2608" s="811" t="str">
        <f t="shared" si="188"/>
        <v/>
      </c>
      <c r="X2608" s="811" t="str">
        <f t="shared" si="187"/>
        <v/>
      </c>
      <c r="AG2608" s="807" t="str">
        <f t="shared" si="189"/>
        <v/>
      </c>
      <c r="AJ2608" s="865"/>
    </row>
    <row r="2609" spans="13:36">
      <c r="M2609" s="811" t="str">
        <f t="shared" si="188"/>
        <v/>
      </c>
      <c r="X2609" s="811" t="str">
        <f t="shared" si="187"/>
        <v/>
      </c>
      <c r="AG2609" s="807" t="str">
        <f t="shared" si="189"/>
        <v/>
      </c>
      <c r="AJ2609" s="865"/>
    </row>
    <row r="2610" spans="13:36">
      <c r="M2610" s="811" t="str">
        <f t="shared" si="188"/>
        <v/>
      </c>
      <c r="X2610" s="811" t="str">
        <f t="shared" si="187"/>
        <v/>
      </c>
      <c r="AG2610" s="807" t="str">
        <f t="shared" si="189"/>
        <v/>
      </c>
      <c r="AJ2610" s="865"/>
    </row>
    <row r="2611" spans="13:36">
      <c r="M2611" s="811" t="str">
        <f t="shared" si="188"/>
        <v/>
      </c>
      <c r="X2611" s="811" t="str">
        <f t="shared" ref="X2611:X2674" si="190">IF(ISBLANK(W2611)=TRUE,"",LOOKUP(W2611,GO:GP))</f>
        <v/>
      </c>
      <c r="AG2611" s="807" t="str">
        <f t="shared" si="189"/>
        <v/>
      </c>
      <c r="AJ2611" s="865"/>
    </row>
    <row r="2612" spans="13:36">
      <c r="M2612" s="811" t="str">
        <f t="shared" si="188"/>
        <v/>
      </c>
      <c r="X2612" s="811" t="str">
        <f t="shared" si="190"/>
        <v/>
      </c>
      <c r="AG2612" s="807" t="str">
        <f t="shared" si="189"/>
        <v/>
      </c>
      <c r="AJ2612" s="865"/>
    </row>
    <row r="2613" spans="13:36">
      <c r="M2613" s="811" t="str">
        <f t="shared" si="188"/>
        <v/>
      </c>
      <c r="X2613" s="811" t="str">
        <f t="shared" si="190"/>
        <v/>
      </c>
      <c r="AG2613" s="807" t="str">
        <f t="shared" si="189"/>
        <v/>
      </c>
      <c r="AJ2613" s="865"/>
    </row>
    <row r="2614" spans="13:36">
      <c r="M2614" s="811" t="str">
        <f t="shared" si="188"/>
        <v/>
      </c>
      <c r="X2614" s="811" t="str">
        <f t="shared" si="190"/>
        <v/>
      </c>
      <c r="AG2614" s="807" t="str">
        <f t="shared" si="189"/>
        <v/>
      </c>
      <c r="AJ2614" s="865"/>
    </row>
    <row r="2615" spans="13:36">
      <c r="M2615" s="811" t="str">
        <f t="shared" si="188"/>
        <v/>
      </c>
      <c r="X2615" s="811" t="str">
        <f t="shared" si="190"/>
        <v/>
      </c>
      <c r="AG2615" s="807" t="str">
        <f t="shared" si="189"/>
        <v/>
      </c>
      <c r="AJ2615" s="865"/>
    </row>
    <row r="2616" spans="13:36">
      <c r="M2616" s="811" t="str">
        <f t="shared" si="188"/>
        <v/>
      </c>
      <c r="X2616" s="811" t="str">
        <f t="shared" si="190"/>
        <v/>
      </c>
      <c r="AG2616" s="807" t="str">
        <f t="shared" si="189"/>
        <v/>
      </c>
      <c r="AJ2616" s="865"/>
    </row>
    <row r="2617" spans="13:36">
      <c r="M2617" s="811" t="str">
        <f t="shared" si="188"/>
        <v/>
      </c>
      <c r="X2617" s="811" t="str">
        <f t="shared" si="190"/>
        <v/>
      </c>
      <c r="AG2617" s="807" t="str">
        <f t="shared" si="189"/>
        <v/>
      </c>
      <c r="AJ2617" s="865"/>
    </row>
    <row r="2618" spans="13:36">
      <c r="M2618" s="811" t="str">
        <f t="shared" si="188"/>
        <v/>
      </c>
      <c r="X2618" s="811" t="str">
        <f t="shared" si="190"/>
        <v/>
      </c>
      <c r="AG2618" s="807" t="str">
        <f t="shared" si="189"/>
        <v/>
      </c>
      <c r="AJ2618" s="865"/>
    </row>
    <row r="2619" spans="13:36">
      <c r="M2619" s="811" t="str">
        <f t="shared" si="188"/>
        <v/>
      </c>
      <c r="X2619" s="811" t="str">
        <f t="shared" si="190"/>
        <v/>
      </c>
      <c r="AG2619" s="807" t="str">
        <f t="shared" si="189"/>
        <v/>
      </c>
      <c r="AJ2619" s="865"/>
    </row>
    <row r="2620" spans="13:36">
      <c r="M2620" s="811" t="str">
        <f t="shared" si="188"/>
        <v/>
      </c>
      <c r="X2620" s="811" t="str">
        <f t="shared" si="190"/>
        <v/>
      </c>
      <c r="AG2620" s="807" t="str">
        <f t="shared" si="189"/>
        <v/>
      </c>
      <c r="AJ2620" s="865"/>
    </row>
    <row r="2621" spans="13:36">
      <c r="M2621" s="811" t="str">
        <f t="shared" si="188"/>
        <v/>
      </c>
      <c r="X2621" s="811" t="str">
        <f t="shared" si="190"/>
        <v/>
      </c>
      <c r="AG2621" s="807" t="str">
        <f t="shared" si="189"/>
        <v/>
      </c>
      <c r="AJ2621" s="865"/>
    </row>
    <row r="2622" spans="13:36">
      <c r="M2622" s="811" t="str">
        <f t="shared" si="188"/>
        <v/>
      </c>
      <c r="X2622" s="811" t="str">
        <f t="shared" si="190"/>
        <v/>
      </c>
      <c r="AG2622" s="807" t="str">
        <f t="shared" si="189"/>
        <v/>
      </c>
      <c r="AJ2622" s="865"/>
    </row>
    <row r="2623" spans="13:36">
      <c r="M2623" s="811" t="str">
        <f t="shared" si="188"/>
        <v/>
      </c>
      <c r="X2623" s="811" t="str">
        <f t="shared" si="190"/>
        <v/>
      </c>
      <c r="AG2623" s="807" t="str">
        <f t="shared" si="189"/>
        <v/>
      </c>
      <c r="AJ2623" s="865"/>
    </row>
    <row r="2624" spans="13:36">
      <c r="M2624" s="811" t="str">
        <f t="shared" si="188"/>
        <v/>
      </c>
      <c r="X2624" s="811" t="str">
        <f t="shared" si="190"/>
        <v/>
      </c>
      <c r="AG2624" s="807" t="str">
        <f t="shared" si="189"/>
        <v/>
      </c>
      <c r="AJ2624" s="865"/>
    </row>
    <row r="2625" spans="13:36">
      <c r="M2625" s="811" t="str">
        <f t="shared" si="188"/>
        <v/>
      </c>
      <c r="X2625" s="811" t="str">
        <f t="shared" si="190"/>
        <v/>
      </c>
      <c r="AG2625" s="807" t="str">
        <f t="shared" si="189"/>
        <v/>
      </c>
      <c r="AJ2625" s="865"/>
    </row>
    <row r="2626" spans="13:36">
      <c r="M2626" s="811" t="str">
        <f t="shared" si="188"/>
        <v/>
      </c>
      <c r="X2626" s="811" t="str">
        <f t="shared" si="190"/>
        <v/>
      </c>
      <c r="AG2626" s="807" t="str">
        <f t="shared" si="189"/>
        <v/>
      </c>
      <c r="AJ2626" s="865"/>
    </row>
    <row r="2627" spans="13:36">
      <c r="M2627" s="811" t="str">
        <f t="shared" si="188"/>
        <v/>
      </c>
      <c r="X2627" s="811" t="str">
        <f t="shared" si="190"/>
        <v/>
      </c>
      <c r="AG2627" s="807" t="str">
        <f t="shared" si="189"/>
        <v/>
      </c>
      <c r="AJ2627" s="865"/>
    </row>
    <row r="2628" spans="13:36">
      <c r="M2628" s="811" t="str">
        <f t="shared" si="188"/>
        <v/>
      </c>
      <c r="X2628" s="811" t="str">
        <f t="shared" si="190"/>
        <v/>
      </c>
      <c r="AG2628" s="807" t="str">
        <f t="shared" si="189"/>
        <v/>
      </c>
      <c r="AJ2628" s="865"/>
    </row>
    <row r="2629" spans="13:36">
      <c r="M2629" s="811" t="str">
        <f t="shared" si="188"/>
        <v/>
      </c>
      <c r="X2629" s="811" t="str">
        <f t="shared" si="190"/>
        <v/>
      </c>
      <c r="AG2629" s="807" t="str">
        <f t="shared" si="189"/>
        <v/>
      </c>
      <c r="AJ2629" s="865"/>
    </row>
    <row r="2630" spans="13:36">
      <c r="M2630" s="811" t="str">
        <f t="shared" si="188"/>
        <v/>
      </c>
      <c r="X2630" s="811" t="str">
        <f t="shared" si="190"/>
        <v/>
      </c>
      <c r="AG2630" s="807" t="str">
        <f t="shared" si="189"/>
        <v/>
      </c>
      <c r="AJ2630" s="865"/>
    </row>
    <row r="2631" spans="13:36">
      <c r="M2631" s="811" t="str">
        <f t="shared" si="188"/>
        <v/>
      </c>
      <c r="X2631" s="811" t="str">
        <f t="shared" si="190"/>
        <v/>
      </c>
      <c r="AG2631" s="807" t="str">
        <f t="shared" si="189"/>
        <v/>
      </c>
      <c r="AJ2631" s="865"/>
    </row>
    <row r="2632" spans="13:36">
      <c r="M2632" s="811" t="str">
        <f t="shared" si="188"/>
        <v/>
      </c>
      <c r="X2632" s="811" t="str">
        <f t="shared" si="190"/>
        <v/>
      </c>
      <c r="AG2632" s="807" t="str">
        <f t="shared" si="189"/>
        <v/>
      </c>
      <c r="AJ2632" s="865"/>
    </row>
    <row r="2633" spans="13:36">
      <c r="M2633" s="811" t="str">
        <f t="shared" si="188"/>
        <v/>
      </c>
      <c r="X2633" s="811" t="str">
        <f t="shared" si="190"/>
        <v/>
      </c>
      <c r="AG2633" s="807" t="str">
        <f t="shared" si="189"/>
        <v/>
      </c>
      <c r="AJ2633" s="865"/>
    </row>
    <row r="2634" spans="13:36">
      <c r="M2634" s="811" t="str">
        <f t="shared" si="188"/>
        <v/>
      </c>
      <c r="X2634" s="811" t="str">
        <f t="shared" si="190"/>
        <v/>
      </c>
      <c r="AG2634" s="807" t="str">
        <f t="shared" si="189"/>
        <v/>
      </c>
      <c r="AJ2634" s="865"/>
    </row>
    <row r="2635" spans="13:36">
      <c r="M2635" s="811" t="str">
        <f t="shared" si="188"/>
        <v/>
      </c>
      <c r="X2635" s="811" t="str">
        <f t="shared" si="190"/>
        <v/>
      </c>
      <c r="AG2635" s="807" t="str">
        <f t="shared" si="189"/>
        <v/>
      </c>
      <c r="AJ2635" s="865"/>
    </row>
    <row r="2636" spans="13:36">
      <c r="M2636" s="811" t="str">
        <f t="shared" ref="M2636:M2699" si="191">IF(ISBLANK(L2636)=TRUE,"",LOOKUP(L2636,GQ:GR))</f>
        <v/>
      </c>
      <c r="X2636" s="811" t="str">
        <f t="shared" si="190"/>
        <v/>
      </c>
      <c r="AG2636" s="807" t="str">
        <f t="shared" si="189"/>
        <v/>
      </c>
      <c r="AJ2636" s="865"/>
    </row>
    <row r="2637" spans="13:36">
      <c r="M2637" s="811" t="str">
        <f t="shared" si="191"/>
        <v/>
      </c>
      <c r="X2637" s="811" t="str">
        <f t="shared" si="190"/>
        <v/>
      </c>
      <c r="AG2637" s="807" t="str">
        <f t="shared" si="189"/>
        <v/>
      </c>
      <c r="AJ2637" s="865"/>
    </row>
    <row r="2638" spans="13:36">
      <c r="M2638" s="811" t="str">
        <f t="shared" si="191"/>
        <v/>
      </c>
      <c r="X2638" s="811" t="str">
        <f t="shared" si="190"/>
        <v/>
      </c>
      <c r="AG2638" s="807" t="str">
        <f t="shared" si="189"/>
        <v/>
      </c>
      <c r="AJ2638" s="865"/>
    </row>
    <row r="2639" spans="13:36">
      <c r="M2639" s="811" t="str">
        <f t="shared" si="191"/>
        <v/>
      </c>
      <c r="X2639" s="811" t="str">
        <f t="shared" si="190"/>
        <v/>
      </c>
      <c r="AG2639" s="807" t="str">
        <f t="shared" si="189"/>
        <v/>
      </c>
      <c r="AJ2639" s="865"/>
    </row>
    <row r="2640" spans="13:36">
      <c r="M2640" s="811" t="str">
        <f t="shared" si="191"/>
        <v/>
      </c>
      <c r="X2640" s="811" t="str">
        <f t="shared" si="190"/>
        <v/>
      </c>
      <c r="AG2640" s="807" t="str">
        <f t="shared" si="189"/>
        <v/>
      </c>
      <c r="AJ2640" s="865"/>
    </row>
    <row r="2641" spans="13:36">
      <c r="M2641" s="811" t="str">
        <f t="shared" si="191"/>
        <v/>
      </c>
      <c r="X2641" s="811" t="str">
        <f t="shared" si="190"/>
        <v/>
      </c>
      <c r="AG2641" s="807" t="str">
        <f t="shared" si="189"/>
        <v/>
      </c>
      <c r="AJ2641" s="865"/>
    </row>
    <row r="2642" spans="13:36">
      <c r="M2642" s="811" t="str">
        <f t="shared" si="191"/>
        <v/>
      </c>
      <c r="X2642" s="811" t="str">
        <f t="shared" si="190"/>
        <v/>
      </c>
      <c r="AG2642" s="807" t="str">
        <f t="shared" si="189"/>
        <v/>
      </c>
      <c r="AJ2642" s="865"/>
    </row>
    <row r="2643" spans="13:36">
      <c r="M2643" s="811" t="str">
        <f t="shared" si="191"/>
        <v/>
      </c>
      <c r="X2643" s="811" t="str">
        <f t="shared" si="190"/>
        <v/>
      </c>
      <c r="AG2643" s="807" t="str">
        <f t="shared" si="189"/>
        <v/>
      </c>
      <c r="AJ2643" s="865"/>
    </row>
    <row r="2644" spans="13:36">
      <c r="M2644" s="811" t="str">
        <f t="shared" si="191"/>
        <v/>
      </c>
      <c r="X2644" s="811" t="str">
        <f t="shared" si="190"/>
        <v/>
      </c>
      <c r="AG2644" s="807" t="str">
        <f t="shared" si="189"/>
        <v/>
      </c>
      <c r="AJ2644" s="865"/>
    </row>
    <row r="2645" spans="13:36">
      <c r="M2645" s="811" t="str">
        <f t="shared" si="191"/>
        <v/>
      </c>
      <c r="X2645" s="811" t="str">
        <f t="shared" si="190"/>
        <v/>
      </c>
      <c r="AG2645" s="807" t="str">
        <f t="shared" si="189"/>
        <v/>
      </c>
      <c r="AJ2645" s="865"/>
    </row>
    <row r="2646" spans="13:36">
      <c r="M2646" s="811" t="str">
        <f t="shared" si="191"/>
        <v/>
      </c>
      <c r="X2646" s="811" t="str">
        <f t="shared" si="190"/>
        <v/>
      </c>
      <c r="AG2646" s="807" t="str">
        <f t="shared" si="189"/>
        <v/>
      </c>
      <c r="AJ2646" s="865"/>
    </row>
    <row r="2647" spans="13:36">
      <c r="M2647" s="811" t="str">
        <f t="shared" si="191"/>
        <v/>
      </c>
      <c r="X2647" s="811" t="str">
        <f t="shared" si="190"/>
        <v/>
      </c>
      <c r="AG2647" s="807" t="str">
        <f t="shared" ref="AG2647:AG2691" si="192">IF(ISBLANK(AF2647)=TRUE,"",LOOKUP(AF2647,GS:GT))</f>
        <v/>
      </c>
      <c r="AJ2647" s="865"/>
    </row>
    <row r="2648" spans="13:36">
      <c r="M2648" s="811" t="str">
        <f t="shared" si="191"/>
        <v/>
      </c>
      <c r="X2648" s="811" t="str">
        <f t="shared" si="190"/>
        <v/>
      </c>
      <c r="AG2648" s="807" t="str">
        <f t="shared" si="192"/>
        <v/>
      </c>
      <c r="AJ2648" s="865"/>
    </row>
    <row r="2649" spans="13:36">
      <c r="M2649" s="811" t="str">
        <f t="shared" si="191"/>
        <v/>
      </c>
      <c r="X2649" s="811" t="str">
        <f t="shared" si="190"/>
        <v/>
      </c>
      <c r="AG2649" s="807" t="str">
        <f t="shared" si="192"/>
        <v/>
      </c>
      <c r="AJ2649" s="865"/>
    </row>
    <row r="2650" spans="13:36">
      <c r="M2650" s="811" t="str">
        <f t="shared" si="191"/>
        <v/>
      </c>
      <c r="X2650" s="811" t="str">
        <f t="shared" si="190"/>
        <v/>
      </c>
      <c r="AG2650" s="807" t="str">
        <f t="shared" si="192"/>
        <v/>
      </c>
      <c r="AJ2650" s="865"/>
    </row>
    <row r="2651" spans="13:36">
      <c r="M2651" s="811" t="str">
        <f t="shared" si="191"/>
        <v/>
      </c>
      <c r="X2651" s="811" t="str">
        <f t="shared" si="190"/>
        <v/>
      </c>
      <c r="AG2651" s="807" t="str">
        <f t="shared" si="192"/>
        <v/>
      </c>
      <c r="AJ2651" s="865"/>
    </row>
    <row r="2652" spans="13:36">
      <c r="M2652" s="811" t="str">
        <f t="shared" si="191"/>
        <v/>
      </c>
      <c r="X2652" s="811" t="str">
        <f t="shared" si="190"/>
        <v/>
      </c>
      <c r="AG2652" s="807" t="str">
        <f t="shared" si="192"/>
        <v/>
      </c>
      <c r="AJ2652" s="865"/>
    </row>
    <row r="2653" spans="13:36">
      <c r="M2653" s="811" t="str">
        <f t="shared" si="191"/>
        <v/>
      </c>
      <c r="X2653" s="811" t="str">
        <f t="shared" si="190"/>
        <v/>
      </c>
      <c r="AG2653" s="807" t="str">
        <f t="shared" si="192"/>
        <v/>
      </c>
      <c r="AJ2653" s="865"/>
    </row>
    <row r="2654" spans="13:36">
      <c r="M2654" s="811" t="str">
        <f t="shared" si="191"/>
        <v/>
      </c>
      <c r="X2654" s="811" t="str">
        <f t="shared" si="190"/>
        <v/>
      </c>
      <c r="AG2654" s="807" t="str">
        <f t="shared" si="192"/>
        <v/>
      </c>
      <c r="AJ2654" s="865"/>
    </row>
    <row r="2655" spans="13:36">
      <c r="M2655" s="811" t="str">
        <f t="shared" si="191"/>
        <v/>
      </c>
      <c r="X2655" s="811" t="str">
        <f t="shared" si="190"/>
        <v/>
      </c>
      <c r="AG2655" s="807" t="str">
        <f t="shared" si="192"/>
        <v/>
      </c>
      <c r="AJ2655" s="865"/>
    </row>
    <row r="2656" spans="13:36">
      <c r="M2656" s="811" t="str">
        <f t="shared" si="191"/>
        <v/>
      </c>
      <c r="X2656" s="811" t="str">
        <f t="shared" si="190"/>
        <v/>
      </c>
      <c r="AG2656" s="807" t="str">
        <f t="shared" si="192"/>
        <v/>
      </c>
      <c r="AJ2656" s="865"/>
    </row>
    <row r="2657" spans="13:36">
      <c r="M2657" s="811" t="str">
        <f t="shared" si="191"/>
        <v/>
      </c>
      <c r="X2657" s="811" t="str">
        <f t="shared" si="190"/>
        <v/>
      </c>
      <c r="AG2657" s="807" t="str">
        <f t="shared" si="192"/>
        <v/>
      </c>
      <c r="AJ2657" s="865"/>
    </row>
    <row r="2658" spans="13:36">
      <c r="M2658" s="811" t="str">
        <f t="shared" si="191"/>
        <v/>
      </c>
      <c r="X2658" s="811" t="str">
        <f t="shared" si="190"/>
        <v/>
      </c>
      <c r="AG2658" s="807" t="str">
        <f t="shared" si="192"/>
        <v/>
      </c>
      <c r="AJ2658" s="865"/>
    </row>
    <row r="2659" spans="13:36">
      <c r="M2659" s="811" t="str">
        <f t="shared" si="191"/>
        <v/>
      </c>
      <c r="X2659" s="811" t="str">
        <f t="shared" si="190"/>
        <v/>
      </c>
      <c r="AG2659" s="807" t="str">
        <f t="shared" si="192"/>
        <v/>
      </c>
      <c r="AJ2659" s="865"/>
    </row>
    <row r="2660" spans="13:36">
      <c r="M2660" s="811" t="str">
        <f t="shared" si="191"/>
        <v/>
      </c>
      <c r="X2660" s="811" t="str">
        <f t="shared" si="190"/>
        <v/>
      </c>
      <c r="AG2660" s="807" t="str">
        <f t="shared" si="192"/>
        <v/>
      </c>
      <c r="AJ2660" s="865"/>
    </row>
    <row r="2661" spans="13:36">
      <c r="M2661" s="811" t="str">
        <f t="shared" si="191"/>
        <v/>
      </c>
      <c r="X2661" s="811" t="str">
        <f t="shared" si="190"/>
        <v/>
      </c>
      <c r="AG2661" s="807" t="str">
        <f t="shared" si="192"/>
        <v/>
      </c>
      <c r="AJ2661" s="865"/>
    </row>
    <row r="2662" spans="13:36">
      <c r="M2662" s="811" t="str">
        <f t="shared" si="191"/>
        <v/>
      </c>
      <c r="X2662" s="811" t="str">
        <f t="shared" si="190"/>
        <v/>
      </c>
      <c r="AG2662" s="807" t="str">
        <f t="shared" si="192"/>
        <v/>
      </c>
      <c r="AJ2662" s="865"/>
    </row>
    <row r="2663" spans="13:36">
      <c r="M2663" s="811" t="str">
        <f t="shared" si="191"/>
        <v/>
      </c>
      <c r="X2663" s="811" t="str">
        <f t="shared" si="190"/>
        <v/>
      </c>
      <c r="AG2663" s="807" t="str">
        <f t="shared" si="192"/>
        <v/>
      </c>
      <c r="AJ2663" s="865"/>
    </row>
    <row r="2664" spans="13:36">
      <c r="M2664" s="811" t="str">
        <f t="shared" si="191"/>
        <v/>
      </c>
      <c r="X2664" s="811" t="str">
        <f t="shared" si="190"/>
        <v/>
      </c>
      <c r="AG2664" s="807" t="str">
        <f t="shared" si="192"/>
        <v/>
      </c>
      <c r="AJ2664" s="865"/>
    </row>
    <row r="2665" spans="13:36">
      <c r="M2665" s="811" t="str">
        <f t="shared" si="191"/>
        <v/>
      </c>
      <c r="X2665" s="811" t="str">
        <f t="shared" si="190"/>
        <v/>
      </c>
      <c r="AG2665" s="807" t="str">
        <f t="shared" si="192"/>
        <v/>
      </c>
      <c r="AJ2665" s="865"/>
    </row>
    <row r="2666" spans="13:36">
      <c r="M2666" s="811" t="str">
        <f t="shared" si="191"/>
        <v/>
      </c>
      <c r="X2666" s="811" t="str">
        <f t="shared" si="190"/>
        <v/>
      </c>
      <c r="AG2666" s="807" t="str">
        <f t="shared" si="192"/>
        <v/>
      </c>
      <c r="AJ2666" s="865"/>
    </row>
    <row r="2667" spans="13:36">
      <c r="M2667" s="811" t="str">
        <f t="shared" si="191"/>
        <v/>
      </c>
      <c r="X2667" s="811" t="str">
        <f t="shared" si="190"/>
        <v/>
      </c>
      <c r="AG2667" s="807" t="str">
        <f t="shared" si="192"/>
        <v/>
      </c>
      <c r="AJ2667" s="865"/>
    </row>
    <row r="2668" spans="13:36">
      <c r="M2668" s="811" t="str">
        <f t="shared" si="191"/>
        <v/>
      </c>
      <c r="X2668" s="811" t="str">
        <f t="shared" si="190"/>
        <v/>
      </c>
      <c r="AG2668" s="807" t="str">
        <f t="shared" si="192"/>
        <v/>
      </c>
      <c r="AJ2668" s="865"/>
    </row>
    <row r="2669" spans="13:36">
      <c r="M2669" s="811" t="str">
        <f t="shared" si="191"/>
        <v/>
      </c>
      <c r="X2669" s="811" t="str">
        <f t="shared" si="190"/>
        <v/>
      </c>
      <c r="AG2669" s="807" t="str">
        <f t="shared" si="192"/>
        <v/>
      </c>
      <c r="AJ2669" s="865"/>
    </row>
    <row r="2670" spans="13:36">
      <c r="M2670" s="811" t="str">
        <f t="shared" si="191"/>
        <v/>
      </c>
      <c r="X2670" s="811" t="str">
        <f t="shared" si="190"/>
        <v/>
      </c>
      <c r="AG2670" s="807" t="str">
        <f t="shared" si="192"/>
        <v/>
      </c>
      <c r="AJ2670" s="865"/>
    </row>
    <row r="2671" spans="13:36">
      <c r="M2671" s="811" t="str">
        <f t="shared" si="191"/>
        <v/>
      </c>
      <c r="X2671" s="811" t="str">
        <f t="shared" si="190"/>
        <v/>
      </c>
      <c r="AG2671" s="807" t="str">
        <f t="shared" si="192"/>
        <v/>
      </c>
      <c r="AJ2671" s="865"/>
    </row>
    <row r="2672" spans="13:36">
      <c r="M2672" s="811" t="str">
        <f t="shared" si="191"/>
        <v/>
      </c>
      <c r="X2672" s="811" t="str">
        <f t="shared" si="190"/>
        <v/>
      </c>
      <c r="AG2672" s="807" t="str">
        <f t="shared" si="192"/>
        <v/>
      </c>
      <c r="AJ2672" s="865"/>
    </row>
    <row r="2673" spans="13:36">
      <c r="M2673" s="811" t="str">
        <f t="shared" si="191"/>
        <v/>
      </c>
      <c r="X2673" s="811" t="str">
        <f t="shared" si="190"/>
        <v/>
      </c>
      <c r="AG2673" s="807" t="str">
        <f t="shared" si="192"/>
        <v/>
      </c>
      <c r="AJ2673" s="865"/>
    </row>
    <row r="2674" spans="13:36">
      <c r="M2674" s="811" t="str">
        <f t="shared" si="191"/>
        <v/>
      </c>
      <c r="X2674" s="811" t="str">
        <f t="shared" si="190"/>
        <v/>
      </c>
      <c r="AG2674" s="807" t="str">
        <f t="shared" si="192"/>
        <v/>
      </c>
      <c r="AJ2674" s="865"/>
    </row>
    <row r="2675" spans="13:36">
      <c r="M2675" s="811" t="str">
        <f t="shared" si="191"/>
        <v/>
      </c>
      <c r="X2675" s="811" t="str">
        <f t="shared" ref="X2675:X2738" si="193">IF(ISBLANK(W2675)=TRUE,"",LOOKUP(W2675,GO:GP))</f>
        <v/>
      </c>
      <c r="AG2675" s="807" t="str">
        <f t="shared" si="192"/>
        <v/>
      </c>
      <c r="AJ2675" s="865"/>
    </row>
    <row r="2676" spans="13:36">
      <c r="M2676" s="811" t="str">
        <f t="shared" si="191"/>
        <v/>
      </c>
      <c r="X2676" s="811" t="str">
        <f t="shared" si="193"/>
        <v/>
      </c>
      <c r="AG2676" s="807" t="str">
        <f t="shared" si="192"/>
        <v/>
      </c>
      <c r="AJ2676" s="865"/>
    </row>
    <row r="2677" spans="13:36">
      <c r="M2677" s="811" t="str">
        <f t="shared" si="191"/>
        <v/>
      </c>
      <c r="X2677" s="811" t="str">
        <f t="shared" si="193"/>
        <v/>
      </c>
      <c r="AG2677" s="807" t="str">
        <f t="shared" si="192"/>
        <v/>
      </c>
      <c r="AJ2677" s="865"/>
    </row>
    <row r="2678" spans="13:36">
      <c r="M2678" s="811" t="str">
        <f t="shared" si="191"/>
        <v/>
      </c>
      <c r="X2678" s="811" t="str">
        <f t="shared" si="193"/>
        <v/>
      </c>
      <c r="AG2678" s="807" t="str">
        <f t="shared" si="192"/>
        <v/>
      </c>
      <c r="AJ2678" s="865"/>
    </row>
    <row r="2679" spans="13:36">
      <c r="M2679" s="811" t="str">
        <f t="shared" si="191"/>
        <v/>
      </c>
      <c r="X2679" s="811" t="str">
        <f t="shared" si="193"/>
        <v/>
      </c>
      <c r="AG2679" s="807" t="str">
        <f t="shared" si="192"/>
        <v/>
      </c>
      <c r="AJ2679" s="865"/>
    </row>
    <row r="2680" spans="13:36">
      <c r="M2680" s="811" t="str">
        <f t="shared" si="191"/>
        <v/>
      </c>
      <c r="X2680" s="811" t="str">
        <f t="shared" si="193"/>
        <v/>
      </c>
      <c r="AG2680" s="807" t="str">
        <f t="shared" si="192"/>
        <v/>
      </c>
      <c r="AJ2680" s="865"/>
    </row>
    <row r="2681" spans="13:36">
      <c r="M2681" s="811" t="str">
        <f t="shared" si="191"/>
        <v/>
      </c>
      <c r="X2681" s="811" t="str">
        <f t="shared" si="193"/>
        <v/>
      </c>
      <c r="AG2681" s="807" t="str">
        <f t="shared" si="192"/>
        <v/>
      </c>
      <c r="AJ2681" s="865"/>
    </row>
    <row r="2682" spans="13:36">
      <c r="M2682" s="811" t="str">
        <f t="shared" si="191"/>
        <v/>
      </c>
      <c r="X2682" s="811" t="str">
        <f t="shared" si="193"/>
        <v/>
      </c>
      <c r="AG2682" s="807" t="str">
        <f t="shared" si="192"/>
        <v/>
      </c>
      <c r="AJ2682" s="865"/>
    </row>
    <row r="2683" spans="13:36">
      <c r="M2683" s="811" t="str">
        <f t="shared" si="191"/>
        <v/>
      </c>
      <c r="X2683" s="811" t="str">
        <f t="shared" si="193"/>
        <v/>
      </c>
      <c r="AG2683" s="807" t="str">
        <f t="shared" si="192"/>
        <v/>
      </c>
      <c r="AJ2683" s="865"/>
    </row>
    <row r="2684" spans="13:36">
      <c r="M2684" s="811" t="str">
        <f t="shared" si="191"/>
        <v/>
      </c>
      <c r="X2684" s="811" t="str">
        <f t="shared" si="193"/>
        <v/>
      </c>
      <c r="AG2684" s="807" t="str">
        <f t="shared" si="192"/>
        <v/>
      </c>
      <c r="AJ2684" s="865"/>
    </row>
    <row r="2685" spans="13:36">
      <c r="M2685" s="811" t="str">
        <f t="shared" si="191"/>
        <v/>
      </c>
      <c r="X2685" s="811" t="str">
        <f t="shared" si="193"/>
        <v/>
      </c>
      <c r="AG2685" s="807" t="str">
        <f t="shared" si="192"/>
        <v/>
      </c>
      <c r="AJ2685" s="865"/>
    </row>
    <row r="2686" spans="13:36">
      <c r="M2686" s="811" t="str">
        <f t="shared" si="191"/>
        <v/>
      </c>
      <c r="X2686" s="811" t="str">
        <f t="shared" si="193"/>
        <v/>
      </c>
      <c r="AG2686" s="807" t="str">
        <f t="shared" si="192"/>
        <v/>
      </c>
      <c r="AJ2686" s="865"/>
    </row>
    <row r="2687" spans="13:36">
      <c r="M2687" s="811" t="str">
        <f t="shared" si="191"/>
        <v/>
      </c>
      <c r="X2687" s="811" t="str">
        <f t="shared" si="193"/>
        <v/>
      </c>
      <c r="AG2687" s="807" t="str">
        <f t="shared" si="192"/>
        <v/>
      </c>
      <c r="AJ2687" s="865"/>
    </row>
    <row r="2688" spans="13:36">
      <c r="M2688" s="811" t="str">
        <f t="shared" si="191"/>
        <v/>
      </c>
      <c r="X2688" s="811" t="str">
        <f t="shared" si="193"/>
        <v/>
      </c>
      <c r="AG2688" s="807" t="str">
        <f t="shared" si="192"/>
        <v/>
      </c>
      <c r="AJ2688" s="865"/>
    </row>
    <row r="2689" spans="1:198">
      <c r="M2689" s="811" t="str">
        <f t="shared" si="191"/>
        <v/>
      </c>
      <c r="X2689" s="811" t="str">
        <f t="shared" si="193"/>
        <v/>
      </c>
      <c r="AG2689" s="807" t="str">
        <f t="shared" si="192"/>
        <v/>
      </c>
      <c r="AJ2689" s="865"/>
    </row>
    <row r="2690" spans="1:198">
      <c r="M2690" s="811" t="str">
        <f t="shared" si="191"/>
        <v/>
      </c>
      <c r="X2690" s="811" t="str">
        <f t="shared" si="193"/>
        <v/>
      </c>
      <c r="AG2690" s="807" t="str">
        <f t="shared" si="192"/>
        <v/>
      </c>
      <c r="AJ2690" s="865"/>
    </row>
    <row r="2691" spans="1:198" s="989" customFormat="1">
      <c r="A2691" s="806"/>
      <c r="B2691" s="807"/>
      <c r="C2691" s="93"/>
      <c r="D2691" s="910"/>
      <c r="E2691" s="817"/>
      <c r="F2691" s="817"/>
      <c r="G2691" s="809"/>
      <c r="H2691" s="809"/>
      <c r="I2691" s="92"/>
      <c r="J2691" s="92"/>
      <c r="K2691" s="92"/>
      <c r="L2691" s="810"/>
      <c r="M2691" s="811" t="str">
        <f t="shared" si="191"/>
        <v/>
      </c>
      <c r="N2691" s="92"/>
      <c r="O2691" s="812"/>
      <c r="P2691" s="812"/>
      <c r="Q2691" s="812"/>
      <c r="R2691" s="812"/>
      <c r="S2691" s="813"/>
      <c r="T2691" s="813"/>
      <c r="U2691" s="813"/>
      <c r="V2691" s="814"/>
      <c r="W2691" s="815"/>
      <c r="X2691" s="811" t="str">
        <f t="shared" si="193"/>
        <v/>
      </c>
      <c r="Y2691" s="816"/>
      <c r="Z2691" s="816"/>
      <c r="AA2691" s="816"/>
      <c r="AB2691" s="924"/>
      <c r="AC2691" s="807"/>
      <c r="AD2691" s="817"/>
      <c r="AE2691" s="93"/>
      <c r="AF2691" s="818"/>
      <c r="AG2691" s="807" t="str">
        <f t="shared" si="192"/>
        <v/>
      </c>
      <c r="AH2691" s="817"/>
      <c r="AI2691" s="865"/>
      <c r="AJ2691" s="865"/>
      <c r="AK2691" s="836"/>
      <c r="AL2691" s="92"/>
      <c r="AM2691" s="92"/>
      <c r="AN2691" s="813"/>
      <c r="AO2691" s="817"/>
      <c r="AP2691" s="820"/>
      <c r="AQ2691" s="807"/>
      <c r="AR2691" s="807"/>
      <c r="AS2691" s="807"/>
      <c r="AT2691" s="807"/>
      <c r="AU2691" s="807"/>
      <c r="AV2691" s="807"/>
      <c r="AW2691" s="807"/>
      <c r="AX2691" s="807"/>
      <c r="AY2691" s="807"/>
      <c r="AZ2691" s="807"/>
      <c r="BA2691" s="807"/>
      <c r="BB2691" s="807"/>
      <c r="BC2691" s="93"/>
      <c r="BD2691" s="93"/>
      <c r="BE2691" s="93"/>
      <c r="BF2691" s="93"/>
      <c r="BG2691" s="93"/>
      <c r="BH2691" s="93"/>
      <c r="BI2691" s="93"/>
      <c r="BJ2691" s="93"/>
      <c r="BK2691" s="93"/>
      <c r="BL2691" s="807"/>
      <c r="BM2691" s="807"/>
      <c r="BN2691" s="93"/>
      <c r="BO2691" s="807"/>
      <c r="BP2691" s="807"/>
      <c r="BQ2691" s="807"/>
      <c r="BR2691" s="807"/>
      <c r="BS2691" s="807"/>
      <c r="BT2691" s="807"/>
      <c r="BU2691" s="807"/>
      <c r="BV2691" s="807"/>
      <c r="BW2691" s="807"/>
      <c r="BX2691" s="807"/>
      <c r="BY2691" s="807"/>
      <c r="BZ2691" s="807"/>
      <c r="CA2691" s="807"/>
      <c r="CB2691" s="807"/>
      <c r="CC2691" s="807"/>
      <c r="CD2691" s="93"/>
      <c r="CE2691" s="93"/>
      <c r="CF2691" s="807"/>
      <c r="CG2691" s="807"/>
      <c r="CH2691" s="807"/>
      <c r="CI2691" s="807"/>
      <c r="CJ2691" s="807"/>
      <c r="CK2691" s="807"/>
      <c r="CL2691" s="807"/>
      <c r="CM2691" s="807"/>
      <c r="CN2691" s="807"/>
      <c r="CO2691" s="807"/>
      <c r="CP2691" s="807"/>
      <c r="CQ2691" s="807"/>
      <c r="CR2691" s="807"/>
      <c r="CS2691" s="807"/>
      <c r="CT2691" s="807"/>
      <c r="CU2691" s="807"/>
      <c r="CV2691" s="807"/>
      <c r="CW2691" s="807"/>
      <c r="CX2691" s="807"/>
      <c r="CY2691" s="807"/>
      <c r="CZ2691" s="807"/>
      <c r="DA2691" s="807"/>
      <c r="DB2691" s="807"/>
      <c r="DC2691" s="807"/>
      <c r="DD2691" s="807"/>
      <c r="DE2691" s="807"/>
      <c r="DF2691" s="807"/>
      <c r="DG2691" s="807"/>
      <c r="DH2691" s="807"/>
      <c r="DI2691" s="807"/>
      <c r="DJ2691" s="807"/>
      <c r="DK2691" s="807"/>
      <c r="DL2691" s="807"/>
      <c r="DM2691" s="807"/>
      <c r="DN2691" s="807"/>
      <c r="DO2691" s="807"/>
      <c r="DP2691" s="807"/>
      <c r="DQ2691" s="807"/>
      <c r="DR2691" s="807"/>
      <c r="GO2691" s="992"/>
      <c r="GP2691" s="1004"/>
    </row>
    <row r="2692" spans="1:198">
      <c r="A2692" s="988"/>
      <c r="M2692" s="811" t="str">
        <f t="shared" si="191"/>
        <v/>
      </c>
      <c r="R2692" s="995"/>
      <c r="S2692" s="996"/>
      <c r="T2692" s="996"/>
      <c r="U2692" s="996"/>
      <c r="V2692" s="997"/>
      <c r="W2692" s="998"/>
      <c r="X2692" s="994" t="str">
        <f t="shared" si="193"/>
        <v/>
      </c>
      <c r="Y2692" s="999"/>
      <c r="Z2692" s="999"/>
      <c r="AA2692" s="999"/>
      <c r="AB2692" s="1000"/>
      <c r="AC2692" s="989"/>
      <c r="AD2692" s="869"/>
      <c r="AE2692" s="990"/>
      <c r="AF2692" s="1001"/>
      <c r="AG2692" s="991"/>
      <c r="AH2692" s="869"/>
      <c r="AI2692" s="1002"/>
      <c r="AJ2692" s="1002"/>
      <c r="AK2692" s="1000"/>
      <c r="AL2692" s="992"/>
      <c r="AM2692" s="992"/>
      <c r="AN2692" s="996"/>
      <c r="AO2692" s="869"/>
      <c r="AP2692" s="1003"/>
      <c r="AQ2692" s="989"/>
      <c r="AR2692" s="989"/>
      <c r="AS2692" s="989"/>
      <c r="AT2692" s="989"/>
      <c r="AU2692" s="989"/>
      <c r="AV2692" s="989"/>
      <c r="AW2692" s="989"/>
      <c r="AX2692" s="989"/>
      <c r="AY2692" s="989"/>
      <c r="AZ2692" s="989"/>
      <c r="BA2692" s="989"/>
      <c r="BB2692" s="989"/>
      <c r="BC2692" s="990"/>
      <c r="BD2692" s="990"/>
      <c r="BE2692" s="990"/>
      <c r="BF2692" s="990"/>
      <c r="BG2692" s="990"/>
      <c r="BH2692" s="990"/>
      <c r="BI2692" s="990"/>
      <c r="BJ2692" s="990"/>
      <c r="BK2692" s="990"/>
      <c r="BL2692" s="989"/>
      <c r="BM2692" s="989"/>
      <c r="BN2692" s="990"/>
      <c r="BO2692" s="989"/>
      <c r="BP2692" s="989"/>
      <c r="BQ2692" s="989"/>
      <c r="BR2692" s="989"/>
      <c r="BS2692" s="989"/>
      <c r="BT2692" s="989"/>
      <c r="BU2692" s="989"/>
      <c r="BV2692" s="989"/>
      <c r="BW2692" s="989"/>
      <c r="BX2692" s="989"/>
      <c r="BY2692" s="989"/>
      <c r="BZ2692" s="989"/>
      <c r="CA2692" s="989"/>
      <c r="CB2692" s="989"/>
      <c r="CC2692" s="989"/>
      <c r="CD2692" s="990"/>
      <c r="CE2692" s="990"/>
      <c r="CF2692" s="989"/>
      <c r="CG2692" s="989"/>
      <c r="CH2692" s="989"/>
      <c r="CI2692" s="989"/>
      <c r="CJ2692" s="989"/>
      <c r="CK2692" s="989"/>
      <c r="CL2692" s="989"/>
      <c r="CM2692" s="989"/>
      <c r="CN2692" s="989"/>
      <c r="CO2692" s="989"/>
      <c r="CP2692" s="989"/>
      <c r="CQ2692" s="989"/>
      <c r="CR2692" s="989"/>
      <c r="CS2692" s="989"/>
      <c r="CT2692" s="989"/>
      <c r="CU2692" s="989"/>
      <c r="CV2692" s="989"/>
      <c r="CW2692" s="989"/>
      <c r="CX2692" s="989"/>
      <c r="CY2692" s="989"/>
      <c r="CZ2692" s="989"/>
      <c r="DA2692" s="989"/>
      <c r="DB2692" s="989"/>
      <c r="DC2692" s="989"/>
      <c r="DD2692" s="989"/>
      <c r="DE2692" s="989"/>
      <c r="DF2692" s="989"/>
      <c r="DG2692" s="989"/>
      <c r="DH2692" s="989"/>
      <c r="DI2692" s="989"/>
      <c r="DJ2692" s="989"/>
      <c r="DK2692" s="989"/>
      <c r="DL2692" s="989"/>
      <c r="DM2692" s="989"/>
      <c r="DN2692" s="989"/>
      <c r="DO2692" s="989"/>
      <c r="DP2692" s="989"/>
      <c r="DQ2692" s="989"/>
      <c r="DR2692" s="989"/>
    </row>
    <row r="2693" spans="1:198">
      <c r="B2693" s="989"/>
      <c r="C2693" s="990"/>
      <c r="D2693" s="1061"/>
      <c r="G2693" s="991"/>
      <c r="M2693" s="811" t="str">
        <f t="shared" si="191"/>
        <v/>
      </c>
      <c r="N2693" s="992"/>
      <c r="X2693" s="811" t="str">
        <f t="shared" si="193"/>
        <v/>
      </c>
      <c r="AJ2693" s="865"/>
    </row>
    <row r="2694" spans="1:198">
      <c r="H2694" s="991"/>
      <c r="I2694" s="992"/>
      <c r="J2694" s="992"/>
      <c r="K2694" s="992"/>
      <c r="L2694" s="993"/>
      <c r="M2694" s="994" t="str">
        <f t="shared" si="191"/>
        <v/>
      </c>
      <c r="X2694" s="811" t="str">
        <f t="shared" si="193"/>
        <v/>
      </c>
      <c r="AJ2694" s="865"/>
    </row>
    <row r="2695" spans="1:198">
      <c r="M2695" s="811" t="str">
        <f t="shared" si="191"/>
        <v/>
      </c>
      <c r="X2695" s="811" t="str">
        <f t="shared" si="193"/>
        <v/>
      </c>
      <c r="AJ2695" s="865"/>
    </row>
    <row r="2696" spans="1:198">
      <c r="M2696" s="811" t="str">
        <f t="shared" si="191"/>
        <v/>
      </c>
      <c r="X2696" s="811" t="str">
        <f t="shared" si="193"/>
        <v/>
      </c>
      <c r="AJ2696" s="865"/>
    </row>
    <row r="2697" spans="1:198">
      <c r="M2697" s="811" t="str">
        <f t="shared" si="191"/>
        <v/>
      </c>
      <c r="X2697" s="811" t="str">
        <f t="shared" si="193"/>
        <v/>
      </c>
      <c r="AJ2697" s="865"/>
    </row>
    <row r="2698" spans="1:198">
      <c r="M2698" s="811" t="str">
        <f t="shared" si="191"/>
        <v/>
      </c>
      <c r="X2698" s="811" t="str">
        <f t="shared" si="193"/>
        <v/>
      </c>
      <c r="AJ2698" s="865"/>
    </row>
    <row r="2699" spans="1:198">
      <c r="M2699" s="811" t="str">
        <f t="shared" si="191"/>
        <v/>
      </c>
      <c r="X2699" s="811" t="str">
        <f t="shared" si="193"/>
        <v/>
      </c>
      <c r="AJ2699" s="865"/>
    </row>
    <row r="2700" spans="1:198">
      <c r="M2700" s="811" t="str">
        <f t="shared" ref="M2700:M2763" si="194">IF(ISBLANK(L2700)=TRUE,"",LOOKUP(L2700,GQ:GR))</f>
        <v/>
      </c>
      <c r="X2700" s="811" t="str">
        <f t="shared" si="193"/>
        <v/>
      </c>
      <c r="AJ2700" s="865"/>
    </row>
    <row r="2701" spans="1:198">
      <c r="M2701" s="811" t="str">
        <f t="shared" si="194"/>
        <v/>
      </c>
      <c r="X2701" s="811" t="str">
        <f t="shared" si="193"/>
        <v/>
      </c>
      <c r="AJ2701" s="865"/>
    </row>
    <row r="2702" spans="1:198">
      <c r="M2702" s="811" t="str">
        <f t="shared" si="194"/>
        <v/>
      </c>
      <c r="X2702" s="811" t="str">
        <f t="shared" si="193"/>
        <v/>
      </c>
      <c r="AJ2702" s="865"/>
    </row>
    <row r="2703" spans="1:198">
      <c r="M2703" s="811" t="str">
        <f t="shared" si="194"/>
        <v/>
      </c>
      <c r="X2703" s="811" t="str">
        <f t="shared" si="193"/>
        <v/>
      </c>
      <c r="AJ2703" s="865"/>
    </row>
    <row r="2704" spans="1:198">
      <c r="M2704" s="811" t="str">
        <f t="shared" si="194"/>
        <v/>
      </c>
      <c r="X2704" s="811" t="str">
        <f t="shared" si="193"/>
        <v/>
      </c>
      <c r="AJ2704" s="865"/>
    </row>
    <row r="2705" spans="13:36">
      <c r="M2705" s="811" t="str">
        <f t="shared" si="194"/>
        <v/>
      </c>
      <c r="X2705" s="811" t="str">
        <f t="shared" si="193"/>
        <v/>
      </c>
      <c r="AJ2705" s="865"/>
    </row>
    <row r="2706" spans="13:36">
      <c r="M2706" s="811" t="str">
        <f t="shared" si="194"/>
        <v/>
      </c>
      <c r="X2706" s="811" t="str">
        <f t="shared" si="193"/>
        <v/>
      </c>
      <c r="AJ2706" s="865"/>
    </row>
    <row r="2707" spans="13:36">
      <c r="M2707" s="811" t="str">
        <f t="shared" si="194"/>
        <v/>
      </c>
      <c r="X2707" s="811" t="str">
        <f t="shared" si="193"/>
        <v/>
      </c>
      <c r="AJ2707" s="865"/>
    </row>
    <row r="2708" spans="13:36">
      <c r="M2708" s="811" t="str">
        <f t="shared" si="194"/>
        <v/>
      </c>
      <c r="X2708" s="811" t="str">
        <f t="shared" si="193"/>
        <v/>
      </c>
      <c r="AJ2708" s="865"/>
    </row>
    <row r="2709" spans="13:36">
      <c r="M2709" s="811" t="str">
        <f t="shared" si="194"/>
        <v/>
      </c>
      <c r="X2709" s="811" t="str">
        <f t="shared" si="193"/>
        <v/>
      </c>
      <c r="AJ2709" s="865"/>
    </row>
    <row r="2710" spans="13:36">
      <c r="M2710" s="811" t="str">
        <f t="shared" si="194"/>
        <v/>
      </c>
      <c r="X2710" s="811" t="str">
        <f t="shared" si="193"/>
        <v/>
      </c>
      <c r="AJ2710" s="865"/>
    </row>
    <row r="2711" spans="13:36">
      <c r="M2711" s="811" t="str">
        <f t="shared" si="194"/>
        <v/>
      </c>
      <c r="X2711" s="811" t="str">
        <f t="shared" si="193"/>
        <v/>
      </c>
      <c r="AJ2711" s="865"/>
    </row>
    <row r="2712" spans="13:36">
      <c r="M2712" s="811" t="str">
        <f t="shared" si="194"/>
        <v/>
      </c>
      <c r="X2712" s="811" t="str">
        <f t="shared" si="193"/>
        <v/>
      </c>
      <c r="AJ2712" s="865"/>
    </row>
    <row r="2713" spans="13:36">
      <c r="M2713" s="811" t="str">
        <f t="shared" si="194"/>
        <v/>
      </c>
      <c r="X2713" s="811" t="str">
        <f t="shared" si="193"/>
        <v/>
      </c>
      <c r="AJ2713" s="865"/>
    </row>
    <row r="2714" spans="13:36">
      <c r="M2714" s="811" t="str">
        <f t="shared" si="194"/>
        <v/>
      </c>
      <c r="X2714" s="811" t="str">
        <f t="shared" si="193"/>
        <v/>
      </c>
      <c r="AJ2714" s="865"/>
    </row>
    <row r="2715" spans="13:36">
      <c r="M2715" s="811" t="str">
        <f t="shared" si="194"/>
        <v/>
      </c>
      <c r="X2715" s="811" t="str">
        <f t="shared" si="193"/>
        <v/>
      </c>
      <c r="AJ2715" s="865"/>
    </row>
    <row r="2716" spans="13:36">
      <c r="M2716" s="811" t="str">
        <f t="shared" si="194"/>
        <v/>
      </c>
      <c r="X2716" s="811" t="str">
        <f t="shared" si="193"/>
        <v/>
      </c>
      <c r="AJ2716" s="865"/>
    </row>
    <row r="2717" spans="13:36">
      <c r="M2717" s="811" t="str">
        <f t="shared" si="194"/>
        <v/>
      </c>
      <c r="X2717" s="811" t="str">
        <f t="shared" si="193"/>
        <v/>
      </c>
      <c r="AJ2717" s="865"/>
    </row>
    <row r="2718" spans="13:36">
      <c r="M2718" s="811" t="str">
        <f t="shared" si="194"/>
        <v/>
      </c>
      <c r="X2718" s="811" t="str">
        <f t="shared" si="193"/>
        <v/>
      </c>
      <c r="AJ2718" s="865"/>
    </row>
    <row r="2719" spans="13:36">
      <c r="M2719" s="811" t="str">
        <f t="shared" si="194"/>
        <v/>
      </c>
      <c r="X2719" s="811" t="str">
        <f t="shared" si="193"/>
        <v/>
      </c>
      <c r="AJ2719" s="865"/>
    </row>
    <row r="2720" spans="13:36">
      <c r="M2720" s="811" t="str">
        <f t="shared" si="194"/>
        <v/>
      </c>
      <c r="X2720" s="811" t="str">
        <f t="shared" si="193"/>
        <v/>
      </c>
      <c r="AJ2720" s="865"/>
    </row>
    <row r="2721" spans="13:36">
      <c r="M2721" s="811" t="str">
        <f t="shared" si="194"/>
        <v/>
      </c>
      <c r="X2721" s="811" t="str">
        <f t="shared" si="193"/>
        <v/>
      </c>
      <c r="AJ2721" s="865"/>
    </row>
    <row r="2722" spans="13:36">
      <c r="M2722" s="811" t="str">
        <f t="shared" si="194"/>
        <v/>
      </c>
      <c r="X2722" s="811" t="str">
        <f t="shared" si="193"/>
        <v/>
      </c>
      <c r="AJ2722" s="865"/>
    </row>
    <row r="2723" spans="13:36">
      <c r="M2723" s="811" t="str">
        <f t="shared" si="194"/>
        <v/>
      </c>
      <c r="X2723" s="811" t="str">
        <f t="shared" si="193"/>
        <v/>
      </c>
      <c r="AJ2723" s="865"/>
    </row>
    <row r="2724" spans="13:36">
      <c r="M2724" s="811" t="str">
        <f t="shared" si="194"/>
        <v/>
      </c>
      <c r="X2724" s="811" t="str">
        <f t="shared" si="193"/>
        <v/>
      </c>
      <c r="AJ2724" s="865"/>
    </row>
    <row r="2725" spans="13:36">
      <c r="M2725" s="811" t="str">
        <f t="shared" si="194"/>
        <v/>
      </c>
      <c r="X2725" s="811" t="str">
        <f t="shared" si="193"/>
        <v/>
      </c>
      <c r="AJ2725" s="865"/>
    </row>
    <row r="2726" spans="13:36">
      <c r="M2726" s="811" t="str">
        <f t="shared" si="194"/>
        <v/>
      </c>
      <c r="X2726" s="811" t="str">
        <f t="shared" si="193"/>
        <v/>
      </c>
      <c r="AJ2726" s="865"/>
    </row>
    <row r="2727" spans="13:36">
      <c r="M2727" s="811" t="str">
        <f t="shared" si="194"/>
        <v/>
      </c>
      <c r="X2727" s="811" t="str">
        <f t="shared" si="193"/>
        <v/>
      </c>
      <c r="AJ2727" s="865"/>
    </row>
    <row r="2728" spans="13:36">
      <c r="M2728" s="811" t="str">
        <f t="shared" si="194"/>
        <v/>
      </c>
      <c r="X2728" s="811" t="str">
        <f t="shared" si="193"/>
        <v/>
      </c>
      <c r="AJ2728" s="865"/>
    </row>
    <row r="2729" spans="13:36">
      <c r="M2729" s="811" t="str">
        <f t="shared" si="194"/>
        <v/>
      </c>
      <c r="X2729" s="811" t="str">
        <f t="shared" si="193"/>
        <v/>
      </c>
      <c r="AJ2729" s="865"/>
    </row>
    <row r="2730" spans="13:36">
      <c r="M2730" s="811" t="str">
        <f t="shared" si="194"/>
        <v/>
      </c>
      <c r="X2730" s="811" t="str">
        <f t="shared" si="193"/>
        <v/>
      </c>
      <c r="AJ2730" s="865"/>
    </row>
    <row r="2731" spans="13:36">
      <c r="M2731" s="811" t="str">
        <f t="shared" si="194"/>
        <v/>
      </c>
      <c r="X2731" s="811" t="str">
        <f t="shared" si="193"/>
        <v/>
      </c>
      <c r="AJ2731" s="865"/>
    </row>
    <row r="2732" spans="13:36">
      <c r="M2732" s="811" t="str">
        <f t="shared" si="194"/>
        <v/>
      </c>
      <c r="X2732" s="811" t="str">
        <f t="shared" si="193"/>
        <v/>
      </c>
      <c r="AJ2732" s="865"/>
    </row>
    <row r="2733" spans="13:36">
      <c r="M2733" s="811" t="str">
        <f t="shared" si="194"/>
        <v/>
      </c>
      <c r="X2733" s="811" t="str">
        <f t="shared" si="193"/>
        <v/>
      </c>
      <c r="AJ2733" s="865"/>
    </row>
    <row r="2734" spans="13:36">
      <c r="M2734" s="811" t="str">
        <f t="shared" si="194"/>
        <v/>
      </c>
      <c r="X2734" s="811" t="str">
        <f t="shared" si="193"/>
        <v/>
      </c>
      <c r="AJ2734" s="865"/>
    </row>
    <row r="2735" spans="13:36">
      <c r="M2735" s="811" t="str">
        <f t="shared" si="194"/>
        <v/>
      </c>
      <c r="X2735" s="811" t="str">
        <f t="shared" si="193"/>
        <v/>
      </c>
      <c r="AJ2735" s="865"/>
    </row>
    <row r="2736" spans="13:36">
      <c r="M2736" s="811" t="str">
        <f t="shared" si="194"/>
        <v/>
      </c>
      <c r="X2736" s="811" t="str">
        <f t="shared" si="193"/>
        <v/>
      </c>
      <c r="AJ2736" s="865"/>
    </row>
    <row r="2737" spans="13:36">
      <c r="M2737" s="811" t="str">
        <f t="shared" si="194"/>
        <v/>
      </c>
      <c r="X2737" s="811" t="str">
        <f t="shared" si="193"/>
        <v/>
      </c>
      <c r="AJ2737" s="865"/>
    </row>
    <row r="2738" spans="13:36">
      <c r="M2738" s="811" t="str">
        <f t="shared" si="194"/>
        <v/>
      </c>
      <c r="X2738" s="811" t="str">
        <f t="shared" si="193"/>
        <v/>
      </c>
      <c r="AJ2738" s="865"/>
    </row>
    <row r="2739" spans="13:36">
      <c r="M2739" s="811" t="str">
        <f t="shared" si="194"/>
        <v/>
      </c>
      <c r="X2739" s="811" t="str">
        <f t="shared" ref="X2739:X2802" si="195">IF(ISBLANK(W2739)=TRUE,"",LOOKUP(W2739,GO:GP))</f>
        <v/>
      </c>
      <c r="AJ2739" s="865"/>
    </row>
    <row r="2740" spans="13:36">
      <c r="M2740" s="811" t="str">
        <f t="shared" si="194"/>
        <v/>
      </c>
      <c r="X2740" s="811" t="str">
        <f t="shared" si="195"/>
        <v/>
      </c>
      <c r="AJ2740" s="865"/>
    </row>
    <row r="2741" spans="13:36">
      <c r="M2741" s="811" t="str">
        <f t="shared" si="194"/>
        <v/>
      </c>
      <c r="X2741" s="811" t="str">
        <f t="shared" si="195"/>
        <v/>
      </c>
      <c r="AJ2741" s="865"/>
    </row>
    <row r="2742" spans="13:36">
      <c r="M2742" s="811" t="str">
        <f t="shared" si="194"/>
        <v/>
      </c>
      <c r="X2742" s="811" t="str">
        <f t="shared" si="195"/>
        <v/>
      </c>
      <c r="AJ2742" s="865"/>
    </row>
    <row r="2743" spans="13:36">
      <c r="M2743" s="811" t="str">
        <f t="shared" si="194"/>
        <v/>
      </c>
      <c r="X2743" s="811" t="str">
        <f t="shared" si="195"/>
        <v/>
      </c>
      <c r="AJ2743" s="865"/>
    </row>
    <row r="2744" spans="13:36">
      <c r="M2744" s="811" t="str">
        <f t="shared" si="194"/>
        <v/>
      </c>
      <c r="X2744" s="811" t="str">
        <f t="shared" si="195"/>
        <v/>
      </c>
      <c r="AJ2744" s="865"/>
    </row>
    <row r="2745" spans="13:36">
      <c r="M2745" s="811" t="str">
        <f t="shared" si="194"/>
        <v/>
      </c>
      <c r="X2745" s="811" t="str">
        <f t="shared" si="195"/>
        <v/>
      </c>
      <c r="AJ2745" s="865"/>
    </row>
    <row r="2746" spans="13:36">
      <c r="M2746" s="811" t="str">
        <f t="shared" si="194"/>
        <v/>
      </c>
      <c r="X2746" s="811" t="str">
        <f t="shared" si="195"/>
        <v/>
      </c>
      <c r="AJ2746" s="865"/>
    </row>
    <row r="2747" spans="13:36">
      <c r="M2747" s="811" t="str">
        <f t="shared" si="194"/>
        <v/>
      </c>
      <c r="X2747" s="811" t="str">
        <f t="shared" si="195"/>
        <v/>
      </c>
      <c r="AJ2747" s="865"/>
    </row>
    <row r="2748" spans="13:36">
      <c r="M2748" s="811" t="str">
        <f t="shared" si="194"/>
        <v/>
      </c>
      <c r="X2748" s="811" t="str">
        <f t="shared" si="195"/>
        <v/>
      </c>
      <c r="AJ2748" s="865"/>
    </row>
    <row r="2749" spans="13:36">
      <c r="M2749" s="811" t="str">
        <f t="shared" si="194"/>
        <v/>
      </c>
      <c r="X2749" s="811" t="str">
        <f t="shared" si="195"/>
        <v/>
      </c>
      <c r="AJ2749" s="865"/>
    </row>
    <row r="2750" spans="13:36">
      <c r="M2750" s="811" t="str">
        <f t="shared" si="194"/>
        <v/>
      </c>
      <c r="X2750" s="811" t="str">
        <f t="shared" si="195"/>
        <v/>
      </c>
      <c r="AJ2750" s="865"/>
    </row>
    <row r="2751" spans="13:36">
      <c r="M2751" s="811" t="str">
        <f t="shared" si="194"/>
        <v/>
      </c>
      <c r="X2751" s="811" t="str">
        <f t="shared" si="195"/>
        <v/>
      </c>
      <c r="AJ2751" s="865"/>
    </row>
    <row r="2752" spans="13:36">
      <c r="M2752" s="811" t="str">
        <f t="shared" si="194"/>
        <v/>
      </c>
      <c r="X2752" s="811" t="str">
        <f t="shared" si="195"/>
        <v/>
      </c>
      <c r="AJ2752" s="865"/>
    </row>
    <row r="2753" spans="13:36">
      <c r="M2753" s="811" t="str">
        <f t="shared" si="194"/>
        <v/>
      </c>
      <c r="X2753" s="811" t="str">
        <f t="shared" si="195"/>
        <v/>
      </c>
      <c r="AJ2753" s="865"/>
    </row>
    <row r="2754" spans="13:36">
      <c r="M2754" s="811" t="str">
        <f t="shared" si="194"/>
        <v/>
      </c>
      <c r="X2754" s="811" t="str">
        <f t="shared" si="195"/>
        <v/>
      </c>
      <c r="AJ2754" s="865"/>
    </row>
    <row r="2755" spans="13:36">
      <c r="M2755" s="811" t="str">
        <f t="shared" si="194"/>
        <v/>
      </c>
      <c r="X2755" s="811" t="str">
        <f t="shared" si="195"/>
        <v/>
      </c>
      <c r="AJ2755" s="865"/>
    </row>
    <row r="2756" spans="13:36">
      <c r="M2756" s="811" t="str">
        <f t="shared" si="194"/>
        <v/>
      </c>
      <c r="X2756" s="811" t="str">
        <f t="shared" si="195"/>
        <v/>
      </c>
      <c r="AJ2756" s="865"/>
    </row>
    <row r="2757" spans="13:36">
      <c r="M2757" s="811" t="str">
        <f t="shared" si="194"/>
        <v/>
      </c>
      <c r="X2757" s="811" t="str">
        <f t="shared" si="195"/>
        <v/>
      </c>
      <c r="AJ2757" s="865"/>
    </row>
    <row r="2758" spans="13:36">
      <c r="M2758" s="811" t="str">
        <f t="shared" si="194"/>
        <v/>
      </c>
      <c r="X2758" s="811" t="str">
        <f t="shared" si="195"/>
        <v/>
      </c>
      <c r="AJ2758" s="865"/>
    </row>
    <row r="2759" spans="13:36">
      <c r="M2759" s="811" t="str">
        <f t="shared" si="194"/>
        <v/>
      </c>
      <c r="X2759" s="811" t="str">
        <f t="shared" si="195"/>
        <v/>
      </c>
      <c r="AJ2759" s="865"/>
    </row>
    <row r="2760" spans="13:36">
      <c r="M2760" s="811" t="str">
        <f t="shared" si="194"/>
        <v/>
      </c>
      <c r="X2760" s="811" t="str">
        <f t="shared" si="195"/>
        <v/>
      </c>
      <c r="AJ2760" s="865"/>
    </row>
    <row r="2761" spans="13:36">
      <c r="M2761" s="811" t="str">
        <f t="shared" si="194"/>
        <v/>
      </c>
      <c r="X2761" s="811" t="str">
        <f t="shared" si="195"/>
        <v/>
      </c>
      <c r="AJ2761" s="865"/>
    </row>
    <row r="2762" spans="13:36">
      <c r="M2762" s="811" t="str">
        <f t="shared" si="194"/>
        <v/>
      </c>
      <c r="X2762" s="811" t="str">
        <f t="shared" si="195"/>
        <v/>
      </c>
      <c r="AJ2762" s="865"/>
    </row>
    <row r="2763" spans="13:36">
      <c r="M2763" s="811" t="str">
        <f t="shared" si="194"/>
        <v/>
      </c>
      <c r="X2763" s="811" t="str">
        <f t="shared" si="195"/>
        <v/>
      </c>
      <c r="AJ2763" s="865"/>
    </row>
    <row r="2764" spans="13:36">
      <c r="M2764" s="811" t="str">
        <f t="shared" ref="M2764:M2827" si="196">IF(ISBLANK(L2764)=TRUE,"",LOOKUP(L2764,GQ:GR))</f>
        <v/>
      </c>
      <c r="X2764" s="811" t="str">
        <f t="shared" si="195"/>
        <v/>
      </c>
      <c r="AJ2764" s="865"/>
    </row>
    <row r="2765" spans="13:36">
      <c r="M2765" s="811" t="str">
        <f t="shared" si="196"/>
        <v/>
      </c>
      <c r="X2765" s="811" t="str">
        <f t="shared" si="195"/>
        <v/>
      </c>
      <c r="AJ2765" s="865"/>
    </row>
    <row r="2766" spans="13:36">
      <c r="M2766" s="811" t="str">
        <f t="shared" si="196"/>
        <v/>
      </c>
      <c r="X2766" s="811" t="str">
        <f t="shared" si="195"/>
        <v/>
      </c>
      <c r="AJ2766" s="865"/>
    </row>
    <row r="2767" spans="13:36">
      <c r="M2767" s="811" t="str">
        <f t="shared" si="196"/>
        <v/>
      </c>
      <c r="X2767" s="811" t="str">
        <f t="shared" si="195"/>
        <v/>
      </c>
      <c r="AJ2767" s="865"/>
    </row>
    <row r="2768" spans="13:36">
      <c r="M2768" s="811" t="str">
        <f t="shared" si="196"/>
        <v/>
      </c>
      <c r="X2768" s="811" t="str">
        <f t="shared" si="195"/>
        <v/>
      </c>
      <c r="AJ2768" s="865"/>
    </row>
    <row r="2769" spans="13:36">
      <c r="M2769" s="811" t="str">
        <f t="shared" si="196"/>
        <v/>
      </c>
      <c r="X2769" s="811" t="str">
        <f t="shared" si="195"/>
        <v/>
      </c>
      <c r="AJ2769" s="865"/>
    </row>
    <row r="2770" spans="13:36">
      <c r="M2770" s="811" t="str">
        <f t="shared" si="196"/>
        <v/>
      </c>
      <c r="X2770" s="811" t="str">
        <f t="shared" si="195"/>
        <v/>
      </c>
      <c r="AJ2770" s="865"/>
    </row>
    <row r="2771" spans="13:36">
      <c r="M2771" s="811" t="str">
        <f t="shared" si="196"/>
        <v/>
      </c>
      <c r="X2771" s="811" t="str">
        <f t="shared" si="195"/>
        <v/>
      </c>
      <c r="AJ2771" s="865"/>
    </row>
    <row r="2772" spans="13:36">
      <c r="M2772" s="811" t="str">
        <f t="shared" si="196"/>
        <v/>
      </c>
      <c r="X2772" s="811" t="str">
        <f t="shared" si="195"/>
        <v/>
      </c>
      <c r="AJ2772" s="865"/>
    </row>
    <row r="2773" spans="13:36">
      <c r="M2773" s="811" t="str">
        <f t="shared" si="196"/>
        <v/>
      </c>
      <c r="X2773" s="811" t="str">
        <f t="shared" si="195"/>
        <v/>
      </c>
      <c r="AJ2773" s="865"/>
    </row>
    <row r="2774" spans="13:36">
      <c r="M2774" s="811" t="str">
        <f t="shared" si="196"/>
        <v/>
      </c>
      <c r="X2774" s="811" t="str">
        <f t="shared" si="195"/>
        <v/>
      </c>
      <c r="AJ2774" s="865"/>
    </row>
    <row r="2775" spans="13:36">
      <c r="M2775" s="811" t="str">
        <f t="shared" si="196"/>
        <v/>
      </c>
      <c r="X2775" s="811" t="str">
        <f t="shared" si="195"/>
        <v/>
      </c>
      <c r="AJ2775" s="865"/>
    </row>
    <row r="2776" spans="13:36">
      <c r="M2776" s="811" t="str">
        <f t="shared" si="196"/>
        <v/>
      </c>
      <c r="X2776" s="811" t="str">
        <f t="shared" si="195"/>
        <v/>
      </c>
      <c r="AJ2776" s="865"/>
    </row>
    <row r="2777" spans="13:36">
      <c r="M2777" s="811" t="str">
        <f t="shared" si="196"/>
        <v/>
      </c>
      <c r="X2777" s="811" t="str">
        <f t="shared" si="195"/>
        <v/>
      </c>
      <c r="AJ2777" s="865"/>
    </row>
    <row r="2778" spans="13:36">
      <c r="M2778" s="811" t="str">
        <f t="shared" si="196"/>
        <v/>
      </c>
      <c r="X2778" s="811" t="str">
        <f t="shared" si="195"/>
        <v/>
      </c>
      <c r="AJ2778" s="865"/>
    </row>
    <row r="2779" spans="13:36">
      <c r="M2779" s="811" t="str">
        <f t="shared" si="196"/>
        <v/>
      </c>
      <c r="X2779" s="811" t="str">
        <f t="shared" si="195"/>
        <v/>
      </c>
      <c r="AJ2779" s="865"/>
    </row>
    <row r="2780" spans="13:36">
      <c r="M2780" s="811" t="str">
        <f t="shared" si="196"/>
        <v/>
      </c>
      <c r="X2780" s="811" t="str">
        <f t="shared" si="195"/>
        <v/>
      </c>
      <c r="AJ2780" s="865"/>
    </row>
    <row r="2781" spans="13:36">
      <c r="M2781" s="811" t="str">
        <f t="shared" si="196"/>
        <v/>
      </c>
      <c r="X2781" s="811" t="str">
        <f t="shared" si="195"/>
        <v/>
      </c>
      <c r="AJ2781" s="865"/>
    </row>
    <row r="2782" spans="13:36">
      <c r="M2782" s="811" t="str">
        <f t="shared" si="196"/>
        <v/>
      </c>
      <c r="X2782" s="811" t="str">
        <f t="shared" si="195"/>
        <v/>
      </c>
      <c r="AJ2782" s="865"/>
    </row>
    <row r="2783" spans="13:36">
      <c r="M2783" s="811" t="str">
        <f t="shared" si="196"/>
        <v/>
      </c>
      <c r="X2783" s="811" t="str">
        <f t="shared" si="195"/>
        <v/>
      </c>
      <c r="AJ2783" s="865"/>
    </row>
    <row r="2784" spans="13:36">
      <c r="M2784" s="811" t="str">
        <f t="shared" si="196"/>
        <v/>
      </c>
      <c r="X2784" s="811" t="str">
        <f t="shared" si="195"/>
        <v/>
      </c>
      <c r="AJ2784" s="865"/>
    </row>
    <row r="2785" spans="13:36">
      <c r="M2785" s="811" t="str">
        <f t="shared" si="196"/>
        <v/>
      </c>
      <c r="X2785" s="811" t="str">
        <f t="shared" si="195"/>
        <v/>
      </c>
      <c r="AJ2785" s="865"/>
    </row>
    <row r="2786" spans="13:36">
      <c r="M2786" s="811" t="str">
        <f t="shared" si="196"/>
        <v/>
      </c>
      <c r="X2786" s="811" t="str">
        <f t="shared" si="195"/>
        <v/>
      </c>
      <c r="AJ2786" s="865"/>
    </row>
    <row r="2787" spans="13:36">
      <c r="M2787" s="811" t="str">
        <f t="shared" si="196"/>
        <v/>
      </c>
      <c r="X2787" s="811" t="str">
        <f t="shared" si="195"/>
        <v/>
      </c>
      <c r="AJ2787" s="865"/>
    </row>
    <row r="2788" spans="13:36">
      <c r="M2788" s="811" t="str">
        <f t="shared" si="196"/>
        <v/>
      </c>
      <c r="X2788" s="811" t="str">
        <f t="shared" si="195"/>
        <v/>
      </c>
      <c r="AJ2788" s="865"/>
    </row>
    <row r="2789" spans="13:36">
      <c r="M2789" s="811" t="str">
        <f t="shared" si="196"/>
        <v/>
      </c>
      <c r="X2789" s="811" t="str">
        <f t="shared" si="195"/>
        <v/>
      </c>
      <c r="AJ2789" s="865"/>
    </row>
    <row r="2790" spans="13:36">
      <c r="M2790" s="811" t="str">
        <f t="shared" si="196"/>
        <v/>
      </c>
      <c r="X2790" s="811" t="str">
        <f t="shared" si="195"/>
        <v/>
      </c>
      <c r="AJ2790" s="865"/>
    </row>
    <row r="2791" spans="13:36">
      <c r="M2791" s="811" t="str">
        <f t="shared" si="196"/>
        <v/>
      </c>
      <c r="X2791" s="811" t="str">
        <f t="shared" si="195"/>
        <v/>
      </c>
      <c r="AJ2791" s="865"/>
    </row>
    <row r="2792" spans="13:36">
      <c r="M2792" s="811" t="str">
        <f t="shared" si="196"/>
        <v/>
      </c>
      <c r="X2792" s="811" t="str">
        <f t="shared" si="195"/>
        <v/>
      </c>
      <c r="AJ2792" s="865"/>
    </row>
    <row r="2793" spans="13:36">
      <c r="M2793" s="811" t="str">
        <f t="shared" si="196"/>
        <v/>
      </c>
      <c r="X2793" s="811" t="str">
        <f t="shared" si="195"/>
        <v/>
      </c>
      <c r="AJ2793" s="865"/>
    </row>
    <row r="2794" spans="13:36">
      <c r="M2794" s="811" t="str">
        <f t="shared" si="196"/>
        <v/>
      </c>
      <c r="X2794" s="811" t="str">
        <f t="shared" si="195"/>
        <v/>
      </c>
      <c r="AJ2794" s="865"/>
    </row>
    <row r="2795" spans="13:36">
      <c r="M2795" s="811" t="str">
        <f t="shared" si="196"/>
        <v/>
      </c>
      <c r="X2795" s="811" t="str">
        <f t="shared" si="195"/>
        <v/>
      </c>
      <c r="AJ2795" s="865"/>
    </row>
    <row r="2796" spans="13:36">
      <c r="M2796" s="811" t="str">
        <f t="shared" si="196"/>
        <v/>
      </c>
      <c r="X2796" s="811" t="str">
        <f t="shared" si="195"/>
        <v/>
      </c>
      <c r="AJ2796" s="865"/>
    </row>
    <row r="2797" spans="13:36">
      <c r="M2797" s="811" t="str">
        <f t="shared" si="196"/>
        <v/>
      </c>
      <c r="X2797" s="811" t="str">
        <f t="shared" si="195"/>
        <v/>
      </c>
      <c r="AJ2797" s="865"/>
    </row>
    <row r="2798" spans="13:36">
      <c r="M2798" s="811" t="str">
        <f t="shared" si="196"/>
        <v/>
      </c>
      <c r="X2798" s="811" t="str">
        <f t="shared" si="195"/>
        <v/>
      </c>
      <c r="AJ2798" s="865"/>
    </row>
    <row r="2799" spans="13:36">
      <c r="M2799" s="811" t="str">
        <f t="shared" si="196"/>
        <v/>
      </c>
      <c r="X2799" s="811" t="str">
        <f t="shared" si="195"/>
        <v/>
      </c>
      <c r="AJ2799" s="865"/>
    </row>
    <row r="2800" spans="13:36">
      <c r="M2800" s="811" t="str">
        <f t="shared" si="196"/>
        <v/>
      </c>
      <c r="X2800" s="811" t="str">
        <f t="shared" si="195"/>
        <v/>
      </c>
      <c r="AJ2800" s="865"/>
    </row>
    <row r="2801" spans="13:36">
      <c r="M2801" s="811" t="str">
        <f t="shared" si="196"/>
        <v/>
      </c>
      <c r="X2801" s="811" t="str">
        <f t="shared" si="195"/>
        <v/>
      </c>
      <c r="AJ2801" s="865"/>
    </row>
    <row r="2802" spans="13:36">
      <c r="M2802" s="811" t="str">
        <f t="shared" si="196"/>
        <v/>
      </c>
      <c r="X2802" s="811" t="str">
        <f t="shared" si="195"/>
        <v/>
      </c>
      <c r="AJ2802" s="865"/>
    </row>
    <row r="2803" spans="13:36">
      <c r="M2803" s="811" t="str">
        <f t="shared" si="196"/>
        <v/>
      </c>
      <c r="X2803" s="811" t="str">
        <f t="shared" ref="X2803:X2866" si="197">IF(ISBLANK(W2803)=TRUE,"",LOOKUP(W2803,GO:GP))</f>
        <v/>
      </c>
      <c r="AJ2803" s="865"/>
    </row>
    <row r="2804" spans="13:36">
      <c r="M2804" s="811" t="str">
        <f t="shared" si="196"/>
        <v/>
      </c>
      <c r="X2804" s="811" t="str">
        <f t="shared" si="197"/>
        <v/>
      </c>
      <c r="AJ2804" s="865"/>
    </row>
    <row r="2805" spans="13:36">
      <c r="M2805" s="811" t="str">
        <f t="shared" si="196"/>
        <v/>
      </c>
      <c r="X2805" s="811" t="str">
        <f t="shared" si="197"/>
        <v/>
      </c>
      <c r="AJ2805" s="865"/>
    </row>
    <row r="2806" spans="13:36">
      <c r="M2806" s="811" t="str">
        <f t="shared" si="196"/>
        <v/>
      </c>
      <c r="X2806" s="811" t="str">
        <f t="shared" si="197"/>
        <v/>
      </c>
      <c r="AJ2806" s="865"/>
    </row>
    <row r="2807" spans="13:36">
      <c r="M2807" s="811" t="str">
        <f t="shared" si="196"/>
        <v/>
      </c>
      <c r="X2807" s="811" t="str">
        <f t="shared" si="197"/>
        <v/>
      </c>
      <c r="AJ2807" s="865"/>
    </row>
    <row r="2808" spans="13:36">
      <c r="M2808" s="811" t="str">
        <f t="shared" si="196"/>
        <v/>
      </c>
      <c r="X2808" s="811" t="str">
        <f t="shared" si="197"/>
        <v/>
      </c>
      <c r="AJ2808" s="865"/>
    </row>
    <row r="2809" spans="13:36">
      <c r="M2809" s="811" t="str">
        <f t="shared" si="196"/>
        <v/>
      </c>
      <c r="X2809" s="811" t="str">
        <f t="shared" si="197"/>
        <v/>
      </c>
      <c r="AJ2809" s="865"/>
    </row>
    <row r="2810" spans="13:36">
      <c r="M2810" s="811" t="str">
        <f t="shared" si="196"/>
        <v/>
      </c>
      <c r="X2810" s="811" t="str">
        <f t="shared" si="197"/>
        <v/>
      </c>
      <c r="AJ2810" s="865"/>
    </row>
    <row r="2811" spans="13:36">
      <c r="M2811" s="811" t="str">
        <f t="shared" si="196"/>
        <v/>
      </c>
      <c r="X2811" s="811" t="str">
        <f t="shared" si="197"/>
        <v/>
      </c>
      <c r="AJ2811" s="865"/>
    </row>
    <row r="2812" spans="13:36">
      <c r="M2812" s="811" t="str">
        <f t="shared" si="196"/>
        <v/>
      </c>
      <c r="X2812" s="811" t="str">
        <f t="shared" si="197"/>
        <v/>
      </c>
      <c r="AJ2812" s="865"/>
    </row>
    <row r="2813" spans="13:36">
      <c r="M2813" s="811" t="str">
        <f t="shared" si="196"/>
        <v/>
      </c>
      <c r="X2813" s="811" t="str">
        <f t="shared" si="197"/>
        <v/>
      </c>
      <c r="AJ2813" s="865"/>
    </row>
    <row r="2814" spans="13:36">
      <c r="M2814" s="811" t="str">
        <f t="shared" si="196"/>
        <v/>
      </c>
      <c r="X2814" s="811" t="str">
        <f t="shared" si="197"/>
        <v/>
      </c>
      <c r="AJ2814" s="865"/>
    </row>
    <row r="2815" spans="13:36">
      <c r="M2815" s="811" t="str">
        <f t="shared" si="196"/>
        <v/>
      </c>
      <c r="X2815" s="811" t="str">
        <f t="shared" si="197"/>
        <v/>
      </c>
      <c r="AJ2815" s="865"/>
    </row>
    <row r="2816" spans="13:36">
      <c r="M2816" s="811" t="str">
        <f t="shared" si="196"/>
        <v/>
      </c>
      <c r="X2816" s="811" t="str">
        <f t="shared" si="197"/>
        <v/>
      </c>
      <c r="AJ2816" s="865"/>
    </row>
    <row r="2817" spans="13:36">
      <c r="M2817" s="811" t="str">
        <f t="shared" si="196"/>
        <v/>
      </c>
      <c r="X2817" s="811" t="str">
        <f t="shared" si="197"/>
        <v/>
      </c>
      <c r="AJ2817" s="865"/>
    </row>
    <row r="2818" spans="13:36">
      <c r="M2818" s="811" t="str">
        <f t="shared" si="196"/>
        <v/>
      </c>
      <c r="X2818" s="811" t="str">
        <f t="shared" si="197"/>
        <v/>
      </c>
      <c r="AJ2818" s="865"/>
    </row>
    <row r="2819" spans="13:36">
      <c r="M2819" s="811" t="str">
        <f t="shared" si="196"/>
        <v/>
      </c>
      <c r="X2819" s="811" t="str">
        <f t="shared" si="197"/>
        <v/>
      </c>
      <c r="AJ2819" s="865"/>
    </row>
    <row r="2820" spans="13:36">
      <c r="M2820" s="811" t="str">
        <f t="shared" si="196"/>
        <v/>
      </c>
      <c r="X2820" s="811" t="str">
        <f t="shared" si="197"/>
        <v/>
      </c>
      <c r="AJ2820" s="865"/>
    </row>
    <row r="2821" spans="13:36">
      <c r="M2821" s="811" t="str">
        <f t="shared" si="196"/>
        <v/>
      </c>
      <c r="X2821" s="811" t="str">
        <f t="shared" si="197"/>
        <v/>
      </c>
      <c r="AJ2821" s="865"/>
    </row>
    <row r="2822" spans="13:36">
      <c r="M2822" s="811" t="str">
        <f t="shared" si="196"/>
        <v/>
      </c>
      <c r="X2822" s="811" t="str">
        <f t="shared" si="197"/>
        <v/>
      </c>
      <c r="AJ2822" s="865"/>
    </row>
    <row r="2823" spans="13:36">
      <c r="M2823" s="811" t="str">
        <f t="shared" si="196"/>
        <v/>
      </c>
      <c r="X2823" s="811" t="str">
        <f t="shared" si="197"/>
        <v/>
      </c>
      <c r="AJ2823" s="865"/>
    </row>
    <row r="2824" spans="13:36">
      <c r="M2824" s="811" t="str">
        <f t="shared" si="196"/>
        <v/>
      </c>
      <c r="X2824" s="811" t="str">
        <f t="shared" si="197"/>
        <v/>
      </c>
      <c r="AJ2824" s="865"/>
    </row>
    <row r="2825" spans="13:36">
      <c r="M2825" s="811" t="str">
        <f t="shared" si="196"/>
        <v/>
      </c>
      <c r="X2825" s="811" t="str">
        <f t="shared" si="197"/>
        <v/>
      </c>
      <c r="AJ2825" s="865"/>
    </row>
    <row r="2826" spans="13:36">
      <c r="M2826" s="811" t="str">
        <f t="shared" si="196"/>
        <v/>
      </c>
      <c r="X2826" s="811" t="str">
        <f t="shared" si="197"/>
        <v/>
      </c>
      <c r="AJ2826" s="865"/>
    </row>
    <row r="2827" spans="13:36">
      <c r="M2827" s="811" t="str">
        <f t="shared" si="196"/>
        <v/>
      </c>
      <c r="X2827" s="811" t="str">
        <f t="shared" si="197"/>
        <v/>
      </c>
      <c r="AJ2827" s="865"/>
    </row>
    <row r="2828" spans="13:36">
      <c r="M2828" s="811" t="str">
        <f t="shared" ref="M2828:M2891" si="198">IF(ISBLANK(L2828)=TRUE,"",LOOKUP(L2828,GQ:GR))</f>
        <v/>
      </c>
      <c r="X2828" s="811" t="str">
        <f t="shared" si="197"/>
        <v/>
      </c>
      <c r="AJ2828" s="865"/>
    </row>
    <row r="2829" spans="13:36">
      <c r="M2829" s="811" t="str">
        <f t="shared" si="198"/>
        <v/>
      </c>
      <c r="X2829" s="811" t="str">
        <f t="shared" si="197"/>
        <v/>
      </c>
      <c r="AJ2829" s="865"/>
    </row>
    <row r="2830" spans="13:36">
      <c r="M2830" s="811" t="str">
        <f t="shared" si="198"/>
        <v/>
      </c>
      <c r="X2830" s="811" t="str">
        <f t="shared" si="197"/>
        <v/>
      </c>
      <c r="AJ2830" s="865"/>
    </row>
    <row r="2831" spans="13:36">
      <c r="M2831" s="811" t="str">
        <f t="shared" si="198"/>
        <v/>
      </c>
      <c r="X2831" s="811" t="str">
        <f t="shared" si="197"/>
        <v/>
      </c>
      <c r="AJ2831" s="865"/>
    </row>
    <row r="2832" spans="13:36">
      <c r="M2832" s="811" t="str">
        <f t="shared" si="198"/>
        <v/>
      </c>
      <c r="X2832" s="811" t="str">
        <f t="shared" si="197"/>
        <v/>
      </c>
      <c r="AJ2832" s="865"/>
    </row>
    <row r="2833" spans="13:36">
      <c r="M2833" s="811" t="str">
        <f t="shared" si="198"/>
        <v/>
      </c>
      <c r="X2833" s="811" t="str">
        <f t="shared" si="197"/>
        <v/>
      </c>
      <c r="AJ2833" s="865"/>
    </row>
    <row r="2834" spans="13:36">
      <c r="M2834" s="811" t="str">
        <f t="shared" si="198"/>
        <v/>
      </c>
      <c r="X2834" s="811" t="str">
        <f t="shared" si="197"/>
        <v/>
      </c>
      <c r="AJ2834" s="865"/>
    </row>
    <row r="2835" spans="13:36">
      <c r="M2835" s="811" t="str">
        <f t="shared" si="198"/>
        <v/>
      </c>
      <c r="X2835" s="811" t="str">
        <f t="shared" si="197"/>
        <v/>
      </c>
      <c r="AJ2835" s="865"/>
    </row>
    <row r="2836" spans="13:36">
      <c r="M2836" s="811" t="str">
        <f t="shared" si="198"/>
        <v/>
      </c>
      <c r="X2836" s="811" t="str">
        <f t="shared" si="197"/>
        <v/>
      </c>
      <c r="AJ2836" s="865"/>
    </row>
    <row r="2837" spans="13:36">
      <c r="M2837" s="811" t="str">
        <f t="shared" si="198"/>
        <v/>
      </c>
      <c r="X2837" s="811" t="str">
        <f t="shared" si="197"/>
        <v/>
      </c>
      <c r="AJ2837" s="865"/>
    </row>
    <row r="2838" spans="13:36">
      <c r="M2838" s="811" t="str">
        <f t="shared" si="198"/>
        <v/>
      </c>
      <c r="X2838" s="811" t="str">
        <f t="shared" si="197"/>
        <v/>
      </c>
      <c r="AJ2838" s="865"/>
    </row>
    <row r="2839" spans="13:36">
      <c r="M2839" s="811" t="str">
        <f t="shared" si="198"/>
        <v/>
      </c>
      <c r="X2839" s="811" t="str">
        <f t="shared" si="197"/>
        <v/>
      </c>
      <c r="AJ2839" s="865"/>
    </row>
    <row r="2840" spans="13:36">
      <c r="M2840" s="811" t="str">
        <f t="shared" si="198"/>
        <v/>
      </c>
      <c r="X2840" s="811" t="str">
        <f t="shared" si="197"/>
        <v/>
      </c>
      <c r="AJ2840" s="865"/>
    </row>
    <row r="2841" spans="13:36">
      <c r="M2841" s="811" t="str">
        <f t="shared" si="198"/>
        <v/>
      </c>
      <c r="X2841" s="811" t="str">
        <f t="shared" si="197"/>
        <v/>
      </c>
      <c r="AJ2841" s="865"/>
    </row>
    <row r="2842" spans="13:36">
      <c r="M2842" s="811" t="str">
        <f t="shared" si="198"/>
        <v/>
      </c>
      <c r="X2842" s="811" t="str">
        <f t="shared" si="197"/>
        <v/>
      </c>
      <c r="AJ2842" s="865"/>
    </row>
    <row r="2843" spans="13:36">
      <c r="M2843" s="811" t="str">
        <f t="shared" si="198"/>
        <v/>
      </c>
      <c r="X2843" s="811" t="str">
        <f t="shared" si="197"/>
        <v/>
      </c>
      <c r="AJ2843" s="865"/>
    </row>
    <row r="2844" spans="13:36">
      <c r="M2844" s="811" t="str">
        <f t="shared" si="198"/>
        <v/>
      </c>
      <c r="X2844" s="811" t="str">
        <f t="shared" si="197"/>
        <v/>
      </c>
      <c r="AJ2844" s="865"/>
    </row>
    <row r="2845" spans="13:36">
      <c r="M2845" s="811" t="str">
        <f t="shared" si="198"/>
        <v/>
      </c>
      <c r="X2845" s="811" t="str">
        <f t="shared" si="197"/>
        <v/>
      </c>
      <c r="AJ2845" s="865"/>
    </row>
    <row r="2846" spans="13:36">
      <c r="M2846" s="811" t="str">
        <f t="shared" si="198"/>
        <v/>
      </c>
      <c r="X2846" s="811" t="str">
        <f t="shared" si="197"/>
        <v/>
      </c>
      <c r="AJ2846" s="865"/>
    </row>
    <row r="2847" spans="13:36">
      <c r="M2847" s="811" t="str">
        <f t="shared" si="198"/>
        <v/>
      </c>
      <c r="X2847" s="811" t="str">
        <f t="shared" si="197"/>
        <v/>
      </c>
      <c r="AJ2847" s="865"/>
    </row>
    <row r="2848" spans="13:36">
      <c r="M2848" s="811" t="str">
        <f t="shared" si="198"/>
        <v/>
      </c>
      <c r="X2848" s="811" t="str">
        <f t="shared" si="197"/>
        <v/>
      </c>
      <c r="AJ2848" s="865"/>
    </row>
    <row r="2849" spans="13:36">
      <c r="M2849" s="811" t="str">
        <f t="shared" si="198"/>
        <v/>
      </c>
      <c r="X2849" s="811" t="str">
        <f t="shared" si="197"/>
        <v/>
      </c>
      <c r="AJ2849" s="865"/>
    </row>
    <row r="2850" spans="13:36">
      <c r="M2850" s="811" t="str">
        <f t="shared" si="198"/>
        <v/>
      </c>
      <c r="X2850" s="811" t="str">
        <f t="shared" si="197"/>
        <v/>
      </c>
      <c r="AJ2850" s="865"/>
    </row>
    <row r="2851" spans="13:36">
      <c r="M2851" s="811" t="str">
        <f t="shared" si="198"/>
        <v/>
      </c>
      <c r="X2851" s="811" t="str">
        <f t="shared" si="197"/>
        <v/>
      </c>
      <c r="AJ2851" s="865"/>
    </row>
    <row r="2852" spans="13:36">
      <c r="M2852" s="811" t="str">
        <f t="shared" si="198"/>
        <v/>
      </c>
      <c r="X2852" s="811" t="str">
        <f t="shared" si="197"/>
        <v/>
      </c>
      <c r="AJ2852" s="865"/>
    </row>
    <row r="2853" spans="13:36">
      <c r="M2853" s="811" t="str">
        <f t="shared" si="198"/>
        <v/>
      </c>
      <c r="X2853" s="811" t="str">
        <f t="shared" si="197"/>
        <v/>
      </c>
      <c r="AJ2853" s="865"/>
    </row>
    <row r="2854" spans="13:36">
      <c r="M2854" s="811" t="str">
        <f t="shared" si="198"/>
        <v/>
      </c>
      <c r="X2854" s="811" t="str">
        <f t="shared" si="197"/>
        <v/>
      </c>
      <c r="AJ2854" s="865"/>
    </row>
    <row r="2855" spans="13:36">
      <c r="M2855" s="811" t="str">
        <f t="shared" si="198"/>
        <v/>
      </c>
      <c r="X2855" s="811" t="str">
        <f t="shared" si="197"/>
        <v/>
      </c>
      <c r="AJ2855" s="865"/>
    </row>
    <row r="2856" spans="13:36">
      <c r="M2856" s="811" t="str">
        <f t="shared" si="198"/>
        <v/>
      </c>
      <c r="X2856" s="811" t="str">
        <f t="shared" si="197"/>
        <v/>
      </c>
      <c r="AJ2856" s="865"/>
    </row>
    <row r="2857" spans="13:36">
      <c r="M2857" s="811" t="str">
        <f t="shared" si="198"/>
        <v/>
      </c>
      <c r="X2857" s="811" t="str">
        <f t="shared" si="197"/>
        <v/>
      </c>
      <c r="AJ2857" s="865"/>
    </row>
    <row r="2858" spans="13:36">
      <c r="M2858" s="811" t="str">
        <f t="shared" si="198"/>
        <v/>
      </c>
      <c r="X2858" s="811" t="str">
        <f t="shared" si="197"/>
        <v/>
      </c>
      <c r="AJ2858" s="865"/>
    </row>
    <row r="2859" spans="13:36">
      <c r="M2859" s="811" t="str">
        <f t="shared" si="198"/>
        <v/>
      </c>
      <c r="X2859" s="811" t="str">
        <f t="shared" si="197"/>
        <v/>
      </c>
      <c r="AJ2859" s="865"/>
    </row>
    <row r="2860" spans="13:36">
      <c r="M2860" s="811" t="str">
        <f t="shared" si="198"/>
        <v/>
      </c>
      <c r="X2860" s="811" t="str">
        <f t="shared" si="197"/>
        <v/>
      </c>
      <c r="AJ2860" s="865"/>
    </row>
    <row r="2861" spans="13:36">
      <c r="M2861" s="811" t="str">
        <f t="shared" si="198"/>
        <v/>
      </c>
      <c r="X2861" s="811" t="str">
        <f t="shared" si="197"/>
        <v/>
      </c>
      <c r="AJ2861" s="865"/>
    </row>
    <row r="2862" spans="13:36">
      <c r="M2862" s="811" t="str">
        <f t="shared" si="198"/>
        <v/>
      </c>
      <c r="X2862" s="811" t="str">
        <f t="shared" si="197"/>
        <v/>
      </c>
      <c r="AJ2862" s="865"/>
    </row>
    <row r="2863" spans="13:36">
      <c r="M2863" s="811" t="str">
        <f t="shared" si="198"/>
        <v/>
      </c>
      <c r="X2863" s="811" t="str">
        <f t="shared" si="197"/>
        <v/>
      </c>
      <c r="AJ2863" s="865"/>
    </row>
    <row r="2864" spans="13:36">
      <c r="M2864" s="811" t="str">
        <f t="shared" si="198"/>
        <v/>
      </c>
      <c r="X2864" s="811" t="str">
        <f t="shared" si="197"/>
        <v/>
      </c>
      <c r="AJ2864" s="865"/>
    </row>
    <row r="2865" spans="13:36">
      <c r="M2865" s="811" t="str">
        <f t="shared" si="198"/>
        <v/>
      </c>
      <c r="X2865" s="811" t="str">
        <f t="shared" si="197"/>
        <v/>
      </c>
      <c r="AJ2865" s="865"/>
    </row>
    <row r="2866" spans="13:36">
      <c r="M2866" s="811" t="str">
        <f t="shared" si="198"/>
        <v/>
      </c>
      <c r="X2866" s="811" t="str">
        <f t="shared" si="197"/>
        <v/>
      </c>
      <c r="AJ2866" s="865"/>
    </row>
    <row r="2867" spans="13:36">
      <c r="M2867" s="811" t="str">
        <f t="shared" si="198"/>
        <v/>
      </c>
      <c r="X2867" s="811" t="str">
        <f t="shared" ref="X2867:X2930" si="199">IF(ISBLANK(W2867)=TRUE,"",LOOKUP(W2867,GO:GP))</f>
        <v/>
      </c>
      <c r="AJ2867" s="865"/>
    </row>
    <row r="2868" spans="13:36">
      <c r="M2868" s="811" t="str">
        <f t="shared" si="198"/>
        <v/>
      </c>
      <c r="X2868" s="811" t="str">
        <f t="shared" si="199"/>
        <v/>
      </c>
      <c r="AJ2868" s="865"/>
    </row>
    <row r="2869" spans="13:36">
      <c r="M2869" s="811" t="str">
        <f t="shared" si="198"/>
        <v/>
      </c>
      <c r="X2869" s="811" t="str">
        <f t="shared" si="199"/>
        <v/>
      </c>
      <c r="AJ2869" s="865"/>
    </row>
    <row r="2870" spans="13:36">
      <c r="M2870" s="811" t="str">
        <f t="shared" si="198"/>
        <v/>
      </c>
      <c r="X2870" s="811" t="str">
        <f t="shared" si="199"/>
        <v/>
      </c>
      <c r="AJ2870" s="865"/>
    </row>
    <row r="2871" spans="13:36">
      <c r="M2871" s="811" t="str">
        <f t="shared" si="198"/>
        <v/>
      </c>
      <c r="X2871" s="811" t="str">
        <f t="shared" si="199"/>
        <v/>
      </c>
      <c r="AJ2871" s="865"/>
    </row>
    <row r="2872" spans="13:36">
      <c r="M2872" s="811" t="str">
        <f t="shared" si="198"/>
        <v/>
      </c>
      <c r="X2872" s="811" t="str">
        <f t="shared" si="199"/>
        <v/>
      </c>
      <c r="AJ2872" s="865"/>
    </row>
    <row r="2873" spans="13:36">
      <c r="M2873" s="811" t="str">
        <f t="shared" si="198"/>
        <v/>
      </c>
      <c r="X2873" s="811" t="str">
        <f t="shared" si="199"/>
        <v/>
      </c>
      <c r="AJ2873" s="865"/>
    </row>
    <row r="2874" spans="13:36">
      <c r="M2874" s="811" t="str">
        <f t="shared" si="198"/>
        <v/>
      </c>
      <c r="X2874" s="811" t="str">
        <f t="shared" si="199"/>
        <v/>
      </c>
      <c r="AJ2874" s="865"/>
    </row>
    <row r="2875" spans="13:36">
      <c r="M2875" s="811" t="str">
        <f t="shared" si="198"/>
        <v/>
      </c>
      <c r="X2875" s="811" t="str">
        <f t="shared" si="199"/>
        <v/>
      </c>
      <c r="AJ2875" s="865"/>
    </row>
    <row r="2876" spans="13:36">
      <c r="M2876" s="811" t="str">
        <f t="shared" si="198"/>
        <v/>
      </c>
      <c r="X2876" s="811" t="str">
        <f t="shared" si="199"/>
        <v/>
      </c>
      <c r="AJ2876" s="865"/>
    </row>
    <row r="2877" spans="13:36">
      <c r="M2877" s="811" t="str">
        <f t="shared" si="198"/>
        <v/>
      </c>
      <c r="X2877" s="811" t="str">
        <f t="shared" si="199"/>
        <v/>
      </c>
      <c r="AJ2877" s="865"/>
    </row>
    <row r="2878" spans="13:36">
      <c r="M2878" s="811" t="str">
        <f t="shared" si="198"/>
        <v/>
      </c>
      <c r="X2878" s="811" t="str">
        <f t="shared" si="199"/>
        <v/>
      </c>
      <c r="AJ2878" s="865"/>
    </row>
    <row r="2879" spans="13:36">
      <c r="M2879" s="811" t="str">
        <f t="shared" si="198"/>
        <v/>
      </c>
      <c r="X2879" s="811" t="str">
        <f t="shared" si="199"/>
        <v/>
      </c>
      <c r="AJ2879" s="865"/>
    </row>
    <row r="2880" spans="13:36">
      <c r="M2880" s="811" t="str">
        <f t="shared" si="198"/>
        <v/>
      </c>
      <c r="X2880" s="811" t="str">
        <f t="shared" si="199"/>
        <v/>
      </c>
      <c r="AJ2880" s="865"/>
    </row>
    <row r="2881" spans="13:36">
      <c r="M2881" s="811" t="str">
        <f t="shared" si="198"/>
        <v/>
      </c>
      <c r="X2881" s="811" t="str">
        <f t="shared" si="199"/>
        <v/>
      </c>
      <c r="AJ2881" s="865"/>
    </row>
    <row r="2882" spans="13:36">
      <c r="M2882" s="811" t="str">
        <f t="shared" si="198"/>
        <v/>
      </c>
      <c r="X2882" s="811" t="str">
        <f t="shared" si="199"/>
        <v/>
      </c>
      <c r="AJ2882" s="865"/>
    </row>
    <row r="2883" spans="13:36">
      <c r="M2883" s="811" t="str">
        <f t="shared" si="198"/>
        <v/>
      </c>
      <c r="X2883" s="811" t="str">
        <f t="shared" si="199"/>
        <v/>
      </c>
      <c r="AJ2883" s="865"/>
    </row>
    <row r="2884" spans="13:36">
      <c r="M2884" s="811" t="str">
        <f t="shared" si="198"/>
        <v/>
      </c>
      <c r="X2884" s="811" t="str">
        <f t="shared" si="199"/>
        <v/>
      </c>
      <c r="AJ2884" s="865"/>
    </row>
    <row r="2885" spans="13:36">
      <c r="M2885" s="811" t="str">
        <f t="shared" si="198"/>
        <v/>
      </c>
      <c r="X2885" s="811" t="str">
        <f t="shared" si="199"/>
        <v/>
      </c>
      <c r="AJ2885" s="865"/>
    </row>
    <row r="2886" spans="13:36">
      <c r="M2886" s="811" t="str">
        <f t="shared" si="198"/>
        <v/>
      </c>
      <c r="X2886" s="811" t="str">
        <f t="shared" si="199"/>
        <v/>
      </c>
      <c r="AJ2886" s="865"/>
    </row>
    <row r="2887" spans="13:36">
      <c r="M2887" s="811" t="str">
        <f t="shared" si="198"/>
        <v/>
      </c>
      <c r="X2887" s="811" t="str">
        <f t="shared" si="199"/>
        <v/>
      </c>
      <c r="AJ2887" s="865"/>
    </row>
    <row r="2888" spans="13:36">
      <c r="M2888" s="811" t="str">
        <f t="shared" si="198"/>
        <v/>
      </c>
      <c r="X2888" s="811" t="str">
        <f t="shared" si="199"/>
        <v/>
      </c>
      <c r="AJ2888" s="865"/>
    </row>
    <row r="2889" spans="13:36">
      <c r="M2889" s="811" t="str">
        <f t="shared" si="198"/>
        <v/>
      </c>
      <c r="X2889" s="811" t="str">
        <f t="shared" si="199"/>
        <v/>
      </c>
      <c r="AJ2889" s="865"/>
    </row>
    <row r="2890" spans="13:36">
      <c r="M2890" s="811" t="str">
        <f t="shared" si="198"/>
        <v/>
      </c>
      <c r="X2890" s="811" t="str">
        <f t="shared" si="199"/>
        <v/>
      </c>
      <c r="AJ2890" s="865"/>
    </row>
    <row r="2891" spans="13:36">
      <c r="M2891" s="811" t="str">
        <f t="shared" si="198"/>
        <v/>
      </c>
      <c r="X2891" s="811" t="str">
        <f t="shared" si="199"/>
        <v/>
      </c>
      <c r="AJ2891" s="865"/>
    </row>
    <row r="2892" spans="13:36">
      <c r="M2892" s="811" t="str">
        <f t="shared" ref="M2892:M2955" si="200">IF(ISBLANK(L2892)=TRUE,"",LOOKUP(L2892,GQ:GR))</f>
        <v/>
      </c>
      <c r="X2892" s="811" t="str">
        <f t="shared" si="199"/>
        <v/>
      </c>
      <c r="AJ2892" s="865"/>
    </row>
    <row r="2893" spans="13:36">
      <c r="M2893" s="811" t="str">
        <f t="shared" si="200"/>
        <v/>
      </c>
      <c r="X2893" s="811" t="str">
        <f t="shared" si="199"/>
        <v/>
      </c>
      <c r="AJ2893" s="865"/>
    </row>
    <row r="2894" spans="13:36">
      <c r="M2894" s="811" t="str">
        <f t="shared" si="200"/>
        <v/>
      </c>
      <c r="X2894" s="811" t="str">
        <f t="shared" si="199"/>
        <v/>
      </c>
      <c r="AJ2894" s="865"/>
    </row>
    <row r="2895" spans="13:36">
      <c r="M2895" s="811" t="str">
        <f t="shared" si="200"/>
        <v/>
      </c>
      <c r="X2895" s="811" t="str">
        <f t="shared" si="199"/>
        <v/>
      </c>
      <c r="AJ2895" s="865"/>
    </row>
    <row r="2896" spans="13:36">
      <c r="M2896" s="811" t="str">
        <f t="shared" si="200"/>
        <v/>
      </c>
      <c r="X2896" s="811" t="str">
        <f t="shared" si="199"/>
        <v/>
      </c>
      <c r="AJ2896" s="865"/>
    </row>
    <row r="2897" spans="13:36">
      <c r="M2897" s="811" t="str">
        <f t="shared" si="200"/>
        <v/>
      </c>
      <c r="X2897" s="811" t="str">
        <f t="shared" si="199"/>
        <v/>
      </c>
      <c r="AJ2897" s="865"/>
    </row>
    <row r="2898" spans="13:36">
      <c r="M2898" s="811" t="str">
        <f t="shared" si="200"/>
        <v/>
      </c>
      <c r="X2898" s="811" t="str">
        <f t="shared" si="199"/>
        <v/>
      </c>
      <c r="AJ2898" s="865"/>
    </row>
    <row r="2899" spans="13:36">
      <c r="M2899" s="811" t="str">
        <f t="shared" si="200"/>
        <v/>
      </c>
      <c r="X2899" s="811" t="str">
        <f t="shared" si="199"/>
        <v/>
      </c>
      <c r="AJ2899" s="865"/>
    </row>
    <row r="2900" spans="13:36">
      <c r="M2900" s="811" t="str">
        <f t="shared" si="200"/>
        <v/>
      </c>
      <c r="X2900" s="811" t="str">
        <f t="shared" si="199"/>
        <v/>
      </c>
      <c r="AJ2900" s="865"/>
    </row>
    <row r="2901" spans="13:36">
      <c r="M2901" s="811" t="str">
        <f t="shared" si="200"/>
        <v/>
      </c>
      <c r="X2901" s="811" t="str">
        <f t="shared" si="199"/>
        <v/>
      </c>
      <c r="AJ2901" s="865"/>
    </row>
    <row r="2902" spans="13:36">
      <c r="M2902" s="811" t="str">
        <f t="shared" si="200"/>
        <v/>
      </c>
      <c r="X2902" s="811" t="str">
        <f t="shared" si="199"/>
        <v/>
      </c>
      <c r="AJ2902" s="865"/>
    </row>
    <row r="2903" spans="13:36">
      <c r="M2903" s="811" t="str">
        <f t="shared" si="200"/>
        <v/>
      </c>
      <c r="X2903" s="811" t="str">
        <f t="shared" si="199"/>
        <v/>
      </c>
      <c r="AJ2903" s="865"/>
    </row>
    <row r="2904" spans="13:36">
      <c r="M2904" s="811" t="str">
        <f t="shared" si="200"/>
        <v/>
      </c>
      <c r="X2904" s="811" t="str">
        <f t="shared" si="199"/>
        <v/>
      </c>
      <c r="AJ2904" s="865"/>
    </row>
    <row r="2905" spans="13:36">
      <c r="M2905" s="811" t="str">
        <f t="shared" si="200"/>
        <v/>
      </c>
      <c r="X2905" s="811" t="str">
        <f t="shared" si="199"/>
        <v/>
      </c>
      <c r="AJ2905" s="865"/>
    </row>
    <row r="2906" spans="13:36">
      <c r="M2906" s="811" t="str">
        <f t="shared" si="200"/>
        <v/>
      </c>
      <c r="X2906" s="811" t="str">
        <f t="shared" si="199"/>
        <v/>
      </c>
      <c r="AJ2906" s="865"/>
    </row>
    <row r="2907" spans="13:36">
      <c r="M2907" s="811" t="str">
        <f t="shared" si="200"/>
        <v/>
      </c>
      <c r="X2907" s="811" t="str">
        <f t="shared" si="199"/>
        <v/>
      </c>
      <c r="AJ2907" s="865"/>
    </row>
    <row r="2908" spans="13:36">
      <c r="M2908" s="811" t="str">
        <f t="shared" si="200"/>
        <v/>
      </c>
      <c r="X2908" s="811" t="str">
        <f t="shared" si="199"/>
        <v/>
      </c>
      <c r="AJ2908" s="865"/>
    </row>
    <row r="2909" spans="13:36">
      <c r="M2909" s="811" t="str">
        <f t="shared" si="200"/>
        <v/>
      </c>
      <c r="X2909" s="811" t="str">
        <f t="shared" si="199"/>
        <v/>
      </c>
      <c r="AJ2909" s="865"/>
    </row>
    <row r="2910" spans="13:36">
      <c r="M2910" s="811" t="str">
        <f t="shared" si="200"/>
        <v/>
      </c>
      <c r="X2910" s="811" t="str">
        <f t="shared" si="199"/>
        <v/>
      </c>
      <c r="AJ2910" s="865"/>
    </row>
    <row r="2911" spans="13:36">
      <c r="M2911" s="811" t="str">
        <f t="shared" si="200"/>
        <v/>
      </c>
      <c r="X2911" s="811" t="str">
        <f t="shared" si="199"/>
        <v/>
      </c>
      <c r="AJ2911" s="865"/>
    </row>
    <row r="2912" spans="13:36">
      <c r="M2912" s="811" t="str">
        <f t="shared" si="200"/>
        <v/>
      </c>
      <c r="X2912" s="811" t="str">
        <f t="shared" si="199"/>
        <v/>
      </c>
      <c r="AJ2912" s="865"/>
    </row>
    <row r="2913" spans="13:36">
      <c r="M2913" s="811" t="str">
        <f t="shared" si="200"/>
        <v/>
      </c>
      <c r="X2913" s="811" t="str">
        <f t="shared" si="199"/>
        <v/>
      </c>
      <c r="AJ2913" s="865"/>
    </row>
    <row r="2914" spans="13:36">
      <c r="M2914" s="811" t="str">
        <f t="shared" si="200"/>
        <v/>
      </c>
      <c r="X2914" s="811" t="str">
        <f t="shared" si="199"/>
        <v/>
      </c>
      <c r="AJ2914" s="865"/>
    </row>
    <row r="2915" spans="13:36">
      <c r="M2915" s="811" t="str">
        <f t="shared" si="200"/>
        <v/>
      </c>
      <c r="X2915" s="811" t="str">
        <f t="shared" si="199"/>
        <v/>
      </c>
      <c r="AJ2915" s="865"/>
    </row>
    <row r="2916" spans="13:36">
      <c r="M2916" s="811" t="str">
        <f t="shared" si="200"/>
        <v/>
      </c>
      <c r="X2916" s="811" t="str">
        <f t="shared" si="199"/>
        <v/>
      </c>
      <c r="AJ2916" s="865"/>
    </row>
    <row r="2917" spans="13:36">
      <c r="M2917" s="811" t="str">
        <f t="shared" si="200"/>
        <v/>
      </c>
      <c r="X2917" s="811" t="str">
        <f t="shared" si="199"/>
        <v/>
      </c>
      <c r="AJ2917" s="865"/>
    </row>
    <row r="2918" spans="13:36">
      <c r="M2918" s="811" t="str">
        <f t="shared" si="200"/>
        <v/>
      </c>
      <c r="X2918" s="811" t="str">
        <f t="shared" si="199"/>
        <v/>
      </c>
      <c r="AJ2918" s="865"/>
    </row>
    <row r="2919" spans="13:36">
      <c r="M2919" s="811" t="str">
        <f t="shared" si="200"/>
        <v/>
      </c>
      <c r="X2919" s="811" t="str">
        <f t="shared" si="199"/>
        <v/>
      </c>
      <c r="AJ2919" s="865"/>
    </row>
    <row r="2920" spans="13:36">
      <c r="M2920" s="811" t="str">
        <f t="shared" si="200"/>
        <v/>
      </c>
      <c r="X2920" s="811" t="str">
        <f t="shared" si="199"/>
        <v/>
      </c>
      <c r="AJ2920" s="865"/>
    </row>
    <row r="2921" spans="13:36">
      <c r="M2921" s="811" t="str">
        <f t="shared" si="200"/>
        <v/>
      </c>
      <c r="X2921" s="811" t="str">
        <f t="shared" si="199"/>
        <v/>
      </c>
      <c r="AJ2921" s="865"/>
    </row>
    <row r="2922" spans="13:36">
      <c r="M2922" s="811" t="str">
        <f t="shared" si="200"/>
        <v/>
      </c>
      <c r="X2922" s="811" t="str">
        <f t="shared" si="199"/>
        <v/>
      </c>
      <c r="AJ2922" s="865"/>
    </row>
    <row r="2923" spans="13:36">
      <c r="M2923" s="811" t="str">
        <f t="shared" si="200"/>
        <v/>
      </c>
      <c r="X2923" s="811" t="str">
        <f t="shared" si="199"/>
        <v/>
      </c>
      <c r="AJ2923" s="865"/>
    </row>
    <row r="2924" spans="13:36">
      <c r="M2924" s="811" t="str">
        <f t="shared" si="200"/>
        <v/>
      </c>
      <c r="X2924" s="811" t="str">
        <f t="shared" si="199"/>
        <v/>
      </c>
      <c r="AJ2924" s="865"/>
    </row>
    <row r="2925" spans="13:36">
      <c r="M2925" s="811" t="str">
        <f t="shared" si="200"/>
        <v/>
      </c>
      <c r="X2925" s="811" t="str">
        <f t="shared" si="199"/>
        <v/>
      </c>
      <c r="AJ2925" s="865"/>
    </row>
    <row r="2926" spans="13:36">
      <c r="M2926" s="811" t="str">
        <f t="shared" si="200"/>
        <v/>
      </c>
      <c r="X2926" s="811" t="str">
        <f t="shared" si="199"/>
        <v/>
      </c>
      <c r="AJ2926" s="865"/>
    </row>
    <row r="2927" spans="13:36">
      <c r="M2927" s="811" t="str">
        <f t="shared" si="200"/>
        <v/>
      </c>
      <c r="X2927" s="811" t="str">
        <f t="shared" si="199"/>
        <v/>
      </c>
      <c r="AJ2927" s="865"/>
    </row>
    <row r="2928" spans="13:36">
      <c r="M2928" s="811" t="str">
        <f t="shared" si="200"/>
        <v/>
      </c>
      <c r="X2928" s="811" t="str">
        <f t="shared" si="199"/>
        <v/>
      </c>
      <c r="AJ2928" s="865"/>
    </row>
    <row r="2929" spans="13:36">
      <c r="M2929" s="811" t="str">
        <f t="shared" si="200"/>
        <v/>
      </c>
      <c r="X2929" s="811" t="str">
        <f t="shared" si="199"/>
        <v/>
      </c>
      <c r="AJ2929" s="865"/>
    </row>
    <row r="2930" spans="13:36">
      <c r="M2930" s="811" t="str">
        <f t="shared" si="200"/>
        <v/>
      </c>
      <c r="X2930" s="811" t="str">
        <f t="shared" si="199"/>
        <v/>
      </c>
      <c r="AJ2930" s="865"/>
    </row>
    <row r="2931" spans="13:36">
      <c r="M2931" s="811" t="str">
        <f t="shared" si="200"/>
        <v/>
      </c>
      <c r="X2931" s="811" t="str">
        <f t="shared" ref="X2931:X2994" si="201">IF(ISBLANK(W2931)=TRUE,"",LOOKUP(W2931,GO:GP))</f>
        <v/>
      </c>
      <c r="AJ2931" s="865"/>
    </row>
    <row r="2932" spans="13:36">
      <c r="M2932" s="811" t="str">
        <f t="shared" si="200"/>
        <v/>
      </c>
      <c r="X2932" s="811" t="str">
        <f t="shared" si="201"/>
        <v/>
      </c>
      <c r="AJ2932" s="865"/>
    </row>
    <row r="2933" spans="13:36">
      <c r="M2933" s="811" t="str">
        <f t="shared" si="200"/>
        <v/>
      </c>
      <c r="X2933" s="811" t="str">
        <f t="shared" si="201"/>
        <v/>
      </c>
      <c r="AJ2933" s="865"/>
    </row>
    <row r="2934" spans="13:36">
      <c r="M2934" s="811" t="str">
        <f t="shared" si="200"/>
        <v/>
      </c>
      <c r="X2934" s="811" t="str">
        <f t="shared" si="201"/>
        <v/>
      </c>
      <c r="AJ2934" s="865"/>
    </row>
    <row r="2935" spans="13:36">
      <c r="M2935" s="811" t="str">
        <f t="shared" si="200"/>
        <v/>
      </c>
      <c r="X2935" s="811" t="str">
        <f t="shared" si="201"/>
        <v/>
      </c>
      <c r="AJ2935" s="865"/>
    </row>
    <row r="2936" spans="13:36">
      <c r="M2936" s="811" t="str">
        <f t="shared" si="200"/>
        <v/>
      </c>
      <c r="X2936" s="811" t="str">
        <f t="shared" si="201"/>
        <v/>
      </c>
      <c r="AJ2936" s="865"/>
    </row>
    <row r="2937" spans="13:36">
      <c r="M2937" s="811" t="str">
        <f t="shared" si="200"/>
        <v/>
      </c>
      <c r="X2937" s="811" t="str">
        <f t="shared" si="201"/>
        <v/>
      </c>
      <c r="AJ2937" s="865"/>
    </row>
    <row r="2938" spans="13:36">
      <c r="M2938" s="811" t="str">
        <f t="shared" si="200"/>
        <v/>
      </c>
      <c r="X2938" s="811" t="str">
        <f t="shared" si="201"/>
        <v/>
      </c>
      <c r="AJ2938" s="865"/>
    </row>
    <row r="2939" spans="13:36">
      <c r="M2939" s="811" t="str">
        <f t="shared" si="200"/>
        <v/>
      </c>
      <c r="X2939" s="811" t="str">
        <f t="shared" si="201"/>
        <v/>
      </c>
      <c r="AJ2939" s="865"/>
    </row>
    <row r="2940" spans="13:36">
      <c r="M2940" s="811" t="str">
        <f t="shared" si="200"/>
        <v/>
      </c>
      <c r="X2940" s="811" t="str">
        <f t="shared" si="201"/>
        <v/>
      </c>
      <c r="AJ2940" s="865"/>
    </row>
    <row r="2941" spans="13:36">
      <c r="M2941" s="811" t="str">
        <f t="shared" si="200"/>
        <v/>
      </c>
      <c r="X2941" s="811" t="str">
        <f t="shared" si="201"/>
        <v/>
      </c>
      <c r="AJ2941" s="865"/>
    </row>
    <row r="2942" spans="13:36">
      <c r="M2942" s="811" t="str">
        <f t="shared" si="200"/>
        <v/>
      </c>
      <c r="X2942" s="811" t="str">
        <f t="shared" si="201"/>
        <v/>
      </c>
      <c r="AJ2942" s="865"/>
    </row>
    <row r="2943" spans="13:36">
      <c r="M2943" s="811" t="str">
        <f t="shared" si="200"/>
        <v/>
      </c>
      <c r="X2943" s="811" t="str">
        <f t="shared" si="201"/>
        <v/>
      </c>
      <c r="AJ2943" s="865"/>
    </row>
    <row r="2944" spans="13:36">
      <c r="M2944" s="811" t="str">
        <f t="shared" si="200"/>
        <v/>
      </c>
      <c r="X2944" s="811" t="str">
        <f t="shared" si="201"/>
        <v/>
      </c>
      <c r="AJ2944" s="865"/>
    </row>
    <row r="2945" spans="13:36">
      <c r="M2945" s="811" t="str">
        <f t="shared" si="200"/>
        <v/>
      </c>
      <c r="X2945" s="811" t="str">
        <f t="shared" si="201"/>
        <v/>
      </c>
      <c r="AJ2945" s="865"/>
    </row>
    <row r="2946" spans="13:36">
      <c r="M2946" s="811" t="str">
        <f t="shared" si="200"/>
        <v/>
      </c>
      <c r="X2946" s="811" t="str">
        <f t="shared" si="201"/>
        <v/>
      </c>
      <c r="AJ2946" s="865"/>
    </row>
    <row r="2947" spans="13:36">
      <c r="M2947" s="811" t="str">
        <f t="shared" si="200"/>
        <v/>
      </c>
      <c r="X2947" s="811" t="str">
        <f t="shared" si="201"/>
        <v/>
      </c>
      <c r="AJ2947" s="865"/>
    </row>
    <row r="2948" spans="13:36">
      <c r="M2948" s="811" t="str">
        <f t="shared" si="200"/>
        <v/>
      </c>
      <c r="X2948" s="811" t="str">
        <f t="shared" si="201"/>
        <v/>
      </c>
      <c r="AJ2948" s="865"/>
    </row>
    <row r="2949" spans="13:36">
      <c r="M2949" s="811" t="str">
        <f t="shared" si="200"/>
        <v/>
      </c>
      <c r="X2949" s="811" t="str">
        <f t="shared" si="201"/>
        <v/>
      </c>
      <c r="AJ2949" s="865"/>
    </row>
    <row r="2950" spans="13:36">
      <c r="M2950" s="811" t="str">
        <f t="shared" si="200"/>
        <v/>
      </c>
      <c r="X2950" s="811" t="str">
        <f t="shared" si="201"/>
        <v/>
      </c>
      <c r="AJ2950" s="865"/>
    </row>
    <row r="2951" spans="13:36">
      <c r="M2951" s="811" t="str">
        <f t="shared" si="200"/>
        <v/>
      </c>
      <c r="X2951" s="811" t="str">
        <f t="shared" si="201"/>
        <v/>
      </c>
      <c r="AJ2951" s="865"/>
    </row>
    <row r="2952" spans="13:36">
      <c r="M2952" s="811" t="str">
        <f t="shared" si="200"/>
        <v/>
      </c>
      <c r="X2952" s="811" t="str">
        <f t="shared" si="201"/>
        <v/>
      </c>
      <c r="AJ2952" s="865"/>
    </row>
    <row r="2953" spans="13:36">
      <c r="M2953" s="811" t="str">
        <f t="shared" si="200"/>
        <v/>
      </c>
      <c r="X2953" s="811" t="str">
        <f t="shared" si="201"/>
        <v/>
      </c>
      <c r="AJ2953" s="865"/>
    </row>
    <row r="2954" spans="13:36">
      <c r="M2954" s="811" t="str">
        <f t="shared" si="200"/>
        <v/>
      </c>
      <c r="X2954" s="811" t="str">
        <f t="shared" si="201"/>
        <v/>
      </c>
      <c r="AJ2954" s="865"/>
    </row>
    <row r="2955" spans="13:36">
      <c r="M2955" s="811" t="str">
        <f t="shared" si="200"/>
        <v/>
      </c>
      <c r="X2955" s="811" t="str">
        <f t="shared" si="201"/>
        <v/>
      </c>
      <c r="AJ2955" s="865"/>
    </row>
    <row r="2956" spans="13:36">
      <c r="M2956" s="811" t="str">
        <f t="shared" ref="M2956:M3019" si="202">IF(ISBLANK(L2956)=TRUE,"",LOOKUP(L2956,GQ:GR))</f>
        <v/>
      </c>
      <c r="X2956" s="811" t="str">
        <f t="shared" si="201"/>
        <v/>
      </c>
      <c r="AJ2956" s="865"/>
    </row>
    <row r="2957" spans="13:36">
      <c r="M2957" s="811" t="str">
        <f t="shared" si="202"/>
        <v/>
      </c>
      <c r="X2957" s="811" t="str">
        <f t="shared" si="201"/>
        <v/>
      </c>
      <c r="AJ2957" s="865"/>
    </row>
    <row r="2958" spans="13:36">
      <c r="M2958" s="811" t="str">
        <f t="shared" si="202"/>
        <v/>
      </c>
      <c r="X2958" s="811" t="str">
        <f t="shared" si="201"/>
        <v/>
      </c>
      <c r="AJ2958" s="865"/>
    </row>
    <row r="2959" spans="13:36">
      <c r="M2959" s="811" t="str">
        <f t="shared" si="202"/>
        <v/>
      </c>
      <c r="X2959" s="811" t="str">
        <f t="shared" si="201"/>
        <v/>
      </c>
      <c r="AJ2959" s="865"/>
    </row>
    <row r="2960" spans="13:36">
      <c r="M2960" s="811" t="str">
        <f t="shared" si="202"/>
        <v/>
      </c>
      <c r="X2960" s="811" t="str">
        <f t="shared" si="201"/>
        <v/>
      </c>
      <c r="AJ2960" s="865"/>
    </row>
    <row r="2961" spans="13:36">
      <c r="M2961" s="811" t="str">
        <f t="shared" si="202"/>
        <v/>
      </c>
      <c r="X2961" s="811" t="str">
        <f t="shared" si="201"/>
        <v/>
      </c>
      <c r="AJ2961" s="865"/>
    </row>
    <row r="2962" spans="13:36">
      <c r="M2962" s="811" t="str">
        <f t="shared" si="202"/>
        <v/>
      </c>
      <c r="X2962" s="811" t="str">
        <f t="shared" si="201"/>
        <v/>
      </c>
      <c r="AJ2962" s="865"/>
    </row>
    <row r="2963" spans="13:36">
      <c r="M2963" s="811" t="str">
        <f t="shared" si="202"/>
        <v/>
      </c>
      <c r="X2963" s="811" t="str">
        <f t="shared" si="201"/>
        <v/>
      </c>
      <c r="AJ2963" s="865"/>
    </row>
    <row r="2964" spans="13:36">
      <c r="M2964" s="811" t="str">
        <f t="shared" si="202"/>
        <v/>
      </c>
      <c r="X2964" s="811" t="str">
        <f t="shared" si="201"/>
        <v/>
      </c>
      <c r="AJ2964" s="865"/>
    </row>
    <row r="2965" spans="13:36">
      <c r="M2965" s="811" t="str">
        <f t="shared" si="202"/>
        <v/>
      </c>
      <c r="X2965" s="811" t="str">
        <f t="shared" si="201"/>
        <v/>
      </c>
      <c r="AJ2965" s="865"/>
    </row>
    <row r="2966" spans="13:36">
      <c r="M2966" s="811" t="str">
        <f t="shared" si="202"/>
        <v/>
      </c>
      <c r="X2966" s="811" t="str">
        <f t="shared" si="201"/>
        <v/>
      </c>
      <c r="AJ2966" s="865"/>
    </row>
    <row r="2967" spans="13:36">
      <c r="M2967" s="811" t="str">
        <f t="shared" si="202"/>
        <v/>
      </c>
      <c r="X2967" s="811" t="str">
        <f t="shared" si="201"/>
        <v/>
      </c>
      <c r="AJ2967" s="865"/>
    </row>
    <row r="2968" spans="13:36">
      <c r="M2968" s="811" t="str">
        <f t="shared" si="202"/>
        <v/>
      </c>
      <c r="X2968" s="811" t="str">
        <f t="shared" si="201"/>
        <v/>
      </c>
      <c r="AJ2968" s="865"/>
    </row>
    <row r="2969" spans="13:36">
      <c r="M2969" s="811" t="str">
        <f t="shared" si="202"/>
        <v/>
      </c>
      <c r="X2969" s="811" t="str">
        <f t="shared" si="201"/>
        <v/>
      </c>
      <c r="AJ2969" s="865"/>
    </row>
    <row r="2970" spans="13:36">
      <c r="M2970" s="811" t="str">
        <f t="shared" si="202"/>
        <v/>
      </c>
      <c r="X2970" s="811" t="str">
        <f t="shared" si="201"/>
        <v/>
      </c>
      <c r="AJ2970" s="865"/>
    </row>
    <row r="2971" spans="13:36">
      <c r="M2971" s="811" t="str">
        <f t="shared" si="202"/>
        <v/>
      </c>
      <c r="X2971" s="811" t="str">
        <f t="shared" si="201"/>
        <v/>
      </c>
      <c r="AJ2971" s="865"/>
    </row>
    <row r="2972" spans="13:36">
      <c r="M2972" s="811" t="str">
        <f t="shared" si="202"/>
        <v/>
      </c>
      <c r="X2972" s="811" t="str">
        <f t="shared" si="201"/>
        <v/>
      </c>
      <c r="AJ2972" s="865"/>
    </row>
    <row r="2973" spans="13:36">
      <c r="M2973" s="811" t="str">
        <f t="shared" si="202"/>
        <v/>
      </c>
      <c r="X2973" s="811" t="str">
        <f t="shared" si="201"/>
        <v/>
      </c>
      <c r="AJ2973" s="865"/>
    </row>
    <row r="2974" spans="13:36">
      <c r="M2974" s="811" t="str">
        <f t="shared" si="202"/>
        <v/>
      </c>
      <c r="X2974" s="811" t="str">
        <f t="shared" si="201"/>
        <v/>
      </c>
      <c r="AJ2974" s="865"/>
    </row>
    <row r="2975" spans="13:36">
      <c r="M2975" s="811" t="str">
        <f t="shared" si="202"/>
        <v/>
      </c>
      <c r="X2975" s="811" t="str">
        <f t="shared" si="201"/>
        <v/>
      </c>
      <c r="AJ2975" s="865"/>
    </row>
    <row r="2976" spans="13:36">
      <c r="M2976" s="811" t="str">
        <f t="shared" si="202"/>
        <v/>
      </c>
      <c r="X2976" s="811" t="str">
        <f t="shared" si="201"/>
        <v/>
      </c>
      <c r="AJ2976" s="865"/>
    </row>
    <row r="2977" spans="13:36">
      <c r="M2977" s="811" t="str">
        <f t="shared" si="202"/>
        <v/>
      </c>
      <c r="X2977" s="811" t="str">
        <f t="shared" si="201"/>
        <v/>
      </c>
      <c r="AJ2977" s="865"/>
    </row>
    <row r="2978" spans="13:36">
      <c r="M2978" s="811" t="str">
        <f t="shared" si="202"/>
        <v/>
      </c>
      <c r="X2978" s="811" t="str">
        <f t="shared" si="201"/>
        <v/>
      </c>
      <c r="AJ2978" s="865"/>
    </row>
    <row r="2979" spans="13:36">
      <c r="M2979" s="811" t="str">
        <f t="shared" si="202"/>
        <v/>
      </c>
      <c r="X2979" s="811" t="str">
        <f t="shared" si="201"/>
        <v/>
      </c>
      <c r="AJ2979" s="865"/>
    </row>
    <row r="2980" spans="13:36">
      <c r="M2980" s="811" t="str">
        <f t="shared" si="202"/>
        <v/>
      </c>
      <c r="X2980" s="811" t="str">
        <f t="shared" si="201"/>
        <v/>
      </c>
      <c r="AJ2980" s="865"/>
    </row>
    <row r="2981" spans="13:36">
      <c r="M2981" s="811" t="str">
        <f t="shared" si="202"/>
        <v/>
      </c>
      <c r="X2981" s="811" t="str">
        <f t="shared" si="201"/>
        <v/>
      </c>
      <c r="AJ2981" s="865"/>
    </row>
    <row r="2982" spans="13:36">
      <c r="M2982" s="811" t="str">
        <f t="shared" si="202"/>
        <v/>
      </c>
      <c r="X2982" s="811" t="str">
        <f t="shared" si="201"/>
        <v/>
      </c>
      <c r="AJ2982" s="865"/>
    </row>
    <row r="2983" spans="13:36">
      <c r="M2983" s="811" t="str">
        <f t="shared" si="202"/>
        <v/>
      </c>
      <c r="X2983" s="811" t="str">
        <f t="shared" si="201"/>
        <v/>
      </c>
      <c r="AJ2983" s="865"/>
    </row>
    <row r="2984" spans="13:36">
      <c r="M2984" s="811" t="str">
        <f t="shared" si="202"/>
        <v/>
      </c>
      <c r="X2984" s="811" t="str">
        <f t="shared" si="201"/>
        <v/>
      </c>
      <c r="AJ2984" s="865"/>
    </row>
    <row r="2985" spans="13:36">
      <c r="M2985" s="811" t="str">
        <f t="shared" si="202"/>
        <v/>
      </c>
      <c r="X2985" s="811" t="str">
        <f t="shared" si="201"/>
        <v/>
      </c>
      <c r="AJ2985" s="865"/>
    </row>
    <row r="2986" spans="13:36">
      <c r="M2986" s="811" t="str">
        <f t="shared" si="202"/>
        <v/>
      </c>
      <c r="X2986" s="811" t="str">
        <f t="shared" si="201"/>
        <v/>
      </c>
      <c r="AJ2986" s="865"/>
    </row>
    <row r="2987" spans="13:36">
      <c r="M2987" s="811" t="str">
        <f t="shared" si="202"/>
        <v/>
      </c>
      <c r="X2987" s="811" t="str">
        <f t="shared" si="201"/>
        <v/>
      </c>
      <c r="AJ2987" s="865"/>
    </row>
    <row r="2988" spans="13:36">
      <c r="M2988" s="811" t="str">
        <f t="shared" si="202"/>
        <v/>
      </c>
      <c r="X2988" s="811" t="str">
        <f t="shared" si="201"/>
        <v/>
      </c>
      <c r="AJ2988" s="865"/>
    </row>
    <row r="2989" spans="13:36">
      <c r="M2989" s="811" t="str">
        <f t="shared" si="202"/>
        <v/>
      </c>
      <c r="X2989" s="811" t="str">
        <f t="shared" si="201"/>
        <v/>
      </c>
      <c r="AJ2989" s="865"/>
    </row>
    <row r="2990" spans="13:36">
      <c r="M2990" s="811" t="str">
        <f t="shared" si="202"/>
        <v/>
      </c>
      <c r="X2990" s="811" t="str">
        <f t="shared" si="201"/>
        <v/>
      </c>
      <c r="AJ2990" s="865"/>
    </row>
    <row r="2991" spans="13:36">
      <c r="M2991" s="811" t="str">
        <f t="shared" si="202"/>
        <v/>
      </c>
      <c r="X2991" s="811" t="str">
        <f t="shared" si="201"/>
        <v/>
      </c>
      <c r="AJ2991" s="865"/>
    </row>
    <row r="2992" spans="13:36">
      <c r="M2992" s="811" t="str">
        <f t="shared" si="202"/>
        <v/>
      </c>
      <c r="X2992" s="811" t="str">
        <f t="shared" si="201"/>
        <v/>
      </c>
      <c r="AJ2992" s="865"/>
    </row>
    <row r="2993" spans="13:36">
      <c r="M2993" s="811" t="str">
        <f t="shared" si="202"/>
        <v/>
      </c>
      <c r="X2993" s="811" t="str">
        <f t="shared" si="201"/>
        <v/>
      </c>
      <c r="AJ2993" s="865"/>
    </row>
    <row r="2994" spans="13:36">
      <c r="M2994" s="811" t="str">
        <f t="shared" si="202"/>
        <v/>
      </c>
      <c r="X2994" s="811" t="str">
        <f t="shared" si="201"/>
        <v/>
      </c>
      <c r="AJ2994" s="865"/>
    </row>
    <row r="2995" spans="13:36">
      <c r="M2995" s="811" t="str">
        <f t="shared" si="202"/>
        <v/>
      </c>
      <c r="X2995" s="811" t="str">
        <f t="shared" ref="X2995:X3058" si="203">IF(ISBLANK(W2995)=TRUE,"",LOOKUP(W2995,GO:GP))</f>
        <v/>
      </c>
      <c r="AJ2995" s="865"/>
    </row>
    <row r="2996" spans="13:36">
      <c r="M2996" s="811" t="str">
        <f t="shared" si="202"/>
        <v/>
      </c>
      <c r="X2996" s="811" t="str">
        <f t="shared" si="203"/>
        <v/>
      </c>
      <c r="AJ2996" s="865"/>
    </row>
    <row r="2997" spans="13:36">
      <c r="M2997" s="811" t="str">
        <f t="shared" si="202"/>
        <v/>
      </c>
      <c r="X2997" s="811" t="str">
        <f t="shared" si="203"/>
        <v/>
      </c>
      <c r="AJ2997" s="865"/>
    </row>
    <row r="2998" spans="13:36">
      <c r="M2998" s="811" t="str">
        <f t="shared" si="202"/>
        <v/>
      </c>
      <c r="X2998" s="811" t="str">
        <f t="shared" si="203"/>
        <v/>
      </c>
      <c r="AJ2998" s="865"/>
    </row>
    <row r="2999" spans="13:36">
      <c r="M2999" s="811" t="str">
        <f t="shared" si="202"/>
        <v/>
      </c>
      <c r="X2999" s="811" t="str">
        <f t="shared" si="203"/>
        <v/>
      </c>
      <c r="AJ2999" s="865"/>
    </row>
    <row r="3000" spans="13:36">
      <c r="M3000" s="811" t="str">
        <f t="shared" si="202"/>
        <v/>
      </c>
      <c r="X3000" s="811" t="str">
        <f t="shared" si="203"/>
        <v/>
      </c>
      <c r="AJ3000" s="865"/>
    </row>
    <row r="3001" spans="13:36">
      <c r="M3001" s="811" t="str">
        <f t="shared" si="202"/>
        <v/>
      </c>
      <c r="X3001" s="811" t="str">
        <f t="shared" si="203"/>
        <v/>
      </c>
      <c r="AJ3001" s="865"/>
    </row>
    <row r="3002" spans="13:36">
      <c r="M3002" s="811" t="str">
        <f t="shared" si="202"/>
        <v/>
      </c>
      <c r="X3002" s="811" t="str">
        <f t="shared" si="203"/>
        <v/>
      </c>
      <c r="AJ3002" s="865"/>
    </row>
    <row r="3003" spans="13:36">
      <c r="M3003" s="811" t="str">
        <f t="shared" si="202"/>
        <v/>
      </c>
      <c r="X3003" s="811" t="str">
        <f t="shared" si="203"/>
        <v/>
      </c>
      <c r="AJ3003" s="865"/>
    </row>
    <row r="3004" spans="13:36">
      <c r="M3004" s="811" t="str">
        <f t="shared" si="202"/>
        <v/>
      </c>
      <c r="X3004" s="811" t="str">
        <f t="shared" si="203"/>
        <v/>
      </c>
      <c r="AJ3004" s="865"/>
    </row>
    <row r="3005" spans="13:36">
      <c r="M3005" s="811" t="str">
        <f t="shared" si="202"/>
        <v/>
      </c>
      <c r="X3005" s="811" t="str">
        <f t="shared" si="203"/>
        <v/>
      </c>
      <c r="AJ3005" s="865"/>
    </row>
    <row r="3006" spans="13:36">
      <c r="M3006" s="811" t="str">
        <f t="shared" si="202"/>
        <v/>
      </c>
      <c r="X3006" s="811" t="str">
        <f t="shared" si="203"/>
        <v/>
      </c>
      <c r="AJ3006" s="865"/>
    </row>
    <row r="3007" spans="13:36">
      <c r="M3007" s="811" t="str">
        <f t="shared" si="202"/>
        <v/>
      </c>
      <c r="X3007" s="811" t="str">
        <f t="shared" si="203"/>
        <v/>
      </c>
      <c r="AJ3007" s="865"/>
    </row>
    <row r="3008" spans="13:36">
      <c r="M3008" s="811" t="str">
        <f t="shared" si="202"/>
        <v/>
      </c>
      <c r="X3008" s="811" t="str">
        <f t="shared" si="203"/>
        <v/>
      </c>
      <c r="AJ3008" s="865"/>
    </row>
    <row r="3009" spans="13:36">
      <c r="M3009" s="811" t="str">
        <f t="shared" si="202"/>
        <v/>
      </c>
      <c r="X3009" s="811" t="str">
        <f t="shared" si="203"/>
        <v/>
      </c>
      <c r="AJ3009" s="865"/>
    </row>
    <row r="3010" spans="13:36">
      <c r="M3010" s="811" t="str">
        <f t="shared" si="202"/>
        <v/>
      </c>
      <c r="X3010" s="811" t="str">
        <f t="shared" si="203"/>
        <v/>
      </c>
      <c r="AJ3010" s="865"/>
    </row>
    <row r="3011" spans="13:36">
      <c r="M3011" s="811" t="str">
        <f t="shared" si="202"/>
        <v/>
      </c>
      <c r="X3011" s="811" t="str">
        <f t="shared" si="203"/>
        <v/>
      </c>
      <c r="AJ3011" s="865"/>
    </row>
    <row r="3012" spans="13:36">
      <c r="M3012" s="811" t="str">
        <f t="shared" si="202"/>
        <v/>
      </c>
      <c r="X3012" s="811" t="str">
        <f t="shared" si="203"/>
        <v/>
      </c>
      <c r="AJ3012" s="865"/>
    </row>
    <row r="3013" spans="13:36">
      <c r="M3013" s="811" t="str">
        <f t="shared" si="202"/>
        <v/>
      </c>
      <c r="X3013" s="811" t="str">
        <f t="shared" si="203"/>
        <v/>
      </c>
      <c r="AJ3013" s="865"/>
    </row>
    <row r="3014" spans="13:36">
      <c r="M3014" s="811" t="str">
        <f t="shared" si="202"/>
        <v/>
      </c>
      <c r="X3014" s="811" t="str">
        <f t="shared" si="203"/>
        <v/>
      </c>
      <c r="AJ3014" s="865"/>
    </row>
    <row r="3015" spans="13:36">
      <c r="M3015" s="811" t="str">
        <f t="shared" si="202"/>
        <v/>
      </c>
      <c r="X3015" s="811" t="str">
        <f t="shared" si="203"/>
        <v/>
      </c>
      <c r="AJ3015" s="865"/>
    </row>
    <row r="3016" spans="13:36">
      <c r="M3016" s="811" t="str">
        <f t="shared" si="202"/>
        <v/>
      </c>
      <c r="X3016" s="811" t="str">
        <f t="shared" si="203"/>
        <v/>
      </c>
      <c r="AJ3016" s="865"/>
    </row>
    <row r="3017" spans="13:36">
      <c r="M3017" s="811" t="str">
        <f t="shared" si="202"/>
        <v/>
      </c>
      <c r="X3017" s="811" t="str">
        <f t="shared" si="203"/>
        <v/>
      </c>
      <c r="AJ3017" s="865"/>
    </row>
    <row r="3018" spans="13:36">
      <c r="M3018" s="811" t="str">
        <f t="shared" si="202"/>
        <v/>
      </c>
      <c r="X3018" s="811" t="str">
        <f t="shared" si="203"/>
        <v/>
      </c>
      <c r="AJ3018" s="865"/>
    </row>
    <row r="3019" spans="13:36">
      <c r="M3019" s="811" t="str">
        <f t="shared" si="202"/>
        <v/>
      </c>
      <c r="X3019" s="811" t="str">
        <f t="shared" si="203"/>
        <v/>
      </c>
      <c r="AJ3019" s="865"/>
    </row>
    <row r="3020" spans="13:36">
      <c r="M3020" s="811" t="str">
        <f t="shared" ref="M3020:M3083" si="204">IF(ISBLANK(L3020)=TRUE,"",LOOKUP(L3020,GQ:GR))</f>
        <v/>
      </c>
      <c r="X3020" s="811" t="str">
        <f t="shared" si="203"/>
        <v/>
      </c>
      <c r="AJ3020" s="865"/>
    </row>
    <row r="3021" spans="13:36">
      <c r="M3021" s="811" t="str">
        <f t="shared" si="204"/>
        <v/>
      </c>
      <c r="X3021" s="811" t="str">
        <f t="shared" si="203"/>
        <v/>
      </c>
      <c r="AJ3021" s="865"/>
    </row>
    <row r="3022" spans="13:36">
      <c r="M3022" s="811" t="str">
        <f t="shared" si="204"/>
        <v/>
      </c>
      <c r="X3022" s="811" t="str">
        <f t="shared" si="203"/>
        <v/>
      </c>
      <c r="AJ3022" s="865"/>
    </row>
    <row r="3023" spans="13:36">
      <c r="M3023" s="811" t="str">
        <f t="shared" si="204"/>
        <v/>
      </c>
      <c r="X3023" s="811" t="str">
        <f t="shared" si="203"/>
        <v/>
      </c>
      <c r="AJ3023" s="865"/>
    </row>
    <row r="3024" spans="13:36">
      <c r="M3024" s="811" t="str">
        <f t="shared" si="204"/>
        <v/>
      </c>
      <c r="X3024" s="811" t="str">
        <f t="shared" si="203"/>
        <v/>
      </c>
      <c r="AJ3024" s="865"/>
    </row>
    <row r="3025" spans="13:36">
      <c r="M3025" s="811" t="str">
        <f t="shared" si="204"/>
        <v/>
      </c>
      <c r="X3025" s="811" t="str">
        <f t="shared" si="203"/>
        <v/>
      </c>
      <c r="AJ3025" s="865"/>
    </row>
    <row r="3026" spans="13:36">
      <c r="M3026" s="811" t="str">
        <f t="shared" si="204"/>
        <v/>
      </c>
      <c r="X3026" s="811" t="str">
        <f t="shared" si="203"/>
        <v/>
      </c>
      <c r="AJ3026" s="865"/>
    </row>
    <row r="3027" spans="13:36">
      <c r="M3027" s="811" t="str">
        <f t="shared" si="204"/>
        <v/>
      </c>
      <c r="X3027" s="811" t="str">
        <f t="shared" si="203"/>
        <v/>
      </c>
      <c r="AJ3027" s="865"/>
    </row>
    <row r="3028" spans="13:36">
      <c r="M3028" s="811" t="str">
        <f t="shared" si="204"/>
        <v/>
      </c>
      <c r="X3028" s="811" t="str">
        <f t="shared" si="203"/>
        <v/>
      </c>
      <c r="AJ3028" s="865"/>
    </row>
    <row r="3029" spans="13:36">
      <c r="M3029" s="811" t="str">
        <f t="shared" si="204"/>
        <v/>
      </c>
      <c r="X3029" s="811" t="str">
        <f t="shared" si="203"/>
        <v/>
      </c>
      <c r="AJ3029" s="865"/>
    </row>
    <row r="3030" spans="13:36">
      <c r="M3030" s="811" t="str">
        <f t="shared" si="204"/>
        <v/>
      </c>
      <c r="X3030" s="811" t="str">
        <f t="shared" si="203"/>
        <v/>
      </c>
      <c r="AJ3030" s="865"/>
    </row>
    <row r="3031" spans="13:36">
      <c r="M3031" s="811" t="str">
        <f t="shared" si="204"/>
        <v/>
      </c>
      <c r="X3031" s="811" t="str">
        <f t="shared" si="203"/>
        <v/>
      </c>
      <c r="AJ3031" s="865"/>
    </row>
    <row r="3032" spans="13:36">
      <c r="M3032" s="811" t="str">
        <f t="shared" si="204"/>
        <v/>
      </c>
      <c r="X3032" s="811" t="str">
        <f t="shared" si="203"/>
        <v/>
      </c>
      <c r="AJ3032" s="865"/>
    </row>
    <row r="3033" spans="13:36">
      <c r="M3033" s="811" t="str">
        <f t="shared" si="204"/>
        <v/>
      </c>
      <c r="X3033" s="811" t="str">
        <f t="shared" si="203"/>
        <v/>
      </c>
      <c r="AJ3033" s="865"/>
    </row>
    <row r="3034" spans="13:36">
      <c r="M3034" s="811" t="str">
        <f t="shared" si="204"/>
        <v/>
      </c>
      <c r="X3034" s="811" t="str">
        <f t="shared" si="203"/>
        <v/>
      </c>
      <c r="AJ3034" s="865"/>
    </row>
    <row r="3035" spans="13:36">
      <c r="M3035" s="811" t="str">
        <f t="shared" si="204"/>
        <v/>
      </c>
      <c r="X3035" s="811" t="str">
        <f t="shared" si="203"/>
        <v/>
      </c>
      <c r="AJ3035" s="865"/>
    </row>
    <row r="3036" spans="13:36">
      <c r="M3036" s="811" t="str">
        <f t="shared" si="204"/>
        <v/>
      </c>
      <c r="X3036" s="811" t="str">
        <f t="shared" si="203"/>
        <v/>
      </c>
      <c r="AJ3036" s="865"/>
    </row>
    <row r="3037" spans="13:36">
      <c r="M3037" s="811" t="str">
        <f t="shared" si="204"/>
        <v/>
      </c>
      <c r="X3037" s="811" t="str">
        <f t="shared" si="203"/>
        <v/>
      </c>
      <c r="AJ3037" s="865"/>
    </row>
    <row r="3038" spans="13:36">
      <c r="M3038" s="811" t="str">
        <f t="shared" si="204"/>
        <v/>
      </c>
      <c r="X3038" s="811" t="str">
        <f t="shared" si="203"/>
        <v/>
      </c>
      <c r="AJ3038" s="865"/>
    </row>
    <row r="3039" spans="13:36">
      <c r="M3039" s="811" t="str">
        <f t="shared" si="204"/>
        <v/>
      </c>
      <c r="X3039" s="811" t="str">
        <f t="shared" si="203"/>
        <v/>
      </c>
      <c r="AJ3039" s="865"/>
    </row>
    <row r="3040" spans="13:36">
      <c r="M3040" s="811" t="str">
        <f t="shared" si="204"/>
        <v/>
      </c>
      <c r="X3040" s="811" t="str">
        <f t="shared" si="203"/>
        <v/>
      </c>
      <c r="AJ3040" s="865"/>
    </row>
    <row r="3041" spans="13:36">
      <c r="M3041" s="811" t="str">
        <f t="shared" si="204"/>
        <v/>
      </c>
      <c r="X3041" s="811" t="str">
        <f t="shared" si="203"/>
        <v/>
      </c>
      <c r="AJ3041" s="865"/>
    </row>
    <row r="3042" spans="13:36">
      <c r="M3042" s="811" t="str">
        <f t="shared" si="204"/>
        <v/>
      </c>
      <c r="X3042" s="811" t="str">
        <f t="shared" si="203"/>
        <v/>
      </c>
      <c r="AJ3042" s="865"/>
    </row>
    <row r="3043" spans="13:36">
      <c r="M3043" s="811" t="str">
        <f t="shared" si="204"/>
        <v/>
      </c>
      <c r="X3043" s="811" t="str">
        <f t="shared" si="203"/>
        <v/>
      </c>
      <c r="AJ3043" s="865"/>
    </row>
    <row r="3044" spans="13:36">
      <c r="M3044" s="811" t="str">
        <f t="shared" si="204"/>
        <v/>
      </c>
      <c r="X3044" s="811" t="str">
        <f t="shared" si="203"/>
        <v/>
      </c>
      <c r="AJ3044" s="865"/>
    </row>
    <row r="3045" spans="13:36">
      <c r="M3045" s="811" t="str">
        <f t="shared" si="204"/>
        <v/>
      </c>
      <c r="X3045" s="811" t="str">
        <f t="shared" si="203"/>
        <v/>
      </c>
      <c r="AJ3045" s="865"/>
    </row>
    <row r="3046" spans="13:36">
      <c r="M3046" s="811" t="str">
        <f t="shared" si="204"/>
        <v/>
      </c>
      <c r="X3046" s="811" t="str">
        <f t="shared" si="203"/>
        <v/>
      </c>
      <c r="AJ3046" s="865"/>
    </row>
    <row r="3047" spans="13:36">
      <c r="M3047" s="811" t="str">
        <f t="shared" si="204"/>
        <v/>
      </c>
      <c r="X3047" s="811" t="str">
        <f t="shared" si="203"/>
        <v/>
      </c>
      <c r="AJ3047" s="865"/>
    </row>
    <row r="3048" spans="13:36">
      <c r="M3048" s="811" t="str">
        <f t="shared" si="204"/>
        <v/>
      </c>
      <c r="X3048" s="811" t="str">
        <f t="shared" si="203"/>
        <v/>
      </c>
      <c r="AJ3048" s="865"/>
    </row>
    <row r="3049" spans="13:36">
      <c r="M3049" s="811" t="str">
        <f t="shared" si="204"/>
        <v/>
      </c>
      <c r="X3049" s="811" t="str">
        <f t="shared" si="203"/>
        <v/>
      </c>
      <c r="AJ3049" s="865"/>
    </row>
    <row r="3050" spans="13:36">
      <c r="M3050" s="811" t="str">
        <f t="shared" si="204"/>
        <v/>
      </c>
      <c r="X3050" s="811" t="str">
        <f t="shared" si="203"/>
        <v/>
      </c>
      <c r="AJ3050" s="865"/>
    </row>
    <row r="3051" spans="13:36">
      <c r="M3051" s="811" t="str">
        <f t="shared" si="204"/>
        <v/>
      </c>
      <c r="X3051" s="811" t="str">
        <f t="shared" si="203"/>
        <v/>
      </c>
      <c r="AJ3051" s="865"/>
    </row>
    <row r="3052" spans="13:36">
      <c r="M3052" s="811" t="str">
        <f t="shared" si="204"/>
        <v/>
      </c>
      <c r="X3052" s="811" t="str">
        <f t="shared" si="203"/>
        <v/>
      </c>
      <c r="AJ3052" s="865"/>
    </row>
    <row r="3053" spans="13:36">
      <c r="M3053" s="811" t="str">
        <f t="shared" si="204"/>
        <v/>
      </c>
      <c r="X3053" s="811" t="str">
        <f t="shared" si="203"/>
        <v/>
      </c>
      <c r="AJ3053" s="865"/>
    </row>
    <row r="3054" spans="13:36">
      <c r="M3054" s="811" t="str">
        <f t="shared" si="204"/>
        <v/>
      </c>
      <c r="X3054" s="811" t="str">
        <f t="shared" si="203"/>
        <v/>
      </c>
      <c r="AJ3054" s="865"/>
    </row>
    <row r="3055" spans="13:36">
      <c r="M3055" s="811" t="str">
        <f t="shared" si="204"/>
        <v/>
      </c>
      <c r="X3055" s="811" t="str">
        <f t="shared" si="203"/>
        <v/>
      </c>
      <c r="AJ3055" s="865"/>
    </row>
    <row r="3056" spans="13:36">
      <c r="M3056" s="811" t="str">
        <f t="shared" si="204"/>
        <v/>
      </c>
      <c r="X3056" s="811" t="str">
        <f t="shared" si="203"/>
        <v/>
      </c>
      <c r="AJ3056" s="865"/>
    </row>
    <row r="3057" spans="13:36">
      <c r="M3057" s="811" t="str">
        <f t="shared" si="204"/>
        <v/>
      </c>
      <c r="X3057" s="811" t="str">
        <f t="shared" si="203"/>
        <v/>
      </c>
      <c r="AJ3057" s="865"/>
    </row>
    <row r="3058" spans="13:36">
      <c r="M3058" s="811" t="str">
        <f t="shared" si="204"/>
        <v/>
      </c>
      <c r="X3058" s="811" t="str">
        <f t="shared" si="203"/>
        <v/>
      </c>
      <c r="AJ3058" s="865"/>
    </row>
    <row r="3059" spans="13:36">
      <c r="M3059" s="811" t="str">
        <f t="shared" si="204"/>
        <v/>
      </c>
      <c r="X3059" s="811" t="str">
        <f t="shared" ref="X3059:X3122" si="205">IF(ISBLANK(W3059)=TRUE,"",LOOKUP(W3059,GO:GP))</f>
        <v/>
      </c>
      <c r="AJ3059" s="865"/>
    </row>
    <row r="3060" spans="13:36">
      <c r="M3060" s="811" t="str">
        <f t="shared" si="204"/>
        <v/>
      </c>
      <c r="X3060" s="811" t="str">
        <f t="shared" si="205"/>
        <v/>
      </c>
      <c r="AJ3060" s="865"/>
    </row>
    <row r="3061" spans="13:36">
      <c r="M3061" s="811" t="str">
        <f t="shared" si="204"/>
        <v/>
      </c>
      <c r="X3061" s="811" t="str">
        <f t="shared" si="205"/>
        <v/>
      </c>
      <c r="AJ3061" s="865"/>
    </row>
    <row r="3062" spans="13:36">
      <c r="M3062" s="811" t="str">
        <f t="shared" si="204"/>
        <v/>
      </c>
      <c r="X3062" s="811" t="str">
        <f t="shared" si="205"/>
        <v/>
      </c>
      <c r="AJ3062" s="865"/>
    </row>
    <row r="3063" spans="13:36">
      <c r="M3063" s="811" t="str">
        <f t="shared" si="204"/>
        <v/>
      </c>
      <c r="X3063" s="811" t="str">
        <f t="shared" si="205"/>
        <v/>
      </c>
      <c r="AJ3063" s="865"/>
    </row>
    <row r="3064" spans="13:36">
      <c r="M3064" s="811" t="str">
        <f t="shared" si="204"/>
        <v/>
      </c>
      <c r="X3064" s="811" t="str">
        <f t="shared" si="205"/>
        <v/>
      </c>
      <c r="AJ3064" s="865"/>
    </row>
    <row r="3065" spans="13:36">
      <c r="M3065" s="811" t="str">
        <f t="shared" si="204"/>
        <v/>
      </c>
      <c r="X3065" s="811" t="str">
        <f t="shared" si="205"/>
        <v/>
      </c>
      <c r="AJ3065" s="865"/>
    </row>
    <row r="3066" spans="13:36">
      <c r="M3066" s="811" t="str">
        <f t="shared" si="204"/>
        <v/>
      </c>
      <c r="X3066" s="811" t="str">
        <f t="shared" si="205"/>
        <v/>
      </c>
      <c r="AJ3066" s="865"/>
    </row>
    <row r="3067" spans="13:36">
      <c r="M3067" s="811" t="str">
        <f t="shared" si="204"/>
        <v/>
      </c>
      <c r="X3067" s="811" t="str">
        <f t="shared" si="205"/>
        <v/>
      </c>
      <c r="AJ3067" s="865"/>
    </row>
    <row r="3068" spans="13:36">
      <c r="M3068" s="811" t="str">
        <f t="shared" si="204"/>
        <v/>
      </c>
      <c r="X3068" s="811" t="str">
        <f t="shared" si="205"/>
        <v/>
      </c>
      <c r="AJ3068" s="865"/>
    </row>
    <row r="3069" spans="13:36">
      <c r="M3069" s="811" t="str">
        <f t="shared" si="204"/>
        <v/>
      </c>
      <c r="X3069" s="811" t="str">
        <f t="shared" si="205"/>
        <v/>
      </c>
      <c r="AJ3069" s="865"/>
    </row>
    <row r="3070" spans="13:36">
      <c r="M3070" s="811" t="str">
        <f t="shared" si="204"/>
        <v/>
      </c>
      <c r="X3070" s="811" t="str">
        <f t="shared" si="205"/>
        <v/>
      </c>
      <c r="AJ3070" s="865"/>
    </row>
    <row r="3071" spans="13:36">
      <c r="M3071" s="811" t="str">
        <f t="shared" si="204"/>
        <v/>
      </c>
      <c r="X3071" s="811" t="str">
        <f t="shared" si="205"/>
        <v/>
      </c>
      <c r="AJ3071" s="865"/>
    </row>
    <row r="3072" spans="13:36">
      <c r="M3072" s="811" t="str">
        <f t="shared" si="204"/>
        <v/>
      </c>
      <c r="X3072" s="811" t="str">
        <f t="shared" si="205"/>
        <v/>
      </c>
      <c r="AJ3072" s="865"/>
    </row>
    <row r="3073" spans="13:36">
      <c r="M3073" s="811" t="str">
        <f t="shared" si="204"/>
        <v/>
      </c>
      <c r="X3073" s="811" t="str">
        <f t="shared" si="205"/>
        <v/>
      </c>
      <c r="AJ3073" s="865"/>
    </row>
    <row r="3074" spans="13:36">
      <c r="M3074" s="811" t="str">
        <f t="shared" si="204"/>
        <v/>
      </c>
      <c r="X3074" s="811" t="str">
        <f t="shared" si="205"/>
        <v/>
      </c>
      <c r="AJ3074" s="865"/>
    </row>
    <row r="3075" spans="13:36">
      <c r="M3075" s="811" t="str">
        <f t="shared" si="204"/>
        <v/>
      </c>
      <c r="X3075" s="811" t="str">
        <f t="shared" si="205"/>
        <v/>
      </c>
      <c r="AJ3075" s="865"/>
    </row>
    <row r="3076" spans="13:36">
      <c r="M3076" s="811" t="str">
        <f t="shared" si="204"/>
        <v/>
      </c>
      <c r="X3076" s="811" t="str">
        <f t="shared" si="205"/>
        <v/>
      </c>
      <c r="AJ3076" s="865"/>
    </row>
    <row r="3077" spans="13:36">
      <c r="M3077" s="811" t="str">
        <f t="shared" si="204"/>
        <v/>
      </c>
      <c r="X3077" s="811" t="str">
        <f t="shared" si="205"/>
        <v/>
      </c>
      <c r="AJ3077" s="865"/>
    </row>
    <row r="3078" spans="13:36">
      <c r="M3078" s="811" t="str">
        <f t="shared" si="204"/>
        <v/>
      </c>
      <c r="X3078" s="811" t="str">
        <f t="shared" si="205"/>
        <v/>
      </c>
      <c r="AJ3078" s="865"/>
    </row>
    <row r="3079" spans="13:36">
      <c r="M3079" s="811" t="str">
        <f t="shared" si="204"/>
        <v/>
      </c>
      <c r="X3079" s="811" t="str">
        <f t="shared" si="205"/>
        <v/>
      </c>
      <c r="AJ3079" s="865"/>
    </row>
    <row r="3080" spans="13:36">
      <c r="M3080" s="811" t="str">
        <f t="shared" si="204"/>
        <v/>
      </c>
      <c r="X3080" s="811" t="str">
        <f t="shared" si="205"/>
        <v/>
      </c>
      <c r="AJ3080" s="865"/>
    </row>
    <row r="3081" spans="13:36">
      <c r="M3081" s="811" t="str">
        <f t="shared" si="204"/>
        <v/>
      </c>
      <c r="X3081" s="811" t="str">
        <f t="shared" si="205"/>
        <v/>
      </c>
      <c r="AJ3081" s="865"/>
    </row>
    <row r="3082" spans="13:36">
      <c r="M3082" s="811" t="str">
        <f t="shared" si="204"/>
        <v/>
      </c>
      <c r="X3082" s="811" t="str">
        <f t="shared" si="205"/>
        <v/>
      </c>
      <c r="AJ3082" s="865"/>
    </row>
    <row r="3083" spans="13:36">
      <c r="M3083" s="811" t="str">
        <f t="shared" si="204"/>
        <v/>
      </c>
      <c r="X3083" s="811" t="str">
        <f t="shared" si="205"/>
        <v/>
      </c>
      <c r="AJ3083" s="865"/>
    </row>
    <row r="3084" spans="13:36">
      <c r="M3084" s="811" t="str">
        <f t="shared" ref="M3084:M3147" si="206">IF(ISBLANK(L3084)=TRUE,"",LOOKUP(L3084,GQ:GR))</f>
        <v/>
      </c>
      <c r="X3084" s="811" t="str">
        <f t="shared" si="205"/>
        <v/>
      </c>
      <c r="AJ3084" s="865"/>
    </row>
    <row r="3085" spans="13:36">
      <c r="M3085" s="811" t="str">
        <f t="shared" si="206"/>
        <v/>
      </c>
      <c r="X3085" s="811" t="str">
        <f t="shared" si="205"/>
        <v/>
      </c>
      <c r="AJ3085" s="865"/>
    </row>
    <row r="3086" spans="13:36">
      <c r="M3086" s="811" t="str">
        <f t="shared" si="206"/>
        <v/>
      </c>
      <c r="X3086" s="811" t="str">
        <f t="shared" si="205"/>
        <v/>
      </c>
      <c r="AJ3086" s="865"/>
    </row>
    <row r="3087" spans="13:36">
      <c r="M3087" s="811" t="str">
        <f t="shared" si="206"/>
        <v/>
      </c>
      <c r="X3087" s="811" t="str">
        <f t="shared" si="205"/>
        <v/>
      </c>
      <c r="AJ3087" s="865"/>
    </row>
    <row r="3088" spans="13:36">
      <c r="M3088" s="811" t="str">
        <f t="shared" si="206"/>
        <v/>
      </c>
      <c r="X3088" s="811" t="str">
        <f t="shared" si="205"/>
        <v/>
      </c>
      <c r="AJ3088" s="865"/>
    </row>
    <row r="3089" spans="13:36">
      <c r="M3089" s="811" t="str">
        <f t="shared" si="206"/>
        <v/>
      </c>
      <c r="X3089" s="811" t="str">
        <f t="shared" si="205"/>
        <v/>
      </c>
      <c r="AJ3089" s="865"/>
    </row>
    <row r="3090" spans="13:36">
      <c r="M3090" s="811" t="str">
        <f t="shared" si="206"/>
        <v/>
      </c>
      <c r="X3090" s="811" t="str">
        <f t="shared" si="205"/>
        <v/>
      </c>
      <c r="AJ3090" s="865"/>
    </row>
    <row r="3091" spans="13:36">
      <c r="M3091" s="811" t="str">
        <f t="shared" si="206"/>
        <v/>
      </c>
      <c r="X3091" s="811" t="str">
        <f t="shared" si="205"/>
        <v/>
      </c>
      <c r="AJ3091" s="865"/>
    </row>
    <row r="3092" spans="13:36">
      <c r="M3092" s="811" t="str">
        <f t="shared" si="206"/>
        <v/>
      </c>
      <c r="X3092" s="811" t="str">
        <f t="shared" si="205"/>
        <v/>
      </c>
      <c r="AJ3092" s="865"/>
    </row>
    <row r="3093" spans="13:36">
      <c r="M3093" s="811" t="str">
        <f t="shared" si="206"/>
        <v/>
      </c>
      <c r="X3093" s="811" t="str">
        <f t="shared" si="205"/>
        <v/>
      </c>
      <c r="AJ3093" s="865"/>
    </row>
    <row r="3094" spans="13:36">
      <c r="M3094" s="811" t="str">
        <f t="shared" si="206"/>
        <v/>
      </c>
      <c r="X3094" s="811" t="str">
        <f t="shared" si="205"/>
        <v/>
      </c>
      <c r="AJ3094" s="865"/>
    </row>
    <row r="3095" spans="13:36">
      <c r="M3095" s="811" t="str">
        <f t="shared" si="206"/>
        <v/>
      </c>
      <c r="X3095" s="811" t="str">
        <f t="shared" si="205"/>
        <v/>
      </c>
      <c r="AJ3095" s="865"/>
    </row>
    <row r="3096" spans="13:36">
      <c r="M3096" s="811" t="str">
        <f t="shared" si="206"/>
        <v/>
      </c>
      <c r="X3096" s="811" t="str">
        <f t="shared" si="205"/>
        <v/>
      </c>
      <c r="AJ3096" s="865"/>
    </row>
    <row r="3097" spans="13:36">
      <c r="M3097" s="811" t="str">
        <f t="shared" si="206"/>
        <v/>
      </c>
      <c r="X3097" s="811" t="str">
        <f t="shared" si="205"/>
        <v/>
      </c>
      <c r="AJ3097" s="865"/>
    </row>
    <row r="3098" spans="13:36">
      <c r="M3098" s="811" t="str">
        <f t="shared" si="206"/>
        <v/>
      </c>
      <c r="X3098" s="811" t="str">
        <f t="shared" si="205"/>
        <v/>
      </c>
      <c r="AJ3098" s="865"/>
    </row>
    <row r="3099" spans="13:36">
      <c r="M3099" s="811" t="str">
        <f t="shared" si="206"/>
        <v/>
      </c>
      <c r="X3099" s="811" t="str">
        <f t="shared" si="205"/>
        <v/>
      </c>
      <c r="AJ3099" s="865"/>
    </row>
    <row r="3100" spans="13:36">
      <c r="M3100" s="811" t="str">
        <f t="shared" si="206"/>
        <v/>
      </c>
      <c r="X3100" s="811" t="str">
        <f t="shared" si="205"/>
        <v/>
      </c>
      <c r="AJ3100" s="865"/>
    </row>
    <row r="3101" spans="13:36">
      <c r="M3101" s="811" t="str">
        <f t="shared" si="206"/>
        <v/>
      </c>
      <c r="X3101" s="811" t="str">
        <f t="shared" si="205"/>
        <v/>
      </c>
      <c r="AJ3101" s="865"/>
    </row>
    <row r="3102" spans="13:36">
      <c r="M3102" s="811" t="str">
        <f t="shared" si="206"/>
        <v/>
      </c>
      <c r="X3102" s="811" t="str">
        <f t="shared" si="205"/>
        <v/>
      </c>
      <c r="AJ3102" s="865"/>
    </row>
    <row r="3103" spans="13:36">
      <c r="M3103" s="811" t="str">
        <f t="shared" si="206"/>
        <v/>
      </c>
      <c r="X3103" s="811" t="str">
        <f t="shared" si="205"/>
        <v/>
      </c>
      <c r="AJ3103" s="865"/>
    </row>
    <row r="3104" spans="13:36">
      <c r="M3104" s="811" t="str">
        <f t="shared" si="206"/>
        <v/>
      </c>
      <c r="X3104" s="811" t="str">
        <f t="shared" si="205"/>
        <v/>
      </c>
      <c r="AJ3104" s="865"/>
    </row>
    <row r="3105" spans="13:36">
      <c r="M3105" s="811" t="str">
        <f t="shared" si="206"/>
        <v/>
      </c>
      <c r="X3105" s="811" t="str">
        <f t="shared" si="205"/>
        <v/>
      </c>
      <c r="AJ3105" s="865"/>
    </row>
    <row r="3106" spans="13:36">
      <c r="M3106" s="811" t="str">
        <f t="shared" si="206"/>
        <v/>
      </c>
      <c r="X3106" s="811" t="str">
        <f t="shared" si="205"/>
        <v/>
      </c>
      <c r="AJ3106" s="865"/>
    </row>
    <row r="3107" spans="13:36">
      <c r="M3107" s="811" t="str">
        <f t="shared" si="206"/>
        <v/>
      </c>
      <c r="X3107" s="811" t="str">
        <f t="shared" si="205"/>
        <v/>
      </c>
      <c r="AJ3107" s="865"/>
    </row>
    <row r="3108" spans="13:36">
      <c r="M3108" s="811" t="str">
        <f t="shared" si="206"/>
        <v/>
      </c>
      <c r="X3108" s="811" t="str">
        <f t="shared" si="205"/>
        <v/>
      </c>
      <c r="AJ3108" s="865"/>
    </row>
    <row r="3109" spans="13:36">
      <c r="M3109" s="811" t="str">
        <f t="shared" si="206"/>
        <v/>
      </c>
      <c r="X3109" s="811" t="str">
        <f t="shared" si="205"/>
        <v/>
      </c>
      <c r="AJ3109" s="865"/>
    </row>
    <row r="3110" spans="13:36">
      <c r="M3110" s="811" t="str">
        <f t="shared" si="206"/>
        <v/>
      </c>
      <c r="X3110" s="811" t="str">
        <f t="shared" si="205"/>
        <v/>
      </c>
      <c r="AJ3110" s="865"/>
    </row>
    <row r="3111" spans="13:36">
      <c r="M3111" s="811" t="str">
        <f t="shared" si="206"/>
        <v/>
      </c>
      <c r="X3111" s="811" t="str">
        <f t="shared" si="205"/>
        <v/>
      </c>
      <c r="AJ3111" s="865"/>
    </row>
    <row r="3112" spans="13:36">
      <c r="M3112" s="811" t="str">
        <f t="shared" si="206"/>
        <v/>
      </c>
      <c r="X3112" s="811" t="str">
        <f t="shared" si="205"/>
        <v/>
      </c>
      <c r="AJ3112" s="865"/>
    </row>
    <row r="3113" spans="13:36">
      <c r="M3113" s="811" t="str">
        <f t="shared" si="206"/>
        <v/>
      </c>
      <c r="X3113" s="811" t="str">
        <f t="shared" si="205"/>
        <v/>
      </c>
      <c r="AJ3113" s="865"/>
    </row>
    <row r="3114" spans="13:36">
      <c r="M3114" s="811" t="str">
        <f t="shared" si="206"/>
        <v/>
      </c>
      <c r="X3114" s="811" t="str">
        <f t="shared" si="205"/>
        <v/>
      </c>
      <c r="AJ3114" s="865"/>
    </row>
    <row r="3115" spans="13:36">
      <c r="M3115" s="811" t="str">
        <f t="shared" si="206"/>
        <v/>
      </c>
      <c r="X3115" s="811" t="str">
        <f t="shared" si="205"/>
        <v/>
      </c>
      <c r="AJ3115" s="865"/>
    </row>
    <row r="3116" spans="13:36">
      <c r="M3116" s="811" t="str">
        <f t="shared" si="206"/>
        <v/>
      </c>
      <c r="X3116" s="811" t="str">
        <f t="shared" si="205"/>
        <v/>
      </c>
      <c r="AJ3116" s="865"/>
    </row>
    <row r="3117" spans="13:36">
      <c r="M3117" s="811" t="str">
        <f t="shared" si="206"/>
        <v/>
      </c>
      <c r="X3117" s="811" t="str">
        <f t="shared" si="205"/>
        <v/>
      </c>
      <c r="AJ3117" s="865"/>
    </row>
    <row r="3118" spans="13:36">
      <c r="M3118" s="811" t="str">
        <f t="shared" si="206"/>
        <v/>
      </c>
      <c r="X3118" s="811" t="str">
        <f t="shared" si="205"/>
        <v/>
      </c>
      <c r="AJ3118" s="865"/>
    </row>
    <row r="3119" spans="13:36">
      <c r="M3119" s="811" t="str">
        <f t="shared" si="206"/>
        <v/>
      </c>
      <c r="X3119" s="811" t="str">
        <f t="shared" si="205"/>
        <v/>
      </c>
      <c r="AJ3119" s="865"/>
    </row>
    <row r="3120" spans="13:36">
      <c r="M3120" s="811" t="str">
        <f t="shared" si="206"/>
        <v/>
      </c>
      <c r="X3120" s="811" t="str">
        <f t="shared" si="205"/>
        <v/>
      </c>
      <c r="AJ3120" s="865"/>
    </row>
    <row r="3121" spans="13:36">
      <c r="M3121" s="811" t="str">
        <f t="shared" si="206"/>
        <v/>
      </c>
      <c r="X3121" s="811" t="str">
        <f t="shared" si="205"/>
        <v/>
      </c>
      <c r="AJ3121" s="865"/>
    </row>
    <row r="3122" spans="13:36">
      <c r="M3122" s="811" t="str">
        <f t="shared" si="206"/>
        <v/>
      </c>
      <c r="X3122" s="811" t="str">
        <f t="shared" si="205"/>
        <v/>
      </c>
      <c r="AJ3122" s="865"/>
    </row>
    <row r="3123" spans="13:36">
      <c r="M3123" s="811" t="str">
        <f t="shared" si="206"/>
        <v/>
      </c>
      <c r="X3123" s="811" t="str">
        <f t="shared" ref="X3123:X3186" si="207">IF(ISBLANK(W3123)=TRUE,"",LOOKUP(W3123,GO:GP))</f>
        <v/>
      </c>
      <c r="AJ3123" s="865"/>
    </row>
    <row r="3124" spans="13:36">
      <c r="M3124" s="811" t="str">
        <f t="shared" si="206"/>
        <v/>
      </c>
      <c r="X3124" s="811" t="str">
        <f t="shared" si="207"/>
        <v/>
      </c>
      <c r="AJ3124" s="865"/>
    </row>
    <row r="3125" spans="13:36">
      <c r="M3125" s="811" t="str">
        <f t="shared" si="206"/>
        <v/>
      </c>
      <c r="X3125" s="811" t="str">
        <f t="shared" si="207"/>
        <v/>
      </c>
      <c r="AJ3125" s="865"/>
    </row>
    <row r="3126" spans="13:36">
      <c r="M3126" s="811" t="str">
        <f t="shared" si="206"/>
        <v/>
      </c>
      <c r="X3126" s="811" t="str">
        <f t="shared" si="207"/>
        <v/>
      </c>
      <c r="AJ3126" s="865"/>
    </row>
    <row r="3127" spans="13:36">
      <c r="M3127" s="811" t="str">
        <f t="shared" si="206"/>
        <v/>
      </c>
      <c r="X3127" s="811" t="str">
        <f t="shared" si="207"/>
        <v/>
      </c>
      <c r="AJ3127" s="865"/>
    </row>
    <row r="3128" spans="13:36">
      <c r="M3128" s="811" t="str">
        <f t="shared" si="206"/>
        <v/>
      </c>
      <c r="X3128" s="811" t="str">
        <f t="shared" si="207"/>
        <v/>
      </c>
      <c r="AJ3128" s="865"/>
    </row>
    <row r="3129" spans="13:36">
      <c r="M3129" s="811" t="str">
        <f t="shared" si="206"/>
        <v/>
      </c>
      <c r="X3129" s="811" t="str">
        <f t="shared" si="207"/>
        <v/>
      </c>
      <c r="AJ3129" s="865"/>
    </row>
    <row r="3130" spans="13:36">
      <c r="M3130" s="811" t="str">
        <f t="shared" si="206"/>
        <v/>
      </c>
      <c r="X3130" s="811" t="str">
        <f t="shared" si="207"/>
        <v/>
      </c>
      <c r="AJ3130" s="865"/>
    </row>
    <row r="3131" spans="13:36">
      <c r="M3131" s="811" t="str">
        <f t="shared" si="206"/>
        <v/>
      </c>
      <c r="X3131" s="811" t="str">
        <f t="shared" si="207"/>
        <v/>
      </c>
      <c r="AJ3131" s="865"/>
    </row>
    <row r="3132" spans="13:36">
      <c r="M3132" s="811" t="str">
        <f t="shared" si="206"/>
        <v/>
      </c>
      <c r="X3132" s="811" t="str">
        <f t="shared" si="207"/>
        <v/>
      </c>
      <c r="AJ3132" s="865"/>
    </row>
    <row r="3133" spans="13:36">
      <c r="M3133" s="811" t="str">
        <f t="shared" si="206"/>
        <v/>
      </c>
      <c r="X3133" s="811" t="str">
        <f t="shared" si="207"/>
        <v/>
      </c>
      <c r="AJ3133" s="865"/>
    </row>
    <row r="3134" spans="13:36">
      <c r="M3134" s="811" t="str">
        <f t="shared" si="206"/>
        <v/>
      </c>
      <c r="X3134" s="811" t="str">
        <f t="shared" si="207"/>
        <v/>
      </c>
      <c r="AJ3134" s="865"/>
    </row>
    <row r="3135" spans="13:36">
      <c r="M3135" s="811" t="str">
        <f t="shared" si="206"/>
        <v/>
      </c>
      <c r="X3135" s="811" t="str">
        <f t="shared" si="207"/>
        <v/>
      </c>
      <c r="AJ3135" s="865"/>
    </row>
    <row r="3136" spans="13:36">
      <c r="M3136" s="811" t="str">
        <f t="shared" si="206"/>
        <v/>
      </c>
      <c r="X3136" s="811" t="str">
        <f t="shared" si="207"/>
        <v/>
      </c>
      <c r="AJ3136" s="865"/>
    </row>
    <row r="3137" spans="13:36">
      <c r="M3137" s="811" t="str">
        <f t="shared" si="206"/>
        <v/>
      </c>
      <c r="X3137" s="811" t="str">
        <f t="shared" si="207"/>
        <v/>
      </c>
      <c r="AJ3137" s="865"/>
    </row>
    <row r="3138" spans="13:36">
      <c r="M3138" s="811" t="str">
        <f t="shared" si="206"/>
        <v/>
      </c>
      <c r="X3138" s="811" t="str">
        <f t="shared" si="207"/>
        <v/>
      </c>
      <c r="AJ3138" s="865"/>
    </row>
    <row r="3139" spans="13:36">
      <c r="M3139" s="811" t="str">
        <f t="shared" si="206"/>
        <v/>
      </c>
      <c r="X3139" s="811" t="str">
        <f t="shared" si="207"/>
        <v/>
      </c>
      <c r="AJ3139" s="865"/>
    </row>
    <row r="3140" spans="13:36">
      <c r="M3140" s="811" t="str">
        <f t="shared" si="206"/>
        <v/>
      </c>
      <c r="X3140" s="811" t="str">
        <f t="shared" si="207"/>
        <v/>
      </c>
      <c r="AJ3140" s="865"/>
    </row>
    <row r="3141" spans="13:36">
      <c r="M3141" s="811" t="str">
        <f t="shared" si="206"/>
        <v/>
      </c>
      <c r="X3141" s="811" t="str">
        <f t="shared" si="207"/>
        <v/>
      </c>
      <c r="AJ3141" s="865"/>
    </row>
    <row r="3142" spans="13:36">
      <c r="M3142" s="811" t="str">
        <f t="shared" si="206"/>
        <v/>
      </c>
      <c r="X3142" s="811" t="str">
        <f t="shared" si="207"/>
        <v/>
      </c>
      <c r="AJ3142" s="865"/>
    </row>
    <row r="3143" spans="13:36">
      <c r="M3143" s="811" t="str">
        <f t="shared" si="206"/>
        <v/>
      </c>
      <c r="X3143" s="811" t="str">
        <f t="shared" si="207"/>
        <v/>
      </c>
      <c r="AJ3143" s="865"/>
    </row>
    <row r="3144" spans="13:36">
      <c r="M3144" s="811" t="str">
        <f t="shared" si="206"/>
        <v/>
      </c>
      <c r="X3144" s="811" t="str">
        <f t="shared" si="207"/>
        <v/>
      </c>
      <c r="AJ3144" s="865"/>
    </row>
    <row r="3145" spans="13:36">
      <c r="M3145" s="811" t="str">
        <f t="shared" si="206"/>
        <v/>
      </c>
      <c r="X3145" s="811" t="str">
        <f t="shared" si="207"/>
        <v/>
      </c>
      <c r="AJ3145" s="865"/>
    </row>
    <row r="3146" spans="13:36">
      <c r="M3146" s="811" t="str">
        <f t="shared" si="206"/>
        <v/>
      </c>
      <c r="X3146" s="811" t="str">
        <f t="shared" si="207"/>
        <v/>
      </c>
      <c r="AJ3146" s="865"/>
    </row>
    <row r="3147" spans="13:36">
      <c r="M3147" s="811" t="str">
        <f t="shared" si="206"/>
        <v/>
      </c>
      <c r="X3147" s="811" t="str">
        <f t="shared" si="207"/>
        <v/>
      </c>
      <c r="AJ3147" s="865"/>
    </row>
    <row r="3148" spans="13:36">
      <c r="M3148" s="811" t="str">
        <f t="shared" ref="M3148:M3211" si="208">IF(ISBLANK(L3148)=TRUE,"",LOOKUP(L3148,GQ:GR))</f>
        <v/>
      </c>
      <c r="X3148" s="811" t="str">
        <f t="shared" si="207"/>
        <v/>
      </c>
      <c r="AJ3148" s="865"/>
    </row>
    <row r="3149" spans="13:36">
      <c r="M3149" s="811" t="str">
        <f t="shared" si="208"/>
        <v/>
      </c>
      <c r="X3149" s="811" t="str">
        <f t="shared" si="207"/>
        <v/>
      </c>
      <c r="AJ3149" s="865"/>
    </row>
    <row r="3150" spans="13:36">
      <c r="M3150" s="811" t="str">
        <f t="shared" si="208"/>
        <v/>
      </c>
      <c r="X3150" s="811" t="str">
        <f t="shared" si="207"/>
        <v/>
      </c>
      <c r="AJ3150" s="865"/>
    </row>
    <row r="3151" spans="13:36">
      <c r="M3151" s="811" t="str">
        <f t="shared" si="208"/>
        <v/>
      </c>
      <c r="X3151" s="811" t="str">
        <f t="shared" si="207"/>
        <v/>
      </c>
      <c r="AJ3151" s="865"/>
    </row>
    <row r="3152" spans="13:36">
      <c r="M3152" s="811" t="str">
        <f t="shared" si="208"/>
        <v/>
      </c>
      <c r="X3152" s="811" t="str">
        <f t="shared" si="207"/>
        <v/>
      </c>
      <c r="AJ3152" s="865"/>
    </row>
    <row r="3153" spans="13:36">
      <c r="M3153" s="811" t="str">
        <f t="shared" si="208"/>
        <v/>
      </c>
      <c r="X3153" s="811" t="str">
        <f t="shared" si="207"/>
        <v/>
      </c>
      <c r="AJ3153" s="865"/>
    </row>
    <row r="3154" spans="13:36">
      <c r="M3154" s="811" t="str">
        <f t="shared" si="208"/>
        <v/>
      </c>
      <c r="X3154" s="811" t="str">
        <f t="shared" si="207"/>
        <v/>
      </c>
      <c r="AJ3154" s="865"/>
    </row>
    <row r="3155" spans="13:36">
      <c r="M3155" s="811" t="str">
        <f t="shared" si="208"/>
        <v/>
      </c>
      <c r="X3155" s="811" t="str">
        <f t="shared" si="207"/>
        <v/>
      </c>
      <c r="AJ3155" s="865"/>
    </row>
    <row r="3156" spans="13:36">
      <c r="M3156" s="811" t="str">
        <f t="shared" si="208"/>
        <v/>
      </c>
      <c r="X3156" s="811" t="str">
        <f t="shared" si="207"/>
        <v/>
      </c>
      <c r="AJ3156" s="865"/>
    </row>
    <row r="3157" spans="13:36">
      <c r="M3157" s="811" t="str">
        <f t="shared" si="208"/>
        <v/>
      </c>
      <c r="X3157" s="811" t="str">
        <f t="shared" si="207"/>
        <v/>
      </c>
      <c r="AJ3157" s="865"/>
    </row>
    <row r="3158" spans="13:36">
      <c r="M3158" s="811" t="str">
        <f t="shared" si="208"/>
        <v/>
      </c>
      <c r="X3158" s="811" t="str">
        <f t="shared" si="207"/>
        <v/>
      </c>
      <c r="AJ3158" s="865"/>
    </row>
    <row r="3159" spans="13:36">
      <c r="M3159" s="811" t="str">
        <f t="shared" si="208"/>
        <v/>
      </c>
      <c r="X3159" s="811" t="str">
        <f t="shared" si="207"/>
        <v/>
      </c>
      <c r="AJ3159" s="865"/>
    </row>
    <row r="3160" spans="13:36">
      <c r="M3160" s="811" t="str">
        <f t="shared" si="208"/>
        <v/>
      </c>
      <c r="X3160" s="811" t="str">
        <f t="shared" si="207"/>
        <v/>
      </c>
      <c r="AJ3160" s="865"/>
    </row>
    <row r="3161" spans="13:36">
      <c r="M3161" s="811" t="str">
        <f t="shared" si="208"/>
        <v/>
      </c>
      <c r="X3161" s="811" t="str">
        <f t="shared" si="207"/>
        <v/>
      </c>
      <c r="AJ3161" s="865"/>
    </row>
    <row r="3162" spans="13:36">
      <c r="M3162" s="811" t="str">
        <f t="shared" si="208"/>
        <v/>
      </c>
      <c r="X3162" s="811" t="str">
        <f t="shared" si="207"/>
        <v/>
      </c>
      <c r="AJ3162" s="865"/>
    </row>
    <row r="3163" spans="13:36">
      <c r="M3163" s="811" t="str">
        <f t="shared" si="208"/>
        <v/>
      </c>
      <c r="X3163" s="811" t="str">
        <f t="shared" si="207"/>
        <v/>
      </c>
      <c r="AJ3163" s="865"/>
    </row>
    <row r="3164" spans="13:36">
      <c r="M3164" s="811" t="str">
        <f t="shared" si="208"/>
        <v/>
      </c>
      <c r="X3164" s="811" t="str">
        <f t="shared" si="207"/>
        <v/>
      </c>
      <c r="AJ3164" s="865"/>
    </row>
    <row r="3165" spans="13:36">
      <c r="M3165" s="811" t="str">
        <f t="shared" si="208"/>
        <v/>
      </c>
      <c r="X3165" s="811" t="str">
        <f t="shared" si="207"/>
        <v/>
      </c>
      <c r="AJ3165" s="865"/>
    </row>
    <row r="3166" spans="13:36">
      <c r="M3166" s="811" t="str">
        <f t="shared" si="208"/>
        <v/>
      </c>
      <c r="X3166" s="811" t="str">
        <f t="shared" si="207"/>
        <v/>
      </c>
      <c r="AJ3166" s="865"/>
    </row>
    <row r="3167" spans="13:36">
      <c r="M3167" s="811" t="str">
        <f t="shared" si="208"/>
        <v/>
      </c>
      <c r="X3167" s="811" t="str">
        <f t="shared" si="207"/>
        <v/>
      </c>
      <c r="AJ3167" s="865"/>
    </row>
    <row r="3168" spans="13:36">
      <c r="M3168" s="811" t="str">
        <f t="shared" si="208"/>
        <v/>
      </c>
      <c r="X3168" s="811" t="str">
        <f t="shared" si="207"/>
        <v/>
      </c>
      <c r="AJ3168" s="865"/>
    </row>
    <row r="3169" spans="13:36">
      <c r="M3169" s="811" t="str">
        <f t="shared" si="208"/>
        <v/>
      </c>
      <c r="X3169" s="811" t="str">
        <f t="shared" si="207"/>
        <v/>
      </c>
      <c r="AJ3169" s="865"/>
    </row>
    <row r="3170" spans="13:36">
      <c r="M3170" s="811" t="str">
        <f t="shared" si="208"/>
        <v/>
      </c>
      <c r="X3170" s="811" t="str">
        <f t="shared" si="207"/>
        <v/>
      </c>
      <c r="AJ3170" s="865"/>
    </row>
    <row r="3171" spans="13:36">
      <c r="M3171" s="811" t="str">
        <f t="shared" si="208"/>
        <v/>
      </c>
      <c r="X3171" s="811" t="str">
        <f t="shared" si="207"/>
        <v/>
      </c>
      <c r="AJ3171" s="865"/>
    </row>
    <row r="3172" spans="13:36">
      <c r="M3172" s="811" t="str">
        <f t="shared" si="208"/>
        <v/>
      </c>
      <c r="X3172" s="811" t="str">
        <f t="shared" si="207"/>
        <v/>
      </c>
      <c r="AJ3172" s="865"/>
    </row>
    <row r="3173" spans="13:36">
      <c r="M3173" s="811" t="str">
        <f t="shared" si="208"/>
        <v/>
      </c>
      <c r="X3173" s="811" t="str">
        <f t="shared" si="207"/>
        <v/>
      </c>
      <c r="AJ3173" s="865"/>
    </row>
    <row r="3174" spans="13:36">
      <c r="M3174" s="811" t="str">
        <f t="shared" si="208"/>
        <v/>
      </c>
      <c r="X3174" s="811" t="str">
        <f t="shared" si="207"/>
        <v/>
      </c>
      <c r="AJ3174" s="865"/>
    </row>
    <row r="3175" spans="13:36">
      <c r="M3175" s="811" t="str">
        <f t="shared" si="208"/>
        <v/>
      </c>
      <c r="X3175" s="811" t="str">
        <f t="shared" si="207"/>
        <v/>
      </c>
      <c r="AJ3175" s="865"/>
    </row>
    <row r="3176" spans="13:36">
      <c r="M3176" s="811" t="str">
        <f t="shared" si="208"/>
        <v/>
      </c>
      <c r="X3176" s="811" t="str">
        <f t="shared" si="207"/>
        <v/>
      </c>
      <c r="AJ3176" s="865"/>
    </row>
    <row r="3177" spans="13:36">
      <c r="M3177" s="811" t="str">
        <f t="shared" si="208"/>
        <v/>
      </c>
      <c r="X3177" s="811" t="str">
        <f t="shared" si="207"/>
        <v/>
      </c>
      <c r="AJ3177" s="865"/>
    </row>
    <row r="3178" spans="13:36">
      <c r="M3178" s="811" t="str">
        <f t="shared" si="208"/>
        <v/>
      </c>
      <c r="X3178" s="811" t="str">
        <f t="shared" si="207"/>
        <v/>
      </c>
      <c r="AJ3178" s="865"/>
    </row>
    <row r="3179" spans="13:36">
      <c r="M3179" s="811" t="str">
        <f t="shared" si="208"/>
        <v/>
      </c>
      <c r="X3179" s="811" t="str">
        <f t="shared" si="207"/>
        <v/>
      </c>
      <c r="AJ3179" s="865"/>
    </row>
    <row r="3180" spans="13:36">
      <c r="M3180" s="811" t="str">
        <f t="shared" si="208"/>
        <v/>
      </c>
      <c r="X3180" s="811" t="str">
        <f t="shared" si="207"/>
        <v/>
      </c>
      <c r="AJ3180" s="865"/>
    </row>
    <row r="3181" spans="13:36">
      <c r="M3181" s="811" t="str">
        <f t="shared" si="208"/>
        <v/>
      </c>
      <c r="X3181" s="811" t="str">
        <f t="shared" si="207"/>
        <v/>
      </c>
      <c r="AJ3181" s="865"/>
    </row>
    <row r="3182" spans="13:36">
      <c r="M3182" s="811" t="str">
        <f t="shared" si="208"/>
        <v/>
      </c>
      <c r="X3182" s="811" t="str">
        <f t="shared" si="207"/>
        <v/>
      </c>
      <c r="AJ3182" s="865"/>
    </row>
    <row r="3183" spans="13:36">
      <c r="M3183" s="811" t="str">
        <f t="shared" si="208"/>
        <v/>
      </c>
      <c r="X3183" s="811" t="str">
        <f t="shared" si="207"/>
        <v/>
      </c>
      <c r="AJ3183" s="865"/>
    </row>
    <row r="3184" spans="13:36">
      <c r="M3184" s="811" t="str">
        <f t="shared" si="208"/>
        <v/>
      </c>
      <c r="X3184" s="811" t="str">
        <f t="shared" si="207"/>
        <v/>
      </c>
      <c r="AJ3184" s="865"/>
    </row>
    <row r="3185" spans="13:36">
      <c r="M3185" s="811" t="str">
        <f t="shared" si="208"/>
        <v/>
      </c>
      <c r="X3185" s="811" t="str">
        <f t="shared" si="207"/>
        <v/>
      </c>
      <c r="AJ3185" s="865"/>
    </row>
    <row r="3186" spans="13:36">
      <c r="M3186" s="811" t="str">
        <f t="shared" si="208"/>
        <v/>
      </c>
      <c r="X3186" s="811" t="str">
        <f t="shared" si="207"/>
        <v/>
      </c>
      <c r="AJ3186" s="865"/>
    </row>
    <row r="3187" spans="13:36">
      <c r="M3187" s="811" t="str">
        <f t="shared" si="208"/>
        <v/>
      </c>
      <c r="X3187" s="811" t="str">
        <f t="shared" ref="X3187:X3250" si="209">IF(ISBLANK(W3187)=TRUE,"",LOOKUP(W3187,GO:GP))</f>
        <v/>
      </c>
      <c r="AJ3187" s="865"/>
    </row>
    <row r="3188" spans="13:36">
      <c r="M3188" s="811" t="str">
        <f t="shared" si="208"/>
        <v/>
      </c>
      <c r="X3188" s="811" t="str">
        <f t="shared" si="209"/>
        <v/>
      </c>
      <c r="AJ3188" s="865"/>
    </row>
    <row r="3189" spans="13:36">
      <c r="M3189" s="811" t="str">
        <f t="shared" si="208"/>
        <v/>
      </c>
      <c r="X3189" s="811" t="str">
        <f t="shared" si="209"/>
        <v/>
      </c>
      <c r="AJ3189" s="865"/>
    </row>
    <row r="3190" spans="13:36">
      <c r="M3190" s="811" t="str">
        <f t="shared" si="208"/>
        <v/>
      </c>
      <c r="X3190" s="811" t="str">
        <f t="shared" si="209"/>
        <v/>
      </c>
      <c r="AJ3190" s="865"/>
    </row>
    <row r="3191" spans="13:36">
      <c r="M3191" s="811" t="str">
        <f t="shared" si="208"/>
        <v/>
      </c>
      <c r="X3191" s="811" t="str">
        <f t="shared" si="209"/>
        <v/>
      </c>
      <c r="AJ3191" s="865"/>
    </row>
    <row r="3192" spans="13:36">
      <c r="M3192" s="811" t="str">
        <f t="shared" si="208"/>
        <v/>
      </c>
      <c r="X3192" s="811" t="str">
        <f t="shared" si="209"/>
        <v/>
      </c>
      <c r="AJ3192" s="865"/>
    </row>
    <row r="3193" spans="13:36">
      <c r="M3193" s="811" t="str">
        <f t="shared" si="208"/>
        <v/>
      </c>
      <c r="X3193" s="811" t="str">
        <f t="shared" si="209"/>
        <v/>
      </c>
      <c r="AJ3193" s="865"/>
    </row>
    <row r="3194" spans="13:36">
      <c r="M3194" s="811" t="str">
        <f t="shared" si="208"/>
        <v/>
      </c>
      <c r="X3194" s="811" t="str">
        <f t="shared" si="209"/>
        <v/>
      </c>
      <c r="AJ3194" s="865"/>
    </row>
    <row r="3195" spans="13:36">
      <c r="M3195" s="811" t="str">
        <f t="shared" si="208"/>
        <v/>
      </c>
      <c r="X3195" s="811" t="str">
        <f t="shared" si="209"/>
        <v/>
      </c>
      <c r="AJ3195" s="865"/>
    </row>
    <row r="3196" spans="13:36">
      <c r="M3196" s="811" t="str">
        <f t="shared" si="208"/>
        <v/>
      </c>
      <c r="X3196" s="811" t="str">
        <f t="shared" si="209"/>
        <v/>
      </c>
      <c r="AJ3196" s="865"/>
    </row>
    <row r="3197" spans="13:36">
      <c r="M3197" s="811" t="str">
        <f t="shared" si="208"/>
        <v/>
      </c>
      <c r="X3197" s="811" t="str">
        <f t="shared" si="209"/>
        <v/>
      </c>
      <c r="AJ3197" s="865"/>
    </row>
    <row r="3198" spans="13:36">
      <c r="M3198" s="811" t="str">
        <f t="shared" si="208"/>
        <v/>
      </c>
      <c r="X3198" s="811" t="str">
        <f t="shared" si="209"/>
        <v/>
      </c>
      <c r="AJ3198" s="865"/>
    </row>
    <row r="3199" spans="13:36">
      <c r="M3199" s="811" t="str">
        <f t="shared" si="208"/>
        <v/>
      </c>
      <c r="X3199" s="811" t="str">
        <f t="shared" si="209"/>
        <v/>
      </c>
      <c r="AJ3199" s="865"/>
    </row>
    <row r="3200" spans="13:36">
      <c r="M3200" s="811" t="str">
        <f t="shared" si="208"/>
        <v/>
      </c>
      <c r="X3200" s="811" t="str">
        <f t="shared" si="209"/>
        <v/>
      </c>
      <c r="AJ3200" s="865"/>
    </row>
    <row r="3201" spans="13:36">
      <c r="M3201" s="811" t="str">
        <f t="shared" si="208"/>
        <v/>
      </c>
      <c r="X3201" s="811" t="str">
        <f t="shared" si="209"/>
        <v/>
      </c>
      <c r="AJ3201" s="865"/>
    </row>
    <row r="3202" spans="13:36">
      <c r="M3202" s="811" t="str">
        <f t="shared" si="208"/>
        <v/>
      </c>
      <c r="X3202" s="811" t="str">
        <f t="shared" si="209"/>
        <v/>
      </c>
      <c r="AJ3202" s="865"/>
    </row>
    <row r="3203" spans="13:36">
      <c r="M3203" s="811" t="str">
        <f t="shared" si="208"/>
        <v/>
      </c>
      <c r="X3203" s="811" t="str">
        <f t="shared" si="209"/>
        <v/>
      </c>
      <c r="AJ3203" s="865"/>
    </row>
    <row r="3204" spans="13:36">
      <c r="M3204" s="811" t="str">
        <f t="shared" si="208"/>
        <v/>
      </c>
      <c r="X3204" s="811" t="str">
        <f t="shared" si="209"/>
        <v/>
      </c>
      <c r="AJ3204" s="865"/>
    </row>
    <row r="3205" spans="13:36">
      <c r="M3205" s="811" t="str">
        <f t="shared" si="208"/>
        <v/>
      </c>
      <c r="X3205" s="811" t="str">
        <f t="shared" si="209"/>
        <v/>
      </c>
      <c r="AJ3205" s="865"/>
    </row>
    <row r="3206" spans="13:36">
      <c r="M3206" s="811" t="str">
        <f t="shared" si="208"/>
        <v/>
      </c>
      <c r="X3206" s="811" t="str">
        <f t="shared" si="209"/>
        <v/>
      </c>
      <c r="AJ3206" s="865"/>
    </row>
    <row r="3207" spans="13:36">
      <c r="M3207" s="811" t="str">
        <f t="shared" si="208"/>
        <v/>
      </c>
      <c r="X3207" s="811" t="str">
        <f t="shared" si="209"/>
        <v/>
      </c>
      <c r="AJ3207" s="865"/>
    </row>
    <row r="3208" spans="13:36">
      <c r="M3208" s="811" t="str">
        <f t="shared" si="208"/>
        <v/>
      </c>
      <c r="X3208" s="811" t="str">
        <f t="shared" si="209"/>
        <v/>
      </c>
      <c r="AJ3208" s="865"/>
    </row>
    <row r="3209" spans="13:36">
      <c r="M3209" s="811" t="str">
        <f t="shared" si="208"/>
        <v/>
      </c>
      <c r="X3209" s="811" t="str">
        <f t="shared" si="209"/>
        <v/>
      </c>
      <c r="AJ3209" s="865"/>
    </row>
    <row r="3210" spans="13:36">
      <c r="M3210" s="811" t="str">
        <f t="shared" si="208"/>
        <v/>
      </c>
      <c r="X3210" s="811" t="str">
        <f t="shared" si="209"/>
        <v/>
      </c>
      <c r="AJ3210" s="865"/>
    </row>
    <row r="3211" spans="13:36">
      <c r="M3211" s="811" t="str">
        <f t="shared" si="208"/>
        <v/>
      </c>
      <c r="X3211" s="811" t="str">
        <f t="shared" si="209"/>
        <v/>
      </c>
      <c r="AJ3211" s="865"/>
    </row>
    <row r="3212" spans="13:36">
      <c r="M3212" s="811" t="str">
        <f t="shared" ref="M3212:M3275" si="210">IF(ISBLANK(L3212)=TRUE,"",LOOKUP(L3212,GQ:GR))</f>
        <v/>
      </c>
      <c r="X3212" s="811" t="str">
        <f t="shared" si="209"/>
        <v/>
      </c>
      <c r="AJ3212" s="865"/>
    </row>
    <row r="3213" spans="13:36">
      <c r="M3213" s="811" t="str">
        <f t="shared" si="210"/>
        <v/>
      </c>
      <c r="X3213" s="811" t="str">
        <f t="shared" si="209"/>
        <v/>
      </c>
      <c r="AJ3213" s="865"/>
    </row>
    <row r="3214" spans="13:36">
      <c r="M3214" s="811" t="str">
        <f t="shared" si="210"/>
        <v/>
      </c>
      <c r="X3214" s="811" t="str">
        <f t="shared" si="209"/>
        <v/>
      </c>
      <c r="AJ3214" s="865"/>
    </row>
    <row r="3215" spans="13:36">
      <c r="M3215" s="811" t="str">
        <f t="shared" si="210"/>
        <v/>
      </c>
      <c r="X3215" s="811" t="str">
        <f t="shared" si="209"/>
        <v/>
      </c>
      <c r="AJ3215" s="865"/>
    </row>
    <row r="3216" spans="13:36">
      <c r="M3216" s="811" t="str">
        <f t="shared" si="210"/>
        <v/>
      </c>
      <c r="X3216" s="811" t="str">
        <f t="shared" si="209"/>
        <v/>
      </c>
      <c r="AJ3216" s="865"/>
    </row>
    <row r="3217" spans="13:36">
      <c r="M3217" s="811" t="str">
        <f t="shared" si="210"/>
        <v/>
      </c>
      <c r="X3217" s="811" t="str">
        <f t="shared" si="209"/>
        <v/>
      </c>
      <c r="AJ3217" s="865"/>
    </row>
    <row r="3218" spans="13:36">
      <c r="M3218" s="811" t="str">
        <f t="shared" si="210"/>
        <v/>
      </c>
      <c r="X3218" s="811" t="str">
        <f t="shared" si="209"/>
        <v/>
      </c>
      <c r="AJ3218" s="865"/>
    </row>
    <row r="3219" spans="13:36">
      <c r="M3219" s="811" t="str">
        <f t="shared" si="210"/>
        <v/>
      </c>
      <c r="X3219" s="811" t="str">
        <f t="shared" si="209"/>
        <v/>
      </c>
      <c r="AJ3219" s="865"/>
    </row>
    <row r="3220" spans="13:36">
      <c r="M3220" s="811" t="str">
        <f t="shared" si="210"/>
        <v/>
      </c>
      <c r="X3220" s="811" t="str">
        <f t="shared" si="209"/>
        <v/>
      </c>
      <c r="AJ3220" s="865"/>
    </row>
    <row r="3221" spans="13:36">
      <c r="M3221" s="811" t="str">
        <f t="shared" si="210"/>
        <v/>
      </c>
      <c r="X3221" s="811" t="str">
        <f t="shared" si="209"/>
        <v/>
      </c>
      <c r="AJ3221" s="865"/>
    </row>
    <row r="3222" spans="13:36">
      <c r="M3222" s="811" t="str">
        <f t="shared" si="210"/>
        <v/>
      </c>
      <c r="X3222" s="811" t="str">
        <f t="shared" si="209"/>
        <v/>
      </c>
      <c r="AJ3222" s="865"/>
    </row>
    <row r="3223" spans="13:36">
      <c r="M3223" s="811" t="str">
        <f t="shared" si="210"/>
        <v/>
      </c>
      <c r="X3223" s="811" t="str">
        <f t="shared" si="209"/>
        <v/>
      </c>
      <c r="AJ3223" s="865"/>
    </row>
    <row r="3224" spans="13:36">
      <c r="M3224" s="811" t="str">
        <f t="shared" si="210"/>
        <v/>
      </c>
      <c r="X3224" s="811" t="str">
        <f t="shared" si="209"/>
        <v/>
      </c>
      <c r="AJ3224" s="865"/>
    </row>
    <row r="3225" spans="13:36">
      <c r="M3225" s="811" t="str">
        <f t="shared" si="210"/>
        <v/>
      </c>
      <c r="X3225" s="811" t="str">
        <f t="shared" si="209"/>
        <v/>
      </c>
      <c r="AJ3225" s="865"/>
    </row>
    <row r="3226" spans="13:36">
      <c r="M3226" s="811" t="str">
        <f t="shared" si="210"/>
        <v/>
      </c>
      <c r="X3226" s="811" t="str">
        <f t="shared" si="209"/>
        <v/>
      </c>
      <c r="AJ3226" s="865"/>
    </row>
    <row r="3227" spans="13:36">
      <c r="M3227" s="811" t="str">
        <f t="shared" si="210"/>
        <v/>
      </c>
      <c r="X3227" s="811" t="str">
        <f t="shared" si="209"/>
        <v/>
      </c>
      <c r="AJ3227" s="865"/>
    </row>
    <row r="3228" spans="13:36">
      <c r="M3228" s="811" t="str">
        <f t="shared" si="210"/>
        <v/>
      </c>
      <c r="X3228" s="811" t="str">
        <f t="shared" si="209"/>
        <v/>
      </c>
      <c r="AJ3228" s="865"/>
    </row>
    <row r="3229" spans="13:36">
      <c r="M3229" s="811" t="str">
        <f t="shared" si="210"/>
        <v/>
      </c>
      <c r="X3229" s="811" t="str">
        <f t="shared" si="209"/>
        <v/>
      </c>
      <c r="AJ3229" s="865"/>
    </row>
    <row r="3230" spans="13:36">
      <c r="M3230" s="811" t="str">
        <f t="shared" si="210"/>
        <v/>
      </c>
      <c r="X3230" s="811" t="str">
        <f t="shared" si="209"/>
        <v/>
      </c>
      <c r="AJ3230" s="865"/>
    </row>
    <row r="3231" spans="13:36">
      <c r="M3231" s="811" t="str">
        <f t="shared" si="210"/>
        <v/>
      </c>
      <c r="X3231" s="811" t="str">
        <f t="shared" si="209"/>
        <v/>
      </c>
      <c r="AJ3231" s="865"/>
    </row>
    <row r="3232" spans="13:36">
      <c r="M3232" s="811" t="str">
        <f t="shared" si="210"/>
        <v/>
      </c>
      <c r="X3232" s="811" t="str">
        <f t="shared" si="209"/>
        <v/>
      </c>
      <c r="AJ3232" s="865"/>
    </row>
    <row r="3233" spans="13:36">
      <c r="M3233" s="811" t="str">
        <f t="shared" si="210"/>
        <v/>
      </c>
      <c r="X3233" s="811" t="str">
        <f t="shared" si="209"/>
        <v/>
      </c>
      <c r="AJ3233" s="865"/>
    </row>
    <row r="3234" spans="13:36">
      <c r="M3234" s="811" t="str">
        <f t="shared" si="210"/>
        <v/>
      </c>
      <c r="X3234" s="811" t="str">
        <f t="shared" si="209"/>
        <v/>
      </c>
      <c r="AJ3234" s="865"/>
    </row>
    <row r="3235" spans="13:36">
      <c r="M3235" s="811" t="str">
        <f t="shared" si="210"/>
        <v/>
      </c>
      <c r="X3235" s="811" t="str">
        <f t="shared" si="209"/>
        <v/>
      </c>
      <c r="AJ3235" s="865"/>
    </row>
    <row r="3236" spans="13:36">
      <c r="M3236" s="811" t="str">
        <f t="shared" si="210"/>
        <v/>
      </c>
      <c r="X3236" s="811" t="str">
        <f t="shared" si="209"/>
        <v/>
      </c>
      <c r="AJ3236" s="865"/>
    </row>
    <row r="3237" spans="13:36">
      <c r="M3237" s="811" t="str">
        <f t="shared" si="210"/>
        <v/>
      </c>
      <c r="X3237" s="811" t="str">
        <f t="shared" si="209"/>
        <v/>
      </c>
      <c r="AJ3237" s="865"/>
    </row>
    <row r="3238" spans="13:36">
      <c r="M3238" s="811" t="str">
        <f t="shared" si="210"/>
        <v/>
      </c>
      <c r="X3238" s="811" t="str">
        <f t="shared" si="209"/>
        <v/>
      </c>
      <c r="AJ3238" s="865"/>
    </row>
    <row r="3239" spans="13:36">
      <c r="M3239" s="811" t="str">
        <f t="shared" si="210"/>
        <v/>
      </c>
      <c r="X3239" s="811" t="str">
        <f t="shared" si="209"/>
        <v/>
      </c>
      <c r="AJ3239" s="865"/>
    </row>
    <row r="3240" spans="13:36">
      <c r="M3240" s="811" t="str">
        <f t="shared" si="210"/>
        <v/>
      </c>
      <c r="X3240" s="811" t="str">
        <f t="shared" si="209"/>
        <v/>
      </c>
      <c r="AJ3240" s="865"/>
    </row>
    <row r="3241" spans="13:36">
      <c r="M3241" s="811" t="str">
        <f t="shared" si="210"/>
        <v/>
      </c>
      <c r="X3241" s="811" t="str">
        <f t="shared" si="209"/>
        <v/>
      </c>
      <c r="AJ3241" s="865"/>
    </row>
    <row r="3242" spans="13:36">
      <c r="M3242" s="811" t="str">
        <f t="shared" si="210"/>
        <v/>
      </c>
      <c r="X3242" s="811" t="str">
        <f t="shared" si="209"/>
        <v/>
      </c>
      <c r="AJ3242" s="865"/>
    </row>
    <row r="3243" spans="13:36">
      <c r="M3243" s="811" t="str">
        <f t="shared" si="210"/>
        <v/>
      </c>
      <c r="X3243" s="811" t="str">
        <f t="shared" si="209"/>
        <v/>
      </c>
      <c r="AJ3243" s="865"/>
    </row>
    <row r="3244" spans="13:36">
      <c r="M3244" s="811" t="str">
        <f t="shared" si="210"/>
        <v/>
      </c>
      <c r="X3244" s="811" t="str">
        <f t="shared" si="209"/>
        <v/>
      </c>
      <c r="AJ3244" s="865"/>
    </row>
    <row r="3245" spans="13:36">
      <c r="M3245" s="811" t="str">
        <f t="shared" si="210"/>
        <v/>
      </c>
      <c r="X3245" s="811" t="str">
        <f t="shared" si="209"/>
        <v/>
      </c>
      <c r="AJ3245" s="865"/>
    </row>
    <row r="3246" spans="13:36">
      <c r="M3246" s="811" t="str">
        <f t="shared" si="210"/>
        <v/>
      </c>
      <c r="X3246" s="811" t="str">
        <f t="shared" si="209"/>
        <v/>
      </c>
      <c r="AJ3246" s="865"/>
    </row>
    <row r="3247" spans="13:36">
      <c r="M3247" s="811" t="str">
        <f t="shared" si="210"/>
        <v/>
      </c>
      <c r="X3247" s="811" t="str">
        <f t="shared" si="209"/>
        <v/>
      </c>
      <c r="AJ3247" s="865"/>
    </row>
    <row r="3248" spans="13:36">
      <c r="M3248" s="811" t="str">
        <f t="shared" si="210"/>
        <v/>
      </c>
      <c r="X3248" s="811" t="str">
        <f t="shared" si="209"/>
        <v/>
      </c>
      <c r="AJ3248" s="865"/>
    </row>
    <row r="3249" spans="13:36">
      <c r="M3249" s="811" t="str">
        <f t="shared" si="210"/>
        <v/>
      </c>
      <c r="X3249" s="811" t="str">
        <f t="shared" si="209"/>
        <v/>
      </c>
      <c r="AJ3249" s="865"/>
    </row>
    <row r="3250" spans="13:36">
      <c r="M3250" s="811" t="str">
        <f t="shared" si="210"/>
        <v/>
      </c>
      <c r="X3250" s="811" t="str">
        <f t="shared" si="209"/>
        <v/>
      </c>
      <c r="AJ3250" s="865"/>
    </row>
    <row r="3251" spans="13:36">
      <c r="M3251" s="811" t="str">
        <f t="shared" si="210"/>
        <v/>
      </c>
      <c r="X3251" s="811" t="str">
        <f t="shared" ref="X3251:X3314" si="211">IF(ISBLANK(W3251)=TRUE,"",LOOKUP(W3251,GO:GP))</f>
        <v/>
      </c>
      <c r="AJ3251" s="865"/>
    </row>
    <row r="3252" spans="13:36">
      <c r="M3252" s="811" t="str">
        <f t="shared" si="210"/>
        <v/>
      </c>
      <c r="X3252" s="811" t="str">
        <f t="shared" si="211"/>
        <v/>
      </c>
      <c r="AJ3252" s="865"/>
    </row>
    <row r="3253" spans="13:36">
      <c r="M3253" s="811" t="str">
        <f t="shared" si="210"/>
        <v/>
      </c>
      <c r="X3253" s="811" t="str">
        <f t="shared" si="211"/>
        <v/>
      </c>
      <c r="AJ3253" s="865"/>
    </row>
    <row r="3254" spans="13:36">
      <c r="M3254" s="811" t="str">
        <f t="shared" si="210"/>
        <v/>
      </c>
      <c r="X3254" s="811" t="str">
        <f t="shared" si="211"/>
        <v/>
      </c>
      <c r="AJ3254" s="865"/>
    </row>
    <row r="3255" spans="13:36">
      <c r="M3255" s="811" t="str">
        <f t="shared" si="210"/>
        <v/>
      </c>
      <c r="X3255" s="811" t="str">
        <f t="shared" si="211"/>
        <v/>
      </c>
      <c r="AJ3255" s="865"/>
    </row>
    <row r="3256" spans="13:36">
      <c r="M3256" s="811" t="str">
        <f t="shared" si="210"/>
        <v/>
      </c>
      <c r="X3256" s="811" t="str">
        <f t="shared" si="211"/>
        <v/>
      </c>
      <c r="AJ3256" s="865"/>
    </row>
    <row r="3257" spans="13:36">
      <c r="M3257" s="811" t="str">
        <f t="shared" si="210"/>
        <v/>
      </c>
      <c r="X3257" s="811" t="str">
        <f t="shared" si="211"/>
        <v/>
      </c>
      <c r="AJ3257" s="865"/>
    </row>
    <row r="3258" spans="13:36">
      <c r="M3258" s="811" t="str">
        <f t="shared" si="210"/>
        <v/>
      </c>
      <c r="X3258" s="811" t="str">
        <f t="shared" si="211"/>
        <v/>
      </c>
      <c r="AJ3258" s="865"/>
    </row>
    <row r="3259" spans="13:36">
      <c r="M3259" s="811" t="str">
        <f t="shared" si="210"/>
        <v/>
      </c>
      <c r="X3259" s="811" t="str">
        <f t="shared" si="211"/>
        <v/>
      </c>
      <c r="AJ3259" s="865"/>
    </row>
    <row r="3260" spans="13:36">
      <c r="M3260" s="811" t="str">
        <f t="shared" si="210"/>
        <v/>
      </c>
      <c r="X3260" s="811" t="str">
        <f t="shared" si="211"/>
        <v/>
      </c>
      <c r="AJ3260" s="865"/>
    </row>
    <row r="3261" spans="13:36">
      <c r="M3261" s="811" t="str">
        <f t="shared" si="210"/>
        <v/>
      </c>
      <c r="X3261" s="811" t="str">
        <f t="shared" si="211"/>
        <v/>
      </c>
      <c r="AJ3261" s="865"/>
    </row>
    <row r="3262" spans="13:36">
      <c r="M3262" s="811" t="str">
        <f t="shared" si="210"/>
        <v/>
      </c>
      <c r="X3262" s="811" t="str">
        <f t="shared" si="211"/>
        <v/>
      </c>
      <c r="AJ3262" s="865"/>
    </row>
    <row r="3263" spans="13:36">
      <c r="M3263" s="811" t="str">
        <f t="shared" si="210"/>
        <v/>
      </c>
      <c r="X3263" s="811" t="str">
        <f t="shared" si="211"/>
        <v/>
      </c>
      <c r="AJ3263" s="865"/>
    </row>
    <row r="3264" spans="13:36">
      <c r="M3264" s="811" t="str">
        <f t="shared" si="210"/>
        <v/>
      </c>
      <c r="X3264" s="811" t="str">
        <f t="shared" si="211"/>
        <v/>
      </c>
      <c r="AJ3264" s="865"/>
    </row>
    <row r="3265" spans="13:36">
      <c r="M3265" s="811" t="str">
        <f t="shared" si="210"/>
        <v/>
      </c>
      <c r="X3265" s="811" t="str">
        <f t="shared" si="211"/>
        <v/>
      </c>
      <c r="AJ3265" s="865"/>
    </row>
    <row r="3266" spans="13:36">
      <c r="M3266" s="811" t="str">
        <f t="shared" si="210"/>
        <v/>
      </c>
      <c r="X3266" s="811" t="str">
        <f t="shared" si="211"/>
        <v/>
      </c>
      <c r="AJ3266" s="865"/>
    </row>
    <row r="3267" spans="13:36">
      <c r="M3267" s="811" t="str">
        <f t="shared" si="210"/>
        <v/>
      </c>
      <c r="X3267" s="811" t="str">
        <f t="shared" si="211"/>
        <v/>
      </c>
      <c r="AJ3267" s="865"/>
    </row>
    <row r="3268" spans="13:36">
      <c r="M3268" s="811" t="str">
        <f t="shared" si="210"/>
        <v/>
      </c>
      <c r="X3268" s="811" t="str">
        <f t="shared" si="211"/>
        <v/>
      </c>
      <c r="AJ3268" s="865"/>
    </row>
    <row r="3269" spans="13:36">
      <c r="M3269" s="811" t="str">
        <f t="shared" si="210"/>
        <v/>
      </c>
      <c r="X3269" s="811" t="str">
        <f t="shared" si="211"/>
        <v/>
      </c>
      <c r="AJ3269" s="865"/>
    </row>
    <row r="3270" spans="13:36">
      <c r="M3270" s="811" t="str">
        <f t="shared" si="210"/>
        <v/>
      </c>
      <c r="X3270" s="811" t="str">
        <f t="shared" si="211"/>
        <v/>
      </c>
      <c r="AJ3270" s="865"/>
    </row>
    <row r="3271" spans="13:36">
      <c r="M3271" s="811" t="str">
        <f t="shared" si="210"/>
        <v/>
      </c>
      <c r="X3271" s="811" t="str">
        <f t="shared" si="211"/>
        <v/>
      </c>
      <c r="AJ3271" s="865"/>
    </row>
    <row r="3272" spans="13:36">
      <c r="M3272" s="811" t="str">
        <f t="shared" si="210"/>
        <v/>
      </c>
      <c r="X3272" s="811" t="str">
        <f t="shared" si="211"/>
        <v/>
      </c>
      <c r="AJ3272" s="865"/>
    </row>
    <row r="3273" spans="13:36">
      <c r="M3273" s="811" t="str">
        <f t="shared" si="210"/>
        <v/>
      </c>
      <c r="X3273" s="811" t="str">
        <f t="shared" si="211"/>
        <v/>
      </c>
      <c r="AJ3273" s="865"/>
    </row>
    <row r="3274" spans="13:36">
      <c r="M3274" s="811" t="str">
        <f t="shared" si="210"/>
        <v/>
      </c>
      <c r="X3274" s="811" t="str">
        <f t="shared" si="211"/>
        <v/>
      </c>
      <c r="AJ3274" s="865"/>
    </row>
    <row r="3275" spans="13:36">
      <c r="M3275" s="811" t="str">
        <f t="shared" si="210"/>
        <v/>
      </c>
      <c r="X3275" s="811" t="str">
        <f t="shared" si="211"/>
        <v/>
      </c>
      <c r="AJ3275" s="865"/>
    </row>
    <row r="3276" spans="13:36">
      <c r="M3276" s="811" t="str">
        <f t="shared" ref="M3276:M3339" si="212">IF(ISBLANK(L3276)=TRUE,"",LOOKUP(L3276,GQ:GR))</f>
        <v/>
      </c>
      <c r="X3276" s="811" t="str">
        <f t="shared" si="211"/>
        <v/>
      </c>
      <c r="AJ3276" s="865"/>
    </row>
    <row r="3277" spans="13:36">
      <c r="M3277" s="811" t="str">
        <f t="shared" si="212"/>
        <v/>
      </c>
      <c r="X3277" s="811" t="str">
        <f t="shared" si="211"/>
        <v/>
      </c>
      <c r="AJ3277" s="865"/>
    </row>
    <row r="3278" spans="13:36">
      <c r="M3278" s="811" t="str">
        <f t="shared" si="212"/>
        <v/>
      </c>
      <c r="X3278" s="811" t="str">
        <f t="shared" si="211"/>
        <v/>
      </c>
      <c r="AJ3278" s="865"/>
    </row>
    <row r="3279" spans="13:36">
      <c r="M3279" s="811" t="str">
        <f t="shared" si="212"/>
        <v/>
      </c>
      <c r="X3279" s="811" t="str">
        <f t="shared" si="211"/>
        <v/>
      </c>
      <c r="AJ3279" s="865"/>
    </row>
    <row r="3280" spans="13:36">
      <c r="M3280" s="811" t="str">
        <f t="shared" si="212"/>
        <v/>
      </c>
      <c r="X3280" s="811" t="str">
        <f t="shared" si="211"/>
        <v/>
      </c>
      <c r="AJ3280" s="865"/>
    </row>
    <row r="3281" spans="13:36">
      <c r="M3281" s="811" t="str">
        <f t="shared" si="212"/>
        <v/>
      </c>
      <c r="X3281" s="811" t="str">
        <f t="shared" si="211"/>
        <v/>
      </c>
      <c r="AJ3281" s="865"/>
    </row>
    <row r="3282" spans="13:36">
      <c r="M3282" s="811" t="str">
        <f t="shared" si="212"/>
        <v/>
      </c>
      <c r="X3282" s="811" t="str">
        <f t="shared" si="211"/>
        <v/>
      </c>
      <c r="AJ3282" s="865"/>
    </row>
    <row r="3283" spans="13:36">
      <c r="M3283" s="811" t="str">
        <f t="shared" si="212"/>
        <v/>
      </c>
      <c r="X3283" s="811" t="str">
        <f t="shared" si="211"/>
        <v/>
      </c>
      <c r="AJ3283" s="865"/>
    </row>
    <row r="3284" spans="13:36">
      <c r="M3284" s="811" t="str">
        <f t="shared" si="212"/>
        <v/>
      </c>
      <c r="X3284" s="811" t="str">
        <f t="shared" si="211"/>
        <v/>
      </c>
      <c r="AJ3284" s="865"/>
    </row>
    <row r="3285" spans="13:36">
      <c r="M3285" s="811" t="str">
        <f t="shared" si="212"/>
        <v/>
      </c>
      <c r="X3285" s="811" t="str">
        <f t="shared" si="211"/>
        <v/>
      </c>
      <c r="AJ3285" s="865"/>
    </row>
    <row r="3286" spans="13:36">
      <c r="M3286" s="811" t="str">
        <f t="shared" si="212"/>
        <v/>
      </c>
      <c r="X3286" s="811" t="str">
        <f t="shared" si="211"/>
        <v/>
      </c>
      <c r="AJ3286" s="865"/>
    </row>
    <row r="3287" spans="13:36">
      <c r="M3287" s="811" t="str">
        <f t="shared" si="212"/>
        <v/>
      </c>
      <c r="X3287" s="811" t="str">
        <f t="shared" si="211"/>
        <v/>
      </c>
      <c r="AJ3287" s="865"/>
    </row>
    <row r="3288" spans="13:36">
      <c r="M3288" s="811" t="str">
        <f t="shared" si="212"/>
        <v/>
      </c>
      <c r="X3288" s="811" t="str">
        <f t="shared" si="211"/>
        <v/>
      </c>
      <c r="AJ3288" s="865"/>
    </row>
    <row r="3289" spans="13:36">
      <c r="M3289" s="811" t="str">
        <f t="shared" si="212"/>
        <v/>
      </c>
      <c r="X3289" s="811" t="str">
        <f t="shared" si="211"/>
        <v/>
      </c>
      <c r="AJ3289" s="865"/>
    </row>
    <row r="3290" spans="13:36">
      <c r="M3290" s="811" t="str">
        <f t="shared" si="212"/>
        <v/>
      </c>
      <c r="X3290" s="811" t="str">
        <f t="shared" si="211"/>
        <v/>
      </c>
      <c r="AJ3290" s="865"/>
    </row>
    <row r="3291" spans="13:36">
      <c r="M3291" s="811" t="str">
        <f t="shared" si="212"/>
        <v/>
      </c>
      <c r="X3291" s="811" t="str">
        <f t="shared" si="211"/>
        <v/>
      </c>
      <c r="AJ3291" s="865"/>
    </row>
    <row r="3292" spans="13:36">
      <c r="M3292" s="811" t="str">
        <f t="shared" si="212"/>
        <v/>
      </c>
      <c r="X3292" s="811" t="str">
        <f t="shared" si="211"/>
        <v/>
      </c>
      <c r="AJ3292" s="865"/>
    </row>
    <row r="3293" spans="13:36">
      <c r="M3293" s="811" t="str">
        <f t="shared" si="212"/>
        <v/>
      </c>
      <c r="X3293" s="811" t="str">
        <f t="shared" si="211"/>
        <v/>
      </c>
      <c r="AJ3293" s="865"/>
    </row>
    <row r="3294" spans="13:36">
      <c r="M3294" s="811" t="str">
        <f t="shared" si="212"/>
        <v/>
      </c>
      <c r="X3294" s="811" t="str">
        <f t="shared" si="211"/>
        <v/>
      </c>
      <c r="AJ3294" s="865"/>
    </row>
    <row r="3295" spans="13:36">
      <c r="M3295" s="811" t="str">
        <f t="shared" si="212"/>
        <v/>
      </c>
      <c r="X3295" s="811" t="str">
        <f t="shared" si="211"/>
        <v/>
      </c>
      <c r="AJ3295" s="865"/>
    </row>
    <row r="3296" spans="13:36">
      <c r="M3296" s="811" t="str">
        <f t="shared" si="212"/>
        <v/>
      </c>
      <c r="X3296" s="811" t="str">
        <f t="shared" si="211"/>
        <v/>
      </c>
      <c r="AJ3296" s="865"/>
    </row>
    <row r="3297" spans="13:36">
      <c r="M3297" s="811" t="str">
        <f t="shared" si="212"/>
        <v/>
      </c>
      <c r="X3297" s="811" t="str">
        <f t="shared" si="211"/>
        <v/>
      </c>
      <c r="AJ3297" s="865"/>
    </row>
    <row r="3298" spans="13:36">
      <c r="M3298" s="811" t="str">
        <f t="shared" si="212"/>
        <v/>
      </c>
      <c r="X3298" s="811" t="str">
        <f t="shared" si="211"/>
        <v/>
      </c>
      <c r="AJ3298" s="865"/>
    </row>
    <row r="3299" spans="13:36">
      <c r="M3299" s="811" t="str">
        <f t="shared" si="212"/>
        <v/>
      </c>
      <c r="X3299" s="811" t="str">
        <f t="shared" si="211"/>
        <v/>
      </c>
      <c r="AJ3299" s="865"/>
    </row>
    <row r="3300" spans="13:36">
      <c r="M3300" s="811" t="str">
        <f t="shared" si="212"/>
        <v/>
      </c>
      <c r="X3300" s="811" t="str">
        <f t="shared" si="211"/>
        <v/>
      </c>
      <c r="AJ3300" s="865"/>
    </row>
    <row r="3301" spans="13:36">
      <c r="M3301" s="811" t="str">
        <f t="shared" si="212"/>
        <v/>
      </c>
      <c r="X3301" s="811" t="str">
        <f t="shared" si="211"/>
        <v/>
      </c>
      <c r="AJ3301" s="865"/>
    </row>
    <row r="3302" spans="13:36">
      <c r="M3302" s="811" t="str">
        <f t="shared" si="212"/>
        <v/>
      </c>
      <c r="X3302" s="811" t="str">
        <f t="shared" si="211"/>
        <v/>
      </c>
      <c r="AJ3302" s="865"/>
    </row>
    <row r="3303" spans="13:36">
      <c r="M3303" s="811" t="str">
        <f t="shared" si="212"/>
        <v/>
      </c>
      <c r="X3303" s="811" t="str">
        <f t="shared" si="211"/>
        <v/>
      </c>
      <c r="AJ3303" s="865"/>
    </row>
    <row r="3304" spans="13:36">
      <c r="M3304" s="811" t="str">
        <f t="shared" si="212"/>
        <v/>
      </c>
      <c r="X3304" s="811" t="str">
        <f t="shared" si="211"/>
        <v/>
      </c>
      <c r="AJ3304" s="865"/>
    </row>
    <row r="3305" spans="13:36">
      <c r="M3305" s="811" t="str">
        <f t="shared" si="212"/>
        <v/>
      </c>
      <c r="X3305" s="811" t="str">
        <f t="shared" si="211"/>
        <v/>
      </c>
      <c r="AJ3305" s="865"/>
    </row>
    <row r="3306" spans="13:36">
      <c r="M3306" s="811" t="str">
        <f t="shared" si="212"/>
        <v/>
      </c>
      <c r="X3306" s="811" t="str">
        <f t="shared" si="211"/>
        <v/>
      </c>
      <c r="AJ3306" s="865"/>
    </row>
    <row r="3307" spans="13:36">
      <c r="M3307" s="811" t="str">
        <f t="shared" si="212"/>
        <v/>
      </c>
      <c r="X3307" s="811" t="str">
        <f t="shared" si="211"/>
        <v/>
      </c>
      <c r="AJ3307" s="865"/>
    </row>
    <row r="3308" spans="13:36">
      <c r="M3308" s="811" t="str">
        <f t="shared" si="212"/>
        <v/>
      </c>
      <c r="X3308" s="811" t="str">
        <f t="shared" si="211"/>
        <v/>
      </c>
      <c r="AJ3308" s="865"/>
    </row>
    <row r="3309" spans="13:36">
      <c r="M3309" s="811" t="str">
        <f t="shared" si="212"/>
        <v/>
      </c>
      <c r="X3309" s="811" t="str">
        <f t="shared" si="211"/>
        <v/>
      </c>
      <c r="AJ3309" s="865"/>
    </row>
    <row r="3310" spans="13:36">
      <c r="M3310" s="811" t="str">
        <f t="shared" si="212"/>
        <v/>
      </c>
      <c r="X3310" s="811" t="str">
        <f t="shared" si="211"/>
        <v/>
      </c>
      <c r="AJ3310" s="865"/>
    </row>
    <row r="3311" spans="13:36">
      <c r="M3311" s="811" t="str">
        <f t="shared" si="212"/>
        <v/>
      </c>
      <c r="X3311" s="811" t="str">
        <f t="shared" si="211"/>
        <v/>
      </c>
      <c r="AJ3311" s="865"/>
    </row>
    <row r="3312" spans="13:36">
      <c r="M3312" s="811" t="str">
        <f t="shared" si="212"/>
        <v/>
      </c>
      <c r="X3312" s="811" t="str">
        <f t="shared" si="211"/>
        <v/>
      </c>
      <c r="AJ3312" s="865"/>
    </row>
    <row r="3313" spans="13:36">
      <c r="M3313" s="811" t="str">
        <f t="shared" si="212"/>
        <v/>
      </c>
      <c r="X3313" s="811" t="str">
        <f t="shared" si="211"/>
        <v/>
      </c>
      <c r="AJ3313" s="865"/>
    </row>
    <row r="3314" spans="13:36">
      <c r="M3314" s="811" t="str">
        <f t="shared" si="212"/>
        <v/>
      </c>
      <c r="X3314" s="811" t="str">
        <f t="shared" si="211"/>
        <v/>
      </c>
      <c r="AJ3314" s="865"/>
    </row>
    <row r="3315" spans="13:36">
      <c r="M3315" s="811" t="str">
        <f t="shared" si="212"/>
        <v/>
      </c>
      <c r="X3315" s="811" t="str">
        <f t="shared" ref="X3315:X3378" si="213">IF(ISBLANK(W3315)=TRUE,"",LOOKUP(W3315,GO:GP))</f>
        <v/>
      </c>
      <c r="AJ3315" s="865"/>
    </row>
    <row r="3316" spans="13:36">
      <c r="M3316" s="811" t="str">
        <f t="shared" si="212"/>
        <v/>
      </c>
      <c r="X3316" s="811" t="str">
        <f t="shared" si="213"/>
        <v/>
      </c>
      <c r="AJ3316" s="865"/>
    </row>
    <row r="3317" spans="13:36">
      <c r="M3317" s="811" t="str">
        <f t="shared" si="212"/>
        <v/>
      </c>
      <c r="X3317" s="811" t="str">
        <f t="shared" si="213"/>
        <v/>
      </c>
      <c r="AJ3317" s="865"/>
    </row>
    <row r="3318" spans="13:36">
      <c r="M3318" s="811" t="str">
        <f t="shared" si="212"/>
        <v/>
      </c>
      <c r="X3318" s="811" t="str">
        <f t="shared" si="213"/>
        <v/>
      </c>
      <c r="AJ3318" s="865"/>
    </row>
    <row r="3319" spans="13:36">
      <c r="M3319" s="811" t="str">
        <f t="shared" si="212"/>
        <v/>
      </c>
      <c r="X3319" s="811" t="str">
        <f t="shared" si="213"/>
        <v/>
      </c>
      <c r="AJ3319" s="865"/>
    </row>
    <row r="3320" spans="13:36">
      <c r="M3320" s="811" t="str">
        <f t="shared" si="212"/>
        <v/>
      </c>
      <c r="X3320" s="811" t="str">
        <f t="shared" si="213"/>
        <v/>
      </c>
      <c r="AJ3320" s="865"/>
    </row>
    <row r="3321" spans="13:36">
      <c r="M3321" s="811" t="str">
        <f t="shared" si="212"/>
        <v/>
      </c>
      <c r="X3321" s="811" t="str">
        <f t="shared" si="213"/>
        <v/>
      </c>
      <c r="AJ3321" s="865"/>
    </row>
    <row r="3322" spans="13:36">
      <c r="M3322" s="811" t="str">
        <f t="shared" si="212"/>
        <v/>
      </c>
      <c r="X3322" s="811" t="str">
        <f t="shared" si="213"/>
        <v/>
      </c>
      <c r="AJ3322" s="865"/>
    </row>
    <row r="3323" spans="13:36">
      <c r="M3323" s="811" t="str">
        <f t="shared" si="212"/>
        <v/>
      </c>
      <c r="X3323" s="811" t="str">
        <f t="shared" si="213"/>
        <v/>
      </c>
      <c r="AJ3323" s="865"/>
    </row>
    <row r="3324" spans="13:36">
      <c r="M3324" s="811" t="str">
        <f t="shared" si="212"/>
        <v/>
      </c>
      <c r="X3324" s="811" t="str">
        <f t="shared" si="213"/>
        <v/>
      </c>
      <c r="AJ3324" s="865"/>
    </row>
    <row r="3325" spans="13:36">
      <c r="M3325" s="811" t="str">
        <f t="shared" si="212"/>
        <v/>
      </c>
      <c r="X3325" s="811" t="str">
        <f t="shared" si="213"/>
        <v/>
      </c>
      <c r="AJ3325" s="865"/>
    </row>
    <row r="3326" spans="13:36">
      <c r="M3326" s="811" t="str">
        <f t="shared" si="212"/>
        <v/>
      </c>
      <c r="X3326" s="811" t="str">
        <f t="shared" si="213"/>
        <v/>
      </c>
      <c r="AJ3326" s="865"/>
    </row>
    <row r="3327" spans="13:36">
      <c r="M3327" s="811" t="str">
        <f t="shared" si="212"/>
        <v/>
      </c>
      <c r="X3327" s="811" t="str">
        <f t="shared" si="213"/>
        <v/>
      </c>
      <c r="AJ3327" s="865"/>
    </row>
    <row r="3328" spans="13:36">
      <c r="M3328" s="811" t="str">
        <f t="shared" si="212"/>
        <v/>
      </c>
      <c r="X3328" s="811" t="str">
        <f t="shared" si="213"/>
        <v/>
      </c>
      <c r="AJ3328" s="865"/>
    </row>
    <row r="3329" spans="13:36">
      <c r="M3329" s="811" t="str">
        <f t="shared" si="212"/>
        <v/>
      </c>
      <c r="X3329" s="811" t="str">
        <f t="shared" si="213"/>
        <v/>
      </c>
      <c r="AJ3329" s="865"/>
    </row>
    <row r="3330" spans="13:36">
      <c r="M3330" s="811" t="str">
        <f t="shared" si="212"/>
        <v/>
      </c>
      <c r="X3330" s="811" t="str">
        <f t="shared" si="213"/>
        <v/>
      </c>
      <c r="AJ3330" s="865"/>
    </row>
    <row r="3331" spans="13:36">
      <c r="M3331" s="811" t="str">
        <f t="shared" si="212"/>
        <v/>
      </c>
      <c r="X3331" s="811" t="str">
        <f t="shared" si="213"/>
        <v/>
      </c>
      <c r="AJ3331" s="865"/>
    </row>
    <row r="3332" spans="13:36">
      <c r="M3332" s="811" t="str">
        <f t="shared" si="212"/>
        <v/>
      </c>
      <c r="X3332" s="811" t="str">
        <f t="shared" si="213"/>
        <v/>
      </c>
      <c r="AJ3332" s="865"/>
    </row>
    <row r="3333" spans="13:36">
      <c r="M3333" s="811" t="str">
        <f t="shared" si="212"/>
        <v/>
      </c>
      <c r="X3333" s="811" t="str">
        <f t="shared" si="213"/>
        <v/>
      </c>
      <c r="AJ3333" s="865"/>
    </row>
    <row r="3334" spans="13:36">
      <c r="M3334" s="811" t="str">
        <f t="shared" si="212"/>
        <v/>
      </c>
      <c r="X3334" s="811" t="str">
        <f t="shared" si="213"/>
        <v/>
      </c>
      <c r="AJ3334" s="865"/>
    </row>
    <row r="3335" spans="13:36">
      <c r="M3335" s="811" t="str">
        <f t="shared" si="212"/>
        <v/>
      </c>
      <c r="X3335" s="811" t="str">
        <f t="shared" si="213"/>
        <v/>
      </c>
      <c r="AJ3335" s="865"/>
    </row>
    <row r="3336" spans="13:36">
      <c r="M3336" s="811" t="str">
        <f t="shared" si="212"/>
        <v/>
      </c>
      <c r="X3336" s="811" t="str">
        <f t="shared" si="213"/>
        <v/>
      </c>
      <c r="AJ3336" s="865"/>
    </row>
    <row r="3337" spans="13:36">
      <c r="M3337" s="811" t="str">
        <f t="shared" si="212"/>
        <v/>
      </c>
      <c r="X3337" s="811" t="str">
        <f t="shared" si="213"/>
        <v/>
      </c>
      <c r="AJ3337" s="865"/>
    </row>
    <row r="3338" spans="13:36">
      <c r="M3338" s="811" t="str">
        <f t="shared" si="212"/>
        <v/>
      </c>
      <c r="X3338" s="811" t="str">
        <f t="shared" si="213"/>
        <v/>
      </c>
      <c r="AJ3338" s="865"/>
    </row>
    <row r="3339" spans="13:36">
      <c r="M3339" s="811" t="str">
        <f t="shared" si="212"/>
        <v/>
      </c>
      <c r="X3339" s="811" t="str">
        <f t="shared" si="213"/>
        <v/>
      </c>
      <c r="AJ3339" s="865"/>
    </row>
    <row r="3340" spans="13:36">
      <c r="M3340" s="811" t="str">
        <f t="shared" ref="M3340:M3403" si="214">IF(ISBLANK(L3340)=TRUE,"",LOOKUP(L3340,GQ:GR))</f>
        <v/>
      </c>
      <c r="X3340" s="811" t="str">
        <f t="shared" si="213"/>
        <v/>
      </c>
      <c r="AJ3340" s="865"/>
    </row>
    <row r="3341" spans="13:36">
      <c r="M3341" s="811" t="str">
        <f t="shared" si="214"/>
        <v/>
      </c>
      <c r="X3341" s="811" t="str">
        <f t="shared" si="213"/>
        <v/>
      </c>
      <c r="AJ3341" s="865"/>
    </row>
    <row r="3342" spans="13:36">
      <c r="M3342" s="811" t="str">
        <f t="shared" si="214"/>
        <v/>
      </c>
      <c r="X3342" s="811" t="str">
        <f t="shared" si="213"/>
        <v/>
      </c>
      <c r="AJ3342" s="865"/>
    </row>
    <row r="3343" spans="13:36">
      <c r="M3343" s="811" t="str">
        <f t="shared" si="214"/>
        <v/>
      </c>
      <c r="X3343" s="811" t="str">
        <f t="shared" si="213"/>
        <v/>
      </c>
      <c r="AJ3343" s="865"/>
    </row>
    <row r="3344" spans="13:36">
      <c r="M3344" s="811" t="str">
        <f t="shared" si="214"/>
        <v/>
      </c>
      <c r="X3344" s="811" t="str">
        <f t="shared" si="213"/>
        <v/>
      </c>
      <c r="AJ3344" s="865"/>
    </row>
    <row r="3345" spans="13:36">
      <c r="M3345" s="811" t="str">
        <f t="shared" si="214"/>
        <v/>
      </c>
      <c r="X3345" s="811" t="str">
        <f t="shared" si="213"/>
        <v/>
      </c>
      <c r="AJ3345" s="865"/>
    </row>
    <row r="3346" spans="13:36">
      <c r="M3346" s="811" t="str">
        <f t="shared" si="214"/>
        <v/>
      </c>
      <c r="X3346" s="811" t="str">
        <f t="shared" si="213"/>
        <v/>
      </c>
      <c r="AJ3346" s="865"/>
    </row>
    <row r="3347" spans="13:36">
      <c r="M3347" s="811" t="str">
        <f t="shared" si="214"/>
        <v/>
      </c>
      <c r="X3347" s="811" t="str">
        <f t="shared" si="213"/>
        <v/>
      </c>
      <c r="AJ3347" s="865"/>
    </row>
    <row r="3348" spans="13:36">
      <c r="M3348" s="811" t="str">
        <f t="shared" si="214"/>
        <v/>
      </c>
      <c r="X3348" s="811" t="str">
        <f t="shared" si="213"/>
        <v/>
      </c>
      <c r="AJ3348" s="865"/>
    </row>
    <row r="3349" spans="13:36">
      <c r="M3349" s="811" t="str">
        <f t="shared" si="214"/>
        <v/>
      </c>
      <c r="X3349" s="811" t="str">
        <f t="shared" si="213"/>
        <v/>
      </c>
      <c r="AJ3349" s="865"/>
    </row>
    <row r="3350" spans="13:36">
      <c r="M3350" s="811" t="str">
        <f t="shared" si="214"/>
        <v/>
      </c>
      <c r="X3350" s="811" t="str">
        <f t="shared" si="213"/>
        <v/>
      </c>
      <c r="AJ3350" s="865"/>
    </row>
    <row r="3351" spans="13:36">
      <c r="M3351" s="811" t="str">
        <f t="shared" si="214"/>
        <v/>
      </c>
      <c r="X3351" s="811" t="str">
        <f t="shared" si="213"/>
        <v/>
      </c>
      <c r="AJ3351" s="865"/>
    </row>
    <row r="3352" spans="13:36">
      <c r="M3352" s="811" t="str">
        <f t="shared" si="214"/>
        <v/>
      </c>
      <c r="X3352" s="811" t="str">
        <f t="shared" si="213"/>
        <v/>
      </c>
      <c r="AJ3352" s="865"/>
    </row>
    <row r="3353" spans="13:36">
      <c r="M3353" s="811" t="str">
        <f t="shared" si="214"/>
        <v/>
      </c>
      <c r="X3353" s="811" t="str">
        <f t="shared" si="213"/>
        <v/>
      </c>
      <c r="AJ3353" s="865"/>
    </row>
    <row r="3354" spans="13:36">
      <c r="M3354" s="811" t="str">
        <f t="shared" si="214"/>
        <v/>
      </c>
      <c r="X3354" s="811" t="str">
        <f t="shared" si="213"/>
        <v/>
      </c>
      <c r="AJ3354" s="865"/>
    </row>
    <row r="3355" spans="13:36">
      <c r="M3355" s="811" t="str">
        <f t="shared" si="214"/>
        <v/>
      </c>
      <c r="X3355" s="811" t="str">
        <f t="shared" si="213"/>
        <v/>
      </c>
      <c r="AJ3355" s="865"/>
    </row>
    <row r="3356" spans="13:36">
      <c r="M3356" s="811" t="str">
        <f t="shared" si="214"/>
        <v/>
      </c>
      <c r="X3356" s="811" t="str">
        <f t="shared" si="213"/>
        <v/>
      </c>
      <c r="AJ3356" s="865"/>
    </row>
    <row r="3357" spans="13:36">
      <c r="M3357" s="811" t="str">
        <f t="shared" si="214"/>
        <v/>
      </c>
      <c r="X3357" s="811" t="str">
        <f t="shared" si="213"/>
        <v/>
      </c>
      <c r="AJ3357" s="865"/>
    </row>
    <row r="3358" spans="13:36">
      <c r="M3358" s="811" t="str">
        <f t="shared" si="214"/>
        <v/>
      </c>
      <c r="X3358" s="811" t="str">
        <f t="shared" si="213"/>
        <v/>
      </c>
      <c r="AJ3358" s="865"/>
    </row>
    <row r="3359" spans="13:36">
      <c r="M3359" s="811" t="str">
        <f t="shared" si="214"/>
        <v/>
      </c>
      <c r="X3359" s="811" t="str">
        <f t="shared" si="213"/>
        <v/>
      </c>
      <c r="AJ3359" s="865"/>
    </row>
    <row r="3360" spans="13:36">
      <c r="M3360" s="811" t="str">
        <f t="shared" si="214"/>
        <v/>
      </c>
      <c r="X3360" s="811" t="str">
        <f t="shared" si="213"/>
        <v/>
      </c>
      <c r="AJ3360" s="865"/>
    </row>
    <row r="3361" spans="13:36">
      <c r="M3361" s="811" t="str">
        <f t="shared" si="214"/>
        <v/>
      </c>
      <c r="X3361" s="811" t="str">
        <f t="shared" si="213"/>
        <v/>
      </c>
      <c r="AJ3361" s="865"/>
    </row>
    <row r="3362" spans="13:36">
      <c r="M3362" s="811" t="str">
        <f t="shared" si="214"/>
        <v/>
      </c>
      <c r="X3362" s="811" t="str">
        <f t="shared" si="213"/>
        <v/>
      </c>
      <c r="AJ3362" s="865"/>
    </row>
    <row r="3363" spans="13:36">
      <c r="M3363" s="811" t="str">
        <f t="shared" si="214"/>
        <v/>
      </c>
      <c r="X3363" s="811" t="str">
        <f t="shared" si="213"/>
        <v/>
      </c>
      <c r="AJ3363" s="865"/>
    </row>
    <row r="3364" spans="13:36">
      <c r="M3364" s="811" t="str">
        <f t="shared" si="214"/>
        <v/>
      </c>
      <c r="X3364" s="811" t="str">
        <f t="shared" si="213"/>
        <v/>
      </c>
      <c r="AJ3364" s="865"/>
    </row>
    <row r="3365" spans="13:36">
      <c r="M3365" s="811" t="str">
        <f t="shared" si="214"/>
        <v/>
      </c>
      <c r="X3365" s="811" t="str">
        <f t="shared" si="213"/>
        <v/>
      </c>
      <c r="AJ3365" s="865"/>
    </row>
    <row r="3366" spans="13:36">
      <c r="M3366" s="811" t="str">
        <f t="shared" si="214"/>
        <v/>
      </c>
      <c r="X3366" s="811" t="str">
        <f t="shared" si="213"/>
        <v/>
      </c>
      <c r="AJ3366" s="865"/>
    </row>
    <row r="3367" spans="13:36">
      <c r="M3367" s="811" t="str">
        <f t="shared" si="214"/>
        <v/>
      </c>
      <c r="X3367" s="811" t="str">
        <f t="shared" si="213"/>
        <v/>
      </c>
      <c r="AJ3367" s="865"/>
    </row>
    <row r="3368" spans="13:36">
      <c r="M3368" s="811" t="str">
        <f t="shared" si="214"/>
        <v/>
      </c>
      <c r="X3368" s="811" t="str">
        <f t="shared" si="213"/>
        <v/>
      </c>
      <c r="AJ3368" s="865"/>
    </row>
    <row r="3369" spans="13:36">
      <c r="M3369" s="811" t="str">
        <f t="shared" si="214"/>
        <v/>
      </c>
      <c r="X3369" s="811" t="str">
        <f t="shared" si="213"/>
        <v/>
      </c>
      <c r="AJ3369" s="865"/>
    </row>
    <row r="3370" spans="13:36">
      <c r="M3370" s="811" t="str">
        <f t="shared" si="214"/>
        <v/>
      </c>
      <c r="X3370" s="811" t="str">
        <f t="shared" si="213"/>
        <v/>
      </c>
      <c r="AJ3370" s="865"/>
    </row>
    <row r="3371" spans="13:36">
      <c r="M3371" s="811" t="str">
        <f t="shared" si="214"/>
        <v/>
      </c>
      <c r="X3371" s="811" t="str">
        <f t="shared" si="213"/>
        <v/>
      </c>
      <c r="AJ3371" s="865"/>
    </row>
    <row r="3372" spans="13:36">
      <c r="M3372" s="811" t="str">
        <f t="shared" si="214"/>
        <v/>
      </c>
      <c r="X3372" s="811" t="str">
        <f t="shared" si="213"/>
        <v/>
      </c>
      <c r="AJ3372" s="865"/>
    </row>
    <row r="3373" spans="13:36">
      <c r="M3373" s="811" t="str">
        <f t="shared" si="214"/>
        <v/>
      </c>
      <c r="X3373" s="811" t="str">
        <f t="shared" si="213"/>
        <v/>
      </c>
      <c r="AJ3373" s="865"/>
    </row>
    <row r="3374" spans="13:36">
      <c r="M3374" s="811" t="str">
        <f t="shared" si="214"/>
        <v/>
      </c>
      <c r="X3374" s="811" t="str">
        <f t="shared" si="213"/>
        <v/>
      </c>
      <c r="AJ3374" s="865"/>
    </row>
    <row r="3375" spans="13:36">
      <c r="M3375" s="811" t="str">
        <f t="shared" si="214"/>
        <v/>
      </c>
      <c r="X3375" s="811" t="str">
        <f t="shared" si="213"/>
        <v/>
      </c>
      <c r="AJ3375" s="865"/>
    </row>
    <row r="3376" spans="13:36">
      <c r="M3376" s="811" t="str">
        <f t="shared" si="214"/>
        <v/>
      </c>
      <c r="X3376" s="811" t="str">
        <f t="shared" si="213"/>
        <v/>
      </c>
      <c r="AJ3376" s="865"/>
    </row>
    <row r="3377" spans="13:36">
      <c r="M3377" s="811" t="str">
        <f t="shared" si="214"/>
        <v/>
      </c>
      <c r="X3377" s="811" t="str">
        <f t="shared" si="213"/>
        <v/>
      </c>
      <c r="AJ3377" s="865"/>
    </row>
    <row r="3378" spans="13:36">
      <c r="M3378" s="811" t="str">
        <f t="shared" si="214"/>
        <v/>
      </c>
      <c r="X3378" s="811" t="str">
        <f t="shared" si="213"/>
        <v/>
      </c>
      <c r="AJ3378" s="865"/>
    </row>
    <row r="3379" spans="13:36">
      <c r="M3379" s="811" t="str">
        <f t="shared" si="214"/>
        <v/>
      </c>
      <c r="X3379" s="811" t="str">
        <f t="shared" ref="X3379:X3442" si="215">IF(ISBLANK(W3379)=TRUE,"",LOOKUP(W3379,GO:GP))</f>
        <v/>
      </c>
      <c r="AJ3379" s="865"/>
    </row>
    <row r="3380" spans="13:36">
      <c r="M3380" s="811" t="str">
        <f t="shared" si="214"/>
        <v/>
      </c>
      <c r="X3380" s="811" t="str">
        <f t="shared" si="215"/>
        <v/>
      </c>
      <c r="AJ3380" s="865"/>
    </row>
    <row r="3381" spans="13:36">
      <c r="M3381" s="811" t="str">
        <f t="shared" si="214"/>
        <v/>
      </c>
      <c r="X3381" s="811" t="str">
        <f t="shared" si="215"/>
        <v/>
      </c>
      <c r="AJ3381" s="865"/>
    </row>
    <row r="3382" spans="13:36">
      <c r="M3382" s="811" t="str">
        <f t="shared" si="214"/>
        <v/>
      </c>
      <c r="X3382" s="811" t="str">
        <f t="shared" si="215"/>
        <v/>
      </c>
      <c r="AJ3382" s="865"/>
    </row>
    <row r="3383" spans="13:36">
      <c r="M3383" s="811" t="str">
        <f t="shared" si="214"/>
        <v/>
      </c>
      <c r="X3383" s="811" t="str">
        <f t="shared" si="215"/>
        <v/>
      </c>
      <c r="AJ3383" s="865"/>
    </row>
    <row r="3384" spans="13:36">
      <c r="M3384" s="811" t="str">
        <f t="shared" si="214"/>
        <v/>
      </c>
      <c r="X3384" s="811" t="str">
        <f t="shared" si="215"/>
        <v/>
      </c>
      <c r="AJ3384" s="865"/>
    </row>
    <row r="3385" spans="13:36">
      <c r="M3385" s="811" t="str">
        <f t="shared" si="214"/>
        <v/>
      </c>
      <c r="X3385" s="811" t="str">
        <f t="shared" si="215"/>
        <v/>
      </c>
      <c r="AJ3385" s="865"/>
    </row>
    <row r="3386" spans="13:36">
      <c r="M3386" s="811" t="str">
        <f t="shared" si="214"/>
        <v/>
      </c>
      <c r="X3386" s="811" t="str">
        <f t="shared" si="215"/>
        <v/>
      </c>
      <c r="AJ3386" s="865"/>
    </row>
    <row r="3387" spans="13:36">
      <c r="M3387" s="811" t="str">
        <f t="shared" si="214"/>
        <v/>
      </c>
      <c r="X3387" s="811" t="str">
        <f t="shared" si="215"/>
        <v/>
      </c>
      <c r="AJ3387" s="865"/>
    </row>
    <row r="3388" spans="13:36">
      <c r="M3388" s="811" t="str">
        <f t="shared" si="214"/>
        <v/>
      </c>
      <c r="X3388" s="811" t="str">
        <f t="shared" si="215"/>
        <v/>
      </c>
      <c r="AJ3388" s="865"/>
    </row>
    <row r="3389" spans="13:36">
      <c r="M3389" s="811" t="str">
        <f t="shared" si="214"/>
        <v/>
      </c>
      <c r="X3389" s="811" t="str">
        <f t="shared" si="215"/>
        <v/>
      </c>
      <c r="AJ3389" s="865"/>
    </row>
    <row r="3390" spans="13:36">
      <c r="M3390" s="811" t="str">
        <f t="shared" si="214"/>
        <v/>
      </c>
      <c r="X3390" s="811" t="str">
        <f t="shared" si="215"/>
        <v/>
      </c>
      <c r="AJ3390" s="865"/>
    </row>
    <row r="3391" spans="13:36">
      <c r="M3391" s="811" t="str">
        <f t="shared" si="214"/>
        <v/>
      </c>
      <c r="X3391" s="811" t="str">
        <f t="shared" si="215"/>
        <v/>
      </c>
      <c r="AJ3391" s="865"/>
    </row>
    <row r="3392" spans="13:36">
      <c r="M3392" s="811" t="str">
        <f t="shared" si="214"/>
        <v/>
      </c>
      <c r="X3392" s="811" t="str">
        <f t="shared" si="215"/>
        <v/>
      </c>
      <c r="AJ3392" s="865"/>
    </row>
    <row r="3393" spans="13:36">
      <c r="M3393" s="811" t="str">
        <f t="shared" si="214"/>
        <v/>
      </c>
      <c r="X3393" s="811" t="str">
        <f t="shared" si="215"/>
        <v/>
      </c>
      <c r="AJ3393" s="865"/>
    </row>
    <row r="3394" spans="13:36">
      <c r="M3394" s="811" t="str">
        <f t="shared" si="214"/>
        <v/>
      </c>
      <c r="X3394" s="811" t="str">
        <f t="shared" si="215"/>
        <v/>
      </c>
      <c r="AJ3394" s="865"/>
    </row>
    <row r="3395" spans="13:36">
      <c r="M3395" s="811" t="str">
        <f t="shared" si="214"/>
        <v/>
      </c>
      <c r="X3395" s="811" t="str">
        <f t="shared" si="215"/>
        <v/>
      </c>
      <c r="AJ3395" s="865"/>
    </row>
    <row r="3396" spans="13:36">
      <c r="M3396" s="811" t="str">
        <f t="shared" si="214"/>
        <v/>
      </c>
      <c r="X3396" s="811" t="str">
        <f t="shared" si="215"/>
        <v/>
      </c>
      <c r="AJ3396" s="865"/>
    </row>
    <row r="3397" spans="13:36">
      <c r="M3397" s="811" t="str">
        <f t="shared" si="214"/>
        <v/>
      </c>
      <c r="X3397" s="811" t="str">
        <f t="shared" si="215"/>
        <v/>
      </c>
      <c r="AJ3397" s="865"/>
    </row>
    <row r="3398" spans="13:36">
      <c r="M3398" s="811" t="str">
        <f t="shared" si="214"/>
        <v/>
      </c>
      <c r="X3398" s="811" t="str">
        <f t="shared" si="215"/>
        <v/>
      </c>
      <c r="AJ3398" s="865"/>
    </row>
    <row r="3399" spans="13:36">
      <c r="M3399" s="811" t="str">
        <f t="shared" si="214"/>
        <v/>
      </c>
      <c r="X3399" s="811" t="str">
        <f t="shared" si="215"/>
        <v/>
      </c>
      <c r="AJ3399" s="865"/>
    </row>
    <row r="3400" spans="13:36">
      <c r="M3400" s="811" t="str">
        <f t="shared" si="214"/>
        <v/>
      </c>
      <c r="X3400" s="811" t="str">
        <f t="shared" si="215"/>
        <v/>
      </c>
      <c r="AJ3400" s="865"/>
    </row>
    <row r="3401" spans="13:36">
      <c r="M3401" s="811" t="str">
        <f t="shared" si="214"/>
        <v/>
      </c>
      <c r="X3401" s="811" t="str">
        <f t="shared" si="215"/>
        <v/>
      </c>
      <c r="AJ3401" s="865"/>
    </row>
    <row r="3402" spans="13:36">
      <c r="M3402" s="811" t="str">
        <f t="shared" si="214"/>
        <v/>
      </c>
      <c r="X3402" s="811" t="str">
        <f t="shared" si="215"/>
        <v/>
      </c>
      <c r="AJ3402" s="865"/>
    </row>
    <row r="3403" spans="13:36">
      <c r="M3403" s="811" t="str">
        <f t="shared" si="214"/>
        <v/>
      </c>
      <c r="X3403" s="811" t="str">
        <f t="shared" si="215"/>
        <v/>
      </c>
      <c r="AJ3403" s="865"/>
    </row>
    <row r="3404" spans="13:36">
      <c r="M3404" s="811" t="str">
        <f t="shared" ref="M3404:M3467" si="216">IF(ISBLANK(L3404)=TRUE,"",LOOKUP(L3404,GQ:GR))</f>
        <v/>
      </c>
      <c r="X3404" s="811" t="str">
        <f t="shared" si="215"/>
        <v/>
      </c>
      <c r="AJ3404" s="865"/>
    </row>
    <row r="3405" spans="13:36">
      <c r="M3405" s="811" t="str">
        <f t="shared" si="216"/>
        <v/>
      </c>
      <c r="X3405" s="811" t="str">
        <f t="shared" si="215"/>
        <v/>
      </c>
      <c r="AJ3405" s="865"/>
    </row>
    <row r="3406" spans="13:36">
      <c r="M3406" s="811" t="str">
        <f t="shared" si="216"/>
        <v/>
      </c>
      <c r="X3406" s="811" t="str">
        <f t="shared" si="215"/>
        <v/>
      </c>
      <c r="AJ3406" s="865"/>
    </row>
    <row r="3407" spans="13:36">
      <c r="M3407" s="811" t="str">
        <f t="shared" si="216"/>
        <v/>
      </c>
      <c r="X3407" s="811" t="str">
        <f t="shared" si="215"/>
        <v/>
      </c>
      <c r="AJ3407" s="865"/>
    </row>
    <row r="3408" spans="13:36">
      <c r="M3408" s="811" t="str">
        <f t="shared" si="216"/>
        <v/>
      </c>
      <c r="X3408" s="811" t="str">
        <f t="shared" si="215"/>
        <v/>
      </c>
      <c r="AJ3408" s="865"/>
    </row>
    <row r="3409" spans="13:36">
      <c r="M3409" s="811" t="str">
        <f t="shared" si="216"/>
        <v/>
      </c>
      <c r="X3409" s="811" t="str">
        <f t="shared" si="215"/>
        <v/>
      </c>
      <c r="AJ3409" s="865"/>
    </row>
    <row r="3410" spans="13:36">
      <c r="M3410" s="811" t="str">
        <f t="shared" si="216"/>
        <v/>
      </c>
      <c r="X3410" s="811" t="str">
        <f t="shared" si="215"/>
        <v/>
      </c>
      <c r="AJ3410" s="865"/>
    </row>
    <row r="3411" spans="13:36">
      <c r="M3411" s="811" t="str">
        <f t="shared" si="216"/>
        <v/>
      </c>
      <c r="X3411" s="811" t="str">
        <f t="shared" si="215"/>
        <v/>
      </c>
      <c r="AJ3411" s="865"/>
    </row>
    <row r="3412" spans="13:36">
      <c r="M3412" s="811" t="str">
        <f t="shared" si="216"/>
        <v/>
      </c>
      <c r="X3412" s="811" t="str">
        <f t="shared" si="215"/>
        <v/>
      </c>
      <c r="AJ3412" s="865"/>
    </row>
    <row r="3413" spans="13:36">
      <c r="M3413" s="811" t="str">
        <f t="shared" si="216"/>
        <v/>
      </c>
      <c r="X3413" s="811" t="str">
        <f t="shared" si="215"/>
        <v/>
      </c>
      <c r="AJ3413" s="865"/>
    </row>
    <row r="3414" spans="13:36">
      <c r="M3414" s="811" t="str">
        <f t="shared" si="216"/>
        <v/>
      </c>
      <c r="X3414" s="811" t="str">
        <f t="shared" si="215"/>
        <v/>
      </c>
      <c r="AJ3414" s="865"/>
    </row>
    <row r="3415" spans="13:36">
      <c r="M3415" s="811" t="str">
        <f t="shared" si="216"/>
        <v/>
      </c>
      <c r="X3415" s="811" t="str">
        <f t="shared" si="215"/>
        <v/>
      </c>
      <c r="AJ3415" s="865"/>
    </row>
    <row r="3416" spans="13:36">
      <c r="M3416" s="811" t="str">
        <f t="shared" si="216"/>
        <v/>
      </c>
      <c r="X3416" s="811" t="str">
        <f t="shared" si="215"/>
        <v/>
      </c>
      <c r="AJ3416" s="865"/>
    </row>
    <row r="3417" spans="13:36">
      <c r="M3417" s="811" t="str">
        <f t="shared" si="216"/>
        <v/>
      </c>
      <c r="X3417" s="811" t="str">
        <f t="shared" si="215"/>
        <v/>
      </c>
      <c r="AJ3417" s="865"/>
    </row>
    <row r="3418" spans="13:36">
      <c r="M3418" s="811" t="str">
        <f t="shared" si="216"/>
        <v/>
      </c>
      <c r="X3418" s="811" t="str">
        <f t="shared" si="215"/>
        <v/>
      </c>
      <c r="AJ3418" s="865"/>
    </row>
    <row r="3419" spans="13:36">
      <c r="M3419" s="811" t="str">
        <f t="shared" si="216"/>
        <v/>
      </c>
      <c r="X3419" s="811" t="str">
        <f t="shared" si="215"/>
        <v/>
      </c>
      <c r="AJ3419" s="865"/>
    </row>
    <row r="3420" spans="13:36">
      <c r="M3420" s="811" t="str">
        <f t="shared" si="216"/>
        <v/>
      </c>
      <c r="X3420" s="811" t="str">
        <f t="shared" si="215"/>
        <v/>
      </c>
      <c r="AJ3420" s="865"/>
    </row>
    <row r="3421" spans="13:36">
      <c r="M3421" s="811" t="str">
        <f t="shared" si="216"/>
        <v/>
      </c>
      <c r="X3421" s="811" t="str">
        <f t="shared" si="215"/>
        <v/>
      </c>
      <c r="AJ3421" s="865"/>
    </row>
    <row r="3422" spans="13:36">
      <c r="M3422" s="811" t="str">
        <f t="shared" si="216"/>
        <v/>
      </c>
      <c r="X3422" s="811" t="str">
        <f t="shared" si="215"/>
        <v/>
      </c>
      <c r="AJ3422" s="865"/>
    </row>
    <row r="3423" spans="13:36">
      <c r="M3423" s="811" t="str">
        <f t="shared" si="216"/>
        <v/>
      </c>
      <c r="X3423" s="811" t="str">
        <f t="shared" si="215"/>
        <v/>
      </c>
      <c r="AJ3423" s="865"/>
    </row>
    <row r="3424" spans="13:36">
      <c r="M3424" s="811" t="str">
        <f t="shared" si="216"/>
        <v/>
      </c>
      <c r="X3424" s="811" t="str">
        <f t="shared" si="215"/>
        <v/>
      </c>
      <c r="AJ3424" s="865"/>
    </row>
    <row r="3425" spans="13:36">
      <c r="M3425" s="811" t="str">
        <f t="shared" si="216"/>
        <v/>
      </c>
      <c r="X3425" s="811" t="str">
        <f t="shared" si="215"/>
        <v/>
      </c>
      <c r="AJ3425" s="865"/>
    </row>
    <row r="3426" spans="13:36">
      <c r="M3426" s="811" t="str">
        <f t="shared" si="216"/>
        <v/>
      </c>
      <c r="X3426" s="811" t="str">
        <f t="shared" si="215"/>
        <v/>
      </c>
      <c r="AJ3426" s="865"/>
    </row>
    <row r="3427" spans="13:36">
      <c r="M3427" s="811" t="str">
        <f t="shared" si="216"/>
        <v/>
      </c>
      <c r="X3427" s="811" t="str">
        <f t="shared" si="215"/>
        <v/>
      </c>
      <c r="AJ3427" s="865"/>
    </row>
    <row r="3428" spans="13:36">
      <c r="M3428" s="811" t="str">
        <f t="shared" si="216"/>
        <v/>
      </c>
      <c r="X3428" s="811" t="str">
        <f t="shared" si="215"/>
        <v/>
      </c>
      <c r="AJ3428" s="865"/>
    </row>
    <row r="3429" spans="13:36">
      <c r="M3429" s="811" t="str">
        <f t="shared" si="216"/>
        <v/>
      </c>
      <c r="X3429" s="811" t="str">
        <f t="shared" si="215"/>
        <v/>
      </c>
      <c r="AJ3429" s="865"/>
    </row>
    <row r="3430" spans="13:36">
      <c r="M3430" s="811" t="str">
        <f t="shared" si="216"/>
        <v/>
      </c>
      <c r="X3430" s="811" t="str">
        <f t="shared" si="215"/>
        <v/>
      </c>
      <c r="AJ3430" s="865"/>
    </row>
    <row r="3431" spans="13:36">
      <c r="M3431" s="811" t="str">
        <f t="shared" si="216"/>
        <v/>
      </c>
      <c r="X3431" s="811" t="str">
        <f t="shared" si="215"/>
        <v/>
      </c>
      <c r="AJ3431" s="865"/>
    </row>
    <row r="3432" spans="13:36">
      <c r="M3432" s="811" t="str">
        <f t="shared" si="216"/>
        <v/>
      </c>
      <c r="X3432" s="811" t="str">
        <f t="shared" si="215"/>
        <v/>
      </c>
      <c r="AJ3432" s="865"/>
    </row>
    <row r="3433" spans="13:36">
      <c r="M3433" s="811" t="str">
        <f t="shared" si="216"/>
        <v/>
      </c>
      <c r="X3433" s="811" t="str">
        <f t="shared" si="215"/>
        <v/>
      </c>
      <c r="AJ3433" s="865"/>
    </row>
    <row r="3434" spans="13:36">
      <c r="M3434" s="811" t="str">
        <f t="shared" si="216"/>
        <v/>
      </c>
      <c r="X3434" s="811" t="str">
        <f t="shared" si="215"/>
        <v/>
      </c>
      <c r="AJ3434" s="865"/>
    </row>
    <row r="3435" spans="13:36">
      <c r="M3435" s="811" t="str">
        <f t="shared" si="216"/>
        <v/>
      </c>
      <c r="X3435" s="811" t="str">
        <f t="shared" si="215"/>
        <v/>
      </c>
      <c r="AJ3435" s="865"/>
    </row>
    <row r="3436" spans="13:36">
      <c r="M3436" s="811" t="str">
        <f t="shared" si="216"/>
        <v/>
      </c>
      <c r="X3436" s="811" t="str">
        <f t="shared" si="215"/>
        <v/>
      </c>
      <c r="AJ3436" s="865"/>
    </row>
    <row r="3437" spans="13:36">
      <c r="M3437" s="811" t="str">
        <f t="shared" si="216"/>
        <v/>
      </c>
      <c r="X3437" s="811" t="str">
        <f t="shared" si="215"/>
        <v/>
      </c>
      <c r="AJ3437" s="865"/>
    </row>
    <row r="3438" spans="13:36">
      <c r="M3438" s="811" t="str">
        <f t="shared" si="216"/>
        <v/>
      </c>
      <c r="X3438" s="811" t="str">
        <f t="shared" si="215"/>
        <v/>
      </c>
      <c r="AJ3438" s="865"/>
    </row>
    <row r="3439" spans="13:36">
      <c r="M3439" s="811" t="str">
        <f t="shared" si="216"/>
        <v/>
      </c>
      <c r="X3439" s="811" t="str">
        <f t="shared" si="215"/>
        <v/>
      </c>
      <c r="AJ3439" s="865"/>
    </row>
    <row r="3440" spans="13:36">
      <c r="M3440" s="811" t="str">
        <f t="shared" si="216"/>
        <v/>
      </c>
      <c r="X3440" s="811" t="str">
        <f t="shared" si="215"/>
        <v/>
      </c>
      <c r="AJ3440" s="865"/>
    </row>
    <row r="3441" spans="13:36">
      <c r="M3441" s="811" t="str">
        <f t="shared" si="216"/>
        <v/>
      </c>
      <c r="X3441" s="811" t="str">
        <f t="shared" si="215"/>
        <v/>
      </c>
      <c r="AJ3441" s="865"/>
    </row>
    <row r="3442" spans="13:36">
      <c r="M3442" s="811" t="str">
        <f t="shared" si="216"/>
        <v/>
      </c>
      <c r="X3442" s="811" t="str">
        <f t="shared" si="215"/>
        <v/>
      </c>
      <c r="AJ3442" s="865"/>
    </row>
    <row r="3443" spans="13:36">
      <c r="M3443" s="811" t="str">
        <f t="shared" si="216"/>
        <v/>
      </c>
      <c r="X3443" s="811" t="str">
        <f t="shared" ref="X3443:X3506" si="217">IF(ISBLANK(W3443)=TRUE,"",LOOKUP(W3443,GO:GP))</f>
        <v/>
      </c>
      <c r="AJ3443" s="865"/>
    </row>
    <row r="3444" spans="13:36">
      <c r="M3444" s="811" t="str">
        <f t="shared" si="216"/>
        <v/>
      </c>
      <c r="X3444" s="811" t="str">
        <f t="shared" si="217"/>
        <v/>
      </c>
      <c r="AJ3444" s="865"/>
    </row>
    <row r="3445" spans="13:36">
      <c r="M3445" s="811" t="str">
        <f t="shared" si="216"/>
        <v/>
      </c>
      <c r="X3445" s="811" t="str">
        <f t="shared" si="217"/>
        <v/>
      </c>
      <c r="AJ3445" s="865"/>
    </row>
    <row r="3446" spans="13:36">
      <c r="M3446" s="811" t="str">
        <f t="shared" si="216"/>
        <v/>
      </c>
      <c r="X3446" s="811" t="str">
        <f t="shared" si="217"/>
        <v/>
      </c>
      <c r="AJ3446" s="865"/>
    </row>
    <row r="3447" spans="13:36">
      <c r="M3447" s="811" t="str">
        <f t="shared" si="216"/>
        <v/>
      </c>
      <c r="X3447" s="811" t="str">
        <f t="shared" si="217"/>
        <v/>
      </c>
      <c r="AJ3447" s="865"/>
    </row>
    <row r="3448" spans="13:36">
      <c r="M3448" s="811" t="str">
        <f t="shared" si="216"/>
        <v/>
      </c>
      <c r="X3448" s="811" t="str">
        <f t="shared" si="217"/>
        <v/>
      </c>
      <c r="AJ3448" s="865"/>
    </row>
    <row r="3449" spans="13:36">
      <c r="M3449" s="811" t="str">
        <f t="shared" si="216"/>
        <v/>
      </c>
      <c r="X3449" s="811" t="str">
        <f t="shared" si="217"/>
        <v/>
      </c>
      <c r="AJ3449" s="865"/>
    </row>
    <row r="3450" spans="13:36">
      <c r="M3450" s="811" t="str">
        <f t="shared" si="216"/>
        <v/>
      </c>
      <c r="X3450" s="811" t="str">
        <f t="shared" si="217"/>
        <v/>
      </c>
      <c r="AJ3450" s="865"/>
    </row>
    <row r="3451" spans="13:36">
      <c r="M3451" s="811" t="str">
        <f t="shared" si="216"/>
        <v/>
      </c>
      <c r="X3451" s="811" t="str">
        <f t="shared" si="217"/>
        <v/>
      </c>
      <c r="AJ3451" s="865"/>
    </row>
    <row r="3452" spans="13:36">
      <c r="M3452" s="811" t="str">
        <f t="shared" si="216"/>
        <v/>
      </c>
      <c r="X3452" s="811" t="str">
        <f t="shared" si="217"/>
        <v/>
      </c>
      <c r="AJ3452" s="865"/>
    </row>
    <row r="3453" spans="13:36">
      <c r="M3453" s="811" t="str">
        <f t="shared" si="216"/>
        <v/>
      </c>
      <c r="X3453" s="811" t="str">
        <f t="shared" si="217"/>
        <v/>
      </c>
      <c r="AJ3453" s="865"/>
    </row>
    <row r="3454" spans="13:36">
      <c r="M3454" s="811" t="str">
        <f t="shared" si="216"/>
        <v/>
      </c>
      <c r="X3454" s="811" t="str">
        <f t="shared" si="217"/>
        <v/>
      </c>
      <c r="AJ3454" s="865"/>
    </row>
    <row r="3455" spans="13:36">
      <c r="M3455" s="811" t="str">
        <f t="shared" si="216"/>
        <v/>
      </c>
      <c r="X3455" s="811" t="str">
        <f t="shared" si="217"/>
        <v/>
      </c>
      <c r="AJ3455" s="865"/>
    </row>
    <row r="3456" spans="13:36">
      <c r="M3456" s="811" t="str">
        <f t="shared" si="216"/>
        <v/>
      </c>
      <c r="X3456" s="811" t="str">
        <f t="shared" si="217"/>
        <v/>
      </c>
      <c r="AJ3456" s="865"/>
    </row>
    <row r="3457" spans="13:36">
      <c r="M3457" s="811" t="str">
        <f t="shared" si="216"/>
        <v/>
      </c>
      <c r="X3457" s="811" t="str">
        <f t="shared" si="217"/>
        <v/>
      </c>
      <c r="AJ3457" s="865"/>
    </row>
    <row r="3458" spans="13:36">
      <c r="M3458" s="811" t="str">
        <f t="shared" si="216"/>
        <v/>
      </c>
      <c r="X3458" s="811" t="str">
        <f t="shared" si="217"/>
        <v/>
      </c>
      <c r="AJ3458" s="865"/>
    </row>
    <row r="3459" spans="13:36">
      <c r="M3459" s="811" t="str">
        <f t="shared" si="216"/>
        <v/>
      </c>
      <c r="X3459" s="811" t="str">
        <f t="shared" si="217"/>
        <v/>
      </c>
      <c r="AJ3459" s="865"/>
    </row>
    <row r="3460" spans="13:36">
      <c r="M3460" s="811" t="str">
        <f t="shared" si="216"/>
        <v/>
      </c>
      <c r="X3460" s="811" t="str">
        <f t="shared" si="217"/>
        <v/>
      </c>
      <c r="AJ3460" s="865"/>
    </row>
    <row r="3461" spans="13:36">
      <c r="M3461" s="811" t="str">
        <f t="shared" si="216"/>
        <v/>
      </c>
      <c r="X3461" s="811" t="str">
        <f t="shared" si="217"/>
        <v/>
      </c>
      <c r="AJ3461" s="865"/>
    </row>
    <row r="3462" spans="13:36">
      <c r="M3462" s="811" t="str">
        <f t="shared" si="216"/>
        <v/>
      </c>
      <c r="X3462" s="811" t="str">
        <f t="shared" si="217"/>
        <v/>
      </c>
      <c r="AJ3462" s="865"/>
    </row>
    <row r="3463" spans="13:36">
      <c r="M3463" s="811" t="str">
        <f t="shared" si="216"/>
        <v/>
      </c>
      <c r="X3463" s="811" t="str">
        <f t="shared" si="217"/>
        <v/>
      </c>
      <c r="AJ3463" s="865"/>
    </row>
    <row r="3464" spans="13:36">
      <c r="M3464" s="811" t="str">
        <f t="shared" si="216"/>
        <v/>
      </c>
      <c r="X3464" s="811" t="str">
        <f t="shared" si="217"/>
        <v/>
      </c>
      <c r="AJ3464" s="865"/>
    </row>
    <row r="3465" spans="13:36">
      <c r="M3465" s="811" t="str">
        <f t="shared" si="216"/>
        <v/>
      </c>
      <c r="X3465" s="811" t="str">
        <f t="shared" si="217"/>
        <v/>
      </c>
      <c r="AJ3465" s="865"/>
    </row>
    <row r="3466" spans="13:36">
      <c r="M3466" s="811" t="str">
        <f t="shared" si="216"/>
        <v/>
      </c>
      <c r="X3466" s="811" t="str">
        <f t="shared" si="217"/>
        <v/>
      </c>
      <c r="AJ3466" s="865"/>
    </row>
    <row r="3467" spans="13:36">
      <c r="M3467" s="811" t="str">
        <f t="shared" si="216"/>
        <v/>
      </c>
      <c r="X3467" s="811" t="str">
        <f t="shared" si="217"/>
        <v/>
      </c>
      <c r="AJ3467" s="865"/>
    </row>
    <row r="3468" spans="13:36">
      <c r="M3468" s="811" t="str">
        <f t="shared" ref="M3468:M3531" si="218">IF(ISBLANK(L3468)=TRUE,"",LOOKUP(L3468,GQ:GR))</f>
        <v/>
      </c>
      <c r="X3468" s="811" t="str">
        <f t="shared" si="217"/>
        <v/>
      </c>
      <c r="AJ3468" s="865"/>
    </row>
    <row r="3469" spans="13:36">
      <c r="M3469" s="811" t="str">
        <f t="shared" si="218"/>
        <v/>
      </c>
      <c r="X3469" s="811" t="str">
        <f t="shared" si="217"/>
        <v/>
      </c>
      <c r="AJ3469" s="865"/>
    </row>
    <row r="3470" spans="13:36">
      <c r="M3470" s="811" t="str">
        <f t="shared" si="218"/>
        <v/>
      </c>
      <c r="X3470" s="811" t="str">
        <f t="shared" si="217"/>
        <v/>
      </c>
      <c r="AJ3470" s="865"/>
    </row>
    <row r="3471" spans="13:36">
      <c r="M3471" s="811" t="str">
        <f t="shared" si="218"/>
        <v/>
      </c>
      <c r="X3471" s="811" t="str">
        <f t="shared" si="217"/>
        <v/>
      </c>
      <c r="AJ3471" s="865"/>
    </row>
    <row r="3472" spans="13:36">
      <c r="M3472" s="811" t="str">
        <f t="shared" si="218"/>
        <v/>
      </c>
      <c r="X3472" s="811" t="str">
        <f t="shared" si="217"/>
        <v/>
      </c>
      <c r="AJ3472" s="865"/>
    </row>
    <row r="3473" spans="13:36">
      <c r="M3473" s="811" t="str">
        <f t="shared" si="218"/>
        <v/>
      </c>
      <c r="X3473" s="811" t="str">
        <f t="shared" si="217"/>
        <v/>
      </c>
      <c r="AJ3473" s="865"/>
    </row>
    <row r="3474" spans="13:36">
      <c r="M3474" s="811" t="str">
        <f t="shared" si="218"/>
        <v/>
      </c>
      <c r="X3474" s="811" t="str">
        <f t="shared" si="217"/>
        <v/>
      </c>
      <c r="AJ3474" s="865"/>
    </row>
    <row r="3475" spans="13:36">
      <c r="M3475" s="811" t="str">
        <f t="shared" si="218"/>
        <v/>
      </c>
      <c r="X3475" s="811" t="str">
        <f t="shared" si="217"/>
        <v/>
      </c>
      <c r="AJ3475" s="865"/>
    </row>
    <row r="3476" spans="13:36">
      <c r="M3476" s="811" t="str">
        <f t="shared" si="218"/>
        <v/>
      </c>
      <c r="X3476" s="811" t="str">
        <f t="shared" si="217"/>
        <v/>
      </c>
      <c r="AJ3476" s="865"/>
    </row>
    <row r="3477" spans="13:36">
      <c r="M3477" s="811" t="str">
        <f t="shared" si="218"/>
        <v/>
      </c>
      <c r="X3477" s="811" t="str">
        <f t="shared" si="217"/>
        <v/>
      </c>
      <c r="AJ3477" s="865"/>
    </row>
    <row r="3478" spans="13:36">
      <c r="M3478" s="811" t="str">
        <f t="shared" si="218"/>
        <v/>
      </c>
      <c r="X3478" s="811" t="str">
        <f t="shared" si="217"/>
        <v/>
      </c>
      <c r="AJ3478" s="865"/>
    </row>
    <row r="3479" spans="13:36">
      <c r="M3479" s="811" t="str">
        <f t="shared" si="218"/>
        <v/>
      </c>
      <c r="X3479" s="811" t="str">
        <f t="shared" si="217"/>
        <v/>
      </c>
      <c r="AJ3479" s="865"/>
    </row>
    <row r="3480" spans="13:36">
      <c r="M3480" s="811" t="str">
        <f t="shared" si="218"/>
        <v/>
      </c>
      <c r="X3480" s="811" t="str">
        <f t="shared" si="217"/>
        <v/>
      </c>
      <c r="AJ3480" s="865"/>
    </row>
    <row r="3481" spans="13:36">
      <c r="M3481" s="811" t="str">
        <f t="shared" si="218"/>
        <v/>
      </c>
      <c r="X3481" s="811" t="str">
        <f t="shared" si="217"/>
        <v/>
      </c>
      <c r="AJ3481" s="865"/>
    </row>
    <row r="3482" spans="13:36">
      <c r="M3482" s="811" t="str">
        <f t="shared" si="218"/>
        <v/>
      </c>
      <c r="X3482" s="811" t="str">
        <f t="shared" si="217"/>
        <v/>
      </c>
      <c r="AJ3482" s="865"/>
    </row>
    <row r="3483" spans="13:36">
      <c r="M3483" s="811" t="str">
        <f t="shared" si="218"/>
        <v/>
      </c>
      <c r="X3483" s="811" t="str">
        <f t="shared" si="217"/>
        <v/>
      </c>
      <c r="AJ3483" s="865"/>
    </row>
    <row r="3484" spans="13:36">
      <c r="M3484" s="811" t="str">
        <f t="shared" si="218"/>
        <v/>
      </c>
      <c r="X3484" s="811" t="str">
        <f t="shared" si="217"/>
        <v/>
      </c>
      <c r="AJ3484" s="865"/>
    </row>
    <row r="3485" spans="13:36">
      <c r="M3485" s="811" t="str">
        <f t="shared" si="218"/>
        <v/>
      </c>
      <c r="X3485" s="811" t="str">
        <f t="shared" si="217"/>
        <v/>
      </c>
      <c r="AJ3485" s="865"/>
    </row>
    <row r="3486" spans="13:36">
      <c r="M3486" s="811" t="str">
        <f t="shared" si="218"/>
        <v/>
      </c>
      <c r="X3486" s="811" t="str">
        <f t="shared" si="217"/>
        <v/>
      </c>
      <c r="AJ3486" s="865"/>
    </row>
    <row r="3487" spans="13:36">
      <c r="M3487" s="811" t="str">
        <f t="shared" si="218"/>
        <v/>
      </c>
      <c r="X3487" s="811" t="str">
        <f t="shared" si="217"/>
        <v/>
      </c>
      <c r="AJ3487" s="865"/>
    </row>
    <row r="3488" spans="13:36">
      <c r="M3488" s="811" t="str">
        <f t="shared" si="218"/>
        <v/>
      </c>
      <c r="X3488" s="811" t="str">
        <f t="shared" si="217"/>
        <v/>
      </c>
      <c r="AJ3488" s="865"/>
    </row>
    <row r="3489" spans="13:36">
      <c r="M3489" s="811" t="str">
        <f t="shared" si="218"/>
        <v/>
      </c>
      <c r="X3489" s="811" t="str">
        <f t="shared" si="217"/>
        <v/>
      </c>
      <c r="AJ3489" s="865"/>
    </row>
    <row r="3490" spans="13:36">
      <c r="M3490" s="811" t="str">
        <f t="shared" si="218"/>
        <v/>
      </c>
      <c r="X3490" s="811" t="str">
        <f t="shared" si="217"/>
        <v/>
      </c>
      <c r="AJ3490" s="865"/>
    </row>
    <row r="3491" spans="13:36">
      <c r="M3491" s="811" t="str">
        <f t="shared" si="218"/>
        <v/>
      </c>
      <c r="X3491" s="811" t="str">
        <f t="shared" si="217"/>
        <v/>
      </c>
      <c r="AJ3491" s="865"/>
    </row>
    <row r="3492" spans="13:36">
      <c r="M3492" s="811" t="str">
        <f t="shared" si="218"/>
        <v/>
      </c>
      <c r="X3492" s="811" t="str">
        <f t="shared" si="217"/>
        <v/>
      </c>
      <c r="AJ3492" s="865"/>
    </row>
    <row r="3493" spans="13:36">
      <c r="M3493" s="811" t="str">
        <f t="shared" si="218"/>
        <v/>
      </c>
      <c r="X3493" s="811" t="str">
        <f t="shared" si="217"/>
        <v/>
      </c>
      <c r="AJ3493" s="865"/>
    </row>
    <row r="3494" spans="13:36">
      <c r="M3494" s="811" t="str">
        <f t="shared" si="218"/>
        <v/>
      </c>
      <c r="X3494" s="811" t="str">
        <f t="shared" si="217"/>
        <v/>
      </c>
      <c r="AJ3494" s="865"/>
    </row>
    <row r="3495" spans="13:36">
      <c r="M3495" s="811" t="str">
        <f t="shared" si="218"/>
        <v/>
      </c>
      <c r="X3495" s="811" t="str">
        <f t="shared" si="217"/>
        <v/>
      </c>
      <c r="AJ3495" s="865"/>
    </row>
    <row r="3496" spans="13:36">
      <c r="M3496" s="811" t="str">
        <f t="shared" si="218"/>
        <v/>
      </c>
      <c r="X3496" s="811" t="str">
        <f t="shared" si="217"/>
        <v/>
      </c>
      <c r="AJ3496" s="865"/>
    </row>
    <row r="3497" spans="13:36">
      <c r="M3497" s="811" t="str">
        <f t="shared" si="218"/>
        <v/>
      </c>
      <c r="X3497" s="811" t="str">
        <f t="shared" si="217"/>
        <v/>
      </c>
      <c r="AJ3497" s="865"/>
    </row>
    <row r="3498" spans="13:36">
      <c r="M3498" s="811" t="str">
        <f t="shared" si="218"/>
        <v/>
      </c>
      <c r="X3498" s="811" t="str">
        <f t="shared" si="217"/>
        <v/>
      </c>
      <c r="AJ3498" s="865"/>
    </row>
    <row r="3499" spans="13:36">
      <c r="M3499" s="811" t="str">
        <f t="shared" si="218"/>
        <v/>
      </c>
      <c r="X3499" s="811" t="str">
        <f t="shared" si="217"/>
        <v/>
      </c>
      <c r="AJ3499" s="865"/>
    </row>
    <row r="3500" spans="13:36">
      <c r="M3500" s="811" t="str">
        <f t="shared" si="218"/>
        <v/>
      </c>
      <c r="X3500" s="811" t="str">
        <f t="shared" si="217"/>
        <v/>
      </c>
      <c r="AJ3500" s="865"/>
    </row>
    <row r="3501" spans="13:36">
      <c r="M3501" s="811" t="str">
        <f t="shared" si="218"/>
        <v/>
      </c>
      <c r="X3501" s="811" t="str">
        <f t="shared" si="217"/>
        <v/>
      </c>
      <c r="AJ3501" s="865"/>
    </row>
    <row r="3502" spans="13:36">
      <c r="M3502" s="811" t="str">
        <f t="shared" si="218"/>
        <v/>
      </c>
      <c r="X3502" s="811" t="str">
        <f t="shared" si="217"/>
        <v/>
      </c>
      <c r="AJ3502" s="865"/>
    </row>
    <row r="3503" spans="13:36">
      <c r="M3503" s="811" t="str">
        <f t="shared" si="218"/>
        <v/>
      </c>
      <c r="X3503" s="811" t="str">
        <f t="shared" si="217"/>
        <v/>
      </c>
      <c r="AJ3503" s="865"/>
    </row>
    <row r="3504" spans="13:36">
      <c r="M3504" s="811" t="str">
        <f t="shared" si="218"/>
        <v/>
      </c>
      <c r="X3504" s="811" t="str">
        <f t="shared" si="217"/>
        <v/>
      </c>
      <c r="AJ3504" s="865"/>
    </row>
    <row r="3505" spans="13:36">
      <c r="M3505" s="811" t="str">
        <f t="shared" si="218"/>
        <v/>
      </c>
      <c r="X3505" s="811" t="str">
        <f t="shared" si="217"/>
        <v/>
      </c>
      <c r="AJ3505" s="865"/>
    </row>
    <row r="3506" spans="13:36">
      <c r="M3506" s="811" t="str">
        <f t="shared" si="218"/>
        <v/>
      </c>
      <c r="X3506" s="811" t="str">
        <f t="shared" si="217"/>
        <v/>
      </c>
      <c r="AJ3506" s="865"/>
    </row>
    <row r="3507" spans="13:36">
      <c r="M3507" s="811" t="str">
        <f t="shared" si="218"/>
        <v/>
      </c>
      <c r="X3507" s="811" t="str">
        <f t="shared" ref="X3507:X3570" si="219">IF(ISBLANK(W3507)=TRUE,"",LOOKUP(W3507,GO:GP))</f>
        <v/>
      </c>
      <c r="AJ3507" s="865"/>
    </row>
    <row r="3508" spans="13:36">
      <c r="M3508" s="811" t="str">
        <f t="shared" si="218"/>
        <v/>
      </c>
      <c r="X3508" s="811" t="str">
        <f t="shared" si="219"/>
        <v/>
      </c>
      <c r="AJ3508" s="865"/>
    </row>
    <row r="3509" spans="13:36">
      <c r="M3509" s="811" t="str">
        <f t="shared" si="218"/>
        <v/>
      </c>
      <c r="X3509" s="811" t="str">
        <f t="shared" si="219"/>
        <v/>
      </c>
      <c r="AJ3509" s="865"/>
    </row>
    <row r="3510" spans="13:36">
      <c r="M3510" s="811" t="str">
        <f t="shared" si="218"/>
        <v/>
      </c>
      <c r="X3510" s="811" t="str">
        <f t="shared" si="219"/>
        <v/>
      </c>
      <c r="AJ3510" s="865"/>
    </row>
    <row r="3511" spans="13:36">
      <c r="M3511" s="811" t="str">
        <f t="shared" si="218"/>
        <v/>
      </c>
      <c r="X3511" s="811" t="str">
        <f t="shared" si="219"/>
        <v/>
      </c>
      <c r="AJ3511" s="865"/>
    </row>
    <row r="3512" spans="13:36">
      <c r="M3512" s="811" t="str">
        <f t="shared" si="218"/>
        <v/>
      </c>
      <c r="X3512" s="811" t="str">
        <f t="shared" si="219"/>
        <v/>
      </c>
      <c r="AJ3512" s="865"/>
    </row>
    <row r="3513" spans="13:36">
      <c r="M3513" s="811" t="str">
        <f t="shared" si="218"/>
        <v/>
      </c>
      <c r="X3513" s="811" t="str">
        <f t="shared" si="219"/>
        <v/>
      </c>
      <c r="AJ3513" s="865"/>
    </row>
    <row r="3514" spans="13:36">
      <c r="M3514" s="811" t="str">
        <f t="shared" si="218"/>
        <v/>
      </c>
      <c r="X3514" s="811" t="str">
        <f t="shared" si="219"/>
        <v/>
      </c>
      <c r="AJ3514" s="865"/>
    </row>
    <row r="3515" spans="13:36">
      <c r="M3515" s="811" t="str">
        <f t="shared" si="218"/>
        <v/>
      </c>
      <c r="X3515" s="811" t="str">
        <f t="shared" si="219"/>
        <v/>
      </c>
      <c r="AJ3515" s="865"/>
    </row>
    <row r="3516" spans="13:36">
      <c r="M3516" s="811" t="str">
        <f t="shared" si="218"/>
        <v/>
      </c>
      <c r="X3516" s="811" t="str">
        <f t="shared" si="219"/>
        <v/>
      </c>
      <c r="AJ3516" s="865"/>
    </row>
    <row r="3517" spans="13:36">
      <c r="M3517" s="811" t="str">
        <f t="shared" si="218"/>
        <v/>
      </c>
      <c r="X3517" s="811" t="str">
        <f t="shared" si="219"/>
        <v/>
      </c>
      <c r="AJ3517" s="865"/>
    </row>
    <row r="3518" spans="13:36">
      <c r="M3518" s="811" t="str">
        <f t="shared" si="218"/>
        <v/>
      </c>
      <c r="X3518" s="811" t="str">
        <f t="shared" si="219"/>
        <v/>
      </c>
      <c r="AJ3518" s="865"/>
    </row>
    <row r="3519" spans="13:36">
      <c r="M3519" s="811" t="str">
        <f t="shared" si="218"/>
        <v/>
      </c>
      <c r="X3519" s="811" t="str">
        <f t="shared" si="219"/>
        <v/>
      </c>
      <c r="AJ3519" s="865"/>
    </row>
    <row r="3520" spans="13:36">
      <c r="M3520" s="811" t="str">
        <f t="shared" si="218"/>
        <v/>
      </c>
      <c r="X3520" s="811" t="str">
        <f t="shared" si="219"/>
        <v/>
      </c>
      <c r="AJ3520" s="865"/>
    </row>
    <row r="3521" spans="13:36">
      <c r="M3521" s="811" t="str">
        <f t="shared" si="218"/>
        <v/>
      </c>
      <c r="X3521" s="811" t="str">
        <f t="shared" si="219"/>
        <v/>
      </c>
      <c r="AJ3521" s="865"/>
    </row>
    <row r="3522" spans="13:36">
      <c r="M3522" s="811" t="str">
        <f t="shared" si="218"/>
        <v/>
      </c>
      <c r="X3522" s="811" t="str">
        <f t="shared" si="219"/>
        <v/>
      </c>
      <c r="AJ3522" s="865"/>
    </row>
    <row r="3523" spans="13:36">
      <c r="M3523" s="811" t="str">
        <f t="shared" si="218"/>
        <v/>
      </c>
      <c r="X3523" s="811" t="str">
        <f t="shared" si="219"/>
        <v/>
      </c>
      <c r="AJ3523" s="865"/>
    </row>
    <row r="3524" spans="13:36">
      <c r="M3524" s="811" t="str">
        <f t="shared" si="218"/>
        <v/>
      </c>
      <c r="X3524" s="811" t="str">
        <f t="shared" si="219"/>
        <v/>
      </c>
      <c r="AJ3524" s="865"/>
    </row>
    <row r="3525" spans="13:36">
      <c r="M3525" s="811" t="str">
        <f t="shared" si="218"/>
        <v/>
      </c>
      <c r="X3525" s="811" t="str">
        <f t="shared" si="219"/>
        <v/>
      </c>
      <c r="AJ3525" s="865"/>
    </row>
    <row r="3526" spans="13:36">
      <c r="M3526" s="811" t="str">
        <f t="shared" si="218"/>
        <v/>
      </c>
      <c r="X3526" s="811" t="str">
        <f t="shared" si="219"/>
        <v/>
      </c>
      <c r="AJ3526" s="865"/>
    </row>
    <row r="3527" spans="13:36">
      <c r="M3527" s="811" t="str">
        <f t="shared" si="218"/>
        <v/>
      </c>
      <c r="X3527" s="811" t="str">
        <f t="shared" si="219"/>
        <v/>
      </c>
      <c r="AJ3527" s="865"/>
    </row>
    <row r="3528" spans="13:36">
      <c r="M3528" s="811" t="str">
        <f t="shared" si="218"/>
        <v/>
      </c>
      <c r="X3528" s="811" t="str">
        <f t="shared" si="219"/>
        <v/>
      </c>
      <c r="AJ3528" s="865"/>
    </row>
    <row r="3529" spans="13:36">
      <c r="M3529" s="811" t="str">
        <f t="shared" si="218"/>
        <v/>
      </c>
      <c r="X3529" s="811" t="str">
        <f t="shared" si="219"/>
        <v/>
      </c>
      <c r="AJ3529" s="865"/>
    </row>
    <row r="3530" spans="13:36">
      <c r="M3530" s="811" t="str">
        <f t="shared" si="218"/>
        <v/>
      </c>
      <c r="X3530" s="811" t="str">
        <f t="shared" si="219"/>
        <v/>
      </c>
      <c r="AJ3530" s="865"/>
    </row>
    <row r="3531" spans="13:36">
      <c r="M3531" s="811" t="str">
        <f t="shared" si="218"/>
        <v/>
      </c>
      <c r="X3531" s="811" t="str">
        <f t="shared" si="219"/>
        <v/>
      </c>
      <c r="AJ3531" s="865"/>
    </row>
    <row r="3532" spans="13:36">
      <c r="M3532" s="811" t="str">
        <f t="shared" ref="M3532:M3595" si="220">IF(ISBLANK(L3532)=TRUE,"",LOOKUP(L3532,GQ:GR))</f>
        <v/>
      </c>
      <c r="X3532" s="811" t="str">
        <f t="shared" si="219"/>
        <v/>
      </c>
      <c r="AJ3532" s="865"/>
    </row>
    <row r="3533" spans="13:36">
      <c r="M3533" s="811" t="str">
        <f t="shared" si="220"/>
        <v/>
      </c>
      <c r="X3533" s="811" t="str">
        <f t="shared" si="219"/>
        <v/>
      </c>
      <c r="AJ3533" s="865"/>
    </row>
    <row r="3534" spans="13:36">
      <c r="M3534" s="811" t="str">
        <f t="shared" si="220"/>
        <v/>
      </c>
      <c r="X3534" s="811" t="str">
        <f t="shared" si="219"/>
        <v/>
      </c>
      <c r="AJ3534" s="865"/>
    </row>
    <row r="3535" spans="13:36">
      <c r="M3535" s="811" t="str">
        <f t="shared" si="220"/>
        <v/>
      </c>
      <c r="X3535" s="811" t="str">
        <f t="shared" si="219"/>
        <v/>
      </c>
      <c r="AJ3535" s="865"/>
    </row>
    <row r="3536" spans="13:36">
      <c r="M3536" s="811" t="str">
        <f t="shared" si="220"/>
        <v/>
      </c>
      <c r="X3536" s="811" t="str">
        <f t="shared" si="219"/>
        <v/>
      </c>
      <c r="AJ3536" s="865"/>
    </row>
    <row r="3537" spans="13:36">
      <c r="M3537" s="811" t="str">
        <f t="shared" si="220"/>
        <v/>
      </c>
      <c r="X3537" s="811" t="str">
        <f t="shared" si="219"/>
        <v/>
      </c>
      <c r="AJ3537" s="865"/>
    </row>
    <row r="3538" spans="13:36">
      <c r="M3538" s="811" t="str">
        <f t="shared" si="220"/>
        <v/>
      </c>
      <c r="X3538" s="811" t="str">
        <f t="shared" si="219"/>
        <v/>
      </c>
      <c r="AJ3538" s="865"/>
    </row>
    <row r="3539" spans="13:36">
      <c r="M3539" s="811" t="str">
        <f t="shared" si="220"/>
        <v/>
      </c>
      <c r="X3539" s="811" t="str">
        <f t="shared" si="219"/>
        <v/>
      </c>
      <c r="AJ3539" s="865"/>
    </row>
    <row r="3540" spans="13:36">
      <c r="M3540" s="811" t="str">
        <f t="shared" si="220"/>
        <v/>
      </c>
      <c r="X3540" s="811" t="str">
        <f t="shared" si="219"/>
        <v/>
      </c>
      <c r="AJ3540" s="865"/>
    </row>
    <row r="3541" spans="13:36">
      <c r="M3541" s="811" t="str">
        <f t="shared" si="220"/>
        <v/>
      </c>
      <c r="X3541" s="811" t="str">
        <f t="shared" si="219"/>
        <v/>
      </c>
      <c r="AJ3541" s="865"/>
    </row>
    <row r="3542" spans="13:36">
      <c r="M3542" s="811" t="str">
        <f t="shared" si="220"/>
        <v/>
      </c>
      <c r="X3542" s="811" t="str">
        <f t="shared" si="219"/>
        <v/>
      </c>
      <c r="AJ3542" s="865"/>
    </row>
    <row r="3543" spans="13:36">
      <c r="M3543" s="811" t="str">
        <f t="shared" si="220"/>
        <v/>
      </c>
      <c r="X3543" s="811" t="str">
        <f t="shared" si="219"/>
        <v/>
      </c>
      <c r="AJ3543" s="865"/>
    </row>
    <row r="3544" spans="13:36">
      <c r="M3544" s="811" t="str">
        <f t="shared" si="220"/>
        <v/>
      </c>
      <c r="X3544" s="811" t="str">
        <f t="shared" si="219"/>
        <v/>
      </c>
      <c r="AJ3544" s="865"/>
    </row>
    <row r="3545" spans="13:36">
      <c r="M3545" s="811" t="str">
        <f t="shared" si="220"/>
        <v/>
      </c>
      <c r="X3545" s="811" t="str">
        <f t="shared" si="219"/>
        <v/>
      </c>
      <c r="AJ3545" s="865"/>
    </row>
    <row r="3546" spans="13:36">
      <c r="M3546" s="811" t="str">
        <f t="shared" si="220"/>
        <v/>
      </c>
      <c r="X3546" s="811" t="str">
        <f t="shared" si="219"/>
        <v/>
      </c>
      <c r="AJ3546" s="865"/>
    </row>
    <row r="3547" spans="13:36">
      <c r="M3547" s="811" t="str">
        <f t="shared" si="220"/>
        <v/>
      </c>
      <c r="X3547" s="811" t="str">
        <f t="shared" si="219"/>
        <v/>
      </c>
      <c r="AJ3547" s="865"/>
    </row>
    <row r="3548" spans="13:36">
      <c r="M3548" s="811" t="str">
        <f t="shared" si="220"/>
        <v/>
      </c>
      <c r="X3548" s="811" t="str">
        <f t="shared" si="219"/>
        <v/>
      </c>
      <c r="AJ3548" s="865"/>
    </row>
    <row r="3549" spans="13:36">
      <c r="M3549" s="811" t="str">
        <f t="shared" si="220"/>
        <v/>
      </c>
      <c r="X3549" s="811" t="str">
        <f t="shared" si="219"/>
        <v/>
      </c>
      <c r="AJ3549" s="865"/>
    </row>
    <row r="3550" spans="13:36">
      <c r="M3550" s="811" t="str">
        <f t="shared" si="220"/>
        <v/>
      </c>
      <c r="X3550" s="811" t="str">
        <f t="shared" si="219"/>
        <v/>
      </c>
      <c r="AJ3550" s="865"/>
    </row>
    <row r="3551" spans="13:36">
      <c r="M3551" s="811" t="str">
        <f t="shared" si="220"/>
        <v/>
      </c>
      <c r="X3551" s="811" t="str">
        <f t="shared" si="219"/>
        <v/>
      </c>
      <c r="AJ3551" s="865"/>
    </row>
    <row r="3552" spans="13:36">
      <c r="M3552" s="811" t="str">
        <f t="shared" si="220"/>
        <v/>
      </c>
      <c r="X3552" s="811" t="str">
        <f t="shared" si="219"/>
        <v/>
      </c>
      <c r="AJ3552" s="865"/>
    </row>
    <row r="3553" spans="13:36">
      <c r="M3553" s="811" t="str">
        <f t="shared" si="220"/>
        <v/>
      </c>
      <c r="X3553" s="811" t="str">
        <f t="shared" si="219"/>
        <v/>
      </c>
      <c r="AJ3553" s="865"/>
    </row>
    <row r="3554" spans="13:36">
      <c r="M3554" s="811" t="str">
        <f t="shared" si="220"/>
        <v/>
      </c>
      <c r="X3554" s="811" t="str">
        <f t="shared" si="219"/>
        <v/>
      </c>
      <c r="AJ3554" s="865"/>
    </row>
    <row r="3555" spans="13:36">
      <c r="M3555" s="811" t="str">
        <f t="shared" si="220"/>
        <v/>
      </c>
      <c r="X3555" s="811" t="str">
        <f t="shared" si="219"/>
        <v/>
      </c>
      <c r="AJ3555" s="865"/>
    </row>
    <row r="3556" spans="13:36">
      <c r="M3556" s="811" t="str">
        <f t="shared" si="220"/>
        <v/>
      </c>
      <c r="X3556" s="811" t="str">
        <f t="shared" si="219"/>
        <v/>
      </c>
      <c r="AJ3556" s="865"/>
    </row>
    <row r="3557" spans="13:36">
      <c r="M3557" s="811" t="str">
        <f t="shared" si="220"/>
        <v/>
      </c>
      <c r="X3557" s="811" t="str">
        <f t="shared" si="219"/>
        <v/>
      </c>
      <c r="AJ3557" s="865"/>
    </row>
    <row r="3558" spans="13:36">
      <c r="M3558" s="811" t="str">
        <f t="shared" si="220"/>
        <v/>
      </c>
      <c r="X3558" s="811" t="str">
        <f t="shared" si="219"/>
        <v/>
      </c>
      <c r="AJ3558" s="865"/>
    </row>
    <row r="3559" spans="13:36">
      <c r="M3559" s="811" t="str">
        <f t="shared" si="220"/>
        <v/>
      </c>
      <c r="X3559" s="811" t="str">
        <f t="shared" si="219"/>
        <v/>
      </c>
      <c r="AJ3559" s="865"/>
    </row>
    <row r="3560" spans="13:36">
      <c r="M3560" s="811" t="str">
        <f t="shared" si="220"/>
        <v/>
      </c>
      <c r="X3560" s="811" t="str">
        <f t="shared" si="219"/>
        <v/>
      </c>
      <c r="AJ3560" s="865"/>
    </row>
    <row r="3561" spans="13:36">
      <c r="M3561" s="811" t="str">
        <f t="shared" si="220"/>
        <v/>
      </c>
      <c r="X3561" s="811" t="str">
        <f t="shared" si="219"/>
        <v/>
      </c>
      <c r="AJ3561" s="865"/>
    </row>
    <row r="3562" spans="13:36">
      <c r="M3562" s="811" t="str">
        <f t="shared" si="220"/>
        <v/>
      </c>
      <c r="X3562" s="811" t="str">
        <f t="shared" si="219"/>
        <v/>
      </c>
      <c r="AJ3562" s="865"/>
    </row>
    <row r="3563" spans="13:36">
      <c r="M3563" s="811" t="str">
        <f t="shared" si="220"/>
        <v/>
      </c>
      <c r="X3563" s="811" t="str">
        <f t="shared" si="219"/>
        <v/>
      </c>
      <c r="AJ3563" s="865"/>
    </row>
    <row r="3564" spans="13:36">
      <c r="M3564" s="811" t="str">
        <f t="shared" si="220"/>
        <v/>
      </c>
      <c r="X3564" s="811" t="str">
        <f t="shared" si="219"/>
        <v/>
      </c>
      <c r="AJ3564" s="865"/>
    </row>
    <row r="3565" spans="13:36">
      <c r="M3565" s="811" t="str">
        <f t="shared" si="220"/>
        <v/>
      </c>
      <c r="X3565" s="811" t="str">
        <f t="shared" si="219"/>
        <v/>
      </c>
      <c r="AJ3565" s="865"/>
    </row>
    <row r="3566" spans="13:36">
      <c r="M3566" s="811" t="str">
        <f t="shared" si="220"/>
        <v/>
      </c>
      <c r="X3566" s="811" t="str">
        <f t="shared" si="219"/>
        <v/>
      </c>
      <c r="AJ3566" s="865"/>
    </row>
    <row r="3567" spans="13:36">
      <c r="M3567" s="811" t="str">
        <f t="shared" si="220"/>
        <v/>
      </c>
      <c r="X3567" s="811" t="str">
        <f t="shared" si="219"/>
        <v/>
      </c>
      <c r="AJ3567" s="865"/>
    </row>
    <row r="3568" spans="13:36">
      <c r="M3568" s="811" t="str">
        <f t="shared" si="220"/>
        <v/>
      </c>
      <c r="X3568" s="811" t="str">
        <f t="shared" si="219"/>
        <v/>
      </c>
      <c r="AJ3568" s="865"/>
    </row>
    <row r="3569" spans="13:36">
      <c r="M3569" s="811" t="str">
        <f t="shared" si="220"/>
        <v/>
      </c>
      <c r="X3569" s="811" t="str">
        <f t="shared" si="219"/>
        <v/>
      </c>
      <c r="AJ3569" s="865"/>
    </row>
    <row r="3570" spans="13:36">
      <c r="M3570" s="811" t="str">
        <f t="shared" si="220"/>
        <v/>
      </c>
      <c r="X3570" s="811" t="str">
        <f t="shared" si="219"/>
        <v/>
      </c>
      <c r="AJ3570" s="865"/>
    </row>
    <row r="3571" spans="13:36">
      <c r="M3571" s="811" t="str">
        <f t="shared" si="220"/>
        <v/>
      </c>
      <c r="X3571" s="811" t="str">
        <f t="shared" ref="X3571:X3634" si="221">IF(ISBLANK(W3571)=TRUE,"",LOOKUP(W3571,GO:GP))</f>
        <v/>
      </c>
      <c r="AJ3571" s="865"/>
    </row>
    <row r="3572" spans="13:36">
      <c r="M3572" s="811" t="str">
        <f t="shared" si="220"/>
        <v/>
      </c>
      <c r="X3572" s="811" t="str">
        <f t="shared" si="221"/>
        <v/>
      </c>
      <c r="AJ3572" s="865"/>
    </row>
    <row r="3573" spans="13:36">
      <c r="M3573" s="811" t="str">
        <f t="shared" si="220"/>
        <v/>
      </c>
      <c r="X3573" s="811" t="str">
        <f t="shared" si="221"/>
        <v/>
      </c>
      <c r="AJ3573" s="865"/>
    </row>
    <row r="3574" spans="13:36">
      <c r="M3574" s="811" t="str">
        <f t="shared" si="220"/>
        <v/>
      </c>
      <c r="X3574" s="811" t="str">
        <f t="shared" si="221"/>
        <v/>
      </c>
      <c r="AJ3574" s="865"/>
    </row>
    <row r="3575" spans="13:36">
      <c r="M3575" s="811" t="str">
        <f t="shared" si="220"/>
        <v/>
      </c>
      <c r="X3575" s="811" t="str">
        <f t="shared" si="221"/>
        <v/>
      </c>
      <c r="AJ3575" s="865"/>
    </row>
    <row r="3576" spans="13:36">
      <c r="M3576" s="811" t="str">
        <f t="shared" si="220"/>
        <v/>
      </c>
      <c r="X3576" s="811" t="str">
        <f t="shared" si="221"/>
        <v/>
      </c>
      <c r="AJ3576" s="865"/>
    </row>
    <row r="3577" spans="13:36">
      <c r="M3577" s="811" t="str">
        <f t="shared" si="220"/>
        <v/>
      </c>
      <c r="X3577" s="811" t="str">
        <f t="shared" si="221"/>
        <v/>
      </c>
      <c r="AJ3577" s="865"/>
    </row>
    <row r="3578" spans="13:36">
      <c r="M3578" s="811" t="str">
        <f t="shared" si="220"/>
        <v/>
      </c>
      <c r="X3578" s="811" t="str">
        <f t="shared" si="221"/>
        <v/>
      </c>
      <c r="AJ3578" s="865"/>
    </row>
    <row r="3579" spans="13:36">
      <c r="M3579" s="811" t="str">
        <f t="shared" si="220"/>
        <v/>
      </c>
      <c r="X3579" s="811" t="str">
        <f t="shared" si="221"/>
        <v/>
      </c>
      <c r="AJ3579" s="865"/>
    </row>
    <row r="3580" spans="13:36">
      <c r="M3580" s="811" t="str">
        <f t="shared" si="220"/>
        <v/>
      </c>
      <c r="X3580" s="811" t="str">
        <f t="shared" si="221"/>
        <v/>
      </c>
      <c r="AJ3580" s="865"/>
    </row>
    <row r="3581" spans="13:36">
      <c r="M3581" s="811" t="str">
        <f t="shared" si="220"/>
        <v/>
      </c>
      <c r="X3581" s="811" t="str">
        <f t="shared" si="221"/>
        <v/>
      </c>
      <c r="AJ3581" s="865"/>
    </row>
    <row r="3582" spans="13:36">
      <c r="M3582" s="811" t="str">
        <f t="shared" si="220"/>
        <v/>
      </c>
      <c r="X3582" s="811" t="str">
        <f t="shared" si="221"/>
        <v/>
      </c>
      <c r="AJ3582" s="865"/>
    </row>
    <row r="3583" spans="13:36">
      <c r="M3583" s="811" t="str">
        <f t="shared" si="220"/>
        <v/>
      </c>
      <c r="X3583" s="811" t="str">
        <f t="shared" si="221"/>
        <v/>
      </c>
      <c r="AJ3583" s="865"/>
    </row>
    <row r="3584" spans="13:36">
      <c r="M3584" s="811" t="str">
        <f t="shared" si="220"/>
        <v/>
      </c>
      <c r="X3584" s="811" t="str">
        <f t="shared" si="221"/>
        <v/>
      </c>
      <c r="AJ3584" s="865"/>
    </row>
    <row r="3585" spans="13:36">
      <c r="M3585" s="811" t="str">
        <f t="shared" si="220"/>
        <v/>
      </c>
      <c r="X3585" s="811" t="str">
        <f t="shared" si="221"/>
        <v/>
      </c>
      <c r="AJ3585" s="865"/>
    </row>
    <row r="3586" spans="13:36">
      <c r="M3586" s="811" t="str">
        <f t="shared" si="220"/>
        <v/>
      </c>
      <c r="X3586" s="811" t="str">
        <f t="shared" si="221"/>
        <v/>
      </c>
      <c r="AJ3586" s="865"/>
    </row>
    <row r="3587" spans="13:36">
      <c r="M3587" s="811" t="str">
        <f t="shared" si="220"/>
        <v/>
      </c>
      <c r="X3587" s="811" t="str">
        <f t="shared" si="221"/>
        <v/>
      </c>
      <c r="AJ3587" s="865"/>
    </row>
    <row r="3588" spans="13:36">
      <c r="M3588" s="811" t="str">
        <f t="shared" si="220"/>
        <v/>
      </c>
      <c r="X3588" s="811" t="str">
        <f t="shared" si="221"/>
        <v/>
      </c>
      <c r="AJ3588" s="865"/>
    </row>
    <row r="3589" spans="13:36">
      <c r="M3589" s="811" t="str">
        <f t="shared" si="220"/>
        <v/>
      </c>
      <c r="X3589" s="811" t="str">
        <f t="shared" si="221"/>
        <v/>
      </c>
      <c r="AJ3589" s="865"/>
    </row>
    <row r="3590" spans="13:36">
      <c r="M3590" s="811" t="str">
        <f t="shared" si="220"/>
        <v/>
      </c>
      <c r="X3590" s="811" t="str">
        <f t="shared" si="221"/>
        <v/>
      </c>
      <c r="AJ3590" s="865"/>
    </row>
    <row r="3591" spans="13:36">
      <c r="M3591" s="811" t="str">
        <f t="shared" si="220"/>
        <v/>
      </c>
      <c r="X3591" s="811" t="str">
        <f t="shared" si="221"/>
        <v/>
      </c>
      <c r="AJ3591" s="865"/>
    </row>
    <row r="3592" spans="13:36">
      <c r="M3592" s="811" t="str">
        <f t="shared" si="220"/>
        <v/>
      </c>
      <c r="X3592" s="811" t="str">
        <f t="shared" si="221"/>
        <v/>
      </c>
      <c r="AJ3592" s="865"/>
    </row>
    <row r="3593" spans="13:36">
      <c r="M3593" s="811" t="str">
        <f t="shared" si="220"/>
        <v/>
      </c>
      <c r="X3593" s="811" t="str">
        <f t="shared" si="221"/>
        <v/>
      </c>
      <c r="AJ3593" s="865"/>
    </row>
    <row r="3594" spans="13:36">
      <c r="M3594" s="811" t="str">
        <f t="shared" si="220"/>
        <v/>
      </c>
      <c r="X3594" s="811" t="str">
        <f t="shared" si="221"/>
        <v/>
      </c>
      <c r="AJ3594" s="865"/>
    </row>
    <row r="3595" spans="13:36">
      <c r="M3595" s="811" t="str">
        <f t="shared" si="220"/>
        <v/>
      </c>
      <c r="X3595" s="811" t="str">
        <f t="shared" si="221"/>
        <v/>
      </c>
      <c r="AJ3595" s="865"/>
    </row>
    <row r="3596" spans="13:36">
      <c r="M3596" s="811" t="str">
        <f t="shared" ref="M3596:M3659" si="222">IF(ISBLANK(L3596)=TRUE,"",LOOKUP(L3596,GQ:GR))</f>
        <v/>
      </c>
      <c r="X3596" s="811" t="str">
        <f t="shared" si="221"/>
        <v/>
      </c>
      <c r="AJ3596" s="865"/>
    </row>
    <row r="3597" spans="13:36">
      <c r="M3597" s="811" t="str">
        <f t="shared" si="222"/>
        <v/>
      </c>
      <c r="X3597" s="811" t="str">
        <f t="shared" si="221"/>
        <v/>
      </c>
      <c r="AJ3597" s="865"/>
    </row>
    <row r="3598" spans="13:36">
      <c r="M3598" s="811" t="str">
        <f t="shared" si="222"/>
        <v/>
      </c>
      <c r="X3598" s="811" t="str">
        <f t="shared" si="221"/>
        <v/>
      </c>
      <c r="AJ3598" s="865"/>
    </row>
    <row r="3599" spans="13:36">
      <c r="M3599" s="811" t="str">
        <f t="shared" si="222"/>
        <v/>
      </c>
      <c r="X3599" s="811" t="str">
        <f t="shared" si="221"/>
        <v/>
      </c>
      <c r="AJ3599" s="865"/>
    </row>
    <row r="3600" spans="13:36">
      <c r="M3600" s="811" t="str">
        <f t="shared" si="222"/>
        <v/>
      </c>
      <c r="X3600" s="811" t="str">
        <f t="shared" si="221"/>
        <v/>
      </c>
      <c r="AJ3600" s="865"/>
    </row>
    <row r="3601" spans="13:36">
      <c r="M3601" s="811" t="str">
        <f t="shared" si="222"/>
        <v/>
      </c>
      <c r="X3601" s="811" t="str">
        <f t="shared" si="221"/>
        <v/>
      </c>
      <c r="AJ3601" s="865"/>
    </row>
    <row r="3602" spans="13:36">
      <c r="M3602" s="811" t="str">
        <f t="shared" si="222"/>
        <v/>
      </c>
      <c r="X3602" s="811" t="str">
        <f t="shared" si="221"/>
        <v/>
      </c>
      <c r="AJ3602" s="865"/>
    </row>
    <row r="3603" spans="13:36">
      <c r="M3603" s="811" t="str">
        <f t="shared" si="222"/>
        <v/>
      </c>
      <c r="X3603" s="811" t="str">
        <f t="shared" si="221"/>
        <v/>
      </c>
      <c r="AJ3603" s="865"/>
    </row>
    <row r="3604" spans="13:36">
      <c r="M3604" s="811" t="str">
        <f t="shared" si="222"/>
        <v/>
      </c>
      <c r="X3604" s="811" t="str">
        <f t="shared" si="221"/>
        <v/>
      </c>
      <c r="AJ3604" s="865"/>
    </row>
    <row r="3605" spans="13:36">
      <c r="M3605" s="811" t="str">
        <f t="shared" si="222"/>
        <v/>
      </c>
      <c r="X3605" s="811" t="str">
        <f t="shared" si="221"/>
        <v/>
      </c>
      <c r="AJ3605" s="865"/>
    </row>
    <row r="3606" spans="13:36">
      <c r="M3606" s="811" t="str">
        <f t="shared" si="222"/>
        <v/>
      </c>
      <c r="X3606" s="811" t="str">
        <f t="shared" si="221"/>
        <v/>
      </c>
      <c r="AJ3606" s="865"/>
    </row>
    <row r="3607" spans="13:36">
      <c r="M3607" s="811" t="str">
        <f t="shared" si="222"/>
        <v/>
      </c>
      <c r="X3607" s="811" t="str">
        <f t="shared" si="221"/>
        <v/>
      </c>
      <c r="AJ3607" s="865"/>
    </row>
    <row r="3608" spans="13:36">
      <c r="M3608" s="811" t="str">
        <f t="shared" si="222"/>
        <v/>
      </c>
      <c r="X3608" s="811" t="str">
        <f t="shared" si="221"/>
        <v/>
      </c>
      <c r="AJ3608" s="865"/>
    </row>
    <row r="3609" spans="13:36">
      <c r="M3609" s="811" t="str">
        <f t="shared" si="222"/>
        <v/>
      </c>
      <c r="X3609" s="811" t="str">
        <f t="shared" si="221"/>
        <v/>
      </c>
      <c r="AJ3609" s="865"/>
    </row>
    <row r="3610" spans="13:36">
      <c r="M3610" s="811" t="str">
        <f t="shared" si="222"/>
        <v/>
      </c>
      <c r="X3610" s="811" t="str">
        <f t="shared" si="221"/>
        <v/>
      </c>
      <c r="AJ3610" s="865"/>
    </row>
    <row r="3611" spans="13:36">
      <c r="M3611" s="811" t="str">
        <f t="shared" si="222"/>
        <v/>
      </c>
      <c r="X3611" s="811" t="str">
        <f t="shared" si="221"/>
        <v/>
      </c>
      <c r="AJ3611" s="865"/>
    </row>
    <row r="3612" spans="13:36">
      <c r="M3612" s="811" t="str">
        <f t="shared" si="222"/>
        <v/>
      </c>
      <c r="X3612" s="811" t="str">
        <f t="shared" si="221"/>
        <v/>
      </c>
      <c r="AJ3612" s="865"/>
    </row>
    <row r="3613" spans="13:36">
      <c r="M3613" s="811" t="str">
        <f t="shared" si="222"/>
        <v/>
      </c>
      <c r="X3613" s="811" t="str">
        <f t="shared" si="221"/>
        <v/>
      </c>
      <c r="AJ3613" s="865"/>
    </row>
    <row r="3614" spans="13:36">
      <c r="M3614" s="811" t="str">
        <f t="shared" si="222"/>
        <v/>
      </c>
      <c r="X3614" s="811" t="str">
        <f t="shared" si="221"/>
        <v/>
      </c>
      <c r="AJ3614" s="865"/>
    </row>
    <row r="3615" spans="13:36">
      <c r="M3615" s="811" t="str">
        <f t="shared" si="222"/>
        <v/>
      </c>
      <c r="X3615" s="811" t="str">
        <f t="shared" si="221"/>
        <v/>
      </c>
      <c r="AJ3615" s="865"/>
    </row>
    <row r="3616" spans="13:36">
      <c r="M3616" s="811" t="str">
        <f t="shared" si="222"/>
        <v/>
      </c>
      <c r="X3616" s="811" t="str">
        <f t="shared" si="221"/>
        <v/>
      </c>
      <c r="AJ3616" s="865"/>
    </row>
    <row r="3617" spans="13:36">
      <c r="M3617" s="811" t="str">
        <f t="shared" si="222"/>
        <v/>
      </c>
      <c r="X3617" s="811" t="str">
        <f t="shared" si="221"/>
        <v/>
      </c>
      <c r="AJ3617" s="865"/>
    </row>
    <row r="3618" spans="13:36">
      <c r="M3618" s="811" t="str">
        <f t="shared" si="222"/>
        <v/>
      </c>
      <c r="X3618" s="811" t="str">
        <f t="shared" si="221"/>
        <v/>
      </c>
      <c r="AJ3618" s="865"/>
    </row>
    <row r="3619" spans="13:36">
      <c r="M3619" s="811" t="str">
        <f t="shared" si="222"/>
        <v/>
      </c>
      <c r="X3619" s="811" t="str">
        <f t="shared" si="221"/>
        <v/>
      </c>
      <c r="AJ3619" s="865"/>
    </row>
    <row r="3620" spans="13:36">
      <c r="M3620" s="811" t="str">
        <f t="shared" si="222"/>
        <v/>
      </c>
      <c r="X3620" s="811" t="str">
        <f t="shared" si="221"/>
        <v/>
      </c>
      <c r="AJ3620" s="865"/>
    </row>
    <row r="3621" spans="13:36">
      <c r="M3621" s="811" t="str">
        <f t="shared" si="222"/>
        <v/>
      </c>
      <c r="X3621" s="811" t="str">
        <f t="shared" si="221"/>
        <v/>
      </c>
      <c r="AJ3621" s="865"/>
    </row>
    <row r="3622" spans="13:36">
      <c r="M3622" s="811" t="str">
        <f t="shared" si="222"/>
        <v/>
      </c>
      <c r="X3622" s="811" t="str">
        <f t="shared" si="221"/>
        <v/>
      </c>
      <c r="AJ3622" s="865"/>
    </row>
    <row r="3623" spans="13:36">
      <c r="M3623" s="811" t="str">
        <f t="shared" si="222"/>
        <v/>
      </c>
      <c r="X3623" s="811" t="str">
        <f t="shared" si="221"/>
        <v/>
      </c>
      <c r="AJ3623" s="865"/>
    </row>
    <row r="3624" spans="13:36">
      <c r="M3624" s="811" t="str">
        <f t="shared" si="222"/>
        <v/>
      </c>
      <c r="X3624" s="811" t="str">
        <f t="shared" si="221"/>
        <v/>
      </c>
      <c r="AJ3624" s="865"/>
    </row>
    <row r="3625" spans="13:36">
      <c r="M3625" s="811" t="str">
        <f t="shared" si="222"/>
        <v/>
      </c>
      <c r="X3625" s="811" t="str">
        <f t="shared" si="221"/>
        <v/>
      </c>
      <c r="AJ3625" s="865"/>
    </row>
    <row r="3626" spans="13:36">
      <c r="M3626" s="811" t="str">
        <f t="shared" si="222"/>
        <v/>
      </c>
      <c r="X3626" s="811" t="str">
        <f t="shared" si="221"/>
        <v/>
      </c>
      <c r="AJ3626" s="865"/>
    </row>
    <row r="3627" spans="13:36">
      <c r="M3627" s="811" t="str">
        <f t="shared" si="222"/>
        <v/>
      </c>
      <c r="X3627" s="811" t="str">
        <f t="shared" si="221"/>
        <v/>
      </c>
      <c r="AJ3627" s="865"/>
    </row>
    <row r="3628" spans="13:36">
      <c r="M3628" s="811" t="str">
        <f t="shared" si="222"/>
        <v/>
      </c>
      <c r="X3628" s="811" t="str">
        <f t="shared" si="221"/>
        <v/>
      </c>
      <c r="AJ3628" s="865"/>
    </row>
    <row r="3629" spans="13:36">
      <c r="M3629" s="811" t="str">
        <f t="shared" si="222"/>
        <v/>
      </c>
      <c r="X3629" s="811" t="str">
        <f t="shared" si="221"/>
        <v/>
      </c>
      <c r="AJ3629" s="865"/>
    </row>
    <row r="3630" spans="13:36">
      <c r="M3630" s="811" t="str">
        <f t="shared" si="222"/>
        <v/>
      </c>
      <c r="X3630" s="811" t="str">
        <f t="shared" si="221"/>
        <v/>
      </c>
      <c r="AJ3630" s="865"/>
    </row>
    <row r="3631" spans="13:36">
      <c r="M3631" s="811" t="str">
        <f t="shared" si="222"/>
        <v/>
      </c>
      <c r="X3631" s="811" t="str">
        <f t="shared" si="221"/>
        <v/>
      </c>
      <c r="AJ3631" s="865"/>
    </row>
    <row r="3632" spans="13:36">
      <c r="M3632" s="811" t="str">
        <f t="shared" si="222"/>
        <v/>
      </c>
      <c r="X3632" s="811" t="str">
        <f t="shared" si="221"/>
        <v/>
      </c>
      <c r="AJ3632" s="865"/>
    </row>
    <row r="3633" spans="13:36">
      <c r="M3633" s="811" t="str">
        <f t="shared" si="222"/>
        <v/>
      </c>
      <c r="X3633" s="811" t="str">
        <f t="shared" si="221"/>
        <v/>
      </c>
      <c r="AJ3633" s="865"/>
    </row>
    <row r="3634" spans="13:36">
      <c r="M3634" s="811" t="str">
        <f t="shared" si="222"/>
        <v/>
      </c>
      <c r="X3634" s="811" t="str">
        <f t="shared" si="221"/>
        <v/>
      </c>
      <c r="AJ3634" s="865"/>
    </row>
    <row r="3635" spans="13:36">
      <c r="M3635" s="811" t="str">
        <f t="shared" si="222"/>
        <v/>
      </c>
      <c r="X3635" s="811" t="str">
        <f t="shared" ref="X3635:X3698" si="223">IF(ISBLANK(W3635)=TRUE,"",LOOKUP(W3635,GO:GP))</f>
        <v/>
      </c>
      <c r="AJ3635" s="865"/>
    </row>
    <row r="3636" spans="13:36">
      <c r="M3636" s="811" t="str">
        <f t="shared" si="222"/>
        <v/>
      </c>
      <c r="X3636" s="811" t="str">
        <f t="shared" si="223"/>
        <v/>
      </c>
      <c r="AJ3636" s="865"/>
    </row>
    <row r="3637" spans="13:36">
      <c r="M3637" s="811" t="str">
        <f t="shared" si="222"/>
        <v/>
      </c>
      <c r="X3637" s="811" t="str">
        <f t="shared" si="223"/>
        <v/>
      </c>
      <c r="AJ3637" s="865"/>
    </row>
    <row r="3638" spans="13:36">
      <c r="M3638" s="811" t="str">
        <f t="shared" si="222"/>
        <v/>
      </c>
      <c r="X3638" s="811" t="str">
        <f t="shared" si="223"/>
        <v/>
      </c>
      <c r="AJ3638" s="865"/>
    </row>
    <row r="3639" spans="13:36">
      <c r="M3639" s="811" t="str">
        <f t="shared" si="222"/>
        <v/>
      </c>
      <c r="X3639" s="811" t="str">
        <f t="shared" si="223"/>
        <v/>
      </c>
      <c r="AJ3639" s="865"/>
    </row>
    <row r="3640" spans="13:36">
      <c r="M3640" s="811" t="str">
        <f t="shared" si="222"/>
        <v/>
      </c>
      <c r="X3640" s="811" t="str">
        <f t="shared" si="223"/>
        <v/>
      </c>
      <c r="AJ3640" s="865"/>
    </row>
    <row r="3641" spans="13:36">
      <c r="M3641" s="811" t="str">
        <f t="shared" si="222"/>
        <v/>
      </c>
      <c r="X3641" s="811" t="str">
        <f t="shared" si="223"/>
        <v/>
      </c>
      <c r="AJ3641" s="865"/>
    </row>
    <row r="3642" spans="13:36">
      <c r="M3642" s="811" t="str">
        <f t="shared" si="222"/>
        <v/>
      </c>
      <c r="X3642" s="811" t="str">
        <f t="shared" si="223"/>
        <v/>
      </c>
      <c r="AJ3642" s="865"/>
    </row>
    <row r="3643" spans="13:36">
      <c r="M3643" s="811" t="str">
        <f t="shared" si="222"/>
        <v/>
      </c>
      <c r="X3643" s="811" t="str">
        <f t="shared" si="223"/>
        <v/>
      </c>
      <c r="AJ3643" s="865"/>
    </row>
    <row r="3644" spans="13:36">
      <c r="M3644" s="811" t="str">
        <f t="shared" si="222"/>
        <v/>
      </c>
      <c r="X3644" s="811" t="str">
        <f t="shared" si="223"/>
        <v/>
      </c>
      <c r="AJ3644" s="865"/>
    </row>
    <row r="3645" spans="13:36">
      <c r="M3645" s="811" t="str">
        <f t="shared" si="222"/>
        <v/>
      </c>
      <c r="X3645" s="811" t="str">
        <f t="shared" si="223"/>
        <v/>
      </c>
      <c r="AJ3645" s="865"/>
    </row>
    <row r="3646" spans="13:36">
      <c r="M3646" s="811" t="str">
        <f t="shared" si="222"/>
        <v/>
      </c>
      <c r="X3646" s="811" t="str">
        <f t="shared" si="223"/>
        <v/>
      </c>
      <c r="AJ3646" s="865"/>
    </row>
    <row r="3647" spans="13:36">
      <c r="M3647" s="811" t="str">
        <f t="shared" si="222"/>
        <v/>
      </c>
      <c r="X3647" s="811" t="str">
        <f t="shared" si="223"/>
        <v/>
      </c>
      <c r="AJ3647" s="865"/>
    </row>
    <row r="3648" spans="13:36">
      <c r="M3648" s="811" t="str">
        <f t="shared" si="222"/>
        <v/>
      </c>
      <c r="X3648" s="811" t="str">
        <f t="shared" si="223"/>
        <v/>
      </c>
      <c r="AJ3648" s="865"/>
    </row>
    <row r="3649" spans="13:36">
      <c r="M3649" s="811" t="str">
        <f t="shared" si="222"/>
        <v/>
      </c>
      <c r="X3649" s="811" t="str">
        <f t="shared" si="223"/>
        <v/>
      </c>
      <c r="AJ3649" s="865"/>
    </row>
    <row r="3650" spans="13:36">
      <c r="M3650" s="811" t="str">
        <f t="shared" si="222"/>
        <v/>
      </c>
      <c r="X3650" s="811" t="str">
        <f t="shared" si="223"/>
        <v/>
      </c>
      <c r="AJ3650" s="865"/>
    </row>
    <row r="3651" spans="13:36">
      <c r="M3651" s="811" t="str">
        <f t="shared" si="222"/>
        <v/>
      </c>
      <c r="X3651" s="811" t="str">
        <f t="shared" si="223"/>
        <v/>
      </c>
      <c r="AJ3651" s="865"/>
    </row>
    <row r="3652" spans="13:36">
      <c r="M3652" s="811" t="str">
        <f t="shared" si="222"/>
        <v/>
      </c>
      <c r="X3652" s="811" t="str">
        <f t="shared" si="223"/>
        <v/>
      </c>
      <c r="AJ3652" s="865"/>
    </row>
    <row r="3653" spans="13:36">
      <c r="M3653" s="811" t="str">
        <f t="shared" si="222"/>
        <v/>
      </c>
      <c r="X3653" s="811" t="str">
        <f t="shared" si="223"/>
        <v/>
      </c>
      <c r="AJ3653" s="865"/>
    </row>
    <row r="3654" spans="13:36">
      <c r="M3654" s="811" t="str">
        <f t="shared" si="222"/>
        <v/>
      </c>
      <c r="X3654" s="811" t="str">
        <f t="shared" si="223"/>
        <v/>
      </c>
      <c r="AJ3654" s="865"/>
    </row>
    <row r="3655" spans="13:36">
      <c r="M3655" s="811" t="str">
        <f t="shared" si="222"/>
        <v/>
      </c>
      <c r="X3655" s="811" t="str">
        <f t="shared" si="223"/>
        <v/>
      </c>
      <c r="AJ3655" s="865"/>
    </row>
    <row r="3656" spans="13:36">
      <c r="M3656" s="811" t="str">
        <f t="shared" si="222"/>
        <v/>
      </c>
      <c r="X3656" s="811" t="str">
        <f t="shared" si="223"/>
        <v/>
      </c>
      <c r="AJ3656" s="865"/>
    </row>
    <row r="3657" spans="13:36">
      <c r="M3657" s="811" t="str">
        <f t="shared" si="222"/>
        <v/>
      </c>
      <c r="X3657" s="811" t="str">
        <f t="shared" si="223"/>
        <v/>
      </c>
      <c r="AJ3657" s="865"/>
    </row>
    <row r="3658" spans="13:36">
      <c r="M3658" s="811" t="str">
        <f t="shared" si="222"/>
        <v/>
      </c>
      <c r="X3658" s="811" t="str">
        <f t="shared" si="223"/>
        <v/>
      </c>
      <c r="AJ3658" s="865"/>
    </row>
    <row r="3659" spans="13:36">
      <c r="M3659" s="811" t="str">
        <f t="shared" si="222"/>
        <v/>
      </c>
      <c r="X3659" s="811" t="str">
        <f t="shared" si="223"/>
        <v/>
      </c>
      <c r="AJ3659" s="865"/>
    </row>
    <row r="3660" spans="13:36">
      <c r="M3660" s="811" t="str">
        <f t="shared" ref="M3660:M3723" si="224">IF(ISBLANK(L3660)=TRUE,"",LOOKUP(L3660,GQ:GR))</f>
        <v/>
      </c>
      <c r="X3660" s="811" t="str">
        <f t="shared" si="223"/>
        <v/>
      </c>
      <c r="AJ3660" s="865"/>
    </row>
    <row r="3661" spans="13:36">
      <c r="M3661" s="811" t="str">
        <f t="shared" si="224"/>
        <v/>
      </c>
      <c r="X3661" s="811" t="str">
        <f t="shared" si="223"/>
        <v/>
      </c>
      <c r="AJ3661" s="865"/>
    </row>
    <row r="3662" spans="13:36">
      <c r="M3662" s="811" t="str">
        <f t="shared" si="224"/>
        <v/>
      </c>
      <c r="X3662" s="811" t="str">
        <f t="shared" si="223"/>
        <v/>
      </c>
      <c r="AJ3662" s="865"/>
    </row>
    <row r="3663" spans="13:36">
      <c r="M3663" s="811" t="str">
        <f t="shared" si="224"/>
        <v/>
      </c>
      <c r="X3663" s="811" t="str">
        <f t="shared" si="223"/>
        <v/>
      </c>
      <c r="AJ3663" s="865"/>
    </row>
    <row r="3664" spans="13:36">
      <c r="M3664" s="811" t="str">
        <f t="shared" si="224"/>
        <v/>
      </c>
      <c r="X3664" s="811" t="str">
        <f t="shared" si="223"/>
        <v/>
      </c>
      <c r="AJ3664" s="865"/>
    </row>
    <row r="3665" spans="13:36">
      <c r="M3665" s="811" t="str">
        <f t="shared" si="224"/>
        <v/>
      </c>
      <c r="X3665" s="811" t="str">
        <f t="shared" si="223"/>
        <v/>
      </c>
      <c r="AJ3665" s="865"/>
    </row>
    <row r="3666" spans="13:36">
      <c r="M3666" s="811" t="str">
        <f t="shared" si="224"/>
        <v/>
      </c>
      <c r="X3666" s="811" t="str">
        <f t="shared" si="223"/>
        <v/>
      </c>
      <c r="AJ3666" s="865"/>
    </row>
    <row r="3667" spans="13:36">
      <c r="M3667" s="811" t="str">
        <f t="shared" si="224"/>
        <v/>
      </c>
      <c r="X3667" s="811" t="str">
        <f t="shared" si="223"/>
        <v/>
      </c>
      <c r="AJ3667" s="865"/>
    </row>
    <row r="3668" spans="13:36">
      <c r="M3668" s="811" t="str">
        <f t="shared" si="224"/>
        <v/>
      </c>
      <c r="X3668" s="811" t="str">
        <f t="shared" si="223"/>
        <v/>
      </c>
      <c r="AJ3668" s="865"/>
    </row>
    <row r="3669" spans="13:36">
      <c r="M3669" s="811" t="str">
        <f t="shared" si="224"/>
        <v/>
      </c>
      <c r="X3669" s="811" t="str">
        <f t="shared" si="223"/>
        <v/>
      </c>
      <c r="AJ3669" s="865"/>
    </row>
    <row r="3670" spans="13:36">
      <c r="M3670" s="811" t="str">
        <f t="shared" si="224"/>
        <v/>
      </c>
      <c r="X3670" s="811" t="str">
        <f t="shared" si="223"/>
        <v/>
      </c>
      <c r="AJ3670" s="865"/>
    </row>
    <row r="3671" spans="13:36">
      <c r="M3671" s="811" t="str">
        <f t="shared" si="224"/>
        <v/>
      </c>
      <c r="X3671" s="811" t="str">
        <f t="shared" si="223"/>
        <v/>
      </c>
      <c r="AJ3671" s="865"/>
    </row>
    <row r="3672" spans="13:36">
      <c r="M3672" s="811" t="str">
        <f t="shared" si="224"/>
        <v/>
      </c>
      <c r="X3672" s="811" t="str">
        <f t="shared" si="223"/>
        <v/>
      </c>
      <c r="AJ3672" s="865"/>
    </row>
    <row r="3673" spans="13:36">
      <c r="M3673" s="811" t="str">
        <f t="shared" si="224"/>
        <v/>
      </c>
      <c r="X3673" s="811" t="str">
        <f t="shared" si="223"/>
        <v/>
      </c>
      <c r="AJ3673" s="865"/>
    </row>
    <row r="3674" spans="13:36">
      <c r="M3674" s="811" t="str">
        <f t="shared" si="224"/>
        <v/>
      </c>
      <c r="X3674" s="811" t="str">
        <f t="shared" si="223"/>
        <v/>
      </c>
      <c r="AJ3674" s="865"/>
    </row>
    <row r="3675" spans="13:36">
      <c r="M3675" s="811" t="str">
        <f t="shared" si="224"/>
        <v/>
      </c>
      <c r="X3675" s="811" t="str">
        <f t="shared" si="223"/>
        <v/>
      </c>
      <c r="AJ3675" s="865"/>
    </row>
    <row r="3676" spans="13:36">
      <c r="M3676" s="811" t="str">
        <f t="shared" si="224"/>
        <v/>
      </c>
      <c r="X3676" s="811" t="str">
        <f t="shared" si="223"/>
        <v/>
      </c>
      <c r="AJ3676" s="865"/>
    </row>
    <row r="3677" spans="13:36">
      <c r="M3677" s="811" t="str">
        <f t="shared" si="224"/>
        <v/>
      </c>
      <c r="X3677" s="811" t="str">
        <f t="shared" si="223"/>
        <v/>
      </c>
      <c r="AJ3677" s="865"/>
    </row>
    <row r="3678" spans="13:36">
      <c r="M3678" s="811" t="str">
        <f t="shared" si="224"/>
        <v/>
      </c>
      <c r="X3678" s="811" t="str">
        <f t="shared" si="223"/>
        <v/>
      </c>
      <c r="AJ3678" s="865"/>
    </row>
    <row r="3679" spans="13:36">
      <c r="M3679" s="811" t="str">
        <f t="shared" si="224"/>
        <v/>
      </c>
      <c r="X3679" s="811" t="str">
        <f t="shared" si="223"/>
        <v/>
      </c>
      <c r="AJ3679" s="865"/>
    </row>
    <row r="3680" spans="13:36">
      <c r="M3680" s="811" t="str">
        <f t="shared" si="224"/>
        <v/>
      </c>
      <c r="X3680" s="811" t="str">
        <f t="shared" si="223"/>
        <v/>
      </c>
      <c r="AJ3680" s="865"/>
    </row>
    <row r="3681" spans="13:36">
      <c r="M3681" s="811" t="str">
        <f t="shared" si="224"/>
        <v/>
      </c>
      <c r="X3681" s="811" t="str">
        <f t="shared" si="223"/>
        <v/>
      </c>
      <c r="AJ3681" s="865"/>
    </row>
    <row r="3682" spans="13:36">
      <c r="M3682" s="811" t="str">
        <f t="shared" si="224"/>
        <v/>
      </c>
      <c r="X3682" s="811" t="str">
        <f t="shared" si="223"/>
        <v/>
      </c>
      <c r="AJ3682" s="865"/>
    </row>
    <row r="3683" spans="13:36">
      <c r="M3683" s="811" t="str">
        <f t="shared" si="224"/>
        <v/>
      </c>
      <c r="X3683" s="811" t="str">
        <f t="shared" si="223"/>
        <v/>
      </c>
      <c r="AJ3683" s="865"/>
    </row>
    <row r="3684" spans="13:36">
      <c r="M3684" s="811" t="str">
        <f t="shared" si="224"/>
        <v/>
      </c>
      <c r="X3684" s="811" t="str">
        <f t="shared" si="223"/>
        <v/>
      </c>
      <c r="AJ3684" s="865"/>
    </row>
    <row r="3685" spans="13:36">
      <c r="M3685" s="811" t="str">
        <f t="shared" si="224"/>
        <v/>
      </c>
      <c r="X3685" s="811" t="str">
        <f t="shared" si="223"/>
        <v/>
      </c>
      <c r="AJ3685" s="865"/>
    </row>
    <row r="3686" spans="13:36">
      <c r="M3686" s="811" t="str">
        <f t="shared" si="224"/>
        <v/>
      </c>
      <c r="X3686" s="811" t="str">
        <f t="shared" si="223"/>
        <v/>
      </c>
      <c r="AJ3686" s="865"/>
    </row>
    <row r="3687" spans="13:36">
      <c r="M3687" s="811" t="str">
        <f t="shared" si="224"/>
        <v/>
      </c>
      <c r="X3687" s="811" t="str">
        <f t="shared" si="223"/>
        <v/>
      </c>
      <c r="AJ3687" s="865"/>
    </row>
    <row r="3688" spans="13:36">
      <c r="M3688" s="811" t="str">
        <f t="shared" si="224"/>
        <v/>
      </c>
      <c r="X3688" s="811" t="str">
        <f t="shared" si="223"/>
        <v/>
      </c>
      <c r="AJ3688" s="865"/>
    </row>
    <row r="3689" spans="13:36">
      <c r="M3689" s="811" t="str">
        <f t="shared" si="224"/>
        <v/>
      </c>
      <c r="X3689" s="811" t="str">
        <f t="shared" si="223"/>
        <v/>
      </c>
      <c r="AJ3689" s="865"/>
    </row>
    <row r="3690" spans="13:36">
      <c r="M3690" s="811" t="str">
        <f t="shared" si="224"/>
        <v/>
      </c>
      <c r="X3690" s="811" t="str">
        <f t="shared" si="223"/>
        <v/>
      </c>
      <c r="AJ3690" s="865"/>
    </row>
    <row r="3691" spans="13:36">
      <c r="M3691" s="811" t="str">
        <f t="shared" si="224"/>
        <v/>
      </c>
      <c r="X3691" s="811" t="str">
        <f t="shared" si="223"/>
        <v/>
      </c>
      <c r="AJ3691" s="865"/>
    </row>
    <row r="3692" spans="13:36">
      <c r="M3692" s="811" t="str">
        <f t="shared" si="224"/>
        <v/>
      </c>
      <c r="X3692" s="811" t="str">
        <f t="shared" si="223"/>
        <v/>
      </c>
      <c r="AJ3692" s="865"/>
    </row>
    <row r="3693" spans="13:36">
      <c r="M3693" s="811" t="str">
        <f t="shared" si="224"/>
        <v/>
      </c>
      <c r="X3693" s="811" t="str">
        <f t="shared" si="223"/>
        <v/>
      </c>
      <c r="AJ3693" s="865"/>
    </row>
    <row r="3694" spans="13:36">
      <c r="M3694" s="811" t="str">
        <f t="shared" si="224"/>
        <v/>
      </c>
      <c r="X3694" s="811" t="str">
        <f t="shared" si="223"/>
        <v/>
      </c>
      <c r="AJ3694" s="865"/>
    </row>
    <row r="3695" spans="13:36">
      <c r="M3695" s="811" t="str">
        <f t="shared" si="224"/>
        <v/>
      </c>
      <c r="X3695" s="811" t="str">
        <f t="shared" si="223"/>
        <v/>
      </c>
      <c r="AJ3695" s="865"/>
    </row>
    <row r="3696" spans="13:36">
      <c r="M3696" s="811" t="str">
        <f t="shared" si="224"/>
        <v/>
      </c>
      <c r="X3696" s="811" t="str">
        <f t="shared" si="223"/>
        <v/>
      </c>
      <c r="AJ3696" s="865"/>
    </row>
    <row r="3697" spans="13:36">
      <c r="M3697" s="811" t="str">
        <f t="shared" si="224"/>
        <v/>
      </c>
      <c r="X3697" s="811" t="str">
        <f t="shared" si="223"/>
        <v/>
      </c>
      <c r="AJ3697" s="865"/>
    </row>
    <row r="3698" spans="13:36">
      <c r="M3698" s="811" t="str">
        <f t="shared" si="224"/>
        <v/>
      </c>
      <c r="X3698" s="811" t="str">
        <f t="shared" si="223"/>
        <v/>
      </c>
      <c r="AJ3698" s="865"/>
    </row>
    <row r="3699" spans="13:36">
      <c r="M3699" s="811" t="str">
        <f t="shared" si="224"/>
        <v/>
      </c>
      <c r="X3699" s="811" t="str">
        <f t="shared" ref="X3699:X3762" si="225">IF(ISBLANK(W3699)=TRUE,"",LOOKUP(W3699,GO:GP))</f>
        <v/>
      </c>
      <c r="AJ3699" s="865"/>
    </row>
    <row r="3700" spans="13:36">
      <c r="M3700" s="811" t="str">
        <f t="shared" si="224"/>
        <v/>
      </c>
      <c r="X3700" s="811" t="str">
        <f t="shared" si="225"/>
        <v/>
      </c>
      <c r="AJ3700" s="865"/>
    </row>
    <row r="3701" spans="13:36">
      <c r="M3701" s="811" t="str">
        <f t="shared" si="224"/>
        <v/>
      </c>
      <c r="X3701" s="811" t="str">
        <f t="shared" si="225"/>
        <v/>
      </c>
      <c r="AJ3701" s="865"/>
    </row>
    <row r="3702" spans="13:36">
      <c r="M3702" s="811" t="str">
        <f t="shared" si="224"/>
        <v/>
      </c>
      <c r="X3702" s="811" t="str">
        <f t="shared" si="225"/>
        <v/>
      </c>
      <c r="AJ3702" s="865"/>
    </row>
    <row r="3703" spans="13:36">
      <c r="M3703" s="811" t="str">
        <f t="shared" si="224"/>
        <v/>
      </c>
      <c r="X3703" s="811" t="str">
        <f t="shared" si="225"/>
        <v/>
      </c>
      <c r="AJ3703" s="865"/>
    </row>
    <row r="3704" spans="13:36">
      <c r="M3704" s="811" t="str">
        <f t="shared" si="224"/>
        <v/>
      </c>
      <c r="X3704" s="811" t="str">
        <f t="shared" si="225"/>
        <v/>
      </c>
      <c r="AJ3704" s="865"/>
    </row>
    <row r="3705" spans="13:36">
      <c r="M3705" s="811" t="str">
        <f t="shared" si="224"/>
        <v/>
      </c>
      <c r="X3705" s="811" t="str">
        <f t="shared" si="225"/>
        <v/>
      </c>
      <c r="AJ3705" s="865"/>
    </row>
    <row r="3706" spans="13:36">
      <c r="M3706" s="811" t="str">
        <f t="shared" si="224"/>
        <v/>
      </c>
      <c r="X3706" s="811" t="str">
        <f t="shared" si="225"/>
        <v/>
      </c>
      <c r="AJ3706" s="865"/>
    </row>
    <row r="3707" spans="13:36">
      <c r="M3707" s="811" t="str">
        <f t="shared" si="224"/>
        <v/>
      </c>
      <c r="X3707" s="811" t="str">
        <f t="shared" si="225"/>
        <v/>
      </c>
      <c r="AJ3707" s="865"/>
    </row>
    <row r="3708" spans="13:36">
      <c r="M3708" s="811" t="str">
        <f t="shared" si="224"/>
        <v/>
      </c>
      <c r="X3708" s="811" t="str">
        <f t="shared" si="225"/>
        <v/>
      </c>
      <c r="AJ3708" s="865"/>
    </row>
    <row r="3709" spans="13:36">
      <c r="M3709" s="811" t="str">
        <f t="shared" si="224"/>
        <v/>
      </c>
      <c r="X3709" s="811" t="str">
        <f t="shared" si="225"/>
        <v/>
      </c>
      <c r="AJ3709" s="865"/>
    </row>
    <row r="3710" spans="13:36">
      <c r="M3710" s="811" t="str">
        <f t="shared" si="224"/>
        <v/>
      </c>
      <c r="X3710" s="811" t="str">
        <f t="shared" si="225"/>
        <v/>
      </c>
      <c r="AJ3710" s="865"/>
    </row>
    <row r="3711" spans="13:36">
      <c r="M3711" s="811" t="str">
        <f t="shared" si="224"/>
        <v/>
      </c>
      <c r="X3711" s="811" t="str">
        <f t="shared" si="225"/>
        <v/>
      </c>
      <c r="AJ3711" s="865"/>
    </row>
    <row r="3712" spans="13:36">
      <c r="M3712" s="811" t="str">
        <f t="shared" si="224"/>
        <v/>
      </c>
      <c r="X3712" s="811" t="str">
        <f t="shared" si="225"/>
        <v/>
      </c>
      <c r="AJ3712" s="865"/>
    </row>
    <row r="3713" spans="13:36">
      <c r="M3713" s="811" t="str">
        <f t="shared" si="224"/>
        <v/>
      </c>
      <c r="X3713" s="811" t="str">
        <f t="shared" si="225"/>
        <v/>
      </c>
      <c r="AJ3713" s="865"/>
    </row>
    <row r="3714" spans="13:36">
      <c r="M3714" s="811" t="str">
        <f t="shared" si="224"/>
        <v/>
      </c>
      <c r="X3714" s="811" t="str">
        <f t="shared" si="225"/>
        <v/>
      </c>
      <c r="AJ3714" s="865"/>
    </row>
    <row r="3715" spans="13:36">
      <c r="M3715" s="811" t="str">
        <f t="shared" si="224"/>
        <v/>
      </c>
      <c r="X3715" s="811" t="str">
        <f t="shared" si="225"/>
        <v/>
      </c>
      <c r="AJ3715" s="865"/>
    </row>
    <row r="3716" spans="13:36">
      <c r="M3716" s="811" t="str">
        <f t="shared" si="224"/>
        <v/>
      </c>
      <c r="X3716" s="811" t="str">
        <f t="shared" si="225"/>
        <v/>
      </c>
      <c r="AJ3716" s="865"/>
    </row>
    <row r="3717" spans="13:36">
      <c r="M3717" s="811" t="str">
        <f t="shared" si="224"/>
        <v/>
      </c>
      <c r="X3717" s="811" t="str">
        <f t="shared" si="225"/>
        <v/>
      </c>
      <c r="AJ3717" s="865"/>
    </row>
    <row r="3718" spans="13:36">
      <c r="M3718" s="811" t="str">
        <f t="shared" si="224"/>
        <v/>
      </c>
      <c r="X3718" s="811" t="str">
        <f t="shared" si="225"/>
        <v/>
      </c>
      <c r="AJ3718" s="865"/>
    </row>
    <row r="3719" spans="13:36">
      <c r="M3719" s="811" t="str">
        <f t="shared" si="224"/>
        <v/>
      </c>
      <c r="X3719" s="811" t="str">
        <f t="shared" si="225"/>
        <v/>
      </c>
      <c r="AJ3719" s="865"/>
    </row>
    <row r="3720" spans="13:36">
      <c r="M3720" s="811" t="str">
        <f t="shared" si="224"/>
        <v/>
      </c>
      <c r="X3720" s="811" t="str">
        <f t="shared" si="225"/>
        <v/>
      </c>
      <c r="AJ3720" s="865"/>
    </row>
    <row r="3721" spans="13:36">
      <c r="M3721" s="811" t="str">
        <f t="shared" si="224"/>
        <v/>
      </c>
      <c r="X3721" s="811" t="str">
        <f t="shared" si="225"/>
        <v/>
      </c>
      <c r="AJ3721" s="865"/>
    </row>
    <row r="3722" spans="13:36">
      <c r="M3722" s="811" t="str">
        <f t="shared" si="224"/>
        <v/>
      </c>
      <c r="X3722" s="811" t="str">
        <f t="shared" si="225"/>
        <v/>
      </c>
      <c r="AJ3722" s="865"/>
    </row>
    <row r="3723" spans="13:36">
      <c r="M3723" s="811" t="str">
        <f t="shared" si="224"/>
        <v/>
      </c>
      <c r="X3723" s="811" t="str">
        <f t="shared" si="225"/>
        <v/>
      </c>
      <c r="AJ3723" s="865"/>
    </row>
    <row r="3724" spans="13:36">
      <c r="M3724" s="811" t="str">
        <f t="shared" ref="M3724:M3787" si="226">IF(ISBLANK(L3724)=TRUE,"",LOOKUP(L3724,GQ:GR))</f>
        <v/>
      </c>
      <c r="X3724" s="811" t="str">
        <f t="shared" si="225"/>
        <v/>
      </c>
      <c r="AJ3724" s="865"/>
    </row>
    <row r="3725" spans="13:36">
      <c r="M3725" s="811" t="str">
        <f t="shared" si="226"/>
        <v/>
      </c>
      <c r="X3725" s="811" t="str">
        <f t="shared" si="225"/>
        <v/>
      </c>
      <c r="AJ3725" s="865"/>
    </row>
    <row r="3726" spans="13:36">
      <c r="M3726" s="811" t="str">
        <f t="shared" si="226"/>
        <v/>
      </c>
      <c r="X3726" s="811" t="str">
        <f t="shared" si="225"/>
        <v/>
      </c>
      <c r="AJ3726" s="865"/>
    </row>
    <row r="3727" spans="13:36">
      <c r="M3727" s="811" t="str">
        <f t="shared" si="226"/>
        <v/>
      </c>
      <c r="X3727" s="811" t="str">
        <f t="shared" si="225"/>
        <v/>
      </c>
      <c r="AJ3727" s="865"/>
    </row>
    <row r="3728" spans="13:36">
      <c r="M3728" s="811" t="str">
        <f t="shared" si="226"/>
        <v/>
      </c>
      <c r="X3728" s="811" t="str">
        <f t="shared" si="225"/>
        <v/>
      </c>
      <c r="AJ3728" s="865"/>
    </row>
    <row r="3729" spans="13:36">
      <c r="M3729" s="811" t="str">
        <f t="shared" si="226"/>
        <v/>
      </c>
      <c r="X3729" s="811" t="str">
        <f t="shared" si="225"/>
        <v/>
      </c>
      <c r="AJ3729" s="865"/>
    </row>
    <row r="3730" spans="13:36">
      <c r="M3730" s="811" t="str">
        <f t="shared" si="226"/>
        <v/>
      </c>
      <c r="X3730" s="811" t="str">
        <f t="shared" si="225"/>
        <v/>
      </c>
      <c r="AJ3730" s="865"/>
    </row>
    <row r="3731" spans="13:36">
      <c r="M3731" s="811" t="str">
        <f t="shared" si="226"/>
        <v/>
      </c>
      <c r="X3731" s="811" t="str">
        <f t="shared" si="225"/>
        <v/>
      </c>
      <c r="AJ3731" s="865"/>
    </row>
    <row r="3732" spans="13:36">
      <c r="M3732" s="811" t="str">
        <f t="shared" si="226"/>
        <v/>
      </c>
      <c r="X3732" s="811" t="str">
        <f t="shared" si="225"/>
        <v/>
      </c>
      <c r="AJ3732" s="865"/>
    </row>
    <row r="3733" spans="13:36">
      <c r="M3733" s="811" t="str">
        <f t="shared" si="226"/>
        <v/>
      </c>
      <c r="X3733" s="811" t="str">
        <f t="shared" si="225"/>
        <v/>
      </c>
      <c r="AJ3733" s="865"/>
    </row>
    <row r="3734" spans="13:36">
      <c r="M3734" s="811" t="str">
        <f t="shared" si="226"/>
        <v/>
      </c>
      <c r="X3734" s="811" t="str">
        <f t="shared" si="225"/>
        <v/>
      </c>
      <c r="AJ3734" s="865"/>
    </row>
    <row r="3735" spans="13:36">
      <c r="M3735" s="811" t="str">
        <f t="shared" si="226"/>
        <v/>
      </c>
      <c r="X3735" s="811" t="str">
        <f t="shared" si="225"/>
        <v/>
      </c>
      <c r="AJ3735" s="865"/>
    </row>
    <row r="3736" spans="13:36">
      <c r="M3736" s="811" t="str">
        <f t="shared" si="226"/>
        <v/>
      </c>
      <c r="X3736" s="811" t="str">
        <f t="shared" si="225"/>
        <v/>
      </c>
      <c r="AJ3736" s="865"/>
    </row>
    <row r="3737" spans="13:36">
      <c r="M3737" s="811" t="str">
        <f t="shared" si="226"/>
        <v/>
      </c>
      <c r="X3737" s="811" t="str">
        <f t="shared" si="225"/>
        <v/>
      </c>
      <c r="AJ3737" s="865"/>
    </row>
    <row r="3738" spans="13:36">
      <c r="M3738" s="811" t="str">
        <f t="shared" si="226"/>
        <v/>
      </c>
      <c r="X3738" s="811" t="str">
        <f t="shared" si="225"/>
        <v/>
      </c>
      <c r="AJ3738" s="865"/>
    </row>
    <row r="3739" spans="13:36">
      <c r="M3739" s="811" t="str">
        <f t="shared" si="226"/>
        <v/>
      </c>
      <c r="X3739" s="811" t="str">
        <f t="shared" si="225"/>
        <v/>
      </c>
      <c r="AJ3739" s="865"/>
    </row>
    <row r="3740" spans="13:36">
      <c r="M3740" s="811" t="str">
        <f t="shared" si="226"/>
        <v/>
      </c>
      <c r="X3740" s="811" t="str">
        <f t="shared" si="225"/>
        <v/>
      </c>
      <c r="AJ3740" s="865"/>
    </row>
    <row r="3741" spans="13:36">
      <c r="M3741" s="811" t="str">
        <f t="shared" si="226"/>
        <v/>
      </c>
      <c r="X3741" s="811" t="str">
        <f t="shared" si="225"/>
        <v/>
      </c>
      <c r="AJ3741" s="865"/>
    </row>
    <row r="3742" spans="13:36">
      <c r="M3742" s="811" t="str">
        <f t="shared" si="226"/>
        <v/>
      </c>
      <c r="X3742" s="811" t="str">
        <f t="shared" si="225"/>
        <v/>
      </c>
      <c r="AJ3742" s="865"/>
    </row>
    <row r="3743" spans="13:36">
      <c r="M3743" s="811" t="str">
        <f t="shared" si="226"/>
        <v/>
      </c>
      <c r="X3743" s="811" t="str">
        <f t="shared" si="225"/>
        <v/>
      </c>
      <c r="AJ3743" s="865"/>
    </row>
    <row r="3744" spans="13:36">
      <c r="M3744" s="811" t="str">
        <f t="shared" si="226"/>
        <v/>
      </c>
      <c r="X3744" s="811" t="str">
        <f t="shared" si="225"/>
        <v/>
      </c>
      <c r="AJ3744" s="865"/>
    </row>
    <row r="3745" spans="13:36">
      <c r="M3745" s="811" t="str">
        <f t="shared" si="226"/>
        <v/>
      </c>
      <c r="X3745" s="811" t="str">
        <f t="shared" si="225"/>
        <v/>
      </c>
      <c r="AJ3745" s="865"/>
    </row>
    <row r="3746" spans="13:36">
      <c r="M3746" s="811" t="str">
        <f t="shared" si="226"/>
        <v/>
      </c>
      <c r="X3746" s="811" t="str">
        <f t="shared" si="225"/>
        <v/>
      </c>
      <c r="AJ3746" s="865"/>
    </row>
    <row r="3747" spans="13:36">
      <c r="M3747" s="811" t="str">
        <f t="shared" si="226"/>
        <v/>
      </c>
      <c r="X3747" s="811" t="str">
        <f t="shared" si="225"/>
        <v/>
      </c>
      <c r="AJ3747" s="865"/>
    </row>
    <row r="3748" spans="13:36">
      <c r="M3748" s="811" t="str">
        <f t="shared" si="226"/>
        <v/>
      </c>
      <c r="X3748" s="811" t="str">
        <f t="shared" si="225"/>
        <v/>
      </c>
      <c r="AJ3748" s="865"/>
    </row>
    <row r="3749" spans="13:36">
      <c r="M3749" s="811" t="str">
        <f t="shared" si="226"/>
        <v/>
      </c>
      <c r="X3749" s="811" t="str">
        <f t="shared" si="225"/>
        <v/>
      </c>
      <c r="AJ3749" s="865"/>
    </row>
    <row r="3750" spans="13:36">
      <c r="M3750" s="811" t="str">
        <f t="shared" si="226"/>
        <v/>
      </c>
      <c r="X3750" s="811" t="str">
        <f t="shared" si="225"/>
        <v/>
      </c>
      <c r="AJ3750" s="865"/>
    </row>
    <row r="3751" spans="13:36">
      <c r="M3751" s="811" t="str">
        <f t="shared" si="226"/>
        <v/>
      </c>
      <c r="X3751" s="811" t="str">
        <f t="shared" si="225"/>
        <v/>
      </c>
      <c r="AJ3751" s="865"/>
    </row>
    <row r="3752" spans="13:36">
      <c r="M3752" s="811" t="str">
        <f t="shared" si="226"/>
        <v/>
      </c>
      <c r="X3752" s="811" t="str">
        <f t="shared" si="225"/>
        <v/>
      </c>
      <c r="AJ3752" s="865"/>
    </row>
    <row r="3753" spans="13:36">
      <c r="M3753" s="811" t="str">
        <f t="shared" si="226"/>
        <v/>
      </c>
      <c r="X3753" s="811" t="str">
        <f t="shared" si="225"/>
        <v/>
      </c>
      <c r="AJ3753" s="865"/>
    </row>
    <row r="3754" spans="13:36">
      <c r="M3754" s="811" t="str">
        <f t="shared" si="226"/>
        <v/>
      </c>
      <c r="X3754" s="811" t="str">
        <f t="shared" si="225"/>
        <v/>
      </c>
      <c r="AJ3754" s="865"/>
    </row>
    <row r="3755" spans="13:36">
      <c r="M3755" s="811" t="str">
        <f t="shared" si="226"/>
        <v/>
      </c>
      <c r="X3755" s="811" t="str">
        <f t="shared" si="225"/>
        <v/>
      </c>
      <c r="AJ3755" s="865"/>
    </row>
    <row r="3756" spans="13:36">
      <c r="M3756" s="811" t="str">
        <f t="shared" si="226"/>
        <v/>
      </c>
      <c r="X3756" s="811" t="str">
        <f t="shared" si="225"/>
        <v/>
      </c>
      <c r="AJ3756" s="865"/>
    </row>
    <row r="3757" spans="13:36">
      <c r="M3757" s="811" t="str">
        <f t="shared" si="226"/>
        <v/>
      </c>
      <c r="X3757" s="811" t="str">
        <f t="shared" si="225"/>
        <v/>
      </c>
      <c r="AJ3757" s="865"/>
    </row>
    <row r="3758" spans="13:36">
      <c r="M3758" s="811" t="str">
        <f t="shared" si="226"/>
        <v/>
      </c>
      <c r="X3758" s="811" t="str">
        <f t="shared" si="225"/>
        <v/>
      </c>
      <c r="AJ3758" s="865"/>
    </row>
    <row r="3759" spans="13:36">
      <c r="M3759" s="811" t="str">
        <f t="shared" si="226"/>
        <v/>
      </c>
      <c r="X3759" s="811" t="str">
        <f t="shared" si="225"/>
        <v/>
      </c>
      <c r="AJ3759" s="865"/>
    </row>
    <row r="3760" spans="13:36">
      <c r="M3760" s="811" t="str">
        <f t="shared" si="226"/>
        <v/>
      </c>
      <c r="X3760" s="811" t="str">
        <f t="shared" si="225"/>
        <v/>
      </c>
      <c r="AJ3760" s="865"/>
    </row>
    <row r="3761" spans="13:36">
      <c r="M3761" s="811" t="str">
        <f t="shared" si="226"/>
        <v/>
      </c>
      <c r="X3761" s="811" t="str">
        <f t="shared" si="225"/>
        <v/>
      </c>
      <c r="AJ3761" s="865"/>
    </row>
    <row r="3762" spans="13:36">
      <c r="M3762" s="811" t="str">
        <f t="shared" si="226"/>
        <v/>
      </c>
      <c r="X3762" s="811" t="str">
        <f t="shared" si="225"/>
        <v/>
      </c>
      <c r="AJ3762" s="865"/>
    </row>
    <row r="3763" spans="13:36">
      <c r="M3763" s="811" t="str">
        <f t="shared" si="226"/>
        <v/>
      </c>
      <c r="X3763" s="811" t="str">
        <f t="shared" ref="X3763:X3826" si="227">IF(ISBLANK(W3763)=TRUE,"",LOOKUP(W3763,GO:GP))</f>
        <v/>
      </c>
      <c r="AJ3763" s="865"/>
    </row>
    <row r="3764" spans="13:36">
      <c r="M3764" s="811" t="str">
        <f t="shared" si="226"/>
        <v/>
      </c>
      <c r="X3764" s="811" t="str">
        <f t="shared" si="227"/>
        <v/>
      </c>
      <c r="AJ3764" s="865"/>
    </row>
    <row r="3765" spans="13:36">
      <c r="M3765" s="811" t="str">
        <f t="shared" si="226"/>
        <v/>
      </c>
      <c r="X3765" s="811" t="str">
        <f t="shared" si="227"/>
        <v/>
      </c>
      <c r="AJ3765" s="865"/>
    </row>
    <row r="3766" spans="13:36">
      <c r="M3766" s="811" t="str">
        <f t="shared" si="226"/>
        <v/>
      </c>
      <c r="X3766" s="811" t="str">
        <f t="shared" si="227"/>
        <v/>
      </c>
      <c r="AJ3766" s="865"/>
    </row>
    <row r="3767" spans="13:36">
      <c r="M3767" s="811" t="str">
        <f t="shared" si="226"/>
        <v/>
      </c>
      <c r="X3767" s="811" t="str">
        <f t="shared" si="227"/>
        <v/>
      </c>
      <c r="AJ3767" s="865"/>
    </row>
    <row r="3768" spans="13:36">
      <c r="M3768" s="811" t="str">
        <f t="shared" si="226"/>
        <v/>
      </c>
      <c r="X3768" s="811" t="str">
        <f t="shared" si="227"/>
        <v/>
      </c>
      <c r="AJ3768" s="865"/>
    </row>
    <row r="3769" spans="13:36">
      <c r="M3769" s="811" t="str">
        <f t="shared" si="226"/>
        <v/>
      </c>
      <c r="X3769" s="811" t="str">
        <f t="shared" si="227"/>
        <v/>
      </c>
      <c r="AJ3769" s="865"/>
    </row>
    <row r="3770" spans="13:36">
      <c r="M3770" s="811" t="str">
        <f t="shared" si="226"/>
        <v/>
      </c>
      <c r="X3770" s="811" t="str">
        <f t="shared" si="227"/>
        <v/>
      </c>
      <c r="AJ3770" s="865"/>
    </row>
    <row r="3771" spans="13:36">
      <c r="M3771" s="811" t="str">
        <f t="shared" si="226"/>
        <v/>
      </c>
      <c r="X3771" s="811" t="str">
        <f t="shared" si="227"/>
        <v/>
      </c>
      <c r="AJ3771" s="865"/>
    </row>
    <row r="3772" spans="13:36">
      <c r="M3772" s="811" t="str">
        <f t="shared" si="226"/>
        <v/>
      </c>
      <c r="X3772" s="811" t="str">
        <f t="shared" si="227"/>
        <v/>
      </c>
      <c r="AJ3772" s="865"/>
    </row>
    <row r="3773" spans="13:36">
      <c r="M3773" s="811" t="str">
        <f t="shared" si="226"/>
        <v/>
      </c>
      <c r="X3773" s="811" t="str">
        <f t="shared" si="227"/>
        <v/>
      </c>
      <c r="AJ3773" s="865"/>
    </row>
    <row r="3774" spans="13:36">
      <c r="M3774" s="811" t="str">
        <f t="shared" si="226"/>
        <v/>
      </c>
      <c r="X3774" s="811" t="str">
        <f t="shared" si="227"/>
        <v/>
      </c>
      <c r="AJ3774" s="865"/>
    </row>
    <row r="3775" spans="13:36">
      <c r="M3775" s="811" t="str">
        <f t="shared" si="226"/>
        <v/>
      </c>
      <c r="X3775" s="811" t="str">
        <f t="shared" si="227"/>
        <v/>
      </c>
      <c r="AJ3775" s="865"/>
    </row>
    <row r="3776" spans="13:36">
      <c r="M3776" s="811" t="str">
        <f t="shared" si="226"/>
        <v/>
      </c>
      <c r="X3776" s="811" t="str">
        <f t="shared" si="227"/>
        <v/>
      </c>
      <c r="AJ3776" s="865"/>
    </row>
    <row r="3777" spans="13:36">
      <c r="M3777" s="811" t="str">
        <f t="shared" si="226"/>
        <v/>
      </c>
      <c r="X3777" s="811" t="str">
        <f t="shared" si="227"/>
        <v/>
      </c>
      <c r="AJ3777" s="865"/>
    </row>
    <row r="3778" spans="13:36">
      <c r="M3778" s="811" t="str">
        <f t="shared" si="226"/>
        <v/>
      </c>
      <c r="X3778" s="811" t="str">
        <f t="shared" si="227"/>
        <v/>
      </c>
      <c r="AJ3778" s="865"/>
    </row>
    <row r="3779" spans="13:36">
      <c r="M3779" s="811" t="str">
        <f t="shared" si="226"/>
        <v/>
      </c>
      <c r="X3779" s="811" t="str">
        <f t="shared" si="227"/>
        <v/>
      </c>
      <c r="AJ3779" s="865"/>
    </row>
    <row r="3780" spans="13:36">
      <c r="M3780" s="811" t="str">
        <f t="shared" si="226"/>
        <v/>
      </c>
      <c r="X3780" s="811" t="str">
        <f t="shared" si="227"/>
        <v/>
      </c>
      <c r="AJ3780" s="865"/>
    </row>
    <row r="3781" spans="13:36">
      <c r="M3781" s="811" t="str">
        <f t="shared" si="226"/>
        <v/>
      </c>
      <c r="X3781" s="811" t="str">
        <f t="shared" si="227"/>
        <v/>
      </c>
      <c r="AJ3781" s="865"/>
    </row>
    <row r="3782" spans="13:36">
      <c r="M3782" s="811" t="str">
        <f t="shared" si="226"/>
        <v/>
      </c>
      <c r="X3782" s="811" t="str">
        <f t="shared" si="227"/>
        <v/>
      </c>
      <c r="AJ3782" s="865"/>
    </row>
    <row r="3783" spans="13:36">
      <c r="M3783" s="811" t="str">
        <f t="shared" si="226"/>
        <v/>
      </c>
      <c r="X3783" s="811" t="str">
        <f t="shared" si="227"/>
        <v/>
      </c>
      <c r="AJ3783" s="865"/>
    </row>
    <row r="3784" spans="13:36">
      <c r="M3784" s="811" t="str">
        <f t="shared" si="226"/>
        <v/>
      </c>
      <c r="X3784" s="811" t="str">
        <f t="shared" si="227"/>
        <v/>
      </c>
      <c r="AJ3784" s="865"/>
    </row>
    <row r="3785" spans="13:36">
      <c r="M3785" s="811" t="str">
        <f t="shared" si="226"/>
        <v/>
      </c>
      <c r="X3785" s="811" t="str">
        <f t="shared" si="227"/>
        <v/>
      </c>
      <c r="AJ3785" s="865"/>
    </row>
    <row r="3786" spans="13:36">
      <c r="M3786" s="811" t="str">
        <f t="shared" si="226"/>
        <v/>
      </c>
      <c r="X3786" s="811" t="str">
        <f t="shared" si="227"/>
        <v/>
      </c>
      <c r="AJ3786" s="865"/>
    </row>
    <row r="3787" spans="13:36">
      <c r="M3787" s="811" t="str">
        <f t="shared" si="226"/>
        <v/>
      </c>
      <c r="X3787" s="811" t="str">
        <f t="shared" si="227"/>
        <v/>
      </c>
      <c r="AJ3787" s="865"/>
    </row>
    <row r="3788" spans="13:36">
      <c r="M3788" s="811" t="str">
        <f t="shared" ref="M3788:M3851" si="228">IF(ISBLANK(L3788)=TRUE,"",LOOKUP(L3788,GQ:GR))</f>
        <v/>
      </c>
      <c r="X3788" s="811" t="str">
        <f t="shared" si="227"/>
        <v/>
      </c>
      <c r="AJ3788" s="865"/>
    </row>
    <row r="3789" spans="13:36">
      <c r="M3789" s="811" t="str">
        <f t="shared" si="228"/>
        <v/>
      </c>
      <c r="X3789" s="811" t="str">
        <f t="shared" si="227"/>
        <v/>
      </c>
      <c r="AJ3789" s="865"/>
    </row>
    <row r="3790" spans="13:36">
      <c r="M3790" s="811" t="str">
        <f t="shared" si="228"/>
        <v/>
      </c>
      <c r="X3790" s="811" t="str">
        <f t="shared" si="227"/>
        <v/>
      </c>
      <c r="AJ3790" s="865"/>
    </row>
    <row r="3791" spans="13:36">
      <c r="M3791" s="811" t="str">
        <f t="shared" si="228"/>
        <v/>
      </c>
      <c r="X3791" s="811" t="str">
        <f t="shared" si="227"/>
        <v/>
      </c>
      <c r="AJ3791" s="865"/>
    </row>
    <row r="3792" spans="13:36">
      <c r="M3792" s="811" t="str">
        <f t="shared" si="228"/>
        <v/>
      </c>
      <c r="X3792" s="811" t="str">
        <f t="shared" si="227"/>
        <v/>
      </c>
      <c r="AJ3792" s="865"/>
    </row>
    <row r="3793" spans="13:36">
      <c r="M3793" s="811" t="str">
        <f t="shared" si="228"/>
        <v/>
      </c>
      <c r="X3793" s="811" t="str">
        <f t="shared" si="227"/>
        <v/>
      </c>
      <c r="AJ3793" s="865"/>
    </row>
    <row r="3794" spans="13:36">
      <c r="M3794" s="811" t="str">
        <f t="shared" si="228"/>
        <v/>
      </c>
      <c r="X3794" s="811" t="str">
        <f t="shared" si="227"/>
        <v/>
      </c>
      <c r="AJ3794" s="865"/>
    </row>
    <row r="3795" spans="13:36">
      <c r="M3795" s="811" t="str">
        <f t="shared" si="228"/>
        <v/>
      </c>
      <c r="X3795" s="811" t="str">
        <f t="shared" si="227"/>
        <v/>
      </c>
      <c r="AJ3795" s="865"/>
    </row>
    <row r="3796" spans="13:36">
      <c r="M3796" s="811" t="str">
        <f t="shared" si="228"/>
        <v/>
      </c>
      <c r="X3796" s="811" t="str">
        <f t="shared" si="227"/>
        <v/>
      </c>
      <c r="AJ3796" s="865"/>
    </row>
    <row r="3797" spans="13:36">
      <c r="M3797" s="811" t="str">
        <f t="shared" si="228"/>
        <v/>
      </c>
      <c r="X3797" s="811" t="str">
        <f t="shared" si="227"/>
        <v/>
      </c>
      <c r="AJ3797" s="865"/>
    </row>
    <row r="3798" spans="13:36">
      <c r="M3798" s="811" t="str">
        <f t="shared" si="228"/>
        <v/>
      </c>
      <c r="X3798" s="811" t="str">
        <f t="shared" si="227"/>
        <v/>
      </c>
      <c r="AJ3798" s="865"/>
    </row>
    <row r="3799" spans="13:36">
      <c r="M3799" s="811" t="str">
        <f t="shared" si="228"/>
        <v/>
      </c>
      <c r="X3799" s="811" t="str">
        <f t="shared" si="227"/>
        <v/>
      </c>
      <c r="AJ3799" s="865"/>
    </row>
    <row r="3800" spans="13:36">
      <c r="M3800" s="811" t="str">
        <f t="shared" si="228"/>
        <v/>
      </c>
      <c r="X3800" s="811" t="str">
        <f t="shared" si="227"/>
        <v/>
      </c>
      <c r="AJ3800" s="865"/>
    </row>
    <row r="3801" spans="13:36">
      <c r="M3801" s="811" t="str">
        <f t="shared" si="228"/>
        <v/>
      </c>
      <c r="X3801" s="811" t="str">
        <f t="shared" si="227"/>
        <v/>
      </c>
      <c r="AJ3801" s="865"/>
    </row>
    <row r="3802" spans="13:36">
      <c r="M3802" s="811" t="str">
        <f t="shared" si="228"/>
        <v/>
      </c>
      <c r="X3802" s="811" t="str">
        <f t="shared" si="227"/>
        <v/>
      </c>
      <c r="AJ3802" s="865"/>
    </row>
    <row r="3803" spans="13:36">
      <c r="M3803" s="811" t="str">
        <f t="shared" si="228"/>
        <v/>
      </c>
      <c r="X3803" s="811" t="str">
        <f t="shared" si="227"/>
        <v/>
      </c>
      <c r="AJ3803" s="865"/>
    </row>
    <row r="3804" spans="13:36">
      <c r="M3804" s="811" t="str">
        <f t="shared" si="228"/>
        <v/>
      </c>
      <c r="X3804" s="811" t="str">
        <f t="shared" si="227"/>
        <v/>
      </c>
      <c r="AJ3804" s="865"/>
    </row>
    <row r="3805" spans="13:36">
      <c r="M3805" s="811" t="str">
        <f t="shared" si="228"/>
        <v/>
      </c>
      <c r="X3805" s="811" t="str">
        <f t="shared" si="227"/>
        <v/>
      </c>
      <c r="AJ3805" s="865"/>
    </row>
    <row r="3806" spans="13:36">
      <c r="M3806" s="811" t="str">
        <f t="shared" si="228"/>
        <v/>
      </c>
      <c r="X3806" s="811" t="str">
        <f t="shared" si="227"/>
        <v/>
      </c>
      <c r="AJ3806" s="865"/>
    </row>
    <row r="3807" spans="13:36">
      <c r="M3807" s="811" t="str">
        <f t="shared" si="228"/>
        <v/>
      </c>
      <c r="X3807" s="811" t="str">
        <f t="shared" si="227"/>
        <v/>
      </c>
      <c r="AJ3807" s="865"/>
    </row>
    <row r="3808" spans="13:36">
      <c r="M3808" s="811" t="str">
        <f t="shared" si="228"/>
        <v/>
      </c>
      <c r="X3808" s="811" t="str">
        <f t="shared" si="227"/>
        <v/>
      </c>
      <c r="AJ3808" s="865"/>
    </row>
    <row r="3809" spans="13:36">
      <c r="M3809" s="811" t="str">
        <f t="shared" si="228"/>
        <v/>
      </c>
      <c r="X3809" s="811" t="str">
        <f t="shared" si="227"/>
        <v/>
      </c>
      <c r="AJ3809" s="865"/>
    </row>
    <row r="3810" spans="13:36">
      <c r="M3810" s="811" t="str">
        <f t="shared" si="228"/>
        <v/>
      </c>
      <c r="X3810" s="811" t="str">
        <f t="shared" si="227"/>
        <v/>
      </c>
      <c r="AJ3810" s="865"/>
    </row>
    <row r="3811" spans="13:36">
      <c r="M3811" s="811" t="str">
        <f t="shared" si="228"/>
        <v/>
      </c>
      <c r="X3811" s="811" t="str">
        <f t="shared" si="227"/>
        <v/>
      </c>
      <c r="AJ3811" s="865"/>
    </row>
    <row r="3812" spans="13:36">
      <c r="M3812" s="811" t="str">
        <f t="shared" si="228"/>
        <v/>
      </c>
      <c r="X3812" s="811" t="str">
        <f t="shared" si="227"/>
        <v/>
      </c>
      <c r="AJ3812" s="865"/>
    </row>
    <row r="3813" spans="13:36">
      <c r="M3813" s="811" t="str">
        <f t="shared" si="228"/>
        <v/>
      </c>
      <c r="X3813" s="811" t="str">
        <f t="shared" si="227"/>
        <v/>
      </c>
      <c r="AJ3813" s="865"/>
    </row>
    <row r="3814" spans="13:36">
      <c r="M3814" s="811" t="str">
        <f t="shared" si="228"/>
        <v/>
      </c>
      <c r="X3814" s="811" t="str">
        <f t="shared" si="227"/>
        <v/>
      </c>
      <c r="AJ3814" s="865"/>
    </row>
    <row r="3815" spans="13:36">
      <c r="M3815" s="811" t="str">
        <f t="shared" si="228"/>
        <v/>
      </c>
      <c r="X3815" s="811" t="str">
        <f t="shared" si="227"/>
        <v/>
      </c>
      <c r="AJ3815" s="865"/>
    </row>
    <row r="3816" spans="13:36">
      <c r="M3816" s="811" t="str">
        <f t="shared" si="228"/>
        <v/>
      </c>
      <c r="X3816" s="811" t="str">
        <f t="shared" si="227"/>
        <v/>
      </c>
      <c r="AJ3816" s="865"/>
    </row>
    <row r="3817" spans="13:36">
      <c r="M3817" s="811" t="str">
        <f t="shared" si="228"/>
        <v/>
      </c>
      <c r="X3817" s="811" t="str">
        <f t="shared" si="227"/>
        <v/>
      </c>
      <c r="AJ3817" s="865"/>
    </row>
    <row r="3818" spans="13:36">
      <c r="M3818" s="811" t="str">
        <f t="shared" si="228"/>
        <v/>
      </c>
      <c r="X3818" s="811" t="str">
        <f t="shared" si="227"/>
        <v/>
      </c>
      <c r="AJ3818" s="865"/>
    </row>
    <row r="3819" spans="13:36">
      <c r="M3819" s="811" t="str">
        <f t="shared" si="228"/>
        <v/>
      </c>
      <c r="X3819" s="811" t="str">
        <f t="shared" si="227"/>
        <v/>
      </c>
      <c r="AJ3819" s="865"/>
    </row>
    <row r="3820" spans="13:36">
      <c r="M3820" s="811" t="str">
        <f t="shared" si="228"/>
        <v/>
      </c>
      <c r="X3820" s="811" t="str">
        <f t="shared" si="227"/>
        <v/>
      </c>
      <c r="AJ3820" s="865"/>
    </row>
    <row r="3821" spans="13:36">
      <c r="M3821" s="811" t="str">
        <f t="shared" si="228"/>
        <v/>
      </c>
      <c r="X3821" s="811" t="str">
        <f t="shared" si="227"/>
        <v/>
      </c>
      <c r="AJ3821" s="865"/>
    </row>
    <row r="3822" spans="13:36">
      <c r="M3822" s="811" t="str">
        <f t="shared" si="228"/>
        <v/>
      </c>
      <c r="X3822" s="811" t="str">
        <f t="shared" si="227"/>
        <v/>
      </c>
      <c r="AJ3822" s="865"/>
    </row>
    <row r="3823" spans="13:36">
      <c r="M3823" s="811" t="str">
        <f t="shared" si="228"/>
        <v/>
      </c>
      <c r="X3823" s="811" t="str">
        <f t="shared" si="227"/>
        <v/>
      </c>
      <c r="AJ3823" s="865"/>
    </row>
    <row r="3824" spans="13:36">
      <c r="M3824" s="811" t="str">
        <f t="shared" si="228"/>
        <v/>
      </c>
      <c r="X3824" s="811" t="str">
        <f t="shared" si="227"/>
        <v/>
      </c>
      <c r="AJ3824" s="865"/>
    </row>
    <row r="3825" spans="13:36">
      <c r="M3825" s="811" t="str">
        <f t="shared" si="228"/>
        <v/>
      </c>
      <c r="X3825" s="811" t="str">
        <f t="shared" si="227"/>
        <v/>
      </c>
      <c r="AJ3825" s="865"/>
    </row>
    <row r="3826" spans="13:36">
      <c r="M3826" s="811" t="str">
        <f t="shared" si="228"/>
        <v/>
      </c>
      <c r="X3826" s="811" t="str">
        <f t="shared" si="227"/>
        <v/>
      </c>
      <c r="AJ3826" s="865"/>
    </row>
    <row r="3827" spans="13:36">
      <c r="M3827" s="811" t="str">
        <f t="shared" si="228"/>
        <v/>
      </c>
      <c r="X3827" s="811" t="str">
        <f t="shared" ref="X3827:X3890" si="229">IF(ISBLANK(W3827)=TRUE,"",LOOKUP(W3827,GO:GP))</f>
        <v/>
      </c>
      <c r="AJ3827" s="865"/>
    </row>
    <row r="3828" spans="13:36">
      <c r="M3828" s="811" t="str">
        <f t="shared" si="228"/>
        <v/>
      </c>
      <c r="X3828" s="811" t="str">
        <f t="shared" si="229"/>
        <v/>
      </c>
      <c r="AJ3828" s="865"/>
    </row>
    <row r="3829" spans="13:36">
      <c r="M3829" s="811" t="str">
        <f t="shared" si="228"/>
        <v/>
      </c>
      <c r="X3829" s="811" t="str">
        <f t="shared" si="229"/>
        <v/>
      </c>
      <c r="AJ3829" s="865"/>
    </row>
    <row r="3830" spans="13:36">
      <c r="M3830" s="811" t="str">
        <f t="shared" si="228"/>
        <v/>
      </c>
      <c r="X3830" s="811" t="str">
        <f t="shared" si="229"/>
        <v/>
      </c>
      <c r="AJ3830" s="865"/>
    </row>
    <row r="3831" spans="13:36">
      <c r="M3831" s="811" t="str">
        <f t="shared" si="228"/>
        <v/>
      </c>
      <c r="X3831" s="811" t="str">
        <f t="shared" si="229"/>
        <v/>
      </c>
      <c r="AJ3831" s="865"/>
    </row>
    <row r="3832" spans="13:36">
      <c r="M3832" s="811" t="str">
        <f t="shared" si="228"/>
        <v/>
      </c>
      <c r="X3832" s="811" t="str">
        <f t="shared" si="229"/>
        <v/>
      </c>
      <c r="AJ3832" s="865"/>
    </row>
    <row r="3833" spans="13:36">
      <c r="M3833" s="811" t="str">
        <f t="shared" si="228"/>
        <v/>
      </c>
      <c r="X3833" s="811" t="str">
        <f t="shared" si="229"/>
        <v/>
      </c>
      <c r="AJ3833" s="865"/>
    </row>
    <row r="3834" spans="13:36">
      <c r="M3834" s="811" t="str">
        <f t="shared" si="228"/>
        <v/>
      </c>
      <c r="X3834" s="811" t="str">
        <f t="shared" si="229"/>
        <v/>
      </c>
      <c r="AJ3834" s="865"/>
    </row>
    <row r="3835" spans="13:36">
      <c r="M3835" s="811" t="str">
        <f t="shared" si="228"/>
        <v/>
      </c>
      <c r="X3835" s="811" t="str">
        <f t="shared" si="229"/>
        <v/>
      </c>
      <c r="AJ3835" s="865"/>
    </row>
    <row r="3836" spans="13:36">
      <c r="M3836" s="811" t="str">
        <f t="shared" si="228"/>
        <v/>
      </c>
      <c r="X3836" s="811" t="str">
        <f t="shared" si="229"/>
        <v/>
      </c>
      <c r="AJ3836" s="865"/>
    </row>
    <row r="3837" spans="13:36">
      <c r="M3837" s="811" t="str">
        <f t="shared" si="228"/>
        <v/>
      </c>
      <c r="X3837" s="811" t="str">
        <f t="shared" si="229"/>
        <v/>
      </c>
      <c r="AJ3837" s="865"/>
    </row>
    <row r="3838" spans="13:36">
      <c r="M3838" s="811" t="str">
        <f t="shared" si="228"/>
        <v/>
      </c>
      <c r="X3838" s="811" t="str">
        <f t="shared" si="229"/>
        <v/>
      </c>
      <c r="AJ3838" s="865"/>
    </row>
    <row r="3839" spans="13:36">
      <c r="M3839" s="811" t="str">
        <f t="shared" si="228"/>
        <v/>
      </c>
      <c r="X3839" s="811" t="str">
        <f t="shared" si="229"/>
        <v/>
      </c>
      <c r="AJ3839" s="865"/>
    </row>
    <row r="3840" spans="13:36">
      <c r="M3840" s="811" t="str">
        <f t="shared" si="228"/>
        <v/>
      </c>
      <c r="X3840" s="811" t="str">
        <f t="shared" si="229"/>
        <v/>
      </c>
      <c r="AJ3840" s="865"/>
    </row>
    <row r="3841" spans="13:36">
      <c r="M3841" s="811" t="str">
        <f t="shared" si="228"/>
        <v/>
      </c>
      <c r="X3841" s="811" t="str">
        <f t="shared" si="229"/>
        <v/>
      </c>
      <c r="AJ3841" s="865"/>
    </row>
    <row r="3842" spans="13:36">
      <c r="M3842" s="811" t="str">
        <f t="shared" si="228"/>
        <v/>
      </c>
      <c r="X3842" s="811" t="str">
        <f t="shared" si="229"/>
        <v/>
      </c>
      <c r="AJ3842" s="865"/>
    </row>
    <row r="3843" spans="13:36">
      <c r="M3843" s="811" t="str">
        <f t="shared" si="228"/>
        <v/>
      </c>
      <c r="X3843" s="811" t="str">
        <f t="shared" si="229"/>
        <v/>
      </c>
      <c r="AJ3843" s="865"/>
    </row>
    <row r="3844" spans="13:36">
      <c r="M3844" s="811" t="str">
        <f t="shared" si="228"/>
        <v/>
      </c>
      <c r="X3844" s="811" t="str">
        <f t="shared" si="229"/>
        <v/>
      </c>
      <c r="AJ3844" s="865"/>
    </row>
    <row r="3845" spans="13:36">
      <c r="M3845" s="811" t="str">
        <f t="shared" si="228"/>
        <v/>
      </c>
      <c r="X3845" s="811" t="str">
        <f t="shared" si="229"/>
        <v/>
      </c>
      <c r="AJ3845" s="865"/>
    </row>
    <row r="3846" spans="13:36">
      <c r="M3846" s="811" t="str">
        <f t="shared" si="228"/>
        <v/>
      </c>
      <c r="X3846" s="811" t="str">
        <f t="shared" si="229"/>
        <v/>
      </c>
      <c r="AJ3846" s="865"/>
    </row>
    <row r="3847" spans="13:36">
      <c r="M3847" s="811" t="str">
        <f t="shared" si="228"/>
        <v/>
      </c>
      <c r="X3847" s="811" t="str">
        <f t="shared" si="229"/>
        <v/>
      </c>
      <c r="AJ3847" s="865"/>
    </row>
    <row r="3848" spans="13:36">
      <c r="M3848" s="811" t="str">
        <f t="shared" si="228"/>
        <v/>
      </c>
      <c r="X3848" s="811" t="str">
        <f t="shared" si="229"/>
        <v/>
      </c>
      <c r="AJ3848" s="865"/>
    </row>
    <row r="3849" spans="13:36">
      <c r="M3849" s="811" t="str">
        <f t="shared" si="228"/>
        <v/>
      </c>
      <c r="X3849" s="811" t="str">
        <f t="shared" si="229"/>
        <v/>
      </c>
      <c r="AJ3849" s="865"/>
    </row>
    <row r="3850" spans="13:36">
      <c r="M3850" s="811" t="str">
        <f t="shared" si="228"/>
        <v/>
      </c>
      <c r="X3850" s="811" t="str">
        <f t="shared" si="229"/>
        <v/>
      </c>
      <c r="AJ3850" s="865"/>
    </row>
    <row r="3851" spans="13:36">
      <c r="M3851" s="811" t="str">
        <f t="shared" si="228"/>
        <v/>
      </c>
      <c r="X3851" s="811" t="str">
        <f t="shared" si="229"/>
        <v/>
      </c>
      <c r="AJ3851" s="865"/>
    </row>
    <row r="3852" spans="13:36">
      <c r="M3852" s="811" t="str">
        <f t="shared" ref="M3852:M3915" si="230">IF(ISBLANK(L3852)=TRUE,"",LOOKUP(L3852,GQ:GR))</f>
        <v/>
      </c>
      <c r="X3852" s="811" t="str">
        <f t="shared" si="229"/>
        <v/>
      </c>
      <c r="AJ3852" s="865"/>
    </row>
    <row r="3853" spans="13:36">
      <c r="M3853" s="811" t="str">
        <f t="shared" si="230"/>
        <v/>
      </c>
      <c r="X3853" s="811" t="str">
        <f t="shared" si="229"/>
        <v/>
      </c>
      <c r="AJ3853" s="865"/>
    </row>
    <row r="3854" spans="13:36">
      <c r="M3854" s="811" t="str">
        <f t="shared" si="230"/>
        <v/>
      </c>
      <c r="X3854" s="811" t="str">
        <f t="shared" si="229"/>
        <v/>
      </c>
      <c r="AJ3854" s="865"/>
    </row>
    <row r="3855" spans="13:36">
      <c r="M3855" s="811" t="str">
        <f t="shared" si="230"/>
        <v/>
      </c>
      <c r="X3855" s="811" t="str">
        <f t="shared" si="229"/>
        <v/>
      </c>
      <c r="AJ3855" s="865"/>
    </row>
    <row r="3856" spans="13:36">
      <c r="M3856" s="811" t="str">
        <f t="shared" si="230"/>
        <v/>
      </c>
      <c r="X3856" s="811" t="str">
        <f t="shared" si="229"/>
        <v/>
      </c>
      <c r="AJ3856" s="865"/>
    </row>
    <row r="3857" spans="13:36">
      <c r="M3857" s="811" t="str">
        <f t="shared" si="230"/>
        <v/>
      </c>
      <c r="X3857" s="811" t="str">
        <f t="shared" si="229"/>
        <v/>
      </c>
      <c r="AJ3857" s="865"/>
    </row>
    <row r="3858" spans="13:36">
      <c r="M3858" s="811" t="str">
        <f t="shared" si="230"/>
        <v/>
      </c>
      <c r="X3858" s="811" t="str">
        <f t="shared" si="229"/>
        <v/>
      </c>
      <c r="AJ3858" s="865"/>
    </row>
    <row r="3859" spans="13:36">
      <c r="M3859" s="811" t="str">
        <f t="shared" si="230"/>
        <v/>
      </c>
      <c r="X3859" s="811" t="str">
        <f t="shared" si="229"/>
        <v/>
      </c>
      <c r="AJ3859" s="865"/>
    </row>
    <row r="3860" spans="13:36">
      <c r="M3860" s="811" t="str">
        <f t="shared" si="230"/>
        <v/>
      </c>
      <c r="X3860" s="811" t="str">
        <f t="shared" si="229"/>
        <v/>
      </c>
      <c r="AJ3860" s="865"/>
    </row>
    <row r="3861" spans="13:36">
      <c r="M3861" s="811" t="str">
        <f t="shared" si="230"/>
        <v/>
      </c>
      <c r="X3861" s="811" t="str">
        <f t="shared" si="229"/>
        <v/>
      </c>
      <c r="AJ3861" s="865"/>
    </row>
    <row r="3862" spans="13:36">
      <c r="M3862" s="811" t="str">
        <f t="shared" si="230"/>
        <v/>
      </c>
      <c r="X3862" s="811" t="str">
        <f t="shared" si="229"/>
        <v/>
      </c>
      <c r="AJ3862" s="865"/>
    </row>
    <row r="3863" spans="13:36">
      <c r="M3863" s="811" t="str">
        <f t="shared" si="230"/>
        <v/>
      </c>
      <c r="X3863" s="811" t="str">
        <f t="shared" si="229"/>
        <v/>
      </c>
      <c r="AJ3863" s="865"/>
    </row>
    <row r="3864" spans="13:36">
      <c r="M3864" s="811" t="str">
        <f t="shared" si="230"/>
        <v/>
      </c>
      <c r="X3864" s="811" t="str">
        <f t="shared" si="229"/>
        <v/>
      </c>
      <c r="AJ3864" s="865"/>
    </row>
    <row r="3865" spans="13:36">
      <c r="M3865" s="811" t="str">
        <f t="shared" si="230"/>
        <v/>
      </c>
      <c r="X3865" s="811" t="str">
        <f t="shared" si="229"/>
        <v/>
      </c>
      <c r="AJ3865" s="865"/>
    </row>
    <row r="3866" spans="13:36">
      <c r="M3866" s="811" t="str">
        <f t="shared" si="230"/>
        <v/>
      </c>
      <c r="X3866" s="811" t="str">
        <f t="shared" si="229"/>
        <v/>
      </c>
      <c r="AJ3866" s="865"/>
    </row>
    <row r="3867" spans="13:36">
      <c r="M3867" s="811" t="str">
        <f t="shared" si="230"/>
        <v/>
      </c>
      <c r="X3867" s="811" t="str">
        <f t="shared" si="229"/>
        <v/>
      </c>
      <c r="AJ3867" s="865"/>
    </row>
    <row r="3868" spans="13:36">
      <c r="M3868" s="811" t="str">
        <f t="shared" si="230"/>
        <v/>
      </c>
      <c r="X3868" s="811" t="str">
        <f t="shared" si="229"/>
        <v/>
      </c>
      <c r="AJ3868" s="865"/>
    </row>
    <row r="3869" spans="13:36">
      <c r="M3869" s="811" t="str">
        <f t="shared" si="230"/>
        <v/>
      </c>
      <c r="X3869" s="811" t="str">
        <f t="shared" si="229"/>
        <v/>
      </c>
      <c r="AJ3869" s="865"/>
    </row>
    <row r="3870" spans="13:36">
      <c r="M3870" s="811" t="str">
        <f t="shared" si="230"/>
        <v/>
      </c>
      <c r="X3870" s="811" t="str">
        <f t="shared" si="229"/>
        <v/>
      </c>
      <c r="AJ3870" s="865"/>
    </row>
    <row r="3871" spans="13:36">
      <c r="M3871" s="811" t="str">
        <f t="shared" si="230"/>
        <v/>
      </c>
      <c r="X3871" s="811" t="str">
        <f t="shared" si="229"/>
        <v/>
      </c>
      <c r="AJ3871" s="865"/>
    </row>
    <row r="3872" spans="13:36">
      <c r="M3872" s="811" t="str">
        <f t="shared" si="230"/>
        <v/>
      </c>
      <c r="X3872" s="811" t="str">
        <f t="shared" si="229"/>
        <v/>
      </c>
      <c r="AJ3872" s="865"/>
    </row>
    <row r="3873" spans="13:36">
      <c r="M3873" s="811" t="str">
        <f t="shared" si="230"/>
        <v/>
      </c>
      <c r="X3873" s="811" t="str">
        <f t="shared" si="229"/>
        <v/>
      </c>
      <c r="AJ3873" s="865"/>
    </row>
    <row r="3874" spans="13:36">
      <c r="M3874" s="811" t="str">
        <f t="shared" si="230"/>
        <v/>
      </c>
      <c r="X3874" s="811" t="str">
        <f t="shared" si="229"/>
        <v/>
      </c>
      <c r="AJ3874" s="865"/>
    </row>
    <row r="3875" spans="13:36">
      <c r="M3875" s="811" t="str">
        <f t="shared" si="230"/>
        <v/>
      </c>
      <c r="X3875" s="811" t="str">
        <f t="shared" si="229"/>
        <v/>
      </c>
      <c r="AJ3875" s="865"/>
    </row>
    <row r="3876" spans="13:36">
      <c r="M3876" s="811" t="str">
        <f t="shared" si="230"/>
        <v/>
      </c>
      <c r="X3876" s="811" t="str">
        <f t="shared" si="229"/>
        <v/>
      </c>
      <c r="AJ3876" s="865"/>
    </row>
    <row r="3877" spans="13:36">
      <c r="M3877" s="811" t="str">
        <f t="shared" si="230"/>
        <v/>
      </c>
      <c r="X3877" s="811" t="str">
        <f t="shared" si="229"/>
        <v/>
      </c>
      <c r="AJ3877" s="865"/>
    </row>
    <row r="3878" spans="13:36">
      <c r="M3878" s="811" t="str">
        <f t="shared" si="230"/>
        <v/>
      </c>
      <c r="X3878" s="811" t="str">
        <f t="shared" si="229"/>
        <v/>
      </c>
      <c r="AJ3878" s="865"/>
    </row>
    <row r="3879" spans="13:36">
      <c r="M3879" s="811" t="str">
        <f t="shared" si="230"/>
        <v/>
      </c>
      <c r="X3879" s="811" t="str">
        <f t="shared" si="229"/>
        <v/>
      </c>
      <c r="AJ3879" s="865"/>
    </row>
    <row r="3880" spans="13:36">
      <c r="M3880" s="811" t="str">
        <f t="shared" si="230"/>
        <v/>
      </c>
      <c r="X3880" s="811" t="str">
        <f t="shared" si="229"/>
        <v/>
      </c>
      <c r="AJ3880" s="865"/>
    </row>
    <row r="3881" spans="13:36">
      <c r="M3881" s="811" t="str">
        <f t="shared" si="230"/>
        <v/>
      </c>
      <c r="X3881" s="811" t="str">
        <f t="shared" si="229"/>
        <v/>
      </c>
      <c r="AJ3881" s="865"/>
    </row>
    <row r="3882" spans="13:36">
      <c r="M3882" s="811" t="str">
        <f t="shared" si="230"/>
        <v/>
      </c>
      <c r="X3882" s="811" t="str">
        <f t="shared" si="229"/>
        <v/>
      </c>
      <c r="AJ3882" s="865"/>
    </row>
    <row r="3883" spans="13:36">
      <c r="M3883" s="811" t="str">
        <f t="shared" si="230"/>
        <v/>
      </c>
      <c r="X3883" s="811" t="str">
        <f t="shared" si="229"/>
        <v/>
      </c>
      <c r="AJ3883" s="865"/>
    </row>
    <row r="3884" spans="13:36">
      <c r="M3884" s="811" t="str">
        <f t="shared" si="230"/>
        <v/>
      </c>
      <c r="X3884" s="811" t="str">
        <f t="shared" si="229"/>
        <v/>
      </c>
      <c r="AJ3884" s="865"/>
    </row>
    <row r="3885" spans="13:36">
      <c r="M3885" s="811" t="str">
        <f t="shared" si="230"/>
        <v/>
      </c>
      <c r="X3885" s="811" t="str">
        <f t="shared" si="229"/>
        <v/>
      </c>
      <c r="AJ3885" s="865"/>
    </row>
    <row r="3886" spans="13:36">
      <c r="M3886" s="811" t="str">
        <f t="shared" si="230"/>
        <v/>
      </c>
      <c r="X3886" s="811" t="str">
        <f t="shared" si="229"/>
        <v/>
      </c>
      <c r="AJ3886" s="865"/>
    </row>
    <row r="3887" spans="13:36">
      <c r="M3887" s="811" t="str">
        <f t="shared" si="230"/>
        <v/>
      </c>
      <c r="X3887" s="811" t="str">
        <f t="shared" si="229"/>
        <v/>
      </c>
      <c r="AJ3887" s="865"/>
    </row>
    <row r="3888" spans="13:36">
      <c r="M3888" s="811" t="str">
        <f t="shared" si="230"/>
        <v/>
      </c>
      <c r="X3888" s="811" t="str">
        <f t="shared" si="229"/>
        <v/>
      </c>
      <c r="AJ3888" s="865"/>
    </row>
    <row r="3889" spans="13:36">
      <c r="M3889" s="811" t="str">
        <f t="shared" si="230"/>
        <v/>
      </c>
      <c r="X3889" s="811" t="str">
        <f t="shared" si="229"/>
        <v/>
      </c>
      <c r="AJ3889" s="865"/>
    </row>
    <row r="3890" spans="13:36">
      <c r="M3890" s="811" t="str">
        <f t="shared" si="230"/>
        <v/>
      </c>
      <c r="X3890" s="811" t="str">
        <f t="shared" si="229"/>
        <v/>
      </c>
      <c r="AJ3890" s="865"/>
    </row>
    <row r="3891" spans="13:36">
      <c r="M3891" s="811" t="str">
        <f t="shared" si="230"/>
        <v/>
      </c>
      <c r="X3891" s="811" t="str">
        <f t="shared" ref="X3891:X3954" si="231">IF(ISBLANK(W3891)=TRUE,"",LOOKUP(W3891,GO:GP))</f>
        <v/>
      </c>
      <c r="AJ3891" s="865"/>
    </row>
    <row r="3892" spans="13:36">
      <c r="M3892" s="811" t="str">
        <f t="shared" si="230"/>
        <v/>
      </c>
      <c r="X3892" s="811" t="str">
        <f t="shared" si="231"/>
        <v/>
      </c>
      <c r="AJ3892" s="865"/>
    </row>
    <row r="3893" spans="13:36">
      <c r="M3893" s="811" t="str">
        <f t="shared" si="230"/>
        <v/>
      </c>
      <c r="X3893" s="811" t="str">
        <f t="shared" si="231"/>
        <v/>
      </c>
      <c r="AJ3893" s="865"/>
    </row>
    <row r="3894" spans="13:36">
      <c r="M3894" s="811" t="str">
        <f t="shared" si="230"/>
        <v/>
      </c>
      <c r="X3894" s="811" t="str">
        <f t="shared" si="231"/>
        <v/>
      </c>
      <c r="AJ3894" s="865"/>
    </row>
    <row r="3895" spans="13:36">
      <c r="M3895" s="811" t="str">
        <f t="shared" si="230"/>
        <v/>
      </c>
      <c r="X3895" s="811" t="str">
        <f t="shared" si="231"/>
        <v/>
      </c>
      <c r="AJ3895" s="865"/>
    </row>
    <row r="3896" spans="13:36">
      <c r="M3896" s="811" t="str">
        <f t="shared" si="230"/>
        <v/>
      </c>
      <c r="X3896" s="811" t="str">
        <f t="shared" si="231"/>
        <v/>
      </c>
      <c r="AJ3896" s="865"/>
    </row>
    <row r="3897" spans="13:36">
      <c r="M3897" s="811" t="str">
        <f t="shared" si="230"/>
        <v/>
      </c>
      <c r="X3897" s="811" t="str">
        <f t="shared" si="231"/>
        <v/>
      </c>
      <c r="AJ3897" s="865"/>
    </row>
    <row r="3898" spans="13:36">
      <c r="M3898" s="811" t="str">
        <f t="shared" si="230"/>
        <v/>
      </c>
      <c r="X3898" s="811" t="str">
        <f t="shared" si="231"/>
        <v/>
      </c>
      <c r="AJ3898" s="865"/>
    </row>
    <row r="3899" spans="13:36">
      <c r="M3899" s="811" t="str">
        <f t="shared" si="230"/>
        <v/>
      </c>
      <c r="X3899" s="811" t="str">
        <f t="shared" si="231"/>
        <v/>
      </c>
      <c r="AJ3899" s="865"/>
    </row>
    <row r="3900" spans="13:36">
      <c r="M3900" s="811" t="str">
        <f t="shared" si="230"/>
        <v/>
      </c>
      <c r="X3900" s="811" t="str">
        <f t="shared" si="231"/>
        <v/>
      </c>
      <c r="AJ3900" s="865"/>
    </row>
    <row r="3901" spans="13:36">
      <c r="M3901" s="811" t="str">
        <f t="shared" si="230"/>
        <v/>
      </c>
      <c r="X3901" s="811" t="str">
        <f t="shared" si="231"/>
        <v/>
      </c>
      <c r="AJ3901" s="865"/>
    </row>
    <row r="3902" spans="13:36">
      <c r="M3902" s="811" t="str">
        <f t="shared" si="230"/>
        <v/>
      </c>
      <c r="X3902" s="811" t="str">
        <f t="shared" si="231"/>
        <v/>
      </c>
      <c r="AJ3902" s="865"/>
    </row>
    <row r="3903" spans="13:36">
      <c r="M3903" s="811" t="str">
        <f t="shared" si="230"/>
        <v/>
      </c>
      <c r="X3903" s="811" t="str">
        <f t="shared" si="231"/>
        <v/>
      </c>
      <c r="AJ3903" s="865"/>
    </row>
    <row r="3904" spans="13:36">
      <c r="M3904" s="811" t="str">
        <f t="shared" si="230"/>
        <v/>
      </c>
      <c r="X3904" s="811" t="str">
        <f t="shared" si="231"/>
        <v/>
      </c>
      <c r="AJ3904" s="865"/>
    </row>
    <row r="3905" spans="13:36">
      <c r="M3905" s="811" t="str">
        <f t="shared" si="230"/>
        <v/>
      </c>
      <c r="X3905" s="811" t="str">
        <f t="shared" si="231"/>
        <v/>
      </c>
      <c r="AJ3905" s="865"/>
    </row>
    <row r="3906" spans="13:36">
      <c r="M3906" s="811" t="str">
        <f t="shared" si="230"/>
        <v/>
      </c>
      <c r="X3906" s="811" t="str">
        <f t="shared" si="231"/>
        <v/>
      </c>
      <c r="AJ3906" s="865"/>
    </row>
    <row r="3907" spans="13:36">
      <c r="M3907" s="811" t="str">
        <f t="shared" si="230"/>
        <v/>
      </c>
      <c r="X3907" s="811" t="str">
        <f t="shared" si="231"/>
        <v/>
      </c>
      <c r="AJ3907" s="865"/>
    </row>
    <row r="3908" spans="13:36">
      <c r="M3908" s="811" t="str">
        <f t="shared" si="230"/>
        <v/>
      </c>
      <c r="X3908" s="811" t="str">
        <f t="shared" si="231"/>
        <v/>
      </c>
      <c r="AJ3908" s="865"/>
    </row>
    <row r="3909" spans="13:36">
      <c r="M3909" s="811" t="str">
        <f t="shared" si="230"/>
        <v/>
      </c>
      <c r="X3909" s="811" t="str">
        <f t="shared" si="231"/>
        <v/>
      </c>
      <c r="AJ3909" s="865"/>
    </row>
    <row r="3910" spans="13:36">
      <c r="M3910" s="811" t="str">
        <f t="shared" si="230"/>
        <v/>
      </c>
      <c r="X3910" s="811" t="str">
        <f t="shared" si="231"/>
        <v/>
      </c>
      <c r="AJ3910" s="865"/>
    </row>
    <row r="3911" spans="13:36">
      <c r="M3911" s="811" t="str">
        <f t="shared" si="230"/>
        <v/>
      </c>
      <c r="X3911" s="811" t="str">
        <f t="shared" si="231"/>
        <v/>
      </c>
      <c r="AJ3911" s="865"/>
    </row>
    <row r="3912" spans="13:36">
      <c r="M3912" s="811" t="str">
        <f t="shared" si="230"/>
        <v/>
      </c>
      <c r="X3912" s="811" t="str">
        <f t="shared" si="231"/>
        <v/>
      </c>
      <c r="AJ3912" s="865"/>
    </row>
    <row r="3913" spans="13:36">
      <c r="M3913" s="811" t="str">
        <f t="shared" si="230"/>
        <v/>
      </c>
      <c r="X3913" s="811" t="str">
        <f t="shared" si="231"/>
        <v/>
      </c>
      <c r="AJ3913" s="865"/>
    </row>
    <row r="3914" spans="13:36">
      <c r="M3914" s="811" t="str">
        <f t="shared" si="230"/>
        <v/>
      </c>
      <c r="X3914" s="811" t="str">
        <f t="shared" si="231"/>
        <v/>
      </c>
      <c r="AJ3914" s="865"/>
    </row>
    <row r="3915" spans="13:36">
      <c r="M3915" s="811" t="str">
        <f t="shared" si="230"/>
        <v/>
      </c>
      <c r="X3915" s="811" t="str">
        <f t="shared" si="231"/>
        <v/>
      </c>
      <c r="AJ3915" s="865"/>
    </row>
    <row r="3916" spans="13:36">
      <c r="M3916" s="811" t="str">
        <f t="shared" ref="M3916:M3979" si="232">IF(ISBLANK(L3916)=TRUE,"",LOOKUP(L3916,GQ:GR))</f>
        <v/>
      </c>
      <c r="X3916" s="811" t="str">
        <f t="shared" si="231"/>
        <v/>
      </c>
      <c r="AJ3916" s="865"/>
    </row>
    <row r="3917" spans="13:36">
      <c r="M3917" s="811" t="str">
        <f t="shared" si="232"/>
        <v/>
      </c>
      <c r="X3917" s="811" t="str">
        <f t="shared" si="231"/>
        <v/>
      </c>
      <c r="AJ3917" s="865"/>
    </row>
    <row r="3918" spans="13:36">
      <c r="M3918" s="811" t="str">
        <f t="shared" si="232"/>
        <v/>
      </c>
      <c r="X3918" s="811" t="str">
        <f t="shared" si="231"/>
        <v/>
      </c>
      <c r="AJ3918" s="865"/>
    </row>
    <row r="3919" spans="13:36">
      <c r="M3919" s="811" t="str">
        <f t="shared" si="232"/>
        <v/>
      </c>
      <c r="X3919" s="811" t="str">
        <f t="shared" si="231"/>
        <v/>
      </c>
      <c r="AJ3919" s="865"/>
    </row>
    <row r="3920" spans="13:36">
      <c r="M3920" s="811" t="str">
        <f t="shared" si="232"/>
        <v/>
      </c>
      <c r="X3920" s="811" t="str">
        <f t="shared" si="231"/>
        <v/>
      </c>
      <c r="AJ3920" s="865"/>
    </row>
    <row r="3921" spans="13:36">
      <c r="M3921" s="811" t="str">
        <f t="shared" si="232"/>
        <v/>
      </c>
      <c r="X3921" s="811" t="str">
        <f t="shared" si="231"/>
        <v/>
      </c>
      <c r="AJ3921" s="865"/>
    </row>
    <row r="3922" spans="13:36">
      <c r="M3922" s="811" t="str">
        <f t="shared" si="232"/>
        <v/>
      </c>
      <c r="X3922" s="811" t="str">
        <f t="shared" si="231"/>
        <v/>
      </c>
      <c r="AJ3922" s="865"/>
    </row>
    <row r="3923" spans="13:36">
      <c r="M3923" s="811" t="str">
        <f t="shared" si="232"/>
        <v/>
      </c>
      <c r="X3923" s="811" t="str">
        <f t="shared" si="231"/>
        <v/>
      </c>
      <c r="AJ3923" s="865"/>
    </row>
    <row r="3924" spans="13:36">
      <c r="M3924" s="811" t="str">
        <f t="shared" si="232"/>
        <v/>
      </c>
      <c r="X3924" s="811" t="str">
        <f t="shared" si="231"/>
        <v/>
      </c>
      <c r="AJ3924" s="865"/>
    </row>
    <row r="3925" spans="13:36">
      <c r="M3925" s="811" t="str">
        <f t="shared" si="232"/>
        <v/>
      </c>
      <c r="X3925" s="811" t="str">
        <f t="shared" si="231"/>
        <v/>
      </c>
      <c r="AJ3925" s="865"/>
    </row>
    <row r="3926" spans="13:36">
      <c r="M3926" s="811" t="str">
        <f t="shared" si="232"/>
        <v/>
      </c>
      <c r="X3926" s="811" t="str">
        <f t="shared" si="231"/>
        <v/>
      </c>
      <c r="AJ3926" s="865"/>
    </row>
    <row r="3927" spans="13:36">
      <c r="M3927" s="811" t="str">
        <f t="shared" si="232"/>
        <v/>
      </c>
      <c r="X3927" s="811" t="str">
        <f t="shared" si="231"/>
        <v/>
      </c>
      <c r="AJ3927" s="865"/>
    </row>
    <row r="3928" spans="13:36">
      <c r="M3928" s="811" t="str">
        <f t="shared" si="232"/>
        <v/>
      </c>
      <c r="X3928" s="811" t="str">
        <f t="shared" si="231"/>
        <v/>
      </c>
      <c r="AJ3928" s="865"/>
    </row>
    <row r="3929" spans="13:36">
      <c r="M3929" s="811" t="str">
        <f t="shared" si="232"/>
        <v/>
      </c>
      <c r="X3929" s="811" t="str">
        <f t="shared" si="231"/>
        <v/>
      </c>
      <c r="AJ3929" s="865"/>
    </row>
    <row r="3930" spans="13:36">
      <c r="M3930" s="811" t="str">
        <f t="shared" si="232"/>
        <v/>
      </c>
      <c r="X3930" s="811" t="str">
        <f t="shared" si="231"/>
        <v/>
      </c>
      <c r="AJ3930" s="865"/>
    </row>
    <row r="3931" spans="13:36">
      <c r="M3931" s="811" t="str">
        <f t="shared" si="232"/>
        <v/>
      </c>
      <c r="X3931" s="811" t="str">
        <f t="shared" si="231"/>
        <v/>
      </c>
      <c r="AJ3931" s="865"/>
    </row>
    <row r="3932" spans="13:36">
      <c r="M3932" s="811" t="str">
        <f t="shared" si="232"/>
        <v/>
      </c>
      <c r="X3932" s="811" t="str">
        <f t="shared" si="231"/>
        <v/>
      </c>
      <c r="AJ3932" s="865"/>
    </row>
    <row r="3933" spans="13:36">
      <c r="M3933" s="811" t="str">
        <f t="shared" si="232"/>
        <v/>
      </c>
      <c r="X3933" s="811" t="str">
        <f t="shared" si="231"/>
        <v/>
      </c>
      <c r="AJ3933" s="865"/>
    </row>
    <row r="3934" spans="13:36">
      <c r="M3934" s="811" t="str">
        <f t="shared" si="232"/>
        <v/>
      </c>
      <c r="X3934" s="811" t="str">
        <f t="shared" si="231"/>
        <v/>
      </c>
      <c r="AJ3934" s="865"/>
    </row>
    <row r="3935" spans="13:36">
      <c r="M3935" s="811" t="str">
        <f t="shared" si="232"/>
        <v/>
      </c>
      <c r="X3935" s="811" t="str">
        <f t="shared" si="231"/>
        <v/>
      </c>
      <c r="AJ3935" s="865"/>
    </row>
    <row r="3936" spans="13:36">
      <c r="M3936" s="811" t="str">
        <f t="shared" si="232"/>
        <v/>
      </c>
      <c r="X3936" s="811" t="str">
        <f t="shared" si="231"/>
        <v/>
      </c>
      <c r="AJ3936" s="865"/>
    </row>
    <row r="3937" spans="13:36">
      <c r="M3937" s="811" t="str">
        <f t="shared" si="232"/>
        <v/>
      </c>
      <c r="X3937" s="811" t="str">
        <f t="shared" si="231"/>
        <v/>
      </c>
      <c r="AJ3937" s="865"/>
    </row>
    <row r="3938" spans="13:36">
      <c r="M3938" s="811" t="str">
        <f t="shared" si="232"/>
        <v/>
      </c>
      <c r="X3938" s="811" t="str">
        <f t="shared" si="231"/>
        <v/>
      </c>
      <c r="AJ3938" s="865"/>
    </row>
    <row r="3939" spans="13:36">
      <c r="M3939" s="811" t="str">
        <f t="shared" si="232"/>
        <v/>
      </c>
      <c r="X3939" s="811" t="str">
        <f t="shared" si="231"/>
        <v/>
      </c>
      <c r="AJ3939" s="865"/>
    </row>
    <row r="3940" spans="13:36">
      <c r="M3940" s="811" t="str">
        <f t="shared" si="232"/>
        <v/>
      </c>
      <c r="X3940" s="811" t="str">
        <f t="shared" si="231"/>
        <v/>
      </c>
      <c r="AJ3940" s="865"/>
    </row>
    <row r="3941" spans="13:36">
      <c r="M3941" s="811" t="str">
        <f t="shared" si="232"/>
        <v/>
      </c>
      <c r="X3941" s="811" t="str">
        <f t="shared" si="231"/>
        <v/>
      </c>
      <c r="AJ3941" s="865"/>
    </row>
    <row r="3942" spans="13:36">
      <c r="M3942" s="811" t="str">
        <f t="shared" si="232"/>
        <v/>
      </c>
      <c r="X3942" s="811" t="str">
        <f t="shared" si="231"/>
        <v/>
      </c>
      <c r="AJ3942" s="865"/>
    </row>
    <row r="3943" spans="13:36">
      <c r="M3943" s="811" t="str">
        <f t="shared" si="232"/>
        <v/>
      </c>
      <c r="X3943" s="811" t="str">
        <f t="shared" si="231"/>
        <v/>
      </c>
      <c r="AJ3943" s="865"/>
    </row>
    <row r="3944" spans="13:36">
      <c r="M3944" s="811" t="str">
        <f t="shared" si="232"/>
        <v/>
      </c>
      <c r="X3944" s="811" t="str">
        <f t="shared" si="231"/>
        <v/>
      </c>
      <c r="AJ3944" s="865"/>
    </row>
    <row r="3945" spans="13:36">
      <c r="M3945" s="811" t="str">
        <f t="shared" si="232"/>
        <v/>
      </c>
      <c r="X3945" s="811" t="str">
        <f t="shared" si="231"/>
        <v/>
      </c>
      <c r="AJ3945" s="865"/>
    </row>
    <row r="3946" spans="13:36">
      <c r="M3946" s="811" t="str">
        <f t="shared" si="232"/>
        <v/>
      </c>
      <c r="X3946" s="811" t="str">
        <f t="shared" si="231"/>
        <v/>
      </c>
      <c r="AJ3946" s="865"/>
    </row>
    <row r="3947" spans="13:36">
      <c r="M3947" s="811" t="str">
        <f t="shared" si="232"/>
        <v/>
      </c>
      <c r="X3947" s="811" t="str">
        <f t="shared" si="231"/>
        <v/>
      </c>
      <c r="AJ3947" s="865"/>
    </row>
    <row r="3948" spans="13:36">
      <c r="M3948" s="811" t="str">
        <f t="shared" si="232"/>
        <v/>
      </c>
      <c r="X3948" s="811" t="str">
        <f t="shared" si="231"/>
        <v/>
      </c>
      <c r="AJ3948" s="865"/>
    </row>
    <row r="3949" spans="13:36">
      <c r="M3949" s="811" t="str">
        <f t="shared" si="232"/>
        <v/>
      </c>
      <c r="X3949" s="811" t="str">
        <f t="shared" si="231"/>
        <v/>
      </c>
      <c r="AJ3949" s="865"/>
    </row>
    <row r="3950" spans="13:36">
      <c r="M3950" s="811" t="str">
        <f t="shared" si="232"/>
        <v/>
      </c>
      <c r="X3950" s="811" t="str">
        <f t="shared" si="231"/>
        <v/>
      </c>
      <c r="AJ3950" s="865"/>
    </row>
    <row r="3951" spans="13:36">
      <c r="M3951" s="811" t="str">
        <f t="shared" si="232"/>
        <v/>
      </c>
      <c r="X3951" s="811" t="str">
        <f t="shared" si="231"/>
        <v/>
      </c>
      <c r="AJ3951" s="865"/>
    </row>
    <row r="3952" spans="13:36">
      <c r="M3952" s="811" t="str">
        <f t="shared" si="232"/>
        <v/>
      </c>
      <c r="X3952" s="811" t="str">
        <f t="shared" si="231"/>
        <v/>
      </c>
      <c r="AJ3952" s="865"/>
    </row>
    <row r="3953" spans="13:36">
      <c r="M3953" s="811" t="str">
        <f t="shared" si="232"/>
        <v/>
      </c>
      <c r="X3953" s="811" t="str">
        <f t="shared" si="231"/>
        <v/>
      </c>
      <c r="AJ3953" s="865"/>
    </row>
    <row r="3954" spans="13:36">
      <c r="M3954" s="811" t="str">
        <f t="shared" si="232"/>
        <v/>
      </c>
      <c r="X3954" s="811" t="str">
        <f t="shared" si="231"/>
        <v/>
      </c>
      <c r="AJ3954" s="865"/>
    </row>
    <row r="3955" spans="13:36">
      <c r="M3955" s="811" t="str">
        <f t="shared" si="232"/>
        <v/>
      </c>
      <c r="X3955" s="811" t="str">
        <f t="shared" ref="X3955:X4018" si="233">IF(ISBLANK(W3955)=TRUE,"",LOOKUP(W3955,GO:GP))</f>
        <v/>
      </c>
      <c r="AJ3955" s="865"/>
    </row>
    <row r="3956" spans="13:36">
      <c r="M3956" s="811" t="str">
        <f t="shared" si="232"/>
        <v/>
      </c>
      <c r="X3956" s="811" t="str">
        <f t="shared" si="233"/>
        <v/>
      </c>
      <c r="AJ3956" s="865"/>
    </row>
    <row r="3957" spans="13:36">
      <c r="M3957" s="811" t="str">
        <f t="shared" si="232"/>
        <v/>
      </c>
      <c r="X3957" s="811" t="str">
        <f t="shared" si="233"/>
        <v/>
      </c>
      <c r="AJ3957" s="865"/>
    </row>
    <row r="3958" spans="13:36">
      <c r="M3958" s="811" t="str">
        <f t="shared" si="232"/>
        <v/>
      </c>
      <c r="X3958" s="811" t="str">
        <f t="shared" si="233"/>
        <v/>
      </c>
      <c r="AJ3958" s="865"/>
    </row>
    <row r="3959" spans="13:36">
      <c r="M3959" s="811" t="str">
        <f t="shared" si="232"/>
        <v/>
      </c>
      <c r="X3959" s="811" t="str">
        <f t="shared" si="233"/>
        <v/>
      </c>
      <c r="AJ3959" s="865"/>
    </row>
    <row r="3960" spans="13:36">
      <c r="M3960" s="811" t="str">
        <f t="shared" si="232"/>
        <v/>
      </c>
      <c r="X3960" s="811" t="str">
        <f t="shared" si="233"/>
        <v/>
      </c>
      <c r="AJ3960" s="865"/>
    </row>
    <row r="3961" spans="13:36">
      <c r="M3961" s="811" t="str">
        <f t="shared" si="232"/>
        <v/>
      </c>
      <c r="X3961" s="811" t="str">
        <f t="shared" si="233"/>
        <v/>
      </c>
      <c r="AJ3961" s="865"/>
    </row>
    <row r="3962" spans="13:36">
      <c r="M3962" s="811" t="str">
        <f t="shared" si="232"/>
        <v/>
      </c>
      <c r="X3962" s="811" t="str">
        <f t="shared" si="233"/>
        <v/>
      </c>
      <c r="AJ3962" s="865"/>
    </row>
    <row r="3963" spans="13:36">
      <c r="M3963" s="811" t="str">
        <f t="shared" si="232"/>
        <v/>
      </c>
      <c r="X3963" s="811" t="str">
        <f t="shared" si="233"/>
        <v/>
      </c>
      <c r="AJ3963" s="865"/>
    </row>
    <row r="3964" spans="13:36">
      <c r="M3964" s="811" t="str">
        <f t="shared" si="232"/>
        <v/>
      </c>
      <c r="X3964" s="811" t="str">
        <f t="shared" si="233"/>
        <v/>
      </c>
      <c r="AJ3964" s="865"/>
    </row>
    <row r="3965" spans="13:36">
      <c r="M3965" s="811" t="str">
        <f t="shared" si="232"/>
        <v/>
      </c>
      <c r="X3965" s="811" t="str">
        <f t="shared" si="233"/>
        <v/>
      </c>
      <c r="AJ3965" s="865"/>
    </row>
    <row r="3966" spans="13:36">
      <c r="M3966" s="811" t="str">
        <f t="shared" si="232"/>
        <v/>
      </c>
      <c r="X3966" s="811" t="str">
        <f t="shared" si="233"/>
        <v/>
      </c>
      <c r="AJ3966" s="865"/>
    </row>
    <row r="3967" spans="13:36">
      <c r="M3967" s="811" t="str">
        <f t="shared" si="232"/>
        <v/>
      </c>
      <c r="X3967" s="811" t="str">
        <f t="shared" si="233"/>
        <v/>
      </c>
      <c r="AJ3967" s="865"/>
    </row>
    <row r="3968" spans="13:36">
      <c r="M3968" s="811" t="str">
        <f t="shared" si="232"/>
        <v/>
      </c>
      <c r="X3968" s="811" t="str">
        <f t="shared" si="233"/>
        <v/>
      </c>
      <c r="AJ3968" s="865"/>
    </row>
    <row r="3969" spans="13:36">
      <c r="M3969" s="811" t="str">
        <f t="shared" si="232"/>
        <v/>
      </c>
      <c r="X3969" s="811" t="str">
        <f t="shared" si="233"/>
        <v/>
      </c>
      <c r="AJ3969" s="865"/>
    </row>
    <row r="3970" spans="13:36">
      <c r="M3970" s="811" t="str">
        <f t="shared" si="232"/>
        <v/>
      </c>
      <c r="X3970" s="811" t="str">
        <f t="shared" si="233"/>
        <v/>
      </c>
      <c r="AJ3970" s="865"/>
    </row>
    <row r="3971" spans="13:36">
      <c r="M3971" s="811" t="str">
        <f t="shared" si="232"/>
        <v/>
      </c>
      <c r="X3971" s="811" t="str">
        <f t="shared" si="233"/>
        <v/>
      </c>
      <c r="AJ3971" s="865"/>
    </row>
    <row r="3972" spans="13:36">
      <c r="M3972" s="811" t="str">
        <f t="shared" si="232"/>
        <v/>
      </c>
      <c r="X3972" s="811" t="str">
        <f t="shared" si="233"/>
        <v/>
      </c>
      <c r="AJ3972" s="865"/>
    </row>
    <row r="3973" spans="13:36">
      <c r="M3973" s="811" t="str">
        <f t="shared" si="232"/>
        <v/>
      </c>
      <c r="X3973" s="811" t="str">
        <f t="shared" si="233"/>
        <v/>
      </c>
      <c r="AJ3973" s="865"/>
    </row>
    <row r="3974" spans="13:36">
      <c r="M3974" s="811" t="str">
        <f t="shared" si="232"/>
        <v/>
      </c>
      <c r="X3974" s="811" t="str">
        <f t="shared" si="233"/>
        <v/>
      </c>
      <c r="AJ3974" s="865"/>
    </row>
    <row r="3975" spans="13:36">
      <c r="M3975" s="811" t="str">
        <f t="shared" si="232"/>
        <v/>
      </c>
      <c r="X3975" s="811" t="str">
        <f t="shared" si="233"/>
        <v/>
      </c>
      <c r="AJ3975" s="865"/>
    </row>
    <row r="3976" spans="13:36">
      <c r="M3976" s="811" t="str">
        <f t="shared" si="232"/>
        <v/>
      </c>
      <c r="X3976" s="811" t="str">
        <f t="shared" si="233"/>
        <v/>
      </c>
      <c r="AJ3976" s="865"/>
    </row>
    <row r="3977" spans="13:36">
      <c r="M3977" s="811" t="str">
        <f t="shared" si="232"/>
        <v/>
      </c>
      <c r="X3977" s="811" t="str">
        <f t="shared" si="233"/>
        <v/>
      </c>
      <c r="AJ3977" s="865"/>
    </row>
    <row r="3978" spans="13:36">
      <c r="M3978" s="811" t="str">
        <f t="shared" si="232"/>
        <v/>
      </c>
      <c r="X3978" s="811" t="str">
        <f t="shared" si="233"/>
        <v/>
      </c>
      <c r="AJ3978" s="865"/>
    </row>
    <row r="3979" spans="13:36">
      <c r="M3979" s="811" t="str">
        <f t="shared" si="232"/>
        <v/>
      </c>
      <c r="X3979" s="811" t="str">
        <f t="shared" si="233"/>
        <v/>
      </c>
      <c r="AJ3979" s="865"/>
    </row>
    <row r="3980" spans="13:36">
      <c r="M3980" s="811" t="str">
        <f t="shared" ref="M3980:M4043" si="234">IF(ISBLANK(L3980)=TRUE,"",LOOKUP(L3980,GQ:GR))</f>
        <v/>
      </c>
      <c r="X3980" s="811" t="str">
        <f t="shared" si="233"/>
        <v/>
      </c>
      <c r="AJ3980" s="865"/>
    </row>
    <row r="3981" spans="13:36">
      <c r="M3981" s="811" t="str">
        <f t="shared" si="234"/>
        <v/>
      </c>
      <c r="X3981" s="811" t="str">
        <f t="shared" si="233"/>
        <v/>
      </c>
      <c r="AJ3981" s="865"/>
    </row>
    <row r="3982" spans="13:36">
      <c r="M3982" s="811" t="str">
        <f t="shared" si="234"/>
        <v/>
      </c>
      <c r="X3982" s="811" t="str">
        <f t="shared" si="233"/>
        <v/>
      </c>
      <c r="AJ3982" s="865"/>
    </row>
    <row r="3983" spans="13:36">
      <c r="M3983" s="811" t="str">
        <f t="shared" si="234"/>
        <v/>
      </c>
      <c r="X3983" s="811" t="str">
        <f t="shared" si="233"/>
        <v/>
      </c>
      <c r="AJ3983" s="865"/>
    </row>
    <row r="3984" spans="13:36">
      <c r="M3984" s="811" t="str">
        <f t="shared" si="234"/>
        <v/>
      </c>
      <c r="X3984" s="811" t="str">
        <f t="shared" si="233"/>
        <v/>
      </c>
      <c r="AJ3984" s="865"/>
    </row>
    <row r="3985" spans="13:36">
      <c r="M3985" s="811" t="str">
        <f t="shared" si="234"/>
        <v/>
      </c>
      <c r="X3985" s="811" t="str">
        <f t="shared" si="233"/>
        <v/>
      </c>
      <c r="AJ3985" s="865"/>
    </row>
    <row r="3986" spans="13:36">
      <c r="M3986" s="811" t="str">
        <f t="shared" si="234"/>
        <v/>
      </c>
      <c r="X3986" s="811" t="str">
        <f t="shared" si="233"/>
        <v/>
      </c>
      <c r="AJ3986" s="865"/>
    </row>
    <row r="3987" spans="13:36">
      <c r="M3987" s="811" t="str">
        <f t="shared" si="234"/>
        <v/>
      </c>
      <c r="X3987" s="811" t="str">
        <f t="shared" si="233"/>
        <v/>
      </c>
      <c r="AJ3987" s="865"/>
    </row>
    <row r="3988" spans="13:36">
      <c r="M3988" s="811" t="str">
        <f t="shared" si="234"/>
        <v/>
      </c>
      <c r="X3988" s="811" t="str">
        <f t="shared" si="233"/>
        <v/>
      </c>
      <c r="AJ3988" s="865"/>
    </row>
    <row r="3989" spans="13:36">
      <c r="M3989" s="811" t="str">
        <f t="shared" si="234"/>
        <v/>
      </c>
      <c r="X3989" s="811" t="str">
        <f t="shared" si="233"/>
        <v/>
      </c>
      <c r="AJ3989" s="865"/>
    </row>
    <row r="3990" spans="13:36">
      <c r="M3990" s="811" t="str">
        <f t="shared" si="234"/>
        <v/>
      </c>
      <c r="X3990" s="811" t="str">
        <f t="shared" si="233"/>
        <v/>
      </c>
      <c r="AJ3990" s="865"/>
    </row>
    <row r="3991" spans="13:36">
      <c r="M3991" s="811" t="str">
        <f t="shared" si="234"/>
        <v/>
      </c>
      <c r="X3991" s="811" t="str">
        <f t="shared" si="233"/>
        <v/>
      </c>
      <c r="AJ3991" s="865"/>
    </row>
    <row r="3992" spans="13:36">
      <c r="M3992" s="811" t="str">
        <f t="shared" si="234"/>
        <v/>
      </c>
      <c r="X3992" s="811" t="str">
        <f t="shared" si="233"/>
        <v/>
      </c>
      <c r="AJ3992" s="865"/>
    </row>
    <row r="3993" spans="13:36">
      <c r="M3993" s="811" t="str">
        <f t="shared" si="234"/>
        <v/>
      </c>
      <c r="X3993" s="811" t="str">
        <f t="shared" si="233"/>
        <v/>
      </c>
      <c r="AJ3993" s="865"/>
    </row>
    <row r="3994" spans="13:36">
      <c r="M3994" s="811" t="str">
        <f t="shared" si="234"/>
        <v/>
      </c>
      <c r="X3994" s="811" t="str">
        <f t="shared" si="233"/>
        <v/>
      </c>
      <c r="AJ3994" s="865"/>
    </row>
    <row r="3995" spans="13:36">
      <c r="M3995" s="811" t="str">
        <f t="shared" si="234"/>
        <v/>
      </c>
      <c r="X3995" s="811" t="str">
        <f t="shared" si="233"/>
        <v/>
      </c>
      <c r="AJ3995" s="865"/>
    </row>
    <row r="3996" spans="13:36">
      <c r="M3996" s="811" t="str">
        <f t="shared" si="234"/>
        <v/>
      </c>
      <c r="X3996" s="811" t="str">
        <f t="shared" si="233"/>
        <v/>
      </c>
      <c r="AJ3996" s="865"/>
    </row>
    <row r="3997" spans="13:36">
      <c r="M3997" s="811" t="str">
        <f t="shared" si="234"/>
        <v/>
      </c>
      <c r="X3997" s="811" t="str">
        <f t="shared" si="233"/>
        <v/>
      </c>
      <c r="AJ3997" s="865"/>
    </row>
    <row r="3998" spans="13:36">
      <c r="M3998" s="811" t="str">
        <f t="shared" si="234"/>
        <v/>
      </c>
      <c r="X3998" s="811" t="str">
        <f t="shared" si="233"/>
        <v/>
      </c>
      <c r="AJ3998" s="865"/>
    </row>
    <row r="3999" spans="13:36">
      <c r="M3999" s="811" t="str">
        <f t="shared" si="234"/>
        <v/>
      </c>
      <c r="X3999" s="811" t="str">
        <f t="shared" si="233"/>
        <v/>
      </c>
      <c r="AJ3999" s="865"/>
    </row>
    <row r="4000" spans="13:36">
      <c r="M4000" s="811" t="str">
        <f t="shared" si="234"/>
        <v/>
      </c>
      <c r="X4000" s="811" t="str">
        <f t="shared" si="233"/>
        <v/>
      </c>
      <c r="AJ4000" s="865"/>
    </row>
    <row r="4001" spans="13:36">
      <c r="M4001" s="811" t="str">
        <f t="shared" si="234"/>
        <v/>
      </c>
      <c r="X4001" s="811" t="str">
        <f t="shared" si="233"/>
        <v/>
      </c>
      <c r="AJ4001" s="865"/>
    </row>
    <row r="4002" spans="13:36">
      <c r="M4002" s="811" t="str">
        <f t="shared" si="234"/>
        <v/>
      </c>
      <c r="X4002" s="811" t="str">
        <f t="shared" si="233"/>
        <v/>
      </c>
      <c r="AJ4002" s="865"/>
    </row>
    <row r="4003" spans="13:36">
      <c r="M4003" s="811" t="str">
        <f t="shared" si="234"/>
        <v/>
      </c>
      <c r="X4003" s="811" t="str">
        <f t="shared" si="233"/>
        <v/>
      </c>
      <c r="AJ4003" s="865"/>
    </row>
    <row r="4004" spans="13:36">
      <c r="M4004" s="811" t="str">
        <f t="shared" si="234"/>
        <v/>
      </c>
      <c r="X4004" s="811" t="str">
        <f t="shared" si="233"/>
        <v/>
      </c>
      <c r="AJ4004" s="865"/>
    </row>
    <row r="4005" spans="13:36">
      <c r="M4005" s="811" t="str">
        <f t="shared" si="234"/>
        <v/>
      </c>
      <c r="X4005" s="811" t="str">
        <f t="shared" si="233"/>
        <v/>
      </c>
      <c r="AJ4005" s="865"/>
    </row>
    <row r="4006" spans="13:36">
      <c r="M4006" s="811" t="str">
        <f t="shared" si="234"/>
        <v/>
      </c>
      <c r="X4006" s="811" t="str">
        <f t="shared" si="233"/>
        <v/>
      </c>
      <c r="AJ4006" s="865"/>
    </row>
    <row r="4007" spans="13:36">
      <c r="M4007" s="811" t="str">
        <f t="shared" si="234"/>
        <v/>
      </c>
      <c r="X4007" s="811" t="str">
        <f t="shared" si="233"/>
        <v/>
      </c>
      <c r="AJ4007" s="865"/>
    </row>
    <row r="4008" spans="13:36">
      <c r="M4008" s="811" t="str">
        <f t="shared" si="234"/>
        <v/>
      </c>
      <c r="X4008" s="811" t="str">
        <f t="shared" si="233"/>
        <v/>
      </c>
      <c r="AJ4008" s="865"/>
    </row>
    <row r="4009" spans="13:36">
      <c r="M4009" s="811" t="str">
        <f t="shared" si="234"/>
        <v/>
      </c>
      <c r="X4009" s="811" t="str">
        <f t="shared" si="233"/>
        <v/>
      </c>
      <c r="AJ4009" s="865"/>
    </row>
    <row r="4010" spans="13:36">
      <c r="M4010" s="811" t="str">
        <f t="shared" si="234"/>
        <v/>
      </c>
      <c r="X4010" s="811" t="str">
        <f t="shared" si="233"/>
        <v/>
      </c>
      <c r="AJ4010" s="865"/>
    </row>
    <row r="4011" spans="13:36">
      <c r="M4011" s="811" t="str">
        <f t="shared" si="234"/>
        <v/>
      </c>
      <c r="X4011" s="811" t="str">
        <f t="shared" si="233"/>
        <v/>
      </c>
      <c r="AJ4011" s="865"/>
    </row>
    <row r="4012" spans="13:36">
      <c r="M4012" s="811" t="str">
        <f t="shared" si="234"/>
        <v/>
      </c>
      <c r="X4012" s="811" t="str">
        <f t="shared" si="233"/>
        <v/>
      </c>
      <c r="AJ4012" s="865"/>
    </row>
    <row r="4013" spans="13:36">
      <c r="M4013" s="811" t="str">
        <f t="shared" si="234"/>
        <v/>
      </c>
      <c r="X4013" s="811" t="str">
        <f t="shared" si="233"/>
        <v/>
      </c>
      <c r="AJ4013" s="865"/>
    </row>
    <row r="4014" spans="13:36">
      <c r="M4014" s="811" t="str">
        <f t="shared" si="234"/>
        <v/>
      </c>
      <c r="X4014" s="811" t="str">
        <f t="shared" si="233"/>
        <v/>
      </c>
      <c r="AJ4014" s="865"/>
    </row>
    <row r="4015" spans="13:36">
      <c r="M4015" s="811" t="str">
        <f t="shared" si="234"/>
        <v/>
      </c>
      <c r="X4015" s="811" t="str">
        <f t="shared" si="233"/>
        <v/>
      </c>
      <c r="AJ4015" s="865"/>
    </row>
    <row r="4016" spans="13:36">
      <c r="M4016" s="811" t="str">
        <f t="shared" si="234"/>
        <v/>
      </c>
      <c r="X4016" s="811" t="str">
        <f t="shared" si="233"/>
        <v/>
      </c>
      <c r="AJ4016" s="865"/>
    </row>
    <row r="4017" spans="13:36">
      <c r="M4017" s="811" t="str">
        <f t="shared" si="234"/>
        <v/>
      </c>
      <c r="X4017" s="811" t="str">
        <f t="shared" si="233"/>
        <v/>
      </c>
      <c r="AJ4017" s="865"/>
    </row>
    <row r="4018" spans="13:36">
      <c r="M4018" s="811" t="str">
        <f t="shared" si="234"/>
        <v/>
      </c>
      <c r="X4018" s="811" t="str">
        <f t="shared" si="233"/>
        <v/>
      </c>
      <c r="AJ4018" s="865"/>
    </row>
    <row r="4019" spans="13:36">
      <c r="M4019" s="811" t="str">
        <f t="shared" si="234"/>
        <v/>
      </c>
      <c r="X4019" s="811" t="str">
        <f t="shared" ref="X4019:X4082" si="235">IF(ISBLANK(W4019)=TRUE,"",LOOKUP(W4019,GO:GP))</f>
        <v/>
      </c>
      <c r="AJ4019" s="865"/>
    </row>
    <row r="4020" spans="13:36">
      <c r="M4020" s="811" t="str">
        <f t="shared" si="234"/>
        <v/>
      </c>
      <c r="X4020" s="811" t="str">
        <f t="shared" si="235"/>
        <v/>
      </c>
      <c r="AJ4020" s="865"/>
    </row>
    <row r="4021" spans="13:36">
      <c r="M4021" s="811" t="str">
        <f t="shared" si="234"/>
        <v/>
      </c>
      <c r="X4021" s="811" t="str">
        <f t="shared" si="235"/>
        <v/>
      </c>
      <c r="AJ4021" s="865"/>
    </row>
    <row r="4022" spans="13:36">
      <c r="M4022" s="811" t="str">
        <f t="shared" si="234"/>
        <v/>
      </c>
      <c r="X4022" s="811" t="str">
        <f t="shared" si="235"/>
        <v/>
      </c>
      <c r="AJ4022" s="865"/>
    </row>
    <row r="4023" spans="13:36">
      <c r="M4023" s="811" t="str">
        <f t="shared" si="234"/>
        <v/>
      </c>
      <c r="X4023" s="811" t="str">
        <f t="shared" si="235"/>
        <v/>
      </c>
      <c r="AJ4023" s="865"/>
    </row>
    <row r="4024" spans="13:36">
      <c r="M4024" s="811" t="str">
        <f t="shared" si="234"/>
        <v/>
      </c>
      <c r="X4024" s="811" t="str">
        <f t="shared" si="235"/>
        <v/>
      </c>
      <c r="AJ4024" s="865"/>
    </row>
    <row r="4025" spans="13:36">
      <c r="M4025" s="811" t="str">
        <f t="shared" si="234"/>
        <v/>
      </c>
      <c r="X4025" s="811" t="str">
        <f t="shared" si="235"/>
        <v/>
      </c>
      <c r="AJ4025" s="865"/>
    </row>
    <row r="4026" spans="13:36">
      <c r="M4026" s="811" t="str">
        <f t="shared" si="234"/>
        <v/>
      </c>
      <c r="X4026" s="811" t="str">
        <f t="shared" si="235"/>
        <v/>
      </c>
      <c r="AJ4026" s="865"/>
    </row>
    <row r="4027" spans="13:36">
      <c r="M4027" s="811" t="str">
        <f t="shared" si="234"/>
        <v/>
      </c>
      <c r="X4027" s="811" t="str">
        <f t="shared" si="235"/>
        <v/>
      </c>
      <c r="AJ4027" s="865"/>
    </row>
    <row r="4028" spans="13:36">
      <c r="M4028" s="811" t="str">
        <f t="shared" si="234"/>
        <v/>
      </c>
      <c r="X4028" s="811" t="str">
        <f t="shared" si="235"/>
        <v/>
      </c>
      <c r="AJ4028" s="865"/>
    </row>
    <row r="4029" spans="13:36">
      <c r="M4029" s="811" t="str">
        <f t="shared" si="234"/>
        <v/>
      </c>
      <c r="X4029" s="811" t="str">
        <f t="shared" si="235"/>
        <v/>
      </c>
      <c r="AJ4029" s="865"/>
    </row>
    <row r="4030" spans="13:36">
      <c r="M4030" s="811" t="str">
        <f t="shared" si="234"/>
        <v/>
      </c>
      <c r="X4030" s="811" t="str">
        <f t="shared" si="235"/>
        <v/>
      </c>
      <c r="AJ4030" s="865"/>
    </row>
    <row r="4031" spans="13:36">
      <c r="M4031" s="811" t="str">
        <f t="shared" si="234"/>
        <v/>
      </c>
      <c r="X4031" s="811" t="str">
        <f t="shared" si="235"/>
        <v/>
      </c>
      <c r="AJ4031" s="865"/>
    </row>
    <row r="4032" spans="13:36">
      <c r="M4032" s="811" t="str">
        <f t="shared" si="234"/>
        <v/>
      </c>
      <c r="X4032" s="811" t="str">
        <f t="shared" si="235"/>
        <v/>
      </c>
      <c r="AJ4032" s="865"/>
    </row>
    <row r="4033" spans="13:36">
      <c r="M4033" s="811" t="str">
        <f t="shared" si="234"/>
        <v/>
      </c>
      <c r="X4033" s="811" t="str">
        <f t="shared" si="235"/>
        <v/>
      </c>
      <c r="AJ4033" s="865"/>
    </row>
    <row r="4034" spans="13:36">
      <c r="M4034" s="811" t="str">
        <f t="shared" si="234"/>
        <v/>
      </c>
      <c r="X4034" s="811" t="str">
        <f t="shared" si="235"/>
        <v/>
      </c>
      <c r="AJ4034" s="865"/>
    </row>
    <row r="4035" spans="13:36">
      <c r="M4035" s="811" t="str">
        <f t="shared" si="234"/>
        <v/>
      </c>
      <c r="X4035" s="811" t="str">
        <f t="shared" si="235"/>
        <v/>
      </c>
      <c r="AJ4035" s="865"/>
    </row>
    <row r="4036" spans="13:36">
      <c r="M4036" s="811" t="str">
        <f t="shared" si="234"/>
        <v/>
      </c>
      <c r="X4036" s="811" t="str">
        <f t="shared" si="235"/>
        <v/>
      </c>
      <c r="AJ4036" s="865"/>
    </row>
    <row r="4037" spans="13:36">
      <c r="M4037" s="811" t="str">
        <f t="shared" si="234"/>
        <v/>
      </c>
      <c r="X4037" s="811" t="str">
        <f t="shared" si="235"/>
        <v/>
      </c>
      <c r="AJ4037" s="865"/>
    </row>
    <row r="4038" spans="13:36">
      <c r="M4038" s="811" t="str">
        <f t="shared" si="234"/>
        <v/>
      </c>
      <c r="X4038" s="811" t="str">
        <f t="shared" si="235"/>
        <v/>
      </c>
      <c r="AJ4038" s="865"/>
    </row>
    <row r="4039" spans="13:36">
      <c r="M4039" s="811" t="str">
        <f t="shared" si="234"/>
        <v/>
      </c>
      <c r="X4039" s="811" t="str">
        <f t="shared" si="235"/>
        <v/>
      </c>
      <c r="AJ4039" s="865"/>
    </row>
    <row r="4040" spans="13:36">
      <c r="M4040" s="811" t="str">
        <f t="shared" si="234"/>
        <v/>
      </c>
      <c r="X4040" s="811" t="str">
        <f t="shared" si="235"/>
        <v/>
      </c>
      <c r="AJ4040" s="865"/>
    </row>
    <row r="4041" spans="13:36">
      <c r="M4041" s="811" t="str">
        <f t="shared" si="234"/>
        <v/>
      </c>
      <c r="X4041" s="811" t="str">
        <f t="shared" si="235"/>
        <v/>
      </c>
      <c r="AJ4041" s="865"/>
    </row>
    <row r="4042" spans="13:36">
      <c r="M4042" s="811" t="str">
        <f t="shared" si="234"/>
        <v/>
      </c>
      <c r="X4042" s="811" t="str">
        <f t="shared" si="235"/>
        <v/>
      </c>
      <c r="AJ4042" s="865"/>
    </row>
    <row r="4043" spans="13:36">
      <c r="M4043" s="811" t="str">
        <f t="shared" si="234"/>
        <v/>
      </c>
      <c r="X4043" s="811" t="str">
        <f t="shared" si="235"/>
        <v/>
      </c>
      <c r="AJ4043" s="865"/>
    </row>
    <row r="4044" spans="13:36">
      <c r="M4044" s="811" t="str">
        <f t="shared" ref="M4044:M4107" si="236">IF(ISBLANK(L4044)=TRUE,"",LOOKUP(L4044,GQ:GR))</f>
        <v/>
      </c>
      <c r="X4044" s="811" t="str">
        <f t="shared" si="235"/>
        <v/>
      </c>
      <c r="AJ4044" s="865"/>
    </row>
    <row r="4045" spans="13:36">
      <c r="M4045" s="811" t="str">
        <f t="shared" si="236"/>
        <v/>
      </c>
      <c r="X4045" s="811" t="str">
        <f t="shared" si="235"/>
        <v/>
      </c>
      <c r="AJ4045" s="865"/>
    </row>
    <row r="4046" spans="13:36">
      <c r="M4046" s="811" t="str">
        <f t="shared" si="236"/>
        <v/>
      </c>
      <c r="X4046" s="811" t="str">
        <f t="shared" si="235"/>
        <v/>
      </c>
      <c r="AJ4046" s="865"/>
    </row>
    <row r="4047" spans="13:36">
      <c r="M4047" s="811" t="str">
        <f t="shared" si="236"/>
        <v/>
      </c>
      <c r="X4047" s="811" t="str">
        <f t="shared" si="235"/>
        <v/>
      </c>
      <c r="AJ4047" s="865"/>
    </row>
    <row r="4048" spans="13:36">
      <c r="M4048" s="811" t="str">
        <f t="shared" si="236"/>
        <v/>
      </c>
      <c r="X4048" s="811" t="str">
        <f t="shared" si="235"/>
        <v/>
      </c>
      <c r="AJ4048" s="865"/>
    </row>
    <row r="4049" spans="13:36">
      <c r="M4049" s="811" t="str">
        <f t="shared" si="236"/>
        <v/>
      </c>
      <c r="X4049" s="811" t="str">
        <f t="shared" si="235"/>
        <v/>
      </c>
      <c r="AJ4049" s="865"/>
    </row>
    <row r="4050" spans="13:36">
      <c r="M4050" s="811" t="str">
        <f t="shared" si="236"/>
        <v/>
      </c>
      <c r="X4050" s="811" t="str">
        <f t="shared" si="235"/>
        <v/>
      </c>
      <c r="AJ4050" s="865"/>
    </row>
    <row r="4051" spans="13:36">
      <c r="M4051" s="811" t="str">
        <f t="shared" si="236"/>
        <v/>
      </c>
      <c r="X4051" s="811" t="str">
        <f t="shared" si="235"/>
        <v/>
      </c>
      <c r="AJ4051" s="865"/>
    </row>
    <row r="4052" spans="13:36">
      <c r="M4052" s="811" t="str">
        <f t="shared" si="236"/>
        <v/>
      </c>
      <c r="X4052" s="811" t="str">
        <f t="shared" si="235"/>
        <v/>
      </c>
      <c r="AJ4052" s="865"/>
    </row>
    <row r="4053" spans="13:36">
      <c r="M4053" s="811" t="str">
        <f t="shared" si="236"/>
        <v/>
      </c>
      <c r="X4053" s="811" t="str">
        <f t="shared" si="235"/>
        <v/>
      </c>
      <c r="AJ4053" s="865"/>
    </row>
    <row r="4054" spans="13:36">
      <c r="M4054" s="811" t="str">
        <f t="shared" si="236"/>
        <v/>
      </c>
      <c r="X4054" s="811" t="str">
        <f t="shared" si="235"/>
        <v/>
      </c>
      <c r="AJ4054" s="865"/>
    </row>
    <row r="4055" spans="13:36">
      <c r="M4055" s="811" t="str">
        <f t="shared" si="236"/>
        <v/>
      </c>
      <c r="X4055" s="811" t="str">
        <f t="shared" si="235"/>
        <v/>
      </c>
      <c r="AJ4055" s="865"/>
    </row>
    <row r="4056" spans="13:36">
      <c r="M4056" s="811" t="str">
        <f t="shared" si="236"/>
        <v/>
      </c>
      <c r="X4056" s="811" t="str">
        <f t="shared" si="235"/>
        <v/>
      </c>
      <c r="AJ4056" s="865"/>
    </row>
    <row r="4057" spans="13:36">
      <c r="M4057" s="811" t="str">
        <f t="shared" si="236"/>
        <v/>
      </c>
      <c r="X4057" s="811" t="str">
        <f t="shared" si="235"/>
        <v/>
      </c>
      <c r="AJ4057" s="865"/>
    </row>
    <row r="4058" spans="13:36">
      <c r="M4058" s="811" t="str">
        <f t="shared" si="236"/>
        <v/>
      </c>
      <c r="X4058" s="811" t="str">
        <f t="shared" si="235"/>
        <v/>
      </c>
      <c r="AJ4058" s="865"/>
    </row>
    <row r="4059" spans="13:36">
      <c r="M4059" s="811" t="str">
        <f t="shared" si="236"/>
        <v/>
      </c>
      <c r="X4059" s="811" t="str">
        <f t="shared" si="235"/>
        <v/>
      </c>
      <c r="AJ4059" s="865"/>
    </row>
    <row r="4060" spans="13:36">
      <c r="M4060" s="811" t="str">
        <f t="shared" si="236"/>
        <v/>
      </c>
      <c r="X4060" s="811" t="str">
        <f t="shared" si="235"/>
        <v/>
      </c>
      <c r="AJ4060" s="865"/>
    </row>
    <row r="4061" spans="13:36">
      <c r="M4061" s="811" t="str">
        <f t="shared" si="236"/>
        <v/>
      </c>
      <c r="X4061" s="811" t="str">
        <f t="shared" si="235"/>
        <v/>
      </c>
      <c r="AJ4061" s="865"/>
    </row>
    <row r="4062" spans="13:36">
      <c r="M4062" s="811" t="str">
        <f t="shared" si="236"/>
        <v/>
      </c>
      <c r="X4062" s="811" t="str">
        <f t="shared" si="235"/>
        <v/>
      </c>
      <c r="AJ4062" s="865"/>
    </row>
    <row r="4063" spans="13:36">
      <c r="M4063" s="811" t="str">
        <f t="shared" si="236"/>
        <v/>
      </c>
      <c r="X4063" s="811" t="str">
        <f t="shared" si="235"/>
        <v/>
      </c>
      <c r="AJ4063" s="865"/>
    </row>
    <row r="4064" spans="13:36">
      <c r="M4064" s="811" t="str">
        <f t="shared" si="236"/>
        <v/>
      </c>
      <c r="X4064" s="811" t="str">
        <f t="shared" si="235"/>
        <v/>
      </c>
      <c r="AJ4064" s="865"/>
    </row>
    <row r="4065" spans="13:36">
      <c r="M4065" s="811" t="str">
        <f t="shared" si="236"/>
        <v/>
      </c>
      <c r="X4065" s="811" t="str">
        <f t="shared" si="235"/>
        <v/>
      </c>
      <c r="AJ4065" s="865"/>
    </row>
    <row r="4066" spans="13:36">
      <c r="M4066" s="811" t="str">
        <f t="shared" si="236"/>
        <v/>
      </c>
      <c r="X4066" s="811" t="str">
        <f t="shared" si="235"/>
        <v/>
      </c>
      <c r="AJ4066" s="865"/>
    </row>
    <row r="4067" spans="13:36">
      <c r="M4067" s="811" t="str">
        <f t="shared" si="236"/>
        <v/>
      </c>
      <c r="X4067" s="811" t="str">
        <f t="shared" si="235"/>
        <v/>
      </c>
      <c r="AJ4067" s="865"/>
    </row>
    <row r="4068" spans="13:36">
      <c r="M4068" s="811" t="str">
        <f t="shared" si="236"/>
        <v/>
      </c>
      <c r="X4068" s="811" t="str">
        <f t="shared" si="235"/>
        <v/>
      </c>
      <c r="AJ4068" s="865"/>
    </row>
    <row r="4069" spans="13:36">
      <c r="M4069" s="811" t="str">
        <f t="shared" si="236"/>
        <v/>
      </c>
      <c r="X4069" s="811" t="str">
        <f t="shared" si="235"/>
        <v/>
      </c>
      <c r="AJ4069" s="865"/>
    </row>
    <row r="4070" spans="13:36">
      <c r="M4070" s="811" t="str">
        <f t="shared" si="236"/>
        <v/>
      </c>
      <c r="X4070" s="811" t="str">
        <f t="shared" si="235"/>
        <v/>
      </c>
      <c r="AJ4070" s="865"/>
    </row>
    <row r="4071" spans="13:36">
      <c r="M4071" s="811" t="str">
        <f t="shared" si="236"/>
        <v/>
      </c>
      <c r="X4071" s="811" t="str">
        <f t="shared" si="235"/>
        <v/>
      </c>
      <c r="AJ4071" s="865"/>
    </row>
    <row r="4072" spans="13:36">
      <c r="M4072" s="811" t="str">
        <f t="shared" si="236"/>
        <v/>
      </c>
      <c r="X4072" s="811" t="str">
        <f t="shared" si="235"/>
        <v/>
      </c>
      <c r="AJ4072" s="865"/>
    </row>
    <row r="4073" spans="13:36">
      <c r="M4073" s="811" t="str">
        <f t="shared" si="236"/>
        <v/>
      </c>
      <c r="X4073" s="811" t="str">
        <f t="shared" si="235"/>
        <v/>
      </c>
      <c r="AJ4073" s="865"/>
    </row>
    <row r="4074" spans="13:36">
      <c r="M4074" s="811" t="str">
        <f t="shared" si="236"/>
        <v/>
      </c>
      <c r="X4074" s="811" t="str">
        <f t="shared" si="235"/>
        <v/>
      </c>
      <c r="AJ4074" s="865"/>
    </row>
    <row r="4075" spans="13:36">
      <c r="M4075" s="811" t="str">
        <f t="shared" si="236"/>
        <v/>
      </c>
      <c r="X4075" s="811" t="str">
        <f t="shared" si="235"/>
        <v/>
      </c>
      <c r="AJ4075" s="865"/>
    </row>
    <row r="4076" spans="13:36">
      <c r="M4076" s="811" t="str">
        <f t="shared" si="236"/>
        <v/>
      </c>
      <c r="X4076" s="811" t="str">
        <f t="shared" si="235"/>
        <v/>
      </c>
      <c r="AJ4076" s="865"/>
    </row>
    <row r="4077" spans="13:36">
      <c r="M4077" s="811" t="str">
        <f t="shared" si="236"/>
        <v/>
      </c>
      <c r="X4077" s="811" t="str">
        <f t="shared" si="235"/>
        <v/>
      </c>
      <c r="AJ4077" s="865"/>
    </row>
    <row r="4078" spans="13:36">
      <c r="M4078" s="811" t="str">
        <f t="shared" si="236"/>
        <v/>
      </c>
      <c r="X4078" s="811" t="str">
        <f t="shared" si="235"/>
        <v/>
      </c>
      <c r="AJ4078" s="865"/>
    </row>
    <row r="4079" spans="13:36">
      <c r="M4079" s="811" t="str">
        <f t="shared" si="236"/>
        <v/>
      </c>
      <c r="X4079" s="811" t="str">
        <f t="shared" si="235"/>
        <v/>
      </c>
      <c r="AJ4079" s="865"/>
    </row>
    <row r="4080" spans="13:36">
      <c r="M4080" s="811" t="str">
        <f t="shared" si="236"/>
        <v/>
      </c>
      <c r="X4080" s="811" t="str">
        <f t="shared" si="235"/>
        <v/>
      </c>
      <c r="AJ4080" s="865"/>
    </row>
    <row r="4081" spans="13:36">
      <c r="M4081" s="811" t="str">
        <f t="shared" si="236"/>
        <v/>
      </c>
      <c r="X4081" s="811" t="str">
        <f t="shared" si="235"/>
        <v/>
      </c>
      <c r="AJ4081" s="865"/>
    </row>
    <row r="4082" spans="13:36">
      <c r="M4082" s="811" t="str">
        <f t="shared" si="236"/>
        <v/>
      </c>
      <c r="X4082" s="811" t="str">
        <f t="shared" si="235"/>
        <v/>
      </c>
      <c r="AJ4082" s="865"/>
    </row>
    <row r="4083" spans="13:36">
      <c r="M4083" s="811" t="str">
        <f t="shared" si="236"/>
        <v/>
      </c>
      <c r="X4083" s="811" t="str">
        <f t="shared" ref="X4083:X4146" si="237">IF(ISBLANK(W4083)=TRUE,"",LOOKUP(W4083,GO:GP))</f>
        <v/>
      </c>
      <c r="AJ4083" s="865"/>
    </row>
    <row r="4084" spans="13:36">
      <c r="M4084" s="811" t="str">
        <f t="shared" si="236"/>
        <v/>
      </c>
      <c r="X4084" s="811" t="str">
        <f t="shared" si="237"/>
        <v/>
      </c>
      <c r="AJ4084" s="865"/>
    </row>
    <row r="4085" spans="13:36">
      <c r="M4085" s="811" t="str">
        <f t="shared" si="236"/>
        <v/>
      </c>
      <c r="X4085" s="811" t="str">
        <f t="shared" si="237"/>
        <v/>
      </c>
      <c r="AJ4085" s="865"/>
    </row>
    <row r="4086" spans="13:36">
      <c r="M4086" s="811" t="str">
        <f t="shared" si="236"/>
        <v/>
      </c>
      <c r="X4086" s="811" t="str">
        <f t="shared" si="237"/>
        <v/>
      </c>
      <c r="AJ4086" s="865"/>
    </row>
    <row r="4087" spans="13:36">
      <c r="M4087" s="811" t="str">
        <f t="shared" si="236"/>
        <v/>
      </c>
      <c r="X4087" s="811" t="str">
        <f t="shared" si="237"/>
        <v/>
      </c>
      <c r="AJ4087" s="865"/>
    </row>
    <row r="4088" spans="13:36">
      <c r="M4088" s="811" t="str">
        <f t="shared" si="236"/>
        <v/>
      </c>
      <c r="X4088" s="811" t="str">
        <f t="shared" si="237"/>
        <v/>
      </c>
      <c r="AJ4088" s="865"/>
    </row>
    <row r="4089" spans="13:36">
      <c r="M4089" s="811" t="str">
        <f t="shared" si="236"/>
        <v/>
      </c>
      <c r="X4089" s="811" t="str">
        <f t="shared" si="237"/>
        <v/>
      </c>
      <c r="AJ4089" s="865"/>
    </row>
    <row r="4090" spans="13:36">
      <c r="M4090" s="811" t="str">
        <f t="shared" si="236"/>
        <v/>
      </c>
      <c r="X4090" s="811" t="str">
        <f t="shared" si="237"/>
        <v/>
      </c>
      <c r="AJ4090" s="865"/>
    </row>
    <row r="4091" spans="13:36">
      <c r="M4091" s="811" t="str">
        <f t="shared" si="236"/>
        <v/>
      </c>
      <c r="X4091" s="811" t="str">
        <f t="shared" si="237"/>
        <v/>
      </c>
      <c r="AJ4091" s="865"/>
    </row>
    <row r="4092" spans="13:36">
      <c r="M4092" s="811" t="str">
        <f t="shared" si="236"/>
        <v/>
      </c>
      <c r="X4092" s="811" t="str">
        <f t="shared" si="237"/>
        <v/>
      </c>
      <c r="AJ4092" s="865"/>
    </row>
    <row r="4093" spans="13:36">
      <c r="M4093" s="811" t="str">
        <f t="shared" si="236"/>
        <v/>
      </c>
      <c r="X4093" s="811" t="str">
        <f t="shared" si="237"/>
        <v/>
      </c>
      <c r="AJ4093" s="865"/>
    </row>
    <row r="4094" spans="13:36">
      <c r="M4094" s="811" t="str">
        <f t="shared" si="236"/>
        <v/>
      </c>
      <c r="X4094" s="811" t="str">
        <f t="shared" si="237"/>
        <v/>
      </c>
      <c r="AJ4094" s="865"/>
    </row>
    <row r="4095" spans="13:36">
      <c r="M4095" s="811" t="str">
        <f t="shared" si="236"/>
        <v/>
      </c>
      <c r="X4095" s="811" t="str">
        <f t="shared" si="237"/>
        <v/>
      </c>
      <c r="AJ4095" s="865"/>
    </row>
    <row r="4096" spans="13:36">
      <c r="M4096" s="811" t="str">
        <f t="shared" si="236"/>
        <v/>
      </c>
      <c r="X4096" s="811" t="str">
        <f t="shared" si="237"/>
        <v/>
      </c>
      <c r="AJ4096" s="865"/>
    </row>
    <row r="4097" spans="13:36">
      <c r="M4097" s="811" t="str">
        <f t="shared" si="236"/>
        <v/>
      </c>
      <c r="X4097" s="811" t="str">
        <f t="shared" si="237"/>
        <v/>
      </c>
      <c r="AJ4097" s="865"/>
    </row>
    <row r="4098" spans="13:36">
      <c r="M4098" s="811" t="str">
        <f t="shared" si="236"/>
        <v/>
      </c>
      <c r="X4098" s="811" t="str">
        <f t="shared" si="237"/>
        <v/>
      </c>
      <c r="AJ4098" s="865"/>
    </row>
    <row r="4099" spans="13:36">
      <c r="M4099" s="811" t="str">
        <f t="shared" si="236"/>
        <v/>
      </c>
      <c r="X4099" s="811" t="str">
        <f t="shared" si="237"/>
        <v/>
      </c>
      <c r="AJ4099" s="865"/>
    </row>
    <row r="4100" spans="13:36">
      <c r="M4100" s="811" t="str">
        <f t="shared" si="236"/>
        <v/>
      </c>
      <c r="X4100" s="811" t="str">
        <f t="shared" si="237"/>
        <v/>
      </c>
      <c r="AJ4100" s="865"/>
    </row>
    <row r="4101" spans="13:36">
      <c r="M4101" s="811" t="str">
        <f t="shared" si="236"/>
        <v/>
      </c>
      <c r="X4101" s="811" t="str">
        <f t="shared" si="237"/>
        <v/>
      </c>
      <c r="AJ4101" s="865"/>
    </row>
    <row r="4102" spans="13:36">
      <c r="M4102" s="811" t="str">
        <f t="shared" si="236"/>
        <v/>
      </c>
      <c r="X4102" s="811" t="str">
        <f t="shared" si="237"/>
        <v/>
      </c>
      <c r="AJ4102" s="865"/>
    </row>
    <row r="4103" spans="13:36">
      <c r="M4103" s="811" t="str">
        <f t="shared" si="236"/>
        <v/>
      </c>
      <c r="X4103" s="811" t="str">
        <f t="shared" si="237"/>
        <v/>
      </c>
      <c r="AJ4103" s="865"/>
    </row>
    <row r="4104" spans="13:36">
      <c r="M4104" s="811" t="str">
        <f t="shared" si="236"/>
        <v/>
      </c>
      <c r="X4104" s="811" t="str">
        <f t="shared" si="237"/>
        <v/>
      </c>
      <c r="AJ4104" s="865"/>
    </row>
    <row r="4105" spans="13:36">
      <c r="M4105" s="811" t="str">
        <f t="shared" si="236"/>
        <v/>
      </c>
      <c r="X4105" s="811" t="str">
        <f t="shared" si="237"/>
        <v/>
      </c>
      <c r="AJ4105" s="865"/>
    </row>
    <row r="4106" spans="13:36">
      <c r="M4106" s="811" t="str">
        <f t="shared" si="236"/>
        <v/>
      </c>
      <c r="X4106" s="811" t="str">
        <f t="shared" si="237"/>
        <v/>
      </c>
      <c r="AJ4106" s="865"/>
    </row>
    <row r="4107" spans="13:36">
      <c r="M4107" s="811" t="str">
        <f t="shared" si="236"/>
        <v/>
      </c>
      <c r="X4107" s="811" t="str">
        <f t="shared" si="237"/>
        <v/>
      </c>
      <c r="AJ4107" s="865"/>
    </row>
    <row r="4108" spans="13:36">
      <c r="M4108" s="811" t="str">
        <f t="shared" ref="M4108:M4171" si="238">IF(ISBLANK(L4108)=TRUE,"",LOOKUP(L4108,GQ:GR))</f>
        <v/>
      </c>
      <c r="X4108" s="811" t="str">
        <f t="shared" si="237"/>
        <v/>
      </c>
      <c r="AJ4108" s="865"/>
    </row>
    <row r="4109" spans="13:36">
      <c r="M4109" s="811" t="str">
        <f t="shared" si="238"/>
        <v/>
      </c>
      <c r="X4109" s="811" t="str">
        <f t="shared" si="237"/>
        <v/>
      </c>
      <c r="AJ4109" s="865"/>
    </row>
    <row r="4110" spans="13:36">
      <c r="M4110" s="811" t="str">
        <f t="shared" si="238"/>
        <v/>
      </c>
      <c r="X4110" s="811" t="str">
        <f t="shared" si="237"/>
        <v/>
      </c>
      <c r="AJ4110" s="865"/>
    </row>
    <row r="4111" spans="13:36">
      <c r="M4111" s="811" t="str">
        <f t="shared" si="238"/>
        <v/>
      </c>
      <c r="X4111" s="811" t="str">
        <f t="shared" si="237"/>
        <v/>
      </c>
      <c r="AJ4111" s="865"/>
    </row>
    <row r="4112" spans="13:36">
      <c r="M4112" s="811" t="str">
        <f t="shared" si="238"/>
        <v/>
      </c>
      <c r="X4112" s="811" t="str">
        <f t="shared" si="237"/>
        <v/>
      </c>
      <c r="AJ4112" s="865"/>
    </row>
    <row r="4113" spans="13:36">
      <c r="M4113" s="811" t="str">
        <f t="shared" si="238"/>
        <v/>
      </c>
      <c r="X4113" s="811" t="str">
        <f t="shared" si="237"/>
        <v/>
      </c>
      <c r="AJ4113" s="865"/>
    </row>
    <row r="4114" spans="13:36">
      <c r="M4114" s="811" t="str">
        <f t="shared" si="238"/>
        <v/>
      </c>
      <c r="X4114" s="811" t="str">
        <f t="shared" si="237"/>
        <v/>
      </c>
      <c r="AJ4114" s="865"/>
    </row>
    <row r="4115" spans="13:36">
      <c r="M4115" s="811" t="str">
        <f t="shared" si="238"/>
        <v/>
      </c>
      <c r="X4115" s="811" t="str">
        <f t="shared" si="237"/>
        <v/>
      </c>
      <c r="AJ4115" s="865"/>
    </row>
    <row r="4116" spans="13:36">
      <c r="M4116" s="811" t="str">
        <f t="shared" si="238"/>
        <v/>
      </c>
      <c r="X4116" s="811" t="str">
        <f t="shared" si="237"/>
        <v/>
      </c>
      <c r="AJ4116" s="865"/>
    </row>
    <row r="4117" spans="13:36">
      <c r="M4117" s="811" t="str">
        <f t="shared" si="238"/>
        <v/>
      </c>
      <c r="X4117" s="811" t="str">
        <f t="shared" si="237"/>
        <v/>
      </c>
      <c r="AJ4117" s="865"/>
    </row>
    <row r="4118" spans="13:36">
      <c r="M4118" s="811" t="str">
        <f t="shared" si="238"/>
        <v/>
      </c>
      <c r="X4118" s="811" t="str">
        <f t="shared" si="237"/>
        <v/>
      </c>
      <c r="AJ4118" s="865"/>
    </row>
    <row r="4119" spans="13:36">
      <c r="M4119" s="811" t="str">
        <f t="shared" si="238"/>
        <v/>
      </c>
      <c r="X4119" s="811" t="str">
        <f t="shared" si="237"/>
        <v/>
      </c>
      <c r="AJ4119" s="865"/>
    </row>
    <row r="4120" spans="13:36">
      <c r="M4120" s="811" t="str">
        <f t="shared" si="238"/>
        <v/>
      </c>
      <c r="X4120" s="811" t="str">
        <f t="shared" si="237"/>
        <v/>
      </c>
      <c r="AJ4120" s="865"/>
    </row>
    <row r="4121" spans="13:36">
      <c r="M4121" s="811" t="str">
        <f t="shared" si="238"/>
        <v/>
      </c>
      <c r="X4121" s="811" t="str">
        <f t="shared" si="237"/>
        <v/>
      </c>
      <c r="AJ4121" s="865"/>
    </row>
    <row r="4122" spans="13:36">
      <c r="M4122" s="811" t="str">
        <f t="shared" si="238"/>
        <v/>
      </c>
      <c r="X4122" s="811" t="str">
        <f t="shared" si="237"/>
        <v/>
      </c>
      <c r="AJ4122" s="865"/>
    </row>
    <row r="4123" spans="13:36">
      <c r="M4123" s="811" t="str">
        <f t="shared" si="238"/>
        <v/>
      </c>
      <c r="X4123" s="811" t="str">
        <f t="shared" si="237"/>
        <v/>
      </c>
      <c r="AJ4123" s="865"/>
    </row>
    <row r="4124" spans="13:36">
      <c r="M4124" s="811" t="str">
        <f t="shared" si="238"/>
        <v/>
      </c>
      <c r="X4124" s="811" t="str">
        <f t="shared" si="237"/>
        <v/>
      </c>
      <c r="AJ4124" s="865"/>
    </row>
    <row r="4125" spans="13:36">
      <c r="M4125" s="811" t="str">
        <f t="shared" si="238"/>
        <v/>
      </c>
      <c r="X4125" s="811" t="str">
        <f t="shared" si="237"/>
        <v/>
      </c>
      <c r="AJ4125" s="865"/>
    </row>
    <row r="4126" spans="13:36">
      <c r="M4126" s="811" t="str">
        <f t="shared" si="238"/>
        <v/>
      </c>
      <c r="X4126" s="811" t="str">
        <f t="shared" si="237"/>
        <v/>
      </c>
      <c r="AJ4126" s="865"/>
    </row>
    <row r="4127" spans="13:36">
      <c r="M4127" s="811" t="str">
        <f t="shared" si="238"/>
        <v/>
      </c>
      <c r="X4127" s="811" t="str">
        <f t="shared" si="237"/>
        <v/>
      </c>
      <c r="AJ4127" s="865"/>
    </row>
    <row r="4128" spans="13:36">
      <c r="M4128" s="811" t="str">
        <f t="shared" si="238"/>
        <v/>
      </c>
      <c r="X4128" s="811" t="str">
        <f t="shared" si="237"/>
        <v/>
      </c>
      <c r="AJ4128" s="865"/>
    </row>
    <row r="4129" spans="13:36">
      <c r="M4129" s="811" t="str">
        <f t="shared" si="238"/>
        <v/>
      </c>
      <c r="X4129" s="811" t="str">
        <f t="shared" si="237"/>
        <v/>
      </c>
      <c r="AJ4129" s="865"/>
    </row>
    <row r="4130" spans="13:36">
      <c r="M4130" s="811" t="str">
        <f t="shared" si="238"/>
        <v/>
      </c>
      <c r="X4130" s="811" t="str">
        <f t="shared" si="237"/>
        <v/>
      </c>
      <c r="AJ4130" s="865"/>
    </row>
    <row r="4131" spans="13:36">
      <c r="M4131" s="811" t="str">
        <f t="shared" si="238"/>
        <v/>
      </c>
      <c r="X4131" s="811" t="str">
        <f t="shared" si="237"/>
        <v/>
      </c>
      <c r="AJ4131" s="865"/>
    </row>
    <row r="4132" spans="13:36">
      <c r="M4132" s="811" t="str">
        <f t="shared" si="238"/>
        <v/>
      </c>
      <c r="X4132" s="811" t="str">
        <f t="shared" si="237"/>
        <v/>
      </c>
      <c r="AJ4132" s="865"/>
    </row>
    <row r="4133" spans="13:36">
      <c r="M4133" s="811" t="str">
        <f t="shared" si="238"/>
        <v/>
      </c>
      <c r="X4133" s="811" t="str">
        <f t="shared" si="237"/>
        <v/>
      </c>
      <c r="AJ4133" s="865"/>
    </row>
    <row r="4134" spans="13:36">
      <c r="M4134" s="811" t="str">
        <f t="shared" si="238"/>
        <v/>
      </c>
      <c r="X4134" s="811" t="str">
        <f t="shared" si="237"/>
        <v/>
      </c>
      <c r="AJ4134" s="865"/>
    </row>
    <row r="4135" spans="13:36">
      <c r="M4135" s="811" t="str">
        <f t="shared" si="238"/>
        <v/>
      </c>
      <c r="X4135" s="811" t="str">
        <f t="shared" si="237"/>
        <v/>
      </c>
      <c r="AJ4135" s="865"/>
    </row>
    <row r="4136" spans="13:36">
      <c r="M4136" s="811" t="str">
        <f t="shared" si="238"/>
        <v/>
      </c>
      <c r="X4136" s="811" t="str">
        <f t="shared" si="237"/>
        <v/>
      </c>
      <c r="AJ4136" s="865"/>
    </row>
    <row r="4137" spans="13:36">
      <c r="M4137" s="811" t="str">
        <f t="shared" si="238"/>
        <v/>
      </c>
      <c r="X4137" s="811" t="str">
        <f t="shared" si="237"/>
        <v/>
      </c>
      <c r="AJ4137" s="865"/>
    </row>
    <row r="4138" spans="13:36">
      <c r="M4138" s="811" t="str">
        <f t="shared" si="238"/>
        <v/>
      </c>
      <c r="X4138" s="811" t="str">
        <f t="shared" si="237"/>
        <v/>
      </c>
      <c r="AJ4138" s="865"/>
    </row>
    <row r="4139" spans="13:36">
      <c r="M4139" s="811" t="str">
        <f t="shared" si="238"/>
        <v/>
      </c>
      <c r="X4139" s="811" t="str">
        <f t="shared" si="237"/>
        <v/>
      </c>
      <c r="AJ4139" s="865"/>
    </row>
    <row r="4140" spans="13:36">
      <c r="M4140" s="811" t="str">
        <f t="shared" si="238"/>
        <v/>
      </c>
      <c r="X4140" s="811" t="str">
        <f t="shared" si="237"/>
        <v/>
      </c>
      <c r="AJ4140" s="865"/>
    </row>
    <row r="4141" spans="13:36">
      <c r="M4141" s="811" t="str">
        <f t="shared" si="238"/>
        <v/>
      </c>
      <c r="X4141" s="811" t="str">
        <f t="shared" si="237"/>
        <v/>
      </c>
      <c r="AJ4141" s="865"/>
    </row>
    <row r="4142" spans="13:36">
      <c r="M4142" s="811" t="str">
        <f t="shared" si="238"/>
        <v/>
      </c>
      <c r="X4142" s="811" t="str">
        <f t="shared" si="237"/>
        <v/>
      </c>
      <c r="AJ4142" s="865"/>
    </row>
    <row r="4143" spans="13:36">
      <c r="M4143" s="811" t="str">
        <f t="shared" si="238"/>
        <v/>
      </c>
      <c r="X4143" s="811" t="str">
        <f t="shared" si="237"/>
        <v/>
      </c>
      <c r="AJ4143" s="865"/>
    </row>
    <row r="4144" spans="13:36">
      <c r="M4144" s="811" t="str">
        <f t="shared" si="238"/>
        <v/>
      </c>
      <c r="X4144" s="811" t="str">
        <f t="shared" si="237"/>
        <v/>
      </c>
      <c r="AJ4144" s="865"/>
    </row>
    <row r="4145" spans="13:36">
      <c r="M4145" s="811" t="str">
        <f t="shared" si="238"/>
        <v/>
      </c>
      <c r="X4145" s="811" t="str">
        <f t="shared" si="237"/>
        <v/>
      </c>
      <c r="AJ4145" s="865"/>
    </row>
    <row r="4146" spans="13:36">
      <c r="M4146" s="811" t="str">
        <f t="shared" si="238"/>
        <v/>
      </c>
      <c r="X4146" s="811" t="str">
        <f t="shared" si="237"/>
        <v/>
      </c>
      <c r="AJ4146" s="865"/>
    </row>
    <row r="4147" spans="13:36">
      <c r="M4147" s="811" t="str">
        <f t="shared" si="238"/>
        <v/>
      </c>
      <c r="X4147" s="811" t="str">
        <f t="shared" ref="X4147:X4210" si="239">IF(ISBLANK(W4147)=TRUE,"",LOOKUP(W4147,GO:GP))</f>
        <v/>
      </c>
      <c r="AJ4147" s="865"/>
    </row>
    <row r="4148" spans="13:36">
      <c r="M4148" s="811" t="str">
        <f t="shared" si="238"/>
        <v/>
      </c>
      <c r="X4148" s="811" t="str">
        <f t="shared" si="239"/>
        <v/>
      </c>
      <c r="AJ4148" s="865"/>
    </row>
    <row r="4149" spans="13:36">
      <c r="M4149" s="811" t="str">
        <f t="shared" si="238"/>
        <v/>
      </c>
      <c r="X4149" s="811" t="str">
        <f t="shared" si="239"/>
        <v/>
      </c>
      <c r="AJ4149" s="865"/>
    </row>
    <row r="4150" spans="13:36">
      <c r="M4150" s="811" t="str">
        <f t="shared" si="238"/>
        <v/>
      </c>
      <c r="X4150" s="811" t="str">
        <f t="shared" si="239"/>
        <v/>
      </c>
      <c r="AJ4150" s="865"/>
    </row>
    <row r="4151" spans="13:36">
      <c r="M4151" s="811" t="str">
        <f t="shared" si="238"/>
        <v/>
      </c>
      <c r="X4151" s="811" t="str">
        <f t="shared" si="239"/>
        <v/>
      </c>
      <c r="AJ4151" s="865"/>
    </row>
    <row r="4152" spans="13:36">
      <c r="M4152" s="811" t="str">
        <f t="shared" si="238"/>
        <v/>
      </c>
      <c r="X4152" s="811" t="str">
        <f t="shared" si="239"/>
        <v/>
      </c>
      <c r="AJ4152" s="865"/>
    </row>
    <row r="4153" spans="13:36">
      <c r="M4153" s="811" t="str">
        <f t="shared" si="238"/>
        <v/>
      </c>
      <c r="X4153" s="811" t="str">
        <f t="shared" si="239"/>
        <v/>
      </c>
      <c r="AJ4153" s="865"/>
    </row>
    <row r="4154" spans="13:36">
      <c r="M4154" s="811" t="str">
        <f t="shared" si="238"/>
        <v/>
      </c>
      <c r="X4154" s="811" t="str">
        <f t="shared" si="239"/>
        <v/>
      </c>
      <c r="AJ4154" s="865"/>
    </row>
    <row r="4155" spans="13:36">
      <c r="M4155" s="811" t="str">
        <f t="shared" si="238"/>
        <v/>
      </c>
      <c r="X4155" s="811" t="str">
        <f t="shared" si="239"/>
        <v/>
      </c>
      <c r="AJ4155" s="865"/>
    </row>
    <row r="4156" spans="13:36">
      <c r="M4156" s="811" t="str">
        <f t="shared" si="238"/>
        <v/>
      </c>
      <c r="X4156" s="811" t="str">
        <f t="shared" si="239"/>
        <v/>
      </c>
      <c r="AJ4156" s="865"/>
    </row>
    <row r="4157" spans="13:36">
      <c r="M4157" s="811" t="str">
        <f t="shared" si="238"/>
        <v/>
      </c>
      <c r="X4157" s="811" t="str">
        <f t="shared" si="239"/>
        <v/>
      </c>
      <c r="AJ4157" s="865"/>
    </row>
    <row r="4158" spans="13:36">
      <c r="M4158" s="811" t="str">
        <f t="shared" si="238"/>
        <v/>
      </c>
      <c r="X4158" s="811" t="str">
        <f t="shared" si="239"/>
        <v/>
      </c>
      <c r="AJ4158" s="865"/>
    </row>
    <row r="4159" spans="13:36">
      <c r="M4159" s="811" t="str">
        <f t="shared" si="238"/>
        <v/>
      </c>
      <c r="X4159" s="811" t="str">
        <f t="shared" si="239"/>
        <v/>
      </c>
      <c r="AJ4159" s="865"/>
    </row>
    <row r="4160" spans="13:36">
      <c r="M4160" s="811" t="str">
        <f t="shared" si="238"/>
        <v/>
      </c>
      <c r="X4160" s="811" t="str">
        <f t="shared" si="239"/>
        <v/>
      </c>
      <c r="AJ4160" s="865"/>
    </row>
    <row r="4161" spans="13:36">
      <c r="M4161" s="811" t="str">
        <f t="shared" si="238"/>
        <v/>
      </c>
      <c r="X4161" s="811" t="str">
        <f t="shared" si="239"/>
        <v/>
      </c>
      <c r="AJ4161" s="865"/>
    </row>
    <row r="4162" spans="13:36">
      <c r="M4162" s="811" t="str">
        <f t="shared" si="238"/>
        <v/>
      </c>
      <c r="X4162" s="811" t="str">
        <f t="shared" si="239"/>
        <v/>
      </c>
      <c r="AJ4162" s="865"/>
    </row>
    <row r="4163" spans="13:36">
      <c r="M4163" s="811" t="str">
        <f t="shared" si="238"/>
        <v/>
      </c>
      <c r="X4163" s="811" t="str">
        <f t="shared" si="239"/>
        <v/>
      </c>
      <c r="AJ4163" s="865"/>
    </row>
    <row r="4164" spans="13:36">
      <c r="M4164" s="811" t="str">
        <f t="shared" si="238"/>
        <v/>
      </c>
      <c r="X4164" s="811" t="str">
        <f t="shared" si="239"/>
        <v/>
      </c>
      <c r="AJ4164" s="865"/>
    </row>
    <row r="4165" spans="13:36">
      <c r="M4165" s="811" t="str">
        <f t="shared" si="238"/>
        <v/>
      </c>
      <c r="X4165" s="811" t="str">
        <f t="shared" si="239"/>
        <v/>
      </c>
      <c r="AJ4165" s="865"/>
    </row>
    <row r="4166" spans="13:36">
      <c r="M4166" s="811" t="str">
        <f t="shared" si="238"/>
        <v/>
      </c>
      <c r="X4166" s="811" t="str">
        <f t="shared" si="239"/>
        <v/>
      </c>
      <c r="AJ4166" s="865"/>
    </row>
    <row r="4167" spans="13:36">
      <c r="M4167" s="811" t="str">
        <f t="shared" si="238"/>
        <v/>
      </c>
      <c r="X4167" s="811" t="str">
        <f t="shared" si="239"/>
        <v/>
      </c>
      <c r="AJ4167" s="865"/>
    </row>
    <row r="4168" spans="13:36">
      <c r="M4168" s="811" t="str">
        <f t="shared" si="238"/>
        <v/>
      </c>
      <c r="X4168" s="811" t="str">
        <f t="shared" si="239"/>
        <v/>
      </c>
      <c r="AJ4168" s="865"/>
    </row>
    <row r="4169" spans="13:36">
      <c r="M4169" s="811" t="str">
        <f t="shared" si="238"/>
        <v/>
      </c>
      <c r="X4169" s="811" t="str">
        <f t="shared" si="239"/>
        <v/>
      </c>
      <c r="AJ4169" s="865"/>
    </row>
    <row r="4170" spans="13:36">
      <c r="M4170" s="811" t="str">
        <f t="shared" si="238"/>
        <v/>
      </c>
      <c r="X4170" s="811" t="str">
        <f t="shared" si="239"/>
        <v/>
      </c>
      <c r="AJ4170" s="865"/>
    </row>
    <row r="4171" spans="13:36">
      <c r="M4171" s="811" t="str">
        <f t="shared" si="238"/>
        <v/>
      </c>
      <c r="X4171" s="811" t="str">
        <f t="shared" si="239"/>
        <v/>
      </c>
      <c r="AJ4171" s="865"/>
    </row>
    <row r="4172" spans="13:36">
      <c r="M4172" s="811" t="str">
        <f t="shared" ref="M4172:M4235" si="240">IF(ISBLANK(L4172)=TRUE,"",LOOKUP(L4172,GQ:GR))</f>
        <v/>
      </c>
      <c r="X4172" s="811" t="str">
        <f t="shared" si="239"/>
        <v/>
      </c>
      <c r="AJ4172" s="865"/>
    </row>
    <row r="4173" spans="13:36">
      <c r="M4173" s="811" t="str">
        <f t="shared" si="240"/>
        <v/>
      </c>
      <c r="X4173" s="811" t="str">
        <f t="shared" si="239"/>
        <v/>
      </c>
      <c r="AJ4173" s="865"/>
    </row>
    <row r="4174" spans="13:36">
      <c r="M4174" s="811" t="str">
        <f t="shared" si="240"/>
        <v/>
      </c>
      <c r="X4174" s="811" t="str">
        <f t="shared" si="239"/>
        <v/>
      </c>
      <c r="AJ4174" s="865"/>
    </row>
    <row r="4175" spans="13:36">
      <c r="M4175" s="811" t="str">
        <f t="shared" si="240"/>
        <v/>
      </c>
      <c r="X4175" s="811" t="str">
        <f t="shared" si="239"/>
        <v/>
      </c>
      <c r="AJ4175" s="865"/>
    </row>
    <row r="4176" spans="13:36">
      <c r="M4176" s="811" t="str">
        <f t="shared" si="240"/>
        <v/>
      </c>
      <c r="X4176" s="811" t="str">
        <f t="shared" si="239"/>
        <v/>
      </c>
      <c r="AJ4176" s="865"/>
    </row>
    <row r="4177" spans="13:36">
      <c r="M4177" s="811" t="str">
        <f t="shared" si="240"/>
        <v/>
      </c>
      <c r="X4177" s="811" t="str">
        <f t="shared" si="239"/>
        <v/>
      </c>
      <c r="AJ4177" s="865"/>
    </row>
    <row r="4178" spans="13:36">
      <c r="M4178" s="811" t="str">
        <f t="shared" si="240"/>
        <v/>
      </c>
      <c r="X4178" s="811" t="str">
        <f t="shared" si="239"/>
        <v/>
      </c>
      <c r="AJ4178" s="865"/>
    </row>
    <row r="4179" spans="13:36">
      <c r="M4179" s="811" t="str">
        <f t="shared" si="240"/>
        <v/>
      </c>
      <c r="X4179" s="811" t="str">
        <f t="shared" si="239"/>
        <v/>
      </c>
      <c r="AJ4179" s="865"/>
    </row>
    <row r="4180" spans="13:36">
      <c r="M4180" s="811" t="str">
        <f t="shared" si="240"/>
        <v/>
      </c>
      <c r="X4180" s="811" t="str">
        <f t="shared" si="239"/>
        <v/>
      </c>
      <c r="AJ4180" s="865"/>
    </row>
    <row r="4181" spans="13:36">
      <c r="M4181" s="811" t="str">
        <f t="shared" si="240"/>
        <v/>
      </c>
      <c r="X4181" s="811" t="str">
        <f t="shared" si="239"/>
        <v/>
      </c>
      <c r="AJ4181" s="865"/>
    </row>
    <row r="4182" spans="13:36">
      <c r="M4182" s="811" t="str">
        <f t="shared" si="240"/>
        <v/>
      </c>
      <c r="X4182" s="811" t="str">
        <f t="shared" si="239"/>
        <v/>
      </c>
      <c r="AJ4182" s="865"/>
    </row>
    <row r="4183" spans="13:36">
      <c r="M4183" s="811" t="str">
        <f t="shared" si="240"/>
        <v/>
      </c>
      <c r="X4183" s="811" t="str">
        <f t="shared" si="239"/>
        <v/>
      </c>
      <c r="AJ4183" s="865"/>
    </row>
    <row r="4184" spans="13:36">
      <c r="M4184" s="811" t="str">
        <f t="shared" si="240"/>
        <v/>
      </c>
      <c r="X4184" s="811" t="str">
        <f t="shared" si="239"/>
        <v/>
      </c>
      <c r="AJ4184" s="865"/>
    </row>
    <row r="4185" spans="13:36">
      <c r="M4185" s="811" t="str">
        <f t="shared" si="240"/>
        <v/>
      </c>
      <c r="X4185" s="811" t="str">
        <f t="shared" si="239"/>
        <v/>
      </c>
      <c r="AJ4185" s="865"/>
    </row>
    <row r="4186" spans="13:36">
      <c r="M4186" s="811" t="str">
        <f t="shared" si="240"/>
        <v/>
      </c>
      <c r="X4186" s="811" t="str">
        <f t="shared" si="239"/>
        <v/>
      </c>
      <c r="AJ4186" s="865"/>
    </row>
    <row r="4187" spans="13:36">
      <c r="M4187" s="811" t="str">
        <f t="shared" si="240"/>
        <v/>
      </c>
      <c r="X4187" s="811" t="str">
        <f t="shared" si="239"/>
        <v/>
      </c>
      <c r="AJ4187" s="865"/>
    </row>
    <row r="4188" spans="13:36">
      <c r="M4188" s="811" t="str">
        <f t="shared" si="240"/>
        <v/>
      </c>
      <c r="X4188" s="811" t="str">
        <f t="shared" si="239"/>
        <v/>
      </c>
      <c r="AJ4188" s="865"/>
    </row>
    <row r="4189" spans="13:36">
      <c r="M4189" s="811" t="str">
        <f t="shared" si="240"/>
        <v/>
      </c>
      <c r="X4189" s="811" t="str">
        <f t="shared" si="239"/>
        <v/>
      </c>
      <c r="AJ4189" s="865"/>
    </row>
    <row r="4190" spans="13:36">
      <c r="M4190" s="811" t="str">
        <f t="shared" si="240"/>
        <v/>
      </c>
      <c r="X4190" s="811" t="str">
        <f t="shared" si="239"/>
        <v/>
      </c>
      <c r="AJ4190" s="865"/>
    </row>
    <row r="4191" spans="13:36">
      <c r="M4191" s="811" t="str">
        <f t="shared" si="240"/>
        <v/>
      </c>
      <c r="X4191" s="811" t="str">
        <f t="shared" si="239"/>
        <v/>
      </c>
      <c r="AJ4191" s="865"/>
    </row>
    <row r="4192" spans="13:36">
      <c r="M4192" s="811" t="str">
        <f t="shared" si="240"/>
        <v/>
      </c>
      <c r="X4192" s="811" t="str">
        <f t="shared" si="239"/>
        <v/>
      </c>
      <c r="AJ4192" s="865"/>
    </row>
    <row r="4193" spans="13:36">
      <c r="M4193" s="811" t="str">
        <f t="shared" si="240"/>
        <v/>
      </c>
      <c r="X4193" s="811" t="str">
        <f t="shared" si="239"/>
        <v/>
      </c>
      <c r="AJ4193" s="865"/>
    </row>
    <row r="4194" spans="13:36">
      <c r="M4194" s="811" t="str">
        <f t="shared" si="240"/>
        <v/>
      </c>
      <c r="X4194" s="811" t="str">
        <f t="shared" si="239"/>
        <v/>
      </c>
      <c r="AJ4194" s="865"/>
    </row>
    <row r="4195" spans="13:36">
      <c r="M4195" s="811" t="str">
        <f t="shared" si="240"/>
        <v/>
      </c>
      <c r="X4195" s="811" t="str">
        <f t="shared" si="239"/>
        <v/>
      </c>
      <c r="AJ4195" s="865"/>
    </row>
    <row r="4196" spans="13:36">
      <c r="M4196" s="811" t="str">
        <f t="shared" si="240"/>
        <v/>
      </c>
      <c r="X4196" s="811" t="str">
        <f t="shared" si="239"/>
        <v/>
      </c>
      <c r="AJ4196" s="865"/>
    </row>
    <row r="4197" spans="13:36">
      <c r="M4197" s="811" t="str">
        <f t="shared" si="240"/>
        <v/>
      </c>
      <c r="X4197" s="811" t="str">
        <f t="shared" si="239"/>
        <v/>
      </c>
      <c r="AJ4197" s="865"/>
    </row>
    <row r="4198" spans="13:36">
      <c r="M4198" s="811" t="str">
        <f t="shared" si="240"/>
        <v/>
      </c>
      <c r="X4198" s="811" t="str">
        <f t="shared" si="239"/>
        <v/>
      </c>
      <c r="AJ4198" s="865"/>
    </row>
    <row r="4199" spans="13:36">
      <c r="M4199" s="811" t="str">
        <f t="shared" si="240"/>
        <v/>
      </c>
      <c r="X4199" s="811" t="str">
        <f t="shared" si="239"/>
        <v/>
      </c>
      <c r="AJ4199" s="865"/>
    </row>
    <row r="4200" spans="13:36">
      <c r="M4200" s="811" t="str">
        <f t="shared" si="240"/>
        <v/>
      </c>
      <c r="X4200" s="811" t="str">
        <f t="shared" si="239"/>
        <v/>
      </c>
      <c r="AJ4200" s="865"/>
    </row>
    <row r="4201" spans="13:36">
      <c r="M4201" s="811" t="str">
        <f t="shared" si="240"/>
        <v/>
      </c>
      <c r="X4201" s="811" t="str">
        <f t="shared" si="239"/>
        <v/>
      </c>
      <c r="AJ4201" s="865"/>
    </row>
    <row r="4202" spans="13:36">
      <c r="M4202" s="811" t="str">
        <f t="shared" si="240"/>
        <v/>
      </c>
      <c r="X4202" s="811" t="str">
        <f t="shared" si="239"/>
        <v/>
      </c>
      <c r="AJ4202" s="865"/>
    </row>
    <row r="4203" spans="13:36">
      <c r="M4203" s="811" t="str">
        <f t="shared" si="240"/>
        <v/>
      </c>
      <c r="X4203" s="811" t="str">
        <f t="shared" si="239"/>
        <v/>
      </c>
      <c r="AJ4203" s="865"/>
    </row>
    <row r="4204" spans="13:36">
      <c r="M4204" s="811" t="str">
        <f t="shared" si="240"/>
        <v/>
      </c>
      <c r="X4204" s="811" t="str">
        <f t="shared" si="239"/>
        <v/>
      </c>
      <c r="AJ4204" s="865"/>
    </row>
    <row r="4205" spans="13:36">
      <c r="M4205" s="811" t="str">
        <f t="shared" si="240"/>
        <v/>
      </c>
      <c r="X4205" s="811" t="str">
        <f t="shared" si="239"/>
        <v/>
      </c>
      <c r="AJ4205" s="865"/>
    </row>
    <row r="4206" spans="13:36">
      <c r="M4206" s="811" t="str">
        <f t="shared" si="240"/>
        <v/>
      </c>
      <c r="X4206" s="811" t="str">
        <f t="shared" si="239"/>
        <v/>
      </c>
      <c r="AJ4206" s="865"/>
    </row>
    <row r="4207" spans="13:36">
      <c r="M4207" s="811" t="str">
        <f t="shared" si="240"/>
        <v/>
      </c>
      <c r="X4207" s="811" t="str">
        <f t="shared" si="239"/>
        <v/>
      </c>
      <c r="AJ4207" s="865"/>
    </row>
    <row r="4208" spans="13:36">
      <c r="M4208" s="811" t="str">
        <f t="shared" si="240"/>
        <v/>
      </c>
      <c r="X4208" s="811" t="str">
        <f t="shared" si="239"/>
        <v/>
      </c>
      <c r="AJ4208" s="865"/>
    </row>
    <row r="4209" spans="13:36">
      <c r="M4209" s="811" t="str">
        <f t="shared" si="240"/>
        <v/>
      </c>
      <c r="X4209" s="811" t="str">
        <f t="shared" si="239"/>
        <v/>
      </c>
      <c r="AJ4209" s="865"/>
    </row>
    <row r="4210" spans="13:36">
      <c r="M4210" s="811" t="str">
        <f t="shared" si="240"/>
        <v/>
      </c>
      <c r="X4210" s="811" t="str">
        <f t="shared" si="239"/>
        <v/>
      </c>
      <c r="AJ4210" s="865"/>
    </row>
    <row r="4211" spans="13:36">
      <c r="M4211" s="811" t="str">
        <f t="shared" si="240"/>
        <v/>
      </c>
      <c r="X4211" s="811" t="str">
        <f t="shared" ref="X4211:X4274" si="241">IF(ISBLANK(W4211)=TRUE,"",LOOKUP(W4211,GO:GP))</f>
        <v/>
      </c>
      <c r="AJ4211" s="865"/>
    </row>
    <row r="4212" spans="13:36">
      <c r="M4212" s="811" t="str">
        <f t="shared" si="240"/>
        <v/>
      </c>
      <c r="X4212" s="811" t="str">
        <f t="shared" si="241"/>
        <v/>
      </c>
      <c r="AJ4212" s="865"/>
    </row>
    <row r="4213" spans="13:36">
      <c r="M4213" s="811" t="str">
        <f t="shared" si="240"/>
        <v/>
      </c>
      <c r="X4213" s="811" t="str">
        <f t="shared" si="241"/>
        <v/>
      </c>
      <c r="AJ4213" s="865"/>
    </row>
    <row r="4214" spans="13:36">
      <c r="M4214" s="811" t="str">
        <f t="shared" si="240"/>
        <v/>
      </c>
      <c r="X4214" s="811" t="str">
        <f t="shared" si="241"/>
        <v/>
      </c>
      <c r="AJ4214" s="865"/>
    </row>
    <row r="4215" spans="13:36">
      <c r="M4215" s="811" t="str">
        <f t="shared" si="240"/>
        <v/>
      </c>
      <c r="X4215" s="811" t="str">
        <f t="shared" si="241"/>
        <v/>
      </c>
      <c r="AJ4215" s="865"/>
    </row>
    <row r="4216" spans="13:36">
      <c r="M4216" s="811" t="str">
        <f t="shared" si="240"/>
        <v/>
      </c>
      <c r="X4216" s="811" t="str">
        <f t="shared" si="241"/>
        <v/>
      </c>
      <c r="AJ4216" s="865"/>
    </row>
    <row r="4217" spans="13:36">
      <c r="M4217" s="811" t="str">
        <f t="shared" si="240"/>
        <v/>
      </c>
      <c r="X4217" s="811" t="str">
        <f t="shared" si="241"/>
        <v/>
      </c>
      <c r="AJ4217" s="865"/>
    </row>
    <row r="4218" spans="13:36">
      <c r="M4218" s="811" t="str">
        <f t="shared" si="240"/>
        <v/>
      </c>
      <c r="X4218" s="811" t="str">
        <f t="shared" si="241"/>
        <v/>
      </c>
      <c r="AJ4218" s="865"/>
    </row>
    <row r="4219" spans="13:36">
      <c r="M4219" s="811" t="str">
        <f t="shared" si="240"/>
        <v/>
      </c>
      <c r="X4219" s="811" t="str">
        <f t="shared" si="241"/>
        <v/>
      </c>
      <c r="AJ4219" s="865"/>
    </row>
    <row r="4220" spans="13:36">
      <c r="M4220" s="811" t="str">
        <f t="shared" si="240"/>
        <v/>
      </c>
      <c r="X4220" s="811" t="str">
        <f t="shared" si="241"/>
        <v/>
      </c>
      <c r="AJ4220" s="865"/>
    </row>
    <row r="4221" spans="13:36">
      <c r="M4221" s="811" t="str">
        <f t="shared" si="240"/>
        <v/>
      </c>
      <c r="X4221" s="811" t="str">
        <f t="shared" si="241"/>
        <v/>
      </c>
      <c r="AJ4221" s="865"/>
    </row>
    <row r="4222" spans="13:36">
      <c r="M4222" s="811" t="str">
        <f t="shared" si="240"/>
        <v/>
      </c>
      <c r="X4222" s="811" t="str">
        <f t="shared" si="241"/>
        <v/>
      </c>
      <c r="AJ4222" s="865"/>
    </row>
    <row r="4223" spans="13:36">
      <c r="M4223" s="811" t="str">
        <f t="shared" si="240"/>
        <v/>
      </c>
      <c r="X4223" s="811" t="str">
        <f t="shared" si="241"/>
        <v/>
      </c>
      <c r="AJ4223" s="865"/>
    </row>
    <row r="4224" spans="13:36">
      <c r="M4224" s="811" t="str">
        <f t="shared" si="240"/>
        <v/>
      </c>
      <c r="X4224" s="811" t="str">
        <f t="shared" si="241"/>
        <v/>
      </c>
      <c r="AJ4224" s="865"/>
    </row>
    <row r="4225" spans="13:36">
      <c r="M4225" s="811" t="str">
        <f t="shared" si="240"/>
        <v/>
      </c>
      <c r="X4225" s="811" t="str">
        <f t="shared" si="241"/>
        <v/>
      </c>
      <c r="AJ4225" s="865"/>
    </row>
    <row r="4226" spans="13:36">
      <c r="M4226" s="811" t="str">
        <f t="shared" si="240"/>
        <v/>
      </c>
      <c r="X4226" s="811" t="str">
        <f t="shared" si="241"/>
        <v/>
      </c>
      <c r="AJ4226" s="865"/>
    </row>
    <row r="4227" spans="13:36">
      <c r="M4227" s="811" t="str">
        <f t="shared" si="240"/>
        <v/>
      </c>
      <c r="X4227" s="811" t="str">
        <f t="shared" si="241"/>
        <v/>
      </c>
      <c r="AJ4227" s="865"/>
    </row>
    <row r="4228" spans="13:36">
      <c r="M4228" s="811" t="str">
        <f t="shared" si="240"/>
        <v/>
      </c>
      <c r="X4228" s="811" t="str">
        <f t="shared" si="241"/>
        <v/>
      </c>
      <c r="AJ4228" s="865"/>
    </row>
    <row r="4229" spans="13:36">
      <c r="M4229" s="811" t="str">
        <f t="shared" si="240"/>
        <v/>
      </c>
      <c r="X4229" s="811" t="str">
        <f t="shared" si="241"/>
        <v/>
      </c>
      <c r="AJ4229" s="865"/>
    </row>
    <row r="4230" spans="13:36">
      <c r="M4230" s="811" t="str">
        <f t="shared" si="240"/>
        <v/>
      </c>
      <c r="X4230" s="811" t="str">
        <f t="shared" si="241"/>
        <v/>
      </c>
      <c r="AJ4230" s="865"/>
    </row>
    <row r="4231" spans="13:36">
      <c r="M4231" s="811" t="str">
        <f t="shared" si="240"/>
        <v/>
      </c>
      <c r="X4231" s="811" t="str">
        <f t="shared" si="241"/>
        <v/>
      </c>
      <c r="AJ4231" s="865"/>
    </row>
    <row r="4232" spans="13:36">
      <c r="M4232" s="811" t="str">
        <f t="shared" si="240"/>
        <v/>
      </c>
      <c r="X4232" s="811" t="str">
        <f t="shared" si="241"/>
        <v/>
      </c>
      <c r="AJ4232" s="865"/>
    </row>
    <row r="4233" spans="13:36">
      <c r="M4233" s="811" t="str">
        <f t="shared" si="240"/>
        <v/>
      </c>
      <c r="X4233" s="811" t="str">
        <f t="shared" si="241"/>
        <v/>
      </c>
      <c r="AJ4233" s="865"/>
    </row>
    <row r="4234" spans="13:36">
      <c r="M4234" s="811" t="str">
        <f t="shared" si="240"/>
        <v/>
      </c>
      <c r="X4234" s="811" t="str">
        <f t="shared" si="241"/>
        <v/>
      </c>
      <c r="AJ4234" s="865"/>
    </row>
    <row r="4235" spans="13:36">
      <c r="M4235" s="811" t="str">
        <f t="shared" si="240"/>
        <v/>
      </c>
      <c r="X4235" s="811" t="str">
        <f t="shared" si="241"/>
        <v/>
      </c>
      <c r="AJ4235" s="865"/>
    </row>
    <row r="4236" spans="13:36">
      <c r="M4236" s="811" t="str">
        <f t="shared" ref="M4236:M4299" si="242">IF(ISBLANK(L4236)=TRUE,"",LOOKUP(L4236,GQ:GR))</f>
        <v/>
      </c>
      <c r="X4236" s="811" t="str">
        <f t="shared" si="241"/>
        <v/>
      </c>
      <c r="AJ4236" s="865"/>
    </row>
    <row r="4237" spans="13:36">
      <c r="M4237" s="811" t="str">
        <f t="shared" si="242"/>
        <v/>
      </c>
      <c r="X4237" s="811" t="str">
        <f t="shared" si="241"/>
        <v/>
      </c>
      <c r="AJ4237" s="865"/>
    </row>
    <row r="4238" spans="13:36">
      <c r="M4238" s="811" t="str">
        <f t="shared" si="242"/>
        <v/>
      </c>
      <c r="X4238" s="811" t="str">
        <f t="shared" si="241"/>
        <v/>
      </c>
      <c r="AJ4238" s="865"/>
    </row>
    <row r="4239" spans="13:36">
      <c r="M4239" s="811" t="str">
        <f t="shared" si="242"/>
        <v/>
      </c>
      <c r="X4239" s="811" t="str">
        <f t="shared" si="241"/>
        <v/>
      </c>
      <c r="AJ4239" s="865"/>
    </row>
    <row r="4240" spans="13:36">
      <c r="M4240" s="811" t="str">
        <f t="shared" si="242"/>
        <v/>
      </c>
      <c r="X4240" s="811" t="str">
        <f t="shared" si="241"/>
        <v/>
      </c>
      <c r="AJ4240" s="865"/>
    </row>
    <row r="4241" spans="13:36">
      <c r="M4241" s="811" t="str">
        <f t="shared" si="242"/>
        <v/>
      </c>
      <c r="X4241" s="811" t="str">
        <f t="shared" si="241"/>
        <v/>
      </c>
      <c r="AJ4241" s="865"/>
    </row>
    <row r="4242" spans="13:36">
      <c r="M4242" s="811" t="str">
        <f t="shared" si="242"/>
        <v/>
      </c>
      <c r="X4242" s="811" t="str">
        <f t="shared" si="241"/>
        <v/>
      </c>
      <c r="AJ4242" s="865"/>
    </row>
    <row r="4243" spans="13:36">
      <c r="M4243" s="811" t="str">
        <f t="shared" si="242"/>
        <v/>
      </c>
      <c r="X4243" s="811" t="str">
        <f t="shared" si="241"/>
        <v/>
      </c>
      <c r="AJ4243" s="865"/>
    </row>
    <row r="4244" spans="13:36">
      <c r="M4244" s="811" t="str">
        <f t="shared" si="242"/>
        <v/>
      </c>
      <c r="X4244" s="811" t="str">
        <f t="shared" si="241"/>
        <v/>
      </c>
      <c r="AJ4244" s="865"/>
    </row>
    <row r="4245" spans="13:36">
      <c r="M4245" s="811" t="str">
        <f t="shared" si="242"/>
        <v/>
      </c>
      <c r="X4245" s="811" t="str">
        <f t="shared" si="241"/>
        <v/>
      </c>
      <c r="AJ4245" s="865"/>
    </row>
    <row r="4246" spans="13:36">
      <c r="M4246" s="811" t="str">
        <f t="shared" si="242"/>
        <v/>
      </c>
      <c r="X4246" s="811" t="str">
        <f t="shared" si="241"/>
        <v/>
      </c>
      <c r="AJ4246" s="865"/>
    </row>
    <row r="4247" spans="13:36">
      <c r="M4247" s="811" t="str">
        <f t="shared" si="242"/>
        <v/>
      </c>
      <c r="X4247" s="811" t="str">
        <f t="shared" si="241"/>
        <v/>
      </c>
      <c r="AJ4247" s="865"/>
    </row>
    <row r="4248" spans="13:36">
      <c r="M4248" s="811" t="str">
        <f t="shared" si="242"/>
        <v/>
      </c>
      <c r="X4248" s="811" t="str">
        <f t="shared" si="241"/>
        <v/>
      </c>
      <c r="AJ4248" s="865"/>
    </row>
    <row r="4249" spans="13:36">
      <c r="M4249" s="811" t="str">
        <f t="shared" si="242"/>
        <v/>
      </c>
      <c r="X4249" s="811" t="str">
        <f t="shared" si="241"/>
        <v/>
      </c>
      <c r="AJ4249" s="865"/>
    </row>
    <row r="4250" spans="13:36">
      <c r="M4250" s="811" t="str">
        <f t="shared" si="242"/>
        <v/>
      </c>
      <c r="X4250" s="811" t="str">
        <f t="shared" si="241"/>
        <v/>
      </c>
      <c r="AJ4250" s="865"/>
    </row>
    <row r="4251" spans="13:36">
      <c r="M4251" s="811" t="str">
        <f t="shared" si="242"/>
        <v/>
      </c>
      <c r="X4251" s="811" t="str">
        <f t="shared" si="241"/>
        <v/>
      </c>
      <c r="AJ4251" s="865"/>
    </row>
    <row r="4252" spans="13:36">
      <c r="M4252" s="811" t="str">
        <f t="shared" si="242"/>
        <v/>
      </c>
      <c r="X4252" s="811" t="str">
        <f t="shared" si="241"/>
        <v/>
      </c>
      <c r="AJ4252" s="865"/>
    </row>
    <row r="4253" spans="13:36">
      <c r="M4253" s="811" t="str">
        <f t="shared" si="242"/>
        <v/>
      </c>
      <c r="X4253" s="811" t="str">
        <f t="shared" si="241"/>
        <v/>
      </c>
      <c r="AJ4253" s="865"/>
    </row>
    <row r="4254" spans="13:36">
      <c r="M4254" s="811" t="str">
        <f t="shared" si="242"/>
        <v/>
      </c>
      <c r="X4254" s="811" t="str">
        <f t="shared" si="241"/>
        <v/>
      </c>
      <c r="AJ4254" s="865"/>
    </row>
    <row r="4255" spans="13:36">
      <c r="M4255" s="811" t="str">
        <f t="shared" si="242"/>
        <v/>
      </c>
      <c r="X4255" s="811" t="str">
        <f t="shared" si="241"/>
        <v/>
      </c>
      <c r="AJ4255" s="865"/>
    </row>
    <row r="4256" spans="13:36">
      <c r="M4256" s="811" t="str">
        <f t="shared" si="242"/>
        <v/>
      </c>
      <c r="X4256" s="811" t="str">
        <f t="shared" si="241"/>
        <v/>
      </c>
      <c r="AJ4256" s="865"/>
    </row>
    <row r="4257" spans="13:36">
      <c r="M4257" s="811" t="str">
        <f t="shared" si="242"/>
        <v/>
      </c>
      <c r="X4257" s="811" t="str">
        <f t="shared" si="241"/>
        <v/>
      </c>
      <c r="AJ4257" s="865"/>
    </row>
    <row r="4258" spans="13:36">
      <c r="M4258" s="811" t="str">
        <f t="shared" si="242"/>
        <v/>
      </c>
      <c r="X4258" s="811" t="str">
        <f t="shared" si="241"/>
        <v/>
      </c>
      <c r="AJ4258" s="865"/>
    </row>
    <row r="4259" spans="13:36">
      <c r="M4259" s="811" t="str">
        <f t="shared" si="242"/>
        <v/>
      </c>
      <c r="X4259" s="811" t="str">
        <f t="shared" si="241"/>
        <v/>
      </c>
      <c r="AJ4259" s="865"/>
    </row>
    <row r="4260" spans="13:36">
      <c r="M4260" s="811" t="str">
        <f t="shared" si="242"/>
        <v/>
      </c>
      <c r="X4260" s="811" t="str">
        <f t="shared" si="241"/>
        <v/>
      </c>
      <c r="AJ4260" s="865"/>
    </row>
    <row r="4261" spans="13:36">
      <c r="M4261" s="811" t="str">
        <f t="shared" si="242"/>
        <v/>
      </c>
      <c r="X4261" s="811" t="str">
        <f t="shared" si="241"/>
        <v/>
      </c>
      <c r="AJ4261" s="865"/>
    </row>
    <row r="4262" spans="13:36">
      <c r="M4262" s="811" t="str">
        <f t="shared" si="242"/>
        <v/>
      </c>
      <c r="X4262" s="811" t="str">
        <f t="shared" si="241"/>
        <v/>
      </c>
      <c r="AJ4262" s="865"/>
    </row>
    <row r="4263" spans="13:36">
      <c r="M4263" s="811" t="str">
        <f t="shared" si="242"/>
        <v/>
      </c>
      <c r="X4263" s="811" t="str">
        <f t="shared" si="241"/>
        <v/>
      </c>
      <c r="AJ4263" s="865"/>
    </row>
    <row r="4264" spans="13:36">
      <c r="M4264" s="811" t="str">
        <f t="shared" si="242"/>
        <v/>
      </c>
      <c r="X4264" s="811" t="str">
        <f t="shared" si="241"/>
        <v/>
      </c>
      <c r="AJ4264" s="865"/>
    </row>
    <row r="4265" spans="13:36">
      <c r="M4265" s="811" t="str">
        <f t="shared" si="242"/>
        <v/>
      </c>
      <c r="X4265" s="811" t="str">
        <f t="shared" si="241"/>
        <v/>
      </c>
      <c r="AJ4265" s="865"/>
    </row>
    <row r="4266" spans="13:36">
      <c r="M4266" s="811" t="str">
        <f t="shared" si="242"/>
        <v/>
      </c>
      <c r="X4266" s="811" t="str">
        <f t="shared" si="241"/>
        <v/>
      </c>
      <c r="AJ4266" s="865"/>
    </row>
    <row r="4267" spans="13:36">
      <c r="M4267" s="811" t="str">
        <f t="shared" si="242"/>
        <v/>
      </c>
      <c r="X4267" s="811" t="str">
        <f t="shared" si="241"/>
        <v/>
      </c>
      <c r="AJ4267" s="865"/>
    </row>
    <row r="4268" spans="13:36">
      <c r="M4268" s="811" t="str">
        <f t="shared" si="242"/>
        <v/>
      </c>
      <c r="X4268" s="811" t="str">
        <f t="shared" si="241"/>
        <v/>
      </c>
      <c r="AJ4268" s="865"/>
    </row>
    <row r="4269" spans="13:36">
      <c r="M4269" s="811" t="str">
        <f t="shared" si="242"/>
        <v/>
      </c>
      <c r="X4269" s="811" t="str">
        <f t="shared" si="241"/>
        <v/>
      </c>
      <c r="AJ4269" s="865"/>
    </row>
    <row r="4270" spans="13:36">
      <c r="M4270" s="811" t="str">
        <f t="shared" si="242"/>
        <v/>
      </c>
      <c r="X4270" s="811" t="str">
        <f t="shared" si="241"/>
        <v/>
      </c>
      <c r="AJ4270" s="865"/>
    </row>
    <row r="4271" spans="13:36">
      <c r="M4271" s="811" t="str">
        <f t="shared" si="242"/>
        <v/>
      </c>
      <c r="X4271" s="811" t="str">
        <f t="shared" si="241"/>
        <v/>
      </c>
      <c r="AJ4271" s="865"/>
    </row>
    <row r="4272" spans="13:36">
      <c r="M4272" s="811" t="str">
        <f t="shared" si="242"/>
        <v/>
      </c>
      <c r="X4272" s="811" t="str">
        <f t="shared" si="241"/>
        <v/>
      </c>
      <c r="AJ4272" s="865"/>
    </row>
    <row r="4273" spans="13:36">
      <c r="M4273" s="811" t="str">
        <f t="shared" si="242"/>
        <v/>
      </c>
      <c r="X4273" s="811" t="str">
        <f t="shared" si="241"/>
        <v/>
      </c>
      <c r="AJ4273" s="865"/>
    </row>
    <row r="4274" spans="13:36">
      <c r="M4274" s="811" t="str">
        <f t="shared" si="242"/>
        <v/>
      </c>
      <c r="X4274" s="811" t="str">
        <f t="shared" si="241"/>
        <v/>
      </c>
      <c r="AJ4274" s="865"/>
    </row>
    <row r="4275" spans="13:36">
      <c r="M4275" s="811" t="str">
        <f t="shared" si="242"/>
        <v/>
      </c>
      <c r="X4275" s="811" t="str">
        <f t="shared" ref="X4275:X4338" si="243">IF(ISBLANK(W4275)=TRUE,"",LOOKUP(W4275,GO:GP))</f>
        <v/>
      </c>
      <c r="AJ4275" s="865"/>
    </row>
    <row r="4276" spans="13:36">
      <c r="M4276" s="811" t="str">
        <f t="shared" si="242"/>
        <v/>
      </c>
      <c r="X4276" s="811" t="str">
        <f t="shared" si="243"/>
        <v/>
      </c>
      <c r="AJ4276" s="865"/>
    </row>
    <row r="4277" spans="13:36">
      <c r="M4277" s="811" t="str">
        <f t="shared" si="242"/>
        <v/>
      </c>
      <c r="X4277" s="811" t="str">
        <f t="shared" si="243"/>
        <v/>
      </c>
      <c r="AJ4277" s="865"/>
    </row>
    <row r="4278" spans="13:36">
      <c r="M4278" s="811" t="str">
        <f t="shared" si="242"/>
        <v/>
      </c>
      <c r="X4278" s="811" t="str">
        <f t="shared" si="243"/>
        <v/>
      </c>
      <c r="AJ4278" s="865"/>
    </row>
    <row r="4279" spans="13:36">
      <c r="M4279" s="811" t="str">
        <f t="shared" si="242"/>
        <v/>
      </c>
      <c r="X4279" s="811" t="str">
        <f t="shared" si="243"/>
        <v/>
      </c>
      <c r="AJ4279" s="865"/>
    </row>
    <row r="4280" spans="13:36">
      <c r="M4280" s="811" t="str">
        <f t="shared" si="242"/>
        <v/>
      </c>
      <c r="X4280" s="811" t="str">
        <f t="shared" si="243"/>
        <v/>
      </c>
      <c r="AJ4280" s="865"/>
    </row>
    <row r="4281" spans="13:36">
      <c r="M4281" s="811" t="str">
        <f t="shared" si="242"/>
        <v/>
      </c>
      <c r="X4281" s="811" t="str">
        <f t="shared" si="243"/>
        <v/>
      </c>
      <c r="AJ4281" s="865"/>
    </row>
    <row r="4282" spans="13:36">
      <c r="M4282" s="811" t="str">
        <f t="shared" si="242"/>
        <v/>
      </c>
      <c r="X4282" s="811" t="str">
        <f t="shared" si="243"/>
        <v/>
      </c>
      <c r="AJ4282" s="865"/>
    </row>
    <row r="4283" spans="13:36">
      <c r="M4283" s="811" t="str">
        <f t="shared" si="242"/>
        <v/>
      </c>
      <c r="X4283" s="811" t="str">
        <f t="shared" si="243"/>
        <v/>
      </c>
      <c r="AJ4283" s="865"/>
    </row>
    <row r="4284" spans="13:36">
      <c r="M4284" s="811" t="str">
        <f t="shared" si="242"/>
        <v/>
      </c>
      <c r="X4284" s="811" t="str">
        <f t="shared" si="243"/>
        <v/>
      </c>
      <c r="AJ4284" s="865"/>
    </row>
    <row r="4285" spans="13:36">
      <c r="M4285" s="811" t="str">
        <f t="shared" si="242"/>
        <v/>
      </c>
      <c r="X4285" s="811" t="str">
        <f t="shared" si="243"/>
        <v/>
      </c>
      <c r="AJ4285" s="865"/>
    </row>
    <row r="4286" spans="13:36">
      <c r="M4286" s="811" t="str">
        <f t="shared" si="242"/>
        <v/>
      </c>
      <c r="X4286" s="811" t="str">
        <f t="shared" si="243"/>
        <v/>
      </c>
      <c r="AJ4286" s="865"/>
    </row>
    <row r="4287" spans="13:36">
      <c r="M4287" s="811" t="str">
        <f t="shared" si="242"/>
        <v/>
      </c>
      <c r="X4287" s="811" t="str">
        <f t="shared" si="243"/>
        <v/>
      </c>
      <c r="AJ4287" s="865"/>
    </row>
    <row r="4288" spans="13:36">
      <c r="M4288" s="811" t="str">
        <f t="shared" si="242"/>
        <v/>
      </c>
      <c r="X4288" s="811" t="str">
        <f t="shared" si="243"/>
        <v/>
      </c>
      <c r="AJ4288" s="865"/>
    </row>
    <row r="4289" spans="13:36">
      <c r="M4289" s="811" t="str">
        <f t="shared" si="242"/>
        <v/>
      </c>
      <c r="X4289" s="811" t="str">
        <f t="shared" si="243"/>
        <v/>
      </c>
      <c r="AJ4289" s="865"/>
    </row>
    <row r="4290" spans="13:36">
      <c r="M4290" s="811" t="str">
        <f t="shared" si="242"/>
        <v/>
      </c>
      <c r="X4290" s="811" t="str">
        <f t="shared" si="243"/>
        <v/>
      </c>
      <c r="AJ4290" s="865"/>
    </row>
    <row r="4291" spans="13:36">
      <c r="M4291" s="811" t="str">
        <f t="shared" si="242"/>
        <v/>
      </c>
      <c r="X4291" s="811" t="str">
        <f t="shared" si="243"/>
        <v/>
      </c>
      <c r="AJ4291" s="865"/>
    </row>
    <row r="4292" spans="13:36">
      <c r="M4292" s="811" t="str">
        <f t="shared" si="242"/>
        <v/>
      </c>
      <c r="X4292" s="811" t="str">
        <f t="shared" si="243"/>
        <v/>
      </c>
      <c r="AJ4292" s="865"/>
    </row>
    <row r="4293" spans="13:36">
      <c r="M4293" s="811" t="str">
        <f t="shared" si="242"/>
        <v/>
      </c>
      <c r="X4293" s="811" t="str">
        <f t="shared" si="243"/>
        <v/>
      </c>
      <c r="AJ4293" s="865"/>
    </row>
    <row r="4294" spans="13:36">
      <c r="M4294" s="811" t="str">
        <f t="shared" si="242"/>
        <v/>
      </c>
      <c r="X4294" s="811" t="str">
        <f t="shared" si="243"/>
        <v/>
      </c>
      <c r="AJ4294" s="865"/>
    </row>
    <row r="4295" spans="13:36">
      <c r="M4295" s="811" t="str">
        <f t="shared" si="242"/>
        <v/>
      </c>
      <c r="X4295" s="811" t="str">
        <f t="shared" si="243"/>
        <v/>
      </c>
      <c r="AJ4295" s="865"/>
    </row>
    <row r="4296" spans="13:36">
      <c r="M4296" s="811" t="str">
        <f t="shared" si="242"/>
        <v/>
      </c>
      <c r="X4296" s="811" t="str">
        <f t="shared" si="243"/>
        <v/>
      </c>
      <c r="AJ4296" s="865"/>
    </row>
    <row r="4297" spans="13:36">
      <c r="M4297" s="811" t="str">
        <f t="shared" si="242"/>
        <v/>
      </c>
      <c r="X4297" s="811" t="str">
        <f t="shared" si="243"/>
        <v/>
      </c>
      <c r="AJ4297" s="865"/>
    </row>
    <row r="4298" spans="13:36">
      <c r="M4298" s="811" t="str">
        <f t="shared" si="242"/>
        <v/>
      </c>
      <c r="X4298" s="811" t="str">
        <f t="shared" si="243"/>
        <v/>
      </c>
      <c r="AJ4298" s="865"/>
    </row>
    <row r="4299" spans="13:36">
      <c r="M4299" s="811" t="str">
        <f t="shared" si="242"/>
        <v/>
      </c>
      <c r="X4299" s="811" t="str">
        <f t="shared" si="243"/>
        <v/>
      </c>
      <c r="AJ4299" s="865"/>
    </row>
    <row r="4300" spans="13:36">
      <c r="M4300" s="811" t="str">
        <f t="shared" ref="M4300:M4363" si="244">IF(ISBLANK(L4300)=TRUE,"",LOOKUP(L4300,GQ:GR))</f>
        <v/>
      </c>
      <c r="X4300" s="811" t="str">
        <f t="shared" si="243"/>
        <v/>
      </c>
      <c r="AJ4300" s="865"/>
    </row>
    <row r="4301" spans="13:36">
      <c r="M4301" s="811" t="str">
        <f t="shared" si="244"/>
        <v/>
      </c>
      <c r="X4301" s="811" t="str">
        <f t="shared" si="243"/>
        <v/>
      </c>
      <c r="AJ4301" s="865"/>
    </row>
    <row r="4302" spans="13:36">
      <c r="M4302" s="811" t="str">
        <f t="shared" si="244"/>
        <v/>
      </c>
      <c r="X4302" s="811" t="str">
        <f t="shared" si="243"/>
        <v/>
      </c>
      <c r="AJ4302" s="865"/>
    </row>
    <row r="4303" spans="13:36">
      <c r="M4303" s="811" t="str">
        <f t="shared" si="244"/>
        <v/>
      </c>
      <c r="X4303" s="811" t="str">
        <f t="shared" si="243"/>
        <v/>
      </c>
      <c r="AJ4303" s="865"/>
    </row>
    <row r="4304" spans="13:36">
      <c r="M4304" s="811" t="str">
        <f t="shared" si="244"/>
        <v/>
      </c>
      <c r="X4304" s="811" t="str">
        <f t="shared" si="243"/>
        <v/>
      </c>
      <c r="AJ4304" s="865"/>
    </row>
    <row r="4305" spans="13:36">
      <c r="M4305" s="811" t="str">
        <f t="shared" si="244"/>
        <v/>
      </c>
      <c r="X4305" s="811" t="str">
        <f t="shared" si="243"/>
        <v/>
      </c>
      <c r="AJ4305" s="865"/>
    </row>
    <row r="4306" spans="13:36">
      <c r="M4306" s="811" t="str">
        <f t="shared" si="244"/>
        <v/>
      </c>
      <c r="X4306" s="811" t="str">
        <f t="shared" si="243"/>
        <v/>
      </c>
      <c r="AJ4306" s="865"/>
    </row>
    <row r="4307" spans="13:36">
      <c r="M4307" s="811" t="str">
        <f t="shared" si="244"/>
        <v/>
      </c>
      <c r="X4307" s="811" t="str">
        <f t="shared" si="243"/>
        <v/>
      </c>
      <c r="AJ4307" s="865"/>
    </row>
    <row r="4308" spans="13:36">
      <c r="M4308" s="811" t="str">
        <f t="shared" si="244"/>
        <v/>
      </c>
      <c r="X4308" s="811" t="str">
        <f t="shared" si="243"/>
        <v/>
      </c>
      <c r="AJ4308" s="865"/>
    </row>
    <row r="4309" spans="13:36">
      <c r="M4309" s="811" t="str">
        <f t="shared" si="244"/>
        <v/>
      </c>
      <c r="X4309" s="811" t="str">
        <f t="shared" si="243"/>
        <v/>
      </c>
      <c r="AJ4309" s="865"/>
    </row>
    <row r="4310" spans="13:36">
      <c r="M4310" s="811" t="str">
        <f t="shared" si="244"/>
        <v/>
      </c>
      <c r="X4310" s="811" t="str">
        <f t="shared" si="243"/>
        <v/>
      </c>
      <c r="AJ4310" s="865"/>
    </row>
    <row r="4311" spans="13:36">
      <c r="M4311" s="811" t="str">
        <f t="shared" si="244"/>
        <v/>
      </c>
      <c r="X4311" s="811" t="str">
        <f t="shared" si="243"/>
        <v/>
      </c>
      <c r="AJ4311" s="865"/>
    </row>
    <row r="4312" spans="13:36">
      <c r="M4312" s="811" t="str">
        <f t="shared" si="244"/>
        <v/>
      </c>
      <c r="X4312" s="811" t="str">
        <f t="shared" si="243"/>
        <v/>
      </c>
      <c r="AJ4312" s="865"/>
    </row>
    <row r="4313" spans="13:36">
      <c r="M4313" s="811" t="str">
        <f t="shared" si="244"/>
        <v/>
      </c>
      <c r="X4313" s="811" t="str">
        <f t="shared" si="243"/>
        <v/>
      </c>
      <c r="AJ4313" s="865"/>
    </row>
    <row r="4314" spans="13:36">
      <c r="M4314" s="811" t="str">
        <f t="shared" si="244"/>
        <v/>
      </c>
      <c r="X4314" s="811" t="str">
        <f t="shared" si="243"/>
        <v/>
      </c>
      <c r="AJ4314" s="865"/>
    </row>
    <row r="4315" spans="13:36">
      <c r="M4315" s="811" t="str">
        <f t="shared" si="244"/>
        <v/>
      </c>
      <c r="X4315" s="811" t="str">
        <f t="shared" si="243"/>
        <v/>
      </c>
      <c r="AJ4315" s="865"/>
    </row>
    <row r="4316" spans="13:36">
      <c r="M4316" s="811" t="str">
        <f t="shared" si="244"/>
        <v/>
      </c>
      <c r="X4316" s="811" t="str">
        <f t="shared" si="243"/>
        <v/>
      </c>
      <c r="AJ4316" s="865"/>
    </row>
    <row r="4317" spans="13:36">
      <c r="M4317" s="811" t="str">
        <f t="shared" si="244"/>
        <v/>
      </c>
      <c r="X4317" s="811" t="str">
        <f t="shared" si="243"/>
        <v/>
      </c>
      <c r="AJ4317" s="865"/>
    </row>
    <row r="4318" spans="13:36">
      <c r="M4318" s="811" t="str">
        <f t="shared" si="244"/>
        <v/>
      </c>
      <c r="X4318" s="811" t="str">
        <f t="shared" si="243"/>
        <v/>
      </c>
      <c r="AJ4318" s="865"/>
    </row>
    <row r="4319" spans="13:36">
      <c r="M4319" s="811" t="str">
        <f t="shared" si="244"/>
        <v/>
      </c>
      <c r="X4319" s="811" t="str">
        <f t="shared" si="243"/>
        <v/>
      </c>
      <c r="AJ4319" s="865"/>
    </row>
    <row r="4320" spans="13:36">
      <c r="M4320" s="811" t="str">
        <f t="shared" si="244"/>
        <v/>
      </c>
      <c r="X4320" s="811" t="str">
        <f t="shared" si="243"/>
        <v/>
      </c>
      <c r="AJ4320" s="865"/>
    </row>
    <row r="4321" spans="13:36">
      <c r="M4321" s="811" t="str">
        <f t="shared" si="244"/>
        <v/>
      </c>
      <c r="X4321" s="811" t="str">
        <f t="shared" si="243"/>
        <v/>
      </c>
      <c r="AJ4321" s="865"/>
    </row>
    <row r="4322" spans="13:36">
      <c r="M4322" s="811" t="str">
        <f t="shared" si="244"/>
        <v/>
      </c>
      <c r="X4322" s="811" t="str">
        <f t="shared" si="243"/>
        <v/>
      </c>
      <c r="AJ4322" s="865"/>
    </row>
    <row r="4323" spans="13:36">
      <c r="M4323" s="811" t="str">
        <f t="shared" si="244"/>
        <v/>
      </c>
      <c r="X4323" s="811" t="str">
        <f t="shared" si="243"/>
        <v/>
      </c>
      <c r="AJ4323" s="865"/>
    </row>
    <row r="4324" spans="13:36">
      <c r="M4324" s="811" t="str">
        <f t="shared" si="244"/>
        <v/>
      </c>
      <c r="X4324" s="811" t="str">
        <f t="shared" si="243"/>
        <v/>
      </c>
      <c r="AJ4324" s="865"/>
    </row>
    <row r="4325" spans="13:36">
      <c r="M4325" s="811" t="str">
        <f t="shared" si="244"/>
        <v/>
      </c>
      <c r="X4325" s="811" t="str">
        <f t="shared" si="243"/>
        <v/>
      </c>
      <c r="AJ4325" s="865"/>
    </row>
    <row r="4326" spans="13:36">
      <c r="M4326" s="811" t="str">
        <f t="shared" si="244"/>
        <v/>
      </c>
      <c r="X4326" s="811" t="str">
        <f t="shared" si="243"/>
        <v/>
      </c>
      <c r="AJ4326" s="865"/>
    </row>
    <row r="4327" spans="13:36">
      <c r="M4327" s="811" t="str">
        <f t="shared" si="244"/>
        <v/>
      </c>
      <c r="X4327" s="811" t="str">
        <f t="shared" si="243"/>
        <v/>
      </c>
      <c r="AJ4327" s="865"/>
    </row>
    <row r="4328" spans="13:36">
      <c r="M4328" s="811" t="str">
        <f t="shared" si="244"/>
        <v/>
      </c>
      <c r="X4328" s="811" t="str">
        <f t="shared" si="243"/>
        <v/>
      </c>
      <c r="AJ4328" s="865"/>
    </row>
    <row r="4329" spans="13:36">
      <c r="M4329" s="811" t="str">
        <f t="shared" si="244"/>
        <v/>
      </c>
      <c r="X4329" s="811" t="str">
        <f t="shared" si="243"/>
        <v/>
      </c>
      <c r="AJ4329" s="865"/>
    </row>
    <row r="4330" spans="13:36">
      <c r="M4330" s="811" t="str">
        <f t="shared" si="244"/>
        <v/>
      </c>
      <c r="X4330" s="811" t="str">
        <f t="shared" si="243"/>
        <v/>
      </c>
      <c r="AJ4330" s="865"/>
    </row>
    <row r="4331" spans="13:36">
      <c r="M4331" s="811" t="str">
        <f t="shared" si="244"/>
        <v/>
      </c>
      <c r="X4331" s="811" t="str">
        <f t="shared" si="243"/>
        <v/>
      </c>
      <c r="AJ4331" s="865"/>
    </row>
    <row r="4332" spans="13:36">
      <c r="M4332" s="811" t="str">
        <f t="shared" si="244"/>
        <v/>
      </c>
      <c r="X4332" s="811" t="str">
        <f t="shared" si="243"/>
        <v/>
      </c>
      <c r="AJ4332" s="865"/>
    </row>
    <row r="4333" spans="13:36">
      <c r="M4333" s="811" t="str">
        <f t="shared" si="244"/>
        <v/>
      </c>
      <c r="X4333" s="811" t="str">
        <f t="shared" si="243"/>
        <v/>
      </c>
      <c r="AJ4333" s="865"/>
    </row>
    <row r="4334" spans="13:36">
      <c r="M4334" s="811" t="str">
        <f t="shared" si="244"/>
        <v/>
      </c>
      <c r="X4334" s="811" t="str">
        <f t="shared" si="243"/>
        <v/>
      </c>
      <c r="AJ4334" s="865"/>
    </row>
    <row r="4335" spans="13:36">
      <c r="M4335" s="811" t="str">
        <f t="shared" si="244"/>
        <v/>
      </c>
      <c r="X4335" s="811" t="str">
        <f t="shared" si="243"/>
        <v/>
      </c>
      <c r="AJ4335" s="865"/>
    </row>
    <row r="4336" spans="13:36">
      <c r="M4336" s="811" t="str">
        <f t="shared" si="244"/>
        <v/>
      </c>
      <c r="X4336" s="811" t="str">
        <f t="shared" si="243"/>
        <v/>
      </c>
      <c r="AJ4336" s="865"/>
    </row>
    <row r="4337" spans="13:36">
      <c r="M4337" s="811" t="str">
        <f t="shared" si="244"/>
        <v/>
      </c>
      <c r="X4337" s="811" t="str">
        <f t="shared" si="243"/>
        <v/>
      </c>
      <c r="AJ4337" s="865"/>
    </row>
    <row r="4338" spans="13:36">
      <c r="M4338" s="811" t="str">
        <f t="shared" si="244"/>
        <v/>
      </c>
      <c r="X4338" s="811" t="str">
        <f t="shared" si="243"/>
        <v/>
      </c>
      <c r="AJ4338" s="865"/>
    </row>
    <row r="4339" spans="13:36">
      <c r="M4339" s="811" t="str">
        <f t="shared" si="244"/>
        <v/>
      </c>
      <c r="X4339" s="811" t="str">
        <f t="shared" ref="X4339:X4402" si="245">IF(ISBLANK(W4339)=TRUE,"",LOOKUP(W4339,GO:GP))</f>
        <v/>
      </c>
      <c r="AJ4339" s="865"/>
    </row>
    <row r="4340" spans="13:36">
      <c r="M4340" s="811" t="str">
        <f t="shared" si="244"/>
        <v/>
      </c>
      <c r="X4340" s="811" t="str">
        <f t="shared" si="245"/>
        <v/>
      </c>
      <c r="AJ4340" s="865"/>
    </row>
    <row r="4341" spans="13:36">
      <c r="M4341" s="811" t="str">
        <f t="shared" si="244"/>
        <v/>
      </c>
      <c r="X4341" s="811" t="str">
        <f t="shared" si="245"/>
        <v/>
      </c>
      <c r="AJ4341" s="865"/>
    </row>
    <row r="4342" spans="13:36">
      <c r="M4342" s="811" t="str">
        <f t="shared" si="244"/>
        <v/>
      </c>
      <c r="X4342" s="811" t="str">
        <f t="shared" si="245"/>
        <v/>
      </c>
      <c r="AJ4342" s="865"/>
    </row>
    <row r="4343" spans="13:36">
      <c r="M4343" s="811" t="str">
        <f t="shared" si="244"/>
        <v/>
      </c>
      <c r="X4343" s="811" t="str">
        <f t="shared" si="245"/>
        <v/>
      </c>
      <c r="AJ4343" s="865"/>
    </row>
    <row r="4344" spans="13:36">
      <c r="M4344" s="811" t="str">
        <f t="shared" si="244"/>
        <v/>
      </c>
      <c r="X4344" s="811" t="str">
        <f t="shared" si="245"/>
        <v/>
      </c>
      <c r="AJ4344" s="865"/>
    </row>
    <row r="4345" spans="13:36">
      <c r="M4345" s="811" t="str">
        <f t="shared" si="244"/>
        <v/>
      </c>
      <c r="X4345" s="811" t="str">
        <f t="shared" si="245"/>
        <v/>
      </c>
      <c r="AJ4345" s="865"/>
    </row>
    <row r="4346" spans="13:36">
      <c r="M4346" s="811" t="str">
        <f t="shared" si="244"/>
        <v/>
      </c>
      <c r="X4346" s="811" t="str">
        <f t="shared" si="245"/>
        <v/>
      </c>
      <c r="AJ4346" s="865"/>
    </row>
    <row r="4347" spans="13:36">
      <c r="M4347" s="811" t="str">
        <f t="shared" si="244"/>
        <v/>
      </c>
      <c r="X4347" s="811" t="str">
        <f t="shared" si="245"/>
        <v/>
      </c>
      <c r="AJ4347" s="865"/>
    </row>
    <row r="4348" spans="13:36">
      <c r="M4348" s="811" t="str">
        <f t="shared" si="244"/>
        <v/>
      </c>
      <c r="X4348" s="811" t="str">
        <f t="shared" si="245"/>
        <v/>
      </c>
      <c r="AJ4348" s="865"/>
    </row>
    <row r="4349" spans="13:36">
      <c r="M4349" s="811" t="str">
        <f t="shared" si="244"/>
        <v/>
      </c>
      <c r="X4349" s="811" t="str">
        <f t="shared" si="245"/>
        <v/>
      </c>
      <c r="AJ4349" s="865"/>
    </row>
    <row r="4350" spans="13:36">
      <c r="M4350" s="811" t="str">
        <f t="shared" si="244"/>
        <v/>
      </c>
      <c r="X4350" s="811" t="str">
        <f t="shared" si="245"/>
        <v/>
      </c>
      <c r="AJ4350" s="865"/>
    </row>
    <row r="4351" spans="13:36">
      <c r="M4351" s="811" t="str">
        <f t="shared" si="244"/>
        <v/>
      </c>
      <c r="X4351" s="811" t="str">
        <f t="shared" si="245"/>
        <v/>
      </c>
      <c r="AJ4351" s="865"/>
    </row>
    <row r="4352" spans="13:36">
      <c r="M4352" s="811" t="str">
        <f t="shared" si="244"/>
        <v/>
      </c>
      <c r="X4352" s="811" t="str">
        <f t="shared" si="245"/>
        <v/>
      </c>
      <c r="AJ4352" s="865"/>
    </row>
    <row r="4353" spans="13:36">
      <c r="M4353" s="811" t="str">
        <f t="shared" si="244"/>
        <v/>
      </c>
      <c r="X4353" s="811" t="str">
        <f t="shared" si="245"/>
        <v/>
      </c>
      <c r="AJ4353" s="865"/>
    </row>
    <row r="4354" spans="13:36">
      <c r="M4354" s="811" t="str">
        <f t="shared" si="244"/>
        <v/>
      </c>
      <c r="X4354" s="811" t="str">
        <f t="shared" si="245"/>
        <v/>
      </c>
      <c r="AJ4354" s="865"/>
    </row>
    <row r="4355" spans="13:36">
      <c r="M4355" s="811" t="str">
        <f t="shared" si="244"/>
        <v/>
      </c>
      <c r="X4355" s="811" t="str">
        <f t="shared" si="245"/>
        <v/>
      </c>
      <c r="AJ4355" s="865"/>
    </row>
    <row r="4356" spans="13:36">
      <c r="M4356" s="811" t="str">
        <f t="shared" si="244"/>
        <v/>
      </c>
      <c r="X4356" s="811" t="str">
        <f t="shared" si="245"/>
        <v/>
      </c>
      <c r="AJ4356" s="865"/>
    </row>
    <row r="4357" spans="13:36">
      <c r="M4357" s="811" t="str">
        <f t="shared" si="244"/>
        <v/>
      </c>
      <c r="X4357" s="811" t="str">
        <f t="shared" si="245"/>
        <v/>
      </c>
      <c r="AJ4357" s="865"/>
    </row>
    <row r="4358" spans="13:36">
      <c r="M4358" s="811" t="str">
        <f t="shared" si="244"/>
        <v/>
      </c>
      <c r="X4358" s="811" t="str">
        <f t="shared" si="245"/>
        <v/>
      </c>
      <c r="AJ4358" s="865"/>
    </row>
    <row r="4359" spans="13:36">
      <c r="M4359" s="811" t="str">
        <f t="shared" si="244"/>
        <v/>
      </c>
      <c r="X4359" s="811" t="str">
        <f t="shared" si="245"/>
        <v/>
      </c>
      <c r="AJ4359" s="865"/>
    </row>
    <row r="4360" spans="13:36">
      <c r="M4360" s="811" t="str">
        <f t="shared" si="244"/>
        <v/>
      </c>
      <c r="X4360" s="811" t="str">
        <f t="shared" si="245"/>
        <v/>
      </c>
      <c r="AJ4360" s="865"/>
    </row>
    <row r="4361" spans="13:36">
      <c r="M4361" s="811" t="str">
        <f t="shared" si="244"/>
        <v/>
      </c>
      <c r="X4361" s="811" t="str">
        <f t="shared" si="245"/>
        <v/>
      </c>
      <c r="AJ4361" s="865"/>
    </row>
    <row r="4362" spans="13:36">
      <c r="M4362" s="811" t="str">
        <f t="shared" si="244"/>
        <v/>
      </c>
      <c r="X4362" s="811" t="str">
        <f t="shared" si="245"/>
        <v/>
      </c>
      <c r="AJ4362" s="865"/>
    </row>
    <row r="4363" spans="13:36">
      <c r="M4363" s="811" t="str">
        <f t="shared" si="244"/>
        <v/>
      </c>
      <c r="X4363" s="811" t="str">
        <f t="shared" si="245"/>
        <v/>
      </c>
      <c r="AJ4363" s="865"/>
    </row>
    <row r="4364" spans="13:36">
      <c r="M4364" s="811" t="str">
        <f t="shared" ref="M4364:M4427" si="246">IF(ISBLANK(L4364)=TRUE,"",LOOKUP(L4364,GQ:GR))</f>
        <v/>
      </c>
      <c r="X4364" s="811" t="str">
        <f t="shared" si="245"/>
        <v/>
      </c>
      <c r="AJ4364" s="865"/>
    </row>
    <row r="4365" spans="13:36">
      <c r="M4365" s="811" t="str">
        <f t="shared" si="246"/>
        <v/>
      </c>
      <c r="X4365" s="811" t="str">
        <f t="shared" si="245"/>
        <v/>
      </c>
      <c r="AJ4365" s="865"/>
    </row>
    <row r="4366" spans="13:36">
      <c r="M4366" s="811" t="str">
        <f t="shared" si="246"/>
        <v/>
      </c>
      <c r="X4366" s="811" t="str">
        <f t="shared" si="245"/>
        <v/>
      </c>
      <c r="AJ4366" s="865"/>
    </row>
    <row r="4367" spans="13:36">
      <c r="M4367" s="811" t="str">
        <f t="shared" si="246"/>
        <v/>
      </c>
      <c r="X4367" s="811" t="str">
        <f t="shared" si="245"/>
        <v/>
      </c>
      <c r="AJ4367" s="865"/>
    </row>
    <row r="4368" spans="13:36">
      <c r="M4368" s="811" t="str">
        <f t="shared" si="246"/>
        <v/>
      </c>
      <c r="X4368" s="811" t="str">
        <f t="shared" si="245"/>
        <v/>
      </c>
      <c r="AJ4368" s="865"/>
    </row>
    <row r="4369" spans="13:36">
      <c r="M4369" s="811" t="str">
        <f t="shared" si="246"/>
        <v/>
      </c>
      <c r="X4369" s="811" t="str">
        <f t="shared" si="245"/>
        <v/>
      </c>
      <c r="AJ4369" s="865"/>
    </row>
    <row r="4370" spans="13:36">
      <c r="M4370" s="811" t="str">
        <f t="shared" si="246"/>
        <v/>
      </c>
      <c r="X4370" s="811" t="str">
        <f t="shared" si="245"/>
        <v/>
      </c>
      <c r="AJ4370" s="865"/>
    </row>
    <row r="4371" spans="13:36">
      <c r="M4371" s="811" t="str">
        <f t="shared" si="246"/>
        <v/>
      </c>
      <c r="X4371" s="811" t="str">
        <f t="shared" si="245"/>
        <v/>
      </c>
      <c r="AJ4371" s="865"/>
    </row>
    <row r="4372" spans="13:36">
      <c r="M4372" s="811" t="str">
        <f t="shared" si="246"/>
        <v/>
      </c>
      <c r="X4372" s="811" t="str">
        <f t="shared" si="245"/>
        <v/>
      </c>
      <c r="AJ4372" s="865"/>
    </row>
    <row r="4373" spans="13:36">
      <c r="M4373" s="811" t="str">
        <f t="shared" si="246"/>
        <v/>
      </c>
      <c r="X4373" s="811" t="str">
        <f t="shared" si="245"/>
        <v/>
      </c>
      <c r="AJ4373" s="865"/>
    </row>
    <row r="4374" spans="13:36">
      <c r="M4374" s="811" t="str">
        <f t="shared" si="246"/>
        <v/>
      </c>
      <c r="X4374" s="811" t="str">
        <f t="shared" si="245"/>
        <v/>
      </c>
      <c r="AJ4374" s="865"/>
    </row>
    <row r="4375" spans="13:36">
      <c r="M4375" s="811" t="str">
        <f t="shared" si="246"/>
        <v/>
      </c>
      <c r="X4375" s="811" t="str">
        <f t="shared" si="245"/>
        <v/>
      </c>
      <c r="AJ4375" s="865"/>
    </row>
    <row r="4376" spans="13:36">
      <c r="M4376" s="811" t="str">
        <f t="shared" si="246"/>
        <v/>
      </c>
      <c r="X4376" s="811" t="str">
        <f t="shared" si="245"/>
        <v/>
      </c>
      <c r="AJ4376" s="865"/>
    </row>
    <row r="4377" spans="13:36">
      <c r="M4377" s="811" t="str">
        <f t="shared" si="246"/>
        <v/>
      </c>
      <c r="X4377" s="811" t="str">
        <f t="shared" si="245"/>
        <v/>
      </c>
      <c r="AJ4377" s="865"/>
    </row>
    <row r="4378" spans="13:36">
      <c r="M4378" s="811" t="str">
        <f t="shared" si="246"/>
        <v/>
      </c>
      <c r="X4378" s="811" t="str">
        <f t="shared" si="245"/>
        <v/>
      </c>
      <c r="AJ4378" s="865"/>
    </row>
    <row r="4379" spans="13:36">
      <c r="M4379" s="811" t="str">
        <f t="shared" si="246"/>
        <v/>
      </c>
      <c r="X4379" s="811" t="str">
        <f t="shared" si="245"/>
        <v/>
      </c>
      <c r="AJ4379" s="865"/>
    </row>
    <row r="4380" spans="13:36">
      <c r="M4380" s="811" t="str">
        <f t="shared" si="246"/>
        <v/>
      </c>
      <c r="X4380" s="811" t="str">
        <f t="shared" si="245"/>
        <v/>
      </c>
      <c r="AJ4380" s="865"/>
    </row>
    <row r="4381" spans="13:36">
      <c r="M4381" s="811" t="str">
        <f t="shared" si="246"/>
        <v/>
      </c>
      <c r="X4381" s="811" t="str">
        <f t="shared" si="245"/>
        <v/>
      </c>
      <c r="AJ4381" s="865"/>
    </row>
    <row r="4382" spans="13:36">
      <c r="M4382" s="811" t="str">
        <f t="shared" si="246"/>
        <v/>
      </c>
      <c r="X4382" s="811" t="str">
        <f t="shared" si="245"/>
        <v/>
      </c>
      <c r="AJ4382" s="865"/>
    </row>
    <row r="4383" spans="13:36">
      <c r="M4383" s="811" t="str">
        <f t="shared" si="246"/>
        <v/>
      </c>
      <c r="X4383" s="811" t="str">
        <f t="shared" si="245"/>
        <v/>
      </c>
      <c r="AJ4383" s="865"/>
    </row>
    <row r="4384" spans="13:36">
      <c r="M4384" s="811" t="str">
        <f t="shared" si="246"/>
        <v/>
      </c>
      <c r="X4384" s="811" t="str">
        <f t="shared" si="245"/>
        <v/>
      </c>
      <c r="AJ4384" s="865"/>
    </row>
    <row r="4385" spans="13:36">
      <c r="M4385" s="811" t="str">
        <f t="shared" si="246"/>
        <v/>
      </c>
      <c r="X4385" s="811" t="str">
        <f t="shared" si="245"/>
        <v/>
      </c>
      <c r="AJ4385" s="865"/>
    </row>
    <row r="4386" spans="13:36">
      <c r="M4386" s="811" t="str">
        <f t="shared" si="246"/>
        <v/>
      </c>
      <c r="X4386" s="811" t="str">
        <f t="shared" si="245"/>
        <v/>
      </c>
      <c r="AJ4386" s="865"/>
    </row>
    <row r="4387" spans="13:36">
      <c r="M4387" s="811" t="str">
        <f t="shared" si="246"/>
        <v/>
      </c>
      <c r="X4387" s="811" t="str">
        <f t="shared" si="245"/>
        <v/>
      </c>
      <c r="AJ4387" s="865"/>
    </row>
    <row r="4388" spans="13:36">
      <c r="M4388" s="811" t="str">
        <f t="shared" si="246"/>
        <v/>
      </c>
      <c r="X4388" s="811" t="str">
        <f t="shared" si="245"/>
        <v/>
      </c>
      <c r="AJ4388" s="865"/>
    </row>
    <row r="4389" spans="13:36">
      <c r="M4389" s="811" t="str">
        <f t="shared" si="246"/>
        <v/>
      </c>
      <c r="X4389" s="811" t="str">
        <f t="shared" si="245"/>
        <v/>
      </c>
      <c r="AJ4389" s="865"/>
    </row>
    <row r="4390" spans="13:36">
      <c r="M4390" s="811" t="str">
        <f t="shared" si="246"/>
        <v/>
      </c>
      <c r="X4390" s="811" t="str">
        <f t="shared" si="245"/>
        <v/>
      </c>
      <c r="AJ4390" s="865"/>
    </row>
    <row r="4391" spans="13:36">
      <c r="M4391" s="811" t="str">
        <f t="shared" si="246"/>
        <v/>
      </c>
      <c r="X4391" s="811" t="str">
        <f t="shared" si="245"/>
        <v/>
      </c>
      <c r="AJ4391" s="865"/>
    </row>
    <row r="4392" spans="13:36">
      <c r="M4392" s="811" t="str">
        <f t="shared" si="246"/>
        <v/>
      </c>
      <c r="X4392" s="811" t="str">
        <f t="shared" si="245"/>
        <v/>
      </c>
      <c r="AJ4392" s="865"/>
    </row>
    <row r="4393" spans="13:36">
      <c r="M4393" s="811" t="str">
        <f t="shared" si="246"/>
        <v/>
      </c>
      <c r="X4393" s="811" t="str">
        <f t="shared" si="245"/>
        <v/>
      </c>
      <c r="AJ4393" s="865"/>
    </row>
    <row r="4394" spans="13:36">
      <c r="M4394" s="811" t="str">
        <f t="shared" si="246"/>
        <v/>
      </c>
      <c r="X4394" s="811" t="str">
        <f t="shared" si="245"/>
        <v/>
      </c>
      <c r="AJ4394" s="865"/>
    </row>
    <row r="4395" spans="13:36">
      <c r="M4395" s="811" t="str">
        <f t="shared" si="246"/>
        <v/>
      </c>
      <c r="X4395" s="811" t="str">
        <f t="shared" si="245"/>
        <v/>
      </c>
      <c r="AJ4395" s="865"/>
    </row>
    <row r="4396" spans="13:36">
      <c r="M4396" s="811" t="str">
        <f t="shared" si="246"/>
        <v/>
      </c>
      <c r="X4396" s="811" t="str">
        <f t="shared" si="245"/>
        <v/>
      </c>
      <c r="AJ4396" s="865"/>
    </row>
    <row r="4397" spans="13:36">
      <c r="M4397" s="811" t="str">
        <f t="shared" si="246"/>
        <v/>
      </c>
      <c r="X4397" s="811" t="str">
        <f t="shared" si="245"/>
        <v/>
      </c>
      <c r="AJ4397" s="865"/>
    </row>
    <row r="4398" spans="13:36">
      <c r="M4398" s="811" t="str">
        <f t="shared" si="246"/>
        <v/>
      </c>
      <c r="X4398" s="811" t="str">
        <f t="shared" si="245"/>
        <v/>
      </c>
      <c r="AJ4398" s="865"/>
    </row>
    <row r="4399" spans="13:36">
      <c r="M4399" s="811" t="str">
        <f t="shared" si="246"/>
        <v/>
      </c>
      <c r="X4399" s="811" t="str">
        <f t="shared" si="245"/>
        <v/>
      </c>
      <c r="AJ4399" s="865"/>
    </row>
    <row r="4400" spans="13:36">
      <c r="M4400" s="811" t="str">
        <f t="shared" si="246"/>
        <v/>
      </c>
      <c r="X4400" s="811" t="str">
        <f t="shared" si="245"/>
        <v/>
      </c>
      <c r="AJ4400" s="865"/>
    </row>
    <row r="4401" spans="13:36">
      <c r="M4401" s="811" t="str">
        <f t="shared" si="246"/>
        <v/>
      </c>
      <c r="X4401" s="811" t="str">
        <f t="shared" si="245"/>
        <v/>
      </c>
      <c r="AJ4401" s="865"/>
    </row>
    <row r="4402" spans="13:36">
      <c r="M4402" s="811" t="str">
        <f t="shared" si="246"/>
        <v/>
      </c>
      <c r="X4402" s="811" t="str">
        <f t="shared" si="245"/>
        <v/>
      </c>
      <c r="AJ4402" s="865"/>
    </row>
    <row r="4403" spans="13:36">
      <c r="M4403" s="811" t="str">
        <f t="shared" si="246"/>
        <v/>
      </c>
      <c r="X4403" s="811" t="str">
        <f t="shared" ref="X4403:X4466" si="247">IF(ISBLANK(W4403)=TRUE,"",LOOKUP(W4403,GO:GP))</f>
        <v/>
      </c>
      <c r="AJ4403" s="865"/>
    </row>
    <row r="4404" spans="13:36">
      <c r="M4404" s="811" t="str">
        <f t="shared" si="246"/>
        <v/>
      </c>
      <c r="X4404" s="811" t="str">
        <f t="shared" si="247"/>
        <v/>
      </c>
      <c r="AJ4404" s="865"/>
    </row>
    <row r="4405" spans="13:36">
      <c r="M4405" s="811" t="str">
        <f t="shared" si="246"/>
        <v/>
      </c>
      <c r="X4405" s="811" t="str">
        <f t="shared" si="247"/>
        <v/>
      </c>
      <c r="AJ4405" s="865"/>
    </row>
    <row r="4406" spans="13:36">
      <c r="M4406" s="811" t="str">
        <f t="shared" si="246"/>
        <v/>
      </c>
      <c r="X4406" s="811" t="str">
        <f t="shared" si="247"/>
        <v/>
      </c>
      <c r="AJ4406" s="865"/>
    </row>
    <row r="4407" spans="13:36">
      <c r="M4407" s="811" t="str">
        <f t="shared" si="246"/>
        <v/>
      </c>
      <c r="X4407" s="811" t="str">
        <f t="shared" si="247"/>
        <v/>
      </c>
      <c r="AJ4407" s="865"/>
    </row>
    <row r="4408" spans="13:36">
      <c r="M4408" s="811" t="str">
        <f t="shared" si="246"/>
        <v/>
      </c>
      <c r="X4408" s="811" t="str">
        <f t="shared" si="247"/>
        <v/>
      </c>
      <c r="AJ4408" s="865"/>
    </row>
    <row r="4409" spans="13:36">
      <c r="M4409" s="811" t="str">
        <f t="shared" si="246"/>
        <v/>
      </c>
      <c r="X4409" s="811" t="str">
        <f t="shared" si="247"/>
        <v/>
      </c>
      <c r="AJ4409" s="865"/>
    </row>
    <row r="4410" spans="13:36">
      <c r="M4410" s="811" t="str">
        <f t="shared" si="246"/>
        <v/>
      </c>
      <c r="X4410" s="811" t="str">
        <f t="shared" si="247"/>
        <v/>
      </c>
      <c r="AJ4410" s="865"/>
    </row>
    <row r="4411" spans="13:36">
      <c r="M4411" s="811" t="str">
        <f t="shared" si="246"/>
        <v/>
      </c>
      <c r="X4411" s="811" t="str">
        <f t="shared" si="247"/>
        <v/>
      </c>
      <c r="AJ4411" s="865"/>
    </row>
    <row r="4412" spans="13:36">
      <c r="M4412" s="811" t="str">
        <f t="shared" si="246"/>
        <v/>
      </c>
      <c r="X4412" s="811" t="str">
        <f t="shared" si="247"/>
        <v/>
      </c>
      <c r="AJ4412" s="865"/>
    </row>
    <row r="4413" spans="13:36">
      <c r="M4413" s="811" t="str">
        <f t="shared" si="246"/>
        <v/>
      </c>
      <c r="X4413" s="811" t="str">
        <f t="shared" si="247"/>
        <v/>
      </c>
      <c r="AJ4413" s="865"/>
    </row>
    <row r="4414" spans="13:36">
      <c r="M4414" s="811" t="str">
        <f t="shared" si="246"/>
        <v/>
      </c>
      <c r="X4414" s="811" t="str">
        <f t="shared" si="247"/>
        <v/>
      </c>
      <c r="AJ4414" s="865"/>
    </row>
    <row r="4415" spans="13:36">
      <c r="M4415" s="811" t="str">
        <f t="shared" si="246"/>
        <v/>
      </c>
      <c r="X4415" s="811" t="str">
        <f t="shared" si="247"/>
        <v/>
      </c>
      <c r="AJ4415" s="865"/>
    </row>
    <row r="4416" spans="13:36">
      <c r="M4416" s="811" t="str">
        <f t="shared" si="246"/>
        <v/>
      </c>
      <c r="X4416" s="811" t="str">
        <f t="shared" si="247"/>
        <v/>
      </c>
      <c r="AJ4416" s="865"/>
    </row>
    <row r="4417" spans="13:36">
      <c r="M4417" s="811" t="str">
        <f t="shared" si="246"/>
        <v/>
      </c>
      <c r="X4417" s="811" t="str">
        <f t="shared" si="247"/>
        <v/>
      </c>
      <c r="AJ4417" s="865"/>
    </row>
    <row r="4418" spans="13:36">
      <c r="M4418" s="811" t="str">
        <f t="shared" si="246"/>
        <v/>
      </c>
      <c r="X4418" s="811" t="str">
        <f t="shared" si="247"/>
        <v/>
      </c>
      <c r="AJ4418" s="865"/>
    </row>
    <row r="4419" spans="13:36">
      <c r="M4419" s="811" t="str">
        <f t="shared" si="246"/>
        <v/>
      </c>
      <c r="X4419" s="811" t="str">
        <f t="shared" si="247"/>
        <v/>
      </c>
      <c r="AJ4419" s="865"/>
    </row>
    <row r="4420" spans="13:36">
      <c r="M4420" s="811" t="str">
        <f t="shared" si="246"/>
        <v/>
      </c>
      <c r="X4420" s="811" t="str">
        <f t="shared" si="247"/>
        <v/>
      </c>
      <c r="AJ4420" s="865"/>
    </row>
    <row r="4421" spans="13:36">
      <c r="M4421" s="811" t="str">
        <f t="shared" si="246"/>
        <v/>
      </c>
      <c r="X4421" s="811" t="str">
        <f t="shared" si="247"/>
        <v/>
      </c>
      <c r="AJ4421" s="865"/>
    </row>
    <row r="4422" spans="13:36">
      <c r="M4422" s="811" t="str">
        <f t="shared" si="246"/>
        <v/>
      </c>
      <c r="X4422" s="811" t="str">
        <f t="shared" si="247"/>
        <v/>
      </c>
      <c r="AJ4422" s="865"/>
    </row>
    <row r="4423" spans="13:36">
      <c r="M4423" s="811" t="str">
        <f t="shared" si="246"/>
        <v/>
      </c>
      <c r="X4423" s="811" t="str">
        <f t="shared" si="247"/>
        <v/>
      </c>
      <c r="AJ4423" s="865"/>
    </row>
    <row r="4424" spans="13:36">
      <c r="M4424" s="811" t="str">
        <f t="shared" si="246"/>
        <v/>
      </c>
      <c r="X4424" s="811" t="str">
        <f t="shared" si="247"/>
        <v/>
      </c>
      <c r="AJ4424" s="865"/>
    </row>
    <row r="4425" spans="13:36">
      <c r="M4425" s="811" t="str">
        <f t="shared" si="246"/>
        <v/>
      </c>
      <c r="X4425" s="811" t="str">
        <f t="shared" si="247"/>
        <v/>
      </c>
      <c r="AJ4425" s="865"/>
    </row>
    <row r="4426" spans="13:36">
      <c r="M4426" s="811" t="str">
        <f t="shared" si="246"/>
        <v/>
      </c>
      <c r="X4426" s="811" t="str">
        <f t="shared" si="247"/>
        <v/>
      </c>
      <c r="AJ4426" s="865"/>
    </row>
    <row r="4427" spans="13:36">
      <c r="M4427" s="811" t="str">
        <f t="shared" si="246"/>
        <v/>
      </c>
      <c r="X4427" s="811" t="str">
        <f t="shared" si="247"/>
        <v/>
      </c>
      <c r="AJ4427" s="865"/>
    </row>
    <row r="4428" spans="13:36">
      <c r="M4428" s="811" t="str">
        <f t="shared" ref="M4428:M4491" si="248">IF(ISBLANK(L4428)=TRUE,"",LOOKUP(L4428,GQ:GR))</f>
        <v/>
      </c>
      <c r="X4428" s="811" t="str">
        <f t="shared" si="247"/>
        <v/>
      </c>
      <c r="AJ4428" s="865"/>
    </row>
    <row r="4429" spans="13:36">
      <c r="M4429" s="811" t="str">
        <f t="shared" si="248"/>
        <v/>
      </c>
      <c r="X4429" s="811" t="str">
        <f t="shared" si="247"/>
        <v/>
      </c>
      <c r="AJ4429" s="865"/>
    </row>
    <row r="4430" spans="13:36">
      <c r="M4430" s="811" t="str">
        <f t="shared" si="248"/>
        <v/>
      </c>
      <c r="X4430" s="811" t="str">
        <f t="shared" si="247"/>
        <v/>
      </c>
      <c r="AJ4430" s="865"/>
    </row>
    <row r="4431" spans="13:36">
      <c r="M4431" s="811" t="str">
        <f t="shared" si="248"/>
        <v/>
      </c>
      <c r="X4431" s="811" t="str">
        <f t="shared" si="247"/>
        <v/>
      </c>
      <c r="AJ4431" s="865"/>
    </row>
    <row r="4432" spans="13:36">
      <c r="M4432" s="811" t="str">
        <f t="shared" si="248"/>
        <v/>
      </c>
      <c r="X4432" s="811" t="str">
        <f t="shared" si="247"/>
        <v/>
      </c>
      <c r="AJ4432" s="865"/>
    </row>
    <row r="4433" spans="13:36">
      <c r="M4433" s="811" t="str">
        <f t="shared" si="248"/>
        <v/>
      </c>
      <c r="X4433" s="811" t="str">
        <f t="shared" si="247"/>
        <v/>
      </c>
      <c r="AJ4433" s="865"/>
    </row>
    <row r="4434" spans="13:36">
      <c r="M4434" s="811" t="str">
        <f t="shared" si="248"/>
        <v/>
      </c>
      <c r="X4434" s="811" t="str">
        <f t="shared" si="247"/>
        <v/>
      </c>
      <c r="AJ4434" s="865"/>
    </row>
    <row r="4435" spans="13:36">
      <c r="M4435" s="811" t="str">
        <f t="shared" si="248"/>
        <v/>
      </c>
      <c r="X4435" s="811" t="str">
        <f t="shared" si="247"/>
        <v/>
      </c>
      <c r="AJ4435" s="865"/>
    </row>
    <row r="4436" spans="13:36">
      <c r="M4436" s="811" t="str">
        <f t="shared" si="248"/>
        <v/>
      </c>
      <c r="X4436" s="811" t="str">
        <f t="shared" si="247"/>
        <v/>
      </c>
      <c r="AJ4436" s="865"/>
    </row>
    <row r="4437" spans="13:36">
      <c r="M4437" s="811" t="str">
        <f t="shared" si="248"/>
        <v/>
      </c>
      <c r="X4437" s="811" t="str">
        <f t="shared" si="247"/>
        <v/>
      </c>
      <c r="AJ4437" s="865"/>
    </row>
    <row r="4438" spans="13:36">
      <c r="M4438" s="811" t="str">
        <f t="shared" si="248"/>
        <v/>
      </c>
      <c r="X4438" s="811" t="str">
        <f t="shared" si="247"/>
        <v/>
      </c>
      <c r="AJ4438" s="865"/>
    </row>
    <row r="4439" spans="13:36">
      <c r="M4439" s="811" t="str">
        <f t="shared" si="248"/>
        <v/>
      </c>
      <c r="X4439" s="811" t="str">
        <f t="shared" si="247"/>
        <v/>
      </c>
      <c r="AJ4439" s="865"/>
    </row>
    <row r="4440" spans="13:36">
      <c r="M4440" s="811" t="str">
        <f t="shared" si="248"/>
        <v/>
      </c>
      <c r="X4440" s="811" t="str">
        <f t="shared" si="247"/>
        <v/>
      </c>
      <c r="AJ4440" s="865"/>
    </row>
    <row r="4441" spans="13:36">
      <c r="M4441" s="811" t="str">
        <f t="shared" si="248"/>
        <v/>
      </c>
      <c r="X4441" s="811" t="str">
        <f t="shared" si="247"/>
        <v/>
      </c>
      <c r="AJ4441" s="865"/>
    </row>
    <row r="4442" spans="13:36">
      <c r="M4442" s="811" t="str">
        <f t="shared" si="248"/>
        <v/>
      </c>
      <c r="X4442" s="811" t="str">
        <f t="shared" si="247"/>
        <v/>
      </c>
      <c r="AJ4442" s="865"/>
    </row>
    <row r="4443" spans="13:36">
      <c r="M4443" s="811" t="str">
        <f t="shared" si="248"/>
        <v/>
      </c>
      <c r="X4443" s="811" t="str">
        <f t="shared" si="247"/>
        <v/>
      </c>
      <c r="AJ4443" s="865"/>
    </row>
    <row r="4444" spans="13:36">
      <c r="M4444" s="811" t="str">
        <f t="shared" si="248"/>
        <v/>
      </c>
      <c r="X4444" s="811" t="str">
        <f t="shared" si="247"/>
        <v/>
      </c>
      <c r="AJ4444" s="865"/>
    </row>
    <row r="4445" spans="13:36">
      <c r="M4445" s="811" t="str">
        <f t="shared" si="248"/>
        <v/>
      </c>
      <c r="X4445" s="811" t="str">
        <f t="shared" si="247"/>
        <v/>
      </c>
      <c r="AJ4445" s="865"/>
    </row>
    <row r="4446" spans="13:36">
      <c r="M4446" s="811" t="str">
        <f t="shared" si="248"/>
        <v/>
      </c>
      <c r="X4446" s="811" t="str">
        <f t="shared" si="247"/>
        <v/>
      </c>
      <c r="AJ4446" s="865"/>
    </row>
    <row r="4447" spans="13:36">
      <c r="M4447" s="811" t="str">
        <f t="shared" si="248"/>
        <v/>
      </c>
      <c r="X4447" s="811" t="str">
        <f t="shared" si="247"/>
        <v/>
      </c>
      <c r="AJ4447" s="865"/>
    </row>
    <row r="4448" spans="13:36">
      <c r="M4448" s="811" t="str">
        <f t="shared" si="248"/>
        <v/>
      </c>
      <c r="X4448" s="811" t="str">
        <f t="shared" si="247"/>
        <v/>
      </c>
      <c r="AJ4448" s="865"/>
    </row>
    <row r="4449" spans="13:36">
      <c r="M4449" s="811" t="str">
        <f t="shared" si="248"/>
        <v/>
      </c>
      <c r="X4449" s="811" t="str">
        <f t="shared" si="247"/>
        <v/>
      </c>
      <c r="AJ4449" s="865"/>
    </row>
    <row r="4450" spans="13:36">
      <c r="M4450" s="811" t="str">
        <f t="shared" si="248"/>
        <v/>
      </c>
      <c r="X4450" s="811" t="str">
        <f t="shared" si="247"/>
        <v/>
      </c>
      <c r="AJ4450" s="865"/>
    </row>
    <row r="4451" spans="13:36">
      <c r="M4451" s="811" t="str">
        <f t="shared" si="248"/>
        <v/>
      </c>
      <c r="X4451" s="811" t="str">
        <f t="shared" si="247"/>
        <v/>
      </c>
      <c r="AJ4451" s="865"/>
    </row>
    <row r="4452" spans="13:36">
      <c r="M4452" s="811" t="str">
        <f t="shared" si="248"/>
        <v/>
      </c>
      <c r="X4452" s="811" t="str">
        <f t="shared" si="247"/>
        <v/>
      </c>
      <c r="AJ4452" s="865"/>
    </row>
    <row r="4453" spans="13:36">
      <c r="M4453" s="811" t="str">
        <f t="shared" si="248"/>
        <v/>
      </c>
      <c r="X4453" s="811" t="str">
        <f t="shared" si="247"/>
        <v/>
      </c>
      <c r="AJ4453" s="865"/>
    </row>
    <row r="4454" spans="13:36">
      <c r="M4454" s="811" t="str">
        <f t="shared" si="248"/>
        <v/>
      </c>
      <c r="X4454" s="811" t="str">
        <f t="shared" si="247"/>
        <v/>
      </c>
      <c r="AJ4454" s="865"/>
    </row>
    <row r="4455" spans="13:36">
      <c r="M4455" s="811" t="str">
        <f t="shared" si="248"/>
        <v/>
      </c>
      <c r="X4455" s="811" t="str">
        <f t="shared" si="247"/>
        <v/>
      </c>
      <c r="AJ4455" s="865"/>
    </row>
    <row r="4456" spans="13:36">
      <c r="M4456" s="811" t="str">
        <f t="shared" si="248"/>
        <v/>
      </c>
      <c r="X4456" s="811" t="str">
        <f t="shared" si="247"/>
        <v/>
      </c>
      <c r="AJ4456" s="865"/>
    </row>
    <row r="4457" spans="13:36">
      <c r="M4457" s="811" t="str">
        <f t="shared" si="248"/>
        <v/>
      </c>
      <c r="X4457" s="811" t="str">
        <f t="shared" si="247"/>
        <v/>
      </c>
      <c r="AJ4457" s="865"/>
    </row>
    <row r="4458" spans="13:36">
      <c r="M4458" s="811" t="str">
        <f t="shared" si="248"/>
        <v/>
      </c>
      <c r="X4458" s="811" t="str">
        <f t="shared" si="247"/>
        <v/>
      </c>
      <c r="AJ4458" s="865"/>
    </row>
    <row r="4459" spans="13:36">
      <c r="M4459" s="811" t="str">
        <f t="shared" si="248"/>
        <v/>
      </c>
      <c r="X4459" s="811" t="str">
        <f t="shared" si="247"/>
        <v/>
      </c>
      <c r="AJ4459" s="865"/>
    </row>
    <row r="4460" spans="13:36">
      <c r="M4460" s="811" t="str">
        <f t="shared" si="248"/>
        <v/>
      </c>
      <c r="X4460" s="811" t="str">
        <f t="shared" si="247"/>
        <v/>
      </c>
      <c r="AJ4460" s="865"/>
    </row>
    <row r="4461" spans="13:36">
      <c r="M4461" s="811" t="str">
        <f t="shared" si="248"/>
        <v/>
      </c>
      <c r="X4461" s="811" t="str">
        <f t="shared" si="247"/>
        <v/>
      </c>
      <c r="AJ4461" s="865"/>
    </row>
    <row r="4462" spans="13:36">
      <c r="M4462" s="811" t="str">
        <f t="shared" si="248"/>
        <v/>
      </c>
      <c r="X4462" s="811" t="str">
        <f t="shared" si="247"/>
        <v/>
      </c>
      <c r="AJ4462" s="865"/>
    </row>
    <row r="4463" spans="13:36">
      <c r="M4463" s="811" t="str">
        <f t="shared" si="248"/>
        <v/>
      </c>
      <c r="X4463" s="811" t="str">
        <f t="shared" si="247"/>
        <v/>
      </c>
      <c r="AJ4463" s="865"/>
    </row>
    <row r="4464" spans="13:36">
      <c r="M4464" s="811" t="str">
        <f t="shared" si="248"/>
        <v/>
      </c>
      <c r="X4464" s="811" t="str">
        <f t="shared" si="247"/>
        <v/>
      </c>
      <c r="AJ4464" s="865"/>
    </row>
    <row r="4465" spans="13:36">
      <c r="M4465" s="811" t="str">
        <f t="shared" si="248"/>
        <v/>
      </c>
      <c r="X4465" s="811" t="str">
        <f t="shared" si="247"/>
        <v/>
      </c>
      <c r="AJ4465" s="865"/>
    </row>
    <row r="4466" spans="13:36">
      <c r="M4466" s="811" t="str">
        <f t="shared" si="248"/>
        <v/>
      </c>
      <c r="X4466" s="811" t="str">
        <f t="shared" si="247"/>
        <v/>
      </c>
      <c r="AJ4466" s="865"/>
    </row>
    <row r="4467" spans="13:36">
      <c r="M4467" s="811" t="str">
        <f t="shared" si="248"/>
        <v/>
      </c>
      <c r="X4467" s="811" t="str">
        <f t="shared" ref="X4467:X4530" si="249">IF(ISBLANK(W4467)=TRUE,"",LOOKUP(W4467,GO:GP))</f>
        <v/>
      </c>
      <c r="AJ4467" s="865"/>
    </row>
    <row r="4468" spans="13:36">
      <c r="M4468" s="811" t="str">
        <f t="shared" si="248"/>
        <v/>
      </c>
      <c r="X4468" s="811" t="str">
        <f t="shared" si="249"/>
        <v/>
      </c>
      <c r="AJ4468" s="865"/>
    </row>
    <row r="4469" spans="13:36">
      <c r="M4469" s="811" t="str">
        <f t="shared" si="248"/>
        <v/>
      </c>
      <c r="X4469" s="811" t="str">
        <f t="shared" si="249"/>
        <v/>
      </c>
      <c r="AJ4469" s="865"/>
    </row>
    <row r="4470" spans="13:36">
      <c r="M4470" s="811" t="str">
        <f t="shared" si="248"/>
        <v/>
      </c>
      <c r="X4470" s="811" t="str">
        <f t="shared" si="249"/>
        <v/>
      </c>
      <c r="AJ4470" s="865"/>
    </row>
    <row r="4471" spans="13:36">
      <c r="M4471" s="811" t="str">
        <f t="shared" si="248"/>
        <v/>
      </c>
      <c r="X4471" s="811" t="str">
        <f t="shared" si="249"/>
        <v/>
      </c>
      <c r="AJ4471" s="865"/>
    </row>
    <row r="4472" spans="13:36">
      <c r="M4472" s="811" t="str">
        <f t="shared" si="248"/>
        <v/>
      </c>
      <c r="X4472" s="811" t="str">
        <f t="shared" si="249"/>
        <v/>
      </c>
      <c r="AJ4472" s="865"/>
    </row>
    <row r="4473" spans="13:36">
      <c r="M4473" s="811" t="str">
        <f t="shared" si="248"/>
        <v/>
      </c>
      <c r="X4473" s="811" t="str">
        <f t="shared" si="249"/>
        <v/>
      </c>
      <c r="AJ4473" s="865"/>
    </row>
    <row r="4474" spans="13:36">
      <c r="M4474" s="811" t="str">
        <f t="shared" si="248"/>
        <v/>
      </c>
      <c r="X4474" s="811" t="str">
        <f t="shared" si="249"/>
        <v/>
      </c>
      <c r="AJ4474" s="865"/>
    </row>
    <row r="4475" spans="13:36">
      <c r="M4475" s="811" t="str">
        <f t="shared" si="248"/>
        <v/>
      </c>
      <c r="X4475" s="811" t="str">
        <f t="shared" si="249"/>
        <v/>
      </c>
      <c r="AJ4475" s="865"/>
    </row>
    <row r="4476" spans="13:36">
      <c r="M4476" s="811" t="str">
        <f t="shared" si="248"/>
        <v/>
      </c>
      <c r="X4476" s="811" t="str">
        <f t="shared" si="249"/>
        <v/>
      </c>
      <c r="AJ4476" s="865"/>
    </row>
    <row r="4477" spans="13:36">
      <c r="M4477" s="811" t="str">
        <f t="shared" si="248"/>
        <v/>
      </c>
      <c r="X4477" s="811" t="str">
        <f t="shared" si="249"/>
        <v/>
      </c>
      <c r="AJ4477" s="865"/>
    </row>
    <row r="4478" spans="13:36">
      <c r="M4478" s="811" t="str">
        <f t="shared" si="248"/>
        <v/>
      </c>
      <c r="X4478" s="811" t="str">
        <f t="shared" si="249"/>
        <v/>
      </c>
      <c r="AJ4478" s="865"/>
    </row>
    <row r="4479" spans="13:36">
      <c r="M4479" s="811" t="str">
        <f t="shared" si="248"/>
        <v/>
      </c>
      <c r="X4479" s="811" t="str">
        <f t="shared" si="249"/>
        <v/>
      </c>
      <c r="AJ4479" s="865"/>
    </row>
    <row r="4480" spans="13:36">
      <c r="M4480" s="811" t="str">
        <f t="shared" si="248"/>
        <v/>
      </c>
      <c r="X4480" s="811" t="str">
        <f t="shared" si="249"/>
        <v/>
      </c>
      <c r="AJ4480" s="865"/>
    </row>
    <row r="4481" spans="13:36">
      <c r="M4481" s="811" t="str">
        <f t="shared" si="248"/>
        <v/>
      </c>
      <c r="X4481" s="811" t="str">
        <f t="shared" si="249"/>
        <v/>
      </c>
      <c r="AJ4481" s="865"/>
    </row>
    <row r="4482" spans="13:36">
      <c r="M4482" s="811" t="str">
        <f t="shared" si="248"/>
        <v/>
      </c>
      <c r="X4482" s="811" t="str">
        <f t="shared" si="249"/>
        <v/>
      </c>
      <c r="AJ4482" s="865"/>
    </row>
    <row r="4483" spans="13:36">
      <c r="M4483" s="811" t="str">
        <f t="shared" si="248"/>
        <v/>
      </c>
      <c r="X4483" s="811" t="str">
        <f t="shared" si="249"/>
        <v/>
      </c>
      <c r="AJ4483" s="865"/>
    </row>
    <row r="4484" spans="13:36">
      <c r="M4484" s="811" t="str">
        <f t="shared" si="248"/>
        <v/>
      </c>
      <c r="X4484" s="811" t="str">
        <f t="shared" si="249"/>
        <v/>
      </c>
      <c r="AJ4484" s="865"/>
    </row>
    <row r="4485" spans="13:36">
      <c r="M4485" s="811" t="str">
        <f t="shared" si="248"/>
        <v/>
      </c>
      <c r="X4485" s="811" t="str">
        <f t="shared" si="249"/>
        <v/>
      </c>
      <c r="AJ4485" s="865"/>
    </row>
    <row r="4486" spans="13:36">
      <c r="M4486" s="811" t="str">
        <f t="shared" si="248"/>
        <v/>
      </c>
      <c r="X4486" s="811" t="str">
        <f t="shared" si="249"/>
        <v/>
      </c>
      <c r="AJ4486" s="865"/>
    </row>
    <row r="4487" spans="13:36">
      <c r="M4487" s="811" t="str">
        <f t="shared" si="248"/>
        <v/>
      </c>
      <c r="X4487" s="811" t="str">
        <f t="shared" si="249"/>
        <v/>
      </c>
      <c r="AJ4487" s="865"/>
    </row>
    <row r="4488" spans="13:36">
      <c r="M4488" s="811" t="str">
        <f t="shared" si="248"/>
        <v/>
      </c>
      <c r="X4488" s="811" t="str">
        <f t="shared" si="249"/>
        <v/>
      </c>
      <c r="AJ4488" s="865"/>
    </row>
    <row r="4489" spans="13:36">
      <c r="M4489" s="811" t="str">
        <f t="shared" si="248"/>
        <v/>
      </c>
      <c r="X4489" s="811" t="str">
        <f t="shared" si="249"/>
        <v/>
      </c>
      <c r="AJ4489" s="865"/>
    </row>
    <row r="4490" spans="13:36">
      <c r="M4490" s="811" t="str">
        <f t="shared" si="248"/>
        <v/>
      </c>
      <c r="X4490" s="811" t="str">
        <f t="shared" si="249"/>
        <v/>
      </c>
      <c r="AJ4490" s="865"/>
    </row>
    <row r="4491" spans="13:36">
      <c r="M4491" s="811" t="str">
        <f t="shared" si="248"/>
        <v/>
      </c>
      <c r="X4491" s="811" t="str">
        <f t="shared" si="249"/>
        <v/>
      </c>
      <c r="AJ4491" s="865"/>
    </row>
    <row r="4492" spans="13:36">
      <c r="M4492" s="811" t="str">
        <f t="shared" ref="M4492:M4555" si="250">IF(ISBLANK(L4492)=TRUE,"",LOOKUP(L4492,GQ:GR))</f>
        <v/>
      </c>
      <c r="X4492" s="811" t="str">
        <f t="shared" si="249"/>
        <v/>
      </c>
      <c r="AJ4492" s="865"/>
    </row>
    <row r="4493" spans="13:36">
      <c r="M4493" s="811" t="str">
        <f t="shared" si="250"/>
        <v/>
      </c>
      <c r="X4493" s="811" t="str">
        <f t="shared" si="249"/>
        <v/>
      </c>
      <c r="AJ4493" s="865"/>
    </row>
    <row r="4494" spans="13:36">
      <c r="M4494" s="811" t="str">
        <f t="shared" si="250"/>
        <v/>
      </c>
      <c r="X4494" s="811" t="str">
        <f t="shared" si="249"/>
        <v/>
      </c>
      <c r="AJ4494" s="865"/>
    </row>
    <row r="4495" spans="13:36">
      <c r="M4495" s="811" t="str">
        <f t="shared" si="250"/>
        <v/>
      </c>
      <c r="X4495" s="811" t="str">
        <f t="shared" si="249"/>
        <v/>
      </c>
      <c r="AJ4495" s="865"/>
    </row>
    <row r="4496" spans="13:36">
      <c r="M4496" s="811" t="str">
        <f t="shared" si="250"/>
        <v/>
      </c>
      <c r="X4496" s="811" t="str">
        <f t="shared" si="249"/>
        <v/>
      </c>
      <c r="AJ4496" s="865"/>
    </row>
    <row r="4497" spans="13:36">
      <c r="M4497" s="811" t="str">
        <f t="shared" si="250"/>
        <v/>
      </c>
      <c r="X4497" s="811" t="str">
        <f t="shared" si="249"/>
        <v/>
      </c>
      <c r="AJ4497" s="865"/>
    </row>
    <row r="4498" spans="13:36">
      <c r="M4498" s="811" t="str">
        <f t="shared" si="250"/>
        <v/>
      </c>
      <c r="X4498" s="811" t="str">
        <f t="shared" si="249"/>
        <v/>
      </c>
      <c r="AJ4498" s="865"/>
    </row>
    <row r="4499" spans="13:36">
      <c r="M4499" s="811" t="str">
        <f t="shared" si="250"/>
        <v/>
      </c>
      <c r="X4499" s="811" t="str">
        <f t="shared" si="249"/>
        <v/>
      </c>
      <c r="AJ4499" s="865"/>
    </row>
    <row r="4500" spans="13:36">
      <c r="M4500" s="811" t="str">
        <f t="shared" si="250"/>
        <v/>
      </c>
      <c r="X4500" s="811" t="str">
        <f t="shared" si="249"/>
        <v/>
      </c>
      <c r="AJ4500" s="865"/>
    </row>
    <row r="4501" spans="13:36">
      <c r="M4501" s="811" t="str">
        <f t="shared" si="250"/>
        <v/>
      </c>
      <c r="X4501" s="811" t="str">
        <f t="shared" si="249"/>
        <v/>
      </c>
      <c r="AJ4501" s="865"/>
    </row>
    <row r="4502" spans="13:36">
      <c r="M4502" s="811" t="str">
        <f t="shared" si="250"/>
        <v/>
      </c>
      <c r="X4502" s="811" t="str">
        <f t="shared" si="249"/>
        <v/>
      </c>
      <c r="AJ4502" s="865"/>
    </row>
    <row r="4503" spans="13:36">
      <c r="M4503" s="811" t="str">
        <f t="shared" si="250"/>
        <v/>
      </c>
      <c r="X4503" s="811" t="str">
        <f t="shared" si="249"/>
        <v/>
      </c>
      <c r="AJ4503" s="865"/>
    </row>
    <row r="4504" spans="13:36">
      <c r="M4504" s="811" t="str">
        <f t="shared" si="250"/>
        <v/>
      </c>
      <c r="X4504" s="811" t="str">
        <f t="shared" si="249"/>
        <v/>
      </c>
      <c r="AJ4504" s="865"/>
    </row>
    <row r="4505" spans="13:36">
      <c r="M4505" s="811" t="str">
        <f t="shared" si="250"/>
        <v/>
      </c>
      <c r="X4505" s="811" t="str">
        <f t="shared" si="249"/>
        <v/>
      </c>
      <c r="AJ4505" s="865"/>
    </row>
    <row r="4506" spans="13:36">
      <c r="M4506" s="811" t="str">
        <f t="shared" si="250"/>
        <v/>
      </c>
      <c r="X4506" s="811" t="str">
        <f t="shared" si="249"/>
        <v/>
      </c>
      <c r="AJ4506" s="865"/>
    </row>
    <row r="4507" spans="13:36">
      <c r="M4507" s="811" t="str">
        <f t="shared" si="250"/>
        <v/>
      </c>
      <c r="X4507" s="811" t="str">
        <f t="shared" si="249"/>
        <v/>
      </c>
      <c r="AJ4507" s="865"/>
    </row>
    <row r="4508" spans="13:36">
      <c r="M4508" s="811" t="str">
        <f t="shared" si="250"/>
        <v/>
      </c>
      <c r="X4508" s="811" t="str">
        <f t="shared" si="249"/>
        <v/>
      </c>
      <c r="AJ4508" s="865"/>
    </row>
    <row r="4509" spans="13:36">
      <c r="M4509" s="811" t="str">
        <f t="shared" si="250"/>
        <v/>
      </c>
      <c r="X4509" s="811" t="str">
        <f t="shared" si="249"/>
        <v/>
      </c>
      <c r="AJ4509" s="865"/>
    </row>
    <row r="4510" spans="13:36">
      <c r="M4510" s="811" t="str">
        <f t="shared" si="250"/>
        <v/>
      </c>
      <c r="X4510" s="811" t="str">
        <f t="shared" si="249"/>
        <v/>
      </c>
      <c r="AJ4510" s="865"/>
    </row>
    <row r="4511" spans="13:36">
      <c r="M4511" s="811" t="str">
        <f t="shared" si="250"/>
        <v/>
      </c>
      <c r="X4511" s="811" t="str">
        <f t="shared" si="249"/>
        <v/>
      </c>
      <c r="AJ4511" s="865"/>
    </row>
    <row r="4512" spans="13:36">
      <c r="M4512" s="811" t="str">
        <f t="shared" si="250"/>
        <v/>
      </c>
      <c r="X4512" s="811" t="str">
        <f t="shared" si="249"/>
        <v/>
      </c>
      <c r="AJ4512" s="865"/>
    </row>
    <row r="4513" spans="13:36">
      <c r="M4513" s="811" t="str">
        <f t="shared" si="250"/>
        <v/>
      </c>
      <c r="X4513" s="811" t="str">
        <f t="shared" si="249"/>
        <v/>
      </c>
      <c r="AJ4513" s="865"/>
    </row>
    <row r="4514" spans="13:36">
      <c r="M4514" s="811" t="str">
        <f t="shared" si="250"/>
        <v/>
      </c>
      <c r="X4514" s="811" t="str">
        <f t="shared" si="249"/>
        <v/>
      </c>
      <c r="AJ4514" s="865"/>
    </row>
    <row r="4515" spans="13:36">
      <c r="M4515" s="811" t="str">
        <f t="shared" si="250"/>
        <v/>
      </c>
      <c r="X4515" s="811" t="str">
        <f t="shared" si="249"/>
        <v/>
      </c>
      <c r="AJ4515" s="865"/>
    </row>
    <row r="4516" spans="13:36">
      <c r="M4516" s="811" t="str">
        <f t="shared" si="250"/>
        <v/>
      </c>
      <c r="X4516" s="811" t="str">
        <f t="shared" si="249"/>
        <v/>
      </c>
      <c r="AJ4516" s="865"/>
    </row>
    <row r="4517" spans="13:36">
      <c r="M4517" s="811" t="str">
        <f t="shared" si="250"/>
        <v/>
      </c>
      <c r="X4517" s="811" t="str">
        <f t="shared" si="249"/>
        <v/>
      </c>
      <c r="AJ4517" s="865"/>
    </row>
    <row r="4518" spans="13:36">
      <c r="M4518" s="811" t="str">
        <f t="shared" si="250"/>
        <v/>
      </c>
      <c r="X4518" s="811" t="str">
        <f t="shared" si="249"/>
        <v/>
      </c>
      <c r="AJ4518" s="865"/>
    </row>
    <row r="4519" spans="13:36">
      <c r="M4519" s="811" t="str">
        <f t="shared" si="250"/>
        <v/>
      </c>
      <c r="X4519" s="811" t="str">
        <f t="shared" si="249"/>
        <v/>
      </c>
      <c r="AJ4519" s="865"/>
    </row>
    <row r="4520" spans="13:36">
      <c r="M4520" s="811" t="str">
        <f t="shared" si="250"/>
        <v/>
      </c>
      <c r="X4520" s="811" t="str">
        <f t="shared" si="249"/>
        <v/>
      </c>
      <c r="AJ4520" s="865"/>
    </row>
    <row r="4521" spans="13:36">
      <c r="M4521" s="811" t="str">
        <f t="shared" si="250"/>
        <v/>
      </c>
      <c r="X4521" s="811" t="str">
        <f t="shared" si="249"/>
        <v/>
      </c>
      <c r="AJ4521" s="865"/>
    </row>
    <row r="4522" spans="13:36">
      <c r="M4522" s="811" t="str">
        <f t="shared" si="250"/>
        <v/>
      </c>
      <c r="X4522" s="811" t="str">
        <f t="shared" si="249"/>
        <v/>
      </c>
      <c r="AJ4522" s="865"/>
    </row>
    <row r="4523" spans="13:36">
      <c r="M4523" s="811" t="str">
        <f t="shared" si="250"/>
        <v/>
      </c>
      <c r="X4523" s="811" t="str">
        <f t="shared" si="249"/>
        <v/>
      </c>
      <c r="AJ4523" s="865"/>
    </row>
    <row r="4524" spans="13:36">
      <c r="M4524" s="811" t="str">
        <f t="shared" si="250"/>
        <v/>
      </c>
      <c r="X4524" s="811" t="str">
        <f t="shared" si="249"/>
        <v/>
      </c>
      <c r="AJ4524" s="865"/>
    </row>
    <row r="4525" spans="13:36">
      <c r="M4525" s="811" t="str">
        <f t="shared" si="250"/>
        <v/>
      </c>
      <c r="X4525" s="811" t="str">
        <f t="shared" si="249"/>
        <v/>
      </c>
      <c r="AJ4525" s="865"/>
    </row>
    <row r="4526" spans="13:36">
      <c r="M4526" s="811" t="str">
        <f t="shared" si="250"/>
        <v/>
      </c>
      <c r="X4526" s="811" t="str">
        <f t="shared" si="249"/>
        <v/>
      </c>
      <c r="AJ4526" s="865"/>
    </row>
    <row r="4527" spans="13:36">
      <c r="M4527" s="811" t="str">
        <f t="shared" si="250"/>
        <v/>
      </c>
      <c r="X4527" s="811" t="str">
        <f t="shared" si="249"/>
        <v/>
      </c>
      <c r="AJ4527" s="865"/>
    </row>
    <row r="4528" spans="13:36">
      <c r="M4528" s="811" t="str">
        <f t="shared" si="250"/>
        <v/>
      </c>
      <c r="X4528" s="811" t="str">
        <f t="shared" si="249"/>
        <v/>
      </c>
      <c r="AJ4528" s="865"/>
    </row>
    <row r="4529" spans="13:36">
      <c r="M4529" s="811" t="str">
        <f t="shared" si="250"/>
        <v/>
      </c>
      <c r="X4529" s="811" t="str">
        <f t="shared" si="249"/>
        <v/>
      </c>
      <c r="AJ4529" s="865"/>
    </row>
    <row r="4530" spans="13:36">
      <c r="M4530" s="811" t="str">
        <f t="shared" si="250"/>
        <v/>
      </c>
      <c r="X4530" s="811" t="str">
        <f t="shared" si="249"/>
        <v/>
      </c>
      <c r="AJ4530" s="865"/>
    </row>
    <row r="4531" spans="13:36">
      <c r="M4531" s="811" t="str">
        <f t="shared" si="250"/>
        <v/>
      </c>
      <c r="X4531" s="811" t="str">
        <f t="shared" ref="X4531:X4594" si="251">IF(ISBLANK(W4531)=TRUE,"",LOOKUP(W4531,GO:GP))</f>
        <v/>
      </c>
      <c r="AJ4531" s="865"/>
    </row>
    <row r="4532" spans="13:36">
      <c r="M4532" s="811" t="str">
        <f t="shared" si="250"/>
        <v/>
      </c>
      <c r="X4532" s="811" t="str">
        <f t="shared" si="251"/>
        <v/>
      </c>
      <c r="AJ4532" s="865"/>
    </row>
    <row r="4533" spans="13:36">
      <c r="M4533" s="811" t="str">
        <f t="shared" si="250"/>
        <v/>
      </c>
      <c r="X4533" s="811" t="str">
        <f t="shared" si="251"/>
        <v/>
      </c>
      <c r="AJ4533" s="865"/>
    </row>
    <row r="4534" spans="13:36">
      <c r="M4534" s="811" t="str">
        <f t="shared" si="250"/>
        <v/>
      </c>
      <c r="X4534" s="811" t="str">
        <f t="shared" si="251"/>
        <v/>
      </c>
      <c r="AJ4534" s="865"/>
    </row>
    <row r="4535" spans="13:36">
      <c r="M4535" s="811" t="str">
        <f t="shared" si="250"/>
        <v/>
      </c>
      <c r="X4535" s="811" t="str">
        <f t="shared" si="251"/>
        <v/>
      </c>
      <c r="AJ4535" s="865"/>
    </row>
    <row r="4536" spans="13:36">
      <c r="M4536" s="811" t="str">
        <f t="shared" si="250"/>
        <v/>
      </c>
      <c r="X4536" s="811" t="str">
        <f t="shared" si="251"/>
        <v/>
      </c>
      <c r="AJ4536" s="865"/>
    </row>
    <row r="4537" spans="13:36">
      <c r="M4537" s="811" t="str">
        <f t="shared" si="250"/>
        <v/>
      </c>
      <c r="X4537" s="811" t="str">
        <f t="shared" si="251"/>
        <v/>
      </c>
      <c r="AJ4537" s="865"/>
    </row>
    <row r="4538" spans="13:36">
      <c r="M4538" s="811" t="str">
        <f t="shared" si="250"/>
        <v/>
      </c>
      <c r="X4538" s="811" t="str">
        <f t="shared" si="251"/>
        <v/>
      </c>
      <c r="AJ4538" s="865"/>
    </row>
    <row r="4539" spans="13:36">
      <c r="M4539" s="811" t="str">
        <f t="shared" si="250"/>
        <v/>
      </c>
      <c r="X4539" s="811" t="str">
        <f t="shared" si="251"/>
        <v/>
      </c>
      <c r="AJ4539" s="865"/>
    </row>
    <row r="4540" spans="13:36">
      <c r="M4540" s="811" t="str">
        <f t="shared" si="250"/>
        <v/>
      </c>
      <c r="X4540" s="811" t="str">
        <f t="shared" si="251"/>
        <v/>
      </c>
      <c r="AJ4540" s="865"/>
    </row>
    <row r="4541" spans="13:36">
      <c r="M4541" s="811" t="str">
        <f t="shared" si="250"/>
        <v/>
      </c>
      <c r="X4541" s="811" t="str">
        <f t="shared" si="251"/>
        <v/>
      </c>
      <c r="AJ4541" s="865"/>
    </row>
    <row r="4542" spans="13:36">
      <c r="M4542" s="811" t="str">
        <f t="shared" si="250"/>
        <v/>
      </c>
      <c r="X4542" s="811" t="str">
        <f t="shared" si="251"/>
        <v/>
      </c>
      <c r="AJ4542" s="865"/>
    </row>
    <row r="4543" spans="13:36">
      <c r="M4543" s="811" t="str">
        <f t="shared" si="250"/>
        <v/>
      </c>
      <c r="X4543" s="811" t="str">
        <f t="shared" si="251"/>
        <v/>
      </c>
      <c r="AJ4543" s="865"/>
    </row>
    <row r="4544" spans="13:36">
      <c r="M4544" s="811" t="str">
        <f t="shared" si="250"/>
        <v/>
      </c>
      <c r="X4544" s="811" t="str">
        <f t="shared" si="251"/>
        <v/>
      </c>
      <c r="AJ4544" s="865"/>
    </row>
    <row r="4545" spans="13:36">
      <c r="M4545" s="811" t="str">
        <f t="shared" si="250"/>
        <v/>
      </c>
      <c r="X4545" s="811" t="str">
        <f t="shared" si="251"/>
        <v/>
      </c>
      <c r="AJ4545" s="865"/>
    </row>
    <row r="4546" spans="13:36">
      <c r="M4546" s="811" t="str">
        <f t="shared" si="250"/>
        <v/>
      </c>
      <c r="X4546" s="811" t="str">
        <f t="shared" si="251"/>
        <v/>
      </c>
      <c r="AJ4546" s="865"/>
    </row>
    <row r="4547" spans="13:36">
      <c r="M4547" s="811" t="str">
        <f t="shared" si="250"/>
        <v/>
      </c>
      <c r="X4547" s="811" t="str">
        <f t="shared" si="251"/>
        <v/>
      </c>
      <c r="AJ4547" s="865"/>
    </row>
    <row r="4548" spans="13:36">
      <c r="M4548" s="811" t="str">
        <f t="shared" si="250"/>
        <v/>
      </c>
      <c r="X4548" s="811" t="str">
        <f t="shared" si="251"/>
        <v/>
      </c>
      <c r="AJ4548" s="865"/>
    </row>
    <row r="4549" spans="13:36">
      <c r="M4549" s="811" t="str">
        <f t="shared" si="250"/>
        <v/>
      </c>
      <c r="X4549" s="811" t="str">
        <f t="shared" si="251"/>
        <v/>
      </c>
      <c r="AJ4549" s="865"/>
    </row>
    <row r="4550" spans="13:36">
      <c r="M4550" s="811" t="str">
        <f t="shared" si="250"/>
        <v/>
      </c>
      <c r="X4550" s="811" t="str">
        <f t="shared" si="251"/>
        <v/>
      </c>
      <c r="AJ4550" s="865"/>
    </row>
    <row r="4551" spans="13:36">
      <c r="M4551" s="811" t="str">
        <f t="shared" si="250"/>
        <v/>
      </c>
      <c r="X4551" s="811" t="str">
        <f t="shared" si="251"/>
        <v/>
      </c>
      <c r="AJ4551" s="865"/>
    </row>
    <row r="4552" spans="13:36">
      <c r="M4552" s="811" t="str">
        <f t="shared" si="250"/>
        <v/>
      </c>
      <c r="X4552" s="811" t="str">
        <f t="shared" si="251"/>
        <v/>
      </c>
      <c r="AJ4552" s="865"/>
    </row>
    <row r="4553" spans="13:36">
      <c r="M4553" s="811" t="str">
        <f t="shared" si="250"/>
        <v/>
      </c>
      <c r="X4553" s="811" t="str">
        <f t="shared" si="251"/>
        <v/>
      </c>
      <c r="AJ4553" s="865"/>
    </row>
    <row r="4554" spans="13:36">
      <c r="M4554" s="811" t="str">
        <f t="shared" si="250"/>
        <v/>
      </c>
      <c r="X4554" s="811" t="str">
        <f t="shared" si="251"/>
        <v/>
      </c>
      <c r="AJ4554" s="865"/>
    </row>
    <row r="4555" spans="13:36">
      <c r="M4555" s="811" t="str">
        <f t="shared" si="250"/>
        <v/>
      </c>
      <c r="X4555" s="811" t="str">
        <f t="shared" si="251"/>
        <v/>
      </c>
      <c r="AJ4555" s="865"/>
    </row>
    <row r="4556" spans="13:36">
      <c r="M4556" s="811" t="str">
        <f t="shared" ref="M4556:M4619" si="252">IF(ISBLANK(L4556)=TRUE,"",LOOKUP(L4556,GQ:GR))</f>
        <v/>
      </c>
      <c r="X4556" s="811" t="str">
        <f t="shared" si="251"/>
        <v/>
      </c>
      <c r="AJ4556" s="865"/>
    </row>
    <row r="4557" spans="13:36">
      <c r="M4557" s="811" t="str">
        <f t="shared" si="252"/>
        <v/>
      </c>
      <c r="X4557" s="811" t="str">
        <f t="shared" si="251"/>
        <v/>
      </c>
      <c r="AJ4557" s="865"/>
    </row>
    <row r="4558" spans="13:36">
      <c r="M4558" s="811" t="str">
        <f t="shared" si="252"/>
        <v/>
      </c>
      <c r="X4558" s="811" t="str">
        <f t="shared" si="251"/>
        <v/>
      </c>
      <c r="AJ4558" s="865"/>
    </row>
    <row r="4559" spans="13:36">
      <c r="M4559" s="811" t="str">
        <f t="shared" si="252"/>
        <v/>
      </c>
      <c r="X4559" s="811" t="str">
        <f t="shared" si="251"/>
        <v/>
      </c>
      <c r="AJ4559" s="865"/>
    </row>
    <row r="4560" spans="13:36">
      <c r="M4560" s="811" t="str">
        <f t="shared" si="252"/>
        <v/>
      </c>
      <c r="X4560" s="811" t="str">
        <f t="shared" si="251"/>
        <v/>
      </c>
      <c r="AJ4560" s="865"/>
    </row>
    <row r="4561" spans="13:36">
      <c r="M4561" s="811" t="str">
        <f t="shared" si="252"/>
        <v/>
      </c>
      <c r="X4561" s="811" t="str">
        <f t="shared" si="251"/>
        <v/>
      </c>
      <c r="AJ4561" s="865"/>
    </row>
    <row r="4562" spans="13:36">
      <c r="M4562" s="811" t="str">
        <f t="shared" si="252"/>
        <v/>
      </c>
      <c r="X4562" s="811" t="str">
        <f t="shared" si="251"/>
        <v/>
      </c>
      <c r="AJ4562" s="865"/>
    </row>
    <row r="4563" spans="13:36">
      <c r="M4563" s="811" t="str">
        <f t="shared" si="252"/>
        <v/>
      </c>
      <c r="X4563" s="811" t="str">
        <f t="shared" si="251"/>
        <v/>
      </c>
      <c r="AJ4563" s="865"/>
    </row>
    <row r="4564" spans="13:36">
      <c r="M4564" s="811" t="str">
        <f t="shared" si="252"/>
        <v/>
      </c>
      <c r="X4564" s="811" t="str">
        <f t="shared" si="251"/>
        <v/>
      </c>
      <c r="AJ4564" s="865"/>
    </row>
    <row r="4565" spans="13:36">
      <c r="M4565" s="811" t="str">
        <f t="shared" si="252"/>
        <v/>
      </c>
      <c r="X4565" s="811" t="str">
        <f t="shared" si="251"/>
        <v/>
      </c>
      <c r="AJ4565" s="865"/>
    </row>
    <row r="4566" spans="13:36">
      <c r="M4566" s="811" t="str">
        <f t="shared" si="252"/>
        <v/>
      </c>
      <c r="X4566" s="811" t="str">
        <f t="shared" si="251"/>
        <v/>
      </c>
      <c r="AJ4566" s="865"/>
    </row>
    <row r="4567" spans="13:36">
      <c r="M4567" s="811" t="str">
        <f t="shared" si="252"/>
        <v/>
      </c>
      <c r="X4567" s="811" t="str">
        <f t="shared" si="251"/>
        <v/>
      </c>
      <c r="AJ4567" s="865"/>
    </row>
    <row r="4568" spans="13:36">
      <c r="M4568" s="811" t="str">
        <f t="shared" si="252"/>
        <v/>
      </c>
      <c r="X4568" s="811" t="str">
        <f t="shared" si="251"/>
        <v/>
      </c>
      <c r="AJ4568" s="865"/>
    </row>
    <row r="4569" spans="13:36">
      <c r="M4569" s="811" t="str">
        <f t="shared" si="252"/>
        <v/>
      </c>
      <c r="X4569" s="811" t="str">
        <f t="shared" si="251"/>
        <v/>
      </c>
      <c r="AJ4569" s="865"/>
    </row>
    <row r="4570" spans="13:36">
      <c r="M4570" s="811" t="str">
        <f t="shared" si="252"/>
        <v/>
      </c>
      <c r="X4570" s="811" t="str">
        <f t="shared" si="251"/>
        <v/>
      </c>
      <c r="AJ4570" s="865"/>
    </row>
    <row r="4571" spans="13:36">
      <c r="M4571" s="811" t="str">
        <f t="shared" si="252"/>
        <v/>
      </c>
      <c r="X4571" s="811" t="str">
        <f t="shared" si="251"/>
        <v/>
      </c>
      <c r="AJ4571" s="865"/>
    </row>
    <row r="4572" spans="13:36">
      <c r="M4572" s="811" t="str">
        <f t="shared" si="252"/>
        <v/>
      </c>
      <c r="X4572" s="811" t="str">
        <f t="shared" si="251"/>
        <v/>
      </c>
      <c r="AJ4572" s="865"/>
    </row>
    <row r="4573" spans="13:36">
      <c r="M4573" s="811" t="str">
        <f t="shared" si="252"/>
        <v/>
      </c>
      <c r="X4573" s="811" t="str">
        <f t="shared" si="251"/>
        <v/>
      </c>
      <c r="AJ4573" s="865"/>
    </row>
    <row r="4574" spans="13:36">
      <c r="M4574" s="811" t="str">
        <f t="shared" si="252"/>
        <v/>
      </c>
      <c r="X4574" s="811" t="str">
        <f t="shared" si="251"/>
        <v/>
      </c>
      <c r="AJ4574" s="865"/>
    </row>
    <row r="4575" spans="13:36">
      <c r="M4575" s="811" t="str">
        <f t="shared" si="252"/>
        <v/>
      </c>
      <c r="X4575" s="811" t="str">
        <f t="shared" si="251"/>
        <v/>
      </c>
      <c r="AJ4575" s="865"/>
    </row>
    <row r="4576" spans="13:36">
      <c r="M4576" s="811" t="str">
        <f t="shared" si="252"/>
        <v/>
      </c>
      <c r="X4576" s="811" t="str">
        <f t="shared" si="251"/>
        <v/>
      </c>
      <c r="AJ4576" s="865"/>
    </row>
    <row r="4577" spans="13:36">
      <c r="M4577" s="811" t="str">
        <f t="shared" si="252"/>
        <v/>
      </c>
      <c r="X4577" s="811" t="str">
        <f t="shared" si="251"/>
        <v/>
      </c>
      <c r="AJ4577" s="865"/>
    </row>
    <row r="4578" spans="13:36">
      <c r="M4578" s="811" t="str">
        <f t="shared" si="252"/>
        <v/>
      </c>
      <c r="X4578" s="811" t="str">
        <f t="shared" si="251"/>
        <v/>
      </c>
      <c r="AJ4578" s="865"/>
    </row>
    <row r="4579" spans="13:36">
      <c r="M4579" s="811" t="str">
        <f t="shared" si="252"/>
        <v/>
      </c>
      <c r="X4579" s="811" t="str">
        <f t="shared" si="251"/>
        <v/>
      </c>
      <c r="AJ4579" s="865"/>
    </row>
    <row r="4580" spans="13:36">
      <c r="M4580" s="811" t="str">
        <f t="shared" si="252"/>
        <v/>
      </c>
      <c r="X4580" s="811" t="str">
        <f t="shared" si="251"/>
        <v/>
      </c>
      <c r="AJ4580" s="865"/>
    </row>
    <row r="4581" spans="13:36">
      <c r="M4581" s="811" t="str">
        <f t="shared" si="252"/>
        <v/>
      </c>
      <c r="X4581" s="811" t="str">
        <f t="shared" si="251"/>
        <v/>
      </c>
      <c r="AJ4581" s="865"/>
    </row>
    <row r="4582" spans="13:36">
      <c r="M4582" s="811" t="str">
        <f t="shared" si="252"/>
        <v/>
      </c>
      <c r="X4582" s="811" t="str">
        <f t="shared" si="251"/>
        <v/>
      </c>
      <c r="AJ4582" s="865"/>
    </row>
    <row r="4583" spans="13:36">
      <c r="M4583" s="811" t="str">
        <f t="shared" si="252"/>
        <v/>
      </c>
      <c r="X4583" s="811" t="str">
        <f t="shared" si="251"/>
        <v/>
      </c>
      <c r="AJ4583" s="865"/>
    </row>
    <row r="4584" spans="13:36">
      <c r="M4584" s="811" t="str">
        <f t="shared" si="252"/>
        <v/>
      </c>
      <c r="X4584" s="811" t="str">
        <f t="shared" si="251"/>
        <v/>
      </c>
      <c r="AJ4584" s="865"/>
    </row>
    <row r="4585" spans="13:36">
      <c r="M4585" s="811" t="str">
        <f t="shared" si="252"/>
        <v/>
      </c>
      <c r="X4585" s="811" t="str">
        <f t="shared" si="251"/>
        <v/>
      </c>
      <c r="AJ4585" s="865"/>
    </row>
    <row r="4586" spans="13:36">
      <c r="M4586" s="811" t="str">
        <f t="shared" si="252"/>
        <v/>
      </c>
      <c r="X4586" s="811" t="str">
        <f t="shared" si="251"/>
        <v/>
      </c>
      <c r="AJ4586" s="865"/>
    </row>
    <row r="4587" spans="13:36">
      <c r="M4587" s="811" t="str">
        <f t="shared" si="252"/>
        <v/>
      </c>
      <c r="X4587" s="811" t="str">
        <f t="shared" si="251"/>
        <v/>
      </c>
      <c r="AJ4587" s="865"/>
    </row>
    <row r="4588" spans="13:36">
      <c r="M4588" s="811" t="str">
        <f t="shared" si="252"/>
        <v/>
      </c>
      <c r="X4588" s="811" t="str">
        <f t="shared" si="251"/>
        <v/>
      </c>
      <c r="AJ4588" s="865"/>
    </row>
    <row r="4589" spans="13:36">
      <c r="M4589" s="811" t="str">
        <f t="shared" si="252"/>
        <v/>
      </c>
      <c r="X4589" s="811" t="str">
        <f t="shared" si="251"/>
        <v/>
      </c>
      <c r="AJ4589" s="865"/>
    </row>
    <row r="4590" spans="13:36">
      <c r="M4590" s="811" t="str">
        <f t="shared" si="252"/>
        <v/>
      </c>
      <c r="X4590" s="811" t="str">
        <f t="shared" si="251"/>
        <v/>
      </c>
      <c r="AJ4590" s="865"/>
    </row>
    <row r="4591" spans="13:36">
      <c r="M4591" s="811" t="str">
        <f t="shared" si="252"/>
        <v/>
      </c>
      <c r="X4591" s="811" t="str">
        <f t="shared" si="251"/>
        <v/>
      </c>
      <c r="AJ4591" s="865"/>
    </row>
    <row r="4592" spans="13:36">
      <c r="M4592" s="811" t="str">
        <f t="shared" si="252"/>
        <v/>
      </c>
      <c r="X4592" s="811" t="str">
        <f t="shared" si="251"/>
        <v/>
      </c>
      <c r="AJ4592" s="865"/>
    </row>
    <row r="4593" spans="13:36">
      <c r="M4593" s="811" t="str">
        <f t="shared" si="252"/>
        <v/>
      </c>
      <c r="X4593" s="811" t="str">
        <f t="shared" si="251"/>
        <v/>
      </c>
      <c r="AJ4593" s="865"/>
    </row>
    <row r="4594" spans="13:36">
      <c r="M4594" s="811" t="str">
        <f t="shared" si="252"/>
        <v/>
      </c>
      <c r="X4594" s="811" t="str">
        <f t="shared" si="251"/>
        <v/>
      </c>
      <c r="AJ4594" s="865"/>
    </row>
    <row r="4595" spans="13:36">
      <c r="M4595" s="811" t="str">
        <f t="shared" si="252"/>
        <v/>
      </c>
      <c r="X4595" s="811" t="str">
        <f t="shared" ref="X4595:X4658" si="253">IF(ISBLANK(W4595)=TRUE,"",LOOKUP(W4595,GO:GP))</f>
        <v/>
      </c>
      <c r="AJ4595" s="865"/>
    </row>
    <row r="4596" spans="13:36">
      <c r="M4596" s="811" t="str">
        <f t="shared" si="252"/>
        <v/>
      </c>
      <c r="X4596" s="811" t="str">
        <f t="shared" si="253"/>
        <v/>
      </c>
      <c r="AJ4596" s="865"/>
    </row>
    <row r="4597" spans="13:36">
      <c r="M4597" s="811" t="str">
        <f t="shared" si="252"/>
        <v/>
      </c>
      <c r="X4597" s="811" t="str">
        <f t="shared" si="253"/>
        <v/>
      </c>
      <c r="AJ4597" s="865"/>
    </row>
    <row r="4598" spans="13:36">
      <c r="M4598" s="811" t="str">
        <f t="shared" si="252"/>
        <v/>
      </c>
      <c r="X4598" s="811" t="str">
        <f t="shared" si="253"/>
        <v/>
      </c>
      <c r="AJ4598" s="865"/>
    </row>
    <row r="4599" spans="13:36">
      <c r="M4599" s="811" t="str">
        <f t="shared" si="252"/>
        <v/>
      </c>
      <c r="X4599" s="811" t="str">
        <f t="shared" si="253"/>
        <v/>
      </c>
      <c r="AJ4599" s="865"/>
    </row>
    <row r="4600" spans="13:36">
      <c r="M4600" s="811" t="str">
        <f t="shared" si="252"/>
        <v/>
      </c>
      <c r="X4600" s="811" t="str">
        <f t="shared" si="253"/>
        <v/>
      </c>
      <c r="AJ4600" s="865"/>
    </row>
    <row r="4601" spans="13:36">
      <c r="M4601" s="811" t="str">
        <f t="shared" si="252"/>
        <v/>
      </c>
      <c r="X4601" s="811" t="str">
        <f t="shared" si="253"/>
        <v/>
      </c>
      <c r="AJ4601" s="865"/>
    </row>
    <row r="4602" spans="13:36">
      <c r="M4602" s="811" t="str">
        <f t="shared" si="252"/>
        <v/>
      </c>
      <c r="X4602" s="811" t="str">
        <f t="shared" si="253"/>
        <v/>
      </c>
      <c r="AJ4602" s="865"/>
    </row>
    <row r="4603" spans="13:36">
      <c r="M4603" s="811" t="str">
        <f t="shared" si="252"/>
        <v/>
      </c>
      <c r="X4603" s="811" t="str">
        <f t="shared" si="253"/>
        <v/>
      </c>
      <c r="AJ4603" s="865"/>
    </row>
    <row r="4604" spans="13:36">
      <c r="M4604" s="811" t="str">
        <f t="shared" si="252"/>
        <v/>
      </c>
      <c r="X4604" s="811" t="str">
        <f t="shared" si="253"/>
        <v/>
      </c>
      <c r="AJ4604" s="865"/>
    </row>
    <row r="4605" spans="13:36">
      <c r="M4605" s="811" t="str">
        <f t="shared" si="252"/>
        <v/>
      </c>
      <c r="X4605" s="811" t="str">
        <f t="shared" si="253"/>
        <v/>
      </c>
      <c r="AJ4605" s="865"/>
    </row>
    <row r="4606" spans="13:36">
      <c r="M4606" s="811" t="str">
        <f t="shared" si="252"/>
        <v/>
      </c>
      <c r="X4606" s="811" t="str">
        <f t="shared" si="253"/>
        <v/>
      </c>
      <c r="AJ4606" s="865"/>
    </row>
    <row r="4607" spans="13:36">
      <c r="M4607" s="811" t="str">
        <f t="shared" si="252"/>
        <v/>
      </c>
      <c r="X4607" s="811" t="str">
        <f t="shared" si="253"/>
        <v/>
      </c>
      <c r="AJ4607" s="865"/>
    </row>
    <row r="4608" spans="13:36">
      <c r="M4608" s="811" t="str">
        <f t="shared" si="252"/>
        <v/>
      </c>
      <c r="X4608" s="811" t="str">
        <f t="shared" si="253"/>
        <v/>
      </c>
      <c r="AJ4608" s="865"/>
    </row>
    <row r="4609" spans="13:36">
      <c r="M4609" s="811" t="str">
        <f t="shared" si="252"/>
        <v/>
      </c>
      <c r="X4609" s="811" t="str">
        <f t="shared" si="253"/>
        <v/>
      </c>
      <c r="AJ4609" s="865"/>
    </row>
    <row r="4610" spans="13:36">
      <c r="M4610" s="811" t="str">
        <f t="shared" si="252"/>
        <v/>
      </c>
      <c r="X4610" s="811" t="str">
        <f t="shared" si="253"/>
        <v/>
      </c>
      <c r="AJ4610" s="865"/>
    </row>
    <row r="4611" spans="13:36">
      <c r="M4611" s="811" t="str">
        <f t="shared" si="252"/>
        <v/>
      </c>
      <c r="X4611" s="811" t="str">
        <f t="shared" si="253"/>
        <v/>
      </c>
      <c r="AJ4611" s="865"/>
    </row>
    <row r="4612" spans="13:36">
      <c r="M4612" s="811" t="str">
        <f t="shared" si="252"/>
        <v/>
      </c>
      <c r="X4612" s="811" t="str">
        <f t="shared" si="253"/>
        <v/>
      </c>
      <c r="AJ4612" s="865"/>
    </row>
    <row r="4613" spans="13:36">
      <c r="M4613" s="811" t="str">
        <f t="shared" si="252"/>
        <v/>
      </c>
      <c r="X4613" s="811" t="str">
        <f t="shared" si="253"/>
        <v/>
      </c>
      <c r="AJ4613" s="865"/>
    </row>
    <row r="4614" spans="13:36">
      <c r="M4614" s="811" t="str">
        <f t="shared" si="252"/>
        <v/>
      </c>
      <c r="X4614" s="811" t="str">
        <f t="shared" si="253"/>
        <v/>
      </c>
      <c r="AJ4614" s="865"/>
    </row>
    <row r="4615" spans="13:36">
      <c r="M4615" s="811" t="str">
        <f t="shared" si="252"/>
        <v/>
      </c>
      <c r="X4615" s="811" t="str">
        <f t="shared" si="253"/>
        <v/>
      </c>
      <c r="AJ4615" s="865"/>
    </row>
    <row r="4616" spans="13:36">
      <c r="M4616" s="811" t="str">
        <f t="shared" si="252"/>
        <v/>
      </c>
      <c r="X4616" s="811" t="str">
        <f t="shared" si="253"/>
        <v/>
      </c>
      <c r="AJ4616" s="865"/>
    </row>
    <row r="4617" spans="13:36">
      <c r="M4617" s="811" t="str">
        <f t="shared" si="252"/>
        <v/>
      </c>
      <c r="X4617" s="811" t="str">
        <f t="shared" si="253"/>
        <v/>
      </c>
      <c r="AJ4617" s="865"/>
    </row>
    <row r="4618" spans="13:36">
      <c r="M4618" s="811" t="str">
        <f t="shared" si="252"/>
        <v/>
      </c>
      <c r="X4618" s="811" t="str">
        <f t="shared" si="253"/>
        <v/>
      </c>
      <c r="AJ4618" s="865"/>
    </row>
    <row r="4619" spans="13:36">
      <c r="M4619" s="811" t="str">
        <f t="shared" si="252"/>
        <v/>
      </c>
      <c r="X4619" s="811" t="str">
        <f t="shared" si="253"/>
        <v/>
      </c>
      <c r="AJ4619" s="865"/>
    </row>
    <row r="4620" spans="13:36">
      <c r="M4620" s="811" t="str">
        <f t="shared" ref="M4620:M4683" si="254">IF(ISBLANK(L4620)=TRUE,"",LOOKUP(L4620,GQ:GR))</f>
        <v/>
      </c>
      <c r="X4620" s="811" t="str">
        <f t="shared" si="253"/>
        <v/>
      </c>
      <c r="AJ4620" s="865"/>
    </row>
    <row r="4621" spans="13:36">
      <c r="M4621" s="811" t="str">
        <f t="shared" si="254"/>
        <v/>
      </c>
      <c r="X4621" s="811" t="str">
        <f t="shared" si="253"/>
        <v/>
      </c>
      <c r="AJ4621" s="865"/>
    </row>
    <row r="4622" spans="13:36">
      <c r="M4622" s="811" t="str">
        <f t="shared" si="254"/>
        <v/>
      </c>
      <c r="X4622" s="811" t="str">
        <f t="shared" si="253"/>
        <v/>
      </c>
      <c r="AJ4622" s="865"/>
    </row>
    <row r="4623" spans="13:36">
      <c r="M4623" s="811" t="str">
        <f t="shared" si="254"/>
        <v/>
      </c>
      <c r="X4623" s="811" t="str">
        <f t="shared" si="253"/>
        <v/>
      </c>
      <c r="AJ4623" s="865"/>
    </row>
    <row r="4624" spans="13:36">
      <c r="M4624" s="811" t="str">
        <f t="shared" si="254"/>
        <v/>
      </c>
      <c r="X4624" s="811" t="str">
        <f t="shared" si="253"/>
        <v/>
      </c>
      <c r="AJ4624" s="865"/>
    </row>
    <row r="4625" spans="13:36">
      <c r="M4625" s="811" t="str">
        <f t="shared" si="254"/>
        <v/>
      </c>
      <c r="X4625" s="811" t="str">
        <f t="shared" si="253"/>
        <v/>
      </c>
      <c r="AJ4625" s="865"/>
    </row>
    <row r="4626" spans="13:36">
      <c r="M4626" s="811" t="str">
        <f t="shared" si="254"/>
        <v/>
      </c>
      <c r="X4626" s="811" t="str">
        <f t="shared" si="253"/>
        <v/>
      </c>
      <c r="AJ4626" s="865"/>
    </row>
    <row r="4627" spans="13:36">
      <c r="M4627" s="811" t="str">
        <f t="shared" si="254"/>
        <v/>
      </c>
      <c r="X4627" s="811" t="str">
        <f t="shared" si="253"/>
        <v/>
      </c>
      <c r="AJ4627" s="865"/>
    </row>
    <row r="4628" spans="13:36">
      <c r="M4628" s="811" t="str">
        <f t="shared" si="254"/>
        <v/>
      </c>
      <c r="X4628" s="811" t="str">
        <f t="shared" si="253"/>
        <v/>
      </c>
      <c r="AJ4628" s="865"/>
    </row>
    <row r="4629" spans="13:36">
      <c r="M4629" s="811" t="str">
        <f t="shared" si="254"/>
        <v/>
      </c>
      <c r="X4629" s="811" t="str">
        <f t="shared" si="253"/>
        <v/>
      </c>
      <c r="AJ4629" s="865"/>
    </row>
    <row r="4630" spans="13:36">
      <c r="M4630" s="811" t="str">
        <f t="shared" si="254"/>
        <v/>
      </c>
      <c r="X4630" s="811" t="str">
        <f t="shared" si="253"/>
        <v/>
      </c>
      <c r="AJ4630" s="865"/>
    </row>
    <row r="4631" spans="13:36">
      <c r="M4631" s="811" t="str">
        <f t="shared" si="254"/>
        <v/>
      </c>
      <c r="X4631" s="811" t="str">
        <f t="shared" si="253"/>
        <v/>
      </c>
      <c r="AJ4631" s="865"/>
    </row>
    <row r="4632" spans="13:36">
      <c r="M4632" s="811" t="str">
        <f t="shared" si="254"/>
        <v/>
      </c>
      <c r="X4632" s="811" t="str">
        <f t="shared" si="253"/>
        <v/>
      </c>
      <c r="AJ4632" s="865"/>
    </row>
    <row r="4633" spans="13:36">
      <c r="M4633" s="811" t="str">
        <f t="shared" si="254"/>
        <v/>
      </c>
      <c r="X4633" s="811" t="str">
        <f t="shared" si="253"/>
        <v/>
      </c>
      <c r="AJ4633" s="865"/>
    </row>
    <row r="4634" spans="13:36">
      <c r="M4634" s="811" t="str">
        <f t="shared" si="254"/>
        <v/>
      </c>
      <c r="X4634" s="811" t="str">
        <f t="shared" si="253"/>
        <v/>
      </c>
      <c r="AJ4634" s="865"/>
    </row>
    <row r="4635" spans="13:36">
      <c r="M4635" s="811" t="str">
        <f t="shared" si="254"/>
        <v/>
      </c>
      <c r="X4635" s="811" t="str">
        <f t="shared" si="253"/>
        <v/>
      </c>
      <c r="AJ4635" s="865"/>
    </row>
    <row r="4636" spans="13:36">
      <c r="M4636" s="811" t="str">
        <f t="shared" si="254"/>
        <v/>
      </c>
      <c r="X4636" s="811" t="str">
        <f t="shared" si="253"/>
        <v/>
      </c>
      <c r="AJ4636" s="865"/>
    </row>
    <row r="4637" spans="13:36">
      <c r="M4637" s="811" t="str">
        <f t="shared" si="254"/>
        <v/>
      </c>
      <c r="X4637" s="811" t="str">
        <f t="shared" si="253"/>
        <v/>
      </c>
      <c r="AJ4637" s="865"/>
    </row>
    <row r="4638" spans="13:36">
      <c r="M4638" s="811" t="str">
        <f t="shared" si="254"/>
        <v/>
      </c>
      <c r="X4638" s="811" t="str">
        <f t="shared" si="253"/>
        <v/>
      </c>
      <c r="AJ4638" s="865"/>
    </row>
    <row r="4639" spans="13:36">
      <c r="M4639" s="811" t="str">
        <f t="shared" si="254"/>
        <v/>
      </c>
      <c r="X4639" s="811" t="str">
        <f t="shared" si="253"/>
        <v/>
      </c>
      <c r="AJ4639" s="865"/>
    </row>
    <row r="4640" spans="13:36">
      <c r="M4640" s="811" t="str">
        <f t="shared" si="254"/>
        <v/>
      </c>
      <c r="X4640" s="811" t="str">
        <f t="shared" si="253"/>
        <v/>
      </c>
      <c r="AJ4640" s="865"/>
    </row>
    <row r="4641" spans="13:36">
      <c r="M4641" s="811" t="str">
        <f t="shared" si="254"/>
        <v/>
      </c>
      <c r="X4641" s="811" t="str">
        <f t="shared" si="253"/>
        <v/>
      </c>
      <c r="AJ4641" s="865"/>
    </row>
    <row r="4642" spans="13:36">
      <c r="M4642" s="811" t="str">
        <f t="shared" si="254"/>
        <v/>
      </c>
      <c r="X4642" s="811" t="str">
        <f t="shared" si="253"/>
        <v/>
      </c>
      <c r="AJ4642" s="865"/>
    </row>
    <row r="4643" spans="13:36">
      <c r="M4643" s="811" t="str">
        <f t="shared" si="254"/>
        <v/>
      </c>
      <c r="X4643" s="811" t="str">
        <f t="shared" si="253"/>
        <v/>
      </c>
      <c r="AJ4643" s="865"/>
    </row>
    <row r="4644" spans="13:36">
      <c r="M4644" s="811" t="str">
        <f t="shared" si="254"/>
        <v/>
      </c>
      <c r="X4644" s="811" t="str">
        <f t="shared" si="253"/>
        <v/>
      </c>
      <c r="AJ4644" s="865"/>
    </row>
    <row r="4645" spans="13:36">
      <c r="M4645" s="811" t="str">
        <f t="shared" si="254"/>
        <v/>
      </c>
      <c r="X4645" s="811" t="str">
        <f t="shared" si="253"/>
        <v/>
      </c>
      <c r="AJ4645" s="865"/>
    </row>
    <row r="4646" spans="13:36">
      <c r="M4646" s="811" t="str">
        <f t="shared" si="254"/>
        <v/>
      </c>
      <c r="X4646" s="811" t="str">
        <f t="shared" si="253"/>
        <v/>
      </c>
      <c r="AJ4646" s="865"/>
    </row>
    <row r="4647" spans="13:36">
      <c r="M4647" s="811" t="str">
        <f t="shared" si="254"/>
        <v/>
      </c>
      <c r="X4647" s="811" t="str">
        <f t="shared" si="253"/>
        <v/>
      </c>
      <c r="AJ4647" s="865"/>
    </row>
    <row r="4648" spans="13:36">
      <c r="M4648" s="811" t="str">
        <f t="shared" si="254"/>
        <v/>
      </c>
      <c r="X4648" s="811" t="str">
        <f t="shared" si="253"/>
        <v/>
      </c>
      <c r="AJ4648" s="865"/>
    </row>
    <row r="4649" spans="13:36">
      <c r="M4649" s="811" t="str">
        <f t="shared" si="254"/>
        <v/>
      </c>
      <c r="X4649" s="811" t="str">
        <f t="shared" si="253"/>
        <v/>
      </c>
      <c r="AJ4649" s="865"/>
    </row>
    <row r="4650" spans="13:36">
      <c r="M4650" s="811" t="str">
        <f t="shared" si="254"/>
        <v/>
      </c>
      <c r="X4650" s="811" t="str">
        <f t="shared" si="253"/>
        <v/>
      </c>
      <c r="AJ4650" s="865"/>
    </row>
    <row r="4651" spans="13:36">
      <c r="M4651" s="811" t="str">
        <f t="shared" si="254"/>
        <v/>
      </c>
      <c r="X4651" s="811" t="str">
        <f t="shared" si="253"/>
        <v/>
      </c>
      <c r="AJ4651" s="865"/>
    </row>
    <row r="4652" spans="13:36">
      <c r="M4652" s="811" t="str">
        <f t="shared" si="254"/>
        <v/>
      </c>
      <c r="X4652" s="811" t="str">
        <f t="shared" si="253"/>
        <v/>
      </c>
      <c r="AJ4652" s="865"/>
    </row>
    <row r="4653" spans="13:36">
      <c r="M4653" s="811" t="str">
        <f t="shared" si="254"/>
        <v/>
      </c>
      <c r="X4653" s="811" t="str">
        <f t="shared" si="253"/>
        <v/>
      </c>
      <c r="AJ4653" s="865"/>
    </row>
    <row r="4654" spans="13:36">
      <c r="M4654" s="811" t="str">
        <f t="shared" si="254"/>
        <v/>
      </c>
      <c r="X4654" s="811" t="str">
        <f t="shared" si="253"/>
        <v/>
      </c>
      <c r="AJ4654" s="865"/>
    </row>
    <row r="4655" spans="13:36">
      <c r="M4655" s="811" t="str">
        <f t="shared" si="254"/>
        <v/>
      </c>
      <c r="X4655" s="811" t="str">
        <f t="shared" si="253"/>
        <v/>
      </c>
      <c r="AJ4655" s="865"/>
    </row>
    <row r="4656" spans="13:36">
      <c r="M4656" s="811" t="str">
        <f t="shared" si="254"/>
        <v/>
      </c>
      <c r="X4656" s="811" t="str">
        <f t="shared" si="253"/>
        <v/>
      </c>
      <c r="AJ4656" s="865"/>
    </row>
    <row r="4657" spans="13:36">
      <c r="M4657" s="811" t="str">
        <f t="shared" si="254"/>
        <v/>
      </c>
      <c r="X4657" s="811" t="str">
        <f t="shared" si="253"/>
        <v/>
      </c>
      <c r="AJ4657" s="865"/>
    </row>
    <row r="4658" spans="13:36">
      <c r="M4658" s="811" t="str">
        <f t="shared" si="254"/>
        <v/>
      </c>
      <c r="X4658" s="811" t="str">
        <f t="shared" si="253"/>
        <v/>
      </c>
      <c r="AJ4658" s="865"/>
    </row>
    <row r="4659" spans="13:36">
      <c r="M4659" s="811" t="str">
        <f t="shared" si="254"/>
        <v/>
      </c>
      <c r="X4659" s="811" t="str">
        <f t="shared" ref="X4659:X4722" si="255">IF(ISBLANK(W4659)=TRUE,"",LOOKUP(W4659,GO:GP))</f>
        <v/>
      </c>
      <c r="AJ4659" s="865"/>
    </row>
    <row r="4660" spans="13:36">
      <c r="M4660" s="811" t="str">
        <f t="shared" si="254"/>
        <v/>
      </c>
      <c r="X4660" s="811" t="str">
        <f t="shared" si="255"/>
        <v/>
      </c>
      <c r="AJ4660" s="865"/>
    </row>
    <row r="4661" spans="13:36">
      <c r="M4661" s="811" t="str">
        <f t="shared" si="254"/>
        <v/>
      </c>
      <c r="X4661" s="811" t="str">
        <f t="shared" si="255"/>
        <v/>
      </c>
      <c r="AJ4661" s="865"/>
    </row>
    <row r="4662" spans="13:36">
      <c r="M4662" s="811" t="str">
        <f t="shared" si="254"/>
        <v/>
      </c>
      <c r="X4662" s="811" t="str">
        <f t="shared" si="255"/>
        <v/>
      </c>
      <c r="AJ4662" s="865"/>
    </row>
    <row r="4663" spans="13:36">
      <c r="M4663" s="811" t="str">
        <f t="shared" si="254"/>
        <v/>
      </c>
      <c r="X4663" s="811" t="str">
        <f t="shared" si="255"/>
        <v/>
      </c>
      <c r="AJ4663" s="865"/>
    </row>
    <row r="4664" spans="13:36">
      <c r="M4664" s="811" t="str">
        <f t="shared" si="254"/>
        <v/>
      </c>
      <c r="X4664" s="811" t="str">
        <f t="shared" si="255"/>
        <v/>
      </c>
      <c r="AJ4664" s="865"/>
    </row>
    <row r="4665" spans="13:36">
      <c r="M4665" s="811" t="str">
        <f t="shared" si="254"/>
        <v/>
      </c>
      <c r="X4665" s="811" t="str">
        <f t="shared" si="255"/>
        <v/>
      </c>
      <c r="AJ4665" s="865"/>
    </row>
    <row r="4666" spans="13:36">
      <c r="M4666" s="811" t="str">
        <f t="shared" si="254"/>
        <v/>
      </c>
      <c r="X4666" s="811" t="str">
        <f t="shared" si="255"/>
        <v/>
      </c>
      <c r="AJ4666" s="865"/>
    </row>
    <row r="4667" spans="13:36">
      <c r="M4667" s="811" t="str">
        <f t="shared" si="254"/>
        <v/>
      </c>
      <c r="X4667" s="811" t="str">
        <f t="shared" si="255"/>
        <v/>
      </c>
      <c r="AJ4667" s="865"/>
    </row>
    <row r="4668" spans="13:36">
      <c r="M4668" s="811" t="str">
        <f t="shared" si="254"/>
        <v/>
      </c>
      <c r="X4668" s="811" t="str">
        <f t="shared" si="255"/>
        <v/>
      </c>
      <c r="AJ4668" s="865"/>
    </row>
    <row r="4669" spans="13:36">
      <c r="M4669" s="811" t="str">
        <f t="shared" si="254"/>
        <v/>
      </c>
      <c r="X4669" s="811" t="str">
        <f t="shared" si="255"/>
        <v/>
      </c>
      <c r="AJ4669" s="865"/>
    </row>
    <row r="4670" spans="13:36">
      <c r="M4670" s="811" t="str">
        <f t="shared" si="254"/>
        <v/>
      </c>
      <c r="X4670" s="811" t="str">
        <f t="shared" si="255"/>
        <v/>
      </c>
      <c r="AJ4670" s="865"/>
    </row>
    <row r="4671" spans="13:36">
      <c r="M4671" s="811" t="str">
        <f t="shared" si="254"/>
        <v/>
      </c>
      <c r="X4671" s="811" t="str">
        <f t="shared" si="255"/>
        <v/>
      </c>
      <c r="AJ4671" s="865"/>
    </row>
    <row r="4672" spans="13:36">
      <c r="M4672" s="811" t="str">
        <f t="shared" si="254"/>
        <v/>
      </c>
      <c r="X4672" s="811" t="str">
        <f t="shared" si="255"/>
        <v/>
      </c>
      <c r="AJ4672" s="865"/>
    </row>
    <row r="4673" spans="13:36">
      <c r="M4673" s="811" t="str">
        <f t="shared" si="254"/>
        <v/>
      </c>
      <c r="X4673" s="811" t="str">
        <f t="shared" si="255"/>
        <v/>
      </c>
      <c r="AJ4673" s="865"/>
    </row>
    <row r="4674" spans="13:36">
      <c r="M4674" s="811" t="str">
        <f t="shared" si="254"/>
        <v/>
      </c>
      <c r="X4674" s="811" t="str">
        <f t="shared" si="255"/>
        <v/>
      </c>
      <c r="AJ4674" s="865"/>
    </row>
    <row r="4675" spans="13:36">
      <c r="M4675" s="811" t="str">
        <f t="shared" si="254"/>
        <v/>
      </c>
      <c r="X4675" s="811" t="str">
        <f t="shared" si="255"/>
        <v/>
      </c>
      <c r="AJ4675" s="865"/>
    </row>
    <row r="4676" spans="13:36">
      <c r="M4676" s="811" t="str">
        <f t="shared" si="254"/>
        <v/>
      </c>
      <c r="X4676" s="811" t="str">
        <f t="shared" si="255"/>
        <v/>
      </c>
      <c r="AJ4676" s="865"/>
    </row>
    <row r="4677" spans="13:36">
      <c r="M4677" s="811" t="str">
        <f t="shared" si="254"/>
        <v/>
      </c>
      <c r="X4677" s="811" t="str">
        <f t="shared" si="255"/>
        <v/>
      </c>
      <c r="AJ4677" s="865"/>
    </row>
    <row r="4678" spans="13:36">
      <c r="M4678" s="811" t="str">
        <f t="shared" si="254"/>
        <v/>
      </c>
      <c r="X4678" s="811" t="str">
        <f t="shared" si="255"/>
        <v/>
      </c>
      <c r="AJ4678" s="865"/>
    </row>
    <row r="4679" spans="13:36">
      <c r="M4679" s="811" t="str">
        <f t="shared" si="254"/>
        <v/>
      </c>
      <c r="X4679" s="811" t="str">
        <f t="shared" si="255"/>
        <v/>
      </c>
      <c r="AJ4679" s="865"/>
    </row>
    <row r="4680" spans="13:36">
      <c r="M4680" s="811" t="str">
        <f t="shared" si="254"/>
        <v/>
      </c>
      <c r="X4680" s="811" t="str">
        <f t="shared" si="255"/>
        <v/>
      </c>
      <c r="AJ4680" s="865"/>
    </row>
    <row r="4681" spans="13:36">
      <c r="M4681" s="811" t="str">
        <f t="shared" si="254"/>
        <v/>
      </c>
      <c r="X4681" s="811" t="str">
        <f t="shared" si="255"/>
        <v/>
      </c>
      <c r="AJ4681" s="865"/>
    </row>
    <row r="4682" spans="13:36">
      <c r="M4682" s="811" t="str">
        <f t="shared" si="254"/>
        <v/>
      </c>
      <c r="X4682" s="811" t="str">
        <f t="shared" si="255"/>
        <v/>
      </c>
      <c r="AJ4682" s="865"/>
    </row>
    <row r="4683" spans="13:36">
      <c r="M4683" s="811" t="str">
        <f t="shared" si="254"/>
        <v/>
      </c>
      <c r="X4683" s="811" t="str">
        <f t="shared" si="255"/>
        <v/>
      </c>
      <c r="AJ4683" s="865"/>
    </row>
    <row r="4684" spans="13:36">
      <c r="M4684" s="811" t="str">
        <f t="shared" ref="M4684:M4747" si="256">IF(ISBLANK(L4684)=TRUE,"",LOOKUP(L4684,GQ:GR))</f>
        <v/>
      </c>
      <c r="X4684" s="811" t="str">
        <f t="shared" si="255"/>
        <v/>
      </c>
      <c r="AJ4684" s="865"/>
    </row>
    <row r="4685" spans="13:36">
      <c r="M4685" s="811" t="str">
        <f t="shared" si="256"/>
        <v/>
      </c>
      <c r="X4685" s="811" t="str">
        <f t="shared" si="255"/>
        <v/>
      </c>
      <c r="AJ4685" s="865"/>
    </row>
    <row r="4686" spans="13:36">
      <c r="M4686" s="811" t="str">
        <f t="shared" si="256"/>
        <v/>
      </c>
      <c r="X4686" s="811" t="str">
        <f t="shared" si="255"/>
        <v/>
      </c>
      <c r="AJ4686" s="865"/>
    </row>
    <row r="4687" spans="13:36">
      <c r="M4687" s="811" t="str">
        <f t="shared" si="256"/>
        <v/>
      </c>
      <c r="X4687" s="811" t="str">
        <f t="shared" si="255"/>
        <v/>
      </c>
      <c r="AJ4687" s="865"/>
    </row>
    <row r="4688" spans="13:36">
      <c r="M4688" s="811" t="str">
        <f t="shared" si="256"/>
        <v/>
      </c>
      <c r="X4688" s="811" t="str">
        <f t="shared" si="255"/>
        <v/>
      </c>
      <c r="AJ4688" s="865"/>
    </row>
    <row r="4689" spans="13:36">
      <c r="M4689" s="811" t="str">
        <f t="shared" si="256"/>
        <v/>
      </c>
      <c r="X4689" s="811" t="str">
        <f t="shared" si="255"/>
        <v/>
      </c>
      <c r="AJ4689" s="865"/>
    </row>
    <row r="4690" spans="13:36">
      <c r="M4690" s="811" t="str">
        <f t="shared" si="256"/>
        <v/>
      </c>
      <c r="X4690" s="811" t="str">
        <f t="shared" si="255"/>
        <v/>
      </c>
      <c r="AJ4690" s="865"/>
    </row>
    <row r="4691" spans="13:36">
      <c r="M4691" s="811" t="str">
        <f t="shared" si="256"/>
        <v/>
      </c>
      <c r="X4691" s="811" t="str">
        <f t="shared" si="255"/>
        <v/>
      </c>
      <c r="AJ4691" s="865"/>
    </row>
    <row r="4692" spans="13:36">
      <c r="M4692" s="811" t="str">
        <f t="shared" si="256"/>
        <v/>
      </c>
      <c r="X4692" s="811" t="str">
        <f t="shared" si="255"/>
        <v/>
      </c>
      <c r="AJ4692" s="865"/>
    </row>
    <row r="4693" spans="13:36">
      <c r="M4693" s="811" t="str">
        <f t="shared" si="256"/>
        <v/>
      </c>
      <c r="X4693" s="811" t="str">
        <f t="shared" si="255"/>
        <v/>
      </c>
      <c r="AJ4693" s="865"/>
    </row>
    <row r="4694" spans="13:36">
      <c r="M4694" s="811" t="str">
        <f t="shared" si="256"/>
        <v/>
      </c>
      <c r="X4694" s="811" t="str">
        <f t="shared" si="255"/>
        <v/>
      </c>
      <c r="AJ4694" s="865"/>
    </row>
    <row r="4695" spans="13:36">
      <c r="M4695" s="811" t="str">
        <f t="shared" si="256"/>
        <v/>
      </c>
      <c r="X4695" s="811" t="str">
        <f t="shared" si="255"/>
        <v/>
      </c>
      <c r="AJ4695" s="865"/>
    </row>
    <row r="4696" spans="13:36">
      <c r="M4696" s="811" t="str">
        <f t="shared" si="256"/>
        <v/>
      </c>
      <c r="X4696" s="811" t="str">
        <f t="shared" si="255"/>
        <v/>
      </c>
      <c r="AJ4696" s="865"/>
    </row>
    <row r="4697" spans="13:36">
      <c r="M4697" s="811" t="str">
        <f t="shared" si="256"/>
        <v/>
      </c>
      <c r="X4697" s="811" t="str">
        <f t="shared" si="255"/>
        <v/>
      </c>
      <c r="AJ4697" s="865"/>
    </row>
    <row r="4698" spans="13:36">
      <c r="M4698" s="811" t="str">
        <f t="shared" si="256"/>
        <v/>
      </c>
      <c r="X4698" s="811" t="str">
        <f t="shared" si="255"/>
        <v/>
      </c>
      <c r="AJ4698" s="865"/>
    </row>
    <row r="4699" spans="13:36">
      <c r="M4699" s="811" t="str">
        <f t="shared" si="256"/>
        <v/>
      </c>
      <c r="X4699" s="811" t="str">
        <f t="shared" si="255"/>
        <v/>
      </c>
      <c r="AJ4699" s="865"/>
    </row>
    <row r="4700" spans="13:36">
      <c r="M4700" s="811" t="str">
        <f t="shared" si="256"/>
        <v/>
      </c>
      <c r="X4700" s="811" t="str">
        <f t="shared" si="255"/>
        <v/>
      </c>
      <c r="AJ4700" s="865"/>
    </row>
    <row r="4701" spans="13:36">
      <c r="M4701" s="811" t="str">
        <f t="shared" si="256"/>
        <v/>
      </c>
      <c r="X4701" s="811" t="str">
        <f t="shared" si="255"/>
        <v/>
      </c>
      <c r="AJ4701" s="865"/>
    </row>
    <row r="4702" spans="13:36">
      <c r="M4702" s="811" t="str">
        <f t="shared" si="256"/>
        <v/>
      </c>
      <c r="X4702" s="811" t="str">
        <f t="shared" si="255"/>
        <v/>
      </c>
      <c r="AJ4702" s="865"/>
    </row>
    <row r="4703" spans="13:36">
      <c r="M4703" s="811" t="str">
        <f t="shared" si="256"/>
        <v/>
      </c>
      <c r="X4703" s="811" t="str">
        <f t="shared" si="255"/>
        <v/>
      </c>
      <c r="AJ4703" s="865"/>
    </row>
    <row r="4704" spans="13:36">
      <c r="M4704" s="811" t="str">
        <f t="shared" si="256"/>
        <v/>
      </c>
      <c r="X4704" s="811" t="str">
        <f t="shared" si="255"/>
        <v/>
      </c>
      <c r="AJ4704" s="865"/>
    </row>
    <row r="4705" spans="13:36">
      <c r="M4705" s="811" t="str">
        <f t="shared" si="256"/>
        <v/>
      </c>
      <c r="X4705" s="811" t="str">
        <f t="shared" si="255"/>
        <v/>
      </c>
      <c r="AJ4705" s="865"/>
    </row>
    <row r="4706" spans="13:36">
      <c r="M4706" s="811" t="str">
        <f t="shared" si="256"/>
        <v/>
      </c>
      <c r="X4706" s="811" t="str">
        <f t="shared" si="255"/>
        <v/>
      </c>
      <c r="AJ4706" s="865"/>
    </row>
    <row r="4707" spans="13:36">
      <c r="M4707" s="811" t="str">
        <f t="shared" si="256"/>
        <v/>
      </c>
      <c r="X4707" s="811" t="str">
        <f t="shared" si="255"/>
        <v/>
      </c>
      <c r="AJ4707" s="865"/>
    </row>
    <row r="4708" spans="13:36">
      <c r="M4708" s="811" t="str">
        <f t="shared" si="256"/>
        <v/>
      </c>
      <c r="X4708" s="811" t="str">
        <f t="shared" si="255"/>
        <v/>
      </c>
      <c r="AJ4708" s="865"/>
    </row>
    <row r="4709" spans="13:36">
      <c r="M4709" s="811" t="str">
        <f t="shared" si="256"/>
        <v/>
      </c>
      <c r="X4709" s="811" t="str">
        <f t="shared" si="255"/>
        <v/>
      </c>
      <c r="AJ4709" s="865"/>
    </row>
    <row r="4710" spans="13:36">
      <c r="M4710" s="811" t="str">
        <f t="shared" si="256"/>
        <v/>
      </c>
      <c r="X4710" s="811" t="str">
        <f t="shared" si="255"/>
        <v/>
      </c>
      <c r="AJ4710" s="865"/>
    </row>
    <row r="4711" spans="13:36">
      <c r="M4711" s="811" t="str">
        <f t="shared" si="256"/>
        <v/>
      </c>
      <c r="X4711" s="811" t="str">
        <f t="shared" si="255"/>
        <v/>
      </c>
      <c r="AJ4711" s="865"/>
    </row>
    <row r="4712" spans="13:36">
      <c r="M4712" s="811" t="str">
        <f t="shared" si="256"/>
        <v/>
      </c>
      <c r="X4712" s="811" t="str">
        <f t="shared" si="255"/>
        <v/>
      </c>
      <c r="AJ4712" s="865"/>
    </row>
    <row r="4713" spans="13:36">
      <c r="M4713" s="811" t="str">
        <f t="shared" si="256"/>
        <v/>
      </c>
      <c r="X4713" s="811" t="str">
        <f t="shared" si="255"/>
        <v/>
      </c>
      <c r="AJ4713" s="865"/>
    </row>
    <row r="4714" spans="13:36">
      <c r="M4714" s="811" t="str">
        <f t="shared" si="256"/>
        <v/>
      </c>
      <c r="X4714" s="811" t="str">
        <f t="shared" si="255"/>
        <v/>
      </c>
      <c r="AJ4714" s="865"/>
    </row>
    <row r="4715" spans="13:36">
      <c r="M4715" s="811" t="str">
        <f t="shared" si="256"/>
        <v/>
      </c>
      <c r="X4715" s="811" t="str">
        <f t="shared" si="255"/>
        <v/>
      </c>
      <c r="AJ4715" s="865"/>
    </row>
    <row r="4716" spans="13:36">
      <c r="M4716" s="811" t="str">
        <f t="shared" si="256"/>
        <v/>
      </c>
      <c r="X4716" s="811" t="str">
        <f t="shared" si="255"/>
        <v/>
      </c>
      <c r="AJ4716" s="865"/>
    </row>
    <row r="4717" spans="13:36">
      <c r="M4717" s="811" t="str">
        <f t="shared" si="256"/>
        <v/>
      </c>
      <c r="X4717" s="811" t="str">
        <f t="shared" si="255"/>
        <v/>
      </c>
      <c r="AJ4717" s="865"/>
    </row>
    <row r="4718" spans="13:36">
      <c r="M4718" s="811" t="str">
        <f t="shared" si="256"/>
        <v/>
      </c>
      <c r="X4718" s="811" t="str">
        <f t="shared" si="255"/>
        <v/>
      </c>
      <c r="AJ4718" s="865"/>
    </row>
    <row r="4719" spans="13:36">
      <c r="M4719" s="811" t="str">
        <f t="shared" si="256"/>
        <v/>
      </c>
      <c r="X4719" s="811" t="str">
        <f t="shared" si="255"/>
        <v/>
      </c>
      <c r="AJ4719" s="865"/>
    </row>
    <row r="4720" spans="13:36">
      <c r="M4720" s="811" t="str">
        <f t="shared" si="256"/>
        <v/>
      </c>
      <c r="X4720" s="811" t="str">
        <f t="shared" si="255"/>
        <v/>
      </c>
      <c r="AJ4720" s="865"/>
    </row>
    <row r="4721" spans="13:36">
      <c r="M4721" s="811" t="str">
        <f t="shared" si="256"/>
        <v/>
      </c>
      <c r="X4721" s="811" t="str">
        <f t="shared" si="255"/>
        <v/>
      </c>
      <c r="AJ4721" s="865"/>
    </row>
    <row r="4722" spans="13:36">
      <c r="M4722" s="811" t="str">
        <f t="shared" si="256"/>
        <v/>
      </c>
      <c r="X4722" s="811" t="str">
        <f t="shared" si="255"/>
        <v/>
      </c>
      <c r="AJ4722" s="865"/>
    </row>
    <row r="4723" spans="13:36">
      <c r="M4723" s="811" t="str">
        <f t="shared" si="256"/>
        <v/>
      </c>
      <c r="X4723" s="811" t="str">
        <f t="shared" ref="X4723:X4786" si="257">IF(ISBLANK(W4723)=TRUE,"",LOOKUP(W4723,GO:GP))</f>
        <v/>
      </c>
      <c r="AJ4723" s="865"/>
    </row>
    <row r="4724" spans="13:36">
      <c r="M4724" s="811" t="str">
        <f t="shared" si="256"/>
        <v/>
      </c>
      <c r="X4724" s="811" t="str">
        <f t="shared" si="257"/>
        <v/>
      </c>
      <c r="AJ4724" s="865"/>
    </row>
    <row r="4725" spans="13:36">
      <c r="M4725" s="811" t="str">
        <f t="shared" si="256"/>
        <v/>
      </c>
      <c r="X4725" s="811" t="str">
        <f t="shared" si="257"/>
        <v/>
      </c>
      <c r="AJ4725" s="865"/>
    </row>
    <row r="4726" spans="13:36">
      <c r="M4726" s="811" t="str">
        <f t="shared" si="256"/>
        <v/>
      </c>
      <c r="X4726" s="811" t="str">
        <f t="shared" si="257"/>
        <v/>
      </c>
      <c r="AJ4726" s="865"/>
    </row>
    <row r="4727" spans="13:36">
      <c r="M4727" s="811" t="str">
        <f t="shared" si="256"/>
        <v/>
      </c>
      <c r="X4727" s="811" t="str">
        <f t="shared" si="257"/>
        <v/>
      </c>
      <c r="AJ4727" s="865"/>
    </row>
    <row r="4728" spans="13:36">
      <c r="M4728" s="811" t="str">
        <f t="shared" si="256"/>
        <v/>
      </c>
      <c r="X4728" s="811" t="str">
        <f t="shared" si="257"/>
        <v/>
      </c>
      <c r="AJ4728" s="865"/>
    </row>
    <row r="4729" spans="13:36">
      <c r="M4729" s="811" t="str">
        <f t="shared" si="256"/>
        <v/>
      </c>
      <c r="X4729" s="811" t="str">
        <f t="shared" si="257"/>
        <v/>
      </c>
      <c r="AJ4729" s="865"/>
    </row>
    <row r="4730" spans="13:36">
      <c r="M4730" s="811" t="str">
        <f t="shared" si="256"/>
        <v/>
      </c>
      <c r="X4730" s="811" t="str">
        <f t="shared" si="257"/>
        <v/>
      </c>
      <c r="AJ4730" s="865"/>
    </row>
    <row r="4731" spans="13:36">
      <c r="M4731" s="811" t="str">
        <f t="shared" si="256"/>
        <v/>
      </c>
      <c r="X4731" s="811" t="str">
        <f t="shared" si="257"/>
        <v/>
      </c>
      <c r="AJ4731" s="865"/>
    </row>
    <row r="4732" spans="13:36">
      <c r="M4732" s="811" t="str">
        <f t="shared" si="256"/>
        <v/>
      </c>
      <c r="X4732" s="811" t="str">
        <f t="shared" si="257"/>
        <v/>
      </c>
      <c r="AJ4732" s="865"/>
    </row>
    <row r="4733" spans="13:36">
      <c r="M4733" s="811" t="str">
        <f t="shared" si="256"/>
        <v/>
      </c>
      <c r="X4733" s="811" t="str">
        <f t="shared" si="257"/>
        <v/>
      </c>
      <c r="AJ4733" s="865"/>
    </row>
    <row r="4734" spans="13:36">
      <c r="M4734" s="811" t="str">
        <f t="shared" si="256"/>
        <v/>
      </c>
      <c r="X4734" s="811" t="str">
        <f t="shared" si="257"/>
        <v/>
      </c>
      <c r="AJ4734" s="865"/>
    </row>
    <row r="4735" spans="13:36">
      <c r="M4735" s="811" t="str">
        <f t="shared" si="256"/>
        <v/>
      </c>
      <c r="X4735" s="811" t="str">
        <f t="shared" si="257"/>
        <v/>
      </c>
      <c r="AJ4735" s="865"/>
    </row>
    <row r="4736" spans="13:36">
      <c r="M4736" s="811" t="str">
        <f t="shared" si="256"/>
        <v/>
      </c>
      <c r="X4736" s="811" t="str">
        <f t="shared" si="257"/>
        <v/>
      </c>
      <c r="AJ4736" s="865"/>
    </row>
    <row r="4737" spans="13:36">
      <c r="M4737" s="811" t="str">
        <f t="shared" si="256"/>
        <v/>
      </c>
      <c r="X4737" s="811" t="str">
        <f t="shared" si="257"/>
        <v/>
      </c>
      <c r="AJ4737" s="865"/>
    </row>
    <row r="4738" spans="13:36">
      <c r="M4738" s="811" t="str">
        <f t="shared" si="256"/>
        <v/>
      </c>
      <c r="X4738" s="811" t="str">
        <f t="shared" si="257"/>
        <v/>
      </c>
      <c r="AJ4738" s="865"/>
    </row>
    <row r="4739" spans="13:36">
      <c r="M4739" s="811" t="str">
        <f t="shared" si="256"/>
        <v/>
      </c>
      <c r="X4739" s="811" t="str">
        <f t="shared" si="257"/>
        <v/>
      </c>
      <c r="AJ4739" s="865"/>
    </row>
    <row r="4740" spans="13:36">
      <c r="M4740" s="811" t="str">
        <f t="shared" si="256"/>
        <v/>
      </c>
      <c r="X4740" s="811" t="str">
        <f t="shared" si="257"/>
        <v/>
      </c>
      <c r="AJ4740" s="865"/>
    </row>
    <row r="4741" spans="13:36">
      <c r="M4741" s="811" t="str">
        <f t="shared" si="256"/>
        <v/>
      </c>
      <c r="X4741" s="811" t="str">
        <f t="shared" si="257"/>
        <v/>
      </c>
      <c r="AJ4741" s="865"/>
    </row>
    <row r="4742" spans="13:36">
      <c r="M4742" s="811" t="str">
        <f t="shared" si="256"/>
        <v/>
      </c>
      <c r="X4742" s="811" t="str">
        <f t="shared" si="257"/>
        <v/>
      </c>
      <c r="AJ4742" s="865"/>
    </row>
    <row r="4743" spans="13:36">
      <c r="M4743" s="811" t="str">
        <f t="shared" si="256"/>
        <v/>
      </c>
      <c r="X4743" s="811" t="str">
        <f t="shared" si="257"/>
        <v/>
      </c>
      <c r="AJ4743" s="865"/>
    </row>
    <row r="4744" spans="13:36">
      <c r="M4744" s="811" t="str">
        <f t="shared" si="256"/>
        <v/>
      </c>
      <c r="X4744" s="811" t="str">
        <f t="shared" si="257"/>
        <v/>
      </c>
      <c r="AJ4744" s="865"/>
    </row>
    <row r="4745" spans="13:36">
      <c r="M4745" s="811" t="str">
        <f t="shared" si="256"/>
        <v/>
      </c>
      <c r="X4745" s="811" t="str">
        <f t="shared" si="257"/>
        <v/>
      </c>
      <c r="AJ4745" s="865"/>
    </row>
    <row r="4746" spans="13:36">
      <c r="M4746" s="811" t="str">
        <f t="shared" si="256"/>
        <v/>
      </c>
      <c r="X4746" s="811" t="str">
        <f t="shared" si="257"/>
        <v/>
      </c>
      <c r="AJ4746" s="865"/>
    </row>
    <row r="4747" spans="13:36">
      <c r="M4747" s="811" t="str">
        <f t="shared" si="256"/>
        <v/>
      </c>
      <c r="X4747" s="811" t="str">
        <f t="shared" si="257"/>
        <v/>
      </c>
      <c r="AJ4747" s="865"/>
    </row>
    <row r="4748" spans="13:36">
      <c r="M4748" s="811" t="str">
        <f t="shared" ref="M4748:M4811" si="258">IF(ISBLANK(L4748)=TRUE,"",LOOKUP(L4748,GQ:GR))</f>
        <v/>
      </c>
      <c r="X4748" s="811" t="str">
        <f t="shared" si="257"/>
        <v/>
      </c>
      <c r="AJ4748" s="865"/>
    </row>
    <row r="4749" spans="13:36">
      <c r="M4749" s="811" t="str">
        <f t="shared" si="258"/>
        <v/>
      </c>
      <c r="X4749" s="811" t="str">
        <f t="shared" si="257"/>
        <v/>
      </c>
      <c r="AJ4749" s="865"/>
    </row>
    <row r="4750" spans="13:36">
      <c r="M4750" s="811" t="str">
        <f t="shared" si="258"/>
        <v/>
      </c>
      <c r="X4750" s="811" t="str">
        <f t="shared" si="257"/>
        <v/>
      </c>
      <c r="AJ4750" s="865"/>
    </row>
    <row r="4751" spans="13:36">
      <c r="M4751" s="811" t="str">
        <f t="shared" si="258"/>
        <v/>
      </c>
      <c r="X4751" s="811" t="str">
        <f t="shared" si="257"/>
        <v/>
      </c>
      <c r="AJ4751" s="865"/>
    </row>
    <row r="4752" spans="13:36">
      <c r="M4752" s="811" t="str">
        <f t="shared" si="258"/>
        <v/>
      </c>
      <c r="X4752" s="811" t="str">
        <f t="shared" si="257"/>
        <v/>
      </c>
      <c r="AJ4752" s="865"/>
    </row>
    <row r="4753" spans="13:36">
      <c r="M4753" s="811" t="str">
        <f t="shared" si="258"/>
        <v/>
      </c>
      <c r="X4753" s="811" t="str">
        <f t="shared" si="257"/>
        <v/>
      </c>
      <c r="AJ4753" s="865"/>
    </row>
    <row r="4754" spans="13:36">
      <c r="M4754" s="811" t="str">
        <f t="shared" si="258"/>
        <v/>
      </c>
      <c r="X4754" s="811" t="str">
        <f t="shared" si="257"/>
        <v/>
      </c>
      <c r="AJ4754" s="865"/>
    </row>
    <row r="4755" spans="13:36">
      <c r="M4755" s="811" t="str">
        <f t="shared" si="258"/>
        <v/>
      </c>
      <c r="X4755" s="811" t="str">
        <f t="shared" si="257"/>
        <v/>
      </c>
      <c r="AJ4755" s="865"/>
    </row>
    <row r="4756" spans="13:36">
      <c r="M4756" s="811" t="str">
        <f t="shared" si="258"/>
        <v/>
      </c>
      <c r="X4756" s="811" t="str">
        <f t="shared" si="257"/>
        <v/>
      </c>
      <c r="AJ4756" s="865"/>
    </row>
    <row r="4757" spans="13:36">
      <c r="M4757" s="811" t="str">
        <f t="shared" si="258"/>
        <v/>
      </c>
      <c r="X4757" s="811" t="str">
        <f t="shared" si="257"/>
        <v/>
      </c>
      <c r="AJ4757" s="865"/>
    </row>
    <row r="4758" spans="13:36">
      <c r="M4758" s="811" t="str">
        <f t="shared" si="258"/>
        <v/>
      </c>
      <c r="X4758" s="811" t="str">
        <f t="shared" si="257"/>
        <v/>
      </c>
      <c r="AJ4758" s="865"/>
    </row>
    <row r="4759" spans="13:36">
      <c r="M4759" s="811" t="str">
        <f t="shared" si="258"/>
        <v/>
      </c>
      <c r="X4759" s="811" t="str">
        <f t="shared" si="257"/>
        <v/>
      </c>
      <c r="AJ4759" s="865"/>
    </row>
    <row r="4760" spans="13:36">
      <c r="M4760" s="811" t="str">
        <f t="shared" si="258"/>
        <v/>
      </c>
      <c r="X4760" s="811" t="str">
        <f t="shared" si="257"/>
        <v/>
      </c>
      <c r="AJ4760" s="865"/>
    </row>
    <row r="4761" spans="13:36">
      <c r="M4761" s="811" t="str">
        <f t="shared" si="258"/>
        <v/>
      </c>
      <c r="X4761" s="811" t="str">
        <f t="shared" si="257"/>
        <v/>
      </c>
      <c r="AJ4761" s="865"/>
    </row>
    <row r="4762" spans="13:36">
      <c r="M4762" s="811" t="str">
        <f t="shared" si="258"/>
        <v/>
      </c>
      <c r="X4762" s="811" t="str">
        <f t="shared" si="257"/>
        <v/>
      </c>
      <c r="AJ4762" s="865"/>
    </row>
    <row r="4763" spans="13:36">
      <c r="M4763" s="811" t="str">
        <f t="shared" si="258"/>
        <v/>
      </c>
      <c r="X4763" s="811" t="str">
        <f t="shared" si="257"/>
        <v/>
      </c>
      <c r="AJ4763" s="865"/>
    </row>
    <row r="4764" spans="13:36">
      <c r="M4764" s="811" t="str">
        <f t="shared" si="258"/>
        <v/>
      </c>
      <c r="X4764" s="811" t="str">
        <f t="shared" si="257"/>
        <v/>
      </c>
      <c r="AJ4764" s="865"/>
    </row>
    <row r="4765" spans="13:36">
      <c r="M4765" s="811" t="str">
        <f t="shared" si="258"/>
        <v/>
      </c>
      <c r="X4765" s="811" t="str">
        <f t="shared" si="257"/>
        <v/>
      </c>
      <c r="AJ4765" s="865"/>
    </row>
    <row r="4766" spans="13:36">
      <c r="M4766" s="811" t="str">
        <f t="shared" si="258"/>
        <v/>
      </c>
      <c r="X4766" s="811" t="str">
        <f t="shared" si="257"/>
        <v/>
      </c>
      <c r="AJ4766" s="865"/>
    </row>
    <row r="4767" spans="13:36">
      <c r="M4767" s="811" t="str">
        <f t="shared" si="258"/>
        <v/>
      </c>
      <c r="X4767" s="811" t="str">
        <f t="shared" si="257"/>
        <v/>
      </c>
      <c r="AJ4767" s="865"/>
    </row>
    <row r="4768" spans="13:36">
      <c r="M4768" s="811" t="str">
        <f t="shared" si="258"/>
        <v/>
      </c>
      <c r="X4768" s="811" t="str">
        <f t="shared" si="257"/>
        <v/>
      </c>
      <c r="AJ4768" s="865"/>
    </row>
    <row r="4769" spans="13:36">
      <c r="M4769" s="811" t="str">
        <f t="shared" si="258"/>
        <v/>
      </c>
      <c r="X4769" s="811" t="str">
        <f t="shared" si="257"/>
        <v/>
      </c>
      <c r="AJ4769" s="865"/>
    </row>
    <row r="4770" spans="13:36">
      <c r="M4770" s="811" t="str">
        <f t="shared" si="258"/>
        <v/>
      </c>
      <c r="X4770" s="811" t="str">
        <f t="shared" si="257"/>
        <v/>
      </c>
      <c r="AJ4770" s="865"/>
    </row>
    <row r="4771" spans="13:36">
      <c r="M4771" s="811" t="str">
        <f t="shared" si="258"/>
        <v/>
      </c>
      <c r="X4771" s="811" t="str">
        <f t="shared" si="257"/>
        <v/>
      </c>
      <c r="AJ4771" s="865"/>
    </row>
    <row r="4772" spans="13:36">
      <c r="M4772" s="811" t="str">
        <f t="shared" si="258"/>
        <v/>
      </c>
      <c r="X4772" s="811" t="str">
        <f t="shared" si="257"/>
        <v/>
      </c>
      <c r="AJ4772" s="865"/>
    </row>
    <row r="4773" spans="13:36">
      <c r="M4773" s="811" t="str">
        <f t="shared" si="258"/>
        <v/>
      </c>
      <c r="X4773" s="811" t="str">
        <f t="shared" si="257"/>
        <v/>
      </c>
      <c r="AJ4773" s="865"/>
    </row>
    <row r="4774" spans="13:36">
      <c r="M4774" s="811" t="str">
        <f t="shared" si="258"/>
        <v/>
      </c>
      <c r="X4774" s="811" t="str">
        <f t="shared" si="257"/>
        <v/>
      </c>
      <c r="AJ4774" s="865"/>
    </row>
    <row r="4775" spans="13:36">
      <c r="M4775" s="811" t="str">
        <f t="shared" si="258"/>
        <v/>
      </c>
      <c r="X4775" s="811" t="str">
        <f t="shared" si="257"/>
        <v/>
      </c>
      <c r="AJ4775" s="865"/>
    </row>
    <row r="4776" spans="13:36">
      <c r="M4776" s="811" t="str">
        <f t="shared" si="258"/>
        <v/>
      </c>
      <c r="X4776" s="811" t="str">
        <f t="shared" si="257"/>
        <v/>
      </c>
      <c r="AJ4776" s="865"/>
    </row>
    <row r="4777" spans="13:36">
      <c r="M4777" s="811" t="str">
        <f t="shared" si="258"/>
        <v/>
      </c>
      <c r="X4777" s="811" t="str">
        <f t="shared" si="257"/>
        <v/>
      </c>
      <c r="AJ4777" s="865"/>
    </row>
    <row r="4778" spans="13:36">
      <c r="M4778" s="811" t="str">
        <f t="shared" si="258"/>
        <v/>
      </c>
      <c r="X4778" s="811" t="str">
        <f t="shared" si="257"/>
        <v/>
      </c>
      <c r="AJ4778" s="865"/>
    </row>
    <row r="4779" spans="13:36">
      <c r="M4779" s="811" t="str">
        <f t="shared" si="258"/>
        <v/>
      </c>
      <c r="X4779" s="811" t="str">
        <f t="shared" si="257"/>
        <v/>
      </c>
      <c r="AJ4779" s="865"/>
    </row>
    <row r="4780" spans="13:36">
      <c r="M4780" s="811" t="str">
        <f t="shared" si="258"/>
        <v/>
      </c>
      <c r="X4780" s="811" t="str">
        <f t="shared" si="257"/>
        <v/>
      </c>
      <c r="AJ4780" s="865"/>
    </row>
    <row r="4781" spans="13:36">
      <c r="M4781" s="811" t="str">
        <f t="shared" si="258"/>
        <v/>
      </c>
      <c r="X4781" s="811" t="str">
        <f t="shared" si="257"/>
        <v/>
      </c>
      <c r="AJ4781" s="865"/>
    </row>
    <row r="4782" spans="13:36">
      <c r="M4782" s="811" t="str">
        <f t="shared" si="258"/>
        <v/>
      </c>
      <c r="X4782" s="811" t="str">
        <f t="shared" si="257"/>
        <v/>
      </c>
      <c r="AJ4782" s="865"/>
    </row>
    <row r="4783" spans="13:36">
      <c r="M4783" s="811" t="str">
        <f t="shared" si="258"/>
        <v/>
      </c>
      <c r="X4783" s="811" t="str">
        <f t="shared" si="257"/>
        <v/>
      </c>
      <c r="AJ4783" s="865"/>
    </row>
    <row r="4784" spans="13:36">
      <c r="M4784" s="811" t="str">
        <f t="shared" si="258"/>
        <v/>
      </c>
      <c r="X4784" s="811" t="str">
        <f t="shared" si="257"/>
        <v/>
      </c>
      <c r="AJ4784" s="865"/>
    </row>
    <row r="4785" spans="13:36">
      <c r="M4785" s="811" t="str">
        <f t="shared" si="258"/>
        <v/>
      </c>
      <c r="X4785" s="811" t="str">
        <f t="shared" si="257"/>
        <v/>
      </c>
      <c r="AJ4785" s="865"/>
    </row>
    <row r="4786" spans="13:36">
      <c r="M4786" s="811" t="str">
        <f t="shared" si="258"/>
        <v/>
      </c>
      <c r="X4786" s="811" t="str">
        <f t="shared" si="257"/>
        <v/>
      </c>
      <c r="AJ4786" s="865"/>
    </row>
    <row r="4787" spans="13:36">
      <c r="M4787" s="811" t="str">
        <f t="shared" si="258"/>
        <v/>
      </c>
      <c r="X4787" s="811" t="str">
        <f t="shared" ref="X4787:X4850" si="259">IF(ISBLANK(W4787)=TRUE,"",LOOKUP(W4787,GO:GP))</f>
        <v/>
      </c>
      <c r="AJ4787" s="865"/>
    </row>
    <row r="4788" spans="13:36">
      <c r="M4788" s="811" t="str">
        <f t="shared" si="258"/>
        <v/>
      </c>
      <c r="X4788" s="811" t="str">
        <f t="shared" si="259"/>
        <v/>
      </c>
      <c r="AJ4788" s="865"/>
    </row>
    <row r="4789" spans="13:36">
      <c r="M4789" s="811" t="str">
        <f t="shared" si="258"/>
        <v/>
      </c>
      <c r="X4789" s="811" t="str">
        <f t="shared" si="259"/>
        <v/>
      </c>
      <c r="AJ4789" s="865"/>
    </row>
    <row r="4790" spans="13:36">
      <c r="M4790" s="811" t="str">
        <f t="shared" si="258"/>
        <v/>
      </c>
      <c r="X4790" s="811" t="str">
        <f t="shared" si="259"/>
        <v/>
      </c>
      <c r="AJ4790" s="865"/>
    </row>
    <row r="4791" spans="13:36">
      <c r="M4791" s="811" t="str">
        <f t="shared" si="258"/>
        <v/>
      </c>
      <c r="X4791" s="811" t="str">
        <f t="shared" si="259"/>
        <v/>
      </c>
      <c r="AJ4791" s="865"/>
    </row>
    <row r="4792" spans="13:36">
      <c r="M4792" s="811" t="str">
        <f t="shared" si="258"/>
        <v/>
      </c>
      <c r="X4792" s="811" t="str">
        <f t="shared" si="259"/>
        <v/>
      </c>
      <c r="AJ4792" s="865"/>
    </row>
    <row r="4793" spans="13:36">
      <c r="M4793" s="811" t="str">
        <f t="shared" si="258"/>
        <v/>
      </c>
      <c r="X4793" s="811" t="str">
        <f t="shared" si="259"/>
        <v/>
      </c>
      <c r="AJ4793" s="865"/>
    </row>
    <row r="4794" spans="13:36">
      <c r="M4794" s="811" t="str">
        <f t="shared" si="258"/>
        <v/>
      </c>
      <c r="X4794" s="811" t="str">
        <f t="shared" si="259"/>
        <v/>
      </c>
      <c r="AJ4794" s="865"/>
    </row>
    <row r="4795" spans="13:36">
      <c r="M4795" s="811" t="str">
        <f t="shared" si="258"/>
        <v/>
      </c>
      <c r="X4795" s="811" t="str">
        <f t="shared" si="259"/>
        <v/>
      </c>
      <c r="AJ4795" s="865"/>
    </row>
    <row r="4796" spans="13:36">
      <c r="M4796" s="811" t="str">
        <f t="shared" si="258"/>
        <v/>
      </c>
      <c r="X4796" s="811" t="str">
        <f t="shared" si="259"/>
        <v/>
      </c>
      <c r="AJ4796" s="865"/>
    </row>
    <row r="4797" spans="13:36">
      <c r="M4797" s="811" t="str">
        <f t="shared" si="258"/>
        <v/>
      </c>
      <c r="X4797" s="811" t="str">
        <f t="shared" si="259"/>
        <v/>
      </c>
      <c r="AJ4797" s="865"/>
    </row>
    <row r="4798" spans="13:36">
      <c r="M4798" s="811" t="str">
        <f t="shared" si="258"/>
        <v/>
      </c>
      <c r="X4798" s="811" t="str">
        <f t="shared" si="259"/>
        <v/>
      </c>
      <c r="AJ4798" s="865"/>
    </row>
    <row r="4799" spans="13:36">
      <c r="M4799" s="811" t="str">
        <f t="shared" si="258"/>
        <v/>
      </c>
      <c r="X4799" s="811" t="str">
        <f t="shared" si="259"/>
        <v/>
      </c>
      <c r="AJ4799" s="865"/>
    </row>
    <row r="4800" spans="13:36">
      <c r="M4800" s="811" t="str">
        <f t="shared" si="258"/>
        <v/>
      </c>
      <c r="X4800" s="811" t="str">
        <f t="shared" si="259"/>
        <v/>
      </c>
      <c r="AJ4800" s="865"/>
    </row>
    <row r="4801" spans="13:36">
      <c r="M4801" s="811" t="str">
        <f t="shared" si="258"/>
        <v/>
      </c>
      <c r="X4801" s="811" t="str">
        <f t="shared" si="259"/>
        <v/>
      </c>
      <c r="AJ4801" s="865"/>
    </row>
    <row r="4802" spans="13:36">
      <c r="M4802" s="811" t="str">
        <f t="shared" si="258"/>
        <v/>
      </c>
      <c r="X4802" s="811" t="str">
        <f t="shared" si="259"/>
        <v/>
      </c>
      <c r="AJ4802" s="865"/>
    </row>
    <row r="4803" spans="13:36">
      <c r="M4803" s="811" t="str">
        <f t="shared" si="258"/>
        <v/>
      </c>
      <c r="X4803" s="811" t="str">
        <f t="shared" si="259"/>
        <v/>
      </c>
      <c r="AJ4803" s="865"/>
    </row>
    <row r="4804" spans="13:36">
      <c r="M4804" s="811" t="str">
        <f t="shared" si="258"/>
        <v/>
      </c>
      <c r="X4804" s="811" t="str">
        <f t="shared" si="259"/>
        <v/>
      </c>
      <c r="AJ4804" s="865"/>
    </row>
    <row r="4805" spans="13:36">
      <c r="M4805" s="811" t="str">
        <f t="shared" si="258"/>
        <v/>
      </c>
      <c r="X4805" s="811" t="str">
        <f t="shared" si="259"/>
        <v/>
      </c>
      <c r="AJ4805" s="865"/>
    </row>
    <row r="4806" spans="13:36">
      <c r="M4806" s="811" t="str">
        <f t="shared" si="258"/>
        <v/>
      </c>
      <c r="X4806" s="811" t="str">
        <f t="shared" si="259"/>
        <v/>
      </c>
      <c r="AJ4806" s="865"/>
    </row>
    <row r="4807" spans="13:36">
      <c r="M4807" s="811" t="str">
        <f t="shared" si="258"/>
        <v/>
      </c>
      <c r="X4807" s="811" t="str">
        <f t="shared" si="259"/>
        <v/>
      </c>
      <c r="AJ4807" s="865"/>
    </row>
    <row r="4808" spans="13:36">
      <c r="M4808" s="811" t="str">
        <f t="shared" si="258"/>
        <v/>
      </c>
      <c r="X4808" s="811" t="str">
        <f t="shared" si="259"/>
        <v/>
      </c>
      <c r="AJ4808" s="865"/>
    </row>
    <row r="4809" spans="13:36">
      <c r="M4809" s="811" t="str">
        <f t="shared" si="258"/>
        <v/>
      </c>
      <c r="X4809" s="811" t="str">
        <f t="shared" si="259"/>
        <v/>
      </c>
      <c r="AJ4809" s="865"/>
    </row>
    <row r="4810" spans="13:36">
      <c r="M4810" s="811" t="str">
        <f t="shared" si="258"/>
        <v/>
      </c>
      <c r="X4810" s="811" t="str">
        <f t="shared" si="259"/>
        <v/>
      </c>
      <c r="AJ4810" s="865"/>
    </row>
    <row r="4811" spans="13:36">
      <c r="M4811" s="811" t="str">
        <f t="shared" si="258"/>
        <v/>
      </c>
      <c r="X4811" s="811" t="str">
        <f t="shared" si="259"/>
        <v/>
      </c>
      <c r="AJ4811" s="865"/>
    </row>
    <row r="4812" spans="13:36">
      <c r="M4812" s="811" t="str">
        <f t="shared" ref="M4812:M4875" si="260">IF(ISBLANK(L4812)=TRUE,"",LOOKUP(L4812,GQ:GR))</f>
        <v/>
      </c>
      <c r="X4812" s="811" t="str">
        <f t="shared" si="259"/>
        <v/>
      </c>
      <c r="AJ4812" s="865"/>
    </row>
    <row r="4813" spans="13:36">
      <c r="M4813" s="811" t="str">
        <f t="shared" si="260"/>
        <v/>
      </c>
      <c r="X4813" s="811" t="str">
        <f t="shared" si="259"/>
        <v/>
      </c>
      <c r="AJ4813" s="865"/>
    </row>
    <row r="4814" spans="13:36">
      <c r="M4814" s="811" t="str">
        <f t="shared" si="260"/>
        <v/>
      </c>
      <c r="X4814" s="811" t="str">
        <f t="shared" si="259"/>
        <v/>
      </c>
      <c r="AJ4814" s="865"/>
    </row>
    <row r="4815" spans="13:36">
      <c r="M4815" s="811" t="str">
        <f t="shared" si="260"/>
        <v/>
      </c>
      <c r="X4815" s="811" t="str">
        <f t="shared" si="259"/>
        <v/>
      </c>
      <c r="AJ4815" s="865"/>
    </row>
    <row r="4816" spans="13:36">
      <c r="M4816" s="811" t="str">
        <f t="shared" si="260"/>
        <v/>
      </c>
      <c r="X4816" s="811" t="str">
        <f t="shared" si="259"/>
        <v/>
      </c>
      <c r="AJ4816" s="865"/>
    </row>
    <row r="4817" spans="13:36">
      <c r="M4817" s="811" t="str">
        <f t="shared" si="260"/>
        <v/>
      </c>
      <c r="X4817" s="811" t="str">
        <f t="shared" si="259"/>
        <v/>
      </c>
      <c r="AJ4817" s="865"/>
    </row>
    <row r="4818" spans="13:36">
      <c r="M4818" s="811" t="str">
        <f t="shared" si="260"/>
        <v/>
      </c>
      <c r="X4818" s="811" t="str">
        <f t="shared" si="259"/>
        <v/>
      </c>
      <c r="AJ4818" s="865"/>
    </row>
    <row r="4819" spans="13:36">
      <c r="M4819" s="811" t="str">
        <f t="shared" si="260"/>
        <v/>
      </c>
      <c r="X4819" s="811" t="str">
        <f t="shared" si="259"/>
        <v/>
      </c>
      <c r="AJ4819" s="865"/>
    </row>
    <row r="4820" spans="13:36">
      <c r="M4820" s="811" t="str">
        <f t="shared" si="260"/>
        <v/>
      </c>
      <c r="X4820" s="811" t="str">
        <f t="shared" si="259"/>
        <v/>
      </c>
      <c r="AJ4820" s="865"/>
    </row>
    <row r="4821" spans="13:36">
      <c r="M4821" s="811" t="str">
        <f t="shared" si="260"/>
        <v/>
      </c>
      <c r="X4821" s="811" t="str">
        <f t="shared" si="259"/>
        <v/>
      </c>
      <c r="AJ4821" s="865"/>
    </row>
    <row r="4822" spans="13:36">
      <c r="M4822" s="811" t="str">
        <f t="shared" si="260"/>
        <v/>
      </c>
      <c r="X4822" s="811" t="str">
        <f t="shared" si="259"/>
        <v/>
      </c>
      <c r="AJ4822" s="865"/>
    </row>
    <row r="4823" spans="13:36">
      <c r="M4823" s="811" t="str">
        <f t="shared" si="260"/>
        <v/>
      </c>
      <c r="X4823" s="811" t="str">
        <f t="shared" si="259"/>
        <v/>
      </c>
      <c r="AJ4823" s="865"/>
    </row>
    <row r="4824" spans="13:36">
      <c r="M4824" s="811" t="str">
        <f t="shared" si="260"/>
        <v/>
      </c>
      <c r="X4824" s="811" t="str">
        <f t="shared" si="259"/>
        <v/>
      </c>
      <c r="AJ4824" s="865"/>
    </row>
    <row r="4825" spans="13:36">
      <c r="M4825" s="811" t="str">
        <f t="shared" si="260"/>
        <v/>
      </c>
      <c r="X4825" s="811" t="str">
        <f t="shared" si="259"/>
        <v/>
      </c>
      <c r="AJ4825" s="865"/>
    </row>
    <row r="4826" spans="13:36">
      <c r="M4826" s="811" t="str">
        <f t="shared" si="260"/>
        <v/>
      </c>
      <c r="X4826" s="811" t="str">
        <f t="shared" si="259"/>
        <v/>
      </c>
      <c r="AJ4826" s="865"/>
    </row>
    <row r="4827" spans="13:36">
      <c r="M4827" s="811" t="str">
        <f t="shared" si="260"/>
        <v/>
      </c>
      <c r="X4827" s="811" t="str">
        <f t="shared" si="259"/>
        <v/>
      </c>
      <c r="AJ4827" s="865"/>
    </row>
    <row r="4828" spans="13:36">
      <c r="M4828" s="811" t="str">
        <f t="shared" si="260"/>
        <v/>
      </c>
      <c r="X4828" s="811" t="str">
        <f t="shared" si="259"/>
        <v/>
      </c>
      <c r="AJ4828" s="865"/>
    </row>
    <row r="4829" spans="13:36">
      <c r="M4829" s="811" t="str">
        <f t="shared" si="260"/>
        <v/>
      </c>
      <c r="X4829" s="811" t="str">
        <f t="shared" si="259"/>
        <v/>
      </c>
      <c r="AJ4829" s="865"/>
    </row>
    <row r="4830" spans="13:36">
      <c r="M4830" s="811" t="str">
        <f t="shared" si="260"/>
        <v/>
      </c>
      <c r="X4830" s="811" t="str">
        <f t="shared" si="259"/>
        <v/>
      </c>
      <c r="AJ4830" s="865"/>
    </row>
    <row r="4831" spans="13:36">
      <c r="M4831" s="811" t="str">
        <f t="shared" si="260"/>
        <v/>
      </c>
      <c r="X4831" s="811" t="str">
        <f t="shared" si="259"/>
        <v/>
      </c>
      <c r="AJ4831" s="865"/>
    </row>
    <row r="4832" spans="13:36">
      <c r="M4832" s="811" t="str">
        <f t="shared" si="260"/>
        <v/>
      </c>
      <c r="X4832" s="811" t="str">
        <f t="shared" si="259"/>
        <v/>
      </c>
      <c r="AJ4832" s="865"/>
    </row>
    <row r="4833" spans="13:36">
      <c r="M4833" s="811" t="str">
        <f t="shared" si="260"/>
        <v/>
      </c>
      <c r="X4833" s="811" t="str">
        <f t="shared" si="259"/>
        <v/>
      </c>
      <c r="AJ4833" s="865"/>
    </row>
    <row r="4834" spans="13:36">
      <c r="M4834" s="811" t="str">
        <f t="shared" si="260"/>
        <v/>
      </c>
      <c r="X4834" s="811" t="str">
        <f t="shared" si="259"/>
        <v/>
      </c>
      <c r="AJ4834" s="865"/>
    </row>
    <row r="4835" spans="13:36">
      <c r="M4835" s="811" t="str">
        <f t="shared" si="260"/>
        <v/>
      </c>
      <c r="X4835" s="811" t="str">
        <f t="shared" si="259"/>
        <v/>
      </c>
      <c r="AJ4835" s="865"/>
    </row>
    <row r="4836" spans="13:36">
      <c r="M4836" s="811" t="str">
        <f t="shared" si="260"/>
        <v/>
      </c>
      <c r="X4836" s="811" t="str">
        <f t="shared" si="259"/>
        <v/>
      </c>
      <c r="AJ4836" s="865"/>
    </row>
    <row r="4837" spans="13:36">
      <c r="M4837" s="811" t="str">
        <f t="shared" si="260"/>
        <v/>
      </c>
      <c r="X4837" s="811" t="str">
        <f t="shared" si="259"/>
        <v/>
      </c>
      <c r="AJ4837" s="865"/>
    </row>
    <row r="4838" spans="13:36">
      <c r="M4838" s="811" t="str">
        <f t="shared" si="260"/>
        <v/>
      </c>
      <c r="X4838" s="811" t="str">
        <f t="shared" si="259"/>
        <v/>
      </c>
      <c r="AJ4838" s="865"/>
    </row>
    <row r="4839" spans="13:36">
      <c r="M4839" s="811" t="str">
        <f t="shared" si="260"/>
        <v/>
      </c>
      <c r="X4839" s="811" t="str">
        <f t="shared" si="259"/>
        <v/>
      </c>
      <c r="AJ4839" s="865"/>
    </row>
    <row r="4840" spans="13:36">
      <c r="M4840" s="811" t="str">
        <f t="shared" si="260"/>
        <v/>
      </c>
      <c r="X4840" s="811" t="str">
        <f t="shared" si="259"/>
        <v/>
      </c>
      <c r="AJ4840" s="865"/>
    </row>
    <row r="4841" spans="13:36">
      <c r="M4841" s="811" t="str">
        <f t="shared" si="260"/>
        <v/>
      </c>
      <c r="X4841" s="811" t="str">
        <f t="shared" si="259"/>
        <v/>
      </c>
      <c r="AJ4841" s="865"/>
    </row>
    <row r="4842" spans="13:36">
      <c r="M4842" s="811" t="str">
        <f t="shared" si="260"/>
        <v/>
      </c>
      <c r="X4842" s="811" t="str">
        <f t="shared" si="259"/>
        <v/>
      </c>
      <c r="AJ4842" s="865"/>
    </row>
    <row r="4843" spans="13:36">
      <c r="M4843" s="811" t="str">
        <f t="shared" si="260"/>
        <v/>
      </c>
      <c r="X4843" s="811" t="str">
        <f t="shared" si="259"/>
        <v/>
      </c>
      <c r="AJ4843" s="865"/>
    </row>
    <row r="4844" spans="13:36">
      <c r="M4844" s="811" t="str">
        <f t="shared" si="260"/>
        <v/>
      </c>
      <c r="X4844" s="811" t="str">
        <f t="shared" si="259"/>
        <v/>
      </c>
      <c r="AJ4844" s="865"/>
    </row>
    <row r="4845" spans="13:36">
      <c r="M4845" s="811" t="str">
        <f t="shared" si="260"/>
        <v/>
      </c>
      <c r="X4845" s="811" t="str">
        <f t="shared" si="259"/>
        <v/>
      </c>
      <c r="AJ4845" s="865"/>
    </row>
    <row r="4846" spans="13:36">
      <c r="M4846" s="811" t="str">
        <f t="shared" si="260"/>
        <v/>
      </c>
      <c r="X4846" s="811" t="str">
        <f t="shared" si="259"/>
        <v/>
      </c>
      <c r="AJ4846" s="865"/>
    </row>
    <row r="4847" spans="13:36">
      <c r="M4847" s="811" t="str">
        <f t="shared" si="260"/>
        <v/>
      </c>
      <c r="X4847" s="811" t="str">
        <f t="shared" si="259"/>
        <v/>
      </c>
      <c r="AJ4847" s="865"/>
    </row>
    <row r="4848" spans="13:36">
      <c r="M4848" s="811" t="str">
        <f t="shared" si="260"/>
        <v/>
      </c>
      <c r="X4848" s="811" t="str">
        <f t="shared" si="259"/>
        <v/>
      </c>
      <c r="AJ4848" s="865"/>
    </row>
    <row r="4849" spans="13:36">
      <c r="M4849" s="811" t="str">
        <f t="shared" si="260"/>
        <v/>
      </c>
      <c r="X4849" s="811" t="str">
        <f t="shared" si="259"/>
        <v/>
      </c>
      <c r="AJ4849" s="865"/>
    </row>
    <row r="4850" spans="13:36">
      <c r="M4850" s="811" t="str">
        <f t="shared" si="260"/>
        <v/>
      </c>
      <c r="X4850" s="811" t="str">
        <f t="shared" si="259"/>
        <v/>
      </c>
      <c r="AJ4850" s="865"/>
    </row>
    <row r="4851" spans="13:36">
      <c r="M4851" s="811" t="str">
        <f t="shared" si="260"/>
        <v/>
      </c>
      <c r="X4851" s="811" t="str">
        <f t="shared" ref="X4851:X4914" si="261">IF(ISBLANK(W4851)=TRUE,"",LOOKUP(W4851,GO:GP))</f>
        <v/>
      </c>
      <c r="AJ4851" s="865"/>
    </row>
    <row r="4852" spans="13:36">
      <c r="M4852" s="811" t="str">
        <f t="shared" si="260"/>
        <v/>
      </c>
      <c r="X4852" s="811" t="str">
        <f t="shared" si="261"/>
        <v/>
      </c>
      <c r="AJ4852" s="865"/>
    </row>
    <row r="4853" spans="13:36">
      <c r="M4853" s="811" t="str">
        <f t="shared" si="260"/>
        <v/>
      </c>
      <c r="X4853" s="811" t="str">
        <f t="shared" si="261"/>
        <v/>
      </c>
      <c r="AJ4853" s="865"/>
    </row>
    <row r="4854" spans="13:36">
      <c r="M4854" s="811" t="str">
        <f t="shared" si="260"/>
        <v/>
      </c>
      <c r="X4854" s="811" t="str">
        <f t="shared" si="261"/>
        <v/>
      </c>
      <c r="AJ4854" s="865"/>
    </row>
    <row r="4855" spans="13:36">
      <c r="M4855" s="811" t="str">
        <f t="shared" si="260"/>
        <v/>
      </c>
      <c r="X4855" s="811" t="str">
        <f t="shared" si="261"/>
        <v/>
      </c>
      <c r="AJ4855" s="865"/>
    </row>
    <row r="4856" spans="13:36">
      <c r="M4856" s="811" t="str">
        <f t="shared" si="260"/>
        <v/>
      </c>
      <c r="X4856" s="811" t="str">
        <f t="shared" si="261"/>
        <v/>
      </c>
      <c r="AJ4856" s="865"/>
    </row>
    <row r="4857" spans="13:36">
      <c r="M4857" s="811" t="str">
        <f t="shared" si="260"/>
        <v/>
      </c>
      <c r="X4857" s="811" t="str">
        <f t="shared" si="261"/>
        <v/>
      </c>
      <c r="AJ4857" s="865"/>
    </row>
    <row r="4858" spans="13:36">
      <c r="M4858" s="811" t="str">
        <f t="shared" si="260"/>
        <v/>
      </c>
      <c r="X4858" s="811" t="str">
        <f t="shared" si="261"/>
        <v/>
      </c>
      <c r="AJ4858" s="865"/>
    </row>
    <row r="4859" spans="13:36">
      <c r="M4859" s="811" t="str">
        <f t="shared" si="260"/>
        <v/>
      </c>
      <c r="X4859" s="811" t="str">
        <f t="shared" si="261"/>
        <v/>
      </c>
      <c r="AJ4859" s="865"/>
    </row>
    <row r="4860" spans="13:36">
      <c r="M4860" s="811" t="str">
        <f t="shared" si="260"/>
        <v/>
      </c>
      <c r="X4860" s="811" t="str">
        <f t="shared" si="261"/>
        <v/>
      </c>
      <c r="AJ4860" s="865"/>
    </row>
    <row r="4861" spans="13:36">
      <c r="M4861" s="811" t="str">
        <f t="shared" si="260"/>
        <v/>
      </c>
      <c r="X4861" s="811" t="str">
        <f t="shared" si="261"/>
        <v/>
      </c>
      <c r="AJ4861" s="865"/>
    </row>
    <row r="4862" spans="13:36">
      <c r="M4862" s="811" t="str">
        <f t="shared" si="260"/>
        <v/>
      </c>
      <c r="X4862" s="811" t="str">
        <f t="shared" si="261"/>
        <v/>
      </c>
      <c r="AJ4862" s="865"/>
    </row>
    <row r="4863" spans="13:36">
      <c r="M4863" s="811" t="str">
        <f t="shared" si="260"/>
        <v/>
      </c>
      <c r="X4863" s="811" t="str">
        <f t="shared" si="261"/>
        <v/>
      </c>
      <c r="AJ4863" s="865"/>
    </row>
    <row r="4864" spans="13:36">
      <c r="M4864" s="811" t="str">
        <f t="shared" si="260"/>
        <v/>
      </c>
      <c r="X4864" s="811" t="str">
        <f t="shared" si="261"/>
        <v/>
      </c>
      <c r="AJ4864" s="865"/>
    </row>
    <row r="4865" spans="13:36">
      <c r="M4865" s="811" t="str">
        <f t="shared" si="260"/>
        <v/>
      </c>
      <c r="X4865" s="811" t="str">
        <f t="shared" si="261"/>
        <v/>
      </c>
      <c r="AJ4865" s="865"/>
    </row>
    <row r="4866" spans="13:36">
      <c r="M4866" s="811" t="str">
        <f t="shared" si="260"/>
        <v/>
      </c>
      <c r="X4866" s="811" t="str">
        <f t="shared" si="261"/>
        <v/>
      </c>
      <c r="AJ4866" s="865"/>
    </row>
    <row r="4867" spans="13:36">
      <c r="M4867" s="811" t="str">
        <f t="shared" si="260"/>
        <v/>
      </c>
      <c r="X4867" s="811" t="str">
        <f t="shared" si="261"/>
        <v/>
      </c>
      <c r="AJ4867" s="865"/>
    </row>
    <row r="4868" spans="13:36">
      <c r="M4868" s="811" t="str">
        <f t="shared" si="260"/>
        <v/>
      </c>
      <c r="X4868" s="811" t="str">
        <f t="shared" si="261"/>
        <v/>
      </c>
      <c r="AJ4868" s="865"/>
    </row>
    <row r="4869" spans="13:36">
      <c r="M4869" s="811" t="str">
        <f t="shared" si="260"/>
        <v/>
      </c>
      <c r="X4869" s="811" t="str">
        <f t="shared" si="261"/>
        <v/>
      </c>
      <c r="AJ4869" s="865"/>
    </row>
    <row r="4870" spans="13:36">
      <c r="M4870" s="811" t="str">
        <f t="shared" si="260"/>
        <v/>
      </c>
      <c r="X4870" s="811" t="str">
        <f t="shared" si="261"/>
        <v/>
      </c>
      <c r="AJ4870" s="865"/>
    </row>
    <row r="4871" spans="13:36">
      <c r="M4871" s="811" t="str">
        <f t="shared" si="260"/>
        <v/>
      </c>
      <c r="X4871" s="811" t="str">
        <f t="shared" si="261"/>
        <v/>
      </c>
      <c r="AJ4871" s="865"/>
    </row>
    <row r="4872" spans="13:36">
      <c r="M4872" s="811" t="str">
        <f t="shared" si="260"/>
        <v/>
      </c>
      <c r="X4872" s="811" t="str">
        <f t="shared" si="261"/>
        <v/>
      </c>
      <c r="AJ4872" s="865"/>
    </row>
    <row r="4873" spans="13:36">
      <c r="M4873" s="811" t="str">
        <f t="shared" si="260"/>
        <v/>
      </c>
      <c r="X4873" s="811" t="str">
        <f t="shared" si="261"/>
        <v/>
      </c>
      <c r="AJ4873" s="865"/>
    </row>
    <row r="4874" spans="13:36">
      <c r="M4874" s="811" t="str">
        <f t="shared" si="260"/>
        <v/>
      </c>
      <c r="X4874" s="811" t="str">
        <f t="shared" si="261"/>
        <v/>
      </c>
      <c r="AJ4874" s="865"/>
    </row>
    <row r="4875" spans="13:36">
      <c r="M4875" s="811" t="str">
        <f t="shared" si="260"/>
        <v/>
      </c>
      <c r="X4875" s="811" t="str">
        <f t="shared" si="261"/>
        <v/>
      </c>
      <c r="AJ4875" s="865"/>
    </row>
    <row r="4876" spans="13:36">
      <c r="M4876" s="811" t="str">
        <f t="shared" ref="M4876:M4939" si="262">IF(ISBLANK(L4876)=TRUE,"",LOOKUP(L4876,GQ:GR))</f>
        <v/>
      </c>
      <c r="X4876" s="811" t="str">
        <f t="shared" si="261"/>
        <v/>
      </c>
      <c r="AJ4876" s="865"/>
    </row>
    <row r="4877" spans="13:36">
      <c r="M4877" s="811" t="str">
        <f t="shared" si="262"/>
        <v/>
      </c>
      <c r="X4877" s="811" t="str">
        <f t="shared" si="261"/>
        <v/>
      </c>
      <c r="AJ4877" s="865"/>
    </row>
    <row r="4878" spans="13:36">
      <c r="M4878" s="811" t="str">
        <f t="shared" si="262"/>
        <v/>
      </c>
      <c r="X4878" s="811" t="str">
        <f t="shared" si="261"/>
        <v/>
      </c>
      <c r="AJ4878" s="865"/>
    </row>
    <row r="4879" spans="13:36">
      <c r="M4879" s="811" t="str">
        <f t="shared" si="262"/>
        <v/>
      </c>
      <c r="X4879" s="811" t="str">
        <f t="shared" si="261"/>
        <v/>
      </c>
      <c r="AJ4879" s="865"/>
    </row>
    <row r="4880" spans="13:36">
      <c r="M4880" s="811" t="str">
        <f t="shared" si="262"/>
        <v/>
      </c>
      <c r="X4880" s="811" t="str">
        <f t="shared" si="261"/>
        <v/>
      </c>
      <c r="AJ4880" s="865"/>
    </row>
    <row r="4881" spans="13:36">
      <c r="M4881" s="811" t="str">
        <f t="shared" si="262"/>
        <v/>
      </c>
      <c r="X4881" s="811" t="str">
        <f t="shared" si="261"/>
        <v/>
      </c>
      <c r="AJ4881" s="865"/>
    </row>
    <row r="4882" spans="13:36">
      <c r="M4882" s="811" t="str">
        <f t="shared" si="262"/>
        <v/>
      </c>
      <c r="X4882" s="811" t="str">
        <f t="shared" si="261"/>
        <v/>
      </c>
      <c r="AJ4882" s="865"/>
    </row>
    <row r="4883" spans="13:36">
      <c r="M4883" s="811" t="str">
        <f t="shared" si="262"/>
        <v/>
      </c>
      <c r="X4883" s="811" t="str">
        <f t="shared" si="261"/>
        <v/>
      </c>
      <c r="AJ4883" s="865"/>
    </row>
    <row r="4884" spans="13:36">
      <c r="M4884" s="811" t="str">
        <f t="shared" si="262"/>
        <v/>
      </c>
      <c r="X4884" s="811" t="str">
        <f t="shared" si="261"/>
        <v/>
      </c>
      <c r="AJ4884" s="865"/>
    </row>
    <row r="4885" spans="13:36">
      <c r="M4885" s="811" t="str">
        <f t="shared" si="262"/>
        <v/>
      </c>
      <c r="X4885" s="811" t="str">
        <f t="shared" si="261"/>
        <v/>
      </c>
      <c r="AJ4885" s="865"/>
    </row>
    <row r="4886" spans="13:36">
      <c r="M4886" s="811" t="str">
        <f t="shared" si="262"/>
        <v/>
      </c>
      <c r="X4886" s="811" t="str">
        <f t="shared" si="261"/>
        <v/>
      </c>
      <c r="AJ4886" s="865"/>
    </row>
    <row r="4887" spans="13:36">
      <c r="M4887" s="811" t="str">
        <f t="shared" si="262"/>
        <v/>
      </c>
      <c r="X4887" s="811" t="str">
        <f t="shared" si="261"/>
        <v/>
      </c>
      <c r="AJ4887" s="865"/>
    </row>
    <row r="4888" spans="13:36">
      <c r="M4888" s="811" t="str">
        <f t="shared" si="262"/>
        <v/>
      </c>
      <c r="X4888" s="811" t="str">
        <f t="shared" si="261"/>
        <v/>
      </c>
      <c r="AJ4888" s="865"/>
    </row>
    <row r="4889" spans="13:36">
      <c r="M4889" s="811" t="str">
        <f t="shared" si="262"/>
        <v/>
      </c>
      <c r="X4889" s="811" t="str">
        <f t="shared" si="261"/>
        <v/>
      </c>
      <c r="AJ4889" s="865"/>
    </row>
    <row r="4890" spans="13:36">
      <c r="M4890" s="811" t="str">
        <f t="shared" si="262"/>
        <v/>
      </c>
      <c r="X4890" s="811" t="str">
        <f t="shared" si="261"/>
        <v/>
      </c>
      <c r="AJ4890" s="865"/>
    </row>
    <row r="4891" spans="13:36">
      <c r="M4891" s="811" t="str">
        <f t="shared" si="262"/>
        <v/>
      </c>
      <c r="X4891" s="811" t="str">
        <f t="shared" si="261"/>
        <v/>
      </c>
      <c r="AJ4891" s="865"/>
    </row>
    <row r="4892" spans="13:36">
      <c r="M4892" s="811" t="str">
        <f t="shared" si="262"/>
        <v/>
      </c>
      <c r="X4892" s="811" t="str">
        <f t="shared" si="261"/>
        <v/>
      </c>
      <c r="AJ4892" s="865"/>
    </row>
    <row r="4893" spans="13:36">
      <c r="M4893" s="811" t="str">
        <f t="shared" si="262"/>
        <v/>
      </c>
      <c r="X4893" s="811" t="str">
        <f t="shared" si="261"/>
        <v/>
      </c>
      <c r="AJ4893" s="865"/>
    </row>
    <row r="4894" spans="13:36">
      <c r="M4894" s="811" t="str">
        <f t="shared" si="262"/>
        <v/>
      </c>
      <c r="X4894" s="811" t="str">
        <f t="shared" si="261"/>
        <v/>
      </c>
      <c r="AJ4894" s="865"/>
    </row>
    <row r="4895" spans="13:36">
      <c r="M4895" s="811" t="str">
        <f t="shared" si="262"/>
        <v/>
      </c>
      <c r="X4895" s="811" t="str">
        <f t="shared" si="261"/>
        <v/>
      </c>
      <c r="AJ4895" s="865"/>
    </row>
    <row r="4896" spans="13:36">
      <c r="M4896" s="811" t="str">
        <f t="shared" si="262"/>
        <v/>
      </c>
      <c r="X4896" s="811" t="str">
        <f t="shared" si="261"/>
        <v/>
      </c>
      <c r="AJ4896" s="865"/>
    </row>
    <row r="4897" spans="13:36">
      <c r="M4897" s="811" t="str">
        <f t="shared" si="262"/>
        <v/>
      </c>
      <c r="X4897" s="811" t="str">
        <f t="shared" si="261"/>
        <v/>
      </c>
      <c r="AJ4897" s="865"/>
    </row>
    <row r="4898" spans="13:36">
      <c r="M4898" s="811" t="str">
        <f t="shared" si="262"/>
        <v/>
      </c>
      <c r="X4898" s="811" t="str">
        <f t="shared" si="261"/>
        <v/>
      </c>
      <c r="AJ4898" s="865"/>
    </row>
    <row r="4899" spans="13:36">
      <c r="M4899" s="811" t="str">
        <f t="shared" si="262"/>
        <v/>
      </c>
      <c r="X4899" s="811" t="str">
        <f t="shared" si="261"/>
        <v/>
      </c>
      <c r="AJ4899" s="865"/>
    </row>
    <row r="4900" spans="13:36">
      <c r="M4900" s="811" t="str">
        <f t="shared" si="262"/>
        <v/>
      </c>
      <c r="X4900" s="811" t="str">
        <f t="shared" si="261"/>
        <v/>
      </c>
      <c r="AJ4900" s="865"/>
    </row>
    <row r="4901" spans="13:36">
      <c r="M4901" s="811" t="str">
        <f t="shared" si="262"/>
        <v/>
      </c>
      <c r="X4901" s="811" t="str">
        <f t="shared" si="261"/>
        <v/>
      </c>
      <c r="AJ4901" s="865"/>
    </row>
    <row r="4902" spans="13:36">
      <c r="M4902" s="811" t="str">
        <f t="shared" si="262"/>
        <v/>
      </c>
      <c r="X4902" s="811" t="str">
        <f t="shared" si="261"/>
        <v/>
      </c>
      <c r="AJ4902" s="865"/>
    </row>
    <row r="4903" spans="13:36">
      <c r="M4903" s="811" t="str">
        <f t="shared" si="262"/>
        <v/>
      </c>
      <c r="X4903" s="811" t="str">
        <f t="shared" si="261"/>
        <v/>
      </c>
      <c r="AJ4903" s="865"/>
    </row>
    <row r="4904" spans="13:36">
      <c r="M4904" s="811" t="str">
        <f t="shared" si="262"/>
        <v/>
      </c>
      <c r="X4904" s="811" t="str">
        <f t="shared" si="261"/>
        <v/>
      </c>
      <c r="AJ4904" s="865"/>
    </row>
    <row r="4905" spans="13:36">
      <c r="M4905" s="811" t="str">
        <f t="shared" si="262"/>
        <v/>
      </c>
      <c r="X4905" s="811" t="str">
        <f t="shared" si="261"/>
        <v/>
      </c>
      <c r="AJ4905" s="865"/>
    </row>
    <row r="4906" spans="13:36">
      <c r="M4906" s="811" t="str">
        <f t="shared" si="262"/>
        <v/>
      </c>
      <c r="X4906" s="811" t="str">
        <f t="shared" si="261"/>
        <v/>
      </c>
      <c r="AJ4906" s="865"/>
    </row>
    <row r="4907" spans="13:36">
      <c r="M4907" s="811" t="str">
        <f t="shared" si="262"/>
        <v/>
      </c>
      <c r="X4907" s="811" t="str">
        <f t="shared" si="261"/>
        <v/>
      </c>
      <c r="AJ4907" s="865"/>
    </row>
    <row r="4908" spans="13:36">
      <c r="M4908" s="811" t="str">
        <f t="shared" si="262"/>
        <v/>
      </c>
      <c r="X4908" s="811" t="str">
        <f t="shared" si="261"/>
        <v/>
      </c>
      <c r="AJ4908" s="865"/>
    </row>
    <row r="4909" spans="13:36">
      <c r="M4909" s="811" t="str">
        <f t="shared" si="262"/>
        <v/>
      </c>
      <c r="X4909" s="811" t="str">
        <f t="shared" si="261"/>
        <v/>
      </c>
      <c r="AJ4909" s="865"/>
    </row>
    <row r="4910" spans="13:36">
      <c r="M4910" s="811" t="str">
        <f t="shared" si="262"/>
        <v/>
      </c>
      <c r="X4910" s="811" t="str">
        <f t="shared" si="261"/>
        <v/>
      </c>
      <c r="AJ4910" s="865"/>
    </row>
    <row r="4911" spans="13:36">
      <c r="M4911" s="811" t="str">
        <f t="shared" si="262"/>
        <v/>
      </c>
      <c r="X4911" s="811" t="str">
        <f t="shared" si="261"/>
        <v/>
      </c>
      <c r="AJ4911" s="865"/>
    </row>
    <row r="4912" spans="13:36">
      <c r="M4912" s="811" t="str">
        <f t="shared" si="262"/>
        <v/>
      </c>
      <c r="X4912" s="811" t="str">
        <f t="shared" si="261"/>
        <v/>
      </c>
      <c r="AJ4912" s="865"/>
    </row>
    <row r="4913" spans="13:36">
      <c r="M4913" s="811" t="str">
        <f t="shared" si="262"/>
        <v/>
      </c>
      <c r="X4913" s="811" t="str">
        <f t="shared" si="261"/>
        <v/>
      </c>
      <c r="AJ4913" s="865"/>
    </row>
    <row r="4914" spans="13:36">
      <c r="M4914" s="811" t="str">
        <f t="shared" si="262"/>
        <v/>
      </c>
      <c r="X4914" s="811" t="str">
        <f t="shared" si="261"/>
        <v/>
      </c>
      <c r="AJ4914" s="865"/>
    </row>
    <row r="4915" spans="13:36">
      <c r="M4915" s="811" t="str">
        <f t="shared" si="262"/>
        <v/>
      </c>
      <c r="X4915" s="811" t="str">
        <f t="shared" ref="X4915:X4978" si="263">IF(ISBLANK(W4915)=TRUE,"",LOOKUP(W4915,GO:GP))</f>
        <v/>
      </c>
      <c r="AJ4915" s="865"/>
    </row>
    <row r="4916" spans="13:36">
      <c r="M4916" s="811" t="str">
        <f t="shared" si="262"/>
        <v/>
      </c>
      <c r="X4916" s="811" t="str">
        <f t="shared" si="263"/>
        <v/>
      </c>
      <c r="AJ4916" s="865"/>
    </row>
    <row r="4917" spans="13:36">
      <c r="M4917" s="811" t="str">
        <f t="shared" si="262"/>
        <v/>
      </c>
      <c r="X4917" s="811" t="str">
        <f t="shared" si="263"/>
        <v/>
      </c>
      <c r="AJ4917" s="865"/>
    </row>
    <row r="4918" spans="13:36">
      <c r="M4918" s="811" t="str">
        <f t="shared" si="262"/>
        <v/>
      </c>
      <c r="X4918" s="811" t="str">
        <f t="shared" si="263"/>
        <v/>
      </c>
      <c r="AJ4918" s="865"/>
    </row>
    <row r="4919" spans="13:36">
      <c r="M4919" s="811" t="str">
        <f t="shared" si="262"/>
        <v/>
      </c>
      <c r="X4919" s="811" t="str">
        <f t="shared" si="263"/>
        <v/>
      </c>
      <c r="AJ4919" s="865"/>
    </row>
    <row r="4920" spans="13:36">
      <c r="M4920" s="811" t="str">
        <f t="shared" si="262"/>
        <v/>
      </c>
      <c r="X4920" s="811" t="str">
        <f t="shared" si="263"/>
        <v/>
      </c>
      <c r="AJ4920" s="865"/>
    </row>
    <row r="4921" spans="13:36">
      <c r="M4921" s="811" t="str">
        <f t="shared" si="262"/>
        <v/>
      </c>
      <c r="X4921" s="811" t="str">
        <f t="shared" si="263"/>
        <v/>
      </c>
      <c r="AJ4921" s="865"/>
    </row>
    <row r="4922" spans="13:36">
      <c r="M4922" s="811" t="str">
        <f t="shared" si="262"/>
        <v/>
      </c>
      <c r="X4922" s="811" t="str">
        <f t="shared" si="263"/>
        <v/>
      </c>
      <c r="AJ4922" s="865"/>
    </row>
    <row r="4923" spans="13:36">
      <c r="M4923" s="811" t="str">
        <f t="shared" si="262"/>
        <v/>
      </c>
      <c r="X4923" s="811" t="str">
        <f t="shared" si="263"/>
        <v/>
      </c>
      <c r="AJ4923" s="865"/>
    </row>
    <row r="4924" spans="13:36">
      <c r="M4924" s="811" t="str">
        <f t="shared" si="262"/>
        <v/>
      </c>
      <c r="X4924" s="811" t="str">
        <f t="shared" si="263"/>
        <v/>
      </c>
      <c r="AJ4924" s="865"/>
    </row>
    <row r="4925" spans="13:36">
      <c r="M4925" s="811" t="str">
        <f t="shared" si="262"/>
        <v/>
      </c>
      <c r="X4925" s="811" t="str">
        <f t="shared" si="263"/>
        <v/>
      </c>
      <c r="AJ4925" s="865"/>
    </row>
    <row r="4926" spans="13:36">
      <c r="M4926" s="811" t="str">
        <f t="shared" si="262"/>
        <v/>
      </c>
      <c r="X4926" s="811" t="str">
        <f t="shared" si="263"/>
        <v/>
      </c>
      <c r="AJ4926" s="865"/>
    </row>
    <row r="4927" spans="13:36">
      <c r="M4927" s="811" t="str">
        <f t="shared" si="262"/>
        <v/>
      </c>
      <c r="X4927" s="811" t="str">
        <f t="shared" si="263"/>
        <v/>
      </c>
      <c r="AJ4927" s="865"/>
    </row>
    <row r="4928" spans="13:36">
      <c r="M4928" s="811" t="str">
        <f t="shared" si="262"/>
        <v/>
      </c>
      <c r="X4928" s="811" t="str">
        <f t="shared" si="263"/>
        <v/>
      </c>
      <c r="AJ4928" s="865"/>
    </row>
    <row r="4929" spans="13:36">
      <c r="M4929" s="811" t="str">
        <f t="shared" si="262"/>
        <v/>
      </c>
      <c r="X4929" s="811" t="str">
        <f t="shared" si="263"/>
        <v/>
      </c>
      <c r="AJ4929" s="865"/>
    </row>
    <row r="4930" spans="13:36">
      <c r="M4930" s="811" t="str">
        <f t="shared" si="262"/>
        <v/>
      </c>
      <c r="X4930" s="811" t="str">
        <f t="shared" si="263"/>
        <v/>
      </c>
      <c r="AJ4930" s="865"/>
    </row>
    <row r="4931" spans="13:36">
      <c r="M4931" s="811" t="str">
        <f t="shared" si="262"/>
        <v/>
      </c>
      <c r="X4931" s="811" t="str">
        <f t="shared" si="263"/>
        <v/>
      </c>
      <c r="AJ4931" s="865"/>
    </row>
    <row r="4932" spans="13:36">
      <c r="M4932" s="811" t="str">
        <f t="shared" si="262"/>
        <v/>
      </c>
      <c r="X4932" s="811" t="str">
        <f t="shared" si="263"/>
        <v/>
      </c>
      <c r="AJ4932" s="865"/>
    </row>
    <row r="4933" spans="13:36">
      <c r="M4933" s="811" t="str">
        <f t="shared" si="262"/>
        <v/>
      </c>
      <c r="X4933" s="811" t="str">
        <f t="shared" si="263"/>
        <v/>
      </c>
      <c r="AJ4933" s="865"/>
    </row>
    <row r="4934" spans="13:36">
      <c r="M4934" s="811" t="str">
        <f t="shared" si="262"/>
        <v/>
      </c>
      <c r="X4934" s="811" t="str">
        <f t="shared" si="263"/>
        <v/>
      </c>
      <c r="AJ4934" s="865"/>
    </row>
    <row r="4935" spans="13:36">
      <c r="M4935" s="811" t="str">
        <f t="shared" si="262"/>
        <v/>
      </c>
      <c r="X4935" s="811" t="str">
        <f t="shared" si="263"/>
        <v/>
      </c>
      <c r="AJ4935" s="865"/>
    </row>
    <row r="4936" spans="13:36">
      <c r="M4936" s="811" t="str">
        <f t="shared" si="262"/>
        <v/>
      </c>
      <c r="X4936" s="811" t="str">
        <f t="shared" si="263"/>
        <v/>
      </c>
      <c r="AJ4936" s="865"/>
    </row>
    <row r="4937" spans="13:36">
      <c r="M4937" s="811" t="str">
        <f t="shared" si="262"/>
        <v/>
      </c>
      <c r="X4937" s="811" t="str">
        <f t="shared" si="263"/>
        <v/>
      </c>
      <c r="AJ4937" s="865"/>
    </row>
    <row r="4938" spans="13:36">
      <c r="M4938" s="811" t="str">
        <f t="shared" si="262"/>
        <v/>
      </c>
      <c r="X4938" s="811" t="str">
        <f t="shared" si="263"/>
        <v/>
      </c>
      <c r="AJ4938" s="865"/>
    </row>
    <row r="4939" spans="13:36">
      <c r="M4939" s="811" t="str">
        <f t="shared" si="262"/>
        <v/>
      </c>
      <c r="X4939" s="811" t="str">
        <f t="shared" si="263"/>
        <v/>
      </c>
      <c r="AJ4939" s="865"/>
    </row>
    <row r="4940" spans="13:36">
      <c r="M4940" s="811" t="str">
        <f t="shared" ref="M4940:M5003" si="264">IF(ISBLANK(L4940)=TRUE,"",LOOKUP(L4940,GQ:GR))</f>
        <v/>
      </c>
      <c r="X4940" s="811" t="str">
        <f t="shared" si="263"/>
        <v/>
      </c>
      <c r="AJ4940" s="865"/>
    </row>
    <row r="4941" spans="13:36">
      <c r="M4941" s="811" t="str">
        <f t="shared" si="264"/>
        <v/>
      </c>
      <c r="X4941" s="811" t="str">
        <f t="shared" si="263"/>
        <v/>
      </c>
      <c r="AJ4941" s="865"/>
    </row>
    <row r="4942" spans="13:36">
      <c r="M4942" s="811" t="str">
        <f t="shared" si="264"/>
        <v/>
      </c>
      <c r="X4942" s="811" t="str">
        <f t="shared" si="263"/>
        <v/>
      </c>
      <c r="AJ4942" s="865"/>
    </row>
    <row r="4943" spans="13:36">
      <c r="M4943" s="811" t="str">
        <f t="shared" si="264"/>
        <v/>
      </c>
      <c r="X4943" s="811" t="str">
        <f t="shared" si="263"/>
        <v/>
      </c>
      <c r="AJ4943" s="865"/>
    </row>
    <row r="4944" spans="13:36">
      <c r="M4944" s="811" t="str">
        <f t="shared" si="264"/>
        <v/>
      </c>
      <c r="X4944" s="811" t="str">
        <f t="shared" si="263"/>
        <v/>
      </c>
      <c r="AJ4944" s="865"/>
    </row>
    <row r="4945" spans="13:36">
      <c r="M4945" s="811" t="str">
        <f t="shared" si="264"/>
        <v/>
      </c>
      <c r="X4945" s="811" t="str">
        <f t="shared" si="263"/>
        <v/>
      </c>
      <c r="AJ4945" s="865"/>
    </row>
    <row r="4946" spans="13:36">
      <c r="M4946" s="811" t="str">
        <f t="shared" si="264"/>
        <v/>
      </c>
      <c r="X4946" s="811" t="str">
        <f t="shared" si="263"/>
        <v/>
      </c>
      <c r="AJ4946" s="865"/>
    </row>
    <row r="4947" spans="13:36">
      <c r="M4947" s="811" t="str">
        <f t="shared" si="264"/>
        <v/>
      </c>
      <c r="X4947" s="811" t="str">
        <f t="shared" si="263"/>
        <v/>
      </c>
      <c r="AJ4947" s="865"/>
    </row>
    <row r="4948" spans="13:36">
      <c r="M4948" s="811" t="str">
        <f t="shared" si="264"/>
        <v/>
      </c>
      <c r="X4948" s="811" t="str">
        <f t="shared" si="263"/>
        <v/>
      </c>
      <c r="AJ4948" s="865"/>
    </row>
    <row r="4949" spans="13:36">
      <c r="M4949" s="811" t="str">
        <f t="shared" si="264"/>
        <v/>
      </c>
      <c r="X4949" s="811" t="str">
        <f t="shared" si="263"/>
        <v/>
      </c>
      <c r="AJ4949" s="865"/>
    </row>
    <row r="4950" spans="13:36">
      <c r="M4950" s="811" t="str">
        <f t="shared" si="264"/>
        <v/>
      </c>
      <c r="X4950" s="811" t="str">
        <f t="shared" si="263"/>
        <v/>
      </c>
      <c r="AJ4950" s="865"/>
    </row>
    <row r="4951" spans="13:36">
      <c r="M4951" s="811" t="str">
        <f t="shared" si="264"/>
        <v/>
      </c>
      <c r="X4951" s="811" t="str">
        <f t="shared" si="263"/>
        <v/>
      </c>
      <c r="AJ4951" s="865"/>
    </row>
    <row r="4952" spans="13:36">
      <c r="M4952" s="811" t="str">
        <f t="shared" si="264"/>
        <v/>
      </c>
      <c r="X4952" s="811" t="str">
        <f t="shared" si="263"/>
        <v/>
      </c>
      <c r="AJ4952" s="865"/>
    </row>
    <row r="4953" spans="13:36">
      <c r="M4953" s="811" t="str">
        <f t="shared" si="264"/>
        <v/>
      </c>
      <c r="X4953" s="811" t="str">
        <f t="shared" si="263"/>
        <v/>
      </c>
      <c r="AJ4953" s="865"/>
    </row>
    <row r="4954" spans="13:36">
      <c r="M4954" s="811" t="str">
        <f t="shared" si="264"/>
        <v/>
      </c>
      <c r="X4954" s="811" t="str">
        <f t="shared" si="263"/>
        <v/>
      </c>
      <c r="AJ4954" s="865"/>
    </row>
    <row r="4955" spans="13:36">
      <c r="M4955" s="811" t="str">
        <f t="shared" si="264"/>
        <v/>
      </c>
      <c r="X4955" s="811" t="str">
        <f t="shared" si="263"/>
        <v/>
      </c>
      <c r="AJ4955" s="865"/>
    </row>
    <row r="4956" spans="13:36">
      <c r="M4956" s="811" t="str">
        <f t="shared" si="264"/>
        <v/>
      </c>
      <c r="X4956" s="811" t="str">
        <f t="shared" si="263"/>
        <v/>
      </c>
      <c r="AJ4956" s="865"/>
    </row>
    <row r="4957" spans="13:36">
      <c r="M4957" s="811" t="str">
        <f t="shared" si="264"/>
        <v/>
      </c>
      <c r="X4957" s="811" t="str">
        <f t="shared" si="263"/>
        <v/>
      </c>
      <c r="AJ4957" s="865"/>
    </row>
    <row r="4958" spans="13:36">
      <c r="M4958" s="811" t="str">
        <f t="shared" si="264"/>
        <v/>
      </c>
      <c r="X4958" s="811" t="str">
        <f t="shared" si="263"/>
        <v/>
      </c>
      <c r="AJ4958" s="865"/>
    </row>
    <row r="4959" spans="13:36">
      <c r="M4959" s="811" t="str">
        <f t="shared" si="264"/>
        <v/>
      </c>
      <c r="X4959" s="811" t="str">
        <f t="shared" si="263"/>
        <v/>
      </c>
      <c r="AJ4959" s="865"/>
    </row>
    <row r="4960" spans="13:36">
      <c r="M4960" s="811" t="str">
        <f t="shared" si="264"/>
        <v/>
      </c>
      <c r="X4960" s="811" t="str">
        <f t="shared" si="263"/>
        <v/>
      </c>
      <c r="AJ4960" s="865"/>
    </row>
    <row r="4961" spans="13:36">
      <c r="M4961" s="811" t="str">
        <f t="shared" si="264"/>
        <v/>
      </c>
      <c r="X4961" s="811" t="str">
        <f t="shared" si="263"/>
        <v/>
      </c>
      <c r="AJ4961" s="865"/>
    </row>
    <row r="4962" spans="13:36">
      <c r="M4962" s="811" t="str">
        <f t="shared" si="264"/>
        <v/>
      </c>
      <c r="X4962" s="811" t="str">
        <f t="shared" si="263"/>
        <v/>
      </c>
      <c r="AJ4962" s="865"/>
    </row>
    <row r="4963" spans="13:36">
      <c r="M4963" s="811" t="str">
        <f t="shared" si="264"/>
        <v/>
      </c>
      <c r="X4963" s="811" t="str">
        <f t="shared" si="263"/>
        <v/>
      </c>
      <c r="AJ4963" s="865"/>
    </row>
    <row r="4964" spans="13:36">
      <c r="M4964" s="811" t="str">
        <f t="shared" si="264"/>
        <v/>
      </c>
      <c r="X4964" s="811" t="str">
        <f t="shared" si="263"/>
        <v/>
      </c>
      <c r="AJ4964" s="865"/>
    </row>
    <row r="4965" spans="13:36">
      <c r="M4965" s="811" t="str">
        <f t="shared" si="264"/>
        <v/>
      </c>
      <c r="X4965" s="811" t="str">
        <f t="shared" si="263"/>
        <v/>
      </c>
      <c r="AJ4965" s="865"/>
    </row>
    <row r="4966" spans="13:36">
      <c r="M4966" s="811" t="str">
        <f t="shared" si="264"/>
        <v/>
      </c>
      <c r="X4966" s="811" t="str">
        <f t="shared" si="263"/>
        <v/>
      </c>
      <c r="AJ4966" s="865"/>
    </row>
    <row r="4967" spans="13:36">
      <c r="M4967" s="811" t="str">
        <f t="shared" si="264"/>
        <v/>
      </c>
      <c r="X4967" s="811" t="str">
        <f t="shared" si="263"/>
        <v/>
      </c>
      <c r="AJ4967" s="865"/>
    </row>
    <row r="4968" spans="13:36">
      <c r="M4968" s="811" t="str">
        <f t="shared" si="264"/>
        <v/>
      </c>
      <c r="X4968" s="811" t="str">
        <f t="shared" si="263"/>
        <v/>
      </c>
      <c r="AJ4968" s="865"/>
    </row>
    <row r="4969" spans="13:36">
      <c r="M4969" s="811" t="str">
        <f t="shared" si="264"/>
        <v/>
      </c>
      <c r="X4969" s="811" t="str">
        <f t="shared" si="263"/>
        <v/>
      </c>
      <c r="AJ4969" s="865"/>
    </row>
    <row r="4970" spans="13:36">
      <c r="M4970" s="811" t="str">
        <f t="shared" si="264"/>
        <v/>
      </c>
      <c r="X4970" s="811" t="str">
        <f t="shared" si="263"/>
        <v/>
      </c>
      <c r="AJ4970" s="865"/>
    </row>
    <row r="4971" spans="13:36">
      <c r="M4971" s="811" t="str">
        <f t="shared" si="264"/>
        <v/>
      </c>
      <c r="X4971" s="811" t="str">
        <f t="shared" si="263"/>
        <v/>
      </c>
      <c r="AJ4971" s="865"/>
    </row>
    <row r="4972" spans="13:36">
      <c r="M4972" s="811" t="str">
        <f t="shared" si="264"/>
        <v/>
      </c>
      <c r="X4972" s="811" t="str">
        <f t="shared" si="263"/>
        <v/>
      </c>
      <c r="AJ4972" s="865"/>
    </row>
    <row r="4973" spans="13:36">
      <c r="M4973" s="811" t="str">
        <f t="shared" si="264"/>
        <v/>
      </c>
      <c r="X4973" s="811" t="str">
        <f t="shared" si="263"/>
        <v/>
      </c>
      <c r="AJ4973" s="865"/>
    </row>
    <row r="4974" spans="13:36">
      <c r="M4974" s="811" t="str">
        <f t="shared" si="264"/>
        <v/>
      </c>
      <c r="X4974" s="811" t="str">
        <f t="shared" si="263"/>
        <v/>
      </c>
      <c r="AJ4974" s="865"/>
    </row>
    <row r="4975" spans="13:36">
      <c r="M4975" s="811" t="str">
        <f t="shared" si="264"/>
        <v/>
      </c>
      <c r="X4975" s="811" t="str">
        <f t="shared" si="263"/>
        <v/>
      </c>
      <c r="AJ4975" s="865"/>
    </row>
    <row r="4976" spans="13:36">
      <c r="M4976" s="811" t="str">
        <f t="shared" si="264"/>
        <v/>
      </c>
      <c r="X4976" s="811" t="str">
        <f t="shared" si="263"/>
        <v/>
      </c>
      <c r="AJ4976" s="865"/>
    </row>
    <row r="4977" spans="13:36">
      <c r="M4977" s="811" t="str">
        <f t="shared" si="264"/>
        <v/>
      </c>
      <c r="X4977" s="811" t="str">
        <f t="shared" si="263"/>
        <v/>
      </c>
      <c r="AJ4977" s="865"/>
    </row>
    <row r="4978" spans="13:36">
      <c r="M4978" s="811" t="str">
        <f t="shared" si="264"/>
        <v/>
      </c>
      <c r="X4978" s="811" t="str">
        <f t="shared" si="263"/>
        <v/>
      </c>
      <c r="AJ4978" s="865"/>
    </row>
    <row r="4979" spans="13:36">
      <c r="M4979" s="811" t="str">
        <f t="shared" si="264"/>
        <v/>
      </c>
      <c r="X4979" s="811" t="str">
        <f t="shared" ref="X4979:X5042" si="265">IF(ISBLANK(W4979)=TRUE,"",LOOKUP(W4979,GO:GP))</f>
        <v/>
      </c>
      <c r="AJ4979" s="865"/>
    </row>
    <row r="4980" spans="13:36">
      <c r="M4980" s="811" t="str">
        <f t="shared" si="264"/>
        <v/>
      </c>
      <c r="X4980" s="811" t="str">
        <f t="shared" si="265"/>
        <v/>
      </c>
      <c r="AJ4980" s="865"/>
    </row>
    <row r="4981" spans="13:36">
      <c r="M4981" s="811" t="str">
        <f t="shared" si="264"/>
        <v/>
      </c>
      <c r="X4981" s="811" t="str">
        <f t="shared" si="265"/>
        <v/>
      </c>
      <c r="AJ4981" s="865"/>
    </row>
    <row r="4982" spans="13:36">
      <c r="M4982" s="811" t="str">
        <f t="shared" si="264"/>
        <v/>
      </c>
      <c r="X4982" s="811" t="str">
        <f t="shared" si="265"/>
        <v/>
      </c>
      <c r="AJ4982" s="865"/>
    </row>
    <row r="4983" spans="13:36">
      <c r="M4983" s="811" t="str">
        <f t="shared" si="264"/>
        <v/>
      </c>
      <c r="X4983" s="811" t="str">
        <f t="shared" si="265"/>
        <v/>
      </c>
      <c r="AJ4983" s="865"/>
    </row>
    <row r="4984" spans="13:36">
      <c r="M4984" s="811" t="str">
        <f t="shared" si="264"/>
        <v/>
      </c>
      <c r="X4984" s="811" t="str">
        <f t="shared" si="265"/>
        <v/>
      </c>
      <c r="AJ4984" s="865"/>
    </row>
    <row r="4985" spans="13:36">
      <c r="M4985" s="811" t="str">
        <f t="shared" si="264"/>
        <v/>
      </c>
      <c r="X4985" s="811" t="str">
        <f t="shared" si="265"/>
        <v/>
      </c>
      <c r="AJ4985" s="865"/>
    </row>
    <row r="4986" spans="13:36">
      <c r="M4986" s="811" t="str">
        <f t="shared" si="264"/>
        <v/>
      </c>
      <c r="X4986" s="811" t="str">
        <f t="shared" si="265"/>
        <v/>
      </c>
      <c r="AJ4986" s="865"/>
    </row>
    <row r="4987" spans="13:36">
      <c r="M4987" s="811" t="str">
        <f t="shared" si="264"/>
        <v/>
      </c>
      <c r="X4987" s="811" t="str">
        <f t="shared" si="265"/>
        <v/>
      </c>
      <c r="AJ4987" s="865"/>
    </row>
    <row r="4988" spans="13:36">
      <c r="M4988" s="811" t="str">
        <f t="shared" si="264"/>
        <v/>
      </c>
      <c r="X4988" s="811" t="str">
        <f t="shared" si="265"/>
        <v/>
      </c>
      <c r="AJ4988" s="865"/>
    </row>
    <row r="4989" spans="13:36">
      <c r="M4989" s="811" t="str">
        <f t="shared" si="264"/>
        <v/>
      </c>
      <c r="X4989" s="811" t="str">
        <f t="shared" si="265"/>
        <v/>
      </c>
      <c r="AJ4989" s="865"/>
    </row>
    <row r="4990" spans="13:36">
      <c r="M4990" s="811" t="str">
        <f t="shared" si="264"/>
        <v/>
      </c>
      <c r="X4990" s="811" t="str">
        <f t="shared" si="265"/>
        <v/>
      </c>
      <c r="AJ4990" s="865"/>
    </row>
    <row r="4991" spans="13:36">
      <c r="M4991" s="811" t="str">
        <f t="shared" si="264"/>
        <v/>
      </c>
      <c r="X4991" s="811" t="str">
        <f t="shared" si="265"/>
        <v/>
      </c>
      <c r="AJ4991" s="865"/>
    </row>
    <row r="4992" spans="13:36">
      <c r="M4992" s="811" t="str">
        <f t="shared" si="264"/>
        <v/>
      </c>
      <c r="X4992" s="811" t="str">
        <f t="shared" si="265"/>
        <v/>
      </c>
      <c r="AJ4992" s="865"/>
    </row>
    <row r="4993" spans="13:36">
      <c r="M4993" s="811" t="str">
        <f t="shared" si="264"/>
        <v/>
      </c>
      <c r="X4993" s="811" t="str">
        <f t="shared" si="265"/>
        <v/>
      </c>
      <c r="AJ4993" s="865"/>
    </row>
    <row r="4994" spans="13:36">
      <c r="M4994" s="811" t="str">
        <f t="shared" si="264"/>
        <v/>
      </c>
      <c r="X4994" s="811" t="str">
        <f t="shared" si="265"/>
        <v/>
      </c>
      <c r="AJ4994" s="865"/>
    </row>
    <row r="4995" spans="13:36">
      <c r="M4995" s="811" t="str">
        <f t="shared" si="264"/>
        <v/>
      </c>
      <c r="X4995" s="811" t="str">
        <f t="shared" si="265"/>
        <v/>
      </c>
      <c r="AJ4995" s="865"/>
    </row>
    <row r="4996" spans="13:36">
      <c r="M4996" s="811" t="str">
        <f t="shared" si="264"/>
        <v/>
      </c>
      <c r="X4996" s="811" t="str">
        <f t="shared" si="265"/>
        <v/>
      </c>
      <c r="AJ4996" s="865"/>
    </row>
    <row r="4997" spans="13:36">
      <c r="M4997" s="811" t="str">
        <f t="shared" si="264"/>
        <v/>
      </c>
      <c r="X4997" s="811" t="str">
        <f t="shared" si="265"/>
        <v/>
      </c>
      <c r="AJ4997" s="865"/>
    </row>
    <row r="4998" spans="13:36">
      <c r="M4998" s="811" t="str">
        <f t="shared" si="264"/>
        <v/>
      </c>
      <c r="X4998" s="811" t="str">
        <f t="shared" si="265"/>
        <v/>
      </c>
      <c r="AJ4998" s="865"/>
    </row>
    <row r="4999" spans="13:36">
      <c r="M4999" s="811" t="str">
        <f t="shared" si="264"/>
        <v/>
      </c>
      <c r="X4999" s="811" t="str">
        <f t="shared" si="265"/>
        <v/>
      </c>
      <c r="AJ4999" s="865"/>
    </row>
    <row r="5000" spans="13:36">
      <c r="M5000" s="811" t="str">
        <f t="shared" si="264"/>
        <v/>
      </c>
      <c r="X5000" s="811" t="str">
        <f t="shared" si="265"/>
        <v/>
      </c>
      <c r="AJ5000" s="865"/>
    </row>
    <row r="5001" spans="13:36">
      <c r="M5001" s="811" t="str">
        <f t="shared" si="264"/>
        <v/>
      </c>
      <c r="X5001" s="811" t="str">
        <f t="shared" si="265"/>
        <v/>
      </c>
      <c r="AJ5001" s="865"/>
    </row>
    <row r="5002" spans="13:36">
      <c r="M5002" s="811" t="str">
        <f t="shared" si="264"/>
        <v/>
      </c>
      <c r="X5002" s="811" t="str">
        <f t="shared" si="265"/>
        <v/>
      </c>
      <c r="AJ5002" s="865"/>
    </row>
    <row r="5003" spans="13:36">
      <c r="M5003" s="811" t="str">
        <f t="shared" si="264"/>
        <v/>
      </c>
      <c r="X5003" s="811" t="str">
        <f t="shared" si="265"/>
        <v/>
      </c>
      <c r="AJ5003" s="865"/>
    </row>
    <row r="5004" spans="13:36">
      <c r="M5004" s="811" t="str">
        <f t="shared" ref="M5004:M5067" si="266">IF(ISBLANK(L5004)=TRUE,"",LOOKUP(L5004,GQ:GR))</f>
        <v/>
      </c>
      <c r="X5004" s="811" t="str">
        <f t="shared" si="265"/>
        <v/>
      </c>
      <c r="AJ5004" s="865"/>
    </row>
    <row r="5005" spans="13:36">
      <c r="M5005" s="811" t="str">
        <f t="shared" si="266"/>
        <v/>
      </c>
      <c r="X5005" s="811" t="str">
        <f t="shared" si="265"/>
        <v/>
      </c>
      <c r="AJ5005" s="865"/>
    </row>
    <row r="5006" spans="13:36">
      <c r="M5006" s="811" t="str">
        <f t="shared" si="266"/>
        <v/>
      </c>
      <c r="X5006" s="811" t="str">
        <f t="shared" si="265"/>
        <v/>
      </c>
      <c r="AJ5006" s="865"/>
    </row>
    <row r="5007" spans="13:36">
      <c r="M5007" s="811" t="str">
        <f t="shared" si="266"/>
        <v/>
      </c>
      <c r="X5007" s="811" t="str">
        <f t="shared" si="265"/>
        <v/>
      </c>
      <c r="AJ5007" s="865"/>
    </row>
    <row r="5008" spans="13:36">
      <c r="M5008" s="811" t="str">
        <f t="shared" si="266"/>
        <v/>
      </c>
      <c r="X5008" s="811" t="str">
        <f t="shared" si="265"/>
        <v/>
      </c>
      <c r="AJ5008" s="865"/>
    </row>
    <row r="5009" spans="13:36">
      <c r="M5009" s="811" t="str">
        <f t="shared" si="266"/>
        <v/>
      </c>
      <c r="X5009" s="811" t="str">
        <f t="shared" si="265"/>
        <v/>
      </c>
      <c r="AJ5009" s="865"/>
    </row>
    <row r="5010" spans="13:36">
      <c r="M5010" s="811" t="str">
        <f t="shared" si="266"/>
        <v/>
      </c>
      <c r="X5010" s="811" t="str">
        <f t="shared" si="265"/>
        <v/>
      </c>
      <c r="AJ5010" s="865"/>
    </row>
    <row r="5011" spans="13:36">
      <c r="M5011" s="811" t="str">
        <f t="shared" si="266"/>
        <v/>
      </c>
      <c r="X5011" s="811" t="str">
        <f t="shared" si="265"/>
        <v/>
      </c>
      <c r="AJ5011" s="865"/>
    </row>
    <row r="5012" spans="13:36">
      <c r="M5012" s="811" t="str">
        <f t="shared" si="266"/>
        <v/>
      </c>
      <c r="X5012" s="811" t="str">
        <f t="shared" si="265"/>
        <v/>
      </c>
      <c r="AJ5012" s="865"/>
    </row>
    <row r="5013" spans="13:36">
      <c r="M5013" s="811" t="str">
        <f t="shared" si="266"/>
        <v/>
      </c>
      <c r="X5013" s="811" t="str">
        <f t="shared" si="265"/>
        <v/>
      </c>
      <c r="AJ5013" s="865"/>
    </row>
    <row r="5014" spans="13:36">
      <c r="M5014" s="811" t="str">
        <f t="shared" si="266"/>
        <v/>
      </c>
      <c r="X5014" s="811" t="str">
        <f t="shared" si="265"/>
        <v/>
      </c>
      <c r="AJ5014" s="865"/>
    </row>
    <row r="5015" spans="13:36">
      <c r="M5015" s="811" t="str">
        <f t="shared" si="266"/>
        <v/>
      </c>
      <c r="X5015" s="811" t="str">
        <f t="shared" si="265"/>
        <v/>
      </c>
      <c r="AJ5015" s="865"/>
    </row>
    <row r="5016" spans="13:36">
      <c r="M5016" s="811" t="str">
        <f t="shared" si="266"/>
        <v/>
      </c>
      <c r="X5016" s="811" t="str">
        <f t="shared" si="265"/>
        <v/>
      </c>
      <c r="AJ5016" s="865"/>
    </row>
    <row r="5017" spans="13:36">
      <c r="M5017" s="811" t="str">
        <f t="shared" si="266"/>
        <v/>
      </c>
      <c r="X5017" s="811" t="str">
        <f t="shared" si="265"/>
        <v/>
      </c>
      <c r="AJ5017" s="865"/>
    </row>
    <row r="5018" spans="13:36">
      <c r="M5018" s="811" t="str">
        <f t="shared" si="266"/>
        <v/>
      </c>
      <c r="X5018" s="811" t="str">
        <f t="shared" si="265"/>
        <v/>
      </c>
      <c r="AJ5018" s="865"/>
    </row>
    <row r="5019" spans="13:36">
      <c r="M5019" s="811" t="str">
        <f t="shared" si="266"/>
        <v/>
      </c>
      <c r="X5019" s="811" t="str">
        <f t="shared" si="265"/>
        <v/>
      </c>
      <c r="AJ5019" s="865"/>
    </row>
    <row r="5020" spans="13:36">
      <c r="M5020" s="811" t="str">
        <f t="shared" si="266"/>
        <v/>
      </c>
      <c r="X5020" s="811" t="str">
        <f t="shared" si="265"/>
        <v/>
      </c>
      <c r="AJ5020" s="865"/>
    </row>
    <row r="5021" spans="13:36">
      <c r="M5021" s="811" t="str">
        <f t="shared" si="266"/>
        <v/>
      </c>
      <c r="X5021" s="811" t="str">
        <f t="shared" si="265"/>
        <v/>
      </c>
      <c r="AJ5021" s="865"/>
    </row>
    <row r="5022" spans="13:36">
      <c r="M5022" s="811" t="str">
        <f t="shared" si="266"/>
        <v/>
      </c>
      <c r="X5022" s="811" t="str">
        <f t="shared" si="265"/>
        <v/>
      </c>
      <c r="AJ5022" s="865"/>
    </row>
    <row r="5023" spans="13:36">
      <c r="M5023" s="811" t="str">
        <f t="shared" si="266"/>
        <v/>
      </c>
      <c r="X5023" s="811" t="str">
        <f t="shared" si="265"/>
        <v/>
      </c>
      <c r="AJ5023" s="865"/>
    </row>
    <row r="5024" spans="13:36">
      <c r="M5024" s="811" t="str">
        <f t="shared" si="266"/>
        <v/>
      </c>
      <c r="X5024" s="811" t="str">
        <f t="shared" si="265"/>
        <v/>
      </c>
      <c r="AJ5024" s="865"/>
    </row>
    <row r="5025" spans="13:36">
      <c r="M5025" s="811" t="str">
        <f t="shared" si="266"/>
        <v/>
      </c>
      <c r="X5025" s="811" t="str">
        <f t="shared" si="265"/>
        <v/>
      </c>
      <c r="AJ5025" s="865"/>
    </row>
    <row r="5026" spans="13:36">
      <c r="M5026" s="811" t="str">
        <f t="shared" si="266"/>
        <v/>
      </c>
      <c r="X5026" s="811" t="str">
        <f t="shared" si="265"/>
        <v/>
      </c>
      <c r="AJ5026" s="865"/>
    </row>
    <row r="5027" spans="13:36">
      <c r="M5027" s="811" t="str">
        <f t="shared" si="266"/>
        <v/>
      </c>
      <c r="X5027" s="811" t="str">
        <f t="shared" si="265"/>
        <v/>
      </c>
      <c r="AJ5027" s="865"/>
    </row>
    <row r="5028" spans="13:36">
      <c r="M5028" s="811" t="str">
        <f t="shared" si="266"/>
        <v/>
      </c>
      <c r="X5028" s="811" t="str">
        <f t="shared" si="265"/>
        <v/>
      </c>
      <c r="AJ5028" s="865"/>
    </row>
    <row r="5029" spans="13:36">
      <c r="M5029" s="811" t="str">
        <f t="shared" si="266"/>
        <v/>
      </c>
      <c r="X5029" s="811" t="str">
        <f t="shared" si="265"/>
        <v/>
      </c>
      <c r="AJ5029" s="865"/>
    </row>
    <row r="5030" spans="13:36">
      <c r="M5030" s="811" t="str">
        <f t="shared" si="266"/>
        <v/>
      </c>
      <c r="X5030" s="811" t="str">
        <f t="shared" si="265"/>
        <v/>
      </c>
      <c r="AJ5030" s="865"/>
    </row>
    <row r="5031" spans="13:36">
      <c r="M5031" s="811" t="str">
        <f t="shared" si="266"/>
        <v/>
      </c>
      <c r="X5031" s="811" t="str">
        <f t="shared" si="265"/>
        <v/>
      </c>
      <c r="AJ5031" s="865"/>
    </row>
    <row r="5032" spans="13:36">
      <c r="M5032" s="811" t="str">
        <f t="shared" si="266"/>
        <v/>
      </c>
      <c r="X5032" s="811" t="str">
        <f t="shared" si="265"/>
        <v/>
      </c>
      <c r="AJ5032" s="865"/>
    </row>
    <row r="5033" spans="13:36">
      <c r="M5033" s="811" t="str">
        <f t="shared" si="266"/>
        <v/>
      </c>
      <c r="X5033" s="811" t="str">
        <f t="shared" si="265"/>
        <v/>
      </c>
      <c r="AJ5033" s="865"/>
    </row>
    <row r="5034" spans="13:36">
      <c r="M5034" s="811" t="str">
        <f t="shared" si="266"/>
        <v/>
      </c>
      <c r="X5034" s="811" t="str">
        <f t="shared" si="265"/>
        <v/>
      </c>
      <c r="AJ5034" s="865"/>
    </row>
    <row r="5035" spans="13:36">
      <c r="M5035" s="811" t="str">
        <f t="shared" si="266"/>
        <v/>
      </c>
      <c r="X5035" s="811" t="str">
        <f t="shared" si="265"/>
        <v/>
      </c>
      <c r="AJ5035" s="865"/>
    </row>
    <row r="5036" spans="13:36">
      <c r="M5036" s="811" t="str">
        <f t="shared" si="266"/>
        <v/>
      </c>
      <c r="X5036" s="811" t="str">
        <f t="shared" si="265"/>
        <v/>
      </c>
      <c r="AJ5036" s="865"/>
    </row>
    <row r="5037" spans="13:36">
      <c r="M5037" s="811" t="str">
        <f t="shared" si="266"/>
        <v/>
      </c>
      <c r="X5037" s="811" t="str">
        <f t="shared" si="265"/>
        <v/>
      </c>
      <c r="AJ5037" s="865"/>
    </row>
    <row r="5038" spans="13:36">
      <c r="M5038" s="811" t="str">
        <f t="shared" si="266"/>
        <v/>
      </c>
      <c r="X5038" s="811" t="str">
        <f t="shared" si="265"/>
        <v/>
      </c>
      <c r="AJ5038" s="865"/>
    </row>
    <row r="5039" spans="13:36">
      <c r="M5039" s="811" t="str">
        <f t="shared" si="266"/>
        <v/>
      </c>
      <c r="X5039" s="811" t="str">
        <f t="shared" si="265"/>
        <v/>
      </c>
      <c r="AJ5039" s="865"/>
    </row>
    <row r="5040" spans="13:36">
      <c r="M5040" s="811" t="str">
        <f t="shared" si="266"/>
        <v/>
      </c>
      <c r="X5040" s="811" t="str">
        <f t="shared" si="265"/>
        <v/>
      </c>
      <c r="AJ5040" s="865"/>
    </row>
    <row r="5041" spans="13:36">
      <c r="M5041" s="811" t="str">
        <f t="shared" si="266"/>
        <v/>
      </c>
      <c r="X5041" s="811" t="str">
        <f t="shared" si="265"/>
        <v/>
      </c>
      <c r="AJ5041" s="865"/>
    </row>
    <row r="5042" spans="13:36">
      <c r="M5042" s="811" t="str">
        <f t="shared" si="266"/>
        <v/>
      </c>
      <c r="X5042" s="811" t="str">
        <f t="shared" si="265"/>
        <v/>
      </c>
      <c r="AJ5042" s="865"/>
    </row>
    <row r="5043" spans="13:36">
      <c r="M5043" s="811" t="str">
        <f t="shared" si="266"/>
        <v/>
      </c>
      <c r="X5043" s="811" t="str">
        <f t="shared" ref="X5043:X5087" si="267">IF(ISBLANK(W5043)=TRUE,"",LOOKUP(W5043,GO:GP))</f>
        <v/>
      </c>
      <c r="AJ5043" s="865"/>
    </row>
    <row r="5044" spans="13:36">
      <c r="M5044" s="811" t="str">
        <f t="shared" si="266"/>
        <v/>
      </c>
      <c r="X5044" s="811" t="str">
        <f t="shared" si="267"/>
        <v/>
      </c>
      <c r="AJ5044" s="865"/>
    </row>
    <row r="5045" spans="13:36">
      <c r="M5045" s="811" t="str">
        <f t="shared" si="266"/>
        <v/>
      </c>
      <c r="X5045" s="811" t="str">
        <f t="shared" si="267"/>
        <v/>
      </c>
      <c r="AJ5045" s="865"/>
    </row>
    <row r="5046" spans="13:36">
      <c r="M5046" s="811" t="str">
        <f t="shared" si="266"/>
        <v/>
      </c>
      <c r="X5046" s="811" t="str">
        <f t="shared" si="267"/>
        <v/>
      </c>
      <c r="AJ5046" s="865"/>
    </row>
    <row r="5047" spans="13:36">
      <c r="M5047" s="811" t="str">
        <f t="shared" si="266"/>
        <v/>
      </c>
      <c r="X5047" s="811" t="str">
        <f t="shared" si="267"/>
        <v/>
      </c>
      <c r="AJ5047" s="865"/>
    </row>
    <row r="5048" spans="13:36">
      <c r="M5048" s="811" t="str">
        <f t="shared" si="266"/>
        <v/>
      </c>
      <c r="X5048" s="811" t="str">
        <f t="shared" si="267"/>
        <v/>
      </c>
      <c r="AJ5048" s="865"/>
    </row>
    <row r="5049" spans="13:36">
      <c r="M5049" s="811" t="str">
        <f t="shared" si="266"/>
        <v/>
      </c>
      <c r="X5049" s="811" t="str">
        <f t="shared" si="267"/>
        <v/>
      </c>
      <c r="AJ5049" s="865"/>
    </row>
    <row r="5050" spans="13:36">
      <c r="M5050" s="811" t="str">
        <f t="shared" si="266"/>
        <v/>
      </c>
      <c r="X5050" s="811" t="str">
        <f t="shared" si="267"/>
        <v/>
      </c>
      <c r="AJ5050" s="865"/>
    </row>
    <row r="5051" spans="13:36">
      <c r="M5051" s="811" t="str">
        <f t="shared" si="266"/>
        <v/>
      </c>
      <c r="X5051" s="811" t="str">
        <f t="shared" si="267"/>
        <v/>
      </c>
      <c r="AJ5051" s="865"/>
    </row>
    <row r="5052" spans="13:36">
      <c r="M5052" s="811" t="str">
        <f t="shared" si="266"/>
        <v/>
      </c>
      <c r="X5052" s="811" t="str">
        <f t="shared" si="267"/>
        <v/>
      </c>
      <c r="AJ5052" s="865"/>
    </row>
    <row r="5053" spans="13:36">
      <c r="M5053" s="811" t="str">
        <f t="shared" si="266"/>
        <v/>
      </c>
      <c r="X5053" s="811" t="str">
        <f t="shared" si="267"/>
        <v/>
      </c>
      <c r="AJ5053" s="865"/>
    </row>
    <row r="5054" spans="13:36">
      <c r="M5054" s="811" t="str">
        <f t="shared" si="266"/>
        <v/>
      </c>
      <c r="X5054" s="811" t="str">
        <f t="shared" si="267"/>
        <v/>
      </c>
      <c r="AJ5054" s="865"/>
    </row>
    <row r="5055" spans="13:36">
      <c r="M5055" s="811" t="str">
        <f t="shared" si="266"/>
        <v/>
      </c>
      <c r="X5055" s="811" t="str">
        <f t="shared" si="267"/>
        <v/>
      </c>
      <c r="AJ5055" s="865"/>
    </row>
    <row r="5056" spans="13:36">
      <c r="M5056" s="811" t="str">
        <f t="shared" si="266"/>
        <v/>
      </c>
      <c r="X5056" s="811" t="str">
        <f t="shared" si="267"/>
        <v/>
      </c>
      <c r="AJ5056" s="865"/>
    </row>
    <row r="5057" spans="13:36">
      <c r="M5057" s="811" t="str">
        <f t="shared" si="266"/>
        <v/>
      </c>
      <c r="X5057" s="811" t="str">
        <f t="shared" si="267"/>
        <v/>
      </c>
      <c r="AJ5057" s="865"/>
    </row>
    <row r="5058" spans="13:36">
      <c r="M5058" s="811" t="str">
        <f t="shared" si="266"/>
        <v/>
      </c>
      <c r="X5058" s="811" t="str">
        <f t="shared" si="267"/>
        <v/>
      </c>
      <c r="AJ5058" s="865"/>
    </row>
    <row r="5059" spans="13:36">
      <c r="M5059" s="811" t="str">
        <f t="shared" si="266"/>
        <v/>
      </c>
      <c r="X5059" s="811" t="str">
        <f t="shared" si="267"/>
        <v/>
      </c>
      <c r="AJ5059" s="865"/>
    </row>
    <row r="5060" spans="13:36">
      <c r="M5060" s="811" t="str">
        <f t="shared" si="266"/>
        <v/>
      </c>
      <c r="X5060" s="811" t="str">
        <f t="shared" si="267"/>
        <v/>
      </c>
      <c r="AJ5060" s="865"/>
    </row>
    <row r="5061" spans="13:36">
      <c r="M5061" s="811" t="str">
        <f t="shared" si="266"/>
        <v/>
      </c>
      <c r="X5061" s="811" t="str">
        <f t="shared" si="267"/>
        <v/>
      </c>
      <c r="AJ5061" s="865"/>
    </row>
    <row r="5062" spans="13:36">
      <c r="M5062" s="811" t="str">
        <f t="shared" si="266"/>
        <v/>
      </c>
      <c r="X5062" s="811" t="str">
        <f t="shared" si="267"/>
        <v/>
      </c>
      <c r="AJ5062" s="865"/>
    </row>
    <row r="5063" spans="13:36">
      <c r="M5063" s="811" t="str">
        <f t="shared" si="266"/>
        <v/>
      </c>
      <c r="X5063" s="811" t="str">
        <f t="shared" si="267"/>
        <v/>
      </c>
      <c r="AJ5063" s="865"/>
    </row>
    <row r="5064" spans="13:36">
      <c r="M5064" s="811" t="str">
        <f t="shared" si="266"/>
        <v/>
      </c>
      <c r="X5064" s="811" t="str">
        <f t="shared" si="267"/>
        <v/>
      </c>
      <c r="AJ5064" s="865"/>
    </row>
    <row r="5065" spans="13:36">
      <c r="M5065" s="811" t="str">
        <f t="shared" si="266"/>
        <v/>
      </c>
      <c r="X5065" s="811" t="str">
        <f t="shared" si="267"/>
        <v/>
      </c>
      <c r="AJ5065" s="865"/>
    </row>
    <row r="5066" spans="13:36">
      <c r="M5066" s="811" t="str">
        <f t="shared" si="266"/>
        <v/>
      </c>
      <c r="X5066" s="811" t="str">
        <f t="shared" si="267"/>
        <v/>
      </c>
      <c r="AJ5066" s="865"/>
    </row>
    <row r="5067" spans="13:36">
      <c r="M5067" s="811" t="str">
        <f t="shared" si="266"/>
        <v/>
      </c>
      <c r="X5067" s="811" t="str">
        <f t="shared" si="267"/>
        <v/>
      </c>
      <c r="AJ5067" s="865"/>
    </row>
    <row r="5068" spans="13:36">
      <c r="M5068" s="811" t="str">
        <f t="shared" ref="M5068:M5089" si="268">IF(ISBLANK(L5068)=TRUE,"",LOOKUP(L5068,GQ:GR))</f>
        <v/>
      </c>
      <c r="X5068" s="811" t="str">
        <f t="shared" si="267"/>
        <v/>
      </c>
      <c r="AJ5068" s="865"/>
    </row>
    <row r="5069" spans="13:36">
      <c r="M5069" s="811" t="str">
        <f t="shared" si="268"/>
        <v/>
      </c>
      <c r="X5069" s="811" t="str">
        <f t="shared" si="267"/>
        <v/>
      </c>
      <c r="AJ5069" s="865"/>
    </row>
    <row r="5070" spans="13:36">
      <c r="M5070" s="811" t="str">
        <f t="shared" si="268"/>
        <v/>
      </c>
      <c r="X5070" s="811" t="str">
        <f t="shared" si="267"/>
        <v/>
      </c>
      <c r="AJ5070" s="865"/>
    </row>
    <row r="5071" spans="13:36">
      <c r="M5071" s="811" t="str">
        <f t="shared" si="268"/>
        <v/>
      </c>
      <c r="X5071" s="811" t="str">
        <f t="shared" si="267"/>
        <v/>
      </c>
      <c r="AJ5071" s="865"/>
    </row>
    <row r="5072" spans="13:36">
      <c r="M5072" s="811" t="str">
        <f t="shared" si="268"/>
        <v/>
      </c>
      <c r="X5072" s="811" t="str">
        <f t="shared" si="267"/>
        <v/>
      </c>
      <c r="AJ5072" s="865"/>
    </row>
    <row r="5073" spans="13:117">
      <c r="M5073" s="811" t="str">
        <f t="shared" si="268"/>
        <v/>
      </c>
      <c r="X5073" s="811" t="str">
        <f t="shared" si="267"/>
        <v/>
      </c>
      <c r="AJ5073" s="865"/>
    </row>
    <row r="5074" spans="13:117">
      <c r="M5074" s="811" t="str">
        <f t="shared" si="268"/>
        <v/>
      </c>
      <c r="X5074" s="811" t="str">
        <f t="shared" si="267"/>
        <v/>
      </c>
      <c r="AJ5074" s="865"/>
    </row>
    <row r="5075" spans="13:117">
      <c r="M5075" s="811" t="str">
        <f t="shared" si="268"/>
        <v/>
      </c>
      <c r="X5075" s="811" t="str">
        <f t="shared" si="267"/>
        <v/>
      </c>
      <c r="AJ5075" s="865"/>
    </row>
    <row r="5076" spans="13:117">
      <c r="M5076" s="811" t="str">
        <f t="shared" si="268"/>
        <v/>
      </c>
      <c r="X5076" s="811" t="str">
        <f t="shared" si="267"/>
        <v/>
      </c>
      <c r="AJ5076" s="865"/>
    </row>
    <row r="5077" spans="13:117">
      <c r="M5077" s="811" t="str">
        <f t="shared" si="268"/>
        <v/>
      </c>
      <c r="X5077" s="811" t="str">
        <f t="shared" si="267"/>
        <v/>
      </c>
      <c r="AJ5077" s="865"/>
    </row>
    <row r="5078" spans="13:117">
      <c r="M5078" s="811" t="str">
        <f t="shared" si="268"/>
        <v/>
      </c>
      <c r="X5078" s="811" t="str">
        <f t="shared" si="267"/>
        <v/>
      </c>
      <c r="AJ5078" s="865"/>
    </row>
    <row r="5079" spans="13:117">
      <c r="M5079" s="811" t="str">
        <f t="shared" si="268"/>
        <v/>
      </c>
      <c r="X5079" s="811" t="str">
        <f t="shared" si="267"/>
        <v/>
      </c>
      <c r="AJ5079" s="865"/>
    </row>
    <row r="5080" spans="13:117">
      <c r="M5080" s="811" t="str">
        <f t="shared" si="268"/>
        <v/>
      </c>
      <c r="X5080" s="811" t="str">
        <f t="shared" si="267"/>
        <v/>
      </c>
      <c r="AJ5080" s="865"/>
    </row>
    <row r="5081" spans="13:117">
      <c r="M5081" s="811" t="str">
        <f t="shared" si="268"/>
        <v/>
      </c>
      <c r="X5081" s="811" t="str">
        <f t="shared" si="267"/>
        <v/>
      </c>
      <c r="AJ5081" s="865"/>
    </row>
    <row r="5082" spans="13:117">
      <c r="M5082" s="811" t="str">
        <f t="shared" si="268"/>
        <v/>
      </c>
      <c r="X5082" s="811" t="str">
        <f t="shared" si="267"/>
        <v/>
      </c>
      <c r="AJ5082" s="865"/>
    </row>
    <row r="5083" spans="13:117">
      <c r="M5083" s="811" t="str">
        <f t="shared" si="268"/>
        <v/>
      </c>
      <c r="X5083" s="811" t="str">
        <f t="shared" si="267"/>
        <v/>
      </c>
      <c r="AJ5083" s="865"/>
    </row>
    <row r="5084" spans="13:117">
      <c r="M5084" s="811" t="str">
        <f t="shared" si="268"/>
        <v/>
      </c>
      <c r="X5084" s="811" t="str">
        <f t="shared" si="267"/>
        <v/>
      </c>
      <c r="AJ5084" s="865"/>
    </row>
    <row r="5085" spans="13:117">
      <c r="M5085" s="811" t="str">
        <f t="shared" si="268"/>
        <v/>
      </c>
      <c r="X5085" s="811" t="str">
        <f t="shared" si="267"/>
        <v/>
      </c>
      <c r="AJ5085" s="865"/>
    </row>
    <row r="5086" spans="13:117">
      <c r="M5086" s="811" t="str">
        <f t="shared" si="268"/>
        <v/>
      </c>
      <c r="X5086" s="811" t="str">
        <f t="shared" si="267"/>
        <v/>
      </c>
      <c r="AJ5086" s="865"/>
    </row>
    <row r="5087" spans="13:117">
      <c r="M5087" s="811" t="str">
        <f t="shared" si="268"/>
        <v/>
      </c>
      <c r="X5087" s="811" t="str">
        <f t="shared" si="267"/>
        <v/>
      </c>
      <c r="AJ5087" s="865"/>
    </row>
    <row r="5088" spans="13:117">
      <c r="M5088" s="811" t="str">
        <f t="shared" si="268"/>
        <v/>
      </c>
      <c r="AQ5088" s="807">
        <f t="shared" ref="AQ5088:BV5088" si="269">COUNTA(AQ520:AQ601)</f>
        <v>2</v>
      </c>
      <c r="AR5088" s="807">
        <f t="shared" si="269"/>
        <v>5</v>
      </c>
      <c r="AS5088" s="807">
        <f t="shared" si="269"/>
        <v>1</v>
      </c>
      <c r="AT5088" s="807">
        <f t="shared" si="269"/>
        <v>1</v>
      </c>
      <c r="AU5088" s="807">
        <f t="shared" si="269"/>
        <v>0</v>
      </c>
      <c r="AV5088" s="807">
        <f t="shared" si="269"/>
        <v>0</v>
      </c>
      <c r="AW5088" s="807">
        <f t="shared" si="269"/>
        <v>1</v>
      </c>
      <c r="AX5088" s="807">
        <f t="shared" si="269"/>
        <v>0</v>
      </c>
      <c r="AY5088" s="807">
        <f t="shared" si="269"/>
        <v>1</v>
      </c>
      <c r="AZ5088" s="807">
        <f t="shared" si="269"/>
        <v>0</v>
      </c>
      <c r="BA5088" s="807">
        <f t="shared" si="269"/>
        <v>2</v>
      </c>
      <c r="BB5088" s="807">
        <f t="shared" si="269"/>
        <v>1</v>
      </c>
      <c r="BC5088" s="807">
        <f t="shared" si="269"/>
        <v>0</v>
      </c>
      <c r="BD5088" s="807">
        <f t="shared" si="269"/>
        <v>3</v>
      </c>
      <c r="BE5088" s="807">
        <f t="shared" si="269"/>
        <v>0</v>
      </c>
      <c r="BF5088" s="807">
        <f t="shared" si="269"/>
        <v>1</v>
      </c>
      <c r="BG5088" s="807">
        <f t="shared" si="269"/>
        <v>0</v>
      </c>
      <c r="BH5088" s="807">
        <f t="shared" si="269"/>
        <v>0</v>
      </c>
      <c r="BI5088" s="807">
        <f t="shared" si="269"/>
        <v>0</v>
      </c>
      <c r="BJ5088" s="807">
        <f t="shared" si="269"/>
        <v>0</v>
      </c>
      <c r="BK5088" s="807">
        <f t="shared" si="269"/>
        <v>0</v>
      </c>
      <c r="BL5088" s="807">
        <f t="shared" si="269"/>
        <v>0</v>
      </c>
      <c r="BM5088" s="807">
        <f t="shared" si="269"/>
        <v>2</v>
      </c>
      <c r="BN5088" s="807">
        <f t="shared" si="269"/>
        <v>0</v>
      </c>
      <c r="BO5088" s="807">
        <f t="shared" si="269"/>
        <v>0</v>
      </c>
      <c r="BP5088" s="807">
        <f t="shared" si="269"/>
        <v>0</v>
      </c>
      <c r="BQ5088" s="807">
        <f t="shared" si="269"/>
        <v>0</v>
      </c>
      <c r="BR5088" s="807">
        <f t="shared" si="269"/>
        <v>0</v>
      </c>
      <c r="BS5088" s="807">
        <f t="shared" si="269"/>
        <v>0</v>
      </c>
      <c r="BT5088" s="807">
        <f t="shared" si="269"/>
        <v>0</v>
      </c>
      <c r="BU5088" s="807">
        <f t="shared" si="269"/>
        <v>0</v>
      </c>
      <c r="BV5088" s="807">
        <f t="shared" si="269"/>
        <v>3</v>
      </c>
      <c r="BW5088" s="807">
        <f t="shared" ref="BW5088:DB5088" si="270">COUNTA(BW520:BW601)</f>
        <v>0</v>
      </c>
      <c r="BX5088" s="807">
        <f t="shared" si="270"/>
        <v>2</v>
      </c>
      <c r="BY5088" s="807">
        <f t="shared" si="270"/>
        <v>0</v>
      </c>
      <c r="BZ5088" s="807">
        <f t="shared" si="270"/>
        <v>0</v>
      </c>
      <c r="CA5088" s="807">
        <f t="shared" si="270"/>
        <v>0</v>
      </c>
      <c r="CB5088" s="807">
        <f t="shared" si="270"/>
        <v>1</v>
      </c>
      <c r="CC5088" s="807">
        <f t="shared" si="270"/>
        <v>0</v>
      </c>
      <c r="CD5088" s="807">
        <f t="shared" si="270"/>
        <v>0</v>
      </c>
      <c r="CE5088" s="807">
        <f t="shared" si="270"/>
        <v>0</v>
      </c>
      <c r="CF5088" s="807">
        <f t="shared" si="270"/>
        <v>3</v>
      </c>
      <c r="CG5088" s="807">
        <f t="shared" si="270"/>
        <v>0</v>
      </c>
      <c r="CH5088" s="807">
        <f t="shared" si="270"/>
        <v>0</v>
      </c>
      <c r="CI5088" s="807">
        <f t="shared" si="270"/>
        <v>0</v>
      </c>
      <c r="CJ5088" s="807">
        <f t="shared" si="270"/>
        <v>1</v>
      </c>
      <c r="CK5088" s="807">
        <f t="shared" si="270"/>
        <v>0</v>
      </c>
      <c r="CL5088" s="807">
        <f t="shared" si="270"/>
        <v>0</v>
      </c>
      <c r="CM5088" s="807">
        <f t="shared" si="270"/>
        <v>0</v>
      </c>
      <c r="CN5088" s="807">
        <f t="shared" si="270"/>
        <v>0</v>
      </c>
      <c r="CO5088" s="807">
        <f t="shared" si="270"/>
        <v>0</v>
      </c>
      <c r="CP5088" s="807">
        <f t="shared" si="270"/>
        <v>0</v>
      </c>
      <c r="CQ5088" s="807">
        <f t="shared" si="270"/>
        <v>0</v>
      </c>
      <c r="CR5088" s="807">
        <f t="shared" si="270"/>
        <v>1</v>
      </c>
      <c r="CS5088" s="807">
        <f t="shared" si="270"/>
        <v>5</v>
      </c>
      <c r="CT5088" s="807">
        <f t="shared" si="270"/>
        <v>4</v>
      </c>
      <c r="CU5088" s="807">
        <f t="shared" si="270"/>
        <v>1</v>
      </c>
      <c r="CV5088" s="807">
        <f t="shared" si="270"/>
        <v>0</v>
      </c>
      <c r="CW5088" s="807">
        <f t="shared" si="270"/>
        <v>1</v>
      </c>
      <c r="CX5088" s="807">
        <f t="shared" si="270"/>
        <v>0</v>
      </c>
      <c r="CY5088" s="807">
        <f t="shared" si="270"/>
        <v>0</v>
      </c>
      <c r="CZ5088" s="807">
        <f t="shared" si="270"/>
        <v>0</v>
      </c>
      <c r="DA5088" s="807">
        <f t="shared" si="270"/>
        <v>1</v>
      </c>
      <c r="DB5088" s="807">
        <f t="shared" si="270"/>
        <v>0</v>
      </c>
      <c r="DC5088" s="807">
        <f t="shared" ref="DC5088:DM5088" si="271">COUNTA(DC520:DC601)</f>
        <v>0</v>
      </c>
      <c r="DD5088" s="807">
        <f t="shared" si="271"/>
        <v>0</v>
      </c>
      <c r="DE5088" s="807">
        <f t="shared" si="271"/>
        <v>0</v>
      </c>
      <c r="DF5088" s="807">
        <f t="shared" si="271"/>
        <v>0</v>
      </c>
      <c r="DG5088" s="807">
        <f t="shared" si="271"/>
        <v>1</v>
      </c>
      <c r="DH5088" s="807">
        <f t="shared" si="271"/>
        <v>1</v>
      </c>
      <c r="DI5088" s="807">
        <f t="shared" si="271"/>
        <v>0</v>
      </c>
      <c r="DJ5088" s="807">
        <f t="shared" si="271"/>
        <v>0</v>
      </c>
      <c r="DK5088" s="807">
        <f t="shared" si="271"/>
        <v>0</v>
      </c>
      <c r="DL5088" s="807">
        <f t="shared" si="271"/>
        <v>0</v>
      </c>
      <c r="DM5088" s="807">
        <f t="shared" si="271"/>
        <v>0</v>
      </c>
    </row>
    <row r="5089" spans="13:117">
      <c r="M5089" s="811" t="str">
        <f t="shared" si="268"/>
        <v/>
      </c>
      <c r="AQ5089" s="807" t="s">
        <v>2197</v>
      </c>
      <c r="AR5089" s="807" t="s">
        <v>2198</v>
      </c>
      <c r="AS5089" s="807" t="s">
        <v>8171</v>
      </c>
      <c r="AT5089" s="807" t="s">
        <v>8172</v>
      </c>
      <c r="AU5089" s="807" t="s">
        <v>8173</v>
      </c>
      <c r="AV5089" s="807" t="s">
        <v>8174</v>
      </c>
      <c r="AW5089" s="807" t="s">
        <v>8175</v>
      </c>
      <c r="AX5089" s="807" t="s">
        <v>8176</v>
      </c>
      <c r="AY5089" s="807" t="s">
        <v>8177</v>
      </c>
      <c r="AZ5089" s="807" t="s">
        <v>8178</v>
      </c>
      <c r="BA5089" s="807" t="s">
        <v>8179</v>
      </c>
      <c r="BB5089" s="807" t="s">
        <v>8180</v>
      </c>
      <c r="BC5089" s="93" t="s">
        <v>8181</v>
      </c>
      <c r="BD5089" s="93" t="s">
        <v>8182</v>
      </c>
      <c r="BE5089" s="93" t="s">
        <v>8183</v>
      </c>
      <c r="BF5089" s="93" t="s">
        <v>2199</v>
      </c>
      <c r="BG5089" s="93" t="s">
        <v>8184</v>
      </c>
      <c r="BH5089" s="93" t="s">
        <v>8185</v>
      </c>
      <c r="BI5089" s="93" t="s">
        <v>8186</v>
      </c>
      <c r="BJ5089" s="93" t="s">
        <v>2200</v>
      </c>
      <c r="BK5089" s="93" t="s">
        <v>8187</v>
      </c>
      <c r="BL5089" s="807" t="s">
        <v>8188</v>
      </c>
      <c r="BM5089" s="807" t="s">
        <v>8189</v>
      </c>
      <c r="BN5089" s="93" t="s">
        <v>8190</v>
      </c>
      <c r="BO5089" s="807" t="s">
        <v>2201</v>
      </c>
      <c r="BP5089" s="807" t="s">
        <v>8191</v>
      </c>
      <c r="BQ5089" s="807" t="s">
        <v>2202</v>
      </c>
      <c r="BR5089" s="807" t="s">
        <v>8192</v>
      </c>
      <c r="BS5089" s="807" t="s">
        <v>8193</v>
      </c>
      <c r="BT5089" s="807" t="s">
        <v>704</v>
      </c>
      <c r="BU5089" s="807" t="s">
        <v>3493</v>
      </c>
      <c r="BV5089" s="807" t="s">
        <v>8194</v>
      </c>
      <c r="BW5089" s="807" t="s">
        <v>2203</v>
      </c>
      <c r="BX5089" s="807" t="s">
        <v>8195</v>
      </c>
      <c r="BY5089" s="807" t="s">
        <v>2204</v>
      </c>
      <c r="BZ5089" s="807" t="s">
        <v>8196</v>
      </c>
      <c r="CA5089" s="807" t="s">
        <v>8197</v>
      </c>
      <c r="CB5089" s="807" t="s">
        <v>8198</v>
      </c>
      <c r="CC5089" s="807" t="s">
        <v>8199</v>
      </c>
      <c r="CD5089" s="93" t="s">
        <v>8200</v>
      </c>
      <c r="CE5089" s="93" t="s">
        <v>8201</v>
      </c>
      <c r="CF5089" s="807" t="s">
        <v>8202</v>
      </c>
      <c r="CG5089" s="807" t="s">
        <v>8203</v>
      </c>
      <c r="CH5089" s="807" t="s">
        <v>8204</v>
      </c>
      <c r="CI5089" s="807" t="s">
        <v>8184</v>
      </c>
      <c r="CJ5089" s="807" t="s">
        <v>8205</v>
      </c>
      <c r="CK5089" s="807" t="s">
        <v>8206</v>
      </c>
      <c r="CL5089" s="807" t="s">
        <v>8207</v>
      </c>
      <c r="CM5089" s="807" t="s">
        <v>8208</v>
      </c>
      <c r="CN5089" s="807" t="s">
        <v>8209</v>
      </c>
      <c r="CO5089" s="807" t="s">
        <v>8210</v>
      </c>
      <c r="CP5089" s="807" t="s">
        <v>8211</v>
      </c>
      <c r="CQ5089" s="807" t="s">
        <v>2206</v>
      </c>
      <c r="CR5089" s="807" t="s">
        <v>8212</v>
      </c>
      <c r="CS5089" s="807" t="s">
        <v>1998</v>
      </c>
      <c r="CT5089" s="807" t="s">
        <v>2207</v>
      </c>
      <c r="CU5089" s="807" t="s">
        <v>8213</v>
      </c>
      <c r="CV5089" s="807" t="s">
        <v>8214</v>
      </c>
      <c r="CW5089" s="807" t="s">
        <v>8215</v>
      </c>
      <c r="CX5089" s="807" t="s">
        <v>8216</v>
      </c>
      <c r="CY5089" s="807" t="s">
        <v>8217</v>
      </c>
      <c r="CZ5089" s="807" t="s">
        <v>8218</v>
      </c>
      <c r="DA5089" s="807" t="s">
        <v>8219</v>
      </c>
      <c r="DB5089" s="807" t="s">
        <v>8220</v>
      </c>
      <c r="DC5089" s="807" t="s">
        <v>8221</v>
      </c>
      <c r="DD5089" s="807" t="s">
        <v>2208</v>
      </c>
      <c r="DE5089" s="807" t="s">
        <v>2197</v>
      </c>
      <c r="DF5089" s="807" t="s">
        <v>8222</v>
      </c>
      <c r="DG5089" s="807" t="s">
        <v>1878</v>
      </c>
      <c r="DH5089" s="807" t="s">
        <v>8223</v>
      </c>
      <c r="DI5089" s="807" t="s">
        <v>8224</v>
      </c>
      <c r="DJ5089" s="807" t="s">
        <v>1882</v>
      </c>
      <c r="DK5089" s="807" t="s">
        <v>8225</v>
      </c>
      <c r="DL5089" s="807" t="s">
        <v>8226</v>
      </c>
      <c r="DM5089" s="807" t="s">
        <v>8227</v>
      </c>
    </row>
    <row r="5090" spans="13:117">
      <c r="M5090" s="811"/>
    </row>
    <row r="5091" spans="13:117">
      <c r="M5091" s="811"/>
    </row>
    <row r="5092" spans="13:117">
      <c r="M5092" s="811"/>
    </row>
    <row r="5093" spans="13:117">
      <c r="M5093" s="811"/>
    </row>
    <row r="5094" spans="13:117">
      <c r="M5094" s="811"/>
    </row>
    <row r="5095" spans="13:117">
      <c r="M5095" s="811"/>
    </row>
    <row r="5096" spans="13:117">
      <c r="M5096" s="811"/>
    </row>
    <row r="5097" spans="13:117">
      <c r="M5097" s="811"/>
    </row>
    <row r="5098" spans="13:117">
      <c r="M5098" s="811"/>
    </row>
    <row r="5099" spans="13:117">
      <c r="M5099" s="811"/>
    </row>
    <row r="5100" spans="13:117">
      <c r="M5100" s="811"/>
    </row>
    <row r="5101" spans="13:117">
      <c r="M5101" s="811"/>
    </row>
    <row r="5102" spans="13:117">
      <c r="M5102" s="811"/>
    </row>
    <row r="5103" spans="13:117">
      <c r="M5103" s="811"/>
    </row>
    <row r="5104" spans="13:117">
      <c r="M5104" s="811"/>
    </row>
    <row r="5105" spans="13:13">
      <c r="M5105" s="811"/>
    </row>
    <row r="5106" spans="13:13">
      <c r="M5106" s="811"/>
    </row>
    <row r="5107" spans="13:13">
      <c r="M5107" s="811"/>
    </row>
    <row r="5108" spans="13:13">
      <c r="M5108" s="811"/>
    </row>
    <row r="5109" spans="13:13">
      <c r="M5109" s="811"/>
    </row>
    <row r="5110" spans="13:13">
      <c r="M5110" s="811"/>
    </row>
    <row r="5111" spans="13:13">
      <c r="M5111" s="811"/>
    </row>
    <row r="5112" spans="13:13">
      <c r="M5112" s="811"/>
    </row>
    <row r="5113" spans="13:13">
      <c r="M5113" s="811"/>
    </row>
    <row r="5114" spans="13:13">
      <c r="M5114" s="811"/>
    </row>
    <row r="5115" spans="13:13">
      <c r="M5115" s="811"/>
    </row>
    <row r="5116" spans="13:13">
      <c r="M5116" s="811"/>
    </row>
    <row r="5117" spans="13:13">
      <c r="M5117" s="811"/>
    </row>
    <row r="5118" spans="13:13">
      <c r="M5118" s="811"/>
    </row>
    <row r="5119" spans="13:13">
      <c r="M5119" s="811"/>
    </row>
    <row r="5120" spans="13:13">
      <c r="M5120" s="811"/>
    </row>
    <row r="5121" spans="13:13">
      <c r="M5121" s="811"/>
    </row>
    <row r="5122" spans="13:13">
      <c r="M5122" s="811"/>
    </row>
    <row r="5123" spans="13:13">
      <c r="M5123" s="811"/>
    </row>
    <row r="5124" spans="13:13">
      <c r="M5124" s="811"/>
    </row>
    <row r="5125" spans="13:13">
      <c r="M5125" s="811"/>
    </row>
    <row r="5126" spans="13:13">
      <c r="M5126" s="811"/>
    </row>
    <row r="5127" spans="13:13">
      <c r="M5127" s="811"/>
    </row>
    <row r="5128" spans="13:13">
      <c r="M5128" s="811"/>
    </row>
    <row r="5129" spans="13:13">
      <c r="M5129" s="811"/>
    </row>
    <row r="5130" spans="13:13">
      <c r="M5130" s="811"/>
    </row>
    <row r="5131" spans="13:13">
      <c r="M5131" s="811"/>
    </row>
    <row r="5132" spans="13:13">
      <c r="M5132" s="811"/>
    </row>
    <row r="5133" spans="13:13">
      <c r="M5133" s="811"/>
    </row>
    <row r="5134" spans="13:13">
      <c r="M5134" s="811"/>
    </row>
    <row r="5135" spans="13:13">
      <c r="M5135" s="811"/>
    </row>
    <row r="5136" spans="13:13">
      <c r="M5136" s="811"/>
    </row>
    <row r="5137" spans="13:13">
      <c r="M5137" s="811"/>
    </row>
    <row r="5138" spans="13:13">
      <c r="M5138" s="811"/>
    </row>
    <row r="5139" spans="13:13">
      <c r="M5139" s="811"/>
    </row>
    <row r="5140" spans="13:13">
      <c r="M5140" s="811"/>
    </row>
    <row r="5141" spans="13:13">
      <c r="M5141" s="811"/>
    </row>
    <row r="5142" spans="13:13">
      <c r="M5142" s="811"/>
    </row>
    <row r="5143" spans="13:13">
      <c r="M5143" s="811"/>
    </row>
    <row r="5144" spans="13:13">
      <c r="M5144" s="811"/>
    </row>
    <row r="5145" spans="13:13">
      <c r="M5145" s="811"/>
    </row>
    <row r="5146" spans="13:13">
      <c r="M5146" s="811"/>
    </row>
    <row r="5147" spans="13:13">
      <c r="M5147" s="811"/>
    </row>
    <row r="5148" spans="13:13">
      <c r="M5148" s="811"/>
    </row>
    <row r="5149" spans="13:13">
      <c r="M5149" s="811"/>
    </row>
    <row r="5150" spans="13:13">
      <c r="M5150" s="811"/>
    </row>
    <row r="5151" spans="13:13">
      <c r="M5151" s="811"/>
    </row>
    <row r="5152" spans="13:13">
      <c r="M5152" s="811"/>
    </row>
    <row r="5153" spans="13:13">
      <c r="M5153" s="811"/>
    </row>
    <row r="5154" spans="13:13">
      <c r="M5154" s="811"/>
    </row>
    <row r="5155" spans="13:13">
      <c r="M5155" s="811"/>
    </row>
    <row r="5156" spans="13:13">
      <c r="M5156" s="811"/>
    </row>
    <row r="5157" spans="13:13">
      <c r="M5157" s="811"/>
    </row>
    <row r="5158" spans="13:13">
      <c r="M5158" s="811"/>
    </row>
    <row r="5159" spans="13:13">
      <c r="M5159" s="811"/>
    </row>
    <row r="5160" spans="13:13">
      <c r="M5160" s="811"/>
    </row>
    <row r="5161" spans="13:13">
      <c r="M5161" s="811"/>
    </row>
    <row r="5162" spans="13:13">
      <c r="M5162" s="811"/>
    </row>
    <row r="5163" spans="13:13">
      <c r="M5163" s="811"/>
    </row>
    <row r="5164" spans="13:13">
      <c r="M5164" s="811"/>
    </row>
    <row r="5165" spans="13:13">
      <c r="M5165" s="811"/>
    </row>
    <row r="5166" spans="13:13">
      <c r="M5166" s="811"/>
    </row>
    <row r="5167" spans="13:13">
      <c r="M5167" s="811"/>
    </row>
    <row r="5168" spans="13:13">
      <c r="M5168" s="811"/>
    </row>
    <row r="5169" spans="13:13">
      <c r="M5169" s="811"/>
    </row>
    <row r="5170" spans="13:13">
      <c r="M5170" s="811"/>
    </row>
    <row r="5171" spans="13:13">
      <c r="M5171" s="811"/>
    </row>
    <row r="5172" spans="13:13">
      <c r="M5172" s="811"/>
    </row>
    <row r="5173" spans="13:13">
      <c r="M5173" s="811"/>
    </row>
    <row r="5174" spans="13:13">
      <c r="M5174" s="811"/>
    </row>
    <row r="5175" spans="13:13">
      <c r="M5175" s="811"/>
    </row>
    <row r="5176" spans="13:13">
      <c r="M5176" s="811"/>
    </row>
    <row r="5177" spans="13:13">
      <c r="M5177" s="811"/>
    </row>
    <row r="5178" spans="13:13">
      <c r="M5178" s="811"/>
    </row>
    <row r="5179" spans="13:13">
      <c r="M5179" s="811"/>
    </row>
    <row r="5180" spans="13:13">
      <c r="M5180" s="811"/>
    </row>
    <row r="5181" spans="13:13">
      <c r="M5181" s="811"/>
    </row>
    <row r="5182" spans="13:13">
      <c r="M5182" s="811"/>
    </row>
    <row r="5183" spans="13:13">
      <c r="M5183" s="811"/>
    </row>
    <row r="5184" spans="13:13">
      <c r="M5184" s="811"/>
    </row>
    <row r="5185" spans="13:13">
      <c r="M5185" s="811"/>
    </row>
    <row r="5186" spans="13:13">
      <c r="M5186" s="811"/>
    </row>
    <row r="5187" spans="13:13">
      <c r="M5187" s="811"/>
    </row>
    <row r="5188" spans="13:13">
      <c r="M5188" s="811"/>
    </row>
    <row r="5189" spans="13:13">
      <c r="M5189" s="811"/>
    </row>
    <row r="5190" spans="13:13">
      <c r="M5190" s="811"/>
    </row>
    <row r="5191" spans="13:13">
      <c r="M5191" s="811"/>
    </row>
    <row r="5192" spans="13:13">
      <c r="M5192" s="811"/>
    </row>
    <row r="5193" spans="13:13">
      <c r="M5193" s="811"/>
    </row>
    <row r="5194" spans="13:13">
      <c r="M5194" s="811"/>
    </row>
    <row r="5195" spans="13:13">
      <c r="M5195" s="811"/>
    </row>
    <row r="5196" spans="13:13">
      <c r="M5196" s="811"/>
    </row>
    <row r="5197" spans="13:13">
      <c r="M5197" s="811"/>
    </row>
    <row r="5198" spans="13:13">
      <c r="M5198" s="811"/>
    </row>
    <row r="5199" spans="13:13">
      <c r="M5199" s="811"/>
    </row>
    <row r="5200" spans="13:13">
      <c r="M5200" s="811"/>
    </row>
    <row r="5201" spans="1:13">
      <c r="M5201" s="811"/>
    </row>
    <row r="5202" spans="1:13">
      <c r="M5202" s="811"/>
    </row>
    <row r="5203" spans="1:13">
      <c r="M5203" s="811"/>
    </row>
    <row r="5204" spans="1:13">
      <c r="M5204" s="811"/>
    </row>
    <row r="5205" spans="1:13">
      <c r="M5205" s="811"/>
    </row>
    <row r="5206" spans="1:13">
      <c r="M5206" s="811"/>
    </row>
    <row r="5207" spans="1:13">
      <c r="M5207" s="811"/>
    </row>
    <row r="5208" spans="1:13">
      <c r="M5208" s="811"/>
    </row>
    <row r="5209" spans="1:13">
      <c r="M5209" s="811"/>
    </row>
    <row r="5210" spans="1:13">
      <c r="M5210" s="811"/>
    </row>
    <row r="5211" spans="1:13">
      <c r="M5211" s="811"/>
    </row>
    <row r="5212" spans="1:13">
      <c r="M5212" s="811"/>
    </row>
    <row r="5213" spans="1:13">
      <c r="M5213" s="811"/>
    </row>
    <row r="5214" spans="1:13">
      <c r="A5214" s="807"/>
      <c r="M5214" s="811"/>
    </row>
    <row r="5215" spans="1:13">
      <c r="A5215" s="807"/>
      <c r="M5215" s="811"/>
    </row>
    <row r="5216" spans="1:13">
      <c r="A5216" s="807"/>
      <c r="M5216" s="811"/>
    </row>
    <row r="5217" spans="1:13">
      <c r="A5217" s="807"/>
      <c r="M5217" s="811"/>
    </row>
    <row r="5218" spans="1:13">
      <c r="A5218" s="807"/>
      <c r="M5218" s="811"/>
    </row>
    <row r="5219" spans="1:13">
      <c r="A5219" s="807"/>
      <c r="M5219" s="811"/>
    </row>
    <row r="5220" spans="1:13">
      <c r="A5220" s="807"/>
      <c r="M5220" s="811"/>
    </row>
    <row r="5221" spans="1:13">
      <c r="A5221" s="807"/>
      <c r="M5221" s="811"/>
    </row>
    <row r="5222" spans="1:13">
      <c r="A5222" s="807"/>
      <c r="M5222" s="811"/>
    </row>
    <row r="5223" spans="1:13">
      <c r="A5223" s="807"/>
      <c r="M5223" s="811"/>
    </row>
    <row r="5224" spans="1:13">
      <c r="A5224" s="807"/>
      <c r="M5224" s="811"/>
    </row>
    <row r="5225" spans="1:13">
      <c r="A5225" s="807"/>
      <c r="M5225" s="811"/>
    </row>
    <row r="5226" spans="1:13">
      <c r="A5226" s="807"/>
      <c r="M5226" s="811"/>
    </row>
    <row r="5227" spans="1:13">
      <c r="A5227" s="807"/>
      <c r="M5227" s="811"/>
    </row>
    <row r="5228" spans="1:13">
      <c r="A5228" s="807"/>
      <c r="M5228" s="811"/>
    </row>
    <row r="5229" spans="1:13">
      <c r="A5229" s="807"/>
      <c r="M5229" s="811"/>
    </row>
    <row r="5230" spans="1:13">
      <c r="A5230" s="807"/>
      <c r="M5230" s="811"/>
    </row>
    <row r="5231" spans="1:13">
      <c r="A5231" s="807"/>
      <c r="M5231" s="811"/>
    </row>
    <row r="5232" spans="1:13">
      <c r="A5232" s="807"/>
      <c r="M5232" s="811"/>
    </row>
    <row r="5233" spans="1:13">
      <c r="A5233" s="807"/>
      <c r="M5233" s="811"/>
    </row>
    <row r="5234" spans="1:13">
      <c r="A5234" s="807"/>
      <c r="M5234" s="811"/>
    </row>
    <row r="5235" spans="1:13">
      <c r="A5235" s="807"/>
      <c r="M5235" s="811"/>
    </row>
    <row r="5236" spans="1:13">
      <c r="A5236" s="807"/>
      <c r="M5236" s="811"/>
    </row>
    <row r="5237" spans="1:13">
      <c r="A5237" s="807"/>
      <c r="M5237" s="811"/>
    </row>
    <row r="5238" spans="1:13">
      <c r="A5238" s="807"/>
      <c r="M5238" s="811"/>
    </row>
    <row r="5239" spans="1:13">
      <c r="A5239" s="807"/>
      <c r="M5239" s="811"/>
    </row>
    <row r="5240" spans="1:13">
      <c r="A5240" s="807"/>
      <c r="M5240" s="811"/>
    </row>
    <row r="5241" spans="1:13">
      <c r="A5241" s="807"/>
      <c r="M5241" s="811"/>
    </row>
    <row r="5242" spans="1:13">
      <c r="A5242" s="807"/>
      <c r="M5242" s="811"/>
    </row>
    <row r="5243" spans="1:13">
      <c r="A5243" s="807"/>
      <c r="M5243" s="811"/>
    </row>
    <row r="5244" spans="1:13">
      <c r="A5244" s="807"/>
      <c r="M5244" s="811"/>
    </row>
    <row r="5245" spans="1:13">
      <c r="A5245" s="807"/>
      <c r="M5245" s="811"/>
    </row>
    <row r="5246" spans="1:13">
      <c r="M5246" s="811"/>
    </row>
    <row r="5247" spans="1:13">
      <c r="M5247" s="811"/>
    </row>
    <row r="5248" spans="1:13">
      <c r="M5248" s="811"/>
    </row>
    <row r="5249" spans="13:13">
      <c r="M5249" s="811"/>
    </row>
    <row r="5250" spans="13:13">
      <c r="M5250" s="811"/>
    </row>
    <row r="5251" spans="13:13">
      <c r="M5251" s="811"/>
    </row>
    <row r="5252" spans="13:13">
      <c r="M5252" s="811"/>
    </row>
    <row r="5253" spans="13:13">
      <c r="M5253" s="811"/>
    </row>
    <row r="5254" spans="13:13">
      <c r="M5254" s="811"/>
    </row>
    <row r="5255" spans="13:13">
      <c r="M5255" s="811"/>
    </row>
    <row r="5256" spans="13:13">
      <c r="M5256" s="811"/>
    </row>
    <row r="5257" spans="13:13">
      <c r="M5257" s="811"/>
    </row>
    <row r="5258" spans="13:13">
      <c r="M5258" s="811"/>
    </row>
    <row r="5259" spans="13:13">
      <c r="M5259" s="811"/>
    </row>
    <row r="5260" spans="13:13">
      <c r="M5260" s="811"/>
    </row>
    <row r="5261" spans="13:13">
      <c r="M5261" s="811"/>
    </row>
    <row r="5262" spans="13:13">
      <c r="M5262" s="811"/>
    </row>
    <row r="5263" spans="13:13">
      <c r="M5263" s="811"/>
    </row>
    <row r="5264" spans="13:13">
      <c r="M5264" s="811"/>
    </row>
    <row r="5265" spans="13:13">
      <c r="M5265" s="811"/>
    </row>
    <row r="5266" spans="13:13">
      <c r="M5266" s="811"/>
    </row>
    <row r="5267" spans="13:13">
      <c r="M5267" s="811"/>
    </row>
    <row r="5268" spans="13:13">
      <c r="M5268" s="811"/>
    </row>
    <row r="5269" spans="13:13">
      <c r="M5269" s="811"/>
    </row>
    <row r="5270" spans="13:13">
      <c r="M5270" s="811"/>
    </row>
    <row r="5271" spans="13:13">
      <c r="M5271" s="811"/>
    </row>
    <row r="5272" spans="13:13">
      <c r="M5272" s="811"/>
    </row>
    <row r="5273" spans="13:13">
      <c r="M5273" s="811"/>
    </row>
    <row r="5274" spans="13:13">
      <c r="M5274" s="811"/>
    </row>
    <row r="5275" spans="13:13">
      <c r="M5275" s="811"/>
    </row>
    <row r="5276" spans="13:13">
      <c r="M5276" s="811"/>
    </row>
    <row r="5277" spans="13:13">
      <c r="M5277" s="811"/>
    </row>
    <row r="5278" spans="13:13">
      <c r="M5278" s="811"/>
    </row>
    <row r="5279" spans="13:13">
      <c r="M5279" s="811"/>
    </row>
    <row r="5280" spans="13:13">
      <c r="M5280" s="811"/>
    </row>
    <row r="5281" spans="13:13">
      <c r="M5281" s="811"/>
    </row>
    <row r="5282" spans="13:13">
      <c r="M5282" s="811"/>
    </row>
    <row r="5283" spans="13:13">
      <c r="M5283" s="811"/>
    </row>
    <row r="5284" spans="13:13">
      <c r="M5284" s="811"/>
    </row>
    <row r="5285" spans="13:13">
      <c r="M5285" s="811"/>
    </row>
    <row r="5286" spans="13:13">
      <c r="M5286" s="811"/>
    </row>
    <row r="5287" spans="13:13">
      <c r="M5287" s="811"/>
    </row>
    <row r="5288" spans="13:13">
      <c r="M5288" s="811"/>
    </row>
    <row r="5289" spans="13:13">
      <c r="M5289" s="811"/>
    </row>
    <row r="5290" spans="13:13">
      <c r="M5290" s="811"/>
    </row>
    <row r="5291" spans="13:13">
      <c r="M5291" s="811"/>
    </row>
    <row r="5292" spans="13:13">
      <c r="M5292" s="811"/>
    </row>
    <row r="5293" spans="13:13">
      <c r="M5293" s="811"/>
    </row>
    <row r="5294" spans="13:13">
      <c r="M5294" s="811"/>
    </row>
    <row r="5295" spans="13:13">
      <c r="M5295" s="811"/>
    </row>
    <row r="5296" spans="13:13">
      <c r="M5296" s="811"/>
    </row>
    <row r="5297" spans="13:13">
      <c r="M5297" s="811"/>
    </row>
    <row r="5298" spans="13:13">
      <c r="M5298" s="811"/>
    </row>
    <row r="5299" spans="13:13">
      <c r="M5299" s="811"/>
    </row>
    <row r="5300" spans="13:13">
      <c r="M5300" s="811"/>
    </row>
    <row r="5301" spans="13:13">
      <c r="M5301" s="811"/>
    </row>
    <row r="5302" spans="13:13">
      <c r="M5302" s="811"/>
    </row>
    <row r="5303" spans="13:13">
      <c r="M5303" s="811"/>
    </row>
    <row r="5304" spans="13:13">
      <c r="M5304" s="811"/>
    </row>
    <row r="5305" spans="13:13">
      <c r="M5305" s="811"/>
    </row>
    <row r="5306" spans="13:13">
      <c r="M5306" s="811"/>
    </row>
    <row r="5307" spans="13:13">
      <c r="M5307" s="811"/>
    </row>
    <row r="5308" spans="13:13">
      <c r="M5308" s="811"/>
    </row>
    <row r="5309" spans="13:13">
      <c r="M5309" s="811"/>
    </row>
    <row r="5310" spans="13:13">
      <c r="M5310" s="811"/>
    </row>
    <row r="5311" spans="13:13">
      <c r="M5311" s="811"/>
    </row>
    <row r="5312" spans="13:13">
      <c r="M5312" s="811"/>
    </row>
    <row r="5313" spans="13:13">
      <c r="M5313" s="811"/>
    </row>
    <row r="5314" spans="13:13">
      <c r="M5314" s="811"/>
    </row>
    <row r="5315" spans="13:13">
      <c r="M5315" s="811"/>
    </row>
    <row r="5316" spans="13:13">
      <c r="M5316" s="811"/>
    </row>
    <row r="5317" spans="13:13">
      <c r="M5317" s="811"/>
    </row>
    <row r="5318" spans="13:13">
      <c r="M5318" s="811"/>
    </row>
    <row r="5319" spans="13:13">
      <c r="M5319" s="811"/>
    </row>
    <row r="5320" spans="13:13">
      <c r="M5320" s="811"/>
    </row>
    <row r="5321" spans="13:13">
      <c r="M5321" s="811"/>
    </row>
    <row r="5322" spans="13:13">
      <c r="M5322" s="811"/>
    </row>
    <row r="5323" spans="13:13">
      <c r="M5323" s="811"/>
    </row>
    <row r="5324" spans="13:13">
      <c r="M5324" s="811"/>
    </row>
    <row r="5325" spans="13:13">
      <c r="M5325" s="811"/>
    </row>
    <row r="5326" spans="13:13">
      <c r="M5326" s="811"/>
    </row>
    <row r="5327" spans="13:13">
      <c r="M5327" s="811"/>
    </row>
    <row r="5328" spans="13:13">
      <c r="M5328" s="811"/>
    </row>
    <row r="5329" spans="13:13">
      <c r="M5329" s="811"/>
    </row>
    <row r="5330" spans="13:13">
      <c r="M5330" s="811"/>
    </row>
    <row r="5331" spans="13:13">
      <c r="M5331" s="811"/>
    </row>
    <row r="5332" spans="13:13">
      <c r="M5332" s="811"/>
    </row>
    <row r="5333" spans="13:13">
      <c r="M5333" s="811"/>
    </row>
    <row r="5334" spans="13:13">
      <c r="M5334" s="811"/>
    </row>
    <row r="5335" spans="13:13">
      <c r="M5335" s="811"/>
    </row>
    <row r="5336" spans="13:13">
      <c r="M5336" s="811"/>
    </row>
    <row r="5337" spans="13:13">
      <c r="M5337" s="811"/>
    </row>
    <row r="5338" spans="13:13">
      <c r="M5338" s="811"/>
    </row>
    <row r="5339" spans="13:13">
      <c r="M5339" s="811"/>
    </row>
    <row r="5340" spans="13:13">
      <c r="M5340" s="811"/>
    </row>
    <row r="5341" spans="13:13">
      <c r="M5341" s="811"/>
    </row>
    <row r="5342" spans="13:13">
      <c r="M5342" s="811"/>
    </row>
    <row r="5343" spans="13:13">
      <c r="M5343" s="811"/>
    </row>
    <row r="5344" spans="13:13">
      <c r="M5344" s="811"/>
    </row>
    <row r="5345" spans="13:13">
      <c r="M5345" s="811"/>
    </row>
    <row r="5346" spans="13:13">
      <c r="M5346" s="811"/>
    </row>
    <row r="5347" spans="13:13">
      <c r="M5347" s="811"/>
    </row>
    <row r="5348" spans="13:13">
      <c r="M5348" s="811"/>
    </row>
    <row r="5349" spans="13:13">
      <c r="M5349" s="811"/>
    </row>
    <row r="5350" spans="13:13">
      <c r="M5350" s="811"/>
    </row>
    <row r="5351" spans="13:13">
      <c r="M5351" s="811"/>
    </row>
    <row r="5352" spans="13:13">
      <c r="M5352" s="811"/>
    </row>
    <row r="5353" spans="13:13">
      <c r="M5353" s="811"/>
    </row>
    <row r="5354" spans="13:13">
      <c r="M5354" s="811"/>
    </row>
    <row r="5355" spans="13:13">
      <c r="M5355" s="811"/>
    </row>
    <row r="5356" spans="13:13">
      <c r="M5356" s="811"/>
    </row>
    <row r="5357" spans="13:13">
      <c r="M5357" s="811"/>
    </row>
    <row r="5358" spans="13:13">
      <c r="M5358" s="811"/>
    </row>
    <row r="5359" spans="13:13">
      <c r="M5359" s="811"/>
    </row>
    <row r="5360" spans="13:13">
      <c r="M5360" s="811"/>
    </row>
    <row r="5361" spans="13:13">
      <c r="M5361" s="811"/>
    </row>
    <row r="5362" spans="13:13">
      <c r="M5362" s="811"/>
    </row>
    <row r="5363" spans="13:13">
      <c r="M5363" s="811"/>
    </row>
    <row r="5364" spans="13:13">
      <c r="M5364" s="811"/>
    </row>
    <row r="5365" spans="13:13">
      <c r="M5365" s="811"/>
    </row>
    <row r="5366" spans="13:13">
      <c r="M5366" s="811"/>
    </row>
    <row r="5367" spans="13:13">
      <c r="M5367" s="811"/>
    </row>
    <row r="5368" spans="13:13">
      <c r="M5368" s="811"/>
    </row>
    <row r="5369" spans="13:13">
      <c r="M5369" s="811"/>
    </row>
    <row r="5370" spans="13:13">
      <c r="M5370" s="811"/>
    </row>
    <row r="5371" spans="13:13">
      <c r="M5371" s="811"/>
    </row>
    <row r="5372" spans="13:13">
      <c r="M5372" s="811"/>
    </row>
    <row r="5373" spans="13:13">
      <c r="M5373" s="811"/>
    </row>
    <row r="5374" spans="13:13">
      <c r="M5374" s="811"/>
    </row>
    <row r="5375" spans="13:13">
      <c r="M5375" s="811"/>
    </row>
    <row r="5376" spans="13:13">
      <c r="M5376" s="811"/>
    </row>
    <row r="5377" spans="13:13">
      <c r="M5377" s="811"/>
    </row>
    <row r="5378" spans="13:13">
      <c r="M5378" s="811"/>
    </row>
    <row r="5379" spans="13:13">
      <c r="M5379" s="811"/>
    </row>
    <row r="5380" spans="13:13">
      <c r="M5380" s="811"/>
    </row>
    <row r="5381" spans="13:13">
      <c r="M5381" s="811"/>
    </row>
    <row r="5382" spans="13:13">
      <c r="M5382" s="811"/>
    </row>
    <row r="5383" spans="13:13">
      <c r="M5383" s="811"/>
    </row>
    <row r="5384" spans="13:13">
      <c r="M5384" s="811"/>
    </row>
    <row r="5385" spans="13:13">
      <c r="M5385" s="811"/>
    </row>
    <row r="5386" spans="13:13">
      <c r="M5386" s="811"/>
    </row>
    <row r="5387" spans="13:13">
      <c r="M5387" s="811"/>
    </row>
    <row r="5388" spans="13:13">
      <c r="M5388" s="811"/>
    </row>
    <row r="5389" spans="13:13">
      <c r="M5389" s="811"/>
    </row>
    <row r="5390" spans="13:13">
      <c r="M5390" s="811"/>
    </row>
    <row r="5391" spans="13:13">
      <c r="M5391" s="811"/>
    </row>
    <row r="5392" spans="13:13">
      <c r="M5392" s="811"/>
    </row>
    <row r="5393" spans="13:13">
      <c r="M5393" s="811"/>
    </row>
    <row r="5394" spans="13:13">
      <c r="M5394" s="811"/>
    </row>
    <row r="5395" spans="13:13">
      <c r="M5395" s="811"/>
    </row>
    <row r="5396" spans="13:13">
      <c r="M5396" s="811"/>
    </row>
    <row r="5397" spans="13:13">
      <c r="M5397" s="811"/>
    </row>
    <row r="5398" spans="13:13">
      <c r="M5398" s="811"/>
    </row>
    <row r="5399" spans="13:13">
      <c r="M5399" s="811"/>
    </row>
    <row r="5400" spans="13:13">
      <c r="M5400" s="811"/>
    </row>
    <row r="5401" spans="13:13">
      <c r="M5401" s="811"/>
    </row>
    <row r="5402" spans="13:13">
      <c r="M5402" s="811"/>
    </row>
    <row r="5403" spans="13:13">
      <c r="M5403" s="811"/>
    </row>
    <row r="5404" spans="13:13">
      <c r="M5404" s="811"/>
    </row>
    <row r="5405" spans="13:13">
      <c r="M5405" s="811"/>
    </row>
    <row r="5406" spans="13:13">
      <c r="M5406" s="811"/>
    </row>
    <row r="5407" spans="13:13">
      <c r="M5407" s="811"/>
    </row>
    <row r="5408" spans="13:13">
      <c r="M5408" s="811"/>
    </row>
    <row r="5409" spans="13:13">
      <c r="M5409" s="811"/>
    </row>
    <row r="5410" spans="13:13">
      <c r="M5410" s="811"/>
    </row>
    <row r="5411" spans="13:13">
      <c r="M5411" s="811"/>
    </row>
    <row r="5412" spans="13:13">
      <c r="M5412" s="811"/>
    </row>
    <row r="5413" spans="13:13">
      <c r="M5413" s="811"/>
    </row>
    <row r="5414" spans="13:13">
      <c r="M5414" s="811"/>
    </row>
    <row r="5415" spans="13:13">
      <c r="M5415" s="811"/>
    </row>
    <row r="5416" spans="13:13">
      <c r="M5416" s="811"/>
    </row>
    <row r="5417" spans="13:13">
      <c r="M5417" s="811"/>
    </row>
    <row r="5418" spans="13:13">
      <c r="M5418" s="811"/>
    </row>
    <row r="5419" spans="13:13">
      <c r="M5419" s="811"/>
    </row>
    <row r="5420" spans="13:13">
      <c r="M5420" s="811"/>
    </row>
    <row r="5421" spans="13:13">
      <c r="M5421" s="811"/>
    </row>
    <row r="5422" spans="13:13">
      <c r="M5422" s="811"/>
    </row>
    <row r="5423" spans="13:13">
      <c r="M5423" s="811"/>
    </row>
    <row r="5424" spans="13:13">
      <c r="M5424" s="811"/>
    </row>
    <row r="5425" spans="13:13">
      <c r="M5425" s="811"/>
    </row>
    <row r="5426" spans="13:13">
      <c r="M5426" s="811"/>
    </row>
    <row r="5427" spans="13:13">
      <c r="M5427" s="811"/>
    </row>
    <row r="5428" spans="13:13">
      <c r="M5428" s="811"/>
    </row>
    <row r="5429" spans="13:13">
      <c r="M5429" s="811"/>
    </row>
    <row r="5430" spans="13:13">
      <c r="M5430" s="811"/>
    </row>
    <row r="5431" spans="13:13">
      <c r="M5431" s="811"/>
    </row>
    <row r="5432" spans="13:13">
      <c r="M5432" s="811"/>
    </row>
    <row r="5433" spans="13:13">
      <c r="M5433" s="811"/>
    </row>
    <row r="5434" spans="13:13">
      <c r="M5434" s="811"/>
    </row>
    <row r="5435" spans="13:13">
      <c r="M5435" s="811"/>
    </row>
    <row r="5436" spans="13:13">
      <c r="M5436" s="811"/>
    </row>
    <row r="5437" spans="13:13">
      <c r="M5437" s="811"/>
    </row>
    <row r="5438" spans="13:13">
      <c r="M5438" s="811"/>
    </row>
    <row r="5439" spans="13:13">
      <c r="M5439" s="811"/>
    </row>
    <row r="5440" spans="13:13">
      <c r="M5440" s="811"/>
    </row>
    <row r="5441" spans="13:13">
      <c r="M5441" s="811"/>
    </row>
    <row r="5442" spans="13:13">
      <c r="M5442" s="811"/>
    </row>
    <row r="5443" spans="13:13">
      <c r="M5443" s="811"/>
    </row>
    <row r="5444" spans="13:13">
      <c r="M5444" s="811"/>
    </row>
    <row r="5445" spans="13:13">
      <c r="M5445" s="811"/>
    </row>
    <row r="5446" spans="13:13">
      <c r="M5446" s="811"/>
    </row>
    <row r="5447" spans="13:13">
      <c r="M5447" s="811"/>
    </row>
    <row r="5448" spans="13:13">
      <c r="M5448" s="811"/>
    </row>
    <row r="5449" spans="13:13">
      <c r="M5449" s="811"/>
    </row>
    <row r="5450" spans="13:13">
      <c r="M5450" s="811"/>
    </row>
    <row r="5451" spans="13:13">
      <c r="M5451" s="811"/>
    </row>
    <row r="5452" spans="13:13">
      <c r="M5452" s="811"/>
    </row>
    <row r="5453" spans="13:13">
      <c r="M5453" s="811"/>
    </row>
    <row r="5454" spans="13:13">
      <c r="M5454" s="811"/>
    </row>
    <row r="5455" spans="13:13">
      <c r="M5455" s="811"/>
    </row>
    <row r="5456" spans="13:13">
      <c r="M5456" s="811"/>
    </row>
    <row r="5457" spans="13:13">
      <c r="M5457" s="811"/>
    </row>
    <row r="5458" spans="13:13">
      <c r="M5458" s="811"/>
    </row>
    <row r="5459" spans="13:13">
      <c r="M5459" s="811"/>
    </row>
    <row r="5460" spans="13:13">
      <c r="M5460" s="811"/>
    </row>
    <row r="5461" spans="13:13">
      <c r="M5461" s="811"/>
    </row>
    <row r="5462" spans="13:13">
      <c r="M5462" s="811"/>
    </row>
    <row r="5463" spans="13:13">
      <c r="M5463" s="811"/>
    </row>
    <row r="5464" spans="13:13">
      <c r="M5464" s="811"/>
    </row>
    <row r="5465" spans="13:13">
      <c r="M5465" s="811"/>
    </row>
    <row r="5466" spans="13:13">
      <c r="M5466" s="811"/>
    </row>
    <row r="5467" spans="13:13">
      <c r="M5467" s="811"/>
    </row>
    <row r="5468" spans="13:13">
      <c r="M5468" s="811"/>
    </row>
    <row r="5469" spans="13:13">
      <c r="M5469" s="811"/>
    </row>
    <row r="5470" spans="13:13">
      <c r="M5470" s="811"/>
    </row>
    <row r="5471" spans="13:13">
      <c r="M5471" s="811"/>
    </row>
    <row r="5472" spans="13:13">
      <c r="M5472" s="811"/>
    </row>
    <row r="5473" spans="13:13">
      <c r="M5473" s="811"/>
    </row>
    <row r="5474" spans="13:13">
      <c r="M5474" s="811"/>
    </row>
    <row r="5475" spans="13:13">
      <c r="M5475" s="811"/>
    </row>
    <row r="5476" spans="13:13">
      <c r="M5476" s="811"/>
    </row>
    <row r="5477" spans="13:13">
      <c r="M5477" s="811"/>
    </row>
    <row r="5478" spans="13:13">
      <c r="M5478" s="811"/>
    </row>
    <row r="5479" spans="13:13">
      <c r="M5479" s="811"/>
    </row>
    <row r="5480" spans="13:13">
      <c r="M5480" s="811"/>
    </row>
    <row r="5481" spans="13:13">
      <c r="M5481" s="811"/>
    </row>
    <row r="5482" spans="13:13">
      <c r="M5482" s="811"/>
    </row>
    <row r="5483" spans="13:13">
      <c r="M5483" s="811"/>
    </row>
    <row r="5484" spans="13:13">
      <c r="M5484" s="811"/>
    </row>
    <row r="5485" spans="13:13">
      <c r="M5485" s="811"/>
    </row>
    <row r="5486" spans="13:13">
      <c r="M5486" s="811"/>
    </row>
    <row r="5487" spans="13:13">
      <c r="M5487" s="811"/>
    </row>
    <row r="5488" spans="13:13">
      <c r="M5488" s="811"/>
    </row>
    <row r="5489" spans="13:13">
      <c r="M5489" s="811"/>
    </row>
    <row r="5490" spans="13:13">
      <c r="M5490" s="811"/>
    </row>
    <row r="5491" spans="13:13">
      <c r="M5491" s="811"/>
    </row>
    <row r="5492" spans="13:13">
      <c r="M5492" s="811"/>
    </row>
    <row r="5493" spans="13:13">
      <c r="M5493" s="811"/>
    </row>
    <row r="5494" spans="13:13">
      <c r="M5494" s="811"/>
    </row>
    <row r="5495" spans="13:13">
      <c r="M5495" s="811"/>
    </row>
    <row r="5496" spans="13:13">
      <c r="M5496" s="811"/>
    </row>
    <row r="5497" spans="13:13">
      <c r="M5497" s="811"/>
    </row>
    <row r="5498" spans="13:13">
      <c r="M5498" s="811"/>
    </row>
    <row r="5499" spans="13:13">
      <c r="M5499" s="811"/>
    </row>
    <row r="5500" spans="13:13">
      <c r="M5500" s="811"/>
    </row>
    <row r="5501" spans="13:13">
      <c r="M5501" s="811"/>
    </row>
    <row r="5502" spans="13:13">
      <c r="M5502" s="811"/>
    </row>
    <row r="5503" spans="13:13">
      <c r="M5503" s="811"/>
    </row>
    <row r="5504" spans="13:13">
      <c r="M5504" s="811"/>
    </row>
    <row r="5505" spans="13:13">
      <c r="M5505" s="811"/>
    </row>
    <row r="5506" spans="13:13">
      <c r="M5506" s="811"/>
    </row>
    <row r="5507" spans="13:13">
      <c r="M5507" s="811"/>
    </row>
    <row r="5508" spans="13:13">
      <c r="M5508" s="811"/>
    </row>
    <row r="5509" spans="13:13">
      <c r="M5509" s="811"/>
    </row>
    <row r="5510" spans="13:13">
      <c r="M5510" s="811"/>
    </row>
    <row r="5511" spans="13:13">
      <c r="M5511" s="811"/>
    </row>
    <row r="5512" spans="13:13">
      <c r="M5512" s="811"/>
    </row>
    <row r="5513" spans="13:13">
      <c r="M5513" s="811"/>
    </row>
    <row r="5514" spans="13:13">
      <c r="M5514" s="811"/>
    </row>
    <row r="5515" spans="13:13">
      <c r="M5515" s="811"/>
    </row>
    <row r="5516" spans="13:13">
      <c r="M5516" s="811"/>
    </row>
    <row r="5517" spans="13:13">
      <c r="M5517" s="811"/>
    </row>
    <row r="5518" spans="13:13">
      <c r="M5518" s="811"/>
    </row>
    <row r="5519" spans="13:13">
      <c r="M5519" s="811"/>
    </row>
    <row r="5520" spans="13:13">
      <c r="M5520" s="811"/>
    </row>
    <row r="5521" spans="13:13">
      <c r="M5521" s="811"/>
    </row>
    <row r="5522" spans="13:13">
      <c r="M5522" s="811"/>
    </row>
    <row r="5523" spans="13:13">
      <c r="M5523" s="811"/>
    </row>
    <row r="5524" spans="13:13">
      <c r="M5524" s="811"/>
    </row>
    <row r="5525" spans="13:13">
      <c r="M5525" s="811"/>
    </row>
    <row r="5526" spans="13:13">
      <c r="M5526" s="811"/>
    </row>
    <row r="5527" spans="13:13">
      <c r="M5527" s="811"/>
    </row>
    <row r="5528" spans="13:13">
      <c r="M5528" s="811"/>
    </row>
    <row r="5529" spans="13:13">
      <c r="M5529" s="811"/>
    </row>
    <row r="5530" spans="13:13">
      <c r="M5530" s="811"/>
    </row>
    <row r="5531" spans="13:13">
      <c r="M5531" s="811"/>
    </row>
    <row r="5532" spans="13:13">
      <c r="M5532" s="811"/>
    </row>
    <row r="5533" spans="13:13">
      <c r="M5533" s="811"/>
    </row>
    <row r="5534" spans="13:13">
      <c r="M5534" s="811"/>
    </row>
    <row r="5535" spans="13:13">
      <c r="M5535" s="811"/>
    </row>
    <row r="5536" spans="13:13">
      <c r="M5536" s="811"/>
    </row>
    <row r="5537" spans="13:13">
      <c r="M5537" s="811"/>
    </row>
    <row r="5538" spans="13:13">
      <c r="M5538" s="811"/>
    </row>
    <row r="5539" spans="13:13">
      <c r="M5539" s="811"/>
    </row>
    <row r="5540" spans="13:13">
      <c r="M5540" s="811"/>
    </row>
    <row r="5541" spans="13:13">
      <c r="M5541" s="811"/>
    </row>
    <row r="5542" spans="13:13">
      <c r="M5542" s="811"/>
    </row>
    <row r="5543" spans="13:13">
      <c r="M5543" s="811"/>
    </row>
    <row r="5544" spans="13:13">
      <c r="M5544" s="811"/>
    </row>
    <row r="5545" spans="13:13">
      <c r="M5545" s="811"/>
    </row>
    <row r="5546" spans="13:13">
      <c r="M5546" s="811"/>
    </row>
    <row r="5547" spans="13:13">
      <c r="M5547" s="811"/>
    </row>
    <row r="5548" spans="13:13">
      <c r="M5548" s="811"/>
    </row>
    <row r="5549" spans="13:13">
      <c r="M5549" s="811"/>
    </row>
    <row r="5550" spans="13:13">
      <c r="M5550" s="811"/>
    </row>
    <row r="5551" spans="13:13">
      <c r="M5551" s="811"/>
    </row>
    <row r="5552" spans="13:13">
      <c r="M5552" s="811"/>
    </row>
    <row r="5553" spans="13:13">
      <c r="M5553" s="811"/>
    </row>
    <row r="5554" spans="13:13">
      <c r="M5554" s="811"/>
    </row>
    <row r="5555" spans="13:13">
      <c r="M5555" s="811"/>
    </row>
    <row r="5556" spans="13:13">
      <c r="M5556" s="811"/>
    </row>
    <row r="5557" spans="13:13">
      <c r="M5557" s="811"/>
    </row>
    <row r="5558" spans="13:13">
      <c r="M5558" s="811"/>
    </row>
    <row r="5559" spans="13:13">
      <c r="M5559" s="811"/>
    </row>
    <row r="5560" spans="13:13">
      <c r="M5560" s="811"/>
    </row>
    <row r="5561" spans="13:13">
      <c r="M5561" s="811"/>
    </row>
    <row r="5562" spans="13:13">
      <c r="M5562" s="811"/>
    </row>
    <row r="5563" spans="13:13">
      <c r="M5563" s="811"/>
    </row>
    <row r="5564" spans="13:13">
      <c r="M5564" s="811"/>
    </row>
    <row r="5565" spans="13:13">
      <c r="M5565" s="811"/>
    </row>
    <row r="5566" spans="13:13">
      <c r="M5566" s="811"/>
    </row>
    <row r="5567" spans="13:13">
      <c r="M5567" s="811"/>
    </row>
    <row r="5568" spans="13:13">
      <c r="M5568" s="811"/>
    </row>
    <row r="5569" spans="13:13">
      <c r="M5569" s="811"/>
    </row>
    <row r="5570" spans="13:13">
      <c r="M5570" s="811"/>
    </row>
    <row r="5571" spans="13:13">
      <c r="M5571" s="811"/>
    </row>
    <row r="5572" spans="13:13">
      <c r="M5572" s="811"/>
    </row>
    <row r="5573" spans="13:13">
      <c r="M5573" s="811"/>
    </row>
    <row r="5574" spans="13:13">
      <c r="M5574" s="811"/>
    </row>
    <row r="5575" spans="13:13">
      <c r="M5575" s="811"/>
    </row>
    <row r="5576" spans="13:13">
      <c r="M5576" s="811"/>
    </row>
    <row r="5577" spans="13:13">
      <c r="M5577" s="811"/>
    </row>
    <row r="5578" spans="13:13">
      <c r="M5578" s="811"/>
    </row>
    <row r="5579" spans="13:13">
      <c r="M5579" s="811"/>
    </row>
    <row r="5580" spans="13:13">
      <c r="M5580" s="811"/>
    </row>
    <row r="5581" spans="13:13">
      <c r="M5581" s="811"/>
    </row>
    <row r="5582" spans="13:13">
      <c r="M5582" s="811"/>
    </row>
    <row r="5583" spans="13:13">
      <c r="M5583" s="811"/>
    </row>
    <row r="5584" spans="13:13">
      <c r="M5584" s="811"/>
    </row>
    <row r="5585" spans="13:13">
      <c r="M5585" s="811"/>
    </row>
    <row r="5586" spans="13:13">
      <c r="M5586" s="811"/>
    </row>
    <row r="5587" spans="13:13">
      <c r="M5587" s="811"/>
    </row>
    <row r="5588" spans="13:13">
      <c r="M5588" s="811"/>
    </row>
    <row r="5589" spans="13:13">
      <c r="M5589" s="811"/>
    </row>
    <row r="5590" spans="13:13">
      <c r="M5590" s="811"/>
    </row>
    <row r="5591" spans="13:13">
      <c r="M5591" s="811"/>
    </row>
    <row r="5592" spans="13:13">
      <c r="M5592" s="811"/>
    </row>
    <row r="5593" spans="13:13">
      <c r="M5593" s="811"/>
    </row>
    <row r="5594" spans="13:13">
      <c r="M5594" s="811"/>
    </row>
    <row r="5595" spans="13:13">
      <c r="M5595" s="811"/>
    </row>
    <row r="5596" spans="13:13">
      <c r="M5596" s="811"/>
    </row>
    <row r="5597" spans="13:13">
      <c r="M5597" s="811"/>
    </row>
    <row r="5598" spans="13:13">
      <c r="M5598" s="811"/>
    </row>
    <row r="5599" spans="13:13">
      <c r="M5599" s="811"/>
    </row>
    <row r="5600" spans="13:13">
      <c r="M5600" s="811"/>
    </row>
    <row r="5601" spans="13:13">
      <c r="M5601" s="811"/>
    </row>
    <row r="5602" spans="13:13">
      <c r="M5602" s="811"/>
    </row>
    <row r="5603" spans="13:13">
      <c r="M5603" s="811"/>
    </row>
    <row r="5604" spans="13:13">
      <c r="M5604" s="811"/>
    </row>
    <row r="5605" spans="13:13">
      <c r="M5605" s="811"/>
    </row>
    <row r="5606" spans="13:13">
      <c r="M5606" s="811"/>
    </row>
    <row r="5607" spans="13:13">
      <c r="M5607" s="811"/>
    </row>
    <row r="5608" spans="13:13">
      <c r="M5608" s="811"/>
    </row>
    <row r="5609" spans="13:13">
      <c r="M5609" s="811"/>
    </row>
    <row r="5610" spans="13:13">
      <c r="M5610" s="811"/>
    </row>
    <row r="5611" spans="13:13">
      <c r="M5611" s="811"/>
    </row>
    <row r="5612" spans="13:13">
      <c r="M5612" s="811"/>
    </row>
    <row r="5613" spans="13:13">
      <c r="M5613" s="811"/>
    </row>
    <row r="5614" spans="13:13">
      <c r="M5614" s="811"/>
    </row>
    <row r="5615" spans="13:13">
      <c r="M5615" s="811"/>
    </row>
    <row r="5616" spans="13:13">
      <c r="M5616" s="811"/>
    </row>
    <row r="5617" spans="13:13">
      <c r="M5617" s="811"/>
    </row>
    <row r="5618" spans="13:13">
      <c r="M5618" s="811"/>
    </row>
    <row r="5619" spans="13:13">
      <c r="M5619" s="811"/>
    </row>
    <row r="5620" spans="13:13">
      <c r="M5620" s="811"/>
    </row>
    <row r="5621" spans="13:13">
      <c r="M5621" s="811"/>
    </row>
    <row r="5622" spans="13:13">
      <c r="M5622" s="811"/>
    </row>
    <row r="5623" spans="13:13">
      <c r="M5623" s="811"/>
    </row>
    <row r="5624" spans="13:13">
      <c r="M5624" s="811"/>
    </row>
    <row r="5625" spans="13:13">
      <c r="M5625" s="811"/>
    </row>
    <row r="5626" spans="13:13">
      <c r="M5626" s="811"/>
    </row>
    <row r="5627" spans="13:13">
      <c r="M5627" s="811"/>
    </row>
    <row r="5628" spans="13:13">
      <c r="M5628" s="811"/>
    </row>
    <row r="5629" spans="13:13">
      <c r="M5629" s="811"/>
    </row>
    <row r="5630" spans="13:13">
      <c r="M5630" s="811"/>
    </row>
    <row r="5631" spans="13:13">
      <c r="M5631" s="811"/>
    </row>
    <row r="5632" spans="13:13">
      <c r="M5632" s="811"/>
    </row>
    <row r="5633" spans="13:13">
      <c r="M5633" s="811"/>
    </row>
    <row r="5634" spans="13:13">
      <c r="M5634" s="811"/>
    </row>
    <row r="5635" spans="13:13">
      <c r="M5635" s="811"/>
    </row>
    <row r="5636" spans="13:13">
      <c r="M5636" s="811"/>
    </row>
    <row r="5637" spans="13:13">
      <c r="M5637" s="811"/>
    </row>
    <row r="5638" spans="13:13">
      <c r="M5638" s="811"/>
    </row>
    <row r="5639" spans="13:13">
      <c r="M5639" s="811"/>
    </row>
    <row r="5640" spans="13:13">
      <c r="M5640" s="811"/>
    </row>
    <row r="5641" spans="13:13">
      <c r="M5641" s="811"/>
    </row>
    <row r="5642" spans="13:13">
      <c r="M5642" s="811"/>
    </row>
    <row r="5643" spans="13:13">
      <c r="M5643" s="811"/>
    </row>
    <row r="5644" spans="13:13">
      <c r="M5644" s="811"/>
    </row>
    <row r="5645" spans="13:13">
      <c r="M5645" s="811"/>
    </row>
    <row r="5646" spans="13:13">
      <c r="M5646" s="811"/>
    </row>
    <row r="5647" spans="13:13">
      <c r="M5647" s="811"/>
    </row>
    <row r="5648" spans="13:13">
      <c r="M5648" s="811"/>
    </row>
    <row r="5649" spans="13:13">
      <c r="M5649" s="811"/>
    </row>
    <row r="5650" spans="13:13">
      <c r="M5650" s="811"/>
    </row>
    <row r="5651" spans="13:13">
      <c r="M5651" s="811"/>
    </row>
    <row r="5652" spans="13:13">
      <c r="M5652" s="811"/>
    </row>
    <row r="5653" spans="13:13">
      <c r="M5653" s="811"/>
    </row>
    <row r="5654" spans="13:13">
      <c r="M5654" s="811"/>
    </row>
    <row r="5655" spans="13:13">
      <c r="M5655" s="811"/>
    </row>
    <row r="5656" spans="13:13">
      <c r="M5656" s="811"/>
    </row>
    <row r="5657" spans="13:13">
      <c r="M5657" s="811"/>
    </row>
    <row r="5658" spans="13:13">
      <c r="M5658" s="811"/>
    </row>
    <row r="5659" spans="13:13">
      <c r="M5659" s="811"/>
    </row>
    <row r="5660" spans="13:13">
      <c r="M5660" s="811"/>
    </row>
    <row r="5661" spans="13:13">
      <c r="M5661" s="811"/>
    </row>
    <row r="5662" spans="13:13">
      <c r="M5662" s="811"/>
    </row>
    <row r="5663" spans="13:13">
      <c r="M5663" s="811"/>
    </row>
    <row r="5664" spans="13:13">
      <c r="M5664" s="811"/>
    </row>
    <row r="5665" spans="13:13">
      <c r="M5665" s="811"/>
    </row>
    <row r="5666" spans="13:13">
      <c r="M5666" s="811"/>
    </row>
    <row r="5667" spans="13:13">
      <c r="M5667" s="811"/>
    </row>
    <row r="5668" spans="13:13">
      <c r="M5668" s="811"/>
    </row>
    <row r="5669" spans="13:13">
      <c r="M5669" s="811"/>
    </row>
    <row r="5670" spans="13:13">
      <c r="M5670" s="811"/>
    </row>
    <row r="5671" spans="13:13">
      <c r="M5671" s="811"/>
    </row>
    <row r="5672" spans="13:13">
      <c r="M5672" s="811"/>
    </row>
    <row r="5673" spans="13:13">
      <c r="M5673" s="811"/>
    </row>
    <row r="5674" spans="13:13">
      <c r="M5674" s="811"/>
    </row>
    <row r="5675" spans="13:13">
      <c r="M5675" s="811"/>
    </row>
    <row r="5676" spans="13:13">
      <c r="M5676" s="811"/>
    </row>
    <row r="5677" spans="13:13">
      <c r="M5677" s="811"/>
    </row>
    <row r="5678" spans="13:13">
      <c r="M5678" s="811"/>
    </row>
    <row r="5679" spans="13:13">
      <c r="M5679" s="811"/>
    </row>
    <row r="5680" spans="13:13">
      <c r="M5680" s="811"/>
    </row>
    <row r="5681" spans="13:13">
      <c r="M5681" s="811"/>
    </row>
    <row r="5682" spans="13:13">
      <c r="M5682" s="811"/>
    </row>
    <row r="5683" spans="13:13">
      <c r="M5683" s="811"/>
    </row>
    <row r="5684" spans="13:13">
      <c r="M5684" s="811"/>
    </row>
    <row r="5685" spans="13:13">
      <c r="M5685" s="811"/>
    </row>
    <row r="5686" spans="13:13">
      <c r="M5686" s="811"/>
    </row>
    <row r="5687" spans="13:13">
      <c r="M5687" s="811"/>
    </row>
    <row r="5688" spans="13:13">
      <c r="M5688" s="811"/>
    </row>
    <row r="5689" spans="13:13">
      <c r="M5689" s="811"/>
    </row>
    <row r="5690" spans="13:13">
      <c r="M5690" s="811"/>
    </row>
    <row r="5691" spans="13:13">
      <c r="M5691" s="811"/>
    </row>
    <row r="5692" spans="13:13">
      <c r="M5692" s="811"/>
    </row>
    <row r="5693" spans="13:13">
      <c r="M5693" s="811"/>
    </row>
    <row r="5694" spans="13:13">
      <c r="M5694" s="811"/>
    </row>
    <row r="5695" spans="13:13">
      <c r="M5695" s="811"/>
    </row>
    <row r="5696" spans="13:13">
      <c r="M5696" s="811"/>
    </row>
    <row r="5697" spans="13:13">
      <c r="M5697" s="811"/>
    </row>
    <row r="5698" spans="13:13">
      <c r="M5698" s="811"/>
    </row>
    <row r="5699" spans="13:13">
      <c r="M5699" s="811"/>
    </row>
    <row r="5700" spans="13:13">
      <c r="M5700" s="811"/>
    </row>
    <row r="5701" spans="13:13">
      <c r="M5701" s="811"/>
    </row>
    <row r="5702" spans="13:13">
      <c r="M5702" s="811"/>
    </row>
    <row r="5703" spans="13:13">
      <c r="M5703" s="811"/>
    </row>
    <row r="5704" spans="13:13">
      <c r="M5704" s="811"/>
    </row>
    <row r="5705" spans="13:13">
      <c r="M5705" s="811"/>
    </row>
    <row r="5706" spans="13:13">
      <c r="M5706" s="811"/>
    </row>
    <row r="5707" spans="13:13">
      <c r="M5707" s="811"/>
    </row>
    <row r="5708" spans="13:13">
      <c r="M5708" s="811"/>
    </row>
    <row r="5709" spans="13:13">
      <c r="M5709" s="811"/>
    </row>
    <row r="5710" spans="13:13">
      <c r="M5710" s="811"/>
    </row>
    <row r="5711" spans="13:13">
      <c r="M5711" s="811"/>
    </row>
    <row r="5712" spans="13:13">
      <c r="M5712" s="811"/>
    </row>
    <row r="5713" spans="13:13">
      <c r="M5713" s="811"/>
    </row>
    <row r="5714" spans="13:13">
      <c r="M5714" s="811"/>
    </row>
    <row r="5715" spans="13:13">
      <c r="M5715" s="811"/>
    </row>
    <row r="5716" spans="13:13">
      <c r="M5716" s="811"/>
    </row>
    <row r="5717" spans="13:13">
      <c r="M5717" s="811"/>
    </row>
    <row r="5718" spans="13:13">
      <c r="M5718" s="811"/>
    </row>
    <row r="5719" spans="13:13">
      <c r="M5719" s="811"/>
    </row>
    <row r="5720" spans="13:13">
      <c r="M5720" s="811"/>
    </row>
    <row r="5721" spans="13:13">
      <c r="M5721" s="811"/>
    </row>
    <row r="5722" spans="13:13">
      <c r="M5722" s="811"/>
    </row>
    <row r="5723" spans="13:13">
      <c r="M5723" s="811"/>
    </row>
    <row r="5724" spans="13:13">
      <c r="M5724" s="811"/>
    </row>
    <row r="5725" spans="13:13">
      <c r="M5725" s="811"/>
    </row>
    <row r="5726" spans="13:13">
      <c r="M5726" s="811"/>
    </row>
    <row r="5727" spans="13:13">
      <c r="M5727" s="811"/>
    </row>
    <row r="5728" spans="13:13">
      <c r="M5728" s="811"/>
    </row>
    <row r="5729" spans="13:13">
      <c r="M5729" s="811"/>
    </row>
    <row r="5730" spans="13:13">
      <c r="M5730" s="811"/>
    </row>
    <row r="5731" spans="13:13">
      <c r="M5731" s="811"/>
    </row>
    <row r="5732" spans="13:13">
      <c r="M5732" s="811"/>
    </row>
    <row r="5733" spans="13:13">
      <c r="M5733" s="811"/>
    </row>
    <row r="5734" spans="13:13">
      <c r="M5734" s="811"/>
    </row>
    <row r="5735" spans="13:13">
      <c r="M5735" s="811"/>
    </row>
    <row r="5736" spans="13:13">
      <c r="M5736" s="811"/>
    </row>
    <row r="5737" spans="13:13">
      <c r="M5737" s="811"/>
    </row>
    <row r="5738" spans="13:13">
      <c r="M5738" s="811"/>
    </row>
    <row r="5739" spans="13:13">
      <c r="M5739" s="811"/>
    </row>
    <row r="5740" spans="13:13">
      <c r="M5740" s="811"/>
    </row>
    <row r="5741" spans="13:13">
      <c r="M5741" s="811"/>
    </row>
    <row r="5742" spans="13:13">
      <c r="M5742" s="811"/>
    </row>
    <row r="5743" spans="13:13">
      <c r="M5743" s="811"/>
    </row>
    <row r="5744" spans="13:13">
      <c r="M5744" s="811"/>
    </row>
    <row r="5745" spans="13:13">
      <c r="M5745" s="811"/>
    </row>
    <row r="5746" spans="13:13">
      <c r="M5746" s="811"/>
    </row>
    <row r="5747" spans="13:13">
      <c r="M5747" s="811"/>
    </row>
    <row r="5748" spans="13:13">
      <c r="M5748" s="811"/>
    </row>
    <row r="5749" spans="13:13">
      <c r="M5749" s="811"/>
    </row>
    <row r="5750" spans="13:13">
      <c r="M5750" s="811"/>
    </row>
    <row r="5751" spans="13:13">
      <c r="M5751" s="811"/>
    </row>
    <row r="5752" spans="13:13">
      <c r="M5752" s="811"/>
    </row>
    <row r="5753" spans="13:13">
      <c r="M5753" s="811"/>
    </row>
    <row r="5754" spans="13:13">
      <c r="M5754" s="811"/>
    </row>
    <row r="5755" spans="13:13">
      <c r="M5755" s="811"/>
    </row>
    <row r="5756" spans="13:13">
      <c r="M5756" s="811"/>
    </row>
    <row r="5757" spans="13:13">
      <c r="M5757" s="811"/>
    </row>
    <row r="5758" spans="13:13">
      <c r="M5758" s="811"/>
    </row>
    <row r="5759" spans="13:13">
      <c r="M5759" s="811"/>
    </row>
    <row r="5760" spans="13:13">
      <c r="M5760" s="811"/>
    </row>
    <row r="5761" spans="13:13">
      <c r="M5761" s="811"/>
    </row>
    <row r="5762" spans="13:13">
      <c r="M5762" s="811"/>
    </row>
    <row r="5763" spans="13:13">
      <c r="M5763" s="811"/>
    </row>
    <row r="5764" spans="13:13">
      <c r="M5764" s="811"/>
    </row>
    <row r="5765" spans="13:13">
      <c r="M5765" s="811"/>
    </row>
    <row r="5766" spans="13:13">
      <c r="M5766" s="811"/>
    </row>
    <row r="5767" spans="13:13">
      <c r="M5767" s="811"/>
    </row>
    <row r="5768" spans="13:13">
      <c r="M5768" s="811"/>
    </row>
    <row r="5769" spans="13:13">
      <c r="M5769" s="811"/>
    </row>
    <row r="5770" spans="13:13">
      <c r="M5770" s="811"/>
    </row>
    <row r="5771" spans="13:13">
      <c r="M5771" s="811"/>
    </row>
    <row r="5772" spans="13:13">
      <c r="M5772" s="811"/>
    </row>
    <row r="5773" spans="13:13">
      <c r="M5773" s="811"/>
    </row>
    <row r="5774" spans="13:13">
      <c r="M5774" s="811"/>
    </row>
    <row r="5775" spans="13:13">
      <c r="M5775" s="811"/>
    </row>
    <row r="5776" spans="13:13">
      <c r="M5776" s="811"/>
    </row>
    <row r="5777" spans="13:13">
      <c r="M5777" s="811"/>
    </row>
    <row r="5778" spans="13:13">
      <c r="M5778" s="811"/>
    </row>
    <row r="5779" spans="13:13">
      <c r="M5779" s="811"/>
    </row>
    <row r="5780" spans="13:13">
      <c r="M5780" s="811"/>
    </row>
    <row r="5781" spans="13:13">
      <c r="M5781" s="811"/>
    </row>
    <row r="5782" spans="13:13">
      <c r="M5782" s="811"/>
    </row>
    <row r="5783" spans="13:13">
      <c r="M5783" s="811"/>
    </row>
    <row r="5784" spans="13:13">
      <c r="M5784" s="811"/>
    </row>
    <row r="5785" spans="13:13">
      <c r="M5785" s="811"/>
    </row>
    <row r="5786" spans="13:13">
      <c r="M5786" s="811"/>
    </row>
    <row r="5787" spans="13:13">
      <c r="M5787" s="811"/>
    </row>
    <row r="5788" spans="13:13">
      <c r="M5788" s="811"/>
    </row>
    <row r="5789" spans="13:13">
      <c r="M5789" s="811"/>
    </row>
    <row r="5790" spans="13:13">
      <c r="M5790" s="811"/>
    </row>
    <row r="5791" spans="13:13">
      <c r="M5791" s="811"/>
    </row>
    <row r="5792" spans="13:13">
      <c r="M5792" s="811"/>
    </row>
    <row r="5793" spans="13:13">
      <c r="M5793" s="811"/>
    </row>
    <row r="5794" spans="13:13">
      <c r="M5794" s="811"/>
    </row>
    <row r="5795" spans="13:13">
      <c r="M5795" s="811"/>
    </row>
    <row r="5796" spans="13:13">
      <c r="M5796" s="811"/>
    </row>
    <row r="5797" spans="13:13">
      <c r="M5797" s="811"/>
    </row>
    <row r="5798" spans="13:13">
      <c r="M5798" s="811"/>
    </row>
    <row r="5799" spans="13:13">
      <c r="M5799" s="811"/>
    </row>
    <row r="5800" spans="13:13">
      <c r="M5800" s="811"/>
    </row>
    <row r="5801" spans="13:13">
      <c r="M5801" s="811"/>
    </row>
    <row r="5802" spans="13:13">
      <c r="M5802" s="811"/>
    </row>
    <row r="5803" spans="13:13">
      <c r="M5803" s="811"/>
    </row>
    <row r="5804" spans="13:13">
      <c r="M5804" s="811"/>
    </row>
    <row r="5805" spans="13:13">
      <c r="M5805" s="811"/>
    </row>
    <row r="5806" spans="13:13">
      <c r="M5806" s="811"/>
    </row>
    <row r="5807" spans="13:13">
      <c r="M5807" s="811"/>
    </row>
    <row r="5808" spans="13:13">
      <c r="M5808" s="811"/>
    </row>
    <row r="5809" spans="13:13">
      <c r="M5809" s="811"/>
    </row>
    <row r="5810" spans="13:13">
      <c r="M5810" s="811"/>
    </row>
    <row r="5811" spans="13:13">
      <c r="M5811" s="811"/>
    </row>
    <row r="5812" spans="13:13">
      <c r="M5812" s="811"/>
    </row>
    <row r="5813" spans="13:13">
      <c r="M5813" s="811"/>
    </row>
    <row r="5814" spans="13:13">
      <c r="M5814" s="811"/>
    </row>
    <row r="5815" spans="13:13">
      <c r="M5815" s="811"/>
    </row>
    <row r="5816" spans="13:13">
      <c r="M5816" s="811"/>
    </row>
    <row r="5817" spans="13:13">
      <c r="M5817" s="811"/>
    </row>
    <row r="5818" spans="13:13">
      <c r="M5818" s="811"/>
    </row>
    <row r="5819" spans="13:13">
      <c r="M5819" s="811"/>
    </row>
    <row r="5820" spans="13:13">
      <c r="M5820" s="811"/>
    </row>
    <row r="5821" spans="13:13">
      <c r="M5821" s="811"/>
    </row>
    <row r="5822" spans="13:13">
      <c r="M5822" s="811"/>
    </row>
    <row r="5823" spans="13:13">
      <c r="M5823" s="811"/>
    </row>
    <row r="5824" spans="13:13">
      <c r="M5824" s="811"/>
    </row>
    <row r="5825" spans="13:13">
      <c r="M5825" s="811"/>
    </row>
    <row r="5826" spans="13:13">
      <c r="M5826" s="811"/>
    </row>
    <row r="5827" spans="13:13">
      <c r="M5827" s="811"/>
    </row>
    <row r="5828" spans="13:13">
      <c r="M5828" s="811"/>
    </row>
    <row r="5829" spans="13:13">
      <c r="M5829" s="811"/>
    </row>
    <row r="5830" spans="13:13">
      <c r="M5830" s="811"/>
    </row>
    <row r="5831" spans="13:13">
      <c r="M5831" s="811"/>
    </row>
    <row r="5832" spans="13:13">
      <c r="M5832" s="811"/>
    </row>
    <row r="5833" spans="13:13">
      <c r="M5833" s="811"/>
    </row>
    <row r="5834" spans="13:13">
      <c r="M5834" s="811"/>
    </row>
    <row r="5835" spans="13:13">
      <c r="M5835" s="811"/>
    </row>
    <row r="5836" spans="13:13">
      <c r="M5836" s="811"/>
    </row>
    <row r="5837" spans="13:13">
      <c r="M5837" s="811"/>
    </row>
    <row r="5838" spans="13:13">
      <c r="M5838" s="811"/>
    </row>
    <row r="5839" spans="13:13">
      <c r="M5839" s="811"/>
    </row>
    <row r="5840" spans="13:13">
      <c r="M5840" s="811"/>
    </row>
    <row r="5841" spans="13:13">
      <c r="M5841" s="811"/>
    </row>
    <row r="5842" spans="13:13">
      <c r="M5842" s="811"/>
    </row>
    <row r="5843" spans="13:13">
      <c r="M5843" s="811"/>
    </row>
    <row r="5844" spans="13:13">
      <c r="M5844" s="811"/>
    </row>
    <row r="5845" spans="13:13">
      <c r="M5845" s="811"/>
    </row>
    <row r="5846" spans="13:13">
      <c r="M5846" s="811"/>
    </row>
    <row r="5847" spans="13:13">
      <c r="M5847" s="811"/>
    </row>
    <row r="5848" spans="13:13">
      <c r="M5848" s="811"/>
    </row>
    <row r="5849" spans="13:13">
      <c r="M5849" s="811"/>
    </row>
    <row r="5850" spans="13:13">
      <c r="M5850" s="811"/>
    </row>
    <row r="5851" spans="13:13">
      <c r="M5851" s="811"/>
    </row>
    <row r="5852" spans="13:13">
      <c r="M5852" s="811"/>
    </row>
    <row r="5853" spans="13:13">
      <c r="M5853" s="811"/>
    </row>
    <row r="5854" spans="13:13">
      <c r="M5854" s="811"/>
    </row>
    <row r="5855" spans="13:13">
      <c r="M5855" s="811"/>
    </row>
    <row r="5856" spans="13:13">
      <c r="M5856" s="811"/>
    </row>
    <row r="5857" spans="13:13">
      <c r="M5857" s="811"/>
    </row>
    <row r="5858" spans="13:13">
      <c r="M5858" s="811"/>
    </row>
    <row r="5859" spans="13:13">
      <c r="M5859" s="811"/>
    </row>
    <row r="5860" spans="13:13">
      <c r="M5860" s="811"/>
    </row>
    <row r="5861" spans="13:13">
      <c r="M5861" s="811"/>
    </row>
    <row r="5862" spans="13:13">
      <c r="M5862" s="811"/>
    </row>
    <row r="5863" spans="13:13">
      <c r="M5863" s="811"/>
    </row>
    <row r="5864" spans="13:13">
      <c r="M5864" s="811"/>
    </row>
    <row r="5865" spans="13:13">
      <c r="M5865" s="811"/>
    </row>
    <row r="5866" spans="13:13">
      <c r="M5866" s="811"/>
    </row>
    <row r="5867" spans="13:13">
      <c r="M5867" s="811"/>
    </row>
    <row r="5868" spans="13:13">
      <c r="M5868" s="811"/>
    </row>
    <row r="5869" spans="13:13">
      <c r="M5869" s="811"/>
    </row>
    <row r="5870" spans="13:13">
      <c r="M5870" s="811"/>
    </row>
    <row r="5871" spans="13:13">
      <c r="M5871" s="811"/>
    </row>
    <row r="5872" spans="13:13">
      <c r="M5872" s="811"/>
    </row>
    <row r="5873" spans="13:13">
      <c r="M5873" s="811"/>
    </row>
    <row r="5874" spans="13:13">
      <c r="M5874" s="811"/>
    </row>
    <row r="5875" spans="13:13">
      <c r="M5875" s="811"/>
    </row>
    <row r="5876" spans="13:13">
      <c r="M5876" s="811"/>
    </row>
    <row r="5877" spans="13:13">
      <c r="M5877" s="811"/>
    </row>
    <row r="5878" spans="13:13">
      <c r="M5878" s="811"/>
    </row>
    <row r="5879" spans="13:13">
      <c r="M5879" s="811"/>
    </row>
    <row r="5880" spans="13:13">
      <c r="M5880" s="811"/>
    </row>
    <row r="5881" spans="13:13">
      <c r="M5881" s="811"/>
    </row>
    <row r="5882" spans="13:13">
      <c r="M5882" s="811"/>
    </row>
    <row r="5883" spans="13:13">
      <c r="M5883" s="811"/>
    </row>
    <row r="5884" spans="13:13">
      <c r="M5884" s="811"/>
    </row>
    <row r="5885" spans="13:13">
      <c r="M5885" s="811"/>
    </row>
    <row r="5886" spans="13:13">
      <c r="M5886" s="811"/>
    </row>
    <row r="5887" spans="13:13">
      <c r="M5887" s="811"/>
    </row>
    <row r="5888" spans="13:13">
      <c r="M5888" s="811"/>
    </row>
    <row r="5889" spans="13:13">
      <c r="M5889" s="811"/>
    </row>
    <row r="5890" spans="13:13">
      <c r="M5890" s="811"/>
    </row>
    <row r="5891" spans="13:13">
      <c r="M5891" s="811"/>
    </row>
    <row r="5892" spans="13:13">
      <c r="M5892" s="811"/>
    </row>
    <row r="5893" spans="13:13">
      <c r="M5893" s="811"/>
    </row>
    <row r="5894" spans="13:13">
      <c r="M5894" s="811"/>
    </row>
    <row r="5895" spans="13:13">
      <c r="M5895" s="811"/>
    </row>
    <row r="5896" spans="13:13">
      <c r="M5896" s="811"/>
    </row>
    <row r="5897" spans="13:13">
      <c r="M5897" s="811"/>
    </row>
    <row r="5898" spans="13:13">
      <c r="M5898" s="811"/>
    </row>
    <row r="5899" spans="13:13">
      <c r="M5899" s="811"/>
    </row>
    <row r="5900" spans="13:13">
      <c r="M5900" s="811"/>
    </row>
    <row r="5901" spans="13:13">
      <c r="M5901" s="811"/>
    </row>
    <row r="5902" spans="13:13">
      <c r="M5902" s="811"/>
    </row>
    <row r="5903" spans="13:13">
      <c r="M5903" s="811"/>
    </row>
    <row r="5904" spans="13:13">
      <c r="M5904" s="811"/>
    </row>
    <row r="5905" spans="13:13">
      <c r="M5905" s="811"/>
    </row>
    <row r="5906" spans="13:13">
      <c r="M5906" s="811"/>
    </row>
    <row r="5907" spans="13:13">
      <c r="M5907" s="811"/>
    </row>
    <row r="5908" spans="13:13">
      <c r="M5908" s="811"/>
    </row>
    <row r="5909" spans="13:13">
      <c r="M5909" s="811"/>
    </row>
    <row r="5910" spans="13:13">
      <c r="M5910" s="811"/>
    </row>
    <row r="5911" spans="13:13">
      <c r="M5911" s="811"/>
    </row>
    <row r="5912" spans="13:13">
      <c r="M5912" s="811"/>
    </row>
    <row r="5913" spans="13:13">
      <c r="M5913" s="811"/>
    </row>
    <row r="5914" spans="13:13">
      <c r="M5914" s="811"/>
    </row>
    <row r="5915" spans="13:13">
      <c r="M5915" s="811"/>
    </row>
    <row r="5916" spans="13:13">
      <c r="M5916" s="811"/>
    </row>
    <row r="5917" spans="13:13">
      <c r="M5917" s="811"/>
    </row>
    <row r="5918" spans="13:13">
      <c r="M5918" s="811"/>
    </row>
    <row r="5919" spans="13:13">
      <c r="M5919" s="811"/>
    </row>
    <row r="5920" spans="13:13">
      <c r="M5920" s="811"/>
    </row>
    <row r="5921" spans="2:13">
      <c r="M5921" s="811"/>
    </row>
    <row r="5924" spans="2:13">
      <c r="B5924" s="6"/>
      <c r="D5924" s="1075"/>
    </row>
    <row r="5925" spans="2:13">
      <c r="B5925" s="6"/>
    </row>
    <row r="5926" spans="2:13">
      <c r="B5926" s="6"/>
      <c r="D5926" s="1075"/>
    </row>
    <row r="5927" spans="2:13">
      <c r="B5927" s="6"/>
      <c r="D5927" s="1075"/>
    </row>
    <row r="5928" spans="2:13">
      <c r="B5928" s="6"/>
      <c r="D5928" s="1075"/>
    </row>
    <row r="5929" spans="2:13">
      <c r="B5929" s="6"/>
      <c r="D5929" s="1075"/>
    </row>
    <row r="5930" spans="2:13">
      <c r="B5930" s="6"/>
      <c r="D5930" s="1075"/>
    </row>
    <row r="5931" spans="2:13">
      <c r="B5931" s="6"/>
      <c r="D5931" s="1075"/>
    </row>
    <row r="5932" spans="2:13">
      <c r="B5932" s="6"/>
      <c r="D5932" s="1075"/>
    </row>
    <row r="5933" spans="2:13">
      <c r="B5933" s="6"/>
      <c r="D5933" s="1075"/>
    </row>
    <row r="5934" spans="2:13">
      <c r="B5934" s="6"/>
      <c r="D5934" s="1075"/>
    </row>
    <row r="5935" spans="2:13">
      <c r="B5935" s="6"/>
      <c r="D5935" s="1075"/>
    </row>
    <row r="5936" spans="2:13">
      <c r="B5936" s="6"/>
      <c r="D5936" s="1075"/>
    </row>
    <row r="5937" spans="2:4">
      <c r="B5937" s="6"/>
      <c r="D5937" s="1075"/>
    </row>
    <row r="5938" spans="2:4">
      <c r="B5938" s="6"/>
      <c r="D5938" s="1075"/>
    </row>
    <row r="5939" spans="2:4">
      <c r="B5939" s="6"/>
      <c r="D5939" s="1075"/>
    </row>
    <row r="5940" spans="2:4">
      <c r="B5940" s="6"/>
      <c r="D5940" s="1075"/>
    </row>
    <row r="5941" spans="2:4">
      <c r="B5941" s="6"/>
      <c r="D5941" s="1075"/>
    </row>
    <row r="5942" spans="2:4">
      <c r="B5942" s="6"/>
      <c r="D5942" s="1075"/>
    </row>
    <row r="5943" spans="2:4">
      <c r="B5943" s="6"/>
      <c r="D5943" s="1075"/>
    </row>
    <row r="5944" spans="2:4">
      <c r="B5944" s="6"/>
      <c r="D5944" s="1075"/>
    </row>
    <row r="5945" spans="2:4">
      <c r="B5945" s="6"/>
      <c r="D5945" s="1075"/>
    </row>
    <row r="5946" spans="2:4">
      <c r="B5946" s="6"/>
      <c r="D5946" s="1075"/>
    </row>
    <row r="5947" spans="2:4">
      <c r="B5947" s="6"/>
      <c r="D5947" s="1075"/>
    </row>
    <row r="5948" spans="2:4">
      <c r="B5948" s="6"/>
      <c r="D5948" s="1075"/>
    </row>
    <row r="5949" spans="2:4">
      <c r="B5949" s="6"/>
      <c r="D5949" s="1075"/>
    </row>
    <row r="5950" spans="2:4">
      <c r="B5950" s="6"/>
      <c r="D5950" s="1075"/>
    </row>
    <row r="5951" spans="2:4">
      <c r="B5951" s="6"/>
      <c r="D5951" s="1075"/>
    </row>
    <row r="5952" spans="2:4">
      <c r="B5952" s="6"/>
      <c r="D5952" s="1075"/>
    </row>
    <row r="5953" spans="2:4">
      <c r="B5953" s="6"/>
      <c r="D5953" s="1075"/>
    </row>
    <row r="5954" spans="2:4">
      <c r="B5954" s="6"/>
      <c r="D5954" s="1075"/>
    </row>
    <row r="5955" spans="2:4">
      <c r="B5955" s="6"/>
      <c r="D5955" s="1075"/>
    </row>
    <row r="5956" spans="2:4">
      <c r="B5956" s="6"/>
      <c r="D5956" s="1075"/>
    </row>
    <row r="5957" spans="2:4">
      <c r="B5957" s="6"/>
      <c r="D5957" s="1075"/>
    </row>
    <row r="5958" spans="2:4">
      <c r="B5958" s="6"/>
      <c r="D5958" s="1075"/>
    </row>
    <row r="5959" spans="2:4">
      <c r="B5959" s="6"/>
      <c r="D5959" s="1075"/>
    </row>
    <row r="5960" spans="2:4">
      <c r="B5960" s="6"/>
      <c r="D5960" s="1075"/>
    </row>
    <row r="5961" spans="2:4">
      <c r="B5961" s="6"/>
      <c r="D5961" s="1075"/>
    </row>
    <row r="5962" spans="2:4">
      <c r="B5962" s="6"/>
      <c r="D5962" s="1075"/>
    </row>
    <row r="5963" spans="2:4">
      <c r="B5963" s="6"/>
      <c r="D5963" s="1075"/>
    </row>
    <row r="5964" spans="2:4">
      <c r="B5964" s="93"/>
      <c r="D5964" s="1075"/>
    </row>
    <row r="5965" spans="2:4">
      <c r="B5965" s="93"/>
    </row>
    <row r="5966" spans="2:4">
      <c r="B5966" s="93"/>
    </row>
    <row r="5967" spans="2:4">
      <c r="B5967" s="93"/>
    </row>
    <row r="5968" spans="2:4">
      <c r="B5968" s="93"/>
    </row>
    <row r="5969" spans="2:2">
      <c r="B5969" s="93"/>
    </row>
    <row r="5970" spans="2:2">
      <c r="B5970" s="93"/>
    </row>
    <row r="5971" spans="2:2">
      <c r="B5971" s="93"/>
    </row>
    <row r="5972" spans="2:2">
      <c r="B5972" s="93"/>
    </row>
    <row r="5973" spans="2:2">
      <c r="B5973" s="93"/>
    </row>
    <row r="5974" spans="2:2">
      <c r="B5974" s="93"/>
    </row>
    <row r="5975" spans="2:2">
      <c r="B5975" s="93"/>
    </row>
    <row r="5976" spans="2:2">
      <c r="B5976" s="93"/>
    </row>
    <row r="5977" spans="2:2">
      <c r="B5977" s="93"/>
    </row>
    <row r="5978" spans="2:2">
      <c r="B5978" s="93"/>
    </row>
    <row r="5979" spans="2:2">
      <c r="B5979" s="93"/>
    </row>
    <row r="5980" spans="2:2">
      <c r="B5980" s="93"/>
    </row>
    <row r="5981" spans="2:2">
      <c r="B5981" s="93"/>
    </row>
    <row r="5982" spans="2:2">
      <c r="B5982" s="93"/>
    </row>
    <row r="5983" spans="2:2">
      <c r="B5983" s="93"/>
    </row>
    <row r="5984" spans="2:2">
      <c r="B5984" s="93"/>
    </row>
    <row r="5985" spans="2:4">
      <c r="B5985" s="93"/>
    </row>
    <row r="5986" spans="2:4">
      <c r="B5986" s="93"/>
    </row>
    <row r="5987" spans="2:4">
      <c r="B5987" s="93"/>
    </row>
    <row r="5988" spans="2:4">
      <c r="B5988" s="93"/>
    </row>
    <row r="5989" spans="2:4">
      <c r="B5989" s="93"/>
    </row>
    <row r="5990" spans="2:4">
      <c r="B5990" s="93"/>
    </row>
    <row r="5991" spans="2:4">
      <c r="B5991" s="93"/>
    </row>
    <row r="5992" spans="2:4">
      <c r="B5992" s="93"/>
    </row>
    <row r="5993" spans="2:4">
      <c r="B5993" s="93"/>
    </row>
    <row r="5994" spans="2:4">
      <c r="B5994" s="93"/>
    </row>
    <row r="5995" spans="2:4">
      <c r="B5995" s="93"/>
    </row>
    <row r="5996" spans="2:4">
      <c r="B5996" s="92"/>
    </row>
    <row r="5997" spans="2:4">
      <c r="B5997" s="93"/>
    </row>
    <row r="5998" spans="2:4">
      <c r="B5998" s="92"/>
    </row>
    <row r="5999" spans="2:4">
      <c r="B5999" s="92"/>
      <c r="D5999" s="127"/>
    </row>
    <row r="6000" spans="2:4">
      <c r="B6000" s="93"/>
    </row>
    <row r="6001" spans="2:4">
      <c r="B6001" s="93"/>
      <c r="D6001" s="127"/>
    </row>
    <row r="6002" spans="2:4">
      <c r="B6002" s="92"/>
      <c r="D6002" s="127"/>
    </row>
    <row r="6003" spans="2:4">
      <c r="B6003" s="92"/>
    </row>
    <row r="6004" spans="2:4">
      <c r="B6004" s="92"/>
    </row>
    <row r="6005" spans="2:4">
      <c r="B6005" s="92"/>
      <c r="D6005" s="127"/>
    </row>
    <row r="6006" spans="2:4">
      <c r="B6006" s="93"/>
      <c r="D6006" s="127"/>
    </row>
    <row r="6007" spans="2:4">
      <c r="B6007" s="92"/>
      <c r="D6007" s="127"/>
    </row>
    <row r="6008" spans="2:4">
      <c r="B6008" s="93"/>
      <c r="D6008" s="127"/>
    </row>
    <row r="6009" spans="2:4">
      <c r="B6009" s="92"/>
    </row>
    <row r="6010" spans="2:4">
      <c r="B6010" s="93"/>
      <c r="D6010" s="127"/>
    </row>
    <row r="6011" spans="2:4">
      <c r="B6011" s="93"/>
    </row>
    <row r="6012" spans="2:4">
      <c r="B6012" s="93"/>
      <c r="D6012" s="127"/>
    </row>
    <row r="6013" spans="2:4">
      <c r="B6013" s="93"/>
    </row>
    <row r="6014" spans="2:4">
      <c r="B6014" s="93"/>
    </row>
    <row r="6015" spans="2:4">
      <c r="B6015" s="93"/>
    </row>
    <row r="6016" spans="2:4">
      <c r="B6016" s="93"/>
    </row>
    <row r="6017" spans="2:4">
      <c r="B6017" s="93"/>
    </row>
    <row r="6018" spans="2:4">
      <c r="B6018" s="93"/>
    </row>
    <row r="6019" spans="2:4">
      <c r="B6019" s="93"/>
    </row>
    <row r="6020" spans="2:4">
      <c r="B6020" s="93"/>
    </row>
    <row r="6021" spans="2:4">
      <c r="B6021" s="93"/>
    </row>
    <row r="6022" spans="2:4">
      <c r="B6022" s="93"/>
    </row>
    <row r="6023" spans="2:4">
      <c r="B6023" s="93"/>
    </row>
    <row r="6024" spans="2:4">
      <c r="B6024" s="92"/>
    </row>
    <row r="6025" spans="2:4">
      <c r="B6025" s="92"/>
    </row>
    <row r="6026" spans="2:4">
      <c r="B6026" s="92"/>
    </row>
    <row r="6027" spans="2:4">
      <c r="B6027" s="93"/>
      <c r="D6027" s="127"/>
    </row>
    <row r="6028" spans="2:4">
      <c r="B6028" s="93"/>
      <c r="D6028" s="127"/>
    </row>
    <row r="6029" spans="2:4">
      <c r="B6029" s="93"/>
      <c r="D6029" s="127"/>
    </row>
    <row r="6030" spans="2:4">
      <c r="B6030" s="93"/>
    </row>
    <row r="6031" spans="2:4">
      <c r="B6031" s="93"/>
    </row>
    <row r="6032" spans="2:4">
      <c r="B6032" s="93"/>
    </row>
    <row r="6033" spans="2:4">
      <c r="B6033" s="92"/>
    </row>
    <row r="6034" spans="2:4">
      <c r="B6034" s="93"/>
    </row>
    <row r="6035" spans="2:4">
      <c r="B6035" s="93"/>
    </row>
    <row r="6036" spans="2:4">
      <c r="B6036" s="93"/>
      <c r="D6036" s="127"/>
    </row>
    <row r="6037" spans="2:4">
      <c r="B6037" s="93"/>
    </row>
    <row r="6038" spans="2:4">
      <c r="B6038" s="93"/>
    </row>
    <row r="6039" spans="2:4">
      <c r="B6039" s="93"/>
    </row>
    <row r="6040" spans="2:4">
      <c r="B6040" s="93"/>
    </row>
    <row r="6041" spans="2:4">
      <c r="B6041" s="93"/>
    </row>
    <row r="6042" spans="2:4">
      <c r="B6042" s="93"/>
    </row>
    <row r="6043" spans="2:4">
      <c r="B6043" s="93"/>
    </row>
    <row r="6044" spans="2:4">
      <c r="B6044" s="93"/>
    </row>
    <row r="6045" spans="2:4">
      <c r="B6045" s="92"/>
    </row>
    <row r="6046" spans="2:4">
      <c r="B6046" s="92"/>
    </row>
    <row r="6047" spans="2:4">
      <c r="B6047" s="93"/>
    </row>
    <row r="6048" spans="2:4">
      <c r="B6048" s="93"/>
      <c r="D6048" s="127"/>
    </row>
    <row r="6049" spans="2:4">
      <c r="B6049" s="93"/>
      <c r="D6049" s="127"/>
    </row>
    <row r="6050" spans="2:4">
      <c r="B6050" s="92"/>
    </row>
    <row r="6051" spans="2:4">
      <c r="B6051" s="93"/>
    </row>
    <row r="6052" spans="2:4">
      <c r="B6052" s="93"/>
    </row>
    <row r="6053" spans="2:4">
      <c r="B6053" s="93"/>
      <c r="D6053" s="127"/>
    </row>
    <row r="6054" spans="2:4">
      <c r="B6054" s="93"/>
    </row>
    <row r="6055" spans="2:4">
      <c r="B6055" s="92"/>
    </row>
    <row r="6056" spans="2:4">
      <c r="B6056" s="93"/>
    </row>
    <row r="6057" spans="2:4">
      <c r="B6057" s="93"/>
    </row>
    <row r="6058" spans="2:4">
      <c r="B6058" s="92"/>
      <c r="D6058" s="127"/>
    </row>
    <row r="6059" spans="2:4">
      <c r="B6059" s="93"/>
    </row>
    <row r="6060" spans="2:4">
      <c r="B6060" s="93"/>
    </row>
    <row r="6061" spans="2:4">
      <c r="B6061" s="92"/>
      <c r="D6061" s="127"/>
    </row>
    <row r="6062" spans="2:4">
      <c r="B6062" s="92"/>
    </row>
    <row r="6063" spans="2:4">
      <c r="B6063" s="92"/>
    </row>
    <row r="6064" spans="2:4">
      <c r="B6064" s="92"/>
      <c r="D6064" s="127"/>
    </row>
    <row r="6065" spans="2:4">
      <c r="B6065" s="93"/>
      <c r="D6065" s="127"/>
    </row>
    <row r="6066" spans="2:4">
      <c r="B6066" s="93"/>
      <c r="D6066" s="127"/>
    </row>
    <row r="6067" spans="2:4">
      <c r="B6067" s="93"/>
      <c r="D6067" s="127"/>
    </row>
    <row r="6068" spans="2:4">
      <c r="B6068" s="92"/>
    </row>
    <row r="6069" spans="2:4">
      <c r="B6069" s="93"/>
    </row>
    <row r="6070" spans="2:4">
      <c r="B6070" s="93"/>
    </row>
    <row r="6071" spans="2:4">
      <c r="B6071" s="93"/>
      <c r="D6071" s="127"/>
    </row>
    <row r="6072" spans="2:4">
      <c r="B6072" s="93"/>
    </row>
    <row r="6073" spans="2:4">
      <c r="B6073" s="93"/>
    </row>
    <row r="6074" spans="2:4">
      <c r="B6074" s="93"/>
    </row>
    <row r="6075" spans="2:4">
      <c r="B6075" s="93"/>
    </row>
    <row r="6076" spans="2:4">
      <c r="B6076" s="93"/>
    </row>
    <row r="6077" spans="2:4">
      <c r="B6077" s="93"/>
    </row>
    <row r="6078" spans="2:4">
      <c r="B6078" s="93"/>
    </row>
    <row r="6079" spans="2:4">
      <c r="B6079" s="93"/>
    </row>
    <row r="6080" spans="2:4">
      <c r="B6080" s="93"/>
    </row>
    <row r="6081" spans="2:2">
      <c r="B6081" s="93"/>
    </row>
    <row r="6082" spans="2:2">
      <c r="B6082" s="93"/>
    </row>
    <row r="6083" spans="2:2">
      <c r="B6083" s="93"/>
    </row>
    <row r="6084" spans="2:2">
      <c r="B6084" s="93"/>
    </row>
    <row r="6085" spans="2:2">
      <c r="B6085" s="93"/>
    </row>
    <row r="6086" spans="2:2">
      <c r="B6086" s="93"/>
    </row>
    <row r="6087" spans="2:2">
      <c r="B6087" s="93"/>
    </row>
    <row r="6088" spans="2:2">
      <c r="B6088" s="93"/>
    </row>
    <row r="6089" spans="2:2">
      <c r="B6089" s="93"/>
    </row>
    <row r="6090" spans="2:2">
      <c r="B6090" s="93"/>
    </row>
    <row r="6091" spans="2:2">
      <c r="B6091" s="93"/>
    </row>
    <row r="6092" spans="2:2">
      <c r="B6092" s="93"/>
    </row>
    <row r="6093" spans="2:2">
      <c r="B6093" s="93"/>
    </row>
    <row r="6094" spans="2:2">
      <c r="B6094" s="93"/>
    </row>
    <row r="6095" spans="2:2">
      <c r="B6095" s="93"/>
    </row>
    <row r="6096" spans="2:2">
      <c r="B6096" s="93"/>
    </row>
    <row r="6097" spans="2:2">
      <c r="B6097" s="93"/>
    </row>
    <row r="6098" spans="2:2">
      <c r="B6098" s="93"/>
    </row>
    <row r="6099" spans="2:2">
      <c r="B6099" s="93"/>
    </row>
    <row r="6100" spans="2:2">
      <c r="B6100" s="93"/>
    </row>
    <row r="6101" spans="2:2">
      <c r="B6101" s="93"/>
    </row>
    <row r="6102" spans="2:2">
      <c r="B6102" s="93"/>
    </row>
    <row r="6103" spans="2:2">
      <c r="B6103" s="93"/>
    </row>
    <row r="6104" spans="2:2">
      <c r="B6104" s="93"/>
    </row>
    <row r="6105" spans="2:2">
      <c r="B6105" s="93"/>
    </row>
    <row r="6106" spans="2:2">
      <c r="B6106" s="93"/>
    </row>
    <row r="6107" spans="2:2">
      <c r="B6107" s="93"/>
    </row>
    <row r="6108" spans="2:2">
      <c r="B6108" s="93"/>
    </row>
    <row r="6109" spans="2:2">
      <c r="B6109" s="93"/>
    </row>
    <row r="6110" spans="2:2">
      <c r="B6110" s="93"/>
    </row>
    <row r="6111" spans="2:2">
      <c r="B6111" s="93"/>
    </row>
    <row r="6112" spans="2:2">
      <c r="B6112" s="93"/>
    </row>
    <row r="6113" spans="2:2">
      <c r="B6113" s="93"/>
    </row>
    <row r="6114" spans="2:2">
      <c r="B6114" s="93"/>
    </row>
    <row r="6115" spans="2:2">
      <c r="B6115" s="93"/>
    </row>
    <row r="6116" spans="2:2">
      <c r="B6116" s="93"/>
    </row>
    <row r="6117" spans="2:2">
      <c r="B6117" s="93"/>
    </row>
    <row r="6118" spans="2:2">
      <c r="B6118" s="93"/>
    </row>
    <row r="6119" spans="2:2">
      <c r="B6119" s="93"/>
    </row>
    <row r="6120" spans="2:2">
      <c r="B6120" s="93"/>
    </row>
    <row r="6121" spans="2:2">
      <c r="B6121" s="93"/>
    </row>
    <row r="6122" spans="2:2">
      <c r="B6122" s="93"/>
    </row>
    <row r="6123" spans="2:2">
      <c r="B6123" s="93"/>
    </row>
    <row r="6124" spans="2:2">
      <c r="B6124" s="93"/>
    </row>
    <row r="6125" spans="2:2">
      <c r="B6125" s="93"/>
    </row>
    <row r="6126" spans="2:2">
      <c r="B6126" s="93"/>
    </row>
    <row r="6127" spans="2:2">
      <c r="B6127" s="93"/>
    </row>
    <row r="6128" spans="2:2">
      <c r="B6128" s="93"/>
    </row>
    <row r="6129" spans="2:2">
      <c r="B6129" s="93"/>
    </row>
    <row r="6130" spans="2:2">
      <c r="B6130" s="93"/>
    </row>
    <row r="6131" spans="2:2">
      <c r="B6131" s="93"/>
    </row>
    <row r="6132" spans="2:2">
      <c r="B6132" s="93"/>
    </row>
    <row r="6133" spans="2:2">
      <c r="B6133" s="93"/>
    </row>
    <row r="6134" spans="2:2">
      <c r="B6134" s="93"/>
    </row>
    <row r="6135" spans="2:2">
      <c r="B6135" s="93"/>
    </row>
    <row r="6136" spans="2:2">
      <c r="B6136" s="93"/>
    </row>
    <row r="6137" spans="2:2">
      <c r="B6137" s="93"/>
    </row>
    <row r="6138" spans="2:2">
      <c r="B6138" s="93"/>
    </row>
    <row r="6139" spans="2:2">
      <c r="B6139" s="93"/>
    </row>
  </sheetData>
  <autoFilter ref="A1:DW6137">
    <filterColumn colId="3"/>
    <filterColumn colId="11" showButton="0"/>
    <filterColumn colId="22" showButton="0"/>
  </autoFilter>
  <mergeCells count="5">
    <mergeCell ref="L1:M1"/>
    <mergeCell ref="W1:X1"/>
    <mergeCell ref="GO1:GP1"/>
    <mergeCell ref="GQ1:GR1"/>
    <mergeCell ref="GS1:GT1"/>
  </mergeCells>
  <conditionalFormatting sqref="A1936:A1937 A2265:A2267 A1995:A1998 A1399 A1 A8:A19 A25:A35 A42 A75:A81 A104:A125 A129:A134 A141:A182 A192:A211 A220:A243 A249:A272 A276:A277 A323:A350 A371:A377 A424:A433 A451:A456 A509:A519 A860:A863 A904:A910 A925:A934 A949:A956 A980:A987 A804:A812 A816:A822 A827:A844 A744:A746 A754:A761 A614:A626 A646 A1108:A1147 A1778:A1780 A1634:A1644 A1666:A1668 A1673 A1512 A1526:A1529 A1537:A1554 A1561:A1587 A1592:A1604 A1416:A1425 A1440:A1457 A1469 A1472:A1474 A1476:A1492 A1348:A1352 A1368:A1371 A1378:A1393 A1324:A1335 A1258:A1261 A1193:A1196 A2244:A2253 A2281:A2282 A2117:A2121 A2166 A2012:A2018 A2022:A2040 A89:A98 A44:A53 A6871:A65536 A5246:A6869 A2298:A5213">
    <cfRule type="containsText" dxfId="129" priority="148" operator="containsText" text="LEGAL">
      <formula>NOT(ISERROR(SEARCH("LEGAL",A1)))</formula>
    </cfRule>
    <cfRule type="containsText" dxfId="128" priority="149" operator="containsText" text="ISF">
      <formula>NOT(ISERROR(SEARCH("ISF",A1)))</formula>
    </cfRule>
  </conditionalFormatting>
  <conditionalFormatting sqref="D1453 D2085 G1346 D1900 G2085 G1033:G1057 G1031 G1020 D2238 G2274 D1615 F1663 G1453:G1454 G1499:G1501 G1504 G1302 G1358 G1243 G1275 G1162 F1502:G1503 F1505:G1510 F1654 D2014:G2014 D2114:G2114 D2118:G2118 D2279:G2279 D1345:G1345 D1372:F1372 D1378:F1378 D1385:F1393 D1407:F1430 D1443:F1443 D1490:F1490 D1545:F1545 D1553:F1553 D1603:F1604 D2013:F2013 D2021:F2021 D2033:F2033 D2245:F2245 D2290:F2290 D2288:F2288 D2292:F2292 D1649:D1665 D1616:F1644 D1511:G1536 D1493:G1498 D1499:D1510 D1399:F1404 D1373:D1377 D1358:D1359 D1302:D1304 D1275:D1280 D1162:D1165 D1211:D1214 D1243:D1257 D1020:D1059 D2293 D2280 D2289 D2274:D2278 D2223:D2224">
    <cfRule type="containsText" dxfId="127" priority="147" operator="containsText" text="I-">
      <formula>NOT(ISERROR(SEARCH("I-",D1020)))</formula>
    </cfRule>
  </conditionalFormatting>
  <conditionalFormatting sqref="F1287:F1288 D1281:D1288">
    <cfRule type="containsText" dxfId="126" priority="146" operator="containsText" text="I-">
      <formula>NOT(ISERROR(SEARCH("I-",D1281)))</formula>
    </cfRule>
  </conditionalFormatting>
  <conditionalFormatting sqref="D1307:D1310">
    <cfRule type="containsText" dxfId="125" priority="144" operator="containsText" text="I-">
      <formula>NOT(ISERROR(SEARCH("I-",D1307)))</formula>
    </cfRule>
  </conditionalFormatting>
  <conditionalFormatting sqref="D1311:D1315">
    <cfRule type="containsText" dxfId="124" priority="143" operator="containsText" text="I-">
      <formula>NOT(ISERROR(SEARCH("I-",D1311)))</formula>
    </cfRule>
  </conditionalFormatting>
  <conditionalFormatting sqref="D1337:D1338">
    <cfRule type="containsText" dxfId="123" priority="142" operator="containsText" text="I-">
      <formula>NOT(ISERROR(SEARCH("I-",D1337)))</formula>
    </cfRule>
  </conditionalFormatting>
  <conditionalFormatting sqref="D1340">
    <cfRule type="containsText" dxfId="122" priority="141" operator="containsText" text="I-">
      <formula>NOT(ISERROR(SEARCH("I-",D1340)))</formula>
    </cfRule>
  </conditionalFormatting>
  <conditionalFormatting sqref="D1354:D1355">
    <cfRule type="containsText" dxfId="121" priority="140" operator="containsText" text="I-">
      <formula>NOT(ISERROR(SEARCH("I-",D1354)))</formula>
    </cfRule>
  </conditionalFormatting>
  <conditionalFormatting sqref="D1356:D1357">
    <cfRule type="containsText" dxfId="120" priority="139" operator="containsText" text="I-">
      <formula>NOT(ISERROR(SEARCH("I-",D1356)))</formula>
    </cfRule>
  </conditionalFormatting>
  <conditionalFormatting sqref="D1431:D1442 F1396:F1398 D1406 F1406 D1394:D1398">
    <cfRule type="containsText" dxfId="119" priority="136" operator="containsText" text="I-">
      <formula>NOT(ISERROR(SEARCH("I-",D1394)))</formula>
    </cfRule>
  </conditionalFormatting>
  <conditionalFormatting sqref="D1148:D1158">
    <cfRule type="containsText" dxfId="118" priority="135" operator="containsText" text="I-">
      <formula>NOT(ISERROR(SEARCH("I-",D1148)))</formula>
    </cfRule>
  </conditionalFormatting>
  <conditionalFormatting sqref="D1166:D1169">
    <cfRule type="containsText" dxfId="117" priority="134" operator="containsText" text="I-">
      <formula>NOT(ISERROR(SEARCH("I-",D1166)))</formula>
    </cfRule>
  </conditionalFormatting>
  <conditionalFormatting sqref="D1198:D1209">
    <cfRule type="containsText" dxfId="116" priority="133" operator="containsText" text="I-">
      <formula>NOT(ISERROR(SEARCH("I-",D1198)))</formula>
    </cfRule>
  </conditionalFormatting>
  <conditionalFormatting sqref="D1405">
    <cfRule type="containsText" dxfId="115" priority="130" operator="containsText" text="I-">
      <formula>NOT(ISERROR(SEARCH("I-",D1405)))</formula>
    </cfRule>
  </conditionalFormatting>
  <conditionalFormatting sqref="D1455">
    <cfRule type="containsText" dxfId="114" priority="128" operator="containsText" text="I-">
      <formula>NOT(ISERROR(SEARCH("I-",D1455)))</formula>
    </cfRule>
  </conditionalFormatting>
  <conditionalFormatting sqref="D1555">
    <cfRule type="containsText" dxfId="113" priority="124" operator="containsText" text="I-">
      <formula>NOT(ISERROR(SEARCH("I-",D1555)))</formula>
    </cfRule>
  </conditionalFormatting>
  <conditionalFormatting sqref="D1564">
    <cfRule type="containsText" dxfId="112" priority="123" operator="containsText" text="I-">
      <formula>NOT(ISERROR(SEARCH("I-",D1564)))</formula>
    </cfRule>
  </conditionalFormatting>
  <conditionalFormatting sqref="D1674:D1686">
    <cfRule type="containsText" dxfId="111" priority="122" operator="containsText" text="I-">
      <formula>NOT(ISERROR(SEARCH("I-",D1674)))</formula>
    </cfRule>
  </conditionalFormatting>
  <conditionalFormatting sqref="D1605:D1607">
    <cfRule type="containsText" dxfId="110" priority="121" operator="containsText" text="I-">
      <formula>NOT(ISERROR(SEARCH("I-",D1605)))</formula>
    </cfRule>
  </conditionalFormatting>
  <conditionalFormatting sqref="D1608:D1613">
    <cfRule type="containsText" dxfId="109" priority="120" operator="containsText" text="I-">
      <formula>NOT(ISERROR(SEARCH("I-",D1608)))</formula>
    </cfRule>
  </conditionalFormatting>
  <conditionalFormatting sqref="D1614">
    <cfRule type="containsText" dxfId="108" priority="119" operator="containsText" text="I-">
      <formula>NOT(ISERROR(SEARCH("I-",D1614)))</formula>
    </cfRule>
  </conditionalFormatting>
  <conditionalFormatting sqref="D1645:D1648">
    <cfRule type="containsText" dxfId="107" priority="116" operator="containsText" text="I-">
      <formula>NOT(ISERROR(SEARCH("I-",D1645)))</formula>
    </cfRule>
  </conditionalFormatting>
  <conditionalFormatting sqref="F1664:F1665">
    <cfRule type="containsText" dxfId="106" priority="115" operator="containsText" text="I-">
      <formula>NOT(ISERROR(SEARCH("I-",F1664)))</formula>
    </cfRule>
  </conditionalFormatting>
  <conditionalFormatting sqref="AO1925:AP1998 AP857:AP859 AO857:AO858 AO1659:AP1923 AO1657:AO1658 AO1924 AO1:AP856 AO860:AP1088 AO2009:AP65536 AO1090:AP1196 AO1198:AP1656">
    <cfRule type="notContainsBlanks" dxfId="105" priority="114">
      <formula>LEN(TRIM(AO1))&gt;0</formula>
    </cfRule>
  </conditionalFormatting>
  <conditionalFormatting sqref="AK1010:AK1013 AK1015:AK1088 AK1:AK1008 AK2009:AK65536 AK1090:AK1196 AK1198:AK1998">
    <cfRule type="notContainsBlanks" dxfId="104" priority="113">
      <formula>LEN(TRIM(AK1))&gt;0</formula>
    </cfRule>
  </conditionalFormatting>
  <conditionalFormatting sqref="AO1657:AP1658">
    <cfRule type="notContainsBlanks" dxfId="103" priority="111">
      <formula>LEN(TRIM(AO1657))&gt;0</formula>
    </cfRule>
  </conditionalFormatting>
  <conditionalFormatting sqref="D1701:D1706">
    <cfRule type="containsText" dxfId="102" priority="110" operator="containsText" text="I-">
      <formula>NOT(ISERROR(SEARCH("I-",D1701)))</formula>
    </cfRule>
  </conditionalFormatting>
  <conditionalFormatting sqref="D1751:D1756">
    <cfRule type="containsText" dxfId="101" priority="109" operator="containsText" text="I-">
      <formula>NOT(ISERROR(SEARCH("I-",D1751)))</formula>
    </cfRule>
  </conditionalFormatting>
  <conditionalFormatting sqref="F1760 D1760:D1761">
    <cfRule type="containsText" dxfId="100" priority="108" operator="containsText" text="I-">
      <formula>NOT(ISERROR(SEARCH("I-",D1760)))</formula>
    </cfRule>
  </conditionalFormatting>
  <conditionalFormatting sqref="D1772:D1777">
    <cfRule type="containsText" dxfId="99" priority="107" operator="containsText" text="I-">
      <formula>NOT(ISERROR(SEARCH("I-",D1772)))</formula>
    </cfRule>
  </conditionalFormatting>
  <conditionalFormatting sqref="AK1009">
    <cfRule type="notContainsBlanks" dxfId="98" priority="106">
      <formula>LEN(TRIM(AK1009))&gt;0</formula>
    </cfRule>
  </conditionalFormatting>
  <conditionalFormatting sqref="D1790">
    <cfRule type="containsText" dxfId="97" priority="104" operator="containsText" text="I-">
      <formula>NOT(ISERROR(SEARCH("I-",D1790)))</formula>
    </cfRule>
  </conditionalFormatting>
  <conditionalFormatting sqref="D1793:D1803 D1805:D1822">
    <cfRule type="containsText" dxfId="96" priority="103" operator="containsText" text="I-">
      <formula>NOT(ISERROR(SEARCH("I-",D1793)))</formula>
    </cfRule>
  </conditionalFormatting>
  <conditionalFormatting sqref="D1804">
    <cfRule type="containsText" dxfId="95" priority="102" operator="containsText" text="I-">
      <formula>NOT(ISERROR(SEARCH("I-",D1804)))</formula>
    </cfRule>
  </conditionalFormatting>
  <conditionalFormatting sqref="D1823:D1831">
    <cfRule type="containsText" dxfId="94" priority="101" operator="containsText" text="I-">
      <formula>NOT(ISERROR(SEARCH("I-",D1823)))</formula>
    </cfRule>
  </conditionalFormatting>
  <conditionalFormatting sqref="D1842:D1847">
    <cfRule type="containsText" dxfId="93" priority="100" operator="containsText" text="I-">
      <formula>NOT(ISERROR(SEARCH("I-",D1842)))</formula>
    </cfRule>
  </conditionalFormatting>
  <conditionalFormatting sqref="D1856:D1865">
    <cfRule type="containsText" dxfId="92" priority="99" operator="containsText" text="I-">
      <formula>NOT(ISERROR(SEARCH("I-",D1856)))</formula>
    </cfRule>
  </conditionalFormatting>
  <conditionalFormatting sqref="D1870">
    <cfRule type="containsText" dxfId="91" priority="98" operator="containsText" text="I-">
      <formula>NOT(ISERROR(SEARCH("I-",D1870)))</formula>
    </cfRule>
  </conditionalFormatting>
  <conditionalFormatting sqref="D1939">
    <cfRule type="containsText" dxfId="90" priority="96" operator="containsText" text="I-">
      <formula>NOT(ISERROR(SEARCH("I-",D1939)))</formula>
    </cfRule>
  </conditionalFormatting>
  <conditionalFormatting sqref="D1950">
    <cfRule type="containsText" dxfId="89" priority="95" operator="containsText" text="I-">
      <formula>NOT(ISERROR(SEARCH("I-",D1950)))</formula>
    </cfRule>
  </conditionalFormatting>
  <conditionalFormatting sqref="D1954">
    <cfRule type="containsText" dxfId="88" priority="94" operator="containsText" text="I-">
      <formula>NOT(ISERROR(SEARCH("I-",D1954)))</formula>
    </cfRule>
  </conditionalFormatting>
  <conditionalFormatting sqref="D1962:D1972">
    <cfRule type="containsText" dxfId="87" priority="93" operator="containsText" text="I-">
      <formula>NOT(ISERROR(SEARCH("I-",D1962)))</formula>
    </cfRule>
  </conditionalFormatting>
  <conditionalFormatting sqref="D1973:D1974">
    <cfRule type="containsText" dxfId="86" priority="92" operator="containsText" text="I-">
      <formula>NOT(ISERROR(SEARCH("I-",D1973)))</formula>
    </cfRule>
  </conditionalFormatting>
  <conditionalFormatting sqref="D1981:D1994">
    <cfRule type="containsText" dxfId="85" priority="91" operator="containsText" text="I-">
      <formula>NOT(ISERROR(SEARCH("I-",D1981)))</formula>
    </cfRule>
  </conditionalFormatting>
  <conditionalFormatting sqref="D1999:D2000">
    <cfRule type="containsText" dxfId="84" priority="90" operator="containsText" text="I-">
      <formula>NOT(ISERROR(SEARCH("I-",D1999)))</formula>
    </cfRule>
  </conditionalFormatting>
  <conditionalFormatting sqref="D2229:D2235">
    <cfRule type="containsText" dxfId="83" priority="89" operator="containsText" text="I-">
      <formula>NOT(ISERROR(SEARCH("I-",D2229)))</formula>
    </cfRule>
  </conditionalFormatting>
  <conditionalFormatting sqref="D2255:D2265 D2267 F2272:F2273">
    <cfRule type="containsText" dxfId="82" priority="88" operator="containsText" text="I-">
      <formula>NOT(ISERROR(SEARCH("I-",D2255)))</formula>
    </cfRule>
  </conditionalFormatting>
  <conditionalFormatting sqref="AH1:AJ135 AH136 AJ136 AH137:AJ1088 AH2009:AJ65536 AH1090:AJ1196 AH1198:AJ1998">
    <cfRule type="notContainsBlanks" dxfId="81" priority="150">
      <formula>LEN(TRIM(AH1))&gt;0</formula>
    </cfRule>
  </conditionalFormatting>
  <conditionalFormatting sqref="D2018">
    <cfRule type="containsText" dxfId="80" priority="86" operator="containsText" text="I-">
      <formula>NOT(ISERROR(SEARCH("I-",D2018)))</formula>
    </cfRule>
  </conditionalFormatting>
  <conditionalFormatting sqref="D2019">
    <cfRule type="containsText" dxfId="79" priority="85" operator="containsText" text="I-">
      <formula>NOT(ISERROR(SEARCH("I-",D2019)))</formula>
    </cfRule>
  </conditionalFormatting>
  <conditionalFormatting sqref="D2048:D2053">
    <cfRule type="containsText" dxfId="78" priority="82" operator="containsText" text="I-">
      <formula>NOT(ISERROR(SEARCH("I-",D2048)))</formula>
    </cfRule>
  </conditionalFormatting>
  <conditionalFormatting sqref="D2054:D2057">
    <cfRule type="containsText" dxfId="77" priority="81" operator="containsText" text="I-">
      <formula>NOT(ISERROR(SEARCH("I-",D2054)))</formula>
    </cfRule>
  </conditionalFormatting>
  <conditionalFormatting sqref="D2058:D2059">
    <cfRule type="containsText" dxfId="76" priority="80" operator="containsText" text="I-">
      <formula>NOT(ISERROR(SEARCH("I-",D2058)))</formula>
    </cfRule>
  </conditionalFormatting>
  <conditionalFormatting sqref="D2060">
    <cfRule type="containsText" dxfId="75" priority="79" operator="containsText" text="I-">
      <formula>NOT(ISERROR(SEARCH("I-",D2060)))</formula>
    </cfRule>
  </conditionalFormatting>
  <conditionalFormatting sqref="D2064:D2071">
    <cfRule type="containsText" dxfId="74" priority="78" operator="containsText" text="I-">
      <formula>NOT(ISERROR(SEARCH("I-",D2064)))</formula>
    </cfRule>
  </conditionalFormatting>
  <conditionalFormatting sqref="D2072:D2074">
    <cfRule type="containsText" dxfId="73" priority="77" operator="containsText" text="I-">
      <formula>NOT(ISERROR(SEARCH("I-",D2072)))</formula>
    </cfRule>
  </conditionalFormatting>
  <conditionalFormatting sqref="D2122:D2129">
    <cfRule type="containsText" dxfId="72" priority="76" operator="containsText" text="I-">
      <formula>NOT(ISERROR(SEARCH("I-",D2122)))</formula>
    </cfRule>
  </conditionalFormatting>
  <conditionalFormatting sqref="D2153:D2156">
    <cfRule type="containsText" dxfId="71" priority="75" operator="containsText" text="I-">
      <formula>NOT(ISERROR(SEARCH("I-",D2153)))</formula>
    </cfRule>
  </conditionalFormatting>
  <conditionalFormatting sqref="D2236:D2237">
    <cfRule type="containsText" dxfId="70" priority="72" operator="containsText" text="I-">
      <formula>NOT(ISERROR(SEARCH("I-",D2236)))</formula>
    </cfRule>
  </conditionalFormatting>
  <conditionalFormatting sqref="D2254">
    <cfRule type="containsText" dxfId="69" priority="69" operator="containsText" text="I-">
      <formula>NOT(ISERROR(SEARCH("I-",D2254)))</formula>
    </cfRule>
  </conditionalFormatting>
  <conditionalFormatting sqref="D2266">
    <cfRule type="containsText" dxfId="68" priority="68" operator="containsText" text="I-">
      <formula>NOT(ISERROR(SEARCH("I-",D2266)))</formula>
    </cfRule>
  </conditionalFormatting>
  <conditionalFormatting sqref="D2268:D2273">
    <cfRule type="containsText" dxfId="67" priority="67" operator="containsText" text="I-">
      <formula>NOT(ISERROR(SEARCH("I-",D2268)))</formula>
    </cfRule>
  </conditionalFormatting>
  <conditionalFormatting sqref="AO1999:AP2008">
    <cfRule type="notContainsBlanks" dxfId="66" priority="62">
      <formula>LEN(TRIM(AO1999))&gt;0</formula>
    </cfRule>
  </conditionalFormatting>
  <conditionalFormatting sqref="AK1999:AK2008">
    <cfRule type="notContainsBlanks" dxfId="65" priority="61">
      <formula>LEN(TRIM(AK1999))&gt;0</formula>
    </cfRule>
  </conditionalFormatting>
  <conditionalFormatting sqref="AH1999:AJ2008">
    <cfRule type="notContainsBlanks" dxfId="64" priority="63">
      <formula>LEN(TRIM(AH1999))&gt;0</formula>
    </cfRule>
  </conditionalFormatting>
  <conditionalFormatting sqref="AO1999:AO2008">
    <cfRule type="notContainsBlanks" dxfId="63" priority="60">
      <formula>LEN(TRIM(AO1999))&gt;0</formula>
    </cfRule>
  </conditionalFormatting>
  <conditionalFormatting sqref="AO859">
    <cfRule type="notContainsBlanks" dxfId="62" priority="58">
      <formula>LEN(TRIM(AO859))&gt;0</formula>
    </cfRule>
  </conditionalFormatting>
  <conditionalFormatting sqref="A928 A931:A932 A934 A904 A906 A908:A909 A839 A812 A819:A820 A1668 A1144:A1146 A1553:A1554 A1416:A1425 A1469 A1602:A1604 A1448:A1457 A626 A1634:A1644 A1512 A1473:A1474 A1476:A1477 A1368:A1371 A1378:A1384 A1324:A1326">
    <cfRule type="containsText" dxfId="61" priority="56" operator="containsText" text="ISF">
      <formula>NOT(ISERROR(SEARCH("ISF",A626)))</formula>
    </cfRule>
    <cfRule type="containsText" dxfId="60" priority="57" operator="containsText" text="LEGAL">
      <formula>NOT(ISERROR(SEARCH("LEGAL",A626)))</formula>
    </cfRule>
  </conditionalFormatting>
  <conditionalFormatting sqref="A928 A931:A932 A934 A904 A906 A908:A909 A839 A812 A819:A820 A1668 A1144:A1146 A1553:A1554 A1416:A1425 A1469 A1602:A1604 A1448:A1457 A626 A1634:A1644 A1512 A1473:A1474 A1476:A1477 A1368:A1371 A1378:A1384 A1324:A1326">
    <cfRule type="containsText" dxfId="59" priority="55" operator="containsText" text="Aux">
      <formula>NOT(ISERROR(SEARCH("Aux",A626)))</formula>
    </cfRule>
  </conditionalFormatting>
  <conditionalFormatting sqref="A1348:A1352">
    <cfRule type="containsText" dxfId="58" priority="52" operator="containsText" text="Aux">
      <formula>NOT(ISERROR(SEARCH("Aux",A1348)))</formula>
    </cfRule>
  </conditionalFormatting>
  <conditionalFormatting sqref="A1348:A1352">
    <cfRule type="containsText" dxfId="57" priority="47" operator="containsText" text="Aux">
      <formula>NOT(ISERROR(SEARCH("Aux",A1348)))</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sheetPr codeName="Sheet1" filterMode="1">
    <tabColor theme="9" tint="-0.249977111117893"/>
  </sheetPr>
  <dimension ref="A1:SC4392"/>
  <sheetViews>
    <sheetView tabSelected="1" zoomScale="130" zoomScaleNormal="130" workbookViewId="0">
      <pane xSplit="3" ySplit="4" topLeftCell="D487" activePane="bottomRight" state="frozen"/>
      <selection pane="topRight" activeCell="D1" sqref="D1"/>
      <selection pane="bottomLeft" activeCell="A5" sqref="A5"/>
      <selection pane="bottomRight" activeCell="D499" sqref="D499"/>
    </sheetView>
  </sheetViews>
  <sheetFormatPr defaultColWidth="14.140625" defaultRowHeight="12.75"/>
  <cols>
    <col min="1" max="1" width="10.28515625" style="17" customWidth="1"/>
    <col min="2" max="2" width="16.42578125" style="292" customWidth="1"/>
    <col min="3" max="3" width="10.5703125" style="19" customWidth="1"/>
    <col min="4" max="4" width="42.42578125" style="19" customWidth="1"/>
    <col min="5" max="5" width="67.5703125" style="7" customWidth="1"/>
    <col min="6" max="6" width="13.7109375" style="7" customWidth="1"/>
    <col min="7" max="7" width="9.7109375" style="7" customWidth="1"/>
    <col min="8" max="8" width="5.140625" style="19" customWidth="1"/>
    <col min="9" max="9" width="5.140625" style="8" customWidth="1"/>
    <col min="10" max="10" width="29" style="19" customWidth="1"/>
    <col min="11" max="13" width="13.7109375" style="7" customWidth="1"/>
    <col min="14" max="15" width="8.7109375" style="80" customWidth="1"/>
    <col min="16" max="16" width="23.5703125" style="19" customWidth="1"/>
    <col min="17" max="17" width="13.7109375" style="576" customWidth="1"/>
    <col min="18" max="18" width="6.85546875" style="30" customWidth="1"/>
    <col min="19" max="19" width="6.85546875" style="7" customWidth="1"/>
    <col min="20" max="20" width="7.42578125" style="7" customWidth="1"/>
    <col min="21" max="21" width="9" style="31" customWidth="1"/>
    <col min="22" max="22" width="11" style="7" customWidth="1"/>
    <col min="23" max="23" width="8.7109375" style="767" customWidth="1"/>
    <col min="24" max="24" width="11.28515625" style="29" customWidth="1"/>
    <col min="25" max="25" width="13.7109375" style="7" customWidth="1"/>
    <col min="26" max="27" width="9.28515625" style="7" customWidth="1"/>
    <col min="28" max="28" width="6.85546875" style="7" customWidth="1"/>
    <col min="29" max="31" width="5" style="7" customWidth="1"/>
    <col min="32" max="32" width="4.42578125" style="7" customWidth="1"/>
    <col min="33" max="33" width="11.5703125" style="7" customWidth="1"/>
    <col min="34" max="34" width="13.7109375" style="7" customWidth="1"/>
    <col min="35" max="35" width="56.140625" style="7" bestFit="1" customWidth="1"/>
    <col min="36" max="36" width="30.7109375" style="7" bestFit="1" customWidth="1"/>
    <col min="37" max="37" width="13.28515625" style="7" customWidth="1"/>
    <col min="38" max="38" width="13.28515625" style="122" customWidth="1"/>
    <col min="39" max="39" width="11.28515625" style="41" customWidth="1"/>
    <col min="40" max="40" width="9.28515625" style="52" customWidth="1"/>
    <col min="41" max="44" width="4.85546875" style="20" customWidth="1"/>
    <col min="45" max="49" width="5.85546875" style="7" customWidth="1"/>
    <col min="50" max="50" width="5.85546875" style="20" customWidth="1"/>
    <col min="51" max="54" width="5.85546875" style="7" customWidth="1"/>
    <col min="55" max="55" width="23.28515625" style="7" bestFit="1" customWidth="1"/>
    <col min="56" max="56" width="13.7109375" style="7" bestFit="1" customWidth="1"/>
    <col min="57" max="57" width="12.140625" style="7" bestFit="1" customWidth="1"/>
    <col min="58" max="58" width="12.140625" style="55" bestFit="1" customWidth="1"/>
    <col min="59" max="59" width="11.28515625" style="55" bestFit="1" customWidth="1"/>
    <col min="60" max="62" width="3.42578125" style="7" customWidth="1"/>
    <col min="63" max="63" width="10" style="7" customWidth="1"/>
    <col min="64" max="64" width="37.28515625" style="7" customWidth="1"/>
    <col min="65" max="65" width="14.42578125" style="7" customWidth="1"/>
    <col min="66" max="66" width="14.140625" style="7" customWidth="1"/>
    <col min="67" max="67" width="10.42578125" style="7" customWidth="1"/>
    <col min="68" max="68" width="10.42578125" style="41" customWidth="1"/>
    <col min="69" max="69" width="10.42578125" style="62" customWidth="1"/>
    <col min="70" max="70" width="10.28515625" style="50" customWidth="1"/>
    <col min="71" max="71" width="16.5703125" style="20" customWidth="1"/>
    <col min="72" max="73" width="4" style="7" customWidth="1"/>
    <col min="74" max="75" width="4.42578125" style="7" customWidth="1"/>
    <col min="76" max="76" width="4.42578125" style="55" customWidth="1"/>
    <col min="77" max="77" width="4.42578125" style="7" customWidth="1"/>
    <col min="78" max="78" width="4.42578125" style="55" customWidth="1"/>
    <col min="79" max="79" width="4.42578125" style="7" customWidth="1"/>
    <col min="80" max="80" width="3.85546875" style="7" customWidth="1"/>
    <col min="81" max="82" width="4.28515625" style="7" customWidth="1"/>
    <col min="83" max="83" width="4.28515625" style="73" customWidth="1"/>
    <col min="84" max="84" width="3.7109375" style="71" customWidth="1"/>
    <col min="85" max="85" width="3.7109375" style="72" customWidth="1"/>
    <col min="86" max="86" width="3.7109375" style="7" customWidth="1"/>
    <col min="87" max="95" width="4.28515625" style="7" customWidth="1"/>
    <col min="96" max="96" width="4.28515625" style="55" customWidth="1"/>
    <col min="97" max="98" width="4.28515625" style="7" customWidth="1"/>
    <col min="99" max="99" width="4.28515625" style="130" customWidth="1"/>
    <col min="100" max="104" width="4.28515625" style="7" customWidth="1"/>
    <col min="105" max="105" width="4.28515625" style="73" customWidth="1"/>
    <col min="106" max="108" width="4.28515625" style="7" customWidth="1"/>
    <col min="109" max="109" width="4.28515625" style="48" customWidth="1"/>
    <col min="110" max="117" width="4.28515625" style="7" customWidth="1"/>
    <col min="118" max="118" width="4.28515625" style="74" customWidth="1"/>
    <col min="119" max="122" width="4.28515625" style="7" customWidth="1"/>
    <col min="123" max="123" width="4.28515625" style="58" customWidth="1"/>
    <col min="124" max="126" width="4.28515625" style="7" customWidth="1"/>
    <col min="127" max="128" width="4.28515625" style="73" customWidth="1"/>
    <col min="129" max="129" width="4.28515625" style="152" customWidth="1"/>
    <col min="130" max="145" width="4.28515625" style="7" customWidth="1"/>
    <col min="146" max="146" width="4.28515625" style="19" customWidth="1"/>
    <col min="147" max="159" width="4.28515625" style="7" customWidth="1"/>
    <col min="160" max="160" width="4.28515625" style="55" customWidth="1"/>
    <col min="161" max="163" width="4.28515625" style="7" customWidth="1"/>
    <col min="164" max="164" width="4.42578125" style="7" customWidth="1"/>
    <col min="165" max="166" width="9.140625" style="7" customWidth="1"/>
    <col min="167" max="167" width="8.28515625" style="72" customWidth="1"/>
    <col min="168" max="168" width="9.140625" style="7" customWidth="1"/>
    <col min="169" max="171" width="9.140625" style="55" customWidth="1"/>
    <col min="172" max="173" width="9.140625" style="7" customWidth="1"/>
    <col min="174" max="184" width="3.7109375" style="7" customWidth="1"/>
    <col min="185" max="185" width="3.7109375" style="77" customWidth="1"/>
    <col min="186" max="186" width="3.7109375" style="30" customWidth="1"/>
    <col min="187" max="187" width="3.7109375" style="7" customWidth="1"/>
    <col min="188" max="189" width="3.7109375" style="55" customWidth="1"/>
    <col min="190" max="190" width="62.7109375" style="7" customWidth="1"/>
    <col min="191" max="191" width="14.42578125" style="7" customWidth="1"/>
    <col min="192" max="195" width="9.140625" style="7" customWidth="1"/>
    <col min="196" max="196" width="9.140625" style="103" customWidth="1"/>
    <col min="197" max="200" width="9.140625" style="7" customWidth="1"/>
    <col min="201" max="202" width="10.28515625" style="7" customWidth="1"/>
    <col min="203" max="216" width="9.140625" style="7" customWidth="1"/>
    <col min="217" max="225" width="4.7109375" style="7" customWidth="1"/>
    <col min="226" max="235" width="4.42578125" style="7" customWidth="1"/>
    <col min="236" max="239" width="9.140625" style="7" customWidth="1"/>
    <col min="240" max="240" width="19.42578125" style="7" customWidth="1"/>
    <col min="241" max="241" width="7.5703125" style="7" customWidth="1"/>
    <col min="242" max="242" width="9" style="7" customWidth="1"/>
    <col min="243" max="243" width="18.85546875" style="7" customWidth="1"/>
    <col min="244" max="244" width="19" style="7" customWidth="1"/>
    <col min="245" max="245" width="16.5703125" style="7" customWidth="1"/>
    <col min="246" max="246" width="17.42578125" style="7" customWidth="1"/>
    <col min="247" max="247" width="10.28515625" style="7" customWidth="1"/>
    <col min="248" max="248" width="21.7109375" style="7" customWidth="1"/>
    <col min="249" max="249" width="11.28515625" style="29" customWidth="1"/>
    <col min="250" max="250" width="18.28515625" style="7" customWidth="1"/>
    <col min="251" max="251" width="18.42578125" style="7" customWidth="1"/>
    <col min="252" max="252" width="18" style="7" customWidth="1"/>
    <col min="253" max="253" width="9" style="7" customWidth="1"/>
    <col min="254" max="254" width="14.85546875" style="7" customWidth="1"/>
    <col min="255" max="255" width="11.7109375" style="7" customWidth="1"/>
    <col min="256" max="264" width="14.140625" style="7"/>
    <col min="265" max="395" width="14.140625" style="7" customWidth="1"/>
    <col min="396" max="16384" width="14.140625" style="7"/>
  </cols>
  <sheetData>
    <row r="1" spans="1:497" s="89" customFormat="1" ht="15" customHeight="1">
      <c r="A1" s="757" t="s">
        <v>1197</v>
      </c>
      <c r="B1" s="751"/>
      <c r="C1" s="747"/>
      <c r="D1" s="747"/>
      <c r="E1" s="747"/>
      <c r="F1" s="747"/>
      <c r="G1" s="747"/>
      <c r="H1" s="747"/>
      <c r="I1" s="747"/>
      <c r="J1" s="747"/>
      <c r="K1" s="747"/>
      <c r="L1" s="747"/>
      <c r="M1" s="747"/>
      <c r="N1" s="748"/>
      <c r="O1" s="749"/>
      <c r="P1" s="2189" t="s">
        <v>1087</v>
      </c>
      <c r="Q1" s="2190"/>
      <c r="R1" s="2190"/>
      <c r="S1" s="2190"/>
      <c r="T1" s="2190"/>
      <c r="U1" s="2190"/>
      <c r="V1" s="2190"/>
      <c r="W1" s="2190"/>
      <c r="X1" s="2191"/>
      <c r="Y1" s="2190"/>
      <c r="Z1" s="2190"/>
      <c r="AA1" s="2190"/>
      <c r="AB1" s="2190"/>
      <c r="AC1" s="2190"/>
      <c r="AD1" s="2190"/>
      <c r="AE1" s="2190"/>
      <c r="AF1" s="2190"/>
      <c r="AG1" s="2182" t="s">
        <v>1198</v>
      </c>
      <c r="AH1" s="2129"/>
      <c r="AI1" s="2129"/>
      <c r="AJ1" s="2129"/>
      <c r="AK1" s="2129"/>
      <c r="AL1" s="2129"/>
      <c r="AM1" s="2129"/>
      <c r="AN1" s="2129"/>
      <c r="AO1" s="2129"/>
      <c r="AP1" s="2129"/>
      <c r="AQ1" s="2129"/>
      <c r="AR1" s="2130"/>
      <c r="AS1" s="2113" t="s">
        <v>1222</v>
      </c>
      <c r="AT1" s="2113"/>
      <c r="AU1" s="2113"/>
      <c r="AV1" s="2113"/>
      <c r="AW1" s="2113"/>
      <c r="AX1" s="2125"/>
      <c r="AY1" s="2113"/>
      <c r="AZ1" s="2113"/>
      <c r="BA1" s="2113"/>
      <c r="BB1" s="2113"/>
      <c r="BC1" s="2113"/>
      <c r="BD1" s="2113"/>
      <c r="BE1" s="2113"/>
      <c r="BF1" s="2113"/>
      <c r="BG1" s="2113"/>
      <c r="BH1" s="2123" t="s">
        <v>1394</v>
      </c>
      <c r="BI1" s="2123"/>
      <c r="BJ1" s="2123"/>
      <c r="BK1" s="368" t="s">
        <v>1393</v>
      </c>
      <c r="BL1" s="97"/>
      <c r="BM1" s="97"/>
      <c r="BN1" s="97"/>
      <c r="BO1" s="97"/>
      <c r="BP1" s="369"/>
      <c r="BQ1" s="370"/>
      <c r="BR1" s="1089"/>
      <c r="BS1" s="97"/>
      <c r="BT1" s="97"/>
      <c r="BU1" s="97"/>
      <c r="BV1" s="97"/>
      <c r="BW1" s="97"/>
      <c r="BX1" s="371"/>
      <c r="BY1" s="97"/>
      <c r="BZ1" s="97"/>
      <c r="CA1" s="372"/>
      <c r="CB1" s="387"/>
      <c r="CC1" s="2126" t="s">
        <v>5640</v>
      </c>
      <c r="CD1" s="2127"/>
      <c r="CE1" s="2127"/>
      <c r="CF1" s="2128"/>
      <c r="CG1" s="2128"/>
      <c r="CH1" s="2127"/>
      <c r="CI1" s="2127"/>
      <c r="CJ1" s="2127"/>
      <c r="CK1" s="2127"/>
      <c r="CL1" s="2127"/>
      <c r="CM1" s="2127"/>
      <c r="CN1" s="2127"/>
      <c r="CO1" s="2127"/>
      <c r="CP1" s="2129"/>
      <c r="CQ1" s="2129"/>
      <c r="CR1" s="2129"/>
      <c r="CS1" s="2129"/>
      <c r="CT1" s="2129"/>
      <c r="CU1" s="2129"/>
      <c r="CV1" s="2129"/>
      <c r="CW1" s="2129"/>
      <c r="CX1" s="2129"/>
      <c r="CY1" s="2129"/>
      <c r="CZ1" s="2129"/>
      <c r="DA1" s="2129"/>
      <c r="DB1" s="2129"/>
      <c r="DC1" s="2129"/>
      <c r="DD1" s="2129"/>
      <c r="DE1" s="2129"/>
      <c r="DF1" s="2129"/>
      <c r="DG1" s="2129"/>
      <c r="DH1" s="2129"/>
      <c r="DI1" s="2129"/>
      <c r="DJ1" s="2129"/>
      <c r="DK1" s="2129"/>
      <c r="DL1" s="2129"/>
      <c r="DM1" s="2129"/>
      <c r="DN1" s="2129"/>
      <c r="DO1" s="2129"/>
      <c r="DP1" s="2129"/>
      <c r="DQ1" s="2129"/>
      <c r="DR1" s="2129"/>
      <c r="DS1" s="2129"/>
      <c r="DT1" s="2129"/>
      <c r="DU1" s="2129"/>
      <c r="DV1" s="2129"/>
      <c r="DW1" s="2129"/>
      <c r="DX1" s="2129"/>
      <c r="DY1" s="2129"/>
      <c r="DZ1" s="2129"/>
      <c r="EA1" s="2129"/>
      <c r="EB1" s="2129"/>
      <c r="EC1" s="2129"/>
      <c r="ED1" s="2129"/>
      <c r="EE1" s="2129"/>
      <c r="EF1" s="2129"/>
      <c r="EG1" s="2129"/>
      <c r="EH1" s="2129"/>
      <c r="EI1" s="2129"/>
      <c r="EJ1" s="2129"/>
      <c r="EK1" s="2129"/>
      <c r="EL1" s="2129"/>
      <c r="EM1" s="2129"/>
      <c r="EN1" s="2129"/>
      <c r="EO1" s="2129"/>
      <c r="EP1" s="2129"/>
      <c r="EQ1" s="2129"/>
      <c r="ER1" s="2129"/>
      <c r="ES1" s="2129"/>
      <c r="ET1" s="2129"/>
      <c r="EU1" s="2129"/>
      <c r="EV1" s="2129"/>
      <c r="EW1" s="2129"/>
      <c r="EX1" s="2129"/>
      <c r="EY1" s="2129"/>
      <c r="EZ1" s="2129"/>
      <c r="FA1" s="2129"/>
      <c r="FB1" s="2129"/>
      <c r="FC1" s="2129"/>
      <c r="FD1" s="2129"/>
      <c r="FE1" s="2129"/>
      <c r="FF1" s="2129"/>
      <c r="FG1" s="2130"/>
      <c r="FH1" s="2147" t="s">
        <v>1676</v>
      </c>
      <c r="FI1" s="2147"/>
      <c r="FJ1" s="2148"/>
      <c r="FK1" s="2149"/>
      <c r="FL1" s="2148"/>
      <c r="FM1" s="2147"/>
      <c r="FN1" s="2147"/>
      <c r="FO1" s="2147"/>
      <c r="FP1" s="2147"/>
      <c r="FQ1" s="2147"/>
      <c r="FR1" s="2147" t="s">
        <v>1764</v>
      </c>
      <c r="FS1" s="2147"/>
      <c r="FT1" s="2147"/>
      <c r="FU1" s="2147"/>
      <c r="FV1" s="2147"/>
      <c r="FW1" s="2147"/>
      <c r="FX1" s="2147"/>
      <c r="FY1" s="2147"/>
      <c r="FZ1" s="2147"/>
      <c r="GA1" s="2147"/>
      <c r="GB1" s="2147"/>
      <c r="GC1" s="2147"/>
      <c r="GD1" s="2147"/>
      <c r="GE1" s="2147"/>
      <c r="GF1" s="2147"/>
      <c r="GG1" s="2147"/>
      <c r="GH1" s="2173" t="s">
        <v>1836</v>
      </c>
      <c r="GI1" s="2174"/>
      <c r="GJ1" s="2174"/>
      <c r="GK1" s="2174"/>
      <c r="GL1" s="2174"/>
      <c r="GM1" s="2174"/>
      <c r="GN1" s="2175"/>
      <c r="GO1" s="2174"/>
      <c r="GP1" s="2174"/>
      <c r="GQ1" s="2174"/>
      <c r="GR1" s="2174"/>
      <c r="GS1" s="2174"/>
      <c r="GT1" s="2174"/>
      <c r="GU1" s="2174"/>
      <c r="GV1" s="2174"/>
      <c r="GW1" s="2174"/>
      <c r="GX1" s="2174"/>
      <c r="GY1" s="2174"/>
      <c r="GZ1" s="2174"/>
      <c r="HA1" s="2174"/>
      <c r="HB1" s="2174"/>
      <c r="HC1" s="2174"/>
      <c r="HD1" s="2174"/>
      <c r="HE1" s="2174"/>
      <c r="HF1" s="2174"/>
      <c r="HG1" s="2174"/>
      <c r="HH1" s="2176"/>
      <c r="HI1" s="2173" t="s">
        <v>1837</v>
      </c>
      <c r="HJ1" s="2174"/>
      <c r="HK1" s="2174"/>
      <c r="HL1" s="2174"/>
      <c r="HM1" s="2174"/>
      <c r="HN1" s="2174"/>
      <c r="HO1" s="2174"/>
      <c r="HP1" s="2174"/>
      <c r="HQ1" s="2176"/>
      <c r="HR1" s="2199" t="s">
        <v>1852</v>
      </c>
      <c r="HS1" s="2200"/>
      <c r="HT1" s="2200"/>
      <c r="HU1" s="2200"/>
      <c r="HV1" s="2200"/>
      <c r="HW1" s="2200"/>
      <c r="HX1" s="2200"/>
      <c r="HY1" s="2200"/>
      <c r="HZ1" s="2200"/>
      <c r="IA1" s="2201"/>
      <c r="IB1" s="2113" t="s">
        <v>1858</v>
      </c>
      <c r="IC1" s="2113"/>
      <c r="ID1" s="2113"/>
      <c r="IE1" s="2113"/>
      <c r="IF1" s="2204" t="s">
        <v>2031</v>
      </c>
      <c r="IG1" s="2205"/>
      <c r="IH1" s="2205"/>
      <c r="II1" s="2205"/>
      <c r="IJ1" s="2205"/>
      <c r="IK1" s="2205"/>
      <c r="IL1" s="2205"/>
      <c r="IM1" s="2205"/>
      <c r="IN1" s="2205"/>
      <c r="IO1" s="2205"/>
      <c r="IP1" s="2205"/>
      <c r="IQ1" s="2205"/>
      <c r="IR1" s="2205"/>
      <c r="IS1" s="2205"/>
      <c r="IT1" s="2205"/>
      <c r="IU1" s="2205"/>
      <c r="IV1" s="2205"/>
      <c r="IW1" s="2205"/>
      <c r="IX1" s="2205"/>
      <c r="IY1" s="2205"/>
      <c r="IZ1" s="2205"/>
      <c r="JA1" s="2205"/>
      <c r="JB1" s="2205"/>
      <c r="JC1" s="2205"/>
      <c r="JD1" s="2205"/>
      <c r="JE1" s="1651"/>
      <c r="JF1" s="97"/>
      <c r="JG1" s="97"/>
      <c r="JH1" s="1657"/>
      <c r="JI1" s="1657"/>
      <c r="JJ1" s="2206" t="s">
        <v>12806</v>
      </c>
      <c r="JK1" s="2190"/>
      <c r="JL1" s="2190"/>
      <c r="JM1" s="2190"/>
      <c r="JN1" s="2190"/>
      <c r="JO1" s="2190"/>
      <c r="JP1" s="2190"/>
      <c r="JQ1" s="2190"/>
      <c r="JR1" s="2190"/>
      <c r="JS1" s="2190"/>
      <c r="JT1" s="2190"/>
      <c r="JU1" s="2190"/>
      <c r="JV1" s="2190"/>
      <c r="JW1" s="2190"/>
      <c r="JX1" s="2190"/>
      <c r="JY1" s="2190"/>
      <c r="JZ1" s="2190"/>
      <c r="KA1" s="2190"/>
      <c r="KB1" s="2190"/>
      <c r="KC1" s="2190"/>
      <c r="KD1" s="2190"/>
      <c r="KE1" s="2190"/>
      <c r="KF1" s="2190"/>
      <c r="KG1" s="2190"/>
      <c r="KH1" s="2190"/>
      <c r="KI1" s="2190"/>
      <c r="KJ1" s="2190"/>
      <c r="KK1" s="2190"/>
      <c r="KL1" s="2190"/>
      <c r="KM1" s="2190"/>
      <c r="KN1" s="2190"/>
      <c r="KO1" s="2190"/>
      <c r="KP1" s="2190"/>
      <c r="KQ1" s="2190"/>
      <c r="KR1" s="2190"/>
      <c r="KS1" s="2190"/>
      <c r="KT1" s="2190"/>
      <c r="KU1" s="2190"/>
      <c r="KV1" s="2190"/>
      <c r="KW1" s="2190"/>
      <c r="KX1" s="2190"/>
      <c r="KY1" s="2190"/>
      <c r="KZ1" s="2190"/>
      <c r="LA1" s="2190"/>
      <c r="LB1" s="2190"/>
      <c r="LC1" s="2190"/>
      <c r="LD1" s="2190"/>
      <c r="LE1" s="2190"/>
      <c r="LF1" s="2190"/>
      <c r="LG1" s="2190"/>
      <c r="LH1" s="2190"/>
      <c r="LI1" s="2190"/>
      <c r="LJ1" s="2190"/>
      <c r="LK1" s="2190"/>
      <c r="LL1" s="2190"/>
      <c r="LM1" s="2190"/>
      <c r="LN1" s="2190"/>
      <c r="LO1" s="2190"/>
      <c r="LP1" s="2204" t="s">
        <v>12807</v>
      </c>
      <c r="LQ1" s="2205"/>
      <c r="LR1" s="2205"/>
      <c r="LS1" s="2205"/>
      <c r="LT1" s="2205"/>
      <c r="LU1" s="2205"/>
      <c r="LV1" s="2205"/>
      <c r="LW1" s="2205"/>
      <c r="LX1" s="2207"/>
      <c r="LY1" s="2205"/>
      <c r="LZ1" s="2208"/>
      <c r="MA1" s="2209"/>
      <c r="MB1" s="2209"/>
      <c r="MC1" s="2209"/>
      <c r="MD1" s="2209"/>
      <c r="ME1" s="2209"/>
      <c r="MF1" s="2209"/>
      <c r="MG1" s="2209"/>
      <c r="MH1" s="2210"/>
      <c r="MI1" s="2225" t="s">
        <v>12808</v>
      </c>
      <c r="MJ1" s="2226"/>
      <c r="MK1" s="2226"/>
      <c r="ML1" s="2226"/>
      <c r="MM1" s="2226"/>
      <c r="MN1" s="2226"/>
      <c r="MO1" s="2226"/>
      <c r="MP1" s="2226"/>
      <c r="MQ1" s="2226"/>
      <c r="MR1" s="2226"/>
      <c r="MS1" s="2226"/>
      <c r="MT1" s="2226"/>
      <c r="MU1" s="2226"/>
      <c r="MV1" s="2226"/>
      <c r="MW1" s="2226"/>
      <c r="MX1" s="2226"/>
      <c r="MY1" s="2227"/>
      <c r="MZ1" s="2147" t="s">
        <v>12809</v>
      </c>
      <c r="NA1" s="2147"/>
      <c r="NB1" s="2147"/>
      <c r="NC1" s="2147"/>
      <c r="ND1" s="2147" t="s">
        <v>12810</v>
      </c>
      <c r="NE1" s="2147"/>
      <c r="NF1" s="2147"/>
      <c r="NG1" s="2147"/>
      <c r="NH1" s="2147"/>
      <c r="NI1" s="2147"/>
      <c r="NJ1" s="2147"/>
      <c r="NK1" s="2147"/>
      <c r="NL1" s="2147"/>
      <c r="NM1" s="2147"/>
      <c r="NN1" s="2147"/>
      <c r="NO1" s="2147"/>
      <c r="NP1" s="2147"/>
      <c r="NQ1" s="2147"/>
      <c r="NR1" s="2147"/>
      <c r="NS1" s="2147"/>
      <c r="NT1" s="2147"/>
      <c r="NU1" s="2147"/>
      <c r="NV1" s="2147"/>
      <c r="NW1" s="2147"/>
      <c r="NX1" s="2147"/>
      <c r="NY1" s="2147" t="s">
        <v>12811</v>
      </c>
      <c r="NZ1" s="2147"/>
      <c r="OA1" s="2147"/>
      <c r="OB1" s="2147"/>
      <c r="OC1" s="2147"/>
      <c r="OD1" s="2147"/>
      <c r="OE1" s="2147"/>
      <c r="OF1" s="2147" t="s">
        <v>12812</v>
      </c>
      <c r="OG1" s="2147"/>
      <c r="OH1" s="2147"/>
      <c r="OI1" s="2147"/>
      <c r="OJ1" s="2147"/>
      <c r="OK1" s="2147"/>
      <c r="OL1" s="2147"/>
      <c r="OM1" s="2147"/>
      <c r="ON1" s="2147"/>
      <c r="OO1" s="2147" t="s">
        <v>12813</v>
      </c>
      <c r="OP1" s="2147"/>
      <c r="OQ1" s="2147"/>
      <c r="OR1" s="2147"/>
      <c r="OS1" s="2147"/>
      <c r="OT1" s="2147"/>
      <c r="OU1" s="2147"/>
      <c r="OV1" s="2147"/>
      <c r="OW1" s="2147"/>
      <c r="OX1" s="2147"/>
      <c r="OY1" s="2147"/>
      <c r="OZ1" s="2147"/>
      <c r="PA1" s="2147"/>
      <c r="PB1" s="2147"/>
      <c r="PC1" s="2147"/>
      <c r="PD1" s="2147" t="s">
        <v>12814</v>
      </c>
      <c r="PE1" s="2147"/>
      <c r="PF1" s="2147"/>
      <c r="PG1" s="2147"/>
      <c r="PH1" s="2147"/>
      <c r="PI1" s="2147"/>
      <c r="PJ1" s="2147"/>
      <c r="PK1" s="2147"/>
      <c r="PL1" s="2147"/>
      <c r="PM1" s="2147"/>
      <c r="PN1" s="2147"/>
      <c r="PO1" s="2147"/>
      <c r="PP1" s="2147"/>
      <c r="PQ1" s="2147"/>
      <c r="PR1" s="2147"/>
      <c r="PS1" s="2147"/>
      <c r="PT1" s="2147"/>
      <c r="PU1" s="2147"/>
      <c r="PV1" s="2147"/>
      <c r="PW1" s="2147"/>
      <c r="PX1" s="2147"/>
      <c r="PY1" s="2147"/>
      <c r="PZ1" s="2147"/>
      <c r="QA1" s="2147"/>
      <c r="QB1" s="2147"/>
      <c r="QC1" s="2147"/>
      <c r="QD1" s="2147"/>
      <c r="QE1" s="2147"/>
      <c r="QF1" s="2147"/>
      <c r="QG1" s="2147"/>
      <c r="QH1" s="2147"/>
      <c r="QI1" s="2147"/>
      <c r="QJ1" s="2147"/>
      <c r="QK1" s="2147"/>
      <c r="QL1" s="2147"/>
      <c r="QM1" s="2147"/>
      <c r="QN1" s="2147"/>
      <c r="QO1" s="2147"/>
      <c r="QP1" s="2147"/>
      <c r="QQ1" s="2147"/>
      <c r="QR1" s="2147"/>
      <c r="QS1" s="2147"/>
      <c r="QT1" s="2147"/>
      <c r="QU1" s="2147"/>
      <c r="QV1" s="2147"/>
      <c r="QW1" s="2147"/>
      <c r="QX1" s="2147"/>
      <c r="QY1" s="2147"/>
      <c r="QZ1" s="2147"/>
      <c r="RA1" s="2147"/>
      <c r="RB1" s="2237" t="s">
        <v>12815</v>
      </c>
      <c r="RC1" s="2238"/>
      <c r="RD1" s="2238"/>
      <c r="RE1" s="2238"/>
      <c r="RF1" s="2239"/>
      <c r="RG1" s="2238"/>
      <c r="RH1" s="2240"/>
      <c r="RI1" s="2241"/>
      <c r="RJ1" s="2242"/>
      <c r="RK1" s="2238"/>
      <c r="RL1" s="2243"/>
      <c r="RN1" s="1658"/>
      <c r="RR1" s="1659"/>
      <c r="RV1" s="1660"/>
    </row>
    <row r="2" spans="1:497" s="89" customFormat="1" ht="15" customHeight="1">
      <c r="A2" s="756"/>
      <c r="B2" s="3"/>
      <c r="C2" s="3"/>
      <c r="D2" s="3"/>
      <c r="E2" s="1"/>
      <c r="F2" s="1"/>
      <c r="G2" s="1"/>
      <c r="H2" s="3"/>
      <c r="I2" s="2"/>
      <c r="J2" s="3"/>
      <c r="K2" s="1"/>
      <c r="L2" s="1"/>
      <c r="M2" s="1"/>
      <c r="N2" s="577"/>
      <c r="O2" s="577"/>
      <c r="P2" s="243"/>
      <c r="Q2" s="1084"/>
      <c r="R2" s="22"/>
      <c r="S2" s="107"/>
      <c r="T2" s="160"/>
      <c r="U2" s="23"/>
      <c r="V2" s="107"/>
      <c r="W2" s="786"/>
      <c r="X2" s="1091"/>
      <c r="Y2" s="238"/>
      <c r="Z2" s="107"/>
      <c r="AA2" s="153"/>
      <c r="AB2" s="621"/>
      <c r="AC2" s="2111" t="s">
        <v>1391</v>
      </c>
      <c r="AD2" s="2111"/>
      <c r="AE2" s="2111"/>
      <c r="AF2" s="107"/>
      <c r="AG2" s="2108"/>
      <c r="AH2" s="2109"/>
      <c r="AI2" s="2109"/>
      <c r="AJ2" s="2109"/>
      <c r="AK2" s="2109"/>
      <c r="AL2" s="2109"/>
      <c r="AM2" s="2109"/>
      <c r="AN2" s="2109"/>
      <c r="AO2" s="2110"/>
      <c r="AP2" s="2183" t="s">
        <v>5313</v>
      </c>
      <c r="AQ2" s="2184"/>
      <c r="AR2" s="2185"/>
      <c r="AS2" s="53"/>
      <c r="AT2" s="2097" t="s">
        <v>1392</v>
      </c>
      <c r="AU2" s="2098"/>
      <c r="AV2" s="2098"/>
      <c r="AW2" s="2098"/>
      <c r="AX2" s="2099"/>
      <c r="AY2" s="2098"/>
      <c r="AZ2" s="2098"/>
      <c r="BA2" s="2100"/>
      <c r="BB2" s="157"/>
      <c r="BC2" s="53"/>
      <c r="BD2" s="53"/>
      <c r="BE2" s="53"/>
      <c r="BF2" s="88"/>
      <c r="BG2" s="88"/>
      <c r="BH2" s="2036" t="s">
        <v>1223</v>
      </c>
      <c r="BI2" s="2036" t="s">
        <v>1224</v>
      </c>
      <c r="BJ2" s="2036" t="s">
        <v>1225</v>
      </c>
      <c r="BK2" s="98"/>
      <c r="BL2" s="99"/>
      <c r="BM2" s="99"/>
      <c r="BN2" s="99"/>
      <c r="BO2" s="99"/>
      <c r="BP2" s="313"/>
      <c r="BQ2" s="312"/>
      <c r="BR2" s="100"/>
      <c r="BS2" s="99"/>
      <c r="BT2" s="99"/>
      <c r="BU2" s="99"/>
      <c r="BV2" s="99"/>
      <c r="BW2" s="99"/>
      <c r="BX2" s="106"/>
      <c r="BY2" s="99"/>
      <c r="BZ2" s="99"/>
      <c r="CA2" s="99"/>
      <c r="CB2" s="428"/>
      <c r="CC2" s="2026" t="s">
        <v>5648</v>
      </c>
      <c r="CD2" s="2026"/>
      <c r="CE2" s="2026"/>
      <c r="CF2" s="2026"/>
      <c r="CG2" s="2026"/>
      <c r="CH2" s="2026"/>
      <c r="CI2" s="2026"/>
      <c r="CJ2" s="2026"/>
      <c r="CK2" s="2026"/>
      <c r="CL2" s="2026"/>
      <c r="CM2" s="2026"/>
      <c r="CN2" s="2026"/>
      <c r="CO2" s="2027"/>
      <c r="CP2" s="2131" t="s">
        <v>1398</v>
      </c>
      <c r="CQ2" s="2131"/>
      <c r="CR2" s="2131"/>
      <c r="CS2" s="2131"/>
      <c r="CT2" s="2131"/>
      <c r="CU2" s="2131"/>
      <c r="CV2" s="2131"/>
      <c r="CW2" s="2131"/>
      <c r="CX2" s="2132"/>
      <c r="CY2" s="2133" t="s">
        <v>1399</v>
      </c>
      <c r="CZ2" s="2133"/>
      <c r="DA2" s="2134"/>
      <c r="DB2" s="2133"/>
      <c r="DC2" s="2133"/>
      <c r="DD2" s="2133"/>
      <c r="DE2" s="2135"/>
      <c r="DF2" s="2133"/>
      <c r="DG2" s="2136"/>
      <c r="DH2" s="2137" t="s">
        <v>1400</v>
      </c>
      <c r="DI2" s="2137"/>
      <c r="DJ2" s="2137"/>
      <c r="DK2" s="2137"/>
      <c r="DL2" s="2137"/>
      <c r="DM2" s="2137"/>
      <c r="DN2" s="2138"/>
      <c r="DO2" s="2137"/>
      <c r="DP2" s="2139"/>
      <c r="DQ2" s="2140" t="s">
        <v>1401</v>
      </c>
      <c r="DR2" s="2141"/>
      <c r="DS2" s="2141"/>
      <c r="DT2" s="2141"/>
      <c r="DU2" s="2141"/>
      <c r="DV2" s="2141"/>
      <c r="DW2" s="2141"/>
      <c r="DX2" s="2141"/>
      <c r="DY2" s="2142"/>
      <c r="DZ2" s="2073" t="s">
        <v>1402</v>
      </c>
      <c r="EA2" s="2073"/>
      <c r="EB2" s="2073"/>
      <c r="EC2" s="2073"/>
      <c r="ED2" s="2073"/>
      <c r="EE2" s="2074"/>
      <c r="EF2" s="2075" t="s">
        <v>1403</v>
      </c>
      <c r="EG2" s="2075"/>
      <c r="EH2" s="2075"/>
      <c r="EI2" s="2075"/>
      <c r="EJ2" s="2075"/>
      <c r="EK2" s="2076"/>
      <c r="EL2" s="2069" t="s">
        <v>1404</v>
      </c>
      <c r="EM2" s="2069"/>
      <c r="EN2" s="2069"/>
      <c r="EO2" s="2069"/>
      <c r="EP2" s="2069"/>
      <c r="EQ2" s="2070"/>
      <c r="ER2" s="2047" t="s">
        <v>8109</v>
      </c>
      <c r="ES2" s="2048"/>
      <c r="ET2" s="2048"/>
      <c r="EU2" s="2048"/>
      <c r="EV2" s="2048"/>
      <c r="EW2" s="2048"/>
      <c r="EX2" s="2048"/>
      <c r="EY2" s="2048"/>
      <c r="EZ2" s="2071" t="s">
        <v>1405</v>
      </c>
      <c r="FA2" s="2071"/>
      <c r="FB2" s="2071"/>
      <c r="FC2" s="2071"/>
      <c r="FD2" s="2071"/>
      <c r="FE2" s="2071"/>
      <c r="FF2" s="2071"/>
      <c r="FG2" s="2072"/>
      <c r="FH2" s="81"/>
      <c r="FI2" s="91"/>
      <c r="FJ2" s="2152" t="s">
        <v>1677</v>
      </c>
      <c r="FK2" s="2153"/>
      <c r="FL2" s="2154"/>
      <c r="FM2" s="2150"/>
      <c r="FN2" s="2150"/>
      <c r="FO2" s="2151"/>
      <c r="FP2" s="81"/>
      <c r="FQ2" s="81"/>
      <c r="FR2" s="2193"/>
      <c r="FS2" s="2194"/>
      <c r="FT2" s="2194"/>
      <c r="FU2" s="2194"/>
      <c r="FV2" s="2194"/>
      <c r="FW2" s="2194"/>
      <c r="FX2" s="2194"/>
      <c r="FY2" s="2194"/>
      <c r="FZ2" s="2194"/>
      <c r="GA2" s="2194"/>
      <c r="GB2" s="2194"/>
      <c r="GC2" s="2194"/>
      <c r="GD2" s="2194"/>
      <c r="GE2" s="2194"/>
      <c r="GF2" s="2194"/>
      <c r="GG2" s="2195"/>
      <c r="GH2" s="113"/>
      <c r="GI2" s="113"/>
      <c r="GJ2" s="113"/>
      <c r="GK2" s="2078" t="s">
        <v>2311</v>
      </c>
      <c r="GL2" s="2078"/>
      <c r="GM2" s="113"/>
      <c r="GN2" s="102"/>
      <c r="GO2" s="113"/>
      <c r="GP2" s="2078" t="s">
        <v>2310</v>
      </c>
      <c r="GQ2" s="2078"/>
      <c r="GR2" s="2078"/>
      <c r="GS2" s="2078"/>
      <c r="GT2" s="2078"/>
      <c r="GU2" s="2078"/>
      <c r="GV2" s="2078"/>
      <c r="GW2" s="2078"/>
      <c r="GX2" s="2078"/>
      <c r="GY2" s="2078" t="s">
        <v>2309</v>
      </c>
      <c r="GZ2" s="2078"/>
      <c r="HA2" s="2078"/>
      <c r="HB2" s="2078"/>
      <c r="HC2" s="2078"/>
      <c r="HD2" s="2078"/>
      <c r="HE2" s="2078"/>
      <c r="HF2" s="2078"/>
      <c r="HG2" s="2177"/>
      <c r="HH2" s="2177"/>
      <c r="HI2" s="113"/>
      <c r="HJ2" s="113"/>
      <c r="HK2" s="113"/>
      <c r="HL2" s="113"/>
      <c r="HM2" s="113"/>
      <c r="HN2" s="113"/>
      <c r="HO2" s="101"/>
      <c r="HP2" s="101"/>
      <c r="HQ2" s="113"/>
      <c r="HR2" s="2202"/>
      <c r="HS2" s="2202"/>
      <c r="HT2" s="2202"/>
      <c r="HU2" s="2202"/>
      <c r="HV2" s="2202"/>
      <c r="HW2" s="2202"/>
      <c r="HX2" s="2202"/>
      <c r="HY2" s="2202"/>
      <c r="HZ2" s="2202"/>
      <c r="IA2" s="2203"/>
      <c r="IB2" s="83"/>
      <c r="IC2" s="83"/>
      <c r="ID2" s="83"/>
      <c r="IE2" s="83"/>
      <c r="IF2" s="86" t="s">
        <v>2033</v>
      </c>
      <c r="IG2" s="86"/>
      <c r="IH2" s="86"/>
      <c r="II2" s="86"/>
      <c r="IJ2" s="2211" t="s">
        <v>2032</v>
      </c>
      <c r="IK2" s="2212"/>
      <c r="IL2" s="2212"/>
      <c r="IM2" s="2212"/>
      <c r="IN2" s="2212"/>
      <c r="IO2" s="2212"/>
      <c r="IP2" s="2212"/>
      <c r="IQ2" s="2212"/>
      <c r="IR2" s="2212"/>
      <c r="IS2" s="2212"/>
      <c r="IT2" s="2212"/>
      <c r="IU2" s="2212"/>
      <c r="IV2" s="2212"/>
      <c r="IW2" s="2212"/>
      <c r="IX2" s="2212"/>
      <c r="IY2" s="2212"/>
      <c r="IZ2" s="2212"/>
      <c r="JA2" s="2212"/>
      <c r="JB2" s="2212"/>
      <c r="JC2" s="2212"/>
      <c r="JD2" s="2213"/>
      <c r="JE2" s="2214" t="s">
        <v>12816</v>
      </c>
      <c r="JF2" s="2214"/>
      <c r="JG2" s="2214"/>
      <c r="JH2" s="2215"/>
      <c r="JI2" s="1661"/>
      <c r="JJ2" s="2216" t="s">
        <v>12817</v>
      </c>
      <c r="JK2" s="2217"/>
      <c r="JL2" s="2218" t="s">
        <v>12818</v>
      </c>
      <c r="JM2" s="2218"/>
      <c r="JN2" s="2218"/>
      <c r="JO2" s="2218"/>
      <c r="JP2" s="2218"/>
      <c r="JQ2" s="2218"/>
      <c r="JR2" s="2218"/>
      <c r="JS2" s="2218"/>
      <c r="JT2" s="2218"/>
      <c r="JU2" s="2218"/>
      <c r="JV2" s="1662"/>
      <c r="JW2" s="1662"/>
      <c r="JX2" s="2217" t="s">
        <v>12819</v>
      </c>
      <c r="JY2" s="2217"/>
      <c r="JZ2" s="2217"/>
      <c r="KA2" s="2217"/>
      <c r="KB2" s="2217"/>
      <c r="KC2" s="2217"/>
      <c r="KD2" s="2217"/>
      <c r="KE2" s="2217"/>
      <c r="KF2" s="2217"/>
      <c r="KG2" s="2217"/>
      <c r="KH2" s="2217"/>
      <c r="KI2" s="2217"/>
      <c r="KJ2" s="2217"/>
      <c r="KK2" s="2217"/>
      <c r="KL2" s="1663"/>
      <c r="KM2" s="1663"/>
      <c r="KN2" s="1664"/>
      <c r="KO2" s="1665"/>
      <c r="KP2" s="2219" t="s">
        <v>2035</v>
      </c>
      <c r="KQ2" s="2219"/>
      <c r="KR2" s="2220" t="s">
        <v>12820</v>
      </c>
      <c r="KS2" s="2220"/>
      <c r="KT2" s="2220" t="s">
        <v>2134</v>
      </c>
      <c r="KU2" s="2220"/>
      <c r="KV2" s="2220" t="s">
        <v>2036</v>
      </c>
      <c r="KW2" s="2220"/>
      <c r="KX2" s="2220" t="s">
        <v>2135</v>
      </c>
      <c r="KY2" s="2220"/>
      <c r="KZ2" s="2220" t="s">
        <v>12821</v>
      </c>
      <c r="LA2" s="2220"/>
      <c r="LB2" s="2220" t="s">
        <v>2136</v>
      </c>
      <c r="LC2" s="2220"/>
      <c r="LD2" s="2220" t="s">
        <v>12822</v>
      </c>
      <c r="LE2" s="2220"/>
      <c r="LF2" s="2220" t="s">
        <v>2137</v>
      </c>
      <c r="LG2" s="2220"/>
      <c r="LH2" s="2220" t="s">
        <v>2037</v>
      </c>
      <c r="LI2" s="2220"/>
      <c r="LJ2" s="2219" t="s">
        <v>12823</v>
      </c>
      <c r="LK2" s="2219"/>
      <c r="LL2" s="2244" t="s">
        <v>12824</v>
      </c>
      <c r="LM2" s="2245"/>
      <c r="LN2" s="2125" t="s">
        <v>2034</v>
      </c>
      <c r="LO2" s="2125"/>
      <c r="LP2" s="2248" t="s">
        <v>12825</v>
      </c>
      <c r="LQ2" s="2251" t="s">
        <v>12826</v>
      </c>
      <c r="LR2" s="2252"/>
      <c r="LS2" s="2253"/>
      <c r="LT2" s="1666"/>
      <c r="LU2" s="2251" t="s">
        <v>12827</v>
      </c>
      <c r="LV2" s="2252"/>
      <c r="LW2" s="2254"/>
      <c r="LX2" s="2255" t="s">
        <v>12828</v>
      </c>
      <c r="LY2" s="2256"/>
      <c r="LZ2" s="2261" t="s">
        <v>12829</v>
      </c>
      <c r="MA2" s="2262"/>
      <c r="MB2" s="2262"/>
      <c r="MC2" s="2263" t="s">
        <v>12830</v>
      </c>
      <c r="MD2" s="2300" t="s">
        <v>12831</v>
      </c>
      <c r="ME2" s="2262"/>
      <c r="MF2" s="2301"/>
      <c r="MG2" s="2302" t="s">
        <v>12832</v>
      </c>
      <c r="MH2" s="2305" t="s">
        <v>12833</v>
      </c>
      <c r="MI2" s="2272"/>
      <c r="MJ2" s="2273"/>
      <c r="MK2" s="2273"/>
      <c r="ML2" s="2273"/>
      <c r="MM2" s="2273"/>
      <c r="MN2" s="2273"/>
      <c r="MO2" s="2273"/>
      <c r="MP2" s="2273"/>
      <c r="MQ2" s="2273"/>
      <c r="MR2" s="2273"/>
      <c r="MS2" s="2273"/>
      <c r="MT2" s="2273"/>
      <c r="MU2" s="2273"/>
      <c r="MV2" s="2273"/>
      <c r="MW2" s="2273"/>
      <c r="MX2" s="2274"/>
      <c r="MY2" s="1667"/>
      <c r="MZ2" s="2275"/>
      <c r="NA2" s="2276"/>
      <c r="NB2" s="2276"/>
      <c r="NC2" s="2277"/>
      <c r="ND2" s="2278"/>
      <c r="NE2" s="2278"/>
      <c r="NF2" s="2278"/>
      <c r="NG2" s="2278"/>
      <c r="NH2" s="2278"/>
      <c r="NI2" s="2278"/>
      <c r="NJ2" s="2278"/>
      <c r="NK2" s="2278"/>
      <c r="NL2" s="2278"/>
      <c r="NM2" s="2278"/>
      <c r="NN2" s="2278"/>
      <c r="NO2" s="2278"/>
      <c r="NP2" s="2278"/>
      <c r="NQ2" s="2278"/>
      <c r="NR2" s="2278"/>
      <c r="NS2" s="2278"/>
      <c r="NT2" s="2278"/>
      <c r="NU2" s="2278"/>
      <c r="NV2" s="2278"/>
      <c r="NW2" s="2278"/>
      <c r="NX2" s="2278"/>
      <c r="NY2" s="2279"/>
      <c r="NZ2" s="2280"/>
      <c r="OA2" s="2280"/>
      <c r="OB2" s="2280"/>
      <c r="OC2" s="2280"/>
      <c r="OD2" s="2280"/>
      <c r="OE2" s="2281"/>
      <c r="OF2" s="2228"/>
      <c r="OG2" s="2228"/>
      <c r="OH2" s="2228"/>
      <c r="OI2" s="2228"/>
      <c r="OJ2" s="2228"/>
      <c r="OK2" s="2228"/>
      <c r="OL2" s="2228"/>
      <c r="OM2" s="2228"/>
      <c r="ON2" s="2228"/>
      <c r="OO2" s="2229" t="s">
        <v>12834</v>
      </c>
      <c r="OP2" s="2313" t="s">
        <v>12835</v>
      </c>
      <c r="OQ2" s="2313"/>
      <c r="OR2" s="2313"/>
      <c r="OS2" s="2314" t="s">
        <v>12836</v>
      </c>
      <c r="OT2" s="2314"/>
      <c r="OU2" s="2314"/>
      <c r="OV2" s="2315" t="s">
        <v>12837</v>
      </c>
      <c r="OW2" s="2315"/>
      <c r="OX2" s="2315"/>
      <c r="OY2" s="2315"/>
      <c r="OZ2" s="2315"/>
      <c r="PA2" s="2315"/>
      <c r="PB2" s="2315"/>
      <c r="PC2" s="2315"/>
      <c r="PD2" s="2232" t="s">
        <v>12838</v>
      </c>
      <c r="PE2" s="2233"/>
      <c r="PF2" s="2233"/>
      <c r="PG2" s="2233"/>
      <c r="PH2" s="2233"/>
      <c r="PI2" s="2233"/>
      <c r="PJ2" s="2233"/>
      <c r="PK2" s="2233"/>
      <c r="PL2" s="2233"/>
      <c r="PM2" s="2233"/>
      <c r="PN2" s="2233"/>
      <c r="PO2" s="2233"/>
      <c r="PP2" s="2233"/>
      <c r="PQ2" s="2233"/>
      <c r="PR2" s="2233"/>
      <c r="PS2" s="2233"/>
      <c r="PT2" s="2233"/>
      <c r="PU2" s="2233"/>
      <c r="PV2" s="2233"/>
      <c r="PW2" s="2233"/>
      <c r="PX2" s="2233"/>
      <c r="PY2" s="2233"/>
      <c r="PZ2" s="2233"/>
      <c r="QA2" s="2233"/>
      <c r="QB2" s="2233"/>
      <c r="QC2" s="2233"/>
      <c r="QD2" s="2233"/>
      <c r="QE2" s="2233"/>
      <c r="QF2" s="2233"/>
      <c r="QG2" s="2233"/>
      <c r="QH2" s="2233"/>
      <c r="QI2" s="2233"/>
      <c r="QJ2" s="2233"/>
      <c r="QK2" s="2233"/>
      <c r="QL2" s="2233"/>
      <c r="QM2" s="2233"/>
      <c r="QN2" s="2233"/>
      <c r="QO2" s="2233"/>
      <c r="QP2" s="2233"/>
      <c r="QQ2" s="2233"/>
      <c r="QR2" s="2233"/>
      <c r="QS2" s="2233"/>
      <c r="QT2" s="2233"/>
      <c r="QU2" s="2233"/>
      <c r="QV2" s="2233"/>
      <c r="QW2" s="2233"/>
      <c r="QX2" s="2233"/>
      <c r="QY2" s="2233"/>
      <c r="QZ2" s="2233"/>
      <c r="RA2" s="2234"/>
      <c r="RB2" s="2282"/>
      <c r="RC2" s="2283"/>
      <c r="RD2" s="2283"/>
      <c r="RE2" s="2283"/>
      <c r="RF2" s="2284"/>
      <c r="RG2" s="2283"/>
      <c r="RH2" s="2285"/>
      <c r="RI2" s="2286"/>
      <c r="RJ2" s="2287" t="s">
        <v>12839</v>
      </c>
      <c r="RK2" s="2288"/>
      <c r="RL2" s="2288"/>
      <c r="RM2" s="2288"/>
      <c r="RN2" s="2289"/>
      <c r="RR2" s="1659"/>
      <c r="RV2" s="1660"/>
    </row>
    <row r="3" spans="1:497" s="89" customFormat="1" ht="15" customHeight="1">
      <c r="A3" s="758"/>
      <c r="B3" s="1006"/>
      <c r="C3" s="2045" t="s">
        <v>2964</v>
      </c>
      <c r="D3" s="2023" t="s">
        <v>0</v>
      </c>
      <c r="E3" s="2023" t="s">
        <v>1</v>
      </c>
      <c r="F3" s="2023" t="s">
        <v>2</v>
      </c>
      <c r="G3" s="2023" t="s">
        <v>3</v>
      </c>
      <c r="H3" s="2112" t="s">
        <v>4</v>
      </c>
      <c r="I3" s="2112"/>
      <c r="J3" s="2023" t="s">
        <v>5</v>
      </c>
      <c r="K3" s="2113" t="s">
        <v>691</v>
      </c>
      <c r="L3" s="2113"/>
      <c r="M3" s="2119" t="s">
        <v>693</v>
      </c>
      <c r="N3" s="2118" t="s">
        <v>692</v>
      </c>
      <c r="O3" s="2118"/>
      <c r="P3" s="2103" t="s">
        <v>694</v>
      </c>
      <c r="Q3" s="2192" t="s">
        <v>695</v>
      </c>
      <c r="R3" s="2114" t="s">
        <v>696</v>
      </c>
      <c r="S3" s="2103" t="s">
        <v>697</v>
      </c>
      <c r="T3" s="2121" t="s">
        <v>4</v>
      </c>
      <c r="U3" s="2122"/>
      <c r="V3" s="2103" t="s">
        <v>698</v>
      </c>
      <c r="W3" s="783"/>
      <c r="X3" s="1092"/>
      <c r="Y3" s="2103" t="s">
        <v>1</v>
      </c>
      <c r="Z3" s="2103" t="s">
        <v>699</v>
      </c>
      <c r="AA3" s="2103" t="s">
        <v>700</v>
      </c>
      <c r="AB3" s="2103" t="s">
        <v>701</v>
      </c>
      <c r="AC3" s="2104" t="s">
        <v>702</v>
      </c>
      <c r="AD3" s="2104" t="s">
        <v>703</v>
      </c>
      <c r="AE3" s="2104" t="s">
        <v>704</v>
      </c>
      <c r="AF3" s="2103" t="s">
        <v>705</v>
      </c>
      <c r="AG3" s="2055" t="s">
        <v>1088</v>
      </c>
      <c r="AH3" s="2055" t="s">
        <v>1089</v>
      </c>
      <c r="AI3" s="2055" t="s">
        <v>478</v>
      </c>
      <c r="AJ3" s="2055" t="s">
        <v>1090</v>
      </c>
      <c r="AK3" s="2055" t="s">
        <v>1091</v>
      </c>
      <c r="AL3" s="2056" t="s">
        <v>1092</v>
      </c>
      <c r="AM3" s="2057" t="s">
        <v>1093</v>
      </c>
      <c r="AN3" s="376"/>
      <c r="AO3" s="2106" t="s">
        <v>5806</v>
      </c>
      <c r="AP3" s="2186" t="s">
        <v>4636</v>
      </c>
      <c r="AQ3" s="2188"/>
      <c r="AR3" s="2017"/>
      <c r="AS3" s="2105" t="s">
        <v>1199</v>
      </c>
      <c r="AT3" s="2105" t="s">
        <v>1200</v>
      </c>
      <c r="AU3" s="2105" t="s">
        <v>1201</v>
      </c>
      <c r="AV3" s="2105" t="s">
        <v>1202</v>
      </c>
      <c r="AW3" s="2105" t="s">
        <v>1228</v>
      </c>
      <c r="AX3" s="2144" t="s">
        <v>1203</v>
      </c>
      <c r="AY3" s="2024" t="s">
        <v>1143</v>
      </c>
      <c r="AZ3" s="2105" t="s">
        <v>1204</v>
      </c>
      <c r="BA3" s="2024" t="s">
        <v>4582</v>
      </c>
      <c r="BB3" s="2101" t="s">
        <v>4789</v>
      </c>
      <c r="BC3" s="2105" t="s">
        <v>1205</v>
      </c>
      <c r="BD3" s="2105" t="s">
        <v>1201</v>
      </c>
      <c r="BE3" s="2115" t="s">
        <v>1206</v>
      </c>
      <c r="BF3" s="2124" t="s">
        <v>1221</v>
      </c>
      <c r="BG3" s="2124"/>
      <c r="BH3" s="2036"/>
      <c r="BI3" s="2036"/>
      <c r="BJ3" s="2036"/>
      <c r="BK3" s="2059" t="s">
        <v>1229</v>
      </c>
      <c r="BL3" s="519" t="s">
        <v>5834</v>
      </c>
      <c r="BM3" s="2037" t="s">
        <v>1089</v>
      </c>
      <c r="BN3" s="2037" t="s">
        <v>1091</v>
      </c>
      <c r="BO3" s="2037" t="s">
        <v>1231</v>
      </c>
      <c r="BP3" s="2043" t="s">
        <v>1232</v>
      </c>
      <c r="BQ3" s="2043" t="s">
        <v>1233</v>
      </c>
      <c r="BR3" s="374"/>
      <c r="BS3" s="2038" t="s">
        <v>5806</v>
      </c>
      <c r="BT3" s="2037" t="s">
        <v>1234</v>
      </c>
      <c r="BU3" s="2037" t="s">
        <v>1235</v>
      </c>
      <c r="BV3" s="2037" t="s">
        <v>1236</v>
      </c>
      <c r="BW3" s="2037" t="s">
        <v>1237</v>
      </c>
      <c r="BX3" s="2032" t="s">
        <v>1406</v>
      </c>
      <c r="BY3" s="2030" t="s">
        <v>2255</v>
      </c>
      <c r="BZ3" s="2032" t="s">
        <v>2256</v>
      </c>
      <c r="CA3" s="2034" t="s">
        <v>1407</v>
      </c>
      <c r="CB3" s="2063" t="s">
        <v>5807</v>
      </c>
      <c r="CC3" s="2049" t="s">
        <v>478</v>
      </c>
      <c r="CD3" s="2049" t="s">
        <v>1237</v>
      </c>
      <c r="CE3" s="2051" t="s">
        <v>1406</v>
      </c>
      <c r="CF3" s="2053" t="s">
        <v>1395</v>
      </c>
      <c r="CG3" s="2053"/>
      <c r="CH3" s="2054"/>
      <c r="CI3" s="2065" t="s">
        <v>1396</v>
      </c>
      <c r="CJ3" s="2065"/>
      <c r="CK3" s="2143" t="s">
        <v>1397</v>
      </c>
      <c r="CL3" s="2143"/>
      <c r="CM3" s="2143"/>
      <c r="CN3" s="2143"/>
      <c r="CO3" s="2066" t="s">
        <v>1412</v>
      </c>
      <c r="CP3" s="2041" t="s">
        <v>478</v>
      </c>
      <c r="CQ3" s="2031" t="s">
        <v>1237</v>
      </c>
      <c r="CR3" s="2033" t="s">
        <v>1413</v>
      </c>
      <c r="CS3" s="2031" t="s">
        <v>1414</v>
      </c>
      <c r="CT3" s="2031" t="s">
        <v>1229</v>
      </c>
      <c r="CU3" s="2116" t="s">
        <v>1415</v>
      </c>
      <c r="CV3" s="2031" t="s">
        <v>1416</v>
      </c>
      <c r="CW3" s="2031" t="s">
        <v>1417</v>
      </c>
      <c r="CX3" s="2031" t="s">
        <v>1418</v>
      </c>
      <c r="CY3" s="2041" t="s">
        <v>478</v>
      </c>
      <c r="CZ3" s="2031" t="s">
        <v>1237</v>
      </c>
      <c r="DA3" s="2067" t="s">
        <v>1406</v>
      </c>
      <c r="DB3" s="2031" t="s">
        <v>1419</v>
      </c>
      <c r="DC3" s="2031" t="s">
        <v>1229</v>
      </c>
      <c r="DD3" s="2031" t="s">
        <v>1420</v>
      </c>
      <c r="DE3" s="2061" t="s">
        <v>1421</v>
      </c>
      <c r="DF3" s="2031" t="s">
        <v>1422</v>
      </c>
      <c r="DG3" s="2031" t="s">
        <v>1094</v>
      </c>
      <c r="DH3" s="2041" t="s">
        <v>478</v>
      </c>
      <c r="DI3" s="2031" t="s">
        <v>1237</v>
      </c>
      <c r="DJ3" s="2031" t="s">
        <v>1406</v>
      </c>
      <c r="DK3" s="2031" t="s">
        <v>1419</v>
      </c>
      <c r="DL3" s="2031" t="s">
        <v>1229</v>
      </c>
      <c r="DM3" s="2031" t="s">
        <v>1420</v>
      </c>
      <c r="DN3" s="2145" t="s">
        <v>1421</v>
      </c>
      <c r="DO3" s="2031" t="s">
        <v>1422</v>
      </c>
      <c r="DP3" s="2031" t="s">
        <v>1094</v>
      </c>
      <c r="DQ3" s="2041" t="s">
        <v>478</v>
      </c>
      <c r="DR3" s="2031" t="s">
        <v>1237</v>
      </c>
      <c r="DS3" s="2028" t="s">
        <v>1406</v>
      </c>
      <c r="DT3" s="2031" t="s">
        <v>1423</v>
      </c>
      <c r="DU3" s="2031" t="s">
        <v>1229</v>
      </c>
      <c r="DV3" s="2031" t="s">
        <v>1420</v>
      </c>
      <c r="DW3" s="2167" t="s">
        <v>1421</v>
      </c>
      <c r="DX3" s="2163" t="s">
        <v>1233</v>
      </c>
      <c r="DY3" s="2165" t="s">
        <v>1094</v>
      </c>
      <c r="DZ3" s="2041" t="s">
        <v>478</v>
      </c>
      <c r="EA3" s="2031" t="s">
        <v>1094</v>
      </c>
      <c r="EB3" s="2031" t="s">
        <v>1237</v>
      </c>
      <c r="EC3" s="2031" t="s">
        <v>1406</v>
      </c>
      <c r="ED3" s="2031" t="s">
        <v>1229</v>
      </c>
      <c r="EE3" s="2031" t="s">
        <v>1420</v>
      </c>
      <c r="EF3" s="2041" t="s">
        <v>478</v>
      </c>
      <c r="EG3" s="2031" t="s">
        <v>1094</v>
      </c>
      <c r="EH3" s="2031" t="s">
        <v>1237</v>
      </c>
      <c r="EI3" s="2031" t="s">
        <v>1406</v>
      </c>
      <c r="EJ3" s="2031" t="s">
        <v>1229</v>
      </c>
      <c r="EK3" s="2031" t="s">
        <v>1420</v>
      </c>
      <c r="EL3" s="2041" t="s">
        <v>478</v>
      </c>
      <c r="EM3" s="2031" t="s">
        <v>1094</v>
      </c>
      <c r="EN3" s="2031" t="s">
        <v>1237</v>
      </c>
      <c r="EO3" s="2031" t="s">
        <v>1406</v>
      </c>
      <c r="EP3" s="2031" t="s">
        <v>1229</v>
      </c>
      <c r="EQ3" s="2031" t="s">
        <v>1420</v>
      </c>
      <c r="ER3" s="2086" t="s">
        <v>478</v>
      </c>
      <c r="ES3" s="2086" t="s">
        <v>11254</v>
      </c>
      <c r="ET3" s="2086" t="s">
        <v>1233</v>
      </c>
      <c r="EU3" s="2086" t="s">
        <v>1094</v>
      </c>
      <c r="EV3" s="2086" t="s">
        <v>1237</v>
      </c>
      <c r="EW3" s="2086" t="s">
        <v>1406</v>
      </c>
      <c r="EX3" s="2086" t="s">
        <v>1229</v>
      </c>
      <c r="EY3" s="2086" t="s">
        <v>1420</v>
      </c>
      <c r="EZ3" s="2041" t="s">
        <v>478</v>
      </c>
      <c r="FA3" s="2081" t="s">
        <v>3088</v>
      </c>
      <c r="FB3" s="2031" t="s">
        <v>1094</v>
      </c>
      <c r="FC3" s="2031" t="s">
        <v>1237</v>
      </c>
      <c r="FD3" s="2033" t="s">
        <v>1406</v>
      </c>
      <c r="FE3" s="2031" t="s">
        <v>1229</v>
      </c>
      <c r="FF3" s="2031" t="s">
        <v>1420</v>
      </c>
      <c r="FG3" s="2031" t="s">
        <v>1418</v>
      </c>
      <c r="FH3" s="2155" t="s">
        <v>1591</v>
      </c>
      <c r="FI3" s="2156" t="s">
        <v>1592</v>
      </c>
      <c r="FJ3" s="2079" t="s">
        <v>1593</v>
      </c>
      <c r="FK3" s="2158" t="s">
        <v>1594</v>
      </c>
      <c r="FL3" s="2160" t="s">
        <v>1</v>
      </c>
      <c r="FM3" s="2083" t="s">
        <v>4120</v>
      </c>
      <c r="FN3" s="2084"/>
      <c r="FO3" s="2085"/>
      <c r="FP3" s="2161" t="s">
        <v>1598</v>
      </c>
      <c r="FQ3" s="2155" t="s">
        <v>1599</v>
      </c>
      <c r="FR3" s="2040" t="s">
        <v>1678</v>
      </c>
      <c r="FS3" s="2178" t="s">
        <v>1679</v>
      </c>
      <c r="FT3" s="2178"/>
      <c r="FU3" s="2178"/>
      <c r="FV3" s="2178"/>
      <c r="FW3" s="2178"/>
      <c r="FX3" s="2178"/>
      <c r="FY3" s="2178"/>
      <c r="FZ3" s="2178"/>
      <c r="GA3" s="2178"/>
      <c r="GB3" s="2040" t="s">
        <v>1680</v>
      </c>
      <c r="GC3" s="2179" t="s">
        <v>1681</v>
      </c>
      <c r="GD3" s="2180" t="s">
        <v>1682</v>
      </c>
      <c r="GE3" s="2181" t="s">
        <v>1683</v>
      </c>
      <c r="GF3" s="2096" t="s">
        <v>1221</v>
      </c>
      <c r="GG3" s="2096"/>
      <c r="GH3" s="2095" t="s">
        <v>1765</v>
      </c>
      <c r="GI3" s="112" t="s">
        <v>2350</v>
      </c>
      <c r="GJ3" s="2040" t="s">
        <v>1766</v>
      </c>
      <c r="GK3" s="2078"/>
      <c r="GL3" s="2078"/>
      <c r="GM3" s="2040" t="s">
        <v>1767</v>
      </c>
      <c r="GN3" s="2068" t="s">
        <v>1768</v>
      </c>
      <c r="GO3" s="2040" t="s">
        <v>1769</v>
      </c>
      <c r="GP3" s="2092" t="s">
        <v>1770</v>
      </c>
      <c r="GQ3" s="2092" t="s">
        <v>1771</v>
      </c>
      <c r="GR3" s="2092" t="s">
        <v>1772</v>
      </c>
      <c r="GS3" s="2092" t="s">
        <v>1773</v>
      </c>
      <c r="GT3" s="2092" t="s">
        <v>1774</v>
      </c>
      <c r="GU3" s="2092" t="s">
        <v>1775</v>
      </c>
      <c r="GV3" s="2092" t="s">
        <v>1776</v>
      </c>
      <c r="GW3" s="2040" t="s">
        <v>1777</v>
      </c>
      <c r="GX3" s="2040" t="s">
        <v>1407</v>
      </c>
      <c r="GY3" s="2093" t="s">
        <v>1778</v>
      </c>
      <c r="GZ3" s="2093" t="s">
        <v>1779</v>
      </c>
      <c r="HA3" s="2093" t="s">
        <v>1780</v>
      </c>
      <c r="HB3" s="2093" t="s">
        <v>1781</v>
      </c>
      <c r="HC3" s="2093" t="s">
        <v>1782</v>
      </c>
      <c r="HD3" s="2093" t="s">
        <v>1783</v>
      </c>
      <c r="HE3" s="2093" t="s">
        <v>1784</v>
      </c>
      <c r="HF3" s="2093" t="s">
        <v>1785</v>
      </c>
      <c r="HG3" s="2171" t="s">
        <v>2139</v>
      </c>
      <c r="HH3" s="2016" t="s">
        <v>1786</v>
      </c>
      <c r="HI3" s="2091" t="s">
        <v>1787</v>
      </c>
      <c r="HJ3" s="2094" t="s">
        <v>2833</v>
      </c>
      <c r="HK3" s="2094"/>
      <c r="HL3" s="2091" t="s">
        <v>1788</v>
      </c>
      <c r="HM3" s="2094" t="s">
        <v>2833</v>
      </c>
      <c r="HN3" s="2094"/>
      <c r="HO3" s="2091" t="s">
        <v>2306</v>
      </c>
      <c r="HP3" s="2094" t="s">
        <v>2833</v>
      </c>
      <c r="HQ3" s="2094"/>
      <c r="HR3" s="2089" t="s">
        <v>1842</v>
      </c>
      <c r="HS3" s="2089" t="s">
        <v>1843</v>
      </c>
      <c r="HT3" s="2089" t="s">
        <v>1844</v>
      </c>
      <c r="HU3" s="2089" t="s">
        <v>1845</v>
      </c>
      <c r="HV3" s="2089" t="s">
        <v>1846</v>
      </c>
      <c r="HW3" s="2089" t="s">
        <v>1847</v>
      </c>
      <c r="HX3" s="2089" t="s">
        <v>1848</v>
      </c>
      <c r="HY3" s="2089" t="s">
        <v>1849</v>
      </c>
      <c r="HZ3" s="2089" t="s">
        <v>1850</v>
      </c>
      <c r="IA3" s="2169" t="s">
        <v>1851</v>
      </c>
      <c r="IB3" s="2197" t="s">
        <v>1853</v>
      </c>
      <c r="IC3" s="2030" t="s">
        <v>1854</v>
      </c>
      <c r="ID3" s="2087" t="s">
        <v>1855</v>
      </c>
      <c r="IE3" s="2087" t="s">
        <v>1856</v>
      </c>
      <c r="IF3" s="2168" t="s">
        <v>1859</v>
      </c>
      <c r="IG3" s="2168" t="s">
        <v>3</v>
      </c>
      <c r="IH3" s="2168" t="s">
        <v>1860</v>
      </c>
      <c r="II3" s="2168" t="s">
        <v>1861</v>
      </c>
      <c r="IJ3" s="2040" t="s">
        <v>1862</v>
      </c>
      <c r="IK3" s="2040" t="s">
        <v>1863</v>
      </c>
      <c r="IL3" s="2040" t="s">
        <v>1864</v>
      </c>
      <c r="IM3" s="2040" t="s">
        <v>1865</v>
      </c>
      <c r="IN3" s="2040" t="s">
        <v>1866</v>
      </c>
      <c r="IO3" s="2196" t="s">
        <v>1867</v>
      </c>
      <c r="IP3" s="2040" t="s">
        <v>1868</v>
      </c>
      <c r="IQ3" s="85"/>
      <c r="IR3" s="2040" t="s">
        <v>1869</v>
      </c>
      <c r="IS3" s="2030" t="s">
        <v>1870</v>
      </c>
      <c r="IT3" s="2290" t="s">
        <v>2369</v>
      </c>
      <c r="IU3" s="2291"/>
      <c r="IV3" s="2291"/>
      <c r="IW3" s="2292"/>
      <c r="IX3" s="2182" t="s">
        <v>2196</v>
      </c>
      <c r="IY3" s="2130"/>
      <c r="IZ3" s="2040" t="s">
        <v>1229</v>
      </c>
      <c r="JA3" s="2040" t="s">
        <v>12760</v>
      </c>
      <c r="JB3" s="2040" t="s">
        <v>12761</v>
      </c>
      <c r="JC3" s="2040" t="s">
        <v>12762</v>
      </c>
      <c r="JD3" s="2293" t="s">
        <v>12763</v>
      </c>
      <c r="JE3" s="2181" t="s">
        <v>12840</v>
      </c>
      <c r="JF3" s="2181" t="s">
        <v>12841</v>
      </c>
      <c r="JG3" s="2181" t="s">
        <v>1594</v>
      </c>
      <c r="JH3" s="2294" t="s">
        <v>12842</v>
      </c>
      <c r="JI3" s="1668"/>
      <c r="JJ3" s="2295" t="s">
        <v>12843</v>
      </c>
      <c r="JK3" s="2040" t="s">
        <v>12844</v>
      </c>
      <c r="JL3" s="2220" t="s">
        <v>12845</v>
      </c>
      <c r="JM3" s="2220"/>
      <c r="JN3" s="2113" t="s">
        <v>12846</v>
      </c>
      <c r="JO3" s="2113"/>
      <c r="JP3" s="2220" t="s">
        <v>12847</v>
      </c>
      <c r="JQ3" s="2220"/>
      <c r="JR3" s="2296" t="s">
        <v>12824</v>
      </c>
      <c r="JS3" s="2297"/>
      <c r="JT3" s="2125" t="s">
        <v>2034</v>
      </c>
      <c r="JU3" s="2125"/>
      <c r="JV3" s="1669"/>
      <c r="JW3" s="1669"/>
      <c r="JX3" s="2298" t="s">
        <v>12848</v>
      </c>
      <c r="JY3" s="2299"/>
      <c r="JZ3" s="2298" t="s">
        <v>5500</v>
      </c>
      <c r="KA3" s="2299"/>
      <c r="KB3" s="2298" t="s">
        <v>5501</v>
      </c>
      <c r="KC3" s="2299"/>
      <c r="KD3" s="2298" t="s">
        <v>12849</v>
      </c>
      <c r="KE3" s="2299"/>
      <c r="KF3" s="2298" t="s">
        <v>12850</v>
      </c>
      <c r="KG3" s="2299"/>
      <c r="KH3" s="2221" t="s">
        <v>12851</v>
      </c>
      <c r="KI3" s="2222"/>
      <c r="KJ3" s="2223" t="s">
        <v>4348</v>
      </c>
      <c r="KK3" s="2224"/>
      <c r="KL3" s="1670"/>
      <c r="KM3" s="1670"/>
      <c r="KN3" s="2030" t="s">
        <v>12852</v>
      </c>
      <c r="KO3" s="2308" t="s">
        <v>12853</v>
      </c>
      <c r="KP3" s="2219">
        <v>0</v>
      </c>
      <c r="KQ3" s="2219"/>
      <c r="KR3" s="2220">
        <v>1</v>
      </c>
      <c r="KS3" s="2220"/>
      <c r="KT3" s="2220">
        <v>2</v>
      </c>
      <c r="KU3" s="2220"/>
      <c r="KV3" s="2220">
        <v>3</v>
      </c>
      <c r="KW3" s="2220"/>
      <c r="KX3" s="2220">
        <v>4</v>
      </c>
      <c r="KY3" s="2220"/>
      <c r="KZ3" s="2220">
        <v>5</v>
      </c>
      <c r="LA3" s="2220"/>
      <c r="LB3" s="2220">
        <v>6</v>
      </c>
      <c r="LC3" s="2220"/>
      <c r="LD3" s="2220">
        <v>7</v>
      </c>
      <c r="LE3" s="2220"/>
      <c r="LF3" s="2220">
        <v>8</v>
      </c>
      <c r="LG3" s="2220"/>
      <c r="LH3" s="2220">
        <v>9</v>
      </c>
      <c r="LI3" s="2220"/>
      <c r="LJ3" s="2219">
        <v>10</v>
      </c>
      <c r="LK3" s="2219"/>
      <c r="LL3" s="2246"/>
      <c r="LM3" s="2247"/>
      <c r="LN3" s="2040" t="s">
        <v>10</v>
      </c>
      <c r="LO3" s="2040" t="s">
        <v>18</v>
      </c>
      <c r="LP3" s="2249"/>
      <c r="LQ3" s="2266" t="s">
        <v>1985</v>
      </c>
      <c r="LR3" s="2181" t="s">
        <v>2038</v>
      </c>
      <c r="LS3" s="2181" t="s">
        <v>2195</v>
      </c>
      <c r="LT3" s="1653"/>
      <c r="LU3" s="2267" t="s">
        <v>2040</v>
      </c>
      <c r="LV3" s="2267" t="s">
        <v>2041</v>
      </c>
      <c r="LW3" s="2267" t="s">
        <v>12854</v>
      </c>
      <c r="LX3" s="2257"/>
      <c r="LY3" s="2258"/>
      <c r="LZ3" s="2268" t="s">
        <v>1985</v>
      </c>
      <c r="MA3" s="2270" t="s">
        <v>2038</v>
      </c>
      <c r="MB3" s="2270" t="s">
        <v>2039</v>
      </c>
      <c r="MC3" s="2264"/>
      <c r="MD3" s="2268" t="s">
        <v>1985</v>
      </c>
      <c r="ME3" s="2270" t="s">
        <v>2038</v>
      </c>
      <c r="MF3" s="2309" t="s">
        <v>2039</v>
      </c>
      <c r="MG3" s="2303"/>
      <c r="MH3" s="2306"/>
      <c r="MI3" s="2077" t="s">
        <v>12855</v>
      </c>
      <c r="MJ3" s="2077" t="s">
        <v>2139</v>
      </c>
      <c r="MK3" s="2077" t="s">
        <v>12856</v>
      </c>
      <c r="ML3" s="2077" t="s">
        <v>12857</v>
      </c>
      <c r="MM3" s="2077" t="s">
        <v>12858</v>
      </c>
      <c r="MN3" s="2077" t="s">
        <v>12859</v>
      </c>
      <c r="MO3" s="2077" t="s">
        <v>12860</v>
      </c>
      <c r="MP3" s="2077" t="s">
        <v>12861</v>
      </c>
      <c r="MQ3" s="2077" t="s">
        <v>12862</v>
      </c>
      <c r="MR3" s="2077" t="s">
        <v>1596</v>
      </c>
      <c r="MS3" s="2077" t="s">
        <v>12863</v>
      </c>
      <c r="MT3" s="2077" t="s">
        <v>12864</v>
      </c>
      <c r="MU3" s="2077" t="s">
        <v>12865</v>
      </c>
      <c r="MV3" s="2077" t="s">
        <v>12866</v>
      </c>
      <c r="MW3" s="2077" t="s">
        <v>12867</v>
      </c>
      <c r="MX3" s="2077" t="s">
        <v>12868</v>
      </c>
      <c r="MY3" s="2235" t="s">
        <v>12869</v>
      </c>
      <c r="MZ3" s="2030" t="s">
        <v>12870</v>
      </c>
      <c r="NA3" s="2030" t="s">
        <v>12871</v>
      </c>
      <c r="NB3" s="2030" t="s">
        <v>12872</v>
      </c>
      <c r="NC3" s="2030" t="s">
        <v>12873</v>
      </c>
      <c r="ND3" s="2278"/>
      <c r="NE3" s="2278"/>
      <c r="NF3" s="2278"/>
      <c r="NG3" s="2278"/>
      <c r="NH3" s="2278"/>
      <c r="NI3" s="2278"/>
      <c r="NJ3" s="2278"/>
      <c r="NK3" s="2278"/>
      <c r="NL3" s="2278"/>
      <c r="NM3" s="2278"/>
      <c r="NN3" s="2278"/>
      <c r="NO3" s="2278"/>
      <c r="NP3" s="2278"/>
      <c r="NQ3" s="2278"/>
      <c r="NR3" s="2278"/>
      <c r="NS3" s="2278"/>
      <c r="NT3" s="2278"/>
      <c r="NU3" s="2278"/>
      <c r="NV3" s="2278"/>
      <c r="NW3" s="2278"/>
      <c r="NX3" s="2278"/>
      <c r="NY3" s="2311" t="s">
        <v>12874</v>
      </c>
      <c r="NZ3" s="2311" t="s">
        <v>12875</v>
      </c>
      <c r="OA3" s="2311" t="s">
        <v>12876</v>
      </c>
      <c r="OB3" s="2311" t="s">
        <v>12877</v>
      </c>
      <c r="OC3" s="2311" t="s">
        <v>12878</v>
      </c>
      <c r="OD3" s="2311" t="s">
        <v>12879</v>
      </c>
      <c r="OE3" s="2311" t="s">
        <v>704</v>
      </c>
      <c r="OF3" s="2040" t="s">
        <v>12880</v>
      </c>
      <c r="OG3" s="2181" t="s">
        <v>12881</v>
      </c>
      <c r="OH3" s="2228" t="s">
        <v>12882</v>
      </c>
      <c r="OI3" s="2228"/>
      <c r="OJ3" s="2228"/>
      <c r="OK3" s="2181" t="s">
        <v>12883</v>
      </c>
      <c r="OL3" s="2228" t="s">
        <v>12884</v>
      </c>
      <c r="OM3" s="2228"/>
      <c r="ON3" s="2228"/>
      <c r="OO3" s="2230"/>
      <c r="OP3" s="2313"/>
      <c r="OQ3" s="2313"/>
      <c r="OR3" s="2313"/>
      <c r="OS3" s="2314"/>
      <c r="OT3" s="2314"/>
      <c r="OU3" s="2314"/>
      <c r="OV3" s="2312" t="s">
        <v>12885</v>
      </c>
      <c r="OW3" s="2312" t="s">
        <v>12886</v>
      </c>
      <c r="OX3" s="2312" t="s">
        <v>12887</v>
      </c>
      <c r="OY3" s="2312" t="s">
        <v>12888</v>
      </c>
      <c r="OZ3" s="2312" t="s">
        <v>12889</v>
      </c>
      <c r="PA3" s="2312" t="s">
        <v>12890</v>
      </c>
      <c r="PB3" s="2312" t="s">
        <v>12891</v>
      </c>
      <c r="PC3" s="2312" t="s">
        <v>704</v>
      </c>
      <c r="PD3" s="2316" t="s">
        <v>12892</v>
      </c>
      <c r="PE3" s="2316" t="s">
        <v>12893</v>
      </c>
      <c r="PF3" s="2316" t="s">
        <v>12894</v>
      </c>
      <c r="PG3" s="2316" t="s">
        <v>12895</v>
      </c>
      <c r="PH3" s="2316" t="s">
        <v>12896</v>
      </c>
      <c r="PI3" s="2316" t="s">
        <v>12897</v>
      </c>
      <c r="PJ3" s="2316" t="s">
        <v>12898</v>
      </c>
      <c r="PK3" s="2316" t="s">
        <v>12899</v>
      </c>
      <c r="PL3" s="2316" t="s">
        <v>12900</v>
      </c>
      <c r="PM3" s="2316" t="s">
        <v>12901</v>
      </c>
      <c r="PN3" s="2316" t="s">
        <v>12902</v>
      </c>
      <c r="PO3" s="2316" t="s">
        <v>12903</v>
      </c>
      <c r="PP3" s="2316" t="s">
        <v>12904</v>
      </c>
      <c r="PQ3" s="2316" t="s">
        <v>12905</v>
      </c>
      <c r="PR3" s="2316" t="s">
        <v>12906</v>
      </c>
      <c r="PS3" s="2316" t="s">
        <v>12907</v>
      </c>
      <c r="PT3" s="2316" t="s">
        <v>12908</v>
      </c>
      <c r="PU3" s="2316" t="s">
        <v>12909</v>
      </c>
      <c r="PV3" s="2316" t="s">
        <v>12910</v>
      </c>
      <c r="PW3" s="2316" t="s">
        <v>12911</v>
      </c>
      <c r="PX3" s="2316" t="s">
        <v>12912</v>
      </c>
      <c r="PY3" s="2316" t="s">
        <v>12913</v>
      </c>
      <c r="PZ3" s="2316" t="s">
        <v>12914</v>
      </c>
      <c r="QA3" s="2316" t="s">
        <v>12915</v>
      </c>
      <c r="QB3" s="2316" t="s">
        <v>12916</v>
      </c>
      <c r="QC3" s="2316" t="s">
        <v>12917</v>
      </c>
      <c r="QD3" s="2316" t="s">
        <v>12918</v>
      </c>
      <c r="QE3" s="2316" t="s">
        <v>12919</v>
      </c>
      <c r="QF3" s="2316" t="s">
        <v>12920</v>
      </c>
      <c r="QG3" s="2316" t="s">
        <v>12921</v>
      </c>
      <c r="QH3" s="2316" t="s">
        <v>12922</v>
      </c>
      <c r="QI3" s="2316" t="s">
        <v>12923</v>
      </c>
      <c r="QJ3" s="2316" t="s">
        <v>12924</v>
      </c>
      <c r="QK3" s="2316" t="s">
        <v>12925</v>
      </c>
      <c r="QL3" s="2316" t="s">
        <v>12926</v>
      </c>
      <c r="QM3" s="2316" t="s">
        <v>12927</v>
      </c>
      <c r="QN3" s="2316" t="s">
        <v>12928</v>
      </c>
      <c r="QO3" s="2317" t="s">
        <v>12929</v>
      </c>
      <c r="QP3" s="2317" t="s">
        <v>12930</v>
      </c>
      <c r="QQ3" s="2317" t="s">
        <v>12931</v>
      </c>
      <c r="QR3" s="2317" t="s">
        <v>12932</v>
      </c>
      <c r="QS3" s="2317" t="s">
        <v>12933</v>
      </c>
      <c r="QT3" s="2317" t="s">
        <v>12934</v>
      </c>
      <c r="QU3" s="2317" t="s">
        <v>12935</v>
      </c>
      <c r="QV3" s="2317" t="s">
        <v>12936</v>
      </c>
      <c r="QW3" s="2317" t="s">
        <v>12937</v>
      </c>
      <c r="QX3" s="2317" t="s">
        <v>12938</v>
      </c>
      <c r="QY3" s="2317" t="s">
        <v>12939</v>
      </c>
      <c r="QZ3" s="2317" t="s">
        <v>12940</v>
      </c>
      <c r="RA3" s="2123" t="s">
        <v>704</v>
      </c>
      <c r="RB3" s="2319" t="s">
        <v>12941</v>
      </c>
      <c r="RC3" s="2319" t="s">
        <v>12942</v>
      </c>
      <c r="RD3" s="2319" t="s">
        <v>12943</v>
      </c>
      <c r="RE3" s="2319" t="s">
        <v>12944</v>
      </c>
      <c r="RF3" s="2323" t="s">
        <v>12945</v>
      </c>
      <c r="RG3" s="2319" t="s">
        <v>12946</v>
      </c>
      <c r="RH3" s="2325" t="s">
        <v>12947</v>
      </c>
      <c r="RI3" s="2319" t="s">
        <v>12948</v>
      </c>
      <c r="RJ3" s="2030" t="s">
        <v>12949</v>
      </c>
      <c r="RK3" s="2030" t="s">
        <v>12950</v>
      </c>
      <c r="RL3" s="2321" t="s">
        <v>12951</v>
      </c>
      <c r="RM3" s="2030" t="s">
        <v>12952</v>
      </c>
      <c r="RN3" s="2321" t="s">
        <v>12951</v>
      </c>
      <c r="RR3" s="1659"/>
      <c r="RT3" s="89" t="s">
        <v>12953</v>
      </c>
      <c r="RV3" s="1660"/>
    </row>
    <row r="4" spans="1:497" s="89" customFormat="1" ht="23.25" customHeight="1">
      <c r="A4" s="758"/>
      <c r="B4" s="1006"/>
      <c r="C4" s="2046"/>
      <c r="D4" s="2023"/>
      <c r="E4" s="2023"/>
      <c r="F4" s="2023"/>
      <c r="G4" s="2023"/>
      <c r="H4" s="237" t="s">
        <v>1871</v>
      </c>
      <c r="I4" s="242" t="s">
        <v>2373</v>
      </c>
      <c r="J4" s="2023"/>
      <c r="K4" s="237" t="s">
        <v>6</v>
      </c>
      <c r="L4" s="237" t="s">
        <v>7</v>
      </c>
      <c r="M4" s="2120"/>
      <c r="N4" s="578" t="s">
        <v>5483</v>
      </c>
      <c r="O4" s="578" t="s">
        <v>5482</v>
      </c>
      <c r="P4" s="2103"/>
      <c r="Q4" s="2192"/>
      <c r="R4" s="2114"/>
      <c r="S4" s="2103"/>
      <c r="T4" s="161" t="s">
        <v>1871</v>
      </c>
      <c r="U4" s="162" t="s">
        <v>2373</v>
      </c>
      <c r="V4" s="2103"/>
      <c r="W4" s="785" t="s">
        <v>8149</v>
      </c>
      <c r="X4" s="1090" t="s">
        <v>8150</v>
      </c>
      <c r="Y4" s="2103"/>
      <c r="Z4" s="2103"/>
      <c r="AA4" s="2103"/>
      <c r="AB4" s="2103"/>
      <c r="AC4" s="2104"/>
      <c r="AD4" s="2104"/>
      <c r="AE4" s="2104"/>
      <c r="AF4" s="2103"/>
      <c r="AG4" s="2055"/>
      <c r="AH4" s="2055"/>
      <c r="AI4" s="2055"/>
      <c r="AJ4" s="2055"/>
      <c r="AK4" s="2055"/>
      <c r="AL4" s="2056"/>
      <c r="AM4" s="2058"/>
      <c r="AN4" s="375">
        <f>SUM(BM783)</f>
        <v>0</v>
      </c>
      <c r="AO4" s="2107"/>
      <c r="AP4" s="2187"/>
      <c r="AQ4" s="159" t="s">
        <v>5315</v>
      </c>
      <c r="AR4" s="156" t="s">
        <v>5314</v>
      </c>
      <c r="AS4" s="2105"/>
      <c r="AT4" s="2105"/>
      <c r="AU4" s="2105"/>
      <c r="AV4" s="2105"/>
      <c r="AW4" s="2105"/>
      <c r="AX4" s="2144"/>
      <c r="AY4" s="2025"/>
      <c r="AZ4" s="2105"/>
      <c r="BA4" s="2025"/>
      <c r="BB4" s="2102"/>
      <c r="BC4" s="2105"/>
      <c r="BD4" s="2105"/>
      <c r="BE4" s="2115"/>
      <c r="BF4" s="90" t="s">
        <v>1219</v>
      </c>
      <c r="BG4" s="90" t="s">
        <v>1220</v>
      </c>
      <c r="BH4" s="2036"/>
      <c r="BI4" s="2036"/>
      <c r="BJ4" s="2036"/>
      <c r="BK4" s="2060"/>
      <c r="BL4" s="520" t="s">
        <v>5825</v>
      </c>
      <c r="BM4" s="2037"/>
      <c r="BN4" s="2037"/>
      <c r="BO4" s="2037"/>
      <c r="BP4" s="2044"/>
      <c r="BQ4" s="2044"/>
      <c r="BR4" s="373" t="s">
        <v>5805</v>
      </c>
      <c r="BS4" s="2039"/>
      <c r="BT4" s="2037"/>
      <c r="BU4" s="2037"/>
      <c r="BV4" s="2037"/>
      <c r="BW4" s="2037"/>
      <c r="BX4" s="2033"/>
      <c r="BY4" s="2031"/>
      <c r="BZ4" s="2033"/>
      <c r="CA4" s="2035"/>
      <c r="CB4" s="2064"/>
      <c r="CC4" s="2050"/>
      <c r="CD4" s="2050"/>
      <c r="CE4" s="2052"/>
      <c r="CF4" s="384" t="s">
        <v>1408</v>
      </c>
      <c r="CG4" s="385" t="s">
        <v>1409</v>
      </c>
      <c r="CH4" s="314" t="s">
        <v>1229</v>
      </c>
      <c r="CI4" s="316" t="s">
        <v>5641</v>
      </c>
      <c r="CJ4" s="315" t="s">
        <v>1229</v>
      </c>
      <c r="CK4" s="314" t="s">
        <v>1410</v>
      </c>
      <c r="CL4" s="314" t="s">
        <v>1229</v>
      </c>
      <c r="CM4" s="314" t="s">
        <v>1411</v>
      </c>
      <c r="CN4" s="314" t="s">
        <v>1406</v>
      </c>
      <c r="CO4" s="2049"/>
      <c r="CP4" s="2042"/>
      <c r="CQ4" s="2040"/>
      <c r="CR4" s="2077"/>
      <c r="CS4" s="2040"/>
      <c r="CT4" s="2040"/>
      <c r="CU4" s="2117"/>
      <c r="CV4" s="2040"/>
      <c r="CW4" s="2040"/>
      <c r="CX4" s="2040"/>
      <c r="CY4" s="2042"/>
      <c r="CZ4" s="2040"/>
      <c r="DA4" s="2068"/>
      <c r="DB4" s="2040"/>
      <c r="DC4" s="2040"/>
      <c r="DD4" s="2040"/>
      <c r="DE4" s="2062"/>
      <c r="DF4" s="2040"/>
      <c r="DG4" s="2040"/>
      <c r="DH4" s="2042"/>
      <c r="DI4" s="2040"/>
      <c r="DJ4" s="2040"/>
      <c r="DK4" s="2040"/>
      <c r="DL4" s="2040"/>
      <c r="DM4" s="2040"/>
      <c r="DN4" s="2146"/>
      <c r="DO4" s="2040"/>
      <c r="DP4" s="2040"/>
      <c r="DQ4" s="2042"/>
      <c r="DR4" s="2040"/>
      <c r="DS4" s="2029"/>
      <c r="DT4" s="2040"/>
      <c r="DU4" s="2040"/>
      <c r="DV4" s="2040"/>
      <c r="DW4" s="2067"/>
      <c r="DX4" s="2164"/>
      <c r="DY4" s="2166"/>
      <c r="DZ4" s="2042"/>
      <c r="EA4" s="2040"/>
      <c r="EB4" s="2040"/>
      <c r="EC4" s="2040"/>
      <c r="ED4" s="2040"/>
      <c r="EE4" s="2040"/>
      <c r="EF4" s="2042"/>
      <c r="EG4" s="2040"/>
      <c r="EH4" s="2040"/>
      <c r="EI4" s="2040"/>
      <c r="EJ4" s="2040"/>
      <c r="EK4" s="2040"/>
      <c r="EL4" s="2042"/>
      <c r="EM4" s="2040"/>
      <c r="EN4" s="2040"/>
      <c r="EO4" s="2040"/>
      <c r="EP4" s="2040"/>
      <c r="EQ4" s="2040"/>
      <c r="ER4" s="2031"/>
      <c r="ES4" s="2031"/>
      <c r="ET4" s="2031"/>
      <c r="EU4" s="2031"/>
      <c r="EV4" s="2031"/>
      <c r="EW4" s="2031"/>
      <c r="EX4" s="2031"/>
      <c r="EY4" s="2031"/>
      <c r="EZ4" s="2042"/>
      <c r="FA4" s="2082"/>
      <c r="FB4" s="2040"/>
      <c r="FC4" s="2040"/>
      <c r="FD4" s="2077"/>
      <c r="FE4" s="2040"/>
      <c r="FF4" s="2040"/>
      <c r="FG4" s="2040"/>
      <c r="FH4" s="2080"/>
      <c r="FI4" s="2157"/>
      <c r="FJ4" s="2080"/>
      <c r="FK4" s="2159"/>
      <c r="FL4" s="2157"/>
      <c r="FM4" s="128" t="s">
        <v>1595</v>
      </c>
      <c r="FN4" s="128" t="s">
        <v>1596</v>
      </c>
      <c r="FO4" s="128" t="s">
        <v>1597</v>
      </c>
      <c r="FP4" s="2162"/>
      <c r="FQ4" s="2080"/>
      <c r="FR4" s="2040"/>
      <c r="FS4" s="109" t="s">
        <v>1200</v>
      </c>
      <c r="FT4" s="109" t="s">
        <v>1684</v>
      </c>
      <c r="FU4" s="109" t="s">
        <v>1202</v>
      </c>
      <c r="FV4" s="109" t="s">
        <v>1685</v>
      </c>
      <c r="FW4" s="109" t="s">
        <v>1686</v>
      </c>
      <c r="FX4" s="109" t="s">
        <v>1687</v>
      </c>
      <c r="FY4" s="109" t="s">
        <v>1688</v>
      </c>
      <c r="FZ4" s="109" t="s">
        <v>1689</v>
      </c>
      <c r="GA4" s="109" t="s">
        <v>704</v>
      </c>
      <c r="GB4" s="2040"/>
      <c r="GC4" s="2179"/>
      <c r="GD4" s="2180"/>
      <c r="GE4" s="2181"/>
      <c r="GF4" s="110" t="s">
        <v>1219</v>
      </c>
      <c r="GG4" s="110" t="s">
        <v>1220</v>
      </c>
      <c r="GH4" s="2095"/>
      <c r="GI4" s="109" t="s">
        <v>2351</v>
      </c>
      <c r="GJ4" s="2040"/>
      <c r="GK4" s="109" t="s">
        <v>1789</v>
      </c>
      <c r="GL4" s="109" t="s">
        <v>1790</v>
      </c>
      <c r="GM4" s="2040"/>
      <c r="GN4" s="2068"/>
      <c r="GO4" s="2040"/>
      <c r="GP4" s="2092"/>
      <c r="GQ4" s="2092"/>
      <c r="GR4" s="2092"/>
      <c r="GS4" s="2092"/>
      <c r="GT4" s="2092"/>
      <c r="GU4" s="2092"/>
      <c r="GV4" s="2092"/>
      <c r="GW4" s="2040"/>
      <c r="GX4" s="2040"/>
      <c r="GY4" s="2093"/>
      <c r="GZ4" s="2093"/>
      <c r="HA4" s="2093"/>
      <c r="HB4" s="2093"/>
      <c r="HC4" s="2093"/>
      <c r="HD4" s="2093"/>
      <c r="HE4" s="2093"/>
      <c r="HF4" s="2093"/>
      <c r="HG4" s="2172"/>
      <c r="HH4" s="2016"/>
      <c r="HI4" s="2091"/>
      <c r="HJ4" s="108" t="s">
        <v>1838</v>
      </c>
      <c r="HK4" s="108" t="s">
        <v>1839</v>
      </c>
      <c r="HL4" s="2091"/>
      <c r="HM4" s="108" t="s">
        <v>1840</v>
      </c>
      <c r="HN4" s="108" t="s">
        <v>1841</v>
      </c>
      <c r="HO4" s="2091"/>
      <c r="HP4" s="108" t="s">
        <v>2307</v>
      </c>
      <c r="HQ4" s="109" t="s">
        <v>2308</v>
      </c>
      <c r="HR4" s="2090"/>
      <c r="HS4" s="2090"/>
      <c r="HT4" s="2090"/>
      <c r="HU4" s="2090"/>
      <c r="HV4" s="2090"/>
      <c r="HW4" s="2090"/>
      <c r="HX4" s="2090"/>
      <c r="HY4" s="2090"/>
      <c r="HZ4" s="2090"/>
      <c r="IA4" s="2170"/>
      <c r="IB4" s="2198"/>
      <c r="IC4" s="2031"/>
      <c r="ID4" s="2088"/>
      <c r="IE4" s="2088"/>
      <c r="IF4" s="2168"/>
      <c r="IG4" s="2168"/>
      <c r="IH4" s="2168"/>
      <c r="II4" s="2168"/>
      <c r="IJ4" s="2040"/>
      <c r="IK4" s="2040"/>
      <c r="IL4" s="2040"/>
      <c r="IM4" s="2040"/>
      <c r="IN4" s="2040"/>
      <c r="IO4" s="2196"/>
      <c r="IP4" s="2040"/>
      <c r="IQ4" s="1652" t="s">
        <v>1872</v>
      </c>
      <c r="IR4" s="2040"/>
      <c r="IS4" s="2086"/>
      <c r="IT4" s="1652" t="s">
        <v>1873</v>
      </c>
      <c r="IU4" s="1652" t="s">
        <v>1874</v>
      </c>
      <c r="IV4" s="1652" t="s">
        <v>4616</v>
      </c>
      <c r="IW4" s="1650" t="s">
        <v>12954</v>
      </c>
      <c r="IX4" s="1655" t="s">
        <v>1871</v>
      </c>
      <c r="IY4" s="1655" t="s">
        <v>2373</v>
      </c>
      <c r="IZ4" s="2040"/>
      <c r="JA4" s="2040"/>
      <c r="JB4" s="2040"/>
      <c r="JC4" s="2040"/>
      <c r="JD4" s="2293"/>
      <c r="JE4" s="2181"/>
      <c r="JF4" s="2181"/>
      <c r="JG4" s="2181"/>
      <c r="JH4" s="2294"/>
      <c r="JI4" s="1668"/>
      <c r="JJ4" s="2295"/>
      <c r="JK4" s="2040"/>
      <c r="JL4" s="1654" t="s">
        <v>10</v>
      </c>
      <c r="JM4" s="1654" t="s">
        <v>18</v>
      </c>
      <c r="JN4" s="1654" t="s">
        <v>10</v>
      </c>
      <c r="JO4" s="1654" t="s">
        <v>18</v>
      </c>
      <c r="JP4" s="1654" t="s">
        <v>10</v>
      </c>
      <c r="JQ4" s="1654" t="s">
        <v>18</v>
      </c>
      <c r="JR4" s="1671" t="s">
        <v>5504</v>
      </c>
      <c r="JS4" s="1671" t="s">
        <v>5503</v>
      </c>
      <c r="JT4" s="1652" t="s">
        <v>10</v>
      </c>
      <c r="JU4" s="1652" t="s">
        <v>18</v>
      </c>
      <c r="JV4" s="1672"/>
      <c r="JW4" s="1672"/>
      <c r="JX4" s="1673" t="s">
        <v>5504</v>
      </c>
      <c r="JY4" s="1673" t="s">
        <v>5503</v>
      </c>
      <c r="JZ4" s="1673" t="s">
        <v>5504</v>
      </c>
      <c r="KA4" s="1673" t="s">
        <v>5503</v>
      </c>
      <c r="KB4" s="1673" t="s">
        <v>5504</v>
      </c>
      <c r="KC4" s="1673" t="s">
        <v>5503</v>
      </c>
      <c r="KD4" s="1673" t="s">
        <v>5504</v>
      </c>
      <c r="KE4" s="1673" t="s">
        <v>5503</v>
      </c>
      <c r="KF4" s="1673" t="s">
        <v>5504</v>
      </c>
      <c r="KG4" s="1673" t="s">
        <v>5503</v>
      </c>
      <c r="KH4" s="1674" t="s">
        <v>5504</v>
      </c>
      <c r="KI4" s="1674" t="s">
        <v>5503</v>
      </c>
      <c r="KJ4" s="1673" t="s">
        <v>5504</v>
      </c>
      <c r="KK4" s="1673" t="s">
        <v>5503</v>
      </c>
      <c r="KL4" s="1672"/>
      <c r="KM4" s="1672"/>
      <c r="KN4" s="2031"/>
      <c r="KO4" s="2308"/>
      <c r="KP4" s="1652" t="s">
        <v>10</v>
      </c>
      <c r="KQ4" s="1652" t="s">
        <v>18</v>
      </c>
      <c r="KR4" s="1652" t="s">
        <v>10</v>
      </c>
      <c r="KS4" s="1652" t="s">
        <v>18</v>
      </c>
      <c r="KT4" s="1652" t="s">
        <v>10</v>
      </c>
      <c r="KU4" s="1652" t="s">
        <v>18</v>
      </c>
      <c r="KV4" s="1652" t="s">
        <v>10</v>
      </c>
      <c r="KW4" s="1652" t="s">
        <v>18</v>
      </c>
      <c r="KX4" s="1652" t="s">
        <v>10</v>
      </c>
      <c r="KY4" s="1652" t="s">
        <v>18</v>
      </c>
      <c r="KZ4" s="1652" t="s">
        <v>10</v>
      </c>
      <c r="LA4" s="1652" t="s">
        <v>18</v>
      </c>
      <c r="LB4" s="1652" t="s">
        <v>10</v>
      </c>
      <c r="LC4" s="1652" t="s">
        <v>18</v>
      </c>
      <c r="LD4" s="1652" t="s">
        <v>10</v>
      </c>
      <c r="LE4" s="1652" t="s">
        <v>18</v>
      </c>
      <c r="LF4" s="1652" t="s">
        <v>10</v>
      </c>
      <c r="LG4" s="1652" t="s">
        <v>18</v>
      </c>
      <c r="LH4" s="1652" t="s">
        <v>10</v>
      </c>
      <c r="LI4" s="1652" t="s">
        <v>18</v>
      </c>
      <c r="LJ4" s="1652" t="s">
        <v>10</v>
      </c>
      <c r="LK4" s="1652" t="s">
        <v>18</v>
      </c>
      <c r="LL4" s="1652" t="s">
        <v>5504</v>
      </c>
      <c r="LM4" s="1652" t="s">
        <v>5503</v>
      </c>
      <c r="LN4" s="2040"/>
      <c r="LO4" s="2040"/>
      <c r="LP4" s="2250"/>
      <c r="LQ4" s="2266"/>
      <c r="LR4" s="2181"/>
      <c r="LS4" s="2181"/>
      <c r="LT4" s="1675"/>
      <c r="LU4" s="2267"/>
      <c r="LV4" s="2267"/>
      <c r="LW4" s="2267"/>
      <c r="LX4" s="2259"/>
      <c r="LY4" s="2260"/>
      <c r="LZ4" s="2269"/>
      <c r="MA4" s="2271"/>
      <c r="MB4" s="2271"/>
      <c r="MC4" s="2265"/>
      <c r="MD4" s="2269"/>
      <c r="ME4" s="2271"/>
      <c r="MF4" s="2310"/>
      <c r="MG4" s="2304"/>
      <c r="MH4" s="2307"/>
      <c r="MI4" s="2077"/>
      <c r="MJ4" s="2077"/>
      <c r="MK4" s="2077"/>
      <c r="ML4" s="2077"/>
      <c r="MM4" s="2077"/>
      <c r="MN4" s="2077"/>
      <c r="MO4" s="2077"/>
      <c r="MP4" s="2077"/>
      <c r="MQ4" s="2077"/>
      <c r="MR4" s="2077"/>
      <c r="MS4" s="2077"/>
      <c r="MT4" s="2077"/>
      <c r="MU4" s="2077"/>
      <c r="MV4" s="2077"/>
      <c r="MW4" s="2077"/>
      <c r="MX4" s="2077"/>
      <c r="MY4" s="2236"/>
      <c r="MZ4" s="2031"/>
      <c r="NA4" s="2031"/>
      <c r="NB4" s="2031"/>
      <c r="NC4" s="2031"/>
      <c r="ND4" s="1652" t="s">
        <v>12955</v>
      </c>
      <c r="NE4" s="1652" t="s">
        <v>12956</v>
      </c>
      <c r="NF4" s="1652" t="s">
        <v>12957</v>
      </c>
      <c r="NG4" s="1652" t="s">
        <v>12958</v>
      </c>
      <c r="NH4" s="1652" t="s">
        <v>12959</v>
      </c>
      <c r="NI4" s="1652" t="s">
        <v>12960</v>
      </c>
      <c r="NJ4" s="1652" t="s">
        <v>12961</v>
      </c>
      <c r="NK4" s="1652" t="s">
        <v>12962</v>
      </c>
      <c r="NL4" s="1652" t="s">
        <v>12963</v>
      </c>
      <c r="NM4" s="1652" t="s">
        <v>12964</v>
      </c>
      <c r="NN4" s="1652" t="s">
        <v>12965</v>
      </c>
      <c r="NO4" s="1652" t="s">
        <v>12966</v>
      </c>
      <c r="NP4" s="1652" t="s">
        <v>12967</v>
      </c>
      <c r="NQ4" s="1652" t="s">
        <v>12968</v>
      </c>
      <c r="NR4" s="1652" t="s">
        <v>12969</v>
      </c>
      <c r="NS4" s="1652" t="s">
        <v>12970</v>
      </c>
      <c r="NT4" s="1652" t="s">
        <v>12971</v>
      </c>
      <c r="NU4" s="1652" t="s">
        <v>12972</v>
      </c>
      <c r="NV4" s="1652" t="s">
        <v>12973</v>
      </c>
      <c r="NW4" s="1652" t="s">
        <v>12974</v>
      </c>
      <c r="NX4" s="1652" t="s">
        <v>12975</v>
      </c>
      <c r="NY4" s="2311"/>
      <c r="NZ4" s="2311"/>
      <c r="OA4" s="2311"/>
      <c r="OB4" s="2311"/>
      <c r="OC4" s="2311"/>
      <c r="OD4" s="2311"/>
      <c r="OE4" s="2311"/>
      <c r="OF4" s="2040"/>
      <c r="OG4" s="2181"/>
      <c r="OH4" s="1652" t="s">
        <v>12976</v>
      </c>
      <c r="OI4" s="1652" t="s">
        <v>12977</v>
      </c>
      <c r="OJ4" s="1652" t="s">
        <v>12978</v>
      </c>
      <c r="OK4" s="2181"/>
      <c r="OL4" s="1652" t="s">
        <v>12976</v>
      </c>
      <c r="OM4" s="1652" t="s">
        <v>12977</v>
      </c>
      <c r="ON4" s="1652" t="s">
        <v>12978</v>
      </c>
      <c r="OO4" s="2231"/>
      <c r="OP4" s="1676" t="s">
        <v>2144</v>
      </c>
      <c r="OQ4" s="1676" t="s">
        <v>2145</v>
      </c>
      <c r="OR4" s="1676" t="s">
        <v>2146</v>
      </c>
      <c r="OS4" s="1676" t="s">
        <v>2144</v>
      </c>
      <c r="OT4" s="1676" t="s">
        <v>2145</v>
      </c>
      <c r="OU4" s="1676" t="s">
        <v>2146</v>
      </c>
      <c r="OV4" s="2312"/>
      <c r="OW4" s="2312"/>
      <c r="OX4" s="2312"/>
      <c r="OY4" s="2312"/>
      <c r="OZ4" s="2312"/>
      <c r="PA4" s="2312"/>
      <c r="PB4" s="2312"/>
      <c r="PC4" s="2312"/>
      <c r="PD4" s="2316"/>
      <c r="PE4" s="2316"/>
      <c r="PF4" s="2316"/>
      <c r="PG4" s="2316"/>
      <c r="PH4" s="2316"/>
      <c r="PI4" s="2316"/>
      <c r="PJ4" s="2316"/>
      <c r="PK4" s="2316"/>
      <c r="PL4" s="2316"/>
      <c r="PM4" s="2316"/>
      <c r="PN4" s="2316"/>
      <c r="PO4" s="2316"/>
      <c r="PP4" s="2316"/>
      <c r="PQ4" s="2316"/>
      <c r="PR4" s="2316"/>
      <c r="PS4" s="2316"/>
      <c r="PT4" s="2316"/>
      <c r="PU4" s="2316"/>
      <c r="PV4" s="2316"/>
      <c r="PW4" s="2316"/>
      <c r="PX4" s="2316"/>
      <c r="PY4" s="2316"/>
      <c r="PZ4" s="2316"/>
      <c r="QA4" s="2316"/>
      <c r="QB4" s="2316"/>
      <c r="QC4" s="2316"/>
      <c r="QD4" s="2316"/>
      <c r="QE4" s="2316"/>
      <c r="QF4" s="2316"/>
      <c r="QG4" s="2316"/>
      <c r="QH4" s="2316"/>
      <c r="QI4" s="2316"/>
      <c r="QJ4" s="2316"/>
      <c r="QK4" s="2316"/>
      <c r="QL4" s="2316"/>
      <c r="QM4" s="2316"/>
      <c r="QN4" s="2316"/>
      <c r="QO4" s="2318"/>
      <c r="QP4" s="2318"/>
      <c r="QQ4" s="2318"/>
      <c r="QR4" s="2318"/>
      <c r="QS4" s="2318"/>
      <c r="QT4" s="2318"/>
      <c r="QU4" s="2318"/>
      <c r="QV4" s="2318"/>
      <c r="QW4" s="2318"/>
      <c r="QX4" s="2318"/>
      <c r="QY4" s="2318"/>
      <c r="QZ4" s="2318"/>
      <c r="RA4" s="2123"/>
      <c r="RB4" s="2320"/>
      <c r="RC4" s="2320"/>
      <c r="RD4" s="2320"/>
      <c r="RE4" s="2320"/>
      <c r="RF4" s="2324"/>
      <c r="RG4" s="2320"/>
      <c r="RH4" s="2326"/>
      <c r="RI4" s="2320"/>
      <c r="RJ4" s="2031"/>
      <c r="RK4" s="2031"/>
      <c r="RL4" s="2322"/>
      <c r="RM4" s="2031"/>
      <c r="RN4" s="2322"/>
      <c r="RR4" s="1677" t="s">
        <v>12979</v>
      </c>
      <c r="RS4" s="1677" t="s">
        <v>12980</v>
      </c>
      <c r="RT4" s="89" t="s">
        <v>12981</v>
      </c>
      <c r="RV4" s="1660"/>
      <c r="RY4" s="89" t="s">
        <v>14131</v>
      </c>
      <c r="RZ4" s="89" t="s">
        <v>14132</v>
      </c>
      <c r="SA4" s="1660" t="s">
        <v>14133</v>
      </c>
      <c r="SB4" s="89" t="s">
        <v>14134</v>
      </c>
      <c r="SC4" s="89" t="s">
        <v>14135</v>
      </c>
    </row>
    <row r="5" spans="1:497" ht="12.75" hidden="1" customHeight="1">
      <c r="A5" s="767" t="s">
        <v>7419</v>
      </c>
      <c r="B5" s="288" t="s">
        <v>11950</v>
      </c>
      <c r="C5" s="168" t="s">
        <v>8</v>
      </c>
      <c r="D5" s="766" t="s">
        <v>9</v>
      </c>
      <c r="E5" s="766" t="s">
        <v>5451</v>
      </c>
      <c r="F5" s="766"/>
      <c r="G5" s="766" t="s">
        <v>10</v>
      </c>
      <c r="H5" s="14" t="s">
        <v>5330</v>
      </c>
      <c r="I5" s="5" t="s">
        <v>11</v>
      </c>
      <c r="J5" s="766"/>
      <c r="K5" s="766" t="s">
        <v>14065</v>
      </c>
      <c r="L5" s="766" t="s">
        <v>14066</v>
      </c>
      <c r="M5" s="766"/>
      <c r="N5" s="1714" t="s">
        <v>5468</v>
      </c>
      <c r="O5" s="766" t="s">
        <v>5469</v>
      </c>
      <c r="P5" s="14"/>
      <c r="Q5" s="1085"/>
      <c r="R5" s="25"/>
      <c r="S5" s="766"/>
      <c r="T5" s="766"/>
      <c r="U5" s="26"/>
      <c r="V5" s="766"/>
      <c r="W5" s="766"/>
      <c r="X5" s="766"/>
      <c r="Y5" s="766"/>
      <c r="Z5" s="766"/>
      <c r="AA5" s="766"/>
      <c r="AB5" s="766"/>
      <c r="AC5" s="766"/>
      <c r="AD5" s="766"/>
      <c r="AE5" s="766"/>
      <c r="AF5" s="766"/>
      <c r="AG5" s="766" t="s">
        <v>1095</v>
      </c>
      <c r="AH5" s="766" t="s">
        <v>1096</v>
      </c>
      <c r="AI5" s="766" t="s">
        <v>5450</v>
      </c>
      <c r="AJ5" s="766"/>
      <c r="AK5" s="766" t="s">
        <v>1097</v>
      </c>
      <c r="AL5" s="772">
        <v>598</v>
      </c>
      <c r="AM5" s="559"/>
      <c r="AN5" s="560"/>
      <c r="AO5" s="766" t="s">
        <v>1098</v>
      </c>
      <c r="AP5" s="766"/>
      <c r="AQ5" s="766"/>
      <c r="AR5" s="766"/>
      <c r="AS5" s="766"/>
      <c r="AT5" s="766"/>
      <c r="AU5" s="766"/>
      <c r="AV5" s="766"/>
      <c r="AW5" s="766"/>
      <c r="AX5" s="13"/>
      <c r="AY5" s="766"/>
      <c r="AZ5" s="766"/>
      <c r="BA5" s="766"/>
      <c r="BB5" s="766"/>
      <c r="BC5" s="766"/>
      <c r="BD5" s="766"/>
      <c r="BE5" s="766"/>
      <c r="BF5" s="775"/>
      <c r="BG5" s="775"/>
      <c r="BH5" s="766"/>
      <c r="BI5" s="766"/>
      <c r="BJ5" s="766"/>
      <c r="BK5" s="766"/>
      <c r="BL5" s="766"/>
      <c r="BM5" s="766"/>
      <c r="BN5" s="766"/>
      <c r="BO5" s="766"/>
      <c r="BP5" s="776"/>
      <c r="BQ5" s="772"/>
      <c r="BR5" s="774"/>
      <c r="BS5" s="766"/>
      <c r="BT5" s="766"/>
      <c r="BU5" s="766"/>
      <c r="BV5" s="766"/>
      <c r="BW5" s="766"/>
      <c r="BX5" s="779"/>
      <c r="BY5" s="766"/>
      <c r="BZ5" s="775"/>
      <c r="CA5" s="766"/>
      <c r="CB5" s="1715" t="s">
        <v>1207</v>
      </c>
      <c r="CC5" s="766" t="s">
        <v>5449</v>
      </c>
      <c r="CD5" s="766"/>
      <c r="CE5" s="766"/>
      <c r="CF5" s="231">
        <v>2.85</v>
      </c>
      <c r="CG5" s="231">
        <v>128</v>
      </c>
      <c r="CH5" s="766" t="s">
        <v>1424</v>
      </c>
      <c r="CI5" s="766"/>
      <c r="CJ5" s="766"/>
      <c r="CK5" s="766"/>
      <c r="CL5" s="766"/>
      <c r="CM5" s="766"/>
      <c r="CN5" s="766"/>
      <c r="CO5" s="770" t="s">
        <v>1105</v>
      </c>
      <c r="CP5" s="766"/>
      <c r="CQ5" s="766"/>
      <c r="CR5" s="775"/>
      <c r="CS5" s="766"/>
      <c r="CT5" s="766"/>
      <c r="CU5" s="129"/>
      <c r="CV5" s="766"/>
      <c r="CW5" s="766"/>
      <c r="CX5" s="766"/>
      <c r="CY5" s="766"/>
      <c r="CZ5" s="766"/>
      <c r="DA5" s="766"/>
      <c r="DB5" s="766"/>
      <c r="DC5" s="766"/>
      <c r="DD5" s="766"/>
      <c r="DE5" s="766"/>
      <c r="DF5" s="766"/>
      <c r="DG5" s="766"/>
      <c r="DH5" s="766"/>
      <c r="DI5" s="766"/>
      <c r="DJ5" s="766"/>
      <c r="DK5" s="766"/>
      <c r="DL5" s="766"/>
      <c r="DM5" s="766"/>
      <c r="DN5" s="766"/>
      <c r="DO5" s="766"/>
      <c r="DP5" s="766"/>
      <c r="DQ5" s="766"/>
      <c r="DR5" s="766"/>
      <c r="DS5" s="59"/>
      <c r="DT5" s="766"/>
      <c r="DU5" s="766"/>
      <c r="DV5" s="766"/>
      <c r="DW5" s="66"/>
      <c r="DX5" s="66"/>
      <c r="DY5" s="766"/>
      <c r="DZ5" s="766"/>
      <c r="EA5" s="766"/>
      <c r="EB5" s="766"/>
      <c r="EC5" s="766"/>
      <c r="ED5" s="766"/>
      <c r="EE5" s="766"/>
      <c r="EF5" s="766"/>
      <c r="EG5" s="766"/>
      <c r="EH5" s="766"/>
      <c r="EI5" s="766"/>
      <c r="EJ5" s="766"/>
      <c r="EK5" s="766"/>
      <c r="EL5" s="766"/>
      <c r="EM5" s="766"/>
      <c r="EN5" s="766"/>
      <c r="EO5" s="766"/>
      <c r="EP5" s="766"/>
      <c r="EQ5" s="766"/>
      <c r="ER5" s="766"/>
      <c r="ES5" s="766"/>
      <c r="ET5" s="766"/>
      <c r="EU5" s="766"/>
      <c r="EV5" s="766"/>
      <c r="EW5" s="766"/>
      <c r="EX5" s="766"/>
      <c r="EY5" s="766"/>
      <c r="EZ5" s="766"/>
      <c r="FA5" s="766"/>
      <c r="FB5" s="766"/>
      <c r="FC5" s="766"/>
      <c r="FD5" s="775"/>
      <c r="FE5" s="766"/>
      <c r="FF5" s="766"/>
      <c r="FG5" s="766"/>
      <c r="FH5" s="766"/>
      <c r="FI5" s="766"/>
      <c r="FJ5" s="766"/>
      <c r="FK5" s="766"/>
      <c r="FL5" s="766"/>
      <c r="FM5" s="775"/>
      <c r="FN5" s="775"/>
      <c r="FO5" s="775"/>
      <c r="FP5" s="766"/>
      <c r="FQ5" s="766"/>
      <c r="FR5" s="766"/>
      <c r="FS5" s="770"/>
      <c r="FT5" s="770"/>
      <c r="FU5" s="770"/>
      <c r="FV5" s="770"/>
      <c r="FW5" s="770"/>
      <c r="FX5" s="770"/>
      <c r="FY5" s="770"/>
      <c r="FZ5" s="770"/>
      <c r="GA5" s="770"/>
      <c r="GB5" s="766"/>
      <c r="GC5" s="75"/>
      <c r="GD5" s="25"/>
      <c r="GE5" s="766"/>
      <c r="GF5" s="775"/>
      <c r="GG5" s="775"/>
      <c r="GH5" s="766"/>
      <c r="GI5" s="766"/>
      <c r="GJ5" s="766"/>
      <c r="GK5" s="766"/>
      <c r="GL5" s="766"/>
      <c r="GM5" s="766"/>
      <c r="GN5" s="82"/>
      <c r="GO5" s="766"/>
      <c r="GP5" s="766"/>
      <c r="GQ5" s="766"/>
      <c r="GR5" s="766"/>
      <c r="GS5" s="766"/>
      <c r="GT5" s="766"/>
      <c r="GU5" s="766"/>
      <c r="GV5" s="766"/>
      <c r="GW5" s="766"/>
      <c r="GX5" s="766"/>
      <c r="GY5" s="766"/>
      <c r="GZ5" s="766"/>
      <c r="HA5" s="766"/>
      <c r="HB5" s="766"/>
      <c r="HC5" s="766"/>
      <c r="HD5" s="766"/>
      <c r="HE5" s="766"/>
      <c r="HF5" s="766"/>
      <c r="HG5" s="766"/>
      <c r="HH5" s="766"/>
      <c r="HI5" s="766"/>
      <c r="HJ5" s="766"/>
      <c r="HK5" s="766"/>
      <c r="HL5" s="766"/>
      <c r="HM5" s="766"/>
      <c r="HN5" s="766"/>
      <c r="HO5" s="766"/>
      <c r="HP5" s="766"/>
      <c r="HQ5" s="766"/>
      <c r="HR5" s="766"/>
      <c r="HS5" s="766"/>
      <c r="HT5" s="766"/>
      <c r="HU5" s="766"/>
      <c r="HV5" s="766"/>
      <c r="HW5" s="766"/>
      <c r="HX5" s="766"/>
      <c r="HY5" s="766"/>
      <c r="HZ5" s="766"/>
      <c r="IA5" s="766"/>
      <c r="IB5" s="766"/>
      <c r="IC5" s="766"/>
      <c r="ID5" s="766"/>
      <c r="IE5" s="766"/>
      <c r="IF5" s="766"/>
      <c r="IG5" s="766"/>
      <c r="IH5" s="766"/>
      <c r="II5" s="766"/>
      <c r="IJ5" s="766"/>
      <c r="IK5" s="766"/>
      <c r="IL5" s="766"/>
      <c r="IM5" s="766"/>
      <c r="IN5" s="766"/>
      <c r="IO5" s="766"/>
      <c r="IP5" s="766"/>
      <c r="IQ5" s="766"/>
      <c r="IR5" s="775"/>
      <c r="IS5" s="766"/>
      <c r="IT5" s="766"/>
      <c r="IU5" s="766"/>
      <c r="IV5" s="766"/>
      <c r="IW5" s="766"/>
      <c r="IX5" s="766"/>
      <c r="IY5" s="766"/>
      <c r="IZ5" s="766"/>
      <c r="JA5" s="766"/>
      <c r="JB5" s="766"/>
      <c r="JC5" s="766"/>
      <c r="JD5" s="775"/>
      <c r="JE5" s="766"/>
      <c r="JF5" s="766"/>
      <c r="JG5" s="766"/>
      <c r="JH5" s="766"/>
      <c r="JI5" s="766"/>
      <c r="JJ5" s="766"/>
      <c r="JK5" s="766"/>
      <c r="JL5" s="766"/>
      <c r="JM5" s="766"/>
      <c r="JN5" s="766"/>
      <c r="JO5" s="766"/>
      <c r="JP5" s="766"/>
      <c r="JQ5" s="766"/>
      <c r="JR5" s="766"/>
      <c r="JS5" s="766"/>
      <c r="JT5" s="766"/>
      <c r="JU5" s="766"/>
      <c r="JV5" s="766"/>
      <c r="JW5" s="766"/>
      <c r="JX5" s="766"/>
      <c r="JY5" s="766"/>
      <c r="JZ5" s="766"/>
      <c r="KA5" s="766"/>
      <c r="KB5" s="766"/>
      <c r="KC5" s="766"/>
      <c r="KD5" s="766"/>
      <c r="KE5" s="766"/>
      <c r="KF5" s="766"/>
      <c r="KG5" s="766"/>
      <c r="KH5" s="766"/>
      <c r="KI5" s="766"/>
      <c r="KJ5" s="770"/>
      <c r="KK5" s="770"/>
      <c r="KL5" s="770"/>
      <c r="KM5" s="770"/>
      <c r="KN5" s="766"/>
      <c r="KO5" s="28"/>
      <c r="KP5" s="766"/>
      <c r="KQ5" s="766"/>
      <c r="KR5" s="766"/>
      <c r="KS5" s="766"/>
      <c r="KT5" s="766"/>
      <c r="KU5" s="766"/>
      <c r="KV5" s="766"/>
      <c r="KW5" s="766"/>
      <c r="KX5" s="766"/>
      <c r="KY5" s="766"/>
      <c r="KZ5" s="766"/>
      <c r="LA5" s="766"/>
      <c r="LB5" s="766"/>
      <c r="LC5" s="766"/>
      <c r="LD5" s="766"/>
      <c r="LE5" s="766"/>
      <c r="LF5" s="766"/>
      <c r="LG5" s="766"/>
      <c r="LH5" s="766"/>
      <c r="LI5" s="766"/>
      <c r="LJ5" s="766"/>
      <c r="LK5" s="766"/>
      <c r="LL5" s="766"/>
      <c r="LM5" s="766"/>
      <c r="LN5" s="766"/>
      <c r="LO5" s="766"/>
      <c r="LP5" s="766"/>
      <c r="LQ5" s="1678"/>
      <c r="LR5" s="766"/>
      <c r="LS5" s="766"/>
      <c r="LT5" s="766"/>
      <c r="LU5" s="766"/>
      <c r="LV5" s="766"/>
      <c r="LW5" s="766"/>
      <c r="LX5" s="769"/>
      <c r="LY5" s="766" t="str">
        <f t="shared" ref="LY5:LY36" si="0">IF(ISBLANK(LX5)=TRUE,"",LOOKUP(LX5,RT:RU))</f>
        <v/>
      </c>
      <c r="LZ5" s="66"/>
      <c r="MA5" s="766"/>
      <c r="MB5" s="766"/>
      <c r="MC5" s="1679">
        <f t="shared" ref="MC5:MC68" si="1">SUM(LZ5:MB5)</f>
        <v>0</v>
      </c>
      <c r="MD5" s="66"/>
      <c r="ME5" s="66"/>
      <c r="MF5" s="66"/>
      <c r="MG5" s="1680">
        <f t="shared" ref="MG5:MG68" si="2">SUM(MD5:MF5)</f>
        <v>0</v>
      </c>
      <c r="MH5" s="1681"/>
      <c r="MI5" s="775"/>
      <c r="MJ5" s="775"/>
      <c r="MK5" s="775"/>
      <c r="ML5" s="775"/>
      <c r="MM5" s="775"/>
      <c r="MN5" s="775"/>
      <c r="MO5" s="775"/>
      <c r="MP5" s="775"/>
      <c r="MQ5" s="775"/>
      <c r="MR5" s="775"/>
      <c r="MS5" s="775"/>
      <c r="MT5" s="775"/>
      <c r="MU5" s="775"/>
      <c r="MV5" s="775"/>
      <c r="MW5" s="775"/>
      <c r="MX5" s="775"/>
      <c r="MY5" s="1682">
        <f>IF(ISBLANK(MI5:MX5)=TRUE,"",SUM(MI5:MX5))</f>
        <v>0</v>
      </c>
      <c r="MZ5" s="766"/>
      <c r="NA5" s="766"/>
      <c r="NB5" s="766"/>
      <c r="NC5" s="766"/>
      <c r="ND5" s="766"/>
      <c r="NE5" s="766"/>
      <c r="NF5" s="766"/>
      <c r="NG5" s="766"/>
      <c r="NH5" s="766"/>
      <c r="NI5" s="766"/>
      <c r="NJ5" s="766"/>
      <c r="NK5" s="766"/>
      <c r="NL5" s="766"/>
      <c r="NM5" s="766"/>
      <c r="NN5" s="766"/>
      <c r="NO5" s="766"/>
      <c r="NP5" s="766"/>
      <c r="NQ5" s="766"/>
      <c r="NR5" s="766"/>
      <c r="NS5" s="766"/>
      <c r="NT5" s="766"/>
      <c r="NU5" s="766"/>
      <c r="NV5" s="766"/>
      <c r="NW5" s="766"/>
      <c r="NX5" s="766"/>
      <c r="NY5" s="766"/>
      <c r="NZ5" s="766"/>
      <c r="OA5" s="766"/>
      <c r="OB5" s="766"/>
      <c r="OC5" s="766"/>
      <c r="OD5" s="766"/>
      <c r="OE5" s="766"/>
      <c r="OF5" s="766"/>
      <c r="OG5" s="766"/>
      <c r="OH5" s="766"/>
      <c r="OI5" s="766"/>
      <c r="OJ5" s="766"/>
      <c r="OK5" s="766"/>
      <c r="OL5" s="766"/>
      <c r="OM5" s="766"/>
      <c r="ON5" s="766"/>
      <c r="OO5" s="766"/>
      <c r="OP5" s="766"/>
      <c r="OQ5" s="766"/>
      <c r="OR5" s="766"/>
      <c r="OS5" s="766"/>
      <c r="OT5" s="766"/>
      <c r="OU5" s="766"/>
      <c r="OV5" s="766"/>
      <c r="OW5" s="766"/>
      <c r="OX5" s="766"/>
      <c r="OY5" s="766"/>
      <c r="OZ5" s="766"/>
      <c r="PA5" s="766"/>
      <c r="PB5" s="766"/>
      <c r="PC5" s="766"/>
      <c r="PD5" s="766"/>
      <c r="PE5" s="766"/>
      <c r="PF5" s="766"/>
      <c r="PG5" s="766"/>
      <c r="PH5" s="766"/>
      <c r="PI5" s="766"/>
      <c r="PJ5" s="766"/>
      <c r="PK5" s="766"/>
      <c r="PL5" s="766"/>
      <c r="PM5" s="766"/>
      <c r="PN5" s="766"/>
      <c r="PO5" s="766"/>
      <c r="PP5" s="766"/>
      <c r="PQ5" s="766"/>
      <c r="PR5" s="766"/>
      <c r="PS5" s="766"/>
      <c r="PT5" s="766"/>
      <c r="PU5" s="766"/>
      <c r="PV5" s="766"/>
      <c r="PW5" s="766"/>
      <c r="PX5" s="766"/>
      <c r="PY5" s="766"/>
      <c r="PZ5" s="766"/>
      <c r="QA5" s="766"/>
      <c r="QB5" s="766"/>
      <c r="QC5" s="766"/>
      <c r="QD5" s="766"/>
      <c r="QE5" s="766"/>
      <c r="QF5" s="766"/>
      <c r="QG5" s="766"/>
      <c r="QH5" s="766"/>
      <c r="QI5" s="766"/>
      <c r="QJ5" s="766"/>
      <c r="QK5" s="766"/>
      <c r="QL5" s="766"/>
      <c r="QM5" s="766"/>
      <c r="QN5" s="766"/>
      <c r="QO5" s="766"/>
      <c r="QP5" s="766"/>
      <c r="QQ5" s="766"/>
      <c r="QR5" s="766"/>
      <c r="QS5" s="766"/>
      <c r="QT5" s="766"/>
      <c r="QU5" s="766"/>
      <c r="QV5" s="766"/>
      <c r="QW5" s="766"/>
      <c r="QX5" s="766"/>
      <c r="QY5" s="766"/>
      <c r="QZ5" s="766"/>
      <c r="RA5" s="766"/>
      <c r="RB5" s="766"/>
      <c r="RC5" s="766"/>
      <c r="RD5" s="766"/>
      <c r="RE5" s="766"/>
      <c r="RF5" s="777"/>
      <c r="RG5" s="766"/>
      <c r="RH5" s="775"/>
      <c r="RI5" s="766"/>
      <c r="RJ5" s="766"/>
      <c r="RK5" s="766"/>
      <c r="RL5" s="1683"/>
      <c r="RM5" s="12"/>
      <c r="RN5" s="1711"/>
      <c r="RO5" s="168" t="s">
        <v>8</v>
      </c>
      <c r="RP5" s="11"/>
      <c r="RQ5" s="11"/>
      <c r="RR5" s="771"/>
      <c r="RS5" s="766"/>
      <c r="RT5" s="1685">
        <v>0</v>
      </c>
      <c r="RU5" s="11"/>
      <c r="RV5" s="766"/>
      <c r="RW5" s="11"/>
      <c r="RX5" s="11"/>
      <c r="RY5" s="11"/>
      <c r="RZ5" s="11"/>
      <c r="SA5" s="766"/>
      <c r="SB5" s="11"/>
      <c r="SC5" s="11"/>
    </row>
    <row r="6" spans="1:497" ht="12.75" customHeight="1">
      <c r="A6" s="767" t="s">
        <v>7421</v>
      </c>
      <c r="B6" s="288" t="s">
        <v>11951</v>
      </c>
      <c r="C6" s="168" t="s">
        <v>12</v>
      </c>
      <c r="D6" s="766" t="s">
        <v>13</v>
      </c>
      <c r="E6" s="766" t="s">
        <v>5452</v>
      </c>
      <c r="F6" s="766"/>
      <c r="G6" s="766" t="s">
        <v>10</v>
      </c>
      <c r="H6" s="766"/>
      <c r="I6" s="5" t="s">
        <v>14</v>
      </c>
      <c r="J6" s="766" t="s">
        <v>13</v>
      </c>
      <c r="K6" s="766"/>
      <c r="L6" s="766"/>
      <c r="M6" s="766"/>
      <c r="N6" s="766" t="s">
        <v>5470</v>
      </c>
      <c r="O6" s="766"/>
      <c r="P6" s="14"/>
      <c r="Q6" s="1085"/>
      <c r="R6" s="25"/>
      <c r="S6" s="766"/>
      <c r="T6" s="766"/>
      <c r="U6" s="26"/>
      <c r="V6" s="766"/>
      <c r="W6" s="766"/>
      <c r="X6" s="766"/>
      <c r="Y6" s="766"/>
      <c r="Z6" s="766"/>
      <c r="AA6" s="766"/>
      <c r="AB6" s="766"/>
      <c r="AC6" s="766"/>
      <c r="AD6" s="766"/>
      <c r="AE6" s="766"/>
      <c r="AF6" s="766"/>
      <c r="AG6" s="766" t="s">
        <v>1165</v>
      </c>
      <c r="AH6" s="766" t="s">
        <v>1100</v>
      </c>
      <c r="AI6" s="766"/>
      <c r="AJ6" s="770" t="s">
        <v>12267</v>
      </c>
      <c r="AK6" s="766" t="s">
        <v>1101</v>
      </c>
      <c r="AL6" s="120">
        <v>133</v>
      </c>
      <c r="AM6" s="772">
        <v>30</v>
      </c>
      <c r="AN6" s="37">
        <f>AM6/AL6</f>
        <v>0.22556390977443608</v>
      </c>
      <c r="AO6" s="766" t="s">
        <v>1113</v>
      </c>
      <c r="AP6" s="766"/>
      <c r="AQ6" s="766"/>
      <c r="AR6" s="766"/>
      <c r="AS6" s="766"/>
      <c r="AT6" s="766"/>
      <c r="AU6" s="766"/>
      <c r="AV6" s="766"/>
      <c r="AW6" s="770"/>
      <c r="AX6" s="13"/>
      <c r="AY6" s="766"/>
      <c r="AZ6" s="766"/>
      <c r="BA6" s="766"/>
      <c r="BB6" s="766"/>
      <c r="BC6" s="766"/>
      <c r="BD6" s="766"/>
      <c r="BE6" s="766"/>
      <c r="BF6" s="775"/>
      <c r="BG6" s="775"/>
      <c r="BH6" s="766"/>
      <c r="BI6" s="766"/>
      <c r="BJ6" s="766"/>
      <c r="BK6" s="766" t="s">
        <v>1095</v>
      </c>
      <c r="BL6" s="766" t="s">
        <v>1244</v>
      </c>
      <c r="BM6" s="766" t="s">
        <v>1100</v>
      </c>
      <c r="BN6" s="766" t="s">
        <v>1245</v>
      </c>
      <c r="BO6" s="766" t="s">
        <v>1246</v>
      </c>
      <c r="BP6" s="776">
        <v>133</v>
      </c>
      <c r="BQ6" s="772">
        <v>30</v>
      </c>
      <c r="BR6" s="774">
        <f>BQ6/BP6</f>
        <v>0.22556390977443608</v>
      </c>
      <c r="BS6" s="766" t="s">
        <v>1149</v>
      </c>
      <c r="BT6" s="766" t="s">
        <v>2040</v>
      </c>
      <c r="BU6" s="766" t="s">
        <v>1288</v>
      </c>
      <c r="BV6" s="766" t="s">
        <v>1247</v>
      </c>
      <c r="BW6" s="766">
        <v>2009</v>
      </c>
      <c r="BX6" s="779">
        <v>60000</v>
      </c>
      <c r="BY6" s="766" t="s">
        <v>1207</v>
      </c>
      <c r="BZ6" s="775"/>
      <c r="CA6" s="766"/>
      <c r="CB6" s="766"/>
      <c r="CC6" s="766"/>
      <c r="CD6" s="766"/>
      <c r="CE6" s="766"/>
      <c r="CF6" s="231"/>
      <c r="CG6" s="231"/>
      <c r="CH6" s="766"/>
      <c r="CI6" s="766"/>
      <c r="CJ6" s="766"/>
      <c r="CK6" s="766"/>
      <c r="CL6" s="766"/>
      <c r="CM6" s="766"/>
      <c r="CN6" s="766"/>
      <c r="CO6" s="766"/>
      <c r="CP6" s="38" t="s">
        <v>1691</v>
      </c>
      <c r="CQ6" s="766">
        <v>2009</v>
      </c>
      <c r="CR6" s="775">
        <v>4000</v>
      </c>
      <c r="CS6" s="766"/>
      <c r="CT6" s="766" t="s">
        <v>1427</v>
      </c>
      <c r="CU6" s="129"/>
      <c r="CV6" s="766">
        <v>2</v>
      </c>
      <c r="CW6" s="766" t="s">
        <v>1428</v>
      </c>
      <c r="CX6" s="766"/>
      <c r="CY6" s="766"/>
      <c r="CZ6" s="766"/>
      <c r="DA6" s="766"/>
      <c r="DB6" s="766"/>
      <c r="DC6" s="766"/>
      <c r="DD6" s="766"/>
      <c r="DE6" s="766"/>
      <c r="DF6" s="766"/>
      <c r="DG6" s="766"/>
      <c r="DH6" s="766"/>
      <c r="DI6" s="766"/>
      <c r="DJ6" s="766"/>
      <c r="DK6" s="766"/>
      <c r="DL6" s="766"/>
      <c r="DM6" s="766"/>
      <c r="DN6" s="766"/>
      <c r="DO6" s="766"/>
      <c r="DP6" s="766"/>
      <c r="DQ6" s="766"/>
      <c r="DR6" s="766"/>
      <c r="DS6" s="59"/>
      <c r="DT6" s="766"/>
      <c r="DU6" s="766"/>
      <c r="DV6" s="766"/>
      <c r="DW6" s="66"/>
      <c r="DX6" s="66"/>
      <c r="DY6" s="766"/>
      <c r="DZ6" s="766"/>
      <c r="EA6" s="766"/>
      <c r="EB6" s="766"/>
      <c r="EC6" s="766"/>
      <c r="ED6" s="766"/>
      <c r="EE6" s="766"/>
      <c r="EF6" s="766"/>
      <c r="EG6" s="766"/>
      <c r="EH6" s="766"/>
      <c r="EI6" s="766"/>
      <c r="EJ6" s="766"/>
      <c r="EK6" s="766"/>
      <c r="EL6" s="766"/>
      <c r="EM6" s="766"/>
      <c r="EN6" s="766"/>
      <c r="EO6" s="766"/>
      <c r="EP6" s="766"/>
      <c r="EQ6" s="766"/>
      <c r="ER6" s="766"/>
      <c r="ES6" s="766"/>
      <c r="ET6" s="766"/>
      <c r="EU6" s="766"/>
      <c r="EV6" s="766"/>
      <c r="EW6" s="766"/>
      <c r="EX6" s="766"/>
      <c r="EY6" s="766"/>
      <c r="EZ6" s="766"/>
      <c r="FA6" s="766"/>
      <c r="FB6" s="766"/>
      <c r="FC6" s="766"/>
      <c r="FD6" s="775"/>
      <c r="FE6" s="766"/>
      <c r="FF6" s="766"/>
      <c r="FG6" s="766"/>
      <c r="FH6" s="766" t="s">
        <v>478</v>
      </c>
      <c r="FI6" s="766">
        <v>1</v>
      </c>
      <c r="FJ6" s="766"/>
      <c r="FK6" s="766"/>
      <c r="FL6" s="766"/>
      <c r="FM6" s="775"/>
      <c r="FN6" s="775"/>
      <c r="FO6" s="775"/>
      <c r="FP6" s="766" t="s">
        <v>1600</v>
      </c>
      <c r="FQ6" s="766" t="s">
        <v>1642</v>
      </c>
      <c r="FR6" s="766" t="s">
        <v>1207</v>
      </c>
      <c r="FS6" s="766"/>
      <c r="FT6" s="766"/>
      <c r="FU6" s="766"/>
      <c r="FV6" s="766"/>
      <c r="FW6" s="766"/>
      <c r="FX6" s="766"/>
      <c r="FY6" s="766"/>
      <c r="FZ6" s="766" t="s">
        <v>1208</v>
      </c>
      <c r="GA6" s="766"/>
      <c r="GB6" s="766" t="s">
        <v>1690</v>
      </c>
      <c r="GC6" s="75" t="s">
        <v>1691</v>
      </c>
      <c r="GD6" s="25"/>
      <c r="GE6" s="766"/>
      <c r="GF6" s="775"/>
      <c r="GG6" s="775"/>
      <c r="GH6" s="766"/>
      <c r="GI6" s="766"/>
      <c r="GJ6" s="766"/>
      <c r="GK6" s="766"/>
      <c r="GL6" s="766"/>
      <c r="GM6" s="766"/>
      <c r="GN6" s="82"/>
      <c r="GO6" s="766"/>
      <c r="GP6" s="766"/>
      <c r="GQ6" s="766"/>
      <c r="GR6" s="766"/>
      <c r="GS6" s="766"/>
      <c r="GT6" s="766"/>
      <c r="GU6" s="766"/>
      <c r="GV6" s="766"/>
      <c r="GW6" s="766"/>
      <c r="GX6" s="766"/>
      <c r="GY6" s="766"/>
      <c r="GZ6" s="766"/>
      <c r="HA6" s="766"/>
      <c r="HB6" s="766"/>
      <c r="HC6" s="766"/>
      <c r="HD6" s="766"/>
      <c r="HE6" s="766"/>
      <c r="HF6" s="766"/>
      <c r="HG6" s="766"/>
      <c r="HH6" s="766"/>
      <c r="HI6" s="766"/>
      <c r="HJ6" s="766"/>
      <c r="HK6" s="766"/>
      <c r="HL6" s="766"/>
      <c r="HM6" s="766"/>
      <c r="HN6" s="766"/>
      <c r="HO6" s="766"/>
      <c r="HP6" s="766"/>
      <c r="HQ6" s="766"/>
      <c r="HR6" s="766"/>
      <c r="HS6" s="766"/>
      <c r="HT6" s="766"/>
      <c r="HU6" s="766"/>
      <c r="HV6" s="766"/>
      <c r="HW6" s="766"/>
      <c r="HX6" s="766"/>
      <c r="HY6" s="766"/>
      <c r="HZ6" s="766"/>
      <c r="IA6" s="766"/>
      <c r="IB6" s="766"/>
      <c r="IC6" s="766"/>
      <c r="ID6" s="766"/>
      <c r="IE6" s="766"/>
      <c r="IF6" s="775" t="s">
        <v>13</v>
      </c>
      <c r="IG6" s="775" t="s">
        <v>10</v>
      </c>
      <c r="IH6" s="775" t="s">
        <v>478</v>
      </c>
      <c r="II6" s="766" t="s">
        <v>5452</v>
      </c>
      <c r="IJ6" s="775" t="s">
        <v>1875</v>
      </c>
      <c r="IK6" s="6" t="s">
        <v>1888</v>
      </c>
      <c r="IL6" s="775" t="s">
        <v>1877</v>
      </c>
      <c r="IM6" s="766"/>
      <c r="IN6" s="766"/>
      <c r="IO6" s="766"/>
      <c r="IP6" s="766"/>
      <c r="IQ6" s="13" t="s">
        <v>8145</v>
      </c>
      <c r="IR6" s="775"/>
      <c r="IS6" s="76"/>
      <c r="IT6" s="76"/>
      <c r="IU6" s="76"/>
      <c r="IV6" s="76"/>
      <c r="IW6" s="775" t="s">
        <v>1877</v>
      </c>
      <c r="IX6" s="766"/>
      <c r="IY6" s="766" t="s">
        <v>14</v>
      </c>
      <c r="IZ6" s="766"/>
      <c r="JA6" s="766" t="s">
        <v>1880</v>
      </c>
      <c r="JB6" s="766" t="s">
        <v>12764</v>
      </c>
      <c r="JC6" s="766"/>
      <c r="JD6" s="775">
        <v>6667</v>
      </c>
      <c r="JE6" s="76"/>
      <c r="JF6" s="76"/>
      <c r="JG6" s="76"/>
      <c r="JH6" s="76"/>
      <c r="JI6" s="76"/>
      <c r="JJ6" s="766"/>
      <c r="JK6" s="766"/>
      <c r="JL6" s="766"/>
      <c r="JM6" s="766"/>
      <c r="JN6" s="766"/>
      <c r="JO6" s="766"/>
      <c r="JP6" s="766"/>
      <c r="JQ6" s="766"/>
      <c r="JR6" s="766"/>
      <c r="JS6" s="766"/>
      <c r="JT6" s="766"/>
      <c r="JU6" s="766"/>
      <c r="JV6" s="766"/>
      <c r="JW6" s="766"/>
      <c r="JX6" s="766"/>
      <c r="JY6" s="766"/>
      <c r="JZ6" s="766"/>
      <c r="KA6" s="766"/>
      <c r="KB6" s="766"/>
      <c r="KC6" s="766"/>
      <c r="KD6" s="766"/>
      <c r="KE6" s="766"/>
      <c r="KF6" s="766"/>
      <c r="KG6" s="766"/>
      <c r="KH6" s="766"/>
      <c r="KI6" s="766"/>
      <c r="KJ6" s="770"/>
      <c r="KK6" s="770"/>
      <c r="KL6" s="770"/>
      <c r="KM6" s="770"/>
      <c r="KN6" s="766"/>
      <c r="KO6" s="28"/>
      <c r="KP6" s="766"/>
      <c r="KQ6" s="766"/>
      <c r="KR6" s="766"/>
      <c r="KS6" s="766"/>
      <c r="KT6" s="766"/>
      <c r="KU6" s="766"/>
      <c r="KV6" s="766"/>
      <c r="KW6" s="766"/>
      <c r="KX6" s="766"/>
      <c r="KY6" s="766"/>
      <c r="KZ6" s="766"/>
      <c r="LA6" s="766"/>
      <c r="LB6" s="766"/>
      <c r="LC6" s="766"/>
      <c r="LD6" s="766"/>
      <c r="LE6" s="766"/>
      <c r="LF6" s="766"/>
      <c r="LG6" s="766"/>
      <c r="LH6" s="766"/>
      <c r="LI6" s="766"/>
      <c r="LJ6" s="766"/>
      <c r="LK6" s="766"/>
      <c r="LL6" s="766"/>
      <c r="LM6" s="766"/>
      <c r="LN6" s="766"/>
      <c r="LO6" s="766"/>
      <c r="LP6" s="766"/>
      <c r="LQ6" s="1678"/>
      <c r="LR6" s="766"/>
      <c r="LS6" s="766"/>
      <c r="LT6" s="766"/>
      <c r="LU6" s="766"/>
      <c r="LV6" s="766"/>
      <c r="LW6" s="766"/>
      <c r="LX6" s="769"/>
      <c r="LY6" s="766" t="str">
        <f t="shared" si="0"/>
        <v/>
      </c>
      <c r="LZ6" s="66"/>
      <c r="MA6" s="766"/>
      <c r="MB6" s="766"/>
      <c r="MC6" s="1679">
        <f t="shared" si="1"/>
        <v>0</v>
      </c>
      <c r="MD6" s="66"/>
      <c r="ME6" s="66"/>
      <c r="MF6" s="66"/>
      <c r="MG6" s="1680">
        <f t="shared" si="2"/>
        <v>0</v>
      </c>
      <c r="MH6" s="1681"/>
      <c r="MI6" s="775"/>
      <c r="MJ6" s="775"/>
      <c r="MK6" s="775"/>
      <c r="ML6" s="775"/>
      <c r="MM6" s="775"/>
      <c r="MN6" s="775"/>
      <c r="MO6" s="775"/>
      <c r="MP6" s="775"/>
      <c r="MQ6" s="775"/>
      <c r="MR6" s="775"/>
      <c r="MS6" s="775"/>
      <c r="MT6" s="775"/>
      <c r="MU6" s="775"/>
      <c r="MV6" s="775"/>
      <c r="MW6" s="775"/>
      <c r="MX6" s="775"/>
      <c r="MY6" s="1682">
        <f t="shared" ref="MY6:MY69" si="3">IF(ISBLANK(MI6:MX6)=TRUE,"",SUM(MI6:MX6))</f>
        <v>0</v>
      </c>
      <c r="MZ6" s="766"/>
      <c r="NA6" s="766"/>
      <c r="NB6" s="766"/>
      <c r="NC6" s="766"/>
      <c r="ND6" s="766"/>
      <c r="NE6" s="766"/>
      <c r="NF6" s="766"/>
      <c r="NG6" s="766"/>
      <c r="NH6" s="766"/>
      <c r="NI6" s="766"/>
      <c r="NJ6" s="766"/>
      <c r="NK6" s="766"/>
      <c r="NL6" s="766"/>
      <c r="NM6" s="766"/>
      <c r="NN6" s="766"/>
      <c r="NO6" s="766"/>
      <c r="NP6" s="766"/>
      <c r="NQ6" s="766"/>
      <c r="NR6" s="766"/>
      <c r="NS6" s="766"/>
      <c r="NT6" s="766"/>
      <c r="NU6" s="766"/>
      <c r="NV6" s="766"/>
      <c r="NW6" s="766"/>
      <c r="NX6" s="766"/>
      <c r="NY6" s="766"/>
      <c r="NZ6" s="766"/>
      <c r="OA6" s="766"/>
      <c r="OB6" s="766"/>
      <c r="OC6" s="766"/>
      <c r="OD6" s="766"/>
      <c r="OE6" s="766"/>
      <c r="OF6" s="766" t="s">
        <v>12982</v>
      </c>
      <c r="OG6" s="766"/>
      <c r="OH6" s="766"/>
      <c r="OI6" s="766"/>
      <c r="OJ6" s="766"/>
      <c r="OK6" s="76"/>
      <c r="OL6" s="766"/>
      <c r="OM6" s="766"/>
      <c r="ON6" s="766"/>
      <c r="OO6" s="766"/>
      <c r="OP6" s="766"/>
      <c r="OQ6" s="766"/>
      <c r="OR6" s="766"/>
      <c r="OS6" s="766"/>
      <c r="OT6" s="766"/>
      <c r="OU6" s="766"/>
      <c r="OV6" s="766"/>
      <c r="OW6" s="766"/>
      <c r="OX6" s="766"/>
      <c r="OY6" s="766"/>
      <c r="OZ6" s="766"/>
      <c r="PA6" s="766"/>
      <c r="PB6" s="766"/>
      <c r="PC6" s="766"/>
      <c r="PD6" s="766"/>
      <c r="PE6" s="766"/>
      <c r="PF6" s="766"/>
      <c r="PG6" s="766"/>
      <c r="PH6" s="766"/>
      <c r="PI6" s="766"/>
      <c r="PJ6" s="766"/>
      <c r="PK6" s="766"/>
      <c r="PL6" s="766"/>
      <c r="PM6" s="766"/>
      <c r="PN6" s="766"/>
      <c r="PO6" s="766"/>
      <c r="PP6" s="766"/>
      <c r="PQ6" s="766"/>
      <c r="PR6" s="766"/>
      <c r="PS6" s="766"/>
      <c r="PT6" s="766"/>
      <c r="PU6" s="766"/>
      <c r="PV6" s="766"/>
      <c r="PW6" s="766"/>
      <c r="PX6" s="766"/>
      <c r="PY6" s="766"/>
      <c r="PZ6" s="766"/>
      <c r="QA6" s="766"/>
      <c r="QB6" s="766"/>
      <c r="QC6" s="766"/>
      <c r="QD6" s="766"/>
      <c r="QE6" s="766"/>
      <c r="QF6" s="766"/>
      <c r="QG6" s="766"/>
      <c r="QH6" s="766"/>
      <c r="QI6" s="766"/>
      <c r="QJ6" s="766"/>
      <c r="QK6" s="766"/>
      <c r="QL6" s="766"/>
      <c r="QM6" s="766"/>
      <c r="QN6" s="766"/>
      <c r="QO6" s="766"/>
      <c r="QP6" s="766"/>
      <c r="QQ6" s="766"/>
      <c r="QR6" s="766"/>
      <c r="QS6" s="766"/>
      <c r="QT6" s="766"/>
      <c r="QU6" s="766"/>
      <c r="QV6" s="766"/>
      <c r="QW6" s="766"/>
      <c r="QX6" s="766"/>
      <c r="QY6" s="766"/>
      <c r="QZ6" s="766"/>
      <c r="RA6" s="766"/>
      <c r="RB6" s="770" t="s">
        <v>1207</v>
      </c>
      <c r="RC6" s="766" t="s">
        <v>12983</v>
      </c>
      <c r="RD6" s="766"/>
      <c r="RE6" s="766"/>
      <c r="RF6" s="777">
        <v>0.5</v>
      </c>
      <c r="RG6" s="766" t="s">
        <v>12984</v>
      </c>
      <c r="RH6" s="775">
        <v>15000</v>
      </c>
      <c r="RI6" s="766" t="s">
        <v>12985</v>
      </c>
      <c r="RJ6" s="766" t="s">
        <v>2147</v>
      </c>
      <c r="RK6" s="766" t="s">
        <v>12986</v>
      </c>
      <c r="RL6" s="1683"/>
      <c r="RM6" s="12"/>
      <c r="RN6" s="1711"/>
      <c r="RO6" s="168" t="s">
        <v>12</v>
      </c>
      <c r="RP6" s="11"/>
      <c r="RQ6" s="11"/>
      <c r="RR6" s="771"/>
      <c r="RS6" s="766"/>
      <c r="RT6" s="1685">
        <v>1</v>
      </c>
      <c r="RU6" s="11" t="s">
        <v>12987</v>
      </c>
      <c r="RV6" s="766"/>
      <c r="RW6" s="11"/>
      <c r="RX6" s="11"/>
      <c r="RY6" s="11"/>
      <c r="RZ6" s="11"/>
      <c r="SA6" s="766"/>
      <c r="SB6" s="11"/>
      <c r="SC6" s="11"/>
    </row>
    <row r="7" spans="1:497" ht="12.75" customHeight="1">
      <c r="A7" s="767" t="s">
        <v>7421</v>
      </c>
      <c r="B7" s="288" t="s">
        <v>11952</v>
      </c>
      <c r="C7" s="168" t="s">
        <v>15</v>
      </c>
      <c r="D7" s="766" t="s">
        <v>16</v>
      </c>
      <c r="E7" s="766" t="s">
        <v>5453</v>
      </c>
      <c r="F7" s="766" t="s">
        <v>17</v>
      </c>
      <c r="G7" s="766" t="s">
        <v>18</v>
      </c>
      <c r="H7" s="766"/>
      <c r="I7" s="5"/>
      <c r="J7" s="766"/>
      <c r="K7" s="6" t="s">
        <v>14067</v>
      </c>
      <c r="L7" s="6" t="s">
        <v>14068</v>
      </c>
      <c r="M7" s="6"/>
      <c r="N7" s="6" t="s">
        <v>5471</v>
      </c>
      <c r="O7" s="6" t="s">
        <v>5472</v>
      </c>
      <c r="P7" s="14" t="s">
        <v>1429</v>
      </c>
      <c r="Q7" s="1085"/>
      <c r="R7" s="25"/>
      <c r="S7" s="766" t="s">
        <v>10</v>
      </c>
      <c r="T7" s="766"/>
      <c r="U7" s="26"/>
      <c r="V7" s="766"/>
      <c r="W7" s="766"/>
      <c r="X7" s="766"/>
      <c r="Y7" s="766"/>
      <c r="Z7" s="766"/>
      <c r="AA7" s="766"/>
      <c r="AB7" s="766"/>
      <c r="AC7" s="766"/>
      <c r="AD7" s="766"/>
      <c r="AE7" s="766"/>
      <c r="AF7" s="766"/>
      <c r="AG7" s="766" t="s">
        <v>1095</v>
      </c>
      <c r="AH7" s="766" t="s">
        <v>1096</v>
      </c>
      <c r="AI7" s="766" t="s">
        <v>1103</v>
      </c>
      <c r="AJ7" s="766"/>
      <c r="AK7" s="766" t="s">
        <v>1101</v>
      </c>
      <c r="AL7" s="1127"/>
      <c r="AM7" s="772">
        <v>3.2</v>
      </c>
      <c r="AN7" s="37"/>
      <c r="AO7" s="766" t="s">
        <v>1098</v>
      </c>
      <c r="AP7" s="766"/>
      <c r="AQ7" s="766"/>
      <c r="AR7" s="766"/>
      <c r="AS7" s="766"/>
      <c r="AT7" s="766"/>
      <c r="AU7" s="766"/>
      <c r="AV7" s="766"/>
      <c r="AW7" s="770"/>
      <c r="AX7" s="766"/>
      <c r="AY7" s="766"/>
      <c r="AZ7" s="766"/>
      <c r="BA7" s="766"/>
      <c r="BB7" s="766"/>
      <c r="BC7" s="766"/>
      <c r="BD7" s="766"/>
      <c r="BE7" s="766"/>
      <c r="BF7" s="775"/>
      <c r="BG7" s="775"/>
      <c r="BH7" s="766"/>
      <c r="BI7" s="766"/>
      <c r="BJ7" s="766"/>
      <c r="BK7" s="766" t="s">
        <v>1095</v>
      </c>
      <c r="BL7" s="766" t="s">
        <v>1248</v>
      </c>
      <c r="BM7" s="766" t="s">
        <v>1096</v>
      </c>
      <c r="BN7" s="766" t="s">
        <v>1230</v>
      </c>
      <c r="BO7" s="766" t="s">
        <v>1246</v>
      </c>
      <c r="BP7" s="776">
        <v>133</v>
      </c>
      <c r="BQ7" s="772">
        <v>3.2</v>
      </c>
      <c r="BR7" s="774">
        <f>BQ7/BP7</f>
        <v>2.4060150375939851E-2</v>
      </c>
      <c r="BS7" s="766" t="s">
        <v>1242</v>
      </c>
      <c r="BT7" s="766" t="s">
        <v>8133</v>
      </c>
      <c r="BU7" s="766" t="s">
        <v>1249</v>
      </c>
      <c r="BV7" s="766" t="s">
        <v>1247</v>
      </c>
      <c r="BW7" s="429"/>
      <c r="BX7" s="779"/>
      <c r="BY7" s="766"/>
      <c r="BZ7" s="775"/>
      <c r="CA7" s="766"/>
      <c r="CB7" s="766"/>
      <c r="CC7" s="766"/>
      <c r="CD7" s="766"/>
      <c r="CE7" s="766"/>
      <c r="CF7" s="231"/>
      <c r="CG7" s="231"/>
      <c r="CH7" s="766"/>
      <c r="CI7" s="766"/>
      <c r="CJ7" s="766"/>
      <c r="CK7" s="766"/>
      <c r="CL7" s="766"/>
      <c r="CM7" s="766"/>
      <c r="CN7" s="766"/>
      <c r="CO7" s="766"/>
      <c r="CP7" s="766"/>
      <c r="CQ7" s="766"/>
      <c r="CR7" s="775"/>
      <c r="CS7" s="766"/>
      <c r="CT7" s="766"/>
      <c r="CU7" s="129"/>
      <c r="CV7" s="766"/>
      <c r="CW7" s="766"/>
      <c r="CX7" s="766"/>
      <c r="CY7" s="766"/>
      <c r="CZ7" s="766"/>
      <c r="DA7" s="766"/>
      <c r="DB7" s="766"/>
      <c r="DC7" s="766"/>
      <c r="DD7" s="766"/>
      <c r="DE7" s="766"/>
      <c r="DF7" s="766"/>
      <c r="DG7" s="766"/>
      <c r="DH7" s="766"/>
      <c r="DI7" s="766"/>
      <c r="DJ7" s="766"/>
      <c r="DK7" s="766"/>
      <c r="DL7" s="766"/>
      <c r="DM7" s="766"/>
      <c r="DN7" s="766"/>
      <c r="DO7" s="766"/>
      <c r="DP7" s="766"/>
      <c r="DQ7" s="766"/>
      <c r="DR7" s="766"/>
      <c r="DS7" s="59"/>
      <c r="DT7" s="766"/>
      <c r="DU7" s="766"/>
      <c r="DV7" s="766"/>
      <c r="DW7" s="66"/>
      <c r="DX7" s="66"/>
      <c r="DY7" s="766"/>
      <c r="DZ7" s="766"/>
      <c r="EA7" s="766"/>
      <c r="EB7" s="766"/>
      <c r="EC7" s="766"/>
      <c r="ED7" s="766"/>
      <c r="EE7" s="766"/>
      <c r="EF7" s="766"/>
      <c r="EG7" s="766"/>
      <c r="EH7" s="766"/>
      <c r="EI7" s="766"/>
      <c r="EJ7" s="766"/>
      <c r="EK7" s="766"/>
      <c r="EL7" s="766"/>
      <c r="EM7" s="766"/>
      <c r="EN7" s="766"/>
      <c r="EO7" s="766"/>
      <c r="EP7" s="766"/>
      <c r="EQ7" s="766"/>
      <c r="ER7" s="766"/>
      <c r="ES7" s="766"/>
      <c r="ET7" s="766"/>
      <c r="EU7" s="766"/>
      <c r="EV7" s="766"/>
      <c r="EW7" s="766"/>
      <c r="EX7" s="766"/>
      <c r="EY7" s="766"/>
      <c r="EZ7" s="766" t="s">
        <v>1429</v>
      </c>
      <c r="FA7" s="766"/>
      <c r="FB7" s="766"/>
      <c r="FC7" s="766"/>
      <c r="FD7" s="775"/>
      <c r="FE7" s="766" t="s">
        <v>1430</v>
      </c>
      <c r="FF7" s="770" t="s">
        <v>1431</v>
      </c>
      <c r="FG7" s="766" t="s">
        <v>1432</v>
      </c>
      <c r="FH7" s="766"/>
      <c r="FI7" s="766"/>
      <c r="FJ7" s="766"/>
      <c r="FK7" s="766"/>
      <c r="FL7" s="766"/>
      <c r="FM7" s="775"/>
      <c r="FN7" s="775"/>
      <c r="FO7" s="775"/>
      <c r="FP7" s="766" t="s">
        <v>1600</v>
      </c>
      <c r="FQ7" s="766" t="s">
        <v>1642</v>
      </c>
      <c r="FR7" s="766"/>
      <c r="FS7" s="766"/>
      <c r="FT7" s="766"/>
      <c r="FU7" s="766"/>
      <c r="FV7" s="766"/>
      <c r="FW7" s="766"/>
      <c r="FX7" s="766"/>
      <c r="FY7" s="766"/>
      <c r="FZ7" s="766"/>
      <c r="GA7" s="766"/>
      <c r="GB7" s="766"/>
      <c r="GC7" s="75"/>
      <c r="GD7" s="25"/>
      <c r="GE7" s="766"/>
      <c r="GF7" s="775"/>
      <c r="GG7" s="775"/>
      <c r="GH7" s="766"/>
      <c r="GI7" s="766"/>
      <c r="GJ7" s="766"/>
      <c r="GK7" s="766"/>
      <c r="GL7" s="766"/>
      <c r="GM7" s="766"/>
      <c r="GN7" s="82"/>
      <c r="GO7" s="766"/>
      <c r="GP7" s="766"/>
      <c r="GQ7" s="766"/>
      <c r="GR7" s="766"/>
      <c r="GS7" s="766"/>
      <c r="GT7" s="766"/>
      <c r="GU7" s="766"/>
      <c r="GV7" s="766"/>
      <c r="GW7" s="766"/>
      <c r="GX7" s="766"/>
      <c r="GY7" s="766"/>
      <c r="GZ7" s="766"/>
      <c r="HA7" s="766"/>
      <c r="HB7" s="766"/>
      <c r="HC7" s="766"/>
      <c r="HD7" s="766"/>
      <c r="HE7" s="766"/>
      <c r="HF7" s="766"/>
      <c r="HG7" s="766"/>
      <c r="HH7" s="766"/>
      <c r="HI7" s="766"/>
      <c r="HJ7" s="766"/>
      <c r="HK7" s="766"/>
      <c r="HL7" s="766"/>
      <c r="HM7" s="766"/>
      <c r="HN7" s="766"/>
      <c r="HO7" s="766"/>
      <c r="HP7" s="766"/>
      <c r="HQ7" s="766"/>
      <c r="HR7" s="770"/>
      <c r="HS7" s="766"/>
      <c r="HT7" s="766">
        <v>3</v>
      </c>
      <c r="HU7" s="766"/>
      <c r="HV7" s="766"/>
      <c r="HW7" s="766"/>
      <c r="HX7" s="766"/>
      <c r="HY7" s="766"/>
      <c r="HZ7" s="766"/>
      <c r="IA7" s="766"/>
      <c r="IB7" s="14" t="e">
        <f>IF(#REF!&gt;0,IF(#REF!&lt;=10000,"Y",""),"")</f>
        <v>#REF!</v>
      </c>
      <c r="IC7" s="766"/>
      <c r="ID7" s="766"/>
      <c r="IE7" s="766"/>
      <c r="IF7" s="766"/>
      <c r="IG7" s="766"/>
      <c r="IH7" s="766"/>
      <c r="II7" s="766"/>
      <c r="IJ7" s="766"/>
      <c r="IK7" s="766"/>
      <c r="IL7" s="766"/>
      <c r="IM7" s="766"/>
      <c r="IN7" s="766"/>
      <c r="IO7" s="766"/>
      <c r="IP7" s="766"/>
      <c r="IQ7" s="766"/>
      <c r="IR7" s="775"/>
      <c r="IS7" s="76"/>
      <c r="IT7" s="76"/>
      <c r="IU7" s="76"/>
      <c r="IV7" s="76"/>
      <c r="IW7" s="766"/>
      <c r="IX7" s="766"/>
      <c r="IY7" s="766"/>
      <c r="IZ7" s="766"/>
      <c r="JA7" s="766"/>
      <c r="JB7" s="766"/>
      <c r="JC7" s="766"/>
      <c r="JD7" s="775"/>
      <c r="JE7" s="76"/>
      <c r="JF7" s="76"/>
      <c r="JG7" s="76"/>
      <c r="JH7" s="76"/>
      <c r="JI7" s="76"/>
      <c r="JJ7" s="14"/>
      <c r="JK7" s="1139" t="s">
        <v>1429</v>
      </c>
      <c r="JL7" s="766"/>
      <c r="JM7" s="766"/>
      <c r="JN7" s="766"/>
      <c r="JO7" s="766"/>
      <c r="JP7" s="766"/>
      <c r="JQ7" s="766"/>
      <c r="JR7" s="766"/>
      <c r="JS7" s="766"/>
      <c r="JT7" s="766"/>
      <c r="JU7" s="766"/>
      <c r="JV7" s="712" t="str">
        <f>IF(JT7=KJ7,"ok","male")</f>
        <v>ok</v>
      </c>
      <c r="JW7" s="712" t="str">
        <f>IF(JU7=KK7,"ok","female")</f>
        <v>ok</v>
      </c>
      <c r="JX7" s="766"/>
      <c r="JY7" s="766"/>
      <c r="JZ7" s="766"/>
      <c r="KA7" s="766"/>
      <c r="KB7" s="766"/>
      <c r="KC7" s="766"/>
      <c r="KD7" s="766"/>
      <c r="KE7" s="766"/>
      <c r="KF7" s="766"/>
      <c r="KG7" s="766"/>
      <c r="KH7" s="766"/>
      <c r="KI7" s="766"/>
      <c r="KJ7" s="770"/>
      <c r="KK7" s="770"/>
      <c r="KL7" s="712" t="str">
        <f>IF(KJ7=LN7,"ok","male")</f>
        <v>ok</v>
      </c>
      <c r="KM7" s="712" t="str">
        <f>IF(KK7=LO7,"ok","female")</f>
        <v>ok</v>
      </c>
      <c r="KN7" s="766"/>
      <c r="KO7" s="28"/>
      <c r="KP7" s="766"/>
      <c r="KQ7" s="766"/>
      <c r="KR7" s="766"/>
      <c r="KS7" s="766"/>
      <c r="KT7" s="766"/>
      <c r="KU7" s="766"/>
      <c r="KV7" s="766"/>
      <c r="KW7" s="766"/>
      <c r="KX7" s="766"/>
      <c r="KY7" s="766"/>
      <c r="KZ7" s="766"/>
      <c r="LA7" s="766"/>
      <c r="LB7" s="766"/>
      <c r="LC7" s="766"/>
      <c r="LD7" s="766"/>
      <c r="LE7" s="766"/>
      <c r="LF7" s="766"/>
      <c r="LG7" s="766"/>
      <c r="LH7" s="766"/>
      <c r="LI7" s="766"/>
      <c r="LJ7" s="766"/>
      <c r="LK7" s="766"/>
      <c r="LL7" s="766"/>
      <c r="LM7" s="766"/>
      <c r="LN7" s="766"/>
      <c r="LO7" s="766"/>
      <c r="LP7" s="766"/>
      <c r="LQ7" s="1678"/>
      <c r="LR7" s="766"/>
      <c r="LS7" s="766"/>
      <c r="LT7" s="712" t="str">
        <f>IF(LQ7=SUM(LU7:LW7),"OK","REV")</f>
        <v>OK</v>
      </c>
      <c r="LU7" s="766"/>
      <c r="LV7" s="766"/>
      <c r="LW7" s="766"/>
      <c r="LX7" s="769"/>
      <c r="LY7" s="766" t="str">
        <f t="shared" si="0"/>
        <v/>
      </c>
      <c r="LZ7" s="66"/>
      <c r="MA7" s="766"/>
      <c r="MB7" s="766"/>
      <c r="MC7" s="1679">
        <f t="shared" si="1"/>
        <v>0</v>
      </c>
      <c r="MD7" s="66"/>
      <c r="ME7" s="66"/>
      <c r="MF7" s="66"/>
      <c r="MG7" s="1680">
        <v>0</v>
      </c>
      <c r="MH7" s="1681"/>
      <c r="MI7" s="775"/>
      <c r="MJ7" s="775"/>
      <c r="MK7" s="775"/>
      <c r="ML7" s="775"/>
      <c r="MM7" s="775"/>
      <c r="MN7" s="775"/>
      <c r="MO7" s="775"/>
      <c r="MP7" s="775"/>
      <c r="MQ7" s="775"/>
      <c r="MR7" s="775"/>
      <c r="MS7" s="775"/>
      <c r="MT7" s="775"/>
      <c r="MU7" s="775"/>
      <c r="MV7" s="775"/>
      <c r="MW7" s="775"/>
      <c r="MX7" s="775"/>
      <c r="MY7" s="1682"/>
      <c r="MZ7" s="766"/>
      <c r="NA7" s="766"/>
      <c r="NB7" s="766"/>
      <c r="NC7" s="766"/>
      <c r="ND7" s="766"/>
      <c r="NE7" s="766"/>
      <c r="NF7" s="766"/>
      <c r="NG7" s="766"/>
      <c r="NH7" s="766"/>
      <c r="NI7" s="766"/>
      <c r="NJ7" s="766"/>
      <c r="NK7" s="766"/>
      <c r="NL7" s="766"/>
      <c r="NM7" s="766"/>
      <c r="NN7" s="766"/>
      <c r="NO7" s="766"/>
      <c r="NP7" s="766"/>
      <c r="NQ7" s="766"/>
      <c r="NR7" s="766"/>
      <c r="NS7" s="766"/>
      <c r="NT7" s="766"/>
      <c r="NU7" s="766"/>
      <c r="NV7" s="766"/>
      <c r="NW7" s="766"/>
      <c r="NX7" s="766"/>
      <c r="NY7" s="766"/>
      <c r="NZ7" s="766"/>
      <c r="OA7" s="766"/>
      <c r="OB7" s="766"/>
      <c r="OC7" s="766"/>
      <c r="OD7" s="766"/>
      <c r="OE7" s="766"/>
      <c r="OF7" s="766"/>
      <c r="OG7" s="766"/>
      <c r="OH7" s="766"/>
      <c r="OI7" s="766"/>
      <c r="OJ7" s="766"/>
      <c r="OK7" s="76"/>
      <c r="OL7" s="766"/>
      <c r="OM7" s="766"/>
      <c r="ON7" s="766"/>
      <c r="OO7" s="766"/>
      <c r="OP7" s="766"/>
      <c r="OQ7" s="766"/>
      <c r="OR7" s="766"/>
      <c r="OS7" s="766"/>
      <c r="OT7" s="766"/>
      <c r="OU7" s="766"/>
      <c r="OV7" s="766"/>
      <c r="OW7" s="766"/>
      <c r="OX7" s="766"/>
      <c r="OY7" s="766"/>
      <c r="OZ7" s="766"/>
      <c r="PA7" s="766"/>
      <c r="PB7" s="766"/>
      <c r="PC7" s="766"/>
      <c r="PD7" s="766"/>
      <c r="PE7" s="766"/>
      <c r="PF7" s="766"/>
      <c r="PG7" s="766"/>
      <c r="PH7" s="766"/>
      <c r="PI7" s="766"/>
      <c r="PJ7" s="766"/>
      <c r="PK7" s="766"/>
      <c r="PL7" s="766"/>
      <c r="PM7" s="766"/>
      <c r="PN7" s="766"/>
      <c r="PO7" s="766"/>
      <c r="PP7" s="766"/>
      <c r="PQ7" s="766"/>
      <c r="PR7" s="766"/>
      <c r="PS7" s="766"/>
      <c r="PT7" s="766"/>
      <c r="PU7" s="766"/>
      <c r="PV7" s="766"/>
      <c r="PW7" s="766"/>
      <c r="PX7" s="766"/>
      <c r="PY7" s="766"/>
      <c r="PZ7" s="766"/>
      <c r="QA7" s="766"/>
      <c r="QB7" s="766"/>
      <c r="QC7" s="766"/>
      <c r="QD7" s="766"/>
      <c r="QE7" s="766"/>
      <c r="QF7" s="766"/>
      <c r="QG7" s="766"/>
      <c r="QH7" s="766"/>
      <c r="QI7" s="766"/>
      <c r="QJ7" s="766"/>
      <c r="QK7" s="766"/>
      <c r="QL7" s="766"/>
      <c r="QM7" s="766"/>
      <c r="QN7" s="766"/>
      <c r="QO7" s="766"/>
      <c r="QP7" s="766"/>
      <c r="QQ7" s="766"/>
      <c r="QR7" s="766"/>
      <c r="QS7" s="766"/>
      <c r="QT7" s="766"/>
      <c r="QU7" s="766"/>
      <c r="QV7" s="766"/>
      <c r="QW7" s="766"/>
      <c r="QX7" s="766"/>
      <c r="QY7" s="766"/>
      <c r="QZ7" s="766"/>
      <c r="RA7" s="766"/>
      <c r="RB7" s="766"/>
      <c r="RC7" s="766"/>
      <c r="RD7" s="766"/>
      <c r="RE7" s="766"/>
      <c r="RF7" s="777"/>
      <c r="RG7" s="766"/>
      <c r="RH7" s="775"/>
      <c r="RI7" s="766"/>
      <c r="RJ7" s="766" t="s">
        <v>488</v>
      </c>
      <c r="RK7" s="766"/>
      <c r="RL7" s="1683"/>
      <c r="RM7" s="12"/>
      <c r="RN7" s="1711"/>
      <c r="RO7" s="168" t="s">
        <v>15</v>
      </c>
      <c r="RP7" s="11"/>
      <c r="RQ7" s="11"/>
      <c r="RR7" s="19" t="s">
        <v>7421</v>
      </c>
      <c r="RS7" s="1139" t="s">
        <v>12980</v>
      </c>
      <c r="RT7" s="1685">
        <v>2</v>
      </c>
      <c r="RU7" s="11" t="s">
        <v>12988</v>
      </c>
      <c r="RV7" s="766" t="s">
        <v>7419</v>
      </c>
      <c r="RW7" s="11" t="s">
        <v>11950</v>
      </c>
      <c r="RX7" s="11" t="s">
        <v>8</v>
      </c>
      <c r="RY7" s="11"/>
      <c r="RZ7" s="11"/>
      <c r="SA7" s="766"/>
      <c r="SB7" s="11"/>
      <c r="SC7" s="11"/>
    </row>
    <row r="8" spans="1:497" ht="12.75" hidden="1" customHeight="1">
      <c r="A8" s="767" t="s">
        <v>7419</v>
      </c>
      <c r="B8" s="288" t="s">
        <v>11953</v>
      </c>
      <c r="C8" s="168" t="s">
        <v>19</v>
      </c>
      <c r="D8" s="94" t="s">
        <v>5455</v>
      </c>
      <c r="E8" s="770" t="s">
        <v>5456</v>
      </c>
      <c r="F8" s="766" t="s">
        <v>20</v>
      </c>
      <c r="G8" s="766" t="s">
        <v>18</v>
      </c>
      <c r="H8" s="766"/>
      <c r="I8" s="5" t="s">
        <v>21</v>
      </c>
      <c r="J8" s="766" t="s">
        <v>22</v>
      </c>
      <c r="K8" s="766"/>
      <c r="L8" s="766"/>
      <c r="M8" s="766"/>
      <c r="N8" s="766"/>
      <c r="O8" s="766"/>
      <c r="P8" s="94" t="s">
        <v>5455</v>
      </c>
      <c r="Q8" s="1085"/>
      <c r="R8" s="25"/>
      <c r="S8" s="766"/>
      <c r="T8" s="766"/>
      <c r="U8" s="26"/>
      <c r="V8" s="766"/>
      <c r="W8" s="766"/>
      <c r="X8" s="766"/>
      <c r="Y8" s="770" t="s">
        <v>5456</v>
      </c>
      <c r="Z8" s="766" t="s">
        <v>1057</v>
      </c>
      <c r="AA8" s="766" t="s">
        <v>709</v>
      </c>
      <c r="AB8" s="766" t="s">
        <v>710</v>
      </c>
      <c r="AC8" s="766"/>
      <c r="AD8" s="766" t="s">
        <v>711</v>
      </c>
      <c r="AE8" s="766"/>
      <c r="AF8" s="766" t="s">
        <v>712</v>
      </c>
      <c r="AG8" s="766" t="s">
        <v>1095</v>
      </c>
      <c r="AH8" s="766" t="s">
        <v>1096</v>
      </c>
      <c r="AI8" s="766" t="s">
        <v>1104</v>
      </c>
      <c r="AJ8" s="766"/>
      <c r="AK8" s="766" t="s">
        <v>1097</v>
      </c>
      <c r="AL8" s="120">
        <v>38.25</v>
      </c>
      <c r="AM8" s="772">
        <v>25.5</v>
      </c>
      <c r="AN8" s="37">
        <f>AM8/AL8</f>
        <v>0.66666666666666663</v>
      </c>
      <c r="AO8" s="766" t="s">
        <v>1105</v>
      </c>
      <c r="AP8" s="766"/>
      <c r="AQ8" s="766"/>
      <c r="AR8" s="766"/>
      <c r="AS8" s="766" t="s">
        <v>1207</v>
      </c>
      <c r="AT8" s="766" t="s">
        <v>1208</v>
      </c>
      <c r="AU8" s="766" t="s">
        <v>1208</v>
      </c>
      <c r="AV8" s="766"/>
      <c r="AW8" s="770"/>
      <c r="AX8" s="766"/>
      <c r="AY8" s="766"/>
      <c r="AZ8" s="766"/>
      <c r="BA8" s="766"/>
      <c r="BB8" s="766"/>
      <c r="BC8" s="766" t="s">
        <v>1209</v>
      </c>
      <c r="BD8" s="766" t="s">
        <v>1207</v>
      </c>
      <c r="BE8" s="766"/>
      <c r="BF8" s="775"/>
      <c r="BG8" s="775"/>
      <c r="BH8" s="766"/>
      <c r="BI8" s="766"/>
      <c r="BJ8" s="766"/>
      <c r="BK8" s="766"/>
      <c r="BL8" s="766"/>
      <c r="BM8" s="766"/>
      <c r="BN8" s="766"/>
      <c r="BO8" s="766"/>
      <c r="BP8" s="776"/>
      <c r="BQ8" s="772"/>
      <c r="BR8" s="774"/>
      <c r="BS8" s="766"/>
      <c r="BT8" s="766"/>
      <c r="BU8" s="766"/>
      <c r="BV8" s="766"/>
      <c r="BW8" s="766"/>
      <c r="BX8" s="779"/>
      <c r="BY8" s="766"/>
      <c r="BZ8" s="775"/>
      <c r="CA8" s="766"/>
      <c r="CB8" s="766"/>
      <c r="CC8" s="766"/>
      <c r="CD8" s="766"/>
      <c r="CE8" s="766"/>
      <c r="CF8" s="231"/>
      <c r="CG8" s="231"/>
      <c r="CH8" s="766"/>
      <c r="CI8" s="766"/>
      <c r="CJ8" s="766"/>
      <c r="CK8" s="766"/>
      <c r="CL8" s="766"/>
      <c r="CM8" s="766"/>
      <c r="CN8" s="766"/>
      <c r="CO8" s="766"/>
      <c r="CP8" s="766"/>
      <c r="CQ8" s="766"/>
      <c r="CR8" s="775"/>
      <c r="CS8" s="766"/>
      <c r="CT8" s="766"/>
      <c r="CU8" s="129"/>
      <c r="CV8" s="766"/>
      <c r="CW8" s="766"/>
      <c r="CX8" s="766"/>
      <c r="CY8" s="766"/>
      <c r="CZ8" s="766"/>
      <c r="DA8" s="766"/>
      <c r="DB8" s="766"/>
      <c r="DC8" s="766"/>
      <c r="DD8" s="766"/>
      <c r="DE8" s="766"/>
      <c r="DF8" s="766"/>
      <c r="DG8" s="766"/>
      <c r="DH8" s="766"/>
      <c r="DI8" s="766"/>
      <c r="DJ8" s="766"/>
      <c r="DK8" s="766"/>
      <c r="DL8" s="766"/>
      <c r="DM8" s="766"/>
      <c r="DN8" s="766"/>
      <c r="DO8" s="766"/>
      <c r="DP8" s="766"/>
      <c r="DQ8" s="766"/>
      <c r="DR8" s="766"/>
      <c r="DS8" s="59"/>
      <c r="DT8" s="766"/>
      <c r="DU8" s="766"/>
      <c r="DV8" s="766"/>
      <c r="DW8" s="66"/>
      <c r="DX8" s="66"/>
      <c r="DY8" s="766"/>
      <c r="DZ8" s="766"/>
      <c r="EA8" s="766"/>
      <c r="EB8" s="766"/>
      <c r="EC8" s="766"/>
      <c r="ED8" s="766"/>
      <c r="EE8" s="766"/>
      <c r="EF8" s="766"/>
      <c r="EG8" s="766"/>
      <c r="EH8" s="766"/>
      <c r="EI8" s="766"/>
      <c r="EJ8" s="766"/>
      <c r="EK8" s="766"/>
      <c r="EL8" s="766"/>
      <c r="EM8" s="766"/>
      <c r="EN8" s="766"/>
      <c r="EO8" s="766"/>
      <c r="EP8" s="766"/>
      <c r="EQ8" s="766"/>
      <c r="ER8" s="766"/>
      <c r="ES8" s="766"/>
      <c r="ET8" s="766"/>
      <c r="EU8" s="766"/>
      <c r="EV8" s="766"/>
      <c r="EW8" s="766"/>
      <c r="EX8" s="766"/>
      <c r="EY8" s="766"/>
      <c r="EZ8" s="766"/>
      <c r="FA8" s="766"/>
      <c r="FB8" s="766"/>
      <c r="FC8" s="766"/>
      <c r="FD8" s="775"/>
      <c r="FE8" s="766"/>
      <c r="FF8" s="770"/>
      <c r="FG8" s="766"/>
      <c r="FH8" s="766"/>
      <c r="FI8" s="766"/>
      <c r="FJ8" s="766"/>
      <c r="FK8" s="766"/>
      <c r="FL8" s="766"/>
      <c r="FM8" s="775"/>
      <c r="FN8" s="775"/>
      <c r="FO8" s="775"/>
      <c r="FP8" s="766"/>
      <c r="FQ8" s="766"/>
      <c r="FR8" s="766"/>
      <c r="FS8" s="766"/>
      <c r="FT8" s="766"/>
      <c r="FU8" s="766"/>
      <c r="FV8" s="766"/>
      <c r="FW8" s="766"/>
      <c r="FX8" s="766"/>
      <c r="FY8" s="766"/>
      <c r="FZ8" s="766"/>
      <c r="GA8" s="766"/>
      <c r="GB8" s="766"/>
      <c r="GC8" s="75"/>
      <c r="GD8" s="25"/>
      <c r="GE8" s="766"/>
      <c r="GF8" s="775"/>
      <c r="GG8" s="775"/>
      <c r="GH8" s="766"/>
      <c r="GI8" s="766"/>
      <c r="GJ8" s="766"/>
      <c r="GK8" s="766"/>
      <c r="GL8" s="766"/>
      <c r="GM8" s="766"/>
      <c r="GN8" s="82"/>
      <c r="GO8" s="766"/>
      <c r="GP8" s="766"/>
      <c r="GQ8" s="766"/>
      <c r="GR8" s="766"/>
      <c r="GS8" s="766"/>
      <c r="GT8" s="766"/>
      <c r="GU8" s="766"/>
      <c r="GV8" s="766"/>
      <c r="GW8" s="766"/>
      <c r="GX8" s="766"/>
      <c r="GY8" s="766"/>
      <c r="GZ8" s="766"/>
      <c r="HA8" s="766"/>
      <c r="HB8" s="766"/>
      <c r="HC8" s="766"/>
      <c r="HD8" s="766"/>
      <c r="HE8" s="766"/>
      <c r="HF8" s="766"/>
      <c r="HG8" s="766"/>
      <c r="HH8" s="766"/>
      <c r="HI8" s="766"/>
      <c r="HJ8" s="766"/>
      <c r="HK8" s="766"/>
      <c r="HL8" s="766"/>
      <c r="HM8" s="766"/>
      <c r="HN8" s="766"/>
      <c r="HO8" s="766"/>
      <c r="HP8" s="766"/>
      <c r="HQ8" s="766"/>
      <c r="HR8" s="770"/>
      <c r="HS8" s="766"/>
      <c r="HT8" s="766"/>
      <c r="HU8" s="766"/>
      <c r="HV8" s="766"/>
      <c r="HW8" s="766"/>
      <c r="HX8" s="766"/>
      <c r="HY8" s="766"/>
      <c r="HZ8" s="766"/>
      <c r="IA8" s="766"/>
      <c r="IB8" s="766"/>
      <c r="IC8" s="766"/>
      <c r="ID8" s="766"/>
      <c r="IE8" s="766"/>
      <c r="IF8" s="766"/>
      <c r="IG8" s="766"/>
      <c r="IH8" s="766"/>
      <c r="II8" s="766"/>
      <c r="IJ8" s="766"/>
      <c r="IK8" s="766"/>
      <c r="IL8" s="766"/>
      <c r="IM8" s="766"/>
      <c r="IN8" s="766"/>
      <c r="IO8" s="766"/>
      <c r="IP8" s="766"/>
      <c r="IQ8" s="766"/>
      <c r="IR8" s="775"/>
      <c r="IS8" s="76"/>
      <c r="IT8" s="76"/>
      <c r="IU8" s="76"/>
      <c r="IV8" s="76"/>
      <c r="IW8" s="766"/>
      <c r="IX8" s="766"/>
      <c r="IY8" s="766"/>
      <c r="IZ8" s="766"/>
      <c r="JA8" s="766"/>
      <c r="JB8" s="766"/>
      <c r="JC8" s="766"/>
      <c r="JD8" s="775"/>
      <c r="JE8" s="76"/>
      <c r="JF8" s="76"/>
      <c r="JG8" s="76"/>
      <c r="JH8" s="76"/>
      <c r="JI8" s="76"/>
      <c r="JJ8" s="766"/>
      <c r="JK8" s="766"/>
      <c r="JL8" s="766"/>
      <c r="JM8" s="766"/>
      <c r="JN8" s="766"/>
      <c r="JO8" s="766"/>
      <c r="JP8" s="766"/>
      <c r="JQ8" s="766"/>
      <c r="JR8" s="766"/>
      <c r="JS8" s="766"/>
      <c r="JT8" s="766"/>
      <c r="JU8" s="766"/>
      <c r="JV8" s="766"/>
      <c r="JW8" s="766"/>
      <c r="JX8" s="766"/>
      <c r="JY8" s="766"/>
      <c r="JZ8" s="766"/>
      <c r="KA8" s="766"/>
      <c r="KB8" s="766"/>
      <c r="KC8" s="766"/>
      <c r="KD8" s="766"/>
      <c r="KE8" s="766"/>
      <c r="KF8" s="766"/>
      <c r="KG8" s="766"/>
      <c r="KH8" s="766"/>
      <c r="KI8" s="766"/>
      <c r="KJ8" s="770"/>
      <c r="KK8" s="770"/>
      <c r="KL8" s="770"/>
      <c r="KM8" s="770"/>
      <c r="KN8" s="766"/>
      <c r="KO8" s="28"/>
      <c r="KP8" s="766"/>
      <c r="KQ8" s="766"/>
      <c r="KR8" s="766"/>
      <c r="KS8" s="766"/>
      <c r="KT8" s="766"/>
      <c r="KU8" s="766"/>
      <c r="KV8" s="766"/>
      <c r="KW8" s="766"/>
      <c r="KX8" s="766"/>
      <c r="KY8" s="766"/>
      <c r="KZ8" s="766"/>
      <c r="LA8" s="766"/>
      <c r="LB8" s="766"/>
      <c r="LC8" s="766"/>
      <c r="LD8" s="766"/>
      <c r="LE8" s="766"/>
      <c r="LF8" s="766"/>
      <c r="LG8" s="766"/>
      <c r="LH8" s="766"/>
      <c r="LI8" s="766"/>
      <c r="LJ8" s="766"/>
      <c r="LK8" s="766"/>
      <c r="LL8" s="766"/>
      <c r="LM8" s="766"/>
      <c r="LN8" s="766"/>
      <c r="LO8" s="766"/>
      <c r="LP8" s="766"/>
      <c r="LQ8" s="1678"/>
      <c r="LR8" s="766"/>
      <c r="LS8" s="766"/>
      <c r="LT8" s="766"/>
      <c r="LU8" s="766"/>
      <c r="LV8" s="766"/>
      <c r="LW8" s="766"/>
      <c r="LX8" s="769"/>
      <c r="LY8" s="766" t="str">
        <f t="shared" si="0"/>
        <v/>
      </c>
      <c r="LZ8" s="66"/>
      <c r="MA8" s="766"/>
      <c r="MB8" s="766"/>
      <c r="MC8" s="1679">
        <f t="shared" si="1"/>
        <v>0</v>
      </c>
      <c r="MD8" s="66"/>
      <c r="ME8" s="66"/>
      <c r="MF8" s="66"/>
      <c r="MG8" s="1680">
        <f t="shared" si="2"/>
        <v>0</v>
      </c>
      <c r="MH8" s="1681"/>
      <c r="MI8" s="775"/>
      <c r="MJ8" s="775"/>
      <c r="MK8" s="775"/>
      <c r="ML8" s="775"/>
      <c r="MM8" s="775"/>
      <c r="MN8" s="775"/>
      <c r="MO8" s="775"/>
      <c r="MP8" s="775"/>
      <c r="MQ8" s="775"/>
      <c r="MR8" s="775"/>
      <c r="MS8" s="775"/>
      <c r="MT8" s="775"/>
      <c r="MU8" s="775"/>
      <c r="MV8" s="775"/>
      <c r="MW8" s="775"/>
      <c r="MX8" s="775"/>
      <c r="MY8" s="1682">
        <f t="shared" si="3"/>
        <v>0</v>
      </c>
      <c r="MZ8" s="766"/>
      <c r="NA8" s="766"/>
      <c r="NB8" s="766"/>
      <c r="NC8" s="766"/>
      <c r="ND8" s="766"/>
      <c r="NE8" s="766"/>
      <c r="NF8" s="766"/>
      <c r="NG8" s="766"/>
      <c r="NH8" s="766"/>
      <c r="NI8" s="766"/>
      <c r="NJ8" s="766"/>
      <c r="NK8" s="766"/>
      <c r="NL8" s="766"/>
      <c r="NM8" s="766"/>
      <c r="NN8" s="766"/>
      <c r="NO8" s="766"/>
      <c r="NP8" s="766"/>
      <c r="NQ8" s="766"/>
      <c r="NR8" s="766"/>
      <c r="NS8" s="766"/>
      <c r="NT8" s="766"/>
      <c r="NU8" s="766"/>
      <c r="NV8" s="766"/>
      <c r="NW8" s="766"/>
      <c r="NX8" s="766"/>
      <c r="NY8" s="766"/>
      <c r="NZ8" s="766"/>
      <c r="OA8" s="766"/>
      <c r="OB8" s="766"/>
      <c r="OC8" s="766"/>
      <c r="OD8" s="766"/>
      <c r="OE8" s="766"/>
      <c r="OF8" s="766"/>
      <c r="OG8" s="766"/>
      <c r="OH8" s="766"/>
      <c r="OI8" s="766"/>
      <c r="OJ8" s="766"/>
      <c r="OK8" s="76"/>
      <c r="OL8" s="766"/>
      <c r="OM8" s="766"/>
      <c r="ON8" s="766"/>
      <c r="OO8" s="766"/>
      <c r="OP8" s="766"/>
      <c r="OQ8" s="766"/>
      <c r="OR8" s="766"/>
      <c r="OS8" s="766"/>
      <c r="OT8" s="766"/>
      <c r="OU8" s="766"/>
      <c r="OV8" s="766"/>
      <c r="OW8" s="766"/>
      <c r="OX8" s="766"/>
      <c r="OY8" s="766"/>
      <c r="OZ8" s="766"/>
      <c r="PA8" s="766"/>
      <c r="PB8" s="766"/>
      <c r="PC8" s="766"/>
      <c r="PD8" s="766"/>
      <c r="PE8" s="766"/>
      <c r="PF8" s="766"/>
      <c r="PG8" s="766"/>
      <c r="PH8" s="766"/>
      <c r="PI8" s="766"/>
      <c r="PJ8" s="766"/>
      <c r="PK8" s="766"/>
      <c r="PL8" s="766"/>
      <c r="PM8" s="766"/>
      <c r="PN8" s="766"/>
      <c r="PO8" s="766"/>
      <c r="PP8" s="766"/>
      <c r="PQ8" s="766"/>
      <c r="PR8" s="766"/>
      <c r="PS8" s="766"/>
      <c r="PT8" s="766"/>
      <c r="PU8" s="766"/>
      <c r="PV8" s="766"/>
      <c r="PW8" s="766"/>
      <c r="PX8" s="766"/>
      <c r="PY8" s="766"/>
      <c r="PZ8" s="766"/>
      <c r="QA8" s="766"/>
      <c r="QB8" s="766"/>
      <c r="QC8" s="766"/>
      <c r="QD8" s="766"/>
      <c r="QE8" s="766"/>
      <c r="QF8" s="766"/>
      <c r="QG8" s="766"/>
      <c r="QH8" s="766"/>
      <c r="QI8" s="766"/>
      <c r="QJ8" s="766"/>
      <c r="QK8" s="766"/>
      <c r="QL8" s="766"/>
      <c r="QM8" s="766"/>
      <c r="QN8" s="766"/>
      <c r="QO8" s="766"/>
      <c r="QP8" s="766"/>
      <c r="QQ8" s="766"/>
      <c r="QR8" s="766"/>
      <c r="QS8" s="766"/>
      <c r="QT8" s="766"/>
      <c r="QU8" s="766"/>
      <c r="QV8" s="766"/>
      <c r="QW8" s="766"/>
      <c r="QX8" s="766"/>
      <c r="QY8" s="766"/>
      <c r="QZ8" s="766"/>
      <c r="RA8" s="766"/>
      <c r="RB8" s="770" t="s">
        <v>1207</v>
      </c>
      <c r="RC8" s="766">
        <v>2016</v>
      </c>
      <c r="RD8" s="766" t="s">
        <v>12989</v>
      </c>
      <c r="RE8" s="766" t="s">
        <v>12990</v>
      </c>
      <c r="RF8" s="777">
        <f>CONVERT(2,"ft","m")</f>
        <v>0.60960000000000003</v>
      </c>
      <c r="RG8" s="766" t="s">
        <v>12991</v>
      </c>
      <c r="RH8" s="775">
        <v>0</v>
      </c>
      <c r="RI8" s="766" t="s">
        <v>12992</v>
      </c>
      <c r="RJ8" s="766" t="s">
        <v>12993</v>
      </c>
      <c r="RK8" s="766" t="s">
        <v>12994</v>
      </c>
      <c r="RL8" s="1683"/>
      <c r="RM8" s="12"/>
      <c r="RN8" s="1711"/>
      <c r="RO8" s="168" t="s">
        <v>19</v>
      </c>
      <c r="RP8" s="11"/>
      <c r="RQ8" s="11"/>
      <c r="RR8" s="771"/>
      <c r="RS8" s="766"/>
      <c r="RT8" s="1686">
        <v>3</v>
      </c>
      <c r="RU8" s="11" t="s">
        <v>12995</v>
      </c>
      <c r="RV8" s="766" t="s">
        <v>7421</v>
      </c>
      <c r="RW8" s="11" t="s">
        <v>11951</v>
      </c>
      <c r="RX8" s="11" t="s">
        <v>12</v>
      </c>
      <c r="RY8" s="11"/>
      <c r="RZ8" s="11"/>
      <c r="SA8" s="766"/>
      <c r="SB8" s="11"/>
      <c r="SC8" s="11"/>
    </row>
    <row r="9" spans="1:497" ht="12.75" hidden="1" customHeight="1">
      <c r="A9" s="154" t="s">
        <v>12372</v>
      </c>
      <c r="B9" s="1122" t="s">
        <v>7565</v>
      </c>
      <c r="C9" s="168" t="s">
        <v>19</v>
      </c>
      <c r="D9" s="766" t="s">
        <v>5457</v>
      </c>
      <c r="E9" s="770" t="s">
        <v>5456</v>
      </c>
      <c r="F9" s="12"/>
      <c r="G9" s="12"/>
      <c r="H9" s="12"/>
      <c r="I9" s="12"/>
      <c r="J9" s="770"/>
      <c r="K9" s="12"/>
      <c r="L9" s="12"/>
      <c r="M9" s="12"/>
      <c r="N9" s="12"/>
      <c r="O9" s="12"/>
      <c r="P9" s="94" t="s">
        <v>1250</v>
      </c>
      <c r="Q9" s="1732"/>
      <c r="R9" s="12"/>
      <c r="S9" s="12"/>
      <c r="T9" s="12"/>
      <c r="U9" s="12"/>
      <c r="V9" s="12"/>
      <c r="W9" s="12"/>
      <c r="X9" s="12"/>
      <c r="Y9" s="770" t="s">
        <v>5456</v>
      </c>
      <c r="Z9" s="766" t="s">
        <v>1057</v>
      </c>
      <c r="AA9" s="766" t="s">
        <v>709</v>
      </c>
      <c r="AB9" s="766" t="s">
        <v>710</v>
      </c>
      <c r="AC9" s="766"/>
      <c r="AD9" s="766" t="s">
        <v>711</v>
      </c>
      <c r="AE9" s="766"/>
      <c r="AF9" s="766" t="s">
        <v>712</v>
      </c>
      <c r="AG9" s="12"/>
      <c r="AH9" s="766"/>
      <c r="AI9" s="766"/>
      <c r="AJ9" s="12"/>
      <c r="AK9" s="766" t="s">
        <v>5454</v>
      </c>
      <c r="AL9" s="120"/>
      <c r="AM9" s="772"/>
      <c r="AN9" s="37"/>
      <c r="AO9" s="766"/>
      <c r="AP9" s="766"/>
      <c r="AQ9" s="766"/>
      <c r="AR9" s="766"/>
      <c r="AS9" s="12"/>
      <c r="AT9" s="12"/>
      <c r="AU9" s="12"/>
      <c r="AV9" s="12"/>
      <c r="AW9" s="12"/>
      <c r="AX9" s="12"/>
      <c r="AY9" s="12"/>
      <c r="AZ9" s="12"/>
      <c r="BA9" s="12"/>
      <c r="BB9" s="12"/>
      <c r="BC9" s="12"/>
      <c r="BD9" s="12"/>
      <c r="BE9" s="766"/>
      <c r="BF9" s="775"/>
      <c r="BG9" s="775"/>
      <c r="BH9" s="766"/>
      <c r="BI9" s="766"/>
      <c r="BJ9" s="766"/>
      <c r="BK9" s="766" t="s">
        <v>1095</v>
      </c>
      <c r="BL9" s="766" t="s">
        <v>1250</v>
      </c>
      <c r="BM9" s="766" t="s">
        <v>1096</v>
      </c>
      <c r="BN9" s="766" t="s">
        <v>1230</v>
      </c>
      <c r="BO9" s="766" t="s">
        <v>1246</v>
      </c>
      <c r="BP9" s="776">
        <v>24.92</v>
      </c>
      <c r="BQ9" s="772">
        <v>17.57</v>
      </c>
      <c r="BR9" s="774">
        <f>BQ9/BP9</f>
        <v>0.7050561797752809</v>
      </c>
      <c r="BS9" s="6" t="s">
        <v>1149</v>
      </c>
      <c r="BT9" s="766" t="s">
        <v>2040</v>
      </c>
      <c r="BU9" s="766" t="s">
        <v>1249</v>
      </c>
      <c r="BV9" s="766" t="s">
        <v>1247</v>
      </c>
      <c r="BW9" s="766">
        <v>1995</v>
      </c>
      <c r="BX9" s="779"/>
      <c r="BY9" s="766"/>
      <c r="BZ9" s="775"/>
      <c r="CA9" s="766"/>
      <c r="CB9" s="766" t="s">
        <v>1207</v>
      </c>
      <c r="CC9" s="766" t="s">
        <v>1433</v>
      </c>
      <c r="CD9" s="766" t="s">
        <v>110</v>
      </c>
      <c r="CE9" s="766"/>
      <c r="CF9" s="231">
        <v>0.95</v>
      </c>
      <c r="CG9" s="231">
        <v>10</v>
      </c>
      <c r="CH9" s="766" t="s">
        <v>1434</v>
      </c>
      <c r="CI9" s="12"/>
      <c r="CJ9" s="766"/>
      <c r="CK9" s="766">
        <v>1</v>
      </c>
      <c r="CL9" s="766" t="s">
        <v>1240</v>
      </c>
      <c r="CM9" s="766" t="s">
        <v>1435</v>
      </c>
      <c r="CN9" s="766"/>
      <c r="CO9" s="766" t="s">
        <v>1268</v>
      </c>
      <c r="CP9" s="766"/>
      <c r="CQ9" s="766"/>
      <c r="CR9" s="775"/>
      <c r="CS9" s="766"/>
      <c r="CT9" s="766"/>
      <c r="CU9" s="129"/>
      <c r="CV9" s="766"/>
      <c r="CW9" s="766"/>
      <c r="CX9" s="766"/>
      <c r="CY9" s="766"/>
      <c r="CZ9" s="766"/>
      <c r="DA9" s="766"/>
      <c r="DB9" s="766"/>
      <c r="DC9" s="766"/>
      <c r="DD9" s="766"/>
      <c r="DE9" s="766"/>
      <c r="DF9" s="766"/>
      <c r="DG9" s="766"/>
      <c r="DH9" s="766"/>
      <c r="DI9" s="766"/>
      <c r="DJ9" s="766"/>
      <c r="DK9" s="766"/>
      <c r="DL9" s="766"/>
      <c r="DM9" s="766"/>
      <c r="DN9" s="766"/>
      <c r="DO9" s="766"/>
      <c r="DP9" s="766"/>
      <c r="DQ9" s="766"/>
      <c r="DR9" s="766"/>
      <c r="DS9" s="59"/>
      <c r="DT9" s="766"/>
      <c r="DU9" s="766"/>
      <c r="DV9" s="766"/>
      <c r="DW9" s="66"/>
      <c r="DX9" s="66"/>
      <c r="DY9" s="766"/>
      <c r="DZ9" s="766"/>
      <c r="EA9" s="766"/>
      <c r="EB9" s="766"/>
      <c r="EC9" s="766"/>
      <c r="ED9" s="766"/>
      <c r="EE9" s="766"/>
      <c r="EF9" s="766"/>
      <c r="EG9" s="766"/>
      <c r="EH9" s="766"/>
      <c r="EI9" s="766"/>
      <c r="EJ9" s="766"/>
      <c r="EK9" s="766"/>
      <c r="EL9" s="766"/>
      <c r="EM9" s="766"/>
      <c r="EN9" s="766"/>
      <c r="EO9" s="766"/>
      <c r="EP9" s="766"/>
      <c r="EQ9" s="766"/>
      <c r="ER9" s="766"/>
      <c r="ES9" s="766"/>
      <c r="ET9" s="766"/>
      <c r="EU9" s="766"/>
      <c r="EV9" s="766"/>
      <c r="EW9" s="766"/>
      <c r="EX9" s="766"/>
      <c r="EY9" s="766"/>
      <c r="EZ9" s="766"/>
      <c r="FA9" s="766"/>
      <c r="FB9" s="766"/>
      <c r="FC9" s="766"/>
      <c r="FD9" s="775"/>
      <c r="FE9" s="766"/>
      <c r="FF9" s="766"/>
      <c r="FG9" s="766"/>
      <c r="FH9" s="766" t="s">
        <v>478</v>
      </c>
      <c r="FI9" s="770">
        <v>1</v>
      </c>
      <c r="FJ9" s="766"/>
      <c r="FK9" s="766"/>
      <c r="FL9" s="766"/>
      <c r="FM9" s="775"/>
      <c r="FN9" s="775"/>
      <c r="FO9" s="775"/>
      <c r="FP9" s="766" t="s">
        <v>1602</v>
      </c>
      <c r="FQ9" s="766" t="s">
        <v>1660</v>
      </c>
      <c r="FR9" s="766" t="s">
        <v>1207</v>
      </c>
      <c r="FS9" s="766" t="s">
        <v>1208</v>
      </c>
      <c r="FT9" s="766"/>
      <c r="FU9" s="766"/>
      <c r="FV9" s="766"/>
      <c r="FW9" s="766"/>
      <c r="FX9" s="766"/>
      <c r="FY9" s="766"/>
      <c r="FZ9" s="766"/>
      <c r="GA9" s="766"/>
      <c r="GB9" s="766" t="s">
        <v>1692</v>
      </c>
      <c r="GC9" s="75" t="s">
        <v>1693</v>
      </c>
      <c r="GD9" s="25" t="s">
        <v>1694</v>
      </c>
      <c r="GE9" s="766" t="s">
        <v>110</v>
      </c>
      <c r="GF9" s="775"/>
      <c r="GG9" s="775"/>
      <c r="GH9" s="766"/>
      <c r="GI9" s="766"/>
      <c r="GJ9" s="766"/>
      <c r="GK9" s="766"/>
      <c r="GL9" s="766"/>
      <c r="GM9" s="766"/>
      <c r="GN9" s="82"/>
      <c r="GO9" s="766"/>
      <c r="GP9" s="766"/>
      <c r="GQ9" s="766"/>
      <c r="GR9" s="766"/>
      <c r="GS9" s="766"/>
      <c r="GT9" s="766"/>
      <c r="GU9" s="766"/>
      <c r="GV9" s="766"/>
      <c r="GW9" s="766"/>
      <c r="GX9" s="766"/>
      <c r="GY9" s="766"/>
      <c r="GZ9" s="766"/>
      <c r="HA9" s="766"/>
      <c r="HB9" s="766"/>
      <c r="HC9" s="766"/>
      <c r="HD9" s="766"/>
      <c r="HE9" s="766"/>
      <c r="HF9" s="766"/>
      <c r="HG9" s="766"/>
      <c r="HH9" s="766"/>
      <c r="HI9" s="766"/>
      <c r="HJ9" s="766"/>
      <c r="HK9" s="766"/>
      <c r="HL9" s="766"/>
      <c r="HM9" s="766"/>
      <c r="HN9" s="766"/>
      <c r="HO9" s="766"/>
      <c r="HP9" s="766"/>
      <c r="HQ9" s="766"/>
      <c r="HR9" s="766"/>
      <c r="HS9" s="766"/>
      <c r="HT9" s="766"/>
      <c r="HU9" s="766"/>
      <c r="HV9" s="766"/>
      <c r="HW9" s="766"/>
      <c r="HX9" s="766"/>
      <c r="HY9" s="766"/>
      <c r="HZ9" s="766"/>
      <c r="IA9" s="766"/>
      <c r="IB9" s="766"/>
      <c r="IC9" s="766"/>
      <c r="ID9" s="766"/>
      <c r="IE9" s="766"/>
      <c r="IF9" s="766"/>
      <c r="IG9" s="766"/>
      <c r="IH9" s="766"/>
      <c r="II9" s="766"/>
      <c r="IJ9" s="766"/>
      <c r="IK9" s="766"/>
      <c r="IL9" s="766"/>
      <c r="IM9" s="766"/>
      <c r="IN9" s="766"/>
      <c r="IO9" s="766"/>
      <c r="IP9" s="766"/>
      <c r="IQ9" s="766"/>
      <c r="IR9" s="775"/>
      <c r="IS9" s="76"/>
      <c r="IT9" s="76"/>
      <c r="IU9" s="76"/>
      <c r="IV9" s="76"/>
      <c r="IW9" s="766"/>
      <c r="IX9" s="766"/>
      <c r="IY9" s="766"/>
      <c r="IZ9" s="766"/>
      <c r="JA9" s="766"/>
      <c r="JB9" s="766"/>
      <c r="JC9" s="766"/>
      <c r="JD9" s="775"/>
      <c r="JE9" s="76"/>
      <c r="JF9" s="76"/>
      <c r="JG9" s="76"/>
      <c r="JH9" s="76"/>
      <c r="JI9" s="76"/>
      <c r="JJ9" s="766"/>
      <c r="JK9" s="766"/>
      <c r="JL9" s="766"/>
      <c r="JM9" s="766"/>
      <c r="JN9" s="766"/>
      <c r="JO9" s="766"/>
      <c r="JP9" s="766"/>
      <c r="JQ9" s="766"/>
      <c r="JR9" s="766"/>
      <c r="JS9" s="766"/>
      <c r="JT9" s="766"/>
      <c r="JU9" s="766"/>
      <c r="JV9" s="766"/>
      <c r="JW9" s="766"/>
      <c r="JX9" s="766"/>
      <c r="JY9" s="766"/>
      <c r="JZ9" s="766"/>
      <c r="KA9" s="766"/>
      <c r="KB9" s="766"/>
      <c r="KC9" s="766"/>
      <c r="KD9" s="766"/>
      <c r="KE9" s="766"/>
      <c r="KF9" s="766"/>
      <c r="KG9" s="766"/>
      <c r="KH9" s="766"/>
      <c r="KI9" s="766"/>
      <c r="KJ9" s="770"/>
      <c r="KK9" s="770"/>
      <c r="KL9" s="770"/>
      <c r="KM9" s="770"/>
      <c r="KN9" s="766"/>
      <c r="KO9" s="28"/>
      <c r="KP9" s="766"/>
      <c r="KQ9" s="766"/>
      <c r="KR9" s="766"/>
      <c r="KS9" s="766"/>
      <c r="KT9" s="766"/>
      <c r="KU9" s="766"/>
      <c r="KV9" s="766"/>
      <c r="KW9" s="766"/>
      <c r="KX9" s="766"/>
      <c r="KY9" s="766"/>
      <c r="KZ9" s="766"/>
      <c r="LA9" s="766"/>
      <c r="LB9" s="766"/>
      <c r="LC9" s="766"/>
      <c r="LD9" s="766"/>
      <c r="LE9" s="766"/>
      <c r="LF9" s="766"/>
      <c r="LG9" s="766"/>
      <c r="LH9" s="766"/>
      <c r="LI9" s="766"/>
      <c r="LJ9" s="766"/>
      <c r="LK9" s="766"/>
      <c r="LL9" s="766"/>
      <c r="LM9" s="766"/>
      <c r="LN9" s="766"/>
      <c r="LO9" s="766"/>
      <c r="LP9" s="766"/>
      <c r="LQ9" s="1678"/>
      <c r="LR9" s="766"/>
      <c r="LS9" s="766"/>
      <c r="LT9" s="766"/>
      <c r="LU9" s="766"/>
      <c r="LV9" s="766"/>
      <c r="LW9" s="766"/>
      <c r="LX9" s="769"/>
      <c r="LY9" s="766" t="str">
        <f t="shared" si="0"/>
        <v/>
      </c>
      <c r="LZ9" s="66"/>
      <c r="MA9" s="766"/>
      <c r="MB9" s="766"/>
      <c r="MC9" s="1679">
        <f t="shared" si="1"/>
        <v>0</v>
      </c>
      <c r="MD9" s="66"/>
      <c r="ME9" s="66"/>
      <c r="MF9" s="66"/>
      <c r="MG9" s="1680">
        <f t="shared" si="2"/>
        <v>0</v>
      </c>
      <c r="MH9" s="1681"/>
      <c r="MI9" s="775"/>
      <c r="MJ9" s="775"/>
      <c r="MK9" s="775"/>
      <c r="ML9" s="775"/>
      <c r="MM9" s="775"/>
      <c r="MN9" s="775"/>
      <c r="MO9" s="775"/>
      <c r="MP9" s="775"/>
      <c r="MQ9" s="775"/>
      <c r="MR9" s="775"/>
      <c r="MS9" s="775"/>
      <c r="MT9" s="775"/>
      <c r="MU9" s="775"/>
      <c r="MV9" s="775"/>
      <c r="MW9" s="775"/>
      <c r="MX9" s="775"/>
      <c r="MY9" s="1682">
        <f t="shared" si="3"/>
        <v>0</v>
      </c>
      <c r="MZ9" s="766"/>
      <c r="NA9" s="766"/>
      <c r="NB9" s="766"/>
      <c r="NC9" s="766"/>
      <c r="ND9" s="766"/>
      <c r="NE9" s="766"/>
      <c r="NF9" s="766"/>
      <c r="NG9" s="766"/>
      <c r="NH9" s="766"/>
      <c r="NI9" s="766"/>
      <c r="NJ9" s="766"/>
      <c r="NK9" s="766"/>
      <c r="NL9" s="766"/>
      <c r="NM9" s="766"/>
      <c r="NN9" s="766"/>
      <c r="NO9" s="766"/>
      <c r="NP9" s="766"/>
      <c r="NQ9" s="766"/>
      <c r="NR9" s="766"/>
      <c r="NS9" s="766"/>
      <c r="NT9" s="766"/>
      <c r="NU9" s="766"/>
      <c r="NV9" s="766"/>
      <c r="NW9" s="766"/>
      <c r="NX9" s="766"/>
      <c r="NY9" s="766"/>
      <c r="NZ9" s="766"/>
      <c r="OA9" s="766"/>
      <c r="OB9" s="766"/>
      <c r="OC9" s="766"/>
      <c r="OD9" s="766"/>
      <c r="OE9" s="766"/>
      <c r="OF9" s="766" t="s">
        <v>110</v>
      </c>
      <c r="OG9" s="766"/>
      <c r="OH9" s="766"/>
      <c r="OI9" s="766"/>
      <c r="OJ9" s="766"/>
      <c r="OK9" s="76"/>
      <c r="OL9" s="766"/>
      <c r="OM9" s="766"/>
      <c r="ON9" s="766"/>
      <c r="OO9" s="766"/>
      <c r="OP9" s="766"/>
      <c r="OQ9" s="766"/>
      <c r="OR9" s="766"/>
      <c r="OS9" s="766"/>
      <c r="OT9" s="766"/>
      <c r="OU9" s="766"/>
      <c r="OV9" s="766"/>
      <c r="OW9" s="766"/>
      <c r="OX9" s="766"/>
      <c r="OY9" s="766"/>
      <c r="OZ9" s="766"/>
      <c r="PA9" s="766"/>
      <c r="PB9" s="766"/>
      <c r="PC9" s="766"/>
      <c r="PD9" s="766"/>
      <c r="PE9" s="766"/>
      <c r="PF9" s="766"/>
      <c r="PG9" s="766"/>
      <c r="PH9" s="766"/>
      <c r="PI9" s="766"/>
      <c r="PJ9" s="766"/>
      <c r="PK9" s="766"/>
      <c r="PL9" s="766"/>
      <c r="PM9" s="766"/>
      <c r="PN9" s="766"/>
      <c r="PO9" s="766"/>
      <c r="PP9" s="766"/>
      <c r="PQ9" s="766"/>
      <c r="PR9" s="766"/>
      <c r="PS9" s="766"/>
      <c r="PT9" s="766"/>
      <c r="PU9" s="766"/>
      <c r="PV9" s="766"/>
      <c r="PW9" s="766"/>
      <c r="PX9" s="766"/>
      <c r="PY9" s="766"/>
      <c r="PZ9" s="766"/>
      <c r="QA9" s="766"/>
      <c r="QB9" s="766"/>
      <c r="QC9" s="766"/>
      <c r="QD9" s="766"/>
      <c r="QE9" s="766"/>
      <c r="QF9" s="766"/>
      <c r="QG9" s="766"/>
      <c r="QH9" s="766"/>
      <c r="QI9" s="766"/>
      <c r="QJ9" s="766"/>
      <c r="QK9" s="766"/>
      <c r="QL9" s="766"/>
      <c r="QM9" s="766"/>
      <c r="QN9" s="766"/>
      <c r="QO9" s="766"/>
      <c r="QP9" s="766"/>
      <c r="QQ9" s="766"/>
      <c r="QR9" s="766"/>
      <c r="QS9" s="766"/>
      <c r="QT9" s="766"/>
      <c r="QU9" s="766"/>
      <c r="QV9" s="766"/>
      <c r="QW9" s="766"/>
      <c r="QX9" s="766"/>
      <c r="QY9" s="766"/>
      <c r="QZ9" s="766"/>
      <c r="RA9" s="766"/>
      <c r="RB9" s="770" t="s">
        <v>1207</v>
      </c>
      <c r="RC9" s="766">
        <v>2016</v>
      </c>
      <c r="RD9" s="766" t="s">
        <v>12989</v>
      </c>
      <c r="RE9" s="766" t="s">
        <v>12990</v>
      </c>
      <c r="RF9" s="777">
        <f>CONVERT(2,"ft","m")</f>
        <v>0.60960000000000003</v>
      </c>
      <c r="RG9" s="766" t="s">
        <v>12991</v>
      </c>
      <c r="RH9" s="775">
        <v>0</v>
      </c>
      <c r="RI9" s="766" t="s">
        <v>12992</v>
      </c>
      <c r="RJ9" s="766" t="s">
        <v>12996</v>
      </c>
      <c r="RK9" s="766" t="s">
        <v>12994</v>
      </c>
      <c r="RL9" s="1683"/>
      <c r="RM9" s="12"/>
      <c r="RN9" s="1711"/>
      <c r="RO9" s="168" t="s">
        <v>19</v>
      </c>
      <c r="RP9" s="11"/>
      <c r="RQ9" s="11"/>
      <c r="RR9" s="771"/>
      <c r="RS9" s="766"/>
      <c r="RT9" s="1686">
        <v>4</v>
      </c>
      <c r="RU9" s="11" t="s">
        <v>12997</v>
      </c>
      <c r="RV9" s="766" t="s">
        <v>7421</v>
      </c>
      <c r="RW9" s="11" t="s">
        <v>11952</v>
      </c>
      <c r="RX9" s="11" t="s">
        <v>15</v>
      </c>
      <c r="RY9" s="11">
        <v>15.61</v>
      </c>
      <c r="RZ9" s="11"/>
      <c r="SA9" s="766" t="s">
        <v>7419</v>
      </c>
      <c r="SB9" s="11"/>
      <c r="SC9" s="11"/>
    </row>
    <row r="10" spans="1:497" ht="12.75" hidden="1" customHeight="1">
      <c r="A10" s="154" t="s">
        <v>7419</v>
      </c>
      <c r="B10" s="288" t="s">
        <v>7566</v>
      </c>
      <c r="C10" s="168" t="s">
        <v>23</v>
      </c>
      <c r="D10" s="766" t="s">
        <v>1881</v>
      </c>
      <c r="E10" s="766" t="s">
        <v>24</v>
      </c>
      <c r="F10" s="766"/>
      <c r="G10" s="766"/>
      <c r="H10" s="766"/>
      <c r="I10" s="5"/>
      <c r="J10" s="766"/>
      <c r="K10" s="766"/>
      <c r="L10" s="766"/>
      <c r="M10" s="766"/>
      <c r="N10" s="770"/>
      <c r="O10" s="766"/>
      <c r="P10" s="14" t="s">
        <v>5458</v>
      </c>
      <c r="Q10" s="1085"/>
      <c r="R10" s="25"/>
      <c r="S10" s="766"/>
      <c r="T10" s="766"/>
      <c r="U10" s="26"/>
      <c r="V10" s="766"/>
      <c r="W10" s="766"/>
      <c r="X10" s="766"/>
      <c r="Y10" s="770" t="s">
        <v>5459</v>
      </c>
      <c r="Z10" s="766"/>
      <c r="AA10" s="766"/>
      <c r="AB10" s="766"/>
      <c r="AC10" s="766"/>
      <c r="AD10" s="766"/>
      <c r="AE10" s="766"/>
      <c r="AF10" s="766"/>
      <c r="AG10" s="766" t="s">
        <v>1095</v>
      </c>
      <c r="AH10" s="766" t="s">
        <v>1096</v>
      </c>
      <c r="AI10" s="766" t="s">
        <v>1106</v>
      </c>
      <c r="AJ10" s="766"/>
      <c r="AK10" s="766" t="s">
        <v>1097</v>
      </c>
      <c r="AL10" s="120">
        <v>240</v>
      </c>
      <c r="AM10" s="772">
        <v>18.7</v>
      </c>
      <c r="AN10" s="37">
        <f t="shared" ref="AN10:AN17" si="4">AM10/AL10</f>
        <v>7.7916666666666662E-2</v>
      </c>
      <c r="AO10" s="766" t="s">
        <v>1098</v>
      </c>
      <c r="AP10" s="766"/>
      <c r="AQ10" s="766"/>
      <c r="AR10" s="766"/>
      <c r="AS10" s="766" t="s">
        <v>1207</v>
      </c>
      <c r="AT10" s="766" t="s">
        <v>1208</v>
      </c>
      <c r="AU10" s="766"/>
      <c r="AV10" s="766"/>
      <c r="AW10" s="770"/>
      <c r="AX10" s="766"/>
      <c r="AY10" s="766"/>
      <c r="AZ10" s="766"/>
      <c r="BA10" s="766"/>
      <c r="BB10" s="766"/>
      <c r="BC10" s="766" t="s">
        <v>1209</v>
      </c>
      <c r="BD10" s="766" t="s">
        <v>1207</v>
      </c>
      <c r="BE10" s="766" t="s">
        <v>110</v>
      </c>
      <c r="BF10" s="302"/>
      <c r="BG10" s="302"/>
      <c r="BH10" s="766"/>
      <c r="BI10" s="766"/>
      <c r="BJ10" s="766"/>
      <c r="BK10" s="766" t="s">
        <v>1095</v>
      </c>
      <c r="BL10" s="766" t="s">
        <v>1251</v>
      </c>
      <c r="BM10" s="766" t="s">
        <v>1096</v>
      </c>
      <c r="BN10" s="766" t="s">
        <v>1230</v>
      </c>
      <c r="BO10" s="766" t="s">
        <v>1239</v>
      </c>
      <c r="BP10" s="776">
        <v>115.5</v>
      </c>
      <c r="BQ10" s="772">
        <v>18.7</v>
      </c>
      <c r="BR10" s="774">
        <f>BQ10/BP10</f>
        <v>0.16190476190476191</v>
      </c>
      <c r="BS10" s="766" t="s">
        <v>1242</v>
      </c>
      <c r="BT10" s="766" t="s">
        <v>2040</v>
      </c>
      <c r="BU10" s="766" t="s">
        <v>1249</v>
      </c>
      <c r="BV10" s="766" t="s">
        <v>1247</v>
      </c>
      <c r="BW10" s="429"/>
      <c r="BX10" s="779"/>
      <c r="BY10" s="766"/>
      <c r="BZ10" s="775"/>
      <c r="CA10" s="766"/>
      <c r="CB10" s="766"/>
      <c r="CC10" s="766"/>
      <c r="CD10" s="766"/>
      <c r="CE10" s="766"/>
      <c r="CF10" s="231"/>
      <c r="CG10" s="231"/>
      <c r="CH10" s="766"/>
      <c r="CI10" s="766"/>
      <c r="CJ10" s="766"/>
      <c r="CK10" s="766"/>
      <c r="CL10" s="766"/>
      <c r="CM10" s="766"/>
      <c r="CN10" s="766"/>
      <c r="CO10" s="766"/>
      <c r="CP10" s="766"/>
      <c r="CQ10" s="766"/>
      <c r="CR10" s="775"/>
      <c r="CS10" s="766"/>
      <c r="CT10" s="766"/>
      <c r="CU10" s="129"/>
      <c r="CV10" s="766"/>
      <c r="CW10" s="766"/>
      <c r="CX10" s="766"/>
      <c r="CY10" s="766"/>
      <c r="CZ10" s="766"/>
      <c r="DA10" s="766"/>
      <c r="DB10" s="766"/>
      <c r="DC10" s="766"/>
      <c r="DD10" s="766"/>
      <c r="DE10" s="766"/>
      <c r="DF10" s="766"/>
      <c r="DG10" s="766"/>
      <c r="DH10" s="766"/>
      <c r="DI10" s="766"/>
      <c r="DJ10" s="766"/>
      <c r="DK10" s="766"/>
      <c r="DL10" s="766"/>
      <c r="DM10" s="766"/>
      <c r="DN10" s="766"/>
      <c r="DO10" s="766"/>
      <c r="DP10" s="766"/>
      <c r="DQ10" s="766"/>
      <c r="DR10" s="766"/>
      <c r="DS10" s="59"/>
      <c r="DT10" s="766"/>
      <c r="DU10" s="766"/>
      <c r="DV10" s="766"/>
      <c r="DW10" s="66"/>
      <c r="DX10" s="66"/>
      <c r="DY10" s="766"/>
      <c r="DZ10" s="766"/>
      <c r="EA10" s="766"/>
      <c r="EB10" s="766"/>
      <c r="EC10" s="766"/>
      <c r="ED10" s="766"/>
      <c r="EE10" s="766"/>
      <c r="EF10" s="766"/>
      <c r="EG10" s="766"/>
      <c r="EH10" s="766"/>
      <c r="EI10" s="766"/>
      <c r="EJ10" s="766"/>
      <c r="EK10" s="766"/>
      <c r="EL10" s="766"/>
      <c r="EM10" s="766"/>
      <c r="EN10" s="766"/>
      <c r="EO10" s="766"/>
      <c r="EP10" s="766"/>
      <c r="EQ10" s="766"/>
      <c r="ER10" s="766"/>
      <c r="ES10" s="766"/>
      <c r="ET10" s="766"/>
      <c r="EU10" s="766"/>
      <c r="EV10" s="766"/>
      <c r="EW10" s="766"/>
      <c r="EX10" s="766"/>
      <c r="EY10" s="766"/>
      <c r="EZ10" s="766"/>
      <c r="FA10" s="766"/>
      <c r="FB10" s="766"/>
      <c r="FC10" s="766"/>
      <c r="FD10" s="775"/>
      <c r="FE10" s="766"/>
      <c r="FF10" s="766"/>
      <c r="FG10" s="766"/>
      <c r="FH10" s="766" t="s">
        <v>478</v>
      </c>
      <c r="FI10" s="766">
        <v>1</v>
      </c>
      <c r="FJ10" s="766"/>
      <c r="FK10" s="766"/>
      <c r="FL10" s="766"/>
      <c r="FM10" s="775"/>
      <c r="FN10" s="775"/>
      <c r="FO10" s="775"/>
      <c r="FP10" s="766" t="s">
        <v>1600</v>
      </c>
      <c r="FQ10" s="766" t="s">
        <v>1642</v>
      </c>
      <c r="FR10" s="766" t="s">
        <v>1207</v>
      </c>
      <c r="FS10" s="766" t="s">
        <v>1208</v>
      </c>
      <c r="FT10" s="766"/>
      <c r="FU10" s="766"/>
      <c r="FV10" s="766"/>
      <c r="FW10" s="766"/>
      <c r="FX10" s="766"/>
      <c r="FY10" s="766" t="s">
        <v>1208</v>
      </c>
      <c r="FZ10" s="766"/>
      <c r="GA10" s="766"/>
      <c r="GB10" s="766" t="s">
        <v>853</v>
      </c>
      <c r="GC10" s="308" t="s">
        <v>1881</v>
      </c>
      <c r="GD10" s="25">
        <v>2014</v>
      </c>
      <c r="GE10" s="770"/>
      <c r="GF10" s="302"/>
      <c r="GG10" s="775">
        <f>PRODUCT(GF11,12)</f>
        <v>36000</v>
      </c>
      <c r="GH10" s="766"/>
      <c r="GI10" s="766"/>
      <c r="GJ10" s="766"/>
      <c r="GK10" s="766"/>
      <c r="GL10" s="766"/>
      <c r="GM10" s="766"/>
      <c r="GN10" s="82"/>
      <c r="GO10" s="766"/>
      <c r="GP10" s="766"/>
      <c r="GQ10" s="766"/>
      <c r="GR10" s="766"/>
      <c r="GS10" s="766"/>
      <c r="GT10" s="766"/>
      <c r="GU10" s="766"/>
      <c r="GV10" s="766"/>
      <c r="GW10" s="766"/>
      <c r="GX10" s="766"/>
      <c r="GY10" s="766"/>
      <c r="GZ10" s="766"/>
      <c r="HA10" s="766"/>
      <c r="HB10" s="766"/>
      <c r="HC10" s="766"/>
      <c r="HD10" s="766"/>
      <c r="HE10" s="766"/>
      <c r="HF10" s="766"/>
      <c r="HG10" s="766"/>
      <c r="HH10" s="766"/>
      <c r="HI10" s="766"/>
      <c r="HJ10" s="766"/>
      <c r="HK10" s="766"/>
      <c r="HL10" s="766"/>
      <c r="HM10" s="766"/>
      <c r="HN10" s="766"/>
      <c r="HO10" s="766"/>
      <c r="HP10" s="766"/>
      <c r="HQ10" s="766"/>
      <c r="HR10" s="766"/>
      <c r="HS10" s="766"/>
      <c r="HT10" s="766"/>
      <c r="HU10" s="766"/>
      <c r="HV10" s="766"/>
      <c r="HW10" s="766"/>
      <c r="HX10" s="766"/>
      <c r="HY10" s="766"/>
      <c r="HZ10" s="766"/>
      <c r="IA10" s="766"/>
      <c r="IB10" s="766" t="s">
        <v>1207</v>
      </c>
      <c r="IC10" s="766"/>
      <c r="ID10" s="766"/>
      <c r="IE10" s="766"/>
      <c r="IF10" s="770"/>
      <c r="IG10" s="770"/>
      <c r="IH10" s="770"/>
      <c r="II10" s="770"/>
      <c r="IJ10" s="770"/>
      <c r="IK10" s="770"/>
      <c r="IL10" s="770"/>
      <c r="IM10" s="770"/>
      <c r="IN10" s="770"/>
      <c r="IO10" s="770"/>
      <c r="IP10" s="770"/>
      <c r="IQ10" s="770"/>
      <c r="IR10" s="302"/>
      <c r="IS10" s="28"/>
      <c r="IT10" s="76"/>
      <c r="IU10" s="76"/>
      <c r="IV10" s="76"/>
      <c r="IW10" s="770"/>
      <c r="IX10" s="770"/>
      <c r="IY10" s="770"/>
      <c r="IZ10" s="770"/>
      <c r="JA10" s="770"/>
      <c r="JB10" s="770"/>
      <c r="JC10" s="770"/>
      <c r="JD10" s="302"/>
      <c r="JE10" s="28"/>
      <c r="JF10" s="76"/>
      <c r="JG10" s="76"/>
      <c r="JH10" s="76"/>
      <c r="JI10" s="76"/>
      <c r="JJ10" s="766"/>
      <c r="JK10" s="766"/>
      <c r="JL10" s="766"/>
      <c r="JM10" s="766"/>
      <c r="JN10" s="766"/>
      <c r="JO10" s="766"/>
      <c r="JP10" s="766"/>
      <c r="JQ10" s="766"/>
      <c r="JR10" s="766"/>
      <c r="JS10" s="766"/>
      <c r="JT10" s="766"/>
      <c r="JU10" s="766"/>
      <c r="JV10" s="766"/>
      <c r="JW10" s="766"/>
      <c r="JX10" s="766"/>
      <c r="JY10" s="766"/>
      <c r="JZ10" s="766"/>
      <c r="KA10" s="766"/>
      <c r="KB10" s="766"/>
      <c r="KC10" s="766"/>
      <c r="KD10" s="766"/>
      <c r="KE10" s="766"/>
      <c r="KF10" s="766"/>
      <c r="KG10" s="766"/>
      <c r="KH10" s="766"/>
      <c r="KI10" s="766"/>
      <c r="KJ10" s="770"/>
      <c r="KK10" s="770"/>
      <c r="KL10" s="770"/>
      <c r="KM10" s="770"/>
      <c r="KN10" s="766"/>
      <c r="KO10" s="28"/>
      <c r="KP10" s="766"/>
      <c r="KQ10" s="766"/>
      <c r="KR10" s="766"/>
      <c r="KS10" s="766"/>
      <c r="KT10" s="766"/>
      <c r="KU10" s="766"/>
      <c r="KV10" s="766"/>
      <c r="KW10" s="766"/>
      <c r="KX10" s="766"/>
      <c r="KY10" s="766"/>
      <c r="KZ10" s="766"/>
      <c r="LA10" s="766"/>
      <c r="LB10" s="766"/>
      <c r="LC10" s="766"/>
      <c r="LD10" s="766"/>
      <c r="LE10" s="766"/>
      <c r="LF10" s="766"/>
      <c r="LG10" s="766"/>
      <c r="LH10" s="766"/>
      <c r="LI10" s="766"/>
      <c r="LJ10" s="766"/>
      <c r="LK10" s="766"/>
      <c r="LL10" s="766"/>
      <c r="LM10" s="766"/>
      <c r="LN10" s="766"/>
      <c r="LO10" s="766"/>
      <c r="LP10" s="766"/>
      <c r="LQ10" s="766"/>
      <c r="LR10" s="766"/>
      <c r="LS10" s="766"/>
      <c r="LT10" s="766"/>
      <c r="LU10" s="766"/>
      <c r="LV10" s="766"/>
      <c r="LW10" s="766"/>
      <c r="LX10" s="769"/>
      <c r="LY10" s="766" t="str">
        <f t="shared" si="0"/>
        <v/>
      </c>
      <c r="LZ10" s="66"/>
      <c r="MA10" s="766"/>
      <c r="MB10" s="766"/>
      <c r="MC10" s="1679">
        <f t="shared" si="1"/>
        <v>0</v>
      </c>
      <c r="MD10" s="66"/>
      <c r="ME10" s="66"/>
      <c r="MF10" s="66"/>
      <c r="MG10" s="1680">
        <f t="shared" si="2"/>
        <v>0</v>
      </c>
      <c r="MH10" s="766"/>
      <c r="MI10" s="775"/>
      <c r="MJ10" s="775"/>
      <c r="MK10" s="775"/>
      <c r="ML10" s="775"/>
      <c r="MM10" s="775"/>
      <c r="MN10" s="775"/>
      <c r="MO10" s="775"/>
      <c r="MP10" s="775"/>
      <c r="MQ10" s="775"/>
      <c r="MR10" s="775"/>
      <c r="MS10" s="775"/>
      <c r="MT10" s="775"/>
      <c r="MU10" s="775"/>
      <c r="MV10" s="775"/>
      <c r="MW10" s="775"/>
      <c r="MX10" s="775"/>
      <c r="MY10" s="1682">
        <f t="shared" si="3"/>
        <v>0</v>
      </c>
      <c r="MZ10" s="766"/>
      <c r="NA10" s="766"/>
      <c r="NB10" s="766"/>
      <c r="NC10" s="766"/>
      <c r="ND10" s="766"/>
      <c r="NE10" s="766"/>
      <c r="NF10" s="766"/>
      <c r="NG10" s="766"/>
      <c r="NH10" s="766"/>
      <c r="NI10" s="766"/>
      <c r="NJ10" s="766"/>
      <c r="NK10" s="766"/>
      <c r="NL10" s="766"/>
      <c r="NM10" s="766"/>
      <c r="NN10" s="766"/>
      <c r="NO10" s="766"/>
      <c r="NP10" s="766"/>
      <c r="NQ10" s="766"/>
      <c r="NR10" s="766"/>
      <c r="NS10" s="766"/>
      <c r="NT10" s="766"/>
      <c r="NU10" s="766"/>
      <c r="NV10" s="766"/>
      <c r="NW10" s="766"/>
      <c r="NX10" s="766"/>
      <c r="NY10" s="766"/>
      <c r="NZ10" s="766"/>
      <c r="OA10" s="766"/>
      <c r="OB10" s="766"/>
      <c r="OC10" s="766"/>
      <c r="OD10" s="766"/>
      <c r="OE10" s="766"/>
      <c r="OF10" s="766"/>
      <c r="OG10" s="766"/>
      <c r="OH10" s="766"/>
      <c r="OI10" s="766"/>
      <c r="OJ10" s="766"/>
      <c r="OK10" s="76"/>
      <c r="OL10" s="766"/>
      <c r="OM10" s="766"/>
      <c r="ON10" s="766"/>
      <c r="OO10" s="766"/>
      <c r="OP10" s="766"/>
      <c r="OQ10" s="766"/>
      <c r="OR10" s="766"/>
      <c r="OS10" s="766"/>
      <c r="OT10" s="766"/>
      <c r="OU10" s="766"/>
      <c r="OV10" s="766"/>
      <c r="OW10" s="766"/>
      <c r="OX10" s="766"/>
      <c r="OY10" s="766"/>
      <c r="OZ10" s="766"/>
      <c r="PA10" s="766"/>
      <c r="PB10" s="766"/>
      <c r="PC10" s="766"/>
      <c r="PD10" s="766"/>
      <c r="PE10" s="766"/>
      <c r="PF10" s="766"/>
      <c r="PG10" s="766"/>
      <c r="PH10" s="766"/>
      <c r="PI10" s="766"/>
      <c r="PJ10" s="766"/>
      <c r="PK10" s="766"/>
      <c r="PL10" s="766"/>
      <c r="PM10" s="766"/>
      <c r="PN10" s="766"/>
      <c r="PO10" s="766"/>
      <c r="PP10" s="766"/>
      <c r="PQ10" s="766"/>
      <c r="PR10" s="766"/>
      <c r="PS10" s="766"/>
      <c r="PT10" s="766"/>
      <c r="PU10" s="766"/>
      <c r="PV10" s="766"/>
      <c r="PW10" s="766"/>
      <c r="PX10" s="766"/>
      <c r="PY10" s="766"/>
      <c r="PZ10" s="766"/>
      <c r="QA10" s="766"/>
      <c r="QB10" s="766"/>
      <c r="QC10" s="766"/>
      <c r="QD10" s="766"/>
      <c r="QE10" s="766"/>
      <c r="QF10" s="766"/>
      <c r="QG10" s="766"/>
      <c r="QH10" s="766"/>
      <c r="QI10" s="766"/>
      <c r="QJ10" s="766"/>
      <c r="QK10" s="766"/>
      <c r="QL10" s="766"/>
      <c r="QM10" s="766"/>
      <c r="QN10" s="766"/>
      <c r="QO10" s="766"/>
      <c r="QP10" s="766"/>
      <c r="QQ10" s="766"/>
      <c r="QR10" s="766"/>
      <c r="QS10" s="766"/>
      <c r="QT10" s="766"/>
      <c r="QU10" s="766"/>
      <c r="QV10" s="766"/>
      <c r="QW10" s="766"/>
      <c r="QX10" s="766"/>
      <c r="QY10" s="766"/>
      <c r="QZ10" s="766"/>
      <c r="RA10" s="766"/>
      <c r="RB10" s="770" t="s">
        <v>1207</v>
      </c>
      <c r="RC10" s="766">
        <v>2016</v>
      </c>
      <c r="RD10" s="766" t="s">
        <v>12998</v>
      </c>
      <c r="RE10" s="766" t="s">
        <v>12999</v>
      </c>
      <c r="RF10" s="777">
        <v>0.5</v>
      </c>
      <c r="RG10" s="766" t="s">
        <v>13000</v>
      </c>
      <c r="RH10" s="775">
        <v>5000</v>
      </c>
      <c r="RI10" s="766" t="s">
        <v>13001</v>
      </c>
      <c r="RJ10" s="766" t="s">
        <v>1881</v>
      </c>
      <c r="RK10" s="766" t="s">
        <v>12994</v>
      </c>
      <c r="RL10" s="1683"/>
      <c r="RM10" s="12"/>
      <c r="RN10" s="1711"/>
      <c r="RO10" s="168" t="s">
        <v>23</v>
      </c>
      <c r="RP10" s="11"/>
      <c r="RQ10" s="11"/>
      <c r="RR10" s="771"/>
      <c r="RS10" s="766"/>
      <c r="RT10" s="1686">
        <v>5</v>
      </c>
      <c r="RU10" s="11" t="s">
        <v>13002</v>
      </c>
      <c r="RV10" s="766" t="s">
        <v>7419</v>
      </c>
      <c r="RW10" s="11" t="s">
        <v>11953</v>
      </c>
      <c r="RX10" s="11" t="s">
        <v>19</v>
      </c>
      <c r="RY10" s="11">
        <v>20.9</v>
      </c>
      <c r="RZ10" s="11"/>
      <c r="SA10" s="766" t="s">
        <v>7419</v>
      </c>
      <c r="SB10" s="11"/>
      <c r="SC10" s="11"/>
    </row>
    <row r="11" spans="1:497" ht="12.75" hidden="1" customHeight="1">
      <c r="A11" s="154" t="s">
        <v>14139</v>
      </c>
      <c r="B11" s="288" t="s">
        <v>12342</v>
      </c>
      <c r="C11" s="168" t="s">
        <v>25</v>
      </c>
      <c r="D11" s="766" t="s">
        <v>1881</v>
      </c>
      <c r="E11" s="766" t="s">
        <v>24</v>
      </c>
      <c r="F11" s="766"/>
      <c r="G11" s="766"/>
      <c r="H11" s="766"/>
      <c r="I11" s="5"/>
      <c r="J11" s="766"/>
      <c r="K11" s="766"/>
      <c r="L11" s="766"/>
      <c r="M11" s="766"/>
      <c r="N11" s="766"/>
      <c r="O11" s="766"/>
      <c r="P11" s="14" t="s">
        <v>5458</v>
      </c>
      <c r="Q11" s="1085"/>
      <c r="R11" s="25"/>
      <c r="S11" s="766"/>
      <c r="T11" s="766"/>
      <c r="U11" s="26"/>
      <c r="V11" s="766"/>
      <c r="W11" s="766"/>
      <c r="X11" s="766"/>
      <c r="Y11" s="770" t="s">
        <v>5459</v>
      </c>
      <c r="Z11" s="766"/>
      <c r="AA11" s="766"/>
      <c r="AB11" s="766"/>
      <c r="AC11" s="766"/>
      <c r="AD11" s="766"/>
      <c r="AE11" s="766"/>
      <c r="AF11" s="766"/>
      <c r="AG11" s="766" t="s">
        <v>1095</v>
      </c>
      <c r="AH11" s="766" t="s">
        <v>1096</v>
      </c>
      <c r="AI11" s="766" t="s">
        <v>1107</v>
      </c>
      <c r="AJ11" s="766"/>
      <c r="AK11" s="766" t="s">
        <v>1097</v>
      </c>
      <c r="AL11" s="120">
        <v>240</v>
      </c>
      <c r="AM11" s="772">
        <v>6.3</v>
      </c>
      <c r="AN11" s="37">
        <f t="shared" si="4"/>
        <v>2.6249999999999999E-2</v>
      </c>
      <c r="AO11" s="766" t="s">
        <v>1098</v>
      </c>
      <c r="AP11" s="766"/>
      <c r="AQ11" s="766"/>
      <c r="AR11" s="766"/>
      <c r="AS11" s="766" t="s">
        <v>1207</v>
      </c>
      <c r="AT11" s="766" t="s">
        <v>1208</v>
      </c>
      <c r="AU11" s="766"/>
      <c r="AV11" s="766"/>
      <c r="AW11" s="766"/>
      <c r="AX11" s="766"/>
      <c r="AY11" s="766"/>
      <c r="AZ11" s="766"/>
      <c r="BA11" s="766"/>
      <c r="BB11" s="766"/>
      <c r="BC11" s="766" t="s">
        <v>1210</v>
      </c>
      <c r="BD11" s="766" t="s">
        <v>1207</v>
      </c>
      <c r="BE11" s="766" t="s">
        <v>110</v>
      </c>
      <c r="BF11" s="775" t="s">
        <v>110</v>
      </c>
      <c r="BG11" s="775" t="s">
        <v>110</v>
      </c>
      <c r="BH11" s="766"/>
      <c r="BI11" s="766"/>
      <c r="BJ11" s="766"/>
      <c r="BK11" s="766" t="s">
        <v>1095</v>
      </c>
      <c r="BL11" s="766" t="s">
        <v>1251</v>
      </c>
      <c r="BM11" s="766" t="s">
        <v>1096</v>
      </c>
      <c r="BN11" s="766" t="s">
        <v>1230</v>
      </c>
      <c r="BO11" s="766" t="s">
        <v>1246</v>
      </c>
      <c r="BP11" s="429"/>
      <c r="BQ11" s="772">
        <v>6.3</v>
      </c>
      <c r="BR11" s="429"/>
      <c r="BS11" s="766" t="s">
        <v>1242</v>
      </c>
      <c r="BT11" s="766" t="s">
        <v>2040</v>
      </c>
      <c r="BU11" s="766" t="s">
        <v>1249</v>
      </c>
      <c r="BV11" s="766" t="s">
        <v>1247</v>
      </c>
      <c r="BW11" s="429"/>
      <c r="BX11" s="779"/>
      <c r="BY11" s="766"/>
      <c r="BZ11" s="775"/>
      <c r="CA11" s="766"/>
      <c r="CB11" s="766" t="s">
        <v>1207</v>
      </c>
      <c r="CC11" s="766" t="s">
        <v>1251</v>
      </c>
      <c r="CD11" s="766"/>
      <c r="CE11" s="766"/>
      <c r="CF11" s="231">
        <v>2</v>
      </c>
      <c r="CG11" s="231">
        <v>10</v>
      </c>
      <c r="CH11" s="766" t="s">
        <v>1425</v>
      </c>
      <c r="CI11" s="12" t="s">
        <v>5642</v>
      </c>
      <c r="CJ11" s="766" t="s">
        <v>1436</v>
      </c>
      <c r="CK11" s="766"/>
      <c r="CL11" s="766" t="s">
        <v>1240</v>
      </c>
      <c r="CM11" s="766" t="s">
        <v>1437</v>
      </c>
      <c r="CN11" s="766"/>
      <c r="CO11" s="766"/>
      <c r="CP11" s="766"/>
      <c r="CQ11" s="766"/>
      <c r="CR11" s="775"/>
      <c r="CS11" s="766"/>
      <c r="CT11" s="766"/>
      <c r="CU11" s="129"/>
      <c r="CV11" s="766"/>
      <c r="CW11" s="766"/>
      <c r="CX11" s="766"/>
      <c r="CY11" s="766"/>
      <c r="CZ11" s="766"/>
      <c r="DA11" s="766"/>
      <c r="DB11" s="766"/>
      <c r="DC11" s="766"/>
      <c r="DD11" s="766"/>
      <c r="DE11" s="766"/>
      <c r="DF11" s="766"/>
      <c r="DG11" s="766"/>
      <c r="DH11" s="766"/>
      <c r="DI11" s="766"/>
      <c r="DJ11" s="766"/>
      <c r="DK11" s="766"/>
      <c r="DL11" s="766"/>
      <c r="DM11" s="766"/>
      <c r="DN11" s="766"/>
      <c r="DO11" s="766"/>
      <c r="DP11" s="766"/>
      <c r="DQ11" s="766"/>
      <c r="DR11" s="766"/>
      <c r="DS11" s="59"/>
      <c r="DT11" s="766"/>
      <c r="DU11" s="766"/>
      <c r="DV11" s="766"/>
      <c r="DW11" s="66"/>
      <c r="DX11" s="66"/>
      <c r="DY11" s="766"/>
      <c r="DZ11" s="766"/>
      <c r="EA11" s="766"/>
      <c r="EB11" s="766"/>
      <c r="EC11" s="766"/>
      <c r="ED11" s="766"/>
      <c r="EE11" s="766"/>
      <c r="EF11" s="766"/>
      <c r="EG11" s="766"/>
      <c r="EH11" s="766"/>
      <c r="EI11" s="766"/>
      <c r="EJ11" s="766"/>
      <c r="EK11" s="766"/>
      <c r="EL11" s="766"/>
      <c r="EM11" s="766"/>
      <c r="EN11" s="766"/>
      <c r="EO11" s="766"/>
      <c r="EP11" s="766"/>
      <c r="EQ11" s="766"/>
      <c r="ER11" s="766"/>
      <c r="ES11" s="766"/>
      <c r="ET11" s="766"/>
      <c r="EU11" s="766"/>
      <c r="EV11" s="766"/>
      <c r="EW11" s="766"/>
      <c r="EX11" s="766"/>
      <c r="EY11" s="766"/>
      <c r="EZ11" s="766"/>
      <c r="FA11" s="766"/>
      <c r="FB11" s="766"/>
      <c r="FC11" s="766"/>
      <c r="FD11" s="775"/>
      <c r="FE11" s="766"/>
      <c r="FF11" s="766"/>
      <c r="FG11" s="766"/>
      <c r="FH11" s="766"/>
      <c r="FI11" s="766" t="s">
        <v>110</v>
      </c>
      <c r="FJ11" s="766"/>
      <c r="FK11" s="766"/>
      <c r="FL11" s="766"/>
      <c r="FM11" s="775"/>
      <c r="FN11" s="775"/>
      <c r="FO11" s="775"/>
      <c r="FP11" s="766" t="s">
        <v>1600</v>
      </c>
      <c r="FQ11" s="766" t="s">
        <v>1642</v>
      </c>
      <c r="FR11" s="766" t="s">
        <v>1207</v>
      </c>
      <c r="FS11" s="766" t="s">
        <v>1208</v>
      </c>
      <c r="FT11" s="766"/>
      <c r="FU11" s="766"/>
      <c r="FV11" s="766"/>
      <c r="FW11" s="766" t="s">
        <v>1208</v>
      </c>
      <c r="FX11" s="766"/>
      <c r="FY11" s="766"/>
      <c r="FZ11" s="766"/>
      <c r="GA11" s="766"/>
      <c r="GB11" s="766" t="s">
        <v>796</v>
      </c>
      <c r="GC11" s="75" t="s">
        <v>1695</v>
      </c>
      <c r="GD11" s="25">
        <v>2000</v>
      </c>
      <c r="GE11" s="766" t="s">
        <v>1207</v>
      </c>
      <c r="GF11" s="775">
        <v>3000</v>
      </c>
      <c r="GG11" s="775"/>
      <c r="GH11" s="766"/>
      <c r="GI11" s="766"/>
      <c r="GJ11" s="766"/>
      <c r="GK11" s="766"/>
      <c r="GL11" s="766"/>
      <c r="GM11" s="766"/>
      <c r="GN11" s="82"/>
      <c r="GO11" s="766"/>
      <c r="GP11" s="766"/>
      <c r="GQ11" s="766"/>
      <c r="GR11" s="766"/>
      <c r="GS11" s="766"/>
      <c r="GT11" s="766"/>
      <c r="GU11" s="766"/>
      <c r="GV11" s="766"/>
      <c r="GW11" s="766"/>
      <c r="GX11" s="766"/>
      <c r="GY11" s="766"/>
      <c r="GZ11" s="766"/>
      <c r="HA11" s="766"/>
      <c r="HB11" s="766"/>
      <c r="HC11" s="766"/>
      <c r="HD11" s="766"/>
      <c r="HE11" s="766"/>
      <c r="HF11" s="766"/>
      <c r="HG11" s="766"/>
      <c r="HH11" s="766"/>
      <c r="HI11" s="766"/>
      <c r="HJ11" s="766"/>
      <c r="HK11" s="766"/>
      <c r="HL11" s="766"/>
      <c r="HM11" s="766"/>
      <c r="HN11" s="766"/>
      <c r="HO11" s="766"/>
      <c r="HP11" s="766"/>
      <c r="HQ11" s="766"/>
      <c r="HR11" s="766"/>
      <c r="HS11" s="766"/>
      <c r="HT11" s="766"/>
      <c r="HU11" s="766"/>
      <c r="HV11" s="766"/>
      <c r="HW11" s="766"/>
      <c r="HX11" s="766"/>
      <c r="HY11" s="766"/>
      <c r="HZ11" s="766"/>
      <c r="IA11" s="766"/>
      <c r="IB11" s="766"/>
      <c r="IC11" s="766"/>
      <c r="ID11" s="766"/>
      <c r="IE11" s="766"/>
      <c r="IF11" s="766"/>
      <c r="IG11" s="766"/>
      <c r="IH11" s="766"/>
      <c r="II11" s="766"/>
      <c r="IJ11" s="766"/>
      <c r="IK11" s="766"/>
      <c r="IL11" s="766"/>
      <c r="IM11" s="766"/>
      <c r="IN11" s="766"/>
      <c r="IO11" s="766"/>
      <c r="IP11" s="766"/>
      <c r="IQ11" s="766"/>
      <c r="IR11" s="775"/>
      <c r="IS11" s="766"/>
      <c r="IT11" s="766"/>
      <c r="IU11" s="766"/>
      <c r="IV11" s="766"/>
      <c r="IW11" s="766"/>
      <c r="IX11" s="766"/>
      <c r="IY11" s="766"/>
      <c r="IZ11" s="766"/>
      <c r="JA11" s="766"/>
      <c r="JB11" s="766"/>
      <c r="JC11" s="766"/>
      <c r="JD11" s="775"/>
      <c r="JE11" s="766"/>
      <c r="JF11" s="766"/>
      <c r="JG11" s="766"/>
      <c r="JH11" s="766"/>
      <c r="JI11" s="766"/>
      <c r="JJ11" s="766"/>
      <c r="JK11" s="766"/>
      <c r="JL11" s="766"/>
      <c r="JM11" s="766"/>
      <c r="JN11" s="766"/>
      <c r="JO11" s="766"/>
      <c r="JP11" s="766"/>
      <c r="JQ11" s="766"/>
      <c r="JR11" s="766"/>
      <c r="JS11" s="766"/>
      <c r="JT11" s="766"/>
      <c r="JU11" s="766"/>
      <c r="JV11" s="766"/>
      <c r="JW11" s="766"/>
      <c r="JX11" s="766"/>
      <c r="JY11" s="766"/>
      <c r="JZ11" s="766"/>
      <c r="KA11" s="766"/>
      <c r="KB11" s="766"/>
      <c r="KC11" s="766"/>
      <c r="KD11" s="766"/>
      <c r="KE11" s="766"/>
      <c r="KF11" s="766"/>
      <c r="KG11" s="766"/>
      <c r="KH11" s="766"/>
      <c r="KI11" s="766"/>
      <c r="KJ11" s="770"/>
      <c r="KK11" s="770"/>
      <c r="KL11" s="770"/>
      <c r="KM11" s="770"/>
      <c r="KN11" s="766"/>
      <c r="KO11" s="28"/>
      <c r="KP11" s="766"/>
      <c r="KQ11" s="766"/>
      <c r="KR11" s="766"/>
      <c r="KS11" s="766"/>
      <c r="KT11" s="766"/>
      <c r="KU11" s="766"/>
      <c r="KV11" s="766"/>
      <c r="KW11" s="766"/>
      <c r="KX11" s="766"/>
      <c r="KY11" s="766"/>
      <c r="KZ11" s="766"/>
      <c r="LA11" s="766"/>
      <c r="LB11" s="766"/>
      <c r="LC11" s="766"/>
      <c r="LD11" s="766"/>
      <c r="LE11" s="766"/>
      <c r="LF11" s="766"/>
      <c r="LG11" s="766"/>
      <c r="LH11" s="766"/>
      <c r="LI11" s="766"/>
      <c r="LJ11" s="766"/>
      <c r="LK11" s="766"/>
      <c r="LL11" s="766"/>
      <c r="LM11" s="766"/>
      <c r="LN11" s="766"/>
      <c r="LO11" s="766"/>
      <c r="LP11" s="766"/>
      <c r="LQ11" s="1678"/>
      <c r="LR11" s="766"/>
      <c r="LS11" s="766"/>
      <c r="LT11" s="766"/>
      <c r="LU11" s="766"/>
      <c r="LV11" s="766"/>
      <c r="LW11" s="766"/>
      <c r="LX11" s="769"/>
      <c r="LY11" s="766" t="str">
        <f t="shared" si="0"/>
        <v/>
      </c>
      <c r="LZ11" s="66"/>
      <c r="MA11" s="766"/>
      <c r="MB11" s="766"/>
      <c r="MC11" s="1679">
        <f t="shared" si="1"/>
        <v>0</v>
      </c>
      <c r="MD11" s="66"/>
      <c r="ME11" s="66"/>
      <c r="MF11" s="66"/>
      <c r="MG11" s="1680">
        <f t="shared" si="2"/>
        <v>0</v>
      </c>
      <c r="MH11" s="1681"/>
      <c r="MI11" s="775"/>
      <c r="MJ11" s="775"/>
      <c r="MK11" s="775"/>
      <c r="ML11" s="775"/>
      <c r="MM11" s="775"/>
      <c r="MN11" s="775"/>
      <c r="MO11" s="775"/>
      <c r="MP11" s="775"/>
      <c r="MQ11" s="775"/>
      <c r="MR11" s="775"/>
      <c r="MS11" s="775"/>
      <c r="MT11" s="775"/>
      <c r="MU11" s="775"/>
      <c r="MV11" s="775"/>
      <c r="MW11" s="775"/>
      <c r="MX11" s="775"/>
      <c r="MY11" s="1682">
        <f t="shared" si="3"/>
        <v>0</v>
      </c>
      <c r="MZ11" s="766"/>
      <c r="NA11" s="766"/>
      <c r="NB11" s="766"/>
      <c r="NC11" s="766"/>
      <c r="ND11" s="766"/>
      <c r="NE11" s="766"/>
      <c r="NF11" s="766"/>
      <c r="NG11" s="766"/>
      <c r="NH11" s="766"/>
      <c r="NI11" s="766"/>
      <c r="NJ11" s="766"/>
      <c r="NK11" s="766"/>
      <c r="NL11" s="766"/>
      <c r="NM11" s="766"/>
      <c r="NN11" s="766"/>
      <c r="NO11" s="766"/>
      <c r="NP11" s="766"/>
      <c r="NQ11" s="766"/>
      <c r="NR11" s="766"/>
      <c r="NS11" s="766"/>
      <c r="NT11" s="766"/>
      <c r="NU11" s="766"/>
      <c r="NV11" s="766"/>
      <c r="NW11" s="766"/>
      <c r="NX11" s="766"/>
      <c r="NY11" s="766"/>
      <c r="NZ11" s="766"/>
      <c r="OA11" s="766"/>
      <c r="OB11" s="766"/>
      <c r="OC11" s="766"/>
      <c r="OD11" s="766"/>
      <c r="OE11" s="766"/>
      <c r="OF11" s="766"/>
      <c r="OG11" s="766"/>
      <c r="OH11" s="766"/>
      <c r="OI11" s="766"/>
      <c r="OJ11" s="766"/>
      <c r="OK11" s="766"/>
      <c r="OL11" s="766"/>
      <c r="OM11" s="766"/>
      <c r="ON11" s="766"/>
      <c r="OO11" s="766"/>
      <c r="OP11" s="766"/>
      <c r="OQ11" s="766"/>
      <c r="OR11" s="766"/>
      <c r="OS11" s="766"/>
      <c r="OT11" s="766"/>
      <c r="OU11" s="766"/>
      <c r="OV11" s="766"/>
      <c r="OW11" s="766"/>
      <c r="OX11" s="766"/>
      <c r="OY11" s="766"/>
      <c r="OZ11" s="766"/>
      <c r="PA11" s="766"/>
      <c r="PB11" s="766"/>
      <c r="PC11" s="766"/>
      <c r="PD11" s="766"/>
      <c r="PE11" s="766"/>
      <c r="PF11" s="766"/>
      <c r="PG11" s="766"/>
      <c r="PH11" s="766"/>
      <c r="PI11" s="766"/>
      <c r="PJ11" s="766"/>
      <c r="PK11" s="766"/>
      <c r="PL11" s="766"/>
      <c r="PM11" s="766"/>
      <c r="PN11" s="766"/>
      <c r="PO11" s="766"/>
      <c r="PP11" s="766"/>
      <c r="PQ11" s="766"/>
      <c r="PR11" s="766"/>
      <c r="PS11" s="766"/>
      <c r="PT11" s="766"/>
      <c r="PU11" s="766"/>
      <c r="PV11" s="766"/>
      <c r="PW11" s="766"/>
      <c r="PX11" s="766"/>
      <c r="PY11" s="766"/>
      <c r="PZ11" s="766"/>
      <c r="QA11" s="766"/>
      <c r="QB11" s="766"/>
      <c r="QC11" s="766"/>
      <c r="QD11" s="766"/>
      <c r="QE11" s="766"/>
      <c r="QF11" s="766"/>
      <c r="QG11" s="766"/>
      <c r="QH11" s="766"/>
      <c r="QI11" s="766"/>
      <c r="QJ11" s="766"/>
      <c r="QK11" s="766"/>
      <c r="QL11" s="766"/>
      <c r="QM11" s="766"/>
      <c r="QN11" s="766"/>
      <c r="QO11" s="766"/>
      <c r="QP11" s="766"/>
      <c r="QQ11" s="766"/>
      <c r="QR11" s="766"/>
      <c r="QS11" s="766"/>
      <c r="QT11" s="766"/>
      <c r="QU11" s="766"/>
      <c r="QV11" s="766"/>
      <c r="QW11" s="766"/>
      <c r="QX11" s="766"/>
      <c r="QY11" s="766"/>
      <c r="QZ11" s="766"/>
      <c r="RA11" s="766"/>
      <c r="RB11" s="770"/>
      <c r="RC11" s="770"/>
      <c r="RD11" s="770"/>
      <c r="RE11" s="770"/>
      <c r="RF11" s="304"/>
      <c r="RG11" s="770"/>
      <c r="RH11" s="302"/>
      <c r="RI11" s="770"/>
      <c r="RJ11" s="770"/>
      <c r="RK11" s="770"/>
      <c r="RL11" s="1683"/>
      <c r="RM11" s="12"/>
      <c r="RN11" s="1711"/>
      <c r="RO11" s="168" t="s">
        <v>25</v>
      </c>
      <c r="RP11" s="11"/>
      <c r="RQ11" s="11"/>
      <c r="RR11" s="771"/>
      <c r="RS11" s="766"/>
      <c r="RT11" s="11"/>
      <c r="RU11" s="11"/>
      <c r="RV11" s="766" t="s">
        <v>12372</v>
      </c>
      <c r="RW11" s="11" t="s">
        <v>7565</v>
      </c>
      <c r="RX11" s="11" t="s">
        <v>19</v>
      </c>
      <c r="RY11" s="11">
        <v>30.89</v>
      </c>
      <c r="RZ11" s="11" t="s">
        <v>14136</v>
      </c>
      <c r="SA11" s="766" t="s">
        <v>7419</v>
      </c>
      <c r="SB11" s="11"/>
      <c r="SC11" s="11"/>
    </row>
    <row r="12" spans="1:497" ht="12.75" hidden="1" customHeight="1">
      <c r="A12" s="154" t="s">
        <v>7419</v>
      </c>
      <c r="B12" s="115" t="s">
        <v>11256</v>
      </c>
      <c r="C12" s="169" t="s">
        <v>11241</v>
      </c>
      <c r="D12" s="6" t="s">
        <v>5460</v>
      </c>
      <c r="E12" s="6" t="s">
        <v>27</v>
      </c>
      <c r="F12" s="6" t="s">
        <v>42</v>
      </c>
      <c r="G12" s="6" t="s">
        <v>10</v>
      </c>
      <c r="H12" s="6"/>
      <c r="I12" s="1012" t="s">
        <v>29</v>
      </c>
      <c r="J12" s="6" t="s">
        <v>11242</v>
      </c>
      <c r="K12" s="6" t="s">
        <v>14069</v>
      </c>
      <c r="L12" s="6" t="s">
        <v>14070</v>
      </c>
      <c r="M12" s="6"/>
      <c r="N12" s="6" t="s">
        <v>11243</v>
      </c>
      <c r="O12" s="6" t="s">
        <v>11244</v>
      </c>
      <c r="P12" s="843" t="s">
        <v>5460</v>
      </c>
      <c r="Q12" s="1086">
        <v>22771</v>
      </c>
      <c r="R12" s="1015">
        <v>55</v>
      </c>
      <c r="S12" s="6" t="s">
        <v>10</v>
      </c>
      <c r="T12" s="6"/>
      <c r="U12" s="1016" t="s">
        <v>11004</v>
      </c>
      <c r="V12" s="6" t="s">
        <v>707</v>
      </c>
      <c r="W12" s="1016" t="s">
        <v>11245</v>
      </c>
      <c r="X12" s="1014">
        <v>25876</v>
      </c>
      <c r="Y12" s="6" t="s">
        <v>27</v>
      </c>
      <c r="Z12" s="6" t="s">
        <v>708</v>
      </c>
      <c r="AA12" s="6" t="s">
        <v>709</v>
      </c>
      <c r="AB12" s="6" t="s">
        <v>710</v>
      </c>
      <c r="AC12" s="6"/>
      <c r="AD12" s="6" t="s">
        <v>711</v>
      </c>
      <c r="AE12" s="6"/>
      <c r="AF12" s="6"/>
      <c r="AG12" s="6" t="s">
        <v>1095</v>
      </c>
      <c r="AH12" s="766" t="s">
        <v>1096</v>
      </c>
      <c r="AI12" s="6" t="s">
        <v>1108</v>
      </c>
      <c r="AJ12" s="6"/>
      <c r="AK12" s="6" t="s">
        <v>1097</v>
      </c>
      <c r="AL12" s="1017">
        <v>240</v>
      </c>
      <c r="AM12" s="45">
        <v>31.9</v>
      </c>
      <c r="AN12" s="1018">
        <f t="shared" si="4"/>
        <v>0.13291666666666666</v>
      </c>
      <c r="AO12" s="6" t="s">
        <v>1109</v>
      </c>
      <c r="AP12" s="6"/>
      <c r="AQ12" s="6"/>
      <c r="AR12" s="6"/>
      <c r="AS12" s="1019" t="s">
        <v>1207</v>
      </c>
      <c r="AT12" s="1019" t="s">
        <v>1208</v>
      </c>
      <c r="AU12" s="1019" t="s">
        <v>1208</v>
      </c>
      <c r="AV12" s="1019"/>
      <c r="AW12" s="1019"/>
      <c r="AX12" s="1019"/>
      <c r="AY12" s="1019"/>
      <c r="AZ12" s="1019"/>
      <c r="BA12" s="1019"/>
      <c r="BB12" s="1019"/>
      <c r="BC12" s="6" t="s">
        <v>1210</v>
      </c>
      <c r="BD12" s="1019" t="s">
        <v>1207</v>
      </c>
      <c r="BE12" s="6"/>
      <c r="BF12" s="64"/>
      <c r="BG12" s="64"/>
      <c r="BH12" s="6"/>
      <c r="BI12" s="6"/>
      <c r="BJ12" s="6"/>
      <c r="BK12" s="766" t="s">
        <v>1095</v>
      </c>
      <c r="BL12" s="6" t="s">
        <v>12268</v>
      </c>
      <c r="BM12" s="6" t="s">
        <v>1096</v>
      </c>
      <c r="BN12" s="6" t="s">
        <v>1230</v>
      </c>
      <c r="BO12" s="1716" t="s">
        <v>1246</v>
      </c>
      <c r="BP12" s="1716">
        <v>224.4</v>
      </c>
      <c r="BQ12" s="1716">
        <v>14.68</v>
      </c>
      <c r="BR12" s="47">
        <f>BQ12/BP12</f>
        <v>6.5418894830659532E-2</v>
      </c>
      <c r="BS12" s="766" t="s">
        <v>1242</v>
      </c>
      <c r="BT12" s="766" t="s">
        <v>8133</v>
      </c>
      <c r="BU12" s="1716" t="s">
        <v>11246</v>
      </c>
      <c r="BV12" s="766" t="s">
        <v>1247</v>
      </c>
      <c r="BW12" s="1716">
        <v>1970</v>
      </c>
      <c r="BX12" s="96"/>
      <c r="BY12" s="6"/>
      <c r="BZ12" s="64"/>
      <c r="CA12" s="6"/>
      <c r="CB12" s="6"/>
      <c r="CC12" s="6"/>
      <c r="CD12" s="6"/>
      <c r="CE12" s="6"/>
      <c r="CF12" s="1021"/>
      <c r="CG12" s="1021"/>
      <c r="CH12" s="6"/>
      <c r="CI12" s="6"/>
      <c r="CJ12" s="6"/>
      <c r="CK12" s="6"/>
      <c r="CL12" s="6"/>
      <c r="CM12" s="6"/>
      <c r="CN12" s="6"/>
      <c r="CO12" s="6"/>
      <c r="CP12" s="6"/>
      <c r="CQ12" s="6"/>
      <c r="CR12" s="64"/>
      <c r="CS12" s="6"/>
      <c r="CT12" s="6"/>
      <c r="CU12" s="1022"/>
      <c r="CV12" s="6"/>
      <c r="CW12" s="6"/>
      <c r="CX12" s="6"/>
      <c r="CY12" s="6"/>
      <c r="CZ12" s="6"/>
      <c r="DA12" s="6"/>
      <c r="DB12" s="6"/>
      <c r="DC12" s="6"/>
      <c r="DD12" s="6"/>
      <c r="DE12" s="6"/>
      <c r="DF12" s="6"/>
      <c r="DG12" s="6"/>
      <c r="DH12" s="6"/>
      <c r="DI12" s="6"/>
      <c r="DJ12" s="6"/>
      <c r="DK12" s="6"/>
      <c r="DL12" s="6"/>
      <c r="DM12" s="6"/>
      <c r="DN12" s="6"/>
      <c r="DO12" s="6"/>
      <c r="DP12" s="6"/>
      <c r="DQ12" s="6"/>
      <c r="DR12" s="6"/>
      <c r="DS12" s="1023"/>
      <c r="DT12" s="6"/>
      <c r="DU12" s="6"/>
      <c r="DV12" s="6"/>
      <c r="DW12" s="1024"/>
      <c r="DX12" s="1024"/>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4"/>
      <c r="FE12" s="6"/>
      <c r="FF12" s="6"/>
      <c r="FG12" s="6"/>
      <c r="FH12" s="1019" t="s">
        <v>478</v>
      </c>
      <c r="FI12" s="1019">
        <v>1</v>
      </c>
      <c r="FJ12" s="6"/>
      <c r="FK12" s="6"/>
      <c r="FL12" s="6"/>
      <c r="FM12" s="64"/>
      <c r="FN12" s="64"/>
      <c r="FO12" s="64"/>
      <c r="FP12" s="1019" t="s">
        <v>1600</v>
      </c>
      <c r="FQ12" s="1019" t="s">
        <v>1642</v>
      </c>
      <c r="FR12" s="1019" t="s">
        <v>1207</v>
      </c>
      <c r="FS12" s="1019" t="s">
        <v>1208</v>
      </c>
      <c r="FT12" s="1019"/>
      <c r="FU12" s="1019"/>
      <c r="FV12" s="1019"/>
      <c r="FW12" s="1019"/>
      <c r="FX12" s="1019"/>
      <c r="FY12" s="1019"/>
      <c r="FZ12" s="1019"/>
      <c r="GA12" s="1019"/>
      <c r="GB12" s="1019" t="s">
        <v>1696</v>
      </c>
      <c r="GC12" s="1717"/>
      <c r="GD12" s="1718"/>
      <c r="GE12" s="1019"/>
      <c r="GF12" s="64"/>
      <c r="GG12" s="64"/>
      <c r="GH12" s="6"/>
      <c r="GI12" s="6"/>
      <c r="GJ12" s="6"/>
      <c r="GK12" s="6"/>
      <c r="GL12" s="6"/>
      <c r="GM12" s="6"/>
      <c r="GN12" s="1025"/>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t="s">
        <v>5460</v>
      </c>
      <c r="IG12" s="6" t="s">
        <v>10</v>
      </c>
      <c r="IH12" s="6" t="s">
        <v>478</v>
      </c>
      <c r="II12" s="6" t="s">
        <v>27</v>
      </c>
      <c r="IJ12" s="6" t="s">
        <v>1835</v>
      </c>
      <c r="IK12" s="6" t="s">
        <v>1888</v>
      </c>
      <c r="IL12" s="6" t="s">
        <v>11247</v>
      </c>
      <c r="IM12" s="6"/>
      <c r="IN12" s="6" t="s">
        <v>11247</v>
      </c>
      <c r="IO12" s="1014">
        <v>22771</v>
      </c>
      <c r="IP12" s="6" t="s">
        <v>478</v>
      </c>
      <c r="IQ12" s="6" t="s">
        <v>11248</v>
      </c>
      <c r="IR12" s="1019" t="s">
        <v>2716</v>
      </c>
      <c r="IS12" s="6"/>
      <c r="IT12" s="6"/>
      <c r="IU12" s="6"/>
      <c r="IV12" s="6"/>
      <c r="IW12" s="6" t="s">
        <v>13003</v>
      </c>
      <c r="IX12" s="6"/>
      <c r="IY12" s="1012" t="s">
        <v>29</v>
      </c>
      <c r="IZ12" s="6"/>
      <c r="JA12" s="6" t="s">
        <v>1886</v>
      </c>
      <c r="JB12" s="6"/>
      <c r="JC12" s="6"/>
      <c r="JD12" s="64">
        <v>1000</v>
      </c>
      <c r="JE12" s="1687"/>
      <c r="JF12" s="1687"/>
      <c r="JG12" s="1687"/>
      <c r="JH12" s="1687"/>
      <c r="JI12" s="1687"/>
      <c r="JJ12" s="6">
        <v>5</v>
      </c>
      <c r="JK12" s="6" t="s">
        <v>11247</v>
      </c>
      <c r="JL12" s="6"/>
      <c r="JM12" s="6">
        <v>1</v>
      </c>
      <c r="JN12" s="6">
        <v>1</v>
      </c>
      <c r="JO12" s="6">
        <v>2</v>
      </c>
      <c r="JP12" s="6"/>
      <c r="JQ12" s="6">
        <v>1</v>
      </c>
      <c r="JR12" s="6"/>
      <c r="JS12" s="6"/>
      <c r="JT12" s="766">
        <f>SUM(JP12,JN12,JL12,JR12)</f>
        <v>1</v>
      </c>
      <c r="JU12" s="766">
        <f>SUM(JQ12,JO12,JM12,JS12)</f>
        <v>4</v>
      </c>
      <c r="JV12" s="766"/>
      <c r="JW12" s="766"/>
      <c r="JX12" s="6"/>
      <c r="JY12" s="6">
        <v>1</v>
      </c>
      <c r="JZ12" s="6"/>
      <c r="KA12" s="6"/>
      <c r="KB12" s="6"/>
      <c r="KC12" s="6"/>
      <c r="KD12" s="6">
        <v>1</v>
      </c>
      <c r="KE12" s="6">
        <v>2</v>
      </c>
      <c r="KF12" s="6"/>
      <c r="KG12" s="6">
        <v>1</v>
      </c>
      <c r="KH12" s="6"/>
      <c r="KI12" s="6"/>
      <c r="KJ12" s="770">
        <f>SUM(KF12,KD12,KB12,JZ12,JX12,KH12)</f>
        <v>1</v>
      </c>
      <c r="KK12" s="770">
        <f>SUM(KG12,KE12,KC12,KA12,JY12,KI12)</f>
        <v>4</v>
      </c>
      <c r="KL12" s="770"/>
      <c r="KM12" s="770"/>
      <c r="KN12" s="6" t="s">
        <v>707</v>
      </c>
      <c r="KO12" s="1688"/>
      <c r="KP12" s="6"/>
      <c r="KQ12" s="6"/>
      <c r="KR12" s="6"/>
      <c r="KS12" s="6"/>
      <c r="KT12" s="6"/>
      <c r="KU12" s="6"/>
      <c r="KV12" s="6"/>
      <c r="KW12" s="6">
        <v>1</v>
      </c>
      <c r="KX12" s="6"/>
      <c r="KY12" s="6"/>
      <c r="KZ12" s="6"/>
      <c r="LA12" s="6"/>
      <c r="LB12" s="6"/>
      <c r="LC12" s="6"/>
      <c r="LD12" s="6">
        <v>1</v>
      </c>
      <c r="LE12" s="6">
        <v>2</v>
      </c>
      <c r="LF12" s="6"/>
      <c r="LG12" s="6"/>
      <c r="LH12" s="6"/>
      <c r="LI12" s="6"/>
      <c r="LJ12" s="6"/>
      <c r="LK12" s="6">
        <v>1</v>
      </c>
      <c r="LL12" s="6"/>
      <c r="LM12" s="6"/>
      <c r="LN12" s="766">
        <f>SUM(KP12,KR12,KT12,KV12,KX12,KZ12,LB12,LD12,LF12,LH12,LJ12,LL12)</f>
        <v>1</v>
      </c>
      <c r="LO12" s="766">
        <f>SUM(KQ12,KS12,KU12,KW12,KY12,LA12,LC12,LE12,LG12,LI12,LK12,LM12)</f>
        <v>4</v>
      </c>
      <c r="LP12" s="6">
        <v>1</v>
      </c>
      <c r="LQ12" s="1689">
        <v>1</v>
      </c>
      <c r="LR12" s="6"/>
      <c r="LS12" s="6"/>
      <c r="LT12" s="6"/>
      <c r="LU12" s="6">
        <v>1</v>
      </c>
      <c r="LV12" s="6"/>
      <c r="LW12" s="6"/>
      <c r="LX12" s="769">
        <v>3</v>
      </c>
      <c r="LY12" s="766" t="str">
        <f t="shared" si="0"/>
        <v>within the PROVINCE</v>
      </c>
      <c r="LZ12" s="1024">
        <f>200*24</f>
        <v>4800</v>
      </c>
      <c r="MA12" s="6"/>
      <c r="MB12" s="6"/>
      <c r="MC12" s="1679">
        <f t="shared" si="1"/>
        <v>4800</v>
      </c>
      <c r="MD12" s="1024">
        <v>70000</v>
      </c>
      <c r="ME12" s="1024"/>
      <c r="MF12" s="1024"/>
      <c r="MG12" s="1680">
        <f t="shared" si="2"/>
        <v>70000</v>
      </c>
      <c r="MH12" s="1690" t="s">
        <v>7300</v>
      </c>
      <c r="MI12" s="64">
        <f>AVERAGE(6000,12000)</f>
        <v>9000</v>
      </c>
      <c r="MJ12" s="64">
        <v>2000</v>
      </c>
      <c r="MK12" s="64">
        <v>3000</v>
      </c>
      <c r="ML12" s="64">
        <v>12000</v>
      </c>
      <c r="MM12" s="64"/>
      <c r="MN12" s="64"/>
      <c r="MO12" s="64">
        <v>3000</v>
      </c>
      <c r="MP12" s="64">
        <v>5000</v>
      </c>
      <c r="MQ12" s="64">
        <f>AVERAGE(1200,1500)</f>
        <v>1350</v>
      </c>
      <c r="MR12" s="64">
        <v>1000</v>
      </c>
      <c r="MS12" s="64">
        <v>10000</v>
      </c>
      <c r="MT12" s="64"/>
      <c r="MU12" s="64"/>
      <c r="MV12" s="64"/>
      <c r="MW12" s="64"/>
      <c r="MX12" s="64"/>
      <c r="MY12" s="1682">
        <f t="shared" si="3"/>
        <v>46350</v>
      </c>
      <c r="MZ12" s="6" t="s">
        <v>13004</v>
      </c>
      <c r="NA12" s="6" t="s">
        <v>13005</v>
      </c>
      <c r="NB12" s="6" t="s">
        <v>13006</v>
      </c>
      <c r="NC12" s="766" t="s">
        <v>13007</v>
      </c>
      <c r="ND12" s="6">
        <v>0</v>
      </c>
      <c r="NE12" s="6">
        <v>0</v>
      </c>
      <c r="NF12" s="6">
        <v>1</v>
      </c>
      <c r="NG12" s="6">
        <v>6</v>
      </c>
      <c r="NH12" s="6">
        <v>2</v>
      </c>
      <c r="NI12" s="6">
        <v>1</v>
      </c>
      <c r="NJ12" s="6">
        <v>0</v>
      </c>
      <c r="NK12" s="6">
        <v>0</v>
      </c>
      <c r="NL12" s="6">
        <v>2</v>
      </c>
      <c r="NM12" s="6">
        <v>2</v>
      </c>
      <c r="NN12" s="6">
        <v>0</v>
      </c>
      <c r="NO12" s="6">
        <v>0</v>
      </c>
      <c r="NP12" s="6">
        <v>1</v>
      </c>
      <c r="NQ12" s="6">
        <v>0</v>
      </c>
      <c r="NR12" s="6">
        <v>0</v>
      </c>
      <c r="NS12" s="6">
        <v>0</v>
      </c>
      <c r="NT12" s="6">
        <v>0</v>
      </c>
      <c r="NU12" s="6">
        <v>0</v>
      </c>
      <c r="NV12" s="6">
        <v>2</v>
      </c>
      <c r="NW12" s="6">
        <v>0</v>
      </c>
      <c r="NX12" s="6">
        <v>0</v>
      </c>
      <c r="NY12" s="6" t="s">
        <v>1208</v>
      </c>
      <c r="NZ12" s="6"/>
      <c r="OA12" s="6"/>
      <c r="OB12" s="6" t="s">
        <v>1208</v>
      </c>
      <c r="OC12" s="6" t="s">
        <v>1208</v>
      </c>
      <c r="OD12" s="6"/>
      <c r="OE12" s="6"/>
      <c r="OF12" s="6" t="s">
        <v>2143</v>
      </c>
      <c r="OG12" s="6"/>
      <c r="OH12" s="6"/>
      <c r="OI12" s="6"/>
      <c r="OJ12" s="6"/>
      <c r="OK12" s="1687"/>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1019" t="s">
        <v>1207</v>
      </c>
      <c r="RC12" s="6">
        <v>2012</v>
      </c>
      <c r="RD12" s="6" t="s">
        <v>12989</v>
      </c>
      <c r="RE12" s="6" t="s">
        <v>13008</v>
      </c>
      <c r="RF12" s="1026">
        <f>CONVERT(1,"ft","m")</f>
        <v>0.30480000000000002</v>
      </c>
      <c r="RG12" s="6" t="s">
        <v>12991</v>
      </c>
      <c r="RH12" s="64">
        <f>AVERAGE(15000,20000)</f>
        <v>17500</v>
      </c>
      <c r="RI12" s="6">
        <v>36</v>
      </c>
      <c r="RJ12" s="6" t="s">
        <v>13009</v>
      </c>
      <c r="RK12" s="6" t="s">
        <v>13010</v>
      </c>
      <c r="RL12" s="1691">
        <v>42914</v>
      </c>
      <c r="RM12" s="12" t="s">
        <v>13011</v>
      </c>
      <c r="RN12" s="1710">
        <v>42914</v>
      </c>
      <c r="RO12" s="169" t="s">
        <v>11241</v>
      </c>
      <c r="RP12" s="11"/>
      <c r="RQ12" s="11"/>
      <c r="RR12" s="771"/>
      <c r="RS12" s="6"/>
      <c r="RT12" s="11"/>
      <c r="RU12" s="11"/>
      <c r="RV12" s="6" t="s">
        <v>7419</v>
      </c>
      <c r="RW12" s="11" t="s">
        <v>7566</v>
      </c>
      <c r="RX12" s="11" t="s">
        <v>23</v>
      </c>
      <c r="RY12" s="11">
        <v>22.25</v>
      </c>
      <c r="RZ12" s="11" t="s">
        <v>14136</v>
      </c>
      <c r="SA12" s="766" t="s">
        <v>7419</v>
      </c>
      <c r="SB12" s="11"/>
      <c r="SC12" s="11"/>
    </row>
    <row r="13" spans="1:497" ht="12.75" hidden="1" customHeight="1">
      <c r="A13" s="767" t="s">
        <v>7419</v>
      </c>
      <c r="B13" s="115" t="s">
        <v>11911</v>
      </c>
      <c r="C13" s="168" t="s">
        <v>26</v>
      </c>
      <c r="D13" s="6" t="s">
        <v>5460</v>
      </c>
      <c r="E13" s="6" t="s">
        <v>27</v>
      </c>
      <c r="F13" s="6" t="s">
        <v>42</v>
      </c>
      <c r="G13" s="6" t="s">
        <v>10</v>
      </c>
      <c r="H13" s="6"/>
      <c r="I13" s="1012" t="s">
        <v>29</v>
      </c>
      <c r="J13" s="6" t="s">
        <v>11242</v>
      </c>
      <c r="K13" s="6" t="s">
        <v>14069</v>
      </c>
      <c r="L13" s="6" t="s">
        <v>14070</v>
      </c>
      <c r="M13" s="6"/>
      <c r="N13" s="6" t="s">
        <v>11243</v>
      </c>
      <c r="O13" s="6" t="s">
        <v>11244</v>
      </c>
      <c r="P13" s="843" t="s">
        <v>5460</v>
      </c>
      <c r="Q13" s="1086">
        <v>22771</v>
      </c>
      <c r="R13" s="1015">
        <v>55</v>
      </c>
      <c r="S13" s="6" t="s">
        <v>10</v>
      </c>
      <c r="T13" s="6"/>
      <c r="U13" s="1016" t="s">
        <v>11004</v>
      </c>
      <c r="V13" s="6" t="s">
        <v>707</v>
      </c>
      <c r="W13" s="1016" t="s">
        <v>11245</v>
      </c>
      <c r="X13" s="1014">
        <v>25876</v>
      </c>
      <c r="Y13" s="6" t="s">
        <v>27</v>
      </c>
      <c r="Z13" s="6" t="s">
        <v>708</v>
      </c>
      <c r="AA13" s="6" t="s">
        <v>709</v>
      </c>
      <c r="AB13" s="6" t="s">
        <v>710</v>
      </c>
      <c r="AC13" s="6"/>
      <c r="AD13" s="6" t="s">
        <v>711</v>
      </c>
      <c r="AE13" s="6"/>
      <c r="AF13" s="6"/>
      <c r="AG13" s="6" t="s">
        <v>1095</v>
      </c>
      <c r="AH13" s="766" t="s">
        <v>1096</v>
      </c>
      <c r="AI13" s="6" t="s">
        <v>1108</v>
      </c>
      <c r="AJ13" s="6"/>
      <c r="AK13" s="6" t="s">
        <v>1097</v>
      </c>
      <c r="AL13" s="1017">
        <v>240</v>
      </c>
      <c r="AM13" s="45">
        <v>45.08</v>
      </c>
      <c r="AN13" s="47">
        <f t="shared" si="4"/>
        <v>0.18783333333333332</v>
      </c>
      <c r="AO13" s="6" t="s">
        <v>1109</v>
      </c>
      <c r="AP13" s="6"/>
      <c r="AQ13" s="6"/>
      <c r="AR13" s="6"/>
      <c r="AS13" s="1019" t="s">
        <v>1207</v>
      </c>
      <c r="AT13" s="1019" t="s">
        <v>1208</v>
      </c>
      <c r="AU13" s="1019" t="s">
        <v>1208</v>
      </c>
      <c r="AV13" s="1019"/>
      <c r="AW13" s="1019"/>
      <c r="AX13" s="1019"/>
      <c r="AY13" s="1019"/>
      <c r="AZ13" s="1019"/>
      <c r="BA13" s="1019"/>
      <c r="BB13" s="1019"/>
      <c r="BC13" s="6" t="s">
        <v>1210</v>
      </c>
      <c r="BD13" s="6" t="s">
        <v>1207</v>
      </c>
      <c r="BE13" s="6"/>
      <c r="BF13" s="64"/>
      <c r="BG13" s="64"/>
      <c r="BH13" s="6"/>
      <c r="BI13" s="6"/>
      <c r="BJ13" s="6"/>
      <c r="BK13" s="766"/>
      <c r="BL13" s="6"/>
      <c r="BM13" s="6"/>
      <c r="BN13" s="6"/>
      <c r="BO13" s="1716"/>
      <c r="BP13" s="1716"/>
      <c r="BQ13" s="1716"/>
      <c r="BR13" s="47"/>
      <c r="BS13" s="766"/>
      <c r="BT13" s="766"/>
      <c r="BU13" s="1716"/>
      <c r="BV13" s="766"/>
      <c r="BW13" s="1716"/>
      <c r="BX13" s="96"/>
      <c r="BY13" s="6"/>
      <c r="BZ13" s="64"/>
      <c r="CA13" s="6"/>
      <c r="CB13" s="6"/>
      <c r="CC13" s="6"/>
      <c r="CD13" s="6"/>
      <c r="CE13" s="6"/>
      <c r="CF13" s="1021"/>
      <c r="CG13" s="1021"/>
      <c r="CH13" s="6"/>
      <c r="CI13" s="6"/>
      <c r="CJ13" s="6"/>
      <c r="CK13" s="6"/>
      <c r="CL13" s="6"/>
      <c r="CM13" s="6"/>
      <c r="CN13" s="6"/>
      <c r="CO13" s="6"/>
      <c r="CP13" s="6"/>
      <c r="CQ13" s="6"/>
      <c r="CR13" s="64"/>
      <c r="CS13" s="6"/>
      <c r="CT13" s="6"/>
      <c r="CU13" s="1022"/>
      <c r="CV13" s="6"/>
      <c r="CW13" s="6"/>
      <c r="CX13" s="6"/>
      <c r="CY13" s="6"/>
      <c r="CZ13" s="6"/>
      <c r="DA13" s="6"/>
      <c r="DB13" s="6"/>
      <c r="DC13" s="6"/>
      <c r="DD13" s="6"/>
      <c r="DE13" s="6"/>
      <c r="DF13" s="6"/>
      <c r="DG13" s="6"/>
      <c r="DH13" s="6"/>
      <c r="DI13" s="6"/>
      <c r="DJ13" s="6"/>
      <c r="DK13" s="6"/>
      <c r="DL13" s="6"/>
      <c r="DM13" s="6"/>
      <c r="DN13" s="6"/>
      <c r="DO13" s="6"/>
      <c r="DP13" s="6"/>
      <c r="DQ13" s="6"/>
      <c r="DR13" s="6"/>
      <c r="DS13" s="1023"/>
      <c r="DT13" s="6"/>
      <c r="DU13" s="6"/>
      <c r="DV13" s="6"/>
      <c r="DW13" s="1024"/>
      <c r="DX13" s="1024"/>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4"/>
      <c r="FE13" s="6"/>
      <c r="FF13" s="6"/>
      <c r="FG13" s="6"/>
      <c r="FH13" s="1019"/>
      <c r="FI13" s="1019"/>
      <c r="FJ13" s="6"/>
      <c r="FK13" s="6"/>
      <c r="FL13" s="6"/>
      <c r="FM13" s="64"/>
      <c r="FN13" s="64"/>
      <c r="FO13" s="64"/>
      <c r="FP13" s="1019"/>
      <c r="FQ13" s="1019"/>
      <c r="FR13" s="1019"/>
      <c r="FS13" s="1019"/>
      <c r="FT13" s="1019"/>
      <c r="FU13" s="1019"/>
      <c r="FV13" s="1019"/>
      <c r="FW13" s="1019"/>
      <c r="FX13" s="1019"/>
      <c r="FY13" s="1019"/>
      <c r="FZ13" s="1019"/>
      <c r="GA13" s="1019"/>
      <c r="GB13" s="1019"/>
      <c r="GC13" s="1717"/>
      <c r="GD13" s="1718"/>
      <c r="GE13" s="1019"/>
      <c r="GF13" s="64"/>
      <c r="GG13" s="64"/>
      <c r="GH13" s="6"/>
      <c r="GI13" s="6"/>
      <c r="GJ13" s="6"/>
      <c r="GK13" s="6"/>
      <c r="GL13" s="6"/>
      <c r="GM13" s="6"/>
      <c r="GN13" s="1025"/>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1014"/>
      <c r="IP13" s="6"/>
      <c r="IQ13" s="6"/>
      <c r="IR13" s="1019"/>
      <c r="IS13" s="6"/>
      <c r="IT13" s="6"/>
      <c r="IU13" s="6"/>
      <c r="IV13" s="6"/>
      <c r="IW13" s="6"/>
      <c r="IX13" s="6"/>
      <c r="IY13" s="1012"/>
      <c r="IZ13" s="6"/>
      <c r="JA13" s="6"/>
      <c r="JB13" s="6"/>
      <c r="JC13" s="6"/>
      <c r="JD13" s="64"/>
      <c r="JE13" s="1687"/>
      <c r="JF13" s="1687"/>
      <c r="JG13" s="1687"/>
      <c r="JH13" s="1687"/>
      <c r="JI13" s="1687"/>
      <c r="JJ13" s="6"/>
      <c r="JK13" s="6"/>
      <c r="JL13" s="6"/>
      <c r="JM13" s="6"/>
      <c r="JN13" s="6"/>
      <c r="JO13" s="6"/>
      <c r="JP13" s="6"/>
      <c r="JQ13" s="6"/>
      <c r="JR13" s="6"/>
      <c r="JS13" s="6"/>
      <c r="JT13" s="766"/>
      <c r="JU13" s="766"/>
      <c r="JV13" s="766"/>
      <c r="JW13" s="766"/>
      <c r="JX13" s="6"/>
      <c r="JY13" s="6"/>
      <c r="JZ13" s="6"/>
      <c r="KA13" s="6"/>
      <c r="KB13" s="6"/>
      <c r="KC13" s="6"/>
      <c r="KD13" s="6"/>
      <c r="KE13" s="6"/>
      <c r="KF13" s="6"/>
      <c r="KG13" s="6"/>
      <c r="KH13" s="6"/>
      <c r="KI13" s="6"/>
      <c r="KJ13" s="770"/>
      <c r="KK13" s="770"/>
      <c r="KL13" s="770"/>
      <c r="KM13" s="770"/>
      <c r="KN13" s="6"/>
      <c r="KO13" s="1688"/>
      <c r="KP13" s="6"/>
      <c r="KQ13" s="6"/>
      <c r="KR13" s="6"/>
      <c r="KS13" s="6"/>
      <c r="KT13" s="6"/>
      <c r="KU13" s="6"/>
      <c r="KV13" s="6"/>
      <c r="KW13" s="6"/>
      <c r="KX13" s="6"/>
      <c r="KY13" s="6"/>
      <c r="KZ13" s="6"/>
      <c r="LA13" s="6"/>
      <c r="LB13" s="6"/>
      <c r="LC13" s="6"/>
      <c r="LD13" s="6"/>
      <c r="LE13" s="6"/>
      <c r="LF13" s="6"/>
      <c r="LG13" s="6"/>
      <c r="LH13" s="6"/>
      <c r="LI13" s="6"/>
      <c r="LJ13" s="6"/>
      <c r="LK13" s="6"/>
      <c r="LL13" s="6"/>
      <c r="LM13" s="6"/>
      <c r="LN13" s="766"/>
      <c r="LO13" s="766"/>
      <c r="LP13" s="6"/>
      <c r="LQ13" s="1689"/>
      <c r="LR13" s="6"/>
      <c r="LS13" s="6"/>
      <c r="LT13" s="6"/>
      <c r="LU13" s="6"/>
      <c r="LV13" s="6"/>
      <c r="LW13" s="6"/>
      <c r="LX13" s="769"/>
      <c r="LY13" s="766" t="str">
        <f t="shared" si="0"/>
        <v/>
      </c>
      <c r="LZ13" s="1024"/>
      <c r="MA13" s="6"/>
      <c r="MB13" s="6"/>
      <c r="MC13" s="1679">
        <f t="shared" si="1"/>
        <v>0</v>
      </c>
      <c r="MD13" s="1024"/>
      <c r="ME13" s="1024"/>
      <c r="MF13" s="1024"/>
      <c r="MG13" s="1680">
        <f t="shared" si="2"/>
        <v>0</v>
      </c>
      <c r="MH13" s="1690"/>
      <c r="MI13" s="64"/>
      <c r="MJ13" s="64"/>
      <c r="MK13" s="64"/>
      <c r="ML13" s="64"/>
      <c r="MM13" s="64"/>
      <c r="MN13" s="64"/>
      <c r="MO13" s="64"/>
      <c r="MP13" s="64"/>
      <c r="MQ13" s="64"/>
      <c r="MR13" s="64"/>
      <c r="MS13" s="64"/>
      <c r="MT13" s="64"/>
      <c r="MU13" s="64"/>
      <c r="MV13" s="64"/>
      <c r="MW13" s="64"/>
      <c r="MX13" s="64"/>
      <c r="MY13" s="1682">
        <f t="shared" si="3"/>
        <v>0</v>
      </c>
      <c r="MZ13" s="6"/>
      <c r="NA13" s="6"/>
      <c r="NB13" s="6"/>
      <c r="NC13" s="76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1687"/>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1019"/>
      <c r="RC13" s="6"/>
      <c r="RD13" s="6"/>
      <c r="RE13" s="6"/>
      <c r="RF13" s="1026"/>
      <c r="RG13" s="6"/>
      <c r="RH13" s="64"/>
      <c r="RI13" s="6"/>
      <c r="RJ13" s="6"/>
      <c r="RK13" s="6"/>
      <c r="RL13" s="1691"/>
      <c r="RM13" s="12"/>
      <c r="RN13" s="1710"/>
      <c r="RO13" s="168" t="s">
        <v>26</v>
      </c>
      <c r="RP13" s="11"/>
      <c r="RQ13" s="11"/>
      <c r="RR13" s="771"/>
      <c r="RS13" s="6"/>
      <c r="RT13" s="11"/>
      <c r="RU13" s="11"/>
      <c r="RV13" s="6" t="s">
        <v>7419</v>
      </c>
      <c r="RW13" s="11" t="s">
        <v>12342</v>
      </c>
      <c r="RX13" s="11" t="s">
        <v>25</v>
      </c>
      <c r="RY13" s="11"/>
      <c r="RZ13" s="11"/>
      <c r="SA13" s="6"/>
      <c r="SB13" s="11"/>
      <c r="SC13" s="11"/>
    </row>
    <row r="14" spans="1:497" ht="12.75" hidden="1" customHeight="1">
      <c r="A14" s="154" t="s">
        <v>12373</v>
      </c>
      <c r="B14" s="1123" t="s">
        <v>11257</v>
      </c>
      <c r="C14" s="168" t="s">
        <v>26</v>
      </c>
      <c r="D14" s="6" t="s">
        <v>5460</v>
      </c>
      <c r="E14" s="6" t="s">
        <v>27</v>
      </c>
      <c r="F14" s="6" t="s">
        <v>42</v>
      </c>
      <c r="G14" s="6" t="s">
        <v>10</v>
      </c>
      <c r="H14" s="6"/>
      <c r="I14" s="1012" t="s">
        <v>29</v>
      </c>
      <c r="J14" s="6" t="s">
        <v>11242</v>
      </c>
      <c r="K14" s="6" t="s">
        <v>14071</v>
      </c>
      <c r="L14" s="6" t="s">
        <v>14072</v>
      </c>
      <c r="M14" s="6"/>
      <c r="N14" s="6" t="s">
        <v>11243</v>
      </c>
      <c r="O14" s="6" t="s">
        <v>11244</v>
      </c>
      <c r="P14" s="942" t="s">
        <v>11912</v>
      </c>
      <c r="Q14" s="1087">
        <v>21629</v>
      </c>
      <c r="R14" s="1036">
        <v>58</v>
      </c>
      <c r="S14" s="1032" t="s">
        <v>18</v>
      </c>
      <c r="T14" s="1032"/>
      <c r="U14" s="1037" t="s">
        <v>29</v>
      </c>
      <c r="V14" s="1032" t="s">
        <v>707</v>
      </c>
      <c r="W14" s="1037"/>
      <c r="X14" s="1035"/>
      <c r="Y14" s="1032"/>
      <c r="Z14" s="1032"/>
      <c r="AA14" s="1032"/>
      <c r="AB14" s="1032"/>
      <c r="AC14" s="1032"/>
      <c r="AD14" s="1032"/>
      <c r="AE14" s="1032"/>
      <c r="AF14" s="1032"/>
      <c r="AG14" s="6"/>
      <c r="AH14" s="6"/>
      <c r="AI14" s="6"/>
      <c r="AJ14" s="6"/>
      <c r="AK14" s="766" t="s">
        <v>5454</v>
      </c>
      <c r="AL14" s="1017"/>
      <c r="AM14" s="45"/>
      <c r="AN14" s="47"/>
      <c r="AO14" s="6"/>
      <c r="AP14" s="6"/>
      <c r="AQ14" s="6"/>
      <c r="AR14" s="6"/>
      <c r="AS14" s="6"/>
      <c r="AT14" s="6"/>
      <c r="AU14" s="6"/>
      <c r="AV14" s="6"/>
      <c r="AW14" s="6"/>
      <c r="AX14" s="6"/>
      <c r="AY14" s="6"/>
      <c r="AZ14" s="6"/>
      <c r="BA14" s="6"/>
      <c r="BB14" s="6"/>
      <c r="BC14" s="12"/>
      <c r="BD14" s="12"/>
      <c r="BE14" s="6"/>
      <c r="BF14" s="64"/>
      <c r="BG14" s="64"/>
      <c r="BH14" s="6"/>
      <c r="BI14" s="6"/>
      <c r="BJ14" s="6"/>
      <c r="BK14" s="6" t="s">
        <v>1095</v>
      </c>
      <c r="BL14" s="6" t="s">
        <v>11005</v>
      </c>
      <c r="BM14" s="6" t="s">
        <v>1096</v>
      </c>
      <c r="BN14" s="6" t="s">
        <v>1230</v>
      </c>
      <c r="BO14" s="6" t="s">
        <v>1252</v>
      </c>
      <c r="BP14" s="60">
        <v>53.8</v>
      </c>
      <c r="BQ14" s="45">
        <v>45.66</v>
      </c>
      <c r="BR14" s="47">
        <f>BQ14/BP14</f>
        <v>0.8486988847583643</v>
      </c>
      <c r="BS14" s="766" t="s">
        <v>1105</v>
      </c>
      <c r="BT14" s="766" t="s">
        <v>8133</v>
      </c>
      <c r="BU14" s="1716" t="s">
        <v>11246</v>
      </c>
      <c r="BV14" s="6" t="s">
        <v>1247</v>
      </c>
      <c r="BW14" s="6"/>
      <c r="BX14" s="96"/>
      <c r="BY14" s="6"/>
      <c r="BZ14" s="64"/>
      <c r="CA14" s="6"/>
      <c r="CB14" s="6" t="s">
        <v>1207</v>
      </c>
      <c r="CC14" s="6"/>
      <c r="CD14" s="6"/>
      <c r="CE14" s="6"/>
      <c r="CF14" s="6"/>
      <c r="CG14" s="6"/>
      <c r="CH14" s="6"/>
      <c r="CI14" s="6"/>
      <c r="CJ14" s="6"/>
      <c r="CK14" s="6"/>
      <c r="CL14" s="6"/>
      <c r="CM14" s="6"/>
      <c r="CN14" s="6"/>
      <c r="CO14" s="6"/>
      <c r="CP14" s="6"/>
      <c r="CQ14" s="6"/>
      <c r="CR14" s="64"/>
      <c r="CS14" s="6"/>
      <c r="CT14" s="6"/>
      <c r="CU14" s="1022"/>
      <c r="CV14" s="6"/>
      <c r="CW14" s="6"/>
      <c r="CX14" s="6"/>
      <c r="CY14" s="6"/>
      <c r="CZ14" s="6"/>
      <c r="DA14" s="6"/>
      <c r="DB14" s="6"/>
      <c r="DC14" s="6"/>
      <c r="DD14" s="6"/>
      <c r="DE14" s="6"/>
      <c r="DF14" s="6"/>
      <c r="DG14" s="6"/>
      <c r="DH14" s="6"/>
      <c r="DI14" s="6"/>
      <c r="DJ14" s="6"/>
      <c r="DK14" s="6"/>
      <c r="DL14" s="6"/>
      <c r="DM14" s="6"/>
      <c r="DN14" s="6"/>
      <c r="DO14" s="6"/>
      <c r="DP14" s="6"/>
      <c r="DQ14" s="6"/>
      <c r="DR14" s="6"/>
      <c r="DS14" s="1023"/>
      <c r="DT14" s="6"/>
      <c r="DU14" s="6"/>
      <c r="DV14" s="6"/>
      <c r="DW14" s="1024"/>
      <c r="DX14" s="1024"/>
      <c r="DY14" s="6"/>
      <c r="DZ14" s="6"/>
      <c r="EA14" s="6"/>
      <c r="EB14" s="6"/>
      <c r="EC14" s="6"/>
      <c r="ED14" s="6"/>
      <c r="EE14" s="6"/>
      <c r="EF14" s="6"/>
      <c r="EG14" s="6"/>
      <c r="EH14" s="6"/>
      <c r="EI14" s="6"/>
      <c r="EJ14" s="6"/>
      <c r="EK14" s="6"/>
      <c r="EL14" s="6"/>
      <c r="EM14" s="6"/>
      <c r="EN14" s="6"/>
      <c r="EO14" s="6"/>
      <c r="EP14" s="6"/>
      <c r="EQ14" s="6"/>
      <c r="ER14" s="6" t="s">
        <v>11005</v>
      </c>
      <c r="ES14" s="6">
        <v>20.64</v>
      </c>
      <c r="ET14" s="6">
        <v>11.04</v>
      </c>
      <c r="EU14" s="6" t="s">
        <v>1105</v>
      </c>
      <c r="EV14" s="6"/>
      <c r="EW14" s="6"/>
      <c r="EX14" s="6" t="s">
        <v>11255</v>
      </c>
      <c r="EY14" s="6"/>
      <c r="EZ14" s="6"/>
      <c r="FA14" s="6"/>
      <c r="FB14" s="6"/>
      <c r="FC14" s="6"/>
      <c r="FD14" s="64"/>
      <c r="FE14" s="6"/>
      <c r="FF14" s="6"/>
      <c r="FG14" s="6"/>
      <c r="FH14" s="6" t="s">
        <v>478</v>
      </c>
      <c r="FI14" s="6">
        <v>1</v>
      </c>
      <c r="FJ14" s="1019"/>
      <c r="FK14" s="1019"/>
      <c r="FL14" s="1019"/>
      <c r="FM14" s="1027"/>
      <c r="FN14" s="1027"/>
      <c r="FO14" s="1027"/>
      <c r="FP14" s="6" t="s">
        <v>1602</v>
      </c>
      <c r="FQ14" s="6" t="s">
        <v>1660</v>
      </c>
      <c r="FR14" s="6" t="s">
        <v>1207</v>
      </c>
      <c r="FS14" s="6"/>
      <c r="FT14" s="6" t="s">
        <v>1208</v>
      </c>
      <c r="FU14" s="6"/>
      <c r="FV14" s="6"/>
      <c r="FW14" s="6"/>
      <c r="FX14" s="6"/>
      <c r="FY14" s="6"/>
      <c r="FZ14" s="6"/>
      <c r="GA14" s="6"/>
      <c r="GB14" s="6" t="s">
        <v>853</v>
      </c>
      <c r="GC14" s="1028" t="s">
        <v>1697</v>
      </c>
      <c r="GD14" s="1015">
        <v>2015</v>
      </c>
      <c r="GE14" s="6" t="s">
        <v>1698</v>
      </c>
      <c r="GF14" s="64"/>
      <c r="GG14" s="64"/>
      <c r="GH14" s="6"/>
      <c r="GI14" s="6"/>
      <c r="GJ14" s="6"/>
      <c r="GK14" s="6"/>
      <c r="GL14" s="6"/>
      <c r="GM14" s="6"/>
      <c r="GN14" s="1025"/>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1014"/>
      <c r="IP14" s="6"/>
      <c r="IQ14" s="6"/>
      <c r="IR14" s="6"/>
      <c r="IS14" s="6"/>
      <c r="IT14" s="6"/>
      <c r="IU14" s="6"/>
      <c r="IV14" s="6"/>
      <c r="IW14" s="6"/>
      <c r="IX14" s="6"/>
      <c r="IY14" s="6"/>
      <c r="IZ14" s="6"/>
      <c r="JA14" s="6"/>
      <c r="JB14" s="6"/>
      <c r="JC14" s="6"/>
      <c r="JD14" s="64"/>
      <c r="JE14" s="1687"/>
      <c r="JF14" s="1687"/>
      <c r="JG14" s="1687"/>
      <c r="JH14" s="1687"/>
      <c r="JI14" s="1687"/>
      <c r="JJ14" s="1032"/>
      <c r="JK14" s="1032"/>
      <c r="JL14" s="1032"/>
      <c r="JM14" s="1032"/>
      <c r="JN14" s="1032"/>
      <c r="JO14" s="1032"/>
      <c r="JP14" s="1032"/>
      <c r="JQ14" s="1032"/>
      <c r="JR14" s="1032"/>
      <c r="JS14" s="1032"/>
      <c r="JT14" s="766"/>
      <c r="JU14" s="766"/>
      <c r="JV14" s="766"/>
      <c r="JW14" s="766"/>
      <c r="JX14" s="1032"/>
      <c r="JY14" s="1032"/>
      <c r="JZ14" s="1032"/>
      <c r="KA14" s="1032"/>
      <c r="KB14" s="1032"/>
      <c r="KC14" s="1032"/>
      <c r="KD14" s="1032"/>
      <c r="KE14" s="1032"/>
      <c r="KF14" s="1032"/>
      <c r="KG14" s="1032"/>
      <c r="KH14" s="1032"/>
      <c r="KI14" s="1032"/>
      <c r="KJ14" s="770"/>
      <c r="KK14" s="770"/>
      <c r="KL14" s="770"/>
      <c r="KM14" s="770"/>
      <c r="KN14" s="1032"/>
      <c r="KO14" s="1692"/>
      <c r="KP14" s="1032"/>
      <c r="KQ14" s="1032"/>
      <c r="KR14" s="1032"/>
      <c r="KS14" s="1032"/>
      <c r="KT14" s="1032"/>
      <c r="KU14" s="1032"/>
      <c r="KV14" s="1032"/>
      <c r="KW14" s="1032"/>
      <c r="KX14" s="1032"/>
      <c r="KY14" s="1032"/>
      <c r="KZ14" s="1032"/>
      <c r="LA14" s="1032"/>
      <c r="LB14" s="1032"/>
      <c r="LC14" s="1032"/>
      <c r="LD14" s="1032"/>
      <c r="LE14" s="1032"/>
      <c r="LF14" s="1032"/>
      <c r="LG14" s="1032"/>
      <c r="LH14" s="1032"/>
      <c r="LI14" s="1032"/>
      <c r="LJ14" s="1032"/>
      <c r="LK14" s="1032"/>
      <c r="LL14" s="1032"/>
      <c r="LM14" s="1032"/>
      <c r="LN14" s="766"/>
      <c r="LO14" s="766"/>
      <c r="LP14" s="1032"/>
      <c r="LQ14" s="1689"/>
      <c r="LR14" s="6"/>
      <c r="LS14" s="6"/>
      <c r="LT14" s="6"/>
      <c r="LU14" s="6"/>
      <c r="LV14" s="6"/>
      <c r="LW14" s="6"/>
      <c r="LX14" s="1693"/>
      <c r="LY14" s="766" t="str">
        <f t="shared" si="0"/>
        <v/>
      </c>
      <c r="LZ14" s="1694"/>
      <c r="MA14" s="1694"/>
      <c r="MB14" s="1694"/>
      <c r="MC14" s="1679">
        <f t="shared" si="1"/>
        <v>0</v>
      </c>
      <c r="MD14" s="1694"/>
      <c r="ME14" s="1694"/>
      <c r="MF14" s="1694"/>
      <c r="MG14" s="1680">
        <f t="shared" si="2"/>
        <v>0</v>
      </c>
      <c r="MH14" s="1690"/>
      <c r="MI14" s="64"/>
      <c r="MJ14" s="64"/>
      <c r="MK14" s="64"/>
      <c r="ML14" s="64"/>
      <c r="MM14" s="64"/>
      <c r="MN14" s="64"/>
      <c r="MO14" s="64"/>
      <c r="MP14" s="64"/>
      <c r="MQ14" s="64"/>
      <c r="MR14" s="64"/>
      <c r="MS14" s="64"/>
      <c r="MT14" s="64"/>
      <c r="MU14" s="64"/>
      <c r="MV14" s="64"/>
      <c r="MW14" s="64"/>
      <c r="MX14" s="64"/>
      <c r="MY14" s="1682">
        <f t="shared" si="3"/>
        <v>0</v>
      </c>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1687"/>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1026"/>
      <c r="RG14" s="6"/>
      <c r="RH14" s="64"/>
      <c r="RI14" s="6"/>
      <c r="RJ14" s="6" t="s">
        <v>13012</v>
      </c>
      <c r="RK14" s="6" t="s">
        <v>13013</v>
      </c>
      <c r="RL14" s="1691">
        <v>42913</v>
      </c>
      <c r="RM14" s="12"/>
      <c r="RN14" s="1711"/>
      <c r="RO14" s="168" t="s">
        <v>26</v>
      </c>
      <c r="RP14" s="11"/>
      <c r="RQ14" s="11"/>
      <c r="RR14" s="771"/>
      <c r="RS14" s="6"/>
      <c r="RT14" s="11"/>
      <c r="RU14" s="11"/>
      <c r="RV14" s="6" t="s">
        <v>7419</v>
      </c>
      <c r="RW14" s="11" t="s">
        <v>11256</v>
      </c>
      <c r="RX14" s="11" t="s">
        <v>11241</v>
      </c>
      <c r="RY14" s="11">
        <v>45.2</v>
      </c>
      <c r="RZ14" s="11"/>
      <c r="SA14" s="6"/>
      <c r="SB14" s="11"/>
      <c r="SC14" s="11"/>
    </row>
    <row r="15" spans="1:497" ht="12.75" hidden="1" customHeight="1">
      <c r="A15" s="154" t="s">
        <v>7419</v>
      </c>
      <c r="B15" s="288" t="s">
        <v>7567</v>
      </c>
      <c r="C15" s="168" t="s">
        <v>30</v>
      </c>
      <c r="D15" s="766" t="s">
        <v>31</v>
      </c>
      <c r="E15" s="766" t="s">
        <v>7937</v>
      </c>
      <c r="F15" s="766" t="s">
        <v>20</v>
      </c>
      <c r="G15" s="766" t="s">
        <v>18</v>
      </c>
      <c r="H15" s="766"/>
      <c r="I15" s="5" t="s">
        <v>33</v>
      </c>
      <c r="J15" s="766" t="s">
        <v>34</v>
      </c>
      <c r="K15" s="766"/>
      <c r="L15" s="766"/>
      <c r="M15" s="766"/>
      <c r="N15" s="766"/>
      <c r="O15" s="766"/>
      <c r="P15" s="14" t="s">
        <v>706</v>
      </c>
      <c r="Q15" s="1085">
        <v>26293</v>
      </c>
      <c r="R15" s="25">
        <v>45</v>
      </c>
      <c r="S15" s="766" t="s">
        <v>10</v>
      </c>
      <c r="T15" s="766" t="s">
        <v>1885</v>
      </c>
      <c r="U15" s="26" t="s">
        <v>5343</v>
      </c>
      <c r="V15" s="766" t="s">
        <v>707</v>
      </c>
      <c r="W15" s="766"/>
      <c r="X15" s="766"/>
      <c r="Y15" s="766" t="s">
        <v>32</v>
      </c>
      <c r="Z15" s="766" t="s">
        <v>708</v>
      </c>
      <c r="AA15" s="766" t="s">
        <v>709</v>
      </c>
      <c r="AB15" s="766" t="s">
        <v>710</v>
      </c>
      <c r="AC15" s="766"/>
      <c r="AD15" s="766" t="s">
        <v>711</v>
      </c>
      <c r="AE15" s="766"/>
      <c r="AF15" s="766" t="s">
        <v>712</v>
      </c>
      <c r="AG15" s="766" t="s">
        <v>1095</v>
      </c>
      <c r="AH15" s="766" t="s">
        <v>1096</v>
      </c>
      <c r="AI15" s="766" t="s">
        <v>1110</v>
      </c>
      <c r="AJ15" s="766"/>
      <c r="AK15" s="766" t="s">
        <v>1097</v>
      </c>
      <c r="AL15" s="120">
        <v>240</v>
      </c>
      <c r="AM15" s="772">
        <v>56.7</v>
      </c>
      <c r="AN15" s="37">
        <f t="shared" si="4"/>
        <v>0.23625000000000002</v>
      </c>
      <c r="AO15" s="766" t="s">
        <v>1149</v>
      </c>
      <c r="AP15" s="766"/>
      <c r="AQ15" s="766"/>
      <c r="AR15" s="766"/>
      <c r="AS15" s="766" t="s">
        <v>1207</v>
      </c>
      <c r="AT15" s="766" t="s">
        <v>1208</v>
      </c>
      <c r="AU15" s="766"/>
      <c r="AV15" s="766"/>
      <c r="AW15" s="766"/>
      <c r="AX15" s="766"/>
      <c r="AY15" s="766"/>
      <c r="AZ15" s="766"/>
      <c r="BA15" s="766"/>
      <c r="BB15" s="766"/>
      <c r="BC15" s="766" t="s">
        <v>853</v>
      </c>
      <c r="BD15" s="766" t="s">
        <v>1207</v>
      </c>
      <c r="BE15" s="766"/>
      <c r="BF15" s="775"/>
      <c r="BG15" s="775"/>
      <c r="BH15" s="766"/>
      <c r="BI15" s="766"/>
      <c r="BJ15" s="766"/>
      <c r="BK15" s="766" t="s">
        <v>1095</v>
      </c>
      <c r="BL15" s="766" t="s">
        <v>1110</v>
      </c>
      <c r="BM15" s="766" t="s">
        <v>8108</v>
      </c>
      <c r="BN15" s="766" t="s">
        <v>1230</v>
      </c>
      <c r="BO15" s="766" t="s">
        <v>1239</v>
      </c>
      <c r="BP15" s="776">
        <v>177.84</v>
      </c>
      <c r="BQ15" s="772">
        <v>23.85</v>
      </c>
      <c r="BR15" s="774">
        <f>BQ15/BP15</f>
        <v>0.13410931174089069</v>
      </c>
      <c r="BS15" s="766" t="s">
        <v>1242</v>
      </c>
      <c r="BT15" s="766" t="s">
        <v>2040</v>
      </c>
      <c r="BU15" s="766" t="s">
        <v>1241</v>
      </c>
      <c r="BV15" s="766" t="s">
        <v>1243</v>
      </c>
      <c r="BW15" s="766">
        <v>2012</v>
      </c>
      <c r="BX15" s="779">
        <v>800000</v>
      </c>
      <c r="BY15" s="766" t="s">
        <v>1207</v>
      </c>
      <c r="BZ15" s="775">
        <v>3000000</v>
      </c>
      <c r="CA15" s="766"/>
      <c r="CB15" s="766" t="s">
        <v>1207</v>
      </c>
      <c r="CC15" s="766" t="s">
        <v>1438</v>
      </c>
      <c r="CD15" s="766"/>
      <c r="CE15" s="766"/>
      <c r="CF15" s="231">
        <v>2.7</v>
      </c>
      <c r="CG15" s="231">
        <v>9</v>
      </c>
      <c r="CH15" s="766" t="s">
        <v>1439</v>
      </c>
      <c r="CI15" s="12" t="s">
        <v>11258</v>
      </c>
      <c r="CJ15" s="766" t="s">
        <v>5088</v>
      </c>
      <c r="CK15" s="766">
        <v>3</v>
      </c>
      <c r="CL15" s="766" t="s">
        <v>1240</v>
      </c>
      <c r="CM15" s="766" t="s">
        <v>1440</v>
      </c>
      <c r="CN15" s="766"/>
      <c r="CO15" s="766" t="s">
        <v>1268</v>
      </c>
      <c r="CP15" s="766"/>
      <c r="CQ15" s="766"/>
      <c r="CR15" s="775"/>
      <c r="CS15" s="766"/>
      <c r="CT15" s="766"/>
      <c r="CU15" s="129"/>
      <c r="CV15" s="766"/>
      <c r="CW15" s="766"/>
      <c r="CX15" s="766"/>
      <c r="CY15" s="766"/>
      <c r="CZ15" s="766"/>
      <c r="DA15" s="766"/>
      <c r="DB15" s="766"/>
      <c r="DC15" s="766"/>
      <c r="DD15" s="766"/>
      <c r="DE15" s="766"/>
      <c r="DF15" s="766"/>
      <c r="DG15" s="766"/>
      <c r="DH15" s="766"/>
      <c r="DI15" s="766"/>
      <c r="DJ15" s="766"/>
      <c r="DK15" s="766"/>
      <c r="DL15" s="766"/>
      <c r="DM15" s="766"/>
      <c r="DN15" s="766"/>
      <c r="DO15" s="766"/>
      <c r="DP15" s="766"/>
      <c r="DQ15" s="766"/>
      <c r="DR15" s="766"/>
      <c r="DS15" s="59"/>
      <c r="DT15" s="766"/>
      <c r="DU15" s="766"/>
      <c r="DV15" s="766"/>
      <c r="DW15" s="66"/>
      <c r="DX15" s="66"/>
      <c r="DY15" s="766"/>
      <c r="DZ15" s="766"/>
      <c r="EA15" s="766"/>
      <c r="EB15" s="766"/>
      <c r="EC15" s="766"/>
      <c r="ED15" s="766"/>
      <c r="EE15" s="766"/>
      <c r="EF15" s="766"/>
      <c r="EG15" s="766"/>
      <c r="EH15" s="766"/>
      <c r="EI15" s="766"/>
      <c r="EJ15" s="766"/>
      <c r="EK15" s="766"/>
      <c r="EL15" s="766"/>
      <c r="EM15" s="766"/>
      <c r="EN15" s="766"/>
      <c r="EO15" s="766"/>
      <c r="EP15" s="766"/>
      <c r="EQ15" s="766"/>
      <c r="ER15" s="766"/>
      <c r="ES15" s="766"/>
      <c r="ET15" s="766"/>
      <c r="EU15" s="766"/>
      <c r="EV15" s="766"/>
      <c r="EW15" s="766"/>
      <c r="EX15" s="766"/>
      <c r="EY15" s="766"/>
      <c r="EZ15" s="766"/>
      <c r="FA15" s="766"/>
      <c r="FB15" s="766"/>
      <c r="FC15" s="766"/>
      <c r="FD15" s="775"/>
      <c r="FE15" s="766"/>
      <c r="FF15" s="766"/>
      <c r="FG15" s="766"/>
      <c r="FH15" s="766" t="s">
        <v>478</v>
      </c>
      <c r="FI15" s="766">
        <v>1</v>
      </c>
      <c r="FJ15" s="766"/>
      <c r="FK15" s="766"/>
      <c r="FL15" s="766"/>
      <c r="FM15" s="775"/>
      <c r="FN15" s="775"/>
      <c r="FO15" s="775"/>
      <c r="FP15" s="766" t="s">
        <v>1600</v>
      </c>
      <c r="FQ15" s="766" t="s">
        <v>1642</v>
      </c>
      <c r="FR15" s="766" t="s">
        <v>1207</v>
      </c>
      <c r="FS15" s="766" t="s">
        <v>1208</v>
      </c>
      <c r="FT15" s="766" t="s">
        <v>1208</v>
      </c>
      <c r="FU15" s="766"/>
      <c r="FV15" s="766"/>
      <c r="FW15" s="766" t="s">
        <v>1208</v>
      </c>
      <c r="FX15" s="766" t="s">
        <v>1208</v>
      </c>
      <c r="FY15" s="766"/>
      <c r="FZ15" s="766"/>
      <c r="GA15" s="766"/>
      <c r="GB15" s="766" t="s">
        <v>853</v>
      </c>
      <c r="GC15" s="75" t="s">
        <v>1110</v>
      </c>
      <c r="GD15" s="25"/>
      <c r="GE15" s="766" t="s">
        <v>1698</v>
      </c>
      <c r="GF15" s="775"/>
      <c r="GG15" s="775"/>
      <c r="GH15" s="766"/>
      <c r="GI15" s="766"/>
      <c r="GJ15" s="766"/>
      <c r="GK15" s="766"/>
      <c r="GL15" s="766"/>
      <c r="GM15" s="766"/>
      <c r="GN15" s="82"/>
      <c r="GO15" s="766"/>
      <c r="GP15" s="766"/>
      <c r="GQ15" s="766"/>
      <c r="GR15" s="766"/>
      <c r="GS15" s="766"/>
      <c r="GT15" s="766"/>
      <c r="GU15" s="766"/>
      <c r="GV15" s="766"/>
      <c r="GW15" s="766"/>
      <c r="GX15" s="766"/>
      <c r="GY15" s="766"/>
      <c r="GZ15" s="766"/>
      <c r="HA15" s="766"/>
      <c r="HB15" s="766"/>
      <c r="HC15" s="766"/>
      <c r="HD15" s="766"/>
      <c r="HE15" s="766"/>
      <c r="HF15" s="766"/>
      <c r="HG15" s="766"/>
      <c r="HH15" s="766"/>
      <c r="HI15" s="766"/>
      <c r="HJ15" s="766"/>
      <c r="HK15" s="766"/>
      <c r="HL15" s="766"/>
      <c r="HM15" s="766"/>
      <c r="HN15" s="766"/>
      <c r="HO15" s="766"/>
      <c r="HP15" s="766"/>
      <c r="HQ15" s="766"/>
      <c r="HR15" s="766"/>
      <c r="HS15" s="766"/>
      <c r="HT15" s="766"/>
      <c r="HU15" s="766"/>
      <c r="HV15" s="766"/>
      <c r="HW15" s="766"/>
      <c r="HX15" s="766"/>
      <c r="HY15" s="766"/>
      <c r="HZ15" s="766"/>
      <c r="IA15" s="766"/>
      <c r="IB15" s="766"/>
      <c r="IC15" s="766"/>
      <c r="ID15" s="766"/>
      <c r="IE15" s="766"/>
      <c r="IF15" s="766"/>
      <c r="IG15" s="766"/>
      <c r="IH15" s="766"/>
      <c r="II15" s="766"/>
      <c r="IJ15" s="766"/>
      <c r="IK15" s="766"/>
      <c r="IL15" s="766"/>
      <c r="IM15" s="766"/>
      <c r="IN15" s="766"/>
      <c r="IO15" s="766"/>
      <c r="IP15" s="775"/>
      <c r="IQ15" s="766"/>
      <c r="IR15" s="775"/>
      <c r="IS15" s="76"/>
      <c r="IT15" s="76"/>
      <c r="IU15" s="76"/>
      <c r="IV15" s="76"/>
      <c r="IW15" s="766"/>
      <c r="IX15" s="766"/>
      <c r="IY15" s="766"/>
      <c r="IZ15" s="766"/>
      <c r="JA15" s="766"/>
      <c r="JB15" s="775"/>
      <c r="JC15" s="766"/>
      <c r="JD15" s="775"/>
      <c r="JE15" s="76"/>
      <c r="JF15" s="76"/>
      <c r="JG15" s="76"/>
      <c r="JH15" s="76"/>
      <c r="JI15" s="76"/>
      <c r="JJ15" s="766">
        <v>5</v>
      </c>
      <c r="JK15" s="766" t="s">
        <v>2042</v>
      </c>
      <c r="JL15" s="766"/>
      <c r="JM15" s="766"/>
      <c r="JN15" s="766">
        <v>2</v>
      </c>
      <c r="JO15" s="766">
        <v>3</v>
      </c>
      <c r="JP15" s="766"/>
      <c r="JQ15" s="766"/>
      <c r="JR15" s="766"/>
      <c r="JS15" s="766"/>
      <c r="JT15" s="766">
        <f>SUM(JP15,JN15,JL15,JR15)</f>
        <v>2</v>
      </c>
      <c r="JU15" s="766">
        <f>SUM(JQ15,JO15,JM15,JS15)</f>
        <v>3</v>
      </c>
      <c r="JV15" s="766"/>
      <c r="JW15" s="766"/>
      <c r="JX15" s="766"/>
      <c r="JY15" s="766"/>
      <c r="JZ15" s="766"/>
      <c r="KA15" s="766"/>
      <c r="KB15" s="766">
        <v>1</v>
      </c>
      <c r="KC15" s="766">
        <v>1</v>
      </c>
      <c r="KD15" s="766">
        <v>1</v>
      </c>
      <c r="KE15" s="766">
        <v>2</v>
      </c>
      <c r="KF15" s="766"/>
      <c r="KG15" s="766"/>
      <c r="KH15" s="766"/>
      <c r="KI15" s="766"/>
      <c r="KJ15" s="770">
        <f>SUM(KF15,KD15,KB15,JZ15,JX15,KH15)</f>
        <v>2</v>
      </c>
      <c r="KK15" s="770">
        <f>SUM(KG15,KE15,KC15,KA15,JY15,KI15)</f>
        <v>3</v>
      </c>
      <c r="KL15" s="770"/>
      <c r="KM15" s="770"/>
      <c r="KN15" s="766" t="s">
        <v>707</v>
      </c>
      <c r="KO15" s="28"/>
      <c r="KP15" s="766"/>
      <c r="KQ15" s="766"/>
      <c r="KR15" s="766"/>
      <c r="KS15" s="766"/>
      <c r="KT15" s="766"/>
      <c r="KU15" s="766"/>
      <c r="KV15" s="766"/>
      <c r="KW15" s="766"/>
      <c r="KX15" s="766">
        <v>1</v>
      </c>
      <c r="KY15" s="766"/>
      <c r="KZ15" s="766"/>
      <c r="LA15" s="766">
        <v>1</v>
      </c>
      <c r="LB15" s="766"/>
      <c r="LC15" s="766">
        <v>1</v>
      </c>
      <c r="LD15" s="766">
        <v>1</v>
      </c>
      <c r="LE15" s="766">
        <v>1</v>
      </c>
      <c r="LF15" s="766"/>
      <c r="LG15" s="766"/>
      <c r="LH15" s="766"/>
      <c r="LI15" s="766"/>
      <c r="LJ15" s="766"/>
      <c r="LK15" s="766"/>
      <c r="LL15" s="766"/>
      <c r="LM15" s="766"/>
      <c r="LN15" s="766">
        <f>SUM(KP15,KR15,KT15,KV15,KX15,KZ15,LB15,LD15,LF15,LH15,LJ15,LL15)</f>
        <v>2</v>
      </c>
      <c r="LO15" s="766">
        <f>SUM(KQ15,KS15,KU15,KW15,KY15,LA15,LC15,LE15,LG15,LI15,LK15,LM15)</f>
        <v>3</v>
      </c>
      <c r="LP15" s="766">
        <v>2</v>
      </c>
      <c r="LQ15" s="1678">
        <v>2</v>
      </c>
      <c r="LR15" s="1681"/>
      <c r="LS15" s="766"/>
      <c r="LT15" s="766"/>
      <c r="LU15" s="766">
        <v>2</v>
      </c>
      <c r="LV15" s="766"/>
      <c r="LW15" s="766"/>
      <c r="LX15" s="769">
        <v>3</v>
      </c>
      <c r="LY15" s="766" t="str">
        <f t="shared" si="0"/>
        <v>within the PROVINCE</v>
      </c>
      <c r="LZ15" s="66">
        <v>9000</v>
      </c>
      <c r="MA15" s="28"/>
      <c r="MB15" s="766"/>
      <c r="MC15" s="1679">
        <f t="shared" si="1"/>
        <v>9000</v>
      </c>
      <c r="MD15" s="66">
        <v>300000</v>
      </c>
      <c r="ME15" s="66"/>
      <c r="MF15" s="66"/>
      <c r="MG15" s="1680">
        <f t="shared" si="2"/>
        <v>300000</v>
      </c>
      <c r="MH15" s="1681" t="s">
        <v>13014</v>
      </c>
      <c r="MI15" s="775">
        <v>20000</v>
      </c>
      <c r="MJ15" s="775">
        <v>700</v>
      </c>
      <c r="MK15" s="775">
        <v>10000</v>
      </c>
      <c r="ML15" s="775">
        <v>80000</v>
      </c>
      <c r="MM15" s="775">
        <f>QUOTIENT(300000,12)</f>
        <v>25000</v>
      </c>
      <c r="MN15" s="775"/>
      <c r="MO15" s="775">
        <v>20000</v>
      </c>
      <c r="MP15" s="775">
        <v>15000</v>
      </c>
      <c r="MQ15" s="775">
        <v>10000</v>
      </c>
      <c r="MR15" s="775">
        <v>5000</v>
      </c>
      <c r="MS15" s="775">
        <v>50000</v>
      </c>
      <c r="MT15" s="775"/>
      <c r="MU15" s="775"/>
      <c r="MV15" s="775"/>
      <c r="MW15" s="775"/>
      <c r="MX15" s="775"/>
      <c r="MY15" s="1682">
        <f t="shared" si="3"/>
        <v>235700</v>
      </c>
      <c r="MZ15" s="766" t="s">
        <v>13004</v>
      </c>
      <c r="NA15" s="766" t="s">
        <v>13015</v>
      </c>
      <c r="NB15" s="766" t="s">
        <v>13016</v>
      </c>
      <c r="NC15" s="766" t="s">
        <v>13007</v>
      </c>
      <c r="ND15" s="766">
        <v>0</v>
      </c>
      <c r="NE15" s="766">
        <v>0</v>
      </c>
      <c r="NF15" s="766">
        <v>1</v>
      </c>
      <c r="NG15" s="766">
        <v>1</v>
      </c>
      <c r="NH15" s="766">
        <v>1</v>
      </c>
      <c r="NI15" s="766">
        <v>1</v>
      </c>
      <c r="NJ15" s="766">
        <v>0</v>
      </c>
      <c r="NK15" s="766">
        <v>0</v>
      </c>
      <c r="NL15" s="766">
        <v>1</v>
      </c>
      <c r="NM15" s="766">
        <v>0</v>
      </c>
      <c r="NN15" s="766">
        <v>0</v>
      </c>
      <c r="NO15" s="766">
        <v>0</v>
      </c>
      <c r="NP15" s="766">
        <v>0</v>
      </c>
      <c r="NQ15" s="766">
        <v>1</v>
      </c>
      <c r="NR15" s="766">
        <v>0</v>
      </c>
      <c r="NS15" s="766">
        <v>0</v>
      </c>
      <c r="NT15" s="766">
        <v>0</v>
      </c>
      <c r="NU15" s="766">
        <v>0</v>
      </c>
      <c r="NV15" s="766"/>
      <c r="NW15" s="766">
        <v>0</v>
      </c>
      <c r="NX15" s="766">
        <v>0</v>
      </c>
      <c r="NY15" s="766" t="s">
        <v>1208</v>
      </c>
      <c r="NZ15" s="766" t="s">
        <v>1208</v>
      </c>
      <c r="OA15" s="766" t="s">
        <v>1208</v>
      </c>
      <c r="OB15" s="766" t="s">
        <v>1208</v>
      </c>
      <c r="OC15" s="766" t="s">
        <v>1208</v>
      </c>
      <c r="OD15" s="766" t="s">
        <v>1208</v>
      </c>
      <c r="OE15" s="766"/>
      <c r="OF15" s="766"/>
      <c r="OG15" s="766"/>
      <c r="OH15" s="766"/>
      <c r="OI15" s="766"/>
      <c r="OJ15" s="766"/>
      <c r="OK15" s="76"/>
      <c r="OL15" s="766"/>
      <c r="OM15" s="766"/>
      <c r="ON15" s="766"/>
      <c r="OO15" s="766"/>
      <c r="OP15" s="766"/>
      <c r="OQ15" s="766"/>
      <c r="OR15" s="766"/>
      <c r="OS15" s="766"/>
      <c r="OT15" s="766"/>
      <c r="OU15" s="766"/>
      <c r="OV15" s="766"/>
      <c r="OW15" s="766"/>
      <c r="OX15" s="766"/>
      <c r="OY15" s="766"/>
      <c r="OZ15" s="766"/>
      <c r="PA15" s="766"/>
      <c r="PB15" s="766"/>
      <c r="PC15" s="766"/>
      <c r="PD15" s="766"/>
      <c r="PE15" s="766"/>
      <c r="PF15" s="766"/>
      <c r="PG15" s="766"/>
      <c r="PH15" s="766"/>
      <c r="PI15" s="766"/>
      <c r="PJ15" s="766"/>
      <c r="PK15" s="766"/>
      <c r="PL15" s="766"/>
      <c r="PM15" s="766"/>
      <c r="PN15" s="766"/>
      <c r="PO15" s="766"/>
      <c r="PP15" s="766"/>
      <c r="PQ15" s="766"/>
      <c r="PR15" s="766"/>
      <c r="PS15" s="766"/>
      <c r="PT15" s="766"/>
      <c r="PU15" s="766"/>
      <c r="PV15" s="766"/>
      <c r="PW15" s="766"/>
      <c r="PX15" s="766"/>
      <c r="PY15" s="766"/>
      <c r="PZ15" s="766"/>
      <c r="QA15" s="766"/>
      <c r="QB15" s="766"/>
      <c r="QC15" s="766"/>
      <c r="QD15" s="766"/>
      <c r="QE15" s="766"/>
      <c r="QF15" s="766"/>
      <c r="QG15" s="766"/>
      <c r="QH15" s="766"/>
      <c r="QI15" s="766"/>
      <c r="QJ15" s="766"/>
      <c r="QK15" s="766"/>
      <c r="QL15" s="766"/>
      <c r="QM15" s="766"/>
      <c r="QN15" s="766"/>
      <c r="QO15" s="766"/>
      <c r="QP15" s="766"/>
      <c r="QQ15" s="766"/>
      <c r="QR15" s="766"/>
      <c r="QS15" s="766"/>
      <c r="QT15" s="766"/>
      <c r="QU15" s="766"/>
      <c r="QV15" s="766"/>
      <c r="QW15" s="766"/>
      <c r="QX15" s="766"/>
      <c r="QY15" s="766"/>
      <c r="QZ15" s="766"/>
      <c r="RA15" s="766"/>
      <c r="RB15" s="770" t="s">
        <v>1207</v>
      </c>
      <c r="RC15" s="766">
        <v>2012</v>
      </c>
      <c r="RD15" s="766" t="s">
        <v>12989</v>
      </c>
      <c r="RE15" s="766" t="s">
        <v>12990</v>
      </c>
      <c r="RF15" s="777">
        <v>0.5</v>
      </c>
      <c r="RG15" s="766" t="s">
        <v>13017</v>
      </c>
      <c r="RH15" s="775">
        <v>500000</v>
      </c>
      <c r="RI15" s="766">
        <v>12</v>
      </c>
      <c r="RJ15" s="766" t="s">
        <v>13018</v>
      </c>
      <c r="RK15" s="766" t="s">
        <v>12994</v>
      </c>
      <c r="RL15" s="1683"/>
      <c r="RM15" s="12"/>
      <c r="RN15" s="1711"/>
      <c r="RO15" s="168" t="s">
        <v>30</v>
      </c>
      <c r="RP15" s="11"/>
      <c r="RQ15" s="11"/>
      <c r="RR15" s="771"/>
      <c r="RS15" s="766"/>
      <c r="RT15" s="11"/>
      <c r="RU15" s="11"/>
      <c r="RV15" s="766" t="s">
        <v>7419</v>
      </c>
      <c r="RW15" s="11" t="s">
        <v>11911</v>
      </c>
      <c r="RX15" s="11" t="s">
        <v>26</v>
      </c>
      <c r="RY15" s="11">
        <v>26.58</v>
      </c>
      <c r="RZ15" s="11"/>
      <c r="SA15" s="766"/>
      <c r="SB15" s="11"/>
      <c r="SC15" s="11"/>
    </row>
    <row r="16" spans="1:497" ht="12.75" hidden="1" customHeight="1">
      <c r="A16" s="154" t="s">
        <v>7419</v>
      </c>
      <c r="B16" s="288" t="s">
        <v>7568</v>
      </c>
      <c r="C16" s="168" t="s">
        <v>35</v>
      </c>
      <c r="D16" s="766" t="s">
        <v>5463</v>
      </c>
      <c r="E16" s="766" t="s">
        <v>7244</v>
      </c>
      <c r="F16" s="766" t="s">
        <v>28</v>
      </c>
      <c r="G16" s="766" t="s">
        <v>10</v>
      </c>
      <c r="H16" s="14" t="s">
        <v>5331</v>
      </c>
      <c r="I16" s="5" t="s">
        <v>11259</v>
      </c>
      <c r="J16" s="766" t="s">
        <v>5463</v>
      </c>
      <c r="K16" s="6" t="s">
        <v>14073</v>
      </c>
      <c r="L16" s="6" t="s">
        <v>14074</v>
      </c>
      <c r="M16" s="6"/>
      <c r="N16" s="6" t="s">
        <v>11243</v>
      </c>
      <c r="O16" s="6" t="s">
        <v>11244</v>
      </c>
      <c r="P16" s="14" t="s">
        <v>5463</v>
      </c>
      <c r="Q16" s="1085">
        <v>24029</v>
      </c>
      <c r="R16" s="25">
        <v>51</v>
      </c>
      <c r="S16" s="766" t="s">
        <v>10</v>
      </c>
      <c r="T16" s="14" t="s">
        <v>5331</v>
      </c>
      <c r="U16" s="5" t="s">
        <v>11259</v>
      </c>
      <c r="V16" s="766" t="s">
        <v>707</v>
      </c>
      <c r="W16" s="766" t="s">
        <v>11260</v>
      </c>
      <c r="X16" s="766"/>
      <c r="Y16" s="766" t="s">
        <v>36</v>
      </c>
      <c r="Z16" s="766" t="s">
        <v>708</v>
      </c>
      <c r="AA16" s="766" t="s">
        <v>709</v>
      </c>
      <c r="AB16" s="766" t="s">
        <v>710</v>
      </c>
      <c r="AC16" s="766"/>
      <c r="AD16" s="766" t="s">
        <v>711</v>
      </c>
      <c r="AE16" s="766"/>
      <c r="AF16" s="766" t="s">
        <v>712</v>
      </c>
      <c r="AG16" s="766" t="s">
        <v>1095</v>
      </c>
      <c r="AH16" s="766" t="s">
        <v>1096</v>
      </c>
      <c r="AI16" s="766" t="s">
        <v>1111</v>
      </c>
      <c r="AJ16" s="766"/>
      <c r="AK16" s="766" t="s">
        <v>1097</v>
      </c>
      <c r="AL16" s="120">
        <v>240</v>
      </c>
      <c r="AM16" s="772">
        <v>63.6</v>
      </c>
      <c r="AN16" s="37">
        <f t="shared" si="4"/>
        <v>0.26500000000000001</v>
      </c>
      <c r="AO16" s="766" t="s">
        <v>1149</v>
      </c>
      <c r="AP16" s="766"/>
      <c r="AQ16" s="766"/>
      <c r="AR16" s="766"/>
      <c r="AS16" s="766" t="s">
        <v>1207</v>
      </c>
      <c r="AT16" s="766" t="s">
        <v>1208</v>
      </c>
      <c r="AU16" s="766" t="s">
        <v>1208</v>
      </c>
      <c r="AV16" s="766"/>
      <c r="AW16" s="766"/>
      <c r="AX16" s="766"/>
      <c r="AY16" s="766"/>
      <c r="AZ16" s="766"/>
      <c r="BA16" s="766"/>
      <c r="BB16" s="766"/>
      <c r="BC16" s="766" t="s">
        <v>853</v>
      </c>
      <c r="BD16" s="766" t="s">
        <v>1207</v>
      </c>
      <c r="BE16" s="766"/>
      <c r="BF16" s="775"/>
      <c r="BG16" s="775"/>
      <c r="BH16" s="766"/>
      <c r="BI16" s="766"/>
      <c r="BJ16" s="766"/>
      <c r="BK16" s="766" t="s">
        <v>1095</v>
      </c>
      <c r="BL16" s="766" t="s">
        <v>1111</v>
      </c>
      <c r="BM16" s="766" t="s">
        <v>1096</v>
      </c>
      <c r="BN16" s="766" t="s">
        <v>1230</v>
      </c>
      <c r="BO16" s="766" t="s">
        <v>1246</v>
      </c>
      <c r="BP16" s="776">
        <v>68.05</v>
      </c>
      <c r="BQ16" s="772">
        <v>46.8</v>
      </c>
      <c r="BR16" s="774">
        <f>BQ16/BP16</f>
        <v>0.68772961058045556</v>
      </c>
      <c r="BS16" s="766" t="s">
        <v>1105</v>
      </c>
      <c r="BT16" s="766" t="s">
        <v>2040</v>
      </c>
      <c r="BU16" s="766" t="s">
        <v>1249</v>
      </c>
      <c r="BV16" s="766" t="s">
        <v>1247</v>
      </c>
      <c r="BW16" s="766">
        <v>1980</v>
      </c>
      <c r="BX16" s="779"/>
      <c r="BY16" s="766"/>
      <c r="BZ16" s="775"/>
      <c r="CA16" s="766"/>
      <c r="CB16" s="766" t="s">
        <v>1207</v>
      </c>
      <c r="CC16" s="766" t="s">
        <v>1111</v>
      </c>
      <c r="CD16" s="766">
        <v>2011</v>
      </c>
      <c r="CE16" s="766"/>
      <c r="CF16" s="231">
        <v>2.5</v>
      </c>
      <c r="CG16" s="231">
        <v>12</v>
      </c>
      <c r="CH16" s="766" t="s">
        <v>1441</v>
      </c>
      <c r="CI16" s="12" t="s">
        <v>11261</v>
      </c>
      <c r="CJ16" s="766" t="s">
        <v>5088</v>
      </c>
      <c r="CK16" s="766">
        <v>5</v>
      </c>
      <c r="CL16" s="766"/>
      <c r="CM16" s="766" t="s">
        <v>1442</v>
      </c>
      <c r="CN16" s="766"/>
      <c r="CO16" s="766" t="s">
        <v>1268</v>
      </c>
      <c r="CP16" s="766"/>
      <c r="CQ16" s="766"/>
      <c r="CR16" s="775"/>
      <c r="CS16" s="766"/>
      <c r="CT16" s="766"/>
      <c r="CU16" s="129"/>
      <c r="CV16" s="766"/>
      <c r="CW16" s="766"/>
      <c r="CX16" s="766"/>
      <c r="CY16" s="766"/>
      <c r="CZ16" s="766"/>
      <c r="DA16" s="766"/>
      <c r="DB16" s="766"/>
      <c r="DC16" s="766"/>
      <c r="DD16" s="766"/>
      <c r="DE16" s="766"/>
      <c r="DF16" s="766"/>
      <c r="DG16" s="766"/>
      <c r="DH16" s="766"/>
      <c r="DI16" s="766"/>
      <c r="DJ16" s="766"/>
      <c r="DK16" s="766"/>
      <c r="DL16" s="766"/>
      <c r="DM16" s="766"/>
      <c r="DN16" s="766"/>
      <c r="DO16" s="766"/>
      <c r="DP16" s="766"/>
      <c r="DQ16" s="766"/>
      <c r="DR16" s="766"/>
      <c r="DS16" s="59"/>
      <c r="DT16" s="766"/>
      <c r="DU16" s="766"/>
      <c r="DV16" s="766"/>
      <c r="DW16" s="66"/>
      <c r="DX16" s="66"/>
      <c r="DY16" s="766"/>
      <c r="DZ16" s="766"/>
      <c r="EA16" s="766"/>
      <c r="EB16" s="766"/>
      <c r="EC16" s="766"/>
      <c r="ED16" s="766"/>
      <c r="EE16" s="766"/>
      <c r="EF16" s="766"/>
      <c r="EG16" s="766"/>
      <c r="EH16" s="766"/>
      <c r="EI16" s="766"/>
      <c r="EJ16" s="766"/>
      <c r="EK16" s="766"/>
      <c r="EL16" s="766"/>
      <c r="EM16" s="766"/>
      <c r="EN16" s="766"/>
      <c r="EO16" s="766"/>
      <c r="EP16" s="766"/>
      <c r="EQ16" s="766"/>
      <c r="ER16" s="766"/>
      <c r="ES16" s="766"/>
      <c r="ET16" s="766"/>
      <c r="EU16" s="766"/>
      <c r="EV16" s="766"/>
      <c r="EW16" s="766"/>
      <c r="EX16" s="766"/>
      <c r="EY16" s="766"/>
      <c r="EZ16" s="766"/>
      <c r="FA16" s="766"/>
      <c r="FB16" s="766"/>
      <c r="FC16" s="766"/>
      <c r="FD16" s="775"/>
      <c r="FE16" s="766"/>
      <c r="FF16" s="766"/>
      <c r="FG16" s="766"/>
      <c r="FH16" s="766" t="s">
        <v>478</v>
      </c>
      <c r="FI16" s="766">
        <v>1</v>
      </c>
      <c r="FJ16" s="766"/>
      <c r="FK16" s="766"/>
      <c r="FL16" s="766"/>
      <c r="FM16" s="775"/>
      <c r="FN16" s="775"/>
      <c r="FO16" s="775"/>
      <c r="FP16" s="766" t="s">
        <v>1602</v>
      </c>
      <c r="FQ16" s="766" t="s">
        <v>1660</v>
      </c>
      <c r="FR16" s="766" t="s">
        <v>1207</v>
      </c>
      <c r="FS16" s="766" t="s">
        <v>1208</v>
      </c>
      <c r="FT16" s="766" t="s">
        <v>1208</v>
      </c>
      <c r="FU16" s="766"/>
      <c r="FV16" s="766"/>
      <c r="FW16" s="766"/>
      <c r="FX16" s="766"/>
      <c r="FY16" s="766"/>
      <c r="FZ16" s="766"/>
      <c r="GA16" s="766"/>
      <c r="GB16" s="766" t="s">
        <v>853</v>
      </c>
      <c r="GC16" s="75" t="s">
        <v>1699</v>
      </c>
      <c r="GD16" s="25">
        <v>2015</v>
      </c>
      <c r="GE16" s="766" t="s">
        <v>1698</v>
      </c>
      <c r="GF16" s="775"/>
      <c r="GG16" s="775"/>
      <c r="GH16" s="766"/>
      <c r="GI16" s="766"/>
      <c r="GJ16" s="766"/>
      <c r="GK16" s="766"/>
      <c r="GL16" s="766"/>
      <c r="GM16" s="766"/>
      <c r="GN16" s="82"/>
      <c r="GO16" s="766"/>
      <c r="GP16" s="766"/>
      <c r="GQ16" s="766"/>
      <c r="GR16" s="766"/>
      <c r="GS16" s="766"/>
      <c r="GT16" s="766"/>
      <c r="GU16" s="766"/>
      <c r="GV16" s="766"/>
      <c r="GW16" s="766"/>
      <c r="GX16" s="766"/>
      <c r="GY16" s="766"/>
      <c r="GZ16" s="766"/>
      <c r="HA16" s="766"/>
      <c r="HB16" s="766"/>
      <c r="HC16" s="766"/>
      <c r="HD16" s="766"/>
      <c r="HE16" s="766"/>
      <c r="HF16" s="766"/>
      <c r="HG16" s="766"/>
      <c r="HH16" s="766"/>
      <c r="HI16" s="766"/>
      <c r="HJ16" s="766"/>
      <c r="HK16" s="766"/>
      <c r="HL16" s="766"/>
      <c r="HM16" s="766"/>
      <c r="HN16" s="766"/>
      <c r="HO16" s="766"/>
      <c r="HP16" s="766"/>
      <c r="HQ16" s="766"/>
      <c r="HR16" s="766"/>
      <c r="HS16" s="766"/>
      <c r="HT16" s="766"/>
      <c r="HU16" s="766"/>
      <c r="HV16" s="766"/>
      <c r="HW16" s="766"/>
      <c r="HX16" s="766"/>
      <c r="HY16" s="766"/>
      <c r="HZ16" s="766"/>
      <c r="IA16" s="766"/>
      <c r="IB16" s="14" t="e">
        <f>IF(#REF!&gt;0,IF(#REF!&lt;=10000,"Y",""),"")</f>
        <v>#REF!</v>
      </c>
      <c r="IC16" s="766"/>
      <c r="ID16" s="766"/>
      <c r="IE16" s="766"/>
      <c r="IF16" s="766"/>
      <c r="IG16" s="766"/>
      <c r="IH16" s="766"/>
      <c r="II16" s="766"/>
      <c r="IJ16" s="766"/>
      <c r="IK16" s="766"/>
      <c r="IL16" s="766"/>
      <c r="IM16" s="766"/>
      <c r="IN16" s="766"/>
      <c r="IO16" s="766"/>
      <c r="IP16" s="766"/>
      <c r="IQ16" s="766"/>
      <c r="IR16" s="775"/>
      <c r="IS16" s="76"/>
      <c r="IT16" s="76"/>
      <c r="IU16" s="76"/>
      <c r="IV16" s="76"/>
      <c r="IW16" s="766"/>
      <c r="IX16" s="766"/>
      <c r="IY16" s="766"/>
      <c r="IZ16" s="766"/>
      <c r="JA16" s="766"/>
      <c r="JB16" s="766"/>
      <c r="JC16" s="766"/>
      <c r="JD16" s="775"/>
      <c r="JE16" s="76"/>
      <c r="JF16" s="76"/>
      <c r="JG16" s="76"/>
      <c r="JH16" s="76"/>
      <c r="JI16" s="712" t="str">
        <f>IF(SUM(JT16,JU16)=JJ16,"ok","review")</f>
        <v>ok</v>
      </c>
      <c r="JJ16" s="766">
        <v>5</v>
      </c>
      <c r="JK16" s="1139" t="s">
        <v>13019</v>
      </c>
      <c r="JL16" s="766"/>
      <c r="JM16" s="766">
        <v>2</v>
      </c>
      <c r="JN16" s="766">
        <v>1</v>
      </c>
      <c r="JO16" s="766">
        <v>2</v>
      </c>
      <c r="JP16" s="766"/>
      <c r="JQ16" s="766"/>
      <c r="JR16" s="766"/>
      <c r="JS16" s="766"/>
      <c r="JT16" s="766">
        <f>SUM(JP16,JN16,JL16,JR16)</f>
        <v>1</v>
      </c>
      <c r="JU16" s="766">
        <f>SUM(JQ16,JO16,JM16,JS16)</f>
        <v>4</v>
      </c>
      <c r="JV16" s="712" t="str">
        <f>IF(JT16=KJ16,"ok","male")</f>
        <v>ok</v>
      </c>
      <c r="JW16" s="712" t="str">
        <f>IF(JU16=KK16,"ok","female")</f>
        <v>ok</v>
      </c>
      <c r="JX16" s="766"/>
      <c r="JY16" s="766"/>
      <c r="JZ16" s="766"/>
      <c r="KA16" s="766">
        <v>2</v>
      </c>
      <c r="KB16" s="766"/>
      <c r="KC16" s="766">
        <v>1</v>
      </c>
      <c r="KD16" s="766">
        <v>1</v>
      </c>
      <c r="KE16" s="766">
        <v>1</v>
      </c>
      <c r="KF16" s="766"/>
      <c r="KG16" s="766"/>
      <c r="KH16" s="766"/>
      <c r="KI16" s="766"/>
      <c r="KJ16" s="770">
        <f>SUM(KF16,KD16,KB16,JZ16,JX16,KH16)</f>
        <v>1</v>
      </c>
      <c r="KK16" s="770">
        <f>SUM(KG16,KE16,KC16,KA16,JY16,KI16)</f>
        <v>4</v>
      </c>
      <c r="KL16" s="712" t="str">
        <f>IF(KJ16=LN16,"ok","male")</f>
        <v>ok</v>
      </c>
      <c r="KM16" s="712" t="str">
        <f>IF(KK16=LO16,"ok","female")</f>
        <v>ok</v>
      </c>
      <c r="KN16" s="766" t="s">
        <v>707</v>
      </c>
      <c r="KO16" s="28"/>
      <c r="KP16" s="766"/>
      <c r="KQ16" s="766"/>
      <c r="KR16" s="766"/>
      <c r="KS16" s="766"/>
      <c r="KT16" s="766"/>
      <c r="KU16" s="766"/>
      <c r="KV16" s="766"/>
      <c r="KW16" s="766">
        <v>1</v>
      </c>
      <c r="KX16" s="766"/>
      <c r="KY16" s="766">
        <v>2</v>
      </c>
      <c r="KZ16" s="766"/>
      <c r="LA16" s="766"/>
      <c r="LB16" s="766">
        <v>1</v>
      </c>
      <c r="LC16" s="766">
        <v>1</v>
      </c>
      <c r="LD16" s="766"/>
      <c r="LE16" s="766"/>
      <c r="LF16" s="766"/>
      <c r="LG16" s="766"/>
      <c r="LH16" s="766"/>
      <c r="LI16" s="766"/>
      <c r="LJ16" s="766"/>
      <c r="LK16" s="766"/>
      <c r="LL16" s="766"/>
      <c r="LM16" s="766"/>
      <c r="LN16" s="766">
        <f>SUM(KP16,KR16,KT16,KV16,KX16,KZ16,LB16,LD16,LF16,LH16,LJ16,LL16)</f>
        <v>1</v>
      </c>
      <c r="LO16" s="766">
        <f>SUM(KQ16,KS16,KU16,KW16,KY16,LA16,LC16,LE16,LG16,LI16,LK16,LM16)</f>
        <v>4</v>
      </c>
      <c r="LP16" s="766">
        <v>1</v>
      </c>
      <c r="LQ16" s="1678">
        <v>1</v>
      </c>
      <c r="LR16" s="766"/>
      <c r="LS16" s="766"/>
      <c r="LT16" s="712" t="str">
        <f>IF(LQ16=SUM(LU16:LW16),"OK","REV")</f>
        <v>OK</v>
      </c>
      <c r="LU16" s="766">
        <v>1</v>
      </c>
      <c r="LV16" s="766"/>
      <c r="LW16" s="766"/>
      <c r="LX16" s="769">
        <v>1</v>
      </c>
      <c r="LY16" s="766" t="str">
        <f t="shared" si="0"/>
        <v>within the BRGY</v>
      </c>
      <c r="LZ16" s="1695"/>
      <c r="MA16" s="766"/>
      <c r="MB16" s="766"/>
      <c r="MC16" s="1679">
        <f t="shared" si="1"/>
        <v>0</v>
      </c>
      <c r="MD16" s="66">
        <v>26000</v>
      </c>
      <c r="ME16" s="66"/>
      <c r="MF16" s="66"/>
      <c r="MG16" s="1680">
        <f t="shared" si="2"/>
        <v>26000</v>
      </c>
      <c r="MH16" s="1681" t="s">
        <v>13020</v>
      </c>
      <c r="MI16" s="775">
        <v>10000</v>
      </c>
      <c r="MJ16" s="775">
        <v>4000</v>
      </c>
      <c r="MK16" s="775">
        <v>15000</v>
      </c>
      <c r="ML16" s="775">
        <v>20000</v>
      </c>
      <c r="MM16" s="775">
        <v>15000</v>
      </c>
      <c r="MN16" s="775"/>
      <c r="MO16" s="775">
        <v>5000</v>
      </c>
      <c r="MP16" s="775">
        <v>5000</v>
      </c>
      <c r="MQ16" s="775">
        <v>1000</v>
      </c>
      <c r="MR16" s="775">
        <v>1000</v>
      </c>
      <c r="MS16" s="775">
        <v>25000</v>
      </c>
      <c r="MT16" s="775"/>
      <c r="MU16" s="775"/>
      <c r="MV16" s="775"/>
      <c r="MW16" s="775"/>
      <c r="MX16" s="775"/>
      <c r="MY16" s="1682">
        <f t="shared" si="3"/>
        <v>101000</v>
      </c>
      <c r="MZ16" s="766" t="s">
        <v>13004</v>
      </c>
      <c r="NA16" s="766" t="s">
        <v>13005</v>
      </c>
      <c r="NB16" s="766" t="s">
        <v>13006</v>
      </c>
      <c r="NC16" s="766" t="s">
        <v>13007</v>
      </c>
      <c r="ND16" s="766">
        <v>0</v>
      </c>
      <c r="NE16" s="766">
        <v>0</v>
      </c>
      <c r="NF16" s="766">
        <v>2</v>
      </c>
      <c r="NG16" s="766">
        <v>7</v>
      </c>
      <c r="NH16" s="766">
        <v>5</v>
      </c>
      <c r="NI16" s="766">
        <v>2</v>
      </c>
      <c r="NJ16" s="766">
        <v>0</v>
      </c>
      <c r="NK16" s="766">
        <v>0</v>
      </c>
      <c r="NL16" s="766">
        <v>1</v>
      </c>
      <c r="NM16" s="766">
        <v>1</v>
      </c>
      <c r="NN16" s="766">
        <v>0</v>
      </c>
      <c r="NO16" s="766">
        <v>0</v>
      </c>
      <c r="NP16" s="766">
        <v>1</v>
      </c>
      <c r="NQ16" s="766">
        <v>0</v>
      </c>
      <c r="NR16" s="766">
        <v>0</v>
      </c>
      <c r="NS16" s="766">
        <v>0</v>
      </c>
      <c r="NT16" s="766">
        <v>0</v>
      </c>
      <c r="NU16" s="766">
        <v>0</v>
      </c>
      <c r="NV16" s="766">
        <v>0</v>
      </c>
      <c r="NW16" s="766">
        <v>0</v>
      </c>
      <c r="NX16" s="766">
        <v>0</v>
      </c>
      <c r="NY16" s="766" t="s">
        <v>1208</v>
      </c>
      <c r="NZ16" s="766" t="s">
        <v>1208</v>
      </c>
      <c r="OA16" s="766" t="s">
        <v>1208</v>
      </c>
      <c r="OB16" s="766"/>
      <c r="OC16" s="766" t="s">
        <v>1208</v>
      </c>
      <c r="OD16" s="766"/>
      <c r="OE16" s="766"/>
      <c r="OF16" s="766"/>
      <c r="OG16" s="766"/>
      <c r="OH16" s="766"/>
      <c r="OI16" s="766"/>
      <c r="OJ16" s="766"/>
      <c r="OK16" s="76"/>
      <c r="OL16" s="766"/>
      <c r="OM16" s="766"/>
      <c r="ON16" s="766"/>
      <c r="OO16" s="766"/>
      <c r="OP16" s="766"/>
      <c r="OQ16" s="766"/>
      <c r="OR16" s="766"/>
      <c r="OS16" s="766"/>
      <c r="OT16" s="766"/>
      <c r="OU16" s="766"/>
      <c r="OV16" s="766"/>
      <c r="OW16" s="766"/>
      <c r="OX16" s="766"/>
      <c r="OY16" s="766"/>
      <c r="OZ16" s="766"/>
      <c r="PA16" s="766"/>
      <c r="PB16" s="766"/>
      <c r="PC16" s="766"/>
      <c r="PD16" s="766"/>
      <c r="PE16" s="766"/>
      <c r="PF16" s="766"/>
      <c r="PG16" s="766"/>
      <c r="PH16" s="766"/>
      <c r="PI16" s="766"/>
      <c r="PJ16" s="766"/>
      <c r="PK16" s="766"/>
      <c r="PL16" s="766"/>
      <c r="PM16" s="766"/>
      <c r="PN16" s="766"/>
      <c r="PO16" s="766"/>
      <c r="PP16" s="766"/>
      <c r="PQ16" s="766"/>
      <c r="PR16" s="766"/>
      <c r="PS16" s="766"/>
      <c r="PT16" s="766"/>
      <c r="PU16" s="766"/>
      <c r="PV16" s="766"/>
      <c r="PW16" s="766"/>
      <c r="PX16" s="766"/>
      <c r="PY16" s="766"/>
      <c r="PZ16" s="766"/>
      <c r="QA16" s="766"/>
      <c r="QB16" s="766"/>
      <c r="QC16" s="766"/>
      <c r="QD16" s="766"/>
      <c r="QE16" s="766"/>
      <c r="QF16" s="766"/>
      <c r="QG16" s="766"/>
      <c r="QH16" s="766"/>
      <c r="QI16" s="766"/>
      <c r="QJ16" s="766"/>
      <c r="QK16" s="766"/>
      <c r="QL16" s="766"/>
      <c r="QM16" s="766"/>
      <c r="QN16" s="766"/>
      <c r="QO16" s="766"/>
      <c r="QP16" s="766"/>
      <c r="QQ16" s="766"/>
      <c r="QR16" s="766"/>
      <c r="QS16" s="766"/>
      <c r="QT16" s="766"/>
      <c r="QU16" s="766"/>
      <c r="QV16" s="766"/>
      <c r="QW16" s="766"/>
      <c r="QX16" s="766"/>
      <c r="QY16" s="766"/>
      <c r="QZ16" s="766"/>
      <c r="RA16" s="766"/>
      <c r="RB16" s="766"/>
      <c r="RC16" s="766"/>
      <c r="RD16" s="766"/>
      <c r="RE16" s="766"/>
      <c r="RF16" s="777"/>
      <c r="RG16" s="766"/>
      <c r="RH16" s="775"/>
      <c r="RI16" s="766"/>
      <c r="RJ16" s="766" t="s">
        <v>13021</v>
      </c>
      <c r="RK16" s="766" t="s">
        <v>13010</v>
      </c>
      <c r="RL16" s="1683"/>
      <c r="RM16" s="12" t="s">
        <v>13011</v>
      </c>
      <c r="RN16" s="1711"/>
      <c r="RO16" s="168" t="s">
        <v>35</v>
      </c>
      <c r="RP16" s="11"/>
      <c r="RQ16" s="11"/>
      <c r="RR16" s="154" t="s">
        <v>7419</v>
      </c>
      <c r="RS16" s="1139" t="s">
        <v>12980</v>
      </c>
      <c r="RT16" s="11"/>
      <c r="RU16" s="11"/>
      <c r="RV16" s="766" t="s">
        <v>12373</v>
      </c>
      <c r="RW16" s="11" t="s">
        <v>11257</v>
      </c>
      <c r="RX16" s="11" t="s">
        <v>26</v>
      </c>
      <c r="RY16" s="11">
        <v>40.79</v>
      </c>
      <c r="RZ16" s="11"/>
      <c r="SA16" s="766"/>
      <c r="SB16" s="11"/>
      <c r="SC16" s="11"/>
    </row>
    <row r="17" spans="1:497" ht="12.75" hidden="1" customHeight="1">
      <c r="A17" s="767" t="s">
        <v>7419</v>
      </c>
      <c r="B17" s="288" t="s">
        <v>7420</v>
      </c>
      <c r="C17" s="168" t="s">
        <v>37</v>
      </c>
      <c r="D17" s="766" t="s">
        <v>38</v>
      </c>
      <c r="E17" s="766" t="s">
        <v>7938</v>
      </c>
      <c r="F17" s="766" t="s">
        <v>28</v>
      </c>
      <c r="G17" s="766" t="s">
        <v>10</v>
      </c>
      <c r="H17" s="766"/>
      <c r="I17" s="5"/>
      <c r="J17" s="766" t="s">
        <v>38</v>
      </c>
      <c r="K17" s="766"/>
      <c r="L17" s="766"/>
      <c r="M17" s="766"/>
      <c r="N17" s="766"/>
      <c r="O17" s="766"/>
      <c r="P17" s="14" t="s">
        <v>38</v>
      </c>
      <c r="Q17" s="1085"/>
      <c r="R17" s="25"/>
      <c r="S17" s="766"/>
      <c r="T17" s="766"/>
      <c r="U17" s="26"/>
      <c r="V17" s="766"/>
      <c r="W17" s="766"/>
      <c r="X17" s="766"/>
      <c r="Y17" s="766" t="s">
        <v>5464</v>
      </c>
      <c r="Z17" s="766"/>
      <c r="AA17" s="766"/>
      <c r="AB17" s="766"/>
      <c r="AC17" s="766"/>
      <c r="AD17" s="766"/>
      <c r="AE17" s="766"/>
      <c r="AF17" s="766"/>
      <c r="AG17" s="766" t="s">
        <v>1095</v>
      </c>
      <c r="AH17" s="766" t="s">
        <v>1096</v>
      </c>
      <c r="AI17" s="766" t="s">
        <v>1112</v>
      </c>
      <c r="AJ17" s="766"/>
      <c r="AK17" s="766" t="s">
        <v>1097</v>
      </c>
      <c r="AL17" s="120">
        <v>240</v>
      </c>
      <c r="AM17" s="772">
        <v>22</v>
      </c>
      <c r="AN17" s="37">
        <f t="shared" si="4"/>
        <v>9.166666666666666E-2</v>
      </c>
      <c r="AO17" s="766" t="s">
        <v>1109</v>
      </c>
      <c r="AP17" s="766"/>
      <c r="AQ17" s="766"/>
      <c r="AR17" s="766"/>
      <c r="AS17" s="766" t="s">
        <v>1207</v>
      </c>
      <c r="AT17" s="766" t="s">
        <v>1208</v>
      </c>
      <c r="AU17" s="766"/>
      <c r="AV17" s="766"/>
      <c r="AW17" s="766"/>
      <c r="AX17" s="766"/>
      <c r="AY17" s="766"/>
      <c r="AZ17" s="766"/>
      <c r="BA17" s="766"/>
      <c r="BB17" s="766"/>
      <c r="BC17" s="766" t="s">
        <v>853</v>
      </c>
      <c r="BD17" s="766" t="s">
        <v>1207</v>
      </c>
      <c r="BE17" s="766"/>
      <c r="BF17" s="775"/>
      <c r="BG17" s="775"/>
      <c r="BH17" s="766"/>
      <c r="BI17" s="766"/>
      <c r="BJ17" s="766"/>
      <c r="BK17" s="766"/>
      <c r="BL17" s="766"/>
      <c r="BM17" s="766"/>
      <c r="BN17" s="766"/>
      <c r="BO17" s="766"/>
      <c r="BP17" s="776"/>
      <c r="BQ17" s="772"/>
      <c r="BR17" s="774"/>
      <c r="BS17" s="766"/>
      <c r="BT17" s="766"/>
      <c r="BU17" s="766"/>
      <c r="BV17" s="766"/>
      <c r="BW17" s="766"/>
      <c r="BX17" s="779"/>
      <c r="BY17" s="766"/>
      <c r="BZ17" s="775"/>
      <c r="CA17" s="766"/>
      <c r="CB17" s="766"/>
      <c r="CC17" s="766"/>
      <c r="CD17" s="766"/>
      <c r="CE17" s="766"/>
      <c r="CF17" s="231"/>
      <c r="CG17" s="231"/>
      <c r="CH17" s="766"/>
      <c r="CI17" s="766"/>
      <c r="CJ17" s="766"/>
      <c r="CK17" s="766"/>
      <c r="CL17" s="766"/>
      <c r="CM17" s="766"/>
      <c r="CN17" s="766"/>
      <c r="CO17" s="766"/>
      <c r="CP17" s="766"/>
      <c r="CQ17" s="766"/>
      <c r="CR17" s="775"/>
      <c r="CS17" s="766"/>
      <c r="CT17" s="766"/>
      <c r="CU17" s="129"/>
      <c r="CV17" s="766"/>
      <c r="CW17" s="766"/>
      <c r="CX17" s="766"/>
      <c r="CY17" s="766"/>
      <c r="CZ17" s="766"/>
      <c r="DA17" s="766"/>
      <c r="DB17" s="766"/>
      <c r="DC17" s="766"/>
      <c r="DD17" s="766"/>
      <c r="DE17" s="766"/>
      <c r="DF17" s="766"/>
      <c r="DG17" s="766"/>
      <c r="DH17" s="766"/>
      <c r="DI17" s="766"/>
      <c r="DJ17" s="766"/>
      <c r="DK17" s="766"/>
      <c r="DL17" s="766"/>
      <c r="DM17" s="766"/>
      <c r="DN17" s="766"/>
      <c r="DO17" s="766"/>
      <c r="DP17" s="766"/>
      <c r="DQ17" s="766"/>
      <c r="DR17" s="766"/>
      <c r="DS17" s="59"/>
      <c r="DT17" s="766"/>
      <c r="DU17" s="766"/>
      <c r="DV17" s="766"/>
      <c r="DW17" s="66"/>
      <c r="DX17" s="66"/>
      <c r="DY17" s="766"/>
      <c r="DZ17" s="766"/>
      <c r="EA17" s="766"/>
      <c r="EB17" s="766"/>
      <c r="EC17" s="766"/>
      <c r="ED17" s="766"/>
      <c r="EE17" s="766"/>
      <c r="EF17" s="766"/>
      <c r="EG17" s="766"/>
      <c r="EH17" s="766"/>
      <c r="EI17" s="766"/>
      <c r="EJ17" s="766"/>
      <c r="EK17" s="766"/>
      <c r="EL17" s="766"/>
      <c r="EM17" s="766"/>
      <c r="EN17" s="766"/>
      <c r="EO17" s="766"/>
      <c r="EP17" s="766"/>
      <c r="EQ17" s="766"/>
      <c r="ER17" s="766"/>
      <c r="ES17" s="766"/>
      <c r="ET17" s="766"/>
      <c r="EU17" s="766"/>
      <c r="EV17" s="766"/>
      <c r="EW17" s="766"/>
      <c r="EX17" s="766"/>
      <c r="EY17" s="766"/>
      <c r="EZ17" s="766"/>
      <c r="FA17" s="766"/>
      <c r="FB17" s="766"/>
      <c r="FC17" s="766"/>
      <c r="FD17" s="775"/>
      <c r="FE17" s="766"/>
      <c r="FF17" s="766"/>
      <c r="FG17" s="766"/>
      <c r="FH17" s="766"/>
      <c r="FI17" s="766"/>
      <c r="FJ17" s="766"/>
      <c r="FK17" s="766"/>
      <c r="FL17" s="766"/>
      <c r="FM17" s="775"/>
      <c r="FN17" s="775"/>
      <c r="FO17" s="775"/>
      <c r="FP17" s="766"/>
      <c r="FQ17" s="766"/>
      <c r="FR17" s="766"/>
      <c r="FS17" s="766" t="s">
        <v>1208</v>
      </c>
      <c r="FT17" s="766" t="s">
        <v>1208</v>
      </c>
      <c r="FU17" s="766"/>
      <c r="FV17" s="766"/>
      <c r="FW17" s="766"/>
      <c r="FX17" s="766"/>
      <c r="FY17" s="766"/>
      <c r="FZ17" s="766"/>
      <c r="GA17" s="766"/>
      <c r="GB17" s="766"/>
      <c r="GC17" s="75"/>
      <c r="GD17" s="25"/>
      <c r="GE17" s="766"/>
      <c r="GF17" s="775"/>
      <c r="GG17" s="775"/>
      <c r="GH17" s="766"/>
      <c r="GI17" s="766"/>
      <c r="GJ17" s="766"/>
      <c r="GK17" s="766"/>
      <c r="GL17" s="766"/>
      <c r="GM17" s="766"/>
      <c r="GN17" s="82"/>
      <c r="GO17" s="766"/>
      <c r="GP17" s="766"/>
      <c r="GQ17" s="766"/>
      <c r="GR17" s="766"/>
      <c r="GS17" s="766"/>
      <c r="GT17" s="766"/>
      <c r="GU17" s="766"/>
      <c r="GV17" s="766"/>
      <c r="GW17" s="766"/>
      <c r="GX17" s="766"/>
      <c r="GY17" s="766"/>
      <c r="GZ17" s="766"/>
      <c r="HA17" s="766"/>
      <c r="HB17" s="766"/>
      <c r="HC17" s="766"/>
      <c r="HD17" s="766"/>
      <c r="HE17" s="766"/>
      <c r="HF17" s="766"/>
      <c r="HG17" s="766"/>
      <c r="HH17" s="766"/>
      <c r="HI17" s="766"/>
      <c r="HJ17" s="766"/>
      <c r="HK17" s="766"/>
      <c r="HL17" s="766"/>
      <c r="HM17" s="766"/>
      <c r="HN17" s="766"/>
      <c r="HO17" s="766"/>
      <c r="HP17" s="766"/>
      <c r="HQ17" s="766"/>
      <c r="HR17" s="766"/>
      <c r="HS17" s="766"/>
      <c r="HT17" s="766"/>
      <c r="HU17" s="766"/>
      <c r="HV17" s="766"/>
      <c r="HW17" s="766"/>
      <c r="HX17" s="766"/>
      <c r="HY17" s="766"/>
      <c r="HZ17" s="766"/>
      <c r="IA17" s="766"/>
      <c r="IB17" s="766"/>
      <c r="IC17" s="766"/>
      <c r="ID17" s="766">
        <v>1</v>
      </c>
      <c r="IE17" s="766"/>
      <c r="IF17" s="766"/>
      <c r="IG17" s="766"/>
      <c r="IH17" s="766"/>
      <c r="II17" s="766"/>
      <c r="IJ17" s="766"/>
      <c r="IK17" s="766"/>
      <c r="IL17" s="766"/>
      <c r="IM17" s="766"/>
      <c r="IN17" s="766"/>
      <c r="IO17" s="766"/>
      <c r="IP17" s="766"/>
      <c r="IQ17" s="766"/>
      <c r="IR17" s="775"/>
      <c r="IS17" s="76"/>
      <c r="IT17" s="76"/>
      <c r="IU17" s="76"/>
      <c r="IV17" s="76"/>
      <c r="IW17" s="766"/>
      <c r="IX17" s="766"/>
      <c r="IY17" s="766"/>
      <c r="IZ17" s="766"/>
      <c r="JA17" s="766"/>
      <c r="JB17" s="766"/>
      <c r="JC17" s="766"/>
      <c r="JD17" s="775"/>
      <c r="JE17" s="76"/>
      <c r="JF17" s="76"/>
      <c r="JG17" s="76"/>
      <c r="JH17" s="76"/>
      <c r="JI17" s="76"/>
      <c r="JJ17" s="766"/>
      <c r="JK17" s="766"/>
      <c r="JL17" s="766"/>
      <c r="JM17" s="766"/>
      <c r="JN17" s="766"/>
      <c r="JO17" s="766"/>
      <c r="JP17" s="766"/>
      <c r="JQ17" s="766"/>
      <c r="JR17" s="766"/>
      <c r="JS17" s="766"/>
      <c r="JT17" s="766"/>
      <c r="JU17" s="766"/>
      <c r="JV17" s="766"/>
      <c r="JW17" s="766"/>
      <c r="JX17" s="766"/>
      <c r="JY17" s="766"/>
      <c r="JZ17" s="766"/>
      <c r="KA17" s="766"/>
      <c r="KB17" s="766"/>
      <c r="KC17" s="766"/>
      <c r="KD17" s="766"/>
      <c r="KE17" s="766"/>
      <c r="KF17" s="766"/>
      <c r="KG17" s="766"/>
      <c r="KH17" s="766"/>
      <c r="KI17" s="766"/>
      <c r="KJ17" s="770"/>
      <c r="KK17" s="770"/>
      <c r="KL17" s="770"/>
      <c r="KM17" s="770"/>
      <c r="KN17" s="766"/>
      <c r="KO17" s="28"/>
      <c r="KP17" s="766"/>
      <c r="KQ17" s="766"/>
      <c r="KR17" s="766"/>
      <c r="KS17" s="766"/>
      <c r="KT17" s="766"/>
      <c r="KU17" s="766"/>
      <c r="KV17" s="766"/>
      <c r="KW17" s="766"/>
      <c r="KX17" s="766"/>
      <c r="KY17" s="766"/>
      <c r="KZ17" s="766"/>
      <c r="LA17" s="766"/>
      <c r="LB17" s="766"/>
      <c r="LC17" s="766"/>
      <c r="LD17" s="766"/>
      <c r="LE17" s="766"/>
      <c r="LF17" s="766"/>
      <c r="LG17" s="766"/>
      <c r="LH17" s="766"/>
      <c r="LI17" s="766"/>
      <c r="LJ17" s="766"/>
      <c r="LK17" s="766"/>
      <c r="LL17" s="766"/>
      <c r="LM17" s="766"/>
      <c r="LN17" s="766"/>
      <c r="LO17" s="766"/>
      <c r="LP17" s="766"/>
      <c r="LQ17" s="1678"/>
      <c r="LR17" s="766"/>
      <c r="LS17" s="766"/>
      <c r="LT17" s="766"/>
      <c r="LU17" s="766"/>
      <c r="LV17" s="766"/>
      <c r="LW17" s="766"/>
      <c r="LX17" s="769"/>
      <c r="LY17" s="766" t="str">
        <f t="shared" si="0"/>
        <v/>
      </c>
      <c r="LZ17" s="66"/>
      <c r="MA17" s="766"/>
      <c r="MB17" s="766"/>
      <c r="MC17" s="1679">
        <f t="shared" si="1"/>
        <v>0</v>
      </c>
      <c r="MD17" s="66"/>
      <c r="ME17" s="66"/>
      <c r="MF17" s="66"/>
      <c r="MG17" s="1680">
        <f t="shared" si="2"/>
        <v>0</v>
      </c>
      <c r="MH17" s="1681"/>
      <c r="MI17" s="775"/>
      <c r="MJ17" s="775"/>
      <c r="MK17" s="775"/>
      <c r="ML17" s="775"/>
      <c r="MM17" s="775"/>
      <c r="MN17" s="775"/>
      <c r="MO17" s="775"/>
      <c r="MP17" s="775"/>
      <c r="MQ17" s="775"/>
      <c r="MR17" s="775"/>
      <c r="MS17" s="775"/>
      <c r="MT17" s="775"/>
      <c r="MU17" s="775"/>
      <c r="MV17" s="775"/>
      <c r="MW17" s="775"/>
      <c r="MX17" s="775"/>
      <c r="MY17" s="1682">
        <f t="shared" si="3"/>
        <v>0</v>
      </c>
      <c r="MZ17" s="766"/>
      <c r="NA17" s="766"/>
      <c r="NB17" s="766"/>
      <c r="NC17" s="766"/>
      <c r="ND17" s="766"/>
      <c r="NE17" s="766"/>
      <c r="NF17" s="766"/>
      <c r="NG17" s="766"/>
      <c r="NH17" s="766"/>
      <c r="NI17" s="766"/>
      <c r="NJ17" s="766"/>
      <c r="NK17" s="766"/>
      <c r="NL17" s="766"/>
      <c r="NM17" s="766"/>
      <c r="NN17" s="766"/>
      <c r="NO17" s="766"/>
      <c r="NP17" s="766"/>
      <c r="NQ17" s="766"/>
      <c r="NR17" s="766"/>
      <c r="NS17" s="766"/>
      <c r="NT17" s="766"/>
      <c r="NU17" s="766"/>
      <c r="NV17" s="766"/>
      <c r="NW17" s="766"/>
      <c r="NX17" s="766"/>
      <c r="NY17" s="766"/>
      <c r="NZ17" s="766"/>
      <c r="OA17" s="766"/>
      <c r="OB17" s="766"/>
      <c r="OC17" s="766"/>
      <c r="OD17" s="766"/>
      <c r="OE17" s="766"/>
      <c r="OF17" s="766"/>
      <c r="OG17" s="766"/>
      <c r="OH17" s="766"/>
      <c r="OI17" s="766"/>
      <c r="OJ17" s="766"/>
      <c r="OK17" s="76"/>
      <c r="OL17" s="766"/>
      <c r="OM17" s="766"/>
      <c r="ON17" s="766"/>
      <c r="OO17" s="766"/>
      <c r="OP17" s="766"/>
      <c r="OQ17" s="766"/>
      <c r="OR17" s="766"/>
      <c r="OS17" s="766"/>
      <c r="OT17" s="766"/>
      <c r="OU17" s="766"/>
      <c r="OV17" s="766"/>
      <c r="OW17" s="766"/>
      <c r="OX17" s="766"/>
      <c r="OY17" s="766"/>
      <c r="OZ17" s="766"/>
      <c r="PA17" s="766"/>
      <c r="PB17" s="766"/>
      <c r="PC17" s="766"/>
      <c r="PD17" s="766"/>
      <c r="PE17" s="766"/>
      <c r="PF17" s="766"/>
      <c r="PG17" s="766"/>
      <c r="PH17" s="766"/>
      <c r="PI17" s="766"/>
      <c r="PJ17" s="766"/>
      <c r="PK17" s="766"/>
      <c r="PL17" s="766"/>
      <c r="PM17" s="766"/>
      <c r="PN17" s="766"/>
      <c r="PO17" s="766"/>
      <c r="PP17" s="766"/>
      <c r="PQ17" s="766"/>
      <c r="PR17" s="766"/>
      <c r="PS17" s="766"/>
      <c r="PT17" s="766"/>
      <c r="PU17" s="766"/>
      <c r="PV17" s="766"/>
      <c r="PW17" s="766"/>
      <c r="PX17" s="766"/>
      <c r="PY17" s="766"/>
      <c r="PZ17" s="766"/>
      <c r="QA17" s="766"/>
      <c r="QB17" s="766"/>
      <c r="QC17" s="766"/>
      <c r="QD17" s="766"/>
      <c r="QE17" s="766"/>
      <c r="QF17" s="766"/>
      <c r="QG17" s="766"/>
      <c r="QH17" s="766"/>
      <c r="QI17" s="766"/>
      <c r="QJ17" s="766"/>
      <c r="QK17" s="766"/>
      <c r="QL17" s="766"/>
      <c r="QM17" s="766"/>
      <c r="QN17" s="766"/>
      <c r="QO17" s="766"/>
      <c r="QP17" s="766"/>
      <c r="QQ17" s="766"/>
      <c r="QR17" s="766"/>
      <c r="QS17" s="766"/>
      <c r="QT17" s="766"/>
      <c r="QU17" s="766"/>
      <c r="QV17" s="766"/>
      <c r="QW17" s="766"/>
      <c r="QX17" s="766"/>
      <c r="QY17" s="766"/>
      <c r="QZ17" s="766"/>
      <c r="RA17" s="766"/>
      <c r="RB17" s="770" t="s">
        <v>1207</v>
      </c>
      <c r="RC17" s="766">
        <v>2014</v>
      </c>
      <c r="RD17" s="766" t="s">
        <v>12989</v>
      </c>
      <c r="RE17" s="766" t="s">
        <v>12990</v>
      </c>
      <c r="RF17" s="777">
        <v>0.5</v>
      </c>
      <c r="RG17" s="766" t="s">
        <v>13022</v>
      </c>
      <c r="RH17" s="775">
        <v>0</v>
      </c>
      <c r="RI17" s="766" t="s">
        <v>12985</v>
      </c>
      <c r="RJ17" s="766" t="s">
        <v>13023</v>
      </c>
      <c r="RK17" s="766" t="s">
        <v>13024</v>
      </c>
      <c r="RL17" s="1683"/>
      <c r="RM17" s="12"/>
      <c r="RN17" s="1711"/>
      <c r="RO17" s="168" t="s">
        <v>37</v>
      </c>
      <c r="RP17" s="11"/>
      <c r="RQ17" s="11"/>
      <c r="RR17" s="771"/>
      <c r="RS17" s="766"/>
      <c r="RT17" s="11"/>
      <c r="RU17" s="11"/>
      <c r="RV17" s="766" t="s">
        <v>7419</v>
      </c>
      <c r="RW17" s="11" t="s">
        <v>7567</v>
      </c>
      <c r="RX17" s="11" t="s">
        <v>30</v>
      </c>
      <c r="RY17" s="11"/>
      <c r="RZ17" s="11"/>
      <c r="SA17" s="766"/>
      <c r="SB17" s="11"/>
      <c r="SC17" s="11"/>
    </row>
    <row r="18" spans="1:497" ht="12.75" hidden="1" customHeight="1">
      <c r="A18" s="154" t="s">
        <v>7419</v>
      </c>
      <c r="B18" s="1131" t="s">
        <v>12392</v>
      </c>
      <c r="C18" s="168" t="s">
        <v>39</v>
      </c>
      <c r="D18" s="766" t="s">
        <v>40</v>
      </c>
      <c r="E18" s="766" t="s">
        <v>41</v>
      </c>
      <c r="F18" s="766"/>
      <c r="G18" s="766"/>
      <c r="H18" s="766"/>
      <c r="I18" s="5"/>
      <c r="J18" s="766"/>
      <c r="K18" s="766"/>
      <c r="L18" s="766"/>
      <c r="M18" s="766"/>
      <c r="N18" s="766"/>
      <c r="O18" s="766"/>
      <c r="P18" s="14" t="s">
        <v>713</v>
      </c>
      <c r="Q18" s="1085">
        <v>22976</v>
      </c>
      <c r="R18" s="25">
        <v>54</v>
      </c>
      <c r="S18" s="766" t="s">
        <v>18</v>
      </c>
      <c r="T18" s="766"/>
      <c r="U18" s="26" t="s">
        <v>714</v>
      </c>
      <c r="V18" s="766" t="s">
        <v>707</v>
      </c>
      <c r="W18" s="766"/>
      <c r="X18" s="766"/>
      <c r="Y18" s="766" t="s">
        <v>715</v>
      </c>
      <c r="Z18" s="770"/>
      <c r="AA18" s="770"/>
      <c r="AB18" s="770"/>
      <c r="AC18" s="770"/>
      <c r="AD18" s="770"/>
      <c r="AE18" s="766"/>
      <c r="AF18" s="766"/>
      <c r="AG18" s="766" t="s">
        <v>1095</v>
      </c>
      <c r="AH18" s="766" t="s">
        <v>1096</v>
      </c>
      <c r="AI18" s="766" t="s">
        <v>12269</v>
      </c>
      <c r="AJ18" s="766"/>
      <c r="AK18" s="766" t="s">
        <v>1097</v>
      </c>
      <c r="AL18" s="121">
        <v>298</v>
      </c>
      <c r="AM18" s="772">
        <v>8</v>
      </c>
      <c r="AN18" s="774">
        <f>AM18/AL18</f>
        <v>2.6845637583892617E-2</v>
      </c>
      <c r="AO18" s="766" t="s">
        <v>1098</v>
      </c>
      <c r="AP18" s="766"/>
      <c r="AQ18" s="766"/>
      <c r="AR18" s="766"/>
      <c r="AS18" s="766"/>
      <c r="AT18" s="766"/>
      <c r="AU18" s="766"/>
      <c r="AV18" s="766"/>
      <c r="AW18" s="766"/>
      <c r="AX18" s="766"/>
      <c r="AY18" s="766"/>
      <c r="AZ18" s="766"/>
      <c r="BA18" s="766"/>
      <c r="BB18" s="766"/>
      <c r="BC18" s="766"/>
      <c r="BD18" s="766"/>
      <c r="BE18" s="766"/>
      <c r="BF18" s="775"/>
      <c r="BG18" s="775"/>
      <c r="BH18" s="766"/>
      <c r="BI18" s="766"/>
      <c r="BJ18" s="766"/>
      <c r="BK18" s="766"/>
      <c r="BL18" s="766"/>
      <c r="BM18" s="766"/>
      <c r="BN18" s="766"/>
      <c r="BO18" s="766"/>
      <c r="BP18" s="776"/>
      <c r="BQ18" s="776"/>
      <c r="BR18" s="776"/>
      <c r="BS18" s="766"/>
      <c r="BT18" s="766"/>
      <c r="BU18" s="766"/>
      <c r="BV18" s="766"/>
      <c r="BW18" s="429"/>
      <c r="BX18" s="779"/>
      <c r="BY18" s="766"/>
      <c r="BZ18" s="775"/>
      <c r="CA18" s="766"/>
      <c r="CB18" s="766" t="s">
        <v>1207</v>
      </c>
      <c r="CC18" s="766"/>
      <c r="CD18" s="766"/>
      <c r="CE18" s="766"/>
      <c r="CF18" s="766"/>
      <c r="CG18" s="766"/>
      <c r="CH18" s="766"/>
      <c r="CI18" s="766"/>
      <c r="CJ18" s="766"/>
      <c r="CK18" s="766"/>
      <c r="CL18" s="766"/>
      <c r="CM18" s="766"/>
      <c r="CN18" s="766"/>
      <c r="CO18" s="766"/>
      <c r="CP18" s="766"/>
      <c r="CQ18" s="766"/>
      <c r="CR18" s="775"/>
      <c r="CS18" s="766"/>
      <c r="CT18" s="766"/>
      <c r="CU18" s="129"/>
      <c r="CV18" s="766"/>
      <c r="CW18" s="766"/>
      <c r="CX18" s="766"/>
      <c r="CY18" s="766"/>
      <c r="CZ18" s="766"/>
      <c r="DA18" s="766"/>
      <c r="DB18" s="766"/>
      <c r="DC18" s="766"/>
      <c r="DD18" s="766"/>
      <c r="DE18" s="766"/>
      <c r="DF18" s="766"/>
      <c r="DG18" s="766"/>
      <c r="DH18" s="766"/>
      <c r="DI18" s="766"/>
      <c r="DJ18" s="766"/>
      <c r="DK18" s="766"/>
      <c r="DL18" s="766"/>
      <c r="DM18" s="766"/>
      <c r="DN18" s="766"/>
      <c r="DO18" s="766"/>
      <c r="DP18" s="766"/>
      <c r="DQ18" s="766"/>
      <c r="DR18" s="766"/>
      <c r="DS18" s="59"/>
      <c r="DT18" s="766"/>
      <c r="DU18" s="766"/>
      <c r="DV18" s="766"/>
      <c r="DW18" s="66"/>
      <c r="DX18" s="66"/>
      <c r="DY18" s="766"/>
      <c r="DZ18" s="766"/>
      <c r="EA18" s="766"/>
      <c r="EB18" s="766"/>
      <c r="EC18" s="766"/>
      <c r="ED18" s="766"/>
      <c r="EE18" s="766"/>
      <c r="EF18" s="766"/>
      <c r="EG18" s="766"/>
      <c r="EH18" s="766"/>
      <c r="EI18" s="766"/>
      <c r="EJ18" s="766"/>
      <c r="EK18" s="766"/>
      <c r="EL18" s="766"/>
      <c r="EM18" s="766"/>
      <c r="EN18" s="766"/>
      <c r="EO18" s="766"/>
      <c r="EP18" s="766"/>
      <c r="EQ18" s="766"/>
      <c r="ER18" s="766"/>
      <c r="ES18" s="766"/>
      <c r="ET18" s="766"/>
      <c r="EU18" s="766"/>
      <c r="EV18" s="766"/>
      <c r="EW18" s="766"/>
      <c r="EX18" s="766"/>
      <c r="EY18" s="766"/>
      <c r="EZ18" s="766" t="s">
        <v>12269</v>
      </c>
      <c r="FA18" s="766" t="s">
        <v>12296</v>
      </c>
      <c r="FB18" s="766" t="s">
        <v>1242</v>
      </c>
      <c r="FC18" s="766">
        <v>1981</v>
      </c>
      <c r="FD18" s="775"/>
      <c r="FE18" s="766" t="s">
        <v>12297</v>
      </c>
      <c r="FF18" s="766"/>
      <c r="FG18" s="766" t="s">
        <v>12298</v>
      </c>
      <c r="FH18" s="770"/>
      <c r="FI18" s="770"/>
      <c r="FJ18" s="766"/>
      <c r="FK18" s="766"/>
      <c r="FL18" s="766"/>
      <c r="FM18" s="775"/>
      <c r="FN18" s="775"/>
      <c r="FO18" s="775"/>
      <c r="FP18" s="770"/>
      <c r="FQ18" s="770"/>
      <c r="FR18" s="766" t="s">
        <v>1207</v>
      </c>
      <c r="FS18" s="766" t="s">
        <v>1208</v>
      </c>
      <c r="FT18" s="766"/>
      <c r="FU18" s="766"/>
      <c r="FV18" s="766"/>
      <c r="FW18" s="766" t="s">
        <v>1208</v>
      </c>
      <c r="FX18" s="766" t="s">
        <v>1208</v>
      </c>
      <c r="FY18" s="766"/>
      <c r="FZ18" s="766"/>
      <c r="GA18" s="766"/>
      <c r="GB18" s="766" t="s">
        <v>5466</v>
      </c>
      <c r="GC18" s="75" t="s">
        <v>5465</v>
      </c>
      <c r="GD18" s="25"/>
      <c r="GE18" s="766" t="s">
        <v>1698</v>
      </c>
      <c r="GF18" s="775"/>
      <c r="GG18" s="775"/>
      <c r="GH18" s="766"/>
      <c r="GI18" s="766"/>
      <c r="GJ18" s="766"/>
      <c r="GK18" s="766"/>
      <c r="GL18" s="766"/>
      <c r="GM18" s="766"/>
      <c r="GN18" s="82"/>
      <c r="GO18" s="766"/>
      <c r="GP18" s="766"/>
      <c r="GQ18" s="766"/>
      <c r="GR18" s="766"/>
      <c r="GS18" s="766"/>
      <c r="GT18" s="766"/>
      <c r="GU18" s="766"/>
      <c r="GV18" s="766"/>
      <c r="GW18" s="766"/>
      <c r="GX18" s="766"/>
      <c r="GY18" s="766"/>
      <c r="GZ18" s="766"/>
      <c r="HA18" s="766"/>
      <c r="HB18" s="766"/>
      <c r="HC18" s="766"/>
      <c r="HD18" s="766"/>
      <c r="HE18" s="766"/>
      <c r="HF18" s="766"/>
      <c r="HG18" s="766"/>
      <c r="HH18" s="766"/>
      <c r="HI18" s="766"/>
      <c r="HJ18" s="766"/>
      <c r="HK18" s="766"/>
      <c r="HL18" s="766"/>
      <c r="HM18" s="766"/>
      <c r="HN18" s="766"/>
      <c r="HO18" s="766"/>
      <c r="HP18" s="766"/>
      <c r="HQ18" s="766"/>
      <c r="HR18" s="766"/>
      <c r="HS18" s="766"/>
      <c r="HT18" s="766"/>
      <c r="HU18" s="766"/>
      <c r="HV18" s="766"/>
      <c r="HW18" s="766"/>
      <c r="HX18" s="766"/>
      <c r="HY18" s="766"/>
      <c r="HZ18" s="766"/>
      <c r="IA18" s="766"/>
      <c r="IB18" s="766"/>
      <c r="IC18" s="766"/>
      <c r="ID18" s="766"/>
      <c r="IE18" s="766"/>
      <c r="IF18" s="766"/>
      <c r="IG18" s="766"/>
      <c r="IH18" s="766"/>
      <c r="II18" s="766"/>
      <c r="IJ18" s="766"/>
      <c r="IK18" s="766"/>
      <c r="IL18" s="766"/>
      <c r="IM18" s="766"/>
      <c r="IN18" s="766"/>
      <c r="IO18" s="766"/>
      <c r="IP18" s="766"/>
      <c r="IQ18" s="766"/>
      <c r="IR18" s="775"/>
      <c r="IS18" s="76"/>
      <c r="IT18" s="76"/>
      <c r="IU18" s="76"/>
      <c r="IV18" s="76"/>
      <c r="IW18" s="766"/>
      <c r="IX18" s="766"/>
      <c r="IY18" s="766"/>
      <c r="IZ18" s="766"/>
      <c r="JA18" s="766"/>
      <c r="JB18" s="766"/>
      <c r="JC18" s="766"/>
      <c r="JD18" s="775"/>
      <c r="JE18" s="76"/>
      <c r="JF18" s="76"/>
      <c r="JG18" s="76"/>
      <c r="JH18" s="76"/>
      <c r="JI18" s="76"/>
      <c r="JJ18" s="770"/>
      <c r="JK18" s="770"/>
      <c r="JL18" s="770"/>
      <c r="JM18" s="770"/>
      <c r="JN18" s="770"/>
      <c r="JO18" s="770"/>
      <c r="JP18" s="770"/>
      <c r="JQ18" s="770"/>
      <c r="JR18" s="770"/>
      <c r="JS18" s="770"/>
      <c r="JT18" s="766"/>
      <c r="JU18" s="766"/>
      <c r="JV18" s="766"/>
      <c r="JW18" s="766"/>
      <c r="JX18" s="770"/>
      <c r="JY18" s="770"/>
      <c r="JZ18" s="770"/>
      <c r="KA18" s="770"/>
      <c r="KB18" s="770"/>
      <c r="KC18" s="770"/>
      <c r="KD18" s="770"/>
      <c r="KE18" s="770"/>
      <c r="KF18" s="770"/>
      <c r="KG18" s="770"/>
      <c r="KH18" s="770"/>
      <c r="KI18" s="770"/>
      <c r="KJ18" s="770"/>
      <c r="KK18" s="770"/>
      <c r="KL18" s="770"/>
      <c r="KM18" s="770"/>
      <c r="KN18" s="770"/>
      <c r="KO18" s="770"/>
      <c r="KP18" s="770"/>
      <c r="KQ18" s="770"/>
      <c r="KR18" s="770"/>
      <c r="KS18" s="770"/>
      <c r="KT18" s="770"/>
      <c r="KU18" s="770"/>
      <c r="KV18" s="770"/>
      <c r="KW18" s="770"/>
      <c r="KX18" s="770"/>
      <c r="KY18" s="770"/>
      <c r="KZ18" s="770"/>
      <c r="LA18" s="770"/>
      <c r="LB18" s="770"/>
      <c r="LC18" s="770"/>
      <c r="LD18" s="770"/>
      <c r="LE18" s="770"/>
      <c r="LF18" s="770"/>
      <c r="LG18" s="770"/>
      <c r="LH18" s="770"/>
      <c r="LI18" s="770"/>
      <c r="LJ18" s="770"/>
      <c r="LK18" s="770"/>
      <c r="LL18" s="770"/>
      <c r="LM18" s="770"/>
      <c r="LN18" s="766"/>
      <c r="LO18" s="766"/>
      <c r="LP18" s="770"/>
      <c r="LQ18" s="770"/>
      <c r="LR18" s="770"/>
      <c r="LS18" s="770"/>
      <c r="LT18" s="770"/>
      <c r="LU18" s="770"/>
      <c r="LV18" s="770"/>
      <c r="LW18" s="766"/>
      <c r="LX18" s="769"/>
      <c r="LY18" s="766" t="str">
        <f t="shared" si="0"/>
        <v/>
      </c>
      <c r="LZ18" s="1696"/>
      <c r="MA18" s="1696"/>
      <c r="MB18" s="1697"/>
      <c r="MC18" s="1679">
        <f t="shared" si="1"/>
        <v>0</v>
      </c>
      <c r="MD18" s="1696"/>
      <c r="ME18" s="1696"/>
      <c r="MF18" s="1696"/>
      <c r="MG18" s="1680">
        <f t="shared" si="2"/>
        <v>0</v>
      </c>
      <c r="MH18" s="1681"/>
      <c r="MI18" s="302"/>
      <c r="MJ18" s="302"/>
      <c r="MK18" s="302"/>
      <c r="ML18" s="302"/>
      <c r="MM18" s="302"/>
      <c r="MN18" s="302"/>
      <c r="MO18" s="302"/>
      <c r="MP18" s="302"/>
      <c r="MQ18" s="302"/>
      <c r="MR18" s="302"/>
      <c r="MS18" s="302"/>
      <c r="MT18" s="775"/>
      <c r="MU18" s="775"/>
      <c r="MV18" s="775"/>
      <c r="MW18" s="775"/>
      <c r="MX18" s="775"/>
      <c r="MY18" s="1682">
        <f t="shared" si="3"/>
        <v>0</v>
      </c>
      <c r="MZ18" s="766"/>
      <c r="NA18" s="766"/>
      <c r="NB18" s="766"/>
      <c r="NC18" s="766"/>
      <c r="ND18" s="766"/>
      <c r="NE18" s="766"/>
      <c r="NF18" s="766"/>
      <c r="NG18" s="766"/>
      <c r="NH18" s="766"/>
      <c r="NI18" s="766"/>
      <c r="NJ18" s="766"/>
      <c r="NK18" s="766"/>
      <c r="NL18" s="766"/>
      <c r="NM18" s="766"/>
      <c r="NN18" s="766"/>
      <c r="NO18" s="766"/>
      <c r="NP18" s="766"/>
      <c r="NQ18" s="766"/>
      <c r="NR18" s="766"/>
      <c r="NS18" s="766"/>
      <c r="NT18" s="766"/>
      <c r="NU18" s="766"/>
      <c r="NV18" s="766"/>
      <c r="NW18" s="766"/>
      <c r="NX18" s="766"/>
      <c r="NY18" s="766"/>
      <c r="NZ18" s="766"/>
      <c r="OA18" s="766"/>
      <c r="OB18" s="766"/>
      <c r="OC18" s="766"/>
      <c r="OD18" s="766"/>
      <c r="OE18" s="766"/>
      <c r="OF18" s="766"/>
      <c r="OG18" s="766"/>
      <c r="OH18" s="766"/>
      <c r="OI18" s="766"/>
      <c r="OJ18" s="766"/>
      <c r="OK18" s="76"/>
      <c r="OL18" s="766"/>
      <c r="OM18" s="766"/>
      <c r="ON18" s="766"/>
      <c r="OO18" s="766"/>
      <c r="OP18" s="766"/>
      <c r="OQ18" s="766"/>
      <c r="OR18" s="766"/>
      <c r="OS18" s="766"/>
      <c r="OT18" s="766"/>
      <c r="OU18" s="766"/>
      <c r="OV18" s="766"/>
      <c r="OW18" s="766"/>
      <c r="OX18" s="766"/>
      <c r="OY18" s="766"/>
      <c r="OZ18" s="766"/>
      <c r="PA18" s="766"/>
      <c r="PB18" s="766"/>
      <c r="PC18" s="766"/>
      <c r="PD18" s="766"/>
      <c r="PE18" s="766"/>
      <c r="PF18" s="766"/>
      <c r="PG18" s="766"/>
      <c r="PH18" s="766"/>
      <c r="PI18" s="766"/>
      <c r="PJ18" s="766"/>
      <c r="PK18" s="766"/>
      <c r="PL18" s="766"/>
      <c r="PM18" s="766"/>
      <c r="PN18" s="766"/>
      <c r="PO18" s="766"/>
      <c r="PP18" s="766"/>
      <c r="PQ18" s="766"/>
      <c r="PR18" s="766"/>
      <c r="PS18" s="766"/>
      <c r="PT18" s="766"/>
      <c r="PU18" s="766"/>
      <c r="PV18" s="766"/>
      <c r="PW18" s="766"/>
      <c r="PX18" s="766"/>
      <c r="PY18" s="766"/>
      <c r="PZ18" s="766"/>
      <c r="QA18" s="766"/>
      <c r="QB18" s="766"/>
      <c r="QC18" s="766"/>
      <c r="QD18" s="766"/>
      <c r="QE18" s="766"/>
      <c r="QF18" s="766"/>
      <c r="QG18" s="766"/>
      <c r="QH18" s="766"/>
      <c r="QI18" s="766"/>
      <c r="QJ18" s="766"/>
      <c r="QK18" s="766"/>
      <c r="QL18" s="766"/>
      <c r="QM18" s="766"/>
      <c r="QN18" s="766"/>
      <c r="QO18" s="766"/>
      <c r="QP18" s="766"/>
      <c r="QQ18" s="766"/>
      <c r="QR18" s="766"/>
      <c r="QS18" s="766"/>
      <c r="QT18" s="766"/>
      <c r="QU18" s="766"/>
      <c r="QV18" s="766"/>
      <c r="QW18" s="766"/>
      <c r="QX18" s="766"/>
      <c r="QY18" s="766"/>
      <c r="QZ18" s="766"/>
      <c r="RA18" s="766"/>
      <c r="RB18" s="770"/>
      <c r="RC18" s="770"/>
      <c r="RD18" s="770"/>
      <c r="RE18" s="770"/>
      <c r="RF18" s="304"/>
      <c r="RG18" s="770"/>
      <c r="RH18" s="306"/>
      <c r="RI18" s="770"/>
      <c r="RJ18" s="766" t="s">
        <v>2148</v>
      </c>
      <c r="RK18" s="766" t="s">
        <v>13024</v>
      </c>
      <c r="RL18" s="1683"/>
      <c r="RM18" s="12"/>
      <c r="RN18" s="1711"/>
      <c r="RO18" s="168" t="s">
        <v>39</v>
      </c>
      <c r="RP18" s="11"/>
      <c r="RQ18" s="11"/>
      <c r="RR18" s="771"/>
      <c r="RS18" s="767"/>
      <c r="RT18" s="11"/>
      <c r="RU18" s="11"/>
      <c r="RV18" s="771" t="s">
        <v>7419</v>
      </c>
      <c r="RW18" s="11" t="s">
        <v>7568</v>
      </c>
      <c r="RX18" s="11" t="s">
        <v>35</v>
      </c>
      <c r="RY18" s="11">
        <v>0.71</v>
      </c>
      <c r="RZ18" s="11"/>
      <c r="SA18" s="771"/>
      <c r="SB18" s="11"/>
      <c r="SC18" s="11"/>
    </row>
    <row r="19" spans="1:497" ht="12.75" customHeight="1">
      <c r="A19" s="767" t="s">
        <v>7421</v>
      </c>
      <c r="B19" s="288" t="s">
        <v>7939</v>
      </c>
      <c r="C19" s="168" t="s">
        <v>46</v>
      </c>
      <c r="D19" s="766" t="s">
        <v>5467</v>
      </c>
      <c r="E19" s="766" t="s">
        <v>45</v>
      </c>
      <c r="F19" s="766"/>
      <c r="G19" s="766"/>
      <c r="H19" s="766"/>
      <c r="I19" s="5"/>
      <c r="J19" s="766"/>
      <c r="K19" s="766"/>
      <c r="L19" s="766"/>
      <c r="M19" s="766"/>
      <c r="N19" s="766"/>
      <c r="O19" s="766"/>
      <c r="P19" s="14" t="s">
        <v>721</v>
      </c>
      <c r="Q19" s="1085">
        <v>29954</v>
      </c>
      <c r="R19" s="25">
        <v>31</v>
      </c>
      <c r="S19" s="766" t="s">
        <v>10</v>
      </c>
      <c r="T19" s="766"/>
      <c r="U19" s="26"/>
      <c r="V19" s="766" t="s">
        <v>722</v>
      </c>
      <c r="W19" s="766"/>
      <c r="X19" s="766"/>
      <c r="Y19" s="766" t="s">
        <v>720</v>
      </c>
      <c r="Z19" s="766" t="s">
        <v>708</v>
      </c>
      <c r="AA19" s="766" t="s">
        <v>723</v>
      </c>
      <c r="AB19" s="766" t="s">
        <v>7273</v>
      </c>
      <c r="AC19" s="766" t="s">
        <v>724</v>
      </c>
      <c r="AD19" s="766" t="s">
        <v>110</v>
      </c>
      <c r="AE19" s="766"/>
      <c r="AF19" s="766" t="s">
        <v>908</v>
      </c>
      <c r="AG19" s="766" t="s">
        <v>1095</v>
      </c>
      <c r="AH19" s="766" t="s">
        <v>1096</v>
      </c>
      <c r="AI19" s="766" t="s">
        <v>1103</v>
      </c>
      <c r="AJ19" s="766"/>
      <c r="AK19" s="766" t="s">
        <v>1101</v>
      </c>
      <c r="AL19" s="333"/>
      <c r="AM19" s="334"/>
      <c r="AN19" s="560"/>
      <c r="AO19" s="766" t="s">
        <v>1113</v>
      </c>
      <c r="AP19" s="766"/>
      <c r="AQ19" s="766"/>
      <c r="AR19" s="766"/>
      <c r="AS19" s="766"/>
      <c r="AT19" s="766"/>
      <c r="AU19" s="766"/>
      <c r="AV19" s="766"/>
      <c r="AW19" s="766"/>
      <c r="AX19" s="766"/>
      <c r="AY19" s="766"/>
      <c r="AZ19" s="766"/>
      <c r="BA19" s="766"/>
      <c r="BB19" s="766"/>
      <c r="BC19" s="766"/>
      <c r="BD19" s="766"/>
      <c r="BE19" s="766"/>
      <c r="BF19" s="775"/>
      <c r="BG19" s="775"/>
      <c r="BH19" s="766"/>
      <c r="BI19" s="766"/>
      <c r="BJ19" s="766"/>
      <c r="BK19" s="766" t="s">
        <v>1095</v>
      </c>
      <c r="BL19" s="766" t="s">
        <v>2044</v>
      </c>
      <c r="BM19" s="766" t="s">
        <v>1096</v>
      </c>
      <c r="BN19" s="766" t="s">
        <v>1230</v>
      </c>
      <c r="BO19" s="766" t="s">
        <v>1246</v>
      </c>
      <c r="BP19" s="429"/>
      <c r="BQ19" s="772">
        <v>11.25</v>
      </c>
      <c r="BR19" s="429"/>
      <c r="BS19" s="766" t="s">
        <v>1149</v>
      </c>
      <c r="BT19" s="766" t="s">
        <v>1326</v>
      </c>
      <c r="BU19" s="766" t="s">
        <v>1249</v>
      </c>
      <c r="BV19" s="766" t="s">
        <v>1247</v>
      </c>
      <c r="BW19" s="429"/>
      <c r="BX19" s="779"/>
      <c r="BY19" s="766"/>
      <c r="BZ19" s="775"/>
      <c r="CA19" s="766"/>
      <c r="CB19" s="766"/>
      <c r="CC19" s="766"/>
      <c r="CD19" s="766"/>
      <c r="CE19" s="766"/>
      <c r="CF19" s="231"/>
      <c r="CG19" s="231"/>
      <c r="CH19" s="766"/>
      <c r="CI19" s="766"/>
      <c r="CJ19" s="766"/>
      <c r="CK19" s="766"/>
      <c r="CL19" s="766"/>
      <c r="CM19" s="766"/>
      <c r="CN19" s="766"/>
      <c r="CO19" s="766"/>
      <c r="CP19" s="766"/>
      <c r="CQ19" s="766"/>
      <c r="CR19" s="775"/>
      <c r="CS19" s="766"/>
      <c r="CT19" s="766"/>
      <c r="CU19" s="129"/>
      <c r="CV19" s="766"/>
      <c r="CW19" s="766"/>
      <c r="CX19" s="766"/>
      <c r="CY19" s="766"/>
      <c r="CZ19" s="766"/>
      <c r="DA19" s="766"/>
      <c r="DB19" s="766"/>
      <c r="DC19" s="766"/>
      <c r="DD19" s="766"/>
      <c r="DE19" s="766"/>
      <c r="DF19" s="766"/>
      <c r="DG19" s="766"/>
      <c r="DH19" s="766"/>
      <c r="DI19" s="766"/>
      <c r="DJ19" s="766"/>
      <c r="DK19" s="766"/>
      <c r="DL19" s="766"/>
      <c r="DM19" s="766"/>
      <c r="DN19" s="766"/>
      <c r="DO19" s="766"/>
      <c r="DP19" s="766"/>
      <c r="DQ19" s="766"/>
      <c r="DR19" s="766"/>
      <c r="DS19" s="59"/>
      <c r="DT19" s="766"/>
      <c r="DU19" s="766"/>
      <c r="DV19" s="766"/>
      <c r="DW19" s="66"/>
      <c r="DX19" s="66"/>
      <c r="DY19" s="766"/>
      <c r="DZ19" s="766"/>
      <c r="EA19" s="766"/>
      <c r="EB19" s="766"/>
      <c r="EC19" s="766"/>
      <c r="ED19" s="766"/>
      <c r="EE19" s="766"/>
      <c r="EF19" s="766"/>
      <c r="EG19" s="766"/>
      <c r="EH19" s="766"/>
      <c r="EI19" s="766"/>
      <c r="EJ19" s="766"/>
      <c r="EK19" s="766"/>
      <c r="EL19" s="766"/>
      <c r="EM19" s="766"/>
      <c r="EN19" s="766"/>
      <c r="EO19" s="766"/>
      <c r="EP19" s="766"/>
      <c r="EQ19" s="766"/>
      <c r="ER19" s="766"/>
      <c r="ES19" s="766"/>
      <c r="ET19" s="766"/>
      <c r="EU19" s="766"/>
      <c r="EV19" s="766"/>
      <c r="EW19" s="766"/>
      <c r="EX19" s="766"/>
      <c r="EY19" s="766"/>
      <c r="EZ19" s="766"/>
      <c r="FA19" s="766"/>
      <c r="FB19" s="766"/>
      <c r="FC19" s="766"/>
      <c r="FD19" s="775"/>
      <c r="FE19" s="766"/>
      <c r="FF19" s="766"/>
      <c r="FG19" s="766"/>
      <c r="FH19" s="766" t="s">
        <v>1306</v>
      </c>
      <c r="FI19" s="766">
        <v>1</v>
      </c>
      <c r="FJ19" s="766"/>
      <c r="FK19" s="766"/>
      <c r="FL19" s="766"/>
      <c r="FM19" s="147">
        <v>1400</v>
      </c>
      <c r="FN19" s="775"/>
      <c r="FO19" s="775"/>
      <c r="FP19" s="766" t="s">
        <v>1602</v>
      </c>
      <c r="FQ19" s="766" t="s">
        <v>1660</v>
      </c>
      <c r="FR19" s="766"/>
      <c r="FS19" s="766"/>
      <c r="FT19" s="766"/>
      <c r="FU19" s="766"/>
      <c r="FV19" s="766"/>
      <c r="FW19" s="766"/>
      <c r="FX19" s="766"/>
      <c r="FY19" s="766"/>
      <c r="FZ19" s="766"/>
      <c r="GA19" s="766"/>
      <c r="GB19" s="766"/>
      <c r="GC19" s="75"/>
      <c r="GD19" s="25"/>
      <c r="GE19" s="766"/>
      <c r="GF19" s="775"/>
      <c r="GG19" s="775"/>
      <c r="GH19" s="712" t="s">
        <v>1791</v>
      </c>
      <c r="GI19" s="770"/>
      <c r="GJ19" s="12" t="s">
        <v>1792</v>
      </c>
      <c r="GK19" s="766" t="s">
        <v>1806</v>
      </c>
      <c r="GL19" s="12"/>
      <c r="GM19" s="770"/>
      <c r="GN19" s="299">
        <v>150</v>
      </c>
      <c r="GO19" s="770"/>
      <c r="GP19" s="770" t="s">
        <v>1208</v>
      </c>
      <c r="GQ19" s="770"/>
      <c r="GR19" s="770"/>
      <c r="GS19" s="770"/>
      <c r="GT19" s="12"/>
      <c r="GU19" s="770"/>
      <c r="GV19" s="770"/>
      <c r="GW19" s="770" t="s">
        <v>1207</v>
      </c>
      <c r="GX19" s="12"/>
      <c r="GY19" s="770" t="s">
        <v>1208</v>
      </c>
      <c r="GZ19" s="770" t="s">
        <v>1208</v>
      </c>
      <c r="HA19" s="770"/>
      <c r="HB19" s="770"/>
      <c r="HC19" s="770" t="s">
        <v>1208</v>
      </c>
      <c r="HD19" s="770" t="s">
        <v>1208</v>
      </c>
      <c r="HE19" s="770" t="s">
        <v>1208</v>
      </c>
      <c r="HF19" s="12"/>
      <c r="HG19" s="770"/>
      <c r="HH19" s="770"/>
      <c r="HI19" s="770" t="s">
        <v>1214</v>
      </c>
      <c r="HJ19" s="12"/>
      <c r="HK19" s="12"/>
      <c r="HL19" s="12" t="s">
        <v>1214</v>
      </c>
      <c r="HM19" s="12"/>
      <c r="HN19" s="12"/>
      <c r="HO19" s="766"/>
      <c r="HP19" s="766"/>
      <c r="HQ19" s="766"/>
      <c r="HR19" s="766"/>
      <c r="HS19" s="766"/>
      <c r="HT19" s="766"/>
      <c r="HU19" s="766"/>
      <c r="HV19" s="766"/>
      <c r="HW19" s="766"/>
      <c r="HX19" s="766"/>
      <c r="HY19" s="766"/>
      <c r="HZ19" s="766"/>
      <c r="IA19" s="766"/>
      <c r="IB19" s="14" t="e">
        <f>IF(#REF!&gt;0,IF(#REF!&lt;=10000,"Y",""),"")</f>
        <v>#REF!</v>
      </c>
      <c r="IC19" s="766"/>
      <c r="ID19" s="766"/>
      <c r="IE19" s="766"/>
      <c r="IF19" s="766"/>
      <c r="IG19" s="766"/>
      <c r="IH19" s="766"/>
      <c r="II19" s="766"/>
      <c r="IJ19" s="766"/>
      <c r="IK19" s="766"/>
      <c r="IL19" s="766"/>
      <c r="IM19" s="766"/>
      <c r="IN19" s="766"/>
      <c r="IO19" s="766"/>
      <c r="IP19" s="766"/>
      <c r="IQ19" s="766"/>
      <c r="IR19" s="775"/>
      <c r="IS19" s="76"/>
      <c r="IT19" s="76"/>
      <c r="IU19" s="76"/>
      <c r="IV19" s="76"/>
      <c r="IW19" s="766"/>
      <c r="IX19" s="766"/>
      <c r="IY19" s="766"/>
      <c r="IZ19" s="766"/>
      <c r="JA19" s="766"/>
      <c r="JB19" s="766"/>
      <c r="JC19" s="766"/>
      <c r="JD19" s="775"/>
      <c r="JE19" s="76"/>
      <c r="JF19" s="76"/>
      <c r="JG19" s="76"/>
      <c r="JH19" s="76"/>
      <c r="JI19" s="712" t="str">
        <f>IF(SUM(JT19,JU19)=JJ19,"ok","review")</f>
        <v>ok</v>
      </c>
      <c r="JJ19" s="766">
        <v>2</v>
      </c>
      <c r="JK19" s="1139" t="s">
        <v>2044</v>
      </c>
      <c r="JL19" s="766"/>
      <c r="JM19" s="766"/>
      <c r="JN19" s="766">
        <v>1</v>
      </c>
      <c r="JO19" s="766">
        <v>1</v>
      </c>
      <c r="JP19" s="766"/>
      <c r="JQ19" s="766"/>
      <c r="JR19" s="766"/>
      <c r="JS19" s="766"/>
      <c r="JT19" s="766">
        <f>SUM(JP19,JN19,JL19,JR19)</f>
        <v>1</v>
      </c>
      <c r="JU19" s="766">
        <f>SUM(JQ19,JO19,JM19,JS19)</f>
        <v>1</v>
      </c>
      <c r="JV19" s="712" t="str">
        <f>IF(JT19=KJ19,"ok","male")</f>
        <v>ok</v>
      </c>
      <c r="JW19" s="712" t="str">
        <f>IF(JU19=KK19,"ok","female")</f>
        <v>ok</v>
      </c>
      <c r="JX19" s="766"/>
      <c r="JY19" s="766"/>
      <c r="JZ19" s="766"/>
      <c r="KA19" s="766"/>
      <c r="KB19" s="766"/>
      <c r="KC19" s="766"/>
      <c r="KD19" s="766">
        <v>1</v>
      </c>
      <c r="KE19" s="766">
        <v>1</v>
      </c>
      <c r="KF19" s="766"/>
      <c r="KG19" s="766"/>
      <c r="KH19" s="766"/>
      <c r="KI19" s="766"/>
      <c r="KJ19" s="770">
        <f>SUM(KF19,KD19,KB19,JZ19,JX19,KH19)</f>
        <v>1</v>
      </c>
      <c r="KK19" s="770">
        <f>SUM(KG19,KE19,KC19,KA19,JY19,KI19)</f>
        <v>1</v>
      </c>
      <c r="KL19" s="712" t="str">
        <f>IF(KJ19=LN19,"ok","male")</f>
        <v>ok</v>
      </c>
      <c r="KM19" s="712" t="str">
        <f>IF(KK19=LO19,"ok","female")</f>
        <v>ok</v>
      </c>
      <c r="KN19" s="766" t="s">
        <v>722</v>
      </c>
      <c r="KO19" s="28"/>
      <c r="KP19" s="766"/>
      <c r="KQ19" s="766"/>
      <c r="KR19" s="766"/>
      <c r="KS19" s="766"/>
      <c r="KT19" s="766"/>
      <c r="KU19" s="766"/>
      <c r="KV19" s="766"/>
      <c r="KW19" s="766"/>
      <c r="KX19" s="766"/>
      <c r="KY19" s="766"/>
      <c r="KZ19" s="766"/>
      <c r="LA19" s="766">
        <v>1</v>
      </c>
      <c r="LB19" s="766">
        <v>1</v>
      </c>
      <c r="LC19" s="766"/>
      <c r="LD19" s="766"/>
      <c r="LE19" s="766"/>
      <c r="LF19" s="766"/>
      <c r="LG19" s="766"/>
      <c r="LH19" s="766"/>
      <c r="LI19" s="766"/>
      <c r="LJ19" s="766"/>
      <c r="LK19" s="766"/>
      <c r="LL19" s="766"/>
      <c r="LM19" s="766"/>
      <c r="LN19" s="766">
        <f>SUM(KP19,KR19,KT19,KV19,KX19,KZ19,LB19,LD19,LF19,LH19,LJ19,LL19)</f>
        <v>1</v>
      </c>
      <c r="LO19" s="766">
        <f>SUM(KQ19,KS19,KU19,KW19,KY19,LA19,LC19,LE19,LG19,LI19,LK19,LM19)</f>
        <v>1</v>
      </c>
      <c r="LP19" s="766">
        <v>1</v>
      </c>
      <c r="LQ19" s="1678">
        <v>1</v>
      </c>
      <c r="LR19" s="766"/>
      <c r="LS19" s="766"/>
      <c r="LT19" s="712" t="str">
        <f>IF(LQ19=SUM(LU19:LW19),"OK","REV")</f>
        <v>OK</v>
      </c>
      <c r="LU19" s="766" t="s">
        <v>110</v>
      </c>
      <c r="LV19" s="766">
        <v>1</v>
      </c>
      <c r="LW19" s="766"/>
      <c r="LX19" s="769">
        <v>4</v>
      </c>
      <c r="LY19" s="766" t="str">
        <f t="shared" si="0"/>
        <v>OTHER Province</v>
      </c>
      <c r="LZ19" s="66">
        <v>6000</v>
      </c>
      <c r="MA19" s="766"/>
      <c r="MB19" s="766"/>
      <c r="MC19" s="1679">
        <f t="shared" si="1"/>
        <v>6000</v>
      </c>
      <c r="MD19" s="66">
        <v>12000</v>
      </c>
      <c r="ME19" s="66"/>
      <c r="MF19" s="66"/>
      <c r="MG19" s="1680">
        <f t="shared" si="2"/>
        <v>12000</v>
      </c>
      <c r="MH19" s="1681" t="s">
        <v>13025</v>
      </c>
      <c r="MI19" s="775">
        <f>PRODUCT(300,30)</f>
        <v>9000</v>
      </c>
      <c r="MJ19" s="775">
        <f>PRODUCT(300,26)</f>
        <v>7800</v>
      </c>
      <c r="MK19" s="775">
        <f>QUOTIENT(1000,12)</f>
        <v>83</v>
      </c>
      <c r="ML19" s="775">
        <f>QUOTIENT(1000,12)</f>
        <v>83</v>
      </c>
      <c r="MM19" s="775"/>
      <c r="MN19" s="775">
        <v>1400</v>
      </c>
      <c r="MO19" s="775">
        <v>800</v>
      </c>
      <c r="MP19" s="775">
        <v>500</v>
      </c>
      <c r="MQ19" s="775">
        <v>120</v>
      </c>
      <c r="MR19" s="775">
        <v>130</v>
      </c>
      <c r="MS19" s="775">
        <v>1000</v>
      </c>
      <c r="MT19" s="775"/>
      <c r="MU19" s="775"/>
      <c r="MV19" s="775"/>
      <c r="MW19" s="775"/>
      <c r="MX19" s="775"/>
      <c r="MY19" s="1682">
        <f t="shared" si="3"/>
        <v>20916</v>
      </c>
      <c r="MZ19" s="766" t="s">
        <v>13004</v>
      </c>
      <c r="NA19" s="766" t="s">
        <v>13005</v>
      </c>
      <c r="NB19" s="766" t="s">
        <v>13016</v>
      </c>
      <c r="NC19" s="766" t="s">
        <v>13026</v>
      </c>
      <c r="ND19" s="766">
        <v>0</v>
      </c>
      <c r="NE19" s="766">
        <v>0</v>
      </c>
      <c r="NF19" s="766">
        <v>0</v>
      </c>
      <c r="NG19" s="766">
        <v>1</v>
      </c>
      <c r="NH19" s="766">
        <v>1</v>
      </c>
      <c r="NI19" s="766">
        <v>1</v>
      </c>
      <c r="NJ19" s="766">
        <v>0</v>
      </c>
      <c r="NK19" s="766">
        <v>0</v>
      </c>
      <c r="NL19" s="766">
        <v>0</v>
      </c>
      <c r="NM19" s="766">
        <v>0</v>
      </c>
      <c r="NN19" s="766">
        <v>0</v>
      </c>
      <c r="NO19" s="766">
        <v>0</v>
      </c>
      <c r="NP19" s="766">
        <v>0</v>
      </c>
      <c r="NQ19" s="766">
        <v>0</v>
      </c>
      <c r="NR19" s="766">
        <v>0</v>
      </c>
      <c r="NS19" s="766">
        <v>0</v>
      </c>
      <c r="NT19" s="766">
        <v>0</v>
      </c>
      <c r="NU19" s="766">
        <v>0</v>
      </c>
      <c r="NV19" s="766">
        <v>0</v>
      </c>
      <c r="NW19" s="766">
        <v>0</v>
      </c>
      <c r="NX19" s="766">
        <v>0</v>
      </c>
      <c r="NY19" s="766" t="s">
        <v>1208</v>
      </c>
      <c r="NZ19" s="766"/>
      <c r="OA19" s="766"/>
      <c r="OB19" s="766" t="s">
        <v>1208</v>
      </c>
      <c r="OC19" s="766"/>
      <c r="OD19" s="766"/>
      <c r="OE19" s="766"/>
      <c r="OF19" s="766"/>
      <c r="OG19" s="1681"/>
      <c r="OH19" s="766"/>
      <c r="OI19" s="766"/>
      <c r="OJ19" s="766"/>
      <c r="OK19" s="28"/>
      <c r="OL19" s="766"/>
      <c r="OM19" s="766"/>
      <c r="ON19" s="766"/>
      <c r="OO19" s="766"/>
      <c r="OP19" s="766"/>
      <c r="OQ19" s="766"/>
      <c r="OR19" s="766"/>
      <c r="OS19" s="766"/>
      <c r="OT19" s="766"/>
      <c r="OU19" s="766"/>
      <c r="OV19" s="766"/>
      <c r="OW19" s="766"/>
      <c r="OX19" s="766"/>
      <c r="OY19" s="766"/>
      <c r="OZ19" s="766"/>
      <c r="PA19" s="766"/>
      <c r="PB19" s="766"/>
      <c r="PC19" s="766"/>
      <c r="PD19" s="766"/>
      <c r="PE19" s="766"/>
      <c r="PF19" s="766"/>
      <c r="PG19" s="766"/>
      <c r="PH19" s="766"/>
      <c r="PI19" s="766"/>
      <c r="PJ19" s="766"/>
      <c r="PK19" s="766"/>
      <c r="PL19" s="766"/>
      <c r="PM19" s="766"/>
      <c r="PN19" s="766"/>
      <c r="PO19" s="766"/>
      <c r="PP19" s="766"/>
      <c r="PQ19" s="766"/>
      <c r="PR19" s="766"/>
      <c r="PS19" s="766"/>
      <c r="PT19" s="766"/>
      <c r="PU19" s="766"/>
      <c r="PV19" s="766"/>
      <c r="PW19" s="766"/>
      <c r="PX19" s="766"/>
      <c r="PY19" s="766"/>
      <c r="PZ19" s="766"/>
      <c r="QA19" s="766"/>
      <c r="QB19" s="766"/>
      <c r="QC19" s="766"/>
      <c r="QD19" s="766"/>
      <c r="QE19" s="766"/>
      <c r="QF19" s="766"/>
      <c r="QG19" s="766"/>
      <c r="QH19" s="766"/>
      <c r="QI19" s="766"/>
      <c r="QJ19" s="766"/>
      <c r="QK19" s="766"/>
      <c r="QL19" s="766"/>
      <c r="QM19" s="766"/>
      <c r="QN19" s="766"/>
      <c r="QO19" s="766"/>
      <c r="QP19" s="766"/>
      <c r="QQ19" s="766"/>
      <c r="QR19" s="766"/>
      <c r="QS19" s="766"/>
      <c r="QT19" s="766"/>
      <c r="QU19" s="766"/>
      <c r="QV19" s="766"/>
      <c r="QW19" s="766"/>
      <c r="QX19" s="766"/>
      <c r="QY19" s="766"/>
      <c r="QZ19" s="766"/>
      <c r="RA19" s="766"/>
      <c r="RB19" s="770" t="s">
        <v>1207</v>
      </c>
      <c r="RC19" s="766"/>
      <c r="RD19" s="766" t="s">
        <v>12989</v>
      </c>
      <c r="RE19" s="766" t="s">
        <v>13008</v>
      </c>
      <c r="RF19" s="777">
        <v>0.2</v>
      </c>
      <c r="RG19" s="766" t="s">
        <v>13000</v>
      </c>
      <c r="RH19" s="775">
        <v>0</v>
      </c>
      <c r="RI19" s="766" t="s">
        <v>13027</v>
      </c>
      <c r="RJ19" s="766" t="s">
        <v>13028</v>
      </c>
      <c r="RK19" s="766" t="s">
        <v>13029</v>
      </c>
      <c r="RL19" s="1683"/>
      <c r="RM19" s="12"/>
      <c r="RN19" s="1711"/>
      <c r="RO19" s="168" t="s">
        <v>46</v>
      </c>
      <c r="RP19" s="11"/>
      <c r="RQ19" s="11"/>
      <c r="RR19" s="19" t="s">
        <v>7421</v>
      </c>
      <c r="RS19" s="1139" t="s">
        <v>12980</v>
      </c>
      <c r="RT19" s="11"/>
      <c r="RU19" s="11"/>
      <c r="RV19" s="766" t="s">
        <v>7419</v>
      </c>
      <c r="RW19" s="11" t="s">
        <v>7420</v>
      </c>
      <c r="RX19" s="11" t="s">
        <v>37</v>
      </c>
      <c r="RY19" s="11"/>
      <c r="RZ19" s="11"/>
      <c r="SA19" s="766"/>
      <c r="SB19" s="11"/>
      <c r="SC19" s="11"/>
    </row>
    <row r="20" spans="1:497" ht="12.75" customHeight="1">
      <c r="A20" s="767" t="s">
        <v>7421</v>
      </c>
      <c r="B20" s="288" t="s">
        <v>7569</v>
      </c>
      <c r="C20" s="168" t="s">
        <v>47</v>
      </c>
      <c r="D20" s="14" t="s">
        <v>11263</v>
      </c>
      <c r="E20" s="766" t="s">
        <v>11262</v>
      </c>
      <c r="F20" s="766" t="s">
        <v>20</v>
      </c>
      <c r="G20" s="766" t="s">
        <v>18</v>
      </c>
      <c r="H20" s="766"/>
      <c r="I20" s="5" t="s">
        <v>11264</v>
      </c>
      <c r="J20" s="766" t="s">
        <v>11265</v>
      </c>
      <c r="K20" s="766" t="s">
        <v>11266</v>
      </c>
      <c r="L20" s="766" t="s">
        <v>11267</v>
      </c>
      <c r="M20" s="766"/>
      <c r="N20" s="766" t="s">
        <v>11012</v>
      </c>
      <c r="O20" s="766" t="s">
        <v>11268</v>
      </c>
      <c r="P20" s="14" t="s">
        <v>725</v>
      </c>
      <c r="Q20" s="1085">
        <v>19580</v>
      </c>
      <c r="R20" s="25">
        <v>63</v>
      </c>
      <c r="S20" s="766" t="s">
        <v>10</v>
      </c>
      <c r="T20" s="766" t="s">
        <v>5345</v>
      </c>
      <c r="U20" s="26" t="s">
        <v>5344</v>
      </c>
      <c r="V20" s="766" t="s">
        <v>707</v>
      </c>
      <c r="W20" s="766"/>
      <c r="X20" s="766"/>
      <c r="Y20" s="766" t="s">
        <v>726</v>
      </c>
      <c r="Z20" s="766" t="s">
        <v>727</v>
      </c>
      <c r="AA20" s="766"/>
      <c r="AB20" s="766" t="s">
        <v>710</v>
      </c>
      <c r="AC20" s="766"/>
      <c r="AD20" s="766"/>
      <c r="AE20" s="766"/>
      <c r="AF20" s="766" t="s">
        <v>712</v>
      </c>
      <c r="AG20" s="766" t="s">
        <v>1095</v>
      </c>
      <c r="AH20" s="766" t="s">
        <v>1096</v>
      </c>
      <c r="AI20" s="766" t="s">
        <v>1103</v>
      </c>
      <c r="AJ20" s="766"/>
      <c r="AK20" s="766" t="s">
        <v>1101</v>
      </c>
      <c r="AL20" s="120">
        <v>35.270000000000003</v>
      </c>
      <c r="AM20" s="772">
        <v>0.66</v>
      </c>
      <c r="AN20" s="37">
        <f>AM20/AL20</f>
        <v>1.8712787071165294E-2</v>
      </c>
      <c r="AO20" s="766" t="s">
        <v>1098</v>
      </c>
      <c r="AP20" s="766"/>
      <c r="AQ20" s="766"/>
      <c r="AR20" s="766"/>
      <c r="AS20" s="766" t="s">
        <v>1207</v>
      </c>
      <c r="AT20" s="766" t="s">
        <v>1208</v>
      </c>
      <c r="AU20" s="766"/>
      <c r="AV20" s="766"/>
      <c r="AW20" s="766"/>
      <c r="AX20" s="766"/>
      <c r="AY20" s="766"/>
      <c r="AZ20" s="766"/>
      <c r="BA20" s="766"/>
      <c r="BB20" s="766"/>
      <c r="BC20" s="766" t="s">
        <v>796</v>
      </c>
      <c r="BD20" s="766" t="s">
        <v>1207</v>
      </c>
      <c r="BE20" s="766"/>
      <c r="BF20" s="775"/>
      <c r="BG20" s="775"/>
      <c r="BH20" s="766"/>
      <c r="BI20" s="766"/>
      <c r="BJ20" s="766"/>
      <c r="BK20" s="766" t="s">
        <v>1095</v>
      </c>
      <c r="BL20" s="766" t="s">
        <v>11833</v>
      </c>
      <c r="BM20" s="766" t="s">
        <v>1096</v>
      </c>
      <c r="BN20" s="766" t="s">
        <v>1230</v>
      </c>
      <c r="BO20" s="766" t="s">
        <v>1246</v>
      </c>
      <c r="BP20" s="1109">
        <v>35.270000000000003</v>
      </c>
      <c r="BQ20" s="772">
        <v>0.66</v>
      </c>
      <c r="BR20" s="774">
        <f>BQ20/BP20</f>
        <v>1.8712787071165294E-2</v>
      </c>
      <c r="BS20" s="766" t="s">
        <v>1242</v>
      </c>
      <c r="BT20" s="766" t="s">
        <v>8133</v>
      </c>
      <c r="BU20" s="766" t="s">
        <v>1249</v>
      </c>
      <c r="BV20" s="766" t="s">
        <v>1247</v>
      </c>
      <c r="BW20" s="429"/>
      <c r="BX20" s="779"/>
      <c r="BY20" s="766"/>
      <c r="BZ20" s="775"/>
      <c r="CA20" s="766"/>
      <c r="CB20" s="766"/>
      <c r="CC20" s="766"/>
      <c r="CD20" s="766"/>
      <c r="CE20" s="766"/>
      <c r="CF20" s="231"/>
      <c r="CG20" s="231"/>
      <c r="CH20" s="766"/>
      <c r="CI20" s="766"/>
      <c r="CJ20" s="766"/>
      <c r="CK20" s="766"/>
      <c r="CL20" s="766"/>
      <c r="CM20" s="766"/>
      <c r="CN20" s="766"/>
      <c r="CO20" s="766"/>
      <c r="CP20" s="766"/>
      <c r="CQ20" s="766"/>
      <c r="CR20" s="775"/>
      <c r="CS20" s="766"/>
      <c r="CT20" s="766"/>
      <c r="CU20" s="129"/>
      <c r="CV20" s="766"/>
      <c r="CW20" s="766"/>
      <c r="CX20" s="766"/>
      <c r="CY20" s="766"/>
      <c r="CZ20" s="766"/>
      <c r="DA20" s="766"/>
      <c r="DB20" s="766"/>
      <c r="DC20" s="766"/>
      <c r="DD20" s="766"/>
      <c r="DE20" s="766"/>
      <c r="DF20" s="766"/>
      <c r="DG20" s="766"/>
      <c r="DH20" s="766"/>
      <c r="DI20" s="766"/>
      <c r="DJ20" s="766"/>
      <c r="DK20" s="766"/>
      <c r="DL20" s="766"/>
      <c r="DM20" s="766"/>
      <c r="DN20" s="766"/>
      <c r="DO20" s="766"/>
      <c r="DP20" s="766"/>
      <c r="DQ20" s="766"/>
      <c r="DR20" s="766"/>
      <c r="DS20" s="59"/>
      <c r="DT20" s="766"/>
      <c r="DU20" s="766"/>
      <c r="DV20" s="766"/>
      <c r="DW20" s="66"/>
      <c r="DX20" s="66"/>
      <c r="DY20" s="766"/>
      <c r="DZ20" s="766"/>
      <c r="EA20" s="766"/>
      <c r="EB20" s="766"/>
      <c r="EC20" s="766"/>
      <c r="ED20" s="766"/>
      <c r="EE20" s="766"/>
      <c r="EF20" s="766"/>
      <c r="EG20" s="766"/>
      <c r="EH20" s="766"/>
      <c r="EI20" s="766"/>
      <c r="EJ20" s="766"/>
      <c r="EK20" s="766"/>
      <c r="EL20" s="766"/>
      <c r="EM20" s="766"/>
      <c r="EN20" s="766"/>
      <c r="EO20" s="766"/>
      <c r="EP20" s="766"/>
      <c r="EQ20" s="766"/>
      <c r="ER20" s="766"/>
      <c r="ES20" s="766"/>
      <c r="ET20" s="766"/>
      <c r="EU20" s="766"/>
      <c r="EV20" s="766"/>
      <c r="EW20" s="766"/>
      <c r="EX20" s="766"/>
      <c r="EY20" s="766"/>
      <c r="EZ20" s="766"/>
      <c r="FA20" s="766"/>
      <c r="FB20" s="766"/>
      <c r="FC20" s="766"/>
      <c r="FD20" s="775"/>
      <c r="FE20" s="766"/>
      <c r="FF20" s="766"/>
      <c r="FG20" s="766"/>
      <c r="FH20" s="766" t="s">
        <v>478</v>
      </c>
      <c r="FI20" s="766">
        <v>1</v>
      </c>
      <c r="FJ20" s="766"/>
      <c r="FK20" s="766"/>
      <c r="FL20" s="766"/>
      <c r="FM20" s="775"/>
      <c r="FN20" s="775"/>
      <c r="FO20" s="775"/>
      <c r="FP20" s="766" t="s">
        <v>1600</v>
      </c>
      <c r="FQ20" s="766" t="s">
        <v>1642</v>
      </c>
      <c r="FR20" s="766"/>
      <c r="FS20" s="766"/>
      <c r="FT20" s="766"/>
      <c r="FU20" s="766"/>
      <c r="FV20" s="766"/>
      <c r="FW20" s="766"/>
      <c r="FX20" s="766"/>
      <c r="FY20" s="766"/>
      <c r="FZ20" s="766"/>
      <c r="GA20" s="766"/>
      <c r="GB20" s="766"/>
      <c r="GC20" s="75"/>
      <c r="GD20" s="25"/>
      <c r="GE20" s="766"/>
      <c r="GF20" s="775"/>
      <c r="GG20" s="775"/>
      <c r="GH20" s="766" t="s">
        <v>14260</v>
      </c>
      <c r="GI20" s="12"/>
      <c r="GJ20" s="12"/>
      <c r="GK20" s="12"/>
      <c r="GL20" s="299"/>
      <c r="GM20" s="12"/>
      <c r="GN20" s="770"/>
      <c r="GO20" s="770"/>
      <c r="GP20" s="770"/>
      <c r="GQ20" s="770"/>
      <c r="GR20" s="770"/>
      <c r="GS20" s="12"/>
      <c r="GT20" s="770"/>
      <c r="GU20" s="12"/>
      <c r="GV20" s="770"/>
      <c r="GW20" s="770"/>
      <c r="GX20" s="770"/>
      <c r="GY20" s="770"/>
      <c r="GZ20" s="770"/>
      <c r="HA20" s="770"/>
      <c r="HB20" s="770"/>
      <c r="HC20" s="12"/>
      <c r="HD20" s="770"/>
      <c r="HE20" s="770"/>
      <c r="HF20" s="770"/>
      <c r="HG20" s="12"/>
      <c r="HH20" s="12"/>
      <c r="HI20" s="770" t="s">
        <v>1207</v>
      </c>
      <c r="HJ20" s="12" t="s">
        <v>7357</v>
      </c>
      <c r="HK20" s="12" t="s">
        <v>1793</v>
      </c>
      <c r="HL20" s="766"/>
      <c r="HM20" s="766" t="s">
        <v>1794</v>
      </c>
      <c r="HN20" s="766"/>
      <c r="HO20" s="766" t="s">
        <v>1795</v>
      </c>
      <c r="HP20" s="766"/>
      <c r="HQ20" s="766" t="s">
        <v>1796</v>
      </c>
      <c r="HR20" s="766">
        <v>1</v>
      </c>
      <c r="HS20" s="766"/>
      <c r="HT20" s="766"/>
      <c r="HU20" s="766"/>
      <c r="HV20" s="766"/>
      <c r="HW20" s="766"/>
      <c r="HX20" s="766"/>
      <c r="HY20" s="766"/>
      <c r="HZ20" s="766"/>
      <c r="IA20" s="766"/>
      <c r="IB20" s="14" t="e">
        <f>IF(#REF!&gt;0,IF(#REF!&lt;=10000,"Y",""),"")</f>
        <v>#REF!</v>
      </c>
      <c r="IC20" s="766"/>
      <c r="ID20" s="766">
        <v>1</v>
      </c>
      <c r="IE20" s="766"/>
      <c r="IF20" s="766"/>
      <c r="IG20" s="766"/>
      <c r="IH20" s="766"/>
      <c r="II20" s="766"/>
      <c r="IJ20" s="766"/>
      <c r="IK20" s="766"/>
      <c r="IL20" s="766"/>
      <c r="IM20" s="766"/>
      <c r="IN20" s="766"/>
      <c r="IO20" s="766"/>
      <c r="IP20" s="766"/>
      <c r="IQ20" s="766"/>
      <c r="IR20" s="775"/>
      <c r="IS20" s="76"/>
      <c r="IT20" s="76"/>
      <c r="IU20" s="76"/>
      <c r="IV20" s="76"/>
      <c r="IW20" s="766"/>
      <c r="IX20" s="766"/>
      <c r="IY20" s="766"/>
      <c r="IZ20" s="766"/>
      <c r="JA20" s="766"/>
      <c r="JB20" s="766"/>
      <c r="JC20" s="766"/>
      <c r="JD20" s="775"/>
      <c r="JE20" s="76"/>
      <c r="JF20" s="76"/>
      <c r="JG20" s="76"/>
      <c r="JH20" s="76"/>
      <c r="JI20" s="76"/>
      <c r="JJ20" s="766">
        <v>11</v>
      </c>
      <c r="JK20" s="1139" t="s">
        <v>2045</v>
      </c>
      <c r="JL20" s="766">
        <v>2</v>
      </c>
      <c r="JM20" s="766">
        <v>2</v>
      </c>
      <c r="JN20" s="766">
        <v>4</v>
      </c>
      <c r="JO20" s="766">
        <v>3</v>
      </c>
      <c r="JP20" s="766"/>
      <c r="JQ20" s="766"/>
      <c r="JR20" s="766"/>
      <c r="JS20" s="766"/>
      <c r="JT20" s="766">
        <f>SUM(JP20,JN20,JL20,JR20)</f>
        <v>6</v>
      </c>
      <c r="JU20" s="766">
        <f>SUM(JQ20,JO20,JM20,JS20)</f>
        <v>5</v>
      </c>
      <c r="JV20" s="712" t="str">
        <f>IF(JT20=KJ20,"ok","male")</f>
        <v>ok</v>
      </c>
      <c r="JW20" s="712" t="str">
        <f>IF(JU20=KK20,"ok","female")</f>
        <v>ok</v>
      </c>
      <c r="JX20" s="766">
        <v>1</v>
      </c>
      <c r="JY20" s="766">
        <v>2</v>
      </c>
      <c r="JZ20" s="766">
        <v>1</v>
      </c>
      <c r="KA20" s="766"/>
      <c r="KB20" s="766"/>
      <c r="KC20" s="766"/>
      <c r="KD20" s="766">
        <v>3</v>
      </c>
      <c r="KE20" s="766">
        <v>3</v>
      </c>
      <c r="KF20" s="766">
        <v>1</v>
      </c>
      <c r="KG20" s="766"/>
      <c r="KH20" s="766"/>
      <c r="KI20" s="766"/>
      <c r="KJ20" s="770">
        <f>SUM(KF20,KD20,KB20,JZ20,JX20,KH20)</f>
        <v>6</v>
      </c>
      <c r="KK20" s="770">
        <f>SUM(KG20,KE20,KC20,KA20,JY20,KI20)</f>
        <v>5</v>
      </c>
      <c r="KL20" s="712" t="str">
        <f>IF(KJ20=LN20,"ok","male")</f>
        <v>ok</v>
      </c>
      <c r="KM20" s="712" t="str">
        <f>IF(KK20=LO20,"ok","female")</f>
        <v>ok</v>
      </c>
      <c r="KN20" s="766" t="s">
        <v>707</v>
      </c>
      <c r="KO20" s="28"/>
      <c r="KP20" s="766"/>
      <c r="KQ20" s="766"/>
      <c r="KR20" s="766"/>
      <c r="KS20" s="766"/>
      <c r="KT20" s="766">
        <v>1</v>
      </c>
      <c r="KU20" s="766"/>
      <c r="KV20" s="766"/>
      <c r="KW20" s="766"/>
      <c r="KX20" s="766"/>
      <c r="KY20" s="766">
        <v>1</v>
      </c>
      <c r="KZ20" s="766">
        <v>1</v>
      </c>
      <c r="LA20" s="766"/>
      <c r="LB20" s="766">
        <v>1</v>
      </c>
      <c r="LC20" s="766"/>
      <c r="LD20" s="766">
        <v>2</v>
      </c>
      <c r="LE20" s="766">
        <v>2</v>
      </c>
      <c r="LF20" s="766"/>
      <c r="LG20" s="766"/>
      <c r="LH20" s="766"/>
      <c r="LI20" s="766"/>
      <c r="LJ20" s="766">
        <v>1</v>
      </c>
      <c r="LK20" s="766">
        <v>2</v>
      </c>
      <c r="LL20" s="766"/>
      <c r="LM20" s="766"/>
      <c r="LN20" s="766">
        <f>SUM(KP20,KR20,KT20,KV20,KX20,KZ20,LB20,LD20,LF20,LH20,LJ20,LL20)</f>
        <v>6</v>
      </c>
      <c r="LO20" s="766">
        <f>SUM(KQ20,KS20,KU20,KW20,KY20,LA20,LC20,LE20,LG20,LI20,LK20,LM20)</f>
        <v>5</v>
      </c>
      <c r="LP20" s="766">
        <v>5</v>
      </c>
      <c r="LQ20" s="1678">
        <v>5</v>
      </c>
      <c r="LR20" s="766"/>
      <c r="LS20" s="766">
        <v>1</v>
      </c>
      <c r="LT20" s="712" t="str">
        <f>IF(LQ20=SUM(LU20:LW20),"OK","REV")</f>
        <v>OK</v>
      </c>
      <c r="LU20" s="766">
        <v>3</v>
      </c>
      <c r="LV20" s="766">
        <v>1</v>
      </c>
      <c r="LW20" s="766">
        <v>1</v>
      </c>
      <c r="LX20" s="769">
        <v>3</v>
      </c>
      <c r="LY20" s="766" t="str">
        <f t="shared" si="0"/>
        <v>within the PROVINCE</v>
      </c>
      <c r="LZ20" s="66">
        <v>1070</v>
      </c>
      <c r="MA20" s="766"/>
      <c r="MB20" s="766"/>
      <c r="MC20" s="1679">
        <f t="shared" si="1"/>
        <v>1070</v>
      </c>
      <c r="MD20" s="66">
        <v>34000</v>
      </c>
      <c r="ME20" s="66"/>
      <c r="MF20" s="66"/>
      <c r="MG20" s="1680">
        <f t="shared" si="2"/>
        <v>34000</v>
      </c>
      <c r="MH20" s="1681" t="s">
        <v>13030</v>
      </c>
      <c r="MI20" s="775">
        <f>PRODUCT(500,30)</f>
        <v>15000</v>
      </c>
      <c r="MJ20" s="775">
        <f>PRODUCT(1000,30)</f>
        <v>30000</v>
      </c>
      <c r="MK20" s="775">
        <v>1000</v>
      </c>
      <c r="ML20" s="775">
        <v>3000</v>
      </c>
      <c r="MM20" s="775">
        <v>10000</v>
      </c>
      <c r="MN20" s="775"/>
      <c r="MO20" s="775">
        <v>1400</v>
      </c>
      <c r="MP20" s="775">
        <v>2000</v>
      </c>
      <c r="MQ20" s="775">
        <v>600</v>
      </c>
      <c r="MR20" s="775">
        <v>300</v>
      </c>
      <c r="MS20" s="775">
        <v>1500</v>
      </c>
      <c r="MT20" s="775"/>
      <c r="MU20" s="775"/>
      <c r="MV20" s="775"/>
      <c r="MW20" s="775">
        <v>3500</v>
      </c>
      <c r="MX20" s="775"/>
      <c r="MY20" s="1682">
        <f t="shared" si="3"/>
        <v>68300</v>
      </c>
      <c r="MZ20" s="766" t="s">
        <v>13004</v>
      </c>
      <c r="NA20" s="766" t="s">
        <v>13031</v>
      </c>
      <c r="NB20" s="766" t="s">
        <v>13006</v>
      </c>
      <c r="NC20" s="766" t="s">
        <v>13007</v>
      </c>
      <c r="ND20" s="766">
        <v>1</v>
      </c>
      <c r="NE20" s="766">
        <v>0</v>
      </c>
      <c r="NF20" s="766">
        <v>1</v>
      </c>
      <c r="NG20" s="766">
        <v>1</v>
      </c>
      <c r="NH20" s="766">
        <v>1</v>
      </c>
      <c r="NI20" s="766">
        <v>1</v>
      </c>
      <c r="NJ20" s="766">
        <v>1</v>
      </c>
      <c r="NK20" s="766">
        <v>0</v>
      </c>
      <c r="NL20" s="766">
        <v>1</v>
      </c>
      <c r="NM20" s="766">
        <v>1</v>
      </c>
      <c r="NN20" s="766">
        <v>0</v>
      </c>
      <c r="NO20" s="766">
        <v>0</v>
      </c>
      <c r="NP20" s="766">
        <v>0</v>
      </c>
      <c r="NQ20" s="766">
        <v>0</v>
      </c>
      <c r="NR20" s="766">
        <v>0</v>
      </c>
      <c r="NS20" s="766">
        <v>0</v>
      </c>
      <c r="NT20" s="766">
        <v>0</v>
      </c>
      <c r="NU20" s="766">
        <v>0</v>
      </c>
      <c r="NV20" s="766">
        <v>0</v>
      </c>
      <c r="NW20" s="766">
        <v>0</v>
      </c>
      <c r="NX20" s="766">
        <v>0</v>
      </c>
      <c r="NY20" s="766"/>
      <c r="NZ20" s="766"/>
      <c r="OA20" s="766"/>
      <c r="OB20" s="766"/>
      <c r="OC20" s="766"/>
      <c r="OD20" s="766"/>
      <c r="OE20" s="766"/>
      <c r="OF20" s="766"/>
      <c r="OG20" s="766" t="s">
        <v>1208</v>
      </c>
      <c r="OH20" s="766"/>
      <c r="OI20" s="766"/>
      <c r="OJ20" s="766"/>
      <c r="OK20" s="28"/>
      <c r="OL20" s="766"/>
      <c r="OM20" s="766"/>
      <c r="ON20" s="766"/>
      <c r="OO20" s="766"/>
      <c r="OP20" s="766"/>
      <c r="OQ20" s="766"/>
      <c r="OR20" s="766"/>
      <c r="OS20" s="766"/>
      <c r="OT20" s="766"/>
      <c r="OU20" s="766"/>
      <c r="OV20" s="766"/>
      <c r="OW20" s="766"/>
      <c r="OX20" s="766"/>
      <c r="OY20" s="766"/>
      <c r="OZ20" s="766"/>
      <c r="PA20" s="766"/>
      <c r="PB20" s="766"/>
      <c r="PC20" s="766"/>
      <c r="PD20" s="766"/>
      <c r="PE20" s="766"/>
      <c r="PF20" s="766"/>
      <c r="PG20" s="766"/>
      <c r="PH20" s="766"/>
      <c r="PI20" s="766"/>
      <c r="PJ20" s="766"/>
      <c r="PK20" s="766" t="s">
        <v>1208</v>
      </c>
      <c r="PL20" s="766"/>
      <c r="PM20" s="766"/>
      <c r="PN20" s="766"/>
      <c r="PO20" s="766"/>
      <c r="PP20" s="766"/>
      <c r="PQ20" s="766"/>
      <c r="PR20" s="766"/>
      <c r="PS20" s="766"/>
      <c r="PT20" s="766"/>
      <c r="PU20" s="766"/>
      <c r="PV20" s="766"/>
      <c r="PW20" s="766"/>
      <c r="PX20" s="766"/>
      <c r="PY20" s="766"/>
      <c r="PZ20" s="766"/>
      <c r="QA20" s="766"/>
      <c r="QB20" s="766"/>
      <c r="QC20" s="766"/>
      <c r="QD20" s="766"/>
      <c r="QE20" s="766"/>
      <c r="QF20" s="766"/>
      <c r="QG20" s="766"/>
      <c r="QH20" s="766"/>
      <c r="QI20" s="766"/>
      <c r="QJ20" s="766"/>
      <c r="QK20" s="766"/>
      <c r="QL20" s="766"/>
      <c r="QM20" s="766"/>
      <c r="QN20" s="766"/>
      <c r="QO20" s="766"/>
      <c r="QP20" s="766"/>
      <c r="QQ20" s="766"/>
      <c r="QR20" s="766"/>
      <c r="QS20" s="766"/>
      <c r="QT20" s="766"/>
      <c r="QU20" s="766"/>
      <c r="QV20" s="766"/>
      <c r="QW20" s="766"/>
      <c r="QX20" s="766"/>
      <c r="QY20" s="766"/>
      <c r="QZ20" s="766"/>
      <c r="RA20" s="766"/>
      <c r="RB20" s="770" t="s">
        <v>1207</v>
      </c>
      <c r="RC20" s="766">
        <v>2014</v>
      </c>
      <c r="RD20" s="766" t="s">
        <v>12989</v>
      </c>
      <c r="RE20" s="766" t="s">
        <v>12990</v>
      </c>
      <c r="RF20" s="777">
        <v>0.5</v>
      </c>
      <c r="RG20" s="766" t="s">
        <v>13022</v>
      </c>
      <c r="RH20" s="775">
        <v>0</v>
      </c>
      <c r="RI20" s="766" t="s">
        <v>12985</v>
      </c>
      <c r="RJ20" s="766" t="s">
        <v>2045</v>
      </c>
      <c r="RK20" s="766" t="s">
        <v>13024</v>
      </c>
      <c r="RL20" s="1683"/>
      <c r="RM20" s="12"/>
      <c r="RN20" s="1711"/>
      <c r="RO20" s="168" t="s">
        <v>47</v>
      </c>
      <c r="RP20" s="11"/>
      <c r="RQ20" s="11"/>
      <c r="RR20" s="19" t="s">
        <v>7421</v>
      </c>
      <c r="RS20" s="1139" t="s">
        <v>12980</v>
      </c>
      <c r="RT20" s="11"/>
      <c r="RU20" s="11"/>
      <c r="RV20" s="766" t="s">
        <v>7419</v>
      </c>
      <c r="RW20" s="11" t="s">
        <v>12392</v>
      </c>
      <c r="RX20" s="11" t="s">
        <v>39</v>
      </c>
      <c r="RY20" s="11"/>
      <c r="RZ20" s="11"/>
      <c r="SA20" s="766"/>
      <c r="SB20" s="11"/>
      <c r="SC20" s="11"/>
    </row>
    <row r="21" spans="1:497" ht="12.75" hidden="1" customHeight="1">
      <c r="A21" s="767" t="s">
        <v>7419</v>
      </c>
      <c r="B21" s="288" t="s">
        <v>12391</v>
      </c>
      <c r="C21" s="168" t="s">
        <v>11006</v>
      </c>
      <c r="D21" s="14" t="s">
        <v>11364</v>
      </c>
      <c r="E21" s="766" t="s">
        <v>11008</v>
      </c>
      <c r="F21" s="766"/>
      <c r="G21" s="766"/>
      <c r="H21" s="766"/>
      <c r="I21" s="5"/>
      <c r="J21" s="766"/>
      <c r="K21" s="766" t="s">
        <v>11009</v>
      </c>
      <c r="L21" s="766" t="s">
        <v>11010</v>
      </c>
      <c r="M21" s="766"/>
      <c r="N21" s="766" t="s">
        <v>11011</v>
      </c>
      <c r="O21" s="766" t="s">
        <v>11012</v>
      </c>
      <c r="P21" s="14"/>
      <c r="Q21" s="1085"/>
      <c r="R21" s="25"/>
      <c r="S21" s="766"/>
      <c r="T21" s="766"/>
      <c r="U21" s="26"/>
      <c r="V21" s="766"/>
      <c r="W21" s="766"/>
      <c r="X21" s="766"/>
      <c r="Y21" s="766"/>
      <c r="Z21" s="766"/>
      <c r="AA21" s="766"/>
      <c r="AB21" s="766"/>
      <c r="AC21" s="766"/>
      <c r="AD21" s="766"/>
      <c r="AE21" s="766"/>
      <c r="AF21" s="766"/>
      <c r="AG21" s="766" t="s">
        <v>1165</v>
      </c>
      <c r="AH21" s="766" t="s">
        <v>1120</v>
      </c>
      <c r="AI21" s="766"/>
      <c r="AJ21" s="766" t="s">
        <v>1137</v>
      </c>
      <c r="AK21" s="766" t="s">
        <v>1097</v>
      </c>
      <c r="AL21" s="120">
        <v>16.649999999999999</v>
      </c>
      <c r="AM21" s="772">
        <v>16.649999999999999</v>
      </c>
      <c r="AN21" s="37">
        <f>AM21/AL21</f>
        <v>1</v>
      </c>
      <c r="AO21" s="766" t="s">
        <v>1122</v>
      </c>
      <c r="AP21" s="766"/>
      <c r="AQ21" s="766"/>
      <c r="AR21" s="766"/>
      <c r="AS21" s="766"/>
      <c r="AT21" s="766"/>
      <c r="AU21" s="766"/>
      <c r="AV21" s="766"/>
      <c r="AW21" s="766"/>
      <c r="AX21" s="766"/>
      <c r="AY21" s="766"/>
      <c r="AZ21" s="766"/>
      <c r="BA21" s="766"/>
      <c r="BB21" s="766"/>
      <c r="BC21" s="766"/>
      <c r="BD21" s="766"/>
      <c r="BE21" s="766"/>
      <c r="BF21" s="775"/>
      <c r="BG21" s="775"/>
      <c r="BH21" s="766"/>
      <c r="BI21" s="766"/>
      <c r="BJ21" s="766"/>
      <c r="BK21" s="766"/>
      <c r="BL21" s="766"/>
      <c r="BM21" s="766"/>
      <c r="BN21" s="766"/>
      <c r="BO21" s="766"/>
      <c r="BP21" s="776"/>
      <c r="BQ21" s="772"/>
      <c r="BR21" s="774"/>
      <c r="BS21" s="766"/>
      <c r="BT21" s="766"/>
      <c r="BU21" s="766"/>
      <c r="BV21" s="766"/>
      <c r="BW21" s="429"/>
      <c r="BX21" s="779"/>
      <c r="BY21" s="766"/>
      <c r="BZ21" s="775"/>
      <c r="CA21" s="766"/>
      <c r="CB21" s="766" t="s">
        <v>1207</v>
      </c>
      <c r="CC21" s="766"/>
      <c r="CD21" s="766"/>
      <c r="CE21" s="766"/>
      <c r="CF21" s="231"/>
      <c r="CG21" s="231"/>
      <c r="CH21" s="766"/>
      <c r="CI21" s="766"/>
      <c r="CJ21" s="766"/>
      <c r="CK21" s="766"/>
      <c r="CL21" s="766"/>
      <c r="CM21" s="766"/>
      <c r="CN21" s="766"/>
      <c r="CO21" s="766"/>
      <c r="CP21" s="766"/>
      <c r="CQ21" s="766"/>
      <c r="CR21" s="775"/>
      <c r="CS21" s="766"/>
      <c r="CT21" s="766"/>
      <c r="CU21" s="129"/>
      <c r="CV21" s="766"/>
      <c r="CW21" s="766"/>
      <c r="CX21" s="766"/>
      <c r="CY21" s="766"/>
      <c r="CZ21" s="766"/>
      <c r="DA21" s="766"/>
      <c r="DB21" s="766"/>
      <c r="DC21" s="766"/>
      <c r="DD21" s="766"/>
      <c r="DE21" s="766"/>
      <c r="DF21" s="766"/>
      <c r="DG21" s="766"/>
      <c r="DH21" s="766"/>
      <c r="DI21" s="766"/>
      <c r="DJ21" s="766"/>
      <c r="DK21" s="766"/>
      <c r="DL21" s="766"/>
      <c r="DM21" s="766"/>
      <c r="DN21" s="766"/>
      <c r="DO21" s="766"/>
      <c r="DP21" s="766"/>
      <c r="DQ21" s="766"/>
      <c r="DR21" s="766"/>
      <c r="DS21" s="59"/>
      <c r="DT21" s="766"/>
      <c r="DU21" s="766"/>
      <c r="DV21" s="766"/>
      <c r="DW21" s="66"/>
      <c r="DX21" s="66"/>
      <c r="DY21" s="766"/>
      <c r="DZ21" s="766"/>
      <c r="EA21" s="766"/>
      <c r="EB21" s="766"/>
      <c r="EC21" s="766"/>
      <c r="ED21" s="766"/>
      <c r="EE21" s="766"/>
      <c r="EF21" s="766"/>
      <c r="EG21" s="766"/>
      <c r="EH21" s="766"/>
      <c r="EI21" s="766"/>
      <c r="EJ21" s="766"/>
      <c r="EK21" s="766"/>
      <c r="EL21" s="766"/>
      <c r="EM21" s="766"/>
      <c r="EN21" s="766"/>
      <c r="EO21" s="766"/>
      <c r="EP21" s="766"/>
      <c r="EQ21" s="766"/>
      <c r="ER21" s="766"/>
      <c r="ES21" s="766"/>
      <c r="ET21" s="766"/>
      <c r="EU21" s="766"/>
      <c r="EV21" s="766"/>
      <c r="EW21" s="766"/>
      <c r="EX21" s="766"/>
      <c r="EY21" s="766"/>
      <c r="EZ21" s="766" t="s">
        <v>1137</v>
      </c>
      <c r="FA21" s="766" t="s">
        <v>3099</v>
      </c>
      <c r="FB21" s="766" t="s">
        <v>1257</v>
      </c>
      <c r="FC21" s="766"/>
      <c r="FD21" s="775"/>
      <c r="FE21" s="766" t="s">
        <v>11013</v>
      </c>
      <c r="FF21" s="766"/>
      <c r="FG21" s="766" t="s">
        <v>11014</v>
      </c>
      <c r="FH21" s="766"/>
      <c r="FI21" s="766"/>
      <c r="FJ21" s="766"/>
      <c r="FK21" s="766"/>
      <c r="FL21" s="766"/>
      <c r="FM21" s="775"/>
      <c r="FN21" s="775"/>
      <c r="FO21" s="775"/>
      <c r="FP21" s="766"/>
      <c r="FQ21" s="766"/>
      <c r="FR21" s="766"/>
      <c r="FS21" s="766"/>
      <c r="FT21" s="766"/>
      <c r="FU21" s="766"/>
      <c r="FV21" s="766"/>
      <c r="FW21" s="766"/>
      <c r="FX21" s="766"/>
      <c r="FY21" s="766"/>
      <c r="FZ21" s="766"/>
      <c r="GA21" s="766"/>
      <c r="GB21" s="766"/>
      <c r="GC21" s="75"/>
      <c r="GD21" s="25"/>
      <c r="GE21" s="766"/>
      <c r="GF21" s="775"/>
      <c r="GG21" s="775"/>
      <c r="GH21" s="770"/>
      <c r="GI21" s="12"/>
      <c r="GJ21" s="12"/>
      <c r="GK21" s="12"/>
      <c r="GL21" s="299"/>
      <c r="GM21" s="12"/>
      <c r="GN21" s="770"/>
      <c r="GO21" s="770"/>
      <c r="GP21" s="770"/>
      <c r="GQ21" s="770"/>
      <c r="GR21" s="770"/>
      <c r="GS21" s="12"/>
      <c r="GT21" s="770"/>
      <c r="GU21" s="12"/>
      <c r="GV21" s="770"/>
      <c r="GW21" s="770"/>
      <c r="GX21" s="770"/>
      <c r="GY21" s="770"/>
      <c r="GZ21" s="770"/>
      <c r="HA21" s="770"/>
      <c r="HB21" s="770"/>
      <c r="HC21" s="12"/>
      <c r="HD21" s="770"/>
      <c r="HE21" s="770"/>
      <c r="HF21" s="770"/>
      <c r="HG21" s="12"/>
      <c r="HH21" s="12"/>
      <c r="HI21" s="770"/>
      <c r="HJ21" s="12"/>
      <c r="HK21" s="12"/>
      <c r="HL21" s="766"/>
      <c r="HM21" s="766"/>
      <c r="HN21" s="766"/>
      <c r="HO21" s="766"/>
      <c r="HP21" s="766"/>
      <c r="HQ21" s="766"/>
      <c r="HR21" s="766"/>
      <c r="HS21" s="766"/>
      <c r="HT21" s="766"/>
      <c r="HU21" s="766"/>
      <c r="HV21" s="766"/>
      <c r="HW21" s="766"/>
      <c r="HX21" s="766"/>
      <c r="HY21" s="766"/>
      <c r="HZ21" s="766"/>
      <c r="IA21" s="766"/>
      <c r="IB21" s="766"/>
      <c r="IC21" s="766"/>
      <c r="ID21" s="766"/>
      <c r="IE21" s="766"/>
      <c r="IF21" s="766"/>
      <c r="IG21" s="766"/>
      <c r="IH21" s="766"/>
      <c r="II21" s="766"/>
      <c r="IJ21" s="766"/>
      <c r="IK21" s="766"/>
      <c r="IL21" s="766"/>
      <c r="IM21" s="766"/>
      <c r="IN21" s="766"/>
      <c r="IO21" s="766"/>
      <c r="IP21" s="766"/>
      <c r="IQ21" s="766"/>
      <c r="IR21" s="775"/>
      <c r="IS21" s="76"/>
      <c r="IT21" s="76"/>
      <c r="IU21" s="76"/>
      <c r="IV21" s="76"/>
      <c r="IW21" s="766"/>
      <c r="IX21" s="766"/>
      <c r="IY21" s="766"/>
      <c r="IZ21" s="766"/>
      <c r="JA21" s="766"/>
      <c r="JB21" s="766"/>
      <c r="JC21" s="766"/>
      <c r="JD21" s="775"/>
      <c r="JE21" s="76"/>
      <c r="JF21" s="76"/>
      <c r="JG21" s="76"/>
      <c r="JH21" s="76"/>
      <c r="JI21" s="76"/>
      <c r="JJ21" s="766"/>
      <c r="JK21" s="766"/>
      <c r="JL21" s="766"/>
      <c r="JM21" s="766"/>
      <c r="JN21" s="766"/>
      <c r="JO21" s="766"/>
      <c r="JP21" s="766"/>
      <c r="JQ21" s="766"/>
      <c r="JR21" s="766"/>
      <c r="JS21" s="766"/>
      <c r="JT21" s="766"/>
      <c r="JU21" s="766"/>
      <c r="JV21" s="766"/>
      <c r="JW21" s="766"/>
      <c r="JX21" s="766"/>
      <c r="JY21" s="766"/>
      <c r="JZ21" s="766"/>
      <c r="KA21" s="766"/>
      <c r="KB21" s="766"/>
      <c r="KC21" s="766"/>
      <c r="KD21" s="766"/>
      <c r="KE21" s="766"/>
      <c r="KF21" s="766"/>
      <c r="KG21" s="766"/>
      <c r="KH21" s="766"/>
      <c r="KI21" s="766"/>
      <c r="KJ21" s="770"/>
      <c r="KK21" s="770"/>
      <c r="KL21" s="770"/>
      <c r="KM21" s="770"/>
      <c r="KN21" s="766"/>
      <c r="KO21" s="28"/>
      <c r="KP21" s="766"/>
      <c r="KQ21" s="766"/>
      <c r="KR21" s="766"/>
      <c r="KS21" s="766"/>
      <c r="KT21" s="766"/>
      <c r="KU21" s="766"/>
      <c r="KV21" s="766"/>
      <c r="KW21" s="766"/>
      <c r="KX21" s="766"/>
      <c r="KY21" s="766"/>
      <c r="KZ21" s="766"/>
      <c r="LA21" s="766"/>
      <c r="LB21" s="766"/>
      <c r="LC21" s="766"/>
      <c r="LD21" s="766"/>
      <c r="LE21" s="766"/>
      <c r="LF21" s="766"/>
      <c r="LG21" s="766"/>
      <c r="LH21" s="766"/>
      <c r="LI21" s="766"/>
      <c r="LJ21" s="766"/>
      <c r="LK21" s="766"/>
      <c r="LL21" s="766"/>
      <c r="LM21" s="766"/>
      <c r="LN21" s="766"/>
      <c r="LO21" s="766"/>
      <c r="LP21" s="766"/>
      <c r="LQ21" s="1678"/>
      <c r="LR21" s="766"/>
      <c r="LS21" s="766"/>
      <c r="LT21" s="766"/>
      <c r="LU21" s="766"/>
      <c r="LV21" s="766"/>
      <c r="LW21" s="766"/>
      <c r="LX21" s="769"/>
      <c r="LY21" s="766" t="str">
        <f t="shared" si="0"/>
        <v/>
      </c>
      <c r="LZ21" s="66"/>
      <c r="MA21" s="766"/>
      <c r="MB21" s="766"/>
      <c r="MC21" s="1679">
        <f t="shared" si="1"/>
        <v>0</v>
      </c>
      <c r="MD21" s="66"/>
      <c r="ME21" s="66"/>
      <c r="MF21" s="66"/>
      <c r="MG21" s="1680">
        <f t="shared" si="2"/>
        <v>0</v>
      </c>
      <c r="MH21" s="1681"/>
      <c r="MI21" s="775"/>
      <c r="MJ21" s="775"/>
      <c r="MK21" s="775"/>
      <c r="ML21" s="775"/>
      <c r="MM21" s="775"/>
      <c r="MN21" s="775"/>
      <c r="MO21" s="775"/>
      <c r="MP21" s="775"/>
      <c r="MQ21" s="775"/>
      <c r="MR21" s="775"/>
      <c r="MS21" s="775"/>
      <c r="MT21" s="775"/>
      <c r="MU21" s="775"/>
      <c r="MV21" s="775"/>
      <c r="MW21" s="775"/>
      <c r="MX21" s="775"/>
      <c r="MY21" s="1682">
        <f t="shared" si="3"/>
        <v>0</v>
      </c>
      <c r="MZ21" s="766"/>
      <c r="NA21" s="766"/>
      <c r="NB21" s="766"/>
      <c r="NC21" s="766"/>
      <c r="ND21" s="766"/>
      <c r="NE21" s="766"/>
      <c r="NF21" s="766"/>
      <c r="NG21" s="766"/>
      <c r="NH21" s="766"/>
      <c r="NI21" s="766"/>
      <c r="NJ21" s="766"/>
      <c r="NK21" s="766"/>
      <c r="NL21" s="766"/>
      <c r="NM21" s="766"/>
      <c r="NN21" s="766"/>
      <c r="NO21" s="766"/>
      <c r="NP21" s="766"/>
      <c r="NQ21" s="766"/>
      <c r="NR21" s="766"/>
      <c r="NS21" s="766"/>
      <c r="NT21" s="766"/>
      <c r="NU21" s="766"/>
      <c r="NV21" s="766"/>
      <c r="NW21" s="766"/>
      <c r="NX21" s="766"/>
      <c r="NY21" s="766"/>
      <c r="NZ21" s="766"/>
      <c r="OA21" s="766"/>
      <c r="OB21" s="766"/>
      <c r="OC21" s="766"/>
      <c r="OD21" s="766"/>
      <c r="OE21" s="766"/>
      <c r="OF21" s="766"/>
      <c r="OG21" s="766"/>
      <c r="OH21" s="766"/>
      <c r="OI21" s="766"/>
      <c r="OJ21" s="766"/>
      <c r="OK21" s="28"/>
      <c r="OL21" s="766"/>
      <c r="OM21" s="766"/>
      <c r="ON21" s="766"/>
      <c r="OO21" s="766"/>
      <c r="OP21" s="766"/>
      <c r="OQ21" s="766"/>
      <c r="OR21" s="766"/>
      <c r="OS21" s="766"/>
      <c r="OT21" s="766"/>
      <c r="OU21" s="766"/>
      <c r="OV21" s="766"/>
      <c r="OW21" s="766"/>
      <c r="OX21" s="766"/>
      <c r="OY21" s="766"/>
      <c r="OZ21" s="766"/>
      <c r="PA21" s="766"/>
      <c r="PB21" s="766"/>
      <c r="PC21" s="766"/>
      <c r="PD21" s="766"/>
      <c r="PE21" s="766"/>
      <c r="PF21" s="766"/>
      <c r="PG21" s="766"/>
      <c r="PH21" s="766"/>
      <c r="PI21" s="766"/>
      <c r="PJ21" s="766"/>
      <c r="PK21" s="766"/>
      <c r="PL21" s="766"/>
      <c r="PM21" s="766"/>
      <c r="PN21" s="766"/>
      <c r="PO21" s="766"/>
      <c r="PP21" s="766"/>
      <c r="PQ21" s="766"/>
      <c r="PR21" s="766"/>
      <c r="PS21" s="766"/>
      <c r="PT21" s="766"/>
      <c r="PU21" s="766"/>
      <c r="PV21" s="766"/>
      <c r="PW21" s="766"/>
      <c r="PX21" s="766"/>
      <c r="PY21" s="766"/>
      <c r="PZ21" s="766"/>
      <c r="QA21" s="766"/>
      <c r="QB21" s="766"/>
      <c r="QC21" s="766"/>
      <c r="QD21" s="766"/>
      <c r="QE21" s="766"/>
      <c r="QF21" s="766"/>
      <c r="QG21" s="766"/>
      <c r="QH21" s="766"/>
      <c r="QI21" s="766"/>
      <c r="QJ21" s="766"/>
      <c r="QK21" s="766"/>
      <c r="QL21" s="766"/>
      <c r="QM21" s="766"/>
      <c r="QN21" s="766"/>
      <c r="QO21" s="766"/>
      <c r="QP21" s="766"/>
      <c r="QQ21" s="766"/>
      <c r="QR21" s="766"/>
      <c r="QS21" s="766"/>
      <c r="QT21" s="766"/>
      <c r="QU21" s="766"/>
      <c r="QV21" s="766"/>
      <c r="QW21" s="766"/>
      <c r="QX21" s="766"/>
      <c r="QY21" s="766"/>
      <c r="QZ21" s="766"/>
      <c r="RA21" s="766"/>
      <c r="RB21" s="770"/>
      <c r="RC21" s="766"/>
      <c r="RD21" s="766"/>
      <c r="RE21" s="766"/>
      <c r="RF21" s="777"/>
      <c r="RG21" s="766"/>
      <c r="RH21" s="775"/>
      <c r="RI21" s="766"/>
      <c r="RJ21" s="766"/>
      <c r="RK21" s="766"/>
      <c r="RL21" s="1683"/>
      <c r="RM21" s="12"/>
      <c r="RN21" s="1711"/>
      <c r="RO21" s="168" t="s">
        <v>11006</v>
      </c>
      <c r="RP21" s="11"/>
      <c r="RQ21" s="11"/>
      <c r="RR21" s="771"/>
      <c r="RS21" s="766"/>
      <c r="RT21" s="11"/>
      <c r="RU21" s="11"/>
      <c r="RV21" s="766" t="s">
        <v>7421</v>
      </c>
      <c r="RW21" s="11" t="s">
        <v>7939</v>
      </c>
      <c r="RX21" s="11" t="s">
        <v>46</v>
      </c>
      <c r="RY21" s="11">
        <v>32</v>
      </c>
      <c r="RZ21" s="11"/>
      <c r="SA21" s="766"/>
      <c r="SB21" s="11"/>
      <c r="SC21" s="11"/>
    </row>
    <row r="22" spans="1:497" ht="12.75" hidden="1" customHeight="1">
      <c r="A22" s="154" t="s">
        <v>7419</v>
      </c>
      <c r="B22" s="288" t="s">
        <v>11956</v>
      </c>
      <c r="C22" s="168" t="s">
        <v>11359</v>
      </c>
      <c r="D22" s="14" t="s">
        <v>11364</v>
      </c>
      <c r="E22" s="766" t="s">
        <v>11360</v>
      </c>
      <c r="F22" s="766"/>
      <c r="G22" s="766"/>
      <c r="H22" s="766"/>
      <c r="I22" s="5"/>
      <c r="J22" s="766"/>
      <c r="K22" s="766" t="s">
        <v>11361</v>
      </c>
      <c r="L22" s="766" t="s">
        <v>11362</v>
      </c>
      <c r="M22" s="766"/>
      <c r="N22" s="766" t="s">
        <v>11011</v>
      </c>
      <c r="O22" s="766" t="s">
        <v>11012</v>
      </c>
      <c r="P22" s="14"/>
      <c r="Q22" s="1085"/>
      <c r="R22" s="25"/>
      <c r="S22" s="766"/>
      <c r="T22" s="766"/>
      <c r="U22" s="26"/>
      <c r="V22" s="766"/>
      <c r="W22" s="766"/>
      <c r="X22" s="766"/>
      <c r="Y22" s="766"/>
      <c r="Z22" s="766"/>
      <c r="AA22" s="766"/>
      <c r="AB22" s="766"/>
      <c r="AC22" s="766"/>
      <c r="AD22" s="766"/>
      <c r="AE22" s="766"/>
      <c r="AF22" s="766"/>
      <c r="AG22" s="766" t="s">
        <v>1165</v>
      </c>
      <c r="AH22" s="766" t="s">
        <v>1120</v>
      </c>
      <c r="AI22" s="766"/>
      <c r="AJ22" s="766" t="s">
        <v>1137</v>
      </c>
      <c r="AK22" s="766" t="s">
        <v>1097</v>
      </c>
      <c r="AL22" s="120">
        <v>216.46</v>
      </c>
      <c r="AM22" s="772">
        <v>216.46</v>
      </c>
      <c r="AN22" s="37">
        <f>AM22/AL22</f>
        <v>1</v>
      </c>
      <c r="AO22" s="766" t="s">
        <v>1122</v>
      </c>
      <c r="AP22" s="766"/>
      <c r="AQ22" s="766"/>
      <c r="AR22" s="766"/>
      <c r="AS22" s="766"/>
      <c r="AT22" s="766"/>
      <c r="AU22" s="766"/>
      <c r="AV22" s="766"/>
      <c r="AW22" s="766"/>
      <c r="AX22" s="766"/>
      <c r="AY22" s="766"/>
      <c r="AZ22" s="766"/>
      <c r="BA22" s="766"/>
      <c r="BB22" s="766"/>
      <c r="BC22" s="766"/>
      <c r="BD22" s="766"/>
      <c r="BE22" s="766"/>
      <c r="BF22" s="775"/>
      <c r="BG22" s="775"/>
      <c r="BH22" s="766"/>
      <c r="BI22" s="766"/>
      <c r="BJ22" s="766"/>
      <c r="BK22" s="766" t="s">
        <v>1099</v>
      </c>
      <c r="BL22" s="766" t="s">
        <v>1137</v>
      </c>
      <c r="BM22" s="766" t="s">
        <v>1120</v>
      </c>
      <c r="BN22" s="766" t="s">
        <v>1272</v>
      </c>
      <c r="BO22" s="766" t="s">
        <v>1246</v>
      </c>
      <c r="BP22" s="776">
        <v>216.46</v>
      </c>
      <c r="BQ22" s="772">
        <v>216.46</v>
      </c>
      <c r="BR22" s="774">
        <f>BQ22/BP22</f>
        <v>1</v>
      </c>
      <c r="BS22" s="766" t="s">
        <v>1257</v>
      </c>
      <c r="BT22" s="766" t="s">
        <v>2040</v>
      </c>
      <c r="BU22" s="766" t="s">
        <v>1249</v>
      </c>
      <c r="BV22" s="766" t="s">
        <v>1247</v>
      </c>
      <c r="BW22" s="429"/>
      <c r="BX22" s="779"/>
      <c r="BY22" s="766"/>
      <c r="BZ22" s="775"/>
      <c r="CA22" s="766"/>
      <c r="CB22" s="766"/>
      <c r="CC22" s="766"/>
      <c r="CD22" s="766"/>
      <c r="CE22" s="766"/>
      <c r="CF22" s="231"/>
      <c r="CG22" s="231"/>
      <c r="CH22" s="766"/>
      <c r="CI22" s="766"/>
      <c r="CJ22" s="766"/>
      <c r="CK22" s="766"/>
      <c r="CL22" s="766"/>
      <c r="CM22" s="766"/>
      <c r="CN22" s="766"/>
      <c r="CO22" s="766"/>
      <c r="CP22" s="766"/>
      <c r="CQ22" s="766"/>
      <c r="CR22" s="775"/>
      <c r="CS22" s="766"/>
      <c r="CT22" s="766"/>
      <c r="CU22" s="129"/>
      <c r="CV22" s="766"/>
      <c r="CW22" s="766"/>
      <c r="CX22" s="766"/>
      <c r="CY22" s="766"/>
      <c r="CZ22" s="766"/>
      <c r="DA22" s="766"/>
      <c r="DB22" s="766"/>
      <c r="DC22" s="766"/>
      <c r="DD22" s="766"/>
      <c r="DE22" s="766"/>
      <c r="DF22" s="766"/>
      <c r="DG22" s="766"/>
      <c r="DH22" s="766"/>
      <c r="DI22" s="766"/>
      <c r="DJ22" s="766"/>
      <c r="DK22" s="766"/>
      <c r="DL22" s="766"/>
      <c r="DM22" s="766"/>
      <c r="DN22" s="766"/>
      <c r="DO22" s="766"/>
      <c r="DP22" s="766"/>
      <c r="DQ22" s="766"/>
      <c r="DR22" s="766"/>
      <c r="DS22" s="59"/>
      <c r="DT22" s="766"/>
      <c r="DU22" s="766"/>
      <c r="DV22" s="766"/>
      <c r="DW22" s="66"/>
      <c r="DX22" s="66"/>
      <c r="DY22" s="766"/>
      <c r="DZ22" s="766"/>
      <c r="EA22" s="766"/>
      <c r="EB22" s="766"/>
      <c r="EC22" s="766"/>
      <c r="ED22" s="766"/>
      <c r="EE22" s="766"/>
      <c r="EF22" s="766"/>
      <c r="EG22" s="766"/>
      <c r="EH22" s="766"/>
      <c r="EI22" s="766"/>
      <c r="EJ22" s="766"/>
      <c r="EK22" s="766"/>
      <c r="EL22" s="766"/>
      <c r="EM22" s="766"/>
      <c r="EN22" s="766"/>
      <c r="EO22" s="766"/>
      <c r="EP22" s="766"/>
      <c r="EQ22" s="766"/>
      <c r="ER22" s="766"/>
      <c r="ES22" s="766"/>
      <c r="ET22" s="766"/>
      <c r="EU22" s="766"/>
      <c r="EV22" s="766"/>
      <c r="EW22" s="766"/>
      <c r="EX22" s="766"/>
      <c r="EY22" s="766"/>
      <c r="EZ22" s="766"/>
      <c r="FA22" s="766"/>
      <c r="FB22" s="766"/>
      <c r="FC22" s="766"/>
      <c r="FD22" s="775"/>
      <c r="FE22" s="766"/>
      <c r="FF22" s="766"/>
      <c r="FG22" s="766"/>
      <c r="FH22" s="766"/>
      <c r="FI22" s="766"/>
      <c r="FJ22" s="766"/>
      <c r="FK22" s="766"/>
      <c r="FL22" s="766"/>
      <c r="FM22" s="775"/>
      <c r="FN22" s="775"/>
      <c r="FO22" s="775"/>
      <c r="FP22" s="766" t="s">
        <v>1602</v>
      </c>
      <c r="FQ22" s="766" t="s">
        <v>1660</v>
      </c>
      <c r="FR22" s="766"/>
      <c r="FS22" s="766"/>
      <c r="FT22" s="766"/>
      <c r="FU22" s="766"/>
      <c r="FV22" s="766"/>
      <c r="FW22" s="766"/>
      <c r="FX22" s="766"/>
      <c r="FY22" s="766"/>
      <c r="FZ22" s="766"/>
      <c r="GA22" s="766"/>
      <c r="GB22" s="766"/>
      <c r="GC22" s="75"/>
      <c r="GD22" s="25"/>
      <c r="GE22" s="766"/>
      <c r="GF22" s="775"/>
      <c r="GG22" s="775"/>
      <c r="GH22" s="770"/>
      <c r="GI22" s="12"/>
      <c r="GJ22" s="12"/>
      <c r="GK22" s="12"/>
      <c r="GL22" s="299"/>
      <c r="GM22" s="12"/>
      <c r="GN22" s="770"/>
      <c r="GO22" s="770"/>
      <c r="GP22" s="770"/>
      <c r="GQ22" s="770"/>
      <c r="GR22" s="770"/>
      <c r="GS22" s="12"/>
      <c r="GT22" s="770"/>
      <c r="GU22" s="12"/>
      <c r="GV22" s="770"/>
      <c r="GW22" s="770"/>
      <c r="GX22" s="770"/>
      <c r="GY22" s="770"/>
      <c r="GZ22" s="770"/>
      <c r="HA22" s="770"/>
      <c r="HB22" s="770"/>
      <c r="HC22" s="12"/>
      <c r="HD22" s="770"/>
      <c r="HE22" s="770"/>
      <c r="HF22" s="770"/>
      <c r="HG22" s="12"/>
      <c r="HH22" s="12"/>
      <c r="HI22" s="770"/>
      <c r="HJ22" s="12"/>
      <c r="HK22" s="12"/>
      <c r="HL22" s="766"/>
      <c r="HM22" s="766"/>
      <c r="HN22" s="766"/>
      <c r="HO22" s="766"/>
      <c r="HP22" s="766"/>
      <c r="HQ22" s="766"/>
      <c r="HR22" s="766"/>
      <c r="HS22" s="766"/>
      <c r="HT22" s="766"/>
      <c r="HU22" s="766"/>
      <c r="HV22" s="766"/>
      <c r="HW22" s="766"/>
      <c r="HX22" s="766"/>
      <c r="HY22" s="766"/>
      <c r="HZ22" s="766"/>
      <c r="IA22" s="766"/>
      <c r="IB22" s="766"/>
      <c r="IC22" s="766"/>
      <c r="ID22" s="766"/>
      <c r="IE22" s="766"/>
      <c r="IF22" s="766"/>
      <c r="IG22" s="766"/>
      <c r="IH22" s="766"/>
      <c r="II22" s="766"/>
      <c r="IJ22" s="766"/>
      <c r="IK22" s="766"/>
      <c r="IL22" s="766"/>
      <c r="IM22" s="766"/>
      <c r="IN22" s="766"/>
      <c r="IO22" s="766"/>
      <c r="IP22" s="766"/>
      <c r="IQ22" s="766"/>
      <c r="IR22" s="775"/>
      <c r="IS22" s="76"/>
      <c r="IT22" s="76"/>
      <c r="IU22" s="76"/>
      <c r="IV22" s="76"/>
      <c r="IW22" s="766"/>
      <c r="IX22" s="766"/>
      <c r="IY22" s="766"/>
      <c r="IZ22" s="766"/>
      <c r="JA22" s="766"/>
      <c r="JB22" s="766"/>
      <c r="JC22" s="766"/>
      <c r="JD22" s="775"/>
      <c r="JE22" s="76"/>
      <c r="JF22" s="76"/>
      <c r="JG22" s="76"/>
      <c r="JH22" s="76"/>
      <c r="JI22" s="76"/>
      <c r="JJ22" s="766"/>
      <c r="JK22" s="766"/>
      <c r="JL22" s="766"/>
      <c r="JM22" s="766"/>
      <c r="JN22" s="766"/>
      <c r="JO22" s="766"/>
      <c r="JP22" s="766"/>
      <c r="JQ22" s="766"/>
      <c r="JR22" s="766"/>
      <c r="JS22" s="766"/>
      <c r="JT22" s="766"/>
      <c r="JU22" s="766"/>
      <c r="JV22" s="766"/>
      <c r="JW22" s="766"/>
      <c r="JX22" s="766"/>
      <c r="JY22" s="766"/>
      <c r="JZ22" s="766"/>
      <c r="KA22" s="766"/>
      <c r="KB22" s="766"/>
      <c r="KC22" s="766"/>
      <c r="KD22" s="766"/>
      <c r="KE22" s="766"/>
      <c r="KF22" s="766"/>
      <c r="KG22" s="766"/>
      <c r="KH22" s="766"/>
      <c r="KI22" s="766"/>
      <c r="KJ22" s="770"/>
      <c r="KK22" s="770"/>
      <c r="KL22" s="770"/>
      <c r="KM22" s="770"/>
      <c r="KN22" s="766"/>
      <c r="KO22" s="28"/>
      <c r="KP22" s="766"/>
      <c r="KQ22" s="766"/>
      <c r="KR22" s="766"/>
      <c r="KS22" s="766"/>
      <c r="KT22" s="766"/>
      <c r="KU22" s="766"/>
      <c r="KV22" s="766"/>
      <c r="KW22" s="766"/>
      <c r="KX22" s="766"/>
      <c r="KY22" s="766"/>
      <c r="KZ22" s="766"/>
      <c r="LA22" s="766"/>
      <c r="LB22" s="766"/>
      <c r="LC22" s="766"/>
      <c r="LD22" s="766"/>
      <c r="LE22" s="766"/>
      <c r="LF22" s="766"/>
      <c r="LG22" s="766"/>
      <c r="LH22" s="766"/>
      <c r="LI22" s="766"/>
      <c r="LJ22" s="766"/>
      <c r="LK22" s="766"/>
      <c r="LL22" s="766"/>
      <c r="LM22" s="766"/>
      <c r="LN22" s="766"/>
      <c r="LO22" s="766"/>
      <c r="LP22" s="766"/>
      <c r="LQ22" s="1678"/>
      <c r="LR22" s="766"/>
      <c r="LS22" s="766"/>
      <c r="LT22" s="766"/>
      <c r="LU22" s="766"/>
      <c r="LV22" s="766"/>
      <c r="LW22" s="766"/>
      <c r="LX22" s="769"/>
      <c r="LY22" s="766" t="str">
        <f t="shared" si="0"/>
        <v/>
      </c>
      <c r="LZ22" s="66"/>
      <c r="MA22" s="766"/>
      <c r="MB22" s="766"/>
      <c r="MC22" s="1679">
        <f t="shared" si="1"/>
        <v>0</v>
      </c>
      <c r="MD22" s="66"/>
      <c r="ME22" s="66"/>
      <c r="MF22" s="66"/>
      <c r="MG22" s="1680">
        <f t="shared" si="2"/>
        <v>0</v>
      </c>
      <c r="MH22" s="1681"/>
      <c r="MI22" s="775"/>
      <c r="MJ22" s="775"/>
      <c r="MK22" s="775"/>
      <c r="ML22" s="775"/>
      <c r="MM22" s="775"/>
      <c r="MN22" s="775"/>
      <c r="MO22" s="775"/>
      <c r="MP22" s="775"/>
      <c r="MQ22" s="775"/>
      <c r="MR22" s="775"/>
      <c r="MS22" s="775"/>
      <c r="MT22" s="775"/>
      <c r="MU22" s="775"/>
      <c r="MV22" s="775"/>
      <c r="MW22" s="775"/>
      <c r="MX22" s="775"/>
      <c r="MY22" s="1682">
        <f t="shared" si="3"/>
        <v>0</v>
      </c>
      <c r="MZ22" s="766"/>
      <c r="NA22" s="766"/>
      <c r="NB22" s="766"/>
      <c r="NC22" s="766"/>
      <c r="ND22" s="766"/>
      <c r="NE22" s="766"/>
      <c r="NF22" s="766"/>
      <c r="NG22" s="766"/>
      <c r="NH22" s="766"/>
      <c r="NI22" s="766"/>
      <c r="NJ22" s="766"/>
      <c r="NK22" s="766"/>
      <c r="NL22" s="766"/>
      <c r="NM22" s="766"/>
      <c r="NN22" s="766"/>
      <c r="NO22" s="766"/>
      <c r="NP22" s="766"/>
      <c r="NQ22" s="766"/>
      <c r="NR22" s="766"/>
      <c r="NS22" s="766"/>
      <c r="NT22" s="766"/>
      <c r="NU22" s="766"/>
      <c r="NV22" s="766"/>
      <c r="NW22" s="766"/>
      <c r="NX22" s="766"/>
      <c r="NY22" s="766"/>
      <c r="NZ22" s="766"/>
      <c r="OA22" s="766"/>
      <c r="OB22" s="766"/>
      <c r="OC22" s="766"/>
      <c r="OD22" s="766"/>
      <c r="OE22" s="766"/>
      <c r="OF22" s="766"/>
      <c r="OG22" s="766"/>
      <c r="OH22" s="766"/>
      <c r="OI22" s="766"/>
      <c r="OJ22" s="766"/>
      <c r="OK22" s="28"/>
      <c r="OL22" s="766"/>
      <c r="OM22" s="766"/>
      <c r="ON22" s="766"/>
      <c r="OO22" s="766"/>
      <c r="OP22" s="766"/>
      <c r="OQ22" s="766"/>
      <c r="OR22" s="766"/>
      <c r="OS22" s="766"/>
      <c r="OT22" s="766"/>
      <c r="OU22" s="766"/>
      <c r="OV22" s="766"/>
      <c r="OW22" s="766"/>
      <c r="OX22" s="766"/>
      <c r="OY22" s="766"/>
      <c r="OZ22" s="766"/>
      <c r="PA22" s="766"/>
      <c r="PB22" s="766"/>
      <c r="PC22" s="766"/>
      <c r="PD22" s="766"/>
      <c r="PE22" s="766"/>
      <c r="PF22" s="766"/>
      <c r="PG22" s="766"/>
      <c r="PH22" s="766"/>
      <c r="PI22" s="766"/>
      <c r="PJ22" s="766"/>
      <c r="PK22" s="766"/>
      <c r="PL22" s="766"/>
      <c r="PM22" s="766"/>
      <c r="PN22" s="766"/>
      <c r="PO22" s="766"/>
      <c r="PP22" s="766"/>
      <c r="PQ22" s="766"/>
      <c r="PR22" s="766"/>
      <c r="PS22" s="766"/>
      <c r="PT22" s="766"/>
      <c r="PU22" s="766"/>
      <c r="PV22" s="766"/>
      <c r="PW22" s="766"/>
      <c r="PX22" s="766"/>
      <c r="PY22" s="766"/>
      <c r="PZ22" s="766"/>
      <c r="QA22" s="766"/>
      <c r="QB22" s="766"/>
      <c r="QC22" s="766"/>
      <c r="QD22" s="766"/>
      <c r="QE22" s="766"/>
      <c r="QF22" s="766"/>
      <c r="QG22" s="766"/>
      <c r="QH22" s="766"/>
      <c r="QI22" s="766"/>
      <c r="QJ22" s="766"/>
      <c r="QK22" s="766"/>
      <c r="QL22" s="766"/>
      <c r="QM22" s="766"/>
      <c r="QN22" s="766"/>
      <c r="QO22" s="766"/>
      <c r="QP22" s="766"/>
      <c r="QQ22" s="766"/>
      <c r="QR22" s="766"/>
      <c r="QS22" s="766"/>
      <c r="QT22" s="766"/>
      <c r="QU22" s="766"/>
      <c r="QV22" s="766"/>
      <c r="QW22" s="766"/>
      <c r="QX22" s="766"/>
      <c r="QY22" s="766"/>
      <c r="QZ22" s="766"/>
      <c r="RA22" s="766"/>
      <c r="RB22" s="770"/>
      <c r="RC22" s="766"/>
      <c r="RD22" s="766"/>
      <c r="RE22" s="766"/>
      <c r="RF22" s="777"/>
      <c r="RG22" s="766"/>
      <c r="RH22" s="775"/>
      <c r="RI22" s="766"/>
      <c r="RJ22" s="766"/>
      <c r="RK22" s="766"/>
      <c r="RL22" s="1683"/>
      <c r="RM22" s="12" t="s">
        <v>13011</v>
      </c>
      <c r="RN22" s="1711"/>
      <c r="RO22" s="168" t="s">
        <v>11359</v>
      </c>
      <c r="RP22" s="11"/>
      <c r="RQ22" s="11"/>
      <c r="RR22" s="771"/>
      <c r="RS22" s="766"/>
      <c r="RT22" s="11"/>
      <c r="RU22" s="11"/>
      <c r="RV22" s="766" t="s">
        <v>7421</v>
      </c>
      <c r="RW22" s="11" t="s">
        <v>7569</v>
      </c>
      <c r="RX22" s="11" t="s">
        <v>47</v>
      </c>
      <c r="RY22" s="11">
        <v>260.29000000000002</v>
      </c>
      <c r="RZ22" s="11"/>
      <c r="SA22" s="766"/>
      <c r="SB22" s="11"/>
      <c r="SC22" s="11"/>
    </row>
    <row r="23" spans="1:497" ht="12.75" hidden="1" customHeight="1">
      <c r="A23" s="154" t="s">
        <v>7419</v>
      </c>
      <c r="B23" s="288" t="s">
        <v>12390</v>
      </c>
      <c r="C23" s="168" t="s">
        <v>11363</v>
      </c>
      <c r="D23" s="14" t="s">
        <v>11364</v>
      </c>
      <c r="E23" s="766" t="s">
        <v>11360</v>
      </c>
      <c r="F23" s="766"/>
      <c r="G23" s="766"/>
      <c r="H23" s="766"/>
      <c r="I23" s="5"/>
      <c r="J23" s="766"/>
      <c r="K23" s="766" t="s">
        <v>11365</v>
      </c>
      <c r="L23" s="766" t="s">
        <v>11366</v>
      </c>
      <c r="M23" s="766"/>
      <c r="N23" s="766" t="s">
        <v>11367</v>
      </c>
      <c r="O23" s="766" t="s">
        <v>11011</v>
      </c>
      <c r="P23" s="14"/>
      <c r="Q23" s="1085"/>
      <c r="R23" s="25"/>
      <c r="S23" s="766"/>
      <c r="T23" s="766"/>
      <c r="U23" s="26"/>
      <c r="V23" s="766"/>
      <c r="W23" s="766"/>
      <c r="X23" s="766"/>
      <c r="Y23" s="766"/>
      <c r="Z23" s="766"/>
      <c r="AA23" s="766"/>
      <c r="AB23" s="766"/>
      <c r="AC23" s="766"/>
      <c r="AD23" s="766"/>
      <c r="AE23" s="766"/>
      <c r="AF23" s="766"/>
      <c r="AG23" s="766" t="s">
        <v>11110</v>
      </c>
      <c r="AH23" s="766" t="s">
        <v>1120</v>
      </c>
      <c r="AI23" s="766"/>
      <c r="AJ23" s="766" t="s">
        <v>1137</v>
      </c>
      <c r="AK23" s="766" t="s">
        <v>1097</v>
      </c>
      <c r="AL23" s="120">
        <v>13.802</v>
      </c>
      <c r="AM23" s="772">
        <v>3.8340000000000001</v>
      </c>
      <c r="AN23" s="37">
        <f>AM23/AL23</f>
        <v>0.27778582814084918</v>
      </c>
      <c r="AO23" s="766" t="s">
        <v>1149</v>
      </c>
      <c r="AP23" s="766"/>
      <c r="AQ23" s="766"/>
      <c r="AR23" s="766"/>
      <c r="AS23" s="766"/>
      <c r="AT23" s="766"/>
      <c r="AU23" s="766"/>
      <c r="AV23" s="766"/>
      <c r="AW23" s="766"/>
      <c r="AX23" s="766"/>
      <c r="AY23" s="766"/>
      <c r="AZ23" s="766"/>
      <c r="BA23" s="766"/>
      <c r="BB23" s="766"/>
      <c r="BC23" s="766"/>
      <c r="BD23" s="766"/>
      <c r="BE23" s="766"/>
      <c r="BF23" s="775"/>
      <c r="BG23" s="775"/>
      <c r="BH23" s="766"/>
      <c r="BI23" s="766"/>
      <c r="BJ23" s="766"/>
      <c r="BK23" s="766"/>
      <c r="BL23" s="766"/>
      <c r="BM23" s="766"/>
      <c r="BN23" s="766"/>
      <c r="BO23" s="766"/>
      <c r="BP23" s="776"/>
      <c r="BQ23" s="772"/>
      <c r="BR23" s="774"/>
      <c r="BS23" s="766"/>
      <c r="BT23" s="766"/>
      <c r="BU23" s="766"/>
      <c r="BV23" s="766"/>
      <c r="BW23" s="429"/>
      <c r="BX23" s="779"/>
      <c r="BY23" s="766"/>
      <c r="BZ23" s="775"/>
      <c r="CA23" s="766"/>
      <c r="CB23" s="766" t="s">
        <v>1207</v>
      </c>
      <c r="CC23" s="766"/>
      <c r="CD23" s="766"/>
      <c r="CE23" s="766"/>
      <c r="CF23" s="231"/>
      <c r="CG23" s="231"/>
      <c r="CH23" s="766"/>
      <c r="CI23" s="766"/>
      <c r="CJ23" s="766"/>
      <c r="CK23" s="766"/>
      <c r="CL23" s="766"/>
      <c r="CM23" s="766"/>
      <c r="CN23" s="766"/>
      <c r="CO23" s="766"/>
      <c r="CP23" s="766"/>
      <c r="CQ23" s="766"/>
      <c r="CR23" s="775"/>
      <c r="CS23" s="766"/>
      <c r="CT23" s="766"/>
      <c r="CU23" s="129"/>
      <c r="CV23" s="766"/>
      <c r="CW23" s="766"/>
      <c r="CX23" s="766"/>
      <c r="CY23" s="766"/>
      <c r="CZ23" s="766"/>
      <c r="DA23" s="766"/>
      <c r="DB23" s="766"/>
      <c r="DC23" s="766"/>
      <c r="DD23" s="766"/>
      <c r="DE23" s="766"/>
      <c r="DF23" s="766"/>
      <c r="DG23" s="766"/>
      <c r="DH23" s="766"/>
      <c r="DI23" s="766"/>
      <c r="DJ23" s="766"/>
      <c r="DK23" s="766"/>
      <c r="DL23" s="766"/>
      <c r="DM23" s="766"/>
      <c r="DN23" s="766"/>
      <c r="DO23" s="766"/>
      <c r="DP23" s="766"/>
      <c r="DQ23" s="766"/>
      <c r="DR23" s="766"/>
      <c r="DS23" s="59"/>
      <c r="DT23" s="766"/>
      <c r="DU23" s="766"/>
      <c r="DV23" s="766"/>
      <c r="DW23" s="66"/>
      <c r="DX23" s="66"/>
      <c r="DY23" s="766"/>
      <c r="DZ23" s="766"/>
      <c r="EA23" s="766"/>
      <c r="EB23" s="766"/>
      <c r="EC23" s="766"/>
      <c r="ED23" s="766"/>
      <c r="EE23" s="766"/>
      <c r="EF23" s="766"/>
      <c r="EG23" s="766"/>
      <c r="EH23" s="766"/>
      <c r="EI23" s="766"/>
      <c r="EJ23" s="766"/>
      <c r="EK23" s="766"/>
      <c r="EL23" s="766"/>
      <c r="EM23" s="766"/>
      <c r="EN23" s="766"/>
      <c r="EO23" s="766"/>
      <c r="EP23" s="766"/>
      <c r="EQ23" s="766"/>
      <c r="ER23" s="766"/>
      <c r="ES23" s="766"/>
      <c r="ET23" s="766"/>
      <c r="EU23" s="766"/>
      <c r="EV23" s="766"/>
      <c r="EW23" s="766"/>
      <c r="EX23" s="766"/>
      <c r="EY23" s="766"/>
      <c r="EZ23" s="766" t="s">
        <v>1137</v>
      </c>
      <c r="FA23" s="766" t="s">
        <v>12366</v>
      </c>
      <c r="FB23" s="766" t="s">
        <v>1149</v>
      </c>
      <c r="FC23" s="766"/>
      <c r="FD23" s="302"/>
      <c r="FE23" s="775" t="s">
        <v>12368</v>
      </c>
      <c r="FF23" s="766" t="s">
        <v>11643</v>
      </c>
      <c r="FG23" s="766" t="s">
        <v>12367</v>
      </c>
      <c r="FH23" s="766"/>
      <c r="FI23" s="766"/>
      <c r="FJ23" s="766"/>
      <c r="FK23" s="766"/>
      <c r="FL23" s="766"/>
      <c r="FM23" s="775"/>
      <c r="FN23" s="775"/>
      <c r="FO23" s="775"/>
      <c r="FP23" s="766"/>
      <c r="FQ23" s="766"/>
      <c r="FR23" s="766"/>
      <c r="FS23" s="766"/>
      <c r="FT23" s="766"/>
      <c r="FU23" s="766"/>
      <c r="FV23" s="766"/>
      <c r="FW23" s="766"/>
      <c r="FX23" s="766"/>
      <c r="FY23" s="766"/>
      <c r="FZ23" s="766"/>
      <c r="GA23" s="766"/>
      <c r="GB23" s="766"/>
      <c r="GC23" s="75"/>
      <c r="GD23" s="25"/>
      <c r="GE23" s="766"/>
      <c r="GF23" s="775"/>
      <c r="GG23" s="775"/>
      <c r="GH23" s="770"/>
      <c r="GI23" s="12"/>
      <c r="GJ23" s="12"/>
      <c r="GK23" s="12"/>
      <c r="GL23" s="299"/>
      <c r="GM23" s="12"/>
      <c r="GN23" s="770"/>
      <c r="GO23" s="770"/>
      <c r="GP23" s="770"/>
      <c r="GQ23" s="770"/>
      <c r="GR23" s="770"/>
      <c r="GS23" s="12"/>
      <c r="GT23" s="770"/>
      <c r="GU23" s="12"/>
      <c r="GV23" s="770"/>
      <c r="GW23" s="770"/>
      <c r="GX23" s="770"/>
      <c r="GY23" s="770"/>
      <c r="GZ23" s="770"/>
      <c r="HA23" s="770"/>
      <c r="HB23" s="770"/>
      <c r="HC23" s="12"/>
      <c r="HD23" s="770"/>
      <c r="HE23" s="770"/>
      <c r="HF23" s="770"/>
      <c r="HG23" s="12"/>
      <c r="HH23" s="12"/>
      <c r="HI23" s="770"/>
      <c r="HJ23" s="12"/>
      <c r="HK23" s="12"/>
      <c r="HL23" s="766"/>
      <c r="HM23" s="766"/>
      <c r="HN23" s="766"/>
      <c r="HO23" s="766"/>
      <c r="HP23" s="766"/>
      <c r="HQ23" s="766"/>
      <c r="HR23" s="766"/>
      <c r="HS23" s="766"/>
      <c r="HT23" s="766"/>
      <c r="HU23" s="766"/>
      <c r="HV23" s="766"/>
      <c r="HW23" s="766"/>
      <c r="HX23" s="766"/>
      <c r="HY23" s="766"/>
      <c r="HZ23" s="766"/>
      <c r="IA23" s="766"/>
      <c r="IB23" s="766"/>
      <c r="IC23" s="766"/>
      <c r="ID23" s="766"/>
      <c r="IE23" s="766"/>
      <c r="IF23" s="766"/>
      <c r="IG23" s="766"/>
      <c r="IH23" s="766"/>
      <c r="II23" s="766"/>
      <c r="IJ23" s="766"/>
      <c r="IK23" s="766"/>
      <c r="IL23" s="766"/>
      <c r="IM23" s="766"/>
      <c r="IN23" s="766"/>
      <c r="IO23" s="766"/>
      <c r="IP23" s="766"/>
      <c r="IQ23" s="766"/>
      <c r="IR23" s="775"/>
      <c r="IS23" s="76"/>
      <c r="IT23" s="76"/>
      <c r="IU23" s="76"/>
      <c r="IV23" s="76"/>
      <c r="IW23" s="766"/>
      <c r="IX23" s="766"/>
      <c r="IY23" s="766"/>
      <c r="IZ23" s="766"/>
      <c r="JA23" s="766"/>
      <c r="JB23" s="766"/>
      <c r="JC23" s="766"/>
      <c r="JD23" s="775"/>
      <c r="JE23" s="76"/>
      <c r="JF23" s="76"/>
      <c r="JG23" s="76"/>
      <c r="JH23" s="76"/>
      <c r="JI23" s="76"/>
      <c r="JJ23" s="766"/>
      <c r="JK23" s="766"/>
      <c r="JL23" s="766"/>
      <c r="JM23" s="766"/>
      <c r="JN23" s="766"/>
      <c r="JO23" s="766"/>
      <c r="JP23" s="766"/>
      <c r="JQ23" s="766"/>
      <c r="JR23" s="766"/>
      <c r="JS23" s="766"/>
      <c r="JT23" s="766"/>
      <c r="JU23" s="766"/>
      <c r="JV23" s="766"/>
      <c r="JW23" s="766"/>
      <c r="JX23" s="766"/>
      <c r="JY23" s="766"/>
      <c r="JZ23" s="766"/>
      <c r="KA23" s="766"/>
      <c r="KB23" s="766"/>
      <c r="KC23" s="766"/>
      <c r="KD23" s="766"/>
      <c r="KE23" s="766"/>
      <c r="KF23" s="766"/>
      <c r="KG23" s="766"/>
      <c r="KH23" s="766"/>
      <c r="KI23" s="766"/>
      <c r="KJ23" s="770"/>
      <c r="KK23" s="770"/>
      <c r="KL23" s="770"/>
      <c r="KM23" s="770"/>
      <c r="KN23" s="766"/>
      <c r="KO23" s="28"/>
      <c r="KP23" s="766"/>
      <c r="KQ23" s="766"/>
      <c r="KR23" s="766"/>
      <c r="KS23" s="766"/>
      <c r="KT23" s="766"/>
      <c r="KU23" s="766"/>
      <c r="KV23" s="766"/>
      <c r="KW23" s="766"/>
      <c r="KX23" s="766"/>
      <c r="KY23" s="766"/>
      <c r="KZ23" s="766"/>
      <c r="LA23" s="766"/>
      <c r="LB23" s="766"/>
      <c r="LC23" s="766"/>
      <c r="LD23" s="766"/>
      <c r="LE23" s="766"/>
      <c r="LF23" s="766"/>
      <c r="LG23" s="766"/>
      <c r="LH23" s="766"/>
      <c r="LI23" s="766"/>
      <c r="LJ23" s="766"/>
      <c r="LK23" s="766"/>
      <c r="LL23" s="766"/>
      <c r="LM23" s="766"/>
      <c r="LN23" s="766"/>
      <c r="LO23" s="766"/>
      <c r="LP23" s="766"/>
      <c r="LQ23" s="1678"/>
      <c r="LR23" s="766"/>
      <c r="LS23" s="766"/>
      <c r="LT23" s="766"/>
      <c r="LU23" s="766"/>
      <c r="LV23" s="766"/>
      <c r="LW23" s="766"/>
      <c r="LX23" s="769"/>
      <c r="LY23" s="766" t="str">
        <f t="shared" si="0"/>
        <v/>
      </c>
      <c r="LZ23" s="66"/>
      <c r="MA23" s="766"/>
      <c r="MB23" s="766"/>
      <c r="MC23" s="1679">
        <f t="shared" si="1"/>
        <v>0</v>
      </c>
      <c r="MD23" s="66"/>
      <c r="ME23" s="66"/>
      <c r="MF23" s="66"/>
      <c r="MG23" s="1680">
        <f t="shared" si="2"/>
        <v>0</v>
      </c>
      <c r="MH23" s="1681"/>
      <c r="MI23" s="775"/>
      <c r="MJ23" s="775"/>
      <c r="MK23" s="775"/>
      <c r="ML23" s="775"/>
      <c r="MM23" s="775"/>
      <c r="MN23" s="775"/>
      <c r="MO23" s="775"/>
      <c r="MP23" s="775"/>
      <c r="MQ23" s="775"/>
      <c r="MR23" s="775"/>
      <c r="MS23" s="775"/>
      <c r="MT23" s="775"/>
      <c r="MU23" s="775"/>
      <c r="MV23" s="775"/>
      <c r="MW23" s="775"/>
      <c r="MX23" s="775"/>
      <c r="MY23" s="1682">
        <f t="shared" si="3"/>
        <v>0</v>
      </c>
      <c r="MZ23" s="766"/>
      <c r="NA23" s="766"/>
      <c r="NB23" s="766"/>
      <c r="NC23" s="766"/>
      <c r="ND23" s="766"/>
      <c r="NE23" s="766"/>
      <c r="NF23" s="766"/>
      <c r="NG23" s="766"/>
      <c r="NH23" s="766"/>
      <c r="NI23" s="766"/>
      <c r="NJ23" s="766"/>
      <c r="NK23" s="766"/>
      <c r="NL23" s="766"/>
      <c r="NM23" s="766"/>
      <c r="NN23" s="766"/>
      <c r="NO23" s="766"/>
      <c r="NP23" s="766"/>
      <c r="NQ23" s="766"/>
      <c r="NR23" s="766"/>
      <c r="NS23" s="766"/>
      <c r="NT23" s="766"/>
      <c r="NU23" s="766"/>
      <c r="NV23" s="766"/>
      <c r="NW23" s="766"/>
      <c r="NX23" s="766"/>
      <c r="NY23" s="766"/>
      <c r="NZ23" s="766"/>
      <c r="OA23" s="766"/>
      <c r="OB23" s="766"/>
      <c r="OC23" s="766"/>
      <c r="OD23" s="766"/>
      <c r="OE23" s="766"/>
      <c r="OF23" s="766"/>
      <c r="OG23" s="766"/>
      <c r="OH23" s="766"/>
      <c r="OI23" s="766"/>
      <c r="OJ23" s="766"/>
      <c r="OK23" s="28"/>
      <c r="OL23" s="766"/>
      <c r="OM23" s="766"/>
      <c r="ON23" s="766"/>
      <c r="OO23" s="766"/>
      <c r="OP23" s="766"/>
      <c r="OQ23" s="766"/>
      <c r="OR23" s="766"/>
      <c r="OS23" s="766"/>
      <c r="OT23" s="766"/>
      <c r="OU23" s="766"/>
      <c r="OV23" s="766"/>
      <c r="OW23" s="766"/>
      <c r="OX23" s="766"/>
      <c r="OY23" s="766"/>
      <c r="OZ23" s="766"/>
      <c r="PA23" s="766"/>
      <c r="PB23" s="766"/>
      <c r="PC23" s="766"/>
      <c r="PD23" s="766"/>
      <c r="PE23" s="766"/>
      <c r="PF23" s="766"/>
      <c r="PG23" s="766"/>
      <c r="PH23" s="766"/>
      <c r="PI23" s="766"/>
      <c r="PJ23" s="766"/>
      <c r="PK23" s="766"/>
      <c r="PL23" s="766"/>
      <c r="PM23" s="766"/>
      <c r="PN23" s="766"/>
      <c r="PO23" s="766"/>
      <c r="PP23" s="766"/>
      <c r="PQ23" s="766"/>
      <c r="PR23" s="766"/>
      <c r="PS23" s="766"/>
      <c r="PT23" s="766"/>
      <c r="PU23" s="766"/>
      <c r="PV23" s="766"/>
      <c r="PW23" s="766"/>
      <c r="PX23" s="766"/>
      <c r="PY23" s="766"/>
      <c r="PZ23" s="766"/>
      <c r="QA23" s="766"/>
      <c r="QB23" s="766"/>
      <c r="QC23" s="766"/>
      <c r="QD23" s="766"/>
      <c r="QE23" s="766"/>
      <c r="QF23" s="766"/>
      <c r="QG23" s="766"/>
      <c r="QH23" s="766"/>
      <c r="QI23" s="766"/>
      <c r="QJ23" s="766"/>
      <c r="QK23" s="766"/>
      <c r="QL23" s="766"/>
      <c r="QM23" s="766"/>
      <c r="QN23" s="766"/>
      <c r="QO23" s="766"/>
      <c r="QP23" s="766"/>
      <c r="QQ23" s="766"/>
      <c r="QR23" s="766"/>
      <c r="QS23" s="766"/>
      <c r="QT23" s="766"/>
      <c r="QU23" s="766"/>
      <c r="QV23" s="766"/>
      <c r="QW23" s="766"/>
      <c r="QX23" s="766"/>
      <c r="QY23" s="766"/>
      <c r="QZ23" s="766"/>
      <c r="RA23" s="766"/>
      <c r="RB23" s="770"/>
      <c r="RC23" s="766"/>
      <c r="RD23" s="766"/>
      <c r="RE23" s="766"/>
      <c r="RF23" s="777"/>
      <c r="RG23" s="766"/>
      <c r="RH23" s="775"/>
      <c r="RI23" s="766"/>
      <c r="RJ23" s="766"/>
      <c r="RK23" s="766"/>
      <c r="RL23" s="1683"/>
      <c r="RM23" s="12"/>
      <c r="RN23" s="1711"/>
      <c r="RO23" s="168" t="s">
        <v>11363</v>
      </c>
      <c r="RP23" s="11"/>
      <c r="RQ23" s="11"/>
      <c r="RR23" s="771"/>
      <c r="RS23" s="766"/>
      <c r="RT23" s="11"/>
      <c r="RU23" s="11"/>
      <c r="RV23" s="766" t="s">
        <v>7419</v>
      </c>
      <c r="RW23" s="11" t="s">
        <v>12391</v>
      </c>
      <c r="RX23" s="11" t="s">
        <v>11006</v>
      </c>
      <c r="RY23" s="11">
        <v>5.68</v>
      </c>
      <c r="RZ23" s="11"/>
      <c r="SA23" s="766"/>
      <c r="SB23" s="11"/>
      <c r="SC23" s="11"/>
    </row>
    <row r="24" spans="1:497" ht="12.75" hidden="1" customHeight="1">
      <c r="A24" s="154" t="s">
        <v>7419</v>
      </c>
      <c r="B24" s="288" t="s">
        <v>7570</v>
      </c>
      <c r="C24" s="168" t="s">
        <v>48</v>
      </c>
      <c r="D24" s="766" t="s">
        <v>49</v>
      </c>
      <c r="E24" s="766" t="s">
        <v>7246</v>
      </c>
      <c r="F24" s="766" t="s">
        <v>20</v>
      </c>
      <c r="G24" s="766" t="s">
        <v>18</v>
      </c>
      <c r="H24" s="766"/>
      <c r="I24" s="5" t="s">
        <v>51</v>
      </c>
      <c r="J24" s="766" t="s">
        <v>52</v>
      </c>
      <c r="K24" s="766" t="s">
        <v>14075</v>
      </c>
      <c r="L24" s="766" t="s">
        <v>14076</v>
      </c>
      <c r="M24" s="766"/>
      <c r="N24" s="766" t="s">
        <v>5475</v>
      </c>
      <c r="O24" s="766"/>
      <c r="P24" s="14" t="s">
        <v>728</v>
      </c>
      <c r="Q24" s="1085">
        <v>26492</v>
      </c>
      <c r="R24" s="25">
        <v>44</v>
      </c>
      <c r="S24" s="766" t="s">
        <v>10</v>
      </c>
      <c r="T24" s="766"/>
      <c r="U24" s="26" t="s">
        <v>51</v>
      </c>
      <c r="V24" s="766" t="s">
        <v>707</v>
      </c>
      <c r="W24" s="766"/>
      <c r="X24" s="766"/>
      <c r="Y24" s="766" t="s">
        <v>50</v>
      </c>
      <c r="Z24" s="766" t="s">
        <v>708</v>
      </c>
      <c r="AA24" s="766" t="s">
        <v>709</v>
      </c>
      <c r="AB24" s="766" t="s">
        <v>710</v>
      </c>
      <c r="AC24" s="766"/>
      <c r="AD24" s="766" t="s">
        <v>711</v>
      </c>
      <c r="AE24" s="766"/>
      <c r="AF24" s="766"/>
      <c r="AG24" s="766" t="s">
        <v>1095</v>
      </c>
      <c r="AH24" s="766" t="s">
        <v>1096</v>
      </c>
      <c r="AI24" s="766" t="s">
        <v>1114</v>
      </c>
      <c r="AJ24" s="766"/>
      <c r="AK24" s="766" t="s">
        <v>1097</v>
      </c>
      <c r="AL24" s="120">
        <v>277.58999999999997</v>
      </c>
      <c r="AM24" s="772">
        <v>172.41</v>
      </c>
      <c r="AN24" s="37">
        <f>AM24/AL24</f>
        <v>0.62109586080190216</v>
      </c>
      <c r="AO24" s="766" t="s">
        <v>1105</v>
      </c>
      <c r="AP24" s="766"/>
      <c r="AQ24" s="766"/>
      <c r="AR24" s="766"/>
      <c r="AS24" s="766" t="s">
        <v>1207</v>
      </c>
      <c r="AT24" s="766" t="s">
        <v>1208</v>
      </c>
      <c r="AU24" s="766"/>
      <c r="AV24" s="766"/>
      <c r="AW24" s="766"/>
      <c r="AX24" s="13"/>
      <c r="AY24" s="766"/>
      <c r="AZ24" s="766"/>
      <c r="BA24" s="766"/>
      <c r="BB24" s="766"/>
      <c r="BC24" s="766" t="s">
        <v>853</v>
      </c>
      <c r="BD24" s="766" t="s">
        <v>1207</v>
      </c>
      <c r="BE24" s="766"/>
      <c r="BF24" s="775"/>
      <c r="BG24" s="775"/>
      <c r="BH24" s="766"/>
      <c r="BI24" s="766"/>
      <c r="BJ24" s="766"/>
      <c r="BK24" s="766" t="s">
        <v>1095</v>
      </c>
      <c r="BL24" s="766" t="s">
        <v>1258</v>
      </c>
      <c r="BM24" s="766" t="s">
        <v>1096</v>
      </c>
      <c r="BN24" s="766" t="s">
        <v>1230</v>
      </c>
      <c r="BO24" s="766" t="s">
        <v>1246</v>
      </c>
      <c r="BP24" s="776">
        <v>114.48</v>
      </c>
      <c r="BQ24" s="772">
        <v>89.1</v>
      </c>
      <c r="BR24" s="774">
        <f>BQ24/BP24</f>
        <v>0.77830188679245271</v>
      </c>
      <c r="BS24" s="766" t="s">
        <v>1105</v>
      </c>
      <c r="BT24" s="766" t="s">
        <v>2040</v>
      </c>
      <c r="BU24" s="766" t="s">
        <v>1249</v>
      </c>
      <c r="BV24" s="766" t="s">
        <v>1247</v>
      </c>
      <c r="BW24" s="766">
        <v>1976</v>
      </c>
      <c r="BX24" s="779"/>
      <c r="BY24" s="766"/>
      <c r="BZ24" s="775"/>
      <c r="CA24" s="766"/>
      <c r="CB24" s="766"/>
      <c r="CC24" s="766"/>
      <c r="CD24" s="766"/>
      <c r="CE24" s="766"/>
      <c r="CF24" s="231"/>
      <c r="CG24" s="231"/>
      <c r="CH24" s="766"/>
      <c r="CI24" s="766"/>
      <c r="CJ24" s="766"/>
      <c r="CK24" s="766"/>
      <c r="CL24" s="766"/>
      <c r="CM24" s="766"/>
      <c r="CN24" s="766"/>
      <c r="CO24" s="766"/>
      <c r="CP24" s="766"/>
      <c r="CQ24" s="766"/>
      <c r="CR24" s="775"/>
      <c r="CS24" s="766"/>
      <c r="CT24" s="766"/>
      <c r="CU24" s="129"/>
      <c r="CV24" s="766"/>
      <c r="CW24" s="766"/>
      <c r="CX24" s="766"/>
      <c r="CY24" s="766"/>
      <c r="CZ24" s="766"/>
      <c r="DA24" s="766"/>
      <c r="DB24" s="766"/>
      <c r="DC24" s="766"/>
      <c r="DD24" s="766"/>
      <c r="DE24" s="766"/>
      <c r="DF24" s="766"/>
      <c r="DG24" s="766"/>
      <c r="DH24" s="766"/>
      <c r="DI24" s="766"/>
      <c r="DJ24" s="766"/>
      <c r="DK24" s="766"/>
      <c r="DL24" s="766"/>
      <c r="DM24" s="766"/>
      <c r="DN24" s="766"/>
      <c r="DO24" s="766"/>
      <c r="DP24" s="766"/>
      <c r="DQ24" s="766"/>
      <c r="DR24" s="766"/>
      <c r="DS24" s="59"/>
      <c r="DT24" s="766"/>
      <c r="DU24" s="766"/>
      <c r="DV24" s="766"/>
      <c r="DW24" s="66"/>
      <c r="DX24" s="66"/>
      <c r="DY24" s="766"/>
      <c r="DZ24" s="766"/>
      <c r="EA24" s="766"/>
      <c r="EB24" s="766"/>
      <c r="EC24" s="766"/>
      <c r="ED24" s="766"/>
      <c r="EE24" s="766"/>
      <c r="EF24" s="766"/>
      <c r="EG24" s="766"/>
      <c r="EH24" s="766"/>
      <c r="EI24" s="766"/>
      <c r="EJ24" s="766"/>
      <c r="EK24" s="766"/>
      <c r="EL24" s="766"/>
      <c r="EM24" s="766"/>
      <c r="EN24" s="766"/>
      <c r="EO24" s="766"/>
      <c r="EP24" s="766"/>
      <c r="EQ24" s="766"/>
      <c r="ER24" s="766"/>
      <c r="ES24" s="766"/>
      <c r="ET24" s="766"/>
      <c r="EU24" s="766"/>
      <c r="EV24" s="766"/>
      <c r="EW24" s="766"/>
      <c r="EX24" s="766"/>
      <c r="EY24" s="766"/>
      <c r="EZ24" s="770"/>
      <c r="FA24" s="770"/>
      <c r="FB24" s="770"/>
      <c r="FC24" s="766"/>
      <c r="FD24" s="775"/>
      <c r="FE24" s="766"/>
      <c r="FF24" s="766"/>
      <c r="FG24" s="766"/>
      <c r="FH24" s="766" t="s">
        <v>478</v>
      </c>
      <c r="FI24" s="766">
        <v>1</v>
      </c>
      <c r="FJ24" s="766"/>
      <c r="FK24" s="766"/>
      <c r="FL24" s="766"/>
      <c r="FM24" s="775"/>
      <c r="FN24" s="775"/>
      <c r="FO24" s="775"/>
      <c r="FP24" s="766" t="s">
        <v>1602</v>
      </c>
      <c r="FQ24" s="766" t="s">
        <v>1660</v>
      </c>
      <c r="FR24" s="766" t="s">
        <v>1207</v>
      </c>
      <c r="FS24" s="766"/>
      <c r="FT24" s="766"/>
      <c r="FU24" s="766"/>
      <c r="FV24" s="766"/>
      <c r="FW24" s="766"/>
      <c r="FX24" s="766"/>
      <c r="FY24" s="766"/>
      <c r="FZ24" s="766"/>
      <c r="GA24" s="766"/>
      <c r="GB24" s="766" t="s">
        <v>853</v>
      </c>
      <c r="GC24" s="75" t="s">
        <v>1700</v>
      </c>
      <c r="GD24" s="25">
        <v>2015</v>
      </c>
      <c r="GE24" s="766" t="s">
        <v>1698</v>
      </c>
      <c r="GF24" s="775"/>
      <c r="GG24" s="775"/>
      <c r="GH24" s="766" t="s">
        <v>14260</v>
      </c>
      <c r="GI24" s="1719"/>
      <c r="GJ24" s="1719"/>
      <c r="GK24" s="1719"/>
      <c r="GL24" s="1720"/>
      <c r="GM24" s="1719"/>
      <c r="GN24" s="1721"/>
      <c r="GO24" s="1721"/>
      <c r="GP24" s="1721"/>
      <c r="GQ24" s="1721"/>
      <c r="GR24" s="1721"/>
      <c r="GS24" s="1719"/>
      <c r="GT24" s="1721"/>
      <c r="GU24" s="1719"/>
      <c r="GV24" s="1721"/>
      <c r="GW24" s="1721"/>
      <c r="GX24" s="1721"/>
      <c r="GY24" s="1721"/>
      <c r="GZ24" s="1721"/>
      <c r="HA24" s="1721"/>
      <c r="HB24" s="1721"/>
      <c r="HC24" s="1719"/>
      <c r="HD24" s="1721"/>
      <c r="HE24" s="1719"/>
      <c r="HF24" s="1719"/>
      <c r="HG24" s="1719"/>
      <c r="HH24" s="1719"/>
      <c r="HI24" s="1719"/>
      <c r="HJ24" s="1719"/>
      <c r="HK24" s="1719"/>
      <c r="HL24" s="766"/>
      <c r="HM24" s="766"/>
      <c r="HN24" s="766"/>
      <c r="HO24" s="766"/>
      <c r="HP24" s="766"/>
      <c r="HQ24" s="766"/>
      <c r="HR24" s="766">
        <v>2</v>
      </c>
      <c r="HS24" s="766">
        <v>1</v>
      </c>
      <c r="HT24" s="766">
        <v>2</v>
      </c>
      <c r="HU24" s="766"/>
      <c r="HV24" s="766"/>
      <c r="HW24" s="766"/>
      <c r="HX24" s="766"/>
      <c r="HY24" s="766"/>
      <c r="HZ24" s="766"/>
      <c r="IA24" s="766"/>
      <c r="IB24" s="766"/>
      <c r="IC24" s="766"/>
      <c r="ID24" s="766"/>
      <c r="IE24" s="766"/>
      <c r="IF24" s="766"/>
      <c r="IG24" s="766"/>
      <c r="IH24" s="766"/>
      <c r="II24" s="766"/>
      <c r="IJ24" s="766"/>
      <c r="IK24" s="766"/>
      <c r="IL24" s="766"/>
      <c r="IM24" s="766"/>
      <c r="IN24" s="766"/>
      <c r="IO24" s="766"/>
      <c r="IP24" s="766"/>
      <c r="IQ24" s="766"/>
      <c r="IR24" s="775"/>
      <c r="IS24" s="766"/>
      <c r="IT24" s="28"/>
      <c r="IU24" s="76"/>
      <c r="IV24" s="76"/>
      <c r="IW24" s="766"/>
      <c r="IX24" s="766"/>
      <c r="IY24" s="766"/>
      <c r="IZ24" s="766"/>
      <c r="JA24" s="766"/>
      <c r="JB24" s="766"/>
      <c r="JC24" s="766"/>
      <c r="JD24" s="775"/>
      <c r="JE24" s="766"/>
      <c r="JF24" s="28"/>
      <c r="JG24" s="76"/>
      <c r="JH24" s="76"/>
      <c r="JI24" s="76"/>
      <c r="JJ24" s="766"/>
      <c r="JK24" s="766"/>
      <c r="JL24" s="766"/>
      <c r="JM24" s="766"/>
      <c r="JN24" s="766"/>
      <c r="JO24" s="766"/>
      <c r="JP24" s="766"/>
      <c r="JQ24" s="766"/>
      <c r="JR24" s="766"/>
      <c r="JS24" s="766"/>
      <c r="JT24" s="766"/>
      <c r="JU24" s="766"/>
      <c r="JV24" s="766"/>
      <c r="JW24" s="766"/>
      <c r="JX24" s="766"/>
      <c r="JY24" s="766"/>
      <c r="JZ24" s="766"/>
      <c r="KA24" s="766"/>
      <c r="KB24" s="766"/>
      <c r="KC24" s="766"/>
      <c r="KD24" s="766"/>
      <c r="KE24" s="766"/>
      <c r="KF24" s="766"/>
      <c r="KG24" s="766"/>
      <c r="KH24" s="766"/>
      <c r="KI24" s="766"/>
      <c r="KJ24" s="770"/>
      <c r="KK24" s="770"/>
      <c r="KL24" s="770"/>
      <c r="KM24" s="770"/>
      <c r="KN24" s="766"/>
      <c r="KO24" s="28"/>
      <c r="KP24" s="766"/>
      <c r="KQ24" s="766"/>
      <c r="KR24" s="766"/>
      <c r="KS24" s="766"/>
      <c r="KT24" s="766"/>
      <c r="KU24" s="766"/>
      <c r="KV24" s="766"/>
      <c r="KW24" s="766"/>
      <c r="KX24" s="766"/>
      <c r="KY24" s="766"/>
      <c r="KZ24" s="766"/>
      <c r="LA24" s="766"/>
      <c r="LB24" s="766"/>
      <c r="LC24" s="766"/>
      <c r="LD24" s="766"/>
      <c r="LE24" s="766"/>
      <c r="LF24" s="766"/>
      <c r="LG24" s="766"/>
      <c r="LH24" s="766"/>
      <c r="LI24" s="766"/>
      <c r="LJ24" s="766"/>
      <c r="LK24" s="766"/>
      <c r="LL24" s="766"/>
      <c r="LM24" s="766"/>
      <c r="LN24" s="766"/>
      <c r="LO24" s="766"/>
      <c r="LP24" s="766"/>
      <c r="LQ24" s="1681"/>
      <c r="LR24" s="766"/>
      <c r="LS24" s="766"/>
      <c r="LT24" s="766"/>
      <c r="LU24" s="766"/>
      <c r="LV24" s="766"/>
      <c r="LW24" s="766"/>
      <c r="LX24" s="769"/>
      <c r="LY24" s="766" t="str">
        <f t="shared" si="0"/>
        <v/>
      </c>
      <c r="LZ24" s="66"/>
      <c r="MA24" s="766"/>
      <c r="MB24" s="766"/>
      <c r="MC24" s="1679">
        <f t="shared" si="1"/>
        <v>0</v>
      </c>
      <c r="MD24" s="66"/>
      <c r="ME24" s="66"/>
      <c r="MF24" s="66"/>
      <c r="MG24" s="1680">
        <f t="shared" si="2"/>
        <v>0</v>
      </c>
      <c r="MH24" s="1681"/>
      <c r="MI24" s="775"/>
      <c r="MJ24" s="775"/>
      <c r="MK24" s="775"/>
      <c r="ML24" s="775"/>
      <c r="MM24" s="775"/>
      <c r="MN24" s="775"/>
      <c r="MO24" s="775"/>
      <c r="MP24" s="775"/>
      <c r="MQ24" s="775"/>
      <c r="MR24" s="775"/>
      <c r="MS24" s="775"/>
      <c r="MT24" s="775"/>
      <c r="MU24" s="775"/>
      <c r="MV24" s="775"/>
      <c r="MW24" s="775"/>
      <c r="MX24" s="775"/>
      <c r="MY24" s="1682">
        <f t="shared" si="3"/>
        <v>0</v>
      </c>
      <c r="MZ24" s="766"/>
      <c r="NA24" s="766"/>
      <c r="NB24" s="766"/>
      <c r="NC24" s="766"/>
      <c r="ND24" s="766"/>
      <c r="NE24" s="766"/>
      <c r="NF24" s="766"/>
      <c r="NG24" s="766"/>
      <c r="NH24" s="766"/>
      <c r="NI24" s="766"/>
      <c r="NJ24" s="766"/>
      <c r="NK24" s="766"/>
      <c r="NL24" s="766"/>
      <c r="NM24" s="766"/>
      <c r="NN24" s="766"/>
      <c r="NO24" s="766"/>
      <c r="NP24" s="766"/>
      <c r="NQ24" s="766"/>
      <c r="NR24" s="766"/>
      <c r="NS24" s="766"/>
      <c r="NT24" s="766"/>
      <c r="NU24" s="766"/>
      <c r="NV24" s="766"/>
      <c r="NW24" s="766"/>
      <c r="NX24" s="766"/>
      <c r="NY24" s="766"/>
      <c r="NZ24" s="766"/>
      <c r="OA24" s="766"/>
      <c r="OB24" s="766"/>
      <c r="OC24" s="766"/>
      <c r="OD24" s="766"/>
      <c r="OE24" s="766"/>
      <c r="OF24" s="12"/>
      <c r="OG24" s="766"/>
      <c r="OH24" s="766"/>
      <c r="OI24" s="766"/>
      <c r="OJ24" s="766"/>
      <c r="OK24" s="76"/>
      <c r="OL24" s="766"/>
      <c r="OM24" s="766"/>
      <c r="ON24" s="766"/>
      <c r="OO24" s="766"/>
      <c r="OP24" s="766"/>
      <c r="OQ24" s="766"/>
      <c r="OR24" s="766"/>
      <c r="OS24" s="766"/>
      <c r="OT24" s="766"/>
      <c r="OU24" s="766"/>
      <c r="OV24" s="766"/>
      <c r="OW24" s="766"/>
      <c r="OX24" s="766"/>
      <c r="OY24" s="766"/>
      <c r="OZ24" s="766"/>
      <c r="PA24" s="766"/>
      <c r="PB24" s="766"/>
      <c r="PC24" s="766"/>
      <c r="PD24" s="766"/>
      <c r="PE24" s="766"/>
      <c r="PF24" s="766"/>
      <c r="PG24" s="766"/>
      <c r="PH24" s="766"/>
      <c r="PI24" s="766"/>
      <c r="PJ24" s="766"/>
      <c r="PK24" s="766"/>
      <c r="PL24" s="766"/>
      <c r="PM24" s="766"/>
      <c r="PN24" s="766"/>
      <c r="PO24" s="766"/>
      <c r="PP24" s="766"/>
      <c r="PQ24" s="766"/>
      <c r="PR24" s="766"/>
      <c r="PS24" s="766"/>
      <c r="PT24" s="766"/>
      <c r="PU24" s="766"/>
      <c r="PV24" s="766"/>
      <c r="PW24" s="766"/>
      <c r="PX24" s="766"/>
      <c r="PY24" s="766"/>
      <c r="PZ24" s="766"/>
      <c r="QA24" s="766"/>
      <c r="QB24" s="766"/>
      <c r="QC24" s="766"/>
      <c r="QD24" s="766"/>
      <c r="QE24" s="766"/>
      <c r="QF24" s="766"/>
      <c r="QG24" s="766"/>
      <c r="QH24" s="766"/>
      <c r="QI24" s="766"/>
      <c r="QJ24" s="766"/>
      <c r="QK24" s="766"/>
      <c r="QL24" s="766"/>
      <c r="QM24" s="766"/>
      <c r="QN24" s="766"/>
      <c r="QO24" s="766"/>
      <c r="QP24" s="766"/>
      <c r="QQ24" s="766"/>
      <c r="QR24" s="766"/>
      <c r="QS24" s="766"/>
      <c r="QT24" s="766"/>
      <c r="QU24" s="766"/>
      <c r="QV24" s="766"/>
      <c r="QW24" s="766"/>
      <c r="QX24" s="766"/>
      <c r="QY24" s="766"/>
      <c r="QZ24" s="766"/>
      <c r="RA24" s="766"/>
      <c r="RB24" s="766"/>
      <c r="RC24" s="766"/>
      <c r="RD24" s="766"/>
      <c r="RE24" s="766"/>
      <c r="RF24" s="777"/>
      <c r="RG24" s="766"/>
      <c r="RH24" s="775"/>
      <c r="RI24" s="766"/>
      <c r="RJ24" s="766" t="s">
        <v>13032</v>
      </c>
      <c r="RK24" s="766" t="s">
        <v>13029</v>
      </c>
      <c r="RL24" s="1683"/>
      <c r="RM24" s="12"/>
      <c r="RN24" s="1711"/>
      <c r="RO24" s="168" t="s">
        <v>48</v>
      </c>
      <c r="RP24" s="11"/>
      <c r="RQ24" s="11"/>
      <c r="RR24" s="771"/>
      <c r="RS24" s="766"/>
      <c r="RT24" s="11"/>
      <c r="RU24" s="11"/>
      <c r="RV24" s="766" t="s">
        <v>7419</v>
      </c>
      <c r="RW24" s="11" t="s">
        <v>11956</v>
      </c>
      <c r="RX24" s="11" t="s">
        <v>11359</v>
      </c>
      <c r="RY24" s="11">
        <v>113.43</v>
      </c>
      <c r="RZ24" s="11"/>
      <c r="SA24" s="766"/>
      <c r="SB24" s="11"/>
      <c r="SC24" s="11"/>
    </row>
    <row r="25" spans="1:497" ht="12.75" hidden="1" customHeight="1">
      <c r="A25" s="154" t="s">
        <v>12374</v>
      </c>
      <c r="B25" s="288" t="s">
        <v>7422</v>
      </c>
      <c r="C25" s="168" t="s">
        <v>5462</v>
      </c>
      <c r="D25" s="766" t="s">
        <v>49</v>
      </c>
      <c r="E25" s="766" t="s">
        <v>7246</v>
      </c>
      <c r="F25" s="766" t="s">
        <v>728</v>
      </c>
      <c r="G25" s="766" t="s">
        <v>50</v>
      </c>
      <c r="H25" s="766"/>
      <c r="I25" s="5"/>
      <c r="J25" s="766"/>
      <c r="K25" s="766"/>
      <c r="L25" s="766"/>
      <c r="M25" s="766"/>
      <c r="N25" s="766"/>
      <c r="O25" s="766"/>
      <c r="P25" s="14" t="s">
        <v>728</v>
      </c>
      <c r="Q25" s="1085"/>
      <c r="R25" s="25"/>
      <c r="S25" s="766"/>
      <c r="T25" s="766"/>
      <c r="U25" s="26"/>
      <c r="V25" s="766"/>
      <c r="W25" s="766"/>
      <c r="X25" s="766"/>
      <c r="Y25" s="766" t="s">
        <v>50</v>
      </c>
      <c r="Z25" s="766"/>
      <c r="AA25" s="766"/>
      <c r="AB25" s="766"/>
      <c r="AC25" s="766"/>
      <c r="AD25" s="766"/>
      <c r="AE25" s="766"/>
      <c r="AF25" s="766"/>
      <c r="AG25" s="766"/>
      <c r="AH25" s="766"/>
      <c r="AI25" s="766"/>
      <c r="AJ25" s="766"/>
      <c r="AK25" s="766" t="s">
        <v>5454</v>
      </c>
      <c r="AL25" s="120"/>
      <c r="AM25" s="772"/>
      <c r="AN25" s="37"/>
      <c r="AO25" s="766"/>
      <c r="AP25" s="766"/>
      <c r="AQ25" s="766"/>
      <c r="AR25" s="766"/>
      <c r="AS25" s="766"/>
      <c r="AT25" s="766"/>
      <c r="AU25" s="766"/>
      <c r="AV25" s="766"/>
      <c r="AW25" s="766"/>
      <c r="AX25" s="13"/>
      <c r="AY25" s="766"/>
      <c r="AZ25" s="766"/>
      <c r="BA25" s="766"/>
      <c r="BB25" s="766"/>
      <c r="BC25" s="766"/>
      <c r="BD25" s="766"/>
      <c r="BE25" s="766"/>
      <c r="BF25" s="775"/>
      <c r="BG25" s="775"/>
      <c r="BH25" s="766"/>
      <c r="BI25" s="766"/>
      <c r="BJ25" s="766"/>
      <c r="BK25" s="766" t="s">
        <v>1095</v>
      </c>
      <c r="BL25" s="766" t="s">
        <v>1258</v>
      </c>
      <c r="BM25" s="766" t="s">
        <v>1100</v>
      </c>
      <c r="BN25" s="766" t="s">
        <v>1230</v>
      </c>
      <c r="BO25" s="766" t="s">
        <v>1246</v>
      </c>
      <c r="BP25" s="776">
        <v>3.75</v>
      </c>
      <c r="BQ25" s="293">
        <v>3.75</v>
      </c>
      <c r="BR25" s="37">
        <f>BQ25/BP25</f>
        <v>1</v>
      </c>
      <c r="BS25" s="766" t="s">
        <v>1257</v>
      </c>
      <c r="BT25" s="766" t="s">
        <v>8133</v>
      </c>
      <c r="BU25" s="766" t="s">
        <v>1249</v>
      </c>
      <c r="BV25" s="766" t="s">
        <v>1247</v>
      </c>
      <c r="BW25" s="766">
        <v>1976</v>
      </c>
      <c r="BX25" s="779"/>
      <c r="BY25" s="766"/>
      <c r="BZ25" s="775"/>
      <c r="CA25" s="766"/>
      <c r="CB25" s="766"/>
      <c r="CC25" s="766"/>
      <c r="CD25" s="766"/>
      <c r="CE25" s="766"/>
      <c r="CF25" s="231"/>
      <c r="CG25" s="231"/>
      <c r="CH25" s="766"/>
      <c r="CI25" s="766"/>
      <c r="CJ25" s="766"/>
      <c r="CK25" s="766"/>
      <c r="CL25" s="766"/>
      <c r="CM25" s="766"/>
      <c r="CN25" s="766"/>
      <c r="CO25" s="766"/>
      <c r="CP25" s="766"/>
      <c r="CQ25" s="766"/>
      <c r="CR25" s="775"/>
      <c r="CS25" s="766"/>
      <c r="CT25" s="766"/>
      <c r="CU25" s="129"/>
      <c r="CV25" s="766"/>
      <c r="CW25" s="766"/>
      <c r="CX25" s="766"/>
      <c r="CY25" s="766"/>
      <c r="CZ25" s="766"/>
      <c r="DA25" s="766"/>
      <c r="DB25" s="766"/>
      <c r="DC25" s="766"/>
      <c r="DD25" s="766"/>
      <c r="DE25" s="766"/>
      <c r="DF25" s="766"/>
      <c r="DG25" s="766"/>
      <c r="DH25" s="766"/>
      <c r="DI25" s="766"/>
      <c r="DJ25" s="766"/>
      <c r="DK25" s="766"/>
      <c r="DL25" s="766"/>
      <c r="DM25" s="766"/>
      <c r="DN25" s="766"/>
      <c r="DO25" s="766"/>
      <c r="DP25" s="766"/>
      <c r="DQ25" s="766"/>
      <c r="DR25" s="766"/>
      <c r="DS25" s="59"/>
      <c r="DT25" s="766"/>
      <c r="DU25" s="766"/>
      <c r="DV25" s="766"/>
      <c r="DW25" s="66"/>
      <c r="DX25" s="66"/>
      <c r="DY25" s="766"/>
      <c r="DZ25" s="766"/>
      <c r="EA25" s="766"/>
      <c r="EB25" s="766"/>
      <c r="EC25" s="766"/>
      <c r="ED25" s="766"/>
      <c r="EE25" s="766"/>
      <c r="EF25" s="766"/>
      <c r="EG25" s="766"/>
      <c r="EH25" s="766"/>
      <c r="EI25" s="766"/>
      <c r="EJ25" s="766"/>
      <c r="EK25" s="766"/>
      <c r="EL25" s="766"/>
      <c r="EM25" s="766"/>
      <c r="EN25" s="766"/>
      <c r="EO25" s="766"/>
      <c r="EP25" s="766"/>
      <c r="EQ25" s="766"/>
      <c r="ER25" s="766"/>
      <c r="ES25" s="766"/>
      <c r="ET25" s="766"/>
      <c r="EU25" s="766"/>
      <c r="EV25" s="766"/>
      <c r="EW25" s="766"/>
      <c r="EX25" s="766"/>
      <c r="EY25" s="766"/>
      <c r="EZ25" s="766"/>
      <c r="FA25" s="766"/>
      <c r="FB25" s="766"/>
      <c r="FC25" s="766"/>
      <c r="FD25" s="775"/>
      <c r="FE25" s="766"/>
      <c r="FF25" s="766"/>
      <c r="FG25" s="766"/>
      <c r="FH25" s="766"/>
      <c r="FI25" s="766"/>
      <c r="FJ25" s="766"/>
      <c r="FK25" s="766"/>
      <c r="FL25" s="766"/>
      <c r="FM25" s="775"/>
      <c r="FN25" s="775"/>
      <c r="FO25" s="775"/>
      <c r="FP25" s="766" t="s">
        <v>1602</v>
      </c>
      <c r="FQ25" s="766" t="s">
        <v>1660</v>
      </c>
      <c r="FR25" s="766" t="s">
        <v>1207</v>
      </c>
      <c r="FS25" s="766" t="s">
        <v>1208</v>
      </c>
      <c r="FT25" s="766" t="s">
        <v>1208</v>
      </c>
      <c r="FU25" s="766"/>
      <c r="FV25" s="766"/>
      <c r="FW25" s="766"/>
      <c r="FX25" s="766"/>
      <c r="FY25" s="766"/>
      <c r="FZ25" s="766"/>
      <c r="GA25" s="766"/>
      <c r="GB25" s="766"/>
      <c r="GC25" s="75"/>
      <c r="GD25" s="25"/>
      <c r="GE25" s="766"/>
      <c r="GF25" s="775"/>
      <c r="GG25" s="775"/>
      <c r="GH25" s="766"/>
      <c r="GI25" s="766"/>
      <c r="GJ25" s="766"/>
      <c r="GK25" s="766"/>
      <c r="GL25" s="766"/>
      <c r="GM25" s="766"/>
      <c r="GN25" s="82"/>
      <c r="GO25" s="766"/>
      <c r="GP25" s="766"/>
      <c r="GQ25" s="766"/>
      <c r="GR25" s="766"/>
      <c r="GS25" s="766"/>
      <c r="GT25" s="766"/>
      <c r="GU25" s="766"/>
      <c r="GV25" s="766"/>
      <c r="GW25" s="766"/>
      <c r="GX25" s="766"/>
      <c r="GY25" s="766"/>
      <c r="GZ25" s="766"/>
      <c r="HA25" s="766"/>
      <c r="HB25" s="766"/>
      <c r="HC25" s="766"/>
      <c r="HD25" s="766"/>
      <c r="HE25" s="766"/>
      <c r="HF25" s="766"/>
      <c r="HG25" s="766"/>
      <c r="HH25" s="766"/>
      <c r="HI25" s="766"/>
      <c r="HJ25" s="766"/>
      <c r="HK25" s="766"/>
      <c r="HL25" s="766"/>
      <c r="HM25" s="766"/>
      <c r="HN25" s="766"/>
      <c r="HO25" s="766"/>
      <c r="HP25" s="766"/>
      <c r="HQ25" s="766"/>
      <c r="HR25" s="766"/>
      <c r="HS25" s="766"/>
      <c r="HT25" s="766"/>
      <c r="HU25" s="766"/>
      <c r="HV25" s="766"/>
      <c r="HW25" s="766"/>
      <c r="HX25" s="766"/>
      <c r="HY25" s="766"/>
      <c r="HZ25" s="766"/>
      <c r="IA25" s="766"/>
      <c r="IB25" s="766"/>
      <c r="IC25" s="766"/>
      <c r="ID25" s="766"/>
      <c r="IE25" s="766"/>
      <c r="IF25" s="766"/>
      <c r="IG25" s="766"/>
      <c r="IH25" s="766"/>
      <c r="II25" s="766"/>
      <c r="IJ25" s="766"/>
      <c r="IK25" s="766"/>
      <c r="IL25" s="766"/>
      <c r="IM25" s="766"/>
      <c r="IN25" s="766"/>
      <c r="IO25" s="766"/>
      <c r="IP25" s="766"/>
      <c r="IQ25" s="766"/>
      <c r="IR25" s="775"/>
      <c r="IS25" s="766"/>
      <c r="IT25" s="28"/>
      <c r="IU25" s="76"/>
      <c r="IV25" s="76"/>
      <c r="IW25" s="766"/>
      <c r="IX25" s="766"/>
      <c r="IY25" s="766"/>
      <c r="IZ25" s="766"/>
      <c r="JA25" s="766"/>
      <c r="JB25" s="766"/>
      <c r="JC25" s="766"/>
      <c r="JD25" s="775"/>
      <c r="JE25" s="766"/>
      <c r="JF25" s="28"/>
      <c r="JG25" s="76"/>
      <c r="JH25" s="76"/>
      <c r="JI25" s="76"/>
      <c r="JJ25" s="766"/>
      <c r="JK25" s="766"/>
      <c r="JL25" s="766"/>
      <c r="JM25" s="766"/>
      <c r="JN25" s="766"/>
      <c r="JO25" s="766"/>
      <c r="JP25" s="766"/>
      <c r="JQ25" s="766"/>
      <c r="JR25" s="766"/>
      <c r="JS25" s="766"/>
      <c r="JT25" s="766"/>
      <c r="JU25" s="766"/>
      <c r="JV25" s="766"/>
      <c r="JW25" s="766"/>
      <c r="JX25" s="766"/>
      <c r="JY25" s="766"/>
      <c r="JZ25" s="766"/>
      <c r="KA25" s="766"/>
      <c r="KB25" s="766"/>
      <c r="KC25" s="766"/>
      <c r="KD25" s="766"/>
      <c r="KE25" s="766"/>
      <c r="KF25" s="766"/>
      <c r="KG25" s="766"/>
      <c r="KH25" s="766"/>
      <c r="KI25" s="766"/>
      <c r="KJ25" s="770"/>
      <c r="KK25" s="770"/>
      <c r="KL25" s="770"/>
      <c r="KM25" s="770"/>
      <c r="KN25" s="766"/>
      <c r="KO25" s="28"/>
      <c r="KP25" s="766"/>
      <c r="KQ25" s="766"/>
      <c r="KR25" s="766"/>
      <c r="KS25" s="766"/>
      <c r="KT25" s="766"/>
      <c r="KU25" s="766"/>
      <c r="KV25" s="766"/>
      <c r="KW25" s="766"/>
      <c r="KX25" s="766"/>
      <c r="KY25" s="766"/>
      <c r="KZ25" s="766"/>
      <c r="LA25" s="766"/>
      <c r="LB25" s="766"/>
      <c r="LC25" s="766"/>
      <c r="LD25" s="766"/>
      <c r="LE25" s="766"/>
      <c r="LF25" s="766"/>
      <c r="LG25" s="766"/>
      <c r="LH25" s="766"/>
      <c r="LI25" s="766"/>
      <c r="LJ25" s="766"/>
      <c r="LK25" s="766"/>
      <c r="LL25" s="766"/>
      <c r="LM25" s="766"/>
      <c r="LN25" s="766"/>
      <c r="LO25" s="766"/>
      <c r="LP25" s="766"/>
      <c r="LQ25" s="1681"/>
      <c r="LR25" s="766"/>
      <c r="LS25" s="766"/>
      <c r="LT25" s="766"/>
      <c r="LU25" s="766"/>
      <c r="LV25" s="766"/>
      <c r="LW25" s="766"/>
      <c r="LX25" s="769"/>
      <c r="LY25" s="766" t="str">
        <f t="shared" si="0"/>
        <v/>
      </c>
      <c r="LZ25" s="66"/>
      <c r="MA25" s="766"/>
      <c r="MB25" s="766"/>
      <c r="MC25" s="1679">
        <f t="shared" si="1"/>
        <v>0</v>
      </c>
      <c r="MD25" s="66"/>
      <c r="ME25" s="66"/>
      <c r="MF25" s="66"/>
      <c r="MG25" s="1680">
        <f t="shared" si="2"/>
        <v>0</v>
      </c>
      <c r="MH25" s="1681"/>
      <c r="MI25" s="775"/>
      <c r="MJ25" s="775"/>
      <c r="MK25" s="775"/>
      <c r="ML25" s="775"/>
      <c r="MM25" s="775"/>
      <c r="MN25" s="775"/>
      <c r="MO25" s="775"/>
      <c r="MP25" s="775"/>
      <c r="MQ25" s="775"/>
      <c r="MR25" s="775"/>
      <c r="MS25" s="775"/>
      <c r="MT25" s="775"/>
      <c r="MU25" s="775"/>
      <c r="MV25" s="775"/>
      <c r="MW25" s="775"/>
      <c r="MX25" s="775"/>
      <c r="MY25" s="1682">
        <f t="shared" si="3"/>
        <v>0</v>
      </c>
      <c r="MZ25" s="766"/>
      <c r="NA25" s="766"/>
      <c r="NB25" s="766"/>
      <c r="NC25" s="766"/>
      <c r="ND25" s="766"/>
      <c r="NE25" s="766"/>
      <c r="NF25" s="766"/>
      <c r="NG25" s="766"/>
      <c r="NH25" s="766"/>
      <c r="NI25" s="766"/>
      <c r="NJ25" s="766"/>
      <c r="NK25" s="766"/>
      <c r="NL25" s="766"/>
      <c r="NM25" s="766"/>
      <c r="NN25" s="766"/>
      <c r="NO25" s="766"/>
      <c r="NP25" s="766"/>
      <c r="NQ25" s="766"/>
      <c r="NR25" s="766"/>
      <c r="NS25" s="766"/>
      <c r="NT25" s="766"/>
      <c r="NU25" s="766"/>
      <c r="NV25" s="766"/>
      <c r="NW25" s="766"/>
      <c r="NX25" s="766"/>
      <c r="NY25" s="766"/>
      <c r="NZ25" s="766"/>
      <c r="OA25" s="766"/>
      <c r="OB25" s="766"/>
      <c r="OC25" s="766"/>
      <c r="OD25" s="766"/>
      <c r="OE25" s="766"/>
      <c r="OF25" s="12"/>
      <c r="OG25" s="766"/>
      <c r="OH25" s="766"/>
      <c r="OI25" s="766"/>
      <c r="OJ25" s="766"/>
      <c r="OK25" s="76"/>
      <c r="OL25" s="766"/>
      <c r="OM25" s="766"/>
      <c r="ON25" s="766"/>
      <c r="OO25" s="766"/>
      <c r="OP25" s="766"/>
      <c r="OQ25" s="766"/>
      <c r="OR25" s="766"/>
      <c r="OS25" s="766"/>
      <c r="OT25" s="766"/>
      <c r="OU25" s="766"/>
      <c r="OV25" s="766"/>
      <c r="OW25" s="766"/>
      <c r="OX25" s="766"/>
      <c r="OY25" s="766"/>
      <c r="OZ25" s="766"/>
      <c r="PA25" s="766"/>
      <c r="PB25" s="766"/>
      <c r="PC25" s="766"/>
      <c r="PD25" s="766"/>
      <c r="PE25" s="766"/>
      <c r="PF25" s="766"/>
      <c r="PG25" s="766"/>
      <c r="PH25" s="766"/>
      <c r="PI25" s="766"/>
      <c r="PJ25" s="766"/>
      <c r="PK25" s="766"/>
      <c r="PL25" s="766"/>
      <c r="PM25" s="766"/>
      <c r="PN25" s="766"/>
      <c r="PO25" s="766"/>
      <c r="PP25" s="766"/>
      <c r="PQ25" s="766"/>
      <c r="PR25" s="766"/>
      <c r="PS25" s="766"/>
      <c r="PT25" s="766"/>
      <c r="PU25" s="766"/>
      <c r="PV25" s="766"/>
      <c r="PW25" s="766"/>
      <c r="PX25" s="766"/>
      <c r="PY25" s="766"/>
      <c r="PZ25" s="766"/>
      <c r="QA25" s="766"/>
      <c r="QB25" s="766"/>
      <c r="QC25" s="766"/>
      <c r="QD25" s="766"/>
      <c r="QE25" s="766"/>
      <c r="QF25" s="766"/>
      <c r="QG25" s="766"/>
      <c r="QH25" s="766"/>
      <c r="QI25" s="766"/>
      <c r="QJ25" s="766"/>
      <c r="QK25" s="766"/>
      <c r="QL25" s="766"/>
      <c r="QM25" s="766"/>
      <c r="QN25" s="766"/>
      <c r="QO25" s="766"/>
      <c r="QP25" s="766"/>
      <c r="QQ25" s="766"/>
      <c r="QR25" s="766"/>
      <c r="QS25" s="766"/>
      <c r="QT25" s="766"/>
      <c r="QU25" s="766"/>
      <c r="QV25" s="766"/>
      <c r="QW25" s="766"/>
      <c r="QX25" s="766"/>
      <c r="QY25" s="766"/>
      <c r="QZ25" s="766"/>
      <c r="RA25" s="766"/>
      <c r="RB25" s="766"/>
      <c r="RC25" s="766"/>
      <c r="RD25" s="766"/>
      <c r="RE25" s="766"/>
      <c r="RF25" s="777"/>
      <c r="RG25" s="766"/>
      <c r="RH25" s="775"/>
      <c r="RI25" s="766"/>
      <c r="RJ25" s="766" t="s">
        <v>13032</v>
      </c>
      <c r="RK25" s="766" t="s">
        <v>13029</v>
      </c>
      <c r="RL25" s="1683"/>
      <c r="RM25" s="12"/>
      <c r="RN25" s="1711"/>
      <c r="RO25" s="168" t="s">
        <v>5462</v>
      </c>
      <c r="RP25" s="11"/>
      <c r="RQ25" s="11"/>
      <c r="RR25" s="771"/>
      <c r="RS25" s="766"/>
      <c r="RT25" s="11"/>
      <c r="RU25" s="11"/>
      <c r="RV25" s="766" t="s">
        <v>7419</v>
      </c>
      <c r="RW25" s="11" t="s">
        <v>12390</v>
      </c>
      <c r="RX25" s="11" t="s">
        <v>11363</v>
      </c>
      <c r="RY25" s="11"/>
      <c r="RZ25" s="11"/>
      <c r="SA25" s="766"/>
      <c r="SB25" s="11"/>
      <c r="SC25" s="11"/>
    </row>
    <row r="26" spans="1:497" ht="15" hidden="1" customHeight="1">
      <c r="A26" s="154" t="s">
        <v>12374</v>
      </c>
      <c r="B26" s="1124" t="s">
        <v>7940</v>
      </c>
      <c r="C26" s="168" t="s">
        <v>5462</v>
      </c>
      <c r="D26" s="766" t="s">
        <v>49</v>
      </c>
      <c r="E26" s="766" t="s">
        <v>7246</v>
      </c>
      <c r="F26" s="766" t="s">
        <v>728</v>
      </c>
      <c r="G26" s="766" t="s">
        <v>50</v>
      </c>
      <c r="H26" s="766"/>
      <c r="I26" s="5"/>
      <c r="J26" s="766"/>
      <c r="K26" s="766"/>
      <c r="L26" s="766"/>
      <c r="M26" s="766"/>
      <c r="N26" s="766"/>
      <c r="O26" s="766"/>
      <c r="P26" s="14" t="s">
        <v>728</v>
      </c>
      <c r="Q26" s="1085"/>
      <c r="R26" s="25"/>
      <c r="S26" s="766"/>
      <c r="T26" s="766"/>
      <c r="U26" s="26"/>
      <c r="V26" s="766"/>
      <c r="W26" s="766"/>
      <c r="X26" s="766"/>
      <c r="Y26" s="766" t="s">
        <v>50</v>
      </c>
      <c r="Z26" s="766"/>
      <c r="AA26" s="766"/>
      <c r="AB26" s="766"/>
      <c r="AC26" s="766"/>
      <c r="AD26" s="766"/>
      <c r="AE26" s="766"/>
      <c r="AF26" s="766"/>
      <c r="AG26" s="766"/>
      <c r="AH26" s="766"/>
      <c r="AI26" s="766"/>
      <c r="AJ26" s="766"/>
      <c r="AK26" s="766" t="s">
        <v>5454</v>
      </c>
      <c r="AL26" s="121"/>
      <c r="AM26" s="772"/>
      <c r="AN26" s="774"/>
      <c r="AO26" s="766"/>
      <c r="AP26" s="766"/>
      <c r="AQ26" s="766"/>
      <c r="AR26" s="766"/>
      <c r="AS26" s="766"/>
      <c r="AT26" s="766"/>
      <c r="AU26" s="766"/>
      <c r="AV26" s="766"/>
      <c r="AW26" s="766"/>
      <c r="AX26" s="13"/>
      <c r="AY26" s="766"/>
      <c r="AZ26" s="766"/>
      <c r="BA26" s="766"/>
      <c r="BB26" s="766"/>
      <c r="BC26" s="766"/>
      <c r="BD26" s="766"/>
      <c r="BE26" s="766"/>
      <c r="BF26" s="775"/>
      <c r="BG26" s="775"/>
      <c r="BH26" s="766"/>
      <c r="BI26" s="766"/>
      <c r="BJ26" s="766"/>
      <c r="BK26" s="770"/>
      <c r="BL26" s="770"/>
      <c r="BM26" s="766" t="s">
        <v>12385</v>
      </c>
      <c r="BN26" s="766" t="s">
        <v>1260</v>
      </c>
      <c r="BO26" s="770"/>
      <c r="BP26" s="765"/>
      <c r="BQ26" s="773"/>
      <c r="BR26" s="774"/>
      <c r="BS26" s="766" t="s">
        <v>1257</v>
      </c>
      <c r="BT26" s="770"/>
      <c r="BU26" s="770"/>
      <c r="BV26" s="770"/>
      <c r="BW26" s="770"/>
      <c r="BX26" s="779"/>
      <c r="BY26" s="766"/>
      <c r="BZ26" s="775"/>
      <c r="CA26" s="766"/>
      <c r="CB26" s="766"/>
      <c r="CC26" s="766"/>
      <c r="CD26" s="766"/>
      <c r="CE26" s="766"/>
      <c r="CF26" s="766"/>
      <c r="CG26" s="766"/>
      <c r="CH26" s="766"/>
      <c r="CI26" s="766"/>
      <c r="CJ26" s="766"/>
      <c r="CK26" s="766"/>
      <c r="CL26" s="766"/>
      <c r="CM26" s="766"/>
      <c r="CN26" s="766"/>
      <c r="CO26" s="766"/>
      <c r="CP26" s="766"/>
      <c r="CQ26" s="766"/>
      <c r="CR26" s="775"/>
      <c r="CS26" s="766"/>
      <c r="CT26" s="766"/>
      <c r="CU26" s="129"/>
      <c r="CV26" s="766"/>
      <c r="CW26" s="766"/>
      <c r="CX26" s="766"/>
      <c r="CY26" s="766"/>
      <c r="CZ26" s="766"/>
      <c r="DA26" s="766"/>
      <c r="DB26" s="766"/>
      <c r="DC26" s="766"/>
      <c r="DD26" s="766"/>
      <c r="DE26" s="766"/>
      <c r="DF26" s="766"/>
      <c r="DG26" s="766"/>
      <c r="DH26" s="766"/>
      <c r="DI26" s="766"/>
      <c r="DJ26" s="766"/>
      <c r="DK26" s="766"/>
      <c r="DL26" s="766"/>
      <c r="DM26" s="766"/>
      <c r="DN26" s="766"/>
      <c r="DO26" s="766"/>
      <c r="DP26" s="766"/>
      <c r="DQ26" s="766"/>
      <c r="DR26" s="766"/>
      <c r="DS26" s="59"/>
      <c r="DT26" s="766"/>
      <c r="DU26" s="766"/>
      <c r="DV26" s="766"/>
      <c r="DW26" s="66"/>
      <c r="DX26" s="66"/>
      <c r="DY26" s="766"/>
      <c r="DZ26" s="766"/>
      <c r="EA26" s="766"/>
      <c r="EB26" s="766"/>
      <c r="EC26" s="766"/>
      <c r="ED26" s="766"/>
      <c r="EE26" s="766"/>
      <c r="EF26" s="766"/>
      <c r="EG26" s="766"/>
      <c r="EH26" s="766"/>
      <c r="EI26" s="766"/>
      <c r="EJ26" s="766"/>
      <c r="EK26" s="766"/>
      <c r="EL26" s="766"/>
      <c r="EM26" s="766"/>
      <c r="EN26" s="766"/>
      <c r="EO26" s="766"/>
      <c r="EP26" s="766"/>
      <c r="EQ26" s="766"/>
      <c r="ER26" s="766"/>
      <c r="ES26" s="766"/>
      <c r="ET26" s="766"/>
      <c r="EU26" s="766"/>
      <c r="EV26" s="766"/>
      <c r="EW26" s="766"/>
      <c r="EX26" s="766"/>
      <c r="EY26" s="766"/>
      <c r="EZ26" s="766"/>
      <c r="FA26" s="766"/>
      <c r="FB26" s="766"/>
      <c r="FC26" s="766"/>
      <c r="FD26" s="775"/>
      <c r="FE26" s="766"/>
      <c r="FF26" s="766"/>
      <c r="FG26" s="766"/>
      <c r="FH26" s="766"/>
      <c r="FI26" s="766"/>
      <c r="FJ26" s="766"/>
      <c r="FK26" s="766"/>
      <c r="FL26" s="766"/>
      <c r="FM26" s="775"/>
      <c r="FN26" s="775"/>
      <c r="FO26" s="775"/>
      <c r="FP26" s="766" t="s">
        <v>1602</v>
      </c>
      <c r="FQ26" s="766" t="s">
        <v>1660</v>
      </c>
      <c r="FR26" s="770"/>
      <c r="FS26" s="770"/>
      <c r="FT26" s="770"/>
      <c r="FU26" s="766"/>
      <c r="FV26" s="766"/>
      <c r="FW26" s="766"/>
      <c r="FX26" s="766"/>
      <c r="FY26" s="766"/>
      <c r="FZ26" s="766"/>
      <c r="GA26" s="766"/>
      <c r="GB26" s="766"/>
      <c r="GC26" s="75"/>
      <c r="GD26" s="25"/>
      <c r="GE26" s="766"/>
      <c r="GF26" s="775"/>
      <c r="GG26" s="775"/>
      <c r="GH26" s="1719"/>
      <c r="GI26" s="1719"/>
      <c r="GJ26" s="1719"/>
      <c r="GK26" s="1719"/>
      <c r="GL26" s="1719"/>
      <c r="GM26" s="1719"/>
      <c r="GN26" s="1721"/>
      <c r="GO26" s="1721"/>
      <c r="GP26" s="1721"/>
      <c r="GQ26" s="1721"/>
      <c r="GR26" s="1721"/>
      <c r="GS26" s="1719"/>
      <c r="GT26" s="1721"/>
      <c r="GU26" s="1719"/>
      <c r="GV26" s="1721"/>
      <c r="GW26" s="1721"/>
      <c r="GX26" s="1721"/>
      <c r="GY26" s="1721"/>
      <c r="GZ26" s="1721"/>
      <c r="HA26" s="1721"/>
      <c r="HB26" s="1721"/>
      <c r="HC26" s="1719"/>
      <c r="HD26" s="1721"/>
      <c r="HE26" s="1719"/>
      <c r="HF26" s="1719"/>
      <c r="HG26" s="1719"/>
      <c r="HH26" s="1719"/>
      <c r="HI26" s="1719"/>
      <c r="HJ26" s="1719"/>
      <c r="HK26" s="1719"/>
      <c r="HL26" s="766"/>
      <c r="HM26" s="766"/>
      <c r="HN26" s="766"/>
      <c r="HO26" s="766"/>
      <c r="HP26" s="766"/>
      <c r="HQ26" s="766"/>
      <c r="HR26" s="766"/>
      <c r="HS26" s="766"/>
      <c r="HT26" s="766"/>
      <c r="HU26" s="766"/>
      <c r="HV26" s="766"/>
      <c r="HW26" s="766"/>
      <c r="HX26" s="766"/>
      <c r="HY26" s="766"/>
      <c r="HZ26" s="766"/>
      <c r="IA26" s="766"/>
      <c r="IB26" s="766"/>
      <c r="IC26" s="766"/>
      <c r="ID26" s="766"/>
      <c r="IE26" s="766"/>
      <c r="IF26" s="766" t="s">
        <v>49</v>
      </c>
      <c r="IG26" s="766" t="s">
        <v>1892</v>
      </c>
      <c r="IH26" s="766" t="s">
        <v>1893</v>
      </c>
      <c r="II26" s="766" t="s">
        <v>1894</v>
      </c>
      <c r="IJ26" s="766" t="s">
        <v>1895</v>
      </c>
      <c r="IK26" s="12"/>
      <c r="IL26" s="766" t="s">
        <v>1891</v>
      </c>
      <c r="IM26" s="766"/>
      <c r="IN26" s="766"/>
      <c r="IO26" s="766"/>
      <c r="IP26" s="766"/>
      <c r="IQ26" s="769" t="s">
        <v>8146</v>
      </c>
      <c r="IR26" s="775"/>
      <c r="IS26" s="766">
        <v>2</v>
      </c>
      <c r="IT26" s="28"/>
      <c r="IU26" s="76"/>
      <c r="IV26" s="76"/>
      <c r="IW26" s="766" t="s">
        <v>1891</v>
      </c>
      <c r="IX26" s="766"/>
      <c r="IY26" s="766" t="s">
        <v>12765</v>
      </c>
      <c r="IZ26" s="766"/>
      <c r="JA26" s="766" t="s">
        <v>1880</v>
      </c>
      <c r="JB26" s="766"/>
      <c r="JC26" s="766"/>
      <c r="JD26" s="775"/>
      <c r="JE26" s="766">
        <v>2</v>
      </c>
      <c r="JF26" s="28"/>
      <c r="JG26" s="76"/>
      <c r="JH26" s="76"/>
      <c r="JI26" s="76"/>
      <c r="JJ26" s="766"/>
      <c r="JK26" s="766"/>
      <c r="JL26" s="766"/>
      <c r="JM26" s="766"/>
      <c r="JN26" s="766"/>
      <c r="JO26" s="766"/>
      <c r="JP26" s="766"/>
      <c r="JQ26" s="766"/>
      <c r="JR26" s="766"/>
      <c r="JS26" s="766"/>
      <c r="JT26" s="766"/>
      <c r="JU26" s="766"/>
      <c r="JV26" s="766"/>
      <c r="JW26" s="766"/>
      <c r="JX26" s="766"/>
      <c r="JY26" s="766"/>
      <c r="JZ26" s="766"/>
      <c r="KA26" s="766"/>
      <c r="KB26" s="766"/>
      <c r="KC26" s="766"/>
      <c r="KD26" s="766"/>
      <c r="KE26" s="766"/>
      <c r="KF26" s="766"/>
      <c r="KG26" s="766"/>
      <c r="KH26" s="766"/>
      <c r="KI26" s="766"/>
      <c r="KJ26" s="770"/>
      <c r="KK26" s="770"/>
      <c r="KL26" s="770"/>
      <c r="KM26" s="770"/>
      <c r="KN26" s="766"/>
      <c r="KO26" s="28"/>
      <c r="KP26" s="766"/>
      <c r="KQ26" s="766"/>
      <c r="KR26" s="766"/>
      <c r="KS26" s="766"/>
      <c r="KT26" s="766"/>
      <c r="KU26" s="766"/>
      <c r="KV26" s="766"/>
      <c r="KW26" s="766"/>
      <c r="KX26" s="766"/>
      <c r="KY26" s="766"/>
      <c r="KZ26" s="766"/>
      <c r="LA26" s="766"/>
      <c r="LB26" s="766"/>
      <c r="LC26" s="766"/>
      <c r="LD26" s="766"/>
      <c r="LE26" s="766"/>
      <c r="LF26" s="766"/>
      <c r="LG26" s="766"/>
      <c r="LH26" s="766"/>
      <c r="LI26" s="766"/>
      <c r="LJ26" s="766"/>
      <c r="LK26" s="766"/>
      <c r="LL26" s="766"/>
      <c r="LM26" s="766"/>
      <c r="LN26" s="766"/>
      <c r="LO26" s="766"/>
      <c r="LP26" s="766"/>
      <c r="LQ26" s="1681"/>
      <c r="LR26" s="766"/>
      <c r="LS26" s="766"/>
      <c r="LT26" s="766"/>
      <c r="LU26" s="766"/>
      <c r="LV26" s="766"/>
      <c r="LW26" s="766"/>
      <c r="LX26" s="769"/>
      <c r="LY26" s="766" t="str">
        <f t="shared" si="0"/>
        <v/>
      </c>
      <c r="LZ26" s="1696"/>
      <c r="MA26" s="1696"/>
      <c r="MB26" s="1696"/>
      <c r="MC26" s="1679">
        <f t="shared" si="1"/>
        <v>0</v>
      </c>
      <c r="MD26" s="1696"/>
      <c r="ME26" s="1696"/>
      <c r="MF26" s="1696"/>
      <c r="MG26" s="1680">
        <f t="shared" si="2"/>
        <v>0</v>
      </c>
      <c r="MH26" s="1681"/>
      <c r="MI26" s="775"/>
      <c r="MJ26" s="775"/>
      <c r="MK26" s="775"/>
      <c r="ML26" s="775"/>
      <c r="MM26" s="775"/>
      <c r="MN26" s="775"/>
      <c r="MO26" s="775"/>
      <c r="MP26" s="775"/>
      <c r="MQ26" s="775"/>
      <c r="MR26" s="775"/>
      <c r="MS26" s="775"/>
      <c r="MT26" s="775"/>
      <c r="MU26" s="775"/>
      <c r="MV26" s="775"/>
      <c r="MW26" s="775"/>
      <c r="MX26" s="775"/>
      <c r="MY26" s="1682">
        <f t="shared" si="3"/>
        <v>0</v>
      </c>
      <c r="MZ26" s="766"/>
      <c r="NA26" s="766"/>
      <c r="NB26" s="766"/>
      <c r="NC26" s="766"/>
      <c r="ND26" s="766"/>
      <c r="NE26" s="766"/>
      <c r="NF26" s="766"/>
      <c r="NG26" s="766"/>
      <c r="NH26" s="766"/>
      <c r="NI26" s="766"/>
      <c r="NJ26" s="766"/>
      <c r="NK26" s="766"/>
      <c r="NL26" s="766"/>
      <c r="NM26" s="766"/>
      <c r="NN26" s="766"/>
      <c r="NO26" s="766"/>
      <c r="NP26" s="766"/>
      <c r="NQ26" s="766"/>
      <c r="NR26" s="766"/>
      <c r="NS26" s="766"/>
      <c r="NT26" s="766"/>
      <c r="NU26" s="766"/>
      <c r="NV26" s="766"/>
      <c r="NW26" s="766"/>
      <c r="NX26" s="766"/>
      <c r="NY26" s="766"/>
      <c r="NZ26" s="766"/>
      <c r="OA26" s="766"/>
      <c r="OB26" s="766"/>
      <c r="OC26" s="766"/>
      <c r="OD26" s="766"/>
      <c r="OE26" s="766"/>
      <c r="OF26" s="766" t="s">
        <v>12982</v>
      </c>
      <c r="OG26" s="766" t="s">
        <v>1208</v>
      </c>
      <c r="OH26" s="766"/>
      <c r="OI26" s="766"/>
      <c r="OJ26" s="766"/>
      <c r="OK26" s="76"/>
      <c r="OL26" s="766"/>
      <c r="OM26" s="766"/>
      <c r="ON26" s="766"/>
      <c r="OO26" s="766"/>
      <c r="OP26" s="766"/>
      <c r="OQ26" s="766"/>
      <c r="OR26" s="766"/>
      <c r="OS26" s="766"/>
      <c r="OT26" s="766"/>
      <c r="OU26" s="766"/>
      <c r="OV26" s="766"/>
      <c r="OW26" s="766"/>
      <c r="OX26" s="766"/>
      <c r="OY26" s="766"/>
      <c r="OZ26" s="766"/>
      <c r="PA26" s="766"/>
      <c r="PB26" s="766"/>
      <c r="PC26" s="766"/>
      <c r="PD26" s="766"/>
      <c r="PE26" s="766"/>
      <c r="PF26" s="766"/>
      <c r="PG26" s="766"/>
      <c r="PH26" s="766"/>
      <c r="PI26" s="766"/>
      <c r="PJ26" s="766"/>
      <c r="PK26" s="766"/>
      <c r="PL26" s="766"/>
      <c r="PM26" s="766"/>
      <c r="PN26" s="766"/>
      <c r="PO26" s="766"/>
      <c r="PP26" s="766"/>
      <c r="PQ26" s="766"/>
      <c r="PR26" s="766"/>
      <c r="PS26" s="766"/>
      <c r="PT26" s="766"/>
      <c r="PU26" s="766"/>
      <c r="PV26" s="766"/>
      <c r="PW26" s="766"/>
      <c r="PX26" s="766"/>
      <c r="PY26" s="766"/>
      <c r="PZ26" s="766"/>
      <c r="QA26" s="766"/>
      <c r="QB26" s="766"/>
      <c r="QC26" s="766"/>
      <c r="QD26" s="766"/>
      <c r="QE26" s="766"/>
      <c r="QF26" s="766"/>
      <c r="QG26" s="766"/>
      <c r="QH26" s="766"/>
      <c r="QI26" s="766"/>
      <c r="QJ26" s="766"/>
      <c r="QK26" s="766"/>
      <c r="QL26" s="766"/>
      <c r="QM26" s="766"/>
      <c r="QN26" s="766"/>
      <c r="QO26" s="766"/>
      <c r="QP26" s="766"/>
      <c r="QQ26" s="766"/>
      <c r="QR26" s="766"/>
      <c r="QS26" s="766"/>
      <c r="QT26" s="766"/>
      <c r="QU26" s="766"/>
      <c r="QV26" s="766"/>
      <c r="QW26" s="766"/>
      <c r="QX26" s="766"/>
      <c r="QY26" s="766"/>
      <c r="QZ26" s="766"/>
      <c r="RA26" s="766"/>
      <c r="RB26" s="766"/>
      <c r="RC26" s="766"/>
      <c r="RD26" s="766"/>
      <c r="RE26" s="766"/>
      <c r="RF26" s="777"/>
      <c r="RG26" s="766"/>
      <c r="RH26" s="775"/>
      <c r="RI26" s="766"/>
      <c r="RJ26" s="766" t="s">
        <v>13032</v>
      </c>
      <c r="RK26" s="766" t="s">
        <v>13029</v>
      </c>
      <c r="RL26" s="1683"/>
      <c r="RM26" s="12"/>
      <c r="RN26" s="1711"/>
      <c r="RO26" s="168" t="s">
        <v>5462</v>
      </c>
      <c r="RP26" s="11"/>
      <c r="RQ26" s="11"/>
      <c r="RR26" s="771"/>
      <c r="RS26" s="766"/>
      <c r="RT26" s="11"/>
      <c r="RU26" s="11"/>
      <c r="RV26" s="766" t="s">
        <v>7419</v>
      </c>
      <c r="RW26" s="11" t="s">
        <v>7570</v>
      </c>
      <c r="RX26" s="11" t="s">
        <v>48</v>
      </c>
      <c r="RY26" s="11"/>
      <c r="RZ26" s="11"/>
      <c r="SA26" s="766"/>
      <c r="SB26" s="11"/>
      <c r="SC26" s="11"/>
    </row>
    <row r="27" spans="1:497" ht="15" hidden="1" customHeight="1">
      <c r="A27" s="154" t="s">
        <v>7419</v>
      </c>
      <c r="B27" s="1119" t="s">
        <v>11032</v>
      </c>
      <c r="C27" s="169" t="s">
        <v>8278</v>
      </c>
      <c r="D27" s="6" t="s">
        <v>11033</v>
      </c>
      <c r="E27" s="6" t="s">
        <v>11034</v>
      </c>
      <c r="F27" s="6" t="s">
        <v>28</v>
      </c>
      <c r="G27" s="6" t="s">
        <v>10</v>
      </c>
      <c r="H27" s="6" t="s">
        <v>11035</v>
      </c>
      <c r="I27" s="1012" t="s">
        <v>11036</v>
      </c>
      <c r="J27" s="6"/>
      <c r="K27" s="6" t="s">
        <v>14077</v>
      </c>
      <c r="L27" s="6" t="s">
        <v>14078</v>
      </c>
      <c r="M27" s="6"/>
      <c r="N27" s="6" t="s">
        <v>11021</v>
      </c>
      <c r="O27" s="6" t="s">
        <v>11037</v>
      </c>
      <c r="P27" s="843" t="s">
        <v>11038</v>
      </c>
      <c r="Q27" s="1086">
        <v>17218</v>
      </c>
      <c r="R27" s="1015">
        <v>70</v>
      </c>
      <c r="S27" s="6" t="s">
        <v>10</v>
      </c>
      <c r="T27" s="6" t="s">
        <v>11035</v>
      </c>
      <c r="U27" s="1012" t="s">
        <v>11036</v>
      </c>
      <c r="V27" s="6" t="s">
        <v>707</v>
      </c>
      <c r="W27" s="1016" t="s">
        <v>8281</v>
      </c>
      <c r="X27" s="1014">
        <v>17135</v>
      </c>
      <c r="Y27" s="6" t="s">
        <v>11034</v>
      </c>
      <c r="Z27" s="6" t="s">
        <v>708</v>
      </c>
      <c r="AA27" s="6" t="s">
        <v>709</v>
      </c>
      <c r="AB27" s="6" t="s">
        <v>710</v>
      </c>
      <c r="AC27" s="6"/>
      <c r="AD27" s="6"/>
      <c r="AE27" s="6" t="s">
        <v>1073</v>
      </c>
      <c r="AF27" s="6"/>
      <c r="AG27" s="6" t="s">
        <v>1095</v>
      </c>
      <c r="AH27" s="766" t="s">
        <v>1096</v>
      </c>
      <c r="AI27" s="6" t="s">
        <v>11022</v>
      </c>
      <c r="AJ27" s="6"/>
      <c r="AK27" s="6" t="s">
        <v>1097</v>
      </c>
      <c r="AL27" s="124">
        <v>401</v>
      </c>
      <c r="AM27" s="45">
        <v>99.1</v>
      </c>
      <c r="AN27" s="47">
        <f>AM27/AL27</f>
        <v>0.24713216957605982</v>
      </c>
      <c r="AO27" s="6" t="s">
        <v>1149</v>
      </c>
      <c r="AP27" s="6"/>
      <c r="AQ27" s="6"/>
      <c r="AR27" s="6"/>
      <c r="AS27" s="6" t="s">
        <v>1207</v>
      </c>
      <c r="AT27" s="6" t="s">
        <v>1208</v>
      </c>
      <c r="AU27" s="6" t="s">
        <v>1208</v>
      </c>
      <c r="AV27" s="6"/>
      <c r="AW27" s="6"/>
      <c r="AX27" s="1032"/>
      <c r="AY27" s="6"/>
      <c r="AZ27" s="6"/>
      <c r="BA27" s="6"/>
      <c r="BB27" s="6" t="s">
        <v>8279</v>
      </c>
      <c r="BC27" s="6" t="s">
        <v>853</v>
      </c>
      <c r="BD27" s="6" t="s">
        <v>1207</v>
      </c>
      <c r="BE27" s="6"/>
      <c r="BF27" s="64"/>
      <c r="BG27" s="64"/>
      <c r="BH27" s="6"/>
      <c r="BI27" s="6"/>
      <c r="BJ27" s="6"/>
      <c r="BK27" s="6" t="s">
        <v>1095</v>
      </c>
      <c r="BL27" s="6" t="s">
        <v>11022</v>
      </c>
      <c r="BM27" s="6" t="s">
        <v>1096</v>
      </c>
      <c r="BN27" s="6" t="s">
        <v>1230</v>
      </c>
      <c r="BO27" s="1019" t="s">
        <v>1246</v>
      </c>
      <c r="BP27" s="1033">
        <v>173.67</v>
      </c>
      <c r="BQ27" s="46">
        <v>25.48</v>
      </c>
      <c r="BR27" s="47">
        <f>BQ27/BP27</f>
        <v>0.14671503426037888</v>
      </c>
      <c r="BS27" s="766" t="s">
        <v>1242</v>
      </c>
      <c r="BT27" s="1019" t="s">
        <v>1240</v>
      </c>
      <c r="BU27" s="1019" t="s">
        <v>1249</v>
      </c>
      <c r="BV27" s="1019" t="s">
        <v>1247</v>
      </c>
      <c r="BW27" s="1019">
        <v>1969</v>
      </c>
      <c r="BX27" s="96"/>
      <c r="BY27" s="6"/>
      <c r="BZ27" s="64"/>
      <c r="CA27" s="6"/>
      <c r="CB27" s="6"/>
      <c r="CC27" s="6"/>
      <c r="CD27" s="6"/>
      <c r="CE27" s="6"/>
      <c r="CF27" s="1021"/>
      <c r="CG27" s="1021"/>
      <c r="CH27" s="6"/>
      <c r="CI27" s="6"/>
      <c r="CJ27" s="6"/>
      <c r="CK27" s="6"/>
      <c r="CL27" s="6"/>
      <c r="CM27" s="6"/>
      <c r="CN27" s="6"/>
      <c r="CO27" s="6"/>
      <c r="CP27" s="6" t="s">
        <v>11039</v>
      </c>
      <c r="CQ27" s="6">
        <v>1975</v>
      </c>
      <c r="CR27" s="64"/>
      <c r="CS27" s="6"/>
      <c r="CT27" s="6" t="s">
        <v>11040</v>
      </c>
      <c r="CU27" s="1022">
        <f>CONVERT(320,"ft","m")</f>
        <v>97.536000000000001</v>
      </c>
      <c r="CV27" s="6">
        <v>2</v>
      </c>
      <c r="CW27" s="6">
        <v>16</v>
      </c>
      <c r="CX27" s="6"/>
      <c r="CY27" s="6"/>
      <c r="CZ27" s="6"/>
      <c r="DA27" s="6"/>
      <c r="DB27" s="6"/>
      <c r="DC27" s="6"/>
      <c r="DD27" s="6"/>
      <c r="DE27" s="6"/>
      <c r="DF27" s="6"/>
      <c r="DG27" s="6"/>
      <c r="DH27" s="6"/>
      <c r="DI27" s="6"/>
      <c r="DJ27" s="6"/>
      <c r="DK27" s="6"/>
      <c r="DL27" s="6"/>
      <c r="DM27" s="6"/>
      <c r="DN27" s="6"/>
      <c r="DO27" s="6"/>
      <c r="DP27" s="6"/>
      <c r="DQ27" s="6"/>
      <c r="DR27" s="6"/>
      <c r="DS27" s="1023"/>
      <c r="DT27" s="6"/>
      <c r="DU27" s="6"/>
      <c r="DV27" s="6"/>
      <c r="DW27" s="1024"/>
      <c r="DX27" s="1024"/>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4"/>
      <c r="FE27" s="6"/>
      <c r="FF27" s="6"/>
      <c r="FG27" s="6"/>
      <c r="FH27" s="6" t="s">
        <v>478</v>
      </c>
      <c r="FI27" s="6">
        <v>1</v>
      </c>
      <c r="FJ27" s="6"/>
      <c r="FK27" s="6"/>
      <c r="FL27" s="6"/>
      <c r="FM27" s="64"/>
      <c r="FN27" s="64"/>
      <c r="FO27" s="64"/>
      <c r="FP27" s="6" t="s">
        <v>1600</v>
      </c>
      <c r="FQ27" s="6" t="s">
        <v>1642</v>
      </c>
      <c r="FR27" s="1019" t="s">
        <v>1207</v>
      </c>
      <c r="FS27" s="1019" t="s">
        <v>1208</v>
      </c>
      <c r="FT27" s="1019" t="s">
        <v>1208</v>
      </c>
      <c r="FU27" s="6"/>
      <c r="FV27" s="6"/>
      <c r="FW27" s="6"/>
      <c r="FX27" s="6"/>
      <c r="FY27" s="6"/>
      <c r="FZ27" s="6"/>
      <c r="GA27" s="6"/>
      <c r="GB27" s="6" t="s">
        <v>1734</v>
      </c>
      <c r="GC27" s="1028" t="s">
        <v>8279</v>
      </c>
      <c r="GD27" s="1015">
        <v>1969</v>
      </c>
      <c r="GE27" s="6"/>
      <c r="GF27" s="64"/>
      <c r="GG27" s="64"/>
      <c r="GH27" s="1722"/>
      <c r="GI27" s="1722"/>
      <c r="GJ27" s="1722"/>
      <c r="GK27" s="1722"/>
      <c r="GL27" s="1722"/>
      <c r="GM27" s="1722"/>
      <c r="GN27" s="1723"/>
      <c r="GO27" s="1723"/>
      <c r="GP27" s="1723"/>
      <c r="GQ27" s="1723"/>
      <c r="GR27" s="1723"/>
      <c r="GS27" s="1722"/>
      <c r="GT27" s="1723"/>
      <c r="GU27" s="1722"/>
      <c r="GV27" s="1723"/>
      <c r="GW27" s="1723"/>
      <c r="GX27" s="1723"/>
      <c r="GY27" s="1723"/>
      <c r="GZ27" s="1723"/>
      <c r="HA27" s="1723"/>
      <c r="HB27" s="1723"/>
      <c r="HC27" s="1722"/>
      <c r="HD27" s="1723"/>
      <c r="HE27" s="1722"/>
      <c r="HF27" s="1722"/>
      <c r="HG27" s="1722"/>
      <c r="HH27" s="1722"/>
      <c r="HI27" s="1722"/>
      <c r="HJ27" s="1722"/>
      <c r="HK27" s="1722"/>
      <c r="HL27" s="6"/>
      <c r="HM27" s="6"/>
      <c r="HN27" s="6"/>
      <c r="HO27" s="6"/>
      <c r="HP27" s="6"/>
      <c r="HQ27" s="6"/>
      <c r="HR27" s="6"/>
      <c r="HS27" s="6"/>
      <c r="HT27" s="6"/>
      <c r="HU27" s="6"/>
      <c r="HV27" s="6"/>
      <c r="HW27" s="6"/>
      <c r="HX27" s="6"/>
      <c r="HY27" s="6"/>
      <c r="HZ27" s="6"/>
      <c r="IA27" s="6"/>
      <c r="IB27" s="6"/>
      <c r="IC27" s="6"/>
      <c r="ID27" s="6">
        <v>2</v>
      </c>
      <c r="IE27" s="6"/>
      <c r="IF27" s="1716"/>
      <c r="IG27" s="1716"/>
      <c r="IH27" s="1716"/>
      <c r="II27" s="1716"/>
      <c r="IJ27" s="1716"/>
      <c r="IK27" s="1716"/>
      <c r="IL27" s="1716"/>
      <c r="IM27" s="1716"/>
      <c r="IN27" s="1716"/>
      <c r="IO27" s="1716"/>
      <c r="IP27" s="1716"/>
      <c r="IQ27" s="1716"/>
      <c r="IR27" s="1716"/>
      <c r="IS27" s="1716"/>
      <c r="IT27" s="1716"/>
      <c r="IU27" s="1716"/>
      <c r="IV27" s="1716"/>
      <c r="IW27" s="1716"/>
      <c r="IX27" s="1716"/>
      <c r="IY27" s="1716"/>
      <c r="IZ27" s="1716"/>
      <c r="JA27" s="1716"/>
      <c r="JB27" s="1716"/>
      <c r="JC27" s="1716"/>
      <c r="JD27" s="1716"/>
      <c r="JE27" s="1716"/>
      <c r="JF27" s="1716"/>
      <c r="JG27" s="1716"/>
      <c r="JH27" s="1716"/>
      <c r="JI27" s="1716"/>
      <c r="JJ27" s="1698">
        <v>3</v>
      </c>
      <c r="JK27" s="6" t="s">
        <v>8279</v>
      </c>
      <c r="JL27" s="6"/>
      <c r="JM27" s="6"/>
      <c r="JN27" s="6">
        <v>1</v>
      </c>
      <c r="JO27" s="6"/>
      <c r="JP27" s="6">
        <v>1</v>
      </c>
      <c r="JQ27" s="6">
        <v>1</v>
      </c>
      <c r="JR27" s="6"/>
      <c r="JS27" s="6"/>
      <c r="JT27" s="766">
        <f>SUM(JP27,JN27,JL27,JR27)</f>
        <v>2</v>
      </c>
      <c r="JU27" s="766">
        <f>SUM(JQ27,JO27,JM27,JS27)</f>
        <v>1</v>
      </c>
      <c r="JV27" s="766"/>
      <c r="JW27" s="766"/>
      <c r="JX27" s="6"/>
      <c r="JY27" s="6"/>
      <c r="JZ27" s="6"/>
      <c r="KA27" s="6"/>
      <c r="KB27" s="6"/>
      <c r="KC27" s="6"/>
      <c r="KD27" s="6">
        <v>1</v>
      </c>
      <c r="KE27" s="6"/>
      <c r="KF27" s="6">
        <v>1</v>
      </c>
      <c r="KG27" s="6">
        <v>1</v>
      </c>
      <c r="KH27" s="6"/>
      <c r="KI27" s="6"/>
      <c r="KJ27" s="770">
        <f>SUM(KF27,KD27,KB27,JZ27,JX27,KH27)</f>
        <v>2</v>
      </c>
      <c r="KK27" s="770">
        <f>SUM(KG27,KE27,KC27,KA27,JY27,KI27)</f>
        <v>1</v>
      </c>
      <c r="KL27" s="770"/>
      <c r="KM27" s="770"/>
      <c r="KN27" s="6" t="s">
        <v>707</v>
      </c>
      <c r="KO27" s="1688"/>
      <c r="KP27" s="6"/>
      <c r="KQ27" s="6"/>
      <c r="KR27" s="6"/>
      <c r="KS27" s="6"/>
      <c r="KT27" s="6"/>
      <c r="KU27" s="6"/>
      <c r="KV27" s="6"/>
      <c r="KW27" s="6"/>
      <c r="KX27" s="6"/>
      <c r="KY27" s="6"/>
      <c r="KZ27" s="6"/>
      <c r="LA27" s="6"/>
      <c r="LB27" s="6">
        <v>1</v>
      </c>
      <c r="LC27" s="6"/>
      <c r="LD27" s="6">
        <v>1</v>
      </c>
      <c r="LE27" s="6">
        <v>1</v>
      </c>
      <c r="LF27" s="6"/>
      <c r="LG27" s="6"/>
      <c r="LH27" s="6"/>
      <c r="LI27" s="6"/>
      <c r="LJ27" s="6"/>
      <c r="LK27" s="6"/>
      <c r="LL27" s="6"/>
      <c r="LM27" s="6"/>
      <c r="LN27" s="766">
        <f>SUM(KP27,KR27,KT27,KV27,KX27,KZ27,LB27,LD27,LF27,LH27,LJ27,LL27)</f>
        <v>2</v>
      </c>
      <c r="LO27" s="766">
        <f>SUM(KQ27,KS27,KU27,KW27,KY27,LA27,LC27,LE27,LG27,LI27,LK27,LM27)</f>
        <v>1</v>
      </c>
      <c r="LP27" s="6">
        <v>1</v>
      </c>
      <c r="LQ27" s="1690"/>
      <c r="LR27" s="6">
        <v>2</v>
      </c>
      <c r="LS27" s="6"/>
      <c r="LT27" s="6"/>
      <c r="LU27" s="6"/>
      <c r="LV27" s="6"/>
      <c r="LW27" s="6"/>
      <c r="LX27" s="1693">
        <v>1</v>
      </c>
      <c r="LY27" s="766" t="str">
        <f t="shared" si="0"/>
        <v>within the BRGY</v>
      </c>
      <c r="LZ27" s="1694"/>
      <c r="MA27" s="1694">
        <v>2500</v>
      </c>
      <c r="MB27" s="1694"/>
      <c r="MC27" s="1679">
        <f t="shared" si="1"/>
        <v>2500</v>
      </c>
      <c r="MD27" s="1694"/>
      <c r="ME27" s="1694">
        <v>20000</v>
      </c>
      <c r="MF27" s="1694"/>
      <c r="MG27" s="1680">
        <f t="shared" si="2"/>
        <v>20000</v>
      </c>
      <c r="MH27" s="1690" t="s">
        <v>8284</v>
      </c>
      <c r="MI27" s="64">
        <v>600</v>
      </c>
      <c r="MJ27" s="64">
        <v>2500</v>
      </c>
      <c r="MK27" s="64"/>
      <c r="ML27" s="64">
        <v>7000</v>
      </c>
      <c r="MM27" s="64"/>
      <c r="MN27" s="64"/>
      <c r="MO27" s="64">
        <v>200</v>
      </c>
      <c r="MP27" s="64">
        <v>600</v>
      </c>
      <c r="MQ27" s="64">
        <v>600</v>
      </c>
      <c r="MR27" s="64">
        <v>700</v>
      </c>
      <c r="MS27" s="64"/>
      <c r="MT27" s="64"/>
      <c r="MU27" s="64"/>
      <c r="MV27" s="64"/>
      <c r="MW27" s="64"/>
      <c r="MX27" s="64"/>
      <c r="MY27" s="1682">
        <f t="shared" si="3"/>
        <v>12200</v>
      </c>
      <c r="MZ27" s="6" t="s">
        <v>13004</v>
      </c>
      <c r="NA27" s="6" t="s">
        <v>13005</v>
      </c>
      <c r="NB27" s="6" t="s">
        <v>13033</v>
      </c>
      <c r="NC27" s="6" t="s">
        <v>13007</v>
      </c>
      <c r="ND27" s="6">
        <v>0</v>
      </c>
      <c r="NE27" s="6">
        <v>2</v>
      </c>
      <c r="NF27" s="6">
        <v>1</v>
      </c>
      <c r="NG27" s="6">
        <v>3</v>
      </c>
      <c r="NH27" s="6">
        <v>2</v>
      </c>
      <c r="NI27" s="6">
        <v>0</v>
      </c>
      <c r="NJ27" s="6">
        <v>0</v>
      </c>
      <c r="NK27" s="6">
        <v>0</v>
      </c>
      <c r="NL27" s="6">
        <v>1</v>
      </c>
      <c r="NM27" s="6">
        <v>1</v>
      </c>
      <c r="NN27" s="6">
        <v>0</v>
      </c>
      <c r="NO27" s="6">
        <v>0</v>
      </c>
      <c r="NP27" s="6">
        <v>0</v>
      </c>
      <c r="NQ27" s="6">
        <v>0</v>
      </c>
      <c r="NR27" s="6">
        <v>0</v>
      </c>
      <c r="NS27" s="6">
        <v>0</v>
      </c>
      <c r="NT27" s="6">
        <v>0</v>
      </c>
      <c r="NU27" s="6">
        <v>0</v>
      </c>
      <c r="NV27" s="6">
        <v>0</v>
      </c>
      <c r="NW27" s="6">
        <v>0</v>
      </c>
      <c r="NX27" s="6">
        <v>0</v>
      </c>
      <c r="NY27" s="6" t="s">
        <v>1208</v>
      </c>
      <c r="NZ27" s="6"/>
      <c r="OA27" s="6"/>
      <c r="OB27" s="6"/>
      <c r="OC27" s="6" t="s">
        <v>1208</v>
      </c>
      <c r="OD27" s="6"/>
      <c r="OE27" s="1019"/>
      <c r="OF27" s="6" t="s">
        <v>13034</v>
      </c>
      <c r="OG27" s="6"/>
      <c r="OH27" s="6"/>
      <c r="OI27" s="6"/>
      <c r="OJ27" s="6"/>
      <c r="OK27" s="1687"/>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t="s">
        <v>13035</v>
      </c>
      <c r="RB27" s="6" t="s">
        <v>1207</v>
      </c>
      <c r="RC27" s="6">
        <v>2010</v>
      </c>
      <c r="RD27" s="6" t="s">
        <v>13036</v>
      </c>
      <c r="RE27" s="6" t="s">
        <v>13008</v>
      </c>
      <c r="RF27" s="1026">
        <v>0.4</v>
      </c>
      <c r="RG27" s="6" t="s">
        <v>13037</v>
      </c>
      <c r="RH27" s="64">
        <v>0</v>
      </c>
      <c r="RI27" s="6">
        <v>1</v>
      </c>
      <c r="RJ27" s="6" t="s">
        <v>8279</v>
      </c>
      <c r="RK27" s="6" t="s">
        <v>13010</v>
      </c>
      <c r="RL27" s="1691">
        <v>42899</v>
      </c>
      <c r="RM27" s="1714" t="s">
        <v>13038</v>
      </c>
      <c r="RN27" s="1691">
        <v>42899</v>
      </c>
      <c r="RO27" s="169" t="s">
        <v>8278</v>
      </c>
      <c r="RP27" s="11"/>
      <c r="RQ27" s="11"/>
      <c r="RR27" s="771"/>
      <c r="RS27" s="6"/>
      <c r="RT27" s="11"/>
      <c r="RU27" s="11"/>
      <c r="RV27" s="6" t="s">
        <v>12374</v>
      </c>
      <c r="RW27" s="11" t="s">
        <v>7422</v>
      </c>
      <c r="RX27" s="11" t="s">
        <v>5462</v>
      </c>
      <c r="RY27" s="11">
        <v>11.07</v>
      </c>
      <c r="RZ27" s="11" t="s">
        <v>7419</v>
      </c>
      <c r="SA27" s="6"/>
      <c r="SB27" s="11"/>
      <c r="SC27" s="11"/>
    </row>
    <row r="28" spans="1:497" s="1020" customFormat="1" ht="15" hidden="1" customHeight="1">
      <c r="A28" s="93" t="s">
        <v>12375</v>
      </c>
      <c r="B28" s="1120" t="s">
        <v>12393</v>
      </c>
      <c r="C28" s="169" t="s">
        <v>11041</v>
      </c>
      <c r="D28" s="6" t="s">
        <v>11033</v>
      </c>
      <c r="E28" s="6" t="s">
        <v>11034</v>
      </c>
      <c r="F28" s="6" t="s">
        <v>28</v>
      </c>
      <c r="G28" s="6" t="s">
        <v>10</v>
      </c>
      <c r="H28" s="6" t="s">
        <v>11035</v>
      </c>
      <c r="I28" s="1012" t="s">
        <v>11036</v>
      </c>
      <c r="J28" s="6"/>
      <c r="K28" s="6" t="s">
        <v>14079</v>
      </c>
      <c r="L28" s="6" t="s">
        <v>14080</v>
      </c>
      <c r="M28" s="6"/>
      <c r="N28" s="6" t="s">
        <v>11021</v>
      </c>
      <c r="O28" s="6" t="s">
        <v>11037</v>
      </c>
      <c r="P28" s="843"/>
      <c r="Q28" s="1086"/>
      <c r="R28" s="1015"/>
      <c r="S28" s="6"/>
      <c r="T28" s="6"/>
      <c r="U28" s="1016"/>
      <c r="V28" s="6"/>
      <c r="W28" s="1016"/>
      <c r="X28" s="1014"/>
      <c r="Y28" s="6"/>
      <c r="Z28" s="6"/>
      <c r="AA28" s="6"/>
      <c r="AB28" s="6"/>
      <c r="AC28" s="6"/>
      <c r="AD28" s="6"/>
      <c r="AE28" s="6"/>
      <c r="AF28" s="6"/>
      <c r="AG28" s="6"/>
      <c r="AH28" s="6"/>
      <c r="AI28" s="6"/>
      <c r="AJ28" s="6"/>
      <c r="AK28" s="6"/>
      <c r="AL28" s="124"/>
      <c r="AM28" s="45"/>
      <c r="AN28" s="47"/>
      <c r="AO28" s="6"/>
      <c r="AP28" s="6"/>
      <c r="AQ28" s="6"/>
      <c r="AR28" s="6"/>
      <c r="AS28" s="6" t="s">
        <v>1207</v>
      </c>
      <c r="AT28" s="6" t="s">
        <v>1208</v>
      </c>
      <c r="AU28" s="6" t="s">
        <v>1208</v>
      </c>
      <c r="AV28" s="6"/>
      <c r="AW28" s="6"/>
      <c r="AX28" s="1032"/>
      <c r="AY28" s="6"/>
      <c r="AZ28" s="6"/>
      <c r="BA28" s="6"/>
      <c r="BB28" s="6" t="s">
        <v>8279</v>
      </c>
      <c r="BC28" s="6" t="s">
        <v>853</v>
      </c>
      <c r="BD28" s="6" t="s">
        <v>1207</v>
      </c>
      <c r="BE28" s="6" t="s">
        <v>1207</v>
      </c>
      <c r="BF28" s="64"/>
      <c r="BG28" s="64"/>
      <c r="BH28" s="6"/>
      <c r="BI28" s="6"/>
      <c r="BJ28" s="6"/>
      <c r="BK28" s="6" t="s">
        <v>1095</v>
      </c>
      <c r="BL28" s="6" t="s">
        <v>11022</v>
      </c>
      <c r="BM28" s="6" t="s">
        <v>1100</v>
      </c>
      <c r="BN28" s="6" t="s">
        <v>1230</v>
      </c>
      <c r="BO28" s="1019" t="s">
        <v>1246</v>
      </c>
      <c r="BP28" s="1033">
        <v>136.55000000000001</v>
      </c>
      <c r="BQ28" s="46">
        <v>4.8</v>
      </c>
      <c r="BR28" s="47">
        <f t="shared" ref="BR28:BR37" si="5">BQ28/BP28</f>
        <v>3.5151958989381178E-2</v>
      </c>
      <c r="BS28" s="6" t="s">
        <v>1242</v>
      </c>
      <c r="BT28" s="1019" t="s">
        <v>1240</v>
      </c>
      <c r="BU28" s="1019" t="s">
        <v>1249</v>
      </c>
      <c r="BV28" s="1019" t="s">
        <v>1247</v>
      </c>
      <c r="BW28" s="1019"/>
      <c r="BX28" s="96"/>
      <c r="BY28" s="6"/>
      <c r="BZ28" s="64"/>
      <c r="CA28" s="6"/>
      <c r="CB28" s="6"/>
      <c r="CC28" s="6"/>
      <c r="CD28" s="6"/>
      <c r="CE28" s="6"/>
      <c r="CF28" s="1021"/>
      <c r="CG28" s="1021"/>
      <c r="CH28" s="6"/>
      <c r="CI28" s="6"/>
      <c r="CJ28" s="6"/>
      <c r="CK28" s="6"/>
      <c r="CL28" s="6"/>
      <c r="CM28" s="6"/>
      <c r="CN28" s="6"/>
      <c r="CO28" s="6"/>
      <c r="CP28" s="6"/>
      <c r="CQ28" s="6"/>
      <c r="CR28" s="64"/>
      <c r="CS28" s="6"/>
      <c r="CT28" s="6"/>
      <c r="CU28" s="1022"/>
      <c r="CV28" s="6"/>
      <c r="CW28" s="6"/>
      <c r="CX28" s="6"/>
      <c r="CY28" s="6"/>
      <c r="CZ28" s="6"/>
      <c r="DA28" s="6"/>
      <c r="DB28" s="6"/>
      <c r="DC28" s="6"/>
      <c r="DD28" s="6"/>
      <c r="DE28" s="1716"/>
      <c r="DF28" s="6"/>
      <c r="DG28" s="6"/>
      <c r="DH28" s="6"/>
      <c r="DI28" s="6"/>
      <c r="DJ28" s="6"/>
      <c r="DK28" s="6"/>
      <c r="DL28" s="6"/>
      <c r="DM28" s="6"/>
      <c r="DN28" s="6"/>
      <c r="DO28" s="6"/>
      <c r="DP28" s="6"/>
      <c r="DQ28" s="6"/>
      <c r="DR28" s="6"/>
      <c r="DS28" s="1023"/>
      <c r="DT28" s="6"/>
      <c r="DU28" s="6"/>
      <c r="DV28" s="6"/>
      <c r="DW28" s="1024"/>
      <c r="DX28" s="1024"/>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4"/>
      <c r="FE28" s="6"/>
      <c r="FF28" s="6"/>
      <c r="FG28" s="6"/>
      <c r="FH28" s="6" t="s">
        <v>478</v>
      </c>
      <c r="FI28" s="6"/>
      <c r="FJ28" s="6"/>
      <c r="FK28" s="6"/>
      <c r="FL28" s="6"/>
      <c r="FM28" s="64"/>
      <c r="FN28" s="64"/>
      <c r="FO28" s="64"/>
      <c r="FP28" s="6" t="s">
        <v>1600</v>
      </c>
      <c r="FQ28" s="6" t="s">
        <v>1642</v>
      </c>
      <c r="FR28" s="1019"/>
      <c r="FS28" s="1019"/>
      <c r="FT28" s="1019"/>
      <c r="FU28" s="6"/>
      <c r="FV28" s="6"/>
      <c r="FW28" s="6"/>
      <c r="FX28" s="6"/>
      <c r="FY28" s="6"/>
      <c r="FZ28" s="6"/>
      <c r="GA28" s="6"/>
      <c r="GB28" s="6"/>
      <c r="GC28" s="1028"/>
      <c r="GD28" s="1015"/>
      <c r="GE28" s="6"/>
      <c r="GF28" s="64"/>
      <c r="GG28" s="64"/>
      <c r="GH28" s="1722"/>
      <c r="GI28" s="1722"/>
      <c r="GJ28" s="1722"/>
      <c r="GK28" s="1722"/>
      <c r="GL28" s="1722"/>
      <c r="GM28" s="1722"/>
      <c r="GN28" s="1723"/>
      <c r="GO28" s="1723"/>
      <c r="GP28" s="1723"/>
      <c r="GQ28" s="1723"/>
      <c r="GR28" s="1723"/>
      <c r="GS28" s="1722"/>
      <c r="GT28" s="1723"/>
      <c r="GU28" s="1722"/>
      <c r="GV28" s="1723"/>
      <c r="GW28" s="1723"/>
      <c r="GX28" s="1723"/>
      <c r="GY28" s="1723"/>
      <c r="GZ28" s="1723"/>
      <c r="HA28" s="1723"/>
      <c r="HB28" s="1723"/>
      <c r="HC28" s="1722"/>
      <c r="HD28" s="1723"/>
      <c r="HE28" s="1722"/>
      <c r="HF28" s="1722"/>
      <c r="HG28" s="1722"/>
      <c r="HH28" s="1722"/>
      <c r="HI28" s="1722"/>
      <c r="HJ28" s="1722"/>
      <c r="HK28" s="1722"/>
      <c r="HL28" s="6"/>
      <c r="HM28" s="6"/>
      <c r="HN28" s="6"/>
      <c r="HO28" s="6"/>
      <c r="HP28" s="6"/>
      <c r="HQ28" s="6"/>
      <c r="HR28" s="6"/>
      <c r="HS28" s="6"/>
      <c r="HT28" s="6"/>
      <c r="HU28" s="6"/>
      <c r="HV28" s="6"/>
      <c r="HW28" s="6"/>
      <c r="HX28" s="6"/>
      <c r="HY28" s="6"/>
      <c r="HZ28" s="6"/>
      <c r="IA28" s="6"/>
      <c r="IB28" s="6"/>
      <c r="IC28" s="6"/>
      <c r="ID28" s="6"/>
      <c r="IE28" s="6"/>
      <c r="IF28" s="6" t="s">
        <v>11033</v>
      </c>
      <c r="IG28" s="6" t="s">
        <v>10</v>
      </c>
      <c r="IH28" s="6" t="s">
        <v>478</v>
      </c>
      <c r="II28" s="6" t="s">
        <v>11034</v>
      </c>
      <c r="IJ28" s="6" t="s">
        <v>1835</v>
      </c>
      <c r="IK28" s="6" t="s">
        <v>1888</v>
      </c>
      <c r="IL28" s="6" t="s">
        <v>8279</v>
      </c>
      <c r="IM28" s="1028">
        <v>1981</v>
      </c>
      <c r="IN28" s="6" t="s">
        <v>8279</v>
      </c>
      <c r="IO28" s="1014">
        <v>35509</v>
      </c>
      <c r="IP28" s="6" t="s">
        <v>478</v>
      </c>
      <c r="IQ28" s="6" t="s">
        <v>11042</v>
      </c>
      <c r="IR28" s="1019" t="s">
        <v>2716</v>
      </c>
      <c r="IS28" s="6" t="s">
        <v>1883</v>
      </c>
      <c r="IT28" s="1019" t="s">
        <v>1208</v>
      </c>
      <c r="IU28" s="6"/>
      <c r="IV28" s="6" t="s">
        <v>11043</v>
      </c>
      <c r="IW28" s="6" t="s">
        <v>11038</v>
      </c>
      <c r="IX28" s="6"/>
      <c r="IY28" s="6"/>
      <c r="IZ28" s="6"/>
      <c r="JA28" s="6"/>
      <c r="JB28" s="6" t="s">
        <v>12766</v>
      </c>
      <c r="JC28" s="6"/>
      <c r="JD28" s="64"/>
      <c r="JE28" s="6"/>
      <c r="JF28" s="1688"/>
      <c r="JG28" s="1687"/>
      <c r="JH28" s="1687"/>
      <c r="JI28" s="1687"/>
      <c r="JJ28" s="6"/>
      <c r="JK28" s="6"/>
      <c r="JL28" s="6"/>
      <c r="JM28" s="6"/>
      <c r="JN28" s="6"/>
      <c r="JO28" s="6"/>
      <c r="JP28" s="6"/>
      <c r="JQ28" s="6"/>
      <c r="JR28" s="6"/>
      <c r="JS28" s="6"/>
      <c r="JT28" s="766"/>
      <c r="JU28" s="766"/>
      <c r="JV28" s="766"/>
      <c r="JW28" s="766"/>
      <c r="JX28" s="6"/>
      <c r="JY28" s="6"/>
      <c r="JZ28" s="6"/>
      <c r="KA28" s="6"/>
      <c r="KB28" s="6"/>
      <c r="KC28" s="6"/>
      <c r="KD28" s="6"/>
      <c r="KE28" s="6"/>
      <c r="KF28" s="6"/>
      <c r="KG28" s="6"/>
      <c r="KH28" s="6"/>
      <c r="KI28" s="6"/>
      <c r="KJ28" s="770"/>
      <c r="KK28" s="770"/>
      <c r="KL28" s="770"/>
      <c r="KM28" s="770"/>
      <c r="KN28" s="6"/>
      <c r="KO28" s="1688"/>
      <c r="KP28" s="6"/>
      <c r="KQ28" s="6"/>
      <c r="KR28" s="6"/>
      <c r="KS28" s="6"/>
      <c r="KT28" s="6"/>
      <c r="KU28" s="6"/>
      <c r="KV28" s="6"/>
      <c r="KW28" s="6"/>
      <c r="KX28" s="6"/>
      <c r="KY28" s="6"/>
      <c r="KZ28" s="6"/>
      <c r="LA28" s="6"/>
      <c r="LB28" s="6"/>
      <c r="LC28" s="6"/>
      <c r="LD28" s="6"/>
      <c r="LE28" s="6"/>
      <c r="LF28" s="6"/>
      <c r="LG28" s="6"/>
      <c r="LH28" s="6"/>
      <c r="LI28" s="6"/>
      <c r="LJ28" s="6"/>
      <c r="LK28" s="6"/>
      <c r="LL28" s="6"/>
      <c r="LM28" s="6"/>
      <c r="LN28" s="766"/>
      <c r="LO28" s="766"/>
      <c r="LP28" s="6"/>
      <c r="LQ28" s="1690"/>
      <c r="LR28" s="6"/>
      <c r="LS28" s="6"/>
      <c r="LT28" s="6"/>
      <c r="LU28" s="6"/>
      <c r="LV28" s="6"/>
      <c r="LW28" s="6"/>
      <c r="LX28" s="1693"/>
      <c r="LY28" s="766" t="str">
        <f t="shared" si="0"/>
        <v/>
      </c>
      <c r="LZ28" s="1694"/>
      <c r="MA28" s="1694"/>
      <c r="MB28" s="1694"/>
      <c r="MC28" s="1679">
        <f t="shared" si="1"/>
        <v>0</v>
      </c>
      <c r="MD28" s="1694"/>
      <c r="ME28" s="1694"/>
      <c r="MF28" s="1694"/>
      <c r="MG28" s="1680">
        <f t="shared" si="2"/>
        <v>0</v>
      </c>
      <c r="MH28" s="1690"/>
      <c r="MI28" s="64"/>
      <c r="MJ28" s="64"/>
      <c r="MK28" s="64"/>
      <c r="ML28" s="64"/>
      <c r="MM28" s="64"/>
      <c r="MN28" s="64"/>
      <c r="MO28" s="64"/>
      <c r="MP28" s="64"/>
      <c r="MQ28" s="64"/>
      <c r="MR28" s="64"/>
      <c r="MS28" s="64"/>
      <c r="MT28" s="64"/>
      <c r="MU28" s="64"/>
      <c r="MV28" s="64"/>
      <c r="MW28" s="64"/>
      <c r="MX28" s="64"/>
      <c r="MY28" s="1682">
        <f t="shared" si="3"/>
        <v>0</v>
      </c>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1687"/>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1026"/>
      <c r="RG28" s="6"/>
      <c r="RH28" s="64"/>
      <c r="RI28" s="6"/>
      <c r="RJ28" s="6" t="s">
        <v>8279</v>
      </c>
      <c r="RK28" s="6" t="s">
        <v>13010</v>
      </c>
      <c r="RL28" s="1691"/>
      <c r="RM28" s="1714" t="s">
        <v>13038</v>
      </c>
      <c r="RN28" s="1691">
        <v>42899</v>
      </c>
      <c r="RO28" s="169" t="s">
        <v>11041</v>
      </c>
      <c r="RR28" s="93"/>
      <c r="RS28" s="6"/>
      <c r="RV28" s="6" t="s">
        <v>12374</v>
      </c>
      <c r="RW28" s="1020" t="s">
        <v>7940</v>
      </c>
      <c r="RX28" s="1020" t="s">
        <v>5462</v>
      </c>
      <c r="RY28" s="1020">
        <v>3.3</v>
      </c>
      <c r="RZ28" s="11" t="s">
        <v>7419</v>
      </c>
      <c r="SA28" s="6"/>
    </row>
    <row r="29" spans="1:497" s="1020" customFormat="1" ht="15" hidden="1" customHeight="1">
      <c r="A29" s="93" t="s">
        <v>12375</v>
      </c>
      <c r="B29" s="1121" t="s">
        <v>11044</v>
      </c>
      <c r="C29" s="169" t="s">
        <v>11041</v>
      </c>
      <c r="D29" s="6" t="s">
        <v>11045</v>
      </c>
      <c r="E29" s="6" t="s">
        <v>11046</v>
      </c>
      <c r="F29" s="6" t="s">
        <v>20</v>
      </c>
      <c r="G29" s="6" t="s">
        <v>18</v>
      </c>
      <c r="H29" s="6"/>
      <c r="I29" s="1012" t="s">
        <v>11047</v>
      </c>
      <c r="J29" s="6"/>
      <c r="K29" s="6" t="s">
        <v>14081</v>
      </c>
      <c r="L29" s="6" t="s">
        <v>14082</v>
      </c>
      <c r="M29" s="6"/>
      <c r="N29" s="6" t="s">
        <v>11021</v>
      </c>
      <c r="O29" s="6" t="s">
        <v>11037</v>
      </c>
      <c r="P29" s="843"/>
      <c r="Q29" s="1086"/>
      <c r="R29" s="1015"/>
      <c r="S29" s="6"/>
      <c r="T29" s="6"/>
      <c r="U29" s="1016"/>
      <c r="V29" s="6"/>
      <c r="W29" s="1016"/>
      <c r="X29" s="1014"/>
      <c r="Y29" s="6"/>
      <c r="Z29" s="6"/>
      <c r="AA29" s="6"/>
      <c r="AB29" s="6"/>
      <c r="AC29" s="6"/>
      <c r="AD29" s="6"/>
      <c r="AE29" s="6"/>
      <c r="AF29" s="6"/>
      <c r="AG29" s="6"/>
      <c r="AH29" s="6"/>
      <c r="AI29" s="6"/>
      <c r="AJ29" s="6"/>
      <c r="AK29" s="6" t="s">
        <v>1899</v>
      </c>
      <c r="AL29" s="124"/>
      <c r="AM29" s="45"/>
      <c r="AN29" s="47"/>
      <c r="AO29" s="6"/>
      <c r="AP29" s="6"/>
      <c r="AQ29" s="6"/>
      <c r="AR29" s="6"/>
      <c r="AS29" s="6" t="s">
        <v>1207</v>
      </c>
      <c r="AT29" s="6"/>
      <c r="AU29" s="6"/>
      <c r="AV29" s="6"/>
      <c r="AW29" s="6"/>
      <c r="AX29" s="1032"/>
      <c r="AY29" s="6"/>
      <c r="AZ29" s="6"/>
      <c r="BA29" s="6"/>
      <c r="BB29" s="6"/>
      <c r="BC29" s="6"/>
      <c r="BD29" s="6"/>
      <c r="BE29" s="6"/>
      <c r="BF29" s="64"/>
      <c r="BG29" s="64"/>
      <c r="BH29" s="6"/>
      <c r="BI29" s="6"/>
      <c r="BJ29" s="6"/>
      <c r="BK29" s="6"/>
      <c r="BL29" s="6"/>
      <c r="BM29" s="6" t="s">
        <v>12385</v>
      </c>
      <c r="BN29" s="6" t="s">
        <v>1260</v>
      </c>
      <c r="BO29" s="1019"/>
      <c r="BP29" s="1033"/>
      <c r="BQ29" s="46"/>
      <c r="BR29" s="47"/>
      <c r="BS29" s="6" t="s">
        <v>1242</v>
      </c>
      <c r="BT29" s="1019"/>
      <c r="BU29" s="1019"/>
      <c r="BV29" s="1019"/>
      <c r="BW29" s="1019"/>
      <c r="BX29" s="96"/>
      <c r="BY29" s="6"/>
      <c r="BZ29" s="64"/>
      <c r="CA29" s="6"/>
      <c r="CB29" s="6"/>
      <c r="CC29" s="6"/>
      <c r="CD29" s="6"/>
      <c r="CE29" s="6"/>
      <c r="CF29" s="1021"/>
      <c r="CG29" s="1021"/>
      <c r="CH29" s="6"/>
      <c r="CI29" s="6"/>
      <c r="CJ29" s="6"/>
      <c r="CK29" s="6"/>
      <c r="CL29" s="6"/>
      <c r="CM29" s="6"/>
      <c r="CN29" s="6"/>
      <c r="CO29" s="6"/>
      <c r="CP29" s="6"/>
      <c r="CQ29" s="6"/>
      <c r="CR29" s="64"/>
      <c r="CS29" s="6"/>
      <c r="CT29" s="6"/>
      <c r="CU29" s="1022"/>
      <c r="CV29" s="6"/>
      <c r="CW29" s="6"/>
      <c r="CX29" s="6"/>
      <c r="CY29" s="6"/>
      <c r="CZ29" s="6"/>
      <c r="DA29" s="6"/>
      <c r="DB29" s="6"/>
      <c r="DC29" s="6"/>
      <c r="DD29" s="6"/>
      <c r="DE29" s="6"/>
      <c r="DF29" s="6"/>
      <c r="DG29" s="6"/>
      <c r="DH29" s="6"/>
      <c r="DI29" s="6"/>
      <c r="DJ29" s="6"/>
      <c r="DK29" s="6"/>
      <c r="DL29" s="6"/>
      <c r="DM29" s="6"/>
      <c r="DN29" s="6"/>
      <c r="DO29" s="6"/>
      <c r="DP29" s="6"/>
      <c r="DQ29" s="6"/>
      <c r="DR29" s="6"/>
      <c r="DS29" s="1023"/>
      <c r="DT29" s="6"/>
      <c r="DU29" s="6"/>
      <c r="DV29" s="6"/>
      <c r="DW29" s="1024"/>
      <c r="DX29" s="1024"/>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4"/>
      <c r="FE29" s="6"/>
      <c r="FF29" s="6"/>
      <c r="FG29" s="6"/>
      <c r="FH29" s="6" t="s">
        <v>1306</v>
      </c>
      <c r="FI29" s="6"/>
      <c r="FJ29" s="6"/>
      <c r="FK29" s="6"/>
      <c r="FL29" s="6"/>
      <c r="FM29" s="64"/>
      <c r="FN29" s="64"/>
      <c r="FO29" s="64"/>
      <c r="FP29" s="6" t="s">
        <v>1602</v>
      </c>
      <c r="FQ29" s="6" t="s">
        <v>1660</v>
      </c>
      <c r="FR29" s="1019"/>
      <c r="FS29" s="1019"/>
      <c r="FT29" s="1019"/>
      <c r="FU29" s="6"/>
      <c r="FV29" s="6"/>
      <c r="FW29" s="6"/>
      <c r="FX29" s="6"/>
      <c r="FY29" s="6"/>
      <c r="FZ29" s="6"/>
      <c r="GA29" s="6"/>
      <c r="GB29" s="6"/>
      <c r="GC29" s="1028"/>
      <c r="GD29" s="1015"/>
      <c r="GE29" s="6"/>
      <c r="GF29" s="64"/>
      <c r="GG29" s="64"/>
      <c r="GH29" s="1722"/>
      <c r="GI29" s="1722"/>
      <c r="GJ29" s="1722"/>
      <c r="GK29" s="1722"/>
      <c r="GL29" s="1722"/>
      <c r="GM29" s="1722"/>
      <c r="GN29" s="1723"/>
      <c r="GO29" s="1723"/>
      <c r="GP29" s="1723"/>
      <c r="GQ29" s="1723"/>
      <c r="GR29" s="1723"/>
      <c r="GS29" s="1722"/>
      <c r="GT29" s="1723"/>
      <c r="GU29" s="1722"/>
      <c r="GV29" s="1723"/>
      <c r="GW29" s="1723"/>
      <c r="GX29" s="1723"/>
      <c r="GY29" s="1723"/>
      <c r="GZ29" s="1723"/>
      <c r="HA29" s="1723"/>
      <c r="HB29" s="1723"/>
      <c r="HC29" s="1722"/>
      <c r="HD29" s="1723"/>
      <c r="HE29" s="1722"/>
      <c r="HF29" s="1722"/>
      <c r="HG29" s="1722"/>
      <c r="HH29" s="1722"/>
      <c r="HI29" s="1722"/>
      <c r="HJ29" s="1722"/>
      <c r="HK29" s="1722"/>
      <c r="HL29" s="6"/>
      <c r="HM29" s="6"/>
      <c r="HN29" s="6"/>
      <c r="HO29" s="6"/>
      <c r="HP29" s="6"/>
      <c r="HQ29" s="6"/>
      <c r="HR29" s="6"/>
      <c r="HS29" s="6"/>
      <c r="HT29" s="6"/>
      <c r="HU29" s="6"/>
      <c r="HV29" s="6"/>
      <c r="HW29" s="6"/>
      <c r="HX29" s="6"/>
      <c r="HY29" s="6"/>
      <c r="HZ29" s="6"/>
      <c r="IA29" s="6"/>
      <c r="IB29" s="6"/>
      <c r="IC29" s="6"/>
      <c r="ID29" s="6"/>
      <c r="IE29" s="6"/>
      <c r="IF29" s="6" t="s">
        <v>11045</v>
      </c>
      <c r="IG29" s="6" t="s">
        <v>18</v>
      </c>
      <c r="IH29" s="6" t="s">
        <v>1985</v>
      </c>
      <c r="II29" s="6" t="s">
        <v>11048</v>
      </c>
      <c r="IJ29" s="6" t="s">
        <v>11049</v>
      </c>
      <c r="IK29" s="6" t="s">
        <v>1888</v>
      </c>
      <c r="IL29" s="6" t="s">
        <v>8279</v>
      </c>
      <c r="IM29" s="1028"/>
      <c r="IN29" s="6" t="s">
        <v>11050</v>
      </c>
      <c r="IO29" s="1014">
        <v>24882</v>
      </c>
      <c r="IP29" s="6" t="s">
        <v>1306</v>
      </c>
      <c r="IQ29" s="6" t="s">
        <v>11051</v>
      </c>
      <c r="IR29" s="1019" t="s">
        <v>1964</v>
      </c>
      <c r="IS29" s="6" t="s">
        <v>1883</v>
      </c>
      <c r="IT29" s="6" t="s">
        <v>1208</v>
      </c>
      <c r="IU29" s="6"/>
      <c r="IV29" s="6" t="s">
        <v>11052</v>
      </c>
      <c r="IW29" s="6" t="s">
        <v>13039</v>
      </c>
      <c r="IX29" s="6" t="s">
        <v>12767</v>
      </c>
      <c r="IY29" s="6"/>
      <c r="IZ29" s="6"/>
      <c r="JA29" s="6" t="s">
        <v>1880</v>
      </c>
      <c r="JB29" s="6"/>
      <c r="JC29" s="6" t="s">
        <v>12768</v>
      </c>
      <c r="JD29" s="64"/>
      <c r="JE29" s="6">
        <v>10</v>
      </c>
      <c r="JF29" s="1688"/>
      <c r="JG29" s="1687"/>
      <c r="JH29" s="1687"/>
      <c r="JI29" s="1687"/>
      <c r="JJ29" s="6"/>
      <c r="JK29" s="6"/>
      <c r="JL29" s="6"/>
      <c r="JM29" s="6"/>
      <c r="JN29" s="6"/>
      <c r="JO29" s="6"/>
      <c r="JP29" s="6"/>
      <c r="JQ29" s="6"/>
      <c r="JR29" s="6"/>
      <c r="JS29" s="6"/>
      <c r="JT29" s="766"/>
      <c r="JU29" s="766"/>
      <c r="JV29" s="766"/>
      <c r="JW29" s="766"/>
      <c r="JX29" s="6"/>
      <c r="JY29" s="6"/>
      <c r="JZ29" s="6"/>
      <c r="KA29" s="6"/>
      <c r="KB29" s="6"/>
      <c r="KC29" s="6"/>
      <c r="KD29" s="6"/>
      <c r="KE29" s="6"/>
      <c r="KF29" s="6"/>
      <c r="KG29" s="6"/>
      <c r="KH29" s="6"/>
      <c r="KI29" s="6"/>
      <c r="KJ29" s="770"/>
      <c r="KK29" s="770"/>
      <c r="KL29" s="770"/>
      <c r="KM29" s="770"/>
      <c r="KN29" s="6"/>
      <c r="KO29" s="1688"/>
      <c r="KP29" s="6"/>
      <c r="KQ29" s="6"/>
      <c r="KR29" s="6"/>
      <c r="KS29" s="6"/>
      <c r="KT29" s="6"/>
      <c r="KU29" s="6"/>
      <c r="KV29" s="6"/>
      <c r="KW29" s="6"/>
      <c r="KX29" s="6"/>
      <c r="KY29" s="6"/>
      <c r="KZ29" s="6"/>
      <c r="LA29" s="6"/>
      <c r="LB29" s="6"/>
      <c r="LC29" s="6"/>
      <c r="LD29" s="6"/>
      <c r="LE29" s="6"/>
      <c r="LF29" s="6"/>
      <c r="LG29" s="6"/>
      <c r="LH29" s="6"/>
      <c r="LI29" s="6"/>
      <c r="LJ29" s="6"/>
      <c r="LK29" s="6"/>
      <c r="LL29" s="6"/>
      <c r="LM29" s="6"/>
      <c r="LN29" s="766"/>
      <c r="LO29" s="766"/>
      <c r="LP29" s="6"/>
      <c r="LQ29" s="1690"/>
      <c r="LR29" s="6"/>
      <c r="LS29" s="6"/>
      <c r="LT29" s="6"/>
      <c r="LU29" s="6"/>
      <c r="LV29" s="6"/>
      <c r="LW29" s="6"/>
      <c r="LX29" s="1693"/>
      <c r="LY29" s="766" t="str">
        <f t="shared" si="0"/>
        <v/>
      </c>
      <c r="LZ29" s="1694"/>
      <c r="MA29" s="1694"/>
      <c r="MB29" s="1694"/>
      <c r="MC29" s="1679">
        <f t="shared" si="1"/>
        <v>0</v>
      </c>
      <c r="MD29" s="1694"/>
      <c r="ME29" s="1694"/>
      <c r="MF29" s="1694"/>
      <c r="MG29" s="1680">
        <f t="shared" si="2"/>
        <v>0</v>
      </c>
      <c r="MH29" s="1690"/>
      <c r="MI29" s="64"/>
      <c r="MJ29" s="64"/>
      <c r="MK29" s="64"/>
      <c r="ML29" s="64"/>
      <c r="MM29" s="64"/>
      <c r="MN29" s="64"/>
      <c r="MO29" s="64"/>
      <c r="MP29" s="64"/>
      <c r="MQ29" s="64"/>
      <c r="MR29" s="64"/>
      <c r="MS29" s="64"/>
      <c r="MT29" s="64"/>
      <c r="MU29" s="64"/>
      <c r="MV29" s="64"/>
      <c r="MW29" s="64"/>
      <c r="MX29" s="64"/>
      <c r="MY29" s="1682">
        <f t="shared" si="3"/>
        <v>0</v>
      </c>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1687"/>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1026"/>
      <c r="RG29" s="6"/>
      <c r="RH29" s="64"/>
      <c r="RI29" s="6"/>
      <c r="RJ29" s="6" t="s">
        <v>13040</v>
      </c>
      <c r="RK29" s="6" t="s">
        <v>13013</v>
      </c>
      <c r="RL29" s="1691"/>
      <c r="RM29" s="1714"/>
      <c r="RN29" s="1724"/>
      <c r="RO29" s="169" t="s">
        <v>11041</v>
      </c>
      <c r="RR29" s="93"/>
      <c r="RS29" s="6"/>
      <c r="RV29" s="6" t="s">
        <v>7419</v>
      </c>
      <c r="RW29" s="1020" t="s">
        <v>11032</v>
      </c>
      <c r="RX29" s="1020" t="s">
        <v>8278</v>
      </c>
      <c r="SA29" s="6"/>
    </row>
    <row r="30" spans="1:497" s="1020" customFormat="1" ht="15" hidden="1" customHeight="1">
      <c r="A30" s="861" t="s">
        <v>12375</v>
      </c>
      <c r="B30" s="1120" t="s">
        <v>11954</v>
      </c>
      <c r="C30" s="169" t="s">
        <v>11015</v>
      </c>
      <c r="D30" s="6" t="s">
        <v>11016</v>
      </c>
      <c r="E30" s="6" t="s">
        <v>11017</v>
      </c>
      <c r="F30" s="6" t="s">
        <v>11018</v>
      </c>
      <c r="G30" s="6" t="s">
        <v>10</v>
      </c>
      <c r="H30" s="6"/>
      <c r="I30" s="1012" t="s">
        <v>11019</v>
      </c>
      <c r="J30" s="6"/>
      <c r="K30" s="6" t="s">
        <v>14077</v>
      </c>
      <c r="L30" s="6" t="s">
        <v>14083</v>
      </c>
      <c r="M30" s="6"/>
      <c r="N30" s="6" t="s">
        <v>11020</v>
      </c>
      <c r="O30" s="6" t="s">
        <v>11021</v>
      </c>
      <c r="P30" s="843" t="s">
        <v>11031</v>
      </c>
      <c r="Q30" s="1086">
        <v>32968</v>
      </c>
      <c r="R30" s="1015">
        <v>27</v>
      </c>
      <c r="S30" s="6" t="s">
        <v>10</v>
      </c>
      <c r="T30" s="6"/>
      <c r="U30" s="1016" t="s">
        <v>11019</v>
      </c>
      <c r="V30" s="6" t="s">
        <v>768</v>
      </c>
      <c r="W30" s="1016"/>
      <c r="X30" s="1014"/>
      <c r="Y30" s="6" t="s">
        <v>11017</v>
      </c>
      <c r="Z30" s="6" t="s">
        <v>708</v>
      </c>
      <c r="AA30" s="6" t="s">
        <v>709</v>
      </c>
      <c r="AB30" s="6" t="s">
        <v>710</v>
      </c>
      <c r="AC30" s="6"/>
      <c r="AD30" s="6" t="s">
        <v>711</v>
      </c>
      <c r="AE30" s="6"/>
      <c r="AF30" s="6" t="s">
        <v>712</v>
      </c>
      <c r="AG30" s="6"/>
      <c r="AH30" s="6"/>
      <c r="AI30" s="6"/>
      <c r="AJ30" s="6"/>
      <c r="AK30" s="766" t="s">
        <v>5454</v>
      </c>
      <c r="AL30" s="124"/>
      <c r="AM30" s="45"/>
      <c r="AN30" s="47"/>
      <c r="AO30" s="6"/>
      <c r="AP30" s="6"/>
      <c r="AQ30" s="6"/>
      <c r="AR30" s="6"/>
      <c r="AS30" s="6"/>
      <c r="AT30" s="6"/>
      <c r="AU30" s="6"/>
      <c r="AV30" s="6"/>
      <c r="AW30" s="6"/>
      <c r="AX30" s="1032"/>
      <c r="AY30" s="6"/>
      <c r="AZ30" s="6"/>
      <c r="BA30" s="6"/>
      <c r="BB30" s="6"/>
      <c r="BC30" s="6"/>
      <c r="BD30" s="6"/>
      <c r="BE30" s="6"/>
      <c r="BF30" s="64"/>
      <c r="BG30" s="64"/>
      <c r="BH30" s="6"/>
      <c r="BI30" s="6"/>
      <c r="BJ30" s="6"/>
      <c r="BK30" s="6" t="s">
        <v>1095</v>
      </c>
      <c r="BL30" s="6" t="s">
        <v>11023</v>
      </c>
      <c r="BM30" s="6" t="s">
        <v>1096</v>
      </c>
      <c r="BN30" s="6" t="s">
        <v>1230</v>
      </c>
      <c r="BO30" s="6" t="s">
        <v>1259</v>
      </c>
      <c r="BP30" s="1033">
        <v>114.81</v>
      </c>
      <c r="BQ30" s="46">
        <v>19.579999999999998</v>
      </c>
      <c r="BR30" s="47">
        <f>BQ30/BP30</f>
        <v>0.1705426356589147</v>
      </c>
      <c r="BS30" s="766" t="s">
        <v>1242</v>
      </c>
      <c r="BT30" s="1019" t="s">
        <v>1240</v>
      </c>
      <c r="BU30" s="1019" t="s">
        <v>1241</v>
      </c>
      <c r="BV30" s="1019" t="s">
        <v>11024</v>
      </c>
      <c r="BW30" s="1019"/>
      <c r="BX30" s="96"/>
      <c r="BY30" s="6"/>
      <c r="BZ30" s="64"/>
      <c r="CA30" s="6"/>
      <c r="CB30" s="6" t="s">
        <v>1207</v>
      </c>
      <c r="CC30" s="6" t="s">
        <v>11025</v>
      </c>
      <c r="CD30" s="6"/>
      <c r="CE30" s="6"/>
      <c r="CF30" s="1021">
        <v>2</v>
      </c>
      <c r="CG30" s="1021">
        <v>17.8</v>
      </c>
      <c r="CH30" s="6"/>
      <c r="CI30" s="6"/>
      <c r="CJ30" s="6" t="s">
        <v>11026</v>
      </c>
      <c r="CK30" s="6"/>
      <c r="CL30" s="6" t="s">
        <v>1240</v>
      </c>
      <c r="CM30" s="6"/>
      <c r="CN30" s="6"/>
      <c r="CO30" s="6" t="s">
        <v>1257</v>
      </c>
      <c r="CP30" s="6"/>
      <c r="CQ30" s="6"/>
      <c r="CR30" s="64"/>
      <c r="CS30" s="6"/>
      <c r="CT30" s="6"/>
      <c r="CU30" s="1022"/>
      <c r="CV30" s="6"/>
      <c r="CW30" s="6"/>
      <c r="CX30" s="6"/>
      <c r="CY30" s="6" t="s">
        <v>11025</v>
      </c>
      <c r="CZ30" s="6"/>
      <c r="DA30" s="6"/>
      <c r="DB30" s="6"/>
      <c r="DC30" s="6" t="s">
        <v>11027</v>
      </c>
      <c r="DD30" s="6" t="s">
        <v>11028</v>
      </c>
      <c r="DE30" s="6" t="s">
        <v>11029</v>
      </c>
      <c r="DF30" s="6">
        <v>12</v>
      </c>
      <c r="DG30" s="6"/>
      <c r="DH30" s="6"/>
      <c r="DI30" s="6"/>
      <c r="DJ30" s="6"/>
      <c r="DK30" s="6"/>
      <c r="DL30" s="6"/>
      <c r="DM30" s="6"/>
      <c r="DN30" s="6"/>
      <c r="DO30" s="6"/>
      <c r="DP30" s="6"/>
      <c r="DQ30" s="6"/>
      <c r="DR30" s="6"/>
      <c r="DS30" s="1023"/>
      <c r="DT30" s="6"/>
      <c r="DU30" s="6"/>
      <c r="DV30" s="6"/>
      <c r="DW30" s="1024"/>
      <c r="DX30" s="1024"/>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t="s">
        <v>11025</v>
      </c>
      <c r="FA30" s="6" t="s">
        <v>11030</v>
      </c>
      <c r="FB30" s="6"/>
      <c r="FC30" s="6"/>
      <c r="FD30" s="64"/>
      <c r="FE30" s="6"/>
      <c r="FF30" s="6"/>
      <c r="FG30" s="6"/>
      <c r="FH30" s="6" t="s">
        <v>478</v>
      </c>
      <c r="FI30" s="6">
        <v>1</v>
      </c>
      <c r="FJ30" s="6"/>
      <c r="FK30" s="6"/>
      <c r="FL30" s="6"/>
      <c r="FM30" s="64"/>
      <c r="FN30" s="64"/>
      <c r="FO30" s="64"/>
      <c r="FP30" s="6" t="s">
        <v>1600</v>
      </c>
      <c r="FQ30" s="6" t="s">
        <v>1642</v>
      </c>
      <c r="FR30" s="1019"/>
      <c r="FS30" s="1019"/>
      <c r="FT30" s="1019"/>
      <c r="FU30" s="6"/>
      <c r="FV30" s="6"/>
      <c r="FW30" s="6"/>
      <c r="FX30" s="6"/>
      <c r="FY30" s="6"/>
      <c r="FZ30" s="6"/>
      <c r="GA30" s="6"/>
      <c r="GB30" s="6"/>
      <c r="GC30" s="1028"/>
      <c r="GD30" s="1015"/>
      <c r="GE30" s="6"/>
      <c r="GF30" s="64"/>
      <c r="GG30" s="64"/>
      <c r="GH30" s="1722"/>
      <c r="GI30" s="1722"/>
      <c r="GJ30" s="1722"/>
      <c r="GK30" s="1722"/>
      <c r="GL30" s="1722"/>
      <c r="GM30" s="1722"/>
      <c r="GN30" s="1723"/>
      <c r="GO30" s="1723"/>
      <c r="GP30" s="1723"/>
      <c r="GQ30" s="1723"/>
      <c r="GR30" s="1723"/>
      <c r="GS30" s="1722"/>
      <c r="GT30" s="1723"/>
      <c r="GU30" s="1722"/>
      <c r="GV30" s="1723"/>
      <c r="GW30" s="1723"/>
      <c r="GX30" s="1723"/>
      <c r="GY30" s="1723"/>
      <c r="GZ30" s="1723"/>
      <c r="HA30" s="1723"/>
      <c r="HB30" s="1723"/>
      <c r="HC30" s="1722"/>
      <c r="HD30" s="1723"/>
      <c r="HE30" s="1722"/>
      <c r="HF30" s="1722"/>
      <c r="HG30" s="1722"/>
      <c r="HH30" s="1722"/>
      <c r="HI30" s="1722"/>
      <c r="HJ30" s="1722"/>
      <c r="HK30" s="1722"/>
      <c r="HL30" s="6"/>
      <c r="HM30" s="6"/>
      <c r="HN30" s="6"/>
      <c r="HO30" s="6"/>
      <c r="HP30" s="6"/>
      <c r="HQ30" s="6"/>
      <c r="HR30" s="6">
        <v>2</v>
      </c>
      <c r="HS30" s="6"/>
      <c r="HT30" s="6">
        <v>1</v>
      </c>
      <c r="HU30" s="6"/>
      <c r="HV30" s="6"/>
      <c r="HW30" s="6"/>
      <c r="HX30" s="6"/>
      <c r="HY30" s="6"/>
      <c r="HZ30" s="6"/>
      <c r="IA30" s="6"/>
      <c r="IB30" s="6"/>
      <c r="IC30" s="6"/>
      <c r="ID30" s="6"/>
      <c r="IE30" s="6"/>
      <c r="IF30" s="6"/>
      <c r="IG30" s="6"/>
      <c r="IH30" s="6"/>
      <c r="II30" s="6"/>
      <c r="IJ30" s="6"/>
      <c r="IK30" s="6"/>
      <c r="IL30" s="6"/>
      <c r="IM30" s="1028"/>
      <c r="IN30" s="6"/>
      <c r="IO30" s="1014"/>
      <c r="IP30" s="6"/>
      <c r="IQ30" s="6"/>
      <c r="IR30" s="6"/>
      <c r="IS30" s="6"/>
      <c r="IT30" s="6"/>
      <c r="IU30" s="6"/>
      <c r="IV30" s="6"/>
      <c r="IW30" s="6"/>
      <c r="IX30" s="6"/>
      <c r="IY30" s="6"/>
      <c r="IZ30" s="6"/>
      <c r="JA30" s="6"/>
      <c r="JB30" s="6"/>
      <c r="JC30" s="6"/>
      <c r="JD30" s="64"/>
      <c r="JE30" s="6"/>
      <c r="JF30" s="1688"/>
      <c r="JG30" s="1687"/>
      <c r="JH30" s="1687"/>
      <c r="JI30" s="1687"/>
      <c r="JJ30" s="6"/>
      <c r="JK30" s="6"/>
      <c r="JL30" s="6"/>
      <c r="JM30" s="6"/>
      <c r="JN30" s="6"/>
      <c r="JO30" s="6"/>
      <c r="JP30" s="6"/>
      <c r="JQ30" s="6"/>
      <c r="JR30" s="6"/>
      <c r="JS30" s="6"/>
      <c r="JT30" s="766"/>
      <c r="JU30" s="766"/>
      <c r="JV30" s="766"/>
      <c r="JW30" s="766"/>
      <c r="JX30" s="6"/>
      <c r="JY30" s="6"/>
      <c r="JZ30" s="6"/>
      <c r="KA30" s="6"/>
      <c r="KB30" s="6"/>
      <c r="KC30" s="6"/>
      <c r="KD30" s="6"/>
      <c r="KE30" s="6"/>
      <c r="KF30" s="6"/>
      <c r="KG30" s="6"/>
      <c r="KH30" s="6"/>
      <c r="KI30" s="6"/>
      <c r="KJ30" s="770"/>
      <c r="KK30" s="770"/>
      <c r="KL30" s="770"/>
      <c r="KM30" s="770"/>
      <c r="KN30" s="6"/>
      <c r="KO30" s="1688"/>
      <c r="KP30" s="6"/>
      <c r="KQ30" s="6"/>
      <c r="KR30" s="6"/>
      <c r="KS30" s="6"/>
      <c r="KT30" s="6"/>
      <c r="KU30" s="6"/>
      <c r="KV30" s="6"/>
      <c r="KW30" s="6"/>
      <c r="KX30" s="6"/>
      <c r="KY30" s="6"/>
      <c r="KZ30" s="6"/>
      <c r="LA30" s="6"/>
      <c r="LB30" s="6"/>
      <c r="LC30" s="6"/>
      <c r="LD30" s="6"/>
      <c r="LE30" s="6"/>
      <c r="LF30" s="6"/>
      <c r="LG30" s="6"/>
      <c r="LH30" s="6"/>
      <c r="LI30" s="6"/>
      <c r="LJ30" s="6"/>
      <c r="LK30" s="6"/>
      <c r="LL30" s="6"/>
      <c r="LM30" s="6"/>
      <c r="LN30" s="766"/>
      <c r="LO30" s="766"/>
      <c r="LP30" s="6"/>
      <c r="LQ30" s="1690"/>
      <c r="LR30" s="6"/>
      <c r="LS30" s="6"/>
      <c r="LT30" s="6"/>
      <c r="LU30" s="6"/>
      <c r="LV30" s="6"/>
      <c r="LW30" s="6"/>
      <c r="LX30" s="1693"/>
      <c r="LY30" s="766" t="str">
        <f t="shared" si="0"/>
        <v/>
      </c>
      <c r="LZ30" s="1694"/>
      <c r="MA30" s="1694"/>
      <c r="MB30" s="1694"/>
      <c r="MC30" s="1679">
        <f t="shared" si="1"/>
        <v>0</v>
      </c>
      <c r="MD30" s="1694"/>
      <c r="ME30" s="1694"/>
      <c r="MF30" s="1694"/>
      <c r="MG30" s="1680">
        <f t="shared" si="2"/>
        <v>0</v>
      </c>
      <c r="MH30" s="1690"/>
      <c r="MI30" s="64"/>
      <c r="MJ30" s="64"/>
      <c r="MK30" s="64"/>
      <c r="ML30" s="64"/>
      <c r="MM30" s="64"/>
      <c r="MN30" s="64"/>
      <c r="MO30" s="64"/>
      <c r="MP30" s="64"/>
      <c r="MQ30" s="64"/>
      <c r="MR30" s="64"/>
      <c r="MS30" s="64"/>
      <c r="MT30" s="64"/>
      <c r="MU30" s="64"/>
      <c r="MV30" s="64"/>
      <c r="MW30" s="64"/>
      <c r="MX30" s="64"/>
      <c r="MY30" s="1682">
        <f t="shared" si="3"/>
        <v>0</v>
      </c>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1687"/>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1026"/>
      <c r="RG30" s="6"/>
      <c r="RH30" s="64"/>
      <c r="RI30" s="6"/>
      <c r="RJ30" s="6" t="s">
        <v>13041</v>
      </c>
      <c r="RK30" s="6" t="s">
        <v>13042</v>
      </c>
      <c r="RL30" s="1691">
        <v>42899</v>
      </c>
      <c r="RM30" s="1714"/>
      <c r="RN30" s="1724"/>
      <c r="RO30" s="169" t="s">
        <v>11015</v>
      </c>
      <c r="RR30" s="93"/>
      <c r="RS30" s="6"/>
      <c r="RV30" s="6" t="s">
        <v>12375</v>
      </c>
      <c r="RW30" s="1020" t="s">
        <v>12393</v>
      </c>
      <c r="RX30" s="1020" t="s">
        <v>11041</v>
      </c>
      <c r="RY30" s="1020">
        <v>19.239999999999998</v>
      </c>
      <c r="RZ30" s="1020" t="s">
        <v>7419</v>
      </c>
      <c r="SA30" s="6"/>
    </row>
    <row r="31" spans="1:497" s="1020" customFormat="1" ht="15" hidden="1" customHeight="1">
      <c r="A31" s="861" t="s">
        <v>7419</v>
      </c>
      <c r="B31" s="1031" t="s">
        <v>12376</v>
      </c>
      <c r="C31" s="169" t="s">
        <v>11068</v>
      </c>
      <c r="D31" s="6" t="s">
        <v>11069</v>
      </c>
      <c r="E31" s="6" t="s">
        <v>11055</v>
      </c>
      <c r="F31" s="6" t="s">
        <v>28</v>
      </c>
      <c r="G31" s="6" t="s">
        <v>18</v>
      </c>
      <c r="H31" s="6"/>
      <c r="I31" s="1012" t="s">
        <v>11070</v>
      </c>
      <c r="J31" s="6"/>
      <c r="K31" s="6" t="s">
        <v>14084</v>
      </c>
      <c r="L31" s="6" t="s">
        <v>14085</v>
      </c>
      <c r="M31" s="6"/>
      <c r="N31" s="6" t="s">
        <v>11071</v>
      </c>
      <c r="O31" s="6" t="s">
        <v>11020</v>
      </c>
      <c r="P31" s="843" t="s">
        <v>12539</v>
      </c>
      <c r="Q31" s="1086">
        <v>22207</v>
      </c>
      <c r="R31" s="1015">
        <v>56</v>
      </c>
      <c r="S31" s="6" t="s">
        <v>18</v>
      </c>
      <c r="T31" s="6"/>
      <c r="U31" s="1016" t="s">
        <v>11070</v>
      </c>
      <c r="V31" s="6" t="s">
        <v>719</v>
      </c>
      <c r="W31" s="1016"/>
      <c r="X31" s="1014"/>
      <c r="Y31" s="6" t="s">
        <v>11055</v>
      </c>
      <c r="Z31" s="6" t="s">
        <v>708</v>
      </c>
      <c r="AA31" s="6" t="s">
        <v>709</v>
      </c>
      <c r="AB31" s="6" t="s">
        <v>12124</v>
      </c>
      <c r="AC31" s="6" t="s">
        <v>724</v>
      </c>
      <c r="AD31" s="6" t="s">
        <v>711</v>
      </c>
      <c r="AE31" s="6"/>
      <c r="AF31" s="6" t="s">
        <v>712</v>
      </c>
      <c r="AG31" s="6" t="s">
        <v>1095</v>
      </c>
      <c r="AH31" s="766" t="s">
        <v>1096</v>
      </c>
      <c r="AI31" s="6" t="s">
        <v>11061</v>
      </c>
      <c r="AJ31" s="6"/>
      <c r="AK31" s="766" t="s">
        <v>1097</v>
      </c>
      <c r="AL31" s="124">
        <v>175</v>
      </c>
      <c r="AM31" s="45">
        <v>36.47</v>
      </c>
      <c r="AN31" s="47">
        <f>AM31/AL31</f>
        <v>0.2084</v>
      </c>
      <c r="AO31" s="6" t="s">
        <v>1098</v>
      </c>
      <c r="AP31" s="6"/>
      <c r="AQ31" s="6"/>
      <c r="AR31" s="6"/>
      <c r="AS31" s="6" t="s">
        <v>1207</v>
      </c>
      <c r="AT31" s="6" t="s">
        <v>1208</v>
      </c>
      <c r="AU31" s="6" t="s">
        <v>1208</v>
      </c>
      <c r="AV31" s="6"/>
      <c r="AW31" s="6"/>
      <c r="AX31" s="1032"/>
      <c r="AY31" s="6"/>
      <c r="AZ31" s="6"/>
      <c r="BA31" s="6"/>
      <c r="BB31" s="6" t="s">
        <v>11061</v>
      </c>
      <c r="BC31" s="6" t="s">
        <v>853</v>
      </c>
      <c r="BD31" s="6" t="s">
        <v>1207</v>
      </c>
      <c r="BE31" s="6" t="s">
        <v>1214</v>
      </c>
      <c r="BF31" s="64"/>
      <c r="BG31" s="64"/>
      <c r="BH31" s="6"/>
      <c r="BI31" s="6"/>
      <c r="BJ31" s="6"/>
      <c r="BK31" s="6" t="s">
        <v>1095</v>
      </c>
      <c r="BL31" s="6" t="s">
        <v>11072</v>
      </c>
      <c r="BM31" s="6" t="s">
        <v>8108</v>
      </c>
      <c r="BN31" s="6" t="s">
        <v>1230</v>
      </c>
      <c r="BO31" s="766" t="s">
        <v>1246</v>
      </c>
      <c r="BP31" s="1033">
        <v>30.634</v>
      </c>
      <c r="BQ31" s="46">
        <v>15.23</v>
      </c>
      <c r="BR31" s="47">
        <f>BQ31/BP31</f>
        <v>0.49716001828034212</v>
      </c>
      <c r="BS31" s="6" t="s">
        <v>1149</v>
      </c>
      <c r="BT31" s="1019" t="s">
        <v>11073</v>
      </c>
      <c r="BU31" s="1019" t="s">
        <v>1249</v>
      </c>
      <c r="BV31" s="1019" t="s">
        <v>1247</v>
      </c>
      <c r="BW31" s="1019">
        <v>2006</v>
      </c>
      <c r="BX31" s="96"/>
      <c r="BY31" s="6"/>
      <c r="BZ31" s="64"/>
      <c r="CA31" s="6"/>
      <c r="CB31" s="6"/>
      <c r="CC31" s="6"/>
      <c r="CD31" s="6"/>
      <c r="CE31" s="6"/>
      <c r="CF31" s="1021"/>
      <c r="CG31" s="1021"/>
      <c r="CH31" s="6"/>
      <c r="CI31" s="6"/>
      <c r="CJ31" s="6"/>
      <c r="CK31" s="6"/>
      <c r="CL31" s="6"/>
      <c r="CM31" s="6"/>
      <c r="CN31" s="6"/>
      <c r="CO31" s="6"/>
      <c r="CP31" s="6"/>
      <c r="CQ31" s="6"/>
      <c r="CR31" s="64"/>
      <c r="CS31" s="6"/>
      <c r="CT31" s="6"/>
      <c r="CU31" s="1022"/>
      <c r="CV31" s="6"/>
      <c r="CW31" s="6"/>
      <c r="CX31" s="6"/>
      <c r="CY31" s="6"/>
      <c r="CZ31" s="6"/>
      <c r="DA31" s="6"/>
      <c r="DB31" s="6"/>
      <c r="DC31" s="6"/>
      <c r="DD31" s="6"/>
      <c r="DE31" s="6"/>
      <c r="DF31" s="6"/>
      <c r="DG31" s="6"/>
      <c r="DH31" s="6"/>
      <c r="DI31" s="6"/>
      <c r="DJ31" s="6"/>
      <c r="DK31" s="6"/>
      <c r="DL31" s="6"/>
      <c r="DM31" s="6"/>
      <c r="DN31" s="6"/>
      <c r="DO31" s="6"/>
      <c r="DP31" s="6"/>
      <c r="DQ31" s="6"/>
      <c r="DR31" s="6"/>
      <c r="DS31" s="1023"/>
      <c r="DT31" s="6"/>
      <c r="DU31" s="6"/>
      <c r="DV31" s="6"/>
      <c r="DW31" s="1024"/>
      <c r="DX31" s="1024"/>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4"/>
      <c r="FE31" s="6"/>
      <c r="FF31" s="6"/>
      <c r="FG31" s="6"/>
      <c r="FH31" s="6" t="s">
        <v>478</v>
      </c>
      <c r="FI31" s="6"/>
      <c r="FJ31" s="6"/>
      <c r="FK31" s="6"/>
      <c r="FL31" s="6"/>
      <c r="FM31" s="64"/>
      <c r="FN31" s="64"/>
      <c r="FO31" s="64"/>
      <c r="FP31" s="766" t="s">
        <v>1602</v>
      </c>
      <c r="FQ31" s="766" t="s">
        <v>1660</v>
      </c>
      <c r="FR31" s="1019" t="s">
        <v>1207</v>
      </c>
      <c r="FS31" s="1019" t="s">
        <v>1208</v>
      </c>
      <c r="FT31" s="1019" t="s">
        <v>1208</v>
      </c>
      <c r="FU31" s="6"/>
      <c r="FV31" s="6"/>
      <c r="FW31" s="6"/>
      <c r="FX31" s="6"/>
      <c r="FY31" s="6"/>
      <c r="FZ31" s="6"/>
      <c r="GA31" s="6"/>
      <c r="GB31" s="6" t="s">
        <v>1734</v>
      </c>
      <c r="GC31" s="1028"/>
      <c r="GD31" s="1015">
        <v>2006</v>
      </c>
      <c r="GE31" s="6" t="s">
        <v>1214</v>
      </c>
      <c r="GF31" s="64"/>
      <c r="GG31" s="64"/>
      <c r="GH31" s="1722"/>
      <c r="GI31" s="1722"/>
      <c r="GJ31" s="1722"/>
      <c r="GK31" s="1722"/>
      <c r="GL31" s="1722"/>
      <c r="GM31" s="1722"/>
      <c r="GN31" s="1723"/>
      <c r="GO31" s="1723"/>
      <c r="GP31" s="1723"/>
      <c r="GQ31" s="1723"/>
      <c r="GR31" s="1723"/>
      <c r="GS31" s="1722"/>
      <c r="GT31" s="1723"/>
      <c r="GU31" s="1722"/>
      <c r="GV31" s="1723"/>
      <c r="GW31" s="1723"/>
      <c r="GX31" s="1723"/>
      <c r="GY31" s="1723"/>
      <c r="GZ31" s="1723"/>
      <c r="HA31" s="1723"/>
      <c r="HB31" s="1723"/>
      <c r="HC31" s="1722"/>
      <c r="HD31" s="1723"/>
      <c r="HE31" s="1722"/>
      <c r="HF31" s="1722"/>
      <c r="HG31" s="1722"/>
      <c r="HH31" s="1722"/>
      <c r="HI31" s="1722"/>
      <c r="HJ31" s="1722"/>
      <c r="HK31" s="1722"/>
      <c r="HL31" s="6"/>
      <c r="HM31" s="6"/>
      <c r="HN31" s="6"/>
      <c r="HO31" s="6"/>
      <c r="HP31" s="6"/>
      <c r="HQ31" s="6"/>
      <c r="HR31" s="6"/>
      <c r="HS31" s="6"/>
      <c r="HT31" s="6"/>
      <c r="HU31" s="6"/>
      <c r="HV31" s="6"/>
      <c r="HW31" s="6"/>
      <c r="HX31" s="6"/>
      <c r="HY31" s="6"/>
      <c r="HZ31" s="6"/>
      <c r="IA31" s="6"/>
      <c r="IB31" s="14" t="e">
        <f>IF(#REF!&gt;0,IF(#REF!&lt;=10000,"Y",""),"")</f>
        <v>#REF!</v>
      </c>
      <c r="IC31" s="6" t="s">
        <v>1207</v>
      </c>
      <c r="ID31" s="6"/>
      <c r="IE31" s="6"/>
      <c r="IF31" s="6" t="s">
        <v>11069</v>
      </c>
      <c r="IG31" s="6" t="s">
        <v>18</v>
      </c>
      <c r="IH31" s="6" t="s">
        <v>478</v>
      </c>
      <c r="II31" s="6" t="s">
        <v>11055</v>
      </c>
      <c r="IJ31" s="6" t="s">
        <v>11074</v>
      </c>
      <c r="IK31" s="6" t="s">
        <v>1888</v>
      </c>
      <c r="IL31" s="6" t="s">
        <v>11075</v>
      </c>
      <c r="IM31" s="1028">
        <v>2014</v>
      </c>
      <c r="IN31" s="6" t="s">
        <v>11075</v>
      </c>
      <c r="IO31" s="1014">
        <v>22207</v>
      </c>
      <c r="IP31" s="6" t="s">
        <v>478</v>
      </c>
      <c r="IQ31" s="1019" t="s">
        <v>11076</v>
      </c>
      <c r="IR31" s="6" t="s">
        <v>1964</v>
      </c>
      <c r="IS31" s="6" t="s">
        <v>1931</v>
      </c>
      <c r="IT31" s="6"/>
      <c r="IU31" s="6" t="s">
        <v>1208</v>
      </c>
      <c r="IV31" s="6"/>
      <c r="IW31" s="6" t="s">
        <v>13043</v>
      </c>
      <c r="IX31" s="6"/>
      <c r="IY31" s="6" t="s">
        <v>11070</v>
      </c>
      <c r="IZ31" s="6"/>
      <c r="JA31" s="6" t="s">
        <v>1886</v>
      </c>
      <c r="JB31" s="6" t="s">
        <v>12769</v>
      </c>
      <c r="JC31" s="6"/>
      <c r="JD31" s="64"/>
      <c r="JE31" s="6"/>
      <c r="JF31" s="1688"/>
      <c r="JG31" s="1687"/>
      <c r="JH31" s="1687"/>
      <c r="JI31" s="1687"/>
      <c r="JJ31" s="1698">
        <v>4</v>
      </c>
      <c r="JK31" s="1047" t="s">
        <v>11075</v>
      </c>
      <c r="JL31" s="6"/>
      <c r="JM31" s="6"/>
      <c r="JN31" s="6">
        <v>2</v>
      </c>
      <c r="JO31" s="6">
        <v>2</v>
      </c>
      <c r="JP31" s="6"/>
      <c r="JQ31" s="6"/>
      <c r="JR31" s="6"/>
      <c r="JS31" s="6"/>
      <c r="JT31" s="766">
        <f>SUM(JP31,JN31,JL31,JR31)</f>
        <v>2</v>
      </c>
      <c r="JU31" s="766">
        <f>SUM(JQ31,JO31,JM31,JS31)</f>
        <v>2</v>
      </c>
      <c r="JV31" s="712" t="str">
        <f>IF(JT31=KJ31,"ok","male")</f>
        <v>ok</v>
      </c>
      <c r="JW31" s="712" t="str">
        <f>IF(JU31=KK31,"ok","female")</f>
        <v>ok</v>
      </c>
      <c r="JX31" s="6"/>
      <c r="JY31" s="6"/>
      <c r="JZ31" s="6"/>
      <c r="KA31" s="6"/>
      <c r="KB31" s="6">
        <v>1</v>
      </c>
      <c r="KC31" s="6">
        <v>1</v>
      </c>
      <c r="KD31" s="6">
        <v>1</v>
      </c>
      <c r="KE31" s="6">
        <v>1</v>
      </c>
      <c r="KF31" s="6"/>
      <c r="KG31" s="6"/>
      <c r="KH31" s="6"/>
      <c r="KI31" s="6"/>
      <c r="KJ31" s="770">
        <f>SUM(KF31,KD31,KB31,JZ31,JX31,KH31)</f>
        <v>2</v>
      </c>
      <c r="KK31" s="770">
        <f>SUM(KG31,KE31,KC31,KA31,JY31,KI31)</f>
        <v>2</v>
      </c>
      <c r="KL31" s="712" t="str">
        <f>IF(KJ31=LN31,"ok","male")</f>
        <v>ok</v>
      </c>
      <c r="KM31" s="712" t="str">
        <f>IF(KK31=LO31,"ok","female")</f>
        <v>ok</v>
      </c>
      <c r="KN31" s="6" t="s">
        <v>719</v>
      </c>
      <c r="KO31" s="1688"/>
      <c r="KP31" s="6"/>
      <c r="KQ31" s="6"/>
      <c r="KR31" s="6"/>
      <c r="KS31" s="6"/>
      <c r="KT31" s="6"/>
      <c r="KU31" s="6"/>
      <c r="KV31" s="6"/>
      <c r="KW31" s="6">
        <v>1</v>
      </c>
      <c r="KX31" s="6"/>
      <c r="KY31" s="6"/>
      <c r="KZ31" s="6"/>
      <c r="LA31" s="6"/>
      <c r="LB31" s="6">
        <v>1</v>
      </c>
      <c r="LC31" s="6">
        <v>1</v>
      </c>
      <c r="LD31" s="6">
        <v>1</v>
      </c>
      <c r="LE31" s="6"/>
      <c r="LF31" s="6"/>
      <c r="LG31" s="6"/>
      <c r="LH31" s="6"/>
      <c r="LI31" s="6"/>
      <c r="LJ31" s="6"/>
      <c r="LK31" s="6"/>
      <c r="LL31" s="6"/>
      <c r="LM31" s="6"/>
      <c r="LN31" s="766">
        <f>SUM(KP31,KR31,KT31,KV31,KX31,KZ31,LB31,LD31,LF31,LH31,LJ31,LL31)</f>
        <v>2</v>
      </c>
      <c r="LO31" s="766">
        <f>SUM(KQ31,KS31,KU31,KW31,KY31,LA31,LC31,LE31,LG31,LI31,LK31,LM31)</f>
        <v>2</v>
      </c>
      <c r="LP31" s="6">
        <v>3</v>
      </c>
      <c r="LQ31" s="1690">
        <v>2</v>
      </c>
      <c r="LR31" s="6">
        <v>1</v>
      </c>
      <c r="LS31" s="6"/>
      <c r="LT31" s="712" t="str">
        <f>IF(LQ31=SUM(LU31:LW31),"OK","REV")</f>
        <v>OK</v>
      </c>
      <c r="LU31" s="6">
        <v>2</v>
      </c>
      <c r="LV31" s="6"/>
      <c r="LW31" s="6"/>
      <c r="LX31" s="1693">
        <v>1</v>
      </c>
      <c r="LY31" s="766" t="str">
        <f t="shared" si="0"/>
        <v>within the BRGY</v>
      </c>
      <c r="LZ31" s="1694">
        <f>(20*26)+(40*26)</f>
        <v>1560</v>
      </c>
      <c r="MA31" s="1694"/>
      <c r="MB31" s="1694"/>
      <c r="MC31" s="1679">
        <f t="shared" si="1"/>
        <v>1560</v>
      </c>
      <c r="MD31" s="1694">
        <f>16000+15000</f>
        <v>31000</v>
      </c>
      <c r="ME31" s="1694">
        <v>4650</v>
      </c>
      <c r="MF31" s="1694"/>
      <c r="MG31" s="1680">
        <f t="shared" si="2"/>
        <v>35650</v>
      </c>
      <c r="MH31" s="1690" t="s">
        <v>1898</v>
      </c>
      <c r="MI31" s="64">
        <f>300*30</f>
        <v>9000</v>
      </c>
      <c r="MJ31" s="64"/>
      <c r="MK31" s="64">
        <f>1000/12</f>
        <v>83.333333333333329</v>
      </c>
      <c r="ML31" s="64">
        <v>1000</v>
      </c>
      <c r="MM31" s="64"/>
      <c r="MN31" s="64"/>
      <c r="MO31" s="64">
        <v>500</v>
      </c>
      <c r="MP31" s="64">
        <v>1200</v>
      </c>
      <c r="MQ31" s="64">
        <v>400</v>
      </c>
      <c r="MR31" s="64">
        <v>250</v>
      </c>
      <c r="MS31" s="64"/>
      <c r="MT31" s="64"/>
      <c r="MU31" s="64"/>
      <c r="MV31" s="64"/>
      <c r="MW31" s="64"/>
      <c r="MX31" s="64"/>
      <c r="MY31" s="1682">
        <f t="shared" si="3"/>
        <v>12433.333333333334</v>
      </c>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1834" t="s">
        <v>13034</v>
      </c>
      <c r="OG31" s="6"/>
      <c r="OH31" s="6"/>
      <c r="OI31" s="6"/>
      <c r="OJ31" s="6"/>
      <c r="OK31" s="1687"/>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1026"/>
      <c r="RG31" s="6"/>
      <c r="RH31" s="64"/>
      <c r="RI31" s="6"/>
      <c r="RJ31" s="6" t="s">
        <v>11075</v>
      </c>
      <c r="RK31" s="6" t="s">
        <v>13042</v>
      </c>
      <c r="RL31" s="1691"/>
      <c r="RM31" s="1714" t="s">
        <v>13038</v>
      </c>
      <c r="RN31" s="1724">
        <v>42901</v>
      </c>
      <c r="RO31" s="169" t="s">
        <v>11068</v>
      </c>
      <c r="RR31" s="861" t="s">
        <v>7419</v>
      </c>
      <c r="RS31" s="1139" t="s">
        <v>12980</v>
      </c>
      <c r="RV31" s="6" t="s">
        <v>12375</v>
      </c>
      <c r="RW31" s="1020" t="s">
        <v>11044</v>
      </c>
      <c r="RX31" s="1020" t="s">
        <v>11041</v>
      </c>
      <c r="RY31" s="1020">
        <v>11.52</v>
      </c>
      <c r="RZ31" s="1020" t="s">
        <v>7419</v>
      </c>
      <c r="SA31" s="6"/>
    </row>
    <row r="32" spans="1:497" s="1020" customFormat="1" ht="15" hidden="1" customHeight="1">
      <c r="A32" s="861" t="s">
        <v>12377</v>
      </c>
      <c r="B32" s="1120" t="s">
        <v>11913</v>
      </c>
      <c r="C32" s="169" t="s">
        <v>11053</v>
      </c>
      <c r="D32" s="6" t="s">
        <v>11054</v>
      </c>
      <c r="E32" s="6" t="s">
        <v>11055</v>
      </c>
      <c r="F32" s="6" t="s">
        <v>20</v>
      </c>
      <c r="G32" s="6" t="s">
        <v>18</v>
      </c>
      <c r="H32" s="6"/>
      <c r="I32" s="1012" t="s">
        <v>11056</v>
      </c>
      <c r="J32" s="6" t="s">
        <v>11057</v>
      </c>
      <c r="K32" s="6" t="s">
        <v>14086</v>
      </c>
      <c r="L32" s="6" t="s">
        <v>14087</v>
      </c>
      <c r="M32" s="6"/>
      <c r="N32" s="6" t="s">
        <v>11021</v>
      </c>
      <c r="O32" s="6" t="s">
        <v>11037</v>
      </c>
      <c r="P32" s="6" t="s">
        <v>11058</v>
      </c>
      <c r="Q32" s="1086">
        <v>19156</v>
      </c>
      <c r="R32" s="1015"/>
      <c r="S32" s="6" t="s">
        <v>10</v>
      </c>
      <c r="T32" s="6"/>
      <c r="U32" s="1012" t="s">
        <v>11056</v>
      </c>
      <c r="V32" s="6" t="s">
        <v>707</v>
      </c>
      <c r="W32" s="1016" t="s">
        <v>11059</v>
      </c>
      <c r="X32" s="1014">
        <v>18116</v>
      </c>
      <c r="Y32" s="6" t="s">
        <v>11060</v>
      </c>
      <c r="Z32" s="6"/>
      <c r="AA32" s="6"/>
      <c r="AB32" s="6" t="s">
        <v>710</v>
      </c>
      <c r="AC32" s="6"/>
      <c r="AD32" s="6" t="s">
        <v>711</v>
      </c>
      <c r="AE32" s="6" t="s">
        <v>1073</v>
      </c>
      <c r="AF32" s="6" t="s">
        <v>712</v>
      </c>
      <c r="AG32" s="6"/>
      <c r="AH32" s="6"/>
      <c r="AI32" s="6"/>
      <c r="AJ32" s="6"/>
      <c r="AK32" s="766" t="s">
        <v>5454</v>
      </c>
      <c r="AL32" s="124"/>
      <c r="AM32" s="45"/>
      <c r="AN32" s="47"/>
      <c r="AO32" s="6"/>
      <c r="AP32" s="6"/>
      <c r="AQ32" s="6"/>
      <c r="AR32" s="6"/>
      <c r="AS32" s="6" t="s">
        <v>1207</v>
      </c>
      <c r="AT32" s="6" t="s">
        <v>1208</v>
      </c>
      <c r="AU32" s="6" t="s">
        <v>1208</v>
      </c>
      <c r="AV32" s="6"/>
      <c r="AW32" s="6"/>
      <c r="AX32" s="1032"/>
      <c r="AY32" s="6"/>
      <c r="AZ32" s="6"/>
      <c r="BA32" s="6"/>
      <c r="BB32" s="6" t="s">
        <v>11061</v>
      </c>
      <c r="BC32" s="6" t="s">
        <v>853</v>
      </c>
      <c r="BD32" s="6" t="s">
        <v>1207</v>
      </c>
      <c r="BE32" s="6" t="s">
        <v>1214</v>
      </c>
      <c r="BF32" s="64"/>
      <c r="BG32" s="64"/>
      <c r="BH32" s="6"/>
      <c r="BI32" s="6"/>
      <c r="BJ32" s="6"/>
      <c r="BK32" s="6" t="s">
        <v>1095</v>
      </c>
      <c r="BL32" s="6" t="s">
        <v>11062</v>
      </c>
      <c r="BM32" s="6" t="s">
        <v>1096</v>
      </c>
      <c r="BN32" s="6" t="s">
        <v>1230</v>
      </c>
      <c r="BO32" s="1019" t="s">
        <v>1252</v>
      </c>
      <c r="BP32" s="1033">
        <v>19.32</v>
      </c>
      <c r="BQ32" s="46">
        <v>2.2999999999999998</v>
      </c>
      <c r="BR32" s="47">
        <f t="shared" si="5"/>
        <v>0.11904761904761904</v>
      </c>
      <c r="BS32" s="766" t="s">
        <v>1242</v>
      </c>
      <c r="BT32" s="1019" t="s">
        <v>1240</v>
      </c>
      <c r="BU32" s="1019" t="s">
        <v>11063</v>
      </c>
      <c r="BV32" s="1019" t="s">
        <v>1247</v>
      </c>
      <c r="BW32" s="1019">
        <v>1978</v>
      </c>
      <c r="BX32" s="96"/>
      <c r="BY32" s="6" t="s">
        <v>1207</v>
      </c>
      <c r="BZ32" s="64"/>
      <c r="CA32" s="6"/>
      <c r="CB32" s="6" t="s">
        <v>1207</v>
      </c>
      <c r="CC32" s="6" t="s">
        <v>11062</v>
      </c>
      <c r="CD32" s="6"/>
      <c r="CE32" s="6"/>
      <c r="CF32" s="1021"/>
      <c r="CG32" s="1021"/>
      <c r="CH32" s="6" t="s">
        <v>11064</v>
      </c>
      <c r="CI32" s="6"/>
      <c r="CJ32" s="6"/>
      <c r="CK32" s="6"/>
      <c r="CL32" s="6"/>
      <c r="CM32" s="6"/>
      <c r="CN32" s="6"/>
      <c r="CO32" s="6" t="s">
        <v>1257</v>
      </c>
      <c r="CP32" s="6"/>
      <c r="CQ32" s="6"/>
      <c r="CR32" s="64"/>
      <c r="CS32" s="6"/>
      <c r="CT32" s="6"/>
      <c r="CU32" s="1022"/>
      <c r="CV32" s="6"/>
      <c r="CW32" s="6"/>
      <c r="CX32" s="6"/>
      <c r="CY32" s="6"/>
      <c r="CZ32" s="6"/>
      <c r="DA32" s="6"/>
      <c r="DB32" s="6"/>
      <c r="DC32" s="6"/>
      <c r="DD32" s="6"/>
      <c r="DE32" s="6"/>
      <c r="DF32" s="6"/>
      <c r="DG32" s="6"/>
      <c r="DH32" s="6"/>
      <c r="DI32" s="6"/>
      <c r="DJ32" s="6"/>
      <c r="DK32" s="6"/>
      <c r="DL32" s="6"/>
      <c r="DM32" s="6"/>
      <c r="DN32" s="6"/>
      <c r="DO32" s="6"/>
      <c r="DP32" s="6"/>
      <c r="DQ32" s="6"/>
      <c r="DR32" s="6"/>
      <c r="DS32" s="1023"/>
      <c r="DT32" s="6"/>
      <c r="DU32" s="6"/>
      <c r="DV32" s="6"/>
      <c r="DW32" s="1024"/>
      <c r="DX32" s="1024"/>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t="s">
        <v>11062</v>
      </c>
      <c r="FA32" s="6" t="s">
        <v>11065</v>
      </c>
      <c r="FB32" s="6" t="s">
        <v>1257</v>
      </c>
      <c r="FC32" s="6"/>
      <c r="FD32" s="64"/>
      <c r="FE32" s="6" t="s">
        <v>11066</v>
      </c>
      <c r="FF32" s="6"/>
      <c r="FG32" s="6"/>
      <c r="FH32" s="6" t="s">
        <v>478</v>
      </c>
      <c r="FI32" s="6">
        <v>1</v>
      </c>
      <c r="FJ32" s="6"/>
      <c r="FK32" s="6"/>
      <c r="FL32" s="6"/>
      <c r="FM32" s="64"/>
      <c r="FN32" s="64"/>
      <c r="FO32" s="64"/>
      <c r="FP32" s="6" t="s">
        <v>1600</v>
      </c>
      <c r="FQ32" s="6" t="s">
        <v>1642</v>
      </c>
      <c r="FR32" s="1019" t="s">
        <v>1207</v>
      </c>
      <c r="FS32" s="1019" t="s">
        <v>1208</v>
      </c>
      <c r="FT32" s="1019" t="s">
        <v>1208</v>
      </c>
      <c r="FU32" s="6"/>
      <c r="FV32" s="6"/>
      <c r="FW32" s="6"/>
      <c r="FX32" s="6"/>
      <c r="FY32" s="6"/>
      <c r="FZ32" s="6"/>
      <c r="GA32" s="6"/>
      <c r="GB32" s="6" t="s">
        <v>1734</v>
      </c>
      <c r="GC32" s="1028"/>
      <c r="GD32" s="1015">
        <v>1978</v>
      </c>
      <c r="GE32" s="6" t="s">
        <v>1214</v>
      </c>
      <c r="GF32" s="64"/>
      <c r="GG32" s="64"/>
      <c r="GH32" s="1722"/>
      <c r="GI32" s="1722"/>
      <c r="GJ32" s="1722"/>
      <c r="GK32" s="1722"/>
      <c r="GL32" s="1722"/>
      <c r="GM32" s="1722"/>
      <c r="GN32" s="1723"/>
      <c r="GO32" s="1723"/>
      <c r="GP32" s="1723"/>
      <c r="GQ32" s="1723"/>
      <c r="GR32" s="1723"/>
      <c r="GS32" s="1722"/>
      <c r="GT32" s="1723"/>
      <c r="GU32" s="1722"/>
      <c r="GV32" s="1723"/>
      <c r="GW32" s="1723"/>
      <c r="GX32" s="1723"/>
      <c r="GY32" s="1723"/>
      <c r="GZ32" s="1723"/>
      <c r="HA32" s="1723"/>
      <c r="HB32" s="1723"/>
      <c r="HC32" s="1722"/>
      <c r="HD32" s="1723"/>
      <c r="HE32" s="1722"/>
      <c r="HF32" s="1722"/>
      <c r="HG32" s="1722"/>
      <c r="HH32" s="1722"/>
      <c r="HI32" s="1722"/>
      <c r="HJ32" s="1722"/>
      <c r="HK32" s="1722"/>
      <c r="HL32" s="6"/>
      <c r="HM32" s="6"/>
      <c r="HN32" s="6"/>
      <c r="HO32" s="6"/>
      <c r="HP32" s="6"/>
      <c r="HQ32" s="6"/>
      <c r="HR32" s="6"/>
      <c r="HS32" s="6">
        <v>4</v>
      </c>
      <c r="HT32" s="6"/>
      <c r="HU32" s="6"/>
      <c r="HV32" s="6"/>
      <c r="HW32" s="6"/>
      <c r="HX32" s="6"/>
      <c r="HY32" s="6"/>
      <c r="HZ32" s="6"/>
      <c r="IA32" s="6"/>
      <c r="IB32" s="6" t="s">
        <v>1207</v>
      </c>
      <c r="IC32" s="6"/>
      <c r="ID32" s="6" t="s">
        <v>11067</v>
      </c>
      <c r="IE32" s="6"/>
      <c r="IF32" s="6"/>
      <c r="IG32" s="6"/>
      <c r="IH32" s="6"/>
      <c r="II32" s="6"/>
      <c r="IJ32" s="6"/>
      <c r="IK32" s="6"/>
      <c r="IL32" s="6"/>
      <c r="IM32" s="1028"/>
      <c r="IN32" s="6"/>
      <c r="IO32" s="1014"/>
      <c r="IP32" s="6"/>
      <c r="IQ32" s="6"/>
      <c r="IR32" s="6"/>
      <c r="IS32" s="6"/>
      <c r="IT32" s="6"/>
      <c r="IU32" s="6"/>
      <c r="IV32" s="6"/>
      <c r="IW32" s="6"/>
      <c r="IX32" s="6"/>
      <c r="IY32" s="6"/>
      <c r="IZ32" s="6"/>
      <c r="JA32" s="6"/>
      <c r="JB32" s="6"/>
      <c r="JC32" s="6"/>
      <c r="JD32" s="64"/>
      <c r="JE32" s="6"/>
      <c r="JF32" s="1688"/>
      <c r="JG32" s="1687"/>
      <c r="JH32" s="1687"/>
      <c r="JI32" s="1687"/>
      <c r="JJ32" s="6"/>
      <c r="JK32" s="6"/>
      <c r="JL32" s="6"/>
      <c r="JM32" s="6"/>
      <c r="JN32" s="6"/>
      <c r="JO32" s="6"/>
      <c r="JP32" s="6"/>
      <c r="JQ32" s="6"/>
      <c r="JR32" s="6"/>
      <c r="JS32" s="6"/>
      <c r="JT32" s="766"/>
      <c r="JU32" s="766"/>
      <c r="JV32" s="766"/>
      <c r="JW32" s="766"/>
      <c r="JX32" s="6"/>
      <c r="JY32" s="6"/>
      <c r="JZ32" s="6"/>
      <c r="KA32" s="6"/>
      <c r="KB32" s="6"/>
      <c r="KC32" s="6"/>
      <c r="KD32" s="6"/>
      <c r="KE32" s="6"/>
      <c r="KF32" s="6"/>
      <c r="KG32" s="6"/>
      <c r="KH32" s="6"/>
      <c r="KI32" s="6"/>
      <c r="KJ32" s="770"/>
      <c r="KK32" s="770"/>
      <c r="KL32" s="770"/>
      <c r="KM32" s="770"/>
      <c r="KN32" s="6"/>
      <c r="KO32" s="1688"/>
      <c r="KP32" s="6"/>
      <c r="KQ32" s="6"/>
      <c r="KR32" s="6"/>
      <c r="KS32" s="6"/>
      <c r="KT32" s="6"/>
      <c r="KU32" s="6"/>
      <c r="KV32" s="6"/>
      <c r="KW32" s="6"/>
      <c r="KX32" s="6"/>
      <c r="KY32" s="6"/>
      <c r="KZ32" s="6"/>
      <c r="LA32" s="6"/>
      <c r="LB32" s="6"/>
      <c r="LC32" s="6"/>
      <c r="LD32" s="6"/>
      <c r="LE32" s="6"/>
      <c r="LF32" s="6"/>
      <c r="LG32" s="6"/>
      <c r="LH32" s="6"/>
      <c r="LI32" s="6"/>
      <c r="LJ32" s="6"/>
      <c r="LK32" s="6"/>
      <c r="LL32" s="6"/>
      <c r="LM32" s="6"/>
      <c r="LN32" s="766"/>
      <c r="LO32" s="766"/>
      <c r="LP32" s="6"/>
      <c r="LQ32" s="1690"/>
      <c r="LR32" s="6"/>
      <c r="LS32" s="6"/>
      <c r="LT32" s="6"/>
      <c r="LU32" s="6"/>
      <c r="LV32" s="6"/>
      <c r="LW32" s="6"/>
      <c r="LX32" s="1693"/>
      <c r="LY32" s="766" t="str">
        <f t="shared" si="0"/>
        <v/>
      </c>
      <c r="LZ32" s="1694"/>
      <c r="MA32" s="1694"/>
      <c r="MB32" s="1694"/>
      <c r="MC32" s="1679">
        <f t="shared" si="1"/>
        <v>0</v>
      </c>
      <c r="MD32" s="1694"/>
      <c r="ME32" s="1694"/>
      <c r="MF32" s="1694"/>
      <c r="MG32" s="1680">
        <f t="shared" si="2"/>
        <v>0</v>
      </c>
      <c r="MH32" s="1690"/>
      <c r="MI32" s="64"/>
      <c r="MJ32" s="64"/>
      <c r="MK32" s="64"/>
      <c r="ML32" s="64"/>
      <c r="MM32" s="64"/>
      <c r="MN32" s="64"/>
      <c r="MO32" s="64"/>
      <c r="MP32" s="64"/>
      <c r="MQ32" s="64"/>
      <c r="MR32" s="64"/>
      <c r="MS32" s="64"/>
      <c r="MT32" s="64"/>
      <c r="MU32" s="64"/>
      <c r="MV32" s="64"/>
      <c r="MW32" s="64"/>
      <c r="MX32" s="64"/>
      <c r="MY32" s="1682">
        <f t="shared" si="3"/>
        <v>0</v>
      </c>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1687"/>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1026"/>
      <c r="RG32" s="6"/>
      <c r="RH32" s="64"/>
      <c r="RI32" s="6"/>
      <c r="RJ32" s="6" t="s">
        <v>11062</v>
      </c>
      <c r="RK32" s="6" t="s">
        <v>13042</v>
      </c>
      <c r="RL32" s="1691"/>
      <c r="RM32" s="1714"/>
      <c r="RN32" s="1724"/>
      <c r="RO32" s="169" t="s">
        <v>11053</v>
      </c>
      <c r="RR32" s="93"/>
      <c r="RS32" s="6"/>
      <c r="RV32" s="6" t="s">
        <v>12375</v>
      </c>
      <c r="RW32" s="1020" t="s">
        <v>11954</v>
      </c>
      <c r="RX32" s="1020" t="s">
        <v>11015</v>
      </c>
      <c r="RY32" s="1020">
        <v>2.83</v>
      </c>
      <c r="RZ32" s="1020" t="s">
        <v>7419</v>
      </c>
      <c r="SA32" s="6"/>
    </row>
    <row r="33" spans="1:495" s="1020" customFormat="1" ht="12.75" hidden="1" customHeight="1">
      <c r="A33" s="861" t="s">
        <v>12377</v>
      </c>
      <c r="B33" s="1120" t="s">
        <v>12394</v>
      </c>
      <c r="C33" s="169" t="s">
        <v>8287</v>
      </c>
      <c r="D33" s="6" t="s">
        <v>11054</v>
      </c>
      <c r="E33" s="6" t="s">
        <v>11055</v>
      </c>
      <c r="F33" s="6" t="s">
        <v>2371</v>
      </c>
      <c r="G33" s="6" t="s">
        <v>18</v>
      </c>
      <c r="H33" s="6"/>
      <c r="I33" s="1012" t="s">
        <v>11077</v>
      </c>
      <c r="J33" s="6" t="s">
        <v>11078</v>
      </c>
      <c r="K33" s="6" t="s">
        <v>14088</v>
      </c>
      <c r="L33" s="6" t="s">
        <v>14085</v>
      </c>
      <c r="M33" s="6"/>
      <c r="N33" s="6" t="s">
        <v>11071</v>
      </c>
      <c r="O33" s="6" t="s">
        <v>11020</v>
      </c>
      <c r="P33" s="843"/>
      <c r="Q33" s="1086"/>
      <c r="R33" s="1015"/>
      <c r="S33" s="6"/>
      <c r="T33" s="6"/>
      <c r="U33" s="1016"/>
      <c r="V33" s="6"/>
      <c r="W33" s="1016"/>
      <c r="X33" s="1014"/>
      <c r="Y33" s="6"/>
      <c r="Z33" s="6"/>
      <c r="AA33" s="6"/>
      <c r="AB33" s="6"/>
      <c r="AC33" s="6"/>
      <c r="AD33" s="6"/>
      <c r="AE33" s="6"/>
      <c r="AF33" s="6"/>
      <c r="AG33" s="6"/>
      <c r="AH33" s="6"/>
      <c r="AI33" s="6"/>
      <c r="AJ33" s="6"/>
      <c r="AK33" s="766" t="s">
        <v>5454</v>
      </c>
      <c r="AL33" s="124"/>
      <c r="AM33" s="45"/>
      <c r="AN33" s="47"/>
      <c r="AO33" s="6"/>
      <c r="AP33" s="6"/>
      <c r="AQ33" s="6"/>
      <c r="AR33" s="6"/>
      <c r="AS33" s="6" t="s">
        <v>1207</v>
      </c>
      <c r="AT33" s="6" t="s">
        <v>1208</v>
      </c>
      <c r="AU33" s="6" t="s">
        <v>1208</v>
      </c>
      <c r="AV33" s="6"/>
      <c r="AW33" s="6"/>
      <c r="AX33" s="1032"/>
      <c r="AY33" s="6"/>
      <c r="AZ33" s="6"/>
      <c r="BA33" s="6"/>
      <c r="BB33" s="6" t="s">
        <v>11061</v>
      </c>
      <c r="BC33" s="6" t="s">
        <v>853</v>
      </c>
      <c r="BD33" s="6" t="s">
        <v>1207</v>
      </c>
      <c r="BE33" s="6" t="s">
        <v>1207</v>
      </c>
      <c r="BF33" s="64">
        <v>1500</v>
      </c>
      <c r="BG33" s="64"/>
      <c r="BH33" s="6"/>
      <c r="BI33" s="6"/>
      <c r="BJ33" s="6"/>
      <c r="BK33" s="6" t="s">
        <v>1095</v>
      </c>
      <c r="BL33" s="6" t="s">
        <v>11079</v>
      </c>
      <c r="BM33" s="6" t="s">
        <v>1096</v>
      </c>
      <c r="BN33" s="6" t="s">
        <v>1230</v>
      </c>
      <c r="BO33" s="766" t="s">
        <v>1246</v>
      </c>
      <c r="BP33" s="1033">
        <v>28.864000000000001</v>
      </c>
      <c r="BQ33" s="46">
        <v>14.336</v>
      </c>
      <c r="BR33" s="47">
        <f t="shared" si="5"/>
        <v>0.49667405764966738</v>
      </c>
      <c r="BS33" s="6" t="s">
        <v>1149</v>
      </c>
      <c r="BT33" s="1019" t="s">
        <v>11073</v>
      </c>
      <c r="BU33" s="1019" t="s">
        <v>1249</v>
      </c>
      <c r="BV33" s="1019" t="s">
        <v>1247</v>
      </c>
      <c r="BW33" s="1019">
        <v>2005</v>
      </c>
      <c r="BX33" s="96"/>
      <c r="BY33" s="6"/>
      <c r="BZ33" s="64"/>
      <c r="CA33" s="6"/>
      <c r="CB33" s="6"/>
      <c r="CC33" s="6"/>
      <c r="CD33" s="6"/>
      <c r="CE33" s="6"/>
      <c r="CF33" s="1021"/>
      <c r="CG33" s="1021"/>
      <c r="CH33" s="6"/>
      <c r="CI33" s="6"/>
      <c r="CJ33" s="6"/>
      <c r="CK33" s="6"/>
      <c r="CL33" s="6"/>
      <c r="CM33" s="6"/>
      <c r="CN33" s="6"/>
      <c r="CO33" s="6"/>
      <c r="CP33" s="6"/>
      <c r="CQ33" s="6"/>
      <c r="CR33" s="64"/>
      <c r="CS33" s="6"/>
      <c r="CT33" s="6"/>
      <c r="CU33" s="1022"/>
      <c r="CV33" s="6"/>
      <c r="CW33" s="6"/>
      <c r="CX33" s="6"/>
      <c r="CY33" s="6"/>
      <c r="CZ33" s="6"/>
      <c r="DA33" s="6"/>
      <c r="DB33" s="6"/>
      <c r="DC33" s="6"/>
      <c r="DD33" s="6"/>
      <c r="DE33" s="6"/>
      <c r="DF33" s="6"/>
      <c r="DG33" s="6"/>
      <c r="DH33" s="6"/>
      <c r="DI33" s="6"/>
      <c r="DJ33" s="6"/>
      <c r="DK33" s="6"/>
      <c r="DL33" s="6"/>
      <c r="DM33" s="6"/>
      <c r="DN33" s="6"/>
      <c r="DO33" s="6"/>
      <c r="DP33" s="6"/>
      <c r="DQ33" s="6"/>
      <c r="DR33" s="6"/>
      <c r="DS33" s="1023"/>
      <c r="DT33" s="6"/>
      <c r="DU33" s="6"/>
      <c r="DV33" s="6"/>
      <c r="DW33" s="1024"/>
      <c r="DX33" s="1024"/>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4"/>
      <c r="FE33" s="6"/>
      <c r="FF33" s="6"/>
      <c r="FG33" s="6"/>
      <c r="FH33" s="1019" t="s">
        <v>478</v>
      </c>
      <c r="FI33" s="1019"/>
      <c r="FJ33" s="1019"/>
      <c r="FK33" s="1725"/>
      <c r="FL33" s="1019"/>
      <c r="FM33" s="1027"/>
      <c r="FN33" s="1027"/>
      <c r="FO33" s="1027"/>
      <c r="FP33" s="6" t="s">
        <v>1602</v>
      </c>
      <c r="FQ33" s="6" t="s">
        <v>1660</v>
      </c>
      <c r="FR33" s="1019"/>
      <c r="FS33" s="1019"/>
      <c r="FT33" s="1019"/>
      <c r="FU33" s="6"/>
      <c r="FV33" s="6"/>
      <c r="FW33" s="6"/>
      <c r="FX33" s="6"/>
      <c r="FY33" s="6"/>
      <c r="FZ33" s="6"/>
      <c r="GA33" s="6"/>
      <c r="GB33" s="6"/>
      <c r="GC33" s="1028"/>
      <c r="GD33" s="1015"/>
      <c r="GE33" s="6"/>
      <c r="GF33" s="64"/>
      <c r="GG33" s="64"/>
      <c r="GH33" s="1722"/>
      <c r="GI33" s="1722"/>
      <c r="GJ33" s="1722"/>
      <c r="GK33" s="1722"/>
      <c r="GL33" s="1722"/>
      <c r="GM33" s="1722"/>
      <c r="GN33" s="1723"/>
      <c r="GO33" s="1723"/>
      <c r="GP33" s="1723"/>
      <c r="GQ33" s="1723"/>
      <c r="GR33" s="1723"/>
      <c r="GS33" s="1722"/>
      <c r="GT33" s="1723"/>
      <c r="GU33" s="1722"/>
      <c r="GV33" s="1723"/>
      <c r="GW33" s="1723"/>
      <c r="GX33" s="1723"/>
      <c r="GY33" s="1723"/>
      <c r="GZ33" s="1723"/>
      <c r="HA33" s="1723"/>
      <c r="HB33" s="1723"/>
      <c r="HC33" s="1722"/>
      <c r="HD33" s="1723"/>
      <c r="HE33" s="1722"/>
      <c r="HF33" s="1722"/>
      <c r="HG33" s="1722"/>
      <c r="HH33" s="1722"/>
      <c r="HI33" s="1722"/>
      <c r="HJ33" s="1722"/>
      <c r="HK33" s="1722"/>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1028"/>
      <c r="IN33" s="6"/>
      <c r="IO33" s="1014"/>
      <c r="IP33" s="6"/>
      <c r="IQ33" s="6"/>
      <c r="IR33" s="6"/>
      <c r="IS33" s="6"/>
      <c r="IT33" s="6"/>
      <c r="IU33" s="6"/>
      <c r="IV33" s="6"/>
      <c r="IW33" s="6"/>
      <c r="IX33" s="6"/>
      <c r="IY33" s="6"/>
      <c r="IZ33" s="6"/>
      <c r="JA33" s="6"/>
      <c r="JB33" s="6"/>
      <c r="JC33" s="6"/>
      <c r="JD33" s="64"/>
      <c r="JE33" s="6"/>
      <c r="JF33" s="1688"/>
      <c r="JG33" s="1687"/>
      <c r="JH33" s="1687"/>
      <c r="JI33" s="1687"/>
      <c r="JJ33" s="6"/>
      <c r="JK33" s="6"/>
      <c r="JL33" s="6"/>
      <c r="JM33" s="6"/>
      <c r="JN33" s="6"/>
      <c r="JO33" s="6"/>
      <c r="JP33" s="6"/>
      <c r="JQ33" s="6"/>
      <c r="JR33" s="6"/>
      <c r="JS33" s="6"/>
      <c r="JT33" s="766"/>
      <c r="JU33" s="766"/>
      <c r="JV33" s="766"/>
      <c r="JW33" s="766"/>
      <c r="JX33" s="6"/>
      <c r="JY33" s="6"/>
      <c r="JZ33" s="6"/>
      <c r="KA33" s="6"/>
      <c r="KB33" s="6"/>
      <c r="KC33" s="6"/>
      <c r="KD33" s="6"/>
      <c r="KE33" s="6"/>
      <c r="KF33" s="6"/>
      <c r="KG33" s="6"/>
      <c r="KH33" s="6"/>
      <c r="KI33" s="6"/>
      <c r="KJ33" s="770"/>
      <c r="KK33" s="770"/>
      <c r="KL33" s="770"/>
      <c r="KM33" s="770"/>
      <c r="KN33" s="6"/>
      <c r="KO33" s="1688"/>
      <c r="KP33" s="6"/>
      <c r="KQ33" s="6"/>
      <c r="KR33" s="6"/>
      <c r="KS33" s="6"/>
      <c r="KT33" s="6"/>
      <c r="KU33" s="6"/>
      <c r="KV33" s="6"/>
      <c r="KW33" s="6"/>
      <c r="KX33" s="6"/>
      <c r="KY33" s="6"/>
      <c r="KZ33" s="6"/>
      <c r="LA33" s="6"/>
      <c r="LB33" s="6"/>
      <c r="LC33" s="6"/>
      <c r="LD33" s="6"/>
      <c r="LE33" s="6"/>
      <c r="LF33" s="6"/>
      <c r="LG33" s="6"/>
      <c r="LH33" s="6"/>
      <c r="LI33" s="6"/>
      <c r="LJ33" s="6"/>
      <c r="LK33" s="6"/>
      <c r="LL33" s="6"/>
      <c r="LM33" s="6"/>
      <c r="LN33" s="766"/>
      <c r="LO33" s="766"/>
      <c r="LP33" s="6"/>
      <c r="LQ33" s="1690"/>
      <c r="LR33" s="6"/>
      <c r="LS33" s="6"/>
      <c r="LT33" s="6"/>
      <c r="LU33" s="6"/>
      <c r="LV33" s="6"/>
      <c r="LW33" s="6"/>
      <c r="LX33" s="1693"/>
      <c r="LY33" s="766" t="str">
        <f t="shared" si="0"/>
        <v/>
      </c>
      <c r="LZ33" s="1694"/>
      <c r="MA33" s="1694"/>
      <c r="MB33" s="1694"/>
      <c r="MC33" s="1679">
        <f t="shared" si="1"/>
        <v>0</v>
      </c>
      <c r="MD33" s="1694"/>
      <c r="ME33" s="1694"/>
      <c r="MF33" s="1694"/>
      <c r="MG33" s="1680">
        <f t="shared" si="2"/>
        <v>0</v>
      </c>
      <c r="MH33" s="1690"/>
      <c r="MI33" s="64"/>
      <c r="MJ33" s="64"/>
      <c r="MK33" s="64"/>
      <c r="ML33" s="64"/>
      <c r="MM33" s="64"/>
      <c r="MN33" s="64"/>
      <c r="MO33" s="64"/>
      <c r="MP33" s="64"/>
      <c r="MQ33" s="64"/>
      <c r="MR33" s="64"/>
      <c r="MS33" s="64"/>
      <c r="MT33" s="64"/>
      <c r="MU33" s="64"/>
      <c r="MV33" s="64"/>
      <c r="MW33" s="64"/>
      <c r="MX33" s="64"/>
      <c r="MY33" s="1682">
        <f t="shared" si="3"/>
        <v>0</v>
      </c>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1687"/>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1026"/>
      <c r="RG33" s="6"/>
      <c r="RH33" s="64"/>
      <c r="RI33" s="6"/>
      <c r="RJ33" s="6"/>
      <c r="RK33" s="6"/>
      <c r="RL33" s="1691"/>
      <c r="RM33" s="1714" t="s">
        <v>13038</v>
      </c>
      <c r="RN33" s="1724">
        <v>42901</v>
      </c>
      <c r="RO33" s="169" t="s">
        <v>8287</v>
      </c>
      <c r="RR33" s="93"/>
      <c r="RS33" s="6"/>
      <c r="RV33" s="6" t="s">
        <v>7419</v>
      </c>
      <c r="RW33" s="1020" t="s">
        <v>12376</v>
      </c>
      <c r="RX33" s="1020" t="s">
        <v>11068</v>
      </c>
      <c r="RY33" s="1020">
        <v>10.31</v>
      </c>
      <c r="RZ33" s="1020" t="s">
        <v>7419</v>
      </c>
      <c r="SA33" s="6"/>
    </row>
    <row r="34" spans="1:495" s="1020" customFormat="1" ht="15" hidden="1" customHeight="1">
      <c r="A34" s="93" t="s">
        <v>14140</v>
      </c>
      <c r="B34" s="1121" t="s">
        <v>8289</v>
      </c>
      <c r="C34" s="169" t="s">
        <v>8287</v>
      </c>
      <c r="D34" s="6" t="s">
        <v>11080</v>
      </c>
      <c r="E34" s="6" t="s">
        <v>11081</v>
      </c>
      <c r="F34" s="6" t="s">
        <v>20</v>
      </c>
      <c r="G34" s="6" t="s">
        <v>18</v>
      </c>
      <c r="H34" s="6"/>
      <c r="I34" s="1012" t="s">
        <v>11082</v>
      </c>
      <c r="J34" s="6" t="s">
        <v>11083</v>
      </c>
      <c r="K34" s="6" t="s">
        <v>14088</v>
      </c>
      <c r="L34" s="6" t="s">
        <v>14085</v>
      </c>
      <c r="M34" s="6"/>
      <c r="N34" s="6" t="s">
        <v>11071</v>
      </c>
      <c r="O34" s="6" t="s">
        <v>11020</v>
      </c>
      <c r="P34" s="843" t="s">
        <v>11083</v>
      </c>
      <c r="Q34" s="1086">
        <v>31801</v>
      </c>
      <c r="R34" s="1015">
        <v>30</v>
      </c>
      <c r="S34" s="6" t="s">
        <v>10</v>
      </c>
      <c r="T34" s="6"/>
      <c r="U34" s="1016" t="s">
        <v>11084</v>
      </c>
      <c r="V34" s="6" t="s">
        <v>722</v>
      </c>
      <c r="W34" s="1016" t="s">
        <v>11085</v>
      </c>
      <c r="X34" s="1014"/>
      <c r="Y34" s="6" t="s">
        <v>11081</v>
      </c>
      <c r="Z34" s="6" t="s">
        <v>11086</v>
      </c>
      <c r="AA34" s="6" t="s">
        <v>748</v>
      </c>
      <c r="AB34" s="1019" t="s">
        <v>7273</v>
      </c>
      <c r="AC34" s="6" t="s">
        <v>880</v>
      </c>
      <c r="AD34" s="6"/>
      <c r="AE34" s="6"/>
      <c r="AF34" s="6" t="s">
        <v>712</v>
      </c>
      <c r="AG34" s="6"/>
      <c r="AH34" s="6"/>
      <c r="AI34" s="6"/>
      <c r="AJ34" s="6"/>
      <c r="AK34" s="766" t="s">
        <v>1899</v>
      </c>
      <c r="AL34" s="124"/>
      <c r="AM34" s="45"/>
      <c r="AN34" s="47"/>
      <c r="AO34" s="6"/>
      <c r="AP34" s="6"/>
      <c r="AQ34" s="6"/>
      <c r="AR34" s="6"/>
      <c r="AS34" s="6" t="s">
        <v>1207</v>
      </c>
      <c r="AT34" s="6" t="s">
        <v>1208</v>
      </c>
      <c r="AU34" s="6" t="s">
        <v>1208</v>
      </c>
      <c r="AV34" s="6"/>
      <c r="AW34" s="6"/>
      <c r="AX34" s="1032"/>
      <c r="AY34" s="6"/>
      <c r="AZ34" s="6"/>
      <c r="BA34" s="6"/>
      <c r="BB34" s="6"/>
      <c r="BC34" s="6"/>
      <c r="BD34" s="6"/>
      <c r="BE34" s="6"/>
      <c r="BF34" s="64"/>
      <c r="BG34" s="64"/>
      <c r="BH34" s="6"/>
      <c r="BI34" s="6"/>
      <c r="BJ34" s="6"/>
      <c r="BK34" s="6"/>
      <c r="BL34" s="6"/>
      <c r="BM34" s="6"/>
      <c r="BN34" s="6"/>
      <c r="BO34" s="1019"/>
      <c r="BP34" s="1033"/>
      <c r="BQ34" s="46"/>
      <c r="BR34" s="47"/>
      <c r="BS34" s="6"/>
      <c r="BT34" s="1019"/>
      <c r="BU34" s="1019"/>
      <c r="BV34" s="1019"/>
      <c r="BW34" s="1019"/>
      <c r="BX34" s="96"/>
      <c r="BY34" s="6"/>
      <c r="BZ34" s="64"/>
      <c r="CA34" s="6"/>
      <c r="CB34" s="6"/>
      <c r="CC34" s="6"/>
      <c r="CD34" s="6"/>
      <c r="CE34" s="6"/>
      <c r="CF34" s="1021"/>
      <c r="CG34" s="1021"/>
      <c r="CH34" s="6"/>
      <c r="CI34" s="6"/>
      <c r="CJ34" s="6"/>
      <c r="CK34" s="6"/>
      <c r="CL34" s="6"/>
      <c r="CM34" s="6"/>
      <c r="CN34" s="6"/>
      <c r="CO34" s="6"/>
      <c r="CP34" s="6"/>
      <c r="CQ34" s="6"/>
      <c r="CR34" s="64"/>
      <c r="CS34" s="6"/>
      <c r="CT34" s="6"/>
      <c r="CU34" s="1022"/>
      <c r="CV34" s="6"/>
      <c r="CW34" s="6"/>
      <c r="CX34" s="6"/>
      <c r="CY34" s="6"/>
      <c r="CZ34" s="6"/>
      <c r="DA34" s="6"/>
      <c r="DB34" s="6"/>
      <c r="DC34" s="6"/>
      <c r="DD34" s="6"/>
      <c r="DE34" s="6"/>
      <c r="DF34" s="6"/>
      <c r="DG34" s="6"/>
      <c r="DH34" s="6"/>
      <c r="DI34" s="6"/>
      <c r="DJ34" s="6"/>
      <c r="DK34" s="6"/>
      <c r="DL34" s="6"/>
      <c r="DM34" s="6"/>
      <c r="DN34" s="6"/>
      <c r="DO34" s="6"/>
      <c r="DP34" s="6"/>
      <c r="DQ34" s="6"/>
      <c r="DR34" s="6"/>
      <c r="DS34" s="1023"/>
      <c r="DT34" s="6"/>
      <c r="DU34" s="6"/>
      <c r="DV34" s="6"/>
      <c r="DW34" s="1024"/>
      <c r="DX34" s="1024"/>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4"/>
      <c r="FE34" s="6"/>
      <c r="FF34" s="6"/>
      <c r="FG34" s="6"/>
      <c r="FH34" s="6" t="s">
        <v>1306</v>
      </c>
      <c r="FI34" s="6">
        <v>1</v>
      </c>
      <c r="FJ34" s="6" t="s">
        <v>11079</v>
      </c>
      <c r="FK34" s="1012" t="s">
        <v>11077</v>
      </c>
      <c r="FL34" s="6" t="s">
        <v>11081</v>
      </c>
      <c r="FM34" s="64"/>
      <c r="FN34" s="64"/>
      <c r="FO34" s="64"/>
      <c r="FP34" s="6" t="s">
        <v>1602</v>
      </c>
      <c r="FQ34" s="6" t="s">
        <v>1660</v>
      </c>
      <c r="FR34" s="1019"/>
      <c r="FS34" s="1019"/>
      <c r="FT34" s="1019"/>
      <c r="FU34" s="6"/>
      <c r="FV34" s="6"/>
      <c r="FW34" s="6"/>
      <c r="FX34" s="6"/>
      <c r="FY34" s="6"/>
      <c r="FZ34" s="6"/>
      <c r="GA34" s="6"/>
      <c r="GB34" s="6"/>
      <c r="GC34" s="1028"/>
      <c r="GD34" s="1015"/>
      <c r="GE34" s="6"/>
      <c r="GF34" s="64"/>
      <c r="GG34" s="64"/>
      <c r="GH34" s="1722"/>
      <c r="GI34" s="1722"/>
      <c r="GJ34" s="1722"/>
      <c r="GK34" s="1722"/>
      <c r="GL34" s="1722"/>
      <c r="GM34" s="1722"/>
      <c r="GN34" s="1723"/>
      <c r="GO34" s="1723"/>
      <c r="GP34" s="1723"/>
      <c r="GQ34" s="1723"/>
      <c r="GR34" s="1723"/>
      <c r="GS34" s="1722"/>
      <c r="GT34" s="1723"/>
      <c r="GU34" s="1722"/>
      <c r="GV34" s="1723"/>
      <c r="GW34" s="1723"/>
      <c r="GX34" s="1723"/>
      <c r="GY34" s="1723"/>
      <c r="GZ34" s="1723"/>
      <c r="HA34" s="1723"/>
      <c r="HB34" s="1723"/>
      <c r="HC34" s="1722"/>
      <c r="HD34" s="1723"/>
      <c r="HE34" s="1722"/>
      <c r="HF34" s="1722"/>
      <c r="HG34" s="1722"/>
      <c r="HH34" s="1722"/>
      <c r="HI34" s="1722"/>
      <c r="HJ34" s="1722"/>
      <c r="HK34" s="1722"/>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1028"/>
      <c r="IN34" s="6"/>
      <c r="IO34" s="1014"/>
      <c r="IP34" s="6"/>
      <c r="IQ34" s="6"/>
      <c r="IR34" s="6"/>
      <c r="IS34" s="6"/>
      <c r="IT34" s="6"/>
      <c r="IU34" s="6"/>
      <c r="IV34" s="6"/>
      <c r="IW34" s="6"/>
      <c r="IX34" s="6"/>
      <c r="IY34" s="6"/>
      <c r="IZ34" s="6"/>
      <c r="JA34" s="6"/>
      <c r="JB34" s="6"/>
      <c r="JC34" s="6"/>
      <c r="JD34" s="64"/>
      <c r="JE34" s="6"/>
      <c r="JF34" s="1688"/>
      <c r="JG34" s="1687"/>
      <c r="JH34" s="1687"/>
      <c r="JI34" s="1687"/>
      <c r="JJ34" s="1698">
        <v>4</v>
      </c>
      <c r="JK34" s="6" t="s">
        <v>13044</v>
      </c>
      <c r="JL34" s="6">
        <v>2</v>
      </c>
      <c r="JM34" s="6"/>
      <c r="JN34" s="6">
        <v>1</v>
      </c>
      <c r="JO34" s="6">
        <v>1</v>
      </c>
      <c r="JP34" s="6"/>
      <c r="JQ34" s="6"/>
      <c r="JR34" s="6"/>
      <c r="JS34" s="6"/>
      <c r="JT34" s="766">
        <f>SUM(JP34,JN34,JL34,JR34)</f>
        <v>3</v>
      </c>
      <c r="JU34" s="766">
        <f>SUM(JQ34,JO34,JM34,JS34)</f>
        <v>1</v>
      </c>
      <c r="JV34" s="766"/>
      <c r="JW34" s="766"/>
      <c r="JX34" s="6">
        <v>2</v>
      </c>
      <c r="JY34" s="6"/>
      <c r="JZ34" s="6"/>
      <c r="KA34" s="6"/>
      <c r="KB34" s="6">
        <v>1</v>
      </c>
      <c r="KC34" s="6">
        <v>1</v>
      </c>
      <c r="KD34" s="6"/>
      <c r="KE34" s="6"/>
      <c r="KF34" s="6"/>
      <c r="KG34" s="6"/>
      <c r="KH34" s="6"/>
      <c r="KI34" s="6"/>
      <c r="KJ34" s="770">
        <f>SUM(KF34,KD34,KB34,JZ34,JX34,KH34)</f>
        <v>3</v>
      </c>
      <c r="KK34" s="770">
        <f>SUM(KG34,KE34,KC34,KA34,JY34,KI34)</f>
        <v>1</v>
      </c>
      <c r="KL34" s="770"/>
      <c r="KM34" s="770"/>
      <c r="KN34" s="6" t="s">
        <v>722</v>
      </c>
      <c r="KO34" s="1688"/>
      <c r="KP34" s="6"/>
      <c r="KQ34" s="6"/>
      <c r="KR34" s="6"/>
      <c r="KS34" s="6"/>
      <c r="KT34" s="6"/>
      <c r="KU34" s="6"/>
      <c r="KV34" s="6"/>
      <c r="KW34" s="6"/>
      <c r="KX34" s="6"/>
      <c r="KY34" s="6">
        <v>1</v>
      </c>
      <c r="KZ34" s="6">
        <v>1</v>
      </c>
      <c r="LA34" s="6"/>
      <c r="LB34" s="6"/>
      <c r="LC34" s="6"/>
      <c r="LD34" s="6"/>
      <c r="LE34" s="6"/>
      <c r="LF34" s="6"/>
      <c r="LG34" s="6"/>
      <c r="LH34" s="6"/>
      <c r="LI34" s="6"/>
      <c r="LJ34" s="6">
        <v>2</v>
      </c>
      <c r="LK34" s="6"/>
      <c r="LL34" s="6"/>
      <c r="LM34" s="6"/>
      <c r="LN34" s="766">
        <f>SUM(KP34,KR34,KT34,KV34,KX34,KZ34,LB34,LD34,LF34,LH34,LJ34,LL34)</f>
        <v>3</v>
      </c>
      <c r="LO34" s="766">
        <f>SUM(KQ34,KS34,KU34,KW34,KY34,LA34,LC34,LE34,LG34,LI34,LK34,LM34)</f>
        <v>1</v>
      </c>
      <c r="LP34" s="6">
        <v>1</v>
      </c>
      <c r="LQ34" s="1690">
        <v>1</v>
      </c>
      <c r="LR34" s="6"/>
      <c r="LS34" s="6"/>
      <c r="LT34" s="6"/>
      <c r="LU34" s="6">
        <v>1</v>
      </c>
      <c r="LV34" s="6"/>
      <c r="LW34" s="6"/>
      <c r="LX34" s="1693">
        <v>1</v>
      </c>
      <c r="LY34" s="766" t="str">
        <f t="shared" si="0"/>
        <v>within the BRGY</v>
      </c>
      <c r="LZ34" s="1694"/>
      <c r="MA34" s="1694"/>
      <c r="MB34" s="1694"/>
      <c r="MC34" s="1679">
        <f t="shared" si="1"/>
        <v>0</v>
      </c>
      <c r="MD34" s="1694">
        <f>332*20</f>
        <v>6640</v>
      </c>
      <c r="ME34" s="1694"/>
      <c r="MF34" s="1694">
        <v>1500</v>
      </c>
      <c r="MG34" s="1680">
        <f t="shared" si="2"/>
        <v>8140</v>
      </c>
      <c r="MH34" s="1690" t="s">
        <v>13045</v>
      </c>
      <c r="MI34" s="64">
        <v>4500</v>
      </c>
      <c r="MJ34" s="64"/>
      <c r="MK34" s="64">
        <v>500</v>
      </c>
      <c r="ML34" s="64">
        <v>200</v>
      </c>
      <c r="MM34" s="64"/>
      <c r="MN34" s="64">
        <v>1500</v>
      </c>
      <c r="MO34" s="64"/>
      <c r="MP34" s="64">
        <v>200</v>
      </c>
      <c r="MQ34" s="64">
        <f>500/3</f>
        <v>166.66666666666666</v>
      </c>
      <c r="MR34" s="64">
        <v>150</v>
      </c>
      <c r="MS34" s="64">
        <v>700</v>
      </c>
      <c r="MT34" s="64"/>
      <c r="MU34" s="64"/>
      <c r="MV34" s="64"/>
      <c r="MW34" s="64"/>
      <c r="MX34" s="64"/>
      <c r="MY34" s="1682">
        <f t="shared" si="3"/>
        <v>7916.666666666667</v>
      </c>
      <c r="MZ34" s="6"/>
      <c r="NA34" s="6"/>
      <c r="NB34" s="6"/>
      <c r="NC34" s="6"/>
      <c r="ND34" s="6">
        <v>1</v>
      </c>
      <c r="NE34" s="6">
        <v>0</v>
      </c>
      <c r="NF34" s="6">
        <v>0</v>
      </c>
      <c r="NG34" s="6">
        <v>2</v>
      </c>
      <c r="NH34" s="6">
        <v>0</v>
      </c>
      <c r="NI34" s="6">
        <v>0</v>
      </c>
      <c r="NJ34" s="6">
        <v>0</v>
      </c>
      <c r="NK34" s="6">
        <v>0</v>
      </c>
      <c r="NL34" s="6">
        <v>0</v>
      </c>
      <c r="NM34" s="6">
        <v>0</v>
      </c>
      <c r="NN34" s="6">
        <v>0</v>
      </c>
      <c r="NO34" s="6">
        <v>0</v>
      </c>
      <c r="NP34" s="6">
        <v>0</v>
      </c>
      <c r="NQ34" s="6">
        <v>0</v>
      </c>
      <c r="NR34" s="6">
        <v>0</v>
      </c>
      <c r="NS34" s="6">
        <v>0</v>
      </c>
      <c r="NT34" s="6">
        <v>0</v>
      </c>
      <c r="NU34" s="6">
        <v>0</v>
      </c>
      <c r="NV34" s="6">
        <v>0</v>
      </c>
      <c r="NW34" s="6">
        <v>0</v>
      </c>
      <c r="NX34" s="6">
        <v>0</v>
      </c>
      <c r="NY34" s="6"/>
      <c r="NZ34" s="6"/>
      <c r="OA34" s="6" t="s">
        <v>1208</v>
      </c>
      <c r="OB34" s="6"/>
      <c r="OC34" s="6" t="s">
        <v>1208</v>
      </c>
      <c r="OD34" s="6"/>
      <c r="OE34" s="6"/>
      <c r="OF34" s="6"/>
      <c r="OG34" s="6"/>
      <c r="OH34" s="6"/>
      <c r="OI34" s="6"/>
      <c r="OJ34" s="6"/>
      <c r="OK34" s="1687"/>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t="s">
        <v>1208</v>
      </c>
      <c r="RA34" s="6"/>
      <c r="RB34" s="6" t="s">
        <v>1207</v>
      </c>
      <c r="RC34" s="6">
        <v>2013</v>
      </c>
      <c r="RD34" s="6" t="s">
        <v>13046</v>
      </c>
      <c r="RE34" s="6" t="s">
        <v>13008</v>
      </c>
      <c r="RF34" s="1026">
        <v>0.2</v>
      </c>
      <c r="RG34" s="6" t="s">
        <v>13047</v>
      </c>
      <c r="RH34" s="64">
        <v>0</v>
      </c>
      <c r="RI34" s="6">
        <f>24*3</f>
        <v>72</v>
      </c>
      <c r="RJ34" s="6" t="s">
        <v>11085</v>
      </c>
      <c r="RK34" s="6" t="s">
        <v>13010</v>
      </c>
      <c r="RL34" s="1691"/>
      <c r="RM34" s="1714"/>
      <c r="RN34" s="1724"/>
      <c r="RO34" s="169" t="s">
        <v>8287</v>
      </c>
      <c r="RR34" s="93"/>
      <c r="RS34" s="6"/>
      <c r="RV34" s="6" t="s">
        <v>12377</v>
      </c>
      <c r="RW34" s="1020" t="s">
        <v>11913</v>
      </c>
      <c r="RX34" s="1020" t="s">
        <v>11053</v>
      </c>
      <c r="SA34" s="6"/>
    </row>
    <row r="35" spans="1:495" s="1020" customFormat="1" ht="15" hidden="1" customHeight="1">
      <c r="A35" s="861" t="s">
        <v>7419</v>
      </c>
      <c r="B35" s="1031" t="s">
        <v>11914</v>
      </c>
      <c r="C35" s="169" t="s">
        <v>11087</v>
      </c>
      <c r="D35" s="6" t="s">
        <v>11088</v>
      </c>
      <c r="E35" s="6" t="s">
        <v>11089</v>
      </c>
      <c r="F35" s="6" t="s">
        <v>20</v>
      </c>
      <c r="G35" s="6" t="s">
        <v>18</v>
      </c>
      <c r="H35" s="6"/>
      <c r="I35" s="1012" t="s">
        <v>11090</v>
      </c>
      <c r="J35" s="6" t="s">
        <v>11091</v>
      </c>
      <c r="K35" s="6" t="s">
        <v>14086</v>
      </c>
      <c r="L35" s="6" t="s">
        <v>14089</v>
      </c>
      <c r="M35" s="6"/>
      <c r="N35" s="6" t="s">
        <v>11092</v>
      </c>
      <c r="O35" s="6" t="s">
        <v>11071</v>
      </c>
      <c r="P35" s="843"/>
      <c r="Q35" s="1086"/>
      <c r="R35" s="1015"/>
      <c r="S35" s="6"/>
      <c r="T35" s="6"/>
      <c r="U35" s="1016"/>
      <c r="V35" s="6"/>
      <c r="W35" s="1016"/>
      <c r="X35" s="1014"/>
      <c r="Y35" s="6"/>
      <c r="Z35" s="6"/>
      <c r="AA35" s="6"/>
      <c r="AB35" s="1019"/>
      <c r="AC35" s="6"/>
      <c r="AD35" s="6"/>
      <c r="AE35" s="6"/>
      <c r="AF35" s="6"/>
      <c r="AG35" s="6" t="s">
        <v>1095</v>
      </c>
      <c r="AH35" s="766" t="s">
        <v>1096</v>
      </c>
      <c r="AI35" s="6" t="s">
        <v>11093</v>
      </c>
      <c r="AJ35" s="6"/>
      <c r="AK35" s="6" t="s">
        <v>1097</v>
      </c>
      <c r="AL35" s="124">
        <v>31.135999999999999</v>
      </c>
      <c r="AM35" s="45">
        <v>7.2279999999999998</v>
      </c>
      <c r="AN35" s="47">
        <f>AM35/AL35</f>
        <v>0.23214285714285715</v>
      </c>
      <c r="AO35" s="6" t="s">
        <v>1149</v>
      </c>
      <c r="AP35" s="6"/>
      <c r="AQ35" s="6"/>
      <c r="AR35" s="6"/>
      <c r="AS35" s="6"/>
      <c r="AT35" s="6"/>
      <c r="AU35" s="6"/>
      <c r="AV35" s="6"/>
      <c r="AW35" s="6"/>
      <c r="AX35" s="1032"/>
      <c r="AY35" s="6"/>
      <c r="AZ35" s="6"/>
      <c r="BA35" s="6"/>
      <c r="BB35" s="6"/>
      <c r="BC35" s="6"/>
      <c r="BD35" s="6"/>
      <c r="BE35" s="6"/>
      <c r="BF35" s="64"/>
      <c r="BG35" s="64"/>
      <c r="BH35" s="6"/>
      <c r="BI35" s="6"/>
      <c r="BJ35" s="6"/>
      <c r="BK35" s="6" t="s">
        <v>1095</v>
      </c>
      <c r="BL35" s="6" t="s">
        <v>11094</v>
      </c>
      <c r="BM35" s="6" t="s">
        <v>1096</v>
      </c>
      <c r="BN35" s="6" t="s">
        <v>1230</v>
      </c>
      <c r="BO35" s="1019" t="s">
        <v>1246</v>
      </c>
      <c r="BP35" s="1033">
        <v>46.704000000000001</v>
      </c>
      <c r="BQ35" s="46">
        <v>7.2279999999999998</v>
      </c>
      <c r="BR35" s="47">
        <f t="shared" si="5"/>
        <v>0.15476190476190477</v>
      </c>
      <c r="BS35" s="766" t="s">
        <v>1242</v>
      </c>
      <c r="BT35" s="1019" t="s">
        <v>1240</v>
      </c>
      <c r="BU35" s="1019" t="s">
        <v>1249</v>
      </c>
      <c r="BV35" s="1019" t="s">
        <v>1247</v>
      </c>
      <c r="BW35" s="1019">
        <v>2012</v>
      </c>
      <c r="BX35" s="96"/>
      <c r="BY35" s="6"/>
      <c r="BZ35" s="64"/>
      <c r="CA35" s="6"/>
      <c r="CB35" s="6"/>
      <c r="CC35" s="6"/>
      <c r="CD35" s="6"/>
      <c r="CE35" s="6"/>
      <c r="CF35" s="1021"/>
      <c r="CG35" s="1021"/>
      <c r="CH35" s="6"/>
      <c r="CI35" s="6"/>
      <c r="CJ35" s="6"/>
      <c r="CK35" s="6"/>
      <c r="CL35" s="6"/>
      <c r="CM35" s="6"/>
      <c r="CN35" s="6"/>
      <c r="CO35" s="6"/>
      <c r="CP35" s="6"/>
      <c r="CQ35" s="6"/>
      <c r="CR35" s="64"/>
      <c r="CS35" s="6"/>
      <c r="CT35" s="6"/>
      <c r="CU35" s="1022"/>
      <c r="CV35" s="6"/>
      <c r="CW35" s="6"/>
      <c r="CX35" s="6"/>
      <c r="CY35" s="6"/>
      <c r="CZ35" s="6"/>
      <c r="DA35" s="6"/>
      <c r="DB35" s="6"/>
      <c r="DC35" s="6"/>
      <c r="DD35" s="6"/>
      <c r="DE35" s="6"/>
      <c r="DF35" s="6"/>
      <c r="DG35" s="6"/>
      <c r="DH35" s="6"/>
      <c r="DI35" s="6"/>
      <c r="DJ35" s="6"/>
      <c r="DK35" s="6"/>
      <c r="DL35" s="6"/>
      <c r="DM35" s="6"/>
      <c r="DN35" s="6"/>
      <c r="DO35" s="6"/>
      <c r="DP35" s="6"/>
      <c r="DQ35" s="6"/>
      <c r="DR35" s="6"/>
      <c r="DS35" s="1023"/>
      <c r="DT35" s="6"/>
      <c r="DU35" s="6"/>
      <c r="DV35" s="6"/>
      <c r="DW35" s="1024"/>
      <c r="DX35" s="1024"/>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4"/>
      <c r="FE35" s="6"/>
      <c r="FF35" s="6"/>
      <c r="FG35" s="6"/>
      <c r="FH35" s="6" t="s">
        <v>478</v>
      </c>
      <c r="FI35" s="6">
        <v>1</v>
      </c>
      <c r="FJ35" s="6"/>
      <c r="FK35" s="6"/>
      <c r="FL35" s="6"/>
      <c r="FM35" s="64"/>
      <c r="FN35" s="64"/>
      <c r="FO35" s="64"/>
      <c r="FP35" s="6" t="s">
        <v>1600</v>
      </c>
      <c r="FQ35" s="6" t="s">
        <v>1642</v>
      </c>
      <c r="FR35" s="1019"/>
      <c r="FS35" s="1019"/>
      <c r="FT35" s="1019"/>
      <c r="FU35" s="6"/>
      <c r="FV35" s="6"/>
      <c r="FW35" s="6"/>
      <c r="FX35" s="6"/>
      <c r="FY35" s="6"/>
      <c r="FZ35" s="6"/>
      <c r="GA35" s="6"/>
      <c r="GB35" s="6"/>
      <c r="GC35" s="1028"/>
      <c r="GD35" s="1015"/>
      <c r="GE35" s="6"/>
      <c r="GF35" s="64"/>
      <c r="GG35" s="64"/>
      <c r="GH35" s="1722"/>
      <c r="GI35" s="1722"/>
      <c r="GJ35" s="1722"/>
      <c r="GK35" s="1722"/>
      <c r="GL35" s="1722"/>
      <c r="GM35" s="1722"/>
      <c r="GN35" s="1723"/>
      <c r="GO35" s="1723"/>
      <c r="GP35" s="1723"/>
      <c r="GQ35" s="1723"/>
      <c r="GR35" s="1723"/>
      <c r="GS35" s="1722"/>
      <c r="GT35" s="1723"/>
      <c r="GU35" s="1722"/>
      <c r="GV35" s="1723"/>
      <c r="GW35" s="1723"/>
      <c r="GX35" s="1723"/>
      <c r="GY35" s="1723"/>
      <c r="GZ35" s="1723"/>
      <c r="HA35" s="1723"/>
      <c r="HB35" s="1723"/>
      <c r="HC35" s="1722"/>
      <c r="HD35" s="1723"/>
      <c r="HE35" s="1722"/>
      <c r="HF35" s="1722"/>
      <c r="HG35" s="1722"/>
      <c r="HH35" s="1722"/>
      <c r="HI35" s="1722"/>
      <c r="HJ35" s="1722"/>
      <c r="HK35" s="1722"/>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1028"/>
      <c r="IN35" s="6"/>
      <c r="IO35" s="1014"/>
      <c r="IP35" s="6"/>
      <c r="IQ35" s="6"/>
      <c r="IR35" s="6"/>
      <c r="IS35" s="6"/>
      <c r="IT35" s="6"/>
      <c r="IU35" s="6"/>
      <c r="IV35" s="6"/>
      <c r="IW35" s="6"/>
      <c r="IX35" s="6"/>
      <c r="IY35" s="6"/>
      <c r="IZ35" s="6"/>
      <c r="JA35" s="6"/>
      <c r="JB35" s="6"/>
      <c r="JC35" s="6"/>
      <c r="JD35" s="64"/>
      <c r="JE35" s="6"/>
      <c r="JF35" s="1688"/>
      <c r="JG35" s="1687"/>
      <c r="JH35" s="1687"/>
      <c r="JI35" s="1687"/>
      <c r="JJ35" s="6"/>
      <c r="JK35" s="6"/>
      <c r="JL35" s="6"/>
      <c r="JM35" s="6"/>
      <c r="JN35" s="6"/>
      <c r="JO35" s="6"/>
      <c r="JP35" s="6"/>
      <c r="JQ35" s="6"/>
      <c r="JR35" s="6"/>
      <c r="JS35" s="6"/>
      <c r="JT35" s="766"/>
      <c r="JU35" s="766"/>
      <c r="JV35" s="766"/>
      <c r="JW35" s="766"/>
      <c r="JX35" s="6"/>
      <c r="JY35" s="6"/>
      <c r="JZ35" s="6"/>
      <c r="KA35" s="6"/>
      <c r="KB35" s="6"/>
      <c r="KC35" s="6"/>
      <c r="KD35" s="6"/>
      <c r="KE35" s="6"/>
      <c r="KF35" s="6"/>
      <c r="KG35" s="6"/>
      <c r="KH35" s="6"/>
      <c r="KI35" s="6"/>
      <c r="KJ35" s="770"/>
      <c r="KK35" s="770"/>
      <c r="KL35" s="770"/>
      <c r="KM35" s="770"/>
      <c r="KN35" s="6"/>
      <c r="KO35" s="1688"/>
      <c r="KP35" s="6"/>
      <c r="KQ35" s="6"/>
      <c r="KR35" s="6"/>
      <c r="KS35" s="6"/>
      <c r="KT35" s="6"/>
      <c r="KU35" s="6"/>
      <c r="KV35" s="6"/>
      <c r="KW35" s="6"/>
      <c r="KX35" s="6"/>
      <c r="KY35" s="6"/>
      <c r="KZ35" s="6"/>
      <c r="LA35" s="6"/>
      <c r="LB35" s="6"/>
      <c r="LC35" s="6"/>
      <c r="LD35" s="6"/>
      <c r="LE35" s="6"/>
      <c r="LF35" s="6"/>
      <c r="LG35" s="6"/>
      <c r="LH35" s="6"/>
      <c r="LI35" s="6"/>
      <c r="LJ35" s="6"/>
      <c r="LK35" s="6"/>
      <c r="LL35" s="6"/>
      <c r="LM35" s="6"/>
      <c r="LN35" s="766"/>
      <c r="LO35" s="766"/>
      <c r="LP35" s="6"/>
      <c r="LQ35" s="1690"/>
      <c r="LR35" s="6"/>
      <c r="LS35" s="6"/>
      <c r="LT35" s="6"/>
      <c r="LU35" s="6"/>
      <c r="LV35" s="6"/>
      <c r="LW35" s="6"/>
      <c r="LX35" s="1693"/>
      <c r="LY35" s="766" t="str">
        <f t="shared" si="0"/>
        <v/>
      </c>
      <c r="LZ35" s="1694"/>
      <c r="MA35" s="1694"/>
      <c r="MB35" s="1694"/>
      <c r="MC35" s="1679">
        <f t="shared" si="1"/>
        <v>0</v>
      </c>
      <c r="MD35" s="1694"/>
      <c r="ME35" s="1694"/>
      <c r="MF35" s="1694"/>
      <c r="MG35" s="1680">
        <f t="shared" si="2"/>
        <v>0</v>
      </c>
      <c r="MH35" s="1690"/>
      <c r="MI35" s="64"/>
      <c r="MJ35" s="64"/>
      <c r="MK35" s="64"/>
      <c r="ML35" s="64"/>
      <c r="MM35" s="64"/>
      <c r="MN35" s="64"/>
      <c r="MO35" s="64"/>
      <c r="MP35" s="64"/>
      <c r="MQ35" s="64"/>
      <c r="MR35" s="64"/>
      <c r="MS35" s="64"/>
      <c r="MT35" s="64"/>
      <c r="MU35" s="64"/>
      <c r="MV35" s="64"/>
      <c r="MW35" s="64"/>
      <c r="MX35" s="64"/>
      <c r="MY35" s="1682">
        <f t="shared" si="3"/>
        <v>0</v>
      </c>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1687"/>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1026"/>
      <c r="RG35" s="6"/>
      <c r="RH35" s="64"/>
      <c r="RI35" s="6"/>
      <c r="RJ35" s="6"/>
      <c r="RK35" s="6"/>
      <c r="RL35" s="1691"/>
      <c r="RM35" s="1714"/>
      <c r="RN35" s="1724"/>
      <c r="RO35" s="169" t="s">
        <v>11087</v>
      </c>
      <c r="RR35" s="93"/>
      <c r="RS35" s="6"/>
      <c r="RV35" s="6" t="s">
        <v>12377</v>
      </c>
      <c r="RW35" s="1020" t="s">
        <v>12394</v>
      </c>
      <c r="RX35" s="1020" t="s">
        <v>8287</v>
      </c>
      <c r="RY35" s="1020">
        <v>7.56</v>
      </c>
      <c r="RZ35" s="1020" t="s">
        <v>7419</v>
      </c>
      <c r="SA35" s="6"/>
    </row>
    <row r="36" spans="1:495" s="1020" customFormat="1" ht="15" hidden="1" customHeight="1">
      <c r="A36" s="93" t="s">
        <v>14141</v>
      </c>
      <c r="B36" s="1121" t="s">
        <v>11095</v>
      </c>
      <c r="C36" s="169" t="s">
        <v>11087</v>
      </c>
      <c r="D36" s="6" t="s">
        <v>11088</v>
      </c>
      <c r="E36" s="6" t="s">
        <v>11089</v>
      </c>
      <c r="F36" s="6" t="s">
        <v>20</v>
      </c>
      <c r="G36" s="6" t="s">
        <v>18</v>
      </c>
      <c r="H36" s="6"/>
      <c r="I36" s="1012" t="s">
        <v>11090</v>
      </c>
      <c r="J36" s="6" t="s">
        <v>11091</v>
      </c>
      <c r="K36" s="6" t="s">
        <v>14086</v>
      </c>
      <c r="L36" s="6" t="s">
        <v>14089</v>
      </c>
      <c r="M36" s="6"/>
      <c r="N36" s="6" t="s">
        <v>11092</v>
      </c>
      <c r="O36" s="6" t="s">
        <v>11071</v>
      </c>
      <c r="P36" s="843" t="s">
        <v>11096</v>
      </c>
      <c r="Q36" s="1086">
        <v>17657</v>
      </c>
      <c r="R36" s="1015">
        <v>69</v>
      </c>
      <c r="S36" s="6" t="s">
        <v>10</v>
      </c>
      <c r="T36" s="6"/>
      <c r="U36" s="1016" t="s">
        <v>11090</v>
      </c>
      <c r="V36" s="6" t="s">
        <v>707</v>
      </c>
      <c r="W36" s="1016" t="s">
        <v>11088</v>
      </c>
      <c r="X36" s="1014"/>
      <c r="Y36" s="6" t="s">
        <v>11089</v>
      </c>
      <c r="Z36" s="6" t="s">
        <v>708</v>
      </c>
      <c r="AA36" s="6" t="s">
        <v>709</v>
      </c>
      <c r="AB36" s="1019" t="s">
        <v>7274</v>
      </c>
      <c r="AC36" s="6" t="s">
        <v>724</v>
      </c>
      <c r="AD36" s="6" t="s">
        <v>716</v>
      </c>
      <c r="AE36" s="6"/>
      <c r="AF36" s="6" t="s">
        <v>798</v>
      </c>
      <c r="AG36" s="6"/>
      <c r="AH36" s="6"/>
      <c r="AI36" s="6"/>
      <c r="AJ36" s="6"/>
      <c r="AK36" s="6" t="s">
        <v>1899</v>
      </c>
      <c r="AL36" s="124"/>
      <c r="AM36" s="45"/>
      <c r="AN36" s="47"/>
      <c r="AO36" s="6"/>
      <c r="AP36" s="6"/>
      <c r="AQ36" s="6"/>
      <c r="AR36" s="6"/>
      <c r="AS36" s="6"/>
      <c r="AT36" s="6"/>
      <c r="AU36" s="6"/>
      <c r="AV36" s="6"/>
      <c r="AW36" s="6"/>
      <c r="AX36" s="1032"/>
      <c r="AY36" s="6"/>
      <c r="AZ36" s="6"/>
      <c r="BA36" s="6"/>
      <c r="BB36" s="6"/>
      <c r="BC36" s="6"/>
      <c r="BD36" s="6"/>
      <c r="BE36" s="6"/>
      <c r="BF36" s="64"/>
      <c r="BG36" s="64"/>
      <c r="BH36" s="6"/>
      <c r="BI36" s="6"/>
      <c r="BJ36" s="6"/>
      <c r="BK36" s="6"/>
      <c r="BL36" s="6"/>
      <c r="BM36" s="6" t="s">
        <v>1238</v>
      </c>
      <c r="BN36" s="6" t="s">
        <v>1256</v>
      </c>
      <c r="BO36" s="1019"/>
      <c r="BP36" s="1033"/>
      <c r="BQ36" s="46"/>
      <c r="BR36" s="47"/>
      <c r="BS36" s="766" t="s">
        <v>1242</v>
      </c>
      <c r="BT36" s="1019"/>
      <c r="BU36" s="1019"/>
      <c r="BV36" s="1019"/>
      <c r="BW36" s="1019"/>
      <c r="BX36" s="96"/>
      <c r="BY36" s="6"/>
      <c r="BZ36" s="64"/>
      <c r="CA36" s="6"/>
      <c r="CB36" s="6"/>
      <c r="CC36" s="6"/>
      <c r="CD36" s="6"/>
      <c r="CE36" s="6"/>
      <c r="CF36" s="1021"/>
      <c r="CG36" s="1021"/>
      <c r="CH36" s="6"/>
      <c r="CI36" s="6"/>
      <c r="CJ36" s="6"/>
      <c r="CK36" s="6"/>
      <c r="CL36" s="6"/>
      <c r="CM36" s="6"/>
      <c r="CN36" s="6"/>
      <c r="CO36" s="6"/>
      <c r="CP36" s="6"/>
      <c r="CQ36" s="6"/>
      <c r="CR36" s="64"/>
      <c r="CS36" s="6"/>
      <c r="CT36" s="6"/>
      <c r="CU36" s="1022"/>
      <c r="CV36" s="6"/>
      <c r="CW36" s="6"/>
      <c r="CX36" s="6"/>
      <c r="CY36" s="6"/>
      <c r="CZ36" s="6"/>
      <c r="DA36" s="6"/>
      <c r="DB36" s="6"/>
      <c r="DC36" s="6"/>
      <c r="DD36" s="6"/>
      <c r="DE36" s="6"/>
      <c r="DF36" s="6"/>
      <c r="DG36" s="6"/>
      <c r="DH36" s="6"/>
      <c r="DI36" s="6"/>
      <c r="DJ36" s="6"/>
      <c r="DK36" s="6"/>
      <c r="DL36" s="6"/>
      <c r="DM36" s="6"/>
      <c r="DN36" s="6"/>
      <c r="DO36" s="6"/>
      <c r="DP36" s="6"/>
      <c r="DQ36" s="6"/>
      <c r="DR36" s="6"/>
      <c r="DS36" s="1023"/>
      <c r="DT36" s="6"/>
      <c r="DU36" s="6"/>
      <c r="DV36" s="6"/>
      <c r="DW36" s="1024"/>
      <c r="DX36" s="1024"/>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4"/>
      <c r="FE36" s="6"/>
      <c r="FF36" s="6"/>
      <c r="FG36" s="6"/>
      <c r="FH36" s="6" t="s">
        <v>1306</v>
      </c>
      <c r="FI36" s="6">
        <v>1</v>
      </c>
      <c r="FJ36" s="6" t="s">
        <v>11094</v>
      </c>
      <c r="FK36" s="1012" t="s">
        <v>11090</v>
      </c>
      <c r="FL36" s="6" t="s">
        <v>11097</v>
      </c>
      <c r="FM36" s="64"/>
      <c r="FN36" s="64"/>
      <c r="FO36" s="64"/>
      <c r="FP36" s="6" t="s">
        <v>1600</v>
      </c>
      <c r="FQ36" s="6" t="s">
        <v>1642</v>
      </c>
      <c r="FR36" s="1019"/>
      <c r="FS36" s="1019"/>
      <c r="FT36" s="1019"/>
      <c r="FU36" s="6"/>
      <c r="FV36" s="6"/>
      <c r="FW36" s="6"/>
      <c r="FX36" s="6"/>
      <c r="FY36" s="6"/>
      <c r="FZ36" s="6"/>
      <c r="GA36" s="6"/>
      <c r="GB36" s="6"/>
      <c r="GC36" s="1028"/>
      <c r="GD36" s="1015"/>
      <c r="GE36" s="6"/>
      <c r="GF36" s="64"/>
      <c r="GG36" s="64"/>
      <c r="GH36" s="1722"/>
      <c r="GI36" s="1722"/>
      <c r="GJ36" s="1722"/>
      <c r="GK36" s="1722"/>
      <c r="GL36" s="1722"/>
      <c r="GM36" s="1722"/>
      <c r="GN36" s="1723"/>
      <c r="GO36" s="1723"/>
      <c r="GP36" s="1723"/>
      <c r="GQ36" s="1723"/>
      <c r="GR36" s="1723"/>
      <c r="GS36" s="1722"/>
      <c r="GT36" s="1723"/>
      <c r="GU36" s="1722"/>
      <c r="GV36" s="1723"/>
      <c r="GW36" s="1723"/>
      <c r="GX36" s="1723"/>
      <c r="GY36" s="1723"/>
      <c r="GZ36" s="1723"/>
      <c r="HA36" s="1723"/>
      <c r="HB36" s="1723"/>
      <c r="HC36" s="1722"/>
      <c r="HD36" s="1723"/>
      <c r="HE36" s="1722"/>
      <c r="HF36" s="1722"/>
      <c r="HG36" s="1722"/>
      <c r="HH36" s="1722"/>
      <c r="HI36" s="1722"/>
      <c r="HJ36" s="1722"/>
      <c r="HK36" s="1722"/>
      <c r="HL36" s="6"/>
      <c r="HM36" s="6"/>
      <c r="HN36" s="6"/>
      <c r="HO36" s="6"/>
      <c r="HP36" s="6"/>
      <c r="HQ36" s="6"/>
      <c r="HR36" s="6"/>
      <c r="HS36" s="6">
        <v>1</v>
      </c>
      <c r="HT36" s="6"/>
      <c r="HU36" s="6"/>
      <c r="HV36" s="6"/>
      <c r="HW36" s="6"/>
      <c r="HX36" s="6"/>
      <c r="HY36" s="6"/>
      <c r="HZ36" s="6"/>
      <c r="IA36" s="6"/>
      <c r="IB36" s="6"/>
      <c r="IC36" s="6"/>
      <c r="ID36" s="6"/>
      <c r="IE36" s="6"/>
      <c r="IF36" s="6"/>
      <c r="IG36" s="6"/>
      <c r="IH36" s="6"/>
      <c r="II36" s="6"/>
      <c r="IJ36" s="6"/>
      <c r="IK36" s="6"/>
      <c r="IL36" s="6"/>
      <c r="IM36" s="1028"/>
      <c r="IN36" s="6"/>
      <c r="IO36" s="1014"/>
      <c r="IP36" s="6"/>
      <c r="IQ36" s="6"/>
      <c r="IR36" s="6"/>
      <c r="IS36" s="6"/>
      <c r="IT36" s="6"/>
      <c r="IU36" s="6"/>
      <c r="IV36" s="6"/>
      <c r="IW36" s="6"/>
      <c r="IX36" s="6"/>
      <c r="IY36" s="6"/>
      <c r="IZ36" s="6"/>
      <c r="JA36" s="6"/>
      <c r="JB36" s="6"/>
      <c r="JC36" s="6"/>
      <c r="JD36" s="64"/>
      <c r="JE36" s="6"/>
      <c r="JF36" s="1688"/>
      <c r="JG36" s="1687"/>
      <c r="JH36" s="1687"/>
      <c r="JI36" s="1687"/>
      <c r="JJ36" s="6"/>
      <c r="JK36" s="6"/>
      <c r="JL36" s="6"/>
      <c r="JM36" s="6"/>
      <c r="JN36" s="6"/>
      <c r="JO36" s="6"/>
      <c r="JP36" s="6"/>
      <c r="JQ36" s="6"/>
      <c r="JR36" s="6"/>
      <c r="JS36" s="6"/>
      <c r="JT36" s="766"/>
      <c r="JU36" s="766"/>
      <c r="JV36" s="766"/>
      <c r="JW36" s="766"/>
      <c r="JX36" s="6"/>
      <c r="JY36" s="6"/>
      <c r="JZ36" s="6"/>
      <c r="KA36" s="6"/>
      <c r="KB36" s="6"/>
      <c r="KC36" s="6"/>
      <c r="KD36" s="6"/>
      <c r="KE36" s="6"/>
      <c r="KF36" s="6"/>
      <c r="KG36" s="6"/>
      <c r="KH36" s="6"/>
      <c r="KI36" s="6"/>
      <c r="KJ36" s="770"/>
      <c r="KK36" s="770"/>
      <c r="KL36" s="770"/>
      <c r="KM36" s="770"/>
      <c r="KN36" s="6"/>
      <c r="KO36" s="1688"/>
      <c r="KP36" s="6"/>
      <c r="KQ36" s="6"/>
      <c r="KR36" s="6"/>
      <c r="KS36" s="6"/>
      <c r="KT36" s="6"/>
      <c r="KU36" s="6"/>
      <c r="KV36" s="6"/>
      <c r="KW36" s="6"/>
      <c r="KX36" s="6"/>
      <c r="KY36" s="6"/>
      <c r="KZ36" s="6"/>
      <c r="LA36" s="6"/>
      <c r="LB36" s="6"/>
      <c r="LC36" s="6"/>
      <c r="LD36" s="6"/>
      <c r="LE36" s="6"/>
      <c r="LF36" s="6"/>
      <c r="LG36" s="6"/>
      <c r="LH36" s="6"/>
      <c r="LI36" s="6"/>
      <c r="LJ36" s="6"/>
      <c r="LK36" s="6"/>
      <c r="LL36" s="6"/>
      <c r="LM36" s="6"/>
      <c r="LN36" s="766"/>
      <c r="LO36" s="766"/>
      <c r="LP36" s="6"/>
      <c r="LQ36" s="1690"/>
      <c r="LR36" s="6"/>
      <c r="LS36" s="6"/>
      <c r="LT36" s="6"/>
      <c r="LU36" s="6"/>
      <c r="LV36" s="6"/>
      <c r="LW36" s="6"/>
      <c r="LX36" s="1693"/>
      <c r="LY36" s="766" t="str">
        <f t="shared" si="0"/>
        <v/>
      </c>
      <c r="LZ36" s="1694"/>
      <c r="MA36" s="1694"/>
      <c r="MB36" s="1694"/>
      <c r="MC36" s="1679">
        <f t="shared" si="1"/>
        <v>0</v>
      </c>
      <c r="MD36" s="1694"/>
      <c r="ME36" s="1694"/>
      <c r="MF36" s="1694"/>
      <c r="MG36" s="1680">
        <f t="shared" si="2"/>
        <v>0</v>
      </c>
      <c r="MH36" s="1690"/>
      <c r="MI36" s="64"/>
      <c r="MJ36" s="64"/>
      <c r="MK36" s="64"/>
      <c r="ML36" s="64"/>
      <c r="MM36" s="64"/>
      <c r="MN36" s="64"/>
      <c r="MO36" s="64"/>
      <c r="MP36" s="64"/>
      <c r="MQ36" s="64"/>
      <c r="MR36" s="64"/>
      <c r="MS36" s="64"/>
      <c r="MT36" s="64"/>
      <c r="MU36" s="64"/>
      <c r="MV36" s="64"/>
      <c r="MW36" s="64"/>
      <c r="MX36" s="64"/>
      <c r="MY36" s="1682">
        <f t="shared" si="3"/>
        <v>0</v>
      </c>
      <c r="MZ36" s="6"/>
      <c r="NA36" s="6"/>
      <c r="NB36" s="6"/>
      <c r="NC36" s="6"/>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1687"/>
      <c r="OL36" s="6"/>
      <c r="OM36" s="6"/>
      <c r="ON36" s="6"/>
      <c r="OO36" s="6"/>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1026"/>
      <c r="RG36" s="6"/>
      <c r="RH36" s="64"/>
      <c r="RI36" s="1716"/>
      <c r="RJ36" s="6" t="s">
        <v>13048</v>
      </c>
      <c r="RK36" s="6"/>
      <c r="RL36" s="1691"/>
      <c r="RM36" s="1714" t="s">
        <v>13049</v>
      </c>
      <c r="RN36" s="1724"/>
      <c r="RO36" s="169" t="s">
        <v>11087</v>
      </c>
      <c r="RR36" s="93"/>
      <c r="RS36" s="6"/>
      <c r="RV36" s="6" t="s">
        <v>12377</v>
      </c>
      <c r="RW36" s="1020" t="s">
        <v>8289</v>
      </c>
      <c r="RX36" s="1020" t="s">
        <v>8287</v>
      </c>
      <c r="SA36" s="6"/>
    </row>
    <row r="37" spans="1:495" s="1020" customFormat="1" ht="15" hidden="1" customHeight="1">
      <c r="A37" s="861" t="s">
        <v>12378</v>
      </c>
      <c r="B37" s="1120" t="s">
        <v>11098</v>
      </c>
      <c r="C37" s="169" t="s">
        <v>11099</v>
      </c>
      <c r="D37" s="6" t="s">
        <v>11100</v>
      </c>
      <c r="E37" s="6" t="s">
        <v>11089</v>
      </c>
      <c r="F37" s="6" t="s">
        <v>28</v>
      </c>
      <c r="G37" s="6" t="s">
        <v>10</v>
      </c>
      <c r="H37" s="6"/>
      <c r="I37" s="1012"/>
      <c r="J37" s="6" t="s">
        <v>11100</v>
      </c>
      <c r="K37" s="6" t="s">
        <v>14088</v>
      </c>
      <c r="L37" s="6" t="s">
        <v>14090</v>
      </c>
      <c r="M37" s="6"/>
      <c r="N37" s="6" t="s">
        <v>11092</v>
      </c>
      <c r="O37" s="6" t="s">
        <v>11071</v>
      </c>
      <c r="P37" s="843" t="s">
        <v>11101</v>
      </c>
      <c r="Q37" s="1086">
        <v>19348</v>
      </c>
      <c r="R37" s="1015">
        <v>63</v>
      </c>
      <c r="S37" s="6" t="s">
        <v>10</v>
      </c>
      <c r="T37" s="6"/>
      <c r="U37" s="1016"/>
      <c r="V37" s="6" t="s">
        <v>783</v>
      </c>
      <c r="W37" s="1016"/>
      <c r="X37" s="1014"/>
      <c r="Y37" s="6" t="s">
        <v>11089</v>
      </c>
      <c r="Z37" s="6" t="s">
        <v>708</v>
      </c>
      <c r="AA37" s="6" t="s">
        <v>709</v>
      </c>
      <c r="AB37" s="1019" t="s">
        <v>710</v>
      </c>
      <c r="AC37" s="6"/>
      <c r="AD37" s="6" t="s">
        <v>711</v>
      </c>
      <c r="AE37" s="6"/>
      <c r="AF37" s="6"/>
      <c r="AG37" s="6"/>
      <c r="AH37" s="6"/>
      <c r="AI37" s="6"/>
      <c r="AJ37" s="6"/>
      <c r="AK37" s="766" t="s">
        <v>5454</v>
      </c>
      <c r="AL37" s="124"/>
      <c r="AM37" s="45">
        <v>6.64</v>
      </c>
      <c r="AN37" s="47"/>
      <c r="AO37" s="6"/>
      <c r="AP37" s="6"/>
      <c r="AQ37" s="6"/>
      <c r="AR37" s="6"/>
      <c r="AS37" s="6"/>
      <c r="AT37" s="6"/>
      <c r="AU37" s="6"/>
      <c r="AV37" s="6"/>
      <c r="AW37" s="6"/>
      <c r="AX37" s="1032"/>
      <c r="AY37" s="6"/>
      <c r="AZ37" s="6"/>
      <c r="BA37" s="6"/>
      <c r="BB37" s="6"/>
      <c r="BC37" s="6"/>
      <c r="BD37" s="6"/>
      <c r="BE37" s="6"/>
      <c r="BF37" s="64"/>
      <c r="BG37" s="64"/>
      <c r="BH37" s="6"/>
      <c r="BI37" s="6"/>
      <c r="BJ37" s="6"/>
      <c r="BK37" s="6" t="s">
        <v>1095</v>
      </c>
      <c r="BL37" s="6" t="s">
        <v>11102</v>
      </c>
      <c r="BM37" s="6" t="s">
        <v>8108</v>
      </c>
      <c r="BN37" s="6" t="s">
        <v>1230</v>
      </c>
      <c r="BO37" s="1019" t="s">
        <v>1246</v>
      </c>
      <c r="BP37" s="1033">
        <v>66.400000000000006</v>
      </c>
      <c r="BQ37" s="46">
        <v>6.64</v>
      </c>
      <c r="BR37" s="47">
        <f t="shared" si="5"/>
        <v>9.9999999999999992E-2</v>
      </c>
      <c r="BS37" s="766" t="s">
        <v>1242</v>
      </c>
      <c r="BT37" s="1019"/>
      <c r="BU37" s="1019"/>
      <c r="BV37" s="1019"/>
      <c r="BW37" s="1019"/>
      <c r="BX37" s="96"/>
      <c r="BY37" s="6"/>
      <c r="BZ37" s="64"/>
      <c r="CA37" s="6"/>
      <c r="CB37" s="6"/>
      <c r="CC37" s="6"/>
      <c r="CD37" s="6"/>
      <c r="CE37" s="6"/>
      <c r="CF37" s="1021"/>
      <c r="CG37" s="1021"/>
      <c r="CH37" s="6"/>
      <c r="CI37" s="6"/>
      <c r="CJ37" s="6"/>
      <c r="CK37" s="6"/>
      <c r="CL37" s="6"/>
      <c r="CM37" s="6"/>
      <c r="CN37" s="6"/>
      <c r="CO37" s="6"/>
      <c r="CP37" s="6"/>
      <c r="CQ37" s="6"/>
      <c r="CR37" s="64"/>
      <c r="CS37" s="6"/>
      <c r="CT37" s="6"/>
      <c r="CU37" s="1022"/>
      <c r="CV37" s="6"/>
      <c r="CW37" s="6"/>
      <c r="CX37" s="6"/>
      <c r="CY37" s="6"/>
      <c r="CZ37" s="6"/>
      <c r="DA37" s="6"/>
      <c r="DB37" s="6"/>
      <c r="DC37" s="6"/>
      <c r="DD37" s="6"/>
      <c r="DE37" s="6"/>
      <c r="DF37" s="6"/>
      <c r="DG37" s="6"/>
      <c r="DH37" s="6"/>
      <c r="DI37" s="6"/>
      <c r="DJ37" s="6"/>
      <c r="DK37" s="6"/>
      <c r="DL37" s="6"/>
      <c r="DM37" s="6"/>
      <c r="DN37" s="6"/>
      <c r="DO37" s="6"/>
      <c r="DP37" s="6"/>
      <c r="DQ37" s="6"/>
      <c r="DR37" s="6"/>
      <c r="DS37" s="1023"/>
      <c r="DT37" s="6"/>
      <c r="DU37" s="6"/>
      <c r="DV37" s="6"/>
      <c r="DW37" s="1024"/>
      <c r="DX37" s="1024"/>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4"/>
      <c r="FE37" s="6"/>
      <c r="FF37" s="6"/>
      <c r="FG37" s="6"/>
      <c r="FH37" s="6" t="s">
        <v>478</v>
      </c>
      <c r="FI37" s="6">
        <v>1</v>
      </c>
      <c r="FJ37" s="6"/>
      <c r="FK37" s="6"/>
      <c r="FL37" s="6"/>
      <c r="FM37" s="64"/>
      <c r="FN37" s="64"/>
      <c r="FO37" s="64"/>
      <c r="FP37" s="6" t="s">
        <v>1600</v>
      </c>
      <c r="FQ37" s="6" t="s">
        <v>1642</v>
      </c>
      <c r="FR37" s="1019"/>
      <c r="FS37" s="1019"/>
      <c r="FT37" s="1019"/>
      <c r="FU37" s="6"/>
      <c r="FV37" s="6"/>
      <c r="FW37" s="6"/>
      <c r="FX37" s="6"/>
      <c r="FY37" s="6"/>
      <c r="FZ37" s="6"/>
      <c r="GA37" s="6"/>
      <c r="GB37" s="6"/>
      <c r="GC37" s="1028"/>
      <c r="GD37" s="1015"/>
      <c r="GE37" s="6"/>
      <c r="GF37" s="64"/>
      <c r="GG37" s="64"/>
      <c r="GH37" s="1722"/>
      <c r="GI37" s="1722"/>
      <c r="GJ37" s="1722"/>
      <c r="GK37" s="1722"/>
      <c r="GL37" s="1722"/>
      <c r="GM37" s="1722"/>
      <c r="GN37" s="1723"/>
      <c r="GO37" s="1723"/>
      <c r="GP37" s="1723"/>
      <c r="GQ37" s="1723"/>
      <c r="GR37" s="1723"/>
      <c r="GS37" s="1722"/>
      <c r="GT37" s="1723"/>
      <c r="GU37" s="1722"/>
      <c r="GV37" s="1723"/>
      <c r="GW37" s="1723"/>
      <c r="GX37" s="1723"/>
      <c r="GY37" s="1723"/>
      <c r="GZ37" s="1723"/>
      <c r="HA37" s="1723"/>
      <c r="HB37" s="1723"/>
      <c r="HC37" s="1722"/>
      <c r="HD37" s="1723"/>
      <c r="HE37" s="1722"/>
      <c r="HF37" s="1722"/>
      <c r="HG37" s="1722"/>
      <c r="HH37" s="1722"/>
      <c r="HI37" s="1722"/>
      <c r="HJ37" s="1722"/>
      <c r="HK37" s="1722"/>
      <c r="HL37" s="6"/>
      <c r="HM37" s="6"/>
      <c r="HN37" s="6"/>
      <c r="HO37" s="6"/>
      <c r="HP37" s="6"/>
      <c r="HQ37" s="6"/>
      <c r="HR37" s="6"/>
      <c r="HS37" s="6"/>
      <c r="HT37" s="6"/>
      <c r="HU37" s="6"/>
      <c r="HV37" s="6"/>
      <c r="HW37" s="6"/>
      <c r="HX37" s="6"/>
      <c r="HY37" s="6"/>
      <c r="HZ37" s="6"/>
      <c r="IA37" s="6"/>
      <c r="IB37" s="6"/>
      <c r="IC37" s="6"/>
      <c r="ID37" s="6" t="s">
        <v>11103</v>
      </c>
      <c r="IE37" s="6">
        <v>1</v>
      </c>
      <c r="IF37" s="6"/>
      <c r="IG37" s="6"/>
      <c r="IH37" s="6"/>
      <c r="II37" s="6"/>
      <c r="IJ37" s="6"/>
      <c r="IK37" s="6"/>
      <c r="IL37" s="6"/>
      <c r="IM37" s="1028"/>
      <c r="IN37" s="6"/>
      <c r="IO37" s="1014"/>
      <c r="IP37" s="6"/>
      <c r="IQ37" s="6"/>
      <c r="IR37" s="6"/>
      <c r="IS37" s="6"/>
      <c r="IT37" s="6"/>
      <c r="IU37" s="6"/>
      <c r="IV37" s="6"/>
      <c r="IW37" s="6"/>
      <c r="IX37" s="6"/>
      <c r="IY37" s="6"/>
      <c r="IZ37" s="6"/>
      <c r="JA37" s="6"/>
      <c r="JB37" s="6"/>
      <c r="JC37" s="6"/>
      <c r="JD37" s="64"/>
      <c r="JE37" s="6"/>
      <c r="JF37" s="1688"/>
      <c r="JG37" s="1687"/>
      <c r="JH37" s="1687"/>
      <c r="JI37" s="1687"/>
      <c r="JJ37" s="6"/>
      <c r="JK37" s="6"/>
      <c r="JL37" s="6"/>
      <c r="JM37" s="6"/>
      <c r="JN37" s="6"/>
      <c r="JO37" s="6"/>
      <c r="JP37" s="6"/>
      <c r="JQ37" s="6"/>
      <c r="JR37" s="6"/>
      <c r="JS37" s="6"/>
      <c r="JT37" s="766"/>
      <c r="JU37" s="766"/>
      <c r="JV37" s="766"/>
      <c r="JW37" s="766"/>
      <c r="JX37" s="6"/>
      <c r="JY37" s="6"/>
      <c r="JZ37" s="6"/>
      <c r="KA37" s="6"/>
      <c r="KB37" s="6"/>
      <c r="KC37" s="6"/>
      <c r="KD37" s="6"/>
      <c r="KE37" s="6"/>
      <c r="KF37" s="6"/>
      <c r="KG37" s="6"/>
      <c r="KH37" s="6"/>
      <c r="KI37" s="6"/>
      <c r="KJ37" s="770"/>
      <c r="KK37" s="770"/>
      <c r="KL37" s="770"/>
      <c r="KM37" s="770"/>
      <c r="KN37" s="6"/>
      <c r="KO37" s="1688"/>
      <c r="KP37" s="6"/>
      <c r="KQ37" s="6"/>
      <c r="KR37" s="6"/>
      <c r="KS37" s="6"/>
      <c r="KT37" s="6"/>
      <c r="KU37" s="6"/>
      <c r="KV37" s="6"/>
      <c r="KW37" s="6"/>
      <c r="KX37" s="6"/>
      <c r="KY37" s="6"/>
      <c r="KZ37" s="6"/>
      <c r="LA37" s="6"/>
      <c r="LB37" s="6"/>
      <c r="LC37" s="6"/>
      <c r="LD37" s="6"/>
      <c r="LE37" s="6"/>
      <c r="LF37" s="6"/>
      <c r="LG37" s="6"/>
      <c r="LH37" s="6"/>
      <c r="LI37" s="6"/>
      <c r="LJ37" s="6"/>
      <c r="LK37" s="6"/>
      <c r="LL37" s="6"/>
      <c r="LM37" s="6"/>
      <c r="LN37" s="766"/>
      <c r="LO37" s="766"/>
      <c r="LP37" s="6"/>
      <c r="LQ37" s="1690"/>
      <c r="LR37" s="6"/>
      <c r="LS37" s="6"/>
      <c r="LT37" s="6"/>
      <c r="LU37" s="6"/>
      <c r="LV37" s="6"/>
      <c r="LW37" s="6"/>
      <c r="LX37" s="1693"/>
      <c r="LY37" s="766" t="str">
        <f t="shared" ref="LY37:LY68" si="6">IF(ISBLANK(LX37)=TRUE,"",LOOKUP(LX37,RT:RU))</f>
        <v/>
      </c>
      <c r="LZ37" s="1694"/>
      <c r="MA37" s="1694"/>
      <c r="MB37" s="1694"/>
      <c r="MC37" s="1679">
        <f t="shared" si="1"/>
        <v>0</v>
      </c>
      <c r="MD37" s="1694"/>
      <c r="ME37" s="1694"/>
      <c r="MF37" s="1694"/>
      <c r="MG37" s="1680">
        <f t="shared" si="2"/>
        <v>0</v>
      </c>
      <c r="MH37" s="1690"/>
      <c r="MI37" s="64"/>
      <c r="MJ37" s="64"/>
      <c r="MK37" s="64"/>
      <c r="ML37" s="64"/>
      <c r="MM37" s="64"/>
      <c r="MN37" s="64"/>
      <c r="MO37" s="64"/>
      <c r="MP37" s="64"/>
      <c r="MQ37" s="64"/>
      <c r="MR37" s="64"/>
      <c r="MS37" s="64"/>
      <c r="MT37" s="64"/>
      <c r="MU37" s="64"/>
      <c r="MV37" s="64"/>
      <c r="MW37" s="64"/>
      <c r="MX37" s="64"/>
      <c r="MY37" s="1682">
        <f t="shared" si="3"/>
        <v>0</v>
      </c>
      <c r="MZ37" s="6"/>
      <c r="NA37" s="6"/>
      <c r="NB37" s="6"/>
      <c r="NC37" s="6"/>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1687"/>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1026"/>
      <c r="RG37" s="6"/>
      <c r="RH37" s="64"/>
      <c r="RI37" s="6"/>
      <c r="RJ37" s="6" t="s">
        <v>11102</v>
      </c>
      <c r="RK37" s="6"/>
      <c r="RL37" s="1691"/>
      <c r="RM37" s="1714"/>
      <c r="RN37" s="1724"/>
      <c r="RO37" s="169" t="s">
        <v>11099</v>
      </c>
      <c r="RR37" s="93"/>
      <c r="RS37" s="6"/>
      <c r="RV37" s="6" t="s">
        <v>7419</v>
      </c>
      <c r="RW37" s="1020" t="s">
        <v>11914</v>
      </c>
      <c r="RX37" s="1020" t="s">
        <v>11087</v>
      </c>
      <c r="RY37" s="1020">
        <v>4.78</v>
      </c>
      <c r="RZ37" s="1020" t="s">
        <v>7419</v>
      </c>
      <c r="SA37" s="6"/>
    </row>
    <row r="38" spans="1:495" s="1020" customFormat="1" ht="15" customHeight="1">
      <c r="A38" s="93" t="s">
        <v>7421</v>
      </c>
      <c r="B38" s="1119" t="s">
        <v>12395</v>
      </c>
      <c r="C38" s="169" t="s">
        <v>11104</v>
      </c>
      <c r="D38" s="6" t="s">
        <v>11105</v>
      </c>
      <c r="E38" s="6" t="s">
        <v>11089</v>
      </c>
      <c r="F38" s="6" t="s">
        <v>11106</v>
      </c>
      <c r="G38" s="6" t="s">
        <v>18</v>
      </c>
      <c r="H38" s="6"/>
      <c r="I38" s="1012" t="s">
        <v>11107</v>
      </c>
      <c r="J38" s="6" t="s">
        <v>11108</v>
      </c>
      <c r="K38" s="6" t="s">
        <v>14091</v>
      </c>
      <c r="L38" s="6" t="s">
        <v>14089</v>
      </c>
      <c r="M38" s="6"/>
      <c r="N38" s="6" t="s">
        <v>11092</v>
      </c>
      <c r="O38" s="6" t="s">
        <v>11071</v>
      </c>
      <c r="P38" s="843" t="s">
        <v>11109</v>
      </c>
      <c r="Q38" s="1086"/>
      <c r="R38" s="1015"/>
      <c r="S38" s="6" t="s">
        <v>10</v>
      </c>
      <c r="T38" s="6"/>
      <c r="U38" s="1016" t="s">
        <v>11107</v>
      </c>
      <c r="V38" s="6" t="s">
        <v>707</v>
      </c>
      <c r="W38" s="1016"/>
      <c r="X38" s="1014"/>
      <c r="Y38" s="6" t="s">
        <v>11089</v>
      </c>
      <c r="Z38" s="6" t="s">
        <v>708</v>
      </c>
      <c r="AA38" s="6" t="s">
        <v>709</v>
      </c>
      <c r="AB38" s="1019" t="s">
        <v>7275</v>
      </c>
      <c r="AC38" s="6"/>
      <c r="AD38" s="6" t="s">
        <v>711</v>
      </c>
      <c r="AE38" s="6"/>
      <c r="AF38" s="6" t="s">
        <v>4689</v>
      </c>
      <c r="AG38" s="6" t="s">
        <v>11110</v>
      </c>
      <c r="AH38" s="766" t="s">
        <v>1096</v>
      </c>
      <c r="AI38" s="6"/>
      <c r="AJ38" s="6" t="s">
        <v>1137</v>
      </c>
      <c r="AK38" s="6" t="s">
        <v>1101</v>
      </c>
      <c r="AL38" s="45">
        <v>23.76</v>
      </c>
      <c r="AM38" s="45">
        <v>23.76</v>
      </c>
      <c r="AN38" s="47">
        <f>AM38/AL38</f>
        <v>1</v>
      </c>
      <c r="AO38" s="561" t="s">
        <v>12384</v>
      </c>
      <c r="AP38" s="6"/>
      <c r="AQ38" s="6"/>
      <c r="AR38" s="6"/>
      <c r="AS38" s="6"/>
      <c r="AT38" s="6"/>
      <c r="AU38" s="6"/>
      <c r="AV38" s="6"/>
      <c r="AW38" s="6"/>
      <c r="AX38" s="1032"/>
      <c r="AY38" s="6"/>
      <c r="AZ38" s="6"/>
      <c r="BA38" s="6"/>
      <c r="BB38" s="6"/>
      <c r="BC38" s="6"/>
      <c r="BD38" s="6"/>
      <c r="BE38" s="6"/>
      <c r="BF38" s="64"/>
      <c r="BG38" s="64"/>
      <c r="BH38" s="6"/>
      <c r="BI38" s="6"/>
      <c r="BJ38" s="6"/>
      <c r="BK38" s="6"/>
      <c r="BL38" s="6"/>
      <c r="BM38" s="6"/>
      <c r="BN38" s="6"/>
      <c r="BO38" s="1019"/>
      <c r="BP38" s="1033"/>
      <c r="BQ38" s="46"/>
      <c r="BR38" s="47"/>
      <c r="BS38" s="6"/>
      <c r="BT38" s="1019"/>
      <c r="BU38" s="1019"/>
      <c r="BV38" s="1019"/>
      <c r="BW38" s="1019"/>
      <c r="BX38" s="96"/>
      <c r="BY38" s="6"/>
      <c r="BZ38" s="64"/>
      <c r="CA38" s="6"/>
      <c r="CB38" s="6" t="s">
        <v>1207</v>
      </c>
      <c r="CC38" s="6"/>
      <c r="CD38" s="6"/>
      <c r="CE38" s="6"/>
      <c r="CF38" s="1021">
        <v>2</v>
      </c>
      <c r="CG38" s="1021">
        <v>1</v>
      </c>
      <c r="CH38" s="6"/>
      <c r="CI38" s="6"/>
      <c r="CJ38" s="6" t="s">
        <v>11026</v>
      </c>
      <c r="CK38" s="6">
        <v>4</v>
      </c>
      <c r="CL38" s="6"/>
      <c r="CM38" s="6"/>
      <c r="CN38" s="6"/>
      <c r="CO38" s="6" t="s">
        <v>1105</v>
      </c>
      <c r="CP38" s="6"/>
      <c r="CQ38" s="6"/>
      <c r="CR38" s="64"/>
      <c r="CS38" s="6"/>
      <c r="CT38" s="6"/>
      <c r="CU38" s="1022"/>
      <c r="CV38" s="6"/>
      <c r="CW38" s="6"/>
      <c r="CX38" s="6"/>
      <c r="CY38" s="6"/>
      <c r="CZ38" s="6"/>
      <c r="DA38" s="6"/>
      <c r="DB38" s="6"/>
      <c r="DC38" s="6"/>
      <c r="DD38" s="6"/>
      <c r="DE38" s="6"/>
      <c r="DF38" s="6"/>
      <c r="DG38" s="6"/>
      <c r="DH38" s="6"/>
      <c r="DI38" s="6"/>
      <c r="DJ38" s="6"/>
      <c r="DK38" s="6"/>
      <c r="DL38" s="6"/>
      <c r="DM38" s="6"/>
      <c r="DN38" s="6"/>
      <c r="DO38" s="6"/>
      <c r="DP38" s="6"/>
      <c r="DQ38" s="6"/>
      <c r="DR38" s="6"/>
      <c r="DS38" s="1023"/>
      <c r="DT38" s="6"/>
      <c r="DU38" s="6"/>
      <c r="DV38" s="6"/>
      <c r="DW38" s="1024"/>
      <c r="DX38" s="1024"/>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t="s">
        <v>3092</v>
      </c>
      <c r="FB38" s="6" t="s">
        <v>1105</v>
      </c>
      <c r="FC38" s="6"/>
      <c r="FD38" s="64"/>
      <c r="FE38" s="6" t="s">
        <v>11111</v>
      </c>
      <c r="FF38" s="6"/>
      <c r="FG38" s="6" t="s">
        <v>11112</v>
      </c>
      <c r="FH38" s="6"/>
      <c r="FI38" s="6"/>
      <c r="FJ38" s="6"/>
      <c r="FK38" s="6"/>
      <c r="FL38" s="6"/>
      <c r="FM38" s="64"/>
      <c r="FN38" s="64"/>
      <c r="FO38" s="64"/>
      <c r="FP38" s="6"/>
      <c r="FQ38" s="6"/>
      <c r="FR38" s="1019"/>
      <c r="FS38" s="1019"/>
      <c r="FT38" s="1019"/>
      <c r="FU38" s="6"/>
      <c r="FV38" s="6"/>
      <c r="FW38" s="6"/>
      <c r="FX38" s="6"/>
      <c r="FY38" s="6"/>
      <c r="FZ38" s="6"/>
      <c r="GA38" s="6"/>
      <c r="GB38" s="6"/>
      <c r="GC38" s="1028"/>
      <c r="GD38" s="1015"/>
      <c r="GE38" s="6"/>
      <c r="GF38" s="64"/>
      <c r="GG38" s="64"/>
      <c r="GH38" s="1722"/>
      <c r="GI38" s="1722"/>
      <c r="GJ38" s="1722"/>
      <c r="GK38" s="1722"/>
      <c r="GL38" s="1722"/>
      <c r="GM38" s="1722"/>
      <c r="GN38" s="1723"/>
      <c r="GO38" s="1723"/>
      <c r="GP38" s="1723"/>
      <c r="GQ38" s="1723"/>
      <c r="GR38" s="1723"/>
      <c r="GS38" s="1722"/>
      <c r="GT38" s="1723"/>
      <c r="GU38" s="1722"/>
      <c r="GV38" s="1723"/>
      <c r="GW38" s="1723"/>
      <c r="GX38" s="1723"/>
      <c r="GY38" s="1723"/>
      <c r="GZ38" s="1723"/>
      <c r="HA38" s="1723"/>
      <c r="HB38" s="1723"/>
      <c r="HC38" s="1722"/>
      <c r="HD38" s="1723"/>
      <c r="HE38" s="1722"/>
      <c r="HF38" s="1722"/>
      <c r="HG38" s="1722"/>
      <c r="HH38" s="1722"/>
      <c r="HI38" s="1722"/>
      <c r="HJ38" s="1722"/>
      <c r="HK38" s="1722"/>
      <c r="HL38" s="6"/>
      <c r="HM38" s="6"/>
      <c r="HN38" s="6"/>
      <c r="HO38" s="6"/>
      <c r="HP38" s="6"/>
      <c r="HQ38" s="6"/>
      <c r="HR38" s="6">
        <v>2</v>
      </c>
      <c r="HS38" s="6"/>
      <c r="HT38" s="6"/>
      <c r="HU38" s="6"/>
      <c r="HV38" s="6"/>
      <c r="HW38" s="6"/>
      <c r="HX38" s="6"/>
      <c r="HY38" s="6"/>
      <c r="HZ38" s="6"/>
      <c r="IA38" s="6"/>
      <c r="IB38" s="6"/>
      <c r="IC38" s="6"/>
      <c r="ID38" s="6" t="s">
        <v>11113</v>
      </c>
      <c r="IE38" s="6"/>
      <c r="IF38" s="6"/>
      <c r="IG38" s="6"/>
      <c r="IH38" s="6"/>
      <c r="II38" s="6"/>
      <c r="IJ38" s="6"/>
      <c r="IK38" s="6"/>
      <c r="IL38" s="6"/>
      <c r="IM38" s="1028"/>
      <c r="IN38" s="6"/>
      <c r="IO38" s="1014"/>
      <c r="IP38" s="6"/>
      <c r="IQ38" s="6"/>
      <c r="IR38" s="6"/>
      <c r="IS38" s="6"/>
      <c r="IT38" s="6"/>
      <c r="IU38" s="6"/>
      <c r="IV38" s="6"/>
      <c r="IW38" s="6"/>
      <c r="IX38" s="6"/>
      <c r="IY38" s="6"/>
      <c r="IZ38" s="6"/>
      <c r="JA38" s="6"/>
      <c r="JB38" s="6"/>
      <c r="JC38" s="6"/>
      <c r="JD38" s="64"/>
      <c r="JE38" s="6"/>
      <c r="JF38" s="1688"/>
      <c r="JG38" s="1687"/>
      <c r="JH38" s="1687"/>
      <c r="JI38" s="1687"/>
      <c r="JJ38" s="6"/>
      <c r="JK38" s="6"/>
      <c r="JL38" s="6"/>
      <c r="JM38" s="6"/>
      <c r="JN38" s="6"/>
      <c r="JO38" s="6"/>
      <c r="JP38" s="6"/>
      <c r="JQ38" s="6"/>
      <c r="JR38" s="6"/>
      <c r="JS38" s="6"/>
      <c r="JT38" s="766"/>
      <c r="JU38" s="766"/>
      <c r="JV38" s="766"/>
      <c r="JW38" s="766"/>
      <c r="JX38" s="6"/>
      <c r="JY38" s="6"/>
      <c r="JZ38" s="6"/>
      <c r="KA38" s="6"/>
      <c r="KB38" s="6"/>
      <c r="KC38" s="6"/>
      <c r="KD38" s="6"/>
      <c r="KE38" s="6"/>
      <c r="KF38" s="6"/>
      <c r="KG38" s="6"/>
      <c r="KH38" s="6"/>
      <c r="KI38" s="6"/>
      <c r="KJ38" s="770"/>
      <c r="KK38" s="770"/>
      <c r="KL38" s="770"/>
      <c r="KM38" s="770"/>
      <c r="KN38" s="6"/>
      <c r="KO38" s="1688"/>
      <c r="KP38" s="6"/>
      <c r="KQ38" s="6"/>
      <c r="KR38" s="6"/>
      <c r="KS38" s="6"/>
      <c r="KT38" s="6"/>
      <c r="KU38" s="6"/>
      <c r="KV38" s="6"/>
      <c r="KW38" s="6"/>
      <c r="KX38" s="6"/>
      <c r="KY38" s="6"/>
      <c r="KZ38" s="6"/>
      <c r="LA38" s="6"/>
      <c r="LB38" s="6"/>
      <c r="LC38" s="6"/>
      <c r="LD38" s="6"/>
      <c r="LE38" s="6"/>
      <c r="LF38" s="6"/>
      <c r="LG38" s="6"/>
      <c r="LH38" s="6"/>
      <c r="LI38" s="6"/>
      <c r="LJ38" s="6"/>
      <c r="LK38" s="6"/>
      <c r="LL38" s="6"/>
      <c r="LM38" s="6"/>
      <c r="LN38" s="766"/>
      <c r="LO38" s="766"/>
      <c r="LP38" s="6"/>
      <c r="LQ38" s="1690"/>
      <c r="LR38" s="6"/>
      <c r="LS38" s="6"/>
      <c r="LT38" s="6"/>
      <c r="LU38" s="6"/>
      <c r="LV38" s="6"/>
      <c r="LW38" s="6"/>
      <c r="LX38" s="1693"/>
      <c r="LY38" s="766" t="str">
        <f t="shared" si="6"/>
        <v/>
      </c>
      <c r="LZ38" s="1694"/>
      <c r="MA38" s="1694"/>
      <c r="MB38" s="1694"/>
      <c r="MC38" s="1679">
        <f t="shared" si="1"/>
        <v>0</v>
      </c>
      <c r="MD38" s="1694"/>
      <c r="ME38" s="1694"/>
      <c r="MF38" s="1694"/>
      <c r="MG38" s="1680">
        <f t="shared" si="2"/>
        <v>0</v>
      </c>
      <c r="MH38" s="1690"/>
      <c r="MI38" s="64"/>
      <c r="MJ38" s="64"/>
      <c r="MK38" s="64"/>
      <c r="ML38" s="64"/>
      <c r="MM38" s="64"/>
      <c r="MN38" s="64"/>
      <c r="MO38" s="64"/>
      <c r="MP38" s="64"/>
      <c r="MQ38" s="64"/>
      <c r="MR38" s="64"/>
      <c r="MS38" s="64"/>
      <c r="MT38" s="64"/>
      <c r="MU38" s="64"/>
      <c r="MV38" s="64"/>
      <c r="MW38" s="64"/>
      <c r="MX38" s="64"/>
      <c r="MY38" s="1682">
        <f t="shared" si="3"/>
        <v>0</v>
      </c>
      <c r="MZ38" s="6"/>
      <c r="NA38" s="6"/>
      <c r="NB38" s="6"/>
      <c r="NC38" s="6"/>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1687"/>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1026"/>
      <c r="RG38" s="6"/>
      <c r="RH38" s="64"/>
      <c r="RI38" s="6"/>
      <c r="RJ38" s="6"/>
      <c r="RK38" s="6"/>
      <c r="RL38" s="1691"/>
      <c r="RM38" s="1714"/>
      <c r="RN38" s="1724"/>
      <c r="RO38" s="169" t="s">
        <v>11104</v>
      </c>
      <c r="RR38" s="93"/>
      <c r="RS38" s="6"/>
      <c r="RV38" s="6" t="s">
        <v>12378</v>
      </c>
      <c r="RW38" s="1020" t="s">
        <v>11095</v>
      </c>
      <c r="RX38" s="1020" t="s">
        <v>11087</v>
      </c>
      <c r="SA38" s="6"/>
    </row>
    <row r="39" spans="1:495" s="1020" customFormat="1" ht="15" customHeight="1">
      <c r="A39" s="93" t="s">
        <v>7421</v>
      </c>
      <c r="B39" s="1119" t="s">
        <v>12396</v>
      </c>
      <c r="C39" s="169" t="s">
        <v>11114</v>
      </c>
      <c r="D39" s="6" t="s">
        <v>11115</v>
      </c>
      <c r="E39" s="6" t="s">
        <v>11089</v>
      </c>
      <c r="F39" s="6" t="s">
        <v>20</v>
      </c>
      <c r="G39" s="6" t="s">
        <v>18</v>
      </c>
      <c r="H39" s="6"/>
      <c r="I39" s="1012" t="s">
        <v>11107</v>
      </c>
      <c r="J39" s="843" t="s">
        <v>11116</v>
      </c>
      <c r="K39" s="6" t="s">
        <v>14092</v>
      </c>
      <c r="L39" s="6" t="s">
        <v>14093</v>
      </c>
      <c r="M39" s="6"/>
      <c r="N39" s="6" t="s">
        <v>11092</v>
      </c>
      <c r="O39" s="6" t="s">
        <v>11071</v>
      </c>
      <c r="P39" s="843" t="s">
        <v>11117</v>
      </c>
      <c r="Q39" s="1086">
        <v>23321</v>
      </c>
      <c r="R39" s="1015">
        <v>53</v>
      </c>
      <c r="S39" s="6" t="s">
        <v>10</v>
      </c>
      <c r="T39" s="6"/>
      <c r="U39" s="1016" t="s">
        <v>11107</v>
      </c>
      <c r="V39" s="6" t="s">
        <v>707</v>
      </c>
      <c r="W39" s="1016" t="s">
        <v>11118</v>
      </c>
      <c r="X39" s="1014">
        <v>24142</v>
      </c>
      <c r="Y39" s="6" t="s">
        <v>11089</v>
      </c>
      <c r="Z39" s="6" t="s">
        <v>708</v>
      </c>
      <c r="AA39" s="6" t="s">
        <v>11119</v>
      </c>
      <c r="AB39" s="1019" t="s">
        <v>710</v>
      </c>
      <c r="AC39" s="6"/>
      <c r="AD39" s="6" t="s">
        <v>711</v>
      </c>
      <c r="AE39" s="6" t="s">
        <v>1734</v>
      </c>
      <c r="AF39" s="6"/>
      <c r="AG39" s="6" t="s">
        <v>11110</v>
      </c>
      <c r="AH39" s="766" t="s">
        <v>1096</v>
      </c>
      <c r="AI39" s="6"/>
      <c r="AJ39" s="6" t="s">
        <v>1137</v>
      </c>
      <c r="AK39" s="6" t="s">
        <v>1101</v>
      </c>
      <c r="AL39" s="45">
        <v>21.42</v>
      </c>
      <c r="AM39" s="45">
        <v>21.42</v>
      </c>
      <c r="AN39" s="47">
        <f>AM39/AL39</f>
        <v>1</v>
      </c>
      <c r="AO39" s="561" t="s">
        <v>12384</v>
      </c>
      <c r="AP39" s="6"/>
      <c r="AQ39" s="6"/>
      <c r="AR39" s="6"/>
      <c r="AS39" s="6"/>
      <c r="AT39" s="6"/>
      <c r="AU39" s="6"/>
      <c r="AV39" s="6"/>
      <c r="AW39" s="6"/>
      <c r="AX39" s="1032"/>
      <c r="AY39" s="6"/>
      <c r="AZ39" s="6"/>
      <c r="BA39" s="6"/>
      <c r="BB39" s="6"/>
      <c r="BC39" s="6"/>
      <c r="BD39" s="6"/>
      <c r="BE39" s="6"/>
      <c r="BF39" s="64"/>
      <c r="BG39" s="64"/>
      <c r="BH39" s="6"/>
      <c r="BI39" s="6"/>
      <c r="BJ39" s="6"/>
      <c r="BK39" s="6"/>
      <c r="BL39" s="6"/>
      <c r="BM39" s="6"/>
      <c r="BN39" s="6"/>
      <c r="BO39" s="1019"/>
      <c r="BP39" s="1033"/>
      <c r="BQ39" s="46"/>
      <c r="BR39" s="47"/>
      <c r="BS39" s="6"/>
      <c r="BT39" s="1019"/>
      <c r="BU39" s="1019"/>
      <c r="BV39" s="1019"/>
      <c r="BW39" s="1019"/>
      <c r="BX39" s="96"/>
      <c r="BY39" s="6"/>
      <c r="BZ39" s="64"/>
      <c r="CA39" s="6"/>
      <c r="CB39" s="6" t="s">
        <v>1207</v>
      </c>
      <c r="CC39" s="6" t="s">
        <v>11120</v>
      </c>
      <c r="CD39" s="6"/>
      <c r="CE39" s="6"/>
      <c r="CF39" s="1021">
        <v>2.5</v>
      </c>
      <c r="CG39" s="1021">
        <v>2</v>
      </c>
      <c r="CH39" s="6"/>
      <c r="CI39" s="6"/>
      <c r="CJ39" s="6" t="s">
        <v>11026</v>
      </c>
      <c r="CK39" s="6">
        <v>3</v>
      </c>
      <c r="CL39" s="6" t="s">
        <v>1241</v>
      </c>
      <c r="CM39" s="6"/>
      <c r="CN39" s="6"/>
      <c r="CO39" s="6" t="s">
        <v>1105</v>
      </c>
      <c r="CP39" s="6"/>
      <c r="CQ39" s="6"/>
      <c r="CR39" s="64"/>
      <c r="CS39" s="6"/>
      <c r="CT39" s="6"/>
      <c r="CU39" s="1022"/>
      <c r="CV39" s="6"/>
      <c r="CW39" s="6"/>
      <c r="CX39" s="6"/>
      <c r="CY39" s="6"/>
      <c r="CZ39" s="6"/>
      <c r="DA39" s="6"/>
      <c r="DB39" s="6"/>
      <c r="DC39" s="6"/>
      <c r="DD39" s="6"/>
      <c r="DE39" s="6"/>
      <c r="DF39" s="6"/>
      <c r="DG39" s="6"/>
      <c r="DH39" s="6"/>
      <c r="DI39" s="6"/>
      <c r="DJ39" s="6"/>
      <c r="DK39" s="6"/>
      <c r="DL39" s="6"/>
      <c r="DM39" s="6"/>
      <c r="DN39" s="6"/>
      <c r="DO39" s="6"/>
      <c r="DP39" s="6"/>
      <c r="DQ39" s="6"/>
      <c r="DR39" s="6"/>
      <c r="DS39" s="1023"/>
      <c r="DT39" s="6"/>
      <c r="DU39" s="6"/>
      <c r="DV39" s="6"/>
      <c r="DW39" s="1024"/>
      <c r="DX39" s="1024"/>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t="s">
        <v>11121</v>
      </c>
      <c r="FA39" s="6" t="s">
        <v>3092</v>
      </c>
      <c r="FB39" s="6" t="s">
        <v>1105</v>
      </c>
      <c r="FC39" s="6"/>
      <c r="FD39" s="64"/>
      <c r="FE39" s="6" t="s">
        <v>11122</v>
      </c>
      <c r="FF39" s="6"/>
      <c r="FG39" s="6" t="s">
        <v>11123</v>
      </c>
      <c r="FH39" s="6" t="s">
        <v>478</v>
      </c>
      <c r="FI39" s="6">
        <v>1</v>
      </c>
      <c r="FJ39" s="6"/>
      <c r="FK39" s="6"/>
      <c r="FL39" s="6"/>
      <c r="FM39" s="64"/>
      <c r="FN39" s="64"/>
      <c r="FO39" s="64"/>
      <c r="FP39" s="6" t="s">
        <v>1600</v>
      </c>
      <c r="FQ39" s="6" t="s">
        <v>1642</v>
      </c>
      <c r="FR39" s="1019"/>
      <c r="FS39" s="1019"/>
      <c r="FT39" s="1019"/>
      <c r="FU39" s="6"/>
      <c r="FV39" s="6"/>
      <c r="FW39" s="6"/>
      <c r="FX39" s="6"/>
      <c r="FY39" s="6"/>
      <c r="FZ39" s="6"/>
      <c r="GA39" s="6"/>
      <c r="GB39" s="6"/>
      <c r="GC39" s="1028"/>
      <c r="GD39" s="1015"/>
      <c r="GE39" s="6"/>
      <c r="GF39" s="64"/>
      <c r="GG39" s="64"/>
      <c r="GH39" s="1722"/>
      <c r="GI39" s="1722"/>
      <c r="GJ39" s="1722"/>
      <c r="GK39" s="1722"/>
      <c r="GL39" s="1722"/>
      <c r="GM39" s="1722"/>
      <c r="GN39" s="1723"/>
      <c r="GO39" s="1723"/>
      <c r="GP39" s="1723"/>
      <c r="GQ39" s="1723"/>
      <c r="GR39" s="1723"/>
      <c r="GS39" s="1722"/>
      <c r="GT39" s="1723"/>
      <c r="GU39" s="1722"/>
      <c r="GV39" s="1723"/>
      <c r="GW39" s="1723"/>
      <c r="GX39" s="1723"/>
      <c r="GY39" s="1723"/>
      <c r="GZ39" s="1723"/>
      <c r="HA39" s="1723"/>
      <c r="HB39" s="1723"/>
      <c r="HC39" s="1722"/>
      <c r="HD39" s="1723"/>
      <c r="HE39" s="1722"/>
      <c r="HF39" s="1722"/>
      <c r="HG39" s="1722"/>
      <c r="HH39" s="1722"/>
      <c r="HI39" s="1722"/>
      <c r="HJ39" s="1722"/>
      <c r="HK39" s="1722"/>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1028"/>
      <c r="IN39" s="6"/>
      <c r="IO39" s="1014"/>
      <c r="IP39" s="6"/>
      <c r="IQ39" s="6"/>
      <c r="IR39" s="6"/>
      <c r="IS39" s="6"/>
      <c r="IT39" s="6"/>
      <c r="IU39" s="6"/>
      <c r="IV39" s="6"/>
      <c r="IW39" s="6"/>
      <c r="IX39" s="6"/>
      <c r="IY39" s="6"/>
      <c r="IZ39" s="6"/>
      <c r="JA39" s="6"/>
      <c r="JB39" s="6"/>
      <c r="JC39" s="6"/>
      <c r="JD39" s="64"/>
      <c r="JE39" s="6"/>
      <c r="JF39" s="1688"/>
      <c r="JG39" s="1687"/>
      <c r="JH39" s="1687"/>
      <c r="JI39" s="1687"/>
      <c r="JJ39" s="6"/>
      <c r="JK39" s="6"/>
      <c r="JL39" s="6"/>
      <c r="JM39" s="6"/>
      <c r="JN39" s="6"/>
      <c r="JO39" s="6"/>
      <c r="JP39" s="6"/>
      <c r="JQ39" s="6"/>
      <c r="JR39" s="6"/>
      <c r="JS39" s="6"/>
      <c r="JT39" s="766"/>
      <c r="JU39" s="766"/>
      <c r="JV39" s="766"/>
      <c r="JW39" s="766"/>
      <c r="JX39" s="6"/>
      <c r="JY39" s="6"/>
      <c r="JZ39" s="6"/>
      <c r="KA39" s="6"/>
      <c r="KB39" s="6"/>
      <c r="KC39" s="6"/>
      <c r="KD39" s="6"/>
      <c r="KE39" s="6"/>
      <c r="KF39" s="6"/>
      <c r="KG39" s="6"/>
      <c r="KH39" s="6"/>
      <c r="KI39" s="6"/>
      <c r="KJ39" s="770"/>
      <c r="KK39" s="770"/>
      <c r="KL39" s="770"/>
      <c r="KM39" s="770"/>
      <c r="KN39" s="6"/>
      <c r="KO39" s="1688"/>
      <c r="KP39" s="6"/>
      <c r="KQ39" s="6"/>
      <c r="KR39" s="6"/>
      <c r="KS39" s="6"/>
      <c r="KT39" s="6"/>
      <c r="KU39" s="6"/>
      <c r="KV39" s="6"/>
      <c r="KW39" s="6"/>
      <c r="KX39" s="6"/>
      <c r="KY39" s="6"/>
      <c r="KZ39" s="6"/>
      <c r="LA39" s="6"/>
      <c r="LB39" s="6"/>
      <c r="LC39" s="6"/>
      <c r="LD39" s="6"/>
      <c r="LE39" s="6"/>
      <c r="LF39" s="6"/>
      <c r="LG39" s="6"/>
      <c r="LH39" s="6"/>
      <c r="LI39" s="6"/>
      <c r="LJ39" s="6"/>
      <c r="LK39" s="6"/>
      <c r="LL39" s="6"/>
      <c r="LM39" s="6"/>
      <c r="LN39" s="766"/>
      <c r="LO39" s="766"/>
      <c r="LP39" s="6"/>
      <c r="LQ39" s="1690"/>
      <c r="LR39" s="6"/>
      <c r="LS39" s="6"/>
      <c r="LT39" s="6"/>
      <c r="LU39" s="6"/>
      <c r="LV39" s="6"/>
      <c r="LW39" s="6"/>
      <c r="LX39" s="1693"/>
      <c r="LY39" s="766" t="str">
        <f t="shared" si="6"/>
        <v/>
      </c>
      <c r="LZ39" s="1694"/>
      <c r="MA39" s="1694"/>
      <c r="MB39" s="1694"/>
      <c r="MC39" s="1679">
        <f t="shared" si="1"/>
        <v>0</v>
      </c>
      <c r="MD39" s="1694"/>
      <c r="ME39" s="1694"/>
      <c r="MF39" s="1694"/>
      <c r="MG39" s="1680">
        <f t="shared" si="2"/>
        <v>0</v>
      </c>
      <c r="MH39" s="1690"/>
      <c r="MI39" s="64"/>
      <c r="MJ39" s="64"/>
      <c r="MK39" s="64"/>
      <c r="ML39" s="64"/>
      <c r="MM39" s="64"/>
      <c r="MN39" s="64"/>
      <c r="MO39" s="64"/>
      <c r="MP39" s="64"/>
      <c r="MQ39" s="64"/>
      <c r="MR39" s="64"/>
      <c r="MS39" s="64"/>
      <c r="MT39" s="64"/>
      <c r="MU39" s="64"/>
      <c r="MV39" s="64"/>
      <c r="MW39" s="64"/>
      <c r="MX39" s="64"/>
      <c r="MY39" s="1682">
        <f t="shared" si="3"/>
        <v>0</v>
      </c>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1687"/>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1026"/>
      <c r="RG39" s="6"/>
      <c r="RH39" s="64"/>
      <c r="RI39" s="6"/>
      <c r="RJ39" s="6"/>
      <c r="RK39" s="6"/>
      <c r="RL39" s="1691"/>
      <c r="RM39" s="1714"/>
      <c r="RN39" s="1724"/>
      <c r="RO39" s="169" t="s">
        <v>11114</v>
      </c>
      <c r="RR39" s="93"/>
      <c r="RS39" s="6"/>
      <c r="RV39" s="6" t="s">
        <v>12378</v>
      </c>
      <c r="RW39" s="1020" t="s">
        <v>11098</v>
      </c>
      <c r="RX39" s="1020" t="s">
        <v>11099</v>
      </c>
      <c r="SA39" s="6"/>
    </row>
    <row r="40" spans="1:495" s="1020" customFormat="1" ht="12.75" hidden="1" customHeight="1">
      <c r="A40" s="93" t="s">
        <v>7419</v>
      </c>
      <c r="B40" s="1119" t="s">
        <v>12397</v>
      </c>
      <c r="C40" s="169" t="s">
        <v>11124</v>
      </c>
      <c r="D40" s="6" t="s">
        <v>11125</v>
      </c>
      <c r="E40" s="6" t="s">
        <v>11126</v>
      </c>
      <c r="F40" s="6" t="s">
        <v>20</v>
      </c>
      <c r="G40" s="6" t="s">
        <v>18</v>
      </c>
      <c r="H40" s="6"/>
      <c r="I40" s="1012" t="s">
        <v>11127</v>
      </c>
      <c r="J40" s="6" t="s">
        <v>11128</v>
      </c>
      <c r="K40" s="6" t="s">
        <v>14094</v>
      </c>
      <c r="L40" s="6" t="s">
        <v>14095</v>
      </c>
      <c r="M40" s="6"/>
      <c r="N40" s="6" t="s">
        <v>11092</v>
      </c>
      <c r="O40" s="6" t="s">
        <v>11071</v>
      </c>
      <c r="P40" s="843" t="s">
        <v>11128</v>
      </c>
      <c r="Q40" s="1086"/>
      <c r="R40" s="1015"/>
      <c r="S40" s="6" t="s">
        <v>10</v>
      </c>
      <c r="T40" s="6"/>
      <c r="U40" s="1016" t="s">
        <v>11127</v>
      </c>
      <c r="V40" s="6" t="s">
        <v>707</v>
      </c>
      <c r="W40" s="1016" t="s">
        <v>11125</v>
      </c>
      <c r="X40" s="1014"/>
      <c r="Y40" s="6" t="s">
        <v>11915</v>
      </c>
      <c r="Z40" s="6"/>
      <c r="AA40" s="6"/>
      <c r="AB40" s="1019"/>
      <c r="AC40" s="6"/>
      <c r="AD40" s="6"/>
      <c r="AE40" s="6"/>
      <c r="AF40" s="6"/>
      <c r="AG40" s="6" t="s">
        <v>1095</v>
      </c>
      <c r="AH40" s="766" t="s">
        <v>1096</v>
      </c>
      <c r="AI40" s="6" t="s">
        <v>11129</v>
      </c>
      <c r="AJ40" s="6"/>
      <c r="AK40" s="6" t="s">
        <v>1097</v>
      </c>
      <c r="AL40" s="124">
        <v>85.2</v>
      </c>
      <c r="AM40" s="45">
        <v>5.84</v>
      </c>
      <c r="AN40" s="47">
        <f>AM40/AL40</f>
        <v>6.8544600938967137E-2</v>
      </c>
      <c r="AO40" s="6" t="s">
        <v>1098</v>
      </c>
      <c r="AP40" s="6"/>
      <c r="AQ40" s="6"/>
      <c r="AR40" s="6"/>
      <c r="AS40" s="6" t="s">
        <v>1207</v>
      </c>
      <c r="AT40" s="6"/>
      <c r="AU40" s="6"/>
      <c r="AV40" s="6" t="s">
        <v>1208</v>
      </c>
      <c r="AW40" s="6"/>
      <c r="AX40" s="1032"/>
      <c r="AY40" s="6"/>
      <c r="AZ40" s="6"/>
      <c r="BA40" s="6"/>
      <c r="BB40" s="6" t="s">
        <v>11130</v>
      </c>
      <c r="BC40" s="6" t="s">
        <v>796</v>
      </c>
      <c r="BD40" s="6" t="s">
        <v>1214</v>
      </c>
      <c r="BE40" s="6"/>
      <c r="BF40" s="64"/>
      <c r="BG40" s="64"/>
      <c r="BH40" s="6"/>
      <c r="BI40" s="6"/>
      <c r="BJ40" s="6"/>
      <c r="BK40" s="6" t="s">
        <v>1095</v>
      </c>
      <c r="BL40" s="6" t="s">
        <v>11129</v>
      </c>
      <c r="BM40" s="6" t="s">
        <v>1100</v>
      </c>
      <c r="BN40" s="6" t="s">
        <v>1230</v>
      </c>
      <c r="BO40" s="766" t="s">
        <v>1246</v>
      </c>
      <c r="BP40" s="1033">
        <v>4.3460000000000001</v>
      </c>
      <c r="BQ40" s="1033">
        <v>4.3460000000000001</v>
      </c>
      <c r="BR40" s="47">
        <f>BQ40/BP40</f>
        <v>1</v>
      </c>
      <c r="BS40" s="6" t="s">
        <v>1257</v>
      </c>
      <c r="BT40" s="1019" t="s">
        <v>1240</v>
      </c>
      <c r="BU40" s="1019" t="s">
        <v>1249</v>
      </c>
      <c r="BV40" s="1019" t="s">
        <v>1247</v>
      </c>
      <c r="BW40" s="1019">
        <v>2015</v>
      </c>
      <c r="BX40" s="96"/>
      <c r="BY40" s="6"/>
      <c r="BZ40" s="64"/>
      <c r="CA40" s="6"/>
      <c r="CB40" s="6" t="s">
        <v>1207</v>
      </c>
      <c r="CC40" s="6" t="s">
        <v>11129</v>
      </c>
      <c r="CD40" s="6">
        <v>2015</v>
      </c>
      <c r="CE40" s="6"/>
      <c r="CF40" s="1021">
        <v>2.6</v>
      </c>
      <c r="CG40" s="1021">
        <v>2</v>
      </c>
      <c r="CH40" s="6" t="s">
        <v>11131</v>
      </c>
      <c r="CI40" s="6"/>
      <c r="CJ40" s="6" t="s">
        <v>11026</v>
      </c>
      <c r="CK40" s="6">
        <v>2</v>
      </c>
      <c r="CL40" s="6" t="s">
        <v>1240</v>
      </c>
      <c r="CM40" s="6"/>
      <c r="CN40" s="6"/>
      <c r="CO40" s="6" t="s">
        <v>1242</v>
      </c>
      <c r="CP40" s="6"/>
      <c r="CQ40" s="6"/>
      <c r="CR40" s="64"/>
      <c r="CS40" s="6"/>
      <c r="CT40" s="6"/>
      <c r="CU40" s="1022"/>
      <c r="CV40" s="6"/>
      <c r="CW40" s="6"/>
      <c r="CX40" s="6"/>
      <c r="CY40" s="6"/>
      <c r="CZ40" s="6"/>
      <c r="DA40" s="6"/>
      <c r="DB40" s="6"/>
      <c r="DC40" s="6"/>
      <c r="DD40" s="6"/>
      <c r="DE40" s="6"/>
      <c r="DF40" s="6"/>
      <c r="DG40" s="6"/>
      <c r="DH40" s="6"/>
      <c r="DI40" s="6"/>
      <c r="DJ40" s="6"/>
      <c r="DK40" s="6"/>
      <c r="DL40" s="6"/>
      <c r="DM40" s="6"/>
      <c r="DN40" s="6"/>
      <c r="DO40" s="6"/>
      <c r="DP40" s="6"/>
      <c r="DQ40" s="6"/>
      <c r="DR40" s="6"/>
      <c r="DS40" s="1023"/>
      <c r="DT40" s="6"/>
      <c r="DU40" s="6"/>
      <c r="DV40" s="6"/>
      <c r="DW40" s="1024"/>
      <c r="DX40" s="1024"/>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4"/>
      <c r="FE40" s="6"/>
      <c r="FF40" s="6"/>
      <c r="FG40" s="6"/>
      <c r="FH40" s="6"/>
      <c r="FI40" s="6"/>
      <c r="FJ40" s="6"/>
      <c r="FK40" s="6"/>
      <c r="FL40" s="6"/>
      <c r="FM40" s="64"/>
      <c r="FN40" s="64"/>
      <c r="FO40" s="64"/>
      <c r="FP40" s="766" t="s">
        <v>1602</v>
      </c>
      <c r="FQ40" s="766" t="s">
        <v>1660</v>
      </c>
      <c r="FR40" s="1019"/>
      <c r="FS40" s="1019"/>
      <c r="FT40" s="1019"/>
      <c r="FU40" s="6"/>
      <c r="FV40" s="6"/>
      <c r="FW40" s="6"/>
      <c r="FX40" s="6"/>
      <c r="FY40" s="6"/>
      <c r="FZ40" s="6"/>
      <c r="GA40" s="6"/>
      <c r="GB40" s="6"/>
      <c r="GC40" s="1028"/>
      <c r="GD40" s="1015"/>
      <c r="GE40" s="6"/>
      <c r="GF40" s="64"/>
      <c r="GG40" s="64"/>
      <c r="GH40" s="1722"/>
      <c r="GI40" s="1722"/>
      <c r="GJ40" s="1722"/>
      <c r="GK40" s="1722"/>
      <c r="GL40" s="1722"/>
      <c r="GM40" s="1722"/>
      <c r="GN40" s="1723"/>
      <c r="GO40" s="1723"/>
      <c r="GP40" s="1723"/>
      <c r="GQ40" s="1723"/>
      <c r="GR40" s="1723"/>
      <c r="GS40" s="1722"/>
      <c r="GT40" s="1723"/>
      <c r="GU40" s="1722"/>
      <c r="GV40" s="1723"/>
      <c r="GW40" s="1723"/>
      <c r="GX40" s="1723"/>
      <c r="GY40" s="1723"/>
      <c r="GZ40" s="1723"/>
      <c r="HA40" s="1723"/>
      <c r="HB40" s="1723"/>
      <c r="HC40" s="1722"/>
      <c r="HD40" s="1723"/>
      <c r="HE40" s="1722"/>
      <c r="HF40" s="1722"/>
      <c r="HG40" s="1722"/>
      <c r="HH40" s="1722"/>
      <c r="HI40" s="1722"/>
      <c r="HJ40" s="1722"/>
      <c r="HK40" s="1722"/>
      <c r="HL40" s="6"/>
      <c r="HM40" s="6"/>
      <c r="HN40" s="6"/>
      <c r="HO40" s="6"/>
      <c r="HP40" s="6"/>
      <c r="HQ40" s="6"/>
      <c r="HR40" s="6"/>
      <c r="HS40" s="6"/>
      <c r="HT40" s="6"/>
      <c r="HU40" s="6"/>
      <c r="HV40" s="6"/>
      <c r="HW40" s="6"/>
      <c r="HX40" s="6"/>
      <c r="HY40" s="6"/>
      <c r="HZ40" s="6"/>
      <c r="IA40" s="6"/>
      <c r="IB40" s="6"/>
      <c r="IC40" s="6"/>
      <c r="ID40" s="6"/>
      <c r="IE40" s="6"/>
      <c r="IF40" s="6" t="s">
        <v>11125</v>
      </c>
      <c r="IG40" s="6" t="s">
        <v>18</v>
      </c>
      <c r="IH40" s="6" t="s">
        <v>478</v>
      </c>
      <c r="II40" s="6" t="s">
        <v>11132</v>
      </c>
      <c r="IJ40" s="6" t="s">
        <v>11133</v>
      </c>
      <c r="IK40" s="6" t="s">
        <v>1888</v>
      </c>
      <c r="IL40" s="6" t="s">
        <v>8292</v>
      </c>
      <c r="IM40" s="1028">
        <v>2015</v>
      </c>
      <c r="IN40" s="6" t="s">
        <v>8292</v>
      </c>
      <c r="IO40" s="1014">
        <v>24794</v>
      </c>
      <c r="IP40" s="6" t="s">
        <v>478</v>
      </c>
      <c r="IQ40" s="6" t="s">
        <v>11076</v>
      </c>
      <c r="IR40" s="6" t="s">
        <v>1964</v>
      </c>
      <c r="IS40" s="6" t="s">
        <v>951</v>
      </c>
      <c r="IT40" s="6" t="s">
        <v>1208</v>
      </c>
      <c r="IU40" s="6"/>
      <c r="IV40" s="6" t="s">
        <v>11134</v>
      </c>
      <c r="IW40" s="6" t="s">
        <v>13050</v>
      </c>
      <c r="IX40" s="6"/>
      <c r="IY40" s="6" t="s">
        <v>12770</v>
      </c>
      <c r="IZ40" s="6"/>
      <c r="JA40" s="6" t="s">
        <v>1886</v>
      </c>
      <c r="JB40" s="6" t="s">
        <v>12766</v>
      </c>
      <c r="JC40" s="6"/>
      <c r="JD40" s="64">
        <v>6000</v>
      </c>
      <c r="JE40" s="6"/>
      <c r="JF40" s="1688"/>
      <c r="JG40" s="1687"/>
      <c r="JH40" s="1687"/>
      <c r="JI40" s="1687"/>
      <c r="JJ40" s="6"/>
      <c r="JK40" s="6"/>
      <c r="JL40" s="6"/>
      <c r="JM40" s="6"/>
      <c r="JN40" s="6"/>
      <c r="JO40" s="6"/>
      <c r="JP40" s="6"/>
      <c r="JQ40" s="6"/>
      <c r="JR40" s="6"/>
      <c r="JS40" s="6"/>
      <c r="JT40" s="766"/>
      <c r="JU40" s="766"/>
      <c r="JV40" s="766"/>
      <c r="JW40" s="766"/>
      <c r="JX40" s="6"/>
      <c r="JY40" s="6"/>
      <c r="JZ40" s="6"/>
      <c r="KA40" s="6"/>
      <c r="KB40" s="6"/>
      <c r="KC40" s="6"/>
      <c r="KD40" s="6"/>
      <c r="KE40" s="6"/>
      <c r="KF40" s="6"/>
      <c r="KG40" s="6"/>
      <c r="KH40" s="6"/>
      <c r="KI40" s="6"/>
      <c r="KJ40" s="770"/>
      <c r="KK40" s="770"/>
      <c r="KL40" s="770"/>
      <c r="KM40" s="770"/>
      <c r="KN40" s="6"/>
      <c r="KO40" s="1688"/>
      <c r="KP40" s="6"/>
      <c r="KQ40" s="6"/>
      <c r="KR40" s="6"/>
      <c r="KS40" s="6"/>
      <c r="KT40" s="6"/>
      <c r="KU40" s="6"/>
      <c r="KV40" s="6"/>
      <c r="KW40" s="6"/>
      <c r="KX40" s="6"/>
      <c r="KY40" s="6"/>
      <c r="KZ40" s="6"/>
      <c r="LA40" s="6"/>
      <c r="LB40" s="6"/>
      <c r="LC40" s="6"/>
      <c r="LD40" s="6"/>
      <c r="LE40" s="6"/>
      <c r="LF40" s="6"/>
      <c r="LG40" s="6"/>
      <c r="LH40" s="6"/>
      <c r="LI40" s="6"/>
      <c r="LJ40" s="6"/>
      <c r="LK40" s="6"/>
      <c r="LL40" s="6"/>
      <c r="LM40" s="6"/>
      <c r="LN40" s="766"/>
      <c r="LO40" s="766"/>
      <c r="LP40" s="6"/>
      <c r="LQ40" s="1690"/>
      <c r="LR40" s="6"/>
      <c r="LS40" s="6"/>
      <c r="LT40" s="6"/>
      <c r="LU40" s="6"/>
      <c r="LV40" s="6"/>
      <c r="LW40" s="6"/>
      <c r="LX40" s="1693"/>
      <c r="LY40" s="766" t="str">
        <f t="shared" si="6"/>
        <v/>
      </c>
      <c r="LZ40" s="1694"/>
      <c r="MA40" s="1694"/>
      <c r="MB40" s="1694"/>
      <c r="MC40" s="1679">
        <f t="shared" si="1"/>
        <v>0</v>
      </c>
      <c r="MD40" s="1694"/>
      <c r="ME40" s="1694"/>
      <c r="MF40" s="1694"/>
      <c r="MG40" s="1680">
        <f t="shared" si="2"/>
        <v>0</v>
      </c>
      <c r="MH40" s="1690"/>
      <c r="MI40" s="64"/>
      <c r="MJ40" s="64"/>
      <c r="MK40" s="64"/>
      <c r="ML40" s="64"/>
      <c r="MM40" s="64"/>
      <c r="MN40" s="64"/>
      <c r="MO40" s="64"/>
      <c r="MP40" s="64"/>
      <c r="MQ40" s="64"/>
      <c r="MR40" s="64"/>
      <c r="MS40" s="64"/>
      <c r="MT40" s="64"/>
      <c r="MU40" s="64"/>
      <c r="MV40" s="64"/>
      <c r="MW40" s="64"/>
      <c r="MX40" s="64"/>
      <c r="MY40" s="1682">
        <f t="shared" si="3"/>
        <v>0</v>
      </c>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1687"/>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1026"/>
      <c r="RG40" s="6"/>
      <c r="RH40" s="64"/>
      <c r="RI40" s="6"/>
      <c r="RJ40" s="6" t="s">
        <v>4328</v>
      </c>
      <c r="RK40" s="6" t="s">
        <v>13051</v>
      </c>
      <c r="RL40" s="1691"/>
      <c r="RM40" s="1714" t="s">
        <v>13038</v>
      </c>
      <c r="RN40" s="1724">
        <v>42901</v>
      </c>
      <c r="RO40" s="169" t="s">
        <v>11124</v>
      </c>
      <c r="RR40" s="93"/>
      <c r="RS40" s="6"/>
      <c r="RV40" s="6" t="s">
        <v>7421</v>
      </c>
      <c r="RW40" s="1020" t="s">
        <v>12395</v>
      </c>
      <c r="RX40" s="1020" t="s">
        <v>11104</v>
      </c>
      <c r="RY40" s="1020" t="s">
        <v>14137</v>
      </c>
      <c r="SA40" s="6"/>
    </row>
    <row r="41" spans="1:495" s="1020" customFormat="1" ht="12.75" hidden="1" customHeight="1">
      <c r="A41" s="861" t="s">
        <v>7419</v>
      </c>
      <c r="B41" s="1031" t="s">
        <v>11916</v>
      </c>
      <c r="C41" s="169" t="s">
        <v>8290</v>
      </c>
      <c r="D41" s="6" t="s">
        <v>11125</v>
      </c>
      <c r="E41" s="6" t="s">
        <v>11126</v>
      </c>
      <c r="F41" s="6" t="s">
        <v>5621</v>
      </c>
      <c r="G41" s="6"/>
      <c r="H41" s="6"/>
      <c r="I41" s="1012"/>
      <c r="J41" s="6" t="s">
        <v>11128</v>
      </c>
      <c r="K41" s="6" t="s">
        <v>14086</v>
      </c>
      <c r="L41" s="6" t="s">
        <v>14095</v>
      </c>
      <c r="M41" s="6"/>
      <c r="N41" s="6" t="s">
        <v>11092</v>
      </c>
      <c r="O41" s="6" t="s">
        <v>11071</v>
      </c>
      <c r="P41" s="843" t="s">
        <v>11135</v>
      </c>
      <c r="Q41" s="1086">
        <v>25424</v>
      </c>
      <c r="R41" s="1015">
        <v>48</v>
      </c>
      <c r="S41" s="6"/>
      <c r="T41" s="6"/>
      <c r="U41" s="1016"/>
      <c r="V41" s="6"/>
      <c r="W41" s="1016"/>
      <c r="X41" s="1014"/>
      <c r="Y41" s="6"/>
      <c r="Z41" s="6"/>
      <c r="AA41" s="6"/>
      <c r="AB41" s="1019"/>
      <c r="AC41" s="6"/>
      <c r="AD41" s="6"/>
      <c r="AE41" s="6"/>
      <c r="AF41" s="6"/>
      <c r="AG41" s="6" t="s">
        <v>1095</v>
      </c>
      <c r="AH41" s="766" t="s">
        <v>1096</v>
      </c>
      <c r="AI41" s="6" t="s">
        <v>11136</v>
      </c>
      <c r="AJ41" s="6"/>
      <c r="AK41" s="6" t="s">
        <v>1899</v>
      </c>
      <c r="AL41" s="124">
        <v>85.2</v>
      </c>
      <c r="AM41" s="45">
        <v>18.952999999999999</v>
      </c>
      <c r="AN41" s="47">
        <f>AM41/AL41</f>
        <v>0.22245305164319248</v>
      </c>
      <c r="AO41" s="6" t="s">
        <v>1149</v>
      </c>
      <c r="AP41" s="6"/>
      <c r="AQ41" s="6"/>
      <c r="AR41" s="6"/>
      <c r="AS41" s="6"/>
      <c r="AT41" s="6"/>
      <c r="AU41" s="6"/>
      <c r="AV41" s="6"/>
      <c r="AW41" s="6"/>
      <c r="AX41" s="1032"/>
      <c r="AY41" s="6"/>
      <c r="AZ41" s="6"/>
      <c r="BA41" s="6"/>
      <c r="BB41" s="6"/>
      <c r="BC41" s="6"/>
      <c r="BD41" s="6"/>
      <c r="BE41" s="6"/>
      <c r="BF41" s="64"/>
      <c r="BG41" s="64"/>
      <c r="BH41" s="6"/>
      <c r="BI41" s="6"/>
      <c r="BJ41" s="6"/>
      <c r="BK41" s="6" t="s">
        <v>1095</v>
      </c>
      <c r="BL41" s="6" t="s">
        <v>11137</v>
      </c>
      <c r="BM41" s="6" t="s">
        <v>1096</v>
      </c>
      <c r="BN41" s="6" t="s">
        <v>1230</v>
      </c>
      <c r="BO41" s="766" t="s">
        <v>1246</v>
      </c>
      <c r="BP41" s="1033">
        <v>60.58</v>
      </c>
      <c r="BQ41" s="46">
        <v>18.95</v>
      </c>
      <c r="BR41" s="47">
        <f>BQ41/BP41</f>
        <v>0.31280950808847802</v>
      </c>
      <c r="BS41" s="6" t="s">
        <v>1149</v>
      </c>
      <c r="BT41" s="1019" t="s">
        <v>1255</v>
      </c>
      <c r="BU41" s="1019" t="s">
        <v>1249</v>
      </c>
      <c r="BV41" s="1019" t="s">
        <v>1247</v>
      </c>
      <c r="BW41" s="1019"/>
      <c r="BX41" s="96"/>
      <c r="BY41" s="6"/>
      <c r="BZ41" s="64"/>
      <c r="CA41" s="6"/>
      <c r="CB41" s="6"/>
      <c r="CC41" s="6"/>
      <c r="CD41" s="6"/>
      <c r="CE41" s="6"/>
      <c r="CF41" s="1021"/>
      <c r="CG41" s="1021"/>
      <c r="CH41" s="6"/>
      <c r="CI41" s="6"/>
      <c r="CJ41" s="6"/>
      <c r="CK41" s="6"/>
      <c r="CL41" s="6"/>
      <c r="CM41" s="6"/>
      <c r="CN41" s="6"/>
      <c r="CO41" s="6"/>
      <c r="CP41" s="6"/>
      <c r="CQ41" s="6"/>
      <c r="CR41" s="64"/>
      <c r="CS41" s="6"/>
      <c r="CT41" s="6"/>
      <c r="CU41" s="1022"/>
      <c r="CV41" s="6"/>
      <c r="CW41" s="6"/>
      <c r="CX41" s="6"/>
      <c r="CY41" s="6"/>
      <c r="CZ41" s="6"/>
      <c r="DA41" s="6"/>
      <c r="DB41" s="6"/>
      <c r="DC41" s="6"/>
      <c r="DD41" s="6"/>
      <c r="DE41" s="6"/>
      <c r="DF41" s="6"/>
      <c r="DG41" s="6"/>
      <c r="DH41" s="6"/>
      <c r="DI41" s="6"/>
      <c r="DJ41" s="6"/>
      <c r="DK41" s="6"/>
      <c r="DL41" s="6"/>
      <c r="DM41" s="6"/>
      <c r="DN41" s="6"/>
      <c r="DO41" s="6"/>
      <c r="DP41" s="6"/>
      <c r="DQ41" s="6"/>
      <c r="DR41" s="6"/>
      <c r="DS41" s="1023"/>
      <c r="DT41" s="6"/>
      <c r="DU41" s="6"/>
      <c r="DV41" s="6"/>
      <c r="DW41" s="1024"/>
      <c r="DX41" s="1024"/>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4"/>
      <c r="FE41" s="6"/>
      <c r="FF41" s="6"/>
      <c r="FG41" s="6"/>
      <c r="FH41" s="6"/>
      <c r="FI41" s="6"/>
      <c r="FJ41" s="6"/>
      <c r="FK41" s="6"/>
      <c r="FL41" s="6"/>
      <c r="FM41" s="64"/>
      <c r="FN41" s="64"/>
      <c r="FO41" s="64"/>
      <c r="FP41" s="766" t="s">
        <v>1602</v>
      </c>
      <c r="FQ41" s="766" t="s">
        <v>1660</v>
      </c>
      <c r="FR41" s="1019"/>
      <c r="FS41" s="1019"/>
      <c r="FT41" s="1019"/>
      <c r="FU41" s="6"/>
      <c r="FV41" s="6"/>
      <c r="FW41" s="6"/>
      <c r="FX41" s="6"/>
      <c r="FY41" s="6"/>
      <c r="FZ41" s="6"/>
      <c r="GA41" s="6"/>
      <c r="GB41" s="6"/>
      <c r="GC41" s="1028"/>
      <c r="GD41" s="1015"/>
      <c r="GE41" s="6"/>
      <c r="GF41" s="64"/>
      <c r="GG41" s="64"/>
      <c r="GH41" s="1722"/>
      <c r="GI41" s="1722"/>
      <c r="GJ41" s="1722"/>
      <c r="GK41" s="1722"/>
      <c r="GL41" s="1722"/>
      <c r="GM41" s="1722"/>
      <c r="GN41" s="1723"/>
      <c r="GO41" s="1723"/>
      <c r="GP41" s="1723"/>
      <c r="GQ41" s="1723"/>
      <c r="GR41" s="1723"/>
      <c r="GS41" s="1722"/>
      <c r="GT41" s="1723"/>
      <c r="GU41" s="1722"/>
      <c r="GV41" s="1723"/>
      <c r="GW41" s="1723"/>
      <c r="GX41" s="1723"/>
      <c r="GY41" s="1723"/>
      <c r="GZ41" s="1723"/>
      <c r="HA41" s="1723"/>
      <c r="HB41" s="1723"/>
      <c r="HC41" s="1722"/>
      <c r="HD41" s="1723"/>
      <c r="HE41" s="1722"/>
      <c r="HF41" s="1722"/>
      <c r="HG41" s="1722"/>
      <c r="HH41" s="1722"/>
      <c r="HI41" s="1722"/>
      <c r="HJ41" s="1722"/>
      <c r="HK41" s="1722"/>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1028"/>
      <c r="IN41" s="6"/>
      <c r="IO41" s="1014"/>
      <c r="IP41" s="6"/>
      <c r="IQ41" s="6"/>
      <c r="IR41" s="6"/>
      <c r="IS41" s="6"/>
      <c r="IT41" s="6"/>
      <c r="IU41" s="6"/>
      <c r="IV41" s="6"/>
      <c r="IW41" s="6"/>
      <c r="IX41" s="6"/>
      <c r="IY41" s="6"/>
      <c r="IZ41" s="6"/>
      <c r="JA41" s="6"/>
      <c r="JB41" s="6"/>
      <c r="JC41" s="6"/>
      <c r="JD41" s="64"/>
      <c r="JE41" s="6"/>
      <c r="JF41" s="1688"/>
      <c r="JG41" s="1687"/>
      <c r="JH41" s="1687"/>
      <c r="JI41" s="1687"/>
      <c r="JJ41" s="6"/>
      <c r="JK41" s="6"/>
      <c r="JL41" s="6"/>
      <c r="JM41" s="6"/>
      <c r="JN41" s="6"/>
      <c r="JO41" s="6"/>
      <c r="JP41" s="6"/>
      <c r="JQ41" s="6"/>
      <c r="JR41" s="6"/>
      <c r="JS41" s="6"/>
      <c r="JT41" s="766"/>
      <c r="JU41" s="766"/>
      <c r="JV41" s="766"/>
      <c r="JW41" s="766"/>
      <c r="JX41" s="6"/>
      <c r="JY41" s="6"/>
      <c r="JZ41" s="6"/>
      <c r="KA41" s="6"/>
      <c r="KB41" s="6"/>
      <c r="KC41" s="6"/>
      <c r="KD41" s="6"/>
      <c r="KE41" s="6"/>
      <c r="KF41" s="6"/>
      <c r="KG41" s="6"/>
      <c r="KH41" s="6"/>
      <c r="KI41" s="6"/>
      <c r="KJ41" s="770"/>
      <c r="KK41" s="770"/>
      <c r="KL41" s="770"/>
      <c r="KM41" s="770"/>
      <c r="KN41" s="6"/>
      <c r="KO41" s="1688"/>
      <c r="KP41" s="6"/>
      <c r="KQ41" s="6"/>
      <c r="KR41" s="6"/>
      <c r="KS41" s="6"/>
      <c r="KT41" s="6"/>
      <c r="KU41" s="6"/>
      <c r="KV41" s="6"/>
      <c r="KW41" s="6"/>
      <c r="KX41" s="6"/>
      <c r="KY41" s="6"/>
      <c r="KZ41" s="6"/>
      <c r="LA41" s="6"/>
      <c r="LB41" s="6"/>
      <c r="LC41" s="6"/>
      <c r="LD41" s="6"/>
      <c r="LE41" s="6"/>
      <c r="LF41" s="6"/>
      <c r="LG41" s="6"/>
      <c r="LH41" s="6"/>
      <c r="LI41" s="6"/>
      <c r="LJ41" s="6"/>
      <c r="LK41" s="6"/>
      <c r="LL41" s="6"/>
      <c r="LM41" s="6"/>
      <c r="LN41" s="766"/>
      <c r="LO41" s="766"/>
      <c r="LP41" s="6"/>
      <c r="LQ41" s="1690"/>
      <c r="LR41" s="6"/>
      <c r="LS41" s="6"/>
      <c r="LT41" s="6"/>
      <c r="LU41" s="6"/>
      <c r="LV41" s="6"/>
      <c r="LW41" s="6"/>
      <c r="LX41" s="1693"/>
      <c r="LY41" s="766" t="str">
        <f t="shared" si="6"/>
        <v/>
      </c>
      <c r="LZ41" s="1694"/>
      <c r="MA41" s="1694"/>
      <c r="MB41" s="1694"/>
      <c r="MC41" s="1679">
        <f t="shared" si="1"/>
        <v>0</v>
      </c>
      <c r="MD41" s="1694"/>
      <c r="ME41" s="1694"/>
      <c r="MF41" s="1694"/>
      <c r="MG41" s="1680">
        <f t="shared" si="2"/>
        <v>0</v>
      </c>
      <c r="MH41" s="1690"/>
      <c r="MI41" s="64"/>
      <c r="MJ41" s="64"/>
      <c r="MK41" s="64"/>
      <c r="ML41" s="64"/>
      <c r="MM41" s="64"/>
      <c r="MN41" s="64"/>
      <c r="MO41" s="64"/>
      <c r="MP41" s="64"/>
      <c r="MQ41" s="64"/>
      <c r="MR41" s="64"/>
      <c r="MS41" s="64"/>
      <c r="MT41" s="64"/>
      <c r="MU41" s="64"/>
      <c r="MV41" s="64"/>
      <c r="MW41" s="64"/>
      <c r="MX41" s="64"/>
      <c r="MY41" s="1682">
        <f t="shared" si="3"/>
        <v>0</v>
      </c>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1687"/>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1026"/>
      <c r="RG41" s="6"/>
      <c r="RH41" s="64"/>
      <c r="RI41" s="6"/>
      <c r="RJ41" s="6"/>
      <c r="RK41" s="6"/>
      <c r="RL41" s="1691"/>
      <c r="RM41" s="1714"/>
      <c r="RN41" s="1724"/>
      <c r="RO41" s="169" t="s">
        <v>8290</v>
      </c>
      <c r="RR41" s="93"/>
      <c r="RS41" s="6"/>
      <c r="RV41" s="6" t="s">
        <v>7421</v>
      </c>
      <c r="RW41" s="1020" t="s">
        <v>12396</v>
      </c>
      <c r="RX41" s="1020" t="s">
        <v>11114</v>
      </c>
      <c r="RY41" s="1020">
        <v>13.79</v>
      </c>
      <c r="SA41" s="6"/>
    </row>
    <row r="42" spans="1:495" s="1020" customFormat="1" ht="12.75" hidden="1" customHeight="1">
      <c r="A42" s="861" t="s">
        <v>14142</v>
      </c>
      <c r="B42" s="1121" t="s">
        <v>11138</v>
      </c>
      <c r="C42" s="169" t="s">
        <v>8290</v>
      </c>
      <c r="D42" s="6" t="s">
        <v>11125</v>
      </c>
      <c r="E42" s="6" t="s">
        <v>11126</v>
      </c>
      <c r="F42" s="6" t="s">
        <v>5621</v>
      </c>
      <c r="G42" s="6"/>
      <c r="H42" s="6"/>
      <c r="I42" s="1012"/>
      <c r="J42" s="6" t="s">
        <v>11128</v>
      </c>
      <c r="K42" s="6" t="s">
        <v>14086</v>
      </c>
      <c r="L42" s="6" t="s">
        <v>14096</v>
      </c>
      <c r="M42" s="6"/>
      <c r="N42" s="6" t="s">
        <v>11092</v>
      </c>
      <c r="O42" s="6" t="s">
        <v>11071</v>
      </c>
      <c r="P42" s="843" t="s">
        <v>11135</v>
      </c>
      <c r="Q42" s="1086">
        <v>25424</v>
      </c>
      <c r="R42" s="1015">
        <v>48</v>
      </c>
      <c r="S42" s="6" t="s">
        <v>10</v>
      </c>
      <c r="T42" s="6"/>
      <c r="U42" s="1016"/>
      <c r="V42" s="6" t="s">
        <v>707</v>
      </c>
      <c r="W42" s="1016" t="s">
        <v>8292</v>
      </c>
      <c r="X42" s="1014">
        <v>24784</v>
      </c>
      <c r="Y42" s="6" t="s">
        <v>11126</v>
      </c>
      <c r="Z42" s="6" t="s">
        <v>708</v>
      </c>
      <c r="AA42" s="6" t="s">
        <v>709</v>
      </c>
      <c r="AB42" s="1019" t="s">
        <v>710</v>
      </c>
      <c r="AC42" s="1019"/>
      <c r="AD42" s="6"/>
      <c r="AE42" s="6"/>
      <c r="AF42" s="6" t="s">
        <v>712</v>
      </c>
      <c r="AG42" s="6"/>
      <c r="AH42" s="6"/>
      <c r="AI42" s="6"/>
      <c r="AJ42" s="6"/>
      <c r="AK42" s="6" t="s">
        <v>1899</v>
      </c>
      <c r="AL42" s="124"/>
      <c r="AM42" s="45"/>
      <c r="AN42" s="47"/>
      <c r="AO42" s="6"/>
      <c r="AP42" s="6"/>
      <c r="AQ42" s="6"/>
      <c r="AR42" s="6"/>
      <c r="AS42" s="6" t="s">
        <v>1207</v>
      </c>
      <c r="AT42" s="6" t="s">
        <v>1208</v>
      </c>
      <c r="AU42" s="6"/>
      <c r="AV42" s="6"/>
      <c r="AW42" s="6"/>
      <c r="AX42" s="1032"/>
      <c r="AY42" s="6"/>
      <c r="AZ42" s="6"/>
      <c r="BA42" s="6"/>
      <c r="BB42" s="6" t="s">
        <v>11130</v>
      </c>
      <c r="BC42" s="6" t="s">
        <v>11139</v>
      </c>
      <c r="BD42" s="6"/>
      <c r="BE42" s="6"/>
      <c r="BF42" s="64"/>
      <c r="BG42" s="64"/>
      <c r="BH42" s="6"/>
      <c r="BI42" s="6"/>
      <c r="BJ42" s="6"/>
      <c r="BK42" s="6"/>
      <c r="BL42" s="6"/>
      <c r="BM42" s="6" t="s">
        <v>1238</v>
      </c>
      <c r="BN42" s="6" t="s">
        <v>1256</v>
      </c>
      <c r="BO42" s="1019"/>
      <c r="BP42" s="1033"/>
      <c r="BQ42" s="46"/>
      <c r="BR42" s="47"/>
      <c r="BS42" s="6" t="s">
        <v>1149</v>
      </c>
      <c r="BT42" s="1019"/>
      <c r="BU42" s="1019"/>
      <c r="BV42" s="1019"/>
      <c r="BW42" s="1019"/>
      <c r="BX42" s="96"/>
      <c r="BY42" s="6"/>
      <c r="BZ42" s="64"/>
      <c r="CA42" s="6"/>
      <c r="CB42" s="6"/>
      <c r="CC42" s="6"/>
      <c r="CD42" s="6"/>
      <c r="CE42" s="6"/>
      <c r="CF42" s="1021"/>
      <c r="CG42" s="1021"/>
      <c r="CH42" s="6"/>
      <c r="CI42" s="6"/>
      <c r="CJ42" s="6"/>
      <c r="CK42" s="6"/>
      <c r="CL42" s="6"/>
      <c r="CM42" s="6"/>
      <c r="CN42" s="6"/>
      <c r="CO42" s="6"/>
      <c r="CP42" s="6"/>
      <c r="CQ42" s="6"/>
      <c r="CR42" s="64"/>
      <c r="CS42" s="6"/>
      <c r="CT42" s="6"/>
      <c r="CU42" s="1022"/>
      <c r="CV42" s="6"/>
      <c r="CW42" s="6"/>
      <c r="CX42" s="6"/>
      <c r="CY42" s="6"/>
      <c r="CZ42" s="6"/>
      <c r="DA42" s="6"/>
      <c r="DB42" s="6"/>
      <c r="DC42" s="6"/>
      <c r="DD42" s="6"/>
      <c r="DE42" s="6"/>
      <c r="DF42" s="6"/>
      <c r="DG42" s="6"/>
      <c r="DH42" s="6"/>
      <c r="DI42" s="6"/>
      <c r="DJ42" s="6"/>
      <c r="DK42" s="6"/>
      <c r="DL42" s="6"/>
      <c r="DM42" s="6"/>
      <c r="DN42" s="6"/>
      <c r="DO42" s="6"/>
      <c r="DP42" s="6"/>
      <c r="DQ42" s="6"/>
      <c r="DR42" s="6"/>
      <c r="DS42" s="1023"/>
      <c r="DT42" s="6"/>
      <c r="DU42" s="6"/>
      <c r="DV42" s="6"/>
      <c r="DW42" s="1024"/>
      <c r="DX42" s="1024"/>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4"/>
      <c r="FE42" s="6"/>
      <c r="FF42" s="6"/>
      <c r="FG42" s="6"/>
      <c r="FH42" s="6" t="s">
        <v>1306</v>
      </c>
      <c r="FI42" s="6">
        <v>1</v>
      </c>
      <c r="FJ42" s="6" t="s">
        <v>11137</v>
      </c>
      <c r="FK42" s="1725"/>
      <c r="FL42" s="6" t="s">
        <v>11132</v>
      </c>
      <c r="FM42" s="1034">
        <v>2000</v>
      </c>
      <c r="FN42" s="64">
        <v>125</v>
      </c>
      <c r="FO42" s="64">
        <v>700</v>
      </c>
      <c r="FP42" s="766" t="s">
        <v>1602</v>
      </c>
      <c r="FQ42" s="766" t="s">
        <v>1660</v>
      </c>
      <c r="FR42" s="1019"/>
      <c r="FS42" s="1019"/>
      <c r="FT42" s="1019"/>
      <c r="FU42" s="6"/>
      <c r="FV42" s="6"/>
      <c r="FW42" s="6"/>
      <c r="FX42" s="6"/>
      <c r="FY42" s="6"/>
      <c r="FZ42" s="6"/>
      <c r="GA42" s="6"/>
      <c r="GB42" s="6"/>
      <c r="GC42" s="1028"/>
      <c r="GD42" s="1015"/>
      <c r="GE42" s="6"/>
      <c r="GF42" s="64"/>
      <c r="GG42" s="64"/>
      <c r="GH42" s="1722"/>
      <c r="GI42" s="1722"/>
      <c r="GJ42" s="1722"/>
      <c r="GK42" s="1722"/>
      <c r="GL42" s="1722"/>
      <c r="GM42" s="1722"/>
      <c r="GN42" s="1723"/>
      <c r="GO42" s="1723"/>
      <c r="GP42" s="1723"/>
      <c r="GQ42" s="1723"/>
      <c r="GR42" s="1723"/>
      <c r="GS42" s="1722"/>
      <c r="GT42" s="1723"/>
      <c r="GU42" s="1722"/>
      <c r="GV42" s="1723"/>
      <c r="GW42" s="1723"/>
      <c r="GX42" s="1723"/>
      <c r="GY42" s="1723"/>
      <c r="GZ42" s="1723"/>
      <c r="HA42" s="1723"/>
      <c r="HB42" s="1723"/>
      <c r="HC42" s="1722"/>
      <c r="HD42" s="1723"/>
      <c r="HE42" s="1722"/>
      <c r="HF42" s="1722"/>
      <c r="HG42" s="1722"/>
      <c r="HH42" s="1722"/>
      <c r="HI42" s="1722"/>
      <c r="HJ42" s="1722"/>
      <c r="HK42" s="1722"/>
      <c r="HL42" s="6"/>
      <c r="HM42" s="6"/>
      <c r="HN42" s="6"/>
      <c r="HO42" s="6"/>
      <c r="HP42" s="6"/>
      <c r="HQ42" s="6"/>
      <c r="HR42" s="6">
        <v>1</v>
      </c>
      <c r="HS42" s="6"/>
      <c r="HT42" s="6"/>
      <c r="HU42" s="6"/>
      <c r="HV42" s="6"/>
      <c r="HW42" s="6"/>
      <c r="HX42" s="6"/>
      <c r="HY42" s="6"/>
      <c r="HZ42" s="6"/>
      <c r="IA42" s="6"/>
      <c r="IB42" s="14" t="e">
        <f>IF(#REF!&gt;0,IF(#REF!&lt;=10000,"Y",""),"")</f>
        <v>#REF!</v>
      </c>
      <c r="IC42" s="6"/>
      <c r="ID42" s="6"/>
      <c r="IE42" s="6"/>
      <c r="IF42" s="6"/>
      <c r="IG42" s="6"/>
      <c r="IH42" s="6"/>
      <c r="II42" s="6"/>
      <c r="IJ42" s="6"/>
      <c r="IK42" s="6"/>
      <c r="IL42" s="6"/>
      <c r="IM42" s="1028"/>
      <c r="IN42" s="6"/>
      <c r="IO42" s="1014"/>
      <c r="IP42" s="6"/>
      <c r="IQ42" s="6"/>
      <c r="IR42" s="6"/>
      <c r="IS42" s="6"/>
      <c r="IT42" s="6"/>
      <c r="IU42" s="6"/>
      <c r="IV42" s="6"/>
      <c r="IW42" s="6"/>
      <c r="IX42" s="6"/>
      <c r="IY42" s="6"/>
      <c r="IZ42" s="6"/>
      <c r="JA42" s="6"/>
      <c r="JB42" s="6"/>
      <c r="JC42" s="6"/>
      <c r="JD42" s="64"/>
      <c r="JE42" s="6"/>
      <c r="JF42" s="1688"/>
      <c r="JG42" s="1687"/>
      <c r="JH42" s="1687"/>
      <c r="JI42" s="1687"/>
      <c r="JJ42" s="1698">
        <v>11</v>
      </c>
      <c r="JK42" s="1047" t="s">
        <v>8291</v>
      </c>
      <c r="JL42" s="6">
        <v>2</v>
      </c>
      <c r="JM42" s="6">
        <v>1</v>
      </c>
      <c r="JN42" s="6">
        <v>4</v>
      </c>
      <c r="JO42" s="6">
        <v>4</v>
      </c>
      <c r="JP42" s="6"/>
      <c r="JQ42" s="6"/>
      <c r="JR42" s="6"/>
      <c r="JS42" s="6"/>
      <c r="JT42" s="766">
        <f>SUM(JP42,JN42,JL42,JR42)</f>
        <v>6</v>
      </c>
      <c r="JU42" s="766">
        <f>SUM(JQ42,JO42,JM42,JS42)</f>
        <v>5</v>
      </c>
      <c r="JV42" s="712" t="str">
        <f>IF(JT42=KJ42,"ok","male")</f>
        <v>ok</v>
      </c>
      <c r="JW42" s="712" t="str">
        <f>IF(JU42=KK42,"ok","female")</f>
        <v>ok</v>
      </c>
      <c r="JX42" s="6">
        <v>2</v>
      </c>
      <c r="JY42" s="6"/>
      <c r="JZ42" s="6"/>
      <c r="KA42" s="6">
        <v>1</v>
      </c>
      <c r="KB42" s="6">
        <v>3</v>
      </c>
      <c r="KC42" s="6">
        <v>3</v>
      </c>
      <c r="KD42" s="6">
        <v>1</v>
      </c>
      <c r="KE42" s="6">
        <v>1</v>
      </c>
      <c r="KF42" s="6"/>
      <c r="KG42" s="6"/>
      <c r="KH42" s="6"/>
      <c r="KI42" s="6"/>
      <c r="KJ42" s="770">
        <f>SUM(KF42,KD42,KB42,JZ42,JX42,KH42)</f>
        <v>6</v>
      </c>
      <c r="KK42" s="770">
        <f>SUM(KG42,KE42,KC42,KA42,JY42,KI42)</f>
        <v>5</v>
      </c>
      <c r="KL42" s="712" t="str">
        <f>IF(KJ42=LN42,"ok","male")</f>
        <v>ok</v>
      </c>
      <c r="KM42" s="712" t="str">
        <f>IF(KK42=LO42,"ok","female")</f>
        <v>ok</v>
      </c>
      <c r="KN42" s="6" t="s">
        <v>707</v>
      </c>
      <c r="KO42" s="1688"/>
      <c r="KP42" s="6"/>
      <c r="KQ42" s="6"/>
      <c r="KR42" s="6"/>
      <c r="KS42" s="6"/>
      <c r="KT42" s="6"/>
      <c r="KU42" s="6"/>
      <c r="KV42" s="6"/>
      <c r="KW42" s="6"/>
      <c r="KX42" s="6"/>
      <c r="KY42" s="6">
        <v>3</v>
      </c>
      <c r="KZ42" s="6"/>
      <c r="LA42" s="6"/>
      <c r="LB42" s="6">
        <v>3</v>
      </c>
      <c r="LC42" s="6">
        <v>1</v>
      </c>
      <c r="LD42" s="6">
        <v>1</v>
      </c>
      <c r="LE42" s="6">
        <v>1</v>
      </c>
      <c r="LF42" s="6"/>
      <c r="LG42" s="6"/>
      <c r="LH42" s="6"/>
      <c r="LI42" s="6"/>
      <c r="LJ42" s="6">
        <v>2</v>
      </c>
      <c r="LK42" s="6"/>
      <c r="LL42" s="6"/>
      <c r="LM42" s="6"/>
      <c r="LN42" s="766">
        <f>SUM(KP42,KR42,KT42,KV42,KX42,KZ42,LB42,LD42,LF42,LH42,LJ42,LL42)</f>
        <v>6</v>
      </c>
      <c r="LO42" s="766">
        <f>SUM(KQ42,KS42,KU42,KW42,KY42,LA42,LC42,LE42,LG42,LI42,LK42,LM42)</f>
        <v>5</v>
      </c>
      <c r="LP42" s="6">
        <v>5</v>
      </c>
      <c r="LQ42" s="1690">
        <v>4</v>
      </c>
      <c r="LR42" s="6"/>
      <c r="LS42" s="6">
        <v>1</v>
      </c>
      <c r="LT42" s="712" t="str">
        <f>IF(LQ42=SUM(LU42:LW42),"OK","REV")</f>
        <v>OK</v>
      </c>
      <c r="LU42" s="6"/>
      <c r="LV42" s="6">
        <v>4</v>
      </c>
      <c r="LW42" s="6"/>
      <c r="LX42" s="1693">
        <v>5</v>
      </c>
      <c r="LY42" s="766" t="str">
        <f t="shared" si="6"/>
        <v>OVERSEAS Worker</v>
      </c>
      <c r="LZ42" s="1694">
        <f>SUM(160*26,140*26,140*6)</f>
        <v>8640</v>
      </c>
      <c r="MA42" s="1694"/>
      <c r="MB42" s="1694">
        <f>16*26</f>
        <v>416</v>
      </c>
      <c r="MC42" s="1679">
        <f t="shared" si="1"/>
        <v>9056</v>
      </c>
      <c r="MD42" s="1694">
        <f>SUM(15000,18000,18000,30000)</f>
        <v>81000</v>
      </c>
      <c r="ME42" s="1694"/>
      <c r="MF42" s="1694">
        <f>1000*20</f>
        <v>20000</v>
      </c>
      <c r="MG42" s="1680">
        <f t="shared" si="2"/>
        <v>101000</v>
      </c>
      <c r="MH42" s="1690" t="s">
        <v>13052</v>
      </c>
      <c r="MI42" s="64">
        <v>10000</v>
      </c>
      <c r="MJ42" s="64">
        <v>1000</v>
      </c>
      <c r="MK42" s="64">
        <v>5000</v>
      </c>
      <c r="ML42" s="64">
        <v>300</v>
      </c>
      <c r="MM42" s="64">
        <v>7000</v>
      </c>
      <c r="MN42" s="64"/>
      <c r="MO42" s="64">
        <v>90</v>
      </c>
      <c r="MP42" s="64">
        <v>700</v>
      </c>
      <c r="MQ42" s="64">
        <v>580</v>
      </c>
      <c r="MR42" s="64">
        <v>125</v>
      </c>
      <c r="MS42" s="64">
        <v>2400</v>
      </c>
      <c r="MT42" s="64"/>
      <c r="MU42" s="64"/>
      <c r="MV42" s="64"/>
      <c r="MW42" s="64"/>
      <c r="MX42" s="64"/>
      <c r="MY42" s="1682">
        <f t="shared" si="3"/>
        <v>27195</v>
      </c>
      <c r="MZ42" s="6" t="s">
        <v>13004</v>
      </c>
      <c r="NA42" s="6" t="s">
        <v>13005</v>
      </c>
      <c r="NB42" s="6" t="s">
        <v>13053</v>
      </c>
      <c r="NC42" s="6" t="s">
        <v>13007</v>
      </c>
      <c r="ND42" s="6">
        <v>0</v>
      </c>
      <c r="NE42" s="6">
        <v>1</v>
      </c>
      <c r="NF42" s="6">
        <v>1</v>
      </c>
      <c r="NG42" s="6">
        <v>2</v>
      </c>
      <c r="NH42" s="6">
        <v>1</v>
      </c>
      <c r="NI42" s="6">
        <v>1</v>
      </c>
      <c r="NJ42" s="6">
        <v>0</v>
      </c>
      <c r="NK42" s="6">
        <v>0</v>
      </c>
      <c r="NL42" s="6">
        <v>1</v>
      </c>
      <c r="NM42" s="6">
        <v>1</v>
      </c>
      <c r="NN42" s="6">
        <v>0</v>
      </c>
      <c r="NO42" s="6">
        <v>0</v>
      </c>
      <c r="NP42" s="6">
        <v>0</v>
      </c>
      <c r="NQ42" s="6">
        <v>0</v>
      </c>
      <c r="NR42" s="6">
        <v>0</v>
      </c>
      <c r="NS42" s="6">
        <v>0</v>
      </c>
      <c r="NT42" s="6">
        <v>0</v>
      </c>
      <c r="NU42" s="6">
        <v>0</v>
      </c>
      <c r="NV42" s="6">
        <v>0</v>
      </c>
      <c r="NW42" s="6">
        <v>0</v>
      </c>
      <c r="NX42" s="6">
        <v>0</v>
      </c>
      <c r="NY42" s="6" t="s">
        <v>1208</v>
      </c>
      <c r="NZ42" s="6" t="s">
        <v>1208</v>
      </c>
      <c r="OA42" s="6" t="s">
        <v>1208</v>
      </c>
      <c r="OB42" s="6" t="s">
        <v>1208</v>
      </c>
      <c r="OC42" s="6"/>
      <c r="OD42" s="6"/>
      <c r="OE42" s="6"/>
      <c r="OF42" s="6"/>
      <c r="OG42" s="6"/>
      <c r="OH42" s="6"/>
      <c r="OI42" s="6"/>
      <c r="OJ42" s="6"/>
      <c r="OK42" s="1687"/>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t="s">
        <v>1208</v>
      </c>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t="s">
        <v>1207</v>
      </c>
      <c r="RC42" s="6">
        <v>2016</v>
      </c>
      <c r="RD42" s="6" t="s">
        <v>13054</v>
      </c>
      <c r="RE42" s="6" t="s">
        <v>12999</v>
      </c>
      <c r="RF42" s="1026">
        <v>1.5</v>
      </c>
      <c r="RG42" s="6" t="s">
        <v>13047</v>
      </c>
      <c r="RH42" s="64">
        <v>0</v>
      </c>
      <c r="RI42" s="6">
        <v>72</v>
      </c>
      <c r="RJ42" s="6" t="s">
        <v>4328</v>
      </c>
      <c r="RK42" s="6" t="s">
        <v>13055</v>
      </c>
      <c r="RL42" s="1691">
        <v>42901</v>
      </c>
      <c r="RM42" s="1714" t="s">
        <v>13038</v>
      </c>
      <c r="RN42" s="1724">
        <v>42901</v>
      </c>
      <c r="RO42" s="169" t="s">
        <v>8290</v>
      </c>
      <c r="RR42" s="861" t="s">
        <v>12456</v>
      </c>
      <c r="RS42" s="1139" t="s">
        <v>12980</v>
      </c>
      <c r="RV42" s="6" t="s">
        <v>7419</v>
      </c>
      <c r="RW42" s="1020" t="s">
        <v>12397</v>
      </c>
      <c r="RX42" s="1020" t="s">
        <v>11124</v>
      </c>
      <c r="SA42" s="6"/>
    </row>
    <row r="43" spans="1:495" s="1020" customFormat="1" ht="12.75" hidden="1" customHeight="1">
      <c r="A43" s="861" t="s">
        <v>7419</v>
      </c>
      <c r="B43" s="1031" t="s">
        <v>11917</v>
      </c>
      <c r="C43" s="169" t="s">
        <v>11140</v>
      </c>
      <c r="D43" s="6" t="s">
        <v>488</v>
      </c>
      <c r="E43" s="6" t="s">
        <v>11089</v>
      </c>
      <c r="F43" s="6"/>
      <c r="G43" s="6"/>
      <c r="H43" s="6"/>
      <c r="I43" s="1012"/>
      <c r="J43" s="6"/>
      <c r="K43" s="6" t="s">
        <v>14097</v>
      </c>
      <c r="L43" s="6" t="s">
        <v>14098</v>
      </c>
      <c r="M43" s="6"/>
      <c r="N43" s="6" t="s">
        <v>11092</v>
      </c>
      <c r="O43" s="6" t="s">
        <v>11071</v>
      </c>
      <c r="P43" s="843"/>
      <c r="Q43" s="1086"/>
      <c r="R43" s="1015"/>
      <c r="S43" s="6"/>
      <c r="T43" s="6"/>
      <c r="U43" s="1016"/>
      <c r="V43" s="6"/>
      <c r="W43" s="1016"/>
      <c r="X43" s="1014"/>
      <c r="Y43" s="6"/>
      <c r="Z43" s="6"/>
      <c r="AA43" s="6"/>
      <c r="AB43" s="1019"/>
      <c r="AC43" s="6"/>
      <c r="AD43" s="6"/>
      <c r="AE43" s="6"/>
      <c r="AF43" s="6"/>
      <c r="AG43" s="6" t="s">
        <v>1095</v>
      </c>
      <c r="AH43" s="766" t="s">
        <v>1096</v>
      </c>
      <c r="AI43" s="6" t="s">
        <v>11141</v>
      </c>
      <c r="AJ43" s="6"/>
      <c r="AK43" s="6" t="s">
        <v>1097</v>
      </c>
      <c r="AL43" s="1128"/>
      <c r="AM43" s="45">
        <v>7.54</v>
      </c>
      <c r="AN43" s="1129"/>
      <c r="AO43" s="561"/>
      <c r="AP43" s="6"/>
      <c r="AQ43" s="6"/>
      <c r="AR43" s="6"/>
      <c r="AS43" s="6"/>
      <c r="AT43" s="6"/>
      <c r="AU43" s="6"/>
      <c r="AV43" s="6"/>
      <c r="AW43" s="6"/>
      <c r="AX43" s="1032"/>
      <c r="AY43" s="6"/>
      <c r="AZ43" s="6"/>
      <c r="BA43" s="6"/>
      <c r="BB43" s="6"/>
      <c r="BC43" s="6"/>
      <c r="BD43" s="6"/>
      <c r="BE43" s="6"/>
      <c r="BF43" s="64"/>
      <c r="BG43" s="64"/>
      <c r="BH43" s="6"/>
      <c r="BI43" s="6"/>
      <c r="BJ43" s="6"/>
      <c r="BK43" s="6" t="s">
        <v>1095</v>
      </c>
      <c r="BL43" s="6" t="s">
        <v>11141</v>
      </c>
      <c r="BM43" s="6" t="s">
        <v>1100</v>
      </c>
      <c r="BN43" s="6" t="s">
        <v>1230</v>
      </c>
      <c r="BO43" s="766" t="s">
        <v>1246</v>
      </c>
      <c r="BP43" s="1033">
        <v>27.84</v>
      </c>
      <c r="BQ43" s="46">
        <v>7.54</v>
      </c>
      <c r="BR43" s="47">
        <f>BQ43/BP43</f>
        <v>0.27083333333333331</v>
      </c>
      <c r="BS43" s="6" t="s">
        <v>1149</v>
      </c>
      <c r="BT43" s="1019" t="s">
        <v>1240</v>
      </c>
      <c r="BU43" s="1019" t="s">
        <v>1249</v>
      </c>
      <c r="BV43" s="1019" t="s">
        <v>1247</v>
      </c>
      <c r="BW43" s="1019"/>
      <c r="BX43" s="96"/>
      <c r="BY43" s="6"/>
      <c r="BZ43" s="64"/>
      <c r="CA43" s="6"/>
      <c r="CB43" s="6"/>
      <c r="CC43" s="6"/>
      <c r="CD43" s="6"/>
      <c r="CE43" s="6"/>
      <c r="CF43" s="1021"/>
      <c r="CG43" s="1021"/>
      <c r="CH43" s="6"/>
      <c r="CI43" s="6"/>
      <c r="CJ43" s="6"/>
      <c r="CK43" s="6"/>
      <c r="CL43" s="6"/>
      <c r="CM43" s="6"/>
      <c r="CN43" s="6"/>
      <c r="CO43" s="6"/>
      <c r="CP43" s="6"/>
      <c r="CQ43" s="6"/>
      <c r="CR43" s="64"/>
      <c r="CS43" s="6"/>
      <c r="CT43" s="6"/>
      <c r="CU43" s="1022"/>
      <c r="CV43" s="6"/>
      <c r="CW43" s="6"/>
      <c r="CX43" s="6"/>
      <c r="CY43" s="6"/>
      <c r="CZ43" s="6"/>
      <c r="DA43" s="6"/>
      <c r="DB43" s="6"/>
      <c r="DC43" s="6"/>
      <c r="DD43" s="6"/>
      <c r="DE43" s="6"/>
      <c r="DF43" s="6"/>
      <c r="DG43" s="6"/>
      <c r="DH43" s="6"/>
      <c r="DI43" s="6"/>
      <c r="DJ43" s="6"/>
      <c r="DK43" s="6"/>
      <c r="DL43" s="6"/>
      <c r="DM43" s="6"/>
      <c r="DN43" s="6"/>
      <c r="DO43" s="6"/>
      <c r="DP43" s="6"/>
      <c r="DQ43" s="6"/>
      <c r="DR43" s="6"/>
      <c r="DS43" s="1023"/>
      <c r="DT43" s="6"/>
      <c r="DU43" s="6"/>
      <c r="DV43" s="6"/>
      <c r="DW43" s="1024"/>
      <c r="DX43" s="1024"/>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4"/>
      <c r="FE43" s="6"/>
      <c r="FF43" s="6"/>
      <c r="FG43" s="6"/>
      <c r="FH43" s="6"/>
      <c r="FI43" s="6"/>
      <c r="FJ43" s="6"/>
      <c r="FK43" s="6"/>
      <c r="FL43" s="6"/>
      <c r="FM43" s="64"/>
      <c r="FN43" s="64"/>
      <c r="FO43" s="64"/>
      <c r="FP43" s="766" t="s">
        <v>1602</v>
      </c>
      <c r="FQ43" s="766" t="s">
        <v>1660</v>
      </c>
      <c r="FR43" s="1019"/>
      <c r="FS43" s="1019"/>
      <c r="FT43" s="1019"/>
      <c r="FU43" s="6"/>
      <c r="FV43" s="6"/>
      <c r="FW43" s="6"/>
      <c r="FX43" s="6"/>
      <c r="FY43" s="6"/>
      <c r="FZ43" s="6"/>
      <c r="GA43" s="6"/>
      <c r="GB43" s="6"/>
      <c r="GC43" s="1028"/>
      <c r="GD43" s="1015"/>
      <c r="GE43" s="6"/>
      <c r="GF43" s="64"/>
      <c r="GG43" s="64"/>
      <c r="GH43" s="1722"/>
      <c r="GI43" s="1722"/>
      <c r="GJ43" s="1722"/>
      <c r="GK43" s="1722"/>
      <c r="GL43" s="1722"/>
      <c r="GM43" s="1722"/>
      <c r="GN43" s="1723"/>
      <c r="GO43" s="1723"/>
      <c r="GP43" s="1723"/>
      <c r="GQ43" s="1723"/>
      <c r="GR43" s="1723"/>
      <c r="GS43" s="1722"/>
      <c r="GT43" s="1723"/>
      <c r="GU43" s="1722"/>
      <c r="GV43" s="1723"/>
      <c r="GW43" s="1723"/>
      <c r="GX43" s="1723"/>
      <c r="GY43" s="1723"/>
      <c r="GZ43" s="1723"/>
      <c r="HA43" s="1723"/>
      <c r="HB43" s="1723"/>
      <c r="HC43" s="1722"/>
      <c r="HD43" s="1723"/>
      <c r="HE43" s="1722"/>
      <c r="HF43" s="1722"/>
      <c r="HG43" s="1722"/>
      <c r="HH43" s="1722"/>
      <c r="HI43" s="1722"/>
      <c r="HJ43" s="1722"/>
      <c r="HK43" s="1722"/>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1028"/>
      <c r="IN43" s="6"/>
      <c r="IO43" s="1014"/>
      <c r="IP43" s="6"/>
      <c r="IQ43" s="6"/>
      <c r="IR43" s="6"/>
      <c r="IS43" s="6"/>
      <c r="IT43" s="6"/>
      <c r="IU43" s="6"/>
      <c r="IV43" s="6"/>
      <c r="IW43" s="6"/>
      <c r="IX43" s="6"/>
      <c r="IY43" s="6"/>
      <c r="IZ43" s="6"/>
      <c r="JA43" s="6"/>
      <c r="JB43" s="6"/>
      <c r="JC43" s="6"/>
      <c r="JD43" s="64"/>
      <c r="JE43" s="6"/>
      <c r="JF43" s="1688"/>
      <c r="JG43" s="1687"/>
      <c r="JH43" s="1687"/>
      <c r="JI43" s="1687"/>
      <c r="JJ43" s="6"/>
      <c r="JK43" s="6"/>
      <c r="JL43" s="6"/>
      <c r="JM43" s="6"/>
      <c r="JN43" s="6"/>
      <c r="JO43" s="6"/>
      <c r="JP43" s="6"/>
      <c r="JQ43" s="6"/>
      <c r="JR43" s="6"/>
      <c r="JS43" s="6"/>
      <c r="JT43" s="766"/>
      <c r="JU43" s="766"/>
      <c r="JV43" s="766"/>
      <c r="JW43" s="766"/>
      <c r="JX43" s="6"/>
      <c r="JY43" s="6"/>
      <c r="JZ43" s="6"/>
      <c r="KA43" s="6"/>
      <c r="KB43" s="6"/>
      <c r="KC43" s="6"/>
      <c r="KD43" s="6"/>
      <c r="KE43" s="6"/>
      <c r="KF43" s="6"/>
      <c r="KG43" s="6"/>
      <c r="KH43" s="6"/>
      <c r="KI43" s="6"/>
      <c r="KJ43" s="770"/>
      <c r="KK43" s="770"/>
      <c r="KL43" s="770"/>
      <c r="KM43" s="770"/>
      <c r="KN43" s="6"/>
      <c r="KO43" s="1688"/>
      <c r="KP43" s="6"/>
      <c r="KQ43" s="6"/>
      <c r="KR43" s="6"/>
      <c r="KS43" s="6"/>
      <c r="KT43" s="6"/>
      <c r="KU43" s="6"/>
      <c r="KV43" s="6"/>
      <c r="KW43" s="6"/>
      <c r="KX43" s="6"/>
      <c r="KY43" s="6"/>
      <c r="KZ43" s="6"/>
      <c r="LA43" s="6"/>
      <c r="LB43" s="6"/>
      <c r="LC43" s="6"/>
      <c r="LD43" s="6"/>
      <c r="LE43" s="6"/>
      <c r="LF43" s="6"/>
      <c r="LG43" s="6"/>
      <c r="LH43" s="6"/>
      <c r="LI43" s="6"/>
      <c r="LJ43" s="6"/>
      <c r="LK43" s="6"/>
      <c r="LL43" s="6"/>
      <c r="LM43" s="6"/>
      <c r="LN43" s="766"/>
      <c r="LO43" s="766"/>
      <c r="LP43" s="6"/>
      <c r="LQ43" s="1690"/>
      <c r="LR43" s="6"/>
      <c r="LS43" s="6"/>
      <c r="LT43" s="6"/>
      <c r="LU43" s="6"/>
      <c r="LV43" s="6"/>
      <c r="LW43" s="6"/>
      <c r="LX43" s="1693"/>
      <c r="LY43" s="766" t="str">
        <f t="shared" si="6"/>
        <v/>
      </c>
      <c r="LZ43" s="1694"/>
      <c r="MA43" s="1694"/>
      <c r="MB43" s="1694"/>
      <c r="MC43" s="1679">
        <f t="shared" si="1"/>
        <v>0</v>
      </c>
      <c r="MD43" s="1694"/>
      <c r="ME43" s="1694"/>
      <c r="MF43" s="1694"/>
      <c r="MG43" s="1680">
        <f t="shared" si="2"/>
        <v>0</v>
      </c>
      <c r="MH43" s="1690"/>
      <c r="MI43" s="64"/>
      <c r="MJ43" s="64"/>
      <c r="MK43" s="64"/>
      <c r="ML43" s="64"/>
      <c r="MM43" s="64"/>
      <c r="MN43" s="64"/>
      <c r="MO43" s="64"/>
      <c r="MP43" s="64"/>
      <c r="MQ43" s="64"/>
      <c r="MR43" s="64"/>
      <c r="MS43" s="64"/>
      <c r="MT43" s="64"/>
      <c r="MU43" s="64"/>
      <c r="MV43" s="64"/>
      <c r="MW43" s="64"/>
      <c r="MX43" s="64"/>
      <c r="MY43" s="1682">
        <f t="shared" si="3"/>
        <v>0</v>
      </c>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1687"/>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1026"/>
      <c r="RG43" s="6"/>
      <c r="RH43" s="64"/>
      <c r="RI43" s="6"/>
      <c r="RJ43" s="6"/>
      <c r="RK43" s="6"/>
      <c r="RL43" s="1691"/>
      <c r="RM43" s="1714"/>
      <c r="RN43" s="1724"/>
      <c r="RO43" s="169" t="s">
        <v>11140</v>
      </c>
      <c r="RR43" s="93"/>
      <c r="RS43" s="6"/>
      <c r="RV43" s="6" t="s">
        <v>7419</v>
      </c>
      <c r="RW43" s="1020" t="s">
        <v>11916</v>
      </c>
      <c r="RX43" s="1020" t="s">
        <v>8290</v>
      </c>
      <c r="RY43" s="1020">
        <v>6.25</v>
      </c>
      <c r="SA43" s="6"/>
    </row>
    <row r="44" spans="1:495" s="1020" customFormat="1" ht="12.75" hidden="1" customHeight="1">
      <c r="A44" s="861" t="s">
        <v>12379</v>
      </c>
      <c r="B44" s="1120" t="s">
        <v>11919</v>
      </c>
      <c r="C44" s="169" t="s">
        <v>11142</v>
      </c>
      <c r="D44" s="6" t="s">
        <v>488</v>
      </c>
      <c r="E44" s="6" t="s">
        <v>11089</v>
      </c>
      <c r="F44" s="6"/>
      <c r="G44" s="6"/>
      <c r="H44" s="6"/>
      <c r="I44" s="1012"/>
      <c r="J44" s="6"/>
      <c r="K44" s="6"/>
      <c r="L44" s="6"/>
      <c r="M44" s="6"/>
      <c r="N44" s="6"/>
      <c r="O44" s="6"/>
      <c r="P44" s="843"/>
      <c r="Q44" s="1086"/>
      <c r="R44" s="1015"/>
      <c r="S44" s="6"/>
      <c r="T44" s="6"/>
      <c r="U44" s="1016"/>
      <c r="V44" s="6"/>
      <c r="W44" s="1016"/>
      <c r="X44" s="1014"/>
      <c r="Y44" s="6"/>
      <c r="Z44" s="6"/>
      <c r="AA44" s="6"/>
      <c r="AB44" s="1019"/>
      <c r="AC44" s="6"/>
      <c r="AD44" s="6"/>
      <c r="AE44" s="6"/>
      <c r="AF44" s="6"/>
      <c r="AG44" s="6"/>
      <c r="AH44" s="6"/>
      <c r="AI44" s="6"/>
      <c r="AJ44" s="6"/>
      <c r="AK44" s="766" t="s">
        <v>5454</v>
      </c>
      <c r="AL44" s="124"/>
      <c r="AM44" s="45"/>
      <c r="AN44" s="47"/>
      <c r="AO44" s="6"/>
      <c r="AP44" s="6"/>
      <c r="AQ44" s="6"/>
      <c r="AR44" s="6"/>
      <c r="AS44" s="6"/>
      <c r="AT44" s="6"/>
      <c r="AU44" s="6"/>
      <c r="AV44" s="6"/>
      <c r="AW44" s="6"/>
      <c r="AX44" s="1032"/>
      <c r="AY44" s="6"/>
      <c r="AZ44" s="6"/>
      <c r="BA44" s="6"/>
      <c r="BB44" s="6"/>
      <c r="BC44" s="6"/>
      <c r="BD44" s="6"/>
      <c r="BE44" s="6"/>
      <c r="BF44" s="64"/>
      <c r="BG44" s="64"/>
      <c r="BH44" s="6"/>
      <c r="BI44" s="6"/>
      <c r="BJ44" s="6"/>
      <c r="BK44" s="6" t="s">
        <v>1095</v>
      </c>
      <c r="BL44" s="6" t="s">
        <v>11141</v>
      </c>
      <c r="BM44" s="6" t="s">
        <v>1096</v>
      </c>
      <c r="BN44" s="6" t="s">
        <v>1230</v>
      </c>
      <c r="BO44" s="766" t="s">
        <v>1246</v>
      </c>
      <c r="BP44" s="1033">
        <v>45.14</v>
      </c>
      <c r="BQ44" s="46">
        <v>12.506</v>
      </c>
      <c r="BR44" s="47">
        <f>BQ44/BP44</f>
        <v>0.27704918032786885</v>
      </c>
      <c r="BS44" s="6" t="s">
        <v>1149</v>
      </c>
      <c r="BT44" s="1019" t="s">
        <v>1240</v>
      </c>
      <c r="BU44" s="1019" t="s">
        <v>11145</v>
      </c>
      <c r="BV44" s="1019" t="s">
        <v>1247</v>
      </c>
      <c r="BW44" s="1019">
        <v>1970</v>
      </c>
      <c r="BX44" s="96"/>
      <c r="BY44" s="6"/>
      <c r="BZ44" s="64"/>
      <c r="CA44" s="6"/>
      <c r="CB44" s="6"/>
      <c r="CC44" s="6"/>
      <c r="CD44" s="6"/>
      <c r="CE44" s="6"/>
      <c r="CF44" s="1021"/>
      <c r="CG44" s="1021"/>
      <c r="CH44" s="6"/>
      <c r="CI44" s="6"/>
      <c r="CJ44" s="6"/>
      <c r="CK44" s="6"/>
      <c r="CL44" s="6"/>
      <c r="CM44" s="6"/>
      <c r="CN44" s="6"/>
      <c r="CO44" s="6"/>
      <c r="CP44" s="6"/>
      <c r="CQ44" s="6"/>
      <c r="CR44" s="64"/>
      <c r="CS44" s="6"/>
      <c r="CT44" s="6"/>
      <c r="CU44" s="1022"/>
      <c r="CV44" s="6"/>
      <c r="CW44" s="6"/>
      <c r="CX44" s="6"/>
      <c r="CY44" s="6"/>
      <c r="CZ44" s="6"/>
      <c r="DA44" s="6"/>
      <c r="DB44" s="6"/>
      <c r="DC44" s="6"/>
      <c r="DD44" s="6"/>
      <c r="DE44" s="6"/>
      <c r="DF44" s="6"/>
      <c r="DG44" s="6"/>
      <c r="DH44" s="6"/>
      <c r="DI44" s="6"/>
      <c r="DJ44" s="6"/>
      <c r="DK44" s="6"/>
      <c r="DL44" s="6"/>
      <c r="DM44" s="6"/>
      <c r="DN44" s="6"/>
      <c r="DO44" s="6"/>
      <c r="DP44" s="6"/>
      <c r="DQ44" s="6"/>
      <c r="DR44" s="6"/>
      <c r="DS44" s="1023"/>
      <c r="DT44" s="6"/>
      <c r="DU44" s="6"/>
      <c r="DV44" s="6"/>
      <c r="DW44" s="1024"/>
      <c r="DX44" s="1024"/>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4"/>
      <c r="FE44" s="6"/>
      <c r="FF44" s="6"/>
      <c r="FG44" s="6"/>
      <c r="FH44" s="6"/>
      <c r="FI44" s="6"/>
      <c r="FJ44" s="6"/>
      <c r="FK44" s="6"/>
      <c r="FL44" s="6"/>
      <c r="FM44" s="64"/>
      <c r="FN44" s="64"/>
      <c r="FO44" s="64"/>
      <c r="FP44" s="766" t="s">
        <v>1602</v>
      </c>
      <c r="FQ44" s="766" t="s">
        <v>1660</v>
      </c>
      <c r="FR44" s="1019"/>
      <c r="FS44" s="1019"/>
      <c r="FT44" s="1019"/>
      <c r="FU44" s="6"/>
      <c r="FV44" s="6"/>
      <c r="FW44" s="6"/>
      <c r="FX44" s="6"/>
      <c r="FY44" s="6"/>
      <c r="FZ44" s="6"/>
      <c r="GA44" s="6"/>
      <c r="GB44" s="6"/>
      <c r="GC44" s="1028"/>
      <c r="GD44" s="1015"/>
      <c r="GE44" s="6"/>
      <c r="GF44" s="64"/>
      <c r="GG44" s="64"/>
      <c r="GH44" s="1722"/>
      <c r="GI44" s="1722"/>
      <c r="GJ44" s="1722"/>
      <c r="GK44" s="1722"/>
      <c r="GL44" s="1722"/>
      <c r="GM44" s="1722"/>
      <c r="GN44" s="1723"/>
      <c r="GO44" s="1723"/>
      <c r="GP44" s="1723"/>
      <c r="GQ44" s="1723"/>
      <c r="GR44" s="1723"/>
      <c r="GS44" s="1722"/>
      <c r="GT44" s="1723"/>
      <c r="GU44" s="1722"/>
      <c r="GV44" s="1723"/>
      <c r="GW44" s="1723"/>
      <c r="GX44" s="1723"/>
      <c r="GY44" s="1723"/>
      <c r="GZ44" s="1723"/>
      <c r="HA44" s="1723"/>
      <c r="HB44" s="1723"/>
      <c r="HC44" s="1722"/>
      <c r="HD44" s="1723"/>
      <c r="HE44" s="1722"/>
      <c r="HF44" s="1722"/>
      <c r="HG44" s="1722"/>
      <c r="HH44" s="1722"/>
      <c r="HI44" s="1722"/>
      <c r="HJ44" s="1722"/>
      <c r="HK44" s="1722"/>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1028"/>
      <c r="IN44" s="6"/>
      <c r="IO44" s="1014"/>
      <c r="IP44" s="6"/>
      <c r="IQ44" s="6"/>
      <c r="IR44" s="6"/>
      <c r="IS44" s="6"/>
      <c r="IT44" s="6"/>
      <c r="IU44" s="6"/>
      <c r="IV44" s="6"/>
      <c r="IW44" s="6"/>
      <c r="IX44" s="6"/>
      <c r="IY44" s="6"/>
      <c r="IZ44" s="6"/>
      <c r="JA44" s="6"/>
      <c r="JB44" s="6"/>
      <c r="JC44" s="6"/>
      <c r="JD44" s="64"/>
      <c r="JE44" s="6"/>
      <c r="JF44" s="1688"/>
      <c r="JG44" s="1687"/>
      <c r="JH44" s="1687"/>
      <c r="JI44" s="1687"/>
      <c r="JJ44" s="6"/>
      <c r="JK44" s="6"/>
      <c r="JL44" s="6"/>
      <c r="JM44" s="6"/>
      <c r="JN44" s="6"/>
      <c r="JO44" s="6"/>
      <c r="JP44" s="6"/>
      <c r="JQ44" s="6"/>
      <c r="JR44" s="6"/>
      <c r="JS44" s="6"/>
      <c r="JT44" s="766"/>
      <c r="JU44" s="766"/>
      <c r="JV44" s="766"/>
      <c r="JW44" s="766"/>
      <c r="JX44" s="6"/>
      <c r="JY44" s="6"/>
      <c r="JZ44" s="6"/>
      <c r="KA44" s="6"/>
      <c r="KB44" s="6"/>
      <c r="KC44" s="6"/>
      <c r="KD44" s="6"/>
      <c r="KE44" s="6"/>
      <c r="KF44" s="6"/>
      <c r="KG44" s="6"/>
      <c r="KH44" s="6"/>
      <c r="KI44" s="6"/>
      <c r="KJ44" s="770"/>
      <c r="KK44" s="770"/>
      <c r="KL44" s="770"/>
      <c r="KM44" s="770"/>
      <c r="KN44" s="6"/>
      <c r="KO44" s="1688"/>
      <c r="KP44" s="6"/>
      <c r="KQ44" s="6"/>
      <c r="KR44" s="6"/>
      <c r="KS44" s="6"/>
      <c r="KT44" s="6"/>
      <c r="KU44" s="6"/>
      <c r="KV44" s="6"/>
      <c r="KW44" s="6"/>
      <c r="KX44" s="6"/>
      <c r="KY44" s="6"/>
      <c r="KZ44" s="6"/>
      <c r="LA44" s="6"/>
      <c r="LB44" s="6"/>
      <c r="LC44" s="6"/>
      <c r="LD44" s="6"/>
      <c r="LE44" s="6"/>
      <c r="LF44" s="6"/>
      <c r="LG44" s="6"/>
      <c r="LH44" s="6"/>
      <c r="LI44" s="6"/>
      <c r="LJ44" s="6"/>
      <c r="LK44" s="6"/>
      <c r="LL44" s="6"/>
      <c r="LM44" s="6"/>
      <c r="LN44" s="766"/>
      <c r="LO44" s="766"/>
      <c r="LP44" s="6"/>
      <c r="LQ44" s="1690"/>
      <c r="LR44" s="6"/>
      <c r="LS44" s="6"/>
      <c r="LT44" s="6"/>
      <c r="LU44" s="6"/>
      <c r="LV44" s="6"/>
      <c r="LW44" s="6"/>
      <c r="LX44" s="1693"/>
      <c r="LY44" s="766" t="str">
        <f t="shared" si="6"/>
        <v/>
      </c>
      <c r="LZ44" s="1694"/>
      <c r="MA44" s="1694"/>
      <c r="MB44" s="1694"/>
      <c r="MC44" s="1679">
        <f t="shared" si="1"/>
        <v>0</v>
      </c>
      <c r="MD44" s="1694"/>
      <c r="ME44" s="1694"/>
      <c r="MF44" s="1694"/>
      <c r="MG44" s="1680">
        <f t="shared" si="2"/>
        <v>0</v>
      </c>
      <c r="MH44" s="1690"/>
      <c r="MI44" s="64"/>
      <c r="MJ44" s="64"/>
      <c r="MK44" s="64"/>
      <c r="ML44" s="64"/>
      <c r="MM44" s="64"/>
      <c r="MN44" s="64"/>
      <c r="MO44" s="64"/>
      <c r="MP44" s="64"/>
      <c r="MQ44" s="64"/>
      <c r="MR44" s="64"/>
      <c r="MS44" s="64"/>
      <c r="MT44" s="64"/>
      <c r="MU44" s="64"/>
      <c r="MV44" s="64"/>
      <c r="MW44" s="64"/>
      <c r="MX44" s="64"/>
      <c r="MY44" s="1682">
        <f t="shared" si="3"/>
        <v>0</v>
      </c>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1687"/>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1026"/>
      <c r="RG44" s="6"/>
      <c r="RH44" s="64"/>
      <c r="RI44" s="6"/>
      <c r="RJ44" s="6"/>
      <c r="RK44" s="6"/>
      <c r="RL44" s="1691"/>
      <c r="RM44" s="1714"/>
      <c r="RN44" s="1724"/>
      <c r="RO44" s="169" t="s">
        <v>11142</v>
      </c>
      <c r="RR44" s="93"/>
      <c r="RS44" s="6"/>
      <c r="RV44" s="6" t="s">
        <v>12456</v>
      </c>
      <c r="RW44" s="1020" t="s">
        <v>11138</v>
      </c>
      <c r="RX44" s="1020" t="s">
        <v>8290</v>
      </c>
      <c r="RY44" s="1020">
        <v>13.87</v>
      </c>
      <c r="SA44" s="6"/>
    </row>
    <row r="45" spans="1:495" s="1020" customFormat="1" ht="15" hidden="1" customHeight="1">
      <c r="A45" s="861" t="s">
        <v>12379</v>
      </c>
      <c r="B45" s="1121" t="s">
        <v>11920</v>
      </c>
      <c r="C45" s="169" t="s">
        <v>11142</v>
      </c>
      <c r="D45" s="6" t="s">
        <v>11918</v>
      </c>
      <c r="E45" s="6" t="s">
        <v>11089</v>
      </c>
      <c r="F45" s="6" t="s">
        <v>20</v>
      </c>
      <c r="G45" s="6" t="s">
        <v>18</v>
      </c>
      <c r="H45" s="6"/>
      <c r="I45" s="1012" t="s">
        <v>11144</v>
      </c>
      <c r="J45" s="6" t="s">
        <v>11143</v>
      </c>
      <c r="K45" s="6" t="s">
        <v>14097</v>
      </c>
      <c r="L45" s="6" t="s">
        <v>14098</v>
      </c>
      <c r="M45" s="6"/>
      <c r="N45" s="6" t="s">
        <v>11092</v>
      </c>
      <c r="O45" s="6" t="s">
        <v>11071</v>
      </c>
      <c r="P45" s="6" t="s">
        <v>11143</v>
      </c>
      <c r="Q45" s="1086"/>
      <c r="R45" s="1015"/>
      <c r="S45" s="6" t="s">
        <v>18</v>
      </c>
      <c r="T45" s="6"/>
      <c r="U45" s="1016" t="s">
        <v>11144</v>
      </c>
      <c r="V45" s="6"/>
      <c r="W45" s="1016"/>
      <c r="X45" s="1014"/>
      <c r="Y45" s="6"/>
      <c r="Z45" s="6"/>
      <c r="AA45" s="6"/>
      <c r="AB45" s="1019"/>
      <c r="AC45" s="6"/>
      <c r="AD45" s="6"/>
      <c r="AE45" s="6"/>
      <c r="AF45" s="6"/>
      <c r="AG45" s="6"/>
      <c r="AH45" s="6"/>
      <c r="AI45" s="6"/>
      <c r="AJ45" s="6"/>
      <c r="AK45" s="766" t="s">
        <v>5454</v>
      </c>
      <c r="AL45" s="124"/>
      <c r="AM45" s="45"/>
      <c r="AN45" s="47"/>
      <c r="AO45" s="6"/>
      <c r="AP45" s="6"/>
      <c r="AQ45" s="6"/>
      <c r="AR45" s="6"/>
      <c r="AS45" s="6"/>
      <c r="AT45" s="6"/>
      <c r="AU45" s="6"/>
      <c r="AV45" s="6"/>
      <c r="AW45" s="6"/>
      <c r="AX45" s="1032"/>
      <c r="AY45" s="6"/>
      <c r="AZ45" s="6"/>
      <c r="BA45" s="6"/>
      <c r="BB45" s="6"/>
      <c r="BC45" s="6"/>
      <c r="BD45" s="6"/>
      <c r="BE45" s="6"/>
      <c r="BF45" s="64"/>
      <c r="BG45" s="64"/>
      <c r="BH45" s="6"/>
      <c r="BI45" s="6"/>
      <c r="BJ45" s="6"/>
      <c r="BK45" s="1716"/>
      <c r="BL45" s="1716"/>
      <c r="BM45" s="6" t="s">
        <v>1238</v>
      </c>
      <c r="BN45" s="6" t="s">
        <v>1299</v>
      </c>
      <c r="BO45" s="1716"/>
      <c r="BP45" s="1716"/>
      <c r="BQ45" s="1716"/>
      <c r="BR45" s="1716"/>
      <c r="BS45" s="6" t="s">
        <v>1149</v>
      </c>
      <c r="BT45" s="1716"/>
      <c r="BU45" s="1716"/>
      <c r="BV45" s="1716"/>
      <c r="BW45" s="1716"/>
      <c r="BX45" s="96"/>
      <c r="BY45" s="6"/>
      <c r="BZ45" s="64"/>
      <c r="CA45" s="6"/>
      <c r="CB45" s="6"/>
      <c r="CC45" s="6"/>
      <c r="CD45" s="6"/>
      <c r="CE45" s="6"/>
      <c r="CF45" s="1021"/>
      <c r="CG45" s="1021"/>
      <c r="CH45" s="6"/>
      <c r="CI45" s="6"/>
      <c r="CJ45" s="6"/>
      <c r="CK45" s="6"/>
      <c r="CL45" s="6"/>
      <c r="CM45" s="6"/>
      <c r="CN45" s="6"/>
      <c r="CO45" s="6"/>
      <c r="CP45" s="6"/>
      <c r="CQ45" s="6"/>
      <c r="CR45" s="64"/>
      <c r="CS45" s="6"/>
      <c r="CT45" s="6"/>
      <c r="CU45" s="1022"/>
      <c r="CV45" s="6"/>
      <c r="CW45" s="6"/>
      <c r="CX45" s="6"/>
      <c r="CY45" s="6"/>
      <c r="CZ45" s="6"/>
      <c r="DA45" s="6"/>
      <c r="DB45" s="6"/>
      <c r="DC45" s="6"/>
      <c r="DD45" s="6"/>
      <c r="DE45" s="6"/>
      <c r="DF45" s="6"/>
      <c r="DG45" s="6"/>
      <c r="DH45" s="6"/>
      <c r="DI45" s="6"/>
      <c r="DJ45" s="6"/>
      <c r="DK45" s="6"/>
      <c r="DL45" s="6"/>
      <c r="DM45" s="6"/>
      <c r="DN45" s="6"/>
      <c r="DO45" s="6"/>
      <c r="DP45" s="6"/>
      <c r="DQ45" s="6"/>
      <c r="DR45" s="6"/>
      <c r="DS45" s="1023"/>
      <c r="DT45" s="6"/>
      <c r="DU45" s="6"/>
      <c r="DV45" s="6"/>
      <c r="DW45" s="1024"/>
      <c r="DX45" s="1024"/>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4"/>
      <c r="FE45" s="6"/>
      <c r="FF45" s="6"/>
      <c r="FG45" s="6"/>
      <c r="FH45" s="6"/>
      <c r="FI45" s="6"/>
      <c r="FJ45" s="6"/>
      <c r="FK45" s="6"/>
      <c r="FL45" s="6"/>
      <c r="FM45" s="64"/>
      <c r="FN45" s="64"/>
      <c r="FO45" s="64"/>
      <c r="FP45" s="766" t="s">
        <v>1602</v>
      </c>
      <c r="FQ45" s="766" t="s">
        <v>1660</v>
      </c>
      <c r="FR45" s="1019"/>
      <c r="FS45" s="1019"/>
      <c r="FT45" s="1019"/>
      <c r="FU45" s="6"/>
      <c r="FV45" s="6"/>
      <c r="FW45" s="6"/>
      <c r="FX45" s="6"/>
      <c r="FY45" s="6"/>
      <c r="FZ45" s="6"/>
      <c r="GA45" s="6"/>
      <c r="GB45" s="6"/>
      <c r="GC45" s="1028"/>
      <c r="GD45" s="1015"/>
      <c r="GE45" s="6"/>
      <c r="GF45" s="64"/>
      <c r="GG45" s="64"/>
      <c r="GH45" s="1722"/>
      <c r="GI45" s="1722"/>
      <c r="GJ45" s="1722"/>
      <c r="GK45" s="1722"/>
      <c r="GL45" s="1722"/>
      <c r="GM45" s="1722"/>
      <c r="GN45" s="1723"/>
      <c r="GO45" s="1723"/>
      <c r="GP45" s="1723"/>
      <c r="GQ45" s="1723"/>
      <c r="GR45" s="1723"/>
      <c r="GS45" s="1722"/>
      <c r="GT45" s="1723"/>
      <c r="GU45" s="1722"/>
      <c r="GV45" s="1723"/>
      <c r="GW45" s="1723"/>
      <c r="GX45" s="1723"/>
      <c r="GY45" s="1723"/>
      <c r="GZ45" s="1723"/>
      <c r="HA45" s="1723"/>
      <c r="HB45" s="1723"/>
      <c r="HC45" s="1722"/>
      <c r="HD45" s="1723"/>
      <c r="HE45" s="1722"/>
      <c r="HF45" s="1722"/>
      <c r="HG45" s="1722"/>
      <c r="HH45" s="1722"/>
      <c r="HI45" s="1722"/>
      <c r="HJ45" s="1722"/>
      <c r="HK45" s="1722"/>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1028"/>
      <c r="IN45" s="6"/>
      <c r="IO45" s="1014"/>
      <c r="IP45" s="6"/>
      <c r="IQ45" s="6"/>
      <c r="IR45" s="6"/>
      <c r="IS45" s="6"/>
      <c r="IT45" s="6"/>
      <c r="IU45" s="6"/>
      <c r="IV45" s="6"/>
      <c r="IW45" s="6"/>
      <c r="IX45" s="6"/>
      <c r="IY45" s="6"/>
      <c r="IZ45" s="6"/>
      <c r="JA45" s="6"/>
      <c r="JB45" s="6"/>
      <c r="JC45" s="6"/>
      <c r="JD45" s="64"/>
      <c r="JE45" s="6"/>
      <c r="JF45" s="1688"/>
      <c r="JG45" s="1687"/>
      <c r="JH45" s="1687"/>
      <c r="JI45" s="1687"/>
      <c r="JJ45" s="6"/>
      <c r="JK45" s="6"/>
      <c r="JL45" s="6"/>
      <c r="JM45" s="6"/>
      <c r="JN45" s="6"/>
      <c r="JO45" s="6"/>
      <c r="JP45" s="6"/>
      <c r="JQ45" s="6"/>
      <c r="JR45" s="6"/>
      <c r="JS45" s="6"/>
      <c r="JT45" s="766"/>
      <c r="JU45" s="766"/>
      <c r="JV45" s="766"/>
      <c r="JW45" s="766"/>
      <c r="JX45" s="6"/>
      <c r="JY45" s="6"/>
      <c r="JZ45" s="6"/>
      <c r="KA45" s="6"/>
      <c r="KB45" s="6"/>
      <c r="KC45" s="6"/>
      <c r="KD45" s="6"/>
      <c r="KE45" s="6"/>
      <c r="KF45" s="6"/>
      <c r="KG45" s="6"/>
      <c r="KH45" s="6"/>
      <c r="KI45" s="6"/>
      <c r="KJ45" s="770"/>
      <c r="KK45" s="770"/>
      <c r="KL45" s="770"/>
      <c r="KM45" s="770"/>
      <c r="KN45" s="6"/>
      <c r="KO45" s="1688"/>
      <c r="KP45" s="6"/>
      <c r="KQ45" s="6"/>
      <c r="KR45" s="6"/>
      <c r="KS45" s="6"/>
      <c r="KT45" s="6"/>
      <c r="KU45" s="6"/>
      <c r="KV45" s="6"/>
      <c r="KW45" s="6"/>
      <c r="KX45" s="6"/>
      <c r="KY45" s="6"/>
      <c r="KZ45" s="6"/>
      <c r="LA45" s="6"/>
      <c r="LB45" s="6"/>
      <c r="LC45" s="6"/>
      <c r="LD45" s="6"/>
      <c r="LE45" s="6"/>
      <c r="LF45" s="6"/>
      <c r="LG45" s="6"/>
      <c r="LH45" s="6"/>
      <c r="LI45" s="6"/>
      <c r="LJ45" s="6"/>
      <c r="LK45" s="6"/>
      <c r="LL45" s="6"/>
      <c r="LM45" s="6"/>
      <c r="LN45" s="766"/>
      <c r="LO45" s="766"/>
      <c r="LP45" s="6"/>
      <c r="LQ45" s="1690"/>
      <c r="LR45" s="6"/>
      <c r="LS45" s="6"/>
      <c r="LT45" s="6"/>
      <c r="LU45" s="6"/>
      <c r="LV45" s="6"/>
      <c r="LW45" s="6"/>
      <c r="LX45" s="1693"/>
      <c r="LY45" s="766" t="str">
        <f t="shared" si="6"/>
        <v/>
      </c>
      <c r="LZ45" s="1694"/>
      <c r="MA45" s="1694"/>
      <c r="MB45" s="1694"/>
      <c r="MC45" s="1679">
        <f t="shared" si="1"/>
        <v>0</v>
      </c>
      <c r="MD45" s="1694"/>
      <c r="ME45" s="1694"/>
      <c r="MF45" s="1694"/>
      <c r="MG45" s="1680">
        <f t="shared" si="2"/>
        <v>0</v>
      </c>
      <c r="MH45" s="1690"/>
      <c r="MI45" s="64"/>
      <c r="MJ45" s="64"/>
      <c r="MK45" s="64"/>
      <c r="ML45" s="64"/>
      <c r="MM45" s="64"/>
      <c r="MN45" s="64"/>
      <c r="MO45" s="64"/>
      <c r="MP45" s="64"/>
      <c r="MQ45" s="64"/>
      <c r="MR45" s="64"/>
      <c r="MS45" s="64"/>
      <c r="MT45" s="64"/>
      <c r="MU45" s="64"/>
      <c r="MV45" s="64"/>
      <c r="MW45" s="64"/>
      <c r="MX45" s="64"/>
      <c r="MY45" s="1682">
        <f t="shared" si="3"/>
        <v>0</v>
      </c>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1687"/>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1026"/>
      <c r="RG45" s="6"/>
      <c r="RH45" s="64"/>
      <c r="RI45" s="6"/>
      <c r="RJ45" s="6"/>
      <c r="RK45" s="6"/>
      <c r="RL45" s="1691"/>
      <c r="RM45" s="1714"/>
      <c r="RN45" s="1724"/>
      <c r="RO45" s="169" t="s">
        <v>11142</v>
      </c>
      <c r="RR45" s="93"/>
      <c r="RS45" s="6"/>
      <c r="RV45" s="6" t="s">
        <v>7419</v>
      </c>
      <c r="RW45" s="1020" t="s">
        <v>11917</v>
      </c>
      <c r="RX45" s="1020" t="s">
        <v>11140</v>
      </c>
      <c r="SA45" s="6"/>
    </row>
    <row r="46" spans="1:495" s="1020" customFormat="1" ht="15" hidden="1" customHeight="1">
      <c r="A46" s="1013" t="s">
        <v>7419</v>
      </c>
      <c r="B46" s="1031" t="s">
        <v>11921</v>
      </c>
      <c r="C46" s="169" t="s">
        <v>11147</v>
      </c>
      <c r="D46" s="6" t="s">
        <v>11148</v>
      </c>
      <c r="E46" s="6" t="s">
        <v>11149</v>
      </c>
      <c r="F46" s="6" t="s">
        <v>28</v>
      </c>
      <c r="G46" s="6" t="s">
        <v>18</v>
      </c>
      <c r="H46" s="6"/>
      <c r="I46" s="1012" t="s">
        <v>11150</v>
      </c>
      <c r="J46" s="6" t="s">
        <v>11148</v>
      </c>
      <c r="K46" s="6" t="s">
        <v>14097</v>
      </c>
      <c r="L46" s="6" t="s">
        <v>14099</v>
      </c>
      <c r="M46" s="6"/>
      <c r="N46" s="6" t="s">
        <v>11151</v>
      </c>
      <c r="O46" s="6" t="s">
        <v>11092</v>
      </c>
      <c r="P46" s="6"/>
      <c r="Q46" s="1086"/>
      <c r="R46" s="1015"/>
      <c r="S46" s="6"/>
      <c r="T46" s="6"/>
      <c r="U46" s="1016"/>
      <c r="V46" s="6"/>
      <c r="W46" s="1016"/>
      <c r="X46" s="1014"/>
      <c r="Y46" s="6"/>
      <c r="Z46" s="6"/>
      <c r="AA46" s="6"/>
      <c r="AB46" s="1019"/>
      <c r="AC46" s="6"/>
      <c r="AD46" s="6"/>
      <c r="AE46" s="6"/>
      <c r="AF46" s="6"/>
      <c r="AG46" s="6" t="s">
        <v>1095</v>
      </c>
      <c r="AH46" s="766" t="s">
        <v>1096</v>
      </c>
      <c r="AI46" s="6" t="s">
        <v>11152</v>
      </c>
      <c r="AJ46" s="6"/>
      <c r="AK46" s="6" t="s">
        <v>1097</v>
      </c>
      <c r="AL46" s="124">
        <v>110</v>
      </c>
      <c r="AM46" s="45">
        <v>7.53</v>
      </c>
      <c r="AN46" s="47">
        <f>AM46/AL46</f>
        <v>6.8454545454545462E-2</v>
      </c>
      <c r="AO46" s="6" t="s">
        <v>1098</v>
      </c>
      <c r="AP46" s="6"/>
      <c r="AQ46" s="6"/>
      <c r="AR46" s="6"/>
      <c r="AS46" s="6" t="s">
        <v>1207</v>
      </c>
      <c r="AT46" s="6"/>
      <c r="AU46" s="6"/>
      <c r="AV46" s="6" t="s">
        <v>1208</v>
      </c>
      <c r="AW46" s="6"/>
      <c r="AX46" s="1032"/>
      <c r="AY46" s="6"/>
      <c r="AZ46" s="6"/>
      <c r="BA46" s="6"/>
      <c r="BB46" s="6" t="s">
        <v>11153</v>
      </c>
      <c r="BC46" s="6" t="s">
        <v>796</v>
      </c>
      <c r="BD46" s="6" t="s">
        <v>1207</v>
      </c>
      <c r="BE46" s="6"/>
      <c r="BF46" s="64"/>
      <c r="BG46" s="64"/>
      <c r="BH46" s="6"/>
      <c r="BI46" s="6"/>
      <c r="BJ46" s="6"/>
      <c r="BK46" s="6"/>
      <c r="BL46" s="6"/>
      <c r="BM46" s="6"/>
      <c r="BN46" s="6"/>
      <c r="BO46" s="1019"/>
      <c r="BP46" s="1033"/>
      <c r="BQ46" s="46"/>
      <c r="BR46" s="47"/>
      <c r="BS46" s="6"/>
      <c r="BT46" s="1019"/>
      <c r="BU46" s="1019"/>
      <c r="BV46" s="1019"/>
      <c r="BW46" s="1019"/>
      <c r="BX46" s="96"/>
      <c r="BY46" s="6"/>
      <c r="BZ46" s="64"/>
      <c r="CA46" s="6"/>
      <c r="CB46" s="6"/>
      <c r="CC46" s="6"/>
      <c r="CD46" s="6"/>
      <c r="CE46" s="6"/>
      <c r="CF46" s="1021"/>
      <c r="CG46" s="1021"/>
      <c r="CH46" s="6"/>
      <c r="CI46" s="6"/>
      <c r="CJ46" s="6"/>
      <c r="CK46" s="6"/>
      <c r="CL46" s="6"/>
      <c r="CM46" s="6"/>
      <c r="CN46" s="6"/>
      <c r="CO46" s="6"/>
      <c r="CP46" s="6"/>
      <c r="CQ46" s="6"/>
      <c r="CR46" s="64"/>
      <c r="CS46" s="6"/>
      <c r="CT46" s="6"/>
      <c r="CU46" s="1022"/>
      <c r="CV46" s="6"/>
      <c r="CW46" s="6"/>
      <c r="CX46" s="6"/>
      <c r="CY46" s="6"/>
      <c r="CZ46" s="6"/>
      <c r="DA46" s="6"/>
      <c r="DB46" s="6"/>
      <c r="DC46" s="6"/>
      <c r="DD46" s="6"/>
      <c r="DE46" s="6"/>
      <c r="DF46" s="6"/>
      <c r="DG46" s="6"/>
      <c r="DH46" s="6"/>
      <c r="DI46" s="6"/>
      <c r="DJ46" s="6"/>
      <c r="DK46" s="6"/>
      <c r="DL46" s="6"/>
      <c r="DM46" s="6"/>
      <c r="DN46" s="6"/>
      <c r="DO46" s="6"/>
      <c r="DP46" s="6"/>
      <c r="DQ46" s="6"/>
      <c r="DR46" s="6"/>
      <c r="DS46" s="1023"/>
      <c r="DT46" s="6"/>
      <c r="DU46" s="6"/>
      <c r="DV46" s="6"/>
      <c r="DW46" s="1024"/>
      <c r="DX46" s="1024"/>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4"/>
      <c r="FE46" s="6"/>
      <c r="FF46" s="6"/>
      <c r="FG46" s="6"/>
      <c r="FH46" s="6"/>
      <c r="FI46" s="6"/>
      <c r="FJ46" s="6"/>
      <c r="FK46" s="6"/>
      <c r="FL46" s="6"/>
      <c r="FM46" s="64"/>
      <c r="FN46" s="64"/>
      <c r="FO46" s="64"/>
      <c r="FP46" s="6"/>
      <c r="FQ46" s="6"/>
      <c r="FR46" s="1019"/>
      <c r="FS46" s="1019"/>
      <c r="FT46" s="1019"/>
      <c r="FU46" s="6"/>
      <c r="FV46" s="6"/>
      <c r="FW46" s="6"/>
      <c r="FX46" s="6"/>
      <c r="FY46" s="6"/>
      <c r="FZ46" s="6"/>
      <c r="GA46" s="6"/>
      <c r="GB46" s="6"/>
      <c r="GC46" s="1028"/>
      <c r="GD46" s="1015"/>
      <c r="GE46" s="6"/>
      <c r="GF46" s="64"/>
      <c r="GG46" s="64"/>
      <c r="GH46" s="1722"/>
      <c r="GI46" s="1722"/>
      <c r="GJ46" s="1722"/>
      <c r="GK46" s="1722"/>
      <c r="GL46" s="1722"/>
      <c r="GM46" s="1722"/>
      <c r="GN46" s="1723"/>
      <c r="GO46" s="1723"/>
      <c r="GP46" s="1723"/>
      <c r="GQ46" s="1723"/>
      <c r="GR46" s="1723"/>
      <c r="GS46" s="1722"/>
      <c r="GT46" s="1723"/>
      <c r="GU46" s="1722"/>
      <c r="GV46" s="1723"/>
      <c r="GW46" s="1723"/>
      <c r="GX46" s="1723"/>
      <c r="GY46" s="1723"/>
      <c r="GZ46" s="1723"/>
      <c r="HA46" s="1723"/>
      <c r="HB46" s="1723"/>
      <c r="HC46" s="1722"/>
      <c r="HD46" s="1723"/>
      <c r="HE46" s="1722"/>
      <c r="HF46" s="1722"/>
      <c r="HG46" s="1722"/>
      <c r="HH46" s="1722"/>
      <c r="HI46" s="1722"/>
      <c r="HJ46" s="1722"/>
      <c r="HK46" s="1722"/>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1028"/>
      <c r="IN46" s="6"/>
      <c r="IO46" s="1014"/>
      <c r="IP46" s="6"/>
      <c r="IQ46" s="6"/>
      <c r="IR46" s="6"/>
      <c r="IS46" s="6"/>
      <c r="IT46" s="6"/>
      <c r="IU46" s="6"/>
      <c r="IV46" s="6"/>
      <c r="IW46" s="6"/>
      <c r="IX46" s="6"/>
      <c r="IY46" s="6"/>
      <c r="IZ46" s="6"/>
      <c r="JA46" s="6"/>
      <c r="JB46" s="6"/>
      <c r="JC46" s="6"/>
      <c r="JD46" s="64"/>
      <c r="JE46" s="6"/>
      <c r="JF46" s="1688"/>
      <c r="JG46" s="1687"/>
      <c r="JH46" s="1687"/>
      <c r="JI46" s="1687"/>
      <c r="JJ46" s="6"/>
      <c r="JK46" s="6"/>
      <c r="JL46" s="6"/>
      <c r="JM46" s="6"/>
      <c r="JN46" s="6"/>
      <c r="JO46" s="6"/>
      <c r="JP46" s="6"/>
      <c r="JQ46" s="6"/>
      <c r="JR46" s="6"/>
      <c r="JS46" s="6"/>
      <c r="JT46" s="766"/>
      <c r="JU46" s="766"/>
      <c r="JV46" s="766"/>
      <c r="JW46" s="766"/>
      <c r="JX46" s="6"/>
      <c r="JY46" s="6"/>
      <c r="JZ46" s="6"/>
      <c r="KA46" s="6"/>
      <c r="KB46" s="6"/>
      <c r="KC46" s="6"/>
      <c r="KD46" s="6"/>
      <c r="KE46" s="6"/>
      <c r="KF46" s="6"/>
      <c r="KG46" s="6"/>
      <c r="KH46" s="6"/>
      <c r="KI46" s="6"/>
      <c r="KJ46" s="770"/>
      <c r="KK46" s="770"/>
      <c r="KL46" s="770"/>
      <c r="KM46" s="770"/>
      <c r="KN46" s="6"/>
      <c r="KO46" s="1688"/>
      <c r="KP46" s="6"/>
      <c r="KQ46" s="6"/>
      <c r="KR46" s="6"/>
      <c r="KS46" s="6"/>
      <c r="KT46" s="6"/>
      <c r="KU46" s="6"/>
      <c r="KV46" s="6"/>
      <c r="KW46" s="6"/>
      <c r="KX46" s="6"/>
      <c r="KY46" s="6"/>
      <c r="KZ46" s="6"/>
      <c r="LA46" s="6"/>
      <c r="LB46" s="6"/>
      <c r="LC46" s="6"/>
      <c r="LD46" s="6"/>
      <c r="LE46" s="6"/>
      <c r="LF46" s="6"/>
      <c r="LG46" s="6"/>
      <c r="LH46" s="6"/>
      <c r="LI46" s="6"/>
      <c r="LJ46" s="6"/>
      <c r="LK46" s="6"/>
      <c r="LL46" s="6"/>
      <c r="LM46" s="6"/>
      <c r="LN46" s="766"/>
      <c r="LO46" s="766"/>
      <c r="LP46" s="6"/>
      <c r="LQ46" s="1690"/>
      <c r="LR46" s="6"/>
      <c r="LS46" s="6"/>
      <c r="LT46" s="6"/>
      <c r="LU46" s="6"/>
      <c r="LV46" s="6"/>
      <c r="LW46" s="6"/>
      <c r="LX46" s="1693"/>
      <c r="LY46" s="766" t="str">
        <f t="shared" si="6"/>
        <v/>
      </c>
      <c r="LZ46" s="1694"/>
      <c r="MA46" s="1694"/>
      <c r="MB46" s="1694"/>
      <c r="MC46" s="1679">
        <f t="shared" si="1"/>
        <v>0</v>
      </c>
      <c r="MD46" s="1694"/>
      <c r="ME46" s="1694"/>
      <c r="MF46" s="1694"/>
      <c r="MG46" s="1680">
        <f t="shared" si="2"/>
        <v>0</v>
      </c>
      <c r="MH46" s="1690"/>
      <c r="MI46" s="64"/>
      <c r="MJ46" s="64"/>
      <c r="MK46" s="64"/>
      <c r="ML46" s="64"/>
      <c r="MM46" s="64"/>
      <c r="MN46" s="64"/>
      <c r="MO46" s="64"/>
      <c r="MP46" s="64"/>
      <c r="MQ46" s="64"/>
      <c r="MR46" s="64"/>
      <c r="MS46" s="64"/>
      <c r="MT46" s="64"/>
      <c r="MU46" s="64"/>
      <c r="MV46" s="64"/>
      <c r="MW46" s="64"/>
      <c r="MX46" s="64"/>
      <c r="MY46" s="1682">
        <f t="shared" si="3"/>
        <v>0</v>
      </c>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1687"/>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1026"/>
      <c r="RG46" s="6"/>
      <c r="RH46" s="64"/>
      <c r="RI46" s="6"/>
      <c r="RJ46" s="6"/>
      <c r="RK46" s="6"/>
      <c r="RL46" s="1691"/>
      <c r="RM46" s="1714"/>
      <c r="RN46" s="1724"/>
      <c r="RO46" s="169" t="s">
        <v>11147</v>
      </c>
      <c r="RR46" s="93"/>
      <c r="RS46" s="6"/>
      <c r="RV46" s="6" t="s">
        <v>12379</v>
      </c>
      <c r="RW46" s="1020" t="s">
        <v>11919</v>
      </c>
      <c r="RX46" s="1020" t="s">
        <v>11142</v>
      </c>
      <c r="SA46" s="6"/>
    </row>
    <row r="47" spans="1:495" s="1020" customFormat="1" ht="15" hidden="1" customHeight="1">
      <c r="A47" s="861" t="s">
        <v>12380</v>
      </c>
      <c r="B47" s="1120" t="s">
        <v>11922</v>
      </c>
      <c r="C47" s="169" t="s">
        <v>11147</v>
      </c>
      <c r="D47" s="6" t="s">
        <v>11148</v>
      </c>
      <c r="E47" s="6" t="s">
        <v>11149</v>
      </c>
      <c r="F47" s="6" t="s">
        <v>28</v>
      </c>
      <c r="G47" s="6" t="s">
        <v>18</v>
      </c>
      <c r="H47" s="6"/>
      <c r="I47" s="1012" t="s">
        <v>11150</v>
      </c>
      <c r="J47" s="6" t="s">
        <v>11148</v>
      </c>
      <c r="K47" s="6" t="s">
        <v>14097</v>
      </c>
      <c r="L47" s="6" t="s">
        <v>14099</v>
      </c>
      <c r="M47" s="6"/>
      <c r="N47" s="6" t="s">
        <v>11151</v>
      </c>
      <c r="O47" s="6" t="s">
        <v>11092</v>
      </c>
      <c r="P47" s="6" t="s">
        <v>11154</v>
      </c>
      <c r="Q47" s="1086">
        <v>12970</v>
      </c>
      <c r="R47" s="1015">
        <v>82</v>
      </c>
      <c r="S47" s="6" t="s">
        <v>18</v>
      </c>
      <c r="T47" s="6"/>
      <c r="U47" s="1016" t="s">
        <v>11150</v>
      </c>
      <c r="V47" s="6" t="s">
        <v>719</v>
      </c>
      <c r="W47" s="6"/>
      <c r="X47" s="1014"/>
      <c r="Y47" s="6" t="s">
        <v>18</v>
      </c>
      <c r="Z47" s="6" t="s">
        <v>708</v>
      </c>
      <c r="AA47" s="6" t="s">
        <v>709</v>
      </c>
      <c r="AB47" s="1019" t="s">
        <v>710</v>
      </c>
      <c r="AC47" s="6"/>
      <c r="AD47" s="6"/>
      <c r="AE47" s="6" t="s">
        <v>11155</v>
      </c>
      <c r="AF47" s="6" t="s">
        <v>798</v>
      </c>
      <c r="AG47" s="6"/>
      <c r="AH47" s="6"/>
      <c r="AI47" s="6"/>
      <c r="AJ47" s="6"/>
      <c r="AK47" s="766" t="s">
        <v>5454</v>
      </c>
      <c r="AL47" s="124"/>
      <c r="AM47" s="45"/>
      <c r="AN47" s="47"/>
      <c r="AO47" s="6"/>
      <c r="AP47" s="6"/>
      <c r="AQ47" s="6"/>
      <c r="AR47" s="6"/>
      <c r="AS47" s="6" t="s">
        <v>1207</v>
      </c>
      <c r="AT47" s="6"/>
      <c r="AU47" s="6"/>
      <c r="AV47" s="6"/>
      <c r="AW47" s="6"/>
      <c r="AX47" s="1032"/>
      <c r="AY47" s="6"/>
      <c r="AZ47" s="6"/>
      <c r="BA47" s="6"/>
      <c r="BB47" s="6"/>
      <c r="BC47" s="6"/>
      <c r="BD47" s="6"/>
      <c r="BE47" s="6"/>
      <c r="BF47" s="64"/>
      <c r="BG47" s="64"/>
      <c r="BH47" s="6"/>
      <c r="BI47" s="6"/>
      <c r="BJ47" s="6"/>
      <c r="BK47" s="6" t="s">
        <v>1095</v>
      </c>
      <c r="BL47" s="6" t="s">
        <v>11156</v>
      </c>
      <c r="BM47" s="6" t="s">
        <v>1096</v>
      </c>
      <c r="BN47" s="6" t="s">
        <v>1230</v>
      </c>
      <c r="BO47" s="1019" t="s">
        <v>1246</v>
      </c>
      <c r="BP47" s="1033">
        <v>23.61</v>
      </c>
      <c r="BQ47" s="46">
        <v>3.9870000000000001</v>
      </c>
      <c r="BR47" s="47">
        <f>BQ47/BP47</f>
        <v>0.16886912325285897</v>
      </c>
      <c r="BS47" s="766" t="s">
        <v>1242</v>
      </c>
      <c r="BT47" s="1019" t="s">
        <v>2904</v>
      </c>
      <c r="BU47" s="1019" t="s">
        <v>1241</v>
      </c>
      <c r="BV47" s="1019" t="s">
        <v>1247</v>
      </c>
      <c r="BW47" s="1019">
        <v>1974</v>
      </c>
      <c r="BX47" s="96"/>
      <c r="BY47" s="6"/>
      <c r="BZ47" s="64"/>
      <c r="CA47" s="6"/>
      <c r="CB47" s="6" t="s">
        <v>1207</v>
      </c>
      <c r="CC47" s="6" t="s">
        <v>11156</v>
      </c>
      <c r="CD47" s="6">
        <v>2009</v>
      </c>
      <c r="CE47" s="6" t="s">
        <v>2769</v>
      </c>
      <c r="CF47" s="1021">
        <v>1.5</v>
      </c>
      <c r="CG47" s="1021">
        <v>5</v>
      </c>
      <c r="CH47" s="6" t="s">
        <v>3377</v>
      </c>
      <c r="CI47" s="1716"/>
      <c r="CJ47" s="6" t="s">
        <v>5088</v>
      </c>
      <c r="CK47" s="6">
        <v>3</v>
      </c>
      <c r="CL47" s="6" t="s">
        <v>1249</v>
      </c>
      <c r="CM47" s="6"/>
      <c r="CN47" s="6"/>
      <c r="CO47" s="6" t="s">
        <v>1257</v>
      </c>
      <c r="CP47" s="6"/>
      <c r="CQ47" s="6"/>
      <c r="CR47" s="64"/>
      <c r="CS47" s="6"/>
      <c r="CT47" s="6"/>
      <c r="CU47" s="1022"/>
      <c r="CV47" s="6"/>
      <c r="CW47" s="6"/>
      <c r="CX47" s="6"/>
      <c r="CY47" s="6"/>
      <c r="CZ47" s="6"/>
      <c r="DA47" s="6"/>
      <c r="DB47" s="6"/>
      <c r="DC47" s="6"/>
      <c r="DD47" s="6"/>
      <c r="DE47" s="6"/>
      <c r="DF47" s="6"/>
      <c r="DG47" s="6"/>
      <c r="DH47" s="6"/>
      <c r="DI47" s="6"/>
      <c r="DJ47" s="6"/>
      <c r="DK47" s="6"/>
      <c r="DL47" s="6"/>
      <c r="DM47" s="6"/>
      <c r="DN47" s="6"/>
      <c r="DO47" s="6"/>
      <c r="DP47" s="6"/>
      <c r="DQ47" s="6"/>
      <c r="DR47" s="6"/>
      <c r="DS47" s="1023"/>
      <c r="DT47" s="6"/>
      <c r="DU47" s="6"/>
      <c r="DV47" s="6"/>
      <c r="DW47" s="1024"/>
      <c r="DX47" s="1024"/>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4"/>
      <c r="FE47" s="6"/>
      <c r="FF47" s="6"/>
      <c r="FG47" s="6"/>
      <c r="FH47" s="6" t="s">
        <v>478</v>
      </c>
      <c r="FI47" s="6">
        <v>1</v>
      </c>
      <c r="FJ47" s="6"/>
      <c r="FK47" s="6"/>
      <c r="FL47" s="6"/>
      <c r="FM47" s="64"/>
      <c r="FN47" s="64"/>
      <c r="FO47" s="64"/>
      <c r="FP47" s="6" t="s">
        <v>1600</v>
      </c>
      <c r="FQ47" s="6" t="s">
        <v>1642</v>
      </c>
      <c r="FR47" s="1019"/>
      <c r="FS47" s="1019"/>
      <c r="FT47" s="1019"/>
      <c r="FU47" s="6"/>
      <c r="FV47" s="6"/>
      <c r="FW47" s="6"/>
      <c r="FX47" s="6"/>
      <c r="FY47" s="6"/>
      <c r="FZ47" s="6"/>
      <c r="GA47" s="6"/>
      <c r="GB47" s="6"/>
      <c r="GC47" s="1028"/>
      <c r="GD47" s="1015"/>
      <c r="GE47" s="6"/>
      <c r="GF47" s="64"/>
      <c r="GG47" s="64"/>
      <c r="GH47" s="1722"/>
      <c r="GI47" s="1722"/>
      <c r="GJ47" s="1722"/>
      <c r="GK47" s="1722"/>
      <c r="GL47" s="1722"/>
      <c r="GM47" s="1722"/>
      <c r="GN47" s="1723"/>
      <c r="GO47" s="1723"/>
      <c r="GP47" s="1723"/>
      <c r="GQ47" s="1723"/>
      <c r="GR47" s="1723"/>
      <c r="GS47" s="1722"/>
      <c r="GT47" s="1723"/>
      <c r="GU47" s="1722"/>
      <c r="GV47" s="1723"/>
      <c r="GW47" s="1723"/>
      <c r="GX47" s="1723"/>
      <c r="GY47" s="1723"/>
      <c r="GZ47" s="1723"/>
      <c r="HA47" s="1723"/>
      <c r="HB47" s="1723"/>
      <c r="HC47" s="1722"/>
      <c r="HD47" s="1723"/>
      <c r="HE47" s="1722"/>
      <c r="HF47" s="1722"/>
      <c r="HG47" s="1722"/>
      <c r="HH47" s="1722"/>
      <c r="HI47" s="1722"/>
      <c r="HJ47" s="1722"/>
      <c r="HK47" s="1722"/>
      <c r="HL47" s="6"/>
      <c r="HM47" s="6"/>
      <c r="HN47" s="6"/>
      <c r="HO47" s="6"/>
      <c r="HP47" s="6"/>
      <c r="HQ47" s="6"/>
      <c r="HR47" s="6">
        <v>1</v>
      </c>
      <c r="HS47" s="6"/>
      <c r="HT47" s="6"/>
      <c r="HU47" s="6"/>
      <c r="HV47" s="6"/>
      <c r="HW47" s="6"/>
      <c r="HX47" s="6"/>
      <c r="HY47" s="6"/>
      <c r="HZ47" s="6"/>
      <c r="IA47" s="6"/>
      <c r="IB47" s="6" t="s">
        <v>1207</v>
      </c>
      <c r="IC47" s="6" t="s">
        <v>1207</v>
      </c>
      <c r="ID47" s="6" t="s">
        <v>11157</v>
      </c>
      <c r="IE47" s="6"/>
      <c r="IF47" s="6" t="s">
        <v>11158</v>
      </c>
      <c r="IG47" s="6" t="s">
        <v>18</v>
      </c>
      <c r="IH47" s="6" t="s">
        <v>478</v>
      </c>
      <c r="II47" s="6" t="s">
        <v>11149</v>
      </c>
      <c r="IJ47" s="6" t="s">
        <v>1898</v>
      </c>
      <c r="IK47" s="6" t="s">
        <v>1888</v>
      </c>
      <c r="IL47" s="6" t="s">
        <v>11159</v>
      </c>
      <c r="IM47" s="1028"/>
      <c r="IN47" s="6" t="s">
        <v>11159</v>
      </c>
      <c r="IO47" s="1014"/>
      <c r="IP47" s="6" t="s">
        <v>478</v>
      </c>
      <c r="IQ47" s="6" t="s">
        <v>11076</v>
      </c>
      <c r="IR47" s="6" t="s">
        <v>1964</v>
      </c>
      <c r="IS47" s="6" t="s">
        <v>1879</v>
      </c>
      <c r="IT47" s="6"/>
      <c r="IU47" s="6" t="s">
        <v>1208</v>
      </c>
      <c r="IV47" s="6"/>
      <c r="IW47" s="6" t="s">
        <v>11158</v>
      </c>
      <c r="IX47" s="6"/>
      <c r="IY47" s="6"/>
      <c r="IZ47" s="6"/>
      <c r="JA47" s="6"/>
      <c r="JB47" s="6"/>
      <c r="JC47" s="6"/>
      <c r="JD47" s="64">
        <v>20500</v>
      </c>
      <c r="JE47" s="6"/>
      <c r="JF47" s="1688"/>
      <c r="JG47" s="1687"/>
      <c r="JH47" s="1687"/>
      <c r="JI47" s="1687"/>
      <c r="JJ47" s="6"/>
      <c r="JK47" s="6"/>
      <c r="JL47" s="6"/>
      <c r="JM47" s="6"/>
      <c r="JN47" s="6"/>
      <c r="JO47" s="6"/>
      <c r="JP47" s="6"/>
      <c r="JQ47" s="6"/>
      <c r="JR47" s="6"/>
      <c r="JS47" s="6"/>
      <c r="JT47" s="766"/>
      <c r="JU47" s="766"/>
      <c r="JV47" s="766"/>
      <c r="JW47" s="766"/>
      <c r="JX47" s="6"/>
      <c r="JY47" s="6"/>
      <c r="JZ47" s="6"/>
      <c r="KA47" s="6"/>
      <c r="KB47" s="6"/>
      <c r="KC47" s="6"/>
      <c r="KD47" s="6"/>
      <c r="KE47" s="6"/>
      <c r="KF47" s="6"/>
      <c r="KG47" s="6"/>
      <c r="KH47" s="6"/>
      <c r="KI47" s="6"/>
      <c r="KJ47" s="770"/>
      <c r="KK47" s="770"/>
      <c r="KL47" s="770"/>
      <c r="KM47" s="770"/>
      <c r="KN47" s="6"/>
      <c r="KO47" s="1688"/>
      <c r="KP47" s="6"/>
      <c r="KQ47" s="6"/>
      <c r="KR47" s="6"/>
      <c r="KS47" s="6"/>
      <c r="KT47" s="6"/>
      <c r="KU47" s="6"/>
      <c r="KV47" s="6"/>
      <c r="KW47" s="6"/>
      <c r="KX47" s="6"/>
      <c r="KY47" s="6"/>
      <c r="KZ47" s="6"/>
      <c r="LA47" s="6"/>
      <c r="LB47" s="6"/>
      <c r="LC47" s="6"/>
      <c r="LD47" s="6"/>
      <c r="LE47" s="6"/>
      <c r="LF47" s="6"/>
      <c r="LG47" s="6"/>
      <c r="LH47" s="6"/>
      <c r="LI47" s="6"/>
      <c r="LJ47" s="6"/>
      <c r="LK47" s="6"/>
      <c r="LL47" s="6"/>
      <c r="LM47" s="6"/>
      <c r="LN47" s="766"/>
      <c r="LO47" s="766"/>
      <c r="LP47" s="6"/>
      <c r="LQ47" s="1690"/>
      <c r="LR47" s="6"/>
      <c r="LS47" s="6"/>
      <c r="LT47" s="6"/>
      <c r="LU47" s="6"/>
      <c r="LV47" s="6"/>
      <c r="LW47" s="6"/>
      <c r="LX47" s="1693"/>
      <c r="LY47" s="766" t="str">
        <f t="shared" si="6"/>
        <v/>
      </c>
      <c r="LZ47" s="1694"/>
      <c r="MA47" s="1694"/>
      <c r="MB47" s="1694"/>
      <c r="MC47" s="1679">
        <f t="shared" si="1"/>
        <v>0</v>
      </c>
      <c r="MD47" s="1694"/>
      <c r="ME47" s="1694"/>
      <c r="MF47" s="1694"/>
      <c r="MG47" s="1680">
        <f t="shared" si="2"/>
        <v>0</v>
      </c>
      <c r="MH47" s="1690"/>
      <c r="MI47" s="64"/>
      <c r="MJ47" s="64"/>
      <c r="MK47" s="64"/>
      <c r="ML47" s="64"/>
      <c r="MM47" s="64"/>
      <c r="MN47" s="64"/>
      <c r="MO47" s="64"/>
      <c r="MP47" s="64"/>
      <c r="MQ47" s="64"/>
      <c r="MR47" s="64"/>
      <c r="MS47" s="64"/>
      <c r="MT47" s="64"/>
      <c r="MU47" s="64"/>
      <c r="MV47" s="64"/>
      <c r="MW47" s="64"/>
      <c r="MX47" s="64"/>
      <c r="MY47" s="1682">
        <f t="shared" si="3"/>
        <v>0</v>
      </c>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t="s">
        <v>13034</v>
      </c>
      <c r="OG47" s="6"/>
      <c r="OH47" s="6"/>
      <c r="OI47" s="6"/>
      <c r="OJ47" s="6"/>
      <c r="OK47" s="1687"/>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1026"/>
      <c r="RG47" s="6"/>
      <c r="RH47" s="64"/>
      <c r="RI47" s="6"/>
      <c r="RJ47" s="6" t="s">
        <v>11159</v>
      </c>
      <c r="RK47" s="6" t="s">
        <v>13042</v>
      </c>
      <c r="RL47" s="1691">
        <v>42901</v>
      </c>
      <c r="RM47" s="1714" t="s">
        <v>13038</v>
      </c>
      <c r="RN47" s="1724">
        <v>42901</v>
      </c>
      <c r="RO47" s="169" t="s">
        <v>11147</v>
      </c>
      <c r="RR47" s="93"/>
      <c r="RS47" s="6"/>
      <c r="RV47" s="6" t="s">
        <v>12379</v>
      </c>
      <c r="RW47" s="1020" t="s">
        <v>11920</v>
      </c>
      <c r="RX47" s="1020" t="s">
        <v>11142</v>
      </c>
      <c r="RY47" s="1020">
        <v>5</v>
      </c>
      <c r="SA47" s="6"/>
    </row>
    <row r="48" spans="1:495" s="1020" customFormat="1" ht="15" hidden="1" customHeight="1">
      <c r="A48" s="861" t="s">
        <v>12380</v>
      </c>
      <c r="B48" s="1120" t="s">
        <v>11923</v>
      </c>
      <c r="C48" s="169" t="s">
        <v>11160</v>
      </c>
      <c r="D48" s="6" t="s">
        <v>11161</v>
      </c>
      <c r="E48" s="6" t="s">
        <v>11162</v>
      </c>
      <c r="F48" s="6" t="s">
        <v>28</v>
      </c>
      <c r="G48" s="6" t="s">
        <v>10</v>
      </c>
      <c r="H48" s="6"/>
      <c r="I48" s="1012" t="s">
        <v>11163</v>
      </c>
      <c r="J48" s="6" t="s">
        <v>11161</v>
      </c>
      <c r="K48" s="6" t="s">
        <v>14097</v>
      </c>
      <c r="L48" s="6" t="s">
        <v>14100</v>
      </c>
      <c r="M48" s="6"/>
      <c r="N48" s="6" t="s">
        <v>11092</v>
      </c>
      <c r="O48" s="6" t="s">
        <v>11071</v>
      </c>
      <c r="P48" s="843" t="s">
        <v>11161</v>
      </c>
      <c r="Q48" s="1086">
        <v>20638</v>
      </c>
      <c r="R48" s="1015">
        <v>61</v>
      </c>
      <c r="S48" s="6" t="s">
        <v>10</v>
      </c>
      <c r="T48" s="6"/>
      <c r="U48" s="1016" t="s">
        <v>11164</v>
      </c>
      <c r="V48" s="6" t="s">
        <v>707</v>
      </c>
      <c r="W48" s="1016" t="s">
        <v>11165</v>
      </c>
      <c r="X48" s="1014">
        <v>22377</v>
      </c>
      <c r="Y48" s="6" t="s">
        <v>11162</v>
      </c>
      <c r="Z48" s="6" t="s">
        <v>708</v>
      </c>
      <c r="AA48" s="6" t="s">
        <v>709</v>
      </c>
      <c r="AB48" s="6" t="s">
        <v>710</v>
      </c>
      <c r="AC48" s="6" t="s">
        <v>991</v>
      </c>
      <c r="AD48" s="6" t="s">
        <v>3241</v>
      </c>
      <c r="AE48" s="6"/>
      <c r="AF48" s="6" t="s">
        <v>11166</v>
      </c>
      <c r="AG48" s="6"/>
      <c r="AH48" s="6"/>
      <c r="AI48" s="6"/>
      <c r="AJ48" s="6"/>
      <c r="AK48" s="766" t="s">
        <v>5454</v>
      </c>
      <c r="AL48" s="124"/>
      <c r="AM48" s="45"/>
      <c r="AN48" s="47"/>
      <c r="AO48" s="6"/>
      <c r="AP48" s="6"/>
      <c r="AQ48" s="6"/>
      <c r="AR48" s="6"/>
      <c r="AS48" s="6" t="s">
        <v>1207</v>
      </c>
      <c r="AT48" s="6" t="s">
        <v>1208</v>
      </c>
      <c r="AU48" s="6"/>
      <c r="AV48" s="6"/>
      <c r="AW48" s="6"/>
      <c r="AX48" s="1032"/>
      <c r="AY48" s="6"/>
      <c r="AZ48" s="6"/>
      <c r="BA48" s="6"/>
      <c r="BB48" s="6"/>
      <c r="BC48" s="6"/>
      <c r="BD48" s="6"/>
      <c r="BE48" s="6"/>
      <c r="BF48" s="64"/>
      <c r="BG48" s="64"/>
      <c r="BH48" s="6"/>
      <c r="BI48" s="6"/>
      <c r="BJ48" s="6"/>
      <c r="BK48" s="6" t="s">
        <v>1095</v>
      </c>
      <c r="BL48" s="6" t="s">
        <v>11167</v>
      </c>
      <c r="BM48" s="6" t="s">
        <v>1096</v>
      </c>
      <c r="BN48" s="6" t="s">
        <v>1230</v>
      </c>
      <c r="BO48" s="766" t="s">
        <v>1246</v>
      </c>
      <c r="BP48" s="1033">
        <v>24.18</v>
      </c>
      <c r="BQ48" s="46">
        <v>13</v>
      </c>
      <c r="BR48" s="47">
        <f>BQ48/BP48</f>
        <v>0.5376344086021505</v>
      </c>
      <c r="BS48" s="766" t="s">
        <v>1105</v>
      </c>
      <c r="BT48" s="1019" t="s">
        <v>2904</v>
      </c>
      <c r="BU48" s="1019" t="s">
        <v>11168</v>
      </c>
      <c r="BV48" s="1019" t="s">
        <v>1247</v>
      </c>
      <c r="BW48" s="1019">
        <v>1979</v>
      </c>
      <c r="BX48" s="96"/>
      <c r="BY48" s="6"/>
      <c r="BZ48" s="64"/>
      <c r="CA48" s="6"/>
      <c r="CB48" s="6" t="s">
        <v>1207</v>
      </c>
      <c r="CC48" s="6" t="s">
        <v>11169</v>
      </c>
      <c r="CD48" s="6"/>
      <c r="CE48" s="6"/>
      <c r="CF48" s="1021">
        <v>2.5</v>
      </c>
      <c r="CG48" s="1021">
        <v>1</v>
      </c>
      <c r="CH48" s="6" t="s">
        <v>3377</v>
      </c>
      <c r="CI48" s="6"/>
      <c r="CJ48" s="6"/>
      <c r="CK48" s="6"/>
      <c r="CL48" s="6"/>
      <c r="CM48" s="6"/>
      <c r="CN48" s="6"/>
      <c r="CO48" s="6"/>
      <c r="CP48" s="6"/>
      <c r="CQ48" s="6"/>
      <c r="CR48" s="64"/>
      <c r="CS48" s="6"/>
      <c r="CT48" s="6"/>
      <c r="CU48" s="1022"/>
      <c r="CV48" s="6"/>
      <c r="CW48" s="6"/>
      <c r="CX48" s="6"/>
      <c r="CY48" s="6"/>
      <c r="CZ48" s="6"/>
      <c r="DA48" s="6"/>
      <c r="DB48" s="6"/>
      <c r="DC48" s="6"/>
      <c r="DD48" s="6"/>
      <c r="DE48" s="6"/>
      <c r="DF48" s="6"/>
      <c r="DG48" s="6"/>
      <c r="DH48" s="6"/>
      <c r="DI48" s="6"/>
      <c r="DJ48" s="6"/>
      <c r="DK48" s="6"/>
      <c r="DL48" s="6"/>
      <c r="DM48" s="6"/>
      <c r="DN48" s="6"/>
      <c r="DO48" s="6"/>
      <c r="DP48" s="6"/>
      <c r="DQ48" s="6"/>
      <c r="DR48" s="6"/>
      <c r="DS48" s="1023"/>
      <c r="DT48" s="6"/>
      <c r="DU48" s="6"/>
      <c r="DV48" s="6"/>
      <c r="DW48" s="1024"/>
      <c r="DX48" s="1024"/>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4"/>
      <c r="FE48" s="6"/>
      <c r="FF48" s="6"/>
      <c r="FG48" s="6"/>
      <c r="FH48" s="6" t="s">
        <v>478</v>
      </c>
      <c r="FI48" s="6">
        <v>1</v>
      </c>
      <c r="FJ48" s="6"/>
      <c r="FK48" s="6"/>
      <c r="FL48" s="6"/>
      <c r="FM48" s="64"/>
      <c r="FN48" s="64"/>
      <c r="FO48" s="64"/>
      <c r="FP48" s="6" t="s">
        <v>1602</v>
      </c>
      <c r="FQ48" s="6" t="s">
        <v>1660</v>
      </c>
      <c r="FR48" s="1019" t="s">
        <v>1214</v>
      </c>
      <c r="FS48" s="1019"/>
      <c r="FT48" s="1019"/>
      <c r="FU48" s="6"/>
      <c r="FV48" s="6"/>
      <c r="FW48" s="6"/>
      <c r="FX48" s="6"/>
      <c r="FY48" s="6"/>
      <c r="FZ48" s="6"/>
      <c r="GA48" s="6"/>
      <c r="GB48" s="6" t="s">
        <v>1734</v>
      </c>
      <c r="GC48" s="1028"/>
      <c r="GD48" s="1015"/>
      <c r="GE48" s="6"/>
      <c r="GF48" s="64"/>
      <c r="GG48" s="64"/>
      <c r="GH48" s="1722"/>
      <c r="GI48" s="1722"/>
      <c r="GJ48" s="1722"/>
      <c r="GK48" s="1722"/>
      <c r="GL48" s="1722"/>
      <c r="GM48" s="1722"/>
      <c r="GN48" s="1723"/>
      <c r="GO48" s="1723"/>
      <c r="GP48" s="1723"/>
      <c r="GQ48" s="1723"/>
      <c r="GR48" s="1723"/>
      <c r="GS48" s="1722"/>
      <c r="GT48" s="1723"/>
      <c r="GU48" s="1722"/>
      <c r="GV48" s="1723"/>
      <c r="GW48" s="1723"/>
      <c r="GX48" s="1723"/>
      <c r="GY48" s="1723"/>
      <c r="GZ48" s="1723"/>
      <c r="HA48" s="1723"/>
      <c r="HB48" s="1723"/>
      <c r="HC48" s="1722"/>
      <c r="HD48" s="1723"/>
      <c r="HE48" s="1722"/>
      <c r="HF48" s="1722"/>
      <c r="HG48" s="1722"/>
      <c r="HH48" s="1722"/>
      <c r="HI48" s="1722"/>
      <c r="HJ48" s="1722"/>
      <c r="HK48" s="1722"/>
      <c r="HL48" s="6"/>
      <c r="HM48" s="6"/>
      <c r="HN48" s="6"/>
      <c r="HO48" s="6"/>
      <c r="HP48" s="6"/>
      <c r="HQ48" s="6"/>
      <c r="HR48" s="6"/>
      <c r="HS48" s="6"/>
      <c r="HT48" s="6"/>
      <c r="HU48" s="6"/>
      <c r="HV48" s="6"/>
      <c r="HW48" s="6"/>
      <c r="HX48" s="6"/>
      <c r="HY48" s="6"/>
      <c r="HZ48" s="6"/>
      <c r="IA48" s="6"/>
      <c r="IB48" s="6" t="s">
        <v>1207</v>
      </c>
      <c r="IC48" s="6"/>
      <c r="ID48" s="6" t="s">
        <v>11170</v>
      </c>
      <c r="IE48" s="6"/>
      <c r="IF48" s="6"/>
      <c r="IG48" s="6"/>
      <c r="IH48" s="6"/>
      <c r="II48" s="6"/>
      <c r="IJ48" s="6"/>
      <c r="IK48" s="6"/>
      <c r="IL48" s="6"/>
      <c r="IM48" s="1028"/>
      <c r="IN48" s="6"/>
      <c r="IO48" s="1014"/>
      <c r="IP48" s="6"/>
      <c r="IQ48" s="6"/>
      <c r="IR48" s="6"/>
      <c r="IS48" s="6"/>
      <c r="IT48" s="6"/>
      <c r="IU48" s="6"/>
      <c r="IV48" s="6"/>
      <c r="IW48" s="6"/>
      <c r="IX48" s="6"/>
      <c r="IY48" s="6"/>
      <c r="IZ48" s="6"/>
      <c r="JA48" s="6"/>
      <c r="JB48" s="6"/>
      <c r="JC48" s="6"/>
      <c r="JD48" s="64"/>
      <c r="JE48" s="6"/>
      <c r="JF48" s="1688"/>
      <c r="JG48" s="1687"/>
      <c r="JH48" s="1687"/>
      <c r="JI48" s="1687"/>
      <c r="JJ48" s="6"/>
      <c r="JK48" s="6"/>
      <c r="JL48" s="6"/>
      <c r="JM48" s="6"/>
      <c r="JN48" s="6"/>
      <c r="JO48" s="6"/>
      <c r="JP48" s="6"/>
      <c r="JQ48" s="6"/>
      <c r="JR48" s="6"/>
      <c r="JS48" s="6"/>
      <c r="JT48" s="766"/>
      <c r="JU48" s="766"/>
      <c r="JV48" s="766"/>
      <c r="JW48" s="766"/>
      <c r="JX48" s="6"/>
      <c r="JY48" s="6"/>
      <c r="JZ48" s="6"/>
      <c r="KA48" s="6"/>
      <c r="KB48" s="6"/>
      <c r="KC48" s="6"/>
      <c r="KD48" s="6"/>
      <c r="KE48" s="6"/>
      <c r="KF48" s="6"/>
      <c r="KG48" s="6"/>
      <c r="KH48" s="6"/>
      <c r="KI48" s="6"/>
      <c r="KJ48" s="770"/>
      <c r="KK48" s="770"/>
      <c r="KL48" s="770"/>
      <c r="KM48" s="770"/>
      <c r="KN48" s="6"/>
      <c r="KO48" s="1688"/>
      <c r="KP48" s="6"/>
      <c r="KQ48" s="6"/>
      <c r="KR48" s="6"/>
      <c r="KS48" s="6"/>
      <c r="KT48" s="6"/>
      <c r="KU48" s="6"/>
      <c r="KV48" s="6"/>
      <c r="KW48" s="6"/>
      <c r="KX48" s="6"/>
      <c r="KY48" s="6"/>
      <c r="KZ48" s="6"/>
      <c r="LA48" s="6"/>
      <c r="LB48" s="6"/>
      <c r="LC48" s="6"/>
      <c r="LD48" s="6"/>
      <c r="LE48" s="6"/>
      <c r="LF48" s="6"/>
      <c r="LG48" s="6"/>
      <c r="LH48" s="6"/>
      <c r="LI48" s="6"/>
      <c r="LJ48" s="6"/>
      <c r="LK48" s="6"/>
      <c r="LL48" s="6"/>
      <c r="LM48" s="6"/>
      <c r="LN48" s="766"/>
      <c r="LO48" s="766"/>
      <c r="LP48" s="6"/>
      <c r="LQ48" s="1690"/>
      <c r="LR48" s="6"/>
      <c r="LS48" s="6"/>
      <c r="LT48" s="6"/>
      <c r="LU48" s="6"/>
      <c r="LV48" s="6"/>
      <c r="LW48" s="6"/>
      <c r="LX48" s="1693"/>
      <c r="LY48" s="766" t="str">
        <f t="shared" si="6"/>
        <v/>
      </c>
      <c r="LZ48" s="1694"/>
      <c r="MA48" s="1694"/>
      <c r="MB48" s="1694"/>
      <c r="MC48" s="1679">
        <f t="shared" si="1"/>
        <v>0</v>
      </c>
      <c r="MD48" s="1694"/>
      <c r="ME48" s="1694"/>
      <c r="MF48" s="1694"/>
      <c r="MG48" s="1680">
        <f t="shared" si="2"/>
        <v>0</v>
      </c>
      <c r="MH48" s="1690"/>
      <c r="MI48" s="64"/>
      <c r="MJ48" s="64"/>
      <c r="MK48" s="64"/>
      <c r="ML48" s="64"/>
      <c r="MM48" s="64"/>
      <c r="MN48" s="64"/>
      <c r="MO48" s="64"/>
      <c r="MP48" s="64"/>
      <c r="MQ48" s="64"/>
      <c r="MR48" s="64"/>
      <c r="MS48" s="64"/>
      <c r="MT48" s="64"/>
      <c r="MU48" s="64"/>
      <c r="MV48" s="64"/>
      <c r="MW48" s="64"/>
      <c r="MX48" s="64"/>
      <c r="MY48" s="1682">
        <f t="shared" si="3"/>
        <v>0</v>
      </c>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t="s">
        <v>13034</v>
      </c>
      <c r="OG48" s="6"/>
      <c r="OH48" s="6"/>
      <c r="OI48" s="6"/>
      <c r="OJ48" s="6"/>
      <c r="OK48" s="1687"/>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1026"/>
      <c r="RG48" s="6"/>
      <c r="RH48" s="64"/>
      <c r="RI48" s="6"/>
      <c r="RJ48" s="6" t="s">
        <v>13056</v>
      </c>
      <c r="RK48" s="6" t="s">
        <v>13042</v>
      </c>
      <c r="RL48" s="1691">
        <v>42901</v>
      </c>
      <c r="RM48" s="1714"/>
      <c r="RN48" s="1724"/>
      <c r="RO48" s="169" t="s">
        <v>11160</v>
      </c>
      <c r="RR48" s="93"/>
      <c r="RS48" s="6"/>
      <c r="RV48" s="6" t="s">
        <v>7419</v>
      </c>
      <c r="RW48" s="1020" t="s">
        <v>11921</v>
      </c>
      <c r="RX48" s="1020" t="s">
        <v>11147</v>
      </c>
      <c r="RZ48" s="1020" t="s">
        <v>7419</v>
      </c>
      <c r="SA48" s="6"/>
    </row>
    <row r="49" spans="1:495" s="1020" customFormat="1" ht="15" hidden="1" customHeight="1">
      <c r="A49" s="1013" t="s">
        <v>7419</v>
      </c>
      <c r="B49" s="1031" t="s">
        <v>11924</v>
      </c>
      <c r="C49" s="169" t="s">
        <v>11171</v>
      </c>
      <c r="D49" s="6" t="s">
        <v>488</v>
      </c>
      <c r="E49" s="6" t="s">
        <v>11162</v>
      </c>
      <c r="F49" s="6"/>
      <c r="G49" s="6"/>
      <c r="H49" s="6"/>
      <c r="I49" s="1012"/>
      <c r="J49" s="6"/>
      <c r="K49" s="6"/>
      <c r="L49" s="6"/>
      <c r="M49" s="6"/>
      <c r="N49" s="6"/>
      <c r="O49" s="6"/>
      <c r="P49" s="843"/>
      <c r="Q49" s="1086"/>
      <c r="R49" s="1015"/>
      <c r="S49" s="6"/>
      <c r="T49" s="6"/>
      <c r="U49" s="1016"/>
      <c r="V49" s="6"/>
      <c r="W49" s="1016"/>
      <c r="X49" s="1014"/>
      <c r="Y49" s="6"/>
      <c r="Z49" s="6"/>
      <c r="AA49" s="6"/>
      <c r="AB49" s="6"/>
      <c r="AC49" s="6"/>
      <c r="AD49" s="6"/>
      <c r="AE49" s="6"/>
      <c r="AF49" s="6"/>
      <c r="AG49" s="6" t="s">
        <v>1095</v>
      </c>
      <c r="AH49" s="766" t="s">
        <v>1096</v>
      </c>
      <c r="AI49" s="6" t="s">
        <v>11925</v>
      </c>
      <c r="AJ49" s="6"/>
      <c r="AK49" s="6" t="s">
        <v>1097</v>
      </c>
      <c r="AL49" s="124">
        <v>42</v>
      </c>
      <c r="AM49" s="45">
        <v>9.8000000000000007</v>
      </c>
      <c r="AN49" s="47">
        <f>AM49/AL49</f>
        <v>0.23333333333333334</v>
      </c>
      <c r="AO49" s="6" t="s">
        <v>1149</v>
      </c>
      <c r="AP49" s="6"/>
      <c r="AQ49" s="6"/>
      <c r="AR49" s="6"/>
      <c r="AS49" s="6" t="s">
        <v>1207</v>
      </c>
      <c r="AT49" s="6"/>
      <c r="AU49" s="6"/>
      <c r="AV49" s="6"/>
      <c r="AW49" s="6"/>
      <c r="AX49" s="1032"/>
      <c r="AY49" s="6"/>
      <c r="AZ49" s="6"/>
      <c r="BA49" s="6"/>
      <c r="BB49" s="6"/>
      <c r="BC49" s="6"/>
      <c r="BD49" s="6"/>
      <c r="BE49" s="6"/>
      <c r="BF49" s="64"/>
      <c r="BG49" s="64"/>
      <c r="BH49" s="6"/>
      <c r="BI49" s="6"/>
      <c r="BJ49" s="6"/>
      <c r="BK49" s="6"/>
      <c r="BL49" s="6"/>
      <c r="BM49" s="6"/>
      <c r="BN49" s="6"/>
      <c r="BO49" s="1019"/>
      <c r="BP49" s="1033"/>
      <c r="BQ49" s="46"/>
      <c r="BR49" s="47"/>
      <c r="BS49" s="6"/>
      <c r="BT49" s="1019"/>
      <c r="BU49" s="1019"/>
      <c r="BV49" s="1019"/>
      <c r="BW49" s="1019"/>
      <c r="BX49" s="96"/>
      <c r="BY49" s="6"/>
      <c r="BZ49" s="64"/>
      <c r="CA49" s="6"/>
      <c r="CB49" s="6"/>
      <c r="CC49" s="6"/>
      <c r="CD49" s="6"/>
      <c r="CE49" s="6"/>
      <c r="CF49" s="1021"/>
      <c r="CG49" s="1021"/>
      <c r="CH49" s="6"/>
      <c r="CI49" s="6"/>
      <c r="CJ49" s="6"/>
      <c r="CK49" s="6"/>
      <c r="CL49" s="6"/>
      <c r="CM49" s="6"/>
      <c r="CN49" s="6"/>
      <c r="CO49" s="6"/>
      <c r="CP49" s="6"/>
      <c r="CQ49" s="6"/>
      <c r="CR49" s="64"/>
      <c r="CS49" s="6"/>
      <c r="CT49" s="6"/>
      <c r="CU49" s="1022"/>
      <c r="CV49" s="6"/>
      <c r="CW49" s="6"/>
      <c r="CX49" s="6"/>
      <c r="CY49" s="6"/>
      <c r="CZ49" s="6"/>
      <c r="DA49" s="6"/>
      <c r="DB49" s="6"/>
      <c r="DC49" s="6"/>
      <c r="DD49" s="6"/>
      <c r="DE49" s="6"/>
      <c r="DF49" s="6"/>
      <c r="DG49" s="6"/>
      <c r="DH49" s="6"/>
      <c r="DI49" s="6"/>
      <c r="DJ49" s="6"/>
      <c r="DK49" s="6"/>
      <c r="DL49" s="6"/>
      <c r="DM49" s="6"/>
      <c r="DN49" s="6"/>
      <c r="DO49" s="6"/>
      <c r="DP49" s="6"/>
      <c r="DQ49" s="6"/>
      <c r="DR49" s="6"/>
      <c r="DS49" s="1023"/>
      <c r="DT49" s="6"/>
      <c r="DU49" s="6"/>
      <c r="DV49" s="6"/>
      <c r="DW49" s="1024"/>
      <c r="DX49" s="1024"/>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4"/>
      <c r="FE49" s="6"/>
      <c r="FF49" s="6"/>
      <c r="FG49" s="6"/>
      <c r="FH49" s="6"/>
      <c r="FI49" s="6"/>
      <c r="FJ49" s="6"/>
      <c r="FK49" s="6"/>
      <c r="FL49" s="6"/>
      <c r="FM49" s="64"/>
      <c r="FN49" s="64"/>
      <c r="FO49" s="64"/>
      <c r="FP49" s="6"/>
      <c r="FQ49" s="6"/>
      <c r="FR49" s="1019"/>
      <c r="FS49" s="1019"/>
      <c r="FT49" s="1019"/>
      <c r="FU49" s="6"/>
      <c r="FV49" s="6"/>
      <c r="FW49" s="6"/>
      <c r="FX49" s="6"/>
      <c r="FY49" s="6"/>
      <c r="FZ49" s="6"/>
      <c r="GA49" s="6"/>
      <c r="GB49" s="6"/>
      <c r="GC49" s="1028"/>
      <c r="GD49" s="1015"/>
      <c r="GE49" s="6"/>
      <c r="GF49" s="64"/>
      <c r="GG49" s="64"/>
      <c r="GH49" s="1722"/>
      <c r="GI49" s="1722"/>
      <c r="GJ49" s="1722"/>
      <c r="GK49" s="1722"/>
      <c r="GL49" s="1722"/>
      <c r="GM49" s="1722"/>
      <c r="GN49" s="1723"/>
      <c r="GO49" s="1723"/>
      <c r="GP49" s="1723"/>
      <c r="GQ49" s="1723"/>
      <c r="GR49" s="1723"/>
      <c r="GS49" s="1722"/>
      <c r="GT49" s="1723"/>
      <c r="GU49" s="1722"/>
      <c r="GV49" s="1723"/>
      <c r="GW49" s="1723"/>
      <c r="GX49" s="1723"/>
      <c r="GY49" s="1723"/>
      <c r="GZ49" s="1723"/>
      <c r="HA49" s="1723"/>
      <c r="HB49" s="1723"/>
      <c r="HC49" s="1722"/>
      <c r="HD49" s="1723"/>
      <c r="HE49" s="1722"/>
      <c r="HF49" s="1722"/>
      <c r="HG49" s="1722"/>
      <c r="HH49" s="1722"/>
      <c r="HI49" s="1722"/>
      <c r="HJ49" s="1722"/>
      <c r="HK49" s="1722"/>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1028"/>
      <c r="IN49" s="6"/>
      <c r="IO49" s="1014"/>
      <c r="IP49" s="6"/>
      <c r="IQ49" s="6"/>
      <c r="IR49" s="6"/>
      <c r="IS49" s="6"/>
      <c r="IT49" s="6"/>
      <c r="IU49" s="6"/>
      <c r="IV49" s="6"/>
      <c r="IW49" s="6"/>
      <c r="IX49" s="6"/>
      <c r="IY49" s="6"/>
      <c r="IZ49" s="6"/>
      <c r="JA49" s="6"/>
      <c r="JB49" s="6"/>
      <c r="JC49" s="6"/>
      <c r="JD49" s="64"/>
      <c r="JE49" s="6"/>
      <c r="JF49" s="1688"/>
      <c r="JG49" s="1687"/>
      <c r="JH49" s="1687"/>
      <c r="JI49" s="1687"/>
      <c r="JJ49" s="6"/>
      <c r="JK49" s="6"/>
      <c r="JL49" s="6"/>
      <c r="JM49" s="6"/>
      <c r="JN49" s="6"/>
      <c r="JO49" s="6"/>
      <c r="JP49" s="6"/>
      <c r="JQ49" s="6"/>
      <c r="JR49" s="6"/>
      <c r="JS49" s="6"/>
      <c r="JT49" s="766"/>
      <c r="JU49" s="766"/>
      <c r="JV49" s="766"/>
      <c r="JW49" s="766"/>
      <c r="JX49" s="6"/>
      <c r="JY49" s="6"/>
      <c r="JZ49" s="6"/>
      <c r="KA49" s="6"/>
      <c r="KB49" s="6"/>
      <c r="KC49" s="6"/>
      <c r="KD49" s="6"/>
      <c r="KE49" s="6"/>
      <c r="KF49" s="6"/>
      <c r="KG49" s="6"/>
      <c r="KH49" s="6"/>
      <c r="KI49" s="6"/>
      <c r="KJ49" s="770"/>
      <c r="KK49" s="770"/>
      <c r="KL49" s="770"/>
      <c r="KM49" s="770"/>
      <c r="KN49" s="6"/>
      <c r="KO49" s="1688"/>
      <c r="KP49" s="6"/>
      <c r="KQ49" s="6"/>
      <c r="KR49" s="6"/>
      <c r="KS49" s="6"/>
      <c r="KT49" s="6"/>
      <c r="KU49" s="6"/>
      <c r="KV49" s="6"/>
      <c r="KW49" s="6"/>
      <c r="KX49" s="6"/>
      <c r="KY49" s="6"/>
      <c r="KZ49" s="6"/>
      <c r="LA49" s="6"/>
      <c r="LB49" s="6"/>
      <c r="LC49" s="6"/>
      <c r="LD49" s="6"/>
      <c r="LE49" s="6"/>
      <c r="LF49" s="6"/>
      <c r="LG49" s="6"/>
      <c r="LH49" s="6"/>
      <c r="LI49" s="6"/>
      <c r="LJ49" s="6"/>
      <c r="LK49" s="6"/>
      <c r="LL49" s="6"/>
      <c r="LM49" s="6"/>
      <c r="LN49" s="766"/>
      <c r="LO49" s="766"/>
      <c r="LP49" s="6"/>
      <c r="LQ49" s="1690"/>
      <c r="LR49" s="6"/>
      <c r="LS49" s="6"/>
      <c r="LT49" s="6"/>
      <c r="LU49" s="6"/>
      <c r="LV49" s="6"/>
      <c r="LW49" s="6"/>
      <c r="LX49" s="1693"/>
      <c r="LY49" s="766" t="str">
        <f t="shared" si="6"/>
        <v/>
      </c>
      <c r="LZ49" s="1694"/>
      <c r="MA49" s="1694"/>
      <c r="MB49" s="1694"/>
      <c r="MC49" s="1679">
        <f t="shared" si="1"/>
        <v>0</v>
      </c>
      <c r="MD49" s="1694"/>
      <c r="ME49" s="1694"/>
      <c r="MF49" s="1694"/>
      <c r="MG49" s="1680">
        <f t="shared" si="2"/>
        <v>0</v>
      </c>
      <c r="MH49" s="1690"/>
      <c r="MI49" s="64"/>
      <c r="MJ49" s="64"/>
      <c r="MK49" s="64"/>
      <c r="ML49" s="64"/>
      <c r="MM49" s="64"/>
      <c r="MN49" s="64"/>
      <c r="MO49" s="64"/>
      <c r="MP49" s="64"/>
      <c r="MQ49" s="64"/>
      <c r="MR49" s="64"/>
      <c r="MS49" s="64"/>
      <c r="MT49" s="64"/>
      <c r="MU49" s="64"/>
      <c r="MV49" s="64"/>
      <c r="MW49" s="64"/>
      <c r="MX49" s="64"/>
      <c r="MY49" s="1682">
        <f t="shared" si="3"/>
        <v>0</v>
      </c>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1687"/>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1026"/>
      <c r="RG49" s="6"/>
      <c r="RH49" s="64"/>
      <c r="RI49" s="6"/>
      <c r="RJ49" s="6"/>
      <c r="RK49" s="6"/>
      <c r="RL49" s="1691"/>
      <c r="RM49" s="1714"/>
      <c r="RN49" s="1724"/>
      <c r="RO49" s="169" t="s">
        <v>11171</v>
      </c>
      <c r="RR49" s="93"/>
      <c r="RS49" s="6"/>
      <c r="RV49" s="6" t="s">
        <v>12380</v>
      </c>
      <c r="RW49" s="1020" t="s">
        <v>11922</v>
      </c>
      <c r="RX49" s="1020" t="s">
        <v>11147</v>
      </c>
      <c r="SA49" s="6"/>
    </row>
    <row r="50" spans="1:495" s="1020" customFormat="1" ht="15" hidden="1" customHeight="1">
      <c r="A50" s="861" t="s">
        <v>12381</v>
      </c>
      <c r="B50" s="1120" t="s">
        <v>11926</v>
      </c>
      <c r="C50" s="169" t="s">
        <v>11171</v>
      </c>
      <c r="D50" s="6" t="s">
        <v>11172</v>
      </c>
      <c r="E50" s="6" t="s">
        <v>11162</v>
      </c>
      <c r="F50" s="6" t="s">
        <v>20</v>
      </c>
      <c r="G50" s="6" t="s">
        <v>18</v>
      </c>
      <c r="H50" s="6"/>
      <c r="I50" s="1012" t="s">
        <v>11173</v>
      </c>
      <c r="J50" s="6" t="s">
        <v>11174</v>
      </c>
      <c r="K50" s="6" t="s">
        <v>14101</v>
      </c>
      <c r="L50" s="6" t="s">
        <v>14102</v>
      </c>
      <c r="M50" s="6"/>
      <c r="N50" s="6" t="s">
        <v>11151</v>
      </c>
      <c r="O50" s="6" t="s">
        <v>11092</v>
      </c>
      <c r="P50" s="843" t="s">
        <v>11175</v>
      </c>
      <c r="Q50" s="1086">
        <v>23247</v>
      </c>
      <c r="R50" s="1015">
        <v>54</v>
      </c>
      <c r="S50" s="6" t="s">
        <v>10</v>
      </c>
      <c r="T50" s="6"/>
      <c r="U50" s="1016" t="s">
        <v>11173</v>
      </c>
      <c r="V50" s="6" t="s">
        <v>722</v>
      </c>
      <c r="W50" s="1016" t="s">
        <v>11172</v>
      </c>
      <c r="X50" s="1014">
        <v>21406</v>
      </c>
      <c r="Y50" s="6" t="s">
        <v>11162</v>
      </c>
      <c r="Z50" s="6" t="s">
        <v>708</v>
      </c>
      <c r="AA50" s="6" t="s">
        <v>709</v>
      </c>
      <c r="AB50" s="6" t="s">
        <v>7274</v>
      </c>
      <c r="AC50" s="6" t="s">
        <v>880</v>
      </c>
      <c r="AD50" s="6"/>
      <c r="AE50" s="6"/>
      <c r="AF50" s="6" t="s">
        <v>11176</v>
      </c>
      <c r="AG50" s="6"/>
      <c r="AH50" s="6"/>
      <c r="AI50" s="6"/>
      <c r="AJ50" s="6"/>
      <c r="AK50" s="6" t="s">
        <v>1899</v>
      </c>
      <c r="AL50" s="1716"/>
      <c r="AM50" s="1716"/>
      <c r="AN50" s="1716"/>
      <c r="AO50" s="1716"/>
      <c r="AP50" s="1716"/>
      <c r="AQ50" s="1716"/>
      <c r="AR50" s="1716"/>
      <c r="AS50" s="1716"/>
      <c r="AT50" s="6"/>
      <c r="AU50" s="6"/>
      <c r="AV50" s="6" t="s">
        <v>1208</v>
      </c>
      <c r="AW50" s="6"/>
      <c r="AX50" s="1032"/>
      <c r="AY50" s="6"/>
      <c r="AZ50" s="6"/>
      <c r="BA50" s="6"/>
      <c r="BB50" s="6"/>
      <c r="BC50" s="6" t="s">
        <v>11177</v>
      </c>
      <c r="BD50" s="6" t="s">
        <v>1207</v>
      </c>
      <c r="BE50" s="6"/>
      <c r="BF50" s="64"/>
      <c r="BG50" s="64"/>
      <c r="BH50" s="6"/>
      <c r="BI50" s="6"/>
      <c r="BJ50" s="6"/>
      <c r="BK50" s="6" t="s">
        <v>1095</v>
      </c>
      <c r="BL50" s="6" t="s">
        <v>11178</v>
      </c>
      <c r="BM50" s="6" t="s">
        <v>1096</v>
      </c>
      <c r="BN50" s="6" t="s">
        <v>1230</v>
      </c>
      <c r="BO50" s="1019" t="s">
        <v>1246</v>
      </c>
      <c r="BP50" s="1033">
        <v>25.48</v>
      </c>
      <c r="BQ50" s="46">
        <v>4.76</v>
      </c>
      <c r="BR50" s="47">
        <f>BQ50/BP50</f>
        <v>0.18681318681318679</v>
      </c>
      <c r="BS50" s="766" t="s">
        <v>1242</v>
      </c>
      <c r="BT50" s="1019" t="s">
        <v>2904</v>
      </c>
      <c r="BU50" s="1019" t="s">
        <v>11168</v>
      </c>
      <c r="BV50" s="1019" t="s">
        <v>1247</v>
      </c>
      <c r="BW50" s="1019">
        <v>2007</v>
      </c>
      <c r="BX50" s="96"/>
      <c r="BY50" s="6" t="s">
        <v>1207</v>
      </c>
      <c r="BZ50" s="64"/>
      <c r="CA50" s="6"/>
      <c r="CB50" s="6"/>
      <c r="CC50" s="6"/>
      <c r="CD50" s="6"/>
      <c r="CE50" s="6"/>
      <c r="CF50" s="1021"/>
      <c r="CG50" s="1021"/>
      <c r="CH50" s="6"/>
      <c r="CI50" s="6"/>
      <c r="CJ50" s="6"/>
      <c r="CK50" s="6"/>
      <c r="CL50" s="6"/>
      <c r="CM50" s="6"/>
      <c r="CN50" s="6"/>
      <c r="CO50" s="6"/>
      <c r="CP50" s="6"/>
      <c r="CQ50" s="6"/>
      <c r="CR50" s="64"/>
      <c r="CS50" s="6"/>
      <c r="CT50" s="6"/>
      <c r="CU50" s="1022"/>
      <c r="CV50" s="6"/>
      <c r="CW50" s="6"/>
      <c r="CX50" s="6"/>
      <c r="CY50" s="6"/>
      <c r="CZ50" s="6"/>
      <c r="DA50" s="6"/>
      <c r="DB50" s="6"/>
      <c r="DC50" s="6"/>
      <c r="DD50" s="6"/>
      <c r="DE50" s="6"/>
      <c r="DF50" s="6"/>
      <c r="DG50" s="6"/>
      <c r="DH50" s="6"/>
      <c r="DI50" s="6"/>
      <c r="DJ50" s="6"/>
      <c r="DK50" s="6"/>
      <c r="DL50" s="6"/>
      <c r="DM50" s="6"/>
      <c r="DN50" s="6"/>
      <c r="DO50" s="6"/>
      <c r="DP50" s="6"/>
      <c r="DQ50" s="6"/>
      <c r="DR50" s="6"/>
      <c r="DS50" s="1023"/>
      <c r="DT50" s="6"/>
      <c r="DU50" s="6"/>
      <c r="DV50" s="6"/>
      <c r="DW50" s="1024"/>
      <c r="DX50" s="1024"/>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4"/>
      <c r="FE50" s="6"/>
      <c r="FF50" s="6"/>
      <c r="FG50" s="6"/>
      <c r="FH50" s="6" t="s">
        <v>478</v>
      </c>
      <c r="FI50" s="6">
        <v>1</v>
      </c>
      <c r="FJ50" s="6"/>
      <c r="FK50" s="6"/>
      <c r="FL50" s="6"/>
      <c r="FM50" s="64"/>
      <c r="FN50" s="64"/>
      <c r="FO50" s="64"/>
      <c r="FP50" s="6" t="s">
        <v>1600</v>
      </c>
      <c r="FQ50" s="6" t="s">
        <v>1642</v>
      </c>
      <c r="FR50" s="1019" t="s">
        <v>1214</v>
      </c>
      <c r="FS50" s="1019"/>
      <c r="FT50" s="1019"/>
      <c r="FU50" s="6"/>
      <c r="FV50" s="6"/>
      <c r="FW50" s="6"/>
      <c r="FX50" s="6"/>
      <c r="FY50" s="6"/>
      <c r="FZ50" s="6"/>
      <c r="GA50" s="6"/>
      <c r="GB50" s="6" t="s">
        <v>1734</v>
      </c>
      <c r="GC50" s="1028"/>
      <c r="GD50" s="1015"/>
      <c r="GE50" s="6"/>
      <c r="GF50" s="64"/>
      <c r="GG50" s="64"/>
      <c r="GH50" s="1722"/>
      <c r="GI50" s="1722"/>
      <c r="GJ50" s="1722"/>
      <c r="GK50" s="1722"/>
      <c r="GL50" s="1722"/>
      <c r="GM50" s="1722"/>
      <c r="GN50" s="1723"/>
      <c r="GO50" s="1723"/>
      <c r="GP50" s="1723"/>
      <c r="GQ50" s="1723"/>
      <c r="GR50" s="1723"/>
      <c r="GS50" s="1722"/>
      <c r="GT50" s="1723"/>
      <c r="GU50" s="1722"/>
      <c r="GV50" s="1723"/>
      <c r="GW50" s="1723"/>
      <c r="GX50" s="1723"/>
      <c r="GY50" s="1723"/>
      <c r="GZ50" s="1723"/>
      <c r="HA50" s="1723"/>
      <c r="HB50" s="1723"/>
      <c r="HC50" s="1722"/>
      <c r="HD50" s="1723"/>
      <c r="HE50" s="1722"/>
      <c r="HF50" s="1722"/>
      <c r="HG50" s="1722"/>
      <c r="HH50" s="1722"/>
      <c r="HI50" s="1722"/>
      <c r="HJ50" s="1722"/>
      <c r="HK50" s="1722"/>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1028"/>
      <c r="IN50" s="6"/>
      <c r="IO50" s="1014"/>
      <c r="IP50" s="6"/>
      <c r="IQ50" s="6"/>
      <c r="IR50" s="6"/>
      <c r="IS50" s="6"/>
      <c r="IT50" s="6"/>
      <c r="IU50" s="6"/>
      <c r="IV50" s="6"/>
      <c r="IW50" s="6"/>
      <c r="IX50" s="6"/>
      <c r="IY50" s="6"/>
      <c r="IZ50" s="6"/>
      <c r="JA50" s="6"/>
      <c r="JB50" s="6"/>
      <c r="JC50" s="6"/>
      <c r="JD50" s="64"/>
      <c r="JE50" s="6"/>
      <c r="JF50" s="1688"/>
      <c r="JG50" s="1687"/>
      <c r="JH50" s="1687"/>
      <c r="JI50" s="1687"/>
      <c r="JJ50" s="6"/>
      <c r="JK50" s="6"/>
      <c r="JL50" s="6"/>
      <c r="JM50" s="6"/>
      <c r="JN50" s="6"/>
      <c r="JO50" s="6"/>
      <c r="JP50" s="6"/>
      <c r="JQ50" s="6"/>
      <c r="JR50" s="6"/>
      <c r="JS50" s="6"/>
      <c r="JT50" s="766"/>
      <c r="JU50" s="766"/>
      <c r="JV50" s="766"/>
      <c r="JW50" s="766"/>
      <c r="JX50" s="6"/>
      <c r="JY50" s="6"/>
      <c r="JZ50" s="6"/>
      <c r="KA50" s="6"/>
      <c r="KB50" s="6"/>
      <c r="KC50" s="6"/>
      <c r="KD50" s="6"/>
      <c r="KE50" s="6"/>
      <c r="KF50" s="6"/>
      <c r="KG50" s="6"/>
      <c r="KH50" s="6"/>
      <c r="KI50" s="6"/>
      <c r="KJ50" s="770"/>
      <c r="KK50" s="770"/>
      <c r="KL50" s="770"/>
      <c r="KM50" s="770"/>
      <c r="KN50" s="6"/>
      <c r="KO50" s="1688"/>
      <c r="KP50" s="6"/>
      <c r="KQ50" s="6"/>
      <c r="KR50" s="6"/>
      <c r="KS50" s="6"/>
      <c r="KT50" s="6"/>
      <c r="KU50" s="6"/>
      <c r="KV50" s="6"/>
      <c r="KW50" s="6"/>
      <c r="KX50" s="6"/>
      <c r="KY50" s="6"/>
      <c r="KZ50" s="6"/>
      <c r="LA50" s="6"/>
      <c r="LB50" s="6"/>
      <c r="LC50" s="6"/>
      <c r="LD50" s="6"/>
      <c r="LE50" s="6"/>
      <c r="LF50" s="6"/>
      <c r="LG50" s="6"/>
      <c r="LH50" s="6"/>
      <c r="LI50" s="6"/>
      <c r="LJ50" s="6"/>
      <c r="LK50" s="6"/>
      <c r="LL50" s="6"/>
      <c r="LM50" s="6"/>
      <c r="LN50" s="766"/>
      <c r="LO50" s="766"/>
      <c r="LP50" s="6"/>
      <c r="LQ50" s="1690"/>
      <c r="LR50" s="6"/>
      <c r="LS50" s="6"/>
      <c r="LT50" s="6"/>
      <c r="LU50" s="6"/>
      <c r="LV50" s="6"/>
      <c r="LW50" s="6"/>
      <c r="LX50" s="1693"/>
      <c r="LY50" s="766" t="str">
        <f t="shared" si="6"/>
        <v/>
      </c>
      <c r="LZ50" s="1694"/>
      <c r="MA50" s="1694"/>
      <c r="MB50" s="1694"/>
      <c r="MC50" s="1679">
        <f t="shared" si="1"/>
        <v>0</v>
      </c>
      <c r="MD50" s="1694"/>
      <c r="ME50" s="1694"/>
      <c r="MF50" s="1694"/>
      <c r="MG50" s="1680">
        <f t="shared" si="2"/>
        <v>0</v>
      </c>
      <c r="MH50" s="1690"/>
      <c r="MI50" s="64"/>
      <c r="MJ50" s="64"/>
      <c r="MK50" s="64"/>
      <c r="ML50" s="64"/>
      <c r="MM50" s="64"/>
      <c r="MN50" s="64"/>
      <c r="MO50" s="64"/>
      <c r="MP50" s="64"/>
      <c r="MQ50" s="64"/>
      <c r="MR50" s="64"/>
      <c r="MS50" s="64"/>
      <c r="MT50" s="64"/>
      <c r="MU50" s="64"/>
      <c r="MV50" s="64"/>
      <c r="MW50" s="64"/>
      <c r="MX50" s="64"/>
      <c r="MY50" s="1682">
        <f t="shared" si="3"/>
        <v>0</v>
      </c>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1687"/>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1026"/>
      <c r="RG50" s="6"/>
      <c r="RH50" s="64"/>
      <c r="RI50" s="6"/>
      <c r="RJ50" s="6" t="s">
        <v>13057</v>
      </c>
      <c r="RK50" s="6" t="s">
        <v>13042</v>
      </c>
      <c r="RL50" s="1691">
        <v>42913</v>
      </c>
      <c r="RM50" s="1714"/>
      <c r="RN50" s="1724"/>
      <c r="RO50" s="169" t="s">
        <v>11171</v>
      </c>
      <c r="RR50" s="93"/>
      <c r="RS50" s="6"/>
      <c r="RV50" s="6" t="s">
        <v>12380</v>
      </c>
      <c r="RW50" s="1020" t="s">
        <v>11923</v>
      </c>
      <c r="RX50" s="1020" t="s">
        <v>11160</v>
      </c>
      <c r="RZ50" s="1020" t="s">
        <v>7419</v>
      </c>
      <c r="SA50" s="6"/>
    </row>
    <row r="51" spans="1:495" s="1020" customFormat="1" ht="15" hidden="1" customHeight="1">
      <c r="A51" s="1013" t="s">
        <v>7419</v>
      </c>
      <c r="B51" s="1031" t="s">
        <v>11927</v>
      </c>
      <c r="C51" s="169" t="s">
        <v>11180</v>
      </c>
      <c r="D51" s="6" t="s">
        <v>488</v>
      </c>
      <c r="E51" s="6" t="s">
        <v>11162</v>
      </c>
      <c r="F51" s="6"/>
      <c r="G51" s="6"/>
      <c r="H51" s="6"/>
      <c r="I51" s="1012"/>
      <c r="J51" s="6"/>
      <c r="K51" s="6"/>
      <c r="L51" s="6"/>
      <c r="M51" s="6"/>
      <c r="N51" s="6"/>
      <c r="O51" s="6"/>
      <c r="P51" s="843"/>
      <c r="Q51" s="1086"/>
      <c r="R51" s="1015"/>
      <c r="S51" s="6"/>
      <c r="T51" s="6"/>
      <c r="U51" s="1016"/>
      <c r="V51" s="6"/>
      <c r="W51" s="1016"/>
      <c r="X51" s="1014"/>
      <c r="Y51" s="6"/>
      <c r="Z51" s="6"/>
      <c r="AA51" s="6"/>
      <c r="AB51" s="6"/>
      <c r="AC51" s="6"/>
      <c r="AD51" s="6"/>
      <c r="AE51" s="6"/>
      <c r="AF51" s="6"/>
      <c r="AG51" s="6" t="s">
        <v>1095</v>
      </c>
      <c r="AH51" s="766" t="s">
        <v>1096</v>
      </c>
      <c r="AI51" s="6" t="s">
        <v>11152</v>
      </c>
      <c r="AJ51" s="6"/>
      <c r="AK51" s="6" t="s">
        <v>1097</v>
      </c>
      <c r="AL51" s="124">
        <v>42</v>
      </c>
      <c r="AM51" s="45">
        <v>13.824999999999999</v>
      </c>
      <c r="AN51" s="47">
        <f>AM51/AL51</f>
        <v>0.32916666666666666</v>
      </c>
      <c r="AO51" s="6" t="s">
        <v>1149</v>
      </c>
      <c r="AP51" s="6"/>
      <c r="AQ51" s="6"/>
      <c r="AR51" s="6"/>
      <c r="AS51" s="6" t="s">
        <v>1207</v>
      </c>
      <c r="AT51" s="6"/>
      <c r="AU51" s="6"/>
      <c r="AV51" s="6"/>
      <c r="AW51" s="6"/>
      <c r="AX51" s="1032"/>
      <c r="AY51" s="6"/>
      <c r="AZ51" s="6"/>
      <c r="BA51" s="6"/>
      <c r="BB51" s="6"/>
      <c r="BC51" s="6"/>
      <c r="BD51" s="6"/>
      <c r="BE51" s="6"/>
      <c r="BF51" s="64"/>
      <c r="BG51" s="64"/>
      <c r="BH51" s="6"/>
      <c r="BI51" s="6"/>
      <c r="BJ51" s="6"/>
      <c r="BK51" s="6"/>
      <c r="BL51" s="6"/>
      <c r="BM51" s="6"/>
      <c r="BN51" s="6"/>
      <c r="BO51" s="1019"/>
      <c r="BP51" s="1033"/>
      <c r="BQ51" s="46"/>
      <c r="BR51" s="47"/>
      <c r="BS51" s="6"/>
      <c r="BT51" s="1019"/>
      <c r="BU51" s="1019"/>
      <c r="BV51" s="1019"/>
      <c r="BW51" s="1019"/>
      <c r="BX51" s="96"/>
      <c r="BY51" s="6"/>
      <c r="BZ51" s="64"/>
      <c r="CA51" s="6"/>
      <c r="CB51" s="6"/>
      <c r="CC51" s="6"/>
      <c r="CD51" s="6"/>
      <c r="CE51" s="6"/>
      <c r="CF51" s="1021"/>
      <c r="CG51" s="1021"/>
      <c r="CH51" s="6"/>
      <c r="CI51" s="6"/>
      <c r="CJ51" s="6"/>
      <c r="CK51" s="6"/>
      <c r="CL51" s="6"/>
      <c r="CM51" s="6"/>
      <c r="CN51" s="6"/>
      <c r="CO51" s="6"/>
      <c r="CP51" s="6"/>
      <c r="CQ51" s="6"/>
      <c r="CR51" s="64"/>
      <c r="CS51" s="6"/>
      <c r="CT51" s="6"/>
      <c r="CU51" s="1022"/>
      <c r="CV51" s="6"/>
      <c r="CW51" s="6"/>
      <c r="CX51" s="6"/>
      <c r="CY51" s="6"/>
      <c r="CZ51" s="6"/>
      <c r="DA51" s="6"/>
      <c r="DB51" s="6"/>
      <c r="DC51" s="6"/>
      <c r="DD51" s="6"/>
      <c r="DE51" s="6"/>
      <c r="DF51" s="6"/>
      <c r="DG51" s="6"/>
      <c r="DH51" s="6"/>
      <c r="DI51" s="6"/>
      <c r="DJ51" s="6"/>
      <c r="DK51" s="6"/>
      <c r="DL51" s="6"/>
      <c r="DM51" s="6"/>
      <c r="DN51" s="6"/>
      <c r="DO51" s="6"/>
      <c r="DP51" s="6"/>
      <c r="DQ51" s="6"/>
      <c r="DR51" s="6"/>
      <c r="DS51" s="1023"/>
      <c r="DT51" s="6"/>
      <c r="DU51" s="6"/>
      <c r="DV51" s="6"/>
      <c r="DW51" s="1024"/>
      <c r="DX51" s="1024"/>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4"/>
      <c r="FE51" s="6"/>
      <c r="FF51" s="6"/>
      <c r="FG51" s="6"/>
      <c r="FH51" s="6"/>
      <c r="FI51" s="6"/>
      <c r="FJ51" s="6"/>
      <c r="FK51" s="6"/>
      <c r="FL51" s="6"/>
      <c r="FM51" s="64"/>
      <c r="FN51" s="64"/>
      <c r="FO51" s="64"/>
      <c r="FP51" s="6"/>
      <c r="FQ51" s="6"/>
      <c r="FR51" s="1019"/>
      <c r="FS51" s="1019"/>
      <c r="FT51" s="1019"/>
      <c r="FU51" s="6"/>
      <c r="FV51" s="6"/>
      <c r="FW51" s="6"/>
      <c r="FX51" s="6"/>
      <c r="FY51" s="6"/>
      <c r="FZ51" s="6"/>
      <c r="GA51" s="6"/>
      <c r="GB51" s="6"/>
      <c r="GC51" s="1028"/>
      <c r="GD51" s="1015"/>
      <c r="GE51" s="6"/>
      <c r="GF51" s="64"/>
      <c r="GG51" s="64"/>
      <c r="GH51" s="1722"/>
      <c r="GI51" s="1722"/>
      <c r="GJ51" s="1722"/>
      <c r="GK51" s="1722"/>
      <c r="GL51" s="1722"/>
      <c r="GM51" s="1722"/>
      <c r="GN51" s="1723"/>
      <c r="GO51" s="1723"/>
      <c r="GP51" s="1723"/>
      <c r="GQ51" s="1723"/>
      <c r="GR51" s="1723"/>
      <c r="GS51" s="1722"/>
      <c r="GT51" s="1723"/>
      <c r="GU51" s="1722"/>
      <c r="GV51" s="1723"/>
      <c r="GW51" s="1723"/>
      <c r="GX51" s="1723"/>
      <c r="GY51" s="1723"/>
      <c r="GZ51" s="1723"/>
      <c r="HA51" s="1723"/>
      <c r="HB51" s="1723"/>
      <c r="HC51" s="1722"/>
      <c r="HD51" s="1723"/>
      <c r="HE51" s="1722"/>
      <c r="HF51" s="1722"/>
      <c r="HG51" s="1722"/>
      <c r="HH51" s="1722"/>
      <c r="HI51" s="1722"/>
      <c r="HJ51" s="1722"/>
      <c r="HK51" s="1722"/>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1028"/>
      <c r="IN51" s="6"/>
      <c r="IO51" s="1014"/>
      <c r="IP51" s="6"/>
      <c r="IQ51" s="6"/>
      <c r="IR51" s="6"/>
      <c r="IS51" s="6"/>
      <c r="IT51" s="6"/>
      <c r="IU51" s="6"/>
      <c r="IV51" s="6"/>
      <c r="IW51" s="6"/>
      <c r="IX51" s="6"/>
      <c r="IY51" s="6"/>
      <c r="IZ51" s="6"/>
      <c r="JA51" s="6"/>
      <c r="JB51" s="6"/>
      <c r="JC51" s="6"/>
      <c r="JD51" s="64"/>
      <c r="JE51" s="6"/>
      <c r="JF51" s="1688"/>
      <c r="JG51" s="1687"/>
      <c r="JH51" s="1687"/>
      <c r="JI51" s="1687"/>
      <c r="JJ51" s="6"/>
      <c r="JK51" s="6"/>
      <c r="JL51" s="6"/>
      <c r="JM51" s="6"/>
      <c r="JN51" s="6"/>
      <c r="JO51" s="6"/>
      <c r="JP51" s="6"/>
      <c r="JQ51" s="6"/>
      <c r="JR51" s="6"/>
      <c r="JS51" s="6"/>
      <c r="JT51" s="766"/>
      <c r="JU51" s="766"/>
      <c r="JV51" s="766"/>
      <c r="JW51" s="766"/>
      <c r="JX51" s="6"/>
      <c r="JY51" s="6"/>
      <c r="JZ51" s="6"/>
      <c r="KA51" s="6"/>
      <c r="KB51" s="6"/>
      <c r="KC51" s="6"/>
      <c r="KD51" s="6"/>
      <c r="KE51" s="6"/>
      <c r="KF51" s="6"/>
      <c r="KG51" s="6"/>
      <c r="KH51" s="6"/>
      <c r="KI51" s="6"/>
      <c r="KJ51" s="770"/>
      <c r="KK51" s="770"/>
      <c r="KL51" s="770"/>
      <c r="KM51" s="770"/>
      <c r="KN51" s="6"/>
      <c r="KO51" s="1688"/>
      <c r="KP51" s="6"/>
      <c r="KQ51" s="6"/>
      <c r="KR51" s="6"/>
      <c r="KS51" s="6"/>
      <c r="KT51" s="6"/>
      <c r="KU51" s="6"/>
      <c r="KV51" s="6"/>
      <c r="KW51" s="6"/>
      <c r="KX51" s="6"/>
      <c r="KY51" s="6"/>
      <c r="KZ51" s="6"/>
      <c r="LA51" s="6"/>
      <c r="LB51" s="6"/>
      <c r="LC51" s="6"/>
      <c r="LD51" s="6"/>
      <c r="LE51" s="6"/>
      <c r="LF51" s="6"/>
      <c r="LG51" s="6"/>
      <c r="LH51" s="6"/>
      <c r="LI51" s="6"/>
      <c r="LJ51" s="6"/>
      <c r="LK51" s="6"/>
      <c r="LL51" s="6"/>
      <c r="LM51" s="6"/>
      <c r="LN51" s="766"/>
      <c r="LO51" s="766"/>
      <c r="LP51" s="6"/>
      <c r="LQ51" s="1690"/>
      <c r="LR51" s="6"/>
      <c r="LS51" s="6"/>
      <c r="LT51" s="6"/>
      <c r="LU51" s="6"/>
      <c r="LV51" s="6"/>
      <c r="LW51" s="6"/>
      <c r="LX51" s="1693"/>
      <c r="LY51" s="766" t="str">
        <f t="shared" si="6"/>
        <v/>
      </c>
      <c r="LZ51" s="1694"/>
      <c r="MA51" s="1694"/>
      <c r="MB51" s="1694"/>
      <c r="MC51" s="1679">
        <f t="shared" si="1"/>
        <v>0</v>
      </c>
      <c r="MD51" s="1694"/>
      <c r="ME51" s="1694"/>
      <c r="MF51" s="1694"/>
      <c r="MG51" s="1680">
        <f t="shared" si="2"/>
        <v>0</v>
      </c>
      <c r="MH51" s="1690"/>
      <c r="MI51" s="64"/>
      <c r="MJ51" s="64"/>
      <c r="MK51" s="64"/>
      <c r="ML51" s="64"/>
      <c r="MM51" s="64"/>
      <c r="MN51" s="64"/>
      <c r="MO51" s="64"/>
      <c r="MP51" s="64"/>
      <c r="MQ51" s="64"/>
      <c r="MR51" s="64"/>
      <c r="MS51" s="64"/>
      <c r="MT51" s="64"/>
      <c r="MU51" s="64"/>
      <c r="MV51" s="64"/>
      <c r="MW51" s="64"/>
      <c r="MX51" s="64"/>
      <c r="MY51" s="1682">
        <f t="shared" si="3"/>
        <v>0</v>
      </c>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1687"/>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1026"/>
      <c r="RG51" s="6"/>
      <c r="RH51" s="64"/>
      <c r="RI51" s="6"/>
      <c r="RJ51" s="6"/>
      <c r="RK51" s="6"/>
      <c r="RL51" s="1691"/>
      <c r="RM51" s="1714"/>
      <c r="RN51" s="1724"/>
      <c r="RO51" s="169" t="s">
        <v>11180</v>
      </c>
      <c r="RR51" s="93"/>
      <c r="RS51" s="6"/>
      <c r="RV51" s="6" t="s">
        <v>7419</v>
      </c>
      <c r="RW51" s="1020" t="s">
        <v>11924</v>
      </c>
      <c r="RX51" s="1020" t="s">
        <v>11171</v>
      </c>
      <c r="SA51" s="6"/>
    </row>
    <row r="52" spans="1:495" s="1020" customFormat="1" ht="12.75" hidden="1" customHeight="1">
      <c r="A52" s="861" t="s">
        <v>12382</v>
      </c>
      <c r="B52" s="1120" t="s">
        <v>11179</v>
      </c>
      <c r="C52" s="169" t="s">
        <v>11180</v>
      </c>
      <c r="D52" s="6" t="s">
        <v>11181</v>
      </c>
      <c r="E52" s="6" t="s">
        <v>11162</v>
      </c>
      <c r="F52" s="6" t="s">
        <v>28</v>
      </c>
      <c r="G52" s="6" t="s">
        <v>10</v>
      </c>
      <c r="H52" s="6"/>
      <c r="I52" s="1012" t="s">
        <v>11182</v>
      </c>
      <c r="J52" s="6" t="s">
        <v>11181</v>
      </c>
      <c r="K52" s="6" t="s">
        <v>14101</v>
      </c>
      <c r="L52" s="6" t="s">
        <v>14102</v>
      </c>
      <c r="M52" s="6"/>
      <c r="N52" s="6" t="s">
        <v>11092</v>
      </c>
      <c r="O52" s="6" t="s">
        <v>11071</v>
      </c>
      <c r="P52" s="6" t="s">
        <v>11183</v>
      </c>
      <c r="Q52" s="1086">
        <v>27407</v>
      </c>
      <c r="R52" s="1015">
        <v>42</v>
      </c>
      <c r="S52" s="6" t="s">
        <v>10</v>
      </c>
      <c r="T52" s="6"/>
      <c r="U52" s="1016" t="s">
        <v>11182</v>
      </c>
      <c r="V52" s="6" t="s">
        <v>707</v>
      </c>
      <c r="W52" s="6" t="s">
        <v>11184</v>
      </c>
      <c r="X52" s="1014">
        <v>30308</v>
      </c>
      <c r="Y52" s="6" t="s">
        <v>11162</v>
      </c>
      <c r="Z52" s="6" t="s">
        <v>11086</v>
      </c>
      <c r="AA52" s="6" t="s">
        <v>709</v>
      </c>
      <c r="AB52" s="6" t="s">
        <v>7273</v>
      </c>
      <c r="AC52" s="6" t="s">
        <v>724</v>
      </c>
      <c r="AD52" s="6"/>
      <c r="AE52" s="6"/>
      <c r="AF52" s="6" t="s">
        <v>778</v>
      </c>
      <c r="AG52" s="6"/>
      <c r="AH52" s="6"/>
      <c r="AI52" s="6"/>
      <c r="AJ52" s="6"/>
      <c r="AK52" s="766" t="s">
        <v>5454</v>
      </c>
      <c r="AL52" s="875"/>
      <c r="AM52" s="875"/>
      <c r="AN52" s="875"/>
      <c r="AO52" s="875"/>
      <c r="AP52" s="6"/>
      <c r="AQ52" s="6"/>
      <c r="AR52" s="6"/>
      <c r="AS52" s="6"/>
      <c r="AT52" s="6"/>
      <c r="AU52" s="6"/>
      <c r="AV52" s="6"/>
      <c r="AW52" s="6"/>
      <c r="AX52" s="1032"/>
      <c r="AY52" s="6"/>
      <c r="AZ52" s="6"/>
      <c r="BA52" s="6"/>
      <c r="BB52" s="6"/>
      <c r="BC52" s="6"/>
      <c r="BD52" s="6"/>
      <c r="BE52" s="6"/>
      <c r="BF52" s="64"/>
      <c r="BG52" s="64"/>
      <c r="BH52" s="6"/>
      <c r="BI52" s="6"/>
      <c r="BJ52" s="6"/>
      <c r="BK52" s="6" t="s">
        <v>1095</v>
      </c>
      <c r="BL52" s="6" t="s">
        <v>11185</v>
      </c>
      <c r="BM52" s="6" t="s">
        <v>1096</v>
      </c>
      <c r="BN52" s="6" t="s">
        <v>1230</v>
      </c>
      <c r="BO52" s="766" t="s">
        <v>1246</v>
      </c>
      <c r="BP52" s="1033">
        <v>30.81</v>
      </c>
      <c r="BQ52" s="46">
        <v>13.824999999999999</v>
      </c>
      <c r="BR52" s="47">
        <f>BQ52/BP52</f>
        <v>0.44871794871794873</v>
      </c>
      <c r="BS52" s="6" t="s">
        <v>1149</v>
      </c>
      <c r="BT52" s="1019" t="s">
        <v>1240</v>
      </c>
      <c r="BU52" s="1019" t="s">
        <v>11168</v>
      </c>
      <c r="BV52" s="1019" t="s">
        <v>1247</v>
      </c>
      <c r="BW52" s="1019"/>
      <c r="BX52" s="96"/>
      <c r="BY52" s="6"/>
      <c r="BZ52" s="64"/>
      <c r="CA52" s="6"/>
      <c r="CB52" s="6"/>
      <c r="CC52" s="6"/>
      <c r="CD52" s="6"/>
      <c r="CE52" s="6"/>
      <c r="CF52" s="1021"/>
      <c r="CG52" s="1021"/>
      <c r="CH52" s="6"/>
      <c r="CI52" s="6"/>
      <c r="CJ52" s="6"/>
      <c r="CK52" s="6"/>
      <c r="CL52" s="6"/>
      <c r="CM52" s="6"/>
      <c r="CN52" s="6"/>
      <c r="CO52" s="6"/>
      <c r="CP52" s="6"/>
      <c r="CQ52" s="6"/>
      <c r="CR52" s="64"/>
      <c r="CS52" s="6"/>
      <c r="CT52" s="6"/>
      <c r="CU52" s="1022"/>
      <c r="CV52" s="6"/>
      <c r="CW52" s="6"/>
      <c r="CX52" s="6"/>
      <c r="CY52" s="6"/>
      <c r="CZ52" s="6"/>
      <c r="DA52" s="6"/>
      <c r="DB52" s="6"/>
      <c r="DC52" s="6"/>
      <c r="DD52" s="6"/>
      <c r="DE52" s="6"/>
      <c r="DF52" s="6"/>
      <c r="DG52" s="6"/>
      <c r="DH52" s="6"/>
      <c r="DI52" s="6"/>
      <c r="DJ52" s="6"/>
      <c r="DK52" s="6"/>
      <c r="DL52" s="6"/>
      <c r="DM52" s="6"/>
      <c r="DN52" s="6"/>
      <c r="DO52" s="6"/>
      <c r="DP52" s="6"/>
      <c r="DQ52" s="6"/>
      <c r="DR52" s="6"/>
      <c r="DS52" s="1023"/>
      <c r="DT52" s="6"/>
      <c r="DU52" s="6"/>
      <c r="DV52" s="6"/>
      <c r="DW52" s="1024"/>
      <c r="DX52" s="1024"/>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4"/>
      <c r="FE52" s="6"/>
      <c r="FF52" s="6"/>
      <c r="FG52" s="6"/>
      <c r="FH52" s="6" t="s">
        <v>478</v>
      </c>
      <c r="FI52" s="6">
        <v>1</v>
      </c>
      <c r="FJ52" s="6"/>
      <c r="FK52" s="6"/>
      <c r="FL52" s="6"/>
      <c r="FM52" s="64"/>
      <c r="FN52" s="64"/>
      <c r="FO52" s="64"/>
      <c r="FP52" s="6" t="s">
        <v>1602</v>
      </c>
      <c r="FQ52" s="6" t="s">
        <v>1660</v>
      </c>
      <c r="FR52" s="1019"/>
      <c r="FS52" s="1019"/>
      <c r="FT52" s="1019"/>
      <c r="FU52" s="6"/>
      <c r="FV52" s="6"/>
      <c r="FW52" s="6"/>
      <c r="FX52" s="6"/>
      <c r="FY52" s="6"/>
      <c r="FZ52" s="6"/>
      <c r="GA52" s="6"/>
      <c r="GB52" s="6"/>
      <c r="GC52" s="1028"/>
      <c r="GD52" s="1015"/>
      <c r="GE52" s="6"/>
      <c r="GF52" s="64"/>
      <c r="GG52" s="64"/>
      <c r="GH52" s="1722"/>
      <c r="GI52" s="1722"/>
      <c r="GJ52" s="1722"/>
      <c r="GK52" s="1722"/>
      <c r="GL52" s="1722"/>
      <c r="GM52" s="1722"/>
      <c r="GN52" s="1723"/>
      <c r="GO52" s="1723"/>
      <c r="GP52" s="1723"/>
      <c r="GQ52" s="1723"/>
      <c r="GR52" s="1723"/>
      <c r="GS52" s="1722"/>
      <c r="GT52" s="1723"/>
      <c r="GU52" s="1722"/>
      <c r="GV52" s="1723"/>
      <c r="GW52" s="1723"/>
      <c r="GX52" s="1723"/>
      <c r="GY52" s="1723"/>
      <c r="GZ52" s="1723"/>
      <c r="HA52" s="1723"/>
      <c r="HB52" s="1723"/>
      <c r="HC52" s="1722"/>
      <c r="HD52" s="1723"/>
      <c r="HE52" s="1722"/>
      <c r="HF52" s="1722"/>
      <c r="HG52" s="1722"/>
      <c r="HH52" s="1722"/>
      <c r="HI52" s="1722"/>
      <c r="HJ52" s="1722"/>
      <c r="HK52" s="1722"/>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1028"/>
      <c r="IN52" s="6"/>
      <c r="IO52" s="1014"/>
      <c r="IP52" s="6"/>
      <c r="IQ52" s="6"/>
      <c r="IR52" s="6"/>
      <c r="IS52" s="6"/>
      <c r="IT52" s="6"/>
      <c r="IU52" s="6"/>
      <c r="IV52" s="6"/>
      <c r="IW52" s="6"/>
      <c r="IX52" s="6"/>
      <c r="IY52" s="6"/>
      <c r="IZ52" s="6"/>
      <c r="JA52" s="6"/>
      <c r="JB52" s="6"/>
      <c r="JC52" s="6"/>
      <c r="JD52" s="64"/>
      <c r="JE52" s="6"/>
      <c r="JF52" s="1688"/>
      <c r="JG52" s="1687"/>
      <c r="JH52" s="1687"/>
      <c r="JI52" s="1687"/>
      <c r="JJ52" s="6"/>
      <c r="JK52" s="6"/>
      <c r="JL52" s="6"/>
      <c r="JM52" s="6"/>
      <c r="JN52" s="6"/>
      <c r="JO52" s="6"/>
      <c r="JP52" s="6"/>
      <c r="JQ52" s="6"/>
      <c r="JR52" s="6"/>
      <c r="JS52" s="6"/>
      <c r="JT52" s="766"/>
      <c r="JU52" s="766"/>
      <c r="JV52" s="766"/>
      <c r="JW52" s="766"/>
      <c r="JX52" s="6"/>
      <c r="JY52" s="6"/>
      <c r="JZ52" s="6"/>
      <c r="KA52" s="6"/>
      <c r="KB52" s="6"/>
      <c r="KC52" s="6"/>
      <c r="KD52" s="6"/>
      <c r="KE52" s="6"/>
      <c r="KF52" s="6"/>
      <c r="KG52" s="6"/>
      <c r="KH52" s="6"/>
      <c r="KI52" s="6"/>
      <c r="KJ52" s="770"/>
      <c r="KK52" s="770"/>
      <c r="KL52" s="770"/>
      <c r="KM52" s="770"/>
      <c r="KN52" s="6"/>
      <c r="KO52" s="1688"/>
      <c r="KP52" s="6"/>
      <c r="KQ52" s="6"/>
      <c r="KR52" s="6"/>
      <c r="KS52" s="6"/>
      <c r="KT52" s="6"/>
      <c r="KU52" s="6"/>
      <c r="KV52" s="6"/>
      <c r="KW52" s="6"/>
      <c r="KX52" s="6"/>
      <c r="KY52" s="6"/>
      <c r="KZ52" s="6"/>
      <c r="LA52" s="6"/>
      <c r="LB52" s="6"/>
      <c r="LC52" s="6"/>
      <c r="LD52" s="6"/>
      <c r="LE52" s="6"/>
      <c r="LF52" s="6"/>
      <c r="LG52" s="6"/>
      <c r="LH52" s="6"/>
      <c r="LI52" s="6"/>
      <c r="LJ52" s="6"/>
      <c r="LK52" s="6"/>
      <c r="LL52" s="6"/>
      <c r="LM52" s="6"/>
      <c r="LN52" s="766"/>
      <c r="LO52" s="766"/>
      <c r="LP52" s="6"/>
      <c r="LQ52" s="1690"/>
      <c r="LR52" s="6"/>
      <c r="LS52" s="6"/>
      <c r="LT52" s="6"/>
      <c r="LU52" s="6"/>
      <c r="LV52" s="6"/>
      <c r="LW52" s="6"/>
      <c r="LX52" s="1693"/>
      <c r="LY52" s="766" t="str">
        <f t="shared" si="6"/>
        <v/>
      </c>
      <c r="LZ52" s="1694"/>
      <c r="MA52" s="1694"/>
      <c r="MB52" s="1694"/>
      <c r="MC52" s="1679">
        <f t="shared" si="1"/>
        <v>0</v>
      </c>
      <c r="MD52" s="1694"/>
      <c r="ME52" s="1694"/>
      <c r="MF52" s="1694"/>
      <c r="MG52" s="1680">
        <f t="shared" si="2"/>
        <v>0</v>
      </c>
      <c r="MH52" s="1690"/>
      <c r="MI52" s="64"/>
      <c r="MJ52" s="64"/>
      <c r="MK52" s="64"/>
      <c r="ML52" s="64"/>
      <c r="MM52" s="64"/>
      <c r="MN52" s="64"/>
      <c r="MO52" s="64"/>
      <c r="MP52" s="64"/>
      <c r="MQ52" s="64"/>
      <c r="MR52" s="64"/>
      <c r="MS52" s="64"/>
      <c r="MT52" s="64"/>
      <c r="MU52" s="64"/>
      <c r="MV52" s="64"/>
      <c r="MW52" s="64"/>
      <c r="MX52" s="64"/>
      <c r="MY52" s="1682">
        <f t="shared" si="3"/>
        <v>0</v>
      </c>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1687"/>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1026"/>
      <c r="RG52" s="6"/>
      <c r="RH52" s="64"/>
      <c r="RI52" s="6"/>
      <c r="RJ52" s="6" t="s">
        <v>11185</v>
      </c>
      <c r="RK52" s="6" t="s">
        <v>13042</v>
      </c>
      <c r="RL52" s="1691"/>
      <c r="RM52" s="1714"/>
      <c r="RN52" s="1724"/>
      <c r="RO52" s="169" t="s">
        <v>11180</v>
      </c>
      <c r="RR52" s="93"/>
      <c r="RS52" s="6"/>
      <c r="RV52" s="6" t="s">
        <v>12381</v>
      </c>
      <c r="RW52" s="1020" t="s">
        <v>11926</v>
      </c>
      <c r="RX52" s="1020" t="s">
        <v>11171</v>
      </c>
      <c r="SA52" s="6"/>
    </row>
    <row r="53" spans="1:495" s="1020" customFormat="1" ht="12.75" hidden="1" customHeight="1">
      <c r="A53" s="1013" t="s">
        <v>7419</v>
      </c>
      <c r="B53" s="1031" t="s">
        <v>12398</v>
      </c>
      <c r="C53" s="169" t="s">
        <v>11217</v>
      </c>
      <c r="D53" s="6" t="s">
        <v>11218</v>
      </c>
      <c r="E53" s="6" t="s">
        <v>11219</v>
      </c>
      <c r="F53" s="6" t="s">
        <v>20</v>
      </c>
      <c r="G53" s="6" t="s">
        <v>18</v>
      </c>
      <c r="H53" s="6" t="s">
        <v>11220</v>
      </c>
      <c r="I53" s="1012"/>
      <c r="J53" s="6" t="s">
        <v>11221</v>
      </c>
      <c r="K53" s="6" t="s">
        <v>14103</v>
      </c>
      <c r="L53" s="6" t="s">
        <v>14104</v>
      </c>
      <c r="M53" s="6"/>
      <c r="N53" s="6"/>
      <c r="O53" s="6"/>
      <c r="P53" s="843" t="s">
        <v>11222</v>
      </c>
      <c r="Q53" s="1086">
        <v>17022</v>
      </c>
      <c r="R53" s="1015">
        <v>70</v>
      </c>
      <c r="S53" s="6" t="s">
        <v>10</v>
      </c>
      <c r="T53" s="6" t="s">
        <v>11220</v>
      </c>
      <c r="U53" s="1016"/>
      <c r="V53" s="6" t="s">
        <v>707</v>
      </c>
      <c r="W53" s="1016" t="s">
        <v>11218</v>
      </c>
      <c r="X53" s="1014"/>
      <c r="Y53" s="6" t="s">
        <v>11219</v>
      </c>
      <c r="Z53" s="6" t="s">
        <v>708</v>
      </c>
      <c r="AA53" s="6" t="s">
        <v>709</v>
      </c>
      <c r="AB53" s="6" t="s">
        <v>710</v>
      </c>
      <c r="AC53" s="6"/>
      <c r="AD53" s="6"/>
      <c r="AE53" s="6"/>
      <c r="AF53" s="6" t="s">
        <v>712</v>
      </c>
      <c r="AG53" s="6" t="s">
        <v>1095</v>
      </c>
      <c r="AH53" s="766" t="s">
        <v>1096</v>
      </c>
      <c r="AI53" s="6" t="s">
        <v>11203</v>
      </c>
      <c r="AJ53" s="6"/>
      <c r="AK53" s="6" t="s">
        <v>1097</v>
      </c>
      <c r="AL53" s="124">
        <v>242.8</v>
      </c>
      <c r="AM53" s="45">
        <v>77.599999999999994</v>
      </c>
      <c r="AN53" s="47">
        <f>AM53/AL53</f>
        <v>0.31960461285008235</v>
      </c>
      <c r="AO53" s="6" t="s">
        <v>1113</v>
      </c>
      <c r="AP53" s="6"/>
      <c r="AQ53" s="6"/>
      <c r="AR53" s="6"/>
      <c r="AS53" s="6" t="s">
        <v>1207</v>
      </c>
      <c r="AT53" s="6" t="s">
        <v>1208</v>
      </c>
      <c r="AU53" s="6" t="s">
        <v>1208</v>
      </c>
      <c r="AV53" s="6"/>
      <c r="AW53" s="6"/>
      <c r="AX53" s="1032"/>
      <c r="AY53" s="6"/>
      <c r="AZ53" s="6"/>
      <c r="BA53" s="6"/>
      <c r="BB53" s="6"/>
      <c r="BC53" s="6"/>
      <c r="BD53" s="6"/>
      <c r="BE53" s="6"/>
      <c r="BF53" s="64"/>
      <c r="BG53" s="64"/>
      <c r="BH53" s="6"/>
      <c r="BI53" s="6"/>
      <c r="BJ53" s="6"/>
      <c r="BK53" s="6"/>
      <c r="BL53" s="6"/>
      <c r="BM53" s="6"/>
      <c r="BN53" s="6"/>
      <c r="BO53" s="1019"/>
      <c r="BP53" s="1033"/>
      <c r="BQ53" s="46"/>
      <c r="BR53" s="47"/>
      <c r="BS53" s="6"/>
      <c r="BT53" s="1019"/>
      <c r="BU53" s="1019"/>
      <c r="BV53" s="1019"/>
      <c r="BW53" s="1019"/>
      <c r="BX53" s="96"/>
      <c r="BY53" s="6"/>
      <c r="BZ53" s="64"/>
      <c r="CA53" s="6"/>
      <c r="CB53" s="6" t="s">
        <v>1207</v>
      </c>
      <c r="CC53" s="6" t="s">
        <v>11223</v>
      </c>
      <c r="CD53" s="6"/>
      <c r="CE53" s="6"/>
      <c r="CF53" s="1021">
        <v>2.2000000000000002</v>
      </c>
      <c r="CG53" s="1021">
        <v>41.2</v>
      </c>
      <c r="CH53" s="6" t="s">
        <v>11224</v>
      </c>
      <c r="CI53" s="6"/>
      <c r="CJ53" s="6"/>
      <c r="CK53" s="6"/>
      <c r="CL53" s="6"/>
      <c r="CM53" s="6"/>
      <c r="CN53" s="6"/>
      <c r="CO53" s="6" t="s">
        <v>1242</v>
      </c>
      <c r="CP53" s="6"/>
      <c r="CQ53" s="6"/>
      <c r="CR53" s="64"/>
      <c r="CS53" s="6"/>
      <c r="CT53" s="6"/>
      <c r="CU53" s="1022"/>
      <c r="CV53" s="6"/>
      <c r="CW53" s="6"/>
      <c r="CX53" s="6"/>
      <c r="CY53" s="6"/>
      <c r="CZ53" s="6"/>
      <c r="DA53" s="6"/>
      <c r="DB53" s="6"/>
      <c r="DC53" s="6"/>
      <c r="DD53" s="6"/>
      <c r="DE53" s="6"/>
      <c r="DF53" s="6"/>
      <c r="DG53" s="6"/>
      <c r="DH53" s="6"/>
      <c r="DI53" s="6"/>
      <c r="DJ53" s="6"/>
      <c r="DK53" s="6"/>
      <c r="DL53" s="6"/>
      <c r="DM53" s="6"/>
      <c r="DN53" s="6"/>
      <c r="DO53" s="6"/>
      <c r="DP53" s="6"/>
      <c r="DQ53" s="6"/>
      <c r="DR53" s="6"/>
      <c r="DS53" s="1023"/>
      <c r="DT53" s="6"/>
      <c r="DU53" s="6"/>
      <c r="DV53" s="6"/>
      <c r="DW53" s="1024"/>
      <c r="DX53" s="1024"/>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4"/>
      <c r="FE53" s="6"/>
      <c r="FF53" s="6"/>
      <c r="FG53" s="6"/>
      <c r="FH53" s="6"/>
      <c r="FI53" s="6"/>
      <c r="FJ53" s="6"/>
      <c r="FK53" s="6"/>
      <c r="FL53" s="6"/>
      <c r="FM53" s="64"/>
      <c r="FN53" s="64"/>
      <c r="FO53" s="64"/>
      <c r="FP53" s="6"/>
      <c r="FQ53" s="6"/>
      <c r="FR53" s="1019"/>
      <c r="FS53" s="1019"/>
      <c r="FT53" s="1019"/>
      <c r="FU53" s="6"/>
      <c r="FV53" s="6"/>
      <c r="FW53" s="6"/>
      <c r="FX53" s="6"/>
      <c r="FY53" s="6"/>
      <c r="FZ53" s="6"/>
      <c r="GA53" s="6"/>
      <c r="GB53" s="6"/>
      <c r="GC53" s="1028"/>
      <c r="GD53" s="1015"/>
      <c r="GE53" s="6"/>
      <c r="GF53" s="64"/>
      <c r="GG53" s="64"/>
      <c r="GH53" s="1722"/>
      <c r="GI53" s="1722"/>
      <c r="GJ53" s="1722"/>
      <c r="GK53" s="1722"/>
      <c r="GL53" s="1722"/>
      <c r="GM53" s="1722"/>
      <c r="GN53" s="1723"/>
      <c r="GO53" s="1723"/>
      <c r="GP53" s="1723"/>
      <c r="GQ53" s="1723"/>
      <c r="GR53" s="1723"/>
      <c r="GS53" s="1722"/>
      <c r="GT53" s="1723"/>
      <c r="GU53" s="1722"/>
      <c r="GV53" s="1723"/>
      <c r="GW53" s="1723"/>
      <c r="GX53" s="1723"/>
      <c r="GY53" s="1723"/>
      <c r="GZ53" s="1723"/>
      <c r="HA53" s="1723"/>
      <c r="HB53" s="1723"/>
      <c r="HC53" s="1722"/>
      <c r="HD53" s="1723"/>
      <c r="HE53" s="1722"/>
      <c r="HF53" s="1722"/>
      <c r="HG53" s="1722"/>
      <c r="HH53" s="1722"/>
      <c r="HI53" s="1722"/>
      <c r="HJ53" s="1722"/>
      <c r="HK53" s="1722"/>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1028"/>
      <c r="IN53" s="6"/>
      <c r="IO53" s="1014"/>
      <c r="IP53" s="6"/>
      <c r="IQ53" s="6"/>
      <c r="IR53" s="6"/>
      <c r="IS53" s="6"/>
      <c r="IT53" s="6"/>
      <c r="IU53" s="6"/>
      <c r="IV53" s="6"/>
      <c r="IW53" s="6"/>
      <c r="IX53" s="6"/>
      <c r="IY53" s="6"/>
      <c r="IZ53" s="6"/>
      <c r="JA53" s="6"/>
      <c r="JB53" s="6"/>
      <c r="JC53" s="6"/>
      <c r="JD53" s="64"/>
      <c r="JE53" s="6"/>
      <c r="JF53" s="1688"/>
      <c r="JG53" s="1687"/>
      <c r="JH53" s="1687"/>
      <c r="JI53" s="1687"/>
      <c r="JJ53" s="6"/>
      <c r="JK53" s="6"/>
      <c r="JL53" s="6"/>
      <c r="JM53" s="6"/>
      <c r="JN53" s="6"/>
      <c r="JO53" s="6"/>
      <c r="JP53" s="6"/>
      <c r="JQ53" s="6"/>
      <c r="JR53" s="6"/>
      <c r="JS53" s="6"/>
      <c r="JT53" s="766"/>
      <c r="JU53" s="766"/>
      <c r="JV53" s="766"/>
      <c r="JW53" s="766"/>
      <c r="JX53" s="6"/>
      <c r="JY53" s="6"/>
      <c r="JZ53" s="6"/>
      <c r="KA53" s="6"/>
      <c r="KB53" s="6"/>
      <c r="KC53" s="6"/>
      <c r="KD53" s="6"/>
      <c r="KE53" s="6"/>
      <c r="KF53" s="6"/>
      <c r="KG53" s="6"/>
      <c r="KH53" s="6"/>
      <c r="KI53" s="6"/>
      <c r="KJ53" s="770"/>
      <c r="KK53" s="770"/>
      <c r="KL53" s="770"/>
      <c r="KM53" s="770"/>
      <c r="KN53" s="6"/>
      <c r="KO53" s="1688"/>
      <c r="KP53" s="6"/>
      <c r="KQ53" s="6"/>
      <c r="KR53" s="6"/>
      <c r="KS53" s="6"/>
      <c r="KT53" s="6"/>
      <c r="KU53" s="6"/>
      <c r="KV53" s="6"/>
      <c r="KW53" s="6"/>
      <c r="KX53" s="6"/>
      <c r="KY53" s="6"/>
      <c r="KZ53" s="6"/>
      <c r="LA53" s="6"/>
      <c r="LB53" s="6"/>
      <c r="LC53" s="6"/>
      <c r="LD53" s="6"/>
      <c r="LE53" s="6"/>
      <c r="LF53" s="6"/>
      <c r="LG53" s="6"/>
      <c r="LH53" s="6"/>
      <c r="LI53" s="6"/>
      <c r="LJ53" s="6"/>
      <c r="LK53" s="6"/>
      <c r="LL53" s="6"/>
      <c r="LM53" s="6"/>
      <c r="LN53" s="766"/>
      <c r="LO53" s="766"/>
      <c r="LP53" s="6"/>
      <c r="LQ53" s="1690"/>
      <c r="LR53" s="6"/>
      <c r="LS53" s="6"/>
      <c r="LT53" s="6"/>
      <c r="LU53" s="6"/>
      <c r="LV53" s="6"/>
      <c r="LW53" s="6"/>
      <c r="LX53" s="1693"/>
      <c r="LY53" s="766" t="str">
        <f t="shared" si="6"/>
        <v/>
      </c>
      <c r="LZ53" s="1694"/>
      <c r="MA53" s="1694"/>
      <c r="MB53" s="1694"/>
      <c r="MC53" s="1679">
        <f t="shared" si="1"/>
        <v>0</v>
      </c>
      <c r="MD53" s="1694"/>
      <c r="ME53" s="1694"/>
      <c r="MF53" s="1694"/>
      <c r="MG53" s="1680">
        <f t="shared" si="2"/>
        <v>0</v>
      </c>
      <c r="MH53" s="1690"/>
      <c r="MI53" s="64"/>
      <c r="MJ53" s="64"/>
      <c r="MK53" s="64"/>
      <c r="ML53" s="64"/>
      <c r="MM53" s="64"/>
      <c r="MN53" s="64"/>
      <c r="MO53" s="64"/>
      <c r="MP53" s="64"/>
      <c r="MQ53" s="64"/>
      <c r="MR53" s="64"/>
      <c r="MS53" s="64"/>
      <c r="MT53" s="64"/>
      <c r="MU53" s="64"/>
      <c r="MV53" s="64"/>
      <c r="MW53" s="64"/>
      <c r="MX53" s="64"/>
      <c r="MY53" s="1682">
        <f t="shared" si="3"/>
        <v>0</v>
      </c>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1687"/>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D53" s="6"/>
      <c r="RE53" s="6"/>
      <c r="RF53" s="1026"/>
      <c r="RG53" s="6"/>
      <c r="RH53" s="64"/>
      <c r="RI53" s="6"/>
      <c r="RJ53" s="6"/>
      <c r="RK53" s="6"/>
      <c r="RL53" s="1691"/>
      <c r="RM53" s="1714"/>
      <c r="RN53" s="1724"/>
      <c r="RO53" s="169" t="s">
        <v>11217</v>
      </c>
      <c r="RR53" s="93"/>
      <c r="RS53" s="6"/>
      <c r="RV53" s="6" t="s">
        <v>7419</v>
      </c>
      <c r="RW53" s="1020" t="s">
        <v>11927</v>
      </c>
      <c r="RX53" s="1020" t="s">
        <v>11180</v>
      </c>
      <c r="RZ53" s="1020" t="s">
        <v>7419</v>
      </c>
      <c r="SA53" s="6"/>
    </row>
    <row r="54" spans="1:495" s="1020" customFormat="1" ht="15" hidden="1" customHeight="1">
      <c r="A54" s="861" t="s">
        <v>12383</v>
      </c>
      <c r="B54" s="1031" t="s">
        <v>11929</v>
      </c>
      <c r="C54" s="169" t="s">
        <v>11186</v>
      </c>
      <c r="D54" s="6" t="s">
        <v>11187</v>
      </c>
      <c r="E54" s="6" t="s">
        <v>11060</v>
      </c>
      <c r="F54" s="6" t="s">
        <v>28</v>
      </c>
      <c r="G54" s="6" t="s">
        <v>10</v>
      </c>
      <c r="H54" s="6"/>
      <c r="I54" s="1012" t="s">
        <v>11188</v>
      </c>
      <c r="J54" s="6" t="s">
        <v>11187</v>
      </c>
      <c r="K54" s="6" t="s">
        <v>14105</v>
      </c>
      <c r="L54" s="6" t="s">
        <v>14106</v>
      </c>
      <c r="M54" s="6"/>
      <c r="N54" s="6" t="s">
        <v>11151</v>
      </c>
      <c r="O54" s="6" t="s">
        <v>11092</v>
      </c>
      <c r="P54" s="843" t="s">
        <v>11187</v>
      </c>
      <c r="Q54" s="1086">
        <v>14100</v>
      </c>
      <c r="R54" s="1015">
        <v>78</v>
      </c>
      <c r="S54" s="6" t="s">
        <v>10</v>
      </c>
      <c r="T54" s="6"/>
      <c r="U54" s="1016" t="s">
        <v>11188</v>
      </c>
      <c r="V54" s="6" t="s">
        <v>722</v>
      </c>
      <c r="W54" s="1016" t="s">
        <v>11189</v>
      </c>
      <c r="X54" s="1014">
        <v>23410</v>
      </c>
      <c r="Y54" s="6" t="s">
        <v>11060</v>
      </c>
      <c r="Z54" s="6" t="s">
        <v>708</v>
      </c>
      <c r="AA54" s="6" t="s">
        <v>709</v>
      </c>
      <c r="AB54" s="6" t="s">
        <v>710</v>
      </c>
      <c r="AC54" s="6"/>
      <c r="AD54" s="6" t="s">
        <v>711</v>
      </c>
      <c r="AE54" s="6" t="s">
        <v>1073</v>
      </c>
      <c r="AF54" s="6" t="s">
        <v>11190</v>
      </c>
      <c r="AG54" s="6"/>
      <c r="AH54" s="6"/>
      <c r="AI54" s="6"/>
      <c r="AJ54" s="6"/>
      <c r="AK54" s="6" t="s">
        <v>1899</v>
      </c>
      <c r="AL54" s="124"/>
      <c r="AM54" s="45"/>
      <c r="AN54" s="47"/>
      <c r="AO54" s="6"/>
      <c r="AP54" s="6"/>
      <c r="AQ54" s="6"/>
      <c r="AR54" s="6"/>
      <c r="AS54" s="6" t="s">
        <v>1207</v>
      </c>
      <c r="AT54" s="6"/>
      <c r="AU54" s="6"/>
      <c r="AV54" s="6" t="s">
        <v>1208</v>
      </c>
      <c r="AW54" s="6"/>
      <c r="AX54" s="1032"/>
      <c r="AY54" s="6"/>
      <c r="AZ54" s="6"/>
      <c r="BA54" s="6"/>
      <c r="BB54" s="6"/>
      <c r="BC54" s="6" t="s">
        <v>11177</v>
      </c>
      <c r="BD54" s="6" t="s">
        <v>1214</v>
      </c>
      <c r="BE54" s="6"/>
      <c r="BF54" s="64"/>
      <c r="BG54" s="64"/>
      <c r="BH54" s="6"/>
      <c r="BI54" s="6"/>
      <c r="BJ54" s="6"/>
      <c r="BK54" s="6" t="s">
        <v>1095</v>
      </c>
      <c r="BL54" s="6" t="s">
        <v>11191</v>
      </c>
      <c r="BM54" s="6" t="s">
        <v>1096</v>
      </c>
      <c r="BN54" s="6" t="s">
        <v>1230</v>
      </c>
      <c r="BO54" s="766" t="s">
        <v>1246</v>
      </c>
      <c r="BP54" s="1033">
        <v>37</v>
      </c>
      <c r="BQ54" s="46">
        <v>16.12</v>
      </c>
      <c r="BR54" s="47">
        <f>BQ54/BP54</f>
        <v>0.43567567567567572</v>
      </c>
      <c r="BS54" s="6" t="s">
        <v>1149</v>
      </c>
      <c r="BT54" s="1019" t="s">
        <v>1240</v>
      </c>
      <c r="BU54" s="1019" t="s">
        <v>1249</v>
      </c>
      <c r="BV54" s="1019" t="s">
        <v>1247</v>
      </c>
      <c r="BW54" s="1019">
        <v>2002</v>
      </c>
      <c r="BX54" s="96"/>
      <c r="BY54" s="6"/>
      <c r="BZ54" s="64"/>
      <c r="CA54" s="6"/>
      <c r="CB54" s="6"/>
      <c r="CC54" s="6"/>
      <c r="CD54" s="6"/>
      <c r="CE54" s="6"/>
      <c r="CF54" s="1021"/>
      <c r="CG54" s="1021"/>
      <c r="CH54" s="6"/>
      <c r="CI54" s="6"/>
      <c r="CJ54" s="6"/>
      <c r="CK54" s="6"/>
      <c r="CL54" s="6"/>
      <c r="CM54" s="6"/>
      <c r="CN54" s="6"/>
      <c r="CO54" s="6"/>
      <c r="CP54" s="6"/>
      <c r="CQ54" s="6"/>
      <c r="CR54" s="64"/>
      <c r="CS54" s="6"/>
      <c r="CT54" s="6"/>
      <c r="CU54" s="1022"/>
      <c r="CV54" s="6"/>
      <c r="CW54" s="6"/>
      <c r="CX54" s="6"/>
      <c r="CY54" s="6"/>
      <c r="CZ54" s="6"/>
      <c r="DA54" s="6"/>
      <c r="DB54" s="6"/>
      <c r="DC54" s="6"/>
      <c r="DD54" s="6"/>
      <c r="DE54" s="6"/>
      <c r="DF54" s="6"/>
      <c r="DG54" s="6"/>
      <c r="DH54" s="6"/>
      <c r="DI54" s="6"/>
      <c r="DJ54" s="6"/>
      <c r="DK54" s="6"/>
      <c r="DL54" s="6"/>
      <c r="DM54" s="6"/>
      <c r="DN54" s="6"/>
      <c r="DO54" s="6"/>
      <c r="DP54" s="6"/>
      <c r="DQ54" s="6"/>
      <c r="DR54" s="6"/>
      <c r="DS54" s="1023"/>
      <c r="DT54" s="6"/>
      <c r="DU54" s="6"/>
      <c r="DV54" s="6"/>
      <c r="DW54" s="1024"/>
      <c r="DX54" s="1024"/>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4"/>
      <c r="FE54" s="6"/>
      <c r="FF54" s="6"/>
      <c r="FG54" s="6"/>
      <c r="FH54" s="6" t="s">
        <v>478</v>
      </c>
      <c r="FI54" s="6">
        <v>1</v>
      </c>
      <c r="FJ54" s="6"/>
      <c r="FK54" s="6"/>
      <c r="FL54" s="6"/>
      <c r="FM54" s="64"/>
      <c r="FN54" s="64"/>
      <c r="FO54" s="64"/>
      <c r="FP54" s="6" t="s">
        <v>1602</v>
      </c>
      <c r="FQ54" s="6" t="s">
        <v>1660</v>
      </c>
      <c r="FR54" s="1019" t="s">
        <v>1207</v>
      </c>
      <c r="FS54" s="1019"/>
      <c r="FT54" s="1019"/>
      <c r="FU54" s="6"/>
      <c r="FV54" s="6" t="s">
        <v>1208</v>
      </c>
      <c r="FW54" s="6"/>
      <c r="FX54" s="6"/>
      <c r="FY54" s="6"/>
      <c r="FZ54" s="6"/>
      <c r="GA54" s="6"/>
      <c r="GB54" s="6" t="s">
        <v>796</v>
      </c>
      <c r="GC54" s="1028" t="s">
        <v>11192</v>
      </c>
      <c r="GD54" s="1015"/>
      <c r="GE54" s="6" t="s">
        <v>1214</v>
      </c>
      <c r="GF54" s="64"/>
      <c r="GG54" s="64"/>
      <c r="GH54" s="1722"/>
      <c r="GI54" s="1722"/>
      <c r="GJ54" s="1722"/>
      <c r="GK54" s="1722"/>
      <c r="GL54" s="1722"/>
      <c r="GM54" s="1722"/>
      <c r="GN54" s="1723"/>
      <c r="GO54" s="1723"/>
      <c r="GP54" s="1723"/>
      <c r="GQ54" s="1723"/>
      <c r="GR54" s="1723"/>
      <c r="GS54" s="1722"/>
      <c r="GT54" s="1723"/>
      <c r="GU54" s="1722"/>
      <c r="GV54" s="1723"/>
      <c r="GW54" s="1723"/>
      <c r="GX54" s="1723"/>
      <c r="GY54" s="1723"/>
      <c r="GZ54" s="1723"/>
      <c r="HA54" s="1723"/>
      <c r="HB54" s="1723"/>
      <c r="HC54" s="1722"/>
      <c r="HD54" s="1723"/>
      <c r="HE54" s="1722"/>
      <c r="HF54" s="1722"/>
      <c r="HG54" s="1722"/>
      <c r="HH54" s="1722"/>
      <c r="HI54" s="1722"/>
      <c r="HJ54" s="1722"/>
      <c r="HK54" s="1722"/>
      <c r="HL54" s="6"/>
      <c r="HM54" s="6"/>
      <c r="HN54" s="6"/>
      <c r="HO54" s="6"/>
      <c r="HP54" s="6"/>
      <c r="HQ54" s="6"/>
      <c r="HR54" s="6"/>
      <c r="HS54" s="6"/>
      <c r="HT54" s="6"/>
      <c r="HU54" s="6"/>
      <c r="HV54" s="6"/>
      <c r="HW54" s="6"/>
      <c r="HX54" s="6"/>
      <c r="HY54" s="6"/>
      <c r="HZ54" s="6"/>
      <c r="IA54" s="6"/>
      <c r="IB54" s="6" t="s">
        <v>1207</v>
      </c>
      <c r="IC54" s="6"/>
      <c r="ID54" s="6" t="s">
        <v>11193</v>
      </c>
      <c r="IE54" s="6"/>
      <c r="IF54" s="6"/>
      <c r="IG54" s="6"/>
      <c r="IH54" s="6"/>
      <c r="II54" s="6"/>
      <c r="IJ54" s="6"/>
      <c r="IK54" s="6"/>
      <c r="IL54" s="6"/>
      <c r="IM54" s="1028"/>
      <c r="IN54" s="6"/>
      <c r="IO54" s="1014"/>
      <c r="IP54" s="6"/>
      <c r="IQ54" s="6"/>
      <c r="IR54" s="6"/>
      <c r="IS54" s="6"/>
      <c r="IT54" s="6"/>
      <c r="IU54" s="6"/>
      <c r="IV54" s="6"/>
      <c r="IW54" s="6"/>
      <c r="IX54" s="6"/>
      <c r="IY54" s="6"/>
      <c r="IZ54" s="6"/>
      <c r="JA54" s="6"/>
      <c r="JB54" s="6"/>
      <c r="JC54" s="6"/>
      <c r="JD54" s="64"/>
      <c r="JE54" s="6"/>
      <c r="JF54" s="1688"/>
      <c r="JG54" s="1687"/>
      <c r="JH54" s="1687"/>
      <c r="JI54" s="1687"/>
      <c r="JJ54" s="6"/>
      <c r="JK54" s="6"/>
      <c r="JL54" s="6"/>
      <c r="JM54" s="6"/>
      <c r="JN54" s="6"/>
      <c r="JO54" s="6"/>
      <c r="JP54" s="6"/>
      <c r="JQ54" s="6"/>
      <c r="JR54" s="6"/>
      <c r="JS54" s="6"/>
      <c r="JT54" s="766"/>
      <c r="JU54" s="766"/>
      <c r="JV54" s="766"/>
      <c r="JW54" s="766"/>
      <c r="JX54" s="6"/>
      <c r="JY54" s="6"/>
      <c r="JZ54" s="6"/>
      <c r="KA54" s="6"/>
      <c r="KB54" s="6"/>
      <c r="KC54" s="6"/>
      <c r="KD54" s="6"/>
      <c r="KE54" s="6"/>
      <c r="KF54" s="6"/>
      <c r="KG54" s="6"/>
      <c r="KH54" s="6"/>
      <c r="KI54" s="6"/>
      <c r="KJ54" s="770"/>
      <c r="KK54" s="770"/>
      <c r="KL54" s="770"/>
      <c r="KM54" s="770"/>
      <c r="KN54" s="6"/>
      <c r="KO54" s="1688"/>
      <c r="KP54" s="6"/>
      <c r="KQ54" s="6"/>
      <c r="KR54" s="6"/>
      <c r="KS54" s="6"/>
      <c r="KT54" s="6"/>
      <c r="KU54" s="6"/>
      <c r="KV54" s="6"/>
      <c r="KW54" s="6"/>
      <c r="KX54" s="6"/>
      <c r="KY54" s="6"/>
      <c r="KZ54" s="6"/>
      <c r="LA54" s="6"/>
      <c r="LB54" s="6"/>
      <c r="LC54" s="6"/>
      <c r="LD54" s="6"/>
      <c r="LE54" s="6"/>
      <c r="LF54" s="6"/>
      <c r="LG54" s="6"/>
      <c r="LH54" s="6"/>
      <c r="LI54" s="6"/>
      <c r="LJ54" s="6"/>
      <c r="LK54" s="6"/>
      <c r="LL54" s="6"/>
      <c r="LM54" s="6"/>
      <c r="LN54" s="766"/>
      <c r="LO54" s="766"/>
      <c r="LP54" s="6"/>
      <c r="LQ54" s="1690"/>
      <c r="LR54" s="6"/>
      <c r="LS54" s="6"/>
      <c r="LT54" s="6"/>
      <c r="LU54" s="6"/>
      <c r="LV54" s="6"/>
      <c r="LW54" s="6"/>
      <c r="LX54" s="1693"/>
      <c r="LY54" s="766" t="str">
        <f t="shared" si="6"/>
        <v/>
      </c>
      <c r="LZ54" s="1694"/>
      <c r="MA54" s="1694"/>
      <c r="MB54" s="1694"/>
      <c r="MC54" s="1679">
        <f t="shared" si="1"/>
        <v>0</v>
      </c>
      <c r="MD54" s="1694"/>
      <c r="ME54" s="1694"/>
      <c r="MF54" s="1694"/>
      <c r="MG54" s="1680">
        <f t="shared" si="2"/>
        <v>0</v>
      </c>
      <c r="MH54" s="1690"/>
      <c r="MI54" s="64"/>
      <c r="MJ54" s="64"/>
      <c r="MK54" s="64"/>
      <c r="ML54" s="64"/>
      <c r="MM54" s="64"/>
      <c r="MN54" s="64"/>
      <c r="MO54" s="64"/>
      <c r="MP54" s="64"/>
      <c r="MQ54" s="64"/>
      <c r="MR54" s="64"/>
      <c r="MS54" s="64"/>
      <c r="MT54" s="64"/>
      <c r="MU54" s="64"/>
      <c r="MV54" s="64"/>
      <c r="MW54" s="64"/>
      <c r="MX54" s="64"/>
      <c r="MY54" s="1682">
        <f t="shared" si="3"/>
        <v>0</v>
      </c>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1687"/>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1026"/>
      <c r="RG54" s="6"/>
      <c r="RH54" s="64"/>
      <c r="RI54" s="6"/>
      <c r="RJ54" s="6" t="s">
        <v>13058</v>
      </c>
      <c r="RK54" s="6" t="s">
        <v>13010</v>
      </c>
      <c r="RL54" s="1691">
        <v>42902</v>
      </c>
      <c r="RM54" s="1714"/>
      <c r="RN54" s="1724"/>
      <c r="RO54" s="169" t="s">
        <v>11186</v>
      </c>
      <c r="RR54" s="93"/>
      <c r="RS54" s="6"/>
      <c r="RV54" s="6" t="s">
        <v>12382</v>
      </c>
      <c r="RW54" s="1020" t="s">
        <v>11179</v>
      </c>
      <c r="RX54" s="1020" t="s">
        <v>11180</v>
      </c>
      <c r="RZ54" s="1020" t="s">
        <v>7419</v>
      </c>
      <c r="SA54" s="6"/>
    </row>
    <row r="55" spans="1:495" s="1020" customFormat="1" ht="15" hidden="1" customHeight="1">
      <c r="A55" s="861" t="s">
        <v>12383</v>
      </c>
      <c r="B55" s="1031" t="s">
        <v>11930</v>
      </c>
      <c r="C55" s="169" t="s">
        <v>11194</v>
      </c>
      <c r="D55" s="6" t="s">
        <v>11195</v>
      </c>
      <c r="E55" s="6" t="s">
        <v>11060</v>
      </c>
      <c r="F55" s="6" t="s">
        <v>28</v>
      </c>
      <c r="G55" s="6" t="s">
        <v>20</v>
      </c>
      <c r="H55" s="6"/>
      <c r="I55" s="1012" t="s">
        <v>11196</v>
      </c>
      <c r="J55" s="6" t="s">
        <v>11197</v>
      </c>
      <c r="K55" s="6" t="s">
        <v>14105</v>
      </c>
      <c r="L55" s="6" t="s">
        <v>14107</v>
      </c>
      <c r="M55" s="6"/>
      <c r="N55" s="6" t="s">
        <v>11092</v>
      </c>
      <c r="O55" s="6" t="s">
        <v>11071</v>
      </c>
      <c r="P55" s="843" t="s">
        <v>11198</v>
      </c>
      <c r="Q55" s="1086">
        <v>25637</v>
      </c>
      <c r="R55" s="1015">
        <v>46</v>
      </c>
      <c r="S55" s="6" t="s">
        <v>10</v>
      </c>
      <c r="T55" s="6"/>
      <c r="U55" s="1016" t="s">
        <v>11196</v>
      </c>
      <c r="V55" s="6" t="s">
        <v>707</v>
      </c>
      <c r="W55" s="1016" t="s">
        <v>11195</v>
      </c>
      <c r="X55" s="1014">
        <v>25414</v>
      </c>
      <c r="Y55" s="6" t="s">
        <v>11060</v>
      </c>
      <c r="Z55" s="6" t="s">
        <v>708</v>
      </c>
      <c r="AA55" s="6" t="s">
        <v>709</v>
      </c>
      <c r="AB55" s="6" t="s">
        <v>710</v>
      </c>
      <c r="AC55" s="6"/>
      <c r="AD55" s="6" t="s">
        <v>716</v>
      </c>
      <c r="AE55" s="6"/>
      <c r="AF55" s="6" t="s">
        <v>4689</v>
      </c>
      <c r="AG55" s="6"/>
      <c r="AH55" s="6"/>
      <c r="AI55" s="6"/>
      <c r="AJ55" s="6"/>
      <c r="AK55" s="6" t="s">
        <v>1899</v>
      </c>
      <c r="AL55" s="124"/>
      <c r="AM55" s="45"/>
      <c r="AN55" s="47"/>
      <c r="AO55" s="6"/>
      <c r="AP55" s="6"/>
      <c r="AQ55" s="6"/>
      <c r="AR55" s="6"/>
      <c r="AS55" s="6" t="s">
        <v>1207</v>
      </c>
      <c r="AT55" s="6"/>
      <c r="AU55" s="6"/>
      <c r="AV55" s="6" t="s">
        <v>1208</v>
      </c>
      <c r="AW55" s="6"/>
      <c r="AX55" s="1032"/>
      <c r="AY55" s="6"/>
      <c r="AZ55" s="6"/>
      <c r="BA55" s="6"/>
      <c r="BB55" s="6"/>
      <c r="BC55" s="6" t="s">
        <v>11177</v>
      </c>
      <c r="BD55" s="6"/>
      <c r="BE55" s="6"/>
      <c r="BF55" s="64"/>
      <c r="BG55" s="64"/>
      <c r="BH55" s="6"/>
      <c r="BI55" s="6"/>
      <c r="BJ55" s="6"/>
      <c r="BK55" s="6" t="s">
        <v>1095</v>
      </c>
      <c r="BL55" s="6" t="s">
        <v>11197</v>
      </c>
      <c r="BM55" s="6" t="s">
        <v>1096</v>
      </c>
      <c r="BN55" s="6" t="s">
        <v>1230</v>
      </c>
      <c r="BO55" s="1019" t="s">
        <v>1246</v>
      </c>
      <c r="BP55" s="1033">
        <v>24.06</v>
      </c>
      <c r="BQ55" s="46">
        <v>4.68</v>
      </c>
      <c r="BR55" s="47">
        <f>BQ55/BP55</f>
        <v>0.19451371571072318</v>
      </c>
      <c r="BS55" s="766" t="s">
        <v>1242</v>
      </c>
      <c r="BT55" s="1019" t="s">
        <v>1240</v>
      </c>
      <c r="BU55" s="1019" t="s">
        <v>1249</v>
      </c>
      <c r="BV55" s="1019" t="s">
        <v>1247</v>
      </c>
      <c r="BW55" s="1019">
        <v>2007</v>
      </c>
      <c r="BX55" s="96"/>
      <c r="BY55" s="6" t="s">
        <v>1207</v>
      </c>
      <c r="BZ55" s="64"/>
      <c r="CA55" s="6"/>
      <c r="CB55" s="6"/>
      <c r="CC55" s="6"/>
      <c r="CD55" s="6"/>
      <c r="CE55" s="6"/>
      <c r="CF55" s="1021"/>
      <c r="CG55" s="1021"/>
      <c r="CH55" s="6"/>
      <c r="CI55" s="6"/>
      <c r="CJ55" s="6"/>
      <c r="CK55" s="6"/>
      <c r="CL55" s="6"/>
      <c r="CM55" s="6"/>
      <c r="CN55" s="6"/>
      <c r="CO55" s="6"/>
      <c r="CP55" s="6"/>
      <c r="CQ55" s="6"/>
      <c r="CR55" s="64"/>
      <c r="CS55" s="6"/>
      <c r="CT55" s="6"/>
      <c r="CU55" s="1022"/>
      <c r="CV55" s="6"/>
      <c r="CW55" s="6"/>
      <c r="CX55" s="6"/>
      <c r="CY55" s="6"/>
      <c r="CZ55" s="6"/>
      <c r="DA55" s="6"/>
      <c r="DB55" s="6"/>
      <c r="DC55" s="6"/>
      <c r="DD55" s="6"/>
      <c r="DE55" s="6"/>
      <c r="DF55" s="6"/>
      <c r="DG55" s="6"/>
      <c r="DH55" s="6"/>
      <c r="DI55" s="6"/>
      <c r="DJ55" s="6"/>
      <c r="DK55" s="6"/>
      <c r="DL55" s="6"/>
      <c r="DM55" s="6"/>
      <c r="DN55" s="6"/>
      <c r="DO55" s="6"/>
      <c r="DP55" s="6"/>
      <c r="DQ55" s="6"/>
      <c r="DR55" s="6"/>
      <c r="DS55" s="1023"/>
      <c r="DT55" s="6"/>
      <c r="DU55" s="6"/>
      <c r="DV55" s="6"/>
      <c r="DW55" s="1024"/>
      <c r="DX55" s="1024"/>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4"/>
      <c r="FE55" s="6"/>
      <c r="FF55" s="6"/>
      <c r="FG55" s="6"/>
      <c r="FH55" s="6"/>
      <c r="FI55" s="6"/>
      <c r="FJ55" s="6"/>
      <c r="FK55" s="6"/>
      <c r="FL55" s="6"/>
      <c r="FM55" s="64"/>
      <c r="FN55" s="64"/>
      <c r="FO55" s="64"/>
      <c r="FP55" s="6"/>
      <c r="FQ55" s="6"/>
      <c r="FR55" s="1019" t="s">
        <v>1214</v>
      </c>
      <c r="FS55" s="1019"/>
      <c r="FT55" s="1019"/>
      <c r="FU55" s="6"/>
      <c r="FV55" s="6"/>
      <c r="FW55" s="6"/>
      <c r="FX55" s="6"/>
      <c r="FY55" s="6"/>
      <c r="FZ55" s="6"/>
      <c r="GA55" s="6"/>
      <c r="GB55" s="6" t="s">
        <v>1734</v>
      </c>
      <c r="GC55" s="1028"/>
      <c r="GD55" s="1015"/>
      <c r="GE55" s="6"/>
      <c r="GF55" s="64"/>
      <c r="GG55" s="64"/>
      <c r="GH55" s="1722"/>
      <c r="GI55" s="1722"/>
      <c r="GJ55" s="1722"/>
      <c r="GK55" s="1722"/>
      <c r="GL55" s="1722"/>
      <c r="GM55" s="1722"/>
      <c r="GN55" s="1723"/>
      <c r="GO55" s="1723"/>
      <c r="GP55" s="1723"/>
      <c r="GQ55" s="1723"/>
      <c r="GR55" s="1723"/>
      <c r="GS55" s="1722"/>
      <c r="GT55" s="1723"/>
      <c r="GU55" s="1722"/>
      <c r="GV55" s="1723"/>
      <c r="GW55" s="1723"/>
      <c r="GX55" s="1723"/>
      <c r="GY55" s="1723"/>
      <c r="GZ55" s="1723"/>
      <c r="HA55" s="1723"/>
      <c r="HB55" s="1723"/>
      <c r="HC55" s="1722"/>
      <c r="HD55" s="1723"/>
      <c r="HE55" s="1722"/>
      <c r="HF55" s="1722"/>
      <c r="HG55" s="1722"/>
      <c r="HH55" s="1722"/>
      <c r="HI55" s="1722"/>
      <c r="HJ55" s="1722"/>
      <c r="HK55" s="1722"/>
      <c r="HL55" s="6"/>
      <c r="HM55" s="6"/>
      <c r="HN55" s="6"/>
      <c r="HO55" s="6"/>
      <c r="HP55" s="6"/>
      <c r="HQ55" s="6"/>
      <c r="HR55" s="6"/>
      <c r="HS55" s="6"/>
      <c r="HT55" s="6">
        <v>6</v>
      </c>
      <c r="HU55" s="6"/>
      <c r="HV55" s="6"/>
      <c r="HW55" s="6"/>
      <c r="HX55" s="6"/>
      <c r="HY55" s="6"/>
      <c r="HZ55" s="6"/>
      <c r="IA55" s="6"/>
      <c r="IB55" s="6"/>
      <c r="IC55" s="6"/>
      <c r="ID55" s="6"/>
      <c r="IE55" s="6"/>
      <c r="IF55" s="6"/>
      <c r="IG55" s="6"/>
      <c r="IH55" s="6"/>
      <c r="II55" s="6"/>
      <c r="IJ55" s="6"/>
      <c r="IK55" s="6"/>
      <c r="IL55" s="6"/>
      <c r="IM55" s="1028"/>
      <c r="IN55" s="6"/>
      <c r="IO55" s="1014"/>
      <c r="IP55" s="6"/>
      <c r="IQ55" s="6"/>
      <c r="IR55" s="6"/>
      <c r="IS55" s="6"/>
      <c r="IT55" s="6"/>
      <c r="IU55" s="6"/>
      <c r="IV55" s="6"/>
      <c r="IW55" s="6"/>
      <c r="IX55" s="6"/>
      <c r="IY55" s="6"/>
      <c r="IZ55" s="6"/>
      <c r="JA55" s="6"/>
      <c r="JB55" s="6"/>
      <c r="JC55" s="6"/>
      <c r="JD55" s="64"/>
      <c r="JE55" s="6"/>
      <c r="JF55" s="1688"/>
      <c r="JG55" s="1687"/>
      <c r="JH55" s="1687"/>
      <c r="JI55" s="1687"/>
      <c r="JJ55" s="6"/>
      <c r="JK55" s="6"/>
      <c r="JL55" s="6"/>
      <c r="JM55" s="6"/>
      <c r="JN55" s="6"/>
      <c r="JO55" s="6"/>
      <c r="JP55" s="6"/>
      <c r="JQ55" s="6"/>
      <c r="JR55" s="6"/>
      <c r="JS55" s="6"/>
      <c r="JT55" s="766"/>
      <c r="JU55" s="766"/>
      <c r="JV55" s="766"/>
      <c r="JW55" s="766"/>
      <c r="JX55" s="6"/>
      <c r="JY55" s="6"/>
      <c r="JZ55" s="6"/>
      <c r="KA55" s="6"/>
      <c r="KB55" s="6"/>
      <c r="KC55" s="6"/>
      <c r="KD55" s="6"/>
      <c r="KE55" s="6"/>
      <c r="KF55" s="6"/>
      <c r="KG55" s="6"/>
      <c r="KH55" s="6"/>
      <c r="KI55" s="6"/>
      <c r="KJ55" s="770"/>
      <c r="KK55" s="770"/>
      <c r="KL55" s="770"/>
      <c r="KM55" s="770"/>
      <c r="KN55" s="6"/>
      <c r="KO55" s="1688"/>
      <c r="KP55" s="6"/>
      <c r="KQ55" s="6"/>
      <c r="KR55" s="6"/>
      <c r="KS55" s="6"/>
      <c r="KT55" s="6"/>
      <c r="KU55" s="6"/>
      <c r="KV55" s="6"/>
      <c r="KW55" s="6"/>
      <c r="KX55" s="6"/>
      <c r="KY55" s="6"/>
      <c r="KZ55" s="6"/>
      <c r="LA55" s="6"/>
      <c r="LB55" s="6"/>
      <c r="LC55" s="6"/>
      <c r="LD55" s="6"/>
      <c r="LE55" s="6"/>
      <c r="LF55" s="6"/>
      <c r="LG55" s="6"/>
      <c r="LH55" s="6"/>
      <c r="LI55" s="6"/>
      <c r="LJ55" s="6"/>
      <c r="LK55" s="6"/>
      <c r="LL55" s="6"/>
      <c r="LM55" s="6"/>
      <c r="LN55" s="766"/>
      <c r="LO55" s="766"/>
      <c r="LP55" s="6"/>
      <c r="LQ55" s="1690"/>
      <c r="LR55" s="6"/>
      <c r="LS55" s="6"/>
      <c r="LT55" s="6"/>
      <c r="LU55" s="6"/>
      <c r="LV55" s="6"/>
      <c r="LW55" s="6"/>
      <c r="LX55" s="1693"/>
      <c r="LY55" s="766" t="str">
        <f t="shared" si="6"/>
        <v/>
      </c>
      <c r="LZ55" s="1694"/>
      <c r="MA55" s="1694"/>
      <c r="MB55" s="1694"/>
      <c r="MC55" s="1679">
        <f t="shared" si="1"/>
        <v>0</v>
      </c>
      <c r="MD55" s="1694"/>
      <c r="ME55" s="1694"/>
      <c r="MF55" s="1694"/>
      <c r="MG55" s="1680">
        <f t="shared" si="2"/>
        <v>0</v>
      </c>
      <c r="MH55" s="1690"/>
      <c r="MI55" s="64"/>
      <c r="MJ55" s="64"/>
      <c r="MK55" s="64"/>
      <c r="ML55" s="64"/>
      <c r="MM55" s="64"/>
      <c r="MN55" s="64"/>
      <c r="MO55" s="64"/>
      <c r="MP55" s="64"/>
      <c r="MQ55" s="64"/>
      <c r="MR55" s="64"/>
      <c r="MS55" s="64"/>
      <c r="MT55" s="64"/>
      <c r="MU55" s="64"/>
      <c r="MV55" s="64"/>
      <c r="MW55" s="64"/>
      <c r="MX55" s="64"/>
      <c r="MY55" s="1682">
        <f t="shared" si="3"/>
        <v>0</v>
      </c>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1687"/>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1026"/>
      <c r="RG55" s="6"/>
      <c r="RH55" s="64"/>
      <c r="RI55" s="6"/>
      <c r="RJ55" s="6" t="s">
        <v>13059</v>
      </c>
      <c r="RK55" s="6" t="s">
        <v>13042</v>
      </c>
      <c r="RL55" s="1691">
        <v>42902</v>
      </c>
      <c r="RM55" s="1714"/>
      <c r="RN55" s="1724"/>
      <c r="RO55" s="169" t="s">
        <v>11194</v>
      </c>
      <c r="RR55" s="93"/>
      <c r="RS55" s="6"/>
      <c r="RV55" s="6" t="s">
        <v>7419</v>
      </c>
      <c r="RW55" s="1020" t="s">
        <v>12398</v>
      </c>
      <c r="RX55" s="1020" t="s">
        <v>11217</v>
      </c>
      <c r="RZ55" s="1020" t="s">
        <v>7419</v>
      </c>
      <c r="SA55" s="6"/>
    </row>
    <row r="56" spans="1:495" s="1020" customFormat="1" ht="15" hidden="1" customHeight="1">
      <c r="A56" s="1013" t="s">
        <v>12383</v>
      </c>
      <c r="B56" s="1119" t="s">
        <v>12526</v>
      </c>
      <c r="C56" s="169" t="s">
        <v>11199</v>
      </c>
      <c r="D56" s="6" t="s">
        <v>11200</v>
      </c>
      <c r="E56" s="6" t="s">
        <v>11201</v>
      </c>
      <c r="F56" s="6" t="s">
        <v>28</v>
      </c>
      <c r="G56" s="6" t="s">
        <v>10</v>
      </c>
      <c r="H56" s="6"/>
      <c r="I56" s="1012" t="s">
        <v>11202</v>
      </c>
      <c r="J56" s="6" t="s">
        <v>11200</v>
      </c>
      <c r="K56" s="6" t="s">
        <v>14105</v>
      </c>
      <c r="L56" s="6" t="s">
        <v>14108</v>
      </c>
      <c r="M56" s="6"/>
      <c r="N56" s="6" t="s">
        <v>11151</v>
      </c>
      <c r="O56" s="6" t="s">
        <v>11092</v>
      </c>
      <c r="P56" s="843"/>
      <c r="Q56" s="1086"/>
      <c r="R56" s="1015"/>
      <c r="S56" s="6"/>
      <c r="T56" s="6"/>
      <c r="U56" s="1016"/>
      <c r="V56" s="6"/>
      <c r="W56" s="1016"/>
      <c r="X56" s="1014"/>
      <c r="Y56" s="6"/>
      <c r="Z56" s="6"/>
      <c r="AA56" s="6"/>
      <c r="AB56" s="6"/>
      <c r="AC56" s="6"/>
      <c r="AD56" s="6"/>
      <c r="AE56" s="6"/>
      <c r="AF56" s="6"/>
      <c r="AG56" s="6"/>
      <c r="AH56" s="6"/>
      <c r="AI56" s="6"/>
      <c r="AJ56" s="6"/>
      <c r="AK56" s="6" t="s">
        <v>1899</v>
      </c>
      <c r="AL56" s="124"/>
      <c r="AM56" s="45"/>
      <c r="AN56" s="47"/>
      <c r="AO56" s="6"/>
      <c r="AP56" s="6"/>
      <c r="AQ56" s="6"/>
      <c r="AR56" s="6"/>
      <c r="AS56" s="6" t="s">
        <v>1207</v>
      </c>
      <c r="AT56" s="6"/>
      <c r="AU56" s="6"/>
      <c r="AV56" s="6" t="s">
        <v>1208</v>
      </c>
      <c r="AW56" s="6"/>
      <c r="AX56" s="1032"/>
      <c r="AY56" s="6"/>
      <c r="AZ56" s="6"/>
      <c r="BA56" s="6"/>
      <c r="BB56" s="6"/>
      <c r="BC56" s="6" t="s">
        <v>11177</v>
      </c>
      <c r="BD56" s="6"/>
      <c r="BE56" s="6"/>
      <c r="BF56" s="64"/>
      <c r="BG56" s="64"/>
      <c r="BH56" s="6"/>
      <c r="BI56" s="6"/>
      <c r="BJ56" s="6"/>
      <c r="BK56" s="6"/>
      <c r="BL56" s="6"/>
      <c r="BM56" s="6"/>
      <c r="BN56" s="6"/>
      <c r="BO56" s="1019"/>
      <c r="BP56" s="1033"/>
      <c r="BQ56" s="46"/>
      <c r="BR56" s="47"/>
      <c r="BS56" s="6"/>
      <c r="BT56" s="1019"/>
      <c r="BU56" s="1019"/>
      <c r="BV56" s="1019"/>
      <c r="BW56" s="1019"/>
      <c r="BX56" s="96"/>
      <c r="BY56" s="6"/>
      <c r="BZ56" s="64"/>
      <c r="CA56" s="6"/>
      <c r="CB56" s="6"/>
      <c r="CC56" s="6"/>
      <c r="CD56" s="6"/>
      <c r="CE56" s="6"/>
      <c r="CF56" s="1021"/>
      <c r="CG56" s="1021"/>
      <c r="CH56" s="6"/>
      <c r="CI56" s="6"/>
      <c r="CJ56" s="6"/>
      <c r="CK56" s="6"/>
      <c r="CL56" s="6"/>
      <c r="CM56" s="6"/>
      <c r="CN56" s="6"/>
      <c r="CO56" s="6"/>
      <c r="CP56" s="6"/>
      <c r="CQ56" s="6"/>
      <c r="CR56" s="64"/>
      <c r="CS56" s="6"/>
      <c r="CT56" s="6"/>
      <c r="CU56" s="1022"/>
      <c r="CV56" s="6"/>
      <c r="CW56" s="6"/>
      <c r="CX56" s="6"/>
      <c r="CY56" s="6"/>
      <c r="CZ56" s="6"/>
      <c r="DA56" s="6"/>
      <c r="DB56" s="6"/>
      <c r="DC56" s="6"/>
      <c r="DD56" s="6"/>
      <c r="DE56" s="6"/>
      <c r="DF56" s="6"/>
      <c r="DG56" s="6"/>
      <c r="DH56" s="6"/>
      <c r="DI56" s="6"/>
      <c r="DJ56" s="6"/>
      <c r="DK56" s="6"/>
      <c r="DL56" s="6"/>
      <c r="DM56" s="6"/>
      <c r="DN56" s="6"/>
      <c r="DO56" s="6"/>
      <c r="DP56" s="6"/>
      <c r="DQ56" s="6"/>
      <c r="DR56" s="6"/>
      <c r="DS56" s="1023"/>
      <c r="DT56" s="6"/>
      <c r="DU56" s="6"/>
      <c r="DV56" s="6"/>
      <c r="DW56" s="1024"/>
      <c r="DX56" s="1024"/>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4"/>
      <c r="FE56" s="6"/>
      <c r="FF56" s="6"/>
      <c r="FG56" s="6"/>
      <c r="FH56" s="6"/>
      <c r="FI56" s="6"/>
      <c r="FJ56" s="6"/>
      <c r="FK56" s="6"/>
      <c r="FL56" s="6"/>
      <c r="FM56" s="64"/>
      <c r="FN56" s="64"/>
      <c r="FO56" s="64"/>
      <c r="FP56" s="6"/>
      <c r="FQ56" s="6"/>
      <c r="FR56" s="1019"/>
      <c r="FS56" s="1019"/>
      <c r="FT56" s="1019"/>
      <c r="FU56" s="6"/>
      <c r="FV56" s="6"/>
      <c r="FW56" s="6"/>
      <c r="FX56" s="6"/>
      <c r="FY56" s="6"/>
      <c r="FZ56" s="6"/>
      <c r="GA56" s="6"/>
      <c r="GB56" s="6"/>
      <c r="GC56" s="1028"/>
      <c r="GD56" s="1015"/>
      <c r="GE56" s="6"/>
      <c r="GF56" s="64"/>
      <c r="GG56" s="64"/>
      <c r="GH56" s="1722"/>
      <c r="GI56" s="1722"/>
      <c r="GJ56" s="1722"/>
      <c r="GK56" s="1722"/>
      <c r="GL56" s="1722"/>
      <c r="GM56" s="1722"/>
      <c r="GN56" s="1723"/>
      <c r="GO56" s="1723"/>
      <c r="GP56" s="1723"/>
      <c r="GQ56" s="1723"/>
      <c r="GR56" s="1723"/>
      <c r="GS56" s="1722"/>
      <c r="GT56" s="1723"/>
      <c r="GU56" s="1722"/>
      <c r="GV56" s="1723"/>
      <c r="GW56" s="1723"/>
      <c r="GX56" s="1723"/>
      <c r="GY56" s="1723"/>
      <c r="GZ56" s="1723"/>
      <c r="HA56" s="1723"/>
      <c r="HB56" s="1723"/>
      <c r="HC56" s="1722"/>
      <c r="HD56" s="1723"/>
      <c r="HE56" s="1722"/>
      <c r="HF56" s="1722"/>
      <c r="HG56" s="1722"/>
      <c r="HH56" s="1722"/>
      <c r="HI56" s="1722"/>
      <c r="HJ56" s="1722"/>
      <c r="HK56" s="1722"/>
      <c r="HL56" s="6"/>
      <c r="HM56" s="6"/>
      <c r="HN56" s="6"/>
      <c r="HO56" s="6"/>
      <c r="HP56" s="6"/>
      <c r="HQ56" s="6"/>
      <c r="HR56" s="6">
        <v>1</v>
      </c>
      <c r="HS56" s="6"/>
      <c r="HT56" s="6">
        <v>2</v>
      </c>
      <c r="HU56" s="6"/>
      <c r="HV56" s="6"/>
      <c r="HW56" s="6"/>
      <c r="HX56" s="6"/>
      <c r="HY56" s="6"/>
      <c r="HZ56" s="6"/>
      <c r="IA56" s="6"/>
      <c r="IB56" s="6"/>
      <c r="IC56" s="6"/>
      <c r="ID56" s="6"/>
      <c r="IE56" s="6"/>
      <c r="IF56" s="6"/>
      <c r="IG56" s="6"/>
      <c r="IH56" s="6"/>
      <c r="II56" s="6"/>
      <c r="IJ56" s="6"/>
      <c r="IK56" s="6"/>
      <c r="IL56" s="6"/>
      <c r="IM56" s="1028"/>
      <c r="IN56" s="6"/>
      <c r="IO56" s="1014"/>
      <c r="IP56" s="6"/>
      <c r="IQ56" s="6"/>
      <c r="IR56" s="6"/>
      <c r="IS56" s="6"/>
      <c r="IT56" s="6"/>
      <c r="IU56" s="6"/>
      <c r="IV56" s="6"/>
      <c r="IW56" s="6"/>
      <c r="IX56" s="6"/>
      <c r="IY56" s="6"/>
      <c r="IZ56" s="6"/>
      <c r="JA56" s="6"/>
      <c r="JB56" s="6"/>
      <c r="JC56" s="6"/>
      <c r="JD56" s="64"/>
      <c r="JE56" s="6"/>
      <c r="JF56" s="1688"/>
      <c r="JG56" s="1687"/>
      <c r="JH56" s="1687"/>
      <c r="JI56" s="1687"/>
      <c r="JJ56" s="6"/>
      <c r="JK56" s="6"/>
      <c r="JL56" s="6"/>
      <c r="JM56" s="6"/>
      <c r="JN56" s="6"/>
      <c r="JO56" s="6"/>
      <c r="JP56" s="6"/>
      <c r="JQ56" s="6"/>
      <c r="JR56" s="6"/>
      <c r="JS56" s="6"/>
      <c r="JT56" s="766"/>
      <c r="JU56" s="766"/>
      <c r="JV56" s="766"/>
      <c r="JW56" s="766"/>
      <c r="JX56" s="6"/>
      <c r="JY56" s="6"/>
      <c r="JZ56" s="6"/>
      <c r="KA56" s="6"/>
      <c r="KB56" s="6"/>
      <c r="KC56" s="6"/>
      <c r="KD56" s="6"/>
      <c r="KE56" s="6"/>
      <c r="KF56" s="6"/>
      <c r="KG56" s="6"/>
      <c r="KH56" s="6"/>
      <c r="KI56" s="6"/>
      <c r="KJ56" s="770"/>
      <c r="KK56" s="770"/>
      <c r="KL56" s="770"/>
      <c r="KM56" s="770"/>
      <c r="KN56" s="6"/>
      <c r="KO56" s="1688"/>
      <c r="KP56" s="6"/>
      <c r="KQ56" s="6"/>
      <c r="KR56" s="6"/>
      <c r="KS56" s="6"/>
      <c r="KT56" s="6"/>
      <c r="KU56" s="6"/>
      <c r="KV56" s="6"/>
      <c r="KW56" s="6"/>
      <c r="KX56" s="6"/>
      <c r="KY56" s="6"/>
      <c r="KZ56" s="6"/>
      <c r="LA56" s="6"/>
      <c r="LB56" s="6"/>
      <c r="LC56" s="6"/>
      <c r="LD56" s="6"/>
      <c r="LE56" s="6"/>
      <c r="LF56" s="6"/>
      <c r="LG56" s="6"/>
      <c r="LH56" s="6"/>
      <c r="LI56" s="6"/>
      <c r="LJ56" s="6"/>
      <c r="LK56" s="6"/>
      <c r="LL56" s="6"/>
      <c r="LM56" s="6"/>
      <c r="LN56" s="766"/>
      <c r="LO56" s="766"/>
      <c r="LP56" s="6"/>
      <c r="LQ56" s="1690"/>
      <c r="LR56" s="6"/>
      <c r="LS56" s="6"/>
      <c r="LT56" s="6"/>
      <c r="LU56" s="6"/>
      <c r="LV56" s="6"/>
      <c r="LW56" s="6"/>
      <c r="LX56" s="1693"/>
      <c r="LY56" s="766" t="str">
        <f t="shared" si="6"/>
        <v/>
      </c>
      <c r="LZ56" s="1694"/>
      <c r="MA56" s="1694"/>
      <c r="MB56" s="1694"/>
      <c r="MC56" s="1679">
        <f t="shared" si="1"/>
        <v>0</v>
      </c>
      <c r="MD56" s="1694"/>
      <c r="ME56" s="1694"/>
      <c r="MF56" s="1694"/>
      <c r="MG56" s="1680">
        <f t="shared" si="2"/>
        <v>0</v>
      </c>
      <c r="MH56" s="1690"/>
      <c r="MI56" s="64"/>
      <c r="MJ56" s="64"/>
      <c r="MK56" s="64"/>
      <c r="ML56" s="64"/>
      <c r="MM56" s="64"/>
      <c r="MN56" s="64"/>
      <c r="MO56" s="64"/>
      <c r="MP56" s="64"/>
      <c r="MQ56" s="64"/>
      <c r="MR56" s="64"/>
      <c r="MS56" s="64"/>
      <c r="MT56" s="64"/>
      <c r="MU56" s="64"/>
      <c r="MV56" s="64"/>
      <c r="MW56" s="64"/>
      <c r="MX56" s="64"/>
      <c r="MY56" s="1682">
        <f t="shared" si="3"/>
        <v>0</v>
      </c>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1687"/>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1026"/>
      <c r="RG56" s="6"/>
      <c r="RH56" s="64"/>
      <c r="RI56" s="6"/>
      <c r="RJ56" s="6" t="s">
        <v>13060</v>
      </c>
      <c r="RK56" s="6"/>
      <c r="RL56" s="1691"/>
      <c r="RM56" s="1714" t="s">
        <v>13011</v>
      </c>
      <c r="RN56" s="1724">
        <v>42901</v>
      </c>
      <c r="RO56" s="169" t="s">
        <v>11199</v>
      </c>
      <c r="RR56" s="93"/>
      <c r="RS56" s="6"/>
      <c r="RV56" s="6" t="s">
        <v>12383</v>
      </c>
      <c r="RW56" s="1020" t="s">
        <v>11929</v>
      </c>
      <c r="RX56" s="1020" t="s">
        <v>11186</v>
      </c>
      <c r="SA56" s="6"/>
    </row>
    <row r="57" spans="1:495" s="1020" customFormat="1" ht="15" hidden="1" customHeight="1">
      <c r="A57" s="861" t="s">
        <v>12383</v>
      </c>
      <c r="B57" s="1031" t="s">
        <v>11931</v>
      </c>
      <c r="C57" s="169" t="s">
        <v>11204</v>
      </c>
      <c r="D57" s="6" t="s">
        <v>11205</v>
      </c>
      <c r="E57" s="6" t="s">
        <v>11162</v>
      </c>
      <c r="F57" s="6" t="s">
        <v>20</v>
      </c>
      <c r="G57" s="6" t="s">
        <v>18</v>
      </c>
      <c r="H57" s="6"/>
      <c r="I57" s="1012" t="s">
        <v>11206</v>
      </c>
      <c r="J57" s="6" t="s">
        <v>11207</v>
      </c>
      <c r="K57" s="6" t="s">
        <v>14109</v>
      </c>
      <c r="L57" s="6" t="s">
        <v>14110</v>
      </c>
      <c r="M57" s="6"/>
      <c r="N57" s="6" t="s">
        <v>11151</v>
      </c>
      <c r="O57" s="6" t="s">
        <v>11092</v>
      </c>
      <c r="P57" s="843" t="s">
        <v>11208</v>
      </c>
      <c r="Q57" s="1086">
        <v>33075</v>
      </c>
      <c r="R57" s="1015">
        <v>26</v>
      </c>
      <c r="S57" s="6" t="s">
        <v>10</v>
      </c>
      <c r="T57" s="6"/>
      <c r="U57" s="1016" t="s">
        <v>11209</v>
      </c>
      <c r="V57" s="6" t="s">
        <v>722</v>
      </c>
      <c r="W57" s="1016" t="s">
        <v>11205</v>
      </c>
      <c r="X57" s="1014">
        <v>33075</v>
      </c>
      <c r="Y57" s="6" t="s">
        <v>11162</v>
      </c>
      <c r="Z57" s="6" t="s">
        <v>708</v>
      </c>
      <c r="AA57" s="6" t="s">
        <v>709</v>
      </c>
      <c r="AB57" s="6" t="s">
        <v>710</v>
      </c>
      <c r="AC57" s="6"/>
      <c r="AD57" s="6" t="s">
        <v>711</v>
      </c>
      <c r="AE57" s="6"/>
      <c r="AF57" s="6" t="s">
        <v>712</v>
      </c>
      <c r="AG57" s="6"/>
      <c r="AH57" s="6"/>
      <c r="AI57" s="6"/>
      <c r="AJ57" s="6"/>
      <c r="AK57" s="6" t="s">
        <v>1899</v>
      </c>
      <c r="AL57" s="124"/>
      <c r="AM57" s="45"/>
      <c r="AN57" s="47"/>
      <c r="AO57" s="6"/>
      <c r="AP57" s="6"/>
      <c r="AQ57" s="6"/>
      <c r="AR57" s="6"/>
      <c r="AS57" s="6" t="s">
        <v>1207</v>
      </c>
      <c r="AT57" s="6"/>
      <c r="AU57" s="6"/>
      <c r="AV57" s="6" t="s">
        <v>1208</v>
      </c>
      <c r="AW57" s="6"/>
      <c r="AX57" s="1032"/>
      <c r="AY57" s="6"/>
      <c r="AZ57" s="6"/>
      <c r="BA57" s="6"/>
      <c r="BB57" s="6"/>
      <c r="BC57" s="6" t="s">
        <v>11177</v>
      </c>
      <c r="BD57" s="6"/>
      <c r="BE57" s="6"/>
      <c r="BF57" s="64"/>
      <c r="BG57" s="64"/>
      <c r="BH57" s="6"/>
      <c r="BI57" s="6"/>
      <c r="BJ57" s="6"/>
      <c r="BK57" s="6" t="s">
        <v>1095</v>
      </c>
      <c r="BL57" s="6" t="s">
        <v>11208</v>
      </c>
      <c r="BM57" s="6" t="s">
        <v>1096</v>
      </c>
      <c r="BN57" s="6" t="s">
        <v>1230</v>
      </c>
      <c r="BO57" s="1019" t="s">
        <v>1246</v>
      </c>
      <c r="BP57" s="1033">
        <v>16.875</v>
      </c>
      <c r="BQ57" s="46">
        <v>2.4750000000000001</v>
      </c>
      <c r="BR57" s="47">
        <f>BQ57/BP57</f>
        <v>0.14666666666666667</v>
      </c>
      <c r="BS57" s="766" t="s">
        <v>1242</v>
      </c>
      <c r="BT57" s="1019" t="s">
        <v>2904</v>
      </c>
      <c r="BU57" s="1019" t="s">
        <v>1249</v>
      </c>
      <c r="BV57" s="1019" t="s">
        <v>1247</v>
      </c>
      <c r="BW57" s="1019"/>
      <c r="BX57" s="96"/>
      <c r="BY57" s="6"/>
      <c r="BZ57" s="64"/>
      <c r="CA57" s="6"/>
      <c r="CB57" s="6"/>
      <c r="CC57" s="6"/>
      <c r="CD57" s="6"/>
      <c r="CE57" s="6"/>
      <c r="CF57" s="1021"/>
      <c r="CG57" s="1021"/>
      <c r="CH57" s="6"/>
      <c r="CI57" s="6"/>
      <c r="CJ57" s="6"/>
      <c r="CK57" s="6"/>
      <c r="CL57" s="6"/>
      <c r="CM57" s="6"/>
      <c r="CN57" s="6"/>
      <c r="CO57" s="6"/>
      <c r="CP57" s="6"/>
      <c r="CQ57" s="6"/>
      <c r="CR57" s="64"/>
      <c r="CS57" s="6"/>
      <c r="CT57" s="6"/>
      <c r="CU57" s="1022"/>
      <c r="CV57" s="6"/>
      <c r="CW57" s="6"/>
      <c r="CX57" s="6"/>
      <c r="CY57" s="6"/>
      <c r="CZ57" s="6"/>
      <c r="DA57" s="6"/>
      <c r="DB57" s="6"/>
      <c r="DC57" s="6"/>
      <c r="DD57" s="6"/>
      <c r="DE57" s="6"/>
      <c r="DF57" s="6"/>
      <c r="DG57" s="6"/>
      <c r="DH57" s="6"/>
      <c r="DI57" s="6"/>
      <c r="DJ57" s="6"/>
      <c r="DK57" s="6"/>
      <c r="DL57" s="6"/>
      <c r="DM57" s="6"/>
      <c r="DN57" s="6"/>
      <c r="DO57" s="6"/>
      <c r="DP57" s="6"/>
      <c r="DQ57" s="6"/>
      <c r="DR57" s="6"/>
      <c r="DS57" s="1023"/>
      <c r="DT57" s="6"/>
      <c r="DU57" s="6"/>
      <c r="DV57" s="6"/>
      <c r="DW57" s="1024"/>
      <c r="DX57" s="1024"/>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4"/>
      <c r="FE57" s="6"/>
      <c r="FF57" s="6"/>
      <c r="FG57" s="6"/>
      <c r="FH57" s="6"/>
      <c r="FI57" s="6"/>
      <c r="FJ57" s="6"/>
      <c r="FK57" s="6"/>
      <c r="FL57" s="6"/>
      <c r="FM57" s="64"/>
      <c r="FN57" s="64"/>
      <c r="FO57" s="64"/>
      <c r="FP57" s="6"/>
      <c r="FQ57" s="6"/>
      <c r="FR57" s="1019"/>
      <c r="FS57" s="1019"/>
      <c r="FT57" s="1019"/>
      <c r="FU57" s="6"/>
      <c r="FV57" s="6"/>
      <c r="FW57" s="6"/>
      <c r="FX57" s="6"/>
      <c r="FY57" s="6"/>
      <c r="FZ57" s="6"/>
      <c r="GA57" s="6"/>
      <c r="GB57" s="6"/>
      <c r="GC57" s="1028"/>
      <c r="GD57" s="1015"/>
      <c r="GE57" s="6"/>
      <c r="GF57" s="64"/>
      <c r="GG57" s="64"/>
      <c r="GH57" s="1722"/>
      <c r="GI57" s="1722"/>
      <c r="GJ57" s="1722"/>
      <c r="GK57" s="1722"/>
      <c r="GL57" s="1722"/>
      <c r="GM57" s="1722"/>
      <c r="GN57" s="1723"/>
      <c r="GO57" s="1723"/>
      <c r="GP57" s="1723"/>
      <c r="GQ57" s="1723"/>
      <c r="GR57" s="1723"/>
      <c r="GS57" s="1722"/>
      <c r="GT57" s="1723"/>
      <c r="GU57" s="1722"/>
      <c r="GV57" s="1723"/>
      <c r="GW57" s="1723"/>
      <c r="GX57" s="1723"/>
      <c r="GY57" s="1723"/>
      <c r="GZ57" s="1723"/>
      <c r="HA57" s="1723"/>
      <c r="HB57" s="1723"/>
      <c r="HC57" s="1722"/>
      <c r="HD57" s="1723"/>
      <c r="HE57" s="1722"/>
      <c r="HF57" s="1722"/>
      <c r="HG57" s="1722"/>
      <c r="HH57" s="1722"/>
      <c r="HI57" s="1722"/>
      <c r="HJ57" s="1722"/>
      <c r="HK57" s="1722"/>
      <c r="HL57" s="6"/>
      <c r="HM57" s="6"/>
      <c r="HN57" s="6"/>
      <c r="HO57" s="6"/>
      <c r="HP57" s="6"/>
      <c r="HQ57" s="6"/>
      <c r="HR57" s="6"/>
      <c r="HS57" s="6"/>
      <c r="HT57" s="6"/>
      <c r="HU57" s="6"/>
      <c r="HV57" s="6"/>
      <c r="HW57" s="6"/>
      <c r="HX57" s="6"/>
      <c r="HY57" s="6"/>
      <c r="HZ57" s="6"/>
      <c r="IA57" s="6"/>
      <c r="IB57" s="6" t="s">
        <v>1207</v>
      </c>
      <c r="IC57" s="6"/>
      <c r="ID57" s="6"/>
      <c r="IE57" s="6"/>
      <c r="IF57" s="6"/>
      <c r="IG57" s="6"/>
      <c r="IH57" s="6"/>
      <c r="II57" s="6"/>
      <c r="IJ57" s="6"/>
      <c r="IK57" s="6"/>
      <c r="IL57" s="6"/>
      <c r="IM57" s="1028"/>
      <c r="IN57" s="6"/>
      <c r="IO57" s="1014"/>
      <c r="IP57" s="6"/>
      <c r="IQ57" s="6"/>
      <c r="IR57" s="6"/>
      <c r="IS57" s="6"/>
      <c r="IT57" s="6"/>
      <c r="IU57" s="6"/>
      <c r="IV57" s="6"/>
      <c r="IW57" s="6"/>
      <c r="IX57" s="6"/>
      <c r="IY57" s="6"/>
      <c r="IZ57" s="6"/>
      <c r="JA57" s="6"/>
      <c r="JB57" s="6"/>
      <c r="JC57" s="6"/>
      <c r="JD57" s="64"/>
      <c r="JE57" s="6"/>
      <c r="JF57" s="1688"/>
      <c r="JG57" s="1687"/>
      <c r="JH57" s="1687"/>
      <c r="JI57" s="1687"/>
      <c r="JJ57" s="6"/>
      <c r="JK57" s="6"/>
      <c r="JL57" s="6"/>
      <c r="JM57" s="6"/>
      <c r="JN57" s="6"/>
      <c r="JO57" s="6"/>
      <c r="JP57" s="6"/>
      <c r="JQ57" s="6"/>
      <c r="JR57" s="6"/>
      <c r="JS57" s="6"/>
      <c r="JT57" s="766"/>
      <c r="JU57" s="766"/>
      <c r="JV57" s="766"/>
      <c r="JW57" s="766"/>
      <c r="JX57" s="6"/>
      <c r="JY57" s="6"/>
      <c r="JZ57" s="6"/>
      <c r="KA57" s="6"/>
      <c r="KB57" s="6"/>
      <c r="KC57" s="6"/>
      <c r="KD57" s="6"/>
      <c r="KE57" s="6"/>
      <c r="KF57" s="6"/>
      <c r="KG57" s="6"/>
      <c r="KH57" s="6"/>
      <c r="KI57" s="6"/>
      <c r="KJ57" s="770"/>
      <c r="KK57" s="770"/>
      <c r="KL57" s="770"/>
      <c r="KM57" s="770"/>
      <c r="KN57" s="6"/>
      <c r="KO57" s="1688"/>
      <c r="KP57" s="6"/>
      <c r="KQ57" s="6"/>
      <c r="KR57" s="6"/>
      <c r="KS57" s="6"/>
      <c r="KT57" s="6"/>
      <c r="KU57" s="6"/>
      <c r="KV57" s="6"/>
      <c r="KW57" s="6"/>
      <c r="KX57" s="6"/>
      <c r="KY57" s="6"/>
      <c r="KZ57" s="6"/>
      <c r="LA57" s="6"/>
      <c r="LB57" s="6"/>
      <c r="LC57" s="6"/>
      <c r="LD57" s="6"/>
      <c r="LE57" s="6"/>
      <c r="LF57" s="6"/>
      <c r="LG57" s="6"/>
      <c r="LH57" s="6"/>
      <c r="LI57" s="6"/>
      <c r="LJ57" s="6"/>
      <c r="LK57" s="6"/>
      <c r="LL57" s="6"/>
      <c r="LM57" s="6"/>
      <c r="LN57" s="766"/>
      <c r="LO57" s="766"/>
      <c r="LP57" s="6"/>
      <c r="LQ57" s="1690"/>
      <c r="LR57" s="6"/>
      <c r="LS57" s="6"/>
      <c r="LT57" s="6"/>
      <c r="LU57" s="6"/>
      <c r="LV57" s="6"/>
      <c r="LW57" s="6"/>
      <c r="LX57" s="1693"/>
      <c r="LY57" s="766" t="str">
        <f t="shared" si="6"/>
        <v/>
      </c>
      <c r="LZ57" s="1694"/>
      <c r="MA57" s="1694"/>
      <c r="MB57" s="1694"/>
      <c r="MC57" s="1679">
        <f t="shared" si="1"/>
        <v>0</v>
      </c>
      <c r="MD57" s="1694"/>
      <c r="ME57" s="1694"/>
      <c r="MF57" s="1694"/>
      <c r="MG57" s="1680">
        <f t="shared" si="2"/>
        <v>0</v>
      </c>
      <c r="MH57" s="1690"/>
      <c r="MI57" s="64"/>
      <c r="MJ57" s="64"/>
      <c r="MK57" s="64"/>
      <c r="ML57" s="64"/>
      <c r="MM57" s="64"/>
      <c r="MN57" s="64"/>
      <c r="MO57" s="64"/>
      <c r="MP57" s="64"/>
      <c r="MQ57" s="64"/>
      <c r="MR57" s="64"/>
      <c r="MS57" s="64"/>
      <c r="MT57" s="64"/>
      <c r="MU57" s="64"/>
      <c r="MV57" s="64"/>
      <c r="MW57" s="64"/>
      <c r="MX57" s="64"/>
      <c r="MY57" s="1682">
        <f t="shared" si="3"/>
        <v>0</v>
      </c>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1687"/>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1026"/>
      <c r="RG57" s="6"/>
      <c r="RH57" s="64"/>
      <c r="RI57" s="6"/>
      <c r="RJ57" s="6" t="s">
        <v>13061</v>
      </c>
      <c r="RK57" s="6"/>
      <c r="RL57" s="1691"/>
      <c r="RM57" s="1714"/>
      <c r="RN57" s="1724"/>
      <c r="RO57" s="169" t="s">
        <v>11204</v>
      </c>
      <c r="RR57" s="93"/>
      <c r="RS57" s="6"/>
      <c r="RV57" s="6" t="s">
        <v>12383</v>
      </c>
      <c r="RW57" s="1020" t="s">
        <v>11930</v>
      </c>
      <c r="RX57" s="1020" t="s">
        <v>11194</v>
      </c>
      <c r="RZ57" s="1020" t="s">
        <v>7419</v>
      </c>
      <c r="SA57" s="6"/>
    </row>
    <row r="58" spans="1:495" s="1020" customFormat="1" ht="15" hidden="1" customHeight="1">
      <c r="A58" s="861" t="s">
        <v>12383</v>
      </c>
      <c r="B58" s="1031" t="s">
        <v>11932</v>
      </c>
      <c r="C58" s="169" t="s">
        <v>11210</v>
      </c>
      <c r="D58" s="6" t="s">
        <v>11211</v>
      </c>
      <c r="E58" s="6" t="s">
        <v>11162</v>
      </c>
      <c r="F58" s="6" t="s">
        <v>20</v>
      </c>
      <c r="G58" s="6" t="s">
        <v>18</v>
      </c>
      <c r="H58" s="6"/>
      <c r="I58" s="1012" t="s">
        <v>11212</v>
      </c>
      <c r="J58" s="6" t="s">
        <v>11213</v>
      </c>
      <c r="K58" s="6" t="s">
        <v>14111</v>
      </c>
      <c r="L58" s="6" t="s">
        <v>14112</v>
      </c>
      <c r="M58" s="6"/>
      <c r="N58" s="6"/>
      <c r="O58" s="6"/>
      <c r="P58" s="843" t="s">
        <v>11214</v>
      </c>
      <c r="Q58" s="1086">
        <v>31175</v>
      </c>
      <c r="R58" s="1015">
        <v>33</v>
      </c>
      <c r="S58" s="6" t="s">
        <v>10</v>
      </c>
      <c r="T58" s="6"/>
      <c r="U58" s="1016" t="s">
        <v>11212</v>
      </c>
      <c r="V58" s="6" t="s">
        <v>722</v>
      </c>
      <c r="W58" s="1016" t="s">
        <v>11215</v>
      </c>
      <c r="X58" s="1014">
        <v>29638</v>
      </c>
      <c r="Y58" s="6" t="s">
        <v>11162</v>
      </c>
      <c r="Z58" s="6" t="s">
        <v>708</v>
      </c>
      <c r="AA58" s="6" t="s">
        <v>709</v>
      </c>
      <c r="AB58" s="6" t="s">
        <v>7273</v>
      </c>
      <c r="AC58" s="6" t="s">
        <v>724</v>
      </c>
      <c r="AD58" s="6" t="s">
        <v>711</v>
      </c>
      <c r="AE58" s="6"/>
      <c r="AF58" s="6"/>
      <c r="AG58" s="6"/>
      <c r="AH58" s="6"/>
      <c r="AI58" s="6"/>
      <c r="AJ58" s="6"/>
      <c r="AK58" s="6" t="s">
        <v>1899</v>
      </c>
      <c r="AL58" s="124"/>
      <c r="AM58" s="45"/>
      <c r="AN58" s="47"/>
      <c r="AO58" s="6"/>
      <c r="AP58" s="6"/>
      <c r="AQ58" s="6"/>
      <c r="AR58" s="6"/>
      <c r="AS58" s="6" t="s">
        <v>1207</v>
      </c>
      <c r="AT58" s="6"/>
      <c r="AU58" s="6"/>
      <c r="AV58" s="6" t="s">
        <v>1208</v>
      </c>
      <c r="AW58" s="6"/>
      <c r="AX58" s="1032"/>
      <c r="AY58" s="6"/>
      <c r="AZ58" s="6"/>
      <c r="BA58" s="6"/>
      <c r="BB58" s="6"/>
      <c r="BC58" s="6" t="s">
        <v>11177</v>
      </c>
      <c r="BD58" s="6"/>
      <c r="BE58" s="6"/>
      <c r="BF58" s="64"/>
      <c r="BG58" s="64"/>
      <c r="BH58" s="6"/>
      <c r="BI58" s="6"/>
      <c r="BJ58" s="6"/>
      <c r="BK58" s="6" t="s">
        <v>1095</v>
      </c>
      <c r="BL58" s="6" t="s">
        <v>11214</v>
      </c>
      <c r="BM58" s="6" t="s">
        <v>1096</v>
      </c>
      <c r="BN58" s="6" t="s">
        <v>1230</v>
      </c>
      <c r="BO58" s="766" t="s">
        <v>1246</v>
      </c>
      <c r="BP58" s="1033">
        <v>9.19</v>
      </c>
      <c r="BQ58" s="46">
        <v>3.77</v>
      </c>
      <c r="BR58" s="47">
        <f>BQ58/BP58</f>
        <v>0.41022850924918391</v>
      </c>
      <c r="BS58" s="6" t="s">
        <v>1149</v>
      </c>
      <c r="BT58" s="1019" t="s">
        <v>2904</v>
      </c>
      <c r="BU58" s="1019" t="s">
        <v>11216</v>
      </c>
      <c r="BV58" s="1019" t="s">
        <v>1247</v>
      </c>
      <c r="BW58" s="1019">
        <v>2012</v>
      </c>
      <c r="BX58" s="96"/>
      <c r="BY58" s="6" t="s">
        <v>1207</v>
      </c>
      <c r="BZ58" s="64"/>
      <c r="CA58" s="6"/>
      <c r="CB58" s="6"/>
      <c r="CC58" s="6"/>
      <c r="CD58" s="6"/>
      <c r="CE58" s="6"/>
      <c r="CF58" s="1021"/>
      <c r="CG58" s="1021"/>
      <c r="CH58" s="6"/>
      <c r="CI58" s="6"/>
      <c r="CJ58" s="6"/>
      <c r="CK58" s="6"/>
      <c r="CL58" s="6"/>
      <c r="CM58" s="6"/>
      <c r="CN58" s="6"/>
      <c r="CO58" s="6"/>
      <c r="CP58" s="6"/>
      <c r="CQ58" s="6"/>
      <c r="CR58" s="64"/>
      <c r="CS58" s="6"/>
      <c r="CT58" s="6"/>
      <c r="CU58" s="1022"/>
      <c r="CV58" s="6"/>
      <c r="CW58" s="6"/>
      <c r="CX58" s="6"/>
      <c r="CY58" s="6"/>
      <c r="CZ58" s="6"/>
      <c r="DA58" s="6"/>
      <c r="DB58" s="6"/>
      <c r="DC58" s="6"/>
      <c r="DD58" s="6"/>
      <c r="DE58" s="6"/>
      <c r="DF58" s="6"/>
      <c r="DG58" s="6"/>
      <c r="DH58" s="6"/>
      <c r="DI58" s="6"/>
      <c r="DJ58" s="6"/>
      <c r="DK58" s="6"/>
      <c r="DL58" s="6"/>
      <c r="DM58" s="6"/>
      <c r="DN58" s="6"/>
      <c r="DO58" s="6"/>
      <c r="DP58" s="6"/>
      <c r="DQ58" s="6"/>
      <c r="DR58" s="6"/>
      <c r="DS58" s="1023"/>
      <c r="DT58" s="6"/>
      <c r="DU58" s="6"/>
      <c r="DV58" s="6"/>
      <c r="DW58" s="1024"/>
      <c r="DX58" s="1024"/>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4"/>
      <c r="FE58" s="6"/>
      <c r="FF58" s="6"/>
      <c r="FG58" s="6"/>
      <c r="FH58" s="6"/>
      <c r="FI58" s="6"/>
      <c r="FJ58" s="6"/>
      <c r="FK58" s="6"/>
      <c r="FL58" s="6"/>
      <c r="FM58" s="64"/>
      <c r="FN58" s="64"/>
      <c r="FO58" s="64"/>
      <c r="FP58" s="766" t="s">
        <v>1602</v>
      </c>
      <c r="FQ58" s="766" t="s">
        <v>1660</v>
      </c>
      <c r="FR58" s="1019"/>
      <c r="FS58" s="1019"/>
      <c r="FT58" s="1019"/>
      <c r="FU58" s="6"/>
      <c r="FV58" s="6"/>
      <c r="FW58" s="6"/>
      <c r="FX58" s="6"/>
      <c r="FY58" s="6"/>
      <c r="FZ58" s="6"/>
      <c r="GA58" s="6"/>
      <c r="GB58" s="6"/>
      <c r="GC58" s="1028"/>
      <c r="GD58" s="1015"/>
      <c r="GE58" s="6"/>
      <c r="GF58" s="64"/>
      <c r="GG58" s="64"/>
      <c r="GH58" s="1722"/>
      <c r="GI58" s="1722"/>
      <c r="GJ58" s="1722"/>
      <c r="GK58" s="1722"/>
      <c r="GL58" s="1722"/>
      <c r="GM58" s="1722"/>
      <c r="GN58" s="1723"/>
      <c r="GO58" s="1723"/>
      <c r="GP58" s="1723"/>
      <c r="GQ58" s="1723"/>
      <c r="GR58" s="1723"/>
      <c r="GS58" s="1722"/>
      <c r="GT58" s="1723"/>
      <c r="GU58" s="1722"/>
      <c r="GV58" s="1723"/>
      <c r="GW58" s="1723"/>
      <c r="GX58" s="1723"/>
      <c r="GY58" s="1723"/>
      <c r="GZ58" s="1723"/>
      <c r="HA58" s="1723"/>
      <c r="HB58" s="1723"/>
      <c r="HC58" s="1722"/>
      <c r="HD58" s="1723"/>
      <c r="HE58" s="1722"/>
      <c r="HF58" s="1722"/>
      <c r="HG58" s="1722"/>
      <c r="HH58" s="1722"/>
      <c r="HI58" s="1722"/>
      <c r="HJ58" s="1722"/>
      <c r="HK58" s="1722"/>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1028"/>
      <c r="IN58" s="6"/>
      <c r="IO58" s="1014"/>
      <c r="IP58" s="6"/>
      <c r="IQ58" s="6"/>
      <c r="IR58" s="6"/>
      <c r="IS58" s="6"/>
      <c r="IT58" s="6"/>
      <c r="IU58" s="6"/>
      <c r="IV58" s="6"/>
      <c r="IW58" s="6"/>
      <c r="IX58" s="6"/>
      <c r="IY58" s="6"/>
      <c r="IZ58" s="6"/>
      <c r="JA58" s="6"/>
      <c r="JB58" s="6"/>
      <c r="JC58" s="6"/>
      <c r="JD58" s="64"/>
      <c r="JE58" s="6"/>
      <c r="JF58" s="1688"/>
      <c r="JG58" s="1687"/>
      <c r="JH58" s="1687"/>
      <c r="JI58" s="1687"/>
      <c r="JJ58" s="6"/>
      <c r="JK58" s="6"/>
      <c r="JL58" s="6"/>
      <c r="JM58" s="6"/>
      <c r="JN58" s="6"/>
      <c r="JO58" s="6"/>
      <c r="JP58" s="6"/>
      <c r="JQ58" s="6"/>
      <c r="JR58" s="6"/>
      <c r="JS58" s="6"/>
      <c r="JT58" s="766"/>
      <c r="JU58" s="766"/>
      <c r="JV58" s="766"/>
      <c r="JW58" s="766"/>
      <c r="JX58" s="6"/>
      <c r="JY58" s="6"/>
      <c r="JZ58" s="6"/>
      <c r="KA58" s="6"/>
      <c r="KB58" s="6"/>
      <c r="KC58" s="6"/>
      <c r="KD58" s="6"/>
      <c r="KE58" s="6"/>
      <c r="KF58" s="6"/>
      <c r="KG58" s="6"/>
      <c r="KH58" s="6"/>
      <c r="KI58" s="6"/>
      <c r="KJ58" s="770"/>
      <c r="KK58" s="770"/>
      <c r="KL58" s="770"/>
      <c r="KM58" s="770"/>
      <c r="KN58" s="6"/>
      <c r="KO58" s="1688"/>
      <c r="KP58" s="6"/>
      <c r="KQ58" s="6"/>
      <c r="KR58" s="6"/>
      <c r="KS58" s="6"/>
      <c r="KT58" s="6"/>
      <c r="KU58" s="6"/>
      <c r="KV58" s="6"/>
      <c r="KW58" s="6"/>
      <c r="KX58" s="6"/>
      <c r="KY58" s="6"/>
      <c r="KZ58" s="6"/>
      <c r="LA58" s="6"/>
      <c r="LB58" s="6"/>
      <c r="LC58" s="6"/>
      <c r="LD58" s="6"/>
      <c r="LE58" s="6"/>
      <c r="LF58" s="6"/>
      <c r="LG58" s="6"/>
      <c r="LH58" s="6"/>
      <c r="LI58" s="6"/>
      <c r="LJ58" s="6"/>
      <c r="LK58" s="6"/>
      <c r="LL58" s="6"/>
      <c r="LM58" s="6"/>
      <c r="LN58" s="766"/>
      <c r="LO58" s="766"/>
      <c r="LP58" s="6"/>
      <c r="LQ58" s="1690"/>
      <c r="LR58" s="6"/>
      <c r="LS58" s="6"/>
      <c r="LT58" s="6"/>
      <c r="LU58" s="6"/>
      <c r="LV58" s="6"/>
      <c r="LW58" s="6"/>
      <c r="LX58" s="1693"/>
      <c r="LY58" s="766" t="str">
        <f t="shared" si="6"/>
        <v/>
      </c>
      <c r="LZ58" s="1694"/>
      <c r="MA58" s="1694"/>
      <c r="MB58" s="1694"/>
      <c r="MC58" s="1679">
        <f t="shared" si="1"/>
        <v>0</v>
      </c>
      <c r="MD58" s="1694"/>
      <c r="ME58" s="1694"/>
      <c r="MF58" s="1694"/>
      <c r="MG58" s="1680">
        <f t="shared" si="2"/>
        <v>0</v>
      </c>
      <c r="MH58" s="1690"/>
      <c r="MI58" s="64"/>
      <c r="MJ58" s="64"/>
      <c r="MK58" s="64"/>
      <c r="ML58" s="64"/>
      <c r="MM58" s="64"/>
      <c r="MN58" s="64"/>
      <c r="MO58" s="64"/>
      <c r="MP58" s="64"/>
      <c r="MQ58" s="64"/>
      <c r="MR58" s="64"/>
      <c r="MS58" s="64"/>
      <c r="MT58" s="64"/>
      <c r="MU58" s="64"/>
      <c r="MV58" s="64"/>
      <c r="MW58" s="64"/>
      <c r="MX58" s="64"/>
      <c r="MY58" s="1682">
        <f t="shared" si="3"/>
        <v>0</v>
      </c>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1687"/>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1026"/>
      <c r="RG58" s="6"/>
      <c r="RH58" s="64"/>
      <c r="RI58" s="6"/>
      <c r="RJ58" s="6" t="s">
        <v>13062</v>
      </c>
      <c r="RK58" s="6" t="s">
        <v>13010</v>
      </c>
      <c r="RL58" s="1691">
        <v>42902</v>
      </c>
      <c r="RM58" s="1714"/>
      <c r="RN58" s="1724"/>
      <c r="RO58" s="169" t="s">
        <v>11210</v>
      </c>
      <c r="RR58" s="93"/>
      <c r="RS58" s="6"/>
      <c r="RV58" s="6" t="s">
        <v>12383</v>
      </c>
      <c r="RW58" s="1020" t="s">
        <v>12526</v>
      </c>
      <c r="RX58" s="1020" t="s">
        <v>11199</v>
      </c>
      <c r="RZ58" s="1020" t="s">
        <v>7419</v>
      </c>
      <c r="SA58" s="6"/>
    </row>
    <row r="59" spans="1:495" s="1020" customFormat="1" ht="15" hidden="1" customHeight="1">
      <c r="A59" s="861" t="s">
        <v>7419</v>
      </c>
      <c r="B59" s="1029" t="s">
        <v>11933</v>
      </c>
      <c r="C59" s="169" t="s">
        <v>11225</v>
      </c>
      <c r="D59" s="6" t="s">
        <v>11226</v>
      </c>
      <c r="E59" s="6" t="s">
        <v>11227</v>
      </c>
      <c r="F59" s="6" t="s">
        <v>20</v>
      </c>
      <c r="G59" s="6" t="s">
        <v>18</v>
      </c>
      <c r="H59" s="6"/>
      <c r="I59" s="1012" t="s">
        <v>11228</v>
      </c>
      <c r="J59" s="6" t="s">
        <v>11229</v>
      </c>
      <c r="K59" s="6" t="s">
        <v>14113</v>
      </c>
      <c r="L59" s="6" t="s">
        <v>14114</v>
      </c>
      <c r="M59" s="6"/>
      <c r="N59" s="6" t="s">
        <v>11230</v>
      </c>
      <c r="O59" s="6" t="s">
        <v>11231</v>
      </c>
      <c r="P59" s="843" t="s">
        <v>11232</v>
      </c>
      <c r="Q59" s="1086">
        <v>21054</v>
      </c>
      <c r="R59" s="1015">
        <f>2017-60</f>
        <v>1957</v>
      </c>
      <c r="S59" s="6" t="s">
        <v>10</v>
      </c>
      <c r="T59" s="6"/>
      <c r="U59" s="1016" t="s">
        <v>11228</v>
      </c>
      <c r="V59" s="6" t="s">
        <v>707</v>
      </c>
      <c r="W59" s="1016" t="s">
        <v>11226</v>
      </c>
      <c r="X59" s="1014">
        <v>24357</v>
      </c>
      <c r="Y59" s="6" t="s">
        <v>11227</v>
      </c>
      <c r="Z59" s="6" t="s">
        <v>708</v>
      </c>
      <c r="AA59" s="6" t="s">
        <v>868</v>
      </c>
      <c r="AB59" s="6" t="s">
        <v>710</v>
      </c>
      <c r="AC59" s="6"/>
      <c r="AD59" s="6" t="s">
        <v>711</v>
      </c>
      <c r="AE59" s="6"/>
      <c r="AF59" s="6" t="s">
        <v>712</v>
      </c>
      <c r="AG59" s="6" t="s">
        <v>1095</v>
      </c>
      <c r="AH59" s="6" t="s">
        <v>1100</v>
      </c>
      <c r="AI59" s="6" t="s">
        <v>11233</v>
      </c>
      <c r="AJ59" s="6"/>
      <c r="AK59" s="6" t="s">
        <v>1097</v>
      </c>
      <c r="AL59" s="124">
        <v>236</v>
      </c>
      <c r="AM59" s="45">
        <v>8.77</v>
      </c>
      <c r="AN59" s="47">
        <f>AM59/AL59</f>
        <v>3.7161016949152539E-2</v>
      </c>
      <c r="AO59" s="6" t="s">
        <v>1098</v>
      </c>
      <c r="AP59" s="6"/>
      <c r="AQ59" s="6"/>
      <c r="AR59" s="6"/>
      <c r="AS59" s="6"/>
      <c r="AT59" s="6"/>
      <c r="AU59" s="6"/>
      <c r="AV59" s="6"/>
      <c r="AW59" s="6"/>
      <c r="AX59" s="1032"/>
      <c r="AY59" s="6"/>
      <c r="AZ59" s="6"/>
      <c r="BA59" s="6"/>
      <c r="BB59" s="6"/>
      <c r="BC59" s="6"/>
      <c r="BD59" s="6"/>
      <c r="BE59" s="6"/>
      <c r="BF59" s="64"/>
      <c r="BG59" s="64"/>
      <c r="BH59" s="6"/>
      <c r="BI59" s="6"/>
      <c r="BJ59" s="6"/>
      <c r="BK59" s="6" t="s">
        <v>1095</v>
      </c>
      <c r="BL59" s="6" t="s">
        <v>11233</v>
      </c>
      <c r="BM59" s="6" t="s">
        <v>1096</v>
      </c>
      <c r="BN59" s="6" t="s">
        <v>1230</v>
      </c>
      <c r="BO59" s="766" t="s">
        <v>1246</v>
      </c>
      <c r="BP59" s="60">
        <v>17.54</v>
      </c>
      <c r="BQ59" s="46">
        <v>8.77</v>
      </c>
      <c r="BR59" s="47">
        <f>BQ59/BP59</f>
        <v>0.5</v>
      </c>
      <c r="BS59" s="6" t="s">
        <v>1149</v>
      </c>
      <c r="BT59" s="6" t="s">
        <v>2040</v>
      </c>
      <c r="BU59" s="6"/>
      <c r="BV59" s="6" t="s">
        <v>1247</v>
      </c>
      <c r="BW59" s="561"/>
      <c r="BX59" s="96"/>
      <c r="BY59" s="6"/>
      <c r="BZ59" s="64"/>
      <c r="CA59" s="6"/>
      <c r="CB59" s="6"/>
      <c r="CC59" s="6"/>
      <c r="CD59" s="6"/>
      <c r="CE59" s="6"/>
      <c r="CF59" s="1021"/>
      <c r="CG59" s="1021"/>
      <c r="CH59" s="6"/>
      <c r="CI59" s="6"/>
      <c r="CJ59" s="6"/>
      <c r="CK59" s="6"/>
      <c r="CL59" s="6"/>
      <c r="CM59" s="6"/>
      <c r="CN59" s="6"/>
      <c r="CO59" s="6"/>
      <c r="CP59" s="6"/>
      <c r="CQ59" s="6"/>
      <c r="CR59" s="64"/>
      <c r="CS59" s="6"/>
      <c r="CT59" s="6"/>
      <c r="CU59" s="1022"/>
      <c r="CV59" s="6"/>
      <c r="CW59" s="6"/>
      <c r="CX59" s="6"/>
      <c r="CY59" s="6"/>
      <c r="CZ59" s="6"/>
      <c r="DA59" s="6"/>
      <c r="DB59" s="6"/>
      <c r="DC59" s="6"/>
      <c r="DD59" s="6"/>
      <c r="DE59" s="6"/>
      <c r="DF59" s="6"/>
      <c r="DG59" s="6"/>
      <c r="DH59" s="6"/>
      <c r="DI59" s="6"/>
      <c r="DJ59" s="6"/>
      <c r="DK59" s="6"/>
      <c r="DL59" s="6"/>
      <c r="DM59" s="6"/>
      <c r="DN59" s="6"/>
      <c r="DO59" s="6"/>
      <c r="DP59" s="6"/>
      <c r="DQ59" s="6"/>
      <c r="DR59" s="6"/>
      <c r="DS59" s="1023"/>
      <c r="DT59" s="6"/>
      <c r="DU59" s="6"/>
      <c r="DV59" s="6"/>
      <c r="DW59" s="1024"/>
      <c r="DX59" s="1024"/>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4"/>
      <c r="FE59" s="6"/>
      <c r="FF59" s="6"/>
      <c r="FG59" s="6"/>
      <c r="FH59" s="6"/>
      <c r="FI59" s="6"/>
      <c r="FJ59" s="6"/>
      <c r="FK59" s="6"/>
      <c r="FL59" s="6"/>
      <c r="FM59" s="64"/>
      <c r="FN59" s="64"/>
      <c r="FO59" s="64"/>
      <c r="FP59" s="766" t="s">
        <v>1602</v>
      </c>
      <c r="FQ59" s="766" t="s">
        <v>1660</v>
      </c>
      <c r="FR59" s="1019"/>
      <c r="FS59" s="1019"/>
      <c r="FT59" s="1019"/>
      <c r="FU59" s="6"/>
      <c r="FV59" s="6"/>
      <c r="FW59" s="6"/>
      <c r="FX59" s="6"/>
      <c r="FY59" s="6"/>
      <c r="FZ59" s="6"/>
      <c r="GA59" s="6"/>
      <c r="GB59" s="6"/>
      <c r="GC59" s="1028"/>
      <c r="GD59" s="1015"/>
      <c r="GE59" s="6"/>
      <c r="GF59" s="64"/>
      <c r="GG59" s="64"/>
      <c r="GH59" s="1722"/>
      <c r="GI59" s="1722"/>
      <c r="GJ59" s="1722"/>
      <c r="GK59" s="1722"/>
      <c r="GL59" s="1722"/>
      <c r="GM59" s="1722"/>
      <c r="GN59" s="1723"/>
      <c r="GO59" s="1723"/>
      <c r="GP59" s="1723"/>
      <c r="GQ59" s="1723"/>
      <c r="GR59" s="1723"/>
      <c r="GS59" s="1722"/>
      <c r="GT59" s="1723"/>
      <c r="GU59" s="1722"/>
      <c r="GV59" s="1723"/>
      <c r="GW59" s="1723"/>
      <c r="GX59" s="1723"/>
      <c r="GY59" s="1723"/>
      <c r="GZ59" s="1723"/>
      <c r="HA59" s="1723"/>
      <c r="HB59" s="1723"/>
      <c r="HC59" s="1722"/>
      <c r="HD59" s="1723"/>
      <c r="HE59" s="1722"/>
      <c r="HF59" s="1722"/>
      <c r="HG59" s="1722"/>
      <c r="HH59" s="1722"/>
      <c r="HI59" s="1722"/>
      <c r="HJ59" s="1722"/>
      <c r="HK59" s="1722"/>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1028"/>
      <c r="IN59" s="6"/>
      <c r="IO59" s="1014"/>
      <c r="IP59" s="6"/>
      <c r="IQ59" s="6"/>
      <c r="IR59" s="6"/>
      <c r="IS59" s="6"/>
      <c r="IT59" s="6"/>
      <c r="IU59" s="6"/>
      <c r="IV59" s="6"/>
      <c r="IW59" s="6"/>
      <c r="IX59" s="6"/>
      <c r="IY59" s="6"/>
      <c r="IZ59" s="6"/>
      <c r="JA59" s="6"/>
      <c r="JB59" s="6"/>
      <c r="JC59" s="6"/>
      <c r="JD59" s="64"/>
      <c r="JE59" s="6"/>
      <c r="JF59" s="1688"/>
      <c r="JG59" s="1687"/>
      <c r="JH59" s="1687"/>
      <c r="JI59" s="1687"/>
      <c r="JJ59" s="6"/>
      <c r="JK59" s="6"/>
      <c r="JL59" s="6"/>
      <c r="JM59" s="6"/>
      <c r="JN59" s="6"/>
      <c r="JO59" s="6"/>
      <c r="JP59" s="6"/>
      <c r="JQ59" s="6"/>
      <c r="JR59" s="6"/>
      <c r="JS59" s="6"/>
      <c r="JT59" s="766"/>
      <c r="JU59" s="766"/>
      <c r="JV59" s="766"/>
      <c r="JW59" s="766"/>
      <c r="JX59" s="6"/>
      <c r="JY59" s="6"/>
      <c r="JZ59" s="6"/>
      <c r="KA59" s="6"/>
      <c r="KB59" s="6"/>
      <c r="KC59" s="6"/>
      <c r="KD59" s="6"/>
      <c r="KE59" s="6"/>
      <c r="KF59" s="6"/>
      <c r="KG59" s="6"/>
      <c r="KH59" s="6"/>
      <c r="KI59" s="6"/>
      <c r="KJ59" s="770"/>
      <c r="KK59" s="770"/>
      <c r="KL59" s="770"/>
      <c r="KM59" s="770"/>
      <c r="KN59" s="6"/>
      <c r="KO59" s="1688"/>
      <c r="KP59" s="6"/>
      <c r="KQ59" s="6"/>
      <c r="KR59" s="6"/>
      <c r="KS59" s="6"/>
      <c r="KT59" s="6"/>
      <c r="KU59" s="6"/>
      <c r="KV59" s="6"/>
      <c r="KW59" s="6"/>
      <c r="KX59" s="6"/>
      <c r="KY59" s="6"/>
      <c r="KZ59" s="6"/>
      <c r="LA59" s="6"/>
      <c r="LB59" s="6"/>
      <c r="LC59" s="6"/>
      <c r="LD59" s="6"/>
      <c r="LE59" s="6"/>
      <c r="LF59" s="6"/>
      <c r="LG59" s="6"/>
      <c r="LH59" s="6"/>
      <c r="LI59" s="6"/>
      <c r="LJ59" s="6"/>
      <c r="LK59" s="6"/>
      <c r="LL59" s="6"/>
      <c r="LM59" s="6"/>
      <c r="LN59" s="766"/>
      <c r="LO59" s="766"/>
      <c r="LP59" s="6"/>
      <c r="LQ59" s="1690"/>
      <c r="LR59" s="6"/>
      <c r="LS59" s="6"/>
      <c r="LT59" s="6"/>
      <c r="LU59" s="6"/>
      <c r="LV59" s="6"/>
      <c r="LW59" s="6"/>
      <c r="LX59" s="1693"/>
      <c r="LY59" s="766" t="str">
        <f t="shared" si="6"/>
        <v/>
      </c>
      <c r="LZ59" s="1694"/>
      <c r="MA59" s="1694"/>
      <c r="MB59" s="1694"/>
      <c r="MC59" s="1679">
        <f t="shared" si="1"/>
        <v>0</v>
      </c>
      <c r="MD59" s="1694"/>
      <c r="ME59" s="1694"/>
      <c r="MF59" s="1694"/>
      <c r="MG59" s="1680">
        <f t="shared" si="2"/>
        <v>0</v>
      </c>
      <c r="MH59" s="1690"/>
      <c r="MI59" s="64"/>
      <c r="MJ59" s="64"/>
      <c r="MK59" s="64"/>
      <c r="ML59" s="64"/>
      <c r="MM59" s="64"/>
      <c r="MN59" s="64"/>
      <c r="MO59" s="64"/>
      <c r="MP59" s="64"/>
      <c r="MQ59" s="64"/>
      <c r="MR59" s="64"/>
      <c r="MS59" s="64"/>
      <c r="MT59" s="64"/>
      <c r="MU59" s="64"/>
      <c r="MV59" s="64"/>
      <c r="MW59" s="64"/>
      <c r="MX59" s="64"/>
      <c r="MY59" s="1682">
        <f t="shared" si="3"/>
        <v>0</v>
      </c>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1687"/>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1026"/>
      <c r="RG59" s="6"/>
      <c r="RH59" s="64"/>
      <c r="RI59" s="6"/>
      <c r="RJ59" s="6"/>
      <c r="RK59" s="6"/>
      <c r="RL59" s="1691"/>
      <c r="RM59" s="1714"/>
      <c r="RN59" s="1724"/>
      <c r="RO59" s="169" t="s">
        <v>11225</v>
      </c>
      <c r="RR59" s="93"/>
      <c r="RS59" s="6"/>
      <c r="RV59" s="6" t="s">
        <v>12383</v>
      </c>
      <c r="RW59" s="1020" t="s">
        <v>11931</v>
      </c>
      <c r="RX59" s="1020" t="s">
        <v>11204</v>
      </c>
      <c r="RZ59" s="1020" t="s">
        <v>7419</v>
      </c>
      <c r="SA59" s="6"/>
    </row>
    <row r="60" spans="1:495" s="1020" customFormat="1" ht="15" hidden="1" customHeight="1">
      <c r="A60" s="861" t="s">
        <v>7419</v>
      </c>
      <c r="B60" s="1029" t="s">
        <v>11935</v>
      </c>
      <c r="C60" s="169" t="s">
        <v>11928</v>
      </c>
      <c r="D60" s="6" t="s">
        <v>11226</v>
      </c>
      <c r="E60" s="6" t="s">
        <v>11235</v>
      </c>
      <c r="F60" s="6"/>
      <c r="G60" s="6"/>
      <c r="H60" s="6"/>
      <c r="I60" s="1012"/>
      <c r="J60" s="6" t="s">
        <v>11229</v>
      </c>
      <c r="K60" s="6"/>
      <c r="L60" s="6"/>
      <c r="M60" s="6"/>
      <c r="N60" s="6"/>
      <c r="O60" s="6"/>
      <c r="P60" s="843"/>
      <c r="Q60" s="1086"/>
      <c r="R60" s="1015"/>
      <c r="S60" s="6"/>
      <c r="T60" s="6"/>
      <c r="U60" s="1016"/>
      <c r="V60" s="6"/>
      <c r="W60" s="1016"/>
      <c r="X60" s="1014"/>
      <c r="Y60" s="6"/>
      <c r="Z60" s="6"/>
      <c r="AA60" s="6"/>
      <c r="AB60" s="6"/>
      <c r="AC60" s="6"/>
      <c r="AD60" s="6"/>
      <c r="AE60" s="6"/>
      <c r="AF60" s="6"/>
      <c r="AG60" s="6" t="s">
        <v>1095</v>
      </c>
      <c r="AH60" s="766" t="s">
        <v>1096</v>
      </c>
      <c r="AI60" s="6" t="s">
        <v>11226</v>
      </c>
      <c r="AJ60" s="6"/>
      <c r="AK60" s="6" t="s">
        <v>1097</v>
      </c>
      <c r="AL60" s="124">
        <v>240</v>
      </c>
      <c r="AM60" s="45">
        <v>14.8</v>
      </c>
      <c r="AN60" s="47">
        <f>AM60/AL60</f>
        <v>6.1666666666666668E-2</v>
      </c>
      <c r="AO60" s="6" t="s">
        <v>1109</v>
      </c>
      <c r="AP60" s="6"/>
      <c r="AQ60" s="6"/>
      <c r="AR60" s="6"/>
      <c r="AS60" s="6"/>
      <c r="AT60" s="6"/>
      <c r="AU60" s="6"/>
      <c r="AV60" s="6"/>
      <c r="AW60" s="6"/>
      <c r="AX60" s="1032"/>
      <c r="AY60" s="6"/>
      <c r="AZ60" s="6"/>
      <c r="BA60" s="6"/>
      <c r="BB60" s="6"/>
      <c r="BC60" s="6"/>
      <c r="BD60" s="6"/>
      <c r="BE60" s="6"/>
      <c r="BF60" s="64"/>
      <c r="BG60" s="64"/>
      <c r="BH60" s="6"/>
      <c r="BI60" s="6"/>
      <c r="BJ60" s="6"/>
      <c r="BK60" s="6" t="s">
        <v>1095</v>
      </c>
      <c r="BL60" s="6" t="s">
        <v>11226</v>
      </c>
      <c r="BM60" s="6" t="s">
        <v>1096</v>
      </c>
      <c r="BN60" s="6" t="s">
        <v>1230</v>
      </c>
      <c r="BO60" s="6" t="s">
        <v>2851</v>
      </c>
      <c r="BP60" s="60">
        <v>383.2</v>
      </c>
      <c r="BQ60" s="46">
        <v>14.8</v>
      </c>
      <c r="BR60" s="47">
        <f>BQ60/BP60</f>
        <v>3.8622129436325682E-2</v>
      </c>
      <c r="BS60" s="766" t="s">
        <v>1242</v>
      </c>
      <c r="BT60" s="6" t="s">
        <v>2040</v>
      </c>
      <c r="BU60" s="6" t="s">
        <v>1249</v>
      </c>
      <c r="BV60" s="6" t="s">
        <v>12299</v>
      </c>
      <c r="BW60" s="561"/>
      <c r="BX60" s="96"/>
      <c r="BY60" s="6"/>
      <c r="BZ60" s="64"/>
      <c r="CA60" s="6"/>
      <c r="CB60" s="6"/>
      <c r="CC60" s="6"/>
      <c r="CD60" s="6"/>
      <c r="CE60" s="6"/>
      <c r="CF60" s="1021"/>
      <c r="CG60" s="1021"/>
      <c r="CH60" s="6"/>
      <c r="CI60" s="6"/>
      <c r="CJ60" s="6"/>
      <c r="CK60" s="6"/>
      <c r="CL60" s="6"/>
      <c r="CM60" s="6"/>
      <c r="CN60" s="6"/>
      <c r="CO60" s="6"/>
      <c r="CP60" s="6"/>
      <c r="CQ60" s="6"/>
      <c r="CR60" s="64"/>
      <c r="CS60" s="6"/>
      <c r="CT60" s="6"/>
      <c r="CU60" s="1022"/>
      <c r="CV60" s="6"/>
      <c r="CW60" s="6"/>
      <c r="CX60" s="6"/>
      <c r="CY60" s="6"/>
      <c r="CZ60" s="6"/>
      <c r="DA60" s="6"/>
      <c r="DB60" s="6"/>
      <c r="DC60" s="6"/>
      <c r="DD60" s="6"/>
      <c r="DE60" s="6"/>
      <c r="DF60" s="6"/>
      <c r="DG60" s="6"/>
      <c r="DH60" s="6"/>
      <c r="DI60" s="6"/>
      <c r="DJ60" s="6"/>
      <c r="DK60" s="6"/>
      <c r="DL60" s="6"/>
      <c r="DM60" s="6"/>
      <c r="DN60" s="6"/>
      <c r="DO60" s="6"/>
      <c r="DP60" s="6"/>
      <c r="DQ60" s="6"/>
      <c r="DR60" s="6"/>
      <c r="DS60" s="1023"/>
      <c r="DT60" s="6"/>
      <c r="DU60" s="6"/>
      <c r="DV60" s="6"/>
      <c r="DW60" s="1024"/>
      <c r="DX60" s="1024"/>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4"/>
      <c r="FE60" s="6"/>
      <c r="FF60" s="6"/>
      <c r="FG60" s="6"/>
      <c r="FH60" s="6"/>
      <c r="FI60" s="6"/>
      <c r="FJ60" s="6"/>
      <c r="FK60" s="6"/>
      <c r="FL60" s="6"/>
      <c r="FM60" s="64"/>
      <c r="FN60" s="64"/>
      <c r="FO60" s="64"/>
      <c r="FP60" s="6"/>
      <c r="FQ60" s="6"/>
      <c r="FR60" s="1019"/>
      <c r="FS60" s="1019"/>
      <c r="FT60" s="1019"/>
      <c r="FU60" s="6"/>
      <c r="FV60" s="6"/>
      <c r="FW60" s="6"/>
      <c r="FX60" s="6"/>
      <c r="FY60" s="6"/>
      <c r="FZ60" s="6"/>
      <c r="GA60" s="6"/>
      <c r="GB60" s="6"/>
      <c r="GC60" s="1028"/>
      <c r="GD60" s="1015"/>
      <c r="GE60" s="6"/>
      <c r="GF60" s="64"/>
      <c r="GG60" s="64"/>
      <c r="GH60" s="1722"/>
      <c r="GI60" s="1722"/>
      <c r="GJ60" s="1722"/>
      <c r="GK60" s="1722"/>
      <c r="GL60" s="1722"/>
      <c r="GM60" s="1722"/>
      <c r="GN60" s="1723"/>
      <c r="GO60" s="1723"/>
      <c r="GP60" s="1723"/>
      <c r="GQ60" s="1723"/>
      <c r="GR60" s="1723"/>
      <c r="GS60" s="1722"/>
      <c r="GT60" s="1723"/>
      <c r="GU60" s="1722"/>
      <c r="GV60" s="1723"/>
      <c r="GW60" s="1723"/>
      <c r="GX60" s="1723"/>
      <c r="GY60" s="1723"/>
      <c r="GZ60" s="1723"/>
      <c r="HA60" s="1723"/>
      <c r="HB60" s="1723"/>
      <c r="HC60" s="1722"/>
      <c r="HD60" s="1723"/>
      <c r="HE60" s="1722"/>
      <c r="HF60" s="1722"/>
      <c r="HG60" s="1722"/>
      <c r="HH60" s="1722"/>
      <c r="HI60" s="1722"/>
      <c r="HJ60" s="1722"/>
      <c r="HK60" s="1722"/>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1028"/>
      <c r="IN60" s="6"/>
      <c r="IO60" s="1014"/>
      <c r="IP60" s="6"/>
      <c r="IQ60" s="6"/>
      <c r="IR60" s="6"/>
      <c r="IS60" s="6"/>
      <c r="IT60" s="6"/>
      <c r="IU60" s="6"/>
      <c r="IV60" s="6"/>
      <c r="IW60" s="6"/>
      <c r="IX60" s="6"/>
      <c r="IY60" s="6"/>
      <c r="IZ60" s="6"/>
      <c r="JA60" s="6"/>
      <c r="JB60" s="6"/>
      <c r="JC60" s="6"/>
      <c r="JD60" s="64"/>
      <c r="JE60" s="6"/>
      <c r="JF60" s="1688"/>
      <c r="JG60" s="1687"/>
      <c r="JH60" s="1687"/>
      <c r="JI60" s="1687"/>
      <c r="JJ60" s="6"/>
      <c r="JK60" s="6"/>
      <c r="JL60" s="6"/>
      <c r="JM60" s="6"/>
      <c r="JN60" s="6"/>
      <c r="JO60" s="6"/>
      <c r="JP60" s="6"/>
      <c r="JQ60" s="6"/>
      <c r="JR60" s="6"/>
      <c r="JS60" s="6"/>
      <c r="JT60" s="766"/>
      <c r="JU60" s="766"/>
      <c r="JV60" s="766"/>
      <c r="JW60" s="766"/>
      <c r="JX60" s="6"/>
      <c r="JY60" s="6"/>
      <c r="JZ60" s="6"/>
      <c r="KA60" s="6"/>
      <c r="KB60" s="6"/>
      <c r="KC60" s="6"/>
      <c r="KD60" s="6"/>
      <c r="KE60" s="6"/>
      <c r="KF60" s="6"/>
      <c r="KG60" s="6"/>
      <c r="KH60" s="6"/>
      <c r="KI60" s="6"/>
      <c r="KJ60" s="770"/>
      <c r="KK60" s="770"/>
      <c r="KL60" s="770"/>
      <c r="KM60" s="770"/>
      <c r="KN60" s="6"/>
      <c r="KO60" s="1688"/>
      <c r="KP60" s="6"/>
      <c r="KQ60" s="6"/>
      <c r="KR60" s="6"/>
      <c r="KS60" s="6"/>
      <c r="KT60" s="6"/>
      <c r="KU60" s="6"/>
      <c r="KV60" s="6"/>
      <c r="KW60" s="6"/>
      <c r="KX60" s="6"/>
      <c r="KY60" s="6"/>
      <c r="KZ60" s="6"/>
      <c r="LA60" s="6"/>
      <c r="LB60" s="6"/>
      <c r="LC60" s="6"/>
      <c r="LD60" s="6"/>
      <c r="LE60" s="6"/>
      <c r="LF60" s="6"/>
      <c r="LG60" s="6"/>
      <c r="LH60" s="6"/>
      <c r="LI60" s="6"/>
      <c r="LJ60" s="6"/>
      <c r="LK60" s="6"/>
      <c r="LL60" s="6"/>
      <c r="LM60" s="6"/>
      <c r="LN60" s="766"/>
      <c r="LO60" s="766"/>
      <c r="LP60" s="6"/>
      <c r="LQ60" s="1690"/>
      <c r="LR60" s="6"/>
      <c r="LS60" s="6"/>
      <c r="LT60" s="6"/>
      <c r="LU60" s="6"/>
      <c r="LV60" s="6"/>
      <c r="LW60" s="6"/>
      <c r="LX60" s="1693"/>
      <c r="LY60" s="766" t="str">
        <f t="shared" si="6"/>
        <v/>
      </c>
      <c r="LZ60" s="1694"/>
      <c r="MA60" s="1694"/>
      <c r="MB60" s="1694"/>
      <c r="MC60" s="1679">
        <f t="shared" si="1"/>
        <v>0</v>
      </c>
      <c r="MD60" s="1694"/>
      <c r="ME60" s="1694"/>
      <c r="MF60" s="1694"/>
      <c r="MG60" s="1680">
        <f t="shared" si="2"/>
        <v>0</v>
      </c>
      <c r="MH60" s="1690"/>
      <c r="MI60" s="64"/>
      <c r="MJ60" s="64"/>
      <c r="MK60" s="64"/>
      <c r="ML60" s="64"/>
      <c r="MM60" s="64"/>
      <c r="MN60" s="64"/>
      <c r="MO60" s="64"/>
      <c r="MP60" s="64"/>
      <c r="MQ60" s="64"/>
      <c r="MR60" s="64"/>
      <c r="MS60" s="64"/>
      <c r="MT60" s="64"/>
      <c r="MU60" s="64"/>
      <c r="MV60" s="64"/>
      <c r="MW60" s="64"/>
      <c r="MX60" s="64"/>
      <c r="MY60" s="1682">
        <f t="shared" si="3"/>
        <v>0</v>
      </c>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1687"/>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1026"/>
      <c r="RG60" s="6"/>
      <c r="RH60" s="64"/>
      <c r="RI60" s="6"/>
      <c r="RJ60" s="6"/>
      <c r="RK60" s="6"/>
      <c r="RL60" s="1691"/>
      <c r="RM60" s="1714"/>
      <c r="RN60" s="1724"/>
      <c r="RO60" s="169" t="s">
        <v>11928</v>
      </c>
      <c r="RR60" s="93"/>
      <c r="RS60" s="6"/>
      <c r="RV60" s="6" t="s">
        <v>12383</v>
      </c>
      <c r="RW60" s="1020" t="s">
        <v>11932</v>
      </c>
      <c r="RX60" s="1020" t="s">
        <v>11210</v>
      </c>
      <c r="RZ60" s="1020" t="s">
        <v>7419</v>
      </c>
      <c r="SA60" s="6"/>
    </row>
    <row r="61" spans="1:495" s="1020" customFormat="1" ht="15" hidden="1" customHeight="1">
      <c r="A61" s="861" t="s">
        <v>7419</v>
      </c>
      <c r="B61" s="1029" t="s">
        <v>11934</v>
      </c>
      <c r="C61" s="169" t="s">
        <v>11234</v>
      </c>
      <c r="D61" s="6" t="s">
        <v>11226</v>
      </c>
      <c r="E61" s="6" t="s">
        <v>11235</v>
      </c>
      <c r="F61" s="6" t="s">
        <v>20</v>
      </c>
      <c r="G61" s="6" t="s">
        <v>18</v>
      </c>
      <c r="H61" s="6"/>
      <c r="I61" s="1012"/>
      <c r="J61" s="6" t="s">
        <v>11229</v>
      </c>
      <c r="K61" s="6" t="s">
        <v>14115</v>
      </c>
      <c r="L61" s="6" t="s">
        <v>14116</v>
      </c>
      <c r="M61" s="6"/>
      <c r="N61" s="6" t="s">
        <v>11230</v>
      </c>
      <c r="O61" s="6" t="s">
        <v>11231</v>
      </c>
      <c r="P61" s="843"/>
      <c r="Q61" s="1086"/>
      <c r="R61" s="1015"/>
      <c r="S61" s="6"/>
      <c r="T61" s="6"/>
      <c r="U61" s="1016"/>
      <c r="V61" s="6"/>
      <c r="W61" s="1016"/>
      <c r="X61" s="1014"/>
      <c r="Y61" s="6"/>
      <c r="Z61" s="6"/>
      <c r="AA61" s="6"/>
      <c r="AB61" s="6"/>
      <c r="AC61" s="6"/>
      <c r="AD61" s="6"/>
      <c r="AE61" s="6"/>
      <c r="AF61" s="6"/>
      <c r="AG61" s="6" t="s">
        <v>1095</v>
      </c>
      <c r="AH61" s="766" t="s">
        <v>1096</v>
      </c>
      <c r="AI61" s="6" t="s">
        <v>11236</v>
      </c>
      <c r="AJ61" s="6"/>
      <c r="AK61" s="6" t="s">
        <v>1097</v>
      </c>
      <c r="AL61" s="124">
        <v>243</v>
      </c>
      <c r="AM61" s="45">
        <v>7</v>
      </c>
      <c r="AN61" s="47">
        <f>AM61/AL61</f>
        <v>2.8806584362139918E-2</v>
      </c>
      <c r="AO61" s="6" t="s">
        <v>1098</v>
      </c>
      <c r="AP61" s="6"/>
      <c r="AQ61" s="6"/>
      <c r="AR61" s="6"/>
      <c r="AS61" s="6" t="s">
        <v>1207</v>
      </c>
      <c r="AT61" s="6"/>
      <c r="AU61" s="6"/>
      <c r="AV61" s="6"/>
      <c r="AW61" s="6"/>
      <c r="AX61" s="1032"/>
      <c r="AY61" s="6"/>
      <c r="AZ61" s="6"/>
      <c r="BA61" s="6"/>
      <c r="BB61" s="6"/>
      <c r="BC61" s="6"/>
      <c r="BD61" s="6"/>
      <c r="BE61" s="6"/>
      <c r="BF61" s="64"/>
      <c r="BG61" s="64"/>
      <c r="BH61" s="6"/>
      <c r="BI61" s="6"/>
      <c r="BJ61" s="6"/>
      <c r="BK61" s="6"/>
      <c r="BL61" s="6"/>
      <c r="BM61" s="6"/>
      <c r="BN61" s="6"/>
      <c r="BO61" s="1019"/>
      <c r="BP61" s="1033"/>
      <c r="BQ61" s="46"/>
      <c r="BR61" s="47"/>
      <c r="BS61" s="6"/>
      <c r="BT61" s="1019"/>
      <c r="BU61" s="1019"/>
      <c r="BV61" s="1019"/>
      <c r="BW61" s="1019"/>
      <c r="BX61" s="96"/>
      <c r="BY61" s="6"/>
      <c r="BZ61" s="64"/>
      <c r="CA61" s="6"/>
      <c r="CB61" s="6" t="s">
        <v>1207</v>
      </c>
      <c r="CC61" s="6" t="s">
        <v>11236</v>
      </c>
      <c r="CD61" s="6"/>
      <c r="CE61" s="6"/>
      <c r="CF61" s="1021">
        <v>2.5</v>
      </c>
      <c r="CG61" s="1021">
        <v>7</v>
      </c>
      <c r="CH61" s="6" t="s">
        <v>11237</v>
      </c>
      <c r="CI61" s="6"/>
      <c r="CJ61" s="6"/>
      <c r="CK61" s="6">
        <v>6</v>
      </c>
      <c r="CL61" s="6" t="s">
        <v>1249</v>
      </c>
      <c r="CM61" s="6"/>
      <c r="CN61" s="6"/>
      <c r="CO61" s="6"/>
      <c r="CP61" s="6"/>
      <c r="CQ61" s="6"/>
      <c r="CR61" s="64"/>
      <c r="CS61" s="6"/>
      <c r="CT61" s="6"/>
      <c r="CU61" s="1022"/>
      <c r="CV61" s="6"/>
      <c r="CW61" s="6"/>
      <c r="CX61" s="6"/>
      <c r="CY61" s="6"/>
      <c r="CZ61" s="6"/>
      <c r="DA61" s="6"/>
      <c r="DB61" s="6"/>
      <c r="DC61" s="6"/>
      <c r="DD61" s="6"/>
      <c r="DE61" s="6"/>
      <c r="DF61" s="6"/>
      <c r="DG61" s="6"/>
      <c r="DH61" s="6"/>
      <c r="DI61" s="6"/>
      <c r="DJ61" s="6"/>
      <c r="DK61" s="6"/>
      <c r="DL61" s="6"/>
      <c r="DM61" s="6"/>
      <c r="DN61" s="6"/>
      <c r="DO61" s="6"/>
      <c r="DP61" s="6"/>
      <c r="DQ61" s="6"/>
      <c r="DR61" s="6"/>
      <c r="DS61" s="1023"/>
      <c r="DT61" s="6"/>
      <c r="DU61" s="6"/>
      <c r="DV61" s="6"/>
      <c r="DW61" s="1024"/>
      <c r="DX61" s="1024"/>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4"/>
      <c r="FE61" s="6"/>
      <c r="FF61" s="6"/>
      <c r="FG61" s="6"/>
      <c r="FH61" s="6"/>
      <c r="FI61" s="6"/>
      <c r="FJ61" s="6"/>
      <c r="FK61" s="6"/>
      <c r="FL61" s="6"/>
      <c r="FM61" s="64"/>
      <c r="FN61" s="64"/>
      <c r="FO61" s="64"/>
      <c r="FP61" s="6"/>
      <c r="FQ61" s="6"/>
      <c r="FR61" s="1019"/>
      <c r="FS61" s="1019"/>
      <c r="FT61" s="1019"/>
      <c r="FU61" s="6"/>
      <c r="FV61" s="6"/>
      <c r="FW61" s="6"/>
      <c r="FX61" s="6"/>
      <c r="FY61" s="6"/>
      <c r="FZ61" s="6"/>
      <c r="GA61" s="6"/>
      <c r="GB61" s="6"/>
      <c r="GC61" s="1028"/>
      <c r="GD61" s="1015"/>
      <c r="GE61" s="6"/>
      <c r="GF61" s="64"/>
      <c r="GG61" s="64"/>
      <c r="GH61" s="1722"/>
      <c r="GI61" s="1722"/>
      <c r="GJ61" s="1722"/>
      <c r="GK61" s="1722"/>
      <c r="GL61" s="1722"/>
      <c r="GM61" s="1722"/>
      <c r="GN61" s="1723"/>
      <c r="GO61" s="1723"/>
      <c r="GP61" s="1723"/>
      <c r="GQ61" s="1723"/>
      <c r="GR61" s="1723"/>
      <c r="GS61" s="1722"/>
      <c r="GT61" s="1723"/>
      <c r="GU61" s="1722"/>
      <c r="GV61" s="1723"/>
      <c r="GW61" s="1723"/>
      <c r="GX61" s="1723"/>
      <c r="GY61" s="1723"/>
      <c r="GZ61" s="1723"/>
      <c r="HA61" s="1723"/>
      <c r="HB61" s="1723"/>
      <c r="HC61" s="1722"/>
      <c r="HD61" s="1723"/>
      <c r="HE61" s="1722"/>
      <c r="HF61" s="1722"/>
      <c r="HG61" s="1722"/>
      <c r="HH61" s="1722"/>
      <c r="HI61" s="1722"/>
      <c r="HJ61" s="1722"/>
      <c r="HK61" s="1722"/>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1028"/>
      <c r="IN61" s="6"/>
      <c r="IO61" s="1014"/>
      <c r="IP61" s="6"/>
      <c r="IQ61" s="6"/>
      <c r="IR61" s="6"/>
      <c r="IS61" s="6"/>
      <c r="IT61" s="6"/>
      <c r="IU61" s="6"/>
      <c r="IV61" s="6"/>
      <c r="IW61" s="6"/>
      <c r="IX61" s="6"/>
      <c r="IY61" s="6"/>
      <c r="IZ61" s="6"/>
      <c r="JA61" s="6"/>
      <c r="JB61" s="6"/>
      <c r="JC61" s="6"/>
      <c r="JD61" s="64"/>
      <c r="JE61" s="6"/>
      <c r="JF61" s="1688"/>
      <c r="JG61" s="1687"/>
      <c r="JH61" s="1687"/>
      <c r="JI61" s="1687"/>
      <c r="JJ61" s="6"/>
      <c r="JK61" s="6"/>
      <c r="JL61" s="6"/>
      <c r="JM61" s="6"/>
      <c r="JN61" s="6"/>
      <c r="JO61" s="6"/>
      <c r="JP61" s="6"/>
      <c r="JQ61" s="6"/>
      <c r="JR61" s="6"/>
      <c r="JS61" s="6"/>
      <c r="JT61" s="766"/>
      <c r="JU61" s="766"/>
      <c r="JV61" s="766"/>
      <c r="JW61" s="766"/>
      <c r="JX61" s="6"/>
      <c r="JY61" s="6"/>
      <c r="JZ61" s="6"/>
      <c r="KA61" s="6"/>
      <c r="KB61" s="6"/>
      <c r="KC61" s="6"/>
      <c r="KD61" s="6"/>
      <c r="KE61" s="6"/>
      <c r="KF61" s="6"/>
      <c r="KG61" s="6"/>
      <c r="KH61" s="6"/>
      <c r="KI61" s="6"/>
      <c r="KJ61" s="770"/>
      <c r="KK61" s="770"/>
      <c r="KL61" s="770"/>
      <c r="KM61" s="770"/>
      <c r="KN61" s="6"/>
      <c r="KO61" s="1688"/>
      <c r="KP61" s="6"/>
      <c r="KQ61" s="6"/>
      <c r="KR61" s="6"/>
      <c r="KS61" s="6"/>
      <c r="KT61" s="6"/>
      <c r="KU61" s="6"/>
      <c r="KV61" s="6"/>
      <c r="KW61" s="6"/>
      <c r="KX61" s="6"/>
      <c r="KY61" s="6"/>
      <c r="KZ61" s="6"/>
      <c r="LA61" s="6"/>
      <c r="LB61" s="6"/>
      <c r="LC61" s="6"/>
      <c r="LD61" s="6"/>
      <c r="LE61" s="6"/>
      <c r="LF61" s="6"/>
      <c r="LG61" s="6"/>
      <c r="LH61" s="6"/>
      <c r="LI61" s="6"/>
      <c r="LJ61" s="6"/>
      <c r="LK61" s="6"/>
      <c r="LL61" s="6"/>
      <c r="LM61" s="6"/>
      <c r="LN61" s="766"/>
      <c r="LO61" s="766"/>
      <c r="LP61" s="6"/>
      <c r="LQ61" s="1690"/>
      <c r="LR61" s="6"/>
      <c r="LS61" s="6"/>
      <c r="LT61" s="6"/>
      <c r="LU61" s="6"/>
      <c r="LV61" s="6"/>
      <c r="LW61" s="6"/>
      <c r="LX61" s="1693"/>
      <c r="LY61" s="766" t="str">
        <f t="shared" si="6"/>
        <v/>
      </c>
      <c r="LZ61" s="1694"/>
      <c r="MA61" s="1694"/>
      <c r="MB61" s="1694"/>
      <c r="MC61" s="1679">
        <f t="shared" si="1"/>
        <v>0</v>
      </c>
      <c r="MD61" s="1694"/>
      <c r="ME61" s="1694"/>
      <c r="MF61" s="1694"/>
      <c r="MG61" s="1680">
        <f t="shared" si="2"/>
        <v>0</v>
      </c>
      <c r="MH61" s="1690"/>
      <c r="MI61" s="64"/>
      <c r="MJ61" s="64"/>
      <c r="MK61" s="64"/>
      <c r="ML61" s="64"/>
      <c r="MM61" s="64"/>
      <c r="MN61" s="64"/>
      <c r="MO61" s="64"/>
      <c r="MP61" s="64"/>
      <c r="MQ61" s="64"/>
      <c r="MR61" s="64"/>
      <c r="MS61" s="64"/>
      <c r="MT61" s="64"/>
      <c r="MU61" s="64"/>
      <c r="MV61" s="64"/>
      <c r="MW61" s="64"/>
      <c r="MX61" s="64"/>
      <c r="MY61" s="1682">
        <f t="shared" si="3"/>
        <v>0</v>
      </c>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1687"/>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1026"/>
      <c r="RG61" s="6"/>
      <c r="RH61" s="64"/>
      <c r="RI61" s="6"/>
      <c r="RJ61" s="6" t="s">
        <v>13063</v>
      </c>
      <c r="RK61" s="6"/>
      <c r="RL61" s="1691"/>
      <c r="RM61" s="1714" t="s">
        <v>13049</v>
      </c>
      <c r="RN61" s="1724">
        <v>42912</v>
      </c>
      <c r="RO61" s="169" t="s">
        <v>11234</v>
      </c>
      <c r="RR61" s="93"/>
      <c r="RS61" s="6"/>
      <c r="RV61" s="6" t="s">
        <v>7419</v>
      </c>
      <c r="RW61" s="1020" t="s">
        <v>11933</v>
      </c>
      <c r="RX61" s="1020" t="s">
        <v>11225</v>
      </c>
      <c r="RZ61" s="1020" t="s">
        <v>7419</v>
      </c>
      <c r="SA61" s="6"/>
    </row>
    <row r="62" spans="1:495" s="1020" customFormat="1" ht="15" hidden="1" customHeight="1">
      <c r="A62" s="861" t="s">
        <v>7419</v>
      </c>
      <c r="B62" s="1029" t="s">
        <v>11936</v>
      </c>
      <c r="C62" s="169" t="s">
        <v>11238</v>
      </c>
      <c r="D62" s="6" t="s">
        <v>11226</v>
      </c>
      <c r="E62" s="6" t="s">
        <v>11235</v>
      </c>
      <c r="F62" s="6" t="s">
        <v>20</v>
      </c>
      <c r="G62" s="6" t="s">
        <v>18</v>
      </c>
      <c r="H62" s="6"/>
      <c r="I62" s="1012"/>
      <c r="J62" s="6" t="s">
        <v>11229</v>
      </c>
      <c r="K62" s="6" t="s">
        <v>14115</v>
      </c>
      <c r="L62" s="6" t="s">
        <v>14116</v>
      </c>
      <c r="M62" s="6"/>
      <c r="N62" s="6" t="s">
        <v>11230</v>
      </c>
      <c r="O62" s="6" t="s">
        <v>11231</v>
      </c>
      <c r="P62" s="843"/>
      <c r="Q62" s="1086"/>
      <c r="R62" s="1015"/>
      <c r="S62" s="6"/>
      <c r="T62" s="6"/>
      <c r="U62" s="1016"/>
      <c r="V62" s="6"/>
      <c r="W62" s="1016"/>
      <c r="X62" s="1014"/>
      <c r="Y62" s="6"/>
      <c r="Z62" s="6"/>
      <c r="AA62" s="6"/>
      <c r="AB62" s="6"/>
      <c r="AC62" s="6"/>
      <c r="AD62" s="6"/>
      <c r="AE62" s="6"/>
      <c r="AF62" s="6"/>
      <c r="AG62" s="6" t="s">
        <v>1095</v>
      </c>
      <c r="AH62" s="766" t="s">
        <v>1096</v>
      </c>
      <c r="AI62" s="6" t="s">
        <v>11239</v>
      </c>
      <c r="AJ62" s="6"/>
      <c r="AK62" s="6" t="s">
        <v>1097</v>
      </c>
      <c r="AL62" s="124">
        <v>233</v>
      </c>
      <c r="AM62" s="45">
        <v>6</v>
      </c>
      <c r="AN62" s="47">
        <f>AM62/AL62</f>
        <v>2.575107296137339E-2</v>
      </c>
      <c r="AO62" s="6" t="s">
        <v>1098</v>
      </c>
      <c r="AP62" s="6"/>
      <c r="AQ62" s="6"/>
      <c r="AR62" s="6"/>
      <c r="AS62" s="6" t="s">
        <v>1207</v>
      </c>
      <c r="AT62" s="6"/>
      <c r="AU62" s="6"/>
      <c r="AV62" s="6"/>
      <c r="AW62" s="6"/>
      <c r="AX62" s="1032"/>
      <c r="AY62" s="6"/>
      <c r="AZ62" s="6"/>
      <c r="BA62" s="6"/>
      <c r="BB62" s="6"/>
      <c r="BC62" s="6"/>
      <c r="BD62" s="6"/>
      <c r="BE62" s="6"/>
      <c r="BF62" s="64"/>
      <c r="BG62" s="64"/>
      <c r="BH62" s="6"/>
      <c r="BI62" s="6"/>
      <c r="BJ62" s="6"/>
      <c r="BK62" s="6"/>
      <c r="BL62" s="6"/>
      <c r="BM62" s="6"/>
      <c r="BN62" s="6"/>
      <c r="BO62" s="1019"/>
      <c r="BP62" s="1033"/>
      <c r="BQ62" s="46"/>
      <c r="BR62" s="47"/>
      <c r="BS62" s="6"/>
      <c r="BT62" s="1019"/>
      <c r="BU62" s="1019"/>
      <c r="BV62" s="1019"/>
      <c r="BW62" s="1019"/>
      <c r="BX62" s="96"/>
      <c r="BY62" s="6"/>
      <c r="BZ62" s="64"/>
      <c r="CA62" s="6"/>
      <c r="CB62" s="6" t="s">
        <v>1207</v>
      </c>
      <c r="CC62" s="6" t="s">
        <v>11239</v>
      </c>
      <c r="CD62" s="6"/>
      <c r="CE62" s="6"/>
      <c r="CF62" s="1021">
        <v>2.8</v>
      </c>
      <c r="CG62" s="1021">
        <v>6</v>
      </c>
      <c r="CH62" s="6" t="s">
        <v>11240</v>
      </c>
      <c r="CI62" s="6"/>
      <c r="CJ62" s="6"/>
      <c r="CK62" s="6"/>
      <c r="CL62" s="6"/>
      <c r="CM62" s="6"/>
      <c r="CN62" s="6"/>
      <c r="CO62" s="6"/>
      <c r="CP62" s="6"/>
      <c r="CQ62" s="6"/>
      <c r="CR62" s="64"/>
      <c r="CS62" s="6"/>
      <c r="CT62" s="6"/>
      <c r="CU62" s="1022"/>
      <c r="CV62" s="6"/>
      <c r="CW62" s="6"/>
      <c r="CX62" s="6"/>
      <c r="CY62" s="6"/>
      <c r="CZ62" s="6"/>
      <c r="DA62" s="6"/>
      <c r="DB62" s="6"/>
      <c r="DC62" s="6"/>
      <c r="DD62" s="6"/>
      <c r="DE62" s="6"/>
      <c r="DF62" s="6"/>
      <c r="DG62" s="6"/>
      <c r="DH62" s="6"/>
      <c r="DI62" s="6"/>
      <c r="DJ62" s="6"/>
      <c r="DK62" s="6"/>
      <c r="DL62" s="6"/>
      <c r="DM62" s="6"/>
      <c r="DN62" s="6"/>
      <c r="DO62" s="6"/>
      <c r="DP62" s="6"/>
      <c r="DQ62" s="6"/>
      <c r="DR62" s="6"/>
      <c r="DS62" s="1023"/>
      <c r="DT62" s="6"/>
      <c r="DU62" s="6"/>
      <c r="DV62" s="6"/>
      <c r="DW62" s="1024"/>
      <c r="DX62" s="1024"/>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4"/>
      <c r="FE62" s="6"/>
      <c r="FF62" s="6"/>
      <c r="FG62" s="6"/>
      <c r="FH62" s="6"/>
      <c r="FI62" s="6"/>
      <c r="FJ62" s="6"/>
      <c r="FK62" s="6"/>
      <c r="FL62" s="6"/>
      <c r="FM62" s="64"/>
      <c r="FN62" s="64"/>
      <c r="FO62" s="64"/>
      <c r="FP62" s="6"/>
      <c r="FQ62" s="6"/>
      <c r="FR62" s="1019"/>
      <c r="FS62" s="1019"/>
      <c r="FT62" s="1019"/>
      <c r="FU62" s="6"/>
      <c r="FV62" s="6"/>
      <c r="FW62" s="6"/>
      <c r="FX62" s="6"/>
      <c r="FY62" s="6"/>
      <c r="FZ62" s="6"/>
      <c r="GA62" s="6"/>
      <c r="GB62" s="6"/>
      <c r="GC62" s="1028"/>
      <c r="GD62" s="1015"/>
      <c r="GE62" s="6"/>
      <c r="GF62" s="64"/>
      <c r="GG62" s="64"/>
      <c r="GH62" s="1722"/>
      <c r="GI62" s="1722"/>
      <c r="GJ62" s="1722"/>
      <c r="GK62" s="1722"/>
      <c r="GL62" s="1722"/>
      <c r="GM62" s="1722"/>
      <c r="GN62" s="1723"/>
      <c r="GO62" s="1723"/>
      <c r="GP62" s="1723"/>
      <c r="GQ62" s="1723"/>
      <c r="GR62" s="1723"/>
      <c r="GS62" s="1722"/>
      <c r="GT62" s="1723"/>
      <c r="GU62" s="1722"/>
      <c r="GV62" s="1723"/>
      <c r="GW62" s="1723"/>
      <c r="GX62" s="1723"/>
      <c r="GY62" s="1723"/>
      <c r="GZ62" s="1723"/>
      <c r="HA62" s="1723"/>
      <c r="HB62" s="1723"/>
      <c r="HC62" s="1722"/>
      <c r="HD62" s="1723"/>
      <c r="HE62" s="1722"/>
      <c r="HF62" s="1722"/>
      <c r="HG62" s="1722"/>
      <c r="HH62" s="1722"/>
      <c r="HI62" s="1722"/>
      <c r="HJ62" s="1722"/>
      <c r="HK62" s="1722"/>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1028"/>
      <c r="IN62" s="6"/>
      <c r="IO62" s="1014"/>
      <c r="IP62" s="6"/>
      <c r="IQ62" s="6"/>
      <c r="IR62" s="6"/>
      <c r="IS62" s="6"/>
      <c r="IT62" s="6"/>
      <c r="IU62" s="6"/>
      <c r="IV62" s="6"/>
      <c r="IW62" s="6"/>
      <c r="IX62" s="6"/>
      <c r="IY62" s="6"/>
      <c r="IZ62" s="6"/>
      <c r="JA62" s="6"/>
      <c r="JB62" s="6"/>
      <c r="JC62" s="6"/>
      <c r="JD62" s="64"/>
      <c r="JE62" s="6"/>
      <c r="JF62" s="1688"/>
      <c r="JG62" s="1687"/>
      <c r="JH62" s="1687"/>
      <c r="JI62" s="1687"/>
      <c r="JJ62" s="6"/>
      <c r="JK62" s="6"/>
      <c r="JL62" s="6"/>
      <c r="JM62" s="6"/>
      <c r="JN62" s="6"/>
      <c r="JO62" s="6"/>
      <c r="JP62" s="6"/>
      <c r="JQ62" s="6"/>
      <c r="JR62" s="6"/>
      <c r="JS62" s="6"/>
      <c r="JT62" s="766"/>
      <c r="JU62" s="766"/>
      <c r="JV62" s="766"/>
      <c r="JW62" s="766"/>
      <c r="JX62" s="6"/>
      <c r="JY62" s="6"/>
      <c r="JZ62" s="6"/>
      <c r="KA62" s="6"/>
      <c r="KB62" s="6"/>
      <c r="KC62" s="6"/>
      <c r="KD62" s="6"/>
      <c r="KE62" s="6"/>
      <c r="KF62" s="6"/>
      <c r="KG62" s="6"/>
      <c r="KH62" s="6"/>
      <c r="KI62" s="6"/>
      <c r="KJ62" s="770"/>
      <c r="KK62" s="770"/>
      <c r="KL62" s="770"/>
      <c r="KM62" s="770"/>
      <c r="KN62" s="6"/>
      <c r="KO62" s="1688"/>
      <c r="KP62" s="6"/>
      <c r="KQ62" s="6"/>
      <c r="KR62" s="6"/>
      <c r="KS62" s="6"/>
      <c r="KT62" s="6"/>
      <c r="KU62" s="6"/>
      <c r="KV62" s="6"/>
      <c r="KW62" s="6"/>
      <c r="KX62" s="6"/>
      <c r="KY62" s="6"/>
      <c r="KZ62" s="6"/>
      <c r="LA62" s="6"/>
      <c r="LB62" s="6"/>
      <c r="LC62" s="6"/>
      <c r="LD62" s="6"/>
      <c r="LE62" s="6"/>
      <c r="LF62" s="6"/>
      <c r="LG62" s="6"/>
      <c r="LH62" s="6"/>
      <c r="LI62" s="6"/>
      <c r="LJ62" s="6"/>
      <c r="LK62" s="6"/>
      <c r="LL62" s="6"/>
      <c r="LM62" s="6"/>
      <c r="LN62" s="766"/>
      <c r="LO62" s="766"/>
      <c r="LP62" s="6"/>
      <c r="LQ62" s="1690"/>
      <c r="LR62" s="6"/>
      <c r="LS62" s="6"/>
      <c r="LT62" s="6"/>
      <c r="LU62" s="6"/>
      <c r="LV62" s="6"/>
      <c r="LW62" s="6"/>
      <c r="LX62" s="1693"/>
      <c r="LY62" s="766" t="str">
        <f t="shared" si="6"/>
        <v/>
      </c>
      <c r="LZ62" s="1694"/>
      <c r="MA62" s="1694"/>
      <c r="MB62" s="1694"/>
      <c r="MC62" s="1679">
        <f t="shared" si="1"/>
        <v>0</v>
      </c>
      <c r="MD62" s="1694"/>
      <c r="ME62" s="1694"/>
      <c r="MF62" s="1694"/>
      <c r="MG62" s="1680">
        <f t="shared" si="2"/>
        <v>0</v>
      </c>
      <c r="MH62" s="1690"/>
      <c r="MI62" s="64"/>
      <c r="MJ62" s="64"/>
      <c r="MK62" s="64"/>
      <c r="ML62" s="64"/>
      <c r="MM62" s="64"/>
      <c r="MN62" s="64"/>
      <c r="MO62" s="64"/>
      <c r="MP62" s="64"/>
      <c r="MQ62" s="64"/>
      <c r="MR62" s="64"/>
      <c r="MS62" s="64"/>
      <c r="MT62" s="64"/>
      <c r="MU62" s="64"/>
      <c r="MV62" s="64"/>
      <c r="MW62" s="64"/>
      <c r="MX62" s="64"/>
      <c r="MY62" s="1682">
        <f t="shared" si="3"/>
        <v>0</v>
      </c>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c r="OK62" s="1687"/>
      <c r="OL62" s="6"/>
      <c r="OM62" s="6"/>
      <c r="ON62" s="6"/>
      <c r="OO62" s="6"/>
      <c r="OP62" s="6"/>
      <c r="OQ62" s="6"/>
      <c r="OR62" s="6"/>
      <c r="OS62" s="6"/>
      <c r="OT62" s="6"/>
      <c r="OU62" s="6"/>
      <c r="OV62" s="6"/>
      <c r="OW62" s="6"/>
      <c r="OX62" s="6"/>
      <c r="OY62" s="6"/>
      <c r="OZ62" s="6"/>
      <c r="PA62" s="6"/>
      <c r="PB62" s="6"/>
      <c r="PC62" s="6"/>
      <c r="PD62" s="6"/>
      <c r="PE62" s="6"/>
      <c r="PF62" s="6"/>
      <c r="PG62" s="6"/>
      <c r="PH62" s="6"/>
      <c r="PI62" s="6"/>
      <c r="PJ62" s="6"/>
      <c r="PK62" s="6"/>
      <c r="PL62" s="6"/>
      <c r="PM62" s="6"/>
      <c r="PN62" s="6"/>
      <c r="PO62" s="6"/>
      <c r="PP62" s="6"/>
      <c r="PQ62" s="6"/>
      <c r="PR62" s="6"/>
      <c r="PS62" s="6"/>
      <c r="PT62" s="6"/>
      <c r="PU62" s="6"/>
      <c r="PV62" s="6"/>
      <c r="PW62" s="6"/>
      <c r="PX62" s="6"/>
      <c r="PY62" s="6"/>
      <c r="PZ62" s="6"/>
      <c r="QA62" s="6"/>
      <c r="QB62" s="6"/>
      <c r="QC62" s="6"/>
      <c r="QD62" s="6"/>
      <c r="QE62" s="6"/>
      <c r="QF62" s="6"/>
      <c r="QG62" s="6"/>
      <c r="QH62" s="6"/>
      <c r="QI62" s="6"/>
      <c r="QJ62" s="6"/>
      <c r="QK62" s="6"/>
      <c r="QL62" s="6"/>
      <c r="QM62" s="6"/>
      <c r="QN62" s="6"/>
      <c r="QO62" s="6"/>
      <c r="QP62" s="6"/>
      <c r="QQ62" s="6"/>
      <c r="QR62" s="6"/>
      <c r="QS62" s="6"/>
      <c r="QT62" s="6"/>
      <c r="QU62" s="6"/>
      <c r="QV62" s="6"/>
      <c r="QW62" s="6"/>
      <c r="QX62" s="6"/>
      <c r="QY62" s="6"/>
      <c r="QZ62" s="6"/>
      <c r="RA62" s="6"/>
      <c r="RB62" s="6"/>
      <c r="RC62" s="6"/>
      <c r="RD62" s="6"/>
      <c r="RE62" s="6"/>
      <c r="RF62" s="1026"/>
      <c r="RG62" s="6"/>
      <c r="RH62" s="64"/>
      <c r="RI62" s="6"/>
      <c r="RJ62" s="6" t="s">
        <v>13063</v>
      </c>
      <c r="RK62" s="6"/>
      <c r="RL62" s="1691"/>
      <c r="RM62" s="1714" t="s">
        <v>13049</v>
      </c>
      <c r="RN62" s="1724">
        <v>42912</v>
      </c>
      <c r="RO62" s="169" t="s">
        <v>11238</v>
      </c>
      <c r="RR62" s="93"/>
      <c r="RS62" s="6"/>
      <c r="RV62" s="6" t="s">
        <v>7419</v>
      </c>
      <c r="RW62" s="1020" t="s">
        <v>11935</v>
      </c>
      <c r="RX62" s="1020" t="s">
        <v>11928</v>
      </c>
      <c r="RZ62" s="1020" t="s">
        <v>7419</v>
      </c>
      <c r="SA62" s="6"/>
    </row>
    <row r="63" spans="1:495" s="1020" customFormat="1" ht="15" hidden="1" customHeight="1">
      <c r="A63" s="861" t="s">
        <v>7419</v>
      </c>
      <c r="B63" s="1029" t="s">
        <v>11937</v>
      </c>
      <c r="C63" s="169" t="s">
        <v>11938</v>
      </c>
      <c r="D63" s="6" t="s">
        <v>11939</v>
      </c>
      <c r="E63" s="6" t="s">
        <v>12529</v>
      </c>
      <c r="F63" s="6"/>
      <c r="G63" s="6"/>
      <c r="H63" s="6"/>
      <c r="I63" s="1012"/>
      <c r="J63" s="6" t="s">
        <v>11940</v>
      </c>
      <c r="K63" s="6"/>
      <c r="L63" s="6"/>
      <c r="M63" s="6"/>
      <c r="N63" s="6"/>
      <c r="O63" s="6"/>
      <c r="P63" s="6" t="s">
        <v>11940</v>
      </c>
      <c r="Q63" s="1086"/>
      <c r="R63" s="1015"/>
      <c r="S63" s="6"/>
      <c r="T63" s="6"/>
      <c r="U63" s="1016"/>
      <c r="V63" s="6"/>
      <c r="W63" s="1016"/>
      <c r="X63" s="1014"/>
      <c r="Y63" s="6"/>
      <c r="Z63" s="6"/>
      <c r="AA63" s="6"/>
      <c r="AB63" s="6"/>
      <c r="AC63" s="6"/>
      <c r="AD63" s="6"/>
      <c r="AE63" s="6"/>
      <c r="AF63" s="6"/>
      <c r="AG63" s="6" t="s">
        <v>1095</v>
      </c>
      <c r="AH63" s="766" t="s">
        <v>1096</v>
      </c>
      <c r="AI63" s="6" t="s">
        <v>11941</v>
      </c>
      <c r="AJ63" s="6"/>
      <c r="AK63" s="6" t="s">
        <v>1097</v>
      </c>
      <c r="AL63" s="124">
        <v>480</v>
      </c>
      <c r="AM63" s="45">
        <v>60</v>
      </c>
      <c r="AN63" s="47">
        <f>AM63/AL63</f>
        <v>0.125</v>
      </c>
      <c r="AO63" s="6" t="s">
        <v>1109</v>
      </c>
      <c r="AP63" s="6"/>
      <c r="AQ63" s="6"/>
      <c r="AR63" s="6"/>
      <c r="AS63" s="6" t="s">
        <v>1207</v>
      </c>
      <c r="AT63" s="6"/>
      <c r="AU63" s="6"/>
      <c r="AV63" s="6"/>
      <c r="AW63" s="6"/>
      <c r="AX63" s="1032"/>
      <c r="AY63" s="6"/>
      <c r="AZ63" s="6"/>
      <c r="BA63" s="6"/>
      <c r="BB63" s="6"/>
      <c r="BC63" s="6"/>
      <c r="BD63" s="6"/>
      <c r="BE63" s="6"/>
      <c r="BF63" s="64"/>
      <c r="BG63" s="64"/>
      <c r="BH63" s="6"/>
      <c r="BI63" s="6"/>
      <c r="BJ63" s="6"/>
      <c r="BK63" s="6" t="s">
        <v>1095</v>
      </c>
      <c r="BL63" s="6" t="s">
        <v>11941</v>
      </c>
      <c r="BM63" s="6" t="s">
        <v>1096</v>
      </c>
      <c r="BN63" s="6" t="s">
        <v>1230</v>
      </c>
      <c r="BO63" s="1019" t="s">
        <v>1246</v>
      </c>
      <c r="BP63" s="1033">
        <v>109.92</v>
      </c>
      <c r="BQ63" s="46">
        <v>20.010000000000002</v>
      </c>
      <c r="BR63" s="47">
        <f>BQ63/BP63</f>
        <v>0.18204148471615722</v>
      </c>
      <c r="BS63" s="766" t="s">
        <v>1242</v>
      </c>
      <c r="BT63" s="1019"/>
      <c r="BU63" s="1019"/>
      <c r="BV63" s="1019"/>
      <c r="BW63" s="1019"/>
      <c r="BX63" s="96"/>
      <c r="BY63" s="6"/>
      <c r="BZ63" s="64"/>
      <c r="CA63" s="6"/>
      <c r="CB63" s="6"/>
      <c r="CC63" s="6"/>
      <c r="CD63" s="6"/>
      <c r="CE63" s="6"/>
      <c r="CF63" s="1021"/>
      <c r="CG63" s="1021"/>
      <c r="CH63" s="6"/>
      <c r="CI63" s="6"/>
      <c r="CJ63" s="6"/>
      <c r="CK63" s="6"/>
      <c r="CL63" s="6"/>
      <c r="CM63" s="6"/>
      <c r="CN63" s="6"/>
      <c r="CO63" s="6"/>
      <c r="CP63" s="6"/>
      <c r="CQ63" s="6"/>
      <c r="CR63" s="64"/>
      <c r="CS63" s="6"/>
      <c r="CT63" s="6"/>
      <c r="CU63" s="1022"/>
      <c r="CV63" s="6"/>
      <c r="CW63" s="6"/>
      <c r="CX63" s="6"/>
      <c r="CY63" s="6"/>
      <c r="CZ63" s="6"/>
      <c r="DA63" s="6"/>
      <c r="DB63" s="6"/>
      <c r="DC63" s="6"/>
      <c r="DD63" s="6"/>
      <c r="DE63" s="6"/>
      <c r="DF63" s="6"/>
      <c r="DG63" s="6"/>
      <c r="DH63" s="6"/>
      <c r="DI63" s="6"/>
      <c r="DJ63" s="6"/>
      <c r="DK63" s="6"/>
      <c r="DL63" s="6"/>
      <c r="DM63" s="6"/>
      <c r="DN63" s="6"/>
      <c r="DO63" s="6"/>
      <c r="DP63" s="6"/>
      <c r="DQ63" s="6"/>
      <c r="DR63" s="6"/>
      <c r="DS63" s="1023"/>
      <c r="DT63" s="6"/>
      <c r="DU63" s="6"/>
      <c r="DV63" s="6"/>
      <c r="DW63" s="1024"/>
      <c r="DX63" s="1024"/>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4"/>
      <c r="FE63" s="6"/>
      <c r="FF63" s="6"/>
      <c r="FG63" s="6"/>
      <c r="FH63" s="6"/>
      <c r="FI63" s="6"/>
      <c r="FJ63" s="6"/>
      <c r="FK63" s="6"/>
      <c r="FL63" s="6"/>
      <c r="FM63" s="64"/>
      <c r="FN63" s="64"/>
      <c r="FO63" s="64"/>
      <c r="FP63" s="6"/>
      <c r="FQ63" s="6"/>
      <c r="FR63" s="1019"/>
      <c r="FS63" s="1019"/>
      <c r="FT63" s="1019"/>
      <c r="FU63" s="6"/>
      <c r="FV63" s="6"/>
      <c r="FW63" s="6"/>
      <c r="FX63" s="6"/>
      <c r="FY63" s="6"/>
      <c r="FZ63" s="6"/>
      <c r="GA63" s="6"/>
      <c r="GB63" s="6"/>
      <c r="GC63" s="1028"/>
      <c r="GD63" s="1015"/>
      <c r="GE63" s="6"/>
      <c r="GF63" s="64"/>
      <c r="GG63" s="64"/>
      <c r="GH63" s="1722"/>
      <c r="GI63" s="1722"/>
      <c r="GJ63" s="1722"/>
      <c r="GK63" s="1722"/>
      <c r="GL63" s="1722"/>
      <c r="GM63" s="1722"/>
      <c r="GN63" s="1723"/>
      <c r="GO63" s="1723"/>
      <c r="GP63" s="1723"/>
      <c r="GQ63" s="1723"/>
      <c r="GR63" s="1723"/>
      <c r="GS63" s="1722"/>
      <c r="GT63" s="1723"/>
      <c r="GU63" s="1722"/>
      <c r="GV63" s="1723"/>
      <c r="GW63" s="1723"/>
      <c r="GX63" s="1723"/>
      <c r="GY63" s="1723"/>
      <c r="GZ63" s="1723"/>
      <c r="HA63" s="1723"/>
      <c r="HB63" s="1723"/>
      <c r="HC63" s="1722"/>
      <c r="HD63" s="1723"/>
      <c r="HE63" s="1722"/>
      <c r="HF63" s="1722"/>
      <c r="HG63" s="1722"/>
      <c r="HH63" s="1722"/>
      <c r="HI63" s="1722"/>
      <c r="HJ63" s="1722"/>
      <c r="HK63" s="1722"/>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1028"/>
      <c r="IN63" s="6"/>
      <c r="IO63" s="1014"/>
      <c r="IP63" s="6"/>
      <c r="IQ63" s="6"/>
      <c r="IR63" s="6"/>
      <c r="IS63" s="6"/>
      <c r="IT63" s="6"/>
      <c r="IU63" s="6"/>
      <c r="IV63" s="6"/>
      <c r="IW63" s="6"/>
      <c r="IX63" s="6"/>
      <c r="IY63" s="6"/>
      <c r="IZ63" s="6"/>
      <c r="JA63" s="6"/>
      <c r="JB63" s="6"/>
      <c r="JC63" s="6"/>
      <c r="JD63" s="64"/>
      <c r="JE63" s="6"/>
      <c r="JF63" s="1688"/>
      <c r="JG63" s="1687"/>
      <c r="JH63" s="1687"/>
      <c r="JI63" s="1687"/>
      <c r="JJ63" s="6"/>
      <c r="JK63" s="6"/>
      <c r="JL63" s="6"/>
      <c r="JM63" s="6"/>
      <c r="JN63" s="6"/>
      <c r="JO63" s="6"/>
      <c r="JP63" s="6"/>
      <c r="JQ63" s="6"/>
      <c r="JR63" s="6"/>
      <c r="JS63" s="6"/>
      <c r="JT63" s="766"/>
      <c r="JU63" s="766"/>
      <c r="JV63" s="766"/>
      <c r="JW63" s="766"/>
      <c r="JX63" s="6"/>
      <c r="JY63" s="6"/>
      <c r="JZ63" s="6"/>
      <c r="KA63" s="6"/>
      <c r="KB63" s="6"/>
      <c r="KC63" s="6"/>
      <c r="KD63" s="6"/>
      <c r="KE63" s="6"/>
      <c r="KF63" s="6"/>
      <c r="KG63" s="6"/>
      <c r="KH63" s="6"/>
      <c r="KI63" s="6"/>
      <c r="KJ63" s="770"/>
      <c r="KK63" s="770"/>
      <c r="KL63" s="770"/>
      <c r="KM63" s="770"/>
      <c r="KN63" s="6"/>
      <c r="KO63" s="1688"/>
      <c r="KP63" s="6"/>
      <c r="KQ63" s="6"/>
      <c r="KR63" s="6"/>
      <c r="KS63" s="6"/>
      <c r="KT63" s="6"/>
      <c r="KU63" s="6"/>
      <c r="KV63" s="6"/>
      <c r="KW63" s="6"/>
      <c r="KX63" s="6"/>
      <c r="KY63" s="6"/>
      <c r="KZ63" s="6"/>
      <c r="LA63" s="6"/>
      <c r="LB63" s="6"/>
      <c r="LC63" s="6"/>
      <c r="LD63" s="6"/>
      <c r="LE63" s="6"/>
      <c r="LF63" s="6"/>
      <c r="LG63" s="6"/>
      <c r="LH63" s="6"/>
      <c r="LI63" s="6"/>
      <c r="LJ63" s="6"/>
      <c r="LK63" s="6"/>
      <c r="LL63" s="6"/>
      <c r="LM63" s="6"/>
      <c r="LN63" s="766"/>
      <c r="LO63" s="766"/>
      <c r="LP63" s="6"/>
      <c r="LQ63" s="1690"/>
      <c r="LR63" s="6"/>
      <c r="LS63" s="6"/>
      <c r="LT63" s="6"/>
      <c r="LU63" s="6"/>
      <c r="LV63" s="6"/>
      <c r="LW63" s="6"/>
      <c r="LX63" s="1693"/>
      <c r="LY63" s="766" t="str">
        <f t="shared" si="6"/>
        <v/>
      </c>
      <c r="LZ63" s="1694"/>
      <c r="MA63" s="1694"/>
      <c r="MB63" s="1694"/>
      <c r="MC63" s="1679">
        <f t="shared" si="1"/>
        <v>0</v>
      </c>
      <c r="MD63" s="1694"/>
      <c r="ME63" s="1694"/>
      <c r="MF63" s="1694"/>
      <c r="MG63" s="1680">
        <f t="shared" si="2"/>
        <v>0</v>
      </c>
      <c r="MH63" s="1690"/>
      <c r="MI63" s="64"/>
      <c r="MJ63" s="64"/>
      <c r="MK63" s="64"/>
      <c r="ML63" s="64"/>
      <c r="MM63" s="64"/>
      <c r="MN63" s="64"/>
      <c r="MO63" s="64"/>
      <c r="MP63" s="64"/>
      <c r="MQ63" s="64"/>
      <c r="MR63" s="64"/>
      <c r="MS63" s="64"/>
      <c r="MT63" s="64"/>
      <c r="MU63" s="64"/>
      <c r="MV63" s="64"/>
      <c r="MW63" s="64"/>
      <c r="MX63" s="64"/>
      <c r="MY63" s="1682">
        <f t="shared" si="3"/>
        <v>0</v>
      </c>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1687"/>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1026"/>
      <c r="RG63" s="6"/>
      <c r="RH63" s="64"/>
      <c r="RI63" s="6"/>
      <c r="RJ63" s="6"/>
      <c r="RK63" s="6"/>
      <c r="RL63" s="1691"/>
      <c r="RM63" s="1714"/>
      <c r="RN63" s="1724"/>
      <c r="RO63" s="169" t="s">
        <v>11938</v>
      </c>
      <c r="RR63" s="93"/>
      <c r="RS63" s="6"/>
      <c r="RV63" s="6" t="s">
        <v>7419</v>
      </c>
      <c r="RW63" s="1020" t="s">
        <v>11934</v>
      </c>
      <c r="RX63" s="1020" t="s">
        <v>11234</v>
      </c>
      <c r="RZ63" s="1020" t="s">
        <v>7419</v>
      </c>
      <c r="SA63" s="6"/>
    </row>
    <row r="64" spans="1:495" s="1020" customFormat="1" ht="15" hidden="1" customHeight="1">
      <c r="A64" s="861" t="s">
        <v>7419</v>
      </c>
      <c r="B64" s="1029" t="s">
        <v>11942</v>
      </c>
      <c r="C64" s="169" t="s">
        <v>11943</v>
      </c>
      <c r="D64" s="6" t="s">
        <v>11944</v>
      </c>
      <c r="E64" s="6" t="s">
        <v>12529</v>
      </c>
      <c r="F64" s="6"/>
      <c r="G64" s="6"/>
      <c r="H64" s="6"/>
      <c r="I64" s="1012"/>
      <c r="J64" s="6"/>
      <c r="K64" s="6"/>
      <c r="L64" s="6"/>
      <c r="M64" s="6"/>
      <c r="N64" s="6"/>
      <c r="O64" s="6"/>
      <c r="P64" s="843"/>
      <c r="Q64" s="1086"/>
      <c r="R64" s="1015"/>
      <c r="S64" s="6"/>
      <c r="T64" s="6"/>
      <c r="U64" s="1016"/>
      <c r="V64" s="6"/>
      <c r="W64" s="1016"/>
      <c r="X64" s="1014"/>
      <c r="Y64" s="6"/>
      <c r="Z64" s="6"/>
      <c r="AA64" s="6"/>
      <c r="AB64" s="6"/>
      <c r="AC64" s="6"/>
      <c r="AD64" s="6"/>
      <c r="AE64" s="6"/>
      <c r="AF64" s="6"/>
      <c r="AG64" s="6" t="s">
        <v>1095</v>
      </c>
      <c r="AH64" s="766" t="s">
        <v>1096</v>
      </c>
      <c r="AI64" s="6" t="s">
        <v>1881</v>
      </c>
      <c r="AJ64" s="6"/>
      <c r="AK64" s="6" t="s">
        <v>1097</v>
      </c>
      <c r="AL64" s="1128"/>
      <c r="AM64" s="1130"/>
      <c r="AN64" s="1129"/>
      <c r="AO64" s="561"/>
      <c r="AP64" s="6"/>
      <c r="AQ64" s="6"/>
      <c r="AR64" s="6"/>
      <c r="AS64" s="6"/>
      <c r="AT64" s="6"/>
      <c r="AU64" s="6"/>
      <c r="AV64" s="6"/>
      <c r="AW64" s="6"/>
      <c r="AX64" s="1032"/>
      <c r="AY64" s="6"/>
      <c r="AZ64" s="6"/>
      <c r="BA64" s="6"/>
      <c r="BB64" s="6"/>
      <c r="BC64" s="6"/>
      <c r="BD64" s="6"/>
      <c r="BE64" s="6"/>
      <c r="BF64" s="64"/>
      <c r="BG64" s="64"/>
      <c r="BH64" s="6"/>
      <c r="BI64" s="6"/>
      <c r="BJ64" s="6"/>
      <c r="BK64" s="6"/>
      <c r="BL64" s="6"/>
      <c r="BM64" s="6"/>
      <c r="BN64" s="6"/>
      <c r="BO64" s="1019"/>
      <c r="BP64" s="1033"/>
      <c r="BQ64" s="46"/>
      <c r="BR64" s="47"/>
      <c r="BS64" s="6"/>
      <c r="BT64" s="1019"/>
      <c r="BU64" s="1019"/>
      <c r="BV64" s="1019"/>
      <c r="BW64" s="1019"/>
      <c r="BX64" s="96"/>
      <c r="BY64" s="6"/>
      <c r="BZ64" s="64"/>
      <c r="CA64" s="6"/>
      <c r="CB64" s="6"/>
      <c r="CC64" s="6"/>
      <c r="CD64" s="6"/>
      <c r="CE64" s="6"/>
      <c r="CF64" s="1021"/>
      <c r="CG64" s="1021"/>
      <c r="CH64" s="6"/>
      <c r="CI64" s="6"/>
      <c r="CJ64" s="6"/>
      <c r="CK64" s="6"/>
      <c r="CL64" s="6"/>
      <c r="CM64" s="6"/>
      <c r="CN64" s="6"/>
      <c r="CO64" s="6"/>
      <c r="CP64" s="6"/>
      <c r="CQ64" s="6"/>
      <c r="CR64" s="64"/>
      <c r="CS64" s="6"/>
      <c r="CT64" s="6"/>
      <c r="CU64" s="1022"/>
      <c r="CV64" s="6"/>
      <c r="CW64" s="6"/>
      <c r="CX64" s="6"/>
      <c r="CY64" s="6"/>
      <c r="CZ64" s="6"/>
      <c r="DA64" s="6"/>
      <c r="DB64" s="6"/>
      <c r="DC64" s="6"/>
      <c r="DD64" s="6"/>
      <c r="DE64" s="6"/>
      <c r="DF64" s="6"/>
      <c r="DG64" s="6"/>
      <c r="DH64" s="6"/>
      <c r="DI64" s="6"/>
      <c r="DJ64" s="6"/>
      <c r="DK64" s="6"/>
      <c r="DL64" s="6"/>
      <c r="DM64" s="6"/>
      <c r="DN64" s="6"/>
      <c r="DO64" s="6"/>
      <c r="DP64" s="6"/>
      <c r="DQ64" s="6"/>
      <c r="DR64" s="6"/>
      <c r="DS64" s="1023"/>
      <c r="DT64" s="6"/>
      <c r="DU64" s="6"/>
      <c r="DV64" s="6"/>
      <c r="DW64" s="1024"/>
      <c r="DX64" s="1024"/>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4"/>
      <c r="FE64" s="6"/>
      <c r="FF64" s="6"/>
      <c r="FG64" s="6"/>
      <c r="FH64" s="6"/>
      <c r="FI64" s="6"/>
      <c r="FJ64" s="6"/>
      <c r="FK64" s="6"/>
      <c r="FL64" s="6"/>
      <c r="FM64" s="64"/>
      <c r="FN64" s="64"/>
      <c r="FO64" s="64"/>
      <c r="FP64" s="6"/>
      <c r="FQ64" s="6"/>
      <c r="FR64" s="1019"/>
      <c r="FS64" s="1019"/>
      <c r="FT64" s="1019"/>
      <c r="FU64" s="6"/>
      <c r="FV64" s="6"/>
      <c r="FW64" s="6"/>
      <c r="FX64" s="6"/>
      <c r="FY64" s="6"/>
      <c r="FZ64" s="6"/>
      <c r="GA64" s="6"/>
      <c r="GB64" s="6"/>
      <c r="GC64" s="1028"/>
      <c r="GD64" s="1015"/>
      <c r="GE64" s="6"/>
      <c r="GF64" s="64"/>
      <c r="GG64" s="64"/>
      <c r="GH64" s="1722"/>
      <c r="GI64" s="1722"/>
      <c r="GJ64" s="1722"/>
      <c r="GK64" s="1722"/>
      <c r="GL64" s="1722"/>
      <c r="GM64" s="1722"/>
      <c r="GN64" s="1723"/>
      <c r="GO64" s="1723"/>
      <c r="GP64" s="1723"/>
      <c r="GQ64" s="1723"/>
      <c r="GR64" s="1723"/>
      <c r="GS64" s="1722"/>
      <c r="GT64" s="1723"/>
      <c r="GU64" s="1722"/>
      <c r="GV64" s="1723"/>
      <c r="GW64" s="1723"/>
      <c r="GX64" s="1723"/>
      <c r="GY64" s="1723"/>
      <c r="GZ64" s="1723"/>
      <c r="HA64" s="1723"/>
      <c r="HB64" s="1723"/>
      <c r="HC64" s="1722"/>
      <c r="HD64" s="1723"/>
      <c r="HE64" s="1722"/>
      <c r="HF64" s="1722"/>
      <c r="HG64" s="1722"/>
      <c r="HH64" s="1722"/>
      <c r="HI64" s="1722"/>
      <c r="HJ64" s="1722"/>
      <c r="HK64" s="1722"/>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1028"/>
      <c r="IN64" s="6"/>
      <c r="IO64" s="1014"/>
      <c r="IP64" s="6"/>
      <c r="IQ64" s="6"/>
      <c r="IR64" s="6"/>
      <c r="IS64" s="6"/>
      <c r="IT64" s="6"/>
      <c r="IU64" s="6"/>
      <c r="IV64" s="6"/>
      <c r="IW64" s="6"/>
      <c r="IX64" s="6"/>
      <c r="IY64" s="6"/>
      <c r="IZ64" s="6"/>
      <c r="JA64" s="6"/>
      <c r="JB64" s="6"/>
      <c r="JC64" s="6"/>
      <c r="JD64" s="64"/>
      <c r="JE64" s="6"/>
      <c r="JF64" s="1688"/>
      <c r="JG64" s="1687"/>
      <c r="JH64" s="1687"/>
      <c r="JI64" s="1687"/>
      <c r="JJ64" s="6"/>
      <c r="JK64" s="6"/>
      <c r="JL64" s="6"/>
      <c r="JM64" s="6"/>
      <c r="JN64" s="6"/>
      <c r="JO64" s="6"/>
      <c r="JP64" s="6"/>
      <c r="JQ64" s="6"/>
      <c r="JR64" s="6"/>
      <c r="JS64" s="6"/>
      <c r="JT64" s="766"/>
      <c r="JU64" s="766"/>
      <c r="JV64" s="766"/>
      <c r="JW64" s="766"/>
      <c r="JX64" s="6"/>
      <c r="JY64" s="6"/>
      <c r="JZ64" s="6"/>
      <c r="KA64" s="6"/>
      <c r="KB64" s="6"/>
      <c r="KC64" s="6"/>
      <c r="KD64" s="6"/>
      <c r="KE64" s="6"/>
      <c r="KF64" s="6"/>
      <c r="KG64" s="6"/>
      <c r="KH64" s="6"/>
      <c r="KI64" s="6"/>
      <c r="KJ64" s="770"/>
      <c r="KK64" s="770"/>
      <c r="KL64" s="770"/>
      <c r="KM64" s="770"/>
      <c r="KN64" s="6"/>
      <c r="KO64" s="1688"/>
      <c r="KP64" s="6"/>
      <c r="KQ64" s="6"/>
      <c r="KR64" s="6"/>
      <c r="KS64" s="6"/>
      <c r="KT64" s="6"/>
      <c r="KU64" s="6"/>
      <c r="KV64" s="6"/>
      <c r="KW64" s="6"/>
      <c r="KX64" s="6"/>
      <c r="KY64" s="6"/>
      <c r="KZ64" s="6"/>
      <c r="LA64" s="6"/>
      <c r="LB64" s="6"/>
      <c r="LC64" s="6"/>
      <c r="LD64" s="6"/>
      <c r="LE64" s="6"/>
      <c r="LF64" s="6"/>
      <c r="LG64" s="6"/>
      <c r="LH64" s="6"/>
      <c r="LI64" s="6"/>
      <c r="LJ64" s="6"/>
      <c r="LK64" s="6"/>
      <c r="LL64" s="6"/>
      <c r="LM64" s="6"/>
      <c r="LN64" s="766"/>
      <c r="LO64" s="766"/>
      <c r="LP64" s="6"/>
      <c r="LQ64" s="1690"/>
      <c r="LR64" s="6"/>
      <c r="LS64" s="6"/>
      <c r="LT64" s="6"/>
      <c r="LU64" s="6"/>
      <c r="LV64" s="6"/>
      <c r="LW64" s="6"/>
      <c r="LX64" s="1693"/>
      <c r="LY64" s="766" t="str">
        <f t="shared" si="6"/>
        <v/>
      </c>
      <c r="LZ64" s="1694"/>
      <c r="MA64" s="1694"/>
      <c r="MB64" s="1694"/>
      <c r="MC64" s="1679">
        <f t="shared" si="1"/>
        <v>0</v>
      </c>
      <c r="MD64" s="1694"/>
      <c r="ME64" s="1694"/>
      <c r="MF64" s="1694"/>
      <c r="MG64" s="1680">
        <f t="shared" si="2"/>
        <v>0</v>
      </c>
      <c r="MH64" s="1690"/>
      <c r="MI64" s="64"/>
      <c r="MJ64" s="64"/>
      <c r="MK64" s="64"/>
      <c r="ML64" s="64"/>
      <c r="MM64" s="64"/>
      <c r="MN64" s="64"/>
      <c r="MO64" s="64"/>
      <c r="MP64" s="64"/>
      <c r="MQ64" s="64"/>
      <c r="MR64" s="64"/>
      <c r="MS64" s="64"/>
      <c r="MT64" s="64"/>
      <c r="MU64" s="64"/>
      <c r="MV64" s="64"/>
      <c r="MW64" s="64"/>
      <c r="MX64" s="64"/>
      <c r="MY64" s="1682">
        <f t="shared" si="3"/>
        <v>0</v>
      </c>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6"/>
      <c r="OK64" s="1687"/>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c r="PM64" s="6"/>
      <c r="PN64" s="6"/>
      <c r="PO64" s="6"/>
      <c r="PP64" s="6"/>
      <c r="PQ64" s="6"/>
      <c r="PR64" s="6"/>
      <c r="PS64" s="6"/>
      <c r="PT64" s="6"/>
      <c r="PU64" s="6"/>
      <c r="PV64" s="6"/>
      <c r="PW64" s="6"/>
      <c r="PX64" s="6"/>
      <c r="PY64" s="6"/>
      <c r="PZ64" s="6"/>
      <c r="QA64" s="6"/>
      <c r="QB64" s="6"/>
      <c r="QC64" s="6"/>
      <c r="QD64" s="6"/>
      <c r="QE64" s="6"/>
      <c r="QF64" s="6"/>
      <c r="QG64" s="6"/>
      <c r="QH64" s="6"/>
      <c r="QI64" s="6"/>
      <c r="QJ64" s="6"/>
      <c r="QK64" s="6"/>
      <c r="QL64" s="6"/>
      <c r="QM64" s="6"/>
      <c r="QN64" s="6"/>
      <c r="QO64" s="6"/>
      <c r="QP64" s="6"/>
      <c r="QQ64" s="6"/>
      <c r="QR64" s="6"/>
      <c r="QS64" s="6"/>
      <c r="QT64" s="6"/>
      <c r="QU64" s="6"/>
      <c r="QV64" s="6"/>
      <c r="QW64" s="6"/>
      <c r="QX64" s="6"/>
      <c r="QY64" s="6"/>
      <c r="QZ64" s="6"/>
      <c r="RA64" s="6"/>
      <c r="RB64" s="6"/>
      <c r="RC64" s="6"/>
      <c r="RD64" s="6"/>
      <c r="RE64" s="6"/>
      <c r="RF64" s="1026"/>
      <c r="RG64" s="6"/>
      <c r="RH64" s="64"/>
      <c r="RI64" s="6"/>
      <c r="RJ64" s="6"/>
      <c r="RK64" s="6"/>
      <c r="RL64" s="1691"/>
      <c r="RM64" s="1714"/>
      <c r="RN64" s="1724"/>
      <c r="RO64" s="169" t="s">
        <v>11943</v>
      </c>
      <c r="RR64" s="93"/>
      <c r="RS64" s="6"/>
      <c r="RV64" s="6" t="s">
        <v>7419</v>
      </c>
      <c r="RW64" s="1020" t="s">
        <v>11936</v>
      </c>
      <c r="RX64" s="1020" t="s">
        <v>11238</v>
      </c>
      <c r="RZ64" s="1020" t="s">
        <v>7419</v>
      </c>
      <c r="SA64" s="6"/>
    </row>
    <row r="65" spans="1:497" s="1020" customFormat="1" ht="15" hidden="1" customHeight="1">
      <c r="A65" s="861" t="s">
        <v>7419</v>
      </c>
      <c r="B65" s="1029" t="s">
        <v>11945</v>
      </c>
      <c r="C65" s="169" t="s">
        <v>11946</v>
      </c>
      <c r="D65" s="6" t="s">
        <v>11947</v>
      </c>
      <c r="E65" s="6" t="s">
        <v>12529</v>
      </c>
      <c r="F65" s="6"/>
      <c r="G65" s="6"/>
      <c r="H65" s="6"/>
      <c r="I65" s="1012"/>
      <c r="J65" s="6" t="s">
        <v>11948</v>
      </c>
      <c r="K65" s="6"/>
      <c r="L65" s="6"/>
      <c r="M65" s="6"/>
      <c r="N65" s="6"/>
      <c r="O65" s="6"/>
      <c r="P65" s="843"/>
      <c r="Q65" s="1086"/>
      <c r="R65" s="1015"/>
      <c r="S65" s="6"/>
      <c r="T65" s="6"/>
      <c r="U65" s="1016"/>
      <c r="V65" s="6"/>
      <c r="W65" s="1016"/>
      <c r="X65" s="1014"/>
      <c r="Y65" s="6"/>
      <c r="Z65" s="6"/>
      <c r="AA65" s="6"/>
      <c r="AB65" s="6"/>
      <c r="AC65" s="6"/>
      <c r="AD65" s="6"/>
      <c r="AE65" s="6"/>
      <c r="AF65" s="6"/>
      <c r="AG65" s="6" t="s">
        <v>1095</v>
      </c>
      <c r="AH65" s="766" t="s">
        <v>1096</v>
      </c>
      <c r="AI65" s="6" t="s">
        <v>11949</v>
      </c>
      <c r="AJ65" s="6"/>
      <c r="AK65" s="6" t="s">
        <v>1097</v>
      </c>
      <c r="AL65" s="124">
        <v>240</v>
      </c>
      <c r="AM65" s="45">
        <v>12.84</v>
      </c>
      <c r="AN65" s="47">
        <f t="shared" ref="AN65:AN73" si="7">AM65/AL65</f>
        <v>5.3499999999999999E-2</v>
      </c>
      <c r="AO65" s="6" t="s">
        <v>1109</v>
      </c>
      <c r="AP65" s="6"/>
      <c r="AQ65" s="6"/>
      <c r="AR65" s="6"/>
      <c r="AS65" s="6"/>
      <c r="AT65" s="6"/>
      <c r="AU65" s="6"/>
      <c r="AV65" s="6"/>
      <c r="AW65" s="6"/>
      <c r="AX65" s="1032"/>
      <c r="AY65" s="6"/>
      <c r="AZ65" s="6"/>
      <c r="BA65" s="6"/>
      <c r="BB65" s="6"/>
      <c r="BC65" s="6"/>
      <c r="BD65" s="6"/>
      <c r="BE65" s="6"/>
      <c r="BF65" s="64"/>
      <c r="BG65" s="64"/>
      <c r="BH65" s="6"/>
      <c r="BI65" s="6"/>
      <c r="BJ65" s="6"/>
      <c r="BK65" s="6" t="s">
        <v>1095</v>
      </c>
      <c r="BL65" s="6" t="s">
        <v>11949</v>
      </c>
      <c r="BM65" s="6" t="s">
        <v>1096</v>
      </c>
      <c r="BN65" s="6" t="s">
        <v>1230</v>
      </c>
      <c r="BO65" s="1019" t="s">
        <v>1246</v>
      </c>
      <c r="BP65" s="1033">
        <v>125.30500000000001</v>
      </c>
      <c r="BQ65" s="46">
        <v>16.09</v>
      </c>
      <c r="BR65" s="47">
        <f t="shared" ref="BR65:BR70" si="8">BQ65/BP65</f>
        <v>0.12840668768205576</v>
      </c>
      <c r="BS65" s="766" t="s">
        <v>1242</v>
      </c>
      <c r="BT65" s="1019"/>
      <c r="BU65" s="1019"/>
      <c r="BV65" s="1019"/>
      <c r="BW65" s="1019"/>
      <c r="BX65" s="96"/>
      <c r="BY65" s="6"/>
      <c r="BZ65" s="64"/>
      <c r="CA65" s="6"/>
      <c r="CB65" s="6"/>
      <c r="CC65" s="6"/>
      <c r="CD65" s="6"/>
      <c r="CE65" s="6"/>
      <c r="CF65" s="1021"/>
      <c r="CG65" s="1021"/>
      <c r="CH65" s="6"/>
      <c r="CI65" s="6"/>
      <c r="CJ65" s="6"/>
      <c r="CK65" s="6"/>
      <c r="CL65" s="6"/>
      <c r="CM65" s="6"/>
      <c r="CN65" s="6"/>
      <c r="CO65" s="6"/>
      <c r="CP65" s="6"/>
      <c r="CQ65" s="6"/>
      <c r="CR65" s="64"/>
      <c r="CS65" s="6"/>
      <c r="CT65" s="6"/>
      <c r="CU65" s="1022"/>
      <c r="CV65" s="6"/>
      <c r="CW65" s="6"/>
      <c r="CX65" s="6"/>
      <c r="CY65" s="6"/>
      <c r="CZ65" s="6"/>
      <c r="DA65" s="6"/>
      <c r="DB65" s="6"/>
      <c r="DC65" s="6"/>
      <c r="DD65" s="6"/>
      <c r="DE65" s="6"/>
      <c r="DF65" s="6"/>
      <c r="DG65" s="6"/>
      <c r="DH65" s="6"/>
      <c r="DI65" s="6"/>
      <c r="DJ65" s="6"/>
      <c r="DK65" s="6"/>
      <c r="DL65" s="6"/>
      <c r="DM65" s="6"/>
      <c r="DN65" s="6"/>
      <c r="DO65" s="6"/>
      <c r="DP65" s="6"/>
      <c r="DQ65" s="6"/>
      <c r="DR65" s="6"/>
      <c r="DS65" s="1023"/>
      <c r="DT65" s="6"/>
      <c r="DU65" s="6"/>
      <c r="DV65" s="6"/>
      <c r="DW65" s="1024"/>
      <c r="DX65" s="1024"/>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4"/>
      <c r="FE65" s="6"/>
      <c r="FF65" s="6"/>
      <c r="FG65" s="6"/>
      <c r="FH65" s="6"/>
      <c r="FI65" s="6"/>
      <c r="FJ65" s="6"/>
      <c r="FK65" s="6"/>
      <c r="FL65" s="6"/>
      <c r="FM65" s="64"/>
      <c r="FN65" s="64"/>
      <c r="FO65" s="64"/>
      <c r="FP65" s="6"/>
      <c r="FQ65" s="6"/>
      <c r="FR65" s="1019"/>
      <c r="FS65" s="1019"/>
      <c r="FT65" s="1019"/>
      <c r="FU65" s="6"/>
      <c r="FV65" s="6"/>
      <c r="FW65" s="6"/>
      <c r="FX65" s="6"/>
      <c r="FY65" s="6"/>
      <c r="FZ65" s="6"/>
      <c r="GA65" s="6"/>
      <c r="GB65" s="6"/>
      <c r="GC65" s="1028"/>
      <c r="GD65" s="1015"/>
      <c r="GE65" s="6"/>
      <c r="GF65" s="64"/>
      <c r="GG65" s="64"/>
      <c r="GH65" s="1722"/>
      <c r="GI65" s="1722"/>
      <c r="GJ65" s="1722"/>
      <c r="GK65" s="1722"/>
      <c r="GL65" s="1722"/>
      <c r="GM65" s="1722"/>
      <c r="GN65" s="1723"/>
      <c r="GO65" s="1723"/>
      <c r="GP65" s="1723"/>
      <c r="GQ65" s="1723"/>
      <c r="GR65" s="1723"/>
      <c r="GS65" s="1722"/>
      <c r="GT65" s="1723"/>
      <c r="GU65" s="1722"/>
      <c r="GV65" s="1723"/>
      <c r="GW65" s="1723"/>
      <c r="GX65" s="1723"/>
      <c r="GY65" s="1723"/>
      <c r="GZ65" s="1723"/>
      <c r="HA65" s="1723"/>
      <c r="HB65" s="1723"/>
      <c r="HC65" s="1722"/>
      <c r="HD65" s="1723"/>
      <c r="HE65" s="1722"/>
      <c r="HF65" s="1722"/>
      <c r="HG65" s="1722"/>
      <c r="HH65" s="1722"/>
      <c r="HI65" s="1722"/>
      <c r="HJ65" s="1722"/>
      <c r="HK65" s="1722"/>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1028"/>
      <c r="IN65" s="6"/>
      <c r="IO65" s="1014"/>
      <c r="IP65" s="6"/>
      <c r="IQ65" s="6"/>
      <c r="IR65" s="6"/>
      <c r="IS65" s="6"/>
      <c r="IT65" s="6"/>
      <c r="IU65" s="6"/>
      <c r="IV65" s="6"/>
      <c r="IW65" s="6"/>
      <c r="IX65" s="6"/>
      <c r="IY65" s="6"/>
      <c r="IZ65" s="6"/>
      <c r="JA65" s="6"/>
      <c r="JB65" s="6"/>
      <c r="JC65" s="6"/>
      <c r="JD65" s="64"/>
      <c r="JE65" s="6"/>
      <c r="JF65" s="1688"/>
      <c r="JG65" s="1687"/>
      <c r="JH65" s="1687"/>
      <c r="JI65" s="1687"/>
      <c r="JJ65" s="6"/>
      <c r="JK65" s="6"/>
      <c r="JL65" s="6"/>
      <c r="JM65" s="6"/>
      <c r="JN65" s="6"/>
      <c r="JO65" s="6"/>
      <c r="JP65" s="6"/>
      <c r="JQ65" s="6"/>
      <c r="JR65" s="6"/>
      <c r="JS65" s="6"/>
      <c r="JT65" s="766"/>
      <c r="JU65" s="766"/>
      <c r="JV65" s="766"/>
      <c r="JW65" s="766"/>
      <c r="JX65" s="6"/>
      <c r="JY65" s="6"/>
      <c r="JZ65" s="6"/>
      <c r="KA65" s="6"/>
      <c r="KB65" s="6"/>
      <c r="KC65" s="6"/>
      <c r="KD65" s="6"/>
      <c r="KE65" s="6"/>
      <c r="KF65" s="6"/>
      <c r="KG65" s="6"/>
      <c r="KH65" s="6"/>
      <c r="KI65" s="6"/>
      <c r="KJ65" s="770"/>
      <c r="KK65" s="770"/>
      <c r="KL65" s="770"/>
      <c r="KM65" s="770"/>
      <c r="KN65" s="6"/>
      <c r="KO65" s="1688"/>
      <c r="KP65" s="6"/>
      <c r="KQ65" s="6"/>
      <c r="KR65" s="6"/>
      <c r="KS65" s="6"/>
      <c r="KT65" s="6"/>
      <c r="KU65" s="6"/>
      <c r="KV65" s="6"/>
      <c r="KW65" s="6"/>
      <c r="KX65" s="6"/>
      <c r="KY65" s="6"/>
      <c r="KZ65" s="6"/>
      <c r="LA65" s="6"/>
      <c r="LB65" s="6"/>
      <c r="LC65" s="6"/>
      <c r="LD65" s="6"/>
      <c r="LE65" s="6"/>
      <c r="LF65" s="6"/>
      <c r="LG65" s="6"/>
      <c r="LH65" s="6"/>
      <c r="LI65" s="6"/>
      <c r="LJ65" s="6"/>
      <c r="LK65" s="6"/>
      <c r="LL65" s="6"/>
      <c r="LM65" s="6"/>
      <c r="LN65" s="766"/>
      <c r="LO65" s="766"/>
      <c r="LP65" s="6"/>
      <c r="LQ65" s="1690"/>
      <c r="LR65" s="6"/>
      <c r="LS65" s="6"/>
      <c r="LT65" s="6"/>
      <c r="LU65" s="6"/>
      <c r="LV65" s="6"/>
      <c r="LW65" s="6"/>
      <c r="LX65" s="1693"/>
      <c r="LY65" s="766" t="str">
        <f t="shared" si="6"/>
        <v/>
      </c>
      <c r="LZ65" s="1694"/>
      <c r="MA65" s="1694"/>
      <c r="MB65" s="1694"/>
      <c r="MC65" s="1679">
        <f t="shared" si="1"/>
        <v>0</v>
      </c>
      <c r="MD65" s="1694"/>
      <c r="ME65" s="1694"/>
      <c r="MF65" s="1694"/>
      <c r="MG65" s="1680">
        <f t="shared" si="2"/>
        <v>0</v>
      </c>
      <c r="MH65" s="1690"/>
      <c r="MI65" s="64"/>
      <c r="MJ65" s="64"/>
      <c r="MK65" s="64"/>
      <c r="ML65" s="64"/>
      <c r="MM65" s="64"/>
      <c r="MN65" s="64"/>
      <c r="MO65" s="64"/>
      <c r="MP65" s="64"/>
      <c r="MQ65" s="64"/>
      <c r="MR65" s="64"/>
      <c r="MS65" s="64"/>
      <c r="MT65" s="64"/>
      <c r="MU65" s="64"/>
      <c r="MV65" s="64"/>
      <c r="MW65" s="64"/>
      <c r="MX65" s="64"/>
      <c r="MY65" s="1682">
        <f t="shared" si="3"/>
        <v>0</v>
      </c>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1687"/>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1026"/>
      <c r="RG65" s="6"/>
      <c r="RH65" s="64"/>
      <c r="RI65" s="6"/>
      <c r="RJ65" s="6"/>
      <c r="RK65" s="6"/>
      <c r="RL65" s="1691"/>
      <c r="RM65" s="1714"/>
      <c r="RN65" s="1724"/>
      <c r="RO65" s="169" t="s">
        <v>11946</v>
      </c>
      <c r="RR65" s="93"/>
      <c r="RS65" s="6"/>
      <c r="RV65" s="6" t="s">
        <v>7419</v>
      </c>
      <c r="RW65" s="1020" t="s">
        <v>11937</v>
      </c>
      <c r="RX65" s="1020" t="s">
        <v>11938</v>
      </c>
      <c r="RZ65" s="1020" t="s">
        <v>7419</v>
      </c>
      <c r="SA65" s="6"/>
    </row>
    <row r="66" spans="1:497" ht="15" hidden="1" customHeight="1">
      <c r="A66" s="767" t="s">
        <v>7419</v>
      </c>
      <c r="B66" s="288" t="s">
        <v>12270</v>
      </c>
      <c r="C66" s="167" t="s">
        <v>11781</v>
      </c>
      <c r="D66" s="766" t="s">
        <v>11776</v>
      </c>
      <c r="E66" s="766" t="s">
        <v>11782</v>
      </c>
      <c r="F66" s="766"/>
      <c r="G66" s="766"/>
      <c r="H66" s="766"/>
      <c r="I66" s="5"/>
      <c r="J66" s="766"/>
      <c r="K66" s="766" t="s">
        <v>11777</v>
      </c>
      <c r="L66" s="766" t="s">
        <v>11778</v>
      </c>
      <c r="M66" s="766"/>
      <c r="N66" s="766" t="s">
        <v>11779</v>
      </c>
      <c r="O66" s="766" t="s">
        <v>11780</v>
      </c>
      <c r="P66" s="14"/>
      <c r="Q66" s="1085"/>
      <c r="R66" s="25"/>
      <c r="S66" s="766"/>
      <c r="T66" s="766"/>
      <c r="U66" s="26"/>
      <c r="V66" s="766"/>
      <c r="W66" s="766"/>
      <c r="X66" s="24"/>
      <c r="Y66" s="766"/>
      <c r="Z66" s="766"/>
      <c r="AA66" s="766"/>
      <c r="AB66" s="766"/>
      <c r="AC66" s="766"/>
      <c r="AD66" s="766"/>
      <c r="AE66" s="766"/>
      <c r="AF66" s="766"/>
      <c r="AG66" s="766" t="s">
        <v>1132</v>
      </c>
      <c r="AH66" s="766" t="s">
        <v>1120</v>
      </c>
      <c r="AI66" s="766"/>
      <c r="AJ66" s="766" t="s">
        <v>1137</v>
      </c>
      <c r="AK66" s="766" t="s">
        <v>1097</v>
      </c>
      <c r="AL66" s="121">
        <v>74.936000000000007</v>
      </c>
      <c r="AM66" s="772">
        <v>51.47</v>
      </c>
      <c r="AN66" s="774">
        <f t="shared" si="7"/>
        <v>0.68685278103982061</v>
      </c>
      <c r="AO66" s="766" t="s">
        <v>1105</v>
      </c>
      <c r="AP66" s="766"/>
      <c r="AQ66" s="766"/>
      <c r="AR66" s="766"/>
      <c r="AS66" s="766"/>
      <c r="AT66" s="766"/>
      <c r="AU66" s="766"/>
      <c r="AV66" s="766"/>
      <c r="AW66" s="766"/>
      <c r="AX66" s="13"/>
      <c r="AY66" s="766"/>
      <c r="AZ66" s="766"/>
      <c r="BA66" s="766"/>
      <c r="BB66" s="766"/>
      <c r="BC66" s="766"/>
      <c r="BD66" s="766"/>
      <c r="BE66" s="766"/>
      <c r="BF66" s="775"/>
      <c r="BG66" s="775"/>
      <c r="BH66" s="766"/>
      <c r="BI66" s="766"/>
      <c r="BJ66" s="766"/>
      <c r="BK66" s="770" t="s">
        <v>1099</v>
      </c>
      <c r="BL66" s="766" t="s">
        <v>1137</v>
      </c>
      <c r="BM66" s="766" t="s">
        <v>1120</v>
      </c>
      <c r="BN66" s="766" t="s">
        <v>1230</v>
      </c>
      <c r="BO66" s="766" t="s">
        <v>1246</v>
      </c>
      <c r="BP66" s="765">
        <v>74.936000000000007</v>
      </c>
      <c r="BQ66" s="773">
        <v>51.47</v>
      </c>
      <c r="BR66" s="774">
        <f t="shared" si="8"/>
        <v>0.68685278103982061</v>
      </c>
      <c r="BS66" s="766" t="s">
        <v>1105</v>
      </c>
      <c r="BT66" s="770" t="s">
        <v>2040</v>
      </c>
      <c r="BU66" s="770" t="s">
        <v>1604</v>
      </c>
      <c r="BV66" s="770" t="s">
        <v>1604</v>
      </c>
      <c r="BW66" s="770"/>
      <c r="BX66" s="779"/>
      <c r="BY66" s="766"/>
      <c r="BZ66" s="775"/>
      <c r="CA66" s="766"/>
      <c r="CB66" s="766"/>
      <c r="CC66" s="766"/>
      <c r="CD66" s="766"/>
      <c r="CE66" s="766"/>
      <c r="CF66" s="766"/>
      <c r="CG66" s="766"/>
      <c r="CH66" s="766"/>
      <c r="CI66" s="766"/>
      <c r="CJ66" s="766"/>
      <c r="CK66" s="766"/>
      <c r="CL66" s="766"/>
      <c r="CM66" s="766"/>
      <c r="CN66" s="766"/>
      <c r="CO66" s="766"/>
      <c r="CP66" s="766"/>
      <c r="CQ66" s="766"/>
      <c r="CR66" s="775"/>
      <c r="CS66" s="766"/>
      <c r="CT66" s="766"/>
      <c r="CU66" s="129"/>
      <c r="CV66" s="766"/>
      <c r="CW66" s="766"/>
      <c r="CX66" s="766"/>
      <c r="CY66" s="766"/>
      <c r="CZ66" s="766"/>
      <c r="DA66" s="766"/>
      <c r="DB66" s="766"/>
      <c r="DC66" s="766"/>
      <c r="DD66" s="766"/>
      <c r="DE66" s="766"/>
      <c r="DF66" s="766"/>
      <c r="DG66" s="766"/>
      <c r="DH66" s="766"/>
      <c r="DI66" s="766"/>
      <c r="DJ66" s="766"/>
      <c r="DK66" s="766"/>
      <c r="DL66" s="766"/>
      <c r="DM66" s="766"/>
      <c r="DN66" s="766"/>
      <c r="DO66" s="766"/>
      <c r="DP66" s="766"/>
      <c r="DQ66" s="766"/>
      <c r="DR66" s="766"/>
      <c r="DS66" s="59"/>
      <c r="DT66" s="766"/>
      <c r="DU66" s="766"/>
      <c r="DV66" s="766"/>
      <c r="DW66" s="66"/>
      <c r="DX66" s="66"/>
      <c r="DY66" s="766"/>
      <c r="DZ66" s="766"/>
      <c r="EA66" s="766"/>
      <c r="EB66" s="766"/>
      <c r="EC66" s="766"/>
      <c r="ED66" s="766"/>
      <c r="EE66" s="766"/>
      <c r="EF66" s="766"/>
      <c r="EG66" s="766"/>
      <c r="EH66" s="766"/>
      <c r="EI66" s="766"/>
      <c r="EJ66" s="766"/>
      <c r="EK66" s="766"/>
      <c r="EL66" s="766"/>
      <c r="EM66" s="766"/>
      <c r="EN66" s="766"/>
      <c r="EO66" s="766"/>
      <c r="EP66" s="766"/>
      <c r="EQ66" s="766"/>
      <c r="ER66" s="766"/>
      <c r="ES66" s="766"/>
      <c r="ET66" s="766"/>
      <c r="EU66" s="766"/>
      <c r="EV66" s="766"/>
      <c r="EW66" s="766"/>
      <c r="EX66" s="766"/>
      <c r="EY66" s="766"/>
      <c r="EZ66" s="766"/>
      <c r="FA66" s="766"/>
      <c r="FB66" s="766"/>
      <c r="FC66" s="766"/>
      <c r="FD66" s="775"/>
      <c r="FE66" s="766"/>
      <c r="FF66" s="766"/>
      <c r="FG66" s="766"/>
      <c r="FH66" s="766"/>
      <c r="FI66" s="766"/>
      <c r="FJ66" s="766"/>
      <c r="FK66" s="766"/>
      <c r="FL66" s="766"/>
      <c r="FM66" s="775"/>
      <c r="FN66" s="775"/>
      <c r="FO66" s="775"/>
      <c r="FP66" s="766" t="s">
        <v>1602</v>
      </c>
      <c r="FQ66" s="766" t="s">
        <v>1660</v>
      </c>
      <c r="FR66" s="770"/>
      <c r="FS66" s="770"/>
      <c r="FT66" s="770"/>
      <c r="FU66" s="766"/>
      <c r="FV66" s="766"/>
      <c r="FW66" s="766"/>
      <c r="FX66" s="766"/>
      <c r="FY66" s="766"/>
      <c r="FZ66" s="766"/>
      <c r="GA66" s="766"/>
      <c r="GB66" s="766"/>
      <c r="GC66" s="75"/>
      <c r="GD66" s="25"/>
      <c r="GE66" s="766"/>
      <c r="GF66" s="775"/>
      <c r="GG66" s="775"/>
      <c r="GH66" s="1719"/>
      <c r="GI66" s="1719"/>
      <c r="GJ66" s="1719"/>
      <c r="GK66" s="1719"/>
      <c r="GL66" s="1719"/>
      <c r="GM66" s="1719"/>
      <c r="GN66" s="1721"/>
      <c r="GO66" s="1721"/>
      <c r="GP66" s="1721"/>
      <c r="GQ66" s="1721"/>
      <c r="GR66" s="1721"/>
      <c r="GS66" s="1719"/>
      <c r="GT66" s="1721"/>
      <c r="GU66" s="1719"/>
      <c r="GV66" s="1721"/>
      <c r="GW66" s="1721"/>
      <c r="GX66" s="1721"/>
      <c r="GY66" s="1721"/>
      <c r="GZ66" s="1721"/>
      <c r="HA66" s="1721"/>
      <c r="HB66" s="1721"/>
      <c r="HC66" s="1719"/>
      <c r="HD66" s="1721"/>
      <c r="HE66" s="1719"/>
      <c r="HF66" s="1719"/>
      <c r="HG66" s="1719"/>
      <c r="HH66" s="1719"/>
      <c r="HI66" s="1719"/>
      <c r="HJ66" s="1719"/>
      <c r="HK66" s="1719"/>
      <c r="HL66" s="766"/>
      <c r="HM66" s="766"/>
      <c r="HN66" s="766"/>
      <c r="HO66" s="766"/>
      <c r="HP66" s="766"/>
      <c r="HQ66" s="766"/>
      <c r="HR66" s="766"/>
      <c r="HS66" s="766"/>
      <c r="HT66" s="766"/>
      <c r="HU66" s="766"/>
      <c r="HV66" s="766"/>
      <c r="HW66" s="766"/>
      <c r="HX66" s="766"/>
      <c r="HY66" s="766"/>
      <c r="HZ66" s="766"/>
      <c r="IA66" s="766"/>
      <c r="IB66" s="766"/>
      <c r="IC66" s="766"/>
      <c r="ID66" s="766"/>
      <c r="IE66" s="766"/>
      <c r="IF66" s="766"/>
      <c r="IG66" s="766"/>
      <c r="IH66" s="766"/>
      <c r="II66" s="766"/>
      <c r="IJ66" s="766"/>
      <c r="IK66" s="766"/>
      <c r="IL66" s="766"/>
      <c r="IM66" s="766"/>
      <c r="IN66" s="766"/>
      <c r="IO66" s="766"/>
      <c r="IP66" s="766"/>
      <c r="IQ66" s="769"/>
      <c r="IR66" s="775"/>
      <c r="IS66" s="766"/>
      <c r="IT66" s="28"/>
      <c r="IU66" s="76"/>
      <c r="IV66" s="76"/>
      <c r="IW66" s="766"/>
      <c r="IX66" s="766"/>
      <c r="IY66" s="766"/>
      <c r="IZ66" s="766"/>
      <c r="JA66" s="766"/>
      <c r="JB66" s="766"/>
      <c r="JC66" s="766"/>
      <c r="JD66" s="775"/>
      <c r="JE66" s="766"/>
      <c r="JF66" s="28"/>
      <c r="JG66" s="76"/>
      <c r="JH66" s="1700"/>
      <c r="JI66" s="1700"/>
      <c r="JJ66" s="766"/>
      <c r="JK66" s="766"/>
      <c r="JL66" s="766"/>
      <c r="JM66" s="766"/>
      <c r="JN66" s="766"/>
      <c r="JO66" s="766"/>
      <c r="JP66" s="766"/>
      <c r="JQ66" s="766"/>
      <c r="JR66" s="766"/>
      <c r="JS66" s="766"/>
      <c r="JT66" s="766"/>
      <c r="JU66" s="766"/>
      <c r="JV66" s="766"/>
      <c r="JW66" s="766"/>
      <c r="JX66" s="766"/>
      <c r="JY66" s="766"/>
      <c r="JZ66" s="766"/>
      <c r="KA66" s="766"/>
      <c r="KB66" s="766"/>
      <c r="KC66" s="766"/>
      <c r="KD66" s="766"/>
      <c r="KE66" s="766"/>
      <c r="KF66" s="766"/>
      <c r="KG66" s="766"/>
      <c r="KH66" s="766"/>
      <c r="KI66" s="766"/>
      <c r="KJ66" s="770"/>
      <c r="KK66" s="770"/>
      <c r="KL66" s="770"/>
      <c r="KM66" s="770"/>
      <c r="KN66" s="766"/>
      <c r="KO66" s="28"/>
      <c r="KP66" s="766"/>
      <c r="KQ66" s="766"/>
      <c r="KR66" s="766"/>
      <c r="KS66" s="766"/>
      <c r="KT66" s="766"/>
      <c r="KU66" s="766"/>
      <c r="KV66" s="766"/>
      <c r="KW66" s="766"/>
      <c r="KX66" s="766"/>
      <c r="KY66" s="766"/>
      <c r="KZ66" s="766"/>
      <c r="LA66" s="766"/>
      <c r="LB66" s="766"/>
      <c r="LC66" s="766"/>
      <c r="LD66" s="766"/>
      <c r="LE66" s="766"/>
      <c r="LF66" s="766"/>
      <c r="LG66" s="766"/>
      <c r="LH66" s="766"/>
      <c r="LI66" s="766"/>
      <c r="LJ66" s="766"/>
      <c r="LK66" s="766"/>
      <c r="LL66" s="766"/>
      <c r="LM66" s="766"/>
      <c r="LN66" s="766"/>
      <c r="LO66" s="766"/>
      <c r="LP66" s="766"/>
      <c r="LQ66" s="1681"/>
      <c r="LR66" s="766"/>
      <c r="LS66" s="766"/>
      <c r="LT66" s="766"/>
      <c r="LU66" s="766"/>
      <c r="LV66" s="766"/>
      <c r="LW66" s="766"/>
      <c r="LX66" s="769"/>
      <c r="LY66" s="766" t="str">
        <f t="shared" si="6"/>
        <v/>
      </c>
      <c r="LZ66" s="1696"/>
      <c r="MA66" s="1696"/>
      <c r="MB66" s="1696"/>
      <c r="MC66" s="1679">
        <f t="shared" si="1"/>
        <v>0</v>
      </c>
      <c r="MD66" s="1696"/>
      <c r="ME66" s="1696"/>
      <c r="MF66" s="1696"/>
      <c r="MG66" s="1680">
        <f t="shared" si="2"/>
        <v>0</v>
      </c>
      <c r="MH66" s="1681"/>
      <c r="MI66" s="775"/>
      <c r="MJ66" s="775"/>
      <c r="MK66" s="775"/>
      <c r="ML66" s="775"/>
      <c r="MM66" s="775"/>
      <c r="MN66" s="775"/>
      <c r="MO66" s="775"/>
      <c r="MP66" s="775"/>
      <c r="MQ66" s="775"/>
      <c r="MR66" s="775"/>
      <c r="MS66" s="775"/>
      <c r="MT66" s="775"/>
      <c r="MU66" s="775"/>
      <c r="MV66" s="775"/>
      <c r="MW66" s="775"/>
      <c r="MX66" s="775"/>
      <c r="MY66" s="1682">
        <f t="shared" si="3"/>
        <v>0</v>
      </c>
      <c r="MZ66" s="766"/>
      <c r="NA66" s="766"/>
      <c r="NB66" s="766"/>
      <c r="NC66" s="766"/>
      <c r="ND66" s="766"/>
      <c r="NE66" s="766"/>
      <c r="NF66" s="766"/>
      <c r="NG66" s="766"/>
      <c r="NH66" s="766"/>
      <c r="NI66" s="766"/>
      <c r="NJ66" s="766"/>
      <c r="NK66" s="766"/>
      <c r="NL66" s="766"/>
      <c r="NM66" s="766"/>
      <c r="NN66" s="766"/>
      <c r="NO66" s="766"/>
      <c r="NP66" s="766"/>
      <c r="NQ66" s="766"/>
      <c r="NR66" s="766"/>
      <c r="NS66" s="766"/>
      <c r="NT66" s="766"/>
      <c r="NU66" s="766"/>
      <c r="NV66" s="766"/>
      <c r="NW66" s="766"/>
      <c r="NX66" s="766"/>
      <c r="NY66" s="766"/>
      <c r="NZ66" s="766"/>
      <c r="OA66" s="766"/>
      <c r="OB66" s="766"/>
      <c r="OC66" s="766"/>
      <c r="OD66" s="766"/>
      <c r="OE66" s="766"/>
      <c r="OF66" s="766"/>
      <c r="OG66" s="766"/>
      <c r="OH66" s="766"/>
      <c r="OI66" s="766"/>
      <c r="OJ66" s="766"/>
      <c r="OK66" s="76"/>
      <c r="OL66" s="766"/>
      <c r="OM66" s="766"/>
      <c r="ON66" s="766"/>
      <c r="OO66" s="766"/>
      <c r="OP66" s="766"/>
      <c r="OQ66" s="766"/>
      <c r="OR66" s="766"/>
      <c r="OS66" s="766"/>
      <c r="OT66" s="766"/>
      <c r="OU66" s="766"/>
      <c r="OV66" s="766"/>
      <c r="OW66" s="766"/>
      <c r="OX66" s="766"/>
      <c r="OY66" s="766"/>
      <c r="OZ66" s="766"/>
      <c r="PA66" s="766"/>
      <c r="PB66" s="766"/>
      <c r="PC66" s="766"/>
      <c r="PD66" s="766"/>
      <c r="PE66" s="766"/>
      <c r="PF66" s="766"/>
      <c r="PG66" s="766"/>
      <c r="PH66" s="766"/>
      <c r="PI66" s="766"/>
      <c r="PJ66" s="766"/>
      <c r="PK66" s="766"/>
      <c r="PL66" s="766"/>
      <c r="PM66" s="766"/>
      <c r="PN66" s="766"/>
      <c r="PO66" s="766"/>
      <c r="PP66" s="766"/>
      <c r="PQ66" s="766"/>
      <c r="PR66" s="766"/>
      <c r="PS66" s="766"/>
      <c r="PT66" s="766"/>
      <c r="PU66" s="766"/>
      <c r="PV66" s="766"/>
      <c r="PW66" s="766"/>
      <c r="PX66" s="766"/>
      <c r="PY66" s="766"/>
      <c r="PZ66" s="766"/>
      <c r="QA66" s="766"/>
      <c r="QB66" s="766"/>
      <c r="QC66" s="766"/>
      <c r="QD66" s="766"/>
      <c r="QE66" s="766"/>
      <c r="QF66" s="766"/>
      <c r="QG66" s="766"/>
      <c r="QH66" s="766"/>
      <c r="QI66" s="766"/>
      <c r="QJ66" s="766"/>
      <c r="QK66" s="766"/>
      <c r="QL66" s="766"/>
      <c r="QM66" s="766"/>
      <c r="QN66" s="766"/>
      <c r="QO66" s="766"/>
      <c r="QP66" s="766"/>
      <c r="QQ66" s="766"/>
      <c r="QR66" s="766"/>
      <c r="QS66" s="766"/>
      <c r="QT66" s="766"/>
      <c r="QU66" s="766"/>
      <c r="QV66" s="766"/>
      <c r="QW66" s="766"/>
      <c r="QX66" s="766"/>
      <c r="QY66" s="766"/>
      <c r="QZ66" s="766"/>
      <c r="RA66" s="766"/>
      <c r="RB66" s="766"/>
      <c r="RC66" s="766"/>
      <c r="RD66" s="766"/>
      <c r="RE66" s="766"/>
      <c r="RF66" s="777"/>
      <c r="RG66" s="766"/>
      <c r="RH66" s="775"/>
      <c r="RI66" s="766"/>
      <c r="RJ66" s="766"/>
      <c r="RK66" s="766"/>
      <c r="RL66" s="1683"/>
      <c r="RM66" s="12" t="s">
        <v>13011</v>
      </c>
      <c r="RN66" s="1711"/>
      <c r="RO66" s="167" t="s">
        <v>11781</v>
      </c>
      <c r="RP66" s="11"/>
      <c r="RQ66" s="11"/>
      <c r="RR66" s="771"/>
      <c r="RS66" s="766"/>
      <c r="RT66" s="11"/>
      <c r="RU66" s="11"/>
      <c r="RV66" s="766" t="s">
        <v>7419</v>
      </c>
      <c r="RW66" s="11" t="s">
        <v>11942</v>
      </c>
      <c r="RX66" s="11" t="s">
        <v>11943</v>
      </c>
      <c r="RY66" s="11"/>
      <c r="RZ66" s="11" t="s">
        <v>14138</v>
      </c>
      <c r="SA66" s="766"/>
      <c r="SB66" s="11"/>
      <c r="SC66" s="11"/>
    </row>
    <row r="67" spans="1:497" ht="15" hidden="1" customHeight="1">
      <c r="A67" s="767" t="s">
        <v>7419</v>
      </c>
      <c r="B67" s="288" t="s">
        <v>12271</v>
      </c>
      <c r="C67" s="167" t="s">
        <v>11785</v>
      </c>
      <c r="D67" s="766" t="s">
        <v>11786</v>
      </c>
      <c r="E67" s="766" t="s">
        <v>11782</v>
      </c>
      <c r="F67" s="766"/>
      <c r="G67" s="766"/>
      <c r="H67" s="766"/>
      <c r="I67" s="5"/>
      <c r="J67" s="766"/>
      <c r="K67" s="766" t="s">
        <v>11787</v>
      </c>
      <c r="L67" s="766" t="s">
        <v>11788</v>
      </c>
      <c r="M67" s="766"/>
      <c r="N67" s="766" t="s">
        <v>11789</v>
      </c>
      <c r="O67" s="766" t="s">
        <v>11790</v>
      </c>
      <c r="P67" s="14"/>
      <c r="Q67" s="1085"/>
      <c r="R67" s="25"/>
      <c r="S67" s="766"/>
      <c r="T67" s="766"/>
      <c r="U67" s="26"/>
      <c r="V67" s="766"/>
      <c r="W67" s="766"/>
      <c r="X67" s="24"/>
      <c r="Y67" s="766"/>
      <c r="Z67" s="766"/>
      <c r="AA67" s="766"/>
      <c r="AB67" s="766"/>
      <c r="AC67" s="766"/>
      <c r="AD67" s="766"/>
      <c r="AE67" s="766"/>
      <c r="AF67" s="766"/>
      <c r="AG67" s="766" t="s">
        <v>1132</v>
      </c>
      <c r="AH67" s="766" t="s">
        <v>1120</v>
      </c>
      <c r="AI67" s="766"/>
      <c r="AJ67" s="766" t="s">
        <v>1137</v>
      </c>
      <c r="AK67" s="766" t="s">
        <v>1097</v>
      </c>
      <c r="AL67" s="121">
        <v>9.25</v>
      </c>
      <c r="AM67" s="772">
        <v>1.1100000000000001</v>
      </c>
      <c r="AN67" s="774">
        <f t="shared" si="7"/>
        <v>0.12000000000000001</v>
      </c>
      <c r="AO67" s="766" t="s">
        <v>1109</v>
      </c>
      <c r="AP67" s="766"/>
      <c r="AQ67" s="766"/>
      <c r="AR67" s="766"/>
      <c r="AS67" s="766"/>
      <c r="AT67" s="766"/>
      <c r="AU67" s="766"/>
      <c r="AV67" s="766"/>
      <c r="AW67" s="766"/>
      <c r="AX67" s="13"/>
      <c r="AY67" s="766"/>
      <c r="AZ67" s="766"/>
      <c r="BA67" s="766"/>
      <c r="BB67" s="766"/>
      <c r="BC67" s="766"/>
      <c r="BD67" s="766"/>
      <c r="BE67" s="766"/>
      <c r="BF67" s="775"/>
      <c r="BG67" s="775"/>
      <c r="BH67" s="766"/>
      <c r="BI67" s="766"/>
      <c r="BJ67" s="766"/>
      <c r="BK67" s="770" t="s">
        <v>1099</v>
      </c>
      <c r="BL67" s="766" t="s">
        <v>1137</v>
      </c>
      <c r="BM67" s="766" t="s">
        <v>1120</v>
      </c>
      <c r="BN67" s="766" t="s">
        <v>1230</v>
      </c>
      <c r="BO67" s="770" t="s">
        <v>1246</v>
      </c>
      <c r="BP67" s="765">
        <v>9.25</v>
      </c>
      <c r="BQ67" s="773">
        <v>1.1100000000000001</v>
      </c>
      <c r="BR67" s="774">
        <f t="shared" si="8"/>
        <v>0.12000000000000001</v>
      </c>
      <c r="BS67" s="766" t="s">
        <v>1242</v>
      </c>
      <c r="BT67" s="770" t="s">
        <v>2040</v>
      </c>
      <c r="BU67" s="770" t="s">
        <v>1308</v>
      </c>
      <c r="BV67" s="770" t="s">
        <v>1247</v>
      </c>
      <c r="BW67" s="770"/>
      <c r="BX67" s="779"/>
      <c r="BY67" s="766"/>
      <c r="BZ67" s="775"/>
      <c r="CA67" s="766"/>
      <c r="CB67" s="766"/>
      <c r="CC67" s="766"/>
      <c r="CD67" s="766"/>
      <c r="CE67" s="766"/>
      <c r="CF67" s="766"/>
      <c r="CG67" s="766"/>
      <c r="CH67" s="766"/>
      <c r="CI67" s="766"/>
      <c r="CJ67" s="766"/>
      <c r="CK67" s="766"/>
      <c r="CL67" s="766"/>
      <c r="CM67" s="766"/>
      <c r="CN67" s="766"/>
      <c r="CO67" s="766"/>
      <c r="CP67" s="766"/>
      <c r="CQ67" s="766"/>
      <c r="CR67" s="775"/>
      <c r="CS67" s="766"/>
      <c r="CT67" s="766"/>
      <c r="CU67" s="129"/>
      <c r="CV67" s="766"/>
      <c r="CW67" s="766"/>
      <c r="CX67" s="766"/>
      <c r="CY67" s="766"/>
      <c r="CZ67" s="766"/>
      <c r="DA67" s="766"/>
      <c r="DB67" s="766"/>
      <c r="DC67" s="766"/>
      <c r="DD67" s="766"/>
      <c r="DE67" s="766"/>
      <c r="DF67" s="766"/>
      <c r="DG67" s="766"/>
      <c r="DH67" s="766"/>
      <c r="DI67" s="766"/>
      <c r="DJ67" s="766"/>
      <c r="DK67" s="766"/>
      <c r="DL67" s="766"/>
      <c r="DM67" s="766"/>
      <c r="DN67" s="766"/>
      <c r="DO67" s="766"/>
      <c r="DP67" s="766"/>
      <c r="DQ67" s="766"/>
      <c r="DR67" s="766"/>
      <c r="DS67" s="59"/>
      <c r="DT67" s="766"/>
      <c r="DU67" s="766"/>
      <c r="DV67" s="766"/>
      <c r="DW67" s="66"/>
      <c r="DX67" s="66"/>
      <c r="DY67" s="766"/>
      <c r="DZ67" s="766"/>
      <c r="EA67" s="766"/>
      <c r="EB67" s="766"/>
      <c r="EC67" s="766"/>
      <c r="ED67" s="766"/>
      <c r="EE67" s="766"/>
      <c r="EF67" s="766"/>
      <c r="EG67" s="766"/>
      <c r="EH67" s="766"/>
      <c r="EI67" s="766"/>
      <c r="EJ67" s="766"/>
      <c r="EK67" s="766"/>
      <c r="EL67" s="766"/>
      <c r="EM67" s="766"/>
      <c r="EN67" s="766"/>
      <c r="EO67" s="766"/>
      <c r="EP67" s="766"/>
      <c r="EQ67" s="766"/>
      <c r="ER67" s="766"/>
      <c r="ES67" s="766"/>
      <c r="ET67" s="766"/>
      <c r="EU67" s="766"/>
      <c r="EV67" s="766"/>
      <c r="EW67" s="766"/>
      <c r="EX67" s="766"/>
      <c r="EY67" s="766"/>
      <c r="EZ67" s="766"/>
      <c r="FA67" s="766"/>
      <c r="FB67" s="766"/>
      <c r="FC67" s="766"/>
      <c r="FD67" s="775"/>
      <c r="FE67" s="766"/>
      <c r="FF67" s="766"/>
      <c r="FG67" s="766"/>
      <c r="FH67" s="766"/>
      <c r="FI67" s="766"/>
      <c r="FJ67" s="766"/>
      <c r="FK67" s="766"/>
      <c r="FL67" s="766"/>
      <c r="FM67" s="775"/>
      <c r="FN67" s="775"/>
      <c r="FO67" s="775"/>
      <c r="FP67" s="766"/>
      <c r="FQ67" s="766"/>
      <c r="FR67" s="770"/>
      <c r="FS67" s="770"/>
      <c r="FT67" s="770"/>
      <c r="FU67" s="766"/>
      <c r="FV67" s="766"/>
      <c r="FW67" s="766"/>
      <c r="FX67" s="766"/>
      <c r="FY67" s="766"/>
      <c r="FZ67" s="766"/>
      <c r="GA67" s="766"/>
      <c r="GB67" s="766"/>
      <c r="GC67" s="75"/>
      <c r="GD67" s="25"/>
      <c r="GE67" s="766"/>
      <c r="GF67" s="775"/>
      <c r="GG67" s="775"/>
      <c r="GH67" s="1719"/>
      <c r="GI67" s="1719"/>
      <c r="GJ67" s="1719"/>
      <c r="GK67" s="1719"/>
      <c r="GL67" s="1719"/>
      <c r="GM67" s="1719"/>
      <c r="GN67" s="1721"/>
      <c r="GO67" s="1721"/>
      <c r="GP67" s="1721"/>
      <c r="GQ67" s="1721"/>
      <c r="GR67" s="1721"/>
      <c r="GS67" s="1719"/>
      <c r="GT67" s="1721"/>
      <c r="GU67" s="1719"/>
      <c r="GV67" s="1721"/>
      <c r="GW67" s="1721"/>
      <c r="GX67" s="1721"/>
      <c r="GY67" s="1721"/>
      <c r="GZ67" s="1721"/>
      <c r="HA67" s="1721"/>
      <c r="HB67" s="1721"/>
      <c r="HC67" s="1719"/>
      <c r="HD67" s="1721"/>
      <c r="HE67" s="1719"/>
      <c r="HF67" s="1719"/>
      <c r="HG67" s="1719"/>
      <c r="HH67" s="1719"/>
      <c r="HI67" s="1719"/>
      <c r="HJ67" s="1719"/>
      <c r="HK67" s="1719"/>
      <c r="HL67" s="766"/>
      <c r="HM67" s="766"/>
      <c r="HN67" s="766"/>
      <c r="HO67" s="766"/>
      <c r="HP67" s="766"/>
      <c r="HQ67" s="766"/>
      <c r="HR67" s="766"/>
      <c r="HS67" s="766"/>
      <c r="HT67" s="766"/>
      <c r="HU67" s="766"/>
      <c r="HV67" s="766"/>
      <c r="HW67" s="766"/>
      <c r="HX67" s="766"/>
      <c r="HY67" s="766"/>
      <c r="HZ67" s="766"/>
      <c r="IA67" s="766"/>
      <c r="IB67" s="766"/>
      <c r="IC67" s="766"/>
      <c r="ID67" s="766"/>
      <c r="IE67" s="766"/>
      <c r="IF67" s="766"/>
      <c r="IG67" s="766"/>
      <c r="IH67" s="766"/>
      <c r="II67" s="766"/>
      <c r="IJ67" s="766"/>
      <c r="IK67" s="766"/>
      <c r="IL67" s="766"/>
      <c r="IM67" s="766"/>
      <c r="IN67" s="766"/>
      <c r="IO67" s="766"/>
      <c r="IP67" s="766"/>
      <c r="IQ67" s="769"/>
      <c r="IR67" s="775"/>
      <c r="IS67" s="766"/>
      <c r="IT67" s="28"/>
      <c r="IU67" s="76"/>
      <c r="IV67" s="76"/>
      <c r="IW67" s="766"/>
      <c r="IX67" s="766"/>
      <c r="IY67" s="766"/>
      <c r="IZ67" s="766"/>
      <c r="JA67" s="766"/>
      <c r="JB67" s="766"/>
      <c r="JC67" s="766"/>
      <c r="JD67" s="775"/>
      <c r="JE67" s="766"/>
      <c r="JF67" s="28"/>
      <c r="JG67" s="76"/>
      <c r="JH67" s="1700"/>
      <c r="JI67" s="1700"/>
      <c r="JJ67" s="766"/>
      <c r="JK67" s="766"/>
      <c r="JL67" s="766"/>
      <c r="JM67" s="766"/>
      <c r="JN67" s="766"/>
      <c r="JO67" s="766"/>
      <c r="JP67" s="766"/>
      <c r="JQ67" s="766"/>
      <c r="JR67" s="766"/>
      <c r="JS67" s="766"/>
      <c r="JT67" s="766"/>
      <c r="JU67" s="766"/>
      <c r="JV67" s="766"/>
      <c r="JW67" s="766"/>
      <c r="JX67" s="766"/>
      <c r="JY67" s="766"/>
      <c r="JZ67" s="766"/>
      <c r="KA67" s="766"/>
      <c r="KB67" s="766"/>
      <c r="KC67" s="766"/>
      <c r="KD67" s="766"/>
      <c r="KE67" s="766"/>
      <c r="KF67" s="766"/>
      <c r="KG67" s="766"/>
      <c r="KH67" s="766"/>
      <c r="KI67" s="766"/>
      <c r="KJ67" s="770"/>
      <c r="KK67" s="770"/>
      <c r="KL67" s="770"/>
      <c r="KM67" s="770"/>
      <c r="KN67" s="766"/>
      <c r="KO67" s="28"/>
      <c r="KP67" s="766"/>
      <c r="KQ67" s="766"/>
      <c r="KR67" s="766"/>
      <c r="KS67" s="766"/>
      <c r="KT67" s="766"/>
      <c r="KU67" s="766"/>
      <c r="KV67" s="766"/>
      <c r="KW67" s="766"/>
      <c r="KX67" s="766"/>
      <c r="KY67" s="766"/>
      <c r="KZ67" s="766"/>
      <c r="LA67" s="766"/>
      <c r="LB67" s="766"/>
      <c r="LC67" s="766"/>
      <c r="LD67" s="766"/>
      <c r="LE67" s="766"/>
      <c r="LF67" s="766"/>
      <c r="LG67" s="766"/>
      <c r="LH67" s="766"/>
      <c r="LI67" s="766"/>
      <c r="LJ67" s="766"/>
      <c r="LK67" s="766"/>
      <c r="LL67" s="766"/>
      <c r="LM67" s="766"/>
      <c r="LN67" s="766"/>
      <c r="LO67" s="766"/>
      <c r="LP67" s="766"/>
      <c r="LQ67" s="1681"/>
      <c r="LR67" s="766"/>
      <c r="LS67" s="766"/>
      <c r="LT67" s="766"/>
      <c r="LU67" s="766"/>
      <c r="LV67" s="766"/>
      <c r="LW67" s="766"/>
      <c r="LX67" s="769"/>
      <c r="LY67" s="766" t="str">
        <f t="shared" si="6"/>
        <v/>
      </c>
      <c r="LZ67" s="1696"/>
      <c r="MA67" s="1696"/>
      <c r="MB67" s="1696"/>
      <c r="MC67" s="1679">
        <f t="shared" si="1"/>
        <v>0</v>
      </c>
      <c r="MD67" s="1696"/>
      <c r="ME67" s="1696"/>
      <c r="MF67" s="1696"/>
      <c r="MG67" s="1680">
        <f t="shared" si="2"/>
        <v>0</v>
      </c>
      <c r="MH67" s="1681"/>
      <c r="MI67" s="775"/>
      <c r="MJ67" s="775"/>
      <c r="MK67" s="775"/>
      <c r="ML67" s="775"/>
      <c r="MM67" s="775"/>
      <c r="MN67" s="775"/>
      <c r="MO67" s="775"/>
      <c r="MP67" s="775"/>
      <c r="MQ67" s="775"/>
      <c r="MR67" s="775"/>
      <c r="MS67" s="775"/>
      <c r="MT67" s="775"/>
      <c r="MU67" s="775"/>
      <c r="MV67" s="775"/>
      <c r="MW67" s="775"/>
      <c r="MX67" s="775"/>
      <c r="MY67" s="1682">
        <f t="shared" si="3"/>
        <v>0</v>
      </c>
      <c r="MZ67" s="766"/>
      <c r="NA67" s="766"/>
      <c r="NB67" s="766"/>
      <c r="NC67" s="766"/>
      <c r="ND67" s="766"/>
      <c r="NE67" s="766"/>
      <c r="NF67" s="766"/>
      <c r="NG67" s="766"/>
      <c r="NH67" s="766"/>
      <c r="NI67" s="766"/>
      <c r="NJ67" s="766"/>
      <c r="NK67" s="766"/>
      <c r="NL67" s="766"/>
      <c r="NM67" s="766"/>
      <c r="NN67" s="766"/>
      <c r="NO67" s="766"/>
      <c r="NP67" s="766"/>
      <c r="NQ67" s="766"/>
      <c r="NR67" s="766"/>
      <c r="NS67" s="766"/>
      <c r="NT67" s="766"/>
      <c r="NU67" s="766"/>
      <c r="NV67" s="766"/>
      <c r="NW67" s="766"/>
      <c r="NX67" s="766"/>
      <c r="NY67" s="766"/>
      <c r="NZ67" s="766"/>
      <c r="OA67" s="766"/>
      <c r="OB67" s="766"/>
      <c r="OC67" s="766"/>
      <c r="OD67" s="766"/>
      <c r="OE67" s="766"/>
      <c r="OF67" s="766"/>
      <c r="OG67" s="766"/>
      <c r="OH67" s="766"/>
      <c r="OI67" s="766"/>
      <c r="OJ67" s="766"/>
      <c r="OK67" s="76"/>
      <c r="OL67" s="766"/>
      <c r="OM67" s="766"/>
      <c r="ON67" s="766"/>
      <c r="OO67" s="766"/>
      <c r="OP67" s="766"/>
      <c r="OQ67" s="766"/>
      <c r="OR67" s="766"/>
      <c r="OS67" s="766"/>
      <c r="OT67" s="766"/>
      <c r="OU67" s="766"/>
      <c r="OV67" s="766"/>
      <c r="OW67" s="766"/>
      <c r="OX67" s="766"/>
      <c r="OY67" s="766"/>
      <c r="OZ67" s="766"/>
      <c r="PA67" s="766"/>
      <c r="PB67" s="766"/>
      <c r="PC67" s="766"/>
      <c r="PD67" s="766"/>
      <c r="PE67" s="766"/>
      <c r="PF67" s="766"/>
      <c r="PG67" s="766"/>
      <c r="PH67" s="766"/>
      <c r="PI67" s="766"/>
      <c r="PJ67" s="766"/>
      <c r="PK67" s="766"/>
      <c r="PL67" s="766"/>
      <c r="PM67" s="766"/>
      <c r="PN67" s="766"/>
      <c r="PO67" s="766"/>
      <c r="PP67" s="766"/>
      <c r="PQ67" s="766"/>
      <c r="PR67" s="766"/>
      <c r="PS67" s="766"/>
      <c r="PT67" s="766"/>
      <c r="PU67" s="766"/>
      <c r="PV67" s="766"/>
      <c r="PW67" s="766"/>
      <c r="PX67" s="766"/>
      <c r="PY67" s="766"/>
      <c r="PZ67" s="766"/>
      <c r="QA67" s="766"/>
      <c r="QB67" s="766"/>
      <c r="QC67" s="766"/>
      <c r="QD67" s="766"/>
      <c r="QE67" s="766"/>
      <c r="QF67" s="766"/>
      <c r="QG67" s="766"/>
      <c r="QH67" s="766"/>
      <c r="QI67" s="766"/>
      <c r="QJ67" s="766"/>
      <c r="QK67" s="766"/>
      <c r="QL67" s="766"/>
      <c r="QM67" s="766"/>
      <c r="QN67" s="766"/>
      <c r="QO67" s="766"/>
      <c r="QP67" s="766"/>
      <c r="QQ67" s="766"/>
      <c r="QR67" s="766"/>
      <c r="QS67" s="766"/>
      <c r="QT67" s="766"/>
      <c r="QU67" s="766"/>
      <c r="QV67" s="766"/>
      <c r="QW67" s="766"/>
      <c r="QX67" s="766"/>
      <c r="QY67" s="766"/>
      <c r="QZ67" s="766"/>
      <c r="RA67" s="766"/>
      <c r="RB67" s="766"/>
      <c r="RC67" s="766"/>
      <c r="RD67" s="766"/>
      <c r="RE67" s="766"/>
      <c r="RF67" s="777"/>
      <c r="RG67" s="766"/>
      <c r="RH67" s="775"/>
      <c r="RI67" s="766"/>
      <c r="RJ67" s="766"/>
      <c r="RK67" s="766"/>
      <c r="RL67" s="1683"/>
      <c r="RM67" s="12"/>
      <c r="RN67" s="1711"/>
      <c r="RO67" s="167" t="s">
        <v>11785</v>
      </c>
      <c r="RP67" s="11"/>
      <c r="RQ67" s="11"/>
      <c r="RR67" s="771"/>
      <c r="RS67" s="766"/>
      <c r="RT67" s="11"/>
      <c r="RU67" s="11"/>
      <c r="RV67" s="766" t="s">
        <v>7419</v>
      </c>
      <c r="RW67" s="11" t="s">
        <v>11945</v>
      </c>
      <c r="RX67" s="11" t="s">
        <v>11946</v>
      </c>
      <c r="RY67" s="11"/>
      <c r="RZ67" s="11"/>
      <c r="SA67" s="766"/>
      <c r="SB67" s="11"/>
      <c r="SC67" s="11"/>
    </row>
    <row r="68" spans="1:497" ht="12.75" customHeight="1">
      <c r="A68" s="19" t="s">
        <v>7421</v>
      </c>
      <c r="B68" s="288" t="s">
        <v>12272</v>
      </c>
      <c r="C68" s="167" t="s">
        <v>53</v>
      </c>
      <c r="D68" s="766" t="s">
        <v>54</v>
      </c>
      <c r="E68" s="766" t="s">
        <v>55</v>
      </c>
      <c r="F68" s="766" t="s">
        <v>20</v>
      </c>
      <c r="G68" s="766" t="s">
        <v>18</v>
      </c>
      <c r="H68" s="766"/>
      <c r="I68" s="5" t="s">
        <v>59</v>
      </c>
      <c r="J68" s="766"/>
      <c r="K68" s="766"/>
      <c r="L68" s="766"/>
      <c r="M68" s="766"/>
      <c r="N68" s="766"/>
      <c r="O68" s="766"/>
      <c r="P68" s="14" t="s">
        <v>734</v>
      </c>
      <c r="Q68" s="1085">
        <v>28328</v>
      </c>
      <c r="R68" s="25">
        <v>39</v>
      </c>
      <c r="S68" s="766" t="s">
        <v>10</v>
      </c>
      <c r="T68" s="766"/>
      <c r="U68" s="26" t="s">
        <v>735</v>
      </c>
      <c r="V68" s="766" t="s">
        <v>707</v>
      </c>
      <c r="W68" s="766" t="s">
        <v>54</v>
      </c>
      <c r="X68" s="24">
        <v>29639</v>
      </c>
      <c r="Y68" s="766" t="s">
        <v>736</v>
      </c>
      <c r="Z68" s="766" t="s">
        <v>708</v>
      </c>
      <c r="AA68" s="766" t="s">
        <v>737</v>
      </c>
      <c r="AB68" s="766" t="s">
        <v>7275</v>
      </c>
      <c r="AC68" s="766"/>
      <c r="AD68" s="766" t="s">
        <v>711</v>
      </c>
      <c r="AE68" s="766"/>
      <c r="AF68" s="766" t="s">
        <v>733</v>
      </c>
      <c r="AG68" s="766" t="s">
        <v>1095</v>
      </c>
      <c r="AH68" s="766" t="s">
        <v>1096</v>
      </c>
      <c r="AI68" s="766"/>
      <c r="AJ68" s="766"/>
      <c r="AK68" s="766" t="s">
        <v>1101</v>
      </c>
      <c r="AL68" s="121">
        <v>60</v>
      </c>
      <c r="AM68" s="773">
        <v>60</v>
      </c>
      <c r="AN68" s="37">
        <f t="shared" si="7"/>
        <v>1</v>
      </c>
      <c r="AO68" s="766" t="s">
        <v>1122</v>
      </c>
      <c r="AP68" s="766"/>
      <c r="AQ68" s="766"/>
      <c r="AR68" s="766"/>
      <c r="AS68" s="766"/>
      <c r="AT68" s="766"/>
      <c r="AU68" s="766"/>
      <c r="AV68" s="766"/>
      <c r="AW68" s="766"/>
      <c r="AX68" s="13"/>
      <c r="AY68" s="766"/>
      <c r="AZ68" s="766"/>
      <c r="BA68" s="766"/>
      <c r="BB68" s="766"/>
      <c r="BC68" s="766"/>
      <c r="BD68" s="766"/>
      <c r="BE68" s="766"/>
      <c r="BF68" s="775"/>
      <c r="BG68" s="775"/>
      <c r="BH68" s="766"/>
      <c r="BI68" s="766"/>
      <c r="BJ68" s="766"/>
      <c r="BK68" s="766" t="s">
        <v>1095</v>
      </c>
      <c r="BL68" s="766" t="s">
        <v>2047</v>
      </c>
      <c r="BM68" s="766" t="s">
        <v>1096</v>
      </c>
      <c r="BN68" s="766" t="s">
        <v>1230</v>
      </c>
      <c r="BO68" s="766" t="s">
        <v>1246</v>
      </c>
      <c r="BP68" s="776">
        <v>20</v>
      </c>
      <c r="BQ68" s="773">
        <v>20</v>
      </c>
      <c r="BR68" s="774">
        <f t="shared" si="8"/>
        <v>1</v>
      </c>
      <c r="BS68" s="766" t="s">
        <v>1257</v>
      </c>
      <c r="BT68" s="766" t="s">
        <v>8133</v>
      </c>
      <c r="BU68" s="766" t="s">
        <v>1249</v>
      </c>
      <c r="BV68" s="766" t="s">
        <v>1264</v>
      </c>
      <c r="BW68" s="766">
        <v>2011</v>
      </c>
      <c r="BX68" s="779"/>
      <c r="BY68" s="766" t="s">
        <v>1207</v>
      </c>
      <c r="BZ68" s="775"/>
      <c r="CA68" s="766"/>
      <c r="CB68" s="769" t="s">
        <v>1207</v>
      </c>
      <c r="CC68" s="766"/>
      <c r="CD68" s="766"/>
      <c r="CE68" s="766"/>
      <c r="CF68" s="231"/>
      <c r="CG68" s="231"/>
      <c r="CH68" s="766"/>
      <c r="CI68" s="766"/>
      <c r="CJ68" s="766"/>
      <c r="CK68" s="766"/>
      <c r="CL68" s="766"/>
      <c r="CM68" s="766"/>
      <c r="CN68" s="766"/>
      <c r="CO68" s="766"/>
      <c r="CP68" s="766"/>
      <c r="CQ68" s="766"/>
      <c r="CR68" s="775"/>
      <c r="CS68" s="766"/>
      <c r="CT68" s="766"/>
      <c r="CU68" s="129"/>
      <c r="CV68" s="766"/>
      <c r="CW68" s="766"/>
      <c r="CX68" s="766"/>
      <c r="CY68" s="769"/>
      <c r="CZ68" s="766"/>
      <c r="DA68" s="766"/>
      <c r="DB68" s="766"/>
      <c r="DC68" s="766"/>
      <c r="DD68" s="766"/>
      <c r="DE68" s="766"/>
      <c r="DF68" s="766"/>
      <c r="DG68" s="766"/>
      <c r="DH68" s="766"/>
      <c r="DI68" s="766"/>
      <c r="DJ68" s="766"/>
      <c r="DK68" s="766"/>
      <c r="DL68" s="766"/>
      <c r="DM68" s="766"/>
      <c r="DN68" s="766"/>
      <c r="DO68" s="766"/>
      <c r="DP68" s="766"/>
      <c r="DQ68" s="766"/>
      <c r="DR68" s="766"/>
      <c r="DS68" s="59"/>
      <c r="DT68" s="766"/>
      <c r="DU68" s="766"/>
      <c r="DV68" s="766"/>
      <c r="DW68" s="66"/>
      <c r="DX68" s="66"/>
      <c r="DY68" s="766"/>
      <c r="DZ68" s="766"/>
      <c r="EA68" s="766"/>
      <c r="EB68" s="766"/>
      <c r="EC68" s="766"/>
      <c r="ED68" s="766"/>
      <c r="EE68" s="766"/>
      <c r="EF68" s="766"/>
      <c r="EG68" s="766"/>
      <c r="EH68" s="766"/>
      <c r="EI68" s="766"/>
      <c r="EJ68" s="766"/>
      <c r="EK68" s="766"/>
      <c r="EL68" s="766"/>
      <c r="EM68" s="766"/>
      <c r="EN68" s="766"/>
      <c r="EO68" s="766"/>
      <c r="EP68" s="766"/>
      <c r="EQ68" s="766"/>
      <c r="ER68" s="766"/>
      <c r="ES68" s="766"/>
      <c r="ET68" s="766"/>
      <c r="EU68" s="766"/>
      <c r="EV68" s="766"/>
      <c r="EW68" s="766"/>
      <c r="EX68" s="766"/>
      <c r="EY68" s="766"/>
      <c r="EZ68" s="766"/>
      <c r="FA68" s="766"/>
      <c r="FB68" s="766"/>
      <c r="FC68" s="766"/>
      <c r="FD68" s="775"/>
      <c r="FE68" s="766"/>
      <c r="FF68" s="766"/>
      <c r="FG68" s="766"/>
      <c r="FH68" s="766" t="s">
        <v>1263</v>
      </c>
      <c r="FI68" s="766">
        <v>1</v>
      </c>
      <c r="FJ68" s="766" t="s">
        <v>1115</v>
      </c>
      <c r="FK68" s="766" t="s">
        <v>730</v>
      </c>
      <c r="FL68" s="766" t="s">
        <v>1603</v>
      </c>
      <c r="FM68" s="775"/>
      <c r="FN68" s="775">
        <v>500</v>
      </c>
      <c r="FO68" s="775">
        <v>1200</v>
      </c>
      <c r="FP68" s="766" t="s">
        <v>1602</v>
      </c>
      <c r="FQ68" s="766" t="s">
        <v>1660</v>
      </c>
      <c r="FR68" s="766"/>
      <c r="FS68" s="766"/>
      <c r="FT68" s="766"/>
      <c r="FU68" s="766"/>
      <c r="FV68" s="766"/>
      <c r="FW68" s="766"/>
      <c r="FX68" s="766"/>
      <c r="FY68" s="766"/>
      <c r="FZ68" s="766"/>
      <c r="GA68" s="766"/>
      <c r="GB68" s="766"/>
      <c r="GC68" s="75"/>
      <c r="GD68" s="25"/>
      <c r="GE68" s="766"/>
      <c r="GF68" s="775"/>
      <c r="GG68" s="775"/>
      <c r="GH68" s="712" t="s">
        <v>1791</v>
      </c>
      <c r="GI68" s="766"/>
      <c r="GJ68" s="766"/>
      <c r="GK68" s="766"/>
      <c r="GL68" s="766"/>
      <c r="GM68" s="766"/>
      <c r="GN68" s="82"/>
      <c r="GO68" s="766"/>
      <c r="GP68" s="766"/>
      <c r="GQ68" s="766"/>
      <c r="GR68" s="766"/>
      <c r="GS68" s="766"/>
      <c r="GT68" s="766"/>
      <c r="GU68" s="766"/>
      <c r="GV68" s="766"/>
      <c r="GW68" s="766"/>
      <c r="GX68" s="766"/>
      <c r="GY68" s="766"/>
      <c r="GZ68" s="766"/>
      <c r="HA68" s="766"/>
      <c r="HB68" s="766"/>
      <c r="HC68" s="766"/>
      <c r="HD68" s="766"/>
      <c r="HE68" s="766"/>
      <c r="HF68" s="766"/>
      <c r="HG68" s="766"/>
      <c r="HH68" s="766"/>
      <c r="HI68" s="766"/>
      <c r="HJ68" s="766"/>
      <c r="HK68" s="766"/>
      <c r="HL68" s="766"/>
      <c r="HM68" s="766"/>
      <c r="HN68" s="766"/>
      <c r="HO68" s="766"/>
      <c r="HP68" s="766"/>
      <c r="HQ68" s="766"/>
      <c r="HR68" s="766"/>
      <c r="HS68" s="766"/>
      <c r="HT68" s="766"/>
      <c r="HU68" s="766"/>
      <c r="HV68" s="766"/>
      <c r="HW68" s="766"/>
      <c r="HX68" s="766"/>
      <c r="HY68" s="766"/>
      <c r="HZ68" s="766"/>
      <c r="IA68" s="766"/>
      <c r="IB68" s="14" t="e">
        <f>IF(#REF!&gt;0,IF(#REF!&lt;=10000,"Y",""),"")</f>
        <v>#REF!</v>
      </c>
      <c r="IC68" s="766"/>
      <c r="ID68" s="766">
        <v>1</v>
      </c>
      <c r="IE68" s="766"/>
      <c r="IF68" s="766"/>
      <c r="IG68" s="766"/>
      <c r="IH68" s="766"/>
      <c r="II68" s="766"/>
      <c r="IJ68" s="766"/>
      <c r="IK68" s="766"/>
      <c r="IL68" s="766"/>
      <c r="IM68" s="766"/>
      <c r="IN68" s="766"/>
      <c r="IO68" s="24"/>
      <c r="IP68" s="766"/>
      <c r="IQ68" s="766"/>
      <c r="IR68" s="770"/>
      <c r="IS68" s="766"/>
      <c r="IT68" s="766"/>
      <c r="IU68" s="766"/>
      <c r="IV68" s="766"/>
      <c r="IW68" s="766"/>
      <c r="IX68" s="766"/>
      <c r="IY68" s="766"/>
      <c r="IZ68" s="766"/>
      <c r="JA68" s="766"/>
      <c r="JB68" s="766"/>
      <c r="JC68" s="766"/>
      <c r="JD68" s="775"/>
      <c r="JE68" s="766"/>
      <c r="JF68" s="766"/>
      <c r="JG68" s="766"/>
      <c r="JH68" s="775"/>
      <c r="JI68" s="775"/>
      <c r="JJ68" s="766">
        <v>6</v>
      </c>
      <c r="JK68" s="1139" t="s">
        <v>2047</v>
      </c>
      <c r="JL68" s="766">
        <v>2</v>
      </c>
      <c r="JM68" s="766">
        <v>1</v>
      </c>
      <c r="JN68" s="766">
        <v>2</v>
      </c>
      <c r="JO68" s="766">
        <v>1</v>
      </c>
      <c r="JP68" s="766"/>
      <c r="JQ68" s="766"/>
      <c r="JR68" s="766"/>
      <c r="JS68" s="766"/>
      <c r="JT68" s="766">
        <f t="shared" ref="JT68:JU70" si="9">SUM(JP68,JN68,JL68,JR68)</f>
        <v>4</v>
      </c>
      <c r="JU68" s="766">
        <f t="shared" si="9"/>
        <v>2</v>
      </c>
      <c r="JV68" s="712" t="str">
        <f>IF(JT68=KJ68,"ok","male")</f>
        <v>ok</v>
      </c>
      <c r="JW68" s="712" t="str">
        <f>IF(JU68=KK68,"ok","female")</f>
        <v>ok</v>
      </c>
      <c r="JX68" s="766">
        <v>1</v>
      </c>
      <c r="JY68" s="766">
        <v>1</v>
      </c>
      <c r="JZ68" s="766">
        <v>1</v>
      </c>
      <c r="KA68" s="766"/>
      <c r="KB68" s="766">
        <v>1</v>
      </c>
      <c r="KC68" s="766"/>
      <c r="KD68" s="766">
        <v>1</v>
      </c>
      <c r="KE68" s="766">
        <v>1</v>
      </c>
      <c r="KF68" s="766"/>
      <c r="KG68" s="766"/>
      <c r="KH68" s="766"/>
      <c r="KI68" s="766"/>
      <c r="KJ68" s="770">
        <f t="shared" ref="KJ68:KK70" si="10">SUM(KF68,KD68,KB68,JZ68,JX68,KH68)</f>
        <v>4</v>
      </c>
      <c r="KK68" s="770">
        <f t="shared" si="10"/>
        <v>2</v>
      </c>
      <c r="KL68" s="712" t="str">
        <f>IF(KJ68=LN68,"ok","male")</f>
        <v>ok</v>
      </c>
      <c r="KM68" s="712" t="str">
        <f>IF(KK68=LO68,"ok","female")</f>
        <v>ok</v>
      </c>
      <c r="KN68" s="766" t="s">
        <v>707</v>
      </c>
      <c r="KO68" s="28"/>
      <c r="KP68" s="766">
        <v>1</v>
      </c>
      <c r="KQ68" s="766"/>
      <c r="KR68" s="766"/>
      <c r="KS68" s="766"/>
      <c r="KT68" s="766">
        <v>2</v>
      </c>
      <c r="KU68" s="766">
        <v>1</v>
      </c>
      <c r="KV68" s="766"/>
      <c r="KW68" s="766"/>
      <c r="KX68" s="766">
        <v>1</v>
      </c>
      <c r="KY68" s="766"/>
      <c r="KZ68" s="766"/>
      <c r="LA68" s="766"/>
      <c r="LB68" s="766"/>
      <c r="LC68" s="766"/>
      <c r="LD68" s="766"/>
      <c r="LE68" s="766"/>
      <c r="LF68" s="766"/>
      <c r="LG68" s="766"/>
      <c r="LH68" s="766"/>
      <c r="LI68" s="766"/>
      <c r="LJ68" s="766"/>
      <c r="LK68" s="766">
        <v>1</v>
      </c>
      <c r="LL68" s="766"/>
      <c r="LM68" s="766"/>
      <c r="LN68" s="766">
        <f t="shared" ref="LN68:LO70" si="11">SUM(KP68,KR68,KT68,KV68,KX68,KZ68,LB68,LD68,LF68,LH68,LJ68,LL68)</f>
        <v>4</v>
      </c>
      <c r="LO68" s="766">
        <f t="shared" si="11"/>
        <v>2</v>
      </c>
      <c r="LP68" s="766">
        <v>2</v>
      </c>
      <c r="LQ68" s="1681">
        <v>1</v>
      </c>
      <c r="LR68" s="1678"/>
      <c r="LS68" s="1681">
        <v>1</v>
      </c>
      <c r="LT68" s="712" t="str">
        <f>IF(LQ68=SUM(LU68:LW68),"OK","REV")</f>
        <v>OK</v>
      </c>
      <c r="LU68" s="766">
        <v>1</v>
      </c>
      <c r="LV68" s="766"/>
      <c r="LW68" s="766"/>
      <c r="LX68" s="769">
        <v>3</v>
      </c>
      <c r="LY68" s="766" t="str">
        <f t="shared" si="6"/>
        <v>within the PROVINCE</v>
      </c>
      <c r="LZ68" s="66"/>
      <c r="MA68" s="66"/>
      <c r="MB68" s="1701"/>
      <c r="MC68" s="1679">
        <f t="shared" si="1"/>
        <v>0</v>
      </c>
      <c r="MD68" s="66">
        <v>16000</v>
      </c>
      <c r="ME68" s="66"/>
      <c r="MF68" s="66">
        <v>5700</v>
      </c>
      <c r="MG68" s="1680">
        <f t="shared" si="2"/>
        <v>21700</v>
      </c>
      <c r="MH68" s="1681" t="s">
        <v>13064</v>
      </c>
      <c r="MI68" s="775">
        <v>9000</v>
      </c>
      <c r="MJ68" s="775">
        <v>1120</v>
      </c>
      <c r="MK68" s="775">
        <v>750</v>
      </c>
      <c r="ML68" s="775">
        <v>500</v>
      </c>
      <c r="MM68" s="775">
        <v>400</v>
      </c>
      <c r="MN68" s="775"/>
      <c r="MO68" s="775">
        <v>100</v>
      </c>
      <c r="MP68" s="775">
        <v>1200</v>
      </c>
      <c r="MQ68" s="775">
        <v>440</v>
      </c>
      <c r="MR68" s="775">
        <v>500</v>
      </c>
      <c r="MS68" s="775">
        <v>500</v>
      </c>
      <c r="MT68" s="775"/>
      <c r="MU68" s="775"/>
      <c r="MV68" s="775"/>
      <c r="MW68" s="775"/>
      <c r="MX68" s="775"/>
      <c r="MY68" s="1682">
        <f t="shared" si="3"/>
        <v>14510</v>
      </c>
      <c r="MZ68" s="766" t="s">
        <v>13004</v>
      </c>
      <c r="NA68" s="766" t="s">
        <v>13065</v>
      </c>
      <c r="NB68" s="766" t="s">
        <v>13016</v>
      </c>
      <c r="NC68" s="766" t="s">
        <v>13026</v>
      </c>
      <c r="ND68" s="766">
        <v>0</v>
      </c>
      <c r="NE68" s="766">
        <v>0</v>
      </c>
      <c r="NF68" s="766">
        <v>0</v>
      </c>
      <c r="NG68" s="766">
        <v>2</v>
      </c>
      <c r="NH68" s="766">
        <v>0</v>
      </c>
      <c r="NI68" s="766">
        <v>1</v>
      </c>
      <c r="NJ68" s="766">
        <v>0</v>
      </c>
      <c r="NK68" s="766">
        <v>0</v>
      </c>
      <c r="NL68" s="766">
        <v>0</v>
      </c>
      <c r="NM68" s="766">
        <v>0</v>
      </c>
      <c r="NN68" s="766">
        <v>1</v>
      </c>
      <c r="NO68" s="766">
        <v>0</v>
      </c>
      <c r="NP68" s="766">
        <v>0</v>
      </c>
      <c r="NQ68" s="766">
        <v>0</v>
      </c>
      <c r="NR68" s="766">
        <v>0</v>
      </c>
      <c r="NS68" s="766">
        <v>0</v>
      </c>
      <c r="NT68" s="766">
        <v>0</v>
      </c>
      <c r="NU68" s="766">
        <v>0</v>
      </c>
      <c r="NV68" s="766">
        <v>0</v>
      </c>
      <c r="NW68" s="766">
        <v>0</v>
      </c>
      <c r="NX68" s="766">
        <v>0</v>
      </c>
      <c r="NY68" s="766" t="s">
        <v>1208</v>
      </c>
      <c r="NZ68" s="766" t="s">
        <v>1208</v>
      </c>
      <c r="OA68" s="766" t="s">
        <v>1208</v>
      </c>
      <c r="OB68" s="766" t="s">
        <v>1208</v>
      </c>
      <c r="OC68" s="766" t="s">
        <v>1208</v>
      </c>
      <c r="OD68" s="766" t="s">
        <v>1208</v>
      </c>
      <c r="OE68" s="766"/>
      <c r="OF68" s="766" t="s">
        <v>13066</v>
      </c>
      <c r="OG68" s="766"/>
      <c r="OH68" s="766"/>
      <c r="OI68" s="766"/>
      <c r="OJ68" s="766"/>
      <c r="OK68" s="766"/>
      <c r="OL68" s="766"/>
      <c r="OM68" s="766"/>
      <c r="ON68" s="766"/>
      <c r="OO68" s="766"/>
      <c r="OP68" s="766"/>
      <c r="OQ68" s="766"/>
      <c r="OR68" s="766"/>
      <c r="OS68" s="766"/>
      <c r="OT68" s="766"/>
      <c r="OU68" s="766"/>
      <c r="OV68" s="766"/>
      <c r="OW68" s="766"/>
      <c r="OX68" s="766"/>
      <c r="OY68" s="766"/>
      <c r="OZ68" s="766"/>
      <c r="PA68" s="766"/>
      <c r="PB68" s="766"/>
      <c r="PC68" s="766"/>
      <c r="PD68" s="766"/>
      <c r="PE68" s="766"/>
      <c r="PF68" s="766"/>
      <c r="PG68" s="766"/>
      <c r="PH68" s="766"/>
      <c r="PI68" s="766"/>
      <c r="PJ68" s="766"/>
      <c r="PK68" s="766"/>
      <c r="PL68" s="766" t="s">
        <v>1208</v>
      </c>
      <c r="PM68" s="766"/>
      <c r="PN68" s="766"/>
      <c r="PO68" s="766"/>
      <c r="PP68" s="766"/>
      <c r="PQ68" s="766"/>
      <c r="PR68" s="766"/>
      <c r="PS68" s="766"/>
      <c r="PT68" s="766"/>
      <c r="PU68" s="766"/>
      <c r="PV68" s="766"/>
      <c r="PW68" s="766"/>
      <c r="PX68" s="766"/>
      <c r="PY68" s="766"/>
      <c r="PZ68" s="766"/>
      <c r="QA68" s="766"/>
      <c r="QB68" s="766"/>
      <c r="QC68" s="766"/>
      <c r="QD68" s="766"/>
      <c r="QE68" s="766"/>
      <c r="QF68" s="766"/>
      <c r="QG68" s="766"/>
      <c r="QH68" s="766"/>
      <c r="QI68" s="766"/>
      <c r="QJ68" s="766"/>
      <c r="QK68" s="766"/>
      <c r="QL68" s="766"/>
      <c r="QM68" s="766"/>
      <c r="QN68" s="766"/>
      <c r="QO68" s="766"/>
      <c r="QP68" s="766"/>
      <c r="QQ68" s="766"/>
      <c r="QR68" s="766"/>
      <c r="QS68" s="766"/>
      <c r="QT68" s="766"/>
      <c r="QU68" s="766"/>
      <c r="QV68" s="766"/>
      <c r="QW68" s="766"/>
      <c r="QX68" s="766"/>
      <c r="QY68" s="766"/>
      <c r="QZ68" s="766"/>
      <c r="RA68" s="766"/>
      <c r="RB68" s="766"/>
      <c r="RC68" s="766"/>
      <c r="RD68" s="766"/>
      <c r="RE68" s="766"/>
      <c r="RF68" s="777"/>
      <c r="RG68" s="766"/>
      <c r="RH68" s="775"/>
      <c r="RI68" s="766"/>
      <c r="RJ68" s="766" t="s">
        <v>2149</v>
      </c>
      <c r="RK68" s="766" t="s">
        <v>1443</v>
      </c>
      <c r="RL68" s="1683"/>
      <c r="RM68" s="12"/>
      <c r="RN68" s="1711"/>
      <c r="RO68" s="167" t="s">
        <v>53</v>
      </c>
      <c r="RP68" s="11"/>
      <c r="RQ68" s="11"/>
      <c r="RR68" s="19" t="s">
        <v>7421</v>
      </c>
      <c r="RS68" s="1139" t="s">
        <v>12980</v>
      </c>
      <c r="RT68" s="11"/>
      <c r="RU68" s="11"/>
      <c r="RV68" s="766" t="s">
        <v>7419</v>
      </c>
      <c r="RW68" s="11" t="s">
        <v>12270</v>
      </c>
      <c r="RX68" s="11" t="s">
        <v>11781</v>
      </c>
      <c r="RY68" s="11"/>
      <c r="RZ68" s="11"/>
      <c r="SA68" s="766"/>
      <c r="SB68" s="11"/>
      <c r="SC68" s="11"/>
    </row>
    <row r="69" spans="1:497" ht="12.75" customHeight="1">
      <c r="A69" s="19" t="s">
        <v>7421</v>
      </c>
      <c r="B69" s="288" t="s">
        <v>11955</v>
      </c>
      <c r="C69" s="167" t="s">
        <v>60</v>
      </c>
      <c r="D69" s="14" t="s">
        <v>7941</v>
      </c>
      <c r="E69" s="766" t="s">
        <v>55</v>
      </c>
      <c r="F69" s="766"/>
      <c r="G69" s="766"/>
      <c r="H69" s="766"/>
      <c r="I69" s="5"/>
      <c r="J69" s="766"/>
      <c r="K69" s="766"/>
      <c r="L69" s="766"/>
      <c r="M69" s="766"/>
      <c r="N69" s="766"/>
      <c r="O69" s="766"/>
      <c r="P69" s="14" t="s">
        <v>738</v>
      </c>
      <c r="Q69" s="1085">
        <v>36306</v>
      </c>
      <c r="R69" s="25">
        <v>20</v>
      </c>
      <c r="S69" s="766" t="s">
        <v>10</v>
      </c>
      <c r="T69" s="766"/>
      <c r="U69" s="26" t="s">
        <v>735</v>
      </c>
      <c r="V69" s="766" t="s">
        <v>722</v>
      </c>
      <c r="W69" s="766"/>
      <c r="X69" s="24"/>
      <c r="Y69" s="766" t="s">
        <v>736</v>
      </c>
      <c r="Z69" s="766" t="s">
        <v>708</v>
      </c>
      <c r="AA69" s="766" t="s">
        <v>739</v>
      </c>
      <c r="AB69" s="766" t="s">
        <v>740</v>
      </c>
      <c r="AC69" s="766" t="s">
        <v>110</v>
      </c>
      <c r="AD69" s="766" t="s">
        <v>711</v>
      </c>
      <c r="AE69" s="766"/>
      <c r="AF69" s="766" t="s">
        <v>733</v>
      </c>
      <c r="AG69" s="766" t="s">
        <v>1095</v>
      </c>
      <c r="AH69" s="766" t="s">
        <v>1096</v>
      </c>
      <c r="AI69" s="766"/>
      <c r="AJ69" s="766"/>
      <c r="AK69" s="766" t="s">
        <v>1101</v>
      </c>
      <c r="AL69" s="121">
        <v>5.024</v>
      </c>
      <c r="AM69" s="121">
        <v>5.024</v>
      </c>
      <c r="AN69" s="37">
        <f t="shared" si="7"/>
        <v>1</v>
      </c>
      <c r="AO69" s="766" t="s">
        <v>1122</v>
      </c>
      <c r="AP69" s="766"/>
      <c r="AQ69" s="766"/>
      <c r="AR69" s="766"/>
      <c r="AS69" s="766"/>
      <c r="AT69" s="766"/>
      <c r="AU69" s="766"/>
      <c r="AV69" s="766"/>
      <c r="AW69" s="766"/>
      <c r="AX69" s="13"/>
      <c r="AY69" s="766"/>
      <c r="AZ69" s="766"/>
      <c r="BA69" s="766"/>
      <c r="BB69" s="766"/>
      <c r="BC69" s="766"/>
      <c r="BD69" s="766"/>
      <c r="BE69" s="766"/>
      <c r="BF69" s="775"/>
      <c r="BG69" s="775"/>
      <c r="BH69" s="766"/>
      <c r="BI69" s="766"/>
      <c r="BJ69" s="766"/>
      <c r="BK69" s="766" t="s">
        <v>1095</v>
      </c>
      <c r="BL69" s="766" t="s">
        <v>2048</v>
      </c>
      <c r="BM69" s="766" t="s">
        <v>1096</v>
      </c>
      <c r="BN69" s="766" t="s">
        <v>1230</v>
      </c>
      <c r="BO69" s="766" t="s">
        <v>1246</v>
      </c>
      <c r="BP69" s="776">
        <v>5.024</v>
      </c>
      <c r="BQ69" s="776">
        <v>5.024</v>
      </c>
      <c r="BR69" s="774">
        <f t="shared" si="8"/>
        <v>1</v>
      </c>
      <c r="BS69" s="766" t="s">
        <v>1257</v>
      </c>
      <c r="BT69" s="766" t="s">
        <v>1326</v>
      </c>
      <c r="BU69" s="766" t="s">
        <v>1249</v>
      </c>
      <c r="BV69" s="766" t="s">
        <v>1247</v>
      </c>
      <c r="BW69" s="766">
        <v>2011</v>
      </c>
      <c r="BX69" s="779"/>
      <c r="BY69" s="766"/>
      <c r="BZ69" s="775"/>
      <c r="CA69" s="766"/>
      <c r="CB69" s="766"/>
      <c r="CC69" s="766"/>
      <c r="CD69" s="766"/>
      <c r="CE69" s="766"/>
      <c r="CF69" s="231"/>
      <c r="CG69" s="231"/>
      <c r="CH69" s="766"/>
      <c r="CI69" s="766"/>
      <c r="CJ69" s="766"/>
      <c r="CK69" s="766"/>
      <c r="CL69" s="766"/>
      <c r="CM69" s="766"/>
      <c r="CN69" s="766"/>
      <c r="CO69" s="766"/>
      <c r="CP69" s="766"/>
      <c r="CQ69" s="766"/>
      <c r="CR69" s="775"/>
      <c r="CS69" s="766"/>
      <c r="CT69" s="766"/>
      <c r="CU69" s="129"/>
      <c r="CV69" s="766"/>
      <c r="CW69" s="766"/>
      <c r="CX69" s="766"/>
      <c r="CY69" s="766"/>
      <c r="CZ69" s="766"/>
      <c r="DA69" s="766"/>
      <c r="DB69" s="766"/>
      <c r="DC69" s="766"/>
      <c r="DD69" s="766"/>
      <c r="DE69" s="766"/>
      <c r="DF69" s="766"/>
      <c r="DG69" s="766"/>
      <c r="DH69" s="766"/>
      <c r="DI69" s="766"/>
      <c r="DJ69" s="766"/>
      <c r="DK69" s="766"/>
      <c r="DL69" s="766"/>
      <c r="DM69" s="766"/>
      <c r="DN69" s="766"/>
      <c r="DO69" s="766"/>
      <c r="DP69" s="766"/>
      <c r="DQ69" s="766"/>
      <c r="DR69" s="766"/>
      <c r="DS69" s="59"/>
      <c r="DT69" s="766"/>
      <c r="DU69" s="766"/>
      <c r="DV69" s="766"/>
      <c r="DW69" s="66"/>
      <c r="DX69" s="66"/>
      <c r="DY69" s="766"/>
      <c r="DZ69" s="766"/>
      <c r="EA69" s="766"/>
      <c r="EB69" s="766"/>
      <c r="EC69" s="766"/>
      <c r="ED69" s="766"/>
      <c r="EE69" s="766"/>
      <c r="EF69" s="766"/>
      <c r="EG69" s="766"/>
      <c r="EH69" s="766"/>
      <c r="EI69" s="766"/>
      <c r="EJ69" s="766"/>
      <c r="EK69" s="766"/>
      <c r="EL69" s="766"/>
      <c r="EM69" s="766"/>
      <c r="EN69" s="766"/>
      <c r="EO69" s="766"/>
      <c r="EP69" s="766"/>
      <c r="EQ69" s="766"/>
      <c r="ER69" s="766"/>
      <c r="ES69" s="766"/>
      <c r="ET69" s="766"/>
      <c r="EU69" s="766"/>
      <c r="EV69" s="766"/>
      <c r="EW69" s="766"/>
      <c r="EX69" s="766"/>
      <c r="EY69" s="766"/>
      <c r="EZ69" s="766"/>
      <c r="FA69" s="766"/>
      <c r="FB69" s="766"/>
      <c r="FC69" s="766"/>
      <c r="FD69" s="775"/>
      <c r="FE69" s="766"/>
      <c r="FF69" s="766"/>
      <c r="FG69" s="766"/>
      <c r="FH69" s="766" t="s">
        <v>1263</v>
      </c>
      <c r="FI69" s="766">
        <v>1</v>
      </c>
      <c r="FJ69" s="766" t="s">
        <v>1115</v>
      </c>
      <c r="FK69" s="766" t="s">
        <v>730</v>
      </c>
      <c r="FL69" s="766" t="s">
        <v>1603</v>
      </c>
      <c r="FM69" s="775"/>
      <c r="FN69" s="775">
        <v>93</v>
      </c>
      <c r="FO69" s="775" t="s">
        <v>1604</v>
      </c>
      <c r="FP69" s="766" t="s">
        <v>1602</v>
      </c>
      <c r="FQ69" s="766" t="s">
        <v>1660</v>
      </c>
      <c r="FR69" s="766"/>
      <c r="FS69" s="766"/>
      <c r="FT69" s="766"/>
      <c r="FU69" s="766"/>
      <c r="FV69" s="766"/>
      <c r="FW69" s="766"/>
      <c r="FX69" s="766"/>
      <c r="FY69" s="766"/>
      <c r="FZ69" s="766"/>
      <c r="GA69" s="766"/>
      <c r="GB69" s="766"/>
      <c r="GC69" s="75"/>
      <c r="GD69" s="25"/>
      <c r="GE69" s="766"/>
      <c r="GF69" s="775"/>
      <c r="GG69" s="775"/>
      <c r="GH69" s="712" t="s">
        <v>1791</v>
      </c>
      <c r="GI69" s="766"/>
      <c r="GJ69" s="766" t="s">
        <v>711</v>
      </c>
      <c r="GK69" s="766" t="s">
        <v>2693</v>
      </c>
      <c r="GL69" s="766" t="s">
        <v>1797</v>
      </c>
      <c r="GM69" s="766"/>
      <c r="GN69" s="82">
        <v>200</v>
      </c>
      <c r="GO69" s="766"/>
      <c r="GP69" s="766" t="s">
        <v>1208</v>
      </c>
      <c r="GQ69" s="766" t="s">
        <v>1208</v>
      </c>
      <c r="GR69" s="766"/>
      <c r="GS69" s="766"/>
      <c r="GT69" s="766"/>
      <c r="GU69" s="766" t="s">
        <v>1208</v>
      </c>
      <c r="GV69" s="766"/>
      <c r="GW69" s="766" t="s">
        <v>1207</v>
      </c>
      <c r="GX69" s="766"/>
      <c r="GY69" s="766"/>
      <c r="GZ69" s="766" t="s">
        <v>1208</v>
      </c>
      <c r="HA69" s="766" t="s">
        <v>1208</v>
      </c>
      <c r="HB69" s="766" t="s">
        <v>1208</v>
      </c>
      <c r="HC69" s="766"/>
      <c r="HD69" s="766" t="s">
        <v>1208</v>
      </c>
      <c r="HE69" s="766" t="s">
        <v>1208</v>
      </c>
      <c r="HF69" s="766"/>
      <c r="HG69" s="766"/>
      <c r="HH69" s="766"/>
      <c r="HI69" s="766"/>
      <c r="HJ69" s="766"/>
      <c r="HK69" s="766"/>
      <c r="HL69" s="766"/>
      <c r="HM69" s="766"/>
      <c r="HN69" s="766"/>
      <c r="HO69" s="766"/>
      <c r="HP69" s="766"/>
      <c r="HQ69" s="766"/>
      <c r="HR69" s="766"/>
      <c r="HS69" s="766"/>
      <c r="HT69" s="766"/>
      <c r="HU69" s="766"/>
      <c r="HV69" s="766"/>
      <c r="HW69" s="766"/>
      <c r="HX69" s="766"/>
      <c r="HY69" s="766"/>
      <c r="HZ69" s="766"/>
      <c r="IA69" s="766"/>
      <c r="IB69" s="14" t="e">
        <f>IF(#REF!&gt;0,IF(#REF!&lt;=10000,"Y",""),"")</f>
        <v>#REF!</v>
      </c>
      <c r="IC69" s="766"/>
      <c r="ID69" s="766"/>
      <c r="IE69" s="766"/>
      <c r="IF69" s="766"/>
      <c r="IG69" s="766"/>
      <c r="IH69" s="766"/>
      <c r="II69" s="766"/>
      <c r="IJ69" s="766"/>
      <c r="IK69" s="766"/>
      <c r="IL69" s="766"/>
      <c r="IM69" s="766"/>
      <c r="IN69" s="766"/>
      <c r="IO69" s="24"/>
      <c r="IP69" s="766"/>
      <c r="IQ69" s="766"/>
      <c r="IR69" s="766"/>
      <c r="IS69" s="766"/>
      <c r="IT69" s="766"/>
      <c r="IU69" s="766"/>
      <c r="IV69" s="766"/>
      <c r="IW69" s="766"/>
      <c r="IX69" s="766"/>
      <c r="IY69" s="766"/>
      <c r="IZ69" s="766"/>
      <c r="JA69" s="766"/>
      <c r="JB69" s="766"/>
      <c r="JC69" s="766"/>
      <c r="JD69" s="775"/>
      <c r="JE69" s="766"/>
      <c r="JF69" s="766"/>
      <c r="JG69" s="766"/>
      <c r="JH69" s="775"/>
      <c r="JI69" s="712" t="str">
        <f>IF(SUM(JT69,JU69)=JJ69,"ok","review")</f>
        <v>ok</v>
      </c>
      <c r="JJ69" s="766">
        <v>2</v>
      </c>
      <c r="JK69" s="1139" t="s">
        <v>2048</v>
      </c>
      <c r="JL69" s="766"/>
      <c r="JM69" s="766"/>
      <c r="JN69" s="766">
        <v>1</v>
      </c>
      <c r="JO69" s="766">
        <v>1</v>
      </c>
      <c r="JP69" s="766"/>
      <c r="JQ69" s="766"/>
      <c r="JR69" s="766"/>
      <c r="JS69" s="766"/>
      <c r="JT69" s="766">
        <f t="shared" si="9"/>
        <v>1</v>
      </c>
      <c r="JU69" s="766">
        <f t="shared" si="9"/>
        <v>1</v>
      </c>
      <c r="JV69" s="712" t="str">
        <f>IF(JT69=KJ69,"ok","male")</f>
        <v>ok</v>
      </c>
      <c r="JW69" s="712" t="str">
        <f>IF(JU69=KK69,"ok","female")</f>
        <v>ok</v>
      </c>
      <c r="JX69" s="766"/>
      <c r="JY69" s="766"/>
      <c r="JZ69" s="766"/>
      <c r="KA69" s="766"/>
      <c r="KB69" s="766">
        <v>1</v>
      </c>
      <c r="KC69" s="766">
        <v>1</v>
      </c>
      <c r="KD69" s="766"/>
      <c r="KE69" s="766"/>
      <c r="KF69" s="766"/>
      <c r="KG69" s="766"/>
      <c r="KH69" s="766"/>
      <c r="KI69" s="766"/>
      <c r="KJ69" s="770">
        <f t="shared" si="10"/>
        <v>1</v>
      </c>
      <c r="KK69" s="770">
        <f t="shared" si="10"/>
        <v>1</v>
      </c>
      <c r="KL69" s="712" t="str">
        <f>IF(KJ69=LN69,"ok","male")</f>
        <v>ok</v>
      </c>
      <c r="KM69" s="712" t="str">
        <f>IF(KK69=LO69,"ok","female")</f>
        <v>ok</v>
      </c>
      <c r="KN69" s="766" t="s">
        <v>2049</v>
      </c>
      <c r="KO69" s="28"/>
      <c r="KP69" s="766"/>
      <c r="KQ69" s="766"/>
      <c r="KR69" s="766"/>
      <c r="KS69" s="766"/>
      <c r="KT69" s="766"/>
      <c r="KU69" s="766"/>
      <c r="KV69" s="766"/>
      <c r="KW69" s="766"/>
      <c r="KX69" s="766">
        <v>1</v>
      </c>
      <c r="KY69" s="766">
        <v>1</v>
      </c>
      <c r="KZ69" s="766"/>
      <c r="LA69" s="766"/>
      <c r="LB69" s="766"/>
      <c r="LC69" s="766"/>
      <c r="LD69" s="766"/>
      <c r="LE69" s="766"/>
      <c r="LF69" s="766"/>
      <c r="LG69" s="766"/>
      <c r="LH69" s="766"/>
      <c r="LI69" s="766"/>
      <c r="LJ69" s="766"/>
      <c r="LK69" s="766"/>
      <c r="LL69" s="766"/>
      <c r="LM69" s="766"/>
      <c r="LN69" s="766">
        <f t="shared" si="11"/>
        <v>1</v>
      </c>
      <c r="LO69" s="766">
        <f t="shared" si="11"/>
        <v>1</v>
      </c>
      <c r="LP69" s="766">
        <v>1</v>
      </c>
      <c r="LQ69" s="1681">
        <v>1</v>
      </c>
      <c r="LR69" s="766"/>
      <c r="LS69" s="1681"/>
      <c r="LT69" s="712" t="str">
        <f>IF(LQ69=SUM(LU69:LW69),"OK","REV")</f>
        <v>OK</v>
      </c>
      <c r="LU69" s="766"/>
      <c r="LV69" s="766"/>
      <c r="LW69" s="766">
        <v>1</v>
      </c>
      <c r="LX69" s="769">
        <v>3</v>
      </c>
      <c r="LY69" s="766" t="str">
        <f t="shared" ref="LY69:LY76" si="12">IF(ISBLANK(LX69)=TRUE,"",LOOKUP(LX69,RT:RU))</f>
        <v>within the PROVINCE</v>
      </c>
      <c r="LZ69" s="66"/>
      <c r="MA69" s="66"/>
      <c r="MB69" s="1701"/>
      <c r="MC69" s="1679">
        <f t="shared" ref="MC69:MC76" si="13">SUM(LZ69:MB69)</f>
        <v>0</v>
      </c>
      <c r="MD69" s="66">
        <v>8000</v>
      </c>
      <c r="ME69" s="66"/>
      <c r="MF69" s="66"/>
      <c r="MG69" s="1680">
        <f>SUM(MD69:MF69)</f>
        <v>8000</v>
      </c>
      <c r="MH69" s="1681" t="s">
        <v>13067</v>
      </c>
      <c r="MI69" s="775">
        <v>600</v>
      </c>
      <c r="MJ69" s="775">
        <v>240</v>
      </c>
      <c r="MK69" s="775">
        <v>200</v>
      </c>
      <c r="ML69" s="775">
        <v>150</v>
      </c>
      <c r="MM69" s="775"/>
      <c r="MN69" s="775"/>
      <c r="MO69" s="775">
        <v>300</v>
      </c>
      <c r="MP69" s="775"/>
      <c r="MQ69" s="775">
        <v>1200</v>
      </c>
      <c r="MR69" s="775">
        <v>93</v>
      </c>
      <c r="MS69" s="775">
        <v>240</v>
      </c>
      <c r="MT69" s="775"/>
      <c r="MU69" s="775"/>
      <c r="MV69" s="775"/>
      <c r="MW69" s="775"/>
      <c r="MX69" s="775"/>
      <c r="MY69" s="1682">
        <f t="shared" si="3"/>
        <v>3023</v>
      </c>
      <c r="MZ69" s="766" t="s">
        <v>13068</v>
      </c>
      <c r="NA69" s="766" t="s">
        <v>13065</v>
      </c>
      <c r="NB69" s="766" t="s">
        <v>13069</v>
      </c>
      <c r="NC69" s="766" t="s">
        <v>13026</v>
      </c>
      <c r="ND69" s="766">
        <v>0</v>
      </c>
      <c r="NE69" s="766">
        <v>0</v>
      </c>
      <c r="NF69" s="766">
        <v>0</v>
      </c>
      <c r="NG69" s="766">
        <v>0</v>
      </c>
      <c r="NH69" s="766">
        <v>0</v>
      </c>
      <c r="NI69" s="766">
        <v>0</v>
      </c>
      <c r="NJ69" s="766">
        <v>0</v>
      </c>
      <c r="NK69" s="766">
        <v>0</v>
      </c>
      <c r="NL69" s="766">
        <v>0</v>
      </c>
      <c r="NM69" s="766">
        <v>0</v>
      </c>
      <c r="NN69" s="766">
        <v>0</v>
      </c>
      <c r="NO69" s="766">
        <v>0</v>
      </c>
      <c r="NP69" s="766">
        <v>0</v>
      </c>
      <c r="NQ69" s="766">
        <v>0</v>
      </c>
      <c r="NR69" s="766">
        <v>0</v>
      </c>
      <c r="NS69" s="766">
        <v>0</v>
      </c>
      <c r="NT69" s="766">
        <v>0</v>
      </c>
      <c r="NU69" s="766">
        <v>0</v>
      </c>
      <c r="NV69" s="766">
        <v>0</v>
      </c>
      <c r="NW69" s="766">
        <v>0</v>
      </c>
      <c r="NX69" s="766">
        <v>0</v>
      </c>
      <c r="NY69" s="766"/>
      <c r="NZ69" s="766"/>
      <c r="OA69" s="766"/>
      <c r="OB69" s="766"/>
      <c r="OC69" s="766" t="s">
        <v>1208</v>
      </c>
      <c r="OD69" s="766"/>
      <c r="OE69" s="766"/>
      <c r="OF69" s="766"/>
      <c r="OG69" s="766"/>
      <c r="OH69" s="766"/>
      <c r="OI69" s="766"/>
      <c r="OJ69" s="766"/>
      <c r="OK69" s="766"/>
      <c r="OL69" s="766"/>
      <c r="OM69" s="766"/>
      <c r="ON69" s="766"/>
      <c r="OO69" s="766"/>
      <c r="OP69" s="766"/>
      <c r="OQ69" s="766"/>
      <c r="OR69" s="766"/>
      <c r="OS69" s="766"/>
      <c r="OT69" s="766"/>
      <c r="OU69" s="766"/>
      <c r="OV69" s="766"/>
      <c r="OW69" s="766"/>
      <c r="OX69" s="766"/>
      <c r="OY69" s="766"/>
      <c r="OZ69" s="766"/>
      <c r="PA69" s="766"/>
      <c r="PB69" s="766"/>
      <c r="PC69" s="766"/>
      <c r="PD69" s="766"/>
      <c r="PE69" s="766"/>
      <c r="PF69" s="766"/>
      <c r="PG69" s="766"/>
      <c r="PH69" s="766"/>
      <c r="PI69" s="766"/>
      <c r="PJ69" s="766"/>
      <c r="PK69" s="766"/>
      <c r="PL69" s="766" t="s">
        <v>1208</v>
      </c>
      <c r="PM69" s="766"/>
      <c r="PN69" s="766"/>
      <c r="PO69" s="766"/>
      <c r="PP69" s="766"/>
      <c r="PQ69" s="766"/>
      <c r="PR69" s="766"/>
      <c r="PS69" s="766"/>
      <c r="PT69" s="766"/>
      <c r="PU69" s="766"/>
      <c r="PV69" s="766"/>
      <c r="PW69" s="766"/>
      <c r="PX69" s="766"/>
      <c r="PY69" s="766"/>
      <c r="PZ69" s="766"/>
      <c r="QA69" s="766"/>
      <c r="QB69" s="766"/>
      <c r="QC69" s="766"/>
      <c r="QD69" s="766"/>
      <c r="QE69" s="766"/>
      <c r="QF69" s="766"/>
      <c r="QG69" s="766"/>
      <c r="QH69" s="766"/>
      <c r="QI69" s="766"/>
      <c r="QJ69" s="766"/>
      <c r="QK69" s="766"/>
      <c r="QL69" s="766"/>
      <c r="QM69" s="766"/>
      <c r="QN69" s="766"/>
      <c r="QO69" s="766"/>
      <c r="QP69" s="766"/>
      <c r="QQ69" s="766"/>
      <c r="QR69" s="766"/>
      <c r="QS69" s="766"/>
      <c r="QT69" s="766"/>
      <c r="QU69" s="766"/>
      <c r="QV69" s="766"/>
      <c r="QW69" s="766"/>
      <c r="QX69" s="766"/>
      <c r="QY69" s="766"/>
      <c r="QZ69" s="766"/>
      <c r="RA69" s="766"/>
      <c r="RB69" s="766"/>
      <c r="RC69" s="766"/>
      <c r="RD69" s="766"/>
      <c r="RE69" s="766"/>
      <c r="RF69" s="777"/>
      <c r="RG69" s="766"/>
      <c r="RH69" s="775"/>
      <c r="RI69" s="766"/>
      <c r="RJ69" s="766" t="s">
        <v>13070</v>
      </c>
      <c r="RK69" s="766" t="s">
        <v>13071</v>
      </c>
      <c r="RL69" s="1683"/>
      <c r="RM69" s="12"/>
      <c r="RN69" s="1711"/>
      <c r="RO69" s="167" t="s">
        <v>60</v>
      </c>
      <c r="RP69" s="11"/>
      <c r="RQ69" s="11"/>
      <c r="RR69" s="19" t="s">
        <v>7421</v>
      </c>
      <c r="RS69" s="1139" t="s">
        <v>12980</v>
      </c>
      <c r="RT69" s="11"/>
      <c r="RU69" s="11"/>
      <c r="RV69" s="766" t="s">
        <v>7419</v>
      </c>
      <c r="RW69" s="11" t="s">
        <v>12271</v>
      </c>
      <c r="RX69" s="11" t="s">
        <v>11785</v>
      </c>
      <c r="RY69" s="11"/>
      <c r="RZ69" s="11"/>
      <c r="SA69" s="766"/>
      <c r="SB69" s="11"/>
      <c r="SC69" s="11"/>
    </row>
    <row r="70" spans="1:497" ht="12.75" customHeight="1">
      <c r="A70" s="19" t="s">
        <v>7421</v>
      </c>
      <c r="B70" s="288" t="s">
        <v>11957</v>
      </c>
      <c r="C70" s="167" t="s">
        <v>63</v>
      </c>
      <c r="D70" s="766" t="s">
        <v>62</v>
      </c>
      <c r="E70" s="766" t="s">
        <v>55</v>
      </c>
      <c r="F70" s="766" t="s">
        <v>20</v>
      </c>
      <c r="G70" s="766" t="s">
        <v>18</v>
      </c>
      <c r="H70" s="766"/>
      <c r="I70" s="5" t="s">
        <v>64</v>
      </c>
      <c r="J70" s="766" t="s">
        <v>65</v>
      </c>
      <c r="K70" s="12"/>
      <c r="L70" s="12"/>
      <c r="M70" s="12"/>
      <c r="N70" s="12"/>
      <c r="O70" s="12"/>
      <c r="P70" s="14" t="s">
        <v>747</v>
      </c>
      <c r="Q70" s="1085">
        <v>23908</v>
      </c>
      <c r="R70" s="25">
        <v>51</v>
      </c>
      <c r="S70" s="766" t="s">
        <v>10</v>
      </c>
      <c r="T70" s="766"/>
      <c r="U70" s="26" t="s">
        <v>64</v>
      </c>
      <c r="V70" s="766" t="s">
        <v>707</v>
      </c>
      <c r="W70" s="766"/>
      <c r="X70" s="24"/>
      <c r="Y70" s="766" t="s">
        <v>743</v>
      </c>
      <c r="Z70" s="766" t="s">
        <v>708</v>
      </c>
      <c r="AA70" s="766" t="s">
        <v>748</v>
      </c>
      <c r="AB70" s="766" t="s">
        <v>740</v>
      </c>
      <c r="AC70" s="766" t="s">
        <v>724</v>
      </c>
      <c r="AD70" s="766"/>
      <c r="AE70" s="766"/>
      <c r="AF70" s="766" t="s">
        <v>749</v>
      </c>
      <c r="AG70" s="766" t="s">
        <v>1095</v>
      </c>
      <c r="AH70" s="766" t="s">
        <v>1096</v>
      </c>
      <c r="AI70" s="766"/>
      <c r="AJ70" s="766"/>
      <c r="AK70" s="766" t="s">
        <v>1101</v>
      </c>
      <c r="AL70" s="121">
        <v>80</v>
      </c>
      <c r="AM70" s="121">
        <v>80</v>
      </c>
      <c r="AN70" s="37">
        <f t="shared" si="7"/>
        <v>1</v>
      </c>
      <c r="AO70" s="766" t="s">
        <v>1122</v>
      </c>
      <c r="AP70" s="766"/>
      <c r="AQ70" s="766"/>
      <c r="AR70" s="766"/>
      <c r="AS70" s="766"/>
      <c r="AT70" s="766"/>
      <c r="AU70" s="766"/>
      <c r="AV70" s="766"/>
      <c r="AW70" s="766"/>
      <c r="AX70" s="13"/>
      <c r="AY70" s="766"/>
      <c r="AZ70" s="766"/>
      <c r="BA70" s="766"/>
      <c r="BB70" s="766"/>
      <c r="BC70" s="766"/>
      <c r="BD70" s="766"/>
      <c r="BE70" s="766"/>
      <c r="BF70" s="775"/>
      <c r="BG70" s="775"/>
      <c r="BH70" s="766"/>
      <c r="BI70" s="766"/>
      <c r="BJ70" s="766"/>
      <c r="BK70" s="766" t="s">
        <v>1095</v>
      </c>
      <c r="BL70" s="766" t="s">
        <v>747</v>
      </c>
      <c r="BM70" s="766" t="s">
        <v>8108</v>
      </c>
      <c r="BN70" s="766" t="s">
        <v>1230</v>
      </c>
      <c r="BO70" s="766" t="s">
        <v>1246</v>
      </c>
      <c r="BP70" s="66">
        <v>24.38</v>
      </c>
      <c r="BQ70" s="66">
        <v>24.38</v>
      </c>
      <c r="BR70" s="774">
        <f t="shared" si="8"/>
        <v>1</v>
      </c>
      <c r="BS70" s="766" t="s">
        <v>1257</v>
      </c>
      <c r="BT70" s="766" t="s">
        <v>8133</v>
      </c>
      <c r="BU70" s="766" t="s">
        <v>1308</v>
      </c>
      <c r="BV70" s="766" t="s">
        <v>5182</v>
      </c>
      <c r="BW70" s="766">
        <v>2016</v>
      </c>
      <c r="BX70" s="779"/>
      <c r="BY70" s="766"/>
      <c r="BZ70" s="766"/>
      <c r="CA70" s="766"/>
      <c r="CB70" s="766"/>
      <c r="CC70" s="766"/>
      <c r="CD70" s="766"/>
      <c r="CE70" s="766"/>
      <c r="CF70" s="231"/>
      <c r="CG70" s="231"/>
      <c r="CH70" s="766"/>
      <c r="CI70" s="766"/>
      <c r="CJ70" s="766"/>
      <c r="CK70" s="766"/>
      <c r="CL70" s="766"/>
      <c r="CM70" s="766"/>
      <c r="CN70" s="766"/>
      <c r="CO70" s="766"/>
      <c r="CP70" s="766"/>
      <c r="CQ70" s="766"/>
      <c r="CR70" s="775"/>
      <c r="CS70" s="766"/>
      <c r="CT70" s="766"/>
      <c r="CU70" s="129"/>
      <c r="CV70" s="766"/>
      <c r="CW70" s="766"/>
      <c r="CX70" s="766"/>
      <c r="CY70" s="766"/>
      <c r="CZ70" s="766"/>
      <c r="DA70" s="766"/>
      <c r="DB70" s="766"/>
      <c r="DC70" s="766"/>
      <c r="DD70" s="766"/>
      <c r="DE70" s="766"/>
      <c r="DF70" s="766"/>
      <c r="DG70" s="766"/>
      <c r="DH70" s="766"/>
      <c r="DI70" s="766"/>
      <c r="DJ70" s="766"/>
      <c r="DK70" s="766"/>
      <c r="DL70" s="766"/>
      <c r="DM70" s="766"/>
      <c r="DN70" s="766"/>
      <c r="DO70" s="766"/>
      <c r="DP70" s="766"/>
      <c r="DQ70" s="766"/>
      <c r="DR70" s="766"/>
      <c r="DS70" s="59"/>
      <c r="DT70" s="766"/>
      <c r="DU70" s="766"/>
      <c r="DV70" s="766"/>
      <c r="DW70" s="66"/>
      <c r="DX70" s="66"/>
      <c r="DY70" s="766"/>
      <c r="DZ70" s="766"/>
      <c r="EA70" s="766"/>
      <c r="EB70" s="766"/>
      <c r="EC70" s="766"/>
      <c r="ED70" s="766"/>
      <c r="EE70" s="766"/>
      <c r="EF70" s="766"/>
      <c r="EG70" s="766"/>
      <c r="EH70" s="766"/>
      <c r="EI70" s="766"/>
      <c r="EJ70" s="766"/>
      <c r="EK70" s="766"/>
      <c r="EL70" s="766"/>
      <c r="EM70" s="766"/>
      <c r="EN70" s="766"/>
      <c r="EO70" s="766"/>
      <c r="EP70" s="766"/>
      <c r="EQ70" s="766"/>
      <c r="ER70" s="766"/>
      <c r="ES70" s="766"/>
      <c r="ET70" s="766"/>
      <c r="EU70" s="766"/>
      <c r="EV70" s="766"/>
      <c r="EW70" s="766"/>
      <c r="EX70" s="766"/>
      <c r="EY70" s="766"/>
      <c r="EZ70" s="766"/>
      <c r="FA70" s="766"/>
      <c r="FB70" s="766"/>
      <c r="FC70" s="766"/>
      <c r="FD70" s="775"/>
      <c r="FE70" s="766"/>
      <c r="FF70" s="766"/>
      <c r="FG70" s="766"/>
      <c r="FH70" s="766" t="s">
        <v>1263</v>
      </c>
      <c r="FI70" s="766">
        <v>1</v>
      </c>
      <c r="FJ70" s="766" t="s">
        <v>1118</v>
      </c>
      <c r="FK70" s="766" t="s">
        <v>742</v>
      </c>
      <c r="FL70" s="766" t="s">
        <v>1605</v>
      </c>
      <c r="FM70" s="775"/>
      <c r="FN70" s="775">
        <v>100</v>
      </c>
      <c r="FO70" s="775" t="s">
        <v>1604</v>
      </c>
      <c r="FP70" s="766" t="s">
        <v>1602</v>
      </c>
      <c r="FQ70" s="766" t="s">
        <v>1660</v>
      </c>
      <c r="FR70" s="766"/>
      <c r="FS70" s="766"/>
      <c r="FT70" s="766"/>
      <c r="FU70" s="766"/>
      <c r="FV70" s="766"/>
      <c r="FW70" s="766"/>
      <c r="FX70" s="766"/>
      <c r="FY70" s="766"/>
      <c r="FZ70" s="766"/>
      <c r="GA70" s="766"/>
      <c r="GB70" s="766"/>
      <c r="GC70" s="75"/>
      <c r="GD70" s="25"/>
      <c r="GE70" s="766"/>
      <c r="GF70" s="775"/>
      <c r="GG70" s="775"/>
      <c r="GH70" s="712" t="s">
        <v>14260</v>
      </c>
      <c r="GI70" s="766"/>
      <c r="GJ70" s="766"/>
      <c r="GK70" s="766"/>
      <c r="GL70" s="766"/>
      <c r="GM70" s="766"/>
      <c r="GN70" s="82"/>
      <c r="GO70" s="766"/>
      <c r="GP70" s="766"/>
      <c r="GQ70" s="766"/>
      <c r="GR70" s="766"/>
      <c r="GS70" s="766"/>
      <c r="GT70" s="766"/>
      <c r="GU70" s="766"/>
      <c r="GV70" s="766"/>
      <c r="GW70" s="766"/>
      <c r="GX70" s="766"/>
      <c r="GY70" s="766"/>
      <c r="GZ70" s="766"/>
      <c r="HA70" s="766"/>
      <c r="HB70" s="766"/>
      <c r="HC70" s="766"/>
      <c r="HD70" s="766"/>
      <c r="HE70" s="766"/>
      <c r="HF70" s="766"/>
      <c r="HG70" s="766"/>
      <c r="HH70" s="766"/>
      <c r="HI70" s="766" t="s">
        <v>1207</v>
      </c>
      <c r="HJ70" s="766" t="s">
        <v>1798</v>
      </c>
      <c r="HK70" s="766"/>
      <c r="HL70" s="766"/>
      <c r="HM70" s="766"/>
      <c r="HN70" s="766"/>
      <c r="HO70" s="766"/>
      <c r="HP70" s="766"/>
      <c r="HQ70" s="766"/>
      <c r="HR70" s="766"/>
      <c r="HS70" s="766"/>
      <c r="HT70" s="766"/>
      <c r="HU70" s="766"/>
      <c r="HV70" s="766"/>
      <c r="HW70" s="766"/>
      <c r="HX70" s="766"/>
      <c r="HY70" s="766"/>
      <c r="HZ70" s="766"/>
      <c r="IA70" s="766"/>
      <c r="IB70" s="14" t="e">
        <f>IF(#REF!&gt;0,IF(#REF!&lt;=10000,"Y",""),"")</f>
        <v>#REF!</v>
      </c>
      <c r="IC70" s="766"/>
      <c r="ID70" s="766"/>
      <c r="IE70" s="766"/>
      <c r="IF70" s="766" t="s">
        <v>62</v>
      </c>
      <c r="IG70" s="766" t="s">
        <v>18</v>
      </c>
      <c r="IH70" s="766" t="s">
        <v>1897</v>
      </c>
      <c r="II70" s="766" t="s">
        <v>743</v>
      </c>
      <c r="IJ70" s="766"/>
      <c r="IK70" s="766" t="s">
        <v>1888</v>
      </c>
      <c r="IL70" s="766" t="s">
        <v>62</v>
      </c>
      <c r="IM70" s="766">
        <v>2016</v>
      </c>
      <c r="IN70" s="766" t="s">
        <v>62</v>
      </c>
      <c r="IO70" s="24">
        <v>27511</v>
      </c>
      <c r="IP70" s="766" t="s">
        <v>478</v>
      </c>
      <c r="IQ70" s="13" t="s">
        <v>1898</v>
      </c>
      <c r="IR70" s="770" t="s">
        <v>2716</v>
      </c>
      <c r="IS70" s="766" t="s">
        <v>740</v>
      </c>
      <c r="IT70" s="766"/>
      <c r="IU70" s="766" t="s">
        <v>1208</v>
      </c>
      <c r="IV70" s="766"/>
      <c r="IW70" s="766" t="s">
        <v>13072</v>
      </c>
      <c r="IX70" s="766"/>
      <c r="IY70" s="766" t="s">
        <v>64</v>
      </c>
      <c r="IZ70" s="766"/>
      <c r="JA70" s="766" t="s">
        <v>12771</v>
      </c>
      <c r="JB70" s="766" t="s">
        <v>1901</v>
      </c>
      <c r="JC70" s="766"/>
      <c r="JD70" s="775">
        <v>1000</v>
      </c>
      <c r="JE70" s="766"/>
      <c r="JF70" s="766"/>
      <c r="JG70" s="766"/>
      <c r="JH70" s="775"/>
      <c r="JI70" s="712" t="str">
        <f>IF(SUM(JT70,JU70)=JJ70,"ok","review")</f>
        <v>ok</v>
      </c>
      <c r="JJ70" s="766">
        <v>6</v>
      </c>
      <c r="JK70" s="1139" t="s">
        <v>747</v>
      </c>
      <c r="JL70" s="766"/>
      <c r="JM70" s="766">
        <v>4</v>
      </c>
      <c r="JN70" s="766">
        <v>1</v>
      </c>
      <c r="JO70" s="766">
        <v>1</v>
      </c>
      <c r="JP70" s="766"/>
      <c r="JQ70" s="766"/>
      <c r="JR70" s="766"/>
      <c r="JS70" s="766"/>
      <c r="JT70" s="766">
        <f t="shared" si="9"/>
        <v>1</v>
      </c>
      <c r="JU70" s="766">
        <f t="shared" si="9"/>
        <v>5</v>
      </c>
      <c r="JV70" s="712" t="str">
        <f>IF(JT70=KJ70,"ok","male")</f>
        <v>ok</v>
      </c>
      <c r="JW70" s="712" t="str">
        <f>IF(JU70=KK70,"ok","female")</f>
        <v>ok</v>
      </c>
      <c r="JX70" s="766"/>
      <c r="JY70" s="766"/>
      <c r="JZ70" s="766"/>
      <c r="KA70" s="766">
        <v>4</v>
      </c>
      <c r="KB70" s="766"/>
      <c r="KC70" s="766"/>
      <c r="KD70" s="766">
        <v>1</v>
      </c>
      <c r="KE70" s="766">
        <v>1</v>
      </c>
      <c r="KF70" s="766"/>
      <c r="KG70" s="766"/>
      <c r="KH70" s="766"/>
      <c r="KI70" s="766"/>
      <c r="KJ70" s="770">
        <f t="shared" si="10"/>
        <v>1</v>
      </c>
      <c r="KK70" s="770">
        <f t="shared" si="10"/>
        <v>5</v>
      </c>
      <c r="KL70" s="712" t="str">
        <f>IF(KJ70=LN70,"ok","male")</f>
        <v>ok</v>
      </c>
      <c r="KM70" s="712" t="str">
        <f>IF(KK70=LO70,"ok","female")</f>
        <v>ok</v>
      </c>
      <c r="KN70" s="766" t="s">
        <v>707</v>
      </c>
      <c r="KO70" s="766"/>
      <c r="KP70" s="766"/>
      <c r="KQ70" s="766"/>
      <c r="KR70" s="766"/>
      <c r="KS70" s="766"/>
      <c r="KT70" s="766">
        <v>1</v>
      </c>
      <c r="KU70" s="766">
        <v>3</v>
      </c>
      <c r="KV70" s="766"/>
      <c r="KW70" s="766">
        <v>1</v>
      </c>
      <c r="KX70" s="766"/>
      <c r="KY70" s="766">
        <v>1</v>
      </c>
      <c r="KZ70" s="766"/>
      <c r="LA70" s="766"/>
      <c r="LB70" s="766"/>
      <c r="LC70" s="766"/>
      <c r="LD70" s="766"/>
      <c r="LE70" s="766"/>
      <c r="LF70" s="766"/>
      <c r="LG70" s="766"/>
      <c r="LH70" s="766"/>
      <c r="LI70" s="766"/>
      <c r="LJ70" s="766"/>
      <c r="LK70" s="766"/>
      <c r="LL70" s="766"/>
      <c r="LM70" s="766"/>
      <c r="LN70" s="766">
        <f t="shared" si="11"/>
        <v>1</v>
      </c>
      <c r="LO70" s="766">
        <f t="shared" si="11"/>
        <v>5</v>
      </c>
      <c r="LP70" s="766">
        <v>2</v>
      </c>
      <c r="LQ70" s="766">
        <v>1</v>
      </c>
      <c r="LR70" s="766"/>
      <c r="LS70" s="766">
        <v>1</v>
      </c>
      <c r="LT70" s="712" t="str">
        <f>IF(LQ70=SUM(LU70:LW70),"OK","REV")</f>
        <v>OK</v>
      </c>
      <c r="LU70" s="766">
        <v>1</v>
      </c>
      <c r="LV70" s="766"/>
      <c r="LW70" s="766"/>
      <c r="LX70" s="769">
        <v>3</v>
      </c>
      <c r="LY70" s="766" t="str">
        <f t="shared" si="12"/>
        <v>within the PROVINCE</v>
      </c>
      <c r="LZ70" s="66"/>
      <c r="MA70" s="66"/>
      <c r="MB70" s="66"/>
      <c r="MC70" s="1679">
        <f t="shared" si="13"/>
        <v>0</v>
      </c>
      <c r="MD70" s="66">
        <v>9500</v>
      </c>
      <c r="ME70" s="66"/>
      <c r="MF70" s="66">
        <v>3750</v>
      </c>
      <c r="MG70" s="1680">
        <f>SUM(MD70:MF70)</f>
        <v>13250</v>
      </c>
      <c r="MH70" s="1681" t="s">
        <v>13073</v>
      </c>
      <c r="MI70" s="775">
        <v>7000</v>
      </c>
      <c r="MJ70" s="775">
        <v>2700</v>
      </c>
      <c r="MK70" s="775">
        <v>167</v>
      </c>
      <c r="ML70" s="775"/>
      <c r="MM70" s="775">
        <v>1000</v>
      </c>
      <c r="MN70" s="775"/>
      <c r="MO70" s="775">
        <v>1000</v>
      </c>
      <c r="MP70" s="775"/>
      <c r="MQ70" s="775">
        <v>250</v>
      </c>
      <c r="MR70" s="775">
        <v>100</v>
      </c>
      <c r="MS70" s="775"/>
      <c r="MT70" s="775"/>
      <c r="MU70" s="775"/>
      <c r="MV70" s="775"/>
      <c r="MW70" s="775"/>
      <c r="MX70" s="775">
        <v>420</v>
      </c>
      <c r="MY70" s="1682">
        <f t="shared" ref="MY70:MY133" si="14">IF(ISBLANK(MI70:MX70)=TRUE,"",SUM(MI70:MX70))</f>
        <v>12637</v>
      </c>
      <c r="MZ70" s="766" t="s">
        <v>13074</v>
      </c>
      <c r="NA70" s="766" t="s">
        <v>13031</v>
      </c>
      <c r="NB70" s="766" t="s">
        <v>13006</v>
      </c>
      <c r="NC70" s="766" t="s">
        <v>1835</v>
      </c>
      <c r="ND70" s="766">
        <v>1</v>
      </c>
      <c r="NE70" s="766">
        <v>0</v>
      </c>
      <c r="NF70" s="766">
        <v>0</v>
      </c>
      <c r="NG70" s="766">
        <v>2</v>
      </c>
      <c r="NH70" s="766">
        <v>1</v>
      </c>
      <c r="NI70" s="766">
        <v>1</v>
      </c>
      <c r="NJ70" s="766">
        <v>0</v>
      </c>
      <c r="NK70" s="766">
        <v>1</v>
      </c>
      <c r="NL70" s="766">
        <v>0</v>
      </c>
      <c r="NM70" s="766">
        <v>0</v>
      </c>
      <c r="NN70" s="766">
        <v>0</v>
      </c>
      <c r="NO70" s="766">
        <v>0</v>
      </c>
      <c r="NP70" s="766">
        <v>0</v>
      </c>
      <c r="NQ70" s="766">
        <v>0</v>
      </c>
      <c r="NR70" s="766">
        <v>0</v>
      </c>
      <c r="NS70" s="766">
        <v>0</v>
      </c>
      <c r="NT70" s="766">
        <v>0</v>
      </c>
      <c r="NU70" s="766">
        <v>0</v>
      </c>
      <c r="NV70" s="766">
        <v>0</v>
      </c>
      <c r="NW70" s="766">
        <v>1</v>
      </c>
      <c r="NX70" s="766">
        <v>0</v>
      </c>
      <c r="NY70" s="766" t="s">
        <v>1208</v>
      </c>
      <c r="NZ70" s="766" t="s">
        <v>1208</v>
      </c>
      <c r="OA70" s="766" t="s">
        <v>1208</v>
      </c>
      <c r="OB70" s="766" t="s">
        <v>1208</v>
      </c>
      <c r="OC70" s="766" t="s">
        <v>1208</v>
      </c>
      <c r="OD70" s="766" t="s">
        <v>1208</v>
      </c>
      <c r="OE70" s="766"/>
      <c r="OF70" s="766" t="s">
        <v>13075</v>
      </c>
      <c r="OG70" s="766"/>
      <c r="OH70" s="766"/>
      <c r="OI70" s="766"/>
      <c r="OJ70" s="766"/>
      <c r="OK70" s="766"/>
      <c r="OL70" s="766" t="s">
        <v>13076</v>
      </c>
      <c r="OM70" s="766" t="s">
        <v>13077</v>
      </c>
      <c r="ON70" s="766" t="s">
        <v>13078</v>
      </c>
      <c r="OO70" s="766" t="s">
        <v>1207</v>
      </c>
      <c r="OP70" s="766" t="s">
        <v>13079</v>
      </c>
      <c r="OQ70" s="766" t="s">
        <v>13080</v>
      </c>
      <c r="OR70" s="766"/>
      <c r="OS70" s="766" t="s">
        <v>13081</v>
      </c>
      <c r="OT70" s="766" t="s">
        <v>13082</v>
      </c>
      <c r="OU70" s="766"/>
      <c r="OV70" s="766" t="s">
        <v>1208</v>
      </c>
      <c r="OW70" s="766"/>
      <c r="OX70" s="766" t="s">
        <v>1208</v>
      </c>
      <c r="OY70" s="766"/>
      <c r="OZ70" s="766"/>
      <c r="PA70" s="766" t="s">
        <v>1208</v>
      </c>
      <c r="PB70" s="766"/>
      <c r="PC70" s="766"/>
      <c r="PD70" s="766"/>
      <c r="PE70" s="766"/>
      <c r="PF70" s="766"/>
      <c r="PG70" s="766"/>
      <c r="PH70" s="766"/>
      <c r="PI70" s="766"/>
      <c r="PJ70" s="766"/>
      <c r="PK70" s="766"/>
      <c r="PL70" s="766"/>
      <c r="PM70" s="766"/>
      <c r="PN70" s="766"/>
      <c r="PO70" s="766"/>
      <c r="PP70" s="766"/>
      <c r="PQ70" s="766"/>
      <c r="PR70" s="766" t="s">
        <v>1208</v>
      </c>
      <c r="PS70" s="766" t="s">
        <v>1208</v>
      </c>
      <c r="PT70" s="766" t="s">
        <v>1208</v>
      </c>
      <c r="PU70" s="766"/>
      <c r="PV70" s="766"/>
      <c r="PW70" s="766"/>
      <c r="PX70" s="766"/>
      <c r="PY70" s="766"/>
      <c r="PZ70" s="766"/>
      <c r="QA70" s="766"/>
      <c r="QB70" s="766"/>
      <c r="QC70" s="766"/>
      <c r="QD70" s="766"/>
      <c r="QE70" s="766"/>
      <c r="QF70" s="766"/>
      <c r="QG70" s="766"/>
      <c r="QH70" s="766"/>
      <c r="QI70" s="766"/>
      <c r="QJ70" s="766"/>
      <c r="QK70" s="766"/>
      <c r="QL70" s="766"/>
      <c r="QM70" s="766"/>
      <c r="QN70" s="766"/>
      <c r="QO70" s="766"/>
      <c r="QP70" s="766"/>
      <c r="QQ70" s="766"/>
      <c r="QR70" s="766"/>
      <c r="QS70" s="766"/>
      <c r="QT70" s="766"/>
      <c r="QU70" s="766"/>
      <c r="QV70" s="766"/>
      <c r="QW70" s="766"/>
      <c r="QX70" s="766"/>
      <c r="QY70" s="766"/>
      <c r="QZ70" s="766"/>
      <c r="RA70" s="766"/>
      <c r="RB70" s="770" t="s">
        <v>1207</v>
      </c>
      <c r="RC70" s="766">
        <v>2016</v>
      </c>
      <c r="RD70" s="766"/>
      <c r="RE70" s="766" t="s">
        <v>12990</v>
      </c>
      <c r="RF70" s="777">
        <v>0.3</v>
      </c>
      <c r="RG70" s="766" t="s">
        <v>13083</v>
      </c>
      <c r="RH70" s="775" t="s">
        <v>1604</v>
      </c>
      <c r="RI70" s="766" t="s">
        <v>13084</v>
      </c>
      <c r="RJ70" s="766" t="s">
        <v>13085</v>
      </c>
      <c r="RK70" s="766" t="s">
        <v>13086</v>
      </c>
      <c r="RL70" s="1683"/>
      <c r="RM70" s="12"/>
      <c r="RN70" s="1711"/>
      <c r="RO70" s="167" t="s">
        <v>63</v>
      </c>
      <c r="RP70" s="11"/>
      <c r="RQ70" s="11"/>
      <c r="RR70" s="19" t="s">
        <v>7421</v>
      </c>
      <c r="RS70" s="1139" t="s">
        <v>12980</v>
      </c>
      <c r="RT70" s="11"/>
      <c r="RU70" s="11"/>
      <c r="RV70" s="766" t="s">
        <v>7421</v>
      </c>
      <c r="RW70" s="11" t="s">
        <v>12272</v>
      </c>
      <c r="RX70" s="11" t="s">
        <v>53</v>
      </c>
      <c r="RY70" s="11"/>
      <c r="RZ70" s="11"/>
      <c r="SA70" s="766"/>
      <c r="SB70" s="11"/>
      <c r="SC70" s="11"/>
    </row>
    <row r="71" spans="1:497" ht="12.75" hidden="1" customHeight="1">
      <c r="A71" s="19" t="s">
        <v>7419</v>
      </c>
      <c r="B71" s="744" t="s">
        <v>11958</v>
      </c>
      <c r="C71" s="167" t="s">
        <v>66</v>
      </c>
      <c r="D71" s="766" t="s">
        <v>67</v>
      </c>
      <c r="E71" s="766" t="s">
        <v>5484</v>
      </c>
      <c r="F71" s="766"/>
      <c r="G71" s="766"/>
      <c r="H71" s="766"/>
      <c r="I71" s="5"/>
      <c r="J71" s="766"/>
      <c r="K71" s="766"/>
      <c r="L71" s="766"/>
      <c r="M71" s="766"/>
      <c r="N71" s="766"/>
      <c r="O71" s="766" t="s">
        <v>68</v>
      </c>
      <c r="P71" s="766"/>
      <c r="Q71" s="1085"/>
      <c r="R71" s="25"/>
      <c r="S71" s="766"/>
      <c r="T71" s="766"/>
      <c r="U71" s="26"/>
      <c r="V71" s="766"/>
      <c r="W71" s="766"/>
      <c r="X71" s="24"/>
      <c r="Y71" s="766"/>
      <c r="Z71" s="766"/>
      <c r="AA71" s="766"/>
      <c r="AB71" s="766"/>
      <c r="AC71" s="766"/>
      <c r="AD71" s="766"/>
      <c r="AE71" s="766"/>
      <c r="AF71" s="766"/>
      <c r="AG71" s="766" t="s">
        <v>1095</v>
      </c>
      <c r="AH71" s="766" t="s">
        <v>1119</v>
      </c>
      <c r="AI71" s="766" t="s">
        <v>12273</v>
      </c>
      <c r="AJ71" s="766"/>
      <c r="AK71" s="766" t="s">
        <v>1097</v>
      </c>
      <c r="AL71" s="121">
        <v>125500</v>
      </c>
      <c r="AM71" s="773">
        <v>6840</v>
      </c>
      <c r="AN71" s="37">
        <f t="shared" si="7"/>
        <v>5.4501992031872511E-2</v>
      </c>
      <c r="AO71" s="766" t="s">
        <v>1098</v>
      </c>
      <c r="AP71" s="766"/>
      <c r="AQ71" s="766"/>
      <c r="AR71" s="766"/>
      <c r="AS71" s="766"/>
      <c r="AT71" s="766"/>
      <c r="AU71" s="766"/>
      <c r="AV71" s="766"/>
      <c r="AW71" s="766"/>
      <c r="AX71" s="13"/>
      <c r="AY71" s="766"/>
      <c r="AZ71" s="766"/>
      <c r="BA71" s="766"/>
      <c r="BB71" s="766"/>
      <c r="BC71" s="766"/>
      <c r="BD71" s="766"/>
      <c r="BE71" s="766"/>
      <c r="BF71" s="775"/>
      <c r="BG71" s="775"/>
      <c r="BH71" s="766"/>
      <c r="BI71" s="766"/>
      <c r="BJ71" s="766"/>
      <c r="BK71" s="766"/>
      <c r="BL71" s="768"/>
      <c r="BM71" s="768"/>
      <c r="BN71" s="766"/>
      <c r="BO71" s="766"/>
      <c r="BP71" s="776"/>
      <c r="BQ71" s="773"/>
      <c r="BR71" s="774"/>
      <c r="BS71" s="766"/>
      <c r="BT71" s="766"/>
      <c r="BU71" s="766"/>
      <c r="BV71" s="766"/>
      <c r="BW71" s="766"/>
      <c r="BX71" s="779"/>
      <c r="BY71" s="766"/>
      <c r="BZ71" s="775"/>
      <c r="CA71" s="766"/>
      <c r="CB71" s="766" t="s">
        <v>1207</v>
      </c>
      <c r="CC71" s="768" t="s">
        <v>1269</v>
      </c>
      <c r="CD71" s="766"/>
      <c r="CE71" s="766"/>
      <c r="CF71" s="231" t="s">
        <v>1447</v>
      </c>
      <c r="CG71" s="231">
        <v>195</v>
      </c>
      <c r="CH71" s="766" t="s">
        <v>1448</v>
      </c>
      <c r="CI71" s="766"/>
      <c r="CJ71" s="766"/>
      <c r="CK71" s="766">
        <v>66</v>
      </c>
      <c r="CL71" s="766" t="s">
        <v>1240</v>
      </c>
      <c r="CM71" s="766" t="s">
        <v>1449</v>
      </c>
      <c r="CN71" s="766"/>
      <c r="CO71" s="766"/>
      <c r="CP71" s="766"/>
      <c r="CQ71" s="766"/>
      <c r="CR71" s="775"/>
      <c r="CS71" s="766"/>
      <c r="CT71" s="766"/>
      <c r="CU71" s="129"/>
      <c r="CV71" s="766"/>
      <c r="CW71" s="766"/>
      <c r="CX71" s="766"/>
      <c r="CY71" s="766"/>
      <c r="CZ71" s="766"/>
      <c r="DA71" s="766"/>
      <c r="DB71" s="766"/>
      <c r="DC71" s="766"/>
      <c r="DD71" s="766"/>
      <c r="DE71" s="766"/>
      <c r="DF71" s="766"/>
      <c r="DG71" s="766" t="s">
        <v>1242</v>
      </c>
      <c r="DH71" s="766"/>
      <c r="DI71" s="766"/>
      <c r="DJ71" s="766"/>
      <c r="DK71" s="766"/>
      <c r="DL71" s="766"/>
      <c r="DM71" s="766"/>
      <c r="DN71" s="766"/>
      <c r="DO71" s="766"/>
      <c r="DP71" s="766"/>
      <c r="DQ71" s="766"/>
      <c r="DR71" s="766"/>
      <c r="DS71" s="59"/>
      <c r="DT71" s="766"/>
      <c r="DU71" s="766"/>
      <c r="DV71" s="766"/>
      <c r="DW71" s="66"/>
      <c r="DX71" s="66"/>
      <c r="DY71" s="766"/>
      <c r="DZ71" s="766"/>
      <c r="EA71" s="766"/>
      <c r="EB71" s="766"/>
      <c r="EC71" s="766"/>
      <c r="ED71" s="766"/>
      <c r="EE71" s="766"/>
      <c r="EF71" s="766"/>
      <c r="EG71" s="766"/>
      <c r="EH71" s="766"/>
      <c r="EI71" s="766"/>
      <c r="EJ71" s="766"/>
      <c r="EK71" s="766"/>
      <c r="EL71" s="766"/>
      <c r="EM71" s="766"/>
      <c r="EN71" s="766"/>
      <c r="EO71" s="766"/>
      <c r="EP71" s="766"/>
      <c r="EQ71" s="766"/>
      <c r="ER71" s="766"/>
      <c r="ES71" s="766"/>
      <c r="ET71" s="766"/>
      <c r="EU71" s="766"/>
      <c r="EV71" s="766"/>
      <c r="EW71" s="766"/>
      <c r="EX71" s="766"/>
      <c r="EY71" s="766"/>
      <c r="EZ71" s="766"/>
      <c r="FA71" s="766"/>
      <c r="FB71" s="766"/>
      <c r="FC71" s="766"/>
      <c r="FD71" s="775"/>
      <c r="FE71" s="766"/>
      <c r="FF71" s="766"/>
      <c r="FG71" s="766"/>
      <c r="FH71" s="766"/>
      <c r="FI71" s="766"/>
      <c r="FJ71" s="766"/>
      <c r="FK71" s="766"/>
      <c r="FL71" s="766"/>
      <c r="FM71" s="775"/>
      <c r="FN71" s="775"/>
      <c r="FO71" s="775"/>
      <c r="FP71" s="766"/>
      <c r="FQ71" s="766"/>
      <c r="FR71" s="766"/>
      <c r="FS71" s="766"/>
      <c r="FT71" s="766"/>
      <c r="FU71" s="766"/>
      <c r="FV71" s="766"/>
      <c r="FW71" s="766"/>
      <c r="FX71" s="766"/>
      <c r="FY71" s="766"/>
      <c r="FZ71" s="766"/>
      <c r="GA71" s="766"/>
      <c r="GB71" s="766"/>
      <c r="GC71" s="75"/>
      <c r="GD71" s="25"/>
      <c r="GE71" s="766"/>
      <c r="GF71" s="775"/>
      <c r="GG71" s="775"/>
      <c r="GH71" s="766"/>
      <c r="GI71" s="766"/>
      <c r="GJ71" s="766"/>
      <c r="GK71" s="766"/>
      <c r="GL71" s="766"/>
      <c r="GM71" s="766"/>
      <c r="GN71" s="82"/>
      <c r="GO71" s="766"/>
      <c r="GP71" s="766"/>
      <c r="GQ71" s="766"/>
      <c r="GR71" s="766"/>
      <c r="GS71" s="766"/>
      <c r="GT71" s="766"/>
      <c r="GU71" s="766"/>
      <c r="GV71" s="766"/>
      <c r="GW71" s="766"/>
      <c r="GX71" s="766"/>
      <c r="GY71" s="766"/>
      <c r="GZ71" s="766"/>
      <c r="HA71" s="766"/>
      <c r="HB71" s="766"/>
      <c r="HC71" s="766"/>
      <c r="HD71" s="766"/>
      <c r="HE71" s="766"/>
      <c r="HF71" s="766"/>
      <c r="HG71" s="766"/>
      <c r="HH71" s="766"/>
      <c r="HI71" s="766"/>
      <c r="HJ71" s="766"/>
      <c r="HK71" s="766"/>
      <c r="HL71" s="766"/>
      <c r="HM71" s="766"/>
      <c r="HN71" s="766"/>
      <c r="HO71" s="766"/>
      <c r="HP71" s="766"/>
      <c r="HQ71" s="766"/>
      <c r="HR71" s="766">
        <v>1</v>
      </c>
      <c r="HS71" s="766"/>
      <c r="HT71" s="766"/>
      <c r="HU71" s="766"/>
      <c r="HV71" s="766"/>
      <c r="HW71" s="766"/>
      <c r="HX71" s="766"/>
      <c r="HY71" s="766"/>
      <c r="HZ71" s="766"/>
      <c r="IA71" s="766"/>
      <c r="IB71" s="766"/>
      <c r="IC71" s="766"/>
      <c r="ID71" s="766"/>
      <c r="IE71" s="766"/>
      <c r="IF71" s="766"/>
      <c r="IG71" s="766"/>
      <c r="IH71" s="766"/>
      <c r="II71" s="766"/>
      <c r="IJ71" s="766"/>
      <c r="IK71" s="766"/>
      <c r="IL71" s="766"/>
      <c r="IM71" s="766"/>
      <c r="IN71" s="766"/>
      <c r="IO71" s="24"/>
      <c r="IP71" s="766"/>
      <c r="IQ71" s="766"/>
      <c r="IR71" s="766"/>
      <c r="IS71" s="766"/>
      <c r="IT71" s="766"/>
      <c r="IU71" s="766"/>
      <c r="IV71" s="766"/>
      <c r="IW71" s="766"/>
      <c r="IX71" s="766"/>
      <c r="IY71" s="766"/>
      <c r="IZ71" s="766"/>
      <c r="JA71" s="766"/>
      <c r="JB71" s="766"/>
      <c r="JC71" s="766"/>
      <c r="JD71" s="775"/>
      <c r="JE71" s="766"/>
      <c r="JF71" s="766"/>
      <c r="JG71" s="766"/>
      <c r="JH71" s="775"/>
      <c r="JI71" s="775"/>
      <c r="JJ71" s="766"/>
      <c r="JK71" s="766"/>
      <c r="JL71" s="766"/>
      <c r="JM71" s="766"/>
      <c r="JN71" s="766"/>
      <c r="JO71" s="766"/>
      <c r="JP71" s="766"/>
      <c r="JQ71" s="766"/>
      <c r="JR71" s="766"/>
      <c r="JS71" s="766"/>
      <c r="JT71" s="766"/>
      <c r="JU71" s="766"/>
      <c r="JV71" s="766"/>
      <c r="JW71" s="766"/>
      <c r="JX71" s="766"/>
      <c r="JY71" s="766"/>
      <c r="JZ71" s="766"/>
      <c r="KA71" s="766"/>
      <c r="KB71" s="766"/>
      <c r="KC71" s="766"/>
      <c r="KD71" s="766"/>
      <c r="KE71" s="766"/>
      <c r="KF71" s="766"/>
      <c r="KG71" s="766"/>
      <c r="KH71" s="766"/>
      <c r="KI71" s="766"/>
      <c r="KJ71" s="770"/>
      <c r="KK71" s="770"/>
      <c r="KL71" s="770"/>
      <c r="KM71" s="770"/>
      <c r="KN71" s="766"/>
      <c r="KO71" s="766"/>
      <c r="KP71" s="766"/>
      <c r="KQ71" s="766"/>
      <c r="KR71" s="766"/>
      <c r="KS71" s="766"/>
      <c r="KT71" s="766"/>
      <c r="KU71" s="766"/>
      <c r="KV71" s="766"/>
      <c r="KW71" s="766"/>
      <c r="KX71" s="766"/>
      <c r="KY71" s="766"/>
      <c r="KZ71" s="766"/>
      <c r="LA71" s="766"/>
      <c r="LB71" s="766"/>
      <c r="LC71" s="766"/>
      <c r="LD71" s="766"/>
      <c r="LE71" s="766"/>
      <c r="LF71" s="766"/>
      <c r="LG71" s="766"/>
      <c r="LH71" s="766"/>
      <c r="LI71" s="766"/>
      <c r="LJ71" s="766"/>
      <c r="LK71" s="766"/>
      <c r="LL71" s="766"/>
      <c r="LM71" s="766"/>
      <c r="LN71" s="766"/>
      <c r="LO71" s="766"/>
      <c r="LP71" s="766"/>
      <c r="LQ71" s="766"/>
      <c r="LR71" s="766"/>
      <c r="LS71" s="766"/>
      <c r="LT71" s="766"/>
      <c r="LU71" s="766"/>
      <c r="LV71" s="766"/>
      <c r="LW71" s="766"/>
      <c r="LX71" s="769"/>
      <c r="LY71" s="766" t="str">
        <f t="shared" si="12"/>
        <v/>
      </c>
      <c r="LZ71" s="66"/>
      <c r="MA71" s="66"/>
      <c r="MB71" s="66"/>
      <c r="MC71" s="1679">
        <f t="shared" si="13"/>
        <v>0</v>
      </c>
      <c r="MD71" s="66"/>
      <c r="ME71" s="66"/>
      <c r="MF71" s="66"/>
      <c r="MG71" s="1680">
        <f t="shared" ref="MG71:MG132" si="15">SUM(MD71:MF71)</f>
        <v>0</v>
      </c>
      <c r="MH71" s="766"/>
      <c r="MI71" s="775"/>
      <c r="MJ71" s="775"/>
      <c r="MK71" s="775"/>
      <c r="ML71" s="775"/>
      <c r="MM71" s="775"/>
      <c r="MN71" s="775"/>
      <c r="MO71" s="775"/>
      <c r="MP71" s="775"/>
      <c r="MQ71" s="775"/>
      <c r="MR71" s="775"/>
      <c r="MS71" s="775"/>
      <c r="MT71" s="775"/>
      <c r="MU71" s="775"/>
      <c r="MV71" s="775"/>
      <c r="MW71" s="775"/>
      <c r="MX71" s="775"/>
      <c r="MY71" s="1682">
        <f t="shared" si="14"/>
        <v>0</v>
      </c>
      <c r="MZ71" s="766"/>
      <c r="NA71" s="766"/>
      <c r="NB71" s="766"/>
      <c r="NC71" s="766"/>
      <c r="ND71" s="766"/>
      <c r="NE71" s="766"/>
      <c r="NF71" s="766"/>
      <c r="NG71" s="766"/>
      <c r="NH71" s="766"/>
      <c r="NI71" s="766"/>
      <c r="NJ71" s="766"/>
      <c r="NK71" s="766"/>
      <c r="NL71" s="766"/>
      <c r="NM71" s="766"/>
      <c r="NN71" s="766"/>
      <c r="NO71" s="766"/>
      <c r="NP71" s="766"/>
      <c r="NQ71" s="766"/>
      <c r="NR71" s="766"/>
      <c r="NS71" s="766"/>
      <c r="NT71" s="766"/>
      <c r="NU71" s="766"/>
      <c r="NV71" s="766"/>
      <c r="NW71" s="766"/>
      <c r="NX71" s="766"/>
      <c r="NY71" s="766"/>
      <c r="NZ71" s="766"/>
      <c r="OA71" s="766"/>
      <c r="OB71" s="766"/>
      <c r="OC71" s="766"/>
      <c r="OD71" s="766"/>
      <c r="OE71" s="766"/>
      <c r="OF71" s="766"/>
      <c r="OG71" s="766"/>
      <c r="OH71" s="766"/>
      <c r="OI71" s="766"/>
      <c r="OJ71" s="766"/>
      <c r="OK71" s="76"/>
      <c r="OL71" s="766"/>
      <c r="OM71" s="766"/>
      <c r="ON71" s="766"/>
      <c r="OO71" s="766"/>
      <c r="OP71" s="766"/>
      <c r="OQ71" s="766"/>
      <c r="OR71" s="766"/>
      <c r="OS71" s="766"/>
      <c r="OT71" s="766"/>
      <c r="OU71" s="766"/>
      <c r="OV71" s="766"/>
      <c r="OW71" s="766"/>
      <c r="OX71" s="766"/>
      <c r="OY71" s="766"/>
      <c r="OZ71" s="766"/>
      <c r="PA71" s="766"/>
      <c r="PB71" s="766"/>
      <c r="PC71" s="766"/>
      <c r="PD71" s="766"/>
      <c r="PE71" s="766"/>
      <c r="PF71" s="766"/>
      <c r="PG71" s="766"/>
      <c r="PH71" s="766"/>
      <c r="PI71" s="766"/>
      <c r="PJ71" s="766"/>
      <c r="PK71" s="766"/>
      <c r="PL71" s="766"/>
      <c r="PM71" s="766"/>
      <c r="PN71" s="766"/>
      <c r="PO71" s="766"/>
      <c r="PP71" s="766"/>
      <c r="PQ71" s="766"/>
      <c r="PR71" s="766"/>
      <c r="PS71" s="766"/>
      <c r="PT71" s="766"/>
      <c r="PU71" s="766"/>
      <c r="PV71" s="766"/>
      <c r="PW71" s="766"/>
      <c r="PX71" s="766"/>
      <c r="PY71" s="766"/>
      <c r="PZ71" s="766"/>
      <c r="QA71" s="766"/>
      <c r="QB71" s="766"/>
      <c r="QC71" s="766"/>
      <c r="QD71" s="766"/>
      <c r="QE71" s="766"/>
      <c r="QF71" s="766"/>
      <c r="QG71" s="766"/>
      <c r="QH71" s="766"/>
      <c r="QI71" s="766"/>
      <c r="QJ71" s="766"/>
      <c r="QK71" s="766"/>
      <c r="QL71" s="766"/>
      <c r="QM71" s="766"/>
      <c r="QN71" s="766"/>
      <c r="QO71" s="766"/>
      <c r="QP71" s="766"/>
      <c r="QQ71" s="766"/>
      <c r="QR71" s="766"/>
      <c r="QS71" s="766"/>
      <c r="QT71" s="766"/>
      <c r="QU71" s="766"/>
      <c r="QV71" s="766"/>
      <c r="QW71" s="766"/>
      <c r="QX71" s="766"/>
      <c r="QY71" s="766"/>
      <c r="QZ71" s="766"/>
      <c r="RA71" s="766"/>
      <c r="RB71" s="766"/>
      <c r="RC71" s="766"/>
      <c r="RD71" s="766"/>
      <c r="RE71" s="766"/>
      <c r="RF71" s="777"/>
      <c r="RG71" s="766"/>
      <c r="RH71" s="775"/>
      <c r="RI71" s="766"/>
      <c r="RJ71" s="766"/>
      <c r="RK71" s="766"/>
      <c r="RL71" s="1683"/>
      <c r="RM71" s="12"/>
      <c r="RN71" s="1711"/>
      <c r="RO71" s="167" t="s">
        <v>66</v>
      </c>
      <c r="RP71" s="11"/>
      <c r="RQ71" s="11"/>
      <c r="RR71" s="17"/>
      <c r="RS71" s="766"/>
      <c r="RT71" s="11"/>
      <c r="RU71" s="11"/>
      <c r="RV71" s="766" t="s">
        <v>7421</v>
      </c>
      <c r="RW71" s="11" t="s">
        <v>11955</v>
      </c>
      <c r="RX71" s="11" t="s">
        <v>60</v>
      </c>
      <c r="RY71" s="11"/>
      <c r="RZ71" s="11" t="s">
        <v>7419</v>
      </c>
      <c r="SA71" s="766"/>
      <c r="SB71" s="11"/>
      <c r="SC71" s="11"/>
    </row>
    <row r="72" spans="1:497" ht="12.75" customHeight="1">
      <c r="A72" s="19" t="s">
        <v>7421</v>
      </c>
      <c r="B72" s="288" t="s">
        <v>12746</v>
      </c>
      <c r="C72" s="167" t="s">
        <v>71</v>
      </c>
      <c r="D72" s="766" t="s">
        <v>72</v>
      </c>
      <c r="E72" s="766" t="s">
        <v>7242</v>
      </c>
      <c r="F72" s="766" t="s">
        <v>20</v>
      </c>
      <c r="G72" s="766" t="s">
        <v>18</v>
      </c>
      <c r="H72" s="766"/>
      <c r="I72" s="5" t="s">
        <v>73</v>
      </c>
      <c r="J72" s="766" t="s">
        <v>74</v>
      </c>
      <c r="K72" s="766" t="s">
        <v>11335</v>
      </c>
      <c r="L72" s="766" t="s">
        <v>11336</v>
      </c>
      <c r="M72" s="766"/>
      <c r="N72" s="766" t="s">
        <v>11337</v>
      </c>
      <c r="O72" s="766" t="s">
        <v>11338</v>
      </c>
      <c r="P72" s="766"/>
      <c r="Q72" s="1085"/>
      <c r="R72" s="25"/>
      <c r="S72" s="766"/>
      <c r="T72" s="766"/>
      <c r="U72" s="26"/>
      <c r="V72" s="766"/>
      <c r="W72" s="766"/>
      <c r="X72" s="24"/>
      <c r="Y72" s="766"/>
      <c r="Z72" s="766"/>
      <c r="AA72" s="766"/>
      <c r="AB72" s="766"/>
      <c r="AC72" s="766"/>
      <c r="AD72" s="766"/>
      <c r="AE72" s="766"/>
      <c r="AF72" s="766"/>
      <c r="AG72" s="766" t="s">
        <v>1165</v>
      </c>
      <c r="AH72" s="766" t="s">
        <v>1120</v>
      </c>
      <c r="AI72" s="766"/>
      <c r="AJ72" s="766" t="s">
        <v>1121</v>
      </c>
      <c r="AK72" s="766" t="s">
        <v>1101</v>
      </c>
      <c r="AL72" s="121">
        <v>4.75</v>
      </c>
      <c r="AM72" s="773">
        <v>0.38</v>
      </c>
      <c r="AN72" s="37">
        <f t="shared" si="7"/>
        <v>0.08</v>
      </c>
      <c r="AO72" s="766" t="s">
        <v>1098</v>
      </c>
      <c r="AP72" s="766"/>
      <c r="AQ72" s="766"/>
      <c r="AR72" s="766"/>
      <c r="AS72" s="766"/>
      <c r="AT72" s="766"/>
      <c r="AU72" s="766"/>
      <c r="AV72" s="766"/>
      <c r="AW72" s="766"/>
      <c r="AX72" s="13"/>
      <c r="AY72" s="766"/>
      <c r="AZ72" s="766"/>
      <c r="BA72" s="766"/>
      <c r="BB72" s="766"/>
      <c r="BC72" s="766"/>
      <c r="BD72" s="766"/>
      <c r="BE72" s="766"/>
      <c r="BF72" s="775"/>
      <c r="BG72" s="775"/>
      <c r="BH72" s="766"/>
      <c r="BI72" s="766"/>
      <c r="BJ72" s="766"/>
      <c r="BK72" s="766" t="s">
        <v>1095</v>
      </c>
      <c r="BL72" s="766" t="s">
        <v>11339</v>
      </c>
      <c r="BM72" s="766" t="s">
        <v>1100</v>
      </c>
      <c r="BN72" s="766" t="s">
        <v>1230</v>
      </c>
      <c r="BO72" s="766" t="s">
        <v>1246</v>
      </c>
      <c r="BP72" s="776">
        <v>4.75</v>
      </c>
      <c r="BQ72" s="773">
        <v>0.38</v>
      </c>
      <c r="BR72" s="774">
        <f>BQ72/BP72</f>
        <v>0.08</v>
      </c>
      <c r="BS72" s="766" t="s">
        <v>1242</v>
      </c>
      <c r="BT72" s="766" t="s">
        <v>2040</v>
      </c>
      <c r="BU72" s="766" t="s">
        <v>11340</v>
      </c>
      <c r="BV72" s="766" t="s">
        <v>1247</v>
      </c>
      <c r="BW72" s="766"/>
      <c r="BX72" s="779"/>
      <c r="BY72" s="766"/>
      <c r="BZ72" s="775"/>
      <c r="CA72" s="766"/>
      <c r="CB72" s="766"/>
      <c r="CC72" s="766"/>
      <c r="CD72" s="766"/>
      <c r="CE72" s="766"/>
      <c r="CF72" s="231"/>
      <c r="CG72" s="231"/>
      <c r="CH72" s="766"/>
      <c r="CI72" s="766"/>
      <c r="CJ72" s="766"/>
      <c r="CK72" s="766"/>
      <c r="CL72" s="766"/>
      <c r="CM72" s="766"/>
      <c r="CN72" s="766"/>
      <c r="CO72" s="766"/>
      <c r="CP72" s="766"/>
      <c r="CQ72" s="766"/>
      <c r="CR72" s="775"/>
      <c r="CS72" s="766"/>
      <c r="CT72" s="766"/>
      <c r="CU72" s="129"/>
      <c r="CV72" s="766"/>
      <c r="CW72" s="766"/>
      <c r="CX72" s="766"/>
      <c r="CY72" s="766"/>
      <c r="CZ72" s="766"/>
      <c r="DA72" s="766"/>
      <c r="DB72" s="766"/>
      <c r="DC72" s="766"/>
      <c r="DD72" s="766"/>
      <c r="DE72" s="766"/>
      <c r="DF72" s="766"/>
      <c r="DG72" s="766"/>
      <c r="DH72" s="766"/>
      <c r="DI72" s="766"/>
      <c r="DJ72" s="766"/>
      <c r="DK72" s="766"/>
      <c r="DL72" s="766"/>
      <c r="DM72" s="766"/>
      <c r="DN72" s="766"/>
      <c r="DO72" s="766"/>
      <c r="DP72" s="766"/>
      <c r="DQ72" s="766"/>
      <c r="DR72" s="766"/>
      <c r="DS72" s="59"/>
      <c r="DT72" s="766"/>
      <c r="DU72" s="766"/>
      <c r="DV72" s="766"/>
      <c r="DW72" s="66"/>
      <c r="DX72" s="66"/>
      <c r="DY72" s="766"/>
      <c r="DZ72" s="766"/>
      <c r="EA72" s="766"/>
      <c r="EB72" s="766"/>
      <c r="EC72" s="766"/>
      <c r="ED72" s="766"/>
      <c r="EE72" s="766"/>
      <c r="EF72" s="766"/>
      <c r="EG72" s="766"/>
      <c r="EH72" s="766"/>
      <c r="EI72" s="766"/>
      <c r="EJ72" s="766"/>
      <c r="EK72" s="766"/>
      <c r="EL72" s="766"/>
      <c r="EM72" s="766"/>
      <c r="EN72" s="766"/>
      <c r="EO72" s="766"/>
      <c r="EP72" s="766"/>
      <c r="EQ72" s="766"/>
      <c r="ER72" s="766"/>
      <c r="ES72" s="776"/>
      <c r="ET72" s="773"/>
      <c r="EU72" s="766"/>
      <c r="EV72" s="766"/>
      <c r="EW72" s="766"/>
      <c r="EX72" s="766"/>
      <c r="EY72" s="766"/>
      <c r="EZ72" s="766"/>
      <c r="FA72" s="766"/>
      <c r="FB72" s="766"/>
      <c r="FC72" s="766"/>
      <c r="FD72" s="775"/>
      <c r="FE72" s="766"/>
      <c r="FF72" s="766"/>
      <c r="FG72" s="766"/>
      <c r="FH72" s="766" t="s">
        <v>478</v>
      </c>
      <c r="FI72" s="766" t="s">
        <v>110</v>
      </c>
      <c r="FJ72" s="766"/>
      <c r="FK72" s="766"/>
      <c r="FL72" s="766"/>
      <c r="FM72" s="775"/>
      <c r="FN72" s="775"/>
      <c r="FO72" s="775"/>
      <c r="FP72" s="766" t="s">
        <v>1602</v>
      </c>
      <c r="FQ72" s="766" t="s">
        <v>1660</v>
      </c>
      <c r="FR72" s="766"/>
      <c r="FS72" s="766"/>
      <c r="FT72" s="766"/>
      <c r="FU72" s="766"/>
      <c r="FV72" s="766"/>
      <c r="FW72" s="766"/>
      <c r="FX72" s="766"/>
      <c r="FY72" s="766"/>
      <c r="FZ72" s="766"/>
      <c r="GA72" s="766"/>
      <c r="GB72" s="766"/>
      <c r="GC72" s="75"/>
      <c r="GD72" s="25"/>
      <c r="GE72" s="766"/>
      <c r="GF72" s="775"/>
      <c r="GG72" s="775"/>
      <c r="GH72" s="766"/>
      <c r="GI72" s="766"/>
      <c r="GJ72" s="766"/>
      <c r="GK72" s="766"/>
      <c r="GL72" s="766"/>
      <c r="GM72" s="766"/>
      <c r="GN72" s="82"/>
      <c r="GO72" s="766"/>
      <c r="GP72" s="766"/>
      <c r="GQ72" s="766"/>
      <c r="GR72" s="766"/>
      <c r="GS72" s="766"/>
      <c r="GT72" s="766"/>
      <c r="GU72" s="766"/>
      <c r="GV72" s="766"/>
      <c r="GW72" s="766"/>
      <c r="GX72" s="766"/>
      <c r="GY72" s="766"/>
      <c r="GZ72" s="766"/>
      <c r="HA72" s="766"/>
      <c r="HB72" s="766"/>
      <c r="HC72" s="766"/>
      <c r="HD72" s="766"/>
      <c r="HE72" s="766"/>
      <c r="HF72" s="766"/>
      <c r="HG72" s="766"/>
      <c r="HH72" s="766"/>
      <c r="HI72" s="766"/>
      <c r="HJ72" s="766"/>
      <c r="HK72" s="766"/>
      <c r="HL72" s="766"/>
      <c r="HM72" s="766"/>
      <c r="HN72" s="766"/>
      <c r="HO72" s="766"/>
      <c r="HP72" s="766"/>
      <c r="HQ72" s="766"/>
      <c r="HR72" s="766"/>
      <c r="HS72" s="766">
        <v>3</v>
      </c>
      <c r="HT72" s="766"/>
      <c r="HU72" s="766"/>
      <c r="HV72" s="766"/>
      <c r="HW72" s="766"/>
      <c r="HX72" s="766"/>
      <c r="HY72" s="766"/>
      <c r="HZ72" s="766"/>
      <c r="IA72" s="766"/>
      <c r="IB72" s="766"/>
      <c r="IC72" s="766"/>
      <c r="ID72" s="766" t="s">
        <v>1207</v>
      </c>
      <c r="IE72" s="766"/>
      <c r="IF72" s="766"/>
      <c r="IG72" s="766"/>
      <c r="IH72" s="766"/>
      <c r="II72" s="766"/>
      <c r="IJ72" s="766"/>
      <c r="IK72" s="766"/>
      <c r="IL72" s="766"/>
      <c r="IM72" s="766"/>
      <c r="IN72" s="766"/>
      <c r="IO72" s="24"/>
      <c r="IP72" s="766"/>
      <c r="IQ72" s="766"/>
      <c r="IR72" s="766"/>
      <c r="IS72" s="766"/>
      <c r="IT72" s="766"/>
      <c r="IU72" s="766"/>
      <c r="IV72" s="766"/>
      <c r="IW72" s="766"/>
      <c r="IX72" s="766"/>
      <c r="IY72" s="766"/>
      <c r="IZ72" s="766"/>
      <c r="JA72" s="766"/>
      <c r="JB72" s="766"/>
      <c r="JC72" s="766"/>
      <c r="JD72" s="775"/>
      <c r="JE72" s="766"/>
      <c r="JF72" s="766"/>
      <c r="JG72" s="766"/>
      <c r="JH72" s="775"/>
      <c r="JI72" s="775"/>
      <c r="JJ72" s="766"/>
      <c r="JK72" s="766"/>
      <c r="JL72" s="766"/>
      <c r="JM72" s="766"/>
      <c r="JN72" s="766"/>
      <c r="JO72" s="766"/>
      <c r="JP72" s="766"/>
      <c r="JQ72" s="766"/>
      <c r="JR72" s="766"/>
      <c r="JS72" s="766"/>
      <c r="JT72" s="766"/>
      <c r="JU72" s="766"/>
      <c r="JV72" s="766"/>
      <c r="JW72" s="766"/>
      <c r="JX72" s="766"/>
      <c r="JY72" s="766"/>
      <c r="JZ72" s="766"/>
      <c r="KA72" s="766"/>
      <c r="KB72" s="766"/>
      <c r="KC72" s="766"/>
      <c r="KD72" s="766"/>
      <c r="KE72" s="766"/>
      <c r="KF72" s="766"/>
      <c r="KG72" s="766"/>
      <c r="KH72" s="766"/>
      <c r="KI72" s="766"/>
      <c r="KJ72" s="770"/>
      <c r="KK72" s="770"/>
      <c r="KL72" s="770"/>
      <c r="KM72" s="770"/>
      <c r="KN72" s="766"/>
      <c r="KO72" s="766"/>
      <c r="KP72" s="766"/>
      <c r="KQ72" s="766"/>
      <c r="KR72" s="766"/>
      <c r="KS72" s="766"/>
      <c r="KT72" s="766"/>
      <c r="KU72" s="766"/>
      <c r="KV72" s="766"/>
      <c r="KW72" s="766"/>
      <c r="KX72" s="766"/>
      <c r="KY72" s="766"/>
      <c r="KZ72" s="766"/>
      <c r="LA72" s="766"/>
      <c r="LB72" s="766"/>
      <c r="LC72" s="766"/>
      <c r="LD72" s="766"/>
      <c r="LE72" s="766"/>
      <c r="LF72" s="766"/>
      <c r="LG72" s="766"/>
      <c r="LH72" s="766"/>
      <c r="LI72" s="766"/>
      <c r="LJ72" s="766"/>
      <c r="LK72" s="766"/>
      <c r="LL72" s="766"/>
      <c r="LM72" s="766"/>
      <c r="LN72" s="766"/>
      <c r="LO72" s="766"/>
      <c r="LP72" s="766"/>
      <c r="LQ72" s="766"/>
      <c r="LR72" s="766"/>
      <c r="LS72" s="766"/>
      <c r="LT72" s="766"/>
      <c r="LU72" s="766"/>
      <c r="LV72" s="766"/>
      <c r="LW72" s="766"/>
      <c r="LX72" s="769"/>
      <c r="LY72" s="766" t="str">
        <f t="shared" si="12"/>
        <v/>
      </c>
      <c r="LZ72" s="66"/>
      <c r="MA72" s="66"/>
      <c r="MB72" s="66"/>
      <c r="MC72" s="1679">
        <f t="shared" si="13"/>
        <v>0</v>
      </c>
      <c r="MD72" s="66"/>
      <c r="ME72" s="66"/>
      <c r="MF72" s="66"/>
      <c r="MG72" s="1680">
        <f t="shared" si="15"/>
        <v>0</v>
      </c>
      <c r="MH72" s="766"/>
      <c r="MI72" s="775"/>
      <c r="MJ72" s="775"/>
      <c r="MK72" s="775"/>
      <c r="ML72" s="775"/>
      <c r="MM72" s="775"/>
      <c r="MN72" s="775"/>
      <c r="MO72" s="775"/>
      <c r="MP72" s="775"/>
      <c r="MQ72" s="775"/>
      <c r="MR72" s="775"/>
      <c r="MS72" s="775"/>
      <c r="MT72" s="775"/>
      <c r="MU72" s="775"/>
      <c r="MV72" s="775"/>
      <c r="MW72" s="775"/>
      <c r="MX72" s="775"/>
      <c r="MY72" s="1682">
        <f t="shared" si="14"/>
        <v>0</v>
      </c>
      <c r="MZ72" s="766"/>
      <c r="NA72" s="766"/>
      <c r="NB72" s="766"/>
      <c r="NC72" s="766"/>
      <c r="ND72" s="766"/>
      <c r="NE72" s="766"/>
      <c r="NF72" s="766"/>
      <c r="NG72" s="766"/>
      <c r="NH72" s="766"/>
      <c r="NI72" s="766"/>
      <c r="NJ72" s="766"/>
      <c r="NK72" s="766"/>
      <c r="NL72" s="766"/>
      <c r="NM72" s="766"/>
      <c r="NN72" s="766"/>
      <c r="NO72" s="766"/>
      <c r="NP72" s="766"/>
      <c r="NQ72" s="766"/>
      <c r="NR72" s="766"/>
      <c r="NS72" s="766"/>
      <c r="NT72" s="766"/>
      <c r="NU72" s="766"/>
      <c r="NV72" s="766"/>
      <c r="NW72" s="766"/>
      <c r="NX72" s="766"/>
      <c r="NY72" s="766"/>
      <c r="NZ72" s="766"/>
      <c r="OA72" s="766"/>
      <c r="OB72" s="766"/>
      <c r="OC72" s="766"/>
      <c r="OD72" s="766"/>
      <c r="OE72" s="766"/>
      <c r="OF72" s="766"/>
      <c r="OG72" s="766"/>
      <c r="OH72" s="766"/>
      <c r="OI72" s="766"/>
      <c r="OJ72" s="766"/>
      <c r="OK72" s="76"/>
      <c r="OL72" s="766"/>
      <c r="OM72" s="766"/>
      <c r="ON72" s="766"/>
      <c r="OO72" s="766"/>
      <c r="OP72" s="766"/>
      <c r="OQ72" s="766"/>
      <c r="OR72" s="766"/>
      <c r="OS72" s="766"/>
      <c r="OT72" s="766"/>
      <c r="OU72" s="766"/>
      <c r="OV72" s="766"/>
      <c r="OW72" s="766"/>
      <c r="OX72" s="766"/>
      <c r="OY72" s="766"/>
      <c r="OZ72" s="766"/>
      <c r="PA72" s="766"/>
      <c r="PB72" s="766"/>
      <c r="PC72" s="766"/>
      <c r="PD72" s="766"/>
      <c r="PE72" s="766"/>
      <c r="PF72" s="766"/>
      <c r="PG72" s="766"/>
      <c r="PH72" s="766"/>
      <c r="PI72" s="766"/>
      <c r="PJ72" s="766"/>
      <c r="PK72" s="766"/>
      <c r="PL72" s="766"/>
      <c r="PM72" s="766"/>
      <c r="PN72" s="766"/>
      <c r="PO72" s="766"/>
      <c r="PP72" s="766"/>
      <c r="PQ72" s="766"/>
      <c r="PR72" s="766"/>
      <c r="PS72" s="766"/>
      <c r="PT72" s="766"/>
      <c r="PU72" s="766"/>
      <c r="PV72" s="766"/>
      <c r="PW72" s="766"/>
      <c r="PX72" s="766"/>
      <c r="PY72" s="766"/>
      <c r="PZ72" s="766"/>
      <c r="QA72" s="766"/>
      <c r="QB72" s="766"/>
      <c r="QC72" s="766"/>
      <c r="QD72" s="766"/>
      <c r="QE72" s="766"/>
      <c r="QF72" s="766"/>
      <c r="QG72" s="766"/>
      <c r="QH72" s="766"/>
      <c r="QI72" s="766"/>
      <c r="QJ72" s="766"/>
      <c r="QK72" s="766"/>
      <c r="QL72" s="766"/>
      <c r="QM72" s="766"/>
      <c r="QN72" s="766"/>
      <c r="QO72" s="766"/>
      <c r="QP72" s="766"/>
      <c r="QQ72" s="766"/>
      <c r="QR72" s="766"/>
      <c r="QS72" s="766"/>
      <c r="QT72" s="766"/>
      <c r="QU72" s="766"/>
      <c r="QV72" s="766"/>
      <c r="QW72" s="766"/>
      <c r="QX72" s="766"/>
      <c r="QY72" s="766"/>
      <c r="QZ72" s="766"/>
      <c r="RA72" s="766"/>
      <c r="RB72" s="766"/>
      <c r="RC72" s="766"/>
      <c r="RD72" s="766"/>
      <c r="RE72" s="766"/>
      <c r="RF72" s="777"/>
      <c r="RG72" s="766"/>
      <c r="RH72" s="775"/>
      <c r="RI72" s="766"/>
      <c r="RJ72" s="766" t="s">
        <v>2150</v>
      </c>
      <c r="RK72" s="766" t="s">
        <v>13087</v>
      </c>
      <c r="RL72" s="1683"/>
      <c r="RM72" s="12"/>
      <c r="RN72" s="1711"/>
      <c r="RO72" s="167" t="s">
        <v>71</v>
      </c>
      <c r="RP72" s="11"/>
      <c r="RQ72" s="11"/>
      <c r="RR72" s="17"/>
      <c r="RS72" s="766"/>
      <c r="RT72" s="11"/>
      <c r="RU72" s="11"/>
      <c r="RV72" s="766" t="s">
        <v>7421</v>
      </c>
      <c r="RW72" s="11" t="s">
        <v>11957</v>
      </c>
      <c r="RX72" s="11" t="s">
        <v>63</v>
      </c>
      <c r="RY72" s="11"/>
      <c r="RZ72" s="11"/>
      <c r="SA72" s="766"/>
      <c r="SB72" s="11"/>
      <c r="SC72" s="11"/>
    </row>
    <row r="73" spans="1:497" ht="12.75" hidden="1" customHeight="1">
      <c r="A73" s="19" t="s">
        <v>7419</v>
      </c>
      <c r="B73" s="288" t="s">
        <v>12274</v>
      </c>
      <c r="C73" s="167" t="s">
        <v>75</v>
      </c>
      <c r="D73" s="766"/>
      <c r="E73" s="766" t="s">
        <v>11794</v>
      </c>
      <c r="F73" s="766"/>
      <c r="G73" s="766"/>
      <c r="H73" s="766"/>
      <c r="I73" s="5"/>
      <c r="J73" s="766"/>
      <c r="K73" s="766"/>
      <c r="L73" s="766"/>
      <c r="M73" s="766"/>
      <c r="N73" s="766"/>
      <c r="O73" s="766"/>
      <c r="P73" s="766"/>
      <c r="Q73" s="1085"/>
      <c r="R73" s="25"/>
      <c r="S73" s="766"/>
      <c r="T73" s="766"/>
      <c r="U73" s="766" t="s">
        <v>12275</v>
      </c>
      <c r="V73" s="766"/>
      <c r="W73" s="766"/>
      <c r="X73" s="24"/>
      <c r="Y73" s="766"/>
      <c r="Z73" s="766"/>
      <c r="AA73" s="766"/>
      <c r="AB73" s="766"/>
      <c r="AC73" s="766"/>
      <c r="AD73" s="766"/>
      <c r="AE73" s="766"/>
      <c r="AF73" s="766"/>
      <c r="AG73" s="766" t="s">
        <v>1095</v>
      </c>
      <c r="AH73" s="766" t="s">
        <v>1096</v>
      </c>
      <c r="AI73" s="766" t="s">
        <v>12276</v>
      </c>
      <c r="AJ73" s="766"/>
      <c r="AK73" s="766" t="s">
        <v>1097</v>
      </c>
      <c r="AL73" s="121">
        <v>24.91</v>
      </c>
      <c r="AM73" s="773">
        <v>1.66</v>
      </c>
      <c r="AN73" s="37">
        <f t="shared" si="7"/>
        <v>6.6639903653151339E-2</v>
      </c>
      <c r="AO73" s="766" t="s">
        <v>1105</v>
      </c>
      <c r="AP73" s="766"/>
      <c r="AQ73" s="766"/>
      <c r="AR73" s="766"/>
      <c r="AS73" s="766"/>
      <c r="AT73" s="766"/>
      <c r="AU73" s="766"/>
      <c r="AV73" s="766"/>
      <c r="AW73" s="766"/>
      <c r="AX73" s="13"/>
      <c r="AY73" s="766"/>
      <c r="AZ73" s="766"/>
      <c r="BA73" s="766"/>
      <c r="BB73" s="766"/>
      <c r="BC73" s="766"/>
      <c r="BD73" s="766"/>
      <c r="BE73" s="766"/>
      <c r="BF73" s="775"/>
      <c r="BG73" s="775"/>
      <c r="BH73" s="766"/>
      <c r="BI73" s="766"/>
      <c r="BJ73" s="766"/>
      <c r="BK73" s="766"/>
      <c r="BL73" s="766"/>
      <c r="BM73" s="766"/>
      <c r="BN73" s="766"/>
      <c r="BO73" s="766"/>
      <c r="BP73" s="776"/>
      <c r="BQ73" s="773"/>
      <c r="BR73" s="774"/>
      <c r="BS73" s="766"/>
      <c r="BT73" s="766"/>
      <c r="BU73" s="766"/>
      <c r="BV73" s="766"/>
      <c r="BW73" s="766"/>
      <c r="BX73" s="779"/>
      <c r="BY73" s="766"/>
      <c r="BZ73" s="775"/>
      <c r="CA73" s="766"/>
      <c r="CB73" s="766"/>
      <c r="CC73" s="766"/>
      <c r="CD73" s="766"/>
      <c r="CE73" s="766"/>
      <c r="CF73" s="231"/>
      <c r="CG73" s="231"/>
      <c r="CH73" s="766"/>
      <c r="CI73" s="766"/>
      <c r="CJ73" s="766"/>
      <c r="CK73" s="766"/>
      <c r="CL73" s="766"/>
      <c r="CM73" s="766"/>
      <c r="CN73" s="766"/>
      <c r="CO73" s="766"/>
      <c r="CP73" s="766"/>
      <c r="CQ73" s="766"/>
      <c r="CR73" s="775"/>
      <c r="CS73" s="766"/>
      <c r="CT73" s="766"/>
      <c r="CU73" s="129"/>
      <c r="CV73" s="766"/>
      <c r="CW73" s="766"/>
      <c r="CX73" s="766"/>
      <c r="CY73" s="766"/>
      <c r="CZ73" s="766"/>
      <c r="DA73" s="766"/>
      <c r="DB73" s="766"/>
      <c r="DC73" s="766"/>
      <c r="DD73" s="766"/>
      <c r="DE73" s="766"/>
      <c r="DF73" s="766"/>
      <c r="DG73" s="766"/>
      <c r="DH73" s="766"/>
      <c r="DI73" s="766"/>
      <c r="DJ73" s="766"/>
      <c r="DK73" s="766"/>
      <c r="DL73" s="766"/>
      <c r="DM73" s="766"/>
      <c r="DN73" s="766"/>
      <c r="DO73" s="766"/>
      <c r="DP73" s="766"/>
      <c r="DQ73" s="766"/>
      <c r="DR73" s="766"/>
      <c r="DS73" s="59"/>
      <c r="DT73" s="766"/>
      <c r="DU73" s="766"/>
      <c r="DV73" s="766"/>
      <c r="DW73" s="66"/>
      <c r="DX73" s="66"/>
      <c r="DY73" s="766"/>
      <c r="DZ73" s="766"/>
      <c r="EA73" s="766"/>
      <c r="EB73" s="766"/>
      <c r="EC73" s="766"/>
      <c r="ED73" s="766"/>
      <c r="EE73" s="766"/>
      <c r="EF73" s="766"/>
      <c r="EG73" s="766"/>
      <c r="EH73" s="766"/>
      <c r="EI73" s="766"/>
      <c r="EJ73" s="766"/>
      <c r="EK73" s="766"/>
      <c r="EL73" s="766"/>
      <c r="EM73" s="766"/>
      <c r="EN73" s="766"/>
      <c r="EO73" s="766"/>
      <c r="EP73" s="766"/>
      <c r="EQ73" s="766"/>
      <c r="ER73" s="766"/>
      <c r="ES73" s="776"/>
      <c r="ET73" s="773"/>
      <c r="EU73" s="766"/>
      <c r="EV73" s="766"/>
      <c r="EW73" s="766"/>
      <c r="EX73" s="766"/>
      <c r="EY73" s="766"/>
      <c r="EZ73" s="766"/>
      <c r="FA73" s="766"/>
      <c r="FB73" s="766"/>
      <c r="FC73" s="766"/>
      <c r="FD73" s="775"/>
      <c r="FE73" s="766"/>
      <c r="FF73" s="766"/>
      <c r="FG73" s="766"/>
      <c r="FH73" s="766"/>
      <c r="FI73" s="766"/>
      <c r="FJ73" s="766"/>
      <c r="FK73" s="766"/>
      <c r="FL73" s="766"/>
      <c r="FM73" s="775"/>
      <c r="FN73" s="775"/>
      <c r="FO73" s="775"/>
      <c r="FP73" s="766"/>
      <c r="FQ73" s="766"/>
      <c r="FR73" s="766"/>
      <c r="FS73" s="766"/>
      <c r="FT73" s="766"/>
      <c r="FU73" s="766"/>
      <c r="FV73" s="766"/>
      <c r="FW73" s="766"/>
      <c r="FX73" s="766"/>
      <c r="FY73" s="766"/>
      <c r="FZ73" s="766"/>
      <c r="GA73" s="766"/>
      <c r="GB73" s="766"/>
      <c r="GC73" s="75"/>
      <c r="GD73" s="25"/>
      <c r="GE73" s="766"/>
      <c r="GF73" s="775"/>
      <c r="GG73" s="775"/>
      <c r="GH73" s="766"/>
      <c r="GI73" s="766"/>
      <c r="GJ73" s="766"/>
      <c r="GK73" s="766"/>
      <c r="GL73" s="766"/>
      <c r="GM73" s="766"/>
      <c r="GN73" s="82"/>
      <c r="GO73" s="766"/>
      <c r="GP73" s="766"/>
      <c r="GQ73" s="766"/>
      <c r="GR73" s="766"/>
      <c r="GS73" s="766"/>
      <c r="GT73" s="766"/>
      <c r="GU73" s="766"/>
      <c r="GV73" s="766"/>
      <c r="GW73" s="766"/>
      <c r="GX73" s="766"/>
      <c r="GY73" s="766"/>
      <c r="GZ73" s="766"/>
      <c r="HA73" s="766"/>
      <c r="HB73" s="766"/>
      <c r="HC73" s="766"/>
      <c r="HD73" s="766"/>
      <c r="HE73" s="766"/>
      <c r="HF73" s="766"/>
      <c r="HG73" s="766"/>
      <c r="HH73" s="766"/>
      <c r="HI73" s="766"/>
      <c r="HJ73" s="766"/>
      <c r="HK73" s="766"/>
      <c r="HL73" s="766"/>
      <c r="HM73" s="766"/>
      <c r="HN73" s="766"/>
      <c r="HO73" s="766"/>
      <c r="HP73" s="766"/>
      <c r="HQ73" s="766"/>
      <c r="HR73" s="766"/>
      <c r="HS73" s="766"/>
      <c r="HT73" s="766"/>
      <c r="HU73" s="766"/>
      <c r="HV73" s="766"/>
      <c r="HW73" s="766"/>
      <c r="HX73" s="766"/>
      <c r="HY73" s="766"/>
      <c r="HZ73" s="766"/>
      <c r="IA73" s="766"/>
      <c r="IB73" s="766"/>
      <c r="IC73" s="766"/>
      <c r="ID73" s="766"/>
      <c r="IE73" s="766"/>
      <c r="IF73" s="766"/>
      <c r="IG73" s="766"/>
      <c r="IH73" s="766"/>
      <c r="II73" s="766"/>
      <c r="IJ73" s="766"/>
      <c r="IK73" s="766"/>
      <c r="IL73" s="766"/>
      <c r="IM73" s="766"/>
      <c r="IN73" s="766"/>
      <c r="IO73" s="24"/>
      <c r="IP73" s="766"/>
      <c r="IQ73" s="766"/>
      <c r="IR73" s="766"/>
      <c r="IS73" s="766"/>
      <c r="IT73" s="766"/>
      <c r="IU73" s="766"/>
      <c r="IV73" s="766"/>
      <c r="IW73" s="766"/>
      <c r="IX73" s="766"/>
      <c r="IY73" s="766"/>
      <c r="IZ73" s="766"/>
      <c r="JA73" s="766"/>
      <c r="JB73" s="766"/>
      <c r="JC73" s="766"/>
      <c r="JD73" s="775"/>
      <c r="JE73" s="766"/>
      <c r="JF73" s="766"/>
      <c r="JG73" s="766"/>
      <c r="JH73" s="775"/>
      <c r="JI73" s="775"/>
      <c r="JJ73" s="766"/>
      <c r="JK73" s="766"/>
      <c r="JL73" s="766"/>
      <c r="JM73" s="766"/>
      <c r="JN73" s="766"/>
      <c r="JO73" s="766"/>
      <c r="JP73" s="766"/>
      <c r="JQ73" s="766"/>
      <c r="JR73" s="766"/>
      <c r="JS73" s="766"/>
      <c r="JT73" s="766"/>
      <c r="JU73" s="766"/>
      <c r="JV73" s="766"/>
      <c r="JW73" s="766"/>
      <c r="JX73" s="766"/>
      <c r="JY73" s="766"/>
      <c r="JZ73" s="766"/>
      <c r="KA73" s="766"/>
      <c r="KB73" s="766"/>
      <c r="KC73" s="766"/>
      <c r="KD73" s="766"/>
      <c r="KE73" s="766"/>
      <c r="KF73" s="766"/>
      <c r="KG73" s="766"/>
      <c r="KH73" s="766"/>
      <c r="KI73" s="766"/>
      <c r="KJ73" s="770"/>
      <c r="KK73" s="770"/>
      <c r="KL73" s="770"/>
      <c r="KM73" s="770"/>
      <c r="KN73" s="766"/>
      <c r="KO73" s="766"/>
      <c r="KP73" s="766"/>
      <c r="KQ73" s="766"/>
      <c r="KR73" s="766"/>
      <c r="KS73" s="766"/>
      <c r="KT73" s="766"/>
      <c r="KU73" s="766"/>
      <c r="KV73" s="766"/>
      <c r="KW73" s="766"/>
      <c r="KX73" s="766"/>
      <c r="KY73" s="766"/>
      <c r="KZ73" s="766"/>
      <c r="LA73" s="766"/>
      <c r="LB73" s="766"/>
      <c r="LC73" s="766"/>
      <c r="LD73" s="766"/>
      <c r="LE73" s="766"/>
      <c r="LF73" s="766"/>
      <c r="LG73" s="766"/>
      <c r="LH73" s="766"/>
      <c r="LI73" s="766"/>
      <c r="LJ73" s="766"/>
      <c r="LK73" s="766"/>
      <c r="LL73" s="766"/>
      <c r="LM73" s="766"/>
      <c r="LN73" s="766"/>
      <c r="LO73" s="766"/>
      <c r="LP73" s="766"/>
      <c r="LQ73" s="766"/>
      <c r="LR73" s="766"/>
      <c r="LS73" s="766"/>
      <c r="LT73" s="766"/>
      <c r="LU73" s="766"/>
      <c r="LV73" s="766"/>
      <c r="LW73" s="766"/>
      <c r="LX73" s="769"/>
      <c r="LY73" s="766" t="str">
        <f t="shared" si="12"/>
        <v/>
      </c>
      <c r="LZ73" s="66"/>
      <c r="MA73" s="66"/>
      <c r="MB73" s="66"/>
      <c r="MC73" s="1679">
        <f t="shared" si="13"/>
        <v>0</v>
      </c>
      <c r="MD73" s="66"/>
      <c r="ME73" s="66"/>
      <c r="MF73" s="66"/>
      <c r="MG73" s="1680">
        <f t="shared" si="15"/>
        <v>0</v>
      </c>
      <c r="MH73" s="766"/>
      <c r="MI73" s="775"/>
      <c r="MJ73" s="775"/>
      <c r="MK73" s="775"/>
      <c r="ML73" s="775"/>
      <c r="MM73" s="775"/>
      <c r="MN73" s="775"/>
      <c r="MO73" s="775"/>
      <c r="MP73" s="775"/>
      <c r="MQ73" s="775"/>
      <c r="MR73" s="775"/>
      <c r="MS73" s="775"/>
      <c r="MT73" s="775"/>
      <c r="MU73" s="775"/>
      <c r="MV73" s="775"/>
      <c r="MW73" s="775"/>
      <c r="MX73" s="775"/>
      <c r="MY73" s="1682">
        <f t="shared" si="14"/>
        <v>0</v>
      </c>
      <c r="MZ73" s="766"/>
      <c r="NA73" s="766"/>
      <c r="NB73" s="766"/>
      <c r="NC73" s="766"/>
      <c r="ND73" s="766"/>
      <c r="NE73" s="766"/>
      <c r="NF73" s="766"/>
      <c r="NG73" s="766"/>
      <c r="NH73" s="766"/>
      <c r="NI73" s="766"/>
      <c r="NJ73" s="766"/>
      <c r="NK73" s="766"/>
      <c r="NL73" s="766"/>
      <c r="NM73" s="766"/>
      <c r="NN73" s="766"/>
      <c r="NO73" s="766"/>
      <c r="NP73" s="766"/>
      <c r="NQ73" s="766"/>
      <c r="NR73" s="766"/>
      <c r="NS73" s="766"/>
      <c r="NT73" s="766"/>
      <c r="NU73" s="766"/>
      <c r="NV73" s="766"/>
      <c r="NW73" s="766"/>
      <c r="NX73" s="766"/>
      <c r="NY73" s="766"/>
      <c r="NZ73" s="766"/>
      <c r="OA73" s="766"/>
      <c r="OB73" s="766"/>
      <c r="OC73" s="766"/>
      <c r="OD73" s="766"/>
      <c r="OE73" s="766"/>
      <c r="OF73" s="766"/>
      <c r="OG73" s="766"/>
      <c r="OH73" s="766"/>
      <c r="OI73" s="766"/>
      <c r="OJ73" s="766"/>
      <c r="OK73" s="76"/>
      <c r="OL73" s="766"/>
      <c r="OM73" s="766"/>
      <c r="ON73" s="766"/>
      <c r="OO73" s="766"/>
      <c r="OP73" s="766"/>
      <c r="OQ73" s="766"/>
      <c r="OR73" s="766"/>
      <c r="OS73" s="766"/>
      <c r="OT73" s="766"/>
      <c r="OU73" s="766"/>
      <c r="OV73" s="766"/>
      <c r="OW73" s="766"/>
      <c r="OX73" s="766"/>
      <c r="OY73" s="766"/>
      <c r="OZ73" s="766"/>
      <c r="PA73" s="766"/>
      <c r="PB73" s="766"/>
      <c r="PC73" s="766"/>
      <c r="PD73" s="766"/>
      <c r="PE73" s="766"/>
      <c r="PF73" s="766"/>
      <c r="PG73" s="766"/>
      <c r="PH73" s="766"/>
      <c r="PI73" s="766"/>
      <c r="PJ73" s="766"/>
      <c r="PK73" s="766"/>
      <c r="PL73" s="766"/>
      <c r="PM73" s="766"/>
      <c r="PN73" s="766"/>
      <c r="PO73" s="766"/>
      <c r="PP73" s="766"/>
      <c r="PQ73" s="766"/>
      <c r="PR73" s="766"/>
      <c r="PS73" s="766"/>
      <c r="PT73" s="766"/>
      <c r="PU73" s="766"/>
      <c r="PV73" s="766"/>
      <c r="PW73" s="766"/>
      <c r="PX73" s="766"/>
      <c r="PY73" s="766"/>
      <c r="PZ73" s="766"/>
      <c r="QA73" s="766"/>
      <c r="QB73" s="766"/>
      <c r="QC73" s="766"/>
      <c r="QD73" s="766"/>
      <c r="QE73" s="766"/>
      <c r="QF73" s="766"/>
      <c r="QG73" s="766"/>
      <c r="QH73" s="766"/>
      <c r="QI73" s="766"/>
      <c r="QJ73" s="766"/>
      <c r="QK73" s="766"/>
      <c r="QL73" s="766"/>
      <c r="QM73" s="766"/>
      <c r="QN73" s="766"/>
      <c r="QO73" s="766"/>
      <c r="QP73" s="766"/>
      <c r="QQ73" s="766"/>
      <c r="QR73" s="766"/>
      <c r="QS73" s="766"/>
      <c r="QT73" s="766"/>
      <c r="QU73" s="766"/>
      <c r="QV73" s="766"/>
      <c r="QW73" s="766"/>
      <c r="QX73" s="766"/>
      <c r="QY73" s="766"/>
      <c r="QZ73" s="766"/>
      <c r="RA73" s="766"/>
      <c r="RB73" s="766"/>
      <c r="RC73" s="766"/>
      <c r="RD73" s="766"/>
      <c r="RE73" s="766"/>
      <c r="RF73" s="777"/>
      <c r="RG73" s="766"/>
      <c r="RH73" s="775"/>
      <c r="RI73" s="766"/>
      <c r="RJ73" s="766"/>
      <c r="RK73" s="766"/>
      <c r="RL73" s="1683"/>
      <c r="RM73" s="12"/>
      <c r="RN73" s="1711"/>
      <c r="RO73" s="167" t="s">
        <v>75</v>
      </c>
      <c r="RP73" s="11"/>
      <c r="RQ73" s="11"/>
      <c r="RR73" s="17"/>
      <c r="RS73" s="766"/>
      <c r="RT73" s="11"/>
      <c r="RU73" s="11"/>
      <c r="RV73" s="766" t="s">
        <v>7419</v>
      </c>
      <c r="RW73" s="11" t="s">
        <v>11958</v>
      </c>
      <c r="RX73" s="11" t="s">
        <v>66</v>
      </c>
      <c r="RY73" s="11"/>
      <c r="RZ73" s="11"/>
      <c r="SA73" s="766"/>
      <c r="SB73" s="11"/>
      <c r="SC73" s="11"/>
    </row>
    <row r="74" spans="1:497" ht="12.75" hidden="1" customHeight="1">
      <c r="A74" s="343" t="s">
        <v>12386</v>
      </c>
      <c r="B74" s="1094" t="s">
        <v>11792</v>
      </c>
      <c r="C74" s="167" t="s">
        <v>11791</v>
      </c>
      <c r="D74" s="766" t="s">
        <v>11793</v>
      </c>
      <c r="E74" s="766" t="s">
        <v>11794</v>
      </c>
      <c r="F74" s="766" t="s">
        <v>28</v>
      </c>
      <c r="G74" s="766" t="s">
        <v>10</v>
      </c>
      <c r="H74" s="766"/>
      <c r="I74" s="5" t="s">
        <v>11795</v>
      </c>
      <c r="J74" s="766" t="s">
        <v>11793</v>
      </c>
      <c r="K74" s="766" t="s">
        <v>11796</v>
      </c>
      <c r="L74" s="766" t="s">
        <v>11797</v>
      </c>
      <c r="M74" s="766"/>
      <c r="N74" s="766" t="s">
        <v>5583</v>
      </c>
      <c r="O74" s="766" t="s">
        <v>11798</v>
      </c>
      <c r="P74" s="94" t="s">
        <v>14117</v>
      </c>
      <c r="Q74" s="1085">
        <v>24979</v>
      </c>
      <c r="R74" s="25">
        <v>49</v>
      </c>
      <c r="S74" s="766" t="s">
        <v>10</v>
      </c>
      <c r="T74" s="766"/>
      <c r="U74" s="5" t="s">
        <v>11795</v>
      </c>
      <c r="V74" s="766" t="s">
        <v>707</v>
      </c>
      <c r="W74" s="766" t="s">
        <v>11799</v>
      </c>
      <c r="X74" s="24"/>
      <c r="Y74" s="766" t="s">
        <v>11794</v>
      </c>
      <c r="Z74" s="766" t="s">
        <v>708</v>
      </c>
      <c r="AA74" s="766" t="s">
        <v>709</v>
      </c>
      <c r="AB74" s="766" t="s">
        <v>710</v>
      </c>
      <c r="AC74" s="766" t="s">
        <v>991</v>
      </c>
      <c r="AD74" s="766"/>
      <c r="AE74" s="766"/>
      <c r="AF74" s="766"/>
      <c r="AG74" s="770"/>
      <c r="AH74" s="770"/>
      <c r="AI74" s="770"/>
      <c r="AJ74" s="766"/>
      <c r="AK74" s="766" t="s">
        <v>1899</v>
      </c>
      <c r="AL74" s="531"/>
      <c r="AM74" s="780"/>
      <c r="AN74" s="532"/>
      <c r="AO74" s="766"/>
      <c r="AP74" s="766"/>
      <c r="AQ74" s="766"/>
      <c r="AR74" s="766"/>
      <c r="AS74" s="766"/>
      <c r="AT74" s="766"/>
      <c r="AU74" s="766"/>
      <c r="AV74" s="766"/>
      <c r="AW74" s="766"/>
      <c r="AX74" s="13"/>
      <c r="AY74" s="766"/>
      <c r="AZ74" s="766"/>
      <c r="BA74" s="766"/>
      <c r="BB74" s="766"/>
      <c r="BC74" s="766"/>
      <c r="BD74" s="766"/>
      <c r="BE74" s="766"/>
      <c r="BF74" s="775"/>
      <c r="BG74" s="775"/>
      <c r="BH74" s="766"/>
      <c r="BI74" s="766"/>
      <c r="BJ74" s="766"/>
      <c r="BK74" s="766" t="s">
        <v>1095</v>
      </c>
      <c r="BL74" s="766" t="s">
        <v>11793</v>
      </c>
      <c r="BM74" s="766" t="s">
        <v>1096</v>
      </c>
      <c r="BN74" s="766" t="s">
        <v>1230</v>
      </c>
      <c r="BO74" s="766" t="s">
        <v>1246</v>
      </c>
      <c r="BP74" s="776">
        <v>24.91</v>
      </c>
      <c r="BQ74" s="1135">
        <v>11.66</v>
      </c>
      <c r="BR74" s="774">
        <f>BQ74/BP74</f>
        <v>0.46808510638297873</v>
      </c>
      <c r="BS74" s="6" t="s">
        <v>1149</v>
      </c>
      <c r="BT74" s="766" t="s">
        <v>8133</v>
      </c>
      <c r="BU74" s="766" t="s">
        <v>1249</v>
      </c>
      <c r="BV74" s="766" t="s">
        <v>1247</v>
      </c>
      <c r="BW74" s="769"/>
      <c r="BX74" s="779"/>
      <c r="BY74" s="766"/>
      <c r="BZ74" s="775"/>
      <c r="CA74" s="766"/>
      <c r="CB74" s="766"/>
      <c r="CC74" s="766"/>
      <c r="CD74" s="766"/>
      <c r="CE74" s="766"/>
      <c r="CF74" s="231"/>
      <c r="CG74" s="231"/>
      <c r="CH74" s="766"/>
      <c r="CI74" s="766"/>
      <c r="CJ74" s="766"/>
      <c r="CK74" s="766"/>
      <c r="CL74" s="766"/>
      <c r="CM74" s="766"/>
      <c r="CN74" s="766"/>
      <c r="CO74" s="766"/>
      <c r="CP74" s="766"/>
      <c r="CQ74" s="766"/>
      <c r="CR74" s="775"/>
      <c r="CS74" s="766"/>
      <c r="CT74" s="766"/>
      <c r="CU74" s="129"/>
      <c r="CV74" s="766"/>
      <c r="CW74" s="766"/>
      <c r="CX74" s="766"/>
      <c r="CY74" s="766"/>
      <c r="CZ74" s="766"/>
      <c r="DA74" s="766"/>
      <c r="DB74" s="766"/>
      <c r="DC74" s="766"/>
      <c r="DD74" s="766"/>
      <c r="DE74" s="766"/>
      <c r="DF74" s="766"/>
      <c r="DG74" s="766"/>
      <c r="DH74" s="766"/>
      <c r="DI74" s="766"/>
      <c r="DJ74" s="766"/>
      <c r="DK74" s="766"/>
      <c r="DL74" s="766"/>
      <c r="DM74" s="766"/>
      <c r="DN74" s="766"/>
      <c r="DO74" s="766"/>
      <c r="DP74" s="766"/>
      <c r="DQ74" s="766"/>
      <c r="DR74" s="766"/>
      <c r="DS74" s="59"/>
      <c r="DT74" s="766"/>
      <c r="DU74" s="766"/>
      <c r="DV74" s="766"/>
      <c r="DW74" s="66"/>
      <c r="DX74" s="66"/>
      <c r="DY74" s="766"/>
      <c r="DZ74" s="766"/>
      <c r="EA74" s="766"/>
      <c r="EB74" s="766"/>
      <c r="EC74" s="766"/>
      <c r="ED74" s="766"/>
      <c r="EE74" s="766"/>
      <c r="EF74" s="766"/>
      <c r="EG74" s="766"/>
      <c r="EH74" s="766"/>
      <c r="EI74" s="766"/>
      <c r="EJ74" s="766"/>
      <c r="EK74" s="766"/>
      <c r="EL74" s="766"/>
      <c r="EM74" s="766"/>
      <c r="EN74" s="766"/>
      <c r="EO74" s="766"/>
      <c r="EP74" s="766"/>
      <c r="EQ74" s="766"/>
      <c r="ER74" s="766"/>
      <c r="ES74" s="766"/>
      <c r="ET74" s="766"/>
      <c r="EU74" s="766"/>
      <c r="EV74" s="766"/>
      <c r="EW74" s="766"/>
      <c r="EX74" s="766"/>
      <c r="EY74" s="766"/>
      <c r="EZ74" s="766"/>
      <c r="FA74" s="766"/>
      <c r="FB74" s="766"/>
      <c r="FC74" s="766"/>
      <c r="FD74" s="775"/>
      <c r="FE74" s="766"/>
      <c r="FF74" s="766"/>
      <c r="FG74" s="766"/>
      <c r="FH74" s="766" t="s">
        <v>478</v>
      </c>
      <c r="FI74" s="766">
        <v>2</v>
      </c>
      <c r="FJ74" s="766"/>
      <c r="FK74" s="766"/>
      <c r="FL74" s="766"/>
      <c r="FM74" s="775"/>
      <c r="FN74" s="775"/>
      <c r="FO74" s="775"/>
      <c r="FP74" s="766" t="s">
        <v>1602</v>
      </c>
      <c r="FQ74" s="766" t="s">
        <v>1660</v>
      </c>
      <c r="FR74" s="766" t="s">
        <v>1214</v>
      </c>
      <c r="FS74" s="766"/>
      <c r="FT74" s="766"/>
      <c r="FU74" s="766"/>
      <c r="FV74" s="766"/>
      <c r="FW74" s="766"/>
      <c r="FX74" s="766"/>
      <c r="FY74" s="766"/>
      <c r="FZ74" s="766"/>
      <c r="GA74" s="766"/>
      <c r="GB74" s="766"/>
      <c r="GC74" s="75"/>
      <c r="GD74" s="25"/>
      <c r="GE74" s="766"/>
      <c r="GF74" s="775"/>
      <c r="GG74" s="775"/>
      <c r="GH74" s="766"/>
      <c r="GI74" s="766"/>
      <c r="GJ74" s="766"/>
      <c r="GK74" s="766"/>
      <c r="GL74" s="766"/>
      <c r="GM74" s="766"/>
      <c r="GN74" s="82"/>
      <c r="GO74" s="766"/>
      <c r="GP74" s="766"/>
      <c r="GQ74" s="766"/>
      <c r="GR74" s="766"/>
      <c r="GS74" s="766"/>
      <c r="GT74" s="766"/>
      <c r="GU74" s="766"/>
      <c r="GV74" s="766"/>
      <c r="GW74" s="766"/>
      <c r="GX74" s="766"/>
      <c r="GY74" s="766"/>
      <c r="GZ74" s="766"/>
      <c r="HA74" s="766"/>
      <c r="HB74" s="766"/>
      <c r="HC74" s="766"/>
      <c r="HD74" s="766"/>
      <c r="HE74" s="766"/>
      <c r="HF74" s="766"/>
      <c r="HG74" s="766"/>
      <c r="HH74" s="766"/>
      <c r="HI74" s="766"/>
      <c r="HJ74" s="766"/>
      <c r="HK74" s="766"/>
      <c r="HL74" s="766"/>
      <c r="HM74" s="766"/>
      <c r="HN74" s="766"/>
      <c r="HO74" s="766"/>
      <c r="HP74" s="766"/>
      <c r="HQ74" s="766"/>
      <c r="HR74" s="766"/>
      <c r="HS74" s="766"/>
      <c r="HT74" s="766"/>
      <c r="HU74" s="766"/>
      <c r="HV74" s="766"/>
      <c r="HW74" s="766"/>
      <c r="HX74" s="766"/>
      <c r="HY74" s="766"/>
      <c r="HZ74" s="766"/>
      <c r="IA74" s="766"/>
      <c r="IB74" s="14" t="e">
        <f>IF(#REF!&gt;0,IF(#REF!&lt;=10000,"Y",""),"")</f>
        <v>#REF!</v>
      </c>
      <c r="IC74" s="766"/>
      <c r="ID74" s="766"/>
      <c r="IE74" s="766"/>
      <c r="IF74" s="766" t="s">
        <v>11800</v>
      </c>
      <c r="IG74" s="766" t="s">
        <v>10</v>
      </c>
      <c r="IH74" s="766" t="s">
        <v>478</v>
      </c>
      <c r="II74" s="766" t="s">
        <v>11801</v>
      </c>
      <c r="IJ74" s="766" t="s">
        <v>1604</v>
      </c>
      <c r="IK74" s="766" t="s">
        <v>1888</v>
      </c>
      <c r="IL74" s="766" t="s">
        <v>11802</v>
      </c>
      <c r="IM74" s="766">
        <v>1995</v>
      </c>
      <c r="IN74" s="766" t="s">
        <v>11802</v>
      </c>
      <c r="IO74" s="24" t="s">
        <v>11803</v>
      </c>
      <c r="IP74" s="766" t="s">
        <v>478</v>
      </c>
      <c r="IQ74" s="766" t="s">
        <v>11804</v>
      </c>
      <c r="IR74" s="766" t="s">
        <v>1900</v>
      </c>
      <c r="IS74" s="766" t="s">
        <v>1883</v>
      </c>
      <c r="IT74" s="766"/>
      <c r="IU74" s="766" t="s">
        <v>1208</v>
      </c>
      <c r="IV74" s="766"/>
      <c r="IW74" s="766" t="s">
        <v>13088</v>
      </c>
      <c r="IX74" s="766"/>
      <c r="IY74" s="766" t="s">
        <v>12772</v>
      </c>
      <c r="IZ74" s="766"/>
      <c r="JA74" s="766" t="s">
        <v>1880</v>
      </c>
      <c r="JB74" s="766" t="s">
        <v>1901</v>
      </c>
      <c r="JC74" s="766">
        <v>1</v>
      </c>
      <c r="JD74" s="775">
        <v>8000</v>
      </c>
      <c r="JE74" s="766" t="s">
        <v>13089</v>
      </c>
      <c r="JF74" s="766">
        <v>1</v>
      </c>
      <c r="JG74" s="766"/>
      <c r="JH74" s="775">
        <v>8000</v>
      </c>
      <c r="JI74" s="712" t="str">
        <f>IF(SUM(JT74,JU74)=JJ74,"ok","review")</f>
        <v>ok</v>
      </c>
      <c r="JJ74" s="766">
        <v>4</v>
      </c>
      <c r="JK74" s="1139" t="s">
        <v>13090</v>
      </c>
      <c r="JL74" s="766"/>
      <c r="JM74" s="766"/>
      <c r="JN74" s="766">
        <v>1</v>
      </c>
      <c r="JO74" s="766">
        <v>3</v>
      </c>
      <c r="JP74" s="766"/>
      <c r="JQ74" s="766"/>
      <c r="JR74" s="766"/>
      <c r="JS74" s="766"/>
      <c r="JT74" s="766">
        <f>SUM(JP74,JN74,JL74,JR74)</f>
        <v>1</v>
      </c>
      <c r="JU74" s="766">
        <f>SUM(JQ74,JO74,JM74,JS74)</f>
        <v>3</v>
      </c>
      <c r="JV74" s="712" t="str">
        <f>IF(JT74=KJ74,"ok","male")</f>
        <v>ok</v>
      </c>
      <c r="JW74" s="712" t="str">
        <f>IF(JU74=KK74,"ok","female")</f>
        <v>ok</v>
      </c>
      <c r="JX74" s="766"/>
      <c r="JY74" s="766"/>
      <c r="JZ74" s="766"/>
      <c r="KA74" s="766"/>
      <c r="KB74" s="766"/>
      <c r="KC74" s="766">
        <v>2</v>
      </c>
      <c r="KD74" s="766">
        <v>1</v>
      </c>
      <c r="KE74" s="766">
        <v>1</v>
      </c>
      <c r="KF74" s="766"/>
      <c r="KG74" s="766"/>
      <c r="KH74" s="766"/>
      <c r="KI74" s="766"/>
      <c r="KJ74" s="770">
        <f>SUM(KF74,KD74,KB74,JZ74,JX74,KH74)</f>
        <v>1</v>
      </c>
      <c r="KK74" s="770">
        <f>SUM(KG74,KE74,KC74,KA74,JY74,KI74)</f>
        <v>3</v>
      </c>
      <c r="KL74" s="712" t="str">
        <f>IF(KJ74=LN74,"ok","male")</f>
        <v>ok</v>
      </c>
      <c r="KM74" s="712" t="str">
        <f>IF(KK74=LO74,"ok","female")</f>
        <v>ok</v>
      </c>
      <c r="KN74" s="766" t="s">
        <v>707</v>
      </c>
      <c r="KO74" s="766"/>
      <c r="KP74" s="766"/>
      <c r="KQ74" s="766"/>
      <c r="KR74" s="766"/>
      <c r="KS74" s="766"/>
      <c r="KT74" s="766"/>
      <c r="KU74" s="766"/>
      <c r="KV74" s="766"/>
      <c r="KW74" s="766">
        <v>1</v>
      </c>
      <c r="KX74" s="766"/>
      <c r="KY74" s="766"/>
      <c r="KZ74" s="766">
        <v>1</v>
      </c>
      <c r="LA74" s="766"/>
      <c r="LB74" s="766"/>
      <c r="LC74" s="766">
        <v>2</v>
      </c>
      <c r="LD74" s="766"/>
      <c r="LE74" s="766"/>
      <c r="LF74" s="766"/>
      <c r="LG74" s="766"/>
      <c r="LH74" s="766"/>
      <c r="LI74" s="766"/>
      <c r="LJ74" s="766"/>
      <c r="LK74" s="766"/>
      <c r="LL74" s="766"/>
      <c r="LM74" s="766"/>
      <c r="LN74" s="766">
        <f>SUM(KP74,KR74,KT74,KV74,KX74,KZ74,LB74,LD74,LF74,LH74,LJ74,LL74)</f>
        <v>1</v>
      </c>
      <c r="LO74" s="766">
        <f>SUM(KQ74,KS74,KU74,KW74,KY74,LA74,LC74,LE74,LG74,LI74,LK74,LM74)</f>
        <v>3</v>
      </c>
      <c r="LP74" s="766">
        <v>1</v>
      </c>
      <c r="LQ74" s="766"/>
      <c r="LR74" s="766"/>
      <c r="LS74" s="766">
        <v>1</v>
      </c>
      <c r="LT74" s="712" t="str">
        <f>IF(LQ74=SUM(LU74:LW74),"OK","REV")</f>
        <v>OK</v>
      </c>
      <c r="LU74" s="766"/>
      <c r="LV74" s="766"/>
      <c r="LW74" s="766"/>
      <c r="LX74" s="769">
        <v>1</v>
      </c>
      <c r="LY74" s="766" t="str">
        <f t="shared" si="12"/>
        <v>within the BRGY</v>
      </c>
      <c r="LZ74" s="66"/>
      <c r="MA74" s="66"/>
      <c r="MB74" s="66"/>
      <c r="MC74" s="1679">
        <f t="shared" si="13"/>
        <v>0</v>
      </c>
      <c r="MD74" s="66"/>
      <c r="ME74" s="66"/>
      <c r="MF74" s="66">
        <v>40000</v>
      </c>
      <c r="MG74" s="1680">
        <f t="shared" si="15"/>
        <v>40000</v>
      </c>
      <c r="MH74" s="766" t="s">
        <v>13091</v>
      </c>
      <c r="MI74" s="775">
        <v>21000</v>
      </c>
      <c r="MJ74" s="775"/>
      <c r="MK74" s="775"/>
      <c r="ML74" s="775">
        <v>6000</v>
      </c>
      <c r="MM74" s="775">
        <v>40000</v>
      </c>
      <c r="MN74" s="775">
        <v>1300</v>
      </c>
      <c r="MO74" s="775">
        <v>900</v>
      </c>
      <c r="MP74" s="775">
        <v>1200</v>
      </c>
      <c r="MQ74" s="775">
        <v>500</v>
      </c>
      <c r="MR74" s="775">
        <v>300</v>
      </c>
      <c r="MS74" s="775"/>
      <c r="MT74" s="775"/>
      <c r="MU74" s="775"/>
      <c r="MV74" s="775"/>
      <c r="MW74" s="775"/>
      <c r="MX74" s="775"/>
      <c r="MY74" s="1682">
        <f t="shared" si="14"/>
        <v>71200</v>
      </c>
      <c r="MZ74" s="766" t="s">
        <v>13092</v>
      </c>
      <c r="NA74" s="766" t="s">
        <v>1604</v>
      </c>
      <c r="NB74" s="766" t="s">
        <v>13033</v>
      </c>
      <c r="NC74" s="766" t="s">
        <v>13007</v>
      </c>
      <c r="ND74" s="766">
        <v>0</v>
      </c>
      <c r="NE74" s="766">
        <v>0</v>
      </c>
      <c r="NF74" s="766">
        <v>0</v>
      </c>
      <c r="NG74" s="766">
        <v>1</v>
      </c>
      <c r="NH74" s="766">
        <v>1</v>
      </c>
      <c r="NI74" s="766">
        <v>0</v>
      </c>
      <c r="NJ74" s="766">
        <v>0</v>
      </c>
      <c r="NK74" s="766">
        <v>0</v>
      </c>
      <c r="NL74" s="766">
        <v>0</v>
      </c>
      <c r="NM74" s="766">
        <v>0</v>
      </c>
      <c r="NN74" s="766">
        <v>0</v>
      </c>
      <c r="NO74" s="766">
        <v>0</v>
      </c>
      <c r="NP74" s="766">
        <v>0</v>
      </c>
      <c r="NQ74" s="766">
        <v>0</v>
      </c>
      <c r="NR74" s="766">
        <v>0</v>
      </c>
      <c r="NS74" s="766">
        <v>0</v>
      </c>
      <c r="NT74" s="766">
        <v>1</v>
      </c>
      <c r="NU74" s="766">
        <v>0</v>
      </c>
      <c r="NV74" s="766">
        <v>0</v>
      </c>
      <c r="NW74" s="766">
        <v>0</v>
      </c>
      <c r="NX74" s="766">
        <v>0</v>
      </c>
      <c r="NY74" s="766" t="s">
        <v>1208</v>
      </c>
      <c r="NZ74" s="766" t="s">
        <v>1208</v>
      </c>
      <c r="OA74" s="766"/>
      <c r="OB74" s="766"/>
      <c r="OC74" s="766" t="s">
        <v>1208</v>
      </c>
      <c r="OD74" s="766" t="s">
        <v>1208</v>
      </c>
      <c r="OE74" s="766"/>
      <c r="OF74" s="766" t="s">
        <v>13075</v>
      </c>
      <c r="OG74" s="766"/>
      <c r="OH74" s="766"/>
      <c r="OI74" s="766"/>
      <c r="OJ74" s="766"/>
      <c r="OK74" s="766"/>
      <c r="OL74" s="766"/>
      <c r="OM74" s="766"/>
      <c r="ON74" s="766"/>
      <c r="OO74" s="766"/>
      <c r="OP74" s="766"/>
      <c r="OQ74" s="766"/>
      <c r="OR74" s="766"/>
      <c r="OS74" s="766"/>
      <c r="OT74" s="766"/>
      <c r="OU74" s="766"/>
      <c r="OV74" s="766"/>
      <c r="OW74" s="766"/>
      <c r="OX74" s="766"/>
      <c r="OY74" s="766"/>
      <c r="OZ74" s="766"/>
      <c r="PA74" s="766"/>
      <c r="PB74" s="766"/>
      <c r="PC74" s="766"/>
      <c r="PD74" s="766"/>
      <c r="PE74" s="766"/>
      <c r="PF74" s="766"/>
      <c r="PG74" s="766"/>
      <c r="PH74" s="766"/>
      <c r="PI74" s="766"/>
      <c r="PJ74" s="766"/>
      <c r="PK74" s="766"/>
      <c r="PL74" s="766"/>
      <c r="PM74" s="766" t="s">
        <v>1208</v>
      </c>
      <c r="PN74" s="766"/>
      <c r="PO74" s="766"/>
      <c r="PP74" s="766"/>
      <c r="PQ74" s="766"/>
      <c r="PR74" s="766"/>
      <c r="PS74" s="766"/>
      <c r="PT74" s="766"/>
      <c r="PU74" s="766"/>
      <c r="PV74" s="766"/>
      <c r="PW74" s="766"/>
      <c r="PX74" s="766"/>
      <c r="PY74" s="766"/>
      <c r="PZ74" s="766"/>
      <c r="QA74" s="766"/>
      <c r="QB74" s="766"/>
      <c r="QC74" s="766"/>
      <c r="QD74" s="766"/>
      <c r="QE74" s="766"/>
      <c r="QF74" s="766"/>
      <c r="QG74" s="766"/>
      <c r="QH74" s="766"/>
      <c r="QI74" s="766"/>
      <c r="QJ74" s="766"/>
      <c r="QK74" s="766"/>
      <c r="QL74" s="766"/>
      <c r="QM74" s="766"/>
      <c r="QN74" s="766"/>
      <c r="QO74" s="766"/>
      <c r="QP74" s="766"/>
      <c r="QQ74" s="766"/>
      <c r="QR74" s="766"/>
      <c r="QS74" s="766"/>
      <c r="QT74" s="766"/>
      <c r="QU74" s="766"/>
      <c r="QV74" s="766"/>
      <c r="QW74" s="766"/>
      <c r="QX74" s="766"/>
      <c r="QY74" s="766"/>
      <c r="QZ74" s="766"/>
      <c r="RA74" s="766"/>
      <c r="RB74" s="766" t="s">
        <v>1214</v>
      </c>
      <c r="RC74" s="766"/>
      <c r="RD74" s="766"/>
      <c r="RE74" s="766"/>
      <c r="RF74" s="777"/>
      <c r="RG74" s="766"/>
      <c r="RH74" s="775"/>
      <c r="RI74" s="766"/>
      <c r="RJ74" s="766" t="s">
        <v>13093</v>
      </c>
      <c r="RK74" s="766" t="s">
        <v>13094</v>
      </c>
      <c r="RL74" s="1683">
        <v>42914</v>
      </c>
      <c r="RM74" s="12" t="s">
        <v>13095</v>
      </c>
      <c r="RN74" s="1683">
        <v>42914</v>
      </c>
      <c r="RO74" s="167" t="s">
        <v>11791</v>
      </c>
      <c r="RP74" s="11"/>
      <c r="RQ74" s="11"/>
      <c r="RR74" s="343" t="s">
        <v>12386</v>
      </c>
      <c r="RS74" s="1139" t="s">
        <v>12980</v>
      </c>
      <c r="RT74" s="11"/>
      <c r="RU74" s="11"/>
      <c r="RV74" s="766" t="s">
        <v>7421</v>
      </c>
      <c r="RW74" s="11" t="s">
        <v>13096</v>
      </c>
      <c r="RX74" s="11" t="s">
        <v>71</v>
      </c>
      <c r="RY74" s="11"/>
      <c r="RZ74" s="11" t="s">
        <v>7419</v>
      </c>
      <c r="SA74" s="766"/>
      <c r="SB74" s="11"/>
      <c r="SC74" s="11"/>
    </row>
    <row r="75" spans="1:497" ht="12.75" hidden="1" customHeight="1">
      <c r="A75" s="19" t="s">
        <v>7419</v>
      </c>
      <c r="B75" s="288" t="s">
        <v>12587</v>
      </c>
      <c r="C75" s="167" t="s">
        <v>75</v>
      </c>
      <c r="D75" s="766"/>
      <c r="E75" s="766" t="s">
        <v>94</v>
      </c>
      <c r="F75" s="766"/>
      <c r="G75" s="766"/>
      <c r="H75" s="766"/>
      <c r="I75" s="5"/>
      <c r="J75" s="766"/>
      <c r="K75" s="770"/>
      <c r="L75" s="770"/>
      <c r="M75" s="770"/>
      <c r="N75" s="1757"/>
      <c r="O75" s="1757"/>
      <c r="P75" s="94"/>
      <c r="Q75" s="1085"/>
      <c r="R75" s="25"/>
      <c r="S75" s="766"/>
      <c r="T75" s="766"/>
      <c r="U75" s="26"/>
      <c r="V75" s="766"/>
      <c r="W75" s="766"/>
      <c r="X75" s="24"/>
      <c r="Y75" s="766"/>
      <c r="Z75" s="766"/>
      <c r="AA75" s="766"/>
      <c r="AB75" s="766"/>
      <c r="AC75" s="766"/>
      <c r="AD75" s="766"/>
      <c r="AE75" s="766"/>
      <c r="AF75" s="766"/>
      <c r="AG75" s="766" t="s">
        <v>1095</v>
      </c>
      <c r="AH75" s="766" t="s">
        <v>1119</v>
      </c>
      <c r="AI75" s="766" t="s">
        <v>1123</v>
      </c>
      <c r="AJ75" s="766"/>
      <c r="AK75" s="766" t="s">
        <v>1097</v>
      </c>
      <c r="AL75" s="121">
        <v>20000</v>
      </c>
      <c r="AM75" s="773">
        <v>793.5</v>
      </c>
      <c r="AN75" s="37">
        <f>AM75/AL75</f>
        <v>3.9675000000000002E-2</v>
      </c>
      <c r="AO75" s="766" t="s">
        <v>1098</v>
      </c>
      <c r="AP75" s="766"/>
      <c r="AQ75" s="766"/>
      <c r="AR75" s="766"/>
      <c r="AS75" s="766" t="s">
        <v>1207</v>
      </c>
      <c r="AT75" s="766"/>
      <c r="AU75" s="766"/>
      <c r="AV75" s="766"/>
      <c r="AW75" s="766"/>
      <c r="AX75" s="13"/>
      <c r="AY75" s="766"/>
      <c r="AZ75" s="766"/>
      <c r="BA75" s="766"/>
      <c r="BB75" s="766"/>
      <c r="BC75" s="766"/>
      <c r="BD75" s="766"/>
      <c r="BE75" s="766"/>
      <c r="BF75" s="775"/>
      <c r="BG75" s="775"/>
      <c r="BH75" s="766"/>
      <c r="BI75" s="766"/>
      <c r="BJ75" s="766"/>
      <c r="BK75" s="766"/>
      <c r="BL75" s="766"/>
      <c r="BM75" s="766"/>
      <c r="BN75" s="766"/>
      <c r="BO75" s="766"/>
      <c r="BP75" s="780"/>
      <c r="BQ75" s="773"/>
      <c r="BR75" s="774"/>
      <c r="BS75" s="766"/>
      <c r="BT75" s="770"/>
      <c r="BU75" s="770"/>
      <c r="BV75" s="770"/>
      <c r="BW75" s="769"/>
      <c r="BX75" s="779"/>
      <c r="BY75" s="766"/>
      <c r="BZ75" s="775"/>
      <c r="CA75" s="766"/>
      <c r="CB75" s="766" t="s">
        <v>1207</v>
      </c>
      <c r="CC75" s="766" t="s">
        <v>8132</v>
      </c>
      <c r="CD75" s="766"/>
      <c r="CE75" s="766"/>
      <c r="CF75" s="231">
        <v>2.8</v>
      </c>
      <c r="CG75" s="231">
        <v>30</v>
      </c>
      <c r="CH75" s="766" t="s">
        <v>1451</v>
      </c>
      <c r="CI75" s="766"/>
      <c r="CJ75" s="766"/>
      <c r="CK75" s="766">
        <v>7</v>
      </c>
      <c r="CL75" s="766"/>
      <c r="CM75" s="766" t="s">
        <v>1452</v>
      </c>
      <c r="CN75" s="766"/>
      <c r="CO75" s="766"/>
      <c r="CP75" s="766"/>
      <c r="CQ75" s="766"/>
      <c r="CR75" s="775"/>
      <c r="CS75" s="766"/>
      <c r="CT75" s="766"/>
      <c r="CU75" s="129"/>
      <c r="CV75" s="766"/>
      <c r="CW75" s="766"/>
      <c r="CX75" s="766"/>
      <c r="CY75" s="766"/>
      <c r="CZ75" s="766"/>
      <c r="DA75" s="766"/>
      <c r="DB75" s="766"/>
      <c r="DC75" s="766"/>
      <c r="DD75" s="766"/>
      <c r="DE75" s="766"/>
      <c r="DF75" s="766"/>
      <c r="DG75" s="766"/>
      <c r="DH75" s="766"/>
      <c r="DI75" s="766"/>
      <c r="DJ75" s="766"/>
      <c r="DK75" s="766"/>
      <c r="DL75" s="766"/>
      <c r="DM75" s="766"/>
      <c r="DN75" s="766"/>
      <c r="DO75" s="766"/>
      <c r="DP75" s="766"/>
      <c r="DQ75" s="766"/>
      <c r="DR75" s="766"/>
      <c r="DS75" s="59"/>
      <c r="DT75" s="766"/>
      <c r="DU75" s="766"/>
      <c r="DV75" s="766"/>
      <c r="DW75" s="66"/>
      <c r="DX75" s="66"/>
      <c r="DY75" s="766"/>
      <c r="DZ75" s="766"/>
      <c r="EA75" s="766"/>
      <c r="EB75" s="766"/>
      <c r="EC75" s="766"/>
      <c r="ED75" s="766"/>
      <c r="EE75" s="766"/>
      <c r="EF75" s="766"/>
      <c r="EG75" s="766"/>
      <c r="EH75" s="766"/>
      <c r="EI75" s="766"/>
      <c r="EJ75" s="766"/>
      <c r="EK75" s="766"/>
      <c r="EL75" s="766"/>
      <c r="EM75" s="766"/>
      <c r="EN75" s="766"/>
      <c r="EO75" s="766"/>
      <c r="EP75" s="766"/>
      <c r="EQ75" s="766"/>
      <c r="ER75" s="766"/>
      <c r="ES75" s="766"/>
      <c r="ET75" s="766"/>
      <c r="EU75" s="766"/>
      <c r="EV75" s="766"/>
      <c r="EW75" s="766"/>
      <c r="EX75" s="766"/>
      <c r="EY75" s="766"/>
      <c r="EZ75" s="766"/>
      <c r="FA75" s="766"/>
      <c r="FB75" s="766"/>
      <c r="FC75" s="766"/>
      <c r="FD75" s="775"/>
      <c r="FE75" s="766"/>
      <c r="FF75" s="766"/>
      <c r="FG75" s="766"/>
      <c r="FH75" s="766"/>
      <c r="FI75" s="766"/>
      <c r="FJ75" s="766"/>
      <c r="FK75" s="766"/>
      <c r="FL75" s="766"/>
      <c r="FM75" s="775"/>
      <c r="FN75" s="775"/>
      <c r="FO75" s="775"/>
      <c r="FP75" s="766"/>
      <c r="FQ75" s="766"/>
      <c r="FR75" s="766"/>
      <c r="FS75" s="766"/>
      <c r="FT75" s="766"/>
      <c r="FU75" s="766"/>
      <c r="FV75" s="766"/>
      <c r="FW75" s="766"/>
      <c r="FX75" s="766"/>
      <c r="FY75" s="766"/>
      <c r="FZ75" s="766"/>
      <c r="GA75" s="766"/>
      <c r="GB75" s="766"/>
      <c r="GC75" s="75"/>
      <c r="GD75" s="25"/>
      <c r="GE75" s="766"/>
      <c r="GF75" s="775"/>
      <c r="GG75" s="775"/>
      <c r="GH75" s="766"/>
      <c r="GI75" s="766"/>
      <c r="GJ75" s="766"/>
      <c r="GK75" s="766"/>
      <c r="GL75" s="766"/>
      <c r="GM75" s="766"/>
      <c r="GN75" s="82"/>
      <c r="GO75" s="766"/>
      <c r="GP75" s="766"/>
      <c r="GQ75" s="766"/>
      <c r="GR75" s="766"/>
      <c r="GS75" s="766"/>
      <c r="GT75" s="766"/>
      <c r="GU75" s="766"/>
      <c r="GV75" s="766"/>
      <c r="GW75" s="766"/>
      <c r="GX75" s="766"/>
      <c r="GY75" s="766"/>
      <c r="GZ75" s="766"/>
      <c r="HA75" s="766"/>
      <c r="HB75" s="766"/>
      <c r="HC75" s="766"/>
      <c r="HD75" s="766"/>
      <c r="HE75" s="766"/>
      <c r="HF75" s="766"/>
      <c r="HG75" s="766"/>
      <c r="HH75" s="766"/>
      <c r="HI75" s="766"/>
      <c r="HJ75" s="766"/>
      <c r="HK75" s="766"/>
      <c r="HL75" s="766"/>
      <c r="HM75" s="766"/>
      <c r="HN75" s="766"/>
      <c r="HO75" s="766"/>
      <c r="HP75" s="766"/>
      <c r="HQ75" s="766"/>
      <c r="HR75" s="766">
        <v>1</v>
      </c>
      <c r="HS75" s="766"/>
      <c r="HT75" s="766"/>
      <c r="HU75" s="766"/>
      <c r="HV75" s="766"/>
      <c r="HW75" s="766"/>
      <c r="HX75" s="766"/>
      <c r="HY75" s="766"/>
      <c r="HZ75" s="766"/>
      <c r="IA75" s="766"/>
      <c r="IB75" s="766"/>
      <c r="IC75" s="766"/>
      <c r="ID75" s="766"/>
      <c r="IE75" s="766"/>
      <c r="IF75" s="766"/>
      <c r="IG75" s="766"/>
      <c r="IH75" s="766"/>
      <c r="II75" s="766"/>
      <c r="IJ75" s="766"/>
      <c r="IK75" s="766"/>
      <c r="IL75" s="766"/>
      <c r="IM75" s="766"/>
      <c r="IN75" s="766"/>
      <c r="IO75" s="24"/>
      <c r="IP75" s="766"/>
      <c r="IQ75" s="766"/>
      <c r="IR75" s="766"/>
      <c r="IS75" s="766"/>
      <c r="IT75" s="766"/>
      <c r="IU75" s="766"/>
      <c r="IV75" s="766"/>
      <c r="IW75" s="766"/>
      <c r="IX75" s="766"/>
      <c r="IY75" s="766"/>
      <c r="IZ75" s="766"/>
      <c r="JA75" s="766"/>
      <c r="JB75" s="766"/>
      <c r="JC75" s="766"/>
      <c r="JD75" s="775"/>
      <c r="JE75" s="766"/>
      <c r="JF75" s="766"/>
      <c r="JG75" s="766"/>
      <c r="JH75" s="775"/>
      <c r="JI75" s="775"/>
      <c r="JJ75" s="766"/>
      <c r="JK75" s="766"/>
      <c r="JL75" s="766"/>
      <c r="JM75" s="766"/>
      <c r="JN75" s="766"/>
      <c r="JO75" s="766"/>
      <c r="JP75" s="766"/>
      <c r="JQ75" s="766"/>
      <c r="JR75" s="766"/>
      <c r="JS75" s="766"/>
      <c r="JT75" s="766"/>
      <c r="JU75" s="766"/>
      <c r="JV75" s="766"/>
      <c r="JW75" s="766"/>
      <c r="JX75" s="766"/>
      <c r="JY75" s="766"/>
      <c r="JZ75" s="766"/>
      <c r="KA75" s="766"/>
      <c r="KB75" s="766"/>
      <c r="KC75" s="766"/>
      <c r="KD75" s="766"/>
      <c r="KE75" s="766"/>
      <c r="KF75" s="766"/>
      <c r="KG75" s="766"/>
      <c r="KH75" s="766"/>
      <c r="KI75" s="766"/>
      <c r="KJ75" s="770"/>
      <c r="KK75" s="770"/>
      <c r="KL75" s="770"/>
      <c r="KM75" s="770"/>
      <c r="KN75" s="766"/>
      <c r="KO75" s="766"/>
      <c r="KP75" s="766"/>
      <c r="KQ75" s="766"/>
      <c r="KR75" s="766"/>
      <c r="KS75" s="766"/>
      <c r="KT75" s="766"/>
      <c r="KU75" s="766"/>
      <c r="KV75" s="766"/>
      <c r="KW75" s="766"/>
      <c r="KX75" s="766"/>
      <c r="KY75" s="766"/>
      <c r="KZ75" s="766"/>
      <c r="LA75" s="766"/>
      <c r="LB75" s="766"/>
      <c r="LC75" s="766"/>
      <c r="LD75" s="766"/>
      <c r="LE75" s="766"/>
      <c r="LF75" s="766"/>
      <c r="LG75" s="766"/>
      <c r="LH75" s="766"/>
      <c r="LI75" s="766"/>
      <c r="LJ75" s="766"/>
      <c r="LK75" s="766"/>
      <c r="LL75" s="766"/>
      <c r="LM75" s="766"/>
      <c r="LN75" s="766"/>
      <c r="LO75" s="766"/>
      <c r="LP75" s="766"/>
      <c r="LQ75" s="766"/>
      <c r="LR75" s="766"/>
      <c r="LS75" s="766"/>
      <c r="LT75" s="766"/>
      <c r="LU75" s="766"/>
      <c r="LV75" s="766"/>
      <c r="LW75" s="766"/>
      <c r="LX75" s="769"/>
      <c r="LY75" s="766" t="str">
        <f t="shared" si="12"/>
        <v/>
      </c>
      <c r="LZ75" s="66"/>
      <c r="MA75" s="66"/>
      <c r="MB75" s="66"/>
      <c r="MC75" s="1679">
        <f t="shared" si="13"/>
        <v>0</v>
      </c>
      <c r="MD75" s="66"/>
      <c r="ME75" s="66"/>
      <c r="MF75" s="66"/>
      <c r="MG75" s="1680">
        <f t="shared" si="15"/>
        <v>0</v>
      </c>
      <c r="MH75" s="766"/>
      <c r="MI75" s="775"/>
      <c r="MJ75" s="775"/>
      <c r="MK75" s="775"/>
      <c r="ML75" s="775"/>
      <c r="MM75" s="775"/>
      <c r="MN75" s="775"/>
      <c r="MO75" s="775"/>
      <c r="MP75" s="775"/>
      <c r="MQ75" s="775"/>
      <c r="MR75" s="775"/>
      <c r="MS75" s="775"/>
      <c r="MT75" s="775"/>
      <c r="MU75" s="775"/>
      <c r="MV75" s="775"/>
      <c r="MW75" s="775"/>
      <c r="MX75" s="775"/>
      <c r="MY75" s="1682">
        <f t="shared" si="14"/>
        <v>0</v>
      </c>
      <c r="MZ75" s="766"/>
      <c r="NA75" s="766"/>
      <c r="NB75" s="766"/>
      <c r="NC75" s="766"/>
      <c r="ND75" s="766"/>
      <c r="NE75" s="766"/>
      <c r="NF75" s="766"/>
      <c r="NG75" s="766"/>
      <c r="NH75" s="766"/>
      <c r="NI75" s="766"/>
      <c r="NJ75" s="766"/>
      <c r="NK75" s="766"/>
      <c r="NL75" s="766"/>
      <c r="NM75" s="766"/>
      <c r="NN75" s="766"/>
      <c r="NO75" s="766"/>
      <c r="NP75" s="766"/>
      <c r="NQ75" s="766"/>
      <c r="NR75" s="766"/>
      <c r="NS75" s="766"/>
      <c r="NT75" s="766"/>
      <c r="NU75" s="766"/>
      <c r="NV75" s="766"/>
      <c r="NW75" s="766"/>
      <c r="NX75" s="766"/>
      <c r="NY75" s="766"/>
      <c r="NZ75" s="766"/>
      <c r="OA75" s="766"/>
      <c r="OB75" s="766"/>
      <c r="OC75" s="766"/>
      <c r="OD75" s="766"/>
      <c r="OE75" s="766"/>
      <c r="OF75" s="766"/>
      <c r="OG75" s="766"/>
      <c r="OH75" s="766"/>
      <c r="OI75" s="766"/>
      <c r="OJ75" s="766"/>
      <c r="OK75" s="766"/>
      <c r="OL75" s="766"/>
      <c r="OM75" s="766"/>
      <c r="ON75" s="766"/>
      <c r="OO75" s="766"/>
      <c r="OP75" s="766"/>
      <c r="OQ75" s="766"/>
      <c r="OR75" s="766"/>
      <c r="OS75" s="766"/>
      <c r="OT75" s="766"/>
      <c r="OU75" s="766"/>
      <c r="OV75" s="766"/>
      <c r="OW75" s="766"/>
      <c r="OX75" s="766"/>
      <c r="OY75" s="766"/>
      <c r="OZ75" s="766"/>
      <c r="PA75" s="766"/>
      <c r="PB75" s="766"/>
      <c r="PC75" s="766"/>
      <c r="PD75" s="766"/>
      <c r="PE75" s="766"/>
      <c r="PF75" s="766"/>
      <c r="PG75" s="766"/>
      <c r="PH75" s="766"/>
      <c r="PI75" s="766"/>
      <c r="PJ75" s="766"/>
      <c r="PK75" s="766"/>
      <c r="PL75" s="766"/>
      <c r="PM75" s="766"/>
      <c r="PN75" s="766"/>
      <c r="PO75" s="766"/>
      <c r="PP75" s="766"/>
      <c r="PQ75" s="766"/>
      <c r="PR75" s="766"/>
      <c r="PS75" s="766"/>
      <c r="PT75" s="766"/>
      <c r="PU75" s="766"/>
      <c r="PV75" s="766"/>
      <c r="PW75" s="766"/>
      <c r="PX75" s="766"/>
      <c r="PY75" s="766"/>
      <c r="PZ75" s="766"/>
      <c r="QA75" s="766"/>
      <c r="QB75" s="766"/>
      <c r="QC75" s="766"/>
      <c r="QD75" s="766"/>
      <c r="QE75" s="766"/>
      <c r="QF75" s="766"/>
      <c r="QG75" s="766"/>
      <c r="QH75" s="766"/>
      <c r="QI75" s="766"/>
      <c r="QJ75" s="766"/>
      <c r="QK75" s="766"/>
      <c r="QL75" s="766"/>
      <c r="QM75" s="766"/>
      <c r="QN75" s="766"/>
      <c r="QO75" s="766"/>
      <c r="QP75" s="766"/>
      <c r="QQ75" s="766"/>
      <c r="QR75" s="766"/>
      <c r="QS75" s="766"/>
      <c r="QT75" s="766"/>
      <c r="QU75" s="766"/>
      <c r="QV75" s="766"/>
      <c r="QW75" s="766"/>
      <c r="QX75" s="766"/>
      <c r="QY75" s="766"/>
      <c r="QZ75" s="766"/>
      <c r="RA75" s="766"/>
      <c r="RB75" s="766"/>
      <c r="RC75" s="766"/>
      <c r="RD75" s="766"/>
      <c r="RE75" s="766"/>
      <c r="RF75" s="777"/>
      <c r="RG75" s="766"/>
      <c r="RH75" s="775"/>
      <c r="RI75" s="766"/>
      <c r="RJ75" s="766"/>
      <c r="RK75" s="766"/>
      <c r="RL75" s="1683"/>
      <c r="RM75" s="12"/>
      <c r="RN75" s="1711"/>
      <c r="RO75" s="167" t="s">
        <v>75</v>
      </c>
      <c r="RP75" s="11"/>
      <c r="RQ75" s="11"/>
      <c r="RR75" s="17"/>
      <c r="RS75" s="766"/>
      <c r="RT75" s="11"/>
      <c r="RU75" s="11"/>
      <c r="RV75" s="766" t="s">
        <v>7419</v>
      </c>
      <c r="RW75" s="11" t="s">
        <v>12274</v>
      </c>
      <c r="RX75" s="11" t="s">
        <v>75</v>
      </c>
      <c r="RY75" s="11"/>
      <c r="RZ75" s="11" t="s">
        <v>7419</v>
      </c>
      <c r="SA75" s="766"/>
      <c r="SB75" s="11"/>
      <c r="SC75" s="11"/>
    </row>
    <row r="76" spans="1:497" ht="12.75" hidden="1" customHeight="1">
      <c r="A76" s="19" t="s">
        <v>12387</v>
      </c>
      <c r="B76" s="288" t="s">
        <v>12277</v>
      </c>
      <c r="C76" s="167" t="s">
        <v>76</v>
      </c>
      <c r="D76" s="14"/>
      <c r="E76" s="766" t="s">
        <v>94</v>
      </c>
      <c r="F76" s="766"/>
      <c r="G76" s="766"/>
      <c r="H76" s="766"/>
      <c r="I76" s="5"/>
      <c r="J76" s="766"/>
      <c r="K76" s="766" t="s">
        <v>77</v>
      </c>
      <c r="L76" s="766" t="s">
        <v>78</v>
      </c>
      <c r="M76" s="766"/>
      <c r="N76" s="766"/>
      <c r="O76" s="766" t="s">
        <v>79</v>
      </c>
      <c r="P76" s="766"/>
      <c r="Q76" s="1085"/>
      <c r="R76" s="25"/>
      <c r="S76" s="766"/>
      <c r="T76" s="766"/>
      <c r="U76" s="26"/>
      <c r="V76" s="766"/>
      <c r="W76" s="766"/>
      <c r="X76" s="24"/>
      <c r="Y76" s="766"/>
      <c r="Z76" s="766"/>
      <c r="AA76" s="766"/>
      <c r="AB76" s="766"/>
      <c r="AC76" s="766"/>
      <c r="AD76" s="766"/>
      <c r="AE76" s="766"/>
      <c r="AF76" s="766"/>
      <c r="AG76" s="766"/>
      <c r="AH76" s="766"/>
      <c r="AI76" s="766"/>
      <c r="AJ76" s="766"/>
      <c r="AK76" s="766"/>
      <c r="AL76" s="121"/>
      <c r="AM76" s="773"/>
      <c r="AN76" s="37"/>
      <c r="AO76" s="766"/>
      <c r="AP76" s="766"/>
      <c r="AQ76" s="766"/>
      <c r="AR76" s="766"/>
      <c r="AS76" s="766" t="s">
        <v>1207</v>
      </c>
      <c r="AT76" s="766"/>
      <c r="AU76" s="766"/>
      <c r="AV76" s="766"/>
      <c r="AW76" s="766"/>
      <c r="AX76" s="13"/>
      <c r="AY76" s="766"/>
      <c r="AZ76" s="766"/>
      <c r="BA76" s="766"/>
      <c r="BB76" s="766"/>
      <c r="BC76" s="766"/>
      <c r="BD76" s="766"/>
      <c r="BE76" s="766"/>
      <c r="BF76" s="775"/>
      <c r="BG76" s="775"/>
      <c r="BH76" s="766"/>
      <c r="BI76" s="766"/>
      <c r="BJ76" s="766"/>
      <c r="BK76" s="766" t="s">
        <v>1095</v>
      </c>
      <c r="BL76" s="766" t="s">
        <v>1123</v>
      </c>
      <c r="BM76" s="766" t="s">
        <v>1119</v>
      </c>
      <c r="BN76" s="766" t="s">
        <v>1230</v>
      </c>
      <c r="BO76" s="766" t="s">
        <v>1246</v>
      </c>
      <c r="BP76" s="776">
        <v>720</v>
      </c>
      <c r="BQ76" s="1136">
        <v>144</v>
      </c>
      <c r="BR76" s="774">
        <f>BQ76/BP76</f>
        <v>0.2</v>
      </c>
      <c r="BS76" s="6" t="s">
        <v>1149</v>
      </c>
      <c r="BT76" s="766" t="s">
        <v>2040</v>
      </c>
      <c r="BU76" s="766" t="s">
        <v>1304</v>
      </c>
      <c r="BV76" s="766" t="s">
        <v>1247</v>
      </c>
      <c r="BW76" s="769"/>
      <c r="BX76" s="779"/>
      <c r="BY76" s="766"/>
      <c r="BZ76" s="775"/>
      <c r="CA76" s="12"/>
      <c r="CB76" s="12"/>
      <c r="CC76" s="12"/>
      <c r="CD76" s="12"/>
      <c r="CE76" s="12"/>
      <c r="CF76" s="782"/>
      <c r="CG76" s="782"/>
      <c r="CH76" s="12"/>
      <c r="CI76" s="12"/>
      <c r="CJ76" s="12"/>
      <c r="CK76" s="12"/>
      <c r="CL76" s="12"/>
      <c r="CM76" s="12"/>
      <c r="CN76" s="12"/>
      <c r="CO76" s="12"/>
      <c r="CP76" s="12"/>
      <c r="CQ76" s="12"/>
      <c r="CR76" s="12"/>
      <c r="CS76" s="12"/>
      <c r="CT76" s="12"/>
      <c r="CU76" s="1726"/>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727"/>
      <c r="DT76" s="12"/>
      <c r="DU76" s="12"/>
      <c r="DV76" s="12"/>
      <c r="DW76" s="1728"/>
      <c r="DX76" s="1728"/>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31"/>
      <c r="FE76" s="12"/>
      <c r="FF76" s="12"/>
      <c r="FG76" s="12"/>
      <c r="FH76" s="766"/>
      <c r="FI76" s="766"/>
      <c r="FJ76" s="766"/>
      <c r="FK76" s="766"/>
      <c r="FL76" s="766"/>
      <c r="FM76" s="775"/>
      <c r="FN76" s="775"/>
      <c r="FO76" s="775"/>
      <c r="FP76" s="766" t="s">
        <v>1602</v>
      </c>
      <c r="FQ76" s="766" t="s">
        <v>1660</v>
      </c>
      <c r="FR76" s="766"/>
      <c r="FS76" s="766"/>
      <c r="FT76" s="766"/>
      <c r="FU76" s="766"/>
      <c r="FV76" s="766"/>
      <c r="FW76" s="766"/>
      <c r="FX76" s="766"/>
      <c r="FY76" s="766"/>
      <c r="FZ76" s="766"/>
      <c r="GA76" s="766"/>
      <c r="GB76" s="766"/>
      <c r="GC76" s="75"/>
      <c r="GD76" s="25"/>
      <c r="GE76" s="766"/>
      <c r="GF76" s="775"/>
      <c r="GG76" s="775"/>
      <c r="GH76" s="766"/>
      <c r="GI76" s="766"/>
      <c r="GJ76" s="766"/>
      <c r="GK76" s="766"/>
      <c r="GL76" s="766"/>
      <c r="GM76" s="766"/>
      <c r="GN76" s="82"/>
      <c r="GO76" s="766"/>
      <c r="GP76" s="766"/>
      <c r="GQ76" s="766"/>
      <c r="GR76" s="766"/>
      <c r="GS76" s="766"/>
      <c r="GT76" s="766"/>
      <c r="GU76" s="766"/>
      <c r="GV76" s="766"/>
      <c r="GW76" s="766"/>
      <c r="GX76" s="766"/>
      <c r="GY76" s="766"/>
      <c r="GZ76" s="766"/>
      <c r="HA76" s="766"/>
      <c r="HB76" s="766"/>
      <c r="HC76" s="766"/>
      <c r="HD76" s="766"/>
      <c r="HE76" s="766"/>
      <c r="HF76" s="766"/>
      <c r="HG76" s="766"/>
      <c r="HH76" s="766"/>
      <c r="HI76" s="766"/>
      <c r="HJ76" s="766"/>
      <c r="HK76" s="766"/>
      <c r="HL76" s="766"/>
      <c r="HM76" s="766"/>
      <c r="HN76" s="766"/>
      <c r="HO76" s="766"/>
      <c r="HP76" s="766"/>
      <c r="HQ76" s="766"/>
      <c r="HR76" s="12"/>
      <c r="HS76" s="12"/>
      <c r="HT76" s="12"/>
      <c r="HU76" s="12"/>
      <c r="HV76" s="766"/>
      <c r="HW76" s="766"/>
      <c r="HX76" s="766"/>
      <c r="HY76" s="766"/>
      <c r="HZ76" s="766"/>
      <c r="IA76" s="766"/>
      <c r="IB76" s="766"/>
      <c r="IC76" s="766"/>
      <c r="ID76" s="766"/>
      <c r="IE76" s="766"/>
      <c r="IF76" s="766"/>
      <c r="IG76" s="766"/>
      <c r="IH76" s="766"/>
      <c r="II76" s="766"/>
      <c r="IJ76" s="766" t="s">
        <v>8132</v>
      </c>
      <c r="IK76" s="766"/>
      <c r="IL76" s="766"/>
      <c r="IM76" s="766"/>
      <c r="IN76" s="766"/>
      <c r="IO76" s="24"/>
      <c r="IP76" s="766"/>
      <c r="IQ76" s="769" t="s">
        <v>8147</v>
      </c>
      <c r="IR76" s="766"/>
      <c r="IS76" s="766"/>
      <c r="IT76" s="766"/>
      <c r="IU76" s="766"/>
      <c r="IV76" s="766"/>
      <c r="IW76" s="766"/>
      <c r="IX76" s="766"/>
      <c r="IY76" s="766"/>
      <c r="IZ76" s="766"/>
      <c r="JA76" s="766"/>
      <c r="JB76" s="766"/>
      <c r="JC76" s="766"/>
      <c r="JD76" s="775"/>
      <c r="JE76" s="766"/>
      <c r="JF76" s="766"/>
      <c r="JG76" s="766"/>
      <c r="JH76" s="775"/>
      <c r="JI76" s="775"/>
      <c r="JJ76" s="766"/>
      <c r="JK76" s="766"/>
      <c r="JL76" s="766"/>
      <c r="JM76" s="766"/>
      <c r="JN76" s="766"/>
      <c r="JO76" s="766"/>
      <c r="JP76" s="766"/>
      <c r="JQ76" s="766"/>
      <c r="JR76" s="766"/>
      <c r="JS76" s="766"/>
      <c r="JT76" s="766"/>
      <c r="JU76" s="766"/>
      <c r="JV76" s="766"/>
      <c r="JW76" s="766"/>
      <c r="JX76" s="766"/>
      <c r="JY76" s="766"/>
      <c r="JZ76" s="766"/>
      <c r="KA76" s="766"/>
      <c r="KB76" s="766"/>
      <c r="KC76" s="766"/>
      <c r="KD76" s="766"/>
      <c r="KE76" s="766"/>
      <c r="KF76" s="766"/>
      <c r="KG76" s="766"/>
      <c r="KH76" s="766"/>
      <c r="KI76" s="766"/>
      <c r="KJ76" s="770"/>
      <c r="KK76" s="770"/>
      <c r="KL76" s="770"/>
      <c r="KM76" s="770"/>
      <c r="KN76" s="766"/>
      <c r="KO76" s="766"/>
      <c r="KP76" s="766"/>
      <c r="KQ76" s="766"/>
      <c r="KR76" s="766"/>
      <c r="KS76" s="766"/>
      <c r="KT76" s="766"/>
      <c r="KU76" s="766"/>
      <c r="KV76" s="766"/>
      <c r="KW76" s="766"/>
      <c r="KX76" s="766"/>
      <c r="KY76" s="766"/>
      <c r="KZ76" s="766"/>
      <c r="LA76" s="766"/>
      <c r="LB76" s="766"/>
      <c r="LC76" s="766"/>
      <c r="LD76" s="766"/>
      <c r="LE76" s="766"/>
      <c r="LF76" s="766"/>
      <c r="LG76" s="766"/>
      <c r="LH76" s="766"/>
      <c r="LI76" s="766"/>
      <c r="LJ76" s="766"/>
      <c r="LK76" s="766"/>
      <c r="LL76" s="766"/>
      <c r="LM76" s="766"/>
      <c r="LN76" s="766"/>
      <c r="LO76" s="766"/>
      <c r="LP76" s="766"/>
      <c r="LQ76" s="766"/>
      <c r="LR76" s="766"/>
      <c r="LS76" s="766"/>
      <c r="LT76" s="766"/>
      <c r="LU76" s="766"/>
      <c r="LV76" s="766"/>
      <c r="LW76" s="766"/>
      <c r="LX76" s="769"/>
      <c r="LY76" s="766" t="str">
        <f t="shared" si="12"/>
        <v/>
      </c>
      <c r="LZ76" s="66"/>
      <c r="MA76" s="66"/>
      <c r="MB76" s="66"/>
      <c r="MC76" s="1679">
        <f t="shared" si="13"/>
        <v>0</v>
      </c>
      <c r="MD76" s="66"/>
      <c r="ME76" s="66"/>
      <c r="MF76" s="66"/>
      <c r="MG76" s="1680">
        <f t="shared" si="15"/>
        <v>0</v>
      </c>
      <c r="MH76" s="766"/>
      <c r="MI76" s="775"/>
      <c r="MJ76" s="775"/>
      <c r="MK76" s="775"/>
      <c r="ML76" s="775"/>
      <c r="MM76" s="775"/>
      <c r="MN76" s="775"/>
      <c r="MO76" s="775"/>
      <c r="MP76" s="775"/>
      <c r="MQ76" s="775"/>
      <c r="MR76" s="775"/>
      <c r="MS76" s="775"/>
      <c r="MT76" s="775"/>
      <c r="MU76" s="775"/>
      <c r="MV76" s="775"/>
      <c r="MW76" s="775"/>
      <c r="MX76" s="775"/>
      <c r="MY76" s="1682">
        <f t="shared" si="14"/>
        <v>0</v>
      </c>
      <c r="MZ76" s="766"/>
      <c r="NA76" s="766"/>
      <c r="NB76" s="766"/>
      <c r="NC76" s="766"/>
      <c r="ND76" s="766"/>
      <c r="NE76" s="766"/>
      <c r="NF76" s="766"/>
      <c r="NG76" s="766"/>
      <c r="NH76" s="766"/>
      <c r="NI76" s="766"/>
      <c r="NJ76" s="766"/>
      <c r="NK76" s="766"/>
      <c r="NL76" s="766"/>
      <c r="NM76" s="766"/>
      <c r="NN76" s="766"/>
      <c r="NO76" s="766"/>
      <c r="NP76" s="766"/>
      <c r="NQ76" s="766"/>
      <c r="NR76" s="766"/>
      <c r="NS76" s="766"/>
      <c r="NT76" s="766"/>
      <c r="NU76" s="766"/>
      <c r="NV76" s="766"/>
      <c r="NW76" s="766"/>
      <c r="NX76" s="766"/>
      <c r="NY76" s="766"/>
      <c r="NZ76" s="766"/>
      <c r="OA76" s="766"/>
      <c r="OB76" s="766"/>
      <c r="OC76" s="766"/>
      <c r="OD76" s="766"/>
      <c r="OE76" s="766"/>
      <c r="OF76" s="766"/>
      <c r="OG76" s="766"/>
      <c r="OH76" s="766"/>
      <c r="OI76" s="766"/>
      <c r="OJ76" s="766"/>
      <c r="OK76" s="766"/>
      <c r="OL76" s="766"/>
      <c r="OM76" s="766"/>
      <c r="ON76" s="766"/>
      <c r="OO76" s="766"/>
      <c r="OP76" s="766"/>
      <c r="OQ76" s="766"/>
      <c r="OR76" s="766"/>
      <c r="OS76" s="766"/>
      <c r="OT76" s="766"/>
      <c r="OU76" s="766"/>
      <c r="OV76" s="766"/>
      <c r="OW76" s="766"/>
      <c r="OX76" s="766"/>
      <c r="OY76" s="766"/>
      <c r="OZ76" s="766"/>
      <c r="PA76" s="766"/>
      <c r="PB76" s="766"/>
      <c r="PC76" s="766"/>
      <c r="PD76" s="766"/>
      <c r="PE76" s="766"/>
      <c r="PF76" s="766"/>
      <c r="PG76" s="766"/>
      <c r="PH76" s="766"/>
      <c r="PI76" s="766"/>
      <c r="PJ76" s="766"/>
      <c r="PK76" s="766"/>
      <c r="PL76" s="766"/>
      <c r="PM76" s="766"/>
      <c r="PN76" s="766"/>
      <c r="PO76" s="766"/>
      <c r="PP76" s="766"/>
      <c r="PQ76" s="766"/>
      <c r="PR76" s="766"/>
      <c r="PS76" s="766"/>
      <c r="PT76" s="766"/>
      <c r="PU76" s="766"/>
      <c r="PV76" s="766"/>
      <c r="PW76" s="766"/>
      <c r="PX76" s="766"/>
      <c r="PY76" s="766"/>
      <c r="PZ76" s="766"/>
      <c r="QA76" s="766"/>
      <c r="QB76" s="766"/>
      <c r="QC76" s="766"/>
      <c r="QD76" s="766"/>
      <c r="QE76" s="766"/>
      <c r="QF76" s="766"/>
      <c r="QG76" s="766"/>
      <c r="QH76" s="766"/>
      <c r="QI76" s="766"/>
      <c r="QJ76" s="766"/>
      <c r="QK76" s="766"/>
      <c r="QL76" s="766"/>
      <c r="QM76" s="766"/>
      <c r="QN76" s="766"/>
      <c r="QO76" s="766"/>
      <c r="QP76" s="766"/>
      <c r="QQ76" s="766"/>
      <c r="QR76" s="766"/>
      <c r="QS76" s="766"/>
      <c r="QT76" s="766"/>
      <c r="QU76" s="766"/>
      <c r="QV76" s="766"/>
      <c r="QW76" s="766"/>
      <c r="QX76" s="766"/>
      <c r="QY76" s="766"/>
      <c r="QZ76" s="766"/>
      <c r="RA76" s="766"/>
      <c r="RB76" s="766"/>
      <c r="RC76" s="766"/>
      <c r="RD76" s="766"/>
      <c r="RE76" s="766"/>
      <c r="RF76" s="777"/>
      <c r="RG76" s="766"/>
      <c r="RH76" s="775"/>
      <c r="RI76" s="766"/>
      <c r="RJ76" s="766"/>
      <c r="RK76" s="766"/>
      <c r="RL76" s="1683"/>
      <c r="RM76" s="12"/>
      <c r="RN76" s="1711"/>
      <c r="RO76" s="167" t="s">
        <v>76</v>
      </c>
      <c r="RP76" s="11"/>
      <c r="RQ76" s="11"/>
      <c r="RR76" s="17"/>
      <c r="RS76" s="766"/>
      <c r="RT76" s="11"/>
      <c r="RU76" s="11"/>
      <c r="RV76" s="766" t="s">
        <v>12386</v>
      </c>
      <c r="RW76" s="11" t="s">
        <v>11792</v>
      </c>
      <c r="RX76" s="11" t="s">
        <v>11791</v>
      </c>
      <c r="RY76" s="11"/>
      <c r="RZ76" s="11" t="s">
        <v>7419</v>
      </c>
      <c r="SA76" s="766"/>
      <c r="SB76" s="11"/>
      <c r="SC76" s="11"/>
    </row>
    <row r="77" spans="1:497" ht="12.75" hidden="1" customHeight="1">
      <c r="A77" s="19" t="s">
        <v>12387</v>
      </c>
      <c r="B77" s="288" t="s">
        <v>12528</v>
      </c>
      <c r="C77" s="167" t="s">
        <v>12527</v>
      </c>
      <c r="D77" s="14"/>
      <c r="E77" s="766" t="s">
        <v>94</v>
      </c>
      <c r="F77" s="766"/>
      <c r="G77" s="766"/>
      <c r="H77" s="766"/>
      <c r="I77" s="5"/>
      <c r="J77" s="766"/>
      <c r="K77" s="766"/>
      <c r="L77" s="766"/>
      <c r="M77" s="766"/>
      <c r="N77" s="766"/>
      <c r="O77" s="766"/>
      <c r="P77" s="766"/>
      <c r="Q77" s="1085"/>
      <c r="R77" s="25"/>
      <c r="S77" s="766"/>
      <c r="T77" s="766"/>
      <c r="U77" s="26"/>
      <c r="V77" s="766"/>
      <c r="W77" s="766"/>
      <c r="X77" s="24"/>
      <c r="Y77" s="766"/>
      <c r="Z77" s="766"/>
      <c r="AA77" s="766"/>
      <c r="AB77" s="766"/>
      <c r="AC77" s="766"/>
      <c r="AD77" s="766"/>
      <c r="AE77" s="766"/>
      <c r="AF77" s="766"/>
      <c r="AG77" s="766"/>
      <c r="AH77" s="766"/>
      <c r="AI77" s="766"/>
      <c r="AJ77" s="766"/>
      <c r="AK77" s="766"/>
      <c r="AL77" s="121"/>
      <c r="AM77" s="773"/>
      <c r="AN77" s="37"/>
      <c r="AO77" s="766"/>
      <c r="AP77" s="766"/>
      <c r="AQ77" s="766"/>
      <c r="AR77" s="766"/>
      <c r="AS77" s="766"/>
      <c r="AT77" s="766"/>
      <c r="AU77" s="766"/>
      <c r="AV77" s="766"/>
      <c r="AW77" s="766"/>
      <c r="AX77" s="13"/>
      <c r="AY77" s="766"/>
      <c r="AZ77" s="766"/>
      <c r="BA77" s="766"/>
      <c r="BB77" s="766"/>
      <c r="BC77" s="766"/>
      <c r="BD77" s="766"/>
      <c r="BE77" s="766"/>
      <c r="BF77" s="775"/>
      <c r="BG77" s="775"/>
      <c r="BH77" s="766"/>
      <c r="BI77" s="766"/>
      <c r="BJ77" s="766"/>
      <c r="BK77" s="766" t="s">
        <v>1095</v>
      </c>
      <c r="BL77" s="766"/>
      <c r="BM77" s="766" t="s">
        <v>1119</v>
      </c>
      <c r="BN77" s="766"/>
      <c r="BO77" s="766" t="s">
        <v>1246</v>
      </c>
      <c r="BP77" s="1136">
        <v>96</v>
      </c>
      <c r="BQ77" s="1136">
        <v>96</v>
      </c>
      <c r="BR77" s="301">
        <f>BQ77/BP77</f>
        <v>1</v>
      </c>
      <c r="BS77" s="766" t="s">
        <v>1257</v>
      </c>
      <c r="BT77" s="766" t="s">
        <v>2040</v>
      </c>
      <c r="BU77" s="766" t="s">
        <v>1304</v>
      </c>
      <c r="BV77" s="766" t="s">
        <v>1247</v>
      </c>
      <c r="BW77" s="769"/>
      <c r="BX77" s="779"/>
      <c r="BY77" s="766"/>
      <c r="BZ77" s="775"/>
      <c r="CA77" s="12"/>
      <c r="CB77" s="12"/>
      <c r="CC77" s="12"/>
      <c r="CD77" s="12"/>
      <c r="CE77" s="12"/>
      <c r="CF77" s="782"/>
      <c r="CG77" s="782"/>
      <c r="CH77" s="12"/>
      <c r="CI77" s="12"/>
      <c r="CJ77" s="12"/>
      <c r="CK77" s="12"/>
      <c r="CL77" s="12"/>
      <c r="CM77" s="12"/>
      <c r="CN77" s="12"/>
      <c r="CO77" s="12"/>
      <c r="CP77" s="12"/>
      <c r="CQ77" s="12"/>
      <c r="CR77" s="12"/>
      <c r="CS77" s="12"/>
      <c r="CT77" s="12"/>
      <c r="CU77" s="1726"/>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727"/>
      <c r="DT77" s="12"/>
      <c r="DU77" s="12"/>
      <c r="DV77" s="12"/>
      <c r="DW77" s="1728"/>
      <c r="DX77" s="1728"/>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31"/>
      <c r="FE77" s="12"/>
      <c r="FF77" s="12"/>
      <c r="FG77" s="12"/>
      <c r="FH77" s="766"/>
      <c r="FI77" s="766"/>
      <c r="FJ77" s="766"/>
      <c r="FK77" s="766"/>
      <c r="FL77" s="766"/>
      <c r="FM77" s="775"/>
      <c r="FN77" s="775"/>
      <c r="FO77" s="775"/>
      <c r="FP77" s="766" t="s">
        <v>1602</v>
      </c>
      <c r="FQ77" s="766" t="s">
        <v>1660</v>
      </c>
      <c r="FR77" s="766"/>
      <c r="FS77" s="766"/>
      <c r="FT77" s="766"/>
      <c r="FU77" s="766"/>
      <c r="FV77" s="766"/>
      <c r="FW77" s="766"/>
      <c r="FX77" s="766"/>
      <c r="FY77" s="766"/>
      <c r="FZ77" s="766"/>
      <c r="GA77" s="766"/>
      <c r="GB77" s="766"/>
      <c r="GC77" s="75"/>
      <c r="GD77" s="25"/>
      <c r="GE77" s="766"/>
      <c r="GF77" s="775"/>
      <c r="GG77" s="775"/>
      <c r="GH77" s="766"/>
      <c r="GI77" s="766"/>
      <c r="GJ77" s="766"/>
      <c r="GK77" s="766"/>
      <c r="GL77" s="766"/>
      <c r="GM77" s="766"/>
      <c r="GN77" s="82"/>
      <c r="GO77" s="766"/>
      <c r="GP77" s="766"/>
      <c r="GQ77" s="766"/>
      <c r="GR77" s="766"/>
      <c r="GS77" s="766"/>
      <c r="GT77" s="766"/>
      <c r="GU77" s="766"/>
      <c r="GV77" s="766"/>
      <c r="GW77" s="766"/>
      <c r="GX77" s="766"/>
      <c r="GY77" s="766"/>
      <c r="GZ77" s="766"/>
      <c r="HA77" s="766"/>
      <c r="HB77" s="766"/>
      <c r="HC77" s="766"/>
      <c r="HD77" s="766"/>
      <c r="HE77" s="766"/>
      <c r="HF77" s="766"/>
      <c r="HG77" s="766"/>
      <c r="HH77" s="766"/>
      <c r="HI77" s="766"/>
      <c r="HJ77" s="766"/>
      <c r="HK77" s="766"/>
      <c r="HL77" s="766"/>
      <c r="HM77" s="766"/>
      <c r="HN77" s="766"/>
      <c r="HO77" s="766"/>
      <c r="HP77" s="766"/>
      <c r="HQ77" s="766"/>
      <c r="HR77" s="12"/>
      <c r="HS77" s="12"/>
      <c r="HT77" s="12"/>
      <c r="HU77" s="12"/>
      <c r="HV77" s="766"/>
      <c r="HW77" s="766"/>
      <c r="HX77" s="766"/>
      <c r="HY77" s="766"/>
      <c r="HZ77" s="766"/>
      <c r="IA77" s="766"/>
      <c r="IB77" s="766"/>
      <c r="IC77" s="766"/>
      <c r="ID77" s="766"/>
      <c r="IE77" s="766"/>
      <c r="IF77" s="766"/>
      <c r="IG77" s="766"/>
      <c r="IH77" s="766"/>
      <c r="II77" s="766"/>
      <c r="IJ77" s="766"/>
      <c r="IK77" s="766"/>
      <c r="IL77" s="766"/>
      <c r="IM77" s="766"/>
      <c r="IN77" s="766"/>
      <c r="IO77" s="24"/>
      <c r="IP77" s="766"/>
      <c r="IQ77" s="769"/>
      <c r="IR77" s="766"/>
      <c r="IS77" s="766"/>
      <c r="IT77" s="766"/>
      <c r="IU77" s="766"/>
      <c r="IV77" s="766"/>
      <c r="IW77" s="766"/>
      <c r="IX77" s="766"/>
      <c r="IY77" s="766"/>
      <c r="IZ77" s="766"/>
      <c r="JA77" s="766"/>
      <c r="JB77" s="766"/>
      <c r="JC77" s="766"/>
      <c r="JD77" s="775"/>
      <c r="JE77" s="766"/>
      <c r="JF77" s="766"/>
      <c r="JG77" s="766"/>
      <c r="JH77" s="775"/>
      <c r="JI77" s="775"/>
      <c r="JJ77" s="766"/>
      <c r="JK77" s="766"/>
      <c r="JL77" s="766"/>
      <c r="JM77" s="766"/>
      <c r="JN77" s="766"/>
      <c r="JO77" s="766"/>
      <c r="JP77" s="766"/>
      <c r="JQ77" s="766"/>
      <c r="JR77" s="766"/>
      <c r="JS77" s="766"/>
      <c r="JT77" s="766"/>
      <c r="JU77" s="766"/>
      <c r="JV77" s="766"/>
      <c r="JW77" s="766"/>
      <c r="JX77" s="766"/>
      <c r="JY77" s="766"/>
      <c r="JZ77" s="766"/>
      <c r="KA77" s="766"/>
      <c r="KB77" s="766"/>
      <c r="KC77" s="766"/>
      <c r="KD77" s="766"/>
      <c r="KE77" s="766"/>
      <c r="KF77" s="766"/>
      <c r="KG77" s="766"/>
      <c r="KH77" s="766"/>
      <c r="KI77" s="766"/>
      <c r="KJ77" s="770"/>
      <c r="KK77" s="770"/>
      <c r="KL77" s="770"/>
      <c r="KM77" s="770"/>
      <c r="KN77" s="766"/>
      <c r="KO77" s="766"/>
      <c r="KP77" s="766"/>
      <c r="KQ77" s="766"/>
      <c r="KR77" s="766"/>
      <c r="KS77" s="766"/>
      <c r="KT77" s="766"/>
      <c r="KU77" s="766"/>
      <c r="KV77" s="766"/>
      <c r="KW77" s="766"/>
      <c r="KX77" s="766"/>
      <c r="KY77" s="766"/>
      <c r="KZ77" s="766"/>
      <c r="LA77" s="766"/>
      <c r="LB77" s="766"/>
      <c r="LC77" s="766"/>
      <c r="LD77" s="766"/>
      <c r="LE77" s="766"/>
      <c r="LF77" s="766"/>
      <c r="LG77" s="766"/>
      <c r="LH77" s="766"/>
      <c r="LI77" s="766"/>
      <c r="LJ77" s="766"/>
      <c r="LK77" s="766"/>
      <c r="LL77" s="766"/>
      <c r="LM77" s="766"/>
      <c r="LN77" s="766"/>
      <c r="LO77" s="766"/>
      <c r="LP77" s="766"/>
      <c r="LQ77" s="766"/>
      <c r="LR77" s="766"/>
      <c r="LS77" s="766"/>
      <c r="LT77" s="766"/>
      <c r="LU77" s="766"/>
      <c r="LV77" s="766"/>
      <c r="LW77" s="766"/>
      <c r="LX77" s="769"/>
      <c r="LY77" s="766"/>
      <c r="LZ77" s="66"/>
      <c r="MA77" s="66"/>
      <c r="MB77" s="66"/>
      <c r="MC77" s="1679"/>
      <c r="MD77" s="66"/>
      <c r="ME77" s="66"/>
      <c r="MF77" s="66"/>
      <c r="MG77" s="1680"/>
      <c r="MH77" s="766"/>
      <c r="MI77" s="775"/>
      <c r="MJ77" s="775"/>
      <c r="MK77" s="775"/>
      <c r="ML77" s="775"/>
      <c r="MM77" s="775"/>
      <c r="MN77" s="775"/>
      <c r="MO77" s="775"/>
      <c r="MP77" s="775"/>
      <c r="MQ77" s="775"/>
      <c r="MR77" s="775"/>
      <c r="MS77" s="775"/>
      <c r="MT77" s="775"/>
      <c r="MU77" s="775"/>
      <c r="MV77" s="775"/>
      <c r="MW77" s="775"/>
      <c r="MX77" s="775"/>
      <c r="MY77" s="1682"/>
      <c r="MZ77" s="766"/>
      <c r="NA77" s="766"/>
      <c r="NB77" s="766"/>
      <c r="NC77" s="766"/>
      <c r="ND77" s="766"/>
      <c r="NE77" s="766"/>
      <c r="NF77" s="766"/>
      <c r="NG77" s="766"/>
      <c r="NH77" s="766"/>
      <c r="NI77" s="766"/>
      <c r="NJ77" s="766"/>
      <c r="NK77" s="766"/>
      <c r="NL77" s="766"/>
      <c r="NM77" s="766"/>
      <c r="NN77" s="766"/>
      <c r="NO77" s="766"/>
      <c r="NP77" s="766"/>
      <c r="NQ77" s="766"/>
      <c r="NR77" s="766"/>
      <c r="NS77" s="766"/>
      <c r="NT77" s="766"/>
      <c r="NU77" s="766"/>
      <c r="NV77" s="766"/>
      <c r="NW77" s="766"/>
      <c r="NX77" s="766"/>
      <c r="NY77" s="766"/>
      <c r="NZ77" s="766"/>
      <c r="OA77" s="766"/>
      <c r="OB77" s="766"/>
      <c r="OC77" s="766"/>
      <c r="OD77" s="766"/>
      <c r="OE77" s="766"/>
      <c r="OF77" s="766"/>
      <c r="OG77" s="766"/>
      <c r="OH77" s="766"/>
      <c r="OI77" s="766"/>
      <c r="OJ77" s="766"/>
      <c r="OK77" s="766"/>
      <c r="OL77" s="766"/>
      <c r="OM77" s="766"/>
      <c r="ON77" s="766"/>
      <c r="OO77" s="766"/>
      <c r="OP77" s="766"/>
      <c r="OQ77" s="766"/>
      <c r="OR77" s="766"/>
      <c r="OS77" s="766"/>
      <c r="OT77" s="766"/>
      <c r="OU77" s="766"/>
      <c r="OV77" s="766"/>
      <c r="OW77" s="766"/>
      <c r="OX77" s="766"/>
      <c r="OY77" s="766"/>
      <c r="OZ77" s="766"/>
      <c r="PA77" s="766"/>
      <c r="PB77" s="766"/>
      <c r="PC77" s="766"/>
      <c r="PD77" s="766"/>
      <c r="PE77" s="766"/>
      <c r="PF77" s="766"/>
      <c r="PG77" s="766"/>
      <c r="PH77" s="766"/>
      <c r="PI77" s="766"/>
      <c r="PJ77" s="766"/>
      <c r="PK77" s="766"/>
      <c r="PL77" s="766"/>
      <c r="PM77" s="766"/>
      <c r="PN77" s="766"/>
      <c r="PO77" s="766"/>
      <c r="PP77" s="766"/>
      <c r="PQ77" s="766"/>
      <c r="PR77" s="766"/>
      <c r="PS77" s="766"/>
      <c r="PT77" s="766"/>
      <c r="PU77" s="766"/>
      <c r="PV77" s="766"/>
      <c r="PW77" s="766"/>
      <c r="PX77" s="766"/>
      <c r="PY77" s="766"/>
      <c r="PZ77" s="766"/>
      <c r="QA77" s="766"/>
      <c r="QB77" s="766"/>
      <c r="QC77" s="766"/>
      <c r="QD77" s="766"/>
      <c r="QE77" s="766"/>
      <c r="QF77" s="766"/>
      <c r="QG77" s="766"/>
      <c r="QH77" s="766"/>
      <c r="QI77" s="766"/>
      <c r="QJ77" s="766"/>
      <c r="QK77" s="766"/>
      <c r="QL77" s="766"/>
      <c r="QM77" s="766"/>
      <c r="QN77" s="766"/>
      <c r="QO77" s="766"/>
      <c r="QP77" s="766"/>
      <c r="QQ77" s="766"/>
      <c r="QR77" s="766"/>
      <c r="QS77" s="766"/>
      <c r="QT77" s="766"/>
      <c r="QU77" s="766"/>
      <c r="QV77" s="766"/>
      <c r="QW77" s="766"/>
      <c r="QX77" s="766"/>
      <c r="QY77" s="766"/>
      <c r="QZ77" s="766"/>
      <c r="RA77" s="766"/>
      <c r="RB77" s="766"/>
      <c r="RC77" s="766"/>
      <c r="RD77" s="766"/>
      <c r="RE77" s="766"/>
      <c r="RF77" s="777"/>
      <c r="RG77" s="766"/>
      <c r="RH77" s="775"/>
      <c r="RI77" s="766"/>
      <c r="RJ77" s="766"/>
      <c r="RK77" s="766"/>
      <c r="RL77" s="1683"/>
      <c r="RM77" s="12"/>
      <c r="RN77" s="1711"/>
      <c r="RO77" s="167" t="s">
        <v>12527</v>
      </c>
      <c r="RP77" s="11"/>
      <c r="RQ77" s="11"/>
      <c r="RR77" s="17"/>
      <c r="RS77" s="766"/>
      <c r="RT77" s="11"/>
      <c r="RU77" s="11"/>
      <c r="RV77" s="766" t="s">
        <v>7419</v>
      </c>
      <c r="RW77" s="11" t="s">
        <v>12587</v>
      </c>
      <c r="RX77" s="11" t="s">
        <v>75</v>
      </c>
      <c r="RY77" s="11"/>
      <c r="RZ77" s="11"/>
      <c r="SA77" s="766"/>
      <c r="SB77" s="11"/>
      <c r="SC77" s="11"/>
    </row>
    <row r="78" spans="1:497" ht="12.75" hidden="1" customHeight="1">
      <c r="A78" s="19" t="s">
        <v>7419</v>
      </c>
      <c r="B78" s="1094" t="s">
        <v>7557</v>
      </c>
      <c r="C78" s="167" t="s">
        <v>5479</v>
      </c>
      <c r="D78" s="766" t="s">
        <v>80</v>
      </c>
      <c r="E78" s="766" t="s">
        <v>7247</v>
      </c>
      <c r="F78" s="766"/>
      <c r="G78" s="766" t="s">
        <v>10</v>
      </c>
      <c r="H78" s="766"/>
      <c r="I78" s="5"/>
      <c r="J78" s="766"/>
      <c r="K78" s="766"/>
      <c r="L78" s="766"/>
      <c r="M78" s="766"/>
      <c r="N78" s="766"/>
      <c r="O78" s="766"/>
      <c r="P78" s="766"/>
      <c r="Q78" s="1085"/>
      <c r="R78" s="25"/>
      <c r="S78" s="766"/>
      <c r="T78" s="766"/>
      <c r="U78" s="26"/>
      <c r="V78" s="766"/>
      <c r="W78" s="766"/>
      <c r="X78" s="24"/>
      <c r="Y78" s="766"/>
      <c r="Z78" s="766"/>
      <c r="AA78" s="766"/>
      <c r="AB78" s="766"/>
      <c r="AC78" s="766"/>
      <c r="AD78" s="766"/>
      <c r="AE78" s="766"/>
      <c r="AF78" s="766"/>
      <c r="AG78" s="766" t="s">
        <v>1165</v>
      </c>
      <c r="AH78" s="766" t="s">
        <v>1120</v>
      </c>
      <c r="AI78" s="766" t="s">
        <v>1124</v>
      </c>
      <c r="AJ78" s="770" t="s">
        <v>1125</v>
      </c>
      <c r="AK78" s="766" t="s">
        <v>1097</v>
      </c>
      <c r="AL78" s="121">
        <v>25000</v>
      </c>
      <c r="AM78" s="773">
        <v>550</v>
      </c>
      <c r="AN78" s="37">
        <f>AM78/AL78</f>
        <v>2.1999999999999999E-2</v>
      </c>
      <c r="AO78" s="766" t="s">
        <v>1098</v>
      </c>
      <c r="AP78" s="766"/>
      <c r="AQ78" s="766"/>
      <c r="AR78" s="766"/>
      <c r="AS78" s="766"/>
      <c r="AT78" s="766"/>
      <c r="AU78" s="766"/>
      <c r="AV78" s="766"/>
      <c r="AW78" s="766"/>
      <c r="AX78" s="13"/>
      <c r="AY78" s="766"/>
      <c r="AZ78" s="766"/>
      <c r="BA78" s="766"/>
      <c r="BB78" s="766"/>
      <c r="BC78" s="766"/>
      <c r="BD78" s="766"/>
      <c r="BE78" s="766"/>
      <c r="BF78" s="775"/>
      <c r="BG78" s="775"/>
      <c r="BH78" s="766"/>
      <c r="BI78" s="766"/>
      <c r="BJ78" s="766"/>
      <c r="BK78" s="766" t="s">
        <v>1099</v>
      </c>
      <c r="BL78" s="766" t="s">
        <v>1271</v>
      </c>
      <c r="BM78" s="766" t="s">
        <v>1120</v>
      </c>
      <c r="BN78" s="766" t="s">
        <v>1230</v>
      </c>
      <c r="BO78" s="766" t="s">
        <v>1246</v>
      </c>
      <c r="BP78" s="776">
        <v>591</v>
      </c>
      <c r="BQ78" s="1137">
        <v>174.84</v>
      </c>
      <c r="BR78" s="774">
        <f>BQ78/BP78</f>
        <v>0.29583756345177664</v>
      </c>
      <c r="BS78" s="6" t="s">
        <v>1149</v>
      </c>
      <c r="BT78" s="766" t="s">
        <v>8133</v>
      </c>
      <c r="BU78" s="766" t="s">
        <v>1241</v>
      </c>
      <c r="BV78" s="766" t="s">
        <v>1243</v>
      </c>
      <c r="BW78" s="769"/>
      <c r="BX78" s="779"/>
      <c r="BY78" s="766"/>
      <c r="BZ78" s="775"/>
      <c r="CA78" s="766"/>
      <c r="CB78" s="766" t="s">
        <v>1207</v>
      </c>
      <c r="CC78" s="766" t="s">
        <v>1271</v>
      </c>
      <c r="CD78" s="766"/>
      <c r="CE78" s="766"/>
      <c r="CF78" s="231">
        <v>3.66</v>
      </c>
      <c r="CG78" s="231">
        <v>168</v>
      </c>
      <c r="CH78" s="766" t="s">
        <v>1453</v>
      </c>
      <c r="CI78" s="766"/>
      <c r="CJ78" s="766"/>
      <c r="CK78" s="766">
        <v>47</v>
      </c>
      <c r="CL78" s="766" t="s">
        <v>1240</v>
      </c>
      <c r="CM78" s="766" t="s">
        <v>1454</v>
      </c>
      <c r="CN78" s="766"/>
      <c r="CO78" s="766" t="s">
        <v>1257</v>
      </c>
      <c r="CP78" s="766" t="s">
        <v>1125</v>
      </c>
      <c r="CQ78" s="766"/>
      <c r="CR78" s="775"/>
      <c r="CS78" s="766"/>
      <c r="CT78" s="766"/>
      <c r="CU78" s="129"/>
      <c r="CV78" s="766"/>
      <c r="CW78" s="766"/>
      <c r="CX78" s="766"/>
      <c r="CY78" s="766"/>
      <c r="CZ78" s="766"/>
      <c r="DA78" s="766"/>
      <c r="DB78" s="766"/>
      <c r="DC78" s="766"/>
      <c r="DD78" s="766"/>
      <c r="DE78" s="766"/>
      <c r="DF78" s="766"/>
      <c r="DG78" s="766"/>
      <c r="DH78" s="766"/>
      <c r="DI78" s="766"/>
      <c r="DJ78" s="766"/>
      <c r="DK78" s="766"/>
      <c r="DL78" s="766"/>
      <c r="DM78" s="766"/>
      <c r="DN78" s="766"/>
      <c r="DO78" s="766"/>
      <c r="DP78" s="766"/>
      <c r="DQ78" s="766"/>
      <c r="DR78" s="766"/>
      <c r="DS78" s="59"/>
      <c r="DT78" s="766"/>
      <c r="DU78" s="766"/>
      <c r="DV78" s="766"/>
      <c r="DW78" s="66"/>
      <c r="DX78" s="66"/>
      <c r="DY78" s="766"/>
      <c r="DZ78" s="766"/>
      <c r="EA78" s="766"/>
      <c r="EB78" s="766"/>
      <c r="EC78" s="766"/>
      <c r="ED78" s="766"/>
      <c r="EE78" s="766"/>
      <c r="EF78" s="766"/>
      <c r="EG78" s="766"/>
      <c r="EH78" s="766"/>
      <c r="EI78" s="766"/>
      <c r="EJ78" s="766"/>
      <c r="EK78" s="766"/>
      <c r="EL78" s="766"/>
      <c r="EM78" s="766"/>
      <c r="EN78" s="766"/>
      <c r="EO78" s="766"/>
      <c r="EP78" s="766"/>
      <c r="EQ78" s="766"/>
      <c r="ER78" s="766"/>
      <c r="ES78" s="766"/>
      <c r="ET78" s="766"/>
      <c r="EU78" s="766"/>
      <c r="EV78" s="766"/>
      <c r="EW78" s="766"/>
      <c r="EX78" s="766"/>
      <c r="EY78" s="766"/>
      <c r="EZ78" s="766"/>
      <c r="FA78" s="766"/>
      <c r="FB78" s="766"/>
      <c r="FC78" s="766"/>
      <c r="FD78" s="775"/>
      <c r="FE78" s="766"/>
      <c r="FF78" s="766"/>
      <c r="FG78" s="766"/>
      <c r="FH78" s="766"/>
      <c r="FI78" s="766"/>
      <c r="FJ78" s="766"/>
      <c r="FK78" s="766"/>
      <c r="FL78" s="766"/>
      <c r="FM78" s="775"/>
      <c r="FN78" s="775"/>
      <c r="FO78" s="775"/>
      <c r="FP78" s="766" t="s">
        <v>1602</v>
      </c>
      <c r="FQ78" s="766" t="s">
        <v>1660</v>
      </c>
      <c r="FR78" s="766"/>
      <c r="FS78" s="766"/>
      <c r="FT78" s="766"/>
      <c r="FU78" s="766"/>
      <c r="FV78" s="766"/>
      <c r="FW78" s="766"/>
      <c r="FX78" s="766"/>
      <c r="FY78" s="766"/>
      <c r="FZ78" s="766"/>
      <c r="GA78" s="766"/>
      <c r="GB78" s="766"/>
      <c r="GC78" s="75"/>
      <c r="GD78" s="25"/>
      <c r="GE78" s="766"/>
      <c r="GF78" s="775"/>
      <c r="GG78" s="775"/>
      <c r="GH78" s="766"/>
      <c r="GI78" s="766"/>
      <c r="GJ78" s="766"/>
      <c r="GK78" s="766"/>
      <c r="GL78" s="766"/>
      <c r="GM78" s="766"/>
      <c r="GN78" s="82"/>
      <c r="GO78" s="766"/>
      <c r="GP78" s="766"/>
      <c r="GQ78" s="766"/>
      <c r="GR78" s="766"/>
      <c r="GS78" s="766"/>
      <c r="GT78" s="766"/>
      <c r="GU78" s="766"/>
      <c r="GV78" s="766"/>
      <c r="GW78" s="766"/>
      <c r="GX78" s="766"/>
      <c r="GY78" s="766"/>
      <c r="GZ78" s="766"/>
      <c r="HA78" s="766"/>
      <c r="HB78" s="766"/>
      <c r="HC78" s="766"/>
      <c r="HD78" s="766"/>
      <c r="HE78" s="766"/>
      <c r="HF78" s="766"/>
      <c r="HG78" s="766"/>
      <c r="HH78" s="766"/>
      <c r="HI78" s="766"/>
      <c r="HJ78" s="766"/>
      <c r="HK78" s="766"/>
      <c r="HL78" s="766"/>
      <c r="HM78" s="766"/>
      <c r="HN78" s="766"/>
      <c r="HO78" s="766"/>
      <c r="HP78" s="766"/>
      <c r="HQ78" s="766"/>
      <c r="HR78" s="766">
        <v>1</v>
      </c>
      <c r="HS78" s="766"/>
      <c r="HT78" s="766"/>
      <c r="HU78" s="766"/>
      <c r="HV78" s="766"/>
      <c r="HW78" s="766"/>
      <c r="HX78" s="766"/>
      <c r="HY78" s="766"/>
      <c r="HZ78" s="766"/>
      <c r="IA78" s="766"/>
      <c r="IB78" s="766"/>
      <c r="IC78" s="766"/>
      <c r="ID78" s="766"/>
      <c r="IE78" s="766"/>
      <c r="IF78" s="766"/>
      <c r="IG78" s="766"/>
      <c r="IH78" s="766"/>
      <c r="II78" s="766"/>
      <c r="IJ78" s="766"/>
      <c r="IK78" s="766"/>
      <c r="IL78" s="766"/>
      <c r="IM78" s="766"/>
      <c r="IN78" s="766"/>
      <c r="IO78" s="24"/>
      <c r="IP78" s="766"/>
      <c r="IQ78" s="766"/>
      <c r="IR78" s="766"/>
      <c r="IS78" s="766"/>
      <c r="IT78" s="766"/>
      <c r="IU78" s="766"/>
      <c r="IV78" s="766"/>
      <c r="IW78" s="766"/>
      <c r="IX78" s="766"/>
      <c r="IY78" s="766"/>
      <c r="IZ78" s="766"/>
      <c r="JA78" s="766"/>
      <c r="JB78" s="766"/>
      <c r="JC78" s="766"/>
      <c r="JD78" s="775"/>
      <c r="JE78" s="766"/>
      <c r="JF78" s="766"/>
      <c r="JG78" s="766"/>
      <c r="JH78" s="775"/>
      <c r="JI78" s="775"/>
      <c r="JJ78" s="766"/>
      <c r="JK78" s="766"/>
      <c r="JL78" s="766"/>
      <c r="JM78" s="766"/>
      <c r="JN78" s="766"/>
      <c r="JO78" s="766"/>
      <c r="JP78" s="766"/>
      <c r="JQ78" s="766"/>
      <c r="JR78" s="766"/>
      <c r="JS78" s="766"/>
      <c r="JT78" s="766"/>
      <c r="JU78" s="766"/>
      <c r="JV78" s="766"/>
      <c r="JW78" s="766"/>
      <c r="JX78" s="766"/>
      <c r="JY78" s="766"/>
      <c r="JZ78" s="766"/>
      <c r="KA78" s="766"/>
      <c r="KB78" s="766"/>
      <c r="KC78" s="766"/>
      <c r="KD78" s="766"/>
      <c r="KE78" s="766"/>
      <c r="KF78" s="766"/>
      <c r="KG78" s="766"/>
      <c r="KH78" s="766"/>
      <c r="KI78" s="766"/>
      <c r="KJ78" s="770"/>
      <c r="KK78" s="770"/>
      <c r="KL78" s="770"/>
      <c r="KM78" s="770"/>
      <c r="KN78" s="766"/>
      <c r="KO78" s="766"/>
      <c r="KP78" s="766"/>
      <c r="KQ78" s="766"/>
      <c r="KR78" s="766"/>
      <c r="KS78" s="766"/>
      <c r="KT78" s="766"/>
      <c r="KU78" s="766"/>
      <c r="KV78" s="766"/>
      <c r="KW78" s="766"/>
      <c r="KX78" s="766"/>
      <c r="KY78" s="766"/>
      <c r="KZ78" s="766"/>
      <c r="LA78" s="766"/>
      <c r="LB78" s="766"/>
      <c r="LC78" s="766"/>
      <c r="LD78" s="766"/>
      <c r="LE78" s="766"/>
      <c r="LF78" s="766"/>
      <c r="LG78" s="766"/>
      <c r="LH78" s="766"/>
      <c r="LI78" s="766"/>
      <c r="LJ78" s="766"/>
      <c r="LK78" s="766"/>
      <c r="LL78" s="766"/>
      <c r="LM78" s="766"/>
      <c r="LN78" s="766"/>
      <c r="LO78" s="766"/>
      <c r="LP78" s="766"/>
      <c r="LQ78" s="766"/>
      <c r="LR78" s="766"/>
      <c r="LS78" s="766"/>
      <c r="LT78" s="766"/>
      <c r="LU78" s="766"/>
      <c r="LV78" s="766"/>
      <c r="LW78" s="766"/>
      <c r="LX78" s="769"/>
      <c r="LY78" s="766" t="str">
        <f t="shared" ref="LY78:LY86" si="16">IF(ISBLANK(LX78)=TRUE,"",LOOKUP(LX78,RT:RU))</f>
        <v/>
      </c>
      <c r="LZ78" s="66"/>
      <c r="MA78" s="66"/>
      <c r="MB78" s="66"/>
      <c r="MC78" s="1679">
        <f t="shared" ref="MC78:MC86" si="17">SUM(LZ78:MB78)</f>
        <v>0</v>
      </c>
      <c r="MD78" s="66"/>
      <c r="ME78" s="66"/>
      <c r="MF78" s="66"/>
      <c r="MG78" s="1680">
        <f t="shared" si="15"/>
        <v>0</v>
      </c>
      <c r="MH78" s="766"/>
      <c r="MI78" s="775"/>
      <c r="MJ78" s="775"/>
      <c r="MK78" s="775"/>
      <c r="ML78" s="775"/>
      <c r="MM78" s="775"/>
      <c r="MN78" s="775"/>
      <c r="MO78" s="775"/>
      <c r="MP78" s="775"/>
      <c r="MQ78" s="775"/>
      <c r="MR78" s="775"/>
      <c r="MS78" s="775"/>
      <c r="MT78" s="775"/>
      <c r="MU78" s="775"/>
      <c r="MV78" s="775"/>
      <c r="MW78" s="775"/>
      <c r="MX78" s="775"/>
      <c r="MY78" s="1682">
        <f t="shared" si="14"/>
        <v>0</v>
      </c>
      <c r="MZ78" s="766"/>
      <c r="NA78" s="766"/>
      <c r="NB78" s="766"/>
      <c r="NC78" s="766"/>
      <c r="ND78" s="766"/>
      <c r="NE78" s="766"/>
      <c r="NF78" s="766"/>
      <c r="NG78" s="766"/>
      <c r="NH78" s="766"/>
      <c r="NI78" s="766"/>
      <c r="NJ78" s="766"/>
      <c r="NK78" s="766"/>
      <c r="NL78" s="766"/>
      <c r="NM78" s="766"/>
      <c r="NN78" s="766"/>
      <c r="NO78" s="766"/>
      <c r="NP78" s="766"/>
      <c r="NQ78" s="766"/>
      <c r="NR78" s="766"/>
      <c r="NS78" s="766"/>
      <c r="NT78" s="766"/>
      <c r="NU78" s="766"/>
      <c r="NV78" s="766"/>
      <c r="NW78" s="766"/>
      <c r="NX78" s="766"/>
      <c r="NY78" s="766"/>
      <c r="NZ78" s="766"/>
      <c r="OA78" s="766"/>
      <c r="OB78" s="766"/>
      <c r="OC78" s="766"/>
      <c r="OD78" s="766"/>
      <c r="OE78" s="766"/>
      <c r="OF78" s="766"/>
      <c r="OG78" s="766"/>
      <c r="OH78" s="766"/>
      <c r="OI78" s="766"/>
      <c r="OJ78" s="766"/>
      <c r="OK78" s="766"/>
      <c r="OL78" s="766"/>
      <c r="OM78" s="766"/>
      <c r="ON78" s="766"/>
      <c r="OO78" s="766"/>
      <c r="OP78" s="766"/>
      <c r="OQ78" s="766"/>
      <c r="OR78" s="766"/>
      <c r="OS78" s="766"/>
      <c r="OT78" s="766"/>
      <c r="OU78" s="766"/>
      <c r="OV78" s="766"/>
      <c r="OW78" s="766"/>
      <c r="OX78" s="766"/>
      <c r="OY78" s="766"/>
      <c r="OZ78" s="766"/>
      <c r="PA78" s="766"/>
      <c r="PB78" s="766"/>
      <c r="PC78" s="766"/>
      <c r="PD78" s="766"/>
      <c r="PE78" s="766"/>
      <c r="PF78" s="766"/>
      <c r="PG78" s="766"/>
      <c r="PH78" s="766"/>
      <c r="PI78" s="766"/>
      <c r="PJ78" s="766"/>
      <c r="PK78" s="766"/>
      <c r="PL78" s="766"/>
      <c r="PM78" s="766"/>
      <c r="PN78" s="766"/>
      <c r="PO78" s="766"/>
      <c r="PP78" s="766"/>
      <c r="PQ78" s="766"/>
      <c r="PR78" s="766"/>
      <c r="PS78" s="766"/>
      <c r="PT78" s="766"/>
      <c r="PU78" s="766"/>
      <c r="PV78" s="766"/>
      <c r="PW78" s="766"/>
      <c r="PX78" s="766"/>
      <c r="PY78" s="766"/>
      <c r="PZ78" s="766"/>
      <c r="QA78" s="766"/>
      <c r="QB78" s="766"/>
      <c r="QC78" s="766"/>
      <c r="QD78" s="766"/>
      <c r="QE78" s="766"/>
      <c r="QF78" s="766"/>
      <c r="QG78" s="766"/>
      <c r="QH78" s="766"/>
      <c r="QI78" s="766"/>
      <c r="QJ78" s="766"/>
      <c r="QK78" s="766"/>
      <c r="QL78" s="766"/>
      <c r="QM78" s="766"/>
      <c r="QN78" s="766"/>
      <c r="QO78" s="766"/>
      <c r="QP78" s="766"/>
      <c r="QQ78" s="766"/>
      <c r="QR78" s="766"/>
      <c r="QS78" s="766"/>
      <c r="QT78" s="766"/>
      <c r="QU78" s="766"/>
      <c r="QV78" s="766"/>
      <c r="QW78" s="766"/>
      <c r="QX78" s="766"/>
      <c r="QY78" s="766"/>
      <c r="QZ78" s="766"/>
      <c r="RA78" s="766"/>
      <c r="RB78" s="766"/>
      <c r="RC78" s="766"/>
      <c r="RD78" s="766"/>
      <c r="RE78" s="766"/>
      <c r="RF78" s="777"/>
      <c r="RG78" s="766"/>
      <c r="RH78" s="775"/>
      <c r="RI78" s="766"/>
      <c r="RJ78" s="766"/>
      <c r="RK78" s="766"/>
      <c r="RL78" s="1683"/>
      <c r="RM78" s="12"/>
      <c r="RN78" s="1711"/>
      <c r="RO78" s="167" t="s">
        <v>5479</v>
      </c>
      <c r="RP78" s="11"/>
      <c r="RQ78" s="11"/>
      <c r="RR78" s="17"/>
      <c r="RS78" s="766"/>
      <c r="RT78" s="11"/>
      <c r="RU78" s="11"/>
      <c r="RV78" s="766" t="s">
        <v>12387</v>
      </c>
      <c r="RW78" s="11" t="s">
        <v>12277</v>
      </c>
      <c r="RX78" s="11" t="s">
        <v>76</v>
      </c>
      <c r="RY78" s="11"/>
      <c r="RZ78" s="11" t="s">
        <v>7419</v>
      </c>
      <c r="SA78" s="766"/>
      <c r="SB78" s="11"/>
      <c r="SC78" s="11"/>
    </row>
    <row r="79" spans="1:497" ht="12.75" hidden="1" customHeight="1">
      <c r="A79" s="343" t="s">
        <v>12388</v>
      </c>
      <c r="B79" s="1094" t="s">
        <v>12278</v>
      </c>
      <c r="C79" s="167" t="s">
        <v>5477</v>
      </c>
      <c r="D79" s="766" t="s">
        <v>80</v>
      </c>
      <c r="E79" s="766" t="s">
        <v>7247</v>
      </c>
      <c r="F79" s="766"/>
      <c r="G79" s="766"/>
      <c r="H79" s="766"/>
      <c r="I79" s="5"/>
      <c r="J79" s="766"/>
      <c r="K79" s="766"/>
      <c r="L79" s="766"/>
      <c r="M79" s="766"/>
      <c r="N79" s="766"/>
      <c r="O79" s="766"/>
      <c r="P79" s="766"/>
      <c r="Q79" s="1085"/>
      <c r="R79" s="25"/>
      <c r="S79" s="766"/>
      <c r="T79" s="766"/>
      <c r="U79" s="26"/>
      <c r="V79" s="766"/>
      <c r="W79" s="766"/>
      <c r="X79" s="24"/>
      <c r="Y79" s="766"/>
      <c r="Z79" s="766"/>
      <c r="AA79" s="766"/>
      <c r="AB79" s="766"/>
      <c r="AC79" s="766"/>
      <c r="AD79" s="766"/>
      <c r="AE79" s="766"/>
      <c r="AF79" s="766"/>
      <c r="AG79" s="766"/>
      <c r="AH79" s="766"/>
      <c r="AI79" s="766"/>
      <c r="AJ79" s="770"/>
      <c r="AK79" s="766"/>
      <c r="AL79" s="121"/>
      <c r="AM79" s="773"/>
      <c r="AN79" s="37"/>
      <c r="AO79" s="766"/>
      <c r="AP79" s="766"/>
      <c r="AQ79" s="766"/>
      <c r="AR79" s="766"/>
      <c r="AS79" s="766"/>
      <c r="AT79" s="766"/>
      <c r="AU79" s="766"/>
      <c r="AV79" s="766"/>
      <c r="AW79" s="766"/>
      <c r="AX79" s="13"/>
      <c r="AY79" s="766"/>
      <c r="AZ79" s="766"/>
      <c r="BA79" s="766"/>
      <c r="BB79" s="766"/>
      <c r="BC79" s="766"/>
      <c r="BD79" s="766"/>
      <c r="BE79" s="766"/>
      <c r="BF79" s="775"/>
      <c r="BG79" s="775"/>
      <c r="BH79" s="766"/>
      <c r="BI79" s="766"/>
      <c r="BJ79" s="766"/>
      <c r="BK79" s="766" t="s">
        <v>1099</v>
      </c>
      <c r="BL79" s="766"/>
      <c r="BM79" s="766" t="s">
        <v>1120</v>
      </c>
      <c r="BN79" s="766" t="s">
        <v>1230</v>
      </c>
      <c r="BO79" s="766" t="s">
        <v>1246</v>
      </c>
      <c r="BP79" s="776">
        <v>105.75</v>
      </c>
      <c r="BQ79" s="1137">
        <v>34.049999999999997</v>
      </c>
      <c r="BR79" s="774">
        <f>BQ79/BP79</f>
        <v>0.32198581560283684</v>
      </c>
      <c r="BS79" s="6" t="s">
        <v>1149</v>
      </c>
      <c r="BT79" s="766" t="s">
        <v>1326</v>
      </c>
      <c r="BU79" s="769"/>
      <c r="BV79" s="769"/>
      <c r="BW79" s="769"/>
      <c r="BX79" s="779"/>
      <c r="BY79" s="766"/>
      <c r="BZ79" s="775"/>
      <c r="CA79" s="766"/>
      <c r="CB79" s="766"/>
      <c r="CC79" s="766"/>
      <c r="CD79" s="766"/>
      <c r="CE79" s="766"/>
      <c r="CF79" s="231"/>
      <c r="CG79" s="231"/>
      <c r="CH79" s="766"/>
      <c r="CI79" s="766"/>
      <c r="CJ79" s="766"/>
      <c r="CK79" s="766"/>
      <c r="CL79" s="766"/>
      <c r="CM79" s="766"/>
      <c r="CN79" s="766"/>
      <c r="CO79" s="766"/>
      <c r="CP79" s="766"/>
      <c r="CQ79" s="766"/>
      <c r="CR79" s="775"/>
      <c r="CS79" s="766"/>
      <c r="CT79" s="766"/>
      <c r="CU79" s="129"/>
      <c r="CV79" s="766"/>
      <c r="CW79" s="766"/>
      <c r="CX79" s="766"/>
      <c r="CY79" s="766"/>
      <c r="CZ79" s="766"/>
      <c r="DA79" s="766"/>
      <c r="DB79" s="766"/>
      <c r="DC79" s="766"/>
      <c r="DD79" s="766"/>
      <c r="DE79" s="766"/>
      <c r="DF79" s="766"/>
      <c r="DG79" s="766"/>
      <c r="DH79" s="766"/>
      <c r="DI79" s="766"/>
      <c r="DJ79" s="766"/>
      <c r="DK79" s="766"/>
      <c r="DL79" s="766"/>
      <c r="DM79" s="766"/>
      <c r="DN79" s="766"/>
      <c r="DO79" s="766"/>
      <c r="DP79" s="766"/>
      <c r="DQ79" s="766"/>
      <c r="DR79" s="766"/>
      <c r="DS79" s="59"/>
      <c r="DT79" s="766"/>
      <c r="DU79" s="766"/>
      <c r="DV79" s="766"/>
      <c r="DW79" s="66"/>
      <c r="DX79" s="66"/>
      <c r="DY79" s="766"/>
      <c r="DZ79" s="766"/>
      <c r="EA79" s="766"/>
      <c r="EB79" s="766"/>
      <c r="EC79" s="766"/>
      <c r="ED79" s="766"/>
      <c r="EE79" s="766"/>
      <c r="EF79" s="766"/>
      <c r="EG79" s="766"/>
      <c r="EH79" s="766"/>
      <c r="EI79" s="766"/>
      <c r="EJ79" s="766"/>
      <c r="EK79" s="766"/>
      <c r="EL79" s="766"/>
      <c r="EM79" s="766"/>
      <c r="EN79" s="766"/>
      <c r="EO79" s="766"/>
      <c r="EP79" s="766"/>
      <c r="EQ79" s="766"/>
      <c r="ER79" s="766"/>
      <c r="ES79" s="766"/>
      <c r="ET79" s="766"/>
      <c r="EU79" s="766"/>
      <c r="EV79" s="766"/>
      <c r="EW79" s="766"/>
      <c r="EX79" s="766"/>
      <c r="EY79" s="766"/>
      <c r="EZ79" s="766"/>
      <c r="FA79" s="766"/>
      <c r="FB79" s="766"/>
      <c r="FC79" s="766"/>
      <c r="FD79" s="775"/>
      <c r="FE79" s="766"/>
      <c r="FF79" s="766"/>
      <c r="FG79" s="766"/>
      <c r="FH79" s="766"/>
      <c r="FI79" s="766"/>
      <c r="FJ79" s="766"/>
      <c r="FK79" s="766"/>
      <c r="FL79" s="766"/>
      <c r="FM79" s="775"/>
      <c r="FN79" s="775"/>
      <c r="FO79" s="775"/>
      <c r="FP79" s="766" t="s">
        <v>1602</v>
      </c>
      <c r="FQ79" s="766" t="s">
        <v>1660</v>
      </c>
      <c r="FR79" s="766"/>
      <c r="FS79" s="766"/>
      <c r="FT79" s="766"/>
      <c r="FU79" s="766"/>
      <c r="FV79" s="766"/>
      <c r="FW79" s="766"/>
      <c r="FX79" s="766"/>
      <c r="FY79" s="766"/>
      <c r="FZ79" s="766"/>
      <c r="GA79" s="766"/>
      <c r="GB79" s="766"/>
      <c r="GC79" s="75"/>
      <c r="GD79" s="25"/>
      <c r="GE79" s="766"/>
      <c r="GF79" s="775"/>
      <c r="GG79" s="775"/>
      <c r="GH79" s="766"/>
      <c r="GI79" s="766"/>
      <c r="GJ79" s="766"/>
      <c r="GK79" s="766"/>
      <c r="GL79" s="766"/>
      <c r="GM79" s="766"/>
      <c r="GN79" s="82"/>
      <c r="GO79" s="766"/>
      <c r="GP79" s="766"/>
      <c r="GQ79" s="766"/>
      <c r="GR79" s="766"/>
      <c r="GS79" s="766"/>
      <c r="GT79" s="766"/>
      <c r="GU79" s="766"/>
      <c r="GV79" s="766"/>
      <c r="GW79" s="766"/>
      <c r="GX79" s="766"/>
      <c r="GY79" s="766"/>
      <c r="GZ79" s="766"/>
      <c r="HA79" s="766"/>
      <c r="HB79" s="766"/>
      <c r="HC79" s="766"/>
      <c r="HD79" s="766"/>
      <c r="HE79" s="766"/>
      <c r="HF79" s="766"/>
      <c r="HG79" s="766"/>
      <c r="HH79" s="766"/>
      <c r="HI79" s="766"/>
      <c r="HJ79" s="766"/>
      <c r="HK79" s="766"/>
      <c r="HL79" s="766"/>
      <c r="HM79" s="766"/>
      <c r="HN79" s="766"/>
      <c r="HO79" s="766"/>
      <c r="HP79" s="766"/>
      <c r="HQ79" s="766"/>
      <c r="HR79" s="766"/>
      <c r="HS79" s="766"/>
      <c r="HT79" s="766"/>
      <c r="HU79" s="766"/>
      <c r="HV79" s="766"/>
      <c r="HW79" s="766"/>
      <c r="HX79" s="766"/>
      <c r="HY79" s="766"/>
      <c r="HZ79" s="766"/>
      <c r="IA79" s="766"/>
      <c r="IB79" s="766"/>
      <c r="IC79" s="766"/>
      <c r="ID79" s="766"/>
      <c r="IE79" s="766"/>
      <c r="IF79" s="766"/>
      <c r="IG79" s="766"/>
      <c r="IH79" s="766"/>
      <c r="II79" s="766"/>
      <c r="IJ79" s="766"/>
      <c r="IK79" s="766"/>
      <c r="IL79" s="766"/>
      <c r="IM79" s="766"/>
      <c r="IN79" s="766"/>
      <c r="IO79" s="24"/>
      <c r="IP79" s="766"/>
      <c r="IQ79" s="766"/>
      <c r="IR79" s="766"/>
      <c r="IS79" s="766"/>
      <c r="IT79" s="766"/>
      <c r="IU79" s="766"/>
      <c r="IV79" s="766"/>
      <c r="IW79" s="766"/>
      <c r="IX79" s="766"/>
      <c r="IY79" s="766"/>
      <c r="IZ79" s="766"/>
      <c r="JA79" s="766"/>
      <c r="JB79" s="766"/>
      <c r="JC79" s="766"/>
      <c r="JD79" s="775"/>
      <c r="JE79" s="766"/>
      <c r="JF79" s="766"/>
      <c r="JG79" s="766"/>
      <c r="JH79" s="775"/>
      <c r="JI79" s="775"/>
      <c r="JJ79" s="766"/>
      <c r="JK79" s="766"/>
      <c r="JL79" s="766"/>
      <c r="JM79" s="766"/>
      <c r="JN79" s="766"/>
      <c r="JO79" s="766"/>
      <c r="JP79" s="766"/>
      <c r="JQ79" s="766"/>
      <c r="JR79" s="766"/>
      <c r="JS79" s="766"/>
      <c r="JT79" s="766"/>
      <c r="JU79" s="766"/>
      <c r="JV79" s="766"/>
      <c r="JW79" s="766"/>
      <c r="JX79" s="766"/>
      <c r="JY79" s="766"/>
      <c r="JZ79" s="766"/>
      <c r="KA79" s="766"/>
      <c r="KB79" s="766"/>
      <c r="KC79" s="766"/>
      <c r="KD79" s="766"/>
      <c r="KE79" s="766"/>
      <c r="KF79" s="766"/>
      <c r="KG79" s="766"/>
      <c r="KH79" s="766"/>
      <c r="KI79" s="766"/>
      <c r="KJ79" s="770"/>
      <c r="KK79" s="770"/>
      <c r="KL79" s="770"/>
      <c r="KM79" s="770"/>
      <c r="KN79" s="766"/>
      <c r="KO79" s="766"/>
      <c r="KP79" s="766"/>
      <c r="KQ79" s="766"/>
      <c r="KR79" s="766"/>
      <c r="KS79" s="766"/>
      <c r="KT79" s="766"/>
      <c r="KU79" s="766"/>
      <c r="KV79" s="766"/>
      <c r="KW79" s="766"/>
      <c r="KX79" s="766"/>
      <c r="KY79" s="766"/>
      <c r="KZ79" s="766"/>
      <c r="LA79" s="766"/>
      <c r="LB79" s="766"/>
      <c r="LC79" s="766"/>
      <c r="LD79" s="766"/>
      <c r="LE79" s="766"/>
      <c r="LF79" s="766"/>
      <c r="LG79" s="766"/>
      <c r="LH79" s="766"/>
      <c r="LI79" s="766"/>
      <c r="LJ79" s="766"/>
      <c r="LK79" s="766"/>
      <c r="LL79" s="766"/>
      <c r="LM79" s="766"/>
      <c r="LN79" s="766"/>
      <c r="LO79" s="766"/>
      <c r="LP79" s="766"/>
      <c r="LQ79" s="766"/>
      <c r="LR79" s="766"/>
      <c r="LS79" s="766"/>
      <c r="LT79" s="766"/>
      <c r="LU79" s="766"/>
      <c r="LV79" s="766"/>
      <c r="LW79" s="766"/>
      <c r="LX79" s="769"/>
      <c r="LY79" s="766" t="str">
        <f t="shared" si="16"/>
        <v/>
      </c>
      <c r="LZ79" s="66"/>
      <c r="MA79" s="66"/>
      <c r="MB79" s="66"/>
      <c r="MC79" s="1679">
        <f t="shared" si="17"/>
        <v>0</v>
      </c>
      <c r="MD79" s="66"/>
      <c r="ME79" s="66"/>
      <c r="MF79" s="66"/>
      <c r="MG79" s="1680">
        <f t="shared" si="15"/>
        <v>0</v>
      </c>
      <c r="MH79" s="766"/>
      <c r="MI79" s="775"/>
      <c r="MJ79" s="775"/>
      <c r="MK79" s="775"/>
      <c r="ML79" s="775"/>
      <c r="MM79" s="775"/>
      <c r="MN79" s="775"/>
      <c r="MO79" s="775"/>
      <c r="MP79" s="775"/>
      <c r="MQ79" s="775"/>
      <c r="MR79" s="775"/>
      <c r="MS79" s="775"/>
      <c r="MT79" s="775"/>
      <c r="MU79" s="775"/>
      <c r="MV79" s="775"/>
      <c r="MW79" s="775"/>
      <c r="MX79" s="775"/>
      <c r="MY79" s="1682">
        <f t="shared" si="14"/>
        <v>0</v>
      </c>
      <c r="MZ79" s="766"/>
      <c r="NA79" s="766"/>
      <c r="NB79" s="766"/>
      <c r="NC79" s="766"/>
      <c r="ND79" s="766"/>
      <c r="NE79" s="766"/>
      <c r="NF79" s="766"/>
      <c r="NG79" s="766"/>
      <c r="NH79" s="766"/>
      <c r="NI79" s="766"/>
      <c r="NJ79" s="766"/>
      <c r="NK79" s="766"/>
      <c r="NL79" s="766"/>
      <c r="NM79" s="766"/>
      <c r="NN79" s="766"/>
      <c r="NO79" s="766"/>
      <c r="NP79" s="766"/>
      <c r="NQ79" s="766"/>
      <c r="NR79" s="766"/>
      <c r="NS79" s="766"/>
      <c r="NT79" s="766"/>
      <c r="NU79" s="766"/>
      <c r="NV79" s="766"/>
      <c r="NW79" s="766"/>
      <c r="NX79" s="766"/>
      <c r="NY79" s="766"/>
      <c r="NZ79" s="766"/>
      <c r="OA79" s="766"/>
      <c r="OB79" s="766"/>
      <c r="OC79" s="766"/>
      <c r="OD79" s="766"/>
      <c r="OE79" s="766"/>
      <c r="OF79" s="766"/>
      <c r="OG79" s="766"/>
      <c r="OH79" s="766"/>
      <c r="OI79" s="766"/>
      <c r="OJ79" s="766"/>
      <c r="OK79" s="766"/>
      <c r="OL79" s="766"/>
      <c r="OM79" s="766"/>
      <c r="ON79" s="766"/>
      <c r="OO79" s="766"/>
      <c r="OP79" s="766"/>
      <c r="OQ79" s="766"/>
      <c r="OR79" s="766"/>
      <c r="OS79" s="766"/>
      <c r="OT79" s="766"/>
      <c r="OU79" s="766"/>
      <c r="OV79" s="766"/>
      <c r="OW79" s="766"/>
      <c r="OX79" s="766"/>
      <c r="OY79" s="766"/>
      <c r="OZ79" s="766"/>
      <c r="PA79" s="766"/>
      <c r="PB79" s="766"/>
      <c r="PC79" s="766"/>
      <c r="PD79" s="766"/>
      <c r="PE79" s="766"/>
      <c r="PF79" s="766"/>
      <c r="PG79" s="766"/>
      <c r="PH79" s="766"/>
      <c r="PI79" s="766"/>
      <c r="PJ79" s="766"/>
      <c r="PK79" s="766"/>
      <c r="PL79" s="766"/>
      <c r="PM79" s="766"/>
      <c r="PN79" s="766"/>
      <c r="PO79" s="766"/>
      <c r="PP79" s="766"/>
      <c r="PQ79" s="766"/>
      <c r="PR79" s="766"/>
      <c r="PS79" s="766"/>
      <c r="PT79" s="766"/>
      <c r="PU79" s="766"/>
      <c r="PV79" s="766"/>
      <c r="PW79" s="766"/>
      <c r="PX79" s="766"/>
      <c r="PY79" s="766"/>
      <c r="PZ79" s="766"/>
      <c r="QA79" s="766"/>
      <c r="QB79" s="766"/>
      <c r="QC79" s="766"/>
      <c r="QD79" s="766"/>
      <c r="QE79" s="766"/>
      <c r="QF79" s="766"/>
      <c r="QG79" s="766"/>
      <c r="QH79" s="766"/>
      <c r="QI79" s="766"/>
      <c r="QJ79" s="766"/>
      <c r="QK79" s="766"/>
      <c r="QL79" s="766"/>
      <c r="QM79" s="766"/>
      <c r="QN79" s="766"/>
      <c r="QO79" s="766"/>
      <c r="QP79" s="766"/>
      <c r="QQ79" s="766"/>
      <c r="QR79" s="766"/>
      <c r="QS79" s="766"/>
      <c r="QT79" s="766"/>
      <c r="QU79" s="766"/>
      <c r="QV79" s="766"/>
      <c r="QW79" s="766"/>
      <c r="QX79" s="766"/>
      <c r="QY79" s="766"/>
      <c r="QZ79" s="766"/>
      <c r="RA79" s="766"/>
      <c r="RB79" s="766"/>
      <c r="RC79" s="766"/>
      <c r="RD79" s="766"/>
      <c r="RE79" s="766"/>
      <c r="RF79" s="777"/>
      <c r="RG79" s="766"/>
      <c r="RH79" s="775"/>
      <c r="RI79" s="766"/>
      <c r="RJ79" s="766"/>
      <c r="RK79" s="766"/>
      <c r="RL79" s="1683"/>
      <c r="RM79" s="12"/>
      <c r="RN79" s="1711"/>
      <c r="RO79" s="167" t="s">
        <v>5477</v>
      </c>
      <c r="RP79" s="11"/>
      <c r="RQ79" s="11"/>
      <c r="RR79" s="17"/>
      <c r="RS79" s="766"/>
      <c r="RT79" s="11"/>
      <c r="RU79" s="11"/>
      <c r="RV79" s="766" t="s">
        <v>12387</v>
      </c>
      <c r="RW79" s="11" t="s">
        <v>12528</v>
      </c>
      <c r="RX79" s="11" t="s">
        <v>12527</v>
      </c>
      <c r="RY79" s="11"/>
      <c r="RZ79" s="11" t="s">
        <v>7419</v>
      </c>
      <c r="SA79" s="766"/>
      <c r="SB79" s="11"/>
      <c r="SC79" s="11"/>
    </row>
    <row r="80" spans="1:497" ht="12.75" hidden="1" customHeight="1">
      <c r="A80" s="343" t="s">
        <v>12388</v>
      </c>
      <c r="B80" s="1094" t="s">
        <v>7558</v>
      </c>
      <c r="C80" s="167" t="s">
        <v>5478</v>
      </c>
      <c r="D80" s="766" t="s">
        <v>80</v>
      </c>
      <c r="E80" s="766" t="s">
        <v>7247</v>
      </c>
      <c r="F80" s="766"/>
      <c r="G80" s="766"/>
      <c r="H80" s="766"/>
      <c r="I80" s="5"/>
      <c r="J80" s="766"/>
      <c r="K80" s="766"/>
      <c r="L80" s="766"/>
      <c r="M80" s="766"/>
      <c r="N80" s="766"/>
      <c r="O80" s="766"/>
      <c r="P80" s="766"/>
      <c r="Q80" s="1085"/>
      <c r="R80" s="25"/>
      <c r="S80" s="766"/>
      <c r="T80" s="766"/>
      <c r="U80" s="26"/>
      <c r="V80" s="766"/>
      <c r="W80" s="766"/>
      <c r="X80" s="24"/>
      <c r="Y80" s="766"/>
      <c r="Z80" s="766"/>
      <c r="AA80" s="766"/>
      <c r="AB80" s="766"/>
      <c r="AC80" s="766"/>
      <c r="AD80" s="766"/>
      <c r="AE80" s="766"/>
      <c r="AF80" s="766"/>
      <c r="AG80" s="766"/>
      <c r="AH80" s="766"/>
      <c r="AI80" s="766"/>
      <c r="AJ80" s="770"/>
      <c r="AK80" s="766"/>
      <c r="AL80" s="121"/>
      <c r="AM80" s="773"/>
      <c r="AN80" s="37"/>
      <c r="AO80" s="766"/>
      <c r="AP80" s="766"/>
      <c r="AQ80" s="766"/>
      <c r="AR80" s="766"/>
      <c r="AS80" s="766"/>
      <c r="AT80" s="766"/>
      <c r="AU80" s="766"/>
      <c r="AV80" s="766"/>
      <c r="AW80" s="766"/>
      <c r="AX80" s="13"/>
      <c r="AY80" s="766"/>
      <c r="AZ80" s="766"/>
      <c r="BA80" s="766"/>
      <c r="BB80" s="766"/>
      <c r="BC80" s="766"/>
      <c r="BD80" s="766"/>
      <c r="BE80" s="766"/>
      <c r="BF80" s="775"/>
      <c r="BG80" s="775"/>
      <c r="BH80" s="766"/>
      <c r="BI80" s="766"/>
      <c r="BJ80" s="766"/>
      <c r="BK80" s="766" t="s">
        <v>1099</v>
      </c>
      <c r="BL80" s="766"/>
      <c r="BM80" s="766" t="s">
        <v>1120</v>
      </c>
      <c r="BN80" s="766" t="s">
        <v>1230</v>
      </c>
      <c r="BO80" s="766" t="s">
        <v>1246</v>
      </c>
      <c r="BP80" s="776">
        <v>317.77</v>
      </c>
      <c r="BQ80" s="1137">
        <v>158.19999999999999</v>
      </c>
      <c r="BR80" s="774">
        <f>BQ80/BP80</f>
        <v>0.49784435283381062</v>
      </c>
      <c r="BS80" s="6" t="s">
        <v>1149</v>
      </c>
      <c r="BT80" s="766" t="s">
        <v>1326</v>
      </c>
      <c r="BU80" s="769"/>
      <c r="BV80" s="769"/>
      <c r="BW80" s="769"/>
      <c r="BX80" s="779"/>
      <c r="BY80" s="766"/>
      <c r="BZ80" s="775"/>
      <c r="CA80" s="766"/>
      <c r="CB80" s="766"/>
      <c r="CC80" s="766"/>
      <c r="CD80" s="766"/>
      <c r="CE80" s="766"/>
      <c r="CF80" s="231"/>
      <c r="CG80" s="231"/>
      <c r="CH80" s="766"/>
      <c r="CI80" s="766"/>
      <c r="CJ80" s="766"/>
      <c r="CK80" s="766"/>
      <c r="CL80" s="766"/>
      <c r="CM80" s="766"/>
      <c r="CN80" s="766"/>
      <c r="CO80" s="766"/>
      <c r="CP80" s="766"/>
      <c r="CQ80" s="766"/>
      <c r="CR80" s="775"/>
      <c r="CS80" s="766"/>
      <c r="CT80" s="766"/>
      <c r="CU80" s="129"/>
      <c r="CV80" s="766"/>
      <c r="CW80" s="766"/>
      <c r="CX80" s="766"/>
      <c r="CY80" s="766"/>
      <c r="CZ80" s="766"/>
      <c r="DA80" s="766"/>
      <c r="DB80" s="766"/>
      <c r="DC80" s="766"/>
      <c r="DD80" s="766"/>
      <c r="DE80" s="766"/>
      <c r="DF80" s="766"/>
      <c r="DG80" s="766"/>
      <c r="DH80" s="766"/>
      <c r="DI80" s="766"/>
      <c r="DJ80" s="766"/>
      <c r="DK80" s="766"/>
      <c r="DL80" s="766"/>
      <c r="DM80" s="766"/>
      <c r="DN80" s="766"/>
      <c r="DO80" s="766"/>
      <c r="DP80" s="766"/>
      <c r="DQ80" s="766"/>
      <c r="DR80" s="766"/>
      <c r="DS80" s="59"/>
      <c r="DT80" s="766"/>
      <c r="DU80" s="766"/>
      <c r="DV80" s="766"/>
      <c r="DW80" s="66"/>
      <c r="DX80" s="66"/>
      <c r="DY80" s="766"/>
      <c r="DZ80" s="766"/>
      <c r="EA80" s="766"/>
      <c r="EB80" s="766"/>
      <c r="EC80" s="766"/>
      <c r="ED80" s="766"/>
      <c r="EE80" s="766"/>
      <c r="EF80" s="766"/>
      <c r="EG80" s="766"/>
      <c r="EH80" s="766"/>
      <c r="EI80" s="766"/>
      <c r="EJ80" s="766"/>
      <c r="EK80" s="766"/>
      <c r="EL80" s="766"/>
      <c r="EM80" s="766"/>
      <c r="EN80" s="766"/>
      <c r="EO80" s="766"/>
      <c r="EP80" s="766"/>
      <c r="EQ80" s="766"/>
      <c r="ER80" s="766"/>
      <c r="ES80" s="766"/>
      <c r="ET80" s="766"/>
      <c r="EU80" s="766"/>
      <c r="EV80" s="766"/>
      <c r="EW80" s="766"/>
      <c r="EX80" s="766"/>
      <c r="EY80" s="766"/>
      <c r="EZ80" s="766"/>
      <c r="FA80" s="766"/>
      <c r="FB80" s="766"/>
      <c r="FC80" s="766"/>
      <c r="FD80" s="775"/>
      <c r="FE80" s="766"/>
      <c r="FF80" s="766"/>
      <c r="FG80" s="766"/>
      <c r="FH80" s="766"/>
      <c r="FI80" s="766"/>
      <c r="FJ80" s="766"/>
      <c r="FK80" s="766"/>
      <c r="FL80" s="766"/>
      <c r="FM80" s="775"/>
      <c r="FN80" s="775"/>
      <c r="FO80" s="775"/>
      <c r="FP80" s="766" t="s">
        <v>1602</v>
      </c>
      <c r="FQ80" s="766" t="s">
        <v>1660</v>
      </c>
      <c r="FR80" s="766"/>
      <c r="FS80" s="766"/>
      <c r="FT80" s="766"/>
      <c r="FU80" s="766"/>
      <c r="FV80" s="766"/>
      <c r="FW80" s="766"/>
      <c r="FX80" s="766"/>
      <c r="FY80" s="766"/>
      <c r="FZ80" s="766"/>
      <c r="GA80" s="766"/>
      <c r="GB80" s="766"/>
      <c r="GC80" s="75"/>
      <c r="GD80" s="25"/>
      <c r="GE80" s="766"/>
      <c r="GF80" s="775"/>
      <c r="GG80" s="775"/>
      <c r="GH80" s="766"/>
      <c r="GI80" s="766"/>
      <c r="GJ80" s="766"/>
      <c r="GK80" s="766"/>
      <c r="GL80" s="766"/>
      <c r="GM80" s="766"/>
      <c r="GN80" s="82"/>
      <c r="GO80" s="766"/>
      <c r="GP80" s="766"/>
      <c r="GQ80" s="766"/>
      <c r="GR80" s="766"/>
      <c r="GS80" s="766"/>
      <c r="GT80" s="766"/>
      <c r="GU80" s="766"/>
      <c r="GV80" s="766"/>
      <c r="GW80" s="766"/>
      <c r="GX80" s="766"/>
      <c r="GY80" s="766"/>
      <c r="GZ80" s="766"/>
      <c r="HA80" s="766"/>
      <c r="HB80" s="766"/>
      <c r="HC80" s="766"/>
      <c r="HD80" s="766"/>
      <c r="HE80" s="766"/>
      <c r="HF80" s="766"/>
      <c r="HG80" s="766"/>
      <c r="HH80" s="766"/>
      <c r="HI80" s="766"/>
      <c r="HJ80" s="766"/>
      <c r="HK80" s="766"/>
      <c r="HL80" s="766"/>
      <c r="HM80" s="766"/>
      <c r="HN80" s="766"/>
      <c r="HO80" s="766"/>
      <c r="HP80" s="766"/>
      <c r="HQ80" s="766"/>
      <c r="HR80" s="766"/>
      <c r="HS80" s="766"/>
      <c r="HT80" s="766"/>
      <c r="HU80" s="766"/>
      <c r="HV80" s="766"/>
      <c r="HW80" s="766"/>
      <c r="HX80" s="766"/>
      <c r="HY80" s="766"/>
      <c r="HZ80" s="766"/>
      <c r="IA80" s="766"/>
      <c r="IB80" s="766"/>
      <c r="IC80" s="766"/>
      <c r="ID80" s="766"/>
      <c r="IE80" s="766"/>
      <c r="IF80" s="766"/>
      <c r="IG80" s="766"/>
      <c r="IH80" s="766"/>
      <c r="II80" s="766"/>
      <c r="IJ80" s="766"/>
      <c r="IK80" s="766"/>
      <c r="IL80" s="766"/>
      <c r="IM80" s="766"/>
      <c r="IN80" s="766"/>
      <c r="IO80" s="24"/>
      <c r="IP80" s="766"/>
      <c r="IQ80" s="766"/>
      <c r="IR80" s="766"/>
      <c r="IS80" s="766"/>
      <c r="IT80" s="766"/>
      <c r="IU80" s="766"/>
      <c r="IV80" s="766"/>
      <c r="IW80" s="766"/>
      <c r="IX80" s="766"/>
      <c r="IY80" s="766"/>
      <c r="IZ80" s="766"/>
      <c r="JA80" s="766"/>
      <c r="JB80" s="766"/>
      <c r="JC80" s="766"/>
      <c r="JD80" s="775"/>
      <c r="JE80" s="766"/>
      <c r="JF80" s="766"/>
      <c r="JG80" s="766"/>
      <c r="JH80" s="775"/>
      <c r="JI80" s="775"/>
      <c r="JJ80" s="766"/>
      <c r="JK80" s="766"/>
      <c r="JL80" s="766"/>
      <c r="JM80" s="766"/>
      <c r="JN80" s="766"/>
      <c r="JO80" s="766"/>
      <c r="JP80" s="766"/>
      <c r="JQ80" s="766"/>
      <c r="JR80" s="766"/>
      <c r="JS80" s="766"/>
      <c r="JT80" s="766"/>
      <c r="JU80" s="766"/>
      <c r="JV80" s="766"/>
      <c r="JW80" s="766"/>
      <c r="JX80" s="766"/>
      <c r="JY80" s="766"/>
      <c r="JZ80" s="766"/>
      <c r="KA80" s="766"/>
      <c r="KB80" s="766"/>
      <c r="KC80" s="766"/>
      <c r="KD80" s="766"/>
      <c r="KE80" s="766"/>
      <c r="KF80" s="766"/>
      <c r="KG80" s="766"/>
      <c r="KH80" s="766"/>
      <c r="KI80" s="766"/>
      <c r="KJ80" s="770"/>
      <c r="KK80" s="770"/>
      <c r="KL80" s="770"/>
      <c r="KM80" s="770"/>
      <c r="KN80" s="766"/>
      <c r="KO80" s="766"/>
      <c r="KP80" s="766"/>
      <c r="KQ80" s="766"/>
      <c r="KR80" s="766"/>
      <c r="KS80" s="766"/>
      <c r="KT80" s="766"/>
      <c r="KU80" s="766"/>
      <c r="KV80" s="766"/>
      <c r="KW80" s="766"/>
      <c r="KX80" s="766"/>
      <c r="KY80" s="766"/>
      <c r="KZ80" s="766"/>
      <c r="LA80" s="766"/>
      <c r="LB80" s="766"/>
      <c r="LC80" s="766"/>
      <c r="LD80" s="766"/>
      <c r="LE80" s="766"/>
      <c r="LF80" s="766"/>
      <c r="LG80" s="766"/>
      <c r="LH80" s="766"/>
      <c r="LI80" s="766"/>
      <c r="LJ80" s="766"/>
      <c r="LK80" s="766"/>
      <c r="LL80" s="766"/>
      <c r="LM80" s="766"/>
      <c r="LN80" s="766"/>
      <c r="LO80" s="766"/>
      <c r="LP80" s="766"/>
      <c r="LQ80" s="766"/>
      <c r="LR80" s="766"/>
      <c r="LS80" s="766"/>
      <c r="LT80" s="766"/>
      <c r="LU80" s="766"/>
      <c r="LV80" s="766"/>
      <c r="LW80" s="766"/>
      <c r="LX80" s="769"/>
      <c r="LY80" s="766" t="str">
        <f t="shared" si="16"/>
        <v/>
      </c>
      <c r="LZ80" s="66"/>
      <c r="MA80" s="66"/>
      <c r="MB80" s="66"/>
      <c r="MC80" s="1679">
        <f t="shared" si="17"/>
        <v>0</v>
      </c>
      <c r="MD80" s="66"/>
      <c r="ME80" s="66"/>
      <c r="MF80" s="66"/>
      <c r="MG80" s="1680">
        <f t="shared" si="15"/>
        <v>0</v>
      </c>
      <c r="MH80" s="766"/>
      <c r="MI80" s="775"/>
      <c r="MJ80" s="775"/>
      <c r="MK80" s="775"/>
      <c r="ML80" s="775"/>
      <c r="MM80" s="775"/>
      <c r="MN80" s="775"/>
      <c r="MO80" s="775"/>
      <c r="MP80" s="775"/>
      <c r="MQ80" s="775"/>
      <c r="MR80" s="775"/>
      <c r="MS80" s="775"/>
      <c r="MT80" s="775"/>
      <c r="MU80" s="775"/>
      <c r="MV80" s="775"/>
      <c r="MW80" s="775"/>
      <c r="MX80" s="775"/>
      <c r="MY80" s="1682">
        <f t="shared" si="14"/>
        <v>0</v>
      </c>
      <c r="MZ80" s="766"/>
      <c r="NA80" s="766"/>
      <c r="NB80" s="766"/>
      <c r="NC80" s="766"/>
      <c r="ND80" s="766"/>
      <c r="NE80" s="766"/>
      <c r="NF80" s="766"/>
      <c r="NG80" s="766"/>
      <c r="NH80" s="766"/>
      <c r="NI80" s="766"/>
      <c r="NJ80" s="766"/>
      <c r="NK80" s="766"/>
      <c r="NL80" s="766"/>
      <c r="NM80" s="766"/>
      <c r="NN80" s="766"/>
      <c r="NO80" s="766"/>
      <c r="NP80" s="766"/>
      <c r="NQ80" s="766"/>
      <c r="NR80" s="766"/>
      <c r="NS80" s="766"/>
      <c r="NT80" s="766"/>
      <c r="NU80" s="766"/>
      <c r="NV80" s="766"/>
      <c r="NW80" s="766"/>
      <c r="NX80" s="766"/>
      <c r="NY80" s="766"/>
      <c r="NZ80" s="766"/>
      <c r="OA80" s="766"/>
      <c r="OB80" s="766"/>
      <c r="OC80" s="766"/>
      <c r="OD80" s="766"/>
      <c r="OE80" s="766"/>
      <c r="OF80" s="766"/>
      <c r="OG80" s="766"/>
      <c r="OH80" s="766"/>
      <c r="OI80" s="766"/>
      <c r="OJ80" s="766"/>
      <c r="OK80" s="766"/>
      <c r="OL80" s="766"/>
      <c r="OM80" s="766"/>
      <c r="ON80" s="766"/>
      <c r="OO80" s="766"/>
      <c r="OP80" s="766"/>
      <c r="OQ80" s="766"/>
      <c r="OR80" s="766"/>
      <c r="OS80" s="766"/>
      <c r="OT80" s="766"/>
      <c r="OU80" s="766"/>
      <c r="OV80" s="766"/>
      <c r="OW80" s="766"/>
      <c r="OX80" s="766"/>
      <c r="OY80" s="766"/>
      <c r="OZ80" s="766"/>
      <c r="PA80" s="766"/>
      <c r="PB80" s="766"/>
      <c r="PC80" s="766"/>
      <c r="PD80" s="766"/>
      <c r="PE80" s="766"/>
      <c r="PF80" s="766"/>
      <c r="PG80" s="766"/>
      <c r="PH80" s="766"/>
      <c r="PI80" s="766"/>
      <c r="PJ80" s="766"/>
      <c r="PK80" s="766"/>
      <c r="PL80" s="766"/>
      <c r="PM80" s="766"/>
      <c r="PN80" s="766"/>
      <c r="PO80" s="766"/>
      <c r="PP80" s="766"/>
      <c r="PQ80" s="766"/>
      <c r="PR80" s="766"/>
      <c r="PS80" s="766"/>
      <c r="PT80" s="766"/>
      <c r="PU80" s="766"/>
      <c r="PV80" s="766"/>
      <c r="PW80" s="766"/>
      <c r="PX80" s="766"/>
      <c r="PY80" s="766"/>
      <c r="PZ80" s="766"/>
      <c r="QA80" s="766"/>
      <c r="QB80" s="766"/>
      <c r="QC80" s="766"/>
      <c r="QD80" s="766"/>
      <c r="QE80" s="766"/>
      <c r="QF80" s="766"/>
      <c r="QG80" s="766"/>
      <c r="QH80" s="766"/>
      <c r="QI80" s="766"/>
      <c r="QJ80" s="766"/>
      <c r="QK80" s="766"/>
      <c r="QL80" s="766"/>
      <c r="QM80" s="766"/>
      <c r="QN80" s="766"/>
      <c r="QO80" s="766"/>
      <c r="QP80" s="766"/>
      <c r="QQ80" s="766"/>
      <c r="QR80" s="766"/>
      <c r="QS80" s="766"/>
      <c r="QT80" s="766"/>
      <c r="QU80" s="766"/>
      <c r="QV80" s="766"/>
      <c r="QW80" s="766"/>
      <c r="QX80" s="766"/>
      <c r="QY80" s="766"/>
      <c r="QZ80" s="766"/>
      <c r="RA80" s="766"/>
      <c r="RB80" s="766"/>
      <c r="RC80" s="766"/>
      <c r="RD80" s="766"/>
      <c r="RE80" s="766"/>
      <c r="RF80" s="777"/>
      <c r="RG80" s="766"/>
      <c r="RH80" s="775"/>
      <c r="RI80" s="766"/>
      <c r="RJ80" s="766"/>
      <c r="RK80" s="766"/>
      <c r="RL80" s="1683"/>
      <c r="RM80" s="12"/>
      <c r="RN80" s="1711"/>
      <c r="RO80" s="167" t="s">
        <v>5478</v>
      </c>
      <c r="RP80" s="11"/>
      <c r="RQ80" s="11"/>
      <c r="RR80" s="17"/>
      <c r="RS80" s="766"/>
      <c r="RT80" s="11"/>
      <c r="RU80" s="11"/>
      <c r="RV80" s="766" t="s">
        <v>7419</v>
      </c>
      <c r="RW80" s="11" t="s">
        <v>7557</v>
      </c>
      <c r="RX80" s="11" t="s">
        <v>5479</v>
      </c>
      <c r="RY80" s="11"/>
      <c r="RZ80" s="11"/>
      <c r="SA80" s="766"/>
      <c r="SB80" s="11"/>
      <c r="SC80" s="11"/>
    </row>
    <row r="81" spans="1:497" ht="12.75" hidden="1" customHeight="1">
      <c r="A81" s="19" t="s">
        <v>7419</v>
      </c>
      <c r="B81" s="288" t="s">
        <v>12410</v>
      </c>
      <c r="C81" s="167" t="s">
        <v>81</v>
      </c>
      <c r="D81" s="766"/>
      <c r="E81" s="766" t="s">
        <v>87</v>
      </c>
      <c r="F81" s="766"/>
      <c r="G81" s="766"/>
      <c r="H81" s="766"/>
      <c r="I81" s="5"/>
      <c r="J81" s="766"/>
      <c r="K81" s="766" t="s">
        <v>82</v>
      </c>
      <c r="L81" s="766" t="s">
        <v>83</v>
      </c>
      <c r="M81" s="766"/>
      <c r="N81" s="766"/>
      <c r="O81" s="766" t="s">
        <v>84</v>
      </c>
      <c r="P81" s="766"/>
      <c r="Q81" s="1085"/>
      <c r="R81" s="25"/>
      <c r="S81" s="766"/>
      <c r="T81" s="766"/>
      <c r="U81" s="26"/>
      <c r="V81" s="766"/>
      <c r="W81" s="766"/>
      <c r="X81" s="24"/>
      <c r="Y81" s="766"/>
      <c r="Z81" s="766"/>
      <c r="AA81" s="766"/>
      <c r="AB81" s="766"/>
      <c r="AC81" s="766"/>
      <c r="AD81" s="766"/>
      <c r="AE81" s="766"/>
      <c r="AF81" s="766"/>
      <c r="AG81" s="766" t="s">
        <v>1165</v>
      </c>
      <c r="AH81" s="766" t="s">
        <v>1120</v>
      </c>
      <c r="AI81" s="766"/>
      <c r="AJ81" s="766" t="s">
        <v>8074</v>
      </c>
      <c r="AK81" s="766" t="s">
        <v>1097</v>
      </c>
      <c r="AL81" s="121">
        <v>144</v>
      </c>
      <c r="AM81" s="773">
        <f>PRODUCT(4,25)</f>
        <v>100</v>
      </c>
      <c r="AN81" s="37">
        <f>AM81/AL81</f>
        <v>0.69444444444444442</v>
      </c>
      <c r="AO81" s="766" t="s">
        <v>1098</v>
      </c>
      <c r="AP81" s="766"/>
      <c r="AQ81" s="766"/>
      <c r="AR81" s="766"/>
      <c r="AS81" s="766"/>
      <c r="AT81" s="766"/>
      <c r="AU81" s="766"/>
      <c r="AV81" s="766"/>
      <c r="AW81" s="766"/>
      <c r="AX81" s="13"/>
      <c r="AY81" s="766"/>
      <c r="AZ81" s="766"/>
      <c r="BA81" s="766"/>
      <c r="BB81" s="766"/>
      <c r="BC81" s="766"/>
      <c r="BD81" s="766"/>
      <c r="BE81" s="766"/>
      <c r="BF81" s="775"/>
      <c r="BG81" s="775"/>
      <c r="BH81" s="766"/>
      <c r="BI81" s="766"/>
      <c r="BJ81" s="766"/>
      <c r="BK81" s="766"/>
      <c r="BL81" s="766"/>
      <c r="BM81" s="766"/>
      <c r="BN81" s="766"/>
      <c r="BO81" s="766"/>
      <c r="BP81" s="766"/>
      <c r="BQ81" s="766"/>
      <c r="BR81" s="766"/>
      <c r="BS81" s="766"/>
      <c r="BT81" s="766"/>
      <c r="BU81" s="769"/>
      <c r="BV81" s="769"/>
      <c r="BW81" s="769"/>
      <c r="BX81" s="779"/>
      <c r="BY81" s="766"/>
      <c r="BZ81" s="775"/>
      <c r="CA81" s="766"/>
      <c r="CB81" s="766" t="s">
        <v>1207</v>
      </c>
      <c r="CC81" s="766" t="s">
        <v>1273</v>
      </c>
      <c r="CD81" s="766"/>
      <c r="CE81" s="766"/>
      <c r="CF81" s="231">
        <v>2.4</v>
      </c>
      <c r="CG81" s="231">
        <v>22</v>
      </c>
      <c r="CH81" s="766" t="s">
        <v>1455</v>
      </c>
      <c r="CI81" s="766"/>
      <c r="CJ81" s="766"/>
      <c r="CK81" s="766">
        <v>5</v>
      </c>
      <c r="CL81" s="766" t="s">
        <v>1456</v>
      </c>
      <c r="CM81" s="766" t="s">
        <v>1437</v>
      </c>
      <c r="CN81" s="766"/>
      <c r="CO81" s="766" t="s">
        <v>1257</v>
      </c>
      <c r="CP81" s="766"/>
      <c r="CQ81" s="766"/>
      <c r="CR81" s="775"/>
      <c r="CS81" s="766"/>
      <c r="CT81" s="766"/>
      <c r="CU81" s="129"/>
      <c r="CV81" s="766"/>
      <c r="CW81" s="766"/>
      <c r="CX81" s="766"/>
      <c r="CY81" s="766"/>
      <c r="CZ81" s="766"/>
      <c r="DA81" s="766"/>
      <c r="DB81" s="766"/>
      <c r="DC81" s="766"/>
      <c r="DD81" s="766"/>
      <c r="DE81" s="766"/>
      <c r="DF81" s="766"/>
      <c r="DG81" s="766"/>
      <c r="DH81" s="766"/>
      <c r="DI81" s="766"/>
      <c r="DJ81" s="766"/>
      <c r="DK81" s="766"/>
      <c r="DL81" s="766"/>
      <c r="DM81" s="766"/>
      <c r="DN81" s="766"/>
      <c r="DO81" s="766"/>
      <c r="DP81" s="766"/>
      <c r="DQ81" s="766"/>
      <c r="DR81" s="766"/>
      <c r="DS81" s="59"/>
      <c r="DT81" s="766"/>
      <c r="DU81" s="766"/>
      <c r="DV81" s="766"/>
      <c r="DW81" s="66"/>
      <c r="DX81" s="66"/>
      <c r="DY81" s="766"/>
      <c r="DZ81" s="766"/>
      <c r="EA81" s="766"/>
      <c r="EB81" s="766"/>
      <c r="EC81" s="766"/>
      <c r="ED81" s="766"/>
      <c r="EE81" s="766"/>
      <c r="EF81" s="766"/>
      <c r="EG81" s="766"/>
      <c r="EH81" s="766"/>
      <c r="EI81" s="766"/>
      <c r="EJ81" s="766"/>
      <c r="EK81" s="766"/>
      <c r="EL81" s="766"/>
      <c r="EM81" s="766"/>
      <c r="EN81" s="766"/>
      <c r="EO81" s="766"/>
      <c r="EP81" s="766"/>
      <c r="EQ81" s="766"/>
      <c r="ER81" s="766"/>
      <c r="ES81" s="766"/>
      <c r="ET81" s="766"/>
      <c r="EU81" s="766"/>
      <c r="EV81" s="766"/>
      <c r="EW81" s="766"/>
      <c r="EX81" s="766"/>
      <c r="EY81" s="766"/>
      <c r="EZ81" s="766"/>
      <c r="FA81" s="766"/>
      <c r="FB81" s="766"/>
      <c r="FC81" s="766"/>
      <c r="FD81" s="775"/>
      <c r="FE81" s="766"/>
      <c r="FF81" s="766"/>
      <c r="FG81" s="766"/>
      <c r="FH81" s="766"/>
      <c r="FI81" s="766"/>
      <c r="FJ81" s="766"/>
      <c r="FK81" s="766"/>
      <c r="FL81" s="766"/>
      <c r="FM81" s="775"/>
      <c r="FN81" s="775"/>
      <c r="FO81" s="775"/>
      <c r="FP81" s="766"/>
      <c r="FQ81" s="766"/>
      <c r="FR81" s="766"/>
      <c r="FS81" s="766"/>
      <c r="FT81" s="766"/>
      <c r="FU81" s="766"/>
      <c r="FV81" s="766"/>
      <c r="FW81" s="766"/>
      <c r="FX81" s="766"/>
      <c r="FY81" s="766"/>
      <c r="FZ81" s="766"/>
      <c r="GA81" s="766"/>
      <c r="GB81" s="766"/>
      <c r="GC81" s="75"/>
      <c r="GD81" s="25"/>
      <c r="GE81" s="766"/>
      <c r="GF81" s="775"/>
      <c r="GG81" s="775"/>
      <c r="GH81" s="766"/>
      <c r="GI81" s="766"/>
      <c r="GJ81" s="766"/>
      <c r="GK81" s="766"/>
      <c r="GL81" s="766"/>
      <c r="GM81" s="766"/>
      <c r="GN81" s="82"/>
      <c r="GO81" s="766"/>
      <c r="GP81" s="766"/>
      <c r="GQ81" s="766"/>
      <c r="GR81" s="766"/>
      <c r="GS81" s="766"/>
      <c r="GT81" s="766"/>
      <c r="GU81" s="766"/>
      <c r="GV81" s="766"/>
      <c r="GW81" s="766"/>
      <c r="GX81" s="766"/>
      <c r="GY81" s="766"/>
      <c r="GZ81" s="766"/>
      <c r="HA81" s="766"/>
      <c r="HB81" s="766"/>
      <c r="HC81" s="766"/>
      <c r="HD81" s="766"/>
      <c r="HE81" s="766"/>
      <c r="HF81" s="766"/>
      <c r="HG81" s="766"/>
      <c r="HH81" s="766"/>
      <c r="HI81" s="766"/>
      <c r="HJ81" s="766"/>
      <c r="HK81" s="766"/>
      <c r="HL81" s="766"/>
      <c r="HM81" s="766"/>
      <c r="HN81" s="766"/>
      <c r="HO81" s="766"/>
      <c r="HP81" s="766"/>
      <c r="HQ81" s="766"/>
      <c r="HR81" s="766"/>
      <c r="HS81" s="766">
        <v>5</v>
      </c>
      <c r="HT81" s="766"/>
      <c r="HU81" s="766"/>
      <c r="HV81" s="766"/>
      <c r="HW81" s="766"/>
      <c r="HX81" s="766"/>
      <c r="HY81" s="766"/>
      <c r="HZ81" s="766"/>
      <c r="IA81" s="766"/>
      <c r="IB81" s="766"/>
      <c r="IC81" s="766"/>
      <c r="ID81" s="766"/>
      <c r="IE81" s="766"/>
      <c r="IF81" s="766"/>
      <c r="IG81" s="766"/>
      <c r="IH81" s="766"/>
      <c r="II81" s="766"/>
      <c r="IJ81" s="766"/>
      <c r="IK81" s="766"/>
      <c r="IL81" s="766"/>
      <c r="IM81" s="766"/>
      <c r="IN81" s="766"/>
      <c r="IO81" s="24"/>
      <c r="IP81" s="766"/>
      <c r="IQ81" s="766"/>
      <c r="IR81" s="766"/>
      <c r="IS81" s="766"/>
      <c r="IT81" s="766"/>
      <c r="IU81" s="766"/>
      <c r="IV81" s="766"/>
      <c r="IW81" s="766"/>
      <c r="IX81" s="766"/>
      <c r="IY81" s="766"/>
      <c r="IZ81" s="766"/>
      <c r="JA81" s="766"/>
      <c r="JB81" s="766"/>
      <c r="JC81" s="766"/>
      <c r="JD81" s="775"/>
      <c r="JE81" s="766"/>
      <c r="JF81" s="766"/>
      <c r="JG81" s="766"/>
      <c r="JH81" s="775"/>
      <c r="JI81" s="775"/>
      <c r="JJ81" s="766"/>
      <c r="JK81" s="766"/>
      <c r="JL81" s="766"/>
      <c r="JM81" s="766"/>
      <c r="JN81" s="766"/>
      <c r="JO81" s="766"/>
      <c r="JP81" s="766"/>
      <c r="JQ81" s="766"/>
      <c r="JR81" s="766"/>
      <c r="JS81" s="766"/>
      <c r="JT81" s="766"/>
      <c r="JU81" s="766"/>
      <c r="JV81" s="766"/>
      <c r="JW81" s="766"/>
      <c r="JX81" s="766"/>
      <c r="JY81" s="766"/>
      <c r="JZ81" s="766"/>
      <c r="KA81" s="766"/>
      <c r="KB81" s="766"/>
      <c r="KC81" s="766"/>
      <c r="KD81" s="766"/>
      <c r="KE81" s="766"/>
      <c r="KF81" s="766"/>
      <c r="KG81" s="766"/>
      <c r="KH81" s="766"/>
      <c r="KI81" s="766"/>
      <c r="KJ81" s="770"/>
      <c r="KK81" s="770"/>
      <c r="KL81" s="770"/>
      <c r="KM81" s="770"/>
      <c r="KN81" s="766"/>
      <c r="KO81" s="766"/>
      <c r="KP81" s="766"/>
      <c r="KQ81" s="766"/>
      <c r="KR81" s="766"/>
      <c r="KS81" s="766"/>
      <c r="KT81" s="766"/>
      <c r="KU81" s="766"/>
      <c r="KV81" s="766"/>
      <c r="KW81" s="766"/>
      <c r="KX81" s="766"/>
      <c r="KY81" s="766"/>
      <c r="KZ81" s="766"/>
      <c r="LA81" s="766"/>
      <c r="LB81" s="766"/>
      <c r="LC81" s="766"/>
      <c r="LD81" s="766"/>
      <c r="LE81" s="766"/>
      <c r="LF81" s="766"/>
      <c r="LG81" s="766"/>
      <c r="LH81" s="766"/>
      <c r="LI81" s="766"/>
      <c r="LJ81" s="766"/>
      <c r="LK81" s="766"/>
      <c r="LL81" s="766"/>
      <c r="LM81" s="766"/>
      <c r="LN81" s="766"/>
      <c r="LO81" s="766"/>
      <c r="LP81" s="766"/>
      <c r="LQ81" s="766"/>
      <c r="LR81" s="766"/>
      <c r="LS81" s="766"/>
      <c r="LT81" s="766"/>
      <c r="LU81" s="766"/>
      <c r="LV81" s="766"/>
      <c r="LW81" s="766"/>
      <c r="LX81" s="769"/>
      <c r="LY81" s="766" t="str">
        <f t="shared" si="16"/>
        <v/>
      </c>
      <c r="LZ81" s="66"/>
      <c r="MA81" s="66"/>
      <c r="MB81" s="66"/>
      <c r="MC81" s="1679">
        <f t="shared" si="17"/>
        <v>0</v>
      </c>
      <c r="MD81" s="66"/>
      <c r="ME81" s="66"/>
      <c r="MF81" s="66"/>
      <c r="MG81" s="1680">
        <f t="shared" si="15"/>
        <v>0</v>
      </c>
      <c r="MH81" s="766"/>
      <c r="MI81" s="775"/>
      <c r="MJ81" s="775"/>
      <c r="MK81" s="775"/>
      <c r="ML81" s="775"/>
      <c r="MM81" s="775"/>
      <c r="MN81" s="775"/>
      <c r="MO81" s="775"/>
      <c r="MP81" s="775"/>
      <c r="MQ81" s="775"/>
      <c r="MR81" s="775"/>
      <c r="MS81" s="775"/>
      <c r="MT81" s="775"/>
      <c r="MU81" s="775"/>
      <c r="MV81" s="775"/>
      <c r="MW81" s="775"/>
      <c r="MX81" s="775"/>
      <c r="MY81" s="1682">
        <f t="shared" si="14"/>
        <v>0</v>
      </c>
      <c r="MZ81" s="766"/>
      <c r="NA81" s="766"/>
      <c r="NB81" s="766"/>
      <c r="NC81" s="766"/>
      <c r="ND81" s="766"/>
      <c r="NE81" s="766"/>
      <c r="NF81" s="766"/>
      <c r="NG81" s="766"/>
      <c r="NH81" s="766"/>
      <c r="NI81" s="766"/>
      <c r="NJ81" s="766"/>
      <c r="NK81" s="766"/>
      <c r="NL81" s="766"/>
      <c r="NM81" s="766"/>
      <c r="NN81" s="766"/>
      <c r="NO81" s="766"/>
      <c r="NP81" s="766"/>
      <c r="NQ81" s="766"/>
      <c r="NR81" s="766"/>
      <c r="NS81" s="766"/>
      <c r="NT81" s="766"/>
      <c r="NU81" s="766"/>
      <c r="NV81" s="766"/>
      <c r="NW81" s="766"/>
      <c r="NX81" s="766"/>
      <c r="NY81" s="766"/>
      <c r="NZ81" s="766"/>
      <c r="OA81" s="766"/>
      <c r="OB81" s="766"/>
      <c r="OC81" s="766"/>
      <c r="OD81" s="766"/>
      <c r="OE81" s="766"/>
      <c r="OF81" s="766"/>
      <c r="OG81" s="766"/>
      <c r="OH81" s="766"/>
      <c r="OI81" s="766"/>
      <c r="OJ81" s="766"/>
      <c r="OK81" s="766"/>
      <c r="OL81" s="766"/>
      <c r="OM81" s="766"/>
      <c r="ON81" s="766"/>
      <c r="OO81" s="766"/>
      <c r="OP81" s="766"/>
      <c r="OQ81" s="766"/>
      <c r="OR81" s="766"/>
      <c r="OS81" s="766"/>
      <c r="OT81" s="766"/>
      <c r="OU81" s="766"/>
      <c r="OV81" s="766"/>
      <c r="OW81" s="766"/>
      <c r="OX81" s="766"/>
      <c r="OY81" s="766"/>
      <c r="OZ81" s="766"/>
      <c r="PA81" s="766"/>
      <c r="PB81" s="766"/>
      <c r="PC81" s="766"/>
      <c r="PD81" s="766"/>
      <c r="PE81" s="766"/>
      <c r="PF81" s="766"/>
      <c r="PG81" s="766"/>
      <c r="PH81" s="766"/>
      <c r="PI81" s="766"/>
      <c r="PJ81" s="766"/>
      <c r="PK81" s="766"/>
      <c r="PL81" s="766"/>
      <c r="PM81" s="766"/>
      <c r="PN81" s="766"/>
      <c r="PO81" s="766"/>
      <c r="PP81" s="766"/>
      <c r="PQ81" s="766"/>
      <c r="PR81" s="766"/>
      <c r="PS81" s="766"/>
      <c r="PT81" s="766"/>
      <c r="PU81" s="766"/>
      <c r="PV81" s="766"/>
      <c r="PW81" s="766"/>
      <c r="PX81" s="766"/>
      <c r="PY81" s="766"/>
      <c r="PZ81" s="766"/>
      <c r="QA81" s="766"/>
      <c r="QB81" s="766"/>
      <c r="QC81" s="766"/>
      <c r="QD81" s="766"/>
      <c r="QE81" s="766"/>
      <c r="QF81" s="766"/>
      <c r="QG81" s="766"/>
      <c r="QH81" s="766"/>
      <c r="QI81" s="766"/>
      <c r="QJ81" s="766"/>
      <c r="QK81" s="766"/>
      <c r="QL81" s="766"/>
      <c r="QM81" s="766"/>
      <c r="QN81" s="766"/>
      <c r="QO81" s="766"/>
      <c r="QP81" s="766"/>
      <c r="QQ81" s="766"/>
      <c r="QR81" s="766"/>
      <c r="QS81" s="766"/>
      <c r="QT81" s="766"/>
      <c r="QU81" s="766"/>
      <c r="QV81" s="766"/>
      <c r="QW81" s="766"/>
      <c r="QX81" s="766"/>
      <c r="QY81" s="766"/>
      <c r="QZ81" s="766"/>
      <c r="RA81" s="766"/>
      <c r="RB81" s="766"/>
      <c r="RC81" s="766"/>
      <c r="RD81" s="766"/>
      <c r="RE81" s="766"/>
      <c r="RF81" s="777"/>
      <c r="RG81" s="766"/>
      <c r="RH81" s="775"/>
      <c r="RI81" s="766"/>
      <c r="RJ81" s="766"/>
      <c r="RK81" s="766"/>
      <c r="RL81" s="1683"/>
      <c r="RM81" s="12"/>
      <c r="RN81" s="1711"/>
      <c r="RO81" s="167" t="s">
        <v>81</v>
      </c>
      <c r="RP81" s="11"/>
      <c r="RQ81" s="11"/>
      <c r="RR81" s="17"/>
      <c r="RS81" s="766"/>
      <c r="RT81" s="11"/>
      <c r="RU81" s="11"/>
      <c r="RV81" s="766" t="s">
        <v>12388</v>
      </c>
      <c r="RW81" s="11" t="s">
        <v>12278</v>
      </c>
      <c r="RX81" s="11" t="s">
        <v>5477</v>
      </c>
      <c r="RY81" s="11"/>
      <c r="RZ81" s="11" t="s">
        <v>7419</v>
      </c>
      <c r="SA81" s="766"/>
      <c r="SB81" s="11"/>
      <c r="SC81" s="11"/>
    </row>
    <row r="82" spans="1:497" ht="12.75" customHeight="1">
      <c r="A82" s="19" t="s">
        <v>7421</v>
      </c>
      <c r="B82" s="1095" t="s">
        <v>7559</v>
      </c>
      <c r="C82" s="167" t="s">
        <v>85</v>
      </c>
      <c r="D82" s="14" t="s">
        <v>86</v>
      </c>
      <c r="E82" s="766" t="s">
        <v>87</v>
      </c>
      <c r="F82" s="766" t="s">
        <v>28</v>
      </c>
      <c r="G82" s="766" t="s">
        <v>10</v>
      </c>
      <c r="H82" s="766"/>
      <c r="I82" s="5"/>
      <c r="J82" s="766"/>
      <c r="K82" s="766" t="s">
        <v>11805</v>
      </c>
      <c r="L82" s="766" t="s">
        <v>11806</v>
      </c>
      <c r="M82" s="766"/>
      <c r="N82" s="766" t="s">
        <v>11807</v>
      </c>
      <c r="O82" s="766" t="s">
        <v>11808</v>
      </c>
      <c r="P82" s="14" t="s">
        <v>86</v>
      </c>
      <c r="Q82" s="1085"/>
      <c r="R82" s="25"/>
      <c r="S82" s="766" t="s">
        <v>10</v>
      </c>
      <c r="T82" s="766"/>
      <c r="U82" s="26"/>
      <c r="V82" s="766"/>
      <c r="W82" s="766"/>
      <c r="X82" s="24"/>
      <c r="Y82" s="766"/>
      <c r="Z82" s="766"/>
      <c r="AA82" s="766"/>
      <c r="AB82" s="766"/>
      <c r="AC82" s="766"/>
      <c r="AD82" s="766"/>
      <c r="AE82" s="766"/>
      <c r="AF82" s="766"/>
      <c r="AG82" s="766" t="s">
        <v>1132</v>
      </c>
      <c r="AH82" s="766" t="s">
        <v>1096</v>
      </c>
      <c r="AI82" s="12"/>
      <c r="AJ82" s="766" t="s">
        <v>1137</v>
      </c>
      <c r="AK82" s="766" t="s">
        <v>1101</v>
      </c>
      <c r="AL82" s="121">
        <v>15</v>
      </c>
      <c r="AM82" s="773">
        <v>11.9</v>
      </c>
      <c r="AN82" s="37"/>
      <c r="AO82" s="766" t="s">
        <v>1122</v>
      </c>
      <c r="AP82" s="766"/>
      <c r="AQ82" s="766"/>
      <c r="AR82" s="766"/>
      <c r="AS82" s="766"/>
      <c r="AT82" s="766"/>
      <c r="AU82" s="766"/>
      <c r="AV82" s="766"/>
      <c r="AW82" s="766"/>
      <c r="AX82" s="13"/>
      <c r="AY82" s="766"/>
      <c r="AZ82" s="766"/>
      <c r="BA82" s="766"/>
      <c r="BB82" s="766"/>
      <c r="BC82" s="766"/>
      <c r="BD82" s="766"/>
      <c r="BE82" s="766"/>
      <c r="BF82" s="775"/>
      <c r="BG82" s="775"/>
      <c r="BH82" s="766"/>
      <c r="BI82" s="766"/>
      <c r="BJ82" s="766"/>
      <c r="BK82" s="766" t="s">
        <v>1095</v>
      </c>
      <c r="BL82" s="766" t="s">
        <v>86</v>
      </c>
      <c r="BM82" s="766" t="s">
        <v>1096</v>
      </c>
      <c r="BN82" s="766" t="s">
        <v>1230</v>
      </c>
      <c r="BO82" s="766" t="s">
        <v>1246</v>
      </c>
      <c r="BP82" s="776">
        <v>15</v>
      </c>
      <c r="BQ82" s="773">
        <v>11.9</v>
      </c>
      <c r="BR82" s="774">
        <f>BQ82/BP82</f>
        <v>0.79333333333333333</v>
      </c>
      <c r="BS82" s="766" t="s">
        <v>1257</v>
      </c>
      <c r="BT82" s="766" t="s">
        <v>8133</v>
      </c>
      <c r="BU82" s="766" t="s">
        <v>1288</v>
      </c>
      <c r="BV82" s="766" t="s">
        <v>1247</v>
      </c>
      <c r="BW82" s="766">
        <v>1980</v>
      </c>
      <c r="BX82" s="779">
        <v>25000</v>
      </c>
      <c r="BY82" s="766" t="s">
        <v>1207</v>
      </c>
      <c r="BZ82" s="775">
        <v>50000</v>
      </c>
      <c r="CA82" s="766"/>
      <c r="CB82" s="766" t="s">
        <v>1207</v>
      </c>
      <c r="CC82" s="766" t="s">
        <v>7345</v>
      </c>
      <c r="CD82" s="766"/>
      <c r="CE82" s="766"/>
      <c r="CF82" s="231">
        <v>0.9</v>
      </c>
      <c r="CG82" s="231">
        <v>10</v>
      </c>
      <c r="CH82" s="766" t="s">
        <v>1457</v>
      </c>
      <c r="CI82" s="766"/>
      <c r="CJ82" s="766"/>
      <c r="CK82" s="766"/>
      <c r="CL82" s="766"/>
      <c r="CM82" s="766"/>
      <c r="CN82" s="766"/>
      <c r="CO82" s="766"/>
      <c r="CP82" s="766"/>
      <c r="CQ82" s="766"/>
      <c r="CR82" s="775"/>
      <c r="CS82" s="766"/>
      <c r="CT82" s="766"/>
      <c r="CU82" s="129"/>
      <c r="CV82" s="766"/>
      <c r="CW82" s="766"/>
      <c r="CX82" s="766"/>
      <c r="CY82" s="766"/>
      <c r="CZ82" s="766"/>
      <c r="DA82" s="766"/>
      <c r="DB82" s="766"/>
      <c r="DC82" s="766"/>
      <c r="DD82" s="766"/>
      <c r="DE82" s="766"/>
      <c r="DF82" s="766"/>
      <c r="DG82" s="766"/>
      <c r="DH82" s="766"/>
      <c r="DI82" s="766"/>
      <c r="DJ82" s="766"/>
      <c r="DK82" s="766"/>
      <c r="DL82" s="766"/>
      <c r="DM82" s="766"/>
      <c r="DN82" s="766"/>
      <c r="DO82" s="766"/>
      <c r="DP82" s="766"/>
      <c r="DQ82" s="766"/>
      <c r="DR82" s="766"/>
      <c r="DS82" s="59"/>
      <c r="DT82" s="766"/>
      <c r="DU82" s="766"/>
      <c r="DV82" s="766"/>
      <c r="DW82" s="66"/>
      <c r="DX82" s="66"/>
      <c r="DY82" s="766"/>
      <c r="DZ82" s="766"/>
      <c r="EA82" s="766"/>
      <c r="EB82" s="766"/>
      <c r="EC82" s="766"/>
      <c r="ED82" s="766"/>
      <c r="EE82" s="766"/>
      <c r="EF82" s="766"/>
      <c r="EG82" s="766"/>
      <c r="EH82" s="766"/>
      <c r="EI82" s="766"/>
      <c r="EJ82" s="766"/>
      <c r="EK82" s="766"/>
      <c r="EL82" s="766"/>
      <c r="EM82" s="766"/>
      <c r="EN82" s="766"/>
      <c r="EO82" s="766"/>
      <c r="EP82" s="766"/>
      <c r="EQ82" s="766"/>
      <c r="ER82" s="766"/>
      <c r="ES82" s="766"/>
      <c r="ET82" s="766"/>
      <c r="EU82" s="766"/>
      <c r="EV82" s="766"/>
      <c r="EW82" s="766"/>
      <c r="EX82" s="766"/>
      <c r="EY82" s="766"/>
      <c r="EZ82" s="766"/>
      <c r="FA82" s="766"/>
      <c r="FB82" s="766"/>
      <c r="FC82" s="766"/>
      <c r="FD82" s="775"/>
      <c r="FE82" s="766"/>
      <c r="FF82" s="766"/>
      <c r="FG82" s="766"/>
      <c r="FH82" s="766" t="s">
        <v>478</v>
      </c>
      <c r="FI82" s="766">
        <v>1</v>
      </c>
      <c r="FJ82" s="766"/>
      <c r="FK82" s="766"/>
      <c r="FL82" s="766"/>
      <c r="FM82" s="775"/>
      <c r="FN82" s="775"/>
      <c r="FO82" s="775"/>
      <c r="FP82" s="766" t="s">
        <v>1602</v>
      </c>
      <c r="FQ82" s="766" t="s">
        <v>1660</v>
      </c>
      <c r="FR82" s="766"/>
      <c r="FS82" s="766"/>
      <c r="FT82" s="766"/>
      <c r="FU82" s="766"/>
      <c r="FV82" s="766"/>
      <c r="FW82" s="766"/>
      <c r="FX82" s="766"/>
      <c r="FY82" s="766"/>
      <c r="FZ82" s="766"/>
      <c r="GA82" s="766"/>
      <c r="GB82" s="766"/>
      <c r="GC82" s="75"/>
      <c r="GD82" s="25"/>
      <c r="GE82" s="766"/>
      <c r="GF82" s="775"/>
      <c r="GG82" s="775"/>
      <c r="GH82" s="712" t="s">
        <v>14260</v>
      </c>
      <c r="GI82" s="766"/>
      <c r="GJ82" s="766"/>
      <c r="GK82" s="766"/>
      <c r="GL82" s="766"/>
      <c r="GM82" s="766"/>
      <c r="GN82" s="82"/>
      <c r="GO82" s="766"/>
      <c r="GP82" s="766"/>
      <c r="GQ82" s="766"/>
      <c r="GR82" s="766"/>
      <c r="GS82" s="766"/>
      <c r="GT82" s="766"/>
      <c r="GU82" s="766"/>
      <c r="GV82" s="766"/>
      <c r="GW82" s="766"/>
      <c r="GX82" s="766"/>
      <c r="GY82" s="766"/>
      <c r="GZ82" s="766"/>
      <c r="HA82" s="766"/>
      <c r="HB82" s="766"/>
      <c r="HC82" s="766"/>
      <c r="HD82" s="766"/>
      <c r="HE82" s="766"/>
      <c r="HF82" s="766"/>
      <c r="HG82" s="766"/>
      <c r="HH82" s="766"/>
      <c r="HI82" s="766" t="s">
        <v>1207</v>
      </c>
      <c r="HJ82" s="766" t="s">
        <v>7346</v>
      </c>
      <c r="HK82" s="766"/>
      <c r="HL82" s="766" t="s">
        <v>1214</v>
      </c>
      <c r="HM82" s="766"/>
      <c r="HN82" s="766"/>
      <c r="HO82" s="766"/>
      <c r="HP82" s="766"/>
      <c r="HQ82" s="766"/>
      <c r="HR82" s="766"/>
      <c r="HS82" s="766"/>
      <c r="HT82" s="766"/>
      <c r="HU82" s="766"/>
      <c r="HV82" s="766"/>
      <c r="HW82" s="766"/>
      <c r="HX82" s="766"/>
      <c r="HY82" s="766"/>
      <c r="HZ82" s="766"/>
      <c r="IA82" s="766"/>
      <c r="IB82" s="14" t="e">
        <f>IF(#REF!&gt;0,IF(#REF!&lt;=10000,"Y",""),"")</f>
        <v>#REF!</v>
      </c>
      <c r="IC82" s="766"/>
      <c r="ID82" s="766">
        <v>1</v>
      </c>
      <c r="IE82" s="766"/>
      <c r="IF82" s="766"/>
      <c r="IG82" s="766"/>
      <c r="IH82" s="766"/>
      <c r="II82" s="766"/>
      <c r="IJ82" s="766"/>
      <c r="IK82" s="766"/>
      <c r="IL82" s="766"/>
      <c r="IM82" s="766"/>
      <c r="IN82" s="766"/>
      <c r="IO82" s="24"/>
      <c r="IP82" s="766"/>
      <c r="IQ82" s="766"/>
      <c r="IR82" s="766"/>
      <c r="IS82" s="766"/>
      <c r="IT82" s="766"/>
      <c r="IU82" s="766"/>
      <c r="IV82" s="766"/>
      <c r="IW82" s="766"/>
      <c r="IX82" s="766"/>
      <c r="IY82" s="766"/>
      <c r="IZ82" s="766"/>
      <c r="JA82" s="766"/>
      <c r="JB82" s="766"/>
      <c r="JC82" s="766"/>
      <c r="JD82" s="775"/>
      <c r="JE82" s="766"/>
      <c r="JF82" s="766"/>
      <c r="JG82" s="766"/>
      <c r="JH82" s="775"/>
      <c r="JI82" s="775"/>
      <c r="JJ82" s="766">
        <v>5</v>
      </c>
      <c r="JK82" s="1139" t="s">
        <v>86</v>
      </c>
      <c r="JL82" s="766">
        <v>3</v>
      </c>
      <c r="JM82" s="766"/>
      <c r="JN82" s="766">
        <v>1</v>
      </c>
      <c r="JO82" s="766">
        <v>1</v>
      </c>
      <c r="JP82" s="766"/>
      <c r="JQ82" s="766"/>
      <c r="JR82" s="766"/>
      <c r="JS82" s="766"/>
      <c r="JT82" s="766">
        <f>SUM(JP82,JN82,JL82,JR82)</f>
        <v>4</v>
      </c>
      <c r="JU82" s="766">
        <f>SUM(JQ82,JO82,JM82,JS82)</f>
        <v>1</v>
      </c>
      <c r="JV82" s="712" t="str">
        <f>IF(JT82=KJ82,"ok","male")</f>
        <v>ok</v>
      </c>
      <c r="JW82" s="712" t="str">
        <f>IF(JU82=KK82,"ok","female")</f>
        <v>ok</v>
      </c>
      <c r="JX82" s="766">
        <v>1</v>
      </c>
      <c r="JY82" s="766"/>
      <c r="JZ82" s="766">
        <v>2</v>
      </c>
      <c r="KA82" s="766"/>
      <c r="KB82" s="766"/>
      <c r="KC82" s="766"/>
      <c r="KD82" s="766"/>
      <c r="KE82" s="766">
        <v>1</v>
      </c>
      <c r="KF82" s="766">
        <v>1</v>
      </c>
      <c r="KG82" s="766"/>
      <c r="KH82" s="766"/>
      <c r="KI82" s="766"/>
      <c r="KJ82" s="770">
        <f>SUM(KF82,KD82,KB82,JZ82,JX82,KH82)</f>
        <v>4</v>
      </c>
      <c r="KK82" s="770">
        <f>SUM(KG82,KE82,KC82,KA82,JY82,KI82)</f>
        <v>1</v>
      </c>
      <c r="KL82" s="712" t="str">
        <f>IF(KJ82=LN82,"ok","male")</f>
        <v>ok</v>
      </c>
      <c r="KM82" s="712" t="str">
        <f>IF(KK82=LO82,"ok","female")</f>
        <v>ok</v>
      </c>
      <c r="KN82" s="766" t="s">
        <v>13097</v>
      </c>
      <c r="KO82" s="766"/>
      <c r="KP82" s="766"/>
      <c r="KQ82" s="766"/>
      <c r="KR82" s="766"/>
      <c r="KS82" s="766"/>
      <c r="KT82" s="766">
        <v>3</v>
      </c>
      <c r="KU82" s="766"/>
      <c r="KV82" s="766"/>
      <c r="KW82" s="766"/>
      <c r="KX82" s="766"/>
      <c r="KY82" s="766">
        <v>1</v>
      </c>
      <c r="KZ82" s="766">
        <v>1</v>
      </c>
      <c r="LA82" s="766"/>
      <c r="LB82" s="766"/>
      <c r="LC82" s="766"/>
      <c r="LD82" s="766"/>
      <c r="LE82" s="766"/>
      <c r="LF82" s="766"/>
      <c r="LG82" s="766"/>
      <c r="LH82" s="766"/>
      <c r="LI82" s="766"/>
      <c r="LJ82" s="766"/>
      <c r="LK82" s="766"/>
      <c r="LL82" s="766"/>
      <c r="LM82" s="766"/>
      <c r="LN82" s="766">
        <f>SUM(KP82,KR82,KT82,KV82,KX82,KZ82,LB82,LD82,LF82,LH82,LJ82,LL82)</f>
        <v>4</v>
      </c>
      <c r="LO82" s="766">
        <f>SUM(KQ82,KS82,KU82,KW82,KY82,LA82,LC82,LE82,LG82,LI82,LK82,LM82)</f>
        <v>1</v>
      </c>
      <c r="LP82" s="766">
        <v>1</v>
      </c>
      <c r="LQ82" s="766"/>
      <c r="LR82" s="766"/>
      <c r="LS82" s="766">
        <v>1</v>
      </c>
      <c r="LT82" s="712" t="str">
        <f>IF(LQ82=SUM(LU82:LW82),"OK","REV")</f>
        <v>OK</v>
      </c>
      <c r="LU82" s="766"/>
      <c r="LV82" s="766"/>
      <c r="LW82" s="766"/>
      <c r="LX82" s="769">
        <v>2</v>
      </c>
      <c r="LY82" s="766" t="str">
        <f t="shared" si="16"/>
        <v>within the MUNICIPALITY</v>
      </c>
      <c r="LZ82" s="66"/>
      <c r="MA82" s="66"/>
      <c r="MB82" s="66">
        <f>22*26</f>
        <v>572</v>
      </c>
      <c r="MC82" s="1679">
        <f t="shared" si="17"/>
        <v>572</v>
      </c>
      <c r="MD82" s="66"/>
      <c r="ME82" s="66"/>
      <c r="MF82" s="66">
        <v>4800</v>
      </c>
      <c r="MG82" s="1680">
        <f t="shared" si="15"/>
        <v>4800</v>
      </c>
      <c r="MH82" s="766" t="s">
        <v>13098</v>
      </c>
      <c r="MI82" s="775">
        <f>150*30</f>
        <v>4500</v>
      </c>
      <c r="MJ82" s="775">
        <v>300</v>
      </c>
      <c r="MK82" s="775">
        <v>500</v>
      </c>
      <c r="ML82" s="775">
        <v>1000</v>
      </c>
      <c r="MM82" s="775">
        <v>1500</v>
      </c>
      <c r="MN82" s="775"/>
      <c r="MO82" s="775">
        <v>100</v>
      </c>
      <c r="MP82" s="775">
        <v>500</v>
      </c>
      <c r="MQ82" s="775">
        <v>450</v>
      </c>
      <c r="MR82" s="775"/>
      <c r="MS82" s="775"/>
      <c r="MT82" s="775"/>
      <c r="MU82" s="775"/>
      <c r="MV82" s="775"/>
      <c r="MW82" s="775"/>
      <c r="MX82" s="775"/>
      <c r="MY82" s="1682">
        <f t="shared" si="14"/>
        <v>8850</v>
      </c>
      <c r="MZ82" s="766" t="s">
        <v>13004</v>
      </c>
      <c r="NA82" s="766" t="s">
        <v>13065</v>
      </c>
      <c r="NB82" s="766" t="s">
        <v>13033</v>
      </c>
      <c r="NC82" s="766" t="s">
        <v>13007</v>
      </c>
      <c r="ND82" s="766">
        <v>0</v>
      </c>
      <c r="NE82" s="766">
        <v>0</v>
      </c>
      <c r="NF82" s="766">
        <v>0</v>
      </c>
      <c r="NG82" s="766">
        <v>2</v>
      </c>
      <c r="NH82" s="766">
        <v>1</v>
      </c>
      <c r="NI82" s="766">
        <v>2</v>
      </c>
      <c r="NJ82" s="766">
        <v>0</v>
      </c>
      <c r="NK82" s="766">
        <v>0</v>
      </c>
      <c r="NL82" s="766">
        <v>0</v>
      </c>
      <c r="NM82" s="766">
        <v>0</v>
      </c>
      <c r="NN82" s="766">
        <v>0</v>
      </c>
      <c r="NO82" s="766">
        <v>0</v>
      </c>
      <c r="NP82" s="766">
        <v>0</v>
      </c>
      <c r="NQ82" s="766">
        <v>0</v>
      </c>
      <c r="NR82" s="766">
        <v>0</v>
      </c>
      <c r="NS82" s="766">
        <v>0</v>
      </c>
      <c r="NT82" s="766">
        <v>0</v>
      </c>
      <c r="NU82" s="766">
        <v>0</v>
      </c>
      <c r="NV82" s="766">
        <v>0</v>
      </c>
      <c r="NW82" s="766">
        <v>0</v>
      </c>
      <c r="NX82" s="766">
        <v>0</v>
      </c>
      <c r="NY82" s="766" t="s">
        <v>1208</v>
      </c>
      <c r="NZ82" s="766" t="s">
        <v>1208</v>
      </c>
      <c r="OA82" s="766" t="s">
        <v>1208</v>
      </c>
      <c r="OB82" s="766" t="s">
        <v>1208</v>
      </c>
      <c r="OC82" s="766" t="s">
        <v>1208</v>
      </c>
      <c r="OD82" s="766"/>
      <c r="OE82" s="766"/>
      <c r="OF82" s="766"/>
      <c r="OG82" s="766"/>
      <c r="OH82" s="766"/>
      <c r="OI82" s="766"/>
      <c r="OJ82" s="766"/>
      <c r="OK82" s="766"/>
      <c r="OL82" s="766"/>
      <c r="OM82" s="766"/>
      <c r="ON82" s="766"/>
      <c r="OO82" s="766"/>
      <c r="OP82" s="766"/>
      <c r="OQ82" s="766"/>
      <c r="OR82" s="766"/>
      <c r="OS82" s="766"/>
      <c r="OT82" s="766"/>
      <c r="OU82" s="766"/>
      <c r="OV82" s="766"/>
      <c r="OW82" s="766"/>
      <c r="OX82" s="766"/>
      <c r="OY82" s="766"/>
      <c r="OZ82" s="766"/>
      <c r="PA82" s="766"/>
      <c r="PB82" s="766"/>
      <c r="PC82" s="766"/>
      <c r="PD82" s="766"/>
      <c r="PE82" s="766"/>
      <c r="PF82" s="766"/>
      <c r="PG82" s="766"/>
      <c r="PH82" s="766"/>
      <c r="PI82" s="766"/>
      <c r="PJ82" s="766"/>
      <c r="PK82" s="766"/>
      <c r="PL82" s="766"/>
      <c r="PM82" s="766" t="s">
        <v>1208</v>
      </c>
      <c r="PN82" s="766"/>
      <c r="PO82" s="766"/>
      <c r="PP82" s="766"/>
      <c r="PQ82" s="766"/>
      <c r="PR82" s="766"/>
      <c r="PS82" s="766"/>
      <c r="PT82" s="766"/>
      <c r="PU82" s="766"/>
      <c r="PV82" s="766"/>
      <c r="PW82" s="766"/>
      <c r="PX82" s="766"/>
      <c r="PY82" s="766"/>
      <c r="PZ82" s="766"/>
      <c r="QA82" s="766"/>
      <c r="QB82" s="766"/>
      <c r="QC82" s="766"/>
      <c r="QD82" s="766"/>
      <c r="QE82" s="766"/>
      <c r="QF82" s="766"/>
      <c r="QG82" s="766"/>
      <c r="QH82" s="766"/>
      <c r="QI82" s="766"/>
      <c r="QJ82" s="766"/>
      <c r="QK82" s="766"/>
      <c r="QL82" s="766"/>
      <c r="QM82" s="766"/>
      <c r="QN82" s="766"/>
      <c r="QO82" s="766"/>
      <c r="QP82" s="766"/>
      <c r="QQ82" s="766"/>
      <c r="QR82" s="766"/>
      <c r="QS82" s="766"/>
      <c r="QT82" s="766"/>
      <c r="QU82" s="766"/>
      <c r="QV82" s="766"/>
      <c r="QW82" s="766"/>
      <c r="QX82" s="766"/>
      <c r="QY82" s="766"/>
      <c r="QZ82" s="766"/>
      <c r="RA82" s="766"/>
      <c r="RB82" s="766" t="s">
        <v>1207</v>
      </c>
      <c r="RC82" s="766">
        <v>2010</v>
      </c>
      <c r="RD82" s="766" t="s">
        <v>13036</v>
      </c>
      <c r="RE82" s="766" t="s">
        <v>13008</v>
      </c>
      <c r="RF82" s="777">
        <v>0.2</v>
      </c>
      <c r="RG82" s="766" t="s">
        <v>13047</v>
      </c>
      <c r="RH82" s="775" t="s">
        <v>1835</v>
      </c>
      <c r="RI82" s="766">
        <v>3</v>
      </c>
      <c r="RJ82" s="766" t="s">
        <v>7347</v>
      </c>
      <c r="RK82" s="766" t="s">
        <v>13010</v>
      </c>
      <c r="RL82" s="1683"/>
      <c r="RM82" s="12"/>
      <c r="RN82" s="1711"/>
      <c r="RO82" s="167" t="s">
        <v>85</v>
      </c>
      <c r="RP82" s="11"/>
      <c r="RQ82" s="11"/>
      <c r="RR82" s="19" t="s">
        <v>7421</v>
      </c>
      <c r="RS82" s="1139" t="s">
        <v>12980</v>
      </c>
      <c r="RT82" s="11"/>
      <c r="RU82" s="11"/>
      <c r="RV82" s="766" t="s">
        <v>12388</v>
      </c>
      <c r="RW82" s="11" t="s">
        <v>7558</v>
      </c>
      <c r="RX82" s="11" t="s">
        <v>5478</v>
      </c>
      <c r="RY82" s="11"/>
      <c r="RZ82" s="11"/>
      <c r="SA82" s="766"/>
      <c r="SB82" s="11"/>
      <c r="SC82" s="11"/>
    </row>
    <row r="83" spans="1:497" ht="12.75" hidden="1" customHeight="1">
      <c r="A83" s="343" t="s">
        <v>7419</v>
      </c>
      <c r="B83" s="288" t="s">
        <v>7561</v>
      </c>
      <c r="C83" s="167" t="s">
        <v>92</v>
      </c>
      <c r="D83" s="766" t="s">
        <v>93</v>
      </c>
      <c r="E83" s="766" t="s">
        <v>94</v>
      </c>
      <c r="F83" s="766"/>
      <c r="G83" s="766" t="s">
        <v>18</v>
      </c>
      <c r="H83" s="5" t="s">
        <v>95</v>
      </c>
      <c r="I83" s="295"/>
      <c r="J83" s="766"/>
      <c r="K83" s="766"/>
      <c r="L83" s="766"/>
      <c r="M83" s="766"/>
      <c r="N83" s="766"/>
      <c r="O83" s="766"/>
      <c r="P83" s="766" t="s">
        <v>750</v>
      </c>
      <c r="Q83" s="1085">
        <v>13574</v>
      </c>
      <c r="R83" s="25">
        <v>79</v>
      </c>
      <c r="S83" s="766" t="s">
        <v>18</v>
      </c>
      <c r="T83" s="26" t="s">
        <v>751</v>
      </c>
      <c r="U83" s="298"/>
      <c r="V83" s="766" t="s">
        <v>719</v>
      </c>
      <c r="W83" s="766"/>
      <c r="X83" s="24"/>
      <c r="Y83" s="766" t="s">
        <v>752</v>
      </c>
      <c r="Z83" s="766" t="s">
        <v>708</v>
      </c>
      <c r="AA83" s="766" t="s">
        <v>709</v>
      </c>
      <c r="AB83" s="766" t="s">
        <v>710</v>
      </c>
      <c r="AC83" s="766"/>
      <c r="AD83" s="766" t="s">
        <v>711</v>
      </c>
      <c r="AE83" s="766"/>
      <c r="AF83" s="766"/>
      <c r="AG83" s="766" t="s">
        <v>1095</v>
      </c>
      <c r="AH83" s="766" t="s">
        <v>1096</v>
      </c>
      <c r="AI83" s="766" t="s">
        <v>1127</v>
      </c>
      <c r="AJ83" s="766"/>
      <c r="AK83" s="766" t="s">
        <v>1097</v>
      </c>
      <c r="AL83" s="121">
        <v>628</v>
      </c>
      <c r="AM83" s="773">
        <v>17.46</v>
      </c>
      <c r="AN83" s="37">
        <f>AM83/AL83</f>
        <v>2.7802547770700639E-2</v>
      </c>
      <c r="AO83" s="766" t="s">
        <v>1098</v>
      </c>
      <c r="AP83" s="766"/>
      <c r="AQ83" s="766"/>
      <c r="AR83" s="766"/>
      <c r="AS83" s="766" t="s">
        <v>1207</v>
      </c>
      <c r="AT83" s="766" t="s">
        <v>1208</v>
      </c>
      <c r="AU83" s="766"/>
      <c r="AV83" s="766"/>
      <c r="AW83" s="766"/>
      <c r="AX83" s="13"/>
      <c r="AY83" s="766"/>
      <c r="AZ83" s="766"/>
      <c r="BA83" s="766"/>
      <c r="BB83" s="766"/>
      <c r="BC83" s="766" t="s">
        <v>796</v>
      </c>
      <c r="BD83" s="766" t="s">
        <v>1207</v>
      </c>
      <c r="BE83" s="766" t="s">
        <v>110</v>
      </c>
      <c r="BF83" s="775"/>
      <c r="BG83" s="775"/>
      <c r="BH83" s="766"/>
      <c r="BI83" s="766"/>
      <c r="BJ83" s="766"/>
      <c r="BK83" s="766" t="s">
        <v>1095</v>
      </c>
      <c r="BL83" s="766" t="s">
        <v>1126</v>
      </c>
      <c r="BM83" s="766" t="s">
        <v>1096</v>
      </c>
      <c r="BN83" s="766" t="s">
        <v>1230</v>
      </c>
      <c r="BO83" s="766" t="s">
        <v>1246</v>
      </c>
      <c r="BP83" s="776">
        <v>91.14</v>
      </c>
      <c r="BQ83" s="773">
        <v>11.16</v>
      </c>
      <c r="BR83" s="774">
        <f>BQ83/BP83</f>
        <v>0.12244897959183673</v>
      </c>
      <c r="BS83" s="766" t="s">
        <v>1242</v>
      </c>
      <c r="BT83" s="766" t="s">
        <v>2040</v>
      </c>
      <c r="BU83" s="766" t="s">
        <v>1249</v>
      </c>
      <c r="BV83" s="766" t="s">
        <v>1247</v>
      </c>
      <c r="BW83" s="769"/>
      <c r="BX83" s="779"/>
      <c r="BY83" s="766"/>
      <c r="BZ83" s="775"/>
      <c r="CA83" s="766"/>
      <c r="CB83" s="766"/>
      <c r="CC83" s="766"/>
      <c r="CD83" s="766"/>
      <c r="CE83" s="766"/>
      <c r="CF83" s="231"/>
      <c r="CG83" s="231"/>
      <c r="CH83" s="766"/>
      <c r="CI83" s="766"/>
      <c r="CJ83" s="766"/>
      <c r="CK83" s="766"/>
      <c r="CL83" s="766"/>
      <c r="CM83" s="766"/>
      <c r="CN83" s="766"/>
      <c r="CO83" s="766"/>
      <c r="CP83" s="766"/>
      <c r="CQ83" s="766"/>
      <c r="CR83" s="775"/>
      <c r="CS83" s="766"/>
      <c r="CT83" s="766"/>
      <c r="CU83" s="129"/>
      <c r="CV83" s="766"/>
      <c r="CW83" s="766"/>
      <c r="CX83" s="766"/>
      <c r="CY83" s="766"/>
      <c r="CZ83" s="766"/>
      <c r="DA83" s="766"/>
      <c r="DB83" s="766"/>
      <c r="DC83" s="766"/>
      <c r="DD83" s="766"/>
      <c r="DE83" s="766"/>
      <c r="DF83" s="766"/>
      <c r="DG83" s="766"/>
      <c r="DH83" s="766"/>
      <c r="DI83" s="766"/>
      <c r="DJ83" s="766"/>
      <c r="DK83" s="766"/>
      <c r="DL83" s="766"/>
      <c r="DM83" s="766"/>
      <c r="DN83" s="766"/>
      <c r="DO83" s="766"/>
      <c r="DP83" s="766"/>
      <c r="DQ83" s="766"/>
      <c r="DR83" s="766"/>
      <c r="DS83" s="59"/>
      <c r="DT83" s="766"/>
      <c r="DU83" s="766"/>
      <c r="DV83" s="766"/>
      <c r="DW83" s="66"/>
      <c r="DX83" s="66"/>
      <c r="DY83" s="766"/>
      <c r="DZ83" s="766"/>
      <c r="EA83" s="766"/>
      <c r="EB83" s="766"/>
      <c r="EC83" s="766"/>
      <c r="ED83" s="766"/>
      <c r="EE83" s="766"/>
      <c r="EF83" s="766"/>
      <c r="EG83" s="766"/>
      <c r="EH83" s="766"/>
      <c r="EI83" s="766"/>
      <c r="EJ83" s="766"/>
      <c r="EK83" s="766"/>
      <c r="EL83" s="766"/>
      <c r="EM83" s="766"/>
      <c r="EN83" s="766"/>
      <c r="EO83" s="766"/>
      <c r="EP83" s="766"/>
      <c r="EQ83" s="766"/>
      <c r="ER83" s="766"/>
      <c r="ES83" s="766"/>
      <c r="ET83" s="766"/>
      <c r="EU83" s="766"/>
      <c r="EV83" s="766"/>
      <c r="EW83" s="766"/>
      <c r="EX83" s="766"/>
      <c r="EY83" s="766"/>
      <c r="EZ83" s="766"/>
      <c r="FA83" s="766"/>
      <c r="FB83" s="766"/>
      <c r="FC83" s="766"/>
      <c r="FD83" s="775"/>
      <c r="FE83" s="766"/>
      <c r="FF83" s="766"/>
      <c r="FG83" s="766"/>
      <c r="FH83" s="766" t="s">
        <v>478</v>
      </c>
      <c r="FI83" s="766">
        <v>1</v>
      </c>
      <c r="FJ83" s="766"/>
      <c r="FK83" s="766"/>
      <c r="FL83" s="766"/>
      <c r="FM83" s="775"/>
      <c r="FN83" s="775"/>
      <c r="FO83" s="775"/>
      <c r="FP83" s="766" t="s">
        <v>1602</v>
      </c>
      <c r="FQ83" s="766" t="s">
        <v>1660</v>
      </c>
      <c r="FR83" s="766" t="s">
        <v>1207</v>
      </c>
      <c r="FS83" s="766" t="s">
        <v>1208</v>
      </c>
      <c r="FT83" s="766" t="s">
        <v>1208</v>
      </c>
      <c r="FU83" s="766" t="s">
        <v>1208</v>
      </c>
      <c r="FV83" s="766"/>
      <c r="FW83" s="766"/>
      <c r="FX83" s="766"/>
      <c r="FY83" s="766"/>
      <c r="FZ83" s="766"/>
      <c r="GA83" s="766"/>
      <c r="GB83" s="766" t="s">
        <v>796</v>
      </c>
      <c r="GC83" s="75" t="s">
        <v>1127</v>
      </c>
      <c r="GD83" s="25" t="s">
        <v>1703</v>
      </c>
      <c r="GE83" s="766" t="s">
        <v>1426</v>
      </c>
      <c r="GF83" s="775"/>
      <c r="GG83" s="775"/>
      <c r="GH83" s="766"/>
      <c r="GI83" s="766"/>
      <c r="GJ83" s="766"/>
      <c r="GK83" s="766"/>
      <c r="GL83" s="766"/>
      <c r="GM83" s="766"/>
      <c r="GN83" s="82"/>
      <c r="GO83" s="766"/>
      <c r="GP83" s="766"/>
      <c r="GQ83" s="766"/>
      <c r="GR83" s="766"/>
      <c r="GS83" s="766"/>
      <c r="GT83" s="766"/>
      <c r="GU83" s="766"/>
      <c r="GV83" s="766"/>
      <c r="GW83" s="766"/>
      <c r="GX83" s="766"/>
      <c r="GY83" s="766"/>
      <c r="GZ83" s="766"/>
      <c r="HA83" s="766"/>
      <c r="HB83" s="766"/>
      <c r="HC83" s="766"/>
      <c r="HD83" s="766"/>
      <c r="HE83" s="766"/>
      <c r="HF83" s="766"/>
      <c r="HG83" s="766"/>
      <c r="HH83" s="766"/>
      <c r="HI83" s="766"/>
      <c r="HJ83" s="766"/>
      <c r="HK83" s="766"/>
      <c r="HL83" s="766"/>
      <c r="HM83" s="766"/>
      <c r="HN83" s="766"/>
      <c r="HO83" s="766"/>
      <c r="HP83" s="766"/>
      <c r="HQ83" s="766"/>
      <c r="HR83" s="766"/>
      <c r="HS83" s="766"/>
      <c r="HT83" s="766"/>
      <c r="HU83" s="766"/>
      <c r="HV83" s="766"/>
      <c r="HW83" s="766"/>
      <c r="HX83" s="766"/>
      <c r="HY83" s="766"/>
      <c r="HZ83" s="766"/>
      <c r="IA83" s="766"/>
      <c r="IB83" s="766"/>
      <c r="IC83" s="770"/>
      <c r="ID83" s="770"/>
      <c r="IE83" s="766"/>
      <c r="IF83" s="766" t="s">
        <v>750</v>
      </c>
      <c r="IG83" s="766" t="s">
        <v>18</v>
      </c>
      <c r="IH83" s="766" t="s">
        <v>478</v>
      </c>
      <c r="II83" s="766" t="s">
        <v>94</v>
      </c>
      <c r="IJ83" s="766" t="s">
        <v>1604</v>
      </c>
      <c r="IK83" s="766"/>
      <c r="IL83" s="766" t="s">
        <v>1126</v>
      </c>
      <c r="IM83" s="78" t="s">
        <v>1703</v>
      </c>
      <c r="IN83" s="766" t="s">
        <v>1126</v>
      </c>
      <c r="IO83" s="24">
        <v>13574</v>
      </c>
      <c r="IP83" s="766" t="s">
        <v>478</v>
      </c>
      <c r="IQ83" s="769" t="s">
        <v>5498</v>
      </c>
      <c r="IR83" s="770" t="s">
        <v>2716</v>
      </c>
      <c r="IS83" s="766" t="s">
        <v>1883</v>
      </c>
      <c r="IT83" s="766"/>
      <c r="IU83" s="766"/>
      <c r="IV83" s="766"/>
      <c r="IW83" s="766" t="s">
        <v>13099</v>
      </c>
      <c r="IX83" s="766"/>
      <c r="IY83" s="766" t="s">
        <v>1902</v>
      </c>
      <c r="IZ83" s="766"/>
      <c r="JA83" s="766"/>
      <c r="JB83" s="766"/>
      <c r="JC83" s="766"/>
      <c r="JD83" s="775">
        <v>2000</v>
      </c>
      <c r="JE83" s="766"/>
      <c r="JF83" s="766"/>
      <c r="JG83" s="766"/>
      <c r="JH83" s="775"/>
      <c r="JI83" s="775"/>
      <c r="JJ83" s="770"/>
      <c r="JK83" s="770"/>
      <c r="JL83" s="770"/>
      <c r="JM83" s="770"/>
      <c r="JN83" s="770"/>
      <c r="JO83" s="770"/>
      <c r="JP83" s="770"/>
      <c r="JQ83" s="770"/>
      <c r="JR83" s="770"/>
      <c r="JS83" s="770"/>
      <c r="JT83" s="766"/>
      <c r="JU83" s="766"/>
      <c r="JV83" s="766"/>
      <c r="JW83" s="766"/>
      <c r="JX83" s="770"/>
      <c r="JY83" s="770"/>
      <c r="JZ83" s="770"/>
      <c r="KA83" s="770"/>
      <c r="KB83" s="770"/>
      <c r="KC83" s="770"/>
      <c r="KD83" s="770"/>
      <c r="KE83" s="770"/>
      <c r="KF83" s="770"/>
      <c r="KG83" s="770"/>
      <c r="KH83" s="770"/>
      <c r="KI83" s="770"/>
      <c r="KJ83" s="770"/>
      <c r="KK83" s="770"/>
      <c r="KL83" s="770"/>
      <c r="KM83" s="770"/>
      <c r="KN83" s="770"/>
      <c r="KO83" s="770"/>
      <c r="KP83" s="770"/>
      <c r="KQ83" s="770"/>
      <c r="KR83" s="770"/>
      <c r="KS83" s="770"/>
      <c r="KT83" s="770"/>
      <c r="KU83" s="770"/>
      <c r="KV83" s="770"/>
      <c r="KW83" s="770"/>
      <c r="KX83" s="770"/>
      <c r="KY83" s="770"/>
      <c r="KZ83" s="770"/>
      <c r="LA83" s="770"/>
      <c r="LB83" s="770"/>
      <c r="LC83" s="770"/>
      <c r="LD83" s="770"/>
      <c r="LE83" s="770"/>
      <c r="LF83" s="770"/>
      <c r="LG83" s="770"/>
      <c r="LH83" s="770"/>
      <c r="LI83" s="770"/>
      <c r="LJ83" s="770"/>
      <c r="LK83" s="770"/>
      <c r="LL83" s="770"/>
      <c r="LM83" s="770"/>
      <c r="LN83" s="766"/>
      <c r="LO83" s="766"/>
      <c r="LP83" s="770"/>
      <c r="LQ83" s="770"/>
      <c r="LR83" s="770"/>
      <c r="LS83" s="770"/>
      <c r="LT83" s="770"/>
      <c r="LU83" s="770"/>
      <c r="LV83" s="770"/>
      <c r="LW83" s="770"/>
      <c r="LX83" s="769"/>
      <c r="LY83" s="766" t="str">
        <f t="shared" si="16"/>
        <v/>
      </c>
      <c r="LZ83" s="299"/>
      <c r="MA83" s="1709"/>
      <c r="MB83" s="1709"/>
      <c r="MC83" s="1679">
        <f t="shared" si="17"/>
        <v>0</v>
      </c>
      <c r="MD83" s="1709"/>
      <c r="ME83" s="1709"/>
      <c r="MF83" s="1709"/>
      <c r="MG83" s="1680">
        <f t="shared" si="15"/>
        <v>0</v>
      </c>
      <c r="MH83" s="770"/>
      <c r="MI83" s="302"/>
      <c r="MJ83" s="302"/>
      <c r="MK83" s="302"/>
      <c r="ML83" s="302"/>
      <c r="MM83" s="302"/>
      <c r="MN83" s="302"/>
      <c r="MO83" s="302"/>
      <c r="MP83" s="302"/>
      <c r="MQ83" s="302"/>
      <c r="MR83" s="302"/>
      <c r="MS83" s="302"/>
      <c r="MT83" s="302"/>
      <c r="MU83" s="302"/>
      <c r="MV83" s="302"/>
      <c r="MW83" s="302"/>
      <c r="MX83" s="302"/>
      <c r="MY83" s="1682">
        <f t="shared" si="14"/>
        <v>0</v>
      </c>
      <c r="MZ83" s="770"/>
      <c r="NA83" s="770"/>
      <c r="NB83" s="770"/>
      <c r="NC83" s="770"/>
      <c r="ND83" s="770"/>
      <c r="NE83" s="770"/>
      <c r="NF83" s="770"/>
      <c r="NG83" s="770"/>
      <c r="NH83" s="770"/>
      <c r="NI83" s="770"/>
      <c r="NJ83" s="770"/>
      <c r="NK83" s="770"/>
      <c r="NL83" s="770"/>
      <c r="NM83" s="770"/>
      <c r="NN83" s="770"/>
      <c r="NO83" s="770"/>
      <c r="NP83" s="770"/>
      <c r="NQ83" s="770"/>
      <c r="NR83" s="770"/>
      <c r="NS83" s="770"/>
      <c r="NT83" s="770"/>
      <c r="NU83" s="770"/>
      <c r="NV83" s="770"/>
      <c r="NW83" s="770"/>
      <c r="NX83" s="770"/>
      <c r="NY83" s="770"/>
      <c r="NZ83" s="770"/>
      <c r="OA83" s="770"/>
      <c r="OB83" s="770"/>
      <c r="OC83" s="770"/>
      <c r="OD83" s="770"/>
      <c r="OE83" s="770"/>
      <c r="OF83" s="770"/>
      <c r="OG83" s="770"/>
      <c r="OH83" s="770"/>
      <c r="OI83" s="770"/>
      <c r="OJ83" s="770"/>
      <c r="OK83" s="770"/>
      <c r="OL83" s="770"/>
      <c r="OM83" s="770"/>
      <c r="ON83" s="770"/>
      <c r="OO83" s="770"/>
      <c r="OP83" s="770"/>
      <c r="OQ83" s="770"/>
      <c r="OR83" s="770"/>
      <c r="OS83" s="770"/>
      <c r="OT83" s="770"/>
      <c r="OU83" s="770"/>
      <c r="OV83" s="770"/>
      <c r="OW83" s="770"/>
      <c r="OX83" s="770"/>
      <c r="OY83" s="770"/>
      <c r="OZ83" s="770"/>
      <c r="PA83" s="770"/>
      <c r="PB83" s="770"/>
      <c r="PC83" s="770"/>
      <c r="PD83" s="770"/>
      <c r="PE83" s="770"/>
      <c r="PF83" s="770"/>
      <c r="PG83" s="770"/>
      <c r="PH83" s="770"/>
      <c r="PI83" s="770"/>
      <c r="PJ83" s="770"/>
      <c r="PK83" s="770"/>
      <c r="PL83" s="770"/>
      <c r="PM83" s="770"/>
      <c r="PN83" s="770"/>
      <c r="PO83" s="770"/>
      <c r="PP83" s="770"/>
      <c r="PQ83" s="770"/>
      <c r="PR83" s="770"/>
      <c r="PS83" s="770"/>
      <c r="PT83" s="770"/>
      <c r="PU83" s="770"/>
      <c r="PV83" s="770"/>
      <c r="PW83" s="770"/>
      <c r="PX83" s="770"/>
      <c r="PY83" s="770"/>
      <c r="PZ83" s="770"/>
      <c r="QA83" s="770"/>
      <c r="QB83" s="770"/>
      <c r="QC83" s="770"/>
      <c r="QD83" s="770"/>
      <c r="QE83" s="770"/>
      <c r="QF83" s="770"/>
      <c r="QG83" s="770"/>
      <c r="QH83" s="770"/>
      <c r="QI83" s="770"/>
      <c r="QJ83" s="770"/>
      <c r="QK83" s="770"/>
      <c r="QL83" s="770"/>
      <c r="QM83" s="770"/>
      <c r="QN83" s="770"/>
      <c r="QO83" s="770"/>
      <c r="QP83" s="770"/>
      <c r="QQ83" s="770"/>
      <c r="QR83" s="770"/>
      <c r="QS83" s="770"/>
      <c r="QT83" s="770"/>
      <c r="QU83" s="770"/>
      <c r="QV83" s="770"/>
      <c r="QW83" s="770"/>
      <c r="QX83" s="770"/>
      <c r="QY83" s="770"/>
      <c r="QZ83" s="770"/>
      <c r="RA83" s="770"/>
      <c r="RB83" s="770"/>
      <c r="RC83" s="770"/>
      <c r="RD83" s="770"/>
      <c r="RE83" s="770"/>
      <c r="RF83" s="304"/>
      <c r="RG83" s="770"/>
      <c r="RH83" s="306"/>
      <c r="RI83" s="770"/>
      <c r="RJ83" s="766" t="s">
        <v>1606</v>
      </c>
      <c r="RK83" s="766" t="s">
        <v>13087</v>
      </c>
      <c r="RL83" s="1683"/>
      <c r="RM83" s="12"/>
      <c r="RN83" s="1711"/>
      <c r="RO83" s="167" t="s">
        <v>92</v>
      </c>
      <c r="RP83" s="11"/>
      <c r="RQ83" s="11"/>
      <c r="RR83" s="17"/>
      <c r="RS83" s="767"/>
      <c r="RT83" s="11"/>
      <c r="RU83" s="11"/>
      <c r="RV83" s="771" t="s">
        <v>7419</v>
      </c>
      <c r="RW83" s="11" t="s">
        <v>12410</v>
      </c>
      <c r="RX83" s="11" t="s">
        <v>81</v>
      </c>
      <c r="RY83" s="11"/>
      <c r="RZ83" s="11"/>
      <c r="SA83" s="771"/>
      <c r="SB83" s="11"/>
      <c r="SC83" s="11"/>
    </row>
    <row r="84" spans="1:497" ht="12.75" hidden="1" customHeight="1">
      <c r="A84" s="343" t="s">
        <v>14143</v>
      </c>
      <c r="B84" s="288" t="s">
        <v>12399</v>
      </c>
      <c r="C84" s="167" t="s">
        <v>92</v>
      </c>
      <c r="D84" s="766" t="s">
        <v>7942</v>
      </c>
      <c r="E84" s="766" t="s">
        <v>94</v>
      </c>
      <c r="F84" s="766"/>
      <c r="G84" s="766"/>
      <c r="H84" s="766"/>
      <c r="I84" s="5"/>
      <c r="J84" s="766"/>
      <c r="K84" s="766"/>
      <c r="L84" s="766"/>
      <c r="M84" s="766"/>
      <c r="N84" s="766"/>
      <c r="O84" s="766"/>
      <c r="P84" s="766" t="s">
        <v>753</v>
      </c>
      <c r="Q84" s="1085">
        <v>29976</v>
      </c>
      <c r="R84" s="25">
        <v>35</v>
      </c>
      <c r="S84" s="766" t="s">
        <v>10</v>
      </c>
      <c r="T84" s="766"/>
      <c r="U84" s="26" t="s">
        <v>754</v>
      </c>
      <c r="V84" s="766" t="s">
        <v>707</v>
      </c>
      <c r="W84" s="766"/>
      <c r="X84" s="24"/>
      <c r="Y84" s="9" t="s">
        <v>752</v>
      </c>
      <c r="Z84" s="766" t="s">
        <v>708</v>
      </c>
      <c r="AA84" s="766" t="s">
        <v>709</v>
      </c>
      <c r="AB84" s="766" t="s">
        <v>744</v>
      </c>
      <c r="AC84" s="766" t="s">
        <v>755</v>
      </c>
      <c r="AD84" s="766"/>
      <c r="AE84" s="766"/>
      <c r="AF84" s="766"/>
      <c r="AG84" s="766"/>
      <c r="AH84" s="766"/>
      <c r="AI84" s="766"/>
      <c r="AJ84" s="766"/>
      <c r="AK84" s="766" t="s">
        <v>1899</v>
      </c>
      <c r="AL84" s="121"/>
      <c r="AM84" s="773"/>
      <c r="AN84" s="37"/>
      <c r="AO84" s="766"/>
      <c r="AP84" s="766"/>
      <c r="AQ84" s="766"/>
      <c r="AR84" s="766"/>
      <c r="AS84" s="766"/>
      <c r="AT84" s="766"/>
      <c r="AU84" s="766"/>
      <c r="AV84" s="766"/>
      <c r="AW84" s="766"/>
      <c r="AX84" s="13"/>
      <c r="AY84" s="766"/>
      <c r="AZ84" s="766"/>
      <c r="BA84" s="766"/>
      <c r="BB84" s="766"/>
      <c r="BC84" s="766"/>
      <c r="BD84" s="766"/>
      <c r="BE84" s="766"/>
      <c r="BF84" s="775"/>
      <c r="BG84" s="775"/>
      <c r="BH84" s="766"/>
      <c r="BI84" s="766"/>
      <c r="BJ84" s="766"/>
      <c r="BK84" s="766"/>
      <c r="BL84" s="766"/>
      <c r="BM84" s="766" t="s">
        <v>1238</v>
      </c>
      <c r="BN84" s="766" t="s">
        <v>1256</v>
      </c>
      <c r="BO84" s="766"/>
      <c r="BP84" s="776"/>
      <c r="BQ84" s="773"/>
      <c r="BR84" s="774"/>
      <c r="BS84" s="766"/>
      <c r="BT84" s="766"/>
      <c r="BU84" s="766"/>
      <c r="BV84" s="766"/>
      <c r="BW84" s="766"/>
      <c r="BX84" s="779"/>
      <c r="BY84" s="766"/>
      <c r="BZ84" s="775"/>
      <c r="CA84" s="766"/>
      <c r="CB84" s="766"/>
      <c r="CC84" s="766"/>
      <c r="CD84" s="766"/>
      <c r="CE84" s="766"/>
      <c r="CF84" s="231"/>
      <c r="CG84" s="231"/>
      <c r="CH84" s="766"/>
      <c r="CI84" s="766"/>
      <c r="CJ84" s="766"/>
      <c r="CK84" s="766"/>
      <c r="CL84" s="766"/>
      <c r="CM84" s="766"/>
      <c r="CN84" s="766"/>
      <c r="CO84" s="766"/>
      <c r="CP84" s="766"/>
      <c r="CQ84" s="766"/>
      <c r="CR84" s="775"/>
      <c r="CS84" s="766"/>
      <c r="CT84" s="766"/>
      <c r="CU84" s="129"/>
      <c r="CV84" s="766"/>
      <c r="CW84" s="766"/>
      <c r="CX84" s="766"/>
      <c r="CY84" s="766"/>
      <c r="CZ84" s="766"/>
      <c r="DA84" s="766"/>
      <c r="DB84" s="766"/>
      <c r="DC84" s="766"/>
      <c r="DD84" s="766"/>
      <c r="DE84" s="766"/>
      <c r="DF84" s="766"/>
      <c r="DG84" s="766"/>
      <c r="DH84" s="766"/>
      <c r="DI84" s="766"/>
      <c r="DJ84" s="766"/>
      <c r="DK84" s="766"/>
      <c r="DL84" s="766"/>
      <c r="DM84" s="766"/>
      <c r="DN84" s="766"/>
      <c r="DO84" s="766"/>
      <c r="DP84" s="766"/>
      <c r="DQ84" s="766"/>
      <c r="DR84" s="766"/>
      <c r="DS84" s="59"/>
      <c r="DT84" s="766"/>
      <c r="DU84" s="766"/>
      <c r="DV84" s="766"/>
      <c r="DW84" s="66"/>
      <c r="DX84" s="66"/>
      <c r="DY84" s="766"/>
      <c r="DZ84" s="766"/>
      <c r="EA84" s="766"/>
      <c r="EB84" s="766"/>
      <c r="EC84" s="766"/>
      <c r="ED84" s="766"/>
      <c r="EE84" s="766"/>
      <c r="EF84" s="766"/>
      <c r="EG84" s="766"/>
      <c r="EH84" s="766"/>
      <c r="EI84" s="766"/>
      <c r="EJ84" s="766"/>
      <c r="EK84" s="766"/>
      <c r="EL84" s="766"/>
      <c r="EM84" s="766"/>
      <c r="EN84" s="766"/>
      <c r="EO84" s="766"/>
      <c r="EP84" s="766"/>
      <c r="EQ84" s="766"/>
      <c r="ER84" s="766"/>
      <c r="ES84" s="766"/>
      <c r="ET84" s="766"/>
      <c r="EU84" s="766"/>
      <c r="EV84" s="766"/>
      <c r="EW84" s="766"/>
      <c r="EX84" s="766"/>
      <c r="EY84" s="766"/>
      <c r="EZ84" s="766"/>
      <c r="FA84" s="766"/>
      <c r="FB84" s="766"/>
      <c r="FC84" s="766"/>
      <c r="FD84" s="775"/>
      <c r="FE84" s="766"/>
      <c r="FF84" s="766"/>
      <c r="FG84" s="766"/>
      <c r="FH84" s="766" t="s">
        <v>1306</v>
      </c>
      <c r="FI84" s="766"/>
      <c r="FJ84" s="766" t="s">
        <v>1606</v>
      </c>
      <c r="FK84" s="766"/>
      <c r="FL84" s="766"/>
      <c r="FM84" s="147">
        <v>2000</v>
      </c>
      <c r="FN84" s="775">
        <v>0</v>
      </c>
      <c r="FO84" s="775">
        <v>375</v>
      </c>
      <c r="FP84" s="766"/>
      <c r="FQ84" s="766"/>
      <c r="FR84" s="770"/>
      <c r="FS84" s="770"/>
      <c r="FT84" s="770"/>
      <c r="FU84" s="770"/>
      <c r="FV84" s="766"/>
      <c r="FW84" s="766"/>
      <c r="FX84" s="766"/>
      <c r="FY84" s="766"/>
      <c r="FZ84" s="766"/>
      <c r="GA84" s="766"/>
      <c r="GB84" s="766"/>
      <c r="GC84" s="75"/>
      <c r="GD84" s="25"/>
      <c r="GE84" s="766"/>
      <c r="GF84" s="775"/>
      <c r="GG84" s="775"/>
      <c r="GH84" s="766"/>
      <c r="GI84" s="766"/>
      <c r="GJ84" s="766"/>
      <c r="GK84" s="766"/>
      <c r="GL84" s="766"/>
      <c r="GM84" s="766"/>
      <c r="GN84" s="82"/>
      <c r="GO84" s="766"/>
      <c r="GP84" s="766"/>
      <c r="GQ84" s="766"/>
      <c r="GR84" s="766"/>
      <c r="GS84" s="766"/>
      <c r="GT84" s="766"/>
      <c r="GU84" s="766"/>
      <c r="GV84" s="766"/>
      <c r="GW84" s="766"/>
      <c r="GX84" s="766"/>
      <c r="GY84" s="766"/>
      <c r="GZ84" s="766"/>
      <c r="HA84" s="766"/>
      <c r="HB84" s="766"/>
      <c r="HC84" s="766"/>
      <c r="HD84" s="766"/>
      <c r="HE84" s="766"/>
      <c r="HF84" s="766"/>
      <c r="HG84" s="766"/>
      <c r="HH84" s="766"/>
      <c r="HI84" s="766"/>
      <c r="HJ84" s="766"/>
      <c r="HK84" s="766"/>
      <c r="HL84" s="766"/>
      <c r="HM84" s="766"/>
      <c r="HN84" s="766"/>
      <c r="HO84" s="766"/>
      <c r="HP84" s="766"/>
      <c r="HQ84" s="766"/>
      <c r="HR84" s="766"/>
      <c r="HS84" s="766"/>
      <c r="HT84" s="766"/>
      <c r="HU84" s="766"/>
      <c r="HV84" s="766"/>
      <c r="HW84" s="766"/>
      <c r="HX84" s="766"/>
      <c r="HY84" s="766"/>
      <c r="HZ84" s="766"/>
      <c r="IA84" s="766"/>
      <c r="IB84" s="766"/>
      <c r="IC84" s="766"/>
      <c r="ID84" s="766"/>
      <c r="IE84" s="766"/>
      <c r="IF84" s="766"/>
      <c r="IG84" s="766"/>
      <c r="IH84" s="766"/>
      <c r="II84" s="766"/>
      <c r="IJ84" s="766"/>
      <c r="IK84" s="766"/>
      <c r="IL84" s="766"/>
      <c r="IM84" s="766"/>
      <c r="IN84" s="766"/>
      <c r="IO84" s="24"/>
      <c r="IP84" s="766"/>
      <c r="IQ84" s="766"/>
      <c r="IR84" s="766"/>
      <c r="IS84" s="766"/>
      <c r="IT84" s="766"/>
      <c r="IU84" s="766"/>
      <c r="IV84" s="766"/>
      <c r="IW84" s="766"/>
      <c r="IX84" s="766"/>
      <c r="IY84" s="766"/>
      <c r="IZ84" s="766"/>
      <c r="JA84" s="766"/>
      <c r="JB84" s="766"/>
      <c r="JC84" s="766"/>
      <c r="JD84" s="775"/>
      <c r="JE84" s="766"/>
      <c r="JF84" s="766"/>
      <c r="JG84" s="766"/>
      <c r="JH84" s="775"/>
      <c r="JI84" s="775"/>
      <c r="JJ84" s="766">
        <v>5</v>
      </c>
      <c r="JK84" s="766" t="s">
        <v>2050</v>
      </c>
      <c r="JL84" s="766">
        <v>1</v>
      </c>
      <c r="JM84" s="766">
        <v>2</v>
      </c>
      <c r="JN84" s="766">
        <v>1</v>
      </c>
      <c r="JO84" s="766">
        <v>1</v>
      </c>
      <c r="JP84" s="766"/>
      <c r="JQ84" s="766"/>
      <c r="JR84" s="766"/>
      <c r="JS84" s="766"/>
      <c r="JT84" s="766">
        <f>SUM(JP84,JN84,JL84,JR84)</f>
        <v>2</v>
      </c>
      <c r="JU84" s="766">
        <f>SUM(JQ84,JO84,JM84,JS84)</f>
        <v>3</v>
      </c>
      <c r="JV84" s="766"/>
      <c r="JW84" s="766"/>
      <c r="JX84" s="766"/>
      <c r="JY84" s="766"/>
      <c r="JZ84" s="766">
        <v>1</v>
      </c>
      <c r="KA84" s="766">
        <v>2</v>
      </c>
      <c r="KB84" s="766"/>
      <c r="KC84" s="766"/>
      <c r="KD84" s="766">
        <v>1</v>
      </c>
      <c r="KE84" s="766">
        <v>1</v>
      </c>
      <c r="KF84" s="766"/>
      <c r="KG84" s="766"/>
      <c r="KH84" s="766"/>
      <c r="KI84" s="766"/>
      <c r="KJ84" s="770">
        <f>SUM(KF84,KD84,KB84,JZ84,JX84,KH84)</f>
        <v>2</v>
      </c>
      <c r="KK84" s="770">
        <f>SUM(KG84,KE84,KC84,KA84,JY84,KI84)</f>
        <v>3</v>
      </c>
      <c r="KL84" s="770"/>
      <c r="KM84" s="770"/>
      <c r="KN84" s="766" t="s">
        <v>707</v>
      </c>
      <c r="KO84" s="766"/>
      <c r="KP84" s="766"/>
      <c r="KQ84" s="766"/>
      <c r="KR84" s="766"/>
      <c r="KS84" s="766"/>
      <c r="KT84" s="766">
        <v>2</v>
      </c>
      <c r="KU84" s="766">
        <v>2</v>
      </c>
      <c r="KV84" s="766"/>
      <c r="KW84" s="766"/>
      <c r="KX84" s="766"/>
      <c r="KY84" s="766">
        <v>1</v>
      </c>
      <c r="KZ84" s="766"/>
      <c r="LA84" s="766"/>
      <c r="LB84" s="766"/>
      <c r="LC84" s="766"/>
      <c r="LD84" s="766"/>
      <c r="LE84" s="766"/>
      <c r="LF84" s="766"/>
      <c r="LG84" s="766"/>
      <c r="LH84" s="766"/>
      <c r="LI84" s="766"/>
      <c r="LJ84" s="766"/>
      <c r="LK84" s="766"/>
      <c r="LL84" s="766"/>
      <c r="LM84" s="766"/>
      <c r="LN84" s="766">
        <f>SUM(KP84,KR84,KT84,KV84,KX84,KZ84,LB84,LD84,LF84,LH84,LJ84,LL84)</f>
        <v>2</v>
      </c>
      <c r="LO84" s="766">
        <f>SUM(KQ84,KS84,KU84,KW84,KY84,LA84,LC84,LE84,LG84,LI84,LK84,LM84)</f>
        <v>3</v>
      </c>
      <c r="LP84" s="766">
        <v>1</v>
      </c>
      <c r="LQ84" s="766"/>
      <c r="LR84" s="766"/>
      <c r="LS84" s="766"/>
      <c r="LT84" s="766"/>
      <c r="LU84" s="766">
        <v>1</v>
      </c>
      <c r="LV84" s="766"/>
      <c r="LW84" s="766"/>
      <c r="LX84" s="769">
        <v>1</v>
      </c>
      <c r="LY84" s="766" t="str">
        <f t="shared" si="16"/>
        <v>within the BRGY</v>
      </c>
      <c r="LZ84" s="66"/>
      <c r="MA84" s="66"/>
      <c r="MB84" s="66"/>
      <c r="MC84" s="1679">
        <f t="shared" si="17"/>
        <v>0</v>
      </c>
      <c r="MD84" s="66">
        <v>10800</v>
      </c>
      <c r="ME84" s="66"/>
      <c r="MF84" s="66"/>
      <c r="MG84" s="1680">
        <f t="shared" si="15"/>
        <v>10800</v>
      </c>
      <c r="MH84" s="766" t="s">
        <v>2197</v>
      </c>
      <c r="MI84" s="775">
        <v>1500</v>
      </c>
      <c r="MJ84" s="775">
        <v>450</v>
      </c>
      <c r="MK84" s="775">
        <v>3500</v>
      </c>
      <c r="ML84" s="775">
        <v>500</v>
      </c>
      <c r="MM84" s="775">
        <v>100</v>
      </c>
      <c r="MN84" s="775"/>
      <c r="MO84" s="775">
        <v>600</v>
      </c>
      <c r="MP84" s="775">
        <v>400</v>
      </c>
      <c r="MQ84" s="775">
        <v>450</v>
      </c>
      <c r="MR84" s="775">
        <v>375</v>
      </c>
      <c r="MS84" s="775"/>
      <c r="MT84" s="775"/>
      <c r="MU84" s="775"/>
      <c r="MV84" s="775"/>
      <c r="MW84" s="775"/>
      <c r="MX84" s="775"/>
      <c r="MY84" s="1682">
        <f t="shared" si="14"/>
        <v>7875</v>
      </c>
      <c r="MZ84" s="766" t="s">
        <v>13004</v>
      </c>
      <c r="NA84" s="766" t="s">
        <v>13005</v>
      </c>
      <c r="NB84" s="766" t="s">
        <v>13033</v>
      </c>
      <c r="NC84" s="766" t="s">
        <v>13007</v>
      </c>
      <c r="ND84" s="766">
        <v>0</v>
      </c>
      <c r="NE84" s="766">
        <v>0</v>
      </c>
      <c r="NF84" s="766">
        <v>0</v>
      </c>
      <c r="NG84" s="766">
        <v>1</v>
      </c>
      <c r="NH84" s="766">
        <v>1</v>
      </c>
      <c r="NI84" s="766">
        <v>1</v>
      </c>
      <c r="NJ84" s="766">
        <v>1</v>
      </c>
      <c r="NK84" s="766">
        <v>0</v>
      </c>
      <c r="NL84" s="766">
        <v>1</v>
      </c>
      <c r="NM84" s="766">
        <v>1</v>
      </c>
      <c r="NN84" s="766">
        <v>0</v>
      </c>
      <c r="NO84" s="766">
        <v>0</v>
      </c>
      <c r="NP84" s="766">
        <v>0</v>
      </c>
      <c r="NQ84" s="766">
        <v>0</v>
      </c>
      <c r="NR84" s="766">
        <v>0</v>
      </c>
      <c r="NS84" s="766">
        <v>0</v>
      </c>
      <c r="NT84" s="766">
        <v>0</v>
      </c>
      <c r="NU84" s="766">
        <v>0</v>
      </c>
      <c r="NV84" s="766">
        <v>0</v>
      </c>
      <c r="NW84" s="766">
        <v>0</v>
      </c>
      <c r="NX84" s="766"/>
      <c r="NY84" s="766" t="s">
        <v>1208</v>
      </c>
      <c r="NZ84" s="766" t="s">
        <v>1208</v>
      </c>
      <c r="OA84" s="766" t="s">
        <v>1208</v>
      </c>
      <c r="OB84" s="766" t="s">
        <v>1208</v>
      </c>
      <c r="OC84" s="766" t="s">
        <v>1208</v>
      </c>
      <c r="OD84" s="766" t="s">
        <v>1208</v>
      </c>
      <c r="OE84" s="766"/>
      <c r="OF84" s="766"/>
      <c r="OG84" s="766"/>
      <c r="OH84" s="766"/>
      <c r="OI84" s="766"/>
      <c r="OJ84" s="766"/>
      <c r="OK84" s="76"/>
      <c r="OL84" s="766"/>
      <c r="OM84" s="766"/>
      <c r="ON84" s="766"/>
      <c r="OO84" s="766"/>
      <c r="OP84" s="766"/>
      <c r="OQ84" s="766"/>
      <c r="OR84" s="766"/>
      <c r="OS84" s="766"/>
      <c r="OT84" s="766"/>
      <c r="OU84" s="766"/>
      <c r="OV84" s="766"/>
      <c r="OW84" s="766"/>
      <c r="OX84" s="766"/>
      <c r="OY84" s="766"/>
      <c r="OZ84" s="766"/>
      <c r="PA84" s="766"/>
      <c r="PB84" s="766"/>
      <c r="PC84" s="766"/>
      <c r="PD84" s="766"/>
      <c r="PE84" s="766"/>
      <c r="PF84" s="766"/>
      <c r="PG84" s="766"/>
      <c r="PH84" s="766"/>
      <c r="PI84" s="766" t="s">
        <v>1208</v>
      </c>
      <c r="PJ84" s="766"/>
      <c r="PK84" s="766"/>
      <c r="PL84" s="766"/>
      <c r="PM84" s="766"/>
      <c r="PN84" s="766"/>
      <c r="PO84" s="766"/>
      <c r="PP84" s="766"/>
      <c r="PQ84" s="766"/>
      <c r="PR84" s="766"/>
      <c r="PS84" s="766"/>
      <c r="PT84" s="766"/>
      <c r="PU84" s="766"/>
      <c r="PV84" s="766"/>
      <c r="PW84" s="766"/>
      <c r="PX84" s="766"/>
      <c r="PY84" s="766"/>
      <c r="PZ84" s="766"/>
      <c r="QA84" s="766"/>
      <c r="QB84" s="766"/>
      <c r="QC84" s="766"/>
      <c r="QD84" s="766"/>
      <c r="QE84" s="766"/>
      <c r="QF84" s="766"/>
      <c r="QG84" s="766"/>
      <c r="QH84" s="766"/>
      <c r="QI84" s="766"/>
      <c r="QJ84" s="766"/>
      <c r="QK84" s="766"/>
      <c r="QL84" s="766"/>
      <c r="QM84" s="766"/>
      <c r="QN84" s="766"/>
      <c r="QO84" s="766"/>
      <c r="QP84" s="766"/>
      <c r="QQ84" s="766"/>
      <c r="QR84" s="766"/>
      <c r="QS84" s="766"/>
      <c r="QT84" s="766"/>
      <c r="QU84" s="766"/>
      <c r="QV84" s="766"/>
      <c r="QW84" s="766"/>
      <c r="QX84" s="766"/>
      <c r="QY84" s="766"/>
      <c r="QZ84" s="766"/>
      <c r="RA84" s="766"/>
      <c r="RB84" s="770" t="s">
        <v>1207</v>
      </c>
      <c r="RC84" s="766">
        <v>2009</v>
      </c>
      <c r="RD84" s="766" t="s">
        <v>13036</v>
      </c>
      <c r="RE84" s="766" t="s">
        <v>13100</v>
      </c>
      <c r="RF84" s="777">
        <f>CONVERT(5,"in","m")</f>
        <v>0.127</v>
      </c>
      <c r="RG84" s="766" t="s">
        <v>13000</v>
      </c>
      <c r="RH84" s="775">
        <v>450</v>
      </c>
      <c r="RI84" s="766" t="s">
        <v>13101</v>
      </c>
      <c r="RJ84" s="766" t="s">
        <v>2151</v>
      </c>
      <c r="RK84" s="766" t="s">
        <v>12994</v>
      </c>
      <c r="RL84" s="1683"/>
      <c r="RM84" s="12"/>
      <c r="RN84" s="1711"/>
      <c r="RO84" s="167" t="s">
        <v>92</v>
      </c>
      <c r="RP84" s="11"/>
      <c r="RQ84" s="11"/>
      <c r="RR84" s="17"/>
      <c r="RS84" s="766"/>
      <c r="RT84" s="11"/>
      <c r="RU84" s="11"/>
      <c r="RV84" s="766" t="s">
        <v>7421</v>
      </c>
      <c r="RW84" s="11" t="s">
        <v>7559</v>
      </c>
      <c r="RX84" s="11" t="s">
        <v>85</v>
      </c>
      <c r="RY84" s="11"/>
      <c r="RZ84" s="11" t="s">
        <v>2402</v>
      </c>
      <c r="SA84" s="766"/>
      <c r="SB84" s="11"/>
      <c r="SC84" s="11"/>
    </row>
    <row r="85" spans="1:497" ht="12.75" hidden="1" customHeight="1">
      <c r="A85" s="343" t="s">
        <v>14144</v>
      </c>
      <c r="B85" s="288" t="s">
        <v>7560</v>
      </c>
      <c r="C85" s="167" t="s">
        <v>88</v>
      </c>
      <c r="D85" s="14" t="s">
        <v>89</v>
      </c>
      <c r="E85" s="766" t="s">
        <v>90</v>
      </c>
      <c r="F85" s="766" t="s">
        <v>28</v>
      </c>
      <c r="G85" s="766" t="s">
        <v>10</v>
      </c>
      <c r="H85" s="766"/>
      <c r="I85" s="5" t="s">
        <v>91</v>
      </c>
      <c r="J85" s="766" t="s">
        <v>89</v>
      </c>
      <c r="K85" s="766"/>
      <c r="L85" s="766"/>
      <c r="M85" s="766"/>
      <c r="N85" s="766"/>
      <c r="O85" s="766"/>
      <c r="P85" s="766"/>
      <c r="Q85" s="1085"/>
      <c r="R85" s="25"/>
      <c r="S85" s="766"/>
      <c r="T85" s="766"/>
      <c r="U85" s="26"/>
      <c r="V85" s="766"/>
      <c r="W85" s="766"/>
      <c r="X85" s="24"/>
      <c r="Y85" s="766"/>
      <c r="Z85" s="766"/>
      <c r="AA85" s="766"/>
      <c r="AB85" s="766"/>
      <c r="AC85" s="766"/>
      <c r="AD85" s="766"/>
      <c r="AE85" s="766"/>
      <c r="AF85" s="766"/>
      <c r="AG85" s="766"/>
      <c r="AH85" s="766"/>
      <c r="AI85" s="766"/>
      <c r="AJ85" s="770"/>
      <c r="AK85" s="766" t="s">
        <v>5454</v>
      </c>
      <c r="AL85" s="121"/>
      <c r="AM85" s="773"/>
      <c r="AN85" s="37"/>
      <c r="AO85" s="766"/>
      <c r="AP85" s="766"/>
      <c r="AQ85" s="766"/>
      <c r="AR85" s="766"/>
      <c r="AS85" s="766"/>
      <c r="AT85" s="766"/>
      <c r="AU85" s="766"/>
      <c r="AV85" s="766"/>
      <c r="AW85" s="766"/>
      <c r="AX85" s="13"/>
      <c r="AY85" s="766"/>
      <c r="AZ85" s="766"/>
      <c r="BA85" s="766"/>
      <c r="BB85" s="766"/>
      <c r="BC85" s="766"/>
      <c r="BD85" s="766"/>
      <c r="BE85" s="766"/>
      <c r="BF85" s="775"/>
      <c r="BG85" s="775"/>
      <c r="BH85" s="766"/>
      <c r="BI85" s="766"/>
      <c r="BJ85" s="766"/>
      <c r="BK85" s="766" t="s">
        <v>1095</v>
      </c>
      <c r="BL85" s="766" t="s">
        <v>1274</v>
      </c>
      <c r="BM85" s="766" t="s">
        <v>1096</v>
      </c>
      <c r="BN85" s="766" t="s">
        <v>1230</v>
      </c>
      <c r="BO85" s="766" t="s">
        <v>1239</v>
      </c>
      <c r="BP85" s="776">
        <v>33.49</v>
      </c>
      <c r="BQ85" s="773">
        <v>15.39</v>
      </c>
      <c r="BR85" s="774">
        <f>BQ85/BP85</f>
        <v>0.45954016124216185</v>
      </c>
      <c r="BS85" s="766" t="s">
        <v>1105</v>
      </c>
      <c r="BT85" s="766" t="s">
        <v>2040</v>
      </c>
      <c r="BU85" s="766" t="s">
        <v>1241</v>
      </c>
      <c r="BV85" s="766" t="s">
        <v>1243</v>
      </c>
      <c r="BW85" s="766">
        <v>2005</v>
      </c>
      <c r="BX85" s="779">
        <v>1300000</v>
      </c>
      <c r="BY85" s="766"/>
      <c r="BZ85" s="66">
        <v>1500000</v>
      </c>
      <c r="CA85" s="766"/>
      <c r="CB85" s="766"/>
      <c r="CC85" s="766"/>
      <c r="CD85" s="766"/>
      <c r="CE85" s="766"/>
      <c r="CF85" s="231"/>
      <c r="CG85" s="231"/>
      <c r="CH85" s="766"/>
      <c r="CI85" s="766"/>
      <c r="CJ85" s="766"/>
      <c r="CK85" s="766"/>
      <c r="CL85" s="766"/>
      <c r="CM85" s="766"/>
      <c r="CN85" s="766"/>
      <c r="CO85" s="766"/>
      <c r="CP85" s="766"/>
      <c r="CQ85" s="766"/>
      <c r="CR85" s="775"/>
      <c r="CS85" s="766"/>
      <c r="CT85" s="766"/>
      <c r="CU85" s="129"/>
      <c r="CV85" s="766"/>
      <c r="CW85" s="766"/>
      <c r="CX85" s="766"/>
      <c r="CY85" s="766"/>
      <c r="CZ85" s="766"/>
      <c r="DA85" s="766"/>
      <c r="DB85" s="766"/>
      <c r="DC85" s="766"/>
      <c r="DD85" s="766"/>
      <c r="DE85" s="766"/>
      <c r="DF85" s="766"/>
      <c r="DG85" s="766"/>
      <c r="DH85" s="766"/>
      <c r="DI85" s="766"/>
      <c r="DJ85" s="766"/>
      <c r="DK85" s="766"/>
      <c r="DL85" s="766"/>
      <c r="DM85" s="766"/>
      <c r="DN85" s="766"/>
      <c r="DO85" s="766"/>
      <c r="DP85" s="766"/>
      <c r="DQ85" s="766"/>
      <c r="DR85" s="766"/>
      <c r="DS85" s="59"/>
      <c r="DT85" s="766"/>
      <c r="DU85" s="766"/>
      <c r="DV85" s="766"/>
      <c r="DW85" s="66"/>
      <c r="DX85" s="66"/>
      <c r="DY85" s="766"/>
      <c r="DZ85" s="766"/>
      <c r="EA85" s="766"/>
      <c r="EB85" s="766"/>
      <c r="EC85" s="766"/>
      <c r="ED85" s="766"/>
      <c r="EE85" s="766"/>
      <c r="EF85" s="766"/>
      <c r="EG85" s="766"/>
      <c r="EH85" s="766"/>
      <c r="EI85" s="766"/>
      <c r="EJ85" s="766"/>
      <c r="EK85" s="766"/>
      <c r="EL85" s="766"/>
      <c r="EM85" s="766"/>
      <c r="EN85" s="766"/>
      <c r="EO85" s="766"/>
      <c r="EP85" s="766"/>
      <c r="EQ85" s="766"/>
      <c r="ER85" s="766"/>
      <c r="ES85" s="766"/>
      <c r="ET85" s="766"/>
      <c r="EU85" s="766"/>
      <c r="EV85" s="766"/>
      <c r="EW85" s="766"/>
      <c r="EX85" s="766"/>
      <c r="EY85" s="766"/>
      <c r="EZ85" s="766"/>
      <c r="FA85" s="766"/>
      <c r="FB85" s="766"/>
      <c r="FC85" s="766"/>
      <c r="FD85" s="775"/>
      <c r="FE85" s="766"/>
      <c r="FF85" s="766"/>
      <c r="FG85" s="766"/>
      <c r="FH85" s="766" t="s">
        <v>478</v>
      </c>
      <c r="FI85" s="766" t="s">
        <v>110</v>
      </c>
      <c r="FJ85" s="766"/>
      <c r="FK85" s="766"/>
      <c r="FL85" s="766"/>
      <c r="FM85" s="775"/>
      <c r="FN85" s="775"/>
      <c r="FO85" s="775"/>
      <c r="FP85" s="766" t="s">
        <v>1602</v>
      </c>
      <c r="FQ85" s="766" t="s">
        <v>1660</v>
      </c>
      <c r="FR85" s="766" t="s">
        <v>1207</v>
      </c>
      <c r="FS85" s="766"/>
      <c r="FT85" s="766"/>
      <c r="FU85" s="766"/>
      <c r="FV85" s="766"/>
      <c r="FW85" s="766"/>
      <c r="FX85" s="766"/>
      <c r="FY85" s="766"/>
      <c r="FZ85" s="766"/>
      <c r="GA85" s="766"/>
      <c r="GB85" s="766" t="s">
        <v>1692</v>
      </c>
      <c r="GC85" s="75" t="s">
        <v>1702</v>
      </c>
      <c r="GD85" s="25">
        <v>2015</v>
      </c>
      <c r="GE85" s="766" t="s">
        <v>1698</v>
      </c>
      <c r="GF85" s="775"/>
      <c r="GG85" s="775"/>
      <c r="GH85" s="766"/>
      <c r="GI85" s="766"/>
      <c r="GJ85" s="766"/>
      <c r="GK85" s="766"/>
      <c r="GL85" s="766"/>
      <c r="GM85" s="766"/>
      <c r="GN85" s="82"/>
      <c r="GO85" s="766"/>
      <c r="GP85" s="766"/>
      <c r="GQ85" s="766"/>
      <c r="GR85" s="766"/>
      <c r="GS85" s="766"/>
      <c r="GT85" s="766"/>
      <c r="GU85" s="766"/>
      <c r="GV85" s="766"/>
      <c r="GW85" s="766"/>
      <c r="GX85" s="766"/>
      <c r="GY85" s="766"/>
      <c r="GZ85" s="766"/>
      <c r="HA85" s="766"/>
      <c r="HB85" s="766"/>
      <c r="HC85" s="766"/>
      <c r="HD85" s="766"/>
      <c r="HE85" s="766"/>
      <c r="HF85" s="766"/>
      <c r="HG85" s="766"/>
      <c r="HH85" s="766"/>
      <c r="HI85" s="766"/>
      <c r="HJ85" s="766"/>
      <c r="HK85" s="766"/>
      <c r="HL85" s="766"/>
      <c r="HM85" s="766"/>
      <c r="HN85" s="766"/>
      <c r="HO85" s="766"/>
      <c r="HP85" s="766"/>
      <c r="HQ85" s="766"/>
      <c r="HR85" s="766"/>
      <c r="HS85" s="766"/>
      <c r="HT85" s="766"/>
      <c r="HU85" s="766"/>
      <c r="HV85" s="766"/>
      <c r="HW85" s="766"/>
      <c r="HX85" s="766"/>
      <c r="HY85" s="766"/>
      <c r="HZ85" s="766"/>
      <c r="IA85" s="766"/>
      <c r="IB85" s="766"/>
      <c r="IC85" s="766"/>
      <c r="ID85" s="766"/>
      <c r="IE85" s="766"/>
      <c r="IF85" s="766"/>
      <c r="IG85" s="766"/>
      <c r="IH85" s="766"/>
      <c r="II85" s="766"/>
      <c r="IJ85" s="766"/>
      <c r="IK85" s="766"/>
      <c r="IL85" s="766"/>
      <c r="IM85" s="766"/>
      <c r="IN85" s="766"/>
      <c r="IO85" s="24"/>
      <c r="IP85" s="766"/>
      <c r="IQ85" s="766"/>
      <c r="IR85" s="766"/>
      <c r="IS85" s="766"/>
      <c r="IT85" s="766"/>
      <c r="IU85" s="766"/>
      <c r="IV85" s="766"/>
      <c r="IW85" s="766"/>
      <c r="IX85" s="766"/>
      <c r="IY85" s="766"/>
      <c r="IZ85" s="766"/>
      <c r="JA85" s="766"/>
      <c r="JB85" s="766"/>
      <c r="JC85" s="766"/>
      <c r="JD85" s="775"/>
      <c r="JE85" s="766"/>
      <c r="JF85" s="766"/>
      <c r="JG85" s="766"/>
      <c r="JH85" s="775"/>
      <c r="JI85" s="775"/>
      <c r="JJ85" s="766"/>
      <c r="JK85" s="766"/>
      <c r="JL85" s="766"/>
      <c r="JM85" s="766"/>
      <c r="JN85" s="766"/>
      <c r="JO85" s="766"/>
      <c r="JP85" s="766"/>
      <c r="JQ85" s="766"/>
      <c r="JR85" s="766"/>
      <c r="JS85" s="766"/>
      <c r="JT85" s="766"/>
      <c r="JU85" s="766"/>
      <c r="JV85" s="766"/>
      <c r="JW85" s="766"/>
      <c r="JX85" s="766"/>
      <c r="JY85" s="766"/>
      <c r="JZ85" s="766"/>
      <c r="KA85" s="766"/>
      <c r="KB85" s="766"/>
      <c r="KC85" s="766"/>
      <c r="KD85" s="766"/>
      <c r="KE85" s="766"/>
      <c r="KF85" s="766"/>
      <c r="KG85" s="766"/>
      <c r="KH85" s="766"/>
      <c r="KI85" s="766"/>
      <c r="KJ85" s="770"/>
      <c r="KK85" s="770"/>
      <c r="KL85" s="770"/>
      <c r="KM85" s="770"/>
      <c r="KN85" s="766"/>
      <c r="KO85" s="766"/>
      <c r="KP85" s="766"/>
      <c r="KQ85" s="766"/>
      <c r="KR85" s="766"/>
      <c r="KS85" s="766"/>
      <c r="KT85" s="766"/>
      <c r="KU85" s="766"/>
      <c r="KV85" s="766"/>
      <c r="KW85" s="766"/>
      <c r="KX85" s="766"/>
      <c r="KY85" s="766"/>
      <c r="KZ85" s="766"/>
      <c r="LA85" s="766"/>
      <c r="LB85" s="766"/>
      <c r="LC85" s="766"/>
      <c r="LD85" s="766"/>
      <c r="LE85" s="766"/>
      <c r="LF85" s="766"/>
      <c r="LG85" s="766"/>
      <c r="LH85" s="766"/>
      <c r="LI85" s="766"/>
      <c r="LJ85" s="766"/>
      <c r="LK85" s="766"/>
      <c r="LL85" s="766"/>
      <c r="LM85" s="766"/>
      <c r="LN85" s="766"/>
      <c r="LO85" s="766"/>
      <c r="LP85" s="766"/>
      <c r="LQ85" s="766"/>
      <c r="LR85" s="766"/>
      <c r="LS85" s="766"/>
      <c r="LT85" s="766"/>
      <c r="LU85" s="766"/>
      <c r="LV85" s="766"/>
      <c r="LW85" s="766"/>
      <c r="LX85" s="769"/>
      <c r="LY85" s="766" t="str">
        <f t="shared" si="16"/>
        <v/>
      </c>
      <c r="LZ85" s="66"/>
      <c r="MA85" s="66"/>
      <c r="MB85" s="66"/>
      <c r="MC85" s="1679">
        <f t="shared" si="17"/>
        <v>0</v>
      </c>
      <c r="MD85" s="66"/>
      <c r="ME85" s="66"/>
      <c r="MF85" s="66"/>
      <c r="MG85" s="1680">
        <f t="shared" si="15"/>
        <v>0</v>
      </c>
      <c r="MH85" s="766"/>
      <c r="MI85" s="775"/>
      <c r="MJ85" s="775"/>
      <c r="MK85" s="775"/>
      <c r="ML85" s="775"/>
      <c r="MM85" s="775"/>
      <c r="MN85" s="775"/>
      <c r="MO85" s="775"/>
      <c r="MP85" s="775"/>
      <c r="MQ85" s="775"/>
      <c r="MR85" s="775"/>
      <c r="MS85" s="775"/>
      <c r="MT85" s="775"/>
      <c r="MU85" s="775"/>
      <c r="MV85" s="775"/>
      <c r="MW85" s="775"/>
      <c r="MX85" s="775"/>
      <c r="MY85" s="1682">
        <f t="shared" si="14"/>
        <v>0</v>
      </c>
      <c r="MZ85" s="766"/>
      <c r="NA85" s="766"/>
      <c r="NB85" s="766"/>
      <c r="NC85" s="766"/>
      <c r="ND85" s="766"/>
      <c r="NE85" s="766"/>
      <c r="NF85" s="766"/>
      <c r="NG85" s="766"/>
      <c r="NH85" s="766"/>
      <c r="NI85" s="766"/>
      <c r="NJ85" s="766"/>
      <c r="NK85" s="766"/>
      <c r="NL85" s="766"/>
      <c r="NM85" s="766"/>
      <c r="NN85" s="766"/>
      <c r="NO85" s="766"/>
      <c r="NP85" s="766"/>
      <c r="NQ85" s="766"/>
      <c r="NR85" s="766"/>
      <c r="NS85" s="766"/>
      <c r="NT85" s="766"/>
      <c r="NU85" s="766"/>
      <c r="NV85" s="766"/>
      <c r="NW85" s="766"/>
      <c r="NX85" s="766"/>
      <c r="NY85" s="766"/>
      <c r="NZ85" s="766"/>
      <c r="OA85" s="766"/>
      <c r="OB85" s="766"/>
      <c r="OC85" s="766"/>
      <c r="OD85" s="766"/>
      <c r="OE85" s="766"/>
      <c r="OF85" s="766" t="s">
        <v>2141</v>
      </c>
      <c r="OG85" s="766"/>
      <c r="OH85" s="766"/>
      <c r="OI85" s="766"/>
      <c r="OJ85" s="766"/>
      <c r="OK85" s="76"/>
      <c r="OL85" s="766"/>
      <c r="OM85" s="766"/>
      <c r="ON85" s="766"/>
      <c r="OO85" s="766"/>
      <c r="OP85" s="766"/>
      <c r="OQ85" s="766"/>
      <c r="OR85" s="766"/>
      <c r="OS85" s="766"/>
      <c r="OT85" s="766"/>
      <c r="OU85" s="766"/>
      <c r="OV85" s="766"/>
      <c r="OW85" s="766"/>
      <c r="OX85" s="766"/>
      <c r="OY85" s="766"/>
      <c r="OZ85" s="766"/>
      <c r="PA85" s="766"/>
      <c r="PB85" s="766"/>
      <c r="PC85" s="766"/>
      <c r="PD85" s="766"/>
      <c r="PE85" s="766"/>
      <c r="PF85" s="766"/>
      <c r="PG85" s="766"/>
      <c r="PH85" s="766"/>
      <c r="PI85" s="766"/>
      <c r="PJ85" s="766"/>
      <c r="PK85" s="766"/>
      <c r="PL85" s="766"/>
      <c r="PM85" s="766"/>
      <c r="PN85" s="766"/>
      <c r="PO85" s="766"/>
      <c r="PP85" s="766"/>
      <c r="PQ85" s="766"/>
      <c r="PR85" s="766"/>
      <c r="PS85" s="766"/>
      <c r="PT85" s="766"/>
      <c r="PU85" s="766"/>
      <c r="PV85" s="766"/>
      <c r="PW85" s="766"/>
      <c r="PX85" s="766"/>
      <c r="PY85" s="766"/>
      <c r="PZ85" s="766"/>
      <c r="QA85" s="766"/>
      <c r="QB85" s="766"/>
      <c r="QC85" s="766"/>
      <c r="QD85" s="766"/>
      <c r="QE85" s="766"/>
      <c r="QF85" s="766"/>
      <c r="QG85" s="766"/>
      <c r="QH85" s="766"/>
      <c r="QI85" s="766"/>
      <c r="QJ85" s="766"/>
      <c r="QK85" s="766"/>
      <c r="QL85" s="766"/>
      <c r="QM85" s="766"/>
      <c r="QN85" s="766"/>
      <c r="QO85" s="766"/>
      <c r="QP85" s="766"/>
      <c r="QQ85" s="766"/>
      <c r="QR85" s="766"/>
      <c r="QS85" s="766"/>
      <c r="QT85" s="766"/>
      <c r="QU85" s="766"/>
      <c r="QV85" s="766"/>
      <c r="QW85" s="766"/>
      <c r="QX85" s="766"/>
      <c r="QY85" s="766"/>
      <c r="QZ85" s="766"/>
      <c r="RA85" s="766"/>
      <c r="RB85" s="766"/>
      <c r="RC85" s="766"/>
      <c r="RD85" s="766"/>
      <c r="RE85" s="766"/>
      <c r="RF85" s="777"/>
      <c r="RG85" s="766"/>
      <c r="RH85" s="775"/>
      <c r="RI85" s="766"/>
      <c r="RJ85" s="766" t="s">
        <v>1274</v>
      </c>
      <c r="RK85" s="766" t="s">
        <v>13087</v>
      </c>
      <c r="RL85" s="1683"/>
      <c r="RM85" s="12"/>
      <c r="RN85" s="1711"/>
      <c r="RO85" s="167" t="s">
        <v>88</v>
      </c>
      <c r="RP85" s="11"/>
      <c r="RQ85" s="11"/>
      <c r="RR85" s="17"/>
      <c r="RS85" s="766"/>
      <c r="RT85" s="11"/>
      <c r="RU85" s="11"/>
      <c r="RV85" s="766" t="s">
        <v>7419</v>
      </c>
      <c r="RW85" s="11" t="s">
        <v>13102</v>
      </c>
      <c r="RX85" s="11" t="s">
        <v>92</v>
      </c>
      <c r="RY85" s="11"/>
      <c r="RZ85" s="11" t="s">
        <v>2402</v>
      </c>
      <c r="SA85" s="766"/>
      <c r="SB85" s="11"/>
      <c r="SC85" s="11"/>
    </row>
    <row r="86" spans="1:497" ht="12.75" hidden="1" customHeight="1">
      <c r="A86" s="343" t="s">
        <v>7419</v>
      </c>
      <c r="B86" s="288" t="s">
        <v>7562</v>
      </c>
      <c r="C86" s="167" t="s">
        <v>99</v>
      </c>
      <c r="D86" s="766" t="s">
        <v>100</v>
      </c>
      <c r="E86" s="766" t="s">
        <v>101</v>
      </c>
      <c r="F86" s="766" t="s">
        <v>28</v>
      </c>
      <c r="G86" s="766" t="s">
        <v>18</v>
      </c>
      <c r="H86" s="766"/>
      <c r="I86" s="5"/>
      <c r="J86" s="766"/>
      <c r="K86" s="766"/>
      <c r="L86" s="766"/>
      <c r="M86" s="766"/>
      <c r="N86" s="766"/>
      <c r="O86" s="766"/>
      <c r="P86" s="769"/>
      <c r="Q86" s="1085"/>
      <c r="R86" s="25"/>
      <c r="S86" s="766"/>
      <c r="T86" s="766"/>
      <c r="U86" s="26"/>
      <c r="V86" s="766"/>
      <c r="W86" s="766"/>
      <c r="X86" s="24"/>
      <c r="Y86" s="766"/>
      <c r="Z86" s="766"/>
      <c r="AA86" s="766"/>
      <c r="AB86" s="766"/>
      <c r="AC86" s="766"/>
      <c r="AD86" s="766"/>
      <c r="AE86" s="766"/>
      <c r="AF86" s="766"/>
      <c r="AG86" s="766" t="s">
        <v>1095</v>
      </c>
      <c r="AH86" s="766" t="s">
        <v>1096</v>
      </c>
      <c r="AI86" s="766" t="s">
        <v>12400</v>
      </c>
      <c r="AJ86" s="766"/>
      <c r="AK86" s="766" t="s">
        <v>1097</v>
      </c>
      <c r="AL86" s="121">
        <v>496.27</v>
      </c>
      <c r="AM86" s="773">
        <v>5.915</v>
      </c>
      <c r="AN86" s="37">
        <f>AM86/AL86</f>
        <v>1.1918915106695953E-2</v>
      </c>
      <c r="AO86" s="766" t="s">
        <v>1098</v>
      </c>
      <c r="AP86" s="766"/>
      <c r="AQ86" s="766"/>
      <c r="AR86" s="766"/>
      <c r="AS86" s="766" t="s">
        <v>1207</v>
      </c>
      <c r="AT86" s="766" t="s">
        <v>1208</v>
      </c>
      <c r="AU86" s="766"/>
      <c r="AV86" s="766"/>
      <c r="AW86" s="766"/>
      <c r="AX86" s="13"/>
      <c r="AY86" s="766"/>
      <c r="AZ86" s="766"/>
      <c r="BA86" s="766"/>
      <c r="BB86" s="766"/>
      <c r="BC86" s="766" t="s">
        <v>796</v>
      </c>
      <c r="BD86" s="766" t="s">
        <v>1207</v>
      </c>
      <c r="BE86" s="766"/>
      <c r="BF86" s="775"/>
      <c r="BG86" s="775"/>
      <c r="BH86" s="766"/>
      <c r="BI86" s="766"/>
      <c r="BJ86" s="766"/>
      <c r="BK86" s="766" t="s">
        <v>1095</v>
      </c>
      <c r="BL86" s="766" t="s">
        <v>1276</v>
      </c>
      <c r="BM86" s="766" t="s">
        <v>1096</v>
      </c>
      <c r="BN86" s="766" t="s">
        <v>1230</v>
      </c>
      <c r="BO86" s="766" t="s">
        <v>1246</v>
      </c>
      <c r="BP86" s="776">
        <v>78</v>
      </c>
      <c r="BQ86" s="773">
        <v>15.6</v>
      </c>
      <c r="BR86" s="774">
        <f>BQ86/BP86</f>
        <v>0.19999999999999998</v>
      </c>
      <c r="BS86" s="766" t="s">
        <v>1105</v>
      </c>
      <c r="BT86" s="766" t="s">
        <v>2040</v>
      </c>
      <c r="BU86" s="766" t="s">
        <v>1249</v>
      </c>
      <c r="BV86" s="766" t="s">
        <v>1247</v>
      </c>
      <c r="BW86" s="769"/>
      <c r="BX86" s="779"/>
      <c r="BY86" s="766"/>
      <c r="BZ86" s="775"/>
      <c r="CA86" s="766"/>
      <c r="CB86" s="766"/>
      <c r="CC86" s="766"/>
      <c r="CD86" s="766"/>
      <c r="CE86" s="766"/>
      <c r="CF86" s="231"/>
      <c r="CG86" s="231"/>
      <c r="CH86" s="766"/>
      <c r="CI86" s="766"/>
      <c r="CJ86" s="766"/>
      <c r="CK86" s="766"/>
      <c r="CL86" s="766"/>
      <c r="CM86" s="766"/>
      <c r="CN86" s="766"/>
      <c r="CO86" s="766"/>
      <c r="CP86" s="766"/>
      <c r="CQ86" s="766"/>
      <c r="CR86" s="775"/>
      <c r="CS86" s="766"/>
      <c r="CT86" s="766"/>
      <c r="CU86" s="129"/>
      <c r="CV86" s="766"/>
      <c r="CW86" s="766"/>
      <c r="CX86" s="766"/>
      <c r="CY86" s="766"/>
      <c r="CZ86" s="766"/>
      <c r="DA86" s="766"/>
      <c r="DB86" s="766"/>
      <c r="DC86" s="766"/>
      <c r="DD86" s="766"/>
      <c r="DE86" s="766"/>
      <c r="DF86" s="766"/>
      <c r="DG86" s="766"/>
      <c r="DH86" s="766"/>
      <c r="DI86" s="766"/>
      <c r="DJ86" s="766"/>
      <c r="DK86" s="766"/>
      <c r="DL86" s="766"/>
      <c r="DM86" s="766"/>
      <c r="DN86" s="766"/>
      <c r="DO86" s="766"/>
      <c r="DP86" s="766"/>
      <c r="DQ86" s="766"/>
      <c r="DR86" s="766"/>
      <c r="DS86" s="59"/>
      <c r="DT86" s="766"/>
      <c r="DU86" s="766"/>
      <c r="DV86" s="766"/>
      <c r="DW86" s="66"/>
      <c r="DX86" s="66"/>
      <c r="DY86" s="766"/>
      <c r="DZ86" s="766"/>
      <c r="EA86" s="766"/>
      <c r="EB86" s="766"/>
      <c r="EC86" s="766"/>
      <c r="ED86" s="766"/>
      <c r="EE86" s="766"/>
      <c r="EF86" s="766"/>
      <c r="EG86" s="766"/>
      <c r="EH86" s="766"/>
      <c r="EI86" s="766"/>
      <c r="EJ86" s="766"/>
      <c r="EK86" s="766"/>
      <c r="EL86" s="766"/>
      <c r="EM86" s="766"/>
      <c r="EN86" s="766"/>
      <c r="EO86" s="766"/>
      <c r="EP86" s="766"/>
      <c r="EQ86" s="766"/>
      <c r="ER86" s="766"/>
      <c r="ES86" s="766"/>
      <c r="ET86" s="766"/>
      <c r="EU86" s="766"/>
      <c r="EV86" s="766"/>
      <c r="EW86" s="766"/>
      <c r="EX86" s="766"/>
      <c r="EY86" s="766"/>
      <c r="EZ86" s="766"/>
      <c r="FA86" s="766"/>
      <c r="FB86" s="766"/>
      <c r="FC86" s="766"/>
      <c r="FD86" s="775"/>
      <c r="FE86" s="766"/>
      <c r="FF86" s="766"/>
      <c r="FG86" s="766"/>
      <c r="FH86" s="766" t="s">
        <v>478</v>
      </c>
      <c r="FI86" s="766">
        <v>1</v>
      </c>
      <c r="FJ86" s="766"/>
      <c r="FK86" s="766"/>
      <c r="FL86" s="766"/>
      <c r="FM86" s="775"/>
      <c r="FN86" s="775"/>
      <c r="FO86" s="775"/>
      <c r="FP86" s="766" t="s">
        <v>1602</v>
      </c>
      <c r="FQ86" s="766" t="s">
        <v>1660</v>
      </c>
      <c r="FR86" s="766" t="s">
        <v>1207</v>
      </c>
      <c r="FS86" s="766"/>
      <c r="FT86" s="766"/>
      <c r="FU86" s="766"/>
      <c r="FV86" s="766"/>
      <c r="FW86" s="766"/>
      <c r="FX86" s="766"/>
      <c r="FY86" s="766"/>
      <c r="FZ86" s="766"/>
      <c r="GA86" s="766"/>
      <c r="GB86" s="766" t="s">
        <v>796</v>
      </c>
      <c r="GC86" s="75" t="s">
        <v>1704</v>
      </c>
      <c r="GD86" s="25" t="s">
        <v>1703</v>
      </c>
      <c r="GE86" s="766" t="s">
        <v>1698</v>
      </c>
      <c r="GF86" s="775"/>
      <c r="GG86" s="775"/>
      <c r="GH86" s="766"/>
      <c r="GI86" s="766"/>
      <c r="GJ86" s="766"/>
      <c r="GK86" s="766"/>
      <c r="GL86" s="766"/>
      <c r="GM86" s="766"/>
      <c r="GN86" s="82"/>
      <c r="GO86" s="766"/>
      <c r="GP86" s="766"/>
      <c r="GQ86" s="766"/>
      <c r="GR86" s="766"/>
      <c r="GS86" s="766"/>
      <c r="GT86" s="766"/>
      <c r="GU86" s="766"/>
      <c r="GV86" s="766"/>
      <c r="GW86" s="766"/>
      <c r="GX86" s="766"/>
      <c r="GY86" s="766"/>
      <c r="GZ86" s="766"/>
      <c r="HA86" s="766"/>
      <c r="HB86" s="766"/>
      <c r="HC86" s="766"/>
      <c r="HD86" s="766"/>
      <c r="HE86" s="766"/>
      <c r="HF86" s="766"/>
      <c r="HG86" s="766"/>
      <c r="HH86" s="766"/>
      <c r="HI86" s="766"/>
      <c r="HJ86" s="766"/>
      <c r="HK86" s="766"/>
      <c r="HL86" s="766"/>
      <c r="HM86" s="766"/>
      <c r="HN86" s="766"/>
      <c r="HO86" s="766"/>
      <c r="HP86" s="766"/>
      <c r="HQ86" s="766"/>
      <c r="HR86" s="766"/>
      <c r="HS86" s="766"/>
      <c r="HT86" s="766"/>
      <c r="HU86" s="766"/>
      <c r="HV86" s="766"/>
      <c r="HW86" s="766"/>
      <c r="HX86" s="766"/>
      <c r="HY86" s="766"/>
      <c r="HZ86" s="766"/>
      <c r="IA86" s="766"/>
      <c r="IB86" s="766"/>
      <c r="IC86" s="766" t="s">
        <v>1207</v>
      </c>
      <c r="ID86" s="766"/>
      <c r="IE86" s="766" t="s">
        <v>1207</v>
      </c>
      <c r="IF86" s="766"/>
      <c r="IG86" s="766"/>
      <c r="IH86" s="766"/>
      <c r="II86" s="766"/>
      <c r="IJ86" s="766"/>
      <c r="IK86" s="766"/>
      <c r="IL86" s="766"/>
      <c r="IM86" s="766"/>
      <c r="IN86" s="766"/>
      <c r="IO86" s="24"/>
      <c r="IP86" s="766"/>
      <c r="IQ86" s="766"/>
      <c r="IR86" s="766"/>
      <c r="IS86" s="766"/>
      <c r="IT86" s="766"/>
      <c r="IU86" s="766"/>
      <c r="IV86" s="766"/>
      <c r="IW86" s="766"/>
      <c r="IX86" s="766"/>
      <c r="IY86" s="766"/>
      <c r="IZ86" s="766"/>
      <c r="JA86" s="766"/>
      <c r="JB86" s="766"/>
      <c r="JC86" s="766"/>
      <c r="JD86" s="775"/>
      <c r="JE86" s="766"/>
      <c r="JF86" s="766"/>
      <c r="JG86" s="766"/>
      <c r="JH86" s="775"/>
      <c r="JI86" s="775"/>
      <c r="JJ86" s="766"/>
      <c r="JK86" s="766"/>
      <c r="JL86" s="766"/>
      <c r="JM86" s="766"/>
      <c r="JN86" s="766"/>
      <c r="JO86" s="766"/>
      <c r="JP86" s="766"/>
      <c r="JQ86" s="766"/>
      <c r="JR86" s="766"/>
      <c r="JS86" s="766"/>
      <c r="JT86" s="766"/>
      <c r="JU86" s="766"/>
      <c r="JV86" s="766"/>
      <c r="JW86" s="766"/>
      <c r="JX86" s="766"/>
      <c r="JY86" s="766"/>
      <c r="JZ86" s="766"/>
      <c r="KA86" s="766"/>
      <c r="KB86" s="766"/>
      <c r="KC86" s="766"/>
      <c r="KD86" s="766"/>
      <c r="KE86" s="766"/>
      <c r="KF86" s="766"/>
      <c r="KG86" s="766"/>
      <c r="KH86" s="766"/>
      <c r="KI86" s="766"/>
      <c r="KJ86" s="770"/>
      <c r="KK86" s="770"/>
      <c r="KL86" s="770"/>
      <c r="KM86" s="770"/>
      <c r="KN86" s="766"/>
      <c r="KO86" s="766"/>
      <c r="KP86" s="766"/>
      <c r="KQ86" s="766"/>
      <c r="KR86" s="766"/>
      <c r="KS86" s="766"/>
      <c r="KT86" s="766"/>
      <c r="KU86" s="766"/>
      <c r="KV86" s="766"/>
      <c r="KW86" s="766"/>
      <c r="KX86" s="766"/>
      <c r="KY86" s="766"/>
      <c r="KZ86" s="766"/>
      <c r="LA86" s="766"/>
      <c r="LB86" s="766"/>
      <c r="LC86" s="766"/>
      <c r="LD86" s="766"/>
      <c r="LE86" s="766"/>
      <c r="LF86" s="766"/>
      <c r="LG86" s="766"/>
      <c r="LH86" s="766"/>
      <c r="LI86" s="766"/>
      <c r="LJ86" s="766"/>
      <c r="LK86" s="766"/>
      <c r="LL86" s="766"/>
      <c r="LM86" s="766"/>
      <c r="LN86" s="766"/>
      <c r="LO86" s="766"/>
      <c r="LP86" s="766"/>
      <c r="LQ86" s="766"/>
      <c r="LR86" s="766"/>
      <c r="LS86" s="766"/>
      <c r="LT86" s="766"/>
      <c r="LU86" s="766"/>
      <c r="LV86" s="766"/>
      <c r="LW86" s="766"/>
      <c r="LX86" s="769"/>
      <c r="LY86" s="766" t="str">
        <f t="shared" si="16"/>
        <v/>
      </c>
      <c r="LZ86" s="66"/>
      <c r="MA86" s="66"/>
      <c r="MB86" s="66"/>
      <c r="MC86" s="1679">
        <f t="shared" si="17"/>
        <v>0</v>
      </c>
      <c r="MD86" s="66"/>
      <c r="ME86" s="66"/>
      <c r="MF86" s="66"/>
      <c r="MG86" s="1680">
        <f t="shared" si="15"/>
        <v>0</v>
      </c>
      <c r="MH86" s="766"/>
      <c r="MI86" s="775"/>
      <c r="MJ86" s="775"/>
      <c r="MK86" s="775"/>
      <c r="ML86" s="775"/>
      <c r="MM86" s="775"/>
      <c r="MN86" s="775"/>
      <c r="MO86" s="775"/>
      <c r="MP86" s="775"/>
      <c r="MQ86" s="775"/>
      <c r="MR86" s="775"/>
      <c r="MS86" s="775"/>
      <c r="MT86" s="775"/>
      <c r="MU86" s="775"/>
      <c r="MV86" s="775"/>
      <c r="MW86" s="775"/>
      <c r="MX86" s="775"/>
      <c r="MY86" s="1682">
        <f t="shared" si="14"/>
        <v>0</v>
      </c>
      <c r="MZ86" s="766"/>
      <c r="NA86" s="766"/>
      <c r="NB86" s="766"/>
      <c r="NC86" s="766"/>
      <c r="ND86" s="766"/>
      <c r="NE86" s="766"/>
      <c r="NF86" s="766"/>
      <c r="NG86" s="766"/>
      <c r="NH86" s="766"/>
      <c r="NI86" s="766"/>
      <c r="NJ86" s="766"/>
      <c r="NK86" s="766"/>
      <c r="NL86" s="766"/>
      <c r="NM86" s="766"/>
      <c r="NN86" s="766"/>
      <c r="NO86" s="766"/>
      <c r="NP86" s="766"/>
      <c r="NQ86" s="766"/>
      <c r="NR86" s="766"/>
      <c r="NS86" s="766"/>
      <c r="NT86" s="766"/>
      <c r="NU86" s="766"/>
      <c r="NV86" s="766"/>
      <c r="NW86" s="766"/>
      <c r="NX86" s="766"/>
      <c r="NY86" s="766"/>
      <c r="NZ86" s="766"/>
      <c r="OA86" s="766"/>
      <c r="OB86" s="766"/>
      <c r="OC86" s="766"/>
      <c r="OD86" s="766"/>
      <c r="OE86" s="766"/>
      <c r="OF86" s="766" t="s">
        <v>1828</v>
      </c>
      <c r="OG86" s="766"/>
      <c r="OH86" s="766"/>
      <c r="OI86" s="766"/>
      <c r="OJ86" s="766"/>
      <c r="OK86" s="76"/>
      <c r="OL86" s="766"/>
      <c r="OM86" s="766"/>
      <c r="ON86" s="766"/>
      <c r="OO86" s="766"/>
      <c r="OP86" s="766"/>
      <c r="OQ86" s="766"/>
      <c r="OR86" s="766"/>
      <c r="OS86" s="766"/>
      <c r="OT86" s="766"/>
      <c r="OU86" s="766"/>
      <c r="OV86" s="766"/>
      <c r="OW86" s="766"/>
      <c r="OX86" s="766"/>
      <c r="OY86" s="766"/>
      <c r="OZ86" s="766"/>
      <c r="PA86" s="766"/>
      <c r="PB86" s="766"/>
      <c r="PC86" s="766"/>
      <c r="PD86" s="766"/>
      <c r="PE86" s="766"/>
      <c r="PF86" s="766"/>
      <c r="PG86" s="766"/>
      <c r="PH86" s="766"/>
      <c r="PI86" s="766"/>
      <c r="PJ86" s="766"/>
      <c r="PK86" s="766"/>
      <c r="PL86" s="766"/>
      <c r="PM86" s="766"/>
      <c r="PN86" s="766"/>
      <c r="PO86" s="766"/>
      <c r="PP86" s="766"/>
      <c r="PQ86" s="766"/>
      <c r="PR86" s="766"/>
      <c r="PS86" s="766"/>
      <c r="PT86" s="766"/>
      <c r="PU86" s="766"/>
      <c r="PV86" s="766"/>
      <c r="PW86" s="766"/>
      <c r="PX86" s="766"/>
      <c r="PY86" s="766"/>
      <c r="PZ86" s="766"/>
      <c r="QA86" s="766"/>
      <c r="QB86" s="766"/>
      <c r="QC86" s="766"/>
      <c r="QD86" s="766"/>
      <c r="QE86" s="766"/>
      <c r="QF86" s="766"/>
      <c r="QG86" s="766"/>
      <c r="QH86" s="766"/>
      <c r="QI86" s="766"/>
      <c r="QJ86" s="766"/>
      <c r="QK86" s="766"/>
      <c r="QL86" s="766"/>
      <c r="QM86" s="766"/>
      <c r="QN86" s="766"/>
      <c r="QO86" s="766"/>
      <c r="QP86" s="766"/>
      <c r="QQ86" s="766"/>
      <c r="QR86" s="766"/>
      <c r="QS86" s="766"/>
      <c r="QT86" s="766"/>
      <c r="QU86" s="766"/>
      <c r="QV86" s="766"/>
      <c r="QW86" s="766"/>
      <c r="QX86" s="766"/>
      <c r="QY86" s="766"/>
      <c r="QZ86" s="766"/>
      <c r="RA86" s="766"/>
      <c r="RB86" s="766"/>
      <c r="RC86" s="766"/>
      <c r="RD86" s="766"/>
      <c r="RE86" s="766"/>
      <c r="RF86" s="777"/>
      <c r="RG86" s="766"/>
      <c r="RH86" s="775"/>
      <c r="RI86" s="766"/>
      <c r="RJ86" s="766" t="s">
        <v>1276</v>
      </c>
      <c r="RK86" s="766" t="s">
        <v>12994</v>
      </c>
      <c r="RL86" s="1683"/>
      <c r="RM86" s="12"/>
      <c r="RN86" s="1711"/>
      <c r="RO86" s="167" t="s">
        <v>99</v>
      </c>
      <c r="RP86" s="11"/>
      <c r="RQ86" s="11"/>
      <c r="RR86" s="17"/>
      <c r="RS86" s="766"/>
      <c r="RT86" s="11"/>
      <c r="RU86" s="11"/>
      <c r="RV86" s="766" t="s">
        <v>12389</v>
      </c>
      <c r="RW86" s="11" t="s">
        <v>12399</v>
      </c>
      <c r="RX86" s="11" t="s">
        <v>92</v>
      </c>
      <c r="RY86" s="11"/>
      <c r="RZ86" s="11" t="s">
        <v>2402</v>
      </c>
      <c r="SA86" s="766"/>
      <c r="SB86" s="11"/>
      <c r="SC86" s="11"/>
    </row>
    <row r="87" spans="1:497" ht="12.75" hidden="1" customHeight="1">
      <c r="A87" s="343" t="s">
        <v>12401</v>
      </c>
      <c r="B87" s="288" t="s">
        <v>12279</v>
      </c>
      <c r="C87" s="167" t="s">
        <v>96</v>
      </c>
      <c r="D87" s="766" t="s">
        <v>97</v>
      </c>
      <c r="E87" s="766" t="s">
        <v>98</v>
      </c>
      <c r="F87" s="766"/>
      <c r="G87" s="766"/>
      <c r="H87" s="766" t="s">
        <v>5340</v>
      </c>
      <c r="I87" s="5" t="s">
        <v>5341</v>
      </c>
      <c r="J87" s="766"/>
      <c r="K87" s="766"/>
      <c r="L87" s="766"/>
      <c r="M87" s="766"/>
      <c r="N87" s="766"/>
      <c r="O87" s="766"/>
      <c r="P87" s="766"/>
      <c r="Q87" s="1085"/>
      <c r="R87" s="25"/>
      <c r="S87" s="766"/>
      <c r="T87" s="766"/>
      <c r="U87" s="26"/>
      <c r="V87" s="766"/>
      <c r="W87" s="766"/>
      <c r="X87" s="24"/>
      <c r="Y87" s="766"/>
      <c r="Z87" s="766"/>
      <c r="AA87" s="766"/>
      <c r="AB87" s="766"/>
      <c r="AC87" s="766"/>
      <c r="AD87" s="766"/>
      <c r="AE87" s="766"/>
      <c r="AF87" s="766"/>
      <c r="AG87" s="766"/>
      <c r="AH87" s="766"/>
      <c r="AI87" s="766"/>
      <c r="AJ87" s="766"/>
      <c r="AK87" s="766" t="s">
        <v>5454</v>
      </c>
      <c r="AL87" s="299"/>
      <c r="AM87" s="773"/>
      <c r="AN87" s="37"/>
      <c r="AO87" s="766"/>
      <c r="AP87" s="766"/>
      <c r="AQ87" s="766"/>
      <c r="AR87" s="766"/>
      <c r="AS87" s="766"/>
      <c r="AT87" s="766"/>
      <c r="AU87" s="766"/>
      <c r="AV87" s="766"/>
      <c r="AW87" s="766"/>
      <c r="AX87" s="13"/>
      <c r="AY87" s="766"/>
      <c r="AZ87" s="766"/>
      <c r="BA87" s="766"/>
      <c r="BB87" s="766"/>
      <c r="BC87" s="766"/>
      <c r="BD87" s="766"/>
      <c r="BE87" s="766"/>
      <c r="BF87" s="775"/>
      <c r="BG87" s="775"/>
      <c r="BH87" s="766"/>
      <c r="BI87" s="766"/>
      <c r="BJ87" s="766"/>
      <c r="BK87" s="766"/>
      <c r="BL87" s="766"/>
      <c r="BM87" s="766"/>
      <c r="BN87" s="766"/>
      <c r="BO87" s="766"/>
      <c r="BP87" s="776"/>
      <c r="BQ87" s="773"/>
      <c r="BR87" s="774"/>
      <c r="BS87" s="6"/>
      <c r="BT87" s="766"/>
      <c r="BU87" s="766"/>
      <c r="BV87" s="766"/>
      <c r="BW87" s="769"/>
      <c r="BX87" s="779"/>
      <c r="BY87" s="766"/>
      <c r="BZ87" s="775"/>
      <c r="CA87" s="766"/>
      <c r="CB87" s="769" t="s">
        <v>1207</v>
      </c>
      <c r="CC87" s="766"/>
      <c r="CD87" s="766"/>
      <c r="CE87" s="766"/>
      <c r="CF87" s="231">
        <v>3</v>
      </c>
      <c r="CG87" s="231">
        <v>7.5</v>
      </c>
      <c r="CH87" s="766" t="s">
        <v>12550</v>
      </c>
      <c r="CI87" s="766"/>
      <c r="CJ87" s="766"/>
      <c r="CK87" s="766">
        <v>3</v>
      </c>
      <c r="CL87" s="766" t="s">
        <v>5775</v>
      </c>
      <c r="CM87" s="766" t="s">
        <v>1458</v>
      </c>
      <c r="CN87" s="766"/>
      <c r="CO87" s="766" t="s">
        <v>1257</v>
      </c>
      <c r="CP87" s="766"/>
      <c r="CQ87" s="766"/>
      <c r="CR87" s="775"/>
      <c r="CS87" s="766"/>
      <c r="CT87" s="766"/>
      <c r="CU87" s="129"/>
      <c r="CV87" s="766"/>
      <c r="CW87" s="766"/>
      <c r="CX87" s="766"/>
      <c r="CY87" s="766"/>
      <c r="CZ87" s="766"/>
      <c r="DA87" s="766"/>
      <c r="DB87" s="766"/>
      <c r="DC87" s="766"/>
      <c r="DD87" s="766"/>
      <c r="DE87" s="766"/>
      <c r="DF87" s="766"/>
      <c r="DG87" s="766"/>
      <c r="DH87" s="766"/>
      <c r="DI87" s="766"/>
      <c r="DJ87" s="766"/>
      <c r="DK87" s="766"/>
      <c r="DL87" s="766"/>
      <c r="DM87" s="766"/>
      <c r="DN87" s="766"/>
      <c r="DO87" s="766"/>
      <c r="DP87" s="766"/>
      <c r="DQ87" s="766"/>
      <c r="DR87" s="766"/>
      <c r="DS87" s="59"/>
      <c r="DT87" s="766"/>
      <c r="DU87" s="766"/>
      <c r="DV87" s="766"/>
      <c r="DW87" s="66"/>
      <c r="DX87" s="66"/>
      <c r="DY87" s="766"/>
      <c r="DZ87" s="766"/>
      <c r="EA87" s="766"/>
      <c r="EB87" s="766"/>
      <c r="EC87" s="766"/>
      <c r="ED87" s="766"/>
      <c r="EE87" s="766"/>
      <c r="EF87" s="766"/>
      <c r="EG87" s="766"/>
      <c r="EH87" s="766"/>
      <c r="EI87" s="766"/>
      <c r="EJ87" s="766"/>
      <c r="EK87" s="766"/>
      <c r="EL87" s="766"/>
      <c r="EM87" s="766"/>
      <c r="EN87" s="766"/>
      <c r="EO87" s="766"/>
      <c r="EP87" s="766"/>
      <c r="EQ87" s="766"/>
      <c r="ER87" s="766"/>
      <c r="ES87" s="766"/>
      <c r="ET87" s="766"/>
      <c r="EU87" s="766"/>
      <c r="EV87" s="766"/>
      <c r="EW87" s="766"/>
      <c r="EX87" s="766"/>
      <c r="EY87" s="766"/>
      <c r="EZ87" s="766"/>
      <c r="FA87" s="766"/>
      <c r="FB87" s="766"/>
      <c r="FC87" s="766"/>
      <c r="FD87" s="775"/>
      <c r="FE87" s="766"/>
      <c r="FF87" s="766"/>
      <c r="FG87" s="766"/>
      <c r="FH87" s="766" t="s">
        <v>478</v>
      </c>
      <c r="FI87" s="766">
        <v>1</v>
      </c>
      <c r="FJ87" s="766"/>
      <c r="FK87" s="766"/>
      <c r="FL87" s="766"/>
      <c r="FM87" s="775"/>
      <c r="FN87" s="775"/>
      <c r="FO87" s="775"/>
      <c r="FP87" s="766" t="s">
        <v>1600</v>
      </c>
      <c r="FQ87" s="766" t="s">
        <v>1642</v>
      </c>
      <c r="FR87" s="766"/>
      <c r="FS87" s="766"/>
      <c r="FT87" s="766"/>
      <c r="FU87" s="766"/>
      <c r="FV87" s="766"/>
      <c r="FW87" s="766"/>
      <c r="FX87" s="766"/>
      <c r="FY87" s="766"/>
      <c r="FZ87" s="766"/>
      <c r="GA87" s="766"/>
      <c r="GB87" s="766"/>
      <c r="GC87" s="75"/>
      <c r="GD87" s="25"/>
      <c r="GE87" s="766"/>
      <c r="GF87" s="775"/>
      <c r="GG87" s="775"/>
      <c r="GH87" s="766"/>
      <c r="GI87" s="766"/>
      <c r="GJ87" s="766"/>
      <c r="GK87" s="766"/>
      <c r="GL87" s="766"/>
      <c r="GM87" s="766"/>
      <c r="GN87" s="82"/>
      <c r="GO87" s="766"/>
      <c r="GP87" s="766"/>
      <c r="GQ87" s="766"/>
      <c r="GR87" s="766"/>
      <c r="GS87" s="766"/>
      <c r="GT87" s="766"/>
      <c r="GU87" s="766"/>
      <c r="GV87" s="766"/>
      <c r="GW87" s="766"/>
      <c r="GX87" s="766"/>
      <c r="GY87" s="766"/>
      <c r="GZ87" s="766"/>
      <c r="HA87" s="766"/>
      <c r="HB87" s="766"/>
      <c r="HC87" s="766"/>
      <c r="HD87" s="766"/>
      <c r="HE87" s="766"/>
      <c r="HF87" s="766"/>
      <c r="HG87" s="766"/>
      <c r="HH87" s="766"/>
      <c r="HI87" s="766"/>
      <c r="HJ87" s="766"/>
      <c r="HK87" s="766"/>
      <c r="HL87" s="766"/>
      <c r="HM87" s="766"/>
      <c r="HN87" s="766"/>
      <c r="HO87" s="766"/>
      <c r="HP87" s="766"/>
      <c r="HQ87" s="766"/>
      <c r="HR87" s="766"/>
      <c r="HS87" s="766"/>
      <c r="HT87" s="766"/>
      <c r="HU87" s="766"/>
      <c r="HV87" s="766"/>
      <c r="HW87" s="766"/>
      <c r="HX87" s="766"/>
      <c r="HY87" s="766"/>
      <c r="HZ87" s="766"/>
      <c r="IA87" s="766"/>
      <c r="IB87" s="766"/>
      <c r="IC87" s="766"/>
      <c r="ID87" s="766"/>
      <c r="IE87" s="766"/>
      <c r="IF87" s="766"/>
      <c r="IG87" s="766"/>
      <c r="IH87" s="766"/>
      <c r="II87" s="766"/>
      <c r="IJ87" s="766"/>
      <c r="IK87" s="766"/>
      <c r="IL87" s="766"/>
      <c r="IM87" s="766"/>
      <c r="IN87" s="766"/>
      <c r="IO87" s="24"/>
      <c r="IP87" s="766"/>
      <c r="IQ87" s="766"/>
      <c r="IR87" s="766"/>
      <c r="IS87" s="766"/>
      <c r="IT87" s="766"/>
      <c r="IU87" s="766"/>
      <c r="IV87" s="766"/>
      <c r="IW87" s="766"/>
      <c r="IX87" s="766"/>
      <c r="IY87" s="766"/>
      <c r="IZ87" s="766"/>
      <c r="JA87" s="766"/>
      <c r="JB87" s="766"/>
      <c r="JC87" s="766"/>
      <c r="JD87" s="775"/>
      <c r="JE87" s="766"/>
      <c r="JF87" s="766"/>
      <c r="JG87" s="766"/>
      <c r="JH87" s="775"/>
      <c r="JI87" s="766"/>
      <c r="JJ87" s="766"/>
      <c r="JK87" s="766"/>
      <c r="JL87" s="766"/>
      <c r="JM87" s="766"/>
      <c r="JN87" s="766"/>
      <c r="JO87" s="766"/>
      <c r="JP87" s="766"/>
      <c r="JQ87" s="766"/>
      <c r="JR87" s="766"/>
      <c r="JS87" s="766"/>
      <c r="JT87" s="766"/>
      <c r="JU87" s="766"/>
      <c r="JV87" s="766"/>
      <c r="JW87" s="766"/>
      <c r="JX87" s="766"/>
      <c r="JY87" s="766"/>
      <c r="JZ87" s="766"/>
      <c r="KA87" s="766"/>
      <c r="KB87" s="766"/>
      <c r="KC87" s="766"/>
      <c r="KD87" s="766"/>
      <c r="KE87" s="766"/>
      <c r="KF87" s="766"/>
      <c r="KG87" s="766"/>
      <c r="KH87" s="766"/>
      <c r="KI87" s="766"/>
      <c r="KJ87" s="766"/>
      <c r="KK87" s="766"/>
      <c r="KL87" s="766"/>
      <c r="KM87" s="766"/>
      <c r="KN87" s="766"/>
      <c r="KO87" s="766"/>
      <c r="KP87" s="766"/>
      <c r="KQ87" s="766"/>
      <c r="KR87" s="766"/>
      <c r="KS87" s="766"/>
      <c r="KT87" s="766"/>
      <c r="KU87" s="766"/>
      <c r="KV87" s="766"/>
      <c r="KW87" s="766"/>
      <c r="KX87" s="766"/>
      <c r="KY87" s="766"/>
      <c r="KZ87" s="766"/>
      <c r="LA87" s="766"/>
      <c r="LB87" s="766"/>
      <c r="LC87" s="770"/>
      <c r="LD87" s="770"/>
      <c r="LE87" s="770"/>
      <c r="LF87" s="770"/>
      <c r="LG87" s="770"/>
      <c r="LH87" s="770"/>
      <c r="LI87" s="770"/>
      <c r="LJ87" s="770"/>
      <c r="LK87" s="770"/>
      <c r="LL87" s="770"/>
      <c r="LM87" s="770"/>
      <c r="LN87" s="770"/>
      <c r="LO87" s="775"/>
      <c r="LP87" s="775"/>
      <c r="LQ87" s="775"/>
      <c r="LR87" s="775"/>
      <c r="LS87" s="775"/>
      <c r="LT87" s="775"/>
      <c r="LU87" s="775"/>
      <c r="LV87" s="775"/>
      <c r="LW87" s="766"/>
      <c r="LX87" s="769"/>
      <c r="LY87" s="766" t="s">
        <v>5911</v>
      </c>
      <c r="LZ87" s="66"/>
      <c r="MA87" s="66"/>
      <c r="MB87" s="66"/>
      <c r="MC87" s="1679">
        <v>0</v>
      </c>
      <c r="MD87" s="66"/>
      <c r="ME87" s="66"/>
      <c r="MF87" s="66"/>
      <c r="MG87" s="1680">
        <v>0</v>
      </c>
      <c r="MH87" s="766"/>
      <c r="MI87" s="766"/>
      <c r="MJ87" s="766"/>
      <c r="MK87" s="766"/>
      <c r="ML87" s="766"/>
      <c r="MM87" s="766"/>
      <c r="MN87" s="766"/>
      <c r="MO87" s="766"/>
      <c r="MP87" s="766"/>
      <c r="MQ87" s="766"/>
      <c r="MR87" s="766"/>
      <c r="MS87" s="766"/>
      <c r="MT87" s="766"/>
      <c r="MU87" s="766"/>
      <c r="MV87" s="766"/>
      <c r="MW87" s="766"/>
      <c r="MX87" s="766"/>
      <c r="MY87" s="766"/>
      <c r="MZ87" s="766"/>
      <c r="NA87" s="766"/>
      <c r="NB87" s="766"/>
      <c r="NC87" s="766"/>
      <c r="ND87" s="766"/>
      <c r="NE87" s="766"/>
      <c r="NF87" s="766"/>
      <c r="NG87" s="766"/>
      <c r="NH87" s="766"/>
      <c r="NI87" s="766"/>
      <c r="NJ87" s="766"/>
      <c r="NK87" s="766"/>
      <c r="NL87" s="766"/>
      <c r="NM87" s="766"/>
      <c r="NN87" s="766"/>
      <c r="NO87" s="766"/>
      <c r="NP87" s="766"/>
      <c r="NQ87" s="766"/>
      <c r="NR87" s="76"/>
      <c r="NS87" s="766"/>
      <c r="NT87" s="766"/>
      <c r="NU87" s="766"/>
      <c r="NV87" s="766"/>
      <c r="NW87" s="766"/>
      <c r="NX87" s="766"/>
      <c r="NY87" s="766"/>
      <c r="NZ87" s="766"/>
      <c r="OA87" s="766"/>
      <c r="OB87" s="766"/>
      <c r="OC87" s="766"/>
      <c r="OD87" s="766"/>
      <c r="OE87" s="766"/>
      <c r="OF87" s="766"/>
      <c r="OG87" s="766"/>
      <c r="OH87" s="766"/>
      <c r="OI87" s="766"/>
      <c r="OJ87" s="766"/>
      <c r="OK87" s="766"/>
      <c r="OL87" s="766"/>
      <c r="OM87" s="766"/>
      <c r="ON87" s="766"/>
      <c r="OO87" s="766"/>
      <c r="OP87" s="766"/>
      <c r="OQ87" s="766"/>
      <c r="OR87" s="766"/>
      <c r="OS87" s="766"/>
      <c r="OT87" s="766"/>
      <c r="OU87" s="766"/>
      <c r="OV87" s="766"/>
      <c r="OW87" s="766"/>
      <c r="OX87" s="766"/>
      <c r="OY87" s="766"/>
      <c r="OZ87" s="766"/>
      <c r="PA87" s="766"/>
      <c r="PB87" s="766"/>
      <c r="PC87" s="766"/>
      <c r="PD87" s="766"/>
      <c r="PE87" s="766"/>
      <c r="PF87" s="766"/>
      <c r="PG87" s="766"/>
      <c r="PH87" s="766"/>
      <c r="PI87" s="766"/>
      <c r="PJ87" s="766"/>
      <c r="PK87" s="766"/>
      <c r="PL87" s="766"/>
      <c r="PM87" s="766"/>
      <c r="PN87" s="766"/>
      <c r="PO87" s="766"/>
      <c r="PP87" s="766"/>
      <c r="PQ87" s="766"/>
      <c r="PR87" s="766"/>
      <c r="PS87" s="766"/>
      <c r="PT87" s="766"/>
      <c r="PU87" s="766"/>
      <c r="PV87" s="766"/>
      <c r="PW87" s="766"/>
      <c r="PX87" s="766"/>
      <c r="PY87" s="766"/>
      <c r="PZ87" s="766"/>
      <c r="QA87" s="766"/>
      <c r="QB87" s="766"/>
      <c r="QC87" s="766"/>
      <c r="QD87" s="766"/>
      <c r="QE87" s="766"/>
      <c r="QF87" s="766"/>
      <c r="QG87" s="766"/>
      <c r="QH87" s="766"/>
      <c r="QI87" s="766"/>
      <c r="QJ87" s="766"/>
      <c r="QK87" s="766"/>
      <c r="QL87" s="766"/>
      <c r="QM87" s="777"/>
      <c r="QN87" s="766"/>
      <c r="QO87" s="775"/>
      <c r="QP87" s="766"/>
      <c r="QQ87" s="766" t="s">
        <v>13103</v>
      </c>
      <c r="QR87" s="766"/>
      <c r="QS87" s="1683"/>
      <c r="QT87" s="12"/>
      <c r="QU87" s="1711"/>
      <c r="QV87" s="12"/>
      <c r="QW87" s="12"/>
      <c r="QX87" s="12"/>
      <c r="QY87" s="14"/>
      <c r="QZ87" s="766"/>
      <c r="RA87" s="12"/>
      <c r="RB87" s="12"/>
      <c r="RC87" s="766"/>
      <c r="RD87" s="12"/>
      <c r="RE87" s="12"/>
      <c r="RF87" s="12"/>
      <c r="RG87" s="12"/>
      <c r="RH87" s="12"/>
      <c r="RI87" s="12"/>
      <c r="RJ87" s="12"/>
      <c r="RK87" s="12"/>
      <c r="RL87" s="12"/>
      <c r="RM87" s="12"/>
      <c r="RN87" s="12"/>
      <c r="RO87" s="167" t="s">
        <v>96</v>
      </c>
      <c r="RP87" s="11"/>
      <c r="RQ87" s="11"/>
      <c r="RR87" s="11"/>
      <c r="RS87" s="11"/>
      <c r="RT87" s="11"/>
      <c r="RU87" s="11"/>
      <c r="RV87" s="11" t="s">
        <v>12389</v>
      </c>
      <c r="RW87" s="11" t="s">
        <v>7560</v>
      </c>
      <c r="RX87" s="11" t="s">
        <v>88</v>
      </c>
      <c r="RY87" s="11"/>
      <c r="RZ87" s="11" t="s">
        <v>2402</v>
      </c>
      <c r="SA87" s="766"/>
      <c r="SB87" s="11"/>
      <c r="SC87" s="11"/>
    </row>
    <row r="88" spans="1:497" ht="12.75" hidden="1" customHeight="1">
      <c r="A88" s="343" t="s">
        <v>12401</v>
      </c>
      <c r="B88" s="288" t="s">
        <v>7563</v>
      </c>
      <c r="C88" s="167" t="s">
        <v>102</v>
      </c>
      <c r="D88" s="766" t="s">
        <v>103</v>
      </c>
      <c r="E88" s="766" t="s">
        <v>104</v>
      </c>
      <c r="F88" s="766"/>
      <c r="G88" s="766" t="s">
        <v>18</v>
      </c>
      <c r="H88" s="766"/>
      <c r="I88" s="5" t="s">
        <v>105</v>
      </c>
      <c r="J88" s="766" t="s">
        <v>106</v>
      </c>
      <c r="K88" s="766"/>
      <c r="L88" s="766"/>
      <c r="M88" s="766"/>
      <c r="N88" s="766"/>
      <c r="O88" s="766"/>
      <c r="P88" s="14" t="s">
        <v>103</v>
      </c>
      <c r="Q88" s="1085">
        <v>25131</v>
      </c>
      <c r="R88" s="25">
        <v>53</v>
      </c>
      <c r="S88" s="766" t="s">
        <v>18</v>
      </c>
      <c r="T88" s="766"/>
      <c r="U88" s="26" t="s">
        <v>105</v>
      </c>
      <c r="V88" s="766" t="s">
        <v>719</v>
      </c>
      <c r="W88" s="766"/>
      <c r="X88" s="24"/>
      <c r="Y88" s="766" t="s">
        <v>104</v>
      </c>
      <c r="Z88" s="766" t="s">
        <v>708</v>
      </c>
      <c r="AA88" s="766" t="s">
        <v>709</v>
      </c>
      <c r="AB88" s="766" t="s">
        <v>710</v>
      </c>
      <c r="AC88" s="766"/>
      <c r="AD88" s="766" t="s">
        <v>716</v>
      </c>
      <c r="AE88" s="766"/>
      <c r="AF88" s="766"/>
      <c r="AG88" s="766"/>
      <c r="AH88" s="766"/>
      <c r="AI88" s="766"/>
      <c r="AJ88" s="766"/>
      <c r="AK88" s="766" t="s">
        <v>5454</v>
      </c>
      <c r="AL88" s="121"/>
      <c r="AM88" s="773"/>
      <c r="AN88" s="37"/>
      <c r="AO88" s="766"/>
      <c r="AP88" s="766"/>
      <c r="AQ88" s="766"/>
      <c r="AR88" s="766"/>
      <c r="AS88" s="766"/>
      <c r="AT88" s="766"/>
      <c r="AU88" s="766"/>
      <c r="AV88" s="766"/>
      <c r="AW88" s="766"/>
      <c r="AX88" s="13"/>
      <c r="AY88" s="766"/>
      <c r="AZ88" s="766"/>
      <c r="BA88" s="766"/>
      <c r="BB88" s="766"/>
      <c r="BC88" s="766"/>
      <c r="BD88" s="766"/>
      <c r="BE88" s="766"/>
      <c r="BF88" s="775"/>
      <c r="BG88" s="775"/>
      <c r="BH88" s="766"/>
      <c r="BI88" s="766"/>
      <c r="BJ88" s="766"/>
      <c r="BK88" s="766" t="s">
        <v>1095</v>
      </c>
      <c r="BL88" s="766" t="s">
        <v>1277</v>
      </c>
      <c r="BM88" s="766" t="s">
        <v>1096</v>
      </c>
      <c r="BN88" s="766" t="s">
        <v>1230</v>
      </c>
      <c r="BO88" s="766" t="s">
        <v>1246</v>
      </c>
      <c r="BP88" s="776">
        <v>60</v>
      </c>
      <c r="BQ88" s="773">
        <v>13</v>
      </c>
      <c r="BR88" s="774">
        <f>BQ88/BP88</f>
        <v>0.21666666666666667</v>
      </c>
      <c r="BS88" s="6" t="s">
        <v>1149</v>
      </c>
      <c r="BT88" s="766" t="s">
        <v>2040</v>
      </c>
      <c r="BU88" s="766" t="s">
        <v>1249</v>
      </c>
      <c r="BV88" s="766" t="s">
        <v>1247</v>
      </c>
      <c r="BW88" s="766">
        <v>1982</v>
      </c>
      <c r="BX88" s="779">
        <v>600000</v>
      </c>
      <c r="BY88" s="766"/>
      <c r="BZ88" s="775"/>
      <c r="CA88" s="766"/>
      <c r="CB88" s="766"/>
      <c r="CC88" s="766"/>
      <c r="CD88" s="766"/>
      <c r="CE88" s="766"/>
      <c r="CF88" s="231"/>
      <c r="CG88" s="231"/>
      <c r="CH88" s="766"/>
      <c r="CI88" s="766"/>
      <c r="CJ88" s="766"/>
      <c r="CK88" s="766"/>
      <c r="CL88" s="766"/>
      <c r="CM88" s="766"/>
      <c r="CN88" s="766"/>
      <c r="CO88" s="766"/>
      <c r="CP88" s="766"/>
      <c r="CQ88" s="766"/>
      <c r="CR88" s="775"/>
      <c r="CS88" s="766"/>
      <c r="CT88" s="766"/>
      <c r="CU88" s="129"/>
      <c r="CV88" s="766"/>
      <c r="CW88" s="766"/>
      <c r="CX88" s="766"/>
      <c r="CY88" s="766"/>
      <c r="CZ88" s="766"/>
      <c r="DA88" s="766"/>
      <c r="DB88" s="766"/>
      <c r="DC88" s="766"/>
      <c r="DD88" s="766"/>
      <c r="DE88" s="766"/>
      <c r="DF88" s="766"/>
      <c r="DG88" s="766"/>
      <c r="DH88" s="766"/>
      <c r="DI88" s="766"/>
      <c r="DJ88" s="766"/>
      <c r="DK88" s="766"/>
      <c r="DL88" s="766"/>
      <c r="DM88" s="766"/>
      <c r="DN88" s="766"/>
      <c r="DO88" s="766"/>
      <c r="DP88" s="766"/>
      <c r="DQ88" s="766"/>
      <c r="DR88" s="766"/>
      <c r="DS88" s="59"/>
      <c r="DT88" s="766"/>
      <c r="DU88" s="766"/>
      <c r="DV88" s="766"/>
      <c r="DW88" s="66"/>
      <c r="DX88" s="66"/>
      <c r="DY88" s="766"/>
      <c r="DZ88" s="766"/>
      <c r="EA88" s="766"/>
      <c r="EB88" s="766"/>
      <c r="EC88" s="766"/>
      <c r="ED88" s="766"/>
      <c r="EE88" s="766"/>
      <c r="EF88" s="766"/>
      <c r="EG88" s="766"/>
      <c r="EH88" s="766"/>
      <c r="EI88" s="766"/>
      <c r="EJ88" s="766"/>
      <c r="EK88" s="766"/>
      <c r="EL88" s="766"/>
      <c r="EM88" s="766"/>
      <c r="EN88" s="766"/>
      <c r="EO88" s="766"/>
      <c r="EP88" s="766"/>
      <c r="EQ88" s="766"/>
      <c r="ER88" s="766"/>
      <c r="ES88" s="766"/>
      <c r="ET88" s="766"/>
      <c r="EU88" s="766"/>
      <c r="EV88" s="766"/>
      <c r="EW88" s="766"/>
      <c r="EX88" s="766"/>
      <c r="EY88" s="766"/>
      <c r="EZ88" s="766"/>
      <c r="FA88" s="766"/>
      <c r="FB88" s="766"/>
      <c r="FC88" s="766"/>
      <c r="FD88" s="775"/>
      <c r="FE88" s="766"/>
      <c r="FF88" s="766"/>
      <c r="FG88" s="766"/>
      <c r="FH88" s="766" t="s">
        <v>478</v>
      </c>
      <c r="FI88" s="766">
        <v>1</v>
      </c>
      <c r="FJ88" s="766"/>
      <c r="FK88" s="766"/>
      <c r="FL88" s="766"/>
      <c r="FM88" s="775"/>
      <c r="FN88" s="766"/>
      <c r="FO88" s="766"/>
      <c r="FP88" s="766" t="s">
        <v>1602</v>
      </c>
      <c r="FQ88" s="766" t="s">
        <v>1660</v>
      </c>
      <c r="FR88" s="766" t="s">
        <v>1207</v>
      </c>
      <c r="FS88" s="766" t="s">
        <v>1208</v>
      </c>
      <c r="FT88" s="766"/>
      <c r="FU88" s="766"/>
      <c r="FV88" s="766"/>
      <c r="FW88" s="766"/>
      <c r="FX88" s="766"/>
      <c r="FY88" s="766"/>
      <c r="FZ88" s="766"/>
      <c r="GA88" s="766"/>
      <c r="GB88" s="766" t="s">
        <v>1692</v>
      </c>
      <c r="GC88" s="75" t="s">
        <v>1705</v>
      </c>
      <c r="GD88" s="25" t="s">
        <v>1703</v>
      </c>
      <c r="GE88" s="766" t="s">
        <v>1698</v>
      </c>
      <c r="GF88" s="775"/>
      <c r="GG88" s="775"/>
      <c r="GH88" s="766"/>
      <c r="GI88" s="766"/>
      <c r="GJ88" s="766"/>
      <c r="GK88" s="766"/>
      <c r="GL88" s="766"/>
      <c r="GM88" s="766"/>
      <c r="GN88" s="82"/>
      <c r="GO88" s="766"/>
      <c r="GP88" s="766"/>
      <c r="GQ88" s="766"/>
      <c r="GR88" s="766"/>
      <c r="GS88" s="766"/>
      <c r="GT88" s="766"/>
      <c r="GU88" s="766"/>
      <c r="GV88" s="766"/>
      <c r="GW88" s="766"/>
      <c r="GX88" s="766"/>
      <c r="GY88" s="766"/>
      <c r="GZ88" s="766"/>
      <c r="HA88" s="766"/>
      <c r="HB88" s="766"/>
      <c r="HC88" s="766"/>
      <c r="HD88" s="766"/>
      <c r="HE88" s="766"/>
      <c r="HF88" s="766"/>
      <c r="HG88" s="766"/>
      <c r="HH88" s="766"/>
      <c r="HI88" s="766"/>
      <c r="HJ88" s="766"/>
      <c r="HK88" s="766"/>
      <c r="HL88" s="766"/>
      <c r="HM88" s="766"/>
      <c r="HN88" s="766"/>
      <c r="HO88" s="766"/>
      <c r="HP88" s="766"/>
      <c r="HQ88" s="766"/>
      <c r="HR88" s="766"/>
      <c r="HS88" s="766"/>
      <c r="HT88" s="766"/>
      <c r="HU88" s="766"/>
      <c r="HV88" s="766"/>
      <c r="HW88" s="766"/>
      <c r="HX88" s="766"/>
      <c r="HY88" s="766"/>
      <c r="HZ88" s="766"/>
      <c r="IA88" s="766"/>
      <c r="IB88" s="14" t="e">
        <f>IF(#REF!&gt;0,IF(#REF!&lt;=10000,"Y",""),"")</f>
        <v>#REF!</v>
      </c>
      <c r="IC88" s="766" t="s">
        <v>1207</v>
      </c>
      <c r="ID88" s="766"/>
      <c r="IE88" s="766"/>
      <c r="IF88" s="766"/>
      <c r="IG88" s="766"/>
      <c r="IH88" s="766"/>
      <c r="II88" s="766"/>
      <c r="IJ88" s="766"/>
      <c r="IK88" s="766"/>
      <c r="IL88" s="766"/>
      <c r="IM88" s="766"/>
      <c r="IN88" s="766"/>
      <c r="IO88" s="24"/>
      <c r="IP88" s="766"/>
      <c r="IQ88" s="766"/>
      <c r="IR88" s="766"/>
      <c r="IS88" s="766"/>
      <c r="IT88" s="766"/>
      <c r="IU88" s="766"/>
      <c r="IV88" s="766"/>
      <c r="IW88" s="766"/>
      <c r="IX88" s="766"/>
      <c r="IY88" s="766"/>
      <c r="IZ88" s="766"/>
      <c r="JA88" s="766"/>
      <c r="JB88" s="766"/>
      <c r="JC88" s="766"/>
      <c r="JD88" s="775"/>
      <c r="JE88" s="766"/>
      <c r="JF88" s="766"/>
      <c r="JG88" s="766"/>
      <c r="JH88" s="775"/>
      <c r="JI88" s="775"/>
      <c r="JJ88" s="766">
        <v>5</v>
      </c>
      <c r="JK88" s="1139" t="s">
        <v>13104</v>
      </c>
      <c r="JL88" s="766">
        <v>1</v>
      </c>
      <c r="JM88" s="766"/>
      <c r="JN88" s="766">
        <v>1</v>
      </c>
      <c r="JO88" s="766">
        <v>3</v>
      </c>
      <c r="JP88" s="766"/>
      <c r="JQ88" s="766"/>
      <c r="JR88" s="766"/>
      <c r="JS88" s="766"/>
      <c r="JT88" s="766">
        <f>SUM(JP88,JN88,JL88,JR88)</f>
        <v>2</v>
      </c>
      <c r="JU88" s="766">
        <f>SUM(JQ88,JO88,JM88,JS88)</f>
        <v>3</v>
      </c>
      <c r="JV88" s="712" t="str">
        <f>IF(JT88=KJ88,"ok","male")</f>
        <v>ok</v>
      </c>
      <c r="JW88" s="712" t="str">
        <f>IF(JU88=KK88,"ok","female")</f>
        <v>ok</v>
      </c>
      <c r="JX88" s="766">
        <v>1</v>
      </c>
      <c r="JY88" s="766"/>
      <c r="JZ88" s="766"/>
      <c r="KA88" s="766"/>
      <c r="KB88" s="766"/>
      <c r="KC88" s="766">
        <v>1</v>
      </c>
      <c r="KD88" s="766">
        <v>1</v>
      </c>
      <c r="KE88" s="766">
        <v>2</v>
      </c>
      <c r="KF88" s="766"/>
      <c r="KG88" s="766"/>
      <c r="KH88" s="766"/>
      <c r="KI88" s="766"/>
      <c r="KJ88" s="770">
        <f>SUM(KF88,KD88,KB88,JZ88,JX88,KH88)</f>
        <v>2</v>
      </c>
      <c r="KK88" s="770">
        <f>SUM(KG88,KE88,KC88,KA88,JY88,KI88)</f>
        <v>3</v>
      </c>
      <c r="KL88" s="712" t="str">
        <f>IF(KJ88=LN88,"ok","male")</f>
        <v>ok</v>
      </c>
      <c r="KM88" s="712" t="str">
        <f>IF(KK88=LO88,"ok","female")</f>
        <v>ok</v>
      </c>
      <c r="KN88" s="766"/>
      <c r="KO88" s="766"/>
      <c r="KP88" s="766"/>
      <c r="KQ88" s="766"/>
      <c r="KR88" s="766">
        <v>1</v>
      </c>
      <c r="KS88" s="766"/>
      <c r="KT88" s="766"/>
      <c r="KU88" s="766"/>
      <c r="KV88" s="766"/>
      <c r="KW88" s="766"/>
      <c r="KX88" s="766"/>
      <c r="KY88" s="766"/>
      <c r="KZ88" s="766"/>
      <c r="LA88" s="766">
        <v>1</v>
      </c>
      <c r="LB88" s="766"/>
      <c r="LC88" s="766"/>
      <c r="LD88" s="766">
        <v>1</v>
      </c>
      <c r="LE88" s="766">
        <v>2</v>
      </c>
      <c r="LF88" s="766"/>
      <c r="LG88" s="766"/>
      <c r="LH88" s="766"/>
      <c r="LI88" s="766"/>
      <c r="LJ88" s="766"/>
      <c r="LK88" s="766"/>
      <c r="LL88" s="766"/>
      <c r="LM88" s="766"/>
      <c r="LN88" s="766">
        <f>SUM(KP88,KR88,KT88,KV88,KX88,KZ88,LB88,LD88,LF88,LH88,LJ88,LL88)</f>
        <v>2</v>
      </c>
      <c r="LO88" s="766">
        <f>SUM(KQ88,KS88,KU88,KW88,KY88,LA88,LC88,LE88,LG88,LI88,LK88,LM88)</f>
        <v>3</v>
      </c>
      <c r="LP88" s="766">
        <v>2</v>
      </c>
      <c r="LQ88" s="766">
        <v>2</v>
      </c>
      <c r="LR88" s="766"/>
      <c r="LS88" s="766"/>
      <c r="LT88" s="712" t="str">
        <f>IF(LQ88=SUM(LU88:LW88),"OK","REV")</f>
        <v>OK</v>
      </c>
      <c r="LU88" s="766">
        <v>2</v>
      </c>
      <c r="LV88" s="766"/>
      <c r="LW88" s="766"/>
      <c r="LX88" s="769">
        <v>4</v>
      </c>
      <c r="LY88" s="766" t="str">
        <f t="shared" ref="LY88:LY96" si="18">IF(ISBLANK(LX88)=TRUE,"",LOOKUP(LX88,RT:RU))</f>
        <v>OTHER Province</v>
      </c>
      <c r="LZ88" s="66"/>
      <c r="MA88" s="66"/>
      <c r="MB88" s="66"/>
      <c r="MC88" s="1679">
        <f t="shared" ref="MC88:MC96" si="19">SUM(LZ88:MB88)</f>
        <v>0</v>
      </c>
      <c r="MD88" s="66"/>
      <c r="ME88" s="66"/>
      <c r="MF88" s="66"/>
      <c r="MG88" s="1680">
        <v>0</v>
      </c>
      <c r="MH88" s="766"/>
      <c r="MI88" s="775">
        <v>4000</v>
      </c>
      <c r="MJ88" s="775">
        <v>6000</v>
      </c>
      <c r="MK88" s="775">
        <v>1000</v>
      </c>
      <c r="ML88" s="775">
        <v>1000</v>
      </c>
      <c r="MM88" s="775">
        <f>QUOTIENT(40000,12)</f>
        <v>3333</v>
      </c>
      <c r="MN88" s="775"/>
      <c r="MO88" s="775">
        <v>1000</v>
      </c>
      <c r="MP88" s="775">
        <v>3000</v>
      </c>
      <c r="MQ88" s="775">
        <f>QUOTIENT(2000,12)</f>
        <v>166</v>
      </c>
      <c r="MR88" s="775">
        <v>300</v>
      </c>
      <c r="MS88" s="775">
        <v>1000</v>
      </c>
      <c r="MT88" s="775"/>
      <c r="MU88" s="775"/>
      <c r="MV88" s="775"/>
      <c r="MW88" s="775"/>
      <c r="MX88" s="775"/>
      <c r="MY88" s="1682">
        <f>IF(ISBLANK(MI88:MX88)=TRUE,"",SUM(MI88:MX88))</f>
        <v>20799</v>
      </c>
      <c r="MZ88" s="766" t="s">
        <v>13004</v>
      </c>
      <c r="NA88" s="766" t="s">
        <v>13005</v>
      </c>
      <c r="NB88" s="766" t="s">
        <v>13105</v>
      </c>
      <c r="NC88" s="766" t="s">
        <v>13007</v>
      </c>
      <c r="ND88" s="766">
        <v>0</v>
      </c>
      <c r="NE88" s="766">
        <v>0</v>
      </c>
      <c r="NF88" s="766">
        <v>1</v>
      </c>
      <c r="NG88" s="766">
        <v>4</v>
      </c>
      <c r="NH88" s="766">
        <v>3</v>
      </c>
      <c r="NI88" s="766">
        <v>1</v>
      </c>
      <c r="NJ88" s="766">
        <v>0</v>
      </c>
      <c r="NK88" s="766">
        <v>0</v>
      </c>
      <c r="NL88" s="766">
        <v>1</v>
      </c>
      <c r="NM88" s="766">
        <v>1</v>
      </c>
      <c r="NN88" s="766">
        <v>0</v>
      </c>
      <c r="NO88" s="766">
        <v>0</v>
      </c>
      <c r="NP88" s="766">
        <v>1</v>
      </c>
      <c r="NQ88" s="766">
        <v>1</v>
      </c>
      <c r="NR88" s="766">
        <v>0</v>
      </c>
      <c r="NS88" s="766">
        <v>0</v>
      </c>
      <c r="NT88" s="766">
        <v>0</v>
      </c>
      <c r="NU88" s="766">
        <v>0</v>
      </c>
      <c r="NV88" s="766">
        <v>0</v>
      </c>
      <c r="NW88" s="766">
        <v>0</v>
      </c>
      <c r="NX88" s="766">
        <v>0</v>
      </c>
      <c r="NY88" s="766" t="s">
        <v>1208</v>
      </c>
      <c r="NZ88" s="766" t="s">
        <v>1208</v>
      </c>
      <c r="OA88" s="766" t="s">
        <v>1208</v>
      </c>
      <c r="OB88" s="766" t="s">
        <v>1208</v>
      </c>
      <c r="OC88" s="766" t="s">
        <v>1208</v>
      </c>
      <c r="OD88" s="766"/>
      <c r="OE88" s="766"/>
      <c r="OF88" s="766"/>
      <c r="OG88" s="766"/>
      <c r="OH88" s="766"/>
      <c r="OI88" s="766"/>
      <c r="OJ88" s="766"/>
      <c r="OK88" s="76"/>
      <c r="OL88" s="766"/>
      <c r="OM88" s="766"/>
      <c r="ON88" s="766"/>
      <c r="OO88" s="766"/>
      <c r="OP88" s="766"/>
      <c r="OQ88" s="766"/>
      <c r="OR88" s="766"/>
      <c r="OS88" s="766"/>
      <c r="OT88" s="766"/>
      <c r="OU88" s="766"/>
      <c r="OV88" s="766"/>
      <c r="OW88" s="766"/>
      <c r="OX88" s="766"/>
      <c r="OY88" s="766"/>
      <c r="OZ88" s="766"/>
      <c r="PA88" s="766"/>
      <c r="PB88" s="766"/>
      <c r="PC88" s="766"/>
      <c r="PD88" s="766"/>
      <c r="PE88" s="766"/>
      <c r="PF88" s="766"/>
      <c r="PG88" s="766"/>
      <c r="PH88" s="766"/>
      <c r="PI88" s="766"/>
      <c r="PJ88" s="766"/>
      <c r="PK88" s="766"/>
      <c r="PL88" s="766"/>
      <c r="PM88" s="766"/>
      <c r="PN88" s="766"/>
      <c r="PO88" s="766"/>
      <c r="PP88" s="766"/>
      <c r="PQ88" s="766"/>
      <c r="PR88" s="766"/>
      <c r="PS88" s="766"/>
      <c r="PT88" s="766"/>
      <c r="PU88" s="766"/>
      <c r="PV88" s="766"/>
      <c r="PW88" s="766"/>
      <c r="PX88" s="766"/>
      <c r="PY88" s="766"/>
      <c r="PZ88" s="766"/>
      <c r="QA88" s="766"/>
      <c r="QB88" s="766"/>
      <c r="QC88" s="766"/>
      <c r="QD88" s="766"/>
      <c r="QE88" s="766"/>
      <c r="QF88" s="766"/>
      <c r="QG88" s="766"/>
      <c r="QH88" s="766" t="s">
        <v>1208</v>
      </c>
      <c r="QI88" s="766"/>
      <c r="QJ88" s="766"/>
      <c r="QK88" s="766"/>
      <c r="QL88" s="766"/>
      <c r="QM88" s="766"/>
      <c r="QN88" s="766"/>
      <c r="QO88" s="766"/>
      <c r="QP88" s="766"/>
      <c r="QQ88" s="766"/>
      <c r="QR88" s="766"/>
      <c r="QS88" s="766"/>
      <c r="QT88" s="766"/>
      <c r="QU88" s="766"/>
      <c r="QV88" s="766"/>
      <c r="QW88" s="766"/>
      <c r="QX88" s="766"/>
      <c r="QY88" s="766"/>
      <c r="QZ88" s="766"/>
      <c r="RA88" s="766"/>
      <c r="RB88" s="770" t="s">
        <v>1207</v>
      </c>
      <c r="RC88" s="766">
        <v>2016</v>
      </c>
      <c r="RD88" s="766" t="s">
        <v>13106</v>
      </c>
      <c r="RE88" s="766" t="s">
        <v>13100</v>
      </c>
      <c r="RF88" s="777">
        <f>CONVERT(1.5,"ft","m")</f>
        <v>0.4572</v>
      </c>
      <c r="RG88" s="766" t="s">
        <v>13107</v>
      </c>
      <c r="RH88" s="775"/>
      <c r="RI88" s="766"/>
      <c r="RJ88" s="766" t="s">
        <v>13108</v>
      </c>
      <c r="RK88" s="766" t="s">
        <v>13087</v>
      </c>
      <c r="RL88" s="1683"/>
      <c r="RM88" s="12"/>
      <c r="RN88" s="1711"/>
      <c r="RO88" s="167" t="s">
        <v>102</v>
      </c>
      <c r="RP88" s="11"/>
      <c r="RQ88" s="11"/>
      <c r="RR88" s="343" t="s">
        <v>12401</v>
      </c>
      <c r="RS88" s="1139" t="s">
        <v>12980</v>
      </c>
      <c r="RT88" s="11"/>
      <c r="RU88" s="11"/>
      <c r="RV88" s="766" t="s">
        <v>7419</v>
      </c>
      <c r="RW88" s="11" t="s">
        <v>7562</v>
      </c>
      <c r="RX88" s="11" t="s">
        <v>99</v>
      </c>
      <c r="RY88" s="11"/>
      <c r="RZ88" s="11" t="s">
        <v>2402</v>
      </c>
      <c r="SA88" s="766"/>
      <c r="SB88" s="11"/>
      <c r="SC88" s="11"/>
    </row>
    <row r="89" spans="1:497" ht="12.75" hidden="1" customHeight="1">
      <c r="A89" s="343" t="s">
        <v>7419</v>
      </c>
      <c r="B89" s="288" t="s">
        <v>12407</v>
      </c>
      <c r="C89" s="167" t="s">
        <v>12300</v>
      </c>
      <c r="D89" s="766" t="s">
        <v>12301</v>
      </c>
      <c r="E89" s="766" t="s">
        <v>12302</v>
      </c>
      <c r="F89" s="766" t="s">
        <v>28</v>
      </c>
      <c r="G89" s="766" t="s">
        <v>10</v>
      </c>
      <c r="H89" s="766" t="s">
        <v>12303</v>
      </c>
      <c r="I89" s="5" t="s">
        <v>12304</v>
      </c>
      <c r="J89" s="766" t="s">
        <v>12301</v>
      </c>
      <c r="K89" s="766" t="s">
        <v>12305</v>
      </c>
      <c r="L89" s="766" t="s">
        <v>12306</v>
      </c>
      <c r="M89" s="766"/>
      <c r="N89" s="766" t="s">
        <v>12307</v>
      </c>
      <c r="O89" s="766" t="s">
        <v>12308</v>
      </c>
      <c r="P89" s="766" t="s">
        <v>12301</v>
      </c>
      <c r="Q89" s="1085"/>
      <c r="R89" s="25"/>
      <c r="S89" s="766"/>
      <c r="T89" s="766"/>
      <c r="U89" s="26"/>
      <c r="V89" s="766"/>
      <c r="W89" s="766" t="s">
        <v>12309</v>
      </c>
      <c r="X89" s="24">
        <v>19775</v>
      </c>
      <c r="Y89" s="766" t="s">
        <v>12302</v>
      </c>
      <c r="Z89" s="766"/>
      <c r="AA89" s="766"/>
      <c r="AB89" s="766"/>
      <c r="AC89" s="766"/>
      <c r="AD89" s="766"/>
      <c r="AE89" s="766"/>
      <c r="AF89" s="766"/>
      <c r="AG89" s="766" t="s">
        <v>1095</v>
      </c>
      <c r="AH89" s="766" t="s">
        <v>1096</v>
      </c>
      <c r="AI89" s="766" t="s">
        <v>12310</v>
      </c>
      <c r="AJ89" s="766"/>
      <c r="AK89" s="766" t="s">
        <v>1097</v>
      </c>
      <c r="AL89" s="121">
        <v>366</v>
      </c>
      <c r="AM89" s="773">
        <v>26.2</v>
      </c>
      <c r="AN89" s="37">
        <f>AM89/AL89</f>
        <v>7.1584699453551906E-2</v>
      </c>
      <c r="AO89" s="766" t="s">
        <v>1098</v>
      </c>
      <c r="AP89" s="766"/>
      <c r="AQ89" s="766"/>
      <c r="AR89" s="766"/>
      <c r="AS89" s="766" t="s">
        <v>1207</v>
      </c>
      <c r="AT89" s="766" t="s">
        <v>1208</v>
      </c>
      <c r="AU89" s="766"/>
      <c r="AV89" s="766"/>
      <c r="AW89" s="766"/>
      <c r="AX89" s="13"/>
      <c r="AY89" s="766"/>
      <c r="AZ89" s="766"/>
      <c r="BA89" s="766"/>
      <c r="BB89" s="766"/>
      <c r="BC89" s="766"/>
      <c r="BD89" s="766" t="s">
        <v>1207</v>
      </c>
      <c r="BE89" s="766" t="s">
        <v>1214</v>
      </c>
      <c r="BF89" s="775"/>
      <c r="BG89" s="775"/>
      <c r="BH89" s="766"/>
      <c r="BI89" s="766"/>
      <c r="BJ89" s="766"/>
      <c r="BK89" s="766" t="s">
        <v>1095</v>
      </c>
      <c r="BL89" s="766" t="s">
        <v>12301</v>
      </c>
      <c r="BM89" s="766" t="s">
        <v>1096</v>
      </c>
      <c r="BN89" s="766" t="s">
        <v>1230</v>
      </c>
      <c r="BO89" s="766" t="s">
        <v>1239</v>
      </c>
      <c r="BP89" s="776">
        <v>87.2</v>
      </c>
      <c r="BQ89" s="773">
        <v>13.1</v>
      </c>
      <c r="BR89" s="774">
        <f>BQ89/BP89</f>
        <v>0.15022935779816513</v>
      </c>
      <c r="BS89" s="766" t="s">
        <v>1242</v>
      </c>
      <c r="BT89" s="766" t="s">
        <v>2040</v>
      </c>
      <c r="BU89" s="766" t="s">
        <v>1241</v>
      </c>
      <c r="BV89" s="766" t="s">
        <v>1243</v>
      </c>
      <c r="BW89" s="766">
        <v>2012</v>
      </c>
      <c r="BX89" s="779">
        <v>1400000</v>
      </c>
      <c r="BY89" s="766"/>
      <c r="BZ89" s="775"/>
      <c r="CA89" s="766"/>
      <c r="CB89" s="766" t="s">
        <v>1207</v>
      </c>
      <c r="CC89" s="766" t="s">
        <v>12311</v>
      </c>
      <c r="CD89" s="766">
        <v>1995</v>
      </c>
      <c r="CE89" s="766" t="s">
        <v>2746</v>
      </c>
      <c r="CF89" s="231">
        <v>1.6</v>
      </c>
      <c r="CG89" s="231">
        <v>29.3</v>
      </c>
      <c r="CH89" s="766" t="s">
        <v>12312</v>
      </c>
      <c r="CI89" s="766"/>
      <c r="CJ89" s="766"/>
      <c r="CK89" s="766">
        <v>10</v>
      </c>
      <c r="CL89" s="766" t="s">
        <v>1240</v>
      </c>
      <c r="CM89" s="766"/>
      <c r="CN89" s="766"/>
      <c r="CO89" s="766" t="s">
        <v>1257</v>
      </c>
      <c r="CP89" s="766" t="s">
        <v>12311</v>
      </c>
      <c r="CQ89" s="766">
        <v>2014</v>
      </c>
      <c r="CR89" s="766"/>
      <c r="CS89" s="775">
        <v>25000</v>
      </c>
      <c r="CT89" s="766" t="s">
        <v>12313</v>
      </c>
      <c r="CU89" s="231">
        <f>CONVERT(60,"ft","m")</f>
        <v>18.288</v>
      </c>
      <c r="CV89" s="766">
        <v>2</v>
      </c>
      <c r="CW89" s="766">
        <v>3</v>
      </c>
      <c r="CX89" s="766"/>
      <c r="CY89" s="766"/>
      <c r="CZ89" s="766"/>
      <c r="DA89" s="766"/>
      <c r="DB89" s="766"/>
      <c r="DC89" s="766"/>
      <c r="DD89" s="766"/>
      <c r="DE89" s="766"/>
      <c r="DF89" s="766"/>
      <c r="DG89" s="766"/>
      <c r="DH89" s="766"/>
      <c r="DI89" s="766"/>
      <c r="DJ89" s="766"/>
      <c r="DK89" s="766"/>
      <c r="DL89" s="766"/>
      <c r="DM89" s="766"/>
      <c r="DN89" s="766"/>
      <c r="DO89" s="766"/>
      <c r="DP89" s="766"/>
      <c r="DQ89" s="766"/>
      <c r="DR89" s="766"/>
      <c r="DS89" s="775"/>
      <c r="DT89" s="766"/>
      <c r="DU89" s="766"/>
      <c r="DV89" s="766"/>
      <c r="DW89" s="66"/>
      <c r="DX89" s="66"/>
      <c r="DY89" s="766"/>
      <c r="DZ89" s="766"/>
      <c r="EA89" s="766"/>
      <c r="EB89" s="766"/>
      <c r="EC89" s="766"/>
      <c r="ED89" s="766"/>
      <c r="EE89" s="766"/>
      <c r="EF89" s="766"/>
      <c r="EG89" s="766"/>
      <c r="EH89" s="766"/>
      <c r="EI89" s="766"/>
      <c r="EJ89" s="766"/>
      <c r="EK89" s="766"/>
      <c r="EL89" s="12"/>
      <c r="EM89" s="12"/>
      <c r="EN89" s="12"/>
      <c r="EO89" s="12"/>
      <c r="EP89" s="12"/>
      <c r="EQ89" s="12"/>
      <c r="ER89" s="12"/>
      <c r="ES89" s="766"/>
      <c r="ET89" s="766"/>
      <c r="EU89" s="766"/>
      <c r="EV89" s="766"/>
      <c r="EW89" s="766"/>
      <c r="EX89" s="766"/>
      <c r="EY89" s="766"/>
      <c r="EZ89" s="766"/>
      <c r="FA89" s="766"/>
      <c r="FB89" s="766"/>
      <c r="FC89" s="766"/>
      <c r="FD89" s="775"/>
      <c r="FE89" s="766"/>
      <c r="FF89" s="766"/>
      <c r="FG89" s="766"/>
      <c r="FH89" s="766" t="s">
        <v>478</v>
      </c>
      <c r="FI89" s="766">
        <v>1</v>
      </c>
      <c r="FJ89" s="766"/>
      <c r="FK89" s="766"/>
      <c r="FL89" s="766"/>
      <c r="FM89" s="775"/>
      <c r="FN89" s="775"/>
      <c r="FO89" s="775"/>
      <c r="FP89" s="766" t="s">
        <v>1600</v>
      </c>
      <c r="FQ89" s="766" t="s">
        <v>1642</v>
      </c>
      <c r="FR89" s="766"/>
      <c r="FS89" s="766"/>
      <c r="FT89" s="766"/>
      <c r="FU89" s="766"/>
      <c r="FV89" s="766"/>
      <c r="FW89" s="766"/>
      <c r="FX89" s="766"/>
      <c r="FY89" s="766"/>
      <c r="FZ89" s="766"/>
      <c r="GA89" s="766"/>
      <c r="GB89" s="766"/>
      <c r="GC89" s="75"/>
      <c r="GD89" s="25"/>
      <c r="GE89" s="766"/>
      <c r="GF89" s="775"/>
      <c r="GG89" s="775"/>
      <c r="GH89" s="766"/>
      <c r="GI89" s="766"/>
      <c r="GJ89" s="766"/>
      <c r="GK89" s="766"/>
      <c r="GL89" s="766"/>
      <c r="GM89" s="766"/>
      <c r="GN89" s="82"/>
      <c r="GO89" s="766"/>
      <c r="GP89" s="766"/>
      <c r="GQ89" s="766"/>
      <c r="GR89" s="766"/>
      <c r="GS89" s="766"/>
      <c r="GT89" s="766"/>
      <c r="GU89" s="766"/>
      <c r="GV89" s="766"/>
      <c r="GW89" s="766"/>
      <c r="GX89" s="766"/>
      <c r="GY89" s="766"/>
      <c r="GZ89" s="766"/>
      <c r="HA89" s="766"/>
      <c r="HB89" s="766"/>
      <c r="HC89" s="766"/>
      <c r="HD89" s="766"/>
      <c r="HE89" s="766"/>
      <c r="HF89" s="766"/>
      <c r="HG89" s="766"/>
      <c r="HH89" s="766"/>
      <c r="HI89" s="766"/>
      <c r="HJ89" s="766"/>
      <c r="HK89" s="766"/>
      <c r="HL89" s="766"/>
      <c r="HM89" s="766"/>
      <c r="HN89" s="766"/>
      <c r="HO89" s="766"/>
      <c r="HP89" s="766"/>
      <c r="HQ89" s="766"/>
      <c r="HR89" s="766"/>
      <c r="HS89" s="766"/>
      <c r="HT89" s="766"/>
      <c r="HU89" s="766"/>
      <c r="HV89" s="766"/>
      <c r="HW89" s="766"/>
      <c r="HX89" s="766"/>
      <c r="HY89" s="766"/>
      <c r="HZ89" s="766"/>
      <c r="IA89" s="766"/>
      <c r="IB89" s="766" t="s">
        <v>1207</v>
      </c>
      <c r="IC89" s="766"/>
      <c r="ID89" s="766">
        <v>2</v>
      </c>
      <c r="IE89" s="766"/>
      <c r="IF89" s="766"/>
      <c r="IG89" s="766"/>
      <c r="IH89" s="766"/>
      <c r="II89" s="766"/>
      <c r="IJ89" s="766"/>
      <c r="IK89" s="766"/>
      <c r="IL89" s="766"/>
      <c r="IM89" s="766"/>
      <c r="IN89" s="766"/>
      <c r="IO89" s="24"/>
      <c r="IP89" s="766"/>
      <c r="IQ89" s="766"/>
      <c r="IR89" s="766"/>
      <c r="IS89" s="766"/>
      <c r="IT89" s="766"/>
      <c r="IU89" s="766"/>
      <c r="IV89" s="766"/>
      <c r="IW89" s="766"/>
      <c r="IX89" s="766"/>
      <c r="IY89" s="766"/>
      <c r="IZ89" s="766"/>
      <c r="JA89" s="766"/>
      <c r="JB89" s="766"/>
      <c r="JC89" s="766"/>
      <c r="JD89" s="775"/>
      <c r="JE89" s="766"/>
      <c r="JF89" s="766"/>
      <c r="JG89" s="766"/>
      <c r="JH89" s="775"/>
      <c r="JI89" s="775"/>
      <c r="JJ89" s="766"/>
      <c r="JK89" s="766"/>
      <c r="JL89" s="766"/>
      <c r="JM89" s="766"/>
      <c r="JN89" s="766"/>
      <c r="JO89" s="766"/>
      <c r="JP89" s="766"/>
      <c r="JQ89" s="766"/>
      <c r="JR89" s="766"/>
      <c r="JS89" s="766"/>
      <c r="JT89" s="766"/>
      <c r="JU89" s="766"/>
      <c r="JV89" s="766"/>
      <c r="JW89" s="766"/>
      <c r="JX89" s="766"/>
      <c r="JY89" s="766"/>
      <c r="JZ89" s="766"/>
      <c r="KA89" s="766"/>
      <c r="KB89" s="766"/>
      <c r="KC89" s="766"/>
      <c r="KD89" s="766"/>
      <c r="KE89" s="766"/>
      <c r="KF89" s="766"/>
      <c r="KG89" s="766"/>
      <c r="KH89" s="766"/>
      <c r="KI89" s="766"/>
      <c r="KJ89" s="770"/>
      <c r="KK89" s="770"/>
      <c r="KL89" s="770"/>
      <c r="KM89" s="770"/>
      <c r="KN89" s="766"/>
      <c r="KO89" s="766"/>
      <c r="KP89" s="766"/>
      <c r="KQ89" s="766"/>
      <c r="KR89" s="766"/>
      <c r="KS89" s="766"/>
      <c r="KT89" s="766"/>
      <c r="KU89" s="766"/>
      <c r="KV89" s="766"/>
      <c r="KW89" s="766"/>
      <c r="KX89" s="766"/>
      <c r="KY89" s="766"/>
      <c r="KZ89" s="766"/>
      <c r="LA89" s="766"/>
      <c r="LB89" s="766"/>
      <c r="LC89" s="766"/>
      <c r="LD89" s="766"/>
      <c r="LE89" s="766"/>
      <c r="LF89" s="766"/>
      <c r="LG89" s="766"/>
      <c r="LH89" s="766"/>
      <c r="LI89" s="766"/>
      <c r="LJ89" s="766"/>
      <c r="LK89" s="766"/>
      <c r="LL89" s="766"/>
      <c r="LM89" s="766"/>
      <c r="LN89" s="766"/>
      <c r="LO89" s="766"/>
      <c r="LP89" s="766"/>
      <c r="LQ89" s="766"/>
      <c r="LR89" s="766"/>
      <c r="LS89" s="766"/>
      <c r="LT89" s="766"/>
      <c r="LU89" s="766"/>
      <c r="LV89" s="766"/>
      <c r="LW89" s="766"/>
      <c r="LX89" s="769"/>
      <c r="LY89" s="766" t="str">
        <f t="shared" si="18"/>
        <v/>
      </c>
      <c r="LZ89" s="66"/>
      <c r="MA89" s="66"/>
      <c r="MB89" s="66"/>
      <c r="MC89" s="1679">
        <f t="shared" si="19"/>
        <v>0</v>
      </c>
      <c r="MD89" s="66"/>
      <c r="ME89" s="66"/>
      <c r="MF89" s="66"/>
      <c r="MG89" s="1680">
        <f t="shared" si="15"/>
        <v>0</v>
      </c>
      <c r="MH89" s="766"/>
      <c r="MI89" s="775"/>
      <c r="MJ89" s="775"/>
      <c r="MK89" s="775"/>
      <c r="ML89" s="775"/>
      <c r="MM89" s="775"/>
      <c r="MN89" s="775"/>
      <c r="MO89" s="775"/>
      <c r="MP89" s="775"/>
      <c r="MQ89" s="775"/>
      <c r="MR89" s="775"/>
      <c r="MS89" s="775"/>
      <c r="MT89" s="775"/>
      <c r="MU89" s="775"/>
      <c r="MV89" s="775"/>
      <c r="MW89" s="775"/>
      <c r="MX89" s="775"/>
      <c r="MY89" s="1682">
        <f t="shared" si="14"/>
        <v>0</v>
      </c>
      <c r="MZ89" s="766"/>
      <c r="NA89" s="766"/>
      <c r="NB89" s="766"/>
      <c r="NC89" s="766"/>
      <c r="ND89" s="766"/>
      <c r="NE89" s="766"/>
      <c r="NF89" s="766"/>
      <c r="NG89" s="766"/>
      <c r="NH89" s="766"/>
      <c r="NI89" s="766"/>
      <c r="NJ89" s="766"/>
      <c r="NK89" s="766"/>
      <c r="NL89" s="766"/>
      <c r="NM89" s="766"/>
      <c r="NN89" s="766"/>
      <c r="NO89" s="766"/>
      <c r="NP89" s="766"/>
      <c r="NQ89" s="766"/>
      <c r="NR89" s="766"/>
      <c r="NS89" s="766"/>
      <c r="NT89" s="766"/>
      <c r="NU89" s="766"/>
      <c r="NV89" s="766"/>
      <c r="NW89" s="766"/>
      <c r="NX89" s="766"/>
      <c r="NY89" s="766"/>
      <c r="NZ89" s="766"/>
      <c r="OA89" s="766"/>
      <c r="OB89" s="766"/>
      <c r="OC89" s="766"/>
      <c r="OD89" s="766"/>
      <c r="OE89" s="766"/>
      <c r="OF89" s="766"/>
      <c r="OG89" s="766"/>
      <c r="OH89" s="766"/>
      <c r="OI89" s="766"/>
      <c r="OJ89" s="766"/>
      <c r="OK89" s="76"/>
      <c r="OL89" s="766"/>
      <c r="OM89" s="766"/>
      <c r="ON89" s="766"/>
      <c r="OO89" s="766"/>
      <c r="OP89" s="766"/>
      <c r="OQ89" s="766"/>
      <c r="OR89" s="766"/>
      <c r="OS89" s="766"/>
      <c r="OT89" s="766"/>
      <c r="OU89" s="766"/>
      <c r="OV89" s="766"/>
      <c r="OW89" s="766"/>
      <c r="OX89" s="766"/>
      <c r="OY89" s="766"/>
      <c r="OZ89" s="766"/>
      <c r="PA89" s="766"/>
      <c r="PB89" s="766"/>
      <c r="PC89" s="766"/>
      <c r="PD89" s="766"/>
      <c r="PE89" s="766"/>
      <c r="PF89" s="766"/>
      <c r="PG89" s="766"/>
      <c r="PH89" s="766"/>
      <c r="PI89" s="766"/>
      <c r="PJ89" s="766"/>
      <c r="PK89" s="766"/>
      <c r="PL89" s="766"/>
      <c r="PM89" s="766"/>
      <c r="PN89" s="766"/>
      <c r="PO89" s="766"/>
      <c r="PP89" s="766"/>
      <c r="PQ89" s="766"/>
      <c r="PR89" s="766"/>
      <c r="PS89" s="766"/>
      <c r="PT89" s="766"/>
      <c r="PU89" s="766"/>
      <c r="PV89" s="766"/>
      <c r="PW89" s="766"/>
      <c r="PX89" s="766"/>
      <c r="PY89" s="766"/>
      <c r="PZ89" s="766"/>
      <c r="QA89" s="766"/>
      <c r="QB89" s="766"/>
      <c r="QC89" s="766"/>
      <c r="QD89" s="766"/>
      <c r="QE89" s="766"/>
      <c r="QF89" s="766"/>
      <c r="QG89" s="766"/>
      <c r="QH89" s="766"/>
      <c r="QI89" s="766"/>
      <c r="QJ89" s="766"/>
      <c r="QK89" s="766"/>
      <c r="QL89" s="766"/>
      <c r="QM89" s="766"/>
      <c r="QN89" s="766"/>
      <c r="QO89" s="766"/>
      <c r="QP89" s="766"/>
      <c r="QQ89" s="766"/>
      <c r="QR89" s="766"/>
      <c r="QS89" s="766"/>
      <c r="QT89" s="766"/>
      <c r="QU89" s="766"/>
      <c r="QV89" s="766"/>
      <c r="QW89" s="766"/>
      <c r="QX89" s="766"/>
      <c r="QY89" s="766"/>
      <c r="QZ89" s="766"/>
      <c r="RA89" s="766"/>
      <c r="RB89" s="766"/>
      <c r="RC89" s="766"/>
      <c r="RD89" s="766"/>
      <c r="RE89" s="766"/>
      <c r="RF89" s="777"/>
      <c r="RG89" s="766"/>
      <c r="RH89" s="775"/>
      <c r="RI89" s="766"/>
      <c r="RJ89" s="766"/>
      <c r="RK89" s="766"/>
      <c r="RL89" s="1683"/>
      <c r="RM89" s="12"/>
      <c r="RN89" s="1711"/>
      <c r="RO89" s="167" t="s">
        <v>12300</v>
      </c>
      <c r="RP89" s="11"/>
      <c r="RQ89" s="11"/>
      <c r="RR89" s="17"/>
      <c r="RS89" s="766"/>
      <c r="RT89" s="11"/>
      <c r="RU89" s="11"/>
      <c r="RV89" s="766" t="s">
        <v>12401</v>
      </c>
      <c r="RW89" s="11" t="s">
        <v>12279</v>
      </c>
      <c r="RX89" s="11" t="s">
        <v>96</v>
      </c>
      <c r="RY89" s="11"/>
      <c r="RZ89" s="11" t="s">
        <v>2402</v>
      </c>
      <c r="SA89" s="766"/>
      <c r="SB89" s="11"/>
      <c r="SC89" s="11"/>
    </row>
    <row r="90" spans="1:497" ht="12.75" hidden="1" customHeight="1">
      <c r="A90" s="19" t="s">
        <v>7419</v>
      </c>
      <c r="B90" s="1131" t="s">
        <v>12404</v>
      </c>
      <c r="C90" s="167" t="s">
        <v>12314</v>
      </c>
      <c r="D90" s="766" t="s">
        <v>12315</v>
      </c>
      <c r="E90" s="766" t="s">
        <v>12316</v>
      </c>
      <c r="F90" s="766" t="s">
        <v>1263</v>
      </c>
      <c r="G90" s="766" t="s">
        <v>18</v>
      </c>
      <c r="H90" s="766"/>
      <c r="I90" s="5"/>
      <c r="J90" s="766"/>
      <c r="K90" s="766"/>
      <c r="L90" s="766"/>
      <c r="M90" s="766"/>
      <c r="N90" s="766" t="s">
        <v>12317</v>
      </c>
      <c r="O90" s="766" t="s">
        <v>12307</v>
      </c>
      <c r="P90" s="766" t="s">
        <v>12318</v>
      </c>
      <c r="Q90" s="1085">
        <v>27557</v>
      </c>
      <c r="R90" s="25">
        <v>58</v>
      </c>
      <c r="S90" s="766" t="s">
        <v>10</v>
      </c>
      <c r="T90" s="766"/>
      <c r="U90" s="26"/>
      <c r="V90" s="766" t="s">
        <v>707</v>
      </c>
      <c r="W90" s="766"/>
      <c r="X90" s="24"/>
      <c r="Y90" s="766" t="s">
        <v>12316</v>
      </c>
      <c r="Z90" s="766"/>
      <c r="AA90" s="766"/>
      <c r="AB90" s="766"/>
      <c r="AC90" s="766"/>
      <c r="AD90" s="766"/>
      <c r="AE90" s="766"/>
      <c r="AF90" s="766"/>
      <c r="AG90" s="766" t="s">
        <v>1095</v>
      </c>
      <c r="AH90" s="766" t="s">
        <v>1096</v>
      </c>
      <c r="AI90" s="766" t="s">
        <v>12319</v>
      </c>
      <c r="AJ90" s="766"/>
      <c r="AK90" s="766" t="s">
        <v>1097</v>
      </c>
      <c r="AL90" s="773">
        <v>8.25</v>
      </c>
      <c r="AM90" s="773">
        <v>8.25</v>
      </c>
      <c r="AN90" s="37">
        <f>AM90/AL90</f>
        <v>1</v>
      </c>
      <c r="AO90" s="769" t="s">
        <v>1122</v>
      </c>
      <c r="AP90" s="766"/>
      <c r="AQ90" s="766"/>
      <c r="AR90" s="766"/>
      <c r="AS90" s="766" t="s">
        <v>1207</v>
      </c>
      <c r="AT90" s="766" t="s">
        <v>1208</v>
      </c>
      <c r="AU90" s="766"/>
      <c r="AV90" s="766"/>
      <c r="AW90" s="766"/>
      <c r="AX90" s="13"/>
      <c r="AY90" s="766"/>
      <c r="AZ90" s="766"/>
      <c r="BA90" s="766"/>
      <c r="BB90" s="766" t="s">
        <v>12320</v>
      </c>
      <c r="BC90" s="766"/>
      <c r="BD90" s="766" t="s">
        <v>1207</v>
      </c>
      <c r="BE90" s="766" t="s">
        <v>1214</v>
      </c>
      <c r="BF90" s="775"/>
      <c r="BG90" s="775"/>
      <c r="BH90" s="766"/>
      <c r="BI90" s="766"/>
      <c r="BJ90" s="766"/>
      <c r="BK90" s="766"/>
      <c r="BL90" s="766"/>
      <c r="BM90" s="766"/>
      <c r="BN90" s="766"/>
      <c r="BO90" s="766"/>
      <c r="BP90" s="776"/>
      <c r="BQ90" s="773"/>
      <c r="BR90" s="774"/>
      <c r="BS90" s="766"/>
      <c r="BT90" s="766"/>
      <c r="BU90" s="766"/>
      <c r="BV90" s="766"/>
      <c r="BW90" s="769"/>
      <c r="BX90" s="779"/>
      <c r="BY90" s="766"/>
      <c r="BZ90" s="775"/>
      <c r="CA90" s="766"/>
      <c r="CB90" s="766" t="s">
        <v>1207</v>
      </c>
      <c r="CC90" s="766" t="s">
        <v>12321</v>
      </c>
      <c r="CD90" s="766"/>
      <c r="CE90" s="766"/>
      <c r="CF90" s="231">
        <v>2.5</v>
      </c>
      <c r="CG90" s="231">
        <v>25</v>
      </c>
      <c r="CH90" s="766" t="s">
        <v>12312</v>
      </c>
      <c r="CI90" s="766"/>
      <c r="CJ90" s="766"/>
      <c r="CK90" s="766">
        <v>6</v>
      </c>
      <c r="CL90" s="766" t="s">
        <v>1240</v>
      </c>
      <c r="CM90" s="766"/>
      <c r="CN90" s="766"/>
      <c r="CO90" s="766" t="s">
        <v>1257</v>
      </c>
      <c r="CP90" s="766"/>
      <c r="CQ90" s="766"/>
      <c r="CR90" s="766"/>
      <c r="CS90" s="775"/>
      <c r="CT90" s="766"/>
      <c r="CU90" s="231"/>
      <c r="CV90" s="766"/>
      <c r="CW90" s="766"/>
      <c r="CX90" s="766"/>
      <c r="CY90" s="766"/>
      <c r="CZ90" s="766"/>
      <c r="DA90" s="766"/>
      <c r="DB90" s="766"/>
      <c r="DC90" s="766"/>
      <c r="DD90" s="766"/>
      <c r="DE90" s="766"/>
      <c r="DF90" s="766"/>
      <c r="DG90" s="766"/>
      <c r="DH90" s="766"/>
      <c r="DI90" s="766"/>
      <c r="DJ90" s="766"/>
      <c r="DK90" s="766"/>
      <c r="DL90" s="766"/>
      <c r="DM90" s="766"/>
      <c r="DN90" s="766"/>
      <c r="DO90" s="766"/>
      <c r="DP90" s="766"/>
      <c r="DQ90" s="766"/>
      <c r="DR90" s="766"/>
      <c r="DS90" s="775"/>
      <c r="DT90" s="766"/>
      <c r="DU90" s="766"/>
      <c r="DV90" s="766"/>
      <c r="DW90" s="66"/>
      <c r="DX90" s="66"/>
      <c r="DY90" s="766"/>
      <c r="DZ90" s="766"/>
      <c r="EA90" s="766"/>
      <c r="EB90" s="766"/>
      <c r="EC90" s="766"/>
      <c r="ED90" s="766"/>
      <c r="EE90" s="766"/>
      <c r="EF90" s="766"/>
      <c r="EG90" s="766"/>
      <c r="EH90" s="766"/>
      <c r="EI90" s="766"/>
      <c r="EJ90" s="766"/>
      <c r="EK90" s="766"/>
      <c r="EL90" s="12"/>
      <c r="EM90" s="12"/>
      <c r="EN90" s="12"/>
      <c r="EO90" s="12"/>
      <c r="EP90" s="12"/>
      <c r="EQ90" s="12"/>
      <c r="ER90" s="12"/>
      <c r="ES90" s="766"/>
      <c r="ET90" s="766"/>
      <c r="EU90" s="766"/>
      <c r="EV90" s="766"/>
      <c r="EW90" s="766"/>
      <c r="EX90" s="766"/>
      <c r="EY90" s="766"/>
      <c r="EZ90" s="766"/>
      <c r="FA90" s="766"/>
      <c r="FB90" s="766"/>
      <c r="FC90" s="766"/>
      <c r="FD90" s="775"/>
      <c r="FE90" s="766"/>
      <c r="FF90" s="766"/>
      <c r="FG90" s="766"/>
      <c r="FH90" s="766"/>
      <c r="FI90" s="766"/>
      <c r="FJ90" s="766"/>
      <c r="FK90" s="766"/>
      <c r="FL90" s="766"/>
      <c r="FM90" s="775"/>
      <c r="FN90" s="775"/>
      <c r="FO90" s="775"/>
      <c r="FP90" s="766"/>
      <c r="FQ90" s="766"/>
      <c r="FR90" s="766" t="s">
        <v>1207</v>
      </c>
      <c r="FS90" s="766" t="s">
        <v>1208</v>
      </c>
      <c r="FT90" s="766"/>
      <c r="FU90" s="766"/>
      <c r="FV90" s="766"/>
      <c r="FW90" s="766"/>
      <c r="FX90" s="766"/>
      <c r="FY90" s="766"/>
      <c r="FZ90" s="766"/>
      <c r="GA90" s="766"/>
      <c r="GB90" s="766" t="s">
        <v>796</v>
      </c>
      <c r="GC90" s="75"/>
      <c r="GD90" s="25"/>
      <c r="GE90" s="766"/>
      <c r="GF90" s="775"/>
      <c r="GG90" s="775"/>
      <c r="GH90" s="766"/>
      <c r="GI90" s="766"/>
      <c r="GJ90" s="766"/>
      <c r="GK90" s="766"/>
      <c r="GL90" s="766"/>
      <c r="GM90" s="766"/>
      <c r="GN90" s="82"/>
      <c r="GO90" s="766"/>
      <c r="GP90" s="766"/>
      <c r="GQ90" s="766"/>
      <c r="GR90" s="766"/>
      <c r="GS90" s="766"/>
      <c r="GT90" s="766"/>
      <c r="GU90" s="766"/>
      <c r="GV90" s="766"/>
      <c r="GW90" s="766"/>
      <c r="GX90" s="766"/>
      <c r="GY90" s="766"/>
      <c r="GZ90" s="766"/>
      <c r="HA90" s="766"/>
      <c r="HB90" s="766"/>
      <c r="HC90" s="766"/>
      <c r="HD90" s="766"/>
      <c r="HE90" s="766"/>
      <c r="HF90" s="766"/>
      <c r="HG90" s="766"/>
      <c r="HH90" s="766"/>
      <c r="HI90" s="766"/>
      <c r="HJ90" s="766"/>
      <c r="HK90" s="766"/>
      <c r="HL90" s="766"/>
      <c r="HM90" s="766"/>
      <c r="HN90" s="766"/>
      <c r="HO90" s="766"/>
      <c r="HP90" s="766"/>
      <c r="HQ90" s="766"/>
      <c r="HR90" s="766"/>
      <c r="HS90" s="766"/>
      <c r="HT90" s="766"/>
      <c r="HU90" s="766"/>
      <c r="HV90" s="766"/>
      <c r="HW90" s="766"/>
      <c r="HX90" s="766"/>
      <c r="HY90" s="766"/>
      <c r="HZ90" s="766"/>
      <c r="IA90" s="766"/>
      <c r="IB90" s="766"/>
      <c r="IC90" s="766"/>
      <c r="ID90" s="766"/>
      <c r="IE90" s="766"/>
      <c r="IF90" s="766"/>
      <c r="IG90" s="766"/>
      <c r="IH90" s="766"/>
      <c r="II90" s="766"/>
      <c r="IJ90" s="766"/>
      <c r="IK90" s="766"/>
      <c r="IL90" s="766"/>
      <c r="IM90" s="766"/>
      <c r="IN90" s="766"/>
      <c r="IO90" s="24"/>
      <c r="IP90" s="766"/>
      <c r="IQ90" s="766"/>
      <c r="IR90" s="766"/>
      <c r="IS90" s="766"/>
      <c r="IT90" s="766"/>
      <c r="IU90" s="766"/>
      <c r="IV90" s="766"/>
      <c r="IW90" s="766"/>
      <c r="IX90" s="766"/>
      <c r="IY90" s="766"/>
      <c r="IZ90" s="766"/>
      <c r="JA90" s="766"/>
      <c r="JB90" s="766"/>
      <c r="JC90" s="766"/>
      <c r="JD90" s="775"/>
      <c r="JE90" s="766"/>
      <c r="JF90" s="766"/>
      <c r="JG90" s="766"/>
      <c r="JH90" s="775"/>
      <c r="JI90" s="775"/>
      <c r="JJ90" s="766"/>
      <c r="JK90" s="766"/>
      <c r="JL90" s="766"/>
      <c r="JM90" s="766"/>
      <c r="JN90" s="766"/>
      <c r="JO90" s="766"/>
      <c r="JP90" s="766"/>
      <c r="JQ90" s="766"/>
      <c r="JR90" s="766"/>
      <c r="JS90" s="766"/>
      <c r="JT90" s="766"/>
      <c r="JU90" s="766"/>
      <c r="JV90" s="766"/>
      <c r="JW90" s="766"/>
      <c r="JX90" s="766"/>
      <c r="JY90" s="766"/>
      <c r="JZ90" s="766"/>
      <c r="KA90" s="766"/>
      <c r="KB90" s="766"/>
      <c r="KC90" s="766"/>
      <c r="KD90" s="766"/>
      <c r="KE90" s="766"/>
      <c r="KF90" s="766"/>
      <c r="KG90" s="766"/>
      <c r="KH90" s="766"/>
      <c r="KI90" s="766"/>
      <c r="KJ90" s="770"/>
      <c r="KK90" s="770"/>
      <c r="KL90" s="770"/>
      <c r="KM90" s="770"/>
      <c r="KN90" s="766"/>
      <c r="KO90" s="766"/>
      <c r="KP90" s="766"/>
      <c r="KQ90" s="766"/>
      <c r="KR90" s="766"/>
      <c r="KS90" s="766"/>
      <c r="KT90" s="766"/>
      <c r="KU90" s="766"/>
      <c r="KV90" s="766"/>
      <c r="KW90" s="766"/>
      <c r="KX90" s="766"/>
      <c r="KY90" s="766"/>
      <c r="KZ90" s="766"/>
      <c r="LA90" s="766"/>
      <c r="LB90" s="766"/>
      <c r="LC90" s="766"/>
      <c r="LD90" s="766"/>
      <c r="LE90" s="766"/>
      <c r="LF90" s="766"/>
      <c r="LG90" s="766"/>
      <c r="LH90" s="766"/>
      <c r="LI90" s="766"/>
      <c r="LJ90" s="766"/>
      <c r="LK90" s="766"/>
      <c r="LL90" s="766"/>
      <c r="LM90" s="766"/>
      <c r="LN90" s="766"/>
      <c r="LO90" s="766"/>
      <c r="LP90" s="766"/>
      <c r="LQ90" s="766"/>
      <c r="LR90" s="766"/>
      <c r="LS90" s="766"/>
      <c r="LT90" s="766"/>
      <c r="LU90" s="766"/>
      <c r="LV90" s="766"/>
      <c r="LW90" s="766"/>
      <c r="LX90" s="769"/>
      <c r="LY90" s="766" t="str">
        <f t="shared" si="18"/>
        <v/>
      </c>
      <c r="LZ90" s="66"/>
      <c r="MA90" s="66"/>
      <c r="MB90" s="66"/>
      <c r="MC90" s="1679">
        <f t="shared" si="19"/>
        <v>0</v>
      </c>
      <c r="MD90" s="66"/>
      <c r="ME90" s="66"/>
      <c r="MF90" s="66"/>
      <c r="MG90" s="1680">
        <f t="shared" si="15"/>
        <v>0</v>
      </c>
      <c r="MH90" s="766"/>
      <c r="MI90" s="775"/>
      <c r="MJ90" s="775"/>
      <c r="MK90" s="775"/>
      <c r="ML90" s="775"/>
      <c r="MM90" s="775"/>
      <c r="MN90" s="775"/>
      <c r="MO90" s="775"/>
      <c r="MP90" s="775"/>
      <c r="MQ90" s="775"/>
      <c r="MR90" s="775"/>
      <c r="MS90" s="775"/>
      <c r="MT90" s="775"/>
      <c r="MU90" s="775"/>
      <c r="MV90" s="775"/>
      <c r="MW90" s="775"/>
      <c r="MX90" s="775"/>
      <c r="MY90" s="1682">
        <f t="shared" si="14"/>
        <v>0</v>
      </c>
      <c r="MZ90" s="766"/>
      <c r="NA90" s="766"/>
      <c r="NB90" s="766"/>
      <c r="NC90" s="766"/>
      <c r="ND90" s="766"/>
      <c r="NE90" s="766"/>
      <c r="NF90" s="766"/>
      <c r="NG90" s="766"/>
      <c r="NH90" s="766"/>
      <c r="NI90" s="766"/>
      <c r="NJ90" s="766"/>
      <c r="NK90" s="766"/>
      <c r="NL90" s="766"/>
      <c r="NM90" s="766"/>
      <c r="NN90" s="766"/>
      <c r="NO90" s="766"/>
      <c r="NP90" s="766"/>
      <c r="NQ90" s="766"/>
      <c r="NR90" s="766"/>
      <c r="NS90" s="766"/>
      <c r="NT90" s="766"/>
      <c r="NU90" s="766"/>
      <c r="NV90" s="766"/>
      <c r="NW90" s="766"/>
      <c r="NX90" s="766"/>
      <c r="NY90" s="766"/>
      <c r="NZ90" s="766"/>
      <c r="OA90" s="766"/>
      <c r="OB90" s="766"/>
      <c r="OC90" s="766"/>
      <c r="OD90" s="766"/>
      <c r="OE90" s="766"/>
      <c r="OF90" s="766"/>
      <c r="OG90" s="766"/>
      <c r="OH90" s="766"/>
      <c r="OI90" s="766"/>
      <c r="OJ90" s="766"/>
      <c r="OK90" s="76"/>
      <c r="OL90" s="766"/>
      <c r="OM90" s="766"/>
      <c r="ON90" s="766"/>
      <c r="OO90" s="766"/>
      <c r="OP90" s="766"/>
      <c r="OQ90" s="766"/>
      <c r="OR90" s="766"/>
      <c r="OS90" s="766"/>
      <c r="OT90" s="766"/>
      <c r="OU90" s="766"/>
      <c r="OV90" s="766"/>
      <c r="OW90" s="766"/>
      <c r="OX90" s="766"/>
      <c r="OY90" s="766"/>
      <c r="OZ90" s="766"/>
      <c r="PA90" s="766"/>
      <c r="PB90" s="766"/>
      <c r="PC90" s="766"/>
      <c r="PD90" s="766"/>
      <c r="PE90" s="766"/>
      <c r="PF90" s="766"/>
      <c r="PG90" s="766"/>
      <c r="PH90" s="766"/>
      <c r="PI90" s="766"/>
      <c r="PJ90" s="766"/>
      <c r="PK90" s="766"/>
      <c r="PL90" s="766"/>
      <c r="PM90" s="766"/>
      <c r="PN90" s="766"/>
      <c r="PO90" s="766"/>
      <c r="PP90" s="766"/>
      <c r="PQ90" s="766"/>
      <c r="PR90" s="766"/>
      <c r="PS90" s="766"/>
      <c r="PT90" s="766"/>
      <c r="PU90" s="766"/>
      <c r="PV90" s="766"/>
      <c r="PW90" s="766"/>
      <c r="PX90" s="766"/>
      <c r="PY90" s="766"/>
      <c r="PZ90" s="766"/>
      <c r="QA90" s="766"/>
      <c r="QB90" s="766"/>
      <c r="QC90" s="766"/>
      <c r="QD90" s="766"/>
      <c r="QE90" s="766"/>
      <c r="QF90" s="766"/>
      <c r="QG90" s="766"/>
      <c r="QH90" s="766"/>
      <c r="QI90" s="766"/>
      <c r="QJ90" s="766"/>
      <c r="QK90" s="766"/>
      <c r="QL90" s="766"/>
      <c r="QM90" s="766"/>
      <c r="QN90" s="766"/>
      <c r="QO90" s="766"/>
      <c r="QP90" s="766"/>
      <c r="QQ90" s="766"/>
      <c r="QR90" s="766"/>
      <c r="QS90" s="766"/>
      <c r="QT90" s="766"/>
      <c r="QU90" s="766"/>
      <c r="QV90" s="766"/>
      <c r="QW90" s="766"/>
      <c r="QX90" s="766"/>
      <c r="QY90" s="766"/>
      <c r="QZ90" s="766"/>
      <c r="RA90" s="766"/>
      <c r="RB90" s="766"/>
      <c r="RC90" s="766"/>
      <c r="RD90" s="766"/>
      <c r="RE90" s="766"/>
      <c r="RF90" s="777"/>
      <c r="RG90" s="766"/>
      <c r="RH90" s="775"/>
      <c r="RI90" s="766"/>
      <c r="RJ90" s="766" t="s">
        <v>13109</v>
      </c>
      <c r="RK90" s="766"/>
      <c r="RL90" s="1683">
        <v>42900</v>
      </c>
      <c r="RM90" s="12" t="s">
        <v>13011</v>
      </c>
      <c r="RN90" s="1683">
        <v>42900</v>
      </c>
      <c r="RO90" s="167" t="s">
        <v>12314</v>
      </c>
      <c r="RP90" s="11"/>
      <c r="RQ90" s="11"/>
      <c r="RR90" s="17"/>
      <c r="RS90" s="766"/>
      <c r="RT90" s="11"/>
      <c r="RU90" s="11"/>
      <c r="RV90" s="766" t="s">
        <v>12401</v>
      </c>
      <c r="RW90" s="11" t="s">
        <v>7563</v>
      </c>
      <c r="RX90" s="11" t="s">
        <v>102</v>
      </c>
      <c r="RY90" s="11"/>
      <c r="RZ90" s="11" t="s">
        <v>2402</v>
      </c>
      <c r="SA90" s="766"/>
      <c r="SB90" s="11"/>
      <c r="SC90" s="11"/>
    </row>
    <row r="91" spans="1:497" ht="12.75" hidden="1" customHeight="1">
      <c r="A91" s="19" t="s">
        <v>14139</v>
      </c>
      <c r="B91" s="1131" t="s">
        <v>12747</v>
      </c>
      <c r="C91" s="167" t="s">
        <v>12322</v>
      </c>
      <c r="D91" s="766" t="s">
        <v>12323</v>
      </c>
      <c r="E91" s="766" t="s">
        <v>12324</v>
      </c>
      <c r="F91" s="766" t="s">
        <v>12325</v>
      </c>
      <c r="G91" s="766" t="s">
        <v>10</v>
      </c>
      <c r="H91" s="766"/>
      <c r="I91" s="5" t="s">
        <v>12326</v>
      </c>
      <c r="J91" s="766"/>
      <c r="K91" s="766"/>
      <c r="L91" s="766"/>
      <c r="M91" s="766"/>
      <c r="N91" s="766"/>
      <c r="O91" s="766"/>
      <c r="P91" s="766"/>
      <c r="Q91" s="1085"/>
      <c r="R91" s="25"/>
      <c r="S91" s="766"/>
      <c r="T91" s="766"/>
      <c r="U91" s="26"/>
      <c r="V91" s="766"/>
      <c r="W91" s="766"/>
      <c r="X91" s="24"/>
      <c r="Y91" s="766"/>
      <c r="Z91" s="766"/>
      <c r="AA91" s="766"/>
      <c r="AB91" s="766"/>
      <c r="AC91" s="766"/>
      <c r="AD91" s="766"/>
      <c r="AE91" s="766"/>
      <c r="AF91" s="766"/>
      <c r="AG91" s="766" t="s">
        <v>1095</v>
      </c>
      <c r="AH91" s="766" t="s">
        <v>1120</v>
      </c>
      <c r="AI91" s="766" t="s">
        <v>12327</v>
      </c>
      <c r="AJ91" s="766"/>
      <c r="AK91" s="766" t="s">
        <v>1097</v>
      </c>
      <c r="AL91" s="121">
        <v>208.92</v>
      </c>
      <c r="AM91" s="773">
        <v>2.5</v>
      </c>
      <c r="AN91" s="37">
        <f>AM91/AL91</f>
        <v>1.1966302891058779E-2</v>
      </c>
      <c r="AO91" s="766" t="s">
        <v>1098</v>
      </c>
      <c r="AP91" s="766"/>
      <c r="AQ91" s="766"/>
      <c r="AR91" s="766"/>
      <c r="AS91" s="766"/>
      <c r="AT91" s="766" t="s">
        <v>2746</v>
      </c>
      <c r="AU91" s="766"/>
      <c r="AV91" s="766"/>
      <c r="AW91" s="766"/>
      <c r="AX91" s="13"/>
      <c r="AY91" s="766"/>
      <c r="AZ91" s="766"/>
      <c r="BA91" s="766"/>
      <c r="BB91" s="766"/>
      <c r="BC91" s="766" t="s">
        <v>12328</v>
      </c>
      <c r="BD91" s="766"/>
      <c r="BE91" s="766" t="s">
        <v>1214</v>
      </c>
      <c r="BF91" s="775"/>
      <c r="BG91" s="775"/>
      <c r="BH91" s="766"/>
      <c r="BI91" s="766"/>
      <c r="BJ91" s="766"/>
      <c r="BK91" s="766" t="s">
        <v>1095</v>
      </c>
      <c r="BL91" s="766" t="s">
        <v>12336</v>
      </c>
      <c r="BM91" s="766" t="s">
        <v>1120</v>
      </c>
      <c r="BN91" s="770" t="s">
        <v>1230</v>
      </c>
      <c r="BO91" s="766" t="s">
        <v>1246</v>
      </c>
      <c r="BP91" s="776"/>
      <c r="BQ91" s="773"/>
      <c r="BR91" s="774"/>
      <c r="BS91" s="766"/>
      <c r="BT91" s="766"/>
      <c r="BU91" s="766"/>
      <c r="BV91" s="766"/>
      <c r="BW91" s="769"/>
      <c r="BX91" s="779"/>
      <c r="BY91" s="766"/>
      <c r="BZ91" s="775"/>
      <c r="CA91" s="766"/>
      <c r="CB91" s="766"/>
      <c r="CC91" s="766"/>
      <c r="CD91" s="766"/>
      <c r="CE91" s="766"/>
      <c r="CF91" s="231"/>
      <c r="CG91" s="231"/>
      <c r="CH91" s="766"/>
      <c r="CI91" s="766"/>
      <c r="CJ91" s="766"/>
      <c r="CK91" s="766"/>
      <c r="CL91" s="766"/>
      <c r="CM91" s="766"/>
      <c r="CN91" s="766"/>
      <c r="CO91" s="766"/>
      <c r="CP91" s="766"/>
      <c r="CQ91" s="766"/>
      <c r="CR91" s="766"/>
      <c r="CS91" s="775"/>
      <c r="CT91" s="766"/>
      <c r="CU91" s="231"/>
      <c r="CV91" s="766"/>
      <c r="CW91" s="766"/>
      <c r="CX91" s="766"/>
      <c r="CY91" s="766"/>
      <c r="CZ91" s="766"/>
      <c r="DA91" s="766"/>
      <c r="DB91" s="766"/>
      <c r="DC91" s="766"/>
      <c r="DD91" s="766"/>
      <c r="DE91" s="766"/>
      <c r="DF91" s="766"/>
      <c r="DG91" s="766"/>
      <c r="DH91" s="766"/>
      <c r="DI91" s="766"/>
      <c r="DJ91" s="766"/>
      <c r="DK91" s="766"/>
      <c r="DL91" s="766"/>
      <c r="DM91" s="766"/>
      <c r="DN91" s="766"/>
      <c r="DO91" s="766"/>
      <c r="DP91" s="766"/>
      <c r="DQ91" s="766"/>
      <c r="DR91" s="766"/>
      <c r="DS91" s="775"/>
      <c r="DT91" s="766"/>
      <c r="DU91" s="766"/>
      <c r="DV91" s="766"/>
      <c r="DW91" s="66"/>
      <c r="DX91" s="66"/>
      <c r="DY91" s="766"/>
      <c r="DZ91" s="766"/>
      <c r="EA91" s="766"/>
      <c r="EB91" s="766"/>
      <c r="EC91" s="766"/>
      <c r="ED91" s="766"/>
      <c r="EE91" s="766"/>
      <c r="EF91" s="766"/>
      <c r="EG91" s="766"/>
      <c r="EH91" s="766"/>
      <c r="EI91" s="766"/>
      <c r="EJ91" s="766"/>
      <c r="EK91" s="766"/>
      <c r="EL91" s="12"/>
      <c r="EM91" s="12"/>
      <c r="EN91" s="12"/>
      <c r="EO91" s="12"/>
      <c r="EP91" s="12"/>
      <c r="EQ91" s="12"/>
      <c r="ER91" s="12"/>
      <c r="ES91" s="766"/>
      <c r="ET91" s="766"/>
      <c r="EU91" s="766"/>
      <c r="EV91" s="766"/>
      <c r="EW91" s="766"/>
      <c r="EX91" s="766"/>
      <c r="EY91" s="766"/>
      <c r="EZ91" s="766"/>
      <c r="FA91" s="766"/>
      <c r="FB91" s="766"/>
      <c r="FC91" s="766"/>
      <c r="FD91" s="775"/>
      <c r="FE91" s="766"/>
      <c r="FF91" s="766"/>
      <c r="FG91" s="766"/>
      <c r="FH91" s="766"/>
      <c r="FI91" s="766"/>
      <c r="FJ91" s="766"/>
      <c r="FK91" s="766"/>
      <c r="FL91" s="766"/>
      <c r="FM91" s="775"/>
      <c r="FN91" s="775"/>
      <c r="FO91" s="775"/>
      <c r="FP91" s="766"/>
      <c r="FQ91" s="766"/>
      <c r="FR91" s="766"/>
      <c r="FS91" s="766"/>
      <c r="FT91" s="766"/>
      <c r="FU91" s="766"/>
      <c r="FV91" s="766"/>
      <c r="FW91" s="766"/>
      <c r="FX91" s="766"/>
      <c r="FY91" s="766"/>
      <c r="FZ91" s="766"/>
      <c r="GA91" s="766"/>
      <c r="GB91" s="766"/>
      <c r="GC91" s="75"/>
      <c r="GD91" s="25"/>
      <c r="GE91" s="766"/>
      <c r="GF91" s="775"/>
      <c r="GG91" s="775"/>
      <c r="GH91" s="766"/>
      <c r="GI91" s="766"/>
      <c r="GJ91" s="766"/>
      <c r="GK91" s="766"/>
      <c r="GL91" s="766"/>
      <c r="GM91" s="766"/>
      <c r="GN91" s="82"/>
      <c r="GO91" s="766"/>
      <c r="GP91" s="766"/>
      <c r="GQ91" s="766"/>
      <c r="GR91" s="766"/>
      <c r="GS91" s="766"/>
      <c r="GT91" s="766"/>
      <c r="GU91" s="766"/>
      <c r="GV91" s="766"/>
      <c r="GW91" s="766"/>
      <c r="GX91" s="766"/>
      <c r="GY91" s="766"/>
      <c r="GZ91" s="766"/>
      <c r="HA91" s="766"/>
      <c r="HB91" s="766"/>
      <c r="HC91" s="766"/>
      <c r="HD91" s="766"/>
      <c r="HE91" s="766"/>
      <c r="HF91" s="766"/>
      <c r="HG91" s="766"/>
      <c r="HH91" s="766"/>
      <c r="HI91" s="766"/>
      <c r="HJ91" s="766"/>
      <c r="HK91" s="766"/>
      <c r="HL91" s="766"/>
      <c r="HM91" s="766"/>
      <c r="HN91" s="766"/>
      <c r="HO91" s="766"/>
      <c r="HP91" s="766"/>
      <c r="HQ91" s="766"/>
      <c r="HR91" s="766"/>
      <c r="HS91" s="766"/>
      <c r="HT91" s="766"/>
      <c r="HU91" s="766"/>
      <c r="HV91" s="766"/>
      <c r="HW91" s="766"/>
      <c r="HX91" s="766"/>
      <c r="HY91" s="766"/>
      <c r="HZ91" s="766"/>
      <c r="IA91" s="766"/>
      <c r="IB91" s="766"/>
      <c r="IC91" s="766"/>
      <c r="ID91" s="766"/>
      <c r="IE91" s="766"/>
      <c r="IF91" s="766"/>
      <c r="IG91" s="766"/>
      <c r="IH91" s="766"/>
      <c r="II91" s="766"/>
      <c r="IJ91" s="766"/>
      <c r="IK91" s="766"/>
      <c r="IL91" s="766"/>
      <c r="IM91" s="766"/>
      <c r="IN91" s="766"/>
      <c r="IO91" s="24"/>
      <c r="IP91" s="766"/>
      <c r="IQ91" s="766"/>
      <c r="IR91" s="766"/>
      <c r="IS91" s="766"/>
      <c r="IT91" s="766"/>
      <c r="IU91" s="766"/>
      <c r="IV91" s="766"/>
      <c r="IW91" s="766"/>
      <c r="IX91" s="766"/>
      <c r="IY91" s="766"/>
      <c r="IZ91" s="766"/>
      <c r="JA91" s="766"/>
      <c r="JB91" s="766"/>
      <c r="JC91" s="766"/>
      <c r="JD91" s="775"/>
      <c r="JE91" s="766"/>
      <c r="JF91" s="766"/>
      <c r="JG91" s="766"/>
      <c r="JH91" s="775"/>
      <c r="JI91" s="775"/>
      <c r="JJ91" s="766"/>
      <c r="JK91" s="766"/>
      <c r="JL91" s="766"/>
      <c r="JM91" s="766"/>
      <c r="JN91" s="766"/>
      <c r="JO91" s="766"/>
      <c r="JP91" s="766"/>
      <c r="JQ91" s="766"/>
      <c r="JR91" s="766"/>
      <c r="JS91" s="766"/>
      <c r="JT91" s="766"/>
      <c r="JU91" s="766"/>
      <c r="JV91" s="766"/>
      <c r="JW91" s="766"/>
      <c r="JX91" s="766"/>
      <c r="JY91" s="766"/>
      <c r="JZ91" s="766"/>
      <c r="KA91" s="766"/>
      <c r="KB91" s="766"/>
      <c r="KC91" s="766"/>
      <c r="KD91" s="766"/>
      <c r="KE91" s="766"/>
      <c r="KF91" s="766"/>
      <c r="KG91" s="766"/>
      <c r="KH91" s="766"/>
      <c r="KI91" s="766"/>
      <c r="KJ91" s="770"/>
      <c r="KK91" s="770"/>
      <c r="KL91" s="770"/>
      <c r="KM91" s="770"/>
      <c r="KN91" s="766"/>
      <c r="KO91" s="766"/>
      <c r="KP91" s="766"/>
      <c r="KQ91" s="766"/>
      <c r="KR91" s="766"/>
      <c r="KS91" s="766"/>
      <c r="KT91" s="766"/>
      <c r="KU91" s="766"/>
      <c r="KV91" s="766"/>
      <c r="KW91" s="766"/>
      <c r="KX91" s="766"/>
      <c r="KY91" s="766"/>
      <c r="KZ91" s="766"/>
      <c r="LA91" s="766"/>
      <c r="LB91" s="766"/>
      <c r="LC91" s="766"/>
      <c r="LD91" s="766"/>
      <c r="LE91" s="766"/>
      <c r="LF91" s="766"/>
      <c r="LG91" s="766"/>
      <c r="LH91" s="766"/>
      <c r="LI91" s="766"/>
      <c r="LJ91" s="766"/>
      <c r="LK91" s="766"/>
      <c r="LL91" s="766"/>
      <c r="LM91" s="766"/>
      <c r="LN91" s="766"/>
      <c r="LO91" s="766"/>
      <c r="LP91" s="766"/>
      <c r="LQ91" s="766"/>
      <c r="LR91" s="766"/>
      <c r="LS91" s="766"/>
      <c r="LT91" s="766"/>
      <c r="LU91" s="766"/>
      <c r="LV91" s="766"/>
      <c r="LW91" s="766"/>
      <c r="LX91" s="769"/>
      <c r="LY91" s="766" t="str">
        <f t="shared" si="18"/>
        <v/>
      </c>
      <c r="LZ91" s="66"/>
      <c r="MA91" s="66"/>
      <c r="MB91" s="66"/>
      <c r="MC91" s="1679">
        <f t="shared" si="19"/>
        <v>0</v>
      </c>
      <c r="MD91" s="66"/>
      <c r="ME91" s="66"/>
      <c r="MF91" s="66"/>
      <c r="MG91" s="1680">
        <f t="shared" si="15"/>
        <v>0</v>
      </c>
      <c r="MH91" s="766"/>
      <c r="MI91" s="775"/>
      <c r="MJ91" s="775"/>
      <c r="MK91" s="775"/>
      <c r="ML91" s="775"/>
      <c r="MM91" s="775"/>
      <c r="MN91" s="775"/>
      <c r="MO91" s="775"/>
      <c r="MP91" s="775"/>
      <c r="MQ91" s="775"/>
      <c r="MR91" s="775"/>
      <c r="MS91" s="775"/>
      <c r="MT91" s="775"/>
      <c r="MU91" s="775"/>
      <c r="MV91" s="775"/>
      <c r="MW91" s="775"/>
      <c r="MX91" s="775"/>
      <c r="MY91" s="1682">
        <f t="shared" si="14"/>
        <v>0</v>
      </c>
      <c r="MZ91" s="766"/>
      <c r="NA91" s="766"/>
      <c r="NB91" s="766"/>
      <c r="NC91" s="766"/>
      <c r="ND91" s="766"/>
      <c r="NE91" s="766"/>
      <c r="NF91" s="766"/>
      <c r="NG91" s="766"/>
      <c r="NH91" s="766"/>
      <c r="NI91" s="766"/>
      <c r="NJ91" s="766"/>
      <c r="NK91" s="766"/>
      <c r="NL91" s="766"/>
      <c r="NM91" s="766"/>
      <c r="NN91" s="766"/>
      <c r="NO91" s="766"/>
      <c r="NP91" s="766"/>
      <c r="NQ91" s="766"/>
      <c r="NR91" s="766"/>
      <c r="NS91" s="766"/>
      <c r="NT91" s="766"/>
      <c r="NU91" s="766"/>
      <c r="NV91" s="766"/>
      <c r="NW91" s="766"/>
      <c r="NX91" s="766"/>
      <c r="NY91" s="766"/>
      <c r="NZ91" s="766"/>
      <c r="OA91" s="766"/>
      <c r="OB91" s="766"/>
      <c r="OC91" s="766"/>
      <c r="OD91" s="766"/>
      <c r="OE91" s="766"/>
      <c r="OF91" s="766"/>
      <c r="OG91" s="766"/>
      <c r="OH91" s="766"/>
      <c r="OI91" s="766"/>
      <c r="OJ91" s="766"/>
      <c r="OK91" s="76"/>
      <c r="OL91" s="766"/>
      <c r="OM91" s="766"/>
      <c r="ON91" s="766"/>
      <c r="OO91" s="766"/>
      <c r="OP91" s="766"/>
      <c r="OQ91" s="766"/>
      <c r="OR91" s="766"/>
      <c r="OS91" s="766"/>
      <c r="OT91" s="766"/>
      <c r="OU91" s="766"/>
      <c r="OV91" s="766"/>
      <c r="OW91" s="766"/>
      <c r="OX91" s="766"/>
      <c r="OY91" s="766"/>
      <c r="OZ91" s="766"/>
      <c r="PA91" s="766"/>
      <c r="PB91" s="766"/>
      <c r="PC91" s="766"/>
      <c r="PD91" s="766"/>
      <c r="PE91" s="766"/>
      <c r="PF91" s="766"/>
      <c r="PG91" s="766"/>
      <c r="PH91" s="766"/>
      <c r="PI91" s="766"/>
      <c r="PJ91" s="766"/>
      <c r="PK91" s="766"/>
      <c r="PL91" s="766"/>
      <c r="PM91" s="766"/>
      <c r="PN91" s="766"/>
      <c r="PO91" s="766"/>
      <c r="PP91" s="766"/>
      <c r="PQ91" s="766"/>
      <c r="PR91" s="766"/>
      <c r="PS91" s="766"/>
      <c r="PT91" s="766"/>
      <c r="PU91" s="766"/>
      <c r="PV91" s="766"/>
      <c r="PW91" s="766"/>
      <c r="PX91" s="766"/>
      <c r="PY91" s="766"/>
      <c r="PZ91" s="766"/>
      <c r="QA91" s="766"/>
      <c r="QB91" s="766"/>
      <c r="QC91" s="766"/>
      <c r="QD91" s="766"/>
      <c r="QE91" s="766"/>
      <c r="QF91" s="766"/>
      <c r="QG91" s="766"/>
      <c r="QH91" s="766"/>
      <c r="QI91" s="766"/>
      <c r="QJ91" s="766"/>
      <c r="QK91" s="766"/>
      <c r="QL91" s="766"/>
      <c r="QM91" s="766"/>
      <c r="QN91" s="766"/>
      <c r="QO91" s="766"/>
      <c r="QP91" s="766"/>
      <c r="QQ91" s="766"/>
      <c r="QR91" s="766"/>
      <c r="QS91" s="766"/>
      <c r="QT91" s="766"/>
      <c r="QU91" s="766"/>
      <c r="QV91" s="766"/>
      <c r="QW91" s="766"/>
      <c r="QX91" s="766"/>
      <c r="QY91" s="766"/>
      <c r="QZ91" s="766"/>
      <c r="RA91" s="766"/>
      <c r="RB91" s="766"/>
      <c r="RC91" s="766"/>
      <c r="RD91" s="766"/>
      <c r="RE91" s="766"/>
      <c r="RF91" s="777"/>
      <c r="RG91" s="766"/>
      <c r="RH91" s="775"/>
      <c r="RI91" s="766"/>
      <c r="RJ91" s="766" t="s">
        <v>13110</v>
      </c>
      <c r="RK91" s="766"/>
      <c r="RL91" s="1683"/>
      <c r="RM91" s="12"/>
      <c r="RN91" s="1683"/>
      <c r="RO91" s="167" t="s">
        <v>12322</v>
      </c>
      <c r="RP91" s="11"/>
      <c r="RQ91" s="11"/>
      <c r="RR91" s="17"/>
      <c r="RS91" s="766"/>
      <c r="RT91" s="11"/>
      <c r="RU91" s="11"/>
      <c r="RV91" s="766" t="s">
        <v>7419</v>
      </c>
      <c r="RW91" s="11" t="s">
        <v>12407</v>
      </c>
      <c r="RX91" s="11" t="s">
        <v>12300</v>
      </c>
      <c r="RY91" s="11"/>
      <c r="RZ91" s="11"/>
      <c r="SA91" s="766"/>
      <c r="SB91" s="11"/>
      <c r="SC91" s="11"/>
    </row>
    <row r="92" spans="1:497" ht="12.75" hidden="1" customHeight="1">
      <c r="A92" s="19" t="s">
        <v>14145</v>
      </c>
      <c r="B92" s="1131" t="s">
        <v>12329</v>
      </c>
      <c r="C92" s="167" t="s">
        <v>12322</v>
      </c>
      <c r="D92" s="766" t="s">
        <v>12330</v>
      </c>
      <c r="E92" s="766" t="s">
        <v>12331</v>
      </c>
      <c r="F92" s="766" t="s">
        <v>12332</v>
      </c>
      <c r="G92" s="766" t="s">
        <v>18</v>
      </c>
      <c r="H92" s="766"/>
      <c r="I92" s="5" t="s">
        <v>12333</v>
      </c>
      <c r="J92" s="766" t="s">
        <v>12330</v>
      </c>
      <c r="K92" s="766" t="s">
        <v>12334</v>
      </c>
      <c r="L92" s="766" t="s">
        <v>12335</v>
      </c>
      <c r="M92" s="766"/>
      <c r="N92" s="766" t="s">
        <v>12307</v>
      </c>
      <c r="O92" s="766" t="s">
        <v>12308</v>
      </c>
      <c r="P92" s="766"/>
      <c r="Q92" s="1085"/>
      <c r="R92" s="25"/>
      <c r="S92" s="766"/>
      <c r="T92" s="766"/>
      <c r="U92" s="26"/>
      <c r="V92" s="766"/>
      <c r="W92" s="766"/>
      <c r="X92" s="24"/>
      <c r="Y92" s="766"/>
      <c r="Z92" s="766"/>
      <c r="AA92" s="766"/>
      <c r="AB92" s="766"/>
      <c r="AC92" s="766"/>
      <c r="AD92" s="766"/>
      <c r="AE92" s="766"/>
      <c r="AF92" s="766"/>
      <c r="AG92" s="766" t="s">
        <v>1095</v>
      </c>
      <c r="AH92" s="766" t="s">
        <v>1120</v>
      </c>
      <c r="AI92" s="766"/>
      <c r="AJ92" s="766"/>
      <c r="AK92" s="766" t="s">
        <v>5454</v>
      </c>
      <c r="AL92" s="121"/>
      <c r="AM92" s="773"/>
      <c r="AN92" s="37"/>
      <c r="AO92" s="766"/>
      <c r="AP92" s="766"/>
      <c r="AQ92" s="766"/>
      <c r="AR92" s="766"/>
      <c r="AS92" s="766"/>
      <c r="AT92" s="766"/>
      <c r="AU92" s="766"/>
      <c r="AV92" s="766"/>
      <c r="AW92" s="766"/>
      <c r="AX92" s="13"/>
      <c r="AY92" s="766"/>
      <c r="AZ92" s="766"/>
      <c r="BA92" s="766"/>
      <c r="BB92" s="766"/>
      <c r="BC92" s="766"/>
      <c r="BD92" s="766"/>
      <c r="BE92" s="766"/>
      <c r="BF92" s="775"/>
      <c r="BG92" s="775"/>
      <c r="BH92" s="766"/>
      <c r="BI92" s="766"/>
      <c r="BJ92" s="766"/>
      <c r="BK92" s="766"/>
      <c r="BL92" s="766"/>
      <c r="BM92" s="766"/>
      <c r="BN92" s="766" t="s">
        <v>1272</v>
      </c>
      <c r="BO92" s="766"/>
      <c r="BP92" s="776">
        <v>145.61000000000001</v>
      </c>
      <c r="BQ92" s="773">
        <v>2.5</v>
      </c>
      <c r="BR92" s="774">
        <f>BQ92/BP92</f>
        <v>1.716915047043472E-2</v>
      </c>
      <c r="BS92" s="766" t="s">
        <v>1242</v>
      </c>
      <c r="BT92" s="766" t="s">
        <v>2040</v>
      </c>
      <c r="BU92" s="766" t="s">
        <v>1241</v>
      </c>
      <c r="BV92" s="766" t="s">
        <v>12337</v>
      </c>
      <c r="BW92" s="766">
        <v>1980</v>
      </c>
      <c r="BX92" s="779"/>
      <c r="BY92" s="766"/>
      <c r="BZ92" s="775"/>
      <c r="CA92" s="766"/>
      <c r="CB92" s="766"/>
      <c r="CC92" s="766"/>
      <c r="CD92" s="766"/>
      <c r="CE92" s="766"/>
      <c r="CF92" s="231"/>
      <c r="CG92" s="231"/>
      <c r="CH92" s="766"/>
      <c r="CI92" s="766"/>
      <c r="CJ92" s="766"/>
      <c r="CK92" s="766"/>
      <c r="CL92" s="766"/>
      <c r="CM92" s="766"/>
      <c r="CN92" s="766"/>
      <c r="CO92" s="766"/>
      <c r="CP92" s="766"/>
      <c r="CQ92" s="766"/>
      <c r="CR92" s="766"/>
      <c r="CS92" s="775"/>
      <c r="CT92" s="766"/>
      <c r="CU92" s="231"/>
      <c r="CV92" s="766"/>
      <c r="CW92" s="766"/>
      <c r="CX92" s="766"/>
      <c r="CY92" s="766"/>
      <c r="CZ92" s="766"/>
      <c r="DA92" s="766"/>
      <c r="DB92" s="766"/>
      <c r="DC92" s="766"/>
      <c r="DD92" s="766"/>
      <c r="DE92" s="766"/>
      <c r="DF92" s="766"/>
      <c r="DG92" s="766"/>
      <c r="DH92" s="766"/>
      <c r="DI92" s="766"/>
      <c r="DJ92" s="766"/>
      <c r="DK92" s="766"/>
      <c r="DL92" s="766"/>
      <c r="DM92" s="766"/>
      <c r="DN92" s="766"/>
      <c r="DO92" s="766"/>
      <c r="DP92" s="766"/>
      <c r="DQ92" s="766"/>
      <c r="DR92" s="766"/>
      <c r="DS92" s="775"/>
      <c r="DT92" s="766"/>
      <c r="DU92" s="766"/>
      <c r="DV92" s="766"/>
      <c r="DW92" s="66"/>
      <c r="DX92" s="66"/>
      <c r="DY92" s="766"/>
      <c r="DZ92" s="766"/>
      <c r="EA92" s="766"/>
      <c r="EB92" s="766"/>
      <c r="EC92" s="766"/>
      <c r="ED92" s="766"/>
      <c r="EE92" s="766"/>
      <c r="EF92" s="766"/>
      <c r="EG92" s="766"/>
      <c r="EH92" s="766"/>
      <c r="EI92" s="766"/>
      <c r="EJ92" s="766"/>
      <c r="EK92" s="766"/>
      <c r="EL92" s="12"/>
      <c r="EM92" s="12"/>
      <c r="EN92" s="12"/>
      <c r="EO92" s="12"/>
      <c r="EP92" s="12"/>
      <c r="EQ92" s="12"/>
      <c r="ER92" s="12"/>
      <c r="ES92" s="766"/>
      <c r="ET92" s="766"/>
      <c r="EU92" s="766"/>
      <c r="EV92" s="766"/>
      <c r="EW92" s="766"/>
      <c r="EX92" s="766"/>
      <c r="EY92" s="766"/>
      <c r="EZ92" s="766"/>
      <c r="FA92" s="766"/>
      <c r="FB92" s="766"/>
      <c r="FC92" s="766"/>
      <c r="FD92" s="775"/>
      <c r="FE92" s="766"/>
      <c r="FF92" s="766"/>
      <c r="FG92" s="766"/>
      <c r="FH92" s="766" t="s">
        <v>1272</v>
      </c>
      <c r="FI92" s="766"/>
      <c r="FJ92" s="766"/>
      <c r="FK92" s="766"/>
      <c r="FL92" s="766"/>
      <c r="FM92" s="775"/>
      <c r="FN92" s="775"/>
      <c r="FO92" s="775"/>
      <c r="FP92" s="766" t="s">
        <v>1600</v>
      </c>
      <c r="FQ92" s="766" t="s">
        <v>1642</v>
      </c>
      <c r="FR92" s="766" t="s">
        <v>1207</v>
      </c>
      <c r="FS92" s="766"/>
      <c r="FT92" s="766"/>
      <c r="FU92" s="766"/>
      <c r="FV92" s="766"/>
      <c r="FW92" s="766"/>
      <c r="FX92" s="766"/>
      <c r="FY92" s="766"/>
      <c r="FZ92" s="766"/>
      <c r="GA92" s="766" t="s">
        <v>12338</v>
      </c>
      <c r="GB92" s="766" t="s">
        <v>12339</v>
      </c>
      <c r="GC92" s="75"/>
      <c r="GD92" s="25">
        <v>1980</v>
      </c>
      <c r="GE92" s="766"/>
      <c r="GF92" s="775"/>
      <c r="GG92" s="775"/>
      <c r="GH92" s="766"/>
      <c r="GI92" s="766"/>
      <c r="GJ92" s="766"/>
      <c r="GK92" s="766"/>
      <c r="GL92" s="766"/>
      <c r="GM92" s="766"/>
      <c r="GN92" s="82"/>
      <c r="GO92" s="766"/>
      <c r="GP92" s="766"/>
      <c r="GQ92" s="766"/>
      <c r="GR92" s="766"/>
      <c r="GS92" s="766"/>
      <c r="GT92" s="766"/>
      <c r="GU92" s="766"/>
      <c r="GV92" s="766"/>
      <c r="GW92" s="766"/>
      <c r="GX92" s="766"/>
      <c r="GY92" s="766"/>
      <c r="GZ92" s="766"/>
      <c r="HA92" s="766"/>
      <c r="HB92" s="766"/>
      <c r="HC92" s="766"/>
      <c r="HD92" s="766"/>
      <c r="HE92" s="766"/>
      <c r="HF92" s="766"/>
      <c r="HG92" s="766"/>
      <c r="HH92" s="766"/>
      <c r="HI92" s="766"/>
      <c r="HJ92" s="766"/>
      <c r="HK92" s="766"/>
      <c r="HL92" s="766"/>
      <c r="HM92" s="766"/>
      <c r="HN92" s="766"/>
      <c r="HO92" s="766"/>
      <c r="HP92" s="766"/>
      <c r="HQ92" s="766"/>
      <c r="HR92" s="766"/>
      <c r="HS92" s="766"/>
      <c r="HT92" s="766"/>
      <c r="HU92" s="766"/>
      <c r="HV92" s="766"/>
      <c r="HW92" s="766"/>
      <c r="HX92" s="766"/>
      <c r="HY92" s="766"/>
      <c r="HZ92" s="766"/>
      <c r="IA92" s="766"/>
      <c r="IB92" s="766"/>
      <c r="IC92" s="766"/>
      <c r="ID92" s="766"/>
      <c r="IE92" s="766"/>
      <c r="IF92" s="766" t="s">
        <v>12330</v>
      </c>
      <c r="IG92" s="766" t="s">
        <v>18</v>
      </c>
      <c r="IH92" s="766" t="s">
        <v>1272</v>
      </c>
      <c r="II92" s="766" t="s">
        <v>12331</v>
      </c>
      <c r="IJ92" s="766" t="s">
        <v>12340</v>
      </c>
      <c r="IK92" s="766"/>
      <c r="IL92" s="766" t="s">
        <v>12336</v>
      </c>
      <c r="IM92" s="766"/>
      <c r="IN92" s="766"/>
      <c r="IO92" s="24"/>
      <c r="IP92" s="766"/>
      <c r="IQ92" s="766"/>
      <c r="IR92" s="766"/>
      <c r="IS92" s="766" t="s">
        <v>1883</v>
      </c>
      <c r="IT92" s="766"/>
      <c r="IU92" s="766"/>
      <c r="IV92" s="766"/>
      <c r="IW92" s="766"/>
      <c r="IX92" s="12"/>
      <c r="IY92" s="766"/>
      <c r="IZ92" s="766"/>
      <c r="JA92" s="766"/>
      <c r="JB92" s="766"/>
      <c r="JC92" s="766"/>
      <c r="JD92" s="775"/>
      <c r="JE92" s="766"/>
      <c r="JF92" s="766"/>
      <c r="JG92" s="766"/>
      <c r="JH92" s="775"/>
      <c r="JI92" s="775"/>
      <c r="JJ92" s="766"/>
      <c r="JK92" s="766"/>
      <c r="JL92" s="766"/>
      <c r="JM92" s="766"/>
      <c r="JN92" s="766"/>
      <c r="JO92" s="766"/>
      <c r="JP92" s="766"/>
      <c r="JQ92" s="766"/>
      <c r="JR92" s="766"/>
      <c r="JS92" s="766"/>
      <c r="JT92" s="766"/>
      <c r="JU92" s="766"/>
      <c r="JV92" s="766"/>
      <c r="JW92" s="766"/>
      <c r="JX92" s="766"/>
      <c r="JY92" s="766"/>
      <c r="JZ92" s="766"/>
      <c r="KA92" s="766"/>
      <c r="KB92" s="766"/>
      <c r="KC92" s="766"/>
      <c r="KD92" s="766"/>
      <c r="KE92" s="766"/>
      <c r="KF92" s="766"/>
      <c r="KG92" s="766"/>
      <c r="KH92" s="766"/>
      <c r="KI92" s="766"/>
      <c r="KJ92" s="770"/>
      <c r="KK92" s="770"/>
      <c r="KL92" s="770"/>
      <c r="KM92" s="770"/>
      <c r="KN92" s="766"/>
      <c r="KO92" s="766"/>
      <c r="KP92" s="766"/>
      <c r="KQ92" s="766"/>
      <c r="KR92" s="766"/>
      <c r="KS92" s="766"/>
      <c r="KT92" s="766"/>
      <c r="KU92" s="766"/>
      <c r="KV92" s="766"/>
      <c r="KW92" s="766"/>
      <c r="KX92" s="766"/>
      <c r="KY92" s="766"/>
      <c r="KZ92" s="766"/>
      <c r="LA92" s="766"/>
      <c r="LB92" s="766"/>
      <c r="LC92" s="766"/>
      <c r="LD92" s="766"/>
      <c r="LE92" s="766"/>
      <c r="LF92" s="766"/>
      <c r="LG92" s="766"/>
      <c r="LH92" s="766"/>
      <c r="LI92" s="766"/>
      <c r="LJ92" s="766"/>
      <c r="LK92" s="766"/>
      <c r="LL92" s="766"/>
      <c r="LM92" s="766"/>
      <c r="LN92" s="766"/>
      <c r="LO92" s="766"/>
      <c r="LP92" s="766"/>
      <c r="LQ92" s="766"/>
      <c r="LR92" s="766"/>
      <c r="LS92" s="766"/>
      <c r="LT92" s="766"/>
      <c r="LU92" s="766"/>
      <c r="LV92" s="766"/>
      <c r="LW92" s="766"/>
      <c r="LX92" s="769"/>
      <c r="LY92" s="766" t="str">
        <f t="shared" si="18"/>
        <v/>
      </c>
      <c r="LZ92" s="66"/>
      <c r="MA92" s="66"/>
      <c r="MB92" s="66"/>
      <c r="MC92" s="1679">
        <f t="shared" si="19"/>
        <v>0</v>
      </c>
      <c r="MD92" s="66"/>
      <c r="ME92" s="66"/>
      <c r="MF92" s="66"/>
      <c r="MG92" s="1680">
        <f t="shared" si="15"/>
        <v>0</v>
      </c>
      <c r="MH92" s="766"/>
      <c r="MI92" s="775"/>
      <c r="MJ92" s="775"/>
      <c r="MK92" s="775"/>
      <c r="ML92" s="775"/>
      <c r="MM92" s="775"/>
      <c r="MN92" s="775"/>
      <c r="MO92" s="775"/>
      <c r="MP92" s="775"/>
      <c r="MQ92" s="775"/>
      <c r="MR92" s="775"/>
      <c r="MS92" s="775"/>
      <c r="MT92" s="775"/>
      <c r="MU92" s="775"/>
      <c r="MV92" s="775"/>
      <c r="MW92" s="775"/>
      <c r="MX92" s="775"/>
      <c r="MY92" s="1682">
        <f t="shared" si="14"/>
        <v>0</v>
      </c>
      <c r="MZ92" s="766"/>
      <c r="NA92" s="766"/>
      <c r="NB92" s="766"/>
      <c r="NC92" s="766"/>
      <c r="ND92" s="766"/>
      <c r="NE92" s="766"/>
      <c r="NF92" s="766"/>
      <c r="NG92" s="766"/>
      <c r="NH92" s="766"/>
      <c r="NI92" s="766"/>
      <c r="NJ92" s="766"/>
      <c r="NK92" s="766"/>
      <c r="NL92" s="766"/>
      <c r="NM92" s="766"/>
      <c r="NN92" s="766"/>
      <c r="NO92" s="766"/>
      <c r="NP92" s="766"/>
      <c r="NQ92" s="766"/>
      <c r="NR92" s="766"/>
      <c r="NS92" s="766"/>
      <c r="NT92" s="766"/>
      <c r="NU92" s="766"/>
      <c r="NV92" s="766"/>
      <c r="NW92" s="766"/>
      <c r="NX92" s="766"/>
      <c r="NY92" s="766"/>
      <c r="NZ92" s="766"/>
      <c r="OA92" s="766"/>
      <c r="OB92" s="766"/>
      <c r="OC92" s="766"/>
      <c r="OD92" s="766"/>
      <c r="OE92" s="766"/>
      <c r="OF92" s="766"/>
      <c r="OG92" s="766"/>
      <c r="OH92" s="766"/>
      <c r="OI92" s="766"/>
      <c r="OJ92" s="766"/>
      <c r="OK92" s="76"/>
      <c r="OL92" s="766"/>
      <c r="OM92" s="766"/>
      <c r="ON92" s="766"/>
      <c r="OO92" s="766"/>
      <c r="OP92" s="766"/>
      <c r="OQ92" s="766"/>
      <c r="OR92" s="766"/>
      <c r="OS92" s="766"/>
      <c r="OT92" s="766"/>
      <c r="OU92" s="766"/>
      <c r="OV92" s="766"/>
      <c r="OW92" s="766"/>
      <c r="OX92" s="766"/>
      <c r="OY92" s="766"/>
      <c r="OZ92" s="766"/>
      <c r="PA92" s="766"/>
      <c r="PB92" s="766"/>
      <c r="PC92" s="766"/>
      <c r="PD92" s="766"/>
      <c r="PE92" s="766"/>
      <c r="PF92" s="766"/>
      <c r="PG92" s="766"/>
      <c r="PH92" s="766"/>
      <c r="PI92" s="766"/>
      <c r="PJ92" s="766"/>
      <c r="PK92" s="766"/>
      <c r="PL92" s="766"/>
      <c r="PM92" s="766"/>
      <c r="PN92" s="766"/>
      <c r="PO92" s="766"/>
      <c r="PP92" s="766"/>
      <c r="PQ92" s="766"/>
      <c r="PR92" s="766"/>
      <c r="PS92" s="766"/>
      <c r="PT92" s="766"/>
      <c r="PU92" s="766"/>
      <c r="PV92" s="766"/>
      <c r="PW92" s="766"/>
      <c r="PX92" s="766"/>
      <c r="PY92" s="766"/>
      <c r="PZ92" s="766"/>
      <c r="QA92" s="766"/>
      <c r="QB92" s="766"/>
      <c r="QC92" s="766"/>
      <c r="QD92" s="766"/>
      <c r="QE92" s="766"/>
      <c r="QF92" s="766"/>
      <c r="QG92" s="766"/>
      <c r="QH92" s="766"/>
      <c r="QI92" s="766"/>
      <c r="QJ92" s="766"/>
      <c r="QK92" s="766"/>
      <c r="QL92" s="766"/>
      <c r="QM92" s="766"/>
      <c r="QN92" s="766"/>
      <c r="QO92" s="766"/>
      <c r="QP92" s="766"/>
      <c r="QQ92" s="766"/>
      <c r="QR92" s="766"/>
      <c r="QS92" s="766"/>
      <c r="QT92" s="766"/>
      <c r="QU92" s="766"/>
      <c r="QV92" s="766"/>
      <c r="QW92" s="766"/>
      <c r="QX92" s="766"/>
      <c r="QY92" s="766"/>
      <c r="QZ92" s="766"/>
      <c r="RA92" s="766"/>
      <c r="RB92" s="766"/>
      <c r="RC92" s="766"/>
      <c r="RD92" s="766"/>
      <c r="RE92" s="766"/>
      <c r="RF92" s="777"/>
      <c r="RG92" s="766"/>
      <c r="RH92" s="775"/>
      <c r="RI92" s="766"/>
      <c r="RJ92" s="766" t="s">
        <v>13111</v>
      </c>
      <c r="RK92" s="766"/>
      <c r="RL92" s="1683"/>
      <c r="RM92" s="12"/>
      <c r="RN92" s="1683"/>
      <c r="RO92" s="167" t="s">
        <v>12322</v>
      </c>
      <c r="RP92" s="11"/>
      <c r="RQ92" s="11"/>
      <c r="RR92" s="17"/>
      <c r="RS92" s="766"/>
      <c r="RT92" s="11"/>
      <c r="RU92" s="11"/>
      <c r="RV92" s="766" t="s">
        <v>7419</v>
      </c>
      <c r="RW92" s="11" t="s">
        <v>12404</v>
      </c>
      <c r="RX92" s="11" t="s">
        <v>12314</v>
      </c>
      <c r="RY92" s="11"/>
      <c r="RZ92" s="11" t="s">
        <v>2402</v>
      </c>
      <c r="SA92" s="766"/>
      <c r="SB92" s="11"/>
      <c r="SC92" s="11"/>
    </row>
    <row r="93" spans="1:497" ht="12.75" hidden="1" customHeight="1">
      <c r="A93" s="19" t="s">
        <v>7419</v>
      </c>
      <c r="B93" s="288" t="s">
        <v>12405</v>
      </c>
      <c r="C93" s="167" t="s">
        <v>7943</v>
      </c>
      <c r="D93" s="766" t="s">
        <v>107</v>
      </c>
      <c r="E93" s="766" t="s">
        <v>5416</v>
      </c>
      <c r="F93" s="766" t="s">
        <v>28</v>
      </c>
      <c r="G93" s="766" t="s">
        <v>10</v>
      </c>
      <c r="H93" s="766"/>
      <c r="I93" s="5"/>
      <c r="J93" s="766" t="s">
        <v>107</v>
      </c>
      <c r="K93" s="766"/>
      <c r="L93" s="766"/>
      <c r="M93" s="766"/>
      <c r="N93" s="766"/>
      <c r="O93" s="766"/>
      <c r="P93" s="766"/>
      <c r="Q93" s="1085"/>
      <c r="R93" s="25"/>
      <c r="S93" s="766"/>
      <c r="T93" s="766"/>
      <c r="U93" s="26"/>
      <c r="V93" s="766"/>
      <c r="W93" s="766"/>
      <c r="X93" s="24"/>
      <c r="Y93" s="766"/>
      <c r="Z93" s="766"/>
      <c r="AA93" s="766"/>
      <c r="AB93" s="766"/>
      <c r="AC93" s="766"/>
      <c r="AD93" s="766"/>
      <c r="AE93" s="766"/>
      <c r="AF93" s="766"/>
      <c r="AG93" s="766" t="s">
        <v>1095</v>
      </c>
      <c r="AH93" s="766" t="s">
        <v>12552</v>
      </c>
      <c r="AI93" s="766" t="s">
        <v>1128</v>
      </c>
      <c r="AJ93" s="766"/>
      <c r="AK93" s="766" t="s">
        <v>1097</v>
      </c>
      <c r="AL93" s="121">
        <f>PRODUCT(1.5,10000)</f>
        <v>15000</v>
      </c>
      <c r="AM93" s="559"/>
      <c r="AN93" s="560"/>
      <c r="AO93" s="766" t="s">
        <v>1105</v>
      </c>
      <c r="AP93" s="766"/>
      <c r="AQ93" s="766"/>
      <c r="AR93" s="766"/>
      <c r="AS93" s="766" t="s">
        <v>1207</v>
      </c>
      <c r="AT93" s="766" t="s">
        <v>1208</v>
      </c>
      <c r="AU93" s="766"/>
      <c r="AV93" s="766"/>
      <c r="AW93" s="766"/>
      <c r="AX93" s="13"/>
      <c r="AY93" s="766"/>
      <c r="AZ93" s="766"/>
      <c r="BA93" s="766"/>
      <c r="BB93" s="766"/>
      <c r="BC93" s="766" t="s">
        <v>853</v>
      </c>
      <c r="BD93" s="766" t="s">
        <v>1207</v>
      </c>
      <c r="BE93" s="766" t="s">
        <v>1207</v>
      </c>
      <c r="BF93" s="775"/>
      <c r="BG93" s="775"/>
      <c r="BH93" s="766">
        <v>2</v>
      </c>
      <c r="BI93" s="766">
        <v>1</v>
      </c>
      <c r="BJ93" s="766">
        <v>3</v>
      </c>
      <c r="BK93" s="766"/>
      <c r="BL93" s="766"/>
      <c r="BM93" s="766"/>
      <c r="BN93" s="766"/>
      <c r="BO93" s="766"/>
      <c r="BP93" s="776"/>
      <c r="BQ93" s="773"/>
      <c r="BR93" s="774"/>
      <c r="BS93" s="766"/>
      <c r="BT93" s="766"/>
      <c r="BU93" s="766"/>
      <c r="BV93" s="766"/>
      <c r="BW93" s="766"/>
      <c r="BX93" s="779"/>
      <c r="BY93" s="766"/>
      <c r="BZ93" s="775"/>
      <c r="CA93" s="766"/>
      <c r="CB93" s="766"/>
      <c r="CC93" s="766"/>
      <c r="CD93" s="766"/>
      <c r="CE93" s="766"/>
      <c r="CF93" s="231"/>
      <c r="CG93" s="231"/>
      <c r="CH93" s="766"/>
      <c r="CI93" s="766"/>
      <c r="CJ93" s="766"/>
      <c r="CK93" s="766"/>
      <c r="CL93" s="766"/>
      <c r="CM93" s="766"/>
      <c r="CN93" s="766"/>
      <c r="CO93" s="766"/>
      <c r="CP93" s="766"/>
      <c r="CQ93" s="766"/>
      <c r="CR93" s="775"/>
      <c r="CS93" s="766"/>
      <c r="CT93" s="766"/>
      <c r="CU93" s="129"/>
      <c r="CV93" s="766"/>
      <c r="CW93" s="766"/>
      <c r="CX93" s="766"/>
      <c r="CY93" s="766"/>
      <c r="CZ93" s="766"/>
      <c r="DA93" s="766"/>
      <c r="DB93" s="766"/>
      <c r="DC93" s="766"/>
      <c r="DD93" s="766"/>
      <c r="DE93" s="766"/>
      <c r="DF93" s="766"/>
      <c r="DG93" s="766"/>
      <c r="DH93" s="766"/>
      <c r="DI93" s="766"/>
      <c r="DJ93" s="766"/>
      <c r="DK93" s="766"/>
      <c r="DL93" s="766"/>
      <c r="DM93" s="766"/>
      <c r="DN93" s="766"/>
      <c r="DO93" s="766"/>
      <c r="DP93" s="766"/>
      <c r="DQ93" s="766"/>
      <c r="DR93" s="766"/>
      <c r="DS93" s="59"/>
      <c r="DT93" s="766"/>
      <c r="DU93" s="766"/>
      <c r="DV93" s="766"/>
      <c r="DW93" s="66"/>
      <c r="DX93" s="66"/>
      <c r="DY93" s="766"/>
      <c r="DZ93" s="766"/>
      <c r="EA93" s="766"/>
      <c r="EB93" s="766"/>
      <c r="EC93" s="766"/>
      <c r="ED93" s="766"/>
      <c r="EE93" s="766"/>
      <c r="EF93" s="766"/>
      <c r="EG93" s="766"/>
      <c r="EH93" s="766"/>
      <c r="EI93" s="766"/>
      <c r="EJ93" s="766"/>
      <c r="EK93" s="766"/>
      <c r="EL93" s="766"/>
      <c r="EM93" s="766"/>
      <c r="EN93" s="766"/>
      <c r="EO93" s="766"/>
      <c r="EP93" s="766"/>
      <c r="EQ93" s="766"/>
      <c r="ER93" s="766"/>
      <c r="ES93" s="766"/>
      <c r="ET93" s="766"/>
      <c r="EU93" s="766"/>
      <c r="EV93" s="766"/>
      <c r="EW93" s="766"/>
      <c r="EX93" s="766"/>
      <c r="EY93" s="766"/>
      <c r="EZ93" s="766"/>
      <c r="FA93" s="766"/>
      <c r="FB93" s="766"/>
      <c r="FC93" s="766"/>
      <c r="FD93" s="775"/>
      <c r="FE93" s="766"/>
      <c r="FF93" s="766"/>
      <c r="FG93" s="766"/>
      <c r="FH93" s="766"/>
      <c r="FI93" s="766"/>
      <c r="FJ93" s="766"/>
      <c r="FK93" s="766"/>
      <c r="FL93" s="766"/>
      <c r="FM93" s="775"/>
      <c r="FN93" s="775"/>
      <c r="FO93" s="775"/>
      <c r="FP93" s="766"/>
      <c r="FQ93" s="766"/>
      <c r="FR93" s="766"/>
      <c r="FS93" s="766"/>
      <c r="FT93" s="766"/>
      <c r="FU93" s="766"/>
      <c r="FV93" s="766"/>
      <c r="FW93" s="766"/>
      <c r="FX93" s="766"/>
      <c r="FY93" s="766"/>
      <c r="FZ93" s="766"/>
      <c r="GA93" s="766"/>
      <c r="GB93" s="766"/>
      <c r="GC93" s="75"/>
      <c r="GD93" s="25"/>
      <c r="GE93" s="766"/>
      <c r="GF93" s="775"/>
      <c r="GG93" s="775"/>
      <c r="GH93" s="766"/>
      <c r="GI93" s="766"/>
      <c r="GJ93" s="766"/>
      <c r="GK93" s="766"/>
      <c r="GL93" s="766"/>
      <c r="GM93" s="766"/>
      <c r="GN93" s="82"/>
      <c r="GO93" s="766"/>
      <c r="GP93" s="766"/>
      <c r="GQ93" s="766"/>
      <c r="GR93" s="766"/>
      <c r="GS93" s="766"/>
      <c r="GT93" s="766"/>
      <c r="GU93" s="766"/>
      <c r="GV93" s="766"/>
      <c r="GW93" s="766"/>
      <c r="GX93" s="766"/>
      <c r="GY93" s="766"/>
      <c r="GZ93" s="766"/>
      <c r="HA93" s="766"/>
      <c r="HB93" s="766"/>
      <c r="HC93" s="766"/>
      <c r="HD93" s="766"/>
      <c r="HE93" s="766"/>
      <c r="HF93" s="766"/>
      <c r="HG93" s="766"/>
      <c r="HH93" s="766"/>
      <c r="HI93" s="766"/>
      <c r="HJ93" s="766"/>
      <c r="HK93" s="766"/>
      <c r="HL93" s="766"/>
      <c r="HM93" s="766"/>
      <c r="HN93" s="766"/>
      <c r="HO93" s="766"/>
      <c r="HP93" s="766"/>
      <c r="HQ93" s="766"/>
      <c r="HR93" s="766"/>
      <c r="HS93" s="766"/>
      <c r="HT93" s="766">
        <v>1</v>
      </c>
      <c r="HU93" s="766"/>
      <c r="HV93" s="766"/>
      <c r="HW93" s="766"/>
      <c r="HX93" s="766"/>
      <c r="HY93" s="766"/>
      <c r="HZ93" s="766"/>
      <c r="IA93" s="766"/>
      <c r="IB93" s="766"/>
      <c r="IC93" s="766"/>
      <c r="ID93" s="766"/>
      <c r="IE93" s="766"/>
      <c r="IF93" s="766"/>
      <c r="IG93" s="766"/>
      <c r="IH93" s="766"/>
      <c r="II93" s="766"/>
      <c r="IJ93" s="766"/>
      <c r="IK93" s="766"/>
      <c r="IL93" s="766"/>
      <c r="IM93" s="766"/>
      <c r="IN93" s="766"/>
      <c r="IO93" s="24"/>
      <c r="IP93" s="766"/>
      <c r="IQ93" s="766"/>
      <c r="IR93" s="766"/>
      <c r="IS93" s="766"/>
      <c r="IT93" s="766"/>
      <c r="IU93" s="766"/>
      <c r="IV93" s="766"/>
      <c r="IW93" s="766"/>
      <c r="IX93" s="766"/>
      <c r="IY93" s="766"/>
      <c r="IZ93" s="766"/>
      <c r="JA93" s="766"/>
      <c r="JB93" s="766"/>
      <c r="JC93" s="766"/>
      <c r="JD93" s="775"/>
      <c r="JE93" s="766"/>
      <c r="JF93" s="766"/>
      <c r="JG93" s="766"/>
      <c r="JH93" s="775"/>
      <c r="JI93" s="775"/>
      <c r="JJ93" s="766"/>
      <c r="JK93" s="766"/>
      <c r="JL93" s="766"/>
      <c r="JM93" s="766"/>
      <c r="JN93" s="766"/>
      <c r="JO93" s="766"/>
      <c r="JP93" s="766"/>
      <c r="JQ93" s="766"/>
      <c r="JR93" s="766"/>
      <c r="JS93" s="766"/>
      <c r="JT93" s="766"/>
      <c r="JU93" s="766"/>
      <c r="JV93" s="766"/>
      <c r="JW93" s="766"/>
      <c r="JX93" s="766"/>
      <c r="JY93" s="766"/>
      <c r="JZ93" s="766"/>
      <c r="KA93" s="766"/>
      <c r="KB93" s="766"/>
      <c r="KC93" s="766"/>
      <c r="KD93" s="766"/>
      <c r="KE93" s="766"/>
      <c r="KF93" s="766"/>
      <c r="KG93" s="766"/>
      <c r="KH93" s="766"/>
      <c r="KI93" s="766"/>
      <c r="KJ93" s="770"/>
      <c r="KK93" s="770"/>
      <c r="KL93" s="770"/>
      <c r="KM93" s="770"/>
      <c r="KN93" s="766"/>
      <c r="KO93" s="766"/>
      <c r="KP93" s="766"/>
      <c r="KQ93" s="766"/>
      <c r="KR93" s="766"/>
      <c r="KS93" s="766"/>
      <c r="KT93" s="766"/>
      <c r="KU93" s="766"/>
      <c r="KV93" s="766"/>
      <c r="KW93" s="766"/>
      <c r="KX93" s="766"/>
      <c r="KY93" s="766"/>
      <c r="KZ93" s="766"/>
      <c r="LA93" s="766"/>
      <c r="LB93" s="766"/>
      <c r="LC93" s="766"/>
      <c r="LD93" s="766"/>
      <c r="LE93" s="766"/>
      <c r="LF93" s="766"/>
      <c r="LG93" s="766"/>
      <c r="LH93" s="766"/>
      <c r="LI93" s="766"/>
      <c r="LJ93" s="766"/>
      <c r="LK93" s="766"/>
      <c r="LL93" s="766"/>
      <c r="LM93" s="766"/>
      <c r="LN93" s="766"/>
      <c r="LO93" s="766"/>
      <c r="LP93" s="766"/>
      <c r="LQ93" s="766"/>
      <c r="LR93" s="766"/>
      <c r="LS93" s="766"/>
      <c r="LT93" s="766"/>
      <c r="LU93" s="766"/>
      <c r="LV93" s="766"/>
      <c r="LW93" s="766"/>
      <c r="LX93" s="769"/>
      <c r="LY93" s="766" t="str">
        <f t="shared" si="18"/>
        <v/>
      </c>
      <c r="LZ93" s="66"/>
      <c r="MA93" s="66"/>
      <c r="MB93" s="66"/>
      <c r="MC93" s="1679">
        <f t="shared" si="19"/>
        <v>0</v>
      </c>
      <c r="MD93" s="66"/>
      <c r="ME93" s="66"/>
      <c r="MF93" s="66"/>
      <c r="MG93" s="1680">
        <f t="shared" si="15"/>
        <v>0</v>
      </c>
      <c r="MH93" s="766"/>
      <c r="MI93" s="775"/>
      <c r="MJ93" s="775"/>
      <c r="MK93" s="775"/>
      <c r="ML93" s="775"/>
      <c r="MM93" s="775"/>
      <c r="MN93" s="775"/>
      <c r="MO93" s="775"/>
      <c r="MP93" s="775"/>
      <c r="MQ93" s="775"/>
      <c r="MR93" s="775"/>
      <c r="MS93" s="775"/>
      <c r="MT93" s="775"/>
      <c r="MU93" s="775"/>
      <c r="MV93" s="775"/>
      <c r="MW93" s="775"/>
      <c r="MX93" s="775"/>
      <c r="MY93" s="1682">
        <f t="shared" si="14"/>
        <v>0</v>
      </c>
      <c r="MZ93" s="766"/>
      <c r="NA93" s="766"/>
      <c r="NB93" s="766"/>
      <c r="NC93" s="766"/>
      <c r="ND93" s="766"/>
      <c r="NE93" s="766"/>
      <c r="NF93" s="766"/>
      <c r="NG93" s="766"/>
      <c r="NH93" s="766"/>
      <c r="NI93" s="766"/>
      <c r="NJ93" s="766"/>
      <c r="NK93" s="766"/>
      <c r="NL93" s="766"/>
      <c r="NM93" s="766"/>
      <c r="NN93" s="766"/>
      <c r="NO93" s="766"/>
      <c r="NP93" s="766"/>
      <c r="NQ93" s="766"/>
      <c r="NR93" s="766"/>
      <c r="NS93" s="766"/>
      <c r="NT93" s="766"/>
      <c r="NU93" s="766"/>
      <c r="NV93" s="766"/>
      <c r="NW93" s="766"/>
      <c r="NX93" s="766"/>
      <c r="NY93" s="766"/>
      <c r="NZ93" s="766"/>
      <c r="OA93" s="766"/>
      <c r="OB93" s="766"/>
      <c r="OC93" s="766"/>
      <c r="OD93" s="766"/>
      <c r="OE93" s="766"/>
      <c r="OF93" s="766" t="s">
        <v>1828</v>
      </c>
      <c r="OG93" s="766"/>
      <c r="OH93" s="766"/>
      <c r="OI93" s="766"/>
      <c r="OJ93" s="766"/>
      <c r="OK93" s="766"/>
      <c r="OL93" s="766"/>
      <c r="OM93" s="766"/>
      <c r="ON93" s="766"/>
      <c r="OO93" s="766"/>
      <c r="OP93" s="766"/>
      <c r="OQ93" s="766"/>
      <c r="OR93" s="766"/>
      <c r="OS93" s="766"/>
      <c r="OT93" s="766"/>
      <c r="OU93" s="766"/>
      <c r="OV93" s="766"/>
      <c r="OW93" s="766"/>
      <c r="OX93" s="766"/>
      <c r="OY93" s="766"/>
      <c r="OZ93" s="766"/>
      <c r="PA93" s="766"/>
      <c r="PB93" s="766"/>
      <c r="PC93" s="766"/>
      <c r="PD93" s="766"/>
      <c r="PE93" s="766"/>
      <c r="PF93" s="766"/>
      <c r="PG93" s="766"/>
      <c r="PH93" s="766"/>
      <c r="PI93" s="766"/>
      <c r="PJ93" s="766"/>
      <c r="PK93" s="766"/>
      <c r="PL93" s="766"/>
      <c r="PM93" s="766"/>
      <c r="PN93" s="766"/>
      <c r="PO93" s="766"/>
      <c r="PP93" s="766"/>
      <c r="PQ93" s="766"/>
      <c r="PR93" s="766"/>
      <c r="PS93" s="766"/>
      <c r="PT93" s="766"/>
      <c r="PU93" s="766"/>
      <c r="PV93" s="766"/>
      <c r="PW93" s="766"/>
      <c r="PX93" s="766"/>
      <c r="PY93" s="766"/>
      <c r="PZ93" s="766"/>
      <c r="QA93" s="766"/>
      <c r="QB93" s="766"/>
      <c r="QC93" s="766"/>
      <c r="QD93" s="766"/>
      <c r="QE93" s="766"/>
      <c r="QF93" s="766"/>
      <c r="QG93" s="766"/>
      <c r="QH93" s="766"/>
      <c r="QI93" s="766"/>
      <c r="QJ93" s="766"/>
      <c r="QK93" s="766"/>
      <c r="QL93" s="766"/>
      <c r="QM93" s="766"/>
      <c r="QN93" s="766"/>
      <c r="QO93" s="766"/>
      <c r="QP93" s="766"/>
      <c r="QQ93" s="766"/>
      <c r="QR93" s="766"/>
      <c r="QS93" s="766"/>
      <c r="QT93" s="766"/>
      <c r="QU93" s="766"/>
      <c r="QV93" s="766"/>
      <c r="QW93" s="766"/>
      <c r="QX93" s="766"/>
      <c r="QY93" s="766"/>
      <c r="QZ93" s="766"/>
      <c r="RA93" s="766"/>
      <c r="RB93" s="770" t="s">
        <v>1207</v>
      </c>
      <c r="RC93" s="766" t="s">
        <v>13112</v>
      </c>
      <c r="RD93" s="766" t="s">
        <v>13113</v>
      </c>
      <c r="RE93" s="766" t="s">
        <v>13100</v>
      </c>
      <c r="RF93" s="777">
        <v>0.5</v>
      </c>
      <c r="RG93" s="766" t="s">
        <v>13114</v>
      </c>
      <c r="RH93" s="775">
        <v>15000</v>
      </c>
      <c r="RI93" s="766" t="s">
        <v>13027</v>
      </c>
      <c r="RJ93" s="766" t="s">
        <v>2152</v>
      </c>
      <c r="RK93" s="766" t="s">
        <v>13024</v>
      </c>
      <c r="RL93" s="1683"/>
      <c r="RM93" s="12"/>
      <c r="RN93" s="1711"/>
      <c r="RO93" s="167" t="s">
        <v>7943</v>
      </c>
      <c r="RP93" s="11"/>
      <c r="RQ93" s="11"/>
      <c r="RR93" s="17"/>
      <c r="RS93" s="766"/>
      <c r="RT93" s="11"/>
      <c r="RU93" s="11"/>
      <c r="RV93" s="766" t="s">
        <v>7419</v>
      </c>
      <c r="RW93" s="11" t="s">
        <v>13115</v>
      </c>
      <c r="RX93" s="11" t="s">
        <v>12322</v>
      </c>
      <c r="RY93" s="11"/>
      <c r="RZ93" s="11" t="s">
        <v>2402</v>
      </c>
      <c r="SA93" s="766"/>
      <c r="SB93" s="11"/>
      <c r="SC93" s="11"/>
    </row>
    <row r="94" spans="1:497" ht="12.75" hidden="1" customHeight="1">
      <c r="A94" s="343" t="s">
        <v>12402</v>
      </c>
      <c r="B94" s="288" t="s">
        <v>12406</v>
      </c>
      <c r="C94" s="167" t="s">
        <v>7943</v>
      </c>
      <c r="D94" s="766" t="s">
        <v>107</v>
      </c>
      <c r="E94" s="766" t="s">
        <v>5416</v>
      </c>
      <c r="F94" s="766" t="s">
        <v>28</v>
      </c>
      <c r="G94" s="766" t="s">
        <v>10</v>
      </c>
      <c r="H94" s="766"/>
      <c r="I94" s="5"/>
      <c r="J94" s="766" t="s">
        <v>107</v>
      </c>
      <c r="K94" s="766"/>
      <c r="L94" s="766"/>
      <c r="M94" s="766"/>
      <c r="N94" s="766"/>
      <c r="O94" s="766"/>
      <c r="P94" s="766"/>
      <c r="Q94" s="1085"/>
      <c r="R94" s="25"/>
      <c r="S94" s="766"/>
      <c r="T94" s="766"/>
      <c r="U94" s="26"/>
      <c r="V94" s="766"/>
      <c r="W94" s="766"/>
      <c r="X94" s="24"/>
      <c r="Y94" s="766"/>
      <c r="Z94" s="766"/>
      <c r="AA94" s="766"/>
      <c r="AB94" s="766"/>
      <c r="AC94" s="766"/>
      <c r="AD94" s="766"/>
      <c r="AE94" s="766"/>
      <c r="AF94" s="766"/>
      <c r="AG94" s="766"/>
      <c r="AH94" s="766"/>
      <c r="AI94" s="766" t="s">
        <v>12756</v>
      </c>
      <c r="AJ94" s="766"/>
      <c r="AK94" s="766" t="s">
        <v>1899</v>
      </c>
      <c r="AL94" s="121"/>
      <c r="AM94" s="773"/>
      <c r="AN94" s="37"/>
      <c r="AO94" s="766"/>
      <c r="AP94" s="766"/>
      <c r="AQ94" s="766"/>
      <c r="AR94" s="766"/>
      <c r="AS94" s="766"/>
      <c r="AT94" s="766"/>
      <c r="AU94" s="766"/>
      <c r="AV94" s="766"/>
      <c r="AW94" s="766"/>
      <c r="AX94" s="13"/>
      <c r="AY94" s="766"/>
      <c r="AZ94" s="766"/>
      <c r="BA94" s="766"/>
      <c r="BB94" s="766"/>
      <c r="BC94" s="766"/>
      <c r="BD94" s="766"/>
      <c r="BE94" s="766"/>
      <c r="BF94" s="775"/>
      <c r="BG94" s="775"/>
      <c r="BH94" s="766"/>
      <c r="BI94" s="766"/>
      <c r="BJ94" s="766"/>
      <c r="BK94" s="766"/>
      <c r="BL94" s="766"/>
      <c r="BM94" s="766"/>
      <c r="BN94" s="766"/>
      <c r="BO94" s="766"/>
      <c r="BP94" s="776"/>
      <c r="BQ94" s="773"/>
      <c r="BR94" s="774"/>
      <c r="BS94" s="766"/>
      <c r="BT94" s="766"/>
      <c r="BU94" s="766"/>
      <c r="BV94" s="766"/>
      <c r="BW94" s="766"/>
      <c r="BX94" s="779"/>
      <c r="BY94" s="766"/>
      <c r="BZ94" s="775"/>
      <c r="CA94" s="766"/>
      <c r="CB94" s="766"/>
      <c r="CC94" s="766"/>
      <c r="CD94" s="766"/>
      <c r="CE94" s="766"/>
      <c r="CF94" s="231"/>
      <c r="CG94" s="231"/>
      <c r="CH94" s="766"/>
      <c r="CI94" s="766"/>
      <c r="CJ94" s="766"/>
      <c r="CK94" s="766"/>
      <c r="CL94" s="766"/>
      <c r="CM94" s="766"/>
      <c r="CN94" s="766"/>
      <c r="CO94" s="766"/>
      <c r="CP94" s="766"/>
      <c r="CQ94" s="766"/>
      <c r="CR94" s="775"/>
      <c r="CS94" s="766"/>
      <c r="CT94" s="766"/>
      <c r="CU94" s="129"/>
      <c r="CV94" s="766"/>
      <c r="CW94" s="766"/>
      <c r="CX94" s="766"/>
      <c r="CY94" s="766"/>
      <c r="CZ94" s="766"/>
      <c r="DA94" s="766"/>
      <c r="DB94" s="766"/>
      <c r="DC94" s="766"/>
      <c r="DD94" s="766"/>
      <c r="DE94" s="766"/>
      <c r="DF94" s="766"/>
      <c r="DG94" s="766"/>
      <c r="DH94" s="766"/>
      <c r="DI94" s="766"/>
      <c r="DJ94" s="766"/>
      <c r="DK94" s="766"/>
      <c r="DL94" s="766"/>
      <c r="DM94" s="766"/>
      <c r="DN94" s="766"/>
      <c r="DO94" s="766"/>
      <c r="DP94" s="766"/>
      <c r="DQ94" s="766"/>
      <c r="DR94" s="766"/>
      <c r="DS94" s="59"/>
      <c r="DT94" s="766"/>
      <c r="DU94" s="766"/>
      <c r="DV94" s="766"/>
      <c r="DW94" s="66"/>
      <c r="DX94" s="66"/>
      <c r="DY94" s="766"/>
      <c r="DZ94" s="766"/>
      <c r="EA94" s="766"/>
      <c r="EB94" s="766"/>
      <c r="EC94" s="766"/>
      <c r="ED94" s="766"/>
      <c r="EE94" s="766"/>
      <c r="EF94" s="766"/>
      <c r="EG94" s="766"/>
      <c r="EH94" s="766"/>
      <c r="EI94" s="766"/>
      <c r="EJ94" s="766"/>
      <c r="EK94" s="766"/>
      <c r="EL94" s="766"/>
      <c r="EM94" s="766"/>
      <c r="EN94" s="766"/>
      <c r="EO94" s="766"/>
      <c r="EP94" s="766"/>
      <c r="EQ94" s="766"/>
      <c r="ER94" s="766"/>
      <c r="ES94" s="766"/>
      <c r="ET94" s="766"/>
      <c r="EU94" s="766"/>
      <c r="EV94" s="766"/>
      <c r="EW94" s="766"/>
      <c r="EX94" s="766"/>
      <c r="EY94" s="766"/>
      <c r="EZ94" s="766"/>
      <c r="FA94" s="766"/>
      <c r="FB94" s="766"/>
      <c r="FC94" s="766"/>
      <c r="FD94" s="775"/>
      <c r="FE94" s="766"/>
      <c r="FF94" s="766"/>
      <c r="FG94" s="766"/>
      <c r="FH94" s="766"/>
      <c r="FI94" s="766"/>
      <c r="FJ94" s="766"/>
      <c r="FK94" s="766"/>
      <c r="FL94" s="766"/>
      <c r="FM94" s="775"/>
      <c r="FN94" s="775"/>
      <c r="FO94" s="775"/>
      <c r="FP94" s="766"/>
      <c r="FQ94" s="766"/>
      <c r="FR94" s="766"/>
      <c r="FS94" s="766"/>
      <c r="FT94" s="766"/>
      <c r="FU94" s="766"/>
      <c r="FV94" s="766"/>
      <c r="FW94" s="766"/>
      <c r="FX94" s="766"/>
      <c r="FY94" s="766"/>
      <c r="FZ94" s="766"/>
      <c r="GA94" s="766"/>
      <c r="GB94" s="766"/>
      <c r="GC94" s="75"/>
      <c r="GD94" s="25"/>
      <c r="GE94" s="766"/>
      <c r="GF94" s="775"/>
      <c r="GG94" s="775"/>
      <c r="GH94" s="766"/>
      <c r="GI94" s="766"/>
      <c r="GJ94" s="766"/>
      <c r="GK94" s="766"/>
      <c r="GL94" s="766"/>
      <c r="GM94" s="766"/>
      <c r="GN94" s="82"/>
      <c r="GO94" s="766"/>
      <c r="GP94" s="766"/>
      <c r="GQ94" s="766"/>
      <c r="GR94" s="766"/>
      <c r="GS94" s="766"/>
      <c r="GT94" s="766"/>
      <c r="GU94" s="766"/>
      <c r="GV94" s="766"/>
      <c r="GW94" s="766"/>
      <c r="GX94" s="766"/>
      <c r="GY94" s="766"/>
      <c r="GZ94" s="766"/>
      <c r="HA94" s="766"/>
      <c r="HB94" s="766"/>
      <c r="HC94" s="766"/>
      <c r="HD94" s="766"/>
      <c r="HE94" s="766"/>
      <c r="HF94" s="766"/>
      <c r="HG94" s="766"/>
      <c r="HH94" s="766"/>
      <c r="HI94" s="766"/>
      <c r="HJ94" s="766"/>
      <c r="HK94" s="766"/>
      <c r="HL94" s="766"/>
      <c r="HM94" s="766"/>
      <c r="HN94" s="766"/>
      <c r="HO94" s="766"/>
      <c r="HP94" s="766"/>
      <c r="HQ94" s="766"/>
      <c r="HR94" s="766"/>
      <c r="HS94" s="766"/>
      <c r="HT94" s="766"/>
      <c r="HU94" s="766"/>
      <c r="HV94" s="766"/>
      <c r="HW94" s="766"/>
      <c r="HX94" s="766"/>
      <c r="HY94" s="766"/>
      <c r="HZ94" s="766"/>
      <c r="IA94" s="766"/>
      <c r="IB94" s="766"/>
      <c r="IC94" s="766"/>
      <c r="ID94" s="766"/>
      <c r="IE94" s="766"/>
      <c r="IF94" s="766"/>
      <c r="IG94" s="766"/>
      <c r="IH94" s="766"/>
      <c r="II94" s="766"/>
      <c r="IJ94" s="766"/>
      <c r="IK94" s="766"/>
      <c r="IL94" s="766"/>
      <c r="IM94" s="766"/>
      <c r="IN94" s="766"/>
      <c r="IO94" s="24"/>
      <c r="IP94" s="766"/>
      <c r="IQ94" s="766"/>
      <c r="IR94" s="766"/>
      <c r="IS94" s="766"/>
      <c r="IT94" s="766"/>
      <c r="IU94" s="766"/>
      <c r="IV94" s="766"/>
      <c r="IW94" s="766"/>
      <c r="IX94" s="766"/>
      <c r="IY94" s="766"/>
      <c r="IZ94" s="766"/>
      <c r="JA94" s="766"/>
      <c r="JB94" s="766"/>
      <c r="JC94" s="766"/>
      <c r="JD94" s="775"/>
      <c r="JE94" s="766"/>
      <c r="JF94" s="766"/>
      <c r="JG94" s="766"/>
      <c r="JH94" s="775"/>
      <c r="JI94" s="775"/>
      <c r="JJ94" s="766"/>
      <c r="JK94" s="766"/>
      <c r="JL94" s="766"/>
      <c r="JM94" s="766"/>
      <c r="JN94" s="766"/>
      <c r="JO94" s="766"/>
      <c r="JP94" s="766"/>
      <c r="JQ94" s="766"/>
      <c r="JR94" s="766"/>
      <c r="JS94" s="766"/>
      <c r="JT94" s="766"/>
      <c r="JU94" s="766"/>
      <c r="JV94" s="766"/>
      <c r="JW94" s="766"/>
      <c r="JX94" s="766"/>
      <c r="JY94" s="766"/>
      <c r="JZ94" s="766"/>
      <c r="KA94" s="766"/>
      <c r="KB94" s="766"/>
      <c r="KC94" s="766"/>
      <c r="KD94" s="766"/>
      <c r="KE94" s="766"/>
      <c r="KF94" s="766"/>
      <c r="KG94" s="766"/>
      <c r="KH94" s="766"/>
      <c r="KI94" s="766"/>
      <c r="KJ94" s="770"/>
      <c r="KK94" s="770"/>
      <c r="KL94" s="770"/>
      <c r="KM94" s="770"/>
      <c r="KN94" s="766"/>
      <c r="KO94" s="766"/>
      <c r="KP94" s="766"/>
      <c r="KQ94" s="766"/>
      <c r="KR94" s="766"/>
      <c r="KS94" s="766"/>
      <c r="KT94" s="766"/>
      <c r="KU94" s="766"/>
      <c r="KV94" s="766"/>
      <c r="KW94" s="766"/>
      <c r="KX94" s="766"/>
      <c r="KY94" s="766"/>
      <c r="KZ94" s="766"/>
      <c r="LA94" s="766"/>
      <c r="LB94" s="766"/>
      <c r="LC94" s="766"/>
      <c r="LD94" s="766"/>
      <c r="LE94" s="766"/>
      <c r="LF94" s="766"/>
      <c r="LG94" s="766"/>
      <c r="LH94" s="766"/>
      <c r="LI94" s="766"/>
      <c r="LJ94" s="766"/>
      <c r="LK94" s="766"/>
      <c r="LL94" s="766"/>
      <c r="LM94" s="766"/>
      <c r="LN94" s="766"/>
      <c r="LO94" s="766"/>
      <c r="LP94" s="766"/>
      <c r="LQ94" s="766"/>
      <c r="LR94" s="766"/>
      <c r="LS94" s="766"/>
      <c r="LT94" s="766"/>
      <c r="LU94" s="766"/>
      <c r="LV94" s="766"/>
      <c r="LW94" s="766"/>
      <c r="LX94" s="769"/>
      <c r="LY94" s="766" t="str">
        <f t="shared" si="18"/>
        <v/>
      </c>
      <c r="LZ94" s="66"/>
      <c r="MA94" s="66"/>
      <c r="MB94" s="66"/>
      <c r="MC94" s="1679">
        <f t="shared" si="19"/>
        <v>0</v>
      </c>
      <c r="MD94" s="66"/>
      <c r="ME94" s="66"/>
      <c r="MF94" s="66"/>
      <c r="MG94" s="1680">
        <f t="shared" si="15"/>
        <v>0</v>
      </c>
      <c r="MH94" s="766"/>
      <c r="MI94" s="775"/>
      <c r="MJ94" s="775"/>
      <c r="MK94" s="775"/>
      <c r="ML94" s="775"/>
      <c r="MM94" s="775"/>
      <c r="MN94" s="775"/>
      <c r="MO94" s="775"/>
      <c r="MP94" s="775"/>
      <c r="MQ94" s="775"/>
      <c r="MR94" s="775"/>
      <c r="MS94" s="775"/>
      <c r="MT94" s="775"/>
      <c r="MU94" s="775"/>
      <c r="MV94" s="775"/>
      <c r="MW94" s="775"/>
      <c r="MX94" s="775"/>
      <c r="MY94" s="1682">
        <f t="shared" si="14"/>
        <v>0</v>
      </c>
      <c r="MZ94" s="766"/>
      <c r="NA94" s="766"/>
      <c r="NB94" s="766"/>
      <c r="NC94" s="766"/>
      <c r="ND94" s="766"/>
      <c r="NE94" s="766"/>
      <c r="NF94" s="766"/>
      <c r="NG94" s="766"/>
      <c r="NH94" s="766"/>
      <c r="NI94" s="766"/>
      <c r="NJ94" s="766"/>
      <c r="NK94" s="766"/>
      <c r="NL94" s="766"/>
      <c r="NM94" s="766"/>
      <c r="NN94" s="766"/>
      <c r="NO94" s="766"/>
      <c r="NP94" s="766"/>
      <c r="NQ94" s="766"/>
      <c r="NR94" s="766"/>
      <c r="NS94" s="766"/>
      <c r="NT94" s="766"/>
      <c r="NU94" s="766"/>
      <c r="NV94" s="766"/>
      <c r="NW94" s="766"/>
      <c r="NX94" s="766"/>
      <c r="NY94" s="766"/>
      <c r="NZ94" s="766"/>
      <c r="OA94" s="766"/>
      <c r="OB94" s="766"/>
      <c r="OC94" s="766"/>
      <c r="OD94" s="766"/>
      <c r="OE94" s="766"/>
      <c r="OF94" s="766"/>
      <c r="OG94" s="766"/>
      <c r="OH94" s="766"/>
      <c r="OI94" s="766"/>
      <c r="OJ94" s="766"/>
      <c r="OK94" s="766"/>
      <c r="OL94" s="766"/>
      <c r="OM94" s="766"/>
      <c r="ON94" s="766"/>
      <c r="OO94" s="766"/>
      <c r="OP94" s="766"/>
      <c r="OQ94" s="766"/>
      <c r="OR94" s="766"/>
      <c r="OS94" s="766"/>
      <c r="OT94" s="766"/>
      <c r="OU94" s="766"/>
      <c r="OV94" s="766"/>
      <c r="OW94" s="766"/>
      <c r="OX94" s="766"/>
      <c r="OY94" s="766"/>
      <c r="OZ94" s="766"/>
      <c r="PA94" s="766"/>
      <c r="PB94" s="766"/>
      <c r="PC94" s="766"/>
      <c r="PD94" s="766"/>
      <c r="PE94" s="766"/>
      <c r="PF94" s="766"/>
      <c r="PG94" s="766"/>
      <c r="PH94" s="766"/>
      <c r="PI94" s="766"/>
      <c r="PJ94" s="766"/>
      <c r="PK94" s="766"/>
      <c r="PL94" s="766"/>
      <c r="PM94" s="766"/>
      <c r="PN94" s="766"/>
      <c r="PO94" s="766"/>
      <c r="PP94" s="766"/>
      <c r="PQ94" s="766"/>
      <c r="PR94" s="766"/>
      <c r="PS94" s="766"/>
      <c r="PT94" s="766"/>
      <c r="PU94" s="766"/>
      <c r="PV94" s="766"/>
      <c r="PW94" s="766"/>
      <c r="PX94" s="766"/>
      <c r="PY94" s="766"/>
      <c r="PZ94" s="766"/>
      <c r="QA94" s="766"/>
      <c r="QB94" s="766"/>
      <c r="QC94" s="766"/>
      <c r="QD94" s="766"/>
      <c r="QE94" s="766"/>
      <c r="QF94" s="766"/>
      <c r="QG94" s="766"/>
      <c r="QH94" s="766"/>
      <c r="QI94" s="766"/>
      <c r="QJ94" s="766"/>
      <c r="QK94" s="766"/>
      <c r="QL94" s="766"/>
      <c r="QM94" s="766"/>
      <c r="QN94" s="766"/>
      <c r="QO94" s="766"/>
      <c r="QP94" s="766"/>
      <c r="QQ94" s="766"/>
      <c r="QR94" s="766"/>
      <c r="QS94" s="766"/>
      <c r="QT94" s="766"/>
      <c r="QU94" s="766"/>
      <c r="QV94" s="766"/>
      <c r="QW94" s="766"/>
      <c r="QX94" s="766"/>
      <c r="QY94" s="766"/>
      <c r="QZ94" s="766"/>
      <c r="RA94" s="766"/>
      <c r="RB94" s="770"/>
      <c r="RC94" s="766"/>
      <c r="RD94" s="766"/>
      <c r="RE94" s="766"/>
      <c r="RF94" s="777"/>
      <c r="RG94" s="766"/>
      <c r="RH94" s="775"/>
      <c r="RI94" s="766"/>
      <c r="RJ94" s="766"/>
      <c r="RK94" s="766"/>
      <c r="RL94" s="1683"/>
      <c r="RM94" s="12"/>
      <c r="RN94" s="1711"/>
      <c r="RO94" s="167" t="s">
        <v>7943</v>
      </c>
      <c r="RP94" s="11"/>
      <c r="RQ94" s="11"/>
      <c r="RR94" s="17"/>
      <c r="RS94" s="766"/>
      <c r="RT94" s="11"/>
      <c r="RU94" s="11"/>
      <c r="RV94" s="766" t="s">
        <v>7419</v>
      </c>
      <c r="RW94" s="11" t="s">
        <v>12329</v>
      </c>
      <c r="RX94" s="11" t="s">
        <v>12322</v>
      </c>
      <c r="RY94" s="11"/>
      <c r="RZ94" s="11" t="s">
        <v>2402</v>
      </c>
      <c r="SA94" s="766"/>
      <c r="SB94" s="11"/>
      <c r="SC94" s="11"/>
    </row>
    <row r="95" spans="1:497" ht="12.75" hidden="1" customHeight="1">
      <c r="A95" s="343" t="s">
        <v>7419</v>
      </c>
      <c r="B95" s="288" t="s">
        <v>12403</v>
      </c>
      <c r="C95" s="167" t="s">
        <v>5485</v>
      </c>
      <c r="D95" s="766"/>
      <c r="E95" s="766" t="s">
        <v>12530</v>
      </c>
      <c r="F95" s="766"/>
      <c r="G95" s="766"/>
      <c r="H95" s="766"/>
      <c r="I95" s="5"/>
      <c r="J95" s="766"/>
      <c r="K95" s="766"/>
      <c r="L95" s="766"/>
      <c r="M95" s="766"/>
      <c r="N95" s="766"/>
      <c r="O95" s="766"/>
      <c r="P95" s="766"/>
      <c r="Q95" s="1085"/>
      <c r="R95" s="25"/>
      <c r="S95" s="766"/>
      <c r="T95" s="766"/>
      <c r="U95" s="26"/>
      <c r="V95" s="766"/>
      <c r="W95" s="766"/>
      <c r="X95" s="24"/>
      <c r="Y95" s="766"/>
      <c r="Z95" s="766"/>
      <c r="AA95" s="766"/>
      <c r="AB95" s="766"/>
      <c r="AC95" s="766"/>
      <c r="AD95" s="766"/>
      <c r="AE95" s="766"/>
      <c r="AF95" s="766"/>
      <c r="AG95" s="766" t="s">
        <v>1095</v>
      </c>
      <c r="AH95" s="766" t="s">
        <v>12552</v>
      </c>
      <c r="AI95" s="766" t="s">
        <v>12757</v>
      </c>
      <c r="AJ95" s="766"/>
      <c r="AK95" s="766" t="s">
        <v>1899</v>
      </c>
      <c r="AL95" s="121">
        <v>38000</v>
      </c>
      <c r="AM95" s="773"/>
      <c r="AN95" s="37"/>
      <c r="AO95" s="766"/>
      <c r="AP95" s="766"/>
      <c r="AQ95" s="766"/>
      <c r="AR95" s="766"/>
      <c r="AS95" s="766"/>
      <c r="AT95" s="766"/>
      <c r="AU95" s="766"/>
      <c r="AV95" s="766"/>
      <c r="AW95" s="766"/>
      <c r="AX95" s="13"/>
      <c r="AY95" s="766"/>
      <c r="AZ95" s="766"/>
      <c r="BA95" s="766"/>
      <c r="BB95" s="766"/>
      <c r="BC95" s="766"/>
      <c r="BD95" s="766"/>
      <c r="BE95" s="766"/>
      <c r="BF95" s="775"/>
      <c r="BG95" s="775"/>
      <c r="BH95" s="766"/>
      <c r="BI95" s="766"/>
      <c r="BJ95" s="766"/>
      <c r="BK95" s="766"/>
      <c r="BL95" s="766"/>
      <c r="BM95" s="766"/>
      <c r="BN95" s="766"/>
      <c r="BO95" s="766"/>
      <c r="BP95" s="776"/>
      <c r="BQ95" s="773"/>
      <c r="BR95" s="774"/>
      <c r="BS95" s="766"/>
      <c r="BT95" s="766"/>
      <c r="BU95" s="766"/>
      <c r="BV95" s="766"/>
      <c r="BW95" s="766"/>
      <c r="BX95" s="779"/>
      <c r="BY95" s="766"/>
      <c r="BZ95" s="775"/>
      <c r="CA95" s="766"/>
      <c r="CB95" s="766"/>
      <c r="CC95" s="766"/>
      <c r="CD95" s="766"/>
      <c r="CE95" s="766"/>
      <c r="CF95" s="231"/>
      <c r="CG95" s="231"/>
      <c r="CH95" s="766"/>
      <c r="CI95" s="766"/>
      <c r="CJ95" s="766"/>
      <c r="CK95" s="766"/>
      <c r="CL95" s="766"/>
      <c r="CM95" s="766"/>
      <c r="CN95" s="766"/>
      <c r="CO95" s="766"/>
      <c r="CP95" s="766"/>
      <c r="CQ95" s="766"/>
      <c r="CR95" s="775"/>
      <c r="CS95" s="766"/>
      <c r="CT95" s="766"/>
      <c r="CU95" s="129"/>
      <c r="CV95" s="766"/>
      <c r="CW95" s="766"/>
      <c r="CX95" s="766"/>
      <c r="CY95" s="766"/>
      <c r="CZ95" s="766"/>
      <c r="DA95" s="766"/>
      <c r="DB95" s="766"/>
      <c r="DC95" s="766"/>
      <c r="DD95" s="766"/>
      <c r="DE95" s="766"/>
      <c r="DF95" s="766"/>
      <c r="DG95" s="766"/>
      <c r="DH95" s="766"/>
      <c r="DI95" s="766"/>
      <c r="DJ95" s="766"/>
      <c r="DK95" s="766"/>
      <c r="DL95" s="766"/>
      <c r="DM95" s="766"/>
      <c r="DN95" s="766"/>
      <c r="DO95" s="766"/>
      <c r="DP95" s="766"/>
      <c r="DQ95" s="766"/>
      <c r="DR95" s="766"/>
      <c r="DS95" s="59"/>
      <c r="DT95" s="766"/>
      <c r="DU95" s="766"/>
      <c r="DV95" s="766"/>
      <c r="DW95" s="66"/>
      <c r="DX95" s="66"/>
      <c r="DY95" s="766"/>
      <c r="DZ95" s="766"/>
      <c r="EA95" s="766"/>
      <c r="EB95" s="766"/>
      <c r="EC95" s="766"/>
      <c r="ED95" s="766"/>
      <c r="EE95" s="766"/>
      <c r="EF95" s="766"/>
      <c r="EG95" s="766"/>
      <c r="EH95" s="766"/>
      <c r="EI95" s="766"/>
      <c r="EJ95" s="766"/>
      <c r="EK95" s="766"/>
      <c r="EL95" s="766"/>
      <c r="EM95" s="766"/>
      <c r="EN95" s="766"/>
      <c r="EO95" s="766"/>
      <c r="EP95" s="766"/>
      <c r="EQ95" s="766"/>
      <c r="ER95" s="766"/>
      <c r="ES95" s="766"/>
      <c r="ET95" s="766"/>
      <c r="EU95" s="766"/>
      <c r="EV95" s="766"/>
      <c r="EW95" s="766"/>
      <c r="EX95" s="766"/>
      <c r="EY95" s="766"/>
      <c r="EZ95" s="766"/>
      <c r="FA95" s="766"/>
      <c r="FB95" s="766"/>
      <c r="FC95" s="766"/>
      <c r="FD95" s="775"/>
      <c r="FE95" s="766"/>
      <c r="FF95" s="766"/>
      <c r="FG95" s="766"/>
      <c r="FH95" s="766"/>
      <c r="FI95" s="766"/>
      <c r="FJ95" s="766"/>
      <c r="FK95" s="766"/>
      <c r="FL95" s="766"/>
      <c r="FM95" s="775"/>
      <c r="FN95" s="775"/>
      <c r="FO95" s="775"/>
      <c r="FP95" s="766"/>
      <c r="FQ95" s="766"/>
      <c r="FR95" s="766"/>
      <c r="FS95" s="766"/>
      <c r="FT95" s="766"/>
      <c r="FU95" s="766"/>
      <c r="FV95" s="766"/>
      <c r="FW95" s="766"/>
      <c r="FX95" s="766"/>
      <c r="FY95" s="766"/>
      <c r="FZ95" s="766"/>
      <c r="GA95" s="766"/>
      <c r="GB95" s="766"/>
      <c r="GC95" s="75"/>
      <c r="GD95" s="25"/>
      <c r="GE95" s="766"/>
      <c r="GF95" s="775"/>
      <c r="GG95" s="775"/>
      <c r="GH95" s="766"/>
      <c r="GI95" s="766"/>
      <c r="GJ95" s="766"/>
      <c r="GK95" s="766"/>
      <c r="GL95" s="766"/>
      <c r="GM95" s="766"/>
      <c r="GN95" s="82"/>
      <c r="GO95" s="766"/>
      <c r="GP95" s="766"/>
      <c r="GQ95" s="766"/>
      <c r="GR95" s="766"/>
      <c r="GS95" s="766"/>
      <c r="GT95" s="766"/>
      <c r="GU95" s="766"/>
      <c r="GV95" s="766"/>
      <c r="GW95" s="766"/>
      <c r="GX95" s="766"/>
      <c r="GY95" s="766"/>
      <c r="GZ95" s="766"/>
      <c r="HA95" s="766"/>
      <c r="HB95" s="766"/>
      <c r="HC95" s="766"/>
      <c r="HD95" s="766"/>
      <c r="HE95" s="766"/>
      <c r="HF95" s="766"/>
      <c r="HG95" s="766"/>
      <c r="HH95" s="766"/>
      <c r="HI95" s="766"/>
      <c r="HJ95" s="766"/>
      <c r="HK95" s="766"/>
      <c r="HL95" s="766"/>
      <c r="HM95" s="766"/>
      <c r="HN95" s="766"/>
      <c r="HO95" s="766"/>
      <c r="HP95" s="766"/>
      <c r="HQ95" s="766"/>
      <c r="HR95" s="766"/>
      <c r="HS95" s="766"/>
      <c r="HT95" s="766"/>
      <c r="HU95" s="766"/>
      <c r="HV95" s="766"/>
      <c r="HW95" s="766"/>
      <c r="HX95" s="766"/>
      <c r="HY95" s="766"/>
      <c r="HZ95" s="766"/>
      <c r="IA95" s="766"/>
      <c r="IB95" s="766"/>
      <c r="IC95" s="766"/>
      <c r="ID95" s="766"/>
      <c r="IE95" s="766"/>
      <c r="IF95" s="766"/>
      <c r="IG95" s="766"/>
      <c r="IH95" s="766"/>
      <c r="II95" s="766"/>
      <c r="IJ95" s="766"/>
      <c r="IK95" s="766"/>
      <c r="IL95" s="766"/>
      <c r="IM95" s="766"/>
      <c r="IN95" s="766"/>
      <c r="IO95" s="24"/>
      <c r="IP95" s="766"/>
      <c r="IQ95" s="766"/>
      <c r="IR95" s="766"/>
      <c r="IS95" s="766"/>
      <c r="IT95" s="766"/>
      <c r="IU95" s="766"/>
      <c r="IV95" s="766"/>
      <c r="IW95" s="766"/>
      <c r="IX95" s="766"/>
      <c r="IY95" s="766"/>
      <c r="IZ95" s="766"/>
      <c r="JA95" s="766"/>
      <c r="JB95" s="766"/>
      <c r="JC95" s="766"/>
      <c r="JD95" s="775"/>
      <c r="JE95" s="766"/>
      <c r="JF95" s="766"/>
      <c r="JG95" s="766"/>
      <c r="JH95" s="775"/>
      <c r="JI95" s="775"/>
      <c r="JJ95" s="766"/>
      <c r="JK95" s="766"/>
      <c r="JL95" s="766"/>
      <c r="JM95" s="766"/>
      <c r="JN95" s="766"/>
      <c r="JO95" s="766"/>
      <c r="JP95" s="766"/>
      <c r="JQ95" s="766"/>
      <c r="JR95" s="766"/>
      <c r="JS95" s="766"/>
      <c r="JT95" s="766"/>
      <c r="JU95" s="766"/>
      <c r="JV95" s="766"/>
      <c r="JW95" s="766"/>
      <c r="JX95" s="766"/>
      <c r="JY95" s="766"/>
      <c r="JZ95" s="766"/>
      <c r="KA95" s="766"/>
      <c r="KB95" s="766"/>
      <c r="KC95" s="766"/>
      <c r="KD95" s="766"/>
      <c r="KE95" s="766"/>
      <c r="KF95" s="766"/>
      <c r="KG95" s="766"/>
      <c r="KH95" s="766"/>
      <c r="KI95" s="766"/>
      <c r="KJ95" s="770"/>
      <c r="KK95" s="770"/>
      <c r="KL95" s="770"/>
      <c r="KM95" s="770"/>
      <c r="KN95" s="766"/>
      <c r="KO95" s="766"/>
      <c r="KP95" s="766"/>
      <c r="KQ95" s="766"/>
      <c r="KR95" s="766"/>
      <c r="KS95" s="766"/>
      <c r="KT95" s="766"/>
      <c r="KU95" s="766"/>
      <c r="KV95" s="766"/>
      <c r="KW95" s="766"/>
      <c r="KX95" s="766"/>
      <c r="KY95" s="766"/>
      <c r="KZ95" s="766"/>
      <c r="LA95" s="766"/>
      <c r="LB95" s="766"/>
      <c r="LC95" s="766"/>
      <c r="LD95" s="766"/>
      <c r="LE95" s="766"/>
      <c r="LF95" s="766"/>
      <c r="LG95" s="766"/>
      <c r="LH95" s="766"/>
      <c r="LI95" s="766"/>
      <c r="LJ95" s="766"/>
      <c r="LK95" s="766"/>
      <c r="LL95" s="766"/>
      <c r="LM95" s="766"/>
      <c r="LN95" s="766"/>
      <c r="LO95" s="766"/>
      <c r="LP95" s="766"/>
      <c r="LQ95" s="766"/>
      <c r="LR95" s="766"/>
      <c r="LS95" s="766"/>
      <c r="LT95" s="766"/>
      <c r="LU95" s="766"/>
      <c r="LV95" s="766"/>
      <c r="LW95" s="766"/>
      <c r="LX95" s="769"/>
      <c r="LY95" s="766" t="str">
        <f t="shared" si="18"/>
        <v/>
      </c>
      <c r="LZ95" s="66"/>
      <c r="MA95" s="66"/>
      <c r="MB95" s="66"/>
      <c r="MC95" s="1679">
        <f t="shared" si="19"/>
        <v>0</v>
      </c>
      <c r="MD95" s="66"/>
      <c r="ME95" s="66"/>
      <c r="MF95" s="66"/>
      <c r="MG95" s="1680">
        <f t="shared" si="15"/>
        <v>0</v>
      </c>
      <c r="MH95" s="766"/>
      <c r="MI95" s="775"/>
      <c r="MJ95" s="775"/>
      <c r="MK95" s="775"/>
      <c r="ML95" s="775"/>
      <c r="MM95" s="775"/>
      <c r="MN95" s="775"/>
      <c r="MO95" s="775"/>
      <c r="MP95" s="775"/>
      <c r="MQ95" s="775"/>
      <c r="MR95" s="775"/>
      <c r="MS95" s="775"/>
      <c r="MT95" s="775"/>
      <c r="MU95" s="775"/>
      <c r="MV95" s="775"/>
      <c r="MW95" s="775"/>
      <c r="MX95" s="775"/>
      <c r="MY95" s="1682">
        <f t="shared" si="14"/>
        <v>0</v>
      </c>
      <c r="MZ95" s="766"/>
      <c r="NA95" s="766"/>
      <c r="NB95" s="766"/>
      <c r="NC95" s="766"/>
      <c r="ND95" s="766"/>
      <c r="NE95" s="766"/>
      <c r="NF95" s="766"/>
      <c r="NG95" s="766"/>
      <c r="NH95" s="766"/>
      <c r="NI95" s="766"/>
      <c r="NJ95" s="766"/>
      <c r="NK95" s="766"/>
      <c r="NL95" s="766"/>
      <c r="NM95" s="766"/>
      <c r="NN95" s="766"/>
      <c r="NO95" s="766"/>
      <c r="NP95" s="766"/>
      <c r="NQ95" s="766"/>
      <c r="NR95" s="766"/>
      <c r="NS95" s="766"/>
      <c r="NT95" s="766"/>
      <c r="NU95" s="766"/>
      <c r="NV95" s="766"/>
      <c r="NW95" s="766"/>
      <c r="NX95" s="766"/>
      <c r="NY95" s="766"/>
      <c r="NZ95" s="766"/>
      <c r="OA95" s="766"/>
      <c r="OB95" s="766"/>
      <c r="OC95" s="766"/>
      <c r="OD95" s="766"/>
      <c r="OE95" s="766"/>
      <c r="OF95" s="766"/>
      <c r="OG95" s="766"/>
      <c r="OH95" s="766"/>
      <c r="OI95" s="766"/>
      <c r="OJ95" s="766"/>
      <c r="OK95" s="766"/>
      <c r="OL95" s="766"/>
      <c r="OM95" s="766"/>
      <c r="ON95" s="766"/>
      <c r="OO95" s="766"/>
      <c r="OP95" s="766"/>
      <c r="OQ95" s="766"/>
      <c r="OR95" s="766"/>
      <c r="OS95" s="766"/>
      <c r="OT95" s="766"/>
      <c r="OU95" s="766"/>
      <c r="OV95" s="766"/>
      <c r="OW95" s="766"/>
      <c r="OX95" s="766"/>
      <c r="OY95" s="766"/>
      <c r="OZ95" s="766"/>
      <c r="PA95" s="766"/>
      <c r="PB95" s="766"/>
      <c r="PC95" s="766"/>
      <c r="PD95" s="766"/>
      <c r="PE95" s="766"/>
      <c r="PF95" s="766"/>
      <c r="PG95" s="766"/>
      <c r="PH95" s="766"/>
      <c r="PI95" s="766"/>
      <c r="PJ95" s="766"/>
      <c r="PK95" s="766"/>
      <c r="PL95" s="766"/>
      <c r="PM95" s="766"/>
      <c r="PN95" s="766"/>
      <c r="PO95" s="766"/>
      <c r="PP95" s="766"/>
      <c r="PQ95" s="766"/>
      <c r="PR95" s="766"/>
      <c r="PS95" s="766"/>
      <c r="PT95" s="766"/>
      <c r="PU95" s="766"/>
      <c r="PV95" s="766"/>
      <c r="PW95" s="766"/>
      <c r="PX95" s="766"/>
      <c r="PY95" s="766"/>
      <c r="PZ95" s="766"/>
      <c r="QA95" s="766"/>
      <c r="QB95" s="766"/>
      <c r="QC95" s="766"/>
      <c r="QD95" s="766"/>
      <c r="QE95" s="766"/>
      <c r="QF95" s="766"/>
      <c r="QG95" s="766"/>
      <c r="QH95" s="766"/>
      <c r="QI95" s="766"/>
      <c r="QJ95" s="766"/>
      <c r="QK95" s="766"/>
      <c r="QL95" s="766"/>
      <c r="QM95" s="766"/>
      <c r="QN95" s="766"/>
      <c r="QO95" s="766"/>
      <c r="QP95" s="766"/>
      <c r="QQ95" s="766"/>
      <c r="QR95" s="766"/>
      <c r="QS95" s="766"/>
      <c r="QT95" s="766"/>
      <c r="QU95" s="766"/>
      <c r="QV95" s="766"/>
      <c r="QW95" s="766"/>
      <c r="QX95" s="766"/>
      <c r="QY95" s="766"/>
      <c r="QZ95" s="766"/>
      <c r="RA95" s="766"/>
      <c r="RB95" s="770"/>
      <c r="RC95" s="766"/>
      <c r="RD95" s="766"/>
      <c r="RE95" s="766"/>
      <c r="RF95" s="777"/>
      <c r="RG95" s="766"/>
      <c r="RH95" s="775"/>
      <c r="RI95" s="766"/>
      <c r="RJ95" s="766"/>
      <c r="RK95" s="766"/>
      <c r="RL95" s="1683"/>
      <c r="RM95" s="12"/>
      <c r="RN95" s="1711"/>
      <c r="RO95" s="167" t="s">
        <v>5485</v>
      </c>
      <c r="RP95" s="11"/>
      <c r="RQ95" s="11"/>
      <c r="RR95" s="17"/>
      <c r="RS95" s="766"/>
      <c r="RT95" s="11"/>
      <c r="RU95" s="11"/>
      <c r="RV95" s="766" t="s">
        <v>7419</v>
      </c>
      <c r="RW95" s="11" t="s">
        <v>12405</v>
      </c>
      <c r="RX95" s="11" t="s">
        <v>7943</v>
      </c>
      <c r="RY95" s="11"/>
      <c r="RZ95" s="11"/>
      <c r="SA95" s="766"/>
      <c r="SB95" s="11"/>
      <c r="SC95" s="11"/>
    </row>
    <row r="96" spans="1:497" ht="12.75" hidden="1" customHeight="1">
      <c r="A96" s="343" t="s">
        <v>7419</v>
      </c>
      <c r="B96" s="288" t="s">
        <v>12403</v>
      </c>
      <c r="C96" s="167" t="s">
        <v>5486</v>
      </c>
      <c r="D96" s="766"/>
      <c r="E96" s="766" t="s">
        <v>12530</v>
      </c>
      <c r="F96" s="766"/>
      <c r="G96" s="766"/>
      <c r="H96" s="766"/>
      <c r="I96" s="5"/>
      <c r="J96" s="766"/>
      <c r="K96" s="766"/>
      <c r="L96" s="766"/>
      <c r="M96" s="766"/>
      <c r="N96" s="766"/>
      <c r="O96" s="766"/>
      <c r="P96" s="766"/>
      <c r="Q96" s="1085"/>
      <c r="R96" s="25"/>
      <c r="S96" s="766"/>
      <c r="T96" s="766"/>
      <c r="U96" s="26"/>
      <c r="V96" s="766"/>
      <c r="W96" s="766"/>
      <c r="X96" s="24"/>
      <c r="Y96" s="766"/>
      <c r="Z96" s="766"/>
      <c r="AA96" s="766"/>
      <c r="AB96" s="766"/>
      <c r="AC96" s="766"/>
      <c r="AD96" s="766"/>
      <c r="AE96" s="766"/>
      <c r="AF96" s="766"/>
      <c r="AG96" s="766"/>
      <c r="AH96" s="766"/>
      <c r="AI96" s="766" t="s">
        <v>12758</v>
      </c>
      <c r="AJ96" s="766"/>
      <c r="AK96" s="766" t="s">
        <v>1097</v>
      </c>
      <c r="AL96" s="121">
        <v>10000</v>
      </c>
      <c r="AM96" s="773"/>
      <c r="AN96" s="37"/>
      <c r="AO96" s="766"/>
      <c r="AP96" s="766"/>
      <c r="AQ96" s="766"/>
      <c r="AR96" s="766"/>
      <c r="AS96" s="766"/>
      <c r="AT96" s="766"/>
      <c r="AU96" s="766"/>
      <c r="AV96" s="766"/>
      <c r="AW96" s="766"/>
      <c r="AX96" s="13"/>
      <c r="AY96" s="766"/>
      <c r="AZ96" s="766"/>
      <c r="BA96" s="766"/>
      <c r="BB96" s="766"/>
      <c r="BC96" s="766"/>
      <c r="BD96" s="766"/>
      <c r="BE96" s="766"/>
      <c r="BF96" s="775"/>
      <c r="BG96" s="775"/>
      <c r="BH96" s="766"/>
      <c r="BI96" s="766"/>
      <c r="BJ96" s="766"/>
      <c r="BK96" s="766"/>
      <c r="BL96" s="766"/>
      <c r="BM96" s="766"/>
      <c r="BN96" s="766"/>
      <c r="BO96" s="766"/>
      <c r="BP96" s="776"/>
      <c r="BQ96" s="773"/>
      <c r="BR96" s="774"/>
      <c r="BS96" s="766"/>
      <c r="BT96" s="766"/>
      <c r="BU96" s="766"/>
      <c r="BV96" s="766"/>
      <c r="BW96" s="766"/>
      <c r="BX96" s="779"/>
      <c r="BY96" s="766"/>
      <c r="BZ96" s="775"/>
      <c r="CA96" s="766"/>
      <c r="CB96" s="766"/>
      <c r="CC96" s="766"/>
      <c r="CD96" s="766"/>
      <c r="CE96" s="766"/>
      <c r="CF96" s="231"/>
      <c r="CG96" s="231"/>
      <c r="CH96" s="766"/>
      <c r="CI96" s="766"/>
      <c r="CJ96" s="766"/>
      <c r="CK96" s="766"/>
      <c r="CL96" s="766"/>
      <c r="CM96" s="766"/>
      <c r="CN96" s="766"/>
      <c r="CO96" s="766"/>
      <c r="CP96" s="766"/>
      <c r="CQ96" s="766"/>
      <c r="CR96" s="775"/>
      <c r="CS96" s="766"/>
      <c r="CT96" s="766"/>
      <c r="CU96" s="129"/>
      <c r="CV96" s="766"/>
      <c r="CW96" s="766"/>
      <c r="CX96" s="766"/>
      <c r="CY96" s="766"/>
      <c r="CZ96" s="766"/>
      <c r="DA96" s="766"/>
      <c r="DB96" s="766"/>
      <c r="DC96" s="766"/>
      <c r="DD96" s="766"/>
      <c r="DE96" s="766"/>
      <c r="DF96" s="766"/>
      <c r="DG96" s="766"/>
      <c r="DH96" s="766"/>
      <c r="DI96" s="766"/>
      <c r="DJ96" s="766"/>
      <c r="DK96" s="766"/>
      <c r="DL96" s="766"/>
      <c r="DM96" s="766"/>
      <c r="DN96" s="766"/>
      <c r="DO96" s="766"/>
      <c r="DP96" s="766"/>
      <c r="DQ96" s="766"/>
      <c r="DR96" s="766"/>
      <c r="DS96" s="59"/>
      <c r="DT96" s="766"/>
      <c r="DU96" s="766"/>
      <c r="DV96" s="766"/>
      <c r="DW96" s="66"/>
      <c r="DX96" s="66"/>
      <c r="DY96" s="766"/>
      <c r="DZ96" s="766"/>
      <c r="EA96" s="766"/>
      <c r="EB96" s="766"/>
      <c r="EC96" s="766"/>
      <c r="ED96" s="766"/>
      <c r="EE96" s="766"/>
      <c r="EF96" s="766"/>
      <c r="EG96" s="766"/>
      <c r="EH96" s="766"/>
      <c r="EI96" s="766"/>
      <c r="EJ96" s="766"/>
      <c r="EK96" s="766"/>
      <c r="EL96" s="766"/>
      <c r="EM96" s="766"/>
      <c r="EN96" s="766"/>
      <c r="EO96" s="766"/>
      <c r="EP96" s="766"/>
      <c r="EQ96" s="766"/>
      <c r="ER96" s="766"/>
      <c r="ES96" s="766"/>
      <c r="ET96" s="766"/>
      <c r="EU96" s="766"/>
      <c r="EV96" s="766"/>
      <c r="EW96" s="766"/>
      <c r="EX96" s="766"/>
      <c r="EY96" s="766"/>
      <c r="EZ96" s="766"/>
      <c r="FA96" s="766"/>
      <c r="FB96" s="766"/>
      <c r="FC96" s="766"/>
      <c r="FD96" s="775"/>
      <c r="FE96" s="766"/>
      <c r="FF96" s="766"/>
      <c r="FG96" s="766"/>
      <c r="FH96" s="766"/>
      <c r="FI96" s="766"/>
      <c r="FJ96" s="766"/>
      <c r="FK96" s="766"/>
      <c r="FL96" s="766"/>
      <c r="FM96" s="775"/>
      <c r="FN96" s="775"/>
      <c r="FO96" s="775"/>
      <c r="FP96" s="766"/>
      <c r="FQ96" s="766"/>
      <c r="FR96" s="766"/>
      <c r="FS96" s="766"/>
      <c r="FT96" s="766"/>
      <c r="FU96" s="766"/>
      <c r="FV96" s="766"/>
      <c r="FW96" s="766"/>
      <c r="FX96" s="766"/>
      <c r="FY96" s="766"/>
      <c r="FZ96" s="766"/>
      <c r="GA96" s="766"/>
      <c r="GB96" s="766"/>
      <c r="GC96" s="75"/>
      <c r="GD96" s="25"/>
      <c r="GE96" s="766"/>
      <c r="GF96" s="775"/>
      <c r="GG96" s="775"/>
      <c r="GH96" s="766"/>
      <c r="GI96" s="766"/>
      <c r="GJ96" s="766"/>
      <c r="GK96" s="766"/>
      <c r="GL96" s="766"/>
      <c r="GM96" s="766"/>
      <c r="GN96" s="82"/>
      <c r="GO96" s="766"/>
      <c r="GP96" s="766"/>
      <c r="GQ96" s="766"/>
      <c r="GR96" s="766"/>
      <c r="GS96" s="766"/>
      <c r="GT96" s="766"/>
      <c r="GU96" s="766"/>
      <c r="GV96" s="766"/>
      <c r="GW96" s="766"/>
      <c r="GX96" s="766"/>
      <c r="GY96" s="766"/>
      <c r="GZ96" s="766"/>
      <c r="HA96" s="766"/>
      <c r="HB96" s="766"/>
      <c r="HC96" s="766"/>
      <c r="HD96" s="766"/>
      <c r="HE96" s="766"/>
      <c r="HF96" s="766"/>
      <c r="HG96" s="766"/>
      <c r="HH96" s="766"/>
      <c r="HI96" s="766"/>
      <c r="HJ96" s="766"/>
      <c r="HK96" s="766"/>
      <c r="HL96" s="766"/>
      <c r="HM96" s="766"/>
      <c r="HN96" s="766"/>
      <c r="HO96" s="766"/>
      <c r="HP96" s="766"/>
      <c r="HQ96" s="766"/>
      <c r="HR96" s="766"/>
      <c r="HS96" s="766"/>
      <c r="HT96" s="766"/>
      <c r="HU96" s="766"/>
      <c r="HV96" s="766"/>
      <c r="HW96" s="766"/>
      <c r="HX96" s="766"/>
      <c r="HY96" s="766"/>
      <c r="HZ96" s="766"/>
      <c r="IA96" s="766"/>
      <c r="IB96" s="766"/>
      <c r="IC96" s="766"/>
      <c r="ID96" s="766"/>
      <c r="IE96" s="766"/>
      <c r="IF96" s="766"/>
      <c r="IG96" s="766"/>
      <c r="IH96" s="766"/>
      <c r="II96" s="766"/>
      <c r="IJ96" s="766"/>
      <c r="IK96" s="766"/>
      <c r="IL96" s="766"/>
      <c r="IM96" s="766"/>
      <c r="IN96" s="766"/>
      <c r="IO96" s="24"/>
      <c r="IP96" s="766"/>
      <c r="IQ96" s="766"/>
      <c r="IR96" s="766"/>
      <c r="IS96" s="766"/>
      <c r="IT96" s="766"/>
      <c r="IU96" s="766"/>
      <c r="IV96" s="766"/>
      <c r="IW96" s="766"/>
      <c r="IX96" s="766"/>
      <c r="IY96" s="766"/>
      <c r="IZ96" s="766"/>
      <c r="JA96" s="766"/>
      <c r="JB96" s="766"/>
      <c r="JC96" s="766"/>
      <c r="JD96" s="775"/>
      <c r="JE96" s="766"/>
      <c r="JF96" s="766"/>
      <c r="JG96" s="766"/>
      <c r="JH96" s="775"/>
      <c r="JI96" s="775"/>
      <c r="JJ96" s="766"/>
      <c r="JK96" s="766"/>
      <c r="JL96" s="766"/>
      <c r="JM96" s="766"/>
      <c r="JN96" s="766"/>
      <c r="JO96" s="766"/>
      <c r="JP96" s="766"/>
      <c r="JQ96" s="766"/>
      <c r="JR96" s="766"/>
      <c r="JS96" s="766"/>
      <c r="JT96" s="766"/>
      <c r="JU96" s="766"/>
      <c r="JV96" s="766"/>
      <c r="JW96" s="766"/>
      <c r="JX96" s="766"/>
      <c r="JY96" s="766"/>
      <c r="JZ96" s="766"/>
      <c r="KA96" s="766"/>
      <c r="KB96" s="766"/>
      <c r="KC96" s="766"/>
      <c r="KD96" s="766"/>
      <c r="KE96" s="766"/>
      <c r="KF96" s="766"/>
      <c r="KG96" s="766"/>
      <c r="KH96" s="766"/>
      <c r="KI96" s="766"/>
      <c r="KJ96" s="770"/>
      <c r="KK96" s="770"/>
      <c r="KL96" s="770"/>
      <c r="KM96" s="770"/>
      <c r="KN96" s="766"/>
      <c r="KO96" s="766"/>
      <c r="KP96" s="766"/>
      <c r="KQ96" s="766"/>
      <c r="KR96" s="766"/>
      <c r="KS96" s="766"/>
      <c r="KT96" s="766"/>
      <c r="KU96" s="766"/>
      <c r="KV96" s="766"/>
      <c r="KW96" s="766"/>
      <c r="KX96" s="766"/>
      <c r="KY96" s="766"/>
      <c r="KZ96" s="766"/>
      <c r="LA96" s="766"/>
      <c r="LB96" s="766"/>
      <c r="LC96" s="766"/>
      <c r="LD96" s="766"/>
      <c r="LE96" s="766"/>
      <c r="LF96" s="766"/>
      <c r="LG96" s="766"/>
      <c r="LH96" s="766"/>
      <c r="LI96" s="766"/>
      <c r="LJ96" s="766"/>
      <c r="LK96" s="766"/>
      <c r="LL96" s="766"/>
      <c r="LM96" s="766"/>
      <c r="LN96" s="766"/>
      <c r="LO96" s="766"/>
      <c r="LP96" s="766"/>
      <c r="LQ96" s="766"/>
      <c r="LR96" s="766"/>
      <c r="LS96" s="766"/>
      <c r="LT96" s="766"/>
      <c r="LU96" s="766"/>
      <c r="LV96" s="766"/>
      <c r="LW96" s="766"/>
      <c r="LX96" s="769"/>
      <c r="LY96" s="766" t="str">
        <f t="shared" si="18"/>
        <v/>
      </c>
      <c r="LZ96" s="66"/>
      <c r="MA96" s="66"/>
      <c r="MB96" s="66"/>
      <c r="MC96" s="1679">
        <f t="shared" si="19"/>
        <v>0</v>
      </c>
      <c r="MD96" s="66"/>
      <c r="ME96" s="66"/>
      <c r="MF96" s="66"/>
      <c r="MG96" s="1680">
        <f t="shared" si="15"/>
        <v>0</v>
      </c>
      <c r="MH96" s="766"/>
      <c r="MI96" s="775"/>
      <c r="MJ96" s="775"/>
      <c r="MK96" s="775"/>
      <c r="ML96" s="775"/>
      <c r="MM96" s="775"/>
      <c r="MN96" s="775"/>
      <c r="MO96" s="775"/>
      <c r="MP96" s="775"/>
      <c r="MQ96" s="775"/>
      <c r="MR96" s="775"/>
      <c r="MS96" s="775"/>
      <c r="MT96" s="775"/>
      <c r="MU96" s="775"/>
      <c r="MV96" s="775"/>
      <c r="MW96" s="775"/>
      <c r="MX96" s="775"/>
      <c r="MY96" s="1682">
        <f t="shared" si="14"/>
        <v>0</v>
      </c>
      <c r="MZ96" s="766"/>
      <c r="NA96" s="766"/>
      <c r="NB96" s="766"/>
      <c r="NC96" s="766"/>
      <c r="ND96" s="766"/>
      <c r="NE96" s="766"/>
      <c r="NF96" s="766"/>
      <c r="NG96" s="766"/>
      <c r="NH96" s="766"/>
      <c r="NI96" s="766"/>
      <c r="NJ96" s="766"/>
      <c r="NK96" s="766"/>
      <c r="NL96" s="766"/>
      <c r="NM96" s="766"/>
      <c r="NN96" s="766"/>
      <c r="NO96" s="766"/>
      <c r="NP96" s="766"/>
      <c r="NQ96" s="766"/>
      <c r="NR96" s="766"/>
      <c r="NS96" s="766"/>
      <c r="NT96" s="766"/>
      <c r="NU96" s="766"/>
      <c r="NV96" s="766"/>
      <c r="NW96" s="766"/>
      <c r="NX96" s="766"/>
      <c r="NY96" s="766"/>
      <c r="NZ96" s="766"/>
      <c r="OA96" s="766"/>
      <c r="OB96" s="766"/>
      <c r="OC96" s="766"/>
      <c r="OD96" s="766"/>
      <c r="OE96" s="766"/>
      <c r="OF96" s="766"/>
      <c r="OG96" s="766"/>
      <c r="OH96" s="766"/>
      <c r="OI96" s="766"/>
      <c r="OJ96" s="766"/>
      <c r="OK96" s="766"/>
      <c r="OL96" s="766"/>
      <c r="OM96" s="766"/>
      <c r="ON96" s="766"/>
      <c r="OO96" s="766"/>
      <c r="OP96" s="766"/>
      <c r="OQ96" s="766"/>
      <c r="OR96" s="766"/>
      <c r="OS96" s="766"/>
      <c r="OT96" s="766"/>
      <c r="OU96" s="766"/>
      <c r="OV96" s="766"/>
      <c r="OW96" s="766"/>
      <c r="OX96" s="766"/>
      <c r="OY96" s="766"/>
      <c r="OZ96" s="766"/>
      <c r="PA96" s="766"/>
      <c r="PB96" s="766"/>
      <c r="PC96" s="766"/>
      <c r="PD96" s="766"/>
      <c r="PE96" s="766"/>
      <c r="PF96" s="766"/>
      <c r="PG96" s="766"/>
      <c r="PH96" s="766"/>
      <c r="PI96" s="766"/>
      <c r="PJ96" s="766"/>
      <c r="PK96" s="766"/>
      <c r="PL96" s="766"/>
      <c r="PM96" s="766"/>
      <c r="PN96" s="766"/>
      <c r="PO96" s="766"/>
      <c r="PP96" s="766"/>
      <c r="PQ96" s="766"/>
      <c r="PR96" s="766"/>
      <c r="PS96" s="766"/>
      <c r="PT96" s="766"/>
      <c r="PU96" s="766"/>
      <c r="PV96" s="766"/>
      <c r="PW96" s="766"/>
      <c r="PX96" s="766"/>
      <c r="PY96" s="766"/>
      <c r="PZ96" s="766"/>
      <c r="QA96" s="766"/>
      <c r="QB96" s="766"/>
      <c r="QC96" s="766"/>
      <c r="QD96" s="766"/>
      <c r="QE96" s="766"/>
      <c r="QF96" s="766"/>
      <c r="QG96" s="766"/>
      <c r="QH96" s="766"/>
      <c r="QI96" s="766"/>
      <c r="QJ96" s="766"/>
      <c r="QK96" s="766"/>
      <c r="QL96" s="766"/>
      <c r="QM96" s="766"/>
      <c r="QN96" s="766"/>
      <c r="QO96" s="766"/>
      <c r="QP96" s="766"/>
      <c r="QQ96" s="766"/>
      <c r="QR96" s="766"/>
      <c r="QS96" s="766"/>
      <c r="QT96" s="766"/>
      <c r="QU96" s="766"/>
      <c r="QV96" s="766"/>
      <c r="QW96" s="766"/>
      <c r="QX96" s="766"/>
      <c r="QY96" s="766"/>
      <c r="QZ96" s="766"/>
      <c r="RA96" s="766"/>
      <c r="RB96" s="770"/>
      <c r="RC96" s="766"/>
      <c r="RD96" s="766"/>
      <c r="RE96" s="766"/>
      <c r="RF96" s="777"/>
      <c r="RG96" s="766"/>
      <c r="RH96" s="775"/>
      <c r="RI96" s="766"/>
      <c r="RJ96" s="766"/>
      <c r="RK96" s="766"/>
      <c r="RL96" s="1683"/>
      <c r="RM96" s="12"/>
      <c r="RN96" s="1711"/>
      <c r="RO96" s="167" t="s">
        <v>5486</v>
      </c>
      <c r="RP96" s="11"/>
      <c r="RQ96" s="11"/>
      <c r="RR96" s="17"/>
      <c r="RS96" s="766"/>
      <c r="RT96" s="11"/>
      <c r="RU96" s="11"/>
      <c r="RV96" s="766" t="s">
        <v>12402</v>
      </c>
      <c r="RW96" s="11" t="s">
        <v>12406</v>
      </c>
      <c r="RX96" s="11" t="s">
        <v>7943</v>
      </c>
      <c r="RY96" s="11"/>
      <c r="RZ96" s="11"/>
      <c r="SA96" s="766"/>
      <c r="SB96" s="11"/>
      <c r="SC96" s="11"/>
    </row>
    <row r="97" spans="1:497" ht="12.75" hidden="1" customHeight="1">
      <c r="A97" s="19" t="s">
        <v>7419</v>
      </c>
      <c r="B97" s="292" t="s">
        <v>12551</v>
      </c>
      <c r="C97" s="188" t="s">
        <v>108</v>
      </c>
      <c r="D97" s="14"/>
      <c r="E97" s="766" t="s">
        <v>5487</v>
      </c>
      <c r="F97" s="766"/>
      <c r="G97" s="12"/>
      <c r="H97" s="12"/>
      <c r="I97" s="12"/>
      <c r="J97" s="12"/>
      <c r="K97" s="12"/>
      <c r="L97" s="12"/>
      <c r="M97" s="12"/>
      <c r="N97" s="12"/>
      <c r="O97" s="12"/>
      <c r="P97" s="12"/>
      <c r="Q97" s="1732"/>
      <c r="R97" s="12"/>
      <c r="S97" s="12"/>
      <c r="T97" s="12"/>
      <c r="U97" s="12"/>
      <c r="V97" s="12"/>
      <c r="W97" s="12"/>
      <c r="X97" s="12"/>
      <c r="Y97" s="12"/>
      <c r="Z97" s="12"/>
      <c r="AA97" s="12"/>
      <c r="AB97" s="12"/>
      <c r="AC97" s="12"/>
      <c r="AD97" s="12"/>
      <c r="AE97" s="12"/>
      <c r="AF97" s="12"/>
      <c r="AG97" s="766" t="s">
        <v>1095</v>
      </c>
      <c r="AH97" s="766" t="s">
        <v>12552</v>
      </c>
      <c r="AI97" s="766" t="s">
        <v>12408</v>
      </c>
      <c r="AJ97" s="766"/>
      <c r="AK97" s="766" t="s">
        <v>1097</v>
      </c>
      <c r="AL97" s="121">
        <v>10000</v>
      </c>
      <c r="AM97" s="559"/>
      <c r="AN97" s="1138"/>
      <c r="AO97" s="766" t="s">
        <v>1098</v>
      </c>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766"/>
      <c r="JT97" s="766"/>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766"/>
      <c r="KV97" s="766"/>
      <c r="KW97" s="12"/>
      <c r="KX97" s="12"/>
      <c r="KY97" s="12"/>
      <c r="KZ97" s="12"/>
      <c r="LA97" s="12"/>
      <c r="LB97" s="12"/>
      <c r="LC97" s="12"/>
      <c r="LD97" s="770"/>
      <c r="LE97" s="770"/>
      <c r="LF97" s="770"/>
      <c r="LG97" s="770"/>
      <c r="LH97" s="770"/>
      <c r="LI97" s="770"/>
      <c r="LJ97" s="770"/>
      <c r="LK97" s="770"/>
      <c r="LL97" s="770"/>
      <c r="LM97" s="770"/>
      <c r="LN97" s="770"/>
      <c r="LO97" s="770"/>
      <c r="LP97" s="770"/>
      <c r="LQ97" s="770"/>
      <c r="LR97" s="770"/>
      <c r="LS97" s="770"/>
      <c r="LT97" s="770"/>
      <c r="LU97" s="770"/>
      <c r="LV97" s="770"/>
      <c r="LW97" s="770"/>
      <c r="LX97" s="1729"/>
      <c r="LY97" s="766" t="s">
        <v>5911</v>
      </c>
      <c r="LZ97" s="12"/>
      <c r="MA97" s="12"/>
      <c r="MB97" s="12"/>
      <c r="MC97" s="1679">
        <v>0</v>
      </c>
      <c r="MD97" s="12"/>
      <c r="ME97" s="1728"/>
      <c r="MF97" s="12"/>
      <c r="MG97" s="1680">
        <v>0</v>
      </c>
      <c r="MH97" s="12"/>
      <c r="MI97" s="12"/>
      <c r="MJ97" s="12"/>
      <c r="MK97" s="12"/>
      <c r="ML97" s="12"/>
      <c r="MM97" s="12"/>
      <c r="MN97" s="12"/>
      <c r="MO97" s="12"/>
      <c r="MP97" s="12"/>
      <c r="MQ97" s="12"/>
      <c r="MR97" s="12"/>
      <c r="MS97" s="12"/>
      <c r="MT97" s="12"/>
      <c r="MU97" s="12"/>
      <c r="MV97" s="12"/>
      <c r="MW97" s="12"/>
      <c r="MX97" s="12"/>
      <c r="MY97" s="1682">
        <v>0</v>
      </c>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770"/>
      <c r="RE97" s="12"/>
      <c r="RF97" s="12"/>
      <c r="RG97" s="12"/>
      <c r="RH97" s="12"/>
      <c r="RI97" s="12"/>
      <c r="RJ97" s="12"/>
      <c r="RK97" s="12"/>
      <c r="RL97" s="12"/>
      <c r="RM97" s="1683"/>
      <c r="RN97" s="12"/>
      <c r="RO97" s="1684"/>
      <c r="RP97" s="11"/>
      <c r="RQ97" s="11"/>
      <c r="RR97" s="11"/>
      <c r="RS97" s="17"/>
      <c r="RT97" s="11"/>
      <c r="RU97" s="11"/>
      <c r="RV97" s="11"/>
      <c r="RW97" s="35"/>
      <c r="RX97" s="11" t="s">
        <v>5485</v>
      </c>
      <c r="RY97" s="11"/>
      <c r="RZ97" s="11" t="s">
        <v>2402</v>
      </c>
      <c r="SA97" s="35"/>
      <c r="SB97" s="11"/>
      <c r="SC97" s="11"/>
    </row>
    <row r="98" spans="1:497" ht="12.75" hidden="1" customHeight="1">
      <c r="A98" s="343" t="s">
        <v>12411</v>
      </c>
      <c r="B98" s="292" t="s">
        <v>7944</v>
      </c>
      <c r="C98" s="188" t="s">
        <v>108</v>
      </c>
      <c r="D98" s="14" t="s">
        <v>109</v>
      </c>
      <c r="E98" s="766" t="s">
        <v>5487</v>
      </c>
      <c r="F98" s="766"/>
      <c r="G98" s="766" t="s">
        <v>10</v>
      </c>
      <c r="H98" s="766"/>
      <c r="I98" s="5" t="s">
        <v>110</v>
      </c>
      <c r="J98" s="14" t="s">
        <v>110</v>
      </c>
      <c r="K98" s="766" t="s">
        <v>111</v>
      </c>
      <c r="L98" s="766" t="s">
        <v>112</v>
      </c>
      <c r="M98" s="766"/>
      <c r="N98" s="766"/>
      <c r="O98" s="766"/>
      <c r="P98" s="766" t="s">
        <v>756</v>
      </c>
      <c r="Q98" s="1085">
        <v>22904</v>
      </c>
      <c r="R98" s="25">
        <v>54</v>
      </c>
      <c r="S98" s="766" t="s">
        <v>10</v>
      </c>
      <c r="T98" s="766"/>
      <c r="U98" s="26" t="s">
        <v>757</v>
      </c>
      <c r="V98" s="766" t="s">
        <v>722</v>
      </c>
      <c r="W98" s="766"/>
      <c r="X98" s="766"/>
      <c r="Y98" s="766" t="s">
        <v>758</v>
      </c>
      <c r="Z98" s="766" t="s">
        <v>708</v>
      </c>
      <c r="AA98" s="766" t="s">
        <v>759</v>
      </c>
      <c r="AB98" s="766" t="s">
        <v>7275</v>
      </c>
      <c r="AC98" s="766" t="s">
        <v>724</v>
      </c>
      <c r="AD98" s="766"/>
      <c r="AE98" s="766"/>
      <c r="AF98" s="766" t="s">
        <v>760</v>
      </c>
      <c r="AG98" s="12"/>
      <c r="AH98" s="12"/>
      <c r="AI98" s="12"/>
      <c r="AJ98" s="12"/>
      <c r="AK98" s="766" t="s">
        <v>1899</v>
      </c>
      <c r="AL98" s="12"/>
      <c r="AM98" s="12"/>
      <c r="AN98" s="12"/>
      <c r="AO98" s="12"/>
      <c r="AP98" s="766"/>
      <c r="AQ98" s="766"/>
      <c r="AR98" s="766"/>
      <c r="AS98" s="766" t="s">
        <v>110</v>
      </c>
      <c r="AT98" s="766" t="s">
        <v>110</v>
      </c>
      <c r="AU98" s="766"/>
      <c r="AV98" s="766"/>
      <c r="AW98" s="766"/>
      <c r="AX98" s="13"/>
      <c r="AY98" s="766"/>
      <c r="AZ98" s="766"/>
      <c r="BA98" s="766"/>
      <c r="BB98" s="766"/>
      <c r="BC98" s="766" t="s">
        <v>110</v>
      </c>
      <c r="BD98" s="766" t="s">
        <v>110</v>
      </c>
      <c r="BE98" s="766" t="s">
        <v>110</v>
      </c>
      <c r="BF98" s="775" t="s">
        <v>110</v>
      </c>
      <c r="BG98" s="775" t="s">
        <v>110</v>
      </c>
      <c r="BH98" s="766" t="s">
        <v>1226</v>
      </c>
      <c r="BI98" s="766" t="s">
        <v>110</v>
      </c>
      <c r="BJ98" s="766"/>
      <c r="BK98" s="766" t="s">
        <v>1095</v>
      </c>
      <c r="BL98" s="766" t="s">
        <v>1278</v>
      </c>
      <c r="BM98" s="766" t="s">
        <v>1096</v>
      </c>
      <c r="BN98" s="766" t="s">
        <v>1230</v>
      </c>
      <c r="BO98" s="766" t="s">
        <v>1246</v>
      </c>
      <c r="BP98" s="776">
        <v>20.25</v>
      </c>
      <c r="BQ98" s="773">
        <v>20.25</v>
      </c>
      <c r="BR98" s="774">
        <v>1</v>
      </c>
      <c r="BS98" s="766" t="s">
        <v>1257</v>
      </c>
      <c r="BT98" s="766" t="s">
        <v>2040</v>
      </c>
      <c r="BU98" s="770" t="s">
        <v>2545</v>
      </c>
      <c r="BV98" s="766" t="s">
        <v>1247</v>
      </c>
      <c r="BW98" s="766">
        <v>2010</v>
      </c>
      <c r="BX98" s="779">
        <v>12000</v>
      </c>
      <c r="BY98" s="775" t="s">
        <v>1207</v>
      </c>
      <c r="BZ98" s="775">
        <v>20000</v>
      </c>
      <c r="CA98" s="766"/>
      <c r="CB98" s="766"/>
      <c r="CC98" s="766"/>
      <c r="CD98" s="766"/>
      <c r="CE98" s="766"/>
      <c r="CF98" s="777"/>
      <c r="CG98" s="231"/>
      <c r="CH98" s="766"/>
      <c r="CI98" s="766"/>
      <c r="CJ98" s="766"/>
      <c r="CK98" s="766"/>
      <c r="CL98" s="766"/>
      <c r="CM98" s="766"/>
      <c r="CN98" s="766"/>
      <c r="CO98" s="766"/>
      <c r="CP98" s="766"/>
      <c r="CQ98" s="766"/>
      <c r="CR98" s="775"/>
      <c r="CS98" s="766"/>
      <c r="CT98" s="766"/>
      <c r="CU98" s="129"/>
      <c r="CV98" s="766"/>
      <c r="CW98" s="766"/>
      <c r="CX98" s="766"/>
      <c r="CY98" s="766"/>
      <c r="CZ98" s="766"/>
      <c r="DA98" s="66"/>
      <c r="DB98" s="766"/>
      <c r="DC98" s="766"/>
      <c r="DD98" s="766"/>
      <c r="DE98" s="772"/>
      <c r="DF98" s="766"/>
      <c r="DG98" s="766"/>
      <c r="DH98" s="766"/>
      <c r="DI98" s="766"/>
      <c r="DJ98" s="766"/>
      <c r="DK98" s="766"/>
      <c r="DL98" s="766"/>
      <c r="DM98" s="766"/>
      <c r="DN98" s="44"/>
      <c r="DO98" s="766"/>
      <c r="DP98" s="766"/>
      <c r="DQ98" s="766"/>
      <c r="DR98" s="766"/>
      <c r="DS98" s="59"/>
      <c r="DT98" s="766"/>
      <c r="DU98" s="766"/>
      <c r="DV98" s="766"/>
      <c r="DW98" s="66"/>
      <c r="DX98" s="66"/>
      <c r="DY98" s="766"/>
      <c r="DZ98" s="766"/>
      <c r="EA98" s="766"/>
      <c r="EB98" s="766"/>
      <c r="EC98" s="766"/>
      <c r="ED98" s="766"/>
      <c r="EE98" s="766"/>
      <c r="EF98" s="766"/>
      <c r="EG98" s="766"/>
      <c r="EH98" s="766"/>
      <c r="EI98" s="766"/>
      <c r="EJ98" s="766"/>
      <c r="EK98" s="766"/>
      <c r="EL98" s="766"/>
      <c r="EM98" s="766"/>
      <c r="EN98" s="766"/>
      <c r="EO98" s="766"/>
      <c r="EP98" s="14"/>
      <c r="EQ98" s="766"/>
      <c r="ER98" s="766"/>
      <c r="ES98" s="766"/>
      <c r="ET98" s="766"/>
      <c r="EU98" s="766"/>
      <c r="EV98" s="766"/>
      <c r="EW98" s="766"/>
      <c r="EX98" s="766"/>
      <c r="EY98" s="766"/>
      <c r="EZ98" s="766"/>
      <c r="FA98" s="766"/>
      <c r="FB98" s="766"/>
      <c r="FC98" s="766"/>
      <c r="FD98" s="775"/>
      <c r="FE98" s="766"/>
      <c r="FF98" s="766"/>
      <c r="FG98" s="766"/>
      <c r="FH98" s="766" t="s">
        <v>478</v>
      </c>
      <c r="FI98" s="766" t="s">
        <v>110</v>
      </c>
      <c r="FJ98" s="766"/>
      <c r="FK98" s="766"/>
      <c r="FL98" s="766"/>
      <c r="FM98" s="775"/>
      <c r="FN98" s="775"/>
      <c r="FO98" s="775"/>
      <c r="FP98" s="766" t="s">
        <v>1602</v>
      </c>
      <c r="FQ98" s="766" t="s">
        <v>1660</v>
      </c>
      <c r="FR98" s="766"/>
      <c r="FS98" s="766"/>
      <c r="FT98" s="766"/>
      <c r="FU98" s="766"/>
      <c r="FV98" s="766"/>
      <c r="FW98" s="766"/>
      <c r="FX98" s="766"/>
      <c r="FY98" s="766"/>
      <c r="FZ98" s="766"/>
      <c r="GA98" s="766"/>
      <c r="GB98" s="766"/>
      <c r="GC98" s="75"/>
      <c r="GD98" s="25"/>
      <c r="GE98" s="766"/>
      <c r="GF98" s="775"/>
      <c r="GG98" s="775"/>
      <c r="GH98" s="766" t="s">
        <v>14260</v>
      </c>
      <c r="GI98" s="766"/>
      <c r="GJ98" s="766"/>
      <c r="GK98" s="766"/>
      <c r="GL98" s="766"/>
      <c r="GM98" s="766"/>
      <c r="GN98" s="82"/>
      <c r="GO98" s="766"/>
      <c r="GP98" s="766"/>
      <c r="GQ98" s="766"/>
      <c r="GR98" s="766"/>
      <c r="GS98" s="766"/>
      <c r="GT98" s="766"/>
      <c r="GU98" s="766"/>
      <c r="GV98" s="766"/>
      <c r="GW98" s="766"/>
      <c r="GX98" s="766"/>
      <c r="GY98" s="766"/>
      <c r="GZ98" s="766"/>
      <c r="HA98" s="766"/>
      <c r="HB98" s="766"/>
      <c r="HC98" s="766"/>
      <c r="HD98" s="766"/>
      <c r="HE98" s="766"/>
      <c r="HF98" s="766"/>
      <c r="HG98" s="766"/>
      <c r="HH98" s="766"/>
      <c r="HI98" s="766"/>
      <c r="HJ98" s="766"/>
      <c r="HK98" s="766"/>
      <c r="HL98" s="766"/>
      <c r="HM98" s="766"/>
      <c r="HN98" s="766"/>
      <c r="HO98" s="766"/>
      <c r="HP98" s="766"/>
      <c r="HQ98" s="766"/>
      <c r="HR98" s="766"/>
      <c r="HS98" s="766">
        <v>1</v>
      </c>
      <c r="HT98" s="766">
        <v>4</v>
      </c>
      <c r="HU98" s="766"/>
      <c r="HV98" s="766"/>
      <c r="HW98" s="766"/>
      <c r="HX98" s="766"/>
      <c r="HY98" s="766"/>
      <c r="HZ98" s="766"/>
      <c r="IA98" s="766"/>
      <c r="IB98" s="766" t="s">
        <v>1207</v>
      </c>
      <c r="IC98" s="766"/>
      <c r="ID98" s="766"/>
      <c r="IE98" s="766"/>
      <c r="IF98" s="766"/>
      <c r="IG98" s="766"/>
      <c r="IH98" s="766"/>
      <c r="II98" s="766"/>
      <c r="IJ98" s="766"/>
      <c r="IK98" s="766"/>
      <c r="IL98" s="766"/>
      <c r="IM98" s="766"/>
      <c r="IN98" s="766"/>
      <c r="IO98" s="24"/>
      <c r="IP98" s="766"/>
      <c r="IQ98" s="766"/>
      <c r="IR98" s="766"/>
      <c r="IS98" s="766"/>
      <c r="IT98" s="766"/>
      <c r="IU98" s="766"/>
      <c r="IV98" s="766"/>
      <c r="IW98" s="766"/>
      <c r="IX98" s="766"/>
      <c r="IY98" s="766"/>
      <c r="IZ98" s="766"/>
      <c r="JA98" s="766"/>
      <c r="JB98" s="766"/>
      <c r="JC98" s="766"/>
      <c r="JD98" s="775"/>
      <c r="JE98" s="766"/>
      <c r="JF98" s="766"/>
      <c r="JG98" s="766"/>
      <c r="JH98" s="766"/>
      <c r="JI98" s="302"/>
      <c r="JJ98" s="766">
        <v>2</v>
      </c>
      <c r="JK98" s="766" t="s">
        <v>1278</v>
      </c>
      <c r="JL98" s="766"/>
      <c r="JM98" s="766" t="s">
        <v>110</v>
      </c>
      <c r="JN98" s="766">
        <v>1</v>
      </c>
      <c r="JO98" s="766">
        <v>1</v>
      </c>
      <c r="JP98" s="766"/>
      <c r="JQ98" s="766" t="s">
        <v>110</v>
      </c>
      <c r="JR98" s="766"/>
      <c r="JS98" s="766"/>
      <c r="JT98" s="766">
        <f>SUM(JP98,JN98,JL98,JR98)</f>
        <v>1</v>
      </c>
      <c r="JU98" s="766">
        <f>SUM(JQ98,JO98,JM98,JS98)</f>
        <v>1</v>
      </c>
      <c r="JV98" s="28"/>
      <c r="JW98" s="28"/>
      <c r="JX98" s="766" t="s">
        <v>110</v>
      </c>
      <c r="JY98" s="766" t="s">
        <v>110</v>
      </c>
      <c r="JZ98" s="766" t="s">
        <v>110</v>
      </c>
      <c r="KA98" s="766" t="s">
        <v>110</v>
      </c>
      <c r="KB98" s="766" t="s">
        <v>110</v>
      </c>
      <c r="KC98" s="766" t="s">
        <v>110</v>
      </c>
      <c r="KD98" s="766">
        <v>1</v>
      </c>
      <c r="KE98" s="766">
        <v>1</v>
      </c>
      <c r="KF98" s="766" t="s">
        <v>110</v>
      </c>
      <c r="KG98" s="766" t="s">
        <v>110</v>
      </c>
      <c r="KH98" s="766" t="s">
        <v>110</v>
      </c>
      <c r="KI98" s="766" t="s">
        <v>110</v>
      </c>
      <c r="KJ98" s="770">
        <f>SUM(KF98,KD98,KB98,JZ98,JX98,KH98)</f>
        <v>1</v>
      </c>
      <c r="KK98" s="770">
        <f>SUM(KG98,KE98,KC98,KA98,JY98,KI98)</f>
        <v>1</v>
      </c>
      <c r="KL98" s="766" t="s">
        <v>110</v>
      </c>
      <c r="KM98" s="766" t="s">
        <v>110</v>
      </c>
      <c r="KN98" s="766" t="s">
        <v>110</v>
      </c>
      <c r="KO98" s="766" t="s">
        <v>110</v>
      </c>
      <c r="KP98" s="766" t="s">
        <v>110</v>
      </c>
      <c r="KQ98" s="766" t="s">
        <v>110</v>
      </c>
      <c r="KR98" s="766" t="s">
        <v>110</v>
      </c>
      <c r="KS98" s="766" t="s">
        <v>110</v>
      </c>
      <c r="KT98" s="766"/>
      <c r="KU98" s="766"/>
      <c r="KV98" s="766">
        <v>1</v>
      </c>
      <c r="KW98" s="766">
        <v>1</v>
      </c>
      <c r="KX98" s="766">
        <v>1</v>
      </c>
      <c r="KY98" s="1702"/>
      <c r="KZ98" s="766"/>
      <c r="LA98" s="1681"/>
      <c r="LB98" s="766" t="s">
        <v>110</v>
      </c>
      <c r="LC98" s="766" t="s">
        <v>110</v>
      </c>
      <c r="LD98" s="766" t="s">
        <v>110</v>
      </c>
      <c r="LE98" s="770"/>
      <c r="LF98" s="770"/>
      <c r="LG98" s="770"/>
      <c r="LH98" s="770"/>
      <c r="LI98" s="770"/>
      <c r="LJ98" s="770"/>
      <c r="LK98" s="770"/>
      <c r="LL98" s="770"/>
      <c r="LM98" s="770"/>
      <c r="LN98" s="770"/>
      <c r="LO98" s="770"/>
      <c r="LP98" s="770"/>
      <c r="LQ98" s="770"/>
      <c r="LR98" s="770"/>
      <c r="LS98" s="770"/>
      <c r="LT98" s="770"/>
      <c r="LU98" s="770"/>
      <c r="LV98" s="770"/>
      <c r="LW98" s="770"/>
      <c r="LX98" s="769"/>
      <c r="LY98" s="766" t="s">
        <v>5911</v>
      </c>
      <c r="LZ98" s="66"/>
      <c r="MA98" s="766"/>
      <c r="MB98" s="766"/>
      <c r="MC98" s="1679">
        <v>0</v>
      </c>
      <c r="MD98" s="66"/>
      <c r="ME98" s="66"/>
      <c r="MF98" s="66"/>
      <c r="MG98" s="1680">
        <v>0</v>
      </c>
      <c r="MH98" s="766"/>
      <c r="MI98" s="775"/>
      <c r="MJ98" s="775"/>
      <c r="MK98" s="775"/>
      <c r="ML98" s="775"/>
      <c r="MM98" s="775"/>
      <c r="MN98" s="775"/>
      <c r="MO98" s="775"/>
      <c r="MP98" s="775"/>
      <c r="MQ98" s="775"/>
      <c r="MR98" s="775"/>
      <c r="MS98" s="775">
        <v>200</v>
      </c>
      <c r="MT98" s="775"/>
      <c r="MU98" s="775"/>
      <c r="MV98" s="775"/>
      <c r="MW98" s="775"/>
      <c r="MX98" s="775"/>
      <c r="MY98" s="1682">
        <v>200</v>
      </c>
      <c r="MZ98" s="766" t="s">
        <v>13068</v>
      </c>
      <c r="NA98" s="766" t="s">
        <v>1249</v>
      </c>
      <c r="NB98" s="766" t="s">
        <v>13016</v>
      </c>
      <c r="NC98" s="766" t="s">
        <v>13026</v>
      </c>
      <c r="ND98" s="766">
        <v>0</v>
      </c>
      <c r="NE98" s="766">
        <v>0</v>
      </c>
      <c r="NF98" s="766">
        <v>0</v>
      </c>
      <c r="NG98" s="766">
        <v>0</v>
      </c>
      <c r="NH98" s="766">
        <v>0</v>
      </c>
      <c r="NI98" s="766">
        <v>0</v>
      </c>
      <c r="NJ98" s="766">
        <v>0</v>
      </c>
      <c r="NK98" s="766">
        <v>0</v>
      </c>
      <c r="NL98" s="766">
        <v>0</v>
      </c>
      <c r="NM98" s="766">
        <v>0</v>
      </c>
      <c r="NN98" s="766">
        <v>0</v>
      </c>
      <c r="NO98" s="766">
        <v>0</v>
      </c>
      <c r="NP98" s="766">
        <v>0</v>
      </c>
      <c r="NQ98" s="766">
        <v>0</v>
      </c>
      <c r="NR98" s="766">
        <v>1</v>
      </c>
      <c r="NS98" s="766">
        <v>0</v>
      </c>
      <c r="NT98" s="766">
        <v>0</v>
      </c>
      <c r="NU98" s="766">
        <v>0</v>
      </c>
      <c r="NV98" s="766">
        <v>0</v>
      </c>
      <c r="NW98" s="766">
        <v>0</v>
      </c>
      <c r="NX98" s="766"/>
      <c r="NY98" s="766"/>
      <c r="NZ98" s="766"/>
      <c r="OA98" s="766"/>
      <c r="OB98" s="766"/>
      <c r="OC98" s="766" t="s">
        <v>1208</v>
      </c>
      <c r="OD98" s="766"/>
      <c r="OE98" s="766"/>
      <c r="OF98" s="766" t="s">
        <v>1828</v>
      </c>
      <c r="OG98" s="766"/>
      <c r="OH98" s="766"/>
      <c r="OI98" s="766"/>
      <c r="OJ98" s="766"/>
      <c r="OK98" s="766"/>
      <c r="OL98" s="766"/>
      <c r="OM98" s="766"/>
      <c r="ON98" s="766"/>
      <c r="OO98" s="766"/>
      <c r="OP98" s="766"/>
      <c r="OQ98" s="766"/>
      <c r="OR98" s="766"/>
      <c r="OS98" s="766"/>
      <c r="OT98" s="766"/>
      <c r="OU98" s="766"/>
      <c r="OV98" s="766"/>
      <c r="OW98" s="766"/>
      <c r="OX98" s="766"/>
      <c r="OY98" s="766"/>
      <c r="OZ98" s="766"/>
      <c r="PA98" s="766"/>
      <c r="PB98" s="766"/>
      <c r="PC98" s="766"/>
      <c r="PD98" s="766"/>
      <c r="PE98" s="766"/>
      <c r="PF98" s="766"/>
      <c r="PG98" s="766"/>
      <c r="PH98" s="766"/>
      <c r="PI98" s="766"/>
      <c r="PJ98" s="766"/>
      <c r="PK98" s="766"/>
      <c r="PL98" s="766"/>
      <c r="PM98" s="766"/>
      <c r="PN98" s="766"/>
      <c r="PO98" s="766"/>
      <c r="PP98" s="766"/>
      <c r="PQ98" s="766"/>
      <c r="PR98" s="766"/>
      <c r="PS98" s="766"/>
      <c r="PT98" s="766"/>
      <c r="PU98" s="766"/>
      <c r="PV98" s="766"/>
      <c r="PW98" s="766"/>
      <c r="PX98" s="766"/>
      <c r="PY98" s="766"/>
      <c r="PZ98" s="766"/>
      <c r="QA98" s="766"/>
      <c r="QB98" s="766"/>
      <c r="QC98" s="766"/>
      <c r="QD98" s="766"/>
      <c r="QE98" s="766"/>
      <c r="QF98" s="766"/>
      <c r="QG98" s="766"/>
      <c r="QH98" s="766"/>
      <c r="QI98" s="766"/>
      <c r="QJ98" s="766"/>
      <c r="QK98" s="766"/>
      <c r="QL98" s="766"/>
      <c r="QM98" s="766"/>
      <c r="QN98" s="766"/>
      <c r="QO98" s="766"/>
      <c r="QP98" s="766"/>
      <c r="QQ98" s="766"/>
      <c r="QR98" s="766"/>
      <c r="QS98" s="766"/>
      <c r="QT98" s="766"/>
      <c r="QU98" s="766"/>
      <c r="QV98" s="766"/>
      <c r="QW98" s="766"/>
      <c r="QX98" s="766"/>
      <c r="QY98" s="766"/>
      <c r="QZ98" s="766"/>
      <c r="RA98" s="766"/>
      <c r="RB98" s="766"/>
      <c r="RC98" s="766"/>
      <c r="RD98" s="770"/>
      <c r="RE98" s="766"/>
      <c r="RF98" s="766"/>
      <c r="RG98" s="777"/>
      <c r="RH98" s="766"/>
      <c r="RI98" s="775"/>
      <c r="RJ98" s="766"/>
      <c r="RK98" s="766" t="s">
        <v>756</v>
      </c>
      <c r="RL98" s="766" t="s">
        <v>13116</v>
      </c>
      <c r="RM98" s="1683"/>
      <c r="RN98" s="12"/>
      <c r="RO98" s="1684"/>
      <c r="RP98" s="11"/>
      <c r="RQ98" s="11"/>
      <c r="RR98" s="11"/>
      <c r="RS98" s="17"/>
      <c r="RT98" s="766"/>
      <c r="RU98" s="11"/>
      <c r="RV98" s="11"/>
      <c r="RW98" s="766"/>
      <c r="RX98" s="11" t="s">
        <v>5486</v>
      </c>
      <c r="RY98" s="11"/>
      <c r="RZ98" s="11" t="s">
        <v>2402</v>
      </c>
      <c r="SA98" s="766"/>
      <c r="SB98" s="11"/>
      <c r="SC98" s="11"/>
    </row>
    <row r="99" spans="1:497" ht="12.75" hidden="1" customHeight="1">
      <c r="A99" s="343" t="s">
        <v>14146</v>
      </c>
      <c r="B99" s="292" t="s">
        <v>12553</v>
      </c>
      <c r="C99" s="188" t="s">
        <v>108</v>
      </c>
      <c r="D99" s="14"/>
      <c r="E99" s="766"/>
      <c r="F99" s="766"/>
      <c r="G99" s="766"/>
      <c r="H99" s="766"/>
      <c r="I99" s="5"/>
      <c r="J99" s="14"/>
      <c r="K99" s="766"/>
      <c r="L99" s="766"/>
      <c r="M99" s="766"/>
      <c r="N99" s="766"/>
      <c r="O99" s="766"/>
      <c r="P99" s="766" t="s">
        <v>12554</v>
      </c>
      <c r="Q99" s="1085">
        <v>27587</v>
      </c>
      <c r="R99" s="25">
        <v>42</v>
      </c>
      <c r="S99" s="766" t="s">
        <v>10</v>
      </c>
      <c r="T99" s="766"/>
      <c r="U99" s="26" t="s">
        <v>12555</v>
      </c>
      <c r="V99" s="766" t="s">
        <v>722</v>
      </c>
      <c r="W99" s="766"/>
      <c r="X99" s="766"/>
      <c r="Y99" s="766" t="s">
        <v>758</v>
      </c>
      <c r="Z99" s="766" t="s">
        <v>708</v>
      </c>
      <c r="AA99" s="766" t="s">
        <v>759</v>
      </c>
      <c r="AB99" s="766" t="s">
        <v>7274</v>
      </c>
      <c r="AC99" s="766" t="s">
        <v>724</v>
      </c>
      <c r="AD99" s="766"/>
      <c r="AE99" s="766"/>
      <c r="AF99" s="766" t="s">
        <v>760</v>
      </c>
      <c r="AG99" s="12"/>
      <c r="AH99" s="12"/>
      <c r="AI99" s="12"/>
      <c r="AJ99" s="12"/>
      <c r="AK99" s="766" t="s">
        <v>1899</v>
      </c>
      <c r="AL99" s="12"/>
      <c r="AM99" s="12"/>
      <c r="AN99" s="12"/>
      <c r="AO99" s="12"/>
      <c r="AP99" s="766"/>
      <c r="AQ99" s="766"/>
      <c r="AR99" s="766"/>
      <c r="AS99" s="766"/>
      <c r="AT99" s="766"/>
      <c r="AU99" s="766"/>
      <c r="AV99" s="766"/>
      <c r="AW99" s="766"/>
      <c r="AX99" s="13"/>
      <c r="AY99" s="766"/>
      <c r="AZ99" s="766"/>
      <c r="BA99" s="766"/>
      <c r="BB99" s="766"/>
      <c r="BC99" s="766"/>
      <c r="BD99" s="766"/>
      <c r="BE99" s="766"/>
      <c r="BF99" s="775"/>
      <c r="BG99" s="775"/>
      <c r="BH99" s="766"/>
      <c r="BI99" s="766"/>
      <c r="BJ99" s="766"/>
      <c r="BK99" s="766"/>
      <c r="BL99" s="766"/>
      <c r="BM99" s="766" t="s">
        <v>1238</v>
      </c>
      <c r="BN99" s="766" t="s">
        <v>1256</v>
      </c>
      <c r="BO99" s="766"/>
      <c r="BP99" s="776">
        <v>8.9700000000000006</v>
      </c>
      <c r="BQ99" s="776">
        <v>8.9700000000000006</v>
      </c>
      <c r="BR99" s="774">
        <v>1</v>
      </c>
      <c r="BS99" s="766" t="s">
        <v>1257</v>
      </c>
      <c r="BT99" s="766" t="s">
        <v>1249</v>
      </c>
      <c r="BU99" s="770" t="s">
        <v>1281</v>
      </c>
      <c r="BV99" s="766" t="s">
        <v>1247</v>
      </c>
      <c r="BW99" s="766"/>
      <c r="BX99" s="779"/>
      <c r="BY99" s="775"/>
      <c r="BZ99" s="775"/>
      <c r="CA99" s="766"/>
      <c r="CB99" s="766"/>
      <c r="CC99" s="766"/>
      <c r="CD99" s="766"/>
      <c r="CE99" s="766"/>
      <c r="CF99" s="777"/>
      <c r="CG99" s="231"/>
      <c r="CH99" s="766"/>
      <c r="CI99" s="766"/>
      <c r="CJ99" s="766"/>
      <c r="CK99" s="766"/>
      <c r="CL99" s="766"/>
      <c r="CM99" s="766"/>
      <c r="CN99" s="766"/>
      <c r="CO99" s="766"/>
      <c r="CP99" s="766"/>
      <c r="CQ99" s="766"/>
      <c r="CR99" s="775"/>
      <c r="CS99" s="766"/>
      <c r="CT99" s="766"/>
      <c r="CU99" s="129"/>
      <c r="CV99" s="766"/>
      <c r="CW99" s="766"/>
      <c r="CX99" s="766"/>
      <c r="CY99" s="766"/>
      <c r="CZ99" s="766"/>
      <c r="DA99" s="66"/>
      <c r="DB99" s="766"/>
      <c r="DC99" s="766"/>
      <c r="DD99" s="766"/>
      <c r="DE99" s="772"/>
      <c r="DF99" s="766"/>
      <c r="DG99" s="766"/>
      <c r="DH99" s="766"/>
      <c r="DI99" s="766"/>
      <c r="DJ99" s="766"/>
      <c r="DK99" s="766"/>
      <c r="DL99" s="766"/>
      <c r="DM99" s="766"/>
      <c r="DN99" s="44"/>
      <c r="DO99" s="766"/>
      <c r="DP99" s="766"/>
      <c r="DQ99" s="766"/>
      <c r="DR99" s="766"/>
      <c r="DS99" s="59"/>
      <c r="DT99" s="766"/>
      <c r="DU99" s="766"/>
      <c r="DV99" s="766"/>
      <c r="DW99" s="66"/>
      <c r="DX99" s="66"/>
      <c r="DY99" s="766"/>
      <c r="DZ99" s="766"/>
      <c r="EA99" s="766"/>
      <c r="EB99" s="766"/>
      <c r="EC99" s="766"/>
      <c r="ED99" s="766"/>
      <c r="EE99" s="766"/>
      <c r="EF99" s="766"/>
      <c r="EG99" s="766"/>
      <c r="EH99" s="766"/>
      <c r="EI99" s="766"/>
      <c r="EJ99" s="766"/>
      <c r="EK99" s="766"/>
      <c r="EL99" s="766"/>
      <c r="EM99" s="766"/>
      <c r="EN99" s="766"/>
      <c r="EO99" s="766"/>
      <c r="EP99" s="14"/>
      <c r="EQ99" s="766"/>
      <c r="ER99" s="766"/>
      <c r="ES99" s="766"/>
      <c r="ET99" s="766"/>
      <c r="EU99" s="766"/>
      <c r="EV99" s="766"/>
      <c r="EW99" s="766"/>
      <c r="EX99" s="766"/>
      <c r="EY99" s="766"/>
      <c r="EZ99" s="766"/>
      <c r="FA99" s="766"/>
      <c r="FB99" s="766"/>
      <c r="FC99" s="766"/>
      <c r="FD99" s="775"/>
      <c r="FE99" s="766"/>
      <c r="FF99" s="766"/>
      <c r="FG99" s="766"/>
      <c r="FH99" s="766" t="s">
        <v>1306</v>
      </c>
      <c r="FI99" s="766">
        <v>1</v>
      </c>
      <c r="FJ99" s="766" t="s">
        <v>12556</v>
      </c>
      <c r="FK99" s="766"/>
      <c r="FL99" s="766"/>
      <c r="FM99" s="775">
        <v>300</v>
      </c>
      <c r="FN99" s="775"/>
      <c r="FO99" s="775"/>
      <c r="FP99" s="766" t="s">
        <v>1602</v>
      </c>
      <c r="FQ99" s="766" t="s">
        <v>1660</v>
      </c>
      <c r="FR99" s="766"/>
      <c r="FS99" s="766"/>
      <c r="FT99" s="766"/>
      <c r="FU99" s="766"/>
      <c r="FV99" s="766"/>
      <c r="FW99" s="766"/>
      <c r="FX99" s="766"/>
      <c r="FY99" s="766"/>
      <c r="FZ99" s="766"/>
      <c r="GA99" s="766"/>
      <c r="GB99" s="766"/>
      <c r="GC99" s="75"/>
      <c r="GD99" s="25"/>
      <c r="GE99" s="766"/>
      <c r="GF99" s="775"/>
      <c r="GG99" s="775"/>
      <c r="GH99" s="766"/>
      <c r="GI99" s="766"/>
      <c r="GJ99" s="766"/>
      <c r="GK99" s="766"/>
      <c r="GL99" s="766"/>
      <c r="GM99" s="766"/>
      <c r="GN99" s="82"/>
      <c r="GO99" s="766"/>
      <c r="GP99" s="766"/>
      <c r="GQ99" s="766"/>
      <c r="GR99" s="766"/>
      <c r="GS99" s="766"/>
      <c r="GT99" s="766"/>
      <c r="GU99" s="766"/>
      <c r="GV99" s="766"/>
      <c r="GW99" s="766"/>
      <c r="GX99" s="766"/>
      <c r="GY99" s="766"/>
      <c r="GZ99" s="766"/>
      <c r="HA99" s="766"/>
      <c r="HB99" s="766"/>
      <c r="HC99" s="766"/>
      <c r="HD99" s="766"/>
      <c r="HE99" s="766"/>
      <c r="HF99" s="766"/>
      <c r="HG99" s="766"/>
      <c r="HH99" s="766"/>
      <c r="HI99" s="766"/>
      <c r="HJ99" s="766"/>
      <c r="HK99" s="766"/>
      <c r="HL99" s="766"/>
      <c r="HM99" s="766"/>
      <c r="HN99" s="766"/>
      <c r="HO99" s="766"/>
      <c r="HP99" s="766"/>
      <c r="HQ99" s="766"/>
      <c r="HR99" s="766"/>
      <c r="HS99" s="766"/>
      <c r="HT99" s="766"/>
      <c r="HU99" s="766"/>
      <c r="HV99" s="766"/>
      <c r="HW99" s="766"/>
      <c r="HX99" s="766"/>
      <c r="HY99" s="766"/>
      <c r="HZ99" s="766"/>
      <c r="IA99" s="766"/>
      <c r="IB99" s="766"/>
      <c r="IC99" s="766"/>
      <c r="ID99" s="766"/>
      <c r="IE99" s="766"/>
      <c r="IF99" s="766"/>
      <c r="IG99" s="766"/>
      <c r="IH99" s="766"/>
      <c r="II99" s="766"/>
      <c r="IJ99" s="766"/>
      <c r="IK99" s="766"/>
      <c r="IL99" s="766"/>
      <c r="IM99" s="766"/>
      <c r="IN99" s="766"/>
      <c r="IO99" s="24"/>
      <c r="IP99" s="766"/>
      <c r="IQ99" s="766"/>
      <c r="IR99" s="766"/>
      <c r="IS99" s="766"/>
      <c r="IT99" s="766"/>
      <c r="IU99" s="766"/>
      <c r="IV99" s="766"/>
      <c r="IW99" s="766"/>
      <c r="IX99" s="766"/>
      <c r="IY99" s="766"/>
      <c r="IZ99" s="766"/>
      <c r="JA99" s="766"/>
      <c r="JB99" s="766"/>
      <c r="JC99" s="766"/>
      <c r="JD99" s="775"/>
      <c r="JE99" s="766"/>
      <c r="JF99" s="766"/>
      <c r="JG99" s="766"/>
      <c r="JH99" s="766"/>
      <c r="JI99" s="302"/>
      <c r="JJ99" s="766">
        <v>2</v>
      </c>
      <c r="JK99" s="766" t="s">
        <v>12554</v>
      </c>
      <c r="JL99" s="766"/>
      <c r="JM99" s="766">
        <v>1</v>
      </c>
      <c r="JN99" s="766">
        <v>1</v>
      </c>
      <c r="JO99" s="766"/>
      <c r="JP99" s="766"/>
      <c r="JQ99" s="766"/>
      <c r="JR99" s="766"/>
      <c r="JS99" s="766"/>
      <c r="JT99" s="766">
        <f>SUM(JP99,JN99,JL99,JR99)</f>
        <v>1</v>
      </c>
      <c r="JU99" s="766">
        <f>SUM(JQ99,JO99,JM99,JS99)</f>
        <v>1</v>
      </c>
      <c r="JV99" s="28"/>
      <c r="JW99" s="28"/>
      <c r="JX99" s="766"/>
      <c r="JY99" s="766"/>
      <c r="JZ99" s="766"/>
      <c r="KA99" s="766"/>
      <c r="KB99" s="766">
        <v>1</v>
      </c>
      <c r="KC99" s="766">
        <v>1</v>
      </c>
      <c r="KD99" s="766"/>
      <c r="KE99" s="766"/>
      <c r="KF99" s="766"/>
      <c r="KG99" s="766"/>
      <c r="KH99" s="766"/>
      <c r="KI99" s="766"/>
      <c r="KJ99" s="770">
        <f>SUM(KF99,KD99,KB99,JZ99,JX99,KH99)</f>
        <v>1</v>
      </c>
      <c r="KK99" s="770">
        <f>SUM(KG99,KE99,KC99,KA99,JY99,KI99)</f>
        <v>1</v>
      </c>
      <c r="KL99" s="766"/>
      <c r="KM99" s="766"/>
      <c r="KN99" s="766"/>
      <c r="KO99" s="766"/>
      <c r="KP99" s="766"/>
      <c r="KQ99" s="766"/>
      <c r="KR99" s="766"/>
      <c r="KS99" s="766"/>
      <c r="KT99" s="766"/>
      <c r="KU99" s="766"/>
      <c r="KV99" s="766">
        <v>1</v>
      </c>
      <c r="KW99" s="766">
        <v>1</v>
      </c>
      <c r="KX99" s="766">
        <v>1</v>
      </c>
      <c r="KY99" s="1702">
        <v>1</v>
      </c>
      <c r="KZ99" s="766"/>
      <c r="LA99" s="1681"/>
      <c r="LB99" s="766"/>
      <c r="LC99" s="766"/>
      <c r="LD99" s="766">
        <v>1</v>
      </c>
      <c r="LE99" s="770"/>
      <c r="LF99" s="770"/>
      <c r="LG99" s="770"/>
      <c r="LH99" s="770"/>
      <c r="LI99" s="770"/>
      <c r="LJ99" s="770"/>
      <c r="LK99" s="770"/>
      <c r="LL99" s="770"/>
      <c r="LM99" s="770"/>
      <c r="LN99" s="770"/>
      <c r="LO99" s="770"/>
      <c r="LP99" s="770"/>
      <c r="LQ99" s="770"/>
      <c r="LR99" s="770"/>
      <c r="LS99" s="770"/>
      <c r="LT99" s="770"/>
      <c r="LU99" s="770"/>
      <c r="LV99" s="770"/>
      <c r="LW99" s="770"/>
      <c r="LX99" s="769"/>
      <c r="LY99" s="766">
        <v>1</v>
      </c>
      <c r="LZ99" s="66">
        <v>1240</v>
      </c>
      <c r="MA99" s="766"/>
      <c r="MB99" s="766"/>
      <c r="MC99" s="1679">
        <v>1240</v>
      </c>
      <c r="MD99" s="66">
        <v>3500</v>
      </c>
      <c r="ME99" s="66"/>
      <c r="MF99" s="66">
        <v>1500</v>
      </c>
      <c r="MG99" s="1680">
        <v>5000</v>
      </c>
      <c r="MH99" s="766" t="s">
        <v>2215</v>
      </c>
      <c r="MI99" s="775">
        <v>3100</v>
      </c>
      <c r="MJ99" s="775">
        <v>1240</v>
      </c>
      <c r="MK99" s="775">
        <v>800</v>
      </c>
      <c r="ML99" s="775"/>
      <c r="MM99" s="775">
        <v>3000</v>
      </c>
      <c r="MN99" s="775"/>
      <c r="MO99" s="775">
        <v>300</v>
      </c>
      <c r="MP99" s="775">
        <v>620</v>
      </c>
      <c r="MQ99" s="775"/>
      <c r="MR99" s="775"/>
      <c r="MS99" s="775"/>
      <c r="MT99" s="775"/>
      <c r="MU99" s="775"/>
      <c r="MV99" s="775"/>
      <c r="MW99" s="775"/>
      <c r="MX99" s="775"/>
      <c r="MY99" s="1682"/>
      <c r="MZ99" s="766"/>
      <c r="NA99" s="766"/>
      <c r="NB99" s="766"/>
      <c r="NC99" s="766"/>
      <c r="ND99" s="766"/>
      <c r="NE99" s="766"/>
      <c r="NF99" s="766"/>
      <c r="NG99" s="766"/>
      <c r="NH99" s="766"/>
      <c r="NI99" s="766"/>
      <c r="NJ99" s="766"/>
      <c r="NK99" s="766"/>
      <c r="NL99" s="766"/>
      <c r="NM99" s="766"/>
      <c r="NN99" s="766"/>
      <c r="NO99" s="766"/>
      <c r="NP99" s="766"/>
      <c r="NQ99" s="766"/>
      <c r="NR99" s="766"/>
      <c r="NS99" s="766"/>
      <c r="NT99" s="766"/>
      <c r="NU99" s="766"/>
      <c r="NV99" s="766"/>
      <c r="NW99" s="766"/>
      <c r="NX99" s="766"/>
      <c r="NY99" s="766"/>
      <c r="NZ99" s="766"/>
      <c r="OA99" s="766"/>
      <c r="OB99" s="766"/>
      <c r="OC99" s="766"/>
      <c r="OD99" s="766"/>
      <c r="OE99" s="766"/>
      <c r="OF99" s="766"/>
      <c r="OG99" s="766"/>
      <c r="OH99" s="766"/>
      <c r="OI99" s="766"/>
      <c r="OJ99" s="766"/>
      <c r="OK99" s="766"/>
      <c r="OL99" s="766"/>
      <c r="OM99" s="766"/>
      <c r="ON99" s="766"/>
      <c r="OO99" s="766"/>
      <c r="OP99" s="766"/>
      <c r="OQ99" s="766"/>
      <c r="OR99" s="766"/>
      <c r="OS99" s="766"/>
      <c r="OT99" s="766"/>
      <c r="OU99" s="766"/>
      <c r="OV99" s="766"/>
      <c r="OW99" s="766"/>
      <c r="OX99" s="766"/>
      <c r="OY99" s="766"/>
      <c r="OZ99" s="766"/>
      <c r="PA99" s="766"/>
      <c r="PB99" s="766"/>
      <c r="PC99" s="766"/>
      <c r="PD99" s="766"/>
      <c r="PE99" s="766"/>
      <c r="PF99" s="766"/>
      <c r="PG99" s="766"/>
      <c r="PH99" s="766"/>
      <c r="PI99" s="766"/>
      <c r="PJ99" s="766"/>
      <c r="PK99" s="766"/>
      <c r="PL99" s="766"/>
      <c r="PM99" s="766"/>
      <c r="PN99" s="766"/>
      <c r="PO99" s="766"/>
      <c r="PP99" s="766"/>
      <c r="PQ99" s="766"/>
      <c r="PR99" s="766"/>
      <c r="PS99" s="766"/>
      <c r="PT99" s="766"/>
      <c r="PU99" s="766"/>
      <c r="PV99" s="766"/>
      <c r="PW99" s="766"/>
      <c r="PX99" s="766"/>
      <c r="PY99" s="766"/>
      <c r="PZ99" s="766"/>
      <c r="QA99" s="766"/>
      <c r="QB99" s="766"/>
      <c r="QC99" s="766"/>
      <c r="QD99" s="766"/>
      <c r="QE99" s="766"/>
      <c r="QF99" s="766"/>
      <c r="QG99" s="766"/>
      <c r="QH99" s="766"/>
      <c r="QI99" s="766"/>
      <c r="QJ99" s="766"/>
      <c r="QK99" s="766"/>
      <c r="QL99" s="766"/>
      <c r="QM99" s="766"/>
      <c r="QN99" s="766"/>
      <c r="QO99" s="766"/>
      <c r="QP99" s="766"/>
      <c r="QQ99" s="766"/>
      <c r="QR99" s="766"/>
      <c r="QS99" s="766"/>
      <c r="QT99" s="766"/>
      <c r="QU99" s="766"/>
      <c r="QV99" s="766"/>
      <c r="QW99" s="766"/>
      <c r="QX99" s="766"/>
      <c r="QY99" s="766"/>
      <c r="QZ99" s="766"/>
      <c r="RA99" s="766"/>
      <c r="RB99" s="766"/>
      <c r="RC99" s="766"/>
      <c r="RD99" s="770"/>
      <c r="RE99" s="766"/>
      <c r="RF99" s="766"/>
      <c r="RG99" s="777"/>
      <c r="RH99" s="766"/>
      <c r="RI99" s="775"/>
      <c r="RJ99" s="766"/>
      <c r="RK99" s="766"/>
      <c r="RL99" s="766"/>
      <c r="RM99" s="1683"/>
      <c r="RN99" s="12"/>
      <c r="RO99" s="1684"/>
      <c r="RP99" s="11"/>
      <c r="RQ99" s="11"/>
      <c r="RR99" s="11"/>
      <c r="RS99" s="17"/>
      <c r="RT99" s="766"/>
      <c r="RU99" s="11"/>
      <c r="RV99" s="11"/>
      <c r="RW99" s="766"/>
      <c r="RX99" s="11" t="s">
        <v>108</v>
      </c>
      <c r="RY99" s="11"/>
      <c r="RZ99" s="11" t="s">
        <v>2402</v>
      </c>
      <c r="SA99" s="766"/>
      <c r="SB99" s="11"/>
      <c r="SC99" s="11"/>
    </row>
    <row r="100" spans="1:497" ht="12.75" hidden="1" customHeight="1">
      <c r="A100" s="19" t="s">
        <v>7419</v>
      </c>
      <c r="B100" s="288" t="s">
        <v>12409</v>
      </c>
      <c r="C100" s="188" t="s">
        <v>113</v>
      </c>
      <c r="D100" s="310" t="s">
        <v>114</v>
      </c>
      <c r="E100" s="766" t="s">
        <v>5487</v>
      </c>
      <c r="F100" s="766"/>
      <c r="G100" s="766"/>
      <c r="H100" s="766"/>
      <c r="I100" s="5"/>
      <c r="J100" s="14"/>
      <c r="K100" s="766" t="s">
        <v>11768</v>
      </c>
      <c r="L100" s="766" t="s">
        <v>11769</v>
      </c>
      <c r="M100" s="766"/>
      <c r="N100" s="766" t="s">
        <v>11770</v>
      </c>
      <c r="O100" s="766" t="s">
        <v>11771</v>
      </c>
      <c r="P100" s="766"/>
      <c r="Q100" s="1085"/>
      <c r="R100" s="25"/>
      <c r="S100" s="766"/>
      <c r="T100" s="766"/>
      <c r="U100" s="26"/>
      <c r="V100" s="766"/>
      <c r="W100" s="766"/>
      <c r="X100" s="766"/>
      <c r="Y100" s="766"/>
      <c r="Z100" s="766"/>
      <c r="AA100" s="766"/>
      <c r="AB100" s="766"/>
      <c r="AC100" s="766"/>
      <c r="AD100" s="766"/>
      <c r="AE100" s="766"/>
      <c r="AF100" s="766"/>
      <c r="AG100" s="766" t="s">
        <v>1095</v>
      </c>
      <c r="AH100" s="766" t="s">
        <v>1096</v>
      </c>
      <c r="AI100" s="766" t="s">
        <v>1129</v>
      </c>
      <c r="AJ100" s="766"/>
      <c r="AK100" s="766" t="s">
        <v>1097</v>
      </c>
      <c r="AL100" s="333"/>
      <c r="AM100" s="773">
        <v>21</v>
      </c>
      <c r="AN100" s="1138"/>
      <c r="AO100" s="766" t="s">
        <v>1098</v>
      </c>
      <c r="AP100" s="766"/>
      <c r="AQ100" s="766"/>
      <c r="AR100" s="766"/>
      <c r="AS100" s="766"/>
      <c r="AT100" s="766"/>
      <c r="AU100" s="766"/>
      <c r="AV100" s="766"/>
      <c r="AW100" s="766"/>
      <c r="AX100" s="13"/>
      <c r="AY100" s="766"/>
      <c r="AZ100" s="766"/>
      <c r="BA100" s="766"/>
      <c r="BB100" s="766"/>
      <c r="BC100" s="766"/>
      <c r="BD100" s="766"/>
      <c r="BE100" s="766"/>
      <c r="BF100" s="775"/>
      <c r="BG100" s="775"/>
      <c r="BH100" s="766"/>
      <c r="BI100" s="766"/>
      <c r="BJ100" s="766"/>
      <c r="BK100" s="766"/>
      <c r="BL100" s="766"/>
      <c r="BM100" s="766"/>
      <c r="BN100" s="766"/>
      <c r="BO100" s="766"/>
      <c r="BP100" s="776"/>
      <c r="BQ100" s="773"/>
      <c r="BR100" s="774"/>
      <c r="BS100" s="766"/>
      <c r="BT100" s="766"/>
      <c r="BU100" s="766"/>
      <c r="BV100" s="766"/>
      <c r="BW100" s="766"/>
      <c r="BX100" s="779"/>
      <c r="BY100" s="775"/>
      <c r="BZ100" s="775"/>
      <c r="CA100" s="766"/>
      <c r="CB100" s="766" t="s">
        <v>1207</v>
      </c>
      <c r="CC100" s="766" t="s">
        <v>1459</v>
      </c>
      <c r="CD100" s="766"/>
      <c r="CE100" s="766"/>
      <c r="CF100" s="777">
        <v>3.5</v>
      </c>
      <c r="CG100" s="231">
        <v>53.2</v>
      </c>
      <c r="CH100" s="766" t="s">
        <v>1460</v>
      </c>
      <c r="CI100" s="766"/>
      <c r="CJ100" s="766"/>
      <c r="CK100" s="766">
        <v>11</v>
      </c>
      <c r="CL100" s="766" t="s">
        <v>1240</v>
      </c>
      <c r="CM100" s="766" t="s">
        <v>1461</v>
      </c>
      <c r="CN100" s="766"/>
      <c r="CO100" s="766" t="s">
        <v>1257</v>
      </c>
      <c r="CP100" s="766"/>
      <c r="CQ100" s="766"/>
      <c r="CR100" s="775"/>
      <c r="CS100" s="766"/>
      <c r="CT100" s="766"/>
      <c r="CU100" s="129"/>
      <c r="CV100" s="766"/>
      <c r="CW100" s="766"/>
      <c r="CX100" s="766"/>
      <c r="CY100" s="766"/>
      <c r="CZ100" s="766"/>
      <c r="DA100" s="66"/>
      <c r="DB100" s="766"/>
      <c r="DC100" s="766"/>
      <c r="DD100" s="766"/>
      <c r="DE100" s="772"/>
      <c r="DF100" s="766"/>
      <c r="DG100" s="766"/>
      <c r="DH100" s="766"/>
      <c r="DI100" s="766"/>
      <c r="DJ100" s="766"/>
      <c r="DK100" s="766"/>
      <c r="DL100" s="766"/>
      <c r="DM100" s="766"/>
      <c r="DN100" s="44"/>
      <c r="DO100" s="766"/>
      <c r="DP100" s="766"/>
      <c r="DQ100" s="766"/>
      <c r="DR100" s="766"/>
      <c r="DS100" s="59"/>
      <c r="DT100" s="766"/>
      <c r="DU100" s="766"/>
      <c r="DV100" s="766"/>
      <c r="DW100" s="66"/>
      <c r="DX100" s="66"/>
      <c r="DY100" s="766"/>
      <c r="DZ100" s="766"/>
      <c r="EA100" s="766"/>
      <c r="EB100" s="766"/>
      <c r="EC100" s="766"/>
      <c r="ED100" s="766"/>
      <c r="EE100" s="766"/>
      <c r="EF100" s="766"/>
      <c r="EG100" s="766"/>
      <c r="EH100" s="766"/>
      <c r="EI100" s="766"/>
      <c r="EJ100" s="766"/>
      <c r="EK100" s="766"/>
      <c r="EL100" s="766"/>
      <c r="EM100" s="766"/>
      <c r="EN100" s="766"/>
      <c r="EO100" s="766"/>
      <c r="EP100" s="14"/>
      <c r="EQ100" s="766"/>
      <c r="ER100" s="766"/>
      <c r="ES100" s="766"/>
      <c r="ET100" s="766"/>
      <c r="EU100" s="766"/>
      <c r="EV100" s="766"/>
      <c r="EW100" s="766"/>
      <c r="EX100" s="766"/>
      <c r="EY100" s="766"/>
      <c r="EZ100" s="766"/>
      <c r="FA100" s="766"/>
      <c r="FB100" s="766"/>
      <c r="FC100" s="766"/>
      <c r="FD100" s="775"/>
      <c r="FE100" s="766"/>
      <c r="FF100" s="766"/>
      <c r="FG100" s="766"/>
      <c r="FH100" s="766"/>
      <c r="FI100" s="766"/>
      <c r="FJ100" s="766"/>
      <c r="FK100" s="766"/>
      <c r="FL100" s="766"/>
      <c r="FM100" s="775"/>
      <c r="FN100" s="775"/>
      <c r="FO100" s="775"/>
      <c r="FP100" s="766"/>
      <c r="FQ100" s="766"/>
      <c r="FR100" s="766"/>
      <c r="FS100" s="766"/>
      <c r="FT100" s="766"/>
      <c r="FU100" s="766"/>
      <c r="FV100" s="766"/>
      <c r="FW100" s="766"/>
      <c r="FX100" s="766"/>
      <c r="FY100" s="766"/>
      <c r="FZ100" s="766"/>
      <c r="GA100" s="766"/>
      <c r="GB100" s="766"/>
      <c r="GC100" s="75"/>
      <c r="GD100" s="25"/>
      <c r="GE100" s="766"/>
      <c r="GF100" s="775"/>
      <c r="GG100" s="775"/>
      <c r="GH100" s="766"/>
      <c r="GI100" s="766"/>
      <c r="GJ100" s="766"/>
      <c r="GK100" s="766"/>
      <c r="GL100" s="766"/>
      <c r="GM100" s="766"/>
      <c r="GN100" s="82"/>
      <c r="GO100" s="766"/>
      <c r="GP100" s="766"/>
      <c r="GQ100" s="766"/>
      <c r="GR100" s="766"/>
      <c r="GS100" s="766"/>
      <c r="GT100" s="766"/>
      <c r="GU100" s="766"/>
      <c r="GV100" s="766"/>
      <c r="GW100" s="766"/>
      <c r="GX100" s="766"/>
      <c r="GY100" s="766"/>
      <c r="GZ100" s="766"/>
      <c r="HA100" s="766"/>
      <c r="HB100" s="766"/>
      <c r="HC100" s="766"/>
      <c r="HD100" s="766"/>
      <c r="HE100" s="766"/>
      <c r="HF100" s="766"/>
      <c r="HG100" s="766"/>
      <c r="HH100" s="766"/>
      <c r="HI100" s="766"/>
      <c r="HJ100" s="766"/>
      <c r="HK100" s="766"/>
      <c r="HL100" s="766"/>
      <c r="HM100" s="766"/>
      <c r="HN100" s="766"/>
      <c r="HO100" s="766"/>
      <c r="HP100" s="766"/>
      <c r="HQ100" s="766"/>
      <c r="HR100" s="766"/>
      <c r="HS100" s="766"/>
      <c r="HT100" s="766"/>
      <c r="HU100" s="766"/>
      <c r="HV100" s="766"/>
      <c r="HW100" s="766"/>
      <c r="HX100" s="766"/>
      <c r="HY100" s="766"/>
      <c r="HZ100" s="766"/>
      <c r="IA100" s="766"/>
      <c r="IB100" s="766"/>
      <c r="IC100" s="766"/>
      <c r="ID100" s="766"/>
      <c r="IE100" s="766"/>
      <c r="IF100" s="766"/>
      <c r="IG100" s="766"/>
      <c r="IH100" s="766"/>
      <c r="II100" s="766"/>
      <c r="IJ100" s="766"/>
      <c r="IK100" s="766"/>
      <c r="IL100" s="766"/>
      <c r="IM100" s="766"/>
      <c r="IN100" s="766"/>
      <c r="IO100" s="24"/>
      <c r="IP100" s="766"/>
      <c r="IQ100" s="766"/>
      <c r="IR100" s="766"/>
      <c r="IS100" s="766"/>
      <c r="IT100" s="766"/>
      <c r="IU100" s="766"/>
      <c r="IV100" s="766"/>
      <c r="IW100" s="766"/>
      <c r="IX100" s="766"/>
      <c r="IY100" s="766"/>
      <c r="IZ100" s="766"/>
      <c r="JA100" s="766"/>
      <c r="JB100" s="766"/>
      <c r="JC100" s="766"/>
      <c r="JD100" s="775"/>
      <c r="JE100" s="766"/>
      <c r="JF100" s="766"/>
      <c r="JG100" s="766"/>
      <c r="JH100" s="766"/>
      <c r="JI100" s="766"/>
      <c r="JJ100" s="766"/>
      <c r="JK100" s="766"/>
      <c r="JL100" s="766"/>
      <c r="JM100" s="766"/>
      <c r="JN100" s="766"/>
      <c r="JO100" s="766"/>
      <c r="JP100" s="766"/>
      <c r="JQ100" s="766"/>
      <c r="JR100" s="766"/>
      <c r="JS100" s="766"/>
      <c r="JT100" s="766"/>
      <c r="JU100" s="766"/>
      <c r="JV100" s="766"/>
      <c r="JW100" s="766"/>
      <c r="JX100" s="766"/>
      <c r="JY100" s="766"/>
      <c r="JZ100" s="766"/>
      <c r="KA100" s="766"/>
      <c r="KB100" s="766"/>
      <c r="KC100" s="766"/>
      <c r="KD100" s="766"/>
      <c r="KE100" s="766"/>
      <c r="KF100" s="766"/>
      <c r="KG100" s="766"/>
      <c r="KH100" s="766"/>
      <c r="KI100" s="766"/>
      <c r="KJ100" s="766"/>
      <c r="KK100" s="766"/>
      <c r="KL100" s="766"/>
      <c r="KM100" s="766"/>
      <c r="KN100" s="766"/>
      <c r="KO100" s="766"/>
      <c r="KP100" s="766"/>
      <c r="KQ100" s="766"/>
      <c r="KR100" s="766"/>
      <c r="KS100" s="766"/>
      <c r="KT100" s="766"/>
      <c r="KU100" s="766"/>
      <c r="KV100" s="766"/>
      <c r="KW100" s="766"/>
      <c r="KX100" s="766"/>
      <c r="KY100" s="766"/>
      <c r="KZ100" s="766"/>
      <c r="LA100" s="766"/>
      <c r="LB100" s="766"/>
      <c r="LC100" s="766"/>
      <c r="LD100" s="770"/>
      <c r="LE100" s="770"/>
      <c r="LF100" s="770"/>
      <c r="LG100" s="770"/>
      <c r="LH100" s="770"/>
      <c r="LI100" s="770"/>
      <c r="LJ100" s="770"/>
      <c r="LK100" s="770"/>
      <c r="LL100" s="770"/>
      <c r="LM100" s="770"/>
      <c r="LN100" s="770"/>
      <c r="LO100" s="770"/>
      <c r="LP100" s="770"/>
      <c r="LQ100" s="770"/>
      <c r="LR100" s="770"/>
      <c r="LS100" s="770"/>
      <c r="LT100" s="770"/>
      <c r="LU100" s="770"/>
      <c r="LV100" s="770"/>
      <c r="LW100" s="770"/>
      <c r="LX100" s="769"/>
      <c r="LY100" s="766" t="s">
        <v>5911</v>
      </c>
      <c r="LZ100" s="66"/>
      <c r="MA100" s="766"/>
      <c r="MB100" s="766"/>
      <c r="MC100" s="1679">
        <v>0</v>
      </c>
      <c r="MD100" s="66"/>
      <c r="ME100" s="66"/>
      <c r="MF100" s="66"/>
      <c r="MG100" s="1680">
        <v>0</v>
      </c>
      <c r="MH100" s="766"/>
      <c r="MI100" s="775"/>
      <c r="MJ100" s="775"/>
      <c r="MK100" s="775"/>
      <c r="ML100" s="775"/>
      <c r="MM100" s="775"/>
      <c r="MN100" s="775"/>
      <c r="MO100" s="775"/>
      <c r="MP100" s="775"/>
      <c r="MQ100" s="775"/>
      <c r="MR100" s="775"/>
      <c r="MS100" s="775"/>
      <c r="MT100" s="775"/>
      <c r="MU100" s="775"/>
      <c r="MV100" s="775"/>
      <c r="MW100" s="775"/>
      <c r="MX100" s="775"/>
      <c r="MY100" s="1682">
        <v>0</v>
      </c>
      <c r="MZ100" s="766"/>
      <c r="NA100" s="766"/>
      <c r="NB100" s="766"/>
      <c r="NC100" s="766"/>
      <c r="ND100" s="766"/>
      <c r="NE100" s="766"/>
      <c r="NF100" s="766"/>
      <c r="NG100" s="766"/>
      <c r="NH100" s="766"/>
      <c r="NI100" s="766"/>
      <c r="NJ100" s="766"/>
      <c r="NK100" s="766"/>
      <c r="NL100" s="766"/>
      <c r="NM100" s="766"/>
      <c r="NN100" s="766"/>
      <c r="NO100" s="766"/>
      <c r="NP100" s="766"/>
      <c r="NQ100" s="766"/>
      <c r="NR100" s="766"/>
      <c r="NS100" s="766"/>
      <c r="NT100" s="766"/>
      <c r="NU100" s="766"/>
      <c r="NV100" s="766"/>
      <c r="NW100" s="766"/>
      <c r="NX100" s="766"/>
      <c r="NY100" s="766"/>
      <c r="NZ100" s="766"/>
      <c r="OA100" s="766"/>
      <c r="OB100" s="766"/>
      <c r="OC100" s="766"/>
      <c r="OD100" s="766"/>
      <c r="OE100" s="766"/>
      <c r="OF100" s="766"/>
      <c r="OG100" s="766"/>
      <c r="OH100" s="766"/>
      <c r="OI100" s="766"/>
      <c r="OJ100" s="766"/>
      <c r="OK100" s="766"/>
      <c r="OL100" s="766"/>
      <c r="OM100" s="766"/>
      <c r="ON100" s="766"/>
      <c r="OO100" s="766"/>
      <c r="OP100" s="766"/>
      <c r="OQ100" s="766"/>
      <c r="OR100" s="766"/>
      <c r="OS100" s="766"/>
      <c r="OT100" s="766"/>
      <c r="OU100" s="766"/>
      <c r="OV100" s="766"/>
      <c r="OW100" s="766"/>
      <c r="OX100" s="766"/>
      <c r="OY100" s="766"/>
      <c r="OZ100" s="766"/>
      <c r="PA100" s="766"/>
      <c r="PB100" s="766"/>
      <c r="PC100" s="766"/>
      <c r="PD100" s="766"/>
      <c r="PE100" s="766"/>
      <c r="PF100" s="766"/>
      <c r="PG100" s="766"/>
      <c r="PH100" s="766"/>
      <c r="PI100" s="766"/>
      <c r="PJ100" s="766"/>
      <c r="PK100" s="766"/>
      <c r="PL100" s="766"/>
      <c r="PM100" s="766"/>
      <c r="PN100" s="766"/>
      <c r="PO100" s="766"/>
      <c r="PP100" s="766"/>
      <c r="PQ100" s="766"/>
      <c r="PR100" s="766"/>
      <c r="PS100" s="766"/>
      <c r="PT100" s="766"/>
      <c r="PU100" s="766"/>
      <c r="PV100" s="766"/>
      <c r="PW100" s="766"/>
      <c r="PX100" s="766"/>
      <c r="PY100" s="766"/>
      <c r="PZ100" s="766"/>
      <c r="QA100" s="766"/>
      <c r="QB100" s="766"/>
      <c r="QC100" s="766"/>
      <c r="QD100" s="766"/>
      <c r="QE100" s="766"/>
      <c r="QF100" s="766"/>
      <c r="QG100" s="766"/>
      <c r="QH100" s="766"/>
      <c r="QI100" s="766"/>
      <c r="QJ100" s="766"/>
      <c r="QK100" s="766"/>
      <c r="QL100" s="766"/>
      <c r="QM100" s="766"/>
      <c r="QN100" s="766"/>
      <c r="QO100" s="766"/>
      <c r="QP100" s="766"/>
      <c r="QQ100" s="766"/>
      <c r="QR100" s="766"/>
      <c r="QS100" s="766"/>
      <c r="QT100" s="766"/>
      <c r="QU100" s="766"/>
      <c r="QV100" s="766"/>
      <c r="QW100" s="766"/>
      <c r="QX100" s="766"/>
      <c r="QY100" s="766"/>
      <c r="QZ100" s="766"/>
      <c r="RA100" s="766"/>
      <c r="RB100" s="766"/>
      <c r="RC100" s="766"/>
      <c r="RD100" s="770"/>
      <c r="RE100" s="766"/>
      <c r="RF100" s="766"/>
      <c r="RG100" s="777"/>
      <c r="RH100" s="766"/>
      <c r="RI100" s="775"/>
      <c r="RJ100" s="766"/>
      <c r="RK100" s="766"/>
      <c r="RL100" s="766"/>
      <c r="RM100" s="1683"/>
      <c r="RN100" s="12"/>
      <c r="RO100" s="1684"/>
      <c r="RP100" s="11"/>
      <c r="RQ100" s="11"/>
      <c r="RR100" s="11"/>
      <c r="RS100" s="17"/>
      <c r="RT100" s="766"/>
      <c r="RU100" s="11"/>
      <c r="RV100" s="11"/>
      <c r="RW100" s="766"/>
      <c r="RX100" s="11" t="s">
        <v>108</v>
      </c>
      <c r="RY100" s="11"/>
      <c r="RZ100" s="11" t="s">
        <v>2402</v>
      </c>
      <c r="SA100" s="766"/>
      <c r="SB100" s="11"/>
      <c r="SC100" s="11"/>
    </row>
    <row r="101" spans="1:497" ht="12.75" hidden="1" customHeight="1">
      <c r="A101" s="19" t="s">
        <v>7419</v>
      </c>
      <c r="B101" s="1093" t="s">
        <v>11809</v>
      </c>
      <c r="C101" s="188" t="s">
        <v>11773</v>
      </c>
      <c r="D101" s="766" t="s">
        <v>11810</v>
      </c>
      <c r="E101" s="766" t="s">
        <v>11811</v>
      </c>
      <c r="F101" s="766"/>
      <c r="G101" s="766"/>
      <c r="H101" s="766"/>
      <c r="I101" s="5"/>
      <c r="J101" s="14"/>
      <c r="K101" s="766" t="s">
        <v>11774</v>
      </c>
      <c r="L101" s="766" t="s">
        <v>11775</v>
      </c>
      <c r="M101" s="766"/>
      <c r="N101" s="766" t="s">
        <v>11812</v>
      </c>
      <c r="O101" s="766" t="s">
        <v>11813</v>
      </c>
      <c r="P101" s="766"/>
      <c r="Q101" s="1085"/>
      <c r="R101" s="25"/>
      <c r="S101" s="766"/>
      <c r="T101" s="766"/>
      <c r="U101" s="26"/>
      <c r="V101" s="766"/>
      <c r="W101" s="766"/>
      <c r="X101" s="766"/>
      <c r="Y101" s="766"/>
      <c r="Z101" s="766"/>
      <c r="AA101" s="766"/>
      <c r="AB101" s="766"/>
      <c r="AC101" s="766"/>
      <c r="AD101" s="766"/>
      <c r="AE101" s="766"/>
      <c r="AF101" s="766"/>
      <c r="AG101" s="766" t="s">
        <v>1095</v>
      </c>
      <c r="AH101" s="766" t="s">
        <v>1120</v>
      </c>
      <c r="AI101" s="766"/>
      <c r="AJ101" s="766" t="s">
        <v>1137</v>
      </c>
      <c r="AK101" s="766" t="s">
        <v>1097</v>
      </c>
      <c r="AL101" s="333">
        <v>97.79</v>
      </c>
      <c r="AM101" s="773">
        <v>17.018000000000001</v>
      </c>
      <c r="AN101" s="1138">
        <v>0.17402597402597403</v>
      </c>
      <c r="AO101" s="769" t="s">
        <v>12557</v>
      </c>
      <c r="AP101" s="766"/>
      <c r="AQ101" s="766"/>
      <c r="AR101" s="766"/>
      <c r="AS101" s="766"/>
      <c r="AT101" s="766"/>
      <c r="AU101" s="766"/>
      <c r="AV101" s="766"/>
      <c r="AW101" s="766"/>
      <c r="AX101" s="13"/>
      <c r="AY101" s="766"/>
      <c r="AZ101" s="766"/>
      <c r="BA101" s="766"/>
      <c r="BB101" s="766"/>
      <c r="BC101" s="766"/>
      <c r="BD101" s="766"/>
      <c r="BE101" s="766"/>
      <c r="BF101" s="775"/>
      <c r="BG101" s="775"/>
      <c r="BH101" s="766"/>
      <c r="BI101" s="766"/>
      <c r="BJ101" s="766"/>
      <c r="BK101" s="766" t="s">
        <v>1099</v>
      </c>
      <c r="BL101" s="766" t="s">
        <v>1137</v>
      </c>
      <c r="BM101" s="766" t="s">
        <v>1120</v>
      </c>
      <c r="BN101" s="766" t="s">
        <v>1230</v>
      </c>
      <c r="BO101" s="766" t="s">
        <v>1246</v>
      </c>
      <c r="BP101" s="776">
        <v>97.79</v>
      </c>
      <c r="BQ101" s="773">
        <v>17.018000000000001</v>
      </c>
      <c r="BR101" s="774">
        <v>0.17402597402597403</v>
      </c>
      <c r="BS101" s="766" t="s">
        <v>1242</v>
      </c>
      <c r="BT101" s="766" t="s">
        <v>2040</v>
      </c>
      <c r="BU101" s="766" t="s">
        <v>1249</v>
      </c>
      <c r="BV101" s="766" t="s">
        <v>1247</v>
      </c>
      <c r="BW101" s="766"/>
      <c r="BX101" s="779"/>
      <c r="BY101" s="775"/>
      <c r="BZ101" s="775"/>
      <c r="CA101" s="766"/>
      <c r="CB101" s="766"/>
      <c r="CC101" s="766"/>
      <c r="CD101" s="766"/>
      <c r="CE101" s="766"/>
      <c r="CF101" s="777"/>
      <c r="CG101" s="231"/>
      <c r="CH101" s="766"/>
      <c r="CI101" s="766"/>
      <c r="CJ101" s="766"/>
      <c r="CK101" s="766"/>
      <c r="CL101" s="766"/>
      <c r="CM101" s="766"/>
      <c r="CN101" s="766"/>
      <c r="CO101" s="766"/>
      <c r="CP101" s="766"/>
      <c r="CQ101" s="766"/>
      <c r="CR101" s="775"/>
      <c r="CS101" s="766"/>
      <c r="CT101" s="766"/>
      <c r="CU101" s="129"/>
      <c r="CV101" s="766"/>
      <c r="CW101" s="766"/>
      <c r="CX101" s="766"/>
      <c r="CY101" s="766"/>
      <c r="CZ101" s="766"/>
      <c r="DA101" s="66"/>
      <c r="DB101" s="766"/>
      <c r="DC101" s="766"/>
      <c r="DD101" s="766"/>
      <c r="DE101" s="772"/>
      <c r="DF101" s="766"/>
      <c r="DG101" s="766"/>
      <c r="DH101" s="766"/>
      <c r="DI101" s="766"/>
      <c r="DJ101" s="766"/>
      <c r="DK101" s="766"/>
      <c r="DL101" s="766"/>
      <c r="DM101" s="766"/>
      <c r="DN101" s="44"/>
      <c r="DO101" s="766"/>
      <c r="DP101" s="766"/>
      <c r="DQ101" s="766"/>
      <c r="DR101" s="766"/>
      <c r="DS101" s="59"/>
      <c r="DT101" s="766"/>
      <c r="DU101" s="766"/>
      <c r="DV101" s="766"/>
      <c r="DW101" s="66"/>
      <c r="DX101" s="66"/>
      <c r="DY101" s="766"/>
      <c r="DZ101" s="766"/>
      <c r="EA101" s="766"/>
      <c r="EB101" s="766"/>
      <c r="EC101" s="766"/>
      <c r="ED101" s="766"/>
      <c r="EE101" s="766"/>
      <c r="EF101" s="766"/>
      <c r="EG101" s="766"/>
      <c r="EH101" s="766"/>
      <c r="EI101" s="766"/>
      <c r="EJ101" s="766"/>
      <c r="EK101" s="766"/>
      <c r="EL101" s="766"/>
      <c r="EM101" s="766"/>
      <c r="EN101" s="766"/>
      <c r="EO101" s="766"/>
      <c r="EP101" s="14"/>
      <c r="EQ101" s="766"/>
      <c r="ER101" s="766"/>
      <c r="ES101" s="766"/>
      <c r="ET101" s="766"/>
      <c r="EU101" s="766"/>
      <c r="EV101" s="766"/>
      <c r="EW101" s="766"/>
      <c r="EX101" s="766"/>
      <c r="EY101" s="766"/>
      <c r="EZ101" s="766"/>
      <c r="FA101" s="766"/>
      <c r="FB101" s="766"/>
      <c r="FC101" s="766"/>
      <c r="FD101" s="775"/>
      <c r="FE101" s="766"/>
      <c r="FF101" s="766"/>
      <c r="FG101" s="766"/>
      <c r="FH101" s="766"/>
      <c r="FI101" s="766"/>
      <c r="FJ101" s="766"/>
      <c r="FK101" s="25"/>
      <c r="FL101" s="766"/>
      <c r="FM101" s="147"/>
      <c r="FN101" s="775"/>
      <c r="FO101" s="775"/>
      <c r="FP101" s="766"/>
      <c r="FQ101" s="766"/>
      <c r="FR101" s="766"/>
      <c r="FS101" s="766"/>
      <c r="FT101" s="766"/>
      <c r="FU101" s="766"/>
      <c r="FV101" s="766"/>
      <c r="FW101" s="766"/>
      <c r="FX101" s="766"/>
      <c r="FY101" s="766"/>
      <c r="FZ101" s="766"/>
      <c r="GA101" s="766"/>
      <c r="GB101" s="766"/>
      <c r="GC101" s="75"/>
      <c r="GD101" s="25"/>
      <c r="GE101" s="766"/>
      <c r="GF101" s="775"/>
      <c r="GG101" s="775"/>
      <c r="GH101" s="766"/>
      <c r="GI101" s="766"/>
      <c r="GJ101" s="766"/>
      <c r="GK101" s="766"/>
      <c r="GL101" s="766"/>
      <c r="GM101" s="766"/>
      <c r="GN101" s="82"/>
      <c r="GO101" s="766"/>
      <c r="GP101" s="766"/>
      <c r="GQ101" s="766"/>
      <c r="GR101" s="766"/>
      <c r="GS101" s="766"/>
      <c r="GT101" s="766"/>
      <c r="GU101" s="766"/>
      <c r="GV101" s="766"/>
      <c r="GW101" s="766"/>
      <c r="GX101" s="766"/>
      <c r="GY101" s="766"/>
      <c r="GZ101" s="766"/>
      <c r="HA101" s="766"/>
      <c r="HB101" s="766"/>
      <c r="HC101" s="766"/>
      <c r="HD101" s="766"/>
      <c r="HE101" s="766"/>
      <c r="HF101" s="766"/>
      <c r="HG101" s="766"/>
      <c r="HH101" s="766"/>
      <c r="HI101" s="766"/>
      <c r="HJ101" s="766"/>
      <c r="HK101" s="766"/>
      <c r="HL101" s="766"/>
      <c r="HM101" s="766"/>
      <c r="HN101" s="766"/>
      <c r="HO101" s="766"/>
      <c r="HP101" s="766"/>
      <c r="HQ101" s="766"/>
      <c r="HR101" s="766"/>
      <c r="HS101" s="766"/>
      <c r="HT101" s="766"/>
      <c r="HU101" s="766"/>
      <c r="HV101" s="766"/>
      <c r="HW101" s="766"/>
      <c r="HX101" s="766"/>
      <c r="HY101" s="766"/>
      <c r="HZ101" s="766"/>
      <c r="IA101" s="766"/>
      <c r="IB101" s="766"/>
      <c r="IC101" s="766"/>
      <c r="ID101" s="766"/>
      <c r="IE101" s="766"/>
      <c r="IF101" s="766"/>
      <c r="IG101" s="766"/>
      <c r="IH101" s="766"/>
      <c r="II101" s="766"/>
      <c r="IJ101" s="766"/>
      <c r="IK101" s="766"/>
      <c r="IL101" s="766"/>
      <c r="IM101" s="766"/>
      <c r="IN101" s="766"/>
      <c r="IO101" s="24"/>
      <c r="IP101" s="766"/>
      <c r="IQ101" s="769"/>
      <c r="IR101" s="770"/>
      <c r="IS101" s="766"/>
      <c r="IT101" s="766"/>
      <c r="IU101" s="766"/>
      <c r="IV101" s="766"/>
      <c r="IW101" s="766"/>
      <c r="IX101" s="766"/>
      <c r="IY101" s="766"/>
      <c r="IZ101" s="766"/>
      <c r="JA101" s="766"/>
      <c r="JB101" s="766"/>
      <c r="JC101" s="766"/>
      <c r="JD101" s="775"/>
      <c r="JE101" s="28"/>
      <c r="JF101" s="28"/>
      <c r="JG101" s="766"/>
      <c r="JH101" s="766"/>
      <c r="JI101" s="766"/>
      <c r="JJ101" s="766"/>
      <c r="JK101" s="766"/>
      <c r="JL101" s="766"/>
      <c r="JM101" s="766"/>
      <c r="JN101" s="766"/>
      <c r="JO101" s="766"/>
      <c r="JP101" s="766"/>
      <c r="JQ101" s="766"/>
      <c r="JR101" s="766"/>
      <c r="JS101" s="766"/>
      <c r="JT101" s="766"/>
      <c r="JU101" s="28"/>
      <c r="JV101" s="28"/>
      <c r="JW101" s="766"/>
      <c r="JX101" s="766"/>
      <c r="JY101" s="766"/>
      <c r="JZ101" s="766"/>
      <c r="KA101" s="766"/>
      <c r="KB101" s="766"/>
      <c r="KC101" s="766"/>
      <c r="KD101" s="766"/>
      <c r="KE101" s="766"/>
      <c r="KF101" s="766"/>
      <c r="KG101" s="766"/>
      <c r="KH101" s="766"/>
      <c r="KI101" s="766"/>
      <c r="KJ101" s="766"/>
      <c r="KK101" s="766"/>
      <c r="KL101" s="766"/>
      <c r="KM101" s="766"/>
      <c r="KN101" s="766"/>
      <c r="KO101" s="766"/>
      <c r="KP101" s="766"/>
      <c r="KQ101" s="766"/>
      <c r="KR101" s="766"/>
      <c r="KS101" s="766"/>
      <c r="KT101" s="766"/>
      <c r="KU101" s="766"/>
      <c r="KV101" s="766"/>
      <c r="KW101" s="766"/>
      <c r="KX101" s="1681"/>
      <c r="KY101" s="1681"/>
      <c r="KZ101" s="766"/>
      <c r="LA101" s="766"/>
      <c r="LB101" s="766"/>
      <c r="LC101" s="766"/>
      <c r="LD101" s="770"/>
      <c r="LE101" s="770"/>
      <c r="LF101" s="770"/>
      <c r="LG101" s="770"/>
      <c r="LH101" s="770"/>
      <c r="LI101" s="770"/>
      <c r="LJ101" s="770"/>
      <c r="LK101" s="770"/>
      <c r="LL101" s="770"/>
      <c r="LM101" s="770"/>
      <c r="LN101" s="770"/>
      <c r="LO101" s="770"/>
      <c r="LP101" s="770"/>
      <c r="LQ101" s="770"/>
      <c r="LR101" s="770"/>
      <c r="LS101" s="770"/>
      <c r="LT101" s="770"/>
      <c r="LU101" s="770"/>
      <c r="LV101" s="770"/>
      <c r="LW101" s="770"/>
      <c r="LX101" s="769"/>
      <c r="LY101" s="766" t="s">
        <v>5911</v>
      </c>
      <c r="LZ101" s="66"/>
      <c r="MA101" s="766"/>
      <c r="MB101" s="766"/>
      <c r="MC101" s="1679">
        <v>0</v>
      </c>
      <c r="MD101" s="66"/>
      <c r="ME101" s="66"/>
      <c r="MF101" s="66"/>
      <c r="MG101" s="1680">
        <v>0</v>
      </c>
      <c r="MH101" s="1681"/>
      <c r="MI101" s="775"/>
      <c r="MJ101" s="775"/>
      <c r="MK101" s="775"/>
      <c r="ML101" s="775"/>
      <c r="MM101" s="775"/>
      <c r="MN101" s="775"/>
      <c r="MO101" s="775"/>
      <c r="MP101" s="775"/>
      <c r="MQ101" s="775"/>
      <c r="MR101" s="775"/>
      <c r="MS101" s="775"/>
      <c r="MT101" s="775"/>
      <c r="MU101" s="775"/>
      <c r="MV101" s="775"/>
      <c r="MW101" s="775"/>
      <c r="MX101" s="775"/>
      <c r="MY101" s="1682">
        <v>0</v>
      </c>
      <c r="MZ101" s="766"/>
      <c r="NA101" s="766"/>
      <c r="NB101" s="766"/>
      <c r="NC101" s="766"/>
      <c r="ND101" s="766"/>
      <c r="NE101" s="766"/>
      <c r="NF101" s="766"/>
      <c r="NG101" s="766"/>
      <c r="NH101" s="766"/>
      <c r="NI101" s="766"/>
      <c r="NJ101" s="766"/>
      <c r="NK101" s="766"/>
      <c r="NL101" s="766"/>
      <c r="NM101" s="766"/>
      <c r="NN101" s="766"/>
      <c r="NO101" s="766"/>
      <c r="NP101" s="766"/>
      <c r="NQ101" s="766"/>
      <c r="NR101" s="766"/>
      <c r="NS101" s="766"/>
      <c r="NT101" s="766"/>
      <c r="NU101" s="766"/>
      <c r="NV101" s="766"/>
      <c r="NW101" s="766"/>
      <c r="NX101" s="766"/>
      <c r="NY101" s="766"/>
      <c r="NZ101" s="766"/>
      <c r="OA101" s="766"/>
      <c r="OB101" s="766"/>
      <c r="OC101" s="766"/>
      <c r="OD101" s="766"/>
      <c r="OE101" s="766"/>
      <c r="OF101" s="766"/>
      <c r="OG101" s="766"/>
      <c r="OH101" s="766"/>
      <c r="OI101" s="766"/>
      <c r="OJ101" s="766"/>
      <c r="OK101" s="28"/>
      <c r="OL101" s="766"/>
      <c r="OM101" s="766"/>
      <c r="ON101" s="766"/>
      <c r="OO101" s="766"/>
      <c r="OP101" s="766"/>
      <c r="OQ101" s="766"/>
      <c r="OR101" s="766"/>
      <c r="OS101" s="766"/>
      <c r="OT101" s="766"/>
      <c r="OU101" s="766"/>
      <c r="OV101" s="766"/>
      <c r="OW101" s="766"/>
      <c r="OX101" s="766"/>
      <c r="OY101" s="766"/>
      <c r="OZ101" s="766"/>
      <c r="PA101" s="766"/>
      <c r="PB101" s="766"/>
      <c r="PC101" s="766"/>
      <c r="PD101" s="766"/>
      <c r="PE101" s="766"/>
      <c r="PF101" s="766"/>
      <c r="PG101" s="766"/>
      <c r="PH101" s="766"/>
      <c r="PI101" s="766"/>
      <c r="PJ101" s="766"/>
      <c r="PK101" s="766"/>
      <c r="PL101" s="766"/>
      <c r="PM101" s="766"/>
      <c r="PN101" s="766"/>
      <c r="PO101" s="766"/>
      <c r="PP101" s="766"/>
      <c r="PQ101" s="766"/>
      <c r="PR101" s="766"/>
      <c r="PS101" s="766"/>
      <c r="PT101" s="766"/>
      <c r="PU101" s="766"/>
      <c r="PV101" s="766"/>
      <c r="PW101" s="766"/>
      <c r="PX101" s="766"/>
      <c r="PY101" s="766"/>
      <c r="PZ101" s="766"/>
      <c r="QA101" s="766"/>
      <c r="QB101" s="766"/>
      <c r="QC101" s="766"/>
      <c r="QD101" s="766"/>
      <c r="QE101" s="766"/>
      <c r="QF101" s="766"/>
      <c r="QG101" s="766"/>
      <c r="QH101" s="766"/>
      <c r="QI101" s="766"/>
      <c r="QJ101" s="766"/>
      <c r="QK101" s="766"/>
      <c r="QL101" s="766"/>
      <c r="QM101" s="766"/>
      <c r="QN101" s="766"/>
      <c r="QO101" s="766"/>
      <c r="QP101" s="766"/>
      <c r="QQ101" s="766"/>
      <c r="QR101" s="766"/>
      <c r="QS101" s="766"/>
      <c r="QT101" s="766"/>
      <c r="QU101" s="766"/>
      <c r="QV101" s="766"/>
      <c r="QW101" s="766"/>
      <c r="QX101" s="766"/>
      <c r="QY101" s="766"/>
      <c r="QZ101" s="766"/>
      <c r="RA101" s="766"/>
      <c r="RB101" s="766"/>
      <c r="RC101" s="766"/>
      <c r="RD101" s="770"/>
      <c r="RE101" s="766"/>
      <c r="RF101" s="766"/>
      <c r="RG101" s="777"/>
      <c r="RH101" s="766"/>
      <c r="RI101" s="775"/>
      <c r="RJ101" s="766"/>
      <c r="RK101" s="766"/>
      <c r="RL101" s="766"/>
      <c r="RM101" s="1683"/>
      <c r="RN101" s="12"/>
      <c r="RO101" s="1684"/>
      <c r="RP101" s="11"/>
      <c r="RQ101" s="11"/>
      <c r="RR101" s="11"/>
      <c r="RS101" s="17"/>
      <c r="RT101" s="766"/>
      <c r="RU101" s="11"/>
      <c r="RV101" s="11"/>
      <c r="RW101" s="766"/>
      <c r="RX101" s="11" t="s">
        <v>108</v>
      </c>
      <c r="RY101" s="11"/>
      <c r="RZ101" s="11" t="s">
        <v>2402</v>
      </c>
      <c r="SA101" s="766"/>
      <c r="SB101" s="11"/>
      <c r="SC101" s="11"/>
    </row>
    <row r="102" spans="1:497" s="1020" customFormat="1" ht="12.75" hidden="1" customHeight="1">
      <c r="A102" s="1030" t="s">
        <v>7419</v>
      </c>
      <c r="B102" s="1031" t="s">
        <v>12630</v>
      </c>
      <c r="C102" s="1039" t="s">
        <v>8382</v>
      </c>
      <c r="D102" s="6" t="s">
        <v>12631</v>
      </c>
      <c r="E102" s="6" t="s">
        <v>12632</v>
      </c>
      <c r="F102" s="6" t="s">
        <v>28</v>
      </c>
      <c r="G102" s="6" t="s">
        <v>10</v>
      </c>
      <c r="H102" s="6"/>
      <c r="I102" s="1012" t="s">
        <v>12633</v>
      </c>
      <c r="J102" s="6" t="s">
        <v>12631</v>
      </c>
      <c r="K102" s="6" t="s">
        <v>12634</v>
      </c>
      <c r="L102" s="6" t="s">
        <v>12635</v>
      </c>
      <c r="M102" s="6"/>
      <c r="N102" s="6" t="s">
        <v>12636</v>
      </c>
      <c r="O102" s="6" t="s">
        <v>12637</v>
      </c>
      <c r="P102" s="6" t="s">
        <v>12638</v>
      </c>
      <c r="Q102" s="1014">
        <v>33125</v>
      </c>
      <c r="R102" s="1015">
        <v>26</v>
      </c>
      <c r="S102" s="6" t="s">
        <v>10</v>
      </c>
      <c r="T102" s="6"/>
      <c r="U102" s="1016"/>
      <c r="V102" s="6" t="s">
        <v>722</v>
      </c>
      <c r="W102" s="1016" t="s">
        <v>12639</v>
      </c>
      <c r="X102" s="1014">
        <v>33924</v>
      </c>
      <c r="Y102" s="6" t="s">
        <v>12632</v>
      </c>
      <c r="Z102" s="6" t="s">
        <v>708</v>
      </c>
      <c r="AA102" s="6" t="s">
        <v>709</v>
      </c>
      <c r="AB102" s="6" t="s">
        <v>7273</v>
      </c>
      <c r="AC102" s="6"/>
      <c r="AD102" s="6" t="s">
        <v>711</v>
      </c>
      <c r="AE102" s="6"/>
      <c r="AF102" s="6" t="s">
        <v>883</v>
      </c>
      <c r="AG102" s="6"/>
      <c r="AH102" s="6"/>
      <c r="AI102" s="6"/>
      <c r="AJ102" s="6"/>
      <c r="AK102" s="6"/>
      <c r="AL102" s="121">
        <v>15</v>
      </c>
      <c r="AM102" s="773">
        <v>15</v>
      </c>
      <c r="AN102" s="42">
        <f>AM102/AL102</f>
        <v>1</v>
      </c>
      <c r="AO102" s="6" t="s">
        <v>1113</v>
      </c>
      <c r="AP102" s="6"/>
      <c r="AQ102" s="6"/>
      <c r="AR102" s="6"/>
      <c r="AS102" s="6"/>
      <c r="AT102" s="6"/>
      <c r="AU102" s="6"/>
      <c r="AV102" s="6"/>
      <c r="AW102" s="6"/>
      <c r="AX102" s="1032"/>
      <c r="AY102" s="6"/>
      <c r="AZ102" s="6"/>
      <c r="BA102" s="6"/>
      <c r="BB102" s="6"/>
      <c r="BC102" s="6"/>
      <c r="BD102" s="6"/>
      <c r="BE102" s="6"/>
      <c r="BF102" s="64"/>
      <c r="BG102" s="64"/>
      <c r="BH102" s="6"/>
      <c r="BI102" s="6"/>
      <c r="BJ102" s="6"/>
      <c r="BK102" s="6"/>
      <c r="BL102" s="6"/>
      <c r="BM102" s="6"/>
      <c r="BN102" s="6"/>
      <c r="BO102" s="6"/>
      <c r="BP102" s="429"/>
      <c r="BQ102" s="559"/>
      <c r="BR102" s="335"/>
      <c r="BS102" s="769"/>
      <c r="BT102" s="1716"/>
      <c r="BU102" s="1716"/>
      <c r="BV102" s="1716"/>
      <c r="BW102" s="6"/>
      <c r="BX102" s="96"/>
      <c r="BY102" s="64"/>
      <c r="BZ102" s="64"/>
      <c r="CA102" s="6"/>
      <c r="CB102" s="6" t="s">
        <v>1207</v>
      </c>
      <c r="CC102" s="6" t="s">
        <v>12424</v>
      </c>
      <c r="CD102" s="6"/>
      <c r="CE102" s="6"/>
      <c r="CF102" s="1026"/>
      <c r="CG102" s="1021"/>
      <c r="CH102" s="6" t="s">
        <v>12640</v>
      </c>
      <c r="CI102" s="1019"/>
      <c r="CJ102" s="6" t="s">
        <v>12641</v>
      </c>
      <c r="CK102" s="6">
        <v>5</v>
      </c>
      <c r="CL102" s="6" t="s">
        <v>1240</v>
      </c>
      <c r="CM102" s="6"/>
      <c r="CN102" s="6"/>
      <c r="CO102" s="6" t="s">
        <v>1257</v>
      </c>
      <c r="CP102" s="6"/>
      <c r="CQ102" s="6"/>
      <c r="CR102" s="64"/>
      <c r="CS102" s="6"/>
      <c r="CT102" s="6"/>
      <c r="CU102" s="1022"/>
      <c r="CV102" s="6"/>
      <c r="CW102" s="6"/>
      <c r="CX102" s="6"/>
      <c r="CY102" s="6"/>
      <c r="CZ102" s="6"/>
      <c r="DA102" s="1024"/>
      <c r="DB102" s="6"/>
      <c r="DC102" s="6"/>
      <c r="DD102" s="6"/>
      <c r="DE102" s="45"/>
      <c r="DF102" s="6"/>
      <c r="DG102" s="6"/>
      <c r="DH102" s="6"/>
      <c r="DI102" s="6"/>
      <c r="DJ102" s="6"/>
      <c r="DK102" s="6"/>
      <c r="DL102" s="6"/>
      <c r="DM102" s="6"/>
      <c r="DN102" s="1126"/>
      <c r="DO102" s="6"/>
      <c r="DP102" s="6"/>
      <c r="DQ102" s="6"/>
      <c r="DR102" s="6"/>
      <c r="DS102" s="1023"/>
      <c r="DT102" s="6"/>
      <c r="DU102" s="6"/>
      <c r="DV102" s="6"/>
      <c r="DW102" s="1024"/>
      <c r="DX102" s="1024"/>
      <c r="DY102" s="6"/>
      <c r="DZ102" s="6"/>
      <c r="EA102" s="6"/>
      <c r="EB102" s="6"/>
      <c r="EC102" s="6"/>
      <c r="ED102" s="6"/>
      <c r="EE102" s="6"/>
      <c r="EF102" s="6"/>
      <c r="EG102" s="6"/>
      <c r="EH102" s="6"/>
      <c r="EI102" s="6"/>
      <c r="EJ102" s="6"/>
      <c r="EK102" s="6"/>
      <c r="EL102" s="6"/>
      <c r="EM102" s="6"/>
      <c r="EN102" s="6"/>
      <c r="EO102" s="6"/>
      <c r="EP102" s="843"/>
      <c r="EQ102" s="6"/>
      <c r="ER102" s="6"/>
      <c r="ES102" s="6"/>
      <c r="ET102" s="6"/>
      <c r="EU102" s="6"/>
      <c r="EV102" s="6"/>
      <c r="EW102" s="6"/>
      <c r="EX102" s="6"/>
      <c r="EY102" s="6"/>
      <c r="EZ102" s="6"/>
      <c r="FA102" s="6"/>
      <c r="FB102" s="6"/>
      <c r="FC102" s="6"/>
      <c r="FD102" s="64"/>
      <c r="FE102" s="6"/>
      <c r="FF102" s="6"/>
      <c r="FG102" s="6"/>
      <c r="FH102" s="6"/>
      <c r="FI102" s="6"/>
      <c r="FJ102" s="6"/>
      <c r="FK102" s="1015"/>
      <c r="FL102" s="6"/>
      <c r="FM102" s="64"/>
      <c r="FN102" s="64"/>
      <c r="FO102" s="64"/>
      <c r="FP102" s="6"/>
      <c r="FQ102" s="6"/>
      <c r="FR102" s="6"/>
      <c r="FS102" s="6"/>
      <c r="FT102" s="6"/>
      <c r="FU102" s="6"/>
      <c r="FV102" s="6"/>
      <c r="FW102" s="6"/>
      <c r="FX102" s="6"/>
      <c r="FY102" s="6"/>
      <c r="FZ102" s="6"/>
      <c r="GA102" s="6"/>
      <c r="GB102" s="6"/>
      <c r="GC102" s="1028"/>
      <c r="GD102" s="1015"/>
      <c r="GE102" s="6"/>
      <c r="GF102" s="64"/>
      <c r="GG102" s="64"/>
      <c r="GH102" s="6"/>
      <c r="GI102" s="6"/>
      <c r="GJ102" s="6"/>
      <c r="GK102" s="6"/>
      <c r="GL102" s="6"/>
      <c r="GM102" s="6"/>
      <c r="GN102" s="1025"/>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v>2</v>
      </c>
      <c r="HS102" s="6"/>
      <c r="HT102" s="6"/>
      <c r="HU102" s="6"/>
      <c r="HV102" s="6"/>
      <c r="HW102" s="6"/>
      <c r="HX102" s="6"/>
      <c r="HY102" s="6"/>
      <c r="HZ102" s="6"/>
      <c r="IA102" s="6"/>
      <c r="IB102" s="6"/>
      <c r="IC102" s="6"/>
      <c r="ID102" s="6"/>
      <c r="IE102" s="6">
        <v>1</v>
      </c>
      <c r="IF102" s="6"/>
      <c r="IG102" s="6"/>
      <c r="IH102" s="6"/>
      <c r="II102" s="6"/>
      <c r="IJ102" s="6"/>
      <c r="IK102" s="6"/>
      <c r="IL102" s="6"/>
      <c r="IM102" s="6"/>
      <c r="IN102" s="6"/>
      <c r="IO102" s="1014"/>
      <c r="IP102" s="6"/>
      <c r="IQ102" s="6"/>
      <c r="IR102" s="1019"/>
      <c r="IS102" s="6"/>
      <c r="IT102" s="6"/>
      <c r="IU102" s="6"/>
      <c r="IV102" s="6"/>
      <c r="IW102" s="6"/>
      <c r="IX102" s="6"/>
      <c r="IY102" s="6"/>
      <c r="IZ102" s="6"/>
      <c r="JA102" s="6"/>
      <c r="JB102" s="6"/>
      <c r="JC102" s="6"/>
      <c r="JD102" s="64"/>
      <c r="JE102" s="1688"/>
      <c r="JF102" s="1688"/>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1688"/>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1690"/>
      <c r="LI102" s="1690"/>
      <c r="LJ102" s="6"/>
      <c r="LK102" s="1716"/>
      <c r="LL102" s="1716"/>
      <c r="LM102" s="1716"/>
      <c r="LN102" s="1716"/>
      <c r="LO102" s="1716"/>
      <c r="LP102" s="1716"/>
      <c r="LQ102" s="1716"/>
      <c r="LR102" s="1716"/>
      <c r="LS102" s="1716"/>
      <c r="LT102" s="1716"/>
      <c r="LU102" s="1716"/>
      <c r="LV102" s="1716"/>
      <c r="LW102" s="1716"/>
      <c r="LX102" s="1693"/>
      <c r="LY102" s="6"/>
      <c r="LZ102" s="1024"/>
      <c r="MA102" s="6"/>
      <c r="MB102" s="6"/>
      <c r="MC102" s="1703"/>
      <c r="MD102" s="1024"/>
      <c r="ME102" s="1024"/>
      <c r="MF102" s="1024"/>
      <c r="MG102" s="1704"/>
      <c r="MH102" s="1690"/>
      <c r="MI102" s="64"/>
      <c r="MJ102" s="64"/>
      <c r="MK102" s="64"/>
      <c r="ML102" s="64"/>
      <c r="MM102" s="64"/>
      <c r="MN102" s="64"/>
      <c r="MO102" s="64"/>
      <c r="MP102" s="64"/>
      <c r="MQ102" s="64"/>
      <c r="MR102" s="64"/>
      <c r="MS102" s="64"/>
      <c r="MT102" s="64"/>
      <c r="MU102" s="64"/>
      <c r="MV102" s="64"/>
      <c r="MW102" s="64"/>
      <c r="MX102" s="64"/>
      <c r="MY102" s="1705"/>
      <c r="MZ102" s="6"/>
      <c r="NA102" s="6"/>
      <c r="NB102" s="6"/>
      <c r="NC102" s="6"/>
      <c r="ND102" s="6"/>
      <c r="NE102" s="6"/>
      <c r="NF102" s="1716"/>
      <c r="NG102" s="1716"/>
      <c r="NH102" s="171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1688"/>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c r="PZ102" s="6"/>
      <c r="QA102" s="6"/>
      <c r="QB102" s="6"/>
      <c r="QC102" s="6"/>
      <c r="QD102" s="6"/>
      <c r="QE102" s="6"/>
      <c r="QF102" s="6"/>
      <c r="QG102" s="6"/>
      <c r="QH102" s="6"/>
      <c r="QI102" s="6"/>
      <c r="QJ102" s="6"/>
      <c r="QK102" s="6"/>
      <c r="QL102" s="6"/>
      <c r="QM102" s="6"/>
      <c r="QN102" s="6"/>
      <c r="QO102" s="6"/>
      <c r="QP102" s="6"/>
      <c r="QQ102" s="6"/>
      <c r="QR102" s="6"/>
      <c r="QS102" s="6"/>
      <c r="QT102" s="6"/>
      <c r="QU102" s="6"/>
      <c r="QV102" s="1026"/>
      <c r="QW102" s="6"/>
      <c r="QX102" s="64"/>
      <c r="QY102" s="6"/>
      <c r="QZ102" s="6"/>
      <c r="RA102" s="6"/>
      <c r="RB102" s="1691"/>
      <c r="RC102" s="1714"/>
      <c r="RD102" s="1724"/>
      <c r="RE102" s="1716"/>
      <c r="RF102" s="1019"/>
      <c r="RG102" s="1716"/>
      <c r="RH102" s="1716"/>
      <c r="RI102" s="1716"/>
      <c r="RJ102" s="1716"/>
      <c r="RK102" s="1716"/>
      <c r="RL102" s="1716"/>
      <c r="RM102" s="1716"/>
      <c r="RN102" s="1716"/>
      <c r="RY102" s="11"/>
      <c r="RZ102" s="11" t="s">
        <v>7419</v>
      </c>
      <c r="SA102" s="766"/>
      <c r="SB102" s="11"/>
      <c r="SC102" s="11"/>
    </row>
    <row r="103" spans="1:497" ht="12.75" customHeight="1">
      <c r="A103" s="19" t="s">
        <v>1101</v>
      </c>
      <c r="B103" s="292" t="s">
        <v>7564</v>
      </c>
      <c r="C103" s="170" t="s">
        <v>126</v>
      </c>
      <c r="D103" s="14" t="s">
        <v>7235</v>
      </c>
      <c r="E103" s="766" t="s">
        <v>12718</v>
      </c>
      <c r="F103" s="766" t="s">
        <v>28</v>
      </c>
      <c r="G103" s="766" t="s">
        <v>10</v>
      </c>
      <c r="H103" s="766"/>
      <c r="I103" s="5"/>
      <c r="J103" s="766"/>
      <c r="K103" s="766"/>
      <c r="L103" s="766"/>
      <c r="M103" s="766"/>
      <c r="N103" s="766"/>
      <c r="O103" s="766" t="s">
        <v>127</v>
      </c>
      <c r="P103" s="14" t="s">
        <v>764</v>
      </c>
      <c r="Q103" s="1085">
        <v>24906</v>
      </c>
      <c r="R103" s="27">
        <v>48</v>
      </c>
      <c r="S103" s="766" t="s">
        <v>10</v>
      </c>
      <c r="T103" s="766"/>
      <c r="U103" s="26" t="s">
        <v>765</v>
      </c>
      <c r="V103" s="766" t="s">
        <v>707</v>
      </c>
      <c r="W103" s="766"/>
      <c r="X103" s="766"/>
      <c r="Y103" s="766" t="s">
        <v>766</v>
      </c>
      <c r="Z103" s="766" t="s">
        <v>708</v>
      </c>
      <c r="AA103" s="766" t="s">
        <v>748</v>
      </c>
      <c r="AB103" s="766" t="s">
        <v>744</v>
      </c>
      <c r="AC103" s="766" t="s">
        <v>724</v>
      </c>
      <c r="AD103" s="766"/>
      <c r="AE103" s="766"/>
      <c r="AF103" s="766" t="s">
        <v>712</v>
      </c>
      <c r="AG103" s="766" t="s">
        <v>1132</v>
      </c>
      <c r="AH103" s="766" t="s">
        <v>1096</v>
      </c>
      <c r="AI103" s="6"/>
      <c r="AJ103" s="6" t="s">
        <v>1137</v>
      </c>
      <c r="AK103" s="766" t="s">
        <v>1101</v>
      </c>
      <c r="AL103" s="121">
        <v>50</v>
      </c>
      <c r="AM103" s="773">
        <v>5</v>
      </c>
      <c r="AN103" s="42">
        <f>AM103/AL103</f>
        <v>0.1</v>
      </c>
      <c r="AO103" s="6" t="s">
        <v>1113</v>
      </c>
      <c r="AP103" s="6"/>
      <c r="AQ103" s="6"/>
      <c r="AR103" s="6"/>
      <c r="AS103" s="766"/>
      <c r="AT103" s="766"/>
      <c r="AU103" s="766"/>
      <c r="AV103" s="766"/>
      <c r="AW103" s="766"/>
      <c r="AX103" s="766"/>
      <c r="AY103" s="766"/>
      <c r="AZ103" s="766"/>
      <c r="BA103" s="766"/>
      <c r="BB103" s="766"/>
      <c r="BC103" s="766"/>
      <c r="BD103" s="766"/>
      <c r="BE103" s="766"/>
      <c r="BF103" s="775"/>
      <c r="BG103" s="775"/>
      <c r="BH103" s="766"/>
      <c r="BI103" s="766"/>
      <c r="BJ103" s="766"/>
      <c r="BK103" s="766" t="s">
        <v>1095</v>
      </c>
      <c r="BL103" s="766" t="s">
        <v>1282</v>
      </c>
      <c r="BM103" s="766" t="s">
        <v>8108</v>
      </c>
      <c r="BN103" s="766" t="s">
        <v>1230</v>
      </c>
      <c r="BO103" s="766" t="s">
        <v>1246</v>
      </c>
      <c r="BP103" s="1109">
        <v>50</v>
      </c>
      <c r="BQ103" s="773">
        <v>50</v>
      </c>
      <c r="BR103" s="774">
        <f>BQ103/BP103</f>
        <v>1</v>
      </c>
      <c r="BS103" s="766" t="s">
        <v>1268</v>
      </c>
      <c r="BT103" s="766" t="s">
        <v>1283</v>
      </c>
      <c r="BU103" s="766" t="s">
        <v>1284</v>
      </c>
      <c r="BV103" s="766" t="s">
        <v>1285</v>
      </c>
      <c r="BW103" s="766">
        <v>2008</v>
      </c>
      <c r="BX103" s="779">
        <v>40000</v>
      </c>
      <c r="BY103" s="766" t="s">
        <v>1207</v>
      </c>
      <c r="BZ103" s="775">
        <v>60000</v>
      </c>
      <c r="CA103" s="766"/>
      <c r="CB103" s="766"/>
      <c r="CC103" s="766"/>
      <c r="CD103" s="766"/>
      <c r="CE103" s="766"/>
      <c r="CF103" s="777"/>
      <c r="CG103" s="778"/>
      <c r="CH103" s="766"/>
      <c r="CI103" s="766"/>
      <c r="CJ103" s="766"/>
      <c r="CK103" s="766"/>
      <c r="CL103" s="766"/>
      <c r="CM103" s="766"/>
      <c r="CN103" s="766"/>
      <c r="CO103" s="766"/>
      <c r="CP103" s="766"/>
      <c r="CQ103" s="766"/>
      <c r="CR103" s="775"/>
      <c r="CS103" s="766"/>
      <c r="CT103" s="766"/>
      <c r="CU103" s="129"/>
      <c r="CV103" s="766"/>
      <c r="CW103" s="766"/>
      <c r="CX103" s="766"/>
      <c r="CY103" s="766"/>
      <c r="CZ103" s="766"/>
      <c r="DA103" s="775"/>
      <c r="DB103" s="766"/>
      <c r="DC103" s="766"/>
      <c r="DD103" s="766"/>
      <c r="DE103" s="766"/>
      <c r="DF103" s="766"/>
      <c r="DG103" s="766"/>
      <c r="DH103" s="766"/>
      <c r="DI103" s="766"/>
      <c r="DJ103" s="766"/>
      <c r="DK103" s="766"/>
      <c r="DL103" s="766"/>
      <c r="DM103" s="766"/>
      <c r="DN103" s="766"/>
      <c r="DO103" s="766"/>
      <c r="DP103" s="766"/>
      <c r="DQ103" s="766"/>
      <c r="DR103" s="766"/>
      <c r="DS103" s="59"/>
      <c r="DT103" s="766"/>
      <c r="DU103" s="766"/>
      <c r="DV103" s="766"/>
      <c r="DW103" s="66"/>
      <c r="DX103" s="66"/>
      <c r="DY103" s="766"/>
      <c r="DZ103" s="766"/>
      <c r="EA103" s="766"/>
      <c r="EB103" s="766"/>
      <c r="EC103" s="766"/>
      <c r="ED103" s="766"/>
      <c r="EE103" s="766"/>
      <c r="EF103" s="766"/>
      <c r="EG103" s="766"/>
      <c r="EH103" s="766"/>
      <c r="EI103" s="766"/>
      <c r="EJ103" s="766"/>
      <c r="EK103" s="766"/>
      <c r="EL103" s="766"/>
      <c r="EM103" s="766"/>
      <c r="EN103" s="766"/>
      <c r="EO103" s="766"/>
      <c r="EP103" s="766"/>
      <c r="EQ103" s="766"/>
      <c r="ER103" s="766"/>
      <c r="ES103" s="766"/>
      <c r="ET103" s="766"/>
      <c r="EU103" s="766"/>
      <c r="EV103" s="766"/>
      <c r="EW103" s="766"/>
      <c r="EX103" s="766"/>
      <c r="EY103" s="766"/>
      <c r="EZ103" s="766"/>
      <c r="FA103" s="766"/>
      <c r="FB103" s="766"/>
      <c r="FC103" s="766"/>
      <c r="FD103" s="775"/>
      <c r="FE103" s="766"/>
      <c r="FF103" s="766"/>
      <c r="FG103" s="766"/>
      <c r="FH103" s="766" t="s">
        <v>478</v>
      </c>
      <c r="FI103" s="766">
        <v>1</v>
      </c>
      <c r="FJ103" s="766"/>
      <c r="FK103" s="766"/>
      <c r="FL103" s="766"/>
      <c r="FM103" s="775"/>
      <c r="FN103" s="775"/>
      <c r="FO103" s="775"/>
      <c r="FP103" s="766" t="s">
        <v>1602</v>
      </c>
      <c r="FQ103" s="766" t="s">
        <v>1660</v>
      </c>
      <c r="FR103" s="766"/>
      <c r="FS103" s="766"/>
      <c r="FT103" s="766"/>
      <c r="FU103" s="766"/>
      <c r="FV103" s="766"/>
      <c r="FW103" s="766"/>
      <c r="FX103" s="766"/>
      <c r="FY103" s="766"/>
      <c r="FZ103" s="766"/>
      <c r="GA103" s="766"/>
      <c r="GB103" s="766" t="s">
        <v>1692</v>
      </c>
      <c r="GC103" s="75"/>
      <c r="GD103" s="25"/>
      <c r="GE103" s="766"/>
      <c r="GF103" s="775"/>
      <c r="GG103" s="775"/>
      <c r="GH103" s="712" t="s">
        <v>1791</v>
      </c>
      <c r="GI103" s="766"/>
      <c r="GJ103" s="766" t="s">
        <v>1799</v>
      </c>
      <c r="GK103" s="766" t="s">
        <v>1806</v>
      </c>
      <c r="GL103" s="770"/>
      <c r="GM103" s="770"/>
      <c r="GN103" s="82">
        <v>1920</v>
      </c>
      <c r="GO103" s="766"/>
      <c r="GP103" s="766" t="s">
        <v>110</v>
      </c>
      <c r="GQ103" s="766" t="s">
        <v>1208</v>
      </c>
      <c r="GR103" s="766"/>
      <c r="GS103" s="766"/>
      <c r="GT103" s="766" t="s">
        <v>1208</v>
      </c>
      <c r="GU103" s="766"/>
      <c r="GV103" s="766"/>
      <c r="GW103" s="766" t="s">
        <v>1207</v>
      </c>
      <c r="GX103" s="766"/>
      <c r="GY103" s="766"/>
      <c r="GZ103" s="766"/>
      <c r="HA103" s="766" t="s">
        <v>1208</v>
      </c>
      <c r="HB103" s="766" t="s">
        <v>1208</v>
      </c>
      <c r="HC103" s="766"/>
      <c r="HD103" s="766"/>
      <c r="HE103" s="766"/>
      <c r="HF103" s="766"/>
      <c r="HG103" s="766"/>
      <c r="HH103" s="766"/>
      <c r="HI103" s="766" t="s">
        <v>1207</v>
      </c>
      <c r="HJ103" s="766" t="s">
        <v>1801</v>
      </c>
      <c r="HK103" s="766" t="s">
        <v>1802</v>
      </c>
      <c r="HL103" s="766"/>
      <c r="HM103" s="766"/>
      <c r="HN103" s="766"/>
      <c r="HO103" s="766" t="s">
        <v>1803</v>
      </c>
      <c r="HP103" s="766"/>
      <c r="HQ103" s="766" t="s">
        <v>1804</v>
      </c>
      <c r="HR103" s="766"/>
      <c r="HS103" s="766"/>
      <c r="HT103" s="766">
        <v>3</v>
      </c>
      <c r="HU103" s="766"/>
      <c r="HV103" s="766"/>
      <c r="HW103" s="766"/>
      <c r="HX103" s="766"/>
      <c r="HY103" s="766"/>
      <c r="HZ103" s="766"/>
      <c r="IA103" s="766"/>
      <c r="IB103" s="14" t="e">
        <f>IF(#REF!&gt;0,IF(#REF!&lt;=10000,"Y",""),"")</f>
        <v>#REF!</v>
      </c>
      <c r="IC103" s="766"/>
      <c r="ID103" s="766"/>
      <c r="IE103" s="766"/>
      <c r="IF103" s="766" t="s">
        <v>1911</v>
      </c>
      <c r="IG103" s="766" t="s">
        <v>10</v>
      </c>
      <c r="IH103" s="766" t="s">
        <v>1912</v>
      </c>
      <c r="II103" s="766"/>
      <c r="IJ103" s="766" t="s">
        <v>1913</v>
      </c>
      <c r="IK103" s="766" t="s">
        <v>1888</v>
      </c>
      <c r="IL103" s="766" t="s">
        <v>1914</v>
      </c>
      <c r="IM103" s="766"/>
      <c r="IN103" s="766" t="s">
        <v>1914</v>
      </c>
      <c r="IO103" s="24">
        <v>24906</v>
      </c>
      <c r="IP103" s="766" t="s">
        <v>478</v>
      </c>
      <c r="IQ103" s="13" t="s">
        <v>1915</v>
      </c>
      <c r="IR103" s="766" t="s">
        <v>1916</v>
      </c>
      <c r="IS103" s="766" t="s">
        <v>1883</v>
      </c>
      <c r="IT103" s="766"/>
      <c r="IU103" s="766"/>
      <c r="IV103" s="766"/>
      <c r="IW103" s="766" t="s">
        <v>764</v>
      </c>
      <c r="IX103" s="766" t="s">
        <v>110</v>
      </c>
      <c r="IY103" s="766" t="s">
        <v>12773</v>
      </c>
      <c r="IZ103" s="766"/>
      <c r="JA103" s="766" t="s">
        <v>1880</v>
      </c>
      <c r="JB103" s="766" t="s">
        <v>12774</v>
      </c>
      <c r="JC103" s="766"/>
      <c r="JD103" s="775">
        <v>2500</v>
      </c>
      <c r="JE103" s="766"/>
      <c r="JF103" s="766"/>
      <c r="JG103" s="766"/>
      <c r="JH103" s="766"/>
      <c r="JI103" s="766"/>
      <c r="JJ103" s="766">
        <v>3</v>
      </c>
      <c r="JK103" s="1139" t="s">
        <v>2052</v>
      </c>
      <c r="JL103" s="766"/>
      <c r="JM103" s="766"/>
      <c r="JN103" s="766">
        <v>2</v>
      </c>
      <c r="JO103" s="766">
        <v>1</v>
      </c>
      <c r="JP103" s="766"/>
      <c r="JQ103" s="766"/>
      <c r="JR103" s="766"/>
      <c r="JS103" s="766"/>
      <c r="JT103" s="766">
        <f t="shared" ref="JT103:JU107" si="20">SUM(JP103,JN103,JL103,JR103)</f>
        <v>2</v>
      </c>
      <c r="JU103" s="766">
        <f t="shared" si="20"/>
        <v>1</v>
      </c>
      <c r="JV103" s="712" t="str">
        <f>IF(JT103=KJ103,"ok","male")</f>
        <v>ok</v>
      </c>
      <c r="JW103" s="712" t="str">
        <f>IF(JU103=KK103,"ok","female")</f>
        <v>ok</v>
      </c>
      <c r="JX103" s="766"/>
      <c r="JY103" s="766"/>
      <c r="JZ103" s="766"/>
      <c r="KA103" s="766"/>
      <c r="KB103" s="766">
        <v>1</v>
      </c>
      <c r="KC103" s="766"/>
      <c r="KD103" s="766">
        <v>1</v>
      </c>
      <c r="KE103" s="766">
        <v>1</v>
      </c>
      <c r="KF103" s="766"/>
      <c r="KG103" s="766"/>
      <c r="KH103" s="766"/>
      <c r="KI103" s="766"/>
      <c r="KJ103" s="770">
        <f t="shared" ref="KJ103:KK107" si="21">SUM(KF103,KD103,KB103,JZ103,JX103,KH103)</f>
        <v>2</v>
      </c>
      <c r="KK103" s="770">
        <f t="shared" si="21"/>
        <v>1</v>
      </c>
      <c r="KL103" s="712" t="str">
        <f>IF(KJ103=LN103,"ok","male")</f>
        <v>ok</v>
      </c>
      <c r="KM103" s="712" t="str">
        <f>IF(KK103=LO103,"ok","female")</f>
        <v>ok</v>
      </c>
      <c r="KN103" s="766" t="s">
        <v>707</v>
      </c>
      <c r="KO103" s="1706"/>
      <c r="KP103" s="766"/>
      <c r="KQ103" s="766"/>
      <c r="KR103" s="766"/>
      <c r="KS103" s="766"/>
      <c r="KT103" s="766">
        <v>1</v>
      </c>
      <c r="KU103" s="766"/>
      <c r="KV103" s="766"/>
      <c r="KW103" s="766"/>
      <c r="KX103" s="766"/>
      <c r="KY103" s="766">
        <v>1</v>
      </c>
      <c r="KZ103" s="766">
        <v>1</v>
      </c>
      <c r="LA103" s="766"/>
      <c r="LB103" s="766"/>
      <c r="LC103" s="766"/>
      <c r="LD103" s="766"/>
      <c r="LE103" s="766"/>
      <c r="LF103" s="766"/>
      <c r="LG103" s="766"/>
      <c r="LH103" s="766"/>
      <c r="LI103" s="766"/>
      <c r="LJ103" s="766"/>
      <c r="LK103" s="766"/>
      <c r="LL103" s="766"/>
      <c r="LM103" s="766"/>
      <c r="LN103" s="766">
        <f t="shared" ref="LN103:LO107" si="22">SUM(KP103,KR103,KT103,KV103,KX103,KZ103,LB103,LD103,LF103,LH103,LJ103,LL103)</f>
        <v>2</v>
      </c>
      <c r="LO103" s="766">
        <f t="shared" si="22"/>
        <v>1</v>
      </c>
      <c r="LP103" s="766">
        <v>3</v>
      </c>
      <c r="LQ103" s="766"/>
      <c r="LR103" s="1681">
        <v>2</v>
      </c>
      <c r="LS103" s="1681">
        <v>1</v>
      </c>
      <c r="LT103" s="712" t="str">
        <f>IF(LQ103=SUM(LU103:LW103),"OK","REV")</f>
        <v>OK</v>
      </c>
      <c r="LU103" s="766"/>
      <c r="LV103" s="766"/>
      <c r="LW103" s="766"/>
      <c r="LX103" s="769">
        <v>1</v>
      </c>
      <c r="LY103" s="766" t="str">
        <f t="shared" ref="LY103:LY134" si="23">IF(ISBLANK(LX103)=TRUE,"",LOOKUP(LX103,RT:RU))</f>
        <v>within the BRGY</v>
      </c>
      <c r="LZ103" s="1696"/>
      <c r="MA103" s="1696">
        <v>2400</v>
      </c>
      <c r="MB103" s="1696"/>
      <c r="MC103" s="1679">
        <f t="shared" ref="MC103:MC164" si="24">SUM(LZ103:MB103)</f>
        <v>2400</v>
      </c>
      <c r="MD103" s="1696"/>
      <c r="ME103" s="1696">
        <v>39600</v>
      </c>
      <c r="MF103" s="1696">
        <v>20000</v>
      </c>
      <c r="MG103" s="1680">
        <f>SUM(MD103:MF103)</f>
        <v>59600</v>
      </c>
      <c r="MH103" s="1681"/>
      <c r="MI103" s="775">
        <v>7750</v>
      </c>
      <c r="MJ103" s="775">
        <v>2400</v>
      </c>
      <c r="MK103" s="775">
        <f>QUOTIENT(10000,12)</f>
        <v>833</v>
      </c>
      <c r="ML103" s="775">
        <f>QUOTIENT(2000,12)</f>
        <v>166</v>
      </c>
      <c r="MM103" s="775"/>
      <c r="MN103" s="775"/>
      <c r="MO103" s="775">
        <v>160</v>
      </c>
      <c r="MP103" s="775">
        <v>1850</v>
      </c>
      <c r="MQ103" s="775">
        <v>250</v>
      </c>
      <c r="MR103" s="775">
        <v>480</v>
      </c>
      <c r="MS103" s="775">
        <f>QUOTIENT(3000,6)</f>
        <v>500</v>
      </c>
      <c r="MT103" s="775"/>
      <c r="MU103" s="775"/>
      <c r="MV103" s="775"/>
      <c r="MW103" s="775"/>
      <c r="MX103" s="775">
        <v>1680</v>
      </c>
      <c r="MY103" s="1682">
        <f t="shared" si="14"/>
        <v>16069</v>
      </c>
      <c r="MZ103" s="766" t="s">
        <v>13117</v>
      </c>
      <c r="NA103" s="766" t="s">
        <v>1249</v>
      </c>
      <c r="NB103" s="766" t="s">
        <v>13105</v>
      </c>
      <c r="NC103" s="766" t="s">
        <v>13007</v>
      </c>
      <c r="ND103" s="766">
        <v>1</v>
      </c>
      <c r="NE103" s="766">
        <v>0</v>
      </c>
      <c r="NF103" s="766">
        <v>0</v>
      </c>
      <c r="NG103" s="766">
        <v>1</v>
      </c>
      <c r="NH103" s="766">
        <v>1</v>
      </c>
      <c r="NI103" s="766">
        <v>0</v>
      </c>
      <c r="NJ103" s="766">
        <v>0</v>
      </c>
      <c r="NK103" s="766"/>
      <c r="NL103" s="766" t="s">
        <v>13118</v>
      </c>
      <c r="NM103" s="766">
        <v>1</v>
      </c>
      <c r="NN103" s="766">
        <v>0</v>
      </c>
      <c r="NO103" s="766">
        <v>0</v>
      </c>
      <c r="NP103" s="766">
        <v>0</v>
      </c>
      <c r="NQ103" s="766">
        <v>0</v>
      </c>
      <c r="NR103" s="766">
        <v>0</v>
      </c>
      <c r="NS103" s="766">
        <v>0</v>
      </c>
      <c r="NT103" s="766">
        <v>0</v>
      </c>
      <c r="NU103" s="766">
        <v>0</v>
      </c>
      <c r="NV103" s="766">
        <v>0</v>
      </c>
      <c r="NW103" s="766">
        <v>0</v>
      </c>
      <c r="NX103" s="766">
        <v>0</v>
      </c>
      <c r="NY103" s="766" t="s">
        <v>1208</v>
      </c>
      <c r="NZ103" s="766"/>
      <c r="OA103" s="766" t="s">
        <v>1208</v>
      </c>
      <c r="OB103" s="766" t="s">
        <v>1208</v>
      </c>
      <c r="OC103" s="766" t="s">
        <v>1208</v>
      </c>
      <c r="OD103" s="766"/>
      <c r="OE103" s="766"/>
      <c r="OF103" s="766" t="s">
        <v>13119</v>
      </c>
      <c r="OG103" s="766"/>
      <c r="OH103" s="766"/>
      <c r="OI103" s="766"/>
      <c r="OJ103" s="766"/>
      <c r="OK103" s="28"/>
      <c r="OL103" s="766" t="s">
        <v>13120</v>
      </c>
      <c r="OM103" s="766" t="s">
        <v>13121</v>
      </c>
      <c r="ON103" s="766"/>
      <c r="OO103" s="766" t="s">
        <v>1207</v>
      </c>
      <c r="OP103" s="770"/>
      <c r="OQ103" s="770"/>
      <c r="OR103" s="766"/>
      <c r="OS103" s="766" t="s">
        <v>13122</v>
      </c>
      <c r="OT103" s="766" t="s">
        <v>13123</v>
      </c>
      <c r="OU103" s="766" t="s">
        <v>13124</v>
      </c>
      <c r="OV103" s="766" t="s">
        <v>1208</v>
      </c>
      <c r="OW103" s="766"/>
      <c r="OX103" s="766"/>
      <c r="OY103" s="766"/>
      <c r="OZ103" s="766"/>
      <c r="PA103" s="766"/>
      <c r="PB103" s="766"/>
      <c r="PC103" s="766"/>
      <c r="PD103" s="766"/>
      <c r="PE103" s="766"/>
      <c r="PF103" s="766"/>
      <c r="PG103" s="766"/>
      <c r="PH103" s="766"/>
      <c r="PI103" s="766"/>
      <c r="PJ103" s="766"/>
      <c r="PK103" s="766" t="s">
        <v>1208</v>
      </c>
      <c r="PL103" s="766"/>
      <c r="PM103" s="766"/>
      <c r="PN103" s="766"/>
      <c r="PO103" s="766"/>
      <c r="PP103" s="766"/>
      <c r="PQ103" s="766" t="s">
        <v>1208</v>
      </c>
      <c r="PR103" s="766" t="s">
        <v>1208</v>
      </c>
      <c r="PS103" s="766" t="s">
        <v>1208</v>
      </c>
      <c r="PT103" s="766" t="s">
        <v>1208</v>
      </c>
      <c r="PU103" s="766"/>
      <c r="PV103" s="766"/>
      <c r="PW103" s="766"/>
      <c r="PX103" s="766"/>
      <c r="PY103" s="766"/>
      <c r="PZ103" s="766"/>
      <c r="QA103" s="766"/>
      <c r="QB103" s="766"/>
      <c r="QC103" s="766"/>
      <c r="QD103" s="766"/>
      <c r="QE103" s="766"/>
      <c r="QF103" s="766"/>
      <c r="QG103" s="766"/>
      <c r="QH103" s="766"/>
      <c r="QI103" s="766"/>
      <c r="QJ103" s="766"/>
      <c r="QK103" s="766"/>
      <c r="QL103" s="766"/>
      <c r="QM103" s="766"/>
      <c r="QN103" s="766"/>
      <c r="QO103" s="766"/>
      <c r="QP103" s="766"/>
      <c r="QQ103" s="766"/>
      <c r="QR103" s="766"/>
      <c r="QS103" s="766"/>
      <c r="QT103" s="766"/>
      <c r="QU103" s="766"/>
      <c r="QV103" s="766"/>
      <c r="QW103" s="766"/>
      <c r="QX103" s="766"/>
      <c r="QY103" s="766"/>
      <c r="QZ103" s="766"/>
      <c r="RA103" s="766"/>
      <c r="RB103" s="770" t="s">
        <v>1207</v>
      </c>
      <c r="RC103" s="766">
        <v>2013</v>
      </c>
      <c r="RD103" s="766" t="s">
        <v>12989</v>
      </c>
      <c r="RE103" s="766" t="s">
        <v>13125</v>
      </c>
      <c r="RF103" s="777" t="s">
        <v>13126</v>
      </c>
      <c r="RG103" s="766" t="s">
        <v>12991</v>
      </c>
      <c r="RH103" s="775">
        <v>5000</v>
      </c>
      <c r="RI103" s="766">
        <v>72</v>
      </c>
      <c r="RJ103" s="766" t="s">
        <v>2052</v>
      </c>
      <c r="RK103" s="766" t="s">
        <v>13086</v>
      </c>
      <c r="RL103" s="1683"/>
      <c r="RM103" s="12"/>
      <c r="RN103" s="1711"/>
      <c r="RO103" s="170" t="s">
        <v>126</v>
      </c>
      <c r="RP103" s="11"/>
      <c r="RQ103" s="11"/>
      <c r="RR103" s="19" t="s">
        <v>7421</v>
      </c>
      <c r="RS103" s="1139" t="s">
        <v>12980</v>
      </c>
      <c r="RT103" s="11"/>
      <c r="RU103" s="11"/>
      <c r="RV103" s="766" t="s">
        <v>7419</v>
      </c>
      <c r="RW103" s="11" t="s">
        <v>11809</v>
      </c>
      <c r="RX103" s="11" t="s">
        <v>11773</v>
      </c>
      <c r="RY103" s="11"/>
      <c r="RZ103" s="11" t="s">
        <v>7421</v>
      </c>
      <c r="SA103" s="766"/>
      <c r="SB103" s="11"/>
      <c r="SC103" s="11"/>
    </row>
    <row r="104" spans="1:497" ht="12.75" hidden="1" customHeight="1">
      <c r="A104" s="19" t="s">
        <v>7419</v>
      </c>
      <c r="B104" s="292" t="s">
        <v>12412</v>
      </c>
      <c r="C104" s="170" t="s">
        <v>129</v>
      </c>
      <c r="D104" s="770" t="s">
        <v>130</v>
      </c>
      <c r="E104" s="766" t="s">
        <v>131</v>
      </c>
      <c r="F104" s="770"/>
      <c r="G104" s="766" t="s">
        <v>10</v>
      </c>
      <c r="H104" s="766"/>
      <c r="I104" s="295" t="s">
        <v>132</v>
      </c>
      <c r="J104" s="770"/>
      <c r="K104" s="770"/>
      <c r="L104" s="770"/>
      <c r="M104" s="770"/>
      <c r="N104" s="770"/>
      <c r="O104" s="770"/>
      <c r="P104" s="766" t="s">
        <v>767</v>
      </c>
      <c r="Q104" s="1085">
        <v>9108</v>
      </c>
      <c r="R104" s="27">
        <v>92</v>
      </c>
      <c r="S104" s="766" t="s">
        <v>18</v>
      </c>
      <c r="T104" s="766"/>
      <c r="U104" s="26"/>
      <c r="V104" s="766" t="s">
        <v>768</v>
      </c>
      <c r="W104" s="766"/>
      <c r="X104" s="766"/>
      <c r="Y104" s="9" t="s">
        <v>131</v>
      </c>
      <c r="Z104" s="766" t="s">
        <v>708</v>
      </c>
      <c r="AA104" s="766" t="s">
        <v>769</v>
      </c>
      <c r="AB104" s="766" t="s">
        <v>762</v>
      </c>
      <c r="AC104" s="766"/>
      <c r="AD104" s="766" t="s">
        <v>770</v>
      </c>
      <c r="AE104" s="766"/>
      <c r="AF104" s="766" t="s">
        <v>771</v>
      </c>
      <c r="AG104" s="766" t="s">
        <v>1095</v>
      </c>
      <c r="AH104" s="766" t="s">
        <v>1096</v>
      </c>
      <c r="AI104" s="766" t="s">
        <v>1133</v>
      </c>
      <c r="AJ104" s="766"/>
      <c r="AK104" s="766" t="s">
        <v>1097</v>
      </c>
      <c r="AL104" s="123">
        <v>5000</v>
      </c>
      <c r="AM104" s="773">
        <v>100</v>
      </c>
      <c r="AN104" s="42">
        <f>AM104/AL104</f>
        <v>0.02</v>
      </c>
      <c r="AO104" s="766" t="s">
        <v>1098</v>
      </c>
      <c r="AP104" s="766"/>
      <c r="AQ104" s="766"/>
      <c r="AR104" s="766"/>
      <c r="AS104" s="766" t="s">
        <v>1207</v>
      </c>
      <c r="AT104" s="766" t="s">
        <v>1208</v>
      </c>
      <c r="AU104" s="766"/>
      <c r="AV104" s="766"/>
      <c r="AW104" s="766"/>
      <c r="AX104" s="766"/>
      <c r="AY104" s="766"/>
      <c r="AZ104" s="766"/>
      <c r="BA104" s="766"/>
      <c r="BB104" s="766"/>
      <c r="BC104" s="766" t="s">
        <v>1212</v>
      </c>
      <c r="BD104" s="766" t="s">
        <v>1207</v>
      </c>
      <c r="BE104" s="766"/>
      <c r="BF104" s="775"/>
      <c r="BG104" s="775"/>
      <c r="BH104" s="766"/>
      <c r="BI104" s="766"/>
      <c r="BJ104" s="766"/>
      <c r="BK104" s="770"/>
      <c r="BL104" s="770"/>
      <c r="BM104" s="766"/>
      <c r="BN104" s="770"/>
      <c r="BO104" s="766"/>
      <c r="BP104" s="776"/>
      <c r="BQ104" s="773"/>
      <c r="BR104" s="774"/>
      <c r="BS104" s="766"/>
      <c r="BT104" s="766"/>
      <c r="BU104" s="766"/>
      <c r="BV104" s="766"/>
      <c r="BW104" s="766"/>
      <c r="BX104" s="779"/>
      <c r="BY104" s="766"/>
      <c r="BZ104" s="775"/>
      <c r="CA104" s="766"/>
      <c r="CB104" s="766" t="s">
        <v>1207</v>
      </c>
      <c r="CC104" s="766" t="s">
        <v>1286</v>
      </c>
      <c r="CD104" s="38"/>
      <c r="CE104" s="38"/>
      <c r="CF104" s="69">
        <v>2</v>
      </c>
      <c r="CG104" s="70">
        <v>45</v>
      </c>
      <c r="CH104" s="38" t="s">
        <v>1465</v>
      </c>
      <c r="CI104" s="38"/>
      <c r="CJ104" s="766"/>
      <c r="CK104" s="766">
        <v>21</v>
      </c>
      <c r="CL104" s="766" t="s">
        <v>1466</v>
      </c>
      <c r="CM104" s="766"/>
      <c r="CN104" s="766"/>
      <c r="CO104" s="766" t="s">
        <v>1467</v>
      </c>
      <c r="CP104" s="766"/>
      <c r="CQ104" s="766"/>
      <c r="CR104" s="775"/>
      <c r="CS104" s="766"/>
      <c r="CT104" s="766"/>
      <c r="CU104" s="129"/>
      <c r="CV104" s="766"/>
      <c r="CW104" s="766"/>
      <c r="CX104" s="766"/>
      <c r="CY104" s="766"/>
      <c r="CZ104" s="766"/>
      <c r="DA104" s="775"/>
      <c r="DB104" s="766"/>
      <c r="DC104" s="766"/>
      <c r="DD104" s="766"/>
      <c r="DE104" s="766"/>
      <c r="DF104" s="766"/>
      <c r="DG104" s="766"/>
      <c r="DH104" s="766"/>
      <c r="DI104" s="766"/>
      <c r="DJ104" s="766"/>
      <c r="DK104" s="766"/>
      <c r="DL104" s="766"/>
      <c r="DM104" s="766"/>
      <c r="DN104" s="766"/>
      <c r="DO104" s="766"/>
      <c r="DP104" s="766"/>
      <c r="DQ104" s="766"/>
      <c r="DR104" s="766"/>
      <c r="DS104" s="59"/>
      <c r="DT104" s="766"/>
      <c r="DU104" s="766"/>
      <c r="DV104" s="766"/>
      <c r="DW104" s="66"/>
      <c r="DX104" s="66"/>
      <c r="DY104" s="766"/>
      <c r="DZ104" s="766"/>
      <c r="EA104" s="766"/>
      <c r="EB104" s="766"/>
      <c r="EC104" s="766"/>
      <c r="ED104" s="766"/>
      <c r="EE104" s="766"/>
      <c r="EF104" s="766"/>
      <c r="EG104" s="766"/>
      <c r="EH104" s="766"/>
      <c r="EI104" s="766"/>
      <c r="EJ104" s="766"/>
      <c r="EK104" s="766"/>
      <c r="EL104" s="766"/>
      <c r="EM104" s="766"/>
      <c r="EN104" s="766"/>
      <c r="EO104" s="766"/>
      <c r="EP104" s="766"/>
      <c r="EQ104" s="766"/>
      <c r="ER104" s="766"/>
      <c r="ES104" s="766"/>
      <c r="ET104" s="766"/>
      <c r="EU104" s="766"/>
      <c r="EV104" s="766"/>
      <c r="EW104" s="766"/>
      <c r="EX104" s="766"/>
      <c r="EY104" s="766"/>
      <c r="EZ104" s="766"/>
      <c r="FA104" s="766"/>
      <c r="FB104" s="766"/>
      <c r="FC104" s="766"/>
      <c r="FD104" s="775"/>
      <c r="FE104" s="766"/>
      <c r="FF104" s="766"/>
      <c r="FG104" s="766"/>
      <c r="FH104" s="766" t="s">
        <v>478</v>
      </c>
      <c r="FI104" s="766"/>
      <c r="FJ104" s="766"/>
      <c r="FK104" s="766"/>
      <c r="FL104" s="766"/>
      <c r="FM104" s="775"/>
      <c r="FN104" s="775"/>
      <c r="FO104" s="775"/>
      <c r="FP104" s="766" t="s">
        <v>1600</v>
      </c>
      <c r="FQ104" s="766" t="s">
        <v>1642</v>
      </c>
      <c r="FR104" s="766" t="s">
        <v>1207</v>
      </c>
      <c r="FS104" s="766"/>
      <c r="FT104" s="766"/>
      <c r="FU104" s="766"/>
      <c r="FV104" s="766"/>
      <c r="FW104" s="766"/>
      <c r="FX104" s="766"/>
      <c r="FY104" s="766"/>
      <c r="FZ104" s="766"/>
      <c r="GA104" s="766"/>
      <c r="GB104" s="766" t="s">
        <v>796</v>
      </c>
      <c r="GC104" s="75" t="s">
        <v>1708</v>
      </c>
      <c r="GD104" s="25">
        <v>2013</v>
      </c>
      <c r="GE104" s="766" t="s">
        <v>1698</v>
      </c>
      <c r="GF104" s="775"/>
      <c r="GG104" s="775"/>
      <c r="GH104" s="766"/>
      <c r="GI104" s="766"/>
      <c r="GJ104" s="766"/>
      <c r="GK104" s="766"/>
      <c r="GL104" s="766"/>
      <c r="GM104" s="766"/>
      <c r="GN104" s="82"/>
      <c r="GO104" s="766"/>
      <c r="GP104" s="766"/>
      <c r="GQ104" s="766"/>
      <c r="GR104" s="766"/>
      <c r="GS104" s="766"/>
      <c r="GT104" s="766"/>
      <c r="GU104" s="766"/>
      <c r="GV104" s="766"/>
      <c r="GW104" s="766"/>
      <c r="GX104" s="766"/>
      <c r="GY104" s="766"/>
      <c r="GZ104" s="766"/>
      <c r="HA104" s="766"/>
      <c r="HB104" s="766"/>
      <c r="HC104" s="766"/>
      <c r="HD104" s="766"/>
      <c r="HE104" s="766"/>
      <c r="HF104" s="766"/>
      <c r="HG104" s="766"/>
      <c r="HH104" s="766"/>
      <c r="HI104" s="766"/>
      <c r="HJ104" s="766"/>
      <c r="HK104" s="766"/>
      <c r="HL104" s="766"/>
      <c r="HM104" s="766"/>
      <c r="HN104" s="766"/>
      <c r="HO104" s="766"/>
      <c r="HP104" s="766"/>
      <c r="HQ104" s="766"/>
      <c r="HR104" s="766">
        <v>2</v>
      </c>
      <c r="HS104" s="766">
        <v>1</v>
      </c>
      <c r="HT104" s="766">
        <v>1</v>
      </c>
      <c r="HU104" s="766"/>
      <c r="HV104" s="766"/>
      <c r="HW104" s="766"/>
      <c r="HX104" s="766"/>
      <c r="HY104" s="766"/>
      <c r="HZ104" s="766"/>
      <c r="IA104" s="766"/>
      <c r="IB104" s="766"/>
      <c r="IC104" s="766" t="s">
        <v>1207</v>
      </c>
      <c r="ID104" s="766" t="s">
        <v>1207</v>
      </c>
      <c r="IE104" s="766" t="s">
        <v>1207</v>
      </c>
      <c r="IF104" s="766"/>
      <c r="IG104" s="766"/>
      <c r="IH104" s="766"/>
      <c r="II104" s="766"/>
      <c r="IJ104" s="766"/>
      <c r="IK104" s="766"/>
      <c r="IL104" s="766"/>
      <c r="IM104" s="766"/>
      <c r="IN104" s="766"/>
      <c r="IO104" s="24"/>
      <c r="IP104" s="766"/>
      <c r="IQ104" s="766"/>
      <c r="IR104" s="766"/>
      <c r="IS104" s="766"/>
      <c r="IT104" s="766"/>
      <c r="IU104" s="766"/>
      <c r="IV104" s="766"/>
      <c r="IW104" s="766"/>
      <c r="IX104" s="766"/>
      <c r="IY104" s="766"/>
      <c r="IZ104" s="766"/>
      <c r="JA104" s="766"/>
      <c r="JB104" s="766"/>
      <c r="JC104" s="766"/>
      <c r="JD104" s="775"/>
      <c r="JE104" s="766"/>
      <c r="JF104" s="766"/>
      <c r="JG104" s="766"/>
      <c r="JH104" s="766"/>
      <c r="JI104" s="766"/>
      <c r="JJ104" s="766">
        <v>6</v>
      </c>
      <c r="JK104" s="766" t="s">
        <v>13127</v>
      </c>
      <c r="JL104" s="766">
        <v>2</v>
      </c>
      <c r="JM104" s="766"/>
      <c r="JN104" s="766">
        <v>1</v>
      </c>
      <c r="JO104" s="766">
        <v>2</v>
      </c>
      <c r="JP104" s="766"/>
      <c r="JQ104" s="766">
        <v>1</v>
      </c>
      <c r="JR104" s="766"/>
      <c r="JS104" s="766"/>
      <c r="JT104" s="766">
        <f t="shared" si="20"/>
        <v>3</v>
      </c>
      <c r="JU104" s="766">
        <f t="shared" si="20"/>
        <v>3</v>
      </c>
      <c r="JV104" s="766"/>
      <c r="JW104" s="766"/>
      <c r="JX104" s="766"/>
      <c r="JY104" s="766"/>
      <c r="JZ104" s="766">
        <v>2</v>
      </c>
      <c r="KA104" s="766"/>
      <c r="KB104" s="766">
        <v>1</v>
      </c>
      <c r="KC104" s="766">
        <v>2</v>
      </c>
      <c r="KD104" s="766"/>
      <c r="KE104" s="766"/>
      <c r="KF104" s="766"/>
      <c r="KG104" s="766">
        <v>1</v>
      </c>
      <c r="KH104" s="766"/>
      <c r="KI104" s="766"/>
      <c r="KJ104" s="770">
        <f t="shared" si="21"/>
        <v>3</v>
      </c>
      <c r="KK104" s="770">
        <f t="shared" si="21"/>
        <v>3</v>
      </c>
      <c r="KL104" s="770"/>
      <c r="KM104" s="770"/>
      <c r="KN104" s="766" t="s">
        <v>768</v>
      </c>
      <c r="KO104" s="766"/>
      <c r="KP104" s="766"/>
      <c r="KQ104" s="766"/>
      <c r="KR104" s="766"/>
      <c r="KS104" s="766"/>
      <c r="KT104" s="766">
        <v>2</v>
      </c>
      <c r="KU104" s="766"/>
      <c r="KV104" s="766"/>
      <c r="KW104" s="766"/>
      <c r="KX104" s="766">
        <v>1</v>
      </c>
      <c r="KY104" s="766"/>
      <c r="KZ104" s="766"/>
      <c r="LA104" s="766">
        <v>1</v>
      </c>
      <c r="LB104" s="766"/>
      <c r="LC104" s="766">
        <v>1</v>
      </c>
      <c r="LD104" s="766"/>
      <c r="LE104" s="766">
        <v>1</v>
      </c>
      <c r="LF104" s="766"/>
      <c r="LG104" s="766"/>
      <c r="LH104" s="766"/>
      <c r="LI104" s="766"/>
      <c r="LJ104" s="766"/>
      <c r="LK104" s="766"/>
      <c r="LL104" s="766"/>
      <c r="LM104" s="766"/>
      <c r="LN104" s="766">
        <f t="shared" si="22"/>
        <v>3</v>
      </c>
      <c r="LO104" s="766">
        <f t="shared" si="22"/>
        <v>3</v>
      </c>
      <c r="LP104" s="766"/>
      <c r="LQ104" s="766"/>
      <c r="LR104" s="766"/>
      <c r="LS104" s="766"/>
      <c r="LT104" s="766"/>
      <c r="LU104" s="766"/>
      <c r="LV104" s="766"/>
      <c r="LW104" s="766"/>
      <c r="LX104" s="769"/>
      <c r="LY104" s="766" t="str">
        <f t="shared" si="23"/>
        <v/>
      </c>
      <c r="LZ104" s="1696"/>
      <c r="MA104" s="1696"/>
      <c r="MB104" s="1696"/>
      <c r="MC104" s="1679">
        <f t="shared" si="24"/>
        <v>0</v>
      </c>
      <c r="MD104" s="1709"/>
      <c r="ME104" s="1709"/>
      <c r="MF104" s="1709"/>
      <c r="MG104" s="1680">
        <f t="shared" si="15"/>
        <v>0</v>
      </c>
      <c r="MH104" s="766"/>
      <c r="MI104" s="775">
        <v>8000</v>
      </c>
      <c r="MJ104" s="775">
        <v>3000</v>
      </c>
      <c r="MK104" s="775">
        <v>2000</v>
      </c>
      <c r="ML104" s="775"/>
      <c r="MM104" s="775">
        <v>500</v>
      </c>
      <c r="MN104" s="775"/>
      <c r="MO104" s="775">
        <v>2500</v>
      </c>
      <c r="MP104" s="775">
        <v>6500</v>
      </c>
      <c r="MQ104" s="775">
        <v>450</v>
      </c>
      <c r="MR104" s="775">
        <v>800</v>
      </c>
      <c r="MS104" s="775">
        <v>1000</v>
      </c>
      <c r="MT104" s="775"/>
      <c r="MU104" s="775">
        <v>3000</v>
      </c>
      <c r="MV104" s="775"/>
      <c r="MW104" s="775"/>
      <c r="MX104" s="775"/>
      <c r="MY104" s="1682">
        <f t="shared" si="14"/>
        <v>27750</v>
      </c>
      <c r="MZ104" s="766"/>
      <c r="NA104" s="766"/>
      <c r="NB104" s="766"/>
      <c r="NC104" s="766"/>
      <c r="ND104" s="766"/>
      <c r="NE104" s="766"/>
      <c r="NF104" s="766"/>
      <c r="NG104" s="766"/>
      <c r="NH104" s="766"/>
      <c r="NI104" s="766"/>
      <c r="NJ104" s="766"/>
      <c r="NK104" s="766"/>
      <c r="NL104" s="766"/>
      <c r="NM104" s="766"/>
      <c r="NN104" s="766"/>
      <c r="NO104" s="766"/>
      <c r="NP104" s="766"/>
      <c r="NQ104" s="766"/>
      <c r="NR104" s="766"/>
      <c r="NS104" s="766"/>
      <c r="NT104" s="766"/>
      <c r="NU104" s="766"/>
      <c r="NV104" s="766"/>
      <c r="NW104" s="766"/>
      <c r="NX104" s="766"/>
      <c r="NY104" s="766"/>
      <c r="NZ104" s="766"/>
      <c r="OA104" s="766"/>
      <c r="OB104" s="766"/>
      <c r="OC104" s="766"/>
      <c r="OD104" s="766"/>
      <c r="OE104" s="766"/>
      <c r="OF104" s="766"/>
      <c r="OG104" s="766"/>
      <c r="OH104" s="766"/>
      <c r="OI104" s="766"/>
      <c r="OJ104" s="766"/>
      <c r="OK104" s="766"/>
      <c r="OL104" s="766"/>
      <c r="OM104" s="766"/>
      <c r="ON104" s="766"/>
      <c r="OO104" s="766"/>
      <c r="OP104" s="766"/>
      <c r="OQ104" s="766"/>
      <c r="OR104" s="766"/>
      <c r="OS104" s="766"/>
      <c r="OT104" s="766"/>
      <c r="OU104" s="766"/>
      <c r="OV104" s="766"/>
      <c r="OW104" s="766"/>
      <c r="OX104" s="766"/>
      <c r="OY104" s="766"/>
      <c r="OZ104" s="766"/>
      <c r="PA104" s="766"/>
      <c r="PB104" s="766"/>
      <c r="PC104" s="766"/>
      <c r="PD104" s="766"/>
      <c r="PE104" s="766"/>
      <c r="PF104" s="766"/>
      <c r="PG104" s="766"/>
      <c r="PH104" s="766"/>
      <c r="PI104" s="766"/>
      <c r="PJ104" s="766"/>
      <c r="PK104" s="766"/>
      <c r="PL104" s="766"/>
      <c r="PM104" s="766"/>
      <c r="PN104" s="766"/>
      <c r="PO104" s="766"/>
      <c r="PP104" s="766"/>
      <c r="PQ104" s="766"/>
      <c r="PR104" s="766"/>
      <c r="PS104" s="766"/>
      <c r="PT104" s="766"/>
      <c r="PU104" s="766"/>
      <c r="PV104" s="766"/>
      <c r="PW104" s="766"/>
      <c r="PX104" s="766"/>
      <c r="PY104" s="766"/>
      <c r="PZ104" s="766"/>
      <c r="QA104" s="766"/>
      <c r="QB104" s="766"/>
      <c r="QC104" s="766"/>
      <c r="QD104" s="766"/>
      <c r="QE104" s="766"/>
      <c r="QF104" s="766"/>
      <c r="QG104" s="766"/>
      <c r="QH104" s="766"/>
      <c r="QI104" s="766"/>
      <c r="QJ104" s="766"/>
      <c r="QK104" s="766"/>
      <c r="QL104" s="766"/>
      <c r="QM104" s="766"/>
      <c r="QN104" s="766"/>
      <c r="QO104" s="766"/>
      <c r="QP104" s="766"/>
      <c r="QQ104" s="766"/>
      <c r="QR104" s="766"/>
      <c r="QS104" s="766"/>
      <c r="QT104" s="766"/>
      <c r="QU104" s="766"/>
      <c r="QV104" s="766"/>
      <c r="QW104" s="766"/>
      <c r="QX104" s="766"/>
      <c r="QY104" s="766"/>
      <c r="QZ104" s="766"/>
      <c r="RA104" s="766"/>
      <c r="RB104" s="766"/>
      <c r="RC104" s="766"/>
      <c r="RD104" s="766"/>
      <c r="RE104" s="766"/>
      <c r="RF104" s="777"/>
      <c r="RG104" s="766"/>
      <c r="RH104" s="775"/>
      <c r="RI104" s="766"/>
      <c r="RJ104" s="766" t="s">
        <v>13128</v>
      </c>
      <c r="RK104" s="766" t="s">
        <v>13129</v>
      </c>
      <c r="RL104" s="1683"/>
      <c r="RM104" s="12"/>
      <c r="RN104" s="1711"/>
      <c r="RO104" s="170" t="s">
        <v>129</v>
      </c>
      <c r="RP104" s="11"/>
      <c r="RQ104" s="11"/>
      <c r="RR104" s="17"/>
      <c r="RS104" s="766"/>
      <c r="RT104" s="11"/>
      <c r="RU104" s="11"/>
      <c r="RV104" s="766" t="s">
        <v>7419</v>
      </c>
      <c r="RW104" s="11"/>
      <c r="RX104" s="11" t="s">
        <v>13130</v>
      </c>
      <c r="RY104" s="11"/>
      <c r="RZ104" s="11" t="s">
        <v>7419</v>
      </c>
      <c r="SA104" s="766"/>
      <c r="SB104" s="11"/>
      <c r="SC104" s="11"/>
    </row>
    <row r="105" spans="1:497" ht="12.75" customHeight="1">
      <c r="A105" s="767" t="s">
        <v>7421</v>
      </c>
      <c r="B105" s="288" t="s">
        <v>7553</v>
      </c>
      <c r="C105" s="165" t="s">
        <v>148</v>
      </c>
      <c r="D105" s="766" t="s">
        <v>149</v>
      </c>
      <c r="E105" s="766" t="s">
        <v>134</v>
      </c>
      <c r="F105" s="766" t="s">
        <v>20</v>
      </c>
      <c r="G105" s="766" t="s">
        <v>18</v>
      </c>
      <c r="H105" s="766"/>
      <c r="I105" s="5"/>
      <c r="J105" s="766" t="s">
        <v>150</v>
      </c>
      <c r="K105" s="766"/>
      <c r="L105" s="766"/>
      <c r="M105" s="766"/>
      <c r="N105" s="766"/>
      <c r="O105" s="766"/>
      <c r="P105" s="14" t="s">
        <v>774</v>
      </c>
      <c r="Q105" s="1085">
        <v>23765</v>
      </c>
      <c r="R105" s="25">
        <v>51</v>
      </c>
      <c r="S105" s="766" t="s">
        <v>18</v>
      </c>
      <c r="T105" s="766"/>
      <c r="U105" s="26" t="s">
        <v>782</v>
      </c>
      <c r="V105" s="766" t="s">
        <v>783</v>
      </c>
      <c r="W105" s="766"/>
      <c r="X105" s="766"/>
      <c r="Y105" s="766" t="s">
        <v>784</v>
      </c>
      <c r="Z105" s="766" t="s">
        <v>708</v>
      </c>
      <c r="AA105" s="766" t="s">
        <v>781</v>
      </c>
      <c r="AB105" s="766" t="s">
        <v>7275</v>
      </c>
      <c r="AC105" s="766"/>
      <c r="AD105" s="766"/>
      <c r="AE105" s="766" t="s">
        <v>909</v>
      </c>
      <c r="AF105" s="766" t="s">
        <v>712</v>
      </c>
      <c r="AG105" s="766" t="s">
        <v>1132</v>
      </c>
      <c r="AH105" s="766" t="s">
        <v>1096</v>
      </c>
      <c r="AI105" s="43"/>
      <c r="AJ105" s="6" t="s">
        <v>1137</v>
      </c>
      <c r="AK105" s="6" t="s">
        <v>1101</v>
      </c>
      <c r="AL105" s="333">
        <v>56</v>
      </c>
      <c r="AM105" s="45">
        <v>56</v>
      </c>
      <c r="AN105" s="774">
        <f>AM105/AL105</f>
        <v>1</v>
      </c>
      <c r="AO105" s="766" t="s">
        <v>1113</v>
      </c>
      <c r="AP105" s="766"/>
      <c r="AQ105" s="766"/>
      <c r="AR105" s="766"/>
      <c r="AS105" s="766"/>
      <c r="AT105" s="766"/>
      <c r="AU105" s="766"/>
      <c r="AV105" s="766"/>
      <c r="AW105" s="766"/>
      <c r="AX105" s="766"/>
      <c r="AY105" s="766"/>
      <c r="AZ105" s="766"/>
      <c r="BA105" s="766"/>
      <c r="BB105" s="766"/>
      <c r="BC105" s="766"/>
      <c r="BD105" s="766"/>
      <c r="BE105" s="766"/>
      <c r="BF105" s="775"/>
      <c r="BG105" s="775"/>
      <c r="BH105" s="766"/>
      <c r="BI105" s="766"/>
      <c r="BJ105" s="766"/>
      <c r="BK105" s="766" t="s">
        <v>1095</v>
      </c>
      <c r="BL105" s="766" t="s">
        <v>1295</v>
      </c>
      <c r="BM105" s="766" t="s">
        <v>1096</v>
      </c>
      <c r="BN105" s="766" t="s">
        <v>1230</v>
      </c>
      <c r="BO105" s="766" t="s">
        <v>1246</v>
      </c>
      <c r="BP105" s="1109">
        <v>45</v>
      </c>
      <c r="BQ105" s="772">
        <v>45</v>
      </c>
      <c r="BR105" s="774">
        <f>BQ105/BP105</f>
        <v>1</v>
      </c>
      <c r="BS105" s="766" t="s">
        <v>1257</v>
      </c>
      <c r="BT105" s="766" t="s">
        <v>1283</v>
      </c>
      <c r="BU105" s="766" t="s">
        <v>1264</v>
      </c>
      <c r="BV105" s="766" t="s">
        <v>1349</v>
      </c>
      <c r="BW105" s="766">
        <v>2010</v>
      </c>
      <c r="BX105" s="779">
        <v>25000</v>
      </c>
      <c r="BY105" s="766" t="s">
        <v>1207</v>
      </c>
      <c r="BZ105" s="775">
        <v>50000</v>
      </c>
      <c r="CA105" s="766"/>
      <c r="CB105" s="766"/>
      <c r="CC105" s="766"/>
      <c r="CD105" s="766"/>
      <c r="CE105" s="766"/>
      <c r="CF105" s="777"/>
      <c r="CG105" s="778"/>
      <c r="CH105" s="766"/>
      <c r="CI105" s="766"/>
      <c r="CJ105" s="766"/>
      <c r="CK105" s="766"/>
      <c r="CL105" s="766"/>
      <c r="CM105" s="766"/>
      <c r="CN105" s="766"/>
      <c r="CO105" s="766"/>
      <c r="CP105" s="766"/>
      <c r="CQ105" s="766"/>
      <c r="CR105" s="775"/>
      <c r="CS105" s="766"/>
      <c r="CT105" s="766"/>
      <c r="CU105" s="129"/>
      <c r="CV105" s="766"/>
      <c r="CW105" s="766"/>
      <c r="CX105" s="766"/>
      <c r="CY105" s="766"/>
      <c r="CZ105" s="766"/>
      <c r="DA105" s="766"/>
      <c r="DB105" s="766"/>
      <c r="DC105" s="766"/>
      <c r="DD105" s="766"/>
      <c r="DE105" s="766"/>
      <c r="DF105" s="766"/>
      <c r="DG105" s="766"/>
      <c r="DH105" s="766"/>
      <c r="DI105" s="766"/>
      <c r="DJ105" s="766"/>
      <c r="DK105" s="766"/>
      <c r="DL105" s="766"/>
      <c r="DM105" s="766"/>
      <c r="DN105" s="766"/>
      <c r="DO105" s="766"/>
      <c r="DP105" s="766"/>
      <c r="DQ105" s="766"/>
      <c r="DR105" s="766"/>
      <c r="DS105" s="59"/>
      <c r="DT105" s="766"/>
      <c r="DU105" s="766"/>
      <c r="DV105" s="766"/>
      <c r="DW105" s="66"/>
      <c r="DX105" s="66"/>
      <c r="DY105" s="766"/>
      <c r="DZ105" s="766"/>
      <c r="EA105" s="766"/>
      <c r="EB105" s="766"/>
      <c r="EC105" s="766"/>
      <c r="ED105" s="766"/>
      <c r="EE105" s="766"/>
      <c r="EF105" s="766"/>
      <c r="EG105" s="766"/>
      <c r="EH105" s="766"/>
      <c r="EI105" s="766"/>
      <c r="EJ105" s="766"/>
      <c r="EK105" s="766"/>
      <c r="EL105" s="766"/>
      <c r="EM105" s="766"/>
      <c r="EN105" s="766"/>
      <c r="EO105" s="766"/>
      <c r="EP105" s="766"/>
      <c r="EQ105" s="766"/>
      <c r="ER105" s="766"/>
      <c r="ES105" s="766"/>
      <c r="ET105" s="766"/>
      <c r="EU105" s="766"/>
      <c r="EV105" s="766"/>
      <c r="EW105" s="766"/>
      <c r="EX105" s="766"/>
      <c r="EY105" s="766"/>
      <c r="EZ105" s="766"/>
      <c r="FA105" s="766"/>
      <c r="FB105" s="766"/>
      <c r="FC105" s="766"/>
      <c r="FD105" s="775"/>
      <c r="FE105" s="766"/>
      <c r="FF105" s="766"/>
      <c r="FG105" s="766"/>
      <c r="FH105" s="766" t="s">
        <v>478</v>
      </c>
      <c r="FI105" s="766">
        <v>3</v>
      </c>
      <c r="FJ105" s="766"/>
      <c r="FK105" s="231"/>
      <c r="FL105" s="766"/>
      <c r="FM105" s="775"/>
      <c r="FN105" s="775"/>
      <c r="FO105" s="775"/>
      <c r="FP105" s="766" t="s">
        <v>1602</v>
      </c>
      <c r="FQ105" s="766" t="s">
        <v>1660</v>
      </c>
      <c r="FR105" s="766"/>
      <c r="FS105" s="766"/>
      <c r="FT105" s="766"/>
      <c r="FU105" s="766"/>
      <c r="FV105" s="766"/>
      <c r="FW105" s="766"/>
      <c r="FX105" s="766"/>
      <c r="FY105" s="766"/>
      <c r="FZ105" s="766"/>
      <c r="GA105" s="766"/>
      <c r="GB105" s="766"/>
      <c r="GC105" s="75"/>
      <c r="GD105" s="25"/>
      <c r="GE105" s="766"/>
      <c r="GF105" s="775"/>
      <c r="GG105" s="775"/>
      <c r="GH105" s="712" t="s">
        <v>1791</v>
      </c>
      <c r="GI105" s="766"/>
      <c r="GJ105" s="766" t="s">
        <v>1792</v>
      </c>
      <c r="GK105" s="766" t="s">
        <v>1806</v>
      </c>
      <c r="GL105" s="766"/>
      <c r="GM105" s="766" t="s">
        <v>1807</v>
      </c>
      <c r="GN105" s="82">
        <v>32</v>
      </c>
      <c r="GO105" s="766" t="s">
        <v>618</v>
      </c>
      <c r="GP105" s="766"/>
      <c r="GQ105" s="766" t="s">
        <v>1208</v>
      </c>
      <c r="GR105" s="766" t="s">
        <v>1208</v>
      </c>
      <c r="GS105" s="766" t="s">
        <v>1208</v>
      </c>
      <c r="GT105" s="766"/>
      <c r="GU105" s="766"/>
      <c r="GV105" s="766"/>
      <c r="GW105" s="766" t="s">
        <v>1207</v>
      </c>
      <c r="GX105" s="766"/>
      <c r="GY105" s="766"/>
      <c r="GZ105" s="766"/>
      <c r="HA105" s="766" t="s">
        <v>1208</v>
      </c>
      <c r="HB105" s="766" t="s">
        <v>1208</v>
      </c>
      <c r="HC105" s="766"/>
      <c r="HD105" s="766" t="s">
        <v>1208</v>
      </c>
      <c r="HE105" s="766" t="s">
        <v>1208</v>
      </c>
      <c r="HF105" s="766"/>
      <c r="HG105" s="766"/>
      <c r="HH105" s="766"/>
      <c r="HI105" s="766"/>
      <c r="HJ105" s="766"/>
      <c r="HK105" s="766"/>
      <c r="HL105" s="766"/>
      <c r="HM105" s="766"/>
      <c r="HN105" s="766"/>
      <c r="HO105" s="766"/>
      <c r="HP105" s="766"/>
      <c r="HQ105" s="766"/>
      <c r="HR105" s="766"/>
      <c r="HS105" s="766"/>
      <c r="HT105" s="766"/>
      <c r="HU105" s="766"/>
      <c r="HV105" s="766"/>
      <c r="HW105" s="766"/>
      <c r="HX105" s="766"/>
      <c r="HY105" s="766"/>
      <c r="HZ105" s="766"/>
      <c r="IA105" s="766"/>
      <c r="IB105" s="14" t="e">
        <f>IF(#REF!&gt;0,IF(#REF!&lt;=10000,"Y",""),"")</f>
        <v>#REF!</v>
      </c>
      <c r="IC105" s="766" t="s">
        <v>1207</v>
      </c>
      <c r="ID105" s="766"/>
      <c r="IE105" s="766"/>
      <c r="IF105" s="766" t="s">
        <v>1920</v>
      </c>
      <c r="IG105" s="766" t="s">
        <v>18</v>
      </c>
      <c r="IH105" s="766" t="s">
        <v>478</v>
      </c>
      <c r="II105" s="766" t="s">
        <v>1919</v>
      </c>
      <c r="IJ105" s="766" t="s">
        <v>1835</v>
      </c>
      <c r="IK105" s="766" t="s">
        <v>1888</v>
      </c>
      <c r="IL105" s="766" t="s">
        <v>1295</v>
      </c>
      <c r="IM105" s="766">
        <v>2010</v>
      </c>
      <c r="IN105" s="766" t="s">
        <v>1295</v>
      </c>
      <c r="IO105" s="24">
        <v>23765</v>
      </c>
      <c r="IP105" s="766" t="s">
        <v>478</v>
      </c>
      <c r="IQ105" s="13" t="s">
        <v>1882</v>
      </c>
      <c r="IR105" s="770" t="s">
        <v>2716</v>
      </c>
      <c r="IS105" s="775" t="s">
        <v>1879</v>
      </c>
      <c r="IT105" s="766"/>
      <c r="IU105" s="766" t="s">
        <v>1208</v>
      </c>
      <c r="IV105" s="766"/>
      <c r="IW105" s="766" t="s">
        <v>1295</v>
      </c>
      <c r="IX105" s="766"/>
      <c r="IY105" s="766"/>
      <c r="IZ105" s="766"/>
      <c r="JA105" s="766"/>
      <c r="JB105" s="766"/>
      <c r="JC105" s="766"/>
      <c r="JD105" s="775">
        <v>1000</v>
      </c>
      <c r="JE105" s="766"/>
      <c r="JF105" s="766"/>
      <c r="JG105" s="766"/>
      <c r="JH105" s="766"/>
      <c r="JI105" s="766"/>
      <c r="JJ105" s="766">
        <v>4</v>
      </c>
      <c r="JK105" s="1139" t="s">
        <v>13131</v>
      </c>
      <c r="JL105" s="766">
        <v>1</v>
      </c>
      <c r="JM105" s="766">
        <v>1</v>
      </c>
      <c r="JN105" s="766">
        <v>1</v>
      </c>
      <c r="JO105" s="766">
        <v>1</v>
      </c>
      <c r="JP105" s="766"/>
      <c r="JQ105" s="766"/>
      <c r="JR105" s="766"/>
      <c r="JS105" s="766"/>
      <c r="JT105" s="766">
        <f t="shared" si="20"/>
        <v>2</v>
      </c>
      <c r="JU105" s="766">
        <f t="shared" si="20"/>
        <v>2</v>
      </c>
      <c r="JV105" s="712" t="str">
        <f>IF(JT105=KJ105,"ok","male")</f>
        <v>ok</v>
      </c>
      <c r="JW105" s="712" t="str">
        <f>IF(JU105=KK105,"ok","female")</f>
        <v>ok</v>
      </c>
      <c r="JX105" s="766"/>
      <c r="JY105" s="766"/>
      <c r="JZ105" s="766">
        <v>1</v>
      </c>
      <c r="KA105" s="766">
        <v>1</v>
      </c>
      <c r="KB105" s="766"/>
      <c r="KC105" s="766"/>
      <c r="KD105" s="766">
        <v>1</v>
      </c>
      <c r="KE105" s="766">
        <v>1</v>
      </c>
      <c r="KF105" s="766"/>
      <c r="KG105" s="766"/>
      <c r="KH105" s="766"/>
      <c r="KI105" s="766"/>
      <c r="KJ105" s="770">
        <f t="shared" si="21"/>
        <v>2</v>
      </c>
      <c r="KK105" s="770">
        <f t="shared" si="21"/>
        <v>2</v>
      </c>
      <c r="KL105" s="712" t="str">
        <f>IF(KJ105=LN105,"ok","male")</f>
        <v>ok</v>
      </c>
      <c r="KM105" s="712" t="str">
        <f>IF(KK105=LO105,"ok","female")</f>
        <v>ok</v>
      </c>
      <c r="KN105" s="766" t="s">
        <v>13132</v>
      </c>
      <c r="KO105" s="28"/>
      <c r="KP105" s="766"/>
      <c r="KQ105" s="766"/>
      <c r="KR105" s="766"/>
      <c r="KS105" s="766"/>
      <c r="KT105" s="766"/>
      <c r="KU105" s="766">
        <v>2</v>
      </c>
      <c r="KV105" s="766"/>
      <c r="KW105" s="766"/>
      <c r="KX105" s="766">
        <v>2</v>
      </c>
      <c r="KY105" s="766"/>
      <c r="KZ105" s="766"/>
      <c r="LA105" s="766"/>
      <c r="LB105" s="766"/>
      <c r="LC105" s="766"/>
      <c r="LD105" s="766"/>
      <c r="LE105" s="766"/>
      <c r="LF105" s="766"/>
      <c r="LG105" s="766"/>
      <c r="LH105" s="766"/>
      <c r="LI105" s="766"/>
      <c r="LJ105" s="766"/>
      <c r="LK105" s="766"/>
      <c r="LL105" s="766"/>
      <c r="LM105" s="766"/>
      <c r="LN105" s="766">
        <f t="shared" si="22"/>
        <v>2</v>
      </c>
      <c r="LO105" s="766">
        <f t="shared" si="22"/>
        <v>2</v>
      </c>
      <c r="LP105" s="766">
        <v>2</v>
      </c>
      <c r="LQ105" s="1678">
        <v>1</v>
      </c>
      <c r="LR105" s="766"/>
      <c r="LS105" s="766">
        <v>1</v>
      </c>
      <c r="LT105" s="712" t="str">
        <f>IF(LQ105=SUM(LU105:LW105),"OK","REV")</f>
        <v>OK</v>
      </c>
      <c r="LU105" s="766"/>
      <c r="LV105" s="766">
        <v>1</v>
      </c>
      <c r="LW105" s="766"/>
      <c r="LX105" s="769">
        <v>1</v>
      </c>
      <c r="LY105" s="766" t="str">
        <f t="shared" si="23"/>
        <v>within the BRGY</v>
      </c>
      <c r="LZ105" s="66"/>
      <c r="MA105" s="766"/>
      <c r="MB105" s="766"/>
      <c r="MC105" s="1679">
        <f t="shared" si="24"/>
        <v>0</v>
      </c>
      <c r="MD105" s="66">
        <v>8000</v>
      </c>
      <c r="ME105" s="66"/>
      <c r="MF105" s="66">
        <v>11000</v>
      </c>
      <c r="MG105" s="1680">
        <f t="shared" si="15"/>
        <v>19000</v>
      </c>
      <c r="MH105" s="1681" t="s">
        <v>13133</v>
      </c>
      <c r="MI105" s="775">
        <v>2800</v>
      </c>
      <c r="MJ105" s="775"/>
      <c r="MK105" s="775">
        <v>1000</v>
      </c>
      <c r="ML105" s="775"/>
      <c r="MM105" s="775">
        <v>1400</v>
      </c>
      <c r="MN105" s="775"/>
      <c r="MO105" s="775">
        <v>30</v>
      </c>
      <c r="MP105" s="775"/>
      <c r="MQ105" s="775"/>
      <c r="MR105" s="775">
        <v>100</v>
      </c>
      <c r="MS105" s="775"/>
      <c r="MT105" s="775"/>
      <c r="MU105" s="775"/>
      <c r="MV105" s="775"/>
      <c r="MW105" s="775"/>
      <c r="MX105" s="775"/>
      <c r="MY105" s="1682">
        <f t="shared" si="14"/>
        <v>5330</v>
      </c>
      <c r="MZ105" s="766" t="s">
        <v>13134</v>
      </c>
      <c r="NA105" s="766" t="s">
        <v>1249</v>
      </c>
      <c r="NB105" s="766" t="s">
        <v>13033</v>
      </c>
      <c r="NC105" s="766" t="s">
        <v>13135</v>
      </c>
      <c r="ND105" s="766">
        <v>1</v>
      </c>
      <c r="NE105" s="766">
        <v>0</v>
      </c>
      <c r="NF105" s="766">
        <v>0</v>
      </c>
      <c r="NG105" s="766">
        <v>0</v>
      </c>
      <c r="NH105" s="766">
        <v>0</v>
      </c>
      <c r="NI105" s="766">
        <v>1</v>
      </c>
      <c r="NJ105" s="766">
        <v>0</v>
      </c>
      <c r="NK105" s="766">
        <v>0</v>
      </c>
      <c r="NL105" s="766">
        <v>0</v>
      </c>
      <c r="NM105" s="766">
        <v>0</v>
      </c>
      <c r="NN105" s="766">
        <v>0</v>
      </c>
      <c r="NO105" s="766">
        <v>1</v>
      </c>
      <c r="NP105" s="766">
        <v>0</v>
      </c>
      <c r="NQ105" s="766">
        <v>0</v>
      </c>
      <c r="NR105" s="766">
        <v>0</v>
      </c>
      <c r="NS105" s="766">
        <v>0</v>
      </c>
      <c r="NT105" s="766">
        <v>0</v>
      </c>
      <c r="NU105" s="766">
        <v>0</v>
      </c>
      <c r="NV105" s="766">
        <v>0</v>
      </c>
      <c r="NW105" s="766">
        <v>0</v>
      </c>
      <c r="NX105" s="766">
        <v>0</v>
      </c>
      <c r="NY105" s="766" t="s">
        <v>1208</v>
      </c>
      <c r="NZ105" s="766" t="s">
        <v>1208</v>
      </c>
      <c r="OA105" s="766" t="s">
        <v>1208</v>
      </c>
      <c r="OB105" s="766" t="s">
        <v>1208</v>
      </c>
      <c r="OC105" s="766"/>
      <c r="OD105" s="766"/>
      <c r="OE105" s="766"/>
      <c r="OF105" s="1828" t="s">
        <v>13066</v>
      </c>
      <c r="OG105" s="766"/>
      <c r="OH105" s="766"/>
      <c r="OI105" s="766"/>
      <c r="OJ105" s="766"/>
      <c r="OK105" s="766"/>
      <c r="OL105" s="766" t="s">
        <v>13136</v>
      </c>
      <c r="OM105" s="766" t="s">
        <v>1824</v>
      </c>
      <c r="ON105" s="766" t="s">
        <v>13137</v>
      </c>
      <c r="OO105" s="766" t="s">
        <v>1214</v>
      </c>
      <c r="OP105" s="766"/>
      <c r="OQ105" s="766" t="s">
        <v>110</v>
      </c>
      <c r="OR105" s="766"/>
      <c r="OS105" s="766" t="s">
        <v>110</v>
      </c>
      <c r="OT105" s="766"/>
      <c r="OU105" s="766"/>
      <c r="OV105" s="766"/>
      <c r="OW105" s="766"/>
      <c r="OX105" s="766"/>
      <c r="OY105" s="766"/>
      <c r="OZ105" s="766"/>
      <c r="PA105" s="766"/>
      <c r="PB105" s="766"/>
      <c r="PC105" s="766"/>
      <c r="PD105" s="766"/>
      <c r="PE105" s="766"/>
      <c r="PF105" s="766"/>
      <c r="PG105" s="766"/>
      <c r="PH105" s="766" t="s">
        <v>1208</v>
      </c>
      <c r="PI105" s="766"/>
      <c r="PJ105" s="766"/>
      <c r="PK105" s="766" t="s">
        <v>1208</v>
      </c>
      <c r="PL105" s="766"/>
      <c r="PM105" s="766"/>
      <c r="PN105" s="766"/>
      <c r="PO105" s="766"/>
      <c r="PP105" s="766"/>
      <c r="PQ105" s="766"/>
      <c r="PR105" s="766"/>
      <c r="PS105" s="766"/>
      <c r="PT105" s="766"/>
      <c r="PU105" s="766"/>
      <c r="PV105" s="766"/>
      <c r="PW105" s="766"/>
      <c r="PX105" s="766"/>
      <c r="PY105" s="766"/>
      <c r="PZ105" s="766"/>
      <c r="QA105" s="766"/>
      <c r="QB105" s="766"/>
      <c r="QC105" s="766"/>
      <c r="QD105" s="766"/>
      <c r="QE105" s="766"/>
      <c r="QF105" s="766"/>
      <c r="QG105" s="766"/>
      <c r="QH105" s="766"/>
      <c r="QI105" s="766"/>
      <c r="QJ105" s="766"/>
      <c r="QK105" s="766"/>
      <c r="QL105" s="766"/>
      <c r="QM105" s="766"/>
      <c r="QN105" s="766"/>
      <c r="QO105" s="766"/>
      <c r="QP105" s="766"/>
      <c r="QQ105" s="766"/>
      <c r="QR105" s="766"/>
      <c r="QS105" s="766"/>
      <c r="QT105" s="766"/>
      <c r="QU105" s="766"/>
      <c r="QV105" s="766"/>
      <c r="QW105" s="766"/>
      <c r="QX105" s="766"/>
      <c r="QY105" s="766"/>
      <c r="QZ105" s="766"/>
      <c r="RA105" s="766"/>
      <c r="RB105" s="770" t="s">
        <v>1207</v>
      </c>
      <c r="RC105" s="766">
        <v>2015</v>
      </c>
      <c r="RD105" s="766" t="s">
        <v>12989</v>
      </c>
      <c r="RE105" s="766" t="s">
        <v>13125</v>
      </c>
      <c r="RF105" s="777">
        <v>3</v>
      </c>
      <c r="RG105" s="766" t="s">
        <v>13138</v>
      </c>
      <c r="RH105" s="775">
        <v>0</v>
      </c>
      <c r="RI105" s="766">
        <v>36</v>
      </c>
      <c r="RJ105" s="766" t="s">
        <v>1295</v>
      </c>
      <c r="RK105" s="766" t="s">
        <v>13139</v>
      </c>
      <c r="RL105" s="1683"/>
      <c r="RM105" s="12"/>
      <c r="RN105" s="1711"/>
      <c r="RO105" s="165" t="s">
        <v>148</v>
      </c>
      <c r="RP105" s="11"/>
      <c r="RQ105" s="11"/>
      <c r="RR105" s="19" t="s">
        <v>7421</v>
      </c>
      <c r="RS105" s="1139" t="s">
        <v>12980</v>
      </c>
      <c r="RT105" s="11"/>
      <c r="RU105" s="11"/>
      <c r="RV105" s="766" t="s">
        <v>7421</v>
      </c>
      <c r="RW105" s="11" t="s">
        <v>7564</v>
      </c>
      <c r="RX105" s="11" t="s">
        <v>126</v>
      </c>
      <c r="RY105" s="11"/>
      <c r="RZ105" s="11" t="s">
        <v>7421</v>
      </c>
      <c r="SA105" s="766"/>
      <c r="SB105" s="11"/>
      <c r="SC105" s="11"/>
    </row>
    <row r="106" spans="1:497" ht="12.75" customHeight="1">
      <c r="A106" s="49" t="s">
        <v>14147</v>
      </c>
      <c r="B106" s="288" t="s">
        <v>7571</v>
      </c>
      <c r="C106" s="165" t="s">
        <v>151</v>
      </c>
      <c r="D106" s="766" t="s">
        <v>785</v>
      </c>
      <c r="E106" s="766" t="s">
        <v>134</v>
      </c>
      <c r="F106" s="766" t="s">
        <v>28</v>
      </c>
      <c r="G106" s="766" t="s">
        <v>18</v>
      </c>
      <c r="H106" s="766"/>
      <c r="I106" s="5"/>
      <c r="J106" s="766" t="s">
        <v>785</v>
      </c>
      <c r="K106" s="766"/>
      <c r="L106" s="766"/>
      <c r="M106" s="766"/>
      <c r="N106" s="766"/>
      <c r="O106" s="766"/>
      <c r="P106" s="14" t="s">
        <v>785</v>
      </c>
      <c r="Q106" s="1085">
        <v>24620</v>
      </c>
      <c r="R106" s="25">
        <v>49</v>
      </c>
      <c r="S106" s="766" t="s">
        <v>18</v>
      </c>
      <c r="T106" s="766"/>
      <c r="U106" s="26" t="s">
        <v>786</v>
      </c>
      <c r="V106" s="766" t="s">
        <v>783</v>
      </c>
      <c r="W106" s="766"/>
      <c r="X106" s="766"/>
      <c r="Y106" s="766" t="s">
        <v>784</v>
      </c>
      <c r="Z106" s="766" t="s">
        <v>708</v>
      </c>
      <c r="AA106" s="766" t="s">
        <v>787</v>
      </c>
      <c r="AB106" s="766" t="s">
        <v>7275</v>
      </c>
      <c r="AC106" s="766"/>
      <c r="AD106" s="766" t="s">
        <v>716</v>
      </c>
      <c r="AE106" s="766"/>
      <c r="AF106" s="766" t="s">
        <v>712</v>
      </c>
      <c r="AG106" s="766"/>
      <c r="AH106" s="766"/>
      <c r="AI106" s="766"/>
      <c r="AJ106" s="766"/>
      <c r="AK106" s="1032" t="s">
        <v>1101</v>
      </c>
      <c r="AL106" s="333"/>
      <c r="AM106" s="334"/>
      <c r="AN106" s="774"/>
      <c r="AO106" s="766"/>
      <c r="AP106" s="766"/>
      <c r="AQ106" s="766"/>
      <c r="AR106" s="766"/>
      <c r="AS106" s="766"/>
      <c r="AT106" s="766"/>
      <c r="AU106" s="766"/>
      <c r="AV106" s="766"/>
      <c r="AW106" s="766"/>
      <c r="AX106" s="766"/>
      <c r="AY106" s="766"/>
      <c r="AZ106" s="766"/>
      <c r="BA106" s="766"/>
      <c r="BB106" s="766"/>
      <c r="BC106" s="766"/>
      <c r="BD106" s="766"/>
      <c r="BE106" s="766"/>
      <c r="BF106" s="775"/>
      <c r="BG106" s="775"/>
      <c r="BH106" s="766"/>
      <c r="BI106" s="766"/>
      <c r="BJ106" s="766"/>
      <c r="BK106" s="766"/>
      <c r="BL106" s="766"/>
      <c r="BM106" s="766" t="s">
        <v>1238</v>
      </c>
      <c r="BN106" s="766" t="s">
        <v>1256</v>
      </c>
      <c r="BO106" s="766"/>
      <c r="BP106" s="776"/>
      <c r="BQ106" s="772"/>
      <c r="BR106" s="774"/>
      <c r="BS106" s="766" t="s">
        <v>1257</v>
      </c>
      <c r="BT106" s="766"/>
      <c r="BU106" s="766"/>
      <c r="BV106" s="766"/>
      <c r="BW106" s="766"/>
      <c r="BX106" s="779"/>
      <c r="BY106" s="766"/>
      <c r="BZ106" s="775"/>
      <c r="CA106" s="766"/>
      <c r="CB106" s="766"/>
      <c r="CC106" s="766"/>
      <c r="CD106" s="766"/>
      <c r="CE106" s="766"/>
      <c r="CF106" s="777"/>
      <c r="CG106" s="778"/>
      <c r="CH106" s="766"/>
      <c r="CI106" s="766"/>
      <c r="CJ106" s="766"/>
      <c r="CK106" s="766"/>
      <c r="CL106" s="766"/>
      <c r="CM106" s="766"/>
      <c r="CN106" s="766"/>
      <c r="CO106" s="766"/>
      <c r="CP106" s="766"/>
      <c r="CQ106" s="766"/>
      <c r="CR106" s="775"/>
      <c r="CS106" s="766"/>
      <c r="CT106" s="766"/>
      <c r="CU106" s="129"/>
      <c r="CV106" s="766"/>
      <c r="CW106" s="766"/>
      <c r="CX106" s="766"/>
      <c r="CY106" s="766"/>
      <c r="CZ106" s="766"/>
      <c r="DA106" s="766"/>
      <c r="DB106" s="766"/>
      <c r="DC106" s="766"/>
      <c r="DD106" s="766"/>
      <c r="DE106" s="766"/>
      <c r="DF106" s="766"/>
      <c r="DG106" s="766"/>
      <c r="DH106" s="766"/>
      <c r="DI106" s="766"/>
      <c r="DJ106" s="766"/>
      <c r="DK106" s="766"/>
      <c r="DL106" s="766"/>
      <c r="DM106" s="766"/>
      <c r="DN106" s="766"/>
      <c r="DO106" s="766"/>
      <c r="DP106" s="766"/>
      <c r="DQ106" s="766"/>
      <c r="DR106" s="766"/>
      <c r="DS106" s="59"/>
      <c r="DT106" s="766"/>
      <c r="DU106" s="766"/>
      <c r="DV106" s="766"/>
      <c r="DW106" s="66"/>
      <c r="DX106" s="66"/>
      <c r="DY106" s="766"/>
      <c r="DZ106" s="766"/>
      <c r="EA106" s="766"/>
      <c r="EB106" s="766"/>
      <c r="EC106" s="766"/>
      <c r="ED106" s="766"/>
      <c r="EE106" s="766"/>
      <c r="EF106" s="766"/>
      <c r="EG106" s="766"/>
      <c r="EH106" s="766"/>
      <c r="EI106" s="766"/>
      <c r="EJ106" s="766"/>
      <c r="EK106" s="766"/>
      <c r="EL106" s="766"/>
      <c r="EM106" s="766"/>
      <c r="EN106" s="766"/>
      <c r="EO106" s="766"/>
      <c r="EP106" s="766"/>
      <c r="EQ106" s="766"/>
      <c r="ER106" s="766"/>
      <c r="ES106" s="766"/>
      <c r="ET106" s="766"/>
      <c r="EU106" s="766"/>
      <c r="EV106" s="766"/>
      <c r="EW106" s="766"/>
      <c r="EX106" s="766"/>
      <c r="EY106" s="766"/>
      <c r="EZ106" s="766"/>
      <c r="FA106" s="766"/>
      <c r="FB106" s="766"/>
      <c r="FC106" s="766"/>
      <c r="FD106" s="775"/>
      <c r="FE106" s="766"/>
      <c r="FF106" s="766"/>
      <c r="FG106" s="766"/>
      <c r="FH106" s="766" t="s">
        <v>1306</v>
      </c>
      <c r="FI106" s="766">
        <v>1</v>
      </c>
      <c r="FJ106" s="766" t="s">
        <v>1295</v>
      </c>
      <c r="FK106" s="25" t="s">
        <v>782</v>
      </c>
      <c r="FL106" s="766" t="s">
        <v>1608</v>
      </c>
      <c r="FM106" s="147">
        <v>500</v>
      </c>
      <c r="FN106" s="775" t="s">
        <v>1604</v>
      </c>
      <c r="FO106" s="775" t="s">
        <v>1604</v>
      </c>
      <c r="FP106" s="766" t="s">
        <v>1602</v>
      </c>
      <c r="FQ106" s="766" t="s">
        <v>1660</v>
      </c>
      <c r="FR106" s="766"/>
      <c r="FS106" s="766"/>
      <c r="FT106" s="766"/>
      <c r="FU106" s="766"/>
      <c r="FV106" s="766"/>
      <c r="FW106" s="766"/>
      <c r="FX106" s="766"/>
      <c r="FY106" s="766"/>
      <c r="FZ106" s="766"/>
      <c r="GA106" s="766"/>
      <c r="GB106" s="766" t="s">
        <v>796</v>
      </c>
      <c r="GC106" s="75"/>
      <c r="GD106" s="25" t="s">
        <v>1710</v>
      </c>
      <c r="GE106" s="766"/>
      <c r="GF106" s="775"/>
      <c r="GG106" s="775"/>
      <c r="GH106" s="766" t="s">
        <v>1791</v>
      </c>
      <c r="GI106" s="766"/>
      <c r="GJ106" s="766" t="s">
        <v>1792</v>
      </c>
      <c r="GK106" s="766" t="s">
        <v>1806</v>
      </c>
      <c r="GL106" s="766"/>
      <c r="GM106" s="766" t="s">
        <v>1808</v>
      </c>
      <c r="GN106" s="82">
        <v>34</v>
      </c>
      <c r="GO106" s="766" t="s">
        <v>618</v>
      </c>
      <c r="GP106" s="766"/>
      <c r="GQ106" s="766" t="s">
        <v>1208</v>
      </c>
      <c r="GR106" s="766" t="s">
        <v>1208</v>
      </c>
      <c r="GS106" s="766" t="s">
        <v>1208</v>
      </c>
      <c r="GT106" s="766"/>
      <c r="GU106" s="766"/>
      <c r="GV106" s="766"/>
      <c r="GW106" s="766" t="s">
        <v>1207</v>
      </c>
      <c r="GX106" s="766"/>
      <c r="GY106" s="766"/>
      <c r="GZ106" s="766"/>
      <c r="HA106" s="766" t="s">
        <v>1208</v>
      </c>
      <c r="HB106" s="766"/>
      <c r="HC106" s="766" t="s">
        <v>1208</v>
      </c>
      <c r="HD106" s="766"/>
      <c r="HE106" s="766"/>
      <c r="HF106" s="766"/>
      <c r="HG106" s="766"/>
      <c r="HH106" s="766"/>
      <c r="HI106" s="766"/>
      <c r="HJ106" s="766"/>
      <c r="HK106" s="766"/>
      <c r="HL106" s="766"/>
      <c r="HM106" s="766"/>
      <c r="HN106" s="766"/>
      <c r="HO106" s="766"/>
      <c r="HP106" s="766"/>
      <c r="HQ106" s="766"/>
      <c r="HR106" s="766"/>
      <c r="HS106" s="766"/>
      <c r="HT106" s="766"/>
      <c r="HU106" s="766"/>
      <c r="HV106" s="766"/>
      <c r="HW106" s="766"/>
      <c r="HX106" s="766"/>
      <c r="HY106" s="766"/>
      <c r="HZ106" s="766"/>
      <c r="IA106" s="766"/>
      <c r="IB106" s="14" t="e">
        <f>IF(#REF!&gt;0,IF(#REF!&lt;=10000,"Y",""),"")</f>
        <v>#REF!</v>
      </c>
      <c r="IC106" s="766" t="s">
        <v>1207</v>
      </c>
      <c r="ID106" s="766"/>
      <c r="IE106" s="766"/>
      <c r="IF106" s="766"/>
      <c r="IG106" s="766"/>
      <c r="IH106" s="766"/>
      <c r="II106" s="766"/>
      <c r="IJ106" s="766"/>
      <c r="IK106" s="766"/>
      <c r="IL106" s="766"/>
      <c r="IM106" s="766"/>
      <c r="IN106" s="766"/>
      <c r="IO106" s="24"/>
      <c r="IP106" s="766"/>
      <c r="IQ106" s="766"/>
      <c r="IR106" s="766"/>
      <c r="IS106" s="766"/>
      <c r="IT106" s="766"/>
      <c r="IU106" s="766"/>
      <c r="IV106" s="766"/>
      <c r="IW106" s="766"/>
      <c r="IX106" s="766"/>
      <c r="IY106" s="766"/>
      <c r="IZ106" s="766"/>
      <c r="JA106" s="766"/>
      <c r="JB106" s="766"/>
      <c r="JC106" s="766"/>
      <c r="JD106" s="775"/>
      <c r="JE106" s="766"/>
      <c r="JF106" s="766"/>
      <c r="JG106" s="766"/>
      <c r="JH106" s="766"/>
      <c r="JI106" s="766"/>
      <c r="JJ106" s="766">
        <v>1</v>
      </c>
      <c r="JK106" s="1139" t="s">
        <v>2057</v>
      </c>
      <c r="JL106" s="766"/>
      <c r="JM106" s="766"/>
      <c r="JN106" s="766"/>
      <c r="JO106" s="766">
        <v>1</v>
      </c>
      <c r="JP106" s="766"/>
      <c r="JQ106" s="766"/>
      <c r="JR106" s="766"/>
      <c r="JS106" s="766"/>
      <c r="JT106" s="766">
        <f t="shared" si="20"/>
        <v>0</v>
      </c>
      <c r="JU106" s="766">
        <f t="shared" si="20"/>
        <v>1</v>
      </c>
      <c r="JV106" s="712" t="str">
        <f>IF(JT106=KJ106,"ok","male")</f>
        <v>ok</v>
      </c>
      <c r="JW106" s="712" t="str">
        <f>IF(JU106=KK106,"ok","female")</f>
        <v>ok</v>
      </c>
      <c r="JX106" s="766"/>
      <c r="JY106" s="766"/>
      <c r="JZ106" s="766"/>
      <c r="KA106" s="766"/>
      <c r="KB106" s="766"/>
      <c r="KC106" s="766"/>
      <c r="KD106" s="766"/>
      <c r="KE106" s="766">
        <v>1</v>
      </c>
      <c r="KF106" s="766"/>
      <c r="KG106" s="766"/>
      <c r="KH106" s="766"/>
      <c r="KI106" s="766"/>
      <c r="KJ106" s="770">
        <f t="shared" si="21"/>
        <v>0</v>
      </c>
      <c r="KK106" s="770">
        <f t="shared" si="21"/>
        <v>1</v>
      </c>
      <c r="KL106" s="712" t="str">
        <f>IF(KJ106=LN106,"ok","male")</f>
        <v>ok</v>
      </c>
      <c r="KM106" s="712" t="str">
        <f>IF(KK106=LO106,"ok","female")</f>
        <v>ok</v>
      </c>
      <c r="KN106" s="766" t="s">
        <v>783</v>
      </c>
      <c r="KO106" s="28"/>
      <c r="KP106" s="766"/>
      <c r="KQ106" s="766"/>
      <c r="KR106" s="766"/>
      <c r="KS106" s="766"/>
      <c r="KT106" s="766"/>
      <c r="KU106" s="766"/>
      <c r="KV106" s="766"/>
      <c r="KW106" s="766">
        <v>1</v>
      </c>
      <c r="KX106" s="766"/>
      <c r="KY106" s="766"/>
      <c r="KZ106" s="766"/>
      <c r="LA106" s="766"/>
      <c r="LB106" s="766"/>
      <c r="LC106" s="766"/>
      <c r="LD106" s="766"/>
      <c r="LE106" s="766"/>
      <c r="LF106" s="766"/>
      <c r="LG106" s="766"/>
      <c r="LH106" s="766"/>
      <c r="LI106" s="766"/>
      <c r="LJ106" s="766"/>
      <c r="LK106" s="766"/>
      <c r="LL106" s="766"/>
      <c r="LM106" s="766"/>
      <c r="LN106" s="766">
        <f t="shared" si="22"/>
        <v>0</v>
      </c>
      <c r="LO106" s="766">
        <f t="shared" si="22"/>
        <v>1</v>
      </c>
      <c r="LP106" s="766">
        <v>1</v>
      </c>
      <c r="LQ106" s="1678">
        <v>1</v>
      </c>
      <c r="LR106" s="766"/>
      <c r="LS106" s="766"/>
      <c r="LT106" s="712" t="str">
        <f>IF(LQ106=SUM(LU106:LW106),"OK","REV")</f>
        <v>OK</v>
      </c>
      <c r="LU106" s="766">
        <v>1</v>
      </c>
      <c r="LV106" s="766"/>
      <c r="LW106" s="766"/>
      <c r="LX106" s="769">
        <v>1</v>
      </c>
      <c r="LY106" s="766" t="str">
        <f t="shared" si="23"/>
        <v>within the BRGY</v>
      </c>
      <c r="LZ106" s="66"/>
      <c r="MA106" s="766"/>
      <c r="MB106" s="766"/>
      <c r="MC106" s="1679">
        <f t="shared" si="24"/>
        <v>0</v>
      </c>
      <c r="MD106" s="66">
        <v>4500</v>
      </c>
      <c r="ME106" s="66"/>
      <c r="MF106" s="66"/>
      <c r="MG106" s="1680">
        <f t="shared" si="15"/>
        <v>4500</v>
      </c>
      <c r="MH106" s="1681"/>
      <c r="MI106" s="775">
        <v>1600</v>
      </c>
      <c r="MJ106" s="775">
        <v>336</v>
      </c>
      <c r="MK106" s="775"/>
      <c r="ML106" s="775">
        <v>100</v>
      </c>
      <c r="MM106" s="775"/>
      <c r="MN106" s="775">
        <v>500</v>
      </c>
      <c r="MO106" s="775">
        <v>186</v>
      </c>
      <c r="MP106" s="775"/>
      <c r="MQ106" s="775">
        <v>60</v>
      </c>
      <c r="MR106" s="775"/>
      <c r="MS106" s="775"/>
      <c r="MT106" s="775"/>
      <c r="MU106" s="775"/>
      <c r="MV106" s="775"/>
      <c r="MW106" s="775"/>
      <c r="MX106" s="775"/>
      <c r="MY106" s="1682">
        <f t="shared" si="14"/>
        <v>2782</v>
      </c>
      <c r="MZ106" s="766" t="s">
        <v>13134</v>
      </c>
      <c r="NA106" s="766" t="s">
        <v>13005</v>
      </c>
      <c r="NB106" s="766" t="s">
        <v>13033</v>
      </c>
      <c r="NC106" s="766" t="s">
        <v>13026</v>
      </c>
      <c r="ND106" s="766">
        <v>0</v>
      </c>
      <c r="NE106" s="766">
        <v>0</v>
      </c>
      <c r="NF106" s="766">
        <v>0</v>
      </c>
      <c r="NG106" s="766">
        <v>0</v>
      </c>
      <c r="NH106" s="766">
        <v>0</v>
      </c>
      <c r="NI106" s="766">
        <v>0</v>
      </c>
      <c r="NJ106" s="766">
        <v>0</v>
      </c>
      <c r="NK106" s="766">
        <v>0</v>
      </c>
      <c r="NL106" s="766">
        <v>0</v>
      </c>
      <c r="NM106" s="766">
        <v>0</v>
      </c>
      <c r="NN106" s="766">
        <v>0</v>
      </c>
      <c r="NO106" s="766">
        <v>0</v>
      </c>
      <c r="NP106" s="766">
        <v>0</v>
      </c>
      <c r="NQ106" s="766">
        <v>0</v>
      </c>
      <c r="NR106" s="766">
        <v>0</v>
      </c>
      <c r="NS106" s="766">
        <v>0</v>
      </c>
      <c r="NT106" s="766">
        <v>0</v>
      </c>
      <c r="NU106" s="766">
        <v>0</v>
      </c>
      <c r="NV106" s="766">
        <v>0</v>
      </c>
      <c r="NW106" s="766">
        <v>0</v>
      </c>
      <c r="NX106" s="766">
        <v>0</v>
      </c>
      <c r="NY106" s="766"/>
      <c r="NZ106" s="766"/>
      <c r="OA106" s="766"/>
      <c r="OB106" s="766"/>
      <c r="OC106" s="766" t="s">
        <v>1208</v>
      </c>
      <c r="OD106" s="766"/>
      <c r="OE106" s="766"/>
      <c r="OF106" s="766"/>
      <c r="OG106" s="766"/>
      <c r="OH106" s="766"/>
      <c r="OI106" s="766"/>
      <c r="OJ106" s="766"/>
      <c r="OK106" s="766"/>
      <c r="OL106" s="766"/>
      <c r="OM106" s="766"/>
      <c r="ON106" s="766"/>
      <c r="OO106" s="766" t="s">
        <v>1214</v>
      </c>
      <c r="OP106" s="766"/>
      <c r="OQ106" s="766"/>
      <c r="OR106" s="766"/>
      <c r="OS106" s="766"/>
      <c r="OT106" s="766"/>
      <c r="OU106" s="766"/>
      <c r="OV106" s="766"/>
      <c r="OW106" s="766"/>
      <c r="OX106" s="766"/>
      <c r="OY106" s="766"/>
      <c r="OZ106" s="766"/>
      <c r="PA106" s="766"/>
      <c r="PB106" s="766"/>
      <c r="PC106" s="766"/>
      <c r="PD106" s="766"/>
      <c r="PE106" s="766"/>
      <c r="PF106" s="766"/>
      <c r="PG106" s="766"/>
      <c r="PH106" s="766"/>
      <c r="PI106" s="766"/>
      <c r="PJ106" s="766"/>
      <c r="PK106" s="766"/>
      <c r="PL106" s="766"/>
      <c r="PM106" s="766"/>
      <c r="PN106" s="766"/>
      <c r="PO106" s="766"/>
      <c r="PP106" s="766"/>
      <c r="PQ106" s="766"/>
      <c r="PR106" s="766"/>
      <c r="PS106" s="766"/>
      <c r="PT106" s="766"/>
      <c r="PU106" s="766"/>
      <c r="PV106" s="766"/>
      <c r="PW106" s="766"/>
      <c r="PX106" s="766"/>
      <c r="PY106" s="766"/>
      <c r="PZ106" s="766"/>
      <c r="QA106" s="766"/>
      <c r="QB106" s="766"/>
      <c r="QC106" s="766"/>
      <c r="QD106" s="766"/>
      <c r="QE106" s="766"/>
      <c r="QF106" s="766"/>
      <c r="QG106" s="766"/>
      <c r="QH106" s="766"/>
      <c r="QI106" s="766"/>
      <c r="QJ106" s="766"/>
      <c r="QK106" s="766"/>
      <c r="QL106" s="766"/>
      <c r="QM106" s="766"/>
      <c r="QN106" s="766"/>
      <c r="QO106" s="766"/>
      <c r="QP106" s="766"/>
      <c r="QQ106" s="766"/>
      <c r="QR106" s="766"/>
      <c r="QS106" s="766"/>
      <c r="QT106" s="766"/>
      <c r="QU106" s="766"/>
      <c r="QV106" s="766"/>
      <c r="QW106" s="766"/>
      <c r="QX106" s="766"/>
      <c r="QY106" s="766"/>
      <c r="QZ106" s="766"/>
      <c r="RA106" s="766"/>
      <c r="RB106" s="766"/>
      <c r="RC106" s="766"/>
      <c r="RD106" s="766"/>
      <c r="RE106" s="766"/>
      <c r="RF106" s="777"/>
      <c r="RG106" s="766"/>
      <c r="RH106" s="775"/>
      <c r="RI106" s="766"/>
      <c r="RJ106" s="766" t="s">
        <v>13140</v>
      </c>
      <c r="RK106" s="766" t="s">
        <v>13141</v>
      </c>
      <c r="RL106" s="1683"/>
      <c r="RM106" s="12"/>
      <c r="RN106" s="1711"/>
      <c r="RO106" s="165" t="s">
        <v>151</v>
      </c>
      <c r="RP106" s="11"/>
      <c r="RQ106" s="11"/>
      <c r="RR106" s="311" t="s">
        <v>12457</v>
      </c>
      <c r="RS106" s="1139" t="s">
        <v>12980</v>
      </c>
      <c r="RT106" s="11"/>
      <c r="RU106" s="11"/>
      <c r="RV106" s="766" t="s">
        <v>7419</v>
      </c>
      <c r="RW106" s="11" t="s">
        <v>12412</v>
      </c>
      <c r="RX106" s="11" t="s">
        <v>129</v>
      </c>
      <c r="RY106" s="11"/>
      <c r="RZ106" s="11"/>
      <c r="SA106" s="766"/>
      <c r="SB106" s="11"/>
      <c r="SC106" s="11"/>
    </row>
    <row r="107" spans="1:497" ht="12.75" customHeight="1">
      <c r="A107" s="49" t="s">
        <v>14147</v>
      </c>
      <c r="B107" s="288" t="s">
        <v>7572</v>
      </c>
      <c r="C107" s="165" t="s">
        <v>152</v>
      </c>
      <c r="D107" s="766" t="s">
        <v>788</v>
      </c>
      <c r="E107" s="766" t="s">
        <v>134</v>
      </c>
      <c r="F107" s="766" t="s">
        <v>28</v>
      </c>
      <c r="G107" s="766" t="s">
        <v>10</v>
      </c>
      <c r="H107" s="766"/>
      <c r="I107" s="5"/>
      <c r="J107" s="766" t="s">
        <v>788</v>
      </c>
      <c r="K107" s="766"/>
      <c r="L107" s="766"/>
      <c r="M107" s="766"/>
      <c r="N107" s="766"/>
      <c r="O107" s="766"/>
      <c r="P107" s="14" t="s">
        <v>788</v>
      </c>
      <c r="Q107" s="1085">
        <v>27243</v>
      </c>
      <c r="R107" s="25">
        <v>42</v>
      </c>
      <c r="S107" s="766" t="s">
        <v>10</v>
      </c>
      <c r="T107" s="766"/>
      <c r="U107" s="26" t="s">
        <v>786</v>
      </c>
      <c r="V107" s="766" t="s">
        <v>722</v>
      </c>
      <c r="W107" s="766"/>
      <c r="X107" s="766"/>
      <c r="Y107" s="766" t="s">
        <v>784</v>
      </c>
      <c r="Z107" s="766" t="s">
        <v>708</v>
      </c>
      <c r="AA107" s="766" t="s">
        <v>781</v>
      </c>
      <c r="AB107" s="766" t="s">
        <v>7275</v>
      </c>
      <c r="AC107" s="766" t="s">
        <v>789</v>
      </c>
      <c r="AD107" s="766" t="s">
        <v>790</v>
      </c>
      <c r="AE107" s="766"/>
      <c r="AF107" s="766" t="s">
        <v>712</v>
      </c>
      <c r="AG107" s="766"/>
      <c r="AH107" s="766"/>
      <c r="AI107" s="766"/>
      <c r="AJ107" s="766"/>
      <c r="AK107" s="1032" t="s">
        <v>1101</v>
      </c>
      <c r="AL107" s="333"/>
      <c r="AM107" s="334"/>
      <c r="AN107" s="774"/>
      <c r="AO107" s="766"/>
      <c r="AP107" s="766"/>
      <c r="AQ107" s="766"/>
      <c r="AR107" s="766"/>
      <c r="AS107" s="766"/>
      <c r="AT107" s="766"/>
      <c r="AU107" s="766"/>
      <c r="AV107" s="766"/>
      <c r="AW107" s="766"/>
      <c r="AX107" s="766"/>
      <c r="AY107" s="766"/>
      <c r="AZ107" s="766"/>
      <c r="BA107" s="766"/>
      <c r="BB107" s="766"/>
      <c r="BC107" s="766"/>
      <c r="BD107" s="766"/>
      <c r="BE107" s="766"/>
      <c r="BF107" s="775"/>
      <c r="BG107" s="775"/>
      <c r="BH107" s="766"/>
      <c r="BI107" s="766"/>
      <c r="BJ107" s="766"/>
      <c r="BK107" s="766"/>
      <c r="BL107" s="766"/>
      <c r="BM107" s="766" t="s">
        <v>1238</v>
      </c>
      <c r="BN107" s="766" t="s">
        <v>1256</v>
      </c>
      <c r="BO107" s="766"/>
      <c r="BP107" s="776"/>
      <c r="BQ107" s="772"/>
      <c r="BR107" s="774"/>
      <c r="BS107" s="766" t="s">
        <v>1257</v>
      </c>
      <c r="BT107" s="766"/>
      <c r="BU107" s="766"/>
      <c r="BV107" s="766"/>
      <c r="BW107" s="766"/>
      <c r="BX107" s="779"/>
      <c r="BY107" s="766"/>
      <c r="BZ107" s="775"/>
      <c r="CA107" s="766"/>
      <c r="CB107" s="766"/>
      <c r="CC107" s="766"/>
      <c r="CD107" s="766"/>
      <c r="CE107" s="766"/>
      <c r="CF107" s="777"/>
      <c r="CG107" s="778"/>
      <c r="CH107" s="766"/>
      <c r="CI107" s="766"/>
      <c r="CJ107" s="766"/>
      <c r="CK107" s="766"/>
      <c r="CL107" s="766"/>
      <c r="CM107" s="766"/>
      <c r="CN107" s="766"/>
      <c r="CO107" s="766"/>
      <c r="CP107" s="766"/>
      <c r="CQ107" s="766"/>
      <c r="CR107" s="775"/>
      <c r="CS107" s="766"/>
      <c r="CT107" s="766"/>
      <c r="CU107" s="129"/>
      <c r="CV107" s="766"/>
      <c r="CW107" s="766"/>
      <c r="CX107" s="766"/>
      <c r="CY107" s="766"/>
      <c r="CZ107" s="766"/>
      <c r="DA107" s="766"/>
      <c r="DB107" s="766"/>
      <c r="DC107" s="766"/>
      <c r="DD107" s="766"/>
      <c r="DE107" s="766"/>
      <c r="DF107" s="766"/>
      <c r="DG107" s="766"/>
      <c r="DH107" s="766"/>
      <c r="DI107" s="766"/>
      <c r="DJ107" s="766"/>
      <c r="DK107" s="766"/>
      <c r="DL107" s="766"/>
      <c r="DM107" s="766"/>
      <c r="DN107" s="766"/>
      <c r="DO107" s="766"/>
      <c r="DP107" s="766"/>
      <c r="DQ107" s="766"/>
      <c r="DR107" s="766"/>
      <c r="DS107" s="59"/>
      <c r="DT107" s="766"/>
      <c r="DU107" s="766"/>
      <c r="DV107" s="766"/>
      <c r="DW107" s="66"/>
      <c r="DX107" s="66"/>
      <c r="DY107" s="766"/>
      <c r="DZ107" s="766"/>
      <c r="EA107" s="766"/>
      <c r="EB107" s="766"/>
      <c r="EC107" s="766"/>
      <c r="ED107" s="766"/>
      <c r="EE107" s="766"/>
      <c r="EF107" s="766"/>
      <c r="EG107" s="766"/>
      <c r="EH107" s="766"/>
      <c r="EI107" s="766"/>
      <c r="EJ107" s="766"/>
      <c r="EK107" s="766"/>
      <c r="EL107" s="766"/>
      <c r="EM107" s="766"/>
      <c r="EN107" s="766"/>
      <c r="EO107" s="766"/>
      <c r="EP107" s="766"/>
      <c r="EQ107" s="766"/>
      <c r="ER107" s="766"/>
      <c r="ES107" s="766"/>
      <c r="ET107" s="766"/>
      <c r="EU107" s="766"/>
      <c r="EV107" s="766"/>
      <c r="EW107" s="766"/>
      <c r="EX107" s="766"/>
      <c r="EY107" s="766"/>
      <c r="EZ107" s="766"/>
      <c r="FA107" s="766"/>
      <c r="FB107" s="766"/>
      <c r="FC107" s="766"/>
      <c r="FD107" s="775"/>
      <c r="FE107" s="766"/>
      <c r="FF107" s="766"/>
      <c r="FG107" s="766"/>
      <c r="FH107" s="766" t="s">
        <v>1306</v>
      </c>
      <c r="FI107" s="766">
        <v>1</v>
      </c>
      <c r="FJ107" s="766" t="s">
        <v>1295</v>
      </c>
      <c r="FK107" s="25" t="s">
        <v>782</v>
      </c>
      <c r="FL107" s="766" t="s">
        <v>1608</v>
      </c>
      <c r="FM107" s="147">
        <v>500</v>
      </c>
      <c r="FN107" s="775" t="s">
        <v>1604</v>
      </c>
      <c r="FO107" s="775" t="s">
        <v>1604</v>
      </c>
      <c r="FP107" s="766" t="s">
        <v>1602</v>
      </c>
      <c r="FQ107" s="766" t="s">
        <v>1660</v>
      </c>
      <c r="FR107" s="766"/>
      <c r="FS107" s="766"/>
      <c r="FT107" s="766"/>
      <c r="FU107" s="766"/>
      <c r="FV107" s="766"/>
      <c r="FW107" s="766"/>
      <c r="FX107" s="766"/>
      <c r="FY107" s="766"/>
      <c r="FZ107" s="766"/>
      <c r="GA107" s="766"/>
      <c r="GB107" s="766"/>
      <c r="GC107" s="75"/>
      <c r="GD107" s="25"/>
      <c r="GE107" s="766"/>
      <c r="GF107" s="775"/>
      <c r="GG107" s="775"/>
      <c r="GH107" s="766" t="s">
        <v>1791</v>
      </c>
      <c r="GI107" s="766"/>
      <c r="GJ107" s="766" t="s">
        <v>1809</v>
      </c>
      <c r="GK107" s="766" t="s">
        <v>1806</v>
      </c>
      <c r="GL107" s="766"/>
      <c r="GM107" s="766" t="s">
        <v>1808</v>
      </c>
      <c r="GN107" s="82">
        <v>34</v>
      </c>
      <c r="GO107" s="766" t="s">
        <v>618</v>
      </c>
      <c r="GP107" s="766"/>
      <c r="GQ107" s="766" t="s">
        <v>1208</v>
      </c>
      <c r="GR107" s="766"/>
      <c r="GS107" s="766" t="s">
        <v>1208</v>
      </c>
      <c r="GT107" s="766" t="s">
        <v>1208</v>
      </c>
      <c r="GU107" s="766"/>
      <c r="GV107" s="766"/>
      <c r="GW107" s="766" t="s">
        <v>1207</v>
      </c>
      <c r="GX107" s="766"/>
      <c r="GY107" s="766"/>
      <c r="GZ107" s="766"/>
      <c r="HA107" s="766" t="s">
        <v>1208</v>
      </c>
      <c r="HB107" s="766"/>
      <c r="HC107" s="766" t="s">
        <v>1208</v>
      </c>
      <c r="HD107" s="766" t="s">
        <v>1208</v>
      </c>
      <c r="HE107" s="766" t="s">
        <v>1208</v>
      </c>
      <c r="HF107" s="766"/>
      <c r="HG107" s="766"/>
      <c r="HH107" s="766"/>
      <c r="HI107" s="766"/>
      <c r="HJ107" s="766"/>
      <c r="HK107" s="766"/>
      <c r="HL107" s="766"/>
      <c r="HM107" s="766"/>
      <c r="HN107" s="766"/>
      <c r="HO107" s="766"/>
      <c r="HP107" s="766"/>
      <c r="HQ107" s="766"/>
      <c r="HR107" s="766"/>
      <c r="HS107" s="766"/>
      <c r="HT107" s="766"/>
      <c r="HU107" s="766"/>
      <c r="HV107" s="766"/>
      <c r="HW107" s="766"/>
      <c r="HX107" s="766"/>
      <c r="HY107" s="766"/>
      <c r="HZ107" s="766"/>
      <c r="IA107" s="766"/>
      <c r="IB107" s="14" t="e">
        <f>IF(#REF!&gt;0,IF(#REF!&lt;=10000,"Y",""),"")</f>
        <v>#REF!</v>
      </c>
      <c r="IC107" s="766"/>
      <c r="ID107" s="766"/>
      <c r="IE107" s="766"/>
      <c r="IF107" s="766"/>
      <c r="IG107" s="766"/>
      <c r="IH107" s="766"/>
      <c r="II107" s="766"/>
      <c r="IJ107" s="766"/>
      <c r="IK107" s="766"/>
      <c r="IL107" s="766"/>
      <c r="IM107" s="766"/>
      <c r="IN107" s="766"/>
      <c r="IO107" s="24"/>
      <c r="IP107" s="766"/>
      <c r="IQ107" s="766"/>
      <c r="IR107" s="766"/>
      <c r="IS107" s="766"/>
      <c r="IT107" s="766"/>
      <c r="IU107" s="766"/>
      <c r="IV107" s="766"/>
      <c r="IW107" s="766"/>
      <c r="IX107" s="766"/>
      <c r="IY107" s="766"/>
      <c r="IZ107" s="766"/>
      <c r="JA107" s="766"/>
      <c r="JB107" s="766"/>
      <c r="JC107" s="766"/>
      <c r="JD107" s="775"/>
      <c r="JE107" s="766"/>
      <c r="JF107" s="766"/>
      <c r="JG107" s="766"/>
      <c r="JH107" s="766"/>
      <c r="JI107" s="766"/>
      <c r="JJ107" s="766">
        <v>9</v>
      </c>
      <c r="JK107" s="1139" t="s">
        <v>13142</v>
      </c>
      <c r="JL107" s="766">
        <v>2</v>
      </c>
      <c r="JM107" s="766">
        <v>5</v>
      </c>
      <c r="JN107" s="766">
        <v>1</v>
      </c>
      <c r="JO107" s="766">
        <v>1</v>
      </c>
      <c r="JP107" s="766"/>
      <c r="JQ107" s="766"/>
      <c r="JR107" s="766"/>
      <c r="JS107" s="766"/>
      <c r="JT107" s="766">
        <f t="shared" si="20"/>
        <v>3</v>
      </c>
      <c r="JU107" s="766">
        <f t="shared" si="20"/>
        <v>6</v>
      </c>
      <c r="JV107" s="712" t="str">
        <f>IF(JT107=KJ107,"ok","male")</f>
        <v>ok</v>
      </c>
      <c r="JW107" s="712" t="str">
        <f>IF(JU107=KK107,"ok","female")</f>
        <v>ok</v>
      </c>
      <c r="JX107" s="766"/>
      <c r="JY107" s="766">
        <v>3</v>
      </c>
      <c r="JZ107" s="766">
        <v>2</v>
      </c>
      <c r="KA107" s="766">
        <v>2</v>
      </c>
      <c r="KB107" s="766"/>
      <c r="KC107" s="766"/>
      <c r="KD107" s="766">
        <v>1</v>
      </c>
      <c r="KE107" s="766">
        <v>1</v>
      </c>
      <c r="KF107" s="766"/>
      <c r="KG107" s="766"/>
      <c r="KH107" s="766"/>
      <c r="KI107" s="766"/>
      <c r="KJ107" s="770">
        <f t="shared" si="21"/>
        <v>3</v>
      </c>
      <c r="KK107" s="770">
        <f t="shared" si="21"/>
        <v>6</v>
      </c>
      <c r="KL107" s="712" t="str">
        <f>IF(KJ107=LN107,"ok","male")</f>
        <v>ok</v>
      </c>
      <c r="KM107" s="712" t="str">
        <f>IF(KK107=LO107,"ok","female")</f>
        <v>ok</v>
      </c>
      <c r="KN107" s="766" t="s">
        <v>722</v>
      </c>
      <c r="KO107" s="766"/>
      <c r="KP107" s="766"/>
      <c r="KQ107" s="766"/>
      <c r="KR107" s="766"/>
      <c r="KS107" s="766">
        <v>1</v>
      </c>
      <c r="KT107" s="766">
        <v>1</v>
      </c>
      <c r="KU107" s="766">
        <v>3</v>
      </c>
      <c r="KV107" s="766"/>
      <c r="KW107" s="766"/>
      <c r="KX107" s="766">
        <v>2</v>
      </c>
      <c r="KY107" s="766"/>
      <c r="KZ107" s="766"/>
      <c r="LA107" s="766"/>
      <c r="LB107" s="766"/>
      <c r="LC107" s="766"/>
      <c r="LD107" s="766"/>
      <c r="LE107" s="766"/>
      <c r="LF107" s="766"/>
      <c r="LG107" s="766"/>
      <c r="LH107" s="766"/>
      <c r="LI107" s="766"/>
      <c r="LJ107" s="766"/>
      <c r="LK107" s="766">
        <v>2</v>
      </c>
      <c r="LL107" s="766"/>
      <c r="LM107" s="766"/>
      <c r="LN107" s="766">
        <f t="shared" si="22"/>
        <v>3</v>
      </c>
      <c r="LO107" s="766">
        <f t="shared" si="22"/>
        <v>6</v>
      </c>
      <c r="LP107" s="766">
        <v>2</v>
      </c>
      <c r="LQ107" s="766">
        <v>1</v>
      </c>
      <c r="LR107" s="766"/>
      <c r="LS107" s="766">
        <v>1</v>
      </c>
      <c r="LT107" s="712" t="str">
        <f>IF(LQ107=SUM(LU107:LW107),"OK","REV")</f>
        <v>OK</v>
      </c>
      <c r="LU107" s="766"/>
      <c r="LV107" s="766">
        <v>1</v>
      </c>
      <c r="LW107" s="766"/>
      <c r="LX107" s="769">
        <v>1</v>
      </c>
      <c r="LY107" s="766" t="str">
        <f t="shared" si="23"/>
        <v>within the BRGY</v>
      </c>
      <c r="LZ107" s="66"/>
      <c r="MA107" s="766"/>
      <c r="MB107" s="766"/>
      <c r="MC107" s="1679">
        <f t="shared" si="24"/>
        <v>0</v>
      </c>
      <c r="MD107" s="66">
        <v>14000</v>
      </c>
      <c r="ME107" s="66"/>
      <c r="MF107" s="66">
        <v>4000</v>
      </c>
      <c r="MG107" s="1680">
        <f t="shared" si="15"/>
        <v>18000</v>
      </c>
      <c r="MH107" s="766"/>
      <c r="MI107" s="775">
        <v>6000</v>
      </c>
      <c r="MJ107" s="775">
        <v>200</v>
      </c>
      <c r="MK107" s="775">
        <v>416</v>
      </c>
      <c r="ML107" s="775">
        <v>100</v>
      </c>
      <c r="MM107" s="775">
        <v>200</v>
      </c>
      <c r="MN107" s="775">
        <v>500</v>
      </c>
      <c r="MO107" s="775">
        <v>20</v>
      </c>
      <c r="MP107" s="775"/>
      <c r="MQ107" s="775"/>
      <c r="MR107" s="775">
        <v>200</v>
      </c>
      <c r="MS107" s="775">
        <f>QUOTIENT(1000,12)</f>
        <v>83</v>
      </c>
      <c r="MT107" s="775"/>
      <c r="MU107" s="775"/>
      <c r="MV107" s="775"/>
      <c r="MW107" s="775"/>
      <c r="MX107" s="775"/>
      <c r="MY107" s="1682">
        <f t="shared" si="14"/>
        <v>7719</v>
      </c>
      <c r="MZ107" s="766" t="s">
        <v>13134</v>
      </c>
      <c r="NA107" s="766" t="s">
        <v>1249</v>
      </c>
      <c r="NB107" s="766" t="s">
        <v>13143</v>
      </c>
      <c r="NC107" s="766" t="s">
        <v>13026</v>
      </c>
      <c r="ND107" s="766">
        <v>0</v>
      </c>
      <c r="NE107" s="766">
        <v>0</v>
      </c>
      <c r="NF107" s="766">
        <v>0</v>
      </c>
      <c r="NG107" s="766">
        <v>0</v>
      </c>
      <c r="NH107" s="766">
        <v>0</v>
      </c>
      <c r="NI107" s="766">
        <v>0</v>
      </c>
      <c r="NJ107" s="766">
        <v>0</v>
      </c>
      <c r="NK107" s="766">
        <v>0</v>
      </c>
      <c r="NL107" s="766">
        <v>0</v>
      </c>
      <c r="NM107" s="766">
        <v>0</v>
      </c>
      <c r="NN107" s="766">
        <v>0</v>
      </c>
      <c r="NO107" s="766">
        <v>0</v>
      </c>
      <c r="NP107" s="766">
        <v>0</v>
      </c>
      <c r="NQ107" s="766">
        <v>0</v>
      </c>
      <c r="NR107" s="766">
        <v>0</v>
      </c>
      <c r="NS107" s="766">
        <v>0</v>
      </c>
      <c r="NT107" s="766">
        <v>0</v>
      </c>
      <c r="NU107" s="766">
        <v>0</v>
      </c>
      <c r="NV107" s="766">
        <v>0</v>
      </c>
      <c r="NW107" s="766">
        <v>0</v>
      </c>
      <c r="NX107" s="766">
        <v>0</v>
      </c>
      <c r="NY107" s="766" t="s">
        <v>1208</v>
      </c>
      <c r="NZ107" s="766" t="s">
        <v>1208</v>
      </c>
      <c r="OA107" s="766" t="s">
        <v>1208</v>
      </c>
      <c r="OB107" s="766" t="s">
        <v>1208</v>
      </c>
      <c r="OC107" s="766"/>
      <c r="OD107" s="766"/>
      <c r="OE107" s="766"/>
      <c r="OF107" s="766" t="s">
        <v>13144</v>
      </c>
      <c r="OG107" s="766"/>
      <c r="OH107" s="766"/>
      <c r="OI107" s="766"/>
      <c r="OJ107" s="766"/>
      <c r="OK107" s="766"/>
      <c r="OL107" s="766"/>
      <c r="OM107" s="766"/>
      <c r="ON107" s="766"/>
      <c r="OO107" s="766" t="s">
        <v>1207</v>
      </c>
      <c r="OP107" s="766" t="s">
        <v>13079</v>
      </c>
      <c r="OQ107" s="766"/>
      <c r="OR107" s="766"/>
      <c r="OS107" s="766"/>
      <c r="OT107" s="766"/>
      <c r="OU107" s="766"/>
      <c r="OV107" s="766" t="s">
        <v>1208</v>
      </c>
      <c r="OW107" s="766"/>
      <c r="OX107" s="766" t="s">
        <v>1208</v>
      </c>
      <c r="OY107" s="766"/>
      <c r="OZ107" s="766"/>
      <c r="PA107" s="766"/>
      <c r="PB107" s="766"/>
      <c r="PC107" s="766"/>
      <c r="PD107" s="766"/>
      <c r="PE107" s="766"/>
      <c r="PF107" s="766"/>
      <c r="PG107" s="766"/>
      <c r="PH107" s="766"/>
      <c r="PI107" s="766"/>
      <c r="PJ107" s="766"/>
      <c r="PK107" s="766" t="s">
        <v>1208</v>
      </c>
      <c r="PL107" s="766"/>
      <c r="PM107" s="766"/>
      <c r="PN107" s="766"/>
      <c r="PO107" s="766"/>
      <c r="PP107" s="766"/>
      <c r="PQ107" s="766"/>
      <c r="PR107" s="766"/>
      <c r="PS107" s="766"/>
      <c r="PT107" s="766"/>
      <c r="PU107" s="766"/>
      <c r="PV107" s="766"/>
      <c r="PW107" s="766"/>
      <c r="PX107" s="766"/>
      <c r="PY107" s="766"/>
      <c r="PZ107" s="766"/>
      <c r="QA107" s="766"/>
      <c r="QB107" s="766"/>
      <c r="QC107" s="766"/>
      <c r="QD107" s="766"/>
      <c r="QE107" s="766"/>
      <c r="QF107" s="766"/>
      <c r="QG107" s="766"/>
      <c r="QH107" s="766"/>
      <c r="QI107" s="766"/>
      <c r="QJ107" s="766"/>
      <c r="QK107" s="766"/>
      <c r="QL107" s="766"/>
      <c r="QM107" s="766"/>
      <c r="QN107" s="766"/>
      <c r="QO107" s="766"/>
      <c r="QP107" s="766"/>
      <c r="QQ107" s="766"/>
      <c r="QR107" s="766"/>
      <c r="QS107" s="766"/>
      <c r="QT107" s="766"/>
      <c r="QU107" s="766"/>
      <c r="QV107" s="766"/>
      <c r="QW107" s="766"/>
      <c r="QX107" s="766"/>
      <c r="QY107" s="766"/>
      <c r="QZ107" s="766"/>
      <c r="RA107" s="766"/>
      <c r="RB107" s="766"/>
      <c r="RC107" s="766"/>
      <c r="RD107" s="766"/>
      <c r="RE107" s="766"/>
      <c r="RF107" s="777"/>
      <c r="RG107" s="766"/>
      <c r="RH107" s="775"/>
      <c r="RI107" s="766"/>
      <c r="RJ107" s="766" t="s">
        <v>13145</v>
      </c>
      <c r="RK107" s="766" t="s">
        <v>13146</v>
      </c>
      <c r="RL107" s="1683"/>
      <c r="RM107" s="12"/>
      <c r="RN107" s="1711"/>
      <c r="RO107" s="165" t="s">
        <v>152</v>
      </c>
      <c r="RP107" s="11"/>
      <c r="RQ107" s="11"/>
      <c r="RR107" s="311" t="s">
        <v>12457</v>
      </c>
      <c r="RS107" s="1139" t="s">
        <v>12980</v>
      </c>
      <c r="RT107" s="11"/>
      <c r="RU107" s="11"/>
      <c r="RV107" s="766" t="s">
        <v>7421</v>
      </c>
      <c r="RW107" s="11" t="s">
        <v>7553</v>
      </c>
      <c r="RX107" s="11" t="s">
        <v>148</v>
      </c>
      <c r="RY107" s="11"/>
      <c r="RZ107" s="11"/>
      <c r="SA107" s="766"/>
      <c r="SB107" s="11"/>
      <c r="SC107" s="11"/>
    </row>
    <row r="108" spans="1:497" ht="12.75" customHeight="1">
      <c r="A108" s="767" t="s">
        <v>7421</v>
      </c>
      <c r="B108" s="288" t="s">
        <v>7948</v>
      </c>
      <c r="C108" s="165" t="s">
        <v>153</v>
      </c>
      <c r="D108" s="766" t="s">
        <v>154</v>
      </c>
      <c r="E108" s="766" t="s">
        <v>155</v>
      </c>
      <c r="F108" s="766" t="s">
        <v>156</v>
      </c>
      <c r="G108" s="766"/>
      <c r="H108" s="766"/>
      <c r="I108" s="5"/>
      <c r="J108" s="766"/>
      <c r="K108" s="766"/>
      <c r="L108" s="766"/>
      <c r="M108" s="766"/>
      <c r="N108" s="766"/>
      <c r="O108" s="766"/>
      <c r="P108" s="766"/>
      <c r="Q108" s="1085"/>
      <c r="R108" s="25"/>
      <c r="S108" s="766"/>
      <c r="T108" s="766"/>
      <c r="U108" s="26"/>
      <c r="V108" s="766"/>
      <c r="W108" s="766"/>
      <c r="X108" s="766"/>
      <c r="Y108" s="766"/>
      <c r="Z108" s="766"/>
      <c r="AA108" s="766"/>
      <c r="AB108" s="766"/>
      <c r="AC108" s="766"/>
      <c r="AD108" s="766"/>
      <c r="AE108" s="766"/>
      <c r="AF108" s="766"/>
      <c r="AG108" s="766" t="s">
        <v>1132</v>
      </c>
      <c r="AH108" s="766" t="s">
        <v>1120</v>
      </c>
      <c r="AI108" s="766"/>
      <c r="AJ108" s="766" t="s">
        <v>1137</v>
      </c>
      <c r="AK108" s="766" t="s">
        <v>1101</v>
      </c>
      <c r="AL108" s="333"/>
      <c r="AM108" s="334"/>
      <c r="AN108" s="774"/>
      <c r="AO108" s="766" t="s">
        <v>1113</v>
      </c>
      <c r="AP108" s="766"/>
      <c r="AQ108" s="766"/>
      <c r="AR108" s="766"/>
      <c r="AS108" s="766"/>
      <c r="AT108" s="766"/>
      <c r="AU108" s="766"/>
      <c r="AV108" s="766"/>
      <c r="AW108" s="766"/>
      <c r="AX108" s="766"/>
      <c r="AY108" s="766"/>
      <c r="AZ108" s="766"/>
      <c r="BA108" s="766"/>
      <c r="BB108" s="766"/>
      <c r="BC108" s="766"/>
      <c r="BD108" s="766"/>
      <c r="BE108" s="766"/>
      <c r="BF108" s="775" t="s">
        <v>110</v>
      </c>
      <c r="BG108" s="775"/>
      <c r="BH108" s="766"/>
      <c r="BI108" s="766"/>
      <c r="BJ108" s="766"/>
      <c r="BK108" s="766" t="s">
        <v>1099</v>
      </c>
      <c r="BL108" s="766" t="s">
        <v>8110</v>
      </c>
      <c r="BM108" s="766" t="s">
        <v>1120</v>
      </c>
      <c r="BN108" s="766" t="s">
        <v>8112</v>
      </c>
      <c r="BO108" s="766" t="s">
        <v>1246</v>
      </c>
      <c r="BP108" s="1109">
        <v>25</v>
      </c>
      <c r="BQ108" s="772">
        <v>15</v>
      </c>
      <c r="BR108" s="774">
        <f>BQ108/BP108</f>
        <v>0.6</v>
      </c>
      <c r="BS108" s="766" t="s">
        <v>1149</v>
      </c>
      <c r="BT108" s="766" t="s">
        <v>2040</v>
      </c>
      <c r="BU108" s="766" t="s">
        <v>1249</v>
      </c>
      <c r="BV108" s="766" t="s">
        <v>1247</v>
      </c>
      <c r="BW108" s="766">
        <v>1990</v>
      </c>
      <c r="BX108" s="779">
        <v>100000</v>
      </c>
      <c r="BY108" s="766"/>
      <c r="BZ108" s="775">
        <v>200000</v>
      </c>
      <c r="CA108" s="766"/>
      <c r="CB108" s="766"/>
      <c r="CC108" s="766"/>
      <c r="CD108" s="766"/>
      <c r="CE108" s="766"/>
      <c r="CF108" s="777"/>
      <c r="CG108" s="778"/>
      <c r="CH108" s="766"/>
      <c r="CI108" s="766"/>
      <c r="CJ108" s="766"/>
      <c r="CK108" s="766"/>
      <c r="CL108" s="766"/>
      <c r="CM108" s="766"/>
      <c r="CN108" s="766"/>
      <c r="CO108" s="766"/>
      <c r="CP108" s="766"/>
      <c r="CQ108" s="766"/>
      <c r="CR108" s="775"/>
      <c r="CS108" s="766"/>
      <c r="CT108" s="766"/>
      <c r="CU108" s="129"/>
      <c r="CV108" s="766"/>
      <c r="CW108" s="766"/>
      <c r="CX108" s="766"/>
      <c r="CY108" s="766"/>
      <c r="CZ108" s="766"/>
      <c r="DA108" s="766"/>
      <c r="DB108" s="766"/>
      <c r="DC108" s="766"/>
      <c r="DD108" s="766"/>
      <c r="DE108" s="766"/>
      <c r="DF108" s="766"/>
      <c r="DG108" s="766"/>
      <c r="DH108" s="766"/>
      <c r="DI108" s="766"/>
      <c r="DJ108" s="766"/>
      <c r="DK108" s="766"/>
      <c r="DL108" s="766"/>
      <c r="DM108" s="766"/>
      <c r="DN108" s="766"/>
      <c r="DO108" s="766"/>
      <c r="DP108" s="766"/>
      <c r="DQ108" s="766"/>
      <c r="DR108" s="766"/>
      <c r="DS108" s="59"/>
      <c r="DT108" s="766"/>
      <c r="DU108" s="766"/>
      <c r="DV108" s="766"/>
      <c r="DW108" s="66"/>
      <c r="DX108" s="66"/>
      <c r="DY108" s="766"/>
      <c r="DZ108" s="766"/>
      <c r="EA108" s="766"/>
      <c r="EB108" s="766"/>
      <c r="EC108" s="766"/>
      <c r="ED108" s="766"/>
      <c r="EE108" s="766"/>
      <c r="EF108" s="766"/>
      <c r="EG108" s="766"/>
      <c r="EH108" s="766"/>
      <c r="EI108" s="766"/>
      <c r="EJ108" s="766"/>
      <c r="EK108" s="766"/>
      <c r="EL108" s="766"/>
      <c r="EM108" s="766"/>
      <c r="EN108" s="766"/>
      <c r="EO108" s="766"/>
      <c r="EP108" s="766"/>
      <c r="EQ108" s="766"/>
      <c r="ER108" s="766"/>
      <c r="ES108" s="766"/>
      <c r="ET108" s="766"/>
      <c r="EU108" s="766"/>
      <c r="EV108" s="766"/>
      <c r="EW108" s="766"/>
      <c r="EX108" s="766"/>
      <c r="EY108" s="766"/>
      <c r="EZ108" s="766"/>
      <c r="FA108" s="766"/>
      <c r="FB108" s="766"/>
      <c r="FC108" s="766"/>
      <c r="FD108" s="775"/>
      <c r="FE108" s="766"/>
      <c r="FF108" s="766"/>
      <c r="FG108" s="766"/>
      <c r="FH108" s="766"/>
      <c r="FI108" s="766"/>
      <c r="FJ108" s="766"/>
      <c r="FK108" s="25"/>
      <c r="FL108" s="766"/>
      <c r="FM108" s="775"/>
      <c r="FN108" s="775"/>
      <c r="FO108" s="775"/>
      <c r="FP108" s="766"/>
      <c r="FQ108" s="766"/>
      <c r="FR108" s="766"/>
      <c r="FS108" s="766"/>
      <c r="FT108" s="766"/>
      <c r="FU108" s="766"/>
      <c r="FV108" s="766"/>
      <c r="FW108" s="766"/>
      <c r="FX108" s="766"/>
      <c r="FY108" s="766"/>
      <c r="FZ108" s="766"/>
      <c r="GA108" s="766"/>
      <c r="GB108" s="766"/>
      <c r="GC108" s="75" t="s">
        <v>110</v>
      </c>
      <c r="GD108" s="25"/>
      <c r="GE108" s="766" t="s">
        <v>1698</v>
      </c>
      <c r="GF108" s="775"/>
      <c r="GG108" s="775"/>
      <c r="GH108" s="766"/>
      <c r="GI108" s="766"/>
      <c r="GJ108" s="766"/>
      <c r="GK108" s="766"/>
      <c r="GL108" s="766"/>
      <c r="GM108" s="766"/>
      <c r="GN108" s="82"/>
      <c r="GO108" s="766"/>
      <c r="GP108" s="766"/>
      <c r="GQ108" s="766"/>
      <c r="GR108" s="766"/>
      <c r="GS108" s="766"/>
      <c r="GT108" s="766"/>
      <c r="GU108" s="766"/>
      <c r="GV108" s="766"/>
      <c r="GW108" s="766"/>
      <c r="GX108" s="766"/>
      <c r="GY108" s="766"/>
      <c r="GZ108" s="766"/>
      <c r="HA108" s="766"/>
      <c r="HB108" s="766"/>
      <c r="HC108" s="766"/>
      <c r="HD108" s="766"/>
      <c r="HE108" s="766"/>
      <c r="HF108" s="766"/>
      <c r="HG108" s="766"/>
      <c r="HH108" s="766"/>
      <c r="HI108" s="766"/>
      <c r="HJ108" s="766"/>
      <c r="HK108" s="766"/>
      <c r="HL108" s="766"/>
      <c r="HM108" s="766"/>
      <c r="HN108" s="766"/>
      <c r="HO108" s="766"/>
      <c r="HP108" s="766"/>
      <c r="HQ108" s="766"/>
      <c r="HR108" s="766"/>
      <c r="HS108" s="766"/>
      <c r="HT108" s="766"/>
      <c r="HU108" s="766"/>
      <c r="HV108" s="766"/>
      <c r="HW108" s="766"/>
      <c r="HX108" s="766"/>
      <c r="HY108" s="766"/>
      <c r="HZ108" s="766"/>
      <c r="IA108" s="766"/>
      <c r="IB108" s="766"/>
      <c r="IC108" s="766"/>
      <c r="ID108" s="766"/>
      <c r="IE108" s="766"/>
      <c r="IF108" s="766" t="s">
        <v>154</v>
      </c>
      <c r="IG108" s="766" t="s">
        <v>10</v>
      </c>
      <c r="IH108" s="766" t="s">
        <v>1921</v>
      </c>
      <c r="II108" s="766" t="s">
        <v>155</v>
      </c>
      <c r="IJ108" s="766" t="s">
        <v>1922</v>
      </c>
      <c r="IK108" s="766"/>
      <c r="IL108" s="766" t="s">
        <v>1923</v>
      </c>
      <c r="IM108" s="766">
        <v>1990</v>
      </c>
      <c r="IN108" s="766"/>
      <c r="IO108" s="24"/>
      <c r="IP108" s="766" t="s">
        <v>1924</v>
      </c>
      <c r="IQ108" s="13" t="s">
        <v>8138</v>
      </c>
      <c r="IR108" s="766"/>
      <c r="IS108" s="766"/>
      <c r="IT108" s="766"/>
      <c r="IU108" s="766"/>
      <c r="IV108" s="766"/>
      <c r="IW108" s="766"/>
      <c r="IX108" s="766"/>
      <c r="IY108" s="766"/>
      <c r="IZ108" s="766"/>
      <c r="JA108" s="766"/>
      <c r="JB108" s="766"/>
      <c r="JC108" s="766"/>
      <c r="JD108" s="775"/>
      <c r="JE108" s="766">
        <v>5</v>
      </c>
      <c r="JF108" s="766"/>
      <c r="JG108" s="766"/>
      <c r="JH108" s="766"/>
      <c r="JI108" s="766"/>
      <c r="JJ108" s="770"/>
      <c r="JK108" s="770"/>
      <c r="JL108" s="770"/>
      <c r="JM108" s="770"/>
      <c r="JN108" s="770"/>
      <c r="JO108" s="770"/>
      <c r="JP108" s="770"/>
      <c r="JQ108" s="770"/>
      <c r="JR108" s="770"/>
      <c r="JS108" s="770"/>
      <c r="JT108" s="766"/>
      <c r="JU108" s="766"/>
      <c r="JV108" s="766"/>
      <c r="JW108" s="766"/>
      <c r="JX108" s="766"/>
      <c r="JY108" s="766"/>
      <c r="JZ108" s="766"/>
      <c r="KA108" s="766"/>
      <c r="KB108" s="766"/>
      <c r="KC108" s="766"/>
      <c r="KD108" s="766"/>
      <c r="KE108" s="766"/>
      <c r="KF108" s="766"/>
      <c r="KG108" s="766"/>
      <c r="KH108" s="766"/>
      <c r="KI108" s="766"/>
      <c r="KJ108" s="770"/>
      <c r="KK108" s="770"/>
      <c r="KL108" s="770"/>
      <c r="KM108" s="770"/>
      <c r="KN108" s="766"/>
      <c r="KO108" s="28"/>
      <c r="KP108" s="766"/>
      <c r="KQ108" s="766"/>
      <c r="KR108" s="766"/>
      <c r="KS108" s="766"/>
      <c r="KT108" s="766"/>
      <c r="KU108" s="766"/>
      <c r="KV108" s="766"/>
      <c r="KW108" s="766"/>
      <c r="KX108" s="766"/>
      <c r="KY108" s="766"/>
      <c r="KZ108" s="766"/>
      <c r="LA108" s="766"/>
      <c r="LB108" s="766"/>
      <c r="LC108" s="766"/>
      <c r="LD108" s="766"/>
      <c r="LE108" s="766"/>
      <c r="LF108" s="766"/>
      <c r="LG108" s="766"/>
      <c r="LH108" s="766"/>
      <c r="LI108" s="766"/>
      <c r="LJ108" s="766"/>
      <c r="LK108" s="766"/>
      <c r="LL108" s="766"/>
      <c r="LM108" s="766"/>
      <c r="LN108" s="766"/>
      <c r="LO108" s="766"/>
      <c r="LP108" s="766"/>
      <c r="LQ108" s="1678"/>
      <c r="LR108" s="766"/>
      <c r="LS108" s="766"/>
      <c r="LT108" s="766"/>
      <c r="LU108" s="766"/>
      <c r="LV108" s="766"/>
      <c r="LW108" s="766"/>
      <c r="LX108" s="769"/>
      <c r="LY108" s="766" t="str">
        <f t="shared" si="23"/>
        <v/>
      </c>
      <c r="LZ108" s="299"/>
      <c r="MA108" s="1709"/>
      <c r="MB108" s="1709"/>
      <c r="MC108" s="1679">
        <f t="shared" si="24"/>
        <v>0</v>
      </c>
      <c r="MD108" s="1709"/>
      <c r="ME108" s="1709"/>
      <c r="MF108" s="1709"/>
      <c r="MG108" s="1680">
        <f t="shared" si="15"/>
        <v>0</v>
      </c>
      <c r="MH108" s="766"/>
      <c r="MI108" s="775"/>
      <c r="MJ108" s="775"/>
      <c r="MK108" s="775"/>
      <c r="ML108" s="775"/>
      <c r="MM108" s="775"/>
      <c r="MN108" s="775"/>
      <c r="MO108" s="775"/>
      <c r="MP108" s="775"/>
      <c r="MQ108" s="775"/>
      <c r="MR108" s="775"/>
      <c r="MS108" s="775"/>
      <c r="MT108" s="775"/>
      <c r="MU108" s="775"/>
      <c r="MV108" s="775"/>
      <c r="MW108" s="775"/>
      <c r="MX108" s="775"/>
      <c r="MY108" s="1682">
        <f t="shared" si="14"/>
        <v>0</v>
      </c>
      <c r="MZ108" s="766"/>
      <c r="NA108" s="766"/>
      <c r="NB108" s="766"/>
      <c r="NC108" s="766"/>
      <c r="ND108" s="766"/>
      <c r="NE108" s="766"/>
      <c r="NF108" s="766"/>
      <c r="NG108" s="766"/>
      <c r="NH108" s="766"/>
      <c r="NI108" s="766"/>
      <c r="NJ108" s="766"/>
      <c r="NK108" s="766"/>
      <c r="NL108" s="766"/>
      <c r="NM108" s="766"/>
      <c r="NN108" s="766"/>
      <c r="NO108" s="766"/>
      <c r="NP108" s="766"/>
      <c r="NQ108" s="766"/>
      <c r="NR108" s="766"/>
      <c r="NS108" s="766"/>
      <c r="NT108" s="766"/>
      <c r="NU108" s="766"/>
      <c r="NV108" s="766"/>
      <c r="NW108" s="766"/>
      <c r="NX108" s="766"/>
      <c r="NY108" s="766"/>
      <c r="NZ108" s="766"/>
      <c r="OA108" s="766"/>
      <c r="OB108" s="766"/>
      <c r="OC108" s="766"/>
      <c r="OD108" s="766"/>
      <c r="OE108" s="766"/>
      <c r="OF108" s="766"/>
      <c r="OG108" s="766"/>
      <c r="OH108" s="766"/>
      <c r="OI108" s="766"/>
      <c r="OJ108" s="766"/>
      <c r="OK108" s="766"/>
      <c r="OL108" s="766"/>
      <c r="OM108" s="766"/>
      <c r="ON108" s="766"/>
      <c r="OO108" s="766"/>
      <c r="OP108" s="766"/>
      <c r="OQ108" s="766"/>
      <c r="OR108" s="766"/>
      <c r="OS108" s="766"/>
      <c r="OT108" s="766"/>
      <c r="OU108" s="766"/>
      <c r="OV108" s="766"/>
      <c r="OW108" s="766"/>
      <c r="OX108" s="766"/>
      <c r="OY108" s="766"/>
      <c r="OZ108" s="766"/>
      <c r="PA108" s="766"/>
      <c r="PB108" s="766"/>
      <c r="PC108" s="766"/>
      <c r="PD108" s="766"/>
      <c r="PE108" s="766"/>
      <c r="PF108" s="766"/>
      <c r="PG108" s="766"/>
      <c r="PH108" s="766"/>
      <c r="PI108" s="766"/>
      <c r="PJ108" s="766"/>
      <c r="PK108" s="766"/>
      <c r="PL108" s="766"/>
      <c r="PM108" s="766"/>
      <c r="PN108" s="766"/>
      <c r="PO108" s="766"/>
      <c r="PP108" s="766"/>
      <c r="PQ108" s="766"/>
      <c r="PR108" s="766"/>
      <c r="PS108" s="766"/>
      <c r="PT108" s="766"/>
      <c r="PU108" s="766"/>
      <c r="PV108" s="766"/>
      <c r="PW108" s="766"/>
      <c r="PX108" s="766"/>
      <c r="PY108" s="766"/>
      <c r="PZ108" s="766"/>
      <c r="QA108" s="766"/>
      <c r="QB108" s="766"/>
      <c r="QC108" s="766"/>
      <c r="QD108" s="766"/>
      <c r="QE108" s="766"/>
      <c r="QF108" s="766"/>
      <c r="QG108" s="766"/>
      <c r="QH108" s="766"/>
      <c r="QI108" s="766"/>
      <c r="QJ108" s="766"/>
      <c r="QK108" s="766"/>
      <c r="QL108" s="766"/>
      <c r="QM108" s="766"/>
      <c r="QN108" s="766"/>
      <c r="QO108" s="766"/>
      <c r="QP108" s="766"/>
      <c r="QQ108" s="766"/>
      <c r="QR108" s="766"/>
      <c r="QS108" s="766"/>
      <c r="QT108" s="766"/>
      <c r="QU108" s="766"/>
      <c r="QV108" s="766"/>
      <c r="QW108" s="766"/>
      <c r="QX108" s="766"/>
      <c r="QY108" s="766"/>
      <c r="QZ108" s="766"/>
      <c r="RA108" s="766"/>
      <c r="RB108" s="770" t="s">
        <v>1207</v>
      </c>
      <c r="RC108" s="766"/>
      <c r="RD108" s="766"/>
      <c r="RE108" s="766" t="s">
        <v>13100</v>
      </c>
      <c r="RF108" s="777">
        <v>1</v>
      </c>
      <c r="RG108" s="766" t="s">
        <v>13138</v>
      </c>
      <c r="RH108" s="775" t="s">
        <v>1604</v>
      </c>
      <c r="RI108" s="766">
        <v>3</v>
      </c>
      <c r="RJ108" s="766" t="s">
        <v>13147</v>
      </c>
      <c r="RK108" s="766" t="s">
        <v>13148</v>
      </c>
      <c r="RL108" s="1683"/>
      <c r="RM108" s="12"/>
      <c r="RN108" s="1711"/>
      <c r="RO108" s="165" t="s">
        <v>153</v>
      </c>
      <c r="RP108" s="11"/>
      <c r="RQ108" s="11"/>
      <c r="RR108" s="771"/>
      <c r="RS108" s="767"/>
      <c r="RT108" s="11"/>
      <c r="RU108" s="11"/>
      <c r="RV108" s="771" t="s">
        <v>12457</v>
      </c>
      <c r="RW108" s="11" t="s">
        <v>7571</v>
      </c>
      <c r="RX108" s="11" t="s">
        <v>151</v>
      </c>
      <c r="RY108" s="11"/>
      <c r="RZ108" s="11" t="s">
        <v>7421</v>
      </c>
      <c r="SA108" s="771"/>
      <c r="SB108" s="11"/>
      <c r="SC108" s="11"/>
    </row>
    <row r="109" spans="1:497" ht="12.75" hidden="1" customHeight="1">
      <c r="A109" s="154" t="s">
        <v>7419</v>
      </c>
      <c r="B109" s="288" t="s">
        <v>12418</v>
      </c>
      <c r="C109" s="165" t="s">
        <v>157</v>
      </c>
      <c r="D109" s="766" t="s">
        <v>158</v>
      </c>
      <c r="E109" s="766" t="s">
        <v>792</v>
      </c>
      <c r="F109" s="766" t="s">
        <v>28</v>
      </c>
      <c r="G109" s="766" t="s">
        <v>18</v>
      </c>
      <c r="H109" s="766"/>
      <c r="I109" s="5" t="s">
        <v>159</v>
      </c>
      <c r="J109" s="766" t="s">
        <v>160</v>
      </c>
      <c r="K109" s="766" t="s">
        <v>161</v>
      </c>
      <c r="L109" s="766" t="s">
        <v>162</v>
      </c>
      <c r="M109" s="766"/>
      <c r="N109" s="766"/>
      <c r="O109" s="766"/>
      <c r="P109" s="766"/>
      <c r="Q109" s="1085"/>
      <c r="R109" s="25"/>
      <c r="S109" s="766"/>
      <c r="T109" s="766"/>
      <c r="U109" s="26"/>
      <c r="V109" s="766"/>
      <c r="W109" s="766"/>
      <c r="X109" s="766"/>
      <c r="Y109" s="766"/>
      <c r="Z109" s="766"/>
      <c r="AA109" s="766"/>
      <c r="AB109" s="766"/>
      <c r="AC109" s="766"/>
      <c r="AD109" s="766"/>
      <c r="AE109" s="766"/>
      <c r="AF109" s="766"/>
      <c r="AG109" s="766" t="s">
        <v>1095</v>
      </c>
      <c r="AH109" s="766" t="s">
        <v>1096</v>
      </c>
      <c r="AI109" s="766" t="s">
        <v>1139</v>
      </c>
      <c r="AJ109" s="766"/>
      <c r="AK109" s="766" t="s">
        <v>1097</v>
      </c>
      <c r="AL109" s="121">
        <v>74.97</v>
      </c>
      <c r="AM109" s="772">
        <v>21.07</v>
      </c>
      <c r="AN109" s="37">
        <f>AM109/AL109</f>
        <v>0.28104575163398693</v>
      </c>
      <c r="AO109" s="766" t="s">
        <v>1149</v>
      </c>
      <c r="AP109" s="766"/>
      <c r="AQ109" s="766"/>
      <c r="AR109" s="766"/>
      <c r="AS109" s="766" t="s">
        <v>1207</v>
      </c>
      <c r="AT109" s="766" t="s">
        <v>1208</v>
      </c>
      <c r="AU109" s="766"/>
      <c r="AV109" s="766" t="s">
        <v>1208</v>
      </c>
      <c r="AW109" s="766" t="s">
        <v>1208</v>
      </c>
      <c r="AX109" s="766"/>
      <c r="AY109" s="766"/>
      <c r="AZ109" s="766"/>
      <c r="BA109" s="766"/>
      <c r="BB109" s="766"/>
      <c r="BC109" s="766" t="s">
        <v>853</v>
      </c>
      <c r="BD109" s="766" t="s">
        <v>1207</v>
      </c>
      <c r="BE109" s="766"/>
      <c r="BF109" s="775"/>
      <c r="BG109" s="775"/>
      <c r="BH109" s="766"/>
      <c r="BI109" s="766"/>
      <c r="BJ109" s="766"/>
      <c r="BK109" s="766" t="s">
        <v>1095</v>
      </c>
      <c r="BL109" s="766" t="s">
        <v>12748</v>
      </c>
      <c r="BM109" s="766" t="s">
        <v>1096</v>
      </c>
      <c r="BN109" s="766" t="s">
        <v>1230</v>
      </c>
      <c r="BO109" s="766" t="s">
        <v>1239</v>
      </c>
      <c r="BP109" s="776">
        <v>74.97</v>
      </c>
      <c r="BQ109" s="772">
        <v>21.07</v>
      </c>
      <c r="BR109" s="774">
        <f>BQ109/BP109</f>
        <v>0.28104575163398693</v>
      </c>
      <c r="BS109" s="6" t="s">
        <v>1149</v>
      </c>
      <c r="BT109" s="766" t="s">
        <v>8133</v>
      </c>
      <c r="BU109" s="766" t="s">
        <v>1288</v>
      </c>
      <c r="BV109" s="766" t="s">
        <v>1247</v>
      </c>
      <c r="BW109" s="766">
        <v>1982</v>
      </c>
      <c r="BX109" s="766"/>
      <c r="BY109" s="766" t="s">
        <v>1207</v>
      </c>
      <c r="BZ109" s="766"/>
      <c r="CA109" s="766"/>
      <c r="CB109" s="766" t="s">
        <v>1207</v>
      </c>
      <c r="CC109" s="766"/>
      <c r="CD109" s="766"/>
      <c r="CE109" s="766"/>
      <c r="CF109" s="777"/>
      <c r="CG109" s="778"/>
      <c r="CH109" s="766"/>
      <c r="CI109" s="766"/>
      <c r="CJ109" s="766"/>
      <c r="CK109" s="766"/>
      <c r="CL109" s="766"/>
      <c r="CM109" s="766"/>
      <c r="CN109" s="766"/>
      <c r="CO109" s="766" t="s">
        <v>110</v>
      </c>
      <c r="CP109" s="766"/>
      <c r="CQ109" s="766">
        <v>2010</v>
      </c>
      <c r="CR109" s="775">
        <v>8000</v>
      </c>
      <c r="CS109" s="766"/>
      <c r="CT109" s="766" t="s">
        <v>1469</v>
      </c>
      <c r="CU109" s="129">
        <f>CONVERT(40,"ft","m")</f>
        <v>12.192</v>
      </c>
      <c r="CV109" s="766">
        <v>2</v>
      </c>
      <c r="CW109" s="766" t="s">
        <v>1470</v>
      </c>
      <c r="CX109" s="766"/>
      <c r="CY109" s="766"/>
      <c r="CZ109" s="766"/>
      <c r="DA109" s="766"/>
      <c r="DB109" s="766"/>
      <c r="DC109" s="766"/>
      <c r="DD109" s="766"/>
      <c r="DE109" s="766"/>
      <c r="DF109" s="766"/>
      <c r="DG109" s="766"/>
      <c r="DH109" s="766"/>
      <c r="DI109" s="766"/>
      <c r="DJ109" s="766"/>
      <c r="DK109" s="766"/>
      <c r="DL109" s="766"/>
      <c r="DM109" s="766"/>
      <c r="DN109" s="766"/>
      <c r="DO109" s="766"/>
      <c r="DP109" s="766"/>
      <c r="DQ109" s="766"/>
      <c r="DR109" s="766"/>
      <c r="DS109" s="59"/>
      <c r="DT109" s="766"/>
      <c r="DU109" s="766"/>
      <c r="DV109" s="766"/>
      <c r="DW109" s="66"/>
      <c r="DX109" s="66"/>
      <c r="DY109" s="766"/>
      <c r="DZ109" s="766"/>
      <c r="EA109" s="766"/>
      <c r="EB109" s="766"/>
      <c r="EC109" s="766"/>
      <c r="ED109" s="766"/>
      <c r="EE109" s="766"/>
      <c r="EF109" s="766"/>
      <c r="EG109" s="766"/>
      <c r="EH109" s="766"/>
      <c r="EI109" s="766"/>
      <c r="EJ109" s="766"/>
      <c r="EK109" s="766"/>
      <c r="EL109" s="766"/>
      <c r="EM109" s="766"/>
      <c r="EN109" s="766"/>
      <c r="EO109" s="766"/>
      <c r="EP109" s="766"/>
      <c r="EQ109" s="766"/>
      <c r="ER109" s="766"/>
      <c r="ES109" s="766"/>
      <c r="ET109" s="766"/>
      <c r="EU109" s="766"/>
      <c r="EV109" s="766"/>
      <c r="EW109" s="766"/>
      <c r="EX109" s="766"/>
      <c r="EY109" s="766"/>
      <c r="EZ109" s="766"/>
      <c r="FA109" s="766"/>
      <c r="FB109" s="766"/>
      <c r="FC109" s="766"/>
      <c r="FD109" s="775"/>
      <c r="FE109" s="766"/>
      <c r="FF109" s="766"/>
      <c r="FG109" s="766"/>
      <c r="FH109" s="766" t="s">
        <v>478</v>
      </c>
      <c r="FI109" s="766">
        <v>1</v>
      </c>
      <c r="FJ109" s="766" t="s">
        <v>1612</v>
      </c>
      <c r="FK109" s="766" t="s">
        <v>110</v>
      </c>
      <c r="FL109" s="766" t="s">
        <v>1613</v>
      </c>
      <c r="FM109" s="775"/>
      <c r="FN109" s="775"/>
      <c r="FO109" s="775"/>
      <c r="FP109" s="766" t="s">
        <v>1600</v>
      </c>
      <c r="FQ109" s="766" t="s">
        <v>1642</v>
      </c>
      <c r="FR109" s="766" t="s">
        <v>1207</v>
      </c>
      <c r="FS109" s="766"/>
      <c r="FT109" s="766"/>
      <c r="FU109" s="766"/>
      <c r="FV109" s="766"/>
      <c r="FW109" s="766"/>
      <c r="FX109" s="766"/>
      <c r="FY109" s="766"/>
      <c r="FZ109" s="766"/>
      <c r="GA109" s="766"/>
      <c r="GB109" s="766" t="s">
        <v>853</v>
      </c>
      <c r="GC109" s="75" t="s">
        <v>1711</v>
      </c>
      <c r="GD109" s="25" t="s">
        <v>1712</v>
      </c>
      <c r="GE109" s="766" t="s">
        <v>1713</v>
      </c>
      <c r="GF109" s="775"/>
      <c r="GG109" s="775"/>
      <c r="GH109" s="766"/>
      <c r="GI109" s="766"/>
      <c r="GJ109" s="766"/>
      <c r="GK109" s="766"/>
      <c r="GL109" s="766"/>
      <c r="GM109" s="766"/>
      <c r="GN109" s="82"/>
      <c r="GO109" s="766"/>
      <c r="GP109" s="766"/>
      <c r="GQ109" s="766"/>
      <c r="GR109" s="766"/>
      <c r="GS109" s="766"/>
      <c r="GT109" s="766"/>
      <c r="GU109" s="766"/>
      <c r="GV109" s="766"/>
      <c r="GW109" s="766"/>
      <c r="GX109" s="766"/>
      <c r="GY109" s="766"/>
      <c r="GZ109" s="766"/>
      <c r="HA109" s="766"/>
      <c r="HB109" s="766"/>
      <c r="HC109" s="766"/>
      <c r="HD109" s="766"/>
      <c r="HE109" s="766"/>
      <c r="HF109" s="766"/>
      <c r="HG109" s="766"/>
      <c r="HH109" s="766"/>
      <c r="HI109" s="766"/>
      <c r="HJ109" s="766"/>
      <c r="HK109" s="766"/>
      <c r="HL109" s="766"/>
      <c r="HM109" s="766"/>
      <c r="HN109" s="766"/>
      <c r="HO109" s="766"/>
      <c r="HP109" s="766"/>
      <c r="HQ109" s="766"/>
      <c r="HR109" s="766">
        <v>2</v>
      </c>
      <c r="HS109" s="766">
        <v>2</v>
      </c>
      <c r="HT109" s="766"/>
      <c r="HU109" s="766"/>
      <c r="HV109" s="766"/>
      <c r="HW109" s="766"/>
      <c r="HX109" s="766"/>
      <c r="HY109" s="766"/>
      <c r="HZ109" s="766"/>
      <c r="IA109" s="766"/>
      <c r="IB109" s="766"/>
      <c r="IC109" s="766" t="s">
        <v>1207</v>
      </c>
      <c r="ID109" s="766"/>
      <c r="IE109" s="766"/>
      <c r="IF109" s="766"/>
      <c r="IG109" s="766"/>
      <c r="IH109" s="766"/>
      <c r="II109" s="766"/>
      <c r="IJ109" s="766"/>
      <c r="IK109" s="766"/>
      <c r="IL109" s="766"/>
      <c r="IM109" s="766"/>
      <c r="IN109" s="766"/>
      <c r="IO109" s="24"/>
      <c r="IP109" s="766"/>
      <c r="IQ109" s="766"/>
      <c r="IR109" s="766"/>
      <c r="IS109" s="766"/>
      <c r="IT109" s="766"/>
      <c r="IU109" s="766"/>
      <c r="IV109" s="766"/>
      <c r="IW109" s="766"/>
      <c r="IX109" s="766"/>
      <c r="IY109" s="766"/>
      <c r="IZ109" s="766"/>
      <c r="JA109" s="766"/>
      <c r="JB109" s="766"/>
      <c r="JC109" s="766"/>
      <c r="JD109" s="775"/>
      <c r="JE109" s="766"/>
      <c r="JF109" s="766"/>
      <c r="JG109" s="766"/>
      <c r="JH109" s="766"/>
      <c r="JI109" s="766"/>
      <c r="JJ109" s="766">
        <v>4</v>
      </c>
      <c r="JK109" s="6" t="s">
        <v>1296</v>
      </c>
      <c r="JL109" s="766"/>
      <c r="JM109" s="766"/>
      <c r="JN109" s="766">
        <v>1</v>
      </c>
      <c r="JO109" s="766">
        <v>3</v>
      </c>
      <c r="JP109" s="766"/>
      <c r="JQ109" s="766"/>
      <c r="JR109" s="766"/>
      <c r="JS109" s="766"/>
      <c r="JT109" s="766">
        <f t="shared" ref="JT109:JU113" si="25">SUM(JP109,JN109,JL109,JR109)</f>
        <v>1</v>
      </c>
      <c r="JU109" s="766">
        <f t="shared" si="25"/>
        <v>3</v>
      </c>
      <c r="JV109" s="766"/>
      <c r="JW109" s="766"/>
      <c r="JX109" s="766"/>
      <c r="JY109" s="766"/>
      <c r="JZ109" s="766"/>
      <c r="KA109" s="766"/>
      <c r="KB109" s="766">
        <v>1</v>
      </c>
      <c r="KC109" s="766">
        <v>2</v>
      </c>
      <c r="KD109" s="766"/>
      <c r="KE109" s="766">
        <v>1</v>
      </c>
      <c r="KF109" s="766"/>
      <c r="KG109" s="766"/>
      <c r="KH109" s="766"/>
      <c r="KI109" s="766"/>
      <c r="KJ109" s="770">
        <f t="shared" ref="KJ109:KK113" si="26">SUM(KF109,KD109,KB109,JZ109,JX109,KH109)</f>
        <v>1</v>
      </c>
      <c r="KK109" s="770">
        <f t="shared" si="26"/>
        <v>3</v>
      </c>
      <c r="KL109" s="770"/>
      <c r="KM109" s="770"/>
      <c r="KN109" s="766" t="s">
        <v>719</v>
      </c>
      <c r="KO109" s="28"/>
      <c r="KP109" s="766"/>
      <c r="KQ109" s="766"/>
      <c r="KR109" s="766"/>
      <c r="KS109" s="766"/>
      <c r="KT109" s="766"/>
      <c r="KU109" s="766"/>
      <c r="KV109" s="766"/>
      <c r="KW109" s="766">
        <v>1</v>
      </c>
      <c r="KX109" s="766"/>
      <c r="KY109" s="766">
        <v>1</v>
      </c>
      <c r="KZ109" s="766"/>
      <c r="LA109" s="766"/>
      <c r="LB109" s="766">
        <v>1</v>
      </c>
      <c r="LC109" s="766">
        <v>1</v>
      </c>
      <c r="LD109" s="766"/>
      <c r="LE109" s="766"/>
      <c r="LF109" s="766"/>
      <c r="LG109" s="766"/>
      <c r="LH109" s="766"/>
      <c r="LI109" s="766"/>
      <c r="LJ109" s="766"/>
      <c r="LK109" s="766"/>
      <c r="LL109" s="766"/>
      <c r="LM109" s="766"/>
      <c r="LN109" s="766">
        <f t="shared" ref="LN109:LO113" si="27">SUM(KP109,KR109,KT109,KV109,KX109,KZ109,LB109,LD109,LF109,LH109,LJ109,LL109)</f>
        <v>1</v>
      </c>
      <c r="LO109" s="766">
        <f t="shared" si="27"/>
        <v>3</v>
      </c>
      <c r="LP109" s="766">
        <v>2</v>
      </c>
      <c r="LQ109" s="1678">
        <v>1</v>
      </c>
      <c r="LR109" s="766"/>
      <c r="LS109" s="766">
        <v>1</v>
      </c>
      <c r="LT109" s="766"/>
      <c r="LU109" s="766"/>
      <c r="LV109" s="766">
        <v>1</v>
      </c>
      <c r="LW109" s="766"/>
      <c r="LX109" s="769">
        <v>1</v>
      </c>
      <c r="LY109" s="766" t="str">
        <f t="shared" si="23"/>
        <v>within the BRGY</v>
      </c>
      <c r="LZ109" s="66"/>
      <c r="MA109" s="766"/>
      <c r="MB109" s="766">
        <v>100</v>
      </c>
      <c r="MC109" s="1679">
        <f t="shared" si="24"/>
        <v>100</v>
      </c>
      <c r="MD109" s="66">
        <v>3200</v>
      </c>
      <c r="ME109" s="66"/>
      <c r="MF109" s="66">
        <v>6900</v>
      </c>
      <c r="MG109" s="1680">
        <f t="shared" si="15"/>
        <v>10100</v>
      </c>
      <c r="MH109" s="1681" t="s">
        <v>13149</v>
      </c>
      <c r="MI109" s="775">
        <v>4500</v>
      </c>
      <c r="MJ109" s="775">
        <v>5000</v>
      </c>
      <c r="MK109" s="775">
        <v>1000</v>
      </c>
      <c r="ML109" s="775">
        <v>900</v>
      </c>
      <c r="MM109" s="775">
        <v>2000</v>
      </c>
      <c r="MN109" s="775"/>
      <c r="MO109" s="775">
        <v>500450</v>
      </c>
      <c r="MP109" s="775">
        <v>400</v>
      </c>
      <c r="MQ109" s="775"/>
      <c r="MR109" s="775"/>
      <c r="MS109" s="775"/>
      <c r="MT109" s="775"/>
      <c r="MU109" s="775"/>
      <c r="MV109" s="775"/>
      <c r="MW109" s="775"/>
      <c r="MX109" s="775"/>
      <c r="MY109" s="1682">
        <f t="shared" si="14"/>
        <v>514250</v>
      </c>
      <c r="MZ109" s="766" t="s">
        <v>13150</v>
      </c>
      <c r="NA109" s="766" t="s">
        <v>13005</v>
      </c>
      <c r="NB109" s="766" t="s">
        <v>13151</v>
      </c>
      <c r="NC109" s="766" t="s">
        <v>13007</v>
      </c>
      <c r="ND109" s="766">
        <v>0</v>
      </c>
      <c r="NE109" s="766">
        <v>0</v>
      </c>
      <c r="NF109" s="766">
        <v>0</v>
      </c>
      <c r="NG109" s="766">
        <v>2</v>
      </c>
      <c r="NH109" s="766">
        <v>1</v>
      </c>
      <c r="NI109" s="766">
        <v>0</v>
      </c>
      <c r="NJ109" s="766">
        <v>0</v>
      </c>
      <c r="NK109" s="766">
        <v>0</v>
      </c>
      <c r="NL109" s="766">
        <v>0</v>
      </c>
      <c r="NM109" s="766">
        <v>1</v>
      </c>
      <c r="NN109" s="766">
        <v>0</v>
      </c>
      <c r="NO109" s="766">
        <v>0</v>
      </c>
      <c r="NP109" s="766">
        <v>0</v>
      </c>
      <c r="NQ109" s="766">
        <v>0</v>
      </c>
      <c r="NR109" s="766">
        <v>0</v>
      </c>
      <c r="NS109" s="766">
        <v>0</v>
      </c>
      <c r="NT109" s="766">
        <v>0</v>
      </c>
      <c r="NU109" s="766">
        <v>0</v>
      </c>
      <c r="NV109" s="766">
        <v>0</v>
      </c>
      <c r="NW109" s="766">
        <v>0</v>
      </c>
      <c r="NX109" s="766">
        <v>0</v>
      </c>
      <c r="NY109" s="766" t="s">
        <v>1208</v>
      </c>
      <c r="NZ109" s="766" t="s">
        <v>1208</v>
      </c>
      <c r="OA109" s="766" t="s">
        <v>1208</v>
      </c>
      <c r="OB109" s="766" t="s">
        <v>1208</v>
      </c>
      <c r="OC109" s="766" t="s">
        <v>1208</v>
      </c>
      <c r="OD109" s="766" t="s">
        <v>1208</v>
      </c>
      <c r="OE109" s="766"/>
      <c r="OF109" s="766" t="s">
        <v>2142</v>
      </c>
      <c r="OG109" s="766"/>
      <c r="OH109" s="766"/>
      <c r="OI109" s="766"/>
      <c r="OJ109" s="766"/>
      <c r="OK109" s="766"/>
      <c r="OL109" s="766" t="s">
        <v>13124</v>
      </c>
      <c r="OM109" s="766" t="s">
        <v>1824</v>
      </c>
      <c r="ON109" s="766" t="s">
        <v>13152</v>
      </c>
      <c r="OO109" s="766" t="s">
        <v>1207</v>
      </c>
      <c r="OP109" s="766" t="s">
        <v>13153</v>
      </c>
      <c r="OQ109" s="766" t="s">
        <v>13154</v>
      </c>
      <c r="OR109" s="766"/>
      <c r="OS109" s="766" t="s">
        <v>13153</v>
      </c>
      <c r="OT109" s="766" t="s">
        <v>13155</v>
      </c>
      <c r="OU109" s="766"/>
      <c r="OV109" s="766" t="s">
        <v>1208</v>
      </c>
      <c r="OW109" s="766"/>
      <c r="OX109" s="766" t="s">
        <v>1208</v>
      </c>
      <c r="OY109" s="766"/>
      <c r="OZ109" s="766"/>
      <c r="PA109" s="766"/>
      <c r="PB109" s="766" t="s">
        <v>1208</v>
      </c>
      <c r="PC109" s="766"/>
      <c r="PD109" s="766"/>
      <c r="PE109" s="766"/>
      <c r="PF109" s="766"/>
      <c r="PG109" s="766"/>
      <c r="PH109" s="766"/>
      <c r="PI109" s="766"/>
      <c r="PJ109" s="766"/>
      <c r="PK109" s="766"/>
      <c r="PL109" s="766"/>
      <c r="PM109" s="766" t="s">
        <v>1208</v>
      </c>
      <c r="PN109" s="766"/>
      <c r="PO109" s="766"/>
      <c r="PP109" s="766"/>
      <c r="PQ109" s="766" t="s">
        <v>1208</v>
      </c>
      <c r="PR109" s="766"/>
      <c r="PS109" s="766"/>
      <c r="PT109" s="766"/>
      <c r="PU109" s="766"/>
      <c r="PV109" s="766" t="s">
        <v>1208</v>
      </c>
      <c r="PW109" s="766"/>
      <c r="PX109" s="766"/>
      <c r="PY109" s="766"/>
      <c r="PZ109" s="766"/>
      <c r="QA109" s="766"/>
      <c r="QB109" s="766"/>
      <c r="QC109" s="766"/>
      <c r="QD109" s="766"/>
      <c r="QE109" s="766"/>
      <c r="QF109" s="766"/>
      <c r="QG109" s="766"/>
      <c r="QH109" s="766"/>
      <c r="QI109" s="766"/>
      <c r="QJ109" s="766"/>
      <c r="QK109" s="766"/>
      <c r="QL109" s="766"/>
      <c r="QM109" s="766"/>
      <c r="QN109" s="766"/>
      <c r="QO109" s="766"/>
      <c r="QP109" s="766"/>
      <c r="QQ109" s="766"/>
      <c r="QR109" s="766"/>
      <c r="QS109" s="766"/>
      <c r="QT109" s="766"/>
      <c r="QU109" s="766"/>
      <c r="QV109" s="766"/>
      <c r="QW109" s="766"/>
      <c r="QX109" s="766"/>
      <c r="QY109" s="766"/>
      <c r="QZ109" s="766"/>
      <c r="RA109" s="766"/>
      <c r="RB109" s="766"/>
      <c r="RC109" s="766"/>
      <c r="RD109" s="766"/>
      <c r="RE109" s="766"/>
      <c r="RF109" s="777"/>
      <c r="RG109" s="766"/>
      <c r="RH109" s="775"/>
      <c r="RI109" s="766"/>
      <c r="RJ109" s="766" t="s">
        <v>1296</v>
      </c>
      <c r="RK109" s="766" t="s">
        <v>13156</v>
      </c>
      <c r="RL109" s="1683"/>
      <c r="RM109" s="12"/>
      <c r="RN109" s="1711"/>
      <c r="RO109" s="165" t="s">
        <v>157</v>
      </c>
      <c r="RP109" s="11"/>
      <c r="RQ109" s="11"/>
      <c r="RR109" s="771"/>
      <c r="RS109" s="93"/>
      <c r="RT109" s="11"/>
      <c r="RU109" s="11"/>
      <c r="RV109" s="93" t="s">
        <v>12457</v>
      </c>
      <c r="RW109" s="11" t="s">
        <v>7572</v>
      </c>
      <c r="RX109" s="11" t="s">
        <v>152</v>
      </c>
      <c r="RY109" s="11"/>
      <c r="RZ109" s="11" t="s">
        <v>7419</v>
      </c>
      <c r="SA109" s="93"/>
      <c r="SB109" s="11"/>
      <c r="SC109" s="11"/>
    </row>
    <row r="110" spans="1:497" ht="12.75" hidden="1" customHeight="1">
      <c r="A110" s="154" t="s">
        <v>14148</v>
      </c>
      <c r="B110" s="288" t="s">
        <v>12419</v>
      </c>
      <c r="C110" s="165" t="s">
        <v>163</v>
      </c>
      <c r="D110" s="766" t="s">
        <v>164</v>
      </c>
      <c r="E110" s="766" t="s">
        <v>792</v>
      </c>
      <c r="F110" s="766" t="s">
        <v>20</v>
      </c>
      <c r="G110" s="766" t="s">
        <v>18</v>
      </c>
      <c r="H110" s="766"/>
      <c r="I110" s="5"/>
      <c r="J110" s="766" t="s">
        <v>165</v>
      </c>
      <c r="K110" s="766" t="s">
        <v>161</v>
      </c>
      <c r="L110" s="766" t="s">
        <v>162</v>
      </c>
      <c r="M110" s="766"/>
      <c r="N110" s="766"/>
      <c r="O110" s="766"/>
      <c r="P110" s="766"/>
      <c r="Q110" s="1085"/>
      <c r="R110" s="25"/>
      <c r="S110" s="766"/>
      <c r="T110" s="766"/>
      <c r="U110" s="26"/>
      <c r="V110" s="766"/>
      <c r="W110" s="766"/>
      <c r="X110" s="766"/>
      <c r="Y110" s="766"/>
      <c r="Z110" s="766"/>
      <c r="AA110" s="766"/>
      <c r="AB110" s="766"/>
      <c r="AC110" s="766"/>
      <c r="AD110" s="766"/>
      <c r="AE110" s="766"/>
      <c r="AF110" s="766"/>
      <c r="AG110" s="766"/>
      <c r="AH110" s="766"/>
      <c r="AI110" s="766"/>
      <c r="AJ110" s="766"/>
      <c r="AK110" s="766" t="s">
        <v>5454</v>
      </c>
      <c r="AL110" s="121"/>
      <c r="AM110" s="772"/>
      <c r="AN110" s="37"/>
      <c r="AO110" s="766"/>
      <c r="AP110" s="766"/>
      <c r="AQ110" s="766"/>
      <c r="AR110" s="766"/>
      <c r="AS110" s="766"/>
      <c r="AT110" s="766"/>
      <c r="AU110" s="766"/>
      <c r="AV110" s="766"/>
      <c r="AW110" s="766"/>
      <c r="AX110" s="766"/>
      <c r="AY110" s="766"/>
      <c r="AZ110" s="766"/>
      <c r="BA110" s="766"/>
      <c r="BB110" s="766"/>
      <c r="BC110" s="766" t="s">
        <v>853</v>
      </c>
      <c r="BD110" s="766" t="s">
        <v>1207</v>
      </c>
      <c r="BE110" s="766"/>
      <c r="BF110" s="775"/>
      <c r="BG110" s="775"/>
      <c r="BH110" s="766"/>
      <c r="BI110" s="766"/>
      <c r="BJ110" s="766"/>
      <c r="BK110" s="766"/>
      <c r="BL110" s="766"/>
      <c r="BM110" s="766"/>
      <c r="BN110" s="766" t="s">
        <v>1230</v>
      </c>
      <c r="BO110" s="766"/>
      <c r="BP110" s="776"/>
      <c r="BQ110" s="772"/>
      <c r="BR110" s="774"/>
      <c r="BS110" s="766" t="s">
        <v>1242</v>
      </c>
      <c r="BT110" s="766" t="s">
        <v>8133</v>
      </c>
      <c r="BU110" s="766" t="s">
        <v>1288</v>
      </c>
      <c r="BV110" s="766" t="s">
        <v>1247</v>
      </c>
      <c r="BW110" s="766">
        <v>1982</v>
      </c>
      <c r="BX110" s="766"/>
      <c r="BY110" s="766" t="s">
        <v>1207</v>
      </c>
      <c r="BZ110" s="766"/>
      <c r="CA110" s="766"/>
      <c r="CB110" s="766"/>
      <c r="CC110" s="766"/>
      <c r="CD110" s="766"/>
      <c r="CE110" s="766"/>
      <c r="CF110" s="777"/>
      <c r="CG110" s="778"/>
      <c r="CH110" s="766"/>
      <c r="CI110" s="766"/>
      <c r="CJ110" s="766"/>
      <c r="CK110" s="766"/>
      <c r="CL110" s="766"/>
      <c r="CM110" s="766"/>
      <c r="CN110" s="766"/>
      <c r="CO110" s="766"/>
      <c r="CP110" s="766"/>
      <c r="CQ110" s="766"/>
      <c r="CR110" s="775"/>
      <c r="CS110" s="766"/>
      <c r="CT110" s="766"/>
      <c r="CU110" s="129"/>
      <c r="CV110" s="766"/>
      <c r="CW110" s="766"/>
      <c r="CX110" s="766"/>
      <c r="CY110" s="766"/>
      <c r="CZ110" s="766"/>
      <c r="DA110" s="766"/>
      <c r="DB110" s="766"/>
      <c r="DC110" s="766"/>
      <c r="DD110" s="766"/>
      <c r="DE110" s="766"/>
      <c r="DF110" s="766"/>
      <c r="DG110" s="766"/>
      <c r="DH110" s="766"/>
      <c r="DI110" s="766"/>
      <c r="DJ110" s="766"/>
      <c r="DK110" s="766"/>
      <c r="DL110" s="766"/>
      <c r="DM110" s="766"/>
      <c r="DN110" s="766"/>
      <c r="DO110" s="766"/>
      <c r="DP110" s="766"/>
      <c r="DQ110" s="766"/>
      <c r="DR110" s="766"/>
      <c r="DS110" s="59"/>
      <c r="DT110" s="766"/>
      <c r="DU110" s="766"/>
      <c r="DV110" s="766"/>
      <c r="DW110" s="66"/>
      <c r="DX110" s="66"/>
      <c r="DY110" s="766"/>
      <c r="DZ110" s="766"/>
      <c r="EA110" s="766"/>
      <c r="EB110" s="766"/>
      <c r="EC110" s="766"/>
      <c r="ED110" s="766"/>
      <c r="EE110" s="766"/>
      <c r="EF110" s="766"/>
      <c r="EG110" s="766"/>
      <c r="EH110" s="766"/>
      <c r="EI110" s="766"/>
      <c r="EJ110" s="766"/>
      <c r="EK110" s="766"/>
      <c r="EL110" s="766"/>
      <c r="EM110" s="766"/>
      <c r="EN110" s="766"/>
      <c r="EO110" s="766"/>
      <c r="EP110" s="766"/>
      <c r="EQ110" s="766"/>
      <c r="ER110" s="766"/>
      <c r="ES110" s="766"/>
      <c r="ET110" s="766"/>
      <c r="EU110" s="766"/>
      <c r="EV110" s="766"/>
      <c r="EW110" s="766"/>
      <c r="EX110" s="766"/>
      <c r="EY110" s="766"/>
      <c r="EZ110" s="766"/>
      <c r="FA110" s="766"/>
      <c r="FB110" s="766"/>
      <c r="FC110" s="766"/>
      <c r="FD110" s="775"/>
      <c r="FE110" s="766"/>
      <c r="FF110" s="766"/>
      <c r="FG110" s="766"/>
      <c r="FH110" s="766" t="s">
        <v>478</v>
      </c>
      <c r="FI110" s="766">
        <v>1</v>
      </c>
      <c r="FJ110" s="766"/>
      <c r="FK110" s="766"/>
      <c r="FL110" s="766"/>
      <c r="FM110" s="775"/>
      <c r="FN110" s="775"/>
      <c r="FO110" s="775"/>
      <c r="FP110" s="766" t="s">
        <v>1600</v>
      </c>
      <c r="FQ110" s="766" t="s">
        <v>1642</v>
      </c>
      <c r="FR110" s="766" t="s">
        <v>1207</v>
      </c>
      <c r="FS110" s="766" t="s">
        <v>1208</v>
      </c>
      <c r="FT110" s="766"/>
      <c r="FU110" s="766"/>
      <c r="FV110" s="766"/>
      <c r="FW110" s="766"/>
      <c r="FX110" s="766"/>
      <c r="FY110" s="766"/>
      <c r="FZ110" s="766"/>
      <c r="GA110" s="766"/>
      <c r="GB110" s="766" t="s">
        <v>853</v>
      </c>
      <c r="GC110" s="75" t="s">
        <v>1714</v>
      </c>
      <c r="GD110" s="25" t="s">
        <v>1715</v>
      </c>
      <c r="GE110" s="766" t="s">
        <v>1698</v>
      </c>
      <c r="GF110" s="775"/>
      <c r="GG110" s="775"/>
      <c r="GH110" s="766"/>
      <c r="GI110" s="766"/>
      <c r="GJ110" s="766"/>
      <c r="GK110" s="766"/>
      <c r="GL110" s="766"/>
      <c r="GM110" s="766"/>
      <c r="GN110" s="82"/>
      <c r="GO110" s="766"/>
      <c r="GP110" s="766"/>
      <c r="GQ110" s="766"/>
      <c r="GR110" s="766"/>
      <c r="GS110" s="766"/>
      <c r="GT110" s="766"/>
      <c r="GU110" s="766"/>
      <c r="GV110" s="766"/>
      <c r="GW110" s="766"/>
      <c r="GX110" s="766"/>
      <c r="GY110" s="766"/>
      <c r="GZ110" s="766"/>
      <c r="HA110" s="766"/>
      <c r="HB110" s="766"/>
      <c r="HC110" s="766"/>
      <c r="HD110" s="766"/>
      <c r="HE110" s="766"/>
      <c r="HF110" s="766"/>
      <c r="HG110" s="766"/>
      <c r="HH110" s="766"/>
      <c r="HI110" s="766"/>
      <c r="HJ110" s="766"/>
      <c r="HK110" s="766"/>
      <c r="HL110" s="766"/>
      <c r="HM110" s="766"/>
      <c r="HN110" s="766"/>
      <c r="HO110" s="766"/>
      <c r="HP110" s="766"/>
      <c r="HQ110" s="766"/>
      <c r="HR110" s="766"/>
      <c r="HS110" s="766"/>
      <c r="HT110" s="766"/>
      <c r="HU110" s="766"/>
      <c r="HV110" s="766"/>
      <c r="HW110" s="766"/>
      <c r="HX110" s="766"/>
      <c r="HY110" s="766"/>
      <c r="HZ110" s="766"/>
      <c r="IA110" s="766"/>
      <c r="IB110" s="766"/>
      <c r="IC110" s="766"/>
      <c r="ID110" s="766"/>
      <c r="IE110" s="766"/>
      <c r="IF110" s="766"/>
      <c r="IG110" s="766"/>
      <c r="IH110" s="766"/>
      <c r="II110" s="766"/>
      <c r="IJ110" s="766"/>
      <c r="IK110" s="766"/>
      <c r="IL110" s="766"/>
      <c r="IM110" s="766"/>
      <c r="IN110" s="766"/>
      <c r="IO110" s="24"/>
      <c r="IP110" s="766"/>
      <c r="IQ110" s="766"/>
      <c r="IR110" s="766"/>
      <c r="IS110" s="766"/>
      <c r="IT110" s="766"/>
      <c r="IU110" s="766"/>
      <c r="IV110" s="766"/>
      <c r="IW110" s="766"/>
      <c r="IX110" s="766"/>
      <c r="IY110" s="766"/>
      <c r="IZ110" s="766"/>
      <c r="JA110" s="766"/>
      <c r="JB110" s="766"/>
      <c r="JC110" s="766"/>
      <c r="JD110" s="775"/>
      <c r="JE110" s="766"/>
      <c r="JF110" s="766"/>
      <c r="JG110" s="766"/>
      <c r="JH110" s="766"/>
      <c r="JI110" s="766"/>
      <c r="JJ110" s="766">
        <v>6</v>
      </c>
      <c r="JK110" s="766" t="s">
        <v>1297</v>
      </c>
      <c r="JL110" s="766">
        <v>4</v>
      </c>
      <c r="JM110" s="766"/>
      <c r="JN110" s="766">
        <v>1</v>
      </c>
      <c r="JO110" s="766">
        <v>1</v>
      </c>
      <c r="JP110" s="766"/>
      <c r="JQ110" s="766"/>
      <c r="JR110" s="766"/>
      <c r="JS110" s="766"/>
      <c r="JT110" s="766">
        <f t="shared" si="25"/>
        <v>5</v>
      </c>
      <c r="JU110" s="766">
        <f t="shared" si="25"/>
        <v>1</v>
      </c>
      <c r="JV110" s="766"/>
      <c r="JW110" s="766"/>
      <c r="JX110" s="766">
        <v>1</v>
      </c>
      <c r="JY110" s="766"/>
      <c r="JZ110" s="766">
        <v>3</v>
      </c>
      <c r="KA110" s="766"/>
      <c r="KB110" s="766"/>
      <c r="KC110" s="766"/>
      <c r="KD110" s="766">
        <v>1</v>
      </c>
      <c r="KE110" s="766">
        <v>1</v>
      </c>
      <c r="KF110" s="766"/>
      <c r="KG110" s="766"/>
      <c r="KH110" s="766"/>
      <c r="KI110" s="766"/>
      <c r="KJ110" s="770">
        <f t="shared" si="26"/>
        <v>5</v>
      </c>
      <c r="KK110" s="770">
        <f t="shared" si="26"/>
        <v>1</v>
      </c>
      <c r="KL110" s="770"/>
      <c r="KM110" s="770"/>
      <c r="KN110" s="766" t="s">
        <v>707</v>
      </c>
      <c r="KO110" s="28"/>
      <c r="KP110" s="766"/>
      <c r="KQ110" s="766"/>
      <c r="KR110" s="766"/>
      <c r="KS110" s="766"/>
      <c r="KT110" s="766">
        <v>2</v>
      </c>
      <c r="KU110" s="766"/>
      <c r="KV110" s="766"/>
      <c r="KW110" s="766"/>
      <c r="KX110" s="766">
        <v>1</v>
      </c>
      <c r="KY110" s="766">
        <v>1</v>
      </c>
      <c r="KZ110" s="766">
        <v>1</v>
      </c>
      <c r="LA110" s="766"/>
      <c r="LB110" s="766"/>
      <c r="LC110" s="766"/>
      <c r="LD110" s="766"/>
      <c r="LE110" s="766"/>
      <c r="LF110" s="766"/>
      <c r="LG110" s="766"/>
      <c r="LH110" s="766"/>
      <c r="LI110" s="766"/>
      <c r="LJ110" s="766">
        <v>1</v>
      </c>
      <c r="LK110" s="766"/>
      <c r="LL110" s="766"/>
      <c r="LM110" s="766"/>
      <c r="LN110" s="766">
        <f t="shared" si="27"/>
        <v>5</v>
      </c>
      <c r="LO110" s="766">
        <f t="shared" si="27"/>
        <v>1</v>
      </c>
      <c r="LP110" s="766">
        <v>2</v>
      </c>
      <c r="LQ110" s="1678">
        <v>1</v>
      </c>
      <c r="LR110" s="766"/>
      <c r="LS110" s="766">
        <v>1</v>
      </c>
      <c r="LT110" s="766"/>
      <c r="LU110" s="766"/>
      <c r="LV110" s="766"/>
      <c r="LW110" s="766"/>
      <c r="LX110" s="769">
        <v>1</v>
      </c>
      <c r="LY110" s="766" t="str">
        <f t="shared" si="23"/>
        <v>within the BRGY</v>
      </c>
      <c r="LZ110" s="66">
        <f>28*26</f>
        <v>728</v>
      </c>
      <c r="MA110" s="766"/>
      <c r="MB110" s="766"/>
      <c r="MC110" s="1679">
        <f t="shared" si="24"/>
        <v>728</v>
      </c>
      <c r="MD110" s="66">
        <f>450*26</f>
        <v>11700</v>
      </c>
      <c r="ME110" s="66"/>
      <c r="MF110" s="66">
        <v>900</v>
      </c>
      <c r="MG110" s="1680">
        <f t="shared" si="15"/>
        <v>12600</v>
      </c>
      <c r="MH110" s="1681" t="s">
        <v>13157</v>
      </c>
      <c r="MI110" s="775">
        <f>200*30</f>
        <v>6000</v>
      </c>
      <c r="MJ110" s="775">
        <f>100*30</f>
        <v>3000</v>
      </c>
      <c r="MK110" s="775">
        <v>1000</v>
      </c>
      <c r="ML110" s="775">
        <v>500</v>
      </c>
      <c r="MM110" s="775">
        <f>200*30</f>
        <v>6000</v>
      </c>
      <c r="MN110" s="775"/>
      <c r="MO110" s="775">
        <v>200</v>
      </c>
      <c r="MP110" s="775">
        <v>2500</v>
      </c>
      <c r="MQ110" s="775">
        <v>300</v>
      </c>
      <c r="MR110" s="775">
        <v>400</v>
      </c>
      <c r="MS110" s="775"/>
      <c r="MT110" s="775"/>
      <c r="MU110" s="775"/>
      <c r="MV110" s="775"/>
      <c r="MW110" s="775"/>
      <c r="MX110" s="775"/>
      <c r="MY110" s="1682">
        <f t="shared" si="14"/>
        <v>19900</v>
      </c>
      <c r="MZ110" s="766" t="s">
        <v>13004</v>
      </c>
      <c r="NA110" s="766" t="s">
        <v>13005</v>
      </c>
      <c r="NB110" s="766" t="s">
        <v>13143</v>
      </c>
      <c r="NC110" s="766" t="s">
        <v>13158</v>
      </c>
      <c r="ND110" s="766">
        <v>0</v>
      </c>
      <c r="NE110" s="766">
        <v>1</v>
      </c>
      <c r="NF110" s="766">
        <v>0</v>
      </c>
      <c r="NG110" s="766">
        <v>2</v>
      </c>
      <c r="NH110" s="766">
        <v>1</v>
      </c>
      <c r="NI110" s="766">
        <v>0</v>
      </c>
      <c r="NJ110" s="766">
        <v>0</v>
      </c>
      <c r="NK110" s="766">
        <v>0</v>
      </c>
      <c r="NL110" s="766">
        <v>0</v>
      </c>
      <c r="NM110" s="766">
        <v>0</v>
      </c>
      <c r="NN110" s="766">
        <v>0</v>
      </c>
      <c r="NO110" s="766">
        <v>0</v>
      </c>
      <c r="NP110" s="766">
        <v>0</v>
      </c>
      <c r="NQ110" s="766">
        <v>0</v>
      </c>
      <c r="NR110" s="766">
        <v>0</v>
      </c>
      <c r="NS110" s="766">
        <v>0</v>
      </c>
      <c r="NT110" s="766">
        <v>0</v>
      </c>
      <c r="NU110" s="766">
        <v>0</v>
      </c>
      <c r="NV110" s="766">
        <v>0</v>
      </c>
      <c r="NW110" s="766">
        <v>0</v>
      </c>
      <c r="NX110" s="766">
        <v>0</v>
      </c>
      <c r="NY110" s="766" t="s">
        <v>1208</v>
      </c>
      <c r="NZ110" s="766" t="s">
        <v>1208</v>
      </c>
      <c r="OA110" s="766" t="s">
        <v>1208</v>
      </c>
      <c r="OB110" s="766"/>
      <c r="OC110" s="766" t="s">
        <v>1208</v>
      </c>
      <c r="OD110" s="766"/>
      <c r="OE110" s="766"/>
      <c r="OF110" s="766"/>
      <c r="OG110" s="766"/>
      <c r="OH110" s="766"/>
      <c r="OI110" s="766"/>
      <c r="OJ110" s="766"/>
      <c r="OK110" s="766"/>
      <c r="OL110" s="766"/>
      <c r="OM110" s="766"/>
      <c r="ON110" s="766"/>
      <c r="OO110" s="766"/>
      <c r="OP110" s="766"/>
      <c r="OQ110" s="766"/>
      <c r="OR110" s="766"/>
      <c r="OS110" s="766"/>
      <c r="OT110" s="766"/>
      <c r="OU110" s="766"/>
      <c r="OV110" s="766"/>
      <c r="OW110" s="766"/>
      <c r="OX110" s="766"/>
      <c r="OY110" s="766"/>
      <c r="OZ110" s="766"/>
      <c r="PA110" s="766"/>
      <c r="PB110" s="766"/>
      <c r="PC110" s="766"/>
      <c r="PD110" s="766"/>
      <c r="PE110" s="766"/>
      <c r="PF110" s="766"/>
      <c r="PG110" s="766"/>
      <c r="PH110" s="766"/>
      <c r="PI110" s="766"/>
      <c r="PJ110" s="766"/>
      <c r="PK110" s="766" t="s">
        <v>1208</v>
      </c>
      <c r="PL110" s="766"/>
      <c r="PM110" s="766"/>
      <c r="PN110" s="766"/>
      <c r="PO110" s="766"/>
      <c r="PP110" s="766"/>
      <c r="PQ110" s="766"/>
      <c r="PR110" s="766" t="s">
        <v>1208</v>
      </c>
      <c r="PS110" s="766" t="s">
        <v>1208</v>
      </c>
      <c r="PT110" s="766" t="s">
        <v>1208</v>
      </c>
      <c r="PU110" s="766"/>
      <c r="PV110" s="766"/>
      <c r="PW110" s="766"/>
      <c r="PX110" s="766"/>
      <c r="PY110" s="766"/>
      <c r="PZ110" s="766"/>
      <c r="QA110" s="766"/>
      <c r="QB110" s="766"/>
      <c r="QC110" s="766"/>
      <c r="QD110" s="766"/>
      <c r="QE110" s="766"/>
      <c r="QF110" s="766"/>
      <c r="QG110" s="766"/>
      <c r="QH110" s="766"/>
      <c r="QI110" s="766"/>
      <c r="QJ110" s="766"/>
      <c r="QK110" s="766"/>
      <c r="QL110" s="766"/>
      <c r="QM110" s="766"/>
      <c r="QN110" s="766"/>
      <c r="QO110" s="766"/>
      <c r="QP110" s="766"/>
      <c r="QQ110" s="766"/>
      <c r="QR110" s="766"/>
      <c r="QS110" s="766"/>
      <c r="QT110" s="766"/>
      <c r="QU110" s="766"/>
      <c r="QV110" s="766"/>
      <c r="QW110" s="766"/>
      <c r="QX110" s="766"/>
      <c r="QY110" s="766"/>
      <c r="QZ110" s="766"/>
      <c r="RA110" s="766"/>
      <c r="RB110" s="766" t="s">
        <v>1207</v>
      </c>
      <c r="RC110" s="78">
        <v>2016</v>
      </c>
      <c r="RD110" s="766"/>
      <c r="RE110" s="766" t="s">
        <v>13008</v>
      </c>
      <c r="RF110" s="777"/>
      <c r="RG110" s="766" t="s">
        <v>13047</v>
      </c>
      <c r="RH110" s="775"/>
      <c r="RI110" s="766">
        <v>48</v>
      </c>
      <c r="RJ110" s="766" t="s">
        <v>13159</v>
      </c>
      <c r="RK110" s="766" t="s">
        <v>13160</v>
      </c>
      <c r="RL110" s="1683"/>
      <c r="RM110" s="12"/>
      <c r="RN110" s="1711"/>
      <c r="RO110" s="165" t="s">
        <v>163</v>
      </c>
      <c r="RP110" s="11"/>
      <c r="RQ110" s="11"/>
      <c r="RR110" s="771"/>
      <c r="RS110" s="766"/>
      <c r="RT110" s="11"/>
      <c r="RU110" s="11"/>
      <c r="RV110" s="766" t="s">
        <v>7421</v>
      </c>
      <c r="RW110" s="11" t="s">
        <v>7948</v>
      </c>
      <c r="RX110" s="11" t="s">
        <v>153</v>
      </c>
      <c r="RY110" s="11"/>
      <c r="RZ110" s="11"/>
      <c r="SA110" s="766"/>
      <c r="SB110" s="11"/>
      <c r="SC110" s="11"/>
    </row>
    <row r="111" spans="1:497" ht="12.75" hidden="1" customHeight="1">
      <c r="A111" s="154" t="s">
        <v>7419</v>
      </c>
      <c r="B111" s="288" t="s">
        <v>12420</v>
      </c>
      <c r="C111" s="165" t="s">
        <v>166</v>
      </c>
      <c r="D111" s="766" t="s">
        <v>167</v>
      </c>
      <c r="E111" s="766" t="s">
        <v>792</v>
      </c>
      <c r="F111" s="766" t="s">
        <v>28</v>
      </c>
      <c r="G111" s="766" t="s">
        <v>10</v>
      </c>
      <c r="H111" s="766"/>
      <c r="I111" s="5" t="s">
        <v>168</v>
      </c>
      <c r="J111" s="766"/>
      <c r="K111" s="766" t="s">
        <v>169</v>
      </c>
      <c r="L111" s="766" t="s">
        <v>162</v>
      </c>
      <c r="M111" s="766"/>
      <c r="N111" s="766"/>
      <c r="O111" s="766"/>
      <c r="P111" s="14" t="s">
        <v>791</v>
      </c>
      <c r="Q111" s="1085">
        <v>21835</v>
      </c>
      <c r="R111" s="25">
        <v>57</v>
      </c>
      <c r="S111" s="766" t="s">
        <v>10</v>
      </c>
      <c r="T111" s="766"/>
      <c r="U111" s="26" t="s">
        <v>168</v>
      </c>
      <c r="V111" s="766" t="s">
        <v>707</v>
      </c>
      <c r="W111" s="766"/>
      <c r="X111" s="766"/>
      <c r="Y111" s="766" t="s">
        <v>792</v>
      </c>
      <c r="Z111" s="766" t="s">
        <v>708</v>
      </c>
      <c r="AA111" s="766" t="s">
        <v>709</v>
      </c>
      <c r="AB111" s="766" t="s">
        <v>762</v>
      </c>
      <c r="AC111" s="766"/>
      <c r="AD111" s="766" t="s">
        <v>711</v>
      </c>
      <c r="AE111" s="766"/>
      <c r="AF111" s="766" t="s">
        <v>733</v>
      </c>
      <c r="AG111" s="766" t="s">
        <v>1095</v>
      </c>
      <c r="AH111" s="766" t="s">
        <v>1096</v>
      </c>
      <c r="AI111" s="766" t="s">
        <v>1140</v>
      </c>
      <c r="AJ111" s="766"/>
      <c r="AK111" s="766" t="s">
        <v>1097</v>
      </c>
      <c r="AL111" s="121">
        <v>98.88</v>
      </c>
      <c r="AM111" s="772">
        <v>15.36</v>
      </c>
      <c r="AN111" s="774">
        <f>AM111/AL111</f>
        <v>0.15533980582524273</v>
      </c>
      <c r="AO111" s="766" t="s">
        <v>1109</v>
      </c>
      <c r="AP111" s="766"/>
      <c r="AQ111" s="766"/>
      <c r="AR111" s="766"/>
      <c r="AS111" s="766" t="s">
        <v>1207</v>
      </c>
      <c r="AT111" s="766" t="s">
        <v>1208</v>
      </c>
      <c r="AU111" s="766"/>
      <c r="AV111" s="766"/>
      <c r="AW111" s="766"/>
      <c r="AX111" s="766"/>
      <c r="AY111" s="766"/>
      <c r="AZ111" s="766"/>
      <c r="BA111" s="766"/>
      <c r="BB111" s="766"/>
      <c r="BC111" s="766" t="s">
        <v>853</v>
      </c>
      <c r="BD111" s="766" t="s">
        <v>1207</v>
      </c>
      <c r="BE111" s="766"/>
      <c r="BF111" s="775"/>
      <c r="BG111" s="775"/>
      <c r="BH111" s="766"/>
      <c r="BI111" s="766"/>
      <c r="BJ111" s="766"/>
      <c r="BK111" s="766" t="s">
        <v>1095</v>
      </c>
      <c r="BL111" s="766" t="s">
        <v>1298</v>
      </c>
      <c r="BM111" s="766" t="s">
        <v>1096</v>
      </c>
      <c r="BN111" s="766" t="s">
        <v>1230</v>
      </c>
      <c r="BO111" s="766" t="s">
        <v>1239</v>
      </c>
      <c r="BP111" s="776">
        <v>98.88</v>
      </c>
      <c r="BQ111" s="772">
        <v>15.36</v>
      </c>
      <c r="BR111" s="774">
        <f>BQ111/BP111</f>
        <v>0.15533980582524273</v>
      </c>
      <c r="BS111" s="6" t="s">
        <v>1242</v>
      </c>
      <c r="BT111" s="766" t="s">
        <v>2040</v>
      </c>
      <c r="BU111" s="766" t="s">
        <v>1288</v>
      </c>
      <c r="BV111" s="766" t="s">
        <v>1247</v>
      </c>
      <c r="BW111" s="766">
        <v>1983</v>
      </c>
      <c r="BX111" s="779">
        <v>100000</v>
      </c>
      <c r="BY111" s="766" t="s">
        <v>1207</v>
      </c>
      <c r="BZ111" s="766"/>
      <c r="CA111" s="766"/>
      <c r="CB111" s="766"/>
      <c r="CC111" s="766"/>
      <c r="CD111" s="766"/>
      <c r="CE111" s="766"/>
      <c r="CF111" s="777"/>
      <c r="CG111" s="778"/>
      <c r="CH111" s="766"/>
      <c r="CI111" s="766"/>
      <c r="CJ111" s="766"/>
      <c r="CK111" s="766"/>
      <c r="CL111" s="766"/>
      <c r="CM111" s="766"/>
      <c r="CN111" s="766"/>
      <c r="CO111" s="766"/>
      <c r="CP111" s="766"/>
      <c r="CQ111" s="766"/>
      <c r="CR111" s="775"/>
      <c r="CS111" s="766"/>
      <c r="CT111" s="766"/>
      <c r="CU111" s="129"/>
      <c r="CV111" s="766"/>
      <c r="CW111" s="766"/>
      <c r="CX111" s="766"/>
      <c r="CY111" s="766"/>
      <c r="CZ111" s="766"/>
      <c r="DA111" s="766"/>
      <c r="DB111" s="766"/>
      <c r="DC111" s="766"/>
      <c r="DD111" s="766"/>
      <c r="DE111" s="766"/>
      <c r="DF111" s="766"/>
      <c r="DG111" s="766"/>
      <c r="DH111" s="766"/>
      <c r="DI111" s="766"/>
      <c r="DJ111" s="766"/>
      <c r="DK111" s="766"/>
      <c r="DL111" s="766"/>
      <c r="DM111" s="766"/>
      <c r="DN111" s="766"/>
      <c r="DO111" s="766"/>
      <c r="DP111" s="766"/>
      <c r="DQ111" s="766"/>
      <c r="DR111" s="766"/>
      <c r="DS111" s="59"/>
      <c r="DT111" s="766"/>
      <c r="DU111" s="766"/>
      <c r="DV111" s="766"/>
      <c r="DW111" s="66"/>
      <c r="DX111" s="66"/>
      <c r="DY111" s="766"/>
      <c r="DZ111" s="766"/>
      <c r="EA111" s="766"/>
      <c r="EB111" s="766"/>
      <c r="EC111" s="766"/>
      <c r="ED111" s="766"/>
      <c r="EE111" s="766"/>
      <c r="EF111" s="766"/>
      <c r="EG111" s="766"/>
      <c r="EH111" s="766"/>
      <c r="EI111" s="766"/>
      <c r="EJ111" s="766"/>
      <c r="EK111" s="766"/>
      <c r="EL111" s="766"/>
      <c r="EM111" s="766"/>
      <c r="EN111" s="766"/>
      <c r="EO111" s="766"/>
      <c r="EP111" s="766"/>
      <c r="EQ111" s="766"/>
      <c r="ER111" s="766"/>
      <c r="ES111" s="766"/>
      <c r="ET111" s="766"/>
      <c r="EU111" s="766"/>
      <c r="EV111" s="766"/>
      <c r="EW111" s="766"/>
      <c r="EX111" s="766"/>
      <c r="EY111" s="766"/>
      <c r="EZ111" s="766"/>
      <c r="FA111" s="766"/>
      <c r="FB111" s="766"/>
      <c r="FC111" s="766"/>
      <c r="FD111" s="775"/>
      <c r="FE111" s="766"/>
      <c r="FF111" s="766"/>
      <c r="FG111" s="766"/>
      <c r="FH111" s="766" t="s">
        <v>478</v>
      </c>
      <c r="FI111" s="766">
        <v>2</v>
      </c>
      <c r="FJ111" s="766"/>
      <c r="FK111" s="766"/>
      <c r="FL111" s="766"/>
      <c r="FM111" s="775"/>
      <c r="FN111" s="775"/>
      <c r="FO111" s="775"/>
      <c r="FP111" s="766" t="s">
        <v>1600</v>
      </c>
      <c r="FQ111" s="766" t="s">
        <v>1642</v>
      </c>
      <c r="FR111" s="766" t="s">
        <v>1207</v>
      </c>
      <c r="FS111" s="766" t="s">
        <v>1208</v>
      </c>
      <c r="FT111" s="766"/>
      <c r="FU111" s="766"/>
      <c r="FV111" s="766"/>
      <c r="FW111" s="766"/>
      <c r="FX111" s="766"/>
      <c r="FY111" s="766"/>
      <c r="FZ111" s="766"/>
      <c r="GA111" s="766"/>
      <c r="GB111" s="766" t="s">
        <v>853</v>
      </c>
      <c r="GC111" s="75" t="s">
        <v>1714</v>
      </c>
      <c r="GD111" s="25"/>
      <c r="GE111" s="766" t="s">
        <v>1698</v>
      </c>
      <c r="GF111" s="775"/>
      <c r="GG111" s="775"/>
      <c r="GH111" s="766"/>
      <c r="GI111" s="766"/>
      <c r="GJ111" s="766"/>
      <c r="GK111" s="766"/>
      <c r="GL111" s="766"/>
      <c r="GM111" s="766"/>
      <c r="GN111" s="82"/>
      <c r="GO111" s="766"/>
      <c r="GP111" s="766"/>
      <c r="GQ111" s="766"/>
      <c r="GR111" s="766"/>
      <c r="GS111" s="766"/>
      <c r="GT111" s="766"/>
      <c r="GU111" s="766"/>
      <c r="GV111" s="766"/>
      <c r="GW111" s="766"/>
      <c r="GX111" s="766"/>
      <c r="GY111" s="766"/>
      <c r="GZ111" s="766"/>
      <c r="HA111" s="766"/>
      <c r="HB111" s="766"/>
      <c r="HC111" s="766"/>
      <c r="HD111" s="766"/>
      <c r="HE111" s="766"/>
      <c r="HF111" s="766"/>
      <c r="HG111" s="766"/>
      <c r="HH111" s="766"/>
      <c r="HI111" s="766"/>
      <c r="HJ111" s="766"/>
      <c r="HK111" s="766"/>
      <c r="HL111" s="766"/>
      <c r="HM111" s="766"/>
      <c r="HN111" s="766"/>
      <c r="HO111" s="766"/>
      <c r="HP111" s="766"/>
      <c r="HQ111" s="766"/>
      <c r="HR111" s="766">
        <v>3</v>
      </c>
      <c r="HS111" s="766">
        <v>1</v>
      </c>
      <c r="HT111" s="766"/>
      <c r="HU111" s="766"/>
      <c r="HV111" s="766"/>
      <c r="HW111" s="766"/>
      <c r="HX111" s="766"/>
      <c r="HY111" s="766"/>
      <c r="HZ111" s="766"/>
      <c r="IA111" s="766"/>
      <c r="IB111" s="14" t="e">
        <f>IF(#REF!&gt;0,IF(#REF!&lt;=10000,"Y",""),"")</f>
        <v>#REF!</v>
      </c>
      <c r="IC111" s="766"/>
      <c r="ID111" s="766"/>
      <c r="IE111" s="766"/>
      <c r="IF111" s="766"/>
      <c r="IG111" s="766"/>
      <c r="IH111" s="766"/>
      <c r="II111" s="766"/>
      <c r="IJ111" s="766"/>
      <c r="IK111" s="766"/>
      <c r="IL111" s="766"/>
      <c r="IM111" s="766"/>
      <c r="IN111" s="766"/>
      <c r="IO111" s="24"/>
      <c r="IP111" s="766"/>
      <c r="IQ111" s="766"/>
      <c r="IR111" s="766"/>
      <c r="IS111" s="766"/>
      <c r="IT111" s="766"/>
      <c r="IU111" s="766"/>
      <c r="IV111" s="766"/>
      <c r="IW111" s="766"/>
      <c r="IX111" s="766"/>
      <c r="IY111" s="766"/>
      <c r="IZ111" s="766"/>
      <c r="JA111" s="766"/>
      <c r="JB111" s="766"/>
      <c r="JC111" s="766"/>
      <c r="JD111" s="775"/>
      <c r="JE111" s="766"/>
      <c r="JF111" s="766"/>
      <c r="JG111" s="766"/>
      <c r="JH111" s="766"/>
      <c r="JI111" s="766"/>
      <c r="JJ111" s="766">
        <v>8</v>
      </c>
      <c r="JK111" s="1139" t="s">
        <v>2058</v>
      </c>
      <c r="JL111" s="766">
        <v>1</v>
      </c>
      <c r="JM111" s="766">
        <v>1</v>
      </c>
      <c r="JN111" s="766">
        <v>3</v>
      </c>
      <c r="JO111" s="766">
        <v>3</v>
      </c>
      <c r="JP111" s="766"/>
      <c r="JQ111" s="766"/>
      <c r="JR111" s="766"/>
      <c r="JS111" s="766"/>
      <c r="JT111" s="766">
        <f t="shared" si="25"/>
        <v>4</v>
      </c>
      <c r="JU111" s="766">
        <f t="shared" si="25"/>
        <v>4</v>
      </c>
      <c r="JV111" s="712" t="str">
        <f>IF(JT111=KJ111,"ok","male")</f>
        <v>ok</v>
      </c>
      <c r="JW111" s="712" t="str">
        <f>IF(JU111=KK111,"ok","female")</f>
        <v>ok</v>
      </c>
      <c r="JX111" s="766"/>
      <c r="JY111" s="766"/>
      <c r="JZ111" s="766">
        <v>1</v>
      </c>
      <c r="KA111" s="766">
        <v>1</v>
      </c>
      <c r="KB111" s="766">
        <v>2</v>
      </c>
      <c r="KC111" s="766"/>
      <c r="KD111" s="766">
        <v>1</v>
      </c>
      <c r="KE111" s="766">
        <v>3</v>
      </c>
      <c r="KF111" s="766"/>
      <c r="KG111" s="766"/>
      <c r="KH111" s="766"/>
      <c r="KI111" s="766"/>
      <c r="KJ111" s="770">
        <f t="shared" si="26"/>
        <v>4</v>
      </c>
      <c r="KK111" s="770">
        <f t="shared" si="26"/>
        <v>4</v>
      </c>
      <c r="KL111" s="712" t="str">
        <f>IF(KJ111=LN111,"ok","male")</f>
        <v>ok</v>
      </c>
      <c r="KM111" s="712" t="str">
        <f>IF(KK111=LO111,"ok","female")</f>
        <v>ok</v>
      </c>
      <c r="KN111" s="766" t="s">
        <v>707</v>
      </c>
      <c r="KO111" s="28"/>
      <c r="KP111" s="766"/>
      <c r="KQ111" s="766"/>
      <c r="KR111" s="766"/>
      <c r="KS111" s="766"/>
      <c r="KT111" s="766">
        <v>1</v>
      </c>
      <c r="KU111" s="766">
        <v>1</v>
      </c>
      <c r="KV111" s="766"/>
      <c r="KW111" s="766">
        <v>1</v>
      </c>
      <c r="KX111" s="766"/>
      <c r="KY111" s="766"/>
      <c r="KZ111" s="766"/>
      <c r="LA111" s="766"/>
      <c r="LB111" s="766">
        <v>3</v>
      </c>
      <c r="LC111" s="766">
        <v>1</v>
      </c>
      <c r="LD111" s="766"/>
      <c r="LE111" s="766">
        <v>1</v>
      </c>
      <c r="LF111" s="766"/>
      <c r="LG111" s="766"/>
      <c r="LH111" s="766"/>
      <c r="LI111" s="766"/>
      <c r="LJ111" s="766"/>
      <c r="LK111" s="766"/>
      <c r="LL111" s="766"/>
      <c r="LM111" s="766"/>
      <c r="LN111" s="766">
        <f t="shared" si="27"/>
        <v>4</v>
      </c>
      <c r="LO111" s="766">
        <f t="shared" si="27"/>
        <v>4</v>
      </c>
      <c r="LP111" s="766">
        <v>2</v>
      </c>
      <c r="LQ111" s="1678">
        <v>2</v>
      </c>
      <c r="LR111" s="766"/>
      <c r="LS111" s="766"/>
      <c r="LT111" s="712" t="str">
        <f>IF(LQ111=SUM(LU111:LW111),"OK","REV")</f>
        <v>OK</v>
      </c>
      <c r="LU111" s="766">
        <v>1</v>
      </c>
      <c r="LV111" s="766">
        <v>1</v>
      </c>
      <c r="LW111" s="766"/>
      <c r="LX111" s="769">
        <v>0</v>
      </c>
      <c r="LY111" s="766">
        <f t="shared" si="23"/>
        <v>0</v>
      </c>
      <c r="LZ111" s="66"/>
      <c r="MA111" s="766"/>
      <c r="MB111" s="766"/>
      <c r="MC111" s="1679">
        <f t="shared" si="24"/>
        <v>0</v>
      </c>
      <c r="MD111" s="66">
        <v>40000</v>
      </c>
      <c r="ME111" s="66"/>
      <c r="MF111" s="66"/>
      <c r="MG111" s="1680">
        <f t="shared" si="15"/>
        <v>40000</v>
      </c>
      <c r="MH111" s="1681"/>
      <c r="MI111" s="775">
        <f>PRODUCT(200,30)</f>
        <v>6000</v>
      </c>
      <c r="MJ111" s="775">
        <v>1000</v>
      </c>
      <c r="MK111" s="775"/>
      <c r="ML111" s="775">
        <f>PRODUCT(150,30)</f>
        <v>4500</v>
      </c>
      <c r="MM111" s="775">
        <v>10000</v>
      </c>
      <c r="MN111" s="775"/>
      <c r="MO111" s="775">
        <v>300</v>
      </c>
      <c r="MP111" s="775">
        <v>1000</v>
      </c>
      <c r="MQ111" s="775">
        <v>500</v>
      </c>
      <c r="MR111" s="775">
        <v>1200</v>
      </c>
      <c r="MS111" s="775"/>
      <c r="MT111" s="775"/>
      <c r="MU111" s="775"/>
      <c r="MV111" s="775"/>
      <c r="MW111" s="775"/>
      <c r="MX111" s="775"/>
      <c r="MY111" s="1682">
        <f t="shared" si="14"/>
        <v>24500</v>
      </c>
      <c r="MZ111" s="766" t="s">
        <v>13004</v>
      </c>
      <c r="NA111" s="766" t="s">
        <v>13005</v>
      </c>
      <c r="NB111" s="766" t="s">
        <v>13161</v>
      </c>
      <c r="NC111" s="766" t="s">
        <v>13158</v>
      </c>
      <c r="ND111" s="766">
        <v>0</v>
      </c>
      <c r="NE111" s="766">
        <v>0</v>
      </c>
      <c r="NF111" s="766">
        <v>0</v>
      </c>
      <c r="NG111" s="766">
        <v>2</v>
      </c>
      <c r="NH111" s="766">
        <v>1</v>
      </c>
      <c r="NI111" s="766">
        <v>1</v>
      </c>
      <c r="NJ111" s="766">
        <v>1</v>
      </c>
      <c r="NK111" s="766">
        <v>0</v>
      </c>
      <c r="NL111" s="766">
        <v>1</v>
      </c>
      <c r="NM111" s="766">
        <v>0</v>
      </c>
      <c r="NN111" s="766">
        <v>0</v>
      </c>
      <c r="NO111" s="766">
        <v>0</v>
      </c>
      <c r="NP111" s="766">
        <v>0</v>
      </c>
      <c r="NQ111" s="766">
        <v>0</v>
      </c>
      <c r="NR111" s="766">
        <v>0</v>
      </c>
      <c r="NS111" s="766">
        <v>0</v>
      </c>
      <c r="NT111" s="766">
        <v>0</v>
      </c>
      <c r="NU111" s="766">
        <v>0</v>
      </c>
      <c r="NV111" s="766">
        <v>0</v>
      </c>
      <c r="NW111" s="766">
        <v>0</v>
      </c>
      <c r="NX111" s="766">
        <v>0</v>
      </c>
      <c r="NY111" s="766" t="s">
        <v>1208</v>
      </c>
      <c r="NZ111" s="766" t="s">
        <v>1208</v>
      </c>
      <c r="OA111" s="766" t="s">
        <v>1208</v>
      </c>
      <c r="OB111" s="766"/>
      <c r="OC111" s="766" t="s">
        <v>1208</v>
      </c>
      <c r="OD111" s="766"/>
      <c r="OE111" s="766"/>
      <c r="OF111" s="766"/>
      <c r="OG111" s="766"/>
      <c r="OH111" s="766"/>
      <c r="OI111" s="766"/>
      <c r="OJ111" s="766"/>
      <c r="OK111" s="766"/>
      <c r="OL111" s="766"/>
      <c r="OM111" s="766"/>
      <c r="ON111" s="766"/>
      <c r="OO111" s="766"/>
      <c r="OP111" s="766"/>
      <c r="OQ111" s="766"/>
      <c r="OR111" s="766"/>
      <c r="OS111" s="766"/>
      <c r="OT111" s="766"/>
      <c r="OU111" s="766"/>
      <c r="OV111" s="766"/>
      <c r="OW111" s="766"/>
      <c r="OX111" s="766"/>
      <c r="OY111" s="766"/>
      <c r="OZ111" s="766"/>
      <c r="PA111" s="766"/>
      <c r="PB111" s="766"/>
      <c r="PC111" s="766"/>
      <c r="PD111" s="766"/>
      <c r="PE111" s="766"/>
      <c r="PF111" s="766"/>
      <c r="PG111" s="766"/>
      <c r="PH111" s="766"/>
      <c r="PI111" s="766"/>
      <c r="PJ111" s="766"/>
      <c r="PK111" s="766"/>
      <c r="PL111" s="766"/>
      <c r="PM111" s="766"/>
      <c r="PN111" s="766"/>
      <c r="PO111" s="766"/>
      <c r="PP111" s="766"/>
      <c r="PQ111" s="766"/>
      <c r="PR111" s="766" t="s">
        <v>1208</v>
      </c>
      <c r="PS111" s="766" t="s">
        <v>1208</v>
      </c>
      <c r="PT111" s="766" t="s">
        <v>1208</v>
      </c>
      <c r="PU111" s="766"/>
      <c r="PV111" s="766"/>
      <c r="PW111" s="766"/>
      <c r="PX111" s="766"/>
      <c r="PY111" s="766"/>
      <c r="PZ111" s="766"/>
      <c r="QA111" s="766"/>
      <c r="QB111" s="766"/>
      <c r="QC111" s="766" t="s">
        <v>1208</v>
      </c>
      <c r="QD111" s="766"/>
      <c r="QE111" s="766"/>
      <c r="QF111" s="766"/>
      <c r="QG111" s="766"/>
      <c r="QH111" s="766"/>
      <c r="QI111" s="766"/>
      <c r="QJ111" s="766"/>
      <c r="QK111" s="766"/>
      <c r="QL111" s="766"/>
      <c r="QM111" s="766"/>
      <c r="QN111" s="766"/>
      <c r="QO111" s="766"/>
      <c r="QP111" s="766"/>
      <c r="QQ111" s="766"/>
      <c r="QR111" s="766"/>
      <c r="QS111" s="766"/>
      <c r="QT111" s="766"/>
      <c r="QU111" s="766"/>
      <c r="QV111" s="766"/>
      <c r="QW111" s="766"/>
      <c r="QX111" s="766"/>
      <c r="QY111" s="766"/>
      <c r="QZ111" s="766"/>
      <c r="RA111" s="766"/>
      <c r="RB111" s="770" t="s">
        <v>1207</v>
      </c>
      <c r="RC111" s="75">
        <v>2016</v>
      </c>
      <c r="RD111" s="766"/>
      <c r="RE111" s="766" t="s">
        <v>13008</v>
      </c>
      <c r="RF111" s="777"/>
      <c r="RG111" s="766" t="s">
        <v>13162</v>
      </c>
      <c r="RH111" s="775"/>
      <c r="RI111" s="766">
        <v>48</v>
      </c>
      <c r="RJ111" s="766" t="s">
        <v>2058</v>
      </c>
      <c r="RK111" s="766" t="s">
        <v>13160</v>
      </c>
      <c r="RL111" s="1683"/>
      <c r="RM111" s="12"/>
      <c r="RN111" s="1711"/>
      <c r="RO111" s="165" t="s">
        <v>166</v>
      </c>
      <c r="RP111" s="11"/>
      <c r="RQ111" s="11"/>
      <c r="RR111" s="154" t="s">
        <v>7419</v>
      </c>
      <c r="RS111" s="1139" t="s">
        <v>12980</v>
      </c>
      <c r="RT111" s="11"/>
      <c r="RU111" s="11"/>
      <c r="RV111" s="766" t="s">
        <v>7419</v>
      </c>
      <c r="RW111" s="11" t="s">
        <v>12418</v>
      </c>
      <c r="RX111" s="11" t="s">
        <v>157</v>
      </c>
      <c r="RY111" s="11"/>
      <c r="RZ111" s="11" t="s">
        <v>7419</v>
      </c>
      <c r="SA111" s="766"/>
      <c r="SB111" s="11"/>
      <c r="SC111" s="11"/>
    </row>
    <row r="112" spans="1:497" ht="12.75" hidden="1" customHeight="1">
      <c r="A112" s="154" t="s">
        <v>7419</v>
      </c>
      <c r="B112" s="288" t="s">
        <v>7950</v>
      </c>
      <c r="C112" s="165" t="s">
        <v>171</v>
      </c>
      <c r="D112" s="766" t="s">
        <v>7945</v>
      </c>
      <c r="E112" s="766" t="s">
        <v>173</v>
      </c>
      <c r="F112" s="766"/>
      <c r="G112" s="766"/>
      <c r="H112" s="766"/>
      <c r="I112" s="5"/>
      <c r="J112" s="766"/>
      <c r="K112" s="766" t="s">
        <v>174</v>
      </c>
      <c r="L112" s="766" t="s">
        <v>162</v>
      </c>
      <c r="M112" s="766"/>
      <c r="N112" s="766"/>
      <c r="O112" s="766"/>
      <c r="P112" s="766" t="s">
        <v>794</v>
      </c>
      <c r="Q112" s="1085">
        <v>21547</v>
      </c>
      <c r="R112" s="25">
        <v>57</v>
      </c>
      <c r="S112" s="766" t="s">
        <v>18</v>
      </c>
      <c r="T112" s="766"/>
      <c r="U112" s="26" t="s">
        <v>795</v>
      </c>
      <c r="V112" s="766" t="s">
        <v>719</v>
      </c>
      <c r="W112" s="766"/>
      <c r="X112" s="766"/>
      <c r="Y112" s="766" t="s">
        <v>5386</v>
      </c>
      <c r="Z112" s="766" t="s">
        <v>793</v>
      </c>
      <c r="AA112" s="766" t="s">
        <v>709</v>
      </c>
      <c r="AB112" s="766"/>
      <c r="AC112" s="766"/>
      <c r="AD112" s="766"/>
      <c r="AE112" s="766" t="s">
        <v>796</v>
      </c>
      <c r="AF112" s="766"/>
      <c r="AG112" s="766" t="s">
        <v>1095</v>
      </c>
      <c r="AH112" s="766" t="s">
        <v>1096</v>
      </c>
      <c r="AI112" s="766" t="s">
        <v>1141</v>
      </c>
      <c r="AJ112" s="766"/>
      <c r="AK112" s="766" t="s">
        <v>1097</v>
      </c>
      <c r="AL112" s="121">
        <v>52.79</v>
      </c>
      <c r="AM112" s="772">
        <v>10.3</v>
      </c>
      <c r="AN112" s="774">
        <f>AM112/AL112</f>
        <v>0.1951127107406706</v>
      </c>
      <c r="AO112" s="766" t="s">
        <v>1109</v>
      </c>
      <c r="AP112" s="766"/>
      <c r="AQ112" s="766"/>
      <c r="AR112" s="766"/>
      <c r="AS112" s="766" t="s">
        <v>1207</v>
      </c>
      <c r="AT112" s="766" t="s">
        <v>1208</v>
      </c>
      <c r="AU112" s="766"/>
      <c r="AV112" s="766" t="s">
        <v>1208</v>
      </c>
      <c r="AW112" s="766"/>
      <c r="AX112" s="766"/>
      <c r="AY112" s="766"/>
      <c r="AZ112" s="766"/>
      <c r="BA112" s="766"/>
      <c r="BB112" s="766"/>
      <c r="BC112" s="766" t="s">
        <v>796</v>
      </c>
      <c r="BD112" s="766" t="s">
        <v>1207</v>
      </c>
      <c r="BE112" s="766"/>
      <c r="BF112" s="775"/>
      <c r="BG112" s="775"/>
      <c r="BH112" s="766"/>
      <c r="BI112" s="766"/>
      <c r="BJ112" s="766"/>
      <c r="BK112" s="766" t="s">
        <v>1095</v>
      </c>
      <c r="BL112" s="766" t="s">
        <v>1614</v>
      </c>
      <c r="BM112" s="766" t="s">
        <v>1096</v>
      </c>
      <c r="BN112" s="766" t="s">
        <v>1230</v>
      </c>
      <c r="BO112" s="766" t="s">
        <v>1246</v>
      </c>
      <c r="BP112" s="776">
        <v>52.79</v>
      </c>
      <c r="BQ112" s="772">
        <v>10.3</v>
      </c>
      <c r="BR112" s="774">
        <f>BQ112/BP112</f>
        <v>0.1951127107406706</v>
      </c>
      <c r="BS112" s="6" t="s">
        <v>1242</v>
      </c>
      <c r="BT112" s="766" t="s">
        <v>2040</v>
      </c>
      <c r="BU112" s="766" t="s">
        <v>1300</v>
      </c>
      <c r="BV112" s="766" t="s">
        <v>1301</v>
      </c>
      <c r="BW112" s="766">
        <v>1987</v>
      </c>
      <c r="BX112" s="766"/>
      <c r="BY112" s="766" t="s">
        <v>1207</v>
      </c>
      <c r="BZ112" s="779">
        <v>100000</v>
      </c>
      <c r="CA112" s="766"/>
      <c r="CB112" s="766"/>
      <c r="CC112" s="766"/>
      <c r="CD112" s="766"/>
      <c r="CE112" s="766"/>
      <c r="CF112" s="777"/>
      <c r="CG112" s="778"/>
      <c r="CH112" s="766"/>
      <c r="CI112" s="766"/>
      <c r="CJ112" s="766"/>
      <c r="CK112" s="766"/>
      <c r="CL112" s="766"/>
      <c r="CM112" s="766"/>
      <c r="CN112" s="766"/>
      <c r="CO112" s="766"/>
      <c r="CP112" s="766"/>
      <c r="CQ112" s="766"/>
      <c r="CR112" s="775"/>
      <c r="CS112" s="766"/>
      <c r="CT112" s="766"/>
      <c r="CU112" s="129"/>
      <c r="CV112" s="766"/>
      <c r="CW112" s="766"/>
      <c r="CX112" s="766"/>
      <c r="CY112" s="766"/>
      <c r="CZ112" s="766"/>
      <c r="DA112" s="766"/>
      <c r="DB112" s="766"/>
      <c r="DC112" s="766"/>
      <c r="DD112" s="766"/>
      <c r="DE112" s="766"/>
      <c r="DF112" s="766"/>
      <c r="DG112" s="766"/>
      <c r="DH112" s="766"/>
      <c r="DI112" s="766"/>
      <c r="DJ112" s="766"/>
      <c r="DK112" s="766"/>
      <c r="DL112" s="766"/>
      <c r="DM112" s="766"/>
      <c r="DN112" s="766"/>
      <c r="DO112" s="766"/>
      <c r="DP112" s="766"/>
      <c r="DQ112" s="766"/>
      <c r="DR112" s="766"/>
      <c r="DS112" s="59"/>
      <c r="DT112" s="766"/>
      <c r="DU112" s="766"/>
      <c r="DV112" s="766"/>
      <c r="DW112" s="66"/>
      <c r="DX112" s="66"/>
      <c r="DY112" s="766"/>
      <c r="DZ112" s="766"/>
      <c r="EA112" s="766"/>
      <c r="EB112" s="766"/>
      <c r="EC112" s="766"/>
      <c r="ED112" s="766"/>
      <c r="EE112" s="766"/>
      <c r="EF112" s="766"/>
      <c r="EG112" s="766"/>
      <c r="EH112" s="766"/>
      <c r="EI112" s="766"/>
      <c r="EJ112" s="766"/>
      <c r="EK112" s="766"/>
      <c r="EL112" s="766"/>
      <c r="EM112" s="766"/>
      <c r="EN112" s="766"/>
      <c r="EO112" s="766"/>
      <c r="EP112" s="766"/>
      <c r="EQ112" s="766"/>
      <c r="ER112" s="766"/>
      <c r="ES112" s="766"/>
      <c r="ET112" s="766"/>
      <c r="EU112" s="766"/>
      <c r="EV112" s="766"/>
      <c r="EW112" s="766"/>
      <c r="EX112" s="766"/>
      <c r="EY112" s="766"/>
      <c r="EZ112" s="766"/>
      <c r="FA112" s="766"/>
      <c r="FB112" s="766"/>
      <c r="FC112" s="766"/>
      <c r="FD112" s="775"/>
      <c r="FE112" s="766"/>
      <c r="FF112" s="766"/>
      <c r="FG112" s="766"/>
      <c r="FH112" s="766" t="s">
        <v>478</v>
      </c>
      <c r="FI112" s="766">
        <v>1</v>
      </c>
      <c r="FJ112" s="766"/>
      <c r="FK112" s="766"/>
      <c r="FL112" s="766"/>
      <c r="FM112" s="775"/>
      <c r="FN112" s="775"/>
      <c r="FO112" s="775"/>
      <c r="FP112" s="766"/>
      <c r="FQ112" s="766"/>
      <c r="FR112" s="766" t="s">
        <v>1207</v>
      </c>
      <c r="FS112" s="766"/>
      <c r="FT112" s="766"/>
      <c r="FU112" s="766"/>
      <c r="FV112" s="766"/>
      <c r="FW112" s="766"/>
      <c r="FX112" s="766"/>
      <c r="FY112" s="766"/>
      <c r="FZ112" s="766"/>
      <c r="GA112" s="766"/>
      <c r="GB112" s="766" t="s">
        <v>796</v>
      </c>
      <c r="GC112" s="75" t="s">
        <v>1614</v>
      </c>
      <c r="GD112" s="25" t="s">
        <v>1716</v>
      </c>
      <c r="GE112" s="766" t="s">
        <v>1698</v>
      </c>
      <c r="GF112" s="775"/>
      <c r="GG112" s="775"/>
      <c r="GH112" s="766"/>
      <c r="GI112" s="766"/>
      <c r="GJ112" s="766"/>
      <c r="GK112" s="766"/>
      <c r="GL112" s="766"/>
      <c r="GM112" s="766"/>
      <c r="GN112" s="82"/>
      <c r="GO112" s="766"/>
      <c r="GP112" s="766"/>
      <c r="GQ112" s="766"/>
      <c r="GR112" s="766"/>
      <c r="GS112" s="766"/>
      <c r="GT112" s="766"/>
      <c r="GU112" s="766"/>
      <c r="GV112" s="766"/>
      <c r="GW112" s="766"/>
      <c r="GX112" s="766"/>
      <c r="GY112" s="766"/>
      <c r="GZ112" s="766"/>
      <c r="HA112" s="766"/>
      <c r="HB112" s="766"/>
      <c r="HC112" s="766"/>
      <c r="HD112" s="766"/>
      <c r="HE112" s="766"/>
      <c r="HF112" s="766"/>
      <c r="HG112" s="766"/>
      <c r="HH112" s="766"/>
      <c r="HI112" s="766"/>
      <c r="HJ112" s="766"/>
      <c r="HK112" s="766"/>
      <c r="HL112" s="766"/>
      <c r="HM112" s="766"/>
      <c r="HN112" s="766"/>
      <c r="HO112" s="766"/>
      <c r="HP112" s="766"/>
      <c r="HQ112" s="766"/>
      <c r="HR112" s="766"/>
      <c r="HS112" s="766"/>
      <c r="HT112" s="766"/>
      <c r="HU112" s="766"/>
      <c r="HV112" s="766"/>
      <c r="HW112" s="766"/>
      <c r="HX112" s="766"/>
      <c r="HY112" s="766"/>
      <c r="HZ112" s="766"/>
      <c r="IA112" s="766"/>
      <c r="IB112" s="766"/>
      <c r="IC112" s="766" t="s">
        <v>1207</v>
      </c>
      <c r="ID112" s="766"/>
      <c r="IE112" s="766"/>
      <c r="IF112" s="766"/>
      <c r="IG112" s="766"/>
      <c r="IH112" s="766"/>
      <c r="II112" s="766"/>
      <c r="IJ112" s="766"/>
      <c r="IK112" s="766"/>
      <c r="IL112" s="766"/>
      <c r="IM112" s="766"/>
      <c r="IN112" s="766"/>
      <c r="IO112" s="24"/>
      <c r="IP112" s="766"/>
      <c r="IQ112" s="766"/>
      <c r="IR112" s="766"/>
      <c r="IS112" s="766"/>
      <c r="IT112" s="766"/>
      <c r="IU112" s="766"/>
      <c r="IV112" s="766"/>
      <c r="IW112" s="766"/>
      <c r="IX112" s="766"/>
      <c r="IY112" s="766"/>
      <c r="IZ112" s="766"/>
      <c r="JA112" s="766"/>
      <c r="JB112" s="766"/>
      <c r="JC112" s="766"/>
      <c r="JD112" s="775"/>
      <c r="JE112" s="766"/>
      <c r="JF112" s="766"/>
      <c r="JG112" s="766"/>
      <c r="JH112" s="766"/>
      <c r="JI112" s="766"/>
      <c r="JJ112" s="766">
        <v>3</v>
      </c>
      <c r="JK112" s="766" t="s">
        <v>1614</v>
      </c>
      <c r="JL112" s="766"/>
      <c r="JM112" s="766"/>
      <c r="JN112" s="766">
        <v>1</v>
      </c>
      <c r="JO112" s="766">
        <v>2</v>
      </c>
      <c r="JP112" s="766"/>
      <c r="JQ112" s="766"/>
      <c r="JR112" s="766"/>
      <c r="JS112" s="766"/>
      <c r="JT112" s="766">
        <f t="shared" si="25"/>
        <v>1</v>
      </c>
      <c r="JU112" s="766">
        <f t="shared" si="25"/>
        <v>2</v>
      </c>
      <c r="JV112" s="766"/>
      <c r="JW112" s="766"/>
      <c r="JX112" s="766"/>
      <c r="JY112" s="766"/>
      <c r="JZ112" s="766"/>
      <c r="KA112" s="766"/>
      <c r="KB112" s="766">
        <v>1</v>
      </c>
      <c r="KC112" s="766">
        <v>1</v>
      </c>
      <c r="KD112" s="766"/>
      <c r="KE112" s="766">
        <v>1</v>
      </c>
      <c r="KF112" s="766"/>
      <c r="KG112" s="766"/>
      <c r="KH112" s="766"/>
      <c r="KI112" s="766"/>
      <c r="KJ112" s="770">
        <f t="shared" si="26"/>
        <v>1</v>
      </c>
      <c r="KK112" s="770">
        <f t="shared" si="26"/>
        <v>2</v>
      </c>
      <c r="KL112" s="770"/>
      <c r="KM112" s="770"/>
      <c r="KN112" s="766" t="s">
        <v>719</v>
      </c>
      <c r="KO112" s="28"/>
      <c r="KP112" s="766"/>
      <c r="KQ112" s="766"/>
      <c r="KR112" s="766"/>
      <c r="KS112" s="766"/>
      <c r="KT112" s="766"/>
      <c r="KU112" s="766"/>
      <c r="KV112" s="766"/>
      <c r="KW112" s="766"/>
      <c r="KX112" s="766"/>
      <c r="KY112" s="766"/>
      <c r="KZ112" s="766"/>
      <c r="LA112" s="766"/>
      <c r="LB112" s="766"/>
      <c r="LC112" s="766"/>
      <c r="LD112" s="766">
        <v>1</v>
      </c>
      <c r="LE112" s="766">
        <v>1</v>
      </c>
      <c r="LF112" s="766"/>
      <c r="LG112" s="766"/>
      <c r="LH112" s="766"/>
      <c r="LI112" s="766">
        <v>1</v>
      </c>
      <c r="LJ112" s="766"/>
      <c r="LK112" s="766"/>
      <c r="LL112" s="766"/>
      <c r="LM112" s="766"/>
      <c r="LN112" s="766">
        <f t="shared" si="27"/>
        <v>1</v>
      </c>
      <c r="LO112" s="766">
        <f t="shared" si="27"/>
        <v>2</v>
      </c>
      <c r="LP112" s="766">
        <v>3</v>
      </c>
      <c r="LQ112" s="1678">
        <v>3</v>
      </c>
      <c r="LR112" s="766"/>
      <c r="LS112" s="766"/>
      <c r="LT112" s="766"/>
      <c r="LU112" s="766">
        <v>3</v>
      </c>
      <c r="LV112" s="766"/>
      <c r="LW112" s="766"/>
      <c r="LX112" s="769">
        <v>3</v>
      </c>
      <c r="LY112" s="766" t="str">
        <f t="shared" si="23"/>
        <v>within the PROVINCE</v>
      </c>
      <c r="LZ112" s="66"/>
      <c r="MA112" s="766"/>
      <c r="MB112" s="766"/>
      <c r="MC112" s="1679">
        <f t="shared" si="24"/>
        <v>0</v>
      </c>
      <c r="MD112" s="66">
        <v>36000</v>
      </c>
      <c r="ME112" s="66"/>
      <c r="MF112" s="66"/>
      <c r="MG112" s="1680">
        <f t="shared" si="15"/>
        <v>36000</v>
      </c>
      <c r="MH112" s="1681"/>
      <c r="MI112" s="775">
        <f>PRODUCT(300,30)</f>
        <v>9000</v>
      </c>
      <c r="MJ112" s="775">
        <v>10400</v>
      </c>
      <c r="MK112" s="775">
        <f>QUOTIENT(9000,12)</f>
        <v>750</v>
      </c>
      <c r="ML112" s="775"/>
      <c r="MM112" s="775"/>
      <c r="MN112" s="775"/>
      <c r="MO112" s="775">
        <f>SUM(PRODUCT(QUOTIENT(20,3),2),PRODUCT(50,30))</f>
        <v>1512</v>
      </c>
      <c r="MP112" s="775">
        <v>1500</v>
      </c>
      <c r="MQ112" s="775">
        <v>500</v>
      </c>
      <c r="MR112" s="775">
        <v>125</v>
      </c>
      <c r="MS112" s="775">
        <v>1000</v>
      </c>
      <c r="MT112" s="775"/>
      <c r="MU112" s="775"/>
      <c r="MV112" s="775"/>
      <c r="MW112" s="775"/>
      <c r="MX112" s="775"/>
      <c r="MY112" s="1682">
        <f t="shared" si="14"/>
        <v>24787</v>
      </c>
      <c r="MZ112" s="766" t="s">
        <v>13004</v>
      </c>
      <c r="NA112" s="766" t="s">
        <v>13005</v>
      </c>
      <c r="NB112" s="766" t="s">
        <v>13105</v>
      </c>
      <c r="NC112" s="766" t="s">
        <v>13007</v>
      </c>
      <c r="ND112" s="766">
        <v>0</v>
      </c>
      <c r="NE112" s="766">
        <v>0</v>
      </c>
      <c r="NF112" s="766">
        <v>1</v>
      </c>
      <c r="NG112" s="766">
        <v>3</v>
      </c>
      <c r="NH112" s="766">
        <v>1</v>
      </c>
      <c r="NI112" s="766">
        <v>0</v>
      </c>
      <c r="NJ112" s="766">
        <v>0</v>
      </c>
      <c r="NK112" s="766">
        <v>0</v>
      </c>
      <c r="NL112" s="766">
        <v>1</v>
      </c>
      <c r="NM112" s="766">
        <v>1</v>
      </c>
      <c r="NN112" s="766">
        <v>0</v>
      </c>
      <c r="NO112" s="766">
        <v>0</v>
      </c>
      <c r="NP112" s="766">
        <v>0</v>
      </c>
      <c r="NQ112" s="766">
        <v>0</v>
      </c>
      <c r="NR112" s="766">
        <v>0</v>
      </c>
      <c r="NS112" s="766">
        <v>0</v>
      </c>
      <c r="NT112" s="766">
        <v>0</v>
      </c>
      <c r="NU112" s="766">
        <v>0</v>
      </c>
      <c r="NV112" s="766">
        <v>0</v>
      </c>
      <c r="NW112" s="766">
        <v>1</v>
      </c>
      <c r="NX112" s="766"/>
      <c r="NY112" s="766" t="s">
        <v>1208</v>
      </c>
      <c r="NZ112" s="766" t="s">
        <v>1208</v>
      </c>
      <c r="OA112" s="766" t="s">
        <v>1208</v>
      </c>
      <c r="OB112" s="766" t="s">
        <v>1208</v>
      </c>
      <c r="OC112" s="766" t="s">
        <v>1208</v>
      </c>
      <c r="OD112" s="766" t="s">
        <v>1208</v>
      </c>
      <c r="OE112" s="766"/>
      <c r="OF112" s="766"/>
      <c r="OG112" s="766"/>
      <c r="OH112" s="766"/>
      <c r="OI112" s="766"/>
      <c r="OJ112" s="766"/>
      <c r="OK112" s="766"/>
      <c r="OL112" s="766"/>
      <c r="OM112" s="766"/>
      <c r="ON112" s="766"/>
      <c r="OO112" s="766"/>
      <c r="OP112" s="766"/>
      <c r="OQ112" s="766"/>
      <c r="OR112" s="766"/>
      <c r="OS112" s="766"/>
      <c r="OT112" s="766"/>
      <c r="OU112" s="766"/>
      <c r="OV112" s="766"/>
      <c r="OW112" s="766"/>
      <c r="OX112" s="766"/>
      <c r="OY112" s="766"/>
      <c r="OZ112" s="766"/>
      <c r="PA112" s="766"/>
      <c r="PB112" s="766"/>
      <c r="PC112" s="766"/>
      <c r="PD112" s="766"/>
      <c r="PE112" s="766"/>
      <c r="PF112" s="766"/>
      <c r="PG112" s="766"/>
      <c r="PH112" s="766"/>
      <c r="PI112" s="766"/>
      <c r="PJ112" s="766"/>
      <c r="PK112" s="766"/>
      <c r="PL112" s="766"/>
      <c r="PM112" s="766"/>
      <c r="PN112" s="766"/>
      <c r="PO112" s="766"/>
      <c r="PP112" s="766"/>
      <c r="PQ112" s="766"/>
      <c r="PR112" s="766" t="s">
        <v>1208</v>
      </c>
      <c r="PS112" s="766" t="s">
        <v>1208</v>
      </c>
      <c r="PT112" s="766" t="s">
        <v>1208</v>
      </c>
      <c r="PU112" s="766"/>
      <c r="PV112" s="766"/>
      <c r="PW112" s="766"/>
      <c r="PX112" s="766"/>
      <c r="PY112" s="766"/>
      <c r="PZ112" s="766"/>
      <c r="QA112" s="766"/>
      <c r="QB112" s="766"/>
      <c r="QC112" s="766"/>
      <c r="QD112" s="766"/>
      <c r="QE112" s="766"/>
      <c r="QF112" s="766"/>
      <c r="QG112" s="766"/>
      <c r="QH112" s="766"/>
      <c r="QI112" s="766"/>
      <c r="QJ112" s="766"/>
      <c r="QK112" s="766"/>
      <c r="QL112" s="766"/>
      <c r="QM112" s="766"/>
      <c r="QN112" s="766"/>
      <c r="QO112" s="766"/>
      <c r="QP112" s="766"/>
      <c r="QQ112" s="766"/>
      <c r="QR112" s="766"/>
      <c r="QS112" s="766"/>
      <c r="QT112" s="766"/>
      <c r="QU112" s="766"/>
      <c r="QV112" s="766"/>
      <c r="QW112" s="766"/>
      <c r="QX112" s="766"/>
      <c r="QY112" s="766"/>
      <c r="QZ112" s="766"/>
      <c r="RA112" s="766"/>
      <c r="RB112" s="766"/>
      <c r="RC112" s="766"/>
      <c r="RD112" s="766"/>
      <c r="RE112" s="766"/>
      <c r="RF112" s="777"/>
      <c r="RG112" s="766"/>
      <c r="RH112" s="775"/>
      <c r="RI112" s="766"/>
      <c r="RJ112" s="766" t="s">
        <v>1614</v>
      </c>
      <c r="RK112" s="766" t="s">
        <v>13163</v>
      </c>
      <c r="RL112" s="1683"/>
      <c r="RM112" s="12"/>
      <c r="RN112" s="1711"/>
      <c r="RO112" s="165" t="s">
        <v>171</v>
      </c>
      <c r="RP112" s="11"/>
      <c r="RQ112" s="11"/>
      <c r="RR112" s="771"/>
      <c r="RS112" s="766"/>
      <c r="RT112" s="11"/>
      <c r="RU112" s="11"/>
      <c r="RV112" s="766" t="s">
        <v>7419</v>
      </c>
      <c r="RW112" s="11" t="s">
        <v>12420</v>
      </c>
      <c r="RX112" s="11" t="s">
        <v>166</v>
      </c>
      <c r="RY112" s="11"/>
      <c r="RZ112" s="11" t="s">
        <v>7419</v>
      </c>
      <c r="SA112" s="766"/>
      <c r="SB112" s="11"/>
      <c r="SC112" s="11"/>
    </row>
    <row r="113" spans="1:497" ht="12.75" hidden="1" customHeight="1">
      <c r="A113" s="154" t="s">
        <v>12413</v>
      </c>
      <c r="B113" s="288" t="s">
        <v>7573</v>
      </c>
      <c r="C113" s="165" t="s">
        <v>175</v>
      </c>
      <c r="D113" s="766" t="s">
        <v>172</v>
      </c>
      <c r="E113" s="766" t="s">
        <v>173</v>
      </c>
      <c r="F113" s="766" t="s">
        <v>28</v>
      </c>
      <c r="G113" s="766" t="s">
        <v>10</v>
      </c>
      <c r="H113" s="766"/>
      <c r="I113" s="5"/>
      <c r="J113" s="766" t="s">
        <v>172</v>
      </c>
      <c r="K113" s="766" t="s">
        <v>174</v>
      </c>
      <c r="L113" s="766" t="s">
        <v>162</v>
      </c>
      <c r="M113" s="766"/>
      <c r="N113" s="766"/>
      <c r="O113" s="766"/>
      <c r="P113" s="766" t="s">
        <v>172</v>
      </c>
      <c r="Q113" s="1085">
        <v>24170</v>
      </c>
      <c r="R113" s="25">
        <v>50</v>
      </c>
      <c r="S113" s="766" t="s">
        <v>10</v>
      </c>
      <c r="T113" s="766"/>
      <c r="U113" s="26" t="s">
        <v>797</v>
      </c>
      <c r="V113" s="766" t="s">
        <v>707</v>
      </c>
      <c r="W113" s="766"/>
      <c r="X113" s="766"/>
      <c r="Y113" s="766" t="s">
        <v>173</v>
      </c>
      <c r="Z113" s="766" t="s">
        <v>793</v>
      </c>
      <c r="AA113" s="766" t="s">
        <v>709</v>
      </c>
      <c r="AB113" s="766" t="s">
        <v>7274</v>
      </c>
      <c r="AC113" s="766" t="s">
        <v>777</v>
      </c>
      <c r="AD113" s="766"/>
      <c r="AE113" s="766"/>
      <c r="AF113" s="766" t="s">
        <v>798</v>
      </c>
      <c r="AG113" s="766"/>
      <c r="AH113" s="766"/>
      <c r="AI113" s="766"/>
      <c r="AJ113" s="766"/>
      <c r="AK113" s="766" t="s">
        <v>3214</v>
      </c>
      <c r="AL113" s="121"/>
      <c r="AM113" s="772"/>
      <c r="AN113" s="774"/>
      <c r="AO113" s="766"/>
      <c r="AP113" s="766"/>
      <c r="AQ113" s="766"/>
      <c r="AR113" s="766"/>
      <c r="AS113" s="766"/>
      <c r="AT113" s="766"/>
      <c r="AU113" s="766"/>
      <c r="AV113" s="766"/>
      <c r="AW113" s="766"/>
      <c r="AX113" s="766"/>
      <c r="AY113" s="766"/>
      <c r="AZ113" s="766"/>
      <c r="BA113" s="766"/>
      <c r="BB113" s="766"/>
      <c r="BC113" s="766"/>
      <c r="BD113" s="766"/>
      <c r="BE113" s="766"/>
      <c r="BF113" s="775"/>
      <c r="BG113" s="775"/>
      <c r="BH113" s="766"/>
      <c r="BI113" s="766"/>
      <c r="BJ113" s="766"/>
      <c r="BK113" s="766"/>
      <c r="BL113" s="766"/>
      <c r="BM113" s="766" t="s">
        <v>1238</v>
      </c>
      <c r="BN113" s="766" t="s">
        <v>1263</v>
      </c>
      <c r="BO113" s="766"/>
      <c r="BP113" s="776"/>
      <c r="BQ113" s="772"/>
      <c r="BR113" s="774"/>
      <c r="BS113" s="6" t="s">
        <v>1149</v>
      </c>
      <c r="BT113" s="766"/>
      <c r="BU113" s="766"/>
      <c r="BV113" s="766"/>
      <c r="BW113" s="766"/>
      <c r="BX113" s="779"/>
      <c r="BY113" s="766"/>
      <c r="BZ113" s="775"/>
      <c r="CA113" s="766"/>
      <c r="CB113" s="766"/>
      <c r="CC113" s="766"/>
      <c r="CD113" s="766"/>
      <c r="CE113" s="766"/>
      <c r="CF113" s="777"/>
      <c r="CG113" s="778"/>
      <c r="CH113" s="766"/>
      <c r="CI113" s="766"/>
      <c r="CJ113" s="766"/>
      <c r="CK113" s="766"/>
      <c r="CL113" s="766"/>
      <c r="CM113" s="766"/>
      <c r="CN113" s="766"/>
      <c r="CO113" s="766"/>
      <c r="CP113" s="766"/>
      <c r="CQ113" s="766"/>
      <c r="CR113" s="775"/>
      <c r="CS113" s="766"/>
      <c r="CT113" s="766"/>
      <c r="CU113" s="129"/>
      <c r="CV113" s="766"/>
      <c r="CW113" s="766"/>
      <c r="CX113" s="766"/>
      <c r="CY113" s="766"/>
      <c r="CZ113" s="766"/>
      <c r="DA113" s="766"/>
      <c r="DB113" s="766"/>
      <c r="DC113" s="766"/>
      <c r="DD113" s="766"/>
      <c r="DE113" s="766"/>
      <c r="DF113" s="766"/>
      <c r="DG113" s="766"/>
      <c r="DH113" s="766"/>
      <c r="DI113" s="766"/>
      <c r="DJ113" s="766"/>
      <c r="DK113" s="766"/>
      <c r="DL113" s="766"/>
      <c r="DM113" s="766"/>
      <c r="DN113" s="766"/>
      <c r="DO113" s="766"/>
      <c r="DP113" s="766"/>
      <c r="DQ113" s="766"/>
      <c r="DR113" s="766"/>
      <c r="DS113" s="59"/>
      <c r="DT113" s="766"/>
      <c r="DU113" s="766"/>
      <c r="DV113" s="766"/>
      <c r="DW113" s="66"/>
      <c r="DX113" s="66"/>
      <c r="DY113" s="766"/>
      <c r="DZ113" s="766"/>
      <c r="EA113" s="766"/>
      <c r="EB113" s="766"/>
      <c r="EC113" s="766"/>
      <c r="ED113" s="766"/>
      <c r="EE113" s="766"/>
      <c r="EF113" s="766"/>
      <c r="EG113" s="766"/>
      <c r="EH113" s="766"/>
      <c r="EI113" s="766"/>
      <c r="EJ113" s="766"/>
      <c r="EK113" s="766"/>
      <c r="EL113" s="766"/>
      <c r="EM113" s="766"/>
      <c r="EN113" s="766"/>
      <c r="EO113" s="766"/>
      <c r="EP113" s="766"/>
      <c r="EQ113" s="766"/>
      <c r="ER113" s="766"/>
      <c r="ES113" s="766"/>
      <c r="ET113" s="766"/>
      <c r="EU113" s="766"/>
      <c r="EV113" s="766"/>
      <c r="EW113" s="766"/>
      <c r="EX113" s="766"/>
      <c r="EY113" s="766"/>
      <c r="EZ113" s="766"/>
      <c r="FA113" s="766"/>
      <c r="FB113" s="766"/>
      <c r="FC113" s="766"/>
      <c r="FD113" s="775"/>
      <c r="FE113" s="766"/>
      <c r="FF113" s="766"/>
      <c r="FG113" s="766"/>
      <c r="FH113" s="766" t="s">
        <v>1263</v>
      </c>
      <c r="FI113" s="766">
        <v>1</v>
      </c>
      <c r="FJ113" s="766" t="s">
        <v>1614</v>
      </c>
      <c r="FK113" s="25" t="s">
        <v>795</v>
      </c>
      <c r="FL113" s="766" t="s">
        <v>1615</v>
      </c>
      <c r="FM113" s="775"/>
      <c r="FN113" s="775">
        <v>0</v>
      </c>
      <c r="FO113" s="775">
        <v>2000</v>
      </c>
      <c r="FP113" s="766" t="s">
        <v>1602</v>
      </c>
      <c r="FQ113" s="766" t="s">
        <v>1660</v>
      </c>
      <c r="FR113" s="766"/>
      <c r="FS113" s="766" t="s">
        <v>1208</v>
      </c>
      <c r="FT113" s="766"/>
      <c r="FU113" s="766"/>
      <c r="FV113" s="766"/>
      <c r="FW113" s="766"/>
      <c r="FX113" s="766"/>
      <c r="FY113" s="766"/>
      <c r="FZ113" s="766"/>
      <c r="GA113" s="766"/>
      <c r="GB113" s="766"/>
      <c r="GC113" s="75"/>
      <c r="GD113" s="25"/>
      <c r="GE113" s="766"/>
      <c r="GF113" s="775"/>
      <c r="GG113" s="775"/>
      <c r="GH113" s="766"/>
      <c r="GI113" s="766"/>
      <c r="GJ113" s="766"/>
      <c r="GK113" s="766"/>
      <c r="GL113" s="766"/>
      <c r="GM113" s="766"/>
      <c r="GN113" s="82"/>
      <c r="GO113" s="766"/>
      <c r="GP113" s="766"/>
      <c r="GQ113" s="766"/>
      <c r="GR113" s="766"/>
      <c r="GS113" s="766"/>
      <c r="GT113" s="766"/>
      <c r="GU113" s="766"/>
      <c r="GV113" s="766"/>
      <c r="GW113" s="766"/>
      <c r="GX113" s="766"/>
      <c r="GY113" s="766"/>
      <c r="GZ113" s="766"/>
      <c r="HA113" s="766"/>
      <c r="HB113" s="766"/>
      <c r="HC113" s="766"/>
      <c r="HD113" s="766"/>
      <c r="HE113" s="766"/>
      <c r="HF113" s="766"/>
      <c r="HG113" s="766"/>
      <c r="HH113" s="766"/>
      <c r="HI113" s="766"/>
      <c r="HJ113" s="766"/>
      <c r="HK113" s="766"/>
      <c r="HL113" s="766"/>
      <c r="HM113" s="766"/>
      <c r="HN113" s="766"/>
      <c r="HO113" s="766"/>
      <c r="HP113" s="766"/>
      <c r="HQ113" s="766"/>
      <c r="HR113" s="766"/>
      <c r="HS113" s="766"/>
      <c r="HT113" s="766"/>
      <c r="HU113" s="766"/>
      <c r="HV113" s="766"/>
      <c r="HW113" s="766"/>
      <c r="HX113" s="766"/>
      <c r="HY113" s="766"/>
      <c r="HZ113" s="766"/>
      <c r="IA113" s="766"/>
      <c r="IB113" s="766"/>
      <c r="IC113" s="766"/>
      <c r="ID113" s="766">
        <v>1</v>
      </c>
      <c r="IE113" s="766"/>
      <c r="IF113" s="766"/>
      <c r="IG113" s="766"/>
      <c r="IH113" s="766"/>
      <c r="II113" s="766"/>
      <c r="IJ113" s="766"/>
      <c r="IK113" s="766"/>
      <c r="IL113" s="766"/>
      <c r="IM113" s="766"/>
      <c r="IN113" s="766"/>
      <c r="IO113" s="24"/>
      <c r="IP113" s="766"/>
      <c r="IQ113" s="766"/>
      <c r="IR113" s="766"/>
      <c r="IS113" s="766"/>
      <c r="IT113" s="766"/>
      <c r="IU113" s="766"/>
      <c r="IV113" s="766"/>
      <c r="IW113" s="766"/>
      <c r="IX113" s="766"/>
      <c r="IY113" s="766"/>
      <c r="IZ113" s="766"/>
      <c r="JA113" s="766"/>
      <c r="JB113" s="766"/>
      <c r="JC113" s="766"/>
      <c r="JD113" s="775"/>
      <c r="JE113" s="766"/>
      <c r="JF113" s="766"/>
      <c r="JG113" s="766"/>
      <c r="JH113" s="766"/>
      <c r="JI113" s="766"/>
      <c r="JJ113" s="766">
        <v>6</v>
      </c>
      <c r="JK113" s="766" t="s">
        <v>2059</v>
      </c>
      <c r="JL113" s="766">
        <v>2</v>
      </c>
      <c r="JM113" s="766">
        <v>1</v>
      </c>
      <c r="JN113" s="766">
        <v>1</v>
      </c>
      <c r="JO113" s="766">
        <v>1</v>
      </c>
      <c r="JP113" s="766"/>
      <c r="JQ113" s="766">
        <v>1</v>
      </c>
      <c r="JR113" s="766"/>
      <c r="JS113" s="766"/>
      <c r="JT113" s="766">
        <f t="shared" si="25"/>
        <v>3</v>
      </c>
      <c r="JU113" s="766">
        <f t="shared" si="25"/>
        <v>3</v>
      </c>
      <c r="JV113" s="766"/>
      <c r="JW113" s="766"/>
      <c r="JX113" s="766">
        <v>1</v>
      </c>
      <c r="JY113" s="766">
        <v>1</v>
      </c>
      <c r="JZ113" s="766">
        <v>1</v>
      </c>
      <c r="KA113" s="766"/>
      <c r="KB113" s="766"/>
      <c r="KC113" s="766"/>
      <c r="KD113" s="766">
        <v>1</v>
      </c>
      <c r="KE113" s="766">
        <v>1</v>
      </c>
      <c r="KF113" s="766"/>
      <c r="KG113" s="766">
        <v>1</v>
      </c>
      <c r="KH113" s="766"/>
      <c r="KI113" s="766"/>
      <c r="KJ113" s="770">
        <f t="shared" si="26"/>
        <v>3</v>
      </c>
      <c r="KK113" s="770">
        <f t="shared" si="26"/>
        <v>3</v>
      </c>
      <c r="KL113" s="770"/>
      <c r="KM113" s="770"/>
      <c r="KN113" s="766" t="s">
        <v>707</v>
      </c>
      <c r="KO113" s="28"/>
      <c r="KP113" s="766"/>
      <c r="KQ113" s="766"/>
      <c r="KR113" s="766">
        <v>1</v>
      </c>
      <c r="KS113" s="766"/>
      <c r="KT113" s="766"/>
      <c r="KU113" s="766"/>
      <c r="KV113" s="766"/>
      <c r="KW113" s="766"/>
      <c r="KX113" s="766"/>
      <c r="KY113" s="766"/>
      <c r="KZ113" s="766"/>
      <c r="LA113" s="766">
        <v>1</v>
      </c>
      <c r="LB113" s="766">
        <v>1</v>
      </c>
      <c r="LC113" s="766"/>
      <c r="LD113" s="766"/>
      <c r="LE113" s="766">
        <v>1</v>
      </c>
      <c r="LF113" s="766"/>
      <c r="LG113" s="766"/>
      <c r="LH113" s="766"/>
      <c r="LI113" s="766"/>
      <c r="LJ113" s="766">
        <v>1</v>
      </c>
      <c r="LK113" s="766">
        <v>1</v>
      </c>
      <c r="LL113" s="766"/>
      <c r="LM113" s="766"/>
      <c r="LN113" s="766">
        <f t="shared" si="27"/>
        <v>3</v>
      </c>
      <c r="LO113" s="766">
        <f t="shared" si="27"/>
        <v>3</v>
      </c>
      <c r="LP113" s="766">
        <v>1</v>
      </c>
      <c r="LQ113" s="1678"/>
      <c r="LR113" s="766">
        <v>1</v>
      </c>
      <c r="LS113" s="766"/>
      <c r="LT113" s="766"/>
      <c r="LU113" s="766"/>
      <c r="LV113" s="766"/>
      <c r="LW113" s="766"/>
      <c r="LX113" s="769">
        <v>1</v>
      </c>
      <c r="LY113" s="766" t="str">
        <f t="shared" si="23"/>
        <v>within the BRGY</v>
      </c>
      <c r="LZ113" s="66"/>
      <c r="MA113" s="766"/>
      <c r="MB113" s="766"/>
      <c r="MC113" s="1679">
        <f t="shared" si="24"/>
        <v>0</v>
      </c>
      <c r="MD113" s="66"/>
      <c r="ME113" s="66">
        <v>72000</v>
      </c>
      <c r="MF113" s="66"/>
      <c r="MG113" s="1680">
        <f t="shared" si="15"/>
        <v>72000</v>
      </c>
      <c r="MH113" s="1681"/>
      <c r="MI113" s="775">
        <v>12000</v>
      </c>
      <c r="MJ113" s="775"/>
      <c r="MK113" s="775">
        <v>416.67</v>
      </c>
      <c r="ML113" s="775">
        <v>1500</v>
      </c>
      <c r="MM113" s="775">
        <v>1200</v>
      </c>
      <c r="MN113" s="775"/>
      <c r="MO113" s="775">
        <v>1200</v>
      </c>
      <c r="MP113" s="775">
        <v>2000</v>
      </c>
      <c r="MQ113" s="775">
        <v>500</v>
      </c>
      <c r="MR113" s="775">
        <v>600</v>
      </c>
      <c r="MS113" s="775">
        <v>166.67</v>
      </c>
      <c r="MT113" s="775"/>
      <c r="MU113" s="775"/>
      <c r="MV113" s="775"/>
      <c r="MW113" s="775"/>
      <c r="MX113" s="775"/>
      <c r="MY113" s="1682">
        <f t="shared" si="14"/>
        <v>19583.339999999997</v>
      </c>
      <c r="MZ113" s="766" t="s">
        <v>13164</v>
      </c>
      <c r="NA113" s="766" t="s">
        <v>13005</v>
      </c>
      <c r="NB113" s="766" t="s">
        <v>13006</v>
      </c>
      <c r="NC113" s="766" t="s">
        <v>13026</v>
      </c>
      <c r="ND113" s="766">
        <v>0</v>
      </c>
      <c r="NE113" s="766">
        <v>0</v>
      </c>
      <c r="NF113" s="766">
        <v>0</v>
      </c>
      <c r="NG113" s="766">
        <v>2</v>
      </c>
      <c r="NH113" s="766">
        <v>1</v>
      </c>
      <c r="NI113" s="766">
        <v>0</v>
      </c>
      <c r="NJ113" s="766">
        <v>0</v>
      </c>
      <c r="NK113" s="766">
        <v>0</v>
      </c>
      <c r="NL113" s="766">
        <v>0</v>
      </c>
      <c r="NM113" s="766">
        <v>0</v>
      </c>
      <c r="NN113" s="766">
        <v>0</v>
      </c>
      <c r="NO113" s="766">
        <v>0</v>
      </c>
      <c r="NP113" s="766">
        <v>1</v>
      </c>
      <c r="NQ113" s="766">
        <v>0</v>
      </c>
      <c r="NR113" s="766">
        <v>0</v>
      </c>
      <c r="NS113" s="766">
        <v>0</v>
      </c>
      <c r="NT113" s="766">
        <v>0</v>
      </c>
      <c r="NU113" s="766">
        <v>1</v>
      </c>
      <c r="NV113" s="766">
        <v>0</v>
      </c>
      <c r="NW113" s="766">
        <v>0</v>
      </c>
      <c r="NX113" s="766"/>
      <c r="NY113" s="766" t="s">
        <v>1208</v>
      </c>
      <c r="NZ113" s="766" t="s">
        <v>1208</v>
      </c>
      <c r="OA113" s="766" t="s">
        <v>1208</v>
      </c>
      <c r="OB113" s="766" t="s">
        <v>1208</v>
      </c>
      <c r="OC113" s="766" t="s">
        <v>1208</v>
      </c>
      <c r="OD113" s="766" t="s">
        <v>1208</v>
      </c>
      <c r="OE113" s="766"/>
      <c r="OF113" s="766"/>
      <c r="OG113" s="766"/>
      <c r="OH113" s="766"/>
      <c r="OI113" s="766"/>
      <c r="OJ113" s="766"/>
      <c r="OK113" s="766"/>
      <c r="OL113" s="766"/>
      <c r="OM113" s="766"/>
      <c r="ON113" s="766"/>
      <c r="OO113" s="766"/>
      <c r="OP113" s="766"/>
      <c r="OQ113" s="766"/>
      <c r="OR113" s="766"/>
      <c r="OS113" s="766"/>
      <c r="OT113" s="766"/>
      <c r="OU113" s="766"/>
      <c r="OV113" s="766"/>
      <c r="OW113" s="766"/>
      <c r="OX113" s="766"/>
      <c r="OY113" s="766"/>
      <c r="OZ113" s="766"/>
      <c r="PA113" s="766"/>
      <c r="PB113" s="766"/>
      <c r="PC113" s="766"/>
      <c r="PD113" s="766"/>
      <c r="PE113" s="766"/>
      <c r="PF113" s="766"/>
      <c r="PG113" s="766"/>
      <c r="PH113" s="766"/>
      <c r="PI113" s="766"/>
      <c r="PJ113" s="766"/>
      <c r="PK113" s="766"/>
      <c r="PL113" s="766"/>
      <c r="PM113" s="766"/>
      <c r="PN113" s="766"/>
      <c r="PO113" s="766"/>
      <c r="PP113" s="766"/>
      <c r="PQ113" s="766"/>
      <c r="PR113" s="766" t="s">
        <v>1208</v>
      </c>
      <c r="PS113" s="766" t="s">
        <v>1208</v>
      </c>
      <c r="PT113" s="766" t="s">
        <v>1208</v>
      </c>
      <c r="PU113" s="766"/>
      <c r="PV113" s="766"/>
      <c r="PW113" s="766"/>
      <c r="PX113" s="766"/>
      <c r="PY113" s="766"/>
      <c r="PZ113" s="766"/>
      <c r="QA113" s="766"/>
      <c r="QB113" s="766"/>
      <c r="QC113" s="766"/>
      <c r="QD113" s="766"/>
      <c r="QE113" s="766"/>
      <c r="QF113" s="766"/>
      <c r="QG113" s="766"/>
      <c r="QH113" s="766"/>
      <c r="QI113" s="766"/>
      <c r="QJ113" s="766"/>
      <c r="QK113" s="766"/>
      <c r="QL113" s="766"/>
      <c r="QM113" s="766"/>
      <c r="QN113" s="766"/>
      <c r="QO113" s="766"/>
      <c r="QP113" s="766"/>
      <c r="QQ113" s="766"/>
      <c r="QR113" s="766"/>
      <c r="QS113" s="766"/>
      <c r="QT113" s="766"/>
      <c r="QU113" s="766"/>
      <c r="QV113" s="766"/>
      <c r="QW113" s="766"/>
      <c r="QX113" s="766"/>
      <c r="QY113" s="766"/>
      <c r="QZ113" s="766"/>
      <c r="RA113" s="766"/>
      <c r="RB113" s="770" t="s">
        <v>1207</v>
      </c>
      <c r="RC113" s="766">
        <v>2016</v>
      </c>
      <c r="RD113" s="766" t="s">
        <v>12989</v>
      </c>
      <c r="RE113" s="766" t="s">
        <v>13100</v>
      </c>
      <c r="RF113" s="777">
        <v>1</v>
      </c>
      <c r="RG113" s="766" t="s">
        <v>13165</v>
      </c>
      <c r="RH113" s="775">
        <v>30200</v>
      </c>
      <c r="RI113" s="766">
        <v>24</v>
      </c>
      <c r="RJ113" s="766" t="s">
        <v>2059</v>
      </c>
      <c r="RK113" s="766" t="s">
        <v>13166</v>
      </c>
      <c r="RL113" s="1683"/>
      <c r="RM113" s="12"/>
      <c r="RN113" s="1711"/>
      <c r="RO113" s="165" t="s">
        <v>175</v>
      </c>
      <c r="RP113" s="11"/>
      <c r="RQ113" s="11"/>
      <c r="RR113" s="771"/>
      <c r="RS113" s="766"/>
      <c r="RT113" s="11"/>
      <c r="RU113" s="11"/>
      <c r="RV113" s="766" t="s">
        <v>13167</v>
      </c>
      <c r="RW113" s="11" t="s">
        <v>13168</v>
      </c>
      <c r="RX113" s="11" t="s">
        <v>170</v>
      </c>
      <c r="RY113" s="11"/>
      <c r="RZ113" s="11"/>
      <c r="SA113" s="766"/>
      <c r="SB113" s="11"/>
      <c r="SC113" s="11"/>
    </row>
    <row r="114" spans="1:497" ht="12.75" hidden="1" customHeight="1">
      <c r="A114" s="767" t="s">
        <v>7419</v>
      </c>
      <c r="B114" s="288" t="s">
        <v>7951</v>
      </c>
      <c r="C114" s="165" t="s">
        <v>176</v>
      </c>
      <c r="D114" s="766" t="s">
        <v>177</v>
      </c>
      <c r="E114" s="766" t="s">
        <v>178</v>
      </c>
      <c r="F114" s="766" t="s">
        <v>20</v>
      </c>
      <c r="G114" s="766" t="s">
        <v>18</v>
      </c>
      <c r="H114" s="766"/>
      <c r="I114" s="5"/>
      <c r="J114" s="766" t="s">
        <v>179</v>
      </c>
      <c r="K114" s="766" t="s">
        <v>174</v>
      </c>
      <c r="L114" s="766" t="s">
        <v>180</v>
      </c>
      <c r="M114" s="766"/>
      <c r="N114" s="766"/>
      <c r="O114" s="766" t="s">
        <v>181</v>
      </c>
      <c r="P114" s="766"/>
      <c r="Q114" s="1085"/>
      <c r="R114" s="25"/>
      <c r="S114" s="766"/>
      <c r="T114" s="766"/>
      <c r="U114" s="26"/>
      <c r="V114" s="766"/>
      <c r="W114" s="766"/>
      <c r="X114" s="766"/>
      <c r="Y114" s="766"/>
      <c r="Z114" s="766"/>
      <c r="AA114" s="766"/>
      <c r="AB114" s="766"/>
      <c r="AC114" s="766"/>
      <c r="AD114" s="766"/>
      <c r="AE114" s="766"/>
      <c r="AF114" s="766"/>
      <c r="AG114" s="766" t="s">
        <v>1095</v>
      </c>
      <c r="AH114" s="766" t="s">
        <v>1096</v>
      </c>
      <c r="AI114" s="766" t="s">
        <v>1142</v>
      </c>
      <c r="AJ114" s="766"/>
      <c r="AK114" s="766" t="s">
        <v>1097</v>
      </c>
      <c r="AL114" s="121">
        <v>120</v>
      </c>
      <c r="AM114" s="772">
        <v>18</v>
      </c>
      <c r="AN114" s="774">
        <f>AM114/AL114</f>
        <v>0.15</v>
      </c>
      <c r="AO114" s="766" t="s">
        <v>1109</v>
      </c>
      <c r="AP114" s="766"/>
      <c r="AQ114" s="766"/>
      <c r="AR114" s="766"/>
      <c r="AS114" s="766"/>
      <c r="AT114" s="766"/>
      <c r="AU114" s="766"/>
      <c r="AV114" s="766"/>
      <c r="AW114" s="766"/>
      <c r="AX114" s="766"/>
      <c r="AY114" s="766"/>
      <c r="AZ114" s="766"/>
      <c r="BA114" s="766"/>
      <c r="BB114" s="766"/>
      <c r="BC114" s="766"/>
      <c r="BD114" s="766"/>
      <c r="BE114" s="766"/>
      <c r="BF114" s="775"/>
      <c r="BG114" s="775"/>
      <c r="BH114" s="766"/>
      <c r="BI114" s="766"/>
      <c r="BJ114" s="766"/>
      <c r="BK114" s="766"/>
      <c r="BL114" s="770"/>
      <c r="BM114" s="766"/>
      <c r="BN114" s="766"/>
      <c r="BO114" s="766"/>
      <c r="BP114" s="776"/>
      <c r="BQ114" s="772"/>
      <c r="BR114" s="774"/>
      <c r="BS114" s="766"/>
      <c r="BT114" s="766"/>
      <c r="BU114" s="766"/>
      <c r="BV114" s="766"/>
      <c r="BW114" s="766"/>
      <c r="BX114" s="779"/>
      <c r="BY114" s="766"/>
      <c r="BZ114" s="775"/>
      <c r="CA114" s="766"/>
      <c r="CB114" s="766" t="s">
        <v>1207</v>
      </c>
      <c r="CC114" s="766"/>
      <c r="CD114" s="766"/>
      <c r="CE114" s="766"/>
      <c r="CF114" s="777"/>
      <c r="CG114" s="778"/>
      <c r="CH114" s="766"/>
      <c r="CI114" s="766"/>
      <c r="CJ114" s="766"/>
      <c r="CK114" s="766"/>
      <c r="CL114" s="766"/>
      <c r="CM114" s="766"/>
      <c r="CN114" s="766"/>
      <c r="CO114" s="766"/>
      <c r="CP114" s="766" t="s">
        <v>8113</v>
      </c>
      <c r="CQ114" s="766"/>
      <c r="CR114" s="766"/>
      <c r="CS114" s="766"/>
      <c r="CT114" s="766" t="s">
        <v>1469</v>
      </c>
      <c r="CU114" s="129">
        <v>40</v>
      </c>
      <c r="CV114" s="766">
        <v>2</v>
      </c>
      <c r="CW114" s="766">
        <v>2</v>
      </c>
      <c r="CX114" s="766" t="s">
        <v>1471</v>
      </c>
      <c r="CY114" s="766"/>
      <c r="CZ114" s="766"/>
      <c r="DA114" s="766"/>
      <c r="DB114" s="766"/>
      <c r="DC114" s="766"/>
      <c r="DD114" s="766"/>
      <c r="DE114" s="766"/>
      <c r="DF114" s="766"/>
      <c r="DG114" s="766"/>
      <c r="DH114" s="766"/>
      <c r="DI114" s="766"/>
      <c r="DJ114" s="766"/>
      <c r="DK114" s="766"/>
      <c r="DL114" s="766"/>
      <c r="DM114" s="766"/>
      <c r="DN114" s="766"/>
      <c r="DO114" s="766"/>
      <c r="DP114" s="766"/>
      <c r="DQ114" s="766"/>
      <c r="DR114" s="766"/>
      <c r="DS114" s="59"/>
      <c r="DT114" s="766"/>
      <c r="DU114" s="766"/>
      <c r="DV114" s="766"/>
      <c r="DW114" s="66"/>
      <c r="DX114" s="66"/>
      <c r="DY114" s="766"/>
      <c r="DZ114" s="766"/>
      <c r="EA114" s="766"/>
      <c r="EB114" s="766"/>
      <c r="EC114" s="766"/>
      <c r="ED114" s="766"/>
      <c r="EE114" s="766"/>
      <c r="EF114" s="766"/>
      <c r="EG114" s="766"/>
      <c r="EH114" s="766"/>
      <c r="EI114" s="766"/>
      <c r="EJ114" s="766"/>
      <c r="EK114" s="766"/>
      <c r="EL114" s="766"/>
      <c r="EM114" s="766"/>
      <c r="EN114" s="766"/>
      <c r="EO114" s="766"/>
      <c r="EP114" s="766"/>
      <c r="EQ114" s="766"/>
      <c r="ER114" s="766"/>
      <c r="ES114" s="766"/>
      <c r="ET114" s="766"/>
      <c r="EU114" s="766"/>
      <c r="EV114" s="766"/>
      <c r="EW114" s="766"/>
      <c r="EX114" s="766"/>
      <c r="EY114" s="766"/>
      <c r="EZ114" s="766"/>
      <c r="FA114" s="766"/>
      <c r="FB114" s="766"/>
      <c r="FC114" s="766"/>
      <c r="FD114" s="775"/>
      <c r="FE114" s="766"/>
      <c r="FF114" s="766"/>
      <c r="FG114" s="766"/>
      <c r="FH114" s="766"/>
      <c r="FI114" s="766"/>
      <c r="FJ114" s="766"/>
      <c r="FK114" s="25"/>
      <c r="FL114" s="766"/>
      <c r="FM114" s="775"/>
      <c r="FN114" s="775"/>
      <c r="FO114" s="775"/>
      <c r="FP114" s="766" t="s">
        <v>1600</v>
      </c>
      <c r="FQ114" s="766" t="s">
        <v>1642</v>
      </c>
      <c r="FR114" s="766"/>
      <c r="FS114" s="766"/>
      <c r="FT114" s="766"/>
      <c r="FU114" s="766"/>
      <c r="FV114" s="766"/>
      <c r="FW114" s="766"/>
      <c r="FX114" s="766"/>
      <c r="FY114" s="766"/>
      <c r="FZ114" s="766"/>
      <c r="GA114" s="766"/>
      <c r="GB114" s="766"/>
      <c r="GC114" s="75"/>
      <c r="GD114" s="25"/>
      <c r="GE114" s="766"/>
      <c r="GF114" s="775"/>
      <c r="GG114" s="775"/>
      <c r="GH114" s="766"/>
      <c r="GI114" s="766"/>
      <c r="GJ114" s="766"/>
      <c r="GK114" s="766"/>
      <c r="GL114" s="766"/>
      <c r="GM114" s="766"/>
      <c r="GN114" s="82"/>
      <c r="GO114" s="766"/>
      <c r="GP114" s="766"/>
      <c r="GQ114" s="766"/>
      <c r="GR114" s="766"/>
      <c r="GS114" s="766"/>
      <c r="GT114" s="766"/>
      <c r="GU114" s="766"/>
      <c r="GV114" s="766"/>
      <c r="GW114" s="766"/>
      <c r="GX114" s="766"/>
      <c r="GY114" s="766"/>
      <c r="GZ114" s="766"/>
      <c r="HA114" s="766"/>
      <c r="HB114" s="766"/>
      <c r="HC114" s="766"/>
      <c r="HD114" s="766"/>
      <c r="HE114" s="766"/>
      <c r="HF114" s="766"/>
      <c r="HG114" s="766"/>
      <c r="HH114" s="766"/>
      <c r="HI114" s="766"/>
      <c r="HJ114" s="766"/>
      <c r="HK114" s="766"/>
      <c r="HL114" s="766"/>
      <c r="HM114" s="766"/>
      <c r="HN114" s="766"/>
      <c r="HO114" s="766"/>
      <c r="HP114" s="766"/>
      <c r="HQ114" s="766"/>
      <c r="HR114" s="766" t="s">
        <v>1208</v>
      </c>
      <c r="HS114" s="766" t="s">
        <v>1208</v>
      </c>
      <c r="HT114" s="766"/>
      <c r="HU114" s="766"/>
      <c r="HV114" s="766"/>
      <c r="HW114" s="766"/>
      <c r="HX114" s="766"/>
      <c r="HY114" s="766"/>
      <c r="HZ114" s="766"/>
      <c r="IA114" s="766"/>
      <c r="IB114" s="766"/>
      <c r="IC114" s="766"/>
      <c r="ID114" s="766"/>
      <c r="IE114" s="766"/>
      <c r="IF114" s="766"/>
      <c r="IG114" s="766"/>
      <c r="IH114" s="766"/>
      <c r="II114" s="766"/>
      <c r="IJ114" s="766"/>
      <c r="IK114" s="766"/>
      <c r="IL114" s="766"/>
      <c r="IM114" s="766"/>
      <c r="IN114" s="766"/>
      <c r="IO114" s="24"/>
      <c r="IP114" s="766"/>
      <c r="IQ114" s="766"/>
      <c r="IR114" s="766"/>
      <c r="IS114" s="766"/>
      <c r="IT114" s="766"/>
      <c r="IU114" s="766"/>
      <c r="IV114" s="766"/>
      <c r="IW114" s="766"/>
      <c r="IX114" s="766"/>
      <c r="IY114" s="766"/>
      <c r="IZ114" s="766"/>
      <c r="JA114" s="766"/>
      <c r="JB114" s="766"/>
      <c r="JC114" s="766"/>
      <c r="JD114" s="775"/>
      <c r="JE114" s="766"/>
      <c r="JF114" s="766"/>
      <c r="JG114" s="766"/>
      <c r="JH114" s="766"/>
      <c r="JI114" s="766"/>
      <c r="JJ114" s="766"/>
      <c r="JK114" s="766"/>
      <c r="JL114" s="766"/>
      <c r="JM114" s="766"/>
      <c r="JN114" s="766"/>
      <c r="JO114" s="766"/>
      <c r="JP114" s="766"/>
      <c r="JQ114" s="766"/>
      <c r="JR114" s="766"/>
      <c r="JS114" s="766"/>
      <c r="JT114" s="766"/>
      <c r="JU114" s="766"/>
      <c r="JV114" s="766"/>
      <c r="JW114" s="766"/>
      <c r="JX114" s="766"/>
      <c r="JY114" s="766"/>
      <c r="JZ114" s="766"/>
      <c r="KA114" s="766"/>
      <c r="KB114" s="766"/>
      <c r="KC114" s="766"/>
      <c r="KD114" s="766"/>
      <c r="KE114" s="766"/>
      <c r="KF114" s="766"/>
      <c r="KG114" s="766"/>
      <c r="KH114" s="766"/>
      <c r="KI114" s="766"/>
      <c r="KJ114" s="770"/>
      <c r="KK114" s="770"/>
      <c r="KL114" s="770"/>
      <c r="KM114" s="770"/>
      <c r="KN114" s="766"/>
      <c r="KO114" s="766"/>
      <c r="KP114" s="766"/>
      <c r="KQ114" s="766"/>
      <c r="KR114" s="766"/>
      <c r="KS114" s="766"/>
      <c r="KT114" s="766"/>
      <c r="KU114" s="766"/>
      <c r="KV114" s="766"/>
      <c r="KW114" s="766"/>
      <c r="KX114" s="766"/>
      <c r="KY114" s="766"/>
      <c r="KZ114" s="766"/>
      <c r="LA114" s="766"/>
      <c r="LB114" s="766"/>
      <c r="LC114" s="766"/>
      <c r="LD114" s="766"/>
      <c r="LE114" s="766"/>
      <c r="LF114" s="766"/>
      <c r="LG114" s="766"/>
      <c r="LH114" s="766"/>
      <c r="LI114" s="766"/>
      <c r="LJ114" s="766"/>
      <c r="LK114" s="766"/>
      <c r="LL114" s="766"/>
      <c r="LM114" s="766"/>
      <c r="LN114" s="766"/>
      <c r="LO114" s="766"/>
      <c r="LP114" s="766"/>
      <c r="LQ114" s="766"/>
      <c r="LR114" s="766"/>
      <c r="LS114" s="766"/>
      <c r="LT114" s="766"/>
      <c r="LU114" s="766"/>
      <c r="LV114" s="766"/>
      <c r="LW114" s="766"/>
      <c r="LX114" s="769"/>
      <c r="LY114" s="766" t="str">
        <f t="shared" si="23"/>
        <v/>
      </c>
      <c r="LZ114" s="66"/>
      <c r="MA114" s="766"/>
      <c r="MB114" s="766"/>
      <c r="MC114" s="1679">
        <f t="shared" si="24"/>
        <v>0</v>
      </c>
      <c r="MD114" s="66"/>
      <c r="ME114" s="66"/>
      <c r="MF114" s="66"/>
      <c r="MG114" s="1680">
        <f t="shared" si="15"/>
        <v>0</v>
      </c>
      <c r="MH114" s="766"/>
      <c r="MI114" s="775"/>
      <c r="MJ114" s="775"/>
      <c r="MK114" s="775"/>
      <c r="ML114" s="775"/>
      <c r="MM114" s="775"/>
      <c r="MN114" s="775"/>
      <c r="MO114" s="775"/>
      <c r="MP114" s="775"/>
      <c r="MQ114" s="775"/>
      <c r="MR114" s="775"/>
      <c r="MS114" s="775"/>
      <c r="MT114" s="775"/>
      <c r="MU114" s="775"/>
      <c r="MV114" s="775"/>
      <c r="MW114" s="775"/>
      <c r="MX114" s="775"/>
      <c r="MY114" s="1682">
        <f t="shared" si="14"/>
        <v>0</v>
      </c>
      <c r="MZ114" s="766"/>
      <c r="NA114" s="766"/>
      <c r="NB114" s="766"/>
      <c r="NC114" s="766"/>
      <c r="ND114" s="766"/>
      <c r="NE114" s="766"/>
      <c r="NF114" s="766"/>
      <c r="NG114" s="766"/>
      <c r="NH114" s="766"/>
      <c r="NI114" s="766"/>
      <c r="NJ114" s="766"/>
      <c r="NK114" s="766"/>
      <c r="NL114" s="766"/>
      <c r="NM114" s="766"/>
      <c r="NN114" s="766"/>
      <c r="NO114" s="766"/>
      <c r="NP114" s="766"/>
      <c r="NQ114" s="766"/>
      <c r="NR114" s="766"/>
      <c r="NS114" s="766"/>
      <c r="NT114" s="766"/>
      <c r="NU114" s="766"/>
      <c r="NV114" s="766"/>
      <c r="NW114" s="766"/>
      <c r="NX114" s="766"/>
      <c r="NY114" s="766"/>
      <c r="NZ114" s="766"/>
      <c r="OA114" s="766"/>
      <c r="OB114" s="766"/>
      <c r="OC114" s="766"/>
      <c r="OD114" s="766"/>
      <c r="OE114" s="766"/>
      <c r="OF114" s="766"/>
      <c r="OG114" s="766"/>
      <c r="OH114" s="766"/>
      <c r="OI114" s="766"/>
      <c r="OJ114" s="766"/>
      <c r="OK114" s="766"/>
      <c r="OL114" s="766"/>
      <c r="OM114" s="766"/>
      <c r="ON114" s="766"/>
      <c r="OO114" s="766"/>
      <c r="OP114" s="766"/>
      <c r="OQ114" s="766"/>
      <c r="OR114" s="766"/>
      <c r="OS114" s="766"/>
      <c r="OT114" s="766"/>
      <c r="OU114" s="766"/>
      <c r="OV114" s="766"/>
      <c r="OW114" s="766"/>
      <c r="OX114" s="766"/>
      <c r="OY114" s="766"/>
      <c r="OZ114" s="766"/>
      <c r="PA114" s="766"/>
      <c r="PB114" s="766"/>
      <c r="PC114" s="766"/>
      <c r="PD114" s="766"/>
      <c r="PE114" s="766"/>
      <c r="PF114" s="766"/>
      <c r="PG114" s="766"/>
      <c r="PH114" s="766"/>
      <c r="PI114" s="766"/>
      <c r="PJ114" s="766"/>
      <c r="PK114" s="766"/>
      <c r="PL114" s="766"/>
      <c r="PM114" s="766"/>
      <c r="PN114" s="766"/>
      <c r="PO114" s="766"/>
      <c r="PP114" s="766"/>
      <c r="PQ114" s="766"/>
      <c r="PR114" s="766"/>
      <c r="PS114" s="766"/>
      <c r="PT114" s="766"/>
      <c r="PU114" s="766"/>
      <c r="PV114" s="766"/>
      <c r="PW114" s="766"/>
      <c r="PX114" s="766"/>
      <c r="PY114" s="766"/>
      <c r="PZ114" s="766"/>
      <c r="QA114" s="766"/>
      <c r="QB114" s="766"/>
      <c r="QC114" s="766"/>
      <c r="QD114" s="766"/>
      <c r="QE114" s="766"/>
      <c r="QF114" s="766"/>
      <c r="QG114" s="766"/>
      <c r="QH114" s="766"/>
      <c r="QI114" s="766"/>
      <c r="QJ114" s="766"/>
      <c r="QK114" s="766"/>
      <c r="QL114" s="766"/>
      <c r="QM114" s="766"/>
      <c r="QN114" s="766"/>
      <c r="QO114" s="766"/>
      <c r="QP114" s="766"/>
      <c r="QQ114" s="766"/>
      <c r="QR114" s="766"/>
      <c r="QS114" s="766"/>
      <c r="QT114" s="766"/>
      <c r="QU114" s="766"/>
      <c r="QV114" s="766"/>
      <c r="QW114" s="766"/>
      <c r="QX114" s="766"/>
      <c r="QY114" s="766"/>
      <c r="QZ114" s="766"/>
      <c r="RA114" s="766"/>
      <c r="RB114" s="766"/>
      <c r="RC114" s="766"/>
      <c r="RD114" s="766"/>
      <c r="RE114" s="766"/>
      <c r="RF114" s="777"/>
      <c r="RG114" s="766"/>
      <c r="RH114" s="775"/>
      <c r="RI114" s="766"/>
      <c r="RJ114" s="766"/>
      <c r="RK114" s="766"/>
      <c r="RL114" s="1683"/>
      <c r="RM114" s="12"/>
      <c r="RN114" s="1711"/>
      <c r="RO114" s="165" t="s">
        <v>176</v>
      </c>
      <c r="RP114" s="11"/>
      <c r="RQ114" s="11"/>
      <c r="RR114" s="771"/>
      <c r="RS114" s="766"/>
      <c r="RT114" s="11"/>
      <c r="RU114" s="11"/>
      <c r="RV114" s="766" t="s">
        <v>7419</v>
      </c>
      <c r="RW114" s="11" t="s">
        <v>7950</v>
      </c>
      <c r="RX114" s="11" t="s">
        <v>171</v>
      </c>
      <c r="RY114" s="11"/>
      <c r="RZ114" s="11" t="s">
        <v>7419</v>
      </c>
      <c r="SA114" s="766"/>
      <c r="SB114" s="11"/>
      <c r="SC114" s="11"/>
    </row>
    <row r="115" spans="1:497" ht="12.75" hidden="1" customHeight="1">
      <c r="A115" s="154" t="s">
        <v>7419</v>
      </c>
      <c r="B115" s="288" t="s">
        <v>7949</v>
      </c>
      <c r="C115" s="165" t="s">
        <v>182</v>
      </c>
      <c r="D115" s="770" t="s">
        <v>7946</v>
      </c>
      <c r="E115" s="766" t="s">
        <v>183</v>
      </c>
      <c r="F115" s="766" t="s">
        <v>2371</v>
      </c>
      <c r="G115" s="766" t="s">
        <v>18</v>
      </c>
      <c r="H115" s="766"/>
      <c r="I115" s="5"/>
      <c r="J115" s="766"/>
      <c r="K115" s="766" t="s">
        <v>174</v>
      </c>
      <c r="L115" s="766" t="s">
        <v>180</v>
      </c>
      <c r="M115" s="766"/>
      <c r="N115" s="766"/>
      <c r="O115" s="766"/>
      <c r="P115" s="766" t="s">
        <v>7947</v>
      </c>
      <c r="Q115" s="1085"/>
      <c r="R115" s="25"/>
      <c r="S115" s="766"/>
      <c r="T115" s="766"/>
      <c r="U115" s="26"/>
      <c r="V115" s="766"/>
      <c r="W115" s="766"/>
      <c r="X115" s="766"/>
      <c r="Y115" s="766"/>
      <c r="Z115" s="766"/>
      <c r="AA115" s="766"/>
      <c r="AB115" s="766"/>
      <c r="AC115" s="766"/>
      <c r="AD115" s="766"/>
      <c r="AE115" s="766"/>
      <c r="AF115" s="766"/>
      <c r="AG115" s="766" t="s">
        <v>1095</v>
      </c>
      <c r="AH115" s="766" t="s">
        <v>1096</v>
      </c>
      <c r="AI115" s="766" t="s">
        <v>7947</v>
      </c>
      <c r="AJ115" s="766"/>
      <c r="AK115" s="766" t="s">
        <v>5774</v>
      </c>
      <c r="AL115" s="121">
        <v>70.176000000000002</v>
      </c>
      <c r="AM115" s="772">
        <v>10.32</v>
      </c>
      <c r="AN115" s="774">
        <f>AM115/AL115</f>
        <v>0.14705882352941177</v>
      </c>
      <c r="AO115" s="766" t="s">
        <v>1109</v>
      </c>
      <c r="AP115" s="766"/>
      <c r="AQ115" s="766"/>
      <c r="AR115" s="766"/>
      <c r="AS115" s="766" t="s">
        <v>1207</v>
      </c>
      <c r="AT115" s="766" t="s">
        <v>1208</v>
      </c>
      <c r="AU115" s="766"/>
      <c r="AV115" s="766"/>
      <c r="AW115" s="766"/>
      <c r="AX115" s="766"/>
      <c r="AY115" s="766"/>
      <c r="AZ115" s="766"/>
      <c r="BA115" s="766"/>
      <c r="BB115" s="766"/>
      <c r="BC115" s="766"/>
      <c r="BD115" s="766"/>
      <c r="BE115" s="766"/>
      <c r="BF115" s="775"/>
      <c r="BG115" s="775"/>
      <c r="BH115" s="766"/>
      <c r="BI115" s="766"/>
      <c r="BJ115" s="766"/>
      <c r="BK115" s="766" t="s">
        <v>1095</v>
      </c>
      <c r="BL115" s="766" t="s">
        <v>1302</v>
      </c>
      <c r="BM115" s="766" t="s">
        <v>1096</v>
      </c>
      <c r="BN115" s="766" t="s">
        <v>1230</v>
      </c>
      <c r="BO115" s="766" t="s">
        <v>1239</v>
      </c>
      <c r="BP115" s="776">
        <v>130</v>
      </c>
      <c r="BQ115" s="772">
        <v>19.5</v>
      </c>
      <c r="BR115" s="774">
        <f>BQ115/BP115</f>
        <v>0.15</v>
      </c>
      <c r="BS115" s="6" t="s">
        <v>1242</v>
      </c>
      <c r="BT115" s="766" t="s">
        <v>2040</v>
      </c>
      <c r="BU115" s="766" t="s">
        <v>1249</v>
      </c>
      <c r="BV115" s="766" t="s">
        <v>1247</v>
      </c>
      <c r="BW115" s="769"/>
      <c r="BX115" s="766"/>
      <c r="BY115" s="766"/>
      <c r="BZ115" s="766"/>
      <c r="CA115" s="766"/>
      <c r="CB115" s="766"/>
      <c r="CC115" s="766"/>
      <c r="CD115" s="766"/>
      <c r="CE115" s="766"/>
      <c r="CF115" s="777"/>
      <c r="CG115" s="778"/>
      <c r="CH115" s="766"/>
      <c r="CI115" s="766"/>
      <c r="CJ115" s="766"/>
      <c r="CK115" s="766"/>
      <c r="CL115" s="766"/>
      <c r="CM115" s="766"/>
      <c r="CN115" s="766"/>
      <c r="CO115" s="766"/>
      <c r="CP115" s="766"/>
      <c r="CQ115" s="766"/>
      <c r="CR115" s="775"/>
      <c r="CS115" s="766"/>
      <c r="CT115" s="766"/>
      <c r="CU115" s="129"/>
      <c r="CV115" s="766"/>
      <c r="CW115" s="766"/>
      <c r="CX115" s="766"/>
      <c r="CY115" s="766"/>
      <c r="CZ115" s="766"/>
      <c r="DA115" s="766"/>
      <c r="DB115" s="766"/>
      <c r="DC115" s="766"/>
      <c r="DD115" s="766"/>
      <c r="DE115" s="766"/>
      <c r="DF115" s="766"/>
      <c r="DG115" s="766"/>
      <c r="DH115" s="766"/>
      <c r="DI115" s="766"/>
      <c r="DJ115" s="766"/>
      <c r="DK115" s="766"/>
      <c r="DL115" s="766"/>
      <c r="DM115" s="766"/>
      <c r="DN115" s="766"/>
      <c r="DO115" s="766"/>
      <c r="DP115" s="766"/>
      <c r="DQ115" s="766"/>
      <c r="DR115" s="766"/>
      <c r="DS115" s="59"/>
      <c r="DT115" s="766"/>
      <c r="DU115" s="766"/>
      <c r="DV115" s="766"/>
      <c r="DW115" s="66"/>
      <c r="DX115" s="66"/>
      <c r="DY115" s="766"/>
      <c r="DZ115" s="766"/>
      <c r="EA115" s="766"/>
      <c r="EB115" s="766"/>
      <c r="EC115" s="766"/>
      <c r="ED115" s="766"/>
      <c r="EE115" s="766"/>
      <c r="EF115" s="766"/>
      <c r="EG115" s="766"/>
      <c r="EH115" s="766"/>
      <c r="EI115" s="766"/>
      <c r="EJ115" s="766"/>
      <c r="EK115" s="766"/>
      <c r="EL115" s="766"/>
      <c r="EM115" s="766"/>
      <c r="EN115" s="766"/>
      <c r="EO115" s="766"/>
      <c r="EP115" s="766"/>
      <c r="EQ115" s="766"/>
      <c r="ER115" s="766"/>
      <c r="ES115" s="766"/>
      <c r="ET115" s="766"/>
      <c r="EU115" s="766"/>
      <c r="EV115" s="766"/>
      <c r="EW115" s="766"/>
      <c r="EX115" s="766"/>
      <c r="EY115" s="766"/>
      <c r="EZ115" s="766"/>
      <c r="FA115" s="766"/>
      <c r="FB115" s="766"/>
      <c r="FC115" s="766"/>
      <c r="FD115" s="775"/>
      <c r="FE115" s="766"/>
      <c r="FF115" s="766"/>
      <c r="FG115" s="766"/>
      <c r="FH115" s="766"/>
      <c r="FI115" s="766">
        <v>1</v>
      </c>
      <c r="FJ115" s="766"/>
      <c r="FK115" s="25"/>
      <c r="FL115" s="766"/>
      <c r="FM115" s="775"/>
      <c r="FN115" s="766"/>
      <c r="FO115" s="766"/>
      <c r="FP115" s="766"/>
      <c r="FQ115" s="766"/>
      <c r="FR115" s="766"/>
      <c r="FS115" s="766"/>
      <c r="FT115" s="766"/>
      <c r="FU115" s="766"/>
      <c r="FV115" s="766"/>
      <c r="FW115" s="766"/>
      <c r="FX115" s="766"/>
      <c r="FY115" s="766"/>
      <c r="FZ115" s="766"/>
      <c r="GA115" s="766"/>
      <c r="GB115" s="766"/>
      <c r="GC115" s="766"/>
      <c r="GD115" s="25"/>
      <c r="GE115" s="766"/>
      <c r="GF115" s="766"/>
      <c r="GG115" s="766"/>
      <c r="GH115" s="766"/>
      <c r="GI115" s="766"/>
      <c r="GJ115" s="766"/>
      <c r="GK115" s="766"/>
      <c r="GL115" s="766"/>
      <c r="GM115" s="766"/>
      <c r="GN115" s="82"/>
      <c r="GO115" s="766"/>
      <c r="GP115" s="766"/>
      <c r="GQ115" s="766"/>
      <c r="GR115" s="766"/>
      <c r="GS115" s="766"/>
      <c r="GT115" s="766"/>
      <c r="GU115" s="766"/>
      <c r="GV115" s="766"/>
      <c r="GW115" s="766"/>
      <c r="GX115" s="766"/>
      <c r="GY115" s="766"/>
      <c r="GZ115" s="766"/>
      <c r="HA115" s="766"/>
      <c r="HB115" s="766"/>
      <c r="HC115" s="766"/>
      <c r="HD115" s="766"/>
      <c r="HE115" s="766"/>
      <c r="HF115" s="766"/>
      <c r="HG115" s="766"/>
      <c r="HH115" s="766"/>
      <c r="HI115" s="766"/>
      <c r="HJ115" s="766"/>
      <c r="HK115" s="766"/>
      <c r="HL115" s="766"/>
      <c r="HM115" s="766"/>
      <c r="HN115" s="766"/>
      <c r="HO115" s="766"/>
      <c r="HP115" s="766"/>
      <c r="HQ115" s="766"/>
      <c r="HR115" s="766"/>
      <c r="HS115" s="766"/>
      <c r="HT115" s="766"/>
      <c r="HU115" s="766"/>
      <c r="HV115" s="766"/>
      <c r="HW115" s="766"/>
      <c r="HX115" s="766"/>
      <c r="HY115" s="766"/>
      <c r="HZ115" s="766"/>
      <c r="IA115" s="766"/>
      <c r="IB115" s="766"/>
      <c r="IC115" s="766"/>
      <c r="ID115" s="766"/>
      <c r="IE115" s="766"/>
      <c r="IF115" s="766"/>
      <c r="IG115" s="766"/>
      <c r="IH115" s="766"/>
      <c r="II115" s="766"/>
      <c r="IJ115" s="766"/>
      <c r="IK115" s="766"/>
      <c r="IL115" s="766"/>
      <c r="IM115" s="766"/>
      <c r="IN115" s="766"/>
      <c r="IO115" s="24"/>
      <c r="IP115" s="766"/>
      <c r="IQ115" s="766"/>
      <c r="IR115" s="766"/>
      <c r="IS115" s="766"/>
      <c r="IT115" s="766"/>
      <c r="IU115" s="766"/>
      <c r="IV115" s="766"/>
      <c r="IW115" s="766"/>
      <c r="IX115" s="766"/>
      <c r="IY115" s="766"/>
      <c r="IZ115" s="766"/>
      <c r="JA115" s="766"/>
      <c r="JB115" s="766"/>
      <c r="JC115" s="766"/>
      <c r="JD115" s="775"/>
      <c r="JE115" s="766"/>
      <c r="JF115" s="766"/>
      <c r="JG115" s="766"/>
      <c r="JH115" s="766"/>
      <c r="JI115" s="766"/>
      <c r="JJ115" s="766"/>
      <c r="JK115" s="766"/>
      <c r="JL115" s="766"/>
      <c r="JM115" s="766"/>
      <c r="JN115" s="766"/>
      <c r="JO115" s="766"/>
      <c r="JP115" s="766"/>
      <c r="JQ115" s="766"/>
      <c r="JR115" s="766"/>
      <c r="JS115" s="766"/>
      <c r="JT115" s="766"/>
      <c r="JU115" s="766"/>
      <c r="JV115" s="766"/>
      <c r="JW115" s="766"/>
      <c r="JX115" s="766"/>
      <c r="JY115" s="766"/>
      <c r="JZ115" s="766"/>
      <c r="KA115" s="766"/>
      <c r="KB115" s="766"/>
      <c r="KC115" s="766"/>
      <c r="KD115" s="766"/>
      <c r="KE115" s="766"/>
      <c r="KF115" s="766"/>
      <c r="KG115" s="766"/>
      <c r="KH115" s="766"/>
      <c r="KI115" s="766"/>
      <c r="KJ115" s="770"/>
      <c r="KK115" s="770"/>
      <c r="KL115" s="770"/>
      <c r="KM115" s="770"/>
      <c r="KN115" s="766"/>
      <c r="KO115" s="766"/>
      <c r="KP115" s="766"/>
      <c r="KQ115" s="766"/>
      <c r="KR115" s="766"/>
      <c r="KS115" s="766"/>
      <c r="KT115" s="766"/>
      <c r="KU115" s="766"/>
      <c r="KV115" s="766"/>
      <c r="KW115" s="766"/>
      <c r="KX115" s="766"/>
      <c r="KY115" s="766"/>
      <c r="KZ115" s="766"/>
      <c r="LA115" s="766"/>
      <c r="LB115" s="766"/>
      <c r="LC115" s="766"/>
      <c r="LD115" s="766"/>
      <c r="LE115" s="766"/>
      <c r="LF115" s="766"/>
      <c r="LG115" s="766"/>
      <c r="LH115" s="766"/>
      <c r="LI115" s="766"/>
      <c r="LJ115" s="766"/>
      <c r="LK115" s="766"/>
      <c r="LL115" s="766"/>
      <c r="LM115" s="766"/>
      <c r="LN115" s="766"/>
      <c r="LO115" s="766"/>
      <c r="LP115" s="766"/>
      <c r="LQ115" s="766"/>
      <c r="LR115" s="766"/>
      <c r="LS115" s="766"/>
      <c r="LT115" s="766"/>
      <c r="LU115" s="766"/>
      <c r="LV115" s="766"/>
      <c r="LW115" s="766"/>
      <c r="LX115" s="769"/>
      <c r="LY115" s="766" t="str">
        <f t="shared" si="23"/>
        <v/>
      </c>
      <c r="LZ115" s="66"/>
      <c r="MA115" s="766"/>
      <c r="MB115" s="766"/>
      <c r="MC115" s="1679">
        <f t="shared" si="24"/>
        <v>0</v>
      </c>
      <c r="MD115" s="66"/>
      <c r="ME115" s="66"/>
      <c r="MF115" s="66"/>
      <c r="MG115" s="1680">
        <f t="shared" si="15"/>
        <v>0</v>
      </c>
      <c r="MH115" s="766"/>
      <c r="MI115" s="775"/>
      <c r="MJ115" s="775"/>
      <c r="MK115" s="775"/>
      <c r="ML115" s="775"/>
      <c r="MM115" s="775"/>
      <c r="MN115" s="775"/>
      <c r="MO115" s="775"/>
      <c r="MP115" s="775"/>
      <c r="MQ115" s="775"/>
      <c r="MR115" s="775"/>
      <c r="MS115" s="775"/>
      <c r="MT115" s="775"/>
      <c r="MU115" s="775"/>
      <c r="MV115" s="775"/>
      <c r="MW115" s="775"/>
      <c r="MX115" s="775"/>
      <c r="MY115" s="1682">
        <f t="shared" si="14"/>
        <v>0</v>
      </c>
      <c r="MZ115" s="766"/>
      <c r="NA115" s="766"/>
      <c r="NB115" s="766"/>
      <c r="NC115" s="766"/>
      <c r="ND115" s="766"/>
      <c r="NE115" s="766"/>
      <c r="NF115" s="766"/>
      <c r="NG115" s="766"/>
      <c r="NH115" s="766"/>
      <c r="NI115" s="766"/>
      <c r="NJ115" s="766"/>
      <c r="NK115" s="766"/>
      <c r="NL115" s="766"/>
      <c r="NM115" s="766"/>
      <c r="NN115" s="766"/>
      <c r="NO115" s="766"/>
      <c r="NP115" s="766"/>
      <c r="NQ115" s="766"/>
      <c r="NR115" s="766"/>
      <c r="NS115" s="766"/>
      <c r="NT115" s="766"/>
      <c r="NU115" s="766"/>
      <c r="NV115" s="766"/>
      <c r="NW115" s="766"/>
      <c r="NX115" s="766"/>
      <c r="NY115" s="766"/>
      <c r="NZ115" s="766"/>
      <c r="OA115" s="766"/>
      <c r="OB115" s="766"/>
      <c r="OC115" s="766"/>
      <c r="OD115" s="766"/>
      <c r="OE115" s="766"/>
      <c r="OF115" s="766"/>
      <c r="OG115" s="766"/>
      <c r="OH115" s="766"/>
      <c r="OI115" s="766"/>
      <c r="OJ115" s="766"/>
      <c r="OK115" s="766"/>
      <c r="OL115" s="766"/>
      <c r="OM115" s="766"/>
      <c r="ON115" s="766"/>
      <c r="OO115" s="766"/>
      <c r="OP115" s="766"/>
      <c r="OQ115" s="766"/>
      <c r="OR115" s="766"/>
      <c r="OS115" s="766"/>
      <c r="OT115" s="766"/>
      <c r="OU115" s="766"/>
      <c r="OV115" s="766"/>
      <c r="OW115" s="766"/>
      <c r="OX115" s="766"/>
      <c r="OY115" s="766"/>
      <c r="OZ115" s="766"/>
      <c r="PA115" s="766"/>
      <c r="PB115" s="766"/>
      <c r="PC115" s="766"/>
      <c r="PD115" s="766"/>
      <c r="PE115" s="766"/>
      <c r="PF115" s="766"/>
      <c r="PG115" s="766"/>
      <c r="PH115" s="766"/>
      <c r="PI115" s="766"/>
      <c r="PJ115" s="766"/>
      <c r="PK115" s="766"/>
      <c r="PL115" s="766"/>
      <c r="PM115" s="766"/>
      <c r="PN115" s="766"/>
      <c r="PO115" s="766"/>
      <c r="PP115" s="766"/>
      <c r="PQ115" s="766"/>
      <c r="PR115" s="766"/>
      <c r="PS115" s="766"/>
      <c r="PT115" s="766"/>
      <c r="PU115" s="766"/>
      <c r="PV115" s="766"/>
      <c r="PW115" s="766"/>
      <c r="PX115" s="766"/>
      <c r="PY115" s="766"/>
      <c r="PZ115" s="766"/>
      <c r="QA115" s="766"/>
      <c r="QB115" s="766"/>
      <c r="QC115" s="766"/>
      <c r="QD115" s="766"/>
      <c r="QE115" s="766"/>
      <c r="QF115" s="766"/>
      <c r="QG115" s="766"/>
      <c r="QH115" s="766"/>
      <c r="QI115" s="766"/>
      <c r="QJ115" s="766"/>
      <c r="QK115" s="766"/>
      <c r="QL115" s="766"/>
      <c r="QM115" s="766"/>
      <c r="QN115" s="766"/>
      <c r="QO115" s="766"/>
      <c r="QP115" s="766"/>
      <c r="QQ115" s="766"/>
      <c r="QR115" s="766"/>
      <c r="QS115" s="766"/>
      <c r="QT115" s="766"/>
      <c r="QU115" s="766"/>
      <c r="QV115" s="766"/>
      <c r="QW115" s="766"/>
      <c r="QX115" s="766"/>
      <c r="QY115" s="766"/>
      <c r="QZ115" s="766"/>
      <c r="RA115" s="766"/>
      <c r="RB115" s="766"/>
      <c r="RC115" s="766"/>
      <c r="RD115" s="766"/>
      <c r="RE115" s="766"/>
      <c r="RF115" s="777"/>
      <c r="RG115" s="766"/>
      <c r="RH115" s="775"/>
      <c r="RI115" s="766"/>
      <c r="RJ115" s="766" t="s">
        <v>488</v>
      </c>
      <c r="RK115" s="766"/>
      <c r="RL115" s="1683"/>
      <c r="RM115" s="12"/>
      <c r="RN115" s="1711"/>
      <c r="RO115" s="165" t="s">
        <v>182</v>
      </c>
      <c r="RP115" s="11"/>
      <c r="RQ115" s="11"/>
      <c r="RR115" s="771"/>
      <c r="RS115" s="766"/>
      <c r="RT115" s="11"/>
      <c r="RU115" s="11"/>
      <c r="RV115" s="766" t="s">
        <v>12413</v>
      </c>
      <c r="RW115" s="11" t="s">
        <v>7573</v>
      </c>
      <c r="RX115" s="11" t="s">
        <v>175</v>
      </c>
      <c r="RY115" s="11"/>
      <c r="RZ115" s="11" t="s">
        <v>7419</v>
      </c>
      <c r="SA115" s="766"/>
      <c r="SB115" s="11"/>
      <c r="SC115" s="11"/>
    </row>
    <row r="116" spans="1:497" ht="12.75" hidden="1" customHeight="1">
      <c r="A116" s="154" t="s">
        <v>12414</v>
      </c>
      <c r="B116" s="288" t="s">
        <v>7514</v>
      </c>
      <c r="C116" s="166" t="s">
        <v>184</v>
      </c>
      <c r="D116" s="766" t="s">
        <v>185</v>
      </c>
      <c r="E116" s="766" t="s">
        <v>183</v>
      </c>
      <c r="F116" s="766"/>
      <c r="G116" s="766" t="s">
        <v>18</v>
      </c>
      <c r="H116" s="766"/>
      <c r="I116" s="5"/>
      <c r="J116" s="766"/>
      <c r="K116" s="766" t="s">
        <v>174</v>
      </c>
      <c r="L116" s="766" t="s">
        <v>180</v>
      </c>
      <c r="M116" s="766"/>
      <c r="N116" s="766"/>
      <c r="O116" s="766"/>
      <c r="P116" s="766" t="s">
        <v>799</v>
      </c>
      <c r="Q116" s="1085">
        <v>29063</v>
      </c>
      <c r="R116" s="25">
        <v>37</v>
      </c>
      <c r="S116" s="766" t="s">
        <v>10</v>
      </c>
      <c r="T116" s="766"/>
      <c r="U116" s="26" t="s">
        <v>800</v>
      </c>
      <c r="V116" s="766" t="s">
        <v>722</v>
      </c>
      <c r="W116" s="766"/>
      <c r="X116" s="766"/>
      <c r="Y116" s="766" t="s">
        <v>801</v>
      </c>
      <c r="Z116" s="766" t="s">
        <v>708</v>
      </c>
      <c r="AA116" s="766" t="s">
        <v>709</v>
      </c>
      <c r="AB116" s="766" t="s">
        <v>744</v>
      </c>
      <c r="AC116" s="766" t="s">
        <v>724</v>
      </c>
      <c r="AD116" s="766" t="s">
        <v>110</v>
      </c>
      <c r="AE116" s="766"/>
      <c r="AF116" s="766"/>
      <c r="AG116" s="766"/>
      <c r="AH116" s="766"/>
      <c r="AI116" s="766"/>
      <c r="AJ116" s="766"/>
      <c r="AK116" s="766" t="s">
        <v>3214</v>
      </c>
      <c r="AL116" s="121"/>
      <c r="AM116" s="772"/>
      <c r="AN116" s="774"/>
      <c r="AO116" s="766"/>
      <c r="AP116" s="766"/>
      <c r="AQ116" s="766"/>
      <c r="AR116" s="766"/>
      <c r="AS116" s="766"/>
      <c r="AT116" s="766"/>
      <c r="AU116" s="766"/>
      <c r="AV116" s="766"/>
      <c r="AW116" s="766"/>
      <c r="AX116" s="766"/>
      <c r="AY116" s="766"/>
      <c r="AZ116" s="766"/>
      <c r="BA116" s="766"/>
      <c r="BB116" s="766"/>
      <c r="BC116" s="766"/>
      <c r="BD116" s="766"/>
      <c r="BE116" s="766"/>
      <c r="BF116" s="775"/>
      <c r="BG116" s="775"/>
      <c r="BH116" s="766"/>
      <c r="BI116" s="766"/>
      <c r="BJ116" s="766"/>
      <c r="BK116" s="766"/>
      <c r="BL116" s="766"/>
      <c r="BM116" s="766" t="s">
        <v>1238</v>
      </c>
      <c r="BN116" s="766" t="s">
        <v>1263</v>
      </c>
      <c r="BO116" s="766"/>
      <c r="BP116" s="776"/>
      <c r="BQ116" s="772"/>
      <c r="BR116" s="774"/>
      <c r="BS116" s="6" t="s">
        <v>1242</v>
      </c>
      <c r="BT116" s="766"/>
      <c r="BU116" s="766" t="s">
        <v>110</v>
      </c>
      <c r="BV116" s="766" t="s">
        <v>110</v>
      </c>
      <c r="BW116" s="766" t="s">
        <v>110</v>
      </c>
      <c r="BX116" s="779"/>
      <c r="BY116" s="766"/>
      <c r="BZ116" s="775"/>
      <c r="CA116" s="766"/>
      <c r="CB116" s="766"/>
      <c r="CC116" s="766"/>
      <c r="CD116" s="766"/>
      <c r="CE116" s="766"/>
      <c r="CF116" s="777"/>
      <c r="CG116" s="778"/>
      <c r="CH116" s="766"/>
      <c r="CI116" s="766"/>
      <c r="CJ116" s="766"/>
      <c r="CK116" s="766"/>
      <c r="CL116" s="766"/>
      <c r="CM116" s="766"/>
      <c r="CN116" s="766"/>
      <c r="CO116" s="766"/>
      <c r="CP116" s="766"/>
      <c r="CQ116" s="766"/>
      <c r="CR116" s="775"/>
      <c r="CS116" s="766"/>
      <c r="CT116" s="766"/>
      <c r="CU116" s="129"/>
      <c r="CV116" s="766"/>
      <c r="CW116" s="766"/>
      <c r="CX116" s="766"/>
      <c r="CY116" s="766"/>
      <c r="CZ116" s="766"/>
      <c r="DA116" s="766"/>
      <c r="DB116" s="766"/>
      <c r="DC116" s="766"/>
      <c r="DD116" s="766"/>
      <c r="DE116" s="766"/>
      <c r="DF116" s="766"/>
      <c r="DG116" s="766"/>
      <c r="DH116" s="766"/>
      <c r="DI116" s="766"/>
      <c r="DJ116" s="766"/>
      <c r="DK116" s="766"/>
      <c r="DL116" s="766"/>
      <c r="DM116" s="766"/>
      <c r="DN116" s="766"/>
      <c r="DO116" s="766"/>
      <c r="DP116" s="766"/>
      <c r="DQ116" s="766"/>
      <c r="DR116" s="766"/>
      <c r="DS116" s="59"/>
      <c r="DT116" s="766"/>
      <c r="DU116" s="766"/>
      <c r="DV116" s="766"/>
      <c r="DW116" s="66"/>
      <c r="DX116" s="66"/>
      <c r="DY116" s="766"/>
      <c r="DZ116" s="766"/>
      <c r="EA116" s="766"/>
      <c r="EB116" s="766"/>
      <c r="EC116" s="766"/>
      <c r="ED116" s="766"/>
      <c r="EE116" s="766"/>
      <c r="EF116" s="766"/>
      <c r="EG116" s="766"/>
      <c r="EH116" s="766"/>
      <c r="EI116" s="766"/>
      <c r="EJ116" s="766"/>
      <c r="EK116" s="766"/>
      <c r="EL116" s="766"/>
      <c r="EM116" s="766"/>
      <c r="EN116" s="766"/>
      <c r="EO116" s="766"/>
      <c r="EP116" s="766"/>
      <c r="EQ116" s="766"/>
      <c r="ER116" s="766"/>
      <c r="ES116" s="766"/>
      <c r="ET116" s="766"/>
      <c r="EU116" s="766"/>
      <c r="EV116" s="766"/>
      <c r="EW116" s="766"/>
      <c r="EX116" s="766"/>
      <c r="EY116" s="766"/>
      <c r="EZ116" s="766"/>
      <c r="FA116" s="766"/>
      <c r="FB116" s="766"/>
      <c r="FC116" s="766"/>
      <c r="FD116" s="775"/>
      <c r="FE116" s="766"/>
      <c r="FF116" s="766"/>
      <c r="FG116" s="766"/>
      <c r="FH116" s="766" t="s">
        <v>1263</v>
      </c>
      <c r="FI116" s="766">
        <v>1</v>
      </c>
      <c r="FJ116" s="766" t="s">
        <v>1302</v>
      </c>
      <c r="FK116" s="25"/>
      <c r="FL116" s="766"/>
      <c r="FM116" s="775"/>
      <c r="FN116" s="775"/>
      <c r="FO116" s="775"/>
      <c r="FP116" s="766"/>
      <c r="FQ116" s="766"/>
      <c r="FR116" s="766" t="s">
        <v>1207</v>
      </c>
      <c r="FS116" s="766"/>
      <c r="FT116" s="766"/>
      <c r="FU116" s="766"/>
      <c r="FV116" s="766"/>
      <c r="FW116" s="766"/>
      <c r="FX116" s="766"/>
      <c r="FY116" s="766"/>
      <c r="FZ116" s="766"/>
      <c r="GA116" s="766"/>
      <c r="GB116" s="766" t="s">
        <v>796</v>
      </c>
      <c r="GC116" s="75" t="s">
        <v>1302</v>
      </c>
      <c r="GD116" s="25"/>
      <c r="GE116" s="766"/>
      <c r="GF116" s="775"/>
      <c r="GG116" s="775"/>
      <c r="GH116" s="766"/>
      <c r="GI116" s="766"/>
      <c r="GJ116" s="766"/>
      <c r="GK116" s="766"/>
      <c r="GL116" s="766"/>
      <c r="GM116" s="766"/>
      <c r="GN116" s="82"/>
      <c r="GO116" s="766"/>
      <c r="GP116" s="766"/>
      <c r="GQ116" s="766"/>
      <c r="GR116" s="766"/>
      <c r="GS116" s="766"/>
      <c r="GT116" s="766"/>
      <c r="GU116" s="766"/>
      <c r="GV116" s="766"/>
      <c r="GW116" s="766"/>
      <c r="GX116" s="766"/>
      <c r="GY116" s="766"/>
      <c r="GZ116" s="766"/>
      <c r="HA116" s="766"/>
      <c r="HB116" s="766"/>
      <c r="HC116" s="766"/>
      <c r="HD116" s="766"/>
      <c r="HE116" s="766"/>
      <c r="HF116" s="766"/>
      <c r="HG116" s="766"/>
      <c r="HH116" s="766"/>
      <c r="HI116" s="766"/>
      <c r="HJ116" s="766"/>
      <c r="HK116" s="766"/>
      <c r="HL116" s="766"/>
      <c r="HM116" s="766"/>
      <c r="HN116" s="766"/>
      <c r="HO116" s="766"/>
      <c r="HP116" s="766"/>
      <c r="HQ116" s="766"/>
      <c r="HR116" s="766"/>
      <c r="HS116" s="766"/>
      <c r="HT116" s="766"/>
      <c r="HU116" s="766"/>
      <c r="HV116" s="766"/>
      <c r="HW116" s="766"/>
      <c r="HX116" s="766"/>
      <c r="HY116" s="766"/>
      <c r="HZ116" s="766"/>
      <c r="IA116" s="766"/>
      <c r="IB116" s="766"/>
      <c r="IC116" s="766"/>
      <c r="ID116" s="766"/>
      <c r="IE116" s="766"/>
      <c r="IF116" s="766"/>
      <c r="IG116" s="766"/>
      <c r="IH116" s="766"/>
      <c r="II116" s="766"/>
      <c r="IJ116" s="766"/>
      <c r="IK116" s="766"/>
      <c r="IL116" s="766"/>
      <c r="IM116" s="766"/>
      <c r="IN116" s="766"/>
      <c r="IO116" s="24"/>
      <c r="IP116" s="766"/>
      <c r="IQ116" s="766"/>
      <c r="IR116" s="766"/>
      <c r="IS116" s="766"/>
      <c r="IT116" s="766"/>
      <c r="IU116" s="766"/>
      <c r="IV116" s="766"/>
      <c r="IW116" s="766"/>
      <c r="IX116" s="766"/>
      <c r="IY116" s="766"/>
      <c r="IZ116" s="766"/>
      <c r="JA116" s="766"/>
      <c r="JB116" s="766"/>
      <c r="JC116" s="766"/>
      <c r="JD116" s="775"/>
      <c r="JE116" s="766"/>
      <c r="JF116" s="766"/>
      <c r="JG116" s="766"/>
      <c r="JH116" s="766"/>
      <c r="JI116" s="766"/>
      <c r="JJ116" s="766">
        <v>4</v>
      </c>
      <c r="JK116" s="766" t="s">
        <v>13169</v>
      </c>
      <c r="JL116" s="766"/>
      <c r="JM116" s="766">
        <v>1</v>
      </c>
      <c r="JN116" s="766">
        <v>1</v>
      </c>
      <c r="JO116" s="766">
        <v>2</v>
      </c>
      <c r="JP116" s="766"/>
      <c r="JQ116" s="766"/>
      <c r="JR116" s="766"/>
      <c r="JS116" s="766"/>
      <c r="JT116" s="766">
        <f t="shared" ref="JT116:JU118" si="28">SUM(JP116,JN116,JL116,JR116)</f>
        <v>1</v>
      </c>
      <c r="JU116" s="766">
        <f t="shared" si="28"/>
        <v>3</v>
      </c>
      <c r="JV116" s="766"/>
      <c r="JW116" s="766"/>
      <c r="JX116" s="766"/>
      <c r="JY116" s="766"/>
      <c r="JZ116" s="766"/>
      <c r="KA116" s="766">
        <v>1</v>
      </c>
      <c r="KB116" s="766"/>
      <c r="KC116" s="766">
        <v>1</v>
      </c>
      <c r="KD116" s="766">
        <v>1</v>
      </c>
      <c r="KE116" s="766">
        <v>1</v>
      </c>
      <c r="KF116" s="766"/>
      <c r="KG116" s="766"/>
      <c r="KH116" s="766"/>
      <c r="KI116" s="766"/>
      <c r="KJ116" s="770">
        <f t="shared" ref="KJ116:KK118" si="29">SUM(KF116,KD116,KB116,JZ116,JX116,KH116)</f>
        <v>1</v>
      </c>
      <c r="KK116" s="770">
        <f t="shared" si="29"/>
        <v>3</v>
      </c>
      <c r="KL116" s="770"/>
      <c r="KM116" s="770"/>
      <c r="KN116" s="766" t="s">
        <v>2049</v>
      </c>
      <c r="KO116" s="28"/>
      <c r="KP116" s="766"/>
      <c r="KQ116" s="766"/>
      <c r="KR116" s="766"/>
      <c r="KS116" s="766"/>
      <c r="KT116" s="766"/>
      <c r="KU116" s="766">
        <v>1</v>
      </c>
      <c r="KV116" s="766"/>
      <c r="KW116" s="766"/>
      <c r="KX116" s="766"/>
      <c r="KY116" s="766"/>
      <c r="KZ116" s="766">
        <v>1</v>
      </c>
      <c r="LA116" s="766">
        <v>1</v>
      </c>
      <c r="LB116" s="766"/>
      <c r="LC116" s="766">
        <v>1</v>
      </c>
      <c r="LD116" s="766"/>
      <c r="LE116" s="766"/>
      <c r="LF116" s="766"/>
      <c r="LG116" s="766"/>
      <c r="LH116" s="766"/>
      <c r="LI116" s="766"/>
      <c r="LJ116" s="766"/>
      <c r="LK116" s="766"/>
      <c r="LL116" s="766"/>
      <c r="LM116" s="766"/>
      <c r="LN116" s="766">
        <f t="shared" ref="LN116:LO118" si="30">SUM(KP116,KR116,KT116,KV116,KX116,KZ116,LB116,LD116,LF116,LH116,LJ116,LL116)</f>
        <v>1</v>
      </c>
      <c r="LO116" s="766">
        <f t="shared" si="30"/>
        <v>3</v>
      </c>
      <c r="LP116" s="766">
        <v>1</v>
      </c>
      <c r="LQ116" s="1678">
        <v>1</v>
      </c>
      <c r="LR116" s="766"/>
      <c r="LS116" s="766"/>
      <c r="LT116" s="766"/>
      <c r="LU116" s="766">
        <v>1</v>
      </c>
      <c r="LV116" s="766"/>
      <c r="LW116" s="766"/>
      <c r="LX116" s="769">
        <v>4</v>
      </c>
      <c r="LY116" s="766" t="str">
        <f t="shared" si="23"/>
        <v>OTHER Province</v>
      </c>
      <c r="LZ116" s="66"/>
      <c r="MA116" s="766"/>
      <c r="MB116" s="766"/>
      <c r="MC116" s="1679">
        <f t="shared" si="24"/>
        <v>0</v>
      </c>
      <c r="MD116" s="66">
        <v>11200</v>
      </c>
      <c r="ME116" s="66"/>
      <c r="MF116" s="66"/>
      <c r="MG116" s="1680">
        <f t="shared" si="15"/>
        <v>11200</v>
      </c>
      <c r="MH116" s="1681"/>
      <c r="MI116" s="775">
        <f>PRODUCT(250,30)</f>
        <v>7500</v>
      </c>
      <c r="MJ116" s="775">
        <f>PRODUCT(150,30)</f>
        <v>4500</v>
      </c>
      <c r="MK116" s="775">
        <v>500</v>
      </c>
      <c r="ML116" s="775">
        <v>750</v>
      </c>
      <c r="MM116" s="775">
        <v>900</v>
      </c>
      <c r="MN116" s="775"/>
      <c r="MO116" s="775">
        <f>PRODUCT(20,30)</f>
        <v>600</v>
      </c>
      <c r="MP116" s="775">
        <v>2000</v>
      </c>
      <c r="MQ116" s="775">
        <v>600</v>
      </c>
      <c r="MR116" s="775">
        <f>PRODUCT(190,30)</f>
        <v>5700</v>
      </c>
      <c r="MS116" s="775">
        <v>1000</v>
      </c>
      <c r="MT116" s="775"/>
      <c r="MU116" s="775"/>
      <c r="MV116" s="775"/>
      <c r="MW116" s="775"/>
      <c r="MX116" s="775"/>
      <c r="MY116" s="1682">
        <f t="shared" si="14"/>
        <v>24050</v>
      </c>
      <c r="MZ116" s="766"/>
      <c r="NA116" s="766"/>
      <c r="NB116" s="766"/>
      <c r="NC116" s="766"/>
      <c r="ND116" s="766"/>
      <c r="NE116" s="766"/>
      <c r="NF116" s="766"/>
      <c r="NG116" s="766"/>
      <c r="NH116" s="766"/>
      <c r="NI116" s="766"/>
      <c r="NJ116" s="766"/>
      <c r="NK116" s="766"/>
      <c r="NL116" s="766"/>
      <c r="NM116" s="766"/>
      <c r="NN116" s="766"/>
      <c r="NO116" s="766"/>
      <c r="NP116" s="766"/>
      <c r="NQ116" s="766"/>
      <c r="NR116" s="766"/>
      <c r="NS116" s="766"/>
      <c r="NT116" s="766"/>
      <c r="NU116" s="766"/>
      <c r="NV116" s="766"/>
      <c r="NW116" s="766"/>
      <c r="NX116" s="766"/>
      <c r="NY116" s="766"/>
      <c r="NZ116" s="766"/>
      <c r="OA116" s="766"/>
      <c r="OB116" s="766"/>
      <c r="OC116" s="766"/>
      <c r="OD116" s="766"/>
      <c r="OE116" s="766"/>
      <c r="OF116" s="766"/>
      <c r="OG116" s="766"/>
      <c r="OH116" s="766"/>
      <c r="OI116" s="766"/>
      <c r="OJ116" s="766"/>
      <c r="OK116" s="766"/>
      <c r="OL116" s="766"/>
      <c r="OM116" s="766"/>
      <c r="ON116" s="766"/>
      <c r="OO116" s="766"/>
      <c r="OP116" s="766"/>
      <c r="OQ116" s="766"/>
      <c r="OR116" s="766"/>
      <c r="OS116" s="766"/>
      <c r="OT116" s="766"/>
      <c r="OU116" s="766"/>
      <c r="OV116" s="766"/>
      <c r="OW116" s="766"/>
      <c r="OX116" s="766"/>
      <c r="OY116" s="766"/>
      <c r="OZ116" s="766"/>
      <c r="PA116" s="766"/>
      <c r="PB116" s="766"/>
      <c r="PC116" s="766"/>
      <c r="PD116" s="766"/>
      <c r="PE116" s="766"/>
      <c r="PF116" s="766"/>
      <c r="PG116" s="766"/>
      <c r="PH116" s="766"/>
      <c r="PI116" s="766"/>
      <c r="PJ116" s="766"/>
      <c r="PK116" s="766"/>
      <c r="PL116" s="766"/>
      <c r="PM116" s="766"/>
      <c r="PN116" s="766"/>
      <c r="PO116" s="766"/>
      <c r="PP116" s="766"/>
      <c r="PQ116" s="766"/>
      <c r="PR116" s="766"/>
      <c r="PS116" s="766"/>
      <c r="PT116" s="766"/>
      <c r="PU116" s="766"/>
      <c r="PV116" s="766"/>
      <c r="PW116" s="766"/>
      <c r="PX116" s="766"/>
      <c r="PY116" s="766"/>
      <c r="PZ116" s="766"/>
      <c r="QA116" s="766"/>
      <c r="QB116" s="766"/>
      <c r="QC116" s="766"/>
      <c r="QD116" s="766"/>
      <c r="QE116" s="766"/>
      <c r="QF116" s="766"/>
      <c r="QG116" s="766"/>
      <c r="QH116" s="766"/>
      <c r="QI116" s="766"/>
      <c r="QJ116" s="766"/>
      <c r="QK116" s="766"/>
      <c r="QL116" s="766"/>
      <c r="QM116" s="766"/>
      <c r="QN116" s="766"/>
      <c r="QO116" s="766"/>
      <c r="QP116" s="766"/>
      <c r="QQ116" s="766"/>
      <c r="QR116" s="766"/>
      <c r="QS116" s="766"/>
      <c r="QT116" s="766"/>
      <c r="QU116" s="766"/>
      <c r="QV116" s="766"/>
      <c r="QW116" s="766"/>
      <c r="QX116" s="766"/>
      <c r="QY116" s="766"/>
      <c r="QZ116" s="766"/>
      <c r="RA116" s="766"/>
      <c r="RB116" s="766"/>
      <c r="RC116" s="766"/>
      <c r="RD116" s="766"/>
      <c r="RE116" s="766"/>
      <c r="RF116" s="777"/>
      <c r="RG116" s="766"/>
      <c r="RH116" s="775"/>
      <c r="RI116" s="766"/>
      <c r="RJ116" s="766" t="s">
        <v>185</v>
      </c>
      <c r="RK116" s="766" t="s">
        <v>13163</v>
      </c>
      <c r="RL116" s="1683"/>
      <c r="RM116" s="12"/>
      <c r="RN116" s="1711"/>
      <c r="RO116" s="166" t="s">
        <v>184</v>
      </c>
      <c r="RP116" s="11"/>
      <c r="RQ116" s="11"/>
      <c r="RR116" s="771"/>
      <c r="RS116" s="766"/>
      <c r="RT116" s="11"/>
      <c r="RU116" s="11"/>
      <c r="RV116" s="766" t="s">
        <v>7419</v>
      </c>
      <c r="RW116" s="11" t="s">
        <v>7951</v>
      </c>
      <c r="RX116" s="11" t="s">
        <v>176</v>
      </c>
      <c r="RY116" s="11"/>
      <c r="RZ116" s="11"/>
      <c r="SA116" s="766"/>
      <c r="SB116" s="11"/>
      <c r="SC116" s="11"/>
    </row>
    <row r="117" spans="1:497" ht="12.75" hidden="1" customHeight="1">
      <c r="A117" s="767" t="s">
        <v>7419</v>
      </c>
      <c r="B117" s="292" t="s">
        <v>12421</v>
      </c>
      <c r="C117" s="165" t="s">
        <v>7954</v>
      </c>
      <c r="D117" s="766" t="s">
        <v>186</v>
      </c>
      <c r="E117" s="766" t="s">
        <v>187</v>
      </c>
      <c r="F117" s="766" t="s">
        <v>20</v>
      </c>
      <c r="G117" s="766" t="s">
        <v>18</v>
      </c>
      <c r="H117" s="766"/>
      <c r="I117" s="5" t="s">
        <v>188</v>
      </c>
      <c r="J117" s="766" t="s">
        <v>189</v>
      </c>
      <c r="K117" s="766"/>
      <c r="L117" s="766"/>
      <c r="M117" s="766"/>
      <c r="N117" s="766"/>
      <c r="O117" s="766"/>
      <c r="P117" s="766" t="s">
        <v>802</v>
      </c>
      <c r="Q117" s="1085">
        <v>23093</v>
      </c>
      <c r="R117" s="25">
        <v>53</v>
      </c>
      <c r="S117" s="766" t="s">
        <v>10</v>
      </c>
      <c r="T117" s="766"/>
      <c r="U117" s="26" t="s">
        <v>188</v>
      </c>
      <c r="V117" s="766" t="s">
        <v>707</v>
      </c>
      <c r="W117" s="766"/>
      <c r="X117" s="766"/>
      <c r="Y117" s="766" t="s">
        <v>803</v>
      </c>
      <c r="Z117" s="766" t="s">
        <v>708</v>
      </c>
      <c r="AA117" s="766" t="s">
        <v>739</v>
      </c>
      <c r="AB117" s="766"/>
      <c r="AC117" s="766"/>
      <c r="AD117" s="766"/>
      <c r="AE117" s="766"/>
      <c r="AF117" s="766" t="s">
        <v>804</v>
      </c>
      <c r="AG117" s="766" t="s">
        <v>1095</v>
      </c>
      <c r="AH117" s="766" t="s">
        <v>1096</v>
      </c>
      <c r="AI117" s="766" t="s">
        <v>7953</v>
      </c>
      <c r="AJ117" s="766"/>
      <c r="AK117" s="766" t="s">
        <v>1097</v>
      </c>
      <c r="AL117" s="121">
        <v>1250</v>
      </c>
      <c r="AM117" s="772">
        <v>429</v>
      </c>
      <c r="AN117" s="774">
        <f>AM117/AL117</f>
        <v>0.34320000000000001</v>
      </c>
      <c r="AO117" s="766" t="s">
        <v>1149</v>
      </c>
      <c r="AP117" s="766"/>
      <c r="AQ117" s="766"/>
      <c r="AR117" s="766"/>
      <c r="AS117" s="766" t="s">
        <v>1207</v>
      </c>
      <c r="AT117" s="766" t="s">
        <v>110</v>
      </c>
      <c r="AU117" s="766"/>
      <c r="AV117" s="766"/>
      <c r="AW117" s="766" t="s">
        <v>1208</v>
      </c>
      <c r="AX117" s="766"/>
      <c r="AY117" s="766"/>
      <c r="AZ117" s="766"/>
      <c r="BA117" s="766"/>
      <c r="BB117" s="766"/>
      <c r="BC117" s="766" t="s">
        <v>853</v>
      </c>
      <c r="BD117" s="766"/>
      <c r="BE117" s="766"/>
      <c r="BF117" s="775"/>
      <c r="BG117" s="775"/>
      <c r="BH117" s="766"/>
      <c r="BI117" s="766"/>
      <c r="BJ117" s="766"/>
      <c r="BK117" s="766"/>
      <c r="BL117" s="766"/>
      <c r="BM117" s="766"/>
      <c r="BN117" s="766"/>
      <c r="BO117" s="766"/>
      <c r="BP117" s="776"/>
      <c r="BQ117" s="772"/>
      <c r="BR117" s="774"/>
      <c r="BS117" s="766"/>
      <c r="BT117" s="766"/>
      <c r="BU117" s="766"/>
      <c r="BV117" s="766"/>
      <c r="BW117" s="766"/>
      <c r="BX117" s="779"/>
      <c r="BY117" s="766"/>
      <c r="BZ117" s="775"/>
      <c r="CA117" s="766"/>
      <c r="CB117" s="766"/>
      <c r="CC117" s="766"/>
      <c r="CD117" s="766"/>
      <c r="CE117" s="766"/>
      <c r="CF117" s="777"/>
      <c r="CG117" s="778"/>
      <c r="CH117" s="766"/>
      <c r="CI117" s="766"/>
      <c r="CJ117" s="766"/>
      <c r="CK117" s="766"/>
      <c r="CL117" s="766"/>
      <c r="CM117" s="766"/>
      <c r="CN117" s="766"/>
      <c r="CO117" s="766"/>
      <c r="CP117" s="766"/>
      <c r="CQ117" s="766"/>
      <c r="CR117" s="775"/>
      <c r="CS117" s="766"/>
      <c r="CT117" s="766"/>
      <c r="CU117" s="129"/>
      <c r="CV117" s="766"/>
      <c r="CW117" s="766"/>
      <c r="CX117" s="766"/>
      <c r="CY117" s="766"/>
      <c r="CZ117" s="766"/>
      <c r="DA117" s="766"/>
      <c r="DB117" s="766"/>
      <c r="DC117" s="766"/>
      <c r="DD117" s="766"/>
      <c r="DE117" s="766"/>
      <c r="DF117" s="766"/>
      <c r="DG117" s="766"/>
      <c r="DH117" s="766"/>
      <c r="DI117" s="766"/>
      <c r="DJ117" s="766"/>
      <c r="DK117" s="766"/>
      <c r="DL117" s="766"/>
      <c r="DM117" s="766"/>
      <c r="DN117" s="766"/>
      <c r="DO117" s="766"/>
      <c r="DP117" s="766"/>
      <c r="DQ117" s="766"/>
      <c r="DR117" s="766"/>
      <c r="DS117" s="59"/>
      <c r="DT117" s="766"/>
      <c r="DU117" s="766"/>
      <c r="DV117" s="766"/>
      <c r="DW117" s="66"/>
      <c r="DX117" s="66"/>
      <c r="DY117" s="766"/>
      <c r="DZ117" s="766"/>
      <c r="EA117" s="766"/>
      <c r="EB117" s="766"/>
      <c r="EC117" s="766"/>
      <c r="ED117" s="766"/>
      <c r="EE117" s="766"/>
      <c r="EF117" s="766"/>
      <c r="EG117" s="766"/>
      <c r="EH117" s="766"/>
      <c r="EI117" s="766"/>
      <c r="EJ117" s="766"/>
      <c r="EK117" s="766"/>
      <c r="EL117" s="766"/>
      <c r="EM117" s="766"/>
      <c r="EN117" s="766"/>
      <c r="EO117" s="766"/>
      <c r="EP117" s="766"/>
      <c r="EQ117" s="766"/>
      <c r="ER117" s="766"/>
      <c r="ES117" s="766"/>
      <c r="ET117" s="766"/>
      <c r="EU117" s="766"/>
      <c r="EV117" s="766"/>
      <c r="EW117" s="766"/>
      <c r="EX117" s="766"/>
      <c r="EY117" s="766"/>
      <c r="EZ117" s="766"/>
      <c r="FA117" s="766"/>
      <c r="FB117" s="766"/>
      <c r="FC117" s="766"/>
      <c r="FD117" s="775"/>
      <c r="FE117" s="766"/>
      <c r="FF117" s="766"/>
      <c r="FG117" s="766"/>
      <c r="FH117" s="766"/>
      <c r="FI117" s="766"/>
      <c r="FJ117" s="766"/>
      <c r="FK117" s="766"/>
      <c r="FL117" s="766"/>
      <c r="FM117" s="775"/>
      <c r="FN117" s="775"/>
      <c r="FO117" s="775"/>
      <c r="FP117" s="766"/>
      <c r="FQ117" s="766"/>
      <c r="FR117" s="766"/>
      <c r="FS117" s="766" t="s">
        <v>1208</v>
      </c>
      <c r="FT117" s="766"/>
      <c r="FU117" s="766"/>
      <c r="FV117" s="766"/>
      <c r="FW117" s="766"/>
      <c r="FX117" s="766"/>
      <c r="FY117" s="766"/>
      <c r="FZ117" s="766"/>
      <c r="GA117" s="766"/>
      <c r="GB117" s="766"/>
      <c r="GC117" s="75"/>
      <c r="GD117" s="25"/>
      <c r="GE117" s="766"/>
      <c r="GF117" s="775"/>
      <c r="GG117" s="775"/>
      <c r="GH117" s="766" t="s">
        <v>14260</v>
      </c>
      <c r="GI117" s="12"/>
      <c r="GJ117" s="12"/>
      <c r="GK117" s="12"/>
      <c r="GL117" s="12"/>
      <c r="GM117" s="766"/>
      <c r="GN117" s="82"/>
      <c r="GO117" s="766"/>
      <c r="GP117" s="766"/>
      <c r="GQ117" s="766"/>
      <c r="GR117" s="766"/>
      <c r="GS117" s="766"/>
      <c r="GT117" s="766"/>
      <c r="GU117" s="766"/>
      <c r="GV117" s="766"/>
      <c r="GW117" s="766"/>
      <c r="GX117" s="766"/>
      <c r="GY117" s="766"/>
      <c r="GZ117" s="766"/>
      <c r="HA117" s="766"/>
      <c r="HB117" s="766"/>
      <c r="HC117" s="766"/>
      <c r="HD117" s="766"/>
      <c r="HE117" s="766"/>
      <c r="HF117" s="766"/>
      <c r="HG117" s="766"/>
      <c r="HH117" s="766"/>
      <c r="HI117" s="766"/>
      <c r="HJ117" s="766"/>
      <c r="HK117" s="766"/>
      <c r="HL117" s="766"/>
      <c r="HM117" s="766"/>
      <c r="HN117" s="766"/>
      <c r="HO117" s="766"/>
      <c r="HP117" s="766"/>
      <c r="HQ117" s="766"/>
      <c r="HR117" s="766" t="s">
        <v>1208</v>
      </c>
      <c r="HS117" s="766" t="s">
        <v>1208</v>
      </c>
      <c r="HT117" s="766"/>
      <c r="HU117" s="766"/>
      <c r="HV117" s="766"/>
      <c r="HW117" s="766"/>
      <c r="HX117" s="766"/>
      <c r="HY117" s="766"/>
      <c r="HZ117" s="766"/>
      <c r="IA117" s="766"/>
      <c r="IB117" s="766"/>
      <c r="IC117" s="766"/>
      <c r="ID117" s="766"/>
      <c r="IE117" s="766"/>
      <c r="IF117" s="766"/>
      <c r="IG117" s="766"/>
      <c r="IH117" s="766"/>
      <c r="II117" s="766"/>
      <c r="IJ117" s="766"/>
      <c r="IK117" s="766"/>
      <c r="IL117" s="766"/>
      <c r="IM117" s="766"/>
      <c r="IN117" s="766"/>
      <c r="IO117" s="24"/>
      <c r="IP117" s="766"/>
      <c r="IQ117" s="766"/>
      <c r="IR117" s="766"/>
      <c r="IS117" s="766"/>
      <c r="IT117" s="766"/>
      <c r="IU117" s="766"/>
      <c r="IV117" s="766"/>
      <c r="IW117" s="766"/>
      <c r="IX117" s="766"/>
      <c r="IY117" s="766"/>
      <c r="IZ117" s="766"/>
      <c r="JA117" s="766"/>
      <c r="JB117" s="766"/>
      <c r="JC117" s="766"/>
      <c r="JD117" s="775"/>
      <c r="JE117" s="766"/>
      <c r="JF117" s="766"/>
      <c r="JG117" s="766"/>
      <c r="JH117" s="766"/>
      <c r="JI117" s="766"/>
      <c r="JJ117" s="766">
        <v>4</v>
      </c>
      <c r="JK117" s="766" t="s">
        <v>2060</v>
      </c>
      <c r="JL117" s="766"/>
      <c r="JM117" s="766"/>
      <c r="JN117" s="766">
        <v>2</v>
      </c>
      <c r="JO117" s="766">
        <v>2</v>
      </c>
      <c r="JP117" s="766"/>
      <c r="JQ117" s="766"/>
      <c r="JR117" s="766"/>
      <c r="JS117" s="766"/>
      <c r="JT117" s="766">
        <f t="shared" si="28"/>
        <v>2</v>
      </c>
      <c r="JU117" s="766">
        <f t="shared" si="28"/>
        <v>2</v>
      </c>
      <c r="JV117" s="766"/>
      <c r="JW117" s="766"/>
      <c r="JX117" s="766"/>
      <c r="JY117" s="766"/>
      <c r="JZ117" s="766"/>
      <c r="KA117" s="766"/>
      <c r="KB117" s="766">
        <v>1</v>
      </c>
      <c r="KC117" s="766">
        <v>1</v>
      </c>
      <c r="KD117" s="766">
        <v>1</v>
      </c>
      <c r="KE117" s="766">
        <v>1</v>
      </c>
      <c r="KF117" s="766"/>
      <c r="KG117" s="766"/>
      <c r="KH117" s="766"/>
      <c r="KI117" s="766"/>
      <c r="KJ117" s="770">
        <f t="shared" si="29"/>
        <v>2</v>
      </c>
      <c r="KK117" s="770">
        <f t="shared" si="29"/>
        <v>2</v>
      </c>
      <c r="KL117" s="770"/>
      <c r="KM117" s="770"/>
      <c r="KN117" s="766" t="s">
        <v>707</v>
      </c>
      <c r="KO117" s="766"/>
      <c r="KP117" s="766"/>
      <c r="KQ117" s="766"/>
      <c r="KR117" s="766"/>
      <c r="KS117" s="766"/>
      <c r="KT117" s="766"/>
      <c r="KU117" s="766"/>
      <c r="KV117" s="766"/>
      <c r="KW117" s="766"/>
      <c r="KX117" s="766"/>
      <c r="KY117" s="766"/>
      <c r="KZ117" s="766">
        <v>1</v>
      </c>
      <c r="LA117" s="766"/>
      <c r="LB117" s="766">
        <v>1</v>
      </c>
      <c r="LC117" s="766">
        <v>1</v>
      </c>
      <c r="LD117" s="766"/>
      <c r="LE117" s="766"/>
      <c r="LF117" s="766"/>
      <c r="LG117" s="766">
        <v>1</v>
      </c>
      <c r="LH117" s="766"/>
      <c r="LI117" s="766"/>
      <c r="LJ117" s="766"/>
      <c r="LK117" s="766"/>
      <c r="LL117" s="766"/>
      <c r="LM117" s="766"/>
      <c r="LN117" s="766">
        <f t="shared" si="30"/>
        <v>2</v>
      </c>
      <c r="LO117" s="766">
        <f t="shared" si="30"/>
        <v>2</v>
      </c>
      <c r="LP117" s="766">
        <v>2</v>
      </c>
      <c r="LQ117" s="766"/>
      <c r="LR117" s="766"/>
      <c r="LS117" s="766"/>
      <c r="LT117" s="766"/>
      <c r="LU117" s="766">
        <v>2</v>
      </c>
      <c r="LV117" s="766"/>
      <c r="LW117" s="766"/>
      <c r="LX117" s="769"/>
      <c r="LY117" s="766" t="str">
        <f t="shared" si="23"/>
        <v/>
      </c>
      <c r="LZ117" s="66"/>
      <c r="MA117" s="766"/>
      <c r="MB117" s="766"/>
      <c r="MC117" s="1679">
        <f t="shared" si="24"/>
        <v>0</v>
      </c>
      <c r="MD117" s="66"/>
      <c r="ME117" s="66"/>
      <c r="MF117" s="66"/>
      <c r="MG117" s="1680">
        <f t="shared" si="15"/>
        <v>0</v>
      </c>
      <c r="MH117" s="766"/>
      <c r="MI117" s="775">
        <f>PRODUCT(250,30)</f>
        <v>7500</v>
      </c>
      <c r="MJ117" s="775">
        <f>PRODUCT(500,30)</f>
        <v>15000</v>
      </c>
      <c r="MK117" s="775">
        <f>QUOTIENT(5000,12)</f>
        <v>416</v>
      </c>
      <c r="ML117" s="775">
        <v>1500</v>
      </c>
      <c r="MM117" s="775">
        <f>QUOTIENT(80000,12)</f>
        <v>6666</v>
      </c>
      <c r="MN117" s="775">
        <v>200</v>
      </c>
      <c r="MO117" s="775">
        <v>1000</v>
      </c>
      <c r="MP117" s="775">
        <v>1200</v>
      </c>
      <c r="MQ117" s="775">
        <v>450</v>
      </c>
      <c r="MR117" s="775">
        <v>300</v>
      </c>
      <c r="MS117" s="775"/>
      <c r="MT117" s="775"/>
      <c r="MU117" s="775"/>
      <c r="MV117" s="775"/>
      <c r="MW117" s="775"/>
      <c r="MX117" s="775"/>
      <c r="MY117" s="1682">
        <f t="shared" si="14"/>
        <v>34232</v>
      </c>
      <c r="MZ117" s="766"/>
      <c r="NA117" s="766"/>
      <c r="NB117" s="766"/>
      <c r="NC117" s="766"/>
      <c r="ND117" s="766"/>
      <c r="NE117" s="766"/>
      <c r="NF117" s="766"/>
      <c r="NG117" s="766"/>
      <c r="NH117" s="766"/>
      <c r="NI117" s="766"/>
      <c r="NJ117" s="766"/>
      <c r="NK117" s="766"/>
      <c r="NL117" s="766"/>
      <c r="NM117" s="766"/>
      <c r="NN117" s="766"/>
      <c r="NO117" s="766"/>
      <c r="NP117" s="766"/>
      <c r="NQ117" s="766"/>
      <c r="NR117" s="766"/>
      <c r="NS117" s="766"/>
      <c r="NT117" s="766"/>
      <c r="NU117" s="766"/>
      <c r="NV117" s="766"/>
      <c r="NW117" s="766"/>
      <c r="NX117" s="766"/>
      <c r="NY117" s="766"/>
      <c r="NZ117" s="766"/>
      <c r="OA117" s="766"/>
      <c r="OB117" s="766"/>
      <c r="OC117" s="766"/>
      <c r="OD117" s="766"/>
      <c r="OE117" s="766"/>
      <c r="OF117" s="766"/>
      <c r="OG117" s="766"/>
      <c r="OH117" s="766"/>
      <c r="OI117" s="766"/>
      <c r="OJ117" s="766"/>
      <c r="OK117" s="766"/>
      <c r="OL117" s="766"/>
      <c r="OM117" s="766"/>
      <c r="ON117" s="766"/>
      <c r="OO117" s="766"/>
      <c r="OP117" s="766"/>
      <c r="OQ117" s="766"/>
      <c r="OR117" s="766"/>
      <c r="OS117" s="766"/>
      <c r="OT117" s="766"/>
      <c r="OU117" s="766"/>
      <c r="OV117" s="766"/>
      <c r="OW117" s="766"/>
      <c r="OX117" s="766"/>
      <c r="OY117" s="766"/>
      <c r="OZ117" s="766"/>
      <c r="PA117" s="766"/>
      <c r="PB117" s="766"/>
      <c r="PC117" s="766"/>
      <c r="PD117" s="766"/>
      <c r="PE117" s="766"/>
      <c r="PF117" s="766"/>
      <c r="PG117" s="766"/>
      <c r="PH117" s="766"/>
      <c r="PI117" s="766"/>
      <c r="PJ117" s="766"/>
      <c r="PK117" s="766"/>
      <c r="PL117" s="766"/>
      <c r="PM117" s="766"/>
      <c r="PN117" s="766"/>
      <c r="PO117" s="766"/>
      <c r="PP117" s="766"/>
      <c r="PQ117" s="766"/>
      <c r="PR117" s="766" t="s">
        <v>1208</v>
      </c>
      <c r="PS117" s="766" t="s">
        <v>1208</v>
      </c>
      <c r="PT117" s="766" t="s">
        <v>1208</v>
      </c>
      <c r="PU117" s="766"/>
      <c r="PV117" s="766"/>
      <c r="PW117" s="766"/>
      <c r="PX117" s="766"/>
      <c r="PY117" s="766"/>
      <c r="PZ117" s="766"/>
      <c r="QA117" s="766"/>
      <c r="QB117" s="766"/>
      <c r="QC117" s="766"/>
      <c r="QD117" s="766"/>
      <c r="QE117" s="766"/>
      <c r="QF117" s="766"/>
      <c r="QG117" s="766"/>
      <c r="QH117" s="766"/>
      <c r="QI117" s="766"/>
      <c r="QJ117" s="766"/>
      <c r="QK117" s="766"/>
      <c r="QL117" s="766"/>
      <c r="QM117" s="766"/>
      <c r="QN117" s="766"/>
      <c r="QO117" s="766"/>
      <c r="QP117" s="766"/>
      <c r="QQ117" s="766"/>
      <c r="QR117" s="766"/>
      <c r="QS117" s="766"/>
      <c r="QT117" s="766"/>
      <c r="QU117" s="766"/>
      <c r="QV117" s="766"/>
      <c r="QW117" s="766"/>
      <c r="QX117" s="766"/>
      <c r="QY117" s="766"/>
      <c r="QZ117" s="766"/>
      <c r="RA117" s="766"/>
      <c r="RB117" s="770" t="s">
        <v>1207</v>
      </c>
      <c r="RC117" s="766">
        <v>2016</v>
      </c>
      <c r="RD117" s="766"/>
      <c r="RE117" s="766" t="s">
        <v>13008</v>
      </c>
      <c r="RF117" s="777"/>
      <c r="RG117" s="766" t="s">
        <v>13162</v>
      </c>
      <c r="RH117" s="775"/>
      <c r="RI117" s="766">
        <v>48</v>
      </c>
      <c r="RJ117" s="766" t="s">
        <v>2156</v>
      </c>
      <c r="RK117" s="766" t="s">
        <v>13160</v>
      </c>
      <c r="RL117" s="1683"/>
      <c r="RM117" s="12"/>
      <c r="RN117" s="1711"/>
      <c r="RO117" s="165" t="s">
        <v>7954</v>
      </c>
      <c r="RP117" s="11"/>
      <c r="RQ117" s="11"/>
      <c r="RR117" s="771"/>
      <c r="RS117" s="766"/>
      <c r="RT117" s="11"/>
      <c r="RU117" s="11"/>
      <c r="RV117" s="766" t="s">
        <v>7419</v>
      </c>
      <c r="RW117" s="11" t="s">
        <v>7949</v>
      </c>
      <c r="RX117" s="11" t="s">
        <v>182</v>
      </c>
      <c r="RY117" s="11"/>
      <c r="RZ117" s="11" t="s">
        <v>7419</v>
      </c>
      <c r="SA117" s="766"/>
      <c r="SB117" s="11"/>
      <c r="SC117" s="11"/>
    </row>
    <row r="118" spans="1:497" ht="12.75" hidden="1" customHeight="1">
      <c r="A118" s="154" t="s">
        <v>14149</v>
      </c>
      <c r="B118" s="288" t="s">
        <v>7574</v>
      </c>
      <c r="C118" s="165" t="s">
        <v>190</v>
      </c>
      <c r="D118" s="14" t="s">
        <v>191</v>
      </c>
      <c r="E118" s="766" t="s">
        <v>192</v>
      </c>
      <c r="F118" s="766" t="s">
        <v>42</v>
      </c>
      <c r="G118" s="766" t="s">
        <v>10</v>
      </c>
      <c r="H118" s="766"/>
      <c r="I118" s="5"/>
      <c r="J118" s="766" t="s">
        <v>193</v>
      </c>
      <c r="K118" s="766"/>
      <c r="L118" s="766"/>
      <c r="M118" s="766"/>
      <c r="N118" s="766"/>
      <c r="O118" s="766"/>
      <c r="P118" s="766" t="s">
        <v>193</v>
      </c>
      <c r="Q118" s="1085">
        <v>19058</v>
      </c>
      <c r="R118" s="25">
        <v>64</v>
      </c>
      <c r="S118" s="766" t="s">
        <v>10</v>
      </c>
      <c r="T118" s="766"/>
      <c r="U118" s="26" t="s">
        <v>805</v>
      </c>
      <c r="V118" s="766" t="s">
        <v>719</v>
      </c>
      <c r="W118" s="766"/>
      <c r="X118" s="766"/>
      <c r="Y118" s="766" t="s">
        <v>192</v>
      </c>
      <c r="Z118" s="766" t="s">
        <v>708</v>
      </c>
      <c r="AA118" s="766" t="s">
        <v>709</v>
      </c>
      <c r="AB118" s="766" t="s">
        <v>7273</v>
      </c>
      <c r="AC118" s="766"/>
      <c r="AD118" s="766" t="s">
        <v>711</v>
      </c>
      <c r="AE118" s="766"/>
      <c r="AF118" s="766" t="s">
        <v>712</v>
      </c>
      <c r="AG118" s="766"/>
      <c r="AH118" s="766"/>
      <c r="AI118" s="766"/>
      <c r="AJ118" s="766"/>
      <c r="AK118" s="766" t="s">
        <v>5454</v>
      </c>
      <c r="AL118" s="121"/>
      <c r="AM118" s="772"/>
      <c r="AN118" s="774"/>
      <c r="AO118" s="766"/>
      <c r="AP118" s="766"/>
      <c r="AQ118" s="766"/>
      <c r="AR118" s="766"/>
      <c r="AS118" s="766"/>
      <c r="AT118" s="766"/>
      <c r="AU118" s="766"/>
      <c r="AV118" s="766"/>
      <c r="AW118" s="766"/>
      <c r="AX118" s="766"/>
      <c r="AY118" s="766"/>
      <c r="AZ118" s="766"/>
      <c r="BA118" s="766"/>
      <c r="BB118" s="766"/>
      <c r="BC118" s="766"/>
      <c r="BD118" s="766"/>
      <c r="BE118" s="766"/>
      <c r="BF118" s="775"/>
      <c r="BG118" s="775"/>
      <c r="BH118" s="766"/>
      <c r="BI118" s="766"/>
      <c r="BJ118" s="766"/>
      <c r="BK118" s="766" t="s">
        <v>1095</v>
      </c>
      <c r="BL118" s="766" t="s">
        <v>8111</v>
      </c>
      <c r="BM118" s="766" t="s">
        <v>1096</v>
      </c>
      <c r="BN118" s="766" t="s">
        <v>1230</v>
      </c>
      <c r="BO118" s="766" t="s">
        <v>1246</v>
      </c>
      <c r="BP118" s="776">
        <v>10.54</v>
      </c>
      <c r="BQ118" s="776">
        <v>10.54</v>
      </c>
      <c r="BR118" s="774">
        <f>BQ118/BP118</f>
        <v>1</v>
      </c>
      <c r="BS118" s="766" t="s">
        <v>1268</v>
      </c>
      <c r="BT118" s="766" t="s">
        <v>2040</v>
      </c>
      <c r="BU118" s="766" t="s">
        <v>1288</v>
      </c>
      <c r="BV118" s="766" t="s">
        <v>1247</v>
      </c>
      <c r="BW118" s="766">
        <v>2011</v>
      </c>
      <c r="BX118" s="779">
        <v>50000</v>
      </c>
      <c r="BY118" s="766" t="s">
        <v>1207</v>
      </c>
      <c r="BZ118" s="775">
        <v>100000</v>
      </c>
      <c r="CA118" s="766"/>
      <c r="CB118" s="766" t="s">
        <v>1207</v>
      </c>
      <c r="CC118" s="766"/>
      <c r="CD118" s="766"/>
      <c r="CE118" s="766"/>
      <c r="CF118" s="777"/>
      <c r="CG118" s="778"/>
      <c r="CH118" s="766"/>
      <c r="CI118" s="766"/>
      <c r="CJ118" s="766"/>
      <c r="CK118" s="766"/>
      <c r="CL118" s="766"/>
      <c r="CM118" s="766"/>
      <c r="CN118" s="766"/>
      <c r="CO118" s="766"/>
      <c r="CP118" s="14" t="s">
        <v>191</v>
      </c>
      <c r="CQ118" s="766"/>
      <c r="CR118" s="766"/>
      <c r="CS118" s="766"/>
      <c r="CT118" s="766" t="s">
        <v>1469</v>
      </c>
      <c r="CU118" s="129">
        <f>CONVERT(50,"ft","m")</f>
        <v>15.24</v>
      </c>
      <c r="CV118" s="766">
        <v>2.5</v>
      </c>
      <c r="CW118" s="766" t="s">
        <v>1472</v>
      </c>
      <c r="CX118" s="766"/>
      <c r="CY118" s="766"/>
      <c r="CZ118" s="766"/>
      <c r="DA118" s="766"/>
      <c r="DB118" s="766"/>
      <c r="DC118" s="766"/>
      <c r="DD118" s="766"/>
      <c r="DE118" s="766"/>
      <c r="DF118" s="766"/>
      <c r="DG118" s="766"/>
      <c r="DH118" s="766"/>
      <c r="DI118" s="766"/>
      <c r="DJ118" s="766"/>
      <c r="DK118" s="766"/>
      <c r="DL118" s="766"/>
      <c r="DM118" s="766"/>
      <c r="DN118" s="766"/>
      <c r="DO118" s="766"/>
      <c r="DP118" s="766"/>
      <c r="DQ118" s="766"/>
      <c r="DR118" s="766"/>
      <c r="DS118" s="59"/>
      <c r="DT118" s="766"/>
      <c r="DU118" s="766"/>
      <c r="DV118" s="766"/>
      <c r="DW118" s="66"/>
      <c r="DX118" s="66"/>
      <c r="DY118" s="766"/>
      <c r="DZ118" s="766"/>
      <c r="EA118" s="766"/>
      <c r="EB118" s="766"/>
      <c r="EC118" s="766"/>
      <c r="ED118" s="766"/>
      <c r="EE118" s="766"/>
      <c r="EF118" s="766"/>
      <c r="EG118" s="766"/>
      <c r="EH118" s="766"/>
      <c r="EI118" s="766"/>
      <c r="EJ118" s="766"/>
      <c r="EK118" s="766"/>
      <c r="EL118" s="766"/>
      <c r="EM118" s="766"/>
      <c r="EN118" s="766"/>
      <c r="EO118" s="766"/>
      <c r="EP118" s="766"/>
      <c r="EQ118" s="766"/>
      <c r="ER118" s="766"/>
      <c r="ES118" s="766"/>
      <c r="ET118" s="766"/>
      <c r="EU118" s="766"/>
      <c r="EV118" s="766"/>
      <c r="EW118" s="766"/>
      <c r="EX118" s="766"/>
      <c r="EY118" s="766"/>
      <c r="EZ118" s="766" t="s">
        <v>1473</v>
      </c>
      <c r="FA118" s="766" t="s">
        <v>1474</v>
      </c>
      <c r="FB118" s="766" t="s">
        <v>1257</v>
      </c>
      <c r="FC118" s="766"/>
      <c r="FD118" s="775"/>
      <c r="FE118" s="770"/>
      <c r="FF118" s="766"/>
      <c r="FG118" s="766"/>
      <c r="FH118" s="766" t="s">
        <v>478</v>
      </c>
      <c r="FI118" s="766">
        <v>1</v>
      </c>
      <c r="FJ118" s="766"/>
      <c r="FK118" s="25"/>
      <c r="FL118" s="766"/>
      <c r="FM118" s="775"/>
      <c r="FN118" s="775"/>
      <c r="FO118" s="775"/>
      <c r="FP118" s="766" t="s">
        <v>1602</v>
      </c>
      <c r="FQ118" s="766" t="s">
        <v>1660</v>
      </c>
      <c r="FR118" s="766"/>
      <c r="FS118" s="766"/>
      <c r="FT118" s="766"/>
      <c r="FU118" s="766"/>
      <c r="FV118" s="766"/>
      <c r="FW118" s="766"/>
      <c r="FX118" s="766"/>
      <c r="FY118" s="766"/>
      <c r="FZ118" s="766"/>
      <c r="GA118" s="766"/>
      <c r="GB118" s="766"/>
      <c r="GC118" s="75"/>
      <c r="GD118" s="25"/>
      <c r="GE118" s="766"/>
      <c r="GF118" s="775"/>
      <c r="GG118" s="775"/>
      <c r="GH118" s="766"/>
      <c r="GI118" s="766"/>
      <c r="GJ118" s="766"/>
      <c r="GK118" s="766"/>
      <c r="GL118" s="766"/>
      <c r="GM118" s="766"/>
      <c r="GN118" s="82"/>
      <c r="GO118" s="766"/>
      <c r="GP118" s="766"/>
      <c r="GQ118" s="766"/>
      <c r="GR118" s="766"/>
      <c r="GS118" s="766"/>
      <c r="GT118" s="766"/>
      <c r="GU118" s="766"/>
      <c r="GV118" s="766"/>
      <c r="GW118" s="766"/>
      <c r="GX118" s="766"/>
      <c r="GY118" s="766"/>
      <c r="GZ118" s="766"/>
      <c r="HA118" s="766"/>
      <c r="HB118" s="766"/>
      <c r="HC118" s="766"/>
      <c r="HD118" s="766"/>
      <c r="HE118" s="766"/>
      <c r="HF118" s="766"/>
      <c r="HG118" s="766"/>
      <c r="HH118" s="766"/>
      <c r="HI118" s="766"/>
      <c r="HJ118" s="766"/>
      <c r="HK118" s="766"/>
      <c r="HL118" s="766"/>
      <c r="HM118" s="766"/>
      <c r="HN118" s="766"/>
      <c r="HO118" s="766"/>
      <c r="HP118" s="766"/>
      <c r="HQ118" s="766"/>
      <c r="HR118" s="766"/>
      <c r="HS118" s="766"/>
      <c r="HT118" s="766"/>
      <c r="HU118" s="766"/>
      <c r="HV118" s="766"/>
      <c r="HW118" s="766"/>
      <c r="HX118" s="766"/>
      <c r="HY118" s="766"/>
      <c r="HZ118" s="766"/>
      <c r="IA118" s="766"/>
      <c r="IB118" s="766"/>
      <c r="IC118" s="766"/>
      <c r="ID118" s="766" t="s">
        <v>1207</v>
      </c>
      <c r="IE118" s="766" t="s">
        <v>1207</v>
      </c>
      <c r="IF118" s="766"/>
      <c r="IG118" s="766"/>
      <c r="IH118" s="766"/>
      <c r="II118" s="766"/>
      <c r="IJ118" s="766"/>
      <c r="IK118" s="766"/>
      <c r="IL118" s="766"/>
      <c r="IM118" s="766"/>
      <c r="IN118" s="766"/>
      <c r="IO118" s="24"/>
      <c r="IP118" s="766"/>
      <c r="IQ118" s="766"/>
      <c r="IR118" s="766"/>
      <c r="IS118" s="766"/>
      <c r="IT118" s="766"/>
      <c r="IU118" s="766"/>
      <c r="IV118" s="766"/>
      <c r="IW118" s="766"/>
      <c r="IX118" s="766"/>
      <c r="IY118" s="766"/>
      <c r="IZ118" s="766"/>
      <c r="JA118" s="766"/>
      <c r="JB118" s="766"/>
      <c r="JC118" s="766"/>
      <c r="JD118" s="775"/>
      <c r="JE118" s="766"/>
      <c r="JF118" s="766"/>
      <c r="JG118" s="766"/>
      <c r="JH118" s="766"/>
      <c r="JI118" s="766"/>
      <c r="JJ118" s="766">
        <v>2</v>
      </c>
      <c r="JK118" s="766" t="s">
        <v>13170</v>
      </c>
      <c r="JL118" s="766"/>
      <c r="JM118" s="766"/>
      <c r="JN118" s="766">
        <v>2</v>
      </c>
      <c r="JO118" s="766"/>
      <c r="JP118" s="766"/>
      <c r="JQ118" s="766"/>
      <c r="JR118" s="766"/>
      <c r="JS118" s="766"/>
      <c r="JT118" s="766">
        <f t="shared" si="28"/>
        <v>2</v>
      </c>
      <c r="JU118" s="766">
        <f t="shared" si="28"/>
        <v>0</v>
      </c>
      <c r="JV118" s="766"/>
      <c r="JW118" s="766"/>
      <c r="JX118" s="766"/>
      <c r="JY118" s="766"/>
      <c r="JZ118" s="766"/>
      <c r="KA118" s="766"/>
      <c r="KB118" s="766"/>
      <c r="KC118" s="766"/>
      <c r="KD118" s="766">
        <v>1</v>
      </c>
      <c r="KE118" s="766"/>
      <c r="KF118" s="766">
        <v>1</v>
      </c>
      <c r="KG118" s="766"/>
      <c r="KH118" s="766"/>
      <c r="KI118" s="766"/>
      <c r="KJ118" s="770">
        <f t="shared" si="29"/>
        <v>2</v>
      </c>
      <c r="KK118" s="770">
        <f t="shared" si="29"/>
        <v>0</v>
      </c>
      <c r="KL118" s="770"/>
      <c r="KM118" s="770"/>
      <c r="KN118" s="766" t="s">
        <v>719</v>
      </c>
      <c r="KO118" s="766"/>
      <c r="KP118" s="766"/>
      <c r="KQ118" s="766"/>
      <c r="KR118" s="766"/>
      <c r="KS118" s="766"/>
      <c r="KT118" s="766"/>
      <c r="KU118" s="766"/>
      <c r="KV118" s="766"/>
      <c r="KW118" s="766"/>
      <c r="KX118" s="766"/>
      <c r="KY118" s="766"/>
      <c r="KZ118" s="766">
        <v>1</v>
      </c>
      <c r="LA118" s="766"/>
      <c r="LB118" s="766"/>
      <c r="LC118" s="766"/>
      <c r="LD118" s="766"/>
      <c r="LE118" s="766"/>
      <c r="LF118" s="766"/>
      <c r="LG118" s="766"/>
      <c r="LH118" s="766">
        <v>1</v>
      </c>
      <c r="LI118" s="766"/>
      <c r="LJ118" s="766"/>
      <c r="LK118" s="766"/>
      <c r="LL118" s="766"/>
      <c r="LM118" s="766"/>
      <c r="LN118" s="766">
        <f t="shared" si="30"/>
        <v>2</v>
      </c>
      <c r="LO118" s="766">
        <f t="shared" si="30"/>
        <v>0</v>
      </c>
      <c r="LP118" s="766">
        <v>1</v>
      </c>
      <c r="LQ118" s="766"/>
      <c r="LR118" s="766"/>
      <c r="LS118" s="766"/>
      <c r="LT118" s="766"/>
      <c r="LU118" s="766">
        <v>1</v>
      </c>
      <c r="LV118" s="766"/>
      <c r="LW118" s="766"/>
      <c r="LX118" s="769"/>
      <c r="LY118" s="766" t="str">
        <f t="shared" si="23"/>
        <v/>
      </c>
      <c r="LZ118" s="66"/>
      <c r="MA118" s="766"/>
      <c r="MB118" s="766"/>
      <c r="MC118" s="1679">
        <f t="shared" si="24"/>
        <v>0</v>
      </c>
      <c r="MD118" s="66"/>
      <c r="ME118" s="66"/>
      <c r="MF118" s="66"/>
      <c r="MG118" s="1680">
        <f t="shared" si="15"/>
        <v>0</v>
      </c>
      <c r="MH118" s="766"/>
      <c r="MI118" s="775">
        <v>4500</v>
      </c>
      <c r="MJ118" s="775">
        <v>2000</v>
      </c>
      <c r="MK118" s="775">
        <v>2000</v>
      </c>
      <c r="ML118" s="775">
        <v>2000</v>
      </c>
      <c r="MM118" s="775"/>
      <c r="MN118" s="775"/>
      <c r="MO118" s="775">
        <v>450</v>
      </c>
      <c r="MP118" s="775">
        <v>500</v>
      </c>
      <c r="MQ118" s="775"/>
      <c r="MR118" s="775"/>
      <c r="MS118" s="775"/>
      <c r="MT118" s="775"/>
      <c r="MU118" s="775"/>
      <c r="MV118" s="775"/>
      <c r="MW118" s="775"/>
      <c r="MX118" s="775"/>
      <c r="MY118" s="1682">
        <f t="shared" si="14"/>
        <v>11450</v>
      </c>
      <c r="MZ118" s="766" t="s">
        <v>13164</v>
      </c>
      <c r="NA118" s="766" t="s">
        <v>1249</v>
      </c>
      <c r="NB118" s="766" t="s">
        <v>13171</v>
      </c>
      <c r="NC118" s="766"/>
      <c r="ND118" s="766">
        <v>0</v>
      </c>
      <c r="NE118" s="766">
        <v>0</v>
      </c>
      <c r="NF118" s="766">
        <v>0</v>
      </c>
      <c r="NG118" s="766">
        <v>1</v>
      </c>
      <c r="NH118" s="766">
        <v>1</v>
      </c>
      <c r="NI118" s="766">
        <v>0</v>
      </c>
      <c r="NJ118" s="766">
        <v>0</v>
      </c>
      <c r="NK118" s="766">
        <v>0</v>
      </c>
      <c r="NL118" s="766">
        <v>0</v>
      </c>
      <c r="NM118" s="766">
        <v>0</v>
      </c>
      <c r="NN118" s="766">
        <v>0</v>
      </c>
      <c r="NO118" s="766">
        <v>0</v>
      </c>
      <c r="NP118" s="766">
        <v>0</v>
      </c>
      <c r="NQ118" s="766">
        <v>0</v>
      </c>
      <c r="NR118" s="766">
        <v>0</v>
      </c>
      <c r="NS118" s="766">
        <v>0</v>
      </c>
      <c r="NT118" s="766">
        <v>0</v>
      </c>
      <c r="NU118" s="766">
        <v>0</v>
      </c>
      <c r="NV118" s="766">
        <v>0</v>
      </c>
      <c r="NW118" s="766">
        <v>0</v>
      </c>
      <c r="NX118" s="766"/>
      <c r="NY118" s="766"/>
      <c r="NZ118" s="766"/>
      <c r="OA118" s="766"/>
      <c r="OB118" s="766"/>
      <c r="OC118" s="766"/>
      <c r="OD118" s="766"/>
      <c r="OE118" s="766"/>
      <c r="OF118" s="766" t="s">
        <v>2142</v>
      </c>
      <c r="OG118" s="766"/>
      <c r="OH118" s="766"/>
      <c r="OI118" s="766"/>
      <c r="OJ118" s="766"/>
      <c r="OK118" s="766"/>
      <c r="OL118" s="766" t="s">
        <v>13172</v>
      </c>
      <c r="OM118" s="766" t="s">
        <v>13173</v>
      </c>
      <c r="ON118" s="766"/>
      <c r="OO118" s="766" t="s">
        <v>1207</v>
      </c>
      <c r="OP118" s="766" t="s">
        <v>13174</v>
      </c>
      <c r="OQ118" s="766" t="s">
        <v>13175</v>
      </c>
      <c r="OR118" s="766" t="s">
        <v>13176</v>
      </c>
      <c r="OS118" s="770"/>
      <c r="OT118" s="766"/>
      <c r="OU118" s="766"/>
      <c r="OV118" s="766"/>
      <c r="OW118" s="766"/>
      <c r="OX118" s="766"/>
      <c r="OY118" s="766"/>
      <c r="OZ118" s="766"/>
      <c r="PA118" s="766"/>
      <c r="PB118" s="766"/>
      <c r="PC118" s="766"/>
      <c r="PD118" s="766"/>
      <c r="PE118" s="766"/>
      <c r="PF118" s="766"/>
      <c r="PG118" s="766"/>
      <c r="PH118" s="766"/>
      <c r="PI118" s="766"/>
      <c r="PJ118" s="766"/>
      <c r="PK118" s="766"/>
      <c r="PL118" s="766"/>
      <c r="PM118" s="766" t="s">
        <v>1208</v>
      </c>
      <c r="PN118" s="766"/>
      <c r="PO118" s="766"/>
      <c r="PP118" s="766"/>
      <c r="PQ118" s="766"/>
      <c r="PR118" s="766"/>
      <c r="PS118" s="766"/>
      <c r="PT118" s="766"/>
      <c r="PU118" s="766"/>
      <c r="PV118" s="766"/>
      <c r="PW118" s="766"/>
      <c r="PX118" s="766"/>
      <c r="PY118" s="766"/>
      <c r="PZ118" s="766"/>
      <c r="QA118" s="766"/>
      <c r="QB118" s="766"/>
      <c r="QC118" s="766"/>
      <c r="QD118" s="766"/>
      <c r="QE118" s="766"/>
      <c r="QF118" s="766"/>
      <c r="QG118" s="766" t="s">
        <v>1208</v>
      </c>
      <c r="QH118" s="766"/>
      <c r="QI118" s="766"/>
      <c r="QJ118" s="766"/>
      <c r="QK118" s="766"/>
      <c r="QL118" s="766"/>
      <c r="QM118" s="766"/>
      <c r="QN118" s="766"/>
      <c r="QO118" s="766"/>
      <c r="QP118" s="766"/>
      <c r="QQ118" s="766"/>
      <c r="QR118" s="766"/>
      <c r="QS118" s="766"/>
      <c r="QT118" s="766"/>
      <c r="QU118" s="766"/>
      <c r="QV118" s="766"/>
      <c r="QW118" s="766"/>
      <c r="QX118" s="766"/>
      <c r="QY118" s="766"/>
      <c r="QZ118" s="766"/>
      <c r="RA118" s="766"/>
      <c r="RB118" s="770" t="s">
        <v>1207</v>
      </c>
      <c r="RC118" s="1707">
        <v>42644</v>
      </c>
      <c r="RD118" s="766" t="s">
        <v>12989</v>
      </c>
      <c r="RE118" s="766" t="s">
        <v>12999</v>
      </c>
      <c r="RF118" s="777">
        <v>1.5</v>
      </c>
      <c r="RG118" s="766" t="s">
        <v>13138</v>
      </c>
      <c r="RH118" s="775" t="s">
        <v>1604</v>
      </c>
      <c r="RI118" s="766">
        <v>48</v>
      </c>
      <c r="RJ118" s="766" t="s">
        <v>2157</v>
      </c>
      <c r="RK118" s="766" t="s">
        <v>13148</v>
      </c>
      <c r="RL118" s="1683"/>
      <c r="RM118" s="12"/>
      <c r="RN118" s="1711"/>
      <c r="RO118" s="165" t="s">
        <v>190</v>
      </c>
      <c r="RP118" s="11"/>
      <c r="RQ118" s="11"/>
      <c r="RR118" s="771"/>
      <c r="RS118" s="158"/>
      <c r="RT118" s="11"/>
      <c r="RU118" s="11"/>
      <c r="RV118" s="158" t="s">
        <v>12414</v>
      </c>
      <c r="RW118" s="11" t="s">
        <v>7514</v>
      </c>
      <c r="RX118" s="11" t="s">
        <v>184</v>
      </c>
      <c r="RY118" s="11"/>
      <c r="RZ118" s="11" t="s">
        <v>7419</v>
      </c>
      <c r="SA118" s="158"/>
      <c r="SB118" s="11"/>
      <c r="SC118" s="11"/>
    </row>
    <row r="119" spans="1:497" ht="12.75" hidden="1" customHeight="1">
      <c r="A119" s="154" t="s">
        <v>14149</v>
      </c>
      <c r="B119" s="288" t="s">
        <v>7575</v>
      </c>
      <c r="C119" s="165" t="s">
        <v>194</v>
      </c>
      <c r="D119" s="766" t="s">
        <v>195</v>
      </c>
      <c r="E119" s="766" t="s">
        <v>196</v>
      </c>
      <c r="F119" s="766" t="s">
        <v>20</v>
      </c>
      <c r="G119" s="766" t="s">
        <v>18</v>
      </c>
      <c r="H119" s="766"/>
      <c r="I119" s="5"/>
      <c r="J119" s="766" t="s">
        <v>198</v>
      </c>
      <c r="K119" s="766"/>
      <c r="L119" s="766"/>
      <c r="M119" s="766"/>
      <c r="N119" s="766"/>
      <c r="O119" s="766"/>
      <c r="P119" s="766"/>
      <c r="Q119" s="1085"/>
      <c r="R119" s="25"/>
      <c r="S119" s="766"/>
      <c r="T119" s="766"/>
      <c r="U119" s="26"/>
      <c r="V119" s="766"/>
      <c r="W119" s="766"/>
      <c r="X119" s="766"/>
      <c r="Y119" s="766"/>
      <c r="Z119" s="766"/>
      <c r="AA119" s="766"/>
      <c r="AB119" s="766"/>
      <c r="AC119" s="766"/>
      <c r="AD119" s="766"/>
      <c r="AE119" s="766"/>
      <c r="AF119" s="766"/>
      <c r="AG119" s="766"/>
      <c r="AH119" s="38"/>
      <c r="AI119" s="770"/>
      <c r="AJ119" s="766"/>
      <c r="AK119" s="766" t="s">
        <v>5454</v>
      </c>
      <c r="AL119" s="121"/>
      <c r="AM119" s="772"/>
      <c r="AN119" s="774"/>
      <c r="AO119" s="766"/>
      <c r="AP119" s="766"/>
      <c r="AQ119" s="766"/>
      <c r="AR119" s="766"/>
      <c r="AS119" s="766"/>
      <c r="AT119" s="766"/>
      <c r="AU119" s="766"/>
      <c r="AV119" s="766"/>
      <c r="AW119" s="766"/>
      <c r="AX119" s="766"/>
      <c r="AY119" s="766"/>
      <c r="AZ119" s="766"/>
      <c r="BA119" s="766"/>
      <c r="BB119" s="766"/>
      <c r="BC119" s="766"/>
      <c r="BD119" s="766"/>
      <c r="BE119" s="766"/>
      <c r="BF119" s="775"/>
      <c r="BG119" s="775"/>
      <c r="BH119" s="766"/>
      <c r="BI119" s="766"/>
      <c r="BJ119" s="766"/>
      <c r="BK119" s="770" t="s">
        <v>1095</v>
      </c>
      <c r="BL119" s="766" t="s">
        <v>1303</v>
      </c>
      <c r="BM119" s="766" t="s">
        <v>1096</v>
      </c>
      <c r="BN119" s="766" t="s">
        <v>1230</v>
      </c>
      <c r="BO119" s="766" t="s">
        <v>1239</v>
      </c>
      <c r="BP119" s="776">
        <v>115.36</v>
      </c>
      <c r="BQ119" s="776">
        <v>115.36</v>
      </c>
      <c r="BR119" s="774">
        <f>BQ119/BP119</f>
        <v>1</v>
      </c>
      <c r="BS119" s="766" t="s">
        <v>1268</v>
      </c>
      <c r="BT119" s="766" t="s">
        <v>2040</v>
      </c>
      <c r="BU119" s="766" t="s">
        <v>1304</v>
      </c>
      <c r="BV119" s="766" t="s">
        <v>1247</v>
      </c>
      <c r="BW119" s="766">
        <v>2005</v>
      </c>
      <c r="BX119" s="766"/>
      <c r="BY119" s="766"/>
      <c r="BZ119" s="766"/>
      <c r="CA119" s="766"/>
      <c r="CB119" s="766"/>
      <c r="CC119" s="766"/>
      <c r="CD119" s="766"/>
      <c r="CE119" s="766"/>
      <c r="CF119" s="777"/>
      <c r="CG119" s="778"/>
      <c r="CH119" s="766"/>
      <c r="CI119" s="766"/>
      <c r="CJ119" s="766"/>
      <c r="CK119" s="766"/>
      <c r="CL119" s="766"/>
      <c r="CM119" s="766"/>
      <c r="CN119" s="766"/>
      <c r="CO119" s="766"/>
      <c r="CP119" s="766"/>
      <c r="CQ119" s="766"/>
      <c r="CR119" s="775"/>
      <c r="CS119" s="766"/>
      <c r="CT119" s="766"/>
      <c r="CU119" s="129"/>
      <c r="CV119" s="766"/>
      <c r="CW119" s="766"/>
      <c r="CX119" s="766"/>
      <c r="CY119" s="766"/>
      <c r="CZ119" s="766"/>
      <c r="DA119" s="766"/>
      <c r="DB119" s="766"/>
      <c r="DC119" s="766"/>
      <c r="DD119" s="766"/>
      <c r="DE119" s="766"/>
      <c r="DF119" s="766"/>
      <c r="DG119" s="766"/>
      <c r="DH119" s="766"/>
      <c r="DI119" s="766"/>
      <c r="DJ119" s="766"/>
      <c r="DK119" s="766"/>
      <c r="DL119" s="766"/>
      <c r="DM119" s="766"/>
      <c r="DN119" s="766"/>
      <c r="DO119" s="766"/>
      <c r="DP119" s="766"/>
      <c r="DQ119" s="766"/>
      <c r="DR119" s="766"/>
      <c r="DS119" s="59"/>
      <c r="DT119" s="766"/>
      <c r="DU119" s="766"/>
      <c r="DV119" s="766"/>
      <c r="DW119" s="66"/>
      <c r="DX119" s="66"/>
      <c r="DY119" s="766"/>
      <c r="DZ119" s="766"/>
      <c r="EA119" s="766"/>
      <c r="EB119" s="766"/>
      <c r="EC119" s="766"/>
      <c r="ED119" s="766"/>
      <c r="EE119" s="766"/>
      <c r="EF119" s="766"/>
      <c r="EG119" s="766"/>
      <c r="EH119" s="766"/>
      <c r="EI119" s="766"/>
      <c r="EJ119" s="766"/>
      <c r="EK119" s="766"/>
      <c r="EL119" s="766"/>
      <c r="EM119" s="766"/>
      <c r="EN119" s="766"/>
      <c r="EO119" s="766"/>
      <c r="EP119" s="766"/>
      <c r="EQ119" s="766"/>
      <c r="ER119" s="766"/>
      <c r="ES119" s="766"/>
      <c r="ET119" s="766"/>
      <c r="EU119" s="766"/>
      <c r="EV119" s="766"/>
      <c r="EW119" s="766"/>
      <c r="EX119" s="766"/>
      <c r="EY119" s="766"/>
      <c r="EZ119" s="766"/>
      <c r="FA119" s="766"/>
      <c r="FB119" s="766"/>
      <c r="FC119" s="766"/>
      <c r="FD119" s="775"/>
      <c r="FE119" s="766"/>
      <c r="FF119" s="766"/>
      <c r="FG119" s="766"/>
      <c r="FH119" s="766"/>
      <c r="FI119" s="766"/>
      <c r="FJ119" s="766"/>
      <c r="FK119" s="25"/>
      <c r="FL119" s="766"/>
      <c r="FM119" s="775"/>
      <c r="FN119" s="775"/>
      <c r="FO119" s="775"/>
      <c r="FP119" s="766" t="s">
        <v>1602</v>
      </c>
      <c r="FQ119" s="766" t="s">
        <v>1660</v>
      </c>
      <c r="FR119" s="766"/>
      <c r="FS119" s="766"/>
      <c r="FT119" s="766"/>
      <c r="FU119" s="766"/>
      <c r="FV119" s="766"/>
      <c r="FW119" s="766"/>
      <c r="FX119" s="766"/>
      <c r="FY119" s="766"/>
      <c r="FZ119" s="766"/>
      <c r="GA119" s="766"/>
      <c r="GB119" s="766"/>
      <c r="GC119" s="75"/>
      <c r="GD119" s="25"/>
      <c r="GE119" s="766"/>
      <c r="GF119" s="775"/>
      <c r="GG119" s="775"/>
      <c r="GH119" s="766"/>
      <c r="GI119" s="766"/>
      <c r="GJ119" s="766"/>
      <c r="GK119" s="766"/>
      <c r="GL119" s="766"/>
      <c r="GM119" s="766"/>
      <c r="GN119" s="82"/>
      <c r="GO119" s="766"/>
      <c r="GP119" s="766"/>
      <c r="GQ119" s="766"/>
      <c r="GR119" s="766"/>
      <c r="GS119" s="766"/>
      <c r="GT119" s="766"/>
      <c r="GU119" s="766"/>
      <c r="GV119" s="766"/>
      <c r="GW119" s="766"/>
      <c r="GX119" s="766"/>
      <c r="GY119" s="766"/>
      <c r="GZ119" s="766"/>
      <c r="HA119" s="766"/>
      <c r="HB119" s="766"/>
      <c r="HC119" s="766"/>
      <c r="HD119" s="766"/>
      <c r="HE119" s="766"/>
      <c r="HF119" s="766"/>
      <c r="HG119" s="766"/>
      <c r="HH119" s="766"/>
      <c r="HI119" s="766"/>
      <c r="HJ119" s="766"/>
      <c r="HK119" s="766"/>
      <c r="HL119" s="766"/>
      <c r="HM119" s="766"/>
      <c r="HN119" s="766"/>
      <c r="HO119" s="766"/>
      <c r="HP119" s="766"/>
      <c r="HQ119" s="766"/>
      <c r="HR119" s="766"/>
      <c r="HS119" s="766"/>
      <c r="HT119" s="766"/>
      <c r="HU119" s="766"/>
      <c r="HV119" s="766"/>
      <c r="HW119" s="766"/>
      <c r="HX119" s="766"/>
      <c r="HY119" s="766"/>
      <c r="HZ119" s="766"/>
      <c r="IA119" s="766"/>
      <c r="IB119" s="766"/>
      <c r="IC119" s="766"/>
      <c r="ID119" s="766"/>
      <c r="IE119" s="766"/>
      <c r="IF119" s="766" t="s">
        <v>195</v>
      </c>
      <c r="IG119" s="766" t="s">
        <v>18</v>
      </c>
      <c r="IH119" s="766" t="s">
        <v>1263</v>
      </c>
      <c r="II119" s="766" t="s">
        <v>203</v>
      </c>
      <c r="IJ119" s="766" t="s">
        <v>1835</v>
      </c>
      <c r="IK119" s="766" t="s">
        <v>1888</v>
      </c>
      <c r="IL119" s="766" t="s">
        <v>1616</v>
      </c>
      <c r="IM119" s="766" t="s">
        <v>1817</v>
      </c>
      <c r="IN119" s="766" t="s">
        <v>1616</v>
      </c>
      <c r="IO119" s="24"/>
      <c r="IP119" s="766" t="s">
        <v>1306</v>
      </c>
      <c r="IQ119" s="769" t="s">
        <v>1882</v>
      </c>
      <c r="IR119" s="770" t="s">
        <v>2716</v>
      </c>
      <c r="IS119" s="766"/>
      <c r="IT119" s="766"/>
      <c r="IU119" s="766"/>
      <c r="IV119" s="766"/>
      <c r="IW119" s="766"/>
      <c r="IX119" s="766"/>
      <c r="IY119" s="766"/>
      <c r="IZ119" s="766"/>
      <c r="JA119" s="766"/>
      <c r="JB119" s="766"/>
      <c r="JC119" s="766"/>
      <c r="JD119" s="775"/>
      <c r="JE119" s="766"/>
      <c r="JF119" s="766"/>
      <c r="JG119" s="766"/>
      <c r="JH119" s="766"/>
      <c r="JI119" s="766"/>
      <c r="JJ119" s="766"/>
      <c r="JK119" s="766"/>
      <c r="JL119" s="766"/>
      <c r="JM119" s="766"/>
      <c r="JN119" s="766"/>
      <c r="JO119" s="766"/>
      <c r="JP119" s="766"/>
      <c r="JQ119" s="766"/>
      <c r="JR119" s="766"/>
      <c r="JS119" s="766"/>
      <c r="JT119" s="766"/>
      <c r="JU119" s="766"/>
      <c r="JV119" s="766"/>
      <c r="JW119" s="766"/>
      <c r="JX119" s="766"/>
      <c r="JY119" s="766"/>
      <c r="JZ119" s="766"/>
      <c r="KA119" s="766"/>
      <c r="KB119" s="766"/>
      <c r="KC119" s="766"/>
      <c r="KD119" s="766"/>
      <c r="KE119" s="766"/>
      <c r="KF119" s="766"/>
      <c r="KG119" s="766"/>
      <c r="KH119" s="766"/>
      <c r="KI119" s="766"/>
      <c r="KJ119" s="770"/>
      <c r="KK119" s="770"/>
      <c r="KL119" s="770"/>
      <c r="KM119" s="770"/>
      <c r="KN119" s="766"/>
      <c r="KO119" s="28"/>
      <c r="KP119" s="766"/>
      <c r="KQ119" s="766"/>
      <c r="KR119" s="766"/>
      <c r="KS119" s="766"/>
      <c r="KT119" s="766"/>
      <c r="KU119" s="766"/>
      <c r="KV119" s="766"/>
      <c r="KW119" s="766"/>
      <c r="KX119" s="766"/>
      <c r="KY119" s="766"/>
      <c r="KZ119" s="766"/>
      <c r="LA119" s="766"/>
      <c r="LB119" s="766"/>
      <c r="LC119" s="766"/>
      <c r="LD119" s="766"/>
      <c r="LE119" s="766"/>
      <c r="LF119" s="766"/>
      <c r="LG119" s="766"/>
      <c r="LH119" s="766"/>
      <c r="LI119" s="766"/>
      <c r="LJ119" s="766"/>
      <c r="LK119" s="766"/>
      <c r="LL119" s="766"/>
      <c r="LM119" s="766"/>
      <c r="LN119" s="766"/>
      <c r="LO119" s="766"/>
      <c r="LP119" s="766"/>
      <c r="LQ119" s="1678"/>
      <c r="LR119" s="766"/>
      <c r="LS119" s="766"/>
      <c r="LT119" s="766"/>
      <c r="LU119" s="766"/>
      <c r="LV119" s="766"/>
      <c r="LW119" s="766"/>
      <c r="LX119" s="769"/>
      <c r="LY119" s="766" t="str">
        <f t="shared" si="23"/>
        <v/>
      </c>
      <c r="LZ119" s="66"/>
      <c r="MA119" s="766"/>
      <c r="MB119" s="766"/>
      <c r="MC119" s="1679">
        <f t="shared" si="24"/>
        <v>0</v>
      </c>
      <c r="MD119" s="66"/>
      <c r="ME119" s="66"/>
      <c r="MF119" s="66"/>
      <c r="MG119" s="1680">
        <f t="shared" si="15"/>
        <v>0</v>
      </c>
      <c r="MH119" s="1681"/>
      <c r="MI119" s="775"/>
      <c r="MJ119" s="775"/>
      <c r="MK119" s="775"/>
      <c r="ML119" s="775"/>
      <c r="MM119" s="775"/>
      <c r="MN119" s="775"/>
      <c r="MO119" s="775"/>
      <c r="MP119" s="775"/>
      <c r="MQ119" s="775"/>
      <c r="MR119" s="775"/>
      <c r="MS119" s="775"/>
      <c r="MT119" s="775"/>
      <c r="MU119" s="775"/>
      <c r="MV119" s="775"/>
      <c r="MW119" s="775"/>
      <c r="MX119" s="775"/>
      <c r="MY119" s="1682">
        <f t="shared" si="14"/>
        <v>0</v>
      </c>
      <c r="MZ119" s="766"/>
      <c r="NA119" s="766"/>
      <c r="NB119" s="766"/>
      <c r="NC119" s="766"/>
      <c r="ND119" s="766"/>
      <c r="NE119" s="766"/>
      <c r="NF119" s="766"/>
      <c r="NG119" s="766"/>
      <c r="NH119" s="766"/>
      <c r="NI119" s="766"/>
      <c r="NJ119" s="766"/>
      <c r="NK119" s="766"/>
      <c r="NL119" s="766"/>
      <c r="NM119" s="766"/>
      <c r="NN119" s="766"/>
      <c r="NO119" s="766"/>
      <c r="NP119" s="766"/>
      <c r="NQ119" s="766"/>
      <c r="NR119" s="766"/>
      <c r="NS119" s="766"/>
      <c r="NT119" s="766"/>
      <c r="NU119" s="766"/>
      <c r="NV119" s="766"/>
      <c r="NW119" s="766"/>
      <c r="NX119" s="766"/>
      <c r="NY119" s="766"/>
      <c r="NZ119" s="766"/>
      <c r="OA119" s="766"/>
      <c r="OB119" s="766"/>
      <c r="OC119" s="766"/>
      <c r="OD119" s="766"/>
      <c r="OE119" s="766"/>
      <c r="OF119" s="766"/>
      <c r="OG119" s="766"/>
      <c r="OH119" s="766"/>
      <c r="OI119" s="766"/>
      <c r="OJ119" s="766"/>
      <c r="OK119" s="766"/>
      <c r="OL119" s="766"/>
      <c r="OM119" s="766"/>
      <c r="ON119" s="766"/>
      <c r="OO119" s="766"/>
      <c r="OP119" s="766"/>
      <c r="OQ119" s="766"/>
      <c r="OR119" s="766"/>
      <c r="OS119" s="766"/>
      <c r="OT119" s="766"/>
      <c r="OU119" s="766"/>
      <c r="OV119" s="766"/>
      <c r="OW119" s="766"/>
      <c r="OX119" s="766"/>
      <c r="OY119" s="766"/>
      <c r="OZ119" s="766"/>
      <c r="PA119" s="766"/>
      <c r="PB119" s="766"/>
      <c r="PC119" s="766"/>
      <c r="PD119" s="766"/>
      <c r="PE119" s="766"/>
      <c r="PF119" s="766"/>
      <c r="PG119" s="766"/>
      <c r="PH119" s="766"/>
      <c r="PI119" s="766"/>
      <c r="PJ119" s="766"/>
      <c r="PK119" s="766"/>
      <c r="PL119" s="766"/>
      <c r="PM119" s="766"/>
      <c r="PN119" s="766"/>
      <c r="PO119" s="766"/>
      <c r="PP119" s="766"/>
      <c r="PQ119" s="766"/>
      <c r="PR119" s="766"/>
      <c r="PS119" s="766"/>
      <c r="PT119" s="766"/>
      <c r="PU119" s="766"/>
      <c r="PV119" s="766"/>
      <c r="PW119" s="766"/>
      <c r="PX119" s="766"/>
      <c r="PY119" s="766"/>
      <c r="PZ119" s="766"/>
      <c r="QA119" s="766"/>
      <c r="QB119" s="766"/>
      <c r="QC119" s="766"/>
      <c r="QD119" s="766"/>
      <c r="QE119" s="766"/>
      <c r="QF119" s="766"/>
      <c r="QG119" s="766"/>
      <c r="QH119" s="766"/>
      <c r="QI119" s="766"/>
      <c r="QJ119" s="766"/>
      <c r="QK119" s="766"/>
      <c r="QL119" s="766"/>
      <c r="QM119" s="766"/>
      <c r="QN119" s="766"/>
      <c r="QO119" s="766"/>
      <c r="QP119" s="766"/>
      <c r="QQ119" s="766"/>
      <c r="QR119" s="766"/>
      <c r="QS119" s="766"/>
      <c r="QT119" s="766"/>
      <c r="QU119" s="766"/>
      <c r="QV119" s="766"/>
      <c r="QW119" s="766"/>
      <c r="QX119" s="766"/>
      <c r="QY119" s="766"/>
      <c r="QZ119" s="766"/>
      <c r="RA119" s="766"/>
      <c r="RB119" s="766"/>
      <c r="RC119" s="766"/>
      <c r="RD119" s="766"/>
      <c r="RE119" s="766"/>
      <c r="RF119" s="777"/>
      <c r="RG119" s="766"/>
      <c r="RH119" s="775"/>
      <c r="RI119" s="766"/>
      <c r="RJ119" s="766" t="s">
        <v>13177</v>
      </c>
      <c r="RK119" s="766"/>
      <c r="RL119" s="1683"/>
      <c r="RM119" s="12"/>
      <c r="RN119" s="1711"/>
      <c r="RO119" s="165" t="s">
        <v>194</v>
      </c>
      <c r="RP119" s="11"/>
      <c r="RQ119" s="11"/>
      <c r="RR119" s="771"/>
      <c r="RS119" s="766"/>
      <c r="RT119" s="11"/>
      <c r="RU119" s="11"/>
      <c r="RV119" s="766" t="s">
        <v>7419</v>
      </c>
      <c r="RW119" s="11" t="s">
        <v>12421</v>
      </c>
      <c r="RX119" s="11" t="s">
        <v>7954</v>
      </c>
      <c r="RY119" s="11"/>
      <c r="RZ119" s="11"/>
      <c r="SA119" s="766"/>
      <c r="SB119" s="11"/>
      <c r="SC119" s="11"/>
    </row>
    <row r="120" spans="1:497" ht="12.75" hidden="1" customHeight="1">
      <c r="A120" s="767" t="s">
        <v>14149</v>
      </c>
      <c r="B120" s="288" t="s">
        <v>7515</v>
      </c>
      <c r="C120" s="165" t="s">
        <v>197</v>
      </c>
      <c r="D120" s="766" t="s">
        <v>195</v>
      </c>
      <c r="E120" s="766" t="s">
        <v>196</v>
      </c>
      <c r="F120" s="766" t="s">
        <v>20</v>
      </c>
      <c r="G120" s="766" t="s">
        <v>18</v>
      </c>
      <c r="H120" s="766"/>
      <c r="I120" s="5"/>
      <c r="J120" s="766" t="s">
        <v>198</v>
      </c>
      <c r="K120" s="766"/>
      <c r="L120" s="766"/>
      <c r="M120" s="766"/>
      <c r="N120" s="766"/>
      <c r="O120" s="766"/>
      <c r="P120" s="14" t="s">
        <v>806</v>
      </c>
      <c r="Q120" s="1085">
        <v>28339</v>
      </c>
      <c r="R120" s="25">
        <v>38</v>
      </c>
      <c r="S120" s="766" t="s">
        <v>10</v>
      </c>
      <c r="T120" s="766"/>
      <c r="U120" s="766" t="s">
        <v>198</v>
      </c>
      <c r="V120" s="766" t="s">
        <v>722</v>
      </c>
      <c r="W120" s="766"/>
      <c r="X120" s="766"/>
      <c r="Y120" s="766" t="s">
        <v>807</v>
      </c>
      <c r="Z120" s="766"/>
      <c r="AA120" s="766" t="s">
        <v>709</v>
      </c>
      <c r="AB120" s="766" t="s">
        <v>7275</v>
      </c>
      <c r="AC120" s="766" t="s">
        <v>777</v>
      </c>
      <c r="AD120" s="766" t="s">
        <v>711</v>
      </c>
      <c r="AE120" s="766"/>
      <c r="AF120" s="766" t="s">
        <v>712</v>
      </c>
      <c r="AG120" s="766"/>
      <c r="AH120" s="38"/>
      <c r="AI120" s="770"/>
      <c r="AJ120" s="766"/>
      <c r="AK120" s="766" t="s">
        <v>5454</v>
      </c>
      <c r="AL120" s="121"/>
      <c r="AM120" s="772"/>
      <c r="AN120" s="774"/>
      <c r="AO120" s="766"/>
      <c r="AP120" s="766"/>
      <c r="AQ120" s="766"/>
      <c r="AR120" s="766"/>
      <c r="AS120" s="766"/>
      <c r="AT120" s="766"/>
      <c r="AU120" s="766"/>
      <c r="AV120" s="766"/>
      <c r="AW120" s="766"/>
      <c r="AX120" s="766"/>
      <c r="AY120" s="766"/>
      <c r="AZ120" s="766"/>
      <c r="BA120" s="766"/>
      <c r="BB120" s="766"/>
      <c r="BC120" s="766"/>
      <c r="BD120" s="766"/>
      <c r="BE120" s="766"/>
      <c r="BF120" s="775"/>
      <c r="BG120" s="775"/>
      <c r="BH120" s="766"/>
      <c r="BI120" s="766"/>
      <c r="BJ120" s="766"/>
      <c r="BK120" s="766"/>
      <c r="BL120" s="766"/>
      <c r="BM120" s="766" t="s">
        <v>1238</v>
      </c>
      <c r="BN120" s="766" t="s">
        <v>1263</v>
      </c>
      <c r="BO120" s="766"/>
      <c r="BP120" s="776"/>
      <c r="BQ120" s="772"/>
      <c r="BR120" s="774"/>
      <c r="BS120" s="766" t="s">
        <v>1268</v>
      </c>
      <c r="BT120" s="766"/>
      <c r="BU120" s="766"/>
      <c r="BV120" s="766"/>
      <c r="BW120" s="766"/>
      <c r="BX120" s="779"/>
      <c r="BY120" s="766"/>
      <c r="BZ120" s="775"/>
      <c r="CA120" s="766"/>
      <c r="CB120" s="766"/>
      <c r="CC120" s="766"/>
      <c r="CD120" s="766"/>
      <c r="CE120" s="766"/>
      <c r="CF120" s="777"/>
      <c r="CG120" s="778"/>
      <c r="CH120" s="766"/>
      <c r="CI120" s="766"/>
      <c r="CJ120" s="766"/>
      <c r="CK120" s="766"/>
      <c r="CL120" s="766"/>
      <c r="CM120" s="766"/>
      <c r="CN120" s="766"/>
      <c r="CO120" s="766"/>
      <c r="CP120" s="766"/>
      <c r="CQ120" s="766"/>
      <c r="CR120" s="775"/>
      <c r="CS120" s="766"/>
      <c r="CT120" s="766"/>
      <c r="CU120" s="129"/>
      <c r="CV120" s="766"/>
      <c r="CW120" s="766"/>
      <c r="CX120" s="766"/>
      <c r="CY120" s="766"/>
      <c r="CZ120" s="766"/>
      <c r="DA120" s="766"/>
      <c r="DB120" s="766"/>
      <c r="DC120" s="766"/>
      <c r="DD120" s="766"/>
      <c r="DE120" s="766"/>
      <c r="DF120" s="766"/>
      <c r="DG120" s="766"/>
      <c r="DH120" s="766"/>
      <c r="DI120" s="766"/>
      <c r="DJ120" s="766"/>
      <c r="DK120" s="766"/>
      <c r="DL120" s="766"/>
      <c r="DM120" s="766"/>
      <c r="DN120" s="766"/>
      <c r="DO120" s="766"/>
      <c r="DP120" s="766"/>
      <c r="DQ120" s="766"/>
      <c r="DR120" s="766"/>
      <c r="DS120" s="59"/>
      <c r="DT120" s="766"/>
      <c r="DU120" s="766"/>
      <c r="DV120" s="766"/>
      <c r="DW120" s="66"/>
      <c r="DX120" s="66"/>
      <c r="DY120" s="766"/>
      <c r="DZ120" s="766"/>
      <c r="EA120" s="766"/>
      <c r="EB120" s="766"/>
      <c r="EC120" s="766"/>
      <c r="ED120" s="766"/>
      <c r="EE120" s="766"/>
      <c r="EF120" s="766"/>
      <c r="EG120" s="766"/>
      <c r="EH120" s="766"/>
      <c r="EI120" s="766"/>
      <c r="EJ120" s="766"/>
      <c r="EK120" s="766"/>
      <c r="EL120" s="766"/>
      <c r="EM120" s="766"/>
      <c r="EN120" s="766"/>
      <c r="EO120" s="766"/>
      <c r="EP120" s="766"/>
      <c r="EQ120" s="766"/>
      <c r="ER120" s="766"/>
      <c r="ES120" s="766"/>
      <c r="ET120" s="766"/>
      <c r="EU120" s="766"/>
      <c r="EV120" s="766"/>
      <c r="EW120" s="766"/>
      <c r="EX120" s="766"/>
      <c r="EY120" s="766"/>
      <c r="EZ120" s="766"/>
      <c r="FA120" s="766"/>
      <c r="FB120" s="766"/>
      <c r="FC120" s="766"/>
      <c r="FD120" s="775"/>
      <c r="FE120" s="766"/>
      <c r="FF120" s="766"/>
      <c r="FG120" s="766"/>
      <c r="FH120" s="766" t="s">
        <v>1263</v>
      </c>
      <c r="FI120" s="766">
        <v>4</v>
      </c>
      <c r="FJ120" s="766" t="s">
        <v>1616</v>
      </c>
      <c r="FK120" s="25"/>
      <c r="FL120" s="766" t="s">
        <v>1617</v>
      </c>
      <c r="FM120" s="775"/>
      <c r="FN120" s="775">
        <v>700</v>
      </c>
      <c r="FO120" s="775">
        <v>1000</v>
      </c>
      <c r="FP120" s="766" t="s">
        <v>1602</v>
      </c>
      <c r="FQ120" s="766" t="s">
        <v>1660</v>
      </c>
      <c r="FR120" s="766"/>
      <c r="FS120" s="766"/>
      <c r="FT120" s="766"/>
      <c r="FU120" s="766"/>
      <c r="FV120" s="766"/>
      <c r="FW120" s="766"/>
      <c r="FX120" s="766"/>
      <c r="FY120" s="766"/>
      <c r="FZ120" s="766"/>
      <c r="GA120" s="766"/>
      <c r="GB120" s="766"/>
      <c r="GC120" s="75"/>
      <c r="GD120" s="25"/>
      <c r="GE120" s="766"/>
      <c r="GF120" s="775"/>
      <c r="GG120" s="775"/>
      <c r="GH120" s="766"/>
      <c r="GI120" s="766"/>
      <c r="GJ120" s="766"/>
      <c r="GK120" s="766"/>
      <c r="GL120" s="766"/>
      <c r="GM120" s="766"/>
      <c r="GN120" s="82"/>
      <c r="GO120" s="766"/>
      <c r="GP120" s="766"/>
      <c r="GQ120" s="766"/>
      <c r="GR120" s="766"/>
      <c r="GS120" s="766"/>
      <c r="GT120" s="766"/>
      <c r="GU120" s="766"/>
      <c r="GV120" s="766"/>
      <c r="GW120" s="766"/>
      <c r="GX120" s="766"/>
      <c r="GY120" s="766"/>
      <c r="GZ120" s="766"/>
      <c r="HA120" s="766"/>
      <c r="HB120" s="766"/>
      <c r="HC120" s="766"/>
      <c r="HD120" s="766"/>
      <c r="HE120" s="766"/>
      <c r="HF120" s="766"/>
      <c r="HG120" s="766"/>
      <c r="HH120" s="766"/>
      <c r="HI120" s="766"/>
      <c r="HJ120" s="766"/>
      <c r="HK120" s="766"/>
      <c r="HL120" s="766"/>
      <c r="HM120" s="766"/>
      <c r="HN120" s="766"/>
      <c r="HO120" s="766"/>
      <c r="HP120" s="766"/>
      <c r="HQ120" s="766"/>
      <c r="HR120" s="766"/>
      <c r="HS120" s="766"/>
      <c r="HT120" s="766"/>
      <c r="HU120" s="766"/>
      <c r="HV120" s="766"/>
      <c r="HW120" s="766"/>
      <c r="HX120" s="766"/>
      <c r="HY120" s="766"/>
      <c r="HZ120" s="766"/>
      <c r="IA120" s="766"/>
      <c r="IB120" s="14" t="e">
        <f>IF(#REF!&gt;0,IF(#REF!&lt;=10000,"Y",""),"")</f>
        <v>#REF!</v>
      </c>
      <c r="IC120" s="766"/>
      <c r="ID120" s="766"/>
      <c r="IE120" s="766"/>
      <c r="IF120" s="766"/>
      <c r="IG120" s="766"/>
      <c r="IH120" s="766"/>
      <c r="II120" s="766"/>
      <c r="IJ120" s="766"/>
      <c r="IK120" s="766"/>
      <c r="IL120" s="766"/>
      <c r="IM120" s="766"/>
      <c r="IN120" s="766"/>
      <c r="IO120" s="24"/>
      <c r="IP120" s="766"/>
      <c r="IQ120" s="766"/>
      <c r="IR120" s="766"/>
      <c r="IS120" s="766"/>
      <c r="IT120" s="766"/>
      <c r="IU120" s="766"/>
      <c r="IV120" s="766"/>
      <c r="IW120" s="766"/>
      <c r="IX120" s="766"/>
      <c r="IY120" s="766"/>
      <c r="IZ120" s="766"/>
      <c r="JA120" s="766"/>
      <c r="JB120" s="766"/>
      <c r="JC120" s="766"/>
      <c r="JD120" s="775"/>
      <c r="JE120" s="766"/>
      <c r="JF120" s="766"/>
      <c r="JG120" s="766"/>
      <c r="JH120" s="766"/>
      <c r="JI120" s="766"/>
      <c r="JJ120" s="766">
        <v>5</v>
      </c>
      <c r="JK120" s="1139" t="s">
        <v>806</v>
      </c>
      <c r="JL120" s="766"/>
      <c r="JM120" s="766"/>
      <c r="JN120" s="766">
        <v>3</v>
      </c>
      <c r="JO120" s="766">
        <v>2</v>
      </c>
      <c r="JP120" s="766"/>
      <c r="JQ120" s="766"/>
      <c r="JR120" s="766"/>
      <c r="JS120" s="766"/>
      <c r="JT120" s="766">
        <f t="shared" ref="JT120:JU124" si="31">SUM(JP120,JN120,JL120,JR120)</f>
        <v>3</v>
      </c>
      <c r="JU120" s="766">
        <f t="shared" si="31"/>
        <v>2</v>
      </c>
      <c r="JV120" s="712" t="str">
        <f>IF(JT120=KJ120,"ok","male")</f>
        <v>ok</v>
      </c>
      <c r="JW120" s="712" t="str">
        <f>IF(JU120=KK120,"ok","female")</f>
        <v>ok</v>
      </c>
      <c r="JX120" s="766"/>
      <c r="JY120" s="766"/>
      <c r="JZ120" s="766"/>
      <c r="KA120" s="766"/>
      <c r="KB120" s="766">
        <v>2</v>
      </c>
      <c r="KC120" s="766">
        <v>1</v>
      </c>
      <c r="KD120" s="766">
        <v>1</v>
      </c>
      <c r="KE120" s="766">
        <v>1</v>
      </c>
      <c r="KF120" s="766"/>
      <c r="KG120" s="766"/>
      <c r="KH120" s="766"/>
      <c r="KI120" s="766"/>
      <c r="KJ120" s="770">
        <f t="shared" ref="KJ120:KK124" si="32">SUM(KF120,KD120,KB120,JZ120,JX120,KH120)</f>
        <v>3</v>
      </c>
      <c r="KK120" s="770">
        <f t="shared" si="32"/>
        <v>2</v>
      </c>
      <c r="KL120" s="712" t="str">
        <f>IF(KJ120=LN120,"ok","male")</f>
        <v>ok</v>
      </c>
      <c r="KM120" s="712" t="str">
        <f>IF(KK120=LO120,"ok","female")</f>
        <v>ok</v>
      </c>
      <c r="KN120" s="766" t="s">
        <v>722</v>
      </c>
      <c r="KO120" s="28"/>
      <c r="KP120" s="766"/>
      <c r="KQ120" s="766"/>
      <c r="KR120" s="766"/>
      <c r="KS120" s="766"/>
      <c r="KT120" s="766"/>
      <c r="KU120" s="766"/>
      <c r="KV120" s="766"/>
      <c r="KW120" s="766"/>
      <c r="KX120" s="766"/>
      <c r="KY120" s="766"/>
      <c r="KZ120" s="766"/>
      <c r="LA120" s="766"/>
      <c r="LB120" s="766">
        <v>1</v>
      </c>
      <c r="LC120" s="766"/>
      <c r="LD120" s="766">
        <v>1</v>
      </c>
      <c r="LE120" s="766">
        <v>2</v>
      </c>
      <c r="LF120" s="766"/>
      <c r="LG120" s="766"/>
      <c r="LH120" s="766">
        <v>1</v>
      </c>
      <c r="LI120" s="766"/>
      <c r="LJ120" s="766"/>
      <c r="LK120" s="766"/>
      <c r="LL120" s="766"/>
      <c r="LM120" s="766"/>
      <c r="LN120" s="766">
        <f t="shared" ref="LN120:LO124" si="33">SUM(KP120,KR120,KT120,KV120,KX120,KZ120,LB120,LD120,LF120,LH120,LJ120,LL120)</f>
        <v>3</v>
      </c>
      <c r="LO120" s="766">
        <f t="shared" si="33"/>
        <v>2</v>
      </c>
      <c r="LP120" s="766">
        <v>4</v>
      </c>
      <c r="LQ120" s="1678">
        <v>4</v>
      </c>
      <c r="LR120" s="766"/>
      <c r="LS120" s="766"/>
      <c r="LT120" s="712" t="str">
        <f>IF(LQ120=SUM(LU120:LW120),"OK","REV")</f>
        <v>OK</v>
      </c>
      <c r="LU120" s="766">
        <v>3</v>
      </c>
      <c r="LV120" s="766">
        <v>1</v>
      </c>
      <c r="LW120" s="766"/>
      <c r="LX120" s="769">
        <v>4</v>
      </c>
      <c r="LY120" s="766" t="str">
        <f t="shared" si="23"/>
        <v>OTHER Province</v>
      </c>
      <c r="LZ120" s="66"/>
      <c r="MA120" s="766"/>
      <c r="MB120" s="766"/>
      <c r="MC120" s="1679">
        <f t="shared" si="24"/>
        <v>0</v>
      </c>
      <c r="MD120" s="66">
        <v>45000</v>
      </c>
      <c r="ME120" s="66"/>
      <c r="MF120" s="66"/>
      <c r="MG120" s="1680">
        <f t="shared" si="15"/>
        <v>45000</v>
      </c>
      <c r="MH120" s="1681"/>
      <c r="MI120" s="775">
        <f>PRODUCT(3500,4)</f>
        <v>14000</v>
      </c>
      <c r="MJ120" s="775">
        <f>PRODUCT(30,100)</f>
        <v>3000</v>
      </c>
      <c r="MK120" s="775">
        <v>300</v>
      </c>
      <c r="ML120" s="775"/>
      <c r="MM120" s="775"/>
      <c r="MN120" s="775"/>
      <c r="MO120" s="775">
        <v>300</v>
      </c>
      <c r="MP120" s="775">
        <v>1000</v>
      </c>
      <c r="MQ120" s="775">
        <f>PRODUCT(460,2)</f>
        <v>920</v>
      </c>
      <c r="MR120" s="775">
        <v>700</v>
      </c>
      <c r="MS120" s="775"/>
      <c r="MT120" s="775"/>
      <c r="MU120" s="775"/>
      <c r="MV120" s="775"/>
      <c r="MW120" s="775"/>
      <c r="MX120" s="775"/>
      <c r="MY120" s="1682">
        <f t="shared" si="14"/>
        <v>20220</v>
      </c>
      <c r="MZ120" s="766" t="s">
        <v>13004</v>
      </c>
      <c r="NA120" s="766" t="s">
        <v>13005</v>
      </c>
      <c r="NB120" s="766" t="s">
        <v>13006</v>
      </c>
      <c r="NC120" s="766" t="s">
        <v>13007</v>
      </c>
      <c r="ND120" s="766">
        <v>0</v>
      </c>
      <c r="NE120" s="766">
        <v>2</v>
      </c>
      <c r="NF120" s="766">
        <v>0</v>
      </c>
      <c r="NG120" s="766">
        <v>3</v>
      </c>
      <c r="NH120" s="766">
        <v>1</v>
      </c>
      <c r="NI120" s="766">
        <v>0</v>
      </c>
      <c r="NJ120" s="766">
        <v>0</v>
      </c>
      <c r="NK120" s="766">
        <v>0</v>
      </c>
      <c r="NL120" s="766">
        <v>1</v>
      </c>
      <c r="NM120" s="766">
        <v>1</v>
      </c>
      <c r="NN120" s="766">
        <v>0</v>
      </c>
      <c r="NO120" s="766">
        <v>0</v>
      </c>
      <c r="NP120" s="766">
        <v>0</v>
      </c>
      <c r="NQ120" s="766">
        <v>0</v>
      </c>
      <c r="NR120" s="766">
        <v>0</v>
      </c>
      <c r="NS120" s="766">
        <v>0</v>
      </c>
      <c r="NT120" s="766">
        <v>0</v>
      </c>
      <c r="NU120" s="766">
        <v>0</v>
      </c>
      <c r="NV120" s="766">
        <v>0</v>
      </c>
      <c r="NW120" s="766">
        <v>0</v>
      </c>
      <c r="NX120" s="766">
        <v>0</v>
      </c>
      <c r="NY120" s="766" t="s">
        <v>1208</v>
      </c>
      <c r="NZ120" s="766"/>
      <c r="OA120" s="766"/>
      <c r="OB120" s="766"/>
      <c r="OC120" s="766" t="s">
        <v>1208</v>
      </c>
      <c r="OD120" s="766" t="s">
        <v>1208</v>
      </c>
      <c r="OE120" s="766"/>
      <c r="OF120" s="766" t="s">
        <v>2142</v>
      </c>
      <c r="OG120" s="766"/>
      <c r="OH120" s="766"/>
      <c r="OI120" s="766"/>
      <c r="OJ120" s="766"/>
      <c r="OK120" s="766"/>
      <c r="OL120" s="766" t="s">
        <v>13178</v>
      </c>
      <c r="OM120" s="766" t="s">
        <v>13179</v>
      </c>
      <c r="ON120" s="766"/>
      <c r="OO120" s="766" t="s">
        <v>1214</v>
      </c>
      <c r="OP120" s="766"/>
      <c r="OQ120" s="766"/>
      <c r="OR120" s="766"/>
      <c r="OS120" s="766"/>
      <c r="OT120" s="766"/>
      <c r="OU120" s="766"/>
      <c r="OV120" s="766"/>
      <c r="OW120" s="766"/>
      <c r="OX120" s="766"/>
      <c r="OY120" s="766"/>
      <c r="OZ120" s="766"/>
      <c r="PA120" s="766"/>
      <c r="PB120" s="766"/>
      <c r="PC120" s="766"/>
      <c r="PD120" s="766"/>
      <c r="PE120" s="766"/>
      <c r="PF120" s="766"/>
      <c r="PG120" s="766"/>
      <c r="PH120" s="766"/>
      <c r="PI120" s="766"/>
      <c r="PJ120" s="766"/>
      <c r="PK120" s="766"/>
      <c r="PL120" s="766"/>
      <c r="PM120" s="766"/>
      <c r="PN120" s="766"/>
      <c r="PO120" s="766"/>
      <c r="PP120" s="766"/>
      <c r="PQ120" s="766"/>
      <c r="PR120" s="766"/>
      <c r="PS120" s="766"/>
      <c r="PT120" s="766"/>
      <c r="PU120" s="766"/>
      <c r="PV120" s="766"/>
      <c r="PW120" s="766"/>
      <c r="PX120" s="766"/>
      <c r="PY120" s="766"/>
      <c r="PZ120" s="766"/>
      <c r="QA120" s="766"/>
      <c r="QB120" s="766" t="s">
        <v>1208</v>
      </c>
      <c r="QC120" s="766"/>
      <c r="QD120" s="766"/>
      <c r="QE120" s="766"/>
      <c r="QF120" s="766"/>
      <c r="QG120" s="766"/>
      <c r="QH120" s="766"/>
      <c r="QI120" s="766"/>
      <c r="QJ120" s="766"/>
      <c r="QK120" s="766"/>
      <c r="QL120" s="766"/>
      <c r="QM120" s="766"/>
      <c r="QN120" s="766"/>
      <c r="QO120" s="766"/>
      <c r="QP120" s="766"/>
      <c r="QQ120" s="766"/>
      <c r="QR120" s="766"/>
      <c r="QS120" s="766"/>
      <c r="QT120" s="766"/>
      <c r="QU120" s="766"/>
      <c r="QV120" s="766"/>
      <c r="QW120" s="766"/>
      <c r="QX120" s="766"/>
      <c r="QY120" s="766"/>
      <c r="QZ120" s="766"/>
      <c r="RA120" s="766"/>
      <c r="RB120" s="770" t="s">
        <v>1207</v>
      </c>
      <c r="RC120" s="766">
        <v>2014</v>
      </c>
      <c r="RD120" s="766" t="s">
        <v>12989</v>
      </c>
      <c r="RE120" s="766" t="s">
        <v>12999</v>
      </c>
      <c r="RF120" s="777">
        <v>1</v>
      </c>
      <c r="RG120" s="766" t="s">
        <v>12991</v>
      </c>
      <c r="RH120" s="775">
        <v>0</v>
      </c>
      <c r="RI120" s="766">
        <v>4</v>
      </c>
      <c r="RJ120" s="766" t="s">
        <v>13180</v>
      </c>
      <c r="RK120" s="766" t="s">
        <v>13148</v>
      </c>
      <c r="RL120" s="1683"/>
      <c r="RM120" s="12"/>
      <c r="RN120" s="1711"/>
      <c r="RO120" s="165" t="s">
        <v>197</v>
      </c>
      <c r="RP120" s="11"/>
      <c r="RQ120" s="11"/>
      <c r="RR120" s="767" t="s">
        <v>12415</v>
      </c>
      <c r="RS120" s="1139" t="s">
        <v>12980</v>
      </c>
      <c r="RT120" s="11"/>
      <c r="RU120" s="11"/>
      <c r="RV120" s="766" t="s">
        <v>7419</v>
      </c>
      <c r="RW120" s="11" t="s">
        <v>7574</v>
      </c>
      <c r="RX120" s="11" t="s">
        <v>190</v>
      </c>
      <c r="RY120" s="11"/>
      <c r="RZ120" s="11" t="s">
        <v>7419</v>
      </c>
      <c r="SA120" s="766"/>
      <c r="SB120" s="11"/>
      <c r="SC120" s="11"/>
    </row>
    <row r="121" spans="1:497" ht="15" hidden="1" customHeight="1">
      <c r="A121" s="767" t="s">
        <v>14149</v>
      </c>
      <c r="B121" s="288" t="s">
        <v>7516</v>
      </c>
      <c r="C121" s="165" t="s">
        <v>199</v>
      </c>
      <c r="D121" s="760" t="s">
        <v>808</v>
      </c>
      <c r="E121" s="766" t="s">
        <v>196</v>
      </c>
      <c r="F121" s="766"/>
      <c r="G121" s="766"/>
      <c r="H121" s="766"/>
      <c r="I121" s="5"/>
      <c r="J121" s="760" t="s">
        <v>2061</v>
      </c>
      <c r="K121" s="766"/>
      <c r="L121" s="766"/>
      <c r="M121" s="766"/>
      <c r="N121" s="766"/>
      <c r="O121" s="766"/>
      <c r="P121" s="760" t="s">
        <v>2061</v>
      </c>
      <c r="Q121" s="1085">
        <v>29712</v>
      </c>
      <c r="R121" s="25">
        <v>34</v>
      </c>
      <c r="S121" s="766" t="s">
        <v>10</v>
      </c>
      <c r="T121" s="766"/>
      <c r="U121" s="26" t="s">
        <v>809</v>
      </c>
      <c r="V121" s="766" t="s">
        <v>722</v>
      </c>
      <c r="W121" s="766"/>
      <c r="X121" s="766"/>
      <c r="Y121" s="766" t="s">
        <v>810</v>
      </c>
      <c r="Z121" s="766" t="s">
        <v>708</v>
      </c>
      <c r="AA121" s="766" t="s">
        <v>709</v>
      </c>
      <c r="AB121" s="766"/>
      <c r="AC121" s="766"/>
      <c r="AD121" s="766" t="s">
        <v>711</v>
      </c>
      <c r="AE121" s="766"/>
      <c r="AF121" s="766"/>
      <c r="AG121" s="766"/>
      <c r="AH121" s="38"/>
      <c r="AI121" s="770"/>
      <c r="AJ121" s="766"/>
      <c r="AK121" s="766" t="s">
        <v>5454</v>
      </c>
      <c r="AL121" s="121"/>
      <c r="AM121" s="772"/>
      <c r="AN121" s="774"/>
      <c r="AO121" s="766"/>
      <c r="AP121" s="766"/>
      <c r="AQ121" s="766"/>
      <c r="AR121" s="766"/>
      <c r="AS121" s="766"/>
      <c r="AT121" s="766"/>
      <c r="AU121" s="766"/>
      <c r="AV121" s="766"/>
      <c r="AW121" s="766"/>
      <c r="AX121" s="766"/>
      <c r="AY121" s="766"/>
      <c r="AZ121" s="766"/>
      <c r="BA121" s="766"/>
      <c r="BB121" s="766"/>
      <c r="BC121" s="766"/>
      <c r="BD121" s="766"/>
      <c r="BE121" s="766"/>
      <c r="BF121" s="775"/>
      <c r="BG121" s="775"/>
      <c r="BH121" s="766"/>
      <c r="BI121" s="766"/>
      <c r="BJ121" s="766"/>
      <c r="BK121" s="766"/>
      <c r="BL121" s="766"/>
      <c r="BM121" s="766" t="s">
        <v>1238</v>
      </c>
      <c r="BN121" s="766" t="s">
        <v>1305</v>
      </c>
      <c r="BO121" s="766"/>
      <c r="BP121" s="765"/>
      <c r="BQ121" s="773"/>
      <c r="BR121" s="774"/>
      <c r="BS121" s="766" t="s">
        <v>1268</v>
      </c>
      <c r="BT121" s="770"/>
      <c r="BU121" s="770"/>
      <c r="BV121" s="770"/>
      <c r="BW121" s="766"/>
      <c r="BX121" s="779"/>
      <c r="BY121" s="766"/>
      <c r="BZ121" s="775"/>
      <c r="CA121" s="766"/>
      <c r="CB121" s="766"/>
      <c r="CC121" s="766"/>
      <c r="CD121" s="766"/>
      <c r="CE121" s="766"/>
      <c r="CF121" s="777"/>
      <c r="CG121" s="778"/>
      <c r="CH121" s="766"/>
      <c r="CI121" s="766"/>
      <c r="CJ121" s="766"/>
      <c r="CK121" s="766"/>
      <c r="CL121" s="766"/>
      <c r="CM121" s="766"/>
      <c r="CN121" s="766"/>
      <c r="CO121" s="766"/>
      <c r="CP121" s="766"/>
      <c r="CQ121" s="766"/>
      <c r="CR121" s="775"/>
      <c r="CS121" s="766"/>
      <c r="CT121" s="766"/>
      <c r="CU121" s="129"/>
      <c r="CV121" s="766"/>
      <c r="CW121" s="766"/>
      <c r="CX121" s="766"/>
      <c r="CY121" s="766"/>
      <c r="CZ121" s="766"/>
      <c r="DA121" s="766"/>
      <c r="DB121" s="766"/>
      <c r="DC121" s="766"/>
      <c r="DD121" s="766"/>
      <c r="DE121" s="766"/>
      <c r="DF121" s="766"/>
      <c r="DG121" s="766"/>
      <c r="DH121" s="766"/>
      <c r="DI121" s="766"/>
      <c r="DJ121" s="766"/>
      <c r="DK121" s="766"/>
      <c r="DL121" s="766"/>
      <c r="DM121" s="766"/>
      <c r="DN121" s="766"/>
      <c r="DO121" s="766"/>
      <c r="DP121" s="766"/>
      <c r="DQ121" s="766"/>
      <c r="DR121" s="766"/>
      <c r="DS121" s="59"/>
      <c r="DT121" s="766"/>
      <c r="DU121" s="766"/>
      <c r="DV121" s="766"/>
      <c r="DW121" s="66"/>
      <c r="DX121" s="66"/>
      <c r="DY121" s="766"/>
      <c r="DZ121" s="766"/>
      <c r="EA121" s="766"/>
      <c r="EB121" s="766"/>
      <c r="EC121" s="766"/>
      <c r="ED121" s="766"/>
      <c r="EE121" s="766"/>
      <c r="EF121" s="766"/>
      <c r="EG121" s="766"/>
      <c r="EH121" s="766"/>
      <c r="EI121" s="766"/>
      <c r="EJ121" s="766"/>
      <c r="EK121" s="766"/>
      <c r="EL121" s="766"/>
      <c r="EM121" s="766"/>
      <c r="EN121" s="766"/>
      <c r="EO121" s="766"/>
      <c r="EP121" s="766"/>
      <c r="EQ121" s="766"/>
      <c r="ER121" s="766"/>
      <c r="ES121" s="766"/>
      <c r="ET121" s="766"/>
      <c r="EU121" s="766"/>
      <c r="EV121" s="766"/>
      <c r="EW121" s="766"/>
      <c r="EX121" s="766"/>
      <c r="EY121" s="766"/>
      <c r="EZ121" s="766"/>
      <c r="FA121" s="766"/>
      <c r="FB121" s="766"/>
      <c r="FC121" s="766"/>
      <c r="FD121" s="775"/>
      <c r="FE121" s="766"/>
      <c r="FF121" s="766"/>
      <c r="FG121" s="766"/>
      <c r="FH121" s="766" t="s">
        <v>1305</v>
      </c>
      <c r="FI121" s="766"/>
      <c r="FJ121" s="766" t="s">
        <v>1616</v>
      </c>
      <c r="FK121" s="25"/>
      <c r="FL121" s="766"/>
      <c r="FM121" s="775"/>
      <c r="FN121" s="775"/>
      <c r="FO121" s="775"/>
      <c r="FP121" s="766"/>
      <c r="FQ121" s="766"/>
      <c r="FR121" s="766"/>
      <c r="FS121" s="766"/>
      <c r="FT121" s="766"/>
      <c r="FU121" s="766"/>
      <c r="FV121" s="766"/>
      <c r="FW121" s="766"/>
      <c r="FX121" s="766"/>
      <c r="FY121" s="766"/>
      <c r="FZ121" s="766"/>
      <c r="GA121" s="766"/>
      <c r="GB121" s="766"/>
      <c r="GC121" s="75"/>
      <c r="GD121" s="25"/>
      <c r="GE121" s="766"/>
      <c r="GF121" s="775"/>
      <c r="GG121" s="775"/>
      <c r="GH121" s="766"/>
      <c r="GI121" s="766"/>
      <c r="GJ121" s="766"/>
      <c r="GK121" s="766"/>
      <c r="GL121" s="766"/>
      <c r="GM121" s="766"/>
      <c r="GN121" s="82"/>
      <c r="GO121" s="766"/>
      <c r="GP121" s="766"/>
      <c r="GQ121" s="766"/>
      <c r="GR121" s="766"/>
      <c r="GS121" s="766"/>
      <c r="GT121" s="766"/>
      <c r="GU121" s="766"/>
      <c r="GV121" s="766"/>
      <c r="GW121" s="766"/>
      <c r="GX121" s="766"/>
      <c r="GY121" s="766"/>
      <c r="GZ121" s="766"/>
      <c r="HA121" s="766"/>
      <c r="HB121" s="766"/>
      <c r="HC121" s="766"/>
      <c r="HD121" s="766"/>
      <c r="HE121" s="766"/>
      <c r="HF121" s="766"/>
      <c r="HG121" s="766"/>
      <c r="HH121" s="766"/>
      <c r="HI121" s="766"/>
      <c r="HJ121" s="766"/>
      <c r="HK121" s="766"/>
      <c r="HL121" s="766"/>
      <c r="HM121" s="766"/>
      <c r="HN121" s="766"/>
      <c r="HO121" s="766"/>
      <c r="HP121" s="766"/>
      <c r="HQ121" s="766"/>
      <c r="HR121" s="766"/>
      <c r="HS121" s="766"/>
      <c r="HT121" s="766"/>
      <c r="HU121" s="766"/>
      <c r="HV121" s="766"/>
      <c r="HW121" s="766"/>
      <c r="HX121" s="766"/>
      <c r="HY121" s="766"/>
      <c r="HZ121" s="766"/>
      <c r="IA121" s="766"/>
      <c r="IB121" s="766"/>
      <c r="IC121" s="766" t="s">
        <v>1207</v>
      </c>
      <c r="ID121" s="766"/>
      <c r="IE121" s="766"/>
      <c r="IF121" s="766"/>
      <c r="IG121" s="766"/>
      <c r="IH121" s="766"/>
      <c r="II121" s="766"/>
      <c r="IJ121" s="766"/>
      <c r="IK121" s="766"/>
      <c r="IL121" s="766"/>
      <c r="IM121" s="766"/>
      <c r="IN121" s="766"/>
      <c r="IO121" s="24"/>
      <c r="IP121" s="766"/>
      <c r="IQ121" s="766"/>
      <c r="IR121" s="766"/>
      <c r="IS121" s="766"/>
      <c r="IT121" s="766"/>
      <c r="IU121" s="766"/>
      <c r="IV121" s="766"/>
      <c r="IW121" s="766"/>
      <c r="IX121" s="766"/>
      <c r="IY121" s="766"/>
      <c r="IZ121" s="766"/>
      <c r="JA121" s="766"/>
      <c r="JB121" s="766"/>
      <c r="JC121" s="766"/>
      <c r="JD121" s="775"/>
      <c r="JE121" s="766"/>
      <c r="JF121" s="766"/>
      <c r="JG121" s="766"/>
      <c r="JH121" s="766"/>
      <c r="JI121" s="766"/>
      <c r="JJ121" s="766">
        <v>4</v>
      </c>
      <c r="JK121" s="766" t="s">
        <v>2061</v>
      </c>
      <c r="JL121" s="766">
        <v>1</v>
      </c>
      <c r="JM121" s="766">
        <v>1</v>
      </c>
      <c r="JN121" s="766">
        <v>1</v>
      </c>
      <c r="JO121" s="766">
        <v>1</v>
      </c>
      <c r="JP121" s="766"/>
      <c r="JQ121" s="766"/>
      <c r="JR121" s="766"/>
      <c r="JS121" s="766"/>
      <c r="JT121" s="766">
        <f t="shared" si="31"/>
        <v>2</v>
      </c>
      <c r="JU121" s="766">
        <f t="shared" si="31"/>
        <v>2</v>
      </c>
      <c r="JV121" s="766"/>
      <c r="JW121" s="766"/>
      <c r="JX121" s="766">
        <v>1</v>
      </c>
      <c r="JY121" s="766"/>
      <c r="JZ121" s="766"/>
      <c r="KA121" s="766">
        <v>1</v>
      </c>
      <c r="KB121" s="766"/>
      <c r="KC121" s="766"/>
      <c r="KD121" s="766">
        <v>1</v>
      </c>
      <c r="KE121" s="766">
        <v>1</v>
      </c>
      <c r="KF121" s="766"/>
      <c r="KG121" s="766"/>
      <c r="KH121" s="766"/>
      <c r="KI121" s="766"/>
      <c r="KJ121" s="770">
        <f t="shared" si="32"/>
        <v>2</v>
      </c>
      <c r="KK121" s="770">
        <f t="shared" si="32"/>
        <v>2</v>
      </c>
      <c r="KL121" s="770"/>
      <c r="KM121" s="770"/>
      <c r="KN121" s="766" t="s">
        <v>722</v>
      </c>
      <c r="KO121" s="28"/>
      <c r="KP121" s="766"/>
      <c r="KQ121" s="766"/>
      <c r="KR121" s="766">
        <v>1</v>
      </c>
      <c r="KS121" s="766"/>
      <c r="KT121" s="766"/>
      <c r="KU121" s="766">
        <v>1</v>
      </c>
      <c r="KV121" s="766"/>
      <c r="KW121" s="766"/>
      <c r="KX121" s="766"/>
      <c r="KY121" s="766"/>
      <c r="KZ121" s="766"/>
      <c r="LA121" s="766"/>
      <c r="LB121" s="766"/>
      <c r="LC121" s="766">
        <v>1</v>
      </c>
      <c r="LD121" s="766">
        <v>1</v>
      </c>
      <c r="LE121" s="766"/>
      <c r="LF121" s="766"/>
      <c r="LG121" s="766"/>
      <c r="LH121" s="766"/>
      <c r="LI121" s="766"/>
      <c r="LJ121" s="766"/>
      <c r="LK121" s="766"/>
      <c r="LL121" s="766"/>
      <c r="LM121" s="766"/>
      <c r="LN121" s="766">
        <f t="shared" si="33"/>
        <v>2</v>
      </c>
      <c r="LO121" s="766">
        <f t="shared" si="33"/>
        <v>2</v>
      </c>
      <c r="LP121" s="766">
        <v>1</v>
      </c>
      <c r="LQ121" s="1678">
        <v>1</v>
      </c>
      <c r="LR121" s="766"/>
      <c r="LS121" s="766"/>
      <c r="LT121" s="766"/>
      <c r="LU121" s="766">
        <v>1</v>
      </c>
      <c r="LV121" s="766"/>
      <c r="LW121" s="766"/>
      <c r="LX121" s="769">
        <v>1</v>
      </c>
      <c r="LY121" s="766" t="str">
        <f t="shared" si="23"/>
        <v>within the BRGY</v>
      </c>
      <c r="LZ121" s="66"/>
      <c r="MA121" s="766"/>
      <c r="MB121" s="766"/>
      <c r="MC121" s="1679">
        <f t="shared" si="24"/>
        <v>0</v>
      </c>
      <c r="MD121" s="66">
        <v>15000</v>
      </c>
      <c r="ME121" s="66"/>
      <c r="MF121" s="66"/>
      <c r="MG121" s="1680">
        <f t="shared" si="15"/>
        <v>15000</v>
      </c>
      <c r="MH121" s="1681"/>
      <c r="MI121" s="775">
        <v>4000</v>
      </c>
      <c r="MJ121" s="775">
        <v>400</v>
      </c>
      <c r="MK121" s="775">
        <v>1500</v>
      </c>
      <c r="ML121" s="775">
        <v>3000</v>
      </c>
      <c r="MM121" s="775">
        <v>4000</v>
      </c>
      <c r="MN121" s="775"/>
      <c r="MO121" s="775"/>
      <c r="MP121" s="775">
        <v>2900</v>
      </c>
      <c r="MQ121" s="775">
        <v>500</v>
      </c>
      <c r="MR121" s="775">
        <v>400</v>
      </c>
      <c r="MS121" s="775"/>
      <c r="MT121" s="775"/>
      <c r="MU121" s="775"/>
      <c r="MV121" s="775"/>
      <c r="MW121" s="775"/>
      <c r="MX121" s="775"/>
      <c r="MY121" s="1682">
        <f t="shared" si="14"/>
        <v>16700</v>
      </c>
      <c r="MZ121" s="766" t="s">
        <v>13004</v>
      </c>
      <c r="NA121" s="766" t="s">
        <v>13005</v>
      </c>
      <c r="NB121" s="766" t="s">
        <v>13016</v>
      </c>
      <c r="NC121" s="766" t="s">
        <v>13007</v>
      </c>
      <c r="ND121" s="766">
        <v>0</v>
      </c>
      <c r="NE121" s="766">
        <v>1</v>
      </c>
      <c r="NF121" s="766">
        <v>1</v>
      </c>
      <c r="NG121" s="766">
        <v>1</v>
      </c>
      <c r="NH121" s="766">
        <v>1</v>
      </c>
      <c r="NI121" s="766">
        <v>0</v>
      </c>
      <c r="NJ121" s="766">
        <v>0</v>
      </c>
      <c r="NK121" s="766">
        <v>0</v>
      </c>
      <c r="NL121" s="766">
        <v>1</v>
      </c>
      <c r="NM121" s="766">
        <v>1</v>
      </c>
      <c r="NN121" s="766">
        <v>0</v>
      </c>
      <c r="NO121" s="766">
        <v>0</v>
      </c>
      <c r="NP121" s="766">
        <v>1</v>
      </c>
      <c r="NQ121" s="766">
        <v>0</v>
      </c>
      <c r="NR121" s="766">
        <v>0</v>
      </c>
      <c r="NS121" s="766">
        <v>0</v>
      </c>
      <c r="NT121" s="766">
        <v>0</v>
      </c>
      <c r="NU121" s="766">
        <v>0</v>
      </c>
      <c r="NV121" s="766">
        <v>0</v>
      </c>
      <c r="NW121" s="766">
        <v>0</v>
      </c>
      <c r="NX121" s="766"/>
      <c r="NY121" s="766"/>
      <c r="NZ121" s="766" t="s">
        <v>1208</v>
      </c>
      <c r="OA121" s="766"/>
      <c r="OB121" s="766"/>
      <c r="OC121" s="766"/>
      <c r="OD121" s="766"/>
      <c r="OE121" s="766"/>
      <c r="OF121" s="766"/>
      <c r="OG121" s="766"/>
      <c r="OH121" s="766"/>
      <c r="OI121" s="766"/>
      <c r="OJ121" s="766"/>
      <c r="OK121" s="766"/>
      <c r="OL121" s="766"/>
      <c r="OM121" s="766"/>
      <c r="ON121" s="766"/>
      <c r="OO121" s="766"/>
      <c r="OP121" s="766"/>
      <c r="OQ121" s="766"/>
      <c r="OR121" s="766"/>
      <c r="OS121" s="766"/>
      <c r="OT121" s="766"/>
      <c r="OU121" s="766"/>
      <c r="OV121" s="766"/>
      <c r="OW121" s="766"/>
      <c r="OX121" s="766"/>
      <c r="OY121" s="766"/>
      <c r="OZ121" s="766"/>
      <c r="PA121" s="766"/>
      <c r="PB121" s="766"/>
      <c r="PC121" s="766"/>
      <c r="PD121" s="766"/>
      <c r="PE121" s="766"/>
      <c r="PF121" s="766"/>
      <c r="PG121" s="766"/>
      <c r="PH121" s="766"/>
      <c r="PI121" s="766"/>
      <c r="PJ121" s="766"/>
      <c r="PK121" s="766"/>
      <c r="PL121" s="766"/>
      <c r="PM121" s="766"/>
      <c r="PN121" s="766"/>
      <c r="PO121" s="766"/>
      <c r="PP121" s="766"/>
      <c r="PQ121" s="766"/>
      <c r="PR121" s="766"/>
      <c r="PS121" s="766"/>
      <c r="PT121" s="766"/>
      <c r="PU121" s="766"/>
      <c r="PV121" s="766"/>
      <c r="PW121" s="766"/>
      <c r="PX121" s="766"/>
      <c r="PY121" s="766"/>
      <c r="PZ121" s="766"/>
      <c r="QA121" s="766"/>
      <c r="QB121" s="766"/>
      <c r="QC121" s="766"/>
      <c r="QD121" s="766"/>
      <c r="QE121" s="766"/>
      <c r="QF121" s="766"/>
      <c r="QG121" s="766"/>
      <c r="QH121" s="766"/>
      <c r="QI121" s="766"/>
      <c r="QJ121" s="766"/>
      <c r="QK121" s="766"/>
      <c r="QL121" s="766"/>
      <c r="QM121" s="766"/>
      <c r="QN121" s="766"/>
      <c r="QO121" s="766"/>
      <c r="QP121" s="766"/>
      <c r="QQ121" s="766"/>
      <c r="QR121" s="766"/>
      <c r="QS121" s="766"/>
      <c r="QT121" s="766"/>
      <c r="QU121" s="766"/>
      <c r="QV121" s="766"/>
      <c r="QW121" s="766"/>
      <c r="QX121" s="766"/>
      <c r="QY121" s="766"/>
      <c r="QZ121" s="766"/>
      <c r="RA121" s="766"/>
      <c r="RB121" s="766"/>
      <c r="RC121" s="766"/>
      <c r="RD121" s="766"/>
      <c r="RE121" s="766"/>
      <c r="RF121" s="777"/>
      <c r="RG121" s="766"/>
      <c r="RH121" s="775"/>
      <c r="RI121" s="766"/>
      <c r="RJ121" s="766" t="s">
        <v>2158</v>
      </c>
      <c r="RK121" s="766" t="s">
        <v>13163</v>
      </c>
      <c r="RL121" s="1683"/>
      <c r="RM121" s="12"/>
      <c r="RN121" s="1711"/>
      <c r="RO121" s="165" t="s">
        <v>199</v>
      </c>
      <c r="RP121" s="11"/>
      <c r="RQ121" s="11"/>
      <c r="RR121" s="771"/>
      <c r="RS121" s="766"/>
      <c r="RT121" s="11"/>
      <c r="RU121" s="11"/>
      <c r="RV121" s="766" t="s">
        <v>7419</v>
      </c>
      <c r="RW121" s="11" t="s">
        <v>7575</v>
      </c>
      <c r="RX121" s="11" t="s">
        <v>194</v>
      </c>
      <c r="RY121" s="11"/>
      <c r="RZ121" s="11"/>
      <c r="SA121" s="766"/>
      <c r="SB121" s="11"/>
      <c r="SC121" s="11"/>
    </row>
    <row r="122" spans="1:497" ht="12.75" hidden="1" customHeight="1">
      <c r="A122" s="154" t="s">
        <v>14150</v>
      </c>
      <c r="B122" s="288" t="s">
        <v>7517</v>
      </c>
      <c r="C122" s="165" t="s">
        <v>201</v>
      </c>
      <c r="D122" s="766" t="s">
        <v>202</v>
      </c>
      <c r="E122" s="766" t="s">
        <v>196</v>
      </c>
      <c r="F122" s="766" t="s">
        <v>28</v>
      </c>
      <c r="G122" s="766" t="s">
        <v>18</v>
      </c>
      <c r="H122" s="766"/>
      <c r="I122" s="5" t="s">
        <v>204</v>
      </c>
      <c r="J122" s="766" t="s">
        <v>205</v>
      </c>
      <c r="K122" s="766"/>
      <c r="L122" s="766"/>
      <c r="M122" s="766"/>
      <c r="N122" s="766"/>
      <c r="O122" s="766"/>
      <c r="P122" s="766" t="s">
        <v>202</v>
      </c>
      <c r="Q122" s="1085">
        <v>32656</v>
      </c>
      <c r="R122" s="25">
        <v>27</v>
      </c>
      <c r="S122" s="766" t="s">
        <v>18</v>
      </c>
      <c r="T122" s="766"/>
      <c r="U122" s="26" t="s">
        <v>204</v>
      </c>
      <c r="V122" s="766" t="s">
        <v>768</v>
      </c>
      <c r="W122" s="766"/>
      <c r="X122" s="766"/>
      <c r="Y122" s="766" t="s">
        <v>203</v>
      </c>
      <c r="Z122" s="766" t="s">
        <v>708</v>
      </c>
      <c r="AA122" s="766" t="s">
        <v>709</v>
      </c>
      <c r="AB122" s="766" t="s">
        <v>7273</v>
      </c>
      <c r="AC122" s="766" t="s">
        <v>815</v>
      </c>
      <c r="AD122" s="766"/>
      <c r="AE122" s="766"/>
      <c r="AF122" s="766"/>
      <c r="AG122" s="766"/>
      <c r="AH122" s="38"/>
      <c r="AI122" s="770"/>
      <c r="AJ122" s="766"/>
      <c r="AK122" s="766" t="s">
        <v>1899</v>
      </c>
      <c r="AL122" s="121"/>
      <c r="AM122" s="772"/>
      <c r="AN122" s="774"/>
      <c r="AO122" s="766"/>
      <c r="AP122" s="766"/>
      <c r="AQ122" s="766"/>
      <c r="AR122" s="766"/>
      <c r="AS122" s="766"/>
      <c r="AT122" s="766"/>
      <c r="AU122" s="766"/>
      <c r="AV122" s="766"/>
      <c r="AW122" s="766"/>
      <c r="AX122" s="766"/>
      <c r="AY122" s="766"/>
      <c r="AZ122" s="766"/>
      <c r="BA122" s="766"/>
      <c r="BB122" s="766"/>
      <c r="BC122" s="766"/>
      <c r="BD122" s="766"/>
      <c r="BE122" s="766"/>
      <c r="BF122" s="775"/>
      <c r="BG122" s="775"/>
      <c r="BH122" s="766"/>
      <c r="BI122" s="766"/>
      <c r="BJ122" s="766"/>
      <c r="BK122" s="766"/>
      <c r="BL122" s="766"/>
      <c r="BM122" s="766" t="s">
        <v>1238</v>
      </c>
      <c r="BN122" s="766" t="s">
        <v>1256</v>
      </c>
      <c r="BO122" s="766"/>
      <c r="BP122" s="776"/>
      <c r="BQ122" s="772"/>
      <c r="BR122" s="774"/>
      <c r="BS122" s="766" t="s">
        <v>1268</v>
      </c>
      <c r="BT122" s="766" t="s">
        <v>2040</v>
      </c>
      <c r="BU122" s="766" t="s">
        <v>1249</v>
      </c>
      <c r="BV122" s="766" t="s">
        <v>1247</v>
      </c>
      <c r="BW122" s="769"/>
      <c r="BX122" s="766"/>
      <c r="BY122" s="766"/>
      <c r="BZ122" s="775"/>
      <c r="CA122" s="766"/>
      <c r="CB122" s="766"/>
      <c r="CC122" s="766"/>
      <c r="CD122" s="766"/>
      <c r="CE122" s="766"/>
      <c r="CF122" s="777"/>
      <c r="CG122" s="778"/>
      <c r="CH122" s="766"/>
      <c r="CI122" s="766"/>
      <c r="CJ122" s="766"/>
      <c r="CK122" s="766"/>
      <c r="CL122" s="766"/>
      <c r="CM122" s="766"/>
      <c r="CN122" s="766"/>
      <c r="CO122" s="766"/>
      <c r="CP122" s="766"/>
      <c r="CQ122" s="766"/>
      <c r="CR122" s="775"/>
      <c r="CS122" s="766"/>
      <c r="CT122" s="766"/>
      <c r="CU122" s="129"/>
      <c r="CV122" s="766"/>
      <c r="CW122" s="766"/>
      <c r="CX122" s="766"/>
      <c r="CY122" s="766"/>
      <c r="CZ122" s="766"/>
      <c r="DA122" s="766"/>
      <c r="DB122" s="766"/>
      <c r="DC122" s="766"/>
      <c r="DD122" s="766"/>
      <c r="DE122" s="766"/>
      <c r="DF122" s="766"/>
      <c r="DG122" s="766"/>
      <c r="DH122" s="766"/>
      <c r="DI122" s="766"/>
      <c r="DJ122" s="766"/>
      <c r="DK122" s="766"/>
      <c r="DL122" s="766"/>
      <c r="DM122" s="766"/>
      <c r="DN122" s="766"/>
      <c r="DO122" s="766"/>
      <c r="DP122" s="766"/>
      <c r="DQ122" s="766"/>
      <c r="DR122" s="766"/>
      <c r="DS122" s="59"/>
      <c r="DT122" s="766"/>
      <c r="DU122" s="766"/>
      <c r="DV122" s="766"/>
      <c r="DW122" s="66"/>
      <c r="DX122" s="66"/>
      <c r="DY122" s="766"/>
      <c r="DZ122" s="766"/>
      <c r="EA122" s="766"/>
      <c r="EB122" s="766"/>
      <c r="EC122" s="766"/>
      <c r="ED122" s="766"/>
      <c r="EE122" s="766"/>
      <c r="EF122" s="766"/>
      <c r="EG122" s="766"/>
      <c r="EH122" s="766"/>
      <c r="EI122" s="766"/>
      <c r="EJ122" s="766"/>
      <c r="EK122" s="766"/>
      <c r="EL122" s="766"/>
      <c r="EM122" s="766"/>
      <c r="EN122" s="766"/>
      <c r="EO122" s="766"/>
      <c r="EP122" s="766"/>
      <c r="EQ122" s="766"/>
      <c r="ER122" s="766"/>
      <c r="ES122" s="766"/>
      <c r="ET122" s="766"/>
      <c r="EU122" s="766"/>
      <c r="EV122" s="766"/>
      <c r="EW122" s="766"/>
      <c r="EX122" s="766"/>
      <c r="EY122" s="766"/>
      <c r="EZ122" s="766"/>
      <c r="FA122" s="766"/>
      <c r="FB122" s="766"/>
      <c r="FC122" s="766"/>
      <c r="FD122" s="775"/>
      <c r="FE122" s="766"/>
      <c r="FF122" s="766"/>
      <c r="FG122" s="766"/>
      <c r="FH122" s="766"/>
      <c r="FI122" s="766">
        <v>2</v>
      </c>
      <c r="FJ122" s="766"/>
      <c r="FK122" s="25"/>
      <c r="FL122" s="766"/>
      <c r="FM122" s="775"/>
      <c r="FN122" s="775"/>
      <c r="FO122" s="775"/>
      <c r="FP122" s="766"/>
      <c r="FQ122" s="766"/>
      <c r="FR122" s="766"/>
      <c r="FS122" s="766"/>
      <c r="FT122" s="766"/>
      <c r="FU122" s="766"/>
      <c r="FV122" s="766"/>
      <c r="FW122" s="766"/>
      <c r="FX122" s="766"/>
      <c r="FY122" s="766"/>
      <c r="FZ122" s="766"/>
      <c r="GA122" s="766"/>
      <c r="GB122" s="766"/>
      <c r="GC122" s="75"/>
      <c r="GD122" s="25"/>
      <c r="GE122" s="766"/>
      <c r="GF122" s="775"/>
      <c r="GG122" s="775"/>
      <c r="GH122" s="766"/>
      <c r="GI122" s="766"/>
      <c r="GJ122" s="766"/>
      <c r="GK122" s="766"/>
      <c r="GL122" s="766"/>
      <c r="GM122" s="766"/>
      <c r="GN122" s="82"/>
      <c r="GO122" s="766"/>
      <c r="GP122" s="766"/>
      <c r="GQ122" s="766"/>
      <c r="GR122" s="766"/>
      <c r="GS122" s="766"/>
      <c r="GT122" s="766"/>
      <c r="GU122" s="766"/>
      <c r="GV122" s="766"/>
      <c r="GW122" s="766"/>
      <c r="GX122" s="766"/>
      <c r="GY122" s="766"/>
      <c r="GZ122" s="766"/>
      <c r="HA122" s="766"/>
      <c r="HB122" s="766"/>
      <c r="HC122" s="766"/>
      <c r="HD122" s="766"/>
      <c r="HE122" s="766"/>
      <c r="HF122" s="766"/>
      <c r="HG122" s="766"/>
      <c r="HH122" s="766"/>
      <c r="HI122" s="766"/>
      <c r="HJ122" s="766"/>
      <c r="HK122" s="766"/>
      <c r="HL122" s="766"/>
      <c r="HM122" s="766"/>
      <c r="HN122" s="766"/>
      <c r="HO122" s="766"/>
      <c r="HP122" s="766"/>
      <c r="HQ122" s="766"/>
      <c r="HR122" s="766"/>
      <c r="HS122" s="766"/>
      <c r="HT122" s="766"/>
      <c r="HU122" s="766"/>
      <c r="HV122" s="766"/>
      <c r="HW122" s="766"/>
      <c r="HX122" s="766"/>
      <c r="HY122" s="766"/>
      <c r="HZ122" s="766"/>
      <c r="IA122" s="766"/>
      <c r="IB122" s="766" t="s">
        <v>1207</v>
      </c>
      <c r="IC122" s="766" t="s">
        <v>1207</v>
      </c>
      <c r="ID122" s="766"/>
      <c r="IE122" s="766"/>
      <c r="IF122" s="766"/>
      <c r="IG122" s="766"/>
      <c r="IH122" s="766"/>
      <c r="II122" s="770"/>
      <c r="IJ122" s="770"/>
      <c r="IK122" s="770"/>
      <c r="IL122" s="770"/>
      <c r="IM122" s="770"/>
      <c r="IN122" s="770"/>
      <c r="IO122" s="296"/>
      <c r="IP122" s="770"/>
      <c r="IQ122" s="770"/>
      <c r="IR122" s="770"/>
      <c r="IS122" s="766"/>
      <c r="IT122" s="766"/>
      <c r="IU122" s="766"/>
      <c r="IV122" s="766"/>
      <c r="IW122" s="766"/>
      <c r="IX122" s="766"/>
      <c r="IY122" s="766"/>
      <c r="IZ122" s="766"/>
      <c r="JA122" s="766"/>
      <c r="JB122" s="766"/>
      <c r="JC122" s="766"/>
      <c r="JD122" s="775"/>
      <c r="JE122" s="766"/>
      <c r="JF122" s="766"/>
      <c r="JG122" s="766"/>
      <c r="JH122" s="766"/>
      <c r="JI122" s="766"/>
      <c r="JJ122" s="766">
        <v>3</v>
      </c>
      <c r="JK122" s="766" t="s">
        <v>2062</v>
      </c>
      <c r="JL122" s="766"/>
      <c r="JM122" s="766"/>
      <c r="JN122" s="766"/>
      <c r="JO122" s="766">
        <v>3</v>
      </c>
      <c r="JP122" s="766"/>
      <c r="JQ122" s="766"/>
      <c r="JR122" s="766"/>
      <c r="JS122" s="766"/>
      <c r="JT122" s="766">
        <f t="shared" si="31"/>
        <v>0</v>
      </c>
      <c r="JU122" s="766">
        <f t="shared" si="31"/>
        <v>3</v>
      </c>
      <c r="JV122" s="766"/>
      <c r="JW122" s="766"/>
      <c r="JX122" s="766"/>
      <c r="JY122" s="766"/>
      <c r="JZ122" s="766"/>
      <c r="KA122" s="766"/>
      <c r="KB122" s="766"/>
      <c r="KC122" s="766">
        <v>2</v>
      </c>
      <c r="KD122" s="766"/>
      <c r="KE122" s="766">
        <v>1</v>
      </c>
      <c r="KF122" s="766"/>
      <c r="KG122" s="766"/>
      <c r="KH122" s="766"/>
      <c r="KI122" s="766"/>
      <c r="KJ122" s="770">
        <f t="shared" si="32"/>
        <v>0</v>
      </c>
      <c r="KK122" s="770">
        <f t="shared" si="32"/>
        <v>3</v>
      </c>
      <c r="KL122" s="770"/>
      <c r="KM122" s="770"/>
      <c r="KN122" s="766" t="s">
        <v>768</v>
      </c>
      <c r="KO122" s="28"/>
      <c r="KP122" s="766"/>
      <c r="KQ122" s="766"/>
      <c r="KR122" s="766"/>
      <c r="KS122" s="766"/>
      <c r="KT122" s="766"/>
      <c r="KU122" s="766"/>
      <c r="KV122" s="766"/>
      <c r="KW122" s="766"/>
      <c r="KX122" s="766"/>
      <c r="KY122" s="766">
        <v>1</v>
      </c>
      <c r="KZ122" s="766"/>
      <c r="LA122" s="766"/>
      <c r="LB122" s="766"/>
      <c r="LC122" s="766">
        <v>1</v>
      </c>
      <c r="LD122" s="766"/>
      <c r="LE122" s="766">
        <v>1</v>
      </c>
      <c r="LF122" s="766"/>
      <c r="LG122" s="766"/>
      <c r="LH122" s="766"/>
      <c r="LI122" s="766"/>
      <c r="LJ122" s="766"/>
      <c r="LK122" s="766"/>
      <c r="LL122" s="766"/>
      <c r="LM122" s="766"/>
      <c r="LN122" s="766">
        <f t="shared" si="33"/>
        <v>0</v>
      </c>
      <c r="LO122" s="766">
        <f t="shared" si="33"/>
        <v>3</v>
      </c>
      <c r="LP122" s="766">
        <v>3</v>
      </c>
      <c r="LQ122" s="1678"/>
      <c r="LR122" s="766"/>
      <c r="LS122" s="766"/>
      <c r="LT122" s="766"/>
      <c r="LU122" s="766">
        <v>2</v>
      </c>
      <c r="LV122" s="766">
        <v>1</v>
      </c>
      <c r="LW122" s="766"/>
      <c r="LX122" s="769">
        <v>1</v>
      </c>
      <c r="LY122" s="766" t="str">
        <f t="shared" si="23"/>
        <v>within the BRGY</v>
      </c>
      <c r="LZ122" s="66"/>
      <c r="MA122" s="766"/>
      <c r="MB122" s="766"/>
      <c r="MC122" s="1679">
        <f t="shared" si="24"/>
        <v>0</v>
      </c>
      <c r="MD122" s="66">
        <v>14000</v>
      </c>
      <c r="ME122" s="66">
        <v>8000</v>
      </c>
      <c r="MF122" s="66"/>
      <c r="MG122" s="1680">
        <f t="shared" si="15"/>
        <v>22000</v>
      </c>
      <c r="MH122" s="1681"/>
      <c r="MI122" s="775">
        <v>3200</v>
      </c>
      <c r="MJ122" s="775">
        <v>528</v>
      </c>
      <c r="MK122" s="775">
        <v>500</v>
      </c>
      <c r="ML122" s="775">
        <v>500</v>
      </c>
      <c r="MM122" s="775"/>
      <c r="MN122" s="775">
        <v>2500</v>
      </c>
      <c r="MO122" s="775">
        <v>750</v>
      </c>
      <c r="MP122" s="775">
        <v>300</v>
      </c>
      <c r="MQ122" s="775">
        <v>500</v>
      </c>
      <c r="MR122" s="775">
        <v>200</v>
      </c>
      <c r="MS122" s="775">
        <v>2000</v>
      </c>
      <c r="MT122" s="775"/>
      <c r="MU122" s="775"/>
      <c r="MV122" s="775"/>
      <c r="MW122" s="775"/>
      <c r="MX122" s="775">
        <v>500</v>
      </c>
      <c r="MY122" s="1682">
        <f t="shared" si="14"/>
        <v>11478</v>
      </c>
      <c r="MZ122" s="766" t="s">
        <v>13068</v>
      </c>
      <c r="NA122" s="766" t="s">
        <v>13005</v>
      </c>
      <c r="NB122" s="766" t="s">
        <v>13016</v>
      </c>
      <c r="NC122" s="766" t="s">
        <v>13007</v>
      </c>
      <c r="ND122" s="766">
        <v>0</v>
      </c>
      <c r="NE122" s="766">
        <v>0</v>
      </c>
      <c r="NF122" s="766">
        <v>0</v>
      </c>
      <c r="NG122" s="766">
        <v>3</v>
      </c>
      <c r="NH122" s="766">
        <v>1</v>
      </c>
      <c r="NI122" s="766">
        <v>0</v>
      </c>
      <c r="NJ122" s="766">
        <v>0</v>
      </c>
      <c r="NK122" s="766">
        <v>0</v>
      </c>
      <c r="NL122" s="766">
        <v>0</v>
      </c>
      <c r="NM122" s="766">
        <v>1</v>
      </c>
      <c r="NN122" s="766">
        <v>0</v>
      </c>
      <c r="NO122" s="766">
        <v>0</v>
      </c>
      <c r="NP122" s="766">
        <v>0</v>
      </c>
      <c r="NQ122" s="766">
        <v>0</v>
      </c>
      <c r="NR122" s="766">
        <v>0</v>
      </c>
      <c r="NS122" s="766">
        <v>0</v>
      </c>
      <c r="NT122" s="766">
        <v>0</v>
      </c>
      <c r="NU122" s="766">
        <v>0</v>
      </c>
      <c r="NV122" s="766">
        <v>0</v>
      </c>
      <c r="NW122" s="766">
        <v>0</v>
      </c>
      <c r="NX122" s="766"/>
      <c r="NY122" s="766"/>
      <c r="NZ122" s="766"/>
      <c r="OA122" s="766"/>
      <c r="OB122" s="766"/>
      <c r="OC122" s="766" t="s">
        <v>1208</v>
      </c>
      <c r="OD122" s="766"/>
      <c r="OE122" s="766"/>
      <c r="OF122" s="766"/>
      <c r="OG122" s="766"/>
      <c r="OH122" s="766"/>
      <c r="OI122" s="766"/>
      <c r="OJ122" s="766"/>
      <c r="OK122" s="766"/>
      <c r="OL122" s="766"/>
      <c r="OM122" s="766"/>
      <c r="ON122" s="766"/>
      <c r="OO122" s="766"/>
      <c r="OP122" s="766"/>
      <c r="OQ122" s="766"/>
      <c r="OR122" s="766"/>
      <c r="OS122" s="766"/>
      <c r="OT122" s="766"/>
      <c r="OU122" s="766"/>
      <c r="OV122" s="766"/>
      <c r="OW122" s="766"/>
      <c r="OX122" s="766"/>
      <c r="OY122" s="766"/>
      <c r="OZ122" s="766"/>
      <c r="PA122" s="766"/>
      <c r="PB122" s="766"/>
      <c r="PC122" s="766"/>
      <c r="PD122" s="766"/>
      <c r="PE122" s="766"/>
      <c r="PF122" s="766"/>
      <c r="PG122" s="766" t="s">
        <v>1208</v>
      </c>
      <c r="PH122" s="766"/>
      <c r="PI122" s="766"/>
      <c r="PJ122" s="766"/>
      <c r="PK122" s="766"/>
      <c r="PL122" s="766"/>
      <c r="PM122" s="766"/>
      <c r="PN122" s="766"/>
      <c r="PO122" s="766"/>
      <c r="PP122" s="766"/>
      <c r="PQ122" s="766"/>
      <c r="PR122" s="766"/>
      <c r="PS122" s="766"/>
      <c r="PT122" s="766"/>
      <c r="PU122" s="766"/>
      <c r="PV122" s="766"/>
      <c r="PW122" s="766"/>
      <c r="PX122" s="766"/>
      <c r="PY122" s="766"/>
      <c r="PZ122" s="766"/>
      <c r="QA122" s="766"/>
      <c r="QB122" s="766"/>
      <c r="QC122" s="766"/>
      <c r="QD122" s="766"/>
      <c r="QE122" s="766"/>
      <c r="QF122" s="766"/>
      <c r="QG122" s="766"/>
      <c r="QH122" s="766"/>
      <c r="QI122" s="766"/>
      <c r="QJ122" s="766"/>
      <c r="QK122" s="766"/>
      <c r="QL122" s="766"/>
      <c r="QM122" s="766"/>
      <c r="QN122" s="766"/>
      <c r="QO122" s="766"/>
      <c r="QP122" s="766"/>
      <c r="QQ122" s="766"/>
      <c r="QR122" s="766"/>
      <c r="QS122" s="766"/>
      <c r="QT122" s="766"/>
      <c r="QU122" s="766"/>
      <c r="QV122" s="766"/>
      <c r="QW122" s="766"/>
      <c r="QX122" s="766"/>
      <c r="QY122" s="766"/>
      <c r="QZ122" s="766"/>
      <c r="RA122" s="766"/>
      <c r="RB122" s="770" t="s">
        <v>1207</v>
      </c>
      <c r="RC122" s="766">
        <v>2016</v>
      </c>
      <c r="RD122" s="766"/>
      <c r="RE122" s="766" t="s">
        <v>13125</v>
      </c>
      <c r="RF122" s="777">
        <f>CONVERT(3,"ft","m")</f>
        <v>0.91439999999999999</v>
      </c>
      <c r="RG122" s="766"/>
      <c r="RH122" s="775"/>
      <c r="RI122" s="766">
        <v>12</v>
      </c>
      <c r="RJ122" s="766" t="s">
        <v>2062</v>
      </c>
      <c r="RK122" s="766" t="s">
        <v>13163</v>
      </c>
      <c r="RL122" s="1683"/>
      <c r="RM122" s="12"/>
      <c r="RN122" s="1711"/>
      <c r="RO122" s="165" t="s">
        <v>201</v>
      </c>
      <c r="RP122" s="11"/>
      <c r="RQ122" s="11"/>
      <c r="RR122" s="771"/>
      <c r="RS122" s="766"/>
      <c r="RT122" s="11"/>
      <c r="RU122" s="11"/>
      <c r="RV122" s="766" t="s">
        <v>12415</v>
      </c>
      <c r="RW122" s="11" t="s">
        <v>7515</v>
      </c>
      <c r="RX122" s="11" t="s">
        <v>197</v>
      </c>
      <c r="RY122" s="11"/>
      <c r="RZ122" s="11"/>
      <c r="SA122" s="766"/>
      <c r="SB122" s="11"/>
      <c r="SC122" s="11"/>
    </row>
    <row r="123" spans="1:497" ht="12.75" hidden="1" customHeight="1">
      <c r="A123" s="154" t="s">
        <v>14149</v>
      </c>
      <c r="B123" s="288" t="s">
        <v>12422</v>
      </c>
      <c r="C123" s="165" t="s">
        <v>207</v>
      </c>
      <c r="D123" s="766" t="s">
        <v>208</v>
      </c>
      <c r="E123" s="766" t="s">
        <v>209</v>
      </c>
      <c r="F123" s="766" t="s">
        <v>210</v>
      </c>
      <c r="G123" s="766" t="s">
        <v>18</v>
      </c>
      <c r="H123" s="766"/>
      <c r="I123" s="5"/>
      <c r="J123" s="766"/>
      <c r="K123" s="766" t="s">
        <v>211</v>
      </c>
      <c r="L123" s="766" t="s">
        <v>212</v>
      </c>
      <c r="M123" s="766"/>
      <c r="N123" s="766"/>
      <c r="O123" s="766"/>
      <c r="P123" s="766" t="s">
        <v>214</v>
      </c>
      <c r="Q123" s="1085">
        <v>21208</v>
      </c>
      <c r="R123" s="25">
        <v>60</v>
      </c>
      <c r="S123" s="766" t="s">
        <v>10</v>
      </c>
      <c r="T123" s="766"/>
      <c r="U123" s="26"/>
      <c r="V123" s="766" t="s">
        <v>707</v>
      </c>
      <c r="W123" s="766"/>
      <c r="X123" s="766"/>
      <c r="Y123" s="766" t="s">
        <v>816</v>
      </c>
      <c r="Z123" s="766" t="s">
        <v>708</v>
      </c>
      <c r="AA123" s="766" t="s">
        <v>817</v>
      </c>
      <c r="AB123" s="766" t="s">
        <v>762</v>
      </c>
      <c r="AC123" s="766"/>
      <c r="AD123" s="766" t="s">
        <v>711</v>
      </c>
      <c r="AE123" s="766"/>
      <c r="AF123" s="766" t="s">
        <v>712</v>
      </c>
      <c r="AG123" s="766"/>
      <c r="AH123" s="38"/>
      <c r="AI123" s="766"/>
      <c r="AJ123" s="766"/>
      <c r="AK123" s="766" t="s">
        <v>5454</v>
      </c>
      <c r="AL123" s="772"/>
      <c r="AM123" s="772"/>
      <c r="AN123" s="774"/>
      <c r="AO123" s="766"/>
      <c r="AP123" s="766"/>
      <c r="AQ123" s="766"/>
      <c r="AR123" s="766"/>
      <c r="AS123" s="766"/>
      <c r="AT123" s="766"/>
      <c r="AU123" s="766"/>
      <c r="AV123" s="766"/>
      <c r="AW123" s="766"/>
      <c r="AX123" s="766"/>
      <c r="AY123" s="766"/>
      <c r="AZ123" s="766"/>
      <c r="BA123" s="766"/>
      <c r="BB123" s="766"/>
      <c r="BC123" s="766" t="s">
        <v>1213</v>
      </c>
      <c r="BD123" s="766"/>
      <c r="BE123" s="766"/>
      <c r="BF123" s="775"/>
      <c r="BG123" s="775"/>
      <c r="BH123" s="766"/>
      <c r="BI123" s="766"/>
      <c r="BJ123" s="766"/>
      <c r="BK123" s="766" t="s">
        <v>1095</v>
      </c>
      <c r="BL123" s="766" t="s">
        <v>1307</v>
      </c>
      <c r="BM123" s="766" t="s">
        <v>8108</v>
      </c>
      <c r="BN123" s="766" t="s">
        <v>1230</v>
      </c>
      <c r="BO123" s="766" t="s">
        <v>5759</v>
      </c>
      <c r="BP123" s="776">
        <v>96</v>
      </c>
      <c r="BQ123" s="772">
        <v>96</v>
      </c>
      <c r="BR123" s="774">
        <f>BQ123/BP123</f>
        <v>1</v>
      </c>
      <c r="BS123" s="766" t="s">
        <v>1268</v>
      </c>
      <c r="BT123" s="766" t="s">
        <v>2040</v>
      </c>
      <c r="BU123" s="766" t="s">
        <v>1267</v>
      </c>
      <c r="BV123" s="766" t="s">
        <v>1247</v>
      </c>
      <c r="BW123" s="769"/>
      <c r="BX123" s="766"/>
      <c r="BY123" s="766"/>
      <c r="BZ123" s="775"/>
      <c r="CA123" s="766"/>
      <c r="CB123" s="766"/>
      <c r="CC123" s="766"/>
      <c r="CD123" s="766"/>
      <c r="CE123" s="766"/>
      <c r="CF123" s="777"/>
      <c r="CG123" s="778"/>
      <c r="CH123" s="766"/>
      <c r="CI123" s="766"/>
      <c r="CJ123" s="766"/>
      <c r="CK123" s="766"/>
      <c r="CL123" s="766"/>
      <c r="CM123" s="766"/>
      <c r="CN123" s="766"/>
      <c r="CO123" s="766"/>
      <c r="CP123" s="766"/>
      <c r="CQ123" s="766"/>
      <c r="CR123" s="775"/>
      <c r="CS123" s="766"/>
      <c r="CT123" s="766"/>
      <c r="CU123" s="129"/>
      <c r="CV123" s="766"/>
      <c r="CW123" s="766"/>
      <c r="CX123" s="766"/>
      <c r="CY123" s="766"/>
      <c r="CZ123" s="766"/>
      <c r="DA123" s="766"/>
      <c r="DB123" s="766"/>
      <c r="DC123" s="766"/>
      <c r="DD123" s="766"/>
      <c r="DE123" s="766"/>
      <c r="DF123" s="766"/>
      <c r="DG123" s="766"/>
      <c r="DH123" s="766"/>
      <c r="DI123" s="766"/>
      <c r="DJ123" s="766"/>
      <c r="DK123" s="766"/>
      <c r="DL123" s="766"/>
      <c r="DM123" s="766"/>
      <c r="DN123" s="766"/>
      <c r="DO123" s="766"/>
      <c r="DP123" s="766"/>
      <c r="DQ123" s="766"/>
      <c r="DR123" s="766"/>
      <c r="DS123" s="59"/>
      <c r="DT123" s="766"/>
      <c r="DU123" s="766"/>
      <c r="DV123" s="766"/>
      <c r="DW123" s="66"/>
      <c r="DX123" s="66"/>
      <c r="DY123" s="766"/>
      <c r="DZ123" s="766"/>
      <c r="EA123" s="766"/>
      <c r="EB123" s="766"/>
      <c r="EC123" s="766"/>
      <c r="ED123" s="766"/>
      <c r="EE123" s="766"/>
      <c r="EF123" s="766"/>
      <c r="EG123" s="766"/>
      <c r="EH123" s="766"/>
      <c r="EI123" s="766"/>
      <c r="EJ123" s="766"/>
      <c r="EK123" s="766"/>
      <c r="EL123" s="766"/>
      <c r="EM123" s="766"/>
      <c r="EN123" s="766"/>
      <c r="EO123" s="766"/>
      <c r="EP123" s="766"/>
      <c r="EQ123" s="766"/>
      <c r="ER123" s="766"/>
      <c r="ES123" s="766"/>
      <c r="ET123" s="766"/>
      <c r="EU123" s="766"/>
      <c r="EV123" s="766"/>
      <c r="EW123" s="766"/>
      <c r="EX123" s="766"/>
      <c r="EY123" s="766"/>
      <c r="EZ123" s="766"/>
      <c r="FA123" s="766"/>
      <c r="FB123" s="766"/>
      <c r="FC123" s="766"/>
      <c r="FD123" s="775"/>
      <c r="FE123" s="766"/>
      <c r="FF123" s="766"/>
      <c r="FG123" s="766"/>
      <c r="FH123" s="766" t="s">
        <v>478</v>
      </c>
      <c r="FI123" s="766">
        <v>1</v>
      </c>
      <c r="FJ123" s="766"/>
      <c r="FK123" s="766"/>
      <c r="FL123" s="766"/>
      <c r="FM123" s="775"/>
      <c r="FN123" s="775"/>
      <c r="FO123" s="775"/>
      <c r="FP123" s="766" t="s">
        <v>1602</v>
      </c>
      <c r="FQ123" s="766" t="s">
        <v>1660</v>
      </c>
      <c r="FR123" s="766" t="s">
        <v>1207</v>
      </c>
      <c r="FS123" s="766"/>
      <c r="FT123" s="766"/>
      <c r="FU123" s="766"/>
      <c r="FV123" s="766"/>
      <c r="FW123" s="766"/>
      <c r="FX123" s="766"/>
      <c r="FY123" s="766"/>
      <c r="FZ123" s="766"/>
      <c r="GA123" s="766"/>
      <c r="GB123" s="766" t="s">
        <v>796</v>
      </c>
      <c r="GC123" s="75" t="s">
        <v>1717</v>
      </c>
      <c r="GD123" s="25" t="s">
        <v>1718</v>
      </c>
      <c r="GE123" s="766" t="s">
        <v>1426</v>
      </c>
      <c r="GF123" s="775"/>
      <c r="GG123" s="775"/>
      <c r="GH123" s="766"/>
      <c r="GI123" s="766"/>
      <c r="GJ123" s="766"/>
      <c r="GK123" s="766"/>
      <c r="GL123" s="766"/>
      <c r="GM123" s="766"/>
      <c r="GN123" s="82"/>
      <c r="GO123" s="766"/>
      <c r="GP123" s="766"/>
      <c r="GQ123" s="766"/>
      <c r="GR123" s="766"/>
      <c r="GS123" s="766"/>
      <c r="GT123" s="766"/>
      <c r="GU123" s="766"/>
      <c r="GV123" s="766"/>
      <c r="GW123" s="766"/>
      <c r="GX123" s="766"/>
      <c r="GY123" s="766"/>
      <c r="GZ123" s="766"/>
      <c r="HA123" s="766"/>
      <c r="HB123" s="766"/>
      <c r="HC123" s="766"/>
      <c r="HD123" s="766"/>
      <c r="HE123" s="766"/>
      <c r="HF123" s="766"/>
      <c r="HG123" s="766"/>
      <c r="HH123" s="766"/>
      <c r="HI123" s="766"/>
      <c r="HJ123" s="766"/>
      <c r="HK123" s="766"/>
      <c r="HL123" s="766"/>
      <c r="HM123" s="766"/>
      <c r="HN123" s="766"/>
      <c r="HO123" s="766"/>
      <c r="HP123" s="766"/>
      <c r="HQ123" s="766"/>
      <c r="HR123" s="766"/>
      <c r="HS123" s="766"/>
      <c r="HT123" s="766"/>
      <c r="HU123" s="766"/>
      <c r="HV123" s="766"/>
      <c r="HW123" s="766"/>
      <c r="HX123" s="766"/>
      <c r="HY123" s="766"/>
      <c r="HZ123" s="766"/>
      <c r="IA123" s="766"/>
      <c r="IB123" s="766"/>
      <c r="IC123" s="766"/>
      <c r="ID123" s="766">
        <v>1</v>
      </c>
      <c r="IE123" s="766"/>
      <c r="IF123" s="1828" t="s">
        <v>214</v>
      </c>
      <c r="IG123" s="766" t="s">
        <v>10</v>
      </c>
      <c r="IH123" s="766" t="s">
        <v>478</v>
      </c>
      <c r="II123" s="766" t="s">
        <v>816</v>
      </c>
      <c r="IJ123" s="766" t="s">
        <v>1835</v>
      </c>
      <c r="IK123" s="766" t="s">
        <v>1888</v>
      </c>
      <c r="IL123" s="766" t="s">
        <v>1307</v>
      </c>
      <c r="IM123" s="766" t="s">
        <v>110</v>
      </c>
      <c r="IN123" s="766" t="s">
        <v>1307</v>
      </c>
      <c r="IO123" s="24">
        <v>21208</v>
      </c>
      <c r="IP123" s="766" t="s">
        <v>478</v>
      </c>
      <c r="IQ123" s="769" t="s">
        <v>1929</v>
      </c>
      <c r="IR123" s="766" t="s">
        <v>1930</v>
      </c>
      <c r="IS123" s="766" t="s">
        <v>1931</v>
      </c>
      <c r="IT123" s="766"/>
      <c r="IU123" s="766"/>
      <c r="IV123" s="766"/>
      <c r="IW123" s="766" t="s">
        <v>13181</v>
      </c>
      <c r="IX123" s="766"/>
      <c r="IY123" s="766"/>
      <c r="IZ123" s="766"/>
      <c r="JA123" s="766" t="s">
        <v>1880</v>
      </c>
      <c r="JB123" s="766" t="s">
        <v>12769</v>
      </c>
      <c r="JC123" s="766"/>
      <c r="JD123" s="775">
        <v>27000</v>
      </c>
      <c r="JE123" s="766"/>
      <c r="JF123" s="766"/>
      <c r="JG123" s="766"/>
      <c r="JH123" s="766"/>
      <c r="JI123" s="766"/>
      <c r="JJ123" s="766">
        <v>3</v>
      </c>
      <c r="JK123" s="766" t="s">
        <v>1717</v>
      </c>
      <c r="JL123" s="766">
        <v>1</v>
      </c>
      <c r="JM123" s="766"/>
      <c r="JN123" s="766">
        <v>1</v>
      </c>
      <c r="JO123" s="766">
        <v>1</v>
      </c>
      <c r="JP123" s="766"/>
      <c r="JQ123" s="766"/>
      <c r="JR123" s="766"/>
      <c r="JS123" s="766"/>
      <c r="JT123" s="766">
        <f t="shared" si="31"/>
        <v>2</v>
      </c>
      <c r="JU123" s="766">
        <f t="shared" si="31"/>
        <v>1</v>
      </c>
      <c r="JV123" s="766"/>
      <c r="JW123" s="766"/>
      <c r="JX123" s="766"/>
      <c r="JY123" s="766"/>
      <c r="JZ123" s="766">
        <v>1</v>
      </c>
      <c r="KA123" s="766"/>
      <c r="KB123" s="766"/>
      <c r="KC123" s="766"/>
      <c r="KD123" s="766">
        <v>1</v>
      </c>
      <c r="KE123" s="766">
        <v>1</v>
      </c>
      <c r="KF123" s="766"/>
      <c r="KG123" s="766"/>
      <c r="KH123" s="766"/>
      <c r="KI123" s="766"/>
      <c r="KJ123" s="770">
        <f t="shared" si="32"/>
        <v>2</v>
      </c>
      <c r="KK123" s="770">
        <f t="shared" si="32"/>
        <v>1</v>
      </c>
      <c r="KL123" s="770"/>
      <c r="KM123" s="770"/>
      <c r="KN123" s="766" t="s">
        <v>707</v>
      </c>
      <c r="KO123" s="28"/>
      <c r="KP123" s="766"/>
      <c r="KQ123" s="766"/>
      <c r="KR123" s="766"/>
      <c r="KS123" s="766"/>
      <c r="KT123" s="766"/>
      <c r="KU123" s="766"/>
      <c r="KV123" s="766">
        <v>1</v>
      </c>
      <c r="KW123" s="766">
        <v>1</v>
      </c>
      <c r="KX123" s="766">
        <v>1</v>
      </c>
      <c r="KY123" s="766"/>
      <c r="KZ123" s="766"/>
      <c r="LA123" s="766"/>
      <c r="LB123" s="766"/>
      <c r="LC123" s="766"/>
      <c r="LD123" s="766"/>
      <c r="LE123" s="766"/>
      <c r="LF123" s="766"/>
      <c r="LG123" s="766"/>
      <c r="LH123" s="766"/>
      <c r="LI123" s="766"/>
      <c r="LJ123" s="766"/>
      <c r="LK123" s="766"/>
      <c r="LL123" s="766"/>
      <c r="LM123" s="766"/>
      <c r="LN123" s="766">
        <f t="shared" si="33"/>
        <v>2</v>
      </c>
      <c r="LO123" s="766">
        <f t="shared" si="33"/>
        <v>1</v>
      </c>
      <c r="LP123" s="766">
        <v>1</v>
      </c>
      <c r="LQ123" s="1678"/>
      <c r="LR123" s="766">
        <v>1</v>
      </c>
      <c r="LS123" s="766"/>
      <c r="LT123" s="766"/>
      <c r="LU123" s="766"/>
      <c r="LV123" s="766"/>
      <c r="LW123" s="766"/>
      <c r="LX123" s="769">
        <v>1</v>
      </c>
      <c r="LY123" s="766" t="str">
        <f t="shared" si="23"/>
        <v>within the BRGY</v>
      </c>
      <c r="LZ123" s="66"/>
      <c r="MA123" s="766"/>
      <c r="MB123" s="766"/>
      <c r="MC123" s="1679">
        <f t="shared" si="24"/>
        <v>0</v>
      </c>
      <c r="MD123" s="66"/>
      <c r="ME123" s="66">
        <v>27000</v>
      </c>
      <c r="MF123" s="66"/>
      <c r="MG123" s="1680">
        <f t="shared" si="15"/>
        <v>27000</v>
      </c>
      <c r="MH123" s="1681"/>
      <c r="MI123" s="775">
        <v>15000</v>
      </c>
      <c r="MJ123" s="775">
        <v>1500</v>
      </c>
      <c r="MK123" s="775">
        <f>QUOTIENT(1000,12)</f>
        <v>83</v>
      </c>
      <c r="ML123" s="775">
        <v>5000</v>
      </c>
      <c r="MM123" s="775">
        <v>3000</v>
      </c>
      <c r="MN123" s="775">
        <v>350</v>
      </c>
      <c r="MO123" s="775"/>
      <c r="MP123" s="775">
        <v>2400</v>
      </c>
      <c r="MQ123" s="775">
        <v>300</v>
      </c>
      <c r="MR123" s="775">
        <v>550</v>
      </c>
      <c r="MS123" s="775">
        <v>1800</v>
      </c>
      <c r="MT123" s="775"/>
      <c r="MU123" s="775"/>
      <c r="MV123" s="775"/>
      <c r="MW123" s="775"/>
      <c r="MX123" s="775">
        <v>30000</v>
      </c>
      <c r="MY123" s="1682">
        <f t="shared" si="14"/>
        <v>59983</v>
      </c>
      <c r="MZ123" s="766" t="s">
        <v>13004</v>
      </c>
      <c r="NA123" s="766" t="s">
        <v>13005</v>
      </c>
      <c r="NB123" s="766" t="s">
        <v>13143</v>
      </c>
      <c r="NC123" s="766" t="s">
        <v>13007</v>
      </c>
      <c r="ND123" s="766">
        <v>1</v>
      </c>
      <c r="NE123" s="766"/>
      <c r="NF123" s="766"/>
      <c r="NG123" s="766">
        <v>1</v>
      </c>
      <c r="NH123" s="766"/>
      <c r="NI123" s="766">
        <v>1</v>
      </c>
      <c r="NJ123" s="766"/>
      <c r="NK123" s="766"/>
      <c r="NL123" s="766">
        <v>1</v>
      </c>
      <c r="NM123" s="766"/>
      <c r="NN123" s="766"/>
      <c r="NO123" s="766"/>
      <c r="NP123" s="766"/>
      <c r="NQ123" s="766"/>
      <c r="NR123" s="766"/>
      <c r="NS123" s="766"/>
      <c r="NT123" s="766"/>
      <c r="NU123" s="766"/>
      <c r="NV123" s="766"/>
      <c r="NW123" s="766"/>
      <c r="NX123" s="766"/>
      <c r="NY123" s="766"/>
      <c r="NZ123" s="766" t="s">
        <v>1208</v>
      </c>
      <c r="OA123" s="766" t="s">
        <v>1208</v>
      </c>
      <c r="OB123" s="766"/>
      <c r="OC123" s="766" t="s">
        <v>1208</v>
      </c>
      <c r="OD123" s="766"/>
      <c r="OE123" s="766"/>
      <c r="OF123" s="1828" t="s">
        <v>13034</v>
      </c>
      <c r="OG123" s="766"/>
      <c r="OH123" s="766"/>
      <c r="OI123" s="766"/>
      <c r="OJ123" s="766"/>
      <c r="OK123" s="1840" t="s">
        <v>1208</v>
      </c>
      <c r="OL123" s="1828" t="s">
        <v>13182</v>
      </c>
      <c r="OM123" s="766" t="s">
        <v>13077</v>
      </c>
      <c r="ON123" s="766" t="s">
        <v>13183</v>
      </c>
      <c r="OO123" s="766" t="s">
        <v>1207</v>
      </c>
      <c r="OP123" s="766" t="s">
        <v>13078</v>
      </c>
      <c r="OQ123" s="766" t="s">
        <v>1824</v>
      </c>
      <c r="OR123" s="766"/>
      <c r="OS123" s="766" t="s">
        <v>13079</v>
      </c>
      <c r="OT123" s="766" t="s">
        <v>13184</v>
      </c>
      <c r="OU123" s="766"/>
      <c r="OV123" s="766" t="s">
        <v>1208</v>
      </c>
      <c r="OW123" s="766" t="s">
        <v>1208</v>
      </c>
      <c r="OX123" s="766"/>
      <c r="OY123" s="766"/>
      <c r="OZ123" s="766"/>
      <c r="PA123" s="766" t="s">
        <v>1208</v>
      </c>
      <c r="PB123" s="766"/>
      <c r="PC123" s="766"/>
      <c r="PD123" s="766"/>
      <c r="PE123" s="766"/>
      <c r="PF123" s="766"/>
      <c r="PG123" s="766"/>
      <c r="PH123" s="766"/>
      <c r="PI123" s="766"/>
      <c r="PJ123" s="766"/>
      <c r="PK123" s="766"/>
      <c r="PL123" s="766"/>
      <c r="PM123" s="766" t="s">
        <v>1208</v>
      </c>
      <c r="PN123" s="766"/>
      <c r="PO123" s="766"/>
      <c r="PP123" s="766"/>
      <c r="PQ123" s="766"/>
      <c r="PR123" s="766"/>
      <c r="PS123" s="766"/>
      <c r="PT123" s="766"/>
      <c r="PU123" s="766"/>
      <c r="PV123" s="766"/>
      <c r="PW123" s="766"/>
      <c r="PX123" s="766"/>
      <c r="PY123" s="766"/>
      <c r="PZ123" s="766"/>
      <c r="QA123" s="766"/>
      <c r="QB123" s="766"/>
      <c r="QC123" s="766"/>
      <c r="QD123" s="766" t="s">
        <v>1208</v>
      </c>
      <c r="QE123" s="766"/>
      <c r="QF123" s="766"/>
      <c r="QG123" s="766"/>
      <c r="QH123" s="766"/>
      <c r="QI123" s="766"/>
      <c r="QJ123" s="766"/>
      <c r="QK123" s="766"/>
      <c r="QL123" s="766"/>
      <c r="QM123" s="766"/>
      <c r="QN123" s="766"/>
      <c r="QO123" s="766"/>
      <c r="QP123" s="766"/>
      <c r="QQ123" s="766"/>
      <c r="QR123" s="766"/>
      <c r="QS123" s="766"/>
      <c r="QT123" s="766"/>
      <c r="QU123" s="766"/>
      <c r="QV123" s="766"/>
      <c r="QW123" s="766"/>
      <c r="QX123" s="766"/>
      <c r="QY123" s="766"/>
      <c r="QZ123" s="766"/>
      <c r="RA123" s="766"/>
      <c r="RB123" s="766"/>
      <c r="RC123" s="766"/>
      <c r="RD123" s="766"/>
      <c r="RE123" s="766"/>
      <c r="RF123" s="777"/>
      <c r="RG123" s="766"/>
      <c r="RH123" s="775"/>
      <c r="RI123" s="766"/>
      <c r="RJ123" s="766" t="s">
        <v>1717</v>
      </c>
      <c r="RK123" s="766" t="s">
        <v>13086</v>
      </c>
      <c r="RL123" s="1683"/>
      <c r="RM123" s="12"/>
      <c r="RN123" s="1711"/>
      <c r="RO123" s="165" t="s">
        <v>207</v>
      </c>
      <c r="RP123" s="11"/>
      <c r="RQ123" s="11"/>
      <c r="RR123" s="771"/>
      <c r="RS123" s="766"/>
      <c r="RT123" s="11"/>
      <c r="RU123" s="11"/>
      <c r="RV123" s="766" t="s">
        <v>12415</v>
      </c>
      <c r="RW123" s="11" t="s">
        <v>7516</v>
      </c>
      <c r="RX123" s="11" t="s">
        <v>199</v>
      </c>
      <c r="RY123" s="11"/>
      <c r="RZ123" s="11" t="s">
        <v>7419</v>
      </c>
      <c r="SA123" s="766"/>
      <c r="SB123" s="11"/>
      <c r="SC123" s="11"/>
    </row>
    <row r="124" spans="1:497" ht="12.75" hidden="1" customHeight="1">
      <c r="A124" s="767" t="s">
        <v>14151</v>
      </c>
      <c r="B124" s="288" t="s">
        <v>7576</v>
      </c>
      <c r="C124" s="165" t="s">
        <v>213</v>
      </c>
      <c r="D124" s="766" t="s">
        <v>208</v>
      </c>
      <c r="E124" s="766" t="s">
        <v>209</v>
      </c>
      <c r="F124" s="766" t="s">
        <v>210</v>
      </c>
      <c r="G124" s="766" t="s">
        <v>18</v>
      </c>
      <c r="H124" s="766"/>
      <c r="I124" s="5"/>
      <c r="J124" s="766" t="s">
        <v>214</v>
      </c>
      <c r="K124" s="766"/>
      <c r="L124" s="766"/>
      <c r="M124" s="766"/>
      <c r="N124" s="766"/>
      <c r="O124" s="766"/>
      <c r="P124" s="766" t="s">
        <v>214</v>
      </c>
      <c r="Q124" s="1085">
        <v>20843</v>
      </c>
      <c r="R124" s="25">
        <v>60</v>
      </c>
      <c r="S124" s="766" t="s">
        <v>10</v>
      </c>
      <c r="T124" s="766"/>
      <c r="U124" s="26" t="s">
        <v>818</v>
      </c>
      <c r="V124" s="766" t="s">
        <v>768</v>
      </c>
      <c r="W124" s="766"/>
      <c r="X124" s="766"/>
      <c r="Y124" s="766" t="s">
        <v>209</v>
      </c>
      <c r="Z124" s="766" t="s">
        <v>708</v>
      </c>
      <c r="AA124" s="766" t="s">
        <v>709</v>
      </c>
      <c r="AB124" s="766" t="s">
        <v>762</v>
      </c>
      <c r="AC124" s="766"/>
      <c r="AD124" s="766" t="s">
        <v>711</v>
      </c>
      <c r="AE124" s="766"/>
      <c r="AF124" s="766" t="s">
        <v>819</v>
      </c>
      <c r="AG124" s="766"/>
      <c r="AH124" s="766"/>
      <c r="AI124" s="766"/>
      <c r="AJ124" s="766"/>
      <c r="AK124" s="766" t="s">
        <v>5454</v>
      </c>
      <c r="AL124" s="121"/>
      <c r="AM124" s="772"/>
      <c r="AN124" s="774"/>
      <c r="AO124" s="766"/>
      <c r="AP124" s="766"/>
      <c r="AQ124" s="766"/>
      <c r="AR124" s="766"/>
      <c r="AS124" s="766"/>
      <c r="AT124" s="766"/>
      <c r="AU124" s="766"/>
      <c r="AV124" s="766"/>
      <c r="AW124" s="766"/>
      <c r="AX124" s="766"/>
      <c r="AY124" s="766"/>
      <c r="AZ124" s="766"/>
      <c r="BA124" s="766"/>
      <c r="BB124" s="766"/>
      <c r="BC124" s="766"/>
      <c r="BD124" s="766"/>
      <c r="BE124" s="766"/>
      <c r="BF124" s="775"/>
      <c r="BG124" s="775"/>
      <c r="BH124" s="766"/>
      <c r="BI124" s="766"/>
      <c r="BJ124" s="766"/>
      <c r="BK124" s="766"/>
      <c r="BL124" s="766"/>
      <c r="BM124" s="766" t="s">
        <v>12423</v>
      </c>
      <c r="BN124" s="766" t="s">
        <v>1305</v>
      </c>
      <c r="BO124" s="766"/>
      <c r="BP124" s="780"/>
      <c r="BQ124" s="773"/>
      <c r="BR124" s="774"/>
      <c r="BS124" s="766"/>
      <c r="BT124" s="770"/>
      <c r="BU124" s="770"/>
      <c r="BV124" s="770"/>
      <c r="BW124" s="766"/>
      <c r="BX124" s="779"/>
      <c r="BY124" s="766"/>
      <c r="BZ124" s="775"/>
      <c r="CA124" s="766"/>
      <c r="CB124" s="766"/>
      <c r="CC124" s="766"/>
      <c r="CD124" s="766"/>
      <c r="CE124" s="766"/>
      <c r="CF124" s="777"/>
      <c r="CG124" s="778"/>
      <c r="CH124" s="766"/>
      <c r="CI124" s="766"/>
      <c r="CJ124" s="766"/>
      <c r="CK124" s="766"/>
      <c r="CL124" s="766"/>
      <c r="CM124" s="766"/>
      <c r="CN124" s="766"/>
      <c r="CO124" s="766"/>
      <c r="CP124" s="766"/>
      <c r="CQ124" s="766"/>
      <c r="CR124" s="775"/>
      <c r="CS124" s="766"/>
      <c r="CT124" s="766"/>
      <c r="CU124" s="129"/>
      <c r="CV124" s="766"/>
      <c r="CW124" s="766"/>
      <c r="CX124" s="766"/>
      <c r="CY124" s="766"/>
      <c r="CZ124" s="766"/>
      <c r="DA124" s="766"/>
      <c r="DB124" s="766"/>
      <c r="DC124" s="766"/>
      <c r="DD124" s="766"/>
      <c r="DE124" s="766"/>
      <c r="DF124" s="766"/>
      <c r="DG124" s="766"/>
      <c r="DH124" s="766"/>
      <c r="DI124" s="766"/>
      <c r="DJ124" s="766"/>
      <c r="DK124" s="766"/>
      <c r="DL124" s="766"/>
      <c r="DM124" s="766"/>
      <c r="DN124" s="766"/>
      <c r="DO124" s="766"/>
      <c r="DP124" s="766"/>
      <c r="DQ124" s="766"/>
      <c r="DR124" s="766"/>
      <c r="DS124" s="59"/>
      <c r="DT124" s="766"/>
      <c r="DU124" s="766"/>
      <c r="DV124" s="766"/>
      <c r="DW124" s="66"/>
      <c r="DX124" s="66"/>
      <c r="DY124" s="766"/>
      <c r="DZ124" s="766"/>
      <c r="EA124" s="766"/>
      <c r="EB124" s="766"/>
      <c r="EC124" s="766"/>
      <c r="ED124" s="766"/>
      <c r="EE124" s="766"/>
      <c r="EF124" s="766"/>
      <c r="EG124" s="766"/>
      <c r="EH124" s="766"/>
      <c r="EI124" s="766"/>
      <c r="EJ124" s="766"/>
      <c r="EK124" s="766"/>
      <c r="EL124" s="766"/>
      <c r="EM124" s="766"/>
      <c r="EN124" s="766"/>
      <c r="EO124" s="766"/>
      <c r="EP124" s="766"/>
      <c r="EQ124" s="766"/>
      <c r="ER124" s="766"/>
      <c r="ES124" s="766"/>
      <c r="ET124" s="766"/>
      <c r="EU124" s="766"/>
      <c r="EV124" s="766"/>
      <c r="EW124" s="766"/>
      <c r="EX124" s="766"/>
      <c r="EY124" s="766"/>
      <c r="EZ124" s="766"/>
      <c r="FA124" s="766"/>
      <c r="FB124" s="766"/>
      <c r="FC124" s="766"/>
      <c r="FD124" s="775"/>
      <c r="FE124" s="766"/>
      <c r="FF124" s="766"/>
      <c r="FG124" s="766"/>
      <c r="FH124" s="766" t="s">
        <v>478</v>
      </c>
      <c r="FI124" s="766"/>
      <c r="FJ124" s="766"/>
      <c r="FK124" s="25"/>
      <c r="FL124" s="766"/>
      <c r="FM124" s="775"/>
      <c r="FN124" s="775"/>
      <c r="FO124" s="775"/>
      <c r="FP124" s="766"/>
      <c r="FQ124" s="766"/>
      <c r="FR124" s="766"/>
      <c r="FS124" s="766"/>
      <c r="FT124" s="766"/>
      <c r="FU124" s="766"/>
      <c r="FV124" s="766" t="s">
        <v>1208</v>
      </c>
      <c r="FW124" s="766"/>
      <c r="FX124" s="766"/>
      <c r="FY124" s="766"/>
      <c r="FZ124" s="766"/>
      <c r="GA124" s="766"/>
      <c r="GB124" s="766"/>
      <c r="GC124" s="75"/>
      <c r="GD124" s="25"/>
      <c r="GE124" s="766"/>
      <c r="GF124" s="775"/>
      <c r="GG124" s="775"/>
      <c r="GH124" s="766"/>
      <c r="GI124" s="766"/>
      <c r="GJ124" s="766"/>
      <c r="GK124" s="766"/>
      <c r="GL124" s="766"/>
      <c r="GM124" s="766"/>
      <c r="GN124" s="82"/>
      <c r="GO124" s="766"/>
      <c r="GP124" s="766"/>
      <c r="GQ124" s="766"/>
      <c r="GR124" s="766"/>
      <c r="GS124" s="766"/>
      <c r="GT124" s="766"/>
      <c r="GU124" s="766"/>
      <c r="GV124" s="766"/>
      <c r="GW124" s="766"/>
      <c r="GX124" s="766"/>
      <c r="GY124" s="766"/>
      <c r="GZ124" s="766"/>
      <c r="HA124" s="766"/>
      <c r="HB124" s="766"/>
      <c r="HC124" s="766"/>
      <c r="HD124" s="766"/>
      <c r="HE124" s="766"/>
      <c r="HF124" s="766"/>
      <c r="HG124" s="766"/>
      <c r="HH124" s="766"/>
      <c r="HI124" s="766"/>
      <c r="HJ124" s="766"/>
      <c r="HK124" s="766"/>
      <c r="HL124" s="766"/>
      <c r="HM124" s="766"/>
      <c r="HN124" s="766"/>
      <c r="HO124" s="766"/>
      <c r="HP124" s="766"/>
      <c r="HQ124" s="766"/>
      <c r="HR124" s="766"/>
      <c r="HS124" s="766"/>
      <c r="HT124" s="766"/>
      <c r="HU124" s="766"/>
      <c r="HV124" s="766"/>
      <c r="HW124" s="766"/>
      <c r="HX124" s="766"/>
      <c r="HY124" s="766"/>
      <c r="HZ124" s="766"/>
      <c r="IA124" s="766"/>
      <c r="IB124" s="766"/>
      <c r="IC124" s="766"/>
      <c r="ID124" s="766"/>
      <c r="IE124" s="766"/>
      <c r="IF124" s="766"/>
      <c r="IG124" s="766"/>
      <c r="IH124" s="766"/>
      <c r="II124" s="766"/>
      <c r="IJ124" s="766"/>
      <c r="IK124" s="766"/>
      <c r="IL124" s="766"/>
      <c r="IM124" s="766"/>
      <c r="IN124" s="766"/>
      <c r="IO124" s="24"/>
      <c r="IP124" s="766"/>
      <c r="IQ124" s="766"/>
      <c r="IR124" s="770"/>
      <c r="IS124" s="766"/>
      <c r="IT124" s="766"/>
      <c r="IU124" s="766"/>
      <c r="IV124" s="766"/>
      <c r="IW124" s="766"/>
      <c r="IX124" s="766"/>
      <c r="IY124" s="766"/>
      <c r="IZ124" s="766"/>
      <c r="JA124" s="766"/>
      <c r="JB124" s="766"/>
      <c r="JC124" s="766"/>
      <c r="JD124" s="775"/>
      <c r="JE124" s="766"/>
      <c r="JF124" s="766"/>
      <c r="JG124" s="766"/>
      <c r="JH124" s="766"/>
      <c r="JI124" s="766"/>
      <c r="JJ124" s="766">
        <v>9</v>
      </c>
      <c r="JK124" s="766" t="s">
        <v>1717</v>
      </c>
      <c r="JL124" s="766">
        <v>3</v>
      </c>
      <c r="JM124" s="766"/>
      <c r="JN124" s="766">
        <v>4</v>
      </c>
      <c r="JO124" s="766">
        <v>2</v>
      </c>
      <c r="JP124" s="766"/>
      <c r="JQ124" s="766"/>
      <c r="JR124" s="766"/>
      <c r="JS124" s="766"/>
      <c r="JT124" s="766">
        <f t="shared" si="31"/>
        <v>7</v>
      </c>
      <c r="JU124" s="766">
        <f t="shared" si="31"/>
        <v>2</v>
      </c>
      <c r="JV124" s="766"/>
      <c r="JW124" s="766"/>
      <c r="JX124" s="766">
        <v>2</v>
      </c>
      <c r="JY124" s="766"/>
      <c r="JZ124" s="766">
        <v>1</v>
      </c>
      <c r="KA124" s="766"/>
      <c r="KB124" s="766">
        <v>1</v>
      </c>
      <c r="KC124" s="766">
        <v>1</v>
      </c>
      <c r="KD124" s="766">
        <v>3</v>
      </c>
      <c r="KE124" s="766">
        <v>1</v>
      </c>
      <c r="KF124" s="766"/>
      <c r="KG124" s="766"/>
      <c r="KH124" s="766"/>
      <c r="KI124" s="766"/>
      <c r="KJ124" s="770">
        <f t="shared" si="32"/>
        <v>7</v>
      </c>
      <c r="KK124" s="770">
        <f t="shared" si="32"/>
        <v>2</v>
      </c>
      <c r="KL124" s="770"/>
      <c r="KM124" s="770"/>
      <c r="KN124" s="766" t="s">
        <v>707</v>
      </c>
      <c r="KO124" s="28"/>
      <c r="KP124" s="766"/>
      <c r="KQ124" s="766"/>
      <c r="KR124" s="766"/>
      <c r="KS124" s="766"/>
      <c r="KT124" s="766"/>
      <c r="KU124" s="766"/>
      <c r="KV124" s="766"/>
      <c r="KW124" s="766"/>
      <c r="KX124" s="766">
        <v>3</v>
      </c>
      <c r="KY124" s="766"/>
      <c r="KZ124" s="766">
        <v>1</v>
      </c>
      <c r="LA124" s="766">
        <v>3</v>
      </c>
      <c r="LB124" s="766"/>
      <c r="LC124" s="766"/>
      <c r="LD124" s="766">
        <v>1</v>
      </c>
      <c r="LE124" s="766"/>
      <c r="LF124" s="766"/>
      <c r="LG124" s="766"/>
      <c r="LH124" s="766"/>
      <c r="LI124" s="766"/>
      <c r="LJ124" s="766">
        <v>3</v>
      </c>
      <c r="LK124" s="766">
        <v>1</v>
      </c>
      <c r="LL124" s="766"/>
      <c r="LM124" s="766"/>
      <c r="LN124" s="766">
        <f t="shared" si="33"/>
        <v>8</v>
      </c>
      <c r="LO124" s="766">
        <f t="shared" si="33"/>
        <v>4</v>
      </c>
      <c r="LP124" s="766">
        <v>2</v>
      </c>
      <c r="LQ124" s="1678">
        <v>1</v>
      </c>
      <c r="LR124" s="766">
        <v>1</v>
      </c>
      <c r="LS124" s="766"/>
      <c r="LT124" s="766"/>
      <c r="LU124" s="766"/>
      <c r="LV124" s="766"/>
      <c r="LW124" s="766">
        <v>1</v>
      </c>
      <c r="LX124" s="769">
        <v>1</v>
      </c>
      <c r="LY124" s="766" t="str">
        <f t="shared" si="23"/>
        <v>within the BRGY</v>
      </c>
      <c r="LZ124" s="66"/>
      <c r="MA124" s="766"/>
      <c r="MB124" s="766"/>
      <c r="MC124" s="1679">
        <f t="shared" si="24"/>
        <v>0</v>
      </c>
      <c r="MD124" s="66">
        <v>9200</v>
      </c>
      <c r="ME124" s="66">
        <v>15000</v>
      </c>
      <c r="MF124" s="66"/>
      <c r="MG124" s="1680">
        <f t="shared" si="15"/>
        <v>24200</v>
      </c>
      <c r="MH124" s="1681"/>
      <c r="MI124" s="775">
        <v>12000</v>
      </c>
      <c r="MJ124" s="775">
        <v>3000</v>
      </c>
      <c r="MK124" s="775">
        <v>2000</v>
      </c>
      <c r="ML124" s="775">
        <v>3600</v>
      </c>
      <c r="MM124" s="775">
        <v>4000</v>
      </c>
      <c r="MN124" s="775"/>
      <c r="MO124" s="775">
        <v>1200</v>
      </c>
      <c r="MP124" s="775">
        <v>1200</v>
      </c>
      <c r="MQ124" s="775">
        <v>400</v>
      </c>
      <c r="MR124" s="775">
        <v>1200</v>
      </c>
      <c r="MS124" s="775"/>
      <c r="MT124" s="775"/>
      <c r="MU124" s="775"/>
      <c r="MV124" s="775"/>
      <c r="MW124" s="775"/>
      <c r="MX124" s="775"/>
      <c r="MY124" s="1682">
        <f t="shared" si="14"/>
        <v>28600</v>
      </c>
      <c r="MZ124" s="766" t="s">
        <v>13004</v>
      </c>
      <c r="NA124" s="766" t="s">
        <v>13005</v>
      </c>
      <c r="NB124" s="766" t="s">
        <v>13006</v>
      </c>
      <c r="NC124" s="766" t="s">
        <v>13007</v>
      </c>
      <c r="ND124" s="766">
        <v>1</v>
      </c>
      <c r="NE124" s="766">
        <v>1</v>
      </c>
      <c r="NF124" s="766">
        <v>1</v>
      </c>
      <c r="NG124" s="766">
        <v>1</v>
      </c>
      <c r="NH124" s="766">
        <v>1</v>
      </c>
      <c r="NI124" s="766">
        <v>0</v>
      </c>
      <c r="NJ124" s="766">
        <v>0</v>
      </c>
      <c r="NK124" s="766">
        <v>0</v>
      </c>
      <c r="NL124" s="766">
        <v>0</v>
      </c>
      <c r="NM124" s="766">
        <v>1</v>
      </c>
      <c r="NN124" s="766">
        <v>0</v>
      </c>
      <c r="NO124" s="766">
        <v>0</v>
      </c>
      <c r="NP124" s="766">
        <v>0</v>
      </c>
      <c r="NQ124" s="766">
        <v>0</v>
      </c>
      <c r="NR124" s="766">
        <v>0</v>
      </c>
      <c r="NS124" s="766">
        <v>0</v>
      </c>
      <c r="NT124" s="766">
        <v>0</v>
      </c>
      <c r="NU124" s="766">
        <v>0</v>
      </c>
      <c r="NV124" s="766">
        <v>0</v>
      </c>
      <c r="NW124" s="766">
        <v>0</v>
      </c>
      <c r="NX124" s="766"/>
      <c r="NY124" s="766" t="s">
        <v>1208</v>
      </c>
      <c r="NZ124" s="766" t="s">
        <v>1208</v>
      </c>
      <c r="OA124" s="766"/>
      <c r="OB124" s="766"/>
      <c r="OC124" s="766" t="s">
        <v>1208</v>
      </c>
      <c r="OD124" s="766" t="s">
        <v>1208</v>
      </c>
      <c r="OE124" s="766"/>
      <c r="OF124" s="766" t="s">
        <v>13034</v>
      </c>
      <c r="OG124" s="766"/>
      <c r="OH124" s="766"/>
      <c r="OI124" s="766"/>
      <c r="OJ124" s="766"/>
      <c r="OK124" s="76"/>
      <c r="OL124" s="766" t="s">
        <v>13137</v>
      </c>
      <c r="OM124" s="766" t="s">
        <v>13172</v>
      </c>
      <c r="ON124" s="766"/>
      <c r="OO124" s="766"/>
      <c r="OP124" s="766"/>
      <c r="OQ124" s="766"/>
      <c r="OR124" s="766"/>
      <c r="OS124" s="766"/>
      <c r="OT124" s="766"/>
      <c r="OU124" s="766"/>
      <c r="OV124" s="766"/>
      <c r="OW124" s="766"/>
      <c r="OX124" s="766"/>
      <c r="OY124" s="766"/>
      <c r="OZ124" s="766"/>
      <c r="PA124" s="766"/>
      <c r="PB124" s="766"/>
      <c r="PC124" s="766"/>
      <c r="PD124" s="766"/>
      <c r="PE124" s="766"/>
      <c r="PF124" s="766"/>
      <c r="PG124" s="766"/>
      <c r="PH124" s="766"/>
      <c r="PI124" s="766"/>
      <c r="PJ124" s="766" t="s">
        <v>1208</v>
      </c>
      <c r="PK124" s="766"/>
      <c r="PL124" s="766"/>
      <c r="PM124" s="766"/>
      <c r="PN124" s="766"/>
      <c r="PO124" s="766"/>
      <c r="PP124" s="766"/>
      <c r="PQ124" s="766"/>
      <c r="PR124" s="766"/>
      <c r="PS124" s="766"/>
      <c r="PT124" s="766"/>
      <c r="PU124" s="766"/>
      <c r="PV124" s="766"/>
      <c r="PW124" s="766"/>
      <c r="PX124" s="766"/>
      <c r="PY124" s="766"/>
      <c r="PZ124" s="766"/>
      <c r="QA124" s="766"/>
      <c r="QB124" s="766"/>
      <c r="QC124" s="766"/>
      <c r="QD124" s="766"/>
      <c r="QE124" s="766"/>
      <c r="QF124" s="766"/>
      <c r="QG124" s="766"/>
      <c r="QH124" s="766"/>
      <c r="QI124" s="766"/>
      <c r="QJ124" s="766"/>
      <c r="QK124" s="766"/>
      <c r="QL124" s="766"/>
      <c r="QM124" s="766"/>
      <c r="QN124" s="766"/>
      <c r="QO124" s="766"/>
      <c r="QP124" s="766"/>
      <c r="QQ124" s="766"/>
      <c r="QR124" s="766"/>
      <c r="QS124" s="766"/>
      <c r="QT124" s="766"/>
      <c r="QU124" s="766"/>
      <c r="QV124" s="766"/>
      <c r="QW124" s="766"/>
      <c r="QX124" s="766"/>
      <c r="QY124" s="766"/>
      <c r="QZ124" s="766"/>
      <c r="RA124" s="766"/>
      <c r="RB124" s="770" t="s">
        <v>1207</v>
      </c>
      <c r="RC124" s="1707">
        <v>42644</v>
      </c>
      <c r="RD124" s="766" t="s">
        <v>12989</v>
      </c>
      <c r="RE124" s="766" t="s">
        <v>13100</v>
      </c>
      <c r="RF124" s="777">
        <v>1</v>
      </c>
      <c r="RG124" s="766" t="s">
        <v>13185</v>
      </c>
      <c r="RH124" s="775">
        <v>0</v>
      </c>
      <c r="RI124" s="766">
        <v>48</v>
      </c>
      <c r="RJ124" s="766" t="s">
        <v>13186</v>
      </c>
      <c r="RK124" s="766" t="s">
        <v>13148</v>
      </c>
      <c r="RL124" s="1683"/>
      <c r="RM124" s="12"/>
      <c r="RN124" s="1711"/>
      <c r="RO124" s="165" t="s">
        <v>213</v>
      </c>
      <c r="RP124" s="11"/>
      <c r="RQ124" s="11"/>
      <c r="RR124" s="771"/>
      <c r="RS124" s="766"/>
      <c r="RT124" s="11"/>
      <c r="RU124" s="11"/>
      <c r="RV124" s="766" t="s">
        <v>12415</v>
      </c>
      <c r="RW124" s="11" t="s">
        <v>7517</v>
      </c>
      <c r="RX124" s="11" t="s">
        <v>201</v>
      </c>
      <c r="RY124" s="11"/>
      <c r="RZ124" s="11"/>
      <c r="SA124" s="766"/>
      <c r="SB124" s="11"/>
      <c r="SC124" s="11"/>
    </row>
    <row r="125" spans="1:497" ht="12.75" hidden="1" customHeight="1">
      <c r="A125" s="154" t="s">
        <v>14151</v>
      </c>
      <c r="B125" s="288" t="s">
        <v>7577</v>
      </c>
      <c r="C125" s="165" t="s">
        <v>215</v>
      </c>
      <c r="D125" s="766" t="s">
        <v>216</v>
      </c>
      <c r="E125" s="766" t="s">
        <v>209</v>
      </c>
      <c r="F125" s="766" t="s">
        <v>28</v>
      </c>
      <c r="G125" s="766" t="s">
        <v>10</v>
      </c>
      <c r="H125" s="14" t="s">
        <v>1935</v>
      </c>
      <c r="I125" s="5" t="s">
        <v>1936</v>
      </c>
      <c r="J125" s="766"/>
      <c r="K125" s="766" t="s">
        <v>211</v>
      </c>
      <c r="L125" s="766" t="s">
        <v>212</v>
      </c>
      <c r="M125" s="766"/>
      <c r="N125" s="766"/>
      <c r="O125" s="766"/>
      <c r="P125" s="766"/>
      <c r="Q125" s="1085"/>
      <c r="R125" s="25"/>
      <c r="S125" s="766"/>
      <c r="T125" s="766"/>
      <c r="U125" s="26"/>
      <c r="V125" s="766"/>
      <c r="W125" s="766"/>
      <c r="X125" s="766"/>
      <c r="Y125" s="766"/>
      <c r="Z125" s="766"/>
      <c r="AA125" s="766"/>
      <c r="AB125" s="766"/>
      <c r="AC125" s="766"/>
      <c r="AD125" s="766"/>
      <c r="AE125" s="766"/>
      <c r="AF125" s="766"/>
      <c r="AG125" s="766"/>
      <c r="AH125" s="766"/>
      <c r="AI125" s="766"/>
      <c r="AJ125" s="766"/>
      <c r="AK125" s="766" t="s">
        <v>1899</v>
      </c>
      <c r="AL125" s="121"/>
      <c r="AM125" s="772"/>
      <c r="AN125" s="774"/>
      <c r="AO125" s="766"/>
      <c r="AP125" s="766"/>
      <c r="AQ125" s="766"/>
      <c r="AR125" s="766"/>
      <c r="AS125" s="766"/>
      <c r="AT125" s="766"/>
      <c r="AU125" s="766"/>
      <c r="AV125" s="766"/>
      <c r="AW125" s="766"/>
      <c r="AX125" s="766"/>
      <c r="AY125" s="766"/>
      <c r="AZ125" s="766"/>
      <c r="BA125" s="766"/>
      <c r="BB125" s="766"/>
      <c r="BC125" s="766"/>
      <c r="BD125" s="766"/>
      <c r="BE125" s="766"/>
      <c r="BF125" s="775"/>
      <c r="BG125" s="775"/>
      <c r="BH125" s="766"/>
      <c r="BI125" s="766"/>
      <c r="BJ125" s="766"/>
      <c r="BK125" s="766"/>
      <c r="BL125" s="766"/>
      <c r="BM125" s="766" t="s">
        <v>12423</v>
      </c>
      <c r="BN125" s="766" t="s">
        <v>1260</v>
      </c>
      <c r="BO125" s="766"/>
      <c r="BP125" s="776"/>
      <c r="BQ125" s="772"/>
      <c r="BR125" s="774"/>
      <c r="BS125" s="766" t="s">
        <v>1257</v>
      </c>
      <c r="BT125" s="766" t="s">
        <v>2040</v>
      </c>
      <c r="BU125" s="766" t="s">
        <v>1249</v>
      </c>
      <c r="BV125" s="766" t="s">
        <v>1247</v>
      </c>
      <c r="BW125" s="769"/>
      <c r="BX125" s="779"/>
      <c r="BY125" s="766"/>
      <c r="BZ125" s="775"/>
      <c r="CA125" s="766"/>
      <c r="CB125" s="766"/>
      <c r="CC125" s="766"/>
      <c r="CD125" s="766"/>
      <c r="CE125" s="766"/>
      <c r="CF125" s="777"/>
      <c r="CG125" s="778"/>
      <c r="CH125" s="766"/>
      <c r="CI125" s="766"/>
      <c r="CJ125" s="766"/>
      <c r="CK125" s="766"/>
      <c r="CL125" s="766"/>
      <c r="CM125" s="766"/>
      <c r="CN125" s="766"/>
      <c r="CO125" s="766"/>
      <c r="CP125" s="766"/>
      <c r="CQ125" s="766"/>
      <c r="CR125" s="775"/>
      <c r="CS125" s="766"/>
      <c r="CT125" s="766"/>
      <c r="CU125" s="129"/>
      <c r="CV125" s="766"/>
      <c r="CW125" s="766"/>
      <c r="CX125" s="766"/>
      <c r="CY125" s="766"/>
      <c r="CZ125" s="766"/>
      <c r="DA125" s="766"/>
      <c r="DB125" s="766"/>
      <c r="DC125" s="766"/>
      <c r="DD125" s="766"/>
      <c r="DE125" s="766"/>
      <c r="DF125" s="766"/>
      <c r="DG125" s="766"/>
      <c r="DH125" s="766"/>
      <c r="DI125" s="766"/>
      <c r="DJ125" s="766"/>
      <c r="DK125" s="766"/>
      <c r="DL125" s="766"/>
      <c r="DM125" s="766"/>
      <c r="DN125" s="766"/>
      <c r="DO125" s="766"/>
      <c r="DP125" s="766"/>
      <c r="DQ125" s="766"/>
      <c r="DR125" s="766"/>
      <c r="DS125" s="59"/>
      <c r="DT125" s="766"/>
      <c r="DU125" s="766"/>
      <c r="DV125" s="766"/>
      <c r="DW125" s="66"/>
      <c r="DX125" s="66"/>
      <c r="DY125" s="766"/>
      <c r="DZ125" s="766"/>
      <c r="EA125" s="766"/>
      <c r="EB125" s="766"/>
      <c r="EC125" s="766"/>
      <c r="ED125" s="766"/>
      <c r="EE125" s="766"/>
      <c r="EF125" s="766"/>
      <c r="EG125" s="766"/>
      <c r="EH125" s="766"/>
      <c r="EI125" s="766"/>
      <c r="EJ125" s="766"/>
      <c r="EK125" s="766"/>
      <c r="EL125" s="766"/>
      <c r="EM125" s="766"/>
      <c r="EN125" s="766"/>
      <c r="EO125" s="766"/>
      <c r="EP125" s="766"/>
      <c r="EQ125" s="766"/>
      <c r="ER125" s="766"/>
      <c r="ES125" s="766"/>
      <c r="ET125" s="766"/>
      <c r="EU125" s="766"/>
      <c r="EV125" s="766"/>
      <c r="EW125" s="766"/>
      <c r="EX125" s="766"/>
      <c r="EY125" s="766"/>
      <c r="EZ125" s="766"/>
      <c r="FA125" s="766"/>
      <c r="FB125" s="766"/>
      <c r="FC125" s="766"/>
      <c r="FD125" s="775"/>
      <c r="FE125" s="766"/>
      <c r="FF125" s="766"/>
      <c r="FG125" s="766"/>
      <c r="FH125" s="766" t="s">
        <v>110</v>
      </c>
      <c r="FI125" s="766"/>
      <c r="FJ125" s="766"/>
      <c r="FK125" s="25"/>
      <c r="FL125" s="766"/>
      <c r="FM125" s="775"/>
      <c r="FN125" s="775"/>
      <c r="FO125" s="775"/>
      <c r="FP125" s="766"/>
      <c r="FQ125" s="766"/>
      <c r="FR125" s="766"/>
      <c r="FS125" s="766"/>
      <c r="FT125" s="766"/>
      <c r="FU125" s="766"/>
      <c r="FV125" s="766"/>
      <c r="FW125" s="766"/>
      <c r="FX125" s="766"/>
      <c r="FY125" s="766"/>
      <c r="FZ125" s="766"/>
      <c r="GA125" s="766"/>
      <c r="GB125" s="766"/>
      <c r="GC125" s="75"/>
      <c r="GD125" s="25"/>
      <c r="GE125" s="766"/>
      <c r="GF125" s="775"/>
      <c r="GG125" s="775"/>
      <c r="GH125" s="766"/>
      <c r="GI125" s="766"/>
      <c r="GJ125" s="766"/>
      <c r="GK125" s="766"/>
      <c r="GL125" s="766"/>
      <c r="GM125" s="766"/>
      <c r="GN125" s="82"/>
      <c r="GO125" s="766"/>
      <c r="GP125" s="766"/>
      <c r="GQ125" s="766"/>
      <c r="GR125" s="766"/>
      <c r="GS125" s="766"/>
      <c r="GT125" s="766"/>
      <c r="GU125" s="766"/>
      <c r="GV125" s="766"/>
      <c r="GW125" s="766"/>
      <c r="GX125" s="766"/>
      <c r="GY125" s="766"/>
      <c r="GZ125" s="766"/>
      <c r="HA125" s="766"/>
      <c r="HB125" s="766"/>
      <c r="HC125" s="766"/>
      <c r="HD125" s="766"/>
      <c r="HE125" s="766"/>
      <c r="HF125" s="766"/>
      <c r="HG125" s="766"/>
      <c r="HH125" s="766"/>
      <c r="HI125" s="766"/>
      <c r="HJ125" s="766"/>
      <c r="HK125" s="766"/>
      <c r="HL125" s="766"/>
      <c r="HM125" s="766"/>
      <c r="HN125" s="766"/>
      <c r="HO125" s="766"/>
      <c r="HP125" s="766"/>
      <c r="HQ125" s="766"/>
      <c r="HR125" s="766"/>
      <c r="HS125" s="766"/>
      <c r="HT125" s="766"/>
      <c r="HU125" s="766"/>
      <c r="HV125" s="766"/>
      <c r="HW125" s="766"/>
      <c r="HX125" s="766"/>
      <c r="HY125" s="766"/>
      <c r="HZ125" s="766"/>
      <c r="IA125" s="766"/>
      <c r="IB125" s="766"/>
      <c r="IC125" s="766"/>
      <c r="ID125" s="766"/>
      <c r="IE125" s="766"/>
      <c r="IF125" s="766" t="s">
        <v>216</v>
      </c>
      <c r="IG125" s="766" t="s">
        <v>10</v>
      </c>
      <c r="IH125" s="766" t="s">
        <v>478</v>
      </c>
      <c r="II125" s="766" t="s">
        <v>217</v>
      </c>
      <c r="IJ125" s="766" t="s">
        <v>1932</v>
      </c>
      <c r="IK125" s="766" t="s">
        <v>1888</v>
      </c>
      <c r="IL125" s="766" t="s">
        <v>1307</v>
      </c>
      <c r="IM125" s="766">
        <v>2014</v>
      </c>
      <c r="IN125" s="766" t="s">
        <v>1933</v>
      </c>
      <c r="IO125" s="24">
        <v>24721</v>
      </c>
      <c r="IP125" s="766" t="s">
        <v>1306</v>
      </c>
      <c r="IQ125" s="769" t="s">
        <v>1934</v>
      </c>
      <c r="IR125" s="766" t="s">
        <v>3729</v>
      </c>
      <c r="IS125" s="766" t="s">
        <v>1883</v>
      </c>
      <c r="IT125" s="766"/>
      <c r="IU125" s="766"/>
      <c r="IV125" s="766"/>
      <c r="IW125" s="766" t="s">
        <v>1933</v>
      </c>
      <c r="IX125" s="766" t="s">
        <v>1935</v>
      </c>
      <c r="IY125" s="766" t="s">
        <v>1936</v>
      </c>
      <c r="IZ125" s="766"/>
      <c r="JA125" s="766" t="s">
        <v>12775</v>
      </c>
      <c r="JB125" s="766"/>
      <c r="JC125" s="766">
        <v>4</v>
      </c>
      <c r="JD125" s="775">
        <v>150000</v>
      </c>
      <c r="JE125" s="766">
        <v>4</v>
      </c>
      <c r="JF125" s="766"/>
      <c r="JG125" s="766"/>
      <c r="JH125" s="766"/>
      <c r="JI125" s="766"/>
      <c r="JJ125" s="766"/>
      <c r="JK125" s="766"/>
      <c r="JL125" s="766"/>
      <c r="JM125" s="766"/>
      <c r="JN125" s="766"/>
      <c r="JO125" s="766"/>
      <c r="JP125" s="766"/>
      <c r="JQ125" s="766"/>
      <c r="JR125" s="766"/>
      <c r="JS125" s="766"/>
      <c r="JT125" s="766"/>
      <c r="JU125" s="766"/>
      <c r="JV125" s="766"/>
      <c r="JW125" s="766"/>
      <c r="JX125" s="766"/>
      <c r="JY125" s="766"/>
      <c r="JZ125" s="766"/>
      <c r="KA125" s="766"/>
      <c r="KB125" s="766"/>
      <c r="KC125" s="766"/>
      <c r="KD125" s="766"/>
      <c r="KE125" s="766"/>
      <c r="KF125" s="766"/>
      <c r="KG125" s="766"/>
      <c r="KH125" s="766"/>
      <c r="KI125" s="766"/>
      <c r="KJ125" s="770"/>
      <c r="KK125" s="770"/>
      <c r="KL125" s="770"/>
      <c r="KM125" s="770"/>
      <c r="KN125" s="766"/>
      <c r="KO125" s="28"/>
      <c r="KP125" s="766"/>
      <c r="KQ125" s="766"/>
      <c r="KR125" s="766"/>
      <c r="KS125" s="766"/>
      <c r="KT125" s="766"/>
      <c r="KU125" s="766"/>
      <c r="KV125" s="766"/>
      <c r="KW125" s="766"/>
      <c r="KX125" s="766"/>
      <c r="KY125" s="766"/>
      <c r="KZ125" s="766"/>
      <c r="LA125" s="766"/>
      <c r="LB125" s="766"/>
      <c r="LC125" s="766"/>
      <c r="LD125" s="766"/>
      <c r="LE125" s="766"/>
      <c r="LF125" s="766"/>
      <c r="LG125" s="766"/>
      <c r="LH125" s="766"/>
      <c r="LI125" s="766"/>
      <c r="LJ125" s="766"/>
      <c r="LK125" s="766"/>
      <c r="LL125" s="766"/>
      <c r="LM125" s="766"/>
      <c r="LN125" s="766"/>
      <c r="LO125" s="766"/>
      <c r="LP125" s="766"/>
      <c r="LQ125" s="1678"/>
      <c r="LR125" s="766"/>
      <c r="LS125" s="766"/>
      <c r="LT125" s="766"/>
      <c r="LU125" s="766"/>
      <c r="LV125" s="766"/>
      <c r="LW125" s="766"/>
      <c r="LX125" s="769"/>
      <c r="LY125" s="766" t="str">
        <f t="shared" si="23"/>
        <v/>
      </c>
      <c r="LZ125" s="66"/>
      <c r="MA125" s="766"/>
      <c r="MB125" s="766"/>
      <c r="MC125" s="1679">
        <f t="shared" si="24"/>
        <v>0</v>
      </c>
      <c r="MD125" s="66"/>
      <c r="ME125" s="66"/>
      <c r="MF125" s="66"/>
      <c r="MG125" s="1680">
        <f t="shared" si="15"/>
        <v>0</v>
      </c>
      <c r="MH125" s="1681"/>
      <c r="MI125" s="775"/>
      <c r="MJ125" s="775"/>
      <c r="MK125" s="775"/>
      <c r="ML125" s="775"/>
      <c r="MM125" s="775"/>
      <c r="MN125" s="775"/>
      <c r="MO125" s="775"/>
      <c r="MP125" s="775"/>
      <c r="MQ125" s="775"/>
      <c r="MR125" s="775"/>
      <c r="MS125" s="775"/>
      <c r="MT125" s="775"/>
      <c r="MU125" s="775"/>
      <c r="MV125" s="775"/>
      <c r="MW125" s="775"/>
      <c r="MX125" s="775"/>
      <c r="MY125" s="1682">
        <f t="shared" si="14"/>
        <v>0</v>
      </c>
      <c r="MZ125" s="766"/>
      <c r="NA125" s="766"/>
      <c r="NB125" s="766"/>
      <c r="NC125" s="766"/>
      <c r="ND125" s="766"/>
      <c r="NE125" s="766"/>
      <c r="NF125" s="766"/>
      <c r="NG125" s="766"/>
      <c r="NH125" s="766"/>
      <c r="NI125" s="766"/>
      <c r="NJ125" s="766"/>
      <c r="NK125" s="766"/>
      <c r="NL125" s="766"/>
      <c r="NM125" s="766"/>
      <c r="NN125" s="766"/>
      <c r="NO125" s="766"/>
      <c r="NP125" s="766"/>
      <c r="NQ125" s="766"/>
      <c r="NR125" s="766"/>
      <c r="NS125" s="766"/>
      <c r="NT125" s="766"/>
      <c r="NU125" s="766"/>
      <c r="NV125" s="766"/>
      <c r="NW125" s="766"/>
      <c r="NX125" s="766"/>
      <c r="NY125" s="766"/>
      <c r="NZ125" s="766"/>
      <c r="OA125" s="766"/>
      <c r="OB125" s="766"/>
      <c r="OC125" s="766"/>
      <c r="OD125" s="766"/>
      <c r="OE125" s="766"/>
      <c r="OF125" s="766" t="s">
        <v>13034</v>
      </c>
      <c r="OG125" s="766"/>
      <c r="OH125" s="766"/>
      <c r="OI125" s="766"/>
      <c r="OJ125" s="766"/>
      <c r="OK125" s="76"/>
      <c r="OL125" s="766" t="s">
        <v>13187</v>
      </c>
      <c r="OM125" s="766" t="s">
        <v>13188</v>
      </c>
      <c r="ON125" s="766" t="s">
        <v>13189</v>
      </c>
      <c r="OO125" s="766" t="s">
        <v>1214</v>
      </c>
      <c r="OP125" s="766"/>
      <c r="OQ125" s="766"/>
      <c r="OR125" s="766"/>
      <c r="OS125" s="766"/>
      <c r="OT125" s="766"/>
      <c r="OU125" s="766"/>
      <c r="OV125" s="766"/>
      <c r="OW125" s="766"/>
      <c r="OX125" s="766"/>
      <c r="OY125" s="766"/>
      <c r="OZ125" s="766"/>
      <c r="PA125" s="766"/>
      <c r="PB125" s="766"/>
      <c r="PC125" s="766"/>
      <c r="PD125" s="766"/>
      <c r="PE125" s="766"/>
      <c r="PF125" s="766"/>
      <c r="PG125" s="766"/>
      <c r="PH125" s="766"/>
      <c r="PI125" s="766"/>
      <c r="PJ125" s="766"/>
      <c r="PK125" s="766"/>
      <c r="PL125" s="766"/>
      <c r="PM125" s="766"/>
      <c r="PN125" s="766"/>
      <c r="PO125" s="766"/>
      <c r="PP125" s="766"/>
      <c r="PQ125" s="766"/>
      <c r="PR125" s="766"/>
      <c r="PS125" s="766"/>
      <c r="PT125" s="766"/>
      <c r="PU125" s="766"/>
      <c r="PV125" s="766"/>
      <c r="PW125" s="766"/>
      <c r="PX125" s="766"/>
      <c r="PY125" s="766"/>
      <c r="PZ125" s="766"/>
      <c r="QA125" s="766"/>
      <c r="QB125" s="766"/>
      <c r="QC125" s="766"/>
      <c r="QD125" s="766"/>
      <c r="QE125" s="766"/>
      <c r="QF125" s="766"/>
      <c r="QG125" s="766"/>
      <c r="QH125" s="766"/>
      <c r="QI125" s="766"/>
      <c r="QJ125" s="766"/>
      <c r="QK125" s="766"/>
      <c r="QL125" s="766"/>
      <c r="QM125" s="766"/>
      <c r="QN125" s="766"/>
      <c r="QO125" s="766"/>
      <c r="QP125" s="766"/>
      <c r="QQ125" s="766"/>
      <c r="QR125" s="766"/>
      <c r="QS125" s="766"/>
      <c r="QT125" s="766"/>
      <c r="QU125" s="766"/>
      <c r="QV125" s="766"/>
      <c r="QW125" s="766"/>
      <c r="QX125" s="766"/>
      <c r="QY125" s="766"/>
      <c r="QZ125" s="766"/>
      <c r="RA125" s="766"/>
      <c r="RB125" s="770" t="s">
        <v>1207</v>
      </c>
      <c r="RC125" s="766"/>
      <c r="RD125" s="766" t="s">
        <v>13036</v>
      </c>
      <c r="RE125" s="766" t="s">
        <v>12999</v>
      </c>
      <c r="RF125" s="777" t="s">
        <v>13190</v>
      </c>
      <c r="RG125" s="766" t="s">
        <v>13000</v>
      </c>
      <c r="RH125" s="775">
        <v>26500</v>
      </c>
      <c r="RI125" s="766">
        <v>24</v>
      </c>
      <c r="RJ125" s="766" t="s">
        <v>2159</v>
      </c>
      <c r="RK125" s="766" t="s">
        <v>13163</v>
      </c>
      <c r="RL125" s="1683"/>
      <c r="RM125" s="12"/>
      <c r="RN125" s="1711"/>
      <c r="RO125" s="165" t="s">
        <v>215</v>
      </c>
      <c r="RP125" s="11"/>
      <c r="RQ125" s="11"/>
      <c r="RR125" s="771"/>
      <c r="RS125" s="766"/>
      <c r="RT125" s="11"/>
      <c r="RU125" s="11"/>
      <c r="RV125" s="766" t="s">
        <v>7419</v>
      </c>
      <c r="RW125" s="11" t="s">
        <v>12422</v>
      </c>
      <c r="RX125" s="11" t="s">
        <v>207</v>
      </c>
      <c r="RY125" s="11"/>
      <c r="RZ125" s="11"/>
      <c r="SA125" s="766"/>
      <c r="SB125" s="11"/>
      <c r="SC125" s="11"/>
    </row>
    <row r="126" spans="1:497" ht="12.75" hidden="1" customHeight="1">
      <c r="A126" s="767" t="s">
        <v>14151</v>
      </c>
      <c r="B126" s="288" t="s">
        <v>7578</v>
      </c>
      <c r="C126" s="165" t="s">
        <v>218</v>
      </c>
      <c r="D126" s="766"/>
      <c r="E126" s="766" t="s">
        <v>209</v>
      </c>
      <c r="F126" s="766"/>
      <c r="G126" s="766"/>
      <c r="H126" s="766"/>
      <c r="I126" s="5"/>
      <c r="J126" s="766"/>
      <c r="K126" s="766"/>
      <c r="L126" s="766"/>
      <c r="M126" s="766"/>
      <c r="N126" s="766"/>
      <c r="O126" s="766"/>
      <c r="P126" s="766"/>
      <c r="Q126" s="1085"/>
      <c r="R126" s="25"/>
      <c r="S126" s="766"/>
      <c r="T126" s="766"/>
      <c r="U126" s="26"/>
      <c r="V126" s="766"/>
      <c r="W126" s="766"/>
      <c r="X126" s="766"/>
      <c r="Y126" s="766"/>
      <c r="Z126" s="766"/>
      <c r="AA126" s="766"/>
      <c r="AB126" s="766"/>
      <c r="AC126" s="766"/>
      <c r="AD126" s="766"/>
      <c r="AE126" s="766"/>
      <c r="AF126" s="766"/>
      <c r="AG126" s="766"/>
      <c r="AH126" s="766"/>
      <c r="AI126" s="766"/>
      <c r="AJ126" s="766"/>
      <c r="AK126" s="766" t="s">
        <v>1899</v>
      </c>
      <c r="AL126" s="121"/>
      <c r="AM126" s="772"/>
      <c r="AN126" s="774"/>
      <c r="AO126" s="766"/>
      <c r="AP126" s="766"/>
      <c r="AQ126" s="766"/>
      <c r="AR126" s="766"/>
      <c r="AS126" s="766"/>
      <c r="AT126" s="766"/>
      <c r="AU126" s="766"/>
      <c r="AV126" s="766"/>
      <c r="AW126" s="766"/>
      <c r="AX126" s="766"/>
      <c r="AY126" s="766"/>
      <c r="AZ126" s="766"/>
      <c r="BA126" s="766"/>
      <c r="BB126" s="766"/>
      <c r="BC126" s="766"/>
      <c r="BD126" s="766"/>
      <c r="BE126" s="766"/>
      <c r="BF126" s="775"/>
      <c r="BG126" s="775"/>
      <c r="BH126" s="766"/>
      <c r="BI126" s="766"/>
      <c r="BJ126" s="766"/>
      <c r="BK126" s="766"/>
      <c r="BL126" s="766"/>
      <c r="BM126" s="766" t="s">
        <v>12423</v>
      </c>
      <c r="BN126" s="766" t="s">
        <v>1260</v>
      </c>
      <c r="BO126" s="766"/>
      <c r="BP126" s="776"/>
      <c r="BQ126" s="772"/>
      <c r="BR126" s="774"/>
      <c r="BS126" s="766" t="s">
        <v>1257</v>
      </c>
      <c r="BT126" s="766" t="s">
        <v>2040</v>
      </c>
      <c r="BU126" s="766" t="s">
        <v>1249</v>
      </c>
      <c r="BV126" s="766" t="s">
        <v>1247</v>
      </c>
      <c r="BW126" s="769"/>
      <c r="BX126" s="779"/>
      <c r="BY126" s="766"/>
      <c r="BZ126" s="775"/>
      <c r="CA126" s="766"/>
      <c r="CB126" s="766"/>
      <c r="CC126" s="766"/>
      <c r="CD126" s="766"/>
      <c r="CE126" s="766"/>
      <c r="CF126" s="777"/>
      <c r="CG126" s="778"/>
      <c r="CH126" s="766"/>
      <c r="CI126" s="766"/>
      <c r="CJ126" s="766"/>
      <c r="CK126" s="766"/>
      <c r="CL126" s="766"/>
      <c r="CM126" s="766"/>
      <c r="CN126" s="766"/>
      <c r="CO126" s="766"/>
      <c r="CP126" s="766"/>
      <c r="CQ126" s="766"/>
      <c r="CR126" s="775"/>
      <c r="CS126" s="766"/>
      <c r="CT126" s="766"/>
      <c r="CU126" s="129"/>
      <c r="CV126" s="766"/>
      <c r="CW126" s="766"/>
      <c r="CX126" s="766"/>
      <c r="CY126" s="766"/>
      <c r="CZ126" s="766"/>
      <c r="DA126" s="766"/>
      <c r="DB126" s="766"/>
      <c r="DC126" s="766"/>
      <c r="DD126" s="766"/>
      <c r="DE126" s="766"/>
      <c r="DF126" s="766"/>
      <c r="DG126" s="766"/>
      <c r="DH126" s="766"/>
      <c r="DI126" s="766"/>
      <c r="DJ126" s="766"/>
      <c r="DK126" s="766"/>
      <c r="DL126" s="766"/>
      <c r="DM126" s="766"/>
      <c r="DN126" s="766"/>
      <c r="DO126" s="766"/>
      <c r="DP126" s="766"/>
      <c r="DQ126" s="766"/>
      <c r="DR126" s="766"/>
      <c r="DS126" s="59"/>
      <c r="DT126" s="766"/>
      <c r="DU126" s="766"/>
      <c r="DV126" s="766"/>
      <c r="DW126" s="66"/>
      <c r="DX126" s="66"/>
      <c r="DY126" s="766"/>
      <c r="DZ126" s="766"/>
      <c r="EA126" s="766"/>
      <c r="EB126" s="766"/>
      <c r="EC126" s="766"/>
      <c r="ED126" s="766"/>
      <c r="EE126" s="766"/>
      <c r="EF126" s="766"/>
      <c r="EG126" s="766"/>
      <c r="EH126" s="766"/>
      <c r="EI126" s="766"/>
      <c r="EJ126" s="766"/>
      <c r="EK126" s="766"/>
      <c r="EL126" s="766"/>
      <c r="EM126" s="766"/>
      <c r="EN126" s="766"/>
      <c r="EO126" s="766"/>
      <c r="EP126" s="766"/>
      <c r="EQ126" s="766"/>
      <c r="ER126" s="766"/>
      <c r="ES126" s="766"/>
      <c r="ET126" s="766"/>
      <c r="EU126" s="766"/>
      <c r="EV126" s="766"/>
      <c r="EW126" s="766"/>
      <c r="EX126" s="766"/>
      <c r="EY126" s="766"/>
      <c r="EZ126" s="766"/>
      <c r="FA126" s="766"/>
      <c r="FB126" s="766"/>
      <c r="FC126" s="766"/>
      <c r="FD126" s="775"/>
      <c r="FE126" s="766"/>
      <c r="FF126" s="766"/>
      <c r="FG126" s="766"/>
      <c r="FH126" s="766"/>
      <c r="FI126" s="766"/>
      <c r="FJ126" s="766"/>
      <c r="FK126" s="25"/>
      <c r="FL126" s="766"/>
      <c r="FM126" s="775"/>
      <c r="FN126" s="775"/>
      <c r="FO126" s="775"/>
      <c r="FP126" s="766"/>
      <c r="FQ126" s="766"/>
      <c r="FR126" s="766"/>
      <c r="FS126" s="766"/>
      <c r="FT126" s="766"/>
      <c r="FU126" s="766"/>
      <c r="FV126" s="766"/>
      <c r="FW126" s="766"/>
      <c r="FX126" s="766"/>
      <c r="FY126" s="766"/>
      <c r="FZ126" s="766"/>
      <c r="GA126" s="766"/>
      <c r="GB126" s="766"/>
      <c r="GC126" s="75"/>
      <c r="GD126" s="25"/>
      <c r="GE126" s="766"/>
      <c r="GF126" s="775"/>
      <c r="GG126" s="775"/>
      <c r="GH126" s="766"/>
      <c r="GI126" s="766"/>
      <c r="GJ126" s="766"/>
      <c r="GK126" s="766"/>
      <c r="GL126" s="766"/>
      <c r="GM126" s="766"/>
      <c r="GN126" s="82"/>
      <c r="GO126" s="766"/>
      <c r="GP126" s="766"/>
      <c r="GQ126" s="766"/>
      <c r="GR126" s="766"/>
      <c r="GS126" s="766"/>
      <c r="GT126" s="766"/>
      <c r="GU126" s="766"/>
      <c r="GV126" s="766"/>
      <c r="GW126" s="766"/>
      <c r="GX126" s="766"/>
      <c r="GY126" s="766"/>
      <c r="GZ126" s="766"/>
      <c r="HA126" s="766"/>
      <c r="HB126" s="766"/>
      <c r="HC126" s="766"/>
      <c r="HD126" s="766"/>
      <c r="HE126" s="766"/>
      <c r="HF126" s="766"/>
      <c r="HG126" s="766"/>
      <c r="HH126" s="766"/>
      <c r="HI126" s="766"/>
      <c r="HJ126" s="766"/>
      <c r="HK126" s="766"/>
      <c r="HL126" s="766"/>
      <c r="HM126" s="766"/>
      <c r="HN126" s="766"/>
      <c r="HO126" s="766"/>
      <c r="HP126" s="766"/>
      <c r="HQ126" s="766"/>
      <c r="HR126" s="766"/>
      <c r="HS126" s="766"/>
      <c r="HT126" s="766"/>
      <c r="HU126" s="766"/>
      <c r="HV126" s="766"/>
      <c r="HW126" s="766"/>
      <c r="HX126" s="766"/>
      <c r="HY126" s="766"/>
      <c r="HZ126" s="766"/>
      <c r="IA126" s="766"/>
      <c r="IB126" s="766"/>
      <c r="IC126" s="766"/>
      <c r="ID126" s="766"/>
      <c r="IE126" s="766"/>
      <c r="IF126" s="766"/>
      <c r="IG126" s="766"/>
      <c r="IH126" s="766"/>
      <c r="II126" s="766"/>
      <c r="IJ126" s="766"/>
      <c r="IK126" s="766"/>
      <c r="IL126" s="766"/>
      <c r="IM126" s="766"/>
      <c r="IN126" s="766"/>
      <c r="IO126" s="24"/>
      <c r="IP126" s="766"/>
      <c r="IQ126" s="766"/>
      <c r="IR126" s="766"/>
      <c r="IS126" s="766"/>
      <c r="IT126" s="766"/>
      <c r="IU126" s="766"/>
      <c r="IV126" s="766"/>
      <c r="IW126" s="766"/>
      <c r="IX126" s="766"/>
      <c r="IY126" s="766"/>
      <c r="IZ126" s="766"/>
      <c r="JA126" s="766"/>
      <c r="JB126" s="766"/>
      <c r="JC126" s="766"/>
      <c r="JD126" s="775"/>
      <c r="JE126" s="766"/>
      <c r="JF126" s="766"/>
      <c r="JG126" s="766"/>
      <c r="JH126" s="766"/>
      <c r="JI126" s="766"/>
      <c r="JJ126" s="766"/>
      <c r="JK126" s="766"/>
      <c r="JL126" s="766"/>
      <c r="JM126" s="766"/>
      <c r="JN126" s="766"/>
      <c r="JO126" s="766"/>
      <c r="JP126" s="766"/>
      <c r="JQ126" s="766"/>
      <c r="JR126" s="766"/>
      <c r="JS126" s="766"/>
      <c r="JT126" s="766"/>
      <c r="JU126" s="766"/>
      <c r="JV126" s="766"/>
      <c r="JW126" s="766"/>
      <c r="JX126" s="766"/>
      <c r="JY126" s="766"/>
      <c r="JZ126" s="766"/>
      <c r="KA126" s="766"/>
      <c r="KB126" s="766"/>
      <c r="KC126" s="766"/>
      <c r="KD126" s="766"/>
      <c r="KE126" s="766"/>
      <c r="KF126" s="766"/>
      <c r="KG126" s="766"/>
      <c r="KH126" s="766"/>
      <c r="KI126" s="766"/>
      <c r="KJ126" s="770"/>
      <c r="KK126" s="770"/>
      <c r="KL126" s="770"/>
      <c r="KM126" s="770"/>
      <c r="KN126" s="766"/>
      <c r="KO126" s="766"/>
      <c r="KP126" s="766"/>
      <c r="KQ126" s="766"/>
      <c r="KR126" s="766"/>
      <c r="KS126" s="766"/>
      <c r="KT126" s="766"/>
      <c r="KU126" s="766"/>
      <c r="KV126" s="766"/>
      <c r="KW126" s="766"/>
      <c r="KX126" s="766"/>
      <c r="KY126" s="766"/>
      <c r="KZ126" s="766"/>
      <c r="LA126" s="766"/>
      <c r="LB126" s="766"/>
      <c r="LC126" s="766"/>
      <c r="LD126" s="766"/>
      <c r="LE126" s="766"/>
      <c r="LF126" s="766"/>
      <c r="LG126" s="766"/>
      <c r="LH126" s="766"/>
      <c r="LI126" s="766"/>
      <c r="LJ126" s="766"/>
      <c r="LK126" s="766"/>
      <c r="LL126" s="766"/>
      <c r="LM126" s="766"/>
      <c r="LN126" s="766"/>
      <c r="LO126" s="766"/>
      <c r="LP126" s="766"/>
      <c r="LQ126" s="766"/>
      <c r="LR126" s="766"/>
      <c r="LS126" s="766"/>
      <c r="LT126" s="766"/>
      <c r="LU126" s="766"/>
      <c r="LV126" s="766"/>
      <c r="LW126" s="766"/>
      <c r="LX126" s="769"/>
      <c r="LY126" s="766" t="str">
        <f t="shared" si="23"/>
        <v/>
      </c>
      <c r="LZ126" s="66"/>
      <c r="MA126" s="766"/>
      <c r="MB126" s="766"/>
      <c r="MC126" s="1679">
        <f t="shared" si="24"/>
        <v>0</v>
      </c>
      <c r="MD126" s="66"/>
      <c r="ME126" s="66"/>
      <c r="MF126" s="66"/>
      <c r="MG126" s="1680">
        <f t="shared" si="15"/>
        <v>0</v>
      </c>
      <c r="MH126" s="766"/>
      <c r="MI126" s="775"/>
      <c r="MJ126" s="775"/>
      <c r="MK126" s="775"/>
      <c r="ML126" s="775"/>
      <c r="MM126" s="775"/>
      <c r="MN126" s="775"/>
      <c r="MO126" s="775"/>
      <c r="MP126" s="775"/>
      <c r="MQ126" s="775"/>
      <c r="MR126" s="775"/>
      <c r="MS126" s="775"/>
      <c r="MT126" s="775"/>
      <c r="MU126" s="775"/>
      <c r="MV126" s="775"/>
      <c r="MW126" s="775"/>
      <c r="MX126" s="775"/>
      <c r="MY126" s="1682">
        <f t="shared" si="14"/>
        <v>0</v>
      </c>
      <c r="MZ126" s="766"/>
      <c r="NA126" s="766"/>
      <c r="NB126" s="766"/>
      <c r="NC126" s="766"/>
      <c r="ND126" s="766"/>
      <c r="NE126" s="766"/>
      <c r="NF126" s="766"/>
      <c r="NG126" s="766"/>
      <c r="NH126" s="766"/>
      <c r="NI126" s="766"/>
      <c r="NJ126" s="766"/>
      <c r="NK126" s="766"/>
      <c r="NL126" s="766"/>
      <c r="NM126" s="766"/>
      <c r="NN126" s="766"/>
      <c r="NO126" s="766"/>
      <c r="NP126" s="766"/>
      <c r="NQ126" s="766"/>
      <c r="NR126" s="766"/>
      <c r="NS126" s="766"/>
      <c r="NT126" s="766"/>
      <c r="NU126" s="766"/>
      <c r="NV126" s="766"/>
      <c r="NW126" s="766"/>
      <c r="NX126" s="766"/>
      <c r="NY126" s="766"/>
      <c r="NZ126" s="766"/>
      <c r="OA126" s="766"/>
      <c r="OB126" s="766"/>
      <c r="OC126" s="766"/>
      <c r="OD126" s="766"/>
      <c r="OE126" s="766"/>
      <c r="OF126" s="766"/>
      <c r="OG126" s="766"/>
      <c r="OH126" s="766"/>
      <c r="OI126" s="766"/>
      <c r="OJ126" s="766"/>
      <c r="OK126" s="766"/>
      <c r="OL126" s="766"/>
      <c r="OM126" s="766"/>
      <c r="ON126" s="766"/>
      <c r="OO126" s="766"/>
      <c r="OP126" s="766"/>
      <c r="OQ126" s="766"/>
      <c r="OR126" s="766"/>
      <c r="OS126" s="766"/>
      <c r="OT126" s="766"/>
      <c r="OU126" s="766"/>
      <c r="OV126" s="766"/>
      <c r="OW126" s="766"/>
      <c r="OX126" s="766"/>
      <c r="OY126" s="766"/>
      <c r="OZ126" s="766"/>
      <c r="PA126" s="766"/>
      <c r="PB126" s="766"/>
      <c r="PC126" s="766"/>
      <c r="PD126" s="766"/>
      <c r="PE126" s="766"/>
      <c r="PF126" s="766"/>
      <c r="PG126" s="766"/>
      <c r="PH126" s="766"/>
      <c r="PI126" s="766"/>
      <c r="PJ126" s="766"/>
      <c r="PK126" s="766"/>
      <c r="PL126" s="766"/>
      <c r="PM126" s="766"/>
      <c r="PN126" s="766"/>
      <c r="PO126" s="766"/>
      <c r="PP126" s="766"/>
      <c r="PQ126" s="766"/>
      <c r="PR126" s="766"/>
      <c r="PS126" s="766"/>
      <c r="PT126" s="766"/>
      <c r="PU126" s="766"/>
      <c r="PV126" s="766"/>
      <c r="PW126" s="766"/>
      <c r="PX126" s="766"/>
      <c r="PY126" s="766"/>
      <c r="PZ126" s="766"/>
      <c r="QA126" s="766"/>
      <c r="QB126" s="766"/>
      <c r="QC126" s="766"/>
      <c r="QD126" s="766"/>
      <c r="QE126" s="766"/>
      <c r="QF126" s="766"/>
      <c r="QG126" s="766"/>
      <c r="QH126" s="766"/>
      <c r="QI126" s="766"/>
      <c r="QJ126" s="766"/>
      <c r="QK126" s="766"/>
      <c r="QL126" s="766"/>
      <c r="QM126" s="766"/>
      <c r="QN126" s="766"/>
      <c r="QO126" s="766"/>
      <c r="QP126" s="766"/>
      <c r="QQ126" s="766"/>
      <c r="QR126" s="766"/>
      <c r="QS126" s="766"/>
      <c r="QT126" s="766"/>
      <c r="QU126" s="766"/>
      <c r="QV126" s="766"/>
      <c r="QW126" s="766"/>
      <c r="QX126" s="766"/>
      <c r="QY126" s="766"/>
      <c r="QZ126" s="766"/>
      <c r="RA126" s="766"/>
      <c r="RB126" s="766"/>
      <c r="RC126" s="766"/>
      <c r="RD126" s="766"/>
      <c r="RE126" s="766"/>
      <c r="RF126" s="777"/>
      <c r="RG126" s="766"/>
      <c r="RH126" s="775"/>
      <c r="RI126" s="766"/>
      <c r="RJ126" s="766" t="s">
        <v>488</v>
      </c>
      <c r="RK126" s="766"/>
      <c r="RL126" s="1683"/>
      <c r="RM126" s="12"/>
      <c r="RN126" s="1711"/>
      <c r="RO126" s="165" t="s">
        <v>218</v>
      </c>
      <c r="RP126" s="11"/>
      <c r="RQ126" s="11"/>
      <c r="RR126" s="771"/>
      <c r="RS126" s="766"/>
      <c r="RT126" s="11"/>
      <c r="RU126" s="11"/>
      <c r="RV126" s="766" t="s">
        <v>12416</v>
      </c>
      <c r="RW126" s="11" t="s">
        <v>7576</v>
      </c>
      <c r="RX126" s="11" t="s">
        <v>213</v>
      </c>
      <c r="RY126" s="11"/>
      <c r="RZ126" s="11"/>
      <c r="SA126" s="766"/>
      <c r="SB126" s="11"/>
      <c r="SC126" s="11"/>
    </row>
    <row r="127" spans="1:497" ht="12.75" hidden="1" customHeight="1">
      <c r="A127" s="767" t="s">
        <v>14151</v>
      </c>
      <c r="B127" s="288" t="s">
        <v>7579</v>
      </c>
      <c r="C127" s="165" t="s">
        <v>219</v>
      </c>
      <c r="D127" s="766"/>
      <c r="E127" s="766" t="s">
        <v>209</v>
      </c>
      <c r="F127" s="766"/>
      <c r="G127" s="766"/>
      <c r="H127" s="766"/>
      <c r="I127" s="5"/>
      <c r="J127" s="766"/>
      <c r="K127" s="766"/>
      <c r="L127" s="766"/>
      <c r="M127" s="766"/>
      <c r="N127" s="766"/>
      <c r="O127" s="766"/>
      <c r="P127" s="766"/>
      <c r="Q127" s="1085"/>
      <c r="R127" s="25"/>
      <c r="S127" s="766"/>
      <c r="T127" s="766"/>
      <c r="U127" s="26"/>
      <c r="V127" s="766"/>
      <c r="W127" s="766"/>
      <c r="X127" s="766"/>
      <c r="Y127" s="766"/>
      <c r="Z127" s="766"/>
      <c r="AA127" s="766"/>
      <c r="AB127" s="766"/>
      <c r="AC127" s="766"/>
      <c r="AD127" s="766"/>
      <c r="AE127" s="766"/>
      <c r="AF127" s="766"/>
      <c r="AG127" s="766"/>
      <c r="AH127" s="766"/>
      <c r="AI127" s="766"/>
      <c r="AJ127" s="766"/>
      <c r="AK127" s="766" t="s">
        <v>1899</v>
      </c>
      <c r="AL127" s="121"/>
      <c r="AM127" s="772"/>
      <c r="AN127" s="774"/>
      <c r="AO127" s="766"/>
      <c r="AP127" s="766"/>
      <c r="AQ127" s="766"/>
      <c r="AR127" s="766"/>
      <c r="AS127" s="766"/>
      <c r="AT127" s="766"/>
      <c r="AU127" s="766"/>
      <c r="AV127" s="766"/>
      <c r="AW127" s="766"/>
      <c r="AX127" s="766"/>
      <c r="AY127" s="766"/>
      <c r="AZ127" s="766"/>
      <c r="BA127" s="766"/>
      <c r="BB127" s="766"/>
      <c r="BC127" s="766"/>
      <c r="BD127" s="766"/>
      <c r="BE127" s="766"/>
      <c r="BF127" s="775"/>
      <c r="BG127" s="775"/>
      <c r="BH127" s="766"/>
      <c r="BI127" s="766"/>
      <c r="BJ127" s="766"/>
      <c r="BK127" s="766"/>
      <c r="BL127" s="766"/>
      <c r="BM127" s="766" t="s">
        <v>12423</v>
      </c>
      <c r="BN127" s="766" t="s">
        <v>1260</v>
      </c>
      <c r="BO127" s="766"/>
      <c r="BP127" s="776"/>
      <c r="BQ127" s="772"/>
      <c r="BR127" s="774"/>
      <c r="BS127" s="766" t="s">
        <v>1257</v>
      </c>
      <c r="BT127" s="766" t="s">
        <v>2040</v>
      </c>
      <c r="BU127" s="766" t="s">
        <v>1249</v>
      </c>
      <c r="BV127" s="766" t="s">
        <v>1247</v>
      </c>
      <c r="BW127" s="769"/>
      <c r="BX127" s="779"/>
      <c r="BY127" s="766"/>
      <c r="BZ127" s="775"/>
      <c r="CA127" s="766"/>
      <c r="CB127" s="766"/>
      <c r="CC127" s="766"/>
      <c r="CD127" s="766"/>
      <c r="CE127" s="766"/>
      <c r="CF127" s="777"/>
      <c r="CG127" s="778"/>
      <c r="CH127" s="766"/>
      <c r="CI127" s="766"/>
      <c r="CJ127" s="766"/>
      <c r="CK127" s="766"/>
      <c r="CL127" s="766"/>
      <c r="CM127" s="766"/>
      <c r="CN127" s="766"/>
      <c r="CO127" s="766"/>
      <c r="CP127" s="766"/>
      <c r="CQ127" s="766"/>
      <c r="CR127" s="775"/>
      <c r="CS127" s="766"/>
      <c r="CT127" s="766"/>
      <c r="CU127" s="129"/>
      <c r="CV127" s="766"/>
      <c r="CW127" s="766"/>
      <c r="CX127" s="766"/>
      <c r="CY127" s="766"/>
      <c r="CZ127" s="766"/>
      <c r="DA127" s="766"/>
      <c r="DB127" s="766"/>
      <c r="DC127" s="766"/>
      <c r="DD127" s="766"/>
      <c r="DE127" s="766"/>
      <c r="DF127" s="766"/>
      <c r="DG127" s="766"/>
      <c r="DH127" s="766"/>
      <c r="DI127" s="766"/>
      <c r="DJ127" s="766"/>
      <c r="DK127" s="766"/>
      <c r="DL127" s="766"/>
      <c r="DM127" s="766"/>
      <c r="DN127" s="766"/>
      <c r="DO127" s="766"/>
      <c r="DP127" s="766"/>
      <c r="DQ127" s="766"/>
      <c r="DR127" s="766"/>
      <c r="DS127" s="59"/>
      <c r="DT127" s="766"/>
      <c r="DU127" s="766"/>
      <c r="DV127" s="766"/>
      <c r="DW127" s="66"/>
      <c r="DX127" s="66"/>
      <c r="DY127" s="766"/>
      <c r="DZ127" s="766"/>
      <c r="EA127" s="766"/>
      <c r="EB127" s="766"/>
      <c r="EC127" s="766"/>
      <c r="ED127" s="766"/>
      <c r="EE127" s="766"/>
      <c r="EF127" s="766"/>
      <c r="EG127" s="766"/>
      <c r="EH127" s="766"/>
      <c r="EI127" s="766"/>
      <c r="EJ127" s="766"/>
      <c r="EK127" s="766"/>
      <c r="EL127" s="766"/>
      <c r="EM127" s="766"/>
      <c r="EN127" s="766"/>
      <c r="EO127" s="766"/>
      <c r="EP127" s="766"/>
      <c r="EQ127" s="766"/>
      <c r="ER127" s="766"/>
      <c r="ES127" s="766"/>
      <c r="ET127" s="766"/>
      <c r="EU127" s="766"/>
      <c r="EV127" s="766"/>
      <c r="EW127" s="766"/>
      <c r="EX127" s="766"/>
      <c r="EY127" s="766"/>
      <c r="EZ127" s="766"/>
      <c r="FA127" s="766"/>
      <c r="FB127" s="766"/>
      <c r="FC127" s="766"/>
      <c r="FD127" s="775"/>
      <c r="FE127" s="766"/>
      <c r="FF127" s="766"/>
      <c r="FG127" s="766"/>
      <c r="FH127" s="766"/>
      <c r="FI127" s="766"/>
      <c r="FJ127" s="766"/>
      <c r="FK127" s="25"/>
      <c r="FL127" s="766"/>
      <c r="FM127" s="775"/>
      <c r="FN127" s="775"/>
      <c r="FO127" s="775"/>
      <c r="FP127" s="766"/>
      <c r="FQ127" s="766"/>
      <c r="FR127" s="766"/>
      <c r="FS127" s="766"/>
      <c r="FT127" s="766"/>
      <c r="FU127" s="766"/>
      <c r="FV127" s="766"/>
      <c r="FW127" s="766"/>
      <c r="FX127" s="766"/>
      <c r="FY127" s="766"/>
      <c r="FZ127" s="766"/>
      <c r="GA127" s="766"/>
      <c r="GB127" s="766"/>
      <c r="GC127" s="75"/>
      <c r="GD127" s="25"/>
      <c r="GE127" s="766"/>
      <c r="GF127" s="775"/>
      <c r="GG127" s="775"/>
      <c r="GH127" s="766"/>
      <c r="GI127" s="766"/>
      <c r="GJ127" s="766"/>
      <c r="GK127" s="766"/>
      <c r="GL127" s="766"/>
      <c r="GM127" s="766"/>
      <c r="GN127" s="82"/>
      <c r="GO127" s="766"/>
      <c r="GP127" s="766"/>
      <c r="GQ127" s="766"/>
      <c r="GR127" s="766"/>
      <c r="GS127" s="766"/>
      <c r="GT127" s="766"/>
      <c r="GU127" s="766"/>
      <c r="GV127" s="766"/>
      <c r="GW127" s="766"/>
      <c r="GX127" s="766"/>
      <c r="GY127" s="766"/>
      <c r="GZ127" s="766"/>
      <c r="HA127" s="766"/>
      <c r="HB127" s="766"/>
      <c r="HC127" s="766"/>
      <c r="HD127" s="766"/>
      <c r="HE127" s="766"/>
      <c r="HF127" s="766"/>
      <c r="HG127" s="766"/>
      <c r="HH127" s="766"/>
      <c r="HI127" s="766"/>
      <c r="HJ127" s="766"/>
      <c r="HK127" s="766"/>
      <c r="HL127" s="766"/>
      <c r="HM127" s="766"/>
      <c r="HN127" s="766"/>
      <c r="HO127" s="766"/>
      <c r="HP127" s="766"/>
      <c r="HQ127" s="766"/>
      <c r="HR127" s="766"/>
      <c r="HS127" s="766"/>
      <c r="HT127" s="766"/>
      <c r="HU127" s="766"/>
      <c r="HV127" s="766"/>
      <c r="HW127" s="766"/>
      <c r="HX127" s="766"/>
      <c r="HY127" s="766"/>
      <c r="HZ127" s="766"/>
      <c r="IA127" s="766"/>
      <c r="IB127" s="766"/>
      <c r="IC127" s="766"/>
      <c r="ID127" s="766"/>
      <c r="IE127" s="766"/>
      <c r="IF127" s="766"/>
      <c r="IG127" s="766"/>
      <c r="IH127" s="766"/>
      <c r="II127" s="766"/>
      <c r="IJ127" s="766"/>
      <c r="IK127" s="766"/>
      <c r="IL127" s="766"/>
      <c r="IM127" s="766"/>
      <c r="IN127" s="766"/>
      <c r="IO127" s="24"/>
      <c r="IP127" s="766"/>
      <c r="IQ127" s="766"/>
      <c r="IR127" s="766"/>
      <c r="IS127" s="766"/>
      <c r="IT127" s="766"/>
      <c r="IU127" s="766"/>
      <c r="IV127" s="766"/>
      <c r="IW127" s="766"/>
      <c r="IX127" s="766"/>
      <c r="IY127" s="766"/>
      <c r="IZ127" s="766"/>
      <c r="JA127" s="766"/>
      <c r="JB127" s="766"/>
      <c r="JC127" s="766"/>
      <c r="JD127" s="775"/>
      <c r="JE127" s="766"/>
      <c r="JF127" s="766"/>
      <c r="JG127" s="766"/>
      <c r="JH127" s="766"/>
      <c r="JI127" s="766"/>
      <c r="JJ127" s="766"/>
      <c r="JK127" s="766"/>
      <c r="JL127" s="766"/>
      <c r="JM127" s="766"/>
      <c r="JN127" s="766"/>
      <c r="JO127" s="766"/>
      <c r="JP127" s="766"/>
      <c r="JQ127" s="766"/>
      <c r="JR127" s="766"/>
      <c r="JS127" s="766"/>
      <c r="JT127" s="766"/>
      <c r="JU127" s="766"/>
      <c r="JV127" s="766"/>
      <c r="JW127" s="766"/>
      <c r="JX127" s="766"/>
      <c r="JY127" s="766"/>
      <c r="JZ127" s="766"/>
      <c r="KA127" s="766"/>
      <c r="KB127" s="766"/>
      <c r="KC127" s="766"/>
      <c r="KD127" s="766"/>
      <c r="KE127" s="766"/>
      <c r="KF127" s="766"/>
      <c r="KG127" s="766"/>
      <c r="KH127" s="766"/>
      <c r="KI127" s="766"/>
      <c r="KJ127" s="770"/>
      <c r="KK127" s="770"/>
      <c r="KL127" s="770"/>
      <c r="KM127" s="770"/>
      <c r="KN127" s="766"/>
      <c r="KO127" s="766"/>
      <c r="KP127" s="766"/>
      <c r="KQ127" s="766"/>
      <c r="KR127" s="766"/>
      <c r="KS127" s="766"/>
      <c r="KT127" s="766"/>
      <c r="KU127" s="766"/>
      <c r="KV127" s="766"/>
      <c r="KW127" s="766"/>
      <c r="KX127" s="766"/>
      <c r="KY127" s="766"/>
      <c r="KZ127" s="766"/>
      <c r="LA127" s="766"/>
      <c r="LB127" s="766"/>
      <c r="LC127" s="766"/>
      <c r="LD127" s="766"/>
      <c r="LE127" s="766"/>
      <c r="LF127" s="766"/>
      <c r="LG127" s="766"/>
      <c r="LH127" s="766"/>
      <c r="LI127" s="766"/>
      <c r="LJ127" s="766"/>
      <c r="LK127" s="766"/>
      <c r="LL127" s="766"/>
      <c r="LM127" s="766"/>
      <c r="LN127" s="766"/>
      <c r="LO127" s="766"/>
      <c r="LP127" s="766"/>
      <c r="LQ127" s="766"/>
      <c r="LR127" s="766"/>
      <c r="LS127" s="766"/>
      <c r="LT127" s="766"/>
      <c r="LU127" s="766"/>
      <c r="LV127" s="766"/>
      <c r="LW127" s="766"/>
      <c r="LX127" s="769"/>
      <c r="LY127" s="766" t="str">
        <f t="shared" si="23"/>
        <v/>
      </c>
      <c r="LZ127" s="66"/>
      <c r="MA127" s="766"/>
      <c r="MB127" s="766"/>
      <c r="MC127" s="1679">
        <f t="shared" si="24"/>
        <v>0</v>
      </c>
      <c r="MD127" s="66"/>
      <c r="ME127" s="66"/>
      <c r="MF127" s="66"/>
      <c r="MG127" s="1680">
        <f t="shared" si="15"/>
        <v>0</v>
      </c>
      <c r="MH127" s="766"/>
      <c r="MI127" s="775"/>
      <c r="MJ127" s="775"/>
      <c r="MK127" s="775"/>
      <c r="ML127" s="775"/>
      <c r="MM127" s="775"/>
      <c r="MN127" s="775"/>
      <c r="MO127" s="775"/>
      <c r="MP127" s="775"/>
      <c r="MQ127" s="775"/>
      <c r="MR127" s="775"/>
      <c r="MS127" s="775"/>
      <c r="MT127" s="775"/>
      <c r="MU127" s="775"/>
      <c r="MV127" s="775"/>
      <c r="MW127" s="775"/>
      <c r="MX127" s="775"/>
      <c r="MY127" s="1682">
        <f t="shared" si="14"/>
        <v>0</v>
      </c>
      <c r="MZ127" s="766"/>
      <c r="NA127" s="766"/>
      <c r="NB127" s="766"/>
      <c r="NC127" s="766"/>
      <c r="ND127" s="766"/>
      <c r="NE127" s="766"/>
      <c r="NF127" s="766"/>
      <c r="NG127" s="766"/>
      <c r="NH127" s="766"/>
      <c r="NI127" s="766"/>
      <c r="NJ127" s="766"/>
      <c r="NK127" s="766"/>
      <c r="NL127" s="766"/>
      <c r="NM127" s="766"/>
      <c r="NN127" s="766"/>
      <c r="NO127" s="766"/>
      <c r="NP127" s="766"/>
      <c r="NQ127" s="766"/>
      <c r="NR127" s="766"/>
      <c r="NS127" s="766"/>
      <c r="NT127" s="766"/>
      <c r="NU127" s="766"/>
      <c r="NV127" s="766"/>
      <c r="NW127" s="766"/>
      <c r="NX127" s="766"/>
      <c r="NY127" s="766"/>
      <c r="NZ127" s="766"/>
      <c r="OA127" s="766"/>
      <c r="OB127" s="766"/>
      <c r="OC127" s="766"/>
      <c r="OD127" s="766"/>
      <c r="OE127" s="766"/>
      <c r="OF127" s="766"/>
      <c r="OG127" s="766"/>
      <c r="OH127" s="766"/>
      <c r="OI127" s="766"/>
      <c r="OJ127" s="766"/>
      <c r="OK127" s="766"/>
      <c r="OL127" s="766"/>
      <c r="OM127" s="766"/>
      <c r="ON127" s="766"/>
      <c r="OO127" s="766"/>
      <c r="OP127" s="766"/>
      <c r="OQ127" s="766"/>
      <c r="OR127" s="766"/>
      <c r="OS127" s="766"/>
      <c r="OT127" s="766"/>
      <c r="OU127" s="766"/>
      <c r="OV127" s="766"/>
      <c r="OW127" s="766"/>
      <c r="OX127" s="766"/>
      <c r="OY127" s="766"/>
      <c r="OZ127" s="766"/>
      <c r="PA127" s="766"/>
      <c r="PB127" s="766"/>
      <c r="PC127" s="766"/>
      <c r="PD127" s="766"/>
      <c r="PE127" s="766"/>
      <c r="PF127" s="766"/>
      <c r="PG127" s="766"/>
      <c r="PH127" s="766"/>
      <c r="PI127" s="766"/>
      <c r="PJ127" s="766"/>
      <c r="PK127" s="766"/>
      <c r="PL127" s="766"/>
      <c r="PM127" s="766"/>
      <c r="PN127" s="766"/>
      <c r="PO127" s="766"/>
      <c r="PP127" s="766"/>
      <c r="PQ127" s="766"/>
      <c r="PR127" s="766"/>
      <c r="PS127" s="766"/>
      <c r="PT127" s="766"/>
      <c r="PU127" s="766"/>
      <c r="PV127" s="766"/>
      <c r="PW127" s="766"/>
      <c r="PX127" s="766"/>
      <c r="PY127" s="766"/>
      <c r="PZ127" s="766"/>
      <c r="QA127" s="766"/>
      <c r="QB127" s="766"/>
      <c r="QC127" s="766"/>
      <c r="QD127" s="766"/>
      <c r="QE127" s="766"/>
      <c r="QF127" s="766"/>
      <c r="QG127" s="766"/>
      <c r="QH127" s="766"/>
      <c r="QI127" s="766"/>
      <c r="QJ127" s="766"/>
      <c r="QK127" s="766"/>
      <c r="QL127" s="766"/>
      <c r="QM127" s="766"/>
      <c r="QN127" s="766"/>
      <c r="QO127" s="766"/>
      <c r="QP127" s="766"/>
      <c r="QQ127" s="766"/>
      <c r="QR127" s="766"/>
      <c r="QS127" s="766"/>
      <c r="QT127" s="766"/>
      <c r="QU127" s="766"/>
      <c r="QV127" s="766"/>
      <c r="QW127" s="766"/>
      <c r="QX127" s="766"/>
      <c r="QY127" s="766"/>
      <c r="QZ127" s="766"/>
      <c r="RA127" s="766"/>
      <c r="RB127" s="766"/>
      <c r="RC127" s="766"/>
      <c r="RD127" s="766"/>
      <c r="RE127" s="766"/>
      <c r="RF127" s="777"/>
      <c r="RG127" s="766"/>
      <c r="RH127" s="775"/>
      <c r="RI127" s="766"/>
      <c r="RJ127" s="766" t="s">
        <v>488</v>
      </c>
      <c r="RK127" s="766"/>
      <c r="RL127" s="1683"/>
      <c r="RM127" s="12"/>
      <c r="RN127" s="1711"/>
      <c r="RO127" s="165" t="s">
        <v>219</v>
      </c>
      <c r="RP127" s="11"/>
      <c r="RQ127" s="11"/>
      <c r="RR127" s="771"/>
      <c r="RS127" s="766"/>
      <c r="RT127" s="11"/>
      <c r="RU127" s="11"/>
      <c r="RV127" s="766" t="s">
        <v>12416</v>
      </c>
      <c r="RW127" s="11" t="s">
        <v>7577</v>
      </c>
      <c r="RX127" s="11" t="s">
        <v>215</v>
      </c>
      <c r="RY127" s="11"/>
      <c r="RZ127" s="11"/>
      <c r="SA127" s="766"/>
      <c r="SB127" s="11"/>
      <c r="SC127" s="11"/>
    </row>
    <row r="128" spans="1:497" ht="12.75" hidden="1" customHeight="1">
      <c r="A128" s="154" t="s">
        <v>7419</v>
      </c>
      <c r="B128" s="288" t="s">
        <v>7952</v>
      </c>
      <c r="C128" s="165" t="s">
        <v>220</v>
      </c>
      <c r="D128" s="766" t="s">
        <v>221</v>
      </c>
      <c r="E128" s="766" t="s">
        <v>222</v>
      </c>
      <c r="F128" s="766" t="s">
        <v>223</v>
      </c>
      <c r="G128" s="766" t="s">
        <v>18</v>
      </c>
      <c r="H128" s="766"/>
      <c r="I128" s="5"/>
      <c r="J128" s="766" t="s">
        <v>224</v>
      </c>
      <c r="K128" s="766" t="s">
        <v>225</v>
      </c>
      <c r="L128" s="766" t="s">
        <v>226</v>
      </c>
      <c r="M128" s="766"/>
      <c r="N128" s="766"/>
      <c r="O128" s="766"/>
      <c r="P128" s="14" t="s">
        <v>820</v>
      </c>
      <c r="Q128" s="1085">
        <v>18453</v>
      </c>
      <c r="R128" s="25">
        <v>66</v>
      </c>
      <c r="S128" s="766" t="s">
        <v>18</v>
      </c>
      <c r="T128" s="766"/>
      <c r="U128" s="26"/>
      <c r="V128" s="766" t="s">
        <v>707</v>
      </c>
      <c r="W128" s="766"/>
      <c r="X128" s="766"/>
      <c r="Y128" s="766" t="s">
        <v>821</v>
      </c>
      <c r="Z128" s="766" t="s">
        <v>708</v>
      </c>
      <c r="AA128" s="766" t="s">
        <v>759</v>
      </c>
      <c r="AB128" s="766" t="s">
        <v>762</v>
      </c>
      <c r="AC128" s="766" t="s">
        <v>724</v>
      </c>
      <c r="AD128" s="766" t="s">
        <v>711</v>
      </c>
      <c r="AE128" s="766"/>
      <c r="AF128" s="766" t="s">
        <v>712</v>
      </c>
      <c r="AG128" s="766" t="s">
        <v>1095</v>
      </c>
      <c r="AH128" s="766" t="s">
        <v>1096</v>
      </c>
      <c r="AI128" s="766" t="s">
        <v>1144</v>
      </c>
      <c r="AJ128" s="766"/>
      <c r="AK128" s="766" t="s">
        <v>1097</v>
      </c>
      <c r="AL128" s="121">
        <v>268</v>
      </c>
      <c r="AM128" s="772">
        <v>140.25</v>
      </c>
      <c r="AN128" s="774">
        <f>AM128/AL128</f>
        <v>0.52332089552238803</v>
      </c>
      <c r="AO128" s="766" t="s">
        <v>1105</v>
      </c>
      <c r="AP128" s="766"/>
      <c r="AQ128" s="766"/>
      <c r="AR128" s="766"/>
      <c r="AS128" s="766" t="s">
        <v>1207</v>
      </c>
      <c r="AT128" s="766" t="s">
        <v>1208</v>
      </c>
      <c r="AU128" s="766"/>
      <c r="AV128" s="766"/>
      <c r="AW128" s="766"/>
      <c r="AX128" s="766"/>
      <c r="AY128" s="766"/>
      <c r="AZ128" s="766"/>
      <c r="BA128" s="766"/>
      <c r="BB128" s="766"/>
      <c r="BC128" s="766" t="s">
        <v>796</v>
      </c>
      <c r="BD128" s="766" t="s">
        <v>1207</v>
      </c>
      <c r="BE128" s="766"/>
      <c r="BF128" s="775"/>
      <c r="BG128" s="775"/>
      <c r="BH128" s="766"/>
      <c r="BI128" s="766"/>
      <c r="BJ128" s="766"/>
      <c r="BK128" s="766" t="s">
        <v>1095</v>
      </c>
      <c r="BL128" s="766" t="s">
        <v>1309</v>
      </c>
      <c r="BM128" s="766" t="s">
        <v>8108</v>
      </c>
      <c r="BN128" s="766" t="s">
        <v>1230</v>
      </c>
      <c r="BO128" s="766" t="s">
        <v>1239</v>
      </c>
      <c r="BP128" s="776">
        <v>404.13</v>
      </c>
      <c r="BQ128" s="776">
        <v>140.25</v>
      </c>
      <c r="BR128" s="774">
        <f>BQ128/BP128</f>
        <v>0.3470417934822953</v>
      </c>
      <c r="BS128" s="6" t="s">
        <v>1149</v>
      </c>
      <c r="BT128" s="766" t="s">
        <v>2040</v>
      </c>
      <c r="BU128" s="766" t="s">
        <v>1304</v>
      </c>
      <c r="BV128" s="766" t="s">
        <v>1310</v>
      </c>
      <c r="BW128" s="766">
        <v>2003</v>
      </c>
      <c r="BX128" s="779">
        <v>6000000</v>
      </c>
      <c r="BY128" s="766" t="s">
        <v>1207</v>
      </c>
      <c r="BZ128" s="775">
        <v>15000000</v>
      </c>
      <c r="CA128" s="766"/>
      <c r="CB128" s="766" t="s">
        <v>1207</v>
      </c>
      <c r="CC128" s="766" t="s">
        <v>1475</v>
      </c>
      <c r="CD128" s="766"/>
      <c r="CE128" s="766"/>
      <c r="CF128" s="777">
        <v>1.5</v>
      </c>
      <c r="CG128" s="778">
        <v>9</v>
      </c>
      <c r="CH128" s="766" t="s">
        <v>1476</v>
      </c>
      <c r="CI128" s="766" t="s">
        <v>1477</v>
      </c>
      <c r="CJ128" s="766"/>
      <c r="CK128" s="766">
        <v>7</v>
      </c>
      <c r="CL128" s="766" t="s">
        <v>1240</v>
      </c>
      <c r="CM128" s="766" t="s">
        <v>1478</v>
      </c>
      <c r="CN128" s="766"/>
      <c r="CO128" s="766"/>
      <c r="CP128" s="766"/>
      <c r="CQ128" s="766"/>
      <c r="CR128" s="775"/>
      <c r="CS128" s="766"/>
      <c r="CT128" s="766"/>
      <c r="CU128" s="129"/>
      <c r="CV128" s="766"/>
      <c r="CW128" s="766"/>
      <c r="CX128" s="766"/>
      <c r="CY128" s="766"/>
      <c r="CZ128" s="766"/>
      <c r="DA128" s="766"/>
      <c r="DB128" s="766"/>
      <c r="DC128" s="766"/>
      <c r="DD128" s="766"/>
      <c r="DE128" s="766"/>
      <c r="DF128" s="766"/>
      <c r="DG128" s="766"/>
      <c r="DH128" s="766"/>
      <c r="DI128" s="766"/>
      <c r="DJ128" s="766"/>
      <c r="DK128" s="766"/>
      <c r="DL128" s="766"/>
      <c r="DM128" s="766"/>
      <c r="DN128" s="766"/>
      <c r="DO128" s="766"/>
      <c r="DP128" s="766"/>
      <c r="DQ128" s="766"/>
      <c r="DR128" s="766"/>
      <c r="DS128" s="59"/>
      <c r="DT128" s="766"/>
      <c r="DU128" s="766"/>
      <c r="DV128" s="766"/>
      <c r="DW128" s="66"/>
      <c r="DX128" s="66"/>
      <c r="DY128" s="766"/>
      <c r="DZ128" s="766"/>
      <c r="EA128" s="766"/>
      <c r="EB128" s="766"/>
      <c r="EC128" s="766"/>
      <c r="ED128" s="766"/>
      <c r="EE128" s="766"/>
      <c r="EF128" s="766"/>
      <c r="EG128" s="766"/>
      <c r="EH128" s="766"/>
      <c r="EI128" s="766"/>
      <c r="EJ128" s="766"/>
      <c r="EK128" s="766"/>
      <c r="EL128" s="766"/>
      <c r="EM128" s="766"/>
      <c r="EN128" s="766"/>
      <c r="EO128" s="766"/>
      <c r="EP128" s="766"/>
      <c r="EQ128" s="766"/>
      <c r="ER128" s="766"/>
      <c r="ES128" s="766"/>
      <c r="ET128" s="766"/>
      <c r="EU128" s="766"/>
      <c r="EV128" s="766"/>
      <c r="EW128" s="766"/>
      <c r="EX128" s="766"/>
      <c r="EY128" s="766"/>
      <c r="EZ128" s="766"/>
      <c r="FA128" s="766"/>
      <c r="FB128" s="766"/>
      <c r="FC128" s="766"/>
      <c r="FD128" s="775"/>
      <c r="FE128" s="766"/>
      <c r="FF128" s="766"/>
      <c r="FG128" s="766"/>
      <c r="FH128" s="766" t="s">
        <v>478</v>
      </c>
      <c r="FI128" s="766">
        <v>1</v>
      </c>
      <c r="FJ128" s="766"/>
      <c r="FK128" s="766"/>
      <c r="FL128" s="766"/>
      <c r="FM128" s="775"/>
      <c r="FN128" s="775"/>
      <c r="FO128" s="775"/>
      <c r="FP128" s="766" t="s">
        <v>1602</v>
      </c>
      <c r="FQ128" s="766" t="s">
        <v>1660</v>
      </c>
      <c r="FR128" s="766" t="s">
        <v>1207</v>
      </c>
      <c r="FS128" s="766"/>
      <c r="FT128" s="766"/>
      <c r="FU128" s="766"/>
      <c r="FV128" s="766"/>
      <c r="FW128" s="766"/>
      <c r="FX128" s="766"/>
      <c r="FY128" s="766"/>
      <c r="FZ128" s="766"/>
      <c r="GA128" s="766"/>
      <c r="GB128" s="766" t="s">
        <v>796</v>
      </c>
      <c r="GC128" s="75" t="s">
        <v>1719</v>
      </c>
      <c r="GD128" s="25" t="s">
        <v>1720</v>
      </c>
      <c r="GE128" s="766" t="s">
        <v>1207</v>
      </c>
      <c r="GF128" s="775">
        <v>8000</v>
      </c>
      <c r="GG128" s="775">
        <f>PRODUCT(GF128,12)</f>
        <v>96000</v>
      </c>
      <c r="GH128" s="766"/>
      <c r="GI128" s="766"/>
      <c r="GJ128" s="766"/>
      <c r="GK128" s="766"/>
      <c r="GL128" s="766"/>
      <c r="GM128" s="766"/>
      <c r="GN128" s="82"/>
      <c r="GO128" s="766"/>
      <c r="GP128" s="766"/>
      <c r="GQ128" s="766"/>
      <c r="GR128" s="766"/>
      <c r="GS128" s="766"/>
      <c r="GT128" s="766"/>
      <c r="GU128" s="766"/>
      <c r="GV128" s="766"/>
      <c r="GW128" s="766"/>
      <c r="GX128" s="766"/>
      <c r="GY128" s="766"/>
      <c r="GZ128" s="766"/>
      <c r="HA128" s="766"/>
      <c r="HB128" s="766"/>
      <c r="HC128" s="766"/>
      <c r="HD128" s="766"/>
      <c r="HE128" s="766"/>
      <c r="HF128" s="766"/>
      <c r="HG128" s="766"/>
      <c r="HH128" s="766"/>
      <c r="HI128" s="766"/>
      <c r="HJ128" s="766"/>
      <c r="HK128" s="766"/>
      <c r="HL128" s="766"/>
      <c r="HM128" s="766"/>
      <c r="HN128" s="766"/>
      <c r="HO128" s="766"/>
      <c r="HP128" s="766"/>
      <c r="HQ128" s="766"/>
      <c r="HR128" s="766"/>
      <c r="HS128" s="766"/>
      <c r="HT128" s="766"/>
      <c r="HU128" s="766"/>
      <c r="HV128" s="766"/>
      <c r="HW128" s="766"/>
      <c r="HX128" s="766"/>
      <c r="HY128" s="766"/>
      <c r="HZ128" s="766"/>
      <c r="IA128" s="766"/>
      <c r="IB128" s="14" t="e">
        <f>IF(#REF!&gt;0,IF(#REF!&lt;=10000,"Y",""),"")</f>
        <v>#REF!</v>
      </c>
      <c r="IC128" s="766" t="s">
        <v>1207</v>
      </c>
      <c r="ID128" s="766">
        <v>2</v>
      </c>
      <c r="IE128" s="766"/>
      <c r="IF128" s="1828" t="s">
        <v>221</v>
      </c>
      <c r="IG128" s="766"/>
      <c r="IH128" s="766"/>
      <c r="II128" s="766"/>
      <c r="IJ128" s="766"/>
      <c r="IK128" s="766"/>
      <c r="IL128" s="766"/>
      <c r="IM128" s="766"/>
      <c r="IN128" s="766"/>
      <c r="IO128" s="24"/>
      <c r="IP128" s="766"/>
      <c r="IQ128" s="769" t="s">
        <v>1929</v>
      </c>
      <c r="IR128" s="766"/>
      <c r="IS128" s="766"/>
      <c r="IT128" s="766"/>
      <c r="IU128" s="766"/>
      <c r="IV128" s="766"/>
      <c r="IW128" s="766"/>
      <c r="IX128" s="766"/>
      <c r="IY128" s="766"/>
      <c r="IZ128" s="766"/>
      <c r="JA128" s="766"/>
      <c r="JB128" s="766"/>
      <c r="JC128" s="766"/>
      <c r="JD128" s="775"/>
      <c r="JE128" s="766"/>
      <c r="JF128" s="766"/>
      <c r="JG128" s="766"/>
      <c r="JH128" s="766"/>
      <c r="JI128" s="712" t="str">
        <f>IF(SUM(JT128,JU128)=JJ128,"ok","review")</f>
        <v>ok</v>
      </c>
      <c r="JJ128" s="766">
        <v>2</v>
      </c>
      <c r="JK128" s="1139" t="s">
        <v>13191</v>
      </c>
      <c r="JL128" s="766"/>
      <c r="JM128" s="766"/>
      <c r="JN128" s="766"/>
      <c r="JO128" s="766"/>
      <c r="JP128" s="766">
        <v>1</v>
      </c>
      <c r="JQ128" s="766">
        <v>1</v>
      </c>
      <c r="JR128" s="766"/>
      <c r="JS128" s="766"/>
      <c r="JT128" s="766">
        <f>SUM(JP128,JN128,JL128,JR128)</f>
        <v>1</v>
      </c>
      <c r="JU128" s="766">
        <f>SUM(JQ128,JO128,JM128,JS128)</f>
        <v>1</v>
      </c>
      <c r="JV128" s="712" t="str">
        <f>IF(JT128=KJ128,"ok","male")</f>
        <v>ok</v>
      </c>
      <c r="JW128" s="712" t="str">
        <f>IF(JU128=KK128,"ok","female")</f>
        <v>ok</v>
      </c>
      <c r="JX128" s="766"/>
      <c r="JY128" s="766"/>
      <c r="JZ128" s="766"/>
      <c r="KA128" s="766"/>
      <c r="KB128" s="766"/>
      <c r="KC128" s="766"/>
      <c r="KD128" s="766"/>
      <c r="KE128" s="766"/>
      <c r="KF128" s="766">
        <v>1</v>
      </c>
      <c r="KG128" s="766">
        <v>1</v>
      </c>
      <c r="KH128" s="766"/>
      <c r="KI128" s="766"/>
      <c r="KJ128" s="770">
        <f>SUM(KF128,KD128,KB128,JZ128,JX128,KH128)</f>
        <v>1</v>
      </c>
      <c r="KK128" s="770">
        <f>SUM(KG128,KE128,KC128,KA128,JY128,KI128)</f>
        <v>1</v>
      </c>
      <c r="KL128" s="712" t="str">
        <f>IF(KJ128=LN128,"ok","male")</f>
        <v>ok</v>
      </c>
      <c r="KM128" s="712" t="str">
        <f>IF(KK128=LO128,"ok","female")</f>
        <v>ok</v>
      </c>
      <c r="KN128" s="766" t="s">
        <v>707</v>
      </c>
      <c r="KO128" s="28"/>
      <c r="KP128" s="766"/>
      <c r="KQ128" s="766"/>
      <c r="KR128" s="766"/>
      <c r="KS128" s="766"/>
      <c r="KT128" s="766"/>
      <c r="KU128" s="766"/>
      <c r="KV128" s="766"/>
      <c r="KW128" s="766"/>
      <c r="KX128" s="766"/>
      <c r="KY128" s="766"/>
      <c r="KZ128" s="766">
        <v>1</v>
      </c>
      <c r="LA128" s="766"/>
      <c r="LB128" s="766"/>
      <c r="LC128" s="766"/>
      <c r="LD128" s="766"/>
      <c r="LE128" s="766"/>
      <c r="LF128" s="766"/>
      <c r="LG128" s="766"/>
      <c r="LH128" s="766"/>
      <c r="LI128" s="766">
        <v>1</v>
      </c>
      <c r="LJ128" s="766"/>
      <c r="LK128" s="766"/>
      <c r="LL128" s="766"/>
      <c r="LM128" s="766"/>
      <c r="LN128" s="766">
        <f>SUM(KP128,KR128,KT128,KV128,KX128,KZ128,LB128,LD128,LF128,LH128,LJ128,LL128)</f>
        <v>1</v>
      </c>
      <c r="LO128" s="766">
        <f>SUM(KQ128,KS128,KU128,KW128,KY128,LA128,LC128,LE128,LG128,LI128,LK128,LM128)</f>
        <v>1</v>
      </c>
      <c r="LP128" s="766">
        <v>1</v>
      </c>
      <c r="LQ128" s="1678"/>
      <c r="LR128" s="766"/>
      <c r="LS128" s="766">
        <v>1</v>
      </c>
      <c r="LT128" s="712" t="str">
        <f>IF(LQ128=SUM(LU128:LW128),"OK","REV")</f>
        <v>OK</v>
      </c>
      <c r="LU128" s="766"/>
      <c r="LV128" s="766"/>
      <c r="LW128" s="766"/>
      <c r="LX128" s="769">
        <v>1</v>
      </c>
      <c r="LY128" s="766" t="str">
        <f t="shared" si="23"/>
        <v>within the BRGY</v>
      </c>
      <c r="LZ128" s="66"/>
      <c r="MA128" s="766"/>
      <c r="MB128" s="766"/>
      <c r="MC128" s="1679">
        <f t="shared" si="24"/>
        <v>0</v>
      </c>
      <c r="MD128" s="66"/>
      <c r="ME128" s="66"/>
      <c r="MF128" s="66">
        <v>8000</v>
      </c>
      <c r="MG128" s="1680">
        <f t="shared" si="15"/>
        <v>8000</v>
      </c>
      <c r="MH128" s="1681"/>
      <c r="MI128" s="775">
        <v>10000</v>
      </c>
      <c r="MJ128" s="775"/>
      <c r="MK128" s="775"/>
      <c r="ML128" s="775">
        <v>28000</v>
      </c>
      <c r="MM128" s="775"/>
      <c r="MN128" s="775"/>
      <c r="MO128" s="775">
        <v>450</v>
      </c>
      <c r="MP128" s="775">
        <v>5000</v>
      </c>
      <c r="MQ128" s="775">
        <v>600</v>
      </c>
      <c r="MR128" s="775">
        <v>800</v>
      </c>
      <c r="MS128" s="775">
        <v>2000</v>
      </c>
      <c r="MT128" s="775"/>
      <c r="MU128" s="775"/>
      <c r="MV128" s="775"/>
      <c r="MW128" s="775"/>
      <c r="MX128" s="775"/>
      <c r="MY128" s="1682">
        <f t="shared" si="14"/>
        <v>46850</v>
      </c>
      <c r="MZ128" s="766" t="s">
        <v>13004</v>
      </c>
      <c r="NA128" s="766" t="s">
        <v>13005</v>
      </c>
      <c r="NB128" s="766" t="s">
        <v>13016</v>
      </c>
      <c r="NC128" s="766" t="s">
        <v>13007</v>
      </c>
      <c r="ND128" s="766">
        <v>0</v>
      </c>
      <c r="NE128" s="766">
        <v>1</v>
      </c>
      <c r="NF128" s="766">
        <v>0</v>
      </c>
      <c r="NG128" s="766">
        <v>1</v>
      </c>
      <c r="NH128" s="766">
        <v>1</v>
      </c>
      <c r="NI128" s="766">
        <v>1</v>
      </c>
      <c r="NJ128" s="766">
        <v>1</v>
      </c>
      <c r="NK128" s="766">
        <v>1</v>
      </c>
      <c r="NL128" s="766">
        <v>1</v>
      </c>
      <c r="NM128" s="766">
        <v>1</v>
      </c>
      <c r="NN128" s="766">
        <v>0</v>
      </c>
      <c r="NO128" s="766">
        <v>0</v>
      </c>
      <c r="NP128" s="766">
        <v>0</v>
      </c>
      <c r="NQ128" s="766">
        <v>0</v>
      </c>
      <c r="NR128" s="766">
        <v>0</v>
      </c>
      <c r="NS128" s="766">
        <v>0</v>
      </c>
      <c r="NT128" s="766">
        <v>0</v>
      </c>
      <c r="NU128" s="766">
        <v>0</v>
      </c>
      <c r="NV128" s="766">
        <v>0</v>
      </c>
      <c r="NW128" s="766">
        <v>0</v>
      </c>
      <c r="NX128" s="766">
        <v>0</v>
      </c>
      <c r="NY128" s="766" t="s">
        <v>1208</v>
      </c>
      <c r="NZ128" s="766" t="s">
        <v>1208</v>
      </c>
      <c r="OA128" s="766" t="s">
        <v>1208</v>
      </c>
      <c r="OB128" s="766" t="s">
        <v>1208</v>
      </c>
      <c r="OC128" s="766" t="s">
        <v>1208</v>
      </c>
      <c r="OD128" s="766" t="s">
        <v>1208</v>
      </c>
      <c r="OE128" s="766"/>
      <c r="OF128" s="1828" t="s">
        <v>1828</v>
      </c>
      <c r="OG128" s="766"/>
      <c r="OH128" s="766"/>
      <c r="OI128" s="766"/>
      <c r="OJ128" s="766"/>
      <c r="OK128" s="76"/>
      <c r="OL128" s="766"/>
      <c r="OM128" s="766"/>
      <c r="ON128" s="766"/>
      <c r="OO128" s="766" t="s">
        <v>1214</v>
      </c>
      <c r="OP128" s="766"/>
      <c r="OQ128" s="766"/>
      <c r="OR128" s="766"/>
      <c r="OS128" s="766"/>
      <c r="OT128" s="766"/>
      <c r="OU128" s="766"/>
      <c r="OV128" s="766"/>
      <c r="OW128" s="766"/>
      <c r="OX128" s="766"/>
      <c r="OY128" s="766"/>
      <c r="OZ128" s="766"/>
      <c r="PA128" s="766"/>
      <c r="PB128" s="766"/>
      <c r="PC128" s="766"/>
      <c r="PD128" s="766"/>
      <c r="PE128" s="766"/>
      <c r="PF128" s="766"/>
      <c r="PG128" s="766"/>
      <c r="PH128" s="766"/>
      <c r="PI128" s="766"/>
      <c r="PJ128" s="766"/>
      <c r="PK128" s="766"/>
      <c r="PL128" s="766"/>
      <c r="PM128" s="766" t="s">
        <v>1208</v>
      </c>
      <c r="PN128" s="766" t="s">
        <v>1208</v>
      </c>
      <c r="PO128" s="766"/>
      <c r="PP128" s="766"/>
      <c r="PQ128" s="766"/>
      <c r="PR128" s="766"/>
      <c r="PS128" s="766"/>
      <c r="PT128" s="766"/>
      <c r="PU128" s="766"/>
      <c r="PV128" s="766"/>
      <c r="PW128" s="766"/>
      <c r="PX128" s="766"/>
      <c r="PY128" s="766"/>
      <c r="PZ128" s="766"/>
      <c r="QA128" s="766"/>
      <c r="QB128" s="766"/>
      <c r="QC128" s="766"/>
      <c r="QD128" s="766"/>
      <c r="QE128" s="766" t="s">
        <v>1208</v>
      </c>
      <c r="QF128" s="766" t="s">
        <v>1208</v>
      </c>
      <c r="QG128" s="766"/>
      <c r="QH128" s="766"/>
      <c r="QI128" s="766"/>
      <c r="QJ128" s="766"/>
      <c r="QK128" s="766"/>
      <c r="QL128" s="766"/>
      <c r="QM128" s="766"/>
      <c r="QN128" s="766"/>
      <c r="QO128" s="766"/>
      <c r="QP128" s="766"/>
      <c r="QQ128" s="766"/>
      <c r="QR128" s="766"/>
      <c r="QS128" s="766"/>
      <c r="QT128" s="766"/>
      <c r="QU128" s="766"/>
      <c r="QV128" s="766"/>
      <c r="QW128" s="766"/>
      <c r="QX128" s="766"/>
      <c r="QY128" s="766"/>
      <c r="QZ128" s="766"/>
      <c r="RA128" s="766"/>
      <c r="RB128" s="770" t="s">
        <v>1207</v>
      </c>
      <c r="RC128" s="766">
        <v>2016</v>
      </c>
      <c r="RD128" s="766" t="s">
        <v>12989</v>
      </c>
      <c r="RE128" s="766" t="s">
        <v>13125</v>
      </c>
      <c r="RF128" s="777">
        <f>CONVERT(5,"in","m")</f>
        <v>0.127</v>
      </c>
      <c r="RG128" s="766" t="s">
        <v>13192</v>
      </c>
      <c r="RH128" s="775">
        <v>0</v>
      </c>
      <c r="RI128" s="766">
        <v>24</v>
      </c>
      <c r="RJ128" s="766" t="s">
        <v>13193</v>
      </c>
      <c r="RK128" s="766" t="s">
        <v>13194</v>
      </c>
      <c r="RL128" s="1683"/>
      <c r="RM128" s="12"/>
      <c r="RN128" s="1711"/>
      <c r="RO128" s="165" t="s">
        <v>220</v>
      </c>
      <c r="RP128" s="11"/>
      <c r="RQ128" s="11"/>
      <c r="RR128" s="154" t="s">
        <v>7419</v>
      </c>
      <c r="RS128" s="1139" t="s">
        <v>12980</v>
      </c>
      <c r="RT128" s="11"/>
      <c r="RU128" s="11"/>
      <c r="RV128" s="766" t="s">
        <v>12416</v>
      </c>
      <c r="RW128" s="11" t="s">
        <v>7578</v>
      </c>
      <c r="RX128" s="11" t="s">
        <v>218</v>
      </c>
      <c r="RY128" s="11"/>
      <c r="RZ128" s="11" t="s">
        <v>7419</v>
      </c>
      <c r="SA128" s="766"/>
      <c r="SB128" s="11"/>
      <c r="SC128" s="11"/>
    </row>
    <row r="129" spans="1:497" ht="15" hidden="1" customHeight="1">
      <c r="A129" s="343" t="s">
        <v>12417</v>
      </c>
      <c r="B129" s="288" t="s">
        <v>7580</v>
      </c>
      <c r="C129" s="165" t="s">
        <v>227</v>
      </c>
      <c r="D129" s="760" t="s">
        <v>1937</v>
      </c>
      <c r="E129" s="766" t="s">
        <v>222</v>
      </c>
      <c r="F129" s="766"/>
      <c r="G129" s="766"/>
      <c r="H129" s="766"/>
      <c r="I129" s="5"/>
      <c r="J129" s="766"/>
      <c r="K129" s="766"/>
      <c r="L129" s="766"/>
      <c r="M129" s="766"/>
      <c r="N129" s="766"/>
      <c r="O129" s="766"/>
      <c r="P129" s="766"/>
      <c r="Q129" s="1085"/>
      <c r="R129" s="25"/>
      <c r="S129" s="766"/>
      <c r="T129" s="766"/>
      <c r="U129" s="26"/>
      <c r="V129" s="766"/>
      <c r="W129" s="766"/>
      <c r="X129" s="766"/>
      <c r="Y129" s="766"/>
      <c r="Z129" s="766"/>
      <c r="AA129" s="766"/>
      <c r="AB129" s="766"/>
      <c r="AC129" s="766"/>
      <c r="AD129" s="766"/>
      <c r="AE129" s="766"/>
      <c r="AF129" s="766"/>
      <c r="AG129" s="766"/>
      <c r="AH129" s="766"/>
      <c r="AI129" s="766"/>
      <c r="AJ129" s="766"/>
      <c r="AK129" s="766" t="s">
        <v>1899</v>
      </c>
      <c r="AL129" s="121"/>
      <c r="AM129" s="772"/>
      <c r="AN129" s="774"/>
      <c r="AO129" s="766"/>
      <c r="AP129" s="766"/>
      <c r="AQ129" s="766"/>
      <c r="AR129" s="766"/>
      <c r="AS129" s="766"/>
      <c r="AT129" s="766"/>
      <c r="AU129" s="766"/>
      <c r="AV129" s="766"/>
      <c r="AW129" s="766"/>
      <c r="AX129" s="766"/>
      <c r="AY129" s="766"/>
      <c r="AZ129" s="766"/>
      <c r="BA129" s="766"/>
      <c r="BB129" s="766"/>
      <c r="BC129" s="766"/>
      <c r="BD129" s="766"/>
      <c r="BE129" s="766"/>
      <c r="BF129" s="775"/>
      <c r="BG129" s="775"/>
      <c r="BH129" s="766"/>
      <c r="BI129" s="766"/>
      <c r="BJ129" s="766"/>
      <c r="BK129" s="766"/>
      <c r="BL129" s="766"/>
      <c r="BM129" s="766" t="s">
        <v>12423</v>
      </c>
      <c r="BN129" s="766" t="s">
        <v>1260</v>
      </c>
      <c r="BO129" s="766"/>
      <c r="BP129" s="776"/>
      <c r="BQ129" s="772"/>
      <c r="BR129" s="774"/>
      <c r="BS129" s="766" t="s">
        <v>1105</v>
      </c>
      <c r="BT129" s="766"/>
      <c r="BU129" s="766"/>
      <c r="BV129" s="766"/>
      <c r="BW129" s="766"/>
      <c r="BX129" s="779"/>
      <c r="BY129" s="766"/>
      <c r="BZ129" s="775"/>
      <c r="CA129" s="766"/>
      <c r="CB129" s="766"/>
      <c r="CC129" s="766"/>
      <c r="CD129" s="766"/>
      <c r="CE129" s="766"/>
      <c r="CF129" s="777"/>
      <c r="CG129" s="778"/>
      <c r="CH129" s="766"/>
      <c r="CI129" s="766"/>
      <c r="CJ129" s="766"/>
      <c r="CK129" s="766"/>
      <c r="CL129" s="766"/>
      <c r="CM129" s="766"/>
      <c r="CN129" s="766"/>
      <c r="CO129" s="766"/>
      <c r="CP129" s="766"/>
      <c r="CQ129" s="766"/>
      <c r="CR129" s="775"/>
      <c r="CS129" s="766"/>
      <c r="CT129" s="766"/>
      <c r="CU129" s="129"/>
      <c r="CV129" s="766"/>
      <c r="CW129" s="766"/>
      <c r="CX129" s="766"/>
      <c r="CY129" s="766"/>
      <c r="CZ129" s="766"/>
      <c r="DA129" s="766"/>
      <c r="DB129" s="766"/>
      <c r="DC129" s="766"/>
      <c r="DD129" s="766"/>
      <c r="DE129" s="766"/>
      <c r="DF129" s="766"/>
      <c r="DG129" s="766"/>
      <c r="DH129" s="766"/>
      <c r="DI129" s="766"/>
      <c r="DJ129" s="766"/>
      <c r="DK129" s="766"/>
      <c r="DL129" s="766"/>
      <c r="DM129" s="766"/>
      <c r="DN129" s="766"/>
      <c r="DO129" s="766"/>
      <c r="DP129" s="766"/>
      <c r="DQ129" s="766"/>
      <c r="DR129" s="766"/>
      <c r="DS129" s="59"/>
      <c r="DT129" s="766"/>
      <c r="DU129" s="766"/>
      <c r="DV129" s="766"/>
      <c r="DW129" s="66"/>
      <c r="DX129" s="66"/>
      <c r="DY129" s="766"/>
      <c r="DZ129" s="766"/>
      <c r="EA129" s="766"/>
      <c r="EB129" s="766"/>
      <c r="EC129" s="766"/>
      <c r="ED129" s="766"/>
      <c r="EE129" s="766"/>
      <c r="EF129" s="766"/>
      <c r="EG129" s="766"/>
      <c r="EH129" s="766"/>
      <c r="EI129" s="766"/>
      <c r="EJ129" s="766"/>
      <c r="EK129" s="766"/>
      <c r="EL129" s="766"/>
      <c r="EM129" s="766"/>
      <c r="EN129" s="766"/>
      <c r="EO129" s="766"/>
      <c r="EP129" s="766"/>
      <c r="EQ129" s="766"/>
      <c r="ER129" s="766"/>
      <c r="ES129" s="766"/>
      <c r="ET129" s="766"/>
      <c r="EU129" s="766"/>
      <c r="EV129" s="766"/>
      <c r="EW129" s="766"/>
      <c r="EX129" s="766"/>
      <c r="EY129" s="766"/>
      <c r="EZ129" s="766"/>
      <c r="FA129" s="766"/>
      <c r="FB129" s="766"/>
      <c r="FC129" s="766"/>
      <c r="FD129" s="775"/>
      <c r="FE129" s="766"/>
      <c r="FF129" s="766"/>
      <c r="FG129" s="766"/>
      <c r="FH129" s="766"/>
      <c r="FI129" s="766"/>
      <c r="FJ129" s="766"/>
      <c r="FK129" s="25"/>
      <c r="FL129" s="766"/>
      <c r="FM129" s="775"/>
      <c r="FN129" s="775"/>
      <c r="FO129" s="775"/>
      <c r="FP129" s="766"/>
      <c r="FQ129" s="766"/>
      <c r="FR129" s="766"/>
      <c r="FS129" s="766" t="s">
        <v>1208</v>
      </c>
      <c r="FT129" s="766"/>
      <c r="FU129" s="766"/>
      <c r="FV129" s="766"/>
      <c r="FW129" s="766"/>
      <c r="FX129" s="766"/>
      <c r="FY129" s="766"/>
      <c r="FZ129" s="766"/>
      <c r="GA129" s="766"/>
      <c r="GB129" s="766"/>
      <c r="GC129" s="75"/>
      <c r="GD129" s="25"/>
      <c r="GE129" s="766"/>
      <c r="GF129" s="775"/>
      <c r="GG129" s="775"/>
      <c r="GH129" s="766"/>
      <c r="GI129" s="766"/>
      <c r="GJ129" s="766"/>
      <c r="GK129" s="766"/>
      <c r="GL129" s="766"/>
      <c r="GM129" s="766"/>
      <c r="GN129" s="82"/>
      <c r="GO129" s="766"/>
      <c r="GP129" s="766"/>
      <c r="GQ129" s="766"/>
      <c r="GR129" s="766"/>
      <c r="GS129" s="766"/>
      <c r="GT129" s="766"/>
      <c r="GU129" s="766"/>
      <c r="GV129" s="766"/>
      <c r="GW129" s="766"/>
      <c r="GX129" s="766"/>
      <c r="GY129" s="766"/>
      <c r="GZ129" s="766"/>
      <c r="HA129" s="766"/>
      <c r="HB129" s="766"/>
      <c r="HC129" s="766"/>
      <c r="HD129" s="766"/>
      <c r="HE129" s="766"/>
      <c r="HF129" s="766"/>
      <c r="HG129" s="766"/>
      <c r="HH129" s="766"/>
      <c r="HI129" s="766"/>
      <c r="HJ129" s="766"/>
      <c r="HK129" s="766"/>
      <c r="HL129" s="766"/>
      <c r="HM129" s="766"/>
      <c r="HN129" s="766"/>
      <c r="HO129" s="766"/>
      <c r="HP129" s="766"/>
      <c r="HQ129" s="766"/>
      <c r="HR129" s="766"/>
      <c r="HS129" s="766"/>
      <c r="HT129" s="766"/>
      <c r="HU129" s="766"/>
      <c r="HV129" s="766"/>
      <c r="HW129" s="766"/>
      <c r="HX129" s="766"/>
      <c r="HY129" s="766"/>
      <c r="HZ129" s="766"/>
      <c r="IA129" s="766"/>
      <c r="IB129" s="766"/>
      <c r="IC129" s="766"/>
      <c r="ID129" s="766"/>
      <c r="IE129" s="766"/>
      <c r="IF129" s="766" t="s">
        <v>1937</v>
      </c>
      <c r="IG129" s="766" t="s">
        <v>10</v>
      </c>
      <c r="IH129" s="766" t="s">
        <v>478</v>
      </c>
      <c r="II129" s="766" t="s">
        <v>1938</v>
      </c>
      <c r="IJ129" s="766" t="s">
        <v>1939</v>
      </c>
      <c r="IK129" s="766" t="s">
        <v>1888</v>
      </c>
      <c r="IL129" s="766" t="s">
        <v>1475</v>
      </c>
      <c r="IM129" s="766" t="s">
        <v>1940</v>
      </c>
      <c r="IN129" s="766" t="s">
        <v>1941</v>
      </c>
      <c r="IO129" s="24">
        <v>18453</v>
      </c>
      <c r="IP129" s="766" t="s">
        <v>1306</v>
      </c>
      <c r="IQ129" s="769" t="s">
        <v>1942</v>
      </c>
      <c r="IR129" s="770" t="s">
        <v>2716</v>
      </c>
      <c r="IS129" s="766" t="s">
        <v>740</v>
      </c>
      <c r="IT129" s="766"/>
      <c r="IU129" s="766"/>
      <c r="IV129" s="766"/>
      <c r="IW129" s="766" t="s">
        <v>13195</v>
      </c>
      <c r="IX129" s="766"/>
      <c r="IY129" s="766" t="s">
        <v>1943</v>
      </c>
      <c r="IZ129" s="766"/>
      <c r="JA129" s="766" t="s">
        <v>1880</v>
      </c>
      <c r="JB129" s="1656">
        <v>30000</v>
      </c>
      <c r="JC129" s="766">
        <v>2</v>
      </c>
      <c r="JD129" s="775">
        <f>PRODUCT((AVERAGE(6000,7000)),30)</f>
        <v>195000</v>
      </c>
      <c r="JE129" s="766">
        <v>2</v>
      </c>
      <c r="JF129" s="766"/>
      <c r="JG129" s="766"/>
      <c r="JH129" s="766"/>
      <c r="JI129" s="766"/>
      <c r="JJ129" s="766"/>
      <c r="JK129" s="766"/>
      <c r="JL129" s="766"/>
      <c r="JM129" s="766"/>
      <c r="JN129" s="766"/>
      <c r="JO129" s="766"/>
      <c r="JP129" s="766"/>
      <c r="JQ129" s="766"/>
      <c r="JR129" s="766"/>
      <c r="JS129" s="766"/>
      <c r="JT129" s="766"/>
      <c r="JU129" s="766"/>
      <c r="JV129" s="766"/>
      <c r="JW129" s="766"/>
      <c r="JX129" s="766"/>
      <c r="JY129" s="766"/>
      <c r="JZ129" s="766"/>
      <c r="KA129" s="766"/>
      <c r="KB129" s="766"/>
      <c r="KC129" s="766"/>
      <c r="KD129" s="766"/>
      <c r="KE129" s="766"/>
      <c r="KF129" s="766"/>
      <c r="KG129" s="766"/>
      <c r="KH129" s="766"/>
      <c r="KI129" s="766"/>
      <c r="KJ129" s="770"/>
      <c r="KK129" s="770"/>
      <c r="KL129" s="770"/>
      <c r="KM129" s="770"/>
      <c r="KN129" s="766"/>
      <c r="KO129" s="28"/>
      <c r="KP129" s="766"/>
      <c r="KQ129" s="766"/>
      <c r="KR129" s="766"/>
      <c r="KS129" s="766"/>
      <c r="KT129" s="766"/>
      <c r="KU129" s="766"/>
      <c r="KV129" s="766"/>
      <c r="KW129" s="766"/>
      <c r="KX129" s="766"/>
      <c r="KY129" s="766"/>
      <c r="KZ129" s="766"/>
      <c r="LA129" s="766"/>
      <c r="LB129" s="766"/>
      <c r="LC129" s="766"/>
      <c r="LD129" s="766"/>
      <c r="LE129" s="766"/>
      <c r="LF129" s="766"/>
      <c r="LG129" s="766"/>
      <c r="LH129" s="766"/>
      <c r="LI129" s="766"/>
      <c r="LJ129" s="766"/>
      <c r="LK129" s="766"/>
      <c r="LL129" s="766"/>
      <c r="LM129" s="766"/>
      <c r="LN129" s="766"/>
      <c r="LO129" s="766"/>
      <c r="LP129" s="766"/>
      <c r="LQ129" s="1678"/>
      <c r="LR129" s="766"/>
      <c r="LS129" s="766"/>
      <c r="LT129" s="766"/>
      <c r="LU129" s="766"/>
      <c r="LV129" s="766"/>
      <c r="LW129" s="766"/>
      <c r="LX129" s="769"/>
      <c r="LY129" s="766" t="str">
        <f t="shared" si="23"/>
        <v/>
      </c>
      <c r="LZ129" s="66"/>
      <c r="MA129" s="766"/>
      <c r="MB129" s="766"/>
      <c r="MC129" s="1679">
        <f t="shared" si="24"/>
        <v>0</v>
      </c>
      <c r="MD129" s="66"/>
      <c r="ME129" s="66"/>
      <c r="MF129" s="66"/>
      <c r="MG129" s="1680">
        <f t="shared" si="15"/>
        <v>0</v>
      </c>
      <c r="MH129" s="1681"/>
      <c r="MI129" s="775"/>
      <c r="MJ129" s="775"/>
      <c r="MK129" s="775"/>
      <c r="ML129" s="775"/>
      <c r="MM129" s="775"/>
      <c r="MN129" s="775"/>
      <c r="MO129" s="775"/>
      <c r="MP129" s="775"/>
      <c r="MQ129" s="775"/>
      <c r="MR129" s="775"/>
      <c r="MS129" s="775"/>
      <c r="MT129" s="775"/>
      <c r="MU129" s="775"/>
      <c r="MV129" s="775"/>
      <c r="MW129" s="775"/>
      <c r="MX129" s="775"/>
      <c r="MY129" s="1682">
        <f t="shared" si="14"/>
        <v>0</v>
      </c>
      <c r="MZ129" s="766"/>
      <c r="NA129" s="766"/>
      <c r="NB129" s="766"/>
      <c r="NC129" s="766"/>
      <c r="ND129" s="766"/>
      <c r="NE129" s="766"/>
      <c r="NF129" s="766"/>
      <c r="NG129" s="766"/>
      <c r="NH129" s="766"/>
      <c r="NI129" s="766"/>
      <c r="NJ129" s="766"/>
      <c r="NK129" s="766"/>
      <c r="NL129" s="766"/>
      <c r="NM129" s="766"/>
      <c r="NN129" s="766"/>
      <c r="NO129" s="766"/>
      <c r="NP129" s="766"/>
      <c r="NQ129" s="766"/>
      <c r="NR129" s="766"/>
      <c r="NS129" s="766"/>
      <c r="NT129" s="766"/>
      <c r="NU129" s="766"/>
      <c r="NV129" s="766"/>
      <c r="NW129" s="766"/>
      <c r="NX129" s="766"/>
      <c r="NY129" s="766"/>
      <c r="NZ129" s="766"/>
      <c r="OA129" s="766"/>
      <c r="OB129" s="766"/>
      <c r="OC129" s="766"/>
      <c r="OD129" s="766"/>
      <c r="OE129" s="766"/>
      <c r="OF129" s="766" t="s">
        <v>13034</v>
      </c>
      <c r="OG129" s="766"/>
      <c r="OH129" s="766"/>
      <c r="OI129" s="766"/>
      <c r="OJ129" s="766"/>
      <c r="OK129" s="76"/>
      <c r="OL129" s="766" t="s">
        <v>13196</v>
      </c>
      <c r="OM129" s="766" t="s">
        <v>13197</v>
      </c>
      <c r="ON129" s="766" t="s">
        <v>13198</v>
      </c>
      <c r="OO129" s="766" t="s">
        <v>1207</v>
      </c>
      <c r="OP129" s="766" t="s">
        <v>13199</v>
      </c>
      <c r="OQ129" s="766" t="s">
        <v>13200</v>
      </c>
      <c r="OR129" s="766"/>
      <c r="OS129" s="766"/>
      <c r="OT129" s="766"/>
      <c r="OU129" s="766"/>
      <c r="OV129" s="766" t="s">
        <v>1208</v>
      </c>
      <c r="OW129" s="766"/>
      <c r="OX129" s="766"/>
      <c r="OY129" s="766"/>
      <c r="OZ129" s="766"/>
      <c r="PA129" s="766" t="s">
        <v>1208</v>
      </c>
      <c r="PB129" s="766" t="s">
        <v>1208</v>
      </c>
      <c r="PC129" s="766"/>
      <c r="PD129" s="766"/>
      <c r="PE129" s="766"/>
      <c r="PF129" s="766"/>
      <c r="PG129" s="766"/>
      <c r="PH129" s="766"/>
      <c r="PI129" s="766"/>
      <c r="PJ129" s="766"/>
      <c r="PK129" s="766"/>
      <c r="PL129" s="766"/>
      <c r="PM129" s="766"/>
      <c r="PN129" s="766"/>
      <c r="PO129" s="766"/>
      <c r="PP129" s="766"/>
      <c r="PQ129" s="766"/>
      <c r="PR129" s="766"/>
      <c r="PS129" s="766"/>
      <c r="PT129" s="766"/>
      <c r="PU129" s="766"/>
      <c r="PV129" s="766"/>
      <c r="PW129" s="766"/>
      <c r="PX129" s="766"/>
      <c r="PY129" s="766"/>
      <c r="PZ129" s="766"/>
      <c r="QA129" s="766"/>
      <c r="QB129" s="766"/>
      <c r="QC129" s="766"/>
      <c r="QD129" s="766"/>
      <c r="QE129" s="766"/>
      <c r="QF129" s="766"/>
      <c r="QG129" s="766"/>
      <c r="QH129" s="766"/>
      <c r="QI129" s="766"/>
      <c r="QJ129" s="766"/>
      <c r="QK129" s="766"/>
      <c r="QL129" s="766"/>
      <c r="QM129" s="766"/>
      <c r="QN129" s="766"/>
      <c r="QO129" s="766"/>
      <c r="QP129" s="766"/>
      <c r="QQ129" s="766"/>
      <c r="QR129" s="766"/>
      <c r="QS129" s="766"/>
      <c r="QT129" s="766"/>
      <c r="QU129" s="766"/>
      <c r="QV129" s="766"/>
      <c r="QW129" s="766"/>
      <c r="QX129" s="766"/>
      <c r="QY129" s="766"/>
      <c r="QZ129" s="766"/>
      <c r="RA129" s="766"/>
      <c r="RB129" s="766"/>
      <c r="RC129" s="766"/>
      <c r="RD129" s="766"/>
      <c r="RE129" s="766"/>
      <c r="RF129" s="777"/>
      <c r="RG129" s="766"/>
      <c r="RH129" s="775"/>
      <c r="RI129" s="766"/>
      <c r="RJ129" s="766" t="s">
        <v>2160</v>
      </c>
      <c r="RK129" s="766" t="s">
        <v>13166</v>
      </c>
      <c r="RL129" s="1683"/>
      <c r="RM129" s="12"/>
      <c r="RN129" s="1711"/>
      <c r="RO129" s="165" t="s">
        <v>227</v>
      </c>
      <c r="RP129" s="11"/>
      <c r="RQ129" s="11"/>
      <c r="RR129" s="17"/>
      <c r="RS129" s="766"/>
      <c r="RT129" s="11"/>
      <c r="RU129" s="11"/>
      <c r="RV129" s="766" t="s">
        <v>12416</v>
      </c>
      <c r="RW129" s="11" t="s">
        <v>7579</v>
      </c>
      <c r="RX129" s="11" t="s">
        <v>219</v>
      </c>
      <c r="RY129" s="11"/>
      <c r="RZ129" s="11"/>
      <c r="SA129" s="766"/>
      <c r="SB129" s="11"/>
      <c r="SC129" s="11"/>
    </row>
    <row r="130" spans="1:497" ht="15" hidden="1" customHeight="1">
      <c r="A130" s="19" t="s">
        <v>7419</v>
      </c>
      <c r="B130" s="288" t="s">
        <v>7581</v>
      </c>
      <c r="C130" s="165" t="s">
        <v>228</v>
      </c>
      <c r="D130" s="760" t="s">
        <v>1944</v>
      </c>
      <c r="E130" s="766" t="s">
        <v>5492</v>
      </c>
      <c r="F130" s="766"/>
      <c r="G130" s="766"/>
      <c r="H130" s="766"/>
      <c r="I130" s="5"/>
      <c r="J130" s="766"/>
      <c r="K130" s="766"/>
      <c r="L130" s="766"/>
      <c r="M130" s="766"/>
      <c r="N130" s="766"/>
      <c r="O130" s="766"/>
      <c r="P130" s="766"/>
      <c r="Q130" s="1085"/>
      <c r="R130" s="25"/>
      <c r="S130" s="766"/>
      <c r="T130" s="766"/>
      <c r="U130" s="26"/>
      <c r="V130" s="766"/>
      <c r="W130" s="766"/>
      <c r="X130" s="766"/>
      <c r="Y130" s="766"/>
      <c r="Z130" s="766"/>
      <c r="AA130" s="766"/>
      <c r="AB130" s="766"/>
      <c r="AC130" s="766"/>
      <c r="AD130" s="766"/>
      <c r="AE130" s="766"/>
      <c r="AF130" s="766"/>
      <c r="AG130" s="766" t="s">
        <v>1095</v>
      </c>
      <c r="AH130" s="766" t="s">
        <v>1100</v>
      </c>
      <c r="AI130" s="766" t="s">
        <v>1145</v>
      </c>
      <c r="AJ130" s="766"/>
      <c r="AK130" s="766" t="s">
        <v>1097</v>
      </c>
      <c r="AL130" s="333"/>
      <c r="AM130" s="772">
        <v>2250</v>
      </c>
      <c r="AN130" s="774"/>
      <c r="AO130" s="766"/>
      <c r="AP130" s="766"/>
      <c r="AQ130" s="766"/>
      <c r="AR130" s="766"/>
      <c r="AS130" s="766" t="s">
        <v>1207</v>
      </c>
      <c r="AT130" s="766" t="s">
        <v>1208</v>
      </c>
      <c r="AU130" s="766"/>
      <c r="AV130" s="766"/>
      <c r="AW130" s="766"/>
      <c r="AX130" s="766"/>
      <c r="AY130" s="766"/>
      <c r="AZ130" s="766" t="s">
        <v>1208</v>
      </c>
      <c r="BA130" s="766"/>
      <c r="BB130" s="766"/>
      <c r="BC130" s="766" t="s">
        <v>796</v>
      </c>
      <c r="BD130" s="766" t="s">
        <v>1207</v>
      </c>
      <c r="BE130" s="766"/>
      <c r="BF130" s="775"/>
      <c r="BG130" s="775"/>
      <c r="BH130" s="766"/>
      <c r="BI130" s="766"/>
      <c r="BJ130" s="766"/>
      <c r="BK130" s="768"/>
      <c r="BL130" s="768"/>
      <c r="BM130" s="768"/>
      <c r="BN130" s="768"/>
      <c r="BO130" s="766"/>
      <c r="BP130" s="776"/>
      <c r="BQ130" s="772"/>
      <c r="BR130" s="774"/>
      <c r="BS130" s="766"/>
      <c r="BT130" s="766"/>
      <c r="BU130" s="766"/>
      <c r="BV130" s="766"/>
      <c r="BW130" s="766"/>
      <c r="BX130" s="779"/>
      <c r="BY130" s="766"/>
      <c r="BZ130" s="775"/>
      <c r="CA130" s="766"/>
      <c r="CB130" s="766" t="s">
        <v>1207</v>
      </c>
      <c r="CC130" s="766" t="s">
        <v>1479</v>
      </c>
      <c r="CD130" s="766"/>
      <c r="CE130" s="766"/>
      <c r="CF130" s="777">
        <v>13.9</v>
      </c>
      <c r="CG130" s="778">
        <v>13</v>
      </c>
      <c r="CH130" s="766" t="s">
        <v>1480</v>
      </c>
      <c r="CI130" s="766"/>
      <c r="CJ130" s="766"/>
      <c r="CK130" s="766">
        <v>19</v>
      </c>
      <c r="CL130" s="766" t="s">
        <v>1241</v>
      </c>
      <c r="CM130" s="766" t="s">
        <v>1481</v>
      </c>
      <c r="CN130" s="766"/>
      <c r="CO130" s="766" t="s">
        <v>1257</v>
      </c>
      <c r="CP130" s="766"/>
      <c r="CQ130" s="766"/>
      <c r="CR130" s="775"/>
      <c r="CS130" s="766"/>
      <c r="CT130" s="766"/>
      <c r="CU130" s="129"/>
      <c r="CV130" s="766"/>
      <c r="CW130" s="766"/>
      <c r="CX130" s="766"/>
      <c r="CY130" s="766"/>
      <c r="CZ130" s="766"/>
      <c r="DA130" s="766"/>
      <c r="DB130" s="766"/>
      <c r="DC130" s="766"/>
      <c r="DD130" s="766"/>
      <c r="DE130" s="766"/>
      <c r="DF130" s="766"/>
      <c r="DG130" s="766"/>
      <c r="DH130" s="766"/>
      <c r="DI130" s="766"/>
      <c r="DJ130" s="766"/>
      <c r="DK130" s="766"/>
      <c r="DL130" s="766"/>
      <c r="DM130" s="766"/>
      <c r="DN130" s="766"/>
      <c r="DO130" s="766"/>
      <c r="DP130" s="766"/>
      <c r="DQ130" s="766"/>
      <c r="DR130" s="766"/>
      <c r="DS130" s="59"/>
      <c r="DT130" s="766"/>
      <c r="DU130" s="766"/>
      <c r="DV130" s="766"/>
      <c r="DW130" s="66"/>
      <c r="DX130" s="66"/>
      <c r="DY130" s="766"/>
      <c r="DZ130" s="766" t="s">
        <v>1479</v>
      </c>
      <c r="EA130" s="766" t="s">
        <v>1257</v>
      </c>
      <c r="EB130" s="766"/>
      <c r="EC130" s="766"/>
      <c r="ED130" s="766" t="s">
        <v>1253</v>
      </c>
      <c r="EE130" s="766" t="s">
        <v>1482</v>
      </c>
      <c r="EF130" s="766" t="s">
        <v>1311</v>
      </c>
      <c r="EG130" s="766" t="s">
        <v>1257</v>
      </c>
      <c r="EH130" s="766"/>
      <c r="EI130" s="766"/>
      <c r="EJ130" s="766" t="s">
        <v>1483</v>
      </c>
      <c r="EK130" s="766"/>
      <c r="EL130" s="766" t="s">
        <v>1484</v>
      </c>
      <c r="EM130" s="766" t="s">
        <v>1242</v>
      </c>
      <c r="EN130" s="766"/>
      <c r="EO130" s="766"/>
      <c r="EP130" s="766" t="s">
        <v>1240</v>
      </c>
      <c r="EQ130" s="766"/>
      <c r="ER130" s="766"/>
      <c r="ES130" s="766"/>
      <c r="ET130" s="766"/>
      <c r="EU130" s="766"/>
      <c r="EV130" s="766"/>
      <c r="EW130" s="766"/>
      <c r="EX130" s="766"/>
      <c r="EY130" s="766"/>
      <c r="EZ130" s="766"/>
      <c r="FA130" s="766"/>
      <c r="FB130" s="766"/>
      <c r="FC130" s="766"/>
      <c r="FD130" s="775"/>
      <c r="FE130" s="766"/>
      <c r="FF130" s="766"/>
      <c r="FG130" s="766"/>
      <c r="FH130" s="766"/>
      <c r="FI130" s="766"/>
      <c r="FJ130" s="766"/>
      <c r="FK130" s="766"/>
      <c r="FL130" s="766"/>
      <c r="FM130" s="775"/>
      <c r="FN130" s="775"/>
      <c r="FO130" s="775"/>
      <c r="FP130" s="766"/>
      <c r="FQ130" s="766"/>
      <c r="FR130" s="766" t="s">
        <v>1207</v>
      </c>
      <c r="FS130" s="766"/>
      <c r="FT130" s="766"/>
      <c r="FU130" s="766"/>
      <c r="FV130" s="766"/>
      <c r="FW130" s="766"/>
      <c r="FX130" s="766"/>
      <c r="FY130" s="766"/>
      <c r="FZ130" s="766"/>
      <c r="GA130" s="766"/>
      <c r="GB130" s="766" t="s">
        <v>1721</v>
      </c>
      <c r="GC130" s="75" t="s">
        <v>1722</v>
      </c>
      <c r="GD130" s="25" t="s">
        <v>110</v>
      </c>
      <c r="GE130" s="766" t="s">
        <v>1207</v>
      </c>
      <c r="GF130" s="775"/>
      <c r="GG130" s="775"/>
      <c r="GH130" s="766"/>
      <c r="GI130" s="766"/>
      <c r="GJ130" s="766"/>
      <c r="GK130" s="766"/>
      <c r="GL130" s="766"/>
      <c r="GM130" s="766"/>
      <c r="GN130" s="82"/>
      <c r="GO130" s="766"/>
      <c r="GP130" s="766"/>
      <c r="GQ130" s="766"/>
      <c r="GR130" s="766"/>
      <c r="GS130" s="766"/>
      <c r="GT130" s="766"/>
      <c r="GU130" s="766"/>
      <c r="GV130" s="766"/>
      <c r="GW130" s="766"/>
      <c r="GX130" s="766"/>
      <c r="GY130" s="766"/>
      <c r="GZ130" s="766"/>
      <c r="HA130" s="766"/>
      <c r="HB130" s="766"/>
      <c r="HC130" s="766"/>
      <c r="HD130" s="766"/>
      <c r="HE130" s="766"/>
      <c r="HF130" s="766"/>
      <c r="HG130" s="766"/>
      <c r="HH130" s="766"/>
      <c r="HI130" s="766"/>
      <c r="HJ130" s="766"/>
      <c r="HK130" s="766"/>
      <c r="HL130" s="766"/>
      <c r="HM130" s="766"/>
      <c r="HN130" s="766"/>
      <c r="HO130" s="766"/>
      <c r="HP130" s="766"/>
      <c r="HQ130" s="766"/>
      <c r="HR130" s="766"/>
      <c r="HS130" s="766"/>
      <c r="HT130" s="766"/>
      <c r="HU130" s="766"/>
      <c r="HV130" s="766"/>
      <c r="HW130" s="766"/>
      <c r="HX130" s="766"/>
      <c r="HY130" s="766"/>
      <c r="HZ130" s="766"/>
      <c r="IA130" s="766"/>
      <c r="IB130" s="766"/>
      <c r="IC130" s="766"/>
      <c r="ID130" s="766"/>
      <c r="IE130" s="766"/>
      <c r="IF130" s="766" t="s">
        <v>1944</v>
      </c>
      <c r="IG130" s="766" t="s">
        <v>10</v>
      </c>
      <c r="IH130" s="766" t="s">
        <v>1945</v>
      </c>
      <c r="II130" s="766" t="s">
        <v>1946</v>
      </c>
      <c r="IJ130" s="766" t="s">
        <v>1947</v>
      </c>
      <c r="IK130" s="766" t="s">
        <v>1948</v>
      </c>
      <c r="IL130" s="766" t="s">
        <v>1479</v>
      </c>
      <c r="IM130" s="766">
        <v>2002</v>
      </c>
      <c r="IN130" s="766" t="s">
        <v>1479</v>
      </c>
      <c r="IO130" s="24"/>
      <c r="IP130" s="766" t="s">
        <v>478</v>
      </c>
      <c r="IQ130" s="769" t="s">
        <v>8139</v>
      </c>
      <c r="IR130" s="766" t="s">
        <v>1949</v>
      </c>
      <c r="IS130" s="766" t="s">
        <v>1883</v>
      </c>
      <c r="IT130" s="766" t="s">
        <v>1208</v>
      </c>
      <c r="IU130" s="766"/>
      <c r="IV130" s="766" t="s">
        <v>1884</v>
      </c>
      <c r="IW130" s="766" t="s">
        <v>1479</v>
      </c>
      <c r="IX130" s="766" t="s">
        <v>12776</v>
      </c>
      <c r="IY130" s="766" t="s">
        <v>12777</v>
      </c>
      <c r="IZ130" s="766"/>
      <c r="JA130" s="766" t="s">
        <v>1950</v>
      </c>
      <c r="JB130" s="766" t="s">
        <v>1951</v>
      </c>
      <c r="JC130" s="766"/>
      <c r="JD130" s="775"/>
      <c r="JE130" s="766"/>
      <c r="JF130" s="766"/>
      <c r="JG130" s="766"/>
      <c r="JH130" s="766"/>
      <c r="JI130" s="766"/>
      <c r="JJ130" s="766"/>
      <c r="JK130" s="766"/>
      <c r="JL130" s="766"/>
      <c r="JM130" s="766"/>
      <c r="JN130" s="766"/>
      <c r="JO130" s="766"/>
      <c r="JP130" s="766"/>
      <c r="JQ130" s="766"/>
      <c r="JR130" s="766"/>
      <c r="JS130" s="766"/>
      <c r="JT130" s="766"/>
      <c r="JU130" s="766"/>
      <c r="JV130" s="766"/>
      <c r="JW130" s="766"/>
      <c r="JX130" s="766"/>
      <c r="JY130" s="766"/>
      <c r="JZ130" s="766"/>
      <c r="KA130" s="766"/>
      <c r="KB130" s="766"/>
      <c r="KC130" s="766"/>
      <c r="KD130" s="766"/>
      <c r="KE130" s="766"/>
      <c r="KF130" s="766"/>
      <c r="KG130" s="766"/>
      <c r="KH130" s="766"/>
      <c r="KI130" s="766"/>
      <c r="KJ130" s="770"/>
      <c r="KK130" s="770"/>
      <c r="KL130" s="770"/>
      <c r="KM130" s="770"/>
      <c r="KN130" s="766"/>
      <c r="KO130" s="28"/>
      <c r="KP130" s="766"/>
      <c r="KQ130" s="766"/>
      <c r="KR130" s="766"/>
      <c r="KS130" s="766"/>
      <c r="KT130" s="766"/>
      <c r="KU130" s="766"/>
      <c r="KV130" s="766"/>
      <c r="KW130" s="766"/>
      <c r="KX130" s="766"/>
      <c r="KY130" s="766"/>
      <c r="KZ130" s="766"/>
      <c r="LA130" s="766"/>
      <c r="LB130" s="766"/>
      <c r="LC130" s="766"/>
      <c r="LD130" s="766"/>
      <c r="LE130" s="766"/>
      <c r="LF130" s="766"/>
      <c r="LG130" s="766"/>
      <c r="LH130" s="766"/>
      <c r="LI130" s="766"/>
      <c r="LJ130" s="766"/>
      <c r="LK130" s="766"/>
      <c r="LL130" s="766"/>
      <c r="LM130" s="766"/>
      <c r="LN130" s="766"/>
      <c r="LO130" s="766"/>
      <c r="LP130" s="766"/>
      <c r="LQ130" s="1678"/>
      <c r="LR130" s="766"/>
      <c r="LS130" s="766"/>
      <c r="LT130" s="766"/>
      <c r="LU130" s="766"/>
      <c r="LV130" s="766"/>
      <c r="LW130" s="766"/>
      <c r="LX130" s="769"/>
      <c r="LY130" s="766" t="str">
        <f t="shared" si="23"/>
        <v/>
      </c>
      <c r="LZ130" s="66"/>
      <c r="MA130" s="766"/>
      <c r="MB130" s="766"/>
      <c r="MC130" s="1679">
        <f t="shared" si="24"/>
        <v>0</v>
      </c>
      <c r="MD130" s="66"/>
      <c r="ME130" s="66"/>
      <c r="MF130" s="66"/>
      <c r="MG130" s="1680">
        <f t="shared" si="15"/>
        <v>0</v>
      </c>
      <c r="MH130" s="1681"/>
      <c r="MI130" s="775"/>
      <c r="MJ130" s="775"/>
      <c r="MK130" s="775"/>
      <c r="ML130" s="775"/>
      <c r="MM130" s="775"/>
      <c r="MN130" s="775"/>
      <c r="MO130" s="775"/>
      <c r="MP130" s="775"/>
      <c r="MQ130" s="775"/>
      <c r="MR130" s="775"/>
      <c r="MS130" s="775"/>
      <c r="MT130" s="775"/>
      <c r="MU130" s="775"/>
      <c r="MV130" s="775"/>
      <c r="MW130" s="775"/>
      <c r="MX130" s="775"/>
      <c r="MY130" s="1682">
        <f t="shared" si="14"/>
        <v>0</v>
      </c>
      <c r="MZ130" s="766"/>
      <c r="NA130" s="766"/>
      <c r="NB130" s="766"/>
      <c r="NC130" s="766"/>
      <c r="ND130" s="766"/>
      <c r="NE130" s="766"/>
      <c r="NF130" s="766"/>
      <c r="NG130" s="766"/>
      <c r="NH130" s="766"/>
      <c r="NI130" s="766"/>
      <c r="NJ130" s="766"/>
      <c r="NK130" s="766"/>
      <c r="NL130" s="766"/>
      <c r="NM130" s="766"/>
      <c r="NN130" s="766"/>
      <c r="NO130" s="766"/>
      <c r="NP130" s="766"/>
      <c r="NQ130" s="766"/>
      <c r="NR130" s="766"/>
      <c r="NS130" s="766"/>
      <c r="NT130" s="766"/>
      <c r="NU130" s="766"/>
      <c r="NV130" s="766"/>
      <c r="NW130" s="766"/>
      <c r="NX130" s="766"/>
      <c r="NY130" s="766"/>
      <c r="NZ130" s="766"/>
      <c r="OA130" s="766"/>
      <c r="OB130" s="766"/>
      <c r="OC130" s="766"/>
      <c r="OD130" s="766"/>
      <c r="OE130" s="766"/>
      <c r="OF130" s="766"/>
      <c r="OG130" s="766"/>
      <c r="OH130" s="766"/>
      <c r="OI130" s="766"/>
      <c r="OJ130" s="766"/>
      <c r="OK130" s="76"/>
      <c r="OL130" s="766"/>
      <c r="OM130" s="766"/>
      <c r="ON130" s="766"/>
      <c r="OO130" s="766"/>
      <c r="OP130" s="766"/>
      <c r="OQ130" s="766"/>
      <c r="OR130" s="766"/>
      <c r="OS130" s="766"/>
      <c r="OT130" s="766"/>
      <c r="OU130" s="766"/>
      <c r="OV130" s="766"/>
      <c r="OW130" s="766"/>
      <c r="OX130" s="766"/>
      <c r="OY130" s="766"/>
      <c r="OZ130" s="766"/>
      <c r="PA130" s="766"/>
      <c r="PB130" s="766"/>
      <c r="PC130" s="766"/>
      <c r="PD130" s="766"/>
      <c r="PE130" s="766"/>
      <c r="PF130" s="766"/>
      <c r="PG130" s="766"/>
      <c r="PH130" s="766"/>
      <c r="PI130" s="766"/>
      <c r="PJ130" s="766"/>
      <c r="PK130" s="766"/>
      <c r="PL130" s="766"/>
      <c r="PM130" s="766"/>
      <c r="PN130" s="766"/>
      <c r="PO130" s="766"/>
      <c r="PP130" s="766"/>
      <c r="PQ130" s="766"/>
      <c r="PR130" s="766"/>
      <c r="PS130" s="766"/>
      <c r="PT130" s="766"/>
      <c r="PU130" s="766"/>
      <c r="PV130" s="766"/>
      <c r="PW130" s="766"/>
      <c r="PX130" s="766"/>
      <c r="PY130" s="766"/>
      <c r="PZ130" s="766"/>
      <c r="QA130" s="766"/>
      <c r="QB130" s="766"/>
      <c r="QC130" s="766"/>
      <c r="QD130" s="766"/>
      <c r="QE130" s="766"/>
      <c r="QF130" s="766"/>
      <c r="QG130" s="766"/>
      <c r="QH130" s="766"/>
      <c r="QI130" s="766"/>
      <c r="QJ130" s="766"/>
      <c r="QK130" s="766"/>
      <c r="QL130" s="766"/>
      <c r="QM130" s="766"/>
      <c r="QN130" s="766"/>
      <c r="QO130" s="766"/>
      <c r="QP130" s="766"/>
      <c r="QQ130" s="766"/>
      <c r="QR130" s="766"/>
      <c r="QS130" s="766"/>
      <c r="QT130" s="766"/>
      <c r="QU130" s="766"/>
      <c r="QV130" s="766"/>
      <c r="QW130" s="766"/>
      <c r="QX130" s="766"/>
      <c r="QY130" s="766"/>
      <c r="QZ130" s="766"/>
      <c r="RA130" s="766"/>
      <c r="RB130" s="770" t="s">
        <v>1207</v>
      </c>
      <c r="RC130" s="766">
        <v>2016</v>
      </c>
      <c r="RD130" s="766" t="s">
        <v>12989</v>
      </c>
      <c r="RE130" s="766"/>
      <c r="RF130" s="777">
        <v>1</v>
      </c>
      <c r="RG130" s="766" t="s">
        <v>13162</v>
      </c>
      <c r="RH130" s="775">
        <v>5000</v>
      </c>
      <c r="RI130" s="766">
        <v>26</v>
      </c>
      <c r="RJ130" s="766" t="s">
        <v>13201</v>
      </c>
      <c r="RK130" s="766" t="s">
        <v>13086</v>
      </c>
      <c r="RL130" s="1683"/>
      <c r="RM130" s="12"/>
      <c r="RN130" s="1711"/>
      <c r="RO130" s="165" t="s">
        <v>228</v>
      </c>
      <c r="RP130" s="11"/>
      <c r="RQ130" s="11"/>
      <c r="RR130" s="17"/>
      <c r="RS130" s="766"/>
      <c r="RT130" s="11"/>
      <c r="RU130" s="11"/>
      <c r="RV130" s="766" t="s">
        <v>7419</v>
      </c>
      <c r="RW130" s="11" t="s">
        <v>7952</v>
      </c>
      <c r="RX130" s="11" t="s">
        <v>220</v>
      </c>
      <c r="RY130" s="11"/>
      <c r="RZ130" s="11" t="s">
        <v>7419</v>
      </c>
      <c r="SA130" s="766"/>
      <c r="SB130" s="11"/>
      <c r="SC130" s="11"/>
    </row>
    <row r="131" spans="1:497" ht="12.75" customHeight="1">
      <c r="A131" s="19" t="s">
        <v>7421</v>
      </c>
      <c r="B131" s="1093" t="s">
        <v>7582</v>
      </c>
      <c r="C131" s="171" t="s">
        <v>229</v>
      </c>
      <c r="D131" s="766" t="s">
        <v>230</v>
      </c>
      <c r="E131" s="766" t="s">
        <v>5440</v>
      </c>
      <c r="F131" s="766"/>
      <c r="G131" s="766" t="s">
        <v>10</v>
      </c>
      <c r="H131" s="766"/>
      <c r="I131" s="5"/>
      <c r="J131" s="766"/>
      <c r="K131" s="766" t="s">
        <v>231</v>
      </c>
      <c r="L131" s="766" t="s">
        <v>232</v>
      </c>
      <c r="M131" s="766"/>
      <c r="N131" s="766"/>
      <c r="O131" s="766"/>
      <c r="P131" s="766"/>
      <c r="Q131" s="1085"/>
      <c r="R131" s="25"/>
      <c r="S131" s="766"/>
      <c r="T131" s="766"/>
      <c r="U131" s="26"/>
      <c r="V131" s="766"/>
      <c r="W131" s="766"/>
      <c r="X131" s="766"/>
      <c r="Y131" s="766"/>
      <c r="Z131" s="766"/>
      <c r="AA131" s="766"/>
      <c r="AB131" s="766"/>
      <c r="AC131" s="766"/>
      <c r="AD131" s="766"/>
      <c r="AE131" s="766"/>
      <c r="AF131" s="766"/>
      <c r="AG131" s="766" t="s">
        <v>1132</v>
      </c>
      <c r="AH131" s="766" t="s">
        <v>1120</v>
      </c>
      <c r="AI131" s="766"/>
      <c r="AJ131" s="766" t="s">
        <v>1137</v>
      </c>
      <c r="AK131" s="766" t="s">
        <v>1101</v>
      </c>
      <c r="AL131" s="121"/>
      <c r="AM131" s="772"/>
      <c r="AN131" s="774"/>
      <c r="AO131" s="766"/>
      <c r="AP131" s="766"/>
      <c r="AQ131" s="766"/>
      <c r="AR131" s="766"/>
      <c r="AS131" s="766" t="s">
        <v>1207</v>
      </c>
      <c r="AT131" s="766" t="s">
        <v>1208</v>
      </c>
      <c r="AU131" s="766"/>
      <c r="AV131" s="766"/>
      <c r="AW131" s="766"/>
      <c r="AX131" s="766"/>
      <c r="AY131" s="766"/>
      <c r="AZ131" s="766"/>
      <c r="BA131" s="766"/>
      <c r="BB131" s="766"/>
      <c r="BC131" s="766" t="s">
        <v>796</v>
      </c>
      <c r="BD131" s="766"/>
      <c r="BE131" s="766"/>
      <c r="BF131" s="775"/>
      <c r="BG131" s="775"/>
      <c r="BH131" s="766"/>
      <c r="BI131" s="766"/>
      <c r="BJ131" s="766"/>
      <c r="BK131" s="766"/>
      <c r="BL131" s="766"/>
      <c r="BM131" s="38"/>
      <c r="BN131" s="766"/>
      <c r="BO131" s="766"/>
      <c r="BP131" s="1109"/>
      <c r="BQ131" s="772"/>
      <c r="BR131" s="774"/>
      <c r="BS131" s="766"/>
      <c r="BT131" s="766"/>
      <c r="BU131" s="766"/>
      <c r="BV131" s="766"/>
      <c r="BW131" s="766"/>
      <c r="BX131" s="779"/>
      <c r="BY131" s="766"/>
      <c r="BZ131" s="775"/>
      <c r="CA131" s="766"/>
      <c r="CB131" s="766" t="s">
        <v>1207</v>
      </c>
      <c r="CC131" s="770"/>
      <c r="CD131" s="766"/>
      <c r="CE131" s="766"/>
      <c r="CF131" s="777"/>
      <c r="CG131" s="778"/>
      <c r="CH131" s="766"/>
      <c r="CI131" s="766"/>
      <c r="CJ131" s="766"/>
      <c r="CK131" s="766"/>
      <c r="CL131" s="766"/>
      <c r="CM131" s="766"/>
      <c r="CN131" s="766"/>
      <c r="CO131" s="766"/>
      <c r="CP131" s="766"/>
      <c r="CQ131" s="766"/>
      <c r="CR131" s="775"/>
      <c r="CS131" s="766"/>
      <c r="CT131" s="766"/>
      <c r="CU131" s="129"/>
      <c r="CV131" s="766"/>
      <c r="CW131" s="766"/>
      <c r="CX131" s="766"/>
      <c r="CY131" s="766"/>
      <c r="CZ131" s="766"/>
      <c r="DA131" s="766"/>
      <c r="DB131" s="766"/>
      <c r="DC131" s="766"/>
      <c r="DD131" s="766"/>
      <c r="DE131" s="766"/>
      <c r="DF131" s="766"/>
      <c r="DG131" s="766"/>
      <c r="DH131" s="766"/>
      <c r="DI131" s="766"/>
      <c r="DJ131" s="766"/>
      <c r="DK131" s="766"/>
      <c r="DL131" s="766"/>
      <c r="DM131" s="766"/>
      <c r="DN131" s="766"/>
      <c r="DO131" s="766"/>
      <c r="DP131" s="766"/>
      <c r="DQ131" s="766"/>
      <c r="DR131" s="766"/>
      <c r="DS131" s="59"/>
      <c r="DT131" s="766"/>
      <c r="DU131" s="766"/>
      <c r="DV131" s="766"/>
      <c r="DW131" s="66"/>
      <c r="DX131" s="66"/>
      <c r="DY131" s="766"/>
      <c r="DZ131" s="766" t="s">
        <v>1312</v>
      </c>
      <c r="EA131" s="766" t="s">
        <v>1257</v>
      </c>
      <c r="EB131" s="766">
        <v>2011</v>
      </c>
      <c r="EC131" s="766"/>
      <c r="ED131" s="766" t="s">
        <v>1485</v>
      </c>
      <c r="EE131" s="766" t="s">
        <v>1486</v>
      </c>
      <c r="EF131" s="766"/>
      <c r="EG131" s="766"/>
      <c r="EH131" s="766"/>
      <c r="EI131" s="766"/>
      <c r="EJ131" s="766"/>
      <c r="EK131" s="766"/>
      <c r="EL131" s="766"/>
      <c r="EM131" s="766"/>
      <c r="EN131" s="766"/>
      <c r="EO131" s="766"/>
      <c r="EP131" s="766"/>
      <c r="EQ131" s="766"/>
      <c r="ER131" s="766"/>
      <c r="ES131" s="766"/>
      <c r="ET131" s="766"/>
      <c r="EU131" s="766"/>
      <c r="EV131" s="766"/>
      <c r="EW131" s="766"/>
      <c r="EX131" s="766"/>
      <c r="EY131" s="766"/>
      <c r="EZ131" s="12"/>
      <c r="FA131" s="12"/>
      <c r="FB131" s="12"/>
      <c r="FC131" s="12"/>
      <c r="FD131" s="131"/>
      <c r="FE131" s="12"/>
      <c r="FF131" s="766"/>
      <c r="FG131" s="766"/>
      <c r="FH131" s="766" t="s">
        <v>1263</v>
      </c>
      <c r="FI131" s="766"/>
      <c r="FJ131" s="766"/>
      <c r="FK131" s="766"/>
      <c r="FL131" s="766" t="s">
        <v>110</v>
      </c>
      <c r="FM131" s="775"/>
      <c r="FN131" s="775"/>
      <c r="FO131" s="775"/>
      <c r="FP131" s="766"/>
      <c r="FQ131" s="766"/>
      <c r="FR131" s="766" t="s">
        <v>1207</v>
      </c>
      <c r="FS131" s="766"/>
      <c r="FT131" s="766"/>
      <c r="FU131" s="766"/>
      <c r="FV131" s="766"/>
      <c r="FW131" s="766"/>
      <c r="FX131" s="766"/>
      <c r="FY131" s="766"/>
      <c r="FZ131" s="766"/>
      <c r="GA131" s="766"/>
      <c r="GB131" s="766" t="s">
        <v>796</v>
      </c>
      <c r="GC131" s="75" t="s">
        <v>1723</v>
      </c>
      <c r="GD131" s="25">
        <v>1980</v>
      </c>
      <c r="GE131" s="766" t="s">
        <v>1698</v>
      </c>
      <c r="GF131" s="775"/>
      <c r="GG131" s="775"/>
      <c r="GH131" s="766"/>
      <c r="GI131" s="766"/>
      <c r="GJ131" s="766"/>
      <c r="GK131" s="766"/>
      <c r="GL131" s="766"/>
      <c r="GM131" s="766"/>
      <c r="GN131" s="82"/>
      <c r="GO131" s="766"/>
      <c r="GP131" s="766"/>
      <c r="GQ131" s="766"/>
      <c r="GR131" s="766"/>
      <c r="GS131" s="766"/>
      <c r="GT131" s="766"/>
      <c r="GU131" s="766"/>
      <c r="GV131" s="766"/>
      <c r="GW131" s="766"/>
      <c r="GX131" s="766"/>
      <c r="GY131" s="766"/>
      <c r="GZ131" s="766"/>
      <c r="HA131" s="766"/>
      <c r="HB131" s="766"/>
      <c r="HC131" s="766"/>
      <c r="HD131" s="766"/>
      <c r="HE131" s="766"/>
      <c r="HF131" s="766"/>
      <c r="HG131" s="766"/>
      <c r="HH131" s="766"/>
      <c r="HI131" s="766"/>
      <c r="HJ131" s="766"/>
      <c r="HK131" s="766"/>
      <c r="HL131" s="766"/>
      <c r="HM131" s="766"/>
      <c r="HN131" s="766"/>
      <c r="HO131" s="766"/>
      <c r="HP131" s="766"/>
      <c r="HQ131" s="766"/>
      <c r="HR131" s="766"/>
      <c r="HS131" s="766"/>
      <c r="HT131" s="766"/>
      <c r="HU131" s="766"/>
      <c r="HV131" s="766"/>
      <c r="HW131" s="766"/>
      <c r="HX131" s="766"/>
      <c r="HY131" s="766"/>
      <c r="HZ131" s="766"/>
      <c r="IA131" s="766"/>
      <c r="IB131" s="766"/>
      <c r="IC131" s="766"/>
      <c r="ID131" s="766"/>
      <c r="IE131" s="766"/>
      <c r="IF131" s="766" t="s">
        <v>1952</v>
      </c>
      <c r="IG131" s="766" t="s">
        <v>10</v>
      </c>
      <c r="IH131" s="766" t="s">
        <v>1263</v>
      </c>
      <c r="II131" s="766" t="s">
        <v>1953</v>
      </c>
      <c r="IJ131" s="766" t="s">
        <v>1954</v>
      </c>
      <c r="IK131" s="766" t="s">
        <v>1948</v>
      </c>
      <c r="IL131" s="766" t="s">
        <v>1954</v>
      </c>
      <c r="IM131" s="766">
        <v>1980</v>
      </c>
      <c r="IN131" s="766"/>
      <c r="IO131" s="24"/>
      <c r="IP131" s="766" t="s">
        <v>1263</v>
      </c>
      <c r="IQ131" s="766"/>
      <c r="IR131" s="766" t="s">
        <v>1955</v>
      </c>
      <c r="IS131" s="766" t="s">
        <v>1883</v>
      </c>
      <c r="IT131" s="766" t="s">
        <v>1208</v>
      </c>
      <c r="IU131" s="766"/>
      <c r="IV131" s="766" t="s">
        <v>1956</v>
      </c>
      <c r="IW131" s="766" t="s">
        <v>1954</v>
      </c>
      <c r="IX131" s="766"/>
      <c r="IY131" s="766"/>
      <c r="IZ131" s="766"/>
      <c r="JA131" s="766"/>
      <c r="JB131" s="766"/>
      <c r="JC131" s="766"/>
      <c r="JD131" s="775"/>
      <c r="JE131" s="766"/>
      <c r="JF131" s="766"/>
      <c r="JG131" s="766"/>
      <c r="JH131" s="766"/>
      <c r="JI131" s="766"/>
      <c r="JJ131" s="766"/>
      <c r="JK131" s="766"/>
      <c r="JL131" s="766"/>
      <c r="JM131" s="766"/>
      <c r="JN131" s="766"/>
      <c r="JO131" s="766"/>
      <c r="JP131" s="766"/>
      <c r="JQ131" s="766"/>
      <c r="JR131" s="766"/>
      <c r="JS131" s="766"/>
      <c r="JT131" s="766"/>
      <c r="JU131" s="766"/>
      <c r="JV131" s="766"/>
      <c r="JW131" s="766"/>
      <c r="JX131" s="766"/>
      <c r="JY131" s="766"/>
      <c r="JZ131" s="766"/>
      <c r="KA131" s="766"/>
      <c r="KB131" s="766"/>
      <c r="KC131" s="766"/>
      <c r="KD131" s="766"/>
      <c r="KE131" s="766"/>
      <c r="KF131" s="766"/>
      <c r="KG131" s="766"/>
      <c r="KH131" s="766"/>
      <c r="KI131" s="766"/>
      <c r="KJ131" s="770"/>
      <c r="KK131" s="770"/>
      <c r="KL131" s="770"/>
      <c r="KM131" s="770"/>
      <c r="KN131" s="766"/>
      <c r="KO131" s="766"/>
      <c r="KP131" s="766"/>
      <c r="KQ131" s="766"/>
      <c r="KR131" s="766"/>
      <c r="KS131" s="766"/>
      <c r="KT131" s="766"/>
      <c r="KU131" s="766"/>
      <c r="KV131" s="766"/>
      <c r="KW131" s="766"/>
      <c r="KX131" s="766"/>
      <c r="KY131" s="766"/>
      <c r="KZ131" s="766"/>
      <c r="LA131" s="766"/>
      <c r="LB131" s="766"/>
      <c r="LC131" s="766"/>
      <c r="LD131" s="766"/>
      <c r="LE131" s="766"/>
      <c r="LF131" s="766"/>
      <c r="LG131" s="766"/>
      <c r="LH131" s="766"/>
      <c r="LI131" s="766"/>
      <c r="LJ131" s="766"/>
      <c r="LK131" s="766"/>
      <c r="LL131" s="766"/>
      <c r="LM131" s="766"/>
      <c r="LN131" s="766"/>
      <c r="LO131" s="766"/>
      <c r="LP131" s="766"/>
      <c r="LQ131" s="766"/>
      <c r="LR131" s="766"/>
      <c r="LS131" s="766"/>
      <c r="LT131" s="766"/>
      <c r="LU131" s="766"/>
      <c r="LV131" s="766"/>
      <c r="LW131" s="766"/>
      <c r="LX131" s="769"/>
      <c r="LY131" s="766" t="str">
        <f t="shared" si="23"/>
        <v/>
      </c>
      <c r="LZ131" s="66"/>
      <c r="MA131" s="766"/>
      <c r="MB131" s="766"/>
      <c r="MC131" s="1679">
        <f t="shared" si="24"/>
        <v>0</v>
      </c>
      <c r="MD131" s="66"/>
      <c r="ME131" s="66"/>
      <c r="MF131" s="66"/>
      <c r="MG131" s="1680">
        <f t="shared" si="15"/>
        <v>0</v>
      </c>
      <c r="MH131" s="766"/>
      <c r="MI131" s="775"/>
      <c r="MJ131" s="775"/>
      <c r="MK131" s="775"/>
      <c r="ML131" s="775"/>
      <c r="MM131" s="775"/>
      <c r="MN131" s="775"/>
      <c r="MO131" s="775"/>
      <c r="MP131" s="775"/>
      <c r="MQ131" s="775"/>
      <c r="MR131" s="775"/>
      <c r="MS131" s="775"/>
      <c r="MT131" s="775"/>
      <c r="MU131" s="775"/>
      <c r="MV131" s="775"/>
      <c r="MW131" s="775"/>
      <c r="MX131" s="775"/>
      <c r="MY131" s="1682">
        <f t="shared" si="14"/>
        <v>0</v>
      </c>
      <c r="MZ131" s="766"/>
      <c r="NA131" s="766"/>
      <c r="NB131" s="766"/>
      <c r="NC131" s="766"/>
      <c r="ND131" s="766"/>
      <c r="NE131" s="766"/>
      <c r="NF131" s="766"/>
      <c r="NG131" s="766"/>
      <c r="NH131" s="766"/>
      <c r="NI131" s="766"/>
      <c r="NJ131" s="766"/>
      <c r="NK131" s="766"/>
      <c r="NL131" s="766"/>
      <c r="NM131" s="766"/>
      <c r="NN131" s="766"/>
      <c r="NO131" s="766"/>
      <c r="NP131" s="766"/>
      <c r="NQ131" s="766"/>
      <c r="NR131" s="766"/>
      <c r="NS131" s="766"/>
      <c r="NT131" s="766"/>
      <c r="NU131" s="766"/>
      <c r="NV131" s="766"/>
      <c r="NW131" s="766"/>
      <c r="NX131" s="766"/>
      <c r="NY131" s="766"/>
      <c r="NZ131" s="766"/>
      <c r="OA131" s="766"/>
      <c r="OB131" s="766"/>
      <c r="OC131" s="766"/>
      <c r="OD131" s="766"/>
      <c r="OE131" s="766"/>
      <c r="OF131" s="766"/>
      <c r="OG131" s="766"/>
      <c r="OH131" s="766"/>
      <c r="OI131" s="766"/>
      <c r="OJ131" s="766"/>
      <c r="OK131" s="766"/>
      <c r="OL131" s="766"/>
      <c r="OM131" s="766"/>
      <c r="ON131" s="766"/>
      <c r="OO131" s="766"/>
      <c r="OP131" s="766"/>
      <c r="OQ131" s="766"/>
      <c r="OR131" s="766"/>
      <c r="OS131" s="766"/>
      <c r="OT131" s="766"/>
      <c r="OU131" s="766"/>
      <c r="OV131" s="766"/>
      <c r="OW131" s="766"/>
      <c r="OX131" s="766"/>
      <c r="OY131" s="766"/>
      <c r="OZ131" s="766"/>
      <c r="PA131" s="766"/>
      <c r="PB131" s="766"/>
      <c r="PC131" s="766"/>
      <c r="PD131" s="766"/>
      <c r="PE131" s="766"/>
      <c r="PF131" s="766"/>
      <c r="PG131" s="766"/>
      <c r="PH131" s="766"/>
      <c r="PI131" s="766"/>
      <c r="PJ131" s="766"/>
      <c r="PK131" s="766"/>
      <c r="PL131" s="766"/>
      <c r="PM131" s="766"/>
      <c r="PN131" s="766"/>
      <c r="PO131" s="766"/>
      <c r="PP131" s="766"/>
      <c r="PQ131" s="766"/>
      <c r="PR131" s="766"/>
      <c r="PS131" s="766"/>
      <c r="PT131" s="766"/>
      <c r="PU131" s="766"/>
      <c r="PV131" s="766"/>
      <c r="PW131" s="766"/>
      <c r="PX131" s="766"/>
      <c r="PY131" s="766"/>
      <c r="PZ131" s="766"/>
      <c r="QA131" s="766"/>
      <c r="QB131" s="766"/>
      <c r="QC131" s="766"/>
      <c r="QD131" s="766"/>
      <c r="QE131" s="766"/>
      <c r="QF131" s="766"/>
      <c r="QG131" s="766"/>
      <c r="QH131" s="766"/>
      <c r="QI131" s="766"/>
      <c r="QJ131" s="766"/>
      <c r="QK131" s="766"/>
      <c r="QL131" s="766"/>
      <c r="QM131" s="766"/>
      <c r="QN131" s="766"/>
      <c r="QO131" s="766"/>
      <c r="QP131" s="766"/>
      <c r="QQ131" s="766"/>
      <c r="QR131" s="766"/>
      <c r="QS131" s="766"/>
      <c r="QT131" s="766"/>
      <c r="QU131" s="766"/>
      <c r="QV131" s="766"/>
      <c r="QW131" s="766"/>
      <c r="QX131" s="766"/>
      <c r="QY131" s="766"/>
      <c r="QZ131" s="766"/>
      <c r="RA131" s="766"/>
      <c r="RB131" s="770" t="s">
        <v>1207</v>
      </c>
      <c r="RC131" s="766">
        <v>2016</v>
      </c>
      <c r="RD131" s="766" t="s">
        <v>12989</v>
      </c>
      <c r="RE131" s="766" t="s">
        <v>13202</v>
      </c>
      <c r="RF131" s="777">
        <v>4</v>
      </c>
      <c r="RG131" s="766" t="s">
        <v>13203</v>
      </c>
      <c r="RH131" s="775">
        <v>0</v>
      </c>
      <c r="RI131" s="766">
        <v>24</v>
      </c>
      <c r="RJ131" s="766" t="s">
        <v>13204</v>
      </c>
      <c r="RK131" s="766" t="s">
        <v>13139</v>
      </c>
      <c r="RL131" s="1683"/>
      <c r="RM131" s="12"/>
      <c r="RN131" s="1711"/>
      <c r="RO131" s="171" t="s">
        <v>229</v>
      </c>
      <c r="RP131" s="11"/>
      <c r="RQ131" s="11"/>
      <c r="RR131" s="17"/>
      <c r="RS131" s="766"/>
      <c r="RT131" s="11"/>
      <c r="RU131" s="11"/>
      <c r="RV131" s="766" t="s">
        <v>12417</v>
      </c>
      <c r="RW131" s="11" t="s">
        <v>7580</v>
      </c>
      <c r="RX131" s="11" t="s">
        <v>227</v>
      </c>
      <c r="RY131" s="11"/>
      <c r="RZ131" s="11" t="s">
        <v>7421</v>
      </c>
      <c r="SA131" s="766"/>
      <c r="SB131" s="11"/>
      <c r="SC131" s="11"/>
    </row>
    <row r="132" spans="1:497" ht="12.75" hidden="1" customHeight="1">
      <c r="A132" s="19" t="s">
        <v>7419</v>
      </c>
      <c r="B132" s="1096" t="s">
        <v>7957</v>
      </c>
      <c r="C132" s="171" t="s">
        <v>241</v>
      </c>
      <c r="D132" s="766" t="s">
        <v>235</v>
      </c>
      <c r="E132" s="766" t="s">
        <v>234</v>
      </c>
      <c r="F132" s="766" t="s">
        <v>236</v>
      </c>
      <c r="G132" s="766" t="s">
        <v>18</v>
      </c>
      <c r="H132" s="766"/>
      <c r="I132" s="5" t="s">
        <v>237</v>
      </c>
      <c r="J132" s="766"/>
      <c r="K132" s="766" t="s">
        <v>238</v>
      </c>
      <c r="L132" s="766" t="s">
        <v>239</v>
      </c>
      <c r="M132" s="766"/>
      <c r="N132" s="766"/>
      <c r="O132" s="766" t="s">
        <v>240</v>
      </c>
      <c r="P132" s="766"/>
      <c r="Q132" s="1085"/>
      <c r="R132" s="25"/>
      <c r="S132" s="766"/>
      <c r="T132" s="766"/>
      <c r="U132" s="26"/>
      <c r="V132" s="766"/>
      <c r="W132" s="766"/>
      <c r="X132" s="766"/>
      <c r="Y132" s="766"/>
      <c r="Z132" s="766"/>
      <c r="AA132" s="766"/>
      <c r="AB132" s="766"/>
      <c r="AC132" s="766"/>
      <c r="AD132" s="766"/>
      <c r="AE132" s="766"/>
      <c r="AF132" s="766"/>
      <c r="AG132" s="766" t="s">
        <v>1095</v>
      </c>
      <c r="AH132" s="766" t="s">
        <v>1096</v>
      </c>
      <c r="AI132" s="766" t="s">
        <v>1313</v>
      </c>
      <c r="AJ132" s="766"/>
      <c r="AK132" s="766" t="s">
        <v>1097</v>
      </c>
      <c r="AL132" s="121"/>
      <c r="AM132" s="772">
        <v>280</v>
      </c>
      <c r="AN132" s="774"/>
      <c r="AO132" s="766"/>
      <c r="AP132" s="766"/>
      <c r="AQ132" s="766"/>
      <c r="AR132" s="766"/>
      <c r="AS132" s="766"/>
      <c r="AT132" s="766"/>
      <c r="AU132" s="766"/>
      <c r="AV132" s="766"/>
      <c r="AW132" s="766"/>
      <c r="AX132" s="766"/>
      <c r="AY132" s="766"/>
      <c r="AZ132" s="766"/>
      <c r="BA132" s="766"/>
      <c r="BB132" s="766"/>
      <c r="BC132" s="766"/>
      <c r="BD132" s="766"/>
      <c r="BE132" s="766"/>
      <c r="BF132" s="775"/>
      <c r="BG132" s="775"/>
      <c r="BH132" s="766"/>
      <c r="BI132" s="766"/>
      <c r="BJ132" s="766"/>
      <c r="BK132" s="766"/>
      <c r="BL132" s="766"/>
      <c r="BM132" s="38"/>
      <c r="BN132" s="766"/>
      <c r="BO132" s="766"/>
      <c r="BP132" s="776"/>
      <c r="BQ132" s="772"/>
      <c r="BR132" s="774"/>
      <c r="BS132" s="766"/>
      <c r="BT132" s="766"/>
      <c r="BU132" s="766"/>
      <c r="BV132" s="766"/>
      <c r="BW132" s="766"/>
      <c r="BX132" s="779"/>
      <c r="BY132" s="766"/>
      <c r="BZ132" s="775"/>
      <c r="CA132" s="766"/>
      <c r="CB132" s="766" t="s">
        <v>1207</v>
      </c>
      <c r="CC132" s="766" t="s">
        <v>1313</v>
      </c>
      <c r="CD132" s="766"/>
      <c r="CE132" s="766"/>
      <c r="CF132" s="777">
        <v>3.86</v>
      </c>
      <c r="CG132" s="778">
        <v>35</v>
      </c>
      <c r="CH132" s="766" t="s">
        <v>1487</v>
      </c>
      <c r="CI132" s="766"/>
      <c r="CJ132" s="766"/>
      <c r="CK132" s="766">
        <v>11</v>
      </c>
      <c r="CL132" s="766"/>
      <c r="CM132" s="766" t="s">
        <v>1488</v>
      </c>
      <c r="CN132" s="766"/>
      <c r="CO132" s="769"/>
      <c r="CP132" s="766"/>
      <c r="CQ132" s="766"/>
      <c r="CR132" s="775"/>
      <c r="CS132" s="766"/>
      <c r="CT132" s="766"/>
      <c r="CU132" s="129"/>
      <c r="CV132" s="766"/>
      <c r="CW132" s="766"/>
      <c r="CX132" s="766"/>
      <c r="CY132" s="766"/>
      <c r="CZ132" s="766"/>
      <c r="DA132" s="766"/>
      <c r="DB132" s="766"/>
      <c r="DC132" s="766"/>
      <c r="DD132" s="766"/>
      <c r="DE132" s="766"/>
      <c r="DF132" s="766"/>
      <c r="DG132" s="766"/>
      <c r="DH132" s="766"/>
      <c r="DI132" s="766"/>
      <c r="DJ132" s="766"/>
      <c r="DK132" s="766"/>
      <c r="DL132" s="766"/>
      <c r="DM132" s="766"/>
      <c r="DN132" s="766"/>
      <c r="DO132" s="766"/>
      <c r="DP132" s="766"/>
      <c r="DQ132" s="766"/>
      <c r="DR132" s="766"/>
      <c r="DS132" s="59"/>
      <c r="DT132" s="766"/>
      <c r="DU132" s="766"/>
      <c r="DV132" s="766"/>
      <c r="DW132" s="66"/>
      <c r="DX132" s="66"/>
      <c r="DY132" s="766"/>
      <c r="DZ132" s="766"/>
      <c r="EA132" s="766"/>
      <c r="EB132" s="766"/>
      <c r="EC132" s="766"/>
      <c r="ED132" s="766"/>
      <c r="EE132" s="766"/>
      <c r="EF132" s="766"/>
      <c r="EG132" s="766"/>
      <c r="EH132" s="766"/>
      <c r="EI132" s="766"/>
      <c r="EJ132" s="766"/>
      <c r="EK132" s="766"/>
      <c r="EL132" s="766"/>
      <c r="EM132" s="766"/>
      <c r="EN132" s="766"/>
      <c r="EO132" s="766"/>
      <c r="EP132" s="766"/>
      <c r="EQ132" s="766"/>
      <c r="ER132" s="766"/>
      <c r="ES132" s="766"/>
      <c r="ET132" s="766"/>
      <c r="EU132" s="766"/>
      <c r="EV132" s="766"/>
      <c r="EW132" s="766"/>
      <c r="EX132" s="766"/>
      <c r="EY132" s="766"/>
      <c r="EZ132" s="766"/>
      <c r="FA132" s="766"/>
      <c r="FB132" s="766"/>
      <c r="FC132" s="766"/>
      <c r="FD132" s="775"/>
      <c r="FE132" s="766"/>
      <c r="FF132" s="766"/>
      <c r="FG132" s="766"/>
      <c r="FH132" s="766"/>
      <c r="FI132" s="766"/>
      <c r="FJ132" s="766"/>
      <c r="FK132" s="766"/>
      <c r="FL132" s="766"/>
      <c r="FM132" s="775"/>
      <c r="FN132" s="775"/>
      <c r="FO132" s="775"/>
      <c r="FP132" s="766"/>
      <c r="FQ132" s="766"/>
      <c r="FR132" s="766"/>
      <c r="FS132" s="766"/>
      <c r="FT132" s="766"/>
      <c r="FU132" s="766"/>
      <c r="FV132" s="766"/>
      <c r="FW132" s="766"/>
      <c r="FX132" s="766"/>
      <c r="FY132" s="766"/>
      <c r="FZ132" s="766"/>
      <c r="GA132" s="766"/>
      <c r="GB132" s="766"/>
      <c r="GC132" s="75"/>
      <c r="GD132" s="25"/>
      <c r="GE132" s="766"/>
      <c r="GF132" s="775"/>
      <c r="GG132" s="775"/>
      <c r="GH132" s="766"/>
      <c r="GI132" s="766"/>
      <c r="GJ132" s="766"/>
      <c r="GK132" s="766"/>
      <c r="GL132" s="766"/>
      <c r="GM132" s="766"/>
      <c r="GN132" s="82"/>
      <c r="GO132" s="766"/>
      <c r="GP132" s="766"/>
      <c r="GQ132" s="766"/>
      <c r="GR132" s="766"/>
      <c r="GS132" s="766"/>
      <c r="GT132" s="766"/>
      <c r="GU132" s="766"/>
      <c r="GV132" s="766"/>
      <c r="GW132" s="766"/>
      <c r="GX132" s="766"/>
      <c r="GY132" s="766"/>
      <c r="GZ132" s="766"/>
      <c r="HA132" s="766"/>
      <c r="HB132" s="766"/>
      <c r="HC132" s="766"/>
      <c r="HD132" s="766"/>
      <c r="HE132" s="766"/>
      <c r="HF132" s="766"/>
      <c r="HG132" s="766"/>
      <c r="HH132" s="766"/>
      <c r="HI132" s="766"/>
      <c r="HJ132" s="766"/>
      <c r="HK132" s="766"/>
      <c r="HL132" s="766"/>
      <c r="HM132" s="766"/>
      <c r="HN132" s="766"/>
      <c r="HO132" s="766"/>
      <c r="HP132" s="766"/>
      <c r="HQ132" s="766"/>
      <c r="HR132" s="766" t="s">
        <v>1208</v>
      </c>
      <c r="HS132" s="766"/>
      <c r="HT132" s="766" t="s">
        <v>1208</v>
      </c>
      <c r="HU132" s="766"/>
      <c r="HV132" s="766"/>
      <c r="HW132" s="766"/>
      <c r="HX132" s="766"/>
      <c r="HY132" s="766"/>
      <c r="HZ132" s="766"/>
      <c r="IA132" s="766"/>
      <c r="IB132" s="766"/>
      <c r="IC132" s="766"/>
      <c r="ID132" s="766"/>
      <c r="IE132" s="766"/>
      <c r="IF132" s="766"/>
      <c r="IG132" s="766"/>
      <c r="IH132" s="766"/>
      <c r="II132" s="766"/>
      <c r="IJ132" s="766"/>
      <c r="IK132" s="766"/>
      <c r="IL132" s="766"/>
      <c r="IM132" s="766"/>
      <c r="IN132" s="766"/>
      <c r="IO132" s="24"/>
      <c r="IP132" s="766"/>
      <c r="IQ132" s="766"/>
      <c r="IR132" s="766"/>
      <c r="IS132" s="766"/>
      <c r="IT132" s="766"/>
      <c r="IU132" s="766"/>
      <c r="IV132" s="766"/>
      <c r="IW132" s="766"/>
      <c r="IX132" s="766"/>
      <c r="IY132" s="766"/>
      <c r="IZ132" s="766"/>
      <c r="JA132" s="766"/>
      <c r="JB132" s="766"/>
      <c r="JC132" s="766"/>
      <c r="JD132" s="775"/>
      <c r="JE132" s="766"/>
      <c r="JF132" s="766"/>
      <c r="JG132" s="766"/>
      <c r="JH132" s="766"/>
      <c r="JI132" s="766"/>
      <c r="JJ132" s="766"/>
      <c r="JK132" s="766"/>
      <c r="JL132" s="766"/>
      <c r="JM132" s="766"/>
      <c r="JN132" s="766"/>
      <c r="JO132" s="766"/>
      <c r="JP132" s="766"/>
      <c r="JQ132" s="766"/>
      <c r="JR132" s="766"/>
      <c r="JS132" s="766"/>
      <c r="JT132" s="766"/>
      <c r="JU132" s="766"/>
      <c r="JV132" s="766"/>
      <c r="JW132" s="766"/>
      <c r="JX132" s="766"/>
      <c r="JY132" s="766"/>
      <c r="JZ132" s="766"/>
      <c r="KA132" s="766"/>
      <c r="KB132" s="766"/>
      <c r="KC132" s="766"/>
      <c r="KD132" s="766"/>
      <c r="KE132" s="766"/>
      <c r="KF132" s="766"/>
      <c r="KG132" s="766"/>
      <c r="KH132" s="766"/>
      <c r="KI132" s="766"/>
      <c r="KJ132" s="770"/>
      <c r="KK132" s="770"/>
      <c r="KL132" s="770"/>
      <c r="KM132" s="770"/>
      <c r="KN132" s="766"/>
      <c r="KO132" s="766"/>
      <c r="KP132" s="766"/>
      <c r="KQ132" s="766"/>
      <c r="KR132" s="766"/>
      <c r="KS132" s="766"/>
      <c r="KT132" s="766"/>
      <c r="KU132" s="766"/>
      <c r="KV132" s="766"/>
      <c r="KW132" s="766"/>
      <c r="KX132" s="766"/>
      <c r="KY132" s="766"/>
      <c r="KZ132" s="766"/>
      <c r="LA132" s="766"/>
      <c r="LB132" s="766"/>
      <c r="LC132" s="766"/>
      <c r="LD132" s="766"/>
      <c r="LE132" s="766"/>
      <c r="LF132" s="766"/>
      <c r="LG132" s="766"/>
      <c r="LH132" s="766"/>
      <c r="LI132" s="766"/>
      <c r="LJ132" s="766"/>
      <c r="LK132" s="766"/>
      <c r="LL132" s="766"/>
      <c r="LM132" s="766"/>
      <c r="LN132" s="766"/>
      <c r="LO132" s="766"/>
      <c r="LP132" s="766"/>
      <c r="LQ132" s="766"/>
      <c r="LR132" s="766"/>
      <c r="LS132" s="766"/>
      <c r="LT132" s="766"/>
      <c r="LU132" s="766"/>
      <c r="LV132" s="766"/>
      <c r="LW132" s="766"/>
      <c r="LX132" s="769"/>
      <c r="LY132" s="766" t="str">
        <f t="shared" si="23"/>
        <v/>
      </c>
      <c r="LZ132" s="66"/>
      <c r="MA132" s="766"/>
      <c r="MB132" s="766"/>
      <c r="MC132" s="1679">
        <f t="shared" si="24"/>
        <v>0</v>
      </c>
      <c r="MD132" s="66"/>
      <c r="ME132" s="66"/>
      <c r="MF132" s="66"/>
      <c r="MG132" s="1680">
        <f t="shared" si="15"/>
        <v>0</v>
      </c>
      <c r="MH132" s="766"/>
      <c r="MI132" s="775"/>
      <c r="MJ132" s="775"/>
      <c r="MK132" s="775"/>
      <c r="ML132" s="775"/>
      <c r="MM132" s="775"/>
      <c r="MN132" s="775"/>
      <c r="MO132" s="775"/>
      <c r="MP132" s="775"/>
      <c r="MQ132" s="775"/>
      <c r="MR132" s="775"/>
      <c r="MS132" s="775"/>
      <c r="MT132" s="775"/>
      <c r="MU132" s="775"/>
      <c r="MV132" s="775"/>
      <c r="MW132" s="775"/>
      <c r="MX132" s="775"/>
      <c r="MY132" s="1682">
        <f t="shared" si="14"/>
        <v>0</v>
      </c>
      <c r="MZ132" s="766"/>
      <c r="NA132" s="766"/>
      <c r="NB132" s="766"/>
      <c r="NC132" s="766"/>
      <c r="ND132" s="766"/>
      <c r="NE132" s="766"/>
      <c r="NF132" s="766"/>
      <c r="NG132" s="766"/>
      <c r="NH132" s="766"/>
      <c r="NI132" s="766"/>
      <c r="NJ132" s="766"/>
      <c r="NK132" s="766"/>
      <c r="NL132" s="766"/>
      <c r="NM132" s="766"/>
      <c r="NN132" s="766"/>
      <c r="NO132" s="766"/>
      <c r="NP132" s="766"/>
      <c r="NQ132" s="766"/>
      <c r="NR132" s="766"/>
      <c r="NS132" s="766"/>
      <c r="NT132" s="766"/>
      <c r="NU132" s="766"/>
      <c r="NV132" s="766"/>
      <c r="NW132" s="766"/>
      <c r="NX132" s="766"/>
      <c r="NY132" s="766"/>
      <c r="NZ132" s="766"/>
      <c r="OA132" s="766"/>
      <c r="OB132" s="766"/>
      <c r="OC132" s="766"/>
      <c r="OD132" s="766"/>
      <c r="OE132" s="766"/>
      <c r="OF132" s="766"/>
      <c r="OG132" s="766"/>
      <c r="OH132" s="766"/>
      <c r="OI132" s="766"/>
      <c r="OJ132" s="766"/>
      <c r="OK132" s="766"/>
      <c r="OL132" s="766"/>
      <c r="OM132" s="766"/>
      <c r="ON132" s="766"/>
      <c r="OO132" s="766"/>
      <c r="OP132" s="766"/>
      <c r="OQ132" s="766"/>
      <c r="OR132" s="766"/>
      <c r="OS132" s="766"/>
      <c r="OT132" s="766"/>
      <c r="OU132" s="766"/>
      <c r="OV132" s="766"/>
      <c r="OW132" s="766"/>
      <c r="OX132" s="766"/>
      <c r="OY132" s="766"/>
      <c r="OZ132" s="766"/>
      <c r="PA132" s="766"/>
      <c r="PB132" s="766"/>
      <c r="PC132" s="766"/>
      <c r="PD132" s="766"/>
      <c r="PE132" s="766"/>
      <c r="PF132" s="766"/>
      <c r="PG132" s="766"/>
      <c r="PH132" s="766"/>
      <c r="PI132" s="766"/>
      <c r="PJ132" s="766"/>
      <c r="PK132" s="766"/>
      <c r="PL132" s="766"/>
      <c r="PM132" s="766"/>
      <c r="PN132" s="766"/>
      <c r="PO132" s="766"/>
      <c r="PP132" s="766"/>
      <c r="PQ132" s="766"/>
      <c r="PR132" s="766"/>
      <c r="PS132" s="766"/>
      <c r="PT132" s="766"/>
      <c r="PU132" s="766"/>
      <c r="PV132" s="766"/>
      <c r="PW132" s="766"/>
      <c r="PX132" s="766"/>
      <c r="PY132" s="766"/>
      <c r="PZ132" s="766"/>
      <c r="QA132" s="766"/>
      <c r="QB132" s="766"/>
      <c r="QC132" s="766"/>
      <c r="QD132" s="766"/>
      <c r="QE132" s="766"/>
      <c r="QF132" s="766"/>
      <c r="QG132" s="766"/>
      <c r="QH132" s="766"/>
      <c r="QI132" s="766"/>
      <c r="QJ132" s="766"/>
      <c r="QK132" s="766"/>
      <c r="QL132" s="766"/>
      <c r="QM132" s="766"/>
      <c r="QN132" s="766"/>
      <c r="QO132" s="766"/>
      <c r="QP132" s="766"/>
      <c r="QQ132" s="766"/>
      <c r="QR132" s="766"/>
      <c r="QS132" s="766"/>
      <c r="QT132" s="766"/>
      <c r="QU132" s="766"/>
      <c r="QV132" s="766"/>
      <c r="QW132" s="766"/>
      <c r="QX132" s="766"/>
      <c r="QY132" s="766"/>
      <c r="QZ132" s="766"/>
      <c r="RA132" s="766"/>
      <c r="RB132" s="766"/>
      <c r="RC132" s="766"/>
      <c r="RD132" s="766"/>
      <c r="RE132" s="766"/>
      <c r="RF132" s="777"/>
      <c r="RG132" s="766"/>
      <c r="RH132" s="775"/>
      <c r="RI132" s="766"/>
      <c r="RJ132" s="766"/>
      <c r="RK132" s="766"/>
      <c r="RL132" s="1683"/>
      <c r="RM132" s="12"/>
      <c r="RN132" s="1711"/>
      <c r="RO132" s="171" t="s">
        <v>241</v>
      </c>
      <c r="RP132" s="11"/>
      <c r="RQ132" s="11"/>
      <c r="RR132" s="17"/>
      <c r="RS132" s="766"/>
      <c r="RT132" s="11"/>
      <c r="RU132" s="11"/>
      <c r="RV132" s="766" t="s">
        <v>7419</v>
      </c>
      <c r="RW132" s="11" t="s">
        <v>7581</v>
      </c>
      <c r="RX132" s="11" t="s">
        <v>228</v>
      </c>
      <c r="RY132" s="11"/>
      <c r="RZ132" s="11" t="s">
        <v>7419</v>
      </c>
      <c r="SA132" s="766"/>
      <c r="SB132" s="11"/>
      <c r="SC132" s="11"/>
    </row>
    <row r="133" spans="1:497" ht="12.75" hidden="1" customHeight="1">
      <c r="A133" s="343" t="s">
        <v>7419</v>
      </c>
      <c r="B133" s="1096" t="s">
        <v>7955</v>
      </c>
      <c r="C133" s="171" t="s">
        <v>242</v>
      </c>
      <c r="D133" s="766" t="s">
        <v>243</v>
      </c>
      <c r="E133" s="766" t="s">
        <v>5441</v>
      </c>
      <c r="F133" s="766" t="s">
        <v>244</v>
      </c>
      <c r="G133" s="766" t="s">
        <v>18</v>
      </c>
      <c r="H133" s="766"/>
      <c r="I133" s="5" t="s">
        <v>245</v>
      </c>
      <c r="J133" s="766" t="s">
        <v>246</v>
      </c>
      <c r="K133" s="766"/>
      <c r="L133" s="766"/>
      <c r="M133" s="766"/>
      <c r="N133" s="766"/>
      <c r="O133" s="766"/>
      <c r="P133" s="766" t="s">
        <v>246</v>
      </c>
      <c r="Q133" s="1085" t="s">
        <v>11959</v>
      </c>
      <c r="R133" s="25">
        <v>37</v>
      </c>
      <c r="S133" s="766" t="s">
        <v>10</v>
      </c>
      <c r="T133" s="766"/>
      <c r="U133" s="26" t="s">
        <v>11960</v>
      </c>
      <c r="V133" s="766" t="s">
        <v>707</v>
      </c>
      <c r="W133" s="766"/>
      <c r="X133" s="766"/>
      <c r="Y133" s="766"/>
      <c r="Z133" s="766" t="s">
        <v>708</v>
      </c>
      <c r="AA133" s="766" t="s">
        <v>709</v>
      </c>
      <c r="AB133" s="766" t="s">
        <v>11465</v>
      </c>
      <c r="AC133" s="766" t="s">
        <v>724</v>
      </c>
      <c r="AD133" s="766" t="s">
        <v>711</v>
      </c>
      <c r="AE133" s="766"/>
      <c r="AF133" s="766"/>
      <c r="AG133" s="766" t="s">
        <v>1095</v>
      </c>
      <c r="AH133" s="766" t="s">
        <v>1096</v>
      </c>
      <c r="AI133" s="766" t="s">
        <v>1146</v>
      </c>
      <c r="AJ133" s="766"/>
      <c r="AK133" s="766" t="s">
        <v>1097</v>
      </c>
      <c r="AL133" s="121">
        <v>1271</v>
      </c>
      <c r="AM133" s="772">
        <v>222</v>
      </c>
      <c r="AN133" s="774">
        <f>AM133/AL133</f>
        <v>0.17466561762391816</v>
      </c>
      <c r="AO133" s="766" t="s">
        <v>12557</v>
      </c>
      <c r="AP133" s="766"/>
      <c r="AQ133" s="766"/>
      <c r="AR133" s="766"/>
      <c r="AS133" s="766" t="s">
        <v>1207</v>
      </c>
      <c r="AT133" s="766" t="s">
        <v>1208</v>
      </c>
      <c r="AU133" s="766"/>
      <c r="AV133" s="766"/>
      <c r="AW133" s="766"/>
      <c r="AX133" s="766"/>
      <c r="AY133" s="766"/>
      <c r="AZ133" s="766"/>
      <c r="BA133" s="766"/>
      <c r="BB133" s="766"/>
      <c r="BC133" s="766" t="s">
        <v>796</v>
      </c>
      <c r="BD133" s="766"/>
      <c r="BE133" s="766"/>
      <c r="BF133" s="775"/>
      <c r="BG133" s="775"/>
      <c r="BH133" s="766"/>
      <c r="BI133" s="766"/>
      <c r="BJ133" s="766"/>
      <c r="BK133" s="766" t="s">
        <v>1095</v>
      </c>
      <c r="BL133" s="766" t="s">
        <v>11961</v>
      </c>
      <c r="BM133" s="766" t="s">
        <v>1096</v>
      </c>
      <c r="BN133" s="766" t="s">
        <v>1230</v>
      </c>
      <c r="BO133" s="766" t="s">
        <v>1239</v>
      </c>
      <c r="BP133" s="776">
        <v>273.76</v>
      </c>
      <c r="BQ133" s="772">
        <v>273.76</v>
      </c>
      <c r="BR133" s="774">
        <f>BQ133/BP133</f>
        <v>1</v>
      </c>
      <c r="BS133" s="766" t="s">
        <v>1257</v>
      </c>
      <c r="BT133" s="766"/>
      <c r="BU133" s="766"/>
      <c r="BV133" s="766"/>
      <c r="BW133" s="766"/>
      <c r="BX133" s="779"/>
      <c r="BY133" s="766"/>
      <c r="BZ133" s="775"/>
      <c r="CA133" s="766"/>
      <c r="CB133" s="766" t="s">
        <v>1207</v>
      </c>
      <c r="CC133" s="766"/>
      <c r="CD133" s="766"/>
      <c r="CE133" s="766"/>
      <c r="CF133" s="777"/>
      <c r="CG133" s="778"/>
      <c r="CH133" s="766"/>
      <c r="CI133" s="766"/>
      <c r="CJ133" s="766"/>
      <c r="CK133" s="766"/>
      <c r="CL133" s="766"/>
      <c r="CM133" s="766"/>
      <c r="CN133" s="766"/>
      <c r="CO133" s="766"/>
      <c r="CP133" s="766"/>
      <c r="CQ133" s="766"/>
      <c r="CR133" s="775"/>
      <c r="CS133" s="766"/>
      <c r="CT133" s="766"/>
      <c r="CU133" s="129"/>
      <c r="CV133" s="766"/>
      <c r="CW133" s="766"/>
      <c r="CX133" s="766"/>
      <c r="CY133" s="766"/>
      <c r="CZ133" s="766"/>
      <c r="DA133" s="766"/>
      <c r="DB133" s="766"/>
      <c r="DC133" s="766"/>
      <c r="DD133" s="766"/>
      <c r="DE133" s="766"/>
      <c r="DF133" s="766"/>
      <c r="DG133" s="766"/>
      <c r="DH133" s="766"/>
      <c r="DI133" s="766"/>
      <c r="DJ133" s="766"/>
      <c r="DK133" s="766"/>
      <c r="DL133" s="766"/>
      <c r="DM133" s="766"/>
      <c r="DN133" s="766"/>
      <c r="DO133" s="766"/>
      <c r="DP133" s="766"/>
      <c r="DQ133" s="766"/>
      <c r="DR133" s="766"/>
      <c r="DS133" s="59"/>
      <c r="DT133" s="766"/>
      <c r="DU133" s="766"/>
      <c r="DV133" s="766"/>
      <c r="DW133" s="66"/>
      <c r="DX133" s="66"/>
      <c r="DY133" s="766"/>
      <c r="DZ133" s="766"/>
      <c r="EA133" s="766"/>
      <c r="EB133" s="766"/>
      <c r="EC133" s="766"/>
      <c r="ED133" s="766"/>
      <c r="EE133" s="766"/>
      <c r="EF133" s="766"/>
      <c r="EG133" s="766"/>
      <c r="EH133" s="766"/>
      <c r="EI133" s="766"/>
      <c r="EJ133" s="766"/>
      <c r="EK133" s="766"/>
      <c r="EL133" s="766"/>
      <c r="EM133" s="766"/>
      <c r="EN133" s="766"/>
      <c r="EO133" s="766"/>
      <c r="EP133" s="766"/>
      <c r="EQ133" s="766"/>
      <c r="ER133" s="766"/>
      <c r="ES133" s="766"/>
      <c r="ET133" s="766"/>
      <c r="EU133" s="766"/>
      <c r="EV133" s="766"/>
      <c r="EW133" s="766"/>
      <c r="EX133" s="766"/>
      <c r="EY133" s="766"/>
      <c r="EZ133" s="766" t="s">
        <v>1725</v>
      </c>
      <c r="FA133" s="766" t="s">
        <v>1491</v>
      </c>
      <c r="FB133" s="766" t="s">
        <v>1257</v>
      </c>
      <c r="FC133" s="766"/>
      <c r="FD133" s="775"/>
      <c r="FE133" s="766" t="s">
        <v>1489</v>
      </c>
      <c r="FF133" s="766" t="s">
        <v>1490</v>
      </c>
      <c r="FG133" s="770"/>
      <c r="FH133" s="766" t="s">
        <v>478</v>
      </c>
      <c r="FI133" s="766"/>
      <c r="FJ133" s="766"/>
      <c r="FK133" s="766"/>
      <c r="FL133" s="766"/>
      <c r="FM133" s="775"/>
      <c r="FN133" s="775"/>
      <c r="FO133" s="775"/>
      <c r="FP133" s="766" t="s">
        <v>1600</v>
      </c>
      <c r="FQ133" s="766" t="s">
        <v>1642</v>
      </c>
      <c r="FR133" s="766" t="s">
        <v>1207</v>
      </c>
      <c r="FS133" s="766"/>
      <c r="FT133" s="766"/>
      <c r="FU133" s="766"/>
      <c r="FV133" s="766"/>
      <c r="FW133" s="766"/>
      <c r="FX133" s="766"/>
      <c r="FY133" s="766"/>
      <c r="FZ133" s="766"/>
      <c r="GA133" s="766"/>
      <c r="GB133" s="766" t="s">
        <v>796</v>
      </c>
      <c r="GC133" s="75" t="s">
        <v>1725</v>
      </c>
      <c r="GD133" s="25">
        <v>2005</v>
      </c>
      <c r="GE133" s="766" t="s">
        <v>1426</v>
      </c>
      <c r="GF133" s="775"/>
      <c r="GG133" s="775"/>
      <c r="GH133" s="766"/>
      <c r="GI133" s="766"/>
      <c r="GJ133" s="766"/>
      <c r="GK133" s="766"/>
      <c r="GL133" s="766"/>
      <c r="GM133" s="766"/>
      <c r="GN133" s="82"/>
      <c r="GO133" s="766"/>
      <c r="GP133" s="766"/>
      <c r="GQ133" s="766"/>
      <c r="GR133" s="766"/>
      <c r="GS133" s="766"/>
      <c r="GT133" s="766"/>
      <c r="GU133" s="766"/>
      <c r="GV133" s="766"/>
      <c r="GW133" s="766"/>
      <c r="GX133" s="766"/>
      <c r="GY133" s="766"/>
      <c r="GZ133" s="766"/>
      <c r="HA133" s="766"/>
      <c r="HB133" s="766"/>
      <c r="HC133" s="766"/>
      <c r="HD133" s="766"/>
      <c r="HE133" s="766"/>
      <c r="HF133" s="766"/>
      <c r="HG133" s="766"/>
      <c r="HH133" s="766"/>
      <c r="HI133" s="766"/>
      <c r="HJ133" s="766"/>
      <c r="HK133" s="766"/>
      <c r="HL133" s="766"/>
      <c r="HM133" s="766"/>
      <c r="HN133" s="766"/>
      <c r="HO133" s="766"/>
      <c r="HP133" s="766"/>
      <c r="HQ133" s="766"/>
      <c r="HR133" s="766"/>
      <c r="HS133" s="766"/>
      <c r="HT133" s="766"/>
      <c r="HU133" s="766"/>
      <c r="HV133" s="766"/>
      <c r="HW133" s="766"/>
      <c r="HX133" s="766"/>
      <c r="HY133" s="766"/>
      <c r="HZ133" s="766"/>
      <c r="IA133" s="766"/>
      <c r="IB133" s="766"/>
      <c r="IC133" s="766"/>
      <c r="ID133" s="766"/>
      <c r="IE133" s="766"/>
      <c r="IF133" s="766"/>
      <c r="IG133" s="766"/>
      <c r="IH133" s="766"/>
      <c r="II133" s="766"/>
      <c r="IJ133" s="766"/>
      <c r="IK133" s="766"/>
      <c r="IL133" s="766"/>
      <c r="IM133" s="766"/>
      <c r="IN133" s="766"/>
      <c r="IO133" s="24"/>
      <c r="IP133" s="766"/>
      <c r="IQ133" s="766"/>
      <c r="IR133" s="766"/>
      <c r="IS133" s="766"/>
      <c r="IT133" s="766"/>
      <c r="IU133" s="766"/>
      <c r="IV133" s="766"/>
      <c r="IW133" s="766"/>
      <c r="IX133" s="766"/>
      <c r="IY133" s="766"/>
      <c r="IZ133" s="766"/>
      <c r="JA133" s="766"/>
      <c r="JB133" s="766"/>
      <c r="JC133" s="766"/>
      <c r="JD133" s="775"/>
      <c r="JE133" s="766"/>
      <c r="JF133" s="766"/>
      <c r="JG133" s="766"/>
      <c r="JH133" s="766"/>
      <c r="JI133" s="766"/>
      <c r="JJ133" s="766"/>
      <c r="JK133" s="766"/>
      <c r="JL133" s="766"/>
      <c r="JM133" s="766"/>
      <c r="JN133" s="766"/>
      <c r="JO133" s="766"/>
      <c r="JP133" s="766"/>
      <c r="JQ133" s="766"/>
      <c r="JR133" s="766"/>
      <c r="JS133" s="766"/>
      <c r="JT133" s="766"/>
      <c r="JU133" s="766"/>
      <c r="JV133" s="766"/>
      <c r="JW133" s="766"/>
      <c r="JX133" s="766"/>
      <c r="JY133" s="766"/>
      <c r="JZ133" s="766"/>
      <c r="KA133" s="766"/>
      <c r="KB133" s="766"/>
      <c r="KC133" s="766"/>
      <c r="KD133" s="766"/>
      <c r="KE133" s="766"/>
      <c r="KF133" s="766"/>
      <c r="KG133" s="766"/>
      <c r="KH133" s="766"/>
      <c r="KI133" s="766"/>
      <c r="KJ133" s="770"/>
      <c r="KK133" s="770"/>
      <c r="KL133" s="770"/>
      <c r="KM133" s="770"/>
      <c r="KN133" s="766"/>
      <c r="KO133" s="766"/>
      <c r="KP133" s="766"/>
      <c r="KQ133" s="766"/>
      <c r="KR133" s="766"/>
      <c r="KS133" s="766"/>
      <c r="KT133" s="766"/>
      <c r="KU133" s="766"/>
      <c r="KV133" s="766"/>
      <c r="KW133" s="766"/>
      <c r="KX133" s="766"/>
      <c r="KY133" s="766"/>
      <c r="KZ133" s="766"/>
      <c r="LA133" s="766"/>
      <c r="LB133" s="766"/>
      <c r="LC133" s="766"/>
      <c r="LD133" s="766"/>
      <c r="LE133" s="766"/>
      <c r="LF133" s="766"/>
      <c r="LG133" s="766"/>
      <c r="LH133" s="766"/>
      <c r="LI133" s="766"/>
      <c r="LJ133" s="766"/>
      <c r="LK133" s="766"/>
      <c r="LL133" s="766"/>
      <c r="LM133" s="766"/>
      <c r="LN133" s="766"/>
      <c r="LO133" s="766"/>
      <c r="LP133" s="766"/>
      <c r="LQ133" s="766"/>
      <c r="LR133" s="766"/>
      <c r="LS133" s="766"/>
      <c r="LT133" s="766"/>
      <c r="LU133" s="766"/>
      <c r="LV133" s="766"/>
      <c r="LW133" s="766"/>
      <c r="LX133" s="769"/>
      <c r="LY133" s="766" t="str">
        <f t="shared" si="23"/>
        <v/>
      </c>
      <c r="LZ133" s="66"/>
      <c r="MA133" s="766"/>
      <c r="MB133" s="766"/>
      <c r="MC133" s="1679">
        <f t="shared" si="24"/>
        <v>0</v>
      </c>
      <c r="MD133" s="66"/>
      <c r="ME133" s="66"/>
      <c r="MF133" s="66"/>
      <c r="MG133" s="1680">
        <f t="shared" ref="MG133:MG195" si="34">SUM(MD133:MF133)</f>
        <v>0</v>
      </c>
      <c r="MH133" s="766"/>
      <c r="MI133" s="775"/>
      <c r="MJ133" s="775"/>
      <c r="MK133" s="775"/>
      <c r="ML133" s="775"/>
      <c r="MM133" s="775"/>
      <c r="MN133" s="775"/>
      <c r="MO133" s="775"/>
      <c r="MP133" s="775"/>
      <c r="MQ133" s="775"/>
      <c r="MR133" s="775"/>
      <c r="MS133" s="775"/>
      <c r="MT133" s="775"/>
      <c r="MU133" s="775"/>
      <c r="MV133" s="775"/>
      <c r="MW133" s="775"/>
      <c r="MX133" s="775"/>
      <c r="MY133" s="1682">
        <f t="shared" si="14"/>
        <v>0</v>
      </c>
      <c r="MZ133" s="766"/>
      <c r="NA133" s="766"/>
      <c r="NB133" s="766"/>
      <c r="NC133" s="766"/>
      <c r="ND133" s="766"/>
      <c r="NE133" s="766"/>
      <c r="NF133" s="766"/>
      <c r="NG133" s="766"/>
      <c r="NH133" s="766"/>
      <c r="NI133" s="766"/>
      <c r="NJ133" s="766"/>
      <c r="NK133" s="766"/>
      <c r="NL133" s="766"/>
      <c r="NM133" s="766"/>
      <c r="NN133" s="766"/>
      <c r="NO133" s="766"/>
      <c r="NP133" s="766"/>
      <c r="NQ133" s="766"/>
      <c r="NR133" s="766"/>
      <c r="NS133" s="766"/>
      <c r="NT133" s="766"/>
      <c r="NU133" s="766"/>
      <c r="NV133" s="766"/>
      <c r="NW133" s="766"/>
      <c r="NX133" s="766"/>
      <c r="NY133" s="766"/>
      <c r="NZ133" s="766"/>
      <c r="OA133" s="766"/>
      <c r="OB133" s="766"/>
      <c r="OC133" s="766"/>
      <c r="OD133" s="766"/>
      <c r="OE133" s="766"/>
      <c r="OF133" s="766"/>
      <c r="OG133" s="766"/>
      <c r="OH133" s="766"/>
      <c r="OI133" s="766"/>
      <c r="OJ133" s="766"/>
      <c r="OK133" s="766"/>
      <c r="OL133" s="766"/>
      <c r="OM133" s="766"/>
      <c r="ON133" s="766"/>
      <c r="OO133" s="766"/>
      <c r="OP133" s="766"/>
      <c r="OQ133" s="766"/>
      <c r="OR133" s="766"/>
      <c r="OS133" s="766"/>
      <c r="OT133" s="766"/>
      <c r="OU133" s="766"/>
      <c r="OV133" s="766"/>
      <c r="OW133" s="766"/>
      <c r="OX133" s="766"/>
      <c r="OY133" s="766"/>
      <c r="OZ133" s="766"/>
      <c r="PA133" s="766"/>
      <c r="PB133" s="766"/>
      <c r="PC133" s="766"/>
      <c r="PD133" s="766"/>
      <c r="PE133" s="766"/>
      <c r="PF133" s="766"/>
      <c r="PG133" s="766"/>
      <c r="PH133" s="766"/>
      <c r="PI133" s="766"/>
      <c r="PJ133" s="766"/>
      <c r="PK133" s="766"/>
      <c r="PL133" s="766"/>
      <c r="PM133" s="766"/>
      <c r="PN133" s="766"/>
      <c r="PO133" s="766"/>
      <c r="PP133" s="766"/>
      <c r="PQ133" s="766"/>
      <c r="PR133" s="766" t="s">
        <v>1208</v>
      </c>
      <c r="PS133" s="766" t="s">
        <v>1208</v>
      </c>
      <c r="PT133" s="766"/>
      <c r="PU133" s="766"/>
      <c r="PV133" s="766"/>
      <c r="PW133" s="766"/>
      <c r="PX133" s="766"/>
      <c r="PY133" s="766"/>
      <c r="PZ133" s="766"/>
      <c r="QA133" s="766"/>
      <c r="QB133" s="766"/>
      <c r="QC133" s="766"/>
      <c r="QD133" s="766"/>
      <c r="QE133" s="766"/>
      <c r="QF133" s="766"/>
      <c r="QG133" s="766"/>
      <c r="QH133" s="766"/>
      <c r="QI133" s="766"/>
      <c r="QJ133" s="766"/>
      <c r="QK133" s="766"/>
      <c r="QL133" s="766"/>
      <c r="QM133" s="766"/>
      <c r="QN133" s="766"/>
      <c r="QO133" s="766"/>
      <c r="QP133" s="766"/>
      <c r="QQ133" s="766"/>
      <c r="QR133" s="766"/>
      <c r="QS133" s="766"/>
      <c r="QT133" s="766"/>
      <c r="QU133" s="766"/>
      <c r="QV133" s="766"/>
      <c r="QW133" s="766"/>
      <c r="QX133" s="766"/>
      <c r="QY133" s="766"/>
      <c r="QZ133" s="766"/>
      <c r="RA133" s="766"/>
      <c r="RB133" s="770" t="s">
        <v>1207</v>
      </c>
      <c r="RC133" s="766">
        <v>2009</v>
      </c>
      <c r="RD133" s="766" t="s">
        <v>13036</v>
      </c>
      <c r="RE133" s="766" t="s">
        <v>13008</v>
      </c>
      <c r="RF133" s="777">
        <f>CONVERT(1,"ft","m")</f>
        <v>0.30480000000000002</v>
      </c>
      <c r="RG133" s="766" t="s">
        <v>13000</v>
      </c>
      <c r="RH133" s="775">
        <v>0</v>
      </c>
      <c r="RI133" s="766">
        <v>0.5</v>
      </c>
      <c r="RJ133" s="766" t="s">
        <v>13205</v>
      </c>
      <c r="RK133" s="766" t="s">
        <v>13206</v>
      </c>
      <c r="RL133" s="1683"/>
      <c r="RM133" s="12"/>
      <c r="RN133" s="1711"/>
      <c r="RO133" s="171" t="s">
        <v>242</v>
      </c>
      <c r="RP133" s="11"/>
      <c r="RQ133" s="11"/>
      <c r="RR133" s="17"/>
      <c r="RS133" s="766"/>
      <c r="RT133" s="11"/>
      <c r="RU133" s="11"/>
      <c r="RV133" s="766" t="s">
        <v>7421</v>
      </c>
      <c r="RW133" s="11" t="s">
        <v>7582</v>
      </c>
      <c r="RX133" s="11" t="s">
        <v>229</v>
      </c>
      <c r="RY133" s="11"/>
      <c r="RZ133" s="11" t="s">
        <v>7419</v>
      </c>
      <c r="SA133" s="766"/>
      <c r="SB133" s="11"/>
      <c r="SC133" s="11"/>
    </row>
    <row r="134" spans="1:497" ht="12.75" hidden="1" customHeight="1">
      <c r="A134" s="343" t="s">
        <v>7419</v>
      </c>
      <c r="B134" s="288" t="s">
        <v>11962</v>
      </c>
      <c r="C134" s="171" t="s">
        <v>11845</v>
      </c>
      <c r="D134" s="766" t="s">
        <v>11966</v>
      </c>
      <c r="E134" s="766" t="s">
        <v>11969</v>
      </c>
      <c r="F134" s="766" t="s">
        <v>1263</v>
      </c>
      <c r="G134" s="766" t="s">
        <v>18</v>
      </c>
      <c r="H134" s="766"/>
      <c r="I134" s="5" t="s">
        <v>11970</v>
      </c>
      <c r="J134" s="766" t="s">
        <v>11971</v>
      </c>
      <c r="K134" s="766" t="s">
        <v>315</v>
      </c>
      <c r="L134" s="766" t="s">
        <v>11972</v>
      </c>
      <c r="M134" s="766"/>
      <c r="N134" s="766" t="s">
        <v>11973</v>
      </c>
      <c r="O134" s="766" t="s">
        <v>11974</v>
      </c>
      <c r="P134" s="766"/>
      <c r="Q134" s="1085"/>
      <c r="R134" s="25"/>
      <c r="S134" s="766"/>
      <c r="T134" s="766"/>
      <c r="U134" s="26"/>
      <c r="V134" s="766"/>
      <c r="W134" s="766"/>
      <c r="X134" s="766"/>
      <c r="Y134" s="766"/>
      <c r="Z134" s="766"/>
      <c r="AA134" s="766"/>
      <c r="AB134" s="766"/>
      <c r="AC134" s="766"/>
      <c r="AD134" s="766"/>
      <c r="AE134" s="766"/>
      <c r="AF134" s="766"/>
      <c r="AG134" s="766" t="s">
        <v>1095</v>
      </c>
      <c r="AH134" s="766" t="s">
        <v>1096</v>
      </c>
      <c r="AI134" s="766" t="s">
        <v>11975</v>
      </c>
      <c r="AJ134" s="766"/>
      <c r="AK134" s="766" t="s">
        <v>1097</v>
      </c>
      <c r="AL134" s="121">
        <v>95.76</v>
      </c>
      <c r="AM134" s="772">
        <v>71.819999999999993</v>
      </c>
      <c r="AN134" s="774">
        <f>AM134/AL134</f>
        <v>0.74999999999999989</v>
      </c>
      <c r="AO134" s="766" t="s">
        <v>1105</v>
      </c>
      <c r="AP134" s="766"/>
      <c r="AQ134" s="766"/>
      <c r="AR134" s="766"/>
      <c r="AS134" s="766"/>
      <c r="AT134" s="766"/>
      <c r="AU134" s="766"/>
      <c r="AV134" s="766"/>
      <c r="AW134" s="766"/>
      <c r="AX134" s="766"/>
      <c r="AY134" s="766"/>
      <c r="AZ134" s="766"/>
      <c r="BA134" s="766"/>
      <c r="BB134" s="766"/>
      <c r="BC134" s="766"/>
      <c r="BD134" s="766"/>
      <c r="BE134" s="766"/>
      <c r="BF134" s="775"/>
      <c r="BG134" s="775"/>
      <c r="BH134" s="766"/>
      <c r="BI134" s="766"/>
      <c r="BJ134" s="766"/>
      <c r="BK134" s="766" t="s">
        <v>1095</v>
      </c>
      <c r="BL134" s="766" t="s">
        <v>11975</v>
      </c>
      <c r="BM134" s="766" t="s">
        <v>1096</v>
      </c>
      <c r="BN134" s="766" t="s">
        <v>1263</v>
      </c>
      <c r="BO134" s="766" t="s">
        <v>1246</v>
      </c>
      <c r="BP134" s="776">
        <v>95.76</v>
      </c>
      <c r="BQ134" s="772">
        <v>71.819999999999993</v>
      </c>
      <c r="BR134" s="774">
        <f>BQ134/BP134</f>
        <v>0.74999999999999989</v>
      </c>
      <c r="BS134" s="766" t="s">
        <v>1105</v>
      </c>
      <c r="BT134" s="766" t="s">
        <v>8133</v>
      </c>
      <c r="BU134" s="766" t="s">
        <v>1249</v>
      </c>
      <c r="BV134" s="766" t="s">
        <v>1247</v>
      </c>
      <c r="BW134" s="766">
        <v>2004</v>
      </c>
      <c r="BX134" s="779"/>
      <c r="BY134" s="766"/>
      <c r="BZ134" s="775"/>
      <c r="CA134" s="766"/>
      <c r="CB134" s="766" t="s">
        <v>1207</v>
      </c>
      <c r="CC134" s="766"/>
      <c r="CD134" s="766"/>
      <c r="CE134" s="766"/>
      <c r="CF134" s="777"/>
      <c r="CG134" s="778"/>
      <c r="CH134" s="766"/>
      <c r="CI134" s="766"/>
      <c r="CJ134" s="766"/>
      <c r="CK134" s="766"/>
      <c r="CL134" s="766"/>
      <c r="CM134" s="766"/>
      <c r="CN134" s="766"/>
      <c r="CO134" s="766"/>
      <c r="CP134" s="766"/>
      <c r="CQ134" s="766"/>
      <c r="CR134" s="775"/>
      <c r="CS134" s="766"/>
      <c r="CT134" s="766"/>
      <c r="CU134" s="129"/>
      <c r="CV134" s="766"/>
      <c r="CW134" s="766"/>
      <c r="CX134" s="766"/>
      <c r="CY134" s="766"/>
      <c r="CZ134" s="766"/>
      <c r="DA134" s="766"/>
      <c r="DB134" s="766"/>
      <c r="DC134" s="766"/>
      <c r="DD134" s="766"/>
      <c r="DE134" s="766"/>
      <c r="DF134" s="766"/>
      <c r="DG134" s="766"/>
      <c r="DH134" s="766"/>
      <c r="DI134" s="766"/>
      <c r="DJ134" s="766"/>
      <c r="DK134" s="766"/>
      <c r="DL134" s="766"/>
      <c r="DM134" s="766"/>
      <c r="DN134" s="766"/>
      <c r="DO134" s="766"/>
      <c r="DP134" s="766"/>
      <c r="DQ134" s="766"/>
      <c r="DR134" s="766"/>
      <c r="DS134" s="59"/>
      <c r="DT134" s="766"/>
      <c r="DU134" s="766"/>
      <c r="DV134" s="766"/>
      <c r="DW134" s="66"/>
      <c r="DX134" s="66"/>
      <c r="DY134" s="766"/>
      <c r="DZ134" s="766"/>
      <c r="EA134" s="766"/>
      <c r="EB134" s="766"/>
      <c r="EC134" s="766"/>
      <c r="ED134" s="766"/>
      <c r="EE134" s="766"/>
      <c r="EF134" s="766"/>
      <c r="EG134" s="766"/>
      <c r="EH134" s="766"/>
      <c r="EI134" s="766"/>
      <c r="EJ134" s="766"/>
      <c r="EK134" s="766"/>
      <c r="EL134" s="766"/>
      <c r="EM134" s="766"/>
      <c r="EN134" s="766"/>
      <c r="EO134" s="766"/>
      <c r="EP134" s="766"/>
      <c r="EQ134" s="766"/>
      <c r="ER134" s="766"/>
      <c r="ES134" s="766"/>
      <c r="ET134" s="766"/>
      <c r="EU134" s="766"/>
      <c r="EV134" s="766"/>
      <c r="EW134" s="766"/>
      <c r="EX134" s="766"/>
      <c r="EY134" s="766"/>
      <c r="EZ134" s="766" t="s">
        <v>11976</v>
      </c>
      <c r="FA134" s="766" t="s">
        <v>11986</v>
      </c>
      <c r="FB134" s="766" t="s">
        <v>1257</v>
      </c>
      <c r="FC134" s="766"/>
      <c r="FD134" s="775"/>
      <c r="FE134" s="766" t="s">
        <v>11987</v>
      </c>
      <c r="FF134" s="766" t="s">
        <v>11988</v>
      </c>
      <c r="FG134" s="770" t="s">
        <v>11989</v>
      </c>
      <c r="FH134" s="766" t="s">
        <v>478</v>
      </c>
      <c r="FI134" s="766">
        <v>1</v>
      </c>
      <c r="FJ134" s="766"/>
      <c r="FK134" s="766"/>
      <c r="FL134" s="766"/>
      <c r="FM134" s="302"/>
      <c r="FN134" s="302"/>
      <c r="FO134" s="302"/>
      <c r="FP134" s="766" t="s">
        <v>1602</v>
      </c>
      <c r="FQ134" s="766" t="s">
        <v>1660</v>
      </c>
      <c r="FR134" s="766"/>
      <c r="FS134" s="766"/>
      <c r="FT134" s="766"/>
      <c r="FU134" s="766"/>
      <c r="FV134" s="766"/>
      <c r="FW134" s="766"/>
      <c r="FX134" s="766"/>
      <c r="FY134" s="766"/>
      <c r="FZ134" s="766"/>
      <c r="GA134" s="766"/>
      <c r="GB134" s="766"/>
      <c r="GC134" s="75"/>
      <c r="GD134" s="25"/>
      <c r="GE134" s="766"/>
      <c r="GF134" s="775"/>
      <c r="GG134" s="775"/>
      <c r="GH134" s="766"/>
      <c r="GI134" s="766"/>
      <c r="GJ134" s="766"/>
      <c r="GK134" s="766"/>
      <c r="GL134" s="766"/>
      <c r="GM134" s="766"/>
      <c r="GN134" s="82"/>
      <c r="GO134" s="766"/>
      <c r="GP134" s="766"/>
      <c r="GQ134" s="766"/>
      <c r="GR134" s="766"/>
      <c r="GS134" s="766"/>
      <c r="GT134" s="766"/>
      <c r="GU134" s="766"/>
      <c r="GV134" s="766"/>
      <c r="GW134" s="766"/>
      <c r="GX134" s="766"/>
      <c r="GY134" s="766"/>
      <c r="GZ134" s="766"/>
      <c r="HA134" s="766"/>
      <c r="HB134" s="766"/>
      <c r="HC134" s="766"/>
      <c r="HD134" s="766"/>
      <c r="HE134" s="766"/>
      <c r="HF134" s="766"/>
      <c r="HG134" s="766"/>
      <c r="HH134" s="766"/>
      <c r="HI134" s="766"/>
      <c r="HJ134" s="766"/>
      <c r="HK134" s="766"/>
      <c r="HL134" s="766"/>
      <c r="HM134" s="766"/>
      <c r="HN134" s="766"/>
      <c r="HO134" s="766"/>
      <c r="HP134" s="766"/>
      <c r="HQ134" s="766"/>
      <c r="HR134" s="766"/>
      <c r="HS134" s="766">
        <v>1</v>
      </c>
      <c r="HT134" s="766"/>
      <c r="HU134" s="766"/>
      <c r="HV134" s="766"/>
      <c r="HW134" s="766"/>
      <c r="HX134" s="766"/>
      <c r="HY134" s="766"/>
      <c r="HZ134" s="766"/>
      <c r="IA134" s="766"/>
      <c r="IB134" s="766"/>
      <c r="IC134" s="766"/>
      <c r="ID134" s="766"/>
      <c r="IE134" s="766"/>
      <c r="IF134" s="766"/>
      <c r="IG134" s="766"/>
      <c r="IH134" s="766"/>
      <c r="II134" s="766"/>
      <c r="IJ134" s="766"/>
      <c r="IK134" s="766"/>
      <c r="IL134" s="766"/>
      <c r="IM134" s="766"/>
      <c r="IN134" s="766"/>
      <c r="IO134" s="24"/>
      <c r="IP134" s="766"/>
      <c r="IQ134" s="766"/>
      <c r="IR134" s="766"/>
      <c r="IS134" s="766"/>
      <c r="IT134" s="766"/>
      <c r="IU134" s="766"/>
      <c r="IV134" s="766"/>
      <c r="IW134" s="766"/>
      <c r="IX134" s="766"/>
      <c r="IY134" s="766"/>
      <c r="IZ134" s="766"/>
      <c r="JA134" s="766"/>
      <c r="JB134" s="766"/>
      <c r="JC134" s="766"/>
      <c r="JD134" s="775"/>
      <c r="JE134" s="766"/>
      <c r="JF134" s="766"/>
      <c r="JG134" s="766"/>
      <c r="JH134" s="766"/>
      <c r="JI134" s="766"/>
      <c r="JJ134" s="766"/>
      <c r="JK134" s="766"/>
      <c r="JL134" s="766"/>
      <c r="JM134" s="766"/>
      <c r="JN134" s="766"/>
      <c r="JO134" s="766"/>
      <c r="JP134" s="766"/>
      <c r="JQ134" s="766"/>
      <c r="JR134" s="766"/>
      <c r="JS134" s="766"/>
      <c r="JT134" s="766"/>
      <c r="JU134" s="766"/>
      <c r="JV134" s="766"/>
      <c r="JW134" s="766"/>
      <c r="JX134" s="766"/>
      <c r="JY134" s="766"/>
      <c r="JZ134" s="766"/>
      <c r="KA134" s="766"/>
      <c r="KB134" s="766"/>
      <c r="KC134" s="766"/>
      <c r="KD134" s="766"/>
      <c r="KE134" s="766"/>
      <c r="KF134" s="766"/>
      <c r="KG134" s="766"/>
      <c r="KH134" s="766"/>
      <c r="KI134" s="766"/>
      <c r="KJ134" s="770"/>
      <c r="KK134" s="770"/>
      <c r="KL134" s="770"/>
      <c r="KM134" s="770"/>
      <c r="KN134" s="766"/>
      <c r="KO134" s="766"/>
      <c r="KP134" s="766"/>
      <c r="KQ134" s="766"/>
      <c r="KR134" s="766"/>
      <c r="KS134" s="766"/>
      <c r="KT134" s="766"/>
      <c r="KU134" s="766"/>
      <c r="KV134" s="766"/>
      <c r="KW134" s="766"/>
      <c r="KX134" s="766"/>
      <c r="KY134" s="766"/>
      <c r="KZ134" s="766"/>
      <c r="LA134" s="766"/>
      <c r="LB134" s="766"/>
      <c r="LC134" s="766"/>
      <c r="LD134" s="766"/>
      <c r="LE134" s="766"/>
      <c r="LF134" s="766"/>
      <c r="LG134" s="766"/>
      <c r="LH134" s="766"/>
      <c r="LI134" s="766"/>
      <c r="LJ134" s="766"/>
      <c r="LK134" s="766"/>
      <c r="LL134" s="766"/>
      <c r="LM134" s="766"/>
      <c r="LN134" s="766"/>
      <c r="LO134" s="766"/>
      <c r="LP134" s="766"/>
      <c r="LQ134" s="766"/>
      <c r="LR134" s="766"/>
      <c r="LS134" s="766"/>
      <c r="LT134" s="766"/>
      <c r="LU134" s="766"/>
      <c r="LV134" s="766"/>
      <c r="LW134" s="766"/>
      <c r="LX134" s="769"/>
      <c r="LY134" s="766" t="str">
        <f t="shared" si="23"/>
        <v/>
      </c>
      <c r="LZ134" s="66"/>
      <c r="MA134" s="766"/>
      <c r="MB134" s="766"/>
      <c r="MC134" s="1679">
        <f t="shared" si="24"/>
        <v>0</v>
      </c>
      <c r="MD134" s="66"/>
      <c r="ME134" s="66"/>
      <c r="MF134" s="66"/>
      <c r="MG134" s="1680">
        <f t="shared" si="34"/>
        <v>0</v>
      </c>
      <c r="MH134" s="766"/>
      <c r="MI134" s="775"/>
      <c r="MJ134" s="775"/>
      <c r="MK134" s="775"/>
      <c r="ML134" s="775"/>
      <c r="MM134" s="775"/>
      <c r="MN134" s="775"/>
      <c r="MO134" s="775"/>
      <c r="MP134" s="775"/>
      <c r="MQ134" s="775"/>
      <c r="MR134" s="775"/>
      <c r="MS134" s="775"/>
      <c r="MT134" s="775"/>
      <c r="MU134" s="775"/>
      <c r="MV134" s="775"/>
      <c r="MW134" s="775"/>
      <c r="MX134" s="775"/>
      <c r="MY134" s="1682">
        <f t="shared" ref="MY134:MY197" si="35">IF(ISBLANK(MI134:MX134)=TRUE,"",SUM(MI134:MX134))</f>
        <v>0</v>
      </c>
      <c r="MZ134" s="766"/>
      <c r="NA134" s="766"/>
      <c r="NB134" s="766"/>
      <c r="NC134" s="766"/>
      <c r="ND134" s="766"/>
      <c r="NE134" s="766"/>
      <c r="NF134" s="766"/>
      <c r="NG134" s="766"/>
      <c r="NH134" s="766"/>
      <c r="NI134" s="766"/>
      <c r="NJ134" s="766"/>
      <c r="NK134" s="766"/>
      <c r="NL134" s="766"/>
      <c r="NM134" s="766"/>
      <c r="NN134" s="766"/>
      <c r="NO134" s="766"/>
      <c r="NP134" s="766"/>
      <c r="NQ134" s="766"/>
      <c r="NR134" s="766"/>
      <c r="NS134" s="766"/>
      <c r="NT134" s="766"/>
      <c r="NU134" s="766"/>
      <c r="NV134" s="766"/>
      <c r="NW134" s="766"/>
      <c r="NX134" s="766"/>
      <c r="NY134" s="766"/>
      <c r="NZ134" s="766"/>
      <c r="OA134" s="766"/>
      <c r="OB134" s="766"/>
      <c r="OC134" s="766"/>
      <c r="OD134" s="766"/>
      <c r="OE134" s="766"/>
      <c r="OF134" s="766"/>
      <c r="OG134" s="766"/>
      <c r="OH134" s="766"/>
      <c r="OI134" s="766"/>
      <c r="OJ134" s="766"/>
      <c r="OK134" s="766"/>
      <c r="OL134" s="766"/>
      <c r="OM134" s="766"/>
      <c r="ON134" s="766"/>
      <c r="OO134" s="766"/>
      <c r="OP134" s="766"/>
      <c r="OQ134" s="766"/>
      <c r="OR134" s="766"/>
      <c r="OS134" s="766"/>
      <c r="OT134" s="766"/>
      <c r="OU134" s="766"/>
      <c r="OV134" s="766"/>
      <c r="OW134" s="766"/>
      <c r="OX134" s="766"/>
      <c r="OY134" s="766"/>
      <c r="OZ134" s="766"/>
      <c r="PA134" s="766"/>
      <c r="PB134" s="766"/>
      <c r="PC134" s="766"/>
      <c r="PD134" s="766"/>
      <c r="PE134" s="766"/>
      <c r="PF134" s="766"/>
      <c r="PG134" s="766"/>
      <c r="PH134" s="766"/>
      <c r="PI134" s="766"/>
      <c r="PJ134" s="766"/>
      <c r="PK134" s="766"/>
      <c r="PL134" s="766"/>
      <c r="PM134" s="766"/>
      <c r="PN134" s="766"/>
      <c r="PO134" s="766"/>
      <c r="PP134" s="766"/>
      <c r="PQ134" s="766"/>
      <c r="PR134" s="766"/>
      <c r="PS134" s="766"/>
      <c r="PT134" s="766"/>
      <c r="PU134" s="766"/>
      <c r="PV134" s="766"/>
      <c r="PW134" s="766"/>
      <c r="PX134" s="766"/>
      <c r="PY134" s="766"/>
      <c r="PZ134" s="766"/>
      <c r="QA134" s="766"/>
      <c r="QB134" s="766"/>
      <c r="QC134" s="766"/>
      <c r="QD134" s="766"/>
      <c r="QE134" s="766"/>
      <c r="QF134" s="766"/>
      <c r="QG134" s="766"/>
      <c r="QH134" s="766"/>
      <c r="QI134" s="766"/>
      <c r="QJ134" s="766"/>
      <c r="QK134" s="766"/>
      <c r="QL134" s="766"/>
      <c r="QM134" s="766"/>
      <c r="QN134" s="766"/>
      <c r="QO134" s="766"/>
      <c r="QP134" s="766"/>
      <c r="QQ134" s="766"/>
      <c r="QR134" s="766"/>
      <c r="QS134" s="766"/>
      <c r="QT134" s="766"/>
      <c r="QU134" s="766"/>
      <c r="QV134" s="766"/>
      <c r="QW134" s="766"/>
      <c r="QX134" s="766"/>
      <c r="QY134" s="766"/>
      <c r="QZ134" s="766"/>
      <c r="RA134" s="766"/>
      <c r="RB134" s="770"/>
      <c r="RC134" s="766"/>
      <c r="RD134" s="766"/>
      <c r="RE134" s="766"/>
      <c r="RF134" s="777"/>
      <c r="RG134" s="766"/>
      <c r="RH134" s="775"/>
      <c r="RI134" s="766"/>
      <c r="RJ134" s="766"/>
      <c r="RK134" s="766"/>
      <c r="RL134" s="1683"/>
      <c r="RM134" s="12"/>
      <c r="RN134" s="1711"/>
      <c r="RO134" s="171" t="s">
        <v>11845</v>
      </c>
      <c r="RP134" s="11"/>
      <c r="RQ134" s="11"/>
      <c r="RR134" s="17"/>
      <c r="RS134" s="766"/>
      <c r="RT134" s="11"/>
      <c r="RU134" s="11"/>
      <c r="RV134" s="766" t="s">
        <v>7419</v>
      </c>
      <c r="RW134" s="11" t="s">
        <v>7957</v>
      </c>
      <c r="RX134" s="11" t="s">
        <v>241</v>
      </c>
      <c r="RY134" s="11"/>
      <c r="RZ134" s="11" t="s">
        <v>7419</v>
      </c>
      <c r="SA134" s="766"/>
      <c r="SB134" s="11"/>
      <c r="SC134" s="11"/>
    </row>
    <row r="135" spans="1:497" ht="12.75" hidden="1" customHeight="1">
      <c r="A135" s="19" t="s">
        <v>14152</v>
      </c>
      <c r="B135" s="288" t="s">
        <v>11963</v>
      </c>
      <c r="C135" s="171" t="s">
        <v>11845</v>
      </c>
      <c r="D135" s="766" t="s">
        <v>11967</v>
      </c>
      <c r="E135" s="766" t="s">
        <v>11969</v>
      </c>
      <c r="F135" s="766" t="s">
        <v>28</v>
      </c>
      <c r="G135" s="766" t="s">
        <v>10</v>
      </c>
      <c r="H135" s="766"/>
      <c r="I135" s="5" t="s">
        <v>11977</v>
      </c>
      <c r="J135" s="766" t="s">
        <v>11967</v>
      </c>
      <c r="K135" s="766"/>
      <c r="L135" s="766"/>
      <c r="M135" s="766"/>
      <c r="N135" s="766"/>
      <c r="O135" s="766"/>
      <c r="P135" s="766" t="s">
        <v>11978</v>
      </c>
      <c r="Q135" s="1085">
        <v>28615</v>
      </c>
      <c r="R135" s="25">
        <v>38</v>
      </c>
      <c r="S135" s="766" t="s">
        <v>10</v>
      </c>
      <c r="T135" s="766"/>
      <c r="U135" s="5" t="s">
        <v>11977</v>
      </c>
      <c r="V135" s="766" t="s">
        <v>722</v>
      </c>
      <c r="W135" s="766" t="s">
        <v>11979</v>
      </c>
      <c r="X135" s="24">
        <v>31870</v>
      </c>
      <c r="Y135" s="766" t="s">
        <v>11969</v>
      </c>
      <c r="Z135" s="766" t="s">
        <v>708</v>
      </c>
      <c r="AA135" s="766" t="s">
        <v>709</v>
      </c>
      <c r="AB135" s="766" t="s">
        <v>7273</v>
      </c>
      <c r="AC135" s="766" t="s">
        <v>724</v>
      </c>
      <c r="AD135" s="766"/>
      <c r="AE135" s="766"/>
      <c r="AF135" s="766" t="s">
        <v>712</v>
      </c>
      <c r="AG135" s="766"/>
      <c r="AH135" s="766"/>
      <c r="AI135" s="766"/>
      <c r="AJ135" s="766"/>
      <c r="AK135" s="766" t="s">
        <v>1899</v>
      </c>
      <c r="AL135" s="121"/>
      <c r="AM135" s="772"/>
      <c r="AN135" s="774"/>
      <c r="AO135" s="766"/>
      <c r="AP135" s="766"/>
      <c r="AQ135" s="766"/>
      <c r="AR135" s="766"/>
      <c r="AS135" s="766"/>
      <c r="AT135" s="766"/>
      <c r="AU135" s="766"/>
      <c r="AV135" s="766"/>
      <c r="AW135" s="766"/>
      <c r="AX135" s="766"/>
      <c r="AY135" s="766"/>
      <c r="AZ135" s="766"/>
      <c r="BA135" s="766"/>
      <c r="BB135" s="766"/>
      <c r="BC135" s="766"/>
      <c r="BD135" s="766"/>
      <c r="BE135" s="766"/>
      <c r="BF135" s="775"/>
      <c r="BG135" s="775"/>
      <c r="BH135" s="766"/>
      <c r="BI135" s="766"/>
      <c r="BJ135" s="766"/>
      <c r="BK135" s="766"/>
      <c r="BL135" s="766"/>
      <c r="BM135" s="766" t="s">
        <v>1238</v>
      </c>
      <c r="BN135" s="766" t="s">
        <v>1256</v>
      </c>
      <c r="BO135" s="766"/>
      <c r="BP135" s="776"/>
      <c r="BQ135" s="772"/>
      <c r="BR135" s="774"/>
      <c r="BS135" s="766" t="s">
        <v>1105</v>
      </c>
      <c r="BT135" s="766"/>
      <c r="BU135" s="766"/>
      <c r="BV135" s="766"/>
      <c r="BW135" s="766"/>
      <c r="BX135" s="779"/>
      <c r="BY135" s="766"/>
      <c r="BZ135" s="775"/>
      <c r="CA135" s="766"/>
      <c r="CB135" s="766"/>
      <c r="CC135" s="766"/>
      <c r="CD135" s="766"/>
      <c r="CE135" s="766"/>
      <c r="CF135" s="777"/>
      <c r="CG135" s="778"/>
      <c r="CH135" s="766"/>
      <c r="CI135" s="766"/>
      <c r="CJ135" s="766"/>
      <c r="CK135" s="766"/>
      <c r="CL135" s="766"/>
      <c r="CM135" s="766"/>
      <c r="CN135" s="766"/>
      <c r="CO135" s="766"/>
      <c r="CP135" s="766"/>
      <c r="CQ135" s="766"/>
      <c r="CR135" s="775"/>
      <c r="CS135" s="766"/>
      <c r="CT135" s="766"/>
      <c r="CU135" s="129"/>
      <c r="CV135" s="766"/>
      <c r="CW135" s="766"/>
      <c r="CX135" s="766"/>
      <c r="CY135" s="766"/>
      <c r="CZ135" s="766"/>
      <c r="DA135" s="766"/>
      <c r="DB135" s="766"/>
      <c r="DC135" s="766"/>
      <c r="DD135" s="766"/>
      <c r="DE135" s="766"/>
      <c r="DF135" s="766"/>
      <c r="DG135" s="766"/>
      <c r="DH135" s="766"/>
      <c r="DI135" s="766"/>
      <c r="DJ135" s="766"/>
      <c r="DK135" s="766"/>
      <c r="DL135" s="766"/>
      <c r="DM135" s="766"/>
      <c r="DN135" s="766"/>
      <c r="DO135" s="766"/>
      <c r="DP135" s="766"/>
      <c r="DQ135" s="766"/>
      <c r="DR135" s="766"/>
      <c r="DS135" s="59"/>
      <c r="DT135" s="766"/>
      <c r="DU135" s="766"/>
      <c r="DV135" s="766"/>
      <c r="DW135" s="66"/>
      <c r="DX135" s="66"/>
      <c r="DY135" s="766"/>
      <c r="DZ135" s="766"/>
      <c r="EA135" s="766"/>
      <c r="EB135" s="766"/>
      <c r="EC135" s="766"/>
      <c r="ED135" s="766"/>
      <c r="EE135" s="766"/>
      <c r="EF135" s="766"/>
      <c r="EG135" s="766"/>
      <c r="EH135" s="766"/>
      <c r="EI135" s="766"/>
      <c r="EJ135" s="766"/>
      <c r="EK135" s="766"/>
      <c r="EL135" s="766"/>
      <c r="EM135" s="766"/>
      <c r="EN135" s="766"/>
      <c r="EO135" s="766"/>
      <c r="EP135" s="766"/>
      <c r="EQ135" s="766"/>
      <c r="ER135" s="766"/>
      <c r="ES135" s="766"/>
      <c r="ET135" s="766"/>
      <c r="EU135" s="766"/>
      <c r="EV135" s="766"/>
      <c r="EW135" s="766"/>
      <c r="EX135" s="766"/>
      <c r="EY135" s="766"/>
      <c r="EZ135" s="766"/>
      <c r="FA135" s="766"/>
      <c r="FB135" s="766"/>
      <c r="FC135" s="766"/>
      <c r="FD135" s="775"/>
      <c r="FE135" s="766"/>
      <c r="FF135" s="766"/>
      <c r="FG135" s="770"/>
      <c r="FH135" s="766" t="s">
        <v>1306</v>
      </c>
      <c r="FI135" s="766">
        <v>1</v>
      </c>
      <c r="FJ135" s="766" t="s">
        <v>11976</v>
      </c>
      <c r="FK135" s="766" t="s">
        <v>11990</v>
      </c>
      <c r="FL135" s="766" t="s">
        <v>11991</v>
      </c>
      <c r="FM135" s="147">
        <v>1500</v>
      </c>
      <c r="FN135" s="775">
        <v>0</v>
      </c>
      <c r="FO135" s="775">
        <v>1500</v>
      </c>
      <c r="FP135" s="766" t="s">
        <v>1602</v>
      </c>
      <c r="FQ135" s="766" t="s">
        <v>1660</v>
      </c>
      <c r="FR135" s="766"/>
      <c r="FS135" s="766"/>
      <c r="FT135" s="766"/>
      <c r="FU135" s="766"/>
      <c r="FV135" s="766"/>
      <c r="FW135" s="766"/>
      <c r="FX135" s="766"/>
      <c r="FY135" s="766"/>
      <c r="FZ135" s="766"/>
      <c r="GA135" s="766"/>
      <c r="GB135" s="766"/>
      <c r="GC135" s="75"/>
      <c r="GD135" s="25"/>
      <c r="GE135" s="766"/>
      <c r="GF135" s="775"/>
      <c r="GG135" s="775"/>
      <c r="GH135" s="766"/>
      <c r="GI135" s="766"/>
      <c r="GJ135" s="766"/>
      <c r="GK135" s="766"/>
      <c r="GL135" s="766"/>
      <c r="GM135" s="766"/>
      <c r="GN135" s="82"/>
      <c r="GO135" s="766"/>
      <c r="GP135" s="766"/>
      <c r="GQ135" s="766"/>
      <c r="GR135" s="766"/>
      <c r="GS135" s="766"/>
      <c r="GT135" s="766"/>
      <c r="GU135" s="766"/>
      <c r="GV135" s="766"/>
      <c r="GW135" s="766"/>
      <c r="GX135" s="766"/>
      <c r="GY135" s="766"/>
      <c r="GZ135" s="766"/>
      <c r="HA135" s="766"/>
      <c r="HB135" s="766"/>
      <c r="HC135" s="766"/>
      <c r="HD135" s="766"/>
      <c r="HE135" s="766"/>
      <c r="HF135" s="766"/>
      <c r="HG135" s="766"/>
      <c r="HH135" s="766"/>
      <c r="HI135" s="766"/>
      <c r="HJ135" s="766"/>
      <c r="HK135" s="766"/>
      <c r="HL135" s="766"/>
      <c r="HM135" s="766"/>
      <c r="HN135" s="766"/>
      <c r="HO135" s="766"/>
      <c r="HP135" s="766"/>
      <c r="HQ135" s="766"/>
      <c r="HR135" s="766"/>
      <c r="HS135" s="766"/>
      <c r="HT135" s="766"/>
      <c r="HU135" s="766"/>
      <c r="HV135" s="766"/>
      <c r="HW135" s="766"/>
      <c r="HX135" s="766"/>
      <c r="HY135" s="766"/>
      <c r="HZ135" s="766"/>
      <c r="IA135" s="766"/>
      <c r="IB135" s="766"/>
      <c r="IC135" s="766"/>
      <c r="ID135" s="766"/>
      <c r="IE135" s="766"/>
      <c r="IF135" s="766"/>
      <c r="IG135" s="766"/>
      <c r="IH135" s="766"/>
      <c r="II135" s="766"/>
      <c r="IJ135" s="766"/>
      <c r="IK135" s="766"/>
      <c r="IL135" s="766"/>
      <c r="IM135" s="766"/>
      <c r="IN135" s="766"/>
      <c r="IO135" s="24"/>
      <c r="IP135" s="766"/>
      <c r="IQ135" s="766"/>
      <c r="IR135" s="766"/>
      <c r="IS135" s="766"/>
      <c r="IT135" s="766"/>
      <c r="IU135" s="766"/>
      <c r="IV135" s="766"/>
      <c r="IW135" s="766"/>
      <c r="IX135" s="766"/>
      <c r="IY135" s="766"/>
      <c r="IZ135" s="766"/>
      <c r="JA135" s="766"/>
      <c r="JB135" s="766"/>
      <c r="JC135" s="766"/>
      <c r="JD135" s="775"/>
      <c r="JE135" s="766"/>
      <c r="JF135" s="766"/>
      <c r="JG135" s="766"/>
      <c r="JH135" s="766"/>
      <c r="JI135" s="766"/>
      <c r="JJ135" s="766"/>
      <c r="JK135" s="766"/>
      <c r="JL135" s="766"/>
      <c r="JM135" s="766"/>
      <c r="JN135" s="766"/>
      <c r="JO135" s="766"/>
      <c r="JP135" s="766"/>
      <c r="JQ135" s="766"/>
      <c r="JR135" s="766"/>
      <c r="JS135" s="766"/>
      <c r="JT135" s="766"/>
      <c r="JU135" s="766"/>
      <c r="JV135" s="766"/>
      <c r="JW135" s="766"/>
      <c r="JX135" s="766"/>
      <c r="JY135" s="766"/>
      <c r="JZ135" s="766"/>
      <c r="KA135" s="766"/>
      <c r="KB135" s="766"/>
      <c r="KC135" s="766"/>
      <c r="KD135" s="766"/>
      <c r="KE135" s="766"/>
      <c r="KF135" s="766"/>
      <c r="KG135" s="766"/>
      <c r="KH135" s="766"/>
      <c r="KI135" s="766"/>
      <c r="KJ135" s="770"/>
      <c r="KK135" s="770"/>
      <c r="KL135" s="770"/>
      <c r="KM135" s="770"/>
      <c r="KN135" s="766"/>
      <c r="KO135" s="766"/>
      <c r="KP135" s="766"/>
      <c r="KQ135" s="766"/>
      <c r="KR135" s="766"/>
      <c r="KS135" s="766"/>
      <c r="KT135" s="766"/>
      <c r="KU135" s="766"/>
      <c r="KV135" s="766"/>
      <c r="KW135" s="766"/>
      <c r="KX135" s="766"/>
      <c r="KY135" s="766"/>
      <c r="KZ135" s="766"/>
      <c r="LA135" s="766"/>
      <c r="LB135" s="766"/>
      <c r="LC135" s="766"/>
      <c r="LD135" s="766"/>
      <c r="LE135" s="766"/>
      <c r="LF135" s="766"/>
      <c r="LG135" s="766"/>
      <c r="LH135" s="766"/>
      <c r="LI135" s="766"/>
      <c r="LJ135" s="766"/>
      <c r="LK135" s="766"/>
      <c r="LL135" s="766"/>
      <c r="LM135" s="766"/>
      <c r="LN135" s="766"/>
      <c r="LO135" s="766"/>
      <c r="LP135" s="766"/>
      <c r="LQ135" s="766"/>
      <c r="LR135" s="766"/>
      <c r="LS135" s="766"/>
      <c r="LT135" s="766"/>
      <c r="LU135" s="766"/>
      <c r="LV135" s="766"/>
      <c r="LW135" s="766"/>
      <c r="LX135" s="769"/>
      <c r="LY135" s="766" t="str">
        <f t="shared" ref="LY135:LY166" si="36">IF(ISBLANK(LX135)=TRUE,"",LOOKUP(LX135,RT:RU))</f>
        <v/>
      </c>
      <c r="LZ135" s="66"/>
      <c r="MA135" s="766"/>
      <c r="MB135" s="766"/>
      <c r="MC135" s="1679">
        <f t="shared" si="24"/>
        <v>0</v>
      </c>
      <c r="MD135" s="66"/>
      <c r="ME135" s="66"/>
      <c r="MF135" s="66"/>
      <c r="MG135" s="1680">
        <f t="shared" si="34"/>
        <v>0</v>
      </c>
      <c r="MH135" s="766"/>
      <c r="MI135" s="775"/>
      <c r="MJ135" s="775"/>
      <c r="MK135" s="775"/>
      <c r="ML135" s="775"/>
      <c r="MM135" s="775"/>
      <c r="MN135" s="775"/>
      <c r="MO135" s="775"/>
      <c r="MP135" s="775"/>
      <c r="MQ135" s="775"/>
      <c r="MR135" s="775"/>
      <c r="MS135" s="775"/>
      <c r="MT135" s="775"/>
      <c r="MU135" s="775"/>
      <c r="MV135" s="775"/>
      <c r="MW135" s="775"/>
      <c r="MX135" s="775"/>
      <c r="MY135" s="1682">
        <f t="shared" si="35"/>
        <v>0</v>
      </c>
      <c r="MZ135" s="766"/>
      <c r="NA135" s="766"/>
      <c r="NB135" s="766"/>
      <c r="NC135" s="766"/>
      <c r="ND135" s="766"/>
      <c r="NE135" s="766"/>
      <c r="NF135" s="766"/>
      <c r="NG135" s="766"/>
      <c r="NH135" s="766"/>
      <c r="NI135" s="766"/>
      <c r="NJ135" s="766"/>
      <c r="NK135" s="766"/>
      <c r="NL135" s="766"/>
      <c r="NM135" s="766"/>
      <c r="NN135" s="766"/>
      <c r="NO135" s="766"/>
      <c r="NP135" s="766"/>
      <c r="NQ135" s="766"/>
      <c r="NR135" s="766"/>
      <c r="NS135" s="766"/>
      <c r="NT135" s="766"/>
      <c r="NU135" s="766"/>
      <c r="NV135" s="766"/>
      <c r="NW135" s="766"/>
      <c r="NX135" s="766"/>
      <c r="NY135" s="766"/>
      <c r="NZ135" s="766"/>
      <c r="OA135" s="766"/>
      <c r="OB135" s="766"/>
      <c r="OC135" s="766"/>
      <c r="OD135" s="766"/>
      <c r="OE135" s="766"/>
      <c r="OF135" s="766"/>
      <c r="OG135" s="766"/>
      <c r="OH135" s="766"/>
      <c r="OI135" s="766"/>
      <c r="OJ135" s="766"/>
      <c r="OK135" s="766"/>
      <c r="OL135" s="766"/>
      <c r="OM135" s="766"/>
      <c r="ON135" s="766"/>
      <c r="OO135" s="766"/>
      <c r="OP135" s="766"/>
      <c r="OQ135" s="766"/>
      <c r="OR135" s="766"/>
      <c r="OS135" s="766"/>
      <c r="OT135" s="766"/>
      <c r="OU135" s="766"/>
      <c r="OV135" s="766"/>
      <c r="OW135" s="766"/>
      <c r="OX135" s="766"/>
      <c r="OY135" s="766"/>
      <c r="OZ135" s="766"/>
      <c r="PA135" s="766"/>
      <c r="PB135" s="766"/>
      <c r="PC135" s="766"/>
      <c r="PD135" s="766"/>
      <c r="PE135" s="766"/>
      <c r="PF135" s="766"/>
      <c r="PG135" s="766"/>
      <c r="PH135" s="766"/>
      <c r="PI135" s="766"/>
      <c r="PJ135" s="766"/>
      <c r="PK135" s="766"/>
      <c r="PL135" s="766"/>
      <c r="PM135" s="766"/>
      <c r="PN135" s="766"/>
      <c r="PO135" s="766"/>
      <c r="PP135" s="766"/>
      <c r="PQ135" s="766"/>
      <c r="PR135" s="766"/>
      <c r="PS135" s="766"/>
      <c r="PT135" s="766"/>
      <c r="PU135" s="766"/>
      <c r="PV135" s="766"/>
      <c r="PW135" s="766"/>
      <c r="PX135" s="766"/>
      <c r="PY135" s="766"/>
      <c r="PZ135" s="766"/>
      <c r="QA135" s="766"/>
      <c r="QB135" s="766"/>
      <c r="QC135" s="766"/>
      <c r="QD135" s="766"/>
      <c r="QE135" s="766"/>
      <c r="QF135" s="766"/>
      <c r="QG135" s="766"/>
      <c r="QH135" s="766"/>
      <c r="QI135" s="766"/>
      <c r="QJ135" s="766"/>
      <c r="QK135" s="766"/>
      <c r="QL135" s="766"/>
      <c r="QM135" s="766"/>
      <c r="QN135" s="766"/>
      <c r="QO135" s="766"/>
      <c r="QP135" s="766"/>
      <c r="QQ135" s="766"/>
      <c r="QR135" s="766"/>
      <c r="QS135" s="766"/>
      <c r="QT135" s="766"/>
      <c r="QU135" s="766"/>
      <c r="QV135" s="766"/>
      <c r="QW135" s="766"/>
      <c r="QX135" s="766"/>
      <c r="QY135" s="766"/>
      <c r="QZ135" s="766"/>
      <c r="RA135" s="766"/>
      <c r="RB135" s="770"/>
      <c r="RC135" s="766"/>
      <c r="RD135" s="766"/>
      <c r="RE135" s="766"/>
      <c r="RF135" s="777"/>
      <c r="RG135" s="766"/>
      <c r="RH135" s="775"/>
      <c r="RI135" s="766"/>
      <c r="RJ135" s="766"/>
      <c r="RK135" s="766"/>
      <c r="RL135" s="1683"/>
      <c r="RM135" s="12"/>
      <c r="RN135" s="1711"/>
      <c r="RO135" s="171" t="s">
        <v>11845</v>
      </c>
      <c r="RP135" s="11"/>
      <c r="RQ135" s="11"/>
      <c r="RR135" s="17"/>
      <c r="RS135" s="766"/>
      <c r="RT135" s="11"/>
      <c r="RU135" s="11"/>
      <c r="RV135" s="766" t="s">
        <v>7419</v>
      </c>
      <c r="RW135" s="11" t="s">
        <v>7955</v>
      </c>
      <c r="RX135" s="11" t="s">
        <v>242</v>
      </c>
      <c r="RY135" s="11"/>
      <c r="RZ135" s="11"/>
      <c r="SA135" s="766"/>
      <c r="SB135" s="11"/>
      <c r="SC135" s="11"/>
    </row>
    <row r="136" spans="1:497" ht="12.75" hidden="1" customHeight="1">
      <c r="A136" s="19" t="s">
        <v>14152</v>
      </c>
      <c r="B136" s="288" t="s">
        <v>11964</v>
      </c>
      <c r="C136" s="171" t="s">
        <v>11845</v>
      </c>
      <c r="D136" s="766" t="s">
        <v>11968</v>
      </c>
      <c r="E136" s="766" t="s">
        <v>11969</v>
      </c>
      <c r="F136" s="766" t="s">
        <v>451</v>
      </c>
      <c r="G136" s="766" t="s">
        <v>18</v>
      </c>
      <c r="H136" s="766"/>
      <c r="I136" s="5" t="s">
        <v>11980</v>
      </c>
      <c r="J136" s="766" t="s">
        <v>11981</v>
      </c>
      <c r="K136" s="766"/>
      <c r="L136" s="766"/>
      <c r="M136" s="766"/>
      <c r="N136" s="766"/>
      <c r="O136" s="766"/>
      <c r="P136" s="766" t="s">
        <v>11982</v>
      </c>
      <c r="Q136" s="1085">
        <v>29443</v>
      </c>
      <c r="R136" s="25">
        <v>37</v>
      </c>
      <c r="S136" s="766" t="s">
        <v>10</v>
      </c>
      <c r="T136" s="766"/>
      <c r="U136" s="26" t="s">
        <v>11980</v>
      </c>
      <c r="V136" s="766" t="s">
        <v>707</v>
      </c>
      <c r="W136" s="766" t="s">
        <v>11981</v>
      </c>
      <c r="X136" s="24"/>
      <c r="Y136" s="766" t="s">
        <v>11969</v>
      </c>
      <c r="Z136" s="766" t="s">
        <v>708</v>
      </c>
      <c r="AA136" s="766" t="s">
        <v>709</v>
      </c>
      <c r="AB136" s="766" t="s">
        <v>744</v>
      </c>
      <c r="AC136" s="766" t="s">
        <v>724</v>
      </c>
      <c r="AD136" s="766"/>
      <c r="AE136" s="766"/>
      <c r="AF136" s="766" t="s">
        <v>712</v>
      </c>
      <c r="AG136" s="766"/>
      <c r="AH136" s="766"/>
      <c r="AI136" s="766"/>
      <c r="AJ136" s="766"/>
      <c r="AK136" s="766" t="s">
        <v>1899</v>
      </c>
      <c r="AL136" s="121"/>
      <c r="AM136" s="772"/>
      <c r="AN136" s="774"/>
      <c r="AO136" s="766"/>
      <c r="AP136" s="766"/>
      <c r="AQ136" s="766"/>
      <c r="AR136" s="766"/>
      <c r="AS136" s="766"/>
      <c r="AT136" s="766"/>
      <c r="AU136" s="766"/>
      <c r="AV136" s="766"/>
      <c r="AW136" s="766"/>
      <c r="AX136" s="766"/>
      <c r="AY136" s="766"/>
      <c r="AZ136" s="766"/>
      <c r="BA136" s="766"/>
      <c r="BB136" s="766"/>
      <c r="BC136" s="766"/>
      <c r="BD136" s="766"/>
      <c r="BE136" s="766"/>
      <c r="BF136" s="775"/>
      <c r="BG136" s="775"/>
      <c r="BH136" s="766"/>
      <c r="BI136" s="766"/>
      <c r="BJ136" s="766"/>
      <c r="BK136" s="766"/>
      <c r="BL136" s="766"/>
      <c r="BM136" s="766" t="s">
        <v>1238</v>
      </c>
      <c r="BN136" s="766" t="s">
        <v>1256</v>
      </c>
      <c r="BO136" s="766"/>
      <c r="BP136" s="776"/>
      <c r="BQ136" s="772"/>
      <c r="BR136" s="774"/>
      <c r="BS136" s="766" t="s">
        <v>1105</v>
      </c>
      <c r="BT136" s="766"/>
      <c r="BU136" s="766"/>
      <c r="BV136" s="766"/>
      <c r="BW136" s="766"/>
      <c r="BX136" s="779"/>
      <c r="BY136" s="766"/>
      <c r="BZ136" s="775"/>
      <c r="CA136" s="766"/>
      <c r="CB136" s="766"/>
      <c r="CC136" s="766"/>
      <c r="CD136" s="766"/>
      <c r="CE136" s="766"/>
      <c r="CF136" s="777"/>
      <c r="CG136" s="778"/>
      <c r="CH136" s="766"/>
      <c r="CI136" s="766"/>
      <c r="CJ136" s="766"/>
      <c r="CK136" s="766"/>
      <c r="CL136" s="766"/>
      <c r="CM136" s="766"/>
      <c r="CN136" s="766"/>
      <c r="CO136" s="766"/>
      <c r="CP136" s="766"/>
      <c r="CQ136" s="766"/>
      <c r="CR136" s="775"/>
      <c r="CS136" s="766"/>
      <c r="CT136" s="766"/>
      <c r="CU136" s="129"/>
      <c r="CV136" s="766"/>
      <c r="CW136" s="766"/>
      <c r="CX136" s="766"/>
      <c r="CY136" s="766"/>
      <c r="CZ136" s="766"/>
      <c r="DA136" s="766"/>
      <c r="DB136" s="766"/>
      <c r="DC136" s="766"/>
      <c r="DD136" s="766"/>
      <c r="DE136" s="766"/>
      <c r="DF136" s="766"/>
      <c r="DG136" s="766"/>
      <c r="DH136" s="766"/>
      <c r="DI136" s="766"/>
      <c r="DJ136" s="766"/>
      <c r="DK136" s="766"/>
      <c r="DL136" s="766"/>
      <c r="DM136" s="766"/>
      <c r="DN136" s="766"/>
      <c r="DO136" s="766"/>
      <c r="DP136" s="766"/>
      <c r="DQ136" s="766"/>
      <c r="DR136" s="766"/>
      <c r="DS136" s="59"/>
      <c r="DT136" s="766"/>
      <c r="DU136" s="766"/>
      <c r="DV136" s="766"/>
      <c r="DW136" s="66"/>
      <c r="DX136" s="66"/>
      <c r="DY136" s="766"/>
      <c r="DZ136" s="766"/>
      <c r="EA136" s="766"/>
      <c r="EB136" s="766"/>
      <c r="EC136" s="766"/>
      <c r="ED136" s="766"/>
      <c r="EE136" s="766"/>
      <c r="EF136" s="766"/>
      <c r="EG136" s="766"/>
      <c r="EH136" s="766"/>
      <c r="EI136" s="766"/>
      <c r="EJ136" s="766"/>
      <c r="EK136" s="766"/>
      <c r="EL136" s="766"/>
      <c r="EM136" s="766"/>
      <c r="EN136" s="766"/>
      <c r="EO136" s="766"/>
      <c r="EP136" s="766"/>
      <c r="EQ136" s="766"/>
      <c r="ER136" s="766"/>
      <c r="ES136" s="766"/>
      <c r="ET136" s="766"/>
      <c r="EU136" s="766"/>
      <c r="EV136" s="766"/>
      <c r="EW136" s="766"/>
      <c r="EX136" s="766"/>
      <c r="EY136" s="766"/>
      <c r="EZ136" s="766"/>
      <c r="FA136" s="766"/>
      <c r="FB136" s="766"/>
      <c r="FC136" s="766"/>
      <c r="FD136" s="775"/>
      <c r="FE136" s="766"/>
      <c r="FF136" s="766"/>
      <c r="FG136" s="770"/>
      <c r="FH136" s="766" t="s">
        <v>1306</v>
      </c>
      <c r="FI136" s="766">
        <v>1</v>
      </c>
      <c r="FJ136" s="766" t="s">
        <v>11976</v>
      </c>
      <c r="FK136" s="766" t="s">
        <v>11990</v>
      </c>
      <c r="FL136" s="766" t="s">
        <v>11991</v>
      </c>
      <c r="FM136" s="775"/>
      <c r="FN136" s="775"/>
      <c r="FO136" s="775"/>
      <c r="FP136" s="766" t="s">
        <v>1602</v>
      </c>
      <c r="FQ136" s="766" t="s">
        <v>1660</v>
      </c>
      <c r="FR136" s="766"/>
      <c r="FS136" s="766"/>
      <c r="FT136" s="766"/>
      <c r="FU136" s="766"/>
      <c r="FV136" s="766"/>
      <c r="FW136" s="766"/>
      <c r="FX136" s="766"/>
      <c r="FY136" s="766"/>
      <c r="FZ136" s="766"/>
      <c r="GA136" s="766"/>
      <c r="GB136" s="766"/>
      <c r="GC136" s="75"/>
      <c r="GD136" s="25"/>
      <c r="GE136" s="766"/>
      <c r="GF136" s="775"/>
      <c r="GG136" s="775"/>
      <c r="GH136" s="766"/>
      <c r="GI136" s="766"/>
      <c r="GJ136" s="766"/>
      <c r="GK136" s="766"/>
      <c r="GL136" s="766"/>
      <c r="GM136" s="766"/>
      <c r="GN136" s="82"/>
      <c r="GO136" s="766"/>
      <c r="GP136" s="766"/>
      <c r="GQ136" s="766"/>
      <c r="GR136" s="766"/>
      <c r="GS136" s="766"/>
      <c r="GT136" s="766"/>
      <c r="GU136" s="766"/>
      <c r="GV136" s="766"/>
      <c r="GW136" s="766"/>
      <c r="GX136" s="766"/>
      <c r="GY136" s="766"/>
      <c r="GZ136" s="766"/>
      <c r="HA136" s="766"/>
      <c r="HB136" s="766"/>
      <c r="HC136" s="766"/>
      <c r="HD136" s="766"/>
      <c r="HE136" s="766"/>
      <c r="HF136" s="766"/>
      <c r="HG136" s="766"/>
      <c r="HH136" s="766"/>
      <c r="HI136" s="766"/>
      <c r="HJ136" s="766"/>
      <c r="HK136" s="766"/>
      <c r="HL136" s="766"/>
      <c r="HM136" s="766"/>
      <c r="HN136" s="766"/>
      <c r="HO136" s="766"/>
      <c r="HP136" s="766"/>
      <c r="HQ136" s="766"/>
      <c r="HR136" s="766"/>
      <c r="HS136" s="766"/>
      <c r="HT136" s="766"/>
      <c r="HU136" s="766"/>
      <c r="HV136" s="766"/>
      <c r="HW136" s="766"/>
      <c r="HX136" s="766"/>
      <c r="HY136" s="766"/>
      <c r="HZ136" s="766"/>
      <c r="IA136" s="766"/>
      <c r="IB136" s="766"/>
      <c r="IC136" s="766"/>
      <c r="ID136" s="766"/>
      <c r="IE136" s="766"/>
      <c r="IF136" s="766"/>
      <c r="IG136" s="766"/>
      <c r="IH136" s="766"/>
      <c r="II136" s="766"/>
      <c r="IJ136" s="766"/>
      <c r="IK136" s="766"/>
      <c r="IL136" s="766"/>
      <c r="IM136" s="766"/>
      <c r="IN136" s="766"/>
      <c r="IO136" s="24"/>
      <c r="IP136" s="766"/>
      <c r="IQ136" s="766"/>
      <c r="IR136" s="766"/>
      <c r="IS136" s="766"/>
      <c r="IT136" s="766"/>
      <c r="IU136" s="766"/>
      <c r="IV136" s="766"/>
      <c r="IW136" s="766"/>
      <c r="IX136" s="766"/>
      <c r="IY136" s="766"/>
      <c r="IZ136" s="766"/>
      <c r="JA136" s="766"/>
      <c r="JB136" s="766"/>
      <c r="JC136" s="766"/>
      <c r="JD136" s="775"/>
      <c r="JE136" s="766"/>
      <c r="JF136" s="766"/>
      <c r="JG136" s="766"/>
      <c r="JH136" s="766"/>
      <c r="JI136" s="766"/>
      <c r="JJ136" s="766"/>
      <c r="JK136" s="766"/>
      <c r="JL136" s="766"/>
      <c r="JM136" s="766"/>
      <c r="JN136" s="766"/>
      <c r="JO136" s="766"/>
      <c r="JP136" s="766"/>
      <c r="JQ136" s="766"/>
      <c r="JR136" s="766"/>
      <c r="JS136" s="766"/>
      <c r="JT136" s="766"/>
      <c r="JU136" s="766"/>
      <c r="JV136" s="766"/>
      <c r="JW136" s="766"/>
      <c r="JX136" s="766"/>
      <c r="JY136" s="766"/>
      <c r="JZ136" s="766"/>
      <c r="KA136" s="766"/>
      <c r="KB136" s="766"/>
      <c r="KC136" s="766"/>
      <c r="KD136" s="766"/>
      <c r="KE136" s="766"/>
      <c r="KF136" s="766"/>
      <c r="KG136" s="766"/>
      <c r="KH136" s="766"/>
      <c r="KI136" s="766"/>
      <c r="KJ136" s="770"/>
      <c r="KK136" s="770"/>
      <c r="KL136" s="770"/>
      <c r="KM136" s="770"/>
      <c r="KN136" s="766"/>
      <c r="KO136" s="766"/>
      <c r="KP136" s="766"/>
      <c r="KQ136" s="766"/>
      <c r="KR136" s="766"/>
      <c r="KS136" s="766"/>
      <c r="KT136" s="766"/>
      <c r="KU136" s="766"/>
      <c r="KV136" s="766"/>
      <c r="KW136" s="766"/>
      <c r="KX136" s="766"/>
      <c r="KY136" s="766"/>
      <c r="KZ136" s="766"/>
      <c r="LA136" s="766"/>
      <c r="LB136" s="766"/>
      <c r="LC136" s="766"/>
      <c r="LD136" s="766"/>
      <c r="LE136" s="766"/>
      <c r="LF136" s="766"/>
      <c r="LG136" s="766"/>
      <c r="LH136" s="766"/>
      <c r="LI136" s="766"/>
      <c r="LJ136" s="766"/>
      <c r="LK136" s="766"/>
      <c r="LL136" s="766"/>
      <c r="LM136" s="766"/>
      <c r="LN136" s="766"/>
      <c r="LO136" s="766"/>
      <c r="LP136" s="766"/>
      <c r="LQ136" s="766"/>
      <c r="LR136" s="766"/>
      <c r="LS136" s="766"/>
      <c r="LT136" s="766"/>
      <c r="LU136" s="766"/>
      <c r="LV136" s="766"/>
      <c r="LW136" s="766"/>
      <c r="LX136" s="769"/>
      <c r="LY136" s="766" t="str">
        <f t="shared" si="36"/>
        <v/>
      </c>
      <c r="LZ136" s="66"/>
      <c r="MA136" s="766"/>
      <c r="MB136" s="766"/>
      <c r="MC136" s="1679">
        <f t="shared" si="24"/>
        <v>0</v>
      </c>
      <c r="MD136" s="66"/>
      <c r="ME136" s="66"/>
      <c r="MF136" s="66"/>
      <c r="MG136" s="1680">
        <f t="shared" si="34"/>
        <v>0</v>
      </c>
      <c r="MH136" s="766"/>
      <c r="MI136" s="775"/>
      <c r="MJ136" s="775"/>
      <c r="MK136" s="775"/>
      <c r="ML136" s="775"/>
      <c r="MM136" s="775"/>
      <c r="MN136" s="775"/>
      <c r="MO136" s="775"/>
      <c r="MP136" s="775"/>
      <c r="MQ136" s="775"/>
      <c r="MR136" s="775"/>
      <c r="MS136" s="775"/>
      <c r="MT136" s="775"/>
      <c r="MU136" s="775"/>
      <c r="MV136" s="775"/>
      <c r="MW136" s="775"/>
      <c r="MX136" s="775"/>
      <c r="MY136" s="1682">
        <f t="shared" si="35"/>
        <v>0</v>
      </c>
      <c r="MZ136" s="766"/>
      <c r="NA136" s="766"/>
      <c r="NB136" s="766"/>
      <c r="NC136" s="766"/>
      <c r="ND136" s="766"/>
      <c r="NE136" s="766"/>
      <c r="NF136" s="766"/>
      <c r="NG136" s="766"/>
      <c r="NH136" s="766"/>
      <c r="NI136" s="766"/>
      <c r="NJ136" s="766"/>
      <c r="NK136" s="766"/>
      <c r="NL136" s="766"/>
      <c r="NM136" s="766"/>
      <c r="NN136" s="766"/>
      <c r="NO136" s="766"/>
      <c r="NP136" s="766"/>
      <c r="NQ136" s="766"/>
      <c r="NR136" s="766"/>
      <c r="NS136" s="766"/>
      <c r="NT136" s="766"/>
      <c r="NU136" s="766"/>
      <c r="NV136" s="766"/>
      <c r="NW136" s="766"/>
      <c r="NX136" s="766"/>
      <c r="NY136" s="766"/>
      <c r="NZ136" s="766"/>
      <c r="OA136" s="766"/>
      <c r="OB136" s="766"/>
      <c r="OC136" s="766"/>
      <c r="OD136" s="766"/>
      <c r="OE136" s="766"/>
      <c r="OF136" s="766"/>
      <c r="OG136" s="766"/>
      <c r="OH136" s="766"/>
      <c r="OI136" s="766"/>
      <c r="OJ136" s="766"/>
      <c r="OK136" s="766"/>
      <c r="OL136" s="766"/>
      <c r="OM136" s="766"/>
      <c r="ON136" s="766"/>
      <c r="OO136" s="766"/>
      <c r="OP136" s="766"/>
      <c r="OQ136" s="766"/>
      <c r="OR136" s="766"/>
      <c r="OS136" s="766"/>
      <c r="OT136" s="766"/>
      <c r="OU136" s="766"/>
      <c r="OV136" s="766"/>
      <c r="OW136" s="766"/>
      <c r="OX136" s="766"/>
      <c r="OY136" s="766"/>
      <c r="OZ136" s="766"/>
      <c r="PA136" s="766"/>
      <c r="PB136" s="766"/>
      <c r="PC136" s="766"/>
      <c r="PD136" s="766"/>
      <c r="PE136" s="766"/>
      <c r="PF136" s="766"/>
      <c r="PG136" s="766"/>
      <c r="PH136" s="766"/>
      <c r="PI136" s="766"/>
      <c r="PJ136" s="766"/>
      <c r="PK136" s="766"/>
      <c r="PL136" s="766"/>
      <c r="PM136" s="766"/>
      <c r="PN136" s="766"/>
      <c r="PO136" s="766"/>
      <c r="PP136" s="766"/>
      <c r="PQ136" s="766"/>
      <c r="PR136" s="766"/>
      <c r="PS136" s="766"/>
      <c r="PT136" s="766"/>
      <c r="PU136" s="766"/>
      <c r="PV136" s="766"/>
      <c r="PW136" s="766"/>
      <c r="PX136" s="766"/>
      <c r="PY136" s="766"/>
      <c r="PZ136" s="766"/>
      <c r="QA136" s="766"/>
      <c r="QB136" s="766"/>
      <c r="QC136" s="766"/>
      <c r="QD136" s="766"/>
      <c r="QE136" s="766"/>
      <c r="QF136" s="766"/>
      <c r="QG136" s="766"/>
      <c r="QH136" s="766"/>
      <c r="QI136" s="766"/>
      <c r="QJ136" s="766"/>
      <c r="QK136" s="766"/>
      <c r="QL136" s="766"/>
      <c r="QM136" s="766"/>
      <c r="QN136" s="766"/>
      <c r="QO136" s="766"/>
      <c r="QP136" s="766"/>
      <c r="QQ136" s="766"/>
      <c r="QR136" s="766"/>
      <c r="QS136" s="766"/>
      <c r="QT136" s="766"/>
      <c r="QU136" s="766"/>
      <c r="QV136" s="766"/>
      <c r="QW136" s="766"/>
      <c r="QX136" s="766"/>
      <c r="QY136" s="766"/>
      <c r="QZ136" s="766"/>
      <c r="RA136" s="766"/>
      <c r="RB136" s="770"/>
      <c r="RC136" s="766"/>
      <c r="RD136" s="766"/>
      <c r="RE136" s="766"/>
      <c r="RF136" s="777"/>
      <c r="RG136" s="766"/>
      <c r="RH136" s="775"/>
      <c r="RI136" s="766"/>
      <c r="RJ136" s="766"/>
      <c r="RK136" s="766"/>
      <c r="RL136" s="1683"/>
      <c r="RM136" s="12"/>
      <c r="RN136" s="1711"/>
      <c r="RO136" s="171" t="s">
        <v>11845</v>
      </c>
      <c r="RP136" s="11"/>
      <c r="RQ136" s="11"/>
      <c r="RR136" s="17"/>
      <c r="RS136" s="766"/>
      <c r="RT136" s="11"/>
      <c r="RU136" s="11"/>
      <c r="RV136" s="766" t="s">
        <v>7419</v>
      </c>
      <c r="RW136" s="11" t="s">
        <v>11962</v>
      </c>
      <c r="RX136" s="11" t="s">
        <v>11845</v>
      </c>
      <c r="RY136" s="11"/>
      <c r="RZ136" s="11"/>
      <c r="SA136" s="766"/>
      <c r="SB136" s="11"/>
      <c r="SC136" s="11"/>
    </row>
    <row r="137" spans="1:497" ht="12.75" hidden="1" customHeight="1">
      <c r="A137" s="19" t="s">
        <v>14152</v>
      </c>
      <c r="B137" s="288" t="s">
        <v>11965</v>
      </c>
      <c r="C137" s="171" t="s">
        <v>11845</v>
      </c>
      <c r="D137" s="766" t="s">
        <v>11966</v>
      </c>
      <c r="E137" s="766" t="s">
        <v>11969</v>
      </c>
      <c r="F137" s="766" t="s">
        <v>451</v>
      </c>
      <c r="G137" s="766" t="s">
        <v>18</v>
      </c>
      <c r="H137" s="766"/>
      <c r="I137" s="295"/>
      <c r="J137" s="5" t="s">
        <v>11983</v>
      </c>
      <c r="K137" s="766"/>
      <c r="L137" s="766"/>
      <c r="M137" s="766"/>
      <c r="N137" s="766"/>
      <c r="O137" s="766"/>
      <c r="P137" s="5" t="s">
        <v>11984</v>
      </c>
      <c r="Q137" s="1085">
        <v>30612</v>
      </c>
      <c r="R137" s="25">
        <v>34</v>
      </c>
      <c r="S137" s="766" t="s">
        <v>10</v>
      </c>
      <c r="T137" s="766"/>
      <c r="U137" s="26" t="s">
        <v>11985</v>
      </c>
      <c r="V137" s="766"/>
      <c r="W137" s="766" t="s">
        <v>11966</v>
      </c>
      <c r="X137" s="24">
        <v>28996</v>
      </c>
      <c r="Y137" s="766" t="s">
        <v>11969</v>
      </c>
      <c r="Z137" s="766" t="s">
        <v>708</v>
      </c>
      <c r="AA137" s="766" t="s">
        <v>709</v>
      </c>
      <c r="AB137" s="766" t="s">
        <v>744</v>
      </c>
      <c r="AC137" s="766" t="s">
        <v>724</v>
      </c>
      <c r="AD137" s="766" t="s">
        <v>711</v>
      </c>
      <c r="AE137" s="766"/>
      <c r="AF137" s="766" t="s">
        <v>712</v>
      </c>
      <c r="AG137" s="766"/>
      <c r="AH137" s="766"/>
      <c r="AI137" s="766"/>
      <c r="AJ137" s="766"/>
      <c r="AK137" s="766" t="s">
        <v>1899</v>
      </c>
      <c r="AL137" s="121"/>
      <c r="AM137" s="772"/>
      <c r="AN137" s="774"/>
      <c r="AO137" s="766"/>
      <c r="AP137" s="766"/>
      <c r="AQ137" s="766"/>
      <c r="AR137" s="766"/>
      <c r="AS137" s="766"/>
      <c r="AT137" s="766"/>
      <c r="AU137" s="766"/>
      <c r="AV137" s="766"/>
      <c r="AW137" s="766"/>
      <c r="AX137" s="766"/>
      <c r="AY137" s="766"/>
      <c r="AZ137" s="766"/>
      <c r="BA137" s="766"/>
      <c r="BB137" s="766"/>
      <c r="BC137" s="766"/>
      <c r="BD137" s="766"/>
      <c r="BE137" s="766"/>
      <c r="BF137" s="775"/>
      <c r="BG137" s="775"/>
      <c r="BH137" s="766"/>
      <c r="BI137" s="766"/>
      <c r="BJ137" s="766"/>
      <c r="BK137" s="766"/>
      <c r="BL137" s="766"/>
      <c r="BM137" s="766" t="s">
        <v>1238</v>
      </c>
      <c r="BN137" s="766" t="s">
        <v>1256</v>
      </c>
      <c r="BO137" s="766"/>
      <c r="BP137" s="776"/>
      <c r="BQ137" s="772"/>
      <c r="BR137" s="774"/>
      <c r="BS137" s="766" t="s">
        <v>1105</v>
      </c>
      <c r="BT137" s="766"/>
      <c r="BU137" s="766"/>
      <c r="BV137" s="766"/>
      <c r="BW137" s="766"/>
      <c r="BX137" s="779"/>
      <c r="BY137" s="766"/>
      <c r="BZ137" s="775"/>
      <c r="CA137" s="766"/>
      <c r="CB137" s="766"/>
      <c r="CC137" s="766"/>
      <c r="CD137" s="766"/>
      <c r="CE137" s="766"/>
      <c r="CF137" s="777"/>
      <c r="CG137" s="778"/>
      <c r="CH137" s="766"/>
      <c r="CI137" s="766"/>
      <c r="CJ137" s="766"/>
      <c r="CK137" s="766"/>
      <c r="CL137" s="766"/>
      <c r="CM137" s="766"/>
      <c r="CN137" s="766"/>
      <c r="CO137" s="766"/>
      <c r="CP137" s="766"/>
      <c r="CQ137" s="766"/>
      <c r="CR137" s="775"/>
      <c r="CS137" s="766"/>
      <c r="CT137" s="766"/>
      <c r="CU137" s="129"/>
      <c r="CV137" s="766"/>
      <c r="CW137" s="766"/>
      <c r="CX137" s="766"/>
      <c r="CY137" s="766"/>
      <c r="CZ137" s="766"/>
      <c r="DA137" s="766"/>
      <c r="DB137" s="766"/>
      <c r="DC137" s="766"/>
      <c r="DD137" s="766"/>
      <c r="DE137" s="766"/>
      <c r="DF137" s="766"/>
      <c r="DG137" s="766"/>
      <c r="DH137" s="766"/>
      <c r="DI137" s="766"/>
      <c r="DJ137" s="766"/>
      <c r="DK137" s="766"/>
      <c r="DL137" s="766"/>
      <c r="DM137" s="766"/>
      <c r="DN137" s="766"/>
      <c r="DO137" s="766"/>
      <c r="DP137" s="766"/>
      <c r="DQ137" s="766"/>
      <c r="DR137" s="766"/>
      <c r="DS137" s="59"/>
      <c r="DT137" s="766"/>
      <c r="DU137" s="766"/>
      <c r="DV137" s="766"/>
      <c r="DW137" s="66"/>
      <c r="DX137" s="66"/>
      <c r="DY137" s="766"/>
      <c r="DZ137" s="766"/>
      <c r="EA137" s="766"/>
      <c r="EB137" s="766"/>
      <c r="EC137" s="766"/>
      <c r="ED137" s="766"/>
      <c r="EE137" s="766"/>
      <c r="EF137" s="766"/>
      <c r="EG137" s="766"/>
      <c r="EH137" s="766"/>
      <c r="EI137" s="766"/>
      <c r="EJ137" s="766"/>
      <c r="EK137" s="766"/>
      <c r="EL137" s="766"/>
      <c r="EM137" s="766"/>
      <c r="EN137" s="766"/>
      <c r="EO137" s="766"/>
      <c r="EP137" s="766"/>
      <c r="EQ137" s="766"/>
      <c r="ER137" s="766"/>
      <c r="ES137" s="766"/>
      <c r="ET137" s="766"/>
      <c r="EU137" s="766"/>
      <c r="EV137" s="766"/>
      <c r="EW137" s="766"/>
      <c r="EX137" s="766"/>
      <c r="EY137" s="766"/>
      <c r="EZ137" s="766"/>
      <c r="FA137" s="766"/>
      <c r="FB137" s="766"/>
      <c r="FC137" s="766"/>
      <c r="FD137" s="775"/>
      <c r="FE137" s="766"/>
      <c r="FF137" s="766"/>
      <c r="FG137" s="770"/>
      <c r="FH137" s="766" t="s">
        <v>1306</v>
      </c>
      <c r="FI137" s="766">
        <v>1</v>
      </c>
      <c r="FJ137" s="766" t="s">
        <v>11976</v>
      </c>
      <c r="FK137" s="766" t="s">
        <v>11990</v>
      </c>
      <c r="FL137" s="766" t="s">
        <v>11991</v>
      </c>
      <c r="FM137" s="775"/>
      <c r="FN137" s="775"/>
      <c r="FO137" s="775"/>
      <c r="FP137" s="766" t="s">
        <v>1602</v>
      </c>
      <c r="FQ137" s="766" t="s">
        <v>1660</v>
      </c>
      <c r="FR137" s="766"/>
      <c r="FS137" s="766"/>
      <c r="FT137" s="766"/>
      <c r="FU137" s="766"/>
      <c r="FV137" s="766"/>
      <c r="FW137" s="766"/>
      <c r="FX137" s="766"/>
      <c r="FY137" s="766"/>
      <c r="FZ137" s="766"/>
      <c r="GA137" s="766"/>
      <c r="GB137" s="766"/>
      <c r="GC137" s="75"/>
      <c r="GD137" s="25"/>
      <c r="GE137" s="766"/>
      <c r="GF137" s="775"/>
      <c r="GG137" s="775"/>
      <c r="GH137" s="766"/>
      <c r="GI137" s="766"/>
      <c r="GJ137" s="766"/>
      <c r="GK137" s="766"/>
      <c r="GL137" s="766"/>
      <c r="GM137" s="766"/>
      <c r="GN137" s="82"/>
      <c r="GO137" s="766"/>
      <c r="GP137" s="766"/>
      <c r="GQ137" s="766"/>
      <c r="GR137" s="766"/>
      <c r="GS137" s="766"/>
      <c r="GT137" s="766"/>
      <c r="GU137" s="766"/>
      <c r="GV137" s="766"/>
      <c r="GW137" s="766"/>
      <c r="GX137" s="766"/>
      <c r="GY137" s="766"/>
      <c r="GZ137" s="766"/>
      <c r="HA137" s="766"/>
      <c r="HB137" s="766"/>
      <c r="HC137" s="766"/>
      <c r="HD137" s="766"/>
      <c r="HE137" s="766"/>
      <c r="HF137" s="766"/>
      <c r="HG137" s="766"/>
      <c r="HH137" s="766"/>
      <c r="HI137" s="766"/>
      <c r="HJ137" s="766"/>
      <c r="HK137" s="766"/>
      <c r="HL137" s="766"/>
      <c r="HM137" s="766"/>
      <c r="HN137" s="766"/>
      <c r="HO137" s="766"/>
      <c r="HP137" s="766"/>
      <c r="HQ137" s="766"/>
      <c r="HR137" s="766"/>
      <c r="HS137" s="766"/>
      <c r="HT137" s="766"/>
      <c r="HU137" s="766"/>
      <c r="HV137" s="766"/>
      <c r="HW137" s="766"/>
      <c r="HX137" s="766"/>
      <c r="HY137" s="766"/>
      <c r="HZ137" s="766"/>
      <c r="IA137" s="766"/>
      <c r="IB137" s="766"/>
      <c r="IC137" s="766"/>
      <c r="ID137" s="766"/>
      <c r="IE137" s="766"/>
      <c r="IF137" s="766"/>
      <c r="IG137" s="766"/>
      <c r="IH137" s="766"/>
      <c r="II137" s="766"/>
      <c r="IJ137" s="766"/>
      <c r="IK137" s="766"/>
      <c r="IL137" s="766"/>
      <c r="IM137" s="766"/>
      <c r="IN137" s="766"/>
      <c r="IO137" s="24"/>
      <c r="IP137" s="766"/>
      <c r="IQ137" s="766"/>
      <c r="IR137" s="766"/>
      <c r="IS137" s="766"/>
      <c r="IT137" s="766"/>
      <c r="IU137" s="766"/>
      <c r="IV137" s="766"/>
      <c r="IW137" s="766"/>
      <c r="IX137" s="766"/>
      <c r="IY137" s="766"/>
      <c r="IZ137" s="766"/>
      <c r="JA137" s="766"/>
      <c r="JB137" s="766"/>
      <c r="JC137" s="766"/>
      <c r="JD137" s="775"/>
      <c r="JE137" s="766"/>
      <c r="JF137" s="766"/>
      <c r="JG137" s="766"/>
      <c r="JH137" s="766"/>
      <c r="JI137" s="766"/>
      <c r="JJ137" s="766"/>
      <c r="JK137" s="766"/>
      <c r="JL137" s="766"/>
      <c r="JM137" s="766"/>
      <c r="JN137" s="766"/>
      <c r="JO137" s="766"/>
      <c r="JP137" s="766"/>
      <c r="JQ137" s="766"/>
      <c r="JR137" s="766"/>
      <c r="JS137" s="766"/>
      <c r="JT137" s="766"/>
      <c r="JU137" s="766"/>
      <c r="JV137" s="766"/>
      <c r="JW137" s="766"/>
      <c r="JX137" s="766"/>
      <c r="JY137" s="766"/>
      <c r="JZ137" s="766"/>
      <c r="KA137" s="766"/>
      <c r="KB137" s="766"/>
      <c r="KC137" s="766"/>
      <c r="KD137" s="766"/>
      <c r="KE137" s="766"/>
      <c r="KF137" s="766"/>
      <c r="KG137" s="766"/>
      <c r="KH137" s="766"/>
      <c r="KI137" s="766"/>
      <c r="KJ137" s="770"/>
      <c r="KK137" s="770"/>
      <c r="KL137" s="770"/>
      <c r="KM137" s="770"/>
      <c r="KN137" s="766"/>
      <c r="KO137" s="766"/>
      <c r="KP137" s="766"/>
      <c r="KQ137" s="766"/>
      <c r="KR137" s="766"/>
      <c r="KS137" s="766"/>
      <c r="KT137" s="766"/>
      <c r="KU137" s="766"/>
      <c r="KV137" s="766"/>
      <c r="KW137" s="766"/>
      <c r="KX137" s="766"/>
      <c r="KY137" s="766"/>
      <c r="KZ137" s="766"/>
      <c r="LA137" s="766"/>
      <c r="LB137" s="766"/>
      <c r="LC137" s="766"/>
      <c r="LD137" s="766"/>
      <c r="LE137" s="766"/>
      <c r="LF137" s="766"/>
      <c r="LG137" s="766"/>
      <c r="LH137" s="766"/>
      <c r="LI137" s="766"/>
      <c r="LJ137" s="766"/>
      <c r="LK137" s="766"/>
      <c r="LL137" s="766"/>
      <c r="LM137" s="766"/>
      <c r="LN137" s="766"/>
      <c r="LO137" s="766"/>
      <c r="LP137" s="766"/>
      <c r="LQ137" s="766"/>
      <c r="LR137" s="766"/>
      <c r="LS137" s="766"/>
      <c r="LT137" s="766"/>
      <c r="LU137" s="766"/>
      <c r="LV137" s="766"/>
      <c r="LW137" s="766"/>
      <c r="LX137" s="769"/>
      <c r="LY137" s="766" t="str">
        <f t="shared" si="36"/>
        <v/>
      </c>
      <c r="LZ137" s="66"/>
      <c r="MA137" s="766"/>
      <c r="MB137" s="766"/>
      <c r="MC137" s="1679">
        <f t="shared" si="24"/>
        <v>0</v>
      </c>
      <c r="MD137" s="66"/>
      <c r="ME137" s="66"/>
      <c r="MF137" s="66"/>
      <c r="MG137" s="1680">
        <f t="shared" si="34"/>
        <v>0</v>
      </c>
      <c r="MH137" s="766"/>
      <c r="MI137" s="775"/>
      <c r="MJ137" s="775"/>
      <c r="MK137" s="775"/>
      <c r="ML137" s="775"/>
      <c r="MM137" s="775"/>
      <c r="MN137" s="775"/>
      <c r="MO137" s="775"/>
      <c r="MP137" s="775"/>
      <c r="MQ137" s="775"/>
      <c r="MR137" s="775"/>
      <c r="MS137" s="775"/>
      <c r="MT137" s="775"/>
      <c r="MU137" s="775"/>
      <c r="MV137" s="775"/>
      <c r="MW137" s="775"/>
      <c r="MX137" s="775"/>
      <c r="MY137" s="1682">
        <f t="shared" si="35"/>
        <v>0</v>
      </c>
      <c r="MZ137" s="766"/>
      <c r="NA137" s="766"/>
      <c r="NB137" s="766"/>
      <c r="NC137" s="766"/>
      <c r="ND137" s="766"/>
      <c r="NE137" s="766"/>
      <c r="NF137" s="766"/>
      <c r="NG137" s="766"/>
      <c r="NH137" s="766"/>
      <c r="NI137" s="766"/>
      <c r="NJ137" s="766"/>
      <c r="NK137" s="766"/>
      <c r="NL137" s="766"/>
      <c r="NM137" s="766"/>
      <c r="NN137" s="766"/>
      <c r="NO137" s="766"/>
      <c r="NP137" s="766"/>
      <c r="NQ137" s="766"/>
      <c r="NR137" s="766"/>
      <c r="NS137" s="766"/>
      <c r="NT137" s="766"/>
      <c r="NU137" s="766"/>
      <c r="NV137" s="766"/>
      <c r="NW137" s="766"/>
      <c r="NX137" s="766"/>
      <c r="NY137" s="766"/>
      <c r="NZ137" s="766"/>
      <c r="OA137" s="766"/>
      <c r="OB137" s="766"/>
      <c r="OC137" s="766"/>
      <c r="OD137" s="766"/>
      <c r="OE137" s="766"/>
      <c r="OF137" s="766"/>
      <c r="OG137" s="766"/>
      <c r="OH137" s="766"/>
      <c r="OI137" s="766"/>
      <c r="OJ137" s="766"/>
      <c r="OK137" s="766"/>
      <c r="OL137" s="766"/>
      <c r="OM137" s="766"/>
      <c r="ON137" s="766"/>
      <c r="OO137" s="766"/>
      <c r="OP137" s="766"/>
      <c r="OQ137" s="766"/>
      <c r="OR137" s="766"/>
      <c r="OS137" s="766"/>
      <c r="OT137" s="766"/>
      <c r="OU137" s="766"/>
      <c r="OV137" s="766"/>
      <c r="OW137" s="766"/>
      <c r="OX137" s="766"/>
      <c r="OY137" s="766"/>
      <c r="OZ137" s="766"/>
      <c r="PA137" s="766"/>
      <c r="PB137" s="766"/>
      <c r="PC137" s="766"/>
      <c r="PD137" s="766"/>
      <c r="PE137" s="766"/>
      <c r="PF137" s="766"/>
      <c r="PG137" s="766"/>
      <c r="PH137" s="766"/>
      <c r="PI137" s="766"/>
      <c r="PJ137" s="766"/>
      <c r="PK137" s="766"/>
      <c r="PL137" s="766"/>
      <c r="PM137" s="766"/>
      <c r="PN137" s="766"/>
      <c r="PO137" s="766"/>
      <c r="PP137" s="766"/>
      <c r="PQ137" s="766"/>
      <c r="PR137" s="766"/>
      <c r="PS137" s="766"/>
      <c r="PT137" s="766"/>
      <c r="PU137" s="766"/>
      <c r="PV137" s="766"/>
      <c r="PW137" s="766"/>
      <c r="PX137" s="766"/>
      <c r="PY137" s="766"/>
      <c r="PZ137" s="766"/>
      <c r="QA137" s="766"/>
      <c r="QB137" s="766"/>
      <c r="QC137" s="766"/>
      <c r="QD137" s="766"/>
      <c r="QE137" s="766"/>
      <c r="QF137" s="766"/>
      <c r="QG137" s="766"/>
      <c r="QH137" s="766"/>
      <c r="QI137" s="766"/>
      <c r="QJ137" s="766"/>
      <c r="QK137" s="766"/>
      <c r="QL137" s="766"/>
      <c r="QM137" s="766"/>
      <c r="QN137" s="766"/>
      <c r="QO137" s="766"/>
      <c r="QP137" s="766"/>
      <c r="QQ137" s="766"/>
      <c r="QR137" s="766"/>
      <c r="QS137" s="766"/>
      <c r="QT137" s="766"/>
      <c r="QU137" s="766"/>
      <c r="QV137" s="766"/>
      <c r="QW137" s="766"/>
      <c r="QX137" s="766"/>
      <c r="QY137" s="766"/>
      <c r="QZ137" s="766"/>
      <c r="RA137" s="766"/>
      <c r="RB137" s="770"/>
      <c r="RC137" s="766"/>
      <c r="RD137" s="766"/>
      <c r="RE137" s="766"/>
      <c r="RF137" s="777"/>
      <c r="RG137" s="766"/>
      <c r="RH137" s="775"/>
      <c r="RI137" s="766"/>
      <c r="RJ137" s="766"/>
      <c r="RK137" s="766"/>
      <c r="RL137" s="1683"/>
      <c r="RM137" s="12"/>
      <c r="RN137" s="1711"/>
      <c r="RO137" s="171" t="s">
        <v>11845</v>
      </c>
      <c r="RP137" s="11"/>
      <c r="RQ137" s="11"/>
      <c r="RR137" s="17"/>
      <c r="RS137" s="766"/>
      <c r="RT137" s="11"/>
      <c r="RU137" s="11"/>
      <c r="RV137" s="766" t="s">
        <v>12434</v>
      </c>
      <c r="RW137" s="11" t="s">
        <v>11963</v>
      </c>
      <c r="RX137" s="11" t="s">
        <v>11845</v>
      </c>
      <c r="RY137" s="11"/>
      <c r="RZ137" s="11"/>
      <c r="SA137" s="766"/>
      <c r="SB137" s="11"/>
      <c r="SC137" s="11"/>
    </row>
    <row r="138" spans="1:497" ht="12.75" hidden="1" customHeight="1">
      <c r="A138" s="343" t="s">
        <v>7419</v>
      </c>
      <c r="B138" s="288" t="s">
        <v>12088</v>
      </c>
      <c r="C138" s="171" t="s">
        <v>11846</v>
      </c>
      <c r="D138" s="766" t="s">
        <v>12148</v>
      </c>
      <c r="E138" s="766" t="s">
        <v>11969</v>
      </c>
      <c r="F138" s="766"/>
      <c r="G138" s="766"/>
      <c r="H138" s="766"/>
      <c r="I138" s="295"/>
      <c r="J138" s="5"/>
      <c r="K138" s="766" t="s">
        <v>322</v>
      </c>
      <c r="L138" s="766" t="s">
        <v>11992</v>
      </c>
      <c r="M138" s="766"/>
      <c r="N138" s="766" t="s">
        <v>11973</v>
      </c>
      <c r="O138" s="766" t="s">
        <v>11974</v>
      </c>
      <c r="P138" s="5"/>
      <c r="Q138" s="1085"/>
      <c r="R138" s="25"/>
      <c r="S138" s="766"/>
      <c r="T138" s="766"/>
      <c r="U138" s="26"/>
      <c r="V138" s="766"/>
      <c r="W138" s="766"/>
      <c r="X138" s="24"/>
      <c r="Y138" s="766"/>
      <c r="Z138" s="766"/>
      <c r="AA138" s="766"/>
      <c r="AB138" s="766"/>
      <c r="AC138" s="766"/>
      <c r="AD138" s="766"/>
      <c r="AE138" s="766"/>
      <c r="AF138" s="766"/>
      <c r="AG138" s="766" t="s">
        <v>1095</v>
      </c>
      <c r="AH138" s="766" t="s">
        <v>1096</v>
      </c>
      <c r="AI138" s="766" t="s">
        <v>11975</v>
      </c>
      <c r="AJ138" s="766"/>
      <c r="AK138" s="766" t="s">
        <v>1097</v>
      </c>
      <c r="AL138" s="121">
        <v>29.7</v>
      </c>
      <c r="AM138" s="772">
        <v>29.7</v>
      </c>
      <c r="AN138" s="774">
        <f>AM138/AL138</f>
        <v>1</v>
      </c>
      <c r="AO138" s="766" t="s">
        <v>1113</v>
      </c>
      <c r="AP138" s="766"/>
      <c r="AQ138" s="766"/>
      <c r="AR138" s="766"/>
      <c r="AS138" s="766"/>
      <c r="AT138" s="766"/>
      <c r="AU138" s="766"/>
      <c r="AV138" s="766"/>
      <c r="AW138" s="766"/>
      <c r="AX138" s="766"/>
      <c r="AY138" s="766"/>
      <c r="AZ138" s="766"/>
      <c r="BA138" s="766"/>
      <c r="BB138" s="766"/>
      <c r="BC138" s="766"/>
      <c r="BD138" s="766"/>
      <c r="BE138" s="766"/>
      <c r="BF138" s="775"/>
      <c r="BG138" s="775"/>
      <c r="BH138" s="766"/>
      <c r="BI138" s="766"/>
      <c r="BJ138" s="766"/>
      <c r="BK138" s="766" t="s">
        <v>1095</v>
      </c>
      <c r="BL138" s="766" t="s">
        <v>11976</v>
      </c>
      <c r="BM138" s="766" t="s">
        <v>1096</v>
      </c>
      <c r="BN138" s="766" t="s">
        <v>1230</v>
      </c>
      <c r="BO138" s="766" t="s">
        <v>1246</v>
      </c>
      <c r="BP138" s="776">
        <v>29.7</v>
      </c>
      <c r="BQ138" s="776">
        <v>29.7</v>
      </c>
      <c r="BR138" s="774">
        <f>BQ138/BP138</f>
        <v>1</v>
      </c>
      <c r="BS138" s="766" t="s">
        <v>1257</v>
      </c>
      <c r="BT138" s="766" t="s">
        <v>8133</v>
      </c>
      <c r="BU138" s="766" t="s">
        <v>1249</v>
      </c>
      <c r="BV138" s="766" t="s">
        <v>1247</v>
      </c>
      <c r="BW138" s="766">
        <v>2004</v>
      </c>
      <c r="BX138" s="779"/>
      <c r="BY138" s="766"/>
      <c r="BZ138" s="775"/>
      <c r="CA138" s="766"/>
      <c r="CB138" s="766"/>
      <c r="CC138" s="766"/>
      <c r="CD138" s="766"/>
      <c r="CE138" s="766"/>
      <c r="CF138" s="777"/>
      <c r="CG138" s="778"/>
      <c r="CH138" s="766"/>
      <c r="CI138" s="766"/>
      <c r="CJ138" s="766"/>
      <c r="CK138" s="766"/>
      <c r="CL138" s="766"/>
      <c r="CM138" s="766"/>
      <c r="CN138" s="766"/>
      <c r="CO138" s="766"/>
      <c r="CP138" s="766"/>
      <c r="CQ138" s="766"/>
      <c r="CR138" s="775"/>
      <c r="CS138" s="766"/>
      <c r="CT138" s="766"/>
      <c r="CU138" s="129"/>
      <c r="CV138" s="766"/>
      <c r="CW138" s="766"/>
      <c r="CX138" s="766"/>
      <c r="CY138" s="766"/>
      <c r="CZ138" s="766"/>
      <c r="DA138" s="766"/>
      <c r="DB138" s="766"/>
      <c r="DC138" s="766"/>
      <c r="DD138" s="766"/>
      <c r="DE138" s="766"/>
      <c r="DF138" s="766"/>
      <c r="DG138" s="766"/>
      <c r="DH138" s="766"/>
      <c r="DI138" s="766"/>
      <c r="DJ138" s="766"/>
      <c r="DK138" s="766"/>
      <c r="DL138" s="766"/>
      <c r="DM138" s="766"/>
      <c r="DN138" s="766"/>
      <c r="DO138" s="766"/>
      <c r="DP138" s="766"/>
      <c r="DQ138" s="766"/>
      <c r="DR138" s="766"/>
      <c r="DS138" s="59"/>
      <c r="DT138" s="766"/>
      <c r="DU138" s="766"/>
      <c r="DV138" s="766"/>
      <c r="DW138" s="66"/>
      <c r="DX138" s="66"/>
      <c r="DY138" s="766"/>
      <c r="DZ138" s="766"/>
      <c r="EA138" s="766"/>
      <c r="EB138" s="766"/>
      <c r="EC138" s="766"/>
      <c r="ED138" s="766"/>
      <c r="EE138" s="766"/>
      <c r="EF138" s="766"/>
      <c r="EG138" s="766"/>
      <c r="EH138" s="766"/>
      <c r="EI138" s="766"/>
      <c r="EJ138" s="766"/>
      <c r="EK138" s="766"/>
      <c r="EL138" s="766"/>
      <c r="EM138" s="766"/>
      <c r="EN138" s="766"/>
      <c r="EO138" s="766"/>
      <c r="EP138" s="766"/>
      <c r="EQ138" s="766"/>
      <c r="ER138" s="766"/>
      <c r="ES138" s="766"/>
      <c r="ET138" s="766"/>
      <c r="EU138" s="766"/>
      <c r="EV138" s="766"/>
      <c r="EW138" s="766"/>
      <c r="EX138" s="766"/>
      <c r="EY138" s="766"/>
      <c r="EZ138" s="766"/>
      <c r="FA138" s="766"/>
      <c r="FB138" s="766"/>
      <c r="FC138" s="766"/>
      <c r="FD138" s="775"/>
      <c r="FE138" s="766"/>
      <c r="FF138" s="766"/>
      <c r="FG138" s="770"/>
      <c r="FH138" s="766" t="s">
        <v>478</v>
      </c>
      <c r="FI138" s="766">
        <v>3</v>
      </c>
      <c r="FJ138" s="766"/>
      <c r="FK138" s="766"/>
      <c r="FL138" s="766"/>
      <c r="FM138" s="775"/>
      <c r="FN138" s="775"/>
      <c r="FO138" s="775"/>
      <c r="FP138" s="766" t="s">
        <v>1602</v>
      </c>
      <c r="FQ138" s="766" t="s">
        <v>1660</v>
      </c>
      <c r="FR138" s="766"/>
      <c r="FS138" s="766"/>
      <c r="FT138" s="766"/>
      <c r="FU138" s="766"/>
      <c r="FV138" s="766"/>
      <c r="FW138" s="766"/>
      <c r="FX138" s="766"/>
      <c r="FY138" s="766"/>
      <c r="FZ138" s="766"/>
      <c r="GA138" s="766"/>
      <c r="GB138" s="766"/>
      <c r="GC138" s="75"/>
      <c r="GD138" s="25"/>
      <c r="GE138" s="766"/>
      <c r="GF138" s="775"/>
      <c r="GG138" s="775"/>
      <c r="GH138" s="766"/>
      <c r="GI138" s="766"/>
      <c r="GJ138" s="766"/>
      <c r="GK138" s="766"/>
      <c r="GL138" s="766"/>
      <c r="GM138" s="766"/>
      <c r="GN138" s="82"/>
      <c r="GO138" s="766"/>
      <c r="GP138" s="766"/>
      <c r="GQ138" s="766"/>
      <c r="GR138" s="766"/>
      <c r="GS138" s="766"/>
      <c r="GT138" s="766"/>
      <c r="GU138" s="766"/>
      <c r="GV138" s="766"/>
      <c r="GW138" s="766"/>
      <c r="GX138" s="766"/>
      <c r="GY138" s="766"/>
      <c r="GZ138" s="766"/>
      <c r="HA138" s="766"/>
      <c r="HB138" s="766"/>
      <c r="HC138" s="766"/>
      <c r="HD138" s="766"/>
      <c r="HE138" s="766"/>
      <c r="HF138" s="766"/>
      <c r="HG138" s="766"/>
      <c r="HH138" s="766"/>
      <c r="HI138" s="766"/>
      <c r="HJ138" s="766"/>
      <c r="HK138" s="766"/>
      <c r="HL138" s="766"/>
      <c r="HM138" s="766"/>
      <c r="HN138" s="766"/>
      <c r="HO138" s="766"/>
      <c r="HP138" s="766"/>
      <c r="HQ138" s="766"/>
      <c r="HR138" s="766"/>
      <c r="HS138" s="766"/>
      <c r="HT138" s="766"/>
      <c r="HU138" s="766"/>
      <c r="HV138" s="766"/>
      <c r="HW138" s="766"/>
      <c r="HX138" s="766"/>
      <c r="HY138" s="766"/>
      <c r="HZ138" s="766"/>
      <c r="IA138" s="766"/>
      <c r="IB138" s="766"/>
      <c r="IC138" s="766"/>
      <c r="ID138" s="766"/>
      <c r="IE138" s="766"/>
      <c r="IF138" s="766"/>
      <c r="IG138" s="766"/>
      <c r="IH138" s="766"/>
      <c r="II138" s="766"/>
      <c r="IJ138" s="766"/>
      <c r="IK138" s="766"/>
      <c r="IL138" s="766"/>
      <c r="IM138" s="766"/>
      <c r="IN138" s="766"/>
      <c r="IO138" s="24"/>
      <c r="IP138" s="766"/>
      <c r="IQ138" s="766"/>
      <c r="IR138" s="766"/>
      <c r="IS138" s="766"/>
      <c r="IT138" s="766"/>
      <c r="IU138" s="766"/>
      <c r="IV138" s="766"/>
      <c r="IW138" s="766"/>
      <c r="IX138" s="766"/>
      <c r="IY138" s="766"/>
      <c r="IZ138" s="766"/>
      <c r="JA138" s="766"/>
      <c r="JB138" s="766"/>
      <c r="JC138" s="766"/>
      <c r="JD138" s="775"/>
      <c r="JE138" s="766"/>
      <c r="JF138" s="766"/>
      <c r="JG138" s="766"/>
      <c r="JH138" s="766"/>
      <c r="JI138" s="766"/>
      <c r="JJ138" s="766"/>
      <c r="JK138" s="766"/>
      <c r="JL138" s="766"/>
      <c r="JM138" s="766"/>
      <c r="JN138" s="766"/>
      <c r="JO138" s="766"/>
      <c r="JP138" s="766"/>
      <c r="JQ138" s="766"/>
      <c r="JR138" s="766"/>
      <c r="JS138" s="766"/>
      <c r="JT138" s="766"/>
      <c r="JU138" s="766"/>
      <c r="JV138" s="766"/>
      <c r="JW138" s="766"/>
      <c r="JX138" s="766"/>
      <c r="JY138" s="766"/>
      <c r="JZ138" s="766"/>
      <c r="KA138" s="766"/>
      <c r="KB138" s="766"/>
      <c r="KC138" s="766"/>
      <c r="KD138" s="766"/>
      <c r="KE138" s="766"/>
      <c r="KF138" s="766"/>
      <c r="KG138" s="766"/>
      <c r="KH138" s="766"/>
      <c r="KI138" s="766"/>
      <c r="KJ138" s="770"/>
      <c r="KK138" s="770"/>
      <c r="KL138" s="770"/>
      <c r="KM138" s="770"/>
      <c r="KN138" s="766"/>
      <c r="KO138" s="766"/>
      <c r="KP138" s="766"/>
      <c r="KQ138" s="766"/>
      <c r="KR138" s="766"/>
      <c r="KS138" s="766"/>
      <c r="KT138" s="766"/>
      <c r="KU138" s="766"/>
      <c r="KV138" s="766"/>
      <c r="KW138" s="766"/>
      <c r="KX138" s="766"/>
      <c r="KY138" s="766"/>
      <c r="KZ138" s="766"/>
      <c r="LA138" s="766"/>
      <c r="LB138" s="766"/>
      <c r="LC138" s="766"/>
      <c r="LD138" s="766"/>
      <c r="LE138" s="766"/>
      <c r="LF138" s="766"/>
      <c r="LG138" s="766"/>
      <c r="LH138" s="766"/>
      <c r="LI138" s="766"/>
      <c r="LJ138" s="766"/>
      <c r="LK138" s="766"/>
      <c r="LL138" s="766"/>
      <c r="LM138" s="766"/>
      <c r="LN138" s="766"/>
      <c r="LO138" s="766"/>
      <c r="LP138" s="766"/>
      <c r="LQ138" s="766"/>
      <c r="LR138" s="766"/>
      <c r="LS138" s="766"/>
      <c r="LT138" s="766"/>
      <c r="LU138" s="766"/>
      <c r="LV138" s="766"/>
      <c r="LW138" s="766"/>
      <c r="LX138" s="769"/>
      <c r="LY138" s="766" t="str">
        <f t="shared" si="36"/>
        <v/>
      </c>
      <c r="LZ138" s="66"/>
      <c r="MA138" s="766"/>
      <c r="MB138" s="766"/>
      <c r="MC138" s="1679">
        <f t="shared" si="24"/>
        <v>0</v>
      </c>
      <c r="MD138" s="66"/>
      <c r="ME138" s="66"/>
      <c r="MF138" s="66"/>
      <c r="MG138" s="1680">
        <f t="shared" si="34"/>
        <v>0</v>
      </c>
      <c r="MH138" s="766"/>
      <c r="MI138" s="775"/>
      <c r="MJ138" s="775"/>
      <c r="MK138" s="775"/>
      <c r="ML138" s="775"/>
      <c r="MM138" s="775"/>
      <c r="MN138" s="775"/>
      <c r="MO138" s="775"/>
      <c r="MP138" s="775"/>
      <c r="MQ138" s="775"/>
      <c r="MR138" s="775"/>
      <c r="MS138" s="775"/>
      <c r="MT138" s="775"/>
      <c r="MU138" s="775"/>
      <c r="MV138" s="775"/>
      <c r="MW138" s="775"/>
      <c r="MX138" s="775"/>
      <c r="MY138" s="1682">
        <f t="shared" si="35"/>
        <v>0</v>
      </c>
      <c r="MZ138" s="766"/>
      <c r="NA138" s="766"/>
      <c r="NB138" s="766"/>
      <c r="NC138" s="766"/>
      <c r="ND138" s="766"/>
      <c r="NE138" s="766"/>
      <c r="NF138" s="766"/>
      <c r="NG138" s="766"/>
      <c r="NH138" s="766"/>
      <c r="NI138" s="766"/>
      <c r="NJ138" s="766"/>
      <c r="NK138" s="766"/>
      <c r="NL138" s="766"/>
      <c r="NM138" s="766"/>
      <c r="NN138" s="766"/>
      <c r="NO138" s="766"/>
      <c r="NP138" s="766"/>
      <c r="NQ138" s="766"/>
      <c r="NR138" s="766"/>
      <c r="NS138" s="766"/>
      <c r="NT138" s="766"/>
      <c r="NU138" s="766"/>
      <c r="NV138" s="766"/>
      <c r="NW138" s="766"/>
      <c r="NX138" s="766"/>
      <c r="NY138" s="766"/>
      <c r="NZ138" s="766"/>
      <c r="OA138" s="766"/>
      <c r="OB138" s="766"/>
      <c r="OC138" s="766"/>
      <c r="OD138" s="766"/>
      <c r="OE138" s="766"/>
      <c r="OF138" s="766"/>
      <c r="OG138" s="766"/>
      <c r="OH138" s="766"/>
      <c r="OI138" s="766"/>
      <c r="OJ138" s="766"/>
      <c r="OK138" s="766"/>
      <c r="OL138" s="766"/>
      <c r="OM138" s="766"/>
      <c r="ON138" s="766"/>
      <c r="OO138" s="766"/>
      <c r="OP138" s="766"/>
      <c r="OQ138" s="766"/>
      <c r="OR138" s="766"/>
      <c r="OS138" s="766"/>
      <c r="OT138" s="766"/>
      <c r="OU138" s="766"/>
      <c r="OV138" s="766"/>
      <c r="OW138" s="766"/>
      <c r="OX138" s="766"/>
      <c r="OY138" s="766"/>
      <c r="OZ138" s="766"/>
      <c r="PA138" s="766"/>
      <c r="PB138" s="766"/>
      <c r="PC138" s="766"/>
      <c r="PD138" s="766"/>
      <c r="PE138" s="766"/>
      <c r="PF138" s="766"/>
      <c r="PG138" s="766"/>
      <c r="PH138" s="766"/>
      <c r="PI138" s="766"/>
      <c r="PJ138" s="766"/>
      <c r="PK138" s="766"/>
      <c r="PL138" s="766"/>
      <c r="PM138" s="766"/>
      <c r="PN138" s="766"/>
      <c r="PO138" s="766"/>
      <c r="PP138" s="766"/>
      <c r="PQ138" s="766"/>
      <c r="PR138" s="766"/>
      <c r="PS138" s="766"/>
      <c r="PT138" s="766"/>
      <c r="PU138" s="766"/>
      <c r="PV138" s="766"/>
      <c r="PW138" s="766"/>
      <c r="PX138" s="766"/>
      <c r="PY138" s="766"/>
      <c r="PZ138" s="766"/>
      <c r="QA138" s="766"/>
      <c r="QB138" s="766"/>
      <c r="QC138" s="766"/>
      <c r="QD138" s="766"/>
      <c r="QE138" s="766"/>
      <c r="QF138" s="766"/>
      <c r="QG138" s="766"/>
      <c r="QH138" s="766"/>
      <c r="QI138" s="766"/>
      <c r="QJ138" s="766"/>
      <c r="QK138" s="766"/>
      <c r="QL138" s="766"/>
      <c r="QM138" s="766"/>
      <c r="QN138" s="766"/>
      <c r="QO138" s="766"/>
      <c r="QP138" s="766"/>
      <c r="QQ138" s="766"/>
      <c r="QR138" s="766"/>
      <c r="QS138" s="766"/>
      <c r="QT138" s="766"/>
      <c r="QU138" s="766"/>
      <c r="QV138" s="766"/>
      <c r="QW138" s="766"/>
      <c r="QX138" s="766"/>
      <c r="QY138" s="766"/>
      <c r="QZ138" s="766"/>
      <c r="RA138" s="766"/>
      <c r="RB138" s="770"/>
      <c r="RC138" s="766"/>
      <c r="RD138" s="766"/>
      <c r="RE138" s="766"/>
      <c r="RF138" s="777"/>
      <c r="RG138" s="766"/>
      <c r="RH138" s="775"/>
      <c r="RI138" s="766"/>
      <c r="RJ138" s="766"/>
      <c r="RK138" s="766"/>
      <c r="RL138" s="1683"/>
      <c r="RM138" s="12"/>
      <c r="RN138" s="1711"/>
      <c r="RO138" s="171" t="s">
        <v>11846</v>
      </c>
      <c r="RP138" s="11"/>
      <c r="RQ138" s="11"/>
      <c r="RR138" s="17"/>
      <c r="RS138" s="766"/>
      <c r="RT138" s="11"/>
      <c r="RU138" s="11"/>
      <c r="RV138" s="766" t="s">
        <v>12434</v>
      </c>
      <c r="RW138" s="11" t="s">
        <v>11964</v>
      </c>
      <c r="RX138" s="11" t="s">
        <v>11845</v>
      </c>
      <c r="RY138" s="11"/>
      <c r="RZ138" s="11" t="s">
        <v>7419</v>
      </c>
      <c r="SA138" s="766"/>
      <c r="SB138" s="11"/>
      <c r="SC138" s="11"/>
    </row>
    <row r="139" spans="1:497" ht="12.75" hidden="1" customHeight="1">
      <c r="A139" s="19" t="s">
        <v>14153</v>
      </c>
      <c r="B139" s="288" t="s">
        <v>11993</v>
      </c>
      <c r="C139" s="171" t="s">
        <v>11846</v>
      </c>
      <c r="D139" s="766" t="s">
        <v>11994</v>
      </c>
      <c r="E139" s="766" t="s">
        <v>11995</v>
      </c>
      <c r="F139" s="766" t="s">
        <v>28</v>
      </c>
      <c r="G139" s="766"/>
      <c r="H139" s="766"/>
      <c r="I139" s="295" t="s">
        <v>11996</v>
      </c>
      <c r="J139" s="5" t="s">
        <v>11997</v>
      </c>
      <c r="K139" s="766"/>
      <c r="L139" s="766"/>
      <c r="M139" s="766"/>
      <c r="N139" s="766"/>
      <c r="O139" s="766"/>
      <c r="P139" s="5" t="s">
        <v>11998</v>
      </c>
      <c r="Q139" s="1085">
        <v>22043</v>
      </c>
      <c r="R139" s="25">
        <v>57</v>
      </c>
      <c r="S139" s="766" t="s">
        <v>18</v>
      </c>
      <c r="T139" s="766"/>
      <c r="U139" s="26" t="s">
        <v>11996</v>
      </c>
      <c r="V139" s="766" t="s">
        <v>783</v>
      </c>
      <c r="W139" s="766"/>
      <c r="X139" s="24"/>
      <c r="Y139" s="766" t="s">
        <v>11995</v>
      </c>
      <c r="Z139" s="766" t="s">
        <v>11086</v>
      </c>
      <c r="AA139" s="766" t="s">
        <v>709</v>
      </c>
      <c r="AB139" s="766" t="s">
        <v>7273</v>
      </c>
      <c r="AC139" s="766"/>
      <c r="AD139" s="766" t="s">
        <v>11999</v>
      </c>
      <c r="AE139" s="766"/>
      <c r="AF139" s="766" t="s">
        <v>798</v>
      </c>
      <c r="AG139" s="766"/>
      <c r="AH139" s="766"/>
      <c r="AI139" s="766"/>
      <c r="AJ139" s="766"/>
      <c r="AK139" s="766" t="s">
        <v>1899</v>
      </c>
      <c r="AL139" s="121"/>
      <c r="AM139" s="772"/>
      <c r="AN139" s="774"/>
      <c r="AO139" s="766"/>
      <c r="AP139" s="766"/>
      <c r="AQ139" s="766"/>
      <c r="AR139" s="766"/>
      <c r="AS139" s="766"/>
      <c r="AT139" s="766"/>
      <c r="AU139" s="766"/>
      <c r="AV139" s="766"/>
      <c r="AW139" s="766"/>
      <c r="AX139" s="766"/>
      <c r="AY139" s="766"/>
      <c r="AZ139" s="766"/>
      <c r="BA139" s="766"/>
      <c r="BB139" s="766"/>
      <c r="BC139" s="766"/>
      <c r="BD139" s="766"/>
      <c r="BE139" s="766"/>
      <c r="BF139" s="775"/>
      <c r="BG139" s="775"/>
      <c r="BH139" s="766"/>
      <c r="BI139" s="766"/>
      <c r="BJ139" s="766"/>
      <c r="BK139" s="766"/>
      <c r="BL139" s="766"/>
      <c r="BM139" s="766" t="s">
        <v>1238</v>
      </c>
      <c r="BN139" s="766" t="s">
        <v>1256</v>
      </c>
      <c r="BO139" s="766"/>
      <c r="BP139" s="776"/>
      <c r="BQ139" s="772"/>
      <c r="BR139" s="774"/>
      <c r="BS139" s="766" t="s">
        <v>1257</v>
      </c>
      <c r="BT139" s="766"/>
      <c r="BU139" s="766"/>
      <c r="BV139" s="766"/>
      <c r="BW139" s="766"/>
      <c r="BX139" s="779"/>
      <c r="BY139" s="766"/>
      <c r="BZ139" s="775"/>
      <c r="CA139" s="766"/>
      <c r="CB139" s="766"/>
      <c r="CC139" s="766"/>
      <c r="CD139" s="766"/>
      <c r="CE139" s="766"/>
      <c r="CF139" s="777"/>
      <c r="CG139" s="778"/>
      <c r="CH139" s="766"/>
      <c r="CI139" s="766"/>
      <c r="CJ139" s="766"/>
      <c r="CK139" s="766"/>
      <c r="CL139" s="766"/>
      <c r="CM139" s="766"/>
      <c r="CN139" s="766"/>
      <c r="CO139" s="766"/>
      <c r="CP139" s="766"/>
      <c r="CQ139" s="766"/>
      <c r="CR139" s="775"/>
      <c r="CS139" s="766"/>
      <c r="CT139" s="766"/>
      <c r="CU139" s="129"/>
      <c r="CV139" s="766"/>
      <c r="CW139" s="766"/>
      <c r="CX139" s="766"/>
      <c r="CY139" s="766"/>
      <c r="CZ139" s="766"/>
      <c r="DA139" s="766"/>
      <c r="DB139" s="766"/>
      <c r="DC139" s="766"/>
      <c r="DD139" s="766"/>
      <c r="DE139" s="766"/>
      <c r="DF139" s="766"/>
      <c r="DG139" s="766"/>
      <c r="DH139" s="766"/>
      <c r="DI139" s="766"/>
      <c r="DJ139" s="766"/>
      <c r="DK139" s="766"/>
      <c r="DL139" s="766"/>
      <c r="DM139" s="766"/>
      <c r="DN139" s="766"/>
      <c r="DO139" s="766"/>
      <c r="DP139" s="766"/>
      <c r="DQ139" s="766"/>
      <c r="DR139" s="766"/>
      <c r="DS139" s="59"/>
      <c r="DT139" s="766"/>
      <c r="DU139" s="766"/>
      <c r="DV139" s="766"/>
      <c r="DW139" s="66"/>
      <c r="DX139" s="66"/>
      <c r="DY139" s="766"/>
      <c r="DZ139" s="766"/>
      <c r="EA139" s="766"/>
      <c r="EB139" s="766"/>
      <c r="EC139" s="766"/>
      <c r="ED139" s="766"/>
      <c r="EE139" s="766"/>
      <c r="EF139" s="766"/>
      <c r="EG139" s="766"/>
      <c r="EH139" s="766"/>
      <c r="EI139" s="766"/>
      <c r="EJ139" s="766"/>
      <c r="EK139" s="766"/>
      <c r="EL139" s="766"/>
      <c r="EM139" s="766"/>
      <c r="EN139" s="766"/>
      <c r="EO139" s="766"/>
      <c r="EP139" s="766"/>
      <c r="EQ139" s="766"/>
      <c r="ER139" s="766"/>
      <c r="ES139" s="766"/>
      <c r="ET139" s="766"/>
      <c r="EU139" s="766"/>
      <c r="EV139" s="766"/>
      <c r="EW139" s="766"/>
      <c r="EX139" s="766"/>
      <c r="EY139" s="766"/>
      <c r="EZ139" s="766"/>
      <c r="FA139" s="766"/>
      <c r="FB139" s="766"/>
      <c r="FC139" s="766"/>
      <c r="FD139" s="775"/>
      <c r="FE139" s="766"/>
      <c r="FF139" s="766"/>
      <c r="FG139" s="770"/>
      <c r="FH139" s="766" t="s">
        <v>1306</v>
      </c>
      <c r="FI139" s="766">
        <v>1</v>
      </c>
      <c r="FJ139" s="766" t="s">
        <v>11976</v>
      </c>
      <c r="FK139" s="766" t="s">
        <v>11990</v>
      </c>
      <c r="FL139" s="766" t="s">
        <v>11991</v>
      </c>
      <c r="FM139" s="147">
        <v>1000</v>
      </c>
      <c r="FN139" s="775">
        <f>140*4</f>
        <v>560</v>
      </c>
      <c r="FO139" s="775"/>
      <c r="FP139" s="766" t="s">
        <v>1602</v>
      </c>
      <c r="FQ139" s="766" t="s">
        <v>1660</v>
      </c>
      <c r="FR139" s="766"/>
      <c r="FS139" s="766"/>
      <c r="FT139" s="766"/>
      <c r="FU139" s="766"/>
      <c r="FV139" s="766"/>
      <c r="FW139" s="766"/>
      <c r="FX139" s="766"/>
      <c r="FY139" s="766"/>
      <c r="FZ139" s="766"/>
      <c r="GA139" s="766"/>
      <c r="GB139" s="766"/>
      <c r="GC139" s="75"/>
      <c r="GD139" s="25"/>
      <c r="GE139" s="766"/>
      <c r="GF139" s="775"/>
      <c r="GG139" s="775"/>
      <c r="GH139" s="766"/>
      <c r="GI139" s="766"/>
      <c r="GJ139" s="766"/>
      <c r="GK139" s="766"/>
      <c r="GL139" s="766"/>
      <c r="GM139" s="766"/>
      <c r="GN139" s="82"/>
      <c r="GO139" s="766"/>
      <c r="GP139" s="766"/>
      <c r="GQ139" s="766"/>
      <c r="GR139" s="766"/>
      <c r="GS139" s="766"/>
      <c r="GT139" s="766"/>
      <c r="GU139" s="766"/>
      <c r="GV139" s="766"/>
      <c r="GW139" s="766"/>
      <c r="GX139" s="766"/>
      <c r="GY139" s="766"/>
      <c r="GZ139" s="766"/>
      <c r="HA139" s="766"/>
      <c r="HB139" s="766"/>
      <c r="HC139" s="766"/>
      <c r="HD139" s="766"/>
      <c r="HE139" s="766"/>
      <c r="HF139" s="766"/>
      <c r="HG139" s="766"/>
      <c r="HH139" s="766"/>
      <c r="HI139" s="766"/>
      <c r="HJ139" s="766"/>
      <c r="HK139" s="766"/>
      <c r="HL139" s="766"/>
      <c r="HM139" s="766"/>
      <c r="HN139" s="766"/>
      <c r="HO139" s="766"/>
      <c r="HP139" s="766"/>
      <c r="HQ139" s="766"/>
      <c r="HR139" s="766"/>
      <c r="HS139" s="766"/>
      <c r="HT139" s="766"/>
      <c r="HU139" s="766"/>
      <c r="HV139" s="766"/>
      <c r="HW139" s="766"/>
      <c r="HX139" s="766"/>
      <c r="HY139" s="766"/>
      <c r="HZ139" s="766"/>
      <c r="IA139" s="766"/>
      <c r="IB139" s="766"/>
      <c r="IC139" s="766"/>
      <c r="ID139" s="766"/>
      <c r="IE139" s="766"/>
      <c r="IF139" s="766"/>
      <c r="IG139" s="766"/>
      <c r="IH139" s="766"/>
      <c r="II139" s="766"/>
      <c r="IJ139" s="766"/>
      <c r="IK139" s="766"/>
      <c r="IL139" s="766"/>
      <c r="IM139" s="766"/>
      <c r="IN139" s="766"/>
      <c r="IO139" s="24"/>
      <c r="IP139" s="766"/>
      <c r="IQ139" s="766"/>
      <c r="IR139" s="766"/>
      <c r="IS139" s="766"/>
      <c r="IT139" s="766"/>
      <c r="IU139" s="766"/>
      <c r="IV139" s="766"/>
      <c r="IW139" s="766"/>
      <c r="IX139" s="766"/>
      <c r="IY139" s="766"/>
      <c r="IZ139" s="766"/>
      <c r="JA139" s="766"/>
      <c r="JB139" s="766"/>
      <c r="JC139" s="766"/>
      <c r="JD139" s="775"/>
      <c r="JE139" s="766"/>
      <c r="JF139" s="766"/>
      <c r="JG139" s="766"/>
      <c r="JH139" s="766"/>
      <c r="JI139" s="766"/>
      <c r="JJ139" s="766"/>
      <c r="JK139" s="766"/>
      <c r="JL139" s="766"/>
      <c r="JM139" s="766"/>
      <c r="JN139" s="766"/>
      <c r="JO139" s="766"/>
      <c r="JP139" s="766"/>
      <c r="JQ139" s="766"/>
      <c r="JR139" s="766"/>
      <c r="JS139" s="766"/>
      <c r="JT139" s="766"/>
      <c r="JU139" s="766"/>
      <c r="JV139" s="766"/>
      <c r="JW139" s="766"/>
      <c r="JX139" s="766"/>
      <c r="JY139" s="766"/>
      <c r="JZ139" s="766"/>
      <c r="KA139" s="766"/>
      <c r="KB139" s="766"/>
      <c r="KC139" s="766"/>
      <c r="KD139" s="766"/>
      <c r="KE139" s="766"/>
      <c r="KF139" s="766"/>
      <c r="KG139" s="766"/>
      <c r="KH139" s="766"/>
      <c r="KI139" s="766"/>
      <c r="KJ139" s="770"/>
      <c r="KK139" s="770"/>
      <c r="KL139" s="770"/>
      <c r="KM139" s="770"/>
      <c r="KN139" s="766"/>
      <c r="KO139" s="766"/>
      <c r="KP139" s="766"/>
      <c r="KQ139" s="766"/>
      <c r="KR139" s="766"/>
      <c r="KS139" s="766"/>
      <c r="KT139" s="766"/>
      <c r="KU139" s="766"/>
      <c r="KV139" s="766"/>
      <c r="KW139" s="766"/>
      <c r="KX139" s="766"/>
      <c r="KY139" s="766"/>
      <c r="KZ139" s="766"/>
      <c r="LA139" s="766"/>
      <c r="LB139" s="766"/>
      <c r="LC139" s="766"/>
      <c r="LD139" s="766"/>
      <c r="LE139" s="766"/>
      <c r="LF139" s="766"/>
      <c r="LG139" s="766"/>
      <c r="LH139" s="766"/>
      <c r="LI139" s="766"/>
      <c r="LJ139" s="766"/>
      <c r="LK139" s="766"/>
      <c r="LL139" s="766"/>
      <c r="LM139" s="766"/>
      <c r="LN139" s="766"/>
      <c r="LO139" s="766"/>
      <c r="LP139" s="766"/>
      <c r="LQ139" s="766"/>
      <c r="LR139" s="766"/>
      <c r="LS139" s="766"/>
      <c r="LT139" s="766"/>
      <c r="LU139" s="766"/>
      <c r="LV139" s="766"/>
      <c r="LW139" s="766"/>
      <c r="LX139" s="769"/>
      <c r="LY139" s="766" t="str">
        <f t="shared" si="36"/>
        <v/>
      </c>
      <c r="LZ139" s="66"/>
      <c r="MA139" s="766"/>
      <c r="MB139" s="766"/>
      <c r="MC139" s="1679">
        <f t="shared" si="24"/>
        <v>0</v>
      </c>
      <c r="MD139" s="66"/>
      <c r="ME139" s="66"/>
      <c r="MF139" s="66"/>
      <c r="MG139" s="1680">
        <f t="shared" si="34"/>
        <v>0</v>
      </c>
      <c r="MH139" s="766"/>
      <c r="MI139" s="775"/>
      <c r="MJ139" s="775"/>
      <c r="MK139" s="775"/>
      <c r="ML139" s="775"/>
      <c r="MM139" s="775"/>
      <c r="MN139" s="775"/>
      <c r="MO139" s="775"/>
      <c r="MP139" s="775"/>
      <c r="MQ139" s="775"/>
      <c r="MR139" s="775"/>
      <c r="MS139" s="775"/>
      <c r="MT139" s="775"/>
      <c r="MU139" s="775"/>
      <c r="MV139" s="775"/>
      <c r="MW139" s="775"/>
      <c r="MX139" s="775"/>
      <c r="MY139" s="1682">
        <f t="shared" si="35"/>
        <v>0</v>
      </c>
      <c r="MZ139" s="766"/>
      <c r="NA139" s="766"/>
      <c r="NB139" s="766"/>
      <c r="NC139" s="766"/>
      <c r="ND139" s="766"/>
      <c r="NE139" s="766"/>
      <c r="NF139" s="766"/>
      <c r="NG139" s="766"/>
      <c r="NH139" s="766"/>
      <c r="NI139" s="766"/>
      <c r="NJ139" s="766"/>
      <c r="NK139" s="766"/>
      <c r="NL139" s="766"/>
      <c r="NM139" s="766"/>
      <c r="NN139" s="766"/>
      <c r="NO139" s="766"/>
      <c r="NP139" s="766"/>
      <c r="NQ139" s="766"/>
      <c r="NR139" s="766"/>
      <c r="NS139" s="766"/>
      <c r="NT139" s="766"/>
      <c r="NU139" s="766"/>
      <c r="NV139" s="766"/>
      <c r="NW139" s="766"/>
      <c r="NX139" s="766"/>
      <c r="NY139" s="766"/>
      <c r="NZ139" s="766"/>
      <c r="OA139" s="766"/>
      <c r="OB139" s="766"/>
      <c r="OC139" s="766"/>
      <c r="OD139" s="766"/>
      <c r="OE139" s="766"/>
      <c r="OF139" s="766"/>
      <c r="OG139" s="766"/>
      <c r="OH139" s="766"/>
      <c r="OI139" s="766"/>
      <c r="OJ139" s="766"/>
      <c r="OK139" s="766"/>
      <c r="OL139" s="766"/>
      <c r="OM139" s="766"/>
      <c r="ON139" s="766"/>
      <c r="OO139" s="766"/>
      <c r="OP139" s="766"/>
      <c r="OQ139" s="766"/>
      <c r="OR139" s="766"/>
      <c r="OS139" s="766"/>
      <c r="OT139" s="766"/>
      <c r="OU139" s="766"/>
      <c r="OV139" s="766"/>
      <c r="OW139" s="766"/>
      <c r="OX139" s="766"/>
      <c r="OY139" s="766"/>
      <c r="OZ139" s="766"/>
      <c r="PA139" s="766"/>
      <c r="PB139" s="766"/>
      <c r="PC139" s="766"/>
      <c r="PD139" s="766"/>
      <c r="PE139" s="766"/>
      <c r="PF139" s="766"/>
      <c r="PG139" s="766"/>
      <c r="PH139" s="766"/>
      <c r="PI139" s="766"/>
      <c r="PJ139" s="766"/>
      <c r="PK139" s="766"/>
      <c r="PL139" s="766"/>
      <c r="PM139" s="766"/>
      <c r="PN139" s="766"/>
      <c r="PO139" s="766"/>
      <c r="PP139" s="766"/>
      <c r="PQ139" s="766"/>
      <c r="PR139" s="766"/>
      <c r="PS139" s="766"/>
      <c r="PT139" s="766"/>
      <c r="PU139" s="766"/>
      <c r="PV139" s="766"/>
      <c r="PW139" s="766"/>
      <c r="PX139" s="766"/>
      <c r="PY139" s="766"/>
      <c r="PZ139" s="766"/>
      <c r="QA139" s="766"/>
      <c r="QB139" s="766"/>
      <c r="QC139" s="766"/>
      <c r="QD139" s="766"/>
      <c r="QE139" s="766"/>
      <c r="QF139" s="766"/>
      <c r="QG139" s="766"/>
      <c r="QH139" s="766"/>
      <c r="QI139" s="766"/>
      <c r="QJ139" s="766"/>
      <c r="QK139" s="766"/>
      <c r="QL139" s="766"/>
      <c r="QM139" s="766"/>
      <c r="QN139" s="766"/>
      <c r="QO139" s="766"/>
      <c r="QP139" s="766"/>
      <c r="QQ139" s="766"/>
      <c r="QR139" s="766"/>
      <c r="QS139" s="766"/>
      <c r="QT139" s="766"/>
      <c r="QU139" s="766"/>
      <c r="QV139" s="766"/>
      <c r="QW139" s="766"/>
      <c r="QX139" s="766"/>
      <c r="QY139" s="766"/>
      <c r="QZ139" s="766"/>
      <c r="RA139" s="766"/>
      <c r="RB139" s="770"/>
      <c r="RC139" s="766"/>
      <c r="RD139" s="766"/>
      <c r="RE139" s="766"/>
      <c r="RF139" s="777"/>
      <c r="RG139" s="766"/>
      <c r="RH139" s="775"/>
      <c r="RI139" s="766"/>
      <c r="RJ139" s="766"/>
      <c r="RK139" s="766"/>
      <c r="RL139" s="1683"/>
      <c r="RM139" s="12"/>
      <c r="RN139" s="1711"/>
      <c r="RO139" s="171" t="s">
        <v>11846</v>
      </c>
      <c r="RP139" s="11"/>
      <c r="RQ139" s="11"/>
      <c r="RR139" s="17"/>
      <c r="RS139" s="766"/>
      <c r="RT139" s="11"/>
      <c r="RU139" s="11"/>
      <c r="RV139" s="766" t="s">
        <v>12434</v>
      </c>
      <c r="RW139" s="11" t="s">
        <v>11965</v>
      </c>
      <c r="RX139" s="11" t="s">
        <v>11845</v>
      </c>
      <c r="RY139" s="11"/>
      <c r="RZ139" s="11"/>
      <c r="SA139" s="766"/>
      <c r="SB139" s="11"/>
      <c r="SC139" s="11"/>
    </row>
    <row r="140" spans="1:497" ht="12.75" hidden="1" customHeight="1">
      <c r="A140" s="19" t="s">
        <v>14153</v>
      </c>
      <c r="B140" s="288" t="s">
        <v>12000</v>
      </c>
      <c r="C140" s="171" t="s">
        <v>11846</v>
      </c>
      <c r="D140" s="766" t="s">
        <v>12001</v>
      </c>
      <c r="E140" s="766" t="s">
        <v>11995</v>
      </c>
      <c r="F140" s="766" t="s">
        <v>20</v>
      </c>
      <c r="G140" s="766" t="s">
        <v>18</v>
      </c>
      <c r="H140" s="766"/>
      <c r="I140" s="295" t="s">
        <v>12002</v>
      </c>
      <c r="J140" s="5" t="s">
        <v>12003</v>
      </c>
      <c r="K140" s="766"/>
      <c r="L140" s="766"/>
      <c r="M140" s="766"/>
      <c r="N140" s="766"/>
      <c r="O140" s="766"/>
      <c r="P140" s="5"/>
      <c r="Q140" s="1085"/>
      <c r="R140" s="25"/>
      <c r="S140" s="766"/>
      <c r="T140" s="766"/>
      <c r="U140" s="26"/>
      <c r="V140" s="766"/>
      <c r="W140" s="766"/>
      <c r="X140" s="24"/>
      <c r="Y140" s="766"/>
      <c r="Z140" s="766"/>
      <c r="AA140" s="766"/>
      <c r="AB140" s="766"/>
      <c r="AC140" s="766"/>
      <c r="AD140" s="766"/>
      <c r="AE140" s="766"/>
      <c r="AF140" s="766"/>
      <c r="AG140" s="766"/>
      <c r="AH140" s="766"/>
      <c r="AI140" s="766"/>
      <c r="AJ140" s="766"/>
      <c r="AK140" s="766" t="s">
        <v>1899</v>
      </c>
      <c r="AL140" s="121"/>
      <c r="AM140" s="772"/>
      <c r="AN140" s="774"/>
      <c r="AO140" s="766"/>
      <c r="AP140" s="766"/>
      <c r="AQ140" s="766"/>
      <c r="AR140" s="766"/>
      <c r="AS140" s="766"/>
      <c r="AT140" s="766"/>
      <c r="AU140" s="766"/>
      <c r="AV140" s="766"/>
      <c r="AW140" s="766"/>
      <c r="AX140" s="766"/>
      <c r="AY140" s="766"/>
      <c r="AZ140" s="766"/>
      <c r="BA140" s="766"/>
      <c r="BB140" s="766"/>
      <c r="BC140" s="766"/>
      <c r="BD140" s="766"/>
      <c r="BE140" s="766"/>
      <c r="BF140" s="775"/>
      <c r="BG140" s="775"/>
      <c r="BH140" s="766"/>
      <c r="BI140" s="766"/>
      <c r="BJ140" s="766"/>
      <c r="BK140" s="766"/>
      <c r="BL140" s="766"/>
      <c r="BM140" s="766" t="s">
        <v>1238</v>
      </c>
      <c r="BN140" s="766" t="s">
        <v>1256</v>
      </c>
      <c r="BO140" s="766"/>
      <c r="BP140" s="776"/>
      <c r="BQ140" s="772"/>
      <c r="BR140" s="774"/>
      <c r="BS140" s="766" t="s">
        <v>1257</v>
      </c>
      <c r="BT140" s="766"/>
      <c r="BU140" s="766"/>
      <c r="BV140" s="766"/>
      <c r="BW140" s="766"/>
      <c r="BX140" s="779"/>
      <c r="BY140" s="766"/>
      <c r="BZ140" s="775"/>
      <c r="CA140" s="766"/>
      <c r="CB140" s="766"/>
      <c r="CC140" s="766"/>
      <c r="CD140" s="766"/>
      <c r="CE140" s="766"/>
      <c r="CF140" s="777"/>
      <c r="CG140" s="778"/>
      <c r="CH140" s="766"/>
      <c r="CI140" s="766"/>
      <c r="CJ140" s="766"/>
      <c r="CK140" s="766"/>
      <c r="CL140" s="766"/>
      <c r="CM140" s="766"/>
      <c r="CN140" s="766"/>
      <c r="CO140" s="766"/>
      <c r="CP140" s="766"/>
      <c r="CQ140" s="766"/>
      <c r="CR140" s="775"/>
      <c r="CS140" s="766"/>
      <c r="CT140" s="766"/>
      <c r="CU140" s="129"/>
      <c r="CV140" s="766"/>
      <c r="CW140" s="766"/>
      <c r="CX140" s="766"/>
      <c r="CY140" s="766"/>
      <c r="CZ140" s="766"/>
      <c r="DA140" s="766"/>
      <c r="DB140" s="766"/>
      <c r="DC140" s="766"/>
      <c r="DD140" s="766"/>
      <c r="DE140" s="766"/>
      <c r="DF140" s="766"/>
      <c r="DG140" s="766"/>
      <c r="DH140" s="766"/>
      <c r="DI140" s="766"/>
      <c r="DJ140" s="766"/>
      <c r="DK140" s="766"/>
      <c r="DL140" s="766"/>
      <c r="DM140" s="766"/>
      <c r="DN140" s="766"/>
      <c r="DO140" s="766"/>
      <c r="DP140" s="766"/>
      <c r="DQ140" s="766"/>
      <c r="DR140" s="766"/>
      <c r="DS140" s="59"/>
      <c r="DT140" s="766"/>
      <c r="DU140" s="766"/>
      <c r="DV140" s="766"/>
      <c r="DW140" s="66"/>
      <c r="DX140" s="66"/>
      <c r="DY140" s="766"/>
      <c r="DZ140" s="766"/>
      <c r="EA140" s="766"/>
      <c r="EB140" s="766"/>
      <c r="EC140" s="766"/>
      <c r="ED140" s="766"/>
      <c r="EE140" s="766"/>
      <c r="EF140" s="766"/>
      <c r="EG140" s="766"/>
      <c r="EH140" s="766"/>
      <c r="EI140" s="766"/>
      <c r="EJ140" s="766"/>
      <c r="EK140" s="766"/>
      <c r="EL140" s="766"/>
      <c r="EM140" s="766"/>
      <c r="EN140" s="766"/>
      <c r="EO140" s="766"/>
      <c r="EP140" s="766"/>
      <c r="EQ140" s="766"/>
      <c r="ER140" s="766"/>
      <c r="ES140" s="766"/>
      <c r="ET140" s="766"/>
      <c r="EU140" s="766"/>
      <c r="EV140" s="766"/>
      <c r="EW140" s="766"/>
      <c r="EX140" s="766"/>
      <c r="EY140" s="766"/>
      <c r="EZ140" s="766"/>
      <c r="FA140" s="766"/>
      <c r="FB140" s="766"/>
      <c r="FC140" s="766"/>
      <c r="FD140" s="775"/>
      <c r="FE140" s="766"/>
      <c r="FF140" s="766"/>
      <c r="FG140" s="770"/>
      <c r="FH140" s="766" t="s">
        <v>1306</v>
      </c>
      <c r="FI140" s="766">
        <v>1</v>
      </c>
      <c r="FJ140" s="766" t="s">
        <v>11976</v>
      </c>
      <c r="FK140" s="766" t="s">
        <v>11990</v>
      </c>
      <c r="FL140" s="766" t="s">
        <v>11991</v>
      </c>
      <c r="FM140" s="147">
        <v>1000</v>
      </c>
      <c r="FN140" s="775"/>
      <c r="FO140" s="775"/>
      <c r="FP140" s="766" t="s">
        <v>1602</v>
      </c>
      <c r="FQ140" s="766" t="s">
        <v>1660</v>
      </c>
      <c r="FR140" s="766"/>
      <c r="FS140" s="766"/>
      <c r="FT140" s="766"/>
      <c r="FU140" s="766"/>
      <c r="FV140" s="766"/>
      <c r="FW140" s="766"/>
      <c r="FX140" s="766"/>
      <c r="FY140" s="766"/>
      <c r="FZ140" s="766"/>
      <c r="GA140" s="766"/>
      <c r="GB140" s="766"/>
      <c r="GC140" s="75"/>
      <c r="GD140" s="25"/>
      <c r="GE140" s="766"/>
      <c r="GF140" s="775"/>
      <c r="GG140" s="775"/>
      <c r="GH140" s="766"/>
      <c r="GI140" s="766"/>
      <c r="GJ140" s="766"/>
      <c r="GK140" s="766"/>
      <c r="GL140" s="766"/>
      <c r="GM140" s="766"/>
      <c r="GN140" s="82"/>
      <c r="GO140" s="766"/>
      <c r="GP140" s="766"/>
      <c r="GQ140" s="766"/>
      <c r="GR140" s="766"/>
      <c r="GS140" s="766"/>
      <c r="GT140" s="766"/>
      <c r="GU140" s="766"/>
      <c r="GV140" s="766"/>
      <c r="GW140" s="766"/>
      <c r="GX140" s="766"/>
      <c r="GY140" s="766"/>
      <c r="GZ140" s="766"/>
      <c r="HA140" s="766"/>
      <c r="HB140" s="766"/>
      <c r="HC140" s="766"/>
      <c r="HD140" s="766"/>
      <c r="HE140" s="766"/>
      <c r="HF140" s="766"/>
      <c r="HG140" s="766"/>
      <c r="HH140" s="766"/>
      <c r="HI140" s="766"/>
      <c r="HJ140" s="766"/>
      <c r="HK140" s="766"/>
      <c r="HL140" s="766"/>
      <c r="HM140" s="766"/>
      <c r="HN140" s="766"/>
      <c r="HO140" s="766"/>
      <c r="HP140" s="766"/>
      <c r="HQ140" s="766"/>
      <c r="HR140" s="766"/>
      <c r="HS140" s="766"/>
      <c r="HT140" s="766"/>
      <c r="HU140" s="766"/>
      <c r="HV140" s="766"/>
      <c r="HW140" s="766"/>
      <c r="HX140" s="766"/>
      <c r="HY140" s="766"/>
      <c r="HZ140" s="766"/>
      <c r="IA140" s="766"/>
      <c r="IB140" s="766"/>
      <c r="IC140" s="766"/>
      <c r="ID140" s="766"/>
      <c r="IE140" s="766"/>
      <c r="IF140" s="766"/>
      <c r="IG140" s="766"/>
      <c r="IH140" s="766"/>
      <c r="II140" s="766"/>
      <c r="IJ140" s="766"/>
      <c r="IK140" s="766"/>
      <c r="IL140" s="766"/>
      <c r="IM140" s="766"/>
      <c r="IN140" s="766"/>
      <c r="IO140" s="24"/>
      <c r="IP140" s="766"/>
      <c r="IQ140" s="766"/>
      <c r="IR140" s="766"/>
      <c r="IS140" s="766"/>
      <c r="IT140" s="766"/>
      <c r="IU140" s="766"/>
      <c r="IV140" s="766"/>
      <c r="IW140" s="766"/>
      <c r="IX140" s="766"/>
      <c r="IY140" s="766"/>
      <c r="IZ140" s="766"/>
      <c r="JA140" s="766"/>
      <c r="JB140" s="766"/>
      <c r="JC140" s="766"/>
      <c r="JD140" s="775"/>
      <c r="JE140" s="766"/>
      <c r="JF140" s="766"/>
      <c r="JG140" s="766"/>
      <c r="JH140" s="766"/>
      <c r="JI140" s="766"/>
      <c r="JJ140" s="766"/>
      <c r="JK140" s="766"/>
      <c r="JL140" s="766"/>
      <c r="JM140" s="766"/>
      <c r="JN140" s="766"/>
      <c r="JO140" s="766"/>
      <c r="JP140" s="766"/>
      <c r="JQ140" s="766"/>
      <c r="JR140" s="766"/>
      <c r="JS140" s="766"/>
      <c r="JT140" s="766"/>
      <c r="JU140" s="766"/>
      <c r="JV140" s="766"/>
      <c r="JW140" s="766"/>
      <c r="JX140" s="766"/>
      <c r="JY140" s="766"/>
      <c r="JZ140" s="766"/>
      <c r="KA140" s="766"/>
      <c r="KB140" s="766"/>
      <c r="KC140" s="766"/>
      <c r="KD140" s="766"/>
      <c r="KE140" s="766"/>
      <c r="KF140" s="766"/>
      <c r="KG140" s="766"/>
      <c r="KH140" s="766"/>
      <c r="KI140" s="766"/>
      <c r="KJ140" s="770"/>
      <c r="KK140" s="770"/>
      <c r="KL140" s="770"/>
      <c r="KM140" s="770"/>
      <c r="KN140" s="766"/>
      <c r="KO140" s="766"/>
      <c r="KP140" s="766"/>
      <c r="KQ140" s="766"/>
      <c r="KR140" s="766"/>
      <c r="KS140" s="766"/>
      <c r="KT140" s="766"/>
      <c r="KU140" s="766"/>
      <c r="KV140" s="766"/>
      <c r="KW140" s="766"/>
      <c r="KX140" s="766"/>
      <c r="KY140" s="766"/>
      <c r="KZ140" s="766"/>
      <c r="LA140" s="766"/>
      <c r="LB140" s="766"/>
      <c r="LC140" s="766"/>
      <c r="LD140" s="766"/>
      <c r="LE140" s="766"/>
      <c r="LF140" s="766"/>
      <c r="LG140" s="766"/>
      <c r="LH140" s="766"/>
      <c r="LI140" s="766"/>
      <c r="LJ140" s="766"/>
      <c r="LK140" s="766"/>
      <c r="LL140" s="766"/>
      <c r="LM140" s="766"/>
      <c r="LN140" s="766"/>
      <c r="LO140" s="766"/>
      <c r="LP140" s="766"/>
      <c r="LQ140" s="766"/>
      <c r="LR140" s="766"/>
      <c r="LS140" s="766"/>
      <c r="LT140" s="766"/>
      <c r="LU140" s="766"/>
      <c r="LV140" s="766"/>
      <c r="LW140" s="766"/>
      <c r="LX140" s="769"/>
      <c r="LY140" s="766" t="str">
        <f t="shared" si="36"/>
        <v/>
      </c>
      <c r="LZ140" s="66"/>
      <c r="MA140" s="766"/>
      <c r="MB140" s="766"/>
      <c r="MC140" s="1679">
        <f t="shared" si="24"/>
        <v>0</v>
      </c>
      <c r="MD140" s="66"/>
      <c r="ME140" s="66"/>
      <c r="MF140" s="66"/>
      <c r="MG140" s="1680">
        <f t="shared" si="34"/>
        <v>0</v>
      </c>
      <c r="MH140" s="766"/>
      <c r="MI140" s="775"/>
      <c r="MJ140" s="775"/>
      <c r="MK140" s="775"/>
      <c r="ML140" s="775"/>
      <c r="MM140" s="775"/>
      <c r="MN140" s="775"/>
      <c r="MO140" s="775"/>
      <c r="MP140" s="775"/>
      <c r="MQ140" s="775"/>
      <c r="MR140" s="775"/>
      <c r="MS140" s="775"/>
      <c r="MT140" s="775"/>
      <c r="MU140" s="775"/>
      <c r="MV140" s="775"/>
      <c r="MW140" s="775"/>
      <c r="MX140" s="775"/>
      <c r="MY140" s="1682">
        <f t="shared" si="35"/>
        <v>0</v>
      </c>
      <c r="MZ140" s="766"/>
      <c r="NA140" s="766"/>
      <c r="NB140" s="766"/>
      <c r="NC140" s="766"/>
      <c r="ND140" s="766"/>
      <c r="NE140" s="766"/>
      <c r="NF140" s="766"/>
      <c r="NG140" s="766"/>
      <c r="NH140" s="766"/>
      <c r="NI140" s="766"/>
      <c r="NJ140" s="766"/>
      <c r="NK140" s="766"/>
      <c r="NL140" s="766"/>
      <c r="NM140" s="766"/>
      <c r="NN140" s="766"/>
      <c r="NO140" s="766"/>
      <c r="NP140" s="766"/>
      <c r="NQ140" s="766"/>
      <c r="NR140" s="766"/>
      <c r="NS140" s="766"/>
      <c r="NT140" s="766"/>
      <c r="NU140" s="766"/>
      <c r="NV140" s="766"/>
      <c r="NW140" s="766"/>
      <c r="NX140" s="766"/>
      <c r="NY140" s="766"/>
      <c r="NZ140" s="766"/>
      <c r="OA140" s="766"/>
      <c r="OB140" s="766"/>
      <c r="OC140" s="766"/>
      <c r="OD140" s="766"/>
      <c r="OE140" s="766"/>
      <c r="OF140" s="766"/>
      <c r="OG140" s="766"/>
      <c r="OH140" s="766"/>
      <c r="OI140" s="766"/>
      <c r="OJ140" s="766"/>
      <c r="OK140" s="766"/>
      <c r="OL140" s="766"/>
      <c r="OM140" s="766"/>
      <c r="ON140" s="766"/>
      <c r="OO140" s="766"/>
      <c r="OP140" s="766"/>
      <c r="OQ140" s="766"/>
      <c r="OR140" s="766"/>
      <c r="OS140" s="766"/>
      <c r="OT140" s="766"/>
      <c r="OU140" s="766"/>
      <c r="OV140" s="766"/>
      <c r="OW140" s="766"/>
      <c r="OX140" s="766"/>
      <c r="OY140" s="766"/>
      <c r="OZ140" s="766"/>
      <c r="PA140" s="766"/>
      <c r="PB140" s="766"/>
      <c r="PC140" s="766"/>
      <c r="PD140" s="766"/>
      <c r="PE140" s="766"/>
      <c r="PF140" s="766"/>
      <c r="PG140" s="766"/>
      <c r="PH140" s="766"/>
      <c r="PI140" s="766"/>
      <c r="PJ140" s="766"/>
      <c r="PK140" s="766"/>
      <c r="PL140" s="766"/>
      <c r="PM140" s="766"/>
      <c r="PN140" s="766"/>
      <c r="PO140" s="766"/>
      <c r="PP140" s="766"/>
      <c r="PQ140" s="766"/>
      <c r="PR140" s="766"/>
      <c r="PS140" s="766"/>
      <c r="PT140" s="766"/>
      <c r="PU140" s="766"/>
      <c r="PV140" s="766"/>
      <c r="PW140" s="766"/>
      <c r="PX140" s="766"/>
      <c r="PY140" s="766"/>
      <c r="PZ140" s="766"/>
      <c r="QA140" s="766"/>
      <c r="QB140" s="766"/>
      <c r="QC140" s="766"/>
      <c r="QD140" s="766"/>
      <c r="QE140" s="766"/>
      <c r="QF140" s="766"/>
      <c r="QG140" s="766"/>
      <c r="QH140" s="766"/>
      <c r="QI140" s="766"/>
      <c r="QJ140" s="766"/>
      <c r="QK140" s="766"/>
      <c r="QL140" s="766"/>
      <c r="QM140" s="766"/>
      <c r="QN140" s="766"/>
      <c r="QO140" s="766"/>
      <c r="QP140" s="766"/>
      <c r="QQ140" s="766"/>
      <c r="QR140" s="766"/>
      <c r="QS140" s="766"/>
      <c r="QT140" s="766"/>
      <c r="QU140" s="766"/>
      <c r="QV140" s="766"/>
      <c r="QW140" s="766"/>
      <c r="QX140" s="766"/>
      <c r="QY140" s="766"/>
      <c r="QZ140" s="766"/>
      <c r="RA140" s="766"/>
      <c r="RB140" s="770"/>
      <c r="RC140" s="766"/>
      <c r="RD140" s="766"/>
      <c r="RE140" s="766"/>
      <c r="RF140" s="777"/>
      <c r="RG140" s="766"/>
      <c r="RH140" s="775"/>
      <c r="RI140" s="766"/>
      <c r="RJ140" s="766"/>
      <c r="RK140" s="766"/>
      <c r="RL140" s="1683"/>
      <c r="RM140" s="12"/>
      <c r="RN140" s="1711"/>
      <c r="RO140" s="171" t="s">
        <v>11846</v>
      </c>
      <c r="RP140" s="11"/>
      <c r="RQ140" s="11"/>
      <c r="RR140" s="17"/>
      <c r="RS140" s="766"/>
      <c r="RT140" s="11"/>
      <c r="RU140" s="11"/>
      <c r="RV140" s="766" t="s">
        <v>7419</v>
      </c>
      <c r="RW140" s="11" t="s">
        <v>12088</v>
      </c>
      <c r="RX140" s="11" t="s">
        <v>11846</v>
      </c>
      <c r="RY140" s="11"/>
      <c r="RZ140" s="11"/>
      <c r="SA140" s="766"/>
      <c r="SB140" s="11"/>
      <c r="SC140" s="11"/>
    </row>
    <row r="141" spans="1:497" ht="12.75" hidden="1" customHeight="1">
      <c r="A141" s="19" t="s">
        <v>14153</v>
      </c>
      <c r="B141" s="288" t="s">
        <v>12004</v>
      </c>
      <c r="C141" s="171" t="s">
        <v>11846</v>
      </c>
      <c r="D141" s="766" t="s">
        <v>12005</v>
      </c>
      <c r="E141" s="766" t="s">
        <v>11995</v>
      </c>
      <c r="F141" s="766" t="s">
        <v>20</v>
      </c>
      <c r="G141" s="766" t="s">
        <v>18</v>
      </c>
      <c r="H141" s="766"/>
      <c r="I141" s="295" t="s">
        <v>12006</v>
      </c>
      <c r="J141" s="5" t="s">
        <v>12007</v>
      </c>
      <c r="K141" s="766"/>
      <c r="L141" s="766"/>
      <c r="M141" s="766"/>
      <c r="N141" s="766"/>
      <c r="O141" s="766"/>
      <c r="P141" s="5" t="s">
        <v>12008</v>
      </c>
      <c r="Q141" s="1085">
        <v>28823</v>
      </c>
      <c r="R141" s="25">
        <v>38</v>
      </c>
      <c r="S141" s="766" t="s">
        <v>10</v>
      </c>
      <c r="T141" s="766"/>
      <c r="U141" s="26"/>
      <c r="V141" s="766" t="s">
        <v>722</v>
      </c>
      <c r="W141" s="766" t="s">
        <v>12009</v>
      </c>
      <c r="X141" s="24"/>
      <c r="Y141" s="766" t="s">
        <v>11995</v>
      </c>
      <c r="Z141" s="766" t="s">
        <v>708</v>
      </c>
      <c r="AA141" s="766" t="s">
        <v>748</v>
      </c>
      <c r="AB141" s="766" t="s">
        <v>7275</v>
      </c>
      <c r="AC141" s="766" t="s">
        <v>880</v>
      </c>
      <c r="AD141" s="766"/>
      <c r="AE141" s="766"/>
      <c r="AF141" s="766" t="s">
        <v>712</v>
      </c>
      <c r="AG141" s="766"/>
      <c r="AH141" s="766"/>
      <c r="AI141" s="766"/>
      <c r="AJ141" s="766"/>
      <c r="AK141" s="766" t="s">
        <v>1899</v>
      </c>
      <c r="AL141" s="121"/>
      <c r="AM141" s="772"/>
      <c r="AN141" s="774"/>
      <c r="AO141" s="766"/>
      <c r="AP141" s="766"/>
      <c r="AQ141" s="766"/>
      <c r="AR141" s="766"/>
      <c r="AS141" s="766"/>
      <c r="AT141" s="766"/>
      <c r="AU141" s="766"/>
      <c r="AV141" s="766"/>
      <c r="AW141" s="766"/>
      <c r="AX141" s="766"/>
      <c r="AY141" s="766"/>
      <c r="AZ141" s="766"/>
      <c r="BA141" s="766"/>
      <c r="BB141" s="766"/>
      <c r="BC141" s="766"/>
      <c r="BD141" s="766"/>
      <c r="BE141" s="766"/>
      <c r="BF141" s="775"/>
      <c r="BG141" s="775"/>
      <c r="BH141" s="766"/>
      <c r="BI141" s="766"/>
      <c r="BJ141" s="766"/>
      <c r="BK141" s="766"/>
      <c r="BL141" s="766"/>
      <c r="BM141" s="766" t="s">
        <v>1238</v>
      </c>
      <c r="BN141" s="766" t="s">
        <v>1256</v>
      </c>
      <c r="BO141" s="766"/>
      <c r="BP141" s="776"/>
      <c r="BQ141" s="772"/>
      <c r="BR141" s="774"/>
      <c r="BS141" s="766" t="s">
        <v>1257</v>
      </c>
      <c r="BT141" s="766"/>
      <c r="BU141" s="766"/>
      <c r="BV141" s="766"/>
      <c r="BW141" s="766"/>
      <c r="BX141" s="779"/>
      <c r="BY141" s="766"/>
      <c r="BZ141" s="775"/>
      <c r="CA141" s="766"/>
      <c r="CB141" s="766"/>
      <c r="CC141" s="766"/>
      <c r="CD141" s="766"/>
      <c r="CE141" s="766"/>
      <c r="CF141" s="777"/>
      <c r="CG141" s="778"/>
      <c r="CH141" s="766"/>
      <c r="CI141" s="766"/>
      <c r="CJ141" s="766"/>
      <c r="CK141" s="766"/>
      <c r="CL141" s="766"/>
      <c r="CM141" s="766"/>
      <c r="CN141" s="766"/>
      <c r="CO141" s="766"/>
      <c r="CP141" s="766"/>
      <c r="CQ141" s="766"/>
      <c r="CR141" s="775"/>
      <c r="CS141" s="766"/>
      <c r="CT141" s="766"/>
      <c r="CU141" s="129"/>
      <c r="CV141" s="766"/>
      <c r="CW141" s="766"/>
      <c r="CX141" s="766"/>
      <c r="CY141" s="766"/>
      <c r="CZ141" s="766"/>
      <c r="DA141" s="766"/>
      <c r="DB141" s="766"/>
      <c r="DC141" s="766"/>
      <c r="DD141" s="766"/>
      <c r="DE141" s="766"/>
      <c r="DF141" s="766"/>
      <c r="DG141" s="766"/>
      <c r="DH141" s="766"/>
      <c r="DI141" s="766"/>
      <c r="DJ141" s="766"/>
      <c r="DK141" s="766"/>
      <c r="DL141" s="766"/>
      <c r="DM141" s="766"/>
      <c r="DN141" s="766"/>
      <c r="DO141" s="766"/>
      <c r="DP141" s="766"/>
      <c r="DQ141" s="766"/>
      <c r="DR141" s="766"/>
      <c r="DS141" s="59"/>
      <c r="DT141" s="766"/>
      <c r="DU141" s="766"/>
      <c r="DV141" s="766"/>
      <c r="DW141" s="66"/>
      <c r="DX141" s="66"/>
      <c r="DY141" s="766"/>
      <c r="DZ141" s="766"/>
      <c r="EA141" s="766"/>
      <c r="EB141" s="766"/>
      <c r="EC141" s="766"/>
      <c r="ED141" s="766"/>
      <c r="EE141" s="766"/>
      <c r="EF141" s="766"/>
      <c r="EG141" s="766"/>
      <c r="EH141" s="766"/>
      <c r="EI141" s="766"/>
      <c r="EJ141" s="766"/>
      <c r="EK141" s="766"/>
      <c r="EL141" s="766"/>
      <c r="EM141" s="766"/>
      <c r="EN141" s="766"/>
      <c r="EO141" s="766"/>
      <c r="EP141" s="766"/>
      <c r="EQ141" s="766"/>
      <c r="ER141" s="766"/>
      <c r="ES141" s="766"/>
      <c r="ET141" s="766"/>
      <c r="EU141" s="766"/>
      <c r="EV141" s="766"/>
      <c r="EW141" s="766"/>
      <c r="EX141" s="766"/>
      <c r="EY141" s="766"/>
      <c r="EZ141" s="766"/>
      <c r="FA141" s="766"/>
      <c r="FB141" s="766"/>
      <c r="FC141" s="766"/>
      <c r="FD141" s="775"/>
      <c r="FE141" s="766"/>
      <c r="FF141" s="766"/>
      <c r="FG141" s="770"/>
      <c r="FH141" s="766" t="s">
        <v>1306</v>
      </c>
      <c r="FI141" s="766">
        <v>1</v>
      </c>
      <c r="FJ141" s="766"/>
      <c r="FK141" s="766"/>
      <c r="FL141" s="766"/>
      <c r="FM141" s="775"/>
      <c r="FN141" s="775"/>
      <c r="FO141" s="775"/>
      <c r="FP141" s="766"/>
      <c r="FQ141" s="766"/>
      <c r="FR141" s="766"/>
      <c r="FS141" s="766"/>
      <c r="FT141" s="766"/>
      <c r="FU141" s="766"/>
      <c r="FV141" s="766"/>
      <c r="FW141" s="766"/>
      <c r="FX141" s="766"/>
      <c r="FY141" s="766"/>
      <c r="FZ141" s="766"/>
      <c r="GA141" s="766"/>
      <c r="GB141" s="766"/>
      <c r="GC141" s="75"/>
      <c r="GD141" s="25"/>
      <c r="GE141" s="766"/>
      <c r="GF141" s="775"/>
      <c r="GG141" s="775"/>
      <c r="GH141" s="766"/>
      <c r="GI141" s="766"/>
      <c r="GJ141" s="766"/>
      <c r="GK141" s="766"/>
      <c r="GL141" s="766"/>
      <c r="GM141" s="766"/>
      <c r="GN141" s="82"/>
      <c r="GO141" s="766"/>
      <c r="GP141" s="766"/>
      <c r="GQ141" s="766"/>
      <c r="GR141" s="766"/>
      <c r="GS141" s="766"/>
      <c r="GT141" s="766"/>
      <c r="GU141" s="766"/>
      <c r="GV141" s="766"/>
      <c r="GW141" s="766"/>
      <c r="GX141" s="766"/>
      <c r="GY141" s="766"/>
      <c r="GZ141" s="766"/>
      <c r="HA141" s="766"/>
      <c r="HB141" s="766"/>
      <c r="HC141" s="766"/>
      <c r="HD141" s="766"/>
      <c r="HE141" s="766"/>
      <c r="HF141" s="766"/>
      <c r="HG141" s="766"/>
      <c r="HH141" s="766"/>
      <c r="HI141" s="766"/>
      <c r="HJ141" s="766"/>
      <c r="HK141" s="766"/>
      <c r="HL141" s="766"/>
      <c r="HM141" s="766"/>
      <c r="HN141" s="766"/>
      <c r="HO141" s="766"/>
      <c r="HP141" s="766"/>
      <c r="HQ141" s="766"/>
      <c r="HR141" s="766"/>
      <c r="HS141" s="766"/>
      <c r="HT141" s="766"/>
      <c r="HU141" s="766"/>
      <c r="HV141" s="766"/>
      <c r="HW141" s="766"/>
      <c r="HX141" s="766"/>
      <c r="HY141" s="766"/>
      <c r="HZ141" s="766"/>
      <c r="IA141" s="766"/>
      <c r="IB141" s="766"/>
      <c r="IC141" s="766"/>
      <c r="ID141" s="766"/>
      <c r="IE141" s="766"/>
      <c r="IF141" s="766"/>
      <c r="IG141" s="766"/>
      <c r="IH141" s="766"/>
      <c r="II141" s="766"/>
      <c r="IJ141" s="766"/>
      <c r="IK141" s="766"/>
      <c r="IL141" s="766"/>
      <c r="IM141" s="766"/>
      <c r="IN141" s="766"/>
      <c r="IO141" s="24"/>
      <c r="IP141" s="766"/>
      <c r="IQ141" s="766"/>
      <c r="IR141" s="766"/>
      <c r="IS141" s="766"/>
      <c r="IT141" s="766"/>
      <c r="IU141" s="766"/>
      <c r="IV141" s="766"/>
      <c r="IW141" s="766"/>
      <c r="IX141" s="766"/>
      <c r="IY141" s="766"/>
      <c r="IZ141" s="766"/>
      <c r="JA141" s="766"/>
      <c r="JB141" s="766"/>
      <c r="JC141" s="766"/>
      <c r="JD141" s="775"/>
      <c r="JE141" s="766"/>
      <c r="JF141" s="766"/>
      <c r="JG141" s="766"/>
      <c r="JH141" s="766"/>
      <c r="JI141" s="766"/>
      <c r="JJ141" s="766"/>
      <c r="JK141" s="766"/>
      <c r="JL141" s="766"/>
      <c r="JM141" s="766"/>
      <c r="JN141" s="766"/>
      <c r="JO141" s="766"/>
      <c r="JP141" s="766"/>
      <c r="JQ141" s="766"/>
      <c r="JR141" s="766"/>
      <c r="JS141" s="766"/>
      <c r="JT141" s="766"/>
      <c r="JU141" s="766"/>
      <c r="JV141" s="766"/>
      <c r="JW141" s="766"/>
      <c r="JX141" s="766"/>
      <c r="JY141" s="766"/>
      <c r="JZ141" s="766"/>
      <c r="KA141" s="766"/>
      <c r="KB141" s="766"/>
      <c r="KC141" s="766"/>
      <c r="KD141" s="766"/>
      <c r="KE141" s="766"/>
      <c r="KF141" s="766"/>
      <c r="KG141" s="766"/>
      <c r="KH141" s="766"/>
      <c r="KI141" s="766"/>
      <c r="KJ141" s="770"/>
      <c r="KK141" s="770"/>
      <c r="KL141" s="770"/>
      <c r="KM141" s="770"/>
      <c r="KN141" s="766"/>
      <c r="KO141" s="766"/>
      <c r="KP141" s="766"/>
      <c r="KQ141" s="766"/>
      <c r="KR141" s="766"/>
      <c r="KS141" s="766"/>
      <c r="KT141" s="766"/>
      <c r="KU141" s="766"/>
      <c r="KV141" s="766"/>
      <c r="KW141" s="766"/>
      <c r="KX141" s="766"/>
      <c r="KY141" s="766"/>
      <c r="KZ141" s="766"/>
      <c r="LA141" s="766"/>
      <c r="LB141" s="766"/>
      <c r="LC141" s="766"/>
      <c r="LD141" s="766"/>
      <c r="LE141" s="766"/>
      <c r="LF141" s="766"/>
      <c r="LG141" s="766"/>
      <c r="LH141" s="766"/>
      <c r="LI141" s="766"/>
      <c r="LJ141" s="766"/>
      <c r="LK141" s="766"/>
      <c r="LL141" s="766"/>
      <c r="LM141" s="766"/>
      <c r="LN141" s="766"/>
      <c r="LO141" s="766"/>
      <c r="LP141" s="766"/>
      <c r="LQ141" s="766"/>
      <c r="LR141" s="766"/>
      <c r="LS141" s="766"/>
      <c r="LT141" s="766"/>
      <c r="LU141" s="766"/>
      <c r="LV141" s="766"/>
      <c r="LW141" s="766"/>
      <c r="LX141" s="769"/>
      <c r="LY141" s="766" t="str">
        <f t="shared" si="36"/>
        <v/>
      </c>
      <c r="LZ141" s="66"/>
      <c r="MA141" s="766"/>
      <c r="MB141" s="766"/>
      <c r="MC141" s="1679">
        <f t="shared" si="24"/>
        <v>0</v>
      </c>
      <c r="MD141" s="66"/>
      <c r="ME141" s="66"/>
      <c r="MF141" s="66"/>
      <c r="MG141" s="1680">
        <f t="shared" si="34"/>
        <v>0</v>
      </c>
      <c r="MH141" s="766"/>
      <c r="MI141" s="775"/>
      <c r="MJ141" s="775"/>
      <c r="MK141" s="775"/>
      <c r="ML141" s="775"/>
      <c r="MM141" s="775"/>
      <c r="MN141" s="775"/>
      <c r="MO141" s="775"/>
      <c r="MP141" s="775"/>
      <c r="MQ141" s="775"/>
      <c r="MR141" s="775"/>
      <c r="MS141" s="775"/>
      <c r="MT141" s="775"/>
      <c r="MU141" s="775"/>
      <c r="MV141" s="775"/>
      <c r="MW141" s="775"/>
      <c r="MX141" s="775"/>
      <c r="MY141" s="1682">
        <f t="shared" si="35"/>
        <v>0</v>
      </c>
      <c r="MZ141" s="766"/>
      <c r="NA141" s="766"/>
      <c r="NB141" s="766"/>
      <c r="NC141" s="766"/>
      <c r="ND141" s="766"/>
      <c r="NE141" s="766"/>
      <c r="NF141" s="766"/>
      <c r="NG141" s="766"/>
      <c r="NH141" s="766"/>
      <c r="NI141" s="766"/>
      <c r="NJ141" s="766"/>
      <c r="NK141" s="766"/>
      <c r="NL141" s="766"/>
      <c r="NM141" s="766"/>
      <c r="NN141" s="766"/>
      <c r="NO141" s="766"/>
      <c r="NP141" s="766"/>
      <c r="NQ141" s="766"/>
      <c r="NR141" s="766"/>
      <c r="NS141" s="766"/>
      <c r="NT141" s="766"/>
      <c r="NU141" s="766"/>
      <c r="NV141" s="766"/>
      <c r="NW141" s="766"/>
      <c r="NX141" s="766"/>
      <c r="NY141" s="766"/>
      <c r="NZ141" s="766"/>
      <c r="OA141" s="766"/>
      <c r="OB141" s="766"/>
      <c r="OC141" s="766"/>
      <c r="OD141" s="766"/>
      <c r="OE141" s="766"/>
      <c r="OF141" s="766"/>
      <c r="OG141" s="766"/>
      <c r="OH141" s="766"/>
      <c r="OI141" s="766"/>
      <c r="OJ141" s="766"/>
      <c r="OK141" s="766"/>
      <c r="OL141" s="766"/>
      <c r="OM141" s="766"/>
      <c r="ON141" s="766"/>
      <c r="OO141" s="766"/>
      <c r="OP141" s="766"/>
      <c r="OQ141" s="766"/>
      <c r="OR141" s="766"/>
      <c r="OS141" s="766"/>
      <c r="OT141" s="766"/>
      <c r="OU141" s="766"/>
      <c r="OV141" s="766"/>
      <c r="OW141" s="766"/>
      <c r="OX141" s="766"/>
      <c r="OY141" s="766"/>
      <c r="OZ141" s="766"/>
      <c r="PA141" s="766"/>
      <c r="PB141" s="766"/>
      <c r="PC141" s="766"/>
      <c r="PD141" s="766"/>
      <c r="PE141" s="766"/>
      <c r="PF141" s="766"/>
      <c r="PG141" s="766"/>
      <c r="PH141" s="766"/>
      <c r="PI141" s="766"/>
      <c r="PJ141" s="766"/>
      <c r="PK141" s="766"/>
      <c r="PL141" s="766"/>
      <c r="PM141" s="766"/>
      <c r="PN141" s="766"/>
      <c r="PO141" s="766"/>
      <c r="PP141" s="766"/>
      <c r="PQ141" s="766"/>
      <c r="PR141" s="766"/>
      <c r="PS141" s="766"/>
      <c r="PT141" s="766"/>
      <c r="PU141" s="766"/>
      <c r="PV141" s="766"/>
      <c r="PW141" s="766"/>
      <c r="PX141" s="766"/>
      <c r="PY141" s="766"/>
      <c r="PZ141" s="766"/>
      <c r="QA141" s="766"/>
      <c r="QB141" s="766"/>
      <c r="QC141" s="766"/>
      <c r="QD141" s="766"/>
      <c r="QE141" s="766"/>
      <c r="QF141" s="766"/>
      <c r="QG141" s="766"/>
      <c r="QH141" s="766"/>
      <c r="QI141" s="766"/>
      <c r="QJ141" s="766"/>
      <c r="QK141" s="766"/>
      <c r="QL141" s="766"/>
      <c r="QM141" s="766"/>
      <c r="QN141" s="766"/>
      <c r="QO141" s="766"/>
      <c r="QP141" s="766"/>
      <c r="QQ141" s="766"/>
      <c r="QR141" s="766"/>
      <c r="QS141" s="766"/>
      <c r="QT141" s="766"/>
      <c r="QU141" s="766"/>
      <c r="QV141" s="766"/>
      <c r="QW141" s="766"/>
      <c r="QX141" s="766"/>
      <c r="QY141" s="766"/>
      <c r="QZ141" s="766"/>
      <c r="RA141" s="766"/>
      <c r="RB141" s="770"/>
      <c r="RC141" s="766"/>
      <c r="RD141" s="766"/>
      <c r="RE141" s="766"/>
      <c r="RF141" s="777"/>
      <c r="RG141" s="766"/>
      <c r="RH141" s="775"/>
      <c r="RI141" s="766"/>
      <c r="RJ141" s="766"/>
      <c r="RK141" s="766"/>
      <c r="RL141" s="1683"/>
      <c r="RM141" s="12"/>
      <c r="RN141" s="1711"/>
      <c r="RO141" s="171" t="s">
        <v>11846</v>
      </c>
      <c r="RP141" s="11"/>
      <c r="RQ141" s="11"/>
      <c r="RR141" s="17"/>
      <c r="RS141" s="766"/>
      <c r="RT141" s="11"/>
      <c r="RU141" s="11"/>
      <c r="RV141" s="766" t="s">
        <v>12435</v>
      </c>
      <c r="RW141" s="11" t="s">
        <v>11993</v>
      </c>
      <c r="RX141" s="11" t="s">
        <v>11846</v>
      </c>
      <c r="RY141" s="11"/>
      <c r="RZ141" s="11"/>
      <c r="SA141" s="766"/>
      <c r="SB141" s="11"/>
      <c r="SC141" s="11"/>
    </row>
    <row r="142" spans="1:497" ht="12.75" hidden="1" customHeight="1">
      <c r="A142" s="19" t="s">
        <v>7419</v>
      </c>
      <c r="B142" s="1131" t="s">
        <v>12427</v>
      </c>
      <c r="C142" s="171" t="s">
        <v>11847</v>
      </c>
      <c r="D142" s="766" t="s">
        <v>12233</v>
      </c>
      <c r="E142" s="766" t="s">
        <v>12234</v>
      </c>
      <c r="F142" s="766"/>
      <c r="G142" s="766"/>
      <c r="H142" s="766"/>
      <c r="I142" s="5"/>
      <c r="J142" s="766"/>
      <c r="K142" s="766"/>
      <c r="L142" s="766"/>
      <c r="M142" s="766"/>
      <c r="N142" s="766"/>
      <c r="O142" s="766"/>
      <c r="P142" s="766"/>
      <c r="Q142" s="1085"/>
      <c r="R142" s="25"/>
      <c r="S142" s="766"/>
      <c r="T142" s="766"/>
      <c r="U142" s="26"/>
      <c r="V142" s="766"/>
      <c r="W142" s="766"/>
      <c r="X142" s="766"/>
      <c r="Y142" s="766"/>
      <c r="Z142" s="766"/>
      <c r="AA142" s="766"/>
      <c r="AB142" s="766"/>
      <c r="AC142" s="766"/>
      <c r="AD142" s="766"/>
      <c r="AE142" s="766"/>
      <c r="AF142" s="766"/>
      <c r="AG142" s="766" t="s">
        <v>1095</v>
      </c>
      <c r="AH142" s="766" t="s">
        <v>1096</v>
      </c>
      <c r="AI142" s="766" t="s">
        <v>12233</v>
      </c>
      <c r="AJ142" s="766"/>
      <c r="AK142" s="766" t="s">
        <v>1097</v>
      </c>
      <c r="AL142" s="121">
        <v>40.56</v>
      </c>
      <c r="AM142" s="772">
        <v>5</v>
      </c>
      <c r="AN142" s="774">
        <f>AM142/AL142</f>
        <v>0.12327416173570019</v>
      </c>
      <c r="AO142" s="766" t="s">
        <v>1109</v>
      </c>
      <c r="AP142" s="766"/>
      <c r="AQ142" s="766"/>
      <c r="AR142" s="766"/>
      <c r="AS142" s="766"/>
      <c r="AT142" s="766"/>
      <c r="AU142" s="766"/>
      <c r="AV142" s="766"/>
      <c r="AW142" s="766"/>
      <c r="AX142" s="766"/>
      <c r="AY142" s="766"/>
      <c r="AZ142" s="766"/>
      <c r="BA142" s="766"/>
      <c r="BB142" s="766"/>
      <c r="BC142" s="766"/>
      <c r="BD142" s="766"/>
      <c r="BE142" s="766"/>
      <c r="BF142" s="775"/>
      <c r="BG142" s="775"/>
      <c r="BH142" s="766"/>
      <c r="BI142" s="766"/>
      <c r="BJ142" s="766"/>
      <c r="BK142" s="766" t="s">
        <v>1095</v>
      </c>
      <c r="BL142" s="766" t="s">
        <v>12235</v>
      </c>
      <c r="BM142" s="766" t="s">
        <v>1100</v>
      </c>
      <c r="BN142" s="766" t="s">
        <v>1230</v>
      </c>
      <c r="BO142" s="766" t="s">
        <v>1246</v>
      </c>
      <c r="BP142" s="776">
        <v>40.56</v>
      </c>
      <c r="BQ142" s="772">
        <v>5</v>
      </c>
      <c r="BR142" s="774">
        <f>BQ142/BP142</f>
        <v>0.12327416173570019</v>
      </c>
      <c r="BS142" s="766" t="s">
        <v>1242</v>
      </c>
      <c r="BT142" s="766" t="s">
        <v>2040</v>
      </c>
      <c r="BU142" s="766" t="s">
        <v>1308</v>
      </c>
      <c r="BV142" s="766" t="s">
        <v>1247</v>
      </c>
      <c r="BW142" s="766"/>
      <c r="BX142" s="779"/>
      <c r="BY142" s="766"/>
      <c r="BZ142" s="775"/>
      <c r="CA142" s="766"/>
      <c r="CB142" s="766" t="s">
        <v>1207</v>
      </c>
      <c r="CC142" s="766"/>
      <c r="CD142" s="766"/>
      <c r="CE142" s="766"/>
      <c r="CF142" s="777"/>
      <c r="CG142" s="778"/>
      <c r="CH142" s="766"/>
      <c r="CI142" s="766"/>
      <c r="CJ142" s="766"/>
      <c r="CK142" s="766"/>
      <c r="CL142" s="766"/>
      <c r="CM142" s="766"/>
      <c r="CN142" s="766"/>
      <c r="CO142" s="766"/>
      <c r="CP142" s="766"/>
      <c r="CQ142" s="766"/>
      <c r="CR142" s="775"/>
      <c r="CS142" s="766"/>
      <c r="CT142" s="766"/>
      <c r="CU142" s="129"/>
      <c r="CV142" s="766"/>
      <c r="CW142" s="766"/>
      <c r="CX142" s="766"/>
      <c r="CY142" s="766"/>
      <c r="CZ142" s="766"/>
      <c r="DA142" s="766"/>
      <c r="DB142" s="766"/>
      <c r="DC142" s="766"/>
      <c r="DD142" s="766"/>
      <c r="DE142" s="766"/>
      <c r="DF142" s="766"/>
      <c r="DG142" s="766"/>
      <c r="DH142" s="766"/>
      <c r="DI142" s="766"/>
      <c r="DJ142" s="766"/>
      <c r="DK142" s="766"/>
      <c r="DL142" s="766"/>
      <c r="DM142" s="766"/>
      <c r="DN142" s="766"/>
      <c r="DO142" s="766"/>
      <c r="DP142" s="766"/>
      <c r="DQ142" s="766"/>
      <c r="DR142" s="766"/>
      <c r="DS142" s="59"/>
      <c r="DT142" s="766"/>
      <c r="DU142" s="766"/>
      <c r="DV142" s="766"/>
      <c r="DW142" s="66"/>
      <c r="DX142" s="66"/>
      <c r="DY142" s="766"/>
      <c r="DZ142" s="766"/>
      <c r="EA142" s="766"/>
      <c r="EB142" s="766"/>
      <c r="EC142" s="766"/>
      <c r="ED142" s="766"/>
      <c r="EE142" s="766"/>
      <c r="EF142" s="766"/>
      <c r="EG142" s="766"/>
      <c r="EH142" s="766"/>
      <c r="EI142" s="766"/>
      <c r="EJ142" s="766"/>
      <c r="EK142" s="766"/>
      <c r="EL142" s="766"/>
      <c r="EM142" s="766"/>
      <c r="EN142" s="766"/>
      <c r="EO142" s="766"/>
      <c r="EP142" s="766"/>
      <c r="EQ142" s="766"/>
      <c r="ER142" s="766"/>
      <c r="ES142" s="766"/>
      <c r="ET142" s="766"/>
      <c r="EU142" s="766"/>
      <c r="EV142" s="766"/>
      <c r="EW142" s="766"/>
      <c r="EX142" s="766"/>
      <c r="EY142" s="766"/>
      <c r="EZ142" s="766" t="s">
        <v>12233</v>
      </c>
      <c r="FA142" s="766" t="s">
        <v>12236</v>
      </c>
      <c r="FB142" s="766" t="s">
        <v>1105</v>
      </c>
      <c r="FC142" s="766"/>
      <c r="FD142" s="775"/>
      <c r="FE142" s="766" t="s">
        <v>12237</v>
      </c>
      <c r="FF142" s="766"/>
      <c r="FG142" s="770" t="s">
        <v>12238</v>
      </c>
      <c r="FH142" s="766" t="s">
        <v>478</v>
      </c>
      <c r="FI142" s="766"/>
      <c r="FJ142" s="766"/>
      <c r="FK142" s="766"/>
      <c r="FL142" s="766"/>
      <c r="FM142" s="775"/>
      <c r="FN142" s="775"/>
      <c r="FO142" s="775"/>
      <c r="FP142" s="766" t="s">
        <v>12239</v>
      </c>
      <c r="FQ142" s="766" t="s">
        <v>1642</v>
      </c>
      <c r="FR142" s="766"/>
      <c r="FS142" s="766"/>
      <c r="FT142" s="766"/>
      <c r="FU142" s="766"/>
      <c r="FV142" s="766"/>
      <c r="FW142" s="766"/>
      <c r="FX142" s="766"/>
      <c r="FY142" s="766"/>
      <c r="FZ142" s="766"/>
      <c r="GA142" s="766"/>
      <c r="GB142" s="766"/>
      <c r="GC142" s="75"/>
      <c r="GD142" s="25"/>
      <c r="GE142" s="766"/>
      <c r="GF142" s="775"/>
      <c r="GG142" s="775"/>
      <c r="GH142" s="766"/>
      <c r="GI142" s="766"/>
      <c r="GJ142" s="766"/>
      <c r="GK142" s="766"/>
      <c r="GL142" s="766"/>
      <c r="GM142" s="766"/>
      <c r="GN142" s="82"/>
      <c r="GO142" s="766"/>
      <c r="GP142" s="766"/>
      <c r="GQ142" s="766"/>
      <c r="GR142" s="766"/>
      <c r="GS142" s="766"/>
      <c r="GT142" s="766"/>
      <c r="GU142" s="766"/>
      <c r="GV142" s="766"/>
      <c r="GW142" s="766"/>
      <c r="GX142" s="766"/>
      <c r="GY142" s="766"/>
      <c r="GZ142" s="766"/>
      <c r="HA142" s="766"/>
      <c r="HB142" s="766"/>
      <c r="HC142" s="766"/>
      <c r="HD142" s="766"/>
      <c r="HE142" s="766"/>
      <c r="HF142" s="766"/>
      <c r="HG142" s="766"/>
      <c r="HH142" s="766"/>
      <c r="HI142" s="766"/>
      <c r="HJ142" s="766"/>
      <c r="HK142" s="766"/>
      <c r="HL142" s="766"/>
      <c r="HM142" s="766"/>
      <c r="HN142" s="766"/>
      <c r="HO142" s="766"/>
      <c r="HP142" s="766"/>
      <c r="HQ142" s="766"/>
      <c r="HR142" s="766"/>
      <c r="HS142" s="766"/>
      <c r="HT142" s="766"/>
      <c r="HU142" s="766"/>
      <c r="HV142" s="766"/>
      <c r="HW142" s="766"/>
      <c r="HX142" s="766"/>
      <c r="HY142" s="766"/>
      <c r="HZ142" s="766"/>
      <c r="IA142" s="766"/>
      <c r="IB142" s="766"/>
      <c r="IC142" s="766"/>
      <c r="ID142" s="766"/>
      <c r="IE142" s="766"/>
      <c r="IF142" s="766"/>
      <c r="IG142" s="766"/>
      <c r="IH142" s="766"/>
      <c r="II142" s="766"/>
      <c r="IJ142" s="766"/>
      <c r="IK142" s="766"/>
      <c r="IL142" s="766"/>
      <c r="IM142" s="766"/>
      <c r="IN142" s="766"/>
      <c r="IO142" s="24"/>
      <c r="IP142" s="766"/>
      <c r="IQ142" s="766"/>
      <c r="IR142" s="766"/>
      <c r="IS142" s="766"/>
      <c r="IT142" s="766"/>
      <c r="IU142" s="766"/>
      <c r="IV142" s="766"/>
      <c r="IW142" s="766"/>
      <c r="IX142" s="766"/>
      <c r="IY142" s="766"/>
      <c r="IZ142" s="766"/>
      <c r="JA142" s="766"/>
      <c r="JB142" s="766"/>
      <c r="JC142" s="766"/>
      <c r="JD142" s="775"/>
      <c r="JE142" s="766"/>
      <c r="JF142" s="766"/>
      <c r="JG142" s="766"/>
      <c r="JH142" s="766"/>
      <c r="JI142" s="766"/>
      <c r="JJ142" s="766"/>
      <c r="JK142" s="766"/>
      <c r="JL142" s="766"/>
      <c r="JM142" s="766"/>
      <c r="JN142" s="766"/>
      <c r="JO142" s="766"/>
      <c r="JP142" s="766"/>
      <c r="JQ142" s="766"/>
      <c r="JR142" s="766"/>
      <c r="JS142" s="766"/>
      <c r="JT142" s="766"/>
      <c r="JU142" s="766"/>
      <c r="JV142" s="766"/>
      <c r="JW142" s="766"/>
      <c r="JX142" s="766"/>
      <c r="JY142" s="766"/>
      <c r="JZ142" s="766"/>
      <c r="KA142" s="766"/>
      <c r="KB142" s="766"/>
      <c r="KC142" s="766"/>
      <c r="KD142" s="766"/>
      <c r="KE142" s="766"/>
      <c r="KF142" s="766"/>
      <c r="KG142" s="766"/>
      <c r="KH142" s="766"/>
      <c r="KI142" s="766"/>
      <c r="KJ142" s="770"/>
      <c r="KK142" s="770"/>
      <c r="KL142" s="770"/>
      <c r="KM142" s="770"/>
      <c r="KN142" s="766"/>
      <c r="KO142" s="766"/>
      <c r="KP142" s="766"/>
      <c r="KQ142" s="766"/>
      <c r="KR142" s="766"/>
      <c r="KS142" s="766"/>
      <c r="KT142" s="766"/>
      <c r="KU142" s="766"/>
      <c r="KV142" s="766"/>
      <c r="KW142" s="766"/>
      <c r="KX142" s="766"/>
      <c r="KY142" s="766"/>
      <c r="KZ142" s="766"/>
      <c r="LA142" s="766"/>
      <c r="LB142" s="766"/>
      <c r="LC142" s="766"/>
      <c r="LD142" s="766"/>
      <c r="LE142" s="766"/>
      <c r="LF142" s="766"/>
      <c r="LG142" s="766"/>
      <c r="LH142" s="766"/>
      <c r="LI142" s="766"/>
      <c r="LJ142" s="766"/>
      <c r="LK142" s="766"/>
      <c r="LL142" s="766"/>
      <c r="LM142" s="766"/>
      <c r="LN142" s="766"/>
      <c r="LO142" s="766"/>
      <c r="LP142" s="766"/>
      <c r="LQ142" s="766"/>
      <c r="LR142" s="766"/>
      <c r="LS142" s="766"/>
      <c r="LT142" s="766"/>
      <c r="LU142" s="766"/>
      <c r="LV142" s="766"/>
      <c r="LW142" s="766"/>
      <c r="LX142" s="769"/>
      <c r="LY142" s="766" t="str">
        <f t="shared" si="36"/>
        <v/>
      </c>
      <c r="LZ142" s="66"/>
      <c r="MA142" s="766"/>
      <c r="MB142" s="766"/>
      <c r="MC142" s="1679">
        <f t="shared" si="24"/>
        <v>0</v>
      </c>
      <c r="MD142" s="66"/>
      <c r="ME142" s="66"/>
      <c r="MF142" s="66"/>
      <c r="MG142" s="1680">
        <f t="shared" si="34"/>
        <v>0</v>
      </c>
      <c r="MH142" s="766"/>
      <c r="MI142" s="775"/>
      <c r="MJ142" s="775"/>
      <c r="MK142" s="775"/>
      <c r="ML142" s="775"/>
      <c r="MM142" s="775"/>
      <c r="MN142" s="775"/>
      <c r="MO142" s="775"/>
      <c r="MP142" s="775"/>
      <c r="MQ142" s="775"/>
      <c r="MR142" s="775"/>
      <c r="MS142" s="775"/>
      <c r="MT142" s="775"/>
      <c r="MU142" s="775"/>
      <c r="MV142" s="775"/>
      <c r="MW142" s="775"/>
      <c r="MX142" s="775"/>
      <c r="MY142" s="1682">
        <f t="shared" si="35"/>
        <v>0</v>
      </c>
      <c r="MZ142" s="766"/>
      <c r="NA142" s="766"/>
      <c r="NB142" s="766"/>
      <c r="NC142" s="766"/>
      <c r="ND142" s="766"/>
      <c r="NE142" s="766"/>
      <c r="NF142" s="766"/>
      <c r="NG142" s="766"/>
      <c r="NH142" s="766"/>
      <c r="NI142" s="766"/>
      <c r="NJ142" s="766"/>
      <c r="NK142" s="766"/>
      <c r="NL142" s="766"/>
      <c r="NM142" s="766"/>
      <c r="NN142" s="766"/>
      <c r="NO142" s="766"/>
      <c r="NP142" s="766"/>
      <c r="NQ142" s="766"/>
      <c r="NR142" s="766"/>
      <c r="NS142" s="766"/>
      <c r="NT142" s="766"/>
      <c r="NU142" s="766"/>
      <c r="NV142" s="766"/>
      <c r="NW142" s="766"/>
      <c r="NX142" s="766"/>
      <c r="NY142" s="766"/>
      <c r="NZ142" s="766"/>
      <c r="OA142" s="766"/>
      <c r="OB142" s="766"/>
      <c r="OC142" s="766"/>
      <c r="OD142" s="766"/>
      <c r="OE142" s="766"/>
      <c r="OF142" s="766"/>
      <c r="OG142" s="766"/>
      <c r="OH142" s="766"/>
      <c r="OI142" s="766"/>
      <c r="OJ142" s="766"/>
      <c r="OK142" s="766"/>
      <c r="OL142" s="766"/>
      <c r="OM142" s="766"/>
      <c r="ON142" s="766"/>
      <c r="OO142" s="766"/>
      <c r="OP142" s="766"/>
      <c r="OQ142" s="766"/>
      <c r="OR142" s="766"/>
      <c r="OS142" s="766"/>
      <c r="OT142" s="766"/>
      <c r="OU142" s="766"/>
      <c r="OV142" s="766"/>
      <c r="OW142" s="766"/>
      <c r="OX142" s="766"/>
      <c r="OY142" s="766"/>
      <c r="OZ142" s="766"/>
      <c r="PA142" s="766"/>
      <c r="PB142" s="766"/>
      <c r="PC142" s="766"/>
      <c r="PD142" s="766"/>
      <c r="PE142" s="766"/>
      <c r="PF142" s="766"/>
      <c r="PG142" s="766"/>
      <c r="PH142" s="766"/>
      <c r="PI142" s="766"/>
      <c r="PJ142" s="766"/>
      <c r="PK142" s="766"/>
      <c r="PL142" s="766"/>
      <c r="PM142" s="766"/>
      <c r="PN142" s="766"/>
      <c r="PO142" s="766"/>
      <c r="PP142" s="766"/>
      <c r="PQ142" s="766"/>
      <c r="PR142" s="766"/>
      <c r="PS142" s="766"/>
      <c r="PT142" s="766"/>
      <c r="PU142" s="766"/>
      <c r="PV142" s="766"/>
      <c r="PW142" s="766"/>
      <c r="PX142" s="766"/>
      <c r="PY142" s="766"/>
      <c r="PZ142" s="766"/>
      <c r="QA142" s="766"/>
      <c r="QB142" s="766"/>
      <c r="QC142" s="766"/>
      <c r="QD142" s="766"/>
      <c r="QE142" s="766"/>
      <c r="QF142" s="766"/>
      <c r="QG142" s="766"/>
      <c r="QH142" s="766"/>
      <c r="QI142" s="766"/>
      <c r="QJ142" s="766"/>
      <c r="QK142" s="766"/>
      <c r="QL142" s="766"/>
      <c r="QM142" s="766"/>
      <c r="QN142" s="766"/>
      <c r="QO142" s="766"/>
      <c r="QP142" s="766"/>
      <c r="QQ142" s="766"/>
      <c r="QR142" s="766"/>
      <c r="QS142" s="766"/>
      <c r="QT142" s="766"/>
      <c r="QU142" s="766"/>
      <c r="QV142" s="766"/>
      <c r="QW142" s="766"/>
      <c r="QX142" s="766"/>
      <c r="QY142" s="766"/>
      <c r="QZ142" s="766"/>
      <c r="RA142" s="766"/>
      <c r="RB142" s="770"/>
      <c r="RC142" s="766"/>
      <c r="RD142" s="766"/>
      <c r="RE142" s="766"/>
      <c r="RF142" s="777"/>
      <c r="RG142" s="766"/>
      <c r="RH142" s="775"/>
      <c r="RI142" s="766"/>
      <c r="RJ142" s="766"/>
      <c r="RK142" s="766"/>
      <c r="RL142" s="1683"/>
      <c r="RM142" s="12" t="s">
        <v>13011</v>
      </c>
      <c r="RN142" s="1711"/>
      <c r="RO142" s="171" t="s">
        <v>11847</v>
      </c>
      <c r="RP142" s="11"/>
      <c r="RQ142" s="11"/>
      <c r="RR142" s="17"/>
      <c r="RS142" s="766"/>
      <c r="RT142" s="11"/>
      <c r="RU142" s="11"/>
      <c r="RV142" s="766" t="s">
        <v>12435</v>
      </c>
      <c r="RW142" s="11" t="s">
        <v>12000</v>
      </c>
      <c r="RX142" s="11" t="s">
        <v>11846</v>
      </c>
      <c r="RY142" s="11"/>
      <c r="RZ142" s="11" t="s">
        <v>7419</v>
      </c>
      <c r="SA142" s="766"/>
      <c r="SB142" s="11"/>
      <c r="SC142" s="11"/>
    </row>
    <row r="143" spans="1:497" ht="12.75" hidden="1" customHeight="1">
      <c r="A143" s="19" t="s">
        <v>7419</v>
      </c>
      <c r="B143" s="1096" t="s">
        <v>12428</v>
      </c>
      <c r="C143" s="171" t="s">
        <v>247</v>
      </c>
      <c r="D143" s="766" t="s">
        <v>235</v>
      </c>
      <c r="E143" s="766" t="s">
        <v>234</v>
      </c>
      <c r="F143" s="766" t="s">
        <v>236</v>
      </c>
      <c r="G143" s="766" t="s">
        <v>18</v>
      </c>
      <c r="H143" s="766"/>
      <c r="I143" s="5" t="s">
        <v>237</v>
      </c>
      <c r="J143" s="766"/>
      <c r="K143" s="766" t="s">
        <v>248</v>
      </c>
      <c r="L143" s="766" t="s">
        <v>249</v>
      </c>
      <c r="M143" s="766"/>
      <c r="N143" s="766"/>
      <c r="O143" s="766" t="s">
        <v>250</v>
      </c>
      <c r="P143" s="766"/>
      <c r="Q143" s="1085"/>
      <c r="R143" s="25"/>
      <c r="S143" s="766"/>
      <c r="T143" s="766"/>
      <c r="U143" s="26"/>
      <c r="V143" s="766"/>
      <c r="W143" s="766"/>
      <c r="X143" s="766"/>
      <c r="Y143" s="766"/>
      <c r="Z143" s="766"/>
      <c r="AA143" s="766"/>
      <c r="AB143" s="766"/>
      <c r="AC143" s="766"/>
      <c r="AD143" s="766"/>
      <c r="AE143" s="766"/>
      <c r="AF143" s="766"/>
      <c r="AG143" s="766"/>
      <c r="AH143" s="766"/>
      <c r="AI143" s="766" t="s">
        <v>12030</v>
      </c>
      <c r="AJ143" s="766"/>
      <c r="AK143" s="766" t="s">
        <v>1097</v>
      </c>
      <c r="AL143" s="121">
        <v>150</v>
      </c>
      <c r="AM143" s="772">
        <v>150</v>
      </c>
      <c r="AN143" s="774">
        <f>AM143/AL143</f>
        <v>1</v>
      </c>
      <c r="AO143" s="766" t="s">
        <v>1113</v>
      </c>
      <c r="AP143" s="766"/>
      <c r="AQ143" s="766"/>
      <c r="AR143" s="766"/>
      <c r="AS143" s="766"/>
      <c r="AT143" s="766"/>
      <c r="AU143" s="766"/>
      <c r="AV143" s="766"/>
      <c r="AW143" s="766"/>
      <c r="AX143" s="766"/>
      <c r="AY143" s="766"/>
      <c r="AZ143" s="766"/>
      <c r="BA143" s="766"/>
      <c r="BB143" s="766"/>
      <c r="BC143" s="766"/>
      <c r="BD143" s="766"/>
      <c r="BE143" s="766"/>
      <c r="BF143" s="775"/>
      <c r="BG143" s="775"/>
      <c r="BH143" s="766"/>
      <c r="BI143" s="766"/>
      <c r="BJ143" s="766"/>
      <c r="BK143" s="766"/>
      <c r="BL143" s="766"/>
      <c r="BM143" s="766"/>
      <c r="BN143" s="766"/>
      <c r="BO143" s="766"/>
      <c r="BP143" s="776"/>
      <c r="BQ143" s="772"/>
      <c r="BR143" s="774"/>
      <c r="BS143" s="766"/>
      <c r="BT143" s="766"/>
      <c r="BU143" s="766"/>
      <c r="BV143" s="766"/>
      <c r="BW143" s="766"/>
      <c r="BX143" s="779"/>
      <c r="BY143" s="766"/>
      <c r="BZ143" s="775"/>
      <c r="CA143" s="766"/>
      <c r="CB143" s="766" t="s">
        <v>1207</v>
      </c>
      <c r="CC143" s="766"/>
      <c r="CD143" s="766"/>
      <c r="CE143" s="766"/>
      <c r="CF143" s="777"/>
      <c r="CG143" s="778"/>
      <c r="CH143" s="766"/>
      <c r="CI143" s="766"/>
      <c r="CJ143" s="766"/>
      <c r="CK143" s="766"/>
      <c r="CL143" s="766"/>
      <c r="CM143" s="766"/>
      <c r="CN143" s="766"/>
      <c r="CO143" s="766"/>
      <c r="CP143" s="766"/>
      <c r="CQ143" s="766"/>
      <c r="CR143" s="775"/>
      <c r="CS143" s="766"/>
      <c r="CT143" s="766"/>
      <c r="CU143" s="129"/>
      <c r="CV143" s="766"/>
      <c r="CW143" s="766"/>
      <c r="CX143" s="766"/>
      <c r="CY143" s="766"/>
      <c r="CZ143" s="766"/>
      <c r="DA143" s="766"/>
      <c r="DB143" s="766"/>
      <c r="DC143" s="766"/>
      <c r="DD143" s="766"/>
      <c r="DE143" s="766"/>
      <c r="DF143" s="766"/>
      <c r="DG143" s="766"/>
      <c r="DH143" s="766"/>
      <c r="DI143" s="766"/>
      <c r="DJ143" s="766"/>
      <c r="DK143" s="766"/>
      <c r="DL143" s="766"/>
      <c r="DM143" s="766"/>
      <c r="DN143" s="766"/>
      <c r="DO143" s="766"/>
      <c r="DP143" s="766"/>
      <c r="DQ143" s="766" t="s">
        <v>8115</v>
      </c>
      <c r="DR143" s="766"/>
      <c r="DS143" s="59"/>
      <c r="DT143" s="766" t="s">
        <v>1492</v>
      </c>
      <c r="DU143" s="766"/>
      <c r="DV143" s="766"/>
      <c r="DW143" s="66">
        <f>10*15</f>
        <v>150</v>
      </c>
      <c r="DX143" s="66"/>
      <c r="DY143" s="766"/>
      <c r="DZ143" s="766"/>
      <c r="EA143" s="766"/>
      <c r="EB143" s="766"/>
      <c r="EC143" s="766"/>
      <c r="ED143" s="766"/>
      <c r="EE143" s="766"/>
      <c r="EF143" s="766"/>
      <c r="EG143" s="766"/>
      <c r="EH143" s="766"/>
      <c r="EI143" s="766"/>
      <c r="EJ143" s="766"/>
      <c r="EK143" s="766"/>
      <c r="EL143" s="766"/>
      <c r="EM143" s="766"/>
      <c r="EN143" s="766"/>
      <c r="EO143" s="766"/>
      <c r="EP143" s="766"/>
      <c r="EQ143" s="766"/>
      <c r="ER143" s="766"/>
      <c r="ES143" s="766"/>
      <c r="ET143" s="766"/>
      <c r="EU143" s="766"/>
      <c r="EV143" s="766"/>
      <c r="EW143" s="766"/>
      <c r="EX143" s="766"/>
      <c r="EY143" s="766"/>
      <c r="EZ143" s="766" t="s">
        <v>8115</v>
      </c>
      <c r="FA143" s="766" t="s">
        <v>1494</v>
      </c>
      <c r="FB143" s="766" t="s">
        <v>1257</v>
      </c>
      <c r="FC143" s="766"/>
      <c r="FD143" s="775"/>
      <c r="FE143" s="766" t="s">
        <v>1493</v>
      </c>
      <c r="FF143" s="766"/>
      <c r="FG143" s="770"/>
      <c r="FH143" s="766"/>
      <c r="FI143" s="766"/>
      <c r="FJ143" s="766"/>
      <c r="FK143" s="766"/>
      <c r="FL143" s="766"/>
      <c r="FM143" s="775"/>
      <c r="FN143" s="775"/>
      <c r="FO143" s="775"/>
      <c r="FP143" s="766"/>
      <c r="FQ143" s="766"/>
      <c r="FR143" s="766"/>
      <c r="FS143" s="766" t="s">
        <v>1208</v>
      </c>
      <c r="FT143" s="766"/>
      <c r="FU143" s="766"/>
      <c r="FV143" s="766"/>
      <c r="FW143" s="766"/>
      <c r="FX143" s="766"/>
      <c r="FY143" s="766"/>
      <c r="FZ143" s="766"/>
      <c r="GA143" s="766"/>
      <c r="GB143" s="766"/>
      <c r="GC143" s="75"/>
      <c r="GD143" s="25"/>
      <c r="GE143" s="766"/>
      <c r="GF143" s="775"/>
      <c r="GG143" s="775"/>
      <c r="GH143" s="766"/>
      <c r="GI143" s="766"/>
      <c r="GJ143" s="766"/>
      <c r="GK143" s="766"/>
      <c r="GL143" s="766"/>
      <c r="GM143" s="766"/>
      <c r="GN143" s="82"/>
      <c r="GO143" s="766"/>
      <c r="GP143" s="766"/>
      <c r="GQ143" s="766"/>
      <c r="GR143" s="766"/>
      <c r="GS143" s="766"/>
      <c r="GT143" s="766"/>
      <c r="GU143" s="766"/>
      <c r="GV143" s="766"/>
      <c r="GW143" s="766"/>
      <c r="GX143" s="766"/>
      <c r="GY143" s="766"/>
      <c r="GZ143" s="766"/>
      <c r="HA143" s="766"/>
      <c r="HB143" s="766"/>
      <c r="HC143" s="766"/>
      <c r="HD143" s="766"/>
      <c r="HE143" s="766"/>
      <c r="HF143" s="766"/>
      <c r="HG143" s="766"/>
      <c r="HH143" s="766"/>
      <c r="HI143" s="766"/>
      <c r="HJ143" s="766"/>
      <c r="HK143" s="766"/>
      <c r="HL143" s="766"/>
      <c r="HM143" s="766"/>
      <c r="HN143" s="766"/>
      <c r="HO143" s="766"/>
      <c r="HP143" s="766"/>
      <c r="HQ143" s="766"/>
      <c r="HR143" s="766"/>
      <c r="HS143" s="766"/>
      <c r="HT143" s="766"/>
      <c r="HU143" s="766"/>
      <c r="HV143" s="766"/>
      <c r="HW143" s="766"/>
      <c r="HX143" s="766"/>
      <c r="HY143" s="766"/>
      <c r="HZ143" s="766"/>
      <c r="IA143" s="766"/>
      <c r="IB143" s="766"/>
      <c r="IC143" s="766"/>
      <c r="ID143" s="766"/>
      <c r="IE143" s="766"/>
      <c r="IF143" s="766"/>
      <c r="IG143" s="766"/>
      <c r="IH143" s="766"/>
      <c r="II143" s="766"/>
      <c r="IJ143" s="766"/>
      <c r="IK143" s="766"/>
      <c r="IL143" s="766"/>
      <c r="IM143" s="766"/>
      <c r="IN143" s="766"/>
      <c r="IO143" s="24"/>
      <c r="IP143" s="766"/>
      <c r="IQ143" s="766"/>
      <c r="IR143" s="766"/>
      <c r="IS143" s="766"/>
      <c r="IT143" s="766"/>
      <c r="IU143" s="766"/>
      <c r="IV143" s="766"/>
      <c r="IW143" s="766"/>
      <c r="IX143" s="766"/>
      <c r="IY143" s="766"/>
      <c r="IZ143" s="766"/>
      <c r="JA143" s="766"/>
      <c r="JB143" s="766"/>
      <c r="JC143" s="766"/>
      <c r="JD143" s="775"/>
      <c r="JE143" s="766"/>
      <c r="JF143" s="766"/>
      <c r="JG143" s="766"/>
      <c r="JH143" s="766"/>
      <c r="JI143" s="766"/>
      <c r="JJ143" s="766"/>
      <c r="JK143" s="766"/>
      <c r="JL143" s="766"/>
      <c r="JM143" s="766"/>
      <c r="JN143" s="766"/>
      <c r="JO143" s="766"/>
      <c r="JP143" s="766"/>
      <c r="JQ143" s="766"/>
      <c r="JR143" s="766"/>
      <c r="JS143" s="766"/>
      <c r="JT143" s="766"/>
      <c r="JU143" s="766"/>
      <c r="JV143" s="766"/>
      <c r="JW143" s="766"/>
      <c r="JX143" s="766"/>
      <c r="JY143" s="766"/>
      <c r="JZ143" s="766"/>
      <c r="KA143" s="766"/>
      <c r="KB143" s="766"/>
      <c r="KC143" s="766"/>
      <c r="KD143" s="766"/>
      <c r="KE143" s="766"/>
      <c r="KF143" s="766"/>
      <c r="KG143" s="766"/>
      <c r="KH143" s="766"/>
      <c r="KI143" s="766"/>
      <c r="KJ143" s="770"/>
      <c r="KK143" s="770"/>
      <c r="KL143" s="770"/>
      <c r="KM143" s="770"/>
      <c r="KN143" s="766"/>
      <c r="KO143" s="766"/>
      <c r="KP143" s="766"/>
      <c r="KQ143" s="766"/>
      <c r="KR143" s="766"/>
      <c r="KS143" s="766"/>
      <c r="KT143" s="766"/>
      <c r="KU143" s="766"/>
      <c r="KV143" s="766"/>
      <c r="KW143" s="766"/>
      <c r="KX143" s="766"/>
      <c r="KY143" s="766"/>
      <c r="KZ143" s="766"/>
      <c r="LA143" s="766"/>
      <c r="LB143" s="766"/>
      <c r="LC143" s="766"/>
      <c r="LD143" s="766"/>
      <c r="LE143" s="766"/>
      <c r="LF143" s="766"/>
      <c r="LG143" s="766"/>
      <c r="LH143" s="766"/>
      <c r="LI143" s="766"/>
      <c r="LJ143" s="766"/>
      <c r="LK143" s="766"/>
      <c r="LL143" s="766"/>
      <c r="LM143" s="766"/>
      <c r="LN143" s="766"/>
      <c r="LO143" s="766"/>
      <c r="LP143" s="766"/>
      <c r="LQ143" s="766"/>
      <c r="LR143" s="766"/>
      <c r="LS143" s="766"/>
      <c r="LT143" s="766"/>
      <c r="LU143" s="766"/>
      <c r="LV143" s="766"/>
      <c r="LW143" s="766"/>
      <c r="LX143" s="769"/>
      <c r="LY143" s="766" t="str">
        <f t="shared" si="36"/>
        <v/>
      </c>
      <c r="LZ143" s="66"/>
      <c r="MA143" s="766"/>
      <c r="MB143" s="766"/>
      <c r="MC143" s="1679">
        <f t="shared" si="24"/>
        <v>0</v>
      </c>
      <c r="MD143" s="66"/>
      <c r="ME143" s="66"/>
      <c r="MF143" s="66"/>
      <c r="MG143" s="1680">
        <f t="shared" si="34"/>
        <v>0</v>
      </c>
      <c r="MH143" s="766"/>
      <c r="MI143" s="775"/>
      <c r="MJ143" s="775"/>
      <c r="MK143" s="775"/>
      <c r="ML143" s="775"/>
      <c r="MM143" s="775"/>
      <c r="MN143" s="775"/>
      <c r="MO143" s="775"/>
      <c r="MP143" s="775"/>
      <c r="MQ143" s="775"/>
      <c r="MR143" s="775"/>
      <c r="MS143" s="775"/>
      <c r="MT143" s="775"/>
      <c r="MU143" s="775"/>
      <c r="MV143" s="775"/>
      <c r="MW143" s="775"/>
      <c r="MX143" s="775"/>
      <c r="MY143" s="1682">
        <f t="shared" si="35"/>
        <v>0</v>
      </c>
      <c r="MZ143" s="766"/>
      <c r="NA143" s="766"/>
      <c r="NB143" s="766"/>
      <c r="NC143" s="766"/>
      <c r="ND143" s="766"/>
      <c r="NE143" s="766"/>
      <c r="NF143" s="766"/>
      <c r="NG143" s="766"/>
      <c r="NH143" s="766"/>
      <c r="NI143" s="766"/>
      <c r="NJ143" s="766"/>
      <c r="NK143" s="766"/>
      <c r="NL143" s="766"/>
      <c r="NM143" s="766"/>
      <c r="NN143" s="766"/>
      <c r="NO143" s="766"/>
      <c r="NP143" s="766"/>
      <c r="NQ143" s="766"/>
      <c r="NR143" s="766"/>
      <c r="NS143" s="766"/>
      <c r="NT143" s="766"/>
      <c r="NU143" s="766"/>
      <c r="NV143" s="766"/>
      <c r="NW143" s="766"/>
      <c r="NX143" s="766"/>
      <c r="NY143" s="766"/>
      <c r="NZ143" s="766"/>
      <c r="OA143" s="766"/>
      <c r="OB143" s="766"/>
      <c r="OC143" s="766"/>
      <c r="OD143" s="766"/>
      <c r="OE143" s="766"/>
      <c r="OF143" s="766"/>
      <c r="OG143" s="766"/>
      <c r="OH143" s="766"/>
      <c r="OI143" s="766"/>
      <c r="OJ143" s="766"/>
      <c r="OK143" s="766"/>
      <c r="OL143" s="766"/>
      <c r="OM143" s="766"/>
      <c r="ON143" s="766"/>
      <c r="OO143" s="766"/>
      <c r="OP143" s="766"/>
      <c r="OQ143" s="766"/>
      <c r="OR143" s="766"/>
      <c r="OS143" s="766"/>
      <c r="OT143" s="766"/>
      <c r="OU143" s="766"/>
      <c r="OV143" s="766"/>
      <c r="OW143" s="766"/>
      <c r="OX143" s="766"/>
      <c r="OY143" s="766"/>
      <c r="OZ143" s="766"/>
      <c r="PA143" s="766"/>
      <c r="PB143" s="766"/>
      <c r="PC143" s="766"/>
      <c r="PD143" s="766"/>
      <c r="PE143" s="766"/>
      <c r="PF143" s="766"/>
      <c r="PG143" s="766"/>
      <c r="PH143" s="766"/>
      <c r="PI143" s="766"/>
      <c r="PJ143" s="766"/>
      <c r="PK143" s="766"/>
      <c r="PL143" s="766"/>
      <c r="PM143" s="766"/>
      <c r="PN143" s="766"/>
      <c r="PO143" s="766"/>
      <c r="PP143" s="766"/>
      <c r="PQ143" s="766"/>
      <c r="PR143" s="766"/>
      <c r="PS143" s="766"/>
      <c r="PT143" s="766"/>
      <c r="PU143" s="766"/>
      <c r="PV143" s="766"/>
      <c r="PW143" s="766"/>
      <c r="PX143" s="766"/>
      <c r="PY143" s="766"/>
      <c r="PZ143" s="766"/>
      <c r="QA143" s="766"/>
      <c r="QB143" s="766"/>
      <c r="QC143" s="766"/>
      <c r="QD143" s="766"/>
      <c r="QE143" s="766"/>
      <c r="QF143" s="766"/>
      <c r="QG143" s="766"/>
      <c r="QH143" s="766"/>
      <c r="QI143" s="766"/>
      <c r="QJ143" s="766"/>
      <c r="QK143" s="766"/>
      <c r="QL143" s="766"/>
      <c r="QM143" s="766"/>
      <c r="QN143" s="766"/>
      <c r="QO143" s="766"/>
      <c r="QP143" s="766"/>
      <c r="QQ143" s="766"/>
      <c r="QR143" s="766"/>
      <c r="QS143" s="766"/>
      <c r="QT143" s="766"/>
      <c r="QU143" s="766"/>
      <c r="QV143" s="766"/>
      <c r="QW143" s="766"/>
      <c r="QX143" s="766"/>
      <c r="QY143" s="766"/>
      <c r="QZ143" s="766"/>
      <c r="RA143" s="766"/>
      <c r="RB143" s="766"/>
      <c r="RC143" s="766"/>
      <c r="RD143" s="766"/>
      <c r="RE143" s="766"/>
      <c r="RF143" s="777"/>
      <c r="RG143" s="766"/>
      <c r="RH143" s="775"/>
      <c r="RI143" s="766"/>
      <c r="RJ143" s="766"/>
      <c r="RK143" s="766"/>
      <c r="RL143" s="1683"/>
      <c r="RM143" s="12"/>
      <c r="RN143" s="1711"/>
      <c r="RO143" s="171" t="s">
        <v>247</v>
      </c>
      <c r="RP143" s="11"/>
      <c r="RQ143" s="11"/>
      <c r="RR143" s="17"/>
      <c r="RS143" s="766"/>
      <c r="RT143" s="11"/>
      <c r="RU143" s="11"/>
      <c r="RV143" s="766" t="s">
        <v>12435</v>
      </c>
      <c r="RW143" s="11" t="s">
        <v>12004</v>
      </c>
      <c r="RX143" s="11" t="s">
        <v>11846</v>
      </c>
      <c r="RY143" s="11"/>
      <c r="RZ143" s="11" t="s">
        <v>7419</v>
      </c>
      <c r="SA143" s="766"/>
      <c r="SB143" s="11"/>
      <c r="SC143" s="11"/>
    </row>
    <row r="144" spans="1:497" ht="12.75" hidden="1" customHeight="1">
      <c r="A144" s="19" t="s">
        <v>7419</v>
      </c>
      <c r="B144" s="288" t="s">
        <v>12429</v>
      </c>
      <c r="C144" s="171" t="s">
        <v>11814</v>
      </c>
      <c r="D144" s="766" t="s">
        <v>12010</v>
      </c>
      <c r="E144" s="766" t="s">
        <v>12011</v>
      </c>
      <c r="F144" s="766" t="s">
        <v>1263</v>
      </c>
      <c r="G144" s="766" t="s">
        <v>10</v>
      </c>
      <c r="H144" s="766"/>
      <c r="I144" s="5"/>
      <c r="J144" s="766" t="s">
        <v>12010</v>
      </c>
      <c r="K144" s="766" t="s">
        <v>12012</v>
      </c>
      <c r="L144" s="766" t="s">
        <v>12013</v>
      </c>
      <c r="M144" s="766"/>
      <c r="N144" s="766" t="s">
        <v>12014</v>
      </c>
      <c r="O144" s="766" t="s">
        <v>12015</v>
      </c>
      <c r="P144" s="766" t="s">
        <v>12010</v>
      </c>
      <c r="Q144" s="1085">
        <v>25056</v>
      </c>
      <c r="R144" s="25">
        <v>49</v>
      </c>
      <c r="S144" s="766" t="s">
        <v>10</v>
      </c>
      <c r="T144" s="766"/>
      <c r="U144" s="26" t="s">
        <v>12016</v>
      </c>
      <c r="V144" s="766" t="s">
        <v>707</v>
      </c>
      <c r="W144" s="766"/>
      <c r="X144" s="766"/>
      <c r="Y144" s="766" t="s">
        <v>12011</v>
      </c>
      <c r="Z144" s="766" t="s">
        <v>708</v>
      </c>
      <c r="AA144" s="766" t="s">
        <v>709</v>
      </c>
      <c r="AB144" s="766" t="s">
        <v>710</v>
      </c>
      <c r="AC144" s="766"/>
      <c r="AD144" s="766" t="s">
        <v>711</v>
      </c>
      <c r="AE144" s="766"/>
      <c r="AF144" s="766" t="s">
        <v>12017</v>
      </c>
      <c r="AG144" s="766" t="s">
        <v>1095</v>
      </c>
      <c r="AH144" s="766" t="s">
        <v>1096</v>
      </c>
      <c r="AI144" s="766" t="s">
        <v>12018</v>
      </c>
      <c r="AJ144" s="766"/>
      <c r="AK144" s="766" t="s">
        <v>1097</v>
      </c>
      <c r="AL144" s="121">
        <v>94</v>
      </c>
      <c r="AM144" s="772">
        <v>25</v>
      </c>
      <c r="AN144" s="774">
        <v>0.27</v>
      </c>
      <c r="AO144" s="766" t="s">
        <v>1149</v>
      </c>
      <c r="AP144" s="766"/>
      <c r="AQ144" s="766"/>
      <c r="AR144" s="766"/>
      <c r="AS144" s="766"/>
      <c r="AT144" s="766"/>
      <c r="AU144" s="766"/>
      <c r="AV144" s="766"/>
      <c r="AW144" s="766"/>
      <c r="AX144" s="766"/>
      <c r="AY144" s="766"/>
      <c r="AZ144" s="766"/>
      <c r="BA144" s="766"/>
      <c r="BB144" s="766"/>
      <c r="BC144" s="766"/>
      <c r="BD144" s="766"/>
      <c r="BE144" s="766"/>
      <c r="BF144" s="775"/>
      <c r="BG144" s="775"/>
      <c r="BH144" s="766"/>
      <c r="BI144" s="766"/>
      <c r="BJ144" s="766"/>
      <c r="BK144" s="766" t="s">
        <v>1095</v>
      </c>
      <c r="BL144" s="766" t="s">
        <v>12018</v>
      </c>
      <c r="BM144" s="766" t="s">
        <v>1096</v>
      </c>
      <c r="BN144" s="766" t="s">
        <v>1230</v>
      </c>
      <c r="BO144" s="766" t="s">
        <v>1246</v>
      </c>
      <c r="BP144" s="776">
        <v>40</v>
      </c>
      <c r="BQ144" s="772">
        <v>6</v>
      </c>
      <c r="BR144" s="774">
        <f t="shared" ref="BR144:BR149" si="37">BQ144/BP144</f>
        <v>0.15</v>
      </c>
      <c r="BS144" s="766" t="s">
        <v>1242</v>
      </c>
      <c r="BT144" s="766"/>
      <c r="BU144" s="766"/>
      <c r="BV144" s="766"/>
      <c r="BW144" s="766"/>
      <c r="BX144" s="779"/>
      <c r="BY144" s="766"/>
      <c r="BZ144" s="775"/>
      <c r="CA144" s="766"/>
      <c r="CB144" s="766"/>
      <c r="CC144" s="766"/>
      <c r="CD144" s="766"/>
      <c r="CE144" s="766"/>
      <c r="CF144" s="777"/>
      <c r="CG144" s="778"/>
      <c r="CH144" s="766"/>
      <c r="CI144" s="766"/>
      <c r="CJ144" s="766"/>
      <c r="CK144" s="766"/>
      <c r="CL144" s="766"/>
      <c r="CM144" s="766"/>
      <c r="CN144" s="766"/>
      <c r="CO144" s="766"/>
      <c r="CP144" s="766"/>
      <c r="CQ144" s="766"/>
      <c r="CR144" s="775"/>
      <c r="CS144" s="766"/>
      <c r="CT144" s="766"/>
      <c r="CU144" s="129"/>
      <c r="CV144" s="766"/>
      <c r="CW144" s="766"/>
      <c r="CX144" s="766"/>
      <c r="CY144" s="766"/>
      <c r="CZ144" s="766"/>
      <c r="DA144" s="766"/>
      <c r="DB144" s="766"/>
      <c r="DC144" s="766"/>
      <c r="DD144" s="766"/>
      <c r="DE144" s="766"/>
      <c r="DF144" s="766"/>
      <c r="DG144" s="766"/>
      <c r="DH144" s="766"/>
      <c r="DI144" s="766"/>
      <c r="DJ144" s="766"/>
      <c r="DK144" s="766"/>
      <c r="DL144" s="766"/>
      <c r="DM144" s="766"/>
      <c r="DN144" s="766"/>
      <c r="DO144" s="766"/>
      <c r="DP144" s="766"/>
      <c r="DQ144" s="766"/>
      <c r="DR144" s="766"/>
      <c r="DS144" s="59"/>
      <c r="DT144" s="766"/>
      <c r="DU144" s="766"/>
      <c r="DV144" s="766"/>
      <c r="DW144" s="66"/>
      <c r="DX144" s="66"/>
      <c r="DY144" s="766"/>
      <c r="DZ144" s="766"/>
      <c r="EA144" s="766"/>
      <c r="EB144" s="766"/>
      <c r="EC144" s="766"/>
      <c r="ED144" s="766"/>
      <c r="EE144" s="766"/>
      <c r="EF144" s="766"/>
      <c r="EG144" s="766"/>
      <c r="EH144" s="766"/>
      <c r="EI144" s="766"/>
      <c r="EJ144" s="766"/>
      <c r="EK144" s="766"/>
      <c r="EL144" s="766"/>
      <c r="EM144" s="766"/>
      <c r="EN144" s="766"/>
      <c r="EO144" s="766"/>
      <c r="EP144" s="766"/>
      <c r="EQ144" s="766"/>
      <c r="ER144" s="766"/>
      <c r="ES144" s="766"/>
      <c r="ET144" s="766"/>
      <c r="EU144" s="766"/>
      <c r="EV144" s="766"/>
      <c r="EW144" s="766"/>
      <c r="EX144" s="766"/>
      <c r="EY144" s="766"/>
      <c r="EZ144" s="766"/>
      <c r="FA144" s="766"/>
      <c r="FB144" s="766"/>
      <c r="FC144" s="766"/>
      <c r="FD144" s="775"/>
      <c r="FE144" s="766"/>
      <c r="FF144" s="766"/>
      <c r="FG144" s="770"/>
      <c r="FH144" s="766"/>
      <c r="FI144" s="766"/>
      <c r="FJ144" s="766"/>
      <c r="FK144" s="766"/>
      <c r="FL144" s="766"/>
      <c r="FM144" s="775"/>
      <c r="FN144" s="775"/>
      <c r="FO144" s="775"/>
      <c r="FP144" s="766"/>
      <c r="FQ144" s="766"/>
      <c r="FR144" s="766"/>
      <c r="FS144" s="766"/>
      <c r="FT144" s="766"/>
      <c r="FU144" s="766"/>
      <c r="FV144" s="766"/>
      <c r="FW144" s="766"/>
      <c r="FX144" s="766"/>
      <c r="FY144" s="766"/>
      <c r="FZ144" s="766"/>
      <c r="GA144" s="766"/>
      <c r="GB144" s="766"/>
      <c r="GC144" s="75"/>
      <c r="GD144" s="25"/>
      <c r="GE144" s="766"/>
      <c r="GF144" s="775"/>
      <c r="GG144" s="775"/>
      <c r="GH144" s="766"/>
      <c r="GI144" s="766"/>
      <c r="GJ144" s="766"/>
      <c r="GK144" s="766"/>
      <c r="GL144" s="766"/>
      <c r="GM144" s="766"/>
      <c r="GN144" s="82"/>
      <c r="GO144" s="766"/>
      <c r="GP144" s="766"/>
      <c r="GQ144" s="766"/>
      <c r="GR144" s="766"/>
      <c r="GS144" s="766"/>
      <c r="GT144" s="766"/>
      <c r="GU144" s="766"/>
      <c r="GV144" s="766"/>
      <c r="GW144" s="766"/>
      <c r="GX144" s="766"/>
      <c r="GY144" s="766"/>
      <c r="GZ144" s="766"/>
      <c r="HA144" s="766"/>
      <c r="HB144" s="766"/>
      <c r="HC144" s="766"/>
      <c r="HD144" s="766"/>
      <c r="HE144" s="766"/>
      <c r="HF144" s="766"/>
      <c r="HG144" s="766"/>
      <c r="HH144" s="766"/>
      <c r="HI144" s="766"/>
      <c r="HJ144" s="766"/>
      <c r="HK144" s="766"/>
      <c r="HL144" s="766"/>
      <c r="HM144" s="766"/>
      <c r="HN144" s="766"/>
      <c r="HO144" s="766"/>
      <c r="HP144" s="766"/>
      <c r="HQ144" s="766"/>
      <c r="HR144" s="766"/>
      <c r="HS144" s="766"/>
      <c r="HT144" s="766"/>
      <c r="HU144" s="766"/>
      <c r="HV144" s="766"/>
      <c r="HW144" s="766"/>
      <c r="HX144" s="766"/>
      <c r="HY144" s="766"/>
      <c r="HZ144" s="766"/>
      <c r="IA144" s="766"/>
      <c r="IB144" s="766"/>
      <c r="IC144" s="766"/>
      <c r="ID144" s="766"/>
      <c r="IE144" s="766"/>
      <c r="IF144" s="766"/>
      <c r="IG144" s="766"/>
      <c r="IH144" s="766"/>
      <c r="II144" s="766"/>
      <c r="IJ144" s="766"/>
      <c r="IK144" s="766"/>
      <c r="IL144" s="766"/>
      <c r="IM144" s="766"/>
      <c r="IN144" s="766"/>
      <c r="IO144" s="24"/>
      <c r="IP144" s="766"/>
      <c r="IQ144" s="766"/>
      <c r="IR144" s="766"/>
      <c r="IS144" s="766"/>
      <c r="IT144" s="766"/>
      <c r="IU144" s="766"/>
      <c r="IV144" s="766"/>
      <c r="IW144" s="766"/>
      <c r="IX144" s="766"/>
      <c r="IY144" s="766"/>
      <c r="IZ144" s="766"/>
      <c r="JA144" s="766"/>
      <c r="JB144" s="766"/>
      <c r="JC144" s="766"/>
      <c r="JD144" s="775"/>
      <c r="JE144" s="766"/>
      <c r="JF144" s="766"/>
      <c r="JG144" s="766"/>
      <c r="JH144" s="766"/>
      <c r="JI144" s="766"/>
      <c r="JJ144" s="766"/>
      <c r="JK144" s="766"/>
      <c r="JL144" s="766"/>
      <c r="JM144" s="766"/>
      <c r="JN144" s="766"/>
      <c r="JO144" s="766"/>
      <c r="JP144" s="766"/>
      <c r="JQ144" s="766"/>
      <c r="JR144" s="766"/>
      <c r="JS144" s="766"/>
      <c r="JT144" s="766"/>
      <c r="JU144" s="766"/>
      <c r="JV144" s="766"/>
      <c r="JW144" s="766"/>
      <c r="JX144" s="766"/>
      <c r="JY144" s="766"/>
      <c r="JZ144" s="766"/>
      <c r="KA144" s="766"/>
      <c r="KB144" s="766"/>
      <c r="KC144" s="766"/>
      <c r="KD144" s="766"/>
      <c r="KE144" s="766"/>
      <c r="KF144" s="766"/>
      <c r="KG144" s="766"/>
      <c r="KH144" s="766"/>
      <c r="KI144" s="766"/>
      <c r="KJ144" s="770"/>
      <c r="KK144" s="770"/>
      <c r="KL144" s="770"/>
      <c r="KM144" s="770"/>
      <c r="KN144" s="766"/>
      <c r="KO144" s="766"/>
      <c r="KP144" s="766"/>
      <c r="KQ144" s="766"/>
      <c r="KR144" s="766"/>
      <c r="KS144" s="766"/>
      <c r="KT144" s="766"/>
      <c r="KU144" s="766"/>
      <c r="KV144" s="766"/>
      <c r="KW144" s="766"/>
      <c r="KX144" s="766"/>
      <c r="KY144" s="766"/>
      <c r="KZ144" s="766"/>
      <c r="LA144" s="766"/>
      <c r="LB144" s="766"/>
      <c r="LC144" s="766"/>
      <c r="LD144" s="766"/>
      <c r="LE144" s="766"/>
      <c r="LF144" s="766"/>
      <c r="LG144" s="766"/>
      <c r="LH144" s="766"/>
      <c r="LI144" s="766"/>
      <c r="LJ144" s="766"/>
      <c r="LK144" s="766"/>
      <c r="LL144" s="766"/>
      <c r="LM144" s="766"/>
      <c r="LN144" s="766"/>
      <c r="LO144" s="766"/>
      <c r="LP144" s="766"/>
      <c r="LQ144" s="766"/>
      <c r="LR144" s="766"/>
      <c r="LS144" s="766"/>
      <c r="LT144" s="766"/>
      <c r="LU144" s="766"/>
      <c r="LV144" s="766"/>
      <c r="LW144" s="766"/>
      <c r="LX144" s="769"/>
      <c r="LY144" s="766" t="str">
        <f t="shared" si="36"/>
        <v/>
      </c>
      <c r="LZ144" s="66"/>
      <c r="MA144" s="766"/>
      <c r="MB144" s="766"/>
      <c r="MC144" s="1679">
        <f t="shared" si="24"/>
        <v>0</v>
      </c>
      <c r="MD144" s="66"/>
      <c r="ME144" s="66"/>
      <c r="MF144" s="66"/>
      <c r="MG144" s="1680">
        <f t="shared" si="34"/>
        <v>0</v>
      </c>
      <c r="MH144" s="766"/>
      <c r="MI144" s="775"/>
      <c r="MJ144" s="775"/>
      <c r="MK144" s="775"/>
      <c r="ML144" s="775"/>
      <c r="MM144" s="775"/>
      <c r="MN144" s="775"/>
      <c r="MO144" s="775"/>
      <c r="MP144" s="775"/>
      <c r="MQ144" s="775"/>
      <c r="MR144" s="775"/>
      <c r="MS144" s="775"/>
      <c r="MT144" s="775"/>
      <c r="MU144" s="775"/>
      <c r="MV144" s="775"/>
      <c r="MW144" s="775"/>
      <c r="MX144" s="775"/>
      <c r="MY144" s="1682">
        <f t="shared" si="35"/>
        <v>0</v>
      </c>
      <c r="MZ144" s="766"/>
      <c r="NA144" s="766"/>
      <c r="NB144" s="766"/>
      <c r="NC144" s="766"/>
      <c r="ND144" s="766"/>
      <c r="NE144" s="766"/>
      <c r="NF144" s="766"/>
      <c r="NG144" s="766"/>
      <c r="NH144" s="766"/>
      <c r="NI144" s="766"/>
      <c r="NJ144" s="766"/>
      <c r="NK144" s="766"/>
      <c r="NL144" s="766"/>
      <c r="NM144" s="766"/>
      <c r="NN144" s="766"/>
      <c r="NO144" s="766"/>
      <c r="NP144" s="766"/>
      <c r="NQ144" s="766"/>
      <c r="NR144" s="766"/>
      <c r="NS144" s="766"/>
      <c r="NT144" s="766"/>
      <c r="NU144" s="766"/>
      <c r="NV144" s="766"/>
      <c r="NW144" s="766"/>
      <c r="NX144" s="766"/>
      <c r="NY144" s="766"/>
      <c r="NZ144" s="766"/>
      <c r="OA144" s="766"/>
      <c r="OB144" s="766"/>
      <c r="OC144" s="766"/>
      <c r="OD144" s="766"/>
      <c r="OE144" s="766"/>
      <c r="OF144" s="766"/>
      <c r="OG144" s="766"/>
      <c r="OH144" s="766"/>
      <c r="OI144" s="766"/>
      <c r="OJ144" s="766"/>
      <c r="OK144" s="766"/>
      <c r="OL144" s="766"/>
      <c r="OM144" s="766"/>
      <c r="ON144" s="766"/>
      <c r="OO144" s="766"/>
      <c r="OP144" s="766"/>
      <c r="OQ144" s="766"/>
      <c r="OR144" s="766"/>
      <c r="OS144" s="766"/>
      <c r="OT144" s="766"/>
      <c r="OU144" s="766"/>
      <c r="OV144" s="766"/>
      <c r="OW144" s="766"/>
      <c r="OX144" s="766"/>
      <c r="OY144" s="766"/>
      <c r="OZ144" s="766"/>
      <c r="PA144" s="766"/>
      <c r="PB144" s="766"/>
      <c r="PC144" s="766"/>
      <c r="PD144" s="766"/>
      <c r="PE144" s="766"/>
      <c r="PF144" s="766"/>
      <c r="PG144" s="766"/>
      <c r="PH144" s="766"/>
      <c r="PI144" s="766"/>
      <c r="PJ144" s="766"/>
      <c r="PK144" s="766"/>
      <c r="PL144" s="766"/>
      <c r="PM144" s="766"/>
      <c r="PN144" s="766"/>
      <c r="PO144" s="766"/>
      <c r="PP144" s="766"/>
      <c r="PQ144" s="766"/>
      <c r="PR144" s="766"/>
      <c r="PS144" s="766"/>
      <c r="PT144" s="766"/>
      <c r="PU144" s="766"/>
      <c r="PV144" s="766"/>
      <c r="PW144" s="766"/>
      <c r="PX144" s="766"/>
      <c r="PY144" s="766"/>
      <c r="PZ144" s="766"/>
      <c r="QA144" s="766"/>
      <c r="QB144" s="766"/>
      <c r="QC144" s="766"/>
      <c r="QD144" s="766"/>
      <c r="QE144" s="766"/>
      <c r="QF144" s="766"/>
      <c r="QG144" s="766"/>
      <c r="QH144" s="766"/>
      <c r="QI144" s="766"/>
      <c r="QJ144" s="766"/>
      <c r="QK144" s="766"/>
      <c r="QL144" s="766"/>
      <c r="QM144" s="766"/>
      <c r="QN144" s="766"/>
      <c r="QO144" s="766"/>
      <c r="QP144" s="766"/>
      <c r="QQ144" s="766"/>
      <c r="QR144" s="766"/>
      <c r="QS144" s="766"/>
      <c r="QT144" s="766"/>
      <c r="QU144" s="766"/>
      <c r="QV144" s="766"/>
      <c r="QW144" s="766"/>
      <c r="QX144" s="766"/>
      <c r="QY144" s="766"/>
      <c r="QZ144" s="766"/>
      <c r="RA144" s="766"/>
      <c r="RB144" s="766"/>
      <c r="RC144" s="766"/>
      <c r="RD144" s="766"/>
      <c r="RE144" s="766"/>
      <c r="RF144" s="777"/>
      <c r="RG144" s="766"/>
      <c r="RH144" s="775"/>
      <c r="RI144" s="766"/>
      <c r="RJ144" s="766"/>
      <c r="RK144" s="766"/>
      <c r="RL144" s="1683"/>
      <c r="RM144" s="12"/>
      <c r="RN144" s="1711"/>
      <c r="RO144" s="171" t="s">
        <v>11814</v>
      </c>
      <c r="RP144" s="11"/>
      <c r="RQ144" s="11"/>
      <c r="RR144" s="17"/>
      <c r="RS144" s="766"/>
      <c r="RT144" s="11"/>
      <c r="RU144" s="11"/>
      <c r="RV144" s="766" t="s">
        <v>7419</v>
      </c>
      <c r="RW144" s="11" t="s">
        <v>12427</v>
      </c>
      <c r="RX144" s="11" t="s">
        <v>11847</v>
      </c>
      <c r="RY144" s="11"/>
      <c r="RZ144" s="11" t="s">
        <v>7419</v>
      </c>
      <c r="SA144" s="766"/>
      <c r="SB144" s="11"/>
      <c r="SC144" s="11"/>
    </row>
    <row r="145" spans="1:497" ht="12.75" hidden="1" customHeight="1">
      <c r="A145" s="343" t="s">
        <v>7419</v>
      </c>
      <c r="B145" s="288" t="s">
        <v>12430</v>
      </c>
      <c r="C145" s="171" t="s">
        <v>11835</v>
      </c>
      <c r="D145" s="766" t="s">
        <v>12019</v>
      </c>
      <c r="E145" s="766" t="s">
        <v>12020</v>
      </c>
      <c r="F145" s="766" t="s">
        <v>28</v>
      </c>
      <c r="G145" s="766" t="s">
        <v>10</v>
      </c>
      <c r="H145" s="766"/>
      <c r="I145" s="766"/>
      <c r="J145" s="766" t="s">
        <v>12019</v>
      </c>
      <c r="K145" s="766" t="s">
        <v>12021</v>
      </c>
      <c r="L145" s="766" t="s">
        <v>12022</v>
      </c>
      <c r="M145" s="766"/>
      <c r="N145" s="766" t="s">
        <v>12015</v>
      </c>
      <c r="O145" s="766" t="s">
        <v>12023</v>
      </c>
      <c r="P145" s="766" t="s">
        <v>12024</v>
      </c>
      <c r="Q145" s="1085">
        <v>20774</v>
      </c>
      <c r="R145" s="25">
        <v>61</v>
      </c>
      <c r="S145" s="766" t="s">
        <v>10</v>
      </c>
      <c r="T145" s="766"/>
      <c r="U145" s="26" t="s">
        <v>12025</v>
      </c>
      <c r="V145" s="766" t="s">
        <v>719</v>
      </c>
      <c r="W145" s="766"/>
      <c r="X145" s="24"/>
      <c r="Y145" s="766" t="s">
        <v>12020</v>
      </c>
      <c r="Z145" s="766" t="s">
        <v>708</v>
      </c>
      <c r="AA145" s="766" t="s">
        <v>709</v>
      </c>
      <c r="AB145" s="766" t="s">
        <v>710</v>
      </c>
      <c r="AC145" s="766"/>
      <c r="AD145" s="766" t="s">
        <v>711</v>
      </c>
      <c r="AE145" s="766"/>
      <c r="AF145" s="766" t="s">
        <v>798</v>
      </c>
      <c r="AG145" s="766" t="s">
        <v>1095</v>
      </c>
      <c r="AH145" s="766" t="s">
        <v>1096</v>
      </c>
      <c r="AI145" s="766" t="s">
        <v>12426</v>
      </c>
      <c r="AJ145" s="766"/>
      <c r="AK145" s="766" t="s">
        <v>1097</v>
      </c>
      <c r="AL145" s="121">
        <v>39.479999999999997</v>
      </c>
      <c r="AM145" s="772">
        <v>36.75</v>
      </c>
      <c r="AN145" s="774">
        <f>AM145/AL145</f>
        <v>0.93085106382978733</v>
      </c>
      <c r="AO145" s="766" t="s">
        <v>1113</v>
      </c>
      <c r="AP145" s="766"/>
      <c r="AQ145" s="766"/>
      <c r="AR145" s="766"/>
      <c r="AS145" s="766" t="s">
        <v>1207</v>
      </c>
      <c r="AT145" s="766" t="s">
        <v>1208</v>
      </c>
      <c r="AU145" s="766"/>
      <c r="AV145" s="766"/>
      <c r="AW145" s="766"/>
      <c r="AX145" s="766"/>
      <c r="AY145" s="766"/>
      <c r="AZ145" s="766"/>
      <c r="BA145" s="766"/>
      <c r="BB145" s="766"/>
      <c r="BC145" s="766" t="s">
        <v>796</v>
      </c>
      <c r="BD145" s="766"/>
      <c r="BE145" s="766"/>
      <c r="BF145" s="775"/>
      <c r="BG145" s="775"/>
      <c r="BH145" s="766"/>
      <c r="BI145" s="766"/>
      <c r="BJ145" s="766"/>
      <c r="BK145" s="766" t="s">
        <v>1095</v>
      </c>
      <c r="BL145" s="766" t="s">
        <v>12019</v>
      </c>
      <c r="BM145" s="766" t="s">
        <v>1096</v>
      </c>
      <c r="BN145" s="766" t="s">
        <v>1230</v>
      </c>
      <c r="BO145" s="766" t="s">
        <v>1246</v>
      </c>
      <c r="BP145" s="776">
        <v>39.479999999999997</v>
      </c>
      <c r="BQ145" s="772">
        <v>36.75</v>
      </c>
      <c r="BR145" s="774">
        <f t="shared" si="37"/>
        <v>0.93085106382978733</v>
      </c>
      <c r="BS145" s="766" t="s">
        <v>1257</v>
      </c>
      <c r="BT145" s="766" t="s">
        <v>12026</v>
      </c>
      <c r="BU145" s="766" t="s">
        <v>1249</v>
      </c>
      <c r="BV145" s="766" t="s">
        <v>1247</v>
      </c>
      <c r="BW145" s="766"/>
      <c r="BX145" s="779"/>
      <c r="BY145" s="766"/>
      <c r="BZ145" s="775"/>
      <c r="CA145" s="766"/>
      <c r="CB145" s="766"/>
      <c r="CC145" s="766"/>
      <c r="CD145" s="766"/>
      <c r="CE145" s="766"/>
      <c r="CF145" s="777"/>
      <c r="CG145" s="778"/>
      <c r="CH145" s="766"/>
      <c r="CI145" s="766"/>
      <c r="CJ145" s="766"/>
      <c r="CK145" s="766"/>
      <c r="CL145" s="766"/>
      <c r="CM145" s="766"/>
      <c r="CN145" s="766"/>
      <c r="CO145" s="766"/>
      <c r="CP145" s="766"/>
      <c r="CQ145" s="766"/>
      <c r="CR145" s="775"/>
      <c r="CS145" s="766"/>
      <c r="CT145" s="766"/>
      <c r="CU145" s="129"/>
      <c r="CV145" s="766"/>
      <c r="CW145" s="766"/>
      <c r="CX145" s="766"/>
      <c r="CY145" s="766"/>
      <c r="CZ145" s="766"/>
      <c r="DA145" s="766"/>
      <c r="DB145" s="766"/>
      <c r="DC145" s="766"/>
      <c r="DD145" s="766"/>
      <c r="DE145" s="766"/>
      <c r="DF145" s="766"/>
      <c r="DG145" s="766"/>
      <c r="DH145" s="766"/>
      <c r="DI145" s="766"/>
      <c r="DJ145" s="766"/>
      <c r="DK145" s="766"/>
      <c r="DL145" s="766"/>
      <c r="DM145" s="766"/>
      <c r="DN145" s="766"/>
      <c r="DO145" s="766"/>
      <c r="DP145" s="766"/>
      <c r="DQ145" s="766"/>
      <c r="DR145" s="766"/>
      <c r="DS145" s="59"/>
      <c r="DT145" s="766"/>
      <c r="DU145" s="766"/>
      <c r="DV145" s="766"/>
      <c r="DW145" s="66"/>
      <c r="DX145" s="66"/>
      <c r="DY145" s="766"/>
      <c r="DZ145" s="766"/>
      <c r="EA145" s="766"/>
      <c r="EB145" s="766"/>
      <c r="EC145" s="766"/>
      <c r="ED145" s="766"/>
      <c r="EE145" s="766"/>
      <c r="EF145" s="766"/>
      <c r="EG145" s="766"/>
      <c r="EH145" s="766"/>
      <c r="EI145" s="766"/>
      <c r="EJ145" s="766"/>
      <c r="EK145" s="766"/>
      <c r="EL145" s="766"/>
      <c r="EM145" s="766"/>
      <c r="EN145" s="766"/>
      <c r="EO145" s="766"/>
      <c r="EP145" s="766"/>
      <c r="EQ145" s="766"/>
      <c r="ER145" s="766"/>
      <c r="ES145" s="766"/>
      <c r="ET145" s="766"/>
      <c r="EU145" s="766"/>
      <c r="EV145" s="766"/>
      <c r="EW145" s="766"/>
      <c r="EX145" s="766"/>
      <c r="EY145" s="766"/>
      <c r="EZ145" s="766"/>
      <c r="FA145" s="766"/>
      <c r="FB145" s="766"/>
      <c r="FC145" s="766"/>
      <c r="FD145" s="775"/>
      <c r="FE145" s="766"/>
      <c r="FF145" s="766"/>
      <c r="FG145" s="770"/>
      <c r="FH145" s="766"/>
      <c r="FI145" s="766"/>
      <c r="FJ145" s="766"/>
      <c r="FK145" s="766"/>
      <c r="FL145" s="766"/>
      <c r="FM145" s="775"/>
      <c r="FN145" s="775"/>
      <c r="FO145" s="775"/>
      <c r="FP145" s="766"/>
      <c r="FQ145" s="766"/>
      <c r="FR145" s="766"/>
      <c r="FS145" s="766"/>
      <c r="FT145" s="766"/>
      <c r="FU145" s="766"/>
      <c r="FV145" s="766"/>
      <c r="FW145" s="766"/>
      <c r="FX145" s="766"/>
      <c r="FY145" s="766"/>
      <c r="FZ145" s="766"/>
      <c r="GA145" s="766"/>
      <c r="GB145" s="766"/>
      <c r="GC145" s="75"/>
      <c r="GD145" s="25"/>
      <c r="GE145" s="766"/>
      <c r="GF145" s="775"/>
      <c r="GG145" s="775"/>
      <c r="GH145" s="766"/>
      <c r="GI145" s="766"/>
      <c r="GJ145" s="766"/>
      <c r="GK145" s="766"/>
      <c r="GL145" s="766"/>
      <c r="GM145" s="766"/>
      <c r="GN145" s="82"/>
      <c r="GO145" s="766"/>
      <c r="GP145" s="766"/>
      <c r="GQ145" s="766"/>
      <c r="GR145" s="766"/>
      <c r="GS145" s="766"/>
      <c r="GT145" s="766"/>
      <c r="GU145" s="766"/>
      <c r="GV145" s="766"/>
      <c r="GW145" s="766"/>
      <c r="GX145" s="766"/>
      <c r="GY145" s="766"/>
      <c r="GZ145" s="766"/>
      <c r="HA145" s="766"/>
      <c r="HB145" s="766"/>
      <c r="HC145" s="766"/>
      <c r="HD145" s="766"/>
      <c r="HE145" s="766"/>
      <c r="HF145" s="766"/>
      <c r="HG145" s="766"/>
      <c r="HH145" s="766"/>
      <c r="HI145" s="766"/>
      <c r="HJ145" s="766"/>
      <c r="HK145" s="766"/>
      <c r="HL145" s="766"/>
      <c r="HM145" s="766"/>
      <c r="HN145" s="766"/>
      <c r="HO145" s="766"/>
      <c r="HP145" s="766"/>
      <c r="HQ145" s="766"/>
      <c r="HR145" s="766">
        <v>2</v>
      </c>
      <c r="HS145" s="766"/>
      <c r="HT145" s="766"/>
      <c r="HU145" s="766"/>
      <c r="HV145" s="766"/>
      <c r="HW145" s="766"/>
      <c r="HX145" s="766"/>
      <c r="HY145" s="766"/>
      <c r="HZ145" s="766"/>
      <c r="IA145" s="766"/>
      <c r="IB145" s="766"/>
      <c r="IC145" s="766"/>
      <c r="ID145" s="766"/>
      <c r="IE145" s="766"/>
      <c r="IF145" s="766"/>
      <c r="IG145" s="766"/>
      <c r="IH145" s="766"/>
      <c r="II145" s="766"/>
      <c r="IJ145" s="766"/>
      <c r="IK145" s="766"/>
      <c r="IL145" s="766"/>
      <c r="IM145" s="766"/>
      <c r="IN145" s="766"/>
      <c r="IO145" s="24"/>
      <c r="IP145" s="766"/>
      <c r="IQ145" s="766"/>
      <c r="IR145" s="766"/>
      <c r="IS145" s="766"/>
      <c r="IT145" s="766"/>
      <c r="IU145" s="766"/>
      <c r="IV145" s="766"/>
      <c r="IW145" s="766"/>
      <c r="IX145" s="766"/>
      <c r="IY145" s="766"/>
      <c r="IZ145" s="766"/>
      <c r="JA145" s="766"/>
      <c r="JB145" s="766"/>
      <c r="JC145" s="766"/>
      <c r="JD145" s="775"/>
      <c r="JE145" s="766"/>
      <c r="JF145" s="766"/>
      <c r="JG145" s="766"/>
      <c r="JH145" s="766"/>
      <c r="JI145" s="766"/>
      <c r="JJ145" s="766"/>
      <c r="JK145" s="766"/>
      <c r="JL145" s="766"/>
      <c r="JM145" s="766"/>
      <c r="JN145" s="766"/>
      <c r="JO145" s="766"/>
      <c r="JP145" s="766"/>
      <c r="JQ145" s="766"/>
      <c r="JR145" s="766"/>
      <c r="JS145" s="766"/>
      <c r="JT145" s="766"/>
      <c r="JU145" s="766"/>
      <c r="JV145" s="766"/>
      <c r="JW145" s="766"/>
      <c r="JX145" s="766"/>
      <c r="JY145" s="766"/>
      <c r="JZ145" s="766"/>
      <c r="KA145" s="766"/>
      <c r="KB145" s="766"/>
      <c r="KC145" s="766"/>
      <c r="KD145" s="766"/>
      <c r="KE145" s="766"/>
      <c r="KF145" s="766"/>
      <c r="KG145" s="766"/>
      <c r="KH145" s="766"/>
      <c r="KI145" s="766"/>
      <c r="KJ145" s="770"/>
      <c r="KK145" s="770"/>
      <c r="KL145" s="770"/>
      <c r="KM145" s="770"/>
      <c r="KN145" s="766"/>
      <c r="KO145" s="766"/>
      <c r="KP145" s="766"/>
      <c r="KQ145" s="766"/>
      <c r="KR145" s="766"/>
      <c r="KS145" s="766"/>
      <c r="KT145" s="766"/>
      <c r="KU145" s="766"/>
      <c r="KV145" s="766"/>
      <c r="KW145" s="766"/>
      <c r="KX145" s="766"/>
      <c r="KY145" s="766"/>
      <c r="KZ145" s="766"/>
      <c r="LA145" s="766"/>
      <c r="LB145" s="766"/>
      <c r="LC145" s="766"/>
      <c r="LD145" s="766"/>
      <c r="LE145" s="766"/>
      <c r="LF145" s="766"/>
      <c r="LG145" s="766"/>
      <c r="LH145" s="766"/>
      <c r="LI145" s="766"/>
      <c r="LJ145" s="766"/>
      <c r="LK145" s="766"/>
      <c r="LL145" s="766"/>
      <c r="LM145" s="766"/>
      <c r="LN145" s="766"/>
      <c r="LO145" s="766"/>
      <c r="LP145" s="766"/>
      <c r="LQ145" s="766"/>
      <c r="LR145" s="766"/>
      <c r="LS145" s="766"/>
      <c r="LT145" s="766"/>
      <c r="LU145" s="766"/>
      <c r="LV145" s="766"/>
      <c r="LW145" s="766"/>
      <c r="LX145" s="769"/>
      <c r="LY145" s="766" t="str">
        <f t="shared" si="36"/>
        <v/>
      </c>
      <c r="LZ145" s="66"/>
      <c r="MA145" s="766"/>
      <c r="MB145" s="766"/>
      <c r="MC145" s="1679">
        <f t="shared" si="24"/>
        <v>0</v>
      </c>
      <c r="MD145" s="66"/>
      <c r="ME145" s="66"/>
      <c r="MF145" s="66"/>
      <c r="MG145" s="1680">
        <f t="shared" si="34"/>
        <v>0</v>
      </c>
      <c r="MH145" s="766"/>
      <c r="MI145" s="775"/>
      <c r="MJ145" s="775"/>
      <c r="MK145" s="775"/>
      <c r="ML145" s="775"/>
      <c r="MM145" s="775"/>
      <c r="MN145" s="775"/>
      <c r="MO145" s="775"/>
      <c r="MP145" s="775"/>
      <c r="MQ145" s="775"/>
      <c r="MR145" s="775"/>
      <c r="MS145" s="775"/>
      <c r="MT145" s="775"/>
      <c r="MU145" s="775"/>
      <c r="MV145" s="775"/>
      <c r="MW145" s="775"/>
      <c r="MX145" s="775"/>
      <c r="MY145" s="1682">
        <f t="shared" si="35"/>
        <v>0</v>
      </c>
      <c r="MZ145" s="766"/>
      <c r="NA145" s="766"/>
      <c r="NB145" s="766"/>
      <c r="NC145" s="766"/>
      <c r="ND145" s="766"/>
      <c r="NE145" s="766"/>
      <c r="NF145" s="766"/>
      <c r="NG145" s="766"/>
      <c r="NH145" s="766"/>
      <c r="NI145" s="766"/>
      <c r="NJ145" s="766"/>
      <c r="NK145" s="766"/>
      <c r="NL145" s="766"/>
      <c r="NM145" s="766"/>
      <c r="NN145" s="766"/>
      <c r="NO145" s="766"/>
      <c r="NP145" s="766"/>
      <c r="NQ145" s="766"/>
      <c r="NR145" s="766"/>
      <c r="NS145" s="766"/>
      <c r="NT145" s="766"/>
      <c r="NU145" s="766"/>
      <c r="NV145" s="766"/>
      <c r="NW145" s="766"/>
      <c r="NX145" s="766"/>
      <c r="NY145" s="766"/>
      <c r="NZ145" s="766"/>
      <c r="OA145" s="766"/>
      <c r="OB145" s="766"/>
      <c r="OC145" s="766"/>
      <c r="OD145" s="766"/>
      <c r="OE145" s="766"/>
      <c r="OF145" s="766"/>
      <c r="OG145" s="766"/>
      <c r="OH145" s="766"/>
      <c r="OI145" s="766"/>
      <c r="OJ145" s="766"/>
      <c r="OK145" s="766"/>
      <c r="OL145" s="766"/>
      <c r="OM145" s="766"/>
      <c r="ON145" s="766"/>
      <c r="OO145" s="766"/>
      <c r="OP145" s="766"/>
      <c r="OQ145" s="766"/>
      <c r="OR145" s="766"/>
      <c r="OS145" s="766"/>
      <c r="OT145" s="766"/>
      <c r="OU145" s="766"/>
      <c r="OV145" s="766"/>
      <c r="OW145" s="766"/>
      <c r="OX145" s="766"/>
      <c r="OY145" s="766"/>
      <c r="OZ145" s="766"/>
      <c r="PA145" s="766"/>
      <c r="PB145" s="766"/>
      <c r="PC145" s="766"/>
      <c r="PD145" s="766"/>
      <c r="PE145" s="766"/>
      <c r="PF145" s="766"/>
      <c r="PG145" s="766"/>
      <c r="PH145" s="766"/>
      <c r="PI145" s="766"/>
      <c r="PJ145" s="766"/>
      <c r="PK145" s="766"/>
      <c r="PL145" s="766"/>
      <c r="PM145" s="766"/>
      <c r="PN145" s="766"/>
      <c r="PO145" s="766"/>
      <c r="PP145" s="766"/>
      <c r="PQ145" s="766"/>
      <c r="PR145" s="766"/>
      <c r="PS145" s="766"/>
      <c r="PT145" s="766"/>
      <c r="PU145" s="766"/>
      <c r="PV145" s="766"/>
      <c r="PW145" s="766"/>
      <c r="PX145" s="766"/>
      <c r="PY145" s="766"/>
      <c r="PZ145" s="766"/>
      <c r="QA145" s="766"/>
      <c r="QB145" s="766"/>
      <c r="QC145" s="766"/>
      <c r="QD145" s="766"/>
      <c r="QE145" s="766"/>
      <c r="QF145" s="766"/>
      <c r="QG145" s="766"/>
      <c r="QH145" s="766"/>
      <c r="QI145" s="766"/>
      <c r="QJ145" s="766"/>
      <c r="QK145" s="766"/>
      <c r="QL145" s="766"/>
      <c r="QM145" s="766"/>
      <c r="QN145" s="766"/>
      <c r="QO145" s="766"/>
      <c r="QP145" s="766"/>
      <c r="QQ145" s="766"/>
      <c r="QR145" s="766"/>
      <c r="QS145" s="766"/>
      <c r="QT145" s="766"/>
      <c r="QU145" s="766"/>
      <c r="QV145" s="766"/>
      <c r="QW145" s="766"/>
      <c r="QX145" s="766"/>
      <c r="QY145" s="766"/>
      <c r="QZ145" s="766"/>
      <c r="RA145" s="766"/>
      <c r="RB145" s="766"/>
      <c r="RC145" s="766"/>
      <c r="RD145" s="766"/>
      <c r="RE145" s="766"/>
      <c r="RF145" s="777"/>
      <c r="RG145" s="766"/>
      <c r="RH145" s="775"/>
      <c r="RI145" s="766"/>
      <c r="RJ145" s="766"/>
      <c r="RK145" s="766"/>
      <c r="RL145" s="1683"/>
      <c r="RM145" s="12"/>
      <c r="RN145" s="1711"/>
      <c r="RO145" s="171" t="s">
        <v>11835</v>
      </c>
      <c r="RP145" s="11"/>
      <c r="RQ145" s="11"/>
      <c r="RR145" s="17"/>
      <c r="RS145" s="766"/>
      <c r="RT145" s="11"/>
      <c r="RU145" s="11"/>
      <c r="RV145" s="766" t="s">
        <v>7419</v>
      </c>
      <c r="RW145" s="11" t="s">
        <v>12428</v>
      </c>
      <c r="RX145" s="11" t="s">
        <v>247</v>
      </c>
      <c r="RY145" s="11"/>
      <c r="RZ145" s="11" t="s">
        <v>7419</v>
      </c>
      <c r="SA145" s="766"/>
      <c r="SB145" s="11"/>
      <c r="SC145" s="11"/>
    </row>
    <row r="146" spans="1:497" ht="12.75" hidden="1" customHeight="1">
      <c r="A146" s="19" t="s">
        <v>7419</v>
      </c>
      <c r="B146" s="288" t="s">
        <v>12431</v>
      </c>
      <c r="C146" s="171" t="s">
        <v>11836</v>
      </c>
      <c r="D146" s="766" t="s">
        <v>12027</v>
      </c>
      <c r="E146" s="766" t="s">
        <v>12028</v>
      </c>
      <c r="F146" s="766"/>
      <c r="G146" s="766" t="s">
        <v>18</v>
      </c>
      <c r="H146" s="766"/>
      <c r="I146" s="5" t="s">
        <v>12029</v>
      </c>
      <c r="J146" s="766" t="s">
        <v>12027</v>
      </c>
      <c r="K146" s="766" t="s">
        <v>12021</v>
      </c>
      <c r="L146" s="766" t="s">
        <v>12022</v>
      </c>
      <c r="M146" s="766"/>
      <c r="N146" s="766" t="s">
        <v>12015</v>
      </c>
      <c r="O146" s="766" t="s">
        <v>12023</v>
      </c>
      <c r="P146" s="766"/>
      <c r="Q146" s="1085"/>
      <c r="R146" s="25"/>
      <c r="S146" s="766"/>
      <c r="T146" s="766"/>
      <c r="U146" s="26"/>
      <c r="V146" s="766"/>
      <c r="W146" s="766"/>
      <c r="X146" s="24"/>
      <c r="Y146" s="766"/>
      <c r="Z146" s="766"/>
      <c r="AA146" s="766"/>
      <c r="AB146" s="766"/>
      <c r="AC146" s="766"/>
      <c r="AD146" s="766"/>
      <c r="AE146" s="766"/>
      <c r="AF146" s="766"/>
      <c r="AG146" s="766" t="s">
        <v>1095</v>
      </c>
      <c r="AH146" s="766" t="s">
        <v>1096</v>
      </c>
      <c r="AI146" s="766" t="s">
        <v>12030</v>
      </c>
      <c r="AJ146" s="766"/>
      <c r="AK146" s="766" t="s">
        <v>1097</v>
      </c>
      <c r="AL146" s="121">
        <v>26.03</v>
      </c>
      <c r="AM146" s="772">
        <v>26.03</v>
      </c>
      <c r="AN146" s="774">
        <f>AM146/AL146</f>
        <v>1</v>
      </c>
      <c r="AO146" s="766" t="s">
        <v>1113</v>
      </c>
      <c r="AP146" s="766"/>
      <c r="AQ146" s="766"/>
      <c r="AR146" s="766"/>
      <c r="AS146" s="766"/>
      <c r="AT146" s="766"/>
      <c r="AU146" s="766"/>
      <c r="AV146" s="766"/>
      <c r="AW146" s="766"/>
      <c r="AX146" s="766"/>
      <c r="AY146" s="766"/>
      <c r="AZ146" s="766"/>
      <c r="BA146" s="766"/>
      <c r="BB146" s="766"/>
      <c r="BC146" s="766"/>
      <c r="BD146" s="766"/>
      <c r="BE146" s="766"/>
      <c r="BF146" s="775"/>
      <c r="BG146" s="775"/>
      <c r="BH146" s="766"/>
      <c r="BI146" s="766"/>
      <c r="BJ146" s="766"/>
      <c r="BK146" s="766" t="s">
        <v>1099</v>
      </c>
      <c r="BL146" s="766" t="s">
        <v>12031</v>
      </c>
      <c r="BM146" s="766" t="s">
        <v>1120</v>
      </c>
      <c r="BN146" s="766" t="s">
        <v>1272</v>
      </c>
      <c r="BO146" s="766" t="s">
        <v>1246</v>
      </c>
      <c r="BP146" s="776">
        <v>26.03</v>
      </c>
      <c r="BQ146" s="776">
        <v>26.03</v>
      </c>
      <c r="BR146" s="774">
        <f t="shared" si="37"/>
        <v>1</v>
      </c>
      <c r="BS146" s="766" t="s">
        <v>1257</v>
      </c>
      <c r="BT146" s="766" t="s">
        <v>12026</v>
      </c>
      <c r="BU146" s="766" t="s">
        <v>1308</v>
      </c>
      <c r="BV146" s="766" t="s">
        <v>1247</v>
      </c>
      <c r="BW146" s="766"/>
      <c r="BX146" s="779"/>
      <c r="BY146" s="766"/>
      <c r="BZ146" s="775"/>
      <c r="CA146" s="766"/>
      <c r="CB146" s="766"/>
      <c r="CC146" s="766"/>
      <c r="CD146" s="766"/>
      <c r="CE146" s="766"/>
      <c r="CF146" s="777"/>
      <c r="CG146" s="778"/>
      <c r="CH146" s="766"/>
      <c r="CI146" s="766"/>
      <c r="CJ146" s="766"/>
      <c r="CK146" s="766"/>
      <c r="CL146" s="766"/>
      <c r="CM146" s="766"/>
      <c r="CN146" s="766"/>
      <c r="CO146" s="766"/>
      <c r="CP146" s="766"/>
      <c r="CQ146" s="766"/>
      <c r="CR146" s="775"/>
      <c r="CS146" s="766"/>
      <c r="CT146" s="766"/>
      <c r="CU146" s="129"/>
      <c r="CV146" s="766"/>
      <c r="CW146" s="766"/>
      <c r="CX146" s="766"/>
      <c r="CY146" s="766"/>
      <c r="CZ146" s="766"/>
      <c r="DA146" s="766"/>
      <c r="DB146" s="766"/>
      <c r="DC146" s="766"/>
      <c r="DD146" s="766"/>
      <c r="DE146" s="766"/>
      <c r="DF146" s="766"/>
      <c r="DG146" s="766"/>
      <c r="DH146" s="766"/>
      <c r="DI146" s="766"/>
      <c r="DJ146" s="766"/>
      <c r="DK146" s="766"/>
      <c r="DL146" s="766"/>
      <c r="DM146" s="766"/>
      <c r="DN146" s="766"/>
      <c r="DO146" s="766"/>
      <c r="DP146" s="766"/>
      <c r="DQ146" s="766"/>
      <c r="DR146" s="766"/>
      <c r="DS146" s="59"/>
      <c r="DT146" s="766"/>
      <c r="DU146" s="766"/>
      <c r="DV146" s="766"/>
      <c r="DW146" s="66"/>
      <c r="DX146" s="66"/>
      <c r="DY146" s="766"/>
      <c r="DZ146" s="766"/>
      <c r="EA146" s="766"/>
      <c r="EB146" s="766"/>
      <c r="EC146" s="766"/>
      <c r="ED146" s="766"/>
      <c r="EE146" s="766"/>
      <c r="EF146" s="766"/>
      <c r="EG146" s="766"/>
      <c r="EH146" s="766"/>
      <c r="EI146" s="766"/>
      <c r="EJ146" s="766"/>
      <c r="EK146" s="766"/>
      <c r="EL146" s="766"/>
      <c r="EM146" s="766"/>
      <c r="EN146" s="766"/>
      <c r="EO146" s="766"/>
      <c r="EP146" s="766"/>
      <c r="EQ146" s="766"/>
      <c r="ER146" s="766"/>
      <c r="ES146" s="766"/>
      <c r="ET146" s="766"/>
      <c r="EU146" s="766"/>
      <c r="EV146" s="766"/>
      <c r="EW146" s="766"/>
      <c r="EX146" s="766"/>
      <c r="EY146" s="766"/>
      <c r="EZ146" s="766"/>
      <c r="FA146" s="766"/>
      <c r="FB146" s="766"/>
      <c r="FC146" s="766"/>
      <c r="FD146" s="775"/>
      <c r="FE146" s="766"/>
      <c r="FF146" s="766"/>
      <c r="FG146" s="770"/>
      <c r="FH146" s="766"/>
      <c r="FI146" s="766"/>
      <c r="FJ146" s="766"/>
      <c r="FK146" s="766"/>
      <c r="FL146" s="766"/>
      <c r="FM146" s="775"/>
      <c r="FN146" s="775"/>
      <c r="FO146" s="775"/>
      <c r="FP146" s="766"/>
      <c r="FQ146" s="766"/>
      <c r="FR146" s="766"/>
      <c r="FS146" s="766"/>
      <c r="FT146" s="766"/>
      <c r="FU146" s="766"/>
      <c r="FV146" s="766"/>
      <c r="FW146" s="766"/>
      <c r="FX146" s="766"/>
      <c r="FY146" s="766"/>
      <c r="FZ146" s="766"/>
      <c r="GA146" s="766"/>
      <c r="GB146" s="766"/>
      <c r="GC146" s="75"/>
      <c r="GD146" s="25"/>
      <c r="GE146" s="766"/>
      <c r="GF146" s="775"/>
      <c r="GG146" s="775"/>
      <c r="GH146" s="766"/>
      <c r="GI146" s="766"/>
      <c r="GJ146" s="766"/>
      <c r="GK146" s="766"/>
      <c r="GL146" s="766"/>
      <c r="GM146" s="766"/>
      <c r="GN146" s="82"/>
      <c r="GO146" s="766"/>
      <c r="GP146" s="766"/>
      <c r="GQ146" s="766"/>
      <c r="GR146" s="766"/>
      <c r="GS146" s="766"/>
      <c r="GT146" s="766"/>
      <c r="GU146" s="766"/>
      <c r="GV146" s="766"/>
      <c r="GW146" s="766"/>
      <c r="GX146" s="766"/>
      <c r="GY146" s="766"/>
      <c r="GZ146" s="766"/>
      <c r="HA146" s="766"/>
      <c r="HB146" s="766"/>
      <c r="HC146" s="766"/>
      <c r="HD146" s="766"/>
      <c r="HE146" s="766"/>
      <c r="HF146" s="766"/>
      <c r="HG146" s="766"/>
      <c r="HH146" s="766"/>
      <c r="HI146" s="766"/>
      <c r="HJ146" s="766"/>
      <c r="HK146" s="766"/>
      <c r="HL146" s="766"/>
      <c r="HM146" s="766"/>
      <c r="HN146" s="766"/>
      <c r="HO146" s="766"/>
      <c r="HP146" s="766"/>
      <c r="HQ146" s="766"/>
      <c r="HR146" s="766"/>
      <c r="HS146" s="766"/>
      <c r="HT146" s="766"/>
      <c r="HU146" s="766"/>
      <c r="HV146" s="766"/>
      <c r="HW146" s="766"/>
      <c r="HX146" s="766"/>
      <c r="HY146" s="766"/>
      <c r="HZ146" s="766"/>
      <c r="IA146" s="766"/>
      <c r="IB146" s="766"/>
      <c r="IC146" s="766"/>
      <c r="ID146" s="766"/>
      <c r="IE146" s="766"/>
      <c r="IF146" s="766" t="s">
        <v>12027</v>
      </c>
      <c r="IG146" s="766" t="s">
        <v>18</v>
      </c>
      <c r="IH146" s="766" t="s">
        <v>1985</v>
      </c>
      <c r="II146" s="766" t="s">
        <v>12083</v>
      </c>
      <c r="IJ146" s="766" t="s">
        <v>12031</v>
      </c>
      <c r="IK146" s="766"/>
      <c r="IL146" s="766"/>
      <c r="IM146" s="766"/>
      <c r="IN146" s="766"/>
      <c r="IO146" s="24"/>
      <c r="IP146" s="766" t="s">
        <v>1985</v>
      </c>
      <c r="IQ146" s="766"/>
      <c r="IR146" s="766"/>
      <c r="IS146" s="766"/>
      <c r="IT146" s="766"/>
      <c r="IU146" s="766"/>
      <c r="IV146" s="766"/>
      <c r="IW146" s="766"/>
      <c r="IX146" s="766"/>
      <c r="IY146" s="766"/>
      <c r="IZ146" s="766"/>
      <c r="JA146" s="766"/>
      <c r="JB146" s="766"/>
      <c r="JC146" s="766"/>
      <c r="JD146" s="775"/>
      <c r="JE146" s="766"/>
      <c r="JF146" s="766"/>
      <c r="JG146" s="766"/>
      <c r="JH146" s="766"/>
      <c r="JI146" s="766"/>
      <c r="JJ146" s="766"/>
      <c r="JK146" s="766"/>
      <c r="JL146" s="766"/>
      <c r="JM146" s="766"/>
      <c r="JN146" s="766"/>
      <c r="JO146" s="766"/>
      <c r="JP146" s="766"/>
      <c r="JQ146" s="766"/>
      <c r="JR146" s="766"/>
      <c r="JS146" s="766"/>
      <c r="JT146" s="766"/>
      <c r="JU146" s="766"/>
      <c r="JV146" s="766"/>
      <c r="JW146" s="766"/>
      <c r="JX146" s="766"/>
      <c r="JY146" s="766"/>
      <c r="JZ146" s="766"/>
      <c r="KA146" s="766"/>
      <c r="KB146" s="766"/>
      <c r="KC146" s="766"/>
      <c r="KD146" s="766"/>
      <c r="KE146" s="766"/>
      <c r="KF146" s="766"/>
      <c r="KG146" s="766"/>
      <c r="KH146" s="766"/>
      <c r="KI146" s="766"/>
      <c r="KJ146" s="770"/>
      <c r="KK146" s="770"/>
      <c r="KL146" s="770"/>
      <c r="KM146" s="770"/>
      <c r="KN146" s="766"/>
      <c r="KO146" s="766"/>
      <c r="KP146" s="766"/>
      <c r="KQ146" s="766"/>
      <c r="KR146" s="766"/>
      <c r="KS146" s="766"/>
      <c r="KT146" s="766"/>
      <c r="KU146" s="766"/>
      <c r="KV146" s="766"/>
      <c r="KW146" s="766"/>
      <c r="KX146" s="766"/>
      <c r="KY146" s="766"/>
      <c r="KZ146" s="766"/>
      <c r="LA146" s="766"/>
      <c r="LB146" s="766"/>
      <c r="LC146" s="766"/>
      <c r="LD146" s="766"/>
      <c r="LE146" s="766"/>
      <c r="LF146" s="766"/>
      <c r="LG146" s="766"/>
      <c r="LH146" s="766"/>
      <c r="LI146" s="766"/>
      <c r="LJ146" s="766"/>
      <c r="LK146" s="766"/>
      <c r="LL146" s="766"/>
      <c r="LM146" s="766"/>
      <c r="LN146" s="766"/>
      <c r="LO146" s="766"/>
      <c r="LP146" s="766"/>
      <c r="LQ146" s="766"/>
      <c r="LR146" s="766"/>
      <c r="LS146" s="766"/>
      <c r="LT146" s="766"/>
      <c r="LU146" s="766"/>
      <c r="LV146" s="766"/>
      <c r="LW146" s="766"/>
      <c r="LX146" s="769"/>
      <c r="LY146" s="766" t="str">
        <f t="shared" si="36"/>
        <v/>
      </c>
      <c r="LZ146" s="66"/>
      <c r="MA146" s="766"/>
      <c r="MB146" s="766"/>
      <c r="MC146" s="1679">
        <f t="shared" si="24"/>
        <v>0</v>
      </c>
      <c r="MD146" s="66"/>
      <c r="ME146" s="66"/>
      <c r="MF146" s="66"/>
      <c r="MG146" s="1680">
        <f t="shared" si="34"/>
        <v>0</v>
      </c>
      <c r="MH146" s="766"/>
      <c r="MI146" s="775"/>
      <c r="MJ146" s="775"/>
      <c r="MK146" s="775"/>
      <c r="ML146" s="775"/>
      <c r="MM146" s="775"/>
      <c r="MN146" s="775"/>
      <c r="MO146" s="775"/>
      <c r="MP146" s="775"/>
      <c r="MQ146" s="775"/>
      <c r="MR146" s="775"/>
      <c r="MS146" s="775"/>
      <c r="MT146" s="775"/>
      <c r="MU146" s="775"/>
      <c r="MV146" s="775"/>
      <c r="MW146" s="775"/>
      <c r="MX146" s="775"/>
      <c r="MY146" s="1682">
        <f t="shared" si="35"/>
        <v>0</v>
      </c>
      <c r="MZ146" s="766"/>
      <c r="NA146" s="766"/>
      <c r="NB146" s="766"/>
      <c r="NC146" s="766"/>
      <c r="ND146" s="766"/>
      <c r="NE146" s="766"/>
      <c r="NF146" s="766"/>
      <c r="NG146" s="766"/>
      <c r="NH146" s="766"/>
      <c r="NI146" s="766"/>
      <c r="NJ146" s="766"/>
      <c r="NK146" s="766"/>
      <c r="NL146" s="766"/>
      <c r="NM146" s="766"/>
      <c r="NN146" s="766"/>
      <c r="NO146" s="766"/>
      <c r="NP146" s="766"/>
      <c r="NQ146" s="766"/>
      <c r="NR146" s="766"/>
      <c r="NS146" s="766"/>
      <c r="NT146" s="766"/>
      <c r="NU146" s="766"/>
      <c r="NV146" s="766"/>
      <c r="NW146" s="766"/>
      <c r="NX146" s="766"/>
      <c r="NY146" s="766"/>
      <c r="NZ146" s="766"/>
      <c r="OA146" s="766"/>
      <c r="OB146" s="766"/>
      <c r="OC146" s="766"/>
      <c r="OD146" s="766"/>
      <c r="OE146" s="766"/>
      <c r="OF146" s="766"/>
      <c r="OG146" s="766"/>
      <c r="OH146" s="766"/>
      <c r="OI146" s="766"/>
      <c r="OJ146" s="766"/>
      <c r="OK146" s="766"/>
      <c r="OL146" s="766"/>
      <c r="OM146" s="766"/>
      <c r="ON146" s="766"/>
      <c r="OO146" s="766"/>
      <c r="OP146" s="766"/>
      <c r="OQ146" s="766"/>
      <c r="OR146" s="766"/>
      <c r="OS146" s="766"/>
      <c r="OT146" s="766"/>
      <c r="OU146" s="766"/>
      <c r="OV146" s="766"/>
      <c r="OW146" s="766"/>
      <c r="OX146" s="766"/>
      <c r="OY146" s="766"/>
      <c r="OZ146" s="766"/>
      <c r="PA146" s="766"/>
      <c r="PB146" s="766"/>
      <c r="PC146" s="766"/>
      <c r="PD146" s="766"/>
      <c r="PE146" s="766"/>
      <c r="PF146" s="766"/>
      <c r="PG146" s="766"/>
      <c r="PH146" s="766"/>
      <c r="PI146" s="766"/>
      <c r="PJ146" s="766"/>
      <c r="PK146" s="766"/>
      <c r="PL146" s="766"/>
      <c r="PM146" s="766"/>
      <c r="PN146" s="766"/>
      <c r="PO146" s="766"/>
      <c r="PP146" s="766"/>
      <c r="PQ146" s="766"/>
      <c r="PR146" s="766"/>
      <c r="PS146" s="766"/>
      <c r="PT146" s="766"/>
      <c r="PU146" s="766"/>
      <c r="PV146" s="766"/>
      <c r="PW146" s="766"/>
      <c r="PX146" s="766"/>
      <c r="PY146" s="766"/>
      <c r="PZ146" s="766"/>
      <c r="QA146" s="766"/>
      <c r="QB146" s="766"/>
      <c r="QC146" s="766"/>
      <c r="QD146" s="766"/>
      <c r="QE146" s="766"/>
      <c r="QF146" s="766"/>
      <c r="QG146" s="766"/>
      <c r="QH146" s="766"/>
      <c r="QI146" s="766"/>
      <c r="QJ146" s="766"/>
      <c r="QK146" s="766"/>
      <c r="QL146" s="766"/>
      <c r="QM146" s="766"/>
      <c r="QN146" s="766"/>
      <c r="QO146" s="766"/>
      <c r="QP146" s="766"/>
      <c r="QQ146" s="766"/>
      <c r="QR146" s="766"/>
      <c r="QS146" s="766"/>
      <c r="QT146" s="766"/>
      <c r="QU146" s="766"/>
      <c r="QV146" s="766"/>
      <c r="QW146" s="766"/>
      <c r="QX146" s="766"/>
      <c r="QY146" s="766"/>
      <c r="QZ146" s="766"/>
      <c r="RA146" s="766"/>
      <c r="RB146" s="766"/>
      <c r="RC146" s="766"/>
      <c r="RD146" s="766"/>
      <c r="RE146" s="766"/>
      <c r="RF146" s="777"/>
      <c r="RG146" s="766"/>
      <c r="RH146" s="775"/>
      <c r="RI146" s="766"/>
      <c r="RJ146" s="766"/>
      <c r="RK146" s="766"/>
      <c r="RL146" s="1683"/>
      <c r="RM146" s="12"/>
      <c r="RN146" s="1711"/>
      <c r="RO146" s="171" t="s">
        <v>11836</v>
      </c>
      <c r="RP146" s="11"/>
      <c r="RQ146" s="11"/>
      <c r="RR146" s="17"/>
      <c r="RS146" s="766"/>
      <c r="RT146" s="11"/>
      <c r="RU146" s="11"/>
      <c r="RV146" s="766" t="s">
        <v>7419</v>
      </c>
      <c r="RW146" s="11" t="s">
        <v>12429</v>
      </c>
      <c r="RX146" s="11" t="s">
        <v>11814</v>
      </c>
      <c r="RY146" s="11"/>
      <c r="RZ146" s="11" t="s">
        <v>7419</v>
      </c>
      <c r="SA146" s="766"/>
      <c r="SB146" s="11"/>
      <c r="SC146" s="11"/>
    </row>
    <row r="147" spans="1:497" ht="12.75" hidden="1" customHeight="1">
      <c r="A147" s="343" t="s">
        <v>7419</v>
      </c>
      <c r="B147" s="288" t="s">
        <v>12432</v>
      </c>
      <c r="C147" s="171" t="s">
        <v>11837</v>
      </c>
      <c r="D147" s="766" t="s">
        <v>12032</v>
      </c>
      <c r="E147" s="766" t="s">
        <v>12033</v>
      </c>
      <c r="F147" s="766" t="s">
        <v>42</v>
      </c>
      <c r="G147" s="766" t="s">
        <v>10</v>
      </c>
      <c r="H147" s="766"/>
      <c r="I147" s="5" t="s">
        <v>12034</v>
      </c>
      <c r="J147" s="12"/>
      <c r="K147" s="766" t="s">
        <v>12035</v>
      </c>
      <c r="L147" s="766" t="s">
        <v>12036</v>
      </c>
      <c r="M147" s="766"/>
      <c r="N147" s="766" t="s">
        <v>12037</v>
      </c>
      <c r="O147" s="766" t="s">
        <v>12038</v>
      </c>
      <c r="P147" s="766" t="s">
        <v>12039</v>
      </c>
      <c r="Q147" s="1085">
        <v>19294</v>
      </c>
      <c r="R147" s="25">
        <v>65</v>
      </c>
      <c r="S147" s="766" t="s">
        <v>10</v>
      </c>
      <c r="T147" s="766"/>
      <c r="U147" s="5" t="s">
        <v>12034</v>
      </c>
      <c r="V147" s="766" t="s">
        <v>707</v>
      </c>
      <c r="W147" s="766"/>
      <c r="X147" s="24"/>
      <c r="Y147" s="766" t="s">
        <v>12033</v>
      </c>
      <c r="Z147" s="766" t="s">
        <v>708</v>
      </c>
      <c r="AA147" s="766" t="s">
        <v>709</v>
      </c>
      <c r="AB147" s="766" t="s">
        <v>710</v>
      </c>
      <c r="AC147" s="766"/>
      <c r="AD147" s="766"/>
      <c r="AE147" s="766"/>
      <c r="AF147" s="766"/>
      <c r="AG147" s="766" t="s">
        <v>1095</v>
      </c>
      <c r="AH147" s="766" t="s">
        <v>1096</v>
      </c>
      <c r="AI147" s="766" t="s">
        <v>12046</v>
      </c>
      <c r="AJ147" s="766"/>
      <c r="AK147" s="766" t="s">
        <v>1097</v>
      </c>
      <c r="AL147" s="121">
        <v>200</v>
      </c>
      <c r="AM147" s="772">
        <v>130.19999999999999</v>
      </c>
      <c r="AN147" s="774">
        <f>AM147/AL147</f>
        <v>0.65099999999999991</v>
      </c>
      <c r="AO147" s="766" t="s">
        <v>11358</v>
      </c>
      <c r="AP147" s="766"/>
      <c r="AQ147" s="766"/>
      <c r="AR147" s="766"/>
      <c r="AS147" s="766" t="s">
        <v>1207</v>
      </c>
      <c r="AT147" s="766" t="s">
        <v>1208</v>
      </c>
      <c r="AU147" s="766"/>
      <c r="AV147" s="766"/>
      <c r="AW147" s="766"/>
      <c r="AX147" s="766"/>
      <c r="AY147" s="766"/>
      <c r="AZ147" s="766"/>
      <c r="BA147" s="766"/>
      <c r="BB147" s="766"/>
      <c r="BC147" s="766"/>
      <c r="BD147" s="766"/>
      <c r="BE147" s="766"/>
      <c r="BF147" s="775"/>
      <c r="BG147" s="775"/>
      <c r="BH147" s="766"/>
      <c r="BI147" s="766"/>
      <c r="BJ147" s="766"/>
      <c r="BK147" s="766" t="s">
        <v>1095</v>
      </c>
      <c r="BL147" s="766" t="s">
        <v>12040</v>
      </c>
      <c r="BM147" s="766" t="s">
        <v>1096</v>
      </c>
      <c r="BN147" s="766" t="s">
        <v>1230</v>
      </c>
      <c r="BO147" s="766" t="s">
        <v>1246</v>
      </c>
      <c r="BP147" s="776">
        <v>39.6</v>
      </c>
      <c r="BQ147" s="776">
        <v>39.6</v>
      </c>
      <c r="BR147" s="774">
        <f t="shared" si="37"/>
        <v>1</v>
      </c>
      <c r="BS147" s="766" t="s">
        <v>1257</v>
      </c>
      <c r="BT147" s="766" t="s">
        <v>12026</v>
      </c>
      <c r="BU147" s="766" t="s">
        <v>11216</v>
      </c>
      <c r="BV147" s="766" t="s">
        <v>1247</v>
      </c>
      <c r="BW147" s="766"/>
      <c r="BX147" s="779"/>
      <c r="BY147" s="766"/>
      <c r="BZ147" s="775"/>
      <c r="CA147" s="766"/>
      <c r="CB147" s="766"/>
      <c r="CC147" s="766"/>
      <c r="CD147" s="766"/>
      <c r="CE147" s="766"/>
      <c r="CF147" s="777"/>
      <c r="CG147" s="778"/>
      <c r="CH147" s="766"/>
      <c r="CI147" s="766"/>
      <c r="CJ147" s="766"/>
      <c r="CK147" s="766"/>
      <c r="CL147" s="766"/>
      <c r="CM147" s="766"/>
      <c r="CN147" s="766"/>
      <c r="CO147" s="766"/>
      <c r="CP147" s="766"/>
      <c r="CQ147" s="766"/>
      <c r="CR147" s="775"/>
      <c r="CS147" s="766"/>
      <c r="CT147" s="766"/>
      <c r="CU147" s="129"/>
      <c r="CV147" s="766"/>
      <c r="CW147" s="766"/>
      <c r="CX147" s="766"/>
      <c r="CY147" s="766"/>
      <c r="CZ147" s="766"/>
      <c r="DA147" s="766"/>
      <c r="DB147" s="766"/>
      <c r="DC147" s="766"/>
      <c r="DD147" s="766"/>
      <c r="DE147" s="766"/>
      <c r="DF147" s="766"/>
      <c r="DG147" s="766"/>
      <c r="DH147" s="766"/>
      <c r="DI147" s="766"/>
      <c r="DJ147" s="766"/>
      <c r="DK147" s="766"/>
      <c r="DL147" s="766"/>
      <c r="DM147" s="766"/>
      <c r="DN147" s="766"/>
      <c r="DO147" s="766"/>
      <c r="DP147" s="766"/>
      <c r="DQ147" s="766"/>
      <c r="DR147" s="766"/>
      <c r="DS147" s="59"/>
      <c r="DT147" s="766"/>
      <c r="DU147" s="766"/>
      <c r="DV147" s="766"/>
      <c r="DW147" s="66"/>
      <c r="DX147" s="66"/>
      <c r="DY147" s="766"/>
      <c r="DZ147" s="766"/>
      <c r="EA147" s="766"/>
      <c r="EB147" s="766"/>
      <c r="EC147" s="766"/>
      <c r="ED147" s="766"/>
      <c r="EE147" s="766"/>
      <c r="EF147" s="766"/>
      <c r="EG147" s="766"/>
      <c r="EH147" s="766"/>
      <c r="EI147" s="766"/>
      <c r="EJ147" s="766"/>
      <c r="EK147" s="766"/>
      <c r="EL147" s="766"/>
      <c r="EM147" s="766"/>
      <c r="EN147" s="766"/>
      <c r="EO147" s="766"/>
      <c r="EP147" s="766"/>
      <c r="EQ147" s="766"/>
      <c r="ER147" s="766"/>
      <c r="ES147" s="766"/>
      <c r="ET147" s="766"/>
      <c r="EU147" s="766"/>
      <c r="EV147" s="766"/>
      <c r="EW147" s="766"/>
      <c r="EX147" s="766"/>
      <c r="EY147" s="766"/>
      <c r="EZ147" s="766"/>
      <c r="FA147" s="766"/>
      <c r="FB147" s="766"/>
      <c r="FC147" s="766"/>
      <c r="FD147" s="775"/>
      <c r="FE147" s="766"/>
      <c r="FF147" s="766"/>
      <c r="FG147" s="770"/>
      <c r="FH147" s="766"/>
      <c r="FI147" s="766"/>
      <c r="FJ147" s="766"/>
      <c r="FK147" s="766"/>
      <c r="FL147" s="766"/>
      <c r="FM147" s="775"/>
      <c r="FN147" s="775"/>
      <c r="FO147" s="775"/>
      <c r="FP147" s="766"/>
      <c r="FQ147" s="766"/>
      <c r="FR147" s="766"/>
      <c r="FS147" s="766"/>
      <c r="FT147" s="766"/>
      <c r="FU147" s="766"/>
      <c r="FV147" s="766"/>
      <c r="FW147" s="766"/>
      <c r="FX147" s="766"/>
      <c r="FY147" s="766"/>
      <c r="FZ147" s="766"/>
      <c r="GA147" s="766"/>
      <c r="GB147" s="766"/>
      <c r="GC147" s="75"/>
      <c r="GD147" s="25"/>
      <c r="GE147" s="766"/>
      <c r="GF147" s="775"/>
      <c r="GG147" s="775"/>
      <c r="GH147" s="766"/>
      <c r="GI147" s="766"/>
      <c r="GJ147" s="766"/>
      <c r="GK147" s="766"/>
      <c r="GL147" s="766"/>
      <c r="GM147" s="766"/>
      <c r="GN147" s="82"/>
      <c r="GO147" s="766"/>
      <c r="GP147" s="766"/>
      <c r="GQ147" s="766"/>
      <c r="GR147" s="766"/>
      <c r="GS147" s="766"/>
      <c r="GT147" s="766"/>
      <c r="GU147" s="766"/>
      <c r="GV147" s="766"/>
      <c r="GW147" s="766"/>
      <c r="GX147" s="766"/>
      <c r="GY147" s="766"/>
      <c r="GZ147" s="766"/>
      <c r="HA147" s="766"/>
      <c r="HB147" s="766"/>
      <c r="HC147" s="766"/>
      <c r="HD147" s="766"/>
      <c r="HE147" s="766"/>
      <c r="HF147" s="766"/>
      <c r="HG147" s="766"/>
      <c r="HH147" s="766"/>
      <c r="HI147" s="766"/>
      <c r="HJ147" s="766"/>
      <c r="HK147" s="766"/>
      <c r="HL147" s="766"/>
      <c r="HM147" s="766"/>
      <c r="HN147" s="766"/>
      <c r="HO147" s="766"/>
      <c r="HP147" s="766"/>
      <c r="HQ147" s="766"/>
      <c r="HR147" s="766">
        <v>1</v>
      </c>
      <c r="HS147" s="766"/>
      <c r="HT147" s="766">
        <v>1</v>
      </c>
      <c r="HU147" s="766"/>
      <c r="HV147" s="766"/>
      <c r="HW147" s="766"/>
      <c r="HX147" s="766"/>
      <c r="HY147" s="766"/>
      <c r="HZ147" s="766"/>
      <c r="IA147" s="766"/>
      <c r="IB147" s="766"/>
      <c r="IC147" s="766"/>
      <c r="ID147" s="766"/>
      <c r="IE147" s="766"/>
      <c r="IF147" s="766"/>
      <c r="IG147" s="766"/>
      <c r="IH147" s="766"/>
      <c r="II147" s="766"/>
      <c r="IJ147" s="766"/>
      <c r="IK147" s="766"/>
      <c r="IL147" s="766"/>
      <c r="IM147" s="766"/>
      <c r="IN147" s="766"/>
      <c r="IO147" s="24"/>
      <c r="IP147" s="766"/>
      <c r="IQ147" s="766"/>
      <c r="IR147" s="766"/>
      <c r="IS147" s="766"/>
      <c r="IT147" s="766"/>
      <c r="IU147" s="766"/>
      <c r="IV147" s="766"/>
      <c r="IW147" s="766"/>
      <c r="IX147" s="766"/>
      <c r="IY147" s="766"/>
      <c r="IZ147" s="766"/>
      <c r="JA147" s="766"/>
      <c r="JB147" s="766"/>
      <c r="JC147" s="766"/>
      <c r="JD147" s="775"/>
      <c r="JE147" s="766"/>
      <c r="JF147" s="766"/>
      <c r="JG147" s="766"/>
      <c r="JH147" s="766"/>
      <c r="JI147" s="766"/>
      <c r="JJ147" s="766"/>
      <c r="JK147" s="766"/>
      <c r="JL147" s="766"/>
      <c r="JM147" s="766"/>
      <c r="JN147" s="766"/>
      <c r="JO147" s="766"/>
      <c r="JP147" s="766"/>
      <c r="JQ147" s="766"/>
      <c r="JR147" s="766"/>
      <c r="JS147" s="766"/>
      <c r="JT147" s="766"/>
      <c r="JU147" s="766"/>
      <c r="JV147" s="766"/>
      <c r="JW147" s="766"/>
      <c r="JX147" s="766"/>
      <c r="JY147" s="766"/>
      <c r="JZ147" s="766"/>
      <c r="KA147" s="766"/>
      <c r="KB147" s="766"/>
      <c r="KC147" s="766"/>
      <c r="KD147" s="766"/>
      <c r="KE147" s="766"/>
      <c r="KF147" s="766"/>
      <c r="KG147" s="766"/>
      <c r="KH147" s="766"/>
      <c r="KI147" s="766"/>
      <c r="KJ147" s="770"/>
      <c r="KK147" s="770"/>
      <c r="KL147" s="770"/>
      <c r="KM147" s="770"/>
      <c r="KN147" s="766"/>
      <c r="KO147" s="766"/>
      <c r="KP147" s="766"/>
      <c r="KQ147" s="766"/>
      <c r="KR147" s="766"/>
      <c r="KS147" s="766"/>
      <c r="KT147" s="766"/>
      <c r="KU147" s="766"/>
      <c r="KV147" s="766"/>
      <c r="KW147" s="766"/>
      <c r="KX147" s="766"/>
      <c r="KY147" s="766"/>
      <c r="KZ147" s="766"/>
      <c r="LA147" s="766"/>
      <c r="LB147" s="766"/>
      <c r="LC147" s="766"/>
      <c r="LD147" s="766"/>
      <c r="LE147" s="766"/>
      <c r="LF147" s="766"/>
      <c r="LG147" s="766"/>
      <c r="LH147" s="766"/>
      <c r="LI147" s="766"/>
      <c r="LJ147" s="766"/>
      <c r="LK147" s="766"/>
      <c r="LL147" s="766"/>
      <c r="LM147" s="766"/>
      <c r="LN147" s="766"/>
      <c r="LO147" s="766"/>
      <c r="LP147" s="766"/>
      <c r="LQ147" s="766"/>
      <c r="LR147" s="766"/>
      <c r="LS147" s="766"/>
      <c r="LT147" s="766"/>
      <c r="LU147" s="766"/>
      <c r="LV147" s="766"/>
      <c r="LW147" s="766"/>
      <c r="LX147" s="769"/>
      <c r="LY147" s="766" t="str">
        <f t="shared" si="36"/>
        <v/>
      </c>
      <c r="LZ147" s="66"/>
      <c r="MA147" s="766"/>
      <c r="MB147" s="766"/>
      <c r="MC147" s="1679">
        <f t="shared" si="24"/>
        <v>0</v>
      </c>
      <c r="MD147" s="66"/>
      <c r="ME147" s="66"/>
      <c r="MF147" s="66"/>
      <c r="MG147" s="1680">
        <f t="shared" si="34"/>
        <v>0</v>
      </c>
      <c r="MH147" s="766"/>
      <c r="MI147" s="775"/>
      <c r="MJ147" s="775"/>
      <c r="MK147" s="775"/>
      <c r="ML147" s="775"/>
      <c r="MM147" s="775"/>
      <c r="MN147" s="775"/>
      <c r="MO147" s="775"/>
      <c r="MP147" s="775"/>
      <c r="MQ147" s="775"/>
      <c r="MR147" s="775"/>
      <c r="MS147" s="775"/>
      <c r="MT147" s="775"/>
      <c r="MU147" s="775"/>
      <c r="MV147" s="775"/>
      <c r="MW147" s="775"/>
      <c r="MX147" s="775"/>
      <c r="MY147" s="1682">
        <f t="shared" si="35"/>
        <v>0</v>
      </c>
      <c r="MZ147" s="766"/>
      <c r="NA147" s="766"/>
      <c r="NB147" s="766"/>
      <c r="NC147" s="766"/>
      <c r="ND147" s="766"/>
      <c r="NE147" s="766"/>
      <c r="NF147" s="766"/>
      <c r="NG147" s="766"/>
      <c r="NH147" s="766"/>
      <c r="NI147" s="766"/>
      <c r="NJ147" s="766"/>
      <c r="NK147" s="766"/>
      <c r="NL147" s="766"/>
      <c r="NM147" s="766"/>
      <c r="NN147" s="766"/>
      <c r="NO147" s="766"/>
      <c r="NP147" s="766"/>
      <c r="NQ147" s="766"/>
      <c r="NR147" s="766"/>
      <c r="NS147" s="766"/>
      <c r="NT147" s="766"/>
      <c r="NU147" s="766"/>
      <c r="NV147" s="766"/>
      <c r="NW147" s="766"/>
      <c r="NX147" s="766"/>
      <c r="NY147" s="766"/>
      <c r="NZ147" s="766"/>
      <c r="OA147" s="766"/>
      <c r="OB147" s="766"/>
      <c r="OC147" s="766"/>
      <c r="OD147" s="766"/>
      <c r="OE147" s="766"/>
      <c r="OF147" s="766"/>
      <c r="OG147" s="766"/>
      <c r="OH147" s="766"/>
      <c r="OI147" s="766"/>
      <c r="OJ147" s="766"/>
      <c r="OK147" s="766"/>
      <c r="OL147" s="766"/>
      <c r="OM147" s="766"/>
      <c r="ON147" s="766"/>
      <c r="OO147" s="766"/>
      <c r="OP147" s="766"/>
      <c r="OQ147" s="766"/>
      <c r="OR147" s="766"/>
      <c r="OS147" s="766"/>
      <c r="OT147" s="766"/>
      <c r="OU147" s="766"/>
      <c r="OV147" s="766"/>
      <c r="OW147" s="766"/>
      <c r="OX147" s="766"/>
      <c r="OY147" s="766"/>
      <c r="OZ147" s="766"/>
      <c r="PA147" s="766"/>
      <c r="PB147" s="766"/>
      <c r="PC147" s="766"/>
      <c r="PD147" s="766"/>
      <c r="PE147" s="766"/>
      <c r="PF147" s="766"/>
      <c r="PG147" s="766"/>
      <c r="PH147" s="766"/>
      <c r="PI147" s="766"/>
      <c r="PJ147" s="766"/>
      <c r="PK147" s="766"/>
      <c r="PL147" s="766"/>
      <c r="PM147" s="766"/>
      <c r="PN147" s="766"/>
      <c r="PO147" s="766"/>
      <c r="PP147" s="766"/>
      <c r="PQ147" s="766"/>
      <c r="PR147" s="766"/>
      <c r="PS147" s="766"/>
      <c r="PT147" s="766"/>
      <c r="PU147" s="766"/>
      <c r="PV147" s="766"/>
      <c r="PW147" s="766"/>
      <c r="PX147" s="766"/>
      <c r="PY147" s="766"/>
      <c r="PZ147" s="766"/>
      <c r="QA147" s="766"/>
      <c r="QB147" s="766"/>
      <c r="QC147" s="766"/>
      <c r="QD147" s="766"/>
      <c r="QE147" s="766"/>
      <c r="QF147" s="766"/>
      <c r="QG147" s="766"/>
      <c r="QH147" s="766"/>
      <c r="QI147" s="766"/>
      <c r="QJ147" s="766"/>
      <c r="QK147" s="766"/>
      <c r="QL147" s="766"/>
      <c r="QM147" s="766"/>
      <c r="QN147" s="766"/>
      <c r="QO147" s="766"/>
      <c r="QP147" s="766"/>
      <c r="QQ147" s="766"/>
      <c r="QR147" s="766"/>
      <c r="QS147" s="766"/>
      <c r="QT147" s="766"/>
      <c r="QU147" s="766"/>
      <c r="QV147" s="766"/>
      <c r="QW147" s="766"/>
      <c r="QX147" s="766"/>
      <c r="QY147" s="766"/>
      <c r="QZ147" s="766"/>
      <c r="RA147" s="766"/>
      <c r="RB147" s="766"/>
      <c r="RC147" s="766"/>
      <c r="RD147" s="766"/>
      <c r="RE147" s="766"/>
      <c r="RF147" s="777"/>
      <c r="RG147" s="766"/>
      <c r="RH147" s="775"/>
      <c r="RI147" s="766"/>
      <c r="RJ147" s="766"/>
      <c r="RK147" s="766"/>
      <c r="RL147" s="1683"/>
      <c r="RM147" s="12"/>
      <c r="RN147" s="1711"/>
      <c r="RO147" s="171" t="s">
        <v>11837</v>
      </c>
      <c r="RP147" s="11"/>
      <c r="RQ147" s="11"/>
      <c r="RR147" s="17"/>
      <c r="RS147" s="766"/>
      <c r="RT147" s="11"/>
      <c r="RU147" s="11"/>
      <c r="RV147" s="766" t="s">
        <v>7419</v>
      </c>
      <c r="RW147" s="11" t="s">
        <v>12430</v>
      </c>
      <c r="RX147" s="11" t="s">
        <v>11835</v>
      </c>
      <c r="RY147" s="11"/>
      <c r="RZ147" s="11" t="s">
        <v>7419</v>
      </c>
      <c r="SA147" s="766"/>
      <c r="SB147" s="11"/>
      <c r="SC147" s="11"/>
    </row>
    <row r="148" spans="1:497" ht="12.75" hidden="1" customHeight="1">
      <c r="A148" s="343" t="s">
        <v>12436</v>
      </c>
      <c r="B148" s="288" t="s">
        <v>12041</v>
      </c>
      <c r="C148" s="171" t="s">
        <v>12042</v>
      </c>
      <c r="D148" s="766" t="s">
        <v>12043</v>
      </c>
      <c r="E148" s="766" t="s">
        <v>12028</v>
      </c>
      <c r="F148" s="766" t="s">
        <v>28</v>
      </c>
      <c r="G148" s="766" t="s">
        <v>10</v>
      </c>
      <c r="H148" s="766"/>
      <c r="I148" s="5"/>
      <c r="J148" s="766" t="s">
        <v>12043</v>
      </c>
      <c r="K148" s="766"/>
      <c r="L148" s="766"/>
      <c r="M148" s="766"/>
      <c r="N148" s="766" t="s">
        <v>12037</v>
      </c>
      <c r="O148" s="766" t="s">
        <v>12038</v>
      </c>
      <c r="P148" s="766" t="s">
        <v>12044</v>
      </c>
      <c r="Q148" s="1085">
        <v>29140</v>
      </c>
      <c r="R148" s="25">
        <v>38</v>
      </c>
      <c r="S148" s="766" t="s">
        <v>10</v>
      </c>
      <c r="T148" s="766"/>
      <c r="U148" s="26" t="s">
        <v>12045</v>
      </c>
      <c r="V148" s="766"/>
      <c r="W148" s="766"/>
      <c r="X148" s="24"/>
      <c r="Y148" s="766" t="s">
        <v>12028</v>
      </c>
      <c r="Z148" s="766" t="s">
        <v>708</v>
      </c>
      <c r="AA148" s="766" t="s">
        <v>709</v>
      </c>
      <c r="AB148" s="766" t="s">
        <v>710</v>
      </c>
      <c r="AC148" s="766"/>
      <c r="AD148" s="766" t="s">
        <v>711</v>
      </c>
      <c r="AE148" s="766"/>
      <c r="AF148" s="766"/>
      <c r="AG148" s="766" t="s">
        <v>1095</v>
      </c>
      <c r="AH148" s="766" t="s">
        <v>1096</v>
      </c>
      <c r="AI148" s="766"/>
      <c r="AJ148" s="766"/>
      <c r="AK148" s="766" t="s">
        <v>5454</v>
      </c>
      <c r="AL148" s="531"/>
      <c r="AM148" s="780"/>
      <c r="AN148" s="532"/>
      <c r="AO148" s="766"/>
      <c r="AP148" s="766"/>
      <c r="AQ148" s="766"/>
      <c r="AR148" s="766"/>
      <c r="AS148" s="766"/>
      <c r="AT148" s="766"/>
      <c r="AU148" s="766"/>
      <c r="AV148" s="766"/>
      <c r="AW148" s="766"/>
      <c r="AX148" s="766"/>
      <c r="AY148" s="766"/>
      <c r="AZ148" s="766"/>
      <c r="BA148" s="766"/>
      <c r="BB148" s="766"/>
      <c r="BC148" s="766" t="s">
        <v>853</v>
      </c>
      <c r="BD148" s="766" t="s">
        <v>1207</v>
      </c>
      <c r="BE148" s="766"/>
      <c r="BF148" s="775"/>
      <c r="BG148" s="775"/>
      <c r="BH148" s="766"/>
      <c r="BI148" s="766"/>
      <c r="BJ148" s="766"/>
      <c r="BK148" s="766" t="s">
        <v>1095</v>
      </c>
      <c r="BL148" s="766" t="s">
        <v>12749</v>
      </c>
      <c r="BM148" s="766" t="s">
        <v>1096</v>
      </c>
      <c r="BN148" s="766" t="s">
        <v>1230</v>
      </c>
      <c r="BO148" s="766" t="s">
        <v>1252</v>
      </c>
      <c r="BP148" s="776">
        <v>90.6</v>
      </c>
      <c r="BQ148" s="776">
        <v>90.6</v>
      </c>
      <c r="BR148" s="774">
        <f t="shared" si="37"/>
        <v>1</v>
      </c>
      <c r="BS148" s="766" t="s">
        <v>1257</v>
      </c>
      <c r="BT148" s="766" t="s">
        <v>12026</v>
      </c>
      <c r="BU148" s="766" t="s">
        <v>11063</v>
      </c>
      <c r="BV148" s="766" t="s">
        <v>12047</v>
      </c>
      <c r="BW148" s="766"/>
      <c r="BX148" s="779"/>
      <c r="BY148" s="766"/>
      <c r="BZ148" s="775"/>
      <c r="CA148" s="766"/>
      <c r="CB148" s="766"/>
      <c r="CC148" s="766"/>
      <c r="CD148" s="766"/>
      <c r="CE148" s="766"/>
      <c r="CF148" s="777"/>
      <c r="CG148" s="778"/>
      <c r="CH148" s="766"/>
      <c r="CI148" s="766"/>
      <c r="CJ148" s="766"/>
      <c r="CK148" s="766"/>
      <c r="CL148" s="766"/>
      <c r="CM148" s="766"/>
      <c r="CN148" s="766"/>
      <c r="CO148" s="766"/>
      <c r="CP148" s="766"/>
      <c r="CQ148" s="766"/>
      <c r="CR148" s="775"/>
      <c r="CS148" s="766"/>
      <c r="CT148" s="766"/>
      <c r="CU148" s="129"/>
      <c r="CV148" s="766"/>
      <c r="CW148" s="766"/>
      <c r="CX148" s="766"/>
      <c r="CY148" s="766"/>
      <c r="CZ148" s="766"/>
      <c r="DA148" s="766"/>
      <c r="DB148" s="766"/>
      <c r="DC148" s="766"/>
      <c r="DD148" s="766"/>
      <c r="DE148" s="766"/>
      <c r="DF148" s="766"/>
      <c r="DG148" s="766"/>
      <c r="DH148" s="766"/>
      <c r="DI148" s="766"/>
      <c r="DJ148" s="766"/>
      <c r="DK148" s="766"/>
      <c r="DL148" s="766"/>
      <c r="DM148" s="766"/>
      <c r="DN148" s="766"/>
      <c r="DO148" s="766"/>
      <c r="DP148" s="766"/>
      <c r="DQ148" s="766"/>
      <c r="DR148" s="766"/>
      <c r="DS148" s="59"/>
      <c r="DT148" s="766"/>
      <c r="DU148" s="766"/>
      <c r="DV148" s="766"/>
      <c r="DW148" s="66"/>
      <c r="DX148" s="66"/>
      <c r="DY148" s="766"/>
      <c r="DZ148" s="766"/>
      <c r="EA148" s="766"/>
      <c r="EB148" s="766"/>
      <c r="EC148" s="766"/>
      <c r="ED148" s="766"/>
      <c r="EE148" s="766"/>
      <c r="EF148" s="766"/>
      <c r="EG148" s="766"/>
      <c r="EH148" s="766"/>
      <c r="EI148" s="766"/>
      <c r="EJ148" s="766"/>
      <c r="EK148" s="766"/>
      <c r="EL148" s="766"/>
      <c r="EM148" s="766"/>
      <c r="EN148" s="766"/>
      <c r="EO148" s="766"/>
      <c r="EP148" s="766"/>
      <c r="EQ148" s="766"/>
      <c r="ER148" s="766"/>
      <c r="ES148" s="766"/>
      <c r="ET148" s="766"/>
      <c r="EU148" s="766"/>
      <c r="EV148" s="766"/>
      <c r="EW148" s="766"/>
      <c r="EX148" s="766"/>
      <c r="EY148" s="766"/>
      <c r="EZ148" s="766"/>
      <c r="FA148" s="766"/>
      <c r="FB148" s="766"/>
      <c r="FC148" s="766"/>
      <c r="FD148" s="775"/>
      <c r="FE148" s="766"/>
      <c r="FF148" s="766"/>
      <c r="FG148" s="770"/>
      <c r="FH148" s="766"/>
      <c r="FI148" s="766"/>
      <c r="FJ148" s="766"/>
      <c r="FK148" s="766"/>
      <c r="FL148" s="766"/>
      <c r="FM148" s="775"/>
      <c r="FN148" s="775"/>
      <c r="FO148" s="775"/>
      <c r="FP148" s="766"/>
      <c r="FQ148" s="766"/>
      <c r="FR148" s="766"/>
      <c r="FS148" s="766"/>
      <c r="FT148" s="766"/>
      <c r="FU148" s="766"/>
      <c r="FV148" s="766"/>
      <c r="FW148" s="766"/>
      <c r="FX148" s="766"/>
      <c r="FY148" s="766"/>
      <c r="FZ148" s="766"/>
      <c r="GA148" s="766"/>
      <c r="GB148" s="766"/>
      <c r="GC148" s="75"/>
      <c r="GD148" s="25"/>
      <c r="GE148" s="766"/>
      <c r="GF148" s="775"/>
      <c r="GG148" s="775"/>
      <c r="GH148" s="766"/>
      <c r="GI148" s="766"/>
      <c r="GJ148" s="766"/>
      <c r="GK148" s="766"/>
      <c r="GL148" s="766"/>
      <c r="GM148" s="766"/>
      <c r="GN148" s="82"/>
      <c r="GO148" s="766"/>
      <c r="GP148" s="766"/>
      <c r="GQ148" s="766"/>
      <c r="GR148" s="766"/>
      <c r="GS148" s="766"/>
      <c r="GT148" s="766"/>
      <c r="GU148" s="766"/>
      <c r="GV148" s="766"/>
      <c r="GW148" s="766"/>
      <c r="GX148" s="766"/>
      <c r="GY148" s="766"/>
      <c r="GZ148" s="766"/>
      <c r="HA148" s="766"/>
      <c r="HB148" s="766"/>
      <c r="HC148" s="766"/>
      <c r="HD148" s="766"/>
      <c r="HE148" s="766"/>
      <c r="HF148" s="766"/>
      <c r="HG148" s="766"/>
      <c r="HH148" s="766"/>
      <c r="HI148" s="766"/>
      <c r="HJ148" s="766"/>
      <c r="HK148" s="766"/>
      <c r="HL148" s="766"/>
      <c r="HM148" s="766"/>
      <c r="HN148" s="766"/>
      <c r="HO148" s="766"/>
      <c r="HP148" s="766"/>
      <c r="HQ148" s="766"/>
      <c r="HR148" s="766"/>
      <c r="HS148" s="766"/>
      <c r="HT148" s="766"/>
      <c r="HU148" s="766"/>
      <c r="HV148" s="766"/>
      <c r="HW148" s="766"/>
      <c r="HX148" s="766"/>
      <c r="HY148" s="766"/>
      <c r="HZ148" s="766"/>
      <c r="IA148" s="766"/>
      <c r="IB148" s="766"/>
      <c r="IC148" s="766"/>
      <c r="ID148" s="766"/>
      <c r="IE148" s="766"/>
      <c r="IF148" s="766"/>
      <c r="IG148" s="766"/>
      <c r="IH148" s="766"/>
      <c r="II148" s="766"/>
      <c r="IJ148" s="766"/>
      <c r="IK148" s="766"/>
      <c r="IL148" s="766"/>
      <c r="IM148" s="766"/>
      <c r="IN148" s="766"/>
      <c r="IO148" s="24"/>
      <c r="IP148" s="766"/>
      <c r="IQ148" s="766"/>
      <c r="IR148" s="766"/>
      <c r="IS148" s="766"/>
      <c r="IT148" s="766"/>
      <c r="IU148" s="766"/>
      <c r="IV148" s="766"/>
      <c r="IW148" s="766"/>
      <c r="IX148" s="766"/>
      <c r="IY148" s="766"/>
      <c r="IZ148" s="766"/>
      <c r="JA148" s="766"/>
      <c r="JB148" s="766"/>
      <c r="JC148" s="766"/>
      <c r="JD148" s="775"/>
      <c r="JE148" s="766"/>
      <c r="JF148" s="766"/>
      <c r="JG148" s="766"/>
      <c r="JH148" s="766"/>
      <c r="JI148" s="766"/>
      <c r="JJ148" s="766"/>
      <c r="JK148" s="766"/>
      <c r="JL148" s="766"/>
      <c r="JM148" s="766"/>
      <c r="JN148" s="766"/>
      <c r="JO148" s="766"/>
      <c r="JP148" s="766"/>
      <c r="JQ148" s="766"/>
      <c r="JR148" s="766"/>
      <c r="JS148" s="766"/>
      <c r="JT148" s="766"/>
      <c r="JU148" s="766"/>
      <c r="JV148" s="766"/>
      <c r="JW148" s="766"/>
      <c r="JX148" s="766"/>
      <c r="JY148" s="766"/>
      <c r="JZ148" s="766"/>
      <c r="KA148" s="766"/>
      <c r="KB148" s="766"/>
      <c r="KC148" s="766"/>
      <c r="KD148" s="766"/>
      <c r="KE148" s="766"/>
      <c r="KF148" s="766"/>
      <c r="KG148" s="766"/>
      <c r="KH148" s="766"/>
      <c r="KI148" s="766"/>
      <c r="KJ148" s="770"/>
      <c r="KK148" s="770"/>
      <c r="KL148" s="770"/>
      <c r="KM148" s="770"/>
      <c r="KN148" s="766"/>
      <c r="KO148" s="766"/>
      <c r="KP148" s="766"/>
      <c r="KQ148" s="766"/>
      <c r="KR148" s="766"/>
      <c r="KS148" s="766"/>
      <c r="KT148" s="766"/>
      <c r="KU148" s="766"/>
      <c r="KV148" s="766"/>
      <c r="KW148" s="766"/>
      <c r="KX148" s="766"/>
      <c r="KY148" s="766"/>
      <c r="KZ148" s="766"/>
      <c r="LA148" s="766"/>
      <c r="LB148" s="766"/>
      <c r="LC148" s="766"/>
      <c r="LD148" s="766"/>
      <c r="LE148" s="766"/>
      <c r="LF148" s="766"/>
      <c r="LG148" s="766"/>
      <c r="LH148" s="766"/>
      <c r="LI148" s="766"/>
      <c r="LJ148" s="766"/>
      <c r="LK148" s="766"/>
      <c r="LL148" s="766"/>
      <c r="LM148" s="766"/>
      <c r="LN148" s="766"/>
      <c r="LO148" s="766"/>
      <c r="LP148" s="766"/>
      <c r="LQ148" s="766"/>
      <c r="LR148" s="766"/>
      <c r="LS148" s="766"/>
      <c r="LT148" s="766"/>
      <c r="LU148" s="766"/>
      <c r="LV148" s="766"/>
      <c r="LW148" s="766"/>
      <c r="LX148" s="769"/>
      <c r="LY148" s="766" t="str">
        <f t="shared" si="36"/>
        <v/>
      </c>
      <c r="LZ148" s="66"/>
      <c r="MA148" s="766"/>
      <c r="MB148" s="766"/>
      <c r="MC148" s="1679">
        <f t="shared" si="24"/>
        <v>0</v>
      </c>
      <c r="MD148" s="66"/>
      <c r="ME148" s="66"/>
      <c r="MF148" s="66"/>
      <c r="MG148" s="1680">
        <f t="shared" si="34"/>
        <v>0</v>
      </c>
      <c r="MH148" s="766"/>
      <c r="MI148" s="775"/>
      <c r="MJ148" s="775"/>
      <c r="MK148" s="775"/>
      <c r="ML148" s="775"/>
      <c r="MM148" s="775"/>
      <c r="MN148" s="775"/>
      <c r="MO148" s="775"/>
      <c r="MP148" s="775"/>
      <c r="MQ148" s="775"/>
      <c r="MR148" s="775"/>
      <c r="MS148" s="775"/>
      <c r="MT148" s="775"/>
      <c r="MU148" s="775"/>
      <c r="MV148" s="775"/>
      <c r="MW148" s="775"/>
      <c r="MX148" s="775"/>
      <c r="MY148" s="1682">
        <f t="shared" si="35"/>
        <v>0</v>
      </c>
      <c r="MZ148" s="766"/>
      <c r="NA148" s="766"/>
      <c r="NB148" s="766"/>
      <c r="NC148" s="766"/>
      <c r="ND148" s="766"/>
      <c r="NE148" s="766"/>
      <c r="NF148" s="766"/>
      <c r="NG148" s="766"/>
      <c r="NH148" s="766"/>
      <c r="NI148" s="766"/>
      <c r="NJ148" s="766"/>
      <c r="NK148" s="766"/>
      <c r="NL148" s="766"/>
      <c r="NM148" s="766"/>
      <c r="NN148" s="766"/>
      <c r="NO148" s="766"/>
      <c r="NP148" s="766"/>
      <c r="NQ148" s="766"/>
      <c r="NR148" s="766"/>
      <c r="NS148" s="766"/>
      <c r="NT148" s="766"/>
      <c r="NU148" s="766"/>
      <c r="NV148" s="766"/>
      <c r="NW148" s="766"/>
      <c r="NX148" s="766"/>
      <c r="NY148" s="766"/>
      <c r="NZ148" s="766"/>
      <c r="OA148" s="766"/>
      <c r="OB148" s="766"/>
      <c r="OC148" s="766"/>
      <c r="OD148" s="766"/>
      <c r="OE148" s="766"/>
      <c r="OF148" s="766"/>
      <c r="OG148" s="766"/>
      <c r="OH148" s="766"/>
      <c r="OI148" s="766"/>
      <c r="OJ148" s="766"/>
      <c r="OK148" s="766"/>
      <c r="OL148" s="766"/>
      <c r="OM148" s="766"/>
      <c r="ON148" s="766"/>
      <c r="OO148" s="766"/>
      <c r="OP148" s="766"/>
      <c r="OQ148" s="766"/>
      <c r="OR148" s="766"/>
      <c r="OS148" s="766"/>
      <c r="OT148" s="766"/>
      <c r="OU148" s="766"/>
      <c r="OV148" s="766"/>
      <c r="OW148" s="766"/>
      <c r="OX148" s="766"/>
      <c r="OY148" s="766"/>
      <c r="OZ148" s="766"/>
      <c r="PA148" s="766"/>
      <c r="PB148" s="766"/>
      <c r="PC148" s="766"/>
      <c r="PD148" s="766"/>
      <c r="PE148" s="766"/>
      <c r="PF148" s="766"/>
      <c r="PG148" s="766"/>
      <c r="PH148" s="766"/>
      <c r="PI148" s="766"/>
      <c r="PJ148" s="766"/>
      <c r="PK148" s="766"/>
      <c r="PL148" s="766"/>
      <c r="PM148" s="766"/>
      <c r="PN148" s="766"/>
      <c r="PO148" s="766"/>
      <c r="PP148" s="766"/>
      <c r="PQ148" s="766"/>
      <c r="PR148" s="766"/>
      <c r="PS148" s="766"/>
      <c r="PT148" s="766"/>
      <c r="PU148" s="766"/>
      <c r="PV148" s="766"/>
      <c r="PW148" s="766"/>
      <c r="PX148" s="766"/>
      <c r="PY148" s="766"/>
      <c r="PZ148" s="766"/>
      <c r="QA148" s="766"/>
      <c r="QB148" s="766"/>
      <c r="QC148" s="766"/>
      <c r="QD148" s="766"/>
      <c r="QE148" s="766"/>
      <c r="QF148" s="766"/>
      <c r="QG148" s="766"/>
      <c r="QH148" s="766"/>
      <c r="QI148" s="766"/>
      <c r="QJ148" s="766"/>
      <c r="QK148" s="766"/>
      <c r="QL148" s="766"/>
      <c r="QM148" s="766"/>
      <c r="QN148" s="766"/>
      <c r="QO148" s="766"/>
      <c r="QP148" s="766"/>
      <c r="QQ148" s="766"/>
      <c r="QR148" s="766"/>
      <c r="QS148" s="766"/>
      <c r="QT148" s="766"/>
      <c r="QU148" s="766"/>
      <c r="QV148" s="766"/>
      <c r="QW148" s="766"/>
      <c r="QX148" s="766"/>
      <c r="QY148" s="766"/>
      <c r="QZ148" s="766"/>
      <c r="RA148" s="766"/>
      <c r="RB148" s="766"/>
      <c r="RC148" s="766"/>
      <c r="RD148" s="766"/>
      <c r="RE148" s="766"/>
      <c r="RF148" s="777"/>
      <c r="RG148" s="766"/>
      <c r="RH148" s="775"/>
      <c r="RI148" s="766"/>
      <c r="RJ148" s="766"/>
      <c r="RK148" s="766"/>
      <c r="RL148" s="1683"/>
      <c r="RM148" s="12"/>
      <c r="RN148" s="1711"/>
      <c r="RO148" s="171" t="s">
        <v>12042</v>
      </c>
      <c r="RP148" s="11"/>
      <c r="RQ148" s="11"/>
      <c r="RR148" s="17"/>
      <c r="RS148" s="766"/>
      <c r="RT148" s="11"/>
      <c r="RU148" s="11"/>
      <c r="RV148" s="766" t="s">
        <v>7419</v>
      </c>
      <c r="RW148" s="11" t="s">
        <v>12431</v>
      </c>
      <c r="RX148" s="11" t="s">
        <v>11836</v>
      </c>
      <c r="RY148" s="11"/>
      <c r="RZ148" s="11" t="s">
        <v>7419</v>
      </c>
      <c r="SA148" s="766"/>
      <c r="SB148" s="11"/>
      <c r="SC148" s="11"/>
    </row>
    <row r="149" spans="1:497" ht="12.75" hidden="1" customHeight="1">
      <c r="A149" s="343" t="s">
        <v>7419</v>
      </c>
      <c r="B149" s="288" t="s">
        <v>12433</v>
      </c>
      <c r="C149" s="171" t="s">
        <v>11838</v>
      </c>
      <c r="D149" s="766" t="s">
        <v>12148</v>
      </c>
      <c r="E149" s="766" t="s">
        <v>12011</v>
      </c>
      <c r="F149" s="766"/>
      <c r="G149" s="766"/>
      <c r="H149" s="766"/>
      <c r="I149" s="5"/>
      <c r="J149" s="766"/>
      <c r="K149" s="766" t="s">
        <v>12048</v>
      </c>
      <c r="L149" s="766" t="s">
        <v>12022</v>
      </c>
      <c r="M149" s="766"/>
      <c r="N149" s="766" t="s">
        <v>12038</v>
      </c>
      <c r="O149" s="766" t="s">
        <v>12014</v>
      </c>
      <c r="P149" s="766"/>
      <c r="Q149" s="1085"/>
      <c r="R149" s="25"/>
      <c r="S149" s="766"/>
      <c r="T149" s="766"/>
      <c r="U149" s="26"/>
      <c r="V149" s="766"/>
      <c r="W149" s="766"/>
      <c r="X149" s="24"/>
      <c r="Y149" s="766"/>
      <c r="Z149" s="766"/>
      <c r="AA149" s="766"/>
      <c r="AB149" s="766"/>
      <c r="AC149" s="766"/>
      <c r="AD149" s="766"/>
      <c r="AE149" s="766"/>
      <c r="AF149" s="766"/>
      <c r="AG149" s="766"/>
      <c r="AH149" s="766"/>
      <c r="AI149" s="766" t="s">
        <v>12059</v>
      </c>
      <c r="AJ149" s="766"/>
      <c r="AK149" s="766" t="s">
        <v>1097</v>
      </c>
      <c r="AL149" s="121">
        <v>86.25</v>
      </c>
      <c r="AM149" s="772">
        <v>39.75</v>
      </c>
      <c r="AN149" s="774">
        <f>AM149/AL149</f>
        <v>0.46086956521739131</v>
      </c>
      <c r="AO149" s="766" t="s">
        <v>1149</v>
      </c>
      <c r="AP149" s="766"/>
      <c r="AQ149" s="766"/>
      <c r="AR149" s="766"/>
      <c r="AS149" s="766"/>
      <c r="AT149" s="766"/>
      <c r="AU149" s="766"/>
      <c r="AV149" s="766"/>
      <c r="AW149" s="766"/>
      <c r="AX149" s="766"/>
      <c r="AY149" s="766"/>
      <c r="AZ149" s="766"/>
      <c r="BA149" s="766"/>
      <c r="BB149" s="766"/>
      <c r="BC149" s="766"/>
      <c r="BD149" s="766"/>
      <c r="BE149" s="766"/>
      <c r="BF149" s="775"/>
      <c r="BG149" s="775"/>
      <c r="BH149" s="766"/>
      <c r="BI149" s="766"/>
      <c r="BJ149" s="766"/>
      <c r="BK149" s="766" t="s">
        <v>1095</v>
      </c>
      <c r="BL149" s="766" t="s">
        <v>12049</v>
      </c>
      <c r="BM149" s="766" t="s">
        <v>1096</v>
      </c>
      <c r="BN149" s="766" t="s">
        <v>1230</v>
      </c>
      <c r="BO149" s="766" t="s">
        <v>1252</v>
      </c>
      <c r="BP149" s="776">
        <v>172.5</v>
      </c>
      <c r="BQ149" s="772">
        <v>79.5</v>
      </c>
      <c r="BR149" s="774">
        <f t="shared" si="37"/>
        <v>0.46086956521739131</v>
      </c>
      <c r="BS149" s="6" t="s">
        <v>1149</v>
      </c>
      <c r="BT149" s="766" t="s">
        <v>12026</v>
      </c>
      <c r="BU149" s="766" t="s">
        <v>1249</v>
      </c>
      <c r="BV149" s="766" t="s">
        <v>1247</v>
      </c>
      <c r="BW149" s="766"/>
      <c r="BX149" s="779"/>
      <c r="BY149" s="766"/>
      <c r="BZ149" s="775"/>
      <c r="CA149" s="766"/>
      <c r="CB149" s="766"/>
      <c r="CC149" s="766"/>
      <c r="CD149" s="766"/>
      <c r="CE149" s="766"/>
      <c r="CF149" s="777"/>
      <c r="CG149" s="778"/>
      <c r="CH149" s="766"/>
      <c r="CI149" s="766"/>
      <c r="CJ149" s="766"/>
      <c r="CK149" s="766"/>
      <c r="CL149" s="766"/>
      <c r="CM149" s="766"/>
      <c r="CN149" s="766"/>
      <c r="CO149" s="766"/>
      <c r="CP149" s="766"/>
      <c r="CQ149" s="766"/>
      <c r="CR149" s="775"/>
      <c r="CS149" s="766"/>
      <c r="CT149" s="766"/>
      <c r="CU149" s="129"/>
      <c r="CV149" s="766"/>
      <c r="CW149" s="766"/>
      <c r="CX149" s="766"/>
      <c r="CY149" s="766"/>
      <c r="CZ149" s="766"/>
      <c r="DA149" s="766"/>
      <c r="DB149" s="766"/>
      <c r="DC149" s="766"/>
      <c r="DD149" s="766"/>
      <c r="DE149" s="766"/>
      <c r="DF149" s="766"/>
      <c r="DG149" s="766"/>
      <c r="DH149" s="766"/>
      <c r="DI149" s="766"/>
      <c r="DJ149" s="766"/>
      <c r="DK149" s="766"/>
      <c r="DL149" s="766"/>
      <c r="DM149" s="766"/>
      <c r="DN149" s="766"/>
      <c r="DO149" s="766"/>
      <c r="DP149" s="766"/>
      <c r="DQ149" s="766"/>
      <c r="DR149" s="766"/>
      <c r="DS149" s="59"/>
      <c r="DT149" s="766"/>
      <c r="DU149" s="766"/>
      <c r="DV149" s="766"/>
      <c r="DW149" s="66"/>
      <c r="DX149" s="66"/>
      <c r="DY149" s="766"/>
      <c r="DZ149" s="766"/>
      <c r="EA149" s="766"/>
      <c r="EB149" s="766"/>
      <c r="EC149" s="766"/>
      <c r="ED149" s="766"/>
      <c r="EE149" s="766"/>
      <c r="EF149" s="766"/>
      <c r="EG149" s="766"/>
      <c r="EH149" s="766"/>
      <c r="EI149" s="766"/>
      <c r="EJ149" s="766"/>
      <c r="EK149" s="766"/>
      <c r="EL149" s="766"/>
      <c r="EM149" s="766"/>
      <c r="EN149" s="766"/>
      <c r="EO149" s="766"/>
      <c r="EP149" s="766"/>
      <c r="EQ149" s="766"/>
      <c r="ER149" s="766"/>
      <c r="ES149" s="766"/>
      <c r="ET149" s="766"/>
      <c r="EU149" s="766"/>
      <c r="EV149" s="766"/>
      <c r="EW149" s="766"/>
      <c r="EX149" s="766"/>
      <c r="EY149" s="766"/>
      <c r="EZ149" s="766"/>
      <c r="FA149" s="766"/>
      <c r="FB149" s="766"/>
      <c r="FC149" s="766"/>
      <c r="FD149" s="775"/>
      <c r="FE149" s="766"/>
      <c r="FF149" s="766"/>
      <c r="FG149" s="770"/>
      <c r="FH149" s="766" t="s">
        <v>478</v>
      </c>
      <c r="FI149" s="766">
        <v>3</v>
      </c>
      <c r="FJ149" s="766" t="s">
        <v>12060</v>
      </c>
      <c r="FK149" s="766"/>
      <c r="FL149" s="766"/>
      <c r="FM149" s="775"/>
      <c r="FN149" s="775"/>
      <c r="FO149" s="775"/>
      <c r="FP149" s="766" t="s">
        <v>12155</v>
      </c>
      <c r="FQ149" s="766" t="s">
        <v>1660</v>
      </c>
      <c r="FR149" s="766"/>
      <c r="FS149" s="766"/>
      <c r="FT149" s="766"/>
      <c r="FU149" s="766"/>
      <c r="FV149" s="766"/>
      <c r="FW149" s="766"/>
      <c r="FX149" s="766"/>
      <c r="FY149" s="766"/>
      <c r="FZ149" s="766"/>
      <c r="GA149" s="766"/>
      <c r="GB149" s="766"/>
      <c r="GC149" s="75"/>
      <c r="GD149" s="25"/>
      <c r="GE149" s="766"/>
      <c r="GF149" s="775"/>
      <c r="GG149" s="775"/>
      <c r="GH149" s="766"/>
      <c r="GI149" s="766"/>
      <c r="GJ149" s="766"/>
      <c r="GK149" s="766"/>
      <c r="GL149" s="766"/>
      <c r="GM149" s="766"/>
      <c r="GN149" s="82"/>
      <c r="GO149" s="766"/>
      <c r="GP149" s="766"/>
      <c r="GQ149" s="766"/>
      <c r="GR149" s="766"/>
      <c r="GS149" s="766"/>
      <c r="GT149" s="766"/>
      <c r="GU149" s="766"/>
      <c r="GV149" s="766"/>
      <c r="GW149" s="766"/>
      <c r="GX149" s="766"/>
      <c r="GY149" s="766"/>
      <c r="GZ149" s="766"/>
      <c r="HA149" s="766"/>
      <c r="HB149" s="766"/>
      <c r="HC149" s="766"/>
      <c r="HD149" s="766"/>
      <c r="HE149" s="766"/>
      <c r="HF149" s="766"/>
      <c r="HG149" s="766"/>
      <c r="HH149" s="766"/>
      <c r="HI149" s="766"/>
      <c r="HJ149" s="766"/>
      <c r="HK149" s="766"/>
      <c r="HL149" s="766"/>
      <c r="HM149" s="766"/>
      <c r="HN149" s="766"/>
      <c r="HO149" s="766"/>
      <c r="HP149" s="766"/>
      <c r="HQ149" s="766"/>
      <c r="HR149" s="766"/>
      <c r="HS149" s="766"/>
      <c r="HT149" s="766"/>
      <c r="HU149" s="766"/>
      <c r="HV149" s="766"/>
      <c r="HW149" s="766"/>
      <c r="HX149" s="766"/>
      <c r="HY149" s="766"/>
      <c r="HZ149" s="766"/>
      <c r="IA149" s="766"/>
      <c r="IB149" s="766"/>
      <c r="IC149" s="766"/>
      <c r="ID149" s="766"/>
      <c r="IE149" s="766"/>
      <c r="IF149" s="766"/>
      <c r="IG149" s="766"/>
      <c r="IH149" s="766"/>
      <c r="II149" s="766"/>
      <c r="IJ149" s="766"/>
      <c r="IK149" s="766"/>
      <c r="IL149" s="766"/>
      <c r="IM149" s="766"/>
      <c r="IN149" s="766"/>
      <c r="IO149" s="24"/>
      <c r="IP149" s="766"/>
      <c r="IQ149" s="766"/>
      <c r="IR149" s="766"/>
      <c r="IS149" s="766"/>
      <c r="IT149" s="766"/>
      <c r="IU149" s="766"/>
      <c r="IV149" s="766"/>
      <c r="IW149" s="766"/>
      <c r="IX149" s="766"/>
      <c r="IY149" s="766"/>
      <c r="IZ149" s="766"/>
      <c r="JA149" s="766"/>
      <c r="JB149" s="766"/>
      <c r="JC149" s="766"/>
      <c r="JD149" s="775"/>
      <c r="JE149" s="766"/>
      <c r="JF149" s="766"/>
      <c r="JG149" s="766"/>
      <c r="JH149" s="766"/>
      <c r="JI149" s="766"/>
      <c r="JJ149" s="766"/>
      <c r="JK149" s="766"/>
      <c r="JL149" s="766"/>
      <c r="JM149" s="766"/>
      <c r="JN149" s="766"/>
      <c r="JO149" s="766"/>
      <c r="JP149" s="766"/>
      <c r="JQ149" s="766"/>
      <c r="JR149" s="766"/>
      <c r="JS149" s="766"/>
      <c r="JT149" s="766"/>
      <c r="JU149" s="766"/>
      <c r="JV149" s="766"/>
      <c r="JW149" s="766"/>
      <c r="JX149" s="766"/>
      <c r="JY149" s="766"/>
      <c r="JZ149" s="766"/>
      <c r="KA149" s="766"/>
      <c r="KB149" s="766"/>
      <c r="KC149" s="766"/>
      <c r="KD149" s="766"/>
      <c r="KE149" s="766"/>
      <c r="KF149" s="766"/>
      <c r="KG149" s="766"/>
      <c r="KH149" s="766"/>
      <c r="KI149" s="766"/>
      <c r="KJ149" s="770"/>
      <c r="KK149" s="770"/>
      <c r="KL149" s="770"/>
      <c r="KM149" s="770"/>
      <c r="KN149" s="766"/>
      <c r="KO149" s="766"/>
      <c r="KP149" s="766"/>
      <c r="KQ149" s="766"/>
      <c r="KR149" s="766"/>
      <c r="KS149" s="766"/>
      <c r="KT149" s="766"/>
      <c r="KU149" s="766"/>
      <c r="KV149" s="766"/>
      <c r="KW149" s="766"/>
      <c r="KX149" s="766"/>
      <c r="KY149" s="766"/>
      <c r="KZ149" s="766"/>
      <c r="LA149" s="766"/>
      <c r="LB149" s="766"/>
      <c r="LC149" s="766"/>
      <c r="LD149" s="766"/>
      <c r="LE149" s="766"/>
      <c r="LF149" s="766"/>
      <c r="LG149" s="766"/>
      <c r="LH149" s="766"/>
      <c r="LI149" s="766"/>
      <c r="LJ149" s="766"/>
      <c r="LK149" s="766"/>
      <c r="LL149" s="766"/>
      <c r="LM149" s="766"/>
      <c r="LN149" s="766"/>
      <c r="LO149" s="766"/>
      <c r="LP149" s="766"/>
      <c r="LQ149" s="766"/>
      <c r="LR149" s="766"/>
      <c r="LS149" s="766"/>
      <c r="LT149" s="766"/>
      <c r="LU149" s="766"/>
      <c r="LV149" s="766"/>
      <c r="LW149" s="766"/>
      <c r="LX149" s="769"/>
      <c r="LY149" s="766" t="str">
        <f t="shared" si="36"/>
        <v/>
      </c>
      <c r="LZ149" s="66"/>
      <c r="MA149" s="766"/>
      <c r="MB149" s="766"/>
      <c r="MC149" s="1679">
        <f t="shared" si="24"/>
        <v>0</v>
      </c>
      <c r="MD149" s="66"/>
      <c r="ME149" s="66"/>
      <c r="MF149" s="66"/>
      <c r="MG149" s="1680">
        <f t="shared" si="34"/>
        <v>0</v>
      </c>
      <c r="MH149" s="766"/>
      <c r="MI149" s="775"/>
      <c r="MJ149" s="775"/>
      <c r="MK149" s="775"/>
      <c r="ML149" s="775"/>
      <c r="MM149" s="775"/>
      <c r="MN149" s="775"/>
      <c r="MO149" s="775"/>
      <c r="MP149" s="775"/>
      <c r="MQ149" s="775"/>
      <c r="MR149" s="775"/>
      <c r="MS149" s="775"/>
      <c r="MT149" s="775"/>
      <c r="MU149" s="775"/>
      <c r="MV149" s="775"/>
      <c r="MW149" s="775"/>
      <c r="MX149" s="775"/>
      <c r="MY149" s="1682">
        <f t="shared" si="35"/>
        <v>0</v>
      </c>
      <c r="MZ149" s="766"/>
      <c r="NA149" s="766"/>
      <c r="NB149" s="766"/>
      <c r="NC149" s="766"/>
      <c r="ND149" s="766"/>
      <c r="NE149" s="766"/>
      <c r="NF149" s="766"/>
      <c r="NG149" s="766"/>
      <c r="NH149" s="766"/>
      <c r="NI149" s="766"/>
      <c r="NJ149" s="766"/>
      <c r="NK149" s="766"/>
      <c r="NL149" s="766"/>
      <c r="NM149" s="766"/>
      <c r="NN149" s="766"/>
      <c r="NO149" s="766"/>
      <c r="NP149" s="766"/>
      <c r="NQ149" s="766"/>
      <c r="NR149" s="766"/>
      <c r="NS149" s="766"/>
      <c r="NT149" s="766"/>
      <c r="NU149" s="766"/>
      <c r="NV149" s="766"/>
      <c r="NW149" s="766"/>
      <c r="NX149" s="766"/>
      <c r="NY149" s="766"/>
      <c r="NZ149" s="766"/>
      <c r="OA149" s="766"/>
      <c r="OB149" s="766"/>
      <c r="OC149" s="766"/>
      <c r="OD149" s="766"/>
      <c r="OE149" s="766"/>
      <c r="OF149" s="766"/>
      <c r="OG149" s="766"/>
      <c r="OH149" s="766"/>
      <c r="OI149" s="766"/>
      <c r="OJ149" s="766"/>
      <c r="OK149" s="766"/>
      <c r="OL149" s="766"/>
      <c r="OM149" s="766"/>
      <c r="ON149" s="766"/>
      <c r="OO149" s="766"/>
      <c r="OP149" s="766"/>
      <c r="OQ149" s="766"/>
      <c r="OR149" s="766"/>
      <c r="OS149" s="766"/>
      <c r="OT149" s="766"/>
      <c r="OU149" s="766"/>
      <c r="OV149" s="766"/>
      <c r="OW149" s="766"/>
      <c r="OX149" s="766"/>
      <c r="OY149" s="766"/>
      <c r="OZ149" s="766"/>
      <c r="PA149" s="766"/>
      <c r="PB149" s="766"/>
      <c r="PC149" s="766"/>
      <c r="PD149" s="766"/>
      <c r="PE149" s="766"/>
      <c r="PF149" s="766"/>
      <c r="PG149" s="766"/>
      <c r="PH149" s="766"/>
      <c r="PI149" s="766"/>
      <c r="PJ149" s="766"/>
      <c r="PK149" s="766"/>
      <c r="PL149" s="766"/>
      <c r="PM149" s="766"/>
      <c r="PN149" s="766"/>
      <c r="PO149" s="766"/>
      <c r="PP149" s="766"/>
      <c r="PQ149" s="766"/>
      <c r="PR149" s="766"/>
      <c r="PS149" s="766"/>
      <c r="PT149" s="766"/>
      <c r="PU149" s="766"/>
      <c r="PV149" s="766"/>
      <c r="PW149" s="766"/>
      <c r="PX149" s="766"/>
      <c r="PY149" s="766"/>
      <c r="PZ149" s="766"/>
      <c r="QA149" s="766"/>
      <c r="QB149" s="766"/>
      <c r="QC149" s="766"/>
      <c r="QD149" s="766"/>
      <c r="QE149" s="766"/>
      <c r="QF149" s="766"/>
      <c r="QG149" s="766"/>
      <c r="QH149" s="766"/>
      <c r="QI149" s="766"/>
      <c r="QJ149" s="766"/>
      <c r="QK149" s="766"/>
      <c r="QL149" s="766"/>
      <c r="QM149" s="766"/>
      <c r="QN149" s="766"/>
      <c r="QO149" s="766"/>
      <c r="QP149" s="766"/>
      <c r="QQ149" s="766"/>
      <c r="QR149" s="766"/>
      <c r="QS149" s="766"/>
      <c r="QT149" s="766"/>
      <c r="QU149" s="766"/>
      <c r="QV149" s="766"/>
      <c r="QW149" s="766"/>
      <c r="QX149" s="766"/>
      <c r="QY149" s="766"/>
      <c r="QZ149" s="766"/>
      <c r="RA149" s="766"/>
      <c r="RB149" s="766"/>
      <c r="RC149" s="766"/>
      <c r="RD149" s="766"/>
      <c r="RE149" s="766"/>
      <c r="RF149" s="777"/>
      <c r="RG149" s="766"/>
      <c r="RH149" s="775"/>
      <c r="RI149" s="766"/>
      <c r="RJ149" s="766"/>
      <c r="RK149" s="766"/>
      <c r="RL149" s="1683"/>
      <c r="RM149" s="12"/>
      <c r="RN149" s="1711"/>
      <c r="RO149" s="171" t="s">
        <v>11838</v>
      </c>
      <c r="RP149" s="11"/>
      <c r="RQ149" s="11"/>
      <c r="RR149" s="17"/>
      <c r="RS149" s="766"/>
      <c r="RT149" s="11"/>
      <c r="RU149" s="11"/>
      <c r="RV149" s="766" t="s">
        <v>7419</v>
      </c>
      <c r="RW149" s="11" t="s">
        <v>12432</v>
      </c>
      <c r="RX149" s="11" t="s">
        <v>11837</v>
      </c>
      <c r="RY149" s="11"/>
      <c r="RZ149" s="11" t="s">
        <v>7419</v>
      </c>
      <c r="SA149" s="766"/>
      <c r="SB149" s="11"/>
      <c r="SC149" s="11"/>
    </row>
    <row r="150" spans="1:497" ht="12.75" hidden="1" customHeight="1">
      <c r="A150" s="19" t="s">
        <v>14154</v>
      </c>
      <c r="B150" s="288" t="s">
        <v>12050</v>
      </c>
      <c r="C150" s="171" t="s">
        <v>11838</v>
      </c>
      <c r="D150" s="766" t="s">
        <v>12051</v>
      </c>
      <c r="E150" s="766" t="s">
        <v>12011</v>
      </c>
      <c r="F150" s="766" t="s">
        <v>12052</v>
      </c>
      <c r="G150" s="766" t="s">
        <v>18</v>
      </c>
      <c r="H150" s="766"/>
      <c r="I150" s="5" t="s">
        <v>12053</v>
      </c>
      <c r="J150" s="766" t="s">
        <v>12054</v>
      </c>
      <c r="K150" s="766" t="s">
        <v>12055</v>
      </c>
      <c r="L150" s="766" t="s">
        <v>12056</v>
      </c>
      <c r="M150" s="766"/>
      <c r="N150" s="766"/>
      <c r="O150" s="766"/>
      <c r="P150" s="766" t="s">
        <v>12054</v>
      </c>
      <c r="Q150" s="1085">
        <v>28086</v>
      </c>
      <c r="R150" s="25">
        <v>40</v>
      </c>
      <c r="S150" s="766" t="s">
        <v>10</v>
      </c>
      <c r="T150" s="766"/>
      <c r="U150" s="26" t="s">
        <v>12057</v>
      </c>
      <c r="V150" s="766" t="s">
        <v>722</v>
      </c>
      <c r="W150" s="766" t="s">
        <v>12051</v>
      </c>
      <c r="X150" s="24"/>
      <c r="Y150" s="766" t="s">
        <v>12011</v>
      </c>
      <c r="Z150" s="766" t="s">
        <v>708</v>
      </c>
      <c r="AA150" s="766" t="s">
        <v>739</v>
      </c>
      <c r="AB150" s="766" t="s">
        <v>7275</v>
      </c>
      <c r="AC150" s="766" t="s">
        <v>12058</v>
      </c>
      <c r="AD150" s="766"/>
      <c r="AE150" s="766"/>
      <c r="AF150" s="766" t="s">
        <v>12017</v>
      </c>
      <c r="AG150" s="766" t="s">
        <v>1095</v>
      </c>
      <c r="AH150" s="766" t="s">
        <v>1096</v>
      </c>
      <c r="AI150" s="766"/>
      <c r="AJ150" s="766"/>
      <c r="AK150" s="766" t="s">
        <v>12178</v>
      </c>
      <c r="AL150" s="121"/>
      <c r="AM150" s="772"/>
      <c r="AN150" s="774"/>
      <c r="AO150" s="766"/>
      <c r="AP150" s="766"/>
      <c r="AQ150" s="766"/>
      <c r="AR150" s="766"/>
      <c r="AS150" s="766"/>
      <c r="AT150" s="766"/>
      <c r="AU150" s="766"/>
      <c r="AV150" s="766"/>
      <c r="AW150" s="766"/>
      <c r="AX150" s="766"/>
      <c r="AY150" s="766"/>
      <c r="AZ150" s="766"/>
      <c r="BA150" s="766"/>
      <c r="BB150" s="766"/>
      <c r="BC150" s="766"/>
      <c r="BD150" s="766"/>
      <c r="BE150" s="766"/>
      <c r="BF150" s="775"/>
      <c r="BG150" s="775"/>
      <c r="BH150" s="766"/>
      <c r="BI150" s="766"/>
      <c r="BJ150" s="766"/>
      <c r="BK150" s="766"/>
      <c r="BL150" s="766"/>
      <c r="BM150" s="766" t="s">
        <v>1238</v>
      </c>
      <c r="BN150" s="766" t="s">
        <v>1256</v>
      </c>
      <c r="BO150" s="766"/>
      <c r="BP150" s="776"/>
      <c r="BQ150" s="772"/>
      <c r="BR150" s="774"/>
      <c r="BS150" s="6" t="s">
        <v>1149</v>
      </c>
      <c r="BT150" s="766"/>
      <c r="BU150" s="766"/>
      <c r="BV150" s="766"/>
      <c r="BW150" s="766"/>
      <c r="BX150" s="779"/>
      <c r="BY150" s="766"/>
      <c r="BZ150" s="775"/>
      <c r="CA150" s="766"/>
      <c r="CB150" s="766"/>
      <c r="CC150" s="766"/>
      <c r="CD150" s="766"/>
      <c r="CE150" s="766"/>
      <c r="CF150" s="777"/>
      <c r="CG150" s="778"/>
      <c r="CH150" s="766"/>
      <c r="CI150" s="766"/>
      <c r="CJ150" s="766"/>
      <c r="CK150" s="766"/>
      <c r="CL150" s="766"/>
      <c r="CM150" s="766"/>
      <c r="CN150" s="766"/>
      <c r="CO150" s="766"/>
      <c r="CP150" s="766"/>
      <c r="CQ150" s="766"/>
      <c r="CR150" s="775"/>
      <c r="CS150" s="766"/>
      <c r="CT150" s="766"/>
      <c r="CU150" s="129"/>
      <c r="CV150" s="766"/>
      <c r="CW150" s="766"/>
      <c r="CX150" s="766"/>
      <c r="CY150" s="766"/>
      <c r="CZ150" s="766"/>
      <c r="DA150" s="766"/>
      <c r="DB150" s="766"/>
      <c r="DC150" s="766"/>
      <c r="DD150" s="766"/>
      <c r="DE150" s="766"/>
      <c r="DF150" s="766"/>
      <c r="DG150" s="766"/>
      <c r="DH150" s="766"/>
      <c r="DI150" s="766"/>
      <c r="DJ150" s="766"/>
      <c r="DK150" s="766"/>
      <c r="DL150" s="766"/>
      <c r="DM150" s="766"/>
      <c r="DN150" s="766"/>
      <c r="DO150" s="766"/>
      <c r="DP150" s="766"/>
      <c r="DQ150" s="766"/>
      <c r="DR150" s="766"/>
      <c r="DS150" s="59"/>
      <c r="DT150" s="766"/>
      <c r="DU150" s="766"/>
      <c r="DV150" s="766"/>
      <c r="DW150" s="66"/>
      <c r="DX150" s="66"/>
      <c r="DY150" s="766"/>
      <c r="DZ150" s="766"/>
      <c r="EA150" s="766"/>
      <c r="EB150" s="766"/>
      <c r="EC150" s="766"/>
      <c r="ED150" s="766"/>
      <c r="EE150" s="766"/>
      <c r="EF150" s="766"/>
      <c r="EG150" s="766"/>
      <c r="EH150" s="766"/>
      <c r="EI150" s="766"/>
      <c r="EJ150" s="766"/>
      <c r="EK150" s="766"/>
      <c r="EL150" s="766"/>
      <c r="EM150" s="766"/>
      <c r="EN150" s="766"/>
      <c r="EO150" s="766"/>
      <c r="EP150" s="766"/>
      <c r="EQ150" s="766"/>
      <c r="ER150" s="766"/>
      <c r="ES150" s="766"/>
      <c r="ET150" s="766"/>
      <c r="EU150" s="766"/>
      <c r="EV150" s="766"/>
      <c r="EW150" s="766"/>
      <c r="EX150" s="766"/>
      <c r="EY150" s="766"/>
      <c r="EZ150" s="766"/>
      <c r="FA150" s="766"/>
      <c r="FB150" s="766"/>
      <c r="FC150" s="766"/>
      <c r="FD150" s="775"/>
      <c r="FE150" s="766"/>
      <c r="FF150" s="766"/>
      <c r="FG150" s="770"/>
      <c r="FH150" s="766" t="s">
        <v>1306</v>
      </c>
      <c r="FI150" s="766">
        <v>1</v>
      </c>
      <c r="FJ150" s="766" t="s">
        <v>12060</v>
      </c>
      <c r="FK150" s="766"/>
      <c r="FL150" s="766"/>
      <c r="FM150" s="147">
        <v>200</v>
      </c>
      <c r="FN150" s="775">
        <v>410</v>
      </c>
      <c r="FO150" s="775">
        <v>1200</v>
      </c>
      <c r="FP150" s="766" t="s">
        <v>12155</v>
      </c>
      <c r="FQ150" s="766" t="s">
        <v>1660</v>
      </c>
      <c r="FR150" s="766"/>
      <c r="FS150" s="766"/>
      <c r="FT150" s="766"/>
      <c r="FU150" s="766"/>
      <c r="FV150" s="766"/>
      <c r="FW150" s="766"/>
      <c r="FX150" s="766"/>
      <c r="FY150" s="766"/>
      <c r="FZ150" s="766"/>
      <c r="GA150" s="766"/>
      <c r="GB150" s="766"/>
      <c r="GC150" s="75"/>
      <c r="GD150" s="25"/>
      <c r="GE150" s="766"/>
      <c r="GF150" s="775"/>
      <c r="GG150" s="775"/>
      <c r="GH150" s="766"/>
      <c r="GI150" s="766"/>
      <c r="GJ150" s="766"/>
      <c r="GK150" s="766"/>
      <c r="GL150" s="766"/>
      <c r="GM150" s="766"/>
      <c r="GN150" s="82"/>
      <c r="GO150" s="766"/>
      <c r="GP150" s="766"/>
      <c r="GQ150" s="766"/>
      <c r="GR150" s="766"/>
      <c r="GS150" s="766"/>
      <c r="GT150" s="766"/>
      <c r="GU150" s="766"/>
      <c r="GV150" s="766"/>
      <c r="GW150" s="766"/>
      <c r="GX150" s="766"/>
      <c r="GY150" s="766"/>
      <c r="GZ150" s="766"/>
      <c r="HA150" s="766"/>
      <c r="HB150" s="766"/>
      <c r="HC150" s="766"/>
      <c r="HD150" s="766"/>
      <c r="HE150" s="766"/>
      <c r="HF150" s="766"/>
      <c r="HG150" s="766"/>
      <c r="HH150" s="766"/>
      <c r="HI150" s="766"/>
      <c r="HJ150" s="766"/>
      <c r="HK150" s="766"/>
      <c r="HL150" s="766"/>
      <c r="HM150" s="766"/>
      <c r="HN150" s="766"/>
      <c r="HO150" s="766"/>
      <c r="HP150" s="766"/>
      <c r="HQ150" s="766"/>
      <c r="HR150" s="766"/>
      <c r="HS150" s="766"/>
      <c r="HT150" s="766"/>
      <c r="HU150" s="766"/>
      <c r="HV150" s="766"/>
      <c r="HW150" s="766"/>
      <c r="HX150" s="766"/>
      <c r="HY150" s="766"/>
      <c r="HZ150" s="766"/>
      <c r="IA150" s="766"/>
      <c r="IB150" s="766"/>
      <c r="IC150" s="766"/>
      <c r="ID150" s="766"/>
      <c r="IE150" s="766"/>
      <c r="IF150" s="766"/>
      <c r="IG150" s="766"/>
      <c r="IH150" s="766"/>
      <c r="II150" s="766"/>
      <c r="IJ150" s="766"/>
      <c r="IK150" s="766"/>
      <c r="IL150" s="766"/>
      <c r="IM150" s="766"/>
      <c r="IN150" s="766"/>
      <c r="IO150" s="24"/>
      <c r="IP150" s="766"/>
      <c r="IQ150" s="766"/>
      <c r="IR150" s="766"/>
      <c r="IS150" s="766"/>
      <c r="IT150" s="766"/>
      <c r="IU150" s="766"/>
      <c r="IV150" s="766"/>
      <c r="IW150" s="766"/>
      <c r="IX150" s="766"/>
      <c r="IY150" s="766"/>
      <c r="IZ150" s="766"/>
      <c r="JA150" s="766"/>
      <c r="JB150" s="766"/>
      <c r="JC150" s="766"/>
      <c r="JD150" s="775"/>
      <c r="JE150" s="766"/>
      <c r="JF150" s="766"/>
      <c r="JG150" s="766"/>
      <c r="JH150" s="766"/>
      <c r="JI150" s="766"/>
      <c r="JJ150" s="766">
        <v>4</v>
      </c>
      <c r="JK150" s="766" t="s">
        <v>12343</v>
      </c>
      <c r="JL150" s="766">
        <v>1</v>
      </c>
      <c r="JM150" s="766">
        <v>1</v>
      </c>
      <c r="JN150" s="766">
        <v>1</v>
      </c>
      <c r="JO150" s="766">
        <v>1</v>
      </c>
      <c r="JP150" s="766"/>
      <c r="JQ150" s="766"/>
      <c r="JR150" s="766"/>
      <c r="JS150" s="766"/>
      <c r="JT150" s="766">
        <f>SUM(JP150,JN150,JL150,JR150)</f>
        <v>2</v>
      </c>
      <c r="JU150" s="766">
        <f>SUM(JQ150,JO150,JM150,JS150)</f>
        <v>2</v>
      </c>
      <c r="JV150" s="766"/>
      <c r="JW150" s="766"/>
      <c r="JX150" s="766"/>
      <c r="JY150" s="766">
        <v>1</v>
      </c>
      <c r="JZ150" s="766">
        <v>1</v>
      </c>
      <c r="KA150" s="766"/>
      <c r="KB150" s="766"/>
      <c r="KC150" s="766"/>
      <c r="KD150" s="766">
        <v>1</v>
      </c>
      <c r="KE150" s="766">
        <v>1</v>
      </c>
      <c r="KF150" s="766"/>
      <c r="KG150" s="766"/>
      <c r="KH150" s="766"/>
      <c r="KI150" s="766"/>
      <c r="KJ150" s="770">
        <f t="shared" ref="KJ150:KK204" si="38">SUM(KF150,KD150,KB150,JZ150,JX150,KH150)</f>
        <v>2</v>
      </c>
      <c r="KK150" s="770">
        <f t="shared" si="38"/>
        <v>2</v>
      </c>
      <c r="KL150" s="770"/>
      <c r="KM150" s="770"/>
      <c r="KN150" s="766" t="s">
        <v>722</v>
      </c>
      <c r="KO150" s="766"/>
      <c r="KP150" s="766"/>
      <c r="KQ150" s="766"/>
      <c r="KR150" s="766"/>
      <c r="KS150" s="766">
        <v>1</v>
      </c>
      <c r="KT150" s="766"/>
      <c r="KU150" s="766"/>
      <c r="KV150" s="766"/>
      <c r="KW150" s="766"/>
      <c r="KX150" s="766">
        <v>1</v>
      </c>
      <c r="KY150" s="766"/>
      <c r="KZ150" s="766">
        <v>1</v>
      </c>
      <c r="LA150" s="766">
        <v>1</v>
      </c>
      <c r="LB150" s="766"/>
      <c r="LC150" s="766"/>
      <c r="LD150" s="766"/>
      <c r="LE150" s="766"/>
      <c r="LF150" s="766"/>
      <c r="LG150" s="766"/>
      <c r="LH150" s="766"/>
      <c r="LI150" s="766"/>
      <c r="LJ150" s="766"/>
      <c r="LK150" s="766"/>
      <c r="LL150" s="766"/>
      <c r="LM150" s="766"/>
      <c r="LN150" s="766">
        <f t="shared" ref="LN150:LO196" si="39">SUM(KP150,KR150,KT150,KV150,KX150,KZ150,LB150,LD150,LF150,LH150,LJ150,LL150)</f>
        <v>2</v>
      </c>
      <c r="LO150" s="766">
        <f t="shared" si="39"/>
        <v>2</v>
      </c>
      <c r="LP150" s="766">
        <v>1</v>
      </c>
      <c r="LQ150" s="766">
        <v>1</v>
      </c>
      <c r="LR150" s="766"/>
      <c r="LS150" s="766"/>
      <c r="LT150" s="766"/>
      <c r="LU150" s="766">
        <v>1</v>
      </c>
      <c r="LV150" s="766"/>
      <c r="LW150" s="766"/>
      <c r="LX150" s="769">
        <v>3</v>
      </c>
      <c r="LY150" s="766" t="str">
        <f t="shared" si="36"/>
        <v>within the PROVINCE</v>
      </c>
      <c r="LZ150" s="66">
        <f>80*26</f>
        <v>2080</v>
      </c>
      <c r="MA150" s="766"/>
      <c r="MB150" s="766"/>
      <c r="MC150" s="1679">
        <f t="shared" si="24"/>
        <v>2080</v>
      </c>
      <c r="MD150" s="66">
        <v>10000</v>
      </c>
      <c r="ME150" s="66"/>
      <c r="MF150" s="66"/>
      <c r="MG150" s="1680">
        <f t="shared" si="34"/>
        <v>10000</v>
      </c>
      <c r="MH150" s="766" t="s">
        <v>2225</v>
      </c>
      <c r="MI150" s="775">
        <v>8000</v>
      </c>
      <c r="MJ150" s="775">
        <f>80*26</f>
        <v>2080</v>
      </c>
      <c r="MK150" s="775">
        <v>2000</v>
      </c>
      <c r="ML150" s="775">
        <v>2000</v>
      </c>
      <c r="MM150" s="775"/>
      <c r="MN150" s="775">
        <v>2000</v>
      </c>
      <c r="MO150" s="775"/>
      <c r="MP150" s="775">
        <v>1200</v>
      </c>
      <c r="MQ150" s="775">
        <v>300</v>
      </c>
      <c r="MR150" s="775">
        <v>400</v>
      </c>
      <c r="MS150" s="775"/>
      <c r="MT150" s="775"/>
      <c r="MU150" s="775"/>
      <c r="MV150" s="775"/>
      <c r="MW150" s="775"/>
      <c r="MX150" s="775"/>
      <c r="MY150" s="1682">
        <f t="shared" si="35"/>
        <v>17980</v>
      </c>
      <c r="MZ150" s="766" t="s">
        <v>13150</v>
      </c>
      <c r="NA150" s="766" t="s">
        <v>13005</v>
      </c>
      <c r="NB150" s="766" t="s">
        <v>13069</v>
      </c>
      <c r="NC150" s="766" t="s">
        <v>13207</v>
      </c>
      <c r="ND150" s="766">
        <v>0</v>
      </c>
      <c r="NE150" s="766">
        <v>1</v>
      </c>
      <c r="NF150" s="766">
        <v>0</v>
      </c>
      <c r="NG150" s="766">
        <v>2</v>
      </c>
      <c r="NH150" s="766">
        <v>1</v>
      </c>
      <c r="NI150" s="766">
        <v>1</v>
      </c>
      <c r="NJ150" s="766">
        <v>1</v>
      </c>
      <c r="NK150" s="766">
        <v>0</v>
      </c>
      <c r="NL150" s="766">
        <v>1</v>
      </c>
      <c r="NM150" s="766">
        <v>1</v>
      </c>
      <c r="NN150" s="766">
        <v>0</v>
      </c>
      <c r="NO150" s="766">
        <v>0</v>
      </c>
      <c r="NP150" s="766">
        <v>0</v>
      </c>
      <c r="NQ150" s="766">
        <v>0</v>
      </c>
      <c r="NR150" s="766">
        <v>0</v>
      </c>
      <c r="NS150" s="766">
        <v>0</v>
      </c>
      <c r="NT150" s="766">
        <v>0</v>
      </c>
      <c r="NU150" s="766">
        <v>0</v>
      </c>
      <c r="NV150" s="766">
        <v>0</v>
      </c>
      <c r="NW150" s="766">
        <v>0</v>
      </c>
      <c r="NX150" s="766">
        <v>0</v>
      </c>
      <c r="NY150" s="766" t="s">
        <v>1208</v>
      </c>
      <c r="NZ150" s="766" t="s">
        <v>1208</v>
      </c>
      <c r="OA150" s="766" t="s">
        <v>1208</v>
      </c>
      <c r="OB150" s="766" t="s">
        <v>1208</v>
      </c>
      <c r="OC150" s="766" t="s">
        <v>1208</v>
      </c>
      <c r="OD150" s="766" t="s">
        <v>1208</v>
      </c>
      <c r="OE150" s="766"/>
      <c r="OF150" s="766"/>
      <c r="OG150" s="766"/>
      <c r="OH150" s="766"/>
      <c r="OI150" s="766"/>
      <c r="OJ150" s="766"/>
      <c r="OK150" s="766"/>
      <c r="OL150" s="766"/>
      <c r="OM150" s="766"/>
      <c r="ON150" s="766"/>
      <c r="OO150" s="766"/>
      <c r="OP150" s="766"/>
      <c r="OQ150" s="766"/>
      <c r="OR150" s="766"/>
      <c r="OS150" s="766"/>
      <c r="OT150" s="766"/>
      <c r="OU150" s="766"/>
      <c r="OV150" s="766"/>
      <c r="OW150" s="766"/>
      <c r="OX150" s="766"/>
      <c r="OY150" s="766"/>
      <c r="OZ150" s="766"/>
      <c r="PA150" s="766"/>
      <c r="PB150" s="766"/>
      <c r="PC150" s="766"/>
      <c r="PD150" s="766"/>
      <c r="PE150" s="766"/>
      <c r="PF150" s="766"/>
      <c r="PG150" s="766"/>
      <c r="PH150" s="766"/>
      <c r="PI150" s="766"/>
      <c r="PJ150" s="766"/>
      <c r="PK150" s="766"/>
      <c r="PL150" s="766"/>
      <c r="PM150" s="766"/>
      <c r="PN150" s="766"/>
      <c r="PO150" s="766"/>
      <c r="PP150" s="766"/>
      <c r="PQ150" s="766"/>
      <c r="PR150" s="766"/>
      <c r="PS150" s="766"/>
      <c r="PT150" s="766"/>
      <c r="PU150" s="766"/>
      <c r="PV150" s="766"/>
      <c r="PW150" s="766"/>
      <c r="PX150" s="766"/>
      <c r="PY150" s="766"/>
      <c r="PZ150" s="766"/>
      <c r="QA150" s="766"/>
      <c r="QB150" s="766"/>
      <c r="QC150" s="766"/>
      <c r="QD150" s="766"/>
      <c r="QE150" s="766"/>
      <c r="QF150" s="766"/>
      <c r="QG150" s="766"/>
      <c r="QH150" s="766"/>
      <c r="QI150" s="766"/>
      <c r="QJ150" s="766"/>
      <c r="QK150" s="766"/>
      <c r="QL150" s="766"/>
      <c r="QM150" s="766"/>
      <c r="QN150" s="766"/>
      <c r="QO150" s="766"/>
      <c r="QP150" s="766"/>
      <c r="QQ150" s="766"/>
      <c r="QR150" s="766"/>
      <c r="QS150" s="766"/>
      <c r="QT150" s="766"/>
      <c r="QU150" s="766"/>
      <c r="QV150" s="766"/>
      <c r="QW150" s="766"/>
      <c r="QX150" s="766"/>
      <c r="QY150" s="766"/>
      <c r="QZ150" s="766"/>
      <c r="RA150" s="766"/>
      <c r="RB150" s="766" t="s">
        <v>1214</v>
      </c>
      <c r="RC150" s="766"/>
      <c r="RD150" s="766"/>
      <c r="RE150" s="766"/>
      <c r="RF150" s="777"/>
      <c r="RG150" s="766"/>
      <c r="RH150" s="775"/>
      <c r="RI150" s="766"/>
      <c r="RJ150" s="766" t="s">
        <v>13208</v>
      </c>
      <c r="RK150" s="766" t="s">
        <v>13013</v>
      </c>
      <c r="RL150" s="1683"/>
      <c r="RM150" s="12"/>
      <c r="RN150" s="1711"/>
      <c r="RO150" s="171" t="s">
        <v>11838</v>
      </c>
      <c r="RP150" s="11"/>
      <c r="RQ150" s="11"/>
      <c r="RR150" s="17"/>
      <c r="RS150" s="766"/>
      <c r="RT150" s="11"/>
      <c r="RU150" s="11"/>
      <c r="RV150" s="766" t="s">
        <v>12436</v>
      </c>
      <c r="RW150" s="11" t="s">
        <v>12041</v>
      </c>
      <c r="RX150" s="11" t="s">
        <v>12042</v>
      </c>
      <c r="RY150" s="11"/>
      <c r="RZ150" s="11"/>
      <c r="SA150" s="766"/>
      <c r="SB150" s="11"/>
      <c r="SC150" s="11"/>
    </row>
    <row r="151" spans="1:497" ht="12.75" hidden="1" customHeight="1">
      <c r="A151" s="19" t="s">
        <v>14154</v>
      </c>
      <c r="B151" s="288" t="s">
        <v>12061</v>
      </c>
      <c r="C151" s="171" t="s">
        <v>11838</v>
      </c>
      <c r="D151" s="766" t="s">
        <v>12062</v>
      </c>
      <c r="E151" s="766" t="s">
        <v>12011</v>
      </c>
      <c r="F151" s="766" t="s">
        <v>28</v>
      </c>
      <c r="G151" s="766" t="s">
        <v>10</v>
      </c>
      <c r="H151" s="766"/>
      <c r="I151" s="5" t="s">
        <v>12063</v>
      </c>
      <c r="J151" s="766" t="s">
        <v>12062</v>
      </c>
      <c r="K151" s="766" t="s">
        <v>12048</v>
      </c>
      <c r="L151" s="766" t="s">
        <v>12064</v>
      </c>
      <c r="M151" s="766"/>
      <c r="N151" s="766"/>
      <c r="O151" s="766"/>
      <c r="P151" s="766" t="s">
        <v>12062</v>
      </c>
      <c r="Q151" s="1085">
        <v>28067</v>
      </c>
      <c r="R151" s="25">
        <v>40</v>
      </c>
      <c r="S151" s="766" t="s">
        <v>10</v>
      </c>
      <c r="T151" s="766"/>
      <c r="U151" s="5" t="s">
        <v>12063</v>
      </c>
      <c r="V151" s="766" t="s">
        <v>707</v>
      </c>
      <c r="W151" s="766" t="s">
        <v>12345</v>
      </c>
      <c r="X151" s="24">
        <v>27850</v>
      </c>
      <c r="Y151" s="766" t="s">
        <v>12011</v>
      </c>
      <c r="Z151" s="766" t="s">
        <v>708</v>
      </c>
      <c r="AA151" s="766" t="s">
        <v>748</v>
      </c>
      <c r="AB151" s="766" t="s">
        <v>12065</v>
      </c>
      <c r="AC151" s="766" t="s">
        <v>12058</v>
      </c>
      <c r="AD151" s="766"/>
      <c r="AE151" s="766"/>
      <c r="AF151" s="766"/>
      <c r="AG151" s="766"/>
      <c r="AH151" s="766"/>
      <c r="AI151" s="766"/>
      <c r="AJ151" s="766"/>
      <c r="AK151" s="766" t="s">
        <v>12178</v>
      </c>
      <c r="AL151" s="121"/>
      <c r="AM151" s="772"/>
      <c r="AN151" s="774"/>
      <c r="AO151" s="766"/>
      <c r="AP151" s="766"/>
      <c r="AQ151" s="766"/>
      <c r="AR151" s="766"/>
      <c r="AS151" s="766"/>
      <c r="AT151" s="766"/>
      <c r="AU151" s="766"/>
      <c r="AV151" s="766"/>
      <c r="AW151" s="766"/>
      <c r="AX151" s="766"/>
      <c r="AY151" s="766"/>
      <c r="AZ151" s="766"/>
      <c r="BA151" s="766"/>
      <c r="BB151" s="766"/>
      <c r="BC151" s="766"/>
      <c r="BD151" s="766"/>
      <c r="BE151" s="766"/>
      <c r="BF151" s="775"/>
      <c r="BG151" s="775"/>
      <c r="BH151" s="766"/>
      <c r="BI151" s="766"/>
      <c r="BJ151" s="766"/>
      <c r="BK151" s="766"/>
      <c r="BL151" s="766"/>
      <c r="BM151" s="766" t="s">
        <v>1238</v>
      </c>
      <c r="BN151" s="766" t="s">
        <v>1256</v>
      </c>
      <c r="BO151" s="766"/>
      <c r="BP151" s="776"/>
      <c r="BQ151" s="772"/>
      <c r="BR151" s="774"/>
      <c r="BS151" s="6" t="s">
        <v>1149</v>
      </c>
      <c r="BT151" s="766"/>
      <c r="BU151" s="766"/>
      <c r="BV151" s="766"/>
      <c r="BW151" s="766"/>
      <c r="BX151" s="779"/>
      <c r="BY151" s="766"/>
      <c r="BZ151" s="775"/>
      <c r="CA151" s="766"/>
      <c r="CB151" s="766"/>
      <c r="CC151" s="766"/>
      <c r="CD151" s="766"/>
      <c r="CE151" s="766"/>
      <c r="CF151" s="777"/>
      <c r="CG151" s="778"/>
      <c r="CH151" s="766"/>
      <c r="CI151" s="766"/>
      <c r="CJ151" s="766"/>
      <c r="CK151" s="766"/>
      <c r="CL151" s="766"/>
      <c r="CM151" s="766"/>
      <c r="CN151" s="766"/>
      <c r="CO151" s="766"/>
      <c r="CP151" s="766"/>
      <c r="CQ151" s="766"/>
      <c r="CR151" s="775"/>
      <c r="CS151" s="766"/>
      <c r="CT151" s="766"/>
      <c r="CU151" s="129"/>
      <c r="CV151" s="766"/>
      <c r="CW151" s="766"/>
      <c r="CX151" s="766"/>
      <c r="CY151" s="766"/>
      <c r="CZ151" s="766"/>
      <c r="DA151" s="766"/>
      <c r="DB151" s="766"/>
      <c r="DC151" s="766"/>
      <c r="DD151" s="766"/>
      <c r="DE151" s="766"/>
      <c r="DF151" s="766"/>
      <c r="DG151" s="766"/>
      <c r="DH151" s="766"/>
      <c r="DI151" s="766"/>
      <c r="DJ151" s="766"/>
      <c r="DK151" s="766"/>
      <c r="DL151" s="766"/>
      <c r="DM151" s="766"/>
      <c r="DN151" s="766"/>
      <c r="DO151" s="766"/>
      <c r="DP151" s="766"/>
      <c r="DQ151" s="766"/>
      <c r="DR151" s="766"/>
      <c r="DS151" s="59"/>
      <c r="DT151" s="766"/>
      <c r="DU151" s="766"/>
      <c r="DV151" s="766"/>
      <c r="DW151" s="66"/>
      <c r="DX151" s="66"/>
      <c r="DY151" s="766"/>
      <c r="DZ151" s="766"/>
      <c r="EA151" s="766"/>
      <c r="EB151" s="766"/>
      <c r="EC151" s="766"/>
      <c r="ED151" s="766"/>
      <c r="EE151" s="766"/>
      <c r="EF151" s="766"/>
      <c r="EG151" s="766"/>
      <c r="EH151" s="766"/>
      <c r="EI151" s="766"/>
      <c r="EJ151" s="766"/>
      <c r="EK151" s="766"/>
      <c r="EL151" s="766"/>
      <c r="EM151" s="766"/>
      <c r="EN151" s="766"/>
      <c r="EO151" s="766"/>
      <c r="EP151" s="766"/>
      <c r="EQ151" s="766"/>
      <c r="ER151" s="766"/>
      <c r="ES151" s="766"/>
      <c r="ET151" s="766"/>
      <c r="EU151" s="766"/>
      <c r="EV151" s="766"/>
      <c r="EW151" s="766"/>
      <c r="EX151" s="766"/>
      <c r="EY151" s="766"/>
      <c r="EZ151" s="766"/>
      <c r="FA151" s="766"/>
      <c r="FB151" s="766"/>
      <c r="FC151" s="766"/>
      <c r="FD151" s="775"/>
      <c r="FE151" s="766"/>
      <c r="FF151" s="766"/>
      <c r="FG151" s="770"/>
      <c r="FH151" s="766" t="s">
        <v>1306</v>
      </c>
      <c r="FI151" s="766">
        <v>1</v>
      </c>
      <c r="FJ151" s="766" t="s">
        <v>12060</v>
      </c>
      <c r="FK151" s="766"/>
      <c r="FL151" s="766"/>
      <c r="FM151" s="147">
        <v>1800</v>
      </c>
      <c r="FN151" s="775">
        <v>317</v>
      </c>
      <c r="FO151" s="775">
        <v>700</v>
      </c>
      <c r="FP151" s="766" t="s">
        <v>12155</v>
      </c>
      <c r="FQ151" s="766" t="s">
        <v>1660</v>
      </c>
      <c r="FR151" s="766"/>
      <c r="FS151" s="766"/>
      <c r="FT151" s="766"/>
      <c r="FU151" s="766"/>
      <c r="FV151" s="766"/>
      <c r="FW151" s="766"/>
      <c r="FX151" s="766"/>
      <c r="FY151" s="766"/>
      <c r="FZ151" s="766"/>
      <c r="GA151" s="766"/>
      <c r="GB151" s="766"/>
      <c r="GC151" s="75"/>
      <c r="GD151" s="25"/>
      <c r="GE151" s="766"/>
      <c r="GF151" s="775"/>
      <c r="GG151" s="775"/>
      <c r="GH151" s="766"/>
      <c r="GI151" s="766"/>
      <c r="GJ151" s="766"/>
      <c r="GK151" s="766"/>
      <c r="GL151" s="766"/>
      <c r="GM151" s="766"/>
      <c r="GN151" s="82"/>
      <c r="GO151" s="766"/>
      <c r="GP151" s="766"/>
      <c r="GQ151" s="766"/>
      <c r="GR151" s="766"/>
      <c r="GS151" s="766"/>
      <c r="GT151" s="766"/>
      <c r="GU151" s="766"/>
      <c r="GV151" s="766"/>
      <c r="GW151" s="766"/>
      <c r="GX151" s="766"/>
      <c r="GY151" s="766"/>
      <c r="GZ151" s="766"/>
      <c r="HA151" s="766"/>
      <c r="HB151" s="766"/>
      <c r="HC151" s="766"/>
      <c r="HD151" s="766"/>
      <c r="HE151" s="766"/>
      <c r="HF151" s="766"/>
      <c r="HG151" s="766"/>
      <c r="HH151" s="766"/>
      <c r="HI151" s="766"/>
      <c r="HJ151" s="766"/>
      <c r="HK151" s="766"/>
      <c r="HL151" s="766"/>
      <c r="HM151" s="766"/>
      <c r="HN151" s="766"/>
      <c r="HO151" s="766"/>
      <c r="HP151" s="766"/>
      <c r="HQ151" s="766"/>
      <c r="HR151" s="766"/>
      <c r="HS151" s="766"/>
      <c r="HT151" s="766"/>
      <c r="HU151" s="766"/>
      <c r="HV151" s="766"/>
      <c r="HW151" s="766"/>
      <c r="HX151" s="766"/>
      <c r="HY151" s="766"/>
      <c r="HZ151" s="766"/>
      <c r="IA151" s="766"/>
      <c r="IB151" s="766"/>
      <c r="IC151" s="766"/>
      <c r="ID151" s="766"/>
      <c r="IE151" s="766"/>
      <c r="IF151" s="766"/>
      <c r="IG151" s="766"/>
      <c r="IH151" s="766"/>
      <c r="II151" s="766"/>
      <c r="IJ151" s="766"/>
      <c r="IK151" s="766"/>
      <c r="IL151" s="766"/>
      <c r="IM151" s="766"/>
      <c r="IN151" s="766"/>
      <c r="IO151" s="24"/>
      <c r="IP151" s="766"/>
      <c r="IQ151" s="766"/>
      <c r="IR151" s="766"/>
      <c r="IS151" s="766"/>
      <c r="IT151" s="766"/>
      <c r="IU151" s="766"/>
      <c r="IV151" s="766"/>
      <c r="IW151" s="766"/>
      <c r="IX151" s="766"/>
      <c r="IY151" s="766"/>
      <c r="IZ151" s="766"/>
      <c r="JA151" s="766"/>
      <c r="JB151" s="766"/>
      <c r="JC151" s="766"/>
      <c r="JD151" s="775"/>
      <c r="JE151" s="766"/>
      <c r="JF151" s="766"/>
      <c r="JG151" s="766"/>
      <c r="JH151" s="766"/>
      <c r="JI151" s="766"/>
      <c r="JJ151" s="766">
        <v>3</v>
      </c>
      <c r="JK151" s="766" t="s">
        <v>12344</v>
      </c>
      <c r="JL151" s="766">
        <v>1</v>
      </c>
      <c r="JM151" s="766"/>
      <c r="JN151" s="766">
        <v>1</v>
      </c>
      <c r="JO151" s="766">
        <v>1</v>
      </c>
      <c r="JP151" s="766"/>
      <c r="JQ151" s="766"/>
      <c r="JR151" s="766"/>
      <c r="JS151" s="766"/>
      <c r="JT151" s="766">
        <f>SUM(JP151,JN151,JL151,JR151)</f>
        <v>2</v>
      </c>
      <c r="JU151" s="766">
        <f>SUM(JQ151,JO151,JM151,JS151)</f>
        <v>1</v>
      </c>
      <c r="JV151" s="766"/>
      <c r="JW151" s="766"/>
      <c r="JX151" s="766"/>
      <c r="JY151" s="766"/>
      <c r="JZ151" s="766">
        <v>1</v>
      </c>
      <c r="KA151" s="766"/>
      <c r="KB151" s="766"/>
      <c r="KC151" s="766"/>
      <c r="KD151" s="766">
        <v>1</v>
      </c>
      <c r="KE151" s="766">
        <v>1</v>
      </c>
      <c r="KF151" s="766"/>
      <c r="KG151" s="766"/>
      <c r="KH151" s="766"/>
      <c r="KI151" s="766"/>
      <c r="KJ151" s="770">
        <f t="shared" si="38"/>
        <v>2</v>
      </c>
      <c r="KK151" s="770">
        <f t="shared" si="38"/>
        <v>1</v>
      </c>
      <c r="KL151" s="770"/>
      <c r="KM151" s="770"/>
      <c r="KN151" s="766" t="s">
        <v>707</v>
      </c>
      <c r="KO151" s="766"/>
      <c r="KP151" s="766"/>
      <c r="KQ151" s="766"/>
      <c r="KR151" s="766">
        <v>1</v>
      </c>
      <c r="KS151" s="766"/>
      <c r="KT151" s="766"/>
      <c r="KU151" s="766"/>
      <c r="KV151" s="766"/>
      <c r="KW151" s="766"/>
      <c r="KX151" s="766"/>
      <c r="KY151" s="766"/>
      <c r="KZ151" s="766">
        <v>1</v>
      </c>
      <c r="LA151" s="766">
        <v>1</v>
      </c>
      <c r="LB151" s="766"/>
      <c r="LC151" s="766"/>
      <c r="LD151" s="766"/>
      <c r="LE151" s="766"/>
      <c r="LF151" s="766"/>
      <c r="LG151" s="766"/>
      <c r="LH151" s="766"/>
      <c r="LI151" s="766"/>
      <c r="LJ151" s="766"/>
      <c r="LK151" s="766"/>
      <c r="LL151" s="766"/>
      <c r="LM151" s="766"/>
      <c r="LN151" s="766">
        <f t="shared" si="39"/>
        <v>2</v>
      </c>
      <c r="LO151" s="766">
        <f t="shared" si="39"/>
        <v>1</v>
      </c>
      <c r="LP151" s="766"/>
      <c r="LQ151" s="766"/>
      <c r="LR151" s="766"/>
      <c r="LS151" s="766"/>
      <c r="LT151" s="766"/>
      <c r="LU151" s="766"/>
      <c r="LV151" s="766"/>
      <c r="LW151" s="766"/>
      <c r="LX151" s="769"/>
      <c r="LY151" s="766" t="str">
        <f t="shared" si="36"/>
        <v/>
      </c>
      <c r="LZ151" s="66"/>
      <c r="MA151" s="766"/>
      <c r="MB151" s="766"/>
      <c r="MC151" s="1679">
        <f t="shared" si="24"/>
        <v>0</v>
      </c>
      <c r="MD151" s="66"/>
      <c r="ME151" s="66"/>
      <c r="MF151" s="66"/>
      <c r="MG151" s="1680">
        <f t="shared" si="34"/>
        <v>0</v>
      </c>
      <c r="MH151" s="766"/>
      <c r="MI151" s="775"/>
      <c r="MJ151" s="775"/>
      <c r="MK151" s="775"/>
      <c r="ML151" s="775"/>
      <c r="MM151" s="775"/>
      <c r="MN151" s="775"/>
      <c r="MO151" s="775"/>
      <c r="MP151" s="775"/>
      <c r="MQ151" s="775"/>
      <c r="MR151" s="775"/>
      <c r="MS151" s="775"/>
      <c r="MT151" s="775"/>
      <c r="MU151" s="775"/>
      <c r="MV151" s="775"/>
      <c r="MW151" s="775"/>
      <c r="MX151" s="775"/>
      <c r="MY151" s="1682">
        <f t="shared" si="35"/>
        <v>0</v>
      </c>
      <c r="MZ151" s="766"/>
      <c r="NA151" s="766"/>
      <c r="NB151" s="766"/>
      <c r="NC151" s="766"/>
      <c r="ND151" s="766"/>
      <c r="NE151" s="766"/>
      <c r="NF151" s="766"/>
      <c r="NG151" s="766"/>
      <c r="NH151" s="766"/>
      <c r="NI151" s="766"/>
      <c r="NJ151" s="766"/>
      <c r="NK151" s="766"/>
      <c r="NL151" s="766"/>
      <c r="NM151" s="766"/>
      <c r="NN151" s="766"/>
      <c r="NO151" s="766"/>
      <c r="NP151" s="766"/>
      <c r="NQ151" s="766"/>
      <c r="NR151" s="766"/>
      <c r="NS151" s="766"/>
      <c r="NT151" s="766"/>
      <c r="NU151" s="766"/>
      <c r="NV151" s="766"/>
      <c r="NW151" s="766"/>
      <c r="NX151" s="766"/>
      <c r="NY151" s="766"/>
      <c r="NZ151" s="766"/>
      <c r="OA151" s="766"/>
      <c r="OB151" s="766"/>
      <c r="OC151" s="766"/>
      <c r="OD151" s="766"/>
      <c r="OE151" s="766"/>
      <c r="OF151" s="766"/>
      <c r="OG151" s="766"/>
      <c r="OH151" s="766"/>
      <c r="OI151" s="766"/>
      <c r="OJ151" s="766"/>
      <c r="OK151" s="766"/>
      <c r="OL151" s="766"/>
      <c r="OM151" s="766"/>
      <c r="ON151" s="766"/>
      <c r="OO151" s="766"/>
      <c r="OP151" s="766"/>
      <c r="OQ151" s="766"/>
      <c r="OR151" s="766"/>
      <c r="OS151" s="766"/>
      <c r="OT151" s="766"/>
      <c r="OU151" s="766"/>
      <c r="OV151" s="766"/>
      <c r="OW151" s="766"/>
      <c r="OX151" s="766"/>
      <c r="OY151" s="766"/>
      <c r="OZ151" s="766"/>
      <c r="PA151" s="766"/>
      <c r="PB151" s="766"/>
      <c r="PC151" s="766"/>
      <c r="PD151" s="766"/>
      <c r="PE151" s="766"/>
      <c r="PF151" s="766"/>
      <c r="PG151" s="766"/>
      <c r="PH151" s="766"/>
      <c r="PI151" s="766"/>
      <c r="PJ151" s="766"/>
      <c r="PK151" s="766"/>
      <c r="PL151" s="766"/>
      <c r="PM151" s="766"/>
      <c r="PN151" s="766"/>
      <c r="PO151" s="766"/>
      <c r="PP151" s="766"/>
      <c r="PQ151" s="766"/>
      <c r="PR151" s="766"/>
      <c r="PS151" s="766"/>
      <c r="PT151" s="766"/>
      <c r="PU151" s="766"/>
      <c r="PV151" s="766"/>
      <c r="PW151" s="766"/>
      <c r="PX151" s="766"/>
      <c r="PY151" s="766"/>
      <c r="PZ151" s="766"/>
      <c r="QA151" s="766"/>
      <c r="QB151" s="766"/>
      <c r="QC151" s="766"/>
      <c r="QD151" s="766"/>
      <c r="QE151" s="766"/>
      <c r="QF151" s="766"/>
      <c r="QG151" s="766"/>
      <c r="QH151" s="766"/>
      <c r="QI151" s="766"/>
      <c r="QJ151" s="766"/>
      <c r="QK151" s="766"/>
      <c r="QL151" s="766"/>
      <c r="QM151" s="766"/>
      <c r="QN151" s="766"/>
      <c r="QO151" s="766"/>
      <c r="QP151" s="766"/>
      <c r="QQ151" s="766"/>
      <c r="QR151" s="766"/>
      <c r="QS151" s="766"/>
      <c r="QT151" s="766"/>
      <c r="QU151" s="766"/>
      <c r="QV151" s="766"/>
      <c r="QW151" s="766"/>
      <c r="QX151" s="766"/>
      <c r="QY151" s="766"/>
      <c r="QZ151" s="766"/>
      <c r="RA151" s="766"/>
      <c r="RB151" s="766"/>
      <c r="RC151" s="766"/>
      <c r="RD151" s="766"/>
      <c r="RE151" s="766"/>
      <c r="RF151" s="777"/>
      <c r="RG151" s="766"/>
      <c r="RH151" s="775"/>
      <c r="RI151" s="766"/>
      <c r="RJ151" s="766"/>
      <c r="RK151" s="766"/>
      <c r="RL151" s="1683"/>
      <c r="RM151" s="12"/>
      <c r="RN151" s="1711"/>
      <c r="RO151" s="171" t="s">
        <v>11838</v>
      </c>
      <c r="RP151" s="11"/>
      <c r="RQ151" s="11"/>
      <c r="RR151" s="17"/>
      <c r="RS151" s="766"/>
      <c r="RT151" s="11"/>
      <c r="RU151" s="11"/>
      <c r="RV151" s="766" t="s">
        <v>7419</v>
      </c>
      <c r="RW151" s="11" t="s">
        <v>12433</v>
      </c>
      <c r="RX151" s="11" t="s">
        <v>11838</v>
      </c>
      <c r="RY151" s="11"/>
      <c r="RZ151" s="11"/>
      <c r="SA151" s="766"/>
      <c r="SB151" s="11"/>
      <c r="SC151" s="11"/>
    </row>
    <row r="152" spans="1:497" ht="12.75" hidden="1" customHeight="1">
      <c r="A152" s="19" t="s">
        <v>14154</v>
      </c>
      <c r="B152" s="288" t="s">
        <v>12066</v>
      </c>
      <c r="C152" s="171" t="s">
        <v>11838</v>
      </c>
      <c r="D152" s="766" t="s">
        <v>12067</v>
      </c>
      <c r="E152" s="766" t="s">
        <v>12028</v>
      </c>
      <c r="F152" s="766" t="s">
        <v>28</v>
      </c>
      <c r="G152" s="766" t="s">
        <v>10</v>
      </c>
      <c r="H152" s="766"/>
      <c r="I152" s="5" t="s">
        <v>12068</v>
      </c>
      <c r="J152" s="766" t="s">
        <v>12067</v>
      </c>
      <c r="K152" s="766" t="s">
        <v>12069</v>
      </c>
      <c r="L152" s="766" t="s">
        <v>12070</v>
      </c>
      <c r="M152" s="766"/>
      <c r="N152" s="766"/>
      <c r="O152" s="766"/>
      <c r="P152" s="766" t="s">
        <v>12067</v>
      </c>
      <c r="Q152" s="766" t="s">
        <v>12071</v>
      </c>
      <c r="R152" s="25">
        <v>40</v>
      </c>
      <c r="S152" s="766" t="s">
        <v>10</v>
      </c>
      <c r="T152" s="766"/>
      <c r="U152" s="5" t="s">
        <v>12068</v>
      </c>
      <c r="V152" s="766" t="s">
        <v>707</v>
      </c>
      <c r="W152" s="766" t="s">
        <v>12072</v>
      </c>
      <c r="X152" s="24"/>
      <c r="Y152" s="766" t="s">
        <v>12028</v>
      </c>
      <c r="Z152" s="766" t="s">
        <v>708</v>
      </c>
      <c r="AA152" s="766" t="s">
        <v>748</v>
      </c>
      <c r="AB152" s="766" t="s">
        <v>12065</v>
      </c>
      <c r="AC152" s="766" t="s">
        <v>12058</v>
      </c>
      <c r="AD152" s="766"/>
      <c r="AE152" s="766"/>
      <c r="AF152" s="766"/>
      <c r="AG152" s="766"/>
      <c r="AH152" s="766"/>
      <c r="AI152" s="766"/>
      <c r="AJ152" s="766"/>
      <c r="AK152" s="766" t="s">
        <v>12178</v>
      </c>
      <c r="AL152" s="121"/>
      <c r="AM152" s="772"/>
      <c r="AN152" s="774"/>
      <c r="AO152" s="766"/>
      <c r="AP152" s="766"/>
      <c r="AQ152" s="766"/>
      <c r="AR152" s="766"/>
      <c r="AS152" s="766"/>
      <c r="AT152" s="766"/>
      <c r="AU152" s="766"/>
      <c r="AV152" s="766"/>
      <c r="AW152" s="766"/>
      <c r="AX152" s="766"/>
      <c r="AY152" s="766"/>
      <c r="AZ152" s="766"/>
      <c r="BA152" s="766"/>
      <c r="BB152" s="766"/>
      <c r="BC152" s="766"/>
      <c r="BD152" s="766"/>
      <c r="BE152" s="766"/>
      <c r="BF152" s="775"/>
      <c r="BG152" s="775"/>
      <c r="BH152" s="766"/>
      <c r="BI152" s="766"/>
      <c r="BJ152" s="766"/>
      <c r="BK152" s="766"/>
      <c r="BL152" s="766"/>
      <c r="BM152" s="766" t="s">
        <v>1238</v>
      </c>
      <c r="BN152" s="766" t="s">
        <v>1256</v>
      </c>
      <c r="BO152" s="766"/>
      <c r="BP152" s="776"/>
      <c r="BQ152" s="772"/>
      <c r="BR152" s="774"/>
      <c r="BS152" s="6" t="s">
        <v>1149</v>
      </c>
      <c r="BT152" s="766"/>
      <c r="BU152" s="766"/>
      <c r="BV152" s="766"/>
      <c r="BW152" s="766"/>
      <c r="BX152" s="779"/>
      <c r="BY152" s="766"/>
      <c r="BZ152" s="775"/>
      <c r="CA152" s="766"/>
      <c r="CB152" s="766"/>
      <c r="CC152" s="766"/>
      <c r="CD152" s="766"/>
      <c r="CE152" s="766"/>
      <c r="CF152" s="777"/>
      <c r="CG152" s="778"/>
      <c r="CH152" s="766"/>
      <c r="CI152" s="766"/>
      <c r="CJ152" s="766"/>
      <c r="CK152" s="766"/>
      <c r="CL152" s="766"/>
      <c r="CM152" s="766"/>
      <c r="CN152" s="766"/>
      <c r="CO152" s="766"/>
      <c r="CP152" s="766"/>
      <c r="CQ152" s="766"/>
      <c r="CR152" s="775"/>
      <c r="CS152" s="766"/>
      <c r="CT152" s="766"/>
      <c r="CU152" s="129"/>
      <c r="CV152" s="766"/>
      <c r="CW152" s="766"/>
      <c r="CX152" s="766"/>
      <c r="CY152" s="766"/>
      <c r="CZ152" s="766"/>
      <c r="DA152" s="766"/>
      <c r="DB152" s="766"/>
      <c r="DC152" s="766"/>
      <c r="DD152" s="766"/>
      <c r="DE152" s="766"/>
      <c r="DF152" s="766"/>
      <c r="DG152" s="766"/>
      <c r="DH152" s="766"/>
      <c r="DI152" s="766"/>
      <c r="DJ152" s="766"/>
      <c r="DK152" s="766"/>
      <c r="DL152" s="766"/>
      <c r="DM152" s="766"/>
      <c r="DN152" s="766"/>
      <c r="DO152" s="766"/>
      <c r="DP152" s="766"/>
      <c r="DQ152" s="766"/>
      <c r="DR152" s="766"/>
      <c r="DS152" s="59"/>
      <c r="DT152" s="766"/>
      <c r="DU152" s="766"/>
      <c r="DV152" s="766"/>
      <c r="DW152" s="66"/>
      <c r="DX152" s="66"/>
      <c r="DY152" s="766"/>
      <c r="DZ152" s="766"/>
      <c r="EA152" s="766"/>
      <c r="EB152" s="766"/>
      <c r="EC152" s="766"/>
      <c r="ED152" s="766"/>
      <c r="EE152" s="766"/>
      <c r="EF152" s="766"/>
      <c r="EG152" s="766"/>
      <c r="EH152" s="766"/>
      <c r="EI152" s="766"/>
      <c r="EJ152" s="766"/>
      <c r="EK152" s="766"/>
      <c r="EL152" s="766"/>
      <c r="EM152" s="766"/>
      <c r="EN152" s="766"/>
      <c r="EO152" s="766"/>
      <c r="EP152" s="766"/>
      <c r="EQ152" s="766"/>
      <c r="ER152" s="766"/>
      <c r="ES152" s="766"/>
      <c r="ET152" s="766"/>
      <c r="EU152" s="766"/>
      <c r="EV152" s="766"/>
      <c r="EW152" s="766"/>
      <c r="EX152" s="766"/>
      <c r="EY152" s="766"/>
      <c r="EZ152" s="766"/>
      <c r="FA152" s="766"/>
      <c r="FB152" s="766"/>
      <c r="FC152" s="766"/>
      <c r="FD152" s="775"/>
      <c r="FE152" s="766"/>
      <c r="FF152" s="766"/>
      <c r="FG152" s="770"/>
      <c r="FH152" s="766" t="s">
        <v>1306</v>
      </c>
      <c r="FI152" s="766">
        <v>1</v>
      </c>
      <c r="FJ152" s="766" t="s">
        <v>12060</v>
      </c>
      <c r="FK152" s="766"/>
      <c r="FL152" s="766"/>
      <c r="FM152" s="147">
        <v>3500</v>
      </c>
      <c r="FN152" s="775">
        <v>400</v>
      </c>
      <c r="FO152" s="775">
        <v>1200</v>
      </c>
      <c r="FP152" s="766" t="s">
        <v>12155</v>
      </c>
      <c r="FQ152" s="766" t="s">
        <v>1660</v>
      </c>
      <c r="FR152" s="766"/>
      <c r="FS152" s="766"/>
      <c r="FT152" s="766"/>
      <c r="FU152" s="766"/>
      <c r="FV152" s="766"/>
      <c r="FW152" s="766"/>
      <c r="FX152" s="766"/>
      <c r="FY152" s="766"/>
      <c r="FZ152" s="766"/>
      <c r="GA152" s="766"/>
      <c r="GB152" s="766"/>
      <c r="GC152" s="75"/>
      <c r="GD152" s="25"/>
      <c r="GE152" s="766"/>
      <c r="GF152" s="775"/>
      <c r="GG152" s="775"/>
      <c r="GH152" s="766"/>
      <c r="GI152" s="766"/>
      <c r="GJ152" s="766"/>
      <c r="GK152" s="766"/>
      <c r="GL152" s="766"/>
      <c r="GM152" s="766"/>
      <c r="GN152" s="82"/>
      <c r="GO152" s="766"/>
      <c r="GP152" s="766"/>
      <c r="GQ152" s="766"/>
      <c r="GR152" s="766"/>
      <c r="GS152" s="766"/>
      <c r="GT152" s="766"/>
      <c r="GU152" s="766"/>
      <c r="GV152" s="766"/>
      <c r="GW152" s="766"/>
      <c r="GX152" s="766"/>
      <c r="GY152" s="766"/>
      <c r="GZ152" s="766"/>
      <c r="HA152" s="766"/>
      <c r="HB152" s="766"/>
      <c r="HC152" s="766"/>
      <c r="HD152" s="766"/>
      <c r="HE152" s="766"/>
      <c r="HF152" s="766"/>
      <c r="HG152" s="766"/>
      <c r="HH152" s="766"/>
      <c r="HI152" s="766"/>
      <c r="HJ152" s="766"/>
      <c r="HK152" s="766"/>
      <c r="HL152" s="766"/>
      <c r="HM152" s="766"/>
      <c r="HN152" s="766"/>
      <c r="HO152" s="766"/>
      <c r="HP152" s="766"/>
      <c r="HQ152" s="766"/>
      <c r="HR152" s="766"/>
      <c r="HS152" s="766"/>
      <c r="HT152" s="766"/>
      <c r="HU152" s="766"/>
      <c r="HV152" s="766"/>
      <c r="HW152" s="766"/>
      <c r="HX152" s="766"/>
      <c r="HY152" s="766"/>
      <c r="HZ152" s="766"/>
      <c r="IA152" s="766"/>
      <c r="IB152" s="766"/>
      <c r="IC152" s="766"/>
      <c r="ID152" s="766"/>
      <c r="IE152" s="766"/>
      <c r="IF152" s="766"/>
      <c r="IG152" s="766"/>
      <c r="IH152" s="766"/>
      <c r="II152" s="766"/>
      <c r="IJ152" s="766"/>
      <c r="IK152" s="766"/>
      <c r="IL152" s="766"/>
      <c r="IM152" s="766"/>
      <c r="IN152" s="766"/>
      <c r="IO152" s="24"/>
      <c r="IP152" s="766"/>
      <c r="IQ152" s="766"/>
      <c r="IR152" s="766"/>
      <c r="IS152" s="766"/>
      <c r="IT152" s="766"/>
      <c r="IU152" s="766"/>
      <c r="IV152" s="766"/>
      <c r="IW152" s="766"/>
      <c r="IX152" s="766"/>
      <c r="IY152" s="766"/>
      <c r="IZ152" s="766"/>
      <c r="JA152" s="766"/>
      <c r="JB152" s="766"/>
      <c r="JC152" s="766"/>
      <c r="JD152" s="775"/>
      <c r="JE152" s="766"/>
      <c r="JF152" s="766"/>
      <c r="JG152" s="766"/>
      <c r="JH152" s="766"/>
      <c r="JI152" s="766"/>
      <c r="JJ152" s="766"/>
      <c r="JK152" s="766"/>
      <c r="JL152" s="766"/>
      <c r="JM152" s="766"/>
      <c r="JN152" s="766"/>
      <c r="JO152" s="766"/>
      <c r="JP152" s="766"/>
      <c r="JQ152" s="766"/>
      <c r="JR152" s="766"/>
      <c r="JS152" s="766"/>
      <c r="JT152" s="766"/>
      <c r="JU152" s="766"/>
      <c r="JV152" s="766"/>
      <c r="JW152" s="766"/>
      <c r="JX152" s="766"/>
      <c r="JY152" s="766"/>
      <c r="JZ152" s="766"/>
      <c r="KA152" s="766"/>
      <c r="KB152" s="766"/>
      <c r="KC152" s="766"/>
      <c r="KD152" s="766"/>
      <c r="KE152" s="766"/>
      <c r="KF152" s="766"/>
      <c r="KG152" s="766"/>
      <c r="KH152" s="766"/>
      <c r="KI152" s="766"/>
      <c r="KJ152" s="770"/>
      <c r="KK152" s="770"/>
      <c r="KL152" s="770"/>
      <c r="KM152" s="770"/>
      <c r="KN152" s="766"/>
      <c r="KO152" s="766"/>
      <c r="KP152" s="766"/>
      <c r="KQ152" s="766"/>
      <c r="KR152" s="766"/>
      <c r="KS152" s="766"/>
      <c r="KT152" s="766"/>
      <c r="KU152" s="766"/>
      <c r="KV152" s="766"/>
      <c r="KW152" s="766"/>
      <c r="KX152" s="766"/>
      <c r="KY152" s="766"/>
      <c r="KZ152" s="766"/>
      <c r="LA152" s="766"/>
      <c r="LB152" s="766"/>
      <c r="LC152" s="766"/>
      <c r="LD152" s="766"/>
      <c r="LE152" s="766"/>
      <c r="LF152" s="766"/>
      <c r="LG152" s="766"/>
      <c r="LH152" s="766"/>
      <c r="LI152" s="766"/>
      <c r="LJ152" s="766"/>
      <c r="LK152" s="766"/>
      <c r="LL152" s="766"/>
      <c r="LM152" s="766"/>
      <c r="LN152" s="766"/>
      <c r="LO152" s="766"/>
      <c r="LP152" s="766"/>
      <c r="LQ152" s="766"/>
      <c r="LR152" s="766"/>
      <c r="LS152" s="766"/>
      <c r="LT152" s="766"/>
      <c r="LU152" s="766"/>
      <c r="LV152" s="766"/>
      <c r="LW152" s="766"/>
      <c r="LX152" s="769"/>
      <c r="LY152" s="766" t="str">
        <f t="shared" si="36"/>
        <v/>
      </c>
      <c r="LZ152" s="66"/>
      <c r="MA152" s="766"/>
      <c r="MB152" s="766"/>
      <c r="MC152" s="1679">
        <f t="shared" si="24"/>
        <v>0</v>
      </c>
      <c r="MD152" s="66"/>
      <c r="ME152" s="66"/>
      <c r="MF152" s="66"/>
      <c r="MG152" s="1680">
        <f t="shared" si="34"/>
        <v>0</v>
      </c>
      <c r="MH152" s="766"/>
      <c r="MI152" s="775"/>
      <c r="MJ152" s="775"/>
      <c r="MK152" s="775"/>
      <c r="ML152" s="775"/>
      <c r="MM152" s="775"/>
      <c r="MN152" s="775"/>
      <c r="MO152" s="775"/>
      <c r="MP152" s="775"/>
      <c r="MQ152" s="775"/>
      <c r="MR152" s="775"/>
      <c r="MS152" s="775"/>
      <c r="MT152" s="775"/>
      <c r="MU152" s="775"/>
      <c r="MV152" s="775"/>
      <c r="MW152" s="775"/>
      <c r="MX152" s="775"/>
      <c r="MY152" s="1682">
        <f t="shared" si="35"/>
        <v>0</v>
      </c>
      <c r="MZ152" s="766"/>
      <c r="NA152" s="766"/>
      <c r="NB152" s="766"/>
      <c r="NC152" s="766"/>
      <c r="ND152" s="766"/>
      <c r="NE152" s="766"/>
      <c r="NF152" s="766"/>
      <c r="NG152" s="766"/>
      <c r="NH152" s="766"/>
      <c r="NI152" s="766"/>
      <c r="NJ152" s="766"/>
      <c r="NK152" s="766"/>
      <c r="NL152" s="766"/>
      <c r="NM152" s="766"/>
      <c r="NN152" s="766"/>
      <c r="NO152" s="766"/>
      <c r="NP152" s="766"/>
      <c r="NQ152" s="766"/>
      <c r="NR152" s="766"/>
      <c r="NS152" s="766"/>
      <c r="NT152" s="766"/>
      <c r="NU152" s="766"/>
      <c r="NV152" s="766"/>
      <c r="NW152" s="766"/>
      <c r="NX152" s="766"/>
      <c r="NY152" s="766"/>
      <c r="NZ152" s="766"/>
      <c r="OA152" s="766"/>
      <c r="OB152" s="766"/>
      <c r="OC152" s="766"/>
      <c r="OD152" s="766"/>
      <c r="OE152" s="766"/>
      <c r="OF152" s="766"/>
      <c r="OG152" s="766"/>
      <c r="OH152" s="766"/>
      <c r="OI152" s="766"/>
      <c r="OJ152" s="766"/>
      <c r="OK152" s="766"/>
      <c r="OL152" s="766"/>
      <c r="OM152" s="766"/>
      <c r="ON152" s="766"/>
      <c r="OO152" s="766"/>
      <c r="OP152" s="766"/>
      <c r="OQ152" s="766"/>
      <c r="OR152" s="766"/>
      <c r="OS152" s="766"/>
      <c r="OT152" s="766"/>
      <c r="OU152" s="766"/>
      <c r="OV152" s="766"/>
      <c r="OW152" s="766"/>
      <c r="OX152" s="766"/>
      <c r="OY152" s="766"/>
      <c r="OZ152" s="766"/>
      <c r="PA152" s="766"/>
      <c r="PB152" s="766"/>
      <c r="PC152" s="766"/>
      <c r="PD152" s="766"/>
      <c r="PE152" s="766"/>
      <c r="PF152" s="766"/>
      <c r="PG152" s="766"/>
      <c r="PH152" s="766"/>
      <c r="PI152" s="766"/>
      <c r="PJ152" s="766"/>
      <c r="PK152" s="766"/>
      <c r="PL152" s="766"/>
      <c r="PM152" s="766"/>
      <c r="PN152" s="766"/>
      <c r="PO152" s="766"/>
      <c r="PP152" s="766"/>
      <c r="PQ152" s="766"/>
      <c r="PR152" s="766"/>
      <c r="PS152" s="766"/>
      <c r="PT152" s="766"/>
      <c r="PU152" s="766"/>
      <c r="PV152" s="766"/>
      <c r="PW152" s="766"/>
      <c r="PX152" s="766"/>
      <c r="PY152" s="766"/>
      <c r="PZ152" s="766"/>
      <c r="QA152" s="766"/>
      <c r="QB152" s="766"/>
      <c r="QC152" s="766"/>
      <c r="QD152" s="766"/>
      <c r="QE152" s="766"/>
      <c r="QF152" s="766"/>
      <c r="QG152" s="766"/>
      <c r="QH152" s="766"/>
      <c r="QI152" s="766"/>
      <c r="QJ152" s="766"/>
      <c r="QK152" s="766"/>
      <c r="QL152" s="766"/>
      <c r="QM152" s="766"/>
      <c r="QN152" s="766"/>
      <c r="QO152" s="766"/>
      <c r="QP152" s="766"/>
      <c r="QQ152" s="766"/>
      <c r="QR152" s="766"/>
      <c r="QS152" s="766"/>
      <c r="QT152" s="766"/>
      <c r="QU152" s="766"/>
      <c r="QV152" s="766"/>
      <c r="QW152" s="766"/>
      <c r="QX152" s="766"/>
      <c r="QY152" s="766"/>
      <c r="QZ152" s="766"/>
      <c r="RA152" s="766"/>
      <c r="RB152" s="766"/>
      <c r="RC152" s="766"/>
      <c r="RD152" s="766"/>
      <c r="RE152" s="766"/>
      <c r="RF152" s="777"/>
      <c r="RG152" s="766"/>
      <c r="RH152" s="775"/>
      <c r="RI152" s="766"/>
      <c r="RJ152" s="766"/>
      <c r="RK152" s="766"/>
      <c r="RL152" s="1683"/>
      <c r="RM152" s="12"/>
      <c r="RN152" s="1711"/>
      <c r="RO152" s="171" t="s">
        <v>11838</v>
      </c>
      <c r="RP152" s="11"/>
      <c r="RQ152" s="11"/>
      <c r="RR152" s="17"/>
      <c r="RS152" s="766"/>
      <c r="RT152" s="11"/>
      <c r="RU152" s="11"/>
      <c r="RV152" s="766" t="s">
        <v>12437</v>
      </c>
      <c r="RW152" s="11" t="s">
        <v>12050</v>
      </c>
      <c r="RX152" s="11" t="s">
        <v>11838</v>
      </c>
      <c r="RY152" s="11"/>
      <c r="RZ152" s="11"/>
      <c r="SA152" s="766"/>
      <c r="SB152" s="11"/>
      <c r="SC152" s="11"/>
    </row>
    <row r="153" spans="1:497" ht="12.75" hidden="1" customHeight="1">
      <c r="A153" s="343" t="s">
        <v>5357</v>
      </c>
      <c r="B153" s="288" t="s">
        <v>12157</v>
      </c>
      <c r="C153" s="171" t="s">
        <v>11853</v>
      </c>
      <c r="D153" s="766" t="s">
        <v>12148</v>
      </c>
      <c r="E153" s="766" t="s">
        <v>12011</v>
      </c>
      <c r="F153" s="766"/>
      <c r="G153" s="766"/>
      <c r="H153" s="766"/>
      <c r="I153" s="5"/>
      <c r="J153" s="766"/>
      <c r="K153" s="766" t="s">
        <v>12171</v>
      </c>
      <c r="L153" s="766" t="s">
        <v>12064</v>
      </c>
      <c r="M153" s="766"/>
      <c r="N153" s="766" t="s">
        <v>12014</v>
      </c>
      <c r="O153" s="766" t="s">
        <v>12038</v>
      </c>
      <c r="P153" s="766"/>
      <c r="Q153" s="1085"/>
      <c r="R153" s="25"/>
      <c r="S153" s="766"/>
      <c r="T153" s="766"/>
      <c r="U153" s="5"/>
      <c r="V153" s="766"/>
      <c r="W153" s="766"/>
      <c r="X153" s="24"/>
      <c r="Y153" s="766"/>
      <c r="Z153" s="766"/>
      <c r="AA153" s="766"/>
      <c r="AB153" s="766"/>
      <c r="AC153" s="766"/>
      <c r="AD153" s="766"/>
      <c r="AE153" s="766"/>
      <c r="AF153" s="766"/>
      <c r="AG153" s="766" t="s">
        <v>1095</v>
      </c>
      <c r="AH153" s="766" t="s">
        <v>1096</v>
      </c>
      <c r="AI153" s="766" t="s">
        <v>12082</v>
      </c>
      <c r="AJ153" s="766"/>
      <c r="AK153" s="766" t="s">
        <v>1097</v>
      </c>
      <c r="AL153" s="121">
        <v>117.66500000000001</v>
      </c>
      <c r="AM153" s="772">
        <v>45.83</v>
      </c>
      <c r="AN153" s="774">
        <f>AM153/AL153</f>
        <v>0.38949560192070704</v>
      </c>
      <c r="AO153" s="766" t="s">
        <v>11358</v>
      </c>
      <c r="AP153" s="766"/>
      <c r="AQ153" s="766"/>
      <c r="AR153" s="766"/>
      <c r="AS153" s="766"/>
      <c r="AT153" s="766"/>
      <c r="AU153" s="766"/>
      <c r="AV153" s="766"/>
      <c r="AW153" s="766"/>
      <c r="AX153" s="766"/>
      <c r="AY153" s="766"/>
      <c r="AZ153" s="766"/>
      <c r="BA153" s="766"/>
      <c r="BB153" s="766"/>
      <c r="BC153" s="766"/>
      <c r="BD153" s="766"/>
      <c r="BE153" s="766"/>
      <c r="BF153" s="775"/>
      <c r="BG153" s="775"/>
      <c r="BH153" s="766"/>
      <c r="BI153" s="766"/>
      <c r="BJ153" s="766"/>
      <c r="BK153" s="766" t="s">
        <v>1095</v>
      </c>
      <c r="BL153" s="766" t="s">
        <v>12082</v>
      </c>
      <c r="BM153" s="766" t="s">
        <v>1096</v>
      </c>
      <c r="BN153" s="766" t="s">
        <v>1230</v>
      </c>
      <c r="BO153" s="766" t="s">
        <v>1252</v>
      </c>
      <c r="BP153" s="776">
        <v>235.33</v>
      </c>
      <c r="BQ153" s="772">
        <v>91.665000000000006</v>
      </c>
      <c r="BR153" s="774">
        <f>BQ153/BP153</f>
        <v>0.38951684868057623</v>
      </c>
      <c r="BS153" s="6" t="s">
        <v>1149</v>
      </c>
      <c r="BT153" s="766" t="s">
        <v>1240</v>
      </c>
      <c r="BU153" s="766" t="s">
        <v>1249</v>
      </c>
      <c r="BV153" s="766" t="s">
        <v>1247</v>
      </c>
      <c r="BW153" s="766"/>
      <c r="BX153" s="779"/>
      <c r="BY153" s="766"/>
      <c r="BZ153" s="775"/>
      <c r="CA153" s="766"/>
      <c r="CB153" s="766"/>
      <c r="CC153" s="766"/>
      <c r="CD153" s="766"/>
      <c r="CE153" s="766"/>
      <c r="CF153" s="777"/>
      <c r="CG153" s="778"/>
      <c r="CH153" s="766"/>
      <c r="CI153" s="766"/>
      <c r="CJ153" s="766"/>
      <c r="CK153" s="766"/>
      <c r="CL153" s="766"/>
      <c r="CM153" s="766"/>
      <c r="CN153" s="766"/>
      <c r="CO153" s="766"/>
      <c r="CP153" s="766"/>
      <c r="CQ153" s="766"/>
      <c r="CR153" s="775"/>
      <c r="CS153" s="766"/>
      <c r="CT153" s="766"/>
      <c r="CU153" s="129"/>
      <c r="CV153" s="766"/>
      <c r="CW153" s="766"/>
      <c r="CX153" s="766"/>
      <c r="CY153" s="766"/>
      <c r="CZ153" s="766"/>
      <c r="DA153" s="766"/>
      <c r="DB153" s="766"/>
      <c r="DC153" s="766"/>
      <c r="DD153" s="766"/>
      <c r="DE153" s="766"/>
      <c r="DF153" s="766"/>
      <c r="DG153" s="766"/>
      <c r="DH153" s="766"/>
      <c r="DI153" s="766"/>
      <c r="DJ153" s="766"/>
      <c r="DK153" s="766"/>
      <c r="DL153" s="766"/>
      <c r="DM153" s="766"/>
      <c r="DN153" s="766"/>
      <c r="DO153" s="766"/>
      <c r="DP153" s="766"/>
      <c r="DQ153" s="766"/>
      <c r="DR153" s="766"/>
      <c r="DS153" s="59"/>
      <c r="DT153" s="766"/>
      <c r="DU153" s="766"/>
      <c r="DV153" s="766"/>
      <c r="DW153" s="66"/>
      <c r="DX153" s="66"/>
      <c r="DY153" s="766"/>
      <c r="DZ153" s="766"/>
      <c r="EA153" s="766"/>
      <c r="EB153" s="766"/>
      <c r="EC153" s="766"/>
      <c r="ED153" s="766"/>
      <c r="EE153" s="766"/>
      <c r="EF153" s="766"/>
      <c r="EG153" s="766"/>
      <c r="EH153" s="766"/>
      <c r="EI153" s="766"/>
      <c r="EJ153" s="766"/>
      <c r="EK153" s="766"/>
      <c r="EL153" s="766"/>
      <c r="EM153" s="766"/>
      <c r="EN153" s="766"/>
      <c r="EO153" s="766"/>
      <c r="EP153" s="766"/>
      <c r="EQ153" s="766"/>
      <c r="ER153" s="766"/>
      <c r="ES153" s="766"/>
      <c r="ET153" s="766"/>
      <c r="EU153" s="766"/>
      <c r="EV153" s="766"/>
      <c r="EW153" s="766"/>
      <c r="EX153" s="766"/>
      <c r="EY153" s="766"/>
      <c r="EZ153" s="766"/>
      <c r="FA153" s="766"/>
      <c r="FB153" s="766"/>
      <c r="FC153" s="766"/>
      <c r="FD153" s="775"/>
      <c r="FE153" s="766"/>
      <c r="FF153" s="766"/>
      <c r="FG153" s="770"/>
      <c r="FH153" s="766" t="s">
        <v>478</v>
      </c>
      <c r="FI153" s="766">
        <v>5</v>
      </c>
      <c r="FJ153" s="766"/>
      <c r="FK153" s="766"/>
      <c r="FL153" s="766"/>
      <c r="FM153" s="775"/>
      <c r="FN153" s="775"/>
      <c r="FO153" s="775"/>
      <c r="FP153" s="766" t="s">
        <v>12155</v>
      </c>
      <c r="FQ153" s="766" t="s">
        <v>1660</v>
      </c>
      <c r="FR153" s="766"/>
      <c r="FS153" s="766"/>
      <c r="FT153" s="766"/>
      <c r="FU153" s="766"/>
      <c r="FV153" s="766"/>
      <c r="FW153" s="766"/>
      <c r="FX153" s="766"/>
      <c r="FY153" s="766"/>
      <c r="FZ153" s="766"/>
      <c r="GA153" s="766"/>
      <c r="GB153" s="766"/>
      <c r="GC153" s="75"/>
      <c r="GD153" s="25"/>
      <c r="GE153" s="766"/>
      <c r="GF153" s="775"/>
      <c r="GG153" s="775"/>
      <c r="GH153" s="766"/>
      <c r="GI153" s="766"/>
      <c r="GJ153" s="766"/>
      <c r="GK153" s="766"/>
      <c r="GL153" s="766"/>
      <c r="GM153" s="766"/>
      <c r="GN153" s="82"/>
      <c r="GO153" s="766"/>
      <c r="GP153" s="766"/>
      <c r="GQ153" s="766"/>
      <c r="GR153" s="766"/>
      <c r="GS153" s="766"/>
      <c r="GT153" s="766"/>
      <c r="GU153" s="766"/>
      <c r="GV153" s="766"/>
      <c r="GW153" s="766"/>
      <c r="GX153" s="766"/>
      <c r="GY153" s="766"/>
      <c r="GZ153" s="766"/>
      <c r="HA153" s="766"/>
      <c r="HB153" s="766"/>
      <c r="HC153" s="766"/>
      <c r="HD153" s="766"/>
      <c r="HE153" s="766"/>
      <c r="HF153" s="766"/>
      <c r="HG153" s="766"/>
      <c r="HH153" s="766"/>
      <c r="HI153" s="766"/>
      <c r="HJ153" s="766"/>
      <c r="HK153" s="766"/>
      <c r="HL153" s="766"/>
      <c r="HM153" s="766"/>
      <c r="HN153" s="766"/>
      <c r="HO153" s="766"/>
      <c r="HP153" s="766"/>
      <c r="HQ153" s="766"/>
      <c r="HR153" s="766"/>
      <c r="HS153" s="766"/>
      <c r="HT153" s="766"/>
      <c r="HU153" s="766"/>
      <c r="HV153" s="766"/>
      <c r="HW153" s="766"/>
      <c r="HX153" s="766"/>
      <c r="HY153" s="766"/>
      <c r="HZ153" s="766"/>
      <c r="IA153" s="766"/>
      <c r="IB153" s="766"/>
      <c r="IC153" s="766"/>
      <c r="ID153" s="766"/>
      <c r="IE153" s="766"/>
      <c r="IF153" s="766"/>
      <c r="IG153" s="766"/>
      <c r="IH153" s="766"/>
      <c r="II153" s="766"/>
      <c r="IJ153" s="766"/>
      <c r="IK153" s="766"/>
      <c r="IL153" s="766"/>
      <c r="IM153" s="766"/>
      <c r="IN153" s="766"/>
      <c r="IO153" s="24"/>
      <c r="IP153" s="766"/>
      <c r="IQ153" s="766"/>
      <c r="IR153" s="766"/>
      <c r="IS153" s="766"/>
      <c r="IT153" s="766"/>
      <c r="IU153" s="766"/>
      <c r="IV153" s="766"/>
      <c r="IW153" s="766"/>
      <c r="IX153" s="766"/>
      <c r="IY153" s="766"/>
      <c r="IZ153" s="766"/>
      <c r="JA153" s="766"/>
      <c r="JB153" s="766"/>
      <c r="JC153" s="766"/>
      <c r="JD153" s="775"/>
      <c r="JE153" s="766"/>
      <c r="JF153" s="766"/>
      <c r="JG153" s="766"/>
      <c r="JH153" s="766"/>
      <c r="JI153" s="766"/>
      <c r="JJ153" s="766"/>
      <c r="JK153" s="766"/>
      <c r="JL153" s="766"/>
      <c r="JM153" s="766"/>
      <c r="JN153" s="766"/>
      <c r="JO153" s="766"/>
      <c r="JP153" s="766"/>
      <c r="JQ153" s="766"/>
      <c r="JR153" s="766"/>
      <c r="JS153" s="766"/>
      <c r="JT153" s="766"/>
      <c r="JU153" s="766"/>
      <c r="JV153" s="766"/>
      <c r="JW153" s="766"/>
      <c r="JX153" s="766"/>
      <c r="JY153" s="766"/>
      <c r="JZ153" s="766"/>
      <c r="KA153" s="766"/>
      <c r="KB153" s="766"/>
      <c r="KC153" s="766"/>
      <c r="KD153" s="766"/>
      <c r="KE153" s="766"/>
      <c r="KF153" s="766"/>
      <c r="KG153" s="766"/>
      <c r="KH153" s="766"/>
      <c r="KI153" s="766"/>
      <c r="KJ153" s="770"/>
      <c r="KK153" s="770"/>
      <c r="KL153" s="770"/>
      <c r="KM153" s="770"/>
      <c r="KN153" s="766"/>
      <c r="KO153" s="766"/>
      <c r="KP153" s="766"/>
      <c r="KQ153" s="766"/>
      <c r="KR153" s="766"/>
      <c r="KS153" s="766"/>
      <c r="KT153" s="766"/>
      <c r="KU153" s="766"/>
      <c r="KV153" s="766"/>
      <c r="KW153" s="766"/>
      <c r="KX153" s="766"/>
      <c r="KY153" s="766"/>
      <c r="KZ153" s="766"/>
      <c r="LA153" s="766"/>
      <c r="LB153" s="766"/>
      <c r="LC153" s="766"/>
      <c r="LD153" s="766"/>
      <c r="LE153" s="766"/>
      <c r="LF153" s="766"/>
      <c r="LG153" s="766"/>
      <c r="LH153" s="766"/>
      <c r="LI153" s="766"/>
      <c r="LJ153" s="766"/>
      <c r="LK153" s="766"/>
      <c r="LL153" s="766"/>
      <c r="LM153" s="766"/>
      <c r="LN153" s="766"/>
      <c r="LO153" s="766"/>
      <c r="LP153" s="766"/>
      <c r="LQ153" s="766"/>
      <c r="LR153" s="766"/>
      <c r="LS153" s="766"/>
      <c r="LT153" s="766"/>
      <c r="LU153" s="766"/>
      <c r="LV153" s="766"/>
      <c r="LW153" s="766"/>
      <c r="LX153" s="769"/>
      <c r="LY153" s="766" t="str">
        <f t="shared" si="36"/>
        <v/>
      </c>
      <c r="LZ153" s="66"/>
      <c r="MA153" s="766"/>
      <c r="MB153" s="766"/>
      <c r="MC153" s="1679">
        <f t="shared" si="24"/>
        <v>0</v>
      </c>
      <c r="MD153" s="66"/>
      <c r="ME153" s="66"/>
      <c r="MF153" s="66"/>
      <c r="MG153" s="1680">
        <f t="shared" si="34"/>
        <v>0</v>
      </c>
      <c r="MH153" s="766"/>
      <c r="MI153" s="775"/>
      <c r="MJ153" s="775"/>
      <c r="MK153" s="775"/>
      <c r="ML153" s="775"/>
      <c r="MM153" s="775"/>
      <c r="MN153" s="775"/>
      <c r="MO153" s="775"/>
      <c r="MP153" s="775"/>
      <c r="MQ153" s="775"/>
      <c r="MR153" s="775"/>
      <c r="MS153" s="775"/>
      <c r="MT153" s="775"/>
      <c r="MU153" s="775"/>
      <c r="MV153" s="775"/>
      <c r="MW153" s="775"/>
      <c r="MX153" s="775"/>
      <c r="MY153" s="1682">
        <f t="shared" si="35"/>
        <v>0</v>
      </c>
      <c r="MZ153" s="766"/>
      <c r="NA153" s="766"/>
      <c r="NB153" s="766"/>
      <c r="NC153" s="766"/>
      <c r="ND153" s="766"/>
      <c r="NE153" s="766"/>
      <c r="NF153" s="766"/>
      <c r="NG153" s="766"/>
      <c r="NH153" s="766"/>
      <c r="NI153" s="766"/>
      <c r="NJ153" s="766"/>
      <c r="NK153" s="766"/>
      <c r="NL153" s="766"/>
      <c r="NM153" s="766"/>
      <c r="NN153" s="766"/>
      <c r="NO153" s="766"/>
      <c r="NP153" s="766"/>
      <c r="NQ153" s="766"/>
      <c r="NR153" s="766"/>
      <c r="NS153" s="766"/>
      <c r="NT153" s="766"/>
      <c r="NU153" s="766"/>
      <c r="NV153" s="766"/>
      <c r="NW153" s="766"/>
      <c r="NX153" s="766"/>
      <c r="NY153" s="766"/>
      <c r="NZ153" s="766"/>
      <c r="OA153" s="766"/>
      <c r="OB153" s="766"/>
      <c r="OC153" s="766"/>
      <c r="OD153" s="766"/>
      <c r="OE153" s="766"/>
      <c r="OF153" s="766"/>
      <c r="OG153" s="766"/>
      <c r="OH153" s="766"/>
      <c r="OI153" s="766"/>
      <c r="OJ153" s="766"/>
      <c r="OK153" s="766"/>
      <c r="OL153" s="766"/>
      <c r="OM153" s="766"/>
      <c r="ON153" s="766"/>
      <c r="OO153" s="766"/>
      <c r="OP153" s="766"/>
      <c r="OQ153" s="766"/>
      <c r="OR153" s="766"/>
      <c r="OS153" s="766"/>
      <c r="OT153" s="766"/>
      <c r="OU153" s="766"/>
      <c r="OV153" s="766"/>
      <c r="OW153" s="766"/>
      <c r="OX153" s="766"/>
      <c r="OY153" s="766"/>
      <c r="OZ153" s="766"/>
      <c r="PA153" s="766"/>
      <c r="PB153" s="766"/>
      <c r="PC153" s="766"/>
      <c r="PD153" s="766"/>
      <c r="PE153" s="766"/>
      <c r="PF153" s="766"/>
      <c r="PG153" s="766"/>
      <c r="PH153" s="766"/>
      <c r="PI153" s="766"/>
      <c r="PJ153" s="766"/>
      <c r="PK153" s="766"/>
      <c r="PL153" s="766"/>
      <c r="PM153" s="766"/>
      <c r="PN153" s="766"/>
      <c r="PO153" s="766"/>
      <c r="PP153" s="766"/>
      <c r="PQ153" s="766"/>
      <c r="PR153" s="766"/>
      <c r="PS153" s="766"/>
      <c r="PT153" s="766"/>
      <c r="PU153" s="766"/>
      <c r="PV153" s="766"/>
      <c r="PW153" s="766"/>
      <c r="PX153" s="766"/>
      <c r="PY153" s="766"/>
      <c r="PZ153" s="766"/>
      <c r="QA153" s="766"/>
      <c r="QB153" s="766"/>
      <c r="QC153" s="766"/>
      <c r="QD153" s="766"/>
      <c r="QE153" s="766"/>
      <c r="QF153" s="766"/>
      <c r="QG153" s="766"/>
      <c r="QH153" s="766"/>
      <c r="QI153" s="766"/>
      <c r="QJ153" s="766"/>
      <c r="QK153" s="766"/>
      <c r="QL153" s="766"/>
      <c r="QM153" s="766"/>
      <c r="QN153" s="766"/>
      <c r="QO153" s="766"/>
      <c r="QP153" s="766"/>
      <c r="QQ153" s="766"/>
      <c r="QR153" s="766"/>
      <c r="QS153" s="766"/>
      <c r="QT153" s="766"/>
      <c r="QU153" s="766"/>
      <c r="QV153" s="766"/>
      <c r="QW153" s="766"/>
      <c r="QX153" s="766"/>
      <c r="QY153" s="766"/>
      <c r="QZ153" s="766"/>
      <c r="RA153" s="766"/>
      <c r="RB153" s="766"/>
      <c r="RC153" s="766"/>
      <c r="RD153" s="766"/>
      <c r="RE153" s="766"/>
      <c r="RF153" s="777"/>
      <c r="RG153" s="766"/>
      <c r="RH153" s="775"/>
      <c r="RI153" s="766"/>
      <c r="RJ153" s="766"/>
      <c r="RK153" s="766"/>
      <c r="RL153" s="1683"/>
      <c r="RM153" s="12"/>
      <c r="RN153" s="1711"/>
      <c r="RO153" s="171" t="s">
        <v>11853</v>
      </c>
      <c r="RP153" s="11"/>
      <c r="RQ153" s="11"/>
      <c r="RR153" s="17"/>
      <c r="RS153" s="766"/>
      <c r="RT153" s="11"/>
      <c r="RU153" s="11"/>
      <c r="RV153" s="766" t="s">
        <v>12437</v>
      </c>
      <c r="RW153" s="11" t="s">
        <v>12061</v>
      </c>
      <c r="RX153" s="11" t="s">
        <v>11838</v>
      </c>
      <c r="RY153" s="11"/>
      <c r="RZ153" s="11" t="s">
        <v>7419</v>
      </c>
      <c r="SA153" s="766"/>
      <c r="SB153" s="11"/>
      <c r="SC153" s="11"/>
    </row>
    <row r="154" spans="1:497" ht="12.75" hidden="1" customHeight="1">
      <c r="A154" s="19" t="s">
        <v>14155</v>
      </c>
      <c r="B154" s="288" t="s">
        <v>12371</v>
      </c>
      <c r="C154" s="171" t="s">
        <v>11853</v>
      </c>
      <c r="D154" s="766" t="s">
        <v>12161</v>
      </c>
      <c r="E154" s="766" t="s">
        <v>12011</v>
      </c>
      <c r="F154" s="766" t="s">
        <v>12166</v>
      </c>
      <c r="G154" s="766" t="s">
        <v>10</v>
      </c>
      <c r="H154" s="766"/>
      <c r="I154" s="5"/>
      <c r="J154" s="766" t="s">
        <v>12169</v>
      </c>
      <c r="K154" s="766" t="s">
        <v>12055</v>
      </c>
      <c r="L154" s="766" t="s">
        <v>12056</v>
      </c>
      <c r="M154" s="766"/>
      <c r="N154" s="766" t="s">
        <v>12014</v>
      </c>
      <c r="O154" s="766" t="s">
        <v>12038</v>
      </c>
      <c r="P154" s="766" t="s">
        <v>12172</v>
      </c>
      <c r="Q154" s="1085" t="s">
        <v>12173</v>
      </c>
      <c r="R154" s="25">
        <v>27</v>
      </c>
      <c r="S154" s="766" t="s">
        <v>10</v>
      </c>
      <c r="T154" s="766"/>
      <c r="U154" s="5" t="s">
        <v>12174</v>
      </c>
      <c r="V154" s="766" t="s">
        <v>722</v>
      </c>
      <c r="W154" s="766"/>
      <c r="X154" s="24"/>
      <c r="Y154" s="766" t="s">
        <v>12011</v>
      </c>
      <c r="Z154" s="766" t="s">
        <v>708</v>
      </c>
      <c r="AA154" s="766" t="s">
        <v>739</v>
      </c>
      <c r="AB154" s="766" t="s">
        <v>7275</v>
      </c>
      <c r="AC154" s="766" t="s">
        <v>12058</v>
      </c>
      <c r="AD154" s="766"/>
      <c r="AE154" s="766"/>
      <c r="AF154" s="766" t="s">
        <v>906</v>
      </c>
      <c r="AG154" s="766"/>
      <c r="AH154" s="766"/>
      <c r="AI154" s="766"/>
      <c r="AJ154" s="766"/>
      <c r="AK154" s="766" t="s">
        <v>12178</v>
      </c>
      <c r="AL154" s="121"/>
      <c r="AM154" s="772"/>
      <c r="AN154" s="774"/>
      <c r="AO154" s="766"/>
      <c r="AP154" s="766"/>
      <c r="AQ154" s="766"/>
      <c r="AR154" s="766"/>
      <c r="AS154" s="766"/>
      <c r="AT154" s="766"/>
      <c r="AU154" s="766"/>
      <c r="AV154" s="766"/>
      <c r="AW154" s="766"/>
      <c r="AX154" s="766"/>
      <c r="AY154" s="766"/>
      <c r="AZ154" s="766"/>
      <c r="BA154" s="766"/>
      <c r="BB154" s="766"/>
      <c r="BC154" s="766"/>
      <c r="BD154" s="766"/>
      <c r="BE154" s="766"/>
      <c r="BF154" s="775"/>
      <c r="BG154" s="775"/>
      <c r="BH154" s="766"/>
      <c r="BI154" s="766"/>
      <c r="BJ154" s="766"/>
      <c r="BK154" s="766"/>
      <c r="BL154" s="766"/>
      <c r="BM154" s="766" t="s">
        <v>1238</v>
      </c>
      <c r="BN154" s="766" t="s">
        <v>1256</v>
      </c>
      <c r="BO154" s="766"/>
      <c r="BP154" s="776"/>
      <c r="BQ154" s="772"/>
      <c r="BR154" s="774"/>
      <c r="BS154" s="6" t="s">
        <v>1149</v>
      </c>
      <c r="BT154" s="766"/>
      <c r="BU154" s="766"/>
      <c r="BV154" s="766"/>
      <c r="BW154" s="766"/>
      <c r="BX154" s="779"/>
      <c r="BY154" s="766"/>
      <c r="BZ154" s="775"/>
      <c r="CA154" s="766"/>
      <c r="CB154" s="766"/>
      <c r="CC154" s="766"/>
      <c r="CD154" s="766"/>
      <c r="CE154" s="766"/>
      <c r="CF154" s="777"/>
      <c r="CG154" s="778"/>
      <c r="CH154" s="766"/>
      <c r="CI154" s="766"/>
      <c r="CJ154" s="766"/>
      <c r="CK154" s="766"/>
      <c r="CL154" s="766"/>
      <c r="CM154" s="766"/>
      <c r="CN154" s="766"/>
      <c r="CO154" s="766"/>
      <c r="CP154" s="766"/>
      <c r="CQ154" s="766"/>
      <c r="CR154" s="775"/>
      <c r="CS154" s="766"/>
      <c r="CT154" s="766"/>
      <c r="CU154" s="129"/>
      <c r="CV154" s="766"/>
      <c r="CW154" s="766"/>
      <c r="CX154" s="766"/>
      <c r="CY154" s="766"/>
      <c r="CZ154" s="766"/>
      <c r="DA154" s="766"/>
      <c r="DB154" s="766"/>
      <c r="DC154" s="766"/>
      <c r="DD154" s="766"/>
      <c r="DE154" s="766"/>
      <c r="DF154" s="766"/>
      <c r="DG154" s="766"/>
      <c r="DH154" s="766"/>
      <c r="DI154" s="766"/>
      <c r="DJ154" s="766"/>
      <c r="DK154" s="766"/>
      <c r="DL154" s="766"/>
      <c r="DM154" s="766"/>
      <c r="DN154" s="766"/>
      <c r="DO154" s="766"/>
      <c r="DP154" s="766"/>
      <c r="DQ154" s="766"/>
      <c r="DR154" s="766"/>
      <c r="DS154" s="59"/>
      <c r="DT154" s="766"/>
      <c r="DU154" s="766"/>
      <c r="DV154" s="766"/>
      <c r="DW154" s="66"/>
      <c r="DX154" s="66"/>
      <c r="DY154" s="766"/>
      <c r="DZ154" s="766"/>
      <c r="EA154" s="766"/>
      <c r="EB154" s="766"/>
      <c r="EC154" s="766"/>
      <c r="ED154" s="766"/>
      <c r="EE154" s="766"/>
      <c r="EF154" s="766"/>
      <c r="EG154" s="766"/>
      <c r="EH154" s="766"/>
      <c r="EI154" s="766"/>
      <c r="EJ154" s="766"/>
      <c r="EK154" s="766"/>
      <c r="EL154" s="766"/>
      <c r="EM154" s="766"/>
      <c r="EN154" s="766"/>
      <c r="EO154" s="766"/>
      <c r="EP154" s="766"/>
      <c r="EQ154" s="766"/>
      <c r="ER154" s="766"/>
      <c r="ES154" s="766"/>
      <c r="ET154" s="766"/>
      <c r="EU154" s="766"/>
      <c r="EV154" s="766"/>
      <c r="EW154" s="766"/>
      <c r="EX154" s="766"/>
      <c r="EY154" s="766"/>
      <c r="EZ154" s="766"/>
      <c r="FA154" s="766"/>
      <c r="FB154" s="766"/>
      <c r="FC154" s="766"/>
      <c r="FD154" s="775"/>
      <c r="FE154" s="766"/>
      <c r="FF154" s="766"/>
      <c r="FG154" s="770"/>
      <c r="FH154" s="766" t="s">
        <v>1306</v>
      </c>
      <c r="FI154" s="766">
        <v>1</v>
      </c>
      <c r="FJ154" s="766" t="s">
        <v>12082</v>
      </c>
      <c r="FK154" s="766"/>
      <c r="FL154" s="766"/>
      <c r="FM154" s="147">
        <v>700</v>
      </c>
      <c r="FN154" s="775">
        <v>2000</v>
      </c>
      <c r="FO154" s="775">
        <v>500</v>
      </c>
      <c r="FP154" s="766" t="s">
        <v>12155</v>
      </c>
      <c r="FQ154" s="766" t="s">
        <v>1660</v>
      </c>
      <c r="FR154" s="766"/>
      <c r="FS154" s="766"/>
      <c r="FT154" s="766"/>
      <c r="FU154" s="766"/>
      <c r="FV154" s="766"/>
      <c r="FW154" s="766"/>
      <c r="FX154" s="766"/>
      <c r="FY154" s="766"/>
      <c r="FZ154" s="766"/>
      <c r="GA154" s="766"/>
      <c r="GB154" s="766"/>
      <c r="GC154" s="75"/>
      <c r="GD154" s="25"/>
      <c r="GE154" s="766"/>
      <c r="GF154" s="775"/>
      <c r="GG154" s="775"/>
      <c r="GH154" s="766"/>
      <c r="GI154" s="766"/>
      <c r="GJ154" s="766"/>
      <c r="GK154" s="766"/>
      <c r="GL154" s="766"/>
      <c r="GM154" s="766"/>
      <c r="GN154" s="82"/>
      <c r="GO154" s="766"/>
      <c r="GP154" s="766"/>
      <c r="GQ154" s="766"/>
      <c r="GR154" s="766"/>
      <c r="GS154" s="766"/>
      <c r="GT154" s="766"/>
      <c r="GU154" s="766"/>
      <c r="GV154" s="766"/>
      <c r="GW154" s="766"/>
      <c r="GX154" s="766"/>
      <c r="GY154" s="766"/>
      <c r="GZ154" s="766"/>
      <c r="HA154" s="766"/>
      <c r="HB154" s="766"/>
      <c r="HC154" s="766"/>
      <c r="HD154" s="766"/>
      <c r="HE154" s="766"/>
      <c r="HF154" s="766"/>
      <c r="HG154" s="766"/>
      <c r="HH154" s="766"/>
      <c r="HI154" s="766"/>
      <c r="HJ154" s="766"/>
      <c r="HK154" s="766"/>
      <c r="HL154" s="766"/>
      <c r="HM154" s="766"/>
      <c r="HN154" s="766"/>
      <c r="HO154" s="766"/>
      <c r="HP154" s="766"/>
      <c r="HQ154" s="766"/>
      <c r="HR154" s="766"/>
      <c r="HS154" s="766"/>
      <c r="HT154" s="766"/>
      <c r="HU154" s="766"/>
      <c r="HV154" s="766"/>
      <c r="HW154" s="766"/>
      <c r="HX154" s="766"/>
      <c r="HY154" s="766"/>
      <c r="HZ154" s="766"/>
      <c r="IA154" s="766"/>
      <c r="IB154" s="766"/>
      <c r="IC154" s="766"/>
      <c r="ID154" s="766"/>
      <c r="IE154" s="766"/>
      <c r="IF154" s="766"/>
      <c r="IG154" s="766"/>
      <c r="IH154" s="766"/>
      <c r="II154" s="766"/>
      <c r="IJ154" s="766"/>
      <c r="IK154" s="766"/>
      <c r="IL154" s="766"/>
      <c r="IM154" s="766"/>
      <c r="IN154" s="766"/>
      <c r="IO154" s="24"/>
      <c r="IP154" s="766"/>
      <c r="IQ154" s="766"/>
      <c r="IR154" s="766"/>
      <c r="IS154" s="766"/>
      <c r="IT154" s="766"/>
      <c r="IU154" s="766"/>
      <c r="IV154" s="766"/>
      <c r="IW154" s="766"/>
      <c r="IX154" s="766"/>
      <c r="IY154" s="766"/>
      <c r="IZ154" s="766"/>
      <c r="JA154" s="766"/>
      <c r="JB154" s="766"/>
      <c r="JC154" s="766"/>
      <c r="JD154" s="775"/>
      <c r="JE154" s="766"/>
      <c r="JF154" s="766"/>
      <c r="JG154" s="766"/>
      <c r="JH154" s="766"/>
      <c r="JI154" s="766"/>
      <c r="JJ154" s="766">
        <v>3</v>
      </c>
      <c r="JK154" s="766" t="s">
        <v>13209</v>
      </c>
      <c r="JL154" s="766"/>
      <c r="JM154" s="766">
        <v>1</v>
      </c>
      <c r="JN154" s="766">
        <v>1</v>
      </c>
      <c r="JO154" s="766">
        <v>1</v>
      </c>
      <c r="JP154" s="766"/>
      <c r="JQ154" s="766"/>
      <c r="JR154" s="766"/>
      <c r="JS154" s="766"/>
      <c r="JT154" s="766">
        <f>SUM(JP154,JN154,JL154,JR154)</f>
        <v>1</v>
      </c>
      <c r="JU154" s="766">
        <f>SUM(JQ154,JO154,JM154,JS154)</f>
        <v>2</v>
      </c>
      <c r="JV154" s="766"/>
      <c r="JW154" s="766"/>
      <c r="JX154" s="766"/>
      <c r="JY154" s="766">
        <v>1</v>
      </c>
      <c r="JZ154" s="766"/>
      <c r="KA154" s="766"/>
      <c r="KB154" s="766">
        <v>1</v>
      </c>
      <c r="KC154" s="766">
        <v>1</v>
      </c>
      <c r="KD154" s="766"/>
      <c r="KE154" s="766"/>
      <c r="KF154" s="766"/>
      <c r="KG154" s="766"/>
      <c r="KH154" s="766"/>
      <c r="KI154" s="766"/>
      <c r="KJ154" s="770">
        <f t="shared" si="38"/>
        <v>1</v>
      </c>
      <c r="KK154" s="770">
        <f t="shared" si="38"/>
        <v>2</v>
      </c>
      <c r="KL154" s="770"/>
      <c r="KM154" s="770"/>
      <c r="KN154" s="766" t="s">
        <v>722</v>
      </c>
      <c r="KO154" s="766"/>
      <c r="KP154" s="766"/>
      <c r="KQ154" s="766"/>
      <c r="KR154" s="766"/>
      <c r="KS154" s="766"/>
      <c r="KT154" s="766"/>
      <c r="KU154" s="766"/>
      <c r="KV154" s="766"/>
      <c r="KW154" s="766"/>
      <c r="KX154" s="766">
        <v>1</v>
      </c>
      <c r="KY154" s="766">
        <v>1</v>
      </c>
      <c r="KZ154" s="766"/>
      <c r="LA154" s="766"/>
      <c r="LB154" s="766"/>
      <c r="LC154" s="766"/>
      <c r="LD154" s="766"/>
      <c r="LE154" s="766">
        <v>1</v>
      </c>
      <c r="LF154" s="766"/>
      <c r="LG154" s="766"/>
      <c r="LH154" s="766"/>
      <c r="LI154" s="766"/>
      <c r="LJ154" s="766"/>
      <c r="LK154" s="766"/>
      <c r="LL154" s="766"/>
      <c r="LM154" s="766"/>
      <c r="LN154" s="766">
        <f t="shared" si="39"/>
        <v>1</v>
      </c>
      <c r="LO154" s="766">
        <f t="shared" si="39"/>
        <v>2</v>
      </c>
      <c r="LP154" s="766">
        <v>2</v>
      </c>
      <c r="LQ154" s="766">
        <v>2</v>
      </c>
      <c r="LR154" s="766"/>
      <c r="LS154" s="766"/>
      <c r="LT154" s="766"/>
      <c r="LU154" s="766">
        <v>2</v>
      </c>
      <c r="LV154" s="766"/>
      <c r="LW154" s="766"/>
      <c r="LX154" s="769">
        <v>4</v>
      </c>
      <c r="LY154" s="766" t="str">
        <f t="shared" si="36"/>
        <v>OTHER Province</v>
      </c>
      <c r="LZ154" s="66">
        <f>2600+2340</f>
        <v>4940</v>
      </c>
      <c r="MA154" s="766"/>
      <c r="MB154" s="766"/>
      <c r="MC154" s="1679">
        <f t="shared" si="24"/>
        <v>4940</v>
      </c>
      <c r="MD154" s="66">
        <v>10400</v>
      </c>
      <c r="ME154" s="66"/>
      <c r="MF154" s="66"/>
      <c r="MG154" s="1680">
        <f t="shared" si="34"/>
        <v>10400</v>
      </c>
      <c r="MH154" s="766" t="s">
        <v>13210</v>
      </c>
      <c r="MI154" s="775"/>
      <c r="MJ154" s="775">
        <f>190*26</f>
        <v>4940</v>
      </c>
      <c r="MK154" s="775"/>
      <c r="ML154" s="775"/>
      <c r="MM154" s="775"/>
      <c r="MN154" s="775">
        <v>700</v>
      </c>
      <c r="MO154" s="775"/>
      <c r="MP154" s="775">
        <v>500</v>
      </c>
      <c r="MQ154" s="775"/>
      <c r="MR154" s="775">
        <v>200</v>
      </c>
      <c r="MS154" s="775"/>
      <c r="MT154" s="775"/>
      <c r="MU154" s="775"/>
      <c r="MV154" s="775"/>
      <c r="MW154" s="775"/>
      <c r="MX154" s="775"/>
      <c r="MY154" s="1682">
        <f t="shared" si="35"/>
        <v>6340</v>
      </c>
      <c r="MZ154" s="766"/>
      <c r="NA154" s="766"/>
      <c r="NB154" s="766"/>
      <c r="NC154" s="766"/>
      <c r="ND154" s="766"/>
      <c r="NE154" s="766"/>
      <c r="NF154" s="766"/>
      <c r="NG154" s="766"/>
      <c r="NH154" s="766"/>
      <c r="NI154" s="766"/>
      <c r="NJ154" s="766"/>
      <c r="NK154" s="766"/>
      <c r="NL154" s="766"/>
      <c r="NM154" s="766"/>
      <c r="NN154" s="766"/>
      <c r="NO154" s="766"/>
      <c r="NP154" s="766"/>
      <c r="NQ154" s="766"/>
      <c r="NR154" s="766"/>
      <c r="NS154" s="766"/>
      <c r="NT154" s="766"/>
      <c r="NU154" s="766"/>
      <c r="NV154" s="766"/>
      <c r="NW154" s="766"/>
      <c r="NX154" s="766"/>
      <c r="NY154" s="766"/>
      <c r="NZ154" s="766"/>
      <c r="OA154" s="766"/>
      <c r="OB154" s="766"/>
      <c r="OC154" s="766"/>
      <c r="OD154" s="766"/>
      <c r="OE154" s="766"/>
      <c r="OF154" s="766"/>
      <c r="OG154" s="766"/>
      <c r="OH154" s="766"/>
      <c r="OI154" s="766"/>
      <c r="OJ154" s="766"/>
      <c r="OK154" s="766"/>
      <c r="OL154" s="766"/>
      <c r="OM154" s="766"/>
      <c r="ON154" s="766"/>
      <c r="OO154" s="766"/>
      <c r="OP154" s="766"/>
      <c r="OQ154" s="766"/>
      <c r="OR154" s="766"/>
      <c r="OS154" s="766"/>
      <c r="OT154" s="766"/>
      <c r="OU154" s="766"/>
      <c r="OV154" s="766"/>
      <c r="OW154" s="766"/>
      <c r="OX154" s="766"/>
      <c r="OY154" s="766"/>
      <c r="OZ154" s="766"/>
      <c r="PA154" s="766"/>
      <c r="PB154" s="766"/>
      <c r="PC154" s="766"/>
      <c r="PD154" s="766"/>
      <c r="PE154" s="766"/>
      <c r="PF154" s="766"/>
      <c r="PG154" s="766"/>
      <c r="PH154" s="766"/>
      <c r="PI154" s="766"/>
      <c r="PJ154" s="766"/>
      <c r="PK154" s="766"/>
      <c r="PL154" s="766"/>
      <c r="PM154" s="766"/>
      <c r="PN154" s="766"/>
      <c r="PO154" s="766"/>
      <c r="PP154" s="766"/>
      <c r="PQ154" s="766"/>
      <c r="PR154" s="766"/>
      <c r="PS154" s="766"/>
      <c r="PT154" s="766"/>
      <c r="PU154" s="766"/>
      <c r="PV154" s="766"/>
      <c r="PW154" s="766"/>
      <c r="PX154" s="766"/>
      <c r="PY154" s="766"/>
      <c r="PZ154" s="766"/>
      <c r="QA154" s="766"/>
      <c r="QB154" s="766"/>
      <c r="QC154" s="766"/>
      <c r="QD154" s="766"/>
      <c r="QE154" s="766"/>
      <c r="QF154" s="766"/>
      <c r="QG154" s="766"/>
      <c r="QH154" s="766"/>
      <c r="QI154" s="766"/>
      <c r="QJ154" s="766"/>
      <c r="QK154" s="766"/>
      <c r="QL154" s="766"/>
      <c r="QM154" s="766"/>
      <c r="QN154" s="766"/>
      <c r="QO154" s="766"/>
      <c r="QP154" s="766"/>
      <c r="QQ154" s="766"/>
      <c r="QR154" s="766"/>
      <c r="QS154" s="766"/>
      <c r="QT154" s="766"/>
      <c r="QU154" s="766"/>
      <c r="QV154" s="766"/>
      <c r="QW154" s="766"/>
      <c r="QX154" s="766"/>
      <c r="QY154" s="766"/>
      <c r="QZ154" s="766"/>
      <c r="RA154" s="766"/>
      <c r="RB154" s="766"/>
      <c r="RC154" s="766"/>
      <c r="RD154" s="766"/>
      <c r="RE154" s="766"/>
      <c r="RF154" s="777"/>
      <c r="RG154" s="766"/>
      <c r="RH154" s="775"/>
      <c r="RI154" s="766"/>
      <c r="RJ154" s="766"/>
      <c r="RK154" s="766"/>
      <c r="RL154" s="1683"/>
      <c r="RM154" s="12"/>
      <c r="RN154" s="1711"/>
      <c r="RO154" s="171" t="s">
        <v>11853</v>
      </c>
      <c r="RP154" s="11"/>
      <c r="RQ154" s="11"/>
      <c r="RR154" s="17"/>
      <c r="RS154" s="766"/>
      <c r="RT154" s="11"/>
      <c r="RU154" s="11"/>
      <c r="RV154" s="766" t="s">
        <v>12437</v>
      </c>
      <c r="RW154" s="11" t="s">
        <v>12066</v>
      </c>
      <c r="RX154" s="11" t="s">
        <v>11838</v>
      </c>
      <c r="RY154" s="11"/>
      <c r="RZ154" s="11"/>
      <c r="SA154" s="766"/>
      <c r="SB154" s="11"/>
      <c r="SC154" s="11"/>
    </row>
    <row r="155" spans="1:497" ht="12.75" hidden="1" customHeight="1">
      <c r="A155" s="19" t="s">
        <v>14155</v>
      </c>
      <c r="B155" s="288" t="s">
        <v>12158</v>
      </c>
      <c r="C155" s="171" t="s">
        <v>11853</v>
      </c>
      <c r="D155" s="766" t="s">
        <v>12162</v>
      </c>
      <c r="E155" s="766" t="s">
        <v>12011</v>
      </c>
      <c r="F155" s="766" t="s">
        <v>28</v>
      </c>
      <c r="G155" s="766" t="s">
        <v>10</v>
      </c>
      <c r="H155" s="766"/>
      <c r="I155" s="5" t="s">
        <v>12167</v>
      </c>
      <c r="J155" s="766" t="s">
        <v>12162</v>
      </c>
      <c r="K155" s="766" t="s">
        <v>12080</v>
      </c>
      <c r="L155" s="766" t="s">
        <v>12064</v>
      </c>
      <c r="M155" s="766"/>
      <c r="N155" s="766" t="s">
        <v>12038</v>
      </c>
      <c r="O155" s="766" t="s">
        <v>12014</v>
      </c>
      <c r="P155" s="766" t="s">
        <v>12074</v>
      </c>
      <c r="Q155" s="1085">
        <v>29041</v>
      </c>
      <c r="R155" s="25">
        <v>38</v>
      </c>
      <c r="S155" s="766" t="s">
        <v>10</v>
      </c>
      <c r="T155" s="766"/>
      <c r="U155" s="5"/>
      <c r="V155" s="766" t="s">
        <v>707</v>
      </c>
      <c r="W155" s="766"/>
      <c r="X155" s="24"/>
      <c r="Y155" s="766" t="s">
        <v>12011</v>
      </c>
      <c r="Z155" s="766" t="s">
        <v>708</v>
      </c>
      <c r="AA155" s="766" t="s">
        <v>732</v>
      </c>
      <c r="AB155" s="766" t="s">
        <v>12175</v>
      </c>
      <c r="AC155" s="766" t="s">
        <v>12058</v>
      </c>
      <c r="AD155" s="766"/>
      <c r="AE155" s="766"/>
      <c r="AF155" s="766" t="s">
        <v>12176</v>
      </c>
      <c r="AG155" s="766"/>
      <c r="AH155" s="766"/>
      <c r="AI155" s="766"/>
      <c r="AJ155" s="766"/>
      <c r="AK155" s="766" t="s">
        <v>12178</v>
      </c>
      <c r="AL155" s="121"/>
      <c r="AM155" s="772"/>
      <c r="AN155" s="774"/>
      <c r="AO155" s="766"/>
      <c r="AP155" s="766"/>
      <c r="AQ155" s="766"/>
      <c r="AR155" s="766"/>
      <c r="AS155" s="766"/>
      <c r="AT155" s="766"/>
      <c r="AU155" s="766"/>
      <c r="AV155" s="766"/>
      <c r="AW155" s="766"/>
      <c r="AX155" s="766"/>
      <c r="AY155" s="766"/>
      <c r="AZ155" s="766"/>
      <c r="BA155" s="766"/>
      <c r="BB155" s="766"/>
      <c r="BC155" s="766"/>
      <c r="BD155" s="766"/>
      <c r="BE155" s="766"/>
      <c r="BF155" s="775"/>
      <c r="BG155" s="775"/>
      <c r="BH155" s="766"/>
      <c r="BI155" s="766"/>
      <c r="BJ155" s="766"/>
      <c r="BK155" s="766"/>
      <c r="BL155" s="766"/>
      <c r="BM155" s="766" t="s">
        <v>1238</v>
      </c>
      <c r="BN155" s="766" t="s">
        <v>1256</v>
      </c>
      <c r="BO155" s="766"/>
      <c r="BP155" s="776"/>
      <c r="BQ155" s="772"/>
      <c r="BR155" s="774"/>
      <c r="BS155" s="6" t="s">
        <v>1149</v>
      </c>
      <c r="BT155" s="766"/>
      <c r="BU155" s="766"/>
      <c r="BV155" s="766"/>
      <c r="BW155" s="766"/>
      <c r="BX155" s="779"/>
      <c r="BY155" s="766"/>
      <c r="BZ155" s="775"/>
      <c r="CA155" s="766"/>
      <c r="CB155" s="766"/>
      <c r="CC155" s="766"/>
      <c r="CD155" s="766"/>
      <c r="CE155" s="766"/>
      <c r="CF155" s="777"/>
      <c r="CG155" s="778"/>
      <c r="CH155" s="766"/>
      <c r="CI155" s="766"/>
      <c r="CJ155" s="766"/>
      <c r="CK155" s="766"/>
      <c r="CL155" s="766"/>
      <c r="CM155" s="766"/>
      <c r="CN155" s="766"/>
      <c r="CO155" s="766"/>
      <c r="CP155" s="766"/>
      <c r="CQ155" s="766"/>
      <c r="CR155" s="775"/>
      <c r="CS155" s="766"/>
      <c r="CT155" s="766"/>
      <c r="CU155" s="129"/>
      <c r="CV155" s="766"/>
      <c r="CW155" s="766"/>
      <c r="CX155" s="766"/>
      <c r="CY155" s="766"/>
      <c r="CZ155" s="766"/>
      <c r="DA155" s="766"/>
      <c r="DB155" s="766"/>
      <c r="DC155" s="766"/>
      <c r="DD155" s="766"/>
      <c r="DE155" s="766"/>
      <c r="DF155" s="766"/>
      <c r="DG155" s="766"/>
      <c r="DH155" s="766"/>
      <c r="DI155" s="766"/>
      <c r="DJ155" s="766"/>
      <c r="DK155" s="766"/>
      <c r="DL155" s="766"/>
      <c r="DM155" s="766"/>
      <c r="DN155" s="766"/>
      <c r="DO155" s="766"/>
      <c r="DP155" s="766"/>
      <c r="DQ155" s="766"/>
      <c r="DR155" s="766"/>
      <c r="DS155" s="59"/>
      <c r="DT155" s="766"/>
      <c r="DU155" s="766"/>
      <c r="DV155" s="766"/>
      <c r="DW155" s="66"/>
      <c r="DX155" s="66"/>
      <c r="DY155" s="766"/>
      <c r="DZ155" s="766"/>
      <c r="EA155" s="766"/>
      <c r="EB155" s="766"/>
      <c r="EC155" s="766"/>
      <c r="ED155" s="766"/>
      <c r="EE155" s="766"/>
      <c r="EF155" s="766"/>
      <c r="EG155" s="766"/>
      <c r="EH155" s="766"/>
      <c r="EI155" s="766"/>
      <c r="EJ155" s="766"/>
      <c r="EK155" s="766"/>
      <c r="EL155" s="766"/>
      <c r="EM155" s="766"/>
      <c r="EN155" s="766"/>
      <c r="EO155" s="766"/>
      <c r="EP155" s="766"/>
      <c r="EQ155" s="766"/>
      <c r="ER155" s="766"/>
      <c r="ES155" s="766"/>
      <c r="ET155" s="766"/>
      <c r="EU155" s="766"/>
      <c r="EV155" s="766"/>
      <c r="EW155" s="766"/>
      <c r="EX155" s="766"/>
      <c r="EY155" s="766"/>
      <c r="EZ155" s="766"/>
      <c r="FA155" s="766"/>
      <c r="FB155" s="766"/>
      <c r="FC155" s="766"/>
      <c r="FD155" s="775"/>
      <c r="FE155" s="766"/>
      <c r="FF155" s="766"/>
      <c r="FG155" s="770"/>
      <c r="FH155" s="766" t="s">
        <v>1306</v>
      </c>
      <c r="FI155" s="766">
        <v>1</v>
      </c>
      <c r="FJ155" s="766" t="s">
        <v>12082</v>
      </c>
      <c r="FK155" s="766"/>
      <c r="FL155" s="766"/>
      <c r="FM155" s="147">
        <v>1500</v>
      </c>
      <c r="FN155" s="775">
        <v>400</v>
      </c>
      <c r="FO155" s="775">
        <v>1500</v>
      </c>
      <c r="FP155" s="766" t="s">
        <v>12155</v>
      </c>
      <c r="FQ155" s="766" t="s">
        <v>1660</v>
      </c>
      <c r="FR155" s="766"/>
      <c r="FS155" s="766"/>
      <c r="FT155" s="766"/>
      <c r="FU155" s="766"/>
      <c r="FV155" s="766"/>
      <c r="FW155" s="766"/>
      <c r="FX155" s="766"/>
      <c r="FY155" s="766"/>
      <c r="FZ155" s="766"/>
      <c r="GA155" s="766"/>
      <c r="GB155" s="766"/>
      <c r="GC155" s="75"/>
      <c r="GD155" s="25"/>
      <c r="GE155" s="766"/>
      <c r="GF155" s="775"/>
      <c r="GG155" s="775"/>
      <c r="GH155" s="766"/>
      <c r="GI155" s="766"/>
      <c r="GJ155" s="766"/>
      <c r="GK155" s="766"/>
      <c r="GL155" s="766"/>
      <c r="GM155" s="766"/>
      <c r="GN155" s="82"/>
      <c r="GO155" s="766"/>
      <c r="GP155" s="766"/>
      <c r="GQ155" s="766"/>
      <c r="GR155" s="766"/>
      <c r="GS155" s="766"/>
      <c r="GT155" s="766"/>
      <c r="GU155" s="766"/>
      <c r="GV155" s="766"/>
      <c r="GW155" s="766"/>
      <c r="GX155" s="766"/>
      <c r="GY155" s="766"/>
      <c r="GZ155" s="766"/>
      <c r="HA155" s="766"/>
      <c r="HB155" s="766"/>
      <c r="HC155" s="766"/>
      <c r="HD155" s="766"/>
      <c r="HE155" s="766"/>
      <c r="HF155" s="766"/>
      <c r="HG155" s="766"/>
      <c r="HH155" s="766"/>
      <c r="HI155" s="766"/>
      <c r="HJ155" s="766"/>
      <c r="HK155" s="766"/>
      <c r="HL155" s="766"/>
      <c r="HM155" s="766"/>
      <c r="HN155" s="766"/>
      <c r="HO155" s="766"/>
      <c r="HP155" s="766"/>
      <c r="HQ155" s="766"/>
      <c r="HR155" s="766"/>
      <c r="HS155" s="766"/>
      <c r="HT155" s="766"/>
      <c r="HU155" s="766"/>
      <c r="HV155" s="766"/>
      <c r="HW155" s="766"/>
      <c r="HX155" s="766"/>
      <c r="HY155" s="766"/>
      <c r="HZ155" s="766"/>
      <c r="IA155" s="766"/>
      <c r="IB155" s="766"/>
      <c r="IC155" s="766"/>
      <c r="ID155" s="766"/>
      <c r="IE155" s="766"/>
      <c r="IF155" s="766"/>
      <c r="IG155" s="766"/>
      <c r="IH155" s="766"/>
      <c r="II155" s="766"/>
      <c r="IJ155" s="766"/>
      <c r="IK155" s="766"/>
      <c r="IL155" s="766"/>
      <c r="IM155" s="766"/>
      <c r="IN155" s="766"/>
      <c r="IO155" s="24"/>
      <c r="IP155" s="766"/>
      <c r="IQ155" s="766"/>
      <c r="IR155" s="766"/>
      <c r="IS155" s="766"/>
      <c r="IT155" s="766"/>
      <c r="IU155" s="766"/>
      <c r="IV155" s="766"/>
      <c r="IW155" s="766"/>
      <c r="IX155" s="766"/>
      <c r="IY155" s="766"/>
      <c r="IZ155" s="766"/>
      <c r="JA155" s="766"/>
      <c r="JB155" s="766"/>
      <c r="JC155" s="766"/>
      <c r="JD155" s="775"/>
      <c r="JE155" s="766"/>
      <c r="JF155" s="766"/>
      <c r="JG155" s="766"/>
      <c r="JH155" s="766"/>
      <c r="JI155" s="766"/>
      <c r="JJ155" s="766"/>
      <c r="JK155" s="766"/>
      <c r="JL155" s="766"/>
      <c r="JM155" s="766"/>
      <c r="JN155" s="766"/>
      <c r="JO155" s="766"/>
      <c r="JP155" s="766"/>
      <c r="JQ155" s="766"/>
      <c r="JR155" s="766"/>
      <c r="JS155" s="766"/>
      <c r="JT155" s="766"/>
      <c r="JU155" s="766"/>
      <c r="JV155" s="766"/>
      <c r="JW155" s="766"/>
      <c r="JX155" s="766"/>
      <c r="JY155" s="766"/>
      <c r="JZ155" s="766"/>
      <c r="KA155" s="766"/>
      <c r="KB155" s="766"/>
      <c r="KC155" s="766"/>
      <c r="KD155" s="766"/>
      <c r="KE155" s="766"/>
      <c r="KF155" s="766"/>
      <c r="KG155" s="766"/>
      <c r="KH155" s="766"/>
      <c r="KI155" s="766"/>
      <c r="KJ155" s="770"/>
      <c r="KK155" s="770"/>
      <c r="KL155" s="770"/>
      <c r="KM155" s="770"/>
      <c r="KN155" s="766"/>
      <c r="KO155" s="766"/>
      <c r="KP155" s="766"/>
      <c r="KQ155" s="766"/>
      <c r="KR155" s="766"/>
      <c r="KS155" s="766"/>
      <c r="KT155" s="766"/>
      <c r="KU155" s="766"/>
      <c r="KV155" s="766"/>
      <c r="KW155" s="766"/>
      <c r="KX155" s="766"/>
      <c r="KY155" s="766"/>
      <c r="KZ155" s="766"/>
      <c r="LA155" s="766"/>
      <c r="LB155" s="766"/>
      <c r="LC155" s="766"/>
      <c r="LD155" s="766"/>
      <c r="LE155" s="766"/>
      <c r="LF155" s="766"/>
      <c r="LG155" s="766"/>
      <c r="LH155" s="766"/>
      <c r="LI155" s="766"/>
      <c r="LJ155" s="766"/>
      <c r="LK155" s="766"/>
      <c r="LL155" s="766"/>
      <c r="LM155" s="766"/>
      <c r="LN155" s="766"/>
      <c r="LO155" s="766"/>
      <c r="LP155" s="766"/>
      <c r="LQ155" s="766"/>
      <c r="LR155" s="766"/>
      <c r="LS155" s="766"/>
      <c r="LT155" s="766"/>
      <c r="LU155" s="766"/>
      <c r="LV155" s="766"/>
      <c r="LW155" s="766"/>
      <c r="LX155" s="769"/>
      <c r="LY155" s="766" t="str">
        <f t="shared" si="36"/>
        <v/>
      </c>
      <c r="LZ155" s="66"/>
      <c r="MA155" s="766"/>
      <c r="MB155" s="766"/>
      <c r="MC155" s="1679">
        <f t="shared" si="24"/>
        <v>0</v>
      </c>
      <c r="MD155" s="66"/>
      <c r="ME155" s="66"/>
      <c r="MF155" s="66"/>
      <c r="MG155" s="1680">
        <f t="shared" si="34"/>
        <v>0</v>
      </c>
      <c r="MH155" s="766"/>
      <c r="MI155" s="775"/>
      <c r="MJ155" s="775"/>
      <c r="MK155" s="775"/>
      <c r="ML155" s="775"/>
      <c r="MM155" s="775"/>
      <c r="MN155" s="775"/>
      <c r="MO155" s="775"/>
      <c r="MP155" s="775"/>
      <c r="MQ155" s="775"/>
      <c r="MR155" s="775"/>
      <c r="MS155" s="775"/>
      <c r="MT155" s="775"/>
      <c r="MU155" s="775"/>
      <c r="MV155" s="775"/>
      <c r="MW155" s="775"/>
      <c r="MX155" s="775"/>
      <c r="MY155" s="1682">
        <f t="shared" si="35"/>
        <v>0</v>
      </c>
      <c r="MZ155" s="766"/>
      <c r="NA155" s="766"/>
      <c r="NB155" s="766"/>
      <c r="NC155" s="766"/>
      <c r="ND155" s="766"/>
      <c r="NE155" s="766"/>
      <c r="NF155" s="766"/>
      <c r="NG155" s="766"/>
      <c r="NH155" s="766"/>
      <c r="NI155" s="766"/>
      <c r="NJ155" s="766"/>
      <c r="NK155" s="766"/>
      <c r="NL155" s="766"/>
      <c r="NM155" s="766"/>
      <c r="NN155" s="766"/>
      <c r="NO155" s="766"/>
      <c r="NP155" s="766"/>
      <c r="NQ155" s="766"/>
      <c r="NR155" s="766"/>
      <c r="NS155" s="766"/>
      <c r="NT155" s="766"/>
      <c r="NU155" s="766"/>
      <c r="NV155" s="766"/>
      <c r="NW155" s="766"/>
      <c r="NX155" s="766"/>
      <c r="NY155" s="766"/>
      <c r="NZ155" s="766"/>
      <c r="OA155" s="766"/>
      <c r="OB155" s="766"/>
      <c r="OC155" s="766"/>
      <c r="OD155" s="766"/>
      <c r="OE155" s="766"/>
      <c r="OF155" s="766"/>
      <c r="OG155" s="766"/>
      <c r="OH155" s="766"/>
      <c r="OI155" s="766"/>
      <c r="OJ155" s="766"/>
      <c r="OK155" s="766"/>
      <c r="OL155" s="766"/>
      <c r="OM155" s="766"/>
      <c r="ON155" s="766"/>
      <c r="OO155" s="766"/>
      <c r="OP155" s="766"/>
      <c r="OQ155" s="766"/>
      <c r="OR155" s="766"/>
      <c r="OS155" s="766"/>
      <c r="OT155" s="766"/>
      <c r="OU155" s="766"/>
      <c r="OV155" s="766"/>
      <c r="OW155" s="766"/>
      <c r="OX155" s="766"/>
      <c r="OY155" s="766"/>
      <c r="OZ155" s="766"/>
      <c r="PA155" s="766"/>
      <c r="PB155" s="766"/>
      <c r="PC155" s="766"/>
      <c r="PD155" s="766"/>
      <c r="PE155" s="766"/>
      <c r="PF155" s="766"/>
      <c r="PG155" s="766"/>
      <c r="PH155" s="766"/>
      <c r="PI155" s="766"/>
      <c r="PJ155" s="766"/>
      <c r="PK155" s="766"/>
      <c r="PL155" s="766"/>
      <c r="PM155" s="766"/>
      <c r="PN155" s="766"/>
      <c r="PO155" s="766"/>
      <c r="PP155" s="766"/>
      <c r="PQ155" s="766"/>
      <c r="PR155" s="766"/>
      <c r="PS155" s="766"/>
      <c r="PT155" s="766"/>
      <c r="PU155" s="766"/>
      <c r="PV155" s="766"/>
      <c r="PW155" s="766"/>
      <c r="PX155" s="766"/>
      <c r="PY155" s="766"/>
      <c r="PZ155" s="766"/>
      <c r="QA155" s="766"/>
      <c r="QB155" s="766"/>
      <c r="QC155" s="766"/>
      <c r="QD155" s="766"/>
      <c r="QE155" s="766"/>
      <c r="QF155" s="766"/>
      <c r="QG155" s="766"/>
      <c r="QH155" s="766"/>
      <c r="QI155" s="766"/>
      <c r="QJ155" s="766"/>
      <c r="QK155" s="766"/>
      <c r="QL155" s="766"/>
      <c r="QM155" s="766"/>
      <c r="QN155" s="766"/>
      <c r="QO155" s="766"/>
      <c r="QP155" s="766"/>
      <c r="QQ155" s="766"/>
      <c r="QR155" s="766"/>
      <c r="QS155" s="766"/>
      <c r="QT155" s="766"/>
      <c r="QU155" s="766"/>
      <c r="QV155" s="766"/>
      <c r="QW155" s="766"/>
      <c r="QX155" s="766"/>
      <c r="QY155" s="766"/>
      <c r="QZ155" s="766"/>
      <c r="RA155" s="766"/>
      <c r="RB155" s="766"/>
      <c r="RC155" s="766"/>
      <c r="RD155" s="766"/>
      <c r="RE155" s="766"/>
      <c r="RF155" s="777"/>
      <c r="RG155" s="766"/>
      <c r="RH155" s="775"/>
      <c r="RI155" s="766"/>
      <c r="RJ155" s="766"/>
      <c r="RK155" s="766"/>
      <c r="RL155" s="1683"/>
      <c r="RM155" s="12"/>
      <c r="RN155" s="1711"/>
      <c r="RO155" s="171" t="s">
        <v>11853</v>
      </c>
      <c r="RP155" s="11"/>
      <c r="RQ155" s="11"/>
      <c r="RR155" s="17"/>
      <c r="RS155" s="766"/>
      <c r="RT155" s="11"/>
      <c r="RU155" s="11"/>
      <c r="RV155" s="766" t="s">
        <v>5357</v>
      </c>
      <c r="RW155" s="11" t="s">
        <v>12157</v>
      </c>
      <c r="RX155" s="11" t="s">
        <v>11853</v>
      </c>
      <c r="RY155" s="11"/>
      <c r="RZ155" s="11"/>
      <c r="SA155" s="766"/>
      <c r="SB155" s="11"/>
      <c r="SC155" s="11"/>
    </row>
    <row r="156" spans="1:497" ht="12.75" hidden="1" customHeight="1">
      <c r="A156" s="19" t="s">
        <v>14155</v>
      </c>
      <c r="B156" s="288" t="s">
        <v>12159</v>
      </c>
      <c r="C156" s="171" t="s">
        <v>11853</v>
      </c>
      <c r="D156" s="766" t="s">
        <v>12163</v>
      </c>
      <c r="E156" s="766" t="s">
        <v>12011</v>
      </c>
      <c r="F156" s="766" t="s">
        <v>28</v>
      </c>
      <c r="G156" s="766" t="s">
        <v>10</v>
      </c>
      <c r="H156" s="766"/>
      <c r="I156" s="5"/>
      <c r="J156" s="766" t="s">
        <v>12163</v>
      </c>
      <c r="K156" s="766" t="s">
        <v>12055</v>
      </c>
      <c r="L156" s="766" t="s">
        <v>12056</v>
      </c>
      <c r="M156" s="766"/>
      <c r="N156" s="766" t="s">
        <v>12014</v>
      </c>
      <c r="O156" s="766" t="s">
        <v>12038</v>
      </c>
      <c r="P156" s="766" t="s">
        <v>12163</v>
      </c>
      <c r="Q156" s="1085">
        <v>32437</v>
      </c>
      <c r="R156" s="25">
        <v>28</v>
      </c>
      <c r="S156" s="766" t="s">
        <v>10</v>
      </c>
      <c r="T156" s="766"/>
      <c r="U156" s="5"/>
      <c r="V156" s="766" t="s">
        <v>768</v>
      </c>
      <c r="W156" s="766"/>
      <c r="X156" s="24"/>
      <c r="Y156" s="766" t="s">
        <v>12011</v>
      </c>
      <c r="Z156" s="766" t="s">
        <v>708</v>
      </c>
      <c r="AA156" s="766" t="s">
        <v>709</v>
      </c>
      <c r="AB156" s="766" t="s">
        <v>12124</v>
      </c>
      <c r="AC156" s="766"/>
      <c r="AD156" s="766" t="s">
        <v>711</v>
      </c>
      <c r="AE156" s="766"/>
      <c r="AF156" s="766" t="s">
        <v>12017</v>
      </c>
      <c r="AG156" s="766"/>
      <c r="AH156" s="766"/>
      <c r="AI156" s="766"/>
      <c r="AJ156" s="766"/>
      <c r="AK156" s="766" t="s">
        <v>12178</v>
      </c>
      <c r="AL156" s="121"/>
      <c r="AM156" s="772"/>
      <c r="AN156" s="774"/>
      <c r="AO156" s="766"/>
      <c r="AP156" s="766"/>
      <c r="AQ156" s="766"/>
      <c r="AR156" s="766"/>
      <c r="AS156" s="766"/>
      <c r="AT156" s="766"/>
      <c r="AU156" s="766"/>
      <c r="AV156" s="766"/>
      <c r="AW156" s="766"/>
      <c r="AX156" s="766"/>
      <c r="AY156" s="766"/>
      <c r="AZ156" s="766"/>
      <c r="BA156" s="766"/>
      <c r="BB156" s="766"/>
      <c r="BC156" s="766"/>
      <c r="BD156" s="766"/>
      <c r="BE156" s="766"/>
      <c r="BF156" s="775"/>
      <c r="BG156" s="775"/>
      <c r="BH156" s="766"/>
      <c r="BI156" s="766"/>
      <c r="BJ156" s="766"/>
      <c r="BK156" s="766"/>
      <c r="BL156" s="766"/>
      <c r="BM156" s="766" t="s">
        <v>1238</v>
      </c>
      <c r="BN156" s="766" t="s">
        <v>1256</v>
      </c>
      <c r="BO156" s="766"/>
      <c r="BP156" s="776"/>
      <c r="BQ156" s="772"/>
      <c r="BR156" s="774"/>
      <c r="BS156" s="6" t="s">
        <v>1149</v>
      </c>
      <c r="BT156" s="766"/>
      <c r="BU156" s="766"/>
      <c r="BV156" s="766"/>
      <c r="BW156" s="766"/>
      <c r="BX156" s="779"/>
      <c r="BY156" s="766"/>
      <c r="BZ156" s="775"/>
      <c r="CA156" s="766"/>
      <c r="CB156" s="766"/>
      <c r="CC156" s="766"/>
      <c r="CD156" s="766"/>
      <c r="CE156" s="766"/>
      <c r="CF156" s="777"/>
      <c r="CG156" s="778"/>
      <c r="CH156" s="766"/>
      <c r="CI156" s="766"/>
      <c r="CJ156" s="766"/>
      <c r="CK156" s="766"/>
      <c r="CL156" s="766"/>
      <c r="CM156" s="766"/>
      <c r="CN156" s="766"/>
      <c r="CO156" s="766"/>
      <c r="CP156" s="766"/>
      <c r="CQ156" s="766"/>
      <c r="CR156" s="775"/>
      <c r="CS156" s="766"/>
      <c r="CT156" s="766"/>
      <c r="CU156" s="129"/>
      <c r="CV156" s="766"/>
      <c r="CW156" s="766"/>
      <c r="CX156" s="766"/>
      <c r="CY156" s="766"/>
      <c r="CZ156" s="766"/>
      <c r="DA156" s="766"/>
      <c r="DB156" s="766"/>
      <c r="DC156" s="766"/>
      <c r="DD156" s="766"/>
      <c r="DE156" s="766"/>
      <c r="DF156" s="766"/>
      <c r="DG156" s="766"/>
      <c r="DH156" s="766"/>
      <c r="DI156" s="766"/>
      <c r="DJ156" s="766"/>
      <c r="DK156" s="766"/>
      <c r="DL156" s="766"/>
      <c r="DM156" s="766"/>
      <c r="DN156" s="766"/>
      <c r="DO156" s="766"/>
      <c r="DP156" s="766"/>
      <c r="DQ156" s="766"/>
      <c r="DR156" s="766"/>
      <c r="DS156" s="59"/>
      <c r="DT156" s="766"/>
      <c r="DU156" s="766"/>
      <c r="DV156" s="766"/>
      <c r="DW156" s="66"/>
      <c r="DX156" s="66"/>
      <c r="DY156" s="766"/>
      <c r="DZ156" s="766"/>
      <c r="EA156" s="766"/>
      <c r="EB156" s="766"/>
      <c r="EC156" s="766"/>
      <c r="ED156" s="766"/>
      <c r="EE156" s="766"/>
      <c r="EF156" s="766"/>
      <c r="EG156" s="766"/>
      <c r="EH156" s="766"/>
      <c r="EI156" s="766"/>
      <c r="EJ156" s="766"/>
      <c r="EK156" s="766"/>
      <c r="EL156" s="766"/>
      <c r="EM156" s="766"/>
      <c r="EN156" s="766"/>
      <c r="EO156" s="766"/>
      <c r="EP156" s="766"/>
      <c r="EQ156" s="766"/>
      <c r="ER156" s="766"/>
      <c r="ES156" s="766"/>
      <c r="ET156" s="766"/>
      <c r="EU156" s="766"/>
      <c r="EV156" s="766"/>
      <c r="EW156" s="766"/>
      <c r="EX156" s="766"/>
      <c r="EY156" s="766"/>
      <c r="EZ156" s="766"/>
      <c r="FA156" s="766"/>
      <c r="FB156" s="766"/>
      <c r="FC156" s="766"/>
      <c r="FD156" s="775"/>
      <c r="FE156" s="766"/>
      <c r="FF156" s="766"/>
      <c r="FG156" s="770"/>
      <c r="FH156" s="766" t="s">
        <v>1306</v>
      </c>
      <c r="FI156" s="766">
        <v>1</v>
      </c>
      <c r="FJ156" s="766" t="s">
        <v>12082</v>
      </c>
      <c r="FK156" s="766"/>
      <c r="FL156" s="766"/>
      <c r="FM156" s="147">
        <v>1500</v>
      </c>
      <c r="FN156" s="775">
        <v>600</v>
      </c>
      <c r="FO156" s="775">
        <v>1400</v>
      </c>
      <c r="FP156" s="766" t="s">
        <v>12155</v>
      </c>
      <c r="FQ156" s="766" t="s">
        <v>1660</v>
      </c>
      <c r="FR156" s="766"/>
      <c r="FS156" s="766"/>
      <c r="FT156" s="766"/>
      <c r="FU156" s="766"/>
      <c r="FV156" s="766"/>
      <c r="FW156" s="766"/>
      <c r="FX156" s="766"/>
      <c r="FY156" s="766"/>
      <c r="FZ156" s="766"/>
      <c r="GA156" s="766"/>
      <c r="GB156" s="766"/>
      <c r="GC156" s="75"/>
      <c r="GD156" s="25"/>
      <c r="GE156" s="766"/>
      <c r="GF156" s="775"/>
      <c r="GG156" s="775"/>
      <c r="GH156" s="766"/>
      <c r="GI156" s="766"/>
      <c r="GJ156" s="766"/>
      <c r="GK156" s="766"/>
      <c r="GL156" s="766"/>
      <c r="GM156" s="766"/>
      <c r="GN156" s="82"/>
      <c r="GO156" s="766"/>
      <c r="GP156" s="766"/>
      <c r="GQ156" s="766"/>
      <c r="GR156" s="766"/>
      <c r="GS156" s="766"/>
      <c r="GT156" s="766"/>
      <c r="GU156" s="766"/>
      <c r="GV156" s="766"/>
      <c r="GW156" s="766"/>
      <c r="GX156" s="766"/>
      <c r="GY156" s="766"/>
      <c r="GZ156" s="766"/>
      <c r="HA156" s="766"/>
      <c r="HB156" s="766"/>
      <c r="HC156" s="766"/>
      <c r="HD156" s="766"/>
      <c r="HE156" s="766"/>
      <c r="HF156" s="766"/>
      <c r="HG156" s="766"/>
      <c r="HH156" s="766"/>
      <c r="HI156" s="766"/>
      <c r="HJ156" s="766"/>
      <c r="HK156" s="766"/>
      <c r="HL156" s="766"/>
      <c r="HM156" s="766"/>
      <c r="HN156" s="766"/>
      <c r="HO156" s="766"/>
      <c r="HP156" s="766"/>
      <c r="HQ156" s="766"/>
      <c r="HR156" s="766"/>
      <c r="HS156" s="766"/>
      <c r="HT156" s="766"/>
      <c r="HU156" s="766"/>
      <c r="HV156" s="766"/>
      <c r="HW156" s="766"/>
      <c r="HX156" s="766"/>
      <c r="HY156" s="766"/>
      <c r="HZ156" s="766"/>
      <c r="IA156" s="766"/>
      <c r="IB156" s="766"/>
      <c r="IC156" s="766"/>
      <c r="ID156" s="766"/>
      <c r="IE156" s="766"/>
      <c r="IF156" s="766"/>
      <c r="IG156" s="766"/>
      <c r="IH156" s="766"/>
      <c r="II156" s="766"/>
      <c r="IJ156" s="766"/>
      <c r="IK156" s="766"/>
      <c r="IL156" s="766"/>
      <c r="IM156" s="766"/>
      <c r="IN156" s="766"/>
      <c r="IO156" s="24"/>
      <c r="IP156" s="766"/>
      <c r="IQ156" s="766"/>
      <c r="IR156" s="766"/>
      <c r="IS156" s="766"/>
      <c r="IT156" s="766"/>
      <c r="IU156" s="766"/>
      <c r="IV156" s="766"/>
      <c r="IW156" s="766"/>
      <c r="IX156" s="766"/>
      <c r="IY156" s="766"/>
      <c r="IZ156" s="766"/>
      <c r="JA156" s="766"/>
      <c r="JB156" s="766"/>
      <c r="JC156" s="766"/>
      <c r="JD156" s="775"/>
      <c r="JE156" s="766"/>
      <c r="JF156" s="766"/>
      <c r="JG156" s="766"/>
      <c r="JH156" s="766"/>
      <c r="JI156" s="766"/>
      <c r="JJ156" s="766">
        <v>5</v>
      </c>
      <c r="JK156" s="766" t="s">
        <v>13211</v>
      </c>
      <c r="JL156" s="766"/>
      <c r="JM156" s="766">
        <v>1</v>
      </c>
      <c r="JN156" s="766">
        <v>2</v>
      </c>
      <c r="JO156" s="766">
        <v>2</v>
      </c>
      <c r="JP156" s="766"/>
      <c r="JQ156" s="766"/>
      <c r="JR156" s="766"/>
      <c r="JS156" s="766"/>
      <c r="JT156" s="766">
        <f t="shared" ref="JT156:JU159" si="40">SUM(JP156,JN156,JL156,JR156)</f>
        <v>2</v>
      </c>
      <c r="JU156" s="766">
        <f t="shared" si="40"/>
        <v>3</v>
      </c>
      <c r="JV156" s="766"/>
      <c r="JW156" s="766"/>
      <c r="JX156" s="766"/>
      <c r="JY156" s="766">
        <v>1</v>
      </c>
      <c r="JZ156" s="766"/>
      <c r="KA156" s="766"/>
      <c r="KB156" s="766">
        <v>2</v>
      </c>
      <c r="KC156" s="766">
        <v>1</v>
      </c>
      <c r="KD156" s="766"/>
      <c r="KE156" s="766">
        <v>1</v>
      </c>
      <c r="KF156" s="766"/>
      <c r="KG156" s="766"/>
      <c r="KH156" s="766"/>
      <c r="KI156" s="766"/>
      <c r="KJ156" s="770">
        <f t="shared" si="38"/>
        <v>2</v>
      </c>
      <c r="KK156" s="770">
        <f t="shared" si="38"/>
        <v>3</v>
      </c>
      <c r="KL156" s="770"/>
      <c r="KM156" s="770"/>
      <c r="KN156" s="766" t="s">
        <v>722</v>
      </c>
      <c r="KO156" s="766"/>
      <c r="KP156" s="766">
        <v>1</v>
      </c>
      <c r="KQ156" s="766"/>
      <c r="KR156" s="766"/>
      <c r="KS156" s="766"/>
      <c r="KT156" s="766"/>
      <c r="KU156" s="766"/>
      <c r="KV156" s="766"/>
      <c r="KW156" s="766">
        <v>1</v>
      </c>
      <c r="KX156" s="766"/>
      <c r="KY156" s="766"/>
      <c r="KZ156" s="766">
        <v>1</v>
      </c>
      <c r="LA156" s="766"/>
      <c r="LB156" s="766"/>
      <c r="LC156" s="766"/>
      <c r="LD156" s="766"/>
      <c r="LE156" s="766">
        <v>1</v>
      </c>
      <c r="LF156" s="766"/>
      <c r="LG156" s="766"/>
      <c r="LH156" s="766"/>
      <c r="LI156" s="766"/>
      <c r="LJ156" s="766"/>
      <c r="LK156" s="766">
        <v>1</v>
      </c>
      <c r="LL156" s="766"/>
      <c r="LM156" s="766"/>
      <c r="LN156" s="766">
        <f t="shared" si="39"/>
        <v>2</v>
      </c>
      <c r="LO156" s="766">
        <f t="shared" si="39"/>
        <v>3</v>
      </c>
      <c r="LP156" s="766">
        <v>3</v>
      </c>
      <c r="LQ156" s="766">
        <v>3</v>
      </c>
      <c r="LR156" s="766"/>
      <c r="LS156" s="766"/>
      <c r="LT156" s="766"/>
      <c r="LU156" s="766">
        <v>1</v>
      </c>
      <c r="LV156" s="766"/>
      <c r="LW156" s="766">
        <v>2</v>
      </c>
      <c r="LX156" s="769">
        <v>1</v>
      </c>
      <c r="LY156" s="766" t="str">
        <f t="shared" si="36"/>
        <v>within the BRGY</v>
      </c>
      <c r="LZ156" s="66"/>
      <c r="MA156" s="766"/>
      <c r="MB156" s="766"/>
      <c r="MC156" s="1679">
        <f t="shared" si="24"/>
        <v>0</v>
      </c>
      <c r="MD156" s="66">
        <f>4500+8000</f>
        <v>12500</v>
      </c>
      <c r="ME156" s="66"/>
      <c r="MF156" s="66">
        <v>3000</v>
      </c>
      <c r="MG156" s="1680">
        <f t="shared" si="34"/>
        <v>15500</v>
      </c>
      <c r="MH156" s="766" t="s">
        <v>13212</v>
      </c>
      <c r="MI156" s="775">
        <v>6000</v>
      </c>
      <c r="MJ156" s="775"/>
      <c r="MK156" s="775">
        <v>200</v>
      </c>
      <c r="ML156" s="775"/>
      <c r="MM156" s="775">
        <v>1500</v>
      </c>
      <c r="MN156" s="775"/>
      <c r="MO156" s="775">
        <v>1400</v>
      </c>
      <c r="MP156" s="775">
        <v>600</v>
      </c>
      <c r="MQ156" s="775">
        <v>600</v>
      </c>
      <c r="MR156" s="775"/>
      <c r="MS156" s="775"/>
      <c r="MT156" s="775"/>
      <c r="MU156" s="775"/>
      <c r="MV156" s="775"/>
      <c r="MW156" s="775"/>
      <c r="MX156" s="775"/>
      <c r="MY156" s="1682">
        <f t="shared" si="35"/>
        <v>10300</v>
      </c>
      <c r="MZ156" s="766" t="s">
        <v>13150</v>
      </c>
      <c r="NA156" s="766" t="s">
        <v>13005</v>
      </c>
      <c r="NB156" s="766" t="s">
        <v>13016</v>
      </c>
      <c r="NC156" s="766" t="s">
        <v>13007</v>
      </c>
      <c r="ND156" s="766">
        <v>0</v>
      </c>
      <c r="NE156" s="766">
        <v>0</v>
      </c>
      <c r="NF156" s="766">
        <v>0</v>
      </c>
      <c r="NG156" s="766">
        <v>2</v>
      </c>
      <c r="NH156" s="766">
        <v>1</v>
      </c>
      <c r="NI156" s="766">
        <v>0</v>
      </c>
      <c r="NJ156" s="766">
        <v>1</v>
      </c>
      <c r="NK156" s="766">
        <v>0</v>
      </c>
      <c r="NL156" s="766">
        <v>1</v>
      </c>
      <c r="NM156" s="766">
        <v>1</v>
      </c>
      <c r="NN156" s="766">
        <v>0</v>
      </c>
      <c r="NO156" s="766">
        <v>0</v>
      </c>
      <c r="NP156" s="766">
        <v>0</v>
      </c>
      <c r="NQ156" s="766">
        <v>0</v>
      </c>
      <c r="NR156" s="766">
        <v>0</v>
      </c>
      <c r="NS156" s="766">
        <v>0</v>
      </c>
      <c r="NT156" s="766">
        <v>0</v>
      </c>
      <c r="NU156" s="766">
        <v>0</v>
      </c>
      <c r="NV156" s="766">
        <v>0</v>
      </c>
      <c r="NW156" s="766">
        <v>0</v>
      </c>
      <c r="NX156" s="766">
        <v>0</v>
      </c>
      <c r="NY156" s="766" t="s">
        <v>1208</v>
      </c>
      <c r="NZ156" s="766"/>
      <c r="OA156" s="766"/>
      <c r="OB156" s="766" t="s">
        <v>1208</v>
      </c>
      <c r="OC156" s="766"/>
      <c r="OD156" s="766"/>
      <c r="OE156" s="766"/>
      <c r="OF156" s="766"/>
      <c r="OG156" s="766"/>
      <c r="OH156" s="766"/>
      <c r="OI156" s="766"/>
      <c r="OJ156" s="766"/>
      <c r="OK156" s="766"/>
      <c r="OL156" s="766"/>
      <c r="OM156" s="766"/>
      <c r="ON156" s="766"/>
      <c r="OO156" s="766"/>
      <c r="OP156" s="766"/>
      <c r="OQ156" s="766"/>
      <c r="OR156" s="766"/>
      <c r="OS156" s="766"/>
      <c r="OT156" s="766"/>
      <c r="OU156" s="766"/>
      <c r="OV156" s="766"/>
      <c r="OW156" s="766"/>
      <c r="OX156" s="766"/>
      <c r="OY156" s="766"/>
      <c r="OZ156" s="766"/>
      <c r="PA156" s="766"/>
      <c r="PB156" s="766"/>
      <c r="PC156" s="766"/>
      <c r="PD156" s="766"/>
      <c r="PE156" s="766"/>
      <c r="PF156" s="766"/>
      <c r="PG156" s="766"/>
      <c r="PH156" s="766"/>
      <c r="PI156" s="766"/>
      <c r="PJ156" s="766"/>
      <c r="PK156" s="766"/>
      <c r="PL156" s="766"/>
      <c r="PM156" s="766"/>
      <c r="PN156" s="766"/>
      <c r="PO156" s="766"/>
      <c r="PP156" s="766"/>
      <c r="PQ156" s="766"/>
      <c r="PR156" s="766"/>
      <c r="PS156" s="766" t="s">
        <v>1208</v>
      </c>
      <c r="PT156" s="766" t="s">
        <v>1208</v>
      </c>
      <c r="PU156" s="766"/>
      <c r="PV156" s="766"/>
      <c r="PW156" s="766"/>
      <c r="PX156" s="766"/>
      <c r="PY156" s="766"/>
      <c r="PZ156" s="766"/>
      <c r="QA156" s="766"/>
      <c r="QB156" s="766"/>
      <c r="QC156" s="766"/>
      <c r="QD156" s="766"/>
      <c r="QE156" s="766"/>
      <c r="QF156" s="766"/>
      <c r="QG156" s="766"/>
      <c r="QH156" s="766"/>
      <c r="QI156" s="766"/>
      <c r="QJ156" s="766"/>
      <c r="QK156" s="766"/>
      <c r="QL156" s="766"/>
      <c r="QM156" s="766"/>
      <c r="QN156" s="766"/>
      <c r="QO156" s="766"/>
      <c r="QP156" s="766"/>
      <c r="QQ156" s="766"/>
      <c r="QR156" s="766"/>
      <c r="QS156" s="766"/>
      <c r="QT156" s="766"/>
      <c r="QU156" s="766"/>
      <c r="QV156" s="766"/>
      <c r="QW156" s="766"/>
      <c r="QX156" s="766"/>
      <c r="QY156" s="766"/>
      <c r="QZ156" s="766"/>
      <c r="RA156" s="766"/>
      <c r="RB156" s="766" t="s">
        <v>1214</v>
      </c>
      <c r="RC156" s="766"/>
      <c r="RD156" s="766"/>
      <c r="RE156" s="766"/>
      <c r="RF156" s="777"/>
      <c r="RG156" s="766"/>
      <c r="RH156" s="775"/>
      <c r="RI156" s="766"/>
      <c r="RJ156" s="766" t="s">
        <v>13211</v>
      </c>
      <c r="RK156" s="766"/>
      <c r="RL156" s="1683"/>
      <c r="RM156" s="12"/>
      <c r="RN156" s="1711"/>
      <c r="RO156" s="171" t="s">
        <v>11853</v>
      </c>
      <c r="RP156" s="11"/>
      <c r="RQ156" s="11"/>
      <c r="RR156" s="17"/>
      <c r="RS156" s="766"/>
      <c r="RT156" s="11"/>
      <c r="RU156" s="11"/>
      <c r="RV156" s="766" t="s">
        <v>12438</v>
      </c>
      <c r="RW156" s="11" t="s">
        <v>12371</v>
      </c>
      <c r="RX156" s="11" t="s">
        <v>11853</v>
      </c>
      <c r="RY156" s="11"/>
      <c r="RZ156" s="11"/>
      <c r="SA156" s="766"/>
      <c r="SB156" s="11"/>
      <c r="SC156" s="11"/>
    </row>
    <row r="157" spans="1:497" ht="12.75" hidden="1" customHeight="1">
      <c r="A157" s="19" t="s">
        <v>14155</v>
      </c>
      <c r="B157" s="288" t="s">
        <v>12160</v>
      </c>
      <c r="C157" s="171" t="s">
        <v>11853</v>
      </c>
      <c r="D157" s="766" t="s">
        <v>12164</v>
      </c>
      <c r="E157" s="766" t="s">
        <v>12011</v>
      </c>
      <c r="F157" s="766" t="s">
        <v>20</v>
      </c>
      <c r="G157" s="766" t="s">
        <v>18</v>
      </c>
      <c r="H157" s="766"/>
      <c r="I157" s="5" t="s">
        <v>12168</v>
      </c>
      <c r="J157" s="766" t="s">
        <v>12170</v>
      </c>
      <c r="K157" s="766" t="s">
        <v>12055</v>
      </c>
      <c r="L157" s="766" t="s">
        <v>12056</v>
      </c>
      <c r="M157" s="766"/>
      <c r="N157" s="766" t="s">
        <v>12014</v>
      </c>
      <c r="O157" s="766" t="s">
        <v>12038</v>
      </c>
      <c r="P157" s="766" t="s">
        <v>12170</v>
      </c>
      <c r="Q157" s="1085">
        <v>29678</v>
      </c>
      <c r="R157" s="25">
        <v>36</v>
      </c>
      <c r="S157" s="766" t="s">
        <v>10</v>
      </c>
      <c r="T157" s="766"/>
      <c r="U157" s="5" t="s">
        <v>12177</v>
      </c>
      <c r="V157" s="766" t="s">
        <v>722</v>
      </c>
      <c r="W157" s="766"/>
      <c r="X157" s="24"/>
      <c r="Y157" s="766" t="s">
        <v>12011</v>
      </c>
      <c r="Z157" s="766" t="s">
        <v>708</v>
      </c>
      <c r="AA157" s="766" t="s">
        <v>709</v>
      </c>
      <c r="AB157" s="766" t="s">
        <v>12175</v>
      </c>
      <c r="AC157" s="766" t="s">
        <v>12058</v>
      </c>
      <c r="AD157" s="766"/>
      <c r="AE157" s="766"/>
      <c r="AF157" s="766" t="s">
        <v>10996</v>
      </c>
      <c r="AG157" s="766"/>
      <c r="AH157" s="766"/>
      <c r="AI157" s="766"/>
      <c r="AJ157" s="766"/>
      <c r="AK157" s="766" t="s">
        <v>12178</v>
      </c>
      <c r="AL157" s="121"/>
      <c r="AM157" s="772"/>
      <c r="AN157" s="774"/>
      <c r="AO157" s="766"/>
      <c r="AP157" s="766"/>
      <c r="AQ157" s="766"/>
      <c r="AR157" s="766"/>
      <c r="AS157" s="766"/>
      <c r="AT157" s="766"/>
      <c r="AU157" s="766"/>
      <c r="AV157" s="766"/>
      <c r="AW157" s="766"/>
      <c r="AX157" s="766"/>
      <c r="AY157" s="766"/>
      <c r="AZ157" s="766"/>
      <c r="BA157" s="766"/>
      <c r="BB157" s="766"/>
      <c r="BC157" s="766"/>
      <c r="BD157" s="766"/>
      <c r="BE157" s="766"/>
      <c r="BF157" s="775"/>
      <c r="BG157" s="775"/>
      <c r="BH157" s="766"/>
      <c r="BI157" s="766"/>
      <c r="BJ157" s="766"/>
      <c r="BK157" s="766"/>
      <c r="BL157" s="766"/>
      <c r="BM157" s="766" t="s">
        <v>1238</v>
      </c>
      <c r="BN157" s="766" t="s">
        <v>1256</v>
      </c>
      <c r="BO157" s="766"/>
      <c r="BP157" s="776"/>
      <c r="BQ157" s="772"/>
      <c r="BR157" s="774"/>
      <c r="BS157" s="6" t="s">
        <v>1149</v>
      </c>
      <c r="BT157" s="766"/>
      <c r="BU157" s="766"/>
      <c r="BV157" s="766"/>
      <c r="BW157" s="766"/>
      <c r="BX157" s="779"/>
      <c r="BY157" s="766"/>
      <c r="BZ157" s="775"/>
      <c r="CA157" s="766"/>
      <c r="CB157" s="766"/>
      <c r="CC157" s="766"/>
      <c r="CD157" s="766"/>
      <c r="CE157" s="766"/>
      <c r="CF157" s="777"/>
      <c r="CG157" s="778"/>
      <c r="CH157" s="766"/>
      <c r="CI157" s="766"/>
      <c r="CJ157" s="766"/>
      <c r="CK157" s="766"/>
      <c r="CL157" s="766"/>
      <c r="CM157" s="766"/>
      <c r="CN157" s="766"/>
      <c r="CO157" s="766"/>
      <c r="CP157" s="766"/>
      <c r="CQ157" s="766"/>
      <c r="CR157" s="775"/>
      <c r="CS157" s="766"/>
      <c r="CT157" s="766"/>
      <c r="CU157" s="129"/>
      <c r="CV157" s="766"/>
      <c r="CW157" s="766"/>
      <c r="CX157" s="766"/>
      <c r="CY157" s="766"/>
      <c r="CZ157" s="766"/>
      <c r="DA157" s="766"/>
      <c r="DB157" s="766"/>
      <c r="DC157" s="766"/>
      <c r="DD157" s="766"/>
      <c r="DE157" s="766"/>
      <c r="DF157" s="766"/>
      <c r="DG157" s="766"/>
      <c r="DH157" s="766"/>
      <c r="DI157" s="766"/>
      <c r="DJ157" s="766"/>
      <c r="DK157" s="766"/>
      <c r="DL157" s="766"/>
      <c r="DM157" s="766"/>
      <c r="DN157" s="766"/>
      <c r="DO157" s="766"/>
      <c r="DP157" s="766"/>
      <c r="DQ157" s="766"/>
      <c r="DR157" s="766"/>
      <c r="DS157" s="59"/>
      <c r="DT157" s="766"/>
      <c r="DU157" s="766"/>
      <c r="DV157" s="766"/>
      <c r="DW157" s="66"/>
      <c r="DX157" s="66"/>
      <c r="DY157" s="766"/>
      <c r="DZ157" s="766"/>
      <c r="EA157" s="766"/>
      <c r="EB157" s="766"/>
      <c r="EC157" s="766"/>
      <c r="ED157" s="766"/>
      <c r="EE157" s="766"/>
      <c r="EF157" s="766"/>
      <c r="EG157" s="766"/>
      <c r="EH157" s="766"/>
      <c r="EI157" s="766"/>
      <c r="EJ157" s="766"/>
      <c r="EK157" s="766"/>
      <c r="EL157" s="766"/>
      <c r="EM157" s="766"/>
      <c r="EN157" s="766"/>
      <c r="EO157" s="766"/>
      <c r="EP157" s="766"/>
      <c r="EQ157" s="766"/>
      <c r="ER157" s="766"/>
      <c r="ES157" s="766"/>
      <c r="ET157" s="766"/>
      <c r="EU157" s="766"/>
      <c r="EV157" s="766"/>
      <c r="EW157" s="766"/>
      <c r="EX157" s="766"/>
      <c r="EY157" s="766"/>
      <c r="EZ157" s="766"/>
      <c r="FA157" s="766"/>
      <c r="FB157" s="766"/>
      <c r="FC157" s="766"/>
      <c r="FD157" s="775"/>
      <c r="FE157" s="766"/>
      <c r="FF157" s="766"/>
      <c r="FG157" s="770"/>
      <c r="FH157" s="766" t="s">
        <v>1306</v>
      </c>
      <c r="FI157" s="766">
        <v>1</v>
      </c>
      <c r="FJ157" s="766" t="s">
        <v>12082</v>
      </c>
      <c r="FK157" s="766"/>
      <c r="FL157" s="766"/>
      <c r="FM157" s="147">
        <v>800</v>
      </c>
      <c r="FN157" s="775">
        <v>500</v>
      </c>
      <c r="FO157" s="775">
        <v>500</v>
      </c>
      <c r="FP157" s="766" t="s">
        <v>12155</v>
      </c>
      <c r="FQ157" s="766" t="s">
        <v>1660</v>
      </c>
      <c r="FR157" s="766"/>
      <c r="FS157" s="766"/>
      <c r="FT157" s="766"/>
      <c r="FU157" s="766"/>
      <c r="FV157" s="766"/>
      <c r="FW157" s="766"/>
      <c r="FX157" s="766"/>
      <c r="FY157" s="766"/>
      <c r="FZ157" s="766"/>
      <c r="GA157" s="766"/>
      <c r="GB157" s="766"/>
      <c r="GC157" s="75"/>
      <c r="GD157" s="25"/>
      <c r="GE157" s="766"/>
      <c r="GF157" s="775"/>
      <c r="GG157" s="775"/>
      <c r="GH157" s="766"/>
      <c r="GI157" s="766"/>
      <c r="GJ157" s="766"/>
      <c r="GK157" s="766"/>
      <c r="GL157" s="766"/>
      <c r="GM157" s="766"/>
      <c r="GN157" s="82"/>
      <c r="GO157" s="766"/>
      <c r="GP157" s="766"/>
      <c r="GQ157" s="766"/>
      <c r="GR157" s="766"/>
      <c r="GS157" s="766"/>
      <c r="GT157" s="766"/>
      <c r="GU157" s="766"/>
      <c r="GV157" s="766"/>
      <c r="GW157" s="766"/>
      <c r="GX157" s="766"/>
      <c r="GY157" s="766"/>
      <c r="GZ157" s="766"/>
      <c r="HA157" s="766"/>
      <c r="HB157" s="766"/>
      <c r="HC157" s="766"/>
      <c r="HD157" s="766"/>
      <c r="HE157" s="766"/>
      <c r="HF157" s="766"/>
      <c r="HG157" s="766"/>
      <c r="HH157" s="766"/>
      <c r="HI157" s="766"/>
      <c r="HJ157" s="766"/>
      <c r="HK157" s="766"/>
      <c r="HL157" s="766"/>
      <c r="HM157" s="766"/>
      <c r="HN157" s="766"/>
      <c r="HO157" s="766"/>
      <c r="HP157" s="766"/>
      <c r="HQ157" s="766"/>
      <c r="HR157" s="766"/>
      <c r="HS157" s="766"/>
      <c r="HT157" s="766"/>
      <c r="HU157" s="766"/>
      <c r="HV157" s="766"/>
      <c r="HW157" s="766"/>
      <c r="HX157" s="766"/>
      <c r="HY157" s="766"/>
      <c r="HZ157" s="766"/>
      <c r="IA157" s="766"/>
      <c r="IB157" s="766"/>
      <c r="IC157" s="766"/>
      <c r="ID157" s="766"/>
      <c r="IE157" s="766"/>
      <c r="IF157" s="766"/>
      <c r="IG157" s="766"/>
      <c r="IH157" s="766"/>
      <c r="II157" s="766"/>
      <c r="IJ157" s="766"/>
      <c r="IK157" s="766"/>
      <c r="IL157" s="766"/>
      <c r="IM157" s="766"/>
      <c r="IN157" s="766"/>
      <c r="IO157" s="24"/>
      <c r="IP157" s="766"/>
      <c r="IQ157" s="766"/>
      <c r="IR157" s="766"/>
      <c r="IS157" s="766"/>
      <c r="IT157" s="766"/>
      <c r="IU157" s="766"/>
      <c r="IV157" s="766"/>
      <c r="IW157" s="766"/>
      <c r="IX157" s="766"/>
      <c r="IY157" s="766"/>
      <c r="IZ157" s="766"/>
      <c r="JA157" s="766"/>
      <c r="JB157" s="766"/>
      <c r="JC157" s="766"/>
      <c r="JD157" s="775"/>
      <c r="JE157" s="766"/>
      <c r="JF157" s="766"/>
      <c r="JG157" s="766"/>
      <c r="JH157" s="766"/>
      <c r="JI157" s="766"/>
      <c r="JJ157" s="766">
        <v>5</v>
      </c>
      <c r="JK157" s="766" t="s">
        <v>13213</v>
      </c>
      <c r="JL157" s="766"/>
      <c r="JM157" s="766">
        <v>3</v>
      </c>
      <c r="JN157" s="766">
        <v>1</v>
      </c>
      <c r="JO157" s="766">
        <v>1</v>
      </c>
      <c r="JP157" s="766"/>
      <c r="JQ157" s="766"/>
      <c r="JR157" s="766"/>
      <c r="JS157" s="766"/>
      <c r="JT157" s="766">
        <f t="shared" si="40"/>
        <v>1</v>
      </c>
      <c r="JU157" s="766">
        <f t="shared" si="40"/>
        <v>4</v>
      </c>
      <c r="JV157" s="766"/>
      <c r="JW157" s="766"/>
      <c r="JX157" s="766"/>
      <c r="JY157" s="766">
        <v>1</v>
      </c>
      <c r="JZ157" s="766"/>
      <c r="KA157" s="766">
        <v>2</v>
      </c>
      <c r="KB157" s="766"/>
      <c r="KC157" s="766"/>
      <c r="KD157" s="766">
        <v>1</v>
      </c>
      <c r="KE157" s="766">
        <v>1</v>
      </c>
      <c r="KF157" s="766"/>
      <c r="KG157" s="766"/>
      <c r="KH157" s="766"/>
      <c r="KI157" s="766"/>
      <c r="KJ157" s="770">
        <f t="shared" si="38"/>
        <v>1</v>
      </c>
      <c r="KK157" s="770">
        <f t="shared" si="38"/>
        <v>4</v>
      </c>
      <c r="KL157" s="770"/>
      <c r="KM157" s="770"/>
      <c r="KN157" s="766" t="s">
        <v>722</v>
      </c>
      <c r="KO157" s="766"/>
      <c r="KP157" s="766"/>
      <c r="KQ157" s="766"/>
      <c r="KR157" s="766"/>
      <c r="KS157" s="766"/>
      <c r="KT157" s="766"/>
      <c r="KU157" s="766">
        <v>2</v>
      </c>
      <c r="KV157" s="766"/>
      <c r="KW157" s="766"/>
      <c r="KX157" s="766">
        <v>1</v>
      </c>
      <c r="KY157" s="766">
        <v>1</v>
      </c>
      <c r="KZ157" s="766"/>
      <c r="LA157" s="766"/>
      <c r="LB157" s="766"/>
      <c r="LC157" s="766"/>
      <c r="LD157" s="766"/>
      <c r="LE157" s="766"/>
      <c r="LF157" s="766"/>
      <c r="LG157" s="766"/>
      <c r="LH157" s="766"/>
      <c r="LI157" s="766"/>
      <c r="LJ157" s="766"/>
      <c r="LK157" s="766">
        <v>1</v>
      </c>
      <c r="LL157" s="766"/>
      <c r="LM157" s="766"/>
      <c r="LN157" s="766">
        <f t="shared" si="39"/>
        <v>1</v>
      </c>
      <c r="LO157" s="766">
        <f t="shared" si="39"/>
        <v>4</v>
      </c>
      <c r="LP157" s="766"/>
      <c r="LQ157" s="766">
        <v>1</v>
      </c>
      <c r="LR157" s="766"/>
      <c r="LS157" s="766"/>
      <c r="LT157" s="766"/>
      <c r="LU157" s="766"/>
      <c r="LV157" s="766"/>
      <c r="LW157" s="766">
        <v>1</v>
      </c>
      <c r="LX157" s="769">
        <v>4</v>
      </c>
      <c r="LY157" s="766" t="str">
        <f t="shared" si="36"/>
        <v>OTHER Province</v>
      </c>
      <c r="LZ157" s="66">
        <v>800</v>
      </c>
      <c r="MA157" s="766"/>
      <c r="MB157" s="766"/>
      <c r="MC157" s="1679">
        <f t="shared" si="24"/>
        <v>800</v>
      </c>
      <c r="MD157" s="66">
        <f>400*26</f>
        <v>10400</v>
      </c>
      <c r="ME157" s="66"/>
      <c r="MF157" s="66"/>
      <c r="MG157" s="1680">
        <f t="shared" si="34"/>
        <v>10400</v>
      </c>
      <c r="MH157" s="766" t="s">
        <v>2198</v>
      </c>
      <c r="MI157" s="775">
        <v>4000</v>
      </c>
      <c r="MJ157" s="775">
        <v>600</v>
      </c>
      <c r="MK157" s="775"/>
      <c r="ML157" s="775">
        <v>100</v>
      </c>
      <c r="MM157" s="775">
        <v>1200</v>
      </c>
      <c r="MN157" s="775">
        <v>800</v>
      </c>
      <c r="MO157" s="775">
        <v>600</v>
      </c>
      <c r="MP157" s="775">
        <v>500</v>
      </c>
      <c r="MQ157" s="775">
        <v>300</v>
      </c>
      <c r="MR157" s="775">
        <v>500</v>
      </c>
      <c r="MS157" s="775"/>
      <c r="MT157" s="775"/>
      <c r="MU157" s="775"/>
      <c r="MV157" s="775"/>
      <c r="MW157" s="775"/>
      <c r="MX157" s="775"/>
      <c r="MY157" s="1682">
        <f t="shared" si="35"/>
        <v>8600</v>
      </c>
      <c r="MZ157" s="766" t="s">
        <v>13214</v>
      </c>
      <c r="NA157" s="766"/>
      <c r="NB157" s="766" t="s">
        <v>13092</v>
      </c>
      <c r="NC157" s="766" t="s">
        <v>13135</v>
      </c>
      <c r="ND157" s="766">
        <v>0</v>
      </c>
      <c r="NE157" s="766">
        <v>0</v>
      </c>
      <c r="NF157" s="766">
        <v>0</v>
      </c>
      <c r="NG157" s="766">
        <v>1</v>
      </c>
      <c r="NH157" s="766">
        <v>1</v>
      </c>
      <c r="NI157" s="766">
        <v>0</v>
      </c>
      <c r="NJ157" s="766">
        <v>1</v>
      </c>
      <c r="NK157" s="766">
        <v>0</v>
      </c>
      <c r="NL157" s="766">
        <v>0</v>
      </c>
      <c r="NM157" s="766">
        <v>1</v>
      </c>
      <c r="NN157" s="766">
        <v>0</v>
      </c>
      <c r="NO157" s="766">
        <v>0</v>
      </c>
      <c r="NP157" s="766">
        <v>0</v>
      </c>
      <c r="NQ157" s="766">
        <v>0</v>
      </c>
      <c r="NR157" s="766">
        <v>0</v>
      </c>
      <c r="NS157" s="766">
        <v>0</v>
      </c>
      <c r="NT157" s="766">
        <v>0</v>
      </c>
      <c r="NU157" s="766">
        <v>0</v>
      </c>
      <c r="NV157" s="766">
        <v>0</v>
      </c>
      <c r="NW157" s="766">
        <v>0</v>
      </c>
      <c r="NX157" s="766">
        <v>0</v>
      </c>
      <c r="NY157" s="766" t="s">
        <v>1208</v>
      </c>
      <c r="NZ157" s="766" t="s">
        <v>1208</v>
      </c>
      <c r="OA157" s="766" t="s">
        <v>1208</v>
      </c>
      <c r="OB157" s="766" t="s">
        <v>1208</v>
      </c>
      <c r="OC157" s="766" t="s">
        <v>1208</v>
      </c>
      <c r="OD157" s="766" t="s">
        <v>1208</v>
      </c>
      <c r="OE157" s="766"/>
      <c r="OF157" s="766"/>
      <c r="OG157" s="766"/>
      <c r="OH157" s="766"/>
      <c r="OI157" s="766"/>
      <c r="OJ157" s="766"/>
      <c r="OK157" s="766"/>
      <c r="OL157" s="766"/>
      <c r="OM157" s="766"/>
      <c r="ON157" s="766"/>
      <c r="OO157" s="766"/>
      <c r="OP157" s="766"/>
      <c r="OQ157" s="766"/>
      <c r="OR157" s="766"/>
      <c r="OS157" s="766"/>
      <c r="OT157" s="766"/>
      <c r="OU157" s="766"/>
      <c r="OV157" s="766"/>
      <c r="OW157" s="766"/>
      <c r="OX157" s="766"/>
      <c r="OY157" s="766"/>
      <c r="OZ157" s="766"/>
      <c r="PA157" s="766"/>
      <c r="PB157" s="766"/>
      <c r="PC157" s="766"/>
      <c r="PD157" s="766"/>
      <c r="PE157" s="766"/>
      <c r="PF157" s="766"/>
      <c r="PG157" s="766"/>
      <c r="PH157" s="766"/>
      <c r="PI157" s="766"/>
      <c r="PJ157" s="766"/>
      <c r="PK157" s="766"/>
      <c r="PL157" s="766"/>
      <c r="PM157" s="766"/>
      <c r="PN157" s="766"/>
      <c r="PO157" s="766"/>
      <c r="PP157" s="766"/>
      <c r="PQ157" s="766"/>
      <c r="PR157" s="766" t="s">
        <v>1208</v>
      </c>
      <c r="PS157" s="766" t="s">
        <v>1208</v>
      </c>
      <c r="PT157" s="766" t="s">
        <v>1208</v>
      </c>
      <c r="PU157" s="766"/>
      <c r="PV157" s="766"/>
      <c r="PW157" s="766"/>
      <c r="PX157" s="766"/>
      <c r="PY157" s="766"/>
      <c r="PZ157" s="766"/>
      <c r="QA157" s="766"/>
      <c r="QB157" s="766"/>
      <c r="QC157" s="766"/>
      <c r="QD157" s="766"/>
      <c r="QE157" s="766"/>
      <c r="QF157" s="766"/>
      <c r="QG157" s="766"/>
      <c r="QH157" s="766"/>
      <c r="QI157" s="766"/>
      <c r="QJ157" s="766"/>
      <c r="QK157" s="766"/>
      <c r="QL157" s="766"/>
      <c r="QM157" s="766"/>
      <c r="QN157" s="766"/>
      <c r="QO157" s="766"/>
      <c r="QP157" s="766"/>
      <c r="QQ157" s="766"/>
      <c r="QR157" s="766"/>
      <c r="QS157" s="766"/>
      <c r="QT157" s="766"/>
      <c r="QU157" s="766"/>
      <c r="QV157" s="766"/>
      <c r="QW157" s="766"/>
      <c r="QX157" s="766"/>
      <c r="QY157" s="766"/>
      <c r="QZ157" s="766"/>
      <c r="RA157" s="766"/>
      <c r="RB157" s="766" t="s">
        <v>1214</v>
      </c>
      <c r="RC157" s="766"/>
      <c r="RD157" s="766"/>
      <c r="RE157" s="766"/>
      <c r="RF157" s="777"/>
      <c r="RG157" s="766"/>
      <c r="RH157" s="775"/>
      <c r="RI157" s="766"/>
      <c r="RJ157" s="766" t="s">
        <v>13215</v>
      </c>
      <c r="RK157" s="766"/>
      <c r="RL157" s="1683"/>
      <c r="RM157" s="12"/>
      <c r="RN157" s="1711"/>
      <c r="RO157" s="171" t="s">
        <v>11853</v>
      </c>
      <c r="RP157" s="11"/>
      <c r="RQ157" s="11"/>
      <c r="RR157" s="17"/>
      <c r="RS157" s="766"/>
      <c r="RT157" s="11"/>
      <c r="RU157" s="11"/>
      <c r="RV157" s="766" t="s">
        <v>12438</v>
      </c>
      <c r="RW157" s="11" t="s">
        <v>12158</v>
      </c>
      <c r="RX157" s="11" t="s">
        <v>11853</v>
      </c>
      <c r="RY157" s="11"/>
      <c r="RZ157" s="11"/>
      <c r="SA157" s="766"/>
      <c r="SB157" s="11"/>
      <c r="SC157" s="11"/>
    </row>
    <row r="158" spans="1:497" ht="12.75" hidden="1" customHeight="1">
      <c r="A158" s="19" t="s">
        <v>14155</v>
      </c>
      <c r="B158" s="288" t="s">
        <v>12156</v>
      </c>
      <c r="C158" s="171" t="s">
        <v>11853</v>
      </c>
      <c r="D158" s="766" t="s">
        <v>12165</v>
      </c>
      <c r="E158" s="766" t="s">
        <v>12011</v>
      </c>
      <c r="F158" s="766" t="s">
        <v>28</v>
      </c>
      <c r="G158" s="766" t="s">
        <v>18</v>
      </c>
      <c r="H158" s="766"/>
      <c r="I158" s="5" t="s">
        <v>12079</v>
      </c>
      <c r="J158" s="766" t="s">
        <v>12078</v>
      </c>
      <c r="K158" s="766" t="s">
        <v>12080</v>
      </c>
      <c r="L158" s="766" t="s">
        <v>12064</v>
      </c>
      <c r="M158" s="766"/>
      <c r="N158" s="766" t="s">
        <v>12038</v>
      </c>
      <c r="O158" s="766" t="s">
        <v>12014</v>
      </c>
      <c r="P158" s="766" t="s">
        <v>12078</v>
      </c>
      <c r="Q158" s="1085" t="s">
        <v>12081</v>
      </c>
      <c r="R158" s="25">
        <v>48</v>
      </c>
      <c r="S158" s="766" t="s">
        <v>18</v>
      </c>
      <c r="T158" s="766"/>
      <c r="U158" s="5" t="s">
        <v>12079</v>
      </c>
      <c r="V158" s="766" t="s">
        <v>768</v>
      </c>
      <c r="W158" s="766"/>
      <c r="X158" s="24"/>
      <c r="Y158" s="766" t="s">
        <v>12011</v>
      </c>
      <c r="Z158" s="766" t="s">
        <v>708</v>
      </c>
      <c r="AA158" s="766" t="s">
        <v>739</v>
      </c>
      <c r="AB158" s="766" t="s">
        <v>12065</v>
      </c>
      <c r="AC158" s="766"/>
      <c r="AD158" s="766"/>
      <c r="AE158" s="766"/>
      <c r="AF158" s="766"/>
      <c r="AG158" s="766"/>
      <c r="AH158" s="766"/>
      <c r="AI158" s="766"/>
      <c r="AJ158" s="766"/>
      <c r="AK158" s="766" t="s">
        <v>12178</v>
      </c>
      <c r="AL158" s="121"/>
      <c r="AM158" s="772"/>
      <c r="AN158" s="774"/>
      <c r="AO158" s="766"/>
      <c r="AP158" s="766"/>
      <c r="AQ158" s="766"/>
      <c r="AR158" s="766"/>
      <c r="AS158" s="766"/>
      <c r="AT158" s="766"/>
      <c r="AU158" s="766"/>
      <c r="AV158" s="766"/>
      <c r="AW158" s="766"/>
      <c r="AX158" s="766"/>
      <c r="AY158" s="766"/>
      <c r="AZ158" s="766"/>
      <c r="BA158" s="766"/>
      <c r="BB158" s="766"/>
      <c r="BC158" s="766"/>
      <c r="BD158" s="766"/>
      <c r="BE158" s="766"/>
      <c r="BF158" s="775"/>
      <c r="BG158" s="775"/>
      <c r="BH158" s="766"/>
      <c r="BI158" s="766"/>
      <c r="BJ158" s="766"/>
      <c r="BK158" s="766"/>
      <c r="BL158" s="766"/>
      <c r="BM158" s="766" t="s">
        <v>1238</v>
      </c>
      <c r="BN158" s="766" t="s">
        <v>1256</v>
      </c>
      <c r="BO158" s="766"/>
      <c r="BP158" s="776"/>
      <c r="BQ158" s="772"/>
      <c r="BR158" s="774"/>
      <c r="BS158" s="6" t="s">
        <v>1149</v>
      </c>
      <c r="BT158" s="766"/>
      <c r="BU158" s="766"/>
      <c r="BV158" s="766"/>
      <c r="BW158" s="766"/>
      <c r="BX158" s="779"/>
      <c r="BY158" s="766"/>
      <c r="BZ158" s="775"/>
      <c r="CA158" s="766"/>
      <c r="CB158" s="766"/>
      <c r="CC158" s="766"/>
      <c r="CD158" s="766"/>
      <c r="CE158" s="766"/>
      <c r="CF158" s="777"/>
      <c r="CG158" s="778"/>
      <c r="CH158" s="766"/>
      <c r="CI158" s="766"/>
      <c r="CJ158" s="766"/>
      <c r="CK158" s="766"/>
      <c r="CL158" s="766"/>
      <c r="CM158" s="766"/>
      <c r="CN158" s="766"/>
      <c r="CO158" s="766"/>
      <c r="CP158" s="766"/>
      <c r="CQ158" s="766"/>
      <c r="CR158" s="775"/>
      <c r="CS158" s="766"/>
      <c r="CT158" s="766"/>
      <c r="CU158" s="129"/>
      <c r="CV158" s="766"/>
      <c r="CW158" s="766"/>
      <c r="CX158" s="766"/>
      <c r="CY158" s="766"/>
      <c r="CZ158" s="766"/>
      <c r="DA158" s="766"/>
      <c r="DB158" s="766"/>
      <c r="DC158" s="766"/>
      <c r="DD158" s="766"/>
      <c r="DE158" s="766"/>
      <c r="DF158" s="766"/>
      <c r="DG158" s="766"/>
      <c r="DH158" s="766"/>
      <c r="DI158" s="766"/>
      <c r="DJ158" s="766"/>
      <c r="DK158" s="766"/>
      <c r="DL158" s="766"/>
      <c r="DM158" s="766"/>
      <c r="DN158" s="766"/>
      <c r="DO158" s="766"/>
      <c r="DP158" s="766"/>
      <c r="DQ158" s="766"/>
      <c r="DR158" s="766"/>
      <c r="DS158" s="59"/>
      <c r="DT158" s="766"/>
      <c r="DU158" s="766"/>
      <c r="DV158" s="766"/>
      <c r="DW158" s="66"/>
      <c r="DX158" s="66"/>
      <c r="DY158" s="766"/>
      <c r="DZ158" s="766"/>
      <c r="EA158" s="766"/>
      <c r="EB158" s="766"/>
      <c r="EC158" s="766"/>
      <c r="ED158" s="766"/>
      <c r="EE158" s="766"/>
      <c r="EF158" s="766"/>
      <c r="EG158" s="766"/>
      <c r="EH158" s="766"/>
      <c r="EI158" s="766"/>
      <c r="EJ158" s="766"/>
      <c r="EK158" s="766"/>
      <c r="EL158" s="766"/>
      <c r="EM158" s="766"/>
      <c r="EN158" s="766"/>
      <c r="EO158" s="766"/>
      <c r="EP158" s="766"/>
      <c r="EQ158" s="766"/>
      <c r="ER158" s="766"/>
      <c r="ES158" s="766"/>
      <c r="ET158" s="766"/>
      <c r="EU158" s="766"/>
      <c r="EV158" s="766"/>
      <c r="EW158" s="766"/>
      <c r="EX158" s="766"/>
      <c r="EY158" s="766"/>
      <c r="EZ158" s="766"/>
      <c r="FA158" s="766"/>
      <c r="FB158" s="766"/>
      <c r="FC158" s="766"/>
      <c r="FD158" s="775"/>
      <c r="FE158" s="766"/>
      <c r="FF158" s="766"/>
      <c r="FG158" s="770"/>
      <c r="FH158" s="766" t="s">
        <v>1306</v>
      </c>
      <c r="FI158" s="766">
        <v>1</v>
      </c>
      <c r="FJ158" s="766" t="s">
        <v>12082</v>
      </c>
      <c r="FK158" s="766"/>
      <c r="FL158" s="766"/>
      <c r="FM158" s="147">
        <v>4200</v>
      </c>
      <c r="FN158" s="775">
        <v>800</v>
      </c>
      <c r="FO158" s="775">
        <v>200</v>
      </c>
      <c r="FP158" s="766" t="s">
        <v>12155</v>
      </c>
      <c r="FQ158" s="766" t="s">
        <v>1660</v>
      </c>
      <c r="FR158" s="766"/>
      <c r="FS158" s="766"/>
      <c r="FT158" s="766"/>
      <c r="FU158" s="766"/>
      <c r="FV158" s="766"/>
      <c r="FW158" s="766"/>
      <c r="FX158" s="766"/>
      <c r="FY158" s="766"/>
      <c r="FZ158" s="766"/>
      <c r="GA158" s="766"/>
      <c r="GB158" s="766"/>
      <c r="GC158" s="75"/>
      <c r="GD158" s="25"/>
      <c r="GE158" s="766"/>
      <c r="GF158" s="775"/>
      <c r="GG158" s="775"/>
      <c r="GH158" s="766"/>
      <c r="GI158" s="766"/>
      <c r="GJ158" s="766"/>
      <c r="GK158" s="766"/>
      <c r="GL158" s="766"/>
      <c r="GM158" s="766"/>
      <c r="GN158" s="82"/>
      <c r="GO158" s="766"/>
      <c r="GP158" s="766"/>
      <c r="GQ158" s="766"/>
      <c r="GR158" s="766"/>
      <c r="GS158" s="766"/>
      <c r="GT158" s="766"/>
      <c r="GU158" s="766"/>
      <c r="GV158" s="766"/>
      <c r="GW158" s="766"/>
      <c r="GX158" s="766"/>
      <c r="GY158" s="766"/>
      <c r="GZ158" s="766"/>
      <c r="HA158" s="766"/>
      <c r="HB158" s="766"/>
      <c r="HC158" s="766"/>
      <c r="HD158" s="766"/>
      <c r="HE158" s="766"/>
      <c r="HF158" s="766"/>
      <c r="HG158" s="766"/>
      <c r="HH158" s="766"/>
      <c r="HI158" s="766"/>
      <c r="HJ158" s="766"/>
      <c r="HK158" s="766"/>
      <c r="HL158" s="766"/>
      <c r="HM158" s="766"/>
      <c r="HN158" s="766"/>
      <c r="HO158" s="766"/>
      <c r="HP158" s="766"/>
      <c r="HQ158" s="766"/>
      <c r="HR158" s="766"/>
      <c r="HS158" s="766"/>
      <c r="HT158" s="766"/>
      <c r="HU158" s="766"/>
      <c r="HV158" s="766"/>
      <c r="HW158" s="766"/>
      <c r="HX158" s="766"/>
      <c r="HY158" s="766"/>
      <c r="HZ158" s="766"/>
      <c r="IA158" s="766"/>
      <c r="IB158" s="766"/>
      <c r="IC158" s="766"/>
      <c r="ID158" s="766"/>
      <c r="IE158" s="766"/>
      <c r="IF158" s="766"/>
      <c r="IG158" s="766"/>
      <c r="IH158" s="766"/>
      <c r="II158" s="766"/>
      <c r="IJ158" s="766"/>
      <c r="IK158" s="766"/>
      <c r="IL158" s="766"/>
      <c r="IM158" s="766"/>
      <c r="IN158" s="766"/>
      <c r="IO158" s="24"/>
      <c r="IP158" s="766"/>
      <c r="IQ158" s="766"/>
      <c r="IR158" s="766"/>
      <c r="IS158" s="766"/>
      <c r="IT158" s="766"/>
      <c r="IU158" s="766"/>
      <c r="IV158" s="766"/>
      <c r="IW158" s="766"/>
      <c r="IX158" s="766"/>
      <c r="IY158" s="766"/>
      <c r="IZ158" s="766"/>
      <c r="JA158" s="766"/>
      <c r="JB158" s="766"/>
      <c r="JC158" s="766"/>
      <c r="JD158" s="775"/>
      <c r="JE158" s="766"/>
      <c r="JF158" s="766"/>
      <c r="JG158" s="766"/>
      <c r="JH158" s="766"/>
      <c r="JI158" s="766"/>
      <c r="JJ158" s="766">
        <v>4</v>
      </c>
      <c r="JK158" s="766" t="s">
        <v>13216</v>
      </c>
      <c r="JL158" s="766"/>
      <c r="JM158" s="766"/>
      <c r="JN158" s="766">
        <v>1</v>
      </c>
      <c r="JO158" s="766">
        <v>3</v>
      </c>
      <c r="JP158" s="766"/>
      <c r="JQ158" s="766"/>
      <c r="JR158" s="766"/>
      <c r="JS158" s="766"/>
      <c r="JT158" s="766">
        <f t="shared" si="40"/>
        <v>1</v>
      </c>
      <c r="JU158" s="766">
        <f t="shared" si="40"/>
        <v>3</v>
      </c>
      <c r="JV158" s="766"/>
      <c r="JW158" s="766"/>
      <c r="JX158" s="766"/>
      <c r="JY158" s="766"/>
      <c r="JZ158" s="766"/>
      <c r="KA158" s="766"/>
      <c r="KB158" s="766">
        <v>1</v>
      </c>
      <c r="KC158" s="766">
        <v>2</v>
      </c>
      <c r="KD158" s="766"/>
      <c r="KE158" s="766">
        <v>1</v>
      </c>
      <c r="KF158" s="766"/>
      <c r="KG158" s="766"/>
      <c r="KH158" s="766"/>
      <c r="KI158" s="766"/>
      <c r="KJ158" s="770">
        <f t="shared" si="38"/>
        <v>1</v>
      </c>
      <c r="KK158" s="770">
        <f t="shared" si="38"/>
        <v>3</v>
      </c>
      <c r="KL158" s="770"/>
      <c r="KM158" s="770"/>
      <c r="KN158" s="766" t="s">
        <v>768</v>
      </c>
      <c r="KO158" s="766"/>
      <c r="KP158" s="766"/>
      <c r="KQ158" s="766"/>
      <c r="KR158" s="766"/>
      <c r="KS158" s="766"/>
      <c r="KT158" s="766"/>
      <c r="KU158" s="766"/>
      <c r="KV158" s="766"/>
      <c r="KW158" s="766"/>
      <c r="KX158" s="766"/>
      <c r="KY158" s="766"/>
      <c r="KZ158" s="766">
        <v>1</v>
      </c>
      <c r="LA158" s="766">
        <v>2</v>
      </c>
      <c r="LB158" s="766"/>
      <c r="LC158" s="766">
        <v>1</v>
      </c>
      <c r="LD158" s="766"/>
      <c r="LE158" s="766"/>
      <c r="LF158" s="766"/>
      <c r="LG158" s="766"/>
      <c r="LH158" s="766"/>
      <c r="LI158" s="766"/>
      <c r="LJ158" s="766"/>
      <c r="LK158" s="766"/>
      <c r="LL158" s="766"/>
      <c r="LM158" s="766"/>
      <c r="LN158" s="766">
        <f t="shared" si="39"/>
        <v>1</v>
      </c>
      <c r="LO158" s="766">
        <f t="shared" si="39"/>
        <v>3</v>
      </c>
      <c r="LP158" s="766">
        <v>1</v>
      </c>
      <c r="LQ158" s="766">
        <v>1</v>
      </c>
      <c r="LR158" s="766"/>
      <c r="LS158" s="766"/>
      <c r="LT158" s="766"/>
      <c r="LU158" s="766">
        <v>1</v>
      </c>
      <c r="LV158" s="766"/>
      <c r="LW158" s="766"/>
      <c r="LX158" s="769"/>
      <c r="LY158" s="766" t="str">
        <f t="shared" si="36"/>
        <v/>
      </c>
      <c r="LZ158" s="66"/>
      <c r="MA158" s="766"/>
      <c r="MB158" s="766"/>
      <c r="MC158" s="1679">
        <f t="shared" si="24"/>
        <v>0</v>
      </c>
      <c r="MD158" s="66">
        <v>10000</v>
      </c>
      <c r="ME158" s="66"/>
      <c r="MF158" s="66"/>
      <c r="MG158" s="1680">
        <f t="shared" si="34"/>
        <v>10000</v>
      </c>
      <c r="MH158" s="766"/>
      <c r="MI158" s="775"/>
      <c r="MJ158" s="775"/>
      <c r="MK158" s="775"/>
      <c r="ML158" s="775"/>
      <c r="MM158" s="775"/>
      <c r="MN158" s="775"/>
      <c r="MO158" s="775"/>
      <c r="MP158" s="775"/>
      <c r="MQ158" s="775"/>
      <c r="MR158" s="775"/>
      <c r="MS158" s="775"/>
      <c r="MT158" s="775"/>
      <c r="MU158" s="775"/>
      <c r="MV158" s="775"/>
      <c r="MW158" s="775"/>
      <c r="MX158" s="775"/>
      <c r="MY158" s="1682">
        <f t="shared" si="35"/>
        <v>0</v>
      </c>
      <c r="MZ158" s="766"/>
      <c r="NA158" s="766"/>
      <c r="NB158" s="766"/>
      <c r="NC158" s="766"/>
      <c r="ND158" s="766"/>
      <c r="NE158" s="766"/>
      <c r="NF158" s="766"/>
      <c r="NG158" s="766"/>
      <c r="NH158" s="766"/>
      <c r="NI158" s="766"/>
      <c r="NJ158" s="766"/>
      <c r="NK158" s="766"/>
      <c r="NL158" s="766"/>
      <c r="NM158" s="766"/>
      <c r="NN158" s="766"/>
      <c r="NO158" s="766"/>
      <c r="NP158" s="766"/>
      <c r="NQ158" s="766"/>
      <c r="NR158" s="766"/>
      <c r="NS158" s="766"/>
      <c r="NT158" s="766"/>
      <c r="NU158" s="766"/>
      <c r="NV158" s="766"/>
      <c r="NW158" s="766"/>
      <c r="NX158" s="766"/>
      <c r="NY158" s="766"/>
      <c r="NZ158" s="766"/>
      <c r="OA158" s="766"/>
      <c r="OB158" s="766"/>
      <c r="OC158" s="766"/>
      <c r="OD158" s="766"/>
      <c r="OE158" s="766"/>
      <c r="OF158" s="766"/>
      <c r="OG158" s="766"/>
      <c r="OH158" s="766"/>
      <c r="OI158" s="766"/>
      <c r="OJ158" s="766"/>
      <c r="OK158" s="766"/>
      <c r="OL158" s="766"/>
      <c r="OM158" s="766"/>
      <c r="ON158" s="766"/>
      <c r="OO158" s="766"/>
      <c r="OP158" s="766"/>
      <c r="OQ158" s="766"/>
      <c r="OR158" s="766"/>
      <c r="OS158" s="766"/>
      <c r="OT158" s="766"/>
      <c r="OU158" s="766"/>
      <c r="OV158" s="766"/>
      <c r="OW158" s="766"/>
      <c r="OX158" s="766"/>
      <c r="OY158" s="766"/>
      <c r="OZ158" s="766"/>
      <c r="PA158" s="766"/>
      <c r="PB158" s="766"/>
      <c r="PC158" s="766"/>
      <c r="PD158" s="766"/>
      <c r="PE158" s="766"/>
      <c r="PF158" s="766"/>
      <c r="PG158" s="766"/>
      <c r="PH158" s="766"/>
      <c r="PI158" s="766"/>
      <c r="PJ158" s="766"/>
      <c r="PK158" s="766"/>
      <c r="PL158" s="766"/>
      <c r="PM158" s="766"/>
      <c r="PN158" s="766"/>
      <c r="PO158" s="766"/>
      <c r="PP158" s="766"/>
      <c r="PQ158" s="766"/>
      <c r="PR158" s="766"/>
      <c r="PS158" s="766"/>
      <c r="PT158" s="766"/>
      <c r="PU158" s="766"/>
      <c r="PV158" s="766"/>
      <c r="PW158" s="766"/>
      <c r="PX158" s="766"/>
      <c r="PY158" s="766"/>
      <c r="PZ158" s="766"/>
      <c r="QA158" s="766"/>
      <c r="QB158" s="766"/>
      <c r="QC158" s="766"/>
      <c r="QD158" s="766"/>
      <c r="QE158" s="766"/>
      <c r="QF158" s="766"/>
      <c r="QG158" s="766"/>
      <c r="QH158" s="766"/>
      <c r="QI158" s="766"/>
      <c r="QJ158" s="766"/>
      <c r="QK158" s="766"/>
      <c r="QL158" s="766"/>
      <c r="QM158" s="766"/>
      <c r="QN158" s="766"/>
      <c r="QO158" s="766"/>
      <c r="QP158" s="766"/>
      <c r="QQ158" s="766"/>
      <c r="QR158" s="766"/>
      <c r="QS158" s="766"/>
      <c r="QT158" s="766"/>
      <c r="QU158" s="766"/>
      <c r="QV158" s="766"/>
      <c r="QW158" s="766"/>
      <c r="QX158" s="766"/>
      <c r="QY158" s="766"/>
      <c r="QZ158" s="766"/>
      <c r="RA158" s="766"/>
      <c r="RB158" s="766"/>
      <c r="RC158" s="766"/>
      <c r="RD158" s="766"/>
      <c r="RE158" s="766"/>
      <c r="RF158" s="777"/>
      <c r="RG158" s="766"/>
      <c r="RH158" s="775"/>
      <c r="RI158" s="766"/>
      <c r="RJ158" s="766"/>
      <c r="RK158" s="766"/>
      <c r="RL158" s="1683"/>
      <c r="RM158" s="12"/>
      <c r="RN158" s="1711"/>
      <c r="RO158" s="171" t="s">
        <v>11853</v>
      </c>
      <c r="RP158" s="11"/>
      <c r="RQ158" s="11"/>
      <c r="RR158" s="17"/>
      <c r="RS158" s="766"/>
      <c r="RT158" s="11"/>
      <c r="RU158" s="11"/>
      <c r="RV158" s="766" t="s">
        <v>12438</v>
      </c>
      <c r="RW158" s="11" t="s">
        <v>12159</v>
      </c>
      <c r="RX158" s="11" t="s">
        <v>11853</v>
      </c>
      <c r="RY158" s="11"/>
      <c r="RZ158" s="11"/>
      <c r="SA158" s="766"/>
      <c r="SB158" s="11"/>
      <c r="SC158" s="11"/>
    </row>
    <row r="159" spans="1:497" ht="12.75" customHeight="1">
      <c r="A159" s="19" t="s">
        <v>12452</v>
      </c>
      <c r="B159" s="288" t="s">
        <v>12152</v>
      </c>
      <c r="C159" s="171" t="s">
        <v>12151</v>
      </c>
      <c r="D159" s="766" t="s">
        <v>12074</v>
      </c>
      <c r="E159" s="766" t="s">
        <v>234</v>
      </c>
      <c r="F159" s="766" t="s">
        <v>28</v>
      </c>
      <c r="G159" s="766" t="s">
        <v>10</v>
      </c>
      <c r="H159" s="766"/>
      <c r="I159" s="5" t="s">
        <v>12073</v>
      </c>
      <c r="J159" s="766" t="s">
        <v>12074</v>
      </c>
      <c r="K159" s="766" t="s">
        <v>12075</v>
      </c>
      <c r="L159" s="766" t="s">
        <v>12076</v>
      </c>
      <c r="M159" s="766"/>
      <c r="N159" s="766"/>
      <c r="O159" s="766"/>
      <c r="P159" s="14" t="s">
        <v>12074</v>
      </c>
      <c r="Q159" s="1085">
        <v>24029</v>
      </c>
      <c r="R159" s="25">
        <v>53</v>
      </c>
      <c r="S159" s="766" t="s">
        <v>10</v>
      </c>
      <c r="T159" s="766"/>
      <c r="U159" s="5" t="s">
        <v>12073</v>
      </c>
      <c r="V159" s="766" t="s">
        <v>707</v>
      </c>
      <c r="W159" s="766"/>
      <c r="X159" s="24"/>
      <c r="Y159" s="766" t="s">
        <v>12028</v>
      </c>
      <c r="Z159" s="766" t="s">
        <v>708</v>
      </c>
      <c r="AA159" s="766" t="s">
        <v>748</v>
      </c>
      <c r="AB159" s="766" t="s">
        <v>12153</v>
      </c>
      <c r="AC159" s="766" t="s">
        <v>12058</v>
      </c>
      <c r="AD159" s="766"/>
      <c r="AE159" s="766"/>
      <c r="AF159" s="766" t="s">
        <v>12017</v>
      </c>
      <c r="AG159" s="766" t="s">
        <v>1095</v>
      </c>
      <c r="AH159" s="766" t="s">
        <v>1096</v>
      </c>
      <c r="AI159" s="766" t="s">
        <v>12077</v>
      </c>
      <c r="AJ159" s="766"/>
      <c r="AK159" s="766" t="s">
        <v>1101</v>
      </c>
      <c r="AL159" s="121">
        <v>6.34</v>
      </c>
      <c r="AM159" s="772">
        <v>6.34</v>
      </c>
      <c r="AN159" s="774">
        <f>AM159/AL159</f>
        <v>1</v>
      </c>
      <c r="AO159" s="766" t="s">
        <v>1122</v>
      </c>
      <c r="AP159" s="766"/>
      <c r="AQ159" s="766"/>
      <c r="AR159" s="766"/>
      <c r="AS159" s="766"/>
      <c r="AT159" s="766"/>
      <c r="AU159" s="766"/>
      <c r="AV159" s="766"/>
      <c r="AW159" s="766"/>
      <c r="AX159" s="766"/>
      <c r="AY159" s="766"/>
      <c r="AZ159" s="766"/>
      <c r="BA159" s="766"/>
      <c r="BB159" s="766"/>
      <c r="BC159" s="766"/>
      <c r="BD159" s="766"/>
      <c r="BE159" s="766"/>
      <c r="BF159" s="775"/>
      <c r="BG159" s="775"/>
      <c r="BH159" s="766"/>
      <c r="BI159" s="766"/>
      <c r="BJ159" s="766"/>
      <c r="BK159" s="766" t="s">
        <v>1095</v>
      </c>
      <c r="BL159" s="766" t="s">
        <v>12074</v>
      </c>
      <c r="BM159" s="766" t="s">
        <v>8108</v>
      </c>
      <c r="BN159" s="766" t="s">
        <v>1230</v>
      </c>
      <c r="BO159" s="766" t="s">
        <v>1246</v>
      </c>
      <c r="BP159" s="776">
        <v>6.34</v>
      </c>
      <c r="BQ159" s="772">
        <v>6.34</v>
      </c>
      <c r="BR159" s="774">
        <f>BQ159/BP159</f>
        <v>1</v>
      </c>
      <c r="BS159" s="766" t="s">
        <v>1257</v>
      </c>
      <c r="BT159" s="766" t="s">
        <v>12154</v>
      </c>
      <c r="BU159" s="766" t="s">
        <v>11216</v>
      </c>
      <c r="BV159" s="766" t="s">
        <v>1247</v>
      </c>
      <c r="BW159" s="766"/>
      <c r="BX159" s="779"/>
      <c r="BY159" s="766"/>
      <c r="BZ159" s="775"/>
      <c r="CA159" s="766"/>
      <c r="CB159" s="766"/>
      <c r="CC159" s="766"/>
      <c r="CD159" s="766"/>
      <c r="CE159" s="766"/>
      <c r="CF159" s="777"/>
      <c r="CG159" s="778"/>
      <c r="CH159" s="766"/>
      <c r="CI159" s="766"/>
      <c r="CJ159" s="766"/>
      <c r="CK159" s="766"/>
      <c r="CL159" s="766"/>
      <c r="CM159" s="766"/>
      <c r="CN159" s="766"/>
      <c r="CO159" s="766"/>
      <c r="CP159" s="766"/>
      <c r="CQ159" s="766"/>
      <c r="CR159" s="775"/>
      <c r="CS159" s="766"/>
      <c r="CT159" s="766"/>
      <c r="CU159" s="129"/>
      <c r="CV159" s="766"/>
      <c r="CW159" s="766"/>
      <c r="CX159" s="766"/>
      <c r="CY159" s="766"/>
      <c r="CZ159" s="766"/>
      <c r="DA159" s="766"/>
      <c r="DB159" s="766"/>
      <c r="DC159" s="766"/>
      <c r="DD159" s="766"/>
      <c r="DE159" s="766"/>
      <c r="DF159" s="766"/>
      <c r="DG159" s="766"/>
      <c r="DH159" s="766"/>
      <c r="DI159" s="766"/>
      <c r="DJ159" s="766"/>
      <c r="DK159" s="766"/>
      <c r="DL159" s="766"/>
      <c r="DM159" s="766"/>
      <c r="DN159" s="766"/>
      <c r="DO159" s="766"/>
      <c r="DP159" s="766"/>
      <c r="DQ159" s="766"/>
      <c r="DR159" s="766"/>
      <c r="DS159" s="59"/>
      <c r="DT159" s="766"/>
      <c r="DU159" s="766"/>
      <c r="DV159" s="766"/>
      <c r="DW159" s="66"/>
      <c r="DX159" s="66"/>
      <c r="DY159" s="766"/>
      <c r="DZ159" s="766"/>
      <c r="EA159" s="766"/>
      <c r="EB159" s="766"/>
      <c r="EC159" s="766"/>
      <c r="ED159" s="766"/>
      <c r="EE159" s="766"/>
      <c r="EF159" s="766"/>
      <c r="EG159" s="766"/>
      <c r="EH159" s="766"/>
      <c r="EI159" s="766"/>
      <c r="EJ159" s="766"/>
      <c r="EK159" s="766"/>
      <c r="EL159" s="766"/>
      <c r="EM159" s="766"/>
      <c r="EN159" s="766"/>
      <c r="EO159" s="766"/>
      <c r="EP159" s="766"/>
      <c r="EQ159" s="766"/>
      <c r="ER159" s="766"/>
      <c r="ES159" s="766"/>
      <c r="ET159" s="766"/>
      <c r="EU159" s="766"/>
      <c r="EV159" s="766"/>
      <c r="EW159" s="766"/>
      <c r="EX159" s="766"/>
      <c r="EY159" s="766"/>
      <c r="EZ159" s="766"/>
      <c r="FA159" s="766"/>
      <c r="FB159" s="766"/>
      <c r="FC159" s="766"/>
      <c r="FD159" s="775"/>
      <c r="FE159" s="766"/>
      <c r="FF159" s="766"/>
      <c r="FG159" s="770"/>
      <c r="FH159" s="766" t="s">
        <v>478</v>
      </c>
      <c r="FI159" s="766">
        <v>1</v>
      </c>
      <c r="FJ159" s="766"/>
      <c r="FK159" s="766"/>
      <c r="FL159" s="766"/>
      <c r="FM159" s="775"/>
      <c r="FN159" s="775"/>
      <c r="FO159" s="775"/>
      <c r="FP159" s="766" t="s">
        <v>1602</v>
      </c>
      <c r="FQ159" s="766" t="s">
        <v>1660</v>
      </c>
      <c r="FR159" s="766"/>
      <c r="FS159" s="766"/>
      <c r="FT159" s="766"/>
      <c r="FU159" s="766"/>
      <c r="FV159" s="766"/>
      <c r="FW159" s="766"/>
      <c r="FX159" s="766"/>
      <c r="FY159" s="766"/>
      <c r="FZ159" s="766"/>
      <c r="GA159" s="766"/>
      <c r="GB159" s="766"/>
      <c r="GC159" s="75"/>
      <c r="GD159" s="25"/>
      <c r="GE159" s="766"/>
      <c r="GF159" s="775"/>
      <c r="GG159" s="775"/>
      <c r="GH159" s="712" t="s">
        <v>3650</v>
      </c>
      <c r="GI159" s="766"/>
      <c r="GJ159" s="766"/>
      <c r="GK159" s="766"/>
      <c r="GL159" s="766"/>
      <c r="GM159" s="766"/>
      <c r="GN159" s="82"/>
      <c r="GO159" s="766"/>
      <c r="GP159" s="766"/>
      <c r="GQ159" s="766"/>
      <c r="GR159" s="766"/>
      <c r="GS159" s="766"/>
      <c r="GT159" s="766"/>
      <c r="GU159" s="766"/>
      <c r="GV159" s="766"/>
      <c r="GW159" s="766"/>
      <c r="GX159" s="766"/>
      <c r="GY159" s="766"/>
      <c r="GZ159" s="766"/>
      <c r="HA159" s="766"/>
      <c r="HB159" s="766"/>
      <c r="HC159" s="766"/>
      <c r="HD159" s="766"/>
      <c r="HE159" s="766"/>
      <c r="HF159" s="766"/>
      <c r="HG159" s="766"/>
      <c r="HH159" s="766"/>
      <c r="HI159" s="766"/>
      <c r="HJ159" s="766"/>
      <c r="HK159" s="766"/>
      <c r="HL159" s="766"/>
      <c r="HM159" s="766"/>
      <c r="HN159" s="766"/>
      <c r="HO159" s="766"/>
      <c r="HP159" s="766"/>
      <c r="HQ159" s="766"/>
      <c r="HR159" s="766"/>
      <c r="HS159" s="766"/>
      <c r="HT159" s="766"/>
      <c r="HU159" s="766"/>
      <c r="HV159" s="766"/>
      <c r="HW159" s="766"/>
      <c r="HX159" s="766"/>
      <c r="HY159" s="766"/>
      <c r="HZ159" s="766"/>
      <c r="IA159" s="766"/>
      <c r="IB159" s="14" t="e">
        <f>IF(#REF!&gt;0,IF(#REF!&lt;=10000,"Y",""),"")</f>
        <v>#REF!</v>
      </c>
      <c r="IC159" s="766"/>
      <c r="ID159" s="766"/>
      <c r="IE159" s="766"/>
      <c r="IF159" s="766" t="s">
        <v>12074</v>
      </c>
      <c r="IG159" s="766" t="s">
        <v>10</v>
      </c>
      <c r="IH159" s="766" t="s">
        <v>478</v>
      </c>
      <c r="II159" s="766" t="s">
        <v>12084</v>
      </c>
      <c r="IJ159" s="766" t="s">
        <v>1898</v>
      </c>
      <c r="IK159" s="766"/>
      <c r="IL159" s="766" t="s">
        <v>12077</v>
      </c>
      <c r="IM159" s="766">
        <v>2014</v>
      </c>
      <c r="IN159" s="766" t="s">
        <v>12085</v>
      </c>
      <c r="IO159" s="24">
        <v>24029</v>
      </c>
      <c r="IP159" s="766" t="s">
        <v>707</v>
      </c>
      <c r="IQ159" s="766" t="s">
        <v>1928</v>
      </c>
      <c r="IR159" s="766" t="s">
        <v>12086</v>
      </c>
      <c r="IS159" s="766" t="s">
        <v>12087</v>
      </c>
      <c r="IT159" s="766"/>
      <c r="IU159" s="766" t="s">
        <v>1208</v>
      </c>
      <c r="IV159" s="766"/>
      <c r="IW159" s="766" t="s">
        <v>13217</v>
      </c>
      <c r="IX159" s="766"/>
      <c r="IY159" s="766"/>
      <c r="IZ159" s="766"/>
      <c r="JA159" s="766"/>
      <c r="JB159" s="766"/>
      <c r="JC159" s="766"/>
      <c r="JD159" s="775"/>
      <c r="JE159" s="766"/>
      <c r="JF159" s="766"/>
      <c r="JG159" s="766"/>
      <c r="JH159" s="766"/>
      <c r="JI159" s="766"/>
      <c r="JJ159" s="766">
        <v>4</v>
      </c>
      <c r="JK159" s="1139" t="s">
        <v>12085</v>
      </c>
      <c r="JL159" s="766">
        <v>1</v>
      </c>
      <c r="JM159" s="766"/>
      <c r="JN159" s="766">
        <v>1</v>
      </c>
      <c r="JO159" s="766">
        <v>2</v>
      </c>
      <c r="JP159" s="766"/>
      <c r="JQ159" s="766"/>
      <c r="JR159" s="766"/>
      <c r="JS159" s="766"/>
      <c r="JT159" s="766">
        <f t="shared" si="40"/>
        <v>2</v>
      </c>
      <c r="JU159" s="766">
        <f t="shared" si="40"/>
        <v>2</v>
      </c>
      <c r="JV159" s="712" t="str">
        <f>IF(JT159=KJ159,"ok","male")</f>
        <v>ok</v>
      </c>
      <c r="JW159" s="712" t="str">
        <f>IF(JU159=KK159,"ok","female")</f>
        <v>ok</v>
      </c>
      <c r="JX159" s="766"/>
      <c r="JY159" s="766"/>
      <c r="JZ159" s="766">
        <v>1</v>
      </c>
      <c r="KA159" s="766"/>
      <c r="KB159" s="766"/>
      <c r="KC159" s="766">
        <v>1</v>
      </c>
      <c r="KD159" s="766">
        <v>1</v>
      </c>
      <c r="KE159" s="766">
        <v>1</v>
      </c>
      <c r="KF159" s="766"/>
      <c r="KG159" s="766"/>
      <c r="KH159" s="766"/>
      <c r="KI159" s="766"/>
      <c r="KJ159" s="770">
        <f t="shared" si="38"/>
        <v>2</v>
      </c>
      <c r="KK159" s="770">
        <f t="shared" si="38"/>
        <v>2</v>
      </c>
      <c r="KL159" s="712" t="str">
        <f>IF(KJ159=LN159,"ok","male")</f>
        <v>ok</v>
      </c>
      <c r="KM159" s="712" t="str">
        <f>IF(KK159=LO159,"ok","female")</f>
        <v>ok</v>
      </c>
      <c r="KN159" s="766" t="s">
        <v>707</v>
      </c>
      <c r="KO159" s="766"/>
      <c r="KP159" s="766"/>
      <c r="KQ159" s="766"/>
      <c r="KR159" s="766"/>
      <c r="KS159" s="766"/>
      <c r="KT159" s="766">
        <v>2</v>
      </c>
      <c r="KU159" s="766"/>
      <c r="KV159" s="766"/>
      <c r="KW159" s="766"/>
      <c r="KX159" s="766"/>
      <c r="KY159" s="766"/>
      <c r="KZ159" s="766"/>
      <c r="LA159" s="766">
        <v>1</v>
      </c>
      <c r="LB159" s="766"/>
      <c r="LC159" s="766">
        <v>1</v>
      </c>
      <c r="LD159" s="766"/>
      <c r="LE159" s="766"/>
      <c r="LF159" s="766"/>
      <c r="LG159" s="766"/>
      <c r="LH159" s="766"/>
      <c r="LI159" s="766"/>
      <c r="LJ159" s="766"/>
      <c r="LK159" s="766"/>
      <c r="LL159" s="766"/>
      <c r="LM159" s="766"/>
      <c r="LN159" s="766">
        <f t="shared" si="39"/>
        <v>2</v>
      </c>
      <c r="LO159" s="766">
        <f t="shared" si="39"/>
        <v>2</v>
      </c>
      <c r="LP159" s="766">
        <v>2</v>
      </c>
      <c r="LQ159" s="766">
        <v>1</v>
      </c>
      <c r="LR159" s="766"/>
      <c r="LS159" s="766">
        <v>1</v>
      </c>
      <c r="LT159" s="712" t="str">
        <f>IF(LQ159=SUM(LU159:LW159),"OK","REV")</f>
        <v>OK</v>
      </c>
      <c r="LU159" s="766">
        <v>1</v>
      </c>
      <c r="LV159" s="766"/>
      <c r="LW159" s="766"/>
      <c r="LX159" s="769">
        <v>1</v>
      </c>
      <c r="LY159" s="766" t="str">
        <f t="shared" si="36"/>
        <v>within the BRGY</v>
      </c>
      <c r="LZ159" s="66">
        <v>1600</v>
      </c>
      <c r="MA159" s="766"/>
      <c r="MB159" s="766"/>
      <c r="MC159" s="1679">
        <f t="shared" si="24"/>
        <v>1600</v>
      </c>
      <c r="MD159" s="66">
        <v>4000</v>
      </c>
      <c r="ME159" s="66"/>
      <c r="MF159" s="66">
        <v>6000</v>
      </c>
      <c r="MG159" s="1680">
        <f>SUM(MD159:MF159)</f>
        <v>10000</v>
      </c>
      <c r="MH159" s="766" t="s">
        <v>13218</v>
      </c>
      <c r="MI159" s="775">
        <v>6000</v>
      </c>
      <c r="MJ159" s="775">
        <v>1600</v>
      </c>
      <c r="MK159" s="775">
        <v>200</v>
      </c>
      <c r="ML159" s="775">
        <v>0</v>
      </c>
      <c r="MM159" s="775">
        <v>105</v>
      </c>
      <c r="MN159" s="775">
        <v>1000</v>
      </c>
      <c r="MO159" s="775">
        <v>600</v>
      </c>
      <c r="MP159" s="775">
        <v>1100</v>
      </c>
      <c r="MQ159" s="775">
        <v>400</v>
      </c>
      <c r="MR159" s="775">
        <v>400</v>
      </c>
      <c r="MS159" s="775">
        <v>300</v>
      </c>
      <c r="MT159" s="775"/>
      <c r="MU159" s="775"/>
      <c r="MV159" s="775"/>
      <c r="MW159" s="775"/>
      <c r="MX159" s="775"/>
      <c r="MY159" s="1682">
        <f t="shared" si="35"/>
        <v>11705</v>
      </c>
      <c r="MZ159" s="766" t="s">
        <v>13004</v>
      </c>
      <c r="NA159" s="766" t="s">
        <v>13219</v>
      </c>
      <c r="NB159" s="766" t="s">
        <v>13069</v>
      </c>
      <c r="NC159" s="766" t="s">
        <v>13026</v>
      </c>
      <c r="ND159" s="766">
        <v>1</v>
      </c>
      <c r="NE159" s="766">
        <v>0</v>
      </c>
      <c r="NF159" s="766">
        <v>0</v>
      </c>
      <c r="NG159" s="766">
        <v>4</v>
      </c>
      <c r="NH159" s="766">
        <v>1</v>
      </c>
      <c r="NI159" s="766">
        <v>1</v>
      </c>
      <c r="NJ159" s="766">
        <v>0</v>
      </c>
      <c r="NK159" s="766">
        <v>0</v>
      </c>
      <c r="NL159" s="766">
        <v>1</v>
      </c>
      <c r="NM159" s="766">
        <v>1</v>
      </c>
      <c r="NN159" s="766">
        <v>0</v>
      </c>
      <c r="NO159" s="766">
        <v>0</v>
      </c>
      <c r="NP159" s="766">
        <v>0</v>
      </c>
      <c r="NQ159" s="766">
        <v>0</v>
      </c>
      <c r="NR159" s="766">
        <v>0</v>
      </c>
      <c r="NS159" s="766">
        <v>0</v>
      </c>
      <c r="NT159" s="766">
        <v>0</v>
      </c>
      <c r="NU159" s="766">
        <v>0</v>
      </c>
      <c r="NV159" s="766">
        <v>0</v>
      </c>
      <c r="NW159" s="766">
        <v>0</v>
      </c>
      <c r="NX159" s="766">
        <v>0</v>
      </c>
      <c r="NY159" s="766" t="s">
        <v>1208</v>
      </c>
      <c r="NZ159" s="766" t="s">
        <v>1208</v>
      </c>
      <c r="OA159" s="766" t="s">
        <v>1208</v>
      </c>
      <c r="OB159" s="766" t="s">
        <v>1208</v>
      </c>
      <c r="OC159" s="766" t="s">
        <v>1208</v>
      </c>
      <c r="OD159" s="766" t="s">
        <v>1208</v>
      </c>
      <c r="OE159" s="766"/>
      <c r="OF159" s="766" t="s">
        <v>13220</v>
      </c>
      <c r="OG159" s="766"/>
      <c r="OH159" s="766"/>
      <c r="OI159" s="766"/>
      <c r="OJ159" s="766"/>
      <c r="OK159" s="766"/>
      <c r="OL159" s="766"/>
      <c r="OM159" s="766"/>
      <c r="ON159" s="766"/>
      <c r="OO159" s="766"/>
      <c r="OP159" s="766"/>
      <c r="OQ159" s="766"/>
      <c r="OR159" s="766"/>
      <c r="OS159" s="766"/>
      <c r="OT159" s="766"/>
      <c r="OU159" s="766"/>
      <c r="OV159" s="766"/>
      <c r="OW159" s="766"/>
      <c r="OX159" s="766"/>
      <c r="OY159" s="766"/>
      <c r="OZ159" s="766"/>
      <c r="PA159" s="766"/>
      <c r="PB159" s="766"/>
      <c r="PC159" s="766"/>
      <c r="PD159" s="766"/>
      <c r="PE159" s="766"/>
      <c r="PF159" s="766"/>
      <c r="PG159" s="766"/>
      <c r="PH159" s="766"/>
      <c r="PI159" s="766"/>
      <c r="PJ159" s="766"/>
      <c r="PK159" s="766"/>
      <c r="PL159" s="766"/>
      <c r="PM159" s="766"/>
      <c r="PN159" s="766"/>
      <c r="PO159" s="766"/>
      <c r="PP159" s="766"/>
      <c r="PQ159" s="766"/>
      <c r="PR159" s="766" t="s">
        <v>1208</v>
      </c>
      <c r="PS159" s="766"/>
      <c r="PT159" s="766"/>
      <c r="PU159" s="766"/>
      <c r="PV159" s="766"/>
      <c r="PW159" s="766"/>
      <c r="PX159" s="766"/>
      <c r="PY159" s="766"/>
      <c r="PZ159" s="766"/>
      <c r="QA159" s="766"/>
      <c r="QB159" s="766"/>
      <c r="QC159" s="766"/>
      <c r="QD159" s="766"/>
      <c r="QE159" s="766"/>
      <c r="QF159" s="766"/>
      <c r="QG159" s="766"/>
      <c r="QH159" s="766"/>
      <c r="QI159" s="766"/>
      <c r="QJ159" s="766"/>
      <c r="QK159" s="766"/>
      <c r="QL159" s="766"/>
      <c r="QM159" s="766"/>
      <c r="QN159" s="766"/>
      <c r="QO159" s="766"/>
      <c r="QP159" s="766"/>
      <c r="QQ159" s="766"/>
      <c r="QR159" s="766"/>
      <c r="QS159" s="766"/>
      <c r="QT159" s="766"/>
      <c r="QU159" s="766"/>
      <c r="QV159" s="766"/>
      <c r="QW159" s="766"/>
      <c r="QX159" s="766"/>
      <c r="QY159" s="766"/>
      <c r="QZ159" s="766"/>
      <c r="RA159" s="766"/>
      <c r="RB159" s="766" t="s">
        <v>1214</v>
      </c>
      <c r="RC159" s="766"/>
      <c r="RD159" s="766"/>
      <c r="RE159" s="766"/>
      <c r="RF159" s="777"/>
      <c r="RG159" s="766"/>
      <c r="RH159" s="775"/>
      <c r="RI159" s="766"/>
      <c r="RJ159" s="766" t="s">
        <v>13221</v>
      </c>
      <c r="RK159" s="766" t="s">
        <v>13013</v>
      </c>
      <c r="RL159" s="1683"/>
      <c r="RM159" s="12"/>
      <c r="RN159" s="1711"/>
      <c r="RO159" s="171" t="s">
        <v>12151</v>
      </c>
      <c r="RP159" s="11"/>
      <c r="RQ159" s="11"/>
      <c r="RR159" s="19" t="s">
        <v>12452</v>
      </c>
      <c r="RS159" s="1139" t="s">
        <v>12980</v>
      </c>
      <c r="RT159" s="11"/>
      <c r="RU159" s="11"/>
      <c r="RV159" s="766" t="s">
        <v>12438</v>
      </c>
      <c r="RW159" s="11" t="s">
        <v>12160</v>
      </c>
      <c r="RX159" s="11" t="s">
        <v>11853</v>
      </c>
      <c r="RY159" s="11"/>
      <c r="RZ159" s="11"/>
      <c r="SA159" s="766"/>
      <c r="SB159" s="11"/>
      <c r="SC159" s="11"/>
    </row>
    <row r="160" spans="1:497" ht="15" hidden="1" customHeight="1">
      <c r="A160" s="19" t="s">
        <v>7419</v>
      </c>
      <c r="B160" s="744" t="s">
        <v>7956</v>
      </c>
      <c r="C160" s="171" t="s">
        <v>251</v>
      </c>
      <c r="D160" s="766" t="s">
        <v>12149</v>
      </c>
      <c r="E160" s="766" t="s">
        <v>234</v>
      </c>
      <c r="F160" s="766"/>
      <c r="G160" s="766" t="s">
        <v>10</v>
      </c>
      <c r="H160" s="766"/>
      <c r="I160" s="5"/>
      <c r="J160" s="766"/>
      <c r="K160" s="766" t="s">
        <v>238</v>
      </c>
      <c r="L160" s="766" t="s">
        <v>239</v>
      </c>
      <c r="M160" s="766"/>
      <c r="N160" s="766"/>
      <c r="O160" s="766" t="s">
        <v>252</v>
      </c>
      <c r="P160" s="766"/>
      <c r="Q160" s="1085"/>
      <c r="R160" s="25"/>
      <c r="S160" s="766"/>
      <c r="T160" s="766"/>
      <c r="U160" s="26"/>
      <c r="V160" s="766"/>
      <c r="W160" s="766"/>
      <c r="X160" s="766"/>
      <c r="Y160" s="766"/>
      <c r="Z160" s="766"/>
      <c r="AA160" s="766"/>
      <c r="AB160" s="766"/>
      <c r="AC160" s="766"/>
      <c r="AD160" s="766"/>
      <c r="AE160" s="766"/>
      <c r="AF160" s="766"/>
      <c r="AG160" s="766"/>
      <c r="AH160" s="766"/>
      <c r="AI160" s="766"/>
      <c r="AJ160" s="766"/>
      <c r="AK160" s="766" t="s">
        <v>1097</v>
      </c>
      <c r="AL160" s="121">
        <v>375</v>
      </c>
      <c r="AM160" s="772">
        <v>375</v>
      </c>
      <c r="AN160" s="774">
        <f>AM160/AL160</f>
        <v>1</v>
      </c>
      <c r="AO160" s="766" t="s">
        <v>1122</v>
      </c>
      <c r="AP160" s="766"/>
      <c r="AQ160" s="766"/>
      <c r="AR160" s="766"/>
      <c r="AS160" s="766"/>
      <c r="AT160" s="766" t="s">
        <v>1208</v>
      </c>
      <c r="AU160" s="766"/>
      <c r="AV160" s="766"/>
      <c r="AW160" s="766"/>
      <c r="AX160" s="766"/>
      <c r="AY160" s="766"/>
      <c r="AZ160" s="766"/>
      <c r="BA160" s="766"/>
      <c r="BB160" s="766"/>
      <c r="BC160" s="766"/>
      <c r="BD160" s="766"/>
      <c r="BE160" s="766"/>
      <c r="BF160" s="775"/>
      <c r="BG160" s="775"/>
      <c r="BH160" s="766"/>
      <c r="BI160" s="766"/>
      <c r="BJ160" s="766"/>
      <c r="BK160" s="766" t="s">
        <v>12425</v>
      </c>
      <c r="BL160" s="766"/>
      <c r="BM160" s="766" t="s">
        <v>12425</v>
      </c>
      <c r="BN160" s="766" t="s">
        <v>12425</v>
      </c>
      <c r="BO160" s="766" t="s">
        <v>12425</v>
      </c>
      <c r="BP160" s="776"/>
      <c r="BQ160" s="772"/>
      <c r="BR160" s="774"/>
      <c r="BS160" s="766" t="s">
        <v>12425</v>
      </c>
      <c r="BT160" s="766"/>
      <c r="BU160" s="766"/>
      <c r="BV160" s="766"/>
      <c r="BW160" s="766"/>
      <c r="BX160" s="779"/>
      <c r="BY160" s="766"/>
      <c r="BZ160" s="775"/>
      <c r="CA160" s="766"/>
      <c r="CB160" s="766" t="s">
        <v>1207</v>
      </c>
      <c r="CC160" s="766" t="s">
        <v>8115</v>
      </c>
      <c r="CD160" s="766"/>
      <c r="CE160" s="766"/>
      <c r="CF160" s="777">
        <v>0.8</v>
      </c>
      <c r="CG160" s="778">
        <v>63</v>
      </c>
      <c r="CH160" s="766" t="s">
        <v>1495</v>
      </c>
      <c r="CI160" s="766"/>
      <c r="CJ160" s="766"/>
      <c r="CK160" s="766">
        <v>20</v>
      </c>
      <c r="CL160" s="766" t="s">
        <v>1240</v>
      </c>
      <c r="CM160" s="766" t="s">
        <v>12150</v>
      </c>
      <c r="CN160" s="766"/>
      <c r="CO160" s="769" t="s">
        <v>1257</v>
      </c>
      <c r="CP160" s="766"/>
      <c r="CQ160" s="766"/>
      <c r="CR160" s="775"/>
      <c r="CS160" s="766"/>
      <c r="CT160" s="766"/>
      <c r="CU160" s="129"/>
      <c r="CV160" s="766"/>
      <c r="CW160" s="766"/>
      <c r="CX160" s="766"/>
      <c r="CY160" s="766"/>
      <c r="CZ160" s="766"/>
      <c r="DA160" s="766"/>
      <c r="DB160" s="766"/>
      <c r="DC160" s="766"/>
      <c r="DD160" s="766"/>
      <c r="DE160" s="766"/>
      <c r="DF160" s="766"/>
      <c r="DG160" s="766"/>
      <c r="DH160" s="766"/>
      <c r="DI160" s="766"/>
      <c r="DJ160" s="766"/>
      <c r="DK160" s="766"/>
      <c r="DL160" s="766"/>
      <c r="DM160" s="766"/>
      <c r="DN160" s="766"/>
      <c r="DO160" s="766"/>
      <c r="DP160" s="766"/>
      <c r="DQ160" s="766"/>
      <c r="DR160" s="766"/>
      <c r="DS160" s="59"/>
      <c r="DT160" s="766"/>
      <c r="DU160" s="766"/>
      <c r="DV160" s="766"/>
      <c r="DW160" s="66"/>
      <c r="DX160" s="66"/>
      <c r="DY160" s="766"/>
      <c r="DZ160" s="766"/>
      <c r="EA160" s="766"/>
      <c r="EB160" s="766"/>
      <c r="EC160" s="766"/>
      <c r="ED160" s="766"/>
      <c r="EE160" s="766"/>
      <c r="EF160" s="766"/>
      <c r="EG160" s="766"/>
      <c r="EH160" s="766"/>
      <c r="EI160" s="766"/>
      <c r="EJ160" s="766"/>
      <c r="EK160" s="766"/>
      <c r="EL160" s="766"/>
      <c r="EM160" s="766"/>
      <c r="EN160" s="766"/>
      <c r="EO160" s="766"/>
      <c r="EP160" s="766"/>
      <c r="EQ160" s="766"/>
      <c r="ER160" s="766"/>
      <c r="ES160" s="766"/>
      <c r="ET160" s="766"/>
      <c r="EU160" s="766"/>
      <c r="EV160" s="766"/>
      <c r="EW160" s="766"/>
      <c r="EX160" s="766"/>
      <c r="EY160" s="766"/>
      <c r="EZ160" s="766" t="s">
        <v>8115</v>
      </c>
      <c r="FA160" s="766" t="s">
        <v>8116</v>
      </c>
      <c r="FB160" s="769"/>
      <c r="FC160" s="766"/>
      <c r="FD160" s="775"/>
      <c r="FE160" s="766" t="s">
        <v>1489</v>
      </c>
      <c r="FF160" s="766" t="s">
        <v>8117</v>
      </c>
      <c r="FG160" s="1730" t="s">
        <v>8118</v>
      </c>
      <c r="FH160" s="766"/>
      <c r="FI160" s="766"/>
      <c r="FJ160" s="766"/>
      <c r="FK160" s="766"/>
      <c r="FL160" s="766"/>
      <c r="FM160" s="775"/>
      <c r="FN160" s="775"/>
      <c r="FO160" s="775"/>
      <c r="FP160" s="766"/>
      <c r="FQ160" s="766"/>
      <c r="FR160" s="766"/>
      <c r="FS160" s="766"/>
      <c r="FT160" s="766"/>
      <c r="FU160" s="766"/>
      <c r="FV160" s="766"/>
      <c r="FW160" s="766"/>
      <c r="FX160" s="766"/>
      <c r="FY160" s="766"/>
      <c r="FZ160" s="766"/>
      <c r="GA160" s="766"/>
      <c r="GB160" s="766"/>
      <c r="GC160" s="75"/>
      <c r="GD160" s="25"/>
      <c r="GE160" s="766"/>
      <c r="GF160" s="775"/>
      <c r="GG160" s="775"/>
      <c r="GH160" s="766"/>
      <c r="GI160" s="766"/>
      <c r="GJ160" s="766"/>
      <c r="GK160" s="766"/>
      <c r="GL160" s="766"/>
      <c r="GM160" s="766"/>
      <c r="GN160" s="82"/>
      <c r="GO160" s="766"/>
      <c r="GP160" s="766"/>
      <c r="GQ160" s="766"/>
      <c r="GR160" s="766"/>
      <c r="GS160" s="766"/>
      <c r="GT160" s="766"/>
      <c r="GU160" s="766"/>
      <c r="GV160" s="766"/>
      <c r="GW160" s="766"/>
      <c r="GX160" s="766"/>
      <c r="GY160" s="766"/>
      <c r="GZ160" s="766"/>
      <c r="HA160" s="766"/>
      <c r="HB160" s="766"/>
      <c r="HC160" s="766"/>
      <c r="HD160" s="766"/>
      <c r="HE160" s="766"/>
      <c r="HF160" s="766"/>
      <c r="HG160" s="766"/>
      <c r="HH160" s="766"/>
      <c r="HI160" s="766"/>
      <c r="HJ160" s="766"/>
      <c r="HK160" s="766"/>
      <c r="HL160" s="766"/>
      <c r="HM160" s="766"/>
      <c r="HN160" s="766"/>
      <c r="HO160" s="766"/>
      <c r="HP160" s="766"/>
      <c r="HQ160" s="766"/>
      <c r="HR160" s="766" t="s">
        <v>1208</v>
      </c>
      <c r="HS160" s="766" t="s">
        <v>1208</v>
      </c>
      <c r="HT160" s="766" t="s">
        <v>1208</v>
      </c>
      <c r="HU160" s="766"/>
      <c r="HV160" s="766"/>
      <c r="HW160" s="766"/>
      <c r="HX160" s="766"/>
      <c r="HY160" s="766"/>
      <c r="HZ160" s="766"/>
      <c r="IA160" s="766"/>
      <c r="IB160" s="766"/>
      <c r="IC160" s="766"/>
      <c r="ID160" s="766"/>
      <c r="IE160" s="766"/>
      <c r="IF160" s="766"/>
      <c r="IG160" s="766"/>
      <c r="IH160" s="766"/>
      <c r="II160" s="766"/>
      <c r="IJ160" s="766"/>
      <c r="IK160" s="766"/>
      <c r="IL160" s="766"/>
      <c r="IM160" s="766"/>
      <c r="IN160" s="766"/>
      <c r="IO160" s="24"/>
      <c r="IP160" s="766"/>
      <c r="IQ160" s="766"/>
      <c r="IR160" s="766"/>
      <c r="IS160" s="766"/>
      <c r="IT160" s="766"/>
      <c r="IU160" s="766"/>
      <c r="IV160" s="766"/>
      <c r="IW160" s="766"/>
      <c r="IX160" s="766"/>
      <c r="IY160" s="766"/>
      <c r="IZ160" s="766"/>
      <c r="JA160" s="766"/>
      <c r="JB160" s="766"/>
      <c r="JC160" s="766"/>
      <c r="JD160" s="775"/>
      <c r="JE160" s="766"/>
      <c r="JF160" s="766"/>
      <c r="JG160" s="766"/>
      <c r="JH160" s="766"/>
      <c r="JI160" s="766"/>
      <c r="JJ160" s="766"/>
      <c r="JK160" s="766"/>
      <c r="JL160" s="766"/>
      <c r="JM160" s="766"/>
      <c r="JN160" s="766"/>
      <c r="JO160" s="766"/>
      <c r="JP160" s="766"/>
      <c r="JQ160" s="766"/>
      <c r="JR160" s="766"/>
      <c r="JS160" s="766"/>
      <c r="JT160" s="766"/>
      <c r="JU160" s="766"/>
      <c r="JV160" s="766"/>
      <c r="JW160" s="766"/>
      <c r="JX160" s="766"/>
      <c r="JY160" s="766"/>
      <c r="JZ160" s="766"/>
      <c r="KA160" s="766"/>
      <c r="KB160" s="766"/>
      <c r="KC160" s="766"/>
      <c r="KD160" s="766"/>
      <c r="KE160" s="766"/>
      <c r="KF160" s="766"/>
      <c r="KG160" s="766"/>
      <c r="KH160" s="766"/>
      <c r="KI160" s="766"/>
      <c r="KJ160" s="770"/>
      <c r="KK160" s="770"/>
      <c r="KL160" s="770"/>
      <c r="KM160" s="770"/>
      <c r="KN160" s="766"/>
      <c r="KO160" s="766"/>
      <c r="KP160" s="766"/>
      <c r="KQ160" s="766"/>
      <c r="KR160" s="766"/>
      <c r="KS160" s="766"/>
      <c r="KT160" s="766"/>
      <c r="KU160" s="766"/>
      <c r="KV160" s="766"/>
      <c r="KW160" s="766"/>
      <c r="KX160" s="766"/>
      <c r="KY160" s="766"/>
      <c r="KZ160" s="766"/>
      <c r="LA160" s="766"/>
      <c r="LB160" s="766"/>
      <c r="LC160" s="766"/>
      <c r="LD160" s="766"/>
      <c r="LE160" s="766"/>
      <c r="LF160" s="766"/>
      <c r="LG160" s="766"/>
      <c r="LH160" s="766"/>
      <c r="LI160" s="766"/>
      <c r="LJ160" s="766"/>
      <c r="LK160" s="766"/>
      <c r="LL160" s="766"/>
      <c r="LM160" s="766"/>
      <c r="LN160" s="766"/>
      <c r="LO160" s="766"/>
      <c r="LP160" s="766"/>
      <c r="LQ160" s="766"/>
      <c r="LR160" s="766"/>
      <c r="LS160" s="766"/>
      <c r="LT160" s="766"/>
      <c r="LU160" s="766"/>
      <c r="LV160" s="766"/>
      <c r="LW160" s="766"/>
      <c r="LX160" s="769"/>
      <c r="LY160" s="766" t="str">
        <f t="shared" si="36"/>
        <v/>
      </c>
      <c r="LZ160" s="66"/>
      <c r="MA160" s="766"/>
      <c r="MB160" s="766"/>
      <c r="MC160" s="1679">
        <f t="shared" si="24"/>
        <v>0</v>
      </c>
      <c r="MD160" s="66"/>
      <c r="ME160" s="66"/>
      <c r="MF160" s="66"/>
      <c r="MG160" s="1680">
        <f t="shared" si="34"/>
        <v>0</v>
      </c>
      <c r="MH160" s="766"/>
      <c r="MI160" s="775"/>
      <c r="MJ160" s="775"/>
      <c r="MK160" s="775"/>
      <c r="ML160" s="775"/>
      <c r="MM160" s="775"/>
      <c r="MN160" s="775"/>
      <c r="MO160" s="775"/>
      <c r="MP160" s="775"/>
      <c r="MQ160" s="775"/>
      <c r="MR160" s="775"/>
      <c r="MS160" s="775"/>
      <c r="MT160" s="775"/>
      <c r="MU160" s="775"/>
      <c r="MV160" s="775"/>
      <c r="MW160" s="775"/>
      <c r="MX160" s="775"/>
      <c r="MY160" s="1682">
        <f t="shared" si="35"/>
        <v>0</v>
      </c>
      <c r="MZ160" s="766"/>
      <c r="NA160" s="766"/>
      <c r="NB160" s="766"/>
      <c r="NC160" s="766"/>
      <c r="ND160" s="766"/>
      <c r="NE160" s="766"/>
      <c r="NF160" s="766"/>
      <c r="NG160" s="766"/>
      <c r="NH160" s="766"/>
      <c r="NI160" s="766"/>
      <c r="NJ160" s="766"/>
      <c r="NK160" s="766"/>
      <c r="NL160" s="766"/>
      <c r="NM160" s="766"/>
      <c r="NN160" s="766"/>
      <c r="NO160" s="766"/>
      <c r="NP160" s="766"/>
      <c r="NQ160" s="766"/>
      <c r="NR160" s="766"/>
      <c r="NS160" s="766"/>
      <c r="NT160" s="766"/>
      <c r="NU160" s="766"/>
      <c r="NV160" s="766"/>
      <c r="NW160" s="766"/>
      <c r="NX160" s="766"/>
      <c r="NY160" s="766"/>
      <c r="NZ160" s="766"/>
      <c r="OA160" s="766"/>
      <c r="OB160" s="766"/>
      <c r="OC160" s="766"/>
      <c r="OD160" s="766"/>
      <c r="OE160" s="766"/>
      <c r="OF160" s="766"/>
      <c r="OG160" s="766"/>
      <c r="OH160" s="766"/>
      <c r="OI160" s="766"/>
      <c r="OJ160" s="766"/>
      <c r="OK160" s="766"/>
      <c r="OL160" s="766"/>
      <c r="OM160" s="766"/>
      <c r="ON160" s="766"/>
      <c r="OO160" s="766"/>
      <c r="OP160" s="766"/>
      <c r="OQ160" s="766"/>
      <c r="OR160" s="766"/>
      <c r="OS160" s="766"/>
      <c r="OT160" s="766"/>
      <c r="OU160" s="766"/>
      <c r="OV160" s="766"/>
      <c r="OW160" s="766"/>
      <c r="OX160" s="766"/>
      <c r="OY160" s="766"/>
      <c r="OZ160" s="766"/>
      <c r="PA160" s="766"/>
      <c r="PB160" s="766"/>
      <c r="PC160" s="766"/>
      <c r="PD160" s="766"/>
      <c r="PE160" s="766"/>
      <c r="PF160" s="766"/>
      <c r="PG160" s="766"/>
      <c r="PH160" s="766"/>
      <c r="PI160" s="766"/>
      <c r="PJ160" s="766"/>
      <c r="PK160" s="766"/>
      <c r="PL160" s="766"/>
      <c r="PM160" s="766"/>
      <c r="PN160" s="766"/>
      <c r="PO160" s="766"/>
      <c r="PP160" s="766"/>
      <c r="PQ160" s="766"/>
      <c r="PR160" s="766"/>
      <c r="PS160" s="766"/>
      <c r="PT160" s="766"/>
      <c r="PU160" s="766"/>
      <c r="PV160" s="766"/>
      <c r="PW160" s="766"/>
      <c r="PX160" s="766"/>
      <c r="PY160" s="766"/>
      <c r="PZ160" s="766"/>
      <c r="QA160" s="766"/>
      <c r="QB160" s="766"/>
      <c r="QC160" s="766"/>
      <c r="QD160" s="766"/>
      <c r="QE160" s="766"/>
      <c r="QF160" s="766"/>
      <c r="QG160" s="766"/>
      <c r="QH160" s="766"/>
      <c r="QI160" s="766"/>
      <c r="QJ160" s="766"/>
      <c r="QK160" s="766"/>
      <c r="QL160" s="766"/>
      <c r="QM160" s="766"/>
      <c r="QN160" s="766"/>
      <c r="QO160" s="766"/>
      <c r="QP160" s="766"/>
      <c r="QQ160" s="766"/>
      <c r="QR160" s="766"/>
      <c r="QS160" s="766"/>
      <c r="QT160" s="766"/>
      <c r="QU160" s="766"/>
      <c r="QV160" s="766"/>
      <c r="QW160" s="766"/>
      <c r="QX160" s="766"/>
      <c r="QY160" s="766"/>
      <c r="QZ160" s="766"/>
      <c r="RA160" s="766"/>
      <c r="RB160" s="766"/>
      <c r="RC160" s="766"/>
      <c r="RD160" s="766"/>
      <c r="RE160" s="766"/>
      <c r="RF160" s="777"/>
      <c r="RG160" s="766"/>
      <c r="RH160" s="775"/>
      <c r="RI160" s="766"/>
      <c r="RJ160" s="766"/>
      <c r="RK160" s="766"/>
      <c r="RL160" s="1683"/>
      <c r="RM160" s="12"/>
      <c r="RN160" s="1711"/>
      <c r="RO160" s="171" t="s">
        <v>251</v>
      </c>
      <c r="RP160" s="11"/>
      <c r="RQ160" s="11"/>
      <c r="RR160" s="17"/>
      <c r="RS160" s="766"/>
      <c r="RT160" s="11"/>
      <c r="RU160" s="11"/>
      <c r="RV160" s="766" t="s">
        <v>12438</v>
      </c>
      <c r="RW160" s="11" t="s">
        <v>12156</v>
      </c>
      <c r="RX160" s="11" t="s">
        <v>11853</v>
      </c>
      <c r="RY160" s="11"/>
      <c r="RZ160" s="11" t="s">
        <v>7419</v>
      </c>
      <c r="SA160" s="766"/>
      <c r="SB160" s="11"/>
      <c r="SC160" s="11"/>
    </row>
    <row r="161" spans="1:497" ht="15" hidden="1" customHeight="1">
      <c r="A161" s="19" t="s">
        <v>12451</v>
      </c>
      <c r="B161" s="744"/>
      <c r="C161" s="171" t="s">
        <v>11839</v>
      </c>
      <c r="D161" s="766" t="s">
        <v>1798</v>
      </c>
      <c r="E161" s="766"/>
      <c r="F161" s="766"/>
      <c r="G161" s="766"/>
      <c r="H161" s="766"/>
      <c r="I161" s="5"/>
      <c r="J161" s="766"/>
      <c r="K161" s="766"/>
      <c r="L161" s="766"/>
      <c r="M161" s="766"/>
      <c r="N161" s="766"/>
      <c r="O161" s="766"/>
      <c r="P161" s="766"/>
      <c r="Q161" s="1085"/>
      <c r="R161" s="25"/>
      <c r="S161" s="766"/>
      <c r="T161" s="766"/>
      <c r="U161" s="26"/>
      <c r="V161" s="766"/>
      <c r="W161" s="766"/>
      <c r="X161" s="766"/>
      <c r="Y161" s="766"/>
      <c r="Z161" s="766"/>
      <c r="AA161" s="766"/>
      <c r="AB161" s="766"/>
      <c r="AC161" s="766"/>
      <c r="AD161" s="766"/>
      <c r="AE161" s="766"/>
      <c r="AF161" s="766"/>
      <c r="AG161" s="766"/>
      <c r="AH161" s="766"/>
      <c r="AI161" s="766"/>
      <c r="AJ161" s="766"/>
      <c r="AK161" s="766"/>
      <c r="AL161" s="121"/>
      <c r="AM161" s="772"/>
      <c r="AN161" s="774"/>
      <c r="AO161" s="766"/>
      <c r="AP161" s="766"/>
      <c r="AQ161" s="766"/>
      <c r="AR161" s="766"/>
      <c r="AS161" s="766"/>
      <c r="AT161" s="766"/>
      <c r="AU161" s="766"/>
      <c r="AV161" s="766"/>
      <c r="AW161" s="766"/>
      <c r="AX161" s="766"/>
      <c r="AY161" s="766"/>
      <c r="AZ161" s="766"/>
      <c r="BA161" s="766"/>
      <c r="BB161" s="766"/>
      <c r="BC161" s="766"/>
      <c r="BD161" s="766"/>
      <c r="BE161" s="766"/>
      <c r="BF161" s="775"/>
      <c r="BG161" s="775"/>
      <c r="BH161" s="766"/>
      <c r="BI161" s="766"/>
      <c r="BJ161" s="766"/>
      <c r="BK161" s="766" t="s">
        <v>12425</v>
      </c>
      <c r="BL161" s="766"/>
      <c r="BM161" s="766" t="s">
        <v>12425</v>
      </c>
      <c r="BN161" s="766" t="s">
        <v>12425</v>
      </c>
      <c r="BO161" s="766" t="s">
        <v>12425</v>
      </c>
      <c r="BP161" s="776"/>
      <c r="BQ161" s="772"/>
      <c r="BR161" s="774"/>
      <c r="BS161" s="766" t="s">
        <v>12425</v>
      </c>
      <c r="BT161" s="766"/>
      <c r="BU161" s="766"/>
      <c r="BV161" s="766"/>
      <c r="BW161" s="766"/>
      <c r="BX161" s="779"/>
      <c r="BY161" s="766"/>
      <c r="BZ161" s="775"/>
      <c r="CA161" s="766"/>
      <c r="CB161" s="766"/>
      <c r="CC161" s="766"/>
      <c r="CD161" s="766"/>
      <c r="CE161" s="766"/>
      <c r="CF161" s="777"/>
      <c r="CG161" s="778"/>
      <c r="CH161" s="766"/>
      <c r="CI161" s="766"/>
      <c r="CJ161" s="766"/>
      <c r="CK161" s="766"/>
      <c r="CL161" s="766"/>
      <c r="CM161" s="766"/>
      <c r="CN161" s="766"/>
      <c r="CO161" s="769"/>
      <c r="CP161" s="766"/>
      <c r="CQ161" s="766"/>
      <c r="CR161" s="775"/>
      <c r="CS161" s="766"/>
      <c r="CT161" s="766"/>
      <c r="CU161" s="129"/>
      <c r="CV161" s="766"/>
      <c r="CW161" s="766"/>
      <c r="CX161" s="766"/>
      <c r="CY161" s="766"/>
      <c r="CZ161" s="766"/>
      <c r="DA161" s="766"/>
      <c r="DB161" s="766"/>
      <c r="DC161" s="766"/>
      <c r="DD161" s="766"/>
      <c r="DE161" s="766"/>
      <c r="DF161" s="766"/>
      <c r="DG161" s="766"/>
      <c r="DH161" s="766"/>
      <c r="DI161" s="766"/>
      <c r="DJ161" s="766"/>
      <c r="DK161" s="766"/>
      <c r="DL161" s="766"/>
      <c r="DM161" s="766"/>
      <c r="DN161" s="766"/>
      <c r="DO161" s="766"/>
      <c r="DP161" s="766"/>
      <c r="DQ161" s="766"/>
      <c r="DR161" s="766"/>
      <c r="DS161" s="59"/>
      <c r="DT161" s="766"/>
      <c r="DU161" s="766"/>
      <c r="DV161" s="766"/>
      <c r="DW161" s="66"/>
      <c r="DX161" s="66"/>
      <c r="DY161" s="766"/>
      <c r="DZ161" s="766"/>
      <c r="EA161" s="766"/>
      <c r="EB161" s="766"/>
      <c r="EC161" s="766"/>
      <c r="ED161" s="766"/>
      <c r="EE161" s="766"/>
      <c r="EF161" s="766"/>
      <c r="EG161" s="766"/>
      <c r="EH161" s="766"/>
      <c r="EI161" s="766"/>
      <c r="EJ161" s="766"/>
      <c r="EK161" s="766"/>
      <c r="EL161" s="766"/>
      <c r="EM161" s="766"/>
      <c r="EN161" s="766"/>
      <c r="EO161" s="766"/>
      <c r="EP161" s="766"/>
      <c r="EQ161" s="766"/>
      <c r="ER161" s="766"/>
      <c r="ES161" s="766"/>
      <c r="ET161" s="766"/>
      <c r="EU161" s="766"/>
      <c r="EV161" s="766"/>
      <c r="EW161" s="766"/>
      <c r="EX161" s="766"/>
      <c r="EY161" s="766"/>
      <c r="EZ161" s="766"/>
      <c r="FA161" s="766"/>
      <c r="FB161" s="769"/>
      <c r="FC161" s="766"/>
      <c r="FD161" s="775"/>
      <c r="FE161" s="766"/>
      <c r="FF161" s="766"/>
      <c r="FG161" s="1731"/>
      <c r="FH161" s="766"/>
      <c r="FI161" s="766"/>
      <c r="FJ161" s="766"/>
      <c r="FK161" s="766"/>
      <c r="FL161" s="766"/>
      <c r="FM161" s="775"/>
      <c r="FN161" s="775"/>
      <c r="FO161" s="775"/>
      <c r="FP161" s="766"/>
      <c r="FQ161" s="766"/>
      <c r="FR161" s="766"/>
      <c r="FS161" s="766"/>
      <c r="FT161" s="766"/>
      <c r="FU161" s="766"/>
      <c r="FV161" s="766"/>
      <c r="FW161" s="766"/>
      <c r="FX161" s="766"/>
      <c r="FY161" s="766"/>
      <c r="FZ161" s="766"/>
      <c r="GA161" s="766"/>
      <c r="GB161" s="766"/>
      <c r="GC161" s="75"/>
      <c r="GD161" s="25"/>
      <c r="GE161" s="766"/>
      <c r="GF161" s="775"/>
      <c r="GG161" s="775"/>
      <c r="GH161" s="766"/>
      <c r="GI161" s="766"/>
      <c r="GJ161" s="766"/>
      <c r="GK161" s="766"/>
      <c r="GL161" s="766"/>
      <c r="GM161" s="766"/>
      <c r="GN161" s="82"/>
      <c r="GO161" s="766"/>
      <c r="GP161" s="766"/>
      <c r="GQ161" s="766"/>
      <c r="GR161" s="766"/>
      <c r="GS161" s="766"/>
      <c r="GT161" s="766"/>
      <c r="GU161" s="766"/>
      <c r="GV161" s="766"/>
      <c r="GW161" s="766"/>
      <c r="GX161" s="766"/>
      <c r="GY161" s="766"/>
      <c r="GZ161" s="766"/>
      <c r="HA161" s="766"/>
      <c r="HB161" s="766"/>
      <c r="HC161" s="766"/>
      <c r="HD161" s="766"/>
      <c r="HE161" s="766"/>
      <c r="HF161" s="766"/>
      <c r="HG161" s="766"/>
      <c r="HH161" s="766"/>
      <c r="HI161" s="766"/>
      <c r="HJ161" s="766"/>
      <c r="HK161" s="766"/>
      <c r="HL161" s="766"/>
      <c r="HM161" s="766"/>
      <c r="HN161" s="766"/>
      <c r="HO161" s="766"/>
      <c r="HP161" s="766"/>
      <c r="HQ161" s="766"/>
      <c r="HR161" s="766"/>
      <c r="HS161" s="766"/>
      <c r="HT161" s="766"/>
      <c r="HU161" s="766"/>
      <c r="HV161" s="766"/>
      <c r="HW161" s="766"/>
      <c r="HX161" s="766"/>
      <c r="HY161" s="766"/>
      <c r="HZ161" s="766"/>
      <c r="IA161" s="766"/>
      <c r="IB161" s="766"/>
      <c r="IC161" s="766"/>
      <c r="ID161" s="766"/>
      <c r="IE161" s="766"/>
      <c r="IF161" s="766"/>
      <c r="IG161" s="766"/>
      <c r="IH161" s="766"/>
      <c r="II161" s="766"/>
      <c r="IJ161" s="766"/>
      <c r="IK161" s="766"/>
      <c r="IL161" s="766"/>
      <c r="IM161" s="766"/>
      <c r="IN161" s="766"/>
      <c r="IO161" s="24"/>
      <c r="IP161" s="766"/>
      <c r="IQ161" s="766"/>
      <c r="IR161" s="766"/>
      <c r="IS161" s="766"/>
      <c r="IT161" s="766"/>
      <c r="IU161" s="766"/>
      <c r="IV161" s="766"/>
      <c r="IW161" s="766"/>
      <c r="IX161" s="766"/>
      <c r="IY161" s="766"/>
      <c r="IZ161" s="766"/>
      <c r="JA161" s="766"/>
      <c r="JB161" s="766"/>
      <c r="JC161" s="766"/>
      <c r="JD161" s="775"/>
      <c r="JE161" s="766"/>
      <c r="JF161" s="766"/>
      <c r="JG161" s="766"/>
      <c r="JH161" s="766"/>
      <c r="JI161" s="766"/>
      <c r="JJ161" s="766"/>
      <c r="JK161" s="766"/>
      <c r="JL161" s="766"/>
      <c r="JM161" s="766"/>
      <c r="JN161" s="766"/>
      <c r="JO161" s="766"/>
      <c r="JP161" s="766"/>
      <c r="JQ161" s="766"/>
      <c r="JR161" s="766"/>
      <c r="JS161" s="766"/>
      <c r="JT161" s="766"/>
      <c r="JU161" s="766"/>
      <c r="JV161" s="766"/>
      <c r="JW161" s="766"/>
      <c r="JX161" s="766"/>
      <c r="JY161" s="766"/>
      <c r="JZ161" s="766"/>
      <c r="KA161" s="766"/>
      <c r="KB161" s="766"/>
      <c r="KC161" s="766"/>
      <c r="KD161" s="766"/>
      <c r="KE161" s="766"/>
      <c r="KF161" s="766"/>
      <c r="KG161" s="766"/>
      <c r="KH161" s="766"/>
      <c r="KI161" s="766"/>
      <c r="KJ161" s="770"/>
      <c r="KK161" s="770"/>
      <c r="KL161" s="770"/>
      <c r="KM161" s="770"/>
      <c r="KN161" s="766"/>
      <c r="KO161" s="766"/>
      <c r="KP161" s="766"/>
      <c r="KQ161" s="766"/>
      <c r="KR161" s="766"/>
      <c r="KS161" s="766"/>
      <c r="KT161" s="766"/>
      <c r="KU161" s="766"/>
      <c r="KV161" s="766"/>
      <c r="KW161" s="766"/>
      <c r="KX161" s="766"/>
      <c r="KY161" s="766"/>
      <c r="KZ161" s="766"/>
      <c r="LA161" s="766"/>
      <c r="LB161" s="766"/>
      <c r="LC161" s="766"/>
      <c r="LD161" s="766"/>
      <c r="LE161" s="766"/>
      <c r="LF161" s="766"/>
      <c r="LG161" s="766"/>
      <c r="LH161" s="766"/>
      <c r="LI161" s="766"/>
      <c r="LJ161" s="766"/>
      <c r="LK161" s="766"/>
      <c r="LL161" s="766"/>
      <c r="LM161" s="766"/>
      <c r="LN161" s="766"/>
      <c r="LO161" s="766"/>
      <c r="LP161" s="766"/>
      <c r="LQ161" s="766"/>
      <c r="LR161" s="766"/>
      <c r="LS161" s="766"/>
      <c r="LT161" s="766"/>
      <c r="LU161" s="766"/>
      <c r="LV161" s="766"/>
      <c r="LW161" s="766"/>
      <c r="LX161" s="769"/>
      <c r="LY161" s="766" t="str">
        <f t="shared" si="36"/>
        <v/>
      </c>
      <c r="LZ161" s="66"/>
      <c r="MA161" s="766"/>
      <c r="MB161" s="766"/>
      <c r="MC161" s="1679">
        <f t="shared" si="24"/>
        <v>0</v>
      </c>
      <c r="MD161" s="66"/>
      <c r="ME161" s="66"/>
      <c r="MF161" s="66"/>
      <c r="MG161" s="1680">
        <f t="shared" si="34"/>
        <v>0</v>
      </c>
      <c r="MH161" s="766"/>
      <c r="MI161" s="775"/>
      <c r="MJ161" s="775"/>
      <c r="MK161" s="775"/>
      <c r="ML161" s="775"/>
      <c r="MM161" s="775"/>
      <c r="MN161" s="775"/>
      <c r="MO161" s="775"/>
      <c r="MP161" s="775"/>
      <c r="MQ161" s="775"/>
      <c r="MR161" s="775"/>
      <c r="MS161" s="775"/>
      <c r="MT161" s="775"/>
      <c r="MU161" s="775"/>
      <c r="MV161" s="775"/>
      <c r="MW161" s="775"/>
      <c r="MX161" s="775"/>
      <c r="MY161" s="1682">
        <f t="shared" si="35"/>
        <v>0</v>
      </c>
      <c r="MZ161" s="766"/>
      <c r="NA161" s="766"/>
      <c r="NB161" s="766"/>
      <c r="NC161" s="766"/>
      <c r="ND161" s="766"/>
      <c r="NE161" s="766"/>
      <c r="NF161" s="766"/>
      <c r="NG161" s="766"/>
      <c r="NH161" s="766"/>
      <c r="NI161" s="766"/>
      <c r="NJ161" s="766"/>
      <c r="NK161" s="766"/>
      <c r="NL161" s="766"/>
      <c r="NM161" s="766"/>
      <c r="NN161" s="766"/>
      <c r="NO161" s="766"/>
      <c r="NP161" s="766"/>
      <c r="NQ161" s="766"/>
      <c r="NR161" s="766"/>
      <c r="NS161" s="766"/>
      <c r="NT161" s="766"/>
      <c r="NU161" s="766"/>
      <c r="NV161" s="766"/>
      <c r="NW161" s="766"/>
      <c r="NX161" s="766"/>
      <c r="NY161" s="766"/>
      <c r="NZ161" s="766"/>
      <c r="OA161" s="766"/>
      <c r="OB161" s="766"/>
      <c r="OC161" s="766"/>
      <c r="OD161" s="766"/>
      <c r="OE161" s="766"/>
      <c r="OF161" s="766"/>
      <c r="OG161" s="766"/>
      <c r="OH161" s="766"/>
      <c r="OI161" s="766"/>
      <c r="OJ161" s="766"/>
      <c r="OK161" s="766"/>
      <c r="OL161" s="766"/>
      <c r="OM161" s="766"/>
      <c r="ON161" s="766"/>
      <c r="OO161" s="766"/>
      <c r="OP161" s="766"/>
      <c r="OQ161" s="766"/>
      <c r="OR161" s="766"/>
      <c r="OS161" s="766"/>
      <c r="OT161" s="766"/>
      <c r="OU161" s="766"/>
      <c r="OV161" s="766"/>
      <c r="OW161" s="766"/>
      <c r="OX161" s="766"/>
      <c r="OY161" s="766"/>
      <c r="OZ161" s="766"/>
      <c r="PA161" s="766"/>
      <c r="PB161" s="766"/>
      <c r="PC161" s="766"/>
      <c r="PD161" s="766"/>
      <c r="PE161" s="766"/>
      <c r="PF161" s="766"/>
      <c r="PG161" s="766"/>
      <c r="PH161" s="766"/>
      <c r="PI161" s="766"/>
      <c r="PJ161" s="766"/>
      <c r="PK161" s="766"/>
      <c r="PL161" s="766"/>
      <c r="PM161" s="766"/>
      <c r="PN161" s="766"/>
      <c r="PO161" s="766"/>
      <c r="PP161" s="766"/>
      <c r="PQ161" s="766"/>
      <c r="PR161" s="766"/>
      <c r="PS161" s="766"/>
      <c r="PT161" s="766"/>
      <c r="PU161" s="766"/>
      <c r="PV161" s="766"/>
      <c r="PW161" s="766"/>
      <c r="PX161" s="766"/>
      <c r="PY161" s="766"/>
      <c r="PZ161" s="766"/>
      <c r="QA161" s="766"/>
      <c r="QB161" s="766"/>
      <c r="QC161" s="766"/>
      <c r="QD161" s="766"/>
      <c r="QE161" s="766"/>
      <c r="QF161" s="766"/>
      <c r="QG161" s="766"/>
      <c r="QH161" s="766"/>
      <c r="QI161" s="766"/>
      <c r="QJ161" s="766"/>
      <c r="QK161" s="766"/>
      <c r="QL161" s="766"/>
      <c r="QM161" s="766"/>
      <c r="QN161" s="766"/>
      <c r="QO161" s="766"/>
      <c r="QP161" s="766"/>
      <c r="QQ161" s="766"/>
      <c r="QR161" s="766"/>
      <c r="QS161" s="766"/>
      <c r="QT161" s="766"/>
      <c r="QU161" s="766"/>
      <c r="QV161" s="766"/>
      <c r="QW161" s="766"/>
      <c r="QX161" s="766"/>
      <c r="QY161" s="766"/>
      <c r="QZ161" s="766"/>
      <c r="RA161" s="766"/>
      <c r="RB161" s="766"/>
      <c r="RC161" s="766"/>
      <c r="RD161" s="766"/>
      <c r="RE161" s="766"/>
      <c r="RF161" s="777"/>
      <c r="RG161" s="766"/>
      <c r="RH161" s="775"/>
      <c r="RI161" s="766"/>
      <c r="RJ161" s="766"/>
      <c r="RK161" s="766"/>
      <c r="RL161" s="1683"/>
      <c r="RM161" s="12"/>
      <c r="RN161" s="1711"/>
      <c r="RO161" s="171" t="s">
        <v>11839</v>
      </c>
      <c r="RP161" s="11"/>
      <c r="RQ161" s="11"/>
      <c r="RR161" s="17"/>
      <c r="RS161" s="766"/>
      <c r="RT161" s="11"/>
      <c r="RU161" s="11"/>
      <c r="RV161" s="766" t="s">
        <v>12452</v>
      </c>
      <c r="RW161" s="11" t="s">
        <v>12152</v>
      </c>
      <c r="RX161" s="11" t="s">
        <v>12151</v>
      </c>
      <c r="RY161" s="11"/>
      <c r="RZ161" s="11" t="s">
        <v>7419</v>
      </c>
      <c r="SA161" s="766"/>
      <c r="SB161" s="11"/>
      <c r="SC161" s="11"/>
    </row>
    <row r="162" spans="1:497" ht="15" hidden="1" customHeight="1">
      <c r="A162" s="19" t="s">
        <v>12451</v>
      </c>
      <c r="B162" s="744"/>
      <c r="C162" s="171" t="s">
        <v>11840</v>
      </c>
      <c r="D162" s="766" t="s">
        <v>1798</v>
      </c>
      <c r="E162" s="766"/>
      <c r="F162" s="766"/>
      <c r="G162" s="766"/>
      <c r="H162" s="766"/>
      <c r="I162" s="5"/>
      <c r="J162" s="766"/>
      <c r="K162" s="766"/>
      <c r="L162" s="766"/>
      <c r="M162" s="766"/>
      <c r="N162" s="766"/>
      <c r="O162" s="766"/>
      <c r="P162" s="766"/>
      <c r="Q162" s="1085"/>
      <c r="R162" s="25"/>
      <c r="S162" s="766"/>
      <c r="T162" s="766"/>
      <c r="U162" s="26"/>
      <c r="V162" s="766"/>
      <c r="W162" s="766"/>
      <c r="X162" s="766"/>
      <c r="Y162" s="766"/>
      <c r="Z162" s="766"/>
      <c r="AA162" s="766"/>
      <c r="AB162" s="766"/>
      <c r="AC162" s="766"/>
      <c r="AD162" s="766"/>
      <c r="AE162" s="766"/>
      <c r="AF162" s="766"/>
      <c r="AG162" s="766"/>
      <c r="AH162" s="766"/>
      <c r="AI162" s="766"/>
      <c r="AJ162" s="766"/>
      <c r="AK162" s="766"/>
      <c r="AL162" s="121"/>
      <c r="AM162" s="772"/>
      <c r="AN162" s="774"/>
      <c r="AO162" s="766"/>
      <c r="AP162" s="766"/>
      <c r="AQ162" s="766"/>
      <c r="AR162" s="766"/>
      <c r="AS162" s="766"/>
      <c r="AT162" s="766"/>
      <c r="AU162" s="766"/>
      <c r="AV162" s="766"/>
      <c r="AW162" s="766"/>
      <c r="AX162" s="766"/>
      <c r="AY162" s="766"/>
      <c r="AZ162" s="766"/>
      <c r="BA162" s="766"/>
      <c r="BB162" s="766"/>
      <c r="BC162" s="766"/>
      <c r="BD162" s="766"/>
      <c r="BE162" s="766"/>
      <c r="BF162" s="775"/>
      <c r="BG162" s="775"/>
      <c r="BH162" s="766"/>
      <c r="BI162" s="766"/>
      <c r="BJ162" s="766"/>
      <c r="BK162" s="766" t="s">
        <v>12425</v>
      </c>
      <c r="BL162" s="766"/>
      <c r="BM162" s="766" t="s">
        <v>12425</v>
      </c>
      <c r="BN162" s="766" t="s">
        <v>12425</v>
      </c>
      <c r="BO162" s="766" t="s">
        <v>12425</v>
      </c>
      <c r="BP162" s="776"/>
      <c r="BQ162" s="772"/>
      <c r="BR162" s="774"/>
      <c r="BS162" s="766" t="s">
        <v>12425</v>
      </c>
      <c r="BT162" s="766"/>
      <c r="BU162" s="766"/>
      <c r="BV162" s="766"/>
      <c r="BW162" s="766"/>
      <c r="BX162" s="779"/>
      <c r="BY162" s="766"/>
      <c r="BZ162" s="775"/>
      <c r="CA162" s="766"/>
      <c r="CB162" s="766"/>
      <c r="CC162" s="766"/>
      <c r="CD162" s="766"/>
      <c r="CE162" s="766"/>
      <c r="CF162" s="777"/>
      <c r="CG162" s="778"/>
      <c r="CH162" s="766"/>
      <c r="CI162" s="766"/>
      <c r="CJ162" s="766"/>
      <c r="CK162" s="766"/>
      <c r="CL162" s="766"/>
      <c r="CM162" s="766"/>
      <c r="CN162" s="766"/>
      <c r="CO162" s="769"/>
      <c r="CP162" s="766"/>
      <c r="CQ162" s="766"/>
      <c r="CR162" s="775"/>
      <c r="CS162" s="766"/>
      <c r="CT162" s="766"/>
      <c r="CU162" s="129"/>
      <c r="CV162" s="766"/>
      <c r="CW162" s="766"/>
      <c r="CX162" s="766"/>
      <c r="CY162" s="766"/>
      <c r="CZ162" s="766"/>
      <c r="DA162" s="766"/>
      <c r="DB162" s="766"/>
      <c r="DC162" s="766"/>
      <c r="DD162" s="766"/>
      <c r="DE162" s="766"/>
      <c r="DF162" s="766"/>
      <c r="DG162" s="766"/>
      <c r="DH162" s="766"/>
      <c r="DI162" s="766"/>
      <c r="DJ162" s="766"/>
      <c r="DK162" s="766"/>
      <c r="DL162" s="766"/>
      <c r="DM162" s="766"/>
      <c r="DN162" s="766"/>
      <c r="DO162" s="766"/>
      <c r="DP162" s="766"/>
      <c r="DQ162" s="766"/>
      <c r="DR162" s="766"/>
      <c r="DS162" s="59"/>
      <c r="DT162" s="766"/>
      <c r="DU162" s="766"/>
      <c r="DV162" s="766"/>
      <c r="DW162" s="66"/>
      <c r="DX162" s="66"/>
      <c r="DY162" s="766"/>
      <c r="DZ162" s="766"/>
      <c r="EA162" s="766"/>
      <c r="EB162" s="766"/>
      <c r="EC162" s="766"/>
      <c r="ED162" s="766"/>
      <c r="EE162" s="766"/>
      <c r="EF162" s="766"/>
      <c r="EG162" s="766"/>
      <c r="EH162" s="766"/>
      <c r="EI162" s="766"/>
      <c r="EJ162" s="766"/>
      <c r="EK162" s="766"/>
      <c r="EL162" s="766"/>
      <c r="EM162" s="766"/>
      <c r="EN162" s="766"/>
      <c r="EO162" s="766"/>
      <c r="EP162" s="766"/>
      <c r="EQ162" s="766"/>
      <c r="ER162" s="766"/>
      <c r="ES162" s="766"/>
      <c r="ET162" s="766"/>
      <c r="EU162" s="766"/>
      <c r="EV162" s="766"/>
      <c r="EW162" s="766"/>
      <c r="EX162" s="766"/>
      <c r="EY162" s="766"/>
      <c r="EZ162" s="766"/>
      <c r="FA162" s="766"/>
      <c r="FB162" s="769"/>
      <c r="FC162" s="766"/>
      <c r="FD162" s="775"/>
      <c r="FE162" s="766"/>
      <c r="FF162" s="766"/>
      <c r="FG162" s="1731"/>
      <c r="FH162" s="766"/>
      <c r="FI162" s="766"/>
      <c r="FJ162" s="766"/>
      <c r="FK162" s="766"/>
      <c r="FL162" s="766"/>
      <c r="FM162" s="775"/>
      <c r="FN162" s="775"/>
      <c r="FO162" s="775"/>
      <c r="FP162" s="766"/>
      <c r="FQ162" s="766"/>
      <c r="FR162" s="766"/>
      <c r="FS162" s="766"/>
      <c r="FT162" s="766"/>
      <c r="FU162" s="766"/>
      <c r="FV162" s="766"/>
      <c r="FW162" s="766"/>
      <c r="FX162" s="766"/>
      <c r="FY162" s="766"/>
      <c r="FZ162" s="766"/>
      <c r="GA162" s="766"/>
      <c r="GB162" s="766"/>
      <c r="GC162" s="75"/>
      <c r="GD162" s="25"/>
      <c r="GE162" s="766"/>
      <c r="GF162" s="775"/>
      <c r="GG162" s="775"/>
      <c r="GH162" s="766"/>
      <c r="GI162" s="766"/>
      <c r="GJ162" s="766"/>
      <c r="GK162" s="766"/>
      <c r="GL162" s="766"/>
      <c r="GM162" s="766"/>
      <c r="GN162" s="82"/>
      <c r="GO162" s="766"/>
      <c r="GP162" s="766"/>
      <c r="GQ162" s="766"/>
      <c r="GR162" s="766"/>
      <c r="GS162" s="766"/>
      <c r="GT162" s="766"/>
      <c r="GU162" s="766"/>
      <c r="GV162" s="766"/>
      <c r="GW162" s="766"/>
      <c r="GX162" s="766"/>
      <c r="GY162" s="766"/>
      <c r="GZ162" s="766"/>
      <c r="HA162" s="766"/>
      <c r="HB162" s="766"/>
      <c r="HC162" s="766"/>
      <c r="HD162" s="766"/>
      <c r="HE162" s="766"/>
      <c r="HF162" s="766"/>
      <c r="HG162" s="766"/>
      <c r="HH162" s="766"/>
      <c r="HI162" s="766"/>
      <c r="HJ162" s="766"/>
      <c r="HK162" s="766"/>
      <c r="HL162" s="766"/>
      <c r="HM162" s="766"/>
      <c r="HN162" s="766"/>
      <c r="HO162" s="766"/>
      <c r="HP162" s="766"/>
      <c r="HQ162" s="766"/>
      <c r="HR162" s="766"/>
      <c r="HS162" s="766"/>
      <c r="HT162" s="766"/>
      <c r="HU162" s="766"/>
      <c r="HV162" s="766"/>
      <c r="HW162" s="766"/>
      <c r="HX162" s="766"/>
      <c r="HY162" s="766"/>
      <c r="HZ162" s="766"/>
      <c r="IA162" s="766"/>
      <c r="IB162" s="766"/>
      <c r="IC162" s="766"/>
      <c r="ID162" s="766"/>
      <c r="IE162" s="766"/>
      <c r="IF162" s="766"/>
      <c r="IG162" s="766"/>
      <c r="IH162" s="766"/>
      <c r="II162" s="766"/>
      <c r="IJ162" s="766"/>
      <c r="IK162" s="766"/>
      <c r="IL162" s="766"/>
      <c r="IM162" s="766"/>
      <c r="IN162" s="766"/>
      <c r="IO162" s="24"/>
      <c r="IP162" s="766"/>
      <c r="IQ162" s="766"/>
      <c r="IR162" s="766"/>
      <c r="IS162" s="766"/>
      <c r="IT162" s="766"/>
      <c r="IU162" s="766"/>
      <c r="IV162" s="766"/>
      <c r="IW162" s="766"/>
      <c r="IX162" s="766"/>
      <c r="IY162" s="766"/>
      <c r="IZ162" s="766"/>
      <c r="JA162" s="766"/>
      <c r="JB162" s="766"/>
      <c r="JC162" s="766"/>
      <c r="JD162" s="775"/>
      <c r="JE162" s="766"/>
      <c r="JF162" s="766"/>
      <c r="JG162" s="766"/>
      <c r="JH162" s="766"/>
      <c r="JI162" s="766"/>
      <c r="JJ162" s="766"/>
      <c r="JK162" s="766"/>
      <c r="JL162" s="766"/>
      <c r="JM162" s="766"/>
      <c r="JN162" s="766"/>
      <c r="JO162" s="766"/>
      <c r="JP162" s="766"/>
      <c r="JQ162" s="766"/>
      <c r="JR162" s="766"/>
      <c r="JS162" s="766"/>
      <c r="JT162" s="766"/>
      <c r="JU162" s="766"/>
      <c r="JV162" s="766"/>
      <c r="JW162" s="766"/>
      <c r="JX162" s="766"/>
      <c r="JY162" s="766"/>
      <c r="JZ162" s="766"/>
      <c r="KA162" s="766"/>
      <c r="KB162" s="766"/>
      <c r="KC162" s="766"/>
      <c r="KD162" s="766"/>
      <c r="KE162" s="766"/>
      <c r="KF162" s="766"/>
      <c r="KG162" s="766"/>
      <c r="KH162" s="766"/>
      <c r="KI162" s="766"/>
      <c r="KJ162" s="770"/>
      <c r="KK162" s="770"/>
      <c r="KL162" s="770"/>
      <c r="KM162" s="770"/>
      <c r="KN162" s="766"/>
      <c r="KO162" s="766"/>
      <c r="KP162" s="766"/>
      <c r="KQ162" s="766"/>
      <c r="KR162" s="766"/>
      <c r="KS162" s="766"/>
      <c r="KT162" s="766"/>
      <c r="KU162" s="766"/>
      <c r="KV162" s="766"/>
      <c r="KW162" s="766"/>
      <c r="KX162" s="766"/>
      <c r="KY162" s="766"/>
      <c r="KZ162" s="766"/>
      <c r="LA162" s="766"/>
      <c r="LB162" s="766"/>
      <c r="LC162" s="766"/>
      <c r="LD162" s="766"/>
      <c r="LE162" s="766"/>
      <c r="LF162" s="766"/>
      <c r="LG162" s="766"/>
      <c r="LH162" s="766"/>
      <c r="LI162" s="766"/>
      <c r="LJ162" s="766"/>
      <c r="LK162" s="766"/>
      <c r="LL162" s="766"/>
      <c r="LM162" s="766"/>
      <c r="LN162" s="766"/>
      <c r="LO162" s="766"/>
      <c r="LP162" s="766"/>
      <c r="LQ162" s="766"/>
      <c r="LR162" s="766"/>
      <c r="LS162" s="766"/>
      <c r="LT162" s="766"/>
      <c r="LU162" s="766"/>
      <c r="LV162" s="766"/>
      <c r="LW162" s="766"/>
      <c r="LX162" s="769"/>
      <c r="LY162" s="766" t="str">
        <f t="shared" si="36"/>
        <v/>
      </c>
      <c r="LZ162" s="66"/>
      <c r="MA162" s="766"/>
      <c r="MB162" s="766"/>
      <c r="MC162" s="1679">
        <f t="shared" si="24"/>
        <v>0</v>
      </c>
      <c r="MD162" s="66"/>
      <c r="ME162" s="66"/>
      <c r="MF162" s="66"/>
      <c r="MG162" s="1680">
        <f t="shared" si="34"/>
        <v>0</v>
      </c>
      <c r="MH162" s="766"/>
      <c r="MI162" s="775"/>
      <c r="MJ162" s="775"/>
      <c r="MK162" s="775"/>
      <c r="ML162" s="775"/>
      <c r="MM162" s="775"/>
      <c r="MN162" s="775"/>
      <c r="MO162" s="775"/>
      <c r="MP162" s="775"/>
      <c r="MQ162" s="775"/>
      <c r="MR162" s="775"/>
      <c r="MS162" s="775"/>
      <c r="MT162" s="775"/>
      <c r="MU162" s="775"/>
      <c r="MV162" s="775"/>
      <c r="MW162" s="775"/>
      <c r="MX162" s="775"/>
      <c r="MY162" s="1682">
        <f t="shared" si="35"/>
        <v>0</v>
      </c>
      <c r="MZ162" s="766"/>
      <c r="NA162" s="766"/>
      <c r="NB162" s="766"/>
      <c r="NC162" s="766"/>
      <c r="ND162" s="766"/>
      <c r="NE162" s="766"/>
      <c r="NF162" s="766"/>
      <c r="NG162" s="766"/>
      <c r="NH162" s="766"/>
      <c r="NI162" s="766"/>
      <c r="NJ162" s="766"/>
      <c r="NK162" s="766"/>
      <c r="NL162" s="766"/>
      <c r="NM162" s="766"/>
      <c r="NN162" s="766"/>
      <c r="NO162" s="766"/>
      <c r="NP162" s="766"/>
      <c r="NQ162" s="766"/>
      <c r="NR162" s="766"/>
      <c r="NS162" s="766"/>
      <c r="NT162" s="766"/>
      <c r="NU162" s="766"/>
      <c r="NV162" s="766"/>
      <c r="NW162" s="766"/>
      <c r="NX162" s="766"/>
      <c r="NY162" s="766"/>
      <c r="NZ162" s="766"/>
      <c r="OA162" s="766"/>
      <c r="OB162" s="766"/>
      <c r="OC162" s="766"/>
      <c r="OD162" s="766"/>
      <c r="OE162" s="766"/>
      <c r="OF162" s="766"/>
      <c r="OG162" s="766"/>
      <c r="OH162" s="766"/>
      <c r="OI162" s="766"/>
      <c r="OJ162" s="766"/>
      <c r="OK162" s="766"/>
      <c r="OL162" s="766"/>
      <c r="OM162" s="766"/>
      <c r="ON162" s="766"/>
      <c r="OO162" s="766"/>
      <c r="OP162" s="766"/>
      <c r="OQ162" s="766"/>
      <c r="OR162" s="766"/>
      <c r="OS162" s="766"/>
      <c r="OT162" s="766"/>
      <c r="OU162" s="766"/>
      <c r="OV162" s="766"/>
      <c r="OW162" s="766"/>
      <c r="OX162" s="766"/>
      <c r="OY162" s="766"/>
      <c r="OZ162" s="766"/>
      <c r="PA162" s="766"/>
      <c r="PB162" s="766"/>
      <c r="PC162" s="766"/>
      <c r="PD162" s="766"/>
      <c r="PE162" s="766"/>
      <c r="PF162" s="766"/>
      <c r="PG162" s="766"/>
      <c r="PH162" s="766"/>
      <c r="PI162" s="766"/>
      <c r="PJ162" s="766"/>
      <c r="PK162" s="766"/>
      <c r="PL162" s="766"/>
      <c r="PM162" s="766"/>
      <c r="PN162" s="766"/>
      <c r="PO162" s="766"/>
      <c r="PP162" s="766"/>
      <c r="PQ162" s="766"/>
      <c r="PR162" s="766"/>
      <c r="PS162" s="766"/>
      <c r="PT162" s="766"/>
      <c r="PU162" s="766"/>
      <c r="PV162" s="766"/>
      <c r="PW162" s="766"/>
      <c r="PX162" s="766"/>
      <c r="PY162" s="766"/>
      <c r="PZ162" s="766"/>
      <c r="QA162" s="766"/>
      <c r="QB162" s="766"/>
      <c r="QC162" s="766"/>
      <c r="QD162" s="766"/>
      <c r="QE162" s="766"/>
      <c r="QF162" s="766"/>
      <c r="QG162" s="766"/>
      <c r="QH162" s="766"/>
      <c r="QI162" s="766"/>
      <c r="QJ162" s="766"/>
      <c r="QK162" s="766"/>
      <c r="QL162" s="766"/>
      <c r="QM162" s="766"/>
      <c r="QN162" s="766"/>
      <c r="QO162" s="766"/>
      <c r="QP162" s="766"/>
      <c r="QQ162" s="766"/>
      <c r="QR162" s="766"/>
      <c r="QS162" s="766"/>
      <c r="QT162" s="766"/>
      <c r="QU162" s="766"/>
      <c r="QV162" s="766"/>
      <c r="QW162" s="766"/>
      <c r="QX162" s="766"/>
      <c r="QY162" s="766"/>
      <c r="QZ162" s="766"/>
      <c r="RA162" s="766"/>
      <c r="RB162" s="766"/>
      <c r="RC162" s="766"/>
      <c r="RD162" s="766"/>
      <c r="RE162" s="766"/>
      <c r="RF162" s="777"/>
      <c r="RG162" s="766"/>
      <c r="RH162" s="775"/>
      <c r="RI162" s="766"/>
      <c r="RJ162" s="766"/>
      <c r="RK162" s="766"/>
      <c r="RL162" s="1683"/>
      <c r="RM162" s="12"/>
      <c r="RN162" s="1711"/>
      <c r="RO162" s="171" t="s">
        <v>11840</v>
      </c>
      <c r="RP162" s="11"/>
      <c r="RQ162" s="11"/>
      <c r="RR162" s="17"/>
      <c r="RS162" s="766"/>
      <c r="RT162" s="11"/>
      <c r="RU162" s="11"/>
      <c r="RV162" s="766" t="s">
        <v>7419</v>
      </c>
      <c r="RW162" s="11" t="s">
        <v>7956</v>
      </c>
      <c r="RX162" s="11" t="s">
        <v>251</v>
      </c>
      <c r="RY162" s="11"/>
      <c r="RZ162" s="11" t="s">
        <v>7419</v>
      </c>
      <c r="SA162" s="766"/>
      <c r="SB162" s="11"/>
      <c r="SC162" s="11"/>
    </row>
    <row r="163" spans="1:497" ht="15" hidden="1" customHeight="1">
      <c r="A163" s="19" t="s">
        <v>12451</v>
      </c>
      <c r="B163" s="744"/>
      <c r="C163" s="171" t="s">
        <v>11841</v>
      </c>
      <c r="D163" s="766" t="s">
        <v>1798</v>
      </c>
      <c r="E163" s="766"/>
      <c r="F163" s="766"/>
      <c r="G163" s="766"/>
      <c r="H163" s="766"/>
      <c r="I163" s="5"/>
      <c r="J163" s="766"/>
      <c r="K163" s="766"/>
      <c r="L163" s="766"/>
      <c r="M163" s="766"/>
      <c r="N163" s="766"/>
      <c r="O163" s="766"/>
      <c r="P163" s="766"/>
      <c r="Q163" s="1085"/>
      <c r="R163" s="25"/>
      <c r="S163" s="766"/>
      <c r="T163" s="766"/>
      <c r="U163" s="26"/>
      <c r="V163" s="766"/>
      <c r="W163" s="766"/>
      <c r="X163" s="766"/>
      <c r="Y163" s="766"/>
      <c r="Z163" s="766"/>
      <c r="AA163" s="766"/>
      <c r="AB163" s="766"/>
      <c r="AC163" s="766"/>
      <c r="AD163" s="766"/>
      <c r="AE163" s="766"/>
      <c r="AF163" s="766"/>
      <c r="AG163" s="766"/>
      <c r="AH163" s="766"/>
      <c r="AI163" s="766"/>
      <c r="AJ163" s="766"/>
      <c r="AK163" s="766"/>
      <c r="AL163" s="121"/>
      <c r="AM163" s="772"/>
      <c r="AN163" s="774"/>
      <c r="AO163" s="766"/>
      <c r="AP163" s="766"/>
      <c r="AQ163" s="766"/>
      <c r="AR163" s="766"/>
      <c r="AS163" s="766"/>
      <c r="AT163" s="766"/>
      <c r="AU163" s="766"/>
      <c r="AV163" s="766"/>
      <c r="AW163" s="766"/>
      <c r="AX163" s="766"/>
      <c r="AY163" s="766"/>
      <c r="AZ163" s="766"/>
      <c r="BA163" s="766"/>
      <c r="BB163" s="766"/>
      <c r="BC163" s="766"/>
      <c r="BD163" s="766"/>
      <c r="BE163" s="766"/>
      <c r="BF163" s="775"/>
      <c r="BG163" s="775"/>
      <c r="BH163" s="766"/>
      <c r="BI163" s="766"/>
      <c r="BJ163" s="766"/>
      <c r="BK163" s="766" t="s">
        <v>12425</v>
      </c>
      <c r="BL163" s="766"/>
      <c r="BM163" s="766" t="s">
        <v>12425</v>
      </c>
      <c r="BN163" s="766" t="s">
        <v>12425</v>
      </c>
      <c r="BO163" s="766" t="s">
        <v>12425</v>
      </c>
      <c r="BP163" s="776"/>
      <c r="BQ163" s="772"/>
      <c r="BR163" s="774"/>
      <c r="BS163" s="766" t="s">
        <v>12425</v>
      </c>
      <c r="BT163" s="766"/>
      <c r="BU163" s="766"/>
      <c r="BV163" s="766"/>
      <c r="BW163" s="766"/>
      <c r="BX163" s="779"/>
      <c r="BY163" s="766"/>
      <c r="BZ163" s="775"/>
      <c r="CA163" s="766"/>
      <c r="CB163" s="766"/>
      <c r="CC163" s="766"/>
      <c r="CD163" s="766"/>
      <c r="CE163" s="766"/>
      <c r="CF163" s="777"/>
      <c r="CG163" s="778"/>
      <c r="CH163" s="766"/>
      <c r="CI163" s="766"/>
      <c r="CJ163" s="766"/>
      <c r="CK163" s="766"/>
      <c r="CL163" s="766"/>
      <c r="CM163" s="766"/>
      <c r="CN163" s="766"/>
      <c r="CO163" s="769"/>
      <c r="CP163" s="766"/>
      <c r="CQ163" s="766"/>
      <c r="CR163" s="775"/>
      <c r="CS163" s="766"/>
      <c r="CT163" s="766"/>
      <c r="CU163" s="129"/>
      <c r="CV163" s="766"/>
      <c r="CW163" s="766"/>
      <c r="CX163" s="766"/>
      <c r="CY163" s="766"/>
      <c r="CZ163" s="766"/>
      <c r="DA163" s="766"/>
      <c r="DB163" s="766"/>
      <c r="DC163" s="766"/>
      <c r="DD163" s="766"/>
      <c r="DE163" s="766"/>
      <c r="DF163" s="766"/>
      <c r="DG163" s="766"/>
      <c r="DH163" s="766"/>
      <c r="DI163" s="766"/>
      <c r="DJ163" s="766"/>
      <c r="DK163" s="766"/>
      <c r="DL163" s="766"/>
      <c r="DM163" s="766"/>
      <c r="DN163" s="766"/>
      <c r="DO163" s="766"/>
      <c r="DP163" s="766"/>
      <c r="DQ163" s="766"/>
      <c r="DR163" s="766"/>
      <c r="DS163" s="59"/>
      <c r="DT163" s="766"/>
      <c r="DU163" s="766"/>
      <c r="DV163" s="766"/>
      <c r="DW163" s="66"/>
      <c r="DX163" s="66"/>
      <c r="DY163" s="766"/>
      <c r="DZ163" s="766"/>
      <c r="EA163" s="766"/>
      <c r="EB163" s="766"/>
      <c r="EC163" s="766"/>
      <c r="ED163" s="766"/>
      <c r="EE163" s="766"/>
      <c r="EF163" s="766"/>
      <c r="EG163" s="766"/>
      <c r="EH163" s="766"/>
      <c r="EI163" s="766"/>
      <c r="EJ163" s="766"/>
      <c r="EK163" s="766"/>
      <c r="EL163" s="766"/>
      <c r="EM163" s="766"/>
      <c r="EN163" s="766"/>
      <c r="EO163" s="766"/>
      <c r="EP163" s="766"/>
      <c r="EQ163" s="766"/>
      <c r="ER163" s="766"/>
      <c r="ES163" s="766"/>
      <c r="ET163" s="766"/>
      <c r="EU163" s="766"/>
      <c r="EV163" s="766"/>
      <c r="EW163" s="766"/>
      <c r="EX163" s="766"/>
      <c r="EY163" s="766"/>
      <c r="EZ163" s="766"/>
      <c r="FA163" s="766"/>
      <c r="FB163" s="769"/>
      <c r="FC163" s="766"/>
      <c r="FD163" s="775"/>
      <c r="FE163" s="766"/>
      <c r="FF163" s="766"/>
      <c r="FG163" s="1731"/>
      <c r="FH163" s="766"/>
      <c r="FI163" s="766"/>
      <c r="FJ163" s="766"/>
      <c r="FK163" s="766"/>
      <c r="FL163" s="766"/>
      <c r="FM163" s="775"/>
      <c r="FN163" s="775"/>
      <c r="FO163" s="775"/>
      <c r="FP163" s="766"/>
      <c r="FQ163" s="766"/>
      <c r="FR163" s="766"/>
      <c r="FS163" s="766"/>
      <c r="FT163" s="766"/>
      <c r="FU163" s="766"/>
      <c r="FV163" s="766"/>
      <c r="FW163" s="766"/>
      <c r="FX163" s="766"/>
      <c r="FY163" s="766"/>
      <c r="FZ163" s="766"/>
      <c r="GA163" s="766"/>
      <c r="GB163" s="766"/>
      <c r="GC163" s="75"/>
      <c r="GD163" s="25"/>
      <c r="GE163" s="766"/>
      <c r="GF163" s="775"/>
      <c r="GG163" s="775"/>
      <c r="GH163" s="766"/>
      <c r="GI163" s="766"/>
      <c r="GJ163" s="766"/>
      <c r="GK163" s="766"/>
      <c r="GL163" s="766"/>
      <c r="GM163" s="766"/>
      <c r="GN163" s="82"/>
      <c r="GO163" s="766"/>
      <c r="GP163" s="766"/>
      <c r="GQ163" s="766"/>
      <c r="GR163" s="766"/>
      <c r="GS163" s="766"/>
      <c r="GT163" s="766"/>
      <c r="GU163" s="766"/>
      <c r="GV163" s="766"/>
      <c r="GW163" s="766"/>
      <c r="GX163" s="766"/>
      <c r="GY163" s="766"/>
      <c r="GZ163" s="766"/>
      <c r="HA163" s="766"/>
      <c r="HB163" s="766"/>
      <c r="HC163" s="766"/>
      <c r="HD163" s="766"/>
      <c r="HE163" s="766"/>
      <c r="HF163" s="766"/>
      <c r="HG163" s="766"/>
      <c r="HH163" s="766"/>
      <c r="HI163" s="766"/>
      <c r="HJ163" s="766"/>
      <c r="HK163" s="766"/>
      <c r="HL163" s="766"/>
      <c r="HM163" s="766"/>
      <c r="HN163" s="766"/>
      <c r="HO163" s="766"/>
      <c r="HP163" s="766"/>
      <c r="HQ163" s="766"/>
      <c r="HR163" s="766"/>
      <c r="HS163" s="766"/>
      <c r="HT163" s="766"/>
      <c r="HU163" s="766"/>
      <c r="HV163" s="766"/>
      <c r="HW163" s="766"/>
      <c r="HX163" s="766"/>
      <c r="HY163" s="766"/>
      <c r="HZ163" s="766"/>
      <c r="IA163" s="766"/>
      <c r="IB163" s="766"/>
      <c r="IC163" s="766"/>
      <c r="ID163" s="766"/>
      <c r="IE163" s="766"/>
      <c r="IF163" s="766"/>
      <c r="IG163" s="766"/>
      <c r="IH163" s="766"/>
      <c r="II163" s="766"/>
      <c r="IJ163" s="766"/>
      <c r="IK163" s="766"/>
      <c r="IL163" s="766"/>
      <c r="IM163" s="766"/>
      <c r="IN163" s="766"/>
      <c r="IO163" s="24"/>
      <c r="IP163" s="766"/>
      <c r="IQ163" s="766"/>
      <c r="IR163" s="766"/>
      <c r="IS163" s="766"/>
      <c r="IT163" s="766"/>
      <c r="IU163" s="766"/>
      <c r="IV163" s="766"/>
      <c r="IW163" s="766"/>
      <c r="IX163" s="766"/>
      <c r="IY163" s="766"/>
      <c r="IZ163" s="766"/>
      <c r="JA163" s="766"/>
      <c r="JB163" s="766"/>
      <c r="JC163" s="766"/>
      <c r="JD163" s="775"/>
      <c r="JE163" s="766"/>
      <c r="JF163" s="766"/>
      <c r="JG163" s="766"/>
      <c r="JH163" s="766"/>
      <c r="JI163" s="766"/>
      <c r="JJ163" s="766"/>
      <c r="JK163" s="766"/>
      <c r="JL163" s="766"/>
      <c r="JM163" s="766"/>
      <c r="JN163" s="766"/>
      <c r="JO163" s="766"/>
      <c r="JP163" s="766"/>
      <c r="JQ163" s="766"/>
      <c r="JR163" s="766"/>
      <c r="JS163" s="766"/>
      <c r="JT163" s="766"/>
      <c r="JU163" s="766"/>
      <c r="JV163" s="766"/>
      <c r="JW163" s="766"/>
      <c r="JX163" s="766"/>
      <c r="JY163" s="766"/>
      <c r="JZ163" s="766"/>
      <c r="KA163" s="766"/>
      <c r="KB163" s="766"/>
      <c r="KC163" s="766"/>
      <c r="KD163" s="766"/>
      <c r="KE163" s="766"/>
      <c r="KF163" s="766"/>
      <c r="KG163" s="766"/>
      <c r="KH163" s="766"/>
      <c r="KI163" s="766"/>
      <c r="KJ163" s="770"/>
      <c r="KK163" s="770"/>
      <c r="KL163" s="770"/>
      <c r="KM163" s="770"/>
      <c r="KN163" s="766"/>
      <c r="KO163" s="766"/>
      <c r="KP163" s="766"/>
      <c r="KQ163" s="766"/>
      <c r="KR163" s="766"/>
      <c r="KS163" s="766"/>
      <c r="KT163" s="766"/>
      <c r="KU163" s="766"/>
      <c r="KV163" s="766"/>
      <c r="KW163" s="766"/>
      <c r="KX163" s="766"/>
      <c r="KY163" s="766"/>
      <c r="KZ163" s="766"/>
      <c r="LA163" s="766"/>
      <c r="LB163" s="766"/>
      <c r="LC163" s="766"/>
      <c r="LD163" s="766"/>
      <c r="LE163" s="766"/>
      <c r="LF163" s="766"/>
      <c r="LG163" s="766"/>
      <c r="LH163" s="766"/>
      <c r="LI163" s="766"/>
      <c r="LJ163" s="766"/>
      <c r="LK163" s="766"/>
      <c r="LL163" s="766"/>
      <c r="LM163" s="766"/>
      <c r="LN163" s="766"/>
      <c r="LO163" s="766"/>
      <c r="LP163" s="766"/>
      <c r="LQ163" s="766"/>
      <c r="LR163" s="766"/>
      <c r="LS163" s="766"/>
      <c r="LT163" s="766"/>
      <c r="LU163" s="766"/>
      <c r="LV163" s="766"/>
      <c r="LW163" s="766"/>
      <c r="LX163" s="769"/>
      <c r="LY163" s="766" t="str">
        <f t="shared" si="36"/>
        <v/>
      </c>
      <c r="LZ163" s="66"/>
      <c r="MA163" s="766"/>
      <c r="MB163" s="766"/>
      <c r="MC163" s="1679">
        <f t="shared" si="24"/>
        <v>0</v>
      </c>
      <c r="MD163" s="66"/>
      <c r="ME163" s="66"/>
      <c r="MF163" s="66"/>
      <c r="MG163" s="1680">
        <f t="shared" si="34"/>
        <v>0</v>
      </c>
      <c r="MH163" s="766"/>
      <c r="MI163" s="775"/>
      <c r="MJ163" s="775"/>
      <c r="MK163" s="775"/>
      <c r="ML163" s="775"/>
      <c r="MM163" s="775"/>
      <c r="MN163" s="775"/>
      <c r="MO163" s="775"/>
      <c r="MP163" s="775"/>
      <c r="MQ163" s="775"/>
      <c r="MR163" s="775"/>
      <c r="MS163" s="775"/>
      <c r="MT163" s="775"/>
      <c r="MU163" s="775"/>
      <c r="MV163" s="775"/>
      <c r="MW163" s="775"/>
      <c r="MX163" s="775"/>
      <c r="MY163" s="1682">
        <f t="shared" si="35"/>
        <v>0</v>
      </c>
      <c r="MZ163" s="766"/>
      <c r="NA163" s="766"/>
      <c r="NB163" s="766"/>
      <c r="NC163" s="766"/>
      <c r="ND163" s="766"/>
      <c r="NE163" s="766"/>
      <c r="NF163" s="766"/>
      <c r="NG163" s="766"/>
      <c r="NH163" s="766"/>
      <c r="NI163" s="766"/>
      <c r="NJ163" s="766"/>
      <c r="NK163" s="766"/>
      <c r="NL163" s="766"/>
      <c r="NM163" s="766"/>
      <c r="NN163" s="766"/>
      <c r="NO163" s="766"/>
      <c r="NP163" s="766"/>
      <c r="NQ163" s="766"/>
      <c r="NR163" s="766"/>
      <c r="NS163" s="766"/>
      <c r="NT163" s="766"/>
      <c r="NU163" s="766"/>
      <c r="NV163" s="766"/>
      <c r="NW163" s="766"/>
      <c r="NX163" s="766"/>
      <c r="NY163" s="766"/>
      <c r="NZ163" s="766"/>
      <c r="OA163" s="766"/>
      <c r="OB163" s="766"/>
      <c r="OC163" s="766"/>
      <c r="OD163" s="766"/>
      <c r="OE163" s="766"/>
      <c r="OF163" s="766"/>
      <c r="OG163" s="766"/>
      <c r="OH163" s="766"/>
      <c r="OI163" s="766"/>
      <c r="OJ163" s="766"/>
      <c r="OK163" s="766"/>
      <c r="OL163" s="766"/>
      <c r="OM163" s="766"/>
      <c r="ON163" s="766"/>
      <c r="OO163" s="766"/>
      <c r="OP163" s="766"/>
      <c r="OQ163" s="766"/>
      <c r="OR163" s="766"/>
      <c r="OS163" s="766"/>
      <c r="OT163" s="766"/>
      <c r="OU163" s="766"/>
      <c r="OV163" s="766"/>
      <c r="OW163" s="766"/>
      <c r="OX163" s="766"/>
      <c r="OY163" s="766"/>
      <c r="OZ163" s="766"/>
      <c r="PA163" s="766"/>
      <c r="PB163" s="766"/>
      <c r="PC163" s="766"/>
      <c r="PD163" s="766"/>
      <c r="PE163" s="766"/>
      <c r="PF163" s="766"/>
      <c r="PG163" s="766"/>
      <c r="PH163" s="766"/>
      <c r="PI163" s="766"/>
      <c r="PJ163" s="766"/>
      <c r="PK163" s="766"/>
      <c r="PL163" s="766"/>
      <c r="PM163" s="766"/>
      <c r="PN163" s="766"/>
      <c r="PO163" s="766"/>
      <c r="PP163" s="766"/>
      <c r="PQ163" s="766"/>
      <c r="PR163" s="766"/>
      <c r="PS163" s="766"/>
      <c r="PT163" s="766"/>
      <c r="PU163" s="766"/>
      <c r="PV163" s="766"/>
      <c r="PW163" s="766"/>
      <c r="PX163" s="766"/>
      <c r="PY163" s="766"/>
      <c r="PZ163" s="766"/>
      <c r="QA163" s="766"/>
      <c r="QB163" s="766"/>
      <c r="QC163" s="766"/>
      <c r="QD163" s="766"/>
      <c r="QE163" s="766"/>
      <c r="QF163" s="766"/>
      <c r="QG163" s="766"/>
      <c r="QH163" s="766"/>
      <c r="QI163" s="766"/>
      <c r="QJ163" s="766"/>
      <c r="QK163" s="766"/>
      <c r="QL163" s="766"/>
      <c r="QM163" s="766"/>
      <c r="QN163" s="766"/>
      <c r="QO163" s="766"/>
      <c r="QP163" s="766"/>
      <c r="QQ163" s="766"/>
      <c r="QR163" s="766"/>
      <c r="QS163" s="766"/>
      <c r="QT163" s="766"/>
      <c r="QU163" s="766"/>
      <c r="QV163" s="766"/>
      <c r="QW163" s="766"/>
      <c r="QX163" s="766"/>
      <c r="QY163" s="766"/>
      <c r="QZ163" s="766"/>
      <c r="RA163" s="766"/>
      <c r="RB163" s="766"/>
      <c r="RC163" s="766"/>
      <c r="RD163" s="766"/>
      <c r="RE163" s="766"/>
      <c r="RF163" s="777"/>
      <c r="RG163" s="766"/>
      <c r="RH163" s="775"/>
      <c r="RI163" s="766"/>
      <c r="RJ163" s="766"/>
      <c r="RK163" s="766"/>
      <c r="RL163" s="1683"/>
      <c r="RM163" s="12"/>
      <c r="RN163" s="1711"/>
      <c r="RO163" s="171" t="s">
        <v>11841</v>
      </c>
      <c r="RP163" s="11"/>
      <c r="RQ163" s="11"/>
      <c r="RR163" s="17"/>
      <c r="RS163" s="766"/>
      <c r="RT163" s="11"/>
      <c r="RU163" s="11"/>
      <c r="RV163" s="766" t="s">
        <v>12451</v>
      </c>
      <c r="RW163" s="11"/>
      <c r="RX163" s="11" t="s">
        <v>11839</v>
      </c>
      <c r="RY163" s="11"/>
      <c r="RZ163" s="11" t="s">
        <v>7419</v>
      </c>
      <c r="SA163" s="766"/>
      <c r="SB163" s="11"/>
      <c r="SC163" s="11"/>
    </row>
    <row r="164" spans="1:497" ht="15" hidden="1" customHeight="1">
      <c r="A164" s="19" t="s">
        <v>12451</v>
      </c>
      <c r="B164" s="744"/>
      <c r="C164" s="171" t="s">
        <v>11842</v>
      </c>
      <c r="D164" s="766" t="s">
        <v>1798</v>
      </c>
      <c r="E164" s="766"/>
      <c r="F164" s="766"/>
      <c r="G164" s="766"/>
      <c r="H164" s="766"/>
      <c r="I164" s="5"/>
      <c r="J164" s="766"/>
      <c r="K164" s="766"/>
      <c r="L164" s="766"/>
      <c r="M164" s="766"/>
      <c r="N164" s="766"/>
      <c r="O164" s="766"/>
      <c r="P164" s="766"/>
      <c r="Q164" s="1085"/>
      <c r="R164" s="25"/>
      <c r="S164" s="766"/>
      <c r="T164" s="766"/>
      <c r="U164" s="26"/>
      <c r="V164" s="766"/>
      <c r="W164" s="766"/>
      <c r="X164" s="766"/>
      <c r="Y164" s="766"/>
      <c r="Z164" s="766"/>
      <c r="AA164" s="766"/>
      <c r="AB164" s="766"/>
      <c r="AC164" s="766"/>
      <c r="AD164" s="766"/>
      <c r="AE164" s="766"/>
      <c r="AF164" s="766"/>
      <c r="AG164" s="766"/>
      <c r="AH164" s="766"/>
      <c r="AI164" s="766"/>
      <c r="AJ164" s="766"/>
      <c r="AK164" s="766"/>
      <c r="AL164" s="121"/>
      <c r="AM164" s="772"/>
      <c r="AN164" s="774"/>
      <c r="AO164" s="766"/>
      <c r="AP164" s="766"/>
      <c r="AQ164" s="766"/>
      <c r="AR164" s="766"/>
      <c r="AS164" s="766"/>
      <c r="AT164" s="766"/>
      <c r="AU164" s="766"/>
      <c r="AV164" s="766"/>
      <c r="AW164" s="766"/>
      <c r="AX164" s="766"/>
      <c r="AY164" s="766"/>
      <c r="AZ164" s="766"/>
      <c r="BA164" s="766"/>
      <c r="BB164" s="766"/>
      <c r="BC164" s="766"/>
      <c r="BD164" s="766"/>
      <c r="BE164" s="766"/>
      <c r="BF164" s="775"/>
      <c r="BG164" s="775"/>
      <c r="BH164" s="766"/>
      <c r="BI164" s="766"/>
      <c r="BJ164" s="766"/>
      <c r="BK164" s="766" t="s">
        <v>12425</v>
      </c>
      <c r="BL164" s="766"/>
      <c r="BM164" s="766" t="s">
        <v>12425</v>
      </c>
      <c r="BN164" s="766" t="s">
        <v>12425</v>
      </c>
      <c r="BO164" s="766" t="s">
        <v>12425</v>
      </c>
      <c r="BP164" s="776"/>
      <c r="BQ164" s="772"/>
      <c r="BR164" s="774"/>
      <c r="BS164" s="766" t="s">
        <v>12425</v>
      </c>
      <c r="BT164" s="766"/>
      <c r="BU164" s="766"/>
      <c r="BV164" s="766"/>
      <c r="BW164" s="766"/>
      <c r="BX164" s="779"/>
      <c r="BY164" s="766"/>
      <c r="BZ164" s="775"/>
      <c r="CA164" s="766"/>
      <c r="CB164" s="766"/>
      <c r="CC164" s="766"/>
      <c r="CD164" s="766"/>
      <c r="CE164" s="766"/>
      <c r="CF164" s="777"/>
      <c r="CG164" s="778"/>
      <c r="CH164" s="766"/>
      <c r="CI164" s="766"/>
      <c r="CJ164" s="766"/>
      <c r="CK164" s="766"/>
      <c r="CL164" s="766"/>
      <c r="CM164" s="766"/>
      <c r="CN164" s="766"/>
      <c r="CO164" s="769"/>
      <c r="CP164" s="766"/>
      <c r="CQ164" s="766"/>
      <c r="CR164" s="775"/>
      <c r="CS164" s="766"/>
      <c r="CT164" s="766"/>
      <c r="CU164" s="129"/>
      <c r="CV164" s="766"/>
      <c r="CW164" s="766"/>
      <c r="CX164" s="766"/>
      <c r="CY164" s="766"/>
      <c r="CZ164" s="766"/>
      <c r="DA164" s="766"/>
      <c r="DB164" s="766"/>
      <c r="DC164" s="766"/>
      <c r="DD164" s="766"/>
      <c r="DE164" s="766"/>
      <c r="DF164" s="766"/>
      <c r="DG164" s="766"/>
      <c r="DH164" s="766"/>
      <c r="DI164" s="766"/>
      <c r="DJ164" s="766"/>
      <c r="DK164" s="766"/>
      <c r="DL164" s="766"/>
      <c r="DM164" s="766"/>
      <c r="DN164" s="766"/>
      <c r="DO164" s="766"/>
      <c r="DP164" s="766"/>
      <c r="DQ164" s="766"/>
      <c r="DR164" s="766"/>
      <c r="DS164" s="59"/>
      <c r="DT164" s="766"/>
      <c r="DU164" s="766"/>
      <c r="DV164" s="766"/>
      <c r="DW164" s="66"/>
      <c r="DX164" s="66"/>
      <c r="DY164" s="766"/>
      <c r="DZ164" s="766"/>
      <c r="EA164" s="766"/>
      <c r="EB164" s="766"/>
      <c r="EC164" s="766"/>
      <c r="ED164" s="766"/>
      <c r="EE164" s="766"/>
      <c r="EF164" s="766"/>
      <c r="EG164" s="766"/>
      <c r="EH164" s="766"/>
      <c r="EI164" s="766"/>
      <c r="EJ164" s="766"/>
      <c r="EK164" s="766"/>
      <c r="EL164" s="766"/>
      <c r="EM164" s="766"/>
      <c r="EN164" s="766"/>
      <c r="EO164" s="766"/>
      <c r="EP164" s="766"/>
      <c r="EQ164" s="766"/>
      <c r="ER164" s="766"/>
      <c r="ES164" s="766"/>
      <c r="ET164" s="766"/>
      <c r="EU164" s="766"/>
      <c r="EV164" s="766"/>
      <c r="EW164" s="766"/>
      <c r="EX164" s="766"/>
      <c r="EY164" s="766"/>
      <c r="EZ164" s="766"/>
      <c r="FA164" s="766"/>
      <c r="FB164" s="769"/>
      <c r="FC164" s="766"/>
      <c r="FD164" s="775"/>
      <c r="FE164" s="766"/>
      <c r="FF164" s="766"/>
      <c r="FG164" s="1731"/>
      <c r="FH164" s="766"/>
      <c r="FI164" s="766"/>
      <c r="FJ164" s="766"/>
      <c r="FK164" s="766"/>
      <c r="FL164" s="766"/>
      <c r="FM164" s="775"/>
      <c r="FN164" s="775"/>
      <c r="FO164" s="775"/>
      <c r="FP164" s="766"/>
      <c r="FQ164" s="766"/>
      <c r="FR164" s="766"/>
      <c r="FS164" s="766"/>
      <c r="FT164" s="766"/>
      <c r="FU164" s="766"/>
      <c r="FV164" s="766"/>
      <c r="FW164" s="766"/>
      <c r="FX164" s="766"/>
      <c r="FY164" s="766"/>
      <c r="FZ164" s="766"/>
      <c r="GA164" s="766"/>
      <c r="GB164" s="766"/>
      <c r="GC164" s="75"/>
      <c r="GD164" s="25"/>
      <c r="GE164" s="766"/>
      <c r="GF164" s="775"/>
      <c r="GG164" s="775"/>
      <c r="GH164" s="766"/>
      <c r="GI164" s="766"/>
      <c r="GJ164" s="766"/>
      <c r="GK164" s="766"/>
      <c r="GL164" s="766"/>
      <c r="GM164" s="766"/>
      <c r="GN164" s="82"/>
      <c r="GO164" s="766"/>
      <c r="GP164" s="766"/>
      <c r="GQ164" s="766"/>
      <c r="GR164" s="766"/>
      <c r="GS164" s="766"/>
      <c r="GT164" s="766"/>
      <c r="GU164" s="766"/>
      <c r="GV164" s="766"/>
      <c r="GW164" s="766"/>
      <c r="GX164" s="766"/>
      <c r="GY164" s="766"/>
      <c r="GZ164" s="766"/>
      <c r="HA164" s="766"/>
      <c r="HB164" s="766"/>
      <c r="HC164" s="766"/>
      <c r="HD164" s="766"/>
      <c r="HE164" s="766"/>
      <c r="HF164" s="766"/>
      <c r="HG164" s="766"/>
      <c r="HH164" s="766"/>
      <c r="HI164" s="766"/>
      <c r="HJ164" s="766"/>
      <c r="HK164" s="766"/>
      <c r="HL164" s="766"/>
      <c r="HM164" s="766"/>
      <c r="HN164" s="766"/>
      <c r="HO164" s="766"/>
      <c r="HP164" s="766"/>
      <c r="HQ164" s="766"/>
      <c r="HR164" s="766"/>
      <c r="HS164" s="766"/>
      <c r="HT164" s="766"/>
      <c r="HU164" s="766"/>
      <c r="HV164" s="766"/>
      <c r="HW164" s="766"/>
      <c r="HX164" s="766"/>
      <c r="HY164" s="766"/>
      <c r="HZ164" s="766"/>
      <c r="IA164" s="766"/>
      <c r="IB164" s="766"/>
      <c r="IC164" s="766"/>
      <c r="ID164" s="766"/>
      <c r="IE164" s="766"/>
      <c r="IF164" s="766"/>
      <c r="IG164" s="766"/>
      <c r="IH164" s="766"/>
      <c r="II164" s="766"/>
      <c r="IJ164" s="766"/>
      <c r="IK164" s="766"/>
      <c r="IL164" s="766"/>
      <c r="IM164" s="766"/>
      <c r="IN164" s="766"/>
      <c r="IO164" s="24"/>
      <c r="IP164" s="766"/>
      <c r="IQ164" s="766"/>
      <c r="IR164" s="766"/>
      <c r="IS164" s="766"/>
      <c r="IT164" s="766"/>
      <c r="IU164" s="766"/>
      <c r="IV164" s="766"/>
      <c r="IW164" s="766"/>
      <c r="IX164" s="766"/>
      <c r="IY164" s="766"/>
      <c r="IZ164" s="766"/>
      <c r="JA164" s="766"/>
      <c r="JB164" s="766"/>
      <c r="JC164" s="766"/>
      <c r="JD164" s="775"/>
      <c r="JE164" s="766"/>
      <c r="JF164" s="766"/>
      <c r="JG164" s="766"/>
      <c r="JH164" s="766"/>
      <c r="JI164" s="766"/>
      <c r="JJ164" s="766"/>
      <c r="JK164" s="766"/>
      <c r="JL164" s="766"/>
      <c r="JM164" s="766"/>
      <c r="JN164" s="766"/>
      <c r="JO164" s="766"/>
      <c r="JP164" s="766"/>
      <c r="JQ164" s="766"/>
      <c r="JR164" s="766"/>
      <c r="JS164" s="766"/>
      <c r="JT164" s="766"/>
      <c r="JU164" s="766"/>
      <c r="JV164" s="766"/>
      <c r="JW164" s="766"/>
      <c r="JX164" s="766"/>
      <c r="JY164" s="766"/>
      <c r="JZ164" s="766"/>
      <c r="KA164" s="766"/>
      <c r="KB164" s="766"/>
      <c r="KC164" s="766"/>
      <c r="KD164" s="766"/>
      <c r="KE164" s="766"/>
      <c r="KF164" s="766"/>
      <c r="KG164" s="766"/>
      <c r="KH164" s="766"/>
      <c r="KI164" s="766"/>
      <c r="KJ164" s="770"/>
      <c r="KK164" s="770"/>
      <c r="KL164" s="770"/>
      <c r="KM164" s="770"/>
      <c r="KN164" s="766"/>
      <c r="KO164" s="766"/>
      <c r="KP164" s="766"/>
      <c r="KQ164" s="766"/>
      <c r="KR164" s="766"/>
      <c r="KS164" s="766"/>
      <c r="KT164" s="766"/>
      <c r="KU164" s="766"/>
      <c r="KV164" s="766"/>
      <c r="KW164" s="766"/>
      <c r="KX164" s="766"/>
      <c r="KY164" s="766"/>
      <c r="KZ164" s="766"/>
      <c r="LA164" s="766"/>
      <c r="LB164" s="766"/>
      <c r="LC164" s="766"/>
      <c r="LD164" s="766"/>
      <c r="LE164" s="766"/>
      <c r="LF164" s="766"/>
      <c r="LG164" s="766"/>
      <c r="LH164" s="766"/>
      <c r="LI164" s="766"/>
      <c r="LJ164" s="766"/>
      <c r="LK164" s="766"/>
      <c r="LL164" s="766"/>
      <c r="LM164" s="766"/>
      <c r="LN164" s="766"/>
      <c r="LO164" s="766"/>
      <c r="LP164" s="766"/>
      <c r="LQ164" s="766"/>
      <c r="LR164" s="766"/>
      <c r="LS164" s="766"/>
      <c r="LT164" s="766"/>
      <c r="LU164" s="766"/>
      <c r="LV164" s="766"/>
      <c r="LW164" s="766"/>
      <c r="LX164" s="769"/>
      <c r="LY164" s="766" t="str">
        <f t="shared" si="36"/>
        <v/>
      </c>
      <c r="LZ164" s="66"/>
      <c r="MA164" s="766"/>
      <c r="MB164" s="766"/>
      <c r="MC164" s="1679">
        <f t="shared" si="24"/>
        <v>0</v>
      </c>
      <c r="MD164" s="66"/>
      <c r="ME164" s="66"/>
      <c r="MF164" s="66"/>
      <c r="MG164" s="1680">
        <f t="shared" si="34"/>
        <v>0</v>
      </c>
      <c r="MH164" s="766"/>
      <c r="MI164" s="775"/>
      <c r="MJ164" s="775"/>
      <c r="MK164" s="775"/>
      <c r="ML164" s="775"/>
      <c r="MM164" s="775"/>
      <c r="MN164" s="775"/>
      <c r="MO164" s="775"/>
      <c r="MP164" s="775"/>
      <c r="MQ164" s="775"/>
      <c r="MR164" s="775"/>
      <c r="MS164" s="775"/>
      <c r="MT164" s="775"/>
      <c r="MU164" s="775"/>
      <c r="MV164" s="775"/>
      <c r="MW164" s="775"/>
      <c r="MX164" s="775"/>
      <c r="MY164" s="1682">
        <f t="shared" si="35"/>
        <v>0</v>
      </c>
      <c r="MZ164" s="766"/>
      <c r="NA164" s="766"/>
      <c r="NB164" s="766"/>
      <c r="NC164" s="766"/>
      <c r="ND164" s="766"/>
      <c r="NE164" s="766"/>
      <c r="NF164" s="766"/>
      <c r="NG164" s="766"/>
      <c r="NH164" s="766"/>
      <c r="NI164" s="766"/>
      <c r="NJ164" s="766"/>
      <c r="NK164" s="766"/>
      <c r="NL164" s="766"/>
      <c r="NM164" s="766"/>
      <c r="NN164" s="766"/>
      <c r="NO164" s="766"/>
      <c r="NP164" s="766"/>
      <c r="NQ164" s="766"/>
      <c r="NR164" s="766"/>
      <c r="NS164" s="766"/>
      <c r="NT164" s="766"/>
      <c r="NU164" s="766"/>
      <c r="NV164" s="766"/>
      <c r="NW164" s="766"/>
      <c r="NX164" s="766"/>
      <c r="NY164" s="766"/>
      <c r="NZ164" s="766"/>
      <c r="OA164" s="766"/>
      <c r="OB164" s="766"/>
      <c r="OC164" s="766"/>
      <c r="OD164" s="766"/>
      <c r="OE164" s="766"/>
      <c r="OF164" s="766"/>
      <c r="OG164" s="766"/>
      <c r="OH164" s="766"/>
      <c r="OI164" s="766"/>
      <c r="OJ164" s="766"/>
      <c r="OK164" s="766"/>
      <c r="OL164" s="766"/>
      <c r="OM164" s="766"/>
      <c r="ON164" s="766"/>
      <c r="OO164" s="766"/>
      <c r="OP164" s="766"/>
      <c r="OQ164" s="766"/>
      <c r="OR164" s="766"/>
      <c r="OS164" s="766"/>
      <c r="OT164" s="766"/>
      <c r="OU164" s="766"/>
      <c r="OV164" s="766"/>
      <c r="OW164" s="766"/>
      <c r="OX164" s="766"/>
      <c r="OY164" s="766"/>
      <c r="OZ164" s="766"/>
      <c r="PA164" s="766"/>
      <c r="PB164" s="766"/>
      <c r="PC164" s="766"/>
      <c r="PD164" s="766"/>
      <c r="PE164" s="766"/>
      <c r="PF164" s="766"/>
      <c r="PG164" s="766"/>
      <c r="PH164" s="766"/>
      <c r="PI164" s="766"/>
      <c r="PJ164" s="766"/>
      <c r="PK164" s="766"/>
      <c r="PL164" s="766"/>
      <c r="PM164" s="766"/>
      <c r="PN164" s="766"/>
      <c r="PO164" s="766"/>
      <c r="PP164" s="766"/>
      <c r="PQ164" s="766"/>
      <c r="PR164" s="766"/>
      <c r="PS164" s="766"/>
      <c r="PT164" s="766"/>
      <c r="PU164" s="766"/>
      <c r="PV164" s="766"/>
      <c r="PW164" s="766"/>
      <c r="PX164" s="766"/>
      <c r="PY164" s="766"/>
      <c r="PZ164" s="766"/>
      <c r="QA164" s="766"/>
      <c r="QB164" s="766"/>
      <c r="QC164" s="766"/>
      <c r="QD164" s="766"/>
      <c r="QE164" s="766"/>
      <c r="QF164" s="766"/>
      <c r="QG164" s="766"/>
      <c r="QH164" s="766"/>
      <c r="QI164" s="766"/>
      <c r="QJ164" s="766"/>
      <c r="QK164" s="766"/>
      <c r="QL164" s="766"/>
      <c r="QM164" s="766"/>
      <c r="QN164" s="766"/>
      <c r="QO164" s="766"/>
      <c r="QP164" s="766"/>
      <c r="QQ164" s="766"/>
      <c r="QR164" s="766"/>
      <c r="QS164" s="766"/>
      <c r="QT164" s="766"/>
      <c r="QU164" s="766"/>
      <c r="QV164" s="766"/>
      <c r="QW164" s="766"/>
      <c r="QX164" s="766"/>
      <c r="QY164" s="766"/>
      <c r="QZ164" s="766"/>
      <c r="RA164" s="766"/>
      <c r="RB164" s="766"/>
      <c r="RC164" s="766"/>
      <c r="RD164" s="766"/>
      <c r="RE164" s="766"/>
      <c r="RF164" s="777"/>
      <c r="RG164" s="766"/>
      <c r="RH164" s="775"/>
      <c r="RI164" s="766"/>
      <c r="RJ164" s="766"/>
      <c r="RK164" s="766"/>
      <c r="RL164" s="1683"/>
      <c r="RM164" s="12"/>
      <c r="RN164" s="1711"/>
      <c r="RO164" s="171" t="s">
        <v>11842</v>
      </c>
      <c r="RP164" s="11"/>
      <c r="RQ164" s="11"/>
      <c r="RR164" s="17"/>
      <c r="RS164" s="766"/>
      <c r="RT164" s="11"/>
      <c r="RU164" s="11"/>
      <c r="RV164" s="766" t="s">
        <v>12451</v>
      </c>
      <c r="RW164" s="11"/>
      <c r="RX164" s="11" t="s">
        <v>11840</v>
      </c>
      <c r="RY164" s="11"/>
      <c r="RZ164" s="11" t="s">
        <v>7419</v>
      </c>
      <c r="SA164" s="766"/>
      <c r="SB164" s="11"/>
      <c r="SC164" s="11"/>
    </row>
    <row r="165" spans="1:497" ht="15" hidden="1" customHeight="1">
      <c r="A165" s="19" t="s">
        <v>12451</v>
      </c>
      <c r="B165" s="744"/>
      <c r="C165" s="171" t="s">
        <v>11843</v>
      </c>
      <c r="D165" s="766" t="s">
        <v>1798</v>
      </c>
      <c r="E165" s="766"/>
      <c r="F165" s="766"/>
      <c r="G165" s="766"/>
      <c r="H165" s="766"/>
      <c r="I165" s="5"/>
      <c r="J165" s="766"/>
      <c r="K165" s="766"/>
      <c r="L165" s="766"/>
      <c r="M165" s="766"/>
      <c r="N165" s="766"/>
      <c r="O165" s="766"/>
      <c r="P165" s="766"/>
      <c r="Q165" s="1085"/>
      <c r="R165" s="25"/>
      <c r="S165" s="766"/>
      <c r="T165" s="766"/>
      <c r="U165" s="26"/>
      <c r="V165" s="766"/>
      <c r="W165" s="766"/>
      <c r="X165" s="766"/>
      <c r="Y165" s="766"/>
      <c r="Z165" s="766"/>
      <c r="AA165" s="766"/>
      <c r="AB165" s="766"/>
      <c r="AC165" s="766"/>
      <c r="AD165" s="766"/>
      <c r="AE165" s="766"/>
      <c r="AF165" s="766"/>
      <c r="AG165" s="766"/>
      <c r="AH165" s="766"/>
      <c r="AI165" s="766"/>
      <c r="AJ165" s="766"/>
      <c r="AK165" s="766"/>
      <c r="AL165" s="121"/>
      <c r="AM165" s="772"/>
      <c r="AN165" s="774"/>
      <c r="AO165" s="766"/>
      <c r="AP165" s="766"/>
      <c r="AQ165" s="766"/>
      <c r="AR165" s="766"/>
      <c r="AS165" s="766"/>
      <c r="AT165" s="766"/>
      <c r="AU165" s="766"/>
      <c r="AV165" s="766"/>
      <c r="AW165" s="766"/>
      <c r="AX165" s="766"/>
      <c r="AY165" s="766"/>
      <c r="AZ165" s="766"/>
      <c r="BA165" s="766"/>
      <c r="BB165" s="766"/>
      <c r="BC165" s="766"/>
      <c r="BD165" s="766"/>
      <c r="BE165" s="766"/>
      <c r="BF165" s="775"/>
      <c r="BG165" s="775"/>
      <c r="BH165" s="766"/>
      <c r="BI165" s="766"/>
      <c r="BJ165" s="766"/>
      <c r="BK165" s="766" t="s">
        <v>12425</v>
      </c>
      <c r="BL165" s="766"/>
      <c r="BM165" s="766" t="s">
        <v>12425</v>
      </c>
      <c r="BN165" s="766" t="s">
        <v>12425</v>
      </c>
      <c r="BO165" s="766" t="s">
        <v>12425</v>
      </c>
      <c r="BP165" s="776"/>
      <c r="BQ165" s="772"/>
      <c r="BR165" s="774"/>
      <c r="BS165" s="766" t="s">
        <v>12425</v>
      </c>
      <c r="BT165" s="766"/>
      <c r="BU165" s="766"/>
      <c r="BV165" s="766"/>
      <c r="BW165" s="766"/>
      <c r="BX165" s="779"/>
      <c r="BY165" s="766"/>
      <c r="BZ165" s="775"/>
      <c r="CA165" s="766"/>
      <c r="CB165" s="766"/>
      <c r="CC165" s="766"/>
      <c r="CD165" s="766"/>
      <c r="CE165" s="766"/>
      <c r="CF165" s="777"/>
      <c r="CG165" s="778"/>
      <c r="CH165" s="766"/>
      <c r="CI165" s="766"/>
      <c r="CJ165" s="766"/>
      <c r="CK165" s="766"/>
      <c r="CL165" s="766"/>
      <c r="CM165" s="766"/>
      <c r="CN165" s="766"/>
      <c r="CO165" s="769"/>
      <c r="CP165" s="766"/>
      <c r="CQ165" s="766"/>
      <c r="CR165" s="775"/>
      <c r="CS165" s="766"/>
      <c r="CT165" s="766"/>
      <c r="CU165" s="129"/>
      <c r="CV165" s="766"/>
      <c r="CW165" s="766"/>
      <c r="CX165" s="766"/>
      <c r="CY165" s="766"/>
      <c r="CZ165" s="766"/>
      <c r="DA165" s="766"/>
      <c r="DB165" s="766"/>
      <c r="DC165" s="766"/>
      <c r="DD165" s="766"/>
      <c r="DE165" s="766"/>
      <c r="DF165" s="766"/>
      <c r="DG165" s="766"/>
      <c r="DH165" s="766"/>
      <c r="DI165" s="766"/>
      <c r="DJ165" s="766"/>
      <c r="DK165" s="766"/>
      <c r="DL165" s="766"/>
      <c r="DM165" s="766"/>
      <c r="DN165" s="766"/>
      <c r="DO165" s="766"/>
      <c r="DP165" s="766"/>
      <c r="DQ165" s="766"/>
      <c r="DR165" s="766"/>
      <c r="DS165" s="59"/>
      <c r="DT165" s="766"/>
      <c r="DU165" s="766"/>
      <c r="DV165" s="766"/>
      <c r="DW165" s="66"/>
      <c r="DX165" s="66"/>
      <c r="DY165" s="766"/>
      <c r="DZ165" s="766"/>
      <c r="EA165" s="766"/>
      <c r="EB165" s="766"/>
      <c r="EC165" s="766"/>
      <c r="ED165" s="766"/>
      <c r="EE165" s="766"/>
      <c r="EF165" s="766"/>
      <c r="EG165" s="766"/>
      <c r="EH165" s="766"/>
      <c r="EI165" s="766"/>
      <c r="EJ165" s="766"/>
      <c r="EK165" s="766"/>
      <c r="EL165" s="766"/>
      <c r="EM165" s="766"/>
      <c r="EN165" s="766"/>
      <c r="EO165" s="766"/>
      <c r="EP165" s="766"/>
      <c r="EQ165" s="766"/>
      <c r="ER165" s="766"/>
      <c r="ES165" s="766"/>
      <c r="ET165" s="766"/>
      <c r="EU165" s="766"/>
      <c r="EV165" s="766"/>
      <c r="EW165" s="766"/>
      <c r="EX165" s="766"/>
      <c r="EY165" s="766"/>
      <c r="EZ165" s="766"/>
      <c r="FA165" s="766"/>
      <c r="FB165" s="769"/>
      <c r="FC165" s="766"/>
      <c r="FD165" s="775"/>
      <c r="FE165" s="766"/>
      <c r="FF165" s="766"/>
      <c r="FG165" s="1731"/>
      <c r="FH165" s="766"/>
      <c r="FI165" s="766"/>
      <c r="FJ165" s="766"/>
      <c r="FK165" s="766"/>
      <c r="FL165" s="766"/>
      <c r="FM165" s="775"/>
      <c r="FN165" s="775"/>
      <c r="FO165" s="775"/>
      <c r="FP165" s="766"/>
      <c r="FQ165" s="766"/>
      <c r="FR165" s="766"/>
      <c r="FS165" s="766"/>
      <c r="FT165" s="766"/>
      <c r="FU165" s="766"/>
      <c r="FV165" s="766"/>
      <c r="FW165" s="766"/>
      <c r="FX165" s="766"/>
      <c r="FY165" s="766"/>
      <c r="FZ165" s="766"/>
      <c r="GA165" s="766"/>
      <c r="GB165" s="766"/>
      <c r="GC165" s="75"/>
      <c r="GD165" s="25"/>
      <c r="GE165" s="766"/>
      <c r="GF165" s="775"/>
      <c r="GG165" s="775"/>
      <c r="GH165" s="766"/>
      <c r="GI165" s="766"/>
      <c r="GJ165" s="766"/>
      <c r="GK165" s="766"/>
      <c r="GL165" s="766"/>
      <c r="GM165" s="766"/>
      <c r="GN165" s="82"/>
      <c r="GO165" s="766"/>
      <c r="GP165" s="766"/>
      <c r="GQ165" s="766"/>
      <c r="GR165" s="766"/>
      <c r="GS165" s="766"/>
      <c r="GT165" s="766"/>
      <c r="GU165" s="766"/>
      <c r="GV165" s="766"/>
      <c r="GW165" s="766"/>
      <c r="GX165" s="766"/>
      <c r="GY165" s="766"/>
      <c r="GZ165" s="766"/>
      <c r="HA165" s="766"/>
      <c r="HB165" s="766"/>
      <c r="HC165" s="766"/>
      <c r="HD165" s="766"/>
      <c r="HE165" s="766"/>
      <c r="HF165" s="766"/>
      <c r="HG165" s="766"/>
      <c r="HH165" s="766"/>
      <c r="HI165" s="766"/>
      <c r="HJ165" s="766"/>
      <c r="HK165" s="766"/>
      <c r="HL165" s="766"/>
      <c r="HM165" s="766"/>
      <c r="HN165" s="766"/>
      <c r="HO165" s="766"/>
      <c r="HP165" s="766"/>
      <c r="HQ165" s="766"/>
      <c r="HR165" s="766"/>
      <c r="HS165" s="766"/>
      <c r="HT165" s="766"/>
      <c r="HU165" s="766"/>
      <c r="HV165" s="766"/>
      <c r="HW165" s="766"/>
      <c r="HX165" s="766"/>
      <c r="HY165" s="766"/>
      <c r="HZ165" s="766"/>
      <c r="IA165" s="766"/>
      <c r="IB165" s="766"/>
      <c r="IC165" s="766"/>
      <c r="ID165" s="766"/>
      <c r="IE165" s="766"/>
      <c r="IF165" s="766"/>
      <c r="IG165" s="766"/>
      <c r="IH165" s="766"/>
      <c r="II165" s="766"/>
      <c r="IJ165" s="766"/>
      <c r="IK165" s="766"/>
      <c r="IL165" s="766"/>
      <c r="IM165" s="766"/>
      <c r="IN165" s="766"/>
      <c r="IO165" s="24"/>
      <c r="IP165" s="766"/>
      <c r="IQ165" s="766"/>
      <c r="IR165" s="766"/>
      <c r="IS165" s="766"/>
      <c r="IT165" s="766"/>
      <c r="IU165" s="766"/>
      <c r="IV165" s="766"/>
      <c r="IW165" s="766"/>
      <c r="IX165" s="766"/>
      <c r="IY165" s="766"/>
      <c r="IZ165" s="766"/>
      <c r="JA165" s="766"/>
      <c r="JB165" s="766"/>
      <c r="JC165" s="766"/>
      <c r="JD165" s="775"/>
      <c r="JE165" s="766"/>
      <c r="JF165" s="766"/>
      <c r="JG165" s="766"/>
      <c r="JH165" s="766"/>
      <c r="JI165" s="766"/>
      <c r="JJ165" s="766"/>
      <c r="JK165" s="766"/>
      <c r="JL165" s="766"/>
      <c r="JM165" s="766"/>
      <c r="JN165" s="766"/>
      <c r="JO165" s="766"/>
      <c r="JP165" s="766"/>
      <c r="JQ165" s="766"/>
      <c r="JR165" s="766"/>
      <c r="JS165" s="766"/>
      <c r="JT165" s="766"/>
      <c r="JU165" s="766"/>
      <c r="JV165" s="766"/>
      <c r="JW165" s="766"/>
      <c r="JX165" s="766"/>
      <c r="JY165" s="766"/>
      <c r="JZ165" s="766"/>
      <c r="KA165" s="766"/>
      <c r="KB165" s="766"/>
      <c r="KC165" s="766"/>
      <c r="KD165" s="766"/>
      <c r="KE165" s="766"/>
      <c r="KF165" s="766"/>
      <c r="KG165" s="766"/>
      <c r="KH165" s="766"/>
      <c r="KI165" s="766"/>
      <c r="KJ165" s="770"/>
      <c r="KK165" s="770"/>
      <c r="KL165" s="770"/>
      <c r="KM165" s="770"/>
      <c r="KN165" s="766"/>
      <c r="KO165" s="766"/>
      <c r="KP165" s="766"/>
      <c r="KQ165" s="766"/>
      <c r="KR165" s="766"/>
      <c r="KS165" s="766"/>
      <c r="KT165" s="766"/>
      <c r="KU165" s="766"/>
      <c r="KV165" s="766"/>
      <c r="KW165" s="766"/>
      <c r="KX165" s="766"/>
      <c r="KY165" s="766"/>
      <c r="KZ165" s="766"/>
      <c r="LA165" s="766"/>
      <c r="LB165" s="766"/>
      <c r="LC165" s="766"/>
      <c r="LD165" s="766"/>
      <c r="LE165" s="766"/>
      <c r="LF165" s="766"/>
      <c r="LG165" s="766"/>
      <c r="LH165" s="766"/>
      <c r="LI165" s="766"/>
      <c r="LJ165" s="766"/>
      <c r="LK165" s="766"/>
      <c r="LL165" s="766"/>
      <c r="LM165" s="766"/>
      <c r="LN165" s="766"/>
      <c r="LO165" s="766"/>
      <c r="LP165" s="766"/>
      <c r="LQ165" s="766"/>
      <c r="LR165" s="766"/>
      <c r="LS165" s="766"/>
      <c r="LT165" s="766"/>
      <c r="LU165" s="766"/>
      <c r="LV165" s="766"/>
      <c r="LW165" s="766"/>
      <c r="LX165" s="769"/>
      <c r="LY165" s="766" t="str">
        <f t="shared" si="36"/>
        <v/>
      </c>
      <c r="LZ165" s="66"/>
      <c r="MA165" s="766"/>
      <c r="MB165" s="766"/>
      <c r="MC165" s="1679">
        <f t="shared" ref="MC165:MC228" si="41">SUM(LZ165:MB165)</f>
        <v>0</v>
      </c>
      <c r="MD165" s="66"/>
      <c r="ME165" s="66"/>
      <c r="MF165" s="66"/>
      <c r="MG165" s="1680">
        <f t="shared" si="34"/>
        <v>0</v>
      </c>
      <c r="MH165" s="766"/>
      <c r="MI165" s="775"/>
      <c r="MJ165" s="775"/>
      <c r="MK165" s="775"/>
      <c r="ML165" s="775"/>
      <c r="MM165" s="775"/>
      <c r="MN165" s="775"/>
      <c r="MO165" s="775"/>
      <c r="MP165" s="775"/>
      <c r="MQ165" s="775"/>
      <c r="MR165" s="775"/>
      <c r="MS165" s="775"/>
      <c r="MT165" s="775"/>
      <c r="MU165" s="775"/>
      <c r="MV165" s="775"/>
      <c r="MW165" s="775"/>
      <c r="MX165" s="775"/>
      <c r="MY165" s="1682">
        <f t="shared" si="35"/>
        <v>0</v>
      </c>
      <c r="MZ165" s="766"/>
      <c r="NA165" s="766"/>
      <c r="NB165" s="766"/>
      <c r="NC165" s="766"/>
      <c r="ND165" s="766"/>
      <c r="NE165" s="766"/>
      <c r="NF165" s="766"/>
      <c r="NG165" s="766"/>
      <c r="NH165" s="766"/>
      <c r="NI165" s="766"/>
      <c r="NJ165" s="766"/>
      <c r="NK165" s="766"/>
      <c r="NL165" s="766"/>
      <c r="NM165" s="766"/>
      <c r="NN165" s="766"/>
      <c r="NO165" s="766"/>
      <c r="NP165" s="766"/>
      <c r="NQ165" s="766"/>
      <c r="NR165" s="766"/>
      <c r="NS165" s="766"/>
      <c r="NT165" s="766"/>
      <c r="NU165" s="766"/>
      <c r="NV165" s="766"/>
      <c r="NW165" s="766"/>
      <c r="NX165" s="766"/>
      <c r="NY165" s="766"/>
      <c r="NZ165" s="766"/>
      <c r="OA165" s="766"/>
      <c r="OB165" s="766"/>
      <c r="OC165" s="766"/>
      <c r="OD165" s="766"/>
      <c r="OE165" s="766"/>
      <c r="OF165" s="766"/>
      <c r="OG165" s="766"/>
      <c r="OH165" s="766"/>
      <c r="OI165" s="766"/>
      <c r="OJ165" s="766"/>
      <c r="OK165" s="766"/>
      <c r="OL165" s="766"/>
      <c r="OM165" s="766"/>
      <c r="ON165" s="766"/>
      <c r="OO165" s="766"/>
      <c r="OP165" s="766"/>
      <c r="OQ165" s="766"/>
      <c r="OR165" s="766"/>
      <c r="OS165" s="766"/>
      <c r="OT165" s="766"/>
      <c r="OU165" s="766"/>
      <c r="OV165" s="766"/>
      <c r="OW165" s="766"/>
      <c r="OX165" s="766"/>
      <c r="OY165" s="766"/>
      <c r="OZ165" s="766"/>
      <c r="PA165" s="766"/>
      <c r="PB165" s="766"/>
      <c r="PC165" s="766"/>
      <c r="PD165" s="766"/>
      <c r="PE165" s="766"/>
      <c r="PF165" s="766"/>
      <c r="PG165" s="766"/>
      <c r="PH165" s="766"/>
      <c r="PI165" s="766"/>
      <c r="PJ165" s="766"/>
      <c r="PK165" s="766"/>
      <c r="PL165" s="766"/>
      <c r="PM165" s="766"/>
      <c r="PN165" s="766"/>
      <c r="PO165" s="766"/>
      <c r="PP165" s="766"/>
      <c r="PQ165" s="766"/>
      <c r="PR165" s="766"/>
      <c r="PS165" s="766"/>
      <c r="PT165" s="766"/>
      <c r="PU165" s="766"/>
      <c r="PV165" s="766"/>
      <c r="PW165" s="766"/>
      <c r="PX165" s="766"/>
      <c r="PY165" s="766"/>
      <c r="PZ165" s="766"/>
      <c r="QA165" s="766"/>
      <c r="QB165" s="766"/>
      <c r="QC165" s="766"/>
      <c r="QD165" s="766"/>
      <c r="QE165" s="766"/>
      <c r="QF165" s="766"/>
      <c r="QG165" s="766"/>
      <c r="QH165" s="766"/>
      <c r="QI165" s="766"/>
      <c r="QJ165" s="766"/>
      <c r="QK165" s="766"/>
      <c r="QL165" s="766"/>
      <c r="QM165" s="766"/>
      <c r="QN165" s="766"/>
      <c r="QO165" s="766"/>
      <c r="QP165" s="766"/>
      <c r="QQ165" s="766"/>
      <c r="QR165" s="766"/>
      <c r="QS165" s="766"/>
      <c r="QT165" s="766"/>
      <c r="QU165" s="766"/>
      <c r="QV165" s="766"/>
      <c r="QW165" s="766"/>
      <c r="QX165" s="766"/>
      <c r="QY165" s="766"/>
      <c r="QZ165" s="766"/>
      <c r="RA165" s="766"/>
      <c r="RB165" s="766"/>
      <c r="RC165" s="766"/>
      <c r="RD165" s="766"/>
      <c r="RE165" s="766"/>
      <c r="RF165" s="777"/>
      <c r="RG165" s="766"/>
      <c r="RH165" s="775"/>
      <c r="RI165" s="766"/>
      <c r="RJ165" s="766"/>
      <c r="RK165" s="766"/>
      <c r="RL165" s="1683"/>
      <c r="RM165" s="12"/>
      <c r="RN165" s="1711"/>
      <c r="RO165" s="171" t="s">
        <v>11843</v>
      </c>
      <c r="RP165" s="11"/>
      <c r="RQ165" s="11"/>
      <c r="RR165" s="17"/>
      <c r="RS165" s="766"/>
      <c r="RT165" s="11"/>
      <c r="RU165" s="11"/>
      <c r="RV165" s="766" t="s">
        <v>12451</v>
      </c>
      <c r="RW165" s="11"/>
      <c r="RX165" s="11" t="s">
        <v>11841</v>
      </c>
      <c r="RY165" s="11"/>
      <c r="RZ165" s="11" t="s">
        <v>7419</v>
      </c>
      <c r="SA165" s="766"/>
      <c r="SB165" s="11"/>
      <c r="SC165" s="11"/>
    </row>
    <row r="166" spans="1:497" ht="15" hidden="1" customHeight="1">
      <c r="A166" s="19" t="s">
        <v>12451</v>
      </c>
      <c r="B166" s="744"/>
      <c r="C166" s="171" t="s">
        <v>11844</v>
      </c>
      <c r="D166" s="766" t="s">
        <v>1798</v>
      </c>
      <c r="E166" s="766"/>
      <c r="F166" s="766"/>
      <c r="G166" s="766"/>
      <c r="H166" s="766"/>
      <c r="I166" s="5"/>
      <c r="J166" s="766"/>
      <c r="K166" s="766"/>
      <c r="L166" s="766"/>
      <c r="M166" s="766"/>
      <c r="N166" s="766"/>
      <c r="O166" s="766"/>
      <c r="P166" s="766"/>
      <c r="Q166" s="1085"/>
      <c r="R166" s="25"/>
      <c r="S166" s="766"/>
      <c r="T166" s="766"/>
      <c r="U166" s="26"/>
      <c r="V166" s="766"/>
      <c r="W166" s="766"/>
      <c r="X166" s="766"/>
      <c r="Y166" s="766"/>
      <c r="Z166" s="766"/>
      <c r="AA166" s="766"/>
      <c r="AB166" s="766"/>
      <c r="AC166" s="766"/>
      <c r="AD166" s="766"/>
      <c r="AE166" s="766"/>
      <c r="AF166" s="766"/>
      <c r="AG166" s="766"/>
      <c r="AH166" s="766"/>
      <c r="AI166" s="766"/>
      <c r="AJ166" s="766"/>
      <c r="AK166" s="766"/>
      <c r="AL166" s="121"/>
      <c r="AM166" s="772"/>
      <c r="AN166" s="774"/>
      <c r="AO166" s="766"/>
      <c r="AP166" s="766"/>
      <c r="AQ166" s="766"/>
      <c r="AR166" s="766"/>
      <c r="AS166" s="766"/>
      <c r="AT166" s="766"/>
      <c r="AU166" s="766"/>
      <c r="AV166" s="766"/>
      <c r="AW166" s="766"/>
      <c r="AX166" s="766"/>
      <c r="AY166" s="766"/>
      <c r="AZ166" s="766"/>
      <c r="BA166" s="766"/>
      <c r="BB166" s="766"/>
      <c r="BC166" s="766"/>
      <c r="BD166" s="766"/>
      <c r="BE166" s="766"/>
      <c r="BF166" s="775"/>
      <c r="BG166" s="775"/>
      <c r="BH166" s="766"/>
      <c r="BI166" s="766"/>
      <c r="BJ166" s="766"/>
      <c r="BK166" s="766" t="s">
        <v>12425</v>
      </c>
      <c r="BL166" s="766"/>
      <c r="BM166" s="766" t="s">
        <v>12425</v>
      </c>
      <c r="BN166" s="766" t="s">
        <v>12425</v>
      </c>
      <c r="BO166" s="766" t="s">
        <v>12425</v>
      </c>
      <c r="BP166" s="776"/>
      <c r="BQ166" s="772"/>
      <c r="BR166" s="774"/>
      <c r="BS166" s="766" t="s">
        <v>12425</v>
      </c>
      <c r="BT166" s="766"/>
      <c r="BU166" s="766"/>
      <c r="BV166" s="766"/>
      <c r="BW166" s="766"/>
      <c r="BX166" s="779"/>
      <c r="BY166" s="766"/>
      <c r="BZ166" s="775"/>
      <c r="CA166" s="766"/>
      <c r="CB166" s="766"/>
      <c r="CC166" s="766"/>
      <c r="CD166" s="766"/>
      <c r="CE166" s="766"/>
      <c r="CF166" s="777"/>
      <c r="CG166" s="778"/>
      <c r="CH166" s="766"/>
      <c r="CI166" s="766"/>
      <c r="CJ166" s="766"/>
      <c r="CK166" s="766"/>
      <c r="CL166" s="766"/>
      <c r="CM166" s="766"/>
      <c r="CN166" s="766"/>
      <c r="CO166" s="769"/>
      <c r="CP166" s="766"/>
      <c r="CQ166" s="766"/>
      <c r="CR166" s="775"/>
      <c r="CS166" s="766"/>
      <c r="CT166" s="766"/>
      <c r="CU166" s="129"/>
      <c r="CV166" s="766"/>
      <c r="CW166" s="766"/>
      <c r="CX166" s="766"/>
      <c r="CY166" s="766"/>
      <c r="CZ166" s="766"/>
      <c r="DA166" s="766"/>
      <c r="DB166" s="766"/>
      <c r="DC166" s="766"/>
      <c r="DD166" s="766"/>
      <c r="DE166" s="766"/>
      <c r="DF166" s="766"/>
      <c r="DG166" s="766"/>
      <c r="DH166" s="766"/>
      <c r="DI166" s="766"/>
      <c r="DJ166" s="766"/>
      <c r="DK166" s="766"/>
      <c r="DL166" s="766"/>
      <c r="DM166" s="766"/>
      <c r="DN166" s="766"/>
      <c r="DO166" s="766"/>
      <c r="DP166" s="766"/>
      <c r="DQ166" s="766"/>
      <c r="DR166" s="766"/>
      <c r="DS166" s="59"/>
      <c r="DT166" s="766"/>
      <c r="DU166" s="766"/>
      <c r="DV166" s="766"/>
      <c r="DW166" s="66"/>
      <c r="DX166" s="66"/>
      <c r="DY166" s="766"/>
      <c r="DZ166" s="766"/>
      <c r="EA166" s="766"/>
      <c r="EB166" s="766"/>
      <c r="EC166" s="766"/>
      <c r="ED166" s="766"/>
      <c r="EE166" s="766"/>
      <c r="EF166" s="766"/>
      <c r="EG166" s="766"/>
      <c r="EH166" s="766"/>
      <c r="EI166" s="766"/>
      <c r="EJ166" s="766"/>
      <c r="EK166" s="766"/>
      <c r="EL166" s="766"/>
      <c r="EM166" s="766"/>
      <c r="EN166" s="766"/>
      <c r="EO166" s="766"/>
      <c r="EP166" s="766"/>
      <c r="EQ166" s="766"/>
      <c r="ER166" s="766"/>
      <c r="ES166" s="766"/>
      <c r="ET166" s="766"/>
      <c r="EU166" s="766"/>
      <c r="EV166" s="766"/>
      <c r="EW166" s="766"/>
      <c r="EX166" s="766"/>
      <c r="EY166" s="766"/>
      <c r="EZ166" s="766"/>
      <c r="FA166" s="766"/>
      <c r="FB166" s="769"/>
      <c r="FC166" s="766"/>
      <c r="FD166" s="775"/>
      <c r="FE166" s="766"/>
      <c r="FF166" s="766"/>
      <c r="FG166" s="1731"/>
      <c r="FH166" s="766"/>
      <c r="FI166" s="766"/>
      <c r="FJ166" s="766"/>
      <c r="FK166" s="766"/>
      <c r="FL166" s="766"/>
      <c r="FM166" s="775"/>
      <c r="FN166" s="775"/>
      <c r="FO166" s="775"/>
      <c r="FP166" s="766"/>
      <c r="FQ166" s="766"/>
      <c r="FR166" s="766"/>
      <c r="FS166" s="766"/>
      <c r="FT166" s="766"/>
      <c r="FU166" s="766"/>
      <c r="FV166" s="766"/>
      <c r="FW166" s="766"/>
      <c r="FX166" s="766"/>
      <c r="FY166" s="766"/>
      <c r="FZ166" s="766"/>
      <c r="GA166" s="766"/>
      <c r="GB166" s="766"/>
      <c r="GC166" s="75"/>
      <c r="GD166" s="25"/>
      <c r="GE166" s="766"/>
      <c r="GF166" s="775"/>
      <c r="GG166" s="775"/>
      <c r="GH166" s="766"/>
      <c r="GI166" s="766"/>
      <c r="GJ166" s="766"/>
      <c r="GK166" s="766"/>
      <c r="GL166" s="766"/>
      <c r="GM166" s="766"/>
      <c r="GN166" s="82"/>
      <c r="GO166" s="766"/>
      <c r="GP166" s="766"/>
      <c r="GQ166" s="766"/>
      <c r="GR166" s="766"/>
      <c r="GS166" s="766"/>
      <c r="GT166" s="766"/>
      <c r="GU166" s="766"/>
      <c r="GV166" s="766"/>
      <c r="GW166" s="766"/>
      <c r="GX166" s="766"/>
      <c r="GY166" s="766"/>
      <c r="GZ166" s="766"/>
      <c r="HA166" s="766"/>
      <c r="HB166" s="766"/>
      <c r="HC166" s="766"/>
      <c r="HD166" s="766"/>
      <c r="HE166" s="766"/>
      <c r="HF166" s="766"/>
      <c r="HG166" s="766"/>
      <c r="HH166" s="766"/>
      <c r="HI166" s="766"/>
      <c r="HJ166" s="766"/>
      <c r="HK166" s="766"/>
      <c r="HL166" s="766"/>
      <c r="HM166" s="766"/>
      <c r="HN166" s="766"/>
      <c r="HO166" s="766"/>
      <c r="HP166" s="766"/>
      <c r="HQ166" s="766"/>
      <c r="HR166" s="766"/>
      <c r="HS166" s="766"/>
      <c r="HT166" s="766"/>
      <c r="HU166" s="766"/>
      <c r="HV166" s="766"/>
      <c r="HW166" s="766"/>
      <c r="HX166" s="766"/>
      <c r="HY166" s="766"/>
      <c r="HZ166" s="766"/>
      <c r="IA166" s="766"/>
      <c r="IB166" s="766"/>
      <c r="IC166" s="766"/>
      <c r="ID166" s="766"/>
      <c r="IE166" s="766"/>
      <c r="IF166" s="766"/>
      <c r="IG166" s="766"/>
      <c r="IH166" s="766"/>
      <c r="II166" s="766"/>
      <c r="IJ166" s="766"/>
      <c r="IK166" s="766"/>
      <c r="IL166" s="766"/>
      <c r="IM166" s="766"/>
      <c r="IN166" s="766"/>
      <c r="IO166" s="24"/>
      <c r="IP166" s="766"/>
      <c r="IQ166" s="766"/>
      <c r="IR166" s="766"/>
      <c r="IS166" s="766"/>
      <c r="IT166" s="766"/>
      <c r="IU166" s="766"/>
      <c r="IV166" s="766"/>
      <c r="IW166" s="766"/>
      <c r="IX166" s="766"/>
      <c r="IY166" s="766"/>
      <c r="IZ166" s="766"/>
      <c r="JA166" s="766"/>
      <c r="JB166" s="766"/>
      <c r="JC166" s="766"/>
      <c r="JD166" s="775"/>
      <c r="JE166" s="766"/>
      <c r="JF166" s="766"/>
      <c r="JG166" s="766"/>
      <c r="JH166" s="766"/>
      <c r="JI166" s="766"/>
      <c r="JJ166" s="766"/>
      <c r="JK166" s="766"/>
      <c r="JL166" s="766"/>
      <c r="JM166" s="766"/>
      <c r="JN166" s="766"/>
      <c r="JO166" s="766"/>
      <c r="JP166" s="766"/>
      <c r="JQ166" s="766"/>
      <c r="JR166" s="766"/>
      <c r="JS166" s="766"/>
      <c r="JT166" s="766"/>
      <c r="JU166" s="766"/>
      <c r="JV166" s="766"/>
      <c r="JW166" s="766"/>
      <c r="JX166" s="766"/>
      <c r="JY166" s="766"/>
      <c r="JZ166" s="766"/>
      <c r="KA166" s="766"/>
      <c r="KB166" s="766"/>
      <c r="KC166" s="766"/>
      <c r="KD166" s="766"/>
      <c r="KE166" s="766"/>
      <c r="KF166" s="766"/>
      <c r="KG166" s="766"/>
      <c r="KH166" s="766"/>
      <c r="KI166" s="766"/>
      <c r="KJ166" s="770"/>
      <c r="KK166" s="770"/>
      <c r="KL166" s="770"/>
      <c r="KM166" s="770"/>
      <c r="KN166" s="766"/>
      <c r="KO166" s="766"/>
      <c r="KP166" s="766"/>
      <c r="KQ166" s="766"/>
      <c r="KR166" s="766"/>
      <c r="KS166" s="766"/>
      <c r="KT166" s="766"/>
      <c r="KU166" s="766"/>
      <c r="KV166" s="766"/>
      <c r="KW166" s="766"/>
      <c r="KX166" s="766"/>
      <c r="KY166" s="766"/>
      <c r="KZ166" s="766"/>
      <c r="LA166" s="766"/>
      <c r="LB166" s="766"/>
      <c r="LC166" s="766"/>
      <c r="LD166" s="766"/>
      <c r="LE166" s="766"/>
      <c r="LF166" s="766"/>
      <c r="LG166" s="766"/>
      <c r="LH166" s="766"/>
      <c r="LI166" s="766"/>
      <c r="LJ166" s="766"/>
      <c r="LK166" s="766"/>
      <c r="LL166" s="766"/>
      <c r="LM166" s="766"/>
      <c r="LN166" s="766"/>
      <c r="LO166" s="766"/>
      <c r="LP166" s="766"/>
      <c r="LQ166" s="766"/>
      <c r="LR166" s="766"/>
      <c r="LS166" s="766"/>
      <c r="LT166" s="766"/>
      <c r="LU166" s="766"/>
      <c r="LV166" s="766"/>
      <c r="LW166" s="766"/>
      <c r="LX166" s="769"/>
      <c r="LY166" s="766" t="str">
        <f t="shared" si="36"/>
        <v/>
      </c>
      <c r="LZ166" s="66"/>
      <c r="MA166" s="766"/>
      <c r="MB166" s="766"/>
      <c r="MC166" s="1679">
        <f t="shared" si="41"/>
        <v>0</v>
      </c>
      <c r="MD166" s="66"/>
      <c r="ME166" s="66"/>
      <c r="MF166" s="66"/>
      <c r="MG166" s="1680">
        <f t="shared" si="34"/>
        <v>0</v>
      </c>
      <c r="MH166" s="766"/>
      <c r="MI166" s="775"/>
      <c r="MJ166" s="775"/>
      <c r="MK166" s="775"/>
      <c r="ML166" s="775"/>
      <c r="MM166" s="775"/>
      <c r="MN166" s="775"/>
      <c r="MO166" s="775"/>
      <c r="MP166" s="775"/>
      <c r="MQ166" s="775"/>
      <c r="MR166" s="775"/>
      <c r="MS166" s="775"/>
      <c r="MT166" s="775"/>
      <c r="MU166" s="775"/>
      <c r="MV166" s="775"/>
      <c r="MW166" s="775"/>
      <c r="MX166" s="775"/>
      <c r="MY166" s="1682">
        <f t="shared" si="35"/>
        <v>0</v>
      </c>
      <c r="MZ166" s="766"/>
      <c r="NA166" s="766"/>
      <c r="NB166" s="766"/>
      <c r="NC166" s="766"/>
      <c r="ND166" s="766"/>
      <c r="NE166" s="766"/>
      <c r="NF166" s="766"/>
      <c r="NG166" s="766"/>
      <c r="NH166" s="766"/>
      <c r="NI166" s="766"/>
      <c r="NJ166" s="766"/>
      <c r="NK166" s="766"/>
      <c r="NL166" s="766"/>
      <c r="NM166" s="766"/>
      <c r="NN166" s="766"/>
      <c r="NO166" s="766"/>
      <c r="NP166" s="766"/>
      <c r="NQ166" s="766"/>
      <c r="NR166" s="766"/>
      <c r="NS166" s="766"/>
      <c r="NT166" s="766"/>
      <c r="NU166" s="766"/>
      <c r="NV166" s="766"/>
      <c r="NW166" s="766"/>
      <c r="NX166" s="766"/>
      <c r="NY166" s="766"/>
      <c r="NZ166" s="766"/>
      <c r="OA166" s="766"/>
      <c r="OB166" s="766"/>
      <c r="OC166" s="766"/>
      <c r="OD166" s="766"/>
      <c r="OE166" s="766"/>
      <c r="OF166" s="766"/>
      <c r="OG166" s="766"/>
      <c r="OH166" s="766"/>
      <c r="OI166" s="766"/>
      <c r="OJ166" s="766"/>
      <c r="OK166" s="766"/>
      <c r="OL166" s="766"/>
      <c r="OM166" s="766"/>
      <c r="ON166" s="766"/>
      <c r="OO166" s="766"/>
      <c r="OP166" s="766"/>
      <c r="OQ166" s="766"/>
      <c r="OR166" s="766"/>
      <c r="OS166" s="766"/>
      <c r="OT166" s="766"/>
      <c r="OU166" s="766"/>
      <c r="OV166" s="766"/>
      <c r="OW166" s="766"/>
      <c r="OX166" s="766"/>
      <c r="OY166" s="766"/>
      <c r="OZ166" s="766"/>
      <c r="PA166" s="766"/>
      <c r="PB166" s="766"/>
      <c r="PC166" s="766"/>
      <c r="PD166" s="766"/>
      <c r="PE166" s="766"/>
      <c r="PF166" s="766"/>
      <c r="PG166" s="766"/>
      <c r="PH166" s="766"/>
      <c r="PI166" s="766"/>
      <c r="PJ166" s="766"/>
      <c r="PK166" s="766"/>
      <c r="PL166" s="766"/>
      <c r="PM166" s="766"/>
      <c r="PN166" s="766"/>
      <c r="PO166" s="766"/>
      <c r="PP166" s="766"/>
      <c r="PQ166" s="766"/>
      <c r="PR166" s="766"/>
      <c r="PS166" s="766"/>
      <c r="PT166" s="766"/>
      <c r="PU166" s="766"/>
      <c r="PV166" s="766"/>
      <c r="PW166" s="766"/>
      <c r="PX166" s="766"/>
      <c r="PY166" s="766"/>
      <c r="PZ166" s="766"/>
      <c r="QA166" s="766"/>
      <c r="QB166" s="766"/>
      <c r="QC166" s="766"/>
      <c r="QD166" s="766"/>
      <c r="QE166" s="766"/>
      <c r="QF166" s="766"/>
      <c r="QG166" s="766"/>
      <c r="QH166" s="766"/>
      <c r="QI166" s="766"/>
      <c r="QJ166" s="766"/>
      <c r="QK166" s="766"/>
      <c r="QL166" s="766"/>
      <c r="QM166" s="766"/>
      <c r="QN166" s="766"/>
      <c r="QO166" s="766"/>
      <c r="QP166" s="766"/>
      <c r="QQ166" s="766"/>
      <c r="QR166" s="766"/>
      <c r="QS166" s="766"/>
      <c r="QT166" s="766"/>
      <c r="QU166" s="766"/>
      <c r="QV166" s="766"/>
      <c r="QW166" s="766"/>
      <c r="QX166" s="766"/>
      <c r="QY166" s="766"/>
      <c r="QZ166" s="766"/>
      <c r="RA166" s="766"/>
      <c r="RB166" s="766"/>
      <c r="RC166" s="766"/>
      <c r="RD166" s="766"/>
      <c r="RE166" s="766"/>
      <c r="RF166" s="777"/>
      <c r="RG166" s="766"/>
      <c r="RH166" s="775"/>
      <c r="RI166" s="766"/>
      <c r="RJ166" s="766"/>
      <c r="RK166" s="766"/>
      <c r="RL166" s="1683"/>
      <c r="RM166" s="12"/>
      <c r="RN166" s="1711"/>
      <c r="RO166" s="171" t="s">
        <v>11844</v>
      </c>
      <c r="RP166" s="11"/>
      <c r="RQ166" s="11"/>
      <c r="RR166" s="17"/>
      <c r="RS166" s="766"/>
      <c r="RT166" s="11"/>
      <c r="RU166" s="11"/>
      <c r="RV166" s="766" t="s">
        <v>12451</v>
      </c>
      <c r="RW166" s="11"/>
      <c r="RX166" s="11" t="s">
        <v>11842</v>
      </c>
      <c r="RY166" s="11"/>
      <c r="RZ166" s="11" t="s">
        <v>7419</v>
      </c>
      <c r="SA166" s="766"/>
      <c r="SB166" s="11"/>
      <c r="SC166" s="11"/>
    </row>
    <row r="167" spans="1:497" ht="12.75" hidden="1" customHeight="1">
      <c r="A167" s="154" t="s">
        <v>7419</v>
      </c>
      <c r="B167" s="288" t="s">
        <v>7518</v>
      </c>
      <c r="C167" s="171" t="s">
        <v>253</v>
      </c>
      <c r="D167" s="14" t="s">
        <v>254</v>
      </c>
      <c r="E167" s="766" t="s">
        <v>5488</v>
      </c>
      <c r="F167" s="766" t="s">
        <v>28</v>
      </c>
      <c r="G167" s="766" t="s">
        <v>10</v>
      </c>
      <c r="H167" s="766"/>
      <c r="I167" s="5"/>
      <c r="J167" s="14" t="s">
        <v>254</v>
      </c>
      <c r="K167" s="766" t="s">
        <v>12179</v>
      </c>
      <c r="L167" s="766" t="s">
        <v>12180</v>
      </c>
      <c r="M167" s="766"/>
      <c r="N167" s="766" t="s">
        <v>12181</v>
      </c>
      <c r="O167" s="766" t="s">
        <v>12182</v>
      </c>
      <c r="P167" s="14" t="s">
        <v>822</v>
      </c>
      <c r="Q167" s="1085">
        <v>27621</v>
      </c>
      <c r="R167" s="25">
        <v>41</v>
      </c>
      <c r="S167" s="766" t="s">
        <v>10</v>
      </c>
      <c r="T167" s="766"/>
      <c r="U167" s="26" t="s">
        <v>823</v>
      </c>
      <c r="V167" s="766" t="s">
        <v>707</v>
      </c>
      <c r="W167" s="766"/>
      <c r="X167" s="766"/>
      <c r="Y167" s="766" t="s">
        <v>824</v>
      </c>
      <c r="Z167" s="766" t="s">
        <v>708</v>
      </c>
      <c r="AA167" s="766" t="s">
        <v>709</v>
      </c>
      <c r="AB167" s="766" t="s">
        <v>710</v>
      </c>
      <c r="AC167" s="766"/>
      <c r="AD167" s="766" t="s">
        <v>711</v>
      </c>
      <c r="AE167" s="766" t="s">
        <v>7285</v>
      </c>
      <c r="AF167" s="766"/>
      <c r="AG167" s="766" t="s">
        <v>1095</v>
      </c>
      <c r="AH167" s="766" t="s">
        <v>1096</v>
      </c>
      <c r="AI167" s="766" t="s">
        <v>1147</v>
      </c>
      <c r="AJ167" s="766"/>
      <c r="AK167" s="766" t="s">
        <v>1097</v>
      </c>
      <c r="AL167" s="121">
        <v>198.4</v>
      </c>
      <c r="AM167" s="772">
        <v>72.77</v>
      </c>
      <c r="AN167" s="774">
        <f>AM167/AL167</f>
        <v>0.36678427419354837</v>
      </c>
      <c r="AO167" s="766" t="s">
        <v>1149</v>
      </c>
      <c r="AP167" s="766"/>
      <c r="AQ167" s="766"/>
      <c r="AR167" s="766"/>
      <c r="AS167" s="766" t="s">
        <v>1207</v>
      </c>
      <c r="AT167" s="766" t="s">
        <v>1208</v>
      </c>
      <c r="AU167" s="766"/>
      <c r="AV167" s="766"/>
      <c r="AW167" s="766"/>
      <c r="AX167" s="766"/>
      <c r="AY167" s="766"/>
      <c r="AZ167" s="766"/>
      <c r="BA167" s="766"/>
      <c r="BB167" s="766"/>
      <c r="BC167" s="766" t="s">
        <v>853</v>
      </c>
      <c r="BD167" s="766" t="s">
        <v>1207</v>
      </c>
      <c r="BE167" s="766"/>
      <c r="BF167" s="775"/>
      <c r="BG167" s="775"/>
      <c r="BH167" s="766"/>
      <c r="BI167" s="766"/>
      <c r="BJ167" s="766"/>
      <c r="BK167" s="766" t="s">
        <v>1095</v>
      </c>
      <c r="BL167" s="766" t="s">
        <v>1314</v>
      </c>
      <c r="BM167" s="766" t="s">
        <v>1096</v>
      </c>
      <c r="BN167" s="766" t="s">
        <v>1230</v>
      </c>
      <c r="BO167" s="766" t="s">
        <v>1246</v>
      </c>
      <c r="BP167" s="776">
        <v>198.04</v>
      </c>
      <c r="BQ167" s="772">
        <v>72.77</v>
      </c>
      <c r="BR167" s="774">
        <f>BQ167/BP167</f>
        <v>0.36745101999596042</v>
      </c>
      <c r="BS167" s="766" t="s">
        <v>1105</v>
      </c>
      <c r="BT167" s="766" t="s">
        <v>2040</v>
      </c>
      <c r="BU167" s="766" t="s">
        <v>1249</v>
      </c>
      <c r="BV167" s="766" t="s">
        <v>1247</v>
      </c>
      <c r="BW167" s="766">
        <v>1980</v>
      </c>
      <c r="BX167" s="766"/>
      <c r="BY167" s="766"/>
      <c r="BZ167" s="775"/>
      <c r="CA167" s="766"/>
      <c r="CB167" s="766" t="s">
        <v>1207</v>
      </c>
      <c r="CC167" s="766" t="s">
        <v>8114</v>
      </c>
      <c r="CD167" s="766"/>
      <c r="CE167" s="766"/>
      <c r="CF167" s="777">
        <v>2</v>
      </c>
      <c r="CG167" s="778">
        <v>3</v>
      </c>
      <c r="CH167" s="766"/>
      <c r="CI167" s="766" t="s">
        <v>5643</v>
      </c>
      <c r="CJ167" s="766" t="s">
        <v>1496</v>
      </c>
      <c r="CK167" s="766">
        <v>5</v>
      </c>
      <c r="CL167" s="12"/>
      <c r="CM167" s="766" t="s">
        <v>1497</v>
      </c>
      <c r="CN167" s="766"/>
      <c r="CO167" s="769"/>
      <c r="CP167" s="766"/>
      <c r="CQ167" s="766"/>
      <c r="CR167" s="775"/>
      <c r="CS167" s="766"/>
      <c r="CT167" s="766"/>
      <c r="CU167" s="129"/>
      <c r="CV167" s="766"/>
      <c r="CW167" s="766"/>
      <c r="CX167" s="766"/>
      <c r="CY167" s="766"/>
      <c r="CZ167" s="766"/>
      <c r="DA167" s="766"/>
      <c r="DB167" s="766"/>
      <c r="DC167" s="766"/>
      <c r="DD167" s="766"/>
      <c r="DE167" s="766"/>
      <c r="DF167" s="766"/>
      <c r="DG167" s="766"/>
      <c r="DH167" s="766"/>
      <c r="DI167" s="766"/>
      <c r="DJ167" s="766"/>
      <c r="DK167" s="766"/>
      <c r="DL167" s="766"/>
      <c r="DM167" s="766"/>
      <c r="DN167" s="766"/>
      <c r="DO167" s="766"/>
      <c r="DP167" s="766"/>
      <c r="DQ167" s="766"/>
      <c r="DR167" s="766"/>
      <c r="DS167" s="59"/>
      <c r="DT167" s="766"/>
      <c r="DU167" s="766"/>
      <c r="DV167" s="766"/>
      <c r="DW167" s="66"/>
      <c r="DX167" s="66"/>
      <c r="DY167" s="766"/>
      <c r="DZ167" s="766"/>
      <c r="EA167" s="766"/>
      <c r="EB167" s="766"/>
      <c r="EC167" s="766"/>
      <c r="ED167" s="766"/>
      <c r="EE167" s="766"/>
      <c r="EF167" s="766"/>
      <c r="EG167" s="766"/>
      <c r="EH167" s="766"/>
      <c r="EI167" s="766"/>
      <c r="EJ167" s="766"/>
      <c r="EK167" s="766"/>
      <c r="EL167" s="766"/>
      <c r="EM167" s="766"/>
      <c r="EN167" s="766"/>
      <c r="EO167" s="766"/>
      <c r="EP167" s="766"/>
      <c r="EQ167" s="766"/>
      <c r="ER167" s="766"/>
      <c r="ES167" s="766"/>
      <c r="ET167" s="766"/>
      <c r="EU167" s="766"/>
      <c r="EV167" s="766"/>
      <c r="EW167" s="766"/>
      <c r="EX167" s="766"/>
      <c r="EY167" s="766"/>
      <c r="EZ167" s="766"/>
      <c r="FA167" s="766"/>
      <c r="FB167" s="766"/>
      <c r="FC167" s="766"/>
      <c r="FD167" s="775"/>
      <c r="FE167" s="766"/>
      <c r="FF167" s="766"/>
      <c r="FG167" s="766"/>
      <c r="FH167" s="766" t="s">
        <v>478</v>
      </c>
      <c r="FI167" s="766">
        <v>2</v>
      </c>
      <c r="FJ167" s="766" t="s">
        <v>1618</v>
      </c>
      <c r="FK167" s="766" t="s">
        <v>823</v>
      </c>
      <c r="FL167" s="766" t="s">
        <v>1619</v>
      </c>
      <c r="FM167" s="775"/>
      <c r="FN167" s="775">
        <v>1200</v>
      </c>
      <c r="FO167" s="775">
        <v>3800</v>
      </c>
      <c r="FP167" s="766" t="s">
        <v>1602</v>
      </c>
      <c r="FQ167" s="766" t="s">
        <v>1660</v>
      </c>
      <c r="FR167" s="766" t="s">
        <v>1207</v>
      </c>
      <c r="FS167" s="766" t="s">
        <v>1208</v>
      </c>
      <c r="FT167" s="766"/>
      <c r="FU167" s="766"/>
      <c r="FV167" s="766"/>
      <c r="FW167" s="766"/>
      <c r="FX167" s="766"/>
      <c r="FY167" s="766"/>
      <c r="FZ167" s="766"/>
      <c r="GA167" s="766"/>
      <c r="GB167" s="766" t="s">
        <v>853</v>
      </c>
      <c r="GC167" s="75" t="s">
        <v>1147</v>
      </c>
      <c r="GD167" s="25" t="s">
        <v>110</v>
      </c>
      <c r="GE167" s="766" t="s">
        <v>1698</v>
      </c>
      <c r="GF167" s="775"/>
      <c r="GG167" s="775"/>
      <c r="GH167" s="766"/>
      <c r="GI167" s="766"/>
      <c r="GJ167" s="766"/>
      <c r="GK167" s="766"/>
      <c r="GL167" s="766"/>
      <c r="GM167" s="766"/>
      <c r="GN167" s="82"/>
      <c r="GO167" s="766"/>
      <c r="GP167" s="766"/>
      <c r="GQ167" s="766"/>
      <c r="GR167" s="766"/>
      <c r="GS167" s="766"/>
      <c r="GT167" s="766"/>
      <c r="GU167" s="766"/>
      <c r="GV167" s="766"/>
      <c r="GW167" s="766"/>
      <c r="GX167" s="766"/>
      <c r="GY167" s="766"/>
      <c r="GZ167" s="766"/>
      <c r="HA167" s="766"/>
      <c r="HB167" s="766"/>
      <c r="HC167" s="766"/>
      <c r="HD167" s="766"/>
      <c r="HE167" s="766"/>
      <c r="HF167" s="766"/>
      <c r="HG167" s="766"/>
      <c r="HH167" s="766"/>
      <c r="HI167" s="766"/>
      <c r="HJ167" s="766"/>
      <c r="HK167" s="766"/>
      <c r="HL167" s="766"/>
      <c r="HM167" s="766"/>
      <c r="HN167" s="766"/>
      <c r="HO167" s="766"/>
      <c r="HP167" s="766"/>
      <c r="HQ167" s="766"/>
      <c r="HR167" s="766"/>
      <c r="HS167" s="766"/>
      <c r="HT167" s="766" t="s">
        <v>1208</v>
      </c>
      <c r="HU167" s="766"/>
      <c r="HV167" s="766"/>
      <c r="HW167" s="766"/>
      <c r="HX167" s="766"/>
      <c r="HY167" s="766"/>
      <c r="HZ167" s="766"/>
      <c r="IA167" s="766"/>
      <c r="IB167" s="14" t="e">
        <f>IF(#REF!&gt;0,IF(#REF!&lt;=10000,"Y",""),"")</f>
        <v>#REF!</v>
      </c>
      <c r="IC167" s="766"/>
      <c r="ID167" s="766"/>
      <c r="IE167" s="766"/>
      <c r="IF167" s="766"/>
      <c r="IG167" s="766"/>
      <c r="IH167" s="766"/>
      <c r="II167" s="766"/>
      <c r="IJ167" s="766"/>
      <c r="IK167" s="766"/>
      <c r="IL167" s="766"/>
      <c r="IM167" s="766"/>
      <c r="IN167" s="766"/>
      <c r="IO167" s="24"/>
      <c r="IP167" s="766"/>
      <c r="IQ167" s="766"/>
      <c r="IR167" s="766"/>
      <c r="IS167" s="766"/>
      <c r="IT167" s="766"/>
      <c r="IU167" s="766"/>
      <c r="IV167" s="766"/>
      <c r="IW167" s="766"/>
      <c r="IX167" s="766"/>
      <c r="IY167" s="766"/>
      <c r="IZ167" s="766"/>
      <c r="JA167" s="766"/>
      <c r="JB167" s="766"/>
      <c r="JC167" s="766"/>
      <c r="JD167" s="775"/>
      <c r="JE167" s="766"/>
      <c r="JF167" s="766"/>
      <c r="JG167" s="766"/>
      <c r="JH167" s="766"/>
      <c r="JI167" s="766"/>
      <c r="JJ167" s="766">
        <v>6</v>
      </c>
      <c r="JK167" s="1139" t="s">
        <v>1314</v>
      </c>
      <c r="JL167" s="766">
        <v>1</v>
      </c>
      <c r="JM167" s="766">
        <v>1</v>
      </c>
      <c r="JN167" s="766">
        <v>1</v>
      </c>
      <c r="JO167" s="766">
        <v>3</v>
      </c>
      <c r="JP167" s="766"/>
      <c r="JQ167" s="766"/>
      <c r="JR167" s="766"/>
      <c r="JS167" s="766"/>
      <c r="JT167" s="766">
        <f t="shared" ref="JT167:JU175" si="42">SUM(JP167,JN167,JL167,JR167)</f>
        <v>2</v>
      </c>
      <c r="JU167" s="766">
        <f t="shared" si="42"/>
        <v>4</v>
      </c>
      <c r="JV167" s="712" t="str">
        <f>IF(JT167=KJ167,"ok","male")</f>
        <v>ok</v>
      </c>
      <c r="JW167" s="712" t="str">
        <f>IF(JU167=KK167,"ok","female")</f>
        <v>ok</v>
      </c>
      <c r="JX167" s="766"/>
      <c r="JY167" s="766"/>
      <c r="JZ167" s="766">
        <v>1</v>
      </c>
      <c r="KA167" s="766">
        <v>1</v>
      </c>
      <c r="KB167" s="766"/>
      <c r="KC167" s="766">
        <v>2</v>
      </c>
      <c r="KD167" s="766">
        <v>1</v>
      </c>
      <c r="KE167" s="766">
        <v>1</v>
      </c>
      <c r="KF167" s="766"/>
      <c r="KG167" s="766"/>
      <c r="KH167" s="766"/>
      <c r="KI167" s="766"/>
      <c r="KJ167" s="770">
        <f t="shared" si="38"/>
        <v>2</v>
      </c>
      <c r="KK167" s="770">
        <f t="shared" si="38"/>
        <v>4</v>
      </c>
      <c r="KL167" s="712" t="str">
        <f>IF(KJ167=LN167,"ok","male")</f>
        <v>ok</v>
      </c>
      <c r="KM167" s="712" t="str">
        <f>IF(KK167=LO167,"ok","female")</f>
        <v>ok</v>
      </c>
      <c r="KN167" s="766" t="s">
        <v>707</v>
      </c>
      <c r="KO167" s="766"/>
      <c r="KP167" s="766"/>
      <c r="KQ167" s="766"/>
      <c r="KR167" s="766"/>
      <c r="KS167" s="766"/>
      <c r="KT167" s="766"/>
      <c r="KU167" s="766">
        <v>1</v>
      </c>
      <c r="KV167" s="766"/>
      <c r="KW167" s="766"/>
      <c r="KX167" s="766">
        <v>1</v>
      </c>
      <c r="KY167" s="766">
        <v>1</v>
      </c>
      <c r="KZ167" s="766"/>
      <c r="LA167" s="766"/>
      <c r="LB167" s="766"/>
      <c r="LC167" s="766"/>
      <c r="LD167" s="766">
        <v>1</v>
      </c>
      <c r="LE167" s="766">
        <v>2</v>
      </c>
      <c r="LF167" s="766"/>
      <c r="LG167" s="766"/>
      <c r="LH167" s="766"/>
      <c r="LI167" s="766"/>
      <c r="LJ167" s="766"/>
      <c r="LK167" s="766"/>
      <c r="LL167" s="766"/>
      <c r="LM167" s="766"/>
      <c r="LN167" s="766">
        <f t="shared" si="39"/>
        <v>2</v>
      </c>
      <c r="LO167" s="766">
        <f t="shared" si="39"/>
        <v>4</v>
      </c>
      <c r="LP167" s="766">
        <v>2</v>
      </c>
      <c r="LQ167" s="766">
        <v>2</v>
      </c>
      <c r="LR167" s="766"/>
      <c r="LS167" s="766"/>
      <c r="LT167" s="712" t="str">
        <f>IF(LQ167=SUM(LU167:LW167),"OK","REV")</f>
        <v>OK</v>
      </c>
      <c r="LU167" s="766">
        <v>2</v>
      </c>
      <c r="LV167" s="766"/>
      <c r="LW167" s="766"/>
      <c r="LX167" s="769">
        <v>4</v>
      </c>
      <c r="LY167" s="766" t="str">
        <f t="shared" ref="LY167:LY198" si="43">IF(ISBLANK(LX167)=TRUE,"",LOOKUP(LX167,RT:RU))</f>
        <v>OTHER Province</v>
      </c>
      <c r="LZ167" s="66"/>
      <c r="MA167" s="766"/>
      <c r="MB167" s="766"/>
      <c r="MC167" s="1679">
        <f t="shared" si="41"/>
        <v>0</v>
      </c>
      <c r="MD167" s="66">
        <v>58000</v>
      </c>
      <c r="ME167" s="66"/>
      <c r="MF167" s="66"/>
      <c r="MG167" s="1680">
        <f>SUM(MD167:MF167)</f>
        <v>58000</v>
      </c>
      <c r="MH167" s="766"/>
      <c r="MI167" s="775">
        <v>10000</v>
      </c>
      <c r="MJ167" s="775">
        <v>33800</v>
      </c>
      <c r="MK167" s="775">
        <v>2000</v>
      </c>
      <c r="ML167" s="775">
        <v>1500</v>
      </c>
      <c r="MM167" s="775">
        <v>3750</v>
      </c>
      <c r="MN167" s="775"/>
      <c r="MO167" s="775">
        <v>500</v>
      </c>
      <c r="MP167" s="775">
        <v>3800</v>
      </c>
      <c r="MQ167" s="775">
        <v>800</v>
      </c>
      <c r="MR167" s="775">
        <v>1200</v>
      </c>
      <c r="MS167" s="775">
        <v>2500</v>
      </c>
      <c r="MT167" s="775"/>
      <c r="MU167" s="775"/>
      <c r="MV167" s="775"/>
      <c r="MW167" s="775"/>
      <c r="MX167" s="775"/>
      <c r="MY167" s="1682">
        <f t="shared" si="35"/>
        <v>59850</v>
      </c>
      <c r="MZ167" s="766" t="s">
        <v>13004</v>
      </c>
      <c r="NA167" s="766" t="s">
        <v>13005</v>
      </c>
      <c r="NB167" s="766" t="s">
        <v>13006</v>
      </c>
      <c r="NC167" s="766"/>
      <c r="ND167" s="766">
        <v>0</v>
      </c>
      <c r="NE167" s="766">
        <v>1</v>
      </c>
      <c r="NF167" s="766">
        <v>1</v>
      </c>
      <c r="NG167" s="766">
        <v>6</v>
      </c>
      <c r="NH167" s="766">
        <v>1</v>
      </c>
      <c r="NI167" s="766">
        <v>1</v>
      </c>
      <c r="NJ167" s="766">
        <v>0</v>
      </c>
      <c r="NK167" s="766">
        <v>0</v>
      </c>
      <c r="NL167" s="766">
        <v>1</v>
      </c>
      <c r="NM167" s="766">
        <v>1</v>
      </c>
      <c r="NN167" s="766">
        <v>0</v>
      </c>
      <c r="NO167" s="766">
        <v>0</v>
      </c>
      <c r="NP167" s="766">
        <v>0</v>
      </c>
      <c r="NQ167" s="766">
        <v>1</v>
      </c>
      <c r="NR167" s="766">
        <v>0</v>
      </c>
      <c r="NS167" s="766">
        <v>0</v>
      </c>
      <c r="NT167" s="766">
        <v>0</v>
      </c>
      <c r="NU167" s="766">
        <v>0</v>
      </c>
      <c r="NV167" s="766">
        <v>0</v>
      </c>
      <c r="NW167" s="766">
        <v>0</v>
      </c>
      <c r="NX167" s="766">
        <v>0</v>
      </c>
      <c r="NY167" s="766" t="s">
        <v>1208</v>
      </c>
      <c r="NZ167" s="766" t="s">
        <v>1208</v>
      </c>
      <c r="OA167" s="766" t="s">
        <v>1208</v>
      </c>
      <c r="OB167" s="766" t="s">
        <v>1208</v>
      </c>
      <c r="OC167" s="766" t="s">
        <v>1208</v>
      </c>
      <c r="OD167" s="766" t="s">
        <v>1208</v>
      </c>
      <c r="OE167" s="766"/>
      <c r="OF167" s="766"/>
      <c r="OG167" s="766"/>
      <c r="OH167" s="766"/>
      <c r="OI167" s="766"/>
      <c r="OJ167" s="766"/>
      <c r="OK167" s="766"/>
      <c r="OL167" s="766"/>
      <c r="OM167" s="766"/>
      <c r="ON167" s="766"/>
      <c r="OO167" s="766"/>
      <c r="OP167" s="766"/>
      <c r="OQ167" s="766"/>
      <c r="OR167" s="766"/>
      <c r="OS167" s="766"/>
      <c r="OT167" s="766"/>
      <c r="OU167" s="766"/>
      <c r="OV167" s="766"/>
      <c r="OW167" s="766"/>
      <c r="OX167" s="766"/>
      <c r="OY167" s="766"/>
      <c r="OZ167" s="766"/>
      <c r="PA167" s="766"/>
      <c r="PB167" s="766"/>
      <c r="PC167" s="766"/>
      <c r="PD167" s="766"/>
      <c r="PE167" s="766"/>
      <c r="PF167" s="766"/>
      <c r="PG167" s="766"/>
      <c r="PH167" s="766"/>
      <c r="PI167" s="766"/>
      <c r="PJ167" s="766"/>
      <c r="PK167" s="766"/>
      <c r="PL167" s="766"/>
      <c r="PM167" s="766"/>
      <c r="PN167" s="766"/>
      <c r="PO167" s="766"/>
      <c r="PP167" s="766"/>
      <c r="PQ167" s="766"/>
      <c r="PR167" s="766"/>
      <c r="PS167" s="766" t="s">
        <v>1208</v>
      </c>
      <c r="PT167" s="766" t="s">
        <v>1208</v>
      </c>
      <c r="PU167" s="766"/>
      <c r="PV167" s="766"/>
      <c r="PW167" s="766"/>
      <c r="PX167" s="766"/>
      <c r="PY167" s="766"/>
      <c r="PZ167" s="766"/>
      <c r="QA167" s="766"/>
      <c r="QB167" s="766"/>
      <c r="QC167" s="766"/>
      <c r="QD167" s="766"/>
      <c r="QE167" s="766"/>
      <c r="QF167" s="766"/>
      <c r="QG167" s="766"/>
      <c r="QH167" s="766"/>
      <c r="QI167" s="766"/>
      <c r="QJ167" s="766"/>
      <c r="QK167" s="766"/>
      <c r="QL167" s="766"/>
      <c r="QM167" s="766"/>
      <c r="QN167" s="766"/>
      <c r="QO167" s="766"/>
      <c r="QP167" s="766"/>
      <c r="QQ167" s="766"/>
      <c r="QR167" s="766"/>
      <c r="QS167" s="766"/>
      <c r="QT167" s="766"/>
      <c r="QU167" s="766"/>
      <c r="QV167" s="766"/>
      <c r="QW167" s="766"/>
      <c r="QX167" s="766"/>
      <c r="QY167" s="766"/>
      <c r="QZ167" s="766"/>
      <c r="RA167" s="766"/>
      <c r="RB167" s="770" t="s">
        <v>1207</v>
      </c>
      <c r="RC167" s="1656" t="s">
        <v>13222</v>
      </c>
      <c r="RD167" s="766" t="s">
        <v>13223</v>
      </c>
      <c r="RE167" s="775" t="s">
        <v>12990</v>
      </c>
      <c r="RF167" s="777" t="s">
        <v>835</v>
      </c>
      <c r="RG167" s="766" t="s">
        <v>13000</v>
      </c>
      <c r="RH167" s="775">
        <v>0</v>
      </c>
      <c r="RI167" s="766"/>
      <c r="RJ167" s="766" t="s">
        <v>1314</v>
      </c>
      <c r="RK167" s="766" t="s">
        <v>13206</v>
      </c>
      <c r="RL167" s="1683"/>
      <c r="RM167" s="12"/>
      <c r="RN167" s="1711"/>
      <c r="RO167" s="171" t="s">
        <v>253</v>
      </c>
      <c r="RP167" s="11"/>
      <c r="RQ167" s="11"/>
      <c r="RR167" s="154" t="s">
        <v>7419</v>
      </c>
      <c r="RS167" s="1139" t="s">
        <v>12980</v>
      </c>
      <c r="RT167" s="11"/>
      <c r="RU167" s="11"/>
      <c r="RV167" s="766" t="s">
        <v>12451</v>
      </c>
      <c r="RW167" s="11"/>
      <c r="RX167" s="11" t="s">
        <v>11843</v>
      </c>
      <c r="RY167" s="11"/>
      <c r="RZ167" s="11" t="s">
        <v>7419</v>
      </c>
      <c r="SA167" s="766"/>
      <c r="SB167" s="11"/>
      <c r="SC167" s="11"/>
    </row>
    <row r="168" spans="1:497" ht="15" hidden="1" customHeight="1">
      <c r="A168" s="767" t="s">
        <v>14156</v>
      </c>
      <c r="B168" s="288" t="s">
        <v>7960</v>
      </c>
      <c r="C168" s="171" t="s">
        <v>256</v>
      </c>
      <c r="D168" s="760" t="s">
        <v>825</v>
      </c>
      <c r="E168" s="766" t="s">
        <v>5488</v>
      </c>
      <c r="F168" s="766" t="s">
        <v>28</v>
      </c>
      <c r="G168" s="766" t="s">
        <v>18</v>
      </c>
      <c r="H168" s="766"/>
      <c r="I168" s="5"/>
      <c r="J168" s="766" t="s">
        <v>825</v>
      </c>
      <c r="K168" s="766"/>
      <c r="L168" s="766"/>
      <c r="M168" s="766"/>
      <c r="N168" s="766" t="s">
        <v>12181</v>
      </c>
      <c r="O168" s="766" t="s">
        <v>12182</v>
      </c>
      <c r="P168" s="14" t="s">
        <v>825</v>
      </c>
      <c r="Q168" s="1085">
        <v>23525</v>
      </c>
      <c r="R168" s="25">
        <v>52</v>
      </c>
      <c r="S168" s="766" t="s">
        <v>18</v>
      </c>
      <c r="T168" s="766"/>
      <c r="U168" s="26" t="s">
        <v>826</v>
      </c>
      <c r="V168" s="766" t="s">
        <v>783</v>
      </c>
      <c r="W168" s="766"/>
      <c r="X168" s="766"/>
      <c r="Y168" s="766" t="s">
        <v>827</v>
      </c>
      <c r="Z168" s="766" t="s">
        <v>708</v>
      </c>
      <c r="AA168" s="766" t="s">
        <v>759</v>
      </c>
      <c r="AB168" s="766" t="s">
        <v>710</v>
      </c>
      <c r="AC168" s="766"/>
      <c r="AD168" s="766" t="s">
        <v>711</v>
      </c>
      <c r="AE168" s="766"/>
      <c r="AF168" s="766" t="s">
        <v>712</v>
      </c>
      <c r="AG168" s="766"/>
      <c r="AH168" s="766"/>
      <c r="AI168" s="766"/>
      <c r="AJ168" s="766"/>
      <c r="AK168" s="766" t="s">
        <v>5454</v>
      </c>
      <c r="AL168" s="121"/>
      <c r="AM168" s="772"/>
      <c r="AN168" s="774"/>
      <c r="AO168" s="766"/>
      <c r="AP168" s="766"/>
      <c r="AQ168" s="766"/>
      <c r="AR168" s="766"/>
      <c r="AS168" s="766"/>
      <c r="AT168" s="766"/>
      <c r="AU168" s="766"/>
      <c r="AV168" s="766"/>
      <c r="AW168" s="766"/>
      <c r="AX168" s="766"/>
      <c r="AY168" s="766"/>
      <c r="AZ168" s="766"/>
      <c r="BA168" s="766"/>
      <c r="BB168" s="766"/>
      <c r="BC168" s="766" t="s">
        <v>853</v>
      </c>
      <c r="BD168" s="766" t="s">
        <v>1207</v>
      </c>
      <c r="BE168" s="766"/>
      <c r="BF168" s="775"/>
      <c r="BG168" s="775"/>
      <c r="BH168" s="766"/>
      <c r="BI168" s="766"/>
      <c r="BJ168" s="766"/>
      <c r="BK168" s="766"/>
      <c r="BL168" s="766"/>
      <c r="BM168" s="766" t="s">
        <v>1238</v>
      </c>
      <c r="BN168" s="766" t="s">
        <v>1305</v>
      </c>
      <c r="BO168" s="766"/>
      <c r="BP168" s="776"/>
      <c r="BQ168" s="772"/>
      <c r="BR168" s="774"/>
      <c r="BS168" s="766" t="s">
        <v>1105</v>
      </c>
      <c r="BT168" s="766"/>
      <c r="BU168" s="766"/>
      <c r="BV168" s="766"/>
      <c r="BW168" s="766"/>
      <c r="BX168" s="779"/>
      <c r="BY168" s="766"/>
      <c r="BZ168" s="775"/>
      <c r="CA168" s="766"/>
      <c r="CB168" s="766"/>
      <c r="CC168" s="766"/>
      <c r="CD168" s="766"/>
      <c r="CE168" s="766"/>
      <c r="CF168" s="777"/>
      <c r="CG168" s="778"/>
      <c r="CH168" s="766"/>
      <c r="CI168" s="766"/>
      <c r="CJ168" s="766"/>
      <c r="CK168" s="766"/>
      <c r="CL168" s="766"/>
      <c r="CM168" s="766"/>
      <c r="CN168" s="766"/>
      <c r="CO168" s="766"/>
      <c r="CP168" s="766"/>
      <c r="CQ168" s="766"/>
      <c r="CR168" s="775"/>
      <c r="CS168" s="766"/>
      <c r="CT168" s="766"/>
      <c r="CU168" s="129"/>
      <c r="CV168" s="766"/>
      <c r="CW168" s="766"/>
      <c r="CX168" s="766"/>
      <c r="CY168" s="766"/>
      <c r="CZ168" s="766"/>
      <c r="DA168" s="766"/>
      <c r="DB168" s="766"/>
      <c r="DC168" s="766"/>
      <c r="DD168" s="766"/>
      <c r="DE168" s="766"/>
      <c r="DF168" s="766"/>
      <c r="DG168" s="766"/>
      <c r="DH168" s="766"/>
      <c r="DI168" s="766"/>
      <c r="DJ168" s="766"/>
      <c r="DK168" s="766"/>
      <c r="DL168" s="766"/>
      <c r="DM168" s="766"/>
      <c r="DN168" s="766"/>
      <c r="DO168" s="766"/>
      <c r="DP168" s="766"/>
      <c r="DQ168" s="766"/>
      <c r="DR168" s="766"/>
      <c r="DS168" s="59"/>
      <c r="DT168" s="766"/>
      <c r="DU168" s="766"/>
      <c r="DV168" s="766"/>
      <c r="DW168" s="66"/>
      <c r="DX168" s="66"/>
      <c r="DY168" s="766"/>
      <c r="DZ168" s="766"/>
      <c r="EA168" s="766"/>
      <c r="EB168" s="766"/>
      <c r="EC168" s="766"/>
      <c r="ED168" s="766"/>
      <c r="EE168" s="766"/>
      <c r="EF168" s="766"/>
      <c r="EG168" s="766"/>
      <c r="EH168" s="766"/>
      <c r="EI168" s="766"/>
      <c r="EJ168" s="766"/>
      <c r="EK168" s="766"/>
      <c r="EL168" s="766"/>
      <c r="EM168" s="766"/>
      <c r="EN168" s="766"/>
      <c r="EO168" s="766"/>
      <c r="EP168" s="766"/>
      <c r="EQ168" s="766"/>
      <c r="ER168" s="766"/>
      <c r="ES168" s="766"/>
      <c r="ET168" s="766"/>
      <c r="EU168" s="766"/>
      <c r="EV168" s="766"/>
      <c r="EW168" s="766"/>
      <c r="EX168" s="766"/>
      <c r="EY168" s="766"/>
      <c r="EZ168" s="766"/>
      <c r="FA168" s="766"/>
      <c r="FB168" s="766"/>
      <c r="FC168" s="766"/>
      <c r="FD168" s="775"/>
      <c r="FE168" s="766"/>
      <c r="FF168" s="766"/>
      <c r="FG168" s="766"/>
      <c r="FH168" s="766" t="s">
        <v>1305</v>
      </c>
      <c r="FI168" s="766" t="s">
        <v>110</v>
      </c>
      <c r="FJ168" s="766"/>
      <c r="FK168" s="766"/>
      <c r="FL168" s="766"/>
      <c r="FM168" s="775"/>
      <c r="FN168" s="775"/>
      <c r="FO168" s="775"/>
      <c r="FP168" s="766" t="s">
        <v>1602</v>
      </c>
      <c r="FQ168" s="766" t="s">
        <v>1660</v>
      </c>
      <c r="FR168" s="766" t="s">
        <v>1207</v>
      </c>
      <c r="FS168" s="766" t="s">
        <v>1208</v>
      </c>
      <c r="FT168" s="766"/>
      <c r="FU168" s="766"/>
      <c r="FV168" s="766"/>
      <c r="FW168" s="766"/>
      <c r="FX168" s="766"/>
      <c r="FY168" s="766"/>
      <c r="FZ168" s="766"/>
      <c r="GA168" s="766"/>
      <c r="GB168" s="766"/>
      <c r="GC168" s="75"/>
      <c r="GD168" s="25"/>
      <c r="GE168" s="766"/>
      <c r="GF168" s="775"/>
      <c r="GG168" s="775"/>
      <c r="GH168" s="766"/>
      <c r="GI168" s="766"/>
      <c r="GJ168" s="766"/>
      <c r="GK168" s="766"/>
      <c r="GL168" s="766"/>
      <c r="GM168" s="766"/>
      <c r="GN168" s="82"/>
      <c r="GO168" s="766"/>
      <c r="GP168" s="766"/>
      <c r="GQ168" s="766"/>
      <c r="GR168" s="766"/>
      <c r="GS168" s="766"/>
      <c r="GT168" s="766"/>
      <c r="GU168" s="766"/>
      <c r="GV168" s="766"/>
      <c r="GW168" s="766"/>
      <c r="GX168" s="766"/>
      <c r="GY168" s="766"/>
      <c r="GZ168" s="766"/>
      <c r="HA168" s="766"/>
      <c r="HB168" s="766"/>
      <c r="HC168" s="766"/>
      <c r="HD168" s="766"/>
      <c r="HE168" s="766"/>
      <c r="HF168" s="766"/>
      <c r="HG168" s="766"/>
      <c r="HH168" s="766"/>
      <c r="HI168" s="766"/>
      <c r="HJ168" s="766"/>
      <c r="HK168" s="766"/>
      <c r="HL168" s="766"/>
      <c r="HM168" s="766"/>
      <c r="HN168" s="766"/>
      <c r="HO168" s="766"/>
      <c r="HP168" s="766"/>
      <c r="HQ168" s="766"/>
      <c r="HR168" s="766"/>
      <c r="HS168" s="766"/>
      <c r="HT168" s="766"/>
      <c r="HU168" s="766"/>
      <c r="HV168" s="766"/>
      <c r="HW168" s="766"/>
      <c r="HX168" s="766"/>
      <c r="HY168" s="766"/>
      <c r="HZ168" s="766"/>
      <c r="IA168" s="766"/>
      <c r="IB168" s="14" t="e">
        <f>IF(#REF!&gt;0,IF(#REF!&lt;=10000,"Y",""),"")</f>
        <v>#REF!</v>
      </c>
      <c r="IC168" s="766" t="s">
        <v>1207</v>
      </c>
      <c r="ID168" s="766"/>
      <c r="IE168" s="766"/>
      <c r="IF168" s="766"/>
      <c r="IG168" s="766"/>
      <c r="IH168" s="766"/>
      <c r="II168" s="766"/>
      <c r="IJ168" s="766"/>
      <c r="IK168" s="766"/>
      <c r="IL168" s="766"/>
      <c r="IM168" s="766"/>
      <c r="IN168" s="766"/>
      <c r="IO168" s="24"/>
      <c r="IP168" s="766"/>
      <c r="IQ168" s="766"/>
      <c r="IR168" s="766"/>
      <c r="IS168" s="766"/>
      <c r="IT168" s="766"/>
      <c r="IU168" s="766"/>
      <c r="IV168" s="766"/>
      <c r="IW168" s="766"/>
      <c r="IX168" s="766"/>
      <c r="IY168" s="766"/>
      <c r="IZ168" s="766"/>
      <c r="JA168" s="766"/>
      <c r="JB168" s="766"/>
      <c r="JC168" s="766"/>
      <c r="JD168" s="775"/>
      <c r="JE168" s="766"/>
      <c r="JF168" s="766"/>
      <c r="JG168" s="766"/>
      <c r="JH168" s="766"/>
      <c r="JI168" s="712" t="str">
        <f>IF(SUM(JT168,JU168)=JJ168,"ok","review")</f>
        <v>ok</v>
      </c>
      <c r="JJ168" s="766">
        <v>3</v>
      </c>
      <c r="JK168" s="1139" t="s">
        <v>825</v>
      </c>
      <c r="JL168" s="766" t="s">
        <v>110</v>
      </c>
      <c r="JM168" s="766"/>
      <c r="JN168" s="766">
        <v>1</v>
      </c>
      <c r="JO168" s="766">
        <v>2</v>
      </c>
      <c r="JP168" s="766"/>
      <c r="JQ168" s="766"/>
      <c r="JR168" s="766"/>
      <c r="JS168" s="766"/>
      <c r="JT168" s="766">
        <f t="shared" si="42"/>
        <v>1</v>
      </c>
      <c r="JU168" s="766">
        <f t="shared" si="42"/>
        <v>2</v>
      </c>
      <c r="JV168" s="712" t="str">
        <f>IF(JT168=KJ168,"ok","male")</f>
        <v>ok</v>
      </c>
      <c r="JW168" s="712" t="str">
        <f>IF(JU168=KK168,"ok","female")</f>
        <v>ok</v>
      </c>
      <c r="JX168" s="766"/>
      <c r="JY168" s="766"/>
      <c r="JZ168" s="766"/>
      <c r="KA168" s="766"/>
      <c r="KB168" s="766">
        <v>1</v>
      </c>
      <c r="KC168" s="766">
        <v>1</v>
      </c>
      <c r="KD168" s="766"/>
      <c r="KE168" s="766">
        <v>1</v>
      </c>
      <c r="KF168" s="766"/>
      <c r="KG168" s="766"/>
      <c r="KH168" s="766"/>
      <c r="KI168" s="766"/>
      <c r="KJ168" s="770">
        <f t="shared" si="38"/>
        <v>1</v>
      </c>
      <c r="KK168" s="770">
        <f t="shared" si="38"/>
        <v>2</v>
      </c>
      <c r="KL168" s="712" t="str">
        <f>IF(KJ168=LN168,"ok","male")</f>
        <v>ok</v>
      </c>
      <c r="KM168" s="712" t="str">
        <f>IF(KK168=LO168,"ok","female")</f>
        <v>ok</v>
      </c>
      <c r="KN168" s="766" t="s">
        <v>783</v>
      </c>
      <c r="KO168" s="766"/>
      <c r="KP168" s="766"/>
      <c r="KQ168" s="766"/>
      <c r="KR168" s="766"/>
      <c r="KS168" s="766"/>
      <c r="KT168" s="766"/>
      <c r="KU168" s="766"/>
      <c r="KV168" s="766"/>
      <c r="KW168" s="766"/>
      <c r="KX168" s="766"/>
      <c r="KY168" s="766"/>
      <c r="KZ168" s="766"/>
      <c r="LA168" s="766"/>
      <c r="LB168" s="766"/>
      <c r="LC168" s="766"/>
      <c r="LD168" s="766">
        <v>1</v>
      </c>
      <c r="LE168" s="766">
        <v>2</v>
      </c>
      <c r="LF168" s="766"/>
      <c r="LG168" s="766"/>
      <c r="LH168" s="766"/>
      <c r="LI168" s="766"/>
      <c r="LJ168" s="766"/>
      <c r="LK168" s="766"/>
      <c r="LL168" s="766"/>
      <c r="LM168" s="766"/>
      <c r="LN168" s="766">
        <f t="shared" si="39"/>
        <v>1</v>
      </c>
      <c r="LO168" s="766">
        <f t="shared" si="39"/>
        <v>2</v>
      </c>
      <c r="LP168" s="766">
        <v>1</v>
      </c>
      <c r="LQ168" s="766">
        <v>1</v>
      </c>
      <c r="LR168" s="766"/>
      <c r="LS168" s="766"/>
      <c r="LT168" s="712" t="str">
        <f>IF(LQ168=SUM(LU168:LW168),"OK","REV")</f>
        <v>OK</v>
      </c>
      <c r="LU168" s="766">
        <v>1</v>
      </c>
      <c r="LV168" s="766"/>
      <c r="LW168" s="766"/>
      <c r="LX168" s="769">
        <v>2</v>
      </c>
      <c r="LY168" s="766" t="str">
        <f t="shared" si="43"/>
        <v>within the MUNICIPALITY</v>
      </c>
      <c r="LZ168" s="66"/>
      <c r="MA168" s="766"/>
      <c r="MB168" s="766"/>
      <c r="MC168" s="1679">
        <f t="shared" si="41"/>
        <v>0</v>
      </c>
      <c r="MD168" s="66">
        <v>20000</v>
      </c>
      <c r="ME168" s="66"/>
      <c r="MF168" s="66"/>
      <c r="MG168" s="1680">
        <f>SUM(MD168:MF168)</f>
        <v>20000</v>
      </c>
      <c r="MH168" s="766"/>
      <c r="MI168" s="775">
        <v>15000</v>
      </c>
      <c r="MJ168" s="775">
        <v>10000</v>
      </c>
      <c r="MK168" s="775">
        <v>5000</v>
      </c>
      <c r="ML168" s="775">
        <v>20000</v>
      </c>
      <c r="MM168" s="775">
        <v>10000</v>
      </c>
      <c r="MN168" s="775"/>
      <c r="MO168" s="775">
        <v>3000</v>
      </c>
      <c r="MP168" s="775">
        <v>3000</v>
      </c>
      <c r="MQ168" s="775">
        <v>1500</v>
      </c>
      <c r="MR168" s="775">
        <v>1000</v>
      </c>
      <c r="MS168" s="775">
        <v>10000</v>
      </c>
      <c r="MT168" s="775"/>
      <c r="MU168" s="775"/>
      <c r="MV168" s="775"/>
      <c r="MW168" s="775"/>
      <c r="MX168" s="775"/>
      <c r="MY168" s="1682">
        <f t="shared" si="35"/>
        <v>78500</v>
      </c>
      <c r="MZ168" s="766" t="s">
        <v>13004</v>
      </c>
      <c r="NA168" s="766" t="s">
        <v>13005</v>
      </c>
      <c r="NB168" s="766" t="s">
        <v>13016</v>
      </c>
      <c r="NC168" s="766"/>
      <c r="ND168" s="766">
        <v>0</v>
      </c>
      <c r="NE168" s="766">
        <v>1</v>
      </c>
      <c r="NF168" s="766">
        <v>1</v>
      </c>
      <c r="NG168" s="766">
        <v>2</v>
      </c>
      <c r="NH168" s="766">
        <v>2</v>
      </c>
      <c r="NI168" s="766">
        <v>0</v>
      </c>
      <c r="NJ168" s="766">
        <v>0</v>
      </c>
      <c r="NK168" s="766">
        <v>0</v>
      </c>
      <c r="NL168" s="766">
        <v>1</v>
      </c>
      <c r="NM168" s="766">
        <v>1</v>
      </c>
      <c r="NN168" s="766">
        <v>0</v>
      </c>
      <c r="NO168" s="766">
        <v>0</v>
      </c>
      <c r="NP168" s="766">
        <v>0</v>
      </c>
      <c r="NQ168" s="766">
        <v>1</v>
      </c>
      <c r="NR168" s="766">
        <v>0</v>
      </c>
      <c r="NS168" s="766">
        <v>0</v>
      </c>
      <c r="NT168" s="766">
        <v>0</v>
      </c>
      <c r="NU168" s="766">
        <v>0</v>
      </c>
      <c r="NV168" s="766">
        <v>0</v>
      </c>
      <c r="NW168" s="766">
        <v>0</v>
      </c>
      <c r="NX168" s="766">
        <v>0</v>
      </c>
      <c r="NY168" s="766" t="s">
        <v>1208</v>
      </c>
      <c r="NZ168" s="766" t="s">
        <v>1208</v>
      </c>
      <c r="OA168" s="766" t="s">
        <v>1208</v>
      </c>
      <c r="OB168" s="766" t="s">
        <v>1208</v>
      </c>
      <c r="OC168" s="766" t="s">
        <v>1208</v>
      </c>
      <c r="OD168" s="766" t="s">
        <v>1208</v>
      </c>
      <c r="OE168" s="766"/>
      <c r="OF168" s="766"/>
      <c r="OG168" s="766"/>
      <c r="OH168" s="766"/>
      <c r="OI168" s="766"/>
      <c r="OJ168" s="766"/>
      <c r="OK168" s="76"/>
      <c r="OL168" s="766"/>
      <c r="OM168" s="766"/>
      <c r="ON168" s="766"/>
      <c r="OO168" s="766"/>
      <c r="OP168" s="766"/>
      <c r="OQ168" s="766"/>
      <c r="OR168" s="766"/>
      <c r="OS168" s="766"/>
      <c r="OT168" s="766"/>
      <c r="OU168" s="766"/>
      <c r="OV168" s="766"/>
      <c r="OW168" s="766"/>
      <c r="OX168" s="766"/>
      <c r="OY168" s="766"/>
      <c r="OZ168" s="766"/>
      <c r="PA168" s="766"/>
      <c r="PB168" s="766"/>
      <c r="PC168" s="766"/>
      <c r="PD168" s="766"/>
      <c r="PE168" s="766"/>
      <c r="PF168" s="766"/>
      <c r="PG168" s="766"/>
      <c r="PH168" s="766" t="s">
        <v>1208</v>
      </c>
      <c r="PI168" s="766"/>
      <c r="PJ168" s="766"/>
      <c r="PK168" s="766"/>
      <c r="PL168" s="766"/>
      <c r="PM168" s="766"/>
      <c r="PN168" s="766"/>
      <c r="PO168" s="766"/>
      <c r="PP168" s="766"/>
      <c r="PQ168" s="766"/>
      <c r="PR168" s="766"/>
      <c r="PS168" s="766" t="s">
        <v>1208</v>
      </c>
      <c r="PT168" s="766" t="s">
        <v>1208</v>
      </c>
      <c r="PU168" s="766"/>
      <c r="PV168" s="766"/>
      <c r="PW168" s="766"/>
      <c r="PX168" s="766"/>
      <c r="PY168" s="766"/>
      <c r="PZ168" s="766"/>
      <c r="QA168" s="766"/>
      <c r="QB168" s="766"/>
      <c r="QC168" s="766"/>
      <c r="QD168" s="766"/>
      <c r="QE168" s="766"/>
      <c r="QF168" s="766"/>
      <c r="QG168" s="766"/>
      <c r="QH168" s="766"/>
      <c r="QI168" s="766"/>
      <c r="QJ168" s="766"/>
      <c r="QK168" s="766"/>
      <c r="QL168" s="766"/>
      <c r="QM168" s="766"/>
      <c r="QN168" s="766"/>
      <c r="QO168" s="766"/>
      <c r="QP168" s="766"/>
      <c r="QQ168" s="766"/>
      <c r="QR168" s="766"/>
      <c r="QS168" s="766"/>
      <c r="QT168" s="766"/>
      <c r="QU168" s="766"/>
      <c r="QV168" s="766"/>
      <c r="QW168" s="766"/>
      <c r="QX168" s="766"/>
      <c r="QY168" s="766"/>
      <c r="QZ168" s="766"/>
      <c r="RA168" s="766"/>
      <c r="RB168" s="770" t="s">
        <v>1207</v>
      </c>
      <c r="RC168" s="766">
        <v>2009</v>
      </c>
      <c r="RD168" s="766" t="s">
        <v>13036</v>
      </c>
      <c r="RE168" s="766" t="s">
        <v>12999</v>
      </c>
      <c r="RF168" s="777">
        <v>1</v>
      </c>
      <c r="RG168" s="766" t="s">
        <v>13000</v>
      </c>
      <c r="RH168" s="775">
        <v>50</v>
      </c>
      <c r="RI168" s="766">
        <v>48</v>
      </c>
      <c r="RJ168" s="766" t="s">
        <v>2161</v>
      </c>
      <c r="RK168" s="766" t="s">
        <v>13206</v>
      </c>
      <c r="RL168" s="1683"/>
      <c r="RM168" s="12"/>
      <c r="RN168" s="1711"/>
      <c r="RO168" s="171" t="s">
        <v>256</v>
      </c>
      <c r="RP168" s="11"/>
      <c r="RQ168" s="11"/>
      <c r="RR168" s="767" t="s">
        <v>12352</v>
      </c>
      <c r="RS168" s="1139" t="s">
        <v>12980</v>
      </c>
      <c r="RT168" s="11"/>
      <c r="RU168" s="11"/>
      <c r="RV168" s="766" t="s">
        <v>12451</v>
      </c>
      <c r="RW168" s="11"/>
      <c r="RX168" s="11" t="s">
        <v>11844</v>
      </c>
      <c r="RY168" s="11"/>
      <c r="RZ168" s="11"/>
      <c r="SA168" s="766"/>
      <c r="SB168" s="11"/>
      <c r="SC168" s="11"/>
    </row>
    <row r="169" spans="1:497" ht="12.75" hidden="1" customHeight="1">
      <c r="A169" s="154" t="s">
        <v>7419</v>
      </c>
      <c r="B169" s="288" t="s">
        <v>7519</v>
      </c>
      <c r="C169" s="171" t="s">
        <v>257</v>
      </c>
      <c r="D169" s="14" t="s">
        <v>258</v>
      </c>
      <c r="E169" s="766" t="s">
        <v>5442</v>
      </c>
      <c r="F169" s="766" t="s">
        <v>28</v>
      </c>
      <c r="G169" s="766" t="s">
        <v>18</v>
      </c>
      <c r="H169" s="766"/>
      <c r="I169" s="5"/>
      <c r="J169" s="766" t="s">
        <v>828</v>
      </c>
      <c r="K169" s="766" t="s">
        <v>255</v>
      </c>
      <c r="L169" s="766" t="s">
        <v>259</v>
      </c>
      <c r="M169" s="766"/>
      <c r="N169" s="766" t="s">
        <v>12181</v>
      </c>
      <c r="O169" s="766" t="s">
        <v>12182</v>
      </c>
      <c r="P169" s="766" t="s">
        <v>828</v>
      </c>
      <c r="Q169" s="1085">
        <v>16129</v>
      </c>
      <c r="R169" s="25">
        <v>71</v>
      </c>
      <c r="S169" s="766" t="s">
        <v>18</v>
      </c>
      <c r="T169" s="766"/>
      <c r="U169" s="26" t="s">
        <v>829</v>
      </c>
      <c r="V169" s="766" t="s">
        <v>719</v>
      </c>
      <c r="W169" s="766"/>
      <c r="X169" s="766"/>
      <c r="Y169" s="766" t="s">
        <v>830</v>
      </c>
      <c r="Z169" s="766" t="s">
        <v>708</v>
      </c>
      <c r="AA169" s="766" t="s">
        <v>709</v>
      </c>
      <c r="AB169" s="766" t="s">
        <v>710</v>
      </c>
      <c r="AC169" s="766"/>
      <c r="AD169" s="766" t="s">
        <v>711</v>
      </c>
      <c r="AE169" s="766"/>
      <c r="AF169" s="766" t="s">
        <v>712</v>
      </c>
      <c r="AG169" s="766" t="s">
        <v>1095</v>
      </c>
      <c r="AH169" s="766" t="s">
        <v>1096</v>
      </c>
      <c r="AI169" s="766" t="s">
        <v>1148</v>
      </c>
      <c r="AJ169" s="766"/>
      <c r="AK169" s="766" t="s">
        <v>1097</v>
      </c>
      <c r="AL169" s="121">
        <v>172.8</v>
      </c>
      <c r="AM169" s="772">
        <v>172.8</v>
      </c>
      <c r="AN169" s="774">
        <f>AM169/AL169</f>
        <v>1</v>
      </c>
      <c r="AO169" s="766" t="s">
        <v>1113</v>
      </c>
      <c r="AP169" s="766"/>
      <c r="AQ169" s="766"/>
      <c r="AR169" s="766"/>
      <c r="AS169" s="766" t="s">
        <v>1207</v>
      </c>
      <c r="AT169" s="766" t="s">
        <v>1208</v>
      </c>
      <c r="AU169" s="766"/>
      <c r="AV169" s="766"/>
      <c r="AW169" s="766"/>
      <c r="AX169" s="766"/>
      <c r="AY169" s="766"/>
      <c r="AZ169" s="766"/>
      <c r="BA169" s="766"/>
      <c r="BB169" s="766"/>
      <c r="BC169" s="766" t="s">
        <v>853</v>
      </c>
      <c r="BD169" s="766" t="s">
        <v>1207</v>
      </c>
      <c r="BE169" s="766"/>
      <c r="BF169" s="775"/>
      <c r="BG169" s="775"/>
      <c r="BH169" s="766"/>
      <c r="BI169" s="766"/>
      <c r="BJ169" s="766"/>
      <c r="BK169" s="766" t="s">
        <v>1095</v>
      </c>
      <c r="BL169" s="766" t="s">
        <v>1148</v>
      </c>
      <c r="BM169" s="766" t="s">
        <v>1096</v>
      </c>
      <c r="BN169" s="766" t="s">
        <v>1230</v>
      </c>
      <c r="BO169" s="766" t="s">
        <v>1239</v>
      </c>
      <c r="BP169" s="776">
        <v>172.8</v>
      </c>
      <c r="BQ169" s="772">
        <v>172.8</v>
      </c>
      <c r="BR169" s="774">
        <f>BQ169/BP169</f>
        <v>1</v>
      </c>
      <c r="BS169" s="766" t="s">
        <v>1257</v>
      </c>
      <c r="BT169" s="766" t="s">
        <v>2040</v>
      </c>
      <c r="BU169" s="766" t="s">
        <v>1249</v>
      </c>
      <c r="BV169" s="766" t="s">
        <v>1247</v>
      </c>
      <c r="BW169" s="769"/>
      <c r="BX169" s="766"/>
      <c r="BY169" s="766"/>
      <c r="BZ169" s="775"/>
      <c r="CA169" s="766"/>
      <c r="CB169" s="766"/>
      <c r="CC169" s="766"/>
      <c r="CD169" s="766"/>
      <c r="CE169" s="766"/>
      <c r="CF169" s="777"/>
      <c r="CG169" s="778"/>
      <c r="CH169" s="766"/>
      <c r="CI169" s="766"/>
      <c r="CJ169" s="766"/>
      <c r="CK169" s="766"/>
      <c r="CL169" s="766"/>
      <c r="CM169" s="766"/>
      <c r="CN169" s="766"/>
      <c r="CO169" s="766"/>
      <c r="CP169" s="766"/>
      <c r="CQ169" s="766"/>
      <c r="CR169" s="775"/>
      <c r="CS169" s="766"/>
      <c r="CT169" s="766"/>
      <c r="CU169" s="129"/>
      <c r="CV169" s="766"/>
      <c r="CW169" s="766"/>
      <c r="CX169" s="766"/>
      <c r="CY169" s="766"/>
      <c r="CZ169" s="766"/>
      <c r="DA169" s="766"/>
      <c r="DB169" s="766"/>
      <c r="DC169" s="766"/>
      <c r="DD169" s="766"/>
      <c r="DE169" s="766"/>
      <c r="DF169" s="766"/>
      <c r="DG169" s="766"/>
      <c r="DH169" s="766"/>
      <c r="DI169" s="766"/>
      <c r="DJ169" s="766"/>
      <c r="DK169" s="766"/>
      <c r="DL169" s="766"/>
      <c r="DM169" s="766"/>
      <c r="DN169" s="766"/>
      <c r="DO169" s="766"/>
      <c r="DP169" s="766"/>
      <c r="DQ169" s="766"/>
      <c r="DR169" s="766"/>
      <c r="DS169" s="59"/>
      <c r="DT169" s="766"/>
      <c r="DU169" s="766"/>
      <c r="DV169" s="766"/>
      <c r="DW169" s="66"/>
      <c r="DX169" s="66"/>
      <c r="DY169" s="766"/>
      <c r="DZ169" s="766"/>
      <c r="EA169" s="766"/>
      <c r="EB169" s="766"/>
      <c r="EC169" s="766"/>
      <c r="ED169" s="766"/>
      <c r="EE169" s="766"/>
      <c r="EF169" s="766"/>
      <c r="EG169" s="766"/>
      <c r="EH169" s="766"/>
      <c r="EI169" s="766"/>
      <c r="EJ169" s="766"/>
      <c r="EK169" s="766"/>
      <c r="EL169" s="766"/>
      <c r="EM169" s="766"/>
      <c r="EN169" s="766"/>
      <c r="EO169" s="766"/>
      <c r="EP169" s="766"/>
      <c r="EQ169" s="766"/>
      <c r="ER169" s="766"/>
      <c r="ES169" s="766"/>
      <c r="ET169" s="766"/>
      <c r="EU169" s="766"/>
      <c r="EV169" s="766"/>
      <c r="EW169" s="766"/>
      <c r="EX169" s="766"/>
      <c r="EY169" s="766"/>
      <c r="EZ169" s="766"/>
      <c r="FA169" s="766"/>
      <c r="FB169" s="766"/>
      <c r="FC169" s="766"/>
      <c r="FD169" s="775"/>
      <c r="FE169" s="766"/>
      <c r="FF169" s="766"/>
      <c r="FG169" s="766"/>
      <c r="FH169" s="766" t="s">
        <v>478</v>
      </c>
      <c r="FI169" s="766"/>
      <c r="FJ169" s="766" t="s">
        <v>1148</v>
      </c>
      <c r="FK169" s="766" t="s">
        <v>1620</v>
      </c>
      <c r="FL169" s="766" t="s">
        <v>830</v>
      </c>
      <c r="FM169" s="147">
        <v>3000</v>
      </c>
      <c r="FN169" s="775"/>
      <c r="FO169" s="775"/>
      <c r="FP169" s="766" t="s">
        <v>1602</v>
      </c>
      <c r="FQ169" s="766" t="s">
        <v>1660</v>
      </c>
      <c r="FR169" s="766" t="s">
        <v>1207</v>
      </c>
      <c r="FS169" s="766"/>
      <c r="FT169" s="766"/>
      <c r="FU169" s="766"/>
      <c r="FV169" s="766"/>
      <c r="FW169" s="766"/>
      <c r="FX169" s="766"/>
      <c r="FY169" s="766"/>
      <c r="FZ169" s="766"/>
      <c r="GA169" s="766"/>
      <c r="GB169" s="766" t="s">
        <v>853</v>
      </c>
      <c r="GC169" s="75" t="s">
        <v>1148</v>
      </c>
      <c r="GD169" s="25" t="s">
        <v>1726</v>
      </c>
      <c r="GE169" s="766" t="s">
        <v>1426</v>
      </c>
      <c r="GF169" s="775"/>
      <c r="GG169" s="775"/>
      <c r="GH169" s="766"/>
      <c r="GI169" s="766"/>
      <c r="GJ169" s="766"/>
      <c r="GK169" s="766"/>
      <c r="GL169" s="766"/>
      <c r="GM169" s="766"/>
      <c r="GN169" s="82"/>
      <c r="GO169" s="766"/>
      <c r="GP169" s="766"/>
      <c r="GQ169" s="766"/>
      <c r="GR169" s="766"/>
      <c r="GS169" s="766"/>
      <c r="GT169" s="766"/>
      <c r="GU169" s="766"/>
      <c r="GV169" s="766"/>
      <c r="GW169" s="766"/>
      <c r="GX169" s="766"/>
      <c r="GY169" s="766"/>
      <c r="GZ169" s="766"/>
      <c r="HA169" s="766"/>
      <c r="HB169" s="766"/>
      <c r="HC169" s="766"/>
      <c r="HD169" s="766"/>
      <c r="HE169" s="766"/>
      <c r="HF169" s="766"/>
      <c r="HG169" s="766"/>
      <c r="HH169" s="766"/>
      <c r="HI169" s="766"/>
      <c r="HJ169" s="766"/>
      <c r="HK169" s="766"/>
      <c r="HL169" s="766"/>
      <c r="HM169" s="766"/>
      <c r="HN169" s="766"/>
      <c r="HO169" s="766"/>
      <c r="HP169" s="766"/>
      <c r="HQ169" s="766"/>
      <c r="HR169" s="766"/>
      <c r="HS169" s="766"/>
      <c r="HT169" s="766"/>
      <c r="HU169" s="766"/>
      <c r="HV169" s="766"/>
      <c r="HW169" s="766"/>
      <c r="HX169" s="766"/>
      <c r="HY169" s="766"/>
      <c r="HZ169" s="766"/>
      <c r="IA169" s="766"/>
      <c r="IB169" s="766"/>
      <c r="IC169" s="766" t="s">
        <v>1207</v>
      </c>
      <c r="ID169" s="766">
        <v>1</v>
      </c>
      <c r="IE169" s="766"/>
      <c r="IF169" s="1828" t="s">
        <v>1957</v>
      </c>
      <c r="IG169" s="766" t="s">
        <v>18</v>
      </c>
      <c r="IH169" s="766" t="s">
        <v>478</v>
      </c>
      <c r="II169" s="766" t="s">
        <v>830</v>
      </c>
      <c r="IJ169" s="766" t="s">
        <v>1604</v>
      </c>
      <c r="IK169" s="766" t="s">
        <v>1888</v>
      </c>
      <c r="IL169" s="766" t="s">
        <v>1148</v>
      </c>
      <c r="IM169" s="766" t="s">
        <v>1958</v>
      </c>
      <c r="IN169" s="766" t="s">
        <v>1148</v>
      </c>
      <c r="IO169" s="24">
        <v>16129</v>
      </c>
      <c r="IP169" s="766" t="s">
        <v>478</v>
      </c>
      <c r="IQ169" s="769" t="s">
        <v>5498</v>
      </c>
      <c r="IR169" s="770" t="s">
        <v>2716</v>
      </c>
      <c r="IS169" s="766" t="s">
        <v>1883</v>
      </c>
      <c r="IT169" s="766" t="s">
        <v>1208</v>
      </c>
      <c r="IU169" s="766"/>
      <c r="IV169" s="766" t="s">
        <v>1959</v>
      </c>
      <c r="IW169" s="766" t="s">
        <v>1148</v>
      </c>
      <c r="IX169" s="766"/>
      <c r="IY169" s="766" t="s">
        <v>1620</v>
      </c>
      <c r="IZ169" s="766"/>
      <c r="JA169" s="766"/>
      <c r="JB169" s="766"/>
      <c r="JC169" s="766" t="s">
        <v>12778</v>
      </c>
      <c r="JD169" s="775">
        <v>3800</v>
      </c>
      <c r="JE169" s="766">
        <v>1</v>
      </c>
      <c r="JF169" s="766"/>
      <c r="JG169" s="766"/>
      <c r="JH169" s="766"/>
      <c r="JI169" s="766"/>
      <c r="JJ169" s="766">
        <v>2</v>
      </c>
      <c r="JK169" s="766" t="s">
        <v>13224</v>
      </c>
      <c r="JL169" s="766" t="s">
        <v>110</v>
      </c>
      <c r="JM169" s="766"/>
      <c r="JN169" s="766"/>
      <c r="JO169" s="766">
        <v>2</v>
      </c>
      <c r="JP169" s="766"/>
      <c r="JQ169" s="766"/>
      <c r="JR169" s="766"/>
      <c r="JS169" s="766"/>
      <c r="JT169" s="766">
        <f t="shared" si="42"/>
        <v>0</v>
      </c>
      <c r="JU169" s="766">
        <f t="shared" si="42"/>
        <v>2</v>
      </c>
      <c r="JV169" s="766"/>
      <c r="JW169" s="766"/>
      <c r="JX169" s="766"/>
      <c r="JY169" s="766"/>
      <c r="JZ169" s="766"/>
      <c r="KA169" s="766"/>
      <c r="KB169" s="766"/>
      <c r="KC169" s="766">
        <v>1</v>
      </c>
      <c r="KD169" s="766"/>
      <c r="KE169" s="766"/>
      <c r="KF169" s="766"/>
      <c r="KG169" s="766">
        <v>1</v>
      </c>
      <c r="KH169" s="766"/>
      <c r="KI169" s="766"/>
      <c r="KJ169" s="770">
        <f t="shared" si="38"/>
        <v>0</v>
      </c>
      <c r="KK169" s="770">
        <f t="shared" si="38"/>
        <v>2</v>
      </c>
      <c r="KL169" s="770"/>
      <c r="KM169" s="770"/>
      <c r="KN169" s="766" t="s">
        <v>719</v>
      </c>
      <c r="KO169" s="766"/>
      <c r="KP169" s="766"/>
      <c r="KQ169" s="766"/>
      <c r="KR169" s="766"/>
      <c r="KS169" s="766"/>
      <c r="KT169" s="766"/>
      <c r="KU169" s="766"/>
      <c r="KV169" s="766"/>
      <c r="KW169" s="766"/>
      <c r="KX169" s="766"/>
      <c r="KY169" s="766"/>
      <c r="KZ169" s="766"/>
      <c r="LA169" s="766"/>
      <c r="LB169" s="766"/>
      <c r="LC169" s="766">
        <v>1</v>
      </c>
      <c r="LD169" s="766"/>
      <c r="LE169" s="766">
        <v>1</v>
      </c>
      <c r="LF169" s="766"/>
      <c r="LG169" s="766"/>
      <c r="LH169" s="766"/>
      <c r="LI169" s="766"/>
      <c r="LJ169" s="766"/>
      <c r="LK169" s="766"/>
      <c r="LL169" s="766"/>
      <c r="LM169" s="766"/>
      <c r="LN169" s="766">
        <f t="shared" si="39"/>
        <v>0</v>
      </c>
      <c r="LO169" s="766">
        <f t="shared" si="39"/>
        <v>2</v>
      </c>
      <c r="LP169" s="766">
        <v>1</v>
      </c>
      <c r="LQ169" s="766">
        <v>1</v>
      </c>
      <c r="LR169" s="766"/>
      <c r="LS169" s="766"/>
      <c r="LT169" s="766"/>
      <c r="LU169" s="766"/>
      <c r="LV169" s="766"/>
      <c r="LW169" s="766"/>
      <c r="LX169" s="769">
        <v>1</v>
      </c>
      <c r="LY169" s="766" t="str">
        <f t="shared" si="43"/>
        <v>within the BRGY</v>
      </c>
      <c r="LZ169" s="66"/>
      <c r="MA169" s="766"/>
      <c r="MB169" s="766"/>
      <c r="MC169" s="1679">
        <f t="shared" si="41"/>
        <v>0</v>
      </c>
      <c r="MD169" s="66"/>
      <c r="ME169" s="66">
        <v>60000</v>
      </c>
      <c r="MF169" s="66"/>
      <c r="MG169" s="1680">
        <f t="shared" si="34"/>
        <v>60000</v>
      </c>
      <c r="MH169" s="766"/>
      <c r="MI169" s="775">
        <v>6000</v>
      </c>
      <c r="MJ169" s="775"/>
      <c r="MK169" s="775">
        <v>2000</v>
      </c>
      <c r="ML169" s="775">
        <v>4000</v>
      </c>
      <c r="MM169" s="775"/>
      <c r="MN169" s="775"/>
      <c r="MO169" s="775"/>
      <c r="MP169" s="775">
        <v>12000</v>
      </c>
      <c r="MQ169" s="775">
        <v>520</v>
      </c>
      <c r="MR169" s="775">
        <v>6000</v>
      </c>
      <c r="MS169" s="775"/>
      <c r="MT169" s="775"/>
      <c r="MU169" s="775"/>
      <c r="MV169" s="775"/>
      <c r="MW169" s="775"/>
      <c r="MX169" s="775"/>
      <c r="MY169" s="1682">
        <f t="shared" si="35"/>
        <v>30520</v>
      </c>
      <c r="MZ169" s="766" t="s">
        <v>13004</v>
      </c>
      <c r="NA169" s="766" t="s">
        <v>13005</v>
      </c>
      <c r="NB169" s="766" t="s">
        <v>13016</v>
      </c>
      <c r="NC169" s="766" t="s">
        <v>13007</v>
      </c>
      <c r="ND169" s="766">
        <v>0</v>
      </c>
      <c r="NE169" s="766">
        <v>0</v>
      </c>
      <c r="NF169" s="766">
        <v>0</v>
      </c>
      <c r="NG169" s="766">
        <v>5</v>
      </c>
      <c r="NH169" s="766">
        <v>3</v>
      </c>
      <c r="NI169" s="766">
        <v>0</v>
      </c>
      <c r="NJ169" s="766">
        <v>0</v>
      </c>
      <c r="NK169" s="766">
        <v>0</v>
      </c>
      <c r="NL169" s="766">
        <v>1</v>
      </c>
      <c r="NM169" s="766">
        <v>1</v>
      </c>
      <c r="NN169" s="766">
        <v>1</v>
      </c>
      <c r="NO169" s="766">
        <v>0</v>
      </c>
      <c r="NP169" s="766">
        <v>1</v>
      </c>
      <c r="NQ169" s="766">
        <v>1</v>
      </c>
      <c r="NR169" s="766">
        <v>0</v>
      </c>
      <c r="NS169" s="766">
        <v>0</v>
      </c>
      <c r="NT169" s="766">
        <v>0</v>
      </c>
      <c r="NU169" s="766">
        <v>0</v>
      </c>
      <c r="NV169" s="766">
        <v>0</v>
      </c>
      <c r="NW169" s="766">
        <v>0</v>
      </c>
      <c r="NX169" s="766">
        <v>0</v>
      </c>
      <c r="NY169" s="766" t="s">
        <v>1208</v>
      </c>
      <c r="NZ169" s="766" t="s">
        <v>1208</v>
      </c>
      <c r="OA169" s="766" t="s">
        <v>1208</v>
      </c>
      <c r="OB169" s="766" t="s">
        <v>1208</v>
      </c>
      <c r="OC169" s="766" t="s">
        <v>1208</v>
      </c>
      <c r="OD169" s="766" t="s">
        <v>1208</v>
      </c>
      <c r="OE169" s="766"/>
      <c r="OF169" s="1834" t="s">
        <v>13034</v>
      </c>
      <c r="OG169" s="766"/>
      <c r="OH169" s="766"/>
      <c r="OI169" s="766"/>
      <c r="OJ169" s="766"/>
      <c r="OK169" s="1828" t="s">
        <v>1208</v>
      </c>
      <c r="OL169" s="1828" t="s">
        <v>1824</v>
      </c>
      <c r="OM169" s="766" t="s">
        <v>13225</v>
      </c>
      <c r="ON169" s="766"/>
      <c r="OO169" s="766" t="s">
        <v>1207</v>
      </c>
      <c r="OP169" s="766" t="s">
        <v>13226</v>
      </c>
      <c r="OQ169" s="766" t="s">
        <v>13227</v>
      </c>
      <c r="OR169" s="766"/>
      <c r="OS169" s="766" t="s">
        <v>13228</v>
      </c>
      <c r="OT169" s="766"/>
      <c r="OU169" s="766"/>
      <c r="OV169" s="766" t="s">
        <v>1208</v>
      </c>
      <c r="OW169" s="766"/>
      <c r="OX169" s="766"/>
      <c r="OY169" s="766"/>
      <c r="OZ169" s="766"/>
      <c r="PA169" s="766"/>
      <c r="PB169" s="766"/>
      <c r="PC169" s="766"/>
      <c r="PD169" s="766"/>
      <c r="PE169" s="766"/>
      <c r="PF169" s="766"/>
      <c r="PG169" s="766"/>
      <c r="PH169" s="766"/>
      <c r="PI169" s="766"/>
      <c r="PJ169" s="766"/>
      <c r="PK169" s="766"/>
      <c r="PL169" s="766"/>
      <c r="PM169" s="766"/>
      <c r="PN169" s="766" t="s">
        <v>1208</v>
      </c>
      <c r="PO169" s="766"/>
      <c r="PP169" s="766"/>
      <c r="PQ169" s="766"/>
      <c r="PR169" s="766"/>
      <c r="PS169" s="766"/>
      <c r="PT169" s="766"/>
      <c r="PU169" s="766"/>
      <c r="PV169" s="766"/>
      <c r="PW169" s="766"/>
      <c r="PX169" s="766"/>
      <c r="PY169" s="766"/>
      <c r="PZ169" s="766"/>
      <c r="QA169" s="766"/>
      <c r="QB169" s="766"/>
      <c r="QC169" s="766"/>
      <c r="QD169" s="766"/>
      <c r="QE169" s="766"/>
      <c r="QF169" s="766"/>
      <c r="QG169" s="766"/>
      <c r="QH169" s="766"/>
      <c r="QI169" s="766"/>
      <c r="QJ169" s="766"/>
      <c r="QK169" s="766"/>
      <c r="QL169" s="766"/>
      <c r="QM169" s="766"/>
      <c r="QN169" s="766"/>
      <c r="QO169" s="766"/>
      <c r="QP169" s="766"/>
      <c r="QQ169" s="766"/>
      <c r="QR169" s="766"/>
      <c r="QS169" s="766"/>
      <c r="QT169" s="766"/>
      <c r="QU169" s="766"/>
      <c r="QV169" s="766"/>
      <c r="QW169" s="766"/>
      <c r="QX169" s="766"/>
      <c r="QY169" s="766"/>
      <c r="QZ169" s="766"/>
      <c r="RA169" s="766"/>
      <c r="RB169" s="766"/>
      <c r="RC169" s="766"/>
      <c r="RD169" s="766"/>
      <c r="RE169" s="766"/>
      <c r="RF169" s="777"/>
      <c r="RG169" s="766"/>
      <c r="RH169" s="775"/>
      <c r="RI169" s="766"/>
      <c r="RJ169" s="766" t="s">
        <v>1148</v>
      </c>
      <c r="RK169" s="766" t="s">
        <v>13206</v>
      </c>
      <c r="RL169" s="1683"/>
      <c r="RM169" s="12"/>
      <c r="RN169" s="1711"/>
      <c r="RO169" s="171" t="s">
        <v>257</v>
      </c>
      <c r="RP169" s="11"/>
      <c r="RQ169" s="11"/>
      <c r="RR169" s="771"/>
      <c r="RS169" s="766"/>
      <c r="RT169" s="11"/>
      <c r="RU169" s="11"/>
      <c r="RV169" s="766" t="s">
        <v>7419</v>
      </c>
      <c r="RW169" s="11" t="s">
        <v>7518</v>
      </c>
      <c r="RX169" s="11" t="s">
        <v>253</v>
      </c>
      <c r="RY169" s="11"/>
      <c r="RZ169" s="11" t="s">
        <v>7419</v>
      </c>
      <c r="SA169" s="766"/>
      <c r="SB169" s="11"/>
      <c r="SC169" s="11"/>
    </row>
    <row r="170" spans="1:497" ht="12.75" hidden="1" customHeight="1">
      <c r="A170" s="767" t="s">
        <v>12439</v>
      </c>
      <c r="B170" s="288" t="s">
        <v>7520</v>
      </c>
      <c r="C170" s="171" t="s">
        <v>260</v>
      </c>
      <c r="D170" s="14" t="s">
        <v>261</v>
      </c>
      <c r="E170" s="766" t="s">
        <v>5442</v>
      </c>
      <c r="F170" s="766" t="s">
        <v>831</v>
      </c>
      <c r="G170" s="766" t="s">
        <v>10</v>
      </c>
      <c r="H170" s="766"/>
      <c r="I170" s="5"/>
      <c r="J170" s="766" t="s">
        <v>831</v>
      </c>
      <c r="K170" s="766"/>
      <c r="L170" s="766"/>
      <c r="M170" s="766"/>
      <c r="N170" s="766"/>
      <c r="O170" s="766"/>
      <c r="P170" s="766" t="s">
        <v>831</v>
      </c>
      <c r="Q170" s="1085">
        <v>17684</v>
      </c>
      <c r="R170" s="25">
        <v>68</v>
      </c>
      <c r="S170" s="766" t="s">
        <v>10</v>
      </c>
      <c r="T170" s="766"/>
      <c r="U170" s="26" t="s">
        <v>832</v>
      </c>
      <c r="V170" s="766" t="s">
        <v>719</v>
      </c>
      <c r="W170" s="766"/>
      <c r="X170" s="766"/>
      <c r="Y170" s="766" t="s">
        <v>833</v>
      </c>
      <c r="Z170" s="766" t="s">
        <v>708</v>
      </c>
      <c r="AA170" s="766" t="s">
        <v>709</v>
      </c>
      <c r="AB170" s="766" t="s">
        <v>7273</v>
      </c>
      <c r="AC170" s="766"/>
      <c r="AD170" s="766" t="s">
        <v>711</v>
      </c>
      <c r="AE170" s="766"/>
      <c r="AF170" s="766" t="s">
        <v>712</v>
      </c>
      <c r="AG170" s="766"/>
      <c r="AH170" s="766"/>
      <c r="AI170" s="766"/>
      <c r="AJ170" s="766"/>
      <c r="AK170" s="766" t="s">
        <v>1899</v>
      </c>
      <c r="AL170" s="121"/>
      <c r="AM170" s="772"/>
      <c r="AN170" s="774"/>
      <c r="AO170" s="766"/>
      <c r="AP170" s="766"/>
      <c r="AQ170" s="766"/>
      <c r="AR170" s="766"/>
      <c r="AS170" s="766"/>
      <c r="AT170" s="766"/>
      <c r="AU170" s="766"/>
      <c r="AV170" s="766"/>
      <c r="AW170" s="766"/>
      <c r="AX170" s="766"/>
      <c r="AY170" s="766"/>
      <c r="AZ170" s="766"/>
      <c r="BA170" s="766"/>
      <c r="BB170" s="766"/>
      <c r="BC170" s="766"/>
      <c r="BD170" s="766"/>
      <c r="BE170" s="766"/>
      <c r="BF170" s="775"/>
      <c r="BG170" s="775"/>
      <c r="BH170" s="766"/>
      <c r="BI170" s="766"/>
      <c r="BJ170" s="766"/>
      <c r="BK170" s="766"/>
      <c r="BL170" s="766"/>
      <c r="BM170" s="766" t="s">
        <v>1238</v>
      </c>
      <c r="BN170" s="766" t="s">
        <v>1256</v>
      </c>
      <c r="BO170" s="766"/>
      <c r="BP170" s="776"/>
      <c r="BQ170" s="772"/>
      <c r="BR170" s="774"/>
      <c r="BS170" s="766" t="s">
        <v>1257</v>
      </c>
      <c r="BT170" s="766"/>
      <c r="BU170" s="766"/>
      <c r="BV170" s="766"/>
      <c r="BW170" s="766"/>
      <c r="BX170" s="779"/>
      <c r="BY170" s="766"/>
      <c r="BZ170" s="775"/>
      <c r="CA170" s="766"/>
      <c r="CB170" s="766"/>
      <c r="CC170" s="766"/>
      <c r="CD170" s="766"/>
      <c r="CE170" s="766"/>
      <c r="CF170" s="777"/>
      <c r="CG170" s="778"/>
      <c r="CH170" s="766"/>
      <c r="CI170" s="766"/>
      <c r="CJ170" s="766"/>
      <c r="CK170" s="766"/>
      <c r="CL170" s="766"/>
      <c r="CM170" s="766"/>
      <c r="CN170" s="766"/>
      <c r="CO170" s="766"/>
      <c r="CP170" s="766"/>
      <c r="CQ170" s="766"/>
      <c r="CR170" s="775"/>
      <c r="CS170" s="766"/>
      <c r="CT170" s="766"/>
      <c r="CU170" s="129"/>
      <c r="CV170" s="766"/>
      <c r="CW170" s="766"/>
      <c r="CX170" s="766"/>
      <c r="CY170" s="766"/>
      <c r="CZ170" s="766"/>
      <c r="DA170" s="766"/>
      <c r="DB170" s="766"/>
      <c r="DC170" s="766"/>
      <c r="DD170" s="766"/>
      <c r="DE170" s="766"/>
      <c r="DF170" s="766"/>
      <c r="DG170" s="766"/>
      <c r="DH170" s="766"/>
      <c r="DI170" s="766"/>
      <c r="DJ170" s="766"/>
      <c r="DK170" s="766"/>
      <c r="DL170" s="766"/>
      <c r="DM170" s="766"/>
      <c r="DN170" s="766"/>
      <c r="DO170" s="766"/>
      <c r="DP170" s="766"/>
      <c r="DQ170" s="766"/>
      <c r="DR170" s="766"/>
      <c r="DS170" s="59"/>
      <c r="DT170" s="766"/>
      <c r="DU170" s="766"/>
      <c r="DV170" s="766"/>
      <c r="DW170" s="66"/>
      <c r="DX170" s="66"/>
      <c r="DY170" s="766"/>
      <c r="DZ170" s="766"/>
      <c r="EA170" s="766"/>
      <c r="EB170" s="766"/>
      <c r="EC170" s="766"/>
      <c r="ED170" s="766"/>
      <c r="EE170" s="766"/>
      <c r="EF170" s="766"/>
      <c r="EG170" s="766"/>
      <c r="EH170" s="766"/>
      <c r="EI170" s="766"/>
      <c r="EJ170" s="766"/>
      <c r="EK170" s="766"/>
      <c r="EL170" s="766"/>
      <c r="EM170" s="766"/>
      <c r="EN170" s="766"/>
      <c r="EO170" s="766"/>
      <c r="EP170" s="766"/>
      <c r="EQ170" s="766"/>
      <c r="ER170" s="766"/>
      <c r="ES170" s="766"/>
      <c r="ET170" s="766"/>
      <c r="EU170" s="766"/>
      <c r="EV170" s="766"/>
      <c r="EW170" s="766"/>
      <c r="EX170" s="766"/>
      <c r="EY170" s="766"/>
      <c r="EZ170" s="766"/>
      <c r="FA170" s="766"/>
      <c r="FB170" s="766"/>
      <c r="FC170" s="766"/>
      <c r="FD170" s="775"/>
      <c r="FE170" s="766"/>
      <c r="FF170" s="766"/>
      <c r="FG170" s="766"/>
      <c r="FH170" s="766" t="s">
        <v>1306</v>
      </c>
      <c r="FI170" s="766">
        <v>1</v>
      </c>
      <c r="FJ170" s="766" t="s">
        <v>1148</v>
      </c>
      <c r="FK170" s="766" t="s">
        <v>1620</v>
      </c>
      <c r="FL170" s="766" t="s">
        <v>830</v>
      </c>
      <c r="FM170" s="147">
        <v>3000</v>
      </c>
      <c r="FN170" s="775">
        <v>317</v>
      </c>
      <c r="FO170" s="775">
        <v>700</v>
      </c>
      <c r="FP170" s="766" t="s">
        <v>1602</v>
      </c>
      <c r="FQ170" s="766" t="s">
        <v>1660</v>
      </c>
      <c r="FR170" s="766"/>
      <c r="FS170" s="766"/>
      <c r="FT170" s="766"/>
      <c r="FU170" s="766"/>
      <c r="FV170" s="766"/>
      <c r="FW170" s="766"/>
      <c r="FX170" s="766"/>
      <c r="FY170" s="766"/>
      <c r="FZ170" s="766" t="s">
        <v>1208</v>
      </c>
      <c r="GA170" s="766"/>
      <c r="GB170" s="766"/>
      <c r="GC170" s="75"/>
      <c r="GD170" s="25"/>
      <c r="GE170" s="766"/>
      <c r="GF170" s="775"/>
      <c r="GG170" s="775"/>
      <c r="GH170" s="766"/>
      <c r="GI170" s="766"/>
      <c r="GJ170" s="766"/>
      <c r="GK170" s="766"/>
      <c r="GL170" s="766"/>
      <c r="GM170" s="766"/>
      <c r="GN170" s="82"/>
      <c r="GO170" s="766"/>
      <c r="GP170" s="766"/>
      <c r="GQ170" s="766"/>
      <c r="GR170" s="766"/>
      <c r="GS170" s="766"/>
      <c r="GT170" s="766"/>
      <c r="GU170" s="766"/>
      <c r="GV170" s="766"/>
      <c r="GW170" s="766"/>
      <c r="GX170" s="766"/>
      <c r="GY170" s="766"/>
      <c r="GZ170" s="766"/>
      <c r="HA170" s="766"/>
      <c r="HB170" s="766"/>
      <c r="HC170" s="766"/>
      <c r="HD170" s="766"/>
      <c r="HE170" s="766"/>
      <c r="HF170" s="766"/>
      <c r="HG170" s="766"/>
      <c r="HH170" s="766"/>
      <c r="HI170" s="766"/>
      <c r="HJ170" s="766"/>
      <c r="HK170" s="766"/>
      <c r="HL170" s="766"/>
      <c r="HM170" s="766"/>
      <c r="HN170" s="766"/>
      <c r="HO170" s="766"/>
      <c r="HP170" s="766"/>
      <c r="HQ170" s="766"/>
      <c r="HR170" s="766"/>
      <c r="HS170" s="766"/>
      <c r="HT170" s="766"/>
      <c r="HU170" s="766"/>
      <c r="HV170" s="766"/>
      <c r="HW170" s="766"/>
      <c r="HX170" s="766"/>
      <c r="HY170" s="766"/>
      <c r="HZ170" s="766"/>
      <c r="IA170" s="766"/>
      <c r="IB170" s="766" t="s">
        <v>1207</v>
      </c>
      <c r="IC170" s="766"/>
      <c r="ID170" s="766">
        <v>1</v>
      </c>
      <c r="IE170" s="766">
        <v>1</v>
      </c>
      <c r="IF170" s="766"/>
      <c r="IG170" s="766"/>
      <c r="IH170" s="766"/>
      <c r="II170" s="766"/>
      <c r="IJ170" s="766"/>
      <c r="IK170" s="766"/>
      <c r="IL170" s="766"/>
      <c r="IM170" s="766"/>
      <c r="IN170" s="766"/>
      <c r="IO170" s="24"/>
      <c r="IP170" s="766"/>
      <c r="IQ170" s="766"/>
      <c r="IR170" s="766"/>
      <c r="IS170" s="766"/>
      <c r="IT170" s="766"/>
      <c r="IU170" s="766"/>
      <c r="IV170" s="766"/>
      <c r="IW170" s="766"/>
      <c r="IX170" s="766"/>
      <c r="IY170" s="766"/>
      <c r="IZ170" s="766"/>
      <c r="JA170" s="766"/>
      <c r="JB170" s="766"/>
      <c r="JC170" s="766"/>
      <c r="JD170" s="775"/>
      <c r="JE170" s="766"/>
      <c r="JF170" s="766"/>
      <c r="JG170" s="766"/>
      <c r="JH170" s="766"/>
      <c r="JI170" s="766"/>
      <c r="JJ170" s="766">
        <v>5</v>
      </c>
      <c r="JK170" s="766" t="s">
        <v>13229</v>
      </c>
      <c r="JL170" s="766"/>
      <c r="JM170" s="766"/>
      <c r="JN170" s="766">
        <v>1</v>
      </c>
      <c r="JO170" s="766">
        <v>3</v>
      </c>
      <c r="JP170" s="766">
        <v>1</v>
      </c>
      <c r="JQ170" s="766"/>
      <c r="JR170" s="766"/>
      <c r="JS170" s="766"/>
      <c r="JT170" s="766">
        <f t="shared" si="42"/>
        <v>2</v>
      </c>
      <c r="JU170" s="766">
        <f t="shared" si="42"/>
        <v>3</v>
      </c>
      <c r="JV170" s="766"/>
      <c r="JW170" s="766"/>
      <c r="JX170" s="766"/>
      <c r="JY170" s="766"/>
      <c r="JZ170" s="766"/>
      <c r="KA170" s="766"/>
      <c r="KB170" s="766"/>
      <c r="KC170" s="766">
        <v>3</v>
      </c>
      <c r="KD170" s="766">
        <v>1</v>
      </c>
      <c r="KE170" s="766"/>
      <c r="KF170" s="766">
        <v>1</v>
      </c>
      <c r="KG170" s="766"/>
      <c r="KH170" s="766"/>
      <c r="KI170" s="766"/>
      <c r="KJ170" s="770">
        <f t="shared" si="38"/>
        <v>2</v>
      </c>
      <c r="KK170" s="770">
        <f t="shared" si="38"/>
        <v>3</v>
      </c>
      <c r="KL170" s="770"/>
      <c r="KM170" s="770"/>
      <c r="KN170" s="766" t="s">
        <v>722</v>
      </c>
      <c r="KO170" s="766"/>
      <c r="KP170" s="766"/>
      <c r="KQ170" s="766"/>
      <c r="KR170" s="766"/>
      <c r="KS170" s="766"/>
      <c r="KT170" s="766">
        <v>1</v>
      </c>
      <c r="KU170" s="766"/>
      <c r="KV170" s="766"/>
      <c r="KW170" s="766"/>
      <c r="KX170" s="766"/>
      <c r="KY170" s="766">
        <v>1</v>
      </c>
      <c r="KZ170" s="766">
        <v>1</v>
      </c>
      <c r="LA170" s="766">
        <v>1</v>
      </c>
      <c r="LB170" s="766"/>
      <c r="LC170" s="766"/>
      <c r="LD170" s="766"/>
      <c r="LE170" s="766">
        <v>1</v>
      </c>
      <c r="LF170" s="766"/>
      <c r="LG170" s="766"/>
      <c r="LH170" s="766"/>
      <c r="LI170" s="766"/>
      <c r="LJ170" s="766"/>
      <c r="LK170" s="766"/>
      <c r="LL170" s="766"/>
      <c r="LM170" s="766"/>
      <c r="LN170" s="766">
        <f t="shared" si="39"/>
        <v>2</v>
      </c>
      <c r="LO170" s="766">
        <f t="shared" si="39"/>
        <v>3</v>
      </c>
      <c r="LP170" s="766">
        <v>2</v>
      </c>
      <c r="LQ170" s="766">
        <v>2</v>
      </c>
      <c r="LR170" s="766"/>
      <c r="LS170" s="766"/>
      <c r="LT170" s="766"/>
      <c r="LU170" s="766"/>
      <c r="LV170" s="766">
        <v>2</v>
      </c>
      <c r="LW170" s="766"/>
      <c r="LX170" s="769">
        <v>0</v>
      </c>
      <c r="LY170" s="766">
        <f t="shared" si="43"/>
        <v>0</v>
      </c>
      <c r="LZ170" s="66"/>
      <c r="MA170" s="766"/>
      <c r="MB170" s="766"/>
      <c r="MC170" s="1679">
        <f t="shared" si="41"/>
        <v>0</v>
      </c>
      <c r="MD170" s="66">
        <v>2000</v>
      </c>
      <c r="ME170" s="66"/>
      <c r="MF170" s="66"/>
      <c r="MG170" s="1680">
        <f t="shared" si="34"/>
        <v>2000</v>
      </c>
      <c r="MH170" s="766"/>
      <c r="MI170" s="775">
        <v>6000</v>
      </c>
      <c r="MJ170" s="775">
        <v>1800</v>
      </c>
      <c r="MK170" s="775">
        <v>300</v>
      </c>
      <c r="ML170" s="775">
        <v>600</v>
      </c>
      <c r="MM170" s="775"/>
      <c r="MN170" s="775">
        <v>3000</v>
      </c>
      <c r="MO170" s="775">
        <v>200</v>
      </c>
      <c r="MP170" s="775">
        <v>700</v>
      </c>
      <c r="MQ170" s="775">
        <v>450</v>
      </c>
      <c r="MR170" s="775">
        <v>317</v>
      </c>
      <c r="MS170" s="775">
        <v>500</v>
      </c>
      <c r="MT170" s="775"/>
      <c r="MU170" s="775"/>
      <c r="MV170" s="775"/>
      <c r="MW170" s="775"/>
      <c r="MX170" s="775"/>
      <c r="MY170" s="1682">
        <f t="shared" si="35"/>
        <v>13867</v>
      </c>
      <c r="MZ170" s="766" t="s">
        <v>13004</v>
      </c>
      <c r="NA170" s="766" t="s">
        <v>13230</v>
      </c>
      <c r="NB170" s="766" t="s">
        <v>13006</v>
      </c>
      <c r="NC170" s="766" t="s">
        <v>13007</v>
      </c>
      <c r="ND170" s="766">
        <v>0</v>
      </c>
      <c r="NE170" s="766">
        <v>0</v>
      </c>
      <c r="NF170" s="766">
        <v>0</v>
      </c>
      <c r="NG170" s="766">
        <v>2</v>
      </c>
      <c r="NH170" s="766">
        <v>2</v>
      </c>
      <c r="NI170" s="766">
        <v>1</v>
      </c>
      <c r="NJ170" s="766">
        <v>0</v>
      </c>
      <c r="NK170" s="766">
        <v>0</v>
      </c>
      <c r="NL170" s="766">
        <v>0</v>
      </c>
      <c r="NM170" s="766">
        <v>1</v>
      </c>
      <c r="NN170" s="766">
        <v>0</v>
      </c>
      <c r="NO170" s="766">
        <v>0</v>
      </c>
      <c r="NP170" s="766">
        <v>0</v>
      </c>
      <c r="NQ170" s="766">
        <v>1</v>
      </c>
      <c r="NR170" s="766">
        <v>1</v>
      </c>
      <c r="NS170" s="766">
        <v>0</v>
      </c>
      <c r="NT170" s="766">
        <v>0</v>
      </c>
      <c r="NU170" s="766">
        <v>0</v>
      </c>
      <c r="NV170" s="766">
        <v>0</v>
      </c>
      <c r="NW170" s="766">
        <v>0</v>
      </c>
      <c r="NX170" s="766">
        <v>0</v>
      </c>
      <c r="NY170" s="766"/>
      <c r="NZ170" s="766"/>
      <c r="OA170" s="766"/>
      <c r="OB170" s="766"/>
      <c r="OC170" s="766"/>
      <c r="OD170" s="766"/>
      <c r="OE170" s="766"/>
      <c r="OF170" s="766" t="s">
        <v>13231</v>
      </c>
      <c r="OG170" s="12"/>
      <c r="OH170" s="766" t="s">
        <v>13137</v>
      </c>
      <c r="OI170" s="766" t="s">
        <v>13232</v>
      </c>
      <c r="OJ170" s="12"/>
      <c r="OK170" s="766"/>
      <c r="OL170" s="766" t="s">
        <v>13137</v>
      </c>
      <c r="OM170" s="766" t="s">
        <v>13233</v>
      </c>
      <c r="ON170" s="12"/>
      <c r="OO170" s="766" t="s">
        <v>1207</v>
      </c>
      <c r="OP170" s="766" t="s">
        <v>13234</v>
      </c>
      <c r="OQ170" s="766" t="s">
        <v>13235</v>
      </c>
      <c r="OR170" s="766"/>
      <c r="OS170" s="766" t="s">
        <v>13236</v>
      </c>
      <c r="OT170" s="766"/>
      <c r="OU170" s="766"/>
      <c r="OV170" s="766" t="s">
        <v>1208</v>
      </c>
      <c r="OW170" s="766" t="s">
        <v>1208</v>
      </c>
      <c r="OX170" s="766"/>
      <c r="OY170" s="766"/>
      <c r="OZ170" s="766"/>
      <c r="PA170" s="766" t="s">
        <v>1208</v>
      </c>
      <c r="PB170" s="766"/>
      <c r="PC170" s="766"/>
      <c r="PD170" s="766"/>
      <c r="PE170" s="766"/>
      <c r="PF170" s="766"/>
      <c r="PG170" s="766"/>
      <c r="PH170" s="766"/>
      <c r="PI170" s="766"/>
      <c r="PJ170" s="766"/>
      <c r="PK170" s="766"/>
      <c r="PL170" s="766"/>
      <c r="PM170" s="766"/>
      <c r="PN170" s="766"/>
      <c r="PO170" s="766"/>
      <c r="PP170" s="766"/>
      <c r="PQ170" s="766"/>
      <c r="PR170" s="766"/>
      <c r="PS170" s="766" t="s">
        <v>1208</v>
      </c>
      <c r="PT170" s="766" t="s">
        <v>1208</v>
      </c>
      <c r="PU170" s="766"/>
      <c r="PV170" s="766"/>
      <c r="PW170" s="766"/>
      <c r="PX170" s="766"/>
      <c r="PY170" s="766"/>
      <c r="PZ170" s="766"/>
      <c r="QA170" s="766"/>
      <c r="QB170" s="766"/>
      <c r="QC170" s="766"/>
      <c r="QD170" s="766"/>
      <c r="QE170" s="766"/>
      <c r="QF170" s="766"/>
      <c r="QG170" s="766"/>
      <c r="QH170" s="766"/>
      <c r="QI170" s="766"/>
      <c r="QJ170" s="766"/>
      <c r="QK170" s="766"/>
      <c r="QL170" s="766"/>
      <c r="QM170" s="766"/>
      <c r="QN170" s="766"/>
      <c r="QO170" s="766"/>
      <c r="QP170" s="766"/>
      <c r="QQ170" s="766"/>
      <c r="QR170" s="766"/>
      <c r="QS170" s="766"/>
      <c r="QT170" s="766"/>
      <c r="QU170" s="766"/>
      <c r="QV170" s="766"/>
      <c r="QW170" s="766"/>
      <c r="QX170" s="766"/>
      <c r="QY170" s="766"/>
      <c r="QZ170" s="766"/>
      <c r="RA170" s="766"/>
      <c r="RB170" s="770" t="s">
        <v>1207</v>
      </c>
      <c r="RC170" s="766">
        <v>2016</v>
      </c>
      <c r="RD170" s="766" t="s">
        <v>13223</v>
      </c>
      <c r="RE170" s="766" t="s">
        <v>13008</v>
      </c>
      <c r="RF170" s="777">
        <f>CONVERT(1,"ft","m")</f>
        <v>0.30480000000000002</v>
      </c>
      <c r="RG170" s="766" t="s">
        <v>13000</v>
      </c>
      <c r="RH170" s="775">
        <v>0</v>
      </c>
      <c r="RI170" s="766">
        <v>1</v>
      </c>
      <c r="RJ170" s="766" t="s">
        <v>13229</v>
      </c>
      <c r="RK170" s="766" t="s">
        <v>13206</v>
      </c>
      <c r="RL170" s="1683"/>
      <c r="RM170" s="12"/>
      <c r="RN170" s="1711"/>
      <c r="RO170" s="171" t="s">
        <v>260</v>
      </c>
      <c r="RP170" s="11"/>
      <c r="RQ170" s="11"/>
      <c r="RR170" s="771"/>
      <c r="RS170" s="766"/>
      <c r="RT170" s="11"/>
      <c r="RU170" s="11"/>
      <c r="RV170" s="766" t="s">
        <v>12352</v>
      </c>
      <c r="RW170" s="11" t="s">
        <v>7960</v>
      </c>
      <c r="RX170" s="11" t="s">
        <v>256</v>
      </c>
      <c r="RY170" s="11"/>
      <c r="RZ170" s="11"/>
      <c r="SA170" s="766"/>
      <c r="SB170" s="11"/>
      <c r="SC170" s="11"/>
    </row>
    <row r="171" spans="1:497" ht="12.75" hidden="1" customHeight="1">
      <c r="A171" s="767" t="s">
        <v>12439</v>
      </c>
      <c r="B171" s="288" t="s">
        <v>7521</v>
      </c>
      <c r="C171" s="171" t="s">
        <v>262</v>
      </c>
      <c r="D171" s="14" t="s">
        <v>263</v>
      </c>
      <c r="E171" s="766" t="s">
        <v>5442</v>
      </c>
      <c r="F171" s="766" t="s">
        <v>834</v>
      </c>
      <c r="G171" s="766" t="s">
        <v>10</v>
      </c>
      <c r="H171" s="766"/>
      <c r="I171" s="5" t="s">
        <v>264</v>
      </c>
      <c r="J171" s="766" t="s">
        <v>834</v>
      </c>
      <c r="K171" s="766"/>
      <c r="L171" s="766"/>
      <c r="M171" s="766"/>
      <c r="N171" s="766"/>
      <c r="O171" s="766"/>
      <c r="P171" s="766" t="s">
        <v>834</v>
      </c>
      <c r="Q171" s="1085" t="s">
        <v>835</v>
      </c>
      <c r="R171" s="25">
        <v>37</v>
      </c>
      <c r="S171" s="766" t="s">
        <v>10</v>
      </c>
      <c r="T171" s="766"/>
      <c r="U171" s="26" t="s">
        <v>836</v>
      </c>
      <c r="V171" s="766" t="s">
        <v>783</v>
      </c>
      <c r="W171" s="766"/>
      <c r="X171" s="766"/>
      <c r="Y171" s="766" t="s">
        <v>833</v>
      </c>
      <c r="Z171" s="766" t="s">
        <v>708</v>
      </c>
      <c r="AA171" s="766" t="s">
        <v>709</v>
      </c>
      <c r="AB171" s="766" t="s">
        <v>710</v>
      </c>
      <c r="AC171" s="766" t="s">
        <v>837</v>
      </c>
      <c r="AD171" s="766"/>
      <c r="AE171" s="766"/>
      <c r="AF171" s="766" t="s">
        <v>712</v>
      </c>
      <c r="AG171" s="766"/>
      <c r="AH171" s="766"/>
      <c r="AI171" s="766"/>
      <c r="AJ171" s="766"/>
      <c r="AK171" s="766" t="s">
        <v>1899</v>
      </c>
      <c r="AL171" s="121"/>
      <c r="AM171" s="772"/>
      <c r="AN171" s="774"/>
      <c r="AO171" s="766"/>
      <c r="AP171" s="766"/>
      <c r="AQ171" s="766"/>
      <c r="AR171" s="766"/>
      <c r="AS171" s="766"/>
      <c r="AT171" s="766"/>
      <c r="AU171" s="766"/>
      <c r="AV171" s="766"/>
      <c r="AW171" s="766"/>
      <c r="AX171" s="766"/>
      <c r="AY171" s="766"/>
      <c r="AZ171" s="766"/>
      <c r="BA171" s="766"/>
      <c r="BB171" s="766"/>
      <c r="BC171" s="766"/>
      <c r="BD171" s="766"/>
      <c r="BE171" s="766"/>
      <c r="BF171" s="775"/>
      <c r="BG171" s="775"/>
      <c r="BH171" s="766"/>
      <c r="BI171" s="766"/>
      <c r="BJ171" s="766"/>
      <c r="BK171" s="766"/>
      <c r="BL171" s="766"/>
      <c r="BM171" s="766" t="s">
        <v>1238</v>
      </c>
      <c r="BN171" s="766" t="s">
        <v>1256</v>
      </c>
      <c r="BO171" s="766"/>
      <c r="BP171" s="776"/>
      <c r="BQ171" s="772"/>
      <c r="BR171" s="774"/>
      <c r="BS171" s="766" t="s">
        <v>1257</v>
      </c>
      <c r="BT171" s="766"/>
      <c r="BU171" s="766"/>
      <c r="BV171" s="766"/>
      <c r="BW171" s="766"/>
      <c r="BX171" s="779"/>
      <c r="BY171" s="766"/>
      <c r="BZ171" s="775"/>
      <c r="CA171" s="766"/>
      <c r="CB171" s="766"/>
      <c r="CC171" s="766"/>
      <c r="CD171" s="766"/>
      <c r="CE171" s="766"/>
      <c r="CF171" s="777"/>
      <c r="CG171" s="778"/>
      <c r="CH171" s="766"/>
      <c r="CI171" s="766"/>
      <c r="CJ171" s="766"/>
      <c r="CK171" s="766"/>
      <c r="CL171" s="766"/>
      <c r="CM171" s="766"/>
      <c r="CN171" s="766"/>
      <c r="CO171" s="766"/>
      <c r="CP171" s="766"/>
      <c r="CQ171" s="766"/>
      <c r="CR171" s="775"/>
      <c r="CS171" s="766"/>
      <c r="CT171" s="766"/>
      <c r="CU171" s="129"/>
      <c r="CV171" s="766"/>
      <c r="CW171" s="766"/>
      <c r="CX171" s="766"/>
      <c r="CY171" s="766"/>
      <c r="CZ171" s="766"/>
      <c r="DA171" s="766"/>
      <c r="DB171" s="766"/>
      <c r="DC171" s="766"/>
      <c r="DD171" s="766"/>
      <c r="DE171" s="766"/>
      <c r="DF171" s="766"/>
      <c r="DG171" s="766"/>
      <c r="DH171" s="766"/>
      <c r="DI171" s="766"/>
      <c r="DJ171" s="766"/>
      <c r="DK171" s="766"/>
      <c r="DL171" s="766"/>
      <c r="DM171" s="766"/>
      <c r="DN171" s="766"/>
      <c r="DO171" s="766"/>
      <c r="DP171" s="766"/>
      <c r="DQ171" s="766"/>
      <c r="DR171" s="766"/>
      <c r="DS171" s="59"/>
      <c r="DT171" s="766"/>
      <c r="DU171" s="766"/>
      <c r="DV171" s="766"/>
      <c r="DW171" s="66"/>
      <c r="DX171" s="66"/>
      <c r="DY171" s="766"/>
      <c r="DZ171" s="766"/>
      <c r="EA171" s="766"/>
      <c r="EB171" s="766"/>
      <c r="EC171" s="766"/>
      <c r="ED171" s="766"/>
      <c r="EE171" s="766"/>
      <c r="EF171" s="766"/>
      <c r="EG171" s="766"/>
      <c r="EH171" s="766"/>
      <c r="EI171" s="766"/>
      <c r="EJ171" s="766"/>
      <c r="EK171" s="766"/>
      <c r="EL171" s="766"/>
      <c r="EM171" s="766"/>
      <c r="EN171" s="766"/>
      <c r="EO171" s="766"/>
      <c r="EP171" s="766"/>
      <c r="EQ171" s="766"/>
      <c r="ER171" s="766"/>
      <c r="ES171" s="766"/>
      <c r="ET171" s="766"/>
      <c r="EU171" s="766"/>
      <c r="EV171" s="766"/>
      <c r="EW171" s="766"/>
      <c r="EX171" s="766"/>
      <c r="EY171" s="766"/>
      <c r="EZ171" s="766"/>
      <c r="FA171" s="766"/>
      <c r="FB171" s="766"/>
      <c r="FC171" s="766"/>
      <c r="FD171" s="775"/>
      <c r="FE171" s="766"/>
      <c r="FF171" s="766"/>
      <c r="FG171" s="766"/>
      <c r="FH171" s="766" t="s">
        <v>1306</v>
      </c>
      <c r="FI171" s="766">
        <v>1</v>
      </c>
      <c r="FJ171" s="766" t="s">
        <v>1148</v>
      </c>
      <c r="FK171" s="766" t="s">
        <v>1620</v>
      </c>
      <c r="FL171" s="766" t="s">
        <v>830</v>
      </c>
      <c r="FM171" s="147">
        <v>3000</v>
      </c>
      <c r="FN171" s="775">
        <v>900</v>
      </c>
      <c r="FO171" s="775">
        <v>1700</v>
      </c>
      <c r="FP171" s="766" t="s">
        <v>1602</v>
      </c>
      <c r="FQ171" s="766" t="s">
        <v>1660</v>
      </c>
      <c r="FR171" s="766"/>
      <c r="FS171" s="766"/>
      <c r="FT171" s="766"/>
      <c r="FU171" s="766"/>
      <c r="FV171" s="766"/>
      <c r="FW171" s="766"/>
      <c r="FX171" s="766"/>
      <c r="FY171" s="766"/>
      <c r="FZ171" s="766"/>
      <c r="GA171" s="766"/>
      <c r="GB171" s="766"/>
      <c r="GC171" s="75"/>
      <c r="GD171" s="25"/>
      <c r="GE171" s="766"/>
      <c r="GF171" s="775"/>
      <c r="GG171" s="775"/>
      <c r="GH171" s="766"/>
      <c r="GI171" s="766"/>
      <c r="GJ171" s="766"/>
      <c r="GK171" s="766"/>
      <c r="GL171" s="766"/>
      <c r="GM171" s="766"/>
      <c r="GN171" s="82"/>
      <c r="GO171" s="766"/>
      <c r="GP171" s="766"/>
      <c r="GQ171" s="766"/>
      <c r="GR171" s="766"/>
      <c r="GS171" s="766"/>
      <c r="GT171" s="766"/>
      <c r="GU171" s="766"/>
      <c r="GV171" s="766"/>
      <c r="GW171" s="766"/>
      <c r="GX171" s="766"/>
      <c r="GY171" s="766"/>
      <c r="GZ171" s="766"/>
      <c r="HA171" s="766"/>
      <c r="HB171" s="766"/>
      <c r="HC171" s="766"/>
      <c r="HD171" s="766"/>
      <c r="HE171" s="766"/>
      <c r="HF171" s="766"/>
      <c r="HG171" s="766"/>
      <c r="HH171" s="766"/>
      <c r="HI171" s="766"/>
      <c r="HJ171" s="766"/>
      <c r="HK171" s="766"/>
      <c r="HL171" s="766"/>
      <c r="HM171" s="766"/>
      <c r="HN171" s="766"/>
      <c r="HO171" s="766"/>
      <c r="HP171" s="766"/>
      <c r="HQ171" s="766"/>
      <c r="HR171" s="766"/>
      <c r="HS171" s="766"/>
      <c r="HT171" s="766"/>
      <c r="HU171" s="766"/>
      <c r="HV171" s="766"/>
      <c r="HW171" s="766"/>
      <c r="HX171" s="766"/>
      <c r="HY171" s="766"/>
      <c r="HZ171" s="766"/>
      <c r="IA171" s="766"/>
      <c r="IB171" s="766" t="s">
        <v>1207</v>
      </c>
      <c r="IC171" s="766"/>
      <c r="ID171" s="766"/>
      <c r="IE171" s="766"/>
      <c r="IF171" s="766"/>
      <c r="IG171" s="766"/>
      <c r="IH171" s="766"/>
      <c r="II171" s="766"/>
      <c r="IJ171" s="766"/>
      <c r="IK171" s="766"/>
      <c r="IL171" s="766"/>
      <c r="IM171" s="766"/>
      <c r="IN171" s="766"/>
      <c r="IO171" s="24"/>
      <c r="IP171" s="766"/>
      <c r="IQ171" s="766"/>
      <c r="IR171" s="766"/>
      <c r="IS171" s="766"/>
      <c r="IT171" s="766"/>
      <c r="IU171" s="766"/>
      <c r="IV171" s="766"/>
      <c r="IW171" s="766"/>
      <c r="IX171" s="766"/>
      <c r="IY171" s="766"/>
      <c r="IZ171" s="766"/>
      <c r="JA171" s="766"/>
      <c r="JB171" s="766"/>
      <c r="JC171" s="766"/>
      <c r="JD171" s="775"/>
      <c r="JE171" s="766"/>
      <c r="JF171" s="766"/>
      <c r="JG171" s="766"/>
      <c r="JH171" s="766"/>
      <c r="JI171" s="766"/>
      <c r="JJ171" s="766">
        <v>8</v>
      </c>
      <c r="JK171" s="766" t="s">
        <v>2063</v>
      </c>
      <c r="JL171" s="766">
        <v>2</v>
      </c>
      <c r="JM171" s="766">
        <v>2</v>
      </c>
      <c r="JN171" s="766">
        <v>2</v>
      </c>
      <c r="JO171" s="766">
        <v>2</v>
      </c>
      <c r="JP171" s="766"/>
      <c r="JQ171" s="766"/>
      <c r="JR171" s="766"/>
      <c r="JS171" s="766"/>
      <c r="JT171" s="766">
        <f t="shared" si="42"/>
        <v>4</v>
      </c>
      <c r="JU171" s="766">
        <f t="shared" si="42"/>
        <v>4</v>
      </c>
      <c r="JV171" s="766"/>
      <c r="JW171" s="766"/>
      <c r="JX171" s="766">
        <v>2</v>
      </c>
      <c r="JY171" s="766"/>
      <c r="JZ171" s="766"/>
      <c r="KA171" s="766">
        <v>2</v>
      </c>
      <c r="KB171" s="766">
        <v>1</v>
      </c>
      <c r="KC171" s="766">
        <v>1</v>
      </c>
      <c r="KD171" s="766">
        <v>1</v>
      </c>
      <c r="KE171" s="766">
        <v>1</v>
      </c>
      <c r="KF171" s="766"/>
      <c r="KG171" s="766"/>
      <c r="KH171" s="766"/>
      <c r="KI171" s="766"/>
      <c r="KJ171" s="770">
        <f t="shared" si="38"/>
        <v>4</v>
      </c>
      <c r="KK171" s="770">
        <f t="shared" si="38"/>
        <v>4</v>
      </c>
      <c r="KL171" s="770"/>
      <c r="KM171" s="770"/>
      <c r="KN171" s="766" t="s">
        <v>783</v>
      </c>
      <c r="KO171" s="766"/>
      <c r="KP171" s="766"/>
      <c r="KQ171" s="766"/>
      <c r="KR171" s="766"/>
      <c r="KS171" s="766"/>
      <c r="KT171" s="766">
        <v>1</v>
      </c>
      <c r="KU171" s="766">
        <v>3</v>
      </c>
      <c r="KV171" s="766"/>
      <c r="KW171" s="766"/>
      <c r="KX171" s="766">
        <v>1</v>
      </c>
      <c r="KY171" s="766">
        <v>1</v>
      </c>
      <c r="KZ171" s="766"/>
      <c r="LA171" s="766"/>
      <c r="LB171" s="766"/>
      <c r="LC171" s="766"/>
      <c r="LD171" s="766"/>
      <c r="LE171" s="766"/>
      <c r="LF171" s="766"/>
      <c r="LG171" s="766"/>
      <c r="LH171" s="766"/>
      <c r="LI171" s="766"/>
      <c r="LJ171" s="766">
        <v>1</v>
      </c>
      <c r="LK171" s="766">
        <v>1</v>
      </c>
      <c r="LL171" s="766"/>
      <c r="LM171" s="766"/>
      <c r="LN171" s="766">
        <f t="shared" si="39"/>
        <v>3</v>
      </c>
      <c r="LO171" s="766">
        <f t="shared" si="39"/>
        <v>5</v>
      </c>
      <c r="LP171" s="766">
        <v>4</v>
      </c>
      <c r="LQ171" s="766">
        <v>3</v>
      </c>
      <c r="LR171" s="766"/>
      <c r="LS171" s="766">
        <v>1</v>
      </c>
      <c r="LT171" s="766"/>
      <c r="LU171" s="766">
        <v>1</v>
      </c>
      <c r="LV171" s="766">
        <v>1</v>
      </c>
      <c r="LW171" s="766">
        <v>1</v>
      </c>
      <c r="LX171" s="769">
        <v>1</v>
      </c>
      <c r="LY171" s="766" t="str">
        <f t="shared" si="43"/>
        <v>within the BRGY</v>
      </c>
      <c r="LZ171" s="66"/>
      <c r="MA171" s="766"/>
      <c r="MB171" s="766"/>
      <c r="MC171" s="1679">
        <f t="shared" si="41"/>
        <v>0</v>
      </c>
      <c r="MD171" s="66">
        <v>3500</v>
      </c>
      <c r="ME171" s="66"/>
      <c r="MF171" s="66">
        <v>5800</v>
      </c>
      <c r="MG171" s="1680">
        <f t="shared" si="34"/>
        <v>9300</v>
      </c>
      <c r="MH171" s="766"/>
      <c r="MI171" s="775">
        <f>PRODUCT(200,30)</f>
        <v>6000</v>
      </c>
      <c r="MJ171" s="775"/>
      <c r="MK171" s="775"/>
      <c r="ML171" s="775"/>
      <c r="MM171" s="775"/>
      <c r="MN171" s="775">
        <v>3000</v>
      </c>
      <c r="MO171" s="775">
        <v>150</v>
      </c>
      <c r="MP171" s="775">
        <v>1700</v>
      </c>
      <c r="MQ171" s="775">
        <v>260</v>
      </c>
      <c r="MR171" s="775">
        <v>900</v>
      </c>
      <c r="MS171" s="775"/>
      <c r="MT171" s="775"/>
      <c r="MU171" s="775"/>
      <c r="MV171" s="775"/>
      <c r="MW171" s="775"/>
      <c r="MX171" s="775"/>
      <c r="MY171" s="1682">
        <f t="shared" si="35"/>
        <v>12010</v>
      </c>
      <c r="MZ171" s="766" t="s">
        <v>13004</v>
      </c>
      <c r="NA171" s="766" t="s">
        <v>13005</v>
      </c>
      <c r="NB171" s="766" t="s">
        <v>13016</v>
      </c>
      <c r="NC171" s="766" t="s">
        <v>13007</v>
      </c>
      <c r="ND171" s="766">
        <v>0</v>
      </c>
      <c r="NE171" s="766">
        <v>0</v>
      </c>
      <c r="NF171" s="766">
        <v>0</v>
      </c>
      <c r="NG171" s="766">
        <v>2</v>
      </c>
      <c r="NH171" s="766">
        <v>1</v>
      </c>
      <c r="NI171" s="766">
        <v>0</v>
      </c>
      <c r="NJ171" s="766">
        <v>0</v>
      </c>
      <c r="NK171" s="766">
        <v>0</v>
      </c>
      <c r="NL171" s="766">
        <v>0</v>
      </c>
      <c r="NM171" s="766">
        <v>0</v>
      </c>
      <c r="NN171" s="766">
        <v>1</v>
      </c>
      <c r="NO171" s="766">
        <v>0</v>
      </c>
      <c r="NP171" s="766">
        <v>0</v>
      </c>
      <c r="NQ171" s="766">
        <v>1</v>
      </c>
      <c r="NR171" s="766">
        <v>0</v>
      </c>
      <c r="NS171" s="766">
        <v>0</v>
      </c>
      <c r="NT171" s="766">
        <v>0</v>
      </c>
      <c r="NU171" s="766">
        <v>0</v>
      </c>
      <c r="NV171" s="766">
        <v>0</v>
      </c>
      <c r="NW171" s="766">
        <v>0</v>
      </c>
      <c r="NX171" s="766">
        <v>0</v>
      </c>
      <c r="NY171" s="766" t="s">
        <v>1208</v>
      </c>
      <c r="NZ171" s="766" t="s">
        <v>1208</v>
      </c>
      <c r="OA171" s="766" t="s">
        <v>1208</v>
      </c>
      <c r="OB171" s="766" t="s">
        <v>1208</v>
      </c>
      <c r="OC171" s="766" t="s">
        <v>1208</v>
      </c>
      <c r="OD171" s="766" t="s">
        <v>1208</v>
      </c>
      <c r="OE171" s="766"/>
      <c r="OF171" s="766" t="s">
        <v>13220</v>
      </c>
      <c r="OG171" s="766"/>
      <c r="OH171" s="766"/>
      <c r="OI171" s="766"/>
      <c r="OJ171" s="766"/>
      <c r="OK171" s="766"/>
      <c r="OL171" s="766"/>
      <c r="OM171" s="766"/>
      <c r="ON171" s="766"/>
      <c r="OO171" s="766" t="s">
        <v>1214</v>
      </c>
      <c r="OP171" s="766"/>
      <c r="OQ171" s="766"/>
      <c r="OR171" s="766"/>
      <c r="OS171" s="766"/>
      <c r="OT171" s="766"/>
      <c r="OU171" s="766"/>
      <c r="OV171" s="766"/>
      <c r="OW171" s="766"/>
      <c r="OX171" s="766"/>
      <c r="OY171" s="766"/>
      <c r="OZ171" s="766"/>
      <c r="PA171" s="766"/>
      <c r="PB171" s="766"/>
      <c r="PC171" s="766"/>
      <c r="PD171" s="766"/>
      <c r="PE171" s="766"/>
      <c r="PF171" s="766"/>
      <c r="PG171" s="766"/>
      <c r="PH171" s="766"/>
      <c r="PI171" s="766"/>
      <c r="PJ171" s="766"/>
      <c r="PK171" s="766" t="s">
        <v>1208</v>
      </c>
      <c r="PL171" s="766"/>
      <c r="PM171" s="766"/>
      <c r="PN171" s="766"/>
      <c r="PO171" s="766"/>
      <c r="PP171" s="766"/>
      <c r="PQ171" s="766"/>
      <c r="PR171" s="766"/>
      <c r="PS171" s="766" t="s">
        <v>1208</v>
      </c>
      <c r="PT171" s="766" t="s">
        <v>1208</v>
      </c>
      <c r="PU171" s="766"/>
      <c r="PV171" s="766"/>
      <c r="PW171" s="766"/>
      <c r="PX171" s="766"/>
      <c r="PY171" s="766"/>
      <c r="PZ171" s="766"/>
      <c r="QA171" s="766"/>
      <c r="QB171" s="766"/>
      <c r="QC171" s="766"/>
      <c r="QD171" s="766"/>
      <c r="QE171" s="766"/>
      <c r="QF171" s="766"/>
      <c r="QG171" s="766"/>
      <c r="QH171" s="766"/>
      <c r="QI171" s="766"/>
      <c r="QJ171" s="766"/>
      <c r="QK171" s="766"/>
      <c r="QL171" s="766"/>
      <c r="QM171" s="766"/>
      <c r="QN171" s="766"/>
      <c r="QO171" s="766"/>
      <c r="QP171" s="766"/>
      <c r="QQ171" s="766"/>
      <c r="QR171" s="766"/>
      <c r="QS171" s="766"/>
      <c r="QT171" s="766"/>
      <c r="QU171" s="766"/>
      <c r="QV171" s="766"/>
      <c r="QW171" s="766"/>
      <c r="QX171" s="766"/>
      <c r="QY171" s="766"/>
      <c r="QZ171" s="766"/>
      <c r="RA171" s="766"/>
      <c r="RB171" s="770" t="s">
        <v>1207</v>
      </c>
      <c r="RC171" s="766">
        <v>2009</v>
      </c>
      <c r="RD171" s="766" t="s">
        <v>13223</v>
      </c>
      <c r="RE171" s="766"/>
      <c r="RF171" s="777">
        <v>1</v>
      </c>
      <c r="RG171" s="766" t="s">
        <v>13000</v>
      </c>
      <c r="RH171" s="775">
        <v>0</v>
      </c>
      <c r="RI171" s="766">
        <v>1</v>
      </c>
      <c r="RJ171" s="766" t="s">
        <v>2063</v>
      </c>
      <c r="RK171" s="766" t="s">
        <v>13206</v>
      </c>
      <c r="RL171" s="1683"/>
      <c r="RM171" s="12"/>
      <c r="RN171" s="1711"/>
      <c r="RO171" s="171" t="s">
        <v>262</v>
      </c>
      <c r="RP171" s="11"/>
      <c r="RQ171" s="11"/>
      <c r="RR171" s="771"/>
      <c r="RS171" s="766"/>
      <c r="RT171" s="11"/>
      <c r="RU171" s="11"/>
      <c r="RV171" s="766" t="s">
        <v>7419</v>
      </c>
      <c r="RW171" s="11" t="s">
        <v>7519</v>
      </c>
      <c r="RX171" s="11" t="s">
        <v>257</v>
      </c>
      <c r="RY171" s="11"/>
      <c r="RZ171" s="11"/>
      <c r="SA171" s="766"/>
      <c r="SB171" s="11"/>
      <c r="SC171" s="11"/>
    </row>
    <row r="172" spans="1:497" ht="12.75" hidden="1" customHeight="1">
      <c r="A172" s="767" t="s">
        <v>12439</v>
      </c>
      <c r="B172" s="288" t="s">
        <v>7522</v>
      </c>
      <c r="C172" s="171" t="s">
        <v>265</v>
      </c>
      <c r="D172" s="14" t="s">
        <v>258</v>
      </c>
      <c r="E172" s="766" t="s">
        <v>5442</v>
      </c>
      <c r="F172" s="766" t="s">
        <v>28</v>
      </c>
      <c r="G172" s="766" t="s">
        <v>10</v>
      </c>
      <c r="H172" s="766"/>
      <c r="I172" s="5"/>
      <c r="J172" s="766" t="s">
        <v>258</v>
      </c>
      <c r="K172" s="766"/>
      <c r="L172" s="766"/>
      <c r="M172" s="766"/>
      <c r="N172" s="766"/>
      <c r="O172" s="766"/>
      <c r="P172" s="766" t="s">
        <v>838</v>
      </c>
      <c r="Q172" s="1085">
        <v>27975</v>
      </c>
      <c r="R172" s="25">
        <v>40</v>
      </c>
      <c r="S172" s="766" t="s">
        <v>10</v>
      </c>
      <c r="T172" s="766"/>
      <c r="U172" s="26" t="s">
        <v>839</v>
      </c>
      <c r="V172" s="766" t="s">
        <v>722</v>
      </c>
      <c r="W172" s="766"/>
      <c r="X172" s="766"/>
      <c r="Y172" s="766" t="s">
        <v>840</v>
      </c>
      <c r="Z172" s="766" t="s">
        <v>708</v>
      </c>
      <c r="AA172" s="766" t="s">
        <v>709</v>
      </c>
      <c r="AB172" s="766" t="s">
        <v>7274</v>
      </c>
      <c r="AC172" s="766" t="s">
        <v>724</v>
      </c>
      <c r="AD172" s="766"/>
      <c r="AE172" s="766"/>
      <c r="AF172" s="766" t="s">
        <v>712</v>
      </c>
      <c r="AG172" s="766"/>
      <c r="AH172" s="766"/>
      <c r="AI172" s="766"/>
      <c r="AJ172" s="766"/>
      <c r="AK172" s="766" t="s">
        <v>1899</v>
      </c>
      <c r="AL172" s="121"/>
      <c r="AM172" s="772"/>
      <c r="AN172" s="774"/>
      <c r="AO172" s="766"/>
      <c r="AP172" s="766"/>
      <c r="AQ172" s="766"/>
      <c r="AR172" s="766"/>
      <c r="AS172" s="766"/>
      <c r="AT172" s="766"/>
      <c r="AU172" s="766"/>
      <c r="AV172" s="766"/>
      <c r="AW172" s="766"/>
      <c r="AX172" s="766"/>
      <c r="AY172" s="766"/>
      <c r="AZ172" s="766"/>
      <c r="BA172" s="766"/>
      <c r="BB172" s="766"/>
      <c r="BC172" s="766"/>
      <c r="BD172" s="766"/>
      <c r="BE172" s="766"/>
      <c r="BF172" s="775"/>
      <c r="BG172" s="775"/>
      <c r="BH172" s="766"/>
      <c r="BI172" s="766"/>
      <c r="BJ172" s="766"/>
      <c r="BK172" s="766"/>
      <c r="BL172" s="766"/>
      <c r="BM172" s="766" t="s">
        <v>1238</v>
      </c>
      <c r="BN172" s="766" t="s">
        <v>1256</v>
      </c>
      <c r="BO172" s="766"/>
      <c r="BP172" s="776"/>
      <c r="BQ172" s="772"/>
      <c r="BR172" s="774"/>
      <c r="BS172" s="766" t="s">
        <v>1257</v>
      </c>
      <c r="BT172" s="766"/>
      <c r="BU172" s="766"/>
      <c r="BV172" s="766"/>
      <c r="BW172" s="766"/>
      <c r="BX172" s="779"/>
      <c r="BY172" s="766"/>
      <c r="BZ172" s="775"/>
      <c r="CA172" s="766"/>
      <c r="CB172" s="766"/>
      <c r="CC172" s="766"/>
      <c r="CD172" s="766"/>
      <c r="CE172" s="766"/>
      <c r="CF172" s="777"/>
      <c r="CG172" s="778"/>
      <c r="CH172" s="766"/>
      <c r="CI172" s="766"/>
      <c r="CJ172" s="766"/>
      <c r="CK172" s="766"/>
      <c r="CL172" s="766"/>
      <c r="CM172" s="766"/>
      <c r="CN172" s="766"/>
      <c r="CO172" s="766"/>
      <c r="CP172" s="766"/>
      <c r="CQ172" s="766"/>
      <c r="CR172" s="775"/>
      <c r="CS172" s="766"/>
      <c r="CT172" s="766"/>
      <c r="CU172" s="129"/>
      <c r="CV172" s="766"/>
      <c r="CW172" s="766"/>
      <c r="CX172" s="766"/>
      <c r="CY172" s="766"/>
      <c r="CZ172" s="766"/>
      <c r="DA172" s="766"/>
      <c r="DB172" s="766"/>
      <c r="DC172" s="766"/>
      <c r="DD172" s="766"/>
      <c r="DE172" s="766"/>
      <c r="DF172" s="766"/>
      <c r="DG172" s="766"/>
      <c r="DH172" s="766"/>
      <c r="DI172" s="766"/>
      <c r="DJ172" s="766"/>
      <c r="DK172" s="766"/>
      <c r="DL172" s="766"/>
      <c r="DM172" s="766"/>
      <c r="DN172" s="766"/>
      <c r="DO172" s="766"/>
      <c r="DP172" s="766"/>
      <c r="DQ172" s="766"/>
      <c r="DR172" s="766"/>
      <c r="DS172" s="59"/>
      <c r="DT172" s="766"/>
      <c r="DU172" s="766"/>
      <c r="DV172" s="766"/>
      <c r="DW172" s="66"/>
      <c r="DX172" s="66"/>
      <c r="DY172" s="766"/>
      <c r="DZ172" s="766"/>
      <c r="EA172" s="766"/>
      <c r="EB172" s="766"/>
      <c r="EC172" s="766"/>
      <c r="ED172" s="766"/>
      <c r="EE172" s="766"/>
      <c r="EF172" s="766"/>
      <c r="EG172" s="766"/>
      <c r="EH172" s="766"/>
      <c r="EI172" s="766"/>
      <c r="EJ172" s="766"/>
      <c r="EK172" s="766"/>
      <c r="EL172" s="766"/>
      <c r="EM172" s="766"/>
      <c r="EN172" s="766"/>
      <c r="EO172" s="766"/>
      <c r="EP172" s="766"/>
      <c r="EQ172" s="766"/>
      <c r="ER172" s="766"/>
      <c r="ES172" s="766"/>
      <c r="ET172" s="766"/>
      <c r="EU172" s="766"/>
      <c r="EV172" s="766"/>
      <c r="EW172" s="766"/>
      <c r="EX172" s="766"/>
      <c r="EY172" s="766"/>
      <c r="EZ172" s="766"/>
      <c r="FA172" s="766"/>
      <c r="FB172" s="766"/>
      <c r="FC172" s="766"/>
      <c r="FD172" s="775"/>
      <c r="FE172" s="766"/>
      <c r="FF172" s="766"/>
      <c r="FG172" s="766"/>
      <c r="FH172" s="766" t="s">
        <v>1306</v>
      </c>
      <c r="FI172" s="766">
        <v>1</v>
      </c>
      <c r="FJ172" s="766" t="s">
        <v>1148</v>
      </c>
      <c r="FK172" s="766" t="s">
        <v>1620</v>
      </c>
      <c r="FL172" s="766" t="s">
        <v>830</v>
      </c>
      <c r="FM172" s="147">
        <v>3000</v>
      </c>
      <c r="FN172" s="775">
        <v>2000</v>
      </c>
      <c r="FO172" s="775">
        <v>1200</v>
      </c>
      <c r="FP172" s="766" t="s">
        <v>1602</v>
      </c>
      <c r="FQ172" s="766" t="s">
        <v>1660</v>
      </c>
      <c r="FR172" s="766"/>
      <c r="FS172" s="766"/>
      <c r="FT172" s="766"/>
      <c r="FU172" s="766"/>
      <c r="FV172" s="766"/>
      <c r="FW172" s="766"/>
      <c r="FX172" s="766"/>
      <c r="FY172" s="766"/>
      <c r="FZ172" s="766"/>
      <c r="GA172" s="766"/>
      <c r="GB172" s="766"/>
      <c r="GC172" s="75"/>
      <c r="GD172" s="25"/>
      <c r="GE172" s="766"/>
      <c r="GF172" s="775"/>
      <c r="GG172" s="775"/>
      <c r="GH172" s="766"/>
      <c r="GI172" s="766"/>
      <c r="GJ172" s="766"/>
      <c r="GK172" s="766"/>
      <c r="GL172" s="766"/>
      <c r="GM172" s="766"/>
      <c r="GN172" s="82"/>
      <c r="GO172" s="766"/>
      <c r="GP172" s="766"/>
      <c r="GQ172" s="766"/>
      <c r="GR172" s="766"/>
      <c r="GS172" s="766"/>
      <c r="GT172" s="766"/>
      <c r="GU172" s="766"/>
      <c r="GV172" s="766"/>
      <c r="GW172" s="766"/>
      <c r="GX172" s="766"/>
      <c r="GY172" s="766"/>
      <c r="GZ172" s="766"/>
      <c r="HA172" s="766"/>
      <c r="HB172" s="766"/>
      <c r="HC172" s="766"/>
      <c r="HD172" s="766"/>
      <c r="HE172" s="766"/>
      <c r="HF172" s="766"/>
      <c r="HG172" s="766"/>
      <c r="HH172" s="766"/>
      <c r="HI172" s="766"/>
      <c r="HJ172" s="766"/>
      <c r="HK172" s="766"/>
      <c r="HL172" s="766"/>
      <c r="HM172" s="766"/>
      <c r="HN172" s="766"/>
      <c r="HO172" s="766"/>
      <c r="HP172" s="766"/>
      <c r="HQ172" s="766"/>
      <c r="HR172" s="766"/>
      <c r="HS172" s="766"/>
      <c r="HT172" s="766"/>
      <c r="HU172" s="766"/>
      <c r="HV172" s="766"/>
      <c r="HW172" s="766"/>
      <c r="HX172" s="766"/>
      <c r="HY172" s="766"/>
      <c r="HZ172" s="766"/>
      <c r="IA172" s="766"/>
      <c r="IB172" s="766"/>
      <c r="IC172" s="766"/>
      <c r="ID172" s="766"/>
      <c r="IE172" s="766"/>
      <c r="IF172" s="766"/>
      <c r="IG172" s="766"/>
      <c r="IH172" s="766"/>
      <c r="II172" s="766"/>
      <c r="IJ172" s="766"/>
      <c r="IK172" s="766"/>
      <c r="IL172" s="766"/>
      <c r="IM172" s="766"/>
      <c r="IN172" s="766"/>
      <c r="IO172" s="24"/>
      <c r="IP172" s="766"/>
      <c r="IQ172" s="766"/>
      <c r="IR172" s="766"/>
      <c r="IS172" s="766"/>
      <c r="IT172" s="766"/>
      <c r="IU172" s="766"/>
      <c r="IV172" s="766"/>
      <c r="IW172" s="766"/>
      <c r="IX172" s="766"/>
      <c r="IY172" s="766"/>
      <c r="IZ172" s="766"/>
      <c r="JA172" s="766"/>
      <c r="JB172" s="766"/>
      <c r="JC172" s="766"/>
      <c r="JD172" s="775"/>
      <c r="JE172" s="766"/>
      <c r="JF172" s="766"/>
      <c r="JG172" s="766"/>
      <c r="JH172" s="766"/>
      <c r="JI172" s="766"/>
      <c r="JJ172" s="766">
        <v>7</v>
      </c>
      <c r="JK172" s="766" t="s">
        <v>2064</v>
      </c>
      <c r="JL172" s="766"/>
      <c r="JM172" s="766">
        <v>1</v>
      </c>
      <c r="JN172" s="766">
        <v>2</v>
      </c>
      <c r="JO172" s="766">
        <v>4</v>
      </c>
      <c r="JP172" s="766"/>
      <c r="JQ172" s="766"/>
      <c r="JR172" s="766"/>
      <c r="JS172" s="766"/>
      <c r="JT172" s="766">
        <f t="shared" si="42"/>
        <v>2</v>
      </c>
      <c r="JU172" s="766">
        <f t="shared" si="42"/>
        <v>5</v>
      </c>
      <c r="JV172" s="766"/>
      <c r="JW172" s="766"/>
      <c r="JX172" s="766"/>
      <c r="JY172" s="766">
        <v>1</v>
      </c>
      <c r="JZ172" s="766"/>
      <c r="KA172" s="766"/>
      <c r="KB172" s="766">
        <v>1</v>
      </c>
      <c r="KC172" s="766">
        <v>2</v>
      </c>
      <c r="KD172" s="766">
        <v>1</v>
      </c>
      <c r="KE172" s="766">
        <v>2</v>
      </c>
      <c r="KF172" s="766"/>
      <c r="KG172" s="766"/>
      <c r="KH172" s="766"/>
      <c r="KI172" s="766"/>
      <c r="KJ172" s="770">
        <f t="shared" si="38"/>
        <v>2</v>
      </c>
      <c r="KK172" s="770">
        <f t="shared" si="38"/>
        <v>5</v>
      </c>
      <c r="KL172" s="770"/>
      <c r="KM172" s="770"/>
      <c r="KN172" s="766" t="s">
        <v>722</v>
      </c>
      <c r="KO172" s="766"/>
      <c r="KP172" s="766"/>
      <c r="KQ172" s="766"/>
      <c r="KR172" s="766"/>
      <c r="KS172" s="766"/>
      <c r="KT172" s="766">
        <v>1</v>
      </c>
      <c r="KU172" s="766"/>
      <c r="KV172" s="766"/>
      <c r="KW172" s="766"/>
      <c r="KX172" s="766"/>
      <c r="KY172" s="766">
        <v>3</v>
      </c>
      <c r="KZ172" s="766"/>
      <c r="LA172" s="766">
        <v>1</v>
      </c>
      <c r="LB172" s="766">
        <v>1</v>
      </c>
      <c r="LC172" s="766"/>
      <c r="LD172" s="766"/>
      <c r="LE172" s="766"/>
      <c r="LF172" s="766"/>
      <c r="LG172" s="766"/>
      <c r="LH172" s="766"/>
      <c r="LI172" s="766"/>
      <c r="LJ172" s="766"/>
      <c r="LK172" s="766">
        <v>1</v>
      </c>
      <c r="LL172" s="766"/>
      <c r="LM172" s="766"/>
      <c r="LN172" s="766">
        <f t="shared" si="39"/>
        <v>2</v>
      </c>
      <c r="LO172" s="766">
        <f t="shared" si="39"/>
        <v>5</v>
      </c>
      <c r="LP172" s="766">
        <v>2</v>
      </c>
      <c r="LQ172" s="766">
        <v>2</v>
      </c>
      <c r="LR172" s="766"/>
      <c r="LS172" s="766"/>
      <c r="LT172" s="766"/>
      <c r="LU172" s="766"/>
      <c r="LV172" s="766">
        <v>1</v>
      </c>
      <c r="LW172" s="766">
        <v>1</v>
      </c>
      <c r="LX172" s="769">
        <v>3</v>
      </c>
      <c r="LY172" s="766" t="str">
        <f t="shared" si="43"/>
        <v>within the PROVINCE</v>
      </c>
      <c r="LZ172" s="66"/>
      <c r="MA172" s="766"/>
      <c r="MB172" s="766"/>
      <c r="MC172" s="1679">
        <f t="shared" si="41"/>
        <v>0</v>
      </c>
      <c r="MD172" s="66">
        <v>18000</v>
      </c>
      <c r="ME172" s="66"/>
      <c r="MF172" s="66"/>
      <c r="MG172" s="1680">
        <f t="shared" si="34"/>
        <v>18000</v>
      </c>
      <c r="MH172" s="766"/>
      <c r="MI172" s="775">
        <v>7000</v>
      </c>
      <c r="MJ172" s="775">
        <v>6000</v>
      </c>
      <c r="MK172" s="775">
        <v>200</v>
      </c>
      <c r="ML172" s="775">
        <v>100</v>
      </c>
      <c r="MM172" s="775"/>
      <c r="MN172" s="775">
        <v>3000</v>
      </c>
      <c r="MO172" s="775">
        <v>600</v>
      </c>
      <c r="MP172" s="775">
        <v>1200</v>
      </c>
      <c r="MQ172" s="775">
        <v>260</v>
      </c>
      <c r="MR172" s="775">
        <v>2000</v>
      </c>
      <c r="MS172" s="775">
        <v>500</v>
      </c>
      <c r="MT172" s="775"/>
      <c r="MU172" s="775"/>
      <c r="MV172" s="775"/>
      <c r="MW172" s="775"/>
      <c r="MX172" s="775"/>
      <c r="MY172" s="1682">
        <f t="shared" si="35"/>
        <v>20860</v>
      </c>
      <c r="MZ172" s="766" t="s">
        <v>13004</v>
      </c>
      <c r="NA172" s="766" t="s">
        <v>13005</v>
      </c>
      <c r="NB172" s="766" t="s">
        <v>13016</v>
      </c>
      <c r="NC172" s="766" t="s">
        <v>13007</v>
      </c>
      <c r="ND172" s="766">
        <v>0</v>
      </c>
      <c r="NE172" s="766">
        <v>0</v>
      </c>
      <c r="NF172" s="766">
        <v>0</v>
      </c>
      <c r="NG172" s="766">
        <v>1</v>
      </c>
      <c r="NH172" s="766">
        <v>1</v>
      </c>
      <c r="NI172" s="766">
        <v>0</v>
      </c>
      <c r="NJ172" s="766">
        <v>0</v>
      </c>
      <c r="NK172" s="766">
        <v>0</v>
      </c>
      <c r="NL172" s="766">
        <v>0</v>
      </c>
      <c r="NM172" s="766">
        <v>0</v>
      </c>
      <c r="NN172" s="766">
        <v>1</v>
      </c>
      <c r="NO172" s="766">
        <v>0</v>
      </c>
      <c r="NP172" s="766">
        <v>0</v>
      </c>
      <c r="NQ172" s="766">
        <v>1</v>
      </c>
      <c r="NR172" s="766">
        <v>0</v>
      </c>
      <c r="NS172" s="766">
        <v>0</v>
      </c>
      <c r="NT172" s="766">
        <v>0</v>
      </c>
      <c r="NU172" s="766">
        <v>0</v>
      </c>
      <c r="NV172" s="766">
        <v>0</v>
      </c>
      <c r="NW172" s="766">
        <v>0</v>
      </c>
      <c r="NX172" s="766">
        <v>0</v>
      </c>
      <c r="NY172" s="766" t="s">
        <v>1208</v>
      </c>
      <c r="NZ172" s="766" t="s">
        <v>1208</v>
      </c>
      <c r="OA172" s="766" t="s">
        <v>1208</v>
      </c>
      <c r="OB172" s="766" t="s">
        <v>1208</v>
      </c>
      <c r="OC172" s="766" t="s">
        <v>1208</v>
      </c>
      <c r="OD172" s="766"/>
      <c r="OE172" s="766"/>
      <c r="OF172" s="766"/>
      <c r="OG172" s="766"/>
      <c r="OH172" s="766"/>
      <c r="OI172" s="766"/>
      <c r="OJ172" s="766"/>
      <c r="OK172" s="766"/>
      <c r="OL172" s="766"/>
      <c r="OM172" s="766"/>
      <c r="ON172" s="766"/>
      <c r="OO172" s="766"/>
      <c r="OP172" s="766"/>
      <c r="OQ172" s="766"/>
      <c r="OR172" s="766"/>
      <c r="OS172" s="766"/>
      <c r="OT172" s="766"/>
      <c r="OU172" s="766"/>
      <c r="OV172" s="766"/>
      <c r="OW172" s="766"/>
      <c r="OX172" s="766"/>
      <c r="OY172" s="766"/>
      <c r="OZ172" s="766"/>
      <c r="PA172" s="766"/>
      <c r="PB172" s="766"/>
      <c r="PC172" s="766"/>
      <c r="PD172" s="766"/>
      <c r="PE172" s="766"/>
      <c r="PF172" s="766"/>
      <c r="PG172" s="766"/>
      <c r="PH172" s="766"/>
      <c r="PI172" s="766"/>
      <c r="PJ172" s="766"/>
      <c r="PK172" s="766" t="s">
        <v>1208</v>
      </c>
      <c r="PL172" s="766"/>
      <c r="PM172" s="766"/>
      <c r="PN172" s="766"/>
      <c r="PO172" s="766"/>
      <c r="PP172" s="766"/>
      <c r="PQ172" s="766"/>
      <c r="PR172" s="766"/>
      <c r="PS172" s="766" t="s">
        <v>1208</v>
      </c>
      <c r="PT172" s="766" t="s">
        <v>1208</v>
      </c>
      <c r="PU172" s="766"/>
      <c r="PV172" s="766"/>
      <c r="PW172" s="766"/>
      <c r="PX172" s="766"/>
      <c r="PY172" s="766"/>
      <c r="PZ172" s="766"/>
      <c r="QA172" s="766"/>
      <c r="QB172" s="766"/>
      <c r="QC172" s="766"/>
      <c r="QD172" s="766"/>
      <c r="QE172" s="766"/>
      <c r="QF172" s="766"/>
      <c r="QG172" s="766"/>
      <c r="QH172" s="766"/>
      <c r="QI172" s="766"/>
      <c r="QJ172" s="766"/>
      <c r="QK172" s="766"/>
      <c r="QL172" s="766"/>
      <c r="QM172" s="766"/>
      <c r="QN172" s="766"/>
      <c r="QO172" s="766"/>
      <c r="QP172" s="766"/>
      <c r="QQ172" s="766"/>
      <c r="QR172" s="766"/>
      <c r="QS172" s="766"/>
      <c r="QT172" s="766"/>
      <c r="QU172" s="766"/>
      <c r="QV172" s="766"/>
      <c r="QW172" s="766"/>
      <c r="QX172" s="766"/>
      <c r="QY172" s="766"/>
      <c r="QZ172" s="766"/>
      <c r="RA172" s="766"/>
      <c r="RB172" s="770" t="s">
        <v>1207</v>
      </c>
      <c r="RC172" s="766">
        <v>2016</v>
      </c>
      <c r="RD172" s="766" t="s">
        <v>13223</v>
      </c>
      <c r="RE172" s="766" t="s">
        <v>12999</v>
      </c>
      <c r="RF172" s="777">
        <f>CONVERT(1,"ft","m")</f>
        <v>0.30480000000000002</v>
      </c>
      <c r="RG172" s="766" t="s">
        <v>13000</v>
      </c>
      <c r="RH172" s="775">
        <v>0</v>
      </c>
      <c r="RI172" s="766">
        <v>0.25</v>
      </c>
      <c r="RJ172" s="766" t="s">
        <v>13237</v>
      </c>
      <c r="RK172" s="766" t="s">
        <v>13206</v>
      </c>
      <c r="RL172" s="1683"/>
      <c r="RM172" s="12"/>
      <c r="RN172" s="1711"/>
      <c r="RO172" s="171" t="s">
        <v>265</v>
      </c>
      <c r="RP172" s="11"/>
      <c r="RQ172" s="11"/>
      <c r="RR172" s="771"/>
      <c r="RS172" s="766"/>
      <c r="RT172" s="11"/>
      <c r="RU172" s="11"/>
      <c r="RV172" s="766" t="s">
        <v>12439</v>
      </c>
      <c r="RW172" s="11" t="s">
        <v>7520</v>
      </c>
      <c r="RX172" s="11" t="s">
        <v>260</v>
      </c>
      <c r="RY172" s="11"/>
      <c r="RZ172" s="11"/>
      <c r="SA172" s="766"/>
      <c r="SB172" s="11"/>
      <c r="SC172" s="11"/>
    </row>
    <row r="173" spans="1:497" ht="12.75" hidden="1" customHeight="1">
      <c r="A173" s="767" t="s">
        <v>12439</v>
      </c>
      <c r="B173" s="288" t="s">
        <v>7523</v>
      </c>
      <c r="C173" s="171" t="s">
        <v>266</v>
      </c>
      <c r="D173" s="770" t="s">
        <v>267</v>
      </c>
      <c r="E173" s="766" t="s">
        <v>5442</v>
      </c>
      <c r="F173" s="766" t="s">
        <v>20</v>
      </c>
      <c r="G173" s="766" t="s">
        <v>18</v>
      </c>
      <c r="H173" s="766"/>
      <c r="I173" s="5"/>
      <c r="J173" s="14" t="s">
        <v>268</v>
      </c>
      <c r="K173" s="766"/>
      <c r="L173" s="766"/>
      <c r="M173" s="766"/>
      <c r="N173" s="766"/>
      <c r="O173" s="766"/>
      <c r="P173" s="766" t="s">
        <v>841</v>
      </c>
      <c r="Q173" s="1085">
        <v>23000</v>
      </c>
      <c r="R173" s="25">
        <v>54</v>
      </c>
      <c r="S173" s="766" t="s">
        <v>10</v>
      </c>
      <c r="T173" s="766"/>
      <c r="U173" s="26" t="s">
        <v>842</v>
      </c>
      <c r="V173" s="766" t="s">
        <v>707</v>
      </c>
      <c r="W173" s="766"/>
      <c r="X173" s="766"/>
      <c r="Y173" s="766" t="s">
        <v>840</v>
      </c>
      <c r="Z173" s="766" t="s">
        <v>708</v>
      </c>
      <c r="AA173" s="766" t="s">
        <v>709</v>
      </c>
      <c r="AB173" s="766" t="s">
        <v>7273</v>
      </c>
      <c r="AC173" s="766" t="s">
        <v>724</v>
      </c>
      <c r="AD173" s="766"/>
      <c r="AE173" s="766"/>
      <c r="AF173" s="766"/>
      <c r="AG173" s="766"/>
      <c r="AH173" s="766"/>
      <c r="AI173" s="766"/>
      <c r="AJ173" s="766"/>
      <c r="AK173" s="766" t="s">
        <v>1899</v>
      </c>
      <c r="AL173" s="121"/>
      <c r="AM173" s="772"/>
      <c r="AN173" s="774"/>
      <c r="AO173" s="766"/>
      <c r="AP173" s="766"/>
      <c r="AQ173" s="766"/>
      <c r="AR173" s="766"/>
      <c r="AS173" s="766"/>
      <c r="AT173" s="766"/>
      <c r="AU173" s="766"/>
      <c r="AV173" s="766"/>
      <c r="AW173" s="766"/>
      <c r="AX173" s="766"/>
      <c r="AY173" s="766"/>
      <c r="AZ173" s="766"/>
      <c r="BA173" s="766"/>
      <c r="BB173" s="766"/>
      <c r="BC173" s="766"/>
      <c r="BD173" s="766"/>
      <c r="BE173" s="766"/>
      <c r="BF173" s="775"/>
      <c r="BG173" s="775"/>
      <c r="BH173" s="766"/>
      <c r="BI173" s="766"/>
      <c r="BJ173" s="766"/>
      <c r="BK173" s="766"/>
      <c r="BL173" s="766"/>
      <c r="BM173" s="766" t="s">
        <v>1238</v>
      </c>
      <c r="BN173" s="766" t="s">
        <v>1256</v>
      </c>
      <c r="BO173" s="766"/>
      <c r="BP173" s="776"/>
      <c r="BQ173" s="772"/>
      <c r="BR173" s="774"/>
      <c r="BS173" s="766" t="s">
        <v>1257</v>
      </c>
      <c r="BT173" s="766"/>
      <c r="BU173" s="766"/>
      <c r="BV173" s="766"/>
      <c r="BW173" s="766"/>
      <c r="BX173" s="779"/>
      <c r="BY173" s="766"/>
      <c r="BZ173" s="775"/>
      <c r="CA173" s="766"/>
      <c r="CB173" s="766"/>
      <c r="CC173" s="766"/>
      <c r="CD173" s="766"/>
      <c r="CE173" s="766"/>
      <c r="CF173" s="777"/>
      <c r="CG173" s="778"/>
      <c r="CH173" s="766"/>
      <c r="CI173" s="766"/>
      <c r="CJ173" s="766"/>
      <c r="CK173" s="766"/>
      <c r="CL173" s="766"/>
      <c r="CM173" s="766"/>
      <c r="CN173" s="766"/>
      <c r="CO173" s="766"/>
      <c r="CP173" s="766"/>
      <c r="CQ173" s="766"/>
      <c r="CR173" s="775"/>
      <c r="CS173" s="766"/>
      <c r="CT173" s="766"/>
      <c r="CU173" s="129"/>
      <c r="CV173" s="766"/>
      <c r="CW173" s="766"/>
      <c r="CX173" s="766"/>
      <c r="CY173" s="766"/>
      <c r="CZ173" s="766"/>
      <c r="DA173" s="766"/>
      <c r="DB173" s="766"/>
      <c r="DC173" s="766"/>
      <c r="DD173" s="766"/>
      <c r="DE173" s="766"/>
      <c r="DF173" s="766"/>
      <c r="DG173" s="766"/>
      <c r="DH173" s="766"/>
      <c r="DI173" s="766"/>
      <c r="DJ173" s="766"/>
      <c r="DK173" s="766"/>
      <c r="DL173" s="766"/>
      <c r="DM173" s="766"/>
      <c r="DN173" s="766"/>
      <c r="DO173" s="766"/>
      <c r="DP173" s="766"/>
      <c r="DQ173" s="766"/>
      <c r="DR173" s="766"/>
      <c r="DS173" s="59"/>
      <c r="DT173" s="766"/>
      <c r="DU173" s="766"/>
      <c r="DV173" s="766"/>
      <c r="DW173" s="66"/>
      <c r="DX173" s="66"/>
      <c r="DY173" s="766"/>
      <c r="DZ173" s="766"/>
      <c r="EA173" s="766"/>
      <c r="EB173" s="766"/>
      <c r="EC173" s="766"/>
      <c r="ED173" s="766"/>
      <c r="EE173" s="766"/>
      <c r="EF173" s="766"/>
      <c r="EG173" s="766"/>
      <c r="EH173" s="766"/>
      <c r="EI173" s="766"/>
      <c r="EJ173" s="766"/>
      <c r="EK173" s="766"/>
      <c r="EL173" s="766"/>
      <c r="EM173" s="766"/>
      <c r="EN173" s="766"/>
      <c r="EO173" s="766"/>
      <c r="EP173" s="766"/>
      <c r="EQ173" s="766"/>
      <c r="ER173" s="766"/>
      <c r="ES173" s="766"/>
      <c r="ET173" s="766"/>
      <c r="EU173" s="766"/>
      <c r="EV173" s="766"/>
      <c r="EW173" s="766"/>
      <c r="EX173" s="766"/>
      <c r="EY173" s="766"/>
      <c r="EZ173" s="766"/>
      <c r="FA173" s="766"/>
      <c r="FB173" s="766"/>
      <c r="FC173" s="766"/>
      <c r="FD173" s="775"/>
      <c r="FE173" s="766"/>
      <c r="FF173" s="766"/>
      <c r="FG173" s="766"/>
      <c r="FH173" s="766" t="s">
        <v>1306</v>
      </c>
      <c r="FI173" s="766">
        <v>1</v>
      </c>
      <c r="FJ173" s="766" t="s">
        <v>1148</v>
      </c>
      <c r="FK173" s="766" t="s">
        <v>1620</v>
      </c>
      <c r="FL173" s="766" t="s">
        <v>830</v>
      </c>
      <c r="FM173" s="147">
        <v>2500</v>
      </c>
      <c r="FN173" s="775">
        <v>317</v>
      </c>
      <c r="FO173" s="775">
        <v>460</v>
      </c>
      <c r="FP173" s="766" t="s">
        <v>1602</v>
      </c>
      <c r="FQ173" s="766" t="s">
        <v>1660</v>
      </c>
      <c r="FR173" s="766"/>
      <c r="FS173" s="766"/>
      <c r="FT173" s="766"/>
      <c r="FU173" s="766"/>
      <c r="FV173" s="766"/>
      <c r="FW173" s="766"/>
      <c r="FX173" s="766"/>
      <c r="FY173" s="766"/>
      <c r="FZ173" s="766"/>
      <c r="GA173" s="766"/>
      <c r="GB173" s="766"/>
      <c r="GC173" s="75"/>
      <c r="GD173" s="25"/>
      <c r="GE173" s="766"/>
      <c r="GF173" s="775"/>
      <c r="GG173" s="775"/>
      <c r="GH173" s="766"/>
      <c r="GI173" s="766"/>
      <c r="GJ173" s="766"/>
      <c r="GK173" s="766"/>
      <c r="GL173" s="766"/>
      <c r="GM173" s="766"/>
      <c r="GN173" s="82"/>
      <c r="GO173" s="766"/>
      <c r="GP173" s="766"/>
      <c r="GQ173" s="766"/>
      <c r="GR173" s="766"/>
      <c r="GS173" s="766"/>
      <c r="GT173" s="766"/>
      <c r="GU173" s="766"/>
      <c r="GV173" s="766"/>
      <c r="GW173" s="766"/>
      <c r="GX173" s="766"/>
      <c r="GY173" s="766"/>
      <c r="GZ173" s="766"/>
      <c r="HA173" s="766"/>
      <c r="HB173" s="766"/>
      <c r="HC173" s="766"/>
      <c r="HD173" s="766"/>
      <c r="HE173" s="766"/>
      <c r="HF173" s="766"/>
      <c r="HG173" s="766"/>
      <c r="HH173" s="766"/>
      <c r="HI173" s="766"/>
      <c r="HJ173" s="766"/>
      <c r="HK173" s="766"/>
      <c r="HL173" s="766"/>
      <c r="HM173" s="766"/>
      <c r="HN173" s="766"/>
      <c r="HO173" s="766"/>
      <c r="HP173" s="766"/>
      <c r="HQ173" s="766"/>
      <c r="HR173" s="766"/>
      <c r="HS173" s="766"/>
      <c r="HT173" s="766"/>
      <c r="HU173" s="766"/>
      <c r="HV173" s="766"/>
      <c r="HW173" s="766"/>
      <c r="HX173" s="766"/>
      <c r="HY173" s="766"/>
      <c r="HZ173" s="766"/>
      <c r="IA173" s="766"/>
      <c r="IB173" s="766"/>
      <c r="IC173" s="766"/>
      <c r="ID173" s="766"/>
      <c r="IE173" s="766"/>
      <c r="IF173" s="766"/>
      <c r="IG173" s="766"/>
      <c r="IH173" s="766"/>
      <c r="II173" s="766"/>
      <c r="IJ173" s="766"/>
      <c r="IK173" s="766"/>
      <c r="IL173" s="766"/>
      <c r="IM173" s="766"/>
      <c r="IN173" s="766"/>
      <c r="IO173" s="24"/>
      <c r="IP173" s="766"/>
      <c r="IQ173" s="766"/>
      <c r="IR173" s="766"/>
      <c r="IS173" s="766"/>
      <c r="IT173" s="766"/>
      <c r="IU173" s="766"/>
      <c r="IV173" s="766"/>
      <c r="IW173" s="766"/>
      <c r="IX173" s="766"/>
      <c r="IY173" s="766"/>
      <c r="IZ173" s="766"/>
      <c r="JA173" s="766"/>
      <c r="JB173" s="766"/>
      <c r="JC173" s="766"/>
      <c r="JD173" s="775"/>
      <c r="JE173" s="766"/>
      <c r="JF173" s="766"/>
      <c r="JG173" s="766"/>
      <c r="JH173" s="766"/>
      <c r="JI173" s="766"/>
      <c r="JJ173" s="766">
        <v>11</v>
      </c>
      <c r="JK173" s="766" t="s">
        <v>2065</v>
      </c>
      <c r="JL173" s="766">
        <v>2</v>
      </c>
      <c r="JM173" s="766">
        <v>1</v>
      </c>
      <c r="JN173" s="766">
        <v>4</v>
      </c>
      <c r="JO173" s="766">
        <v>4</v>
      </c>
      <c r="JP173" s="766"/>
      <c r="JQ173" s="766"/>
      <c r="JR173" s="766"/>
      <c r="JS173" s="766"/>
      <c r="JT173" s="766">
        <f t="shared" si="42"/>
        <v>6</v>
      </c>
      <c r="JU173" s="766">
        <f t="shared" si="42"/>
        <v>5</v>
      </c>
      <c r="JV173" s="766"/>
      <c r="JW173" s="766"/>
      <c r="JX173" s="766">
        <v>1</v>
      </c>
      <c r="JY173" s="766">
        <v>1</v>
      </c>
      <c r="JZ173" s="766">
        <v>1</v>
      </c>
      <c r="KA173" s="766"/>
      <c r="KB173" s="766">
        <v>3</v>
      </c>
      <c r="KC173" s="766">
        <v>2</v>
      </c>
      <c r="KD173" s="766">
        <v>1</v>
      </c>
      <c r="KE173" s="766">
        <v>2</v>
      </c>
      <c r="KF173" s="766"/>
      <c r="KG173" s="766"/>
      <c r="KH173" s="766"/>
      <c r="KI173" s="766"/>
      <c r="KJ173" s="770">
        <f t="shared" si="38"/>
        <v>6</v>
      </c>
      <c r="KK173" s="770">
        <f t="shared" si="38"/>
        <v>5</v>
      </c>
      <c r="KL173" s="770"/>
      <c r="KM173" s="770"/>
      <c r="KN173" s="766" t="s">
        <v>707</v>
      </c>
      <c r="KO173" s="766"/>
      <c r="KP173" s="766"/>
      <c r="KQ173" s="766"/>
      <c r="KR173" s="766"/>
      <c r="KS173" s="766"/>
      <c r="KT173" s="766">
        <v>2</v>
      </c>
      <c r="KU173" s="766"/>
      <c r="KV173" s="766"/>
      <c r="KW173" s="766"/>
      <c r="KX173" s="766"/>
      <c r="KY173" s="766">
        <v>1</v>
      </c>
      <c r="KZ173" s="766">
        <v>3</v>
      </c>
      <c r="LA173" s="766">
        <v>3</v>
      </c>
      <c r="LB173" s="766"/>
      <c r="LC173" s="766"/>
      <c r="LD173" s="766"/>
      <c r="LE173" s="766"/>
      <c r="LF173" s="766"/>
      <c r="LG173" s="766"/>
      <c r="LH173" s="766"/>
      <c r="LI173" s="766"/>
      <c r="LJ173" s="766">
        <v>1</v>
      </c>
      <c r="LK173" s="766">
        <v>1</v>
      </c>
      <c r="LL173" s="766"/>
      <c r="LM173" s="766"/>
      <c r="LN173" s="766">
        <f t="shared" si="39"/>
        <v>6</v>
      </c>
      <c r="LO173" s="766">
        <f t="shared" si="39"/>
        <v>5</v>
      </c>
      <c r="LP173" s="766">
        <v>4</v>
      </c>
      <c r="LQ173" s="766">
        <v>4</v>
      </c>
      <c r="LR173" s="766"/>
      <c r="LS173" s="766"/>
      <c r="LT173" s="766"/>
      <c r="LU173" s="766"/>
      <c r="LV173" s="766">
        <v>3</v>
      </c>
      <c r="LW173" s="766">
        <v>1</v>
      </c>
      <c r="LX173" s="769">
        <v>1</v>
      </c>
      <c r="LY173" s="766" t="str">
        <f t="shared" si="43"/>
        <v>within the BRGY</v>
      </c>
      <c r="LZ173" s="66"/>
      <c r="MA173" s="766"/>
      <c r="MB173" s="766"/>
      <c r="MC173" s="1679">
        <f t="shared" si="41"/>
        <v>0</v>
      </c>
      <c r="MD173" s="66">
        <v>34000</v>
      </c>
      <c r="ME173" s="66"/>
      <c r="MF173" s="66"/>
      <c r="MG173" s="1680">
        <f t="shared" si="34"/>
        <v>34000</v>
      </c>
      <c r="MH173" s="766"/>
      <c r="MI173" s="775">
        <v>5000</v>
      </c>
      <c r="MJ173" s="775">
        <v>700</v>
      </c>
      <c r="MK173" s="775">
        <v>500</v>
      </c>
      <c r="ML173" s="775">
        <v>500</v>
      </c>
      <c r="MM173" s="775"/>
      <c r="MN173" s="775">
        <v>2500</v>
      </c>
      <c r="MO173" s="775">
        <v>500</v>
      </c>
      <c r="MP173" s="775">
        <v>1500</v>
      </c>
      <c r="MQ173" s="775">
        <v>460</v>
      </c>
      <c r="MR173" s="775">
        <v>317</v>
      </c>
      <c r="MS173" s="775"/>
      <c r="MT173" s="775"/>
      <c r="MU173" s="775"/>
      <c r="MV173" s="775"/>
      <c r="MW173" s="775"/>
      <c r="MX173" s="775"/>
      <c r="MY173" s="1682">
        <f t="shared" si="35"/>
        <v>11977</v>
      </c>
      <c r="MZ173" s="766" t="s">
        <v>13004</v>
      </c>
      <c r="NA173" s="766" t="s">
        <v>13005</v>
      </c>
      <c r="NB173" s="766" t="s">
        <v>13016</v>
      </c>
      <c r="NC173" s="766" t="s">
        <v>13007</v>
      </c>
      <c r="ND173" s="766">
        <v>0</v>
      </c>
      <c r="NE173" s="766">
        <v>0</v>
      </c>
      <c r="NF173" s="766">
        <v>0</v>
      </c>
      <c r="NG173" s="766">
        <v>3</v>
      </c>
      <c r="NH173" s="766">
        <v>1</v>
      </c>
      <c r="NI173" s="766">
        <v>0</v>
      </c>
      <c r="NJ173" s="766">
        <v>0</v>
      </c>
      <c r="NK173" s="766">
        <v>0</v>
      </c>
      <c r="NL173" s="766">
        <v>1</v>
      </c>
      <c r="NM173" s="766">
        <v>1</v>
      </c>
      <c r="NN173" s="766">
        <v>0</v>
      </c>
      <c r="NO173" s="766">
        <v>0</v>
      </c>
      <c r="NP173" s="766">
        <v>0</v>
      </c>
      <c r="NQ173" s="766">
        <v>1</v>
      </c>
      <c r="NR173" s="766">
        <v>0</v>
      </c>
      <c r="NS173" s="766">
        <v>0</v>
      </c>
      <c r="NT173" s="766">
        <v>0</v>
      </c>
      <c r="NU173" s="766">
        <v>0</v>
      </c>
      <c r="NV173" s="766">
        <v>0</v>
      </c>
      <c r="NW173" s="766">
        <v>0</v>
      </c>
      <c r="NX173" s="766">
        <v>0</v>
      </c>
      <c r="NY173" s="766" t="s">
        <v>1208</v>
      </c>
      <c r="NZ173" s="766" t="s">
        <v>1208</v>
      </c>
      <c r="OA173" s="766" t="s">
        <v>1208</v>
      </c>
      <c r="OB173" s="766" t="s">
        <v>1208</v>
      </c>
      <c r="OC173" s="766" t="s">
        <v>1208</v>
      </c>
      <c r="OD173" s="766" t="s">
        <v>1208</v>
      </c>
      <c r="OE173" s="766"/>
      <c r="OF173" s="766"/>
      <c r="OG173" s="766"/>
      <c r="OH173" s="766"/>
      <c r="OI173" s="766"/>
      <c r="OJ173" s="766"/>
      <c r="OK173" s="766"/>
      <c r="OL173" s="766"/>
      <c r="OM173" s="766"/>
      <c r="ON173" s="766"/>
      <c r="OO173" s="766"/>
      <c r="OP173" s="766"/>
      <c r="OQ173" s="766"/>
      <c r="OR173" s="766"/>
      <c r="OS173" s="766"/>
      <c r="OT173" s="766"/>
      <c r="OU173" s="766"/>
      <c r="OV173" s="766"/>
      <c r="OW173" s="766"/>
      <c r="OX173" s="766"/>
      <c r="OY173" s="766"/>
      <c r="OZ173" s="766"/>
      <c r="PA173" s="766"/>
      <c r="PB173" s="766"/>
      <c r="PC173" s="766"/>
      <c r="PD173" s="766"/>
      <c r="PE173" s="766"/>
      <c r="PF173" s="766"/>
      <c r="PG173" s="766"/>
      <c r="PH173" s="766"/>
      <c r="PI173" s="766"/>
      <c r="PJ173" s="766"/>
      <c r="PK173" s="766" t="s">
        <v>1208</v>
      </c>
      <c r="PL173" s="766"/>
      <c r="PM173" s="766"/>
      <c r="PN173" s="766"/>
      <c r="PO173" s="766"/>
      <c r="PP173" s="766"/>
      <c r="PQ173" s="766"/>
      <c r="PR173" s="766"/>
      <c r="PS173" s="766" t="s">
        <v>1208</v>
      </c>
      <c r="PT173" s="766" t="s">
        <v>1208</v>
      </c>
      <c r="PU173" s="766"/>
      <c r="PV173" s="766"/>
      <c r="PW173" s="766"/>
      <c r="PX173" s="766"/>
      <c r="PY173" s="766"/>
      <c r="PZ173" s="766"/>
      <c r="QA173" s="766"/>
      <c r="QB173" s="766"/>
      <c r="QC173" s="766"/>
      <c r="QD173" s="766"/>
      <c r="QE173" s="766"/>
      <c r="QF173" s="766"/>
      <c r="QG173" s="766"/>
      <c r="QH173" s="766"/>
      <c r="QI173" s="766"/>
      <c r="QJ173" s="766"/>
      <c r="QK173" s="766"/>
      <c r="QL173" s="766"/>
      <c r="QM173" s="766"/>
      <c r="QN173" s="766"/>
      <c r="QO173" s="766"/>
      <c r="QP173" s="766"/>
      <c r="QQ173" s="766"/>
      <c r="QR173" s="766"/>
      <c r="QS173" s="766"/>
      <c r="QT173" s="766"/>
      <c r="QU173" s="766"/>
      <c r="QV173" s="766"/>
      <c r="QW173" s="766"/>
      <c r="QX173" s="766"/>
      <c r="QY173" s="766"/>
      <c r="QZ173" s="766"/>
      <c r="RA173" s="766"/>
      <c r="RB173" s="770" t="s">
        <v>1207</v>
      </c>
      <c r="RC173" s="766">
        <v>2012</v>
      </c>
      <c r="RD173" s="766" t="s">
        <v>13036</v>
      </c>
      <c r="RE173" s="766" t="s">
        <v>13125</v>
      </c>
      <c r="RF173" s="777">
        <f>CONVERT(1,"ft","m")</f>
        <v>0.30480000000000002</v>
      </c>
      <c r="RG173" s="766" t="s">
        <v>13000</v>
      </c>
      <c r="RH173" s="775">
        <v>0</v>
      </c>
      <c r="RI173" s="766">
        <v>1</v>
      </c>
      <c r="RJ173" s="766" t="s">
        <v>2162</v>
      </c>
      <c r="RK173" s="766" t="s">
        <v>13206</v>
      </c>
      <c r="RL173" s="1683"/>
      <c r="RM173" s="12"/>
      <c r="RN173" s="1711"/>
      <c r="RO173" s="171" t="s">
        <v>266</v>
      </c>
      <c r="RP173" s="11"/>
      <c r="RQ173" s="11"/>
      <c r="RR173" s="771"/>
      <c r="RS173" s="766"/>
      <c r="RT173" s="11"/>
      <c r="RU173" s="11"/>
      <c r="RV173" s="766" t="s">
        <v>12439</v>
      </c>
      <c r="RW173" s="11" t="s">
        <v>7521</v>
      </c>
      <c r="RX173" s="11" t="s">
        <v>262</v>
      </c>
      <c r="RY173" s="11"/>
      <c r="RZ173" s="11"/>
      <c r="SA173" s="766"/>
      <c r="SB173" s="11"/>
      <c r="SC173" s="11"/>
    </row>
    <row r="174" spans="1:497" ht="12.75" hidden="1" customHeight="1">
      <c r="A174" s="767" t="s">
        <v>12439</v>
      </c>
      <c r="B174" s="288" t="s">
        <v>7524</v>
      </c>
      <c r="C174" s="171" t="s">
        <v>269</v>
      </c>
      <c r="D174" s="14" t="s">
        <v>270</v>
      </c>
      <c r="E174" s="766" t="s">
        <v>5442</v>
      </c>
      <c r="F174" s="766" t="s">
        <v>28</v>
      </c>
      <c r="G174" s="766" t="s">
        <v>18</v>
      </c>
      <c r="H174" s="766"/>
      <c r="I174" s="5"/>
      <c r="J174" s="766" t="s">
        <v>270</v>
      </c>
      <c r="K174" s="766"/>
      <c r="L174" s="766"/>
      <c r="M174" s="766"/>
      <c r="N174" s="766"/>
      <c r="O174" s="766"/>
      <c r="P174" s="766" t="s">
        <v>270</v>
      </c>
      <c r="Q174" s="1085">
        <v>30367</v>
      </c>
      <c r="R174" s="25">
        <v>33</v>
      </c>
      <c r="S174" s="766" t="s">
        <v>18</v>
      </c>
      <c r="T174" s="766"/>
      <c r="U174" s="26" t="s">
        <v>843</v>
      </c>
      <c r="V174" s="766" t="s">
        <v>719</v>
      </c>
      <c r="W174" s="766"/>
      <c r="X174" s="766"/>
      <c r="Y174" s="766" t="s">
        <v>840</v>
      </c>
      <c r="Z174" s="766" t="s">
        <v>708</v>
      </c>
      <c r="AA174" s="766" t="s">
        <v>709</v>
      </c>
      <c r="AB174" s="766" t="s">
        <v>7274</v>
      </c>
      <c r="AC174" s="766"/>
      <c r="AD174" s="766" t="s">
        <v>716</v>
      </c>
      <c r="AE174" s="766"/>
      <c r="AF174" s="766" t="s">
        <v>798</v>
      </c>
      <c r="AG174" s="766"/>
      <c r="AH174" s="766"/>
      <c r="AI174" s="766"/>
      <c r="AJ174" s="766"/>
      <c r="AK174" s="766" t="s">
        <v>1899</v>
      </c>
      <c r="AL174" s="121"/>
      <c r="AM174" s="772"/>
      <c r="AN174" s="774"/>
      <c r="AO174" s="766"/>
      <c r="AP174" s="766"/>
      <c r="AQ174" s="766"/>
      <c r="AR174" s="766"/>
      <c r="AS174" s="766"/>
      <c r="AT174" s="766"/>
      <c r="AU174" s="766"/>
      <c r="AV174" s="766"/>
      <c r="AW174" s="766"/>
      <c r="AX174" s="766"/>
      <c r="AY174" s="766"/>
      <c r="AZ174" s="766"/>
      <c r="BA174" s="766"/>
      <c r="BB174" s="766"/>
      <c r="BC174" s="766"/>
      <c r="BD174" s="766"/>
      <c r="BE174" s="766"/>
      <c r="BF174" s="775"/>
      <c r="BG174" s="775"/>
      <c r="BH174" s="766"/>
      <c r="BI174" s="766"/>
      <c r="BJ174" s="766"/>
      <c r="BK174" s="766"/>
      <c r="BL174" s="766"/>
      <c r="BM174" s="766" t="s">
        <v>1238</v>
      </c>
      <c r="BN174" s="766" t="s">
        <v>1256</v>
      </c>
      <c r="BO174" s="766"/>
      <c r="BP174" s="776"/>
      <c r="BQ174" s="772"/>
      <c r="BR174" s="774"/>
      <c r="BS174" s="766" t="s">
        <v>1257</v>
      </c>
      <c r="BT174" s="766"/>
      <c r="BU174" s="766"/>
      <c r="BV174" s="766"/>
      <c r="BW174" s="766"/>
      <c r="BX174" s="779"/>
      <c r="BY174" s="766"/>
      <c r="BZ174" s="775"/>
      <c r="CA174" s="766"/>
      <c r="CB174" s="766"/>
      <c r="CC174" s="766"/>
      <c r="CD174" s="766"/>
      <c r="CE174" s="766"/>
      <c r="CF174" s="777"/>
      <c r="CG174" s="778"/>
      <c r="CH174" s="766"/>
      <c r="CI174" s="766"/>
      <c r="CJ174" s="766"/>
      <c r="CK174" s="766"/>
      <c r="CL174" s="766"/>
      <c r="CM174" s="766"/>
      <c r="CN174" s="766"/>
      <c r="CO174" s="766"/>
      <c r="CP174" s="766"/>
      <c r="CQ174" s="766"/>
      <c r="CR174" s="775"/>
      <c r="CS174" s="766"/>
      <c r="CT174" s="766"/>
      <c r="CU174" s="129"/>
      <c r="CV174" s="766"/>
      <c r="CW174" s="766"/>
      <c r="CX174" s="766"/>
      <c r="CY174" s="766"/>
      <c r="CZ174" s="766"/>
      <c r="DA174" s="766"/>
      <c r="DB174" s="766"/>
      <c r="DC174" s="766"/>
      <c r="DD174" s="766"/>
      <c r="DE174" s="766"/>
      <c r="DF174" s="766"/>
      <c r="DG174" s="766"/>
      <c r="DH174" s="766"/>
      <c r="DI174" s="766"/>
      <c r="DJ174" s="766"/>
      <c r="DK174" s="766"/>
      <c r="DL174" s="766"/>
      <c r="DM174" s="766"/>
      <c r="DN174" s="766"/>
      <c r="DO174" s="766"/>
      <c r="DP174" s="766"/>
      <c r="DQ174" s="766"/>
      <c r="DR174" s="766"/>
      <c r="DS174" s="59"/>
      <c r="DT174" s="766"/>
      <c r="DU174" s="766"/>
      <c r="DV174" s="766"/>
      <c r="DW174" s="66"/>
      <c r="DX174" s="66"/>
      <c r="DY174" s="766"/>
      <c r="DZ174" s="766"/>
      <c r="EA174" s="766"/>
      <c r="EB174" s="766"/>
      <c r="EC174" s="766"/>
      <c r="ED174" s="766"/>
      <c r="EE174" s="766"/>
      <c r="EF174" s="766"/>
      <c r="EG174" s="766"/>
      <c r="EH174" s="766"/>
      <c r="EI174" s="766"/>
      <c r="EJ174" s="766"/>
      <c r="EK174" s="766"/>
      <c r="EL174" s="766"/>
      <c r="EM174" s="766"/>
      <c r="EN174" s="766"/>
      <c r="EO174" s="766"/>
      <c r="EP174" s="766"/>
      <c r="EQ174" s="766"/>
      <c r="ER174" s="766"/>
      <c r="ES174" s="766"/>
      <c r="ET174" s="766"/>
      <c r="EU174" s="766"/>
      <c r="EV174" s="766"/>
      <c r="EW174" s="766"/>
      <c r="EX174" s="766"/>
      <c r="EY174" s="766"/>
      <c r="EZ174" s="766"/>
      <c r="FA174" s="766"/>
      <c r="FB174" s="766"/>
      <c r="FC174" s="766"/>
      <c r="FD174" s="775"/>
      <c r="FE174" s="766"/>
      <c r="FF174" s="766"/>
      <c r="FG174" s="766"/>
      <c r="FH174" s="766" t="s">
        <v>1306</v>
      </c>
      <c r="FI174" s="766">
        <v>1</v>
      </c>
      <c r="FJ174" s="766" t="s">
        <v>1148</v>
      </c>
      <c r="FK174" s="766" t="s">
        <v>1620</v>
      </c>
      <c r="FL174" s="766" t="s">
        <v>830</v>
      </c>
      <c r="FM174" s="147">
        <v>2500</v>
      </c>
      <c r="FN174" s="775">
        <v>1400</v>
      </c>
      <c r="FO174" s="775">
        <v>500</v>
      </c>
      <c r="FP174" s="766" t="s">
        <v>1602</v>
      </c>
      <c r="FQ174" s="766" t="s">
        <v>1660</v>
      </c>
      <c r="FR174" s="766"/>
      <c r="FS174" s="766"/>
      <c r="FT174" s="766"/>
      <c r="FU174" s="766"/>
      <c r="FV174" s="766"/>
      <c r="FW174" s="766"/>
      <c r="FX174" s="766"/>
      <c r="FY174" s="766"/>
      <c r="FZ174" s="766"/>
      <c r="GA174" s="766"/>
      <c r="GB174" s="766"/>
      <c r="GC174" s="75"/>
      <c r="GD174" s="25"/>
      <c r="GE174" s="766"/>
      <c r="GF174" s="775"/>
      <c r="GG174" s="775"/>
      <c r="GH174" s="766"/>
      <c r="GI174" s="766"/>
      <c r="GJ174" s="766"/>
      <c r="GK174" s="766"/>
      <c r="GL174" s="766"/>
      <c r="GM174" s="766"/>
      <c r="GN174" s="82"/>
      <c r="GO174" s="766"/>
      <c r="GP174" s="766"/>
      <c r="GQ174" s="766"/>
      <c r="GR174" s="766"/>
      <c r="GS174" s="766"/>
      <c r="GT174" s="766"/>
      <c r="GU174" s="766"/>
      <c r="GV174" s="766"/>
      <c r="GW174" s="766"/>
      <c r="GX174" s="766"/>
      <c r="GY174" s="766"/>
      <c r="GZ174" s="766"/>
      <c r="HA174" s="766"/>
      <c r="HB174" s="766"/>
      <c r="HC174" s="766"/>
      <c r="HD174" s="766"/>
      <c r="HE174" s="766"/>
      <c r="HF174" s="766"/>
      <c r="HG174" s="766"/>
      <c r="HH174" s="766"/>
      <c r="HI174" s="766"/>
      <c r="HJ174" s="766"/>
      <c r="HK174" s="766"/>
      <c r="HL174" s="766"/>
      <c r="HM174" s="766"/>
      <c r="HN174" s="766"/>
      <c r="HO174" s="766"/>
      <c r="HP174" s="766"/>
      <c r="HQ174" s="766"/>
      <c r="HR174" s="766"/>
      <c r="HS174" s="766"/>
      <c r="HT174" s="766"/>
      <c r="HU174" s="766"/>
      <c r="HV174" s="766"/>
      <c r="HW174" s="766"/>
      <c r="HX174" s="766"/>
      <c r="HY174" s="766"/>
      <c r="HZ174" s="766"/>
      <c r="IA174" s="766"/>
      <c r="IB174" s="766" t="s">
        <v>1207</v>
      </c>
      <c r="IC174" s="766" t="s">
        <v>1207</v>
      </c>
      <c r="ID174" s="766"/>
      <c r="IE174" s="766"/>
      <c r="IF174" s="766"/>
      <c r="IG174" s="766"/>
      <c r="IH174" s="766"/>
      <c r="II174" s="766"/>
      <c r="IJ174" s="766"/>
      <c r="IK174" s="766"/>
      <c r="IL174" s="766"/>
      <c r="IM174" s="766"/>
      <c r="IN174" s="766"/>
      <c r="IO174" s="24"/>
      <c r="IP174" s="766"/>
      <c r="IQ174" s="766"/>
      <c r="IR174" s="766"/>
      <c r="IS174" s="766"/>
      <c r="IT174" s="766"/>
      <c r="IU174" s="766"/>
      <c r="IV174" s="766"/>
      <c r="IW174" s="766"/>
      <c r="IX174" s="766"/>
      <c r="IY174" s="766"/>
      <c r="IZ174" s="766"/>
      <c r="JA174" s="766"/>
      <c r="JB174" s="766"/>
      <c r="JC174" s="766"/>
      <c r="JD174" s="775"/>
      <c r="JE174" s="766"/>
      <c r="JF174" s="766"/>
      <c r="JG174" s="766"/>
      <c r="JH174" s="766"/>
      <c r="JI174" s="766"/>
      <c r="JJ174" s="766">
        <v>4</v>
      </c>
      <c r="JK174" s="766" t="s">
        <v>2066</v>
      </c>
      <c r="JL174" s="766">
        <v>1</v>
      </c>
      <c r="JM174" s="766">
        <v>1</v>
      </c>
      <c r="JN174" s="766">
        <v>1</v>
      </c>
      <c r="JO174" s="766">
        <v>1</v>
      </c>
      <c r="JP174" s="766"/>
      <c r="JQ174" s="766"/>
      <c r="JR174" s="766"/>
      <c r="JS174" s="766"/>
      <c r="JT174" s="766">
        <f t="shared" si="42"/>
        <v>2</v>
      </c>
      <c r="JU174" s="766">
        <f t="shared" si="42"/>
        <v>2</v>
      </c>
      <c r="JV174" s="766"/>
      <c r="JW174" s="766"/>
      <c r="JX174" s="766">
        <v>1</v>
      </c>
      <c r="JY174" s="766"/>
      <c r="JZ174" s="766"/>
      <c r="KA174" s="766">
        <v>1</v>
      </c>
      <c r="KB174" s="766"/>
      <c r="KC174" s="766"/>
      <c r="KD174" s="766">
        <v>1</v>
      </c>
      <c r="KE174" s="766">
        <v>1</v>
      </c>
      <c r="KF174" s="766"/>
      <c r="KG174" s="766"/>
      <c r="KH174" s="766"/>
      <c r="KI174" s="766"/>
      <c r="KJ174" s="770">
        <f t="shared" si="38"/>
        <v>2</v>
      </c>
      <c r="KK174" s="770">
        <f t="shared" si="38"/>
        <v>2</v>
      </c>
      <c r="KL174" s="770"/>
      <c r="KM174" s="770"/>
      <c r="KN174" s="766" t="s">
        <v>719</v>
      </c>
      <c r="KO174" s="766"/>
      <c r="KP174" s="766"/>
      <c r="KQ174" s="766"/>
      <c r="KR174" s="766"/>
      <c r="KS174" s="766"/>
      <c r="KT174" s="766">
        <v>1</v>
      </c>
      <c r="KU174" s="766"/>
      <c r="KV174" s="766"/>
      <c r="KW174" s="766"/>
      <c r="KX174" s="766"/>
      <c r="KY174" s="766">
        <v>2</v>
      </c>
      <c r="KZ174" s="766"/>
      <c r="LA174" s="766"/>
      <c r="LB174" s="766"/>
      <c r="LC174" s="766"/>
      <c r="LD174" s="766"/>
      <c r="LE174" s="766"/>
      <c r="LF174" s="766"/>
      <c r="LG174" s="766"/>
      <c r="LH174" s="766"/>
      <c r="LI174" s="766"/>
      <c r="LJ174" s="766">
        <v>1</v>
      </c>
      <c r="LK174" s="766"/>
      <c r="LL174" s="766"/>
      <c r="LM174" s="766"/>
      <c r="LN174" s="766">
        <f t="shared" si="39"/>
        <v>2</v>
      </c>
      <c r="LO174" s="766">
        <f t="shared" si="39"/>
        <v>2</v>
      </c>
      <c r="LP174" s="766">
        <v>2</v>
      </c>
      <c r="LQ174" s="766">
        <v>2</v>
      </c>
      <c r="LR174" s="766"/>
      <c r="LS174" s="766"/>
      <c r="LT174" s="766"/>
      <c r="LU174" s="766">
        <v>1</v>
      </c>
      <c r="LV174" s="766"/>
      <c r="LW174" s="766">
        <v>1</v>
      </c>
      <c r="LX174" s="769">
        <v>1</v>
      </c>
      <c r="LY174" s="766" t="str">
        <f t="shared" si="43"/>
        <v>within the BRGY</v>
      </c>
      <c r="LZ174" s="66"/>
      <c r="MA174" s="766"/>
      <c r="MB174" s="766"/>
      <c r="MC174" s="1679">
        <f t="shared" si="41"/>
        <v>0</v>
      </c>
      <c r="MD174" s="66">
        <v>22850</v>
      </c>
      <c r="ME174" s="66"/>
      <c r="MF174" s="66"/>
      <c r="MG174" s="1680">
        <f t="shared" si="34"/>
        <v>22850</v>
      </c>
      <c r="MH174" s="766"/>
      <c r="MI174" s="775">
        <v>2500</v>
      </c>
      <c r="MJ174" s="775">
        <v>500</v>
      </c>
      <c r="MK174" s="775">
        <v>250</v>
      </c>
      <c r="ML174" s="775">
        <v>1200</v>
      </c>
      <c r="MM174" s="775"/>
      <c r="MN174" s="775">
        <v>2500</v>
      </c>
      <c r="MO174" s="775">
        <v>200</v>
      </c>
      <c r="MP174" s="775">
        <v>500</v>
      </c>
      <c r="MQ174" s="775">
        <v>270</v>
      </c>
      <c r="MR174" s="775">
        <v>1400</v>
      </c>
      <c r="MS174" s="775"/>
      <c r="MT174" s="775"/>
      <c r="MU174" s="775"/>
      <c r="MV174" s="775"/>
      <c r="MW174" s="775"/>
      <c r="MX174" s="775"/>
      <c r="MY174" s="1682">
        <f t="shared" si="35"/>
        <v>9320</v>
      </c>
      <c r="MZ174" s="766" t="s">
        <v>13004</v>
      </c>
      <c r="NA174" s="766" t="s">
        <v>13031</v>
      </c>
      <c r="NB174" s="766" t="s">
        <v>13006</v>
      </c>
      <c r="NC174" s="766" t="s">
        <v>13007</v>
      </c>
      <c r="ND174" s="766">
        <v>0</v>
      </c>
      <c r="NE174" s="766">
        <v>0</v>
      </c>
      <c r="NF174" s="766">
        <v>0</v>
      </c>
      <c r="NG174" s="766">
        <v>2</v>
      </c>
      <c r="NH174" s="766">
        <v>1</v>
      </c>
      <c r="NI174" s="766">
        <v>0</v>
      </c>
      <c r="NJ174" s="766">
        <v>0</v>
      </c>
      <c r="NK174" s="766">
        <v>0</v>
      </c>
      <c r="NL174" s="766">
        <v>1</v>
      </c>
      <c r="NM174" s="766">
        <v>0</v>
      </c>
      <c r="NN174" s="766">
        <v>1</v>
      </c>
      <c r="NO174" s="766">
        <v>0</v>
      </c>
      <c r="NP174" s="766">
        <v>0</v>
      </c>
      <c r="NQ174" s="766">
        <v>1</v>
      </c>
      <c r="NR174" s="766">
        <v>0</v>
      </c>
      <c r="NS174" s="766">
        <v>0</v>
      </c>
      <c r="NT174" s="766">
        <v>0</v>
      </c>
      <c r="NU174" s="766">
        <v>0</v>
      </c>
      <c r="NV174" s="766">
        <v>0</v>
      </c>
      <c r="NW174" s="766">
        <v>0</v>
      </c>
      <c r="NX174" s="766">
        <v>0</v>
      </c>
      <c r="NY174" s="766" t="s">
        <v>1208</v>
      </c>
      <c r="NZ174" s="766" t="s">
        <v>1208</v>
      </c>
      <c r="OA174" s="766" t="s">
        <v>1208</v>
      </c>
      <c r="OB174" s="766" t="s">
        <v>1208</v>
      </c>
      <c r="OC174" s="766" t="s">
        <v>1208</v>
      </c>
      <c r="OD174" s="766"/>
      <c r="OE174" s="766"/>
      <c r="OF174" s="766"/>
      <c r="OG174" s="766"/>
      <c r="OH174" s="766"/>
      <c r="OI174" s="766"/>
      <c r="OJ174" s="766"/>
      <c r="OK174" s="766"/>
      <c r="OL174" s="766"/>
      <c r="OM174" s="766"/>
      <c r="ON174" s="766"/>
      <c r="OO174" s="766"/>
      <c r="OP174" s="766"/>
      <c r="OQ174" s="766"/>
      <c r="OR174" s="766"/>
      <c r="OS174" s="766"/>
      <c r="OT174" s="766"/>
      <c r="OU174" s="766"/>
      <c r="OV174" s="766"/>
      <c r="OW174" s="766"/>
      <c r="OX174" s="766"/>
      <c r="OY174" s="766"/>
      <c r="OZ174" s="766"/>
      <c r="PA174" s="766"/>
      <c r="PB174" s="766"/>
      <c r="PC174" s="766"/>
      <c r="PD174" s="766"/>
      <c r="PE174" s="766"/>
      <c r="PF174" s="766"/>
      <c r="PG174" s="766"/>
      <c r="PH174" s="766"/>
      <c r="PI174" s="766"/>
      <c r="PJ174" s="766"/>
      <c r="PK174" s="766" t="s">
        <v>1208</v>
      </c>
      <c r="PL174" s="766"/>
      <c r="PM174" s="766"/>
      <c r="PN174" s="766"/>
      <c r="PO174" s="766"/>
      <c r="PP174" s="766"/>
      <c r="PQ174" s="766"/>
      <c r="PR174" s="766"/>
      <c r="PS174" s="766" t="s">
        <v>1208</v>
      </c>
      <c r="PT174" s="766" t="s">
        <v>1208</v>
      </c>
      <c r="PU174" s="766"/>
      <c r="PV174" s="766"/>
      <c r="PW174" s="766"/>
      <c r="PX174" s="766"/>
      <c r="PY174" s="766"/>
      <c r="PZ174" s="766"/>
      <c r="QA174" s="766"/>
      <c r="QB174" s="766"/>
      <c r="QC174" s="766"/>
      <c r="QD174" s="766"/>
      <c r="QE174" s="766"/>
      <c r="QF174" s="766"/>
      <c r="QG174" s="766"/>
      <c r="QH174" s="766"/>
      <c r="QI174" s="766"/>
      <c r="QJ174" s="766"/>
      <c r="QK174" s="766"/>
      <c r="QL174" s="766"/>
      <c r="QM174" s="766"/>
      <c r="QN174" s="766"/>
      <c r="QO174" s="766"/>
      <c r="QP174" s="766"/>
      <c r="QQ174" s="766"/>
      <c r="QR174" s="766"/>
      <c r="QS174" s="766"/>
      <c r="QT174" s="766"/>
      <c r="QU174" s="766"/>
      <c r="QV174" s="766"/>
      <c r="QW174" s="766"/>
      <c r="QX174" s="766"/>
      <c r="QY174" s="766"/>
      <c r="QZ174" s="766"/>
      <c r="RA174" s="766"/>
      <c r="RB174" s="770" t="s">
        <v>1207</v>
      </c>
      <c r="RC174" s="766">
        <v>2016</v>
      </c>
      <c r="RD174" s="766" t="s">
        <v>13238</v>
      </c>
      <c r="RE174" s="766"/>
      <c r="RF174" s="777">
        <f>CONVERT(1,"ft","m")</f>
        <v>0.30480000000000002</v>
      </c>
      <c r="RG174" s="766" t="s">
        <v>13000</v>
      </c>
      <c r="RH174" s="775">
        <v>0</v>
      </c>
      <c r="RI174" s="766">
        <v>1</v>
      </c>
      <c r="RJ174" s="766" t="s">
        <v>2066</v>
      </c>
      <c r="RK174" s="766" t="s">
        <v>13206</v>
      </c>
      <c r="RL174" s="1683"/>
      <c r="RM174" s="12"/>
      <c r="RN174" s="1711"/>
      <c r="RO174" s="171" t="s">
        <v>269</v>
      </c>
      <c r="RP174" s="11"/>
      <c r="RQ174" s="11"/>
      <c r="RR174" s="771"/>
      <c r="RS174" s="766"/>
      <c r="RT174" s="11"/>
      <c r="RU174" s="11"/>
      <c r="RV174" s="766" t="s">
        <v>12439</v>
      </c>
      <c r="RW174" s="11" t="s">
        <v>7522</v>
      </c>
      <c r="RX174" s="11" t="s">
        <v>265</v>
      </c>
      <c r="RY174" s="11"/>
      <c r="RZ174" s="11"/>
      <c r="SA174" s="766"/>
      <c r="SB174" s="11"/>
      <c r="SC174" s="11"/>
    </row>
    <row r="175" spans="1:497" ht="12.75" hidden="1" customHeight="1">
      <c r="A175" s="767" t="s">
        <v>12439</v>
      </c>
      <c r="B175" s="288" t="s">
        <v>7525</v>
      </c>
      <c r="C175" s="171" t="s">
        <v>271</v>
      </c>
      <c r="D175" s="14" t="s">
        <v>272</v>
      </c>
      <c r="E175" s="766" t="s">
        <v>5442</v>
      </c>
      <c r="F175" s="766" t="s">
        <v>28</v>
      </c>
      <c r="G175" s="766" t="s">
        <v>10</v>
      </c>
      <c r="H175" s="766"/>
      <c r="I175" s="5" t="s">
        <v>273</v>
      </c>
      <c r="J175" s="766" t="s">
        <v>272</v>
      </c>
      <c r="K175" s="766"/>
      <c r="L175" s="766"/>
      <c r="M175" s="766"/>
      <c r="N175" s="766"/>
      <c r="O175" s="766"/>
      <c r="P175" s="766" t="s">
        <v>272</v>
      </c>
      <c r="Q175" s="1085">
        <v>30389</v>
      </c>
      <c r="R175" s="25">
        <v>32</v>
      </c>
      <c r="S175" s="766" t="s">
        <v>10</v>
      </c>
      <c r="T175" s="766"/>
      <c r="U175" s="26" t="s">
        <v>273</v>
      </c>
      <c r="V175" s="766" t="s">
        <v>707</v>
      </c>
      <c r="W175" s="766"/>
      <c r="X175" s="766"/>
      <c r="Y175" s="766" t="s">
        <v>840</v>
      </c>
      <c r="Z175" s="766" t="s">
        <v>844</v>
      </c>
      <c r="AA175" s="766" t="s">
        <v>709</v>
      </c>
      <c r="AB175" s="766" t="s">
        <v>7274</v>
      </c>
      <c r="AC175" s="766" t="s">
        <v>724</v>
      </c>
      <c r="AD175" s="766"/>
      <c r="AE175" s="766"/>
      <c r="AF175" s="766" t="s">
        <v>798</v>
      </c>
      <c r="AG175" s="766"/>
      <c r="AH175" s="766"/>
      <c r="AI175" s="766"/>
      <c r="AJ175" s="766"/>
      <c r="AK175" s="766" t="s">
        <v>1899</v>
      </c>
      <c r="AL175" s="121"/>
      <c r="AM175" s="772"/>
      <c r="AN175" s="774"/>
      <c r="AO175" s="766"/>
      <c r="AP175" s="766"/>
      <c r="AQ175" s="766"/>
      <c r="AR175" s="766"/>
      <c r="AS175" s="766"/>
      <c r="AT175" s="766"/>
      <c r="AU175" s="766"/>
      <c r="AV175" s="766"/>
      <c r="AW175" s="766"/>
      <c r="AX175" s="766"/>
      <c r="AY175" s="766"/>
      <c r="AZ175" s="766"/>
      <c r="BA175" s="766"/>
      <c r="BB175" s="766"/>
      <c r="BC175" s="766"/>
      <c r="BD175" s="766"/>
      <c r="BE175" s="766"/>
      <c r="BF175" s="775"/>
      <c r="BG175" s="775"/>
      <c r="BH175" s="766"/>
      <c r="BI175" s="766"/>
      <c r="BJ175" s="766"/>
      <c r="BK175" s="766"/>
      <c r="BL175" s="766"/>
      <c r="BM175" s="766" t="s">
        <v>1238</v>
      </c>
      <c r="BN175" s="766" t="s">
        <v>1256</v>
      </c>
      <c r="BO175" s="766"/>
      <c r="BP175" s="776"/>
      <c r="BQ175" s="772"/>
      <c r="BR175" s="774"/>
      <c r="BS175" s="766" t="s">
        <v>1257</v>
      </c>
      <c r="BT175" s="766"/>
      <c r="BU175" s="766"/>
      <c r="BV175" s="766"/>
      <c r="BW175" s="766"/>
      <c r="BX175" s="779"/>
      <c r="BY175" s="766"/>
      <c r="BZ175" s="775"/>
      <c r="CA175" s="766"/>
      <c r="CB175" s="766"/>
      <c r="CC175" s="766"/>
      <c r="CD175" s="766"/>
      <c r="CE175" s="766"/>
      <c r="CF175" s="777"/>
      <c r="CG175" s="778"/>
      <c r="CH175" s="766"/>
      <c r="CI175" s="766"/>
      <c r="CJ175" s="766"/>
      <c r="CK175" s="766"/>
      <c r="CL175" s="766"/>
      <c r="CM175" s="766"/>
      <c r="CN175" s="766"/>
      <c r="CO175" s="766"/>
      <c r="CP175" s="766"/>
      <c r="CQ175" s="766"/>
      <c r="CR175" s="775"/>
      <c r="CS175" s="766"/>
      <c r="CT175" s="766"/>
      <c r="CU175" s="129"/>
      <c r="CV175" s="766"/>
      <c r="CW175" s="766"/>
      <c r="CX175" s="766"/>
      <c r="CY175" s="766"/>
      <c r="CZ175" s="766"/>
      <c r="DA175" s="766"/>
      <c r="DB175" s="766"/>
      <c r="DC175" s="766"/>
      <c r="DD175" s="766"/>
      <c r="DE175" s="766"/>
      <c r="DF175" s="766"/>
      <c r="DG175" s="766"/>
      <c r="DH175" s="766"/>
      <c r="DI175" s="766"/>
      <c r="DJ175" s="766"/>
      <c r="DK175" s="766"/>
      <c r="DL175" s="766"/>
      <c r="DM175" s="766"/>
      <c r="DN175" s="766"/>
      <c r="DO175" s="766"/>
      <c r="DP175" s="766"/>
      <c r="DQ175" s="766"/>
      <c r="DR175" s="766"/>
      <c r="DS175" s="59"/>
      <c r="DT175" s="766"/>
      <c r="DU175" s="766"/>
      <c r="DV175" s="766"/>
      <c r="DW175" s="66"/>
      <c r="DX175" s="66"/>
      <c r="DY175" s="766"/>
      <c r="DZ175" s="766"/>
      <c r="EA175" s="766"/>
      <c r="EB175" s="766"/>
      <c r="EC175" s="766"/>
      <c r="ED175" s="766"/>
      <c r="EE175" s="766"/>
      <c r="EF175" s="766"/>
      <c r="EG175" s="766"/>
      <c r="EH175" s="766"/>
      <c r="EI175" s="766"/>
      <c r="EJ175" s="766"/>
      <c r="EK175" s="766"/>
      <c r="EL175" s="766"/>
      <c r="EM175" s="766"/>
      <c r="EN175" s="766"/>
      <c r="EO175" s="766"/>
      <c r="EP175" s="766"/>
      <c r="EQ175" s="766"/>
      <c r="ER175" s="766"/>
      <c r="ES175" s="766"/>
      <c r="ET175" s="766"/>
      <c r="EU175" s="766"/>
      <c r="EV175" s="766"/>
      <c r="EW175" s="766"/>
      <c r="EX175" s="766"/>
      <c r="EY175" s="766"/>
      <c r="EZ175" s="766"/>
      <c r="FA175" s="766"/>
      <c r="FB175" s="766"/>
      <c r="FC175" s="766"/>
      <c r="FD175" s="775"/>
      <c r="FE175" s="766"/>
      <c r="FF175" s="766"/>
      <c r="FG175" s="766"/>
      <c r="FH175" s="766" t="s">
        <v>1306</v>
      </c>
      <c r="FI175" s="766">
        <v>1</v>
      </c>
      <c r="FJ175" s="766" t="s">
        <v>1148</v>
      </c>
      <c r="FK175" s="766" t="s">
        <v>1620</v>
      </c>
      <c r="FL175" s="766" t="s">
        <v>830</v>
      </c>
      <c r="FM175" s="147">
        <v>3000</v>
      </c>
      <c r="FN175" s="775">
        <v>317</v>
      </c>
      <c r="FO175" s="775">
        <v>600</v>
      </c>
      <c r="FP175" s="766" t="s">
        <v>1602</v>
      </c>
      <c r="FQ175" s="766" t="s">
        <v>1660</v>
      </c>
      <c r="FR175" s="766"/>
      <c r="FS175" s="766"/>
      <c r="FT175" s="766"/>
      <c r="FU175" s="766"/>
      <c r="FV175" s="766"/>
      <c r="FW175" s="766"/>
      <c r="FX175" s="766"/>
      <c r="FY175" s="766"/>
      <c r="FZ175" s="766"/>
      <c r="GA175" s="766"/>
      <c r="GB175" s="766"/>
      <c r="GC175" s="75"/>
      <c r="GD175" s="25"/>
      <c r="GE175" s="766"/>
      <c r="GF175" s="775"/>
      <c r="GG175" s="775"/>
      <c r="GH175" s="766"/>
      <c r="GI175" s="766"/>
      <c r="GJ175" s="766"/>
      <c r="GK175" s="766"/>
      <c r="GL175" s="766"/>
      <c r="GM175" s="766"/>
      <c r="GN175" s="82"/>
      <c r="GO175" s="766"/>
      <c r="GP175" s="766"/>
      <c r="GQ175" s="766"/>
      <c r="GR175" s="766"/>
      <c r="GS175" s="766"/>
      <c r="GT175" s="766"/>
      <c r="GU175" s="766"/>
      <c r="GV175" s="766"/>
      <c r="GW175" s="766"/>
      <c r="GX175" s="766"/>
      <c r="GY175" s="766"/>
      <c r="GZ175" s="766"/>
      <c r="HA175" s="766"/>
      <c r="HB175" s="766"/>
      <c r="HC175" s="766"/>
      <c r="HD175" s="766"/>
      <c r="HE175" s="766"/>
      <c r="HF175" s="766"/>
      <c r="HG175" s="766"/>
      <c r="HH175" s="766"/>
      <c r="HI175" s="766"/>
      <c r="HJ175" s="766"/>
      <c r="HK175" s="766"/>
      <c r="HL175" s="766"/>
      <c r="HM175" s="766"/>
      <c r="HN175" s="766"/>
      <c r="HO175" s="766"/>
      <c r="HP175" s="766"/>
      <c r="HQ175" s="766"/>
      <c r="HR175" s="766"/>
      <c r="HS175" s="766"/>
      <c r="HT175" s="766"/>
      <c r="HU175" s="766"/>
      <c r="HV175" s="766"/>
      <c r="HW175" s="766"/>
      <c r="HX175" s="766"/>
      <c r="HY175" s="766"/>
      <c r="HZ175" s="766"/>
      <c r="IA175" s="766"/>
      <c r="IB175" s="766"/>
      <c r="IC175" s="766"/>
      <c r="ID175" s="766" t="s">
        <v>1207</v>
      </c>
      <c r="IE175" s="766"/>
      <c r="IF175" s="766"/>
      <c r="IG175" s="766"/>
      <c r="IH175" s="766"/>
      <c r="II175" s="766"/>
      <c r="IJ175" s="766"/>
      <c r="IK175" s="766"/>
      <c r="IL175" s="766"/>
      <c r="IM175" s="766"/>
      <c r="IN175" s="766"/>
      <c r="IO175" s="24"/>
      <c r="IP175" s="766"/>
      <c r="IQ175" s="766"/>
      <c r="IR175" s="766"/>
      <c r="IS175" s="766"/>
      <c r="IT175" s="766"/>
      <c r="IU175" s="766"/>
      <c r="IV175" s="766"/>
      <c r="IW175" s="766"/>
      <c r="IX175" s="766"/>
      <c r="IY175" s="766"/>
      <c r="IZ175" s="766"/>
      <c r="JA175" s="766"/>
      <c r="JB175" s="766"/>
      <c r="JC175" s="766"/>
      <c r="JD175" s="775"/>
      <c r="JE175" s="766"/>
      <c r="JF175" s="766"/>
      <c r="JG175" s="766"/>
      <c r="JH175" s="766"/>
      <c r="JI175" s="766"/>
      <c r="JJ175" s="766">
        <v>4</v>
      </c>
      <c r="JK175" s="766" t="s">
        <v>13239</v>
      </c>
      <c r="JL175" s="766" t="s">
        <v>110</v>
      </c>
      <c r="JM175" s="766">
        <v>1</v>
      </c>
      <c r="JN175" s="766">
        <v>1</v>
      </c>
      <c r="JO175" s="766">
        <v>2</v>
      </c>
      <c r="JP175" s="766"/>
      <c r="JQ175" s="766"/>
      <c r="JR175" s="766"/>
      <c r="JS175" s="766"/>
      <c r="JT175" s="766">
        <f t="shared" si="42"/>
        <v>1</v>
      </c>
      <c r="JU175" s="766">
        <f t="shared" si="42"/>
        <v>3</v>
      </c>
      <c r="JV175" s="766"/>
      <c r="JW175" s="766"/>
      <c r="JX175" s="766"/>
      <c r="JY175" s="766">
        <v>1</v>
      </c>
      <c r="JZ175" s="766"/>
      <c r="KA175" s="766"/>
      <c r="KB175" s="766"/>
      <c r="KC175" s="766">
        <v>1</v>
      </c>
      <c r="KD175" s="766">
        <v>1</v>
      </c>
      <c r="KE175" s="766"/>
      <c r="KF175" s="766"/>
      <c r="KG175" s="766">
        <v>1</v>
      </c>
      <c r="KH175" s="766"/>
      <c r="KI175" s="766"/>
      <c r="KJ175" s="770">
        <f t="shared" si="38"/>
        <v>1</v>
      </c>
      <c r="KK175" s="770">
        <f t="shared" si="38"/>
        <v>3</v>
      </c>
      <c r="KL175" s="770"/>
      <c r="KM175" s="770"/>
      <c r="KN175" s="766" t="s">
        <v>707</v>
      </c>
      <c r="KO175" s="766"/>
      <c r="KP175" s="766"/>
      <c r="KQ175" s="766"/>
      <c r="KR175" s="766"/>
      <c r="KS175" s="766"/>
      <c r="KT175" s="766"/>
      <c r="KU175" s="766">
        <v>1</v>
      </c>
      <c r="KV175" s="766"/>
      <c r="KW175" s="766"/>
      <c r="KX175" s="766"/>
      <c r="KY175" s="766">
        <v>1</v>
      </c>
      <c r="KZ175" s="766">
        <v>1</v>
      </c>
      <c r="LA175" s="766"/>
      <c r="LB175" s="766"/>
      <c r="LC175" s="766"/>
      <c r="LD175" s="766"/>
      <c r="LE175" s="766"/>
      <c r="LF175" s="766"/>
      <c r="LG175" s="766"/>
      <c r="LH175" s="766"/>
      <c r="LI175" s="766"/>
      <c r="LJ175" s="766"/>
      <c r="LK175" s="766">
        <v>1</v>
      </c>
      <c r="LL175" s="766"/>
      <c r="LM175" s="766"/>
      <c r="LN175" s="766">
        <f t="shared" si="39"/>
        <v>1</v>
      </c>
      <c r="LO175" s="766">
        <f t="shared" si="39"/>
        <v>3</v>
      </c>
      <c r="LP175" s="766">
        <v>1</v>
      </c>
      <c r="LQ175" s="766">
        <v>1</v>
      </c>
      <c r="LR175" s="766"/>
      <c r="LS175" s="766"/>
      <c r="LT175" s="766"/>
      <c r="LU175" s="766">
        <v>1</v>
      </c>
      <c r="LV175" s="766"/>
      <c r="LW175" s="766"/>
      <c r="LX175" s="769">
        <v>1</v>
      </c>
      <c r="LY175" s="766" t="str">
        <f t="shared" si="43"/>
        <v>within the BRGY</v>
      </c>
      <c r="LZ175" s="66"/>
      <c r="MA175" s="766"/>
      <c r="MB175" s="766"/>
      <c r="MC175" s="1679">
        <f t="shared" si="41"/>
        <v>0</v>
      </c>
      <c r="MD175" s="66">
        <v>15000</v>
      </c>
      <c r="ME175" s="66"/>
      <c r="MF175" s="66"/>
      <c r="MG175" s="1680">
        <f t="shared" si="34"/>
        <v>15000</v>
      </c>
      <c r="MH175" s="766"/>
      <c r="MI175" s="775">
        <v>6000</v>
      </c>
      <c r="MJ175" s="775"/>
      <c r="MK175" s="775">
        <v>500</v>
      </c>
      <c r="ML175" s="775"/>
      <c r="MM175" s="775"/>
      <c r="MN175" s="775">
        <v>3000</v>
      </c>
      <c r="MO175" s="775">
        <v>150</v>
      </c>
      <c r="MP175" s="775">
        <v>600</v>
      </c>
      <c r="MQ175" s="775">
        <v>360</v>
      </c>
      <c r="MR175" s="775">
        <v>317</v>
      </c>
      <c r="MS175" s="775">
        <v>1000</v>
      </c>
      <c r="MT175" s="775"/>
      <c r="MU175" s="775"/>
      <c r="MV175" s="775"/>
      <c r="MW175" s="775"/>
      <c r="MX175" s="775"/>
      <c r="MY175" s="1682">
        <f t="shared" si="35"/>
        <v>11927</v>
      </c>
      <c r="MZ175" s="766" t="s">
        <v>13004</v>
      </c>
      <c r="NA175" s="766" t="s">
        <v>13005</v>
      </c>
      <c r="NB175" s="766" t="s">
        <v>13006</v>
      </c>
      <c r="NC175" s="766" t="s">
        <v>13007</v>
      </c>
      <c r="ND175" s="766">
        <v>0</v>
      </c>
      <c r="NE175" s="766">
        <v>0</v>
      </c>
      <c r="NF175" s="766">
        <v>0</v>
      </c>
      <c r="NG175" s="766">
        <v>2</v>
      </c>
      <c r="NH175" s="766">
        <v>2</v>
      </c>
      <c r="NI175" s="766">
        <v>2</v>
      </c>
      <c r="NJ175" s="766">
        <v>0</v>
      </c>
      <c r="NK175" s="766">
        <v>0</v>
      </c>
      <c r="NL175" s="766">
        <v>0</v>
      </c>
      <c r="NM175" s="766">
        <v>1</v>
      </c>
      <c r="NN175" s="766">
        <v>0</v>
      </c>
      <c r="NO175" s="766">
        <v>0</v>
      </c>
      <c r="NP175" s="766">
        <v>0</v>
      </c>
      <c r="NQ175" s="766">
        <v>1</v>
      </c>
      <c r="NR175" s="766">
        <v>0</v>
      </c>
      <c r="NS175" s="766">
        <v>0</v>
      </c>
      <c r="NT175" s="766">
        <v>0</v>
      </c>
      <c r="NU175" s="766">
        <v>0</v>
      </c>
      <c r="NV175" s="766">
        <v>0</v>
      </c>
      <c r="NW175" s="766">
        <v>0</v>
      </c>
      <c r="NX175" s="766">
        <v>0</v>
      </c>
      <c r="NY175" s="766" t="s">
        <v>1208</v>
      </c>
      <c r="NZ175" s="766" t="s">
        <v>1208</v>
      </c>
      <c r="OA175" s="766" t="s">
        <v>1208</v>
      </c>
      <c r="OB175" s="766" t="s">
        <v>1208</v>
      </c>
      <c r="OC175" s="766" t="s">
        <v>1208</v>
      </c>
      <c r="OD175" s="766"/>
      <c r="OE175" s="766"/>
      <c r="OF175" s="766"/>
      <c r="OG175" s="766"/>
      <c r="OH175" s="766"/>
      <c r="OI175" s="766"/>
      <c r="OJ175" s="766"/>
      <c r="OK175" s="766"/>
      <c r="OL175" s="766"/>
      <c r="OM175" s="766"/>
      <c r="ON175" s="766"/>
      <c r="OO175" s="766"/>
      <c r="OP175" s="766"/>
      <c r="OQ175" s="766"/>
      <c r="OR175" s="766"/>
      <c r="OS175" s="766"/>
      <c r="OT175" s="766"/>
      <c r="OU175" s="766"/>
      <c r="OV175" s="766"/>
      <c r="OW175" s="766"/>
      <c r="OX175" s="766"/>
      <c r="OY175" s="766"/>
      <c r="OZ175" s="766"/>
      <c r="PA175" s="766"/>
      <c r="PB175" s="766"/>
      <c r="PC175" s="766"/>
      <c r="PD175" s="766"/>
      <c r="PE175" s="766"/>
      <c r="PF175" s="766"/>
      <c r="PG175" s="766"/>
      <c r="PH175" s="766" t="s">
        <v>1208</v>
      </c>
      <c r="PI175" s="766"/>
      <c r="PJ175" s="766"/>
      <c r="PK175" s="766"/>
      <c r="PL175" s="766"/>
      <c r="PM175" s="766"/>
      <c r="PN175" s="766"/>
      <c r="PO175" s="766"/>
      <c r="PP175" s="766"/>
      <c r="PQ175" s="766"/>
      <c r="PR175" s="766"/>
      <c r="PS175" s="766" t="s">
        <v>1208</v>
      </c>
      <c r="PT175" s="766" t="s">
        <v>1208</v>
      </c>
      <c r="PU175" s="766"/>
      <c r="PV175" s="766"/>
      <c r="PW175" s="766"/>
      <c r="PX175" s="766"/>
      <c r="PY175" s="766"/>
      <c r="PZ175" s="766"/>
      <c r="QA175" s="766"/>
      <c r="QB175" s="766"/>
      <c r="QC175" s="766"/>
      <c r="QD175" s="766"/>
      <c r="QE175" s="766"/>
      <c r="QF175" s="766"/>
      <c r="QG175" s="766"/>
      <c r="QH175" s="766"/>
      <c r="QI175" s="766"/>
      <c r="QJ175" s="766"/>
      <c r="QK175" s="766"/>
      <c r="QL175" s="766"/>
      <c r="QM175" s="766"/>
      <c r="QN175" s="766"/>
      <c r="QO175" s="766"/>
      <c r="QP175" s="766"/>
      <c r="QQ175" s="766"/>
      <c r="QR175" s="766"/>
      <c r="QS175" s="766"/>
      <c r="QT175" s="766"/>
      <c r="QU175" s="766"/>
      <c r="QV175" s="766"/>
      <c r="QW175" s="766"/>
      <c r="QX175" s="766"/>
      <c r="QY175" s="766"/>
      <c r="QZ175" s="766"/>
      <c r="RA175" s="766"/>
      <c r="RB175" s="770" t="s">
        <v>1207</v>
      </c>
      <c r="RC175" s="766">
        <v>2009</v>
      </c>
      <c r="RD175" s="766" t="s">
        <v>13223</v>
      </c>
      <c r="RE175" s="766" t="s">
        <v>12990</v>
      </c>
      <c r="RF175" s="777">
        <v>1</v>
      </c>
      <c r="RG175" s="766" t="s">
        <v>13000</v>
      </c>
      <c r="RH175" s="775">
        <v>0</v>
      </c>
      <c r="RI175" s="766">
        <v>1</v>
      </c>
      <c r="RJ175" s="766" t="s">
        <v>13239</v>
      </c>
      <c r="RK175" s="766" t="s">
        <v>13206</v>
      </c>
      <c r="RL175" s="1683"/>
      <c r="RM175" s="12"/>
      <c r="RN175" s="1711"/>
      <c r="RO175" s="171" t="s">
        <v>271</v>
      </c>
      <c r="RP175" s="11"/>
      <c r="RQ175" s="11"/>
      <c r="RR175" s="771"/>
      <c r="RS175" s="766"/>
      <c r="RT175" s="11"/>
      <c r="RU175" s="11"/>
      <c r="RV175" s="766" t="s">
        <v>12439</v>
      </c>
      <c r="RW175" s="11" t="s">
        <v>7523</v>
      </c>
      <c r="RX175" s="11" t="s">
        <v>266</v>
      </c>
      <c r="RY175" s="11"/>
      <c r="RZ175" s="11"/>
      <c r="SA175" s="766"/>
      <c r="SB175" s="11"/>
      <c r="SC175" s="11"/>
    </row>
    <row r="176" spans="1:497" ht="12.75" hidden="1" customHeight="1">
      <c r="A176" s="154" t="s">
        <v>7419</v>
      </c>
      <c r="B176" s="288" t="s">
        <v>7961</v>
      </c>
      <c r="C176" s="171" t="s">
        <v>280</v>
      </c>
      <c r="D176" s="766" t="s">
        <v>281</v>
      </c>
      <c r="E176" s="766" t="s">
        <v>5443</v>
      </c>
      <c r="F176" s="766"/>
      <c r="G176" s="766"/>
      <c r="H176" s="766"/>
      <c r="I176" s="5"/>
      <c r="J176" s="766"/>
      <c r="K176" s="766"/>
      <c r="L176" s="766"/>
      <c r="M176" s="766"/>
      <c r="N176" s="766"/>
      <c r="O176" s="766"/>
      <c r="P176" s="766"/>
      <c r="Q176" s="1085"/>
      <c r="R176" s="25"/>
      <c r="S176" s="766"/>
      <c r="T176" s="766"/>
      <c r="U176" s="26"/>
      <c r="V176" s="766"/>
      <c r="W176" s="766"/>
      <c r="X176" s="766"/>
      <c r="Y176" s="766"/>
      <c r="Z176" s="766"/>
      <c r="AA176" s="766"/>
      <c r="AB176" s="766"/>
      <c r="AC176" s="766"/>
      <c r="AD176" s="766"/>
      <c r="AE176" s="766"/>
      <c r="AF176" s="766"/>
      <c r="AG176" s="766" t="s">
        <v>1095</v>
      </c>
      <c r="AH176" s="766" t="s">
        <v>1096</v>
      </c>
      <c r="AI176" s="6" t="s">
        <v>1150</v>
      </c>
      <c r="AJ176" s="6"/>
      <c r="AK176" s="766" t="s">
        <v>1097</v>
      </c>
      <c r="AL176" s="124">
        <v>46.8</v>
      </c>
      <c r="AM176" s="45">
        <v>46.8</v>
      </c>
      <c r="AN176" s="47">
        <f>AM176/AL176</f>
        <v>1</v>
      </c>
      <c r="AO176" s="766" t="s">
        <v>1113</v>
      </c>
      <c r="AP176" s="766"/>
      <c r="AQ176" s="766"/>
      <c r="AR176" s="766"/>
      <c r="AS176" s="766" t="s">
        <v>1207</v>
      </c>
      <c r="AT176" s="766" t="s">
        <v>1208</v>
      </c>
      <c r="AU176" s="766"/>
      <c r="AV176" s="766"/>
      <c r="AW176" s="766"/>
      <c r="AX176" s="766"/>
      <c r="AY176" s="766"/>
      <c r="AZ176" s="766"/>
      <c r="BA176" s="766"/>
      <c r="BB176" s="766"/>
      <c r="BC176" s="766"/>
      <c r="BD176" s="766"/>
      <c r="BE176" s="766"/>
      <c r="BF176" s="775"/>
      <c r="BG176" s="775"/>
      <c r="BH176" s="766"/>
      <c r="BI176" s="766"/>
      <c r="BJ176" s="766"/>
      <c r="BK176" s="766" t="s">
        <v>1095</v>
      </c>
      <c r="BL176" s="766" t="s">
        <v>12750</v>
      </c>
      <c r="BM176" s="766" t="s">
        <v>1096</v>
      </c>
      <c r="BN176" s="766" t="s">
        <v>1230</v>
      </c>
      <c r="BO176" s="766" t="s">
        <v>1246</v>
      </c>
      <c r="BP176" s="776">
        <v>46.8</v>
      </c>
      <c r="BQ176" s="772">
        <v>20.7</v>
      </c>
      <c r="BR176" s="774">
        <f>BQ176/BP176</f>
        <v>0.44230769230769235</v>
      </c>
      <c r="BS176" s="766" t="s">
        <v>1105</v>
      </c>
      <c r="BT176" s="766" t="s">
        <v>2040</v>
      </c>
      <c r="BU176" s="766" t="s">
        <v>1249</v>
      </c>
      <c r="BV176" s="766" t="s">
        <v>1247</v>
      </c>
      <c r="BW176" s="769"/>
      <c r="BX176" s="779"/>
      <c r="BY176" s="766"/>
      <c r="BZ176" s="775"/>
      <c r="CA176" s="766"/>
      <c r="CB176" s="766"/>
      <c r="CC176" s="766"/>
      <c r="CD176" s="766"/>
      <c r="CE176" s="766"/>
      <c r="CF176" s="777"/>
      <c r="CG176" s="778"/>
      <c r="CH176" s="766"/>
      <c r="CI176" s="766"/>
      <c r="CJ176" s="766"/>
      <c r="CK176" s="766"/>
      <c r="CL176" s="766"/>
      <c r="CM176" s="766"/>
      <c r="CN176" s="766"/>
      <c r="CO176" s="766"/>
      <c r="CP176" s="766"/>
      <c r="CQ176" s="766"/>
      <c r="CR176" s="775"/>
      <c r="CS176" s="766"/>
      <c r="CT176" s="766"/>
      <c r="CU176" s="129"/>
      <c r="CV176" s="766"/>
      <c r="CW176" s="766"/>
      <c r="CX176" s="766"/>
      <c r="CY176" s="766"/>
      <c r="CZ176" s="766"/>
      <c r="DA176" s="766"/>
      <c r="DB176" s="766"/>
      <c r="DC176" s="766"/>
      <c r="DD176" s="766"/>
      <c r="DE176" s="766"/>
      <c r="DF176" s="766"/>
      <c r="DG176" s="766"/>
      <c r="DH176" s="766"/>
      <c r="DI176" s="766"/>
      <c r="DJ176" s="766"/>
      <c r="DK176" s="766"/>
      <c r="DL176" s="766"/>
      <c r="DM176" s="766"/>
      <c r="DN176" s="766"/>
      <c r="DO176" s="766"/>
      <c r="DP176" s="766"/>
      <c r="DQ176" s="766"/>
      <c r="DR176" s="766"/>
      <c r="DS176" s="59"/>
      <c r="DT176" s="766"/>
      <c r="DU176" s="766"/>
      <c r="DV176" s="766"/>
      <c r="DW176" s="66"/>
      <c r="DX176" s="66"/>
      <c r="DY176" s="766"/>
      <c r="DZ176" s="766"/>
      <c r="EA176" s="766"/>
      <c r="EB176" s="766"/>
      <c r="EC176" s="766"/>
      <c r="ED176" s="766"/>
      <c r="EE176" s="766"/>
      <c r="EF176" s="766"/>
      <c r="EG176" s="766"/>
      <c r="EH176" s="766"/>
      <c r="EI176" s="766"/>
      <c r="EJ176" s="766"/>
      <c r="EK176" s="766"/>
      <c r="EL176" s="766"/>
      <c r="EM176" s="766"/>
      <c r="EN176" s="766"/>
      <c r="EO176" s="766"/>
      <c r="EP176" s="766"/>
      <c r="EQ176" s="766"/>
      <c r="ER176" s="766"/>
      <c r="ES176" s="766"/>
      <c r="ET176" s="766"/>
      <c r="EU176" s="766"/>
      <c r="EV176" s="766"/>
      <c r="EW176" s="766"/>
      <c r="EX176" s="766"/>
      <c r="EY176" s="766"/>
      <c r="EZ176" s="766"/>
      <c r="FA176" s="766"/>
      <c r="FB176" s="766"/>
      <c r="FC176" s="766"/>
      <c r="FD176" s="775"/>
      <c r="FE176" s="766"/>
      <c r="FF176" s="766"/>
      <c r="FG176" s="766"/>
      <c r="FH176" s="766" t="s">
        <v>1305</v>
      </c>
      <c r="FI176" s="766">
        <v>1</v>
      </c>
      <c r="FJ176" s="766" t="s">
        <v>1316</v>
      </c>
      <c r="FK176" s="766"/>
      <c r="FL176" s="766"/>
      <c r="FM176" s="775"/>
      <c r="FN176" s="775"/>
      <c r="FO176" s="775"/>
      <c r="FP176" s="766" t="s">
        <v>1602</v>
      </c>
      <c r="FQ176" s="766" t="s">
        <v>1660</v>
      </c>
      <c r="FR176" s="766" t="s">
        <v>1207</v>
      </c>
      <c r="FS176" s="766" t="s">
        <v>1208</v>
      </c>
      <c r="FT176" s="766"/>
      <c r="FU176" s="766"/>
      <c r="FV176" s="766"/>
      <c r="FW176" s="766"/>
      <c r="FX176" s="766"/>
      <c r="FY176" s="766"/>
      <c r="FZ176" s="766"/>
      <c r="GA176" s="766"/>
      <c r="GB176" s="766" t="s">
        <v>1692</v>
      </c>
      <c r="GC176" s="75" t="s">
        <v>1727</v>
      </c>
      <c r="GD176" s="25" t="s">
        <v>1728</v>
      </c>
      <c r="GE176" s="766"/>
      <c r="GF176" s="775"/>
      <c r="GG176" s="775"/>
      <c r="GH176" s="766"/>
      <c r="GI176" s="766"/>
      <c r="GJ176" s="766"/>
      <c r="GK176" s="766"/>
      <c r="GL176" s="766"/>
      <c r="GM176" s="766"/>
      <c r="GN176" s="82"/>
      <c r="GO176" s="766"/>
      <c r="GP176" s="766"/>
      <c r="GQ176" s="766"/>
      <c r="GR176" s="766"/>
      <c r="GS176" s="766"/>
      <c r="GT176" s="766"/>
      <c r="GU176" s="766"/>
      <c r="GV176" s="766"/>
      <c r="GW176" s="766"/>
      <c r="GX176" s="766"/>
      <c r="GY176" s="766"/>
      <c r="GZ176" s="766"/>
      <c r="HA176" s="766"/>
      <c r="HB176" s="766"/>
      <c r="HC176" s="766"/>
      <c r="HD176" s="766"/>
      <c r="HE176" s="766"/>
      <c r="HF176" s="766"/>
      <c r="HG176" s="766"/>
      <c r="HH176" s="766"/>
      <c r="HI176" s="766"/>
      <c r="HJ176" s="766"/>
      <c r="HK176" s="766"/>
      <c r="HL176" s="766"/>
      <c r="HM176" s="766"/>
      <c r="HN176" s="766"/>
      <c r="HO176" s="766"/>
      <c r="HP176" s="766"/>
      <c r="HQ176" s="766"/>
      <c r="HR176" s="766"/>
      <c r="HS176" s="766"/>
      <c r="HT176" s="766"/>
      <c r="HU176" s="766"/>
      <c r="HV176" s="766"/>
      <c r="HW176" s="766"/>
      <c r="HX176" s="766"/>
      <c r="HY176" s="766"/>
      <c r="HZ176" s="766"/>
      <c r="IA176" s="766"/>
      <c r="IB176" s="766"/>
      <c r="IC176" s="766"/>
      <c r="ID176" s="766"/>
      <c r="IE176" s="766"/>
      <c r="IF176" s="766"/>
      <c r="IG176" s="766"/>
      <c r="IH176" s="766"/>
      <c r="II176" s="766"/>
      <c r="IJ176" s="766"/>
      <c r="IK176" s="766"/>
      <c r="IL176" s="766"/>
      <c r="IM176" s="766"/>
      <c r="IN176" s="766"/>
      <c r="IO176" s="24"/>
      <c r="IP176" s="766"/>
      <c r="IQ176" s="766"/>
      <c r="IR176" s="766"/>
      <c r="IS176" s="766"/>
      <c r="IT176" s="766"/>
      <c r="IU176" s="766"/>
      <c r="IV176" s="766"/>
      <c r="IW176" s="766"/>
      <c r="IX176" s="766"/>
      <c r="IY176" s="766"/>
      <c r="IZ176" s="766"/>
      <c r="JA176" s="766"/>
      <c r="JB176" s="766"/>
      <c r="JC176" s="766"/>
      <c r="JD176" s="775"/>
      <c r="JE176" s="766"/>
      <c r="JF176" s="766"/>
      <c r="JG176" s="766"/>
      <c r="JH176" s="766"/>
      <c r="JI176" s="766"/>
      <c r="JJ176" s="766"/>
      <c r="JK176" s="766"/>
      <c r="JL176" s="766"/>
      <c r="JM176" s="766"/>
      <c r="JN176" s="766"/>
      <c r="JO176" s="766"/>
      <c r="JP176" s="766"/>
      <c r="JQ176" s="766"/>
      <c r="JR176" s="766"/>
      <c r="JS176" s="766"/>
      <c r="JT176" s="766"/>
      <c r="JU176" s="766"/>
      <c r="JV176" s="766"/>
      <c r="JW176" s="766"/>
      <c r="JX176" s="766"/>
      <c r="JY176" s="766"/>
      <c r="JZ176" s="766"/>
      <c r="KA176" s="766"/>
      <c r="KB176" s="766"/>
      <c r="KC176" s="766"/>
      <c r="KD176" s="766"/>
      <c r="KE176" s="766"/>
      <c r="KF176" s="766"/>
      <c r="KG176" s="766"/>
      <c r="KH176" s="766"/>
      <c r="KI176" s="766"/>
      <c r="KJ176" s="770"/>
      <c r="KK176" s="770"/>
      <c r="KL176" s="770"/>
      <c r="KM176" s="770"/>
      <c r="KN176" s="766"/>
      <c r="KO176" s="766"/>
      <c r="KP176" s="766"/>
      <c r="KQ176" s="766"/>
      <c r="KR176" s="766"/>
      <c r="KS176" s="766"/>
      <c r="KT176" s="766"/>
      <c r="KU176" s="766"/>
      <c r="KV176" s="766"/>
      <c r="KW176" s="766"/>
      <c r="KX176" s="766"/>
      <c r="KY176" s="766"/>
      <c r="KZ176" s="766"/>
      <c r="LA176" s="766"/>
      <c r="LB176" s="766"/>
      <c r="LC176" s="766"/>
      <c r="LD176" s="766"/>
      <c r="LE176" s="766"/>
      <c r="LF176" s="766"/>
      <c r="LG176" s="766"/>
      <c r="LH176" s="766"/>
      <c r="LI176" s="766"/>
      <c r="LJ176" s="766"/>
      <c r="LK176" s="766"/>
      <c r="LL176" s="766"/>
      <c r="LM176" s="766"/>
      <c r="LN176" s="766"/>
      <c r="LO176" s="766"/>
      <c r="LP176" s="766"/>
      <c r="LQ176" s="766"/>
      <c r="LR176" s="766"/>
      <c r="LS176" s="766"/>
      <c r="LT176" s="766"/>
      <c r="LU176" s="766"/>
      <c r="LV176" s="766"/>
      <c r="LW176" s="766"/>
      <c r="LX176" s="769"/>
      <c r="LY176" s="766" t="str">
        <f t="shared" si="43"/>
        <v/>
      </c>
      <c r="LZ176" s="66"/>
      <c r="MA176" s="766"/>
      <c r="MB176" s="766"/>
      <c r="MC176" s="1679">
        <f t="shared" si="41"/>
        <v>0</v>
      </c>
      <c r="MD176" s="66"/>
      <c r="ME176" s="66"/>
      <c r="MF176" s="66"/>
      <c r="MG176" s="1680">
        <f t="shared" si="34"/>
        <v>0</v>
      </c>
      <c r="MH176" s="766"/>
      <c r="MI176" s="775"/>
      <c r="MJ176" s="775"/>
      <c r="MK176" s="775"/>
      <c r="ML176" s="775"/>
      <c r="MM176" s="775"/>
      <c r="MN176" s="775"/>
      <c r="MO176" s="775"/>
      <c r="MP176" s="775"/>
      <c r="MQ176" s="775"/>
      <c r="MR176" s="775"/>
      <c r="MS176" s="775"/>
      <c r="MT176" s="775"/>
      <c r="MU176" s="775"/>
      <c r="MV176" s="775"/>
      <c r="MW176" s="775"/>
      <c r="MX176" s="775"/>
      <c r="MY176" s="1682">
        <f t="shared" si="35"/>
        <v>0</v>
      </c>
      <c r="MZ176" s="766"/>
      <c r="NA176" s="766"/>
      <c r="NB176" s="766"/>
      <c r="NC176" s="766"/>
      <c r="ND176" s="766"/>
      <c r="NE176" s="766"/>
      <c r="NF176" s="766"/>
      <c r="NG176" s="766"/>
      <c r="NH176" s="766"/>
      <c r="NI176" s="766"/>
      <c r="NJ176" s="766"/>
      <c r="NK176" s="766"/>
      <c r="NL176" s="766"/>
      <c r="NM176" s="766"/>
      <c r="NN176" s="766"/>
      <c r="NO176" s="766"/>
      <c r="NP176" s="766"/>
      <c r="NQ176" s="766"/>
      <c r="NR176" s="766"/>
      <c r="NS176" s="766"/>
      <c r="NT176" s="766"/>
      <c r="NU176" s="766"/>
      <c r="NV176" s="766"/>
      <c r="NW176" s="766"/>
      <c r="NX176" s="766"/>
      <c r="NY176" s="766"/>
      <c r="NZ176" s="766"/>
      <c r="OA176" s="766"/>
      <c r="OB176" s="766"/>
      <c r="OC176" s="766"/>
      <c r="OD176" s="766"/>
      <c r="OE176" s="766"/>
      <c r="OF176" s="766"/>
      <c r="OG176" s="766"/>
      <c r="OH176" s="766"/>
      <c r="OI176" s="766"/>
      <c r="OJ176" s="766"/>
      <c r="OK176" s="766"/>
      <c r="OL176" s="766"/>
      <c r="OM176" s="766"/>
      <c r="ON176" s="766"/>
      <c r="OO176" s="766"/>
      <c r="OP176" s="766"/>
      <c r="OQ176" s="766"/>
      <c r="OR176" s="766"/>
      <c r="OS176" s="766"/>
      <c r="OT176" s="766"/>
      <c r="OU176" s="766"/>
      <c r="OV176" s="766"/>
      <c r="OW176" s="766"/>
      <c r="OX176" s="766"/>
      <c r="OY176" s="766"/>
      <c r="OZ176" s="766"/>
      <c r="PA176" s="766"/>
      <c r="PB176" s="766"/>
      <c r="PC176" s="766"/>
      <c r="PD176" s="766"/>
      <c r="PE176" s="766"/>
      <c r="PF176" s="766"/>
      <c r="PG176" s="766"/>
      <c r="PH176" s="766"/>
      <c r="PI176" s="766"/>
      <c r="PJ176" s="766"/>
      <c r="PK176" s="766"/>
      <c r="PL176" s="766"/>
      <c r="PM176" s="766"/>
      <c r="PN176" s="766"/>
      <c r="PO176" s="766"/>
      <c r="PP176" s="766"/>
      <c r="PQ176" s="766"/>
      <c r="PR176" s="766"/>
      <c r="PS176" s="766"/>
      <c r="PT176" s="766"/>
      <c r="PU176" s="766"/>
      <c r="PV176" s="766"/>
      <c r="PW176" s="766"/>
      <c r="PX176" s="766"/>
      <c r="PY176" s="766"/>
      <c r="PZ176" s="766"/>
      <c r="QA176" s="766"/>
      <c r="QB176" s="766"/>
      <c r="QC176" s="766"/>
      <c r="QD176" s="766"/>
      <c r="QE176" s="766"/>
      <c r="QF176" s="766"/>
      <c r="QG176" s="766"/>
      <c r="QH176" s="766"/>
      <c r="QI176" s="766"/>
      <c r="QJ176" s="766"/>
      <c r="QK176" s="766"/>
      <c r="QL176" s="766"/>
      <c r="QM176" s="766"/>
      <c r="QN176" s="766"/>
      <c r="QO176" s="766"/>
      <c r="QP176" s="766"/>
      <c r="QQ176" s="766"/>
      <c r="QR176" s="766"/>
      <c r="QS176" s="766"/>
      <c r="QT176" s="766"/>
      <c r="QU176" s="766"/>
      <c r="QV176" s="766"/>
      <c r="QW176" s="766"/>
      <c r="QX176" s="766"/>
      <c r="QY176" s="766"/>
      <c r="QZ176" s="766"/>
      <c r="RA176" s="766"/>
      <c r="RB176" s="770"/>
      <c r="RC176" s="766"/>
      <c r="RD176" s="766"/>
      <c r="RE176" s="766"/>
      <c r="RF176" s="777"/>
      <c r="RG176" s="766"/>
      <c r="RH176" s="775"/>
      <c r="RI176" s="766"/>
      <c r="RJ176" s="766"/>
      <c r="RK176" s="766"/>
      <c r="RL176" s="1683"/>
      <c r="RM176" s="12"/>
      <c r="RN176" s="1711"/>
      <c r="RO176" s="171" t="s">
        <v>280</v>
      </c>
      <c r="RP176" s="11"/>
      <c r="RQ176" s="11"/>
      <c r="RR176" s="771"/>
      <c r="RS176" s="766"/>
      <c r="RT176" s="11"/>
      <c r="RU176" s="11"/>
      <c r="RV176" s="766" t="s">
        <v>12439</v>
      </c>
      <c r="RW176" s="11" t="s">
        <v>7524</v>
      </c>
      <c r="RX176" s="11" t="s">
        <v>269</v>
      </c>
      <c r="RY176" s="11"/>
      <c r="RZ176" s="11" t="s">
        <v>7419</v>
      </c>
      <c r="SA176" s="766"/>
      <c r="SB176" s="11"/>
      <c r="SC176" s="11"/>
    </row>
    <row r="177" spans="1:497" ht="12.75" hidden="1" customHeight="1">
      <c r="A177" s="154" t="s">
        <v>12440</v>
      </c>
      <c r="B177" s="288" t="s">
        <v>7526</v>
      </c>
      <c r="C177" s="171" t="s">
        <v>2227</v>
      </c>
      <c r="D177" s="766" t="s">
        <v>282</v>
      </c>
      <c r="E177" s="766" t="s">
        <v>5443</v>
      </c>
      <c r="F177" s="766" t="s">
        <v>28</v>
      </c>
      <c r="G177" s="766" t="s">
        <v>18</v>
      </c>
      <c r="H177" s="766"/>
      <c r="I177" s="5"/>
      <c r="J177" s="766" t="s">
        <v>282</v>
      </c>
      <c r="K177" s="766" t="s">
        <v>283</v>
      </c>
      <c r="L177" s="766" t="s">
        <v>279</v>
      </c>
      <c r="M177" s="766"/>
      <c r="N177" s="766" t="s">
        <v>12185</v>
      </c>
      <c r="O177" s="766" t="s">
        <v>12186</v>
      </c>
      <c r="P177" s="766" t="s">
        <v>848</v>
      </c>
      <c r="Q177" s="1085">
        <v>20667</v>
      </c>
      <c r="R177" s="25">
        <v>60</v>
      </c>
      <c r="S177" s="766" t="s">
        <v>18</v>
      </c>
      <c r="T177" s="766"/>
      <c r="U177" s="26" t="s">
        <v>849</v>
      </c>
      <c r="V177" s="766" t="s">
        <v>719</v>
      </c>
      <c r="W177" s="766"/>
      <c r="X177" s="766"/>
      <c r="Y177" s="9" t="s">
        <v>847</v>
      </c>
      <c r="Z177" s="766" t="s">
        <v>850</v>
      </c>
      <c r="AA177" s="766"/>
      <c r="AB177" s="766" t="s">
        <v>710</v>
      </c>
      <c r="AC177" s="766"/>
      <c r="AD177" s="766" t="s">
        <v>711</v>
      </c>
      <c r="AE177" s="766"/>
      <c r="AF177" s="766" t="s">
        <v>712</v>
      </c>
      <c r="AG177" s="766"/>
      <c r="AH177" s="766"/>
      <c r="AI177" s="6"/>
      <c r="AJ177" s="766"/>
      <c r="AK177" s="766" t="s">
        <v>5454</v>
      </c>
      <c r="AL177" s="121"/>
      <c r="AM177" s="772"/>
      <c r="AN177" s="774"/>
      <c r="AO177" s="766"/>
      <c r="AP177" s="766"/>
      <c r="AQ177" s="766"/>
      <c r="AR177" s="766"/>
      <c r="AS177" s="766"/>
      <c r="AT177" s="766"/>
      <c r="AU177" s="766"/>
      <c r="AV177" s="766"/>
      <c r="AW177" s="766"/>
      <c r="AX177" s="766"/>
      <c r="AY177" s="766"/>
      <c r="AZ177" s="766"/>
      <c r="BA177" s="766"/>
      <c r="BB177" s="766"/>
      <c r="BC177" s="766" t="s">
        <v>853</v>
      </c>
      <c r="BD177" s="766" t="s">
        <v>1207</v>
      </c>
      <c r="BE177" s="766"/>
      <c r="BF177" s="775"/>
      <c r="BG177" s="775"/>
      <c r="BH177" s="766"/>
      <c r="BI177" s="766"/>
      <c r="BJ177" s="766"/>
      <c r="BK177" s="766" t="s">
        <v>1095</v>
      </c>
      <c r="BL177" s="766" t="s">
        <v>12751</v>
      </c>
      <c r="BM177" s="766" t="s">
        <v>1096</v>
      </c>
      <c r="BN177" s="766" t="s">
        <v>1230</v>
      </c>
      <c r="BO177" s="766" t="s">
        <v>1246</v>
      </c>
      <c r="BP177" s="776">
        <v>18</v>
      </c>
      <c r="BQ177" s="772">
        <v>6</v>
      </c>
      <c r="BR177" s="774">
        <f>BQ177/BP177</f>
        <v>0.33333333333333331</v>
      </c>
      <c r="BS177" s="766" t="s">
        <v>1257</v>
      </c>
      <c r="BT177" s="766" t="s">
        <v>2040</v>
      </c>
      <c r="BU177" s="766" t="s">
        <v>1249</v>
      </c>
      <c r="BV177" s="766" t="s">
        <v>1247</v>
      </c>
      <c r="BW177" s="766">
        <v>1975</v>
      </c>
      <c r="BX177" s="779" t="s">
        <v>110</v>
      </c>
      <c r="BY177" s="766"/>
      <c r="BZ177" s="775"/>
      <c r="CA177" s="766"/>
      <c r="CB177" s="766"/>
      <c r="CC177" s="766"/>
      <c r="CD177" s="766"/>
      <c r="CE177" s="766"/>
      <c r="CF177" s="777"/>
      <c r="CG177" s="778"/>
      <c r="CH177" s="766"/>
      <c r="CI177" s="766"/>
      <c r="CJ177" s="766"/>
      <c r="CK177" s="766"/>
      <c r="CL177" s="766"/>
      <c r="CM177" s="766"/>
      <c r="CN177" s="766"/>
      <c r="CO177" s="766"/>
      <c r="CP177" s="766"/>
      <c r="CQ177" s="766"/>
      <c r="CR177" s="775"/>
      <c r="CS177" s="766"/>
      <c r="CT177" s="766"/>
      <c r="CU177" s="129"/>
      <c r="CV177" s="766"/>
      <c r="CW177" s="766"/>
      <c r="CX177" s="766"/>
      <c r="CY177" s="766"/>
      <c r="CZ177" s="766"/>
      <c r="DA177" s="766"/>
      <c r="DB177" s="766"/>
      <c r="DC177" s="766"/>
      <c r="DD177" s="766"/>
      <c r="DE177" s="766"/>
      <c r="DF177" s="766"/>
      <c r="DG177" s="766"/>
      <c r="DH177" s="766"/>
      <c r="DI177" s="766"/>
      <c r="DJ177" s="766"/>
      <c r="DK177" s="766"/>
      <c r="DL177" s="766"/>
      <c r="DM177" s="766"/>
      <c r="DN177" s="766"/>
      <c r="DO177" s="766"/>
      <c r="DP177" s="766"/>
      <c r="DQ177" s="766"/>
      <c r="DR177" s="766"/>
      <c r="DS177" s="59"/>
      <c r="DT177" s="766"/>
      <c r="DU177" s="766"/>
      <c r="DV177" s="766"/>
      <c r="DW177" s="66"/>
      <c r="DX177" s="66"/>
      <c r="DY177" s="766"/>
      <c r="DZ177" s="766"/>
      <c r="EA177" s="766"/>
      <c r="EB177" s="766"/>
      <c r="EC177" s="766"/>
      <c r="ED177" s="766"/>
      <c r="EE177" s="766"/>
      <c r="EF177" s="766"/>
      <c r="EG177" s="766"/>
      <c r="EH177" s="766"/>
      <c r="EI177" s="766"/>
      <c r="EJ177" s="766"/>
      <c r="EK177" s="766"/>
      <c r="EL177" s="766"/>
      <c r="EM177" s="766"/>
      <c r="EN177" s="766"/>
      <c r="EO177" s="766"/>
      <c r="EP177" s="766"/>
      <c r="EQ177" s="766"/>
      <c r="ER177" s="766"/>
      <c r="ES177" s="766"/>
      <c r="ET177" s="766"/>
      <c r="EU177" s="766"/>
      <c r="EV177" s="766"/>
      <c r="EW177" s="766"/>
      <c r="EX177" s="766"/>
      <c r="EY177" s="766"/>
      <c r="EZ177" s="766"/>
      <c r="FA177" s="766"/>
      <c r="FB177" s="766"/>
      <c r="FC177" s="766"/>
      <c r="FD177" s="775"/>
      <c r="FE177" s="766"/>
      <c r="FF177" s="766"/>
      <c r="FG177" s="766"/>
      <c r="FH177" s="766" t="s">
        <v>1305</v>
      </c>
      <c r="FI177" s="766"/>
      <c r="FJ177" s="766" t="s">
        <v>1316</v>
      </c>
      <c r="FK177" s="766"/>
      <c r="FL177" s="766"/>
      <c r="FM177" s="775"/>
      <c r="FN177" s="775"/>
      <c r="FO177" s="775"/>
      <c r="FP177" s="766"/>
      <c r="FQ177" s="766"/>
      <c r="FR177" s="766" t="s">
        <v>1207</v>
      </c>
      <c r="FS177" s="766" t="s">
        <v>1208</v>
      </c>
      <c r="FT177" s="766"/>
      <c r="FU177" s="766"/>
      <c r="FV177" s="766"/>
      <c r="FW177" s="766"/>
      <c r="FX177" s="766"/>
      <c r="FY177" s="766"/>
      <c r="FZ177" s="766"/>
      <c r="GA177" s="766"/>
      <c r="GB177" s="766"/>
      <c r="GC177" s="75"/>
      <c r="GD177" s="25"/>
      <c r="GE177" s="766"/>
      <c r="GF177" s="775"/>
      <c r="GG177" s="775"/>
      <c r="GH177" s="766"/>
      <c r="GI177" s="766"/>
      <c r="GJ177" s="766"/>
      <c r="GK177" s="766"/>
      <c r="GL177" s="766"/>
      <c r="GM177" s="766"/>
      <c r="GN177" s="82"/>
      <c r="GO177" s="766"/>
      <c r="GP177" s="766"/>
      <c r="GQ177" s="766"/>
      <c r="GR177" s="766"/>
      <c r="GS177" s="766"/>
      <c r="GT177" s="766"/>
      <c r="GU177" s="766"/>
      <c r="GV177" s="766"/>
      <c r="GW177" s="766"/>
      <c r="GX177" s="766"/>
      <c r="GY177" s="766"/>
      <c r="GZ177" s="766"/>
      <c r="HA177" s="766"/>
      <c r="HB177" s="766"/>
      <c r="HC177" s="766"/>
      <c r="HD177" s="766"/>
      <c r="HE177" s="766"/>
      <c r="HF177" s="766"/>
      <c r="HG177" s="766"/>
      <c r="HH177" s="766"/>
      <c r="HI177" s="766"/>
      <c r="HJ177" s="766"/>
      <c r="HK177" s="766"/>
      <c r="HL177" s="766"/>
      <c r="HM177" s="766"/>
      <c r="HN177" s="766"/>
      <c r="HO177" s="766"/>
      <c r="HP177" s="766"/>
      <c r="HQ177" s="766"/>
      <c r="HR177" s="766"/>
      <c r="HS177" s="766"/>
      <c r="HT177" s="766"/>
      <c r="HU177" s="766"/>
      <c r="HV177" s="766"/>
      <c r="HW177" s="766"/>
      <c r="HX177" s="766"/>
      <c r="HY177" s="766"/>
      <c r="HZ177" s="766"/>
      <c r="IA177" s="766"/>
      <c r="IB177" s="766"/>
      <c r="IC177" s="766" t="s">
        <v>1207</v>
      </c>
      <c r="ID177" s="766"/>
      <c r="IE177" s="766"/>
      <c r="IF177" s="766"/>
      <c r="IG177" s="766"/>
      <c r="IH177" s="766"/>
      <c r="II177" s="766"/>
      <c r="IJ177" s="766"/>
      <c r="IK177" s="766"/>
      <c r="IL177" s="766"/>
      <c r="IM177" s="766"/>
      <c r="IN177" s="766"/>
      <c r="IO177" s="24"/>
      <c r="IP177" s="766"/>
      <c r="IQ177" s="766"/>
      <c r="IR177" s="766"/>
      <c r="IS177" s="766"/>
      <c r="IT177" s="766"/>
      <c r="IU177" s="766"/>
      <c r="IV177" s="766"/>
      <c r="IW177" s="766"/>
      <c r="IX177" s="766"/>
      <c r="IY177" s="766"/>
      <c r="IZ177" s="766"/>
      <c r="JA177" s="766"/>
      <c r="JB177" s="766"/>
      <c r="JC177" s="766"/>
      <c r="JD177" s="775"/>
      <c r="JE177" s="766"/>
      <c r="JF177" s="766"/>
      <c r="JG177" s="766"/>
      <c r="JH177" s="766"/>
      <c r="JI177" s="766"/>
      <c r="JJ177" s="766">
        <v>6</v>
      </c>
      <c r="JK177" s="766" t="s">
        <v>2068</v>
      </c>
      <c r="JL177" s="766">
        <v>1</v>
      </c>
      <c r="JM177" s="766">
        <v>2</v>
      </c>
      <c r="JN177" s="766">
        <v>2</v>
      </c>
      <c r="JO177" s="766">
        <v>1</v>
      </c>
      <c r="JP177" s="766"/>
      <c r="JQ177" s="766"/>
      <c r="JR177" s="766"/>
      <c r="JS177" s="766"/>
      <c r="JT177" s="766">
        <f t="shared" ref="JT177:JU185" si="44">SUM(JP177,JN177,JL177,JR177)</f>
        <v>3</v>
      </c>
      <c r="JU177" s="766">
        <f t="shared" si="44"/>
        <v>3</v>
      </c>
      <c r="JV177" s="766"/>
      <c r="JW177" s="766"/>
      <c r="JX177" s="766"/>
      <c r="JY177" s="766">
        <v>1</v>
      </c>
      <c r="JZ177" s="766">
        <v>1</v>
      </c>
      <c r="KA177" s="766">
        <v>1</v>
      </c>
      <c r="KB177" s="766"/>
      <c r="KC177" s="766"/>
      <c r="KD177" s="766">
        <v>2</v>
      </c>
      <c r="KE177" s="766">
        <v>1</v>
      </c>
      <c r="KF177" s="766"/>
      <c r="KG177" s="766"/>
      <c r="KH177" s="766"/>
      <c r="KI177" s="766"/>
      <c r="KJ177" s="770">
        <f t="shared" si="38"/>
        <v>3</v>
      </c>
      <c r="KK177" s="770">
        <f t="shared" si="38"/>
        <v>3</v>
      </c>
      <c r="KL177" s="770"/>
      <c r="KM177" s="770"/>
      <c r="KN177" s="766" t="s">
        <v>719</v>
      </c>
      <c r="KO177" s="766"/>
      <c r="KP177" s="766"/>
      <c r="KQ177" s="766"/>
      <c r="KR177" s="766" t="s">
        <v>110</v>
      </c>
      <c r="KS177" s="766">
        <v>1</v>
      </c>
      <c r="KT177" s="766">
        <v>2</v>
      </c>
      <c r="KU177" s="766">
        <v>1</v>
      </c>
      <c r="KV177" s="766"/>
      <c r="KW177" s="766"/>
      <c r="KX177" s="766">
        <v>1</v>
      </c>
      <c r="KY177" s="766"/>
      <c r="KZ177" s="766">
        <v>1</v>
      </c>
      <c r="LA177" s="766"/>
      <c r="LB177" s="766"/>
      <c r="LC177" s="766"/>
      <c r="LD177" s="766"/>
      <c r="LE177" s="766"/>
      <c r="LF177" s="766"/>
      <c r="LG177" s="766"/>
      <c r="LH177" s="766"/>
      <c r="LI177" s="766"/>
      <c r="LJ177" s="766"/>
      <c r="LK177" s="766"/>
      <c r="LL177" s="766"/>
      <c r="LM177" s="766"/>
      <c r="LN177" s="766">
        <f t="shared" si="39"/>
        <v>4</v>
      </c>
      <c r="LO177" s="766">
        <f t="shared" si="39"/>
        <v>2</v>
      </c>
      <c r="LP177" s="766">
        <v>3</v>
      </c>
      <c r="LQ177" s="766">
        <v>3</v>
      </c>
      <c r="LR177" s="766"/>
      <c r="LS177" s="766"/>
      <c r="LT177" s="766"/>
      <c r="LU177" s="766">
        <v>3</v>
      </c>
      <c r="LV177" s="766"/>
      <c r="LW177" s="766"/>
      <c r="LX177" s="769">
        <v>1</v>
      </c>
      <c r="LY177" s="766" t="str">
        <f t="shared" si="43"/>
        <v>within the BRGY</v>
      </c>
      <c r="LZ177" s="66"/>
      <c r="MA177" s="766"/>
      <c r="MB177" s="766"/>
      <c r="MC177" s="1679">
        <f t="shared" si="41"/>
        <v>0</v>
      </c>
      <c r="MD177" s="66">
        <v>11500</v>
      </c>
      <c r="ME177" s="66"/>
      <c r="MF177" s="66"/>
      <c r="MG177" s="1680">
        <f t="shared" si="34"/>
        <v>11500</v>
      </c>
      <c r="MH177" s="766"/>
      <c r="MI177" s="775">
        <v>3000</v>
      </c>
      <c r="MJ177" s="775"/>
      <c r="MK177" s="775"/>
      <c r="ML177" s="775">
        <v>3000</v>
      </c>
      <c r="MM177" s="775"/>
      <c r="MN177" s="775"/>
      <c r="MO177" s="775">
        <v>150</v>
      </c>
      <c r="MP177" s="775">
        <v>500</v>
      </c>
      <c r="MQ177" s="775">
        <v>260</v>
      </c>
      <c r="MR177" s="775">
        <v>317</v>
      </c>
      <c r="MS177" s="775"/>
      <c r="MT177" s="775"/>
      <c r="MU177" s="775"/>
      <c r="MV177" s="775"/>
      <c r="MW177" s="775"/>
      <c r="MX177" s="775"/>
      <c r="MY177" s="1682">
        <f t="shared" si="35"/>
        <v>7227</v>
      </c>
      <c r="MZ177" s="766" t="s">
        <v>13004</v>
      </c>
      <c r="NA177" s="766" t="s">
        <v>13005</v>
      </c>
      <c r="NB177" s="766" t="s">
        <v>13006</v>
      </c>
      <c r="NC177" s="766" t="s">
        <v>13007</v>
      </c>
      <c r="ND177" s="766"/>
      <c r="NE177" s="766"/>
      <c r="NF177" s="766"/>
      <c r="NG177" s="766">
        <v>2</v>
      </c>
      <c r="NH177" s="766">
        <v>1</v>
      </c>
      <c r="NI177" s="766"/>
      <c r="NJ177" s="766"/>
      <c r="NK177" s="766"/>
      <c r="NL177" s="766"/>
      <c r="NM177" s="766"/>
      <c r="NN177" s="766">
        <v>1</v>
      </c>
      <c r="NO177" s="766"/>
      <c r="NP177" s="766"/>
      <c r="NQ177" s="766"/>
      <c r="NR177" s="766"/>
      <c r="NS177" s="766"/>
      <c r="NT177" s="766"/>
      <c r="NU177" s="766"/>
      <c r="NV177" s="766"/>
      <c r="NW177" s="766"/>
      <c r="NX177" s="766"/>
      <c r="NY177" s="766" t="s">
        <v>1208</v>
      </c>
      <c r="NZ177" s="766" t="s">
        <v>1208</v>
      </c>
      <c r="OA177" s="766" t="s">
        <v>1208</v>
      </c>
      <c r="OB177" s="766" t="s">
        <v>1208</v>
      </c>
      <c r="OC177" s="766" t="s">
        <v>1208</v>
      </c>
      <c r="OD177" s="766" t="s">
        <v>1208</v>
      </c>
      <c r="OE177" s="766"/>
      <c r="OF177" s="766" t="s">
        <v>13240</v>
      </c>
      <c r="OG177" s="766"/>
      <c r="OH177" s="766" t="s">
        <v>13124</v>
      </c>
      <c r="OI177" s="766" t="s">
        <v>13241</v>
      </c>
      <c r="OJ177" s="766" t="s">
        <v>13182</v>
      </c>
      <c r="OK177" s="766"/>
      <c r="OL177" s="766" t="s">
        <v>13241</v>
      </c>
      <c r="OM177" s="766" t="s">
        <v>1824</v>
      </c>
      <c r="ON177" s="766" t="s">
        <v>110</v>
      </c>
      <c r="OO177" s="766" t="s">
        <v>1207</v>
      </c>
      <c r="OP177" s="766" t="s">
        <v>12885</v>
      </c>
      <c r="OQ177" s="766" t="s">
        <v>13242</v>
      </c>
      <c r="OR177" s="766"/>
      <c r="OS177" s="766" t="s">
        <v>13243</v>
      </c>
      <c r="OT177" s="766" t="s">
        <v>12887</v>
      </c>
      <c r="OU177" s="766"/>
      <c r="OV177" s="766" t="s">
        <v>1208</v>
      </c>
      <c r="OW177" s="766"/>
      <c r="OX177" s="766"/>
      <c r="OY177" s="766"/>
      <c r="OZ177" s="766"/>
      <c r="PA177" s="766"/>
      <c r="PB177" s="766"/>
      <c r="PC177" s="766"/>
      <c r="PD177" s="766"/>
      <c r="PE177" s="766"/>
      <c r="PF177" s="766"/>
      <c r="PG177" s="766"/>
      <c r="PH177" s="766"/>
      <c r="PI177" s="766"/>
      <c r="PJ177" s="766"/>
      <c r="PK177" s="766"/>
      <c r="PL177" s="766"/>
      <c r="PM177" s="766" t="s">
        <v>1208</v>
      </c>
      <c r="PN177" s="766"/>
      <c r="PO177" s="766"/>
      <c r="PP177" s="766"/>
      <c r="PQ177" s="766"/>
      <c r="PR177" s="766"/>
      <c r="PS177" s="766"/>
      <c r="PT177" s="766"/>
      <c r="PU177" s="766"/>
      <c r="PV177" s="766"/>
      <c r="PW177" s="766"/>
      <c r="PX177" s="766"/>
      <c r="PY177" s="766"/>
      <c r="PZ177" s="766"/>
      <c r="QA177" s="766"/>
      <c r="QB177" s="766"/>
      <c r="QC177" s="766"/>
      <c r="QD177" s="766" t="s">
        <v>1208</v>
      </c>
      <c r="QE177" s="766"/>
      <c r="QF177" s="766"/>
      <c r="QG177" s="766"/>
      <c r="QH177" s="766"/>
      <c r="QI177" s="766"/>
      <c r="QJ177" s="766"/>
      <c r="QK177" s="766"/>
      <c r="QL177" s="766" t="s">
        <v>1208</v>
      </c>
      <c r="QM177" s="766"/>
      <c r="QN177" s="766"/>
      <c r="QO177" s="766"/>
      <c r="QP177" s="766"/>
      <c r="QQ177" s="766"/>
      <c r="QR177" s="766"/>
      <c r="QS177" s="766"/>
      <c r="QT177" s="766"/>
      <c r="QU177" s="766"/>
      <c r="QV177" s="766"/>
      <c r="QW177" s="766"/>
      <c r="QX177" s="766"/>
      <c r="QY177" s="766"/>
      <c r="QZ177" s="766"/>
      <c r="RA177" s="766"/>
      <c r="RB177" s="770" t="s">
        <v>1207</v>
      </c>
      <c r="RC177" s="766">
        <v>2009</v>
      </c>
      <c r="RD177" s="766" t="s">
        <v>12989</v>
      </c>
      <c r="RE177" s="766" t="s">
        <v>12990</v>
      </c>
      <c r="RF177" s="777">
        <f>CONVERT(2,"ft","m")</f>
        <v>0.60960000000000003</v>
      </c>
      <c r="RG177" s="766" t="s">
        <v>13000</v>
      </c>
      <c r="RH177" s="775" t="s">
        <v>1604</v>
      </c>
      <c r="RI177" s="766">
        <v>48</v>
      </c>
      <c r="RJ177" s="766" t="s">
        <v>13244</v>
      </c>
      <c r="RK177" s="766" t="s">
        <v>13206</v>
      </c>
      <c r="RL177" s="1683"/>
      <c r="RM177" s="12"/>
      <c r="RN177" s="1711"/>
      <c r="RO177" s="171" t="s">
        <v>2227</v>
      </c>
      <c r="RP177" s="11"/>
      <c r="RQ177" s="11"/>
      <c r="RR177" s="771"/>
      <c r="RS177" s="766"/>
      <c r="RT177" s="11"/>
      <c r="RU177" s="11"/>
      <c r="RV177" s="766" t="s">
        <v>12439</v>
      </c>
      <c r="RW177" s="11" t="s">
        <v>7525</v>
      </c>
      <c r="RX177" s="11" t="s">
        <v>271</v>
      </c>
      <c r="RY177" s="11"/>
      <c r="RZ177" s="11" t="s">
        <v>7419</v>
      </c>
      <c r="SA177" s="766"/>
      <c r="SB177" s="11"/>
      <c r="SC177" s="11"/>
    </row>
    <row r="178" spans="1:497" ht="12.75" hidden="1" customHeight="1">
      <c r="A178" s="154" t="s">
        <v>14157</v>
      </c>
      <c r="B178" s="288" t="s">
        <v>7969</v>
      </c>
      <c r="C178" s="171" t="s">
        <v>274</v>
      </c>
      <c r="D178" s="14" t="s">
        <v>275</v>
      </c>
      <c r="E178" s="766" t="s">
        <v>276</v>
      </c>
      <c r="F178" s="766" t="s">
        <v>20</v>
      </c>
      <c r="G178" s="766" t="s">
        <v>18</v>
      </c>
      <c r="H178" s="766"/>
      <c r="I178" s="5" t="s">
        <v>277</v>
      </c>
      <c r="J178" s="766" t="s">
        <v>278</v>
      </c>
      <c r="K178" s="766" t="s">
        <v>12183</v>
      </c>
      <c r="L178" s="766" t="s">
        <v>12184</v>
      </c>
      <c r="M178" s="766"/>
      <c r="N178" s="766" t="s">
        <v>12185</v>
      </c>
      <c r="O178" s="766" t="s">
        <v>12186</v>
      </c>
      <c r="P178" s="14" t="s">
        <v>845</v>
      </c>
      <c r="Q178" s="1085">
        <v>22862</v>
      </c>
      <c r="R178" s="25">
        <v>54</v>
      </c>
      <c r="S178" s="766" t="s">
        <v>18</v>
      </c>
      <c r="T178" s="766"/>
      <c r="U178" s="26" t="s">
        <v>277</v>
      </c>
      <c r="V178" s="766" t="s">
        <v>719</v>
      </c>
      <c r="W178" s="766"/>
      <c r="X178" s="766"/>
      <c r="Y178" s="766" t="s">
        <v>846</v>
      </c>
      <c r="Z178" s="766" t="s">
        <v>708</v>
      </c>
      <c r="AA178" s="766" t="s">
        <v>709</v>
      </c>
      <c r="AB178" s="766" t="s">
        <v>7275</v>
      </c>
      <c r="AC178" s="766"/>
      <c r="AD178" s="766" t="s">
        <v>711</v>
      </c>
      <c r="AE178" s="766"/>
      <c r="AF178" s="766"/>
      <c r="AG178" s="766"/>
      <c r="AH178" s="766"/>
      <c r="AI178" s="6"/>
      <c r="AJ178" s="6"/>
      <c r="AK178" s="766" t="s">
        <v>5454</v>
      </c>
      <c r="AL178" s="124">
        <v>22.074999999999999</v>
      </c>
      <c r="AM178" s="45">
        <v>22.074999999999999</v>
      </c>
      <c r="AN178" s="47">
        <f>AM178/AL178</f>
        <v>1</v>
      </c>
      <c r="AO178" s="766" t="s">
        <v>1113</v>
      </c>
      <c r="AP178" s="766"/>
      <c r="AQ178" s="766"/>
      <c r="AR178" s="766"/>
      <c r="AS178" s="766"/>
      <c r="AT178" s="766"/>
      <c r="AU178" s="766"/>
      <c r="AV178" s="766"/>
      <c r="AW178" s="766"/>
      <c r="AX178" s="766"/>
      <c r="AY178" s="766"/>
      <c r="AZ178" s="766"/>
      <c r="BA178" s="766"/>
      <c r="BB178" s="766"/>
      <c r="BC178" s="766" t="s">
        <v>853</v>
      </c>
      <c r="BD178" s="766" t="s">
        <v>1207</v>
      </c>
      <c r="BE178" s="766"/>
      <c r="BF178" s="775"/>
      <c r="BG178" s="775"/>
      <c r="BH178" s="766"/>
      <c r="BI178" s="766"/>
      <c r="BJ178" s="766"/>
      <c r="BK178" s="766" t="s">
        <v>1095</v>
      </c>
      <c r="BL178" s="766" t="s">
        <v>1315</v>
      </c>
      <c r="BM178" s="766" t="s">
        <v>1096</v>
      </c>
      <c r="BN178" s="766" t="s">
        <v>1230</v>
      </c>
      <c r="BO178" s="766" t="s">
        <v>1246</v>
      </c>
      <c r="BP178" s="776">
        <v>22.074999999999999</v>
      </c>
      <c r="BQ178" s="772">
        <v>22.074999999999999</v>
      </c>
      <c r="BR178" s="774">
        <f>BQ178/BP178</f>
        <v>1</v>
      </c>
      <c r="BS178" s="766" t="s">
        <v>1257</v>
      </c>
      <c r="BT178" s="766" t="s">
        <v>2040</v>
      </c>
      <c r="BU178" s="766" t="s">
        <v>1249</v>
      </c>
      <c r="BV178" s="766" t="s">
        <v>1247</v>
      </c>
      <c r="BW178" s="769"/>
      <c r="BX178" s="779" t="s">
        <v>110</v>
      </c>
      <c r="BY178" s="766"/>
      <c r="BZ178" s="775"/>
      <c r="CA178" s="766"/>
      <c r="CB178" s="766" t="s">
        <v>1207</v>
      </c>
      <c r="CC178" s="766"/>
      <c r="CD178" s="766"/>
      <c r="CE178" s="766"/>
      <c r="CF178" s="777"/>
      <c r="CG178" s="778"/>
      <c r="CH178" s="766"/>
      <c r="CI178" s="766"/>
      <c r="CJ178" s="766"/>
      <c r="CK178" s="766"/>
      <c r="CL178" s="766"/>
      <c r="CM178" s="766"/>
      <c r="CN178" s="766"/>
      <c r="CO178" s="766"/>
      <c r="CP178" s="766"/>
      <c r="CQ178" s="766"/>
      <c r="CR178" s="775"/>
      <c r="CS178" s="766"/>
      <c r="CT178" s="766"/>
      <c r="CU178" s="129"/>
      <c r="CV178" s="766"/>
      <c r="CW178" s="766"/>
      <c r="CX178" s="766"/>
      <c r="CY178" s="766"/>
      <c r="CZ178" s="766"/>
      <c r="DA178" s="766"/>
      <c r="DB178" s="766"/>
      <c r="DC178" s="766"/>
      <c r="DD178" s="766"/>
      <c r="DE178" s="766"/>
      <c r="DF178" s="766"/>
      <c r="DG178" s="766"/>
      <c r="DH178" s="766"/>
      <c r="DI178" s="766"/>
      <c r="DJ178" s="766"/>
      <c r="DK178" s="766"/>
      <c r="DL178" s="766"/>
      <c r="DM178" s="766"/>
      <c r="DN178" s="766"/>
      <c r="DO178" s="766"/>
      <c r="DP178" s="766"/>
      <c r="DQ178" s="766"/>
      <c r="DR178" s="766"/>
      <c r="DS178" s="59"/>
      <c r="DT178" s="766"/>
      <c r="DU178" s="766"/>
      <c r="DV178" s="766"/>
      <c r="DW178" s="66"/>
      <c r="DX178" s="66"/>
      <c r="DY178" s="766"/>
      <c r="DZ178" s="766"/>
      <c r="EA178" s="766"/>
      <c r="EB178" s="766"/>
      <c r="EC178" s="766"/>
      <c r="ED178" s="766"/>
      <c r="EE178" s="766"/>
      <c r="EF178" s="766"/>
      <c r="EG178" s="766"/>
      <c r="EH178" s="766"/>
      <c r="EI178" s="766"/>
      <c r="EJ178" s="766"/>
      <c r="EK178" s="766"/>
      <c r="EL178" s="766"/>
      <c r="EM178" s="766"/>
      <c r="EN178" s="766"/>
      <c r="EO178" s="766"/>
      <c r="EP178" s="766"/>
      <c r="EQ178" s="766"/>
      <c r="ER178" s="766"/>
      <c r="ES178" s="766"/>
      <c r="ET178" s="766"/>
      <c r="EU178" s="766"/>
      <c r="EV178" s="766"/>
      <c r="EW178" s="766"/>
      <c r="EX178" s="766"/>
      <c r="EY178" s="766"/>
      <c r="EZ178" s="766"/>
      <c r="FA178" s="766" t="s">
        <v>1498</v>
      </c>
      <c r="FB178" s="766"/>
      <c r="FC178" s="766"/>
      <c r="FD178" s="775"/>
      <c r="FE178" s="766" t="s">
        <v>1499</v>
      </c>
      <c r="FF178" s="770"/>
      <c r="FG178" s="766" t="s">
        <v>1500</v>
      </c>
      <c r="FH178" s="766" t="s">
        <v>478</v>
      </c>
      <c r="FI178" s="766">
        <v>1</v>
      </c>
      <c r="FJ178" s="766"/>
      <c r="FK178" s="766"/>
      <c r="FL178" s="766"/>
      <c r="FM178" s="775"/>
      <c r="FN178" s="775"/>
      <c r="FO178" s="775"/>
      <c r="FP178" s="766" t="s">
        <v>1602</v>
      </c>
      <c r="FQ178" s="766" t="s">
        <v>1660</v>
      </c>
      <c r="FR178" s="766"/>
      <c r="FS178" s="766"/>
      <c r="FT178" s="766"/>
      <c r="FU178" s="766"/>
      <c r="FV178" s="766"/>
      <c r="FW178" s="766"/>
      <c r="FX178" s="766"/>
      <c r="FY178" s="766"/>
      <c r="FZ178" s="766"/>
      <c r="GA178" s="766"/>
      <c r="GB178" s="766"/>
      <c r="GC178" s="75"/>
      <c r="GD178" s="25"/>
      <c r="GE178" s="766"/>
      <c r="GF178" s="775"/>
      <c r="GG178" s="775"/>
      <c r="GH178" s="766"/>
      <c r="GI178" s="766"/>
      <c r="GJ178" s="766"/>
      <c r="GK178" s="766"/>
      <c r="GL178" s="766"/>
      <c r="GM178" s="766"/>
      <c r="GN178" s="82"/>
      <c r="GO178" s="766"/>
      <c r="GP178" s="766"/>
      <c r="GQ178" s="766"/>
      <c r="GR178" s="766"/>
      <c r="GS178" s="766"/>
      <c r="GT178" s="766"/>
      <c r="GU178" s="766"/>
      <c r="GV178" s="766"/>
      <c r="GW178" s="766"/>
      <c r="GX178" s="766"/>
      <c r="GY178" s="766"/>
      <c r="GZ178" s="766"/>
      <c r="HA178" s="766"/>
      <c r="HB178" s="766"/>
      <c r="HC178" s="766"/>
      <c r="HD178" s="766"/>
      <c r="HE178" s="766"/>
      <c r="HF178" s="766"/>
      <c r="HG178" s="766"/>
      <c r="HH178" s="766"/>
      <c r="HI178" s="766"/>
      <c r="HJ178" s="766"/>
      <c r="HK178" s="766"/>
      <c r="HL178" s="766"/>
      <c r="HM178" s="766"/>
      <c r="HN178" s="766"/>
      <c r="HO178" s="766"/>
      <c r="HP178" s="766"/>
      <c r="HQ178" s="766"/>
      <c r="HR178" s="766"/>
      <c r="HS178" s="766"/>
      <c r="HT178" s="766"/>
      <c r="HU178" s="766"/>
      <c r="HV178" s="766"/>
      <c r="HW178" s="766"/>
      <c r="HX178" s="766"/>
      <c r="HY178" s="766"/>
      <c r="HZ178" s="766"/>
      <c r="IA178" s="766"/>
      <c r="IB178" s="14" t="e">
        <f>IF(#REF!&gt;0,IF(#REF!&lt;=10000,"Y",""),"")</f>
        <v>#REF!</v>
      </c>
      <c r="IC178" s="766" t="s">
        <v>1207</v>
      </c>
      <c r="ID178" s="766"/>
      <c r="IE178" s="766"/>
      <c r="IF178" s="766"/>
      <c r="IG178" s="766"/>
      <c r="IH178" s="766"/>
      <c r="II178" s="766"/>
      <c r="IJ178" s="766"/>
      <c r="IK178" s="766"/>
      <c r="IL178" s="766"/>
      <c r="IM178" s="766"/>
      <c r="IN178" s="766"/>
      <c r="IO178" s="24"/>
      <c r="IP178" s="766"/>
      <c r="IQ178" s="766"/>
      <c r="IR178" s="766"/>
      <c r="IS178" s="766"/>
      <c r="IT178" s="766"/>
      <c r="IU178" s="766"/>
      <c r="IV178" s="766"/>
      <c r="IW178" s="766"/>
      <c r="IX178" s="766"/>
      <c r="IY178" s="766"/>
      <c r="IZ178" s="766"/>
      <c r="JA178" s="766"/>
      <c r="JB178" s="766"/>
      <c r="JC178" s="766"/>
      <c r="JD178" s="775"/>
      <c r="JE178" s="766"/>
      <c r="JF178" s="766"/>
      <c r="JG178" s="766"/>
      <c r="JH178" s="766"/>
      <c r="JI178" s="766"/>
      <c r="JJ178" s="766">
        <v>11</v>
      </c>
      <c r="JK178" s="1139" t="s">
        <v>2067</v>
      </c>
      <c r="JL178" s="766"/>
      <c r="JM178" s="766">
        <v>3</v>
      </c>
      <c r="JN178" s="766">
        <v>2</v>
      </c>
      <c r="JO178" s="766">
        <v>6</v>
      </c>
      <c r="JP178" s="766"/>
      <c r="JQ178" s="766"/>
      <c r="JR178" s="766"/>
      <c r="JS178" s="766"/>
      <c r="JT178" s="766">
        <f t="shared" si="44"/>
        <v>2</v>
      </c>
      <c r="JU178" s="766">
        <f t="shared" si="44"/>
        <v>9</v>
      </c>
      <c r="JV178" s="712" t="str">
        <f>IF(JT178=KJ178,"ok","male")</f>
        <v>ok</v>
      </c>
      <c r="JW178" s="712" t="str">
        <f>IF(JU178=KK178,"ok","female")</f>
        <v>ok</v>
      </c>
      <c r="JX178" s="766"/>
      <c r="JY178" s="766">
        <v>2</v>
      </c>
      <c r="JZ178" s="766"/>
      <c r="KA178" s="766">
        <v>1</v>
      </c>
      <c r="KB178" s="766">
        <v>2</v>
      </c>
      <c r="KC178" s="766">
        <v>4</v>
      </c>
      <c r="KD178" s="766"/>
      <c r="KE178" s="766">
        <v>2</v>
      </c>
      <c r="KF178" s="766"/>
      <c r="KG178" s="766"/>
      <c r="KH178" s="766"/>
      <c r="KI178" s="766"/>
      <c r="KJ178" s="770">
        <f t="shared" si="38"/>
        <v>2</v>
      </c>
      <c r="KK178" s="770">
        <f t="shared" si="38"/>
        <v>9</v>
      </c>
      <c r="KL178" s="712" t="str">
        <f>IF(KJ178=LN178,"ok","male")</f>
        <v>ok</v>
      </c>
      <c r="KM178" s="712" t="str">
        <f>IF(KK178=LO178,"ok","female")</f>
        <v>ok</v>
      </c>
      <c r="KN178" s="766" t="s">
        <v>719</v>
      </c>
      <c r="KO178" s="766"/>
      <c r="KP178" s="766"/>
      <c r="KQ178" s="766"/>
      <c r="KR178" s="766"/>
      <c r="KS178" s="766"/>
      <c r="KT178" s="766"/>
      <c r="KU178" s="766">
        <v>1</v>
      </c>
      <c r="KV178" s="766"/>
      <c r="KW178" s="766">
        <v>1</v>
      </c>
      <c r="KX178" s="766">
        <v>1</v>
      </c>
      <c r="KY178" s="766"/>
      <c r="KZ178" s="766"/>
      <c r="LA178" s="766">
        <v>1</v>
      </c>
      <c r="LB178" s="766"/>
      <c r="LC178" s="766"/>
      <c r="LD178" s="766"/>
      <c r="LE178" s="766">
        <v>4</v>
      </c>
      <c r="LF178" s="766"/>
      <c r="LG178" s="766"/>
      <c r="LH178" s="766">
        <v>1</v>
      </c>
      <c r="LI178" s="766"/>
      <c r="LJ178" s="766"/>
      <c r="LK178" s="766">
        <v>2</v>
      </c>
      <c r="LL178" s="766"/>
      <c r="LM178" s="766"/>
      <c r="LN178" s="766">
        <f t="shared" si="39"/>
        <v>2</v>
      </c>
      <c r="LO178" s="766">
        <f t="shared" si="39"/>
        <v>9</v>
      </c>
      <c r="LP178" s="766">
        <v>5</v>
      </c>
      <c r="LQ178" s="766">
        <v>5</v>
      </c>
      <c r="LR178" s="766"/>
      <c r="LS178" s="766"/>
      <c r="LT178" s="712" t="str">
        <f>IF(LQ178=SUM(LU178:LW178),"OK","REV")</f>
        <v>OK</v>
      </c>
      <c r="LU178" s="766">
        <v>5</v>
      </c>
      <c r="LV178" s="766"/>
      <c r="LW178" s="766"/>
      <c r="LX178" s="769">
        <v>0</v>
      </c>
      <c r="LY178" s="766">
        <f t="shared" si="43"/>
        <v>0</v>
      </c>
      <c r="LZ178" s="66"/>
      <c r="MA178" s="766"/>
      <c r="MB178" s="766"/>
      <c r="MC178" s="1679">
        <f t="shared" si="41"/>
        <v>0</v>
      </c>
      <c r="MD178" s="66">
        <v>50700</v>
      </c>
      <c r="ME178" s="66"/>
      <c r="MF178" s="66"/>
      <c r="MG178" s="1680">
        <f>SUM(MD178:MF178)</f>
        <v>50700</v>
      </c>
      <c r="MH178" s="766"/>
      <c r="MI178" s="775">
        <v>15000</v>
      </c>
      <c r="MJ178" s="775">
        <v>7400</v>
      </c>
      <c r="MK178" s="775">
        <v>3000</v>
      </c>
      <c r="ML178" s="775">
        <v>4500</v>
      </c>
      <c r="MM178" s="775">
        <v>1000</v>
      </c>
      <c r="MN178" s="775"/>
      <c r="MO178" s="775">
        <v>1000</v>
      </c>
      <c r="MP178" s="775">
        <v>1100</v>
      </c>
      <c r="MQ178" s="775">
        <v>500</v>
      </c>
      <c r="MR178" s="775">
        <v>1000</v>
      </c>
      <c r="MS178" s="775">
        <v>1000</v>
      </c>
      <c r="MT178" s="775"/>
      <c r="MU178" s="775"/>
      <c r="MV178" s="775"/>
      <c r="MW178" s="775"/>
      <c r="MX178" s="775"/>
      <c r="MY178" s="1682">
        <f t="shared" si="35"/>
        <v>35500</v>
      </c>
      <c r="MZ178" s="766" t="s">
        <v>13004</v>
      </c>
      <c r="NA178" s="766" t="s">
        <v>13005</v>
      </c>
      <c r="NB178" s="766" t="s">
        <v>13006</v>
      </c>
      <c r="NC178" s="766" t="s">
        <v>13007</v>
      </c>
      <c r="ND178" s="766">
        <v>0</v>
      </c>
      <c r="NE178" s="766">
        <v>0</v>
      </c>
      <c r="NF178" s="766">
        <v>0</v>
      </c>
      <c r="NG178" s="766">
        <v>1</v>
      </c>
      <c r="NH178" s="766">
        <v>1</v>
      </c>
      <c r="NI178" s="766">
        <v>1</v>
      </c>
      <c r="NJ178" s="766">
        <v>0</v>
      </c>
      <c r="NK178" s="766">
        <v>0</v>
      </c>
      <c r="NL178" s="766">
        <v>1</v>
      </c>
      <c r="NM178" s="766">
        <v>1</v>
      </c>
      <c r="NN178" s="766">
        <v>0</v>
      </c>
      <c r="NO178" s="766">
        <v>0</v>
      </c>
      <c r="NP178" s="766">
        <v>0</v>
      </c>
      <c r="NQ178" s="766">
        <v>0</v>
      </c>
      <c r="NR178" s="766">
        <v>0</v>
      </c>
      <c r="NS178" s="766">
        <v>0</v>
      </c>
      <c r="NT178" s="766">
        <v>0</v>
      </c>
      <c r="NU178" s="766">
        <v>0</v>
      </c>
      <c r="NV178" s="766">
        <v>0</v>
      </c>
      <c r="NW178" s="766">
        <v>0</v>
      </c>
      <c r="NX178" s="766">
        <v>0</v>
      </c>
      <c r="NY178" s="766"/>
      <c r="NZ178" s="766"/>
      <c r="OA178" s="766"/>
      <c r="OB178" s="766"/>
      <c r="OC178" s="766"/>
      <c r="OD178" s="766"/>
      <c r="OE178" s="766"/>
      <c r="OF178" s="766" t="s">
        <v>13231</v>
      </c>
      <c r="OG178" s="766" t="s">
        <v>1208</v>
      </c>
      <c r="OH178" s="766"/>
      <c r="OI178" s="766"/>
      <c r="OJ178" s="766"/>
      <c r="OK178" s="76"/>
      <c r="OL178" s="766" t="s">
        <v>13245</v>
      </c>
      <c r="OM178" s="766" t="s">
        <v>1824</v>
      </c>
      <c r="ON178" s="766" t="s">
        <v>13178</v>
      </c>
      <c r="OO178" s="766" t="s">
        <v>1214</v>
      </c>
      <c r="OP178" s="766"/>
      <c r="OQ178" s="766"/>
      <c r="OR178" s="766"/>
      <c r="OS178" s="766"/>
      <c r="OT178" s="766"/>
      <c r="OU178" s="766"/>
      <c r="OV178" s="766"/>
      <c r="OW178" s="766"/>
      <c r="OX178" s="766"/>
      <c r="OY178" s="766"/>
      <c r="OZ178" s="766"/>
      <c r="PA178" s="766"/>
      <c r="PB178" s="766"/>
      <c r="PC178" s="766"/>
      <c r="PD178" s="766"/>
      <c r="PE178" s="766"/>
      <c r="PF178" s="766"/>
      <c r="PG178" s="766"/>
      <c r="PH178" s="766"/>
      <c r="PI178" s="766"/>
      <c r="PJ178" s="766"/>
      <c r="PK178" s="766" t="s">
        <v>1208</v>
      </c>
      <c r="PL178" s="766"/>
      <c r="PM178" s="766"/>
      <c r="PN178" s="766"/>
      <c r="PO178" s="766"/>
      <c r="PP178" s="766"/>
      <c r="PQ178" s="766"/>
      <c r="PR178" s="766"/>
      <c r="PS178" s="766" t="s">
        <v>1208</v>
      </c>
      <c r="PT178" s="766"/>
      <c r="PU178" s="766"/>
      <c r="PV178" s="766" t="s">
        <v>1208</v>
      </c>
      <c r="PW178" s="766"/>
      <c r="PX178" s="766"/>
      <c r="PY178" s="766"/>
      <c r="PZ178" s="766"/>
      <c r="QA178" s="766"/>
      <c r="QB178" s="766"/>
      <c r="QC178" s="766"/>
      <c r="QD178" s="766"/>
      <c r="QE178" s="766"/>
      <c r="QF178" s="766"/>
      <c r="QG178" s="766"/>
      <c r="QH178" s="766"/>
      <c r="QI178" s="766"/>
      <c r="QJ178" s="766"/>
      <c r="QK178" s="766"/>
      <c r="QL178" s="766"/>
      <c r="QM178" s="766"/>
      <c r="QN178" s="766"/>
      <c r="QO178" s="766"/>
      <c r="QP178" s="766"/>
      <c r="QQ178" s="766"/>
      <c r="QR178" s="766"/>
      <c r="QS178" s="766"/>
      <c r="QT178" s="766"/>
      <c r="QU178" s="766"/>
      <c r="QV178" s="766"/>
      <c r="QW178" s="766"/>
      <c r="QX178" s="766"/>
      <c r="QY178" s="766"/>
      <c r="QZ178" s="766"/>
      <c r="RA178" s="766"/>
      <c r="RB178" s="770" t="s">
        <v>1207</v>
      </c>
      <c r="RC178" s="766">
        <v>2012</v>
      </c>
      <c r="RD178" s="766" t="s">
        <v>13223</v>
      </c>
      <c r="RE178" s="766" t="s">
        <v>13008</v>
      </c>
      <c r="RF178" s="777">
        <v>1</v>
      </c>
      <c r="RG178" s="766" t="s">
        <v>13000</v>
      </c>
      <c r="RH178" s="775" t="s">
        <v>1604</v>
      </c>
      <c r="RI178" s="766">
        <v>48</v>
      </c>
      <c r="RJ178" s="766" t="s">
        <v>13246</v>
      </c>
      <c r="RK178" s="766" t="s">
        <v>13206</v>
      </c>
      <c r="RL178" s="1683"/>
      <c r="RM178" s="12"/>
      <c r="RN178" s="1711"/>
      <c r="RO178" s="171" t="s">
        <v>274</v>
      </c>
      <c r="RP178" s="11"/>
      <c r="RQ178" s="11"/>
      <c r="RR178" s="154" t="s">
        <v>12440</v>
      </c>
      <c r="RS178" s="1139" t="s">
        <v>12980</v>
      </c>
      <c r="RT178" s="11"/>
      <c r="RU178" s="11"/>
      <c r="RV178" s="766" t="s">
        <v>7419</v>
      </c>
      <c r="RW178" s="11" t="s">
        <v>7961</v>
      </c>
      <c r="RX178" s="11" t="s">
        <v>280</v>
      </c>
      <c r="RY178" s="11"/>
      <c r="RZ178" s="11" t="s">
        <v>7419</v>
      </c>
      <c r="SA178" s="766"/>
      <c r="SB178" s="11"/>
      <c r="SC178" s="11"/>
    </row>
    <row r="179" spans="1:497" ht="12.75" hidden="1" customHeight="1">
      <c r="A179" s="154" t="s">
        <v>7419</v>
      </c>
      <c r="B179" s="288" t="s">
        <v>7958</v>
      </c>
      <c r="C179" s="171" t="s">
        <v>288</v>
      </c>
      <c r="D179" s="766" t="s">
        <v>287</v>
      </c>
      <c r="E179" s="766" t="s">
        <v>5444</v>
      </c>
      <c r="F179" s="766" t="s">
        <v>28</v>
      </c>
      <c r="G179" s="766" t="s">
        <v>18</v>
      </c>
      <c r="H179" s="766"/>
      <c r="I179" s="5"/>
      <c r="J179" s="766" t="s">
        <v>287</v>
      </c>
      <c r="K179" s="766" t="s">
        <v>12187</v>
      </c>
      <c r="L179" s="766" t="s">
        <v>12188</v>
      </c>
      <c r="M179" s="766"/>
      <c r="N179" s="766" t="s">
        <v>12185</v>
      </c>
      <c r="O179" s="766" t="s">
        <v>12186</v>
      </c>
      <c r="P179" s="14" t="s">
        <v>287</v>
      </c>
      <c r="Q179" s="1085">
        <v>17495</v>
      </c>
      <c r="R179" s="25">
        <v>69</v>
      </c>
      <c r="S179" s="766" t="s">
        <v>18</v>
      </c>
      <c r="T179" s="766"/>
      <c r="U179" s="26" t="s">
        <v>286</v>
      </c>
      <c r="V179" s="766" t="s">
        <v>719</v>
      </c>
      <c r="W179" s="766"/>
      <c r="X179" s="766"/>
      <c r="Y179" s="766" t="s">
        <v>852</v>
      </c>
      <c r="Z179" s="766" t="s">
        <v>708</v>
      </c>
      <c r="AA179" s="766" t="s">
        <v>709</v>
      </c>
      <c r="AB179" s="766" t="s">
        <v>710</v>
      </c>
      <c r="AC179" s="766"/>
      <c r="AD179" s="766"/>
      <c r="AE179" s="766" t="s">
        <v>853</v>
      </c>
      <c r="AF179" s="766"/>
      <c r="AG179" s="766" t="s">
        <v>1095</v>
      </c>
      <c r="AH179" s="766" t="s">
        <v>1096</v>
      </c>
      <c r="AI179" s="766" t="s">
        <v>1151</v>
      </c>
      <c r="AJ179" s="766"/>
      <c r="AK179" s="766" t="s">
        <v>1097</v>
      </c>
      <c r="AL179" s="121">
        <v>10</v>
      </c>
      <c r="AM179" s="772">
        <v>10</v>
      </c>
      <c r="AN179" s="774">
        <f>AM179/AL179</f>
        <v>1</v>
      </c>
      <c r="AO179" s="766" t="s">
        <v>1113</v>
      </c>
      <c r="AP179" s="766"/>
      <c r="AQ179" s="766"/>
      <c r="AR179" s="766"/>
      <c r="AS179" s="766" t="s">
        <v>1207</v>
      </c>
      <c r="AT179" s="766" t="s">
        <v>1208</v>
      </c>
      <c r="AU179" s="766" t="s">
        <v>110</v>
      </c>
      <c r="AV179" s="766"/>
      <c r="AW179" s="766"/>
      <c r="AX179" s="766"/>
      <c r="AY179" s="766"/>
      <c r="AZ179" s="766"/>
      <c r="BA179" s="766"/>
      <c r="BB179" s="766"/>
      <c r="BC179" s="766" t="s">
        <v>853</v>
      </c>
      <c r="BD179" s="766" t="s">
        <v>1207</v>
      </c>
      <c r="BE179" s="766"/>
      <c r="BF179" s="775"/>
      <c r="BG179" s="775"/>
      <c r="BH179" s="766"/>
      <c r="BI179" s="766"/>
      <c r="BJ179" s="766"/>
      <c r="BK179" s="766" t="s">
        <v>1095</v>
      </c>
      <c r="BL179" s="766" t="s">
        <v>5827</v>
      </c>
      <c r="BM179" s="766" t="s">
        <v>1096</v>
      </c>
      <c r="BN179" s="766" t="s">
        <v>1230</v>
      </c>
      <c r="BO179" s="766" t="s">
        <v>1239</v>
      </c>
      <c r="BP179" s="776">
        <v>20</v>
      </c>
      <c r="BQ179" s="772">
        <v>20</v>
      </c>
      <c r="BR179" s="774">
        <f>BQ179/BP179</f>
        <v>1</v>
      </c>
      <c r="BS179" s="766" t="s">
        <v>1257</v>
      </c>
      <c r="BT179" s="766" t="s">
        <v>2040</v>
      </c>
      <c r="BU179" s="766" t="s">
        <v>1288</v>
      </c>
      <c r="BV179" s="766" t="s">
        <v>1247</v>
      </c>
      <c r="BW179" s="766">
        <v>1990</v>
      </c>
      <c r="BX179" s="779"/>
      <c r="BY179" s="766"/>
      <c r="BZ179" s="775"/>
      <c r="CA179" s="766"/>
      <c r="CB179" s="766"/>
      <c r="CC179" s="766"/>
      <c r="CD179" s="766"/>
      <c r="CE179" s="766"/>
      <c r="CF179" s="777"/>
      <c r="CG179" s="778"/>
      <c r="CH179" s="766"/>
      <c r="CI179" s="766"/>
      <c r="CJ179" s="766"/>
      <c r="CK179" s="766"/>
      <c r="CL179" s="766"/>
      <c r="CM179" s="766"/>
      <c r="CN179" s="766"/>
      <c r="CO179" s="766"/>
      <c r="CP179" s="766"/>
      <c r="CQ179" s="766"/>
      <c r="CR179" s="775"/>
      <c r="CS179" s="766"/>
      <c r="CT179" s="766"/>
      <c r="CU179" s="129"/>
      <c r="CV179" s="766"/>
      <c r="CW179" s="766"/>
      <c r="CX179" s="766"/>
      <c r="CY179" s="766"/>
      <c r="CZ179" s="766"/>
      <c r="DA179" s="766"/>
      <c r="DB179" s="766"/>
      <c r="DC179" s="766"/>
      <c r="DD179" s="766"/>
      <c r="DE179" s="766"/>
      <c r="DF179" s="766"/>
      <c r="DG179" s="766"/>
      <c r="DH179" s="766"/>
      <c r="DI179" s="766"/>
      <c r="DJ179" s="766"/>
      <c r="DK179" s="766"/>
      <c r="DL179" s="766"/>
      <c r="DM179" s="766"/>
      <c r="DN179" s="766"/>
      <c r="DO179" s="766"/>
      <c r="DP179" s="766"/>
      <c r="DQ179" s="766"/>
      <c r="DR179" s="766"/>
      <c r="DS179" s="59"/>
      <c r="DT179" s="766"/>
      <c r="DU179" s="766"/>
      <c r="DV179" s="766"/>
      <c r="DW179" s="66"/>
      <c r="DX179" s="66"/>
      <c r="DY179" s="766"/>
      <c r="DZ179" s="766"/>
      <c r="EA179" s="766"/>
      <c r="EB179" s="766"/>
      <c r="EC179" s="766"/>
      <c r="ED179" s="766"/>
      <c r="EE179" s="766"/>
      <c r="EF179" s="766"/>
      <c r="EG179" s="766"/>
      <c r="EH179" s="766"/>
      <c r="EI179" s="766"/>
      <c r="EJ179" s="766"/>
      <c r="EK179" s="766"/>
      <c r="EL179" s="766"/>
      <c r="EM179" s="766"/>
      <c r="EN179" s="766"/>
      <c r="EO179" s="766"/>
      <c r="EP179" s="766"/>
      <c r="EQ179" s="766"/>
      <c r="ER179" s="766"/>
      <c r="ES179" s="766"/>
      <c r="ET179" s="766"/>
      <c r="EU179" s="766"/>
      <c r="EV179" s="766"/>
      <c r="EW179" s="766"/>
      <c r="EX179" s="766"/>
      <c r="EY179" s="766"/>
      <c r="EZ179" s="766"/>
      <c r="FA179" s="766"/>
      <c r="FB179" s="766"/>
      <c r="FC179" s="766"/>
      <c r="FD179" s="775"/>
      <c r="FE179" s="766"/>
      <c r="FF179" s="766"/>
      <c r="FG179" s="766"/>
      <c r="FH179" s="766" t="s">
        <v>478</v>
      </c>
      <c r="FI179" s="766">
        <v>3</v>
      </c>
      <c r="FJ179" s="766" t="s">
        <v>1151</v>
      </c>
      <c r="FK179" s="766"/>
      <c r="FL179" s="766"/>
      <c r="FM179" s="775"/>
      <c r="FN179" s="775"/>
      <c r="FO179" s="775"/>
      <c r="FP179" s="766" t="s">
        <v>1602</v>
      </c>
      <c r="FQ179" s="766" t="s">
        <v>1660</v>
      </c>
      <c r="FR179" s="766" t="s">
        <v>1207</v>
      </c>
      <c r="FS179" s="766" t="s">
        <v>1208</v>
      </c>
      <c r="FT179" s="766"/>
      <c r="FU179" s="766"/>
      <c r="FV179" s="766"/>
      <c r="FW179" s="766"/>
      <c r="FX179" s="766"/>
      <c r="FY179" s="766"/>
      <c r="FZ179" s="766"/>
      <c r="GA179" s="766"/>
      <c r="GB179" s="766" t="s">
        <v>853</v>
      </c>
      <c r="GC179" s="75" t="s">
        <v>1729</v>
      </c>
      <c r="GD179" s="25">
        <v>2002</v>
      </c>
      <c r="GE179" s="766" t="s">
        <v>1698</v>
      </c>
      <c r="GF179" s="775"/>
      <c r="GG179" s="775"/>
      <c r="GH179" s="766"/>
      <c r="GI179" s="766"/>
      <c r="GJ179" s="766"/>
      <c r="GK179" s="766"/>
      <c r="GL179" s="766"/>
      <c r="GM179" s="766"/>
      <c r="GN179" s="82"/>
      <c r="GO179" s="766"/>
      <c r="GP179" s="766"/>
      <c r="GQ179" s="766"/>
      <c r="GR179" s="766"/>
      <c r="GS179" s="766"/>
      <c r="GT179" s="766"/>
      <c r="GU179" s="766"/>
      <c r="GV179" s="766"/>
      <c r="GW179" s="766"/>
      <c r="GX179" s="766"/>
      <c r="GY179" s="766"/>
      <c r="GZ179" s="766"/>
      <c r="HA179" s="766"/>
      <c r="HB179" s="766"/>
      <c r="HC179" s="766"/>
      <c r="HD179" s="766"/>
      <c r="HE179" s="766"/>
      <c r="HF179" s="766"/>
      <c r="HG179" s="766"/>
      <c r="HH179" s="766"/>
      <c r="HI179" s="766"/>
      <c r="HJ179" s="766"/>
      <c r="HK179" s="766"/>
      <c r="HL179" s="766"/>
      <c r="HM179" s="766"/>
      <c r="HN179" s="766"/>
      <c r="HO179" s="766"/>
      <c r="HP179" s="766"/>
      <c r="HQ179" s="766"/>
      <c r="HR179" s="766"/>
      <c r="HS179" s="766"/>
      <c r="HT179" s="766"/>
      <c r="HU179" s="766"/>
      <c r="HV179" s="766"/>
      <c r="HW179" s="766"/>
      <c r="HX179" s="766"/>
      <c r="HY179" s="766"/>
      <c r="HZ179" s="766"/>
      <c r="IA179" s="766"/>
      <c r="IB179" s="14" t="e">
        <f>IF(#REF!&gt;0,IF(#REF!&lt;=10000,"Y",""),"")</f>
        <v>#REF!</v>
      </c>
      <c r="IC179" s="766" t="s">
        <v>1207</v>
      </c>
      <c r="ID179" s="766" t="s">
        <v>1207</v>
      </c>
      <c r="IE179" s="766"/>
      <c r="IF179" s="766"/>
      <c r="IG179" s="766"/>
      <c r="IH179" s="766"/>
      <c r="II179" s="766"/>
      <c r="IJ179" s="766"/>
      <c r="IK179" s="766"/>
      <c r="IL179" s="766"/>
      <c r="IM179" s="766"/>
      <c r="IN179" s="766"/>
      <c r="IO179" s="24"/>
      <c r="IP179" s="766"/>
      <c r="IQ179" s="766"/>
      <c r="IR179" s="766"/>
      <c r="IS179" s="766"/>
      <c r="IT179" s="766"/>
      <c r="IU179" s="766"/>
      <c r="IV179" s="766"/>
      <c r="IW179" s="766"/>
      <c r="IX179" s="766"/>
      <c r="IY179" s="766"/>
      <c r="IZ179" s="766"/>
      <c r="JA179" s="766"/>
      <c r="JB179" s="766"/>
      <c r="JC179" s="766"/>
      <c r="JD179" s="775"/>
      <c r="JE179" s="766"/>
      <c r="JF179" s="766"/>
      <c r="JG179" s="766"/>
      <c r="JH179" s="766"/>
      <c r="JI179" s="766"/>
      <c r="JJ179" s="766">
        <v>5</v>
      </c>
      <c r="JK179" s="1139" t="s">
        <v>2069</v>
      </c>
      <c r="JL179" s="766"/>
      <c r="JM179" s="766"/>
      <c r="JN179" s="766">
        <v>3</v>
      </c>
      <c r="JO179" s="766">
        <v>1</v>
      </c>
      <c r="JP179" s="766"/>
      <c r="JQ179" s="766">
        <v>1</v>
      </c>
      <c r="JR179" s="766"/>
      <c r="JS179" s="766"/>
      <c r="JT179" s="766">
        <f t="shared" si="44"/>
        <v>3</v>
      </c>
      <c r="JU179" s="766">
        <f t="shared" si="44"/>
        <v>2</v>
      </c>
      <c r="JV179" s="712" t="str">
        <f>IF(JT179=KJ179,"ok","male")</f>
        <v>ok</v>
      </c>
      <c r="JW179" s="712" t="str">
        <f>IF(JU179=KK179,"ok","female")</f>
        <v>ok</v>
      </c>
      <c r="JX179" s="766"/>
      <c r="JY179" s="766"/>
      <c r="JZ179" s="766"/>
      <c r="KA179" s="766"/>
      <c r="KB179" s="766">
        <v>1</v>
      </c>
      <c r="KC179" s="766">
        <v>1</v>
      </c>
      <c r="KD179" s="766">
        <v>2</v>
      </c>
      <c r="KE179" s="766"/>
      <c r="KF179" s="766"/>
      <c r="KG179" s="766">
        <v>1</v>
      </c>
      <c r="KH179" s="766"/>
      <c r="KI179" s="766"/>
      <c r="KJ179" s="770">
        <f t="shared" si="38"/>
        <v>3</v>
      </c>
      <c r="KK179" s="770">
        <f t="shared" si="38"/>
        <v>2</v>
      </c>
      <c r="KL179" s="712" t="str">
        <f>IF(KJ179=LN179,"ok","male")</f>
        <v>ok</v>
      </c>
      <c r="KM179" s="712" t="str">
        <f>IF(KK179=LO179,"ok","female")</f>
        <v>ok</v>
      </c>
      <c r="KN179" s="766" t="s">
        <v>719</v>
      </c>
      <c r="KO179" s="766"/>
      <c r="KP179" s="766"/>
      <c r="KQ179" s="766"/>
      <c r="KR179" s="766"/>
      <c r="KS179" s="766"/>
      <c r="KT179" s="766"/>
      <c r="KU179" s="766">
        <v>1</v>
      </c>
      <c r="KV179" s="766"/>
      <c r="KW179" s="766"/>
      <c r="KX179" s="766">
        <v>1</v>
      </c>
      <c r="KY179" s="766">
        <v>1</v>
      </c>
      <c r="KZ179" s="766">
        <v>2</v>
      </c>
      <c r="LA179" s="766"/>
      <c r="LB179" s="766"/>
      <c r="LC179" s="766"/>
      <c r="LD179" s="766"/>
      <c r="LE179" s="766"/>
      <c r="LF179" s="766"/>
      <c r="LG179" s="766"/>
      <c r="LH179" s="766"/>
      <c r="LI179" s="766"/>
      <c r="LJ179" s="766"/>
      <c r="LK179" s="766"/>
      <c r="LL179" s="766"/>
      <c r="LM179" s="766"/>
      <c r="LN179" s="766">
        <f t="shared" si="39"/>
        <v>3</v>
      </c>
      <c r="LO179" s="766">
        <f t="shared" si="39"/>
        <v>2</v>
      </c>
      <c r="LP179" s="766">
        <v>3</v>
      </c>
      <c r="LQ179" s="766">
        <v>3</v>
      </c>
      <c r="LR179" s="766"/>
      <c r="LS179" s="766"/>
      <c r="LT179" s="712" t="str">
        <f>IF(LQ179=SUM(LU179:LW179),"OK","REV")</f>
        <v>OK</v>
      </c>
      <c r="LU179" s="766">
        <v>2</v>
      </c>
      <c r="LV179" s="766"/>
      <c r="LW179" s="766">
        <v>1</v>
      </c>
      <c r="LX179" s="769">
        <v>1</v>
      </c>
      <c r="LY179" s="766" t="str">
        <f t="shared" si="43"/>
        <v>within the BRGY</v>
      </c>
      <c r="LZ179" s="66"/>
      <c r="MA179" s="766"/>
      <c r="MB179" s="766"/>
      <c r="MC179" s="1679">
        <f t="shared" si="41"/>
        <v>0</v>
      </c>
      <c r="MD179" s="66">
        <v>11800</v>
      </c>
      <c r="ME179" s="66"/>
      <c r="MF179" s="66"/>
      <c r="MG179" s="1680">
        <f>SUM(MD179:MF179)</f>
        <v>11800</v>
      </c>
      <c r="MH179" s="766"/>
      <c r="MI179" s="775">
        <v>15000</v>
      </c>
      <c r="MJ179" s="775">
        <v>560</v>
      </c>
      <c r="MK179" s="775"/>
      <c r="ML179" s="775">
        <v>2000</v>
      </c>
      <c r="MM179" s="775"/>
      <c r="MN179" s="775"/>
      <c r="MO179" s="775">
        <v>900</v>
      </c>
      <c r="MP179" s="775">
        <v>1000</v>
      </c>
      <c r="MQ179" s="775">
        <v>500</v>
      </c>
      <c r="MR179" s="775">
        <v>500</v>
      </c>
      <c r="MS179" s="775"/>
      <c r="MT179" s="775"/>
      <c r="MU179" s="775"/>
      <c r="MV179" s="775"/>
      <c r="MW179" s="775"/>
      <c r="MX179" s="775"/>
      <c r="MY179" s="1682">
        <f t="shared" si="35"/>
        <v>20460</v>
      </c>
      <c r="MZ179" s="766" t="s">
        <v>13004</v>
      </c>
      <c r="NA179" s="766" t="s">
        <v>13005</v>
      </c>
      <c r="NB179" s="766" t="s">
        <v>13006</v>
      </c>
      <c r="NC179" s="766" t="s">
        <v>13026</v>
      </c>
      <c r="ND179" s="766">
        <v>0</v>
      </c>
      <c r="NE179" s="766">
        <v>0</v>
      </c>
      <c r="NF179" s="766">
        <v>0</v>
      </c>
      <c r="NG179" s="766">
        <v>1</v>
      </c>
      <c r="NH179" s="766">
        <v>0</v>
      </c>
      <c r="NI179" s="766">
        <v>0</v>
      </c>
      <c r="NJ179" s="766">
        <v>0</v>
      </c>
      <c r="NK179" s="766">
        <v>0</v>
      </c>
      <c r="NL179" s="766">
        <v>0</v>
      </c>
      <c r="NM179" s="766">
        <v>0</v>
      </c>
      <c r="NN179" s="766">
        <v>0</v>
      </c>
      <c r="NO179" s="766">
        <v>0</v>
      </c>
      <c r="NP179" s="766">
        <v>0</v>
      </c>
      <c r="NQ179" s="766">
        <v>0</v>
      </c>
      <c r="NR179" s="766">
        <v>0</v>
      </c>
      <c r="NS179" s="766">
        <v>0</v>
      </c>
      <c r="NT179" s="766">
        <v>0</v>
      </c>
      <c r="NU179" s="766">
        <v>0</v>
      </c>
      <c r="NV179" s="766">
        <v>0</v>
      </c>
      <c r="NW179" s="766">
        <v>0</v>
      </c>
      <c r="NX179" s="766">
        <v>0</v>
      </c>
      <c r="NY179" s="766" t="s">
        <v>1208</v>
      </c>
      <c r="NZ179" s="766" t="s">
        <v>1208</v>
      </c>
      <c r="OA179" s="766" t="s">
        <v>1208</v>
      </c>
      <c r="OB179" s="766" t="s">
        <v>1208</v>
      </c>
      <c r="OC179" s="766"/>
      <c r="OD179" s="766"/>
      <c r="OE179" s="766"/>
      <c r="OF179" s="766"/>
      <c r="OG179" s="766"/>
      <c r="OH179" s="766"/>
      <c r="OI179" s="766"/>
      <c r="OJ179" s="766"/>
      <c r="OK179" s="76"/>
      <c r="OL179" s="766" t="s">
        <v>13247</v>
      </c>
      <c r="OM179" s="766" t="s">
        <v>13248</v>
      </c>
      <c r="ON179" s="766"/>
      <c r="OO179" s="766" t="s">
        <v>1214</v>
      </c>
      <c r="OP179" s="766"/>
      <c r="OQ179" s="766"/>
      <c r="OR179" s="766"/>
      <c r="OS179" s="766"/>
      <c r="OT179" s="766"/>
      <c r="OU179" s="766"/>
      <c r="OV179" s="766"/>
      <c r="OW179" s="766"/>
      <c r="OX179" s="766"/>
      <c r="OY179" s="766"/>
      <c r="OZ179" s="766"/>
      <c r="PA179" s="766"/>
      <c r="PB179" s="766"/>
      <c r="PC179" s="766"/>
      <c r="PD179" s="766"/>
      <c r="PE179" s="766"/>
      <c r="PF179" s="766"/>
      <c r="PG179" s="766"/>
      <c r="PH179" s="766"/>
      <c r="PI179" s="766"/>
      <c r="PJ179" s="766"/>
      <c r="PK179" s="766" t="s">
        <v>1208</v>
      </c>
      <c r="PL179" s="766"/>
      <c r="PM179" s="766" t="s">
        <v>1208</v>
      </c>
      <c r="PN179" s="766"/>
      <c r="PO179" s="766"/>
      <c r="PP179" s="766"/>
      <c r="PQ179" s="766"/>
      <c r="PR179" s="766"/>
      <c r="PS179" s="766"/>
      <c r="PT179" s="766"/>
      <c r="PU179" s="766"/>
      <c r="PV179" s="766"/>
      <c r="PW179" s="766" t="s">
        <v>1208</v>
      </c>
      <c r="PX179" s="766"/>
      <c r="PY179" s="766"/>
      <c r="PZ179" s="766"/>
      <c r="QA179" s="766"/>
      <c r="QB179" s="766"/>
      <c r="QC179" s="766"/>
      <c r="QD179" s="766"/>
      <c r="QE179" s="766"/>
      <c r="QF179" s="766"/>
      <c r="QG179" s="766"/>
      <c r="QH179" s="766"/>
      <c r="QI179" s="766"/>
      <c r="QJ179" s="766"/>
      <c r="QK179" s="766"/>
      <c r="QL179" s="766"/>
      <c r="QM179" s="766"/>
      <c r="QN179" s="766"/>
      <c r="QO179" s="766"/>
      <c r="QP179" s="766"/>
      <c r="QQ179" s="766"/>
      <c r="QR179" s="766"/>
      <c r="QS179" s="766"/>
      <c r="QT179" s="766"/>
      <c r="QU179" s="766"/>
      <c r="QV179" s="766"/>
      <c r="QW179" s="766"/>
      <c r="QX179" s="766"/>
      <c r="QY179" s="766"/>
      <c r="QZ179" s="766"/>
      <c r="RA179" s="766"/>
      <c r="RB179" s="770" t="s">
        <v>1207</v>
      </c>
      <c r="RC179" s="766">
        <v>2012</v>
      </c>
      <c r="RD179" s="766" t="s">
        <v>13036</v>
      </c>
      <c r="RE179" s="766" t="s">
        <v>12990</v>
      </c>
      <c r="RF179" s="777">
        <v>1</v>
      </c>
      <c r="RG179" s="766" t="s">
        <v>12991</v>
      </c>
      <c r="RH179" s="775">
        <v>10000</v>
      </c>
      <c r="RI179" s="766">
        <v>72</v>
      </c>
      <c r="RJ179" s="766" t="s">
        <v>1151</v>
      </c>
      <c r="RK179" s="766" t="s">
        <v>13146</v>
      </c>
      <c r="RL179" s="1683"/>
      <c r="RM179" s="12"/>
      <c r="RN179" s="1711"/>
      <c r="RO179" s="171" t="s">
        <v>288</v>
      </c>
      <c r="RP179" s="11"/>
      <c r="RQ179" s="11"/>
      <c r="RR179" s="154" t="s">
        <v>7419</v>
      </c>
      <c r="RS179" s="1139" t="s">
        <v>12980</v>
      </c>
      <c r="RT179" s="11"/>
      <c r="RU179" s="11"/>
      <c r="RV179" s="766" t="s">
        <v>12440</v>
      </c>
      <c r="RW179" s="11" t="s">
        <v>7526</v>
      </c>
      <c r="RX179" s="11" t="s">
        <v>2227</v>
      </c>
      <c r="RY179" s="11"/>
      <c r="RZ179" s="11" t="s">
        <v>7419</v>
      </c>
      <c r="SA179" s="766"/>
      <c r="SB179" s="11"/>
      <c r="SC179" s="11"/>
    </row>
    <row r="180" spans="1:497" ht="12.75" hidden="1" customHeight="1">
      <c r="A180" s="767" t="s">
        <v>12441</v>
      </c>
      <c r="B180" s="288" t="s">
        <v>7527</v>
      </c>
      <c r="C180" s="171" t="s">
        <v>284</v>
      </c>
      <c r="D180" s="14" t="s">
        <v>285</v>
      </c>
      <c r="E180" s="766" t="s">
        <v>5444</v>
      </c>
      <c r="F180" s="766" t="s">
        <v>42</v>
      </c>
      <c r="G180" s="766" t="s">
        <v>10</v>
      </c>
      <c r="H180" s="766"/>
      <c r="I180" s="5" t="s">
        <v>286</v>
      </c>
      <c r="J180" s="766" t="s">
        <v>285</v>
      </c>
      <c r="K180" s="766"/>
      <c r="L180" s="766"/>
      <c r="M180" s="766"/>
      <c r="N180" s="766"/>
      <c r="O180" s="766"/>
      <c r="P180" s="766" t="s">
        <v>285</v>
      </c>
      <c r="Q180" s="1085">
        <v>26562</v>
      </c>
      <c r="R180" s="25">
        <v>44</v>
      </c>
      <c r="S180" s="766" t="s">
        <v>10</v>
      </c>
      <c r="T180" s="766"/>
      <c r="U180" s="26" t="s">
        <v>286</v>
      </c>
      <c r="V180" s="766" t="s">
        <v>707</v>
      </c>
      <c r="W180" s="766"/>
      <c r="X180" s="766"/>
      <c r="Y180" s="766" t="s">
        <v>851</v>
      </c>
      <c r="Z180" s="766" t="s">
        <v>708</v>
      </c>
      <c r="AA180" s="766" t="s">
        <v>709</v>
      </c>
      <c r="AB180" s="766" t="s">
        <v>710</v>
      </c>
      <c r="AC180" s="766"/>
      <c r="AD180" s="766" t="s">
        <v>711</v>
      </c>
      <c r="AE180" s="766"/>
      <c r="AF180" s="766"/>
      <c r="AG180" s="766"/>
      <c r="AH180" s="766"/>
      <c r="AI180" s="766"/>
      <c r="AJ180" s="766"/>
      <c r="AK180" s="766" t="s">
        <v>5454</v>
      </c>
      <c r="AL180" s="121"/>
      <c r="AM180" s="772"/>
      <c r="AN180" s="774"/>
      <c r="AO180" s="12"/>
      <c r="AP180" s="766"/>
      <c r="AQ180" s="766"/>
      <c r="AR180" s="766"/>
      <c r="AS180" s="766"/>
      <c r="AT180" s="766"/>
      <c r="AU180" s="766"/>
      <c r="AV180" s="766"/>
      <c r="AW180" s="766"/>
      <c r="AX180" s="766"/>
      <c r="AY180" s="766"/>
      <c r="AZ180" s="766"/>
      <c r="BA180" s="766"/>
      <c r="BB180" s="766"/>
      <c r="BC180" s="766" t="s">
        <v>853</v>
      </c>
      <c r="BD180" s="766" t="s">
        <v>1207</v>
      </c>
      <c r="BE180" s="766"/>
      <c r="BF180" s="775"/>
      <c r="BG180" s="775"/>
      <c r="BH180" s="766"/>
      <c r="BI180" s="766"/>
      <c r="BJ180" s="766"/>
      <c r="BK180" s="766"/>
      <c r="BL180" s="766"/>
      <c r="BM180" s="766" t="s">
        <v>1238</v>
      </c>
      <c r="BN180" s="766" t="s">
        <v>1305</v>
      </c>
      <c r="BO180" s="770"/>
      <c r="BP180" s="780"/>
      <c r="BQ180" s="773"/>
      <c r="BR180" s="774"/>
      <c r="BS180" s="766" t="s">
        <v>1257</v>
      </c>
      <c r="BT180" s="770"/>
      <c r="BU180" s="770"/>
      <c r="BV180" s="770"/>
      <c r="BW180" s="770"/>
      <c r="BX180" s="779"/>
      <c r="BY180" s="766" t="s">
        <v>1207</v>
      </c>
      <c r="BZ180" s="775"/>
      <c r="CA180" s="766"/>
      <c r="CB180" s="766"/>
      <c r="CC180" s="766"/>
      <c r="CD180" s="766"/>
      <c r="CE180" s="766"/>
      <c r="CF180" s="777"/>
      <c r="CG180" s="778"/>
      <c r="CH180" s="766"/>
      <c r="CI180" s="766"/>
      <c r="CJ180" s="766"/>
      <c r="CK180" s="766"/>
      <c r="CL180" s="766"/>
      <c r="CM180" s="766"/>
      <c r="CN180" s="766"/>
      <c r="CO180" s="766"/>
      <c r="CP180" s="766"/>
      <c r="CQ180" s="766"/>
      <c r="CR180" s="775"/>
      <c r="CS180" s="766"/>
      <c r="CT180" s="766"/>
      <c r="CU180" s="129"/>
      <c r="CV180" s="766"/>
      <c r="CW180" s="766"/>
      <c r="CX180" s="766"/>
      <c r="CY180" s="766"/>
      <c r="CZ180" s="766"/>
      <c r="DA180" s="766"/>
      <c r="DB180" s="766"/>
      <c r="DC180" s="766"/>
      <c r="DD180" s="766"/>
      <c r="DE180" s="766"/>
      <c r="DF180" s="766"/>
      <c r="DG180" s="766"/>
      <c r="DH180" s="766"/>
      <c r="DI180" s="766"/>
      <c r="DJ180" s="766"/>
      <c r="DK180" s="766"/>
      <c r="DL180" s="766"/>
      <c r="DM180" s="766"/>
      <c r="DN180" s="766"/>
      <c r="DO180" s="766"/>
      <c r="DP180" s="766"/>
      <c r="DQ180" s="766"/>
      <c r="DR180" s="766"/>
      <c r="DS180" s="59"/>
      <c r="DT180" s="766"/>
      <c r="DU180" s="766"/>
      <c r="DV180" s="766"/>
      <c r="DW180" s="66"/>
      <c r="DX180" s="66"/>
      <c r="DY180" s="766"/>
      <c r="DZ180" s="766"/>
      <c r="EA180" s="766"/>
      <c r="EB180" s="766"/>
      <c r="EC180" s="766"/>
      <c r="ED180" s="766"/>
      <c r="EE180" s="766"/>
      <c r="EF180" s="766"/>
      <c r="EG180" s="766"/>
      <c r="EH180" s="766"/>
      <c r="EI180" s="766"/>
      <c r="EJ180" s="766"/>
      <c r="EK180" s="766"/>
      <c r="EL180" s="766"/>
      <c r="EM180" s="766"/>
      <c r="EN180" s="766"/>
      <c r="EO180" s="766"/>
      <c r="EP180" s="766"/>
      <c r="EQ180" s="766"/>
      <c r="ER180" s="766"/>
      <c r="ES180" s="766"/>
      <c r="ET180" s="766"/>
      <c r="EU180" s="766"/>
      <c r="EV180" s="766"/>
      <c r="EW180" s="766"/>
      <c r="EX180" s="766"/>
      <c r="EY180" s="766"/>
      <c r="EZ180" s="766"/>
      <c r="FA180" s="766"/>
      <c r="FB180" s="766"/>
      <c r="FC180" s="766"/>
      <c r="FD180" s="775"/>
      <c r="FE180" s="766"/>
      <c r="FF180" s="766"/>
      <c r="FG180" s="766"/>
      <c r="FH180" s="766" t="s">
        <v>1305</v>
      </c>
      <c r="FI180" s="766">
        <v>1</v>
      </c>
      <c r="FJ180" s="766" t="s">
        <v>1151</v>
      </c>
      <c r="FK180" s="766"/>
      <c r="FL180" s="766"/>
      <c r="FM180" s="775"/>
      <c r="FN180" s="775"/>
      <c r="FO180" s="775"/>
      <c r="FP180" s="770"/>
      <c r="FQ180" s="770"/>
      <c r="FR180" s="766"/>
      <c r="FS180" s="766"/>
      <c r="FT180" s="766"/>
      <c r="FU180" s="766"/>
      <c r="FV180" s="766"/>
      <c r="FW180" s="766"/>
      <c r="FX180" s="766"/>
      <c r="FY180" s="766"/>
      <c r="FZ180" s="766"/>
      <c r="GA180" s="766"/>
      <c r="GB180" s="766" t="s">
        <v>853</v>
      </c>
      <c r="GC180" s="75" t="s">
        <v>1729</v>
      </c>
      <c r="GD180" s="25">
        <v>2002</v>
      </c>
      <c r="GE180" s="766" t="s">
        <v>110</v>
      </c>
      <c r="GF180" s="775"/>
      <c r="GG180" s="775"/>
      <c r="GH180" s="766"/>
      <c r="GI180" s="766"/>
      <c r="GJ180" s="766"/>
      <c r="GK180" s="766"/>
      <c r="GL180" s="766"/>
      <c r="GM180" s="766"/>
      <c r="GN180" s="82"/>
      <c r="GO180" s="766"/>
      <c r="GP180" s="766"/>
      <c r="GQ180" s="766"/>
      <c r="GR180" s="766"/>
      <c r="GS180" s="766"/>
      <c r="GT180" s="766"/>
      <c r="GU180" s="766"/>
      <c r="GV180" s="766"/>
      <c r="GW180" s="766"/>
      <c r="GX180" s="766"/>
      <c r="GY180" s="766"/>
      <c r="GZ180" s="766"/>
      <c r="HA180" s="766"/>
      <c r="HB180" s="766"/>
      <c r="HC180" s="766"/>
      <c r="HD180" s="766"/>
      <c r="HE180" s="766"/>
      <c r="HF180" s="766"/>
      <c r="HG180" s="766"/>
      <c r="HH180" s="766"/>
      <c r="HI180" s="766"/>
      <c r="HJ180" s="766"/>
      <c r="HK180" s="766"/>
      <c r="HL180" s="766"/>
      <c r="HM180" s="766"/>
      <c r="HN180" s="766"/>
      <c r="HO180" s="766"/>
      <c r="HP180" s="766"/>
      <c r="HQ180" s="766"/>
      <c r="HR180" s="766"/>
      <c r="HS180" s="766"/>
      <c r="HT180" s="766"/>
      <c r="HU180" s="766"/>
      <c r="HV180" s="766"/>
      <c r="HW180" s="766"/>
      <c r="HX180" s="766"/>
      <c r="HY180" s="766"/>
      <c r="HZ180" s="766"/>
      <c r="IA180" s="766"/>
      <c r="IB180" s="766" t="s">
        <v>1207</v>
      </c>
      <c r="IC180" s="766"/>
      <c r="ID180" s="766"/>
      <c r="IE180" s="766"/>
      <c r="IF180" s="766"/>
      <c r="IG180" s="766"/>
      <c r="IH180" s="766"/>
      <c r="II180" s="766"/>
      <c r="IJ180" s="766"/>
      <c r="IK180" s="766"/>
      <c r="IL180" s="766"/>
      <c r="IM180" s="766"/>
      <c r="IN180" s="766"/>
      <c r="IO180" s="24"/>
      <c r="IP180" s="766"/>
      <c r="IQ180" s="766"/>
      <c r="IR180" s="766"/>
      <c r="IS180" s="766"/>
      <c r="IT180" s="766"/>
      <c r="IU180" s="766"/>
      <c r="IV180" s="766"/>
      <c r="IW180" s="766"/>
      <c r="IX180" s="766"/>
      <c r="IY180" s="766"/>
      <c r="IZ180" s="766"/>
      <c r="JA180" s="766"/>
      <c r="JB180" s="766"/>
      <c r="JC180" s="766"/>
      <c r="JD180" s="775"/>
      <c r="JE180" s="766"/>
      <c r="JF180" s="766"/>
      <c r="JG180" s="766"/>
      <c r="JH180" s="766"/>
      <c r="JI180" s="766"/>
      <c r="JJ180" s="766">
        <v>5</v>
      </c>
      <c r="JK180" s="766" t="s">
        <v>285</v>
      </c>
      <c r="JL180" s="766"/>
      <c r="JM180" s="766"/>
      <c r="JN180" s="766">
        <v>4</v>
      </c>
      <c r="JO180" s="766">
        <v>1</v>
      </c>
      <c r="JP180" s="766"/>
      <c r="JQ180" s="766"/>
      <c r="JR180" s="766"/>
      <c r="JS180" s="766"/>
      <c r="JT180" s="766">
        <f t="shared" si="44"/>
        <v>4</v>
      </c>
      <c r="JU180" s="766">
        <f t="shared" si="44"/>
        <v>1</v>
      </c>
      <c r="JV180" s="766"/>
      <c r="JW180" s="766"/>
      <c r="JX180" s="766"/>
      <c r="JY180" s="766"/>
      <c r="JZ180" s="766"/>
      <c r="KA180" s="766"/>
      <c r="KB180" s="766">
        <v>3</v>
      </c>
      <c r="KC180" s="766"/>
      <c r="KD180" s="766">
        <v>1</v>
      </c>
      <c r="KE180" s="766">
        <v>1</v>
      </c>
      <c r="KF180" s="766"/>
      <c r="KG180" s="766"/>
      <c r="KH180" s="766"/>
      <c r="KI180" s="766"/>
      <c r="KJ180" s="770">
        <f t="shared" si="38"/>
        <v>4</v>
      </c>
      <c r="KK180" s="770">
        <f t="shared" si="38"/>
        <v>1</v>
      </c>
      <c r="KL180" s="770"/>
      <c r="KM180" s="770"/>
      <c r="KN180" s="766" t="s">
        <v>707</v>
      </c>
      <c r="KO180" s="766"/>
      <c r="KP180" s="766"/>
      <c r="KQ180" s="766"/>
      <c r="KR180" s="766"/>
      <c r="KS180" s="766"/>
      <c r="KT180" s="766"/>
      <c r="KU180" s="766"/>
      <c r="KV180" s="766"/>
      <c r="KW180" s="766"/>
      <c r="KX180" s="766">
        <v>4</v>
      </c>
      <c r="KY180" s="766"/>
      <c r="KZ180" s="766"/>
      <c r="LA180" s="766">
        <v>1</v>
      </c>
      <c r="LB180" s="766"/>
      <c r="LC180" s="766"/>
      <c r="LD180" s="766"/>
      <c r="LE180" s="766"/>
      <c r="LF180" s="766"/>
      <c r="LG180" s="766"/>
      <c r="LH180" s="766"/>
      <c r="LI180" s="766"/>
      <c r="LJ180" s="766"/>
      <c r="LK180" s="766"/>
      <c r="LL180" s="766"/>
      <c r="LM180" s="766"/>
      <c r="LN180" s="766">
        <f t="shared" si="39"/>
        <v>4</v>
      </c>
      <c r="LO180" s="766">
        <f t="shared" si="39"/>
        <v>1</v>
      </c>
      <c r="LP180" s="766">
        <v>1</v>
      </c>
      <c r="LQ180" s="766">
        <v>1</v>
      </c>
      <c r="LR180" s="766"/>
      <c r="LS180" s="766"/>
      <c r="LT180" s="766"/>
      <c r="LU180" s="766"/>
      <c r="LV180" s="766"/>
      <c r="LW180" s="766">
        <v>1</v>
      </c>
      <c r="LX180" s="769">
        <v>1</v>
      </c>
      <c r="LY180" s="766" t="str">
        <f t="shared" si="43"/>
        <v>within the BRGY</v>
      </c>
      <c r="LZ180" s="66"/>
      <c r="MA180" s="766"/>
      <c r="MB180" s="766"/>
      <c r="MC180" s="1679">
        <f t="shared" si="41"/>
        <v>0</v>
      </c>
      <c r="MD180" s="66">
        <v>21000</v>
      </c>
      <c r="ME180" s="66"/>
      <c r="MF180" s="66">
        <v>2000</v>
      </c>
      <c r="MG180" s="1680">
        <f t="shared" si="34"/>
        <v>23000</v>
      </c>
      <c r="MH180" s="766"/>
      <c r="MI180" s="775">
        <v>300</v>
      </c>
      <c r="MJ180" s="775">
        <v>50</v>
      </c>
      <c r="MK180" s="775">
        <v>416.67</v>
      </c>
      <c r="ML180" s="775"/>
      <c r="MM180" s="775">
        <v>3500</v>
      </c>
      <c r="MN180" s="775"/>
      <c r="MO180" s="775">
        <v>900</v>
      </c>
      <c r="MP180" s="775"/>
      <c r="MQ180" s="775">
        <v>600</v>
      </c>
      <c r="MR180" s="775">
        <v>1300</v>
      </c>
      <c r="MS180" s="775">
        <v>500</v>
      </c>
      <c r="MT180" s="775"/>
      <c r="MU180" s="775"/>
      <c r="MV180" s="775"/>
      <c r="MW180" s="775"/>
      <c r="MX180" s="775"/>
      <c r="MY180" s="1682">
        <f t="shared" si="35"/>
        <v>7566.67</v>
      </c>
      <c r="MZ180" s="766" t="s">
        <v>1835</v>
      </c>
      <c r="NA180" s="766"/>
      <c r="NB180" s="766" t="s">
        <v>13249</v>
      </c>
      <c r="NC180" s="766" t="s">
        <v>13135</v>
      </c>
      <c r="ND180" s="766">
        <v>0</v>
      </c>
      <c r="NE180" s="766">
        <v>1</v>
      </c>
      <c r="NF180" s="766">
        <v>0</v>
      </c>
      <c r="NG180" s="766">
        <v>0</v>
      </c>
      <c r="NH180" s="766">
        <v>0</v>
      </c>
      <c r="NI180" s="766">
        <v>0</v>
      </c>
      <c r="NJ180" s="766">
        <v>0</v>
      </c>
      <c r="NK180" s="766">
        <v>0</v>
      </c>
      <c r="NL180" s="766">
        <v>0</v>
      </c>
      <c r="NM180" s="766">
        <v>0</v>
      </c>
      <c r="NN180" s="766">
        <v>0</v>
      </c>
      <c r="NO180" s="766">
        <v>0</v>
      </c>
      <c r="NP180" s="766">
        <v>0</v>
      </c>
      <c r="NQ180" s="766">
        <v>0</v>
      </c>
      <c r="NR180" s="766">
        <v>0</v>
      </c>
      <c r="NS180" s="766">
        <v>0</v>
      </c>
      <c r="NT180" s="766">
        <v>0</v>
      </c>
      <c r="NU180" s="766">
        <v>0</v>
      </c>
      <c r="NV180" s="766">
        <v>0</v>
      </c>
      <c r="NW180" s="766">
        <v>0</v>
      </c>
      <c r="NX180" s="766">
        <v>0</v>
      </c>
      <c r="NY180" s="766"/>
      <c r="NZ180" s="766"/>
      <c r="OA180" s="766"/>
      <c r="OB180" s="766"/>
      <c r="OC180" s="766" t="s">
        <v>1208</v>
      </c>
      <c r="OD180" s="766"/>
      <c r="OE180" s="766"/>
      <c r="OF180" s="766"/>
      <c r="OG180" s="766"/>
      <c r="OH180" s="766"/>
      <c r="OI180" s="766"/>
      <c r="OJ180" s="766"/>
      <c r="OK180" s="76"/>
      <c r="OL180" s="766"/>
      <c r="OM180" s="766"/>
      <c r="ON180" s="766"/>
      <c r="OO180" s="766"/>
      <c r="OP180" s="766"/>
      <c r="OQ180" s="766"/>
      <c r="OR180" s="766"/>
      <c r="OS180" s="766"/>
      <c r="OT180" s="766"/>
      <c r="OU180" s="766"/>
      <c r="OV180" s="766"/>
      <c r="OW180" s="766"/>
      <c r="OX180" s="766"/>
      <c r="OY180" s="766"/>
      <c r="OZ180" s="766"/>
      <c r="PA180" s="766"/>
      <c r="PB180" s="766"/>
      <c r="PC180" s="766"/>
      <c r="PD180" s="766"/>
      <c r="PE180" s="766"/>
      <c r="PF180" s="766"/>
      <c r="PG180" s="766"/>
      <c r="PH180" s="766"/>
      <c r="PI180" s="766"/>
      <c r="PJ180" s="766"/>
      <c r="PK180" s="766" t="s">
        <v>1208</v>
      </c>
      <c r="PL180" s="766"/>
      <c r="PM180" s="766"/>
      <c r="PN180" s="766"/>
      <c r="PO180" s="766"/>
      <c r="PP180" s="766"/>
      <c r="PQ180" s="766"/>
      <c r="PR180" s="766"/>
      <c r="PS180" s="766"/>
      <c r="PT180" s="766"/>
      <c r="PU180" s="766"/>
      <c r="PV180" s="766"/>
      <c r="PW180" s="766"/>
      <c r="PX180" s="766"/>
      <c r="PY180" s="766"/>
      <c r="PZ180" s="766"/>
      <c r="QA180" s="766"/>
      <c r="QB180" s="766"/>
      <c r="QC180" s="766"/>
      <c r="QD180" s="766"/>
      <c r="QE180" s="766"/>
      <c r="QF180" s="766"/>
      <c r="QG180" s="766"/>
      <c r="QH180" s="766"/>
      <c r="QI180" s="766"/>
      <c r="QJ180" s="766"/>
      <c r="QK180" s="766"/>
      <c r="QL180" s="766"/>
      <c r="QM180" s="766"/>
      <c r="QN180" s="766"/>
      <c r="QO180" s="766"/>
      <c r="QP180" s="766"/>
      <c r="QQ180" s="766"/>
      <c r="QR180" s="766"/>
      <c r="QS180" s="766"/>
      <c r="QT180" s="766"/>
      <c r="QU180" s="766"/>
      <c r="QV180" s="766"/>
      <c r="QW180" s="766"/>
      <c r="QX180" s="766"/>
      <c r="QY180" s="766"/>
      <c r="QZ180" s="766"/>
      <c r="RA180" s="766"/>
      <c r="RB180" s="766"/>
      <c r="RC180" s="766" t="s">
        <v>110</v>
      </c>
      <c r="RD180" s="766"/>
      <c r="RE180" s="766"/>
      <c r="RF180" s="777"/>
      <c r="RG180" s="766" t="s">
        <v>110</v>
      </c>
      <c r="RH180" s="775"/>
      <c r="RI180" s="766"/>
      <c r="RJ180" s="766" t="s">
        <v>13250</v>
      </c>
      <c r="RK180" s="766" t="s">
        <v>13146</v>
      </c>
      <c r="RL180" s="1683"/>
      <c r="RM180" s="12"/>
      <c r="RN180" s="1711"/>
      <c r="RO180" s="171" t="s">
        <v>284</v>
      </c>
      <c r="RP180" s="11"/>
      <c r="RQ180" s="11"/>
      <c r="RR180" s="771"/>
      <c r="RS180" s="766"/>
      <c r="RT180" s="11"/>
      <c r="RU180" s="11"/>
      <c r="RV180" s="766" t="s">
        <v>12440</v>
      </c>
      <c r="RW180" s="11" t="s">
        <v>7969</v>
      </c>
      <c r="RX180" s="11" t="s">
        <v>274</v>
      </c>
      <c r="RY180" s="11"/>
      <c r="RZ180" s="11"/>
      <c r="SA180" s="766"/>
      <c r="SB180" s="11"/>
      <c r="SC180" s="11"/>
    </row>
    <row r="181" spans="1:497" ht="12.75" hidden="1" customHeight="1">
      <c r="A181" s="767" t="s">
        <v>12441</v>
      </c>
      <c r="B181" s="288" t="s">
        <v>7528</v>
      </c>
      <c r="C181" s="171" t="s">
        <v>289</v>
      </c>
      <c r="D181" s="766" t="s">
        <v>854</v>
      </c>
      <c r="E181" s="766" t="s">
        <v>5444</v>
      </c>
      <c r="F181" s="766" t="s">
        <v>28</v>
      </c>
      <c r="G181" s="766" t="s">
        <v>10</v>
      </c>
      <c r="H181" s="766"/>
      <c r="I181" s="5"/>
      <c r="J181" s="766" t="s">
        <v>854</v>
      </c>
      <c r="K181" s="766"/>
      <c r="L181" s="766"/>
      <c r="M181" s="766"/>
      <c r="N181" s="766"/>
      <c r="O181" s="766"/>
      <c r="P181" s="766" t="s">
        <v>854</v>
      </c>
      <c r="Q181" s="1085">
        <v>25572</v>
      </c>
      <c r="R181" s="25">
        <v>46</v>
      </c>
      <c r="S181" s="766" t="s">
        <v>10</v>
      </c>
      <c r="T181" s="766"/>
      <c r="U181" s="26" t="s">
        <v>855</v>
      </c>
      <c r="V181" s="766" t="s">
        <v>768</v>
      </c>
      <c r="W181" s="766"/>
      <c r="X181" s="766"/>
      <c r="Y181" s="766" t="s">
        <v>852</v>
      </c>
      <c r="Z181" s="766" t="s">
        <v>708</v>
      </c>
      <c r="AA181" s="766" t="s">
        <v>709</v>
      </c>
      <c r="AB181" s="766" t="s">
        <v>710</v>
      </c>
      <c r="AC181" s="766" t="s">
        <v>856</v>
      </c>
      <c r="AD181" s="766" t="s">
        <v>711</v>
      </c>
      <c r="AE181" s="766"/>
      <c r="AF181" s="766"/>
      <c r="AG181" s="766"/>
      <c r="AH181" s="766"/>
      <c r="AI181" s="766"/>
      <c r="AJ181" s="766"/>
      <c r="AK181" s="766" t="s">
        <v>5454</v>
      </c>
      <c r="AL181" s="121"/>
      <c r="AM181" s="772"/>
      <c r="AN181" s="774"/>
      <c r="AO181" s="766"/>
      <c r="AP181" s="766"/>
      <c r="AQ181" s="766"/>
      <c r="AR181" s="766"/>
      <c r="AS181" s="766"/>
      <c r="AT181" s="766"/>
      <c r="AU181" s="766"/>
      <c r="AV181" s="766"/>
      <c r="AW181" s="766"/>
      <c r="AX181" s="766"/>
      <c r="AY181" s="766"/>
      <c r="AZ181" s="766"/>
      <c r="BA181" s="766"/>
      <c r="BB181" s="766"/>
      <c r="BC181" s="766"/>
      <c r="BD181" s="766"/>
      <c r="BE181" s="766"/>
      <c r="BF181" s="775"/>
      <c r="BG181" s="775"/>
      <c r="BH181" s="766"/>
      <c r="BI181" s="766"/>
      <c r="BJ181" s="766"/>
      <c r="BK181" s="766"/>
      <c r="BL181" s="766"/>
      <c r="BM181" s="766" t="s">
        <v>1238</v>
      </c>
      <c r="BN181" s="766" t="s">
        <v>1305</v>
      </c>
      <c r="BO181" s="766"/>
      <c r="BP181" s="776"/>
      <c r="BQ181" s="772"/>
      <c r="BR181" s="774"/>
      <c r="BS181" s="766" t="s">
        <v>1257</v>
      </c>
      <c r="BT181" s="766"/>
      <c r="BU181" s="766"/>
      <c r="BV181" s="766"/>
      <c r="BW181" s="766"/>
      <c r="BX181" s="779"/>
      <c r="BY181" s="766"/>
      <c r="BZ181" s="775"/>
      <c r="CA181" s="766"/>
      <c r="CB181" s="766"/>
      <c r="CC181" s="766"/>
      <c r="CD181" s="766"/>
      <c r="CE181" s="766"/>
      <c r="CF181" s="777"/>
      <c r="CG181" s="778"/>
      <c r="CH181" s="766"/>
      <c r="CI181" s="766"/>
      <c r="CJ181" s="766"/>
      <c r="CK181" s="766"/>
      <c r="CL181" s="766"/>
      <c r="CM181" s="766"/>
      <c r="CN181" s="766"/>
      <c r="CO181" s="766"/>
      <c r="CP181" s="766"/>
      <c r="CQ181" s="766"/>
      <c r="CR181" s="775"/>
      <c r="CS181" s="766"/>
      <c r="CT181" s="766"/>
      <c r="CU181" s="129"/>
      <c r="CV181" s="766"/>
      <c r="CW181" s="766"/>
      <c r="CX181" s="766"/>
      <c r="CY181" s="766"/>
      <c r="CZ181" s="766"/>
      <c r="DA181" s="766"/>
      <c r="DB181" s="766"/>
      <c r="DC181" s="766"/>
      <c r="DD181" s="766"/>
      <c r="DE181" s="766"/>
      <c r="DF181" s="766"/>
      <c r="DG181" s="766"/>
      <c r="DH181" s="766"/>
      <c r="DI181" s="766"/>
      <c r="DJ181" s="766"/>
      <c r="DK181" s="766"/>
      <c r="DL181" s="766"/>
      <c r="DM181" s="766"/>
      <c r="DN181" s="766"/>
      <c r="DO181" s="766"/>
      <c r="DP181" s="766"/>
      <c r="DQ181" s="766"/>
      <c r="DR181" s="766"/>
      <c r="DS181" s="59"/>
      <c r="DT181" s="766"/>
      <c r="DU181" s="766"/>
      <c r="DV181" s="766"/>
      <c r="DW181" s="66"/>
      <c r="DX181" s="66"/>
      <c r="DY181" s="766"/>
      <c r="DZ181" s="766"/>
      <c r="EA181" s="766"/>
      <c r="EB181" s="766"/>
      <c r="EC181" s="766"/>
      <c r="ED181" s="766"/>
      <c r="EE181" s="766"/>
      <c r="EF181" s="766"/>
      <c r="EG181" s="766"/>
      <c r="EH181" s="766"/>
      <c r="EI181" s="766"/>
      <c r="EJ181" s="766"/>
      <c r="EK181" s="766"/>
      <c r="EL181" s="766"/>
      <c r="EM181" s="766"/>
      <c r="EN181" s="766"/>
      <c r="EO181" s="766"/>
      <c r="EP181" s="766"/>
      <c r="EQ181" s="766"/>
      <c r="ER181" s="766"/>
      <c r="ES181" s="766"/>
      <c r="ET181" s="766"/>
      <c r="EU181" s="766"/>
      <c r="EV181" s="766"/>
      <c r="EW181" s="766"/>
      <c r="EX181" s="766"/>
      <c r="EY181" s="766"/>
      <c r="EZ181" s="766"/>
      <c r="FA181" s="766"/>
      <c r="FB181" s="766"/>
      <c r="FC181" s="766"/>
      <c r="FD181" s="775"/>
      <c r="FE181" s="766"/>
      <c r="FF181" s="766"/>
      <c r="FG181" s="766"/>
      <c r="FH181" s="766" t="s">
        <v>1305</v>
      </c>
      <c r="FI181" s="766">
        <v>1</v>
      </c>
      <c r="FJ181" s="766" t="s">
        <v>1151</v>
      </c>
      <c r="FK181" s="766"/>
      <c r="FL181" s="766"/>
      <c r="FM181" s="775"/>
      <c r="FN181" s="775"/>
      <c r="FO181" s="775"/>
      <c r="FP181" s="766"/>
      <c r="FQ181" s="766"/>
      <c r="FR181" s="766" t="s">
        <v>1207</v>
      </c>
      <c r="FS181" s="766" t="s">
        <v>1208</v>
      </c>
      <c r="FT181" s="766"/>
      <c r="FU181" s="766"/>
      <c r="FV181" s="766"/>
      <c r="FW181" s="766"/>
      <c r="FX181" s="766"/>
      <c r="FY181" s="766"/>
      <c r="FZ181" s="766"/>
      <c r="GA181" s="766"/>
      <c r="GB181" s="766" t="s">
        <v>853</v>
      </c>
      <c r="GC181" s="75" t="s">
        <v>1729</v>
      </c>
      <c r="GD181" s="25">
        <v>2002</v>
      </c>
      <c r="GE181" s="766" t="s">
        <v>1698</v>
      </c>
      <c r="GF181" s="775"/>
      <c r="GG181" s="775"/>
      <c r="GH181" s="766"/>
      <c r="GI181" s="766"/>
      <c r="GJ181" s="766"/>
      <c r="GK181" s="766"/>
      <c r="GL181" s="766"/>
      <c r="GM181" s="766"/>
      <c r="GN181" s="82"/>
      <c r="GO181" s="766"/>
      <c r="GP181" s="766"/>
      <c r="GQ181" s="766"/>
      <c r="GR181" s="766"/>
      <c r="GS181" s="766"/>
      <c r="GT181" s="766"/>
      <c r="GU181" s="766"/>
      <c r="GV181" s="766"/>
      <c r="GW181" s="766"/>
      <c r="GX181" s="766"/>
      <c r="GY181" s="766"/>
      <c r="GZ181" s="766"/>
      <c r="HA181" s="766"/>
      <c r="HB181" s="766"/>
      <c r="HC181" s="766"/>
      <c r="HD181" s="766"/>
      <c r="HE181" s="766"/>
      <c r="HF181" s="766"/>
      <c r="HG181" s="766"/>
      <c r="HH181" s="766"/>
      <c r="HI181" s="766"/>
      <c r="HJ181" s="766"/>
      <c r="HK181" s="766"/>
      <c r="HL181" s="766"/>
      <c r="HM181" s="766"/>
      <c r="HN181" s="766"/>
      <c r="HO181" s="766"/>
      <c r="HP181" s="766"/>
      <c r="HQ181" s="766"/>
      <c r="HR181" s="766"/>
      <c r="HS181" s="766"/>
      <c r="HT181" s="766"/>
      <c r="HU181" s="766"/>
      <c r="HV181" s="766"/>
      <c r="HW181" s="766"/>
      <c r="HX181" s="766"/>
      <c r="HY181" s="766"/>
      <c r="HZ181" s="766"/>
      <c r="IA181" s="766"/>
      <c r="IB181" s="766"/>
      <c r="IC181" s="766"/>
      <c r="ID181" s="766"/>
      <c r="IE181" s="766"/>
      <c r="IF181" s="766"/>
      <c r="IG181" s="766"/>
      <c r="IH181" s="766"/>
      <c r="II181" s="766"/>
      <c r="IJ181" s="766"/>
      <c r="IK181" s="766"/>
      <c r="IL181" s="766"/>
      <c r="IM181" s="766"/>
      <c r="IN181" s="766"/>
      <c r="IO181" s="24"/>
      <c r="IP181" s="766"/>
      <c r="IQ181" s="766"/>
      <c r="IR181" s="766"/>
      <c r="IS181" s="766"/>
      <c r="IT181" s="766"/>
      <c r="IU181" s="766"/>
      <c r="IV181" s="766"/>
      <c r="IW181" s="766"/>
      <c r="IX181" s="766"/>
      <c r="IY181" s="766"/>
      <c r="IZ181" s="766"/>
      <c r="JA181" s="766"/>
      <c r="JB181" s="766"/>
      <c r="JC181" s="766"/>
      <c r="JD181" s="775"/>
      <c r="JE181" s="766"/>
      <c r="JF181" s="766"/>
      <c r="JG181" s="766"/>
      <c r="JH181" s="766"/>
      <c r="JI181" s="766"/>
      <c r="JJ181" s="766">
        <v>5</v>
      </c>
      <c r="JK181" s="766" t="s">
        <v>2070</v>
      </c>
      <c r="JL181" s="766"/>
      <c r="JM181" s="766"/>
      <c r="JN181" s="766">
        <v>3</v>
      </c>
      <c r="JO181" s="766">
        <v>2</v>
      </c>
      <c r="JP181" s="766"/>
      <c r="JQ181" s="766"/>
      <c r="JR181" s="766"/>
      <c r="JS181" s="766"/>
      <c r="JT181" s="766">
        <f t="shared" si="44"/>
        <v>3</v>
      </c>
      <c r="JU181" s="766">
        <f t="shared" si="44"/>
        <v>2</v>
      </c>
      <c r="JV181" s="766"/>
      <c r="JW181" s="766"/>
      <c r="JX181" s="766"/>
      <c r="JY181" s="766"/>
      <c r="JZ181" s="766"/>
      <c r="KA181" s="766"/>
      <c r="KB181" s="766">
        <v>2</v>
      </c>
      <c r="KC181" s="766">
        <v>2</v>
      </c>
      <c r="KD181" s="766">
        <v>1</v>
      </c>
      <c r="KE181" s="766"/>
      <c r="KF181" s="766"/>
      <c r="KG181" s="766"/>
      <c r="KH181" s="766"/>
      <c r="KI181" s="766"/>
      <c r="KJ181" s="770">
        <f t="shared" si="38"/>
        <v>3</v>
      </c>
      <c r="KK181" s="770">
        <f t="shared" si="38"/>
        <v>2</v>
      </c>
      <c r="KL181" s="770"/>
      <c r="KM181" s="770"/>
      <c r="KN181" s="766" t="s">
        <v>768</v>
      </c>
      <c r="KO181" s="766"/>
      <c r="KP181" s="766"/>
      <c r="KQ181" s="766"/>
      <c r="KR181" s="766"/>
      <c r="KS181" s="766"/>
      <c r="KT181" s="766"/>
      <c r="KU181" s="766"/>
      <c r="KV181" s="766"/>
      <c r="KW181" s="766"/>
      <c r="KX181" s="766">
        <v>3</v>
      </c>
      <c r="KY181" s="766"/>
      <c r="KZ181" s="766"/>
      <c r="LA181" s="766"/>
      <c r="LB181" s="766"/>
      <c r="LC181" s="766">
        <v>1</v>
      </c>
      <c r="LD181" s="766"/>
      <c r="LE181" s="766">
        <v>1</v>
      </c>
      <c r="LF181" s="766"/>
      <c r="LG181" s="766"/>
      <c r="LH181" s="766"/>
      <c r="LI181" s="766"/>
      <c r="LJ181" s="766"/>
      <c r="LK181" s="766"/>
      <c r="LL181" s="766"/>
      <c r="LM181" s="766"/>
      <c r="LN181" s="766">
        <f t="shared" si="39"/>
        <v>3</v>
      </c>
      <c r="LO181" s="766">
        <f t="shared" si="39"/>
        <v>2</v>
      </c>
      <c r="LP181" s="766">
        <v>2</v>
      </c>
      <c r="LQ181" s="766">
        <v>2</v>
      </c>
      <c r="LR181" s="766"/>
      <c r="LS181" s="766"/>
      <c r="LT181" s="766"/>
      <c r="LU181" s="766">
        <v>1</v>
      </c>
      <c r="LV181" s="766">
        <v>1</v>
      </c>
      <c r="LW181" s="766"/>
      <c r="LX181" s="769">
        <v>1</v>
      </c>
      <c r="LY181" s="766" t="str">
        <f t="shared" si="43"/>
        <v>within the BRGY</v>
      </c>
      <c r="LZ181" s="66"/>
      <c r="MA181" s="766"/>
      <c r="MB181" s="766"/>
      <c r="MC181" s="1679">
        <f t="shared" si="41"/>
        <v>0</v>
      </c>
      <c r="MD181" s="66">
        <v>18000</v>
      </c>
      <c r="ME181" s="66"/>
      <c r="MF181" s="66">
        <v>18000</v>
      </c>
      <c r="MG181" s="1680">
        <f t="shared" si="34"/>
        <v>36000</v>
      </c>
      <c r="MH181" s="766"/>
      <c r="MI181" s="775">
        <v>9000</v>
      </c>
      <c r="MJ181" s="775">
        <v>900</v>
      </c>
      <c r="MK181" s="775">
        <v>300</v>
      </c>
      <c r="ML181" s="775">
        <v>300</v>
      </c>
      <c r="MM181" s="775">
        <v>2000</v>
      </c>
      <c r="MN181" s="775"/>
      <c r="MO181" s="775">
        <v>120</v>
      </c>
      <c r="MP181" s="775">
        <v>150</v>
      </c>
      <c r="MQ181" s="775">
        <v>450</v>
      </c>
      <c r="MR181" s="775">
        <v>100</v>
      </c>
      <c r="MS181" s="775">
        <v>300</v>
      </c>
      <c r="MT181" s="775"/>
      <c r="MU181" s="775"/>
      <c r="MV181" s="775"/>
      <c r="MW181" s="775"/>
      <c r="MX181" s="775"/>
      <c r="MY181" s="1682">
        <f t="shared" si="35"/>
        <v>13620</v>
      </c>
      <c r="MZ181" s="766" t="s">
        <v>13004</v>
      </c>
      <c r="NA181" s="766" t="s">
        <v>13005</v>
      </c>
      <c r="NB181" s="766" t="s">
        <v>13006</v>
      </c>
      <c r="NC181" s="766" t="s">
        <v>13007</v>
      </c>
      <c r="ND181" s="766">
        <v>0</v>
      </c>
      <c r="NE181" s="766">
        <v>0</v>
      </c>
      <c r="NF181" s="766">
        <v>0</v>
      </c>
      <c r="NG181" s="766">
        <v>2</v>
      </c>
      <c r="NH181" s="766">
        <v>0</v>
      </c>
      <c r="NI181" s="766">
        <v>0</v>
      </c>
      <c r="NJ181" s="766">
        <v>0</v>
      </c>
      <c r="NK181" s="766">
        <v>0</v>
      </c>
      <c r="NL181" s="766">
        <v>0</v>
      </c>
      <c r="NM181" s="766">
        <v>0</v>
      </c>
      <c r="NN181" s="766">
        <v>0</v>
      </c>
      <c r="NO181" s="766">
        <v>0</v>
      </c>
      <c r="NP181" s="766">
        <v>0</v>
      </c>
      <c r="NQ181" s="766">
        <v>1</v>
      </c>
      <c r="NR181" s="766">
        <v>0</v>
      </c>
      <c r="NS181" s="766">
        <v>0</v>
      </c>
      <c r="NT181" s="766">
        <v>0</v>
      </c>
      <c r="NU181" s="766">
        <v>0</v>
      </c>
      <c r="NV181" s="766">
        <v>0</v>
      </c>
      <c r="NW181" s="766">
        <v>0</v>
      </c>
      <c r="NX181" s="766">
        <v>0</v>
      </c>
      <c r="NY181" s="766" t="s">
        <v>1208</v>
      </c>
      <c r="NZ181" s="766" t="s">
        <v>1208</v>
      </c>
      <c r="OA181" s="766"/>
      <c r="OB181" s="766"/>
      <c r="OC181" s="766" t="s">
        <v>1208</v>
      </c>
      <c r="OD181" s="766"/>
      <c r="OE181" s="766"/>
      <c r="OF181" s="766"/>
      <c r="OG181" s="766"/>
      <c r="OH181" s="766"/>
      <c r="OI181" s="766"/>
      <c r="OJ181" s="766"/>
      <c r="OK181" s="76"/>
      <c r="OL181" s="766"/>
      <c r="OM181" s="766"/>
      <c r="ON181" s="766"/>
      <c r="OO181" s="766"/>
      <c r="OP181" s="766"/>
      <c r="OQ181" s="766"/>
      <c r="OR181" s="766"/>
      <c r="OS181" s="766"/>
      <c r="OT181" s="766"/>
      <c r="OU181" s="766"/>
      <c r="OV181" s="766"/>
      <c r="OW181" s="766"/>
      <c r="OX181" s="766"/>
      <c r="OY181" s="766"/>
      <c r="OZ181" s="766"/>
      <c r="PA181" s="766"/>
      <c r="PB181" s="766"/>
      <c r="PC181" s="766"/>
      <c r="PD181" s="766"/>
      <c r="PE181" s="766"/>
      <c r="PF181" s="766"/>
      <c r="PG181" s="766"/>
      <c r="PH181" s="766"/>
      <c r="PI181" s="766"/>
      <c r="PJ181" s="766"/>
      <c r="PK181" s="766" t="s">
        <v>1208</v>
      </c>
      <c r="PL181" s="766"/>
      <c r="PM181" s="766"/>
      <c r="PN181" s="766"/>
      <c r="PO181" s="766"/>
      <c r="PP181" s="766"/>
      <c r="PQ181" s="766"/>
      <c r="PR181" s="766"/>
      <c r="PS181" s="766"/>
      <c r="PT181" s="766"/>
      <c r="PU181" s="766"/>
      <c r="PV181" s="766"/>
      <c r="PW181" s="766"/>
      <c r="PX181" s="766"/>
      <c r="PY181" s="766"/>
      <c r="PZ181" s="766"/>
      <c r="QA181" s="766"/>
      <c r="QB181" s="766"/>
      <c r="QC181" s="766"/>
      <c r="QD181" s="766"/>
      <c r="QE181" s="766"/>
      <c r="QF181" s="766"/>
      <c r="QG181" s="766"/>
      <c r="QH181" s="766"/>
      <c r="QI181" s="766"/>
      <c r="QJ181" s="766"/>
      <c r="QK181" s="766"/>
      <c r="QL181" s="766"/>
      <c r="QM181" s="766"/>
      <c r="QN181" s="766"/>
      <c r="QO181" s="766"/>
      <c r="QP181" s="766"/>
      <c r="QQ181" s="766"/>
      <c r="QR181" s="766"/>
      <c r="QS181" s="766"/>
      <c r="QT181" s="766"/>
      <c r="QU181" s="766"/>
      <c r="QV181" s="766"/>
      <c r="QW181" s="766"/>
      <c r="QX181" s="766"/>
      <c r="QY181" s="766"/>
      <c r="QZ181" s="766"/>
      <c r="RA181" s="766"/>
      <c r="RB181" s="770" t="s">
        <v>1207</v>
      </c>
      <c r="RC181" s="766">
        <v>2012</v>
      </c>
      <c r="RD181" s="766" t="s">
        <v>13036</v>
      </c>
      <c r="RE181" s="766" t="s">
        <v>12990</v>
      </c>
      <c r="RF181" s="777">
        <v>1</v>
      </c>
      <c r="RG181" s="766" t="s">
        <v>12991</v>
      </c>
      <c r="RH181" s="775" t="s">
        <v>1604</v>
      </c>
      <c r="RI181" s="766">
        <v>72</v>
      </c>
      <c r="RJ181" s="766" t="s">
        <v>2070</v>
      </c>
      <c r="RK181" s="766" t="s">
        <v>13146</v>
      </c>
      <c r="RL181" s="1683"/>
      <c r="RM181" s="12"/>
      <c r="RN181" s="1711"/>
      <c r="RO181" s="171" t="s">
        <v>289</v>
      </c>
      <c r="RP181" s="11"/>
      <c r="RQ181" s="11"/>
      <c r="RR181" s="771"/>
      <c r="RS181" s="766"/>
      <c r="RT181" s="11"/>
      <c r="RU181" s="11"/>
      <c r="RV181" s="766" t="s">
        <v>7419</v>
      </c>
      <c r="RW181" s="11" t="s">
        <v>7958</v>
      </c>
      <c r="RX181" s="11" t="s">
        <v>288</v>
      </c>
      <c r="RY181" s="11"/>
      <c r="RZ181" s="11"/>
      <c r="SA181" s="766"/>
      <c r="SB181" s="11"/>
      <c r="SC181" s="11"/>
    </row>
    <row r="182" spans="1:497" ht="12.75" hidden="1" customHeight="1">
      <c r="A182" s="154" t="s">
        <v>7419</v>
      </c>
      <c r="B182" s="288" t="s">
        <v>7529</v>
      </c>
      <c r="C182" s="171" t="s">
        <v>290</v>
      </c>
      <c r="D182" s="14" t="s">
        <v>857</v>
      </c>
      <c r="E182" s="766" t="s">
        <v>12537</v>
      </c>
      <c r="F182" s="766" t="s">
        <v>28</v>
      </c>
      <c r="G182" s="766" t="s">
        <v>10</v>
      </c>
      <c r="H182" s="766"/>
      <c r="I182" s="5" t="s">
        <v>292</v>
      </c>
      <c r="J182" s="766" t="s">
        <v>5829</v>
      </c>
      <c r="K182" s="766" t="s">
        <v>12187</v>
      </c>
      <c r="L182" s="766" t="s">
        <v>12189</v>
      </c>
      <c r="M182" s="766"/>
      <c r="N182" s="766" t="s">
        <v>12186</v>
      </c>
      <c r="O182" s="766" t="s">
        <v>12190</v>
      </c>
      <c r="P182" s="14" t="s">
        <v>857</v>
      </c>
      <c r="Q182" s="1085">
        <v>25383</v>
      </c>
      <c r="R182" s="25">
        <v>47</v>
      </c>
      <c r="S182" s="766" t="s">
        <v>10</v>
      </c>
      <c r="T182" s="766"/>
      <c r="U182" s="26" t="s">
        <v>292</v>
      </c>
      <c r="V182" s="766" t="s">
        <v>768</v>
      </c>
      <c r="W182" s="766"/>
      <c r="X182" s="766"/>
      <c r="Y182" s="766" t="s">
        <v>291</v>
      </c>
      <c r="Z182" s="766" t="s">
        <v>708</v>
      </c>
      <c r="AA182" s="766" t="s">
        <v>709</v>
      </c>
      <c r="AB182" s="766" t="s">
        <v>710</v>
      </c>
      <c r="AC182" s="766"/>
      <c r="AD182" s="766"/>
      <c r="AE182" s="766" t="s">
        <v>858</v>
      </c>
      <c r="AF182" s="766"/>
      <c r="AG182" s="766" t="s">
        <v>1095</v>
      </c>
      <c r="AH182" s="766" t="s">
        <v>1096</v>
      </c>
      <c r="AI182" s="766" t="s">
        <v>5329</v>
      </c>
      <c r="AJ182" s="766"/>
      <c r="AK182" s="766" t="s">
        <v>1097</v>
      </c>
      <c r="AL182" s="121">
        <v>13.865</v>
      </c>
      <c r="AM182" s="772">
        <v>13.865</v>
      </c>
      <c r="AN182" s="774">
        <f>AM182/AL182</f>
        <v>1</v>
      </c>
      <c r="AO182" s="766" t="s">
        <v>1113</v>
      </c>
      <c r="AP182" s="766"/>
      <c r="AQ182" s="766"/>
      <c r="AR182" s="766"/>
      <c r="AS182" s="766" t="s">
        <v>1207</v>
      </c>
      <c r="AT182" s="766" t="s">
        <v>1208</v>
      </c>
      <c r="AU182" s="766"/>
      <c r="AV182" s="766"/>
      <c r="AW182" s="766"/>
      <c r="AX182" s="766"/>
      <c r="AY182" s="766"/>
      <c r="AZ182" s="766"/>
      <c r="BA182" s="766"/>
      <c r="BB182" s="766"/>
      <c r="BC182" s="766" t="s">
        <v>853</v>
      </c>
      <c r="BD182" s="766" t="s">
        <v>1207</v>
      </c>
      <c r="BE182" s="766"/>
      <c r="BF182" s="775"/>
      <c r="BG182" s="775"/>
      <c r="BH182" s="766"/>
      <c r="BI182" s="766"/>
      <c r="BJ182" s="766"/>
      <c r="BK182" s="766" t="s">
        <v>1095</v>
      </c>
      <c r="BL182" s="766" t="s">
        <v>1317</v>
      </c>
      <c r="BM182" s="766" t="s">
        <v>1096</v>
      </c>
      <c r="BN182" s="766" t="s">
        <v>1230</v>
      </c>
      <c r="BO182" s="766" t="s">
        <v>1239</v>
      </c>
      <c r="BP182" s="776">
        <v>27.73</v>
      </c>
      <c r="BQ182" s="772">
        <v>8.85</v>
      </c>
      <c r="BR182" s="774">
        <f>BQ182/BP182</f>
        <v>0.31914893617021273</v>
      </c>
      <c r="BS182" s="6" t="s">
        <v>1149</v>
      </c>
      <c r="BT182" s="766" t="s">
        <v>2040</v>
      </c>
      <c r="BU182" s="766" t="s">
        <v>1249</v>
      </c>
      <c r="BV182" s="766" t="s">
        <v>1243</v>
      </c>
      <c r="BW182" s="766">
        <f>SUM(2016,-54)</f>
        <v>1962</v>
      </c>
      <c r="BX182" s="779"/>
      <c r="BY182" s="766"/>
      <c r="BZ182" s="775"/>
      <c r="CA182" s="766"/>
      <c r="CB182" s="766"/>
      <c r="CC182" s="766"/>
      <c r="CD182" s="766"/>
      <c r="CE182" s="766"/>
      <c r="CF182" s="777"/>
      <c r="CG182" s="778"/>
      <c r="CH182" s="766"/>
      <c r="CI182" s="766"/>
      <c r="CJ182" s="766"/>
      <c r="CK182" s="766"/>
      <c r="CL182" s="766"/>
      <c r="CM182" s="766"/>
      <c r="CN182" s="766"/>
      <c r="CO182" s="766"/>
      <c r="CP182" s="766"/>
      <c r="CQ182" s="766"/>
      <c r="CR182" s="775"/>
      <c r="CS182" s="766"/>
      <c r="CT182" s="766"/>
      <c r="CU182" s="129"/>
      <c r="CV182" s="766"/>
      <c r="CW182" s="766"/>
      <c r="CX182" s="766"/>
      <c r="CY182" s="766"/>
      <c r="CZ182" s="766"/>
      <c r="DA182" s="766"/>
      <c r="DB182" s="766"/>
      <c r="DC182" s="766"/>
      <c r="DD182" s="766"/>
      <c r="DE182" s="766"/>
      <c r="DF182" s="766"/>
      <c r="DG182" s="766"/>
      <c r="DH182" s="766"/>
      <c r="DI182" s="766"/>
      <c r="DJ182" s="766"/>
      <c r="DK182" s="766"/>
      <c r="DL182" s="766"/>
      <c r="DM182" s="766"/>
      <c r="DN182" s="766"/>
      <c r="DO182" s="766"/>
      <c r="DP182" s="766"/>
      <c r="DQ182" s="766"/>
      <c r="DR182" s="766"/>
      <c r="DS182" s="59"/>
      <c r="DT182" s="766"/>
      <c r="DU182" s="766"/>
      <c r="DV182" s="766"/>
      <c r="DW182" s="66"/>
      <c r="DX182" s="66"/>
      <c r="DY182" s="766"/>
      <c r="DZ182" s="766"/>
      <c r="EA182" s="766"/>
      <c r="EB182" s="766"/>
      <c r="EC182" s="766"/>
      <c r="ED182" s="766"/>
      <c r="EE182" s="766"/>
      <c r="EF182" s="766"/>
      <c r="EG182" s="766"/>
      <c r="EH182" s="766"/>
      <c r="EI182" s="766"/>
      <c r="EJ182" s="766"/>
      <c r="EK182" s="766"/>
      <c r="EL182" s="766"/>
      <c r="EM182" s="766"/>
      <c r="EN182" s="766"/>
      <c r="EO182" s="766"/>
      <c r="EP182" s="766"/>
      <c r="EQ182" s="766"/>
      <c r="ER182" s="766"/>
      <c r="ES182" s="766"/>
      <c r="ET182" s="766"/>
      <c r="EU182" s="766"/>
      <c r="EV182" s="766"/>
      <c r="EW182" s="766"/>
      <c r="EX182" s="766"/>
      <c r="EY182" s="766"/>
      <c r="EZ182" s="766"/>
      <c r="FA182" s="766"/>
      <c r="FB182" s="766"/>
      <c r="FC182" s="766"/>
      <c r="FD182" s="775"/>
      <c r="FE182" s="766"/>
      <c r="FF182" s="766"/>
      <c r="FG182" s="766"/>
      <c r="FH182" s="766" t="s">
        <v>478</v>
      </c>
      <c r="FI182" s="766">
        <v>3</v>
      </c>
      <c r="FJ182" s="766" t="s">
        <v>1621</v>
      </c>
      <c r="FK182" s="766"/>
      <c r="FL182" s="766"/>
      <c r="FM182" s="775"/>
      <c r="FN182" s="775"/>
      <c r="FO182" s="775"/>
      <c r="FP182" s="766" t="s">
        <v>1602</v>
      </c>
      <c r="FQ182" s="766" t="s">
        <v>1660</v>
      </c>
      <c r="FR182" s="766" t="s">
        <v>1207</v>
      </c>
      <c r="FS182" s="766" t="s">
        <v>1208</v>
      </c>
      <c r="FT182" s="766"/>
      <c r="FU182" s="766"/>
      <c r="FV182" s="766"/>
      <c r="FW182" s="766"/>
      <c r="FX182" s="766"/>
      <c r="FY182" s="766"/>
      <c r="FZ182" s="766"/>
      <c r="GA182" s="766"/>
      <c r="GB182" s="766" t="s">
        <v>853</v>
      </c>
      <c r="GC182" s="75" t="s">
        <v>1730</v>
      </c>
      <c r="GD182" s="25" t="s">
        <v>110</v>
      </c>
      <c r="GE182" s="766" t="s">
        <v>1698</v>
      </c>
      <c r="GF182" s="775"/>
      <c r="GG182" s="775"/>
      <c r="GH182" s="766"/>
      <c r="GI182" s="766"/>
      <c r="GJ182" s="766"/>
      <c r="GK182" s="766"/>
      <c r="GL182" s="766"/>
      <c r="GM182" s="766"/>
      <c r="GN182" s="82"/>
      <c r="GO182" s="766"/>
      <c r="GP182" s="766"/>
      <c r="GQ182" s="766"/>
      <c r="GR182" s="766"/>
      <c r="GS182" s="766"/>
      <c r="GT182" s="766"/>
      <c r="GU182" s="766"/>
      <c r="GV182" s="766"/>
      <c r="GW182" s="766"/>
      <c r="GX182" s="766"/>
      <c r="GY182" s="766"/>
      <c r="GZ182" s="766"/>
      <c r="HA182" s="766"/>
      <c r="HB182" s="766"/>
      <c r="HC182" s="766"/>
      <c r="HD182" s="766"/>
      <c r="HE182" s="766"/>
      <c r="HF182" s="766"/>
      <c r="HG182" s="766"/>
      <c r="HH182" s="766"/>
      <c r="HI182" s="766"/>
      <c r="HJ182" s="766"/>
      <c r="HK182" s="766"/>
      <c r="HL182" s="766"/>
      <c r="HM182" s="766"/>
      <c r="HN182" s="766"/>
      <c r="HO182" s="766"/>
      <c r="HP182" s="766"/>
      <c r="HQ182" s="766"/>
      <c r="HR182" s="766"/>
      <c r="HS182" s="766"/>
      <c r="HT182" s="766"/>
      <c r="HU182" s="766"/>
      <c r="HV182" s="766"/>
      <c r="HW182" s="766"/>
      <c r="HX182" s="766"/>
      <c r="HY182" s="766"/>
      <c r="HZ182" s="766"/>
      <c r="IA182" s="766"/>
      <c r="IB182" s="14" t="e">
        <f>IF(#REF!&gt;0,IF(#REF!&lt;=10000,"Y",""),"")</f>
        <v>#REF!</v>
      </c>
      <c r="IC182" s="766"/>
      <c r="ID182" s="766"/>
      <c r="IE182" s="766">
        <v>1</v>
      </c>
      <c r="IF182" s="766"/>
      <c r="IG182" s="766"/>
      <c r="IH182" s="766"/>
      <c r="II182" s="766"/>
      <c r="IJ182" s="766"/>
      <c r="IK182" s="766"/>
      <c r="IL182" s="766"/>
      <c r="IM182" s="766"/>
      <c r="IN182" s="766"/>
      <c r="IO182" s="24"/>
      <c r="IP182" s="766"/>
      <c r="IQ182" s="766"/>
      <c r="IR182" s="766"/>
      <c r="IS182" s="766"/>
      <c r="IT182" s="766"/>
      <c r="IU182" s="766"/>
      <c r="IV182" s="766"/>
      <c r="IW182" s="766"/>
      <c r="IX182" s="766"/>
      <c r="IY182" s="766"/>
      <c r="IZ182" s="766"/>
      <c r="JA182" s="766"/>
      <c r="JB182" s="766"/>
      <c r="JC182" s="766"/>
      <c r="JD182" s="775"/>
      <c r="JE182" s="766"/>
      <c r="JF182" s="766"/>
      <c r="JG182" s="766"/>
      <c r="JH182" s="766"/>
      <c r="JI182" s="766"/>
      <c r="JJ182" s="766">
        <v>4</v>
      </c>
      <c r="JK182" s="1139" t="s">
        <v>1317</v>
      </c>
      <c r="JL182" s="766">
        <v>1</v>
      </c>
      <c r="JM182" s="766"/>
      <c r="JN182" s="766">
        <v>2</v>
      </c>
      <c r="JO182" s="766">
        <v>1</v>
      </c>
      <c r="JP182" s="766"/>
      <c r="JQ182" s="766"/>
      <c r="JR182" s="766"/>
      <c r="JS182" s="766"/>
      <c r="JT182" s="766">
        <f t="shared" si="44"/>
        <v>3</v>
      </c>
      <c r="JU182" s="766">
        <f t="shared" si="44"/>
        <v>1</v>
      </c>
      <c r="JV182" s="712" t="str">
        <f>IF(JT182=KJ182,"ok","male")</f>
        <v>ok</v>
      </c>
      <c r="JW182" s="712" t="str">
        <f>IF(JU182=KK182,"ok","female")</f>
        <v>ok</v>
      </c>
      <c r="JX182" s="766">
        <v>1</v>
      </c>
      <c r="JY182" s="766"/>
      <c r="JZ182" s="766"/>
      <c r="KA182" s="766"/>
      <c r="KB182" s="766"/>
      <c r="KC182" s="766"/>
      <c r="KD182" s="766">
        <v>2</v>
      </c>
      <c r="KE182" s="766">
        <v>1</v>
      </c>
      <c r="KF182" s="766"/>
      <c r="KG182" s="766"/>
      <c r="KH182" s="766"/>
      <c r="KI182" s="766"/>
      <c r="KJ182" s="770">
        <f t="shared" si="38"/>
        <v>3</v>
      </c>
      <c r="KK182" s="770">
        <f t="shared" si="38"/>
        <v>1</v>
      </c>
      <c r="KL182" s="712" t="str">
        <f>IF(KJ182=LN182,"ok","male")</f>
        <v>ok</v>
      </c>
      <c r="KM182" s="712" t="str">
        <f>IF(KK182=LO182,"ok","female")</f>
        <v>ok</v>
      </c>
      <c r="KN182" s="766" t="s">
        <v>768</v>
      </c>
      <c r="KO182" s="766"/>
      <c r="KP182" s="766">
        <v>1</v>
      </c>
      <c r="KQ182" s="766"/>
      <c r="KR182" s="766"/>
      <c r="KS182" s="766"/>
      <c r="KT182" s="766"/>
      <c r="KU182" s="766"/>
      <c r="KV182" s="766">
        <v>1</v>
      </c>
      <c r="KW182" s="766">
        <v>1</v>
      </c>
      <c r="KX182" s="766">
        <v>1</v>
      </c>
      <c r="KY182" s="766"/>
      <c r="KZ182" s="766"/>
      <c r="LA182" s="766"/>
      <c r="LB182" s="766"/>
      <c r="LC182" s="766"/>
      <c r="LD182" s="766"/>
      <c r="LE182" s="766"/>
      <c r="LF182" s="766"/>
      <c r="LG182" s="766"/>
      <c r="LH182" s="766"/>
      <c r="LI182" s="766"/>
      <c r="LJ182" s="766"/>
      <c r="LK182" s="766"/>
      <c r="LL182" s="766"/>
      <c r="LM182" s="766"/>
      <c r="LN182" s="766">
        <f t="shared" si="39"/>
        <v>3</v>
      </c>
      <c r="LO182" s="766">
        <f t="shared" si="39"/>
        <v>1</v>
      </c>
      <c r="LP182" s="766">
        <v>2</v>
      </c>
      <c r="LQ182" s="766">
        <v>2</v>
      </c>
      <c r="LR182" s="766"/>
      <c r="LS182" s="766"/>
      <c r="LT182" s="712" t="str">
        <f>IF(LQ182=SUM(LU182:LW182),"OK","REV")</f>
        <v>OK</v>
      </c>
      <c r="LU182" s="766">
        <v>1</v>
      </c>
      <c r="LV182" s="766"/>
      <c r="LW182" s="766">
        <v>1</v>
      </c>
      <c r="LX182" s="769">
        <v>1</v>
      </c>
      <c r="LY182" s="766" t="str">
        <f t="shared" si="43"/>
        <v>within the BRGY</v>
      </c>
      <c r="LZ182" s="66">
        <v>1110</v>
      </c>
      <c r="MA182" s="766"/>
      <c r="MB182" s="766">
        <v>624</v>
      </c>
      <c r="MC182" s="1679">
        <f t="shared" si="41"/>
        <v>1734</v>
      </c>
      <c r="MD182" s="66">
        <f>13350+600</f>
        <v>13950</v>
      </c>
      <c r="ME182" s="66"/>
      <c r="MF182" s="66"/>
      <c r="MG182" s="1680">
        <f>SUM(MD182:MF182)</f>
        <v>13950</v>
      </c>
      <c r="MH182" s="766"/>
      <c r="MI182" s="775">
        <v>9000</v>
      </c>
      <c r="MJ182" s="775">
        <v>1750</v>
      </c>
      <c r="MK182" s="775"/>
      <c r="ML182" s="775">
        <v>700</v>
      </c>
      <c r="MM182" s="775"/>
      <c r="MN182" s="775"/>
      <c r="MO182" s="775"/>
      <c r="MP182" s="775">
        <v>800</v>
      </c>
      <c r="MQ182" s="775">
        <v>300</v>
      </c>
      <c r="MR182" s="775">
        <v>480</v>
      </c>
      <c r="MS182" s="775">
        <v>200</v>
      </c>
      <c r="MT182" s="775"/>
      <c r="MU182" s="775"/>
      <c r="MV182" s="775"/>
      <c r="MW182" s="775"/>
      <c r="MX182" s="775"/>
      <c r="MY182" s="1682">
        <f t="shared" si="35"/>
        <v>13230</v>
      </c>
      <c r="MZ182" s="766" t="s">
        <v>13004</v>
      </c>
      <c r="NA182" s="766" t="s">
        <v>13005</v>
      </c>
      <c r="NB182" s="766" t="s">
        <v>13006</v>
      </c>
      <c r="NC182" s="766" t="s">
        <v>13007</v>
      </c>
      <c r="ND182" s="766">
        <v>0</v>
      </c>
      <c r="NE182" s="766">
        <v>0</v>
      </c>
      <c r="NF182" s="766">
        <v>0</v>
      </c>
      <c r="NG182" s="766">
        <v>4</v>
      </c>
      <c r="NH182" s="766">
        <v>2</v>
      </c>
      <c r="NI182" s="766">
        <v>1</v>
      </c>
      <c r="NJ182" s="766">
        <v>0</v>
      </c>
      <c r="NK182" s="766">
        <v>0</v>
      </c>
      <c r="NL182" s="766">
        <v>0</v>
      </c>
      <c r="NM182" s="766">
        <v>0</v>
      </c>
      <c r="NN182" s="766">
        <v>0</v>
      </c>
      <c r="NO182" s="766">
        <v>0</v>
      </c>
      <c r="NP182" s="766">
        <v>0</v>
      </c>
      <c r="NQ182" s="766">
        <v>1</v>
      </c>
      <c r="NR182" s="766">
        <v>1</v>
      </c>
      <c r="NS182" s="766">
        <v>0</v>
      </c>
      <c r="NT182" s="766">
        <v>0</v>
      </c>
      <c r="NU182" s="766">
        <v>0</v>
      </c>
      <c r="NV182" s="766">
        <v>0</v>
      </c>
      <c r="NW182" s="766">
        <v>0</v>
      </c>
      <c r="NX182" s="766">
        <v>0</v>
      </c>
      <c r="NY182" s="766"/>
      <c r="NZ182" s="766"/>
      <c r="OA182" s="766"/>
      <c r="OB182" s="766"/>
      <c r="OC182" s="766"/>
      <c r="OD182" s="766"/>
      <c r="OE182" s="766"/>
      <c r="OF182" s="766"/>
      <c r="OG182" s="766"/>
      <c r="OH182" s="766"/>
      <c r="OI182" s="766"/>
      <c r="OJ182" s="766"/>
      <c r="OK182" s="76"/>
      <c r="OL182" s="766"/>
      <c r="OM182" s="766"/>
      <c r="ON182" s="766"/>
      <c r="OO182" s="766"/>
      <c r="OP182" s="766"/>
      <c r="OQ182" s="766"/>
      <c r="OR182" s="766"/>
      <c r="OS182" s="766"/>
      <c r="OT182" s="766"/>
      <c r="OU182" s="766"/>
      <c r="OV182" s="766"/>
      <c r="OW182" s="766"/>
      <c r="OX182" s="766"/>
      <c r="OY182" s="766"/>
      <c r="OZ182" s="766"/>
      <c r="PA182" s="766"/>
      <c r="PB182" s="766"/>
      <c r="PC182" s="766"/>
      <c r="PD182" s="766"/>
      <c r="PE182" s="766"/>
      <c r="PF182" s="766"/>
      <c r="PG182" s="766"/>
      <c r="PH182" s="766"/>
      <c r="PI182" s="766"/>
      <c r="PJ182" s="766"/>
      <c r="PK182" s="766" t="s">
        <v>1208</v>
      </c>
      <c r="PL182" s="766"/>
      <c r="PM182" s="766"/>
      <c r="PN182" s="766"/>
      <c r="PO182" s="766"/>
      <c r="PP182" s="766"/>
      <c r="PQ182" s="766"/>
      <c r="PR182" s="766"/>
      <c r="PS182" s="766"/>
      <c r="PT182" s="766"/>
      <c r="PU182" s="766"/>
      <c r="PV182" s="766"/>
      <c r="PW182" s="766"/>
      <c r="PX182" s="766"/>
      <c r="PY182" s="766"/>
      <c r="PZ182" s="766" t="s">
        <v>1208</v>
      </c>
      <c r="QA182" s="766"/>
      <c r="QB182" s="766"/>
      <c r="QC182" s="766"/>
      <c r="QD182" s="766"/>
      <c r="QE182" s="766"/>
      <c r="QF182" s="766"/>
      <c r="QG182" s="766"/>
      <c r="QH182" s="766"/>
      <c r="QI182" s="766"/>
      <c r="QJ182" s="766"/>
      <c r="QK182" s="766"/>
      <c r="QL182" s="766"/>
      <c r="QM182" s="766" t="s">
        <v>1208</v>
      </c>
      <c r="QN182" s="766"/>
      <c r="QO182" s="766"/>
      <c r="QP182" s="766"/>
      <c r="QQ182" s="766"/>
      <c r="QR182" s="766"/>
      <c r="QS182" s="766"/>
      <c r="QT182" s="766"/>
      <c r="QU182" s="766"/>
      <c r="QV182" s="766"/>
      <c r="QW182" s="766"/>
      <c r="QX182" s="766"/>
      <c r="QY182" s="766"/>
      <c r="QZ182" s="766"/>
      <c r="RA182" s="766"/>
      <c r="RB182" s="770" t="s">
        <v>1207</v>
      </c>
      <c r="RC182" s="766">
        <v>2012</v>
      </c>
      <c r="RD182" s="766" t="s">
        <v>13251</v>
      </c>
      <c r="RE182" s="766"/>
      <c r="RF182" s="777">
        <f>CONVERT(2,"ft","m")</f>
        <v>0.60960000000000003</v>
      </c>
      <c r="RG182" s="766" t="s">
        <v>13138</v>
      </c>
      <c r="RH182" s="775">
        <v>2000</v>
      </c>
      <c r="RI182" s="766">
        <v>12</v>
      </c>
      <c r="RJ182" s="766" t="s">
        <v>1317</v>
      </c>
      <c r="RK182" s="766" t="s">
        <v>13146</v>
      </c>
      <c r="RL182" s="1683"/>
      <c r="RM182" s="12"/>
      <c r="RN182" s="1711"/>
      <c r="RO182" s="171" t="s">
        <v>290</v>
      </c>
      <c r="RP182" s="11"/>
      <c r="RQ182" s="11"/>
      <c r="RR182" s="154" t="s">
        <v>7419</v>
      </c>
      <c r="RS182" s="1139" t="s">
        <v>12980</v>
      </c>
      <c r="RT182" s="11"/>
      <c r="RU182" s="11"/>
      <c r="RV182" s="766" t="s">
        <v>12441</v>
      </c>
      <c r="RW182" s="11" t="s">
        <v>7527</v>
      </c>
      <c r="RX182" s="11" t="s">
        <v>284</v>
      </c>
      <c r="RY182" s="11"/>
      <c r="RZ182" s="11" t="s">
        <v>7419</v>
      </c>
      <c r="SA182" s="766"/>
      <c r="SB182" s="11"/>
      <c r="SC182" s="11"/>
    </row>
    <row r="183" spans="1:497" ht="12.75" hidden="1" customHeight="1">
      <c r="A183" s="767" t="s">
        <v>12442</v>
      </c>
      <c r="B183" s="288" t="s">
        <v>7530</v>
      </c>
      <c r="C183" s="171" t="s">
        <v>294</v>
      </c>
      <c r="D183" s="766" t="s">
        <v>2163</v>
      </c>
      <c r="E183" s="766" t="s">
        <v>291</v>
      </c>
      <c r="F183" s="766" t="s">
        <v>20</v>
      </c>
      <c r="G183" s="766" t="s">
        <v>18</v>
      </c>
      <c r="H183" s="766"/>
      <c r="I183" s="5"/>
      <c r="J183" s="766" t="s">
        <v>5830</v>
      </c>
      <c r="K183" s="766"/>
      <c r="L183" s="766"/>
      <c r="M183" s="766"/>
      <c r="N183" s="766"/>
      <c r="O183" s="766"/>
      <c r="P183" s="766" t="s">
        <v>859</v>
      </c>
      <c r="Q183" s="1085">
        <v>26221</v>
      </c>
      <c r="R183" s="25">
        <v>45</v>
      </c>
      <c r="S183" s="766" t="s">
        <v>10</v>
      </c>
      <c r="T183" s="766"/>
      <c r="U183" s="26" t="s">
        <v>860</v>
      </c>
      <c r="V183" s="766" t="s">
        <v>707</v>
      </c>
      <c r="W183" s="766"/>
      <c r="X183" s="766"/>
      <c r="Y183" s="766" t="s">
        <v>291</v>
      </c>
      <c r="Z183" s="766" t="s">
        <v>708</v>
      </c>
      <c r="AA183" s="766" t="s">
        <v>709</v>
      </c>
      <c r="AB183" s="766" t="s">
        <v>710</v>
      </c>
      <c r="AC183" s="766"/>
      <c r="AD183" s="766"/>
      <c r="AE183" s="766" t="s">
        <v>858</v>
      </c>
      <c r="AF183" s="766"/>
      <c r="AG183" s="766"/>
      <c r="AH183" s="766"/>
      <c r="AI183" s="766"/>
      <c r="AJ183" s="766"/>
      <c r="AK183" s="766" t="s">
        <v>5454</v>
      </c>
      <c r="AL183" s="121"/>
      <c r="AM183" s="772"/>
      <c r="AN183" s="774"/>
      <c r="AO183" s="766"/>
      <c r="AP183" s="766"/>
      <c r="AQ183" s="766"/>
      <c r="AR183" s="766"/>
      <c r="AS183" s="766"/>
      <c r="AT183" s="766"/>
      <c r="AU183" s="766"/>
      <c r="AV183" s="766"/>
      <c r="AW183" s="766"/>
      <c r="AX183" s="766"/>
      <c r="AY183" s="766"/>
      <c r="AZ183" s="766"/>
      <c r="BA183" s="766"/>
      <c r="BB183" s="766"/>
      <c r="BC183" s="766"/>
      <c r="BD183" s="766"/>
      <c r="BE183" s="766"/>
      <c r="BF183" s="775"/>
      <c r="BG183" s="775"/>
      <c r="BH183" s="766"/>
      <c r="BI183" s="766"/>
      <c r="BJ183" s="766"/>
      <c r="BK183" s="766"/>
      <c r="BL183" s="766"/>
      <c r="BM183" s="766" t="s">
        <v>1238</v>
      </c>
      <c r="BN183" s="766" t="s">
        <v>1299</v>
      </c>
      <c r="BO183" s="766"/>
      <c r="BP183" s="776"/>
      <c r="BQ183" s="772"/>
      <c r="BR183" s="774"/>
      <c r="BS183" s="766" t="s">
        <v>1105</v>
      </c>
      <c r="BT183" s="766"/>
      <c r="BU183" s="766"/>
      <c r="BV183" s="766"/>
      <c r="BW183" s="766"/>
      <c r="BX183" s="779"/>
      <c r="BY183" s="766"/>
      <c r="BZ183" s="775"/>
      <c r="CA183" s="766"/>
      <c r="CB183" s="766"/>
      <c r="CC183" s="766"/>
      <c r="CD183" s="766"/>
      <c r="CE183" s="766"/>
      <c r="CF183" s="777"/>
      <c r="CG183" s="778"/>
      <c r="CH183" s="766"/>
      <c r="CI183" s="766"/>
      <c r="CJ183" s="766"/>
      <c r="CK183" s="766"/>
      <c r="CL183" s="766"/>
      <c r="CM183" s="766"/>
      <c r="CN183" s="766"/>
      <c r="CO183" s="766"/>
      <c r="CP183" s="766"/>
      <c r="CQ183" s="766"/>
      <c r="CR183" s="775"/>
      <c r="CS183" s="766"/>
      <c r="CT183" s="766"/>
      <c r="CU183" s="129"/>
      <c r="CV183" s="766"/>
      <c r="CW183" s="766"/>
      <c r="CX183" s="766"/>
      <c r="CY183" s="766"/>
      <c r="CZ183" s="766"/>
      <c r="DA183" s="766"/>
      <c r="DB183" s="766"/>
      <c r="DC183" s="766"/>
      <c r="DD183" s="766"/>
      <c r="DE183" s="766"/>
      <c r="DF183" s="766"/>
      <c r="DG183" s="766"/>
      <c r="DH183" s="766"/>
      <c r="DI183" s="766"/>
      <c r="DJ183" s="766"/>
      <c r="DK183" s="766"/>
      <c r="DL183" s="766"/>
      <c r="DM183" s="766"/>
      <c r="DN183" s="766"/>
      <c r="DO183" s="766"/>
      <c r="DP183" s="766"/>
      <c r="DQ183" s="766"/>
      <c r="DR183" s="766"/>
      <c r="DS183" s="59"/>
      <c r="DT183" s="766"/>
      <c r="DU183" s="766"/>
      <c r="DV183" s="766"/>
      <c r="DW183" s="66"/>
      <c r="DX183" s="66"/>
      <c r="DY183" s="766"/>
      <c r="DZ183" s="766"/>
      <c r="EA183" s="766"/>
      <c r="EB183" s="766"/>
      <c r="EC183" s="766"/>
      <c r="ED183" s="766"/>
      <c r="EE183" s="766"/>
      <c r="EF183" s="766"/>
      <c r="EG183" s="766"/>
      <c r="EH183" s="766"/>
      <c r="EI183" s="766"/>
      <c r="EJ183" s="766"/>
      <c r="EK183" s="766"/>
      <c r="EL183" s="766"/>
      <c r="EM183" s="766"/>
      <c r="EN183" s="766"/>
      <c r="EO183" s="766"/>
      <c r="EP183" s="766"/>
      <c r="EQ183" s="766"/>
      <c r="ER183" s="766"/>
      <c r="ES183" s="766"/>
      <c r="ET183" s="766"/>
      <c r="EU183" s="766"/>
      <c r="EV183" s="766"/>
      <c r="EW183" s="766"/>
      <c r="EX183" s="766"/>
      <c r="EY183" s="766"/>
      <c r="EZ183" s="766"/>
      <c r="FA183" s="766"/>
      <c r="FB183" s="766"/>
      <c r="FC183" s="766"/>
      <c r="FD183" s="775"/>
      <c r="FE183" s="766"/>
      <c r="FF183" s="766"/>
      <c r="FG183" s="766"/>
      <c r="FH183" s="766" t="s">
        <v>1305</v>
      </c>
      <c r="FI183" s="766">
        <v>1</v>
      </c>
      <c r="FJ183" s="766" t="s">
        <v>1621</v>
      </c>
      <c r="FK183" s="766"/>
      <c r="FL183" s="766"/>
      <c r="FM183" s="775"/>
      <c r="FN183" s="775"/>
      <c r="FO183" s="775"/>
      <c r="FP183" s="766" t="s">
        <v>1602</v>
      </c>
      <c r="FQ183" s="766" t="s">
        <v>1660</v>
      </c>
      <c r="FR183" s="766" t="s">
        <v>1207</v>
      </c>
      <c r="FS183" s="766" t="s">
        <v>1208</v>
      </c>
      <c r="FT183" s="766"/>
      <c r="FU183" s="766"/>
      <c r="FV183" s="766"/>
      <c r="FW183" s="766"/>
      <c r="FX183" s="766"/>
      <c r="FY183" s="766"/>
      <c r="FZ183" s="766"/>
      <c r="GA183" s="766"/>
      <c r="GB183" s="766" t="s">
        <v>853</v>
      </c>
      <c r="GC183" s="75" t="s">
        <v>1730</v>
      </c>
      <c r="GD183" s="25" t="s">
        <v>110</v>
      </c>
      <c r="GE183" s="766" t="s">
        <v>1698</v>
      </c>
      <c r="GF183" s="775"/>
      <c r="GG183" s="775"/>
      <c r="GH183" s="766"/>
      <c r="GI183" s="766"/>
      <c r="GJ183" s="766"/>
      <c r="GK183" s="766"/>
      <c r="GL183" s="766"/>
      <c r="GM183" s="766"/>
      <c r="GN183" s="82"/>
      <c r="GO183" s="766"/>
      <c r="GP183" s="766"/>
      <c r="GQ183" s="766"/>
      <c r="GR183" s="766"/>
      <c r="GS183" s="766"/>
      <c r="GT183" s="766"/>
      <c r="GU183" s="766"/>
      <c r="GV183" s="766"/>
      <c r="GW183" s="766"/>
      <c r="GX183" s="766"/>
      <c r="GY183" s="766"/>
      <c r="GZ183" s="766"/>
      <c r="HA183" s="766"/>
      <c r="HB183" s="766"/>
      <c r="HC183" s="766"/>
      <c r="HD183" s="766"/>
      <c r="HE183" s="766"/>
      <c r="HF183" s="766"/>
      <c r="HG183" s="766"/>
      <c r="HH183" s="766"/>
      <c r="HI183" s="766"/>
      <c r="HJ183" s="766"/>
      <c r="HK183" s="766"/>
      <c r="HL183" s="766"/>
      <c r="HM183" s="766"/>
      <c r="HN183" s="766"/>
      <c r="HO183" s="766"/>
      <c r="HP183" s="766"/>
      <c r="HQ183" s="766"/>
      <c r="HR183" s="766"/>
      <c r="HS183" s="766"/>
      <c r="HT183" s="766"/>
      <c r="HU183" s="766"/>
      <c r="HV183" s="766"/>
      <c r="HW183" s="766"/>
      <c r="HX183" s="766"/>
      <c r="HY183" s="766"/>
      <c r="HZ183" s="766"/>
      <c r="IA183" s="766"/>
      <c r="IB183" s="766"/>
      <c r="IC183" s="766"/>
      <c r="ID183" s="766"/>
      <c r="IE183" s="766"/>
      <c r="IF183" s="766"/>
      <c r="IG183" s="766"/>
      <c r="IH183" s="766"/>
      <c r="II183" s="766"/>
      <c r="IJ183" s="766"/>
      <c r="IK183" s="766"/>
      <c r="IL183" s="766"/>
      <c r="IM183" s="766"/>
      <c r="IN183" s="766"/>
      <c r="IO183" s="24"/>
      <c r="IP183" s="766"/>
      <c r="IQ183" s="766"/>
      <c r="IR183" s="766"/>
      <c r="IS183" s="766"/>
      <c r="IT183" s="766"/>
      <c r="IU183" s="766"/>
      <c r="IV183" s="766"/>
      <c r="IW183" s="766"/>
      <c r="IX183" s="766"/>
      <c r="IY183" s="766"/>
      <c r="IZ183" s="766"/>
      <c r="JA183" s="766"/>
      <c r="JB183" s="766"/>
      <c r="JC183" s="766"/>
      <c r="JD183" s="775"/>
      <c r="JE183" s="766"/>
      <c r="JF183" s="766"/>
      <c r="JG183" s="766"/>
      <c r="JH183" s="766"/>
      <c r="JI183" s="766"/>
      <c r="JJ183" s="766">
        <v>7</v>
      </c>
      <c r="JK183" s="766" t="s">
        <v>13252</v>
      </c>
      <c r="JL183" s="766">
        <v>1</v>
      </c>
      <c r="JM183" s="766"/>
      <c r="JN183" s="766">
        <v>2</v>
      </c>
      <c r="JO183" s="766">
        <v>4</v>
      </c>
      <c r="JP183" s="766"/>
      <c r="JQ183" s="766"/>
      <c r="JR183" s="766"/>
      <c r="JS183" s="766"/>
      <c r="JT183" s="766">
        <f t="shared" si="44"/>
        <v>3</v>
      </c>
      <c r="JU183" s="766">
        <f t="shared" si="44"/>
        <v>4</v>
      </c>
      <c r="JV183" s="766"/>
      <c r="JW183" s="766"/>
      <c r="JX183" s="766">
        <v>1</v>
      </c>
      <c r="JY183" s="766"/>
      <c r="JZ183" s="766"/>
      <c r="KA183" s="766"/>
      <c r="KB183" s="766">
        <v>1</v>
      </c>
      <c r="KC183" s="766">
        <v>3</v>
      </c>
      <c r="KD183" s="766">
        <v>1</v>
      </c>
      <c r="KE183" s="766">
        <v>1</v>
      </c>
      <c r="KF183" s="766"/>
      <c r="KG183" s="766"/>
      <c r="KH183" s="766"/>
      <c r="KI183" s="766"/>
      <c r="KJ183" s="770">
        <f t="shared" si="38"/>
        <v>3</v>
      </c>
      <c r="KK183" s="770">
        <f t="shared" si="38"/>
        <v>4</v>
      </c>
      <c r="KL183" s="770"/>
      <c r="KM183" s="770"/>
      <c r="KN183" s="766" t="s">
        <v>707</v>
      </c>
      <c r="KO183" s="766"/>
      <c r="KP183" s="766"/>
      <c r="KQ183" s="766"/>
      <c r="KR183" s="766">
        <v>1</v>
      </c>
      <c r="KS183" s="766"/>
      <c r="KT183" s="766"/>
      <c r="KU183" s="766"/>
      <c r="KV183" s="766">
        <v>1</v>
      </c>
      <c r="KW183" s="766"/>
      <c r="KX183" s="766"/>
      <c r="KY183" s="766">
        <v>2</v>
      </c>
      <c r="KZ183" s="766">
        <v>1</v>
      </c>
      <c r="LA183" s="766">
        <v>1</v>
      </c>
      <c r="LB183" s="766"/>
      <c r="LC183" s="766"/>
      <c r="LD183" s="766"/>
      <c r="LE183" s="766">
        <v>1</v>
      </c>
      <c r="LF183" s="766"/>
      <c r="LG183" s="766"/>
      <c r="LH183" s="766"/>
      <c r="LI183" s="766"/>
      <c r="LJ183" s="766"/>
      <c r="LK183" s="766"/>
      <c r="LL183" s="766"/>
      <c r="LM183" s="766"/>
      <c r="LN183" s="766">
        <f t="shared" si="39"/>
        <v>3</v>
      </c>
      <c r="LO183" s="766">
        <f t="shared" si="39"/>
        <v>4</v>
      </c>
      <c r="LP183" s="766">
        <v>2</v>
      </c>
      <c r="LQ183" s="766">
        <v>2</v>
      </c>
      <c r="LR183" s="766"/>
      <c r="LS183" s="766"/>
      <c r="LT183" s="766"/>
      <c r="LU183" s="766"/>
      <c r="LV183" s="766"/>
      <c r="LW183" s="766">
        <v>2</v>
      </c>
      <c r="LX183" s="769">
        <v>1</v>
      </c>
      <c r="LY183" s="766" t="str">
        <f t="shared" si="43"/>
        <v>within the BRGY</v>
      </c>
      <c r="LZ183" s="66"/>
      <c r="MA183" s="766"/>
      <c r="MB183" s="766"/>
      <c r="MC183" s="1679">
        <f t="shared" si="41"/>
        <v>0</v>
      </c>
      <c r="MD183" s="66"/>
      <c r="ME183" s="66"/>
      <c r="MF183" s="66"/>
      <c r="MG183" s="1680">
        <f t="shared" si="34"/>
        <v>0</v>
      </c>
      <c r="MH183" s="766"/>
      <c r="MI183" s="775">
        <v>9000</v>
      </c>
      <c r="MJ183" s="775">
        <v>800</v>
      </c>
      <c r="MK183" s="775">
        <f>QUOTIENT(1000,12)</f>
        <v>83</v>
      </c>
      <c r="ML183" s="775">
        <v>150</v>
      </c>
      <c r="MM183" s="775">
        <v>600</v>
      </c>
      <c r="MN183" s="775"/>
      <c r="MO183" s="775">
        <v>100</v>
      </c>
      <c r="MP183" s="775">
        <v>400</v>
      </c>
      <c r="MQ183" s="775">
        <v>480</v>
      </c>
      <c r="MR183" s="775">
        <v>300</v>
      </c>
      <c r="MS183" s="775">
        <v>400</v>
      </c>
      <c r="MT183" s="775"/>
      <c r="MU183" s="775"/>
      <c r="MV183" s="775"/>
      <c r="MW183" s="775"/>
      <c r="MX183" s="775"/>
      <c r="MY183" s="1682">
        <f t="shared" si="35"/>
        <v>12313</v>
      </c>
      <c r="MZ183" s="766" t="s">
        <v>13004</v>
      </c>
      <c r="NA183" s="766" t="s">
        <v>13005</v>
      </c>
      <c r="NB183" s="766" t="s">
        <v>13006</v>
      </c>
      <c r="NC183" s="766" t="s">
        <v>13135</v>
      </c>
      <c r="ND183" s="766">
        <v>0</v>
      </c>
      <c r="NE183" s="766">
        <v>0</v>
      </c>
      <c r="NF183" s="766">
        <v>0</v>
      </c>
      <c r="NG183" s="766">
        <v>1</v>
      </c>
      <c r="NH183" s="766">
        <v>1</v>
      </c>
      <c r="NI183" s="766">
        <v>0</v>
      </c>
      <c r="NJ183" s="766">
        <v>0</v>
      </c>
      <c r="NK183" s="766">
        <v>0</v>
      </c>
      <c r="NL183" s="766">
        <v>0</v>
      </c>
      <c r="NM183" s="766">
        <v>0</v>
      </c>
      <c r="NN183" s="766">
        <v>0</v>
      </c>
      <c r="NO183" s="766">
        <v>0</v>
      </c>
      <c r="NP183" s="766">
        <v>0</v>
      </c>
      <c r="NQ183" s="766">
        <v>1</v>
      </c>
      <c r="NR183" s="766">
        <v>0</v>
      </c>
      <c r="NS183" s="766">
        <v>0</v>
      </c>
      <c r="NT183" s="766">
        <v>0</v>
      </c>
      <c r="NU183" s="766">
        <v>0</v>
      </c>
      <c r="NV183" s="766">
        <v>0</v>
      </c>
      <c r="NW183" s="766">
        <v>1</v>
      </c>
      <c r="NX183" s="766">
        <v>0</v>
      </c>
      <c r="NY183" s="766" t="s">
        <v>1208</v>
      </c>
      <c r="NZ183" s="766" t="s">
        <v>1208</v>
      </c>
      <c r="OA183" s="766" t="s">
        <v>1208</v>
      </c>
      <c r="OB183" s="766" t="s">
        <v>1208</v>
      </c>
      <c r="OC183" s="766"/>
      <c r="OD183" s="766"/>
      <c r="OE183" s="766"/>
      <c r="OF183" s="766"/>
      <c r="OG183" s="766"/>
      <c r="OH183" s="766"/>
      <c r="OI183" s="766"/>
      <c r="OJ183" s="766"/>
      <c r="OK183" s="76"/>
      <c r="OL183" s="766"/>
      <c r="OM183" s="766"/>
      <c r="ON183" s="766"/>
      <c r="OO183" s="766"/>
      <c r="OP183" s="766"/>
      <c r="OQ183" s="766"/>
      <c r="OR183" s="766"/>
      <c r="OS183" s="766"/>
      <c r="OT183" s="766"/>
      <c r="OU183" s="766"/>
      <c r="OV183" s="766"/>
      <c r="OW183" s="766"/>
      <c r="OX183" s="766"/>
      <c r="OY183" s="766"/>
      <c r="OZ183" s="766"/>
      <c r="PA183" s="766"/>
      <c r="PB183" s="766"/>
      <c r="PC183" s="766"/>
      <c r="PD183" s="766"/>
      <c r="PE183" s="766"/>
      <c r="PF183" s="766"/>
      <c r="PG183" s="766"/>
      <c r="PH183" s="766"/>
      <c r="PI183" s="766"/>
      <c r="PJ183" s="766"/>
      <c r="PK183" s="766" t="s">
        <v>1208</v>
      </c>
      <c r="PL183" s="766"/>
      <c r="PM183" s="766"/>
      <c r="PN183" s="766"/>
      <c r="PO183" s="766"/>
      <c r="PP183" s="766"/>
      <c r="PQ183" s="766"/>
      <c r="PR183" s="766" t="s">
        <v>1208</v>
      </c>
      <c r="PS183" s="766" t="s">
        <v>1208</v>
      </c>
      <c r="PT183" s="766"/>
      <c r="PU183" s="766"/>
      <c r="PV183" s="766"/>
      <c r="PW183" s="766"/>
      <c r="PX183" s="766"/>
      <c r="PY183" s="766"/>
      <c r="PZ183" s="766"/>
      <c r="QA183" s="766"/>
      <c r="QB183" s="766"/>
      <c r="QC183" s="766"/>
      <c r="QD183" s="766"/>
      <c r="QE183" s="766"/>
      <c r="QF183" s="766"/>
      <c r="QG183" s="766"/>
      <c r="QH183" s="766"/>
      <c r="QI183" s="766"/>
      <c r="QJ183" s="766"/>
      <c r="QK183" s="766"/>
      <c r="QL183" s="766"/>
      <c r="QM183" s="766"/>
      <c r="QN183" s="766"/>
      <c r="QO183" s="766"/>
      <c r="QP183" s="766"/>
      <c r="QQ183" s="766"/>
      <c r="QR183" s="766"/>
      <c r="QS183" s="766"/>
      <c r="QT183" s="766"/>
      <c r="QU183" s="766"/>
      <c r="QV183" s="766"/>
      <c r="QW183" s="766"/>
      <c r="QX183" s="766"/>
      <c r="QY183" s="766"/>
      <c r="QZ183" s="766"/>
      <c r="RA183" s="766"/>
      <c r="RB183" s="770" t="s">
        <v>1207</v>
      </c>
      <c r="RC183" s="766">
        <v>2012</v>
      </c>
      <c r="RD183" s="766" t="s">
        <v>13251</v>
      </c>
      <c r="RE183" s="766"/>
      <c r="RF183" s="777">
        <f>CONVERT(2,"ft","m")</f>
        <v>0.60960000000000003</v>
      </c>
      <c r="RG183" s="766" t="s">
        <v>13138</v>
      </c>
      <c r="RH183" s="775"/>
      <c r="RI183" s="766">
        <v>12</v>
      </c>
      <c r="RJ183" s="766" t="s">
        <v>2163</v>
      </c>
      <c r="RK183" s="766" t="s">
        <v>13146</v>
      </c>
      <c r="RL183" s="1683"/>
      <c r="RM183" s="12"/>
      <c r="RN183" s="1711"/>
      <c r="RO183" s="171" t="s">
        <v>294</v>
      </c>
      <c r="RP183" s="11"/>
      <c r="RQ183" s="11"/>
      <c r="RR183" s="771"/>
      <c r="RS183" s="766"/>
      <c r="RT183" s="11"/>
      <c r="RU183" s="11"/>
      <c r="RV183" s="766" t="s">
        <v>12441</v>
      </c>
      <c r="RW183" s="11" t="s">
        <v>7528</v>
      </c>
      <c r="RX183" s="11" t="s">
        <v>289</v>
      </c>
      <c r="RY183" s="11"/>
      <c r="RZ183" s="11"/>
      <c r="SA183" s="766"/>
      <c r="SB183" s="11"/>
      <c r="SC183" s="11"/>
    </row>
    <row r="184" spans="1:497" ht="12.75" hidden="1" customHeight="1">
      <c r="A184" s="767" t="s">
        <v>12442</v>
      </c>
      <c r="B184" s="288" t="s">
        <v>7531</v>
      </c>
      <c r="C184" s="171" t="s">
        <v>295</v>
      </c>
      <c r="D184" s="766" t="s">
        <v>5828</v>
      </c>
      <c r="E184" s="766" t="s">
        <v>291</v>
      </c>
      <c r="F184" s="766" t="s">
        <v>28</v>
      </c>
      <c r="G184" s="766" t="s">
        <v>10</v>
      </c>
      <c r="H184" s="766"/>
      <c r="I184" s="5"/>
      <c r="J184" s="766" t="s">
        <v>5828</v>
      </c>
      <c r="K184" s="766"/>
      <c r="L184" s="766"/>
      <c r="M184" s="766"/>
      <c r="N184" s="766"/>
      <c r="O184" s="766"/>
      <c r="P184" s="766" t="s">
        <v>861</v>
      </c>
      <c r="Q184" s="1085">
        <v>22067</v>
      </c>
      <c r="R184" s="25">
        <v>56</v>
      </c>
      <c r="S184" s="766" t="s">
        <v>10</v>
      </c>
      <c r="T184" s="766"/>
      <c r="U184" s="26" t="s">
        <v>862</v>
      </c>
      <c r="V184" s="766" t="s">
        <v>722</v>
      </c>
      <c r="W184" s="766"/>
      <c r="X184" s="766"/>
      <c r="Y184" s="766" t="s">
        <v>291</v>
      </c>
      <c r="Z184" s="766" t="s">
        <v>708</v>
      </c>
      <c r="AA184" s="766" t="s">
        <v>709</v>
      </c>
      <c r="AB184" s="766" t="s">
        <v>710</v>
      </c>
      <c r="AC184" s="766"/>
      <c r="AD184" s="766"/>
      <c r="AE184" s="766" t="s">
        <v>858</v>
      </c>
      <c r="AF184" s="766"/>
      <c r="AG184" s="766"/>
      <c r="AH184" s="766"/>
      <c r="AI184" s="766"/>
      <c r="AJ184" s="766"/>
      <c r="AK184" s="766" t="s">
        <v>5454</v>
      </c>
      <c r="AL184" s="121"/>
      <c r="AM184" s="772"/>
      <c r="AN184" s="774"/>
      <c r="AO184" s="766"/>
      <c r="AP184" s="766"/>
      <c r="AQ184" s="766"/>
      <c r="AR184" s="766"/>
      <c r="AS184" s="766"/>
      <c r="AT184" s="766"/>
      <c r="AU184" s="766"/>
      <c r="AV184" s="766"/>
      <c r="AW184" s="766"/>
      <c r="AX184" s="766"/>
      <c r="AY184" s="766"/>
      <c r="AZ184" s="766"/>
      <c r="BA184" s="766"/>
      <c r="BB184" s="766"/>
      <c r="BC184" s="766"/>
      <c r="BD184" s="766"/>
      <c r="BE184" s="766"/>
      <c r="BF184" s="775"/>
      <c r="BG184" s="775"/>
      <c r="BH184" s="766"/>
      <c r="BI184" s="766"/>
      <c r="BJ184" s="766"/>
      <c r="BK184" s="766"/>
      <c r="BL184" s="766"/>
      <c r="BM184" s="766" t="s">
        <v>1238</v>
      </c>
      <c r="BN184" s="766" t="s">
        <v>1299</v>
      </c>
      <c r="BO184" s="766"/>
      <c r="BP184" s="776"/>
      <c r="BQ184" s="772"/>
      <c r="BR184" s="774"/>
      <c r="BS184" s="766" t="s">
        <v>1105</v>
      </c>
      <c r="BT184" s="766"/>
      <c r="BU184" s="766"/>
      <c r="BV184" s="766"/>
      <c r="BW184" s="766"/>
      <c r="BX184" s="779"/>
      <c r="BY184" s="766"/>
      <c r="BZ184" s="775"/>
      <c r="CA184" s="766"/>
      <c r="CB184" s="766"/>
      <c r="CC184" s="766"/>
      <c r="CD184" s="766"/>
      <c r="CE184" s="766"/>
      <c r="CF184" s="777"/>
      <c r="CG184" s="778"/>
      <c r="CH184" s="766"/>
      <c r="CI184" s="766"/>
      <c r="CJ184" s="766"/>
      <c r="CK184" s="766"/>
      <c r="CL184" s="766"/>
      <c r="CM184" s="766"/>
      <c r="CN184" s="766"/>
      <c r="CO184" s="766"/>
      <c r="CP184" s="766"/>
      <c r="CQ184" s="766"/>
      <c r="CR184" s="775"/>
      <c r="CS184" s="766"/>
      <c r="CT184" s="766"/>
      <c r="CU184" s="129"/>
      <c r="CV184" s="766"/>
      <c r="CW184" s="766"/>
      <c r="CX184" s="766"/>
      <c r="CY184" s="766"/>
      <c r="CZ184" s="766"/>
      <c r="DA184" s="766"/>
      <c r="DB184" s="766"/>
      <c r="DC184" s="766"/>
      <c r="DD184" s="766"/>
      <c r="DE184" s="766"/>
      <c r="DF184" s="766"/>
      <c r="DG184" s="766"/>
      <c r="DH184" s="766"/>
      <c r="DI184" s="766"/>
      <c r="DJ184" s="766"/>
      <c r="DK184" s="766"/>
      <c r="DL184" s="766"/>
      <c r="DM184" s="766"/>
      <c r="DN184" s="766"/>
      <c r="DO184" s="766"/>
      <c r="DP184" s="766"/>
      <c r="DQ184" s="766"/>
      <c r="DR184" s="766"/>
      <c r="DS184" s="59"/>
      <c r="DT184" s="766"/>
      <c r="DU184" s="766"/>
      <c r="DV184" s="766"/>
      <c r="DW184" s="66"/>
      <c r="DX184" s="66"/>
      <c r="DY184" s="766"/>
      <c r="DZ184" s="766"/>
      <c r="EA184" s="766"/>
      <c r="EB184" s="766"/>
      <c r="EC184" s="766"/>
      <c r="ED184" s="766"/>
      <c r="EE184" s="766"/>
      <c r="EF184" s="766"/>
      <c r="EG184" s="766"/>
      <c r="EH184" s="766"/>
      <c r="EI184" s="766"/>
      <c r="EJ184" s="766"/>
      <c r="EK184" s="766"/>
      <c r="EL184" s="766"/>
      <c r="EM184" s="766"/>
      <c r="EN184" s="766"/>
      <c r="EO184" s="766"/>
      <c r="EP184" s="766"/>
      <c r="EQ184" s="766"/>
      <c r="ER184" s="766"/>
      <c r="ES184" s="766"/>
      <c r="ET184" s="766"/>
      <c r="EU184" s="766"/>
      <c r="EV184" s="766"/>
      <c r="EW184" s="766"/>
      <c r="EX184" s="766"/>
      <c r="EY184" s="766"/>
      <c r="EZ184" s="766"/>
      <c r="FA184" s="766"/>
      <c r="FB184" s="766"/>
      <c r="FC184" s="766"/>
      <c r="FD184" s="775"/>
      <c r="FE184" s="766"/>
      <c r="FF184" s="766"/>
      <c r="FG184" s="766"/>
      <c r="FH184" s="766" t="s">
        <v>1305</v>
      </c>
      <c r="FI184" s="766">
        <v>1</v>
      </c>
      <c r="FJ184" s="766" t="s">
        <v>1621</v>
      </c>
      <c r="FK184" s="766"/>
      <c r="FL184" s="766"/>
      <c r="FM184" s="775"/>
      <c r="FN184" s="775"/>
      <c r="FO184" s="775"/>
      <c r="FP184" s="766" t="s">
        <v>1602</v>
      </c>
      <c r="FQ184" s="766" t="s">
        <v>1660</v>
      </c>
      <c r="FR184" s="766" t="s">
        <v>1207</v>
      </c>
      <c r="FS184" s="766" t="s">
        <v>1208</v>
      </c>
      <c r="FT184" s="766"/>
      <c r="FU184" s="766"/>
      <c r="FV184" s="766"/>
      <c r="FW184" s="766"/>
      <c r="FX184" s="766"/>
      <c r="FY184" s="766"/>
      <c r="FZ184" s="766"/>
      <c r="GA184" s="766"/>
      <c r="GB184" s="766" t="s">
        <v>853</v>
      </c>
      <c r="GC184" s="75" t="s">
        <v>1730</v>
      </c>
      <c r="GD184" s="25" t="s">
        <v>110</v>
      </c>
      <c r="GE184" s="766"/>
      <c r="GF184" s="775"/>
      <c r="GG184" s="775"/>
      <c r="GH184" s="766"/>
      <c r="GI184" s="766"/>
      <c r="GJ184" s="766"/>
      <c r="GK184" s="766"/>
      <c r="GL184" s="766"/>
      <c r="GM184" s="766"/>
      <c r="GN184" s="82"/>
      <c r="GO184" s="766"/>
      <c r="GP184" s="766"/>
      <c r="GQ184" s="766"/>
      <c r="GR184" s="766"/>
      <c r="GS184" s="766"/>
      <c r="GT184" s="766"/>
      <c r="GU184" s="766"/>
      <c r="GV184" s="766"/>
      <c r="GW184" s="766"/>
      <c r="GX184" s="766"/>
      <c r="GY184" s="766"/>
      <c r="GZ184" s="766"/>
      <c r="HA184" s="766"/>
      <c r="HB184" s="766"/>
      <c r="HC184" s="766"/>
      <c r="HD184" s="766"/>
      <c r="HE184" s="766"/>
      <c r="HF184" s="766"/>
      <c r="HG184" s="766"/>
      <c r="HH184" s="766"/>
      <c r="HI184" s="766"/>
      <c r="HJ184" s="766"/>
      <c r="HK184" s="766"/>
      <c r="HL184" s="766"/>
      <c r="HM184" s="766"/>
      <c r="HN184" s="766"/>
      <c r="HO184" s="766"/>
      <c r="HP184" s="766"/>
      <c r="HQ184" s="766"/>
      <c r="HR184" s="766"/>
      <c r="HS184" s="766"/>
      <c r="HT184" s="766"/>
      <c r="HU184" s="766"/>
      <c r="HV184" s="766"/>
      <c r="HW184" s="766"/>
      <c r="HX184" s="766"/>
      <c r="HY184" s="766"/>
      <c r="HZ184" s="766"/>
      <c r="IA184" s="766"/>
      <c r="IB184" s="766" t="s">
        <v>1207</v>
      </c>
      <c r="IC184" s="766"/>
      <c r="ID184" s="766"/>
      <c r="IE184" s="766"/>
      <c r="IF184" s="766"/>
      <c r="IG184" s="766"/>
      <c r="IH184" s="766"/>
      <c r="II184" s="766"/>
      <c r="IJ184" s="766"/>
      <c r="IK184" s="766"/>
      <c r="IL184" s="766"/>
      <c r="IM184" s="766"/>
      <c r="IN184" s="766"/>
      <c r="IO184" s="24"/>
      <c r="IP184" s="766"/>
      <c r="IQ184" s="766"/>
      <c r="IR184" s="766"/>
      <c r="IS184" s="766"/>
      <c r="IT184" s="766"/>
      <c r="IU184" s="766"/>
      <c r="IV184" s="766"/>
      <c r="IW184" s="766"/>
      <c r="IX184" s="766"/>
      <c r="IY184" s="766"/>
      <c r="IZ184" s="766"/>
      <c r="JA184" s="766"/>
      <c r="JB184" s="766"/>
      <c r="JC184" s="766"/>
      <c r="JD184" s="775"/>
      <c r="JE184" s="766"/>
      <c r="JF184" s="766"/>
      <c r="JG184" s="766"/>
      <c r="JH184" s="766"/>
      <c r="JI184" s="766"/>
      <c r="JJ184" s="766">
        <v>3</v>
      </c>
      <c r="JK184" s="766" t="s">
        <v>2071</v>
      </c>
      <c r="JL184" s="766"/>
      <c r="JM184" s="766">
        <v>1</v>
      </c>
      <c r="JN184" s="766">
        <v>1</v>
      </c>
      <c r="JO184" s="766">
        <v>1</v>
      </c>
      <c r="JP184" s="766"/>
      <c r="JQ184" s="766"/>
      <c r="JR184" s="766"/>
      <c r="JS184" s="766"/>
      <c r="JT184" s="766">
        <f t="shared" si="44"/>
        <v>1</v>
      </c>
      <c r="JU184" s="766">
        <f t="shared" si="44"/>
        <v>2</v>
      </c>
      <c r="JV184" s="766"/>
      <c r="JW184" s="766"/>
      <c r="JX184" s="766"/>
      <c r="JY184" s="766">
        <v>1</v>
      </c>
      <c r="JZ184" s="766"/>
      <c r="KA184" s="766"/>
      <c r="KB184" s="766"/>
      <c r="KC184" s="766"/>
      <c r="KD184" s="766">
        <v>1</v>
      </c>
      <c r="KE184" s="766">
        <v>1</v>
      </c>
      <c r="KF184" s="766"/>
      <c r="KG184" s="766"/>
      <c r="KH184" s="766"/>
      <c r="KI184" s="766"/>
      <c r="KJ184" s="770">
        <f t="shared" si="38"/>
        <v>1</v>
      </c>
      <c r="KK184" s="770">
        <f t="shared" si="38"/>
        <v>2</v>
      </c>
      <c r="KL184" s="770"/>
      <c r="KM184" s="770"/>
      <c r="KN184" s="766" t="s">
        <v>722</v>
      </c>
      <c r="KO184" s="766"/>
      <c r="KP184" s="766"/>
      <c r="KQ184" s="766"/>
      <c r="KR184" s="766"/>
      <c r="KS184" s="766"/>
      <c r="KT184" s="766"/>
      <c r="KU184" s="766"/>
      <c r="KV184" s="766">
        <v>1</v>
      </c>
      <c r="KW184" s="766">
        <v>1</v>
      </c>
      <c r="KX184" s="766"/>
      <c r="KY184" s="766"/>
      <c r="KZ184" s="766"/>
      <c r="LA184" s="766"/>
      <c r="LB184" s="766"/>
      <c r="LC184" s="766"/>
      <c r="LD184" s="766"/>
      <c r="LE184" s="766"/>
      <c r="LF184" s="766"/>
      <c r="LG184" s="766"/>
      <c r="LH184" s="766"/>
      <c r="LI184" s="766"/>
      <c r="LJ184" s="766"/>
      <c r="LK184" s="766">
        <v>1</v>
      </c>
      <c r="LL184" s="766"/>
      <c r="LM184" s="766"/>
      <c r="LN184" s="766">
        <f t="shared" si="39"/>
        <v>1</v>
      </c>
      <c r="LO184" s="766">
        <f t="shared" si="39"/>
        <v>2</v>
      </c>
      <c r="LP184" s="766">
        <v>2</v>
      </c>
      <c r="LQ184" s="766">
        <v>1</v>
      </c>
      <c r="LR184" s="766"/>
      <c r="LS184" s="766">
        <v>1</v>
      </c>
      <c r="LT184" s="766"/>
      <c r="LU184" s="766"/>
      <c r="LV184" s="766"/>
      <c r="LW184" s="766">
        <v>1</v>
      </c>
      <c r="LX184" s="769">
        <v>1</v>
      </c>
      <c r="LY184" s="766" t="str">
        <f t="shared" si="43"/>
        <v>within the BRGY</v>
      </c>
      <c r="LZ184" s="66"/>
      <c r="MA184" s="766"/>
      <c r="MB184" s="766"/>
      <c r="MC184" s="1679">
        <f t="shared" si="41"/>
        <v>0</v>
      </c>
      <c r="MD184" s="66"/>
      <c r="ME184" s="66"/>
      <c r="MF184" s="66">
        <v>8800</v>
      </c>
      <c r="MG184" s="1680">
        <f t="shared" si="34"/>
        <v>8800</v>
      </c>
      <c r="MH184" s="766"/>
      <c r="MI184" s="775">
        <v>6000</v>
      </c>
      <c r="MJ184" s="775">
        <v>500</v>
      </c>
      <c r="MK184" s="775">
        <v>500</v>
      </c>
      <c r="ML184" s="775">
        <v>200</v>
      </c>
      <c r="MM184" s="775"/>
      <c r="MN184" s="775"/>
      <c r="MO184" s="775">
        <v>352</v>
      </c>
      <c r="MP184" s="775">
        <v>300</v>
      </c>
      <c r="MQ184" s="775">
        <v>130</v>
      </c>
      <c r="MR184" s="775">
        <v>600</v>
      </c>
      <c r="MS184" s="775">
        <v>300</v>
      </c>
      <c r="MT184" s="775"/>
      <c r="MU184" s="775"/>
      <c r="MV184" s="775"/>
      <c r="MW184" s="775"/>
      <c r="MX184" s="775"/>
      <c r="MY184" s="1682">
        <f t="shared" si="35"/>
        <v>8882</v>
      </c>
      <c r="MZ184" s="766" t="s">
        <v>13004</v>
      </c>
      <c r="NA184" s="766" t="s">
        <v>13005</v>
      </c>
      <c r="NB184" s="766" t="s">
        <v>13006</v>
      </c>
      <c r="NC184" s="766" t="s">
        <v>13007</v>
      </c>
      <c r="ND184" s="766">
        <v>0</v>
      </c>
      <c r="NE184" s="766">
        <v>0</v>
      </c>
      <c r="NF184" s="766">
        <v>0</v>
      </c>
      <c r="NG184" s="766">
        <v>2</v>
      </c>
      <c r="NH184" s="766">
        <v>1</v>
      </c>
      <c r="NI184" s="766">
        <v>1</v>
      </c>
      <c r="NJ184" s="766">
        <v>0</v>
      </c>
      <c r="NK184" s="766">
        <v>0</v>
      </c>
      <c r="NL184" s="766">
        <v>0</v>
      </c>
      <c r="NM184" s="766">
        <v>0</v>
      </c>
      <c r="NN184" s="766">
        <v>1</v>
      </c>
      <c r="NO184" s="766">
        <v>0</v>
      </c>
      <c r="NP184" s="766">
        <v>0</v>
      </c>
      <c r="NQ184" s="766">
        <v>1</v>
      </c>
      <c r="NR184" s="766">
        <v>0</v>
      </c>
      <c r="NS184" s="766">
        <v>0</v>
      </c>
      <c r="NT184" s="766">
        <v>0</v>
      </c>
      <c r="NU184" s="766">
        <v>0</v>
      </c>
      <c r="NV184" s="766">
        <v>0</v>
      </c>
      <c r="NW184" s="766">
        <v>0</v>
      </c>
      <c r="NX184" s="766">
        <v>0</v>
      </c>
      <c r="NY184" s="766" t="s">
        <v>1208</v>
      </c>
      <c r="NZ184" s="766"/>
      <c r="OA184" s="766" t="s">
        <v>1208</v>
      </c>
      <c r="OB184" s="766"/>
      <c r="OC184" s="766"/>
      <c r="OD184" s="766"/>
      <c r="OE184" s="766"/>
      <c r="OF184" s="766"/>
      <c r="OG184" s="766"/>
      <c r="OH184" s="766"/>
      <c r="OI184" s="766"/>
      <c r="OJ184" s="766"/>
      <c r="OK184" s="76"/>
      <c r="OL184" s="766"/>
      <c r="OM184" s="766"/>
      <c r="ON184" s="766"/>
      <c r="OO184" s="766"/>
      <c r="OP184" s="766"/>
      <c r="OQ184" s="766"/>
      <c r="OR184" s="766"/>
      <c r="OS184" s="766"/>
      <c r="OT184" s="766"/>
      <c r="OU184" s="766"/>
      <c r="OV184" s="766"/>
      <c r="OW184" s="766"/>
      <c r="OX184" s="766"/>
      <c r="OY184" s="766"/>
      <c r="OZ184" s="766"/>
      <c r="PA184" s="766"/>
      <c r="PB184" s="766"/>
      <c r="PC184" s="766"/>
      <c r="PD184" s="766"/>
      <c r="PE184" s="766"/>
      <c r="PF184" s="766"/>
      <c r="PG184" s="766"/>
      <c r="PH184" s="766"/>
      <c r="PI184" s="766"/>
      <c r="PJ184" s="766"/>
      <c r="PK184" s="766"/>
      <c r="PL184" s="766"/>
      <c r="PM184" s="766"/>
      <c r="PN184" s="766"/>
      <c r="PO184" s="766"/>
      <c r="PP184" s="766"/>
      <c r="PQ184" s="766"/>
      <c r="PR184" s="766"/>
      <c r="PS184" s="766"/>
      <c r="PT184" s="766"/>
      <c r="PU184" s="766"/>
      <c r="PV184" s="766"/>
      <c r="PW184" s="766"/>
      <c r="PX184" s="766"/>
      <c r="PY184" s="766" t="s">
        <v>1208</v>
      </c>
      <c r="PZ184" s="766"/>
      <c r="QA184" s="766"/>
      <c r="QB184" s="766"/>
      <c r="QC184" s="766"/>
      <c r="QD184" s="766"/>
      <c r="QE184" s="766"/>
      <c r="QF184" s="766"/>
      <c r="QG184" s="766"/>
      <c r="QH184" s="766"/>
      <c r="QI184" s="766"/>
      <c r="QJ184" s="766"/>
      <c r="QK184" s="766"/>
      <c r="QL184" s="766"/>
      <c r="QM184" s="766"/>
      <c r="QN184" s="766"/>
      <c r="QO184" s="766"/>
      <c r="QP184" s="766"/>
      <c r="QQ184" s="766"/>
      <c r="QR184" s="766"/>
      <c r="QS184" s="766"/>
      <c r="QT184" s="766"/>
      <c r="QU184" s="766"/>
      <c r="QV184" s="766"/>
      <c r="QW184" s="766"/>
      <c r="QX184" s="766"/>
      <c r="QY184" s="766"/>
      <c r="QZ184" s="766"/>
      <c r="RA184" s="766"/>
      <c r="RB184" s="770" t="s">
        <v>1207</v>
      </c>
      <c r="RC184" s="766">
        <v>2012</v>
      </c>
      <c r="RD184" s="766" t="s">
        <v>13251</v>
      </c>
      <c r="RE184" s="766"/>
      <c r="RF184" s="777">
        <f>CONVERT(2,"ft","m")</f>
        <v>0.60960000000000003</v>
      </c>
      <c r="RG184" s="766"/>
      <c r="RH184" s="775"/>
      <c r="RI184" s="766">
        <v>12</v>
      </c>
      <c r="RJ184" s="766" t="s">
        <v>13253</v>
      </c>
      <c r="RK184" s="766" t="s">
        <v>13146</v>
      </c>
      <c r="RL184" s="1683"/>
      <c r="RM184" s="12"/>
      <c r="RN184" s="1711"/>
      <c r="RO184" s="171" t="s">
        <v>295</v>
      </c>
      <c r="RP184" s="11"/>
      <c r="RQ184" s="11"/>
      <c r="RR184" s="771"/>
      <c r="RS184" s="766"/>
      <c r="RT184" s="11"/>
      <c r="RU184" s="11"/>
      <c r="RV184" s="766" t="s">
        <v>7419</v>
      </c>
      <c r="RW184" s="11" t="s">
        <v>7529</v>
      </c>
      <c r="RX184" s="11" t="s">
        <v>290</v>
      </c>
      <c r="RY184" s="11"/>
      <c r="RZ184" s="11"/>
      <c r="SA184" s="766"/>
      <c r="SB184" s="11"/>
      <c r="SC184" s="11"/>
    </row>
    <row r="185" spans="1:497" ht="12.75" hidden="1" customHeight="1">
      <c r="A185" s="154" t="s">
        <v>7419</v>
      </c>
      <c r="B185" s="288" t="s">
        <v>7532</v>
      </c>
      <c r="C185" s="171" t="s">
        <v>296</v>
      </c>
      <c r="D185" s="14" t="s">
        <v>297</v>
      </c>
      <c r="E185" s="766" t="s">
        <v>7922</v>
      </c>
      <c r="F185" s="766" t="s">
        <v>28</v>
      </c>
      <c r="G185" s="766" t="s">
        <v>18</v>
      </c>
      <c r="H185" s="766"/>
      <c r="I185" s="5" t="s">
        <v>298</v>
      </c>
      <c r="J185" s="766" t="s">
        <v>299</v>
      </c>
      <c r="K185" s="766" t="s">
        <v>300</v>
      </c>
      <c r="L185" s="766" t="s">
        <v>293</v>
      </c>
      <c r="M185" s="766"/>
      <c r="N185" s="766" t="s">
        <v>12186</v>
      </c>
      <c r="O185" s="766" t="s">
        <v>12190</v>
      </c>
      <c r="P185" s="14" t="s">
        <v>863</v>
      </c>
      <c r="Q185" s="1085">
        <v>25127</v>
      </c>
      <c r="R185" s="25">
        <v>48</v>
      </c>
      <c r="S185" s="766" t="s">
        <v>18</v>
      </c>
      <c r="T185" s="766"/>
      <c r="U185" s="26" t="s">
        <v>298</v>
      </c>
      <c r="V185" s="766" t="s">
        <v>719</v>
      </c>
      <c r="W185" s="766"/>
      <c r="X185" s="766"/>
      <c r="Y185" s="766" t="s">
        <v>864</v>
      </c>
      <c r="Z185" s="766" t="s">
        <v>708</v>
      </c>
      <c r="AA185" s="766" t="s">
        <v>865</v>
      </c>
      <c r="AB185" s="766" t="s">
        <v>710</v>
      </c>
      <c r="AC185" s="766"/>
      <c r="AD185" s="766" t="s">
        <v>711</v>
      </c>
      <c r="AE185" s="766" t="s">
        <v>866</v>
      </c>
      <c r="AF185" s="766"/>
      <c r="AG185" s="766" t="s">
        <v>1095</v>
      </c>
      <c r="AH185" s="766" t="s">
        <v>1096</v>
      </c>
      <c r="AI185" s="766" t="s">
        <v>1152</v>
      </c>
      <c r="AJ185" s="766"/>
      <c r="AK185" s="766" t="s">
        <v>1097</v>
      </c>
      <c r="AL185" s="121">
        <v>14.7</v>
      </c>
      <c r="AM185" s="772">
        <v>14.7</v>
      </c>
      <c r="AN185" s="774">
        <f>AM185/AL185</f>
        <v>1</v>
      </c>
      <c r="AO185" s="766" t="s">
        <v>1113</v>
      </c>
      <c r="AP185" s="766"/>
      <c r="AQ185" s="766"/>
      <c r="AR185" s="766"/>
      <c r="AS185" s="766" t="s">
        <v>1207</v>
      </c>
      <c r="AT185" s="766" t="s">
        <v>1208</v>
      </c>
      <c r="AU185" s="766"/>
      <c r="AV185" s="766"/>
      <c r="AW185" s="766"/>
      <c r="AX185" s="766"/>
      <c r="AY185" s="766"/>
      <c r="AZ185" s="766"/>
      <c r="BA185" s="766"/>
      <c r="BB185" s="766"/>
      <c r="BC185" s="766" t="s">
        <v>796</v>
      </c>
      <c r="BD185" s="766" t="s">
        <v>1207</v>
      </c>
      <c r="BE185" s="766"/>
      <c r="BF185" s="775"/>
      <c r="BG185" s="775"/>
      <c r="BH185" s="766"/>
      <c r="BI185" s="766"/>
      <c r="BJ185" s="766"/>
      <c r="BK185" s="766" t="s">
        <v>1095</v>
      </c>
      <c r="BL185" s="766" t="s">
        <v>1318</v>
      </c>
      <c r="BM185" s="766" t="s">
        <v>1096</v>
      </c>
      <c r="BN185" s="766" t="s">
        <v>1230</v>
      </c>
      <c r="BO185" s="766" t="s">
        <v>1239</v>
      </c>
      <c r="BP185" s="776">
        <v>29.4</v>
      </c>
      <c r="BQ185" s="772">
        <v>29.4</v>
      </c>
      <c r="BR185" s="774">
        <f>BQ185/BP185</f>
        <v>1</v>
      </c>
      <c r="BS185" s="766" t="s">
        <v>1257</v>
      </c>
      <c r="BT185" s="766" t="s">
        <v>2040</v>
      </c>
      <c r="BU185" s="766" t="s">
        <v>1249</v>
      </c>
      <c r="BV185" s="766" t="s">
        <v>1247</v>
      </c>
      <c r="BW185" s="766">
        <v>1990</v>
      </c>
      <c r="BX185" s="779"/>
      <c r="BY185" s="766"/>
      <c r="BZ185" s="775"/>
      <c r="CA185" s="766"/>
      <c r="CB185" s="766"/>
      <c r="CC185" s="766"/>
      <c r="CD185" s="766"/>
      <c r="CE185" s="766"/>
      <c r="CF185" s="777"/>
      <c r="CG185" s="778"/>
      <c r="CH185" s="766"/>
      <c r="CI185" s="766"/>
      <c r="CJ185" s="766"/>
      <c r="CK185" s="766"/>
      <c r="CL185" s="766"/>
      <c r="CM185" s="766"/>
      <c r="CN185" s="766"/>
      <c r="CO185" s="766"/>
      <c r="CP185" s="766"/>
      <c r="CQ185" s="766"/>
      <c r="CR185" s="775"/>
      <c r="CS185" s="766"/>
      <c r="CT185" s="766"/>
      <c r="CU185" s="129"/>
      <c r="CV185" s="766"/>
      <c r="CW185" s="766"/>
      <c r="CX185" s="766"/>
      <c r="CY185" s="766"/>
      <c r="CZ185" s="766"/>
      <c r="DA185" s="766"/>
      <c r="DB185" s="766"/>
      <c r="DC185" s="766"/>
      <c r="DD185" s="766"/>
      <c r="DE185" s="766"/>
      <c r="DF185" s="766"/>
      <c r="DG185" s="766"/>
      <c r="DH185" s="766"/>
      <c r="DI185" s="766"/>
      <c r="DJ185" s="766"/>
      <c r="DK185" s="766"/>
      <c r="DL185" s="766"/>
      <c r="DM185" s="766"/>
      <c r="DN185" s="766"/>
      <c r="DO185" s="766"/>
      <c r="DP185" s="766"/>
      <c r="DQ185" s="766"/>
      <c r="DR185" s="766"/>
      <c r="DS185" s="59"/>
      <c r="DT185" s="766"/>
      <c r="DU185" s="766"/>
      <c r="DV185" s="766"/>
      <c r="DW185" s="66"/>
      <c r="DX185" s="66"/>
      <c r="DY185" s="766"/>
      <c r="DZ185" s="766"/>
      <c r="EA185" s="766"/>
      <c r="EB185" s="766"/>
      <c r="EC185" s="766"/>
      <c r="ED185" s="766"/>
      <c r="EE185" s="766"/>
      <c r="EF185" s="766"/>
      <c r="EG185" s="766"/>
      <c r="EH185" s="766"/>
      <c r="EI185" s="766"/>
      <c r="EJ185" s="766"/>
      <c r="EK185" s="766"/>
      <c r="EL185" s="766"/>
      <c r="EM185" s="766"/>
      <c r="EN185" s="766"/>
      <c r="EO185" s="766"/>
      <c r="EP185" s="766"/>
      <c r="EQ185" s="766"/>
      <c r="ER185" s="766"/>
      <c r="ES185" s="766"/>
      <c r="ET185" s="766"/>
      <c r="EU185" s="766"/>
      <c r="EV185" s="766"/>
      <c r="EW185" s="766"/>
      <c r="EX185" s="766"/>
      <c r="EY185" s="766"/>
      <c r="EZ185" s="766"/>
      <c r="FA185" s="766"/>
      <c r="FB185" s="766"/>
      <c r="FC185" s="766"/>
      <c r="FD185" s="775"/>
      <c r="FE185" s="766"/>
      <c r="FF185" s="766"/>
      <c r="FG185" s="766"/>
      <c r="FH185" s="766" t="s">
        <v>478</v>
      </c>
      <c r="FI185" s="766">
        <v>1</v>
      </c>
      <c r="FJ185" s="766" t="s">
        <v>1622</v>
      </c>
      <c r="FK185" s="766"/>
      <c r="FL185" s="766"/>
      <c r="FM185" s="775"/>
      <c r="FN185" s="775"/>
      <c r="FO185" s="775"/>
      <c r="FP185" s="766" t="s">
        <v>1602</v>
      </c>
      <c r="FQ185" s="766" t="s">
        <v>1660</v>
      </c>
      <c r="FR185" s="766" t="s">
        <v>1207</v>
      </c>
      <c r="FS185" s="766" t="s">
        <v>1208</v>
      </c>
      <c r="FT185" s="766"/>
      <c r="FU185" s="766"/>
      <c r="FV185" s="766"/>
      <c r="FW185" s="766"/>
      <c r="FX185" s="766"/>
      <c r="FY185" s="766"/>
      <c r="FZ185" s="766"/>
      <c r="GA185" s="766"/>
      <c r="GB185" s="766" t="s">
        <v>796</v>
      </c>
      <c r="GC185" s="75" t="s">
        <v>1622</v>
      </c>
      <c r="GD185" s="25">
        <v>2010</v>
      </c>
      <c r="GE185" s="766" t="s">
        <v>1698</v>
      </c>
      <c r="GF185" s="775"/>
      <c r="GG185" s="775"/>
      <c r="GH185" s="766"/>
      <c r="GI185" s="766"/>
      <c r="GJ185" s="766"/>
      <c r="GK185" s="766"/>
      <c r="GL185" s="766"/>
      <c r="GM185" s="766"/>
      <c r="GN185" s="82"/>
      <c r="GO185" s="766"/>
      <c r="GP185" s="766"/>
      <c r="GQ185" s="766"/>
      <c r="GR185" s="766"/>
      <c r="GS185" s="766"/>
      <c r="GT185" s="766"/>
      <c r="GU185" s="766"/>
      <c r="GV185" s="766"/>
      <c r="GW185" s="766"/>
      <c r="GX185" s="766"/>
      <c r="GY185" s="766"/>
      <c r="GZ185" s="766"/>
      <c r="HA185" s="766"/>
      <c r="HB185" s="766"/>
      <c r="HC185" s="766"/>
      <c r="HD185" s="766"/>
      <c r="HE185" s="766"/>
      <c r="HF185" s="766"/>
      <c r="HG185" s="766"/>
      <c r="HH185" s="766"/>
      <c r="HI185" s="766"/>
      <c r="HJ185" s="766"/>
      <c r="HK185" s="766"/>
      <c r="HL185" s="766"/>
      <c r="HM185" s="766"/>
      <c r="HN185" s="766"/>
      <c r="HO185" s="766"/>
      <c r="HP185" s="766"/>
      <c r="HQ185" s="766"/>
      <c r="HR185" s="766"/>
      <c r="HS185" s="766"/>
      <c r="HT185" s="766"/>
      <c r="HU185" s="766"/>
      <c r="HV185" s="766"/>
      <c r="HW185" s="766"/>
      <c r="HX185" s="766"/>
      <c r="HY185" s="766"/>
      <c r="HZ185" s="766"/>
      <c r="IA185" s="766"/>
      <c r="IB185" s="14" t="e">
        <f>IF(#REF!&gt;0,IF(#REF!&lt;=10000,"Y",""),"")</f>
        <v>#REF!</v>
      </c>
      <c r="IC185" s="766" t="s">
        <v>1207</v>
      </c>
      <c r="ID185" s="766"/>
      <c r="IE185" s="766"/>
      <c r="IF185" s="766"/>
      <c r="IG185" s="766"/>
      <c r="IH185" s="766"/>
      <c r="II185" s="766"/>
      <c r="IJ185" s="766"/>
      <c r="IK185" s="766"/>
      <c r="IL185" s="766"/>
      <c r="IM185" s="766"/>
      <c r="IN185" s="766"/>
      <c r="IO185" s="24"/>
      <c r="IP185" s="766"/>
      <c r="IQ185" s="766"/>
      <c r="IR185" s="766"/>
      <c r="IS185" s="766"/>
      <c r="IT185" s="766"/>
      <c r="IU185" s="766"/>
      <c r="IV185" s="766"/>
      <c r="IW185" s="766"/>
      <c r="IX185" s="766"/>
      <c r="IY185" s="766"/>
      <c r="IZ185" s="766"/>
      <c r="JA185" s="766"/>
      <c r="JB185" s="766"/>
      <c r="JC185" s="766"/>
      <c r="JD185" s="775"/>
      <c r="JE185" s="766"/>
      <c r="JF185" s="766"/>
      <c r="JG185" s="766"/>
      <c r="JH185" s="766"/>
      <c r="JI185" s="766"/>
      <c r="JJ185" s="766">
        <v>7</v>
      </c>
      <c r="JK185" s="1139" t="s">
        <v>2072</v>
      </c>
      <c r="JL185" s="766">
        <v>1</v>
      </c>
      <c r="JM185" s="766">
        <v>1</v>
      </c>
      <c r="JN185" s="766">
        <v>2</v>
      </c>
      <c r="JO185" s="766">
        <v>3</v>
      </c>
      <c r="JP185" s="766"/>
      <c r="JQ185" s="766"/>
      <c r="JR185" s="766"/>
      <c r="JS185" s="766"/>
      <c r="JT185" s="766">
        <f t="shared" si="44"/>
        <v>3</v>
      </c>
      <c r="JU185" s="766">
        <f t="shared" si="44"/>
        <v>4</v>
      </c>
      <c r="JV185" s="712" t="str">
        <f>IF(JT185=KJ185,"ok","male")</f>
        <v>ok</v>
      </c>
      <c r="JW185" s="712" t="str">
        <f>IF(JU185=KK185,"ok","female")</f>
        <v>ok</v>
      </c>
      <c r="JX185" s="766"/>
      <c r="JY185" s="766"/>
      <c r="JZ185" s="766">
        <v>1</v>
      </c>
      <c r="KA185" s="766">
        <v>1</v>
      </c>
      <c r="KB185" s="766">
        <v>2</v>
      </c>
      <c r="KC185" s="766">
        <v>2</v>
      </c>
      <c r="KD185" s="766"/>
      <c r="KE185" s="766">
        <v>1</v>
      </c>
      <c r="KF185" s="766"/>
      <c r="KG185" s="766"/>
      <c r="KH185" s="766"/>
      <c r="KI185" s="766"/>
      <c r="KJ185" s="770">
        <f t="shared" si="38"/>
        <v>3</v>
      </c>
      <c r="KK185" s="770">
        <f t="shared" si="38"/>
        <v>4</v>
      </c>
      <c r="KL185" s="712" t="str">
        <f>IF(KJ185=LN185,"ok","male")</f>
        <v>ok</v>
      </c>
      <c r="KM185" s="712" t="str">
        <f>IF(KK185=LO185,"ok","female")</f>
        <v>ok</v>
      </c>
      <c r="KN185" s="766" t="s">
        <v>719</v>
      </c>
      <c r="KO185" s="766"/>
      <c r="KP185" s="766"/>
      <c r="KQ185" s="766"/>
      <c r="KR185" s="766"/>
      <c r="KS185" s="766"/>
      <c r="KT185" s="766">
        <v>1</v>
      </c>
      <c r="KU185" s="766">
        <v>1</v>
      </c>
      <c r="KV185" s="766"/>
      <c r="KW185" s="766"/>
      <c r="KX185" s="766"/>
      <c r="KY185" s="766">
        <v>1</v>
      </c>
      <c r="KZ185" s="766">
        <v>1</v>
      </c>
      <c r="LA185" s="766"/>
      <c r="LB185" s="766">
        <v>1</v>
      </c>
      <c r="LC185" s="766">
        <v>2</v>
      </c>
      <c r="LD185" s="766"/>
      <c r="LE185" s="766"/>
      <c r="LF185" s="766"/>
      <c r="LG185" s="766"/>
      <c r="LH185" s="766"/>
      <c r="LI185" s="766"/>
      <c r="LJ185" s="766"/>
      <c r="LK185" s="766"/>
      <c r="LL185" s="766"/>
      <c r="LM185" s="766"/>
      <c r="LN185" s="766">
        <f t="shared" si="39"/>
        <v>3</v>
      </c>
      <c r="LO185" s="766">
        <f t="shared" si="39"/>
        <v>4</v>
      </c>
      <c r="LP185" s="766">
        <v>4</v>
      </c>
      <c r="LQ185" s="766">
        <v>3</v>
      </c>
      <c r="LR185" s="766"/>
      <c r="LS185" s="766">
        <v>1</v>
      </c>
      <c r="LT185" s="712" t="str">
        <f>IF(LQ185=SUM(LU185:LW185),"OK","REV")</f>
        <v>OK</v>
      </c>
      <c r="LU185" s="766">
        <v>1</v>
      </c>
      <c r="LV185" s="766">
        <v>2</v>
      </c>
      <c r="LW185" s="766" t="s">
        <v>110</v>
      </c>
      <c r="LX185" s="769">
        <v>0</v>
      </c>
      <c r="LY185" s="766">
        <f t="shared" si="43"/>
        <v>0</v>
      </c>
      <c r="LZ185" s="66">
        <v>10500</v>
      </c>
      <c r="MA185" s="766"/>
      <c r="MB185" s="766"/>
      <c r="MC185" s="1679">
        <f t="shared" si="41"/>
        <v>10500</v>
      </c>
      <c r="MD185" s="66">
        <v>39000</v>
      </c>
      <c r="ME185" s="66"/>
      <c r="MF185" s="66">
        <v>3000</v>
      </c>
      <c r="MG185" s="1680">
        <f>SUM(MD185:MF185)</f>
        <v>42000</v>
      </c>
      <c r="MH185" s="766"/>
      <c r="MI185" s="775">
        <v>15000</v>
      </c>
      <c r="MJ185" s="775">
        <v>10000</v>
      </c>
      <c r="MK185" s="775">
        <f>QUOTIENT(1000,12)</f>
        <v>83</v>
      </c>
      <c r="ML185" s="775">
        <v>500</v>
      </c>
      <c r="MM185" s="775">
        <v>1800</v>
      </c>
      <c r="MN185" s="775"/>
      <c r="MO185" s="775">
        <v>1500</v>
      </c>
      <c r="MP185" s="775">
        <v>1700</v>
      </c>
      <c r="MQ185" s="775">
        <v>600</v>
      </c>
      <c r="MR185" s="775">
        <v>700</v>
      </c>
      <c r="MS185" s="775">
        <v>500</v>
      </c>
      <c r="MT185" s="775"/>
      <c r="MU185" s="775"/>
      <c r="MV185" s="775"/>
      <c r="MW185" s="775"/>
      <c r="MX185" s="775"/>
      <c r="MY185" s="1682">
        <f t="shared" si="35"/>
        <v>32383</v>
      </c>
      <c r="MZ185" s="766" t="s">
        <v>13004</v>
      </c>
      <c r="NA185" s="766" t="s">
        <v>13005</v>
      </c>
      <c r="NB185" s="766" t="s">
        <v>13006</v>
      </c>
      <c r="NC185" s="766" t="s">
        <v>13007</v>
      </c>
      <c r="ND185" s="766">
        <v>1</v>
      </c>
      <c r="NE185" s="766">
        <v>1</v>
      </c>
      <c r="NF185" s="766">
        <v>1</v>
      </c>
      <c r="NG185" s="766">
        <v>3</v>
      </c>
      <c r="NH185" s="766">
        <v>1</v>
      </c>
      <c r="NI185" s="766">
        <v>0</v>
      </c>
      <c r="NJ185" s="766">
        <v>0</v>
      </c>
      <c r="NK185" s="766">
        <v>0</v>
      </c>
      <c r="NL185" s="766">
        <v>0</v>
      </c>
      <c r="NM185" s="766">
        <v>0</v>
      </c>
      <c r="NN185" s="766">
        <v>1</v>
      </c>
      <c r="NO185" s="766">
        <v>0</v>
      </c>
      <c r="NP185" s="766">
        <v>0</v>
      </c>
      <c r="NQ185" s="766">
        <v>1</v>
      </c>
      <c r="NR185" s="766">
        <v>0</v>
      </c>
      <c r="NS185" s="766">
        <v>0</v>
      </c>
      <c r="NT185" s="766">
        <v>0</v>
      </c>
      <c r="NU185" s="766">
        <v>0</v>
      </c>
      <c r="NV185" s="766">
        <v>0</v>
      </c>
      <c r="NW185" s="766">
        <v>1</v>
      </c>
      <c r="NX185" s="766">
        <v>0</v>
      </c>
      <c r="NY185" s="766" t="s">
        <v>1208</v>
      </c>
      <c r="NZ185" s="766" t="s">
        <v>1208</v>
      </c>
      <c r="OA185" s="766" t="s">
        <v>1208</v>
      </c>
      <c r="OB185" s="766" t="s">
        <v>1208</v>
      </c>
      <c r="OC185" s="766" t="s">
        <v>1208</v>
      </c>
      <c r="OD185" s="766"/>
      <c r="OE185" s="766"/>
      <c r="OF185" s="766"/>
      <c r="OG185" s="766"/>
      <c r="OH185" s="766"/>
      <c r="OI185" s="766"/>
      <c r="OJ185" s="766"/>
      <c r="OK185" s="76"/>
      <c r="OL185" s="766"/>
      <c r="OM185" s="766"/>
      <c r="ON185" s="766"/>
      <c r="OO185" s="766"/>
      <c r="OP185" s="766"/>
      <c r="OQ185" s="766"/>
      <c r="OR185" s="766"/>
      <c r="OS185" s="766"/>
      <c r="OT185" s="766"/>
      <c r="OU185" s="766"/>
      <c r="OV185" s="766"/>
      <c r="OW185" s="766"/>
      <c r="OX185" s="766"/>
      <c r="OY185" s="766"/>
      <c r="OZ185" s="766"/>
      <c r="PA185" s="766"/>
      <c r="PB185" s="766"/>
      <c r="PC185" s="766"/>
      <c r="PD185" s="766"/>
      <c r="PE185" s="766"/>
      <c r="PF185" s="766"/>
      <c r="PG185" s="766"/>
      <c r="PH185" s="766"/>
      <c r="PI185" s="766"/>
      <c r="PJ185" s="766"/>
      <c r="PK185" s="766"/>
      <c r="PL185" s="766"/>
      <c r="PM185" s="766"/>
      <c r="PN185" s="766"/>
      <c r="PO185" s="766"/>
      <c r="PP185" s="766"/>
      <c r="PQ185" s="766"/>
      <c r="PR185" s="766" t="s">
        <v>1208</v>
      </c>
      <c r="PS185" s="766" t="s">
        <v>1208</v>
      </c>
      <c r="PT185" s="766" t="s">
        <v>1208</v>
      </c>
      <c r="PU185" s="766"/>
      <c r="PV185" s="766"/>
      <c r="PW185" s="766"/>
      <c r="PX185" s="766"/>
      <c r="PY185" s="766"/>
      <c r="PZ185" s="766"/>
      <c r="QA185" s="766"/>
      <c r="QB185" s="766"/>
      <c r="QC185" s="766"/>
      <c r="QD185" s="766"/>
      <c r="QE185" s="766"/>
      <c r="QF185" s="766"/>
      <c r="QG185" s="766"/>
      <c r="QH185" s="766"/>
      <c r="QI185" s="766"/>
      <c r="QJ185" s="766"/>
      <c r="QK185" s="766"/>
      <c r="QL185" s="766"/>
      <c r="QM185" s="766"/>
      <c r="QN185" s="766"/>
      <c r="QO185" s="766"/>
      <c r="QP185" s="766"/>
      <c r="QQ185" s="766"/>
      <c r="QR185" s="766"/>
      <c r="QS185" s="766"/>
      <c r="QT185" s="766"/>
      <c r="QU185" s="766"/>
      <c r="QV185" s="766"/>
      <c r="QW185" s="766"/>
      <c r="QX185" s="766"/>
      <c r="QY185" s="766"/>
      <c r="QZ185" s="766"/>
      <c r="RA185" s="766"/>
      <c r="RB185" s="766"/>
      <c r="RC185" s="766"/>
      <c r="RD185" s="766"/>
      <c r="RE185" s="766"/>
      <c r="RF185" s="777"/>
      <c r="RG185" s="766"/>
      <c r="RH185" s="775"/>
      <c r="RI185" s="766"/>
      <c r="RJ185" s="766" t="s">
        <v>2072</v>
      </c>
      <c r="RK185" s="766" t="s">
        <v>13146</v>
      </c>
      <c r="RL185" s="1683"/>
      <c r="RM185" s="12"/>
      <c r="RN185" s="1711"/>
      <c r="RO185" s="171" t="s">
        <v>296</v>
      </c>
      <c r="RP185" s="11"/>
      <c r="RQ185" s="11"/>
      <c r="RR185" s="154" t="s">
        <v>7419</v>
      </c>
      <c r="RS185" s="1139" t="s">
        <v>12980</v>
      </c>
      <c r="RT185" s="11"/>
      <c r="RU185" s="11"/>
      <c r="RV185" s="766" t="s">
        <v>12442</v>
      </c>
      <c r="RW185" s="11" t="s">
        <v>7530</v>
      </c>
      <c r="RX185" s="11" t="s">
        <v>294</v>
      </c>
      <c r="RY185" s="11"/>
      <c r="RZ185" s="11" t="s">
        <v>7419</v>
      </c>
      <c r="SA185" s="766"/>
      <c r="SB185" s="11"/>
      <c r="SC185" s="11"/>
    </row>
    <row r="186" spans="1:497" ht="12.75" hidden="1" customHeight="1">
      <c r="A186" s="767" t="s">
        <v>11146</v>
      </c>
      <c r="B186" s="292" t="s">
        <v>7959</v>
      </c>
      <c r="C186" s="171" t="s">
        <v>306</v>
      </c>
      <c r="D186" s="14" t="s">
        <v>302</v>
      </c>
      <c r="E186" s="766" t="s">
        <v>7923</v>
      </c>
      <c r="F186" s="766"/>
      <c r="G186" s="766"/>
      <c r="H186" s="766"/>
      <c r="I186" s="5"/>
      <c r="J186" s="766"/>
      <c r="K186" s="766"/>
      <c r="L186" s="766"/>
      <c r="M186" s="766"/>
      <c r="N186" s="766"/>
      <c r="O186" s="766"/>
      <c r="P186" s="766"/>
      <c r="Q186" s="1085"/>
      <c r="R186" s="766"/>
      <c r="S186" s="766"/>
      <c r="T186" s="766"/>
      <c r="U186" s="26"/>
      <c r="V186" s="766"/>
      <c r="W186" s="766"/>
      <c r="X186" s="766"/>
      <c r="Y186" s="766"/>
      <c r="Z186" s="766"/>
      <c r="AA186" s="766"/>
      <c r="AB186" s="766"/>
      <c r="AC186" s="766"/>
      <c r="AD186" s="766"/>
      <c r="AE186" s="766"/>
      <c r="AF186" s="766"/>
      <c r="AG186" s="766" t="s">
        <v>1095</v>
      </c>
      <c r="AH186" s="766" t="s">
        <v>1096</v>
      </c>
      <c r="AI186" s="766" t="s">
        <v>1153</v>
      </c>
      <c r="AJ186" s="766"/>
      <c r="AK186" s="766" t="s">
        <v>1097</v>
      </c>
      <c r="AL186" s="121">
        <v>26.42</v>
      </c>
      <c r="AM186" s="772">
        <v>26.42</v>
      </c>
      <c r="AN186" s="774">
        <f>AM186/AL186</f>
        <v>1</v>
      </c>
      <c r="AO186" s="766" t="s">
        <v>1113</v>
      </c>
      <c r="AP186" s="766"/>
      <c r="AQ186" s="766"/>
      <c r="AR186" s="766"/>
      <c r="AS186" s="766" t="s">
        <v>1207</v>
      </c>
      <c r="AT186" s="766" t="s">
        <v>1208</v>
      </c>
      <c r="AU186" s="766"/>
      <c r="AV186" s="766"/>
      <c r="AW186" s="766"/>
      <c r="AX186" s="766"/>
      <c r="AY186" s="766"/>
      <c r="AZ186" s="766"/>
      <c r="BA186" s="766"/>
      <c r="BB186" s="766"/>
      <c r="BC186" s="766"/>
      <c r="BD186" s="766"/>
      <c r="BE186" s="766"/>
      <c r="BF186" s="775"/>
      <c r="BG186" s="775"/>
      <c r="BH186" s="766"/>
      <c r="BI186" s="766"/>
      <c r="BJ186" s="766"/>
      <c r="BK186" s="766"/>
      <c r="BL186" s="766"/>
      <c r="BM186" s="766"/>
      <c r="BN186" s="766"/>
      <c r="BO186" s="766"/>
      <c r="BP186" s="776"/>
      <c r="BQ186" s="772"/>
      <c r="BR186" s="774"/>
      <c r="BS186" s="766"/>
      <c r="BT186" s="766"/>
      <c r="BU186" s="766"/>
      <c r="BV186" s="766"/>
      <c r="BW186" s="766"/>
      <c r="BX186" s="779"/>
      <c r="BY186" s="766"/>
      <c r="BZ186" s="775"/>
      <c r="CA186" s="766"/>
      <c r="CB186" s="766"/>
      <c r="CC186" s="766"/>
      <c r="CD186" s="766"/>
      <c r="CE186" s="766"/>
      <c r="CF186" s="777"/>
      <c r="CG186" s="778"/>
      <c r="CH186" s="766"/>
      <c r="CI186" s="766"/>
      <c r="CJ186" s="766"/>
      <c r="CK186" s="766"/>
      <c r="CL186" s="766"/>
      <c r="CM186" s="766"/>
      <c r="CN186" s="766"/>
      <c r="CO186" s="766"/>
      <c r="CP186" s="766"/>
      <c r="CQ186" s="766"/>
      <c r="CR186" s="775"/>
      <c r="CS186" s="766"/>
      <c r="CT186" s="766"/>
      <c r="CU186" s="129"/>
      <c r="CV186" s="766"/>
      <c r="CW186" s="766"/>
      <c r="CX186" s="766"/>
      <c r="CY186" s="766"/>
      <c r="CZ186" s="766"/>
      <c r="DA186" s="766"/>
      <c r="DB186" s="766"/>
      <c r="DC186" s="766"/>
      <c r="DD186" s="766"/>
      <c r="DE186" s="766"/>
      <c r="DF186" s="766"/>
      <c r="DG186" s="766"/>
      <c r="DH186" s="766"/>
      <c r="DI186" s="766"/>
      <c r="DJ186" s="766"/>
      <c r="DK186" s="766"/>
      <c r="DL186" s="766"/>
      <c r="DM186" s="766"/>
      <c r="DN186" s="766"/>
      <c r="DO186" s="766"/>
      <c r="DP186" s="766"/>
      <c r="DQ186" s="766"/>
      <c r="DR186" s="766"/>
      <c r="DS186" s="59"/>
      <c r="DT186" s="766"/>
      <c r="DU186" s="766"/>
      <c r="DV186" s="766"/>
      <c r="DW186" s="66"/>
      <c r="DX186" s="66"/>
      <c r="DY186" s="766"/>
      <c r="DZ186" s="766"/>
      <c r="EA186" s="766"/>
      <c r="EB186" s="766"/>
      <c r="EC186" s="766"/>
      <c r="ED186" s="766"/>
      <c r="EE186" s="766"/>
      <c r="EF186" s="766"/>
      <c r="EG186" s="766"/>
      <c r="EH186" s="766"/>
      <c r="EI186" s="766"/>
      <c r="EJ186" s="766"/>
      <c r="EK186" s="766"/>
      <c r="EL186" s="766"/>
      <c r="EM186" s="766"/>
      <c r="EN186" s="766"/>
      <c r="EO186" s="766"/>
      <c r="EP186" s="766"/>
      <c r="EQ186" s="766"/>
      <c r="ER186" s="766"/>
      <c r="ES186" s="766"/>
      <c r="ET186" s="766"/>
      <c r="EU186" s="766"/>
      <c r="EV186" s="766"/>
      <c r="EW186" s="766"/>
      <c r="EX186" s="766"/>
      <c r="EY186" s="766"/>
      <c r="EZ186" s="766"/>
      <c r="FA186" s="766"/>
      <c r="FB186" s="766"/>
      <c r="FC186" s="766"/>
      <c r="FD186" s="775"/>
      <c r="FE186" s="766"/>
      <c r="FF186" s="766"/>
      <c r="FG186" s="766"/>
      <c r="FH186" s="766"/>
      <c r="FI186" s="766"/>
      <c r="FJ186" s="766"/>
      <c r="FK186" s="766"/>
      <c r="FL186" s="766"/>
      <c r="FM186" s="775"/>
      <c r="FN186" s="775"/>
      <c r="FO186" s="775"/>
      <c r="FP186" s="766"/>
      <c r="FQ186" s="766"/>
      <c r="FR186" s="766"/>
      <c r="FS186" s="766"/>
      <c r="FT186" s="766"/>
      <c r="FU186" s="766"/>
      <c r="FV186" s="766"/>
      <c r="FW186" s="766"/>
      <c r="FX186" s="766"/>
      <c r="FY186" s="766"/>
      <c r="FZ186" s="766"/>
      <c r="GA186" s="766"/>
      <c r="GB186" s="766"/>
      <c r="GC186" s="75"/>
      <c r="GD186" s="25"/>
      <c r="GE186" s="766"/>
      <c r="GF186" s="775"/>
      <c r="GG186" s="775"/>
      <c r="GH186" s="766"/>
      <c r="GI186" s="766"/>
      <c r="GJ186" s="766"/>
      <c r="GK186" s="766"/>
      <c r="GL186" s="766"/>
      <c r="GM186" s="766"/>
      <c r="GN186" s="82"/>
      <c r="GO186" s="766"/>
      <c r="GP186" s="766"/>
      <c r="GQ186" s="766"/>
      <c r="GR186" s="766"/>
      <c r="GS186" s="766"/>
      <c r="GT186" s="766"/>
      <c r="GU186" s="766"/>
      <c r="GV186" s="766"/>
      <c r="GW186" s="766"/>
      <c r="GX186" s="766"/>
      <c r="GY186" s="766"/>
      <c r="GZ186" s="766"/>
      <c r="HA186" s="766"/>
      <c r="HB186" s="766"/>
      <c r="HC186" s="766"/>
      <c r="HD186" s="766"/>
      <c r="HE186" s="766"/>
      <c r="HF186" s="766"/>
      <c r="HG186" s="766"/>
      <c r="HH186" s="766"/>
      <c r="HI186" s="766"/>
      <c r="HJ186" s="766"/>
      <c r="HK186" s="766"/>
      <c r="HL186" s="766"/>
      <c r="HM186" s="766"/>
      <c r="HN186" s="766"/>
      <c r="HO186" s="766"/>
      <c r="HP186" s="766"/>
      <c r="HQ186" s="766"/>
      <c r="HR186" s="766"/>
      <c r="HS186" s="766"/>
      <c r="HT186" s="766"/>
      <c r="HU186" s="766"/>
      <c r="HV186" s="766"/>
      <c r="HW186" s="766"/>
      <c r="HX186" s="766"/>
      <c r="HY186" s="766"/>
      <c r="HZ186" s="766"/>
      <c r="IA186" s="766"/>
      <c r="IB186" s="766"/>
      <c r="IC186" s="766"/>
      <c r="ID186" s="766"/>
      <c r="IE186" s="766"/>
      <c r="IF186" s="766"/>
      <c r="IG186" s="766"/>
      <c r="IH186" s="766"/>
      <c r="II186" s="766"/>
      <c r="IJ186" s="766"/>
      <c r="IK186" s="766"/>
      <c r="IL186" s="766"/>
      <c r="IM186" s="766"/>
      <c r="IN186" s="766"/>
      <c r="IO186" s="24"/>
      <c r="IP186" s="766"/>
      <c r="IQ186" s="766"/>
      <c r="IR186" s="766"/>
      <c r="IS186" s="766"/>
      <c r="IT186" s="766"/>
      <c r="IU186" s="766"/>
      <c r="IV186" s="766"/>
      <c r="IW186" s="766"/>
      <c r="IX186" s="766"/>
      <c r="IY186" s="766"/>
      <c r="IZ186" s="766"/>
      <c r="JA186" s="766"/>
      <c r="JB186" s="766"/>
      <c r="JC186" s="766"/>
      <c r="JD186" s="775"/>
      <c r="JE186" s="766"/>
      <c r="JF186" s="766"/>
      <c r="JG186" s="766"/>
      <c r="JH186" s="766"/>
      <c r="JI186" s="766"/>
      <c r="JJ186" s="766"/>
      <c r="JK186" s="766"/>
      <c r="JL186" s="766"/>
      <c r="JM186" s="766"/>
      <c r="JN186" s="766"/>
      <c r="JO186" s="766"/>
      <c r="JP186" s="766"/>
      <c r="JQ186" s="766"/>
      <c r="JR186" s="766"/>
      <c r="JS186" s="766"/>
      <c r="JT186" s="766"/>
      <c r="JU186" s="766"/>
      <c r="JV186" s="766"/>
      <c r="JW186" s="766"/>
      <c r="JX186" s="766"/>
      <c r="JY186" s="766"/>
      <c r="JZ186" s="766"/>
      <c r="KA186" s="766"/>
      <c r="KB186" s="766"/>
      <c r="KC186" s="766"/>
      <c r="KD186" s="766"/>
      <c r="KE186" s="766"/>
      <c r="KF186" s="766"/>
      <c r="KG186" s="766"/>
      <c r="KH186" s="766"/>
      <c r="KI186" s="766"/>
      <c r="KJ186" s="770"/>
      <c r="KK186" s="770"/>
      <c r="KL186" s="770"/>
      <c r="KM186" s="770"/>
      <c r="KN186" s="766"/>
      <c r="KO186" s="766"/>
      <c r="KP186" s="766"/>
      <c r="KQ186" s="766"/>
      <c r="KR186" s="766"/>
      <c r="KS186" s="766"/>
      <c r="KT186" s="766"/>
      <c r="KU186" s="766"/>
      <c r="KV186" s="766"/>
      <c r="KW186" s="766"/>
      <c r="KX186" s="766"/>
      <c r="KY186" s="766"/>
      <c r="KZ186" s="766"/>
      <c r="LA186" s="766"/>
      <c r="LB186" s="766"/>
      <c r="LC186" s="766"/>
      <c r="LD186" s="766"/>
      <c r="LE186" s="766"/>
      <c r="LF186" s="766"/>
      <c r="LG186" s="766"/>
      <c r="LH186" s="766"/>
      <c r="LI186" s="766"/>
      <c r="LJ186" s="766"/>
      <c r="LK186" s="766"/>
      <c r="LL186" s="766"/>
      <c r="LM186" s="766"/>
      <c r="LN186" s="766"/>
      <c r="LO186" s="766"/>
      <c r="LP186" s="766"/>
      <c r="LQ186" s="766"/>
      <c r="LR186" s="766"/>
      <c r="LS186" s="766"/>
      <c r="LT186" s="766"/>
      <c r="LU186" s="766"/>
      <c r="LV186" s="766"/>
      <c r="LW186" s="766"/>
      <c r="LX186" s="769"/>
      <c r="LY186" s="766" t="str">
        <f t="shared" si="43"/>
        <v/>
      </c>
      <c r="LZ186" s="66"/>
      <c r="MA186" s="766"/>
      <c r="MB186" s="766"/>
      <c r="MC186" s="1679">
        <f t="shared" si="41"/>
        <v>0</v>
      </c>
      <c r="MD186" s="66"/>
      <c r="ME186" s="66"/>
      <c r="MF186" s="66"/>
      <c r="MG186" s="1680">
        <f t="shared" si="34"/>
        <v>0</v>
      </c>
      <c r="MH186" s="766"/>
      <c r="MI186" s="775"/>
      <c r="MJ186" s="775"/>
      <c r="MK186" s="775"/>
      <c r="ML186" s="775"/>
      <c r="MM186" s="775"/>
      <c r="MN186" s="775"/>
      <c r="MO186" s="775"/>
      <c r="MP186" s="775"/>
      <c r="MQ186" s="775"/>
      <c r="MR186" s="775"/>
      <c r="MS186" s="775"/>
      <c r="MT186" s="775"/>
      <c r="MU186" s="775"/>
      <c r="MV186" s="775"/>
      <c r="MW186" s="775"/>
      <c r="MX186" s="775"/>
      <c r="MY186" s="1682">
        <f t="shared" si="35"/>
        <v>0</v>
      </c>
      <c r="MZ186" s="766"/>
      <c r="NA186" s="766"/>
      <c r="NB186" s="766"/>
      <c r="NC186" s="766"/>
      <c r="ND186" s="766"/>
      <c r="NE186" s="766"/>
      <c r="NF186" s="766"/>
      <c r="NG186" s="766"/>
      <c r="NH186" s="766"/>
      <c r="NI186" s="766"/>
      <c r="NJ186" s="766"/>
      <c r="NK186" s="766"/>
      <c r="NL186" s="766"/>
      <c r="NM186" s="766"/>
      <c r="NN186" s="766"/>
      <c r="NO186" s="766"/>
      <c r="NP186" s="766"/>
      <c r="NQ186" s="766"/>
      <c r="NR186" s="766"/>
      <c r="NS186" s="766"/>
      <c r="NT186" s="766"/>
      <c r="NU186" s="766"/>
      <c r="NV186" s="766"/>
      <c r="NW186" s="766"/>
      <c r="NX186" s="766"/>
      <c r="NY186" s="766"/>
      <c r="NZ186" s="766"/>
      <c r="OA186" s="766"/>
      <c r="OB186" s="766"/>
      <c r="OC186" s="766"/>
      <c r="OD186" s="766"/>
      <c r="OE186" s="766"/>
      <c r="OF186" s="766"/>
      <c r="OG186" s="766"/>
      <c r="OH186" s="766"/>
      <c r="OI186" s="766"/>
      <c r="OJ186" s="766"/>
      <c r="OK186" s="76"/>
      <c r="OL186" s="766"/>
      <c r="OM186" s="766"/>
      <c r="ON186" s="766"/>
      <c r="OO186" s="766"/>
      <c r="OP186" s="766"/>
      <c r="OQ186" s="766"/>
      <c r="OR186" s="766"/>
      <c r="OS186" s="766"/>
      <c r="OT186" s="766"/>
      <c r="OU186" s="766"/>
      <c r="OV186" s="766"/>
      <c r="OW186" s="766"/>
      <c r="OX186" s="766"/>
      <c r="OY186" s="766"/>
      <c r="OZ186" s="766"/>
      <c r="PA186" s="766"/>
      <c r="PB186" s="766"/>
      <c r="PC186" s="766"/>
      <c r="PD186" s="766"/>
      <c r="PE186" s="766"/>
      <c r="PF186" s="766"/>
      <c r="PG186" s="766"/>
      <c r="PH186" s="766"/>
      <c r="PI186" s="766"/>
      <c r="PJ186" s="766"/>
      <c r="PK186" s="766"/>
      <c r="PL186" s="766"/>
      <c r="PM186" s="766"/>
      <c r="PN186" s="766"/>
      <c r="PO186" s="766"/>
      <c r="PP186" s="766"/>
      <c r="PQ186" s="766"/>
      <c r="PR186" s="766"/>
      <c r="PS186" s="766"/>
      <c r="PT186" s="766"/>
      <c r="PU186" s="766"/>
      <c r="PV186" s="766"/>
      <c r="PW186" s="766"/>
      <c r="PX186" s="766"/>
      <c r="PY186" s="766"/>
      <c r="PZ186" s="766"/>
      <c r="QA186" s="766"/>
      <c r="QB186" s="766"/>
      <c r="QC186" s="766"/>
      <c r="QD186" s="766"/>
      <c r="QE186" s="766"/>
      <c r="QF186" s="766"/>
      <c r="QG186" s="766"/>
      <c r="QH186" s="766"/>
      <c r="QI186" s="766"/>
      <c r="QJ186" s="766"/>
      <c r="QK186" s="766"/>
      <c r="QL186" s="766"/>
      <c r="QM186" s="766"/>
      <c r="QN186" s="766"/>
      <c r="QO186" s="766"/>
      <c r="QP186" s="766"/>
      <c r="QQ186" s="766"/>
      <c r="QR186" s="766"/>
      <c r="QS186" s="766"/>
      <c r="QT186" s="766"/>
      <c r="QU186" s="766"/>
      <c r="QV186" s="766"/>
      <c r="QW186" s="766"/>
      <c r="QX186" s="766"/>
      <c r="QY186" s="766"/>
      <c r="QZ186" s="766"/>
      <c r="RA186" s="766"/>
      <c r="RB186" s="766"/>
      <c r="RC186" s="766"/>
      <c r="RD186" s="766"/>
      <c r="RE186" s="766"/>
      <c r="RF186" s="777"/>
      <c r="RG186" s="766"/>
      <c r="RH186" s="775"/>
      <c r="RI186" s="766"/>
      <c r="RJ186" s="766"/>
      <c r="RK186" s="766"/>
      <c r="RL186" s="1683"/>
      <c r="RM186" s="12"/>
      <c r="RN186" s="1711"/>
      <c r="RO186" s="171" t="s">
        <v>306</v>
      </c>
      <c r="RP186" s="11"/>
      <c r="RQ186" s="11"/>
      <c r="RR186" s="771"/>
      <c r="RS186" s="766"/>
      <c r="RT186" s="11"/>
      <c r="RU186" s="11"/>
      <c r="RV186" s="766" t="s">
        <v>12442</v>
      </c>
      <c r="RW186" s="11" t="s">
        <v>7531</v>
      </c>
      <c r="RX186" s="11" t="s">
        <v>295</v>
      </c>
      <c r="RY186" s="11"/>
      <c r="RZ186" s="11"/>
      <c r="SA186" s="766"/>
      <c r="SB186" s="11"/>
      <c r="SC186" s="11"/>
    </row>
    <row r="187" spans="1:497" ht="12.75" hidden="1" customHeight="1">
      <c r="A187" s="154" t="s">
        <v>12443</v>
      </c>
      <c r="B187" s="288" t="s">
        <v>7533</v>
      </c>
      <c r="C187" s="171" t="s">
        <v>301</v>
      </c>
      <c r="D187" s="14" t="s">
        <v>302</v>
      </c>
      <c r="E187" s="766" t="s">
        <v>7923</v>
      </c>
      <c r="F187" s="766" t="s">
        <v>28</v>
      </c>
      <c r="G187" s="766" t="s">
        <v>10</v>
      </c>
      <c r="H187" s="766"/>
      <c r="I187" s="5" t="s">
        <v>303</v>
      </c>
      <c r="J187" s="766" t="s">
        <v>304</v>
      </c>
      <c r="K187" s="766" t="s">
        <v>300</v>
      </c>
      <c r="L187" s="766" t="s">
        <v>305</v>
      </c>
      <c r="M187" s="766"/>
      <c r="N187" s="766" t="s">
        <v>12186</v>
      </c>
      <c r="O187" s="766" t="s">
        <v>12190</v>
      </c>
      <c r="P187" s="14" t="s">
        <v>304</v>
      </c>
      <c r="Q187" s="1085">
        <v>28782</v>
      </c>
      <c r="R187" s="25">
        <v>39</v>
      </c>
      <c r="S187" s="766" t="s">
        <v>10</v>
      </c>
      <c r="T187" s="766"/>
      <c r="U187" s="26" t="s">
        <v>303</v>
      </c>
      <c r="V187" s="766" t="s">
        <v>707</v>
      </c>
      <c r="W187" s="766"/>
      <c r="X187" s="766"/>
      <c r="Y187" s="766" t="s">
        <v>867</v>
      </c>
      <c r="Z187" s="766" t="s">
        <v>793</v>
      </c>
      <c r="AA187" s="766" t="s">
        <v>868</v>
      </c>
      <c r="AB187" s="766" t="s">
        <v>710</v>
      </c>
      <c r="AC187" s="766"/>
      <c r="AD187" s="766" t="s">
        <v>711</v>
      </c>
      <c r="AE187" s="766"/>
      <c r="AF187" s="766"/>
      <c r="AG187" s="766"/>
      <c r="AH187" s="766"/>
      <c r="AI187" s="766"/>
      <c r="AJ187" s="766"/>
      <c r="AK187" s="766" t="s">
        <v>5454</v>
      </c>
      <c r="AL187" s="761"/>
      <c r="AM187" s="761"/>
      <c r="AN187" s="761"/>
      <c r="AO187" s="12"/>
      <c r="AP187" s="766"/>
      <c r="AQ187" s="766"/>
      <c r="AR187" s="766"/>
      <c r="AS187" s="12"/>
      <c r="AT187" s="12"/>
      <c r="AU187" s="766"/>
      <c r="AV187" s="766"/>
      <c r="AW187" s="766"/>
      <c r="AX187" s="766"/>
      <c r="AY187" s="766"/>
      <c r="AZ187" s="766"/>
      <c r="BA187" s="766"/>
      <c r="BB187" s="766"/>
      <c r="BC187" s="766" t="s">
        <v>853</v>
      </c>
      <c r="BD187" s="766" t="s">
        <v>1207</v>
      </c>
      <c r="BE187" s="766"/>
      <c r="BF187" s="775"/>
      <c r="BG187" s="775"/>
      <c r="BH187" s="766"/>
      <c r="BI187" s="766"/>
      <c r="BJ187" s="766"/>
      <c r="BK187" s="766" t="s">
        <v>1095</v>
      </c>
      <c r="BL187" s="766" t="s">
        <v>304</v>
      </c>
      <c r="BM187" s="766" t="s">
        <v>1096</v>
      </c>
      <c r="BN187" s="766" t="s">
        <v>1230</v>
      </c>
      <c r="BO187" s="766" t="s">
        <v>1239</v>
      </c>
      <c r="BP187" s="776">
        <v>56.84</v>
      </c>
      <c r="BQ187" s="772">
        <v>34.799999999999997</v>
      </c>
      <c r="BR187" s="774">
        <f>BQ187/BP187</f>
        <v>0.61224489795918358</v>
      </c>
      <c r="BS187" s="766" t="s">
        <v>1105</v>
      </c>
      <c r="BT187" s="766" t="s">
        <v>2040</v>
      </c>
      <c r="BU187" s="766" t="s">
        <v>1249</v>
      </c>
      <c r="BV187" s="766" t="s">
        <v>1243</v>
      </c>
      <c r="BW187" s="766">
        <v>1994</v>
      </c>
      <c r="BX187" s="779">
        <v>100000</v>
      </c>
      <c r="BY187" s="766" t="s">
        <v>1207</v>
      </c>
      <c r="BZ187" s="775" t="s">
        <v>2257</v>
      </c>
      <c r="CA187" s="766"/>
      <c r="CB187" s="766"/>
      <c r="CC187" s="766"/>
      <c r="CD187" s="766"/>
      <c r="CE187" s="766"/>
      <c r="CF187" s="777"/>
      <c r="CG187" s="778"/>
      <c r="CH187" s="766"/>
      <c r="CI187" s="766"/>
      <c r="CJ187" s="766"/>
      <c r="CK187" s="766"/>
      <c r="CL187" s="766"/>
      <c r="CM187" s="766"/>
      <c r="CN187" s="766"/>
      <c r="CO187" s="766"/>
      <c r="CP187" s="766"/>
      <c r="CQ187" s="766"/>
      <c r="CR187" s="775"/>
      <c r="CS187" s="766"/>
      <c r="CT187" s="766"/>
      <c r="CU187" s="129"/>
      <c r="CV187" s="766"/>
      <c r="CW187" s="766"/>
      <c r="CX187" s="766"/>
      <c r="CY187" s="766"/>
      <c r="CZ187" s="766"/>
      <c r="DA187" s="766"/>
      <c r="DB187" s="766"/>
      <c r="DC187" s="766"/>
      <c r="DD187" s="766"/>
      <c r="DE187" s="766"/>
      <c r="DF187" s="766"/>
      <c r="DG187" s="766"/>
      <c r="DH187" s="766"/>
      <c r="DI187" s="766"/>
      <c r="DJ187" s="766"/>
      <c r="DK187" s="766"/>
      <c r="DL187" s="766"/>
      <c r="DM187" s="766"/>
      <c r="DN187" s="766"/>
      <c r="DO187" s="766"/>
      <c r="DP187" s="766"/>
      <c r="DQ187" s="766"/>
      <c r="DR187" s="766"/>
      <c r="DS187" s="59"/>
      <c r="DT187" s="766"/>
      <c r="DU187" s="766"/>
      <c r="DV187" s="766"/>
      <c r="DW187" s="66"/>
      <c r="DX187" s="66"/>
      <c r="DY187" s="766"/>
      <c r="DZ187" s="766"/>
      <c r="EA187" s="766"/>
      <c r="EB187" s="766"/>
      <c r="EC187" s="766"/>
      <c r="ED187" s="766"/>
      <c r="EE187" s="766"/>
      <c r="EF187" s="766"/>
      <c r="EG187" s="766"/>
      <c r="EH187" s="766"/>
      <c r="EI187" s="766"/>
      <c r="EJ187" s="766"/>
      <c r="EK187" s="766"/>
      <c r="EL187" s="766"/>
      <c r="EM187" s="766"/>
      <c r="EN187" s="766"/>
      <c r="EO187" s="766"/>
      <c r="EP187" s="766"/>
      <c r="EQ187" s="766"/>
      <c r="ER187" s="766"/>
      <c r="ES187" s="766"/>
      <c r="ET187" s="766"/>
      <c r="EU187" s="766"/>
      <c r="EV187" s="766"/>
      <c r="EW187" s="766"/>
      <c r="EX187" s="766"/>
      <c r="EY187" s="766"/>
      <c r="EZ187" s="766"/>
      <c r="FA187" s="766"/>
      <c r="FB187" s="766"/>
      <c r="FC187" s="766"/>
      <c r="FD187" s="775"/>
      <c r="FE187" s="766"/>
      <c r="FF187" s="766"/>
      <c r="FG187" s="766"/>
      <c r="FH187" s="766" t="s">
        <v>478</v>
      </c>
      <c r="FI187" s="766">
        <v>1</v>
      </c>
      <c r="FJ187" s="766" t="s">
        <v>1623</v>
      </c>
      <c r="FK187" s="766"/>
      <c r="FL187" s="766"/>
      <c r="FM187" s="775"/>
      <c r="FN187" s="775"/>
      <c r="FO187" s="775"/>
      <c r="FP187" s="766" t="s">
        <v>1602</v>
      </c>
      <c r="FQ187" s="766" t="s">
        <v>1660</v>
      </c>
      <c r="FR187" s="766"/>
      <c r="FS187" s="766"/>
      <c r="FT187" s="766"/>
      <c r="FU187" s="766"/>
      <c r="FV187" s="766"/>
      <c r="FW187" s="766"/>
      <c r="FX187" s="766"/>
      <c r="FY187" s="766"/>
      <c r="FZ187" s="766"/>
      <c r="GA187" s="766"/>
      <c r="GB187" s="766" t="s">
        <v>1731</v>
      </c>
      <c r="GC187" s="75"/>
      <c r="GD187" s="25"/>
      <c r="GE187" s="766"/>
      <c r="GF187" s="775"/>
      <c r="GG187" s="775"/>
      <c r="GH187" s="766"/>
      <c r="GI187" s="766"/>
      <c r="GJ187" s="766"/>
      <c r="GK187" s="766"/>
      <c r="GL187" s="766"/>
      <c r="GM187" s="766"/>
      <c r="GN187" s="82"/>
      <c r="GO187" s="766"/>
      <c r="GP187" s="766"/>
      <c r="GQ187" s="766"/>
      <c r="GR187" s="766"/>
      <c r="GS187" s="766"/>
      <c r="GT187" s="766"/>
      <c r="GU187" s="766"/>
      <c r="GV187" s="766"/>
      <c r="GW187" s="766"/>
      <c r="GX187" s="766"/>
      <c r="GY187" s="766"/>
      <c r="GZ187" s="766"/>
      <c r="HA187" s="766"/>
      <c r="HB187" s="766"/>
      <c r="HC187" s="766"/>
      <c r="HD187" s="766"/>
      <c r="HE187" s="766"/>
      <c r="HF187" s="766"/>
      <c r="HG187" s="766"/>
      <c r="HH187" s="766"/>
      <c r="HI187" s="766"/>
      <c r="HJ187" s="766"/>
      <c r="HK187" s="766"/>
      <c r="HL187" s="766"/>
      <c r="HM187" s="766"/>
      <c r="HN187" s="766"/>
      <c r="HO187" s="766"/>
      <c r="HP187" s="766"/>
      <c r="HQ187" s="766"/>
      <c r="HR187" s="766"/>
      <c r="HS187" s="766"/>
      <c r="HT187" s="766"/>
      <c r="HU187" s="766"/>
      <c r="HV187" s="766"/>
      <c r="HW187" s="766"/>
      <c r="HX187" s="766"/>
      <c r="HY187" s="766"/>
      <c r="HZ187" s="766"/>
      <c r="IA187" s="766"/>
      <c r="IB187" s="14" t="e">
        <f>IF(#REF!&gt;0,IF(#REF!&lt;=10000,"Y",""),"")</f>
        <v>#REF!</v>
      </c>
      <c r="IC187" s="766"/>
      <c r="ID187" s="766">
        <v>1</v>
      </c>
      <c r="IE187" s="766"/>
      <c r="IF187" s="766"/>
      <c r="IG187" s="766"/>
      <c r="IH187" s="766"/>
      <c r="II187" s="766"/>
      <c r="IJ187" s="766"/>
      <c r="IK187" s="766"/>
      <c r="IL187" s="766"/>
      <c r="IM187" s="766"/>
      <c r="IN187" s="766"/>
      <c r="IO187" s="24"/>
      <c r="IP187" s="766"/>
      <c r="IQ187" s="766"/>
      <c r="IR187" s="766"/>
      <c r="IS187" s="766"/>
      <c r="IT187" s="766"/>
      <c r="IU187" s="766"/>
      <c r="IV187" s="766"/>
      <c r="IW187" s="766"/>
      <c r="IX187" s="766"/>
      <c r="IY187" s="766"/>
      <c r="IZ187" s="766"/>
      <c r="JA187" s="766"/>
      <c r="JB187" s="766"/>
      <c r="JC187" s="766"/>
      <c r="JD187" s="775"/>
      <c r="JE187" s="766"/>
      <c r="JF187" s="766"/>
      <c r="JG187" s="766"/>
      <c r="JH187" s="766"/>
      <c r="JI187" s="766"/>
      <c r="JJ187" s="766">
        <v>6</v>
      </c>
      <c r="JK187" s="1139" t="s">
        <v>304</v>
      </c>
      <c r="JL187" s="766">
        <v>2</v>
      </c>
      <c r="JM187" s="766"/>
      <c r="JN187" s="766">
        <v>2</v>
      </c>
      <c r="JO187" s="766">
        <v>2</v>
      </c>
      <c r="JP187" s="766"/>
      <c r="JQ187" s="766"/>
      <c r="JR187" s="766"/>
      <c r="JS187" s="766"/>
      <c r="JT187" s="766">
        <f>SUM(JP187,JN187,JL187,JR187)</f>
        <v>4</v>
      </c>
      <c r="JU187" s="766">
        <f>SUM(JQ187,JO187,JM187,JS187)</f>
        <v>2</v>
      </c>
      <c r="JV187" s="712" t="str">
        <f>IF(JT187=KJ187,"ok","male")</f>
        <v>ok</v>
      </c>
      <c r="JW187" s="712" t="str">
        <f>IF(JU187=KK187,"ok","female")</f>
        <v>ok</v>
      </c>
      <c r="JX187" s="766"/>
      <c r="JY187" s="766"/>
      <c r="JZ187" s="766">
        <v>2</v>
      </c>
      <c r="KA187" s="766"/>
      <c r="KB187" s="766"/>
      <c r="KC187" s="766"/>
      <c r="KD187" s="766">
        <v>2</v>
      </c>
      <c r="KE187" s="766">
        <v>1</v>
      </c>
      <c r="KF187" s="766"/>
      <c r="KG187" s="766">
        <v>1</v>
      </c>
      <c r="KH187" s="766"/>
      <c r="KI187" s="766"/>
      <c r="KJ187" s="770">
        <f t="shared" si="38"/>
        <v>4</v>
      </c>
      <c r="KK187" s="770">
        <f t="shared" si="38"/>
        <v>2</v>
      </c>
      <c r="KL187" s="712" t="str">
        <f>IF(KJ187=LN187,"ok","male")</f>
        <v>ok</v>
      </c>
      <c r="KM187" s="712" t="str">
        <f>IF(KK187=LO187,"ok","female")</f>
        <v>ok</v>
      </c>
      <c r="KN187" s="766" t="s">
        <v>707</v>
      </c>
      <c r="KO187" s="766"/>
      <c r="KP187" s="766"/>
      <c r="KQ187" s="766"/>
      <c r="KR187" s="766"/>
      <c r="KS187" s="766"/>
      <c r="KT187" s="766">
        <v>2</v>
      </c>
      <c r="KU187" s="766">
        <v>1</v>
      </c>
      <c r="KV187" s="766"/>
      <c r="KW187" s="766"/>
      <c r="KX187" s="766"/>
      <c r="KY187" s="766"/>
      <c r="KZ187" s="766"/>
      <c r="LA187" s="766"/>
      <c r="LB187" s="766"/>
      <c r="LC187" s="766"/>
      <c r="LD187" s="766">
        <v>2</v>
      </c>
      <c r="LE187" s="766">
        <v>1</v>
      </c>
      <c r="LF187" s="766"/>
      <c r="LG187" s="766"/>
      <c r="LH187" s="766"/>
      <c r="LI187" s="766"/>
      <c r="LJ187" s="766"/>
      <c r="LK187" s="766"/>
      <c r="LL187" s="766"/>
      <c r="LM187" s="766"/>
      <c r="LN187" s="766">
        <f t="shared" si="39"/>
        <v>4</v>
      </c>
      <c r="LO187" s="766">
        <f t="shared" si="39"/>
        <v>2</v>
      </c>
      <c r="LP187" s="766">
        <v>2</v>
      </c>
      <c r="LQ187" s="766">
        <v>2</v>
      </c>
      <c r="LR187" s="766"/>
      <c r="LS187" s="766"/>
      <c r="LT187" s="712" t="str">
        <f>IF(LQ187=SUM(LU187:LW187),"OK","REV")</f>
        <v>OK</v>
      </c>
      <c r="LU187" s="766">
        <v>2</v>
      </c>
      <c r="LV187" s="766"/>
      <c r="LW187" s="766"/>
      <c r="LX187" s="769">
        <v>3</v>
      </c>
      <c r="LY187" s="766" t="str">
        <f t="shared" si="43"/>
        <v>within the PROVINCE</v>
      </c>
      <c r="LZ187" s="66"/>
      <c r="MA187" s="766"/>
      <c r="MB187" s="766"/>
      <c r="MC187" s="1679">
        <f t="shared" si="41"/>
        <v>0</v>
      </c>
      <c r="MD187" s="66">
        <v>30000</v>
      </c>
      <c r="ME187" s="66"/>
      <c r="MF187" s="66"/>
      <c r="MG187" s="1680">
        <f>SUM(MD187:MF187)</f>
        <v>30000</v>
      </c>
      <c r="MH187" s="766"/>
      <c r="MI187" s="775">
        <v>3500</v>
      </c>
      <c r="MJ187" s="775">
        <v>1500</v>
      </c>
      <c r="MK187" s="775">
        <v>1000</v>
      </c>
      <c r="ML187" s="775">
        <v>500</v>
      </c>
      <c r="MM187" s="775">
        <v>1000</v>
      </c>
      <c r="MN187" s="775"/>
      <c r="MO187" s="775">
        <v>500</v>
      </c>
      <c r="MP187" s="775">
        <v>2000</v>
      </c>
      <c r="MQ187" s="775">
        <v>800</v>
      </c>
      <c r="MR187" s="775">
        <v>500</v>
      </c>
      <c r="MS187" s="775">
        <v>1000</v>
      </c>
      <c r="MT187" s="775"/>
      <c r="MU187" s="775"/>
      <c r="MV187" s="775"/>
      <c r="MW187" s="775"/>
      <c r="MX187" s="775"/>
      <c r="MY187" s="1682">
        <f t="shared" si="35"/>
        <v>12300</v>
      </c>
      <c r="MZ187" s="766" t="s">
        <v>13004</v>
      </c>
      <c r="NA187" s="766" t="s">
        <v>13005</v>
      </c>
      <c r="NB187" s="766" t="s">
        <v>13006</v>
      </c>
      <c r="NC187" s="766" t="s">
        <v>13135</v>
      </c>
      <c r="ND187" s="766">
        <v>1</v>
      </c>
      <c r="NE187" s="766">
        <v>1</v>
      </c>
      <c r="NF187" s="766">
        <v>1</v>
      </c>
      <c r="NG187" s="766">
        <v>1</v>
      </c>
      <c r="NH187" s="766">
        <v>1</v>
      </c>
      <c r="NI187" s="766">
        <v>1</v>
      </c>
      <c r="NJ187" s="766">
        <v>1</v>
      </c>
      <c r="NK187" s="766">
        <v>0</v>
      </c>
      <c r="NL187" s="766">
        <v>1</v>
      </c>
      <c r="NM187" s="766">
        <v>0</v>
      </c>
      <c r="NN187" s="766">
        <v>0</v>
      </c>
      <c r="NO187" s="766">
        <v>0</v>
      </c>
      <c r="NP187" s="766">
        <v>0</v>
      </c>
      <c r="NQ187" s="766">
        <v>1</v>
      </c>
      <c r="NR187" s="766">
        <v>0</v>
      </c>
      <c r="NS187" s="766">
        <v>0</v>
      </c>
      <c r="NT187" s="766">
        <v>0</v>
      </c>
      <c r="NU187" s="766">
        <v>0</v>
      </c>
      <c r="NV187" s="766">
        <v>0</v>
      </c>
      <c r="NW187" s="766">
        <v>0</v>
      </c>
      <c r="NX187" s="766">
        <v>0</v>
      </c>
      <c r="NY187" s="766" t="s">
        <v>1208</v>
      </c>
      <c r="NZ187" s="766" t="s">
        <v>1208</v>
      </c>
      <c r="OA187" s="766" t="s">
        <v>1208</v>
      </c>
      <c r="OB187" s="766" t="s">
        <v>1208</v>
      </c>
      <c r="OC187" s="766" t="s">
        <v>1208</v>
      </c>
      <c r="OD187" s="766" t="s">
        <v>1208</v>
      </c>
      <c r="OE187" s="766"/>
      <c r="OF187" s="766"/>
      <c r="OG187" s="766"/>
      <c r="OH187" s="766"/>
      <c r="OI187" s="766"/>
      <c r="OJ187" s="766"/>
      <c r="OK187" s="76"/>
      <c r="OL187" s="766"/>
      <c r="OM187" s="766"/>
      <c r="ON187" s="766"/>
      <c r="OO187" s="766"/>
      <c r="OP187" s="766"/>
      <c r="OQ187" s="766"/>
      <c r="OR187" s="766"/>
      <c r="OS187" s="766"/>
      <c r="OT187" s="766"/>
      <c r="OU187" s="766"/>
      <c r="OV187" s="766"/>
      <c r="OW187" s="766"/>
      <c r="OX187" s="766"/>
      <c r="OY187" s="766"/>
      <c r="OZ187" s="766"/>
      <c r="PA187" s="766"/>
      <c r="PB187" s="766"/>
      <c r="PC187" s="766"/>
      <c r="PD187" s="766"/>
      <c r="PE187" s="766"/>
      <c r="PF187" s="766"/>
      <c r="PG187" s="766"/>
      <c r="PH187" s="766"/>
      <c r="PI187" s="766"/>
      <c r="PJ187" s="766"/>
      <c r="PK187" s="766"/>
      <c r="PL187" s="766"/>
      <c r="PM187" s="766"/>
      <c r="PN187" s="766"/>
      <c r="PO187" s="766"/>
      <c r="PP187" s="766"/>
      <c r="PQ187" s="766"/>
      <c r="PR187" s="766"/>
      <c r="PS187" s="766"/>
      <c r="PT187" s="766"/>
      <c r="PU187" s="766"/>
      <c r="PV187" s="766"/>
      <c r="PW187" s="766"/>
      <c r="PX187" s="766"/>
      <c r="PY187" s="766"/>
      <c r="PZ187" s="766"/>
      <c r="QA187" s="766"/>
      <c r="QB187" s="766"/>
      <c r="QC187" s="766"/>
      <c r="QD187" s="766"/>
      <c r="QE187" s="766"/>
      <c r="QF187" s="766"/>
      <c r="QG187" s="766"/>
      <c r="QH187" s="766"/>
      <c r="QI187" s="766"/>
      <c r="QJ187" s="766"/>
      <c r="QK187" s="766"/>
      <c r="QL187" s="766"/>
      <c r="QM187" s="766"/>
      <c r="QN187" s="766"/>
      <c r="QO187" s="766"/>
      <c r="QP187" s="766"/>
      <c r="QQ187" s="766"/>
      <c r="QR187" s="766"/>
      <c r="QS187" s="766"/>
      <c r="QT187" s="766"/>
      <c r="QU187" s="766"/>
      <c r="QV187" s="766"/>
      <c r="QW187" s="766"/>
      <c r="QX187" s="766"/>
      <c r="QY187" s="766"/>
      <c r="QZ187" s="766"/>
      <c r="RA187" s="766"/>
      <c r="RB187" s="766"/>
      <c r="RC187" s="766"/>
      <c r="RD187" s="766"/>
      <c r="RE187" s="766"/>
      <c r="RF187" s="777"/>
      <c r="RG187" s="766"/>
      <c r="RH187" s="775"/>
      <c r="RI187" s="766"/>
      <c r="RJ187" s="766" t="s">
        <v>304</v>
      </c>
      <c r="RK187" s="766" t="s">
        <v>13146</v>
      </c>
      <c r="RL187" s="1683"/>
      <c r="RM187" s="12"/>
      <c r="RN187" s="1711"/>
      <c r="RO187" s="171" t="s">
        <v>301</v>
      </c>
      <c r="RP187" s="11"/>
      <c r="RQ187" s="11"/>
      <c r="RR187" s="154" t="s">
        <v>12443</v>
      </c>
      <c r="RS187" s="1139" t="s">
        <v>12980</v>
      </c>
      <c r="RT187" s="11"/>
      <c r="RU187" s="11"/>
      <c r="RV187" s="766" t="s">
        <v>7419</v>
      </c>
      <c r="RW187" s="11" t="s">
        <v>7532</v>
      </c>
      <c r="RX187" s="11" t="s">
        <v>296</v>
      </c>
      <c r="RY187" s="11"/>
      <c r="RZ187" s="11" t="s">
        <v>7419</v>
      </c>
      <c r="SA187" s="766"/>
      <c r="SB187" s="11"/>
      <c r="SC187" s="11"/>
    </row>
    <row r="188" spans="1:497" ht="12.75" hidden="1" customHeight="1">
      <c r="A188" s="154" t="s">
        <v>7419</v>
      </c>
      <c r="B188" s="292" t="s">
        <v>7962</v>
      </c>
      <c r="C188" s="171" t="s">
        <v>307</v>
      </c>
      <c r="D188" s="766" t="s">
        <v>871</v>
      </c>
      <c r="E188" s="766" t="s">
        <v>5445</v>
      </c>
      <c r="F188" s="766"/>
      <c r="G188" s="766"/>
      <c r="H188" s="766"/>
      <c r="I188" s="5"/>
      <c r="J188" s="766"/>
      <c r="K188" s="766"/>
      <c r="L188" s="766"/>
      <c r="M188" s="766"/>
      <c r="N188" s="766"/>
      <c r="O188" s="766"/>
      <c r="P188" s="766"/>
      <c r="Q188" s="1085"/>
      <c r="R188" s="766"/>
      <c r="S188" s="766"/>
      <c r="T188" s="766"/>
      <c r="U188" s="26"/>
      <c r="V188" s="766"/>
      <c r="W188" s="766"/>
      <c r="X188" s="766"/>
      <c r="Y188" s="766"/>
      <c r="Z188" s="766"/>
      <c r="AA188" s="766"/>
      <c r="AB188" s="766"/>
      <c r="AC188" s="766"/>
      <c r="AD188" s="766"/>
      <c r="AE188" s="766"/>
      <c r="AF188" s="766"/>
      <c r="AG188" s="766" t="s">
        <v>1095</v>
      </c>
      <c r="AH188" s="766" t="s">
        <v>1096</v>
      </c>
      <c r="AI188" s="766" t="s">
        <v>1154</v>
      </c>
      <c r="AJ188" s="766"/>
      <c r="AK188" s="766" t="s">
        <v>1097</v>
      </c>
      <c r="AL188" s="333">
        <v>25.9</v>
      </c>
      <c r="AM188" s="333">
        <v>25.9</v>
      </c>
      <c r="AN188" s="774">
        <f>AM188/AL188</f>
        <v>1</v>
      </c>
      <c r="AO188" s="766" t="s">
        <v>1113</v>
      </c>
      <c r="AP188" s="766"/>
      <c r="AQ188" s="766"/>
      <c r="AR188" s="766"/>
      <c r="AS188" s="766" t="s">
        <v>1207</v>
      </c>
      <c r="AT188" s="766" t="s">
        <v>1208</v>
      </c>
      <c r="AU188" s="766"/>
      <c r="AV188" s="766"/>
      <c r="AW188" s="766"/>
      <c r="AX188" s="766"/>
      <c r="AY188" s="766"/>
      <c r="AZ188" s="766"/>
      <c r="BA188" s="766"/>
      <c r="BB188" s="766"/>
      <c r="BC188" s="766"/>
      <c r="BD188" s="766"/>
      <c r="BE188" s="766"/>
      <c r="BF188" s="775"/>
      <c r="BG188" s="775"/>
      <c r="BH188" s="766"/>
      <c r="BI188" s="766"/>
      <c r="BJ188" s="766"/>
      <c r="BK188" s="766" t="s">
        <v>1095</v>
      </c>
      <c r="BL188" s="766" t="s">
        <v>1154</v>
      </c>
      <c r="BM188" s="766" t="s">
        <v>1096</v>
      </c>
      <c r="BN188" s="766" t="s">
        <v>1230</v>
      </c>
      <c r="BO188" s="766" t="s">
        <v>1239</v>
      </c>
      <c r="BP188" s="776">
        <v>51.8</v>
      </c>
      <c r="BQ188" s="772">
        <v>51.8</v>
      </c>
      <c r="BR188" s="774">
        <f>BQ188/BP188</f>
        <v>1</v>
      </c>
      <c r="BS188" s="766" t="s">
        <v>1257</v>
      </c>
      <c r="BT188" s="766" t="s">
        <v>2040</v>
      </c>
      <c r="BU188" s="766" t="s">
        <v>1249</v>
      </c>
      <c r="BV188" s="766" t="s">
        <v>1247</v>
      </c>
      <c r="BW188" s="766">
        <v>1982</v>
      </c>
      <c r="BX188" s="779"/>
      <c r="BY188" s="766"/>
      <c r="BZ188" s="766"/>
      <c r="CA188" s="766"/>
      <c r="CB188" s="766"/>
      <c r="CC188" s="766"/>
      <c r="CD188" s="766"/>
      <c r="CE188" s="766"/>
      <c r="CF188" s="777"/>
      <c r="CG188" s="778"/>
      <c r="CH188" s="766"/>
      <c r="CI188" s="766"/>
      <c r="CJ188" s="766"/>
      <c r="CK188" s="766"/>
      <c r="CL188" s="766"/>
      <c r="CM188" s="766"/>
      <c r="CN188" s="766"/>
      <c r="CO188" s="766"/>
      <c r="CP188" s="766"/>
      <c r="CQ188" s="766"/>
      <c r="CR188" s="766"/>
      <c r="CS188" s="766"/>
      <c r="CT188" s="766"/>
      <c r="CU188" s="129"/>
      <c r="CV188" s="766"/>
      <c r="CW188" s="766"/>
      <c r="CX188" s="766"/>
      <c r="CY188" s="766"/>
      <c r="CZ188" s="766"/>
      <c r="DA188" s="766"/>
      <c r="DB188" s="766"/>
      <c r="DC188" s="766"/>
      <c r="DD188" s="766"/>
      <c r="DE188" s="766"/>
      <c r="DF188" s="766"/>
      <c r="DG188" s="766"/>
      <c r="DH188" s="766"/>
      <c r="DI188" s="766"/>
      <c r="DJ188" s="766"/>
      <c r="DK188" s="766"/>
      <c r="DL188" s="766"/>
      <c r="DM188" s="766"/>
      <c r="DN188" s="766"/>
      <c r="DO188" s="766"/>
      <c r="DP188" s="766"/>
      <c r="DQ188" s="766"/>
      <c r="DR188" s="766"/>
      <c r="DS188" s="59"/>
      <c r="DT188" s="766"/>
      <c r="DU188" s="766"/>
      <c r="DV188" s="766"/>
      <c r="DW188" s="66"/>
      <c r="DX188" s="66"/>
      <c r="DY188" s="766"/>
      <c r="DZ188" s="766"/>
      <c r="EA188" s="766"/>
      <c r="EB188" s="766"/>
      <c r="EC188" s="766"/>
      <c r="ED188" s="766"/>
      <c r="EE188" s="766"/>
      <c r="EF188" s="766"/>
      <c r="EG188" s="766"/>
      <c r="EH188" s="766"/>
      <c r="EI188" s="766"/>
      <c r="EJ188" s="766"/>
      <c r="EK188" s="766"/>
      <c r="EL188" s="766"/>
      <c r="EM188" s="766"/>
      <c r="EN188" s="766"/>
      <c r="EO188" s="766"/>
      <c r="EP188" s="766"/>
      <c r="EQ188" s="766"/>
      <c r="ER188" s="766"/>
      <c r="ES188" s="766"/>
      <c r="ET188" s="766"/>
      <c r="EU188" s="766"/>
      <c r="EV188" s="766"/>
      <c r="EW188" s="766"/>
      <c r="EX188" s="766"/>
      <c r="EY188" s="766"/>
      <c r="EZ188" s="766"/>
      <c r="FA188" s="766"/>
      <c r="FB188" s="766"/>
      <c r="FC188" s="766"/>
      <c r="FD188" s="775"/>
      <c r="FE188" s="766"/>
      <c r="FF188" s="766"/>
      <c r="FG188" s="766"/>
      <c r="FH188" s="770"/>
      <c r="FI188" s="770"/>
      <c r="FJ188" s="770"/>
      <c r="FK188" s="321"/>
      <c r="FL188" s="770"/>
      <c r="FM188" s="302"/>
      <c r="FN188" s="302"/>
      <c r="FO188" s="302"/>
      <c r="FP188" s="770"/>
      <c r="FQ188" s="770"/>
      <c r="FR188" s="766"/>
      <c r="FS188" s="766"/>
      <c r="FT188" s="766"/>
      <c r="FU188" s="766"/>
      <c r="FV188" s="766"/>
      <c r="FW188" s="766"/>
      <c r="FX188" s="766"/>
      <c r="FY188" s="766"/>
      <c r="FZ188" s="766"/>
      <c r="GA188" s="766"/>
      <c r="GB188" s="766"/>
      <c r="GC188" s="766"/>
      <c r="GD188" s="25"/>
      <c r="GE188" s="766"/>
      <c r="GF188" s="766"/>
      <c r="GG188" s="766"/>
      <c r="GH188" s="766"/>
      <c r="GI188" s="766"/>
      <c r="GJ188" s="766"/>
      <c r="GK188" s="766"/>
      <c r="GL188" s="766"/>
      <c r="GM188" s="766"/>
      <c r="GN188" s="82"/>
      <c r="GO188" s="766"/>
      <c r="GP188" s="766"/>
      <c r="GQ188" s="766"/>
      <c r="GR188" s="766"/>
      <c r="GS188" s="766"/>
      <c r="GT188" s="766"/>
      <c r="GU188" s="766"/>
      <c r="GV188" s="766"/>
      <c r="GW188" s="766"/>
      <c r="GX188" s="766"/>
      <c r="GY188" s="766"/>
      <c r="GZ188" s="766"/>
      <c r="HA188" s="766"/>
      <c r="HB188" s="766"/>
      <c r="HC188" s="766"/>
      <c r="HD188" s="766"/>
      <c r="HE188" s="766"/>
      <c r="HF188" s="766"/>
      <c r="HG188" s="766"/>
      <c r="HH188" s="766"/>
      <c r="HI188" s="766"/>
      <c r="HJ188" s="766"/>
      <c r="HK188" s="766"/>
      <c r="HL188" s="766"/>
      <c r="HM188" s="766"/>
      <c r="HN188" s="766"/>
      <c r="HO188" s="766"/>
      <c r="HP188" s="766"/>
      <c r="HQ188" s="766"/>
      <c r="HR188" s="766"/>
      <c r="HS188" s="766"/>
      <c r="HT188" s="766"/>
      <c r="HU188" s="766"/>
      <c r="HV188" s="766"/>
      <c r="HW188" s="766"/>
      <c r="HX188" s="766"/>
      <c r="HY188" s="766"/>
      <c r="HZ188" s="766"/>
      <c r="IA188" s="766"/>
      <c r="IB188" s="766"/>
      <c r="IC188" s="766"/>
      <c r="ID188" s="766"/>
      <c r="IE188" s="766"/>
      <c r="IF188" s="766"/>
      <c r="IG188" s="766"/>
      <c r="IH188" s="766"/>
      <c r="II188" s="766"/>
      <c r="IJ188" s="766"/>
      <c r="IK188" s="766"/>
      <c r="IL188" s="766"/>
      <c r="IM188" s="766"/>
      <c r="IN188" s="766"/>
      <c r="IO188" s="766"/>
      <c r="IP188" s="766"/>
      <c r="IQ188" s="766"/>
      <c r="IR188" s="766"/>
      <c r="IS188" s="766"/>
      <c r="IT188" s="766"/>
      <c r="IU188" s="766"/>
      <c r="IV188" s="766"/>
      <c r="IW188" s="766"/>
      <c r="IX188" s="766"/>
      <c r="IY188" s="766"/>
      <c r="IZ188" s="766"/>
      <c r="JA188" s="766"/>
      <c r="JB188" s="766"/>
      <c r="JC188" s="766"/>
      <c r="JD188" s="775"/>
      <c r="JE188" s="766"/>
      <c r="JF188" s="766"/>
      <c r="JG188" s="766"/>
      <c r="JH188" s="766"/>
      <c r="JI188" s="766"/>
      <c r="JJ188" s="766"/>
      <c r="JK188" s="766"/>
      <c r="JL188" s="766"/>
      <c r="JM188" s="766"/>
      <c r="JN188" s="766"/>
      <c r="JO188" s="766"/>
      <c r="JP188" s="766"/>
      <c r="JQ188" s="766"/>
      <c r="JR188" s="766"/>
      <c r="JS188" s="766"/>
      <c r="JT188" s="766"/>
      <c r="JU188" s="766"/>
      <c r="JV188" s="766"/>
      <c r="JW188" s="766"/>
      <c r="JX188" s="766"/>
      <c r="JY188" s="766"/>
      <c r="JZ188" s="766"/>
      <c r="KA188" s="766"/>
      <c r="KB188" s="766"/>
      <c r="KC188" s="766"/>
      <c r="KD188" s="766"/>
      <c r="KE188" s="766"/>
      <c r="KF188" s="766"/>
      <c r="KG188" s="766"/>
      <c r="KH188" s="766"/>
      <c r="KI188" s="766"/>
      <c r="KJ188" s="770"/>
      <c r="KK188" s="770"/>
      <c r="KL188" s="770"/>
      <c r="KM188" s="770"/>
      <c r="KN188" s="766"/>
      <c r="KO188" s="766"/>
      <c r="KP188" s="766"/>
      <c r="KQ188" s="766"/>
      <c r="KR188" s="766"/>
      <c r="KS188" s="766"/>
      <c r="KT188" s="766"/>
      <c r="KU188" s="766"/>
      <c r="KV188" s="766"/>
      <c r="KW188" s="766"/>
      <c r="KX188" s="766"/>
      <c r="KY188" s="766"/>
      <c r="KZ188" s="766"/>
      <c r="LA188" s="766"/>
      <c r="LB188" s="766"/>
      <c r="LC188" s="766"/>
      <c r="LD188" s="766"/>
      <c r="LE188" s="766"/>
      <c r="LF188" s="766"/>
      <c r="LG188" s="766"/>
      <c r="LH188" s="766"/>
      <c r="LI188" s="766"/>
      <c r="LJ188" s="766"/>
      <c r="LK188" s="766"/>
      <c r="LL188" s="766"/>
      <c r="LM188" s="766"/>
      <c r="LN188" s="766"/>
      <c r="LO188" s="766"/>
      <c r="LP188" s="766"/>
      <c r="LQ188" s="766"/>
      <c r="LR188" s="766"/>
      <c r="LS188" s="766"/>
      <c r="LT188" s="766"/>
      <c r="LU188" s="766"/>
      <c r="LV188" s="766"/>
      <c r="LW188" s="766"/>
      <c r="LX188" s="769"/>
      <c r="LY188" s="766" t="str">
        <f t="shared" si="43"/>
        <v/>
      </c>
      <c r="LZ188" s="66"/>
      <c r="MA188" s="766"/>
      <c r="MB188" s="766"/>
      <c r="MC188" s="1679">
        <f t="shared" si="41"/>
        <v>0</v>
      </c>
      <c r="MD188" s="66"/>
      <c r="ME188" s="66"/>
      <c r="MF188" s="66"/>
      <c r="MG188" s="1680">
        <f t="shared" si="34"/>
        <v>0</v>
      </c>
      <c r="MH188" s="766"/>
      <c r="MI188" s="775"/>
      <c r="MJ188" s="775"/>
      <c r="MK188" s="775"/>
      <c r="ML188" s="775"/>
      <c r="MM188" s="775"/>
      <c r="MN188" s="775"/>
      <c r="MO188" s="775"/>
      <c r="MP188" s="775"/>
      <c r="MQ188" s="775"/>
      <c r="MR188" s="775"/>
      <c r="MS188" s="775"/>
      <c r="MT188" s="775"/>
      <c r="MU188" s="775"/>
      <c r="MV188" s="775"/>
      <c r="MW188" s="775"/>
      <c r="MX188" s="775"/>
      <c r="MY188" s="1682">
        <f t="shared" si="35"/>
        <v>0</v>
      </c>
      <c r="MZ188" s="766"/>
      <c r="NA188" s="766"/>
      <c r="NB188" s="766"/>
      <c r="NC188" s="766"/>
      <c r="ND188" s="766"/>
      <c r="NE188" s="766"/>
      <c r="NF188" s="766"/>
      <c r="NG188" s="766"/>
      <c r="NH188" s="766"/>
      <c r="NI188" s="766"/>
      <c r="NJ188" s="766"/>
      <c r="NK188" s="766"/>
      <c r="NL188" s="766"/>
      <c r="NM188" s="766"/>
      <c r="NN188" s="766"/>
      <c r="NO188" s="766"/>
      <c r="NP188" s="766"/>
      <c r="NQ188" s="766"/>
      <c r="NR188" s="766"/>
      <c r="NS188" s="766"/>
      <c r="NT188" s="766"/>
      <c r="NU188" s="766"/>
      <c r="NV188" s="766"/>
      <c r="NW188" s="766"/>
      <c r="NX188" s="766"/>
      <c r="NY188" s="766"/>
      <c r="NZ188" s="766"/>
      <c r="OA188" s="766"/>
      <c r="OB188" s="766"/>
      <c r="OC188" s="766"/>
      <c r="OD188" s="766"/>
      <c r="OE188" s="766"/>
      <c r="OF188" s="766"/>
      <c r="OG188" s="766"/>
      <c r="OH188" s="766"/>
      <c r="OI188" s="766"/>
      <c r="OJ188" s="766"/>
      <c r="OK188" s="766"/>
      <c r="OL188" s="766"/>
      <c r="OM188" s="766"/>
      <c r="ON188" s="766"/>
      <c r="OO188" s="766"/>
      <c r="OP188" s="766"/>
      <c r="OQ188" s="766"/>
      <c r="OR188" s="766"/>
      <c r="OS188" s="766"/>
      <c r="OT188" s="766"/>
      <c r="OU188" s="766"/>
      <c r="OV188" s="766"/>
      <c r="OW188" s="766"/>
      <c r="OX188" s="766"/>
      <c r="OY188" s="766"/>
      <c r="OZ188" s="766"/>
      <c r="PA188" s="766"/>
      <c r="PB188" s="766"/>
      <c r="PC188" s="766"/>
      <c r="PD188" s="766"/>
      <c r="PE188" s="766"/>
      <c r="PF188" s="766"/>
      <c r="PG188" s="766"/>
      <c r="PH188" s="766"/>
      <c r="PI188" s="766"/>
      <c r="PJ188" s="766"/>
      <c r="PK188" s="766"/>
      <c r="PL188" s="766"/>
      <c r="PM188" s="766"/>
      <c r="PN188" s="766"/>
      <c r="PO188" s="766"/>
      <c r="PP188" s="766"/>
      <c r="PQ188" s="766"/>
      <c r="PR188" s="766"/>
      <c r="PS188" s="766"/>
      <c r="PT188" s="766"/>
      <c r="PU188" s="766"/>
      <c r="PV188" s="766"/>
      <c r="PW188" s="766"/>
      <c r="PX188" s="766"/>
      <c r="PY188" s="766"/>
      <c r="PZ188" s="766"/>
      <c r="QA188" s="766"/>
      <c r="QB188" s="766"/>
      <c r="QC188" s="766"/>
      <c r="QD188" s="766"/>
      <c r="QE188" s="766"/>
      <c r="QF188" s="766"/>
      <c r="QG188" s="766"/>
      <c r="QH188" s="766"/>
      <c r="QI188" s="766"/>
      <c r="QJ188" s="766"/>
      <c r="QK188" s="766"/>
      <c r="QL188" s="766"/>
      <c r="QM188" s="766"/>
      <c r="QN188" s="766"/>
      <c r="QO188" s="766"/>
      <c r="QP188" s="766"/>
      <c r="QQ188" s="766"/>
      <c r="QR188" s="766"/>
      <c r="QS188" s="766"/>
      <c r="QT188" s="766"/>
      <c r="QU188" s="766"/>
      <c r="QV188" s="766"/>
      <c r="QW188" s="766"/>
      <c r="QX188" s="766"/>
      <c r="QY188" s="766"/>
      <c r="QZ188" s="766"/>
      <c r="RA188" s="766"/>
      <c r="RB188" s="766"/>
      <c r="RC188" s="766"/>
      <c r="RD188" s="766"/>
      <c r="RE188" s="766"/>
      <c r="RF188" s="777"/>
      <c r="RG188" s="766"/>
      <c r="RH188" s="766"/>
      <c r="RI188" s="766"/>
      <c r="RJ188" s="766"/>
      <c r="RK188" s="766"/>
      <c r="RL188" s="1683"/>
      <c r="RM188" s="12"/>
      <c r="RN188" s="1711"/>
      <c r="RO188" s="171" t="s">
        <v>307</v>
      </c>
      <c r="RP188" s="11"/>
      <c r="RQ188" s="11"/>
      <c r="RR188" s="771"/>
      <c r="RS188" s="766"/>
      <c r="RT188" s="11"/>
      <c r="RU188" s="11"/>
      <c r="RV188" s="766" t="s">
        <v>11146</v>
      </c>
      <c r="RW188" s="11" t="s">
        <v>7959</v>
      </c>
      <c r="RX188" s="11" t="s">
        <v>306</v>
      </c>
      <c r="RY188" s="11"/>
      <c r="RZ188" s="11" t="s">
        <v>7419</v>
      </c>
      <c r="SA188" s="766"/>
      <c r="SB188" s="11"/>
      <c r="SC188" s="11"/>
    </row>
    <row r="189" spans="1:497" ht="12.75" hidden="1" customHeight="1">
      <c r="A189" s="767" t="s">
        <v>12444</v>
      </c>
      <c r="B189" s="288" t="s">
        <v>7534</v>
      </c>
      <c r="C189" s="171" t="s">
        <v>307</v>
      </c>
      <c r="D189" s="766" t="s">
        <v>308</v>
      </c>
      <c r="E189" s="766" t="s">
        <v>5445</v>
      </c>
      <c r="F189" s="766" t="s">
        <v>28</v>
      </c>
      <c r="G189" s="766" t="s">
        <v>10</v>
      </c>
      <c r="H189" s="766"/>
      <c r="I189" s="5" t="s">
        <v>310</v>
      </c>
      <c r="J189" s="766" t="s">
        <v>308</v>
      </c>
      <c r="K189" s="766" t="s">
        <v>311</v>
      </c>
      <c r="L189" s="766" t="s">
        <v>312</v>
      </c>
      <c r="M189" s="766"/>
      <c r="N189" s="766" t="s">
        <v>12186</v>
      </c>
      <c r="O189" s="766" t="s">
        <v>12190</v>
      </c>
      <c r="P189" s="766" t="s">
        <v>308</v>
      </c>
      <c r="Q189" s="1085">
        <v>30259</v>
      </c>
      <c r="R189" s="766">
        <v>34</v>
      </c>
      <c r="S189" s="766" t="s">
        <v>10</v>
      </c>
      <c r="T189" s="766"/>
      <c r="U189" s="26" t="s">
        <v>310</v>
      </c>
      <c r="V189" s="766" t="s">
        <v>722</v>
      </c>
      <c r="W189" s="766"/>
      <c r="X189" s="766"/>
      <c r="Y189" s="766" t="s">
        <v>309</v>
      </c>
      <c r="Z189" s="766" t="s">
        <v>708</v>
      </c>
      <c r="AA189" s="766" t="s">
        <v>709</v>
      </c>
      <c r="AB189" s="766" t="s">
        <v>710</v>
      </c>
      <c r="AC189" s="766"/>
      <c r="AD189" s="766" t="s">
        <v>711</v>
      </c>
      <c r="AE189" s="766"/>
      <c r="AF189" s="766" t="s">
        <v>712</v>
      </c>
      <c r="AG189" s="766"/>
      <c r="AH189" s="766"/>
      <c r="AI189" s="766"/>
      <c r="AJ189" s="766"/>
      <c r="AK189" s="766" t="s">
        <v>5454</v>
      </c>
      <c r="AL189" s="531"/>
      <c r="AM189" s="780"/>
      <c r="AN189" s="774"/>
      <c r="AO189" s="766"/>
      <c r="AP189" s="766"/>
      <c r="AQ189" s="766"/>
      <c r="AR189" s="766"/>
      <c r="AS189" s="766"/>
      <c r="AT189" s="766"/>
      <c r="AU189" s="766"/>
      <c r="AV189" s="766"/>
      <c r="AW189" s="766"/>
      <c r="AX189" s="766"/>
      <c r="AY189" s="766"/>
      <c r="AZ189" s="766"/>
      <c r="BA189" s="766"/>
      <c r="BB189" s="766"/>
      <c r="BC189" s="766"/>
      <c r="BD189" s="766"/>
      <c r="BE189" s="766"/>
      <c r="BF189" s="775"/>
      <c r="BG189" s="775"/>
      <c r="BH189" s="766"/>
      <c r="BI189" s="766"/>
      <c r="BJ189" s="766"/>
      <c r="BK189" s="766"/>
      <c r="BL189" s="766"/>
      <c r="BM189" s="766" t="s">
        <v>1238</v>
      </c>
      <c r="BN189" s="766" t="s">
        <v>1305</v>
      </c>
      <c r="BO189" s="770"/>
      <c r="BP189" s="780"/>
      <c r="BQ189" s="773"/>
      <c r="BR189" s="774"/>
      <c r="BS189" s="766" t="s">
        <v>1257</v>
      </c>
      <c r="BT189" s="770"/>
      <c r="BU189" s="770"/>
      <c r="BV189" s="770"/>
      <c r="BW189" s="770"/>
      <c r="BX189" s="302"/>
      <c r="BY189" s="770"/>
      <c r="BZ189" s="302"/>
      <c r="CA189" s="770"/>
      <c r="CB189" s="770"/>
      <c r="CC189" s="770"/>
      <c r="CD189" s="770"/>
      <c r="CE189" s="306"/>
      <c r="CF189" s="304"/>
      <c r="CG189" s="321"/>
      <c r="CH189" s="770"/>
      <c r="CI189" s="770"/>
      <c r="CJ189" s="770"/>
      <c r="CK189" s="770"/>
      <c r="CL189" s="770"/>
      <c r="CM189" s="770"/>
      <c r="CN189" s="770"/>
      <c r="CO189" s="770"/>
      <c r="CP189" s="770"/>
      <c r="CQ189" s="770"/>
      <c r="CR189" s="302"/>
      <c r="CS189" s="770"/>
      <c r="CT189" s="770"/>
      <c r="CU189" s="305"/>
      <c r="CV189" s="770"/>
      <c r="CW189" s="770"/>
      <c r="CX189" s="770"/>
      <c r="CY189" s="770"/>
      <c r="CZ189" s="770"/>
      <c r="DA189" s="306"/>
      <c r="DB189" s="770"/>
      <c r="DC189" s="770"/>
      <c r="DD189" s="770"/>
      <c r="DE189" s="300"/>
      <c r="DF189" s="770"/>
      <c r="DG189" s="770"/>
      <c r="DH189" s="770"/>
      <c r="DI189" s="770"/>
      <c r="DJ189" s="770"/>
      <c r="DK189" s="770"/>
      <c r="DL189" s="770"/>
      <c r="DM189" s="770"/>
      <c r="DN189" s="322"/>
      <c r="DO189" s="770"/>
      <c r="DP189" s="770"/>
      <c r="DQ189" s="770"/>
      <c r="DR189" s="770"/>
      <c r="DS189" s="307"/>
      <c r="DT189" s="770"/>
      <c r="DU189" s="770"/>
      <c r="DV189" s="770"/>
      <c r="DW189" s="306"/>
      <c r="DX189" s="306"/>
      <c r="DY189" s="1055"/>
      <c r="DZ189" s="770"/>
      <c r="EA189" s="770"/>
      <c r="EB189" s="770"/>
      <c r="EC189" s="770"/>
      <c r="ED189" s="770"/>
      <c r="EE189" s="770"/>
      <c r="EF189" s="770"/>
      <c r="EG189" s="770"/>
      <c r="EH189" s="770"/>
      <c r="EI189" s="770"/>
      <c r="EJ189" s="770"/>
      <c r="EK189" s="770"/>
      <c r="EL189" s="770"/>
      <c r="EM189" s="770"/>
      <c r="EN189" s="770"/>
      <c r="EO189" s="770"/>
      <c r="EP189" s="94"/>
      <c r="EQ189" s="770"/>
      <c r="ER189" s="770"/>
      <c r="ES189" s="770"/>
      <c r="ET189" s="770"/>
      <c r="EU189" s="770"/>
      <c r="EV189" s="770"/>
      <c r="EW189" s="770"/>
      <c r="EX189" s="770"/>
      <c r="EY189" s="770"/>
      <c r="EZ189" s="770"/>
      <c r="FA189" s="770"/>
      <c r="FB189" s="770"/>
      <c r="FC189" s="770"/>
      <c r="FD189" s="302"/>
      <c r="FE189" s="770"/>
      <c r="FF189" s="770"/>
      <c r="FG189" s="770"/>
      <c r="FH189" s="766" t="s">
        <v>1305</v>
      </c>
      <c r="FI189" s="766">
        <v>2</v>
      </c>
      <c r="FJ189" s="766" t="s">
        <v>1624</v>
      </c>
      <c r="FK189" s="766" t="s">
        <v>1625</v>
      </c>
      <c r="FL189" s="766" t="s">
        <v>1626</v>
      </c>
      <c r="FM189" s="775"/>
      <c r="FN189" s="766"/>
      <c r="FO189" s="766"/>
      <c r="FP189" s="766" t="s">
        <v>1602</v>
      </c>
      <c r="FQ189" s="766" t="s">
        <v>1660</v>
      </c>
      <c r="FR189" s="766"/>
      <c r="FS189" s="766"/>
      <c r="FT189" s="766"/>
      <c r="FU189" s="766"/>
      <c r="FV189" s="766"/>
      <c r="FW189" s="766"/>
      <c r="FX189" s="766"/>
      <c r="FY189" s="766"/>
      <c r="FZ189" s="766"/>
      <c r="GA189" s="766"/>
      <c r="GB189" s="766"/>
      <c r="GC189" s="766"/>
      <c r="GD189" s="25"/>
      <c r="GE189" s="766"/>
      <c r="GF189" s="766"/>
      <c r="GG189" s="766"/>
      <c r="GH189" s="766"/>
      <c r="GI189" s="766"/>
      <c r="GJ189" s="766"/>
      <c r="GK189" s="766"/>
      <c r="GL189" s="766"/>
      <c r="GM189" s="766"/>
      <c r="GN189" s="82"/>
      <c r="GO189" s="766"/>
      <c r="GP189" s="766"/>
      <c r="GQ189" s="766"/>
      <c r="GR189" s="766"/>
      <c r="GS189" s="766"/>
      <c r="GT189" s="766"/>
      <c r="GU189" s="766"/>
      <c r="GV189" s="766"/>
      <c r="GW189" s="766"/>
      <c r="GX189" s="766"/>
      <c r="GY189" s="766"/>
      <c r="GZ189" s="766"/>
      <c r="HA189" s="766"/>
      <c r="HB189" s="766"/>
      <c r="HC189" s="766"/>
      <c r="HD189" s="766"/>
      <c r="HE189" s="766"/>
      <c r="HF189" s="766"/>
      <c r="HG189" s="766"/>
      <c r="HH189" s="766"/>
      <c r="HI189" s="766"/>
      <c r="HJ189" s="766"/>
      <c r="HK189" s="766"/>
      <c r="HL189" s="766"/>
      <c r="HM189" s="766"/>
      <c r="HN189" s="766"/>
      <c r="HO189" s="766"/>
      <c r="HP189" s="766"/>
      <c r="HQ189" s="766"/>
      <c r="HR189" s="766"/>
      <c r="HS189" s="766"/>
      <c r="HT189" s="766"/>
      <c r="HU189" s="766"/>
      <c r="HV189" s="766"/>
      <c r="HW189" s="766"/>
      <c r="HX189" s="766"/>
      <c r="HY189" s="766"/>
      <c r="HZ189" s="766"/>
      <c r="IA189" s="766"/>
      <c r="IB189" s="766"/>
      <c r="IC189" s="766"/>
      <c r="ID189" s="766"/>
      <c r="IE189" s="766"/>
      <c r="IF189" s="766"/>
      <c r="IG189" s="766"/>
      <c r="IH189" s="766"/>
      <c r="II189" s="766"/>
      <c r="IJ189" s="766"/>
      <c r="IK189" s="766"/>
      <c r="IL189" s="766"/>
      <c r="IM189" s="766"/>
      <c r="IN189" s="766"/>
      <c r="IO189" s="766"/>
      <c r="IP189" s="766"/>
      <c r="IQ189" s="766"/>
      <c r="IR189" s="766"/>
      <c r="IS189" s="766"/>
      <c r="IT189" s="766"/>
      <c r="IU189" s="766"/>
      <c r="IV189" s="766"/>
      <c r="IW189" s="766"/>
      <c r="IX189" s="766"/>
      <c r="IY189" s="766"/>
      <c r="IZ189" s="766"/>
      <c r="JA189" s="766"/>
      <c r="JB189" s="766"/>
      <c r="JC189" s="766"/>
      <c r="JD189" s="775"/>
      <c r="JE189" s="766"/>
      <c r="JF189" s="766"/>
      <c r="JG189" s="766"/>
      <c r="JH189" s="766"/>
      <c r="JI189" s="766"/>
      <c r="JJ189" s="766">
        <v>2</v>
      </c>
      <c r="JK189" s="766" t="s">
        <v>2073</v>
      </c>
      <c r="JL189" s="766"/>
      <c r="JM189" s="766"/>
      <c r="JN189" s="766">
        <v>1</v>
      </c>
      <c r="JO189" s="766">
        <v>1</v>
      </c>
      <c r="JP189" s="766"/>
      <c r="JQ189" s="766"/>
      <c r="JR189" s="766"/>
      <c r="JS189" s="766"/>
      <c r="JT189" s="766">
        <f t="shared" ref="JT189:JU193" si="45">SUM(JP189,JN189,JL189,JR189)</f>
        <v>1</v>
      </c>
      <c r="JU189" s="766">
        <f t="shared" si="45"/>
        <v>1</v>
      </c>
      <c r="JV189" s="766"/>
      <c r="JW189" s="766"/>
      <c r="JX189" s="766"/>
      <c r="JY189" s="766"/>
      <c r="JZ189" s="766"/>
      <c r="KA189" s="766"/>
      <c r="KB189" s="766"/>
      <c r="KC189" s="766">
        <v>1</v>
      </c>
      <c r="KD189" s="766">
        <v>1</v>
      </c>
      <c r="KE189" s="766"/>
      <c r="KF189" s="766"/>
      <c r="KG189" s="766"/>
      <c r="KH189" s="766"/>
      <c r="KI189" s="766"/>
      <c r="KJ189" s="770">
        <f t="shared" si="38"/>
        <v>1</v>
      </c>
      <c r="KK189" s="770">
        <f t="shared" si="38"/>
        <v>1</v>
      </c>
      <c r="KL189" s="770"/>
      <c r="KM189" s="770"/>
      <c r="KN189" s="766" t="s">
        <v>722</v>
      </c>
      <c r="KO189" s="766"/>
      <c r="KP189" s="766"/>
      <c r="KQ189" s="766"/>
      <c r="KR189" s="766"/>
      <c r="KS189" s="766"/>
      <c r="KT189" s="766"/>
      <c r="KU189" s="766"/>
      <c r="KV189" s="766">
        <v>1</v>
      </c>
      <c r="KW189" s="766"/>
      <c r="KX189" s="766"/>
      <c r="KY189" s="766"/>
      <c r="KZ189" s="766"/>
      <c r="LA189" s="766"/>
      <c r="LB189" s="766"/>
      <c r="LC189" s="766"/>
      <c r="LD189" s="766"/>
      <c r="LE189" s="766">
        <v>1</v>
      </c>
      <c r="LF189" s="766"/>
      <c r="LG189" s="766"/>
      <c r="LH189" s="766"/>
      <c r="LI189" s="766"/>
      <c r="LJ189" s="766"/>
      <c r="LK189" s="766"/>
      <c r="LL189" s="766"/>
      <c r="LM189" s="766"/>
      <c r="LN189" s="766">
        <f t="shared" si="39"/>
        <v>1</v>
      </c>
      <c r="LO189" s="766">
        <f t="shared" si="39"/>
        <v>1</v>
      </c>
      <c r="LP189" s="766">
        <v>1</v>
      </c>
      <c r="LQ189" s="766"/>
      <c r="LR189" s="766"/>
      <c r="LS189" s="766"/>
      <c r="LT189" s="766"/>
      <c r="LU189" s="766">
        <v>1</v>
      </c>
      <c r="LV189" s="766"/>
      <c r="LW189" s="766">
        <v>1</v>
      </c>
      <c r="LX189" s="769">
        <v>1</v>
      </c>
      <c r="LY189" s="766" t="str">
        <f t="shared" si="43"/>
        <v>within the BRGY</v>
      </c>
      <c r="LZ189" s="66"/>
      <c r="MA189" s="766"/>
      <c r="MB189" s="766"/>
      <c r="MC189" s="1679">
        <f t="shared" si="41"/>
        <v>0</v>
      </c>
      <c r="MD189" s="66">
        <v>14000</v>
      </c>
      <c r="ME189" s="66"/>
      <c r="MF189" s="66"/>
      <c r="MG189" s="1680">
        <f t="shared" si="34"/>
        <v>14000</v>
      </c>
      <c r="MH189" s="766"/>
      <c r="MI189" s="775">
        <v>4000</v>
      </c>
      <c r="MJ189" s="775">
        <v>1800</v>
      </c>
      <c r="MK189" s="775">
        <v>83</v>
      </c>
      <c r="ML189" s="775"/>
      <c r="MM189" s="775"/>
      <c r="MN189" s="775"/>
      <c r="MO189" s="775">
        <v>300</v>
      </c>
      <c r="MP189" s="775">
        <v>250</v>
      </c>
      <c r="MQ189" s="775">
        <v>130</v>
      </c>
      <c r="MR189" s="775">
        <v>150</v>
      </c>
      <c r="MS189" s="775"/>
      <c r="MT189" s="775"/>
      <c r="MU189" s="775"/>
      <c r="MV189" s="775"/>
      <c r="MW189" s="775"/>
      <c r="MX189" s="775"/>
      <c r="MY189" s="1682">
        <f t="shared" si="35"/>
        <v>6713</v>
      </c>
      <c r="MZ189" s="766" t="s">
        <v>13004</v>
      </c>
      <c r="NA189" s="766" t="s">
        <v>13005</v>
      </c>
      <c r="NB189" s="766" t="s">
        <v>13006</v>
      </c>
      <c r="NC189" s="766" t="s">
        <v>13135</v>
      </c>
      <c r="ND189" s="766"/>
      <c r="NE189" s="766"/>
      <c r="NF189" s="766"/>
      <c r="NG189" s="766">
        <v>1</v>
      </c>
      <c r="NH189" s="766">
        <v>1</v>
      </c>
      <c r="NI189" s="766"/>
      <c r="NJ189" s="766"/>
      <c r="NK189" s="766"/>
      <c r="NL189" s="766"/>
      <c r="NM189" s="766"/>
      <c r="NN189" s="766"/>
      <c r="NO189" s="766">
        <v>1</v>
      </c>
      <c r="NP189" s="766">
        <v>0</v>
      </c>
      <c r="NQ189" s="766">
        <v>0</v>
      </c>
      <c r="NR189" s="766">
        <v>0</v>
      </c>
      <c r="NS189" s="766">
        <v>0</v>
      </c>
      <c r="NT189" s="766">
        <v>0</v>
      </c>
      <c r="NU189" s="766">
        <v>0</v>
      </c>
      <c r="NV189" s="766">
        <v>0</v>
      </c>
      <c r="NW189" s="766">
        <v>1</v>
      </c>
      <c r="NX189" s="766">
        <v>0</v>
      </c>
      <c r="NY189" s="766" t="s">
        <v>1208</v>
      </c>
      <c r="NZ189" s="766"/>
      <c r="OA189" s="766"/>
      <c r="OB189" s="766" t="s">
        <v>1208</v>
      </c>
      <c r="OC189" s="766" t="s">
        <v>1208</v>
      </c>
      <c r="OD189" s="766" t="s">
        <v>1208</v>
      </c>
      <c r="OE189" s="766"/>
      <c r="OF189" s="766"/>
      <c r="OG189" s="766"/>
      <c r="OH189" s="766"/>
      <c r="OI189" s="766"/>
      <c r="OJ189" s="766"/>
      <c r="OK189" s="766"/>
      <c r="OL189" s="766"/>
      <c r="OM189" s="766"/>
      <c r="ON189" s="766"/>
      <c r="OO189" s="766"/>
      <c r="OP189" s="766"/>
      <c r="OQ189" s="766"/>
      <c r="OR189" s="766"/>
      <c r="OS189" s="766"/>
      <c r="OT189" s="766"/>
      <c r="OU189" s="766"/>
      <c r="OV189" s="766"/>
      <c r="OW189" s="766"/>
      <c r="OX189" s="766"/>
      <c r="OY189" s="766"/>
      <c r="OZ189" s="766"/>
      <c r="PA189" s="766"/>
      <c r="PB189" s="766"/>
      <c r="PC189" s="766"/>
      <c r="PD189" s="766"/>
      <c r="PE189" s="766"/>
      <c r="PF189" s="766"/>
      <c r="PG189" s="766"/>
      <c r="PH189" s="766"/>
      <c r="PI189" s="766"/>
      <c r="PJ189" s="766"/>
      <c r="PK189" s="766"/>
      <c r="PL189" s="766"/>
      <c r="PM189" s="766"/>
      <c r="PN189" s="766"/>
      <c r="PO189" s="766"/>
      <c r="PP189" s="766"/>
      <c r="PQ189" s="766"/>
      <c r="PR189" s="766"/>
      <c r="PS189" s="766" t="s">
        <v>1208</v>
      </c>
      <c r="PT189" s="766" t="s">
        <v>1208</v>
      </c>
      <c r="PU189" s="766"/>
      <c r="PV189" s="766"/>
      <c r="PW189" s="766"/>
      <c r="PX189" s="766"/>
      <c r="PY189" s="766"/>
      <c r="PZ189" s="766"/>
      <c r="QA189" s="766"/>
      <c r="QB189" s="766"/>
      <c r="QC189" s="766"/>
      <c r="QD189" s="766"/>
      <c r="QE189" s="766"/>
      <c r="QF189" s="766"/>
      <c r="QG189" s="766"/>
      <c r="QH189" s="766"/>
      <c r="QI189" s="766"/>
      <c r="QJ189" s="766"/>
      <c r="QK189" s="766"/>
      <c r="QL189" s="766"/>
      <c r="QM189" s="766"/>
      <c r="QN189" s="766"/>
      <c r="QO189" s="766"/>
      <c r="QP189" s="766"/>
      <c r="QQ189" s="766"/>
      <c r="QR189" s="766"/>
      <c r="QS189" s="766"/>
      <c r="QT189" s="766"/>
      <c r="QU189" s="766"/>
      <c r="QV189" s="766"/>
      <c r="QW189" s="766"/>
      <c r="QX189" s="766"/>
      <c r="QY189" s="766"/>
      <c r="QZ189" s="766"/>
      <c r="RA189" s="766"/>
      <c r="RB189" s="770" t="s">
        <v>1207</v>
      </c>
      <c r="RC189" s="766">
        <v>2009</v>
      </c>
      <c r="RD189" s="766" t="s">
        <v>12989</v>
      </c>
      <c r="RE189" s="766" t="s">
        <v>12990</v>
      </c>
      <c r="RF189" s="304"/>
      <c r="RG189" s="766" t="s">
        <v>13047</v>
      </c>
      <c r="RH189" s="766" t="s">
        <v>1604</v>
      </c>
      <c r="RI189" s="766"/>
      <c r="RJ189" s="766" t="s">
        <v>13254</v>
      </c>
      <c r="RK189" s="766" t="s">
        <v>13206</v>
      </c>
      <c r="RL189" s="1683"/>
      <c r="RM189" s="12"/>
      <c r="RN189" s="1711"/>
      <c r="RO189" s="171" t="s">
        <v>307</v>
      </c>
      <c r="RP189" s="11"/>
      <c r="RQ189" s="11"/>
      <c r="RR189" s="771"/>
      <c r="RS189" s="766"/>
      <c r="RT189" s="11"/>
      <c r="RU189" s="11"/>
      <c r="RV189" s="766" t="s">
        <v>12443</v>
      </c>
      <c r="RW189" s="11" t="s">
        <v>7533</v>
      </c>
      <c r="RX189" s="11" t="s">
        <v>301</v>
      </c>
      <c r="RY189" s="11"/>
      <c r="RZ189" s="11"/>
      <c r="SA189" s="766"/>
      <c r="SB189" s="11"/>
      <c r="SC189" s="11"/>
    </row>
    <row r="190" spans="1:497" ht="12.75" hidden="1" customHeight="1">
      <c r="A190" s="767" t="s">
        <v>12444</v>
      </c>
      <c r="B190" s="288" t="s">
        <v>7535</v>
      </c>
      <c r="C190" s="171" t="s">
        <v>313</v>
      </c>
      <c r="D190" s="766" t="s">
        <v>869</v>
      </c>
      <c r="E190" s="766" t="s">
        <v>5445</v>
      </c>
      <c r="F190" s="766" t="s">
        <v>28</v>
      </c>
      <c r="G190" s="766" t="s">
        <v>10</v>
      </c>
      <c r="H190" s="766"/>
      <c r="I190" s="5"/>
      <c r="J190" s="766"/>
      <c r="K190" s="766"/>
      <c r="L190" s="766"/>
      <c r="M190" s="766"/>
      <c r="N190" s="766"/>
      <c r="O190" s="766"/>
      <c r="P190" s="766" t="s">
        <v>869</v>
      </c>
      <c r="Q190" s="1085">
        <v>30291</v>
      </c>
      <c r="R190" s="766">
        <v>34</v>
      </c>
      <c r="S190" s="766" t="s">
        <v>10</v>
      </c>
      <c r="T190" s="766"/>
      <c r="U190" s="26" t="s">
        <v>870</v>
      </c>
      <c r="V190" s="766" t="s">
        <v>722</v>
      </c>
      <c r="W190" s="766"/>
      <c r="X190" s="766"/>
      <c r="Y190" s="766" t="s">
        <v>309</v>
      </c>
      <c r="Z190" s="766" t="s">
        <v>708</v>
      </c>
      <c r="AA190" s="766" t="s">
        <v>110</v>
      </c>
      <c r="AB190" s="766" t="s">
        <v>710</v>
      </c>
      <c r="AC190" s="766"/>
      <c r="AD190" s="766" t="s">
        <v>711</v>
      </c>
      <c r="AE190" s="766"/>
      <c r="AF190" s="766" t="s">
        <v>712</v>
      </c>
      <c r="AG190" s="766"/>
      <c r="AH190" s="766"/>
      <c r="AI190" s="766"/>
      <c r="AJ190" s="766"/>
      <c r="AK190" s="766" t="s">
        <v>5454</v>
      </c>
      <c r="AL190" s="121"/>
      <c r="AM190" s="772"/>
      <c r="AN190" s="774"/>
      <c r="AO190" s="766"/>
      <c r="AP190" s="766"/>
      <c r="AQ190" s="766"/>
      <c r="AR190" s="766"/>
      <c r="AS190" s="766"/>
      <c r="AT190" s="766"/>
      <c r="AU190" s="766"/>
      <c r="AV190" s="766"/>
      <c r="AW190" s="766"/>
      <c r="AX190" s="766"/>
      <c r="AY190" s="766"/>
      <c r="AZ190" s="766"/>
      <c r="BA190" s="766"/>
      <c r="BB190" s="766"/>
      <c r="BC190" s="766"/>
      <c r="BD190" s="766"/>
      <c r="BE190" s="766"/>
      <c r="BF190" s="775"/>
      <c r="BG190" s="775"/>
      <c r="BH190" s="766"/>
      <c r="BI190" s="766"/>
      <c r="BJ190" s="766"/>
      <c r="BK190" s="766"/>
      <c r="BL190" s="766"/>
      <c r="BM190" s="766" t="s">
        <v>1238</v>
      </c>
      <c r="BN190" s="766" t="s">
        <v>1305</v>
      </c>
      <c r="BO190" s="766"/>
      <c r="BP190" s="776"/>
      <c r="BQ190" s="772"/>
      <c r="BR190" s="774"/>
      <c r="BS190" s="766" t="s">
        <v>1257</v>
      </c>
      <c r="BT190" s="766"/>
      <c r="BU190" s="766"/>
      <c r="BV190" s="766"/>
      <c r="BW190" s="766"/>
      <c r="BX190" s="779"/>
      <c r="BY190" s="766"/>
      <c r="BZ190" s="766"/>
      <c r="CA190" s="766"/>
      <c r="CB190" s="766"/>
      <c r="CC190" s="766"/>
      <c r="CD190" s="766"/>
      <c r="CE190" s="766"/>
      <c r="CF190" s="777"/>
      <c r="CG190" s="778"/>
      <c r="CH190" s="766"/>
      <c r="CI190" s="766"/>
      <c r="CJ190" s="766"/>
      <c r="CK190" s="766"/>
      <c r="CL190" s="766"/>
      <c r="CM190" s="766"/>
      <c r="CN190" s="766"/>
      <c r="CO190" s="766"/>
      <c r="CP190" s="766"/>
      <c r="CQ190" s="766"/>
      <c r="CR190" s="766"/>
      <c r="CS190" s="766"/>
      <c r="CT190" s="766"/>
      <c r="CU190" s="129"/>
      <c r="CV190" s="766"/>
      <c r="CW190" s="766"/>
      <c r="CX190" s="766"/>
      <c r="CY190" s="766"/>
      <c r="CZ190" s="766"/>
      <c r="DA190" s="766"/>
      <c r="DB190" s="766"/>
      <c r="DC190" s="766"/>
      <c r="DD190" s="766"/>
      <c r="DE190" s="766"/>
      <c r="DF190" s="766"/>
      <c r="DG190" s="766"/>
      <c r="DH190" s="766"/>
      <c r="DI190" s="766"/>
      <c r="DJ190" s="766"/>
      <c r="DK190" s="766"/>
      <c r="DL190" s="766"/>
      <c r="DM190" s="766"/>
      <c r="DN190" s="766"/>
      <c r="DO190" s="766"/>
      <c r="DP190" s="766"/>
      <c r="DQ190" s="766"/>
      <c r="DR190" s="766"/>
      <c r="DS190" s="59"/>
      <c r="DT190" s="766"/>
      <c r="DU190" s="766"/>
      <c r="DV190" s="766"/>
      <c r="DW190" s="66"/>
      <c r="DX190" s="66"/>
      <c r="DY190" s="766"/>
      <c r="DZ190" s="766"/>
      <c r="EA190" s="766"/>
      <c r="EB190" s="766"/>
      <c r="EC190" s="766"/>
      <c r="ED190" s="766"/>
      <c r="EE190" s="766"/>
      <c r="EF190" s="766"/>
      <c r="EG190" s="766"/>
      <c r="EH190" s="766"/>
      <c r="EI190" s="766"/>
      <c r="EJ190" s="766"/>
      <c r="EK190" s="766"/>
      <c r="EL190" s="766"/>
      <c r="EM190" s="766"/>
      <c r="EN190" s="766"/>
      <c r="EO190" s="766"/>
      <c r="EP190" s="766"/>
      <c r="EQ190" s="766"/>
      <c r="ER190" s="766"/>
      <c r="ES190" s="766"/>
      <c r="ET190" s="766"/>
      <c r="EU190" s="766"/>
      <c r="EV190" s="766"/>
      <c r="EW190" s="766"/>
      <c r="EX190" s="766"/>
      <c r="EY190" s="766"/>
      <c r="EZ190" s="766"/>
      <c r="FA190" s="766"/>
      <c r="FB190" s="766"/>
      <c r="FC190" s="766"/>
      <c r="FD190" s="775"/>
      <c r="FE190" s="766"/>
      <c r="FF190" s="766"/>
      <c r="FG190" s="766"/>
      <c r="FH190" s="766" t="s">
        <v>1305</v>
      </c>
      <c r="FI190" s="766">
        <v>1</v>
      </c>
      <c r="FJ190" s="766" t="s">
        <v>1624</v>
      </c>
      <c r="FK190" s="766" t="s">
        <v>1625</v>
      </c>
      <c r="FL190" s="766" t="s">
        <v>1626</v>
      </c>
      <c r="FM190" s="775"/>
      <c r="FN190" s="766"/>
      <c r="FO190" s="766"/>
      <c r="FP190" s="766" t="s">
        <v>1602</v>
      </c>
      <c r="FQ190" s="766" t="s">
        <v>1660</v>
      </c>
      <c r="FR190" s="766" t="s">
        <v>1207</v>
      </c>
      <c r="FS190" s="766"/>
      <c r="FT190" s="766"/>
      <c r="FU190" s="766"/>
      <c r="FV190" s="766"/>
      <c r="FW190" s="766"/>
      <c r="FX190" s="766"/>
      <c r="FY190" s="766"/>
      <c r="FZ190" s="766"/>
      <c r="GA190" s="766"/>
      <c r="GB190" s="766" t="s">
        <v>853</v>
      </c>
      <c r="GC190" s="766" t="s">
        <v>1732</v>
      </c>
      <c r="GD190" s="25"/>
      <c r="GE190" s="766" t="s">
        <v>1698</v>
      </c>
      <c r="GF190" s="766"/>
      <c r="GG190" s="766"/>
      <c r="GH190" s="766"/>
      <c r="GI190" s="766"/>
      <c r="GJ190" s="766"/>
      <c r="GK190" s="766"/>
      <c r="GL190" s="766"/>
      <c r="GM190" s="766"/>
      <c r="GN190" s="82"/>
      <c r="GO190" s="766"/>
      <c r="GP190" s="766"/>
      <c r="GQ190" s="766"/>
      <c r="GR190" s="766"/>
      <c r="GS190" s="766"/>
      <c r="GT190" s="766"/>
      <c r="GU190" s="766"/>
      <c r="GV190" s="766"/>
      <c r="GW190" s="766"/>
      <c r="GX190" s="766"/>
      <c r="GY190" s="766"/>
      <c r="GZ190" s="766"/>
      <c r="HA190" s="766"/>
      <c r="HB190" s="766"/>
      <c r="HC190" s="766"/>
      <c r="HD190" s="766"/>
      <c r="HE190" s="766"/>
      <c r="HF190" s="766"/>
      <c r="HG190" s="766"/>
      <c r="HH190" s="766"/>
      <c r="HI190" s="766"/>
      <c r="HJ190" s="766"/>
      <c r="HK190" s="766"/>
      <c r="HL190" s="766"/>
      <c r="HM190" s="766"/>
      <c r="HN190" s="766"/>
      <c r="HO190" s="766"/>
      <c r="HP190" s="766"/>
      <c r="HQ190" s="766"/>
      <c r="HR190" s="766"/>
      <c r="HS190" s="766"/>
      <c r="HT190" s="766"/>
      <c r="HU190" s="766"/>
      <c r="HV190" s="766"/>
      <c r="HW190" s="766"/>
      <c r="HX190" s="766"/>
      <c r="HY190" s="766"/>
      <c r="HZ190" s="766"/>
      <c r="IA190" s="766"/>
      <c r="IB190" s="766" t="s">
        <v>1207</v>
      </c>
      <c r="IC190" s="766"/>
      <c r="ID190" s="766"/>
      <c r="IE190" s="766"/>
      <c r="IF190" s="766"/>
      <c r="IG190" s="766"/>
      <c r="IH190" s="766"/>
      <c r="II190" s="766"/>
      <c r="IJ190" s="766"/>
      <c r="IK190" s="766"/>
      <c r="IL190" s="766"/>
      <c r="IM190" s="766"/>
      <c r="IN190" s="766"/>
      <c r="IO190" s="766"/>
      <c r="IP190" s="766"/>
      <c r="IQ190" s="766"/>
      <c r="IR190" s="766"/>
      <c r="IS190" s="766"/>
      <c r="IT190" s="766"/>
      <c r="IU190" s="766"/>
      <c r="IV190" s="766"/>
      <c r="IW190" s="766"/>
      <c r="IX190" s="766"/>
      <c r="IY190" s="766"/>
      <c r="IZ190" s="766"/>
      <c r="JA190" s="766"/>
      <c r="JB190" s="766"/>
      <c r="JC190" s="766"/>
      <c r="JD190" s="775"/>
      <c r="JE190" s="766"/>
      <c r="JF190" s="766"/>
      <c r="JG190" s="766"/>
      <c r="JH190" s="766"/>
      <c r="JI190" s="766"/>
      <c r="JJ190" s="766">
        <v>2</v>
      </c>
      <c r="JK190" s="766" t="s">
        <v>13255</v>
      </c>
      <c r="JL190" s="766"/>
      <c r="JM190" s="766"/>
      <c r="JN190" s="766">
        <v>1</v>
      </c>
      <c r="JO190" s="766">
        <v>1</v>
      </c>
      <c r="JP190" s="766"/>
      <c r="JQ190" s="766"/>
      <c r="JR190" s="766"/>
      <c r="JS190" s="766"/>
      <c r="JT190" s="766">
        <f t="shared" si="45"/>
        <v>1</v>
      </c>
      <c r="JU190" s="766">
        <f t="shared" si="45"/>
        <v>1</v>
      </c>
      <c r="JV190" s="766"/>
      <c r="JW190" s="766"/>
      <c r="JX190" s="766"/>
      <c r="JY190" s="766"/>
      <c r="JZ190" s="766"/>
      <c r="KA190" s="766"/>
      <c r="KB190" s="766"/>
      <c r="KC190" s="766">
        <v>1</v>
      </c>
      <c r="KD190" s="766">
        <v>1</v>
      </c>
      <c r="KE190" s="766"/>
      <c r="KF190" s="766"/>
      <c r="KG190" s="766"/>
      <c r="KH190" s="766"/>
      <c r="KI190" s="766"/>
      <c r="KJ190" s="770">
        <f t="shared" si="38"/>
        <v>1</v>
      </c>
      <c r="KK190" s="770">
        <f t="shared" si="38"/>
        <v>1</v>
      </c>
      <c r="KL190" s="770"/>
      <c r="KM190" s="770"/>
      <c r="KN190" s="766" t="s">
        <v>722</v>
      </c>
      <c r="KO190" s="766"/>
      <c r="KP190" s="766"/>
      <c r="KQ190" s="766"/>
      <c r="KR190" s="766"/>
      <c r="KS190" s="766"/>
      <c r="KT190" s="766"/>
      <c r="KU190" s="766"/>
      <c r="KV190" s="766"/>
      <c r="KW190" s="766"/>
      <c r="KX190" s="766">
        <v>1</v>
      </c>
      <c r="KY190" s="766">
        <v>1</v>
      </c>
      <c r="KZ190" s="766"/>
      <c r="LA190" s="766"/>
      <c r="LB190" s="766"/>
      <c r="LC190" s="766"/>
      <c r="LD190" s="766"/>
      <c r="LE190" s="766"/>
      <c r="LF190" s="766"/>
      <c r="LG190" s="766"/>
      <c r="LH190" s="766"/>
      <c r="LI190" s="766"/>
      <c r="LJ190" s="766"/>
      <c r="LK190" s="766"/>
      <c r="LL190" s="766"/>
      <c r="LM190" s="766"/>
      <c r="LN190" s="766">
        <f t="shared" si="39"/>
        <v>1</v>
      </c>
      <c r="LO190" s="766">
        <f t="shared" si="39"/>
        <v>1</v>
      </c>
      <c r="LP190" s="766">
        <v>2</v>
      </c>
      <c r="LQ190" s="766"/>
      <c r="LR190" s="766"/>
      <c r="LS190" s="766"/>
      <c r="LT190" s="766"/>
      <c r="LU190" s="766">
        <v>2</v>
      </c>
      <c r="LV190" s="766"/>
      <c r="LW190" s="766"/>
      <c r="LX190" s="769">
        <v>3</v>
      </c>
      <c r="LY190" s="766" t="str">
        <f t="shared" si="43"/>
        <v>within the PROVINCE</v>
      </c>
      <c r="LZ190" s="66"/>
      <c r="MA190" s="766"/>
      <c r="MB190" s="766"/>
      <c r="MC190" s="1679">
        <f t="shared" si="41"/>
        <v>0</v>
      </c>
      <c r="MD190" s="66">
        <v>6000</v>
      </c>
      <c r="ME190" s="66"/>
      <c r="MF190" s="66"/>
      <c r="MG190" s="1680">
        <f t="shared" si="34"/>
        <v>6000</v>
      </c>
      <c r="MH190" s="766"/>
      <c r="MI190" s="775">
        <v>900</v>
      </c>
      <c r="MJ190" s="775">
        <v>500</v>
      </c>
      <c r="MK190" s="775">
        <v>500</v>
      </c>
      <c r="ML190" s="775"/>
      <c r="MM190" s="775"/>
      <c r="MN190" s="775"/>
      <c r="MO190" s="775">
        <v>300</v>
      </c>
      <c r="MP190" s="775">
        <v>500</v>
      </c>
      <c r="MQ190" s="775">
        <v>390</v>
      </c>
      <c r="MR190" s="775">
        <v>400</v>
      </c>
      <c r="MS190" s="775"/>
      <c r="MT190" s="775"/>
      <c r="MU190" s="775"/>
      <c r="MV190" s="775"/>
      <c r="MW190" s="775"/>
      <c r="MX190" s="775"/>
      <c r="MY190" s="1682">
        <f t="shared" si="35"/>
        <v>3490</v>
      </c>
      <c r="MZ190" s="766" t="s">
        <v>13164</v>
      </c>
      <c r="NA190" s="766" t="s">
        <v>13005</v>
      </c>
      <c r="NB190" s="766" t="s">
        <v>13006</v>
      </c>
      <c r="NC190" s="766" t="s">
        <v>13007</v>
      </c>
      <c r="ND190" s="766"/>
      <c r="NE190" s="766"/>
      <c r="NF190" s="766"/>
      <c r="NG190" s="766">
        <v>1</v>
      </c>
      <c r="NH190" s="766">
        <v>1</v>
      </c>
      <c r="NI190" s="766"/>
      <c r="NJ190" s="766"/>
      <c r="NK190" s="766"/>
      <c r="NL190" s="766"/>
      <c r="NM190" s="766"/>
      <c r="NN190" s="766">
        <v>1</v>
      </c>
      <c r="NO190" s="766"/>
      <c r="NP190" s="766"/>
      <c r="NQ190" s="766"/>
      <c r="NR190" s="766"/>
      <c r="NS190" s="766"/>
      <c r="NT190" s="766"/>
      <c r="NU190" s="766"/>
      <c r="NV190" s="766"/>
      <c r="NW190" s="766"/>
      <c r="NX190" s="766"/>
      <c r="NY190" s="766" t="s">
        <v>1208</v>
      </c>
      <c r="NZ190" s="766"/>
      <c r="OA190" s="766"/>
      <c r="OB190" s="766" t="s">
        <v>1208</v>
      </c>
      <c r="OC190" s="766" t="s">
        <v>1208</v>
      </c>
      <c r="OD190" s="766"/>
      <c r="OE190" s="766"/>
      <c r="OF190" s="766"/>
      <c r="OG190" s="766"/>
      <c r="OH190" s="766"/>
      <c r="OI190" s="766"/>
      <c r="OJ190" s="766"/>
      <c r="OK190" s="766"/>
      <c r="OL190" s="766"/>
      <c r="OM190" s="766"/>
      <c r="ON190" s="766"/>
      <c r="OO190" s="766"/>
      <c r="OP190" s="766"/>
      <c r="OQ190" s="766"/>
      <c r="OR190" s="766"/>
      <c r="OS190" s="766"/>
      <c r="OT190" s="766"/>
      <c r="OU190" s="766"/>
      <c r="OV190" s="766"/>
      <c r="OW190" s="766"/>
      <c r="OX190" s="766"/>
      <c r="OY190" s="766"/>
      <c r="OZ190" s="766"/>
      <c r="PA190" s="766"/>
      <c r="PB190" s="766"/>
      <c r="PC190" s="766"/>
      <c r="PD190" s="766"/>
      <c r="PE190" s="766"/>
      <c r="PF190" s="766"/>
      <c r="PG190" s="766"/>
      <c r="PH190" s="766"/>
      <c r="PI190" s="766"/>
      <c r="PJ190" s="766"/>
      <c r="PK190" s="766"/>
      <c r="PL190" s="766"/>
      <c r="PM190" s="766"/>
      <c r="PN190" s="766"/>
      <c r="PO190" s="766"/>
      <c r="PP190" s="766"/>
      <c r="PQ190" s="766"/>
      <c r="PR190" s="766"/>
      <c r="PS190" s="766" t="s">
        <v>1208</v>
      </c>
      <c r="PT190" s="766" t="s">
        <v>1208</v>
      </c>
      <c r="PU190" s="766"/>
      <c r="PV190" s="766"/>
      <c r="PW190" s="766"/>
      <c r="PX190" s="766"/>
      <c r="PY190" s="766"/>
      <c r="PZ190" s="766"/>
      <c r="QA190" s="766"/>
      <c r="QB190" s="766"/>
      <c r="QC190" s="766"/>
      <c r="QD190" s="766"/>
      <c r="QE190" s="766"/>
      <c r="QF190" s="766"/>
      <c r="QG190" s="766"/>
      <c r="QH190" s="766"/>
      <c r="QI190" s="766"/>
      <c r="QJ190" s="766"/>
      <c r="QK190" s="766"/>
      <c r="QL190" s="766"/>
      <c r="QM190" s="766"/>
      <c r="QN190" s="766"/>
      <c r="QO190" s="766"/>
      <c r="QP190" s="766"/>
      <c r="QQ190" s="766"/>
      <c r="QR190" s="766"/>
      <c r="QS190" s="766"/>
      <c r="QT190" s="766"/>
      <c r="QU190" s="766"/>
      <c r="QV190" s="766"/>
      <c r="QW190" s="766"/>
      <c r="QX190" s="766"/>
      <c r="QY190" s="766"/>
      <c r="QZ190" s="766"/>
      <c r="RA190" s="766"/>
      <c r="RB190" s="770" t="s">
        <v>1207</v>
      </c>
      <c r="RC190" s="766">
        <v>2009</v>
      </c>
      <c r="RD190" s="766" t="s">
        <v>12989</v>
      </c>
      <c r="RE190" s="766" t="s">
        <v>12990</v>
      </c>
      <c r="RF190" s="304"/>
      <c r="RG190" s="766" t="s">
        <v>13047</v>
      </c>
      <c r="RH190" s="766" t="s">
        <v>1604</v>
      </c>
      <c r="RI190" s="766"/>
      <c r="RJ190" s="766" t="s">
        <v>13256</v>
      </c>
      <c r="RK190" s="766" t="s">
        <v>13206</v>
      </c>
      <c r="RL190" s="1683"/>
      <c r="RM190" s="12"/>
      <c r="RN190" s="1711"/>
      <c r="RO190" s="171" t="s">
        <v>313</v>
      </c>
      <c r="RP190" s="11"/>
      <c r="RQ190" s="11"/>
      <c r="RR190" s="771"/>
      <c r="RS190" s="766"/>
      <c r="RT190" s="11"/>
      <c r="RU190" s="11"/>
      <c r="RV190" s="766" t="s">
        <v>7419</v>
      </c>
      <c r="RW190" s="11" t="s">
        <v>7962</v>
      </c>
      <c r="RX190" s="11" t="s">
        <v>307</v>
      </c>
      <c r="RY190" s="11"/>
      <c r="RZ190" s="11"/>
      <c r="SA190" s="766"/>
      <c r="SB190" s="11"/>
      <c r="SC190" s="11"/>
    </row>
    <row r="191" spans="1:497" ht="12.75" hidden="1" customHeight="1">
      <c r="A191" s="767" t="s">
        <v>14157</v>
      </c>
      <c r="B191" s="288" t="s">
        <v>7536</v>
      </c>
      <c r="C191" s="171" t="s">
        <v>314</v>
      </c>
      <c r="D191" s="14" t="s">
        <v>308</v>
      </c>
      <c r="E191" s="766" t="s">
        <v>5445</v>
      </c>
      <c r="F191" s="766" t="s">
        <v>28</v>
      </c>
      <c r="G191" s="766" t="s">
        <v>10</v>
      </c>
      <c r="H191" s="766"/>
      <c r="I191" s="5"/>
      <c r="J191" s="14" t="s">
        <v>308</v>
      </c>
      <c r="K191" s="766" t="s">
        <v>315</v>
      </c>
      <c r="L191" s="766" t="s">
        <v>312</v>
      </c>
      <c r="M191" s="766"/>
      <c r="N191" s="766" t="s">
        <v>12186</v>
      </c>
      <c r="O191" s="766" t="s">
        <v>12190</v>
      </c>
      <c r="P191" s="766" t="s">
        <v>871</v>
      </c>
      <c r="Q191" s="1085">
        <v>27028</v>
      </c>
      <c r="R191" s="766">
        <v>42</v>
      </c>
      <c r="S191" s="766" t="s">
        <v>18</v>
      </c>
      <c r="T191" s="766"/>
      <c r="U191" s="26" t="s">
        <v>310</v>
      </c>
      <c r="V191" s="766" t="s">
        <v>783</v>
      </c>
      <c r="W191" s="766"/>
      <c r="X191" s="766"/>
      <c r="Y191" s="766" t="s">
        <v>309</v>
      </c>
      <c r="Z191" s="766" t="s">
        <v>708</v>
      </c>
      <c r="AA191" s="766" t="s">
        <v>709</v>
      </c>
      <c r="AB191" s="766" t="s">
        <v>710</v>
      </c>
      <c r="AC191" s="766"/>
      <c r="AD191" s="766" t="s">
        <v>711</v>
      </c>
      <c r="AE191" s="766"/>
      <c r="AF191" s="766" t="s">
        <v>712</v>
      </c>
      <c r="AG191" s="766"/>
      <c r="AH191" s="766"/>
      <c r="AI191" s="766"/>
      <c r="AJ191" s="766"/>
      <c r="AK191" s="766" t="s">
        <v>5454</v>
      </c>
      <c r="AL191" s="333">
        <v>13.32</v>
      </c>
      <c r="AM191" s="333">
        <v>13.32</v>
      </c>
      <c r="AN191" s="532"/>
      <c r="AO191" s="766"/>
      <c r="AP191" s="12"/>
      <c r="AQ191" s="12"/>
      <c r="AR191" s="12"/>
      <c r="AS191" s="12"/>
      <c r="AT191" s="12"/>
      <c r="AU191" s="766"/>
      <c r="AV191" s="766"/>
      <c r="AW191" s="766"/>
      <c r="AX191" s="766"/>
      <c r="AY191" s="766"/>
      <c r="AZ191" s="766"/>
      <c r="BA191" s="766"/>
      <c r="BB191" s="766"/>
      <c r="BC191" s="766" t="s">
        <v>853</v>
      </c>
      <c r="BD191" s="766"/>
      <c r="BE191" s="766"/>
      <c r="BF191" s="775"/>
      <c r="BG191" s="775"/>
      <c r="BH191" s="766"/>
      <c r="BI191" s="766"/>
      <c r="BJ191" s="766"/>
      <c r="BK191" s="766" t="s">
        <v>1095</v>
      </c>
      <c r="BL191" s="766" t="s">
        <v>1154</v>
      </c>
      <c r="BM191" s="766" t="s">
        <v>1096</v>
      </c>
      <c r="BN191" s="766" t="s">
        <v>1305</v>
      </c>
      <c r="BO191" s="12" t="s">
        <v>1239</v>
      </c>
      <c r="BP191" s="12">
        <v>26.64</v>
      </c>
      <c r="BQ191" s="12">
        <v>26.64</v>
      </c>
      <c r="BR191" s="301">
        <f>BQ191/BP191</f>
        <v>1</v>
      </c>
      <c r="BS191" s="766" t="s">
        <v>1257</v>
      </c>
      <c r="BT191" s="12"/>
      <c r="BU191" s="12"/>
      <c r="BV191" s="12"/>
      <c r="BW191" s="12"/>
      <c r="BX191" s="779"/>
      <c r="BY191" s="766"/>
      <c r="BZ191" s="766"/>
      <c r="CA191" s="766"/>
      <c r="CB191" s="766"/>
      <c r="CC191" s="766"/>
      <c r="CD191" s="766"/>
      <c r="CE191" s="766"/>
      <c r="CF191" s="777"/>
      <c r="CG191" s="778"/>
      <c r="CH191" s="766"/>
      <c r="CI191" s="766"/>
      <c r="CJ191" s="766"/>
      <c r="CK191" s="766"/>
      <c r="CL191" s="766"/>
      <c r="CM191" s="766"/>
      <c r="CN191" s="766"/>
      <c r="CO191" s="766"/>
      <c r="CP191" s="766"/>
      <c r="CQ191" s="766"/>
      <c r="CR191" s="766"/>
      <c r="CS191" s="766"/>
      <c r="CT191" s="766"/>
      <c r="CU191" s="129"/>
      <c r="CV191" s="766"/>
      <c r="CW191" s="766"/>
      <c r="CX191" s="766"/>
      <c r="CY191" s="766"/>
      <c r="CZ191" s="766"/>
      <c r="DA191" s="766"/>
      <c r="DB191" s="766"/>
      <c r="DC191" s="766"/>
      <c r="DD191" s="766"/>
      <c r="DE191" s="766"/>
      <c r="DF191" s="766"/>
      <c r="DG191" s="766"/>
      <c r="DH191" s="766"/>
      <c r="DI191" s="766"/>
      <c r="DJ191" s="766"/>
      <c r="DK191" s="766"/>
      <c r="DL191" s="766"/>
      <c r="DM191" s="766"/>
      <c r="DN191" s="766"/>
      <c r="DO191" s="766"/>
      <c r="DP191" s="766"/>
      <c r="DQ191" s="766"/>
      <c r="DR191" s="766"/>
      <c r="DS191" s="59"/>
      <c r="DT191" s="766"/>
      <c r="DU191" s="766"/>
      <c r="DV191" s="766"/>
      <c r="DW191" s="66"/>
      <c r="DX191" s="66"/>
      <c r="DY191" s="766"/>
      <c r="DZ191" s="766"/>
      <c r="EA191" s="766"/>
      <c r="EB191" s="766"/>
      <c r="EC191" s="766"/>
      <c r="ED191" s="766"/>
      <c r="EE191" s="766"/>
      <c r="EF191" s="766"/>
      <c r="EG191" s="766"/>
      <c r="EH191" s="766"/>
      <c r="EI191" s="766"/>
      <c r="EJ191" s="766"/>
      <c r="EK191" s="766"/>
      <c r="EL191" s="766"/>
      <c r="EM191" s="766"/>
      <c r="EN191" s="766"/>
      <c r="EO191" s="766"/>
      <c r="EP191" s="766"/>
      <c r="EQ191" s="766"/>
      <c r="ER191" s="766"/>
      <c r="ES191" s="766"/>
      <c r="ET191" s="766"/>
      <c r="EU191" s="766"/>
      <c r="EV191" s="766"/>
      <c r="EW191" s="766"/>
      <c r="EX191" s="766"/>
      <c r="EY191" s="766"/>
      <c r="EZ191" s="766"/>
      <c r="FA191" s="766"/>
      <c r="FB191" s="766"/>
      <c r="FC191" s="766"/>
      <c r="FD191" s="775"/>
      <c r="FE191" s="766"/>
      <c r="FF191" s="766"/>
      <c r="FG191" s="766"/>
      <c r="FH191" s="766" t="s">
        <v>1305</v>
      </c>
      <c r="FI191" s="766">
        <v>1</v>
      </c>
      <c r="FJ191" s="766" t="s">
        <v>1627</v>
      </c>
      <c r="FK191" s="766" t="s">
        <v>1625</v>
      </c>
      <c r="FL191" s="766" t="s">
        <v>1626</v>
      </c>
      <c r="FM191" s="775"/>
      <c r="FN191" s="766"/>
      <c r="FO191" s="766"/>
      <c r="FP191" s="766" t="s">
        <v>1602</v>
      </c>
      <c r="FQ191" s="766" t="s">
        <v>1660</v>
      </c>
      <c r="FR191" s="766"/>
      <c r="FS191" s="766" t="s">
        <v>1208</v>
      </c>
      <c r="FT191" s="766"/>
      <c r="FU191" s="766"/>
      <c r="FV191" s="766"/>
      <c r="FW191" s="766"/>
      <c r="FX191" s="766"/>
      <c r="FY191" s="766"/>
      <c r="FZ191" s="766"/>
      <c r="GA191" s="766"/>
      <c r="GB191" s="766"/>
      <c r="GC191" s="766"/>
      <c r="GD191" s="25"/>
      <c r="GE191" s="766"/>
      <c r="GF191" s="766"/>
      <c r="GG191" s="766"/>
      <c r="GH191" s="766"/>
      <c r="GI191" s="766"/>
      <c r="GJ191" s="766"/>
      <c r="GK191" s="766"/>
      <c r="GL191" s="766"/>
      <c r="GM191" s="766"/>
      <c r="GN191" s="82"/>
      <c r="GO191" s="766"/>
      <c r="GP191" s="766"/>
      <c r="GQ191" s="766"/>
      <c r="GR191" s="766"/>
      <c r="GS191" s="766"/>
      <c r="GT191" s="766"/>
      <c r="GU191" s="766"/>
      <c r="GV191" s="766"/>
      <c r="GW191" s="766"/>
      <c r="GX191" s="766"/>
      <c r="GY191" s="766"/>
      <c r="GZ191" s="766"/>
      <c r="HA191" s="766"/>
      <c r="HB191" s="766"/>
      <c r="HC191" s="766"/>
      <c r="HD191" s="766"/>
      <c r="HE191" s="766"/>
      <c r="HF191" s="766"/>
      <c r="HG191" s="766"/>
      <c r="HH191" s="766"/>
      <c r="HI191" s="766"/>
      <c r="HJ191" s="766"/>
      <c r="HK191" s="766"/>
      <c r="HL191" s="766"/>
      <c r="HM191" s="766"/>
      <c r="HN191" s="766"/>
      <c r="HO191" s="766"/>
      <c r="HP191" s="766"/>
      <c r="HQ191" s="766"/>
      <c r="HR191" s="766"/>
      <c r="HS191" s="766"/>
      <c r="HT191" s="766"/>
      <c r="HU191" s="766"/>
      <c r="HV191" s="766"/>
      <c r="HW191" s="766"/>
      <c r="HX191" s="766"/>
      <c r="HY191" s="766"/>
      <c r="HZ191" s="766"/>
      <c r="IA191" s="766"/>
      <c r="IB191" s="766" t="s">
        <v>1207</v>
      </c>
      <c r="IC191" s="766" t="s">
        <v>1207</v>
      </c>
      <c r="ID191" s="766"/>
      <c r="IE191" s="766"/>
      <c r="IF191" s="766"/>
      <c r="IG191" s="766"/>
      <c r="IH191" s="766"/>
      <c r="II191" s="766"/>
      <c r="IJ191" s="766"/>
      <c r="IK191" s="766"/>
      <c r="IL191" s="766"/>
      <c r="IM191" s="766"/>
      <c r="IN191" s="766"/>
      <c r="IO191" s="766"/>
      <c r="IP191" s="766"/>
      <c r="IQ191" s="766"/>
      <c r="IR191" s="766"/>
      <c r="IS191" s="766"/>
      <c r="IT191" s="766"/>
      <c r="IU191" s="766"/>
      <c r="IV191" s="766"/>
      <c r="IW191" s="766"/>
      <c r="IX191" s="766"/>
      <c r="IY191" s="766"/>
      <c r="IZ191" s="766"/>
      <c r="JA191" s="766"/>
      <c r="JB191" s="766"/>
      <c r="JC191" s="766"/>
      <c r="JD191" s="775"/>
      <c r="JE191" s="766"/>
      <c r="JF191" s="766"/>
      <c r="JG191" s="766"/>
      <c r="JH191" s="766"/>
      <c r="JI191" s="766"/>
      <c r="JJ191" s="766">
        <v>3</v>
      </c>
      <c r="JK191" s="766" t="s">
        <v>2074</v>
      </c>
      <c r="JL191" s="766">
        <v>2</v>
      </c>
      <c r="JM191" s="766"/>
      <c r="JN191" s="766"/>
      <c r="JO191" s="766">
        <v>1</v>
      </c>
      <c r="JP191" s="766"/>
      <c r="JQ191" s="766"/>
      <c r="JR191" s="766"/>
      <c r="JS191" s="766"/>
      <c r="JT191" s="766">
        <f t="shared" si="45"/>
        <v>2</v>
      </c>
      <c r="JU191" s="766">
        <f t="shared" si="45"/>
        <v>1</v>
      </c>
      <c r="JV191" s="766"/>
      <c r="JW191" s="766"/>
      <c r="JX191" s="766"/>
      <c r="JY191" s="766"/>
      <c r="JZ191" s="766">
        <v>2</v>
      </c>
      <c r="KA191" s="766"/>
      <c r="KB191" s="766"/>
      <c r="KC191" s="766"/>
      <c r="KD191" s="766"/>
      <c r="KE191" s="766">
        <v>1</v>
      </c>
      <c r="KF191" s="766"/>
      <c r="KG191" s="766"/>
      <c r="KH191" s="766"/>
      <c r="KI191" s="766"/>
      <c r="KJ191" s="770">
        <f t="shared" si="38"/>
        <v>2</v>
      </c>
      <c r="KK191" s="770">
        <f t="shared" si="38"/>
        <v>1</v>
      </c>
      <c r="KL191" s="770"/>
      <c r="KM191" s="770"/>
      <c r="KN191" s="766" t="s">
        <v>783</v>
      </c>
      <c r="KO191" s="770"/>
      <c r="KP191" s="766"/>
      <c r="KQ191" s="766"/>
      <c r="KR191" s="766"/>
      <c r="KS191" s="766"/>
      <c r="KT191" s="766">
        <v>1</v>
      </c>
      <c r="KU191" s="766"/>
      <c r="KV191" s="766"/>
      <c r="KW191" s="766"/>
      <c r="KX191" s="766">
        <v>1</v>
      </c>
      <c r="KY191" s="766"/>
      <c r="KZ191" s="766"/>
      <c r="LA191" s="766">
        <v>1</v>
      </c>
      <c r="LB191" s="766"/>
      <c r="LC191" s="766"/>
      <c r="LD191" s="766"/>
      <c r="LE191" s="766"/>
      <c r="LF191" s="766"/>
      <c r="LG191" s="766"/>
      <c r="LH191" s="766"/>
      <c r="LI191" s="766"/>
      <c r="LJ191" s="766"/>
      <c r="LK191" s="766"/>
      <c r="LL191" s="766"/>
      <c r="LM191" s="766"/>
      <c r="LN191" s="766">
        <f t="shared" si="39"/>
        <v>2</v>
      </c>
      <c r="LO191" s="766">
        <f t="shared" si="39"/>
        <v>1</v>
      </c>
      <c r="LP191" s="766">
        <v>1</v>
      </c>
      <c r="LQ191" s="766"/>
      <c r="LR191" s="766"/>
      <c r="LS191" s="766"/>
      <c r="LT191" s="766"/>
      <c r="LU191" s="766"/>
      <c r="LV191" s="766">
        <v>1</v>
      </c>
      <c r="LW191" s="766"/>
      <c r="LX191" s="769">
        <v>3</v>
      </c>
      <c r="LY191" s="766" t="str">
        <f t="shared" si="43"/>
        <v>within the PROVINCE</v>
      </c>
      <c r="LZ191" s="66"/>
      <c r="MA191" s="766"/>
      <c r="MB191" s="766"/>
      <c r="MC191" s="1679">
        <f t="shared" si="41"/>
        <v>0</v>
      </c>
      <c r="MD191" s="66">
        <v>6500</v>
      </c>
      <c r="ME191" s="66"/>
      <c r="MF191" s="66"/>
      <c r="MG191" s="1680">
        <f t="shared" si="34"/>
        <v>6500</v>
      </c>
      <c r="MH191" s="766"/>
      <c r="MI191" s="775"/>
      <c r="MJ191" s="775"/>
      <c r="MK191" s="775"/>
      <c r="ML191" s="775"/>
      <c r="MM191" s="775"/>
      <c r="MN191" s="775"/>
      <c r="MO191" s="775"/>
      <c r="MP191" s="775"/>
      <c r="MQ191" s="775"/>
      <c r="MR191" s="775"/>
      <c r="MS191" s="775"/>
      <c r="MT191" s="775"/>
      <c r="MU191" s="775"/>
      <c r="MV191" s="775"/>
      <c r="MW191" s="775"/>
      <c r="MX191" s="775"/>
      <c r="MY191" s="1682">
        <f t="shared" si="35"/>
        <v>0</v>
      </c>
      <c r="MZ191" s="766" t="s">
        <v>13164</v>
      </c>
      <c r="NA191" s="766" t="s">
        <v>13005</v>
      </c>
      <c r="NB191" s="766" t="s">
        <v>13069</v>
      </c>
      <c r="NC191" s="766"/>
      <c r="ND191" s="766">
        <v>0</v>
      </c>
      <c r="NE191" s="766">
        <v>0</v>
      </c>
      <c r="NF191" s="766">
        <v>0</v>
      </c>
      <c r="NG191" s="766">
        <v>2</v>
      </c>
      <c r="NH191" s="766">
        <v>1</v>
      </c>
      <c r="NI191" s="766">
        <v>1</v>
      </c>
      <c r="NJ191" s="766">
        <v>0</v>
      </c>
      <c r="NK191" s="766">
        <v>0</v>
      </c>
      <c r="NL191" s="766">
        <v>1</v>
      </c>
      <c r="NM191" s="766">
        <v>1</v>
      </c>
      <c r="NN191" s="766">
        <v>0</v>
      </c>
      <c r="NO191" s="766">
        <v>0</v>
      </c>
      <c r="NP191" s="766">
        <v>0</v>
      </c>
      <c r="NQ191" s="766">
        <v>1</v>
      </c>
      <c r="NR191" s="766">
        <v>0</v>
      </c>
      <c r="NS191" s="766">
        <v>0</v>
      </c>
      <c r="NT191" s="766">
        <v>0</v>
      </c>
      <c r="NU191" s="766">
        <v>0</v>
      </c>
      <c r="NV191" s="766">
        <v>0</v>
      </c>
      <c r="NW191" s="766">
        <v>0</v>
      </c>
      <c r="NX191" s="766">
        <v>0</v>
      </c>
      <c r="NY191" s="766" t="s">
        <v>1208</v>
      </c>
      <c r="NZ191" s="766" t="s">
        <v>1208</v>
      </c>
      <c r="OA191" s="766" t="s">
        <v>1208</v>
      </c>
      <c r="OB191" s="766"/>
      <c r="OC191" s="766" t="s">
        <v>1208</v>
      </c>
      <c r="OD191" s="766" t="s">
        <v>1208</v>
      </c>
      <c r="OE191" s="766"/>
      <c r="OF191" s="766"/>
      <c r="OG191" s="766"/>
      <c r="OH191" s="766"/>
      <c r="OI191" s="766"/>
      <c r="OJ191" s="766"/>
      <c r="OK191" s="766"/>
      <c r="OL191" s="766"/>
      <c r="OM191" s="766"/>
      <c r="ON191" s="766"/>
      <c r="OO191" s="766"/>
      <c r="OP191" s="766"/>
      <c r="OQ191" s="766"/>
      <c r="OR191" s="766"/>
      <c r="OS191" s="766"/>
      <c r="OT191" s="766"/>
      <c r="OU191" s="766"/>
      <c r="OV191" s="766"/>
      <c r="OW191" s="766"/>
      <c r="OX191" s="766"/>
      <c r="OY191" s="766"/>
      <c r="OZ191" s="766"/>
      <c r="PA191" s="766"/>
      <c r="PB191" s="766"/>
      <c r="PC191" s="766"/>
      <c r="PD191" s="766"/>
      <c r="PE191" s="766"/>
      <c r="PF191" s="766"/>
      <c r="PG191" s="766"/>
      <c r="PH191" s="766"/>
      <c r="PI191" s="766"/>
      <c r="PJ191" s="766"/>
      <c r="PK191" s="766" t="s">
        <v>1208</v>
      </c>
      <c r="PL191" s="766"/>
      <c r="PM191" s="766"/>
      <c r="PN191" s="766"/>
      <c r="PO191" s="766"/>
      <c r="PP191" s="766"/>
      <c r="PQ191" s="766"/>
      <c r="PR191" s="766"/>
      <c r="PS191" s="766" t="s">
        <v>1208</v>
      </c>
      <c r="PT191" s="766" t="s">
        <v>1208</v>
      </c>
      <c r="PU191" s="766"/>
      <c r="PV191" s="766"/>
      <c r="PW191" s="766"/>
      <c r="PX191" s="766"/>
      <c r="PY191" s="766"/>
      <c r="PZ191" s="766"/>
      <c r="QA191" s="766"/>
      <c r="QB191" s="766"/>
      <c r="QC191" s="766"/>
      <c r="QD191" s="766"/>
      <c r="QE191" s="766"/>
      <c r="QF191" s="766"/>
      <c r="QG191" s="766"/>
      <c r="QH191" s="766"/>
      <c r="QI191" s="766"/>
      <c r="QJ191" s="766"/>
      <c r="QK191" s="766"/>
      <c r="QL191" s="766"/>
      <c r="QM191" s="766"/>
      <c r="QN191" s="766"/>
      <c r="QO191" s="766"/>
      <c r="QP191" s="766"/>
      <c r="QQ191" s="766"/>
      <c r="QR191" s="766"/>
      <c r="QS191" s="766"/>
      <c r="QT191" s="766"/>
      <c r="QU191" s="766"/>
      <c r="QV191" s="766"/>
      <c r="QW191" s="766"/>
      <c r="QX191" s="766"/>
      <c r="QY191" s="766"/>
      <c r="QZ191" s="766"/>
      <c r="RA191" s="766"/>
      <c r="RB191" s="770" t="s">
        <v>1207</v>
      </c>
      <c r="RC191" s="766">
        <v>2009</v>
      </c>
      <c r="RD191" s="766" t="s">
        <v>13223</v>
      </c>
      <c r="RE191" s="766"/>
      <c r="RF191" s="777">
        <v>1.5</v>
      </c>
      <c r="RG191" s="766" t="s">
        <v>13257</v>
      </c>
      <c r="RH191" s="66">
        <v>0</v>
      </c>
      <c r="RI191" s="1708">
        <v>24</v>
      </c>
      <c r="RJ191" s="766" t="s">
        <v>2074</v>
      </c>
      <c r="RK191" s="766" t="s">
        <v>13206</v>
      </c>
      <c r="RL191" s="1683"/>
      <c r="RM191" s="12"/>
      <c r="RN191" s="1711"/>
      <c r="RO191" s="171" t="s">
        <v>314</v>
      </c>
      <c r="RP191" s="11"/>
      <c r="RQ191" s="11"/>
      <c r="RR191" s="771"/>
      <c r="RS191" s="766"/>
      <c r="RT191" s="11"/>
      <c r="RU191" s="11"/>
      <c r="RV191" s="766" t="s">
        <v>12444</v>
      </c>
      <c r="RW191" s="11" t="s">
        <v>7534</v>
      </c>
      <c r="RX191" s="11" t="s">
        <v>307</v>
      </c>
      <c r="RY191" s="11"/>
      <c r="RZ191" s="11" t="s">
        <v>7419</v>
      </c>
      <c r="SA191" s="766"/>
      <c r="SB191" s="11"/>
      <c r="SC191" s="11"/>
    </row>
    <row r="192" spans="1:497" ht="12.75" hidden="1" customHeight="1">
      <c r="A192" s="343" t="s">
        <v>7419</v>
      </c>
      <c r="B192" s="292" t="s">
        <v>7963</v>
      </c>
      <c r="C192" s="171" t="s">
        <v>320</v>
      </c>
      <c r="D192" s="766" t="s">
        <v>321</v>
      </c>
      <c r="E192" s="766" t="s">
        <v>7248</v>
      </c>
      <c r="F192" s="766" t="s">
        <v>28</v>
      </c>
      <c r="G192" s="766" t="s">
        <v>18</v>
      </c>
      <c r="H192" s="766"/>
      <c r="I192" s="5"/>
      <c r="J192" s="766" t="s">
        <v>321</v>
      </c>
      <c r="K192" s="766" t="s">
        <v>322</v>
      </c>
      <c r="L192" s="766" t="s">
        <v>323</v>
      </c>
      <c r="M192" s="766"/>
      <c r="N192" s="766" t="s">
        <v>12186</v>
      </c>
      <c r="O192" s="766" t="s">
        <v>12190</v>
      </c>
      <c r="P192" s="766" t="s">
        <v>321</v>
      </c>
      <c r="Q192" s="1085"/>
      <c r="R192" s="297"/>
      <c r="S192" s="766" t="s">
        <v>18</v>
      </c>
      <c r="T192" s="766"/>
      <c r="U192" s="26"/>
      <c r="V192" s="766"/>
      <c r="W192" s="766"/>
      <c r="X192" s="766"/>
      <c r="Y192" s="766"/>
      <c r="Z192" s="766"/>
      <c r="AA192" s="766"/>
      <c r="AB192" s="766"/>
      <c r="AC192" s="766"/>
      <c r="AD192" s="766"/>
      <c r="AE192" s="766"/>
      <c r="AF192" s="766"/>
      <c r="AG192" s="766" t="s">
        <v>1095</v>
      </c>
      <c r="AH192" s="766" t="s">
        <v>1096</v>
      </c>
      <c r="AI192" s="766" t="s">
        <v>1155</v>
      </c>
      <c r="AJ192" s="766"/>
      <c r="AK192" s="766" t="s">
        <v>1097</v>
      </c>
      <c r="AL192" s="121">
        <v>9.8800000000000008</v>
      </c>
      <c r="AM192" s="772">
        <v>2.08</v>
      </c>
      <c r="AN192" s="774">
        <f>AM192/AL192</f>
        <v>0.21052631578947367</v>
      </c>
      <c r="AO192" s="766" t="s">
        <v>11358</v>
      </c>
      <c r="AP192" s="766"/>
      <c r="AQ192" s="766"/>
      <c r="AR192" s="766"/>
      <c r="AS192" s="766" t="s">
        <v>1207</v>
      </c>
      <c r="AT192" s="766" t="s">
        <v>1208</v>
      </c>
      <c r="AU192" s="766"/>
      <c r="AV192" s="766"/>
      <c r="AW192" s="766"/>
      <c r="AX192" s="766"/>
      <c r="AY192" s="766"/>
      <c r="AZ192" s="766"/>
      <c r="BA192" s="766"/>
      <c r="BB192" s="766"/>
      <c r="BC192" s="766" t="s">
        <v>853</v>
      </c>
      <c r="BD192" s="766" t="s">
        <v>1207</v>
      </c>
      <c r="BE192" s="766"/>
      <c r="BF192" s="775"/>
      <c r="BG192" s="775"/>
      <c r="BH192" s="766"/>
      <c r="BI192" s="766"/>
      <c r="BJ192" s="766"/>
      <c r="BK192" s="766" t="s">
        <v>1095</v>
      </c>
      <c r="BL192" s="766" t="s">
        <v>1155</v>
      </c>
      <c r="BM192" s="766" t="s">
        <v>1096</v>
      </c>
      <c r="BN192" s="766" t="s">
        <v>1230</v>
      </c>
      <c r="BO192" s="766" t="s">
        <v>1246</v>
      </c>
      <c r="BP192" s="776">
        <v>9.8800000000000008</v>
      </c>
      <c r="BQ192" s="772">
        <v>2.08</v>
      </c>
      <c r="BR192" s="774">
        <f>BQ192/BP192</f>
        <v>0.21052631578947367</v>
      </c>
      <c r="BS192" s="6" t="s">
        <v>1149</v>
      </c>
      <c r="BT192" s="766" t="s">
        <v>2040</v>
      </c>
      <c r="BU192" s="766" t="s">
        <v>1249</v>
      </c>
      <c r="BV192" s="766" t="s">
        <v>1247</v>
      </c>
      <c r="BW192" s="766">
        <v>1975</v>
      </c>
      <c r="BX192" s="779"/>
      <c r="BY192" s="766" t="s">
        <v>1207</v>
      </c>
      <c r="BZ192" s="766"/>
      <c r="CA192" s="766"/>
      <c r="CB192" s="766"/>
      <c r="CC192" s="766"/>
      <c r="CD192" s="766"/>
      <c r="CE192" s="766"/>
      <c r="CF192" s="777"/>
      <c r="CG192" s="778"/>
      <c r="CH192" s="766"/>
      <c r="CI192" s="766"/>
      <c r="CJ192" s="766"/>
      <c r="CK192" s="766"/>
      <c r="CL192" s="766"/>
      <c r="CM192" s="766"/>
      <c r="CN192" s="766"/>
      <c r="CO192" s="766"/>
      <c r="CP192" s="766"/>
      <c r="CQ192" s="766"/>
      <c r="CR192" s="766"/>
      <c r="CS192" s="766"/>
      <c r="CT192" s="766"/>
      <c r="CU192" s="129"/>
      <c r="CV192" s="766"/>
      <c r="CW192" s="766"/>
      <c r="CX192" s="766"/>
      <c r="CY192" s="766"/>
      <c r="CZ192" s="766"/>
      <c r="DA192" s="766"/>
      <c r="DB192" s="766"/>
      <c r="DC192" s="766"/>
      <c r="DD192" s="766"/>
      <c r="DE192" s="766"/>
      <c r="DF192" s="766"/>
      <c r="DG192" s="766"/>
      <c r="DH192" s="766"/>
      <c r="DI192" s="766"/>
      <c r="DJ192" s="766"/>
      <c r="DK192" s="766"/>
      <c r="DL192" s="766"/>
      <c r="DM192" s="766"/>
      <c r="DN192" s="766"/>
      <c r="DO192" s="766"/>
      <c r="DP192" s="766"/>
      <c r="DQ192" s="766"/>
      <c r="DR192" s="766"/>
      <c r="DS192" s="59"/>
      <c r="DT192" s="766"/>
      <c r="DU192" s="766"/>
      <c r="DV192" s="766"/>
      <c r="DW192" s="66"/>
      <c r="DX192" s="66"/>
      <c r="DY192" s="766"/>
      <c r="DZ192" s="766"/>
      <c r="EA192" s="766"/>
      <c r="EB192" s="766"/>
      <c r="EC192" s="766"/>
      <c r="ED192" s="766"/>
      <c r="EE192" s="766"/>
      <c r="EF192" s="766"/>
      <c r="EG192" s="766"/>
      <c r="EH192" s="766"/>
      <c r="EI192" s="766"/>
      <c r="EJ192" s="766"/>
      <c r="EK192" s="766"/>
      <c r="EL192" s="766"/>
      <c r="EM192" s="766"/>
      <c r="EN192" s="766"/>
      <c r="EO192" s="766"/>
      <c r="EP192" s="766"/>
      <c r="EQ192" s="766"/>
      <c r="ER192" s="766"/>
      <c r="ES192" s="766"/>
      <c r="ET192" s="766"/>
      <c r="EU192" s="766"/>
      <c r="EV192" s="766"/>
      <c r="EW192" s="766"/>
      <c r="EX192" s="766"/>
      <c r="EY192" s="766"/>
      <c r="EZ192" s="766"/>
      <c r="FA192" s="766"/>
      <c r="FB192" s="766"/>
      <c r="FC192" s="766"/>
      <c r="FD192" s="775"/>
      <c r="FE192" s="766"/>
      <c r="FF192" s="766"/>
      <c r="FG192" s="766"/>
      <c r="FH192" s="766" t="s">
        <v>478</v>
      </c>
      <c r="FI192" s="766">
        <v>1</v>
      </c>
      <c r="FJ192" s="766"/>
      <c r="FK192" s="766"/>
      <c r="FL192" s="766"/>
      <c r="FM192" s="775"/>
      <c r="FN192" s="766"/>
      <c r="FO192" s="766"/>
      <c r="FP192" s="766" t="s">
        <v>1600</v>
      </c>
      <c r="FQ192" s="766" t="s">
        <v>1642</v>
      </c>
      <c r="FR192" s="766" t="s">
        <v>1207</v>
      </c>
      <c r="FS192" s="766"/>
      <c r="FT192" s="766"/>
      <c r="FU192" s="766"/>
      <c r="FV192" s="766"/>
      <c r="FW192" s="766"/>
      <c r="FX192" s="766"/>
      <c r="FY192" s="766"/>
      <c r="FZ192" s="766"/>
      <c r="GA192" s="766"/>
      <c r="GB192" s="766" t="s">
        <v>853</v>
      </c>
      <c r="GC192" s="766" t="s">
        <v>1733</v>
      </c>
      <c r="GD192" s="25" t="s">
        <v>110</v>
      </c>
      <c r="GE192" s="766"/>
      <c r="GF192" s="766"/>
      <c r="GG192" s="766"/>
      <c r="GH192" s="766"/>
      <c r="GI192" s="766"/>
      <c r="GJ192" s="766"/>
      <c r="GK192" s="766"/>
      <c r="GL192" s="766"/>
      <c r="GM192" s="766"/>
      <c r="GN192" s="82"/>
      <c r="GO192" s="766"/>
      <c r="GP192" s="766"/>
      <c r="GQ192" s="766"/>
      <c r="GR192" s="766"/>
      <c r="GS192" s="766"/>
      <c r="GT192" s="766"/>
      <c r="GU192" s="766"/>
      <c r="GV192" s="766"/>
      <c r="GW192" s="766"/>
      <c r="GX192" s="766"/>
      <c r="GY192" s="766"/>
      <c r="GZ192" s="766"/>
      <c r="HA192" s="766"/>
      <c r="HB192" s="766"/>
      <c r="HC192" s="766"/>
      <c r="HD192" s="766"/>
      <c r="HE192" s="766"/>
      <c r="HF192" s="766"/>
      <c r="HG192" s="766"/>
      <c r="HH192" s="766"/>
      <c r="HI192" s="766"/>
      <c r="HJ192" s="766"/>
      <c r="HK192" s="766"/>
      <c r="HL192" s="766"/>
      <c r="HM192" s="766"/>
      <c r="HN192" s="766"/>
      <c r="HO192" s="766"/>
      <c r="HP192" s="766"/>
      <c r="HQ192" s="766"/>
      <c r="HR192" s="766"/>
      <c r="HS192" s="766"/>
      <c r="HT192" s="766"/>
      <c r="HU192" s="766"/>
      <c r="HV192" s="766"/>
      <c r="HW192" s="766"/>
      <c r="HX192" s="766"/>
      <c r="HY192" s="766"/>
      <c r="HZ192" s="766"/>
      <c r="IA192" s="766"/>
      <c r="IB192" s="766"/>
      <c r="IC192" s="766" t="s">
        <v>1207</v>
      </c>
      <c r="ID192" s="766">
        <v>2</v>
      </c>
      <c r="IE192" s="766"/>
      <c r="IF192" s="766"/>
      <c r="IG192" s="766"/>
      <c r="IH192" s="766"/>
      <c r="II192" s="766"/>
      <c r="IJ192" s="766"/>
      <c r="IK192" s="766"/>
      <c r="IL192" s="766"/>
      <c r="IM192" s="766"/>
      <c r="IN192" s="766"/>
      <c r="IO192" s="766"/>
      <c r="IP192" s="766"/>
      <c r="IQ192" s="766"/>
      <c r="IR192" s="766"/>
      <c r="IS192" s="766"/>
      <c r="IT192" s="766"/>
      <c r="IU192" s="766"/>
      <c r="IV192" s="766"/>
      <c r="IW192" s="766"/>
      <c r="IX192" s="766"/>
      <c r="IY192" s="766"/>
      <c r="IZ192" s="766"/>
      <c r="JA192" s="766"/>
      <c r="JB192" s="766"/>
      <c r="JC192" s="766"/>
      <c r="JD192" s="775"/>
      <c r="JE192" s="766"/>
      <c r="JF192" s="766"/>
      <c r="JG192" s="766"/>
      <c r="JH192" s="766"/>
      <c r="JI192" s="766"/>
      <c r="JJ192" s="766">
        <v>4</v>
      </c>
      <c r="JK192" s="766" t="s">
        <v>13258</v>
      </c>
      <c r="JL192" s="766"/>
      <c r="JM192" s="766">
        <v>1</v>
      </c>
      <c r="JN192" s="766">
        <v>1</v>
      </c>
      <c r="JO192" s="766">
        <v>2</v>
      </c>
      <c r="JP192" s="766"/>
      <c r="JQ192" s="766">
        <v>1</v>
      </c>
      <c r="JR192" s="766"/>
      <c r="JS192" s="766"/>
      <c r="JT192" s="766">
        <f t="shared" si="45"/>
        <v>1</v>
      </c>
      <c r="JU192" s="766">
        <f t="shared" si="45"/>
        <v>4</v>
      </c>
      <c r="JV192" s="766"/>
      <c r="JW192" s="766"/>
      <c r="JX192" s="766"/>
      <c r="JY192" s="766">
        <v>1</v>
      </c>
      <c r="JZ192" s="766"/>
      <c r="KA192" s="766"/>
      <c r="KB192" s="766"/>
      <c r="KC192" s="766">
        <v>1</v>
      </c>
      <c r="KD192" s="766">
        <v>1</v>
      </c>
      <c r="KE192" s="766"/>
      <c r="KF192" s="766"/>
      <c r="KG192" s="766">
        <v>2</v>
      </c>
      <c r="KH192" s="766"/>
      <c r="KI192" s="766"/>
      <c r="KJ192" s="770">
        <f t="shared" si="38"/>
        <v>1</v>
      </c>
      <c r="KK192" s="770">
        <f t="shared" si="38"/>
        <v>4</v>
      </c>
      <c r="KL192" s="770"/>
      <c r="KM192" s="770"/>
      <c r="KN192" s="766" t="s">
        <v>707</v>
      </c>
      <c r="KO192" s="770"/>
      <c r="KP192" s="766"/>
      <c r="KQ192" s="766"/>
      <c r="KR192" s="766"/>
      <c r="KS192" s="766"/>
      <c r="KT192" s="766"/>
      <c r="KU192" s="766"/>
      <c r="KV192" s="766"/>
      <c r="KW192" s="766">
        <v>1</v>
      </c>
      <c r="KX192" s="766">
        <v>1</v>
      </c>
      <c r="KY192" s="766"/>
      <c r="KZ192" s="766"/>
      <c r="LA192" s="766">
        <v>1</v>
      </c>
      <c r="LB192" s="766"/>
      <c r="LC192" s="766"/>
      <c r="LD192" s="766"/>
      <c r="LE192" s="766"/>
      <c r="LF192" s="766"/>
      <c r="LG192" s="766"/>
      <c r="LH192" s="766"/>
      <c r="LI192" s="766"/>
      <c r="LJ192" s="766"/>
      <c r="LK192" s="766">
        <v>1</v>
      </c>
      <c r="LL192" s="766"/>
      <c r="LM192" s="766"/>
      <c r="LN192" s="766">
        <f t="shared" si="39"/>
        <v>1</v>
      </c>
      <c r="LO192" s="766">
        <f t="shared" si="39"/>
        <v>3</v>
      </c>
      <c r="LP192" s="766">
        <v>2</v>
      </c>
      <c r="LQ192" s="766"/>
      <c r="LR192" s="766"/>
      <c r="LS192" s="766">
        <v>1</v>
      </c>
      <c r="LT192" s="766"/>
      <c r="LU192" s="766"/>
      <c r="LV192" s="766">
        <v>1</v>
      </c>
      <c r="LW192" s="766"/>
      <c r="LX192" s="769">
        <v>0</v>
      </c>
      <c r="LY192" s="766">
        <f t="shared" si="43"/>
        <v>0</v>
      </c>
      <c r="LZ192" s="66"/>
      <c r="MA192" s="766"/>
      <c r="MB192" s="766"/>
      <c r="MC192" s="1679">
        <f t="shared" si="41"/>
        <v>0</v>
      </c>
      <c r="MD192" s="66"/>
      <c r="ME192" s="66"/>
      <c r="MF192" s="66"/>
      <c r="MG192" s="1680">
        <f t="shared" si="34"/>
        <v>0</v>
      </c>
      <c r="MH192" s="766"/>
      <c r="MI192" s="775"/>
      <c r="MJ192" s="775"/>
      <c r="MK192" s="775"/>
      <c r="ML192" s="775"/>
      <c r="MM192" s="775"/>
      <c r="MN192" s="775"/>
      <c r="MO192" s="775"/>
      <c r="MP192" s="775"/>
      <c r="MQ192" s="775"/>
      <c r="MR192" s="775"/>
      <c r="MS192" s="775"/>
      <c r="MT192" s="775"/>
      <c r="MU192" s="775"/>
      <c r="MV192" s="775"/>
      <c r="MW192" s="775"/>
      <c r="MX192" s="775"/>
      <c r="MY192" s="1682">
        <f t="shared" si="35"/>
        <v>0</v>
      </c>
      <c r="MZ192" s="766" t="s">
        <v>13164</v>
      </c>
      <c r="NA192" s="766" t="s">
        <v>13005</v>
      </c>
      <c r="NB192" s="766" t="s">
        <v>13069</v>
      </c>
      <c r="NC192" s="766"/>
      <c r="ND192" s="766">
        <v>0</v>
      </c>
      <c r="NE192" s="766">
        <v>0</v>
      </c>
      <c r="NF192" s="766">
        <v>0</v>
      </c>
      <c r="NG192" s="766">
        <v>1</v>
      </c>
      <c r="NH192" s="766">
        <v>1</v>
      </c>
      <c r="NI192" s="766">
        <v>0</v>
      </c>
      <c r="NJ192" s="766">
        <v>1</v>
      </c>
      <c r="NK192" s="766">
        <v>0</v>
      </c>
      <c r="NL192" s="766">
        <v>1</v>
      </c>
      <c r="NM192" s="766">
        <v>1</v>
      </c>
      <c r="NN192" s="766">
        <v>0</v>
      </c>
      <c r="NO192" s="766">
        <v>0</v>
      </c>
      <c r="NP192" s="766">
        <v>0</v>
      </c>
      <c r="NQ192" s="766">
        <v>1</v>
      </c>
      <c r="NR192" s="766">
        <v>0</v>
      </c>
      <c r="NS192" s="766">
        <v>0</v>
      </c>
      <c r="NT192" s="766">
        <v>0</v>
      </c>
      <c r="NU192" s="766">
        <v>0</v>
      </c>
      <c r="NV192" s="766">
        <v>0</v>
      </c>
      <c r="NW192" s="766">
        <v>0</v>
      </c>
      <c r="NX192" s="766">
        <v>0</v>
      </c>
      <c r="NY192" s="766" t="s">
        <v>1208</v>
      </c>
      <c r="NZ192" s="766"/>
      <c r="OA192" s="766"/>
      <c r="OB192" s="766"/>
      <c r="OC192" s="766" t="s">
        <v>1208</v>
      </c>
      <c r="OD192" s="766"/>
      <c r="OE192" s="766"/>
      <c r="OF192" s="766" t="s">
        <v>2142</v>
      </c>
      <c r="OG192" s="766"/>
      <c r="OH192" s="766"/>
      <c r="OI192" s="766"/>
      <c r="OJ192" s="766"/>
      <c r="OK192" s="766"/>
      <c r="OL192" s="766" t="s">
        <v>13124</v>
      </c>
      <c r="OM192" s="766" t="s">
        <v>1824</v>
      </c>
      <c r="ON192" s="766"/>
      <c r="OO192" s="766" t="s">
        <v>1207</v>
      </c>
      <c r="OP192" s="766" t="s">
        <v>13259</v>
      </c>
      <c r="OQ192" s="766" t="s">
        <v>13260</v>
      </c>
      <c r="OR192" s="12"/>
      <c r="OS192" s="766" t="s">
        <v>13261</v>
      </c>
      <c r="OT192" s="766" t="s">
        <v>13262</v>
      </c>
      <c r="OU192" s="766" t="s">
        <v>13263</v>
      </c>
      <c r="OV192" s="766" t="s">
        <v>1208</v>
      </c>
      <c r="OW192" s="766"/>
      <c r="OX192" s="766" t="s">
        <v>1208</v>
      </c>
      <c r="OY192" s="766"/>
      <c r="OZ192" s="766"/>
      <c r="PA192" s="766"/>
      <c r="PB192" s="766"/>
      <c r="PC192" s="766"/>
      <c r="PD192" s="766"/>
      <c r="PE192" s="766"/>
      <c r="PF192" s="766"/>
      <c r="PG192" s="766"/>
      <c r="PH192" s="766"/>
      <c r="PI192" s="766"/>
      <c r="PJ192" s="766"/>
      <c r="PK192" s="766" t="s">
        <v>1208</v>
      </c>
      <c r="PL192" s="766"/>
      <c r="PM192" s="766"/>
      <c r="PN192" s="766"/>
      <c r="PO192" s="766"/>
      <c r="PP192" s="766"/>
      <c r="PQ192" s="766"/>
      <c r="PR192" s="766"/>
      <c r="PS192" s="766"/>
      <c r="PT192" s="766"/>
      <c r="PU192" s="766"/>
      <c r="PV192" s="766"/>
      <c r="PW192" s="766"/>
      <c r="PX192" s="766"/>
      <c r="PY192" s="766"/>
      <c r="PZ192" s="766"/>
      <c r="QA192" s="766"/>
      <c r="QB192" s="766"/>
      <c r="QC192" s="766"/>
      <c r="QD192" s="766"/>
      <c r="QE192" s="766"/>
      <c r="QF192" s="766"/>
      <c r="QG192" s="766"/>
      <c r="QH192" s="766"/>
      <c r="QI192" s="766"/>
      <c r="QJ192" s="766"/>
      <c r="QK192" s="766"/>
      <c r="QL192" s="766" t="s">
        <v>1208</v>
      </c>
      <c r="QM192" s="766"/>
      <c r="QN192" s="766"/>
      <c r="QO192" s="766"/>
      <c r="QP192" s="766"/>
      <c r="QQ192" s="766"/>
      <c r="QR192" s="766"/>
      <c r="QS192" s="766"/>
      <c r="QT192" s="766"/>
      <c r="QU192" s="766"/>
      <c r="QV192" s="766"/>
      <c r="QW192" s="766"/>
      <c r="QX192" s="766"/>
      <c r="QY192" s="766"/>
      <c r="QZ192" s="766"/>
      <c r="RA192" s="766"/>
      <c r="RB192" s="766"/>
      <c r="RC192" s="766"/>
      <c r="RD192" s="766"/>
      <c r="RE192" s="766"/>
      <c r="RF192" s="777"/>
      <c r="RG192" s="766"/>
      <c r="RH192" s="66"/>
      <c r="RI192" s="766"/>
      <c r="RJ192" s="766" t="s">
        <v>13264</v>
      </c>
      <c r="RK192" s="766" t="s">
        <v>13146</v>
      </c>
      <c r="RL192" s="1683"/>
      <c r="RM192" s="12"/>
      <c r="RN192" s="1711"/>
      <c r="RO192" s="171" t="s">
        <v>320</v>
      </c>
      <c r="RP192" s="11"/>
      <c r="RQ192" s="11"/>
      <c r="RR192" s="17"/>
      <c r="RS192" s="158"/>
      <c r="RT192" s="11"/>
      <c r="RU192" s="11"/>
      <c r="RV192" s="158" t="s">
        <v>12444</v>
      </c>
      <c r="RW192" s="11" t="s">
        <v>7535</v>
      </c>
      <c r="RX192" s="11" t="s">
        <v>313</v>
      </c>
      <c r="RY192" s="11"/>
      <c r="RZ192" s="11" t="s">
        <v>7419</v>
      </c>
      <c r="SA192" s="158"/>
      <c r="SB192" s="11"/>
      <c r="SC192" s="11"/>
    </row>
    <row r="193" spans="1:497" ht="12.75" hidden="1" customHeight="1">
      <c r="A193" s="343" t="s">
        <v>14139</v>
      </c>
      <c r="B193" s="292" t="s">
        <v>7583</v>
      </c>
      <c r="C193" s="171" t="s">
        <v>316</v>
      </c>
      <c r="D193" s="766" t="s">
        <v>317</v>
      </c>
      <c r="E193" s="766" t="s">
        <v>7248</v>
      </c>
      <c r="F193" s="766" t="s">
        <v>28</v>
      </c>
      <c r="G193" s="766" t="s">
        <v>10</v>
      </c>
      <c r="H193" s="766"/>
      <c r="I193" s="5" t="s">
        <v>318</v>
      </c>
      <c r="J193" s="766" t="s">
        <v>317</v>
      </c>
      <c r="K193" s="766" t="s">
        <v>315</v>
      </c>
      <c r="L193" s="766" t="s">
        <v>319</v>
      </c>
      <c r="M193" s="766"/>
      <c r="N193" s="766" t="s">
        <v>12186</v>
      </c>
      <c r="O193" s="766" t="s">
        <v>12190</v>
      </c>
      <c r="P193" s="766" t="s">
        <v>317</v>
      </c>
      <c r="Q193" s="1085"/>
      <c r="R193" s="297"/>
      <c r="S193" s="766" t="s">
        <v>5504</v>
      </c>
      <c r="T193" s="766"/>
      <c r="U193" s="26"/>
      <c r="V193" s="766"/>
      <c r="W193" s="766"/>
      <c r="X193" s="766"/>
      <c r="Y193" s="766"/>
      <c r="Z193" s="766"/>
      <c r="AA193" s="766"/>
      <c r="AB193" s="766"/>
      <c r="AC193" s="766"/>
      <c r="AD193" s="28"/>
      <c r="AE193" s="766"/>
      <c r="AF193" s="766"/>
      <c r="AG193" s="766"/>
      <c r="AH193" s="766"/>
      <c r="AI193" s="766"/>
      <c r="AJ193" s="766"/>
      <c r="AK193" s="766" t="s">
        <v>5454</v>
      </c>
      <c r="AL193" s="121">
        <v>19.690000000000001</v>
      </c>
      <c r="AM193" s="772">
        <v>2.4079999999999999</v>
      </c>
      <c r="AN193" s="774">
        <f>AM193/AL193</f>
        <v>0.1222955815134586</v>
      </c>
      <c r="AO193" s="766" t="s">
        <v>1109</v>
      </c>
      <c r="AP193" s="766"/>
      <c r="AQ193" s="766"/>
      <c r="AR193" s="766"/>
      <c r="AS193" s="766"/>
      <c r="AT193" s="766"/>
      <c r="AU193" s="766"/>
      <c r="AV193" s="766"/>
      <c r="AW193" s="766"/>
      <c r="AX193" s="766"/>
      <c r="AY193" s="766"/>
      <c r="AZ193" s="766"/>
      <c r="BA193" s="766"/>
      <c r="BB193" s="766"/>
      <c r="BC193" s="766"/>
      <c r="BD193" s="766"/>
      <c r="BE193" s="766"/>
      <c r="BF193" s="775"/>
      <c r="BG193" s="775"/>
      <c r="BH193" s="766"/>
      <c r="BI193" s="766"/>
      <c r="BJ193" s="766"/>
      <c r="BK193" s="766" t="s">
        <v>1095</v>
      </c>
      <c r="BL193" s="766" t="s">
        <v>1319</v>
      </c>
      <c r="BM193" s="766" t="s">
        <v>1096</v>
      </c>
      <c r="BN193" s="766" t="s">
        <v>1230</v>
      </c>
      <c r="BO193" s="766" t="s">
        <v>1246</v>
      </c>
      <c r="BP193" s="776">
        <v>19.690000000000001</v>
      </c>
      <c r="BQ193" s="772">
        <v>2.4079999999999999</v>
      </c>
      <c r="BR193" s="774">
        <f>BQ193/BP193</f>
        <v>0.1222955815134586</v>
      </c>
      <c r="BS193" s="766" t="s">
        <v>1242</v>
      </c>
      <c r="BT193" s="766" t="s">
        <v>2040</v>
      </c>
      <c r="BU193" s="766" t="s">
        <v>1249</v>
      </c>
      <c r="BV193" s="766" t="s">
        <v>1243</v>
      </c>
      <c r="BW193" s="766">
        <v>2014</v>
      </c>
      <c r="BX193" s="779">
        <v>200000</v>
      </c>
      <c r="BY193" s="766"/>
      <c r="BZ193" s="766"/>
      <c r="CA193" s="766"/>
      <c r="CB193" s="766"/>
      <c r="CC193" s="766"/>
      <c r="CD193" s="766"/>
      <c r="CE193" s="766"/>
      <c r="CF193" s="777"/>
      <c r="CG193" s="778"/>
      <c r="CH193" s="766"/>
      <c r="CI193" s="766"/>
      <c r="CJ193" s="766"/>
      <c r="CK193" s="766"/>
      <c r="CL193" s="766"/>
      <c r="CM193" s="766"/>
      <c r="CN193" s="766"/>
      <c r="CO193" s="766"/>
      <c r="CP193" s="766"/>
      <c r="CQ193" s="766"/>
      <c r="CR193" s="766"/>
      <c r="CS193" s="766"/>
      <c r="CT193" s="766"/>
      <c r="CU193" s="129"/>
      <c r="CV193" s="766"/>
      <c r="CW193" s="766"/>
      <c r="CX193" s="766"/>
      <c r="CY193" s="766"/>
      <c r="CZ193" s="766"/>
      <c r="DA193" s="766"/>
      <c r="DB193" s="766"/>
      <c r="DC193" s="766"/>
      <c r="DD193" s="766"/>
      <c r="DE193" s="766"/>
      <c r="DF193" s="766"/>
      <c r="DG193" s="766"/>
      <c r="DH193" s="766"/>
      <c r="DI193" s="766"/>
      <c r="DJ193" s="766"/>
      <c r="DK193" s="766"/>
      <c r="DL193" s="766"/>
      <c r="DM193" s="766"/>
      <c r="DN193" s="766"/>
      <c r="DO193" s="766"/>
      <c r="DP193" s="766"/>
      <c r="DQ193" s="766"/>
      <c r="DR193" s="766"/>
      <c r="DS193" s="59"/>
      <c r="DT193" s="766"/>
      <c r="DU193" s="766"/>
      <c r="DV193" s="766"/>
      <c r="DW193" s="66"/>
      <c r="DX193" s="66"/>
      <c r="DY193" s="766"/>
      <c r="DZ193" s="766"/>
      <c r="EA193" s="766"/>
      <c r="EB193" s="766"/>
      <c r="EC193" s="766"/>
      <c r="ED193" s="766"/>
      <c r="EE193" s="766"/>
      <c r="EF193" s="766"/>
      <c r="EG193" s="766"/>
      <c r="EH193" s="766"/>
      <c r="EI193" s="766"/>
      <c r="EJ193" s="766"/>
      <c r="EK193" s="766"/>
      <c r="EL193" s="766"/>
      <c r="EM193" s="766"/>
      <c r="EN193" s="766"/>
      <c r="EO193" s="766"/>
      <c r="EP193" s="766"/>
      <c r="EQ193" s="766"/>
      <c r="ER193" s="766"/>
      <c r="ES193" s="766"/>
      <c r="ET193" s="766"/>
      <c r="EU193" s="766"/>
      <c r="EV193" s="766"/>
      <c r="EW193" s="766"/>
      <c r="EX193" s="766"/>
      <c r="EY193" s="766"/>
      <c r="EZ193" s="766"/>
      <c r="FA193" s="766"/>
      <c r="FB193" s="766"/>
      <c r="FC193" s="766"/>
      <c r="FD193" s="775"/>
      <c r="FE193" s="766"/>
      <c r="FF193" s="766"/>
      <c r="FG193" s="766"/>
      <c r="FH193" s="766" t="s">
        <v>478</v>
      </c>
      <c r="FI193" s="766">
        <v>1</v>
      </c>
      <c r="FJ193" s="766"/>
      <c r="FK193" s="766"/>
      <c r="FL193" s="766"/>
      <c r="FM193" s="775"/>
      <c r="FN193" s="766"/>
      <c r="FO193" s="766"/>
      <c r="FP193" s="766" t="s">
        <v>1600</v>
      </c>
      <c r="FQ193" s="766" t="s">
        <v>1642</v>
      </c>
      <c r="FR193" s="766"/>
      <c r="FS193" s="766"/>
      <c r="FT193" s="766"/>
      <c r="FU193" s="766"/>
      <c r="FV193" s="766"/>
      <c r="FW193" s="766"/>
      <c r="FX193" s="766"/>
      <c r="FY193" s="766"/>
      <c r="FZ193" s="766"/>
      <c r="GA193" s="766"/>
      <c r="GB193" s="766"/>
      <c r="GC193" s="766"/>
      <c r="GD193" s="25"/>
      <c r="GE193" s="766"/>
      <c r="GF193" s="766"/>
      <c r="GG193" s="766"/>
      <c r="GH193" s="766"/>
      <c r="GI193" s="766"/>
      <c r="GJ193" s="766"/>
      <c r="GK193" s="766"/>
      <c r="GL193" s="766"/>
      <c r="GM193" s="766"/>
      <c r="GN193" s="82"/>
      <c r="GO193" s="766"/>
      <c r="GP193" s="766"/>
      <c r="GQ193" s="766"/>
      <c r="GR193" s="766"/>
      <c r="GS193" s="766"/>
      <c r="GT193" s="766"/>
      <c r="GU193" s="766"/>
      <c r="GV193" s="766"/>
      <c r="GW193" s="766"/>
      <c r="GX193" s="766"/>
      <c r="GY193" s="766"/>
      <c r="GZ193" s="766"/>
      <c r="HA193" s="766"/>
      <c r="HB193" s="766"/>
      <c r="HC193" s="766"/>
      <c r="HD193" s="766"/>
      <c r="HE193" s="766"/>
      <c r="HF193" s="766"/>
      <c r="HG193" s="766"/>
      <c r="HH193" s="766"/>
      <c r="HI193" s="766"/>
      <c r="HJ193" s="766"/>
      <c r="HK193" s="766"/>
      <c r="HL193" s="766"/>
      <c r="HM193" s="766"/>
      <c r="HN193" s="766"/>
      <c r="HO193" s="766"/>
      <c r="HP193" s="766"/>
      <c r="HQ193" s="766"/>
      <c r="HR193" s="766"/>
      <c r="HS193" s="766"/>
      <c r="HT193" s="766"/>
      <c r="HU193" s="766"/>
      <c r="HV193" s="766"/>
      <c r="HW193" s="766"/>
      <c r="HX193" s="766"/>
      <c r="HY193" s="766"/>
      <c r="HZ193" s="766"/>
      <c r="IA193" s="766"/>
      <c r="IB193" s="766"/>
      <c r="IC193" s="766"/>
      <c r="ID193" s="766"/>
      <c r="IE193" s="766"/>
      <c r="IF193" s="766"/>
      <c r="IG193" s="766"/>
      <c r="IH193" s="766"/>
      <c r="II193" s="766"/>
      <c r="IJ193" s="766"/>
      <c r="IK193" s="766"/>
      <c r="IL193" s="766"/>
      <c r="IM193" s="766"/>
      <c r="IN193" s="766"/>
      <c r="IO193" s="766"/>
      <c r="IP193" s="766"/>
      <c r="IQ193" s="766"/>
      <c r="IR193" s="766"/>
      <c r="IS193" s="766"/>
      <c r="IT193" s="766"/>
      <c r="IU193" s="766"/>
      <c r="IV193" s="766"/>
      <c r="IW193" s="766"/>
      <c r="IX193" s="766"/>
      <c r="IY193" s="766"/>
      <c r="IZ193" s="766"/>
      <c r="JA193" s="766"/>
      <c r="JB193" s="766"/>
      <c r="JC193" s="766"/>
      <c r="JD193" s="775"/>
      <c r="JE193" s="766"/>
      <c r="JF193" s="766"/>
      <c r="JG193" s="766"/>
      <c r="JH193" s="766"/>
      <c r="JI193" s="766"/>
      <c r="JJ193" s="766">
        <v>4</v>
      </c>
      <c r="JK193" s="766" t="s">
        <v>13265</v>
      </c>
      <c r="JL193" s="766">
        <v>2</v>
      </c>
      <c r="JM193" s="766"/>
      <c r="JN193" s="766">
        <v>1</v>
      </c>
      <c r="JO193" s="766">
        <v>1</v>
      </c>
      <c r="JP193" s="766"/>
      <c r="JQ193" s="766"/>
      <c r="JR193" s="766"/>
      <c r="JS193" s="766"/>
      <c r="JT193" s="766">
        <f t="shared" si="45"/>
        <v>3</v>
      </c>
      <c r="JU193" s="766">
        <f t="shared" si="45"/>
        <v>1</v>
      </c>
      <c r="JV193" s="766"/>
      <c r="JW193" s="766"/>
      <c r="JX193" s="766"/>
      <c r="JY193" s="766"/>
      <c r="JZ193" s="766">
        <v>2</v>
      </c>
      <c r="KA193" s="766"/>
      <c r="KB193" s="766"/>
      <c r="KC193" s="766">
        <v>1</v>
      </c>
      <c r="KD193" s="766">
        <v>1</v>
      </c>
      <c r="KE193" s="766"/>
      <c r="KF193" s="766"/>
      <c r="KG193" s="766"/>
      <c r="KH193" s="766"/>
      <c r="KI193" s="766"/>
      <c r="KJ193" s="770">
        <f t="shared" si="38"/>
        <v>3</v>
      </c>
      <c r="KK193" s="770">
        <f t="shared" si="38"/>
        <v>1</v>
      </c>
      <c r="KL193" s="770"/>
      <c r="KM193" s="770"/>
      <c r="KN193" s="766" t="s">
        <v>707</v>
      </c>
      <c r="KO193" s="770"/>
      <c r="KP193" s="766"/>
      <c r="KQ193" s="766"/>
      <c r="KR193" s="766"/>
      <c r="KS193" s="766"/>
      <c r="KT193" s="766">
        <v>2</v>
      </c>
      <c r="KU193" s="766"/>
      <c r="KV193" s="766"/>
      <c r="KW193" s="766"/>
      <c r="KX193" s="766">
        <v>1</v>
      </c>
      <c r="KY193" s="766"/>
      <c r="KZ193" s="766"/>
      <c r="LA193" s="766"/>
      <c r="LB193" s="766"/>
      <c r="LC193" s="766">
        <v>1</v>
      </c>
      <c r="LD193" s="766"/>
      <c r="LE193" s="766"/>
      <c r="LF193" s="766"/>
      <c r="LG193" s="766"/>
      <c r="LH193" s="766"/>
      <c r="LI193" s="766"/>
      <c r="LJ193" s="766"/>
      <c r="LK193" s="766"/>
      <c r="LL193" s="766"/>
      <c r="LM193" s="766"/>
      <c r="LN193" s="766">
        <f t="shared" si="39"/>
        <v>3</v>
      </c>
      <c r="LO193" s="766">
        <f t="shared" si="39"/>
        <v>1</v>
      </c>
      <c r="LP193" s="766">
        <v>1</v>
      </c>
      <c r="LQ193" s="766">
        <v>1</v>
      </c>
      <c r="LR193" s="766"/>
      <c r="LS193" s="766"/>
      <c r="LT193" s="766"/>
      <c r="LU193" s="766"/>
      <c r="LV193" s="766">
        <v>1</v>
      </c>
      <c r="LW193" s="766"/>
      <c r="LX193" s="769">
        <v>2</v>
      </c>
      <c r="LY193" s="766" t="str">
        <f t="shared" si="43"/>
        <v>within the MUNICIPALITY</v>
      </c>
      <c r="LZ193" s="66"/>
      <c r="MA193" s="766"/>
      <c r="MB193" s="766"/>
      <c r="MC193" s="1679">
        <f t="shared" si="41"/>
        <v>0</v>
      </c>
      <c r="MD193" s="66"/>
      <c r="ME193" s="66"/>
      <c r="MF193" s="66"/>
      <c r="MG193" s="1680">
        <f t="shared" si="34"/>
        <v>0</v>
      </c>
      <c r="MH193" s="766"/>
      <c r="MI193" s="775"/>
      <c r="MJ193" s="775"/>
      <c r="MK193" s="775"/>
      <c r="ML193" s="775"/>
      <c r="MM193" s="775"/>
      <c r="MN193" s="775"/>
      <c r="MO193" s="775"/>
      <c r="MP193" s="775"/>
      <c r="MQ193" s="775"/>
      <c r="MR193" s="775"/>
      <c r="MS193" s="775"/>
      <c r="MT193" s="775"/>
      <c r="MU193" s="775"/>
      <c r="MV193" s="775"/>
      <c r="MW193" s="775"/>
      <c r="MX193" s="775"/>
      <c r="MY193" s="1682">
        <f t="shared" si="35"/>
        <v>0</v>
      </c>
      <c r="MZ193" s="766" t="s">
        <v>13164</v>
      </c>
      <c r="NA193" s="766" t="s">
        <v>13005</v>
      </c>
      <c r="NB193" s="766" t="s">
        <v>13069</v>
      </c>
      <c r="NC193" s="766" t="s">
        <v>13135</v>
      </c>
      <c r="ND193" s="766">
        <v>0</v>
      </c>
      <c r="NE193" s="766">
        <v>0</v>
      </c>
      <c r="NF193" s="766">
        <v>0</v>
      </c>
      <c r="NG193" s="766">
        <v>1</v>
      </c>
      <c r="NH193" s="766">
        <v>1</v>
      </c>
      <c r="NI193" s="766">
        <v>0</v>
      </c>
      <c r="NJ193" s="766">
        <v>1</v>
      </c>
      <c r="NK193" s="766">
        <v>0</v>
      </c>
      <c r="NL193" s="766">
        <v>0</v>
      </c>
      <c r="NM193" s="766">
        <v>0</v>
      </c>
      <c r="NN193" s="766">
        <v>0</v>
      </c>
      <c r="NO193" s="766">
        <v>0</v>
      </c>
      <c r="NP193" s="766">
        <v>0</v>
      </c>
      <c r="NQ193" s="766">
        <v>1</v>
      </c>
      <c r="NR193" s="766">
        <v>0</v>
      </c>
      <c r="NS193" s="766">
        <v>0</v>
      </c>
      <c r="NT193" s="766">
        <v>0</v>
      </c>
      <c r="NU193" s="766">
        <v>0</v>
      </c>
      <c r="NV193" s="766">
        <v>0</v>
      </c>
      <c r="NW193" s="766">
        <v>0</v>
      </c>
      <c r="NX193" s="766">
        <v>0</v>
      </c>
      <c r="NY193" s="766" t="s">
        <v>1208</v>
      </c>
      <c r="NZ193" s="766" t="s">
        <v>1208</v>
      </c>
      <c r="OA193" s="766" t="s">
        <v>1208</v>
      </c>
      <c r="OB193" s="766" t="s">
        <v>1208</v>
      </c>
      <c r="OC193" s="766" t="s">
        <v>1208</v>
      </c>
      <c r="OD193" s="766" t="s">
        <v>1208</v>
      </c>
      <c r="OE193" s="766"/>
      <c r="OF193" s="766"/>
      <c r="OG193" s="766"/>
      <c r="OH193" s="766"/>
      <c r="OI193" s="766"/>
      <c r="OJ193" s="766"/>
      <c r="OK193" s="766"/>
      <c r="OL193" s="766"/>
      <c r="OM193" s="766"/>
      <c r="ON193" s="766"/>
      <c r="OO193" s="766"/>
      <c r="OP193" s="766"/>
      <c r="OQ193" s="766"/>
      <c r="OR193" s="766"/>
      <c r="OS193" s="766"/>
      <c r="OT193" s="766"/>
      <c r="OU193" s="766"/>
      <c r="OV193" s="766"/>
      <c r="OW193" s="766"/>
      <c r="OX193" s="766"/>
      <c r="OY193" s="766"/>
      <c r="OZ193" s="766"/>
      <c r="PA193" s="766"/>
      <c r="PB193" s="766"/>
      <c r="PC193" s="766"/>
      <c r="PD193" s="766"/>
      <c r="PE193" s="766"/>
      <c r="PF193" s="766"/>
      <c r="PG193" s="766"/>
      <c r="PH193" s="766"/>
      <c r="PI193" s="766"/>
      <c r="PJ193" s="766"/>
      <c r="PK193" s="766"/>
      <c r="PL193" s="766"/>
      <c r="PM193" s="766"/>
      <c r="PN193" s="766"/>
      <c r="PO193" s="766"/>
      <c r="PP193" s="766"/>
      <c r="PQ193" s="766"/>
      <c r="PR193" s="766"/>
      <c r="PS193" s="766"/>
      <c r="PT193" s="766"/>
      <c r="PU193" s="766"/>
      <c r="PV193" s="766"/>
      <c r="PW193" s="766"/>
      <c r="PX193" s="766"/>
      <c r="PY193" s="766"/>
      <c r="PZ193" s="766"/>
      <c r="QA193" s="766"/>
      <c r="QB193" s="766"/>
      <c r="QC193" s="766"/>
      <c r="QD193" s="766"/>
      <c r="QE193" s="766"/>
      <c r="QF193" s="766"/>
      <c r="QG193" s="766"/>
      <c r="QH193" s="766"/>
      <c r="QI193" s="766"/>
      <c r="QJ193" s="766"/>
      <c r="QK193" s="766"/>
      <c r="QL193" s="766"/>
      <c r="QM193" s="766"/>
      <c r="QN193" s="766"/>
      <c r="QO193" s="766"/>
      <c r="QP193" s="766"/>
      <c r="QQ193" s="766"/>
      <c r="QR193" s="766"/>
      <c r="QS193" s="766"/>
      <c r="QT193" s="766"/>
      <c r="QU193" s="766"/>
      <c r="QV193" s="766"/>
      <c r="QW193" s="766"/>
      <c r="QX193" s="766"/>
      <c r="QY193" s="766"/>
      <c r="QZ193" s="766"/>
      <c r="RA193" s="766"/>
      <c r="RB193" s="766"/>
      <c r="RC193" s="766"/>
      <c r="RD193" s="766"/>
      <c r="RE193" s="766"/>
      <c r="RF193" s="777"/>
      <c r="RG193" s="766"/>
      <c r="RH193" s="66"/>
      <c r="RI193" s="766"/>
      <c r="RJ193" s="766" t="s">
        <v>1319</v>
      </c>
      <c r="RK193" s="766" t="s">
        <v>13146</v>
      </c>
      <c r="RL193" s="1683"/>
      <c r="RM193" s="12"/>
      <c r="RN193" s="1711"/>
      <c r="RO193" s="171" t="s">
        <v>316</v>
      </c>
      <c r="RP193" s="11"/>
      <c r="RQ193" s="11"/>
      <c r="RR193" s="17"/>
      <c r="RS193" s="766"/>
      <c r="RT193" s="11"/>
      <c r="RU193" s="11"/>
      <c r="RV193" s="766" t="s">
        <v>12444</v>
      </c>
      <c r="RW193" s="11" t="s">
        <v>7536</v>
      </c>
      <c r="RX193" s="11" t="s">
        <v>314</v>
      </c>
      <c r="RY193" s="11"/>
      <c r="RZ193" s="11" t="s">
        <v>7419</v>
      </c>
      <c r="SA193" s="766"/>
      <c r="SB193" s="11"/>
      <c r="SC193" s="11"/>
    </row>
    <row r="194" spans="1:497" ht="12.75" hidden="1" customHeight="1">
      <c r="A194" s="343" t="s">
        <v>7419</v>
      </c>
      <c r="B194" s="292" t="s">
        <v>8075</v>
      </c>
      <c r="C194" s="171" t="s">
        <v>324</v>
      </c>
      <c r="D194" s="14" t="s">
        <v>325</v>
      </c>
      <c r="E194" s="766" t="s">
        <v>5446</v>
      </c>
      <c r="F194" s="766"/>
      <c r="G194" s="766"/>
      <c r="H194" s="766"/>
      <c r="I194" s="5"/>
      <c r="J194" s="766"/>
      <c r="K194" s="766"/>
      <c r="L194" s="766"/>
      <c r="M194" s="766"/>
      <c r="N194" s="766"/>
      <c r="O194" s="766"/>
      <c r="P194" s="766"/>
      <c r="Q194" s="1085"/>
      <c r="R194" s="297"/>
      <c r="S194" s="766"/>
      <c r="T194" s="766"/>
      <c r="U194" s="26"/>
      <c r="V194" s="766"/>
      <c r="W194" s="766"/>
      <c r="X194" s="766"/>
      <c r="Y194" s="766"/>
      <c r="Z194" s="766"/>
      <c r="AA194" s="766"/>
      <c r="AB194" s="766"/>
      <c r="AC194" s="766"/>
      <c r="AD194" s="766"/>
      <c r="AE194" s="766"/>
      <c r="AF194" s="766"/>
      <c r="AG194" s="766" t="s">
        <v>1095</v>
      </c>
      <c r="AH194" s="766" t="s">
        <v>1096</v>
      </c>
      <c r="AI194" s="766" t="s">
        <v>1156</v>
      </c>
      <c r="AJ194" s="766"/>
      <c r="AK194" s="766" t="s">
        <v>1097</v>
      </c>
      <c r="AL194" s="121">
        <v>89</v>
      </c>
      <c r="AM194" s="772">
        <v>40.049999999999997</v>
      </c>
      <c r="AN194" s="774">
        <f>AM194/AL194</f>
        <v>0.44999999999999996</v>
      </c>
      <c r="AO194" s="766" t="s">
        <v>1149</v>
      </c>
      <c r="AP194" s="766"/>
      <c r="AQ194" s="766"/>
      <c r="AR194" s="766"/>
      <c r="AS194" s="766"/>
      <c r="AT194" s="766"/>
      <c r="AU194" s="766"/>
      <c r="AV194" s="766"/>
      <c r="AW194" s="766"/>
      <c r="AX194" s="766"/>
      <c r="AY194" s="766"/>
      <c r="AZ194" s="766"/>
      <c r="BA194" s="766"/>
      <c r="BB194" s="766"/>
      <c r="BC194" s="766"/>
      <c r="BD194" s="766"/>
      <c r="BE194" s="766"/>
      <c r="BF194" s="775"/>
      <c r="BG194" s="775"/>
      <c r="BH194" s="766"/>
      <c r="BI194" s="766"/>
      <c r="BJ194" s="766"/>
      <c r="BK194" s="766" t="s">
        <v>1095</v>
      </c>
      <c r="BL194" s="766" t="s">
        <v>1320</v>
      </c>
      <c r="BM194" s="766" t="s">
        <v>1096</v>
      </c>
      <c r="BN194" s="766" t="s">
        <v>1230</v>
      </c>
      <c r="BO194" s="766" t="s">
        <v>1239</v>
      </c>
      <c r="BP194" s="776">
        <v>178</v>
      </c>
      <c r="BQ194" s="772">
        <v>80.099999999999994</v>
      </c>
      <c r="BR194" s="774">
        <f>BQ194/BP194</f>
        <v>0.44999999999999996</v>
      </c>
      <c r="BS194" s="6" t="s">
        <v>1149</v>
      </c>
      <c r="BT194" s="766" t="s">
        <v>2040</v>
      </c>
      <c r="BU194" s="766" t="s">
        <v>1249</v>
      </c>
      <c r="BV194" s="766" t="s">
        <v>1247</v>
      </c>
      <c r="BW194" s="766" t="s">
        <v>1321</v>
      </c>
      <c r="BX194" s="779"/>
      <c r="BY194" s="766"/>
      <c r="BZ194" s="766"/>
      <c r="CA194" s="766"/>
      <c r="CB194" s="766"/>
      <c r="CC194" s="766"/>
      <c r="CD194" s="766"/>
      <c r="CE194" s="766"/>
      <c r="CF194" s="777"/>
      <c r="CG194" s="778"/>
      <c r="CH194" s="766"/>
      <c r="CI194" s="766"/>
      <c r="CJ194" s="766"/>
      <c r="CK194" s="766"/>
      <c r="CL194" s="766"/>
      <c r="CM194" s="766"/>
      <c r="CN194" s="766"/>
      <c r="CO194" s="766"/>
      <c r="CP194" s="766"/>
      <c r="CQ194" s="766"/>
      <c r="CR194" s="766"/>
      <c r="CS194" s="766"/>
      <c r="CT194" s="766"/>
      <c r="CU194" s="129"/>
      <c r="CV194" s="766"/>
      <c r="CW194" s="766"/>
      <c r="CX194" s="766"/>
      <c r="CY194" s="766"/>
      <c r="CZ194" s="766"/>
      <c r="DA194" s="766"/>
      <c r="DB194" s="766"/>
      <c r="DC194" s="766"/>
      <c r="DD194" s="766"/>
      <c r="DE194" s="766"/>
      <c r="DF194" s="766"/>
      <c r="DG194" s="766"/>
      <c r="DH194" s="766"/>
      <c r="DI194" s="766"/>
      <c r="DJ194" s="766"/>
      <c r="DK194" s="766"/>
      <c r="DL194" s="766"/>
      <c r="DM194" s="766"/>
      <c r="DN194" s="766"/>
      <c r="DO194" s="766"/>
      <c r="DP194" s="766"/>
      <c r="DQ194" s="766"/>
      <c r="DR194" s="766"/>
      <c r="DS194" s="59"/>
      <c r="DT194" s="766"/>
      <c r="DU194" s="766"/>
      <c r="DV194" s="766"/>
      <c r="DW194" s="66"/>
      <c r="DX194" s="66"/>
      <c r="DY194" s="766"/>
      <c r="DZ194" s="766"/>
      <c r="EA194" s="766"/>
      <c r="EB194" s="766"/>
      <c r="EC194" s="766"/>
      <c r="ED194" s="766"/>
      <c r="EE194" s="766"/>
      <c r="EF194" s="766"/>
      <c r="EG194" s="766"/>
      <c r="EH194" s="766"/>
      <c r="EI194" s="766"/>
      <c r="EJ194" s="766"/>
      <c r="EK194" s="766"/>
      <c r="EL194" s="766"/>
      <c r="EM194" s="766"/>
      <c r="EN194" s="766"/>
      <c r="EO194" s="766"/>
      <c r="EP194" s="766"/>
      <c r="EQ194" s="766"/>
      <c r="ER194" s="766"/>
      <c r="ES194" s="766"/>
      <c r="ET194" s="766"/>
      <c r="EU194" s="766"/>
      <c r="EV194" s="766"/>
      <c r="EW194" s="766"/>
      <c r="EX194" s="766"/>
      <c r="EY194" s="766"/>
      <c r="EZ194" s="766"/>
      <c r="FA194" s="766"/>
      <c r="FB194" s="766"/>
      <c r="FC194" s="766"/>
      <c r="FD194" s="775"/>
      <c r="FE194" s="766"/>
      <c r="FF194" s="766"/>
      <c r="FG194" s="766"/>
      <c r="FH194" s="766"/>
      <c r="FI194" s="12"/>
      <c r="FJ194" s="766"/>
      <c r="FK194" s="766"/>
      <c r="FL194" s="766"/>
      <c r="FM194" s="775"/>
      <c r="FN194" s="766"/>
      <c r="FO194" s="766"/>
      <c r="FP194" s="12"/>
      <c r="FQ194" s="12"/>
      <c r="FR194" s="766"/>
      <c r="FS194" s="766" t="s">
        <v>1208</v>
      </c>
      <c r="FT194" s="766"/>
      <c r="FU194" s="766"/>
      <c r="FV194" s="766"/>
      <c r="FW194" s="766"/>
      <c r="FX194" s="766"/>
      <c r="FY194" s="766"/>
      <c r="FZ194" s="766"/>
      <c r="GA194" s="766"/>
      <c r="GB194" s="766"/>
      <c r="GC194" s="766"/>
      <c r="GD194" s="25"/>
      <c r="GE194" s="766"/>
      <c r="GF194" s="766"/>
      <c r="GG194" s="766"/>
      <c r="GH194" s="766"/>
      <c r="GI194" s="766"/>
      <c r="GJ194" s="766"/>
      <c r="GK194" s="766"/>
      <c r="GL194" s="766"/>
      <c r="GM194" s="766"/>
      <c r="GN194" s="82"/>
      <c r="GO194" s="766"/>
      <c r="GP194" s="766"/>
      <c r="GQ194" s="766"/>
      <c r="GR194" s="766"/>
      <c r="GS194" s="766"/>
      <c r="GT194" s="766"/>
      <c r="GU194" s="766"/>
      <c r="GV194" s="766"/>
      <c r="GW194" s="766"/>
      <c r="GX194" s="766"/>
      <c r="GY194" s="766"/>
      <c r="GZ194" s="766"/>
      <c r="HA194" s="766"/>
      <c r="HB194" s="766"/>
      <c r="HC194" s="766"/>
      <c r="HD194" s="766"/>
      <c r="HE194" s="766"/>
      <c r="HF194" s="766"/>
      <c r="HG194" s="766"/>
      <c r="HH194" s="766"/>
      <c r="HI194" s="766"/>
      <c r="HJ194" s="766"/>
      <c r="HK194" s="766"/>
      <c r="HL194" s="766"/>
      <c r="HM194" s="766"/>
      <c r="HN194" s="766"/>
      <c r="HO194" s="766"/>
      <c r="HP194" s="766"/>
      <c r="HQ194" s="766"/>
      <c r="HR194" s="766"/>
      <c r="HS194" s="766"/>
      <c r="HT194" s="766"/>
      <c r="HU194" s="766"/>
      <c r="HV194" s="766"/>
      <c r="HW194" s="766"/>
      <c r="HX194" s="766"/>
      <c r="HY194" s="766"/>
      <c r="HZ194" s="766"/>
      <c r="IA194" s="766"/>
      <c r="IB194" s="766"/>
      <c r="IC194" s="766"/>
      <c r="ID194" s="766"/>
      <c r="IE194" s="766"/>
      <c r="IF194" s="14" t="s">
        <v>325</v>
      </c>
      <c r="IG194" s="766"/>
      <c r="IH194" s="766"/>
      <c r="II194" s="766"/>
      <c r="IJ194" s="766"/>
      <c r="IK194" s="766"/>
      <c r="IL194" s="766"/>
      <c r="IM194" s="766"/>
      <c r="IN194" s="766"/>
      <c r="IO194" s="766"/>
      <c r="IP194" s="766"/>
      <c r="IQ194" s="769" t="s">
        <v>5498</v>
      </c>
      <c r="IR194" s="766"/>
      <c r="IS194" s="766"/>
      <c r="IT194" s="766"/>
      <c r="IU194" s="766"/>
      <c r="IV194" s="766"/>
      <c r="IW194" s="766"/>
      <c r="IX194" s="766"/>
      <c r="IY194" s="766"/>
      <c r="IZ194" s="766"/>
      <c r="JA194" s="766"/>
      <c r="JB194" s="766"/>
      <c r="JC194" s="766"/>
      <c r="JD194" s="775"/>
      <c r="JE194" s="766"/>
      <c r="JF194" s="766"/>
      <c r="JG194" s="766"/>
      <c r="JH194" s="766"/>
      <c r="JI194" s="766"/>
      <c r="JJ194" s="766"/>
      <c r="JK194" s="766"/>
      <c r="JL194" s="766"/>
      <c r="JM194" s="766"/>
      <c r="JN194" s="766"/>
      <c r="JO194" s="766"/>
      <c r="JP194" s="766"/>
      <c r="JQ194" s="766"/>
      <c r="JR194" s="766"/>
      <c r="JS194" s="766"/>
      <c r="JT194" s="766"/>
      <c r="JU194" s="766"/>
      <c r="JV194" s="766"/>
      <c r="JW194" s="766"/>
      <c r="JX194" s="766"/>
      <c r="JY194" s="766"/>
      <c r="JZ194" s="766"/>
      <c r="KA194" s="766"/>
      <c r="KB194" s="766"/>
      <c r="KC194" s="766"/>
      <c r="KD194" s="766"/>
      <c r="KE194" s="766"/>
      <c r="KF194" s="766"/>
      <c r="KG194" s="766"/>
      <c r="KH194" s="766"/>
      <c r="KI194" s="766"/>
      <c r="KJ194" s="770"/>
      <c r="KK194" s="770"/>
      <c r="KL194" s="770"/>
      <c r="KM194" s="770"/>
      <c r="KN194" s="766"/>
      <c r="KO194" s="770"/>
      <c r="KP194" s="766"/>
      <c r="KQ194" s="766"/>
      <c r="KR194" s="766"/>
      <c r="KS194" s="766"/>
      <c r="KT194" s="766"/>
      <c r="KU194" s="766"/>
      <c r="KV194" s="766"/>
      <c r="KW194" s="766"/>
      <c r="KX194" s="766"/>
      <c r="KY194" s="766"/>
      <c r="KZ194" s="766"/>
      <c r="LA194" s="766"/>
      <c r="LB194" s="766"/>
      <c r="LC194" s="766"/>
      <c r="LD194" s="766"/>
      <c r="LE194" s="766"/>
      <c r="LF194" s="766"/>
      <c r="LG194" s="766"/>
      <c r="LH194" s="766"/>
      <c r="LI194" s="766"/>
      <c r="LJ194" s="766"/>
      <c r="LK194" s="766"/>
      <c r="LL194" s="766"/>
      <c r="LM194" s="766"/>
      <c r="LN194" s="766"/>
      <c r="LO194" s="766"/>
      <c r="LP194" s="766"/>
      <c r="LQ194" s="766"/>
      <c r="LR194" s="766"/>
      <c r="LS194" s="766"/>
      <c r="LT194" s="766"/>
      <c r="LU194" s="766"/>
      <c r="LV194" s="766"/>
      <c r="LW194" s="766"/>
      <c r="LX194" s="769"/>
      <c r="LY194" s="766" t="str">
        <f t="shared" si="43"/>
        <v/>
      </c>
      <c r="LZ194" s="66"/>
      <c r="MA194" s="766"/>
      <c r="MB194" s="766"/>
      <c r="MC194" s="1679">
        <f t="shared" si="41"/>
        <v>0</v>
      </c>
      <c r="MD194" s="66"/>
      <c r="ME194" s="66"/>
      <c r="MF194" s="66"/>
      <c r="MG194" s="1680">
        <f t="shared" si="34"/>
        <v>0</v>
      </c>
      <c r="MH194" s="766"/>
      <c r="MI194" s="775"/>
      <c r="MJ194" s="775"/>
      <c r="MK194" s="775"/>
      <c r="ML194" s="775"/>
      <c r="MM194" s="775"/>
      <c r="MN194" s="775"/>
      <c r="MO194" s="775"/>
      <c r="MP194" s="775"/>
      <c r="MQ194" s="775"/>
      <c r="MR194" s="775"/>
      <c r="MS194" s="775"/>
      <c r="MT194" s="775"/>
      <c r="MU194" s="775"/>
      <c r="MV194" s="775"/>
      <c r="MW194" s="775"/>
      <c r="MX194" s="775"/>
      <c r="MY194" s="1682">
        <f t="shared" si="35"/>
        <v>0</v>
      </c>
      <c r="MZ194" s="766"/>
      <c r="NA194" s="766"/>
      <c r="NB194" s="766"/>
      <c r="NC194" s="766"/>
      <c r="ND194" s="766"/>
      <c r="NE194" s="766"/>
      <c r="NF194" s="766"/>
      <c r="NG194" s="766"/>
      <c r="NH194" s="766"/>
      <c r="NI194" s="766"/>
      <c r="NJ194" s="766"/>
      <c r="NK194" s="766"/>
      <c r="NL194" s="766"/>
      <c r="NM194" s="766"/>
      <c r="NN194" s="766"/>
      <c r="NO194" s="766"/>
      <c r="NP194" s="766"/>
      <c r="NQ194" s="766"/>
      <c r="NR194" s="766"/>
      <c r="NS194" s="766"/>
      <c r="NT194" s="766"/>
      <c r="NU194" s="766"/>
      <c r="NV194" s="766"/>
      <c r="NW194" s="766"/>
      <c r="NX194" s="766"/>
      <c r="NY194" s="766"/>
      <c r="NZ194" s="766"/>
      <c r="OA194" s="766"/>
      <c r="OB194" s="766"/>
      <c r="OC194" s="766"/>
      <c r="OD194" s="766"/>
      <c r="OE194" s="766"/>
      <c r="OF194" s="766"/>
      <c r="OG194" s="766"/>
      <c r="OH194" s="766"/>
      <c r="OI194" s="766"/>
      <c r="OJ194" s="766"/>
      <c r="OK194" s="766"/>
      <c r="OL194" s="766"/>
      <c r="OM194" s="766"/>
      <c r="ON194" s="766"/>
      <c r="OO194" s="766"/>
      <c r="OP194" s="766"/>
      <c r="OQ194" s="766"/>
      <c r="OR194" s="766"/>
      <c r="OS194" s="766"/>
      <c r="OT194" s="766"/>
      <c r="OU194" s="766"/>
      <c r="OV194" s="766"/>
      <c r="OW194" s="766"/>
      <c r="OX194" s="766"/>
      <c r="OY194" s="766"/>
      <c r="OZ194" s="766"/>
      <c r="PA194" s="766"/>
      <c r="PB194" s="766"/>
      <c r="PC194" s="766"/>
      <c r="PD194" s="766"/>
      <c r="PE194" s="766"/>
      <c r="PF194" s="766"/>
      <c r="PG194" s="766"/>
      <c r="PH194" s="766"/>
      <c r="PI194" s="766"/>
      <c r="PJ194" s="766"/>
      <c r="PK194" s="766"/>
      <c r="PL194" s="766"/>
      <c r="PM194" s="766"/>
      <c r="PN194" s="766"/>
      <c r="PO194" s="766"/>
      <c r="PP194" s="766"/>
      <c r="PQ194" s="766"/>
      <c r="PR194" s="766"/>
      <c r="PS194" s="766"/>
      <c r="PT194" s="766"/>
      <c r="PU194" s="766"/>
      <c r="PV194" s="766"/>
      <c r="PW194" s="766"/>
      <c r="PX194" s="766"/>
      <c r="PY194" s="766"/>
      <c r="PZ194" s="766"/>
      <c r="QA194" s="766"/>
      <c r="QB194" s="766"/>
      <c r="QC194" s="766"/>
      <c r="QD194" s="766"/>
      <c r="QE194" s="766"/>
      <c r="QF194" s="766"/>
      <c r="QG194" s="766"/>
      <c r="QH194" s="766"/>
      <c r="QI194" s="766"/>
      <c r="QJ194" s="766"/>
      <c r="QK194" s="766"/>
      <c r="QL194" s="766"/>
      <c r="QM194" s="766"/>
      <c r="QN194" s="766"/>
      <c r="QO194" s="766"/>
      <c r="QP194" s="766"/>
      <c r="QQ194" s="766"/>
      <c r="QR194" s="766"/>
      <c r="QS194" s="766"/>
      <c r="QT194" s="766"/>
      <c r="QU194" s="766"/>
      <c r="QV194" s="766"/>
      <c r="QW194" s="766"/>
      <c r="QX194" s="766"/>
      <c r="QY194" s="766"/>
      <c r="QZ194" s="766"/>
      <c r="RA194" s="766"/>
      <c r="RB194" s="766"/>
      <c r="RC194" s="766"/>
      <c r="RD194" s="766"/>
      <c r="RE194" s="766"/>
      <c r="RF194" s="777"/>
      <c r="RG194" s="766"/>
      <c r="RH194" s="766"/>
      <c r="RI194" s="766"/>
      <c r="RJ194" s="766"/>
      <c r="RK194" s="766"/>
      <c r="RL194" s="1683"/>
      <c r="RM194" s="12"/>
      <c r="RN194" s="1711"/>
      <c r="RO194" s="171" t="s">
        <v>324</v>
      </c>
      <c r="RP194" s="11"/>
      <c r="RQ194" s="11"/>
      <c r="RR194" s="17"/>
      <c r="RS194" s="766"/>
      <c r="RT194" s="11"/>
      <c r="RU194" s="11"/>
      <c r="RV194" s="766" t="s">
        <v>7419</v>
      </c>
      <c r="RW194" s="11" t="s">
        <v>7963</v>
      </c>
      <c r="RX194" s="11" t="s">
        <v>320</v>
      </c>
      <c r="RY194" s="11"/>
      <c r="RZ194" s="11" t="s">
        <v>7419</v>
      </c>
      <c r="SA194" s="766"/>
      <c r="SB194" s="11"/>
      <c r="SC194" s="11"/>
    </row>
    <row r="195" spans="1:497" ht="12.75" hidden="1" customHeight="1">
      <c r="A195" s="767" t="s">
        <v>12446</v>
      </c>
      <c r="B195" s="288" t="s">
        <v>7537</v>
      </c>
      <c r="C195" s="171" t="s">
        <v>326</v>
      </c>
      <c r="D195" s="14" t="s">
        <v>325</v>
      </c>
      <c r="E195" s="766" t="s">
        <v>5446</v>
      </c>
      <c r="F195" s="766" t="s">
        <v>28</v>
      </c>
      <c r="G195" s="766" t="s">
        <v>18</v>
      </c>
      <c r="H195" s="766"/>
      <c r="I195" s="5" t="s">
        <v>327</v>
      </c>
      <c r="J195" s="766" t="s">
        <v>325</v>
      </c>
      <c r="K195" s="766" t="s">
        <v>12191</v>
      </c>
      <c r="L195" s="766" t="s">
        <v>12192</v>
      </c>
      <c r="M195" s="766"/>
      <c r="N195" s="766" t="s">
        <v>12186</v>
      </c>
      <c r="O195" s="766" t="s">
        <v>12190</v>
      </c>
      <c r="P195" s="766" t="s">
        <v>872</v>
      </c>
      <c r="Q195" s="1085">
        <v>26374</v>
      </c>
      <c r="R195" s="766">
        <v>44</v>
      </c>
      <c r="S195" s="770" t="s">
        <v>10</v>
      </c>
      <c r="T195" s="766"/>
      <c r="U195" s="26" t="s">
        <v>327</v>
      </c>
      <c r="V195" s="766" t="s">
        <v>768</v>
      </c>
      <c r="W195" s="766"/>
      <c r="X195" s="766"/>
      <c r="Y195" s="766" t="s">
        <v>873</v>
      </c>
      <c r="Z195" s="766" t="s">
        <v>708</v>
      </c>
      <c r="AA195" s="766" t="s">
        <v>709</v>
      </c>
      <c r="AB195" s="766" t="s">
        <v>7274</v>
      </c>
      <c r="AC195" s="766" t="s">
        <v>724</v>
      </c>
      <c r="AD195" s="766"/>
      <c r="AE195" s="766"/>
      <c r="AF195" s="766" t="s">
        <v>874</v>
      </c>
      <c r="AG195" s="766"/>
      <c r="AH195" s="766"/>
      <c r="AI195" s="766"/>
      <c r="AJ195" s="766"/>
      <c r="AK195" s="766" t="s">
        <v>1899</v>
      </c>
      <c r="AL195" s="121"/>
      <c r="AM195" s="772"/>
      <c r="AN195" s="774"/>
      <c r="AO195" s="766"/>
      <c r="AP195" s="766"/>
      <c r="AQ195" s="766"/>
      <c r="AR195" s="766"/>
      <c r="AS195" s="766"/>
      <c r="AT195" s="766"/>
      <c r="AU195" s="766"/>
      <c r="AV195" s="766"/>
      <c r="AW195" s="766"/>
      <c r="AX195" s="766"/>
      <c r="AY195" s="766"/>
      <c r="AZ195" s="766"/>
      <c r="BA195" s="766"/>
      <c r="BB195" s="766"/>
      <c r="BC195" s="766"/>
      <c r="BD195" s="766"/>
      <c r="BE195" s="766"/>
      <c r="BF195" s="775"/>
      <c r="BG195" s="775"/>
      <c r="BH195" s="766"/>
      <c r="BI195" s="766"/>
      <c r="BJ195" s="766"/>
      <c r="BK195" s="770"/>
      <c r="BL195" s="770"/>
      <c r="BM195" s="766" t="s">
        <v>1238</v>
      </c>
      <c r="BN195" s="766" t="s">
        <v>1256</v>
      </c>
      <c r="BO195" s="770"/>
      <c r="BP195" s="780"/>
      <c r="BQ195" s="773"/>
      <c r="BR195" s="774"/>
      <c r="BS195" s="766" t="s">
        <v>1105</v>
      </c>
      <c r="BT195" s="770"/>
      <c r="BU195" s="770"/>
      <c r="BV195" s="770"/>
      <c r="BW195" s="770"/>
      <c r="BX195" s="779"/>
      <c r="BY195" s="766"/>
      <c r="BZ195" s="766"/>
      <c r="CA195" s="766"/>
      <c r="CB195" s="766"/>
      <c r="CC195" s="766"/>
      <c r="CD195" s="766"/>
      <c r="CE195" s="766"/>
      <c r="CF195" s="777"/>
      <c r="CG195" s="778"/>
      <c r="CH195" s="766"/>
      <c r="CI195" s="766"/>
      <c r="CJ195" s="766"/>
      <c r="CK195" s="766"/>
      <c r="CL195" s="766"/>
      <c r="CM195" s="766"/>
      <c r="CN195" s="766"/>
      <c r="CO195" s="766"/>
      <c r="CP195" s="766"/>
      <c r="CQ195" s="766"/>
      <c r="CR195" s="766"/>
      <c r="CS195" s="766"/>
      <c r="CT195" s="766"/>
      <c r="CU195" s="129"/>
      <c r="CV195" s="766"/>
      <c r="CW195" s="766"/>
      <c r="CX195" s="766"/>
      <c r="CY195" s="766"/>
      <c r="CZ195" s="766"/>
      <c r="DA195" s="766"/>
      <c r="DB195" s="766"/>
      <c r="DC195" s="766"/>
      <c r="DD195" s="766"/>
      <c r="DE195" s="766"/>
      <c r="DF195" s="766"/>
      <c r="DG195" s="766"/>
      <c r="DH195" s="766"/>
      <c r="DI195" s="766"/>
      <c r="DJ195" s="766"/>
      <c r="DK195" s="766"/>
      <c r="DL195" s="766"/>
      <c r="DM195" s="766"/>
      <c r="DN195" s="766"/>
      <c r="DO195" s="766"/>
      <c r="DP195" s="766"/>
      <c r="DQ195" s="766"/>
      <c r="DR195" s="766"/>
      <c r="DS195" s="59"/>
      <c r="DT195" s="766"/>
      <c r="DU195" s="766"/>
      <c r="DV195" s="766"/>
      <c r="DW195" s="66"/>
      <c r="DX195" s="66"/>
      <c r="DY195" s="766"/>
      <c r="DZ195" s="766"/>
      <c r="EA195" s="766"/>
      <c r="EB195" s="766"/>
      <c r="EC195" s="766"/>
      <c r="ED195" s="766"/>
      <c r="EE195" s="766"/>
      <c r="EF195" s="766"/>
      <c r="EG195" s="766"/>
      <c r="EH195" s="766"/>
      <c r="EI195" s="766"/>
      <c r="EJ195" s="766"/>
      <c r="EK195" s="766"/>
      <c r="EL195" s="766"/>
      <c r="EM195" s="766"/>
      <c r="EN195" s="766"/>
      <c r="EO195" s="766"/>
      <c r="EP195" s="766"/>
      <c r="EQ195" s="766"/>
      <c r="ER195" s="766"/>
      <c r="ES195" s="766"/>
      <c r="ET195" s="766"/>
      <c r="EU195" s="766"/>
      <c r="EV195" s="766"/>
      <c r="EW195" s="766"/>
      <c r="EX195" s="766"/>
      <c r="EY195" s="766"/>
      <c r="EZ195" s="766"/>
      <c r="FA195" s="766"/>
      <c r="FB195" s="766"/>
      <c r="FC195" s="766"/>
      <c r="FD195" s="775"/>
      <c r="FE195" s="766"/>
      <c r="FF195" s="766"/>
      <c r="FG195" s="766"/>
      <c r="FH195" s="766" t="s">
        <v>1306</v>
      </c>
      <c r="FI195" s="766">
        <v>1</v>
      </c>
      <c r="FJ195" s="766" t="s">
        <v>1320</v>
      </c>
      <c r="FK195" s="766"/>
      <c r="FL195" s="766"/>
      <c r="FM195" s="775"/>
      <c r="FN195" s="766"/>
      <c r="FO195" s="766"/>
      <c r="FP195" s="766" t="s">
        <v>1602</v>
      </c>
      <c r="FQ195" s="766" t="s">
        <v>1660</v>
      </c>
      <c r="FR195" s="766"/>
      <c r="FS195" s="766"/>
      <c r="FT195" s="766"/>
      <c r="FU195" s="766"/>
      <c r="FV195" s="766"/>
      <c r="FW195" s="766"/>
      <c r="FX195" s="766"/>
      <c r="FY195" s="766"/>
      <c r="FZ195" s="766"/>
      <c r="GA195" s="766"/>
      <c r="GB195" s="766"/>
      <c r="GC195" s="766"/>
      <c r="GD195" s="25"/>
      <c r="GE195" s="766"/>
      <c r="GF195" s="766"/>
      <c r="GG195" s="766"/>
      <c r="GH195" s="766"/>
      <c r="GI195" s="766"/>
      <c r="GJ195" s="766"/>
      <c r="GK195" s="766"/>
      <c r="GL195" s="766"/>
      <c r="GM195" s="766"/>
      <c r="GN195" s="82"/>
      <c r="GO195" s="766"/>
      <c r="GP195" s="766"/>
      <c r="GQ195" s="766"/>
      <c r="GR195" s="766"/>
      <c r="GS195" s="766"/>
      <c r="GT195" s="766"/>
      <c r="GU195" s="766"/>
      <c r="GV195" s="766"/>
      <c r="GW195" s="766"/>
      <c r="GX195" s="766"/>
      <c r="GY195" s="766"/>
      <c r="GZ195" s="766"/>
      <c r="HA195" s="766"/>
      <c r="HB195" s="766"/>
      <c r="HC195" s="766"/>
      <c r="HD195" s="766"/>
      <c r="HE195" s="766"/>
      <c r="HF195" s="766"/>
      <c r="HG195" s="766"/>
      <c r="HH195" s="766"/>
      <c r="HI195" s="766"/>
      <c r="HJ195" s="766"/>
      <c r="HK195" s="766"/>
      <c r="HL195" s="766"/>
      <c r="HM195" s="766"/>
      <c r="HN195" s="766"/>
      <c r="HO195" s="766"/>
      <c r="HP195" s="766"/>
      <c r="HQ195" s="766"/>
      <c r="HR195" s="766"/>
      <c r="HS195" s="766"/>
      <c r="HT195" s="766"/>
      <c r="HU195" s="766"/>
      <c r="HV195" s="766"/>
      <c r="HW195" s="766"/>
      <c r="HX195" s="766"/>
      <c r="HY195" s="766"/>
      <c r="HZ195" s="766"/>
      <c r="IA195" s="766"/>
      <c r="IB195" s="766"/>
      <c r="IC195" s="766"/>
      <c r="ID195" s="766"/>
      <c r="IE195" s="766"/>
      <c r="IF195" s="766"/>
      <c r="IG195" s="766"/>
      <c r="IH195" s="766"/>
      <c r="II195" s="766"/>
      <c r="IJ195" s="766"/>
      <c r="IK195" s="766"/>
      <c r="IL195" s="766"/>
      <c r="IM195" s="766"/>
      <c r="IN195" s="766"/>
      <c r="IO195" s="766"/>
      <c r="IP195" s="766"/>
      <c r="IQ195" s="766"/>
      <c r="IR195" s="766"/>
      <c r="IS195" s="766"/>
      <c r="IT195" s="766"/>
      <c r="IU195" s="766"/>
      <c r="IV195" s="766"/>
      <c r="IW195" s="766"/>
      <c r="IX195" s="766"/>
      <c r="IY195" s="766"/>
      <c r="IZ195" s="766"/>
      <c r="JA195" s="766"/>
      <c r="JB195" s="766"/>
      <c r="JC195" s="766"/>
      <c r="JD195" s="775"/>
      <c r="JE195" s="766"/>
      <c r="JF195" s="766"/>
      <c r="JG195" s="766"/>
      <c r="JH195" s="766"/>
      <c r="JI195" s="766"/>
      <c r="JJ195" s="766">
        <v>3</v>
      </c>
      <c r="JK195" s="766" t="s">
        <v>13266</v>
      </c>
      <c r="JL195" s="766"/>
      <c r="JM195" s="766"/>
      <c r="JN195" s="766">
        <v>3</v>
      </c>
      <c r="JO195" s="766"/>
      <c r="JP195" s="766"/>
      <c r="JQ195" s="766"/>
      <c r="JR195" s="766"/>
      <c r="JS195" s="766"/>
      <c r="JT195" s="766">
        <f t="shared" ref="JT195:JU200" si="46">SUM(JP195,JN195,JL195,JR195)</f>
        <v>3</v>
      </c>
      <c r="JU195" s="766">
        <f t="shared" si="46"/>
        <v>0</v>
      </c>
      <c r="JV195" s="766"/>
      <c r="JW195" s="766"/>
      <c r="JX195" s="766"/>
      <c r="JY195" s="766"/>
      <c r="JZ195" s="766"/>
      <c r="KA195" s="766"/>
      <c r="KB195" s="766">
        <v>1</v>
      </c>
      <c r="KC195" s="766"/>
      <c r="KD195" s="766">
        <v>2</v>
      </c>
      <c r="KE195" s="766"/>
      <c r="KF195" s="766"/>
      <c r="KG195" s="766"/>
      <c r="KH195" s="766"/>
      <c r="KI195" s="766"/>
      <c r="KJ195" s="770">
        <f t="shared" si="38"/>
        <v>3</v>
      </c>
      <c r="KK195" s="770">
        <f t="shared" si="38"/>
        <v>0</v>
      </c>
      <c r="KL195" s="770"/>
      <c r="KM195" s="770"/>
      <c r="KN195" s="766" t="s">
        <v>768</v>
      </c>
      <c r="KO195" s="770"/>
      <c r="KP195" s="766"/>
      <c r="KQ195" s="766"/>
      <c r="KR195" s="766"/>
      <c r="KS195" s="766"/>
      <c r="KT195" s="766"/>
      <c r="KU195" s="766"/>
      <c r="KV195" s="766"/>
      <c r="KW195" s="766"/>
      <c r="KX195" s="766"/>
      <c r="KY195" s="766"/>
      <c r="KZ195" s="766"/>
      <c r="LA195" s="766"/>
      <c r="LB195" s="766">
        <v>1</v>
      </c>
      <c r="LC195" s="766"/>
      <c r="LD195" s="766">
        <v>1</v>
      </c>
      <c r="LE195" s="766"/>
      <c r="LF195" s="766"/>
      <c r="LG195" s="766"/>
      <c r="LH195" s="766">
        <v>1</v>
      </c>
      <c r="LI195" s="766"/>
      <c r="LJ195" s="766"/>
      <c r="LK195" s="766"/>
      <c r="LL195" s="766"/>
      <c r="LM195" s="766"/>
      <c r="LN195" s="766">
        <f t="shared" si="39"/>
        <v>3</v>
      </c>
      <c r="LO195" s="766">
        <f t="shared" si="39"/>
        <v>0</v>
      </c>
      <c r="LP195" s="766">
        <v>1</v>
      </c>
      <c r="LQ195" s="766"/>
      <c r="LR195" s="766"/>
      <c r="LS195" s="766">
        <v>1</v>
      </c>
      <c r="LT195" s="766"/>
      <c r="LU195" s="766"/>
      <c r="LV195" s="766"/>
      <c r="LW195" s="766"/>
      <c r="LX195" s="769">
        <v>3</v>
      </c>
      <c r="LY195" s="766" t="str">
        <f t="shared" si="43"/>
        <v>within the PROVINCE</v>
      </c>
      <c r="LZ195" s="66"/>
      <c r="MA195" s="766"/>
      <c r="MB195" s="766"/>
      <c r="MC195" s="1679">
        <f t="shared" si="41"/>
        <v>0</v>
      </c>
      <c r="MD195" s="66">
        <v>26000</v>
      </c>
      <c r="ME195" s="66">
        <v>2500</v>
      </c>
      <c r="MF195" s="66"/>
      <c r="MG195" s="1680">
        <f t="shared" si="34"/>
        <v>28500</v>
      </c>
      <c r="MH195" s="766"/>
      <c r="MI195" s="775">
        <v>4500</v>
      </c>
      <c r="MJ195" s="775"/>
      <c r="MK195" s="775">
        <v>125</v>
      </c>
      <c r="ML195" s="775">
        <v>500</v>
      </c>
      <c r="MM195" s="775">
        <v>1500</v>
      </c>
      <c r="MN195" s="775">
        <v>5000</v>
      </c>
      <c r="MO195" s="775">
        <v>100</v>
      </c>
      <c r="MP195" s="775">
        <v>2200</v>
      </c>
      <c r="MQ195" s="775">
        <v>240</v>
      </c>
      <c r="MR195" s="775">
        <v>1500</v>
      </c>
      <c r="MS195" s="775"/>
      <c r="MT195" s="775"/>
      <c r="MU195" s="775"/>
      <c r="MV195" s="775"/>
      <c r="MW195" s="775"/>
      <c r="MX195" s="775"/>
      <c r="MY195" s="1682">
        <f t="shared" si="35"/>
        <v>15665</v>
      </c>
      <c r="MZ195" s="766"/>
      <c r="NA195" s="766"/>
      <c r="NB195" s="766"/>
      <c r="NC195" s="766"/>
      <c r="ND195" s="766"/>
      <c r="NE195" s="766"/>
      <c r="NF195" s="766"/>
      <c r="NG195" s="766"/>
      <c r="NH195" s="766"/>
      <c r="NI195" s="766"/>
      <c r="NJ195" s="766"/>
      <c r="NK195" s="766"/>
      <c r="NL195" s="766"/>
      <c r="NM195" s="766"/>
      <c r="NN195" s="766"/>
      <c r="NO195" s="766"/>
      <c r="NP195" s="766"/>
      <c r="NQ195" s="766"/>
      <c r="NR195" s="766"/>
      <c r="NS195" s="766"/>
      <c r="NT195" s="766"/>
      <c r="NU195" s="766"/>
      <c r="NV195" s="766"/>
      <c r="NW195" s="766"/>
      <c r="NX195" s="766"/>
      <c r="NY195" s="766"/>
      <c r="NZ195" s="766"/>
      <c r="OA195" s="766"/>
      <c r="OB195" s="766"/>
      <c r="OC195" s="766"/>
      <c r="OD195" s="766"/>
      <c r="OE195" s="766"/>
      <c r="OF195" s="766"/>
      <c r="OG195" s="766"/>
      <c r="OH195" s="766"/>
      <c r="OI195" s="766"/>
      <c r="OJ195" s="766"/>
      <c r="OK195" s="766"/>
      <c r="OL195" s="766"/>
      <c r="OM195" s="766"/>
      <c r="ON195" s="766"/>
      <c r="OO195" s="766"/>
      <c r="OP195" s="766"/>
      <c r="OQ195" s="766"/>
      <c r="OR195" s="766"/>
      <c r="OS195" s="766"/>
      <c r="OT195" s="766"/>
      <c r="OU195" s="766"/>
      <c r="OV195" s="766"/>
      <c r="OW195" s="766"/>
      <c r="OX195" s="766"/>
      <c r="OY195" s="766"/>
      <c r="OZ195" s="766"/>
      <c r="PA195" s="766"/>
      <c r="PB195" s="766"/>
      <c r="PC195" s="766"/>
      <c r="PD195" s="766"/>
      <c r="PE195" s="766"/>
      <c r="PF195" s="766"/>
      <c r="PG195" s="766"/>
      <c r="PH195" s="766"/>
      <c r="PI195" s="766"/>
      <c r="PJ195" s="766"/>
      <c r="PK195" s="766"/>
      <c r="PL195" s="766"/>
      <c r="PM195" s="766"/>
      <c r="PN195" s="766"/>
      <c r="PO195" s="766"/>
      <c r="PP195" s="766"/>
      <c r="PQ195" s="766"/>
      <c r="PR195" s="766"/>
      <c r="PS195" s="766"/>
      <c r="PT195" s="766"/>
      <c r="PU195" s="766"/>
      <c r="PV195" s="766"/>
      <c r="PW195" s="766"/>
      <c r="PX195" s="766"/>
      <c r="PY195" s="766"/>
      <c r="PZ195" s="766"/>
      <c r="QA195" s="766"/>
      <c r="QB195" s="766"/>
      <c r="QC195" s="766"/>
      <c r="QD195" s="766"/>
      <c r="QE195" s="766"/>
      <c r="QF195" s="766"/>
      <c r="QG195" s="766"/>
      <c r="QH195" s="766"/>
      <c r="QI195" s="766"/>
      <c r="QJ195" s="766"/>
      <c r="QK195" s="766"/>
      <c r="QL195" s="766"/>
      <c r="QM195" s="766"/>
      <c r="QN195" s="766"/>
      <c r="QO195" s="766"/>
      <c r="QP195" s="766"/>
      <c r="QQ195" s="766"/>
      <c r="QR195" s="766"/>
      <c r="QS195" s="766"/>
      <c r="QT195" s="766"/>
      <c r="QU195" s="766"/>
      <c r="QV195" s="766"/>
      <c r="QW195" s="766"/>
      <c r="QX195" s="766"/>
      <c r="QY195" s="766"/>
      <c r="QZ195" s="766"/>
      <c r="RA195" s="766"/>
      <c r="RB195" s="770" t="s">
        <v>1207</v>
      </c>
      <c r="RC195" s="766"/>
      <c r="RD195" s="766" t="s">
        <v>12989</v>
      </c>
      <c r="RE195" s="766" t="s">
        <v>12999</v>
      </c>
      <c r="RF195" s="777">
        <f>CONVERT(1,"ft","m")</f>
        <v>0.30480000000000002</v>
      </c>
      <c r="RG195" s="766" t="s">
        <v>13267</v>
      </c>
      <c r="RH195" s="66">
        <v>0</v>
      </c>
      <c r="RI195" s="766">
        <v>24</v>
      </c>
      <c r="RJ195" s="766" t="s">
        <v>13268</v>
      </c>
      <c r="RK195" s="766" t="s">
        <v>13146</v>
      </c>
      <c r="RL195" s="1683"/>
      <c r="RM195" s="12"/>
      <c r="RN195" s="1711"/>
      <c r="RO195" s="171" t="s">
        <v>326</v>
      </c>
      <c r="RP195" s="11"/>
      <c r="RQ195" s="11"/>
      <c r="RR195" s="771"/>
      <c r="RS195" s="766"/>
      <c r="RT195" s="11"/>
      <c r="RU195" s="11"/>
      <c r="RV195" s="766" t="s">
        <v>12445</v>
      </c>
      <c r="RW195" s="11" t="s">
        <v>7583</v>
      </c>
      <c r="RX195" s="11" t="s">
        <v>316</v>
      </c>
      <c r="RY195" s="11"/>
      <c r="RZ195" s="11"/>
      <c r="SA195" s="766"/>
      <c r="SB195" s="11"/>
      <c r="SC195" s="11"/>
    </row>
    <row r="196" spans="1:497" ht="12.75" hidden="1" customHeight="1">
      <c r="A196" s="154" t="s">
        <v>12446</v>
      </c>
      <c r="B196" s="288" t="s">
        <v>7964</v>
      </c>
      <c r="C196" s="171" t="s">
        <v>329</v>
      </c>
      <c r="D196" s="766" t="s">
        <v>330</v>
      </c>
      <c r="E196" s="766" t="s">
        <v>5446</v>
      </c>
      <c r="F196" s="766" t="s">
        <v>28</v>
      </c>
      <c r="G196" s="766" t="s">
        <v>10</v>
      </c>
      <c r="H196" s="766"/>
      <c r="I196" s="5" t="s">
        <v>331</v>
      </c>
      <c r="J196" s="766" t="s">
        <v>330</v>
      </c>
      <c r="K196" s="766" t="s">
        <v>328</v>
      </c>
      <c r="L196" s="766" t="s">
        <v>323</v>
      </c>
      <c r="M196" s="766"/>
      <c r="N196" s="766"/>
      <c r="O196" s="766" t="s">
        <v>332</v>
      </c>
      <c r="P196" s="14" t="s">
        <v>875</v>
      </c>
      <c r="Q196" s="1085">
        <v>28309</v>
      </c>
      <c r="R196" s="766">
        <v>39</v>
      </c>
      <c r="S196" s="770" t="s">
        <v>10</v>
      </c>
      <c r="T196" s="766"/>
      <c r="U196" s="26" t="s">
        <v>876</v>
      </c>
      <c r="V196" s="766" t="s">
        <v>707</v>
      </c>
      <c r="W196" s="766"/>
      <c r="X196" s="766"/>
      <c r="Y196" s="766" t="s">
        <v>873</v>
      </c>
      <c r="Z196" s="766"/>
      <c r="AA196" s="766"/>
      <c r="AB196" s="766"/>
      <c r="AC196" s="766"/>
      <c r="AD196" s="766"/>
      <c r="AE196" s="766"/>
      <c r="AF196" s="766"/>
      <c r="AG196" s="766"/>
      <c r="AH196" s="766"/>
      <c r="AI196" s="766"/>
      <c r="AJ196" s="766"/>
      <c r="AK196" s="766" t="s">
        <v>1899</v>
      </c>
      <c r="AL196" s="121"/>
      <c r="AM196" s="772"/>
      <c r="AN196" s="774"/>
      <c r="AO196" s="766"/>
      <c r="AP196" s="766"/>
      <c r="AQ196" s="766"/>
      <c r="AR196" s="766"/>
      <c r="AS196" s="766"/>
      <c r="AT196" s="766"/>
      <c r="AU196" s="766"/>
      <c r="AV196" s="766"/>
      <c r="AW196" s="766"/>
      <c r="AX196" s="766"/>
      <c r="AY196" s="766"/>
      <c r="AZ196" s="766"/>
      <c r="BA196" s="766"/>
      <c r="BB196" s="766"/>
      <c r="BC196" s="766"/>
      <c r="BD196" s="766"/>
      <c r="BE196" s="766"/>
      <c r="BF196" s="775"/>
      <c r="BG196" s="775"/>
      <c r="BH196" s="766"/>
      <c r="BI196" s="766"/>
      <c r="BJ196" s="766"/>
      <c r="BK196" s="766" t="s">
        <v>1095</v>
      </c>
      <c r="BL196" s="766" t="s">
        <v>1320</v>
      </c>
      <c r="BM196" s="766" t="s">
        <v>8108</v>
      </c>
      <c r="BN196" s="766" t="s">
        <v>1256</v>
      </c>
      <c r="BO196" s="766" t="s">
        <v>1239</v>
      </c>
      <c r="BP196" s="776">
        <v>64</v>
      </c>
      <c r="BQ196" s="772">
        <v>36</v>
      </c>
      <c r="BR196" s="774">
        <f>BQ196/BP196</f>
        <v>0.5625</v>
      </c>
      <c r="BS196" s="766" t="s">
        <v>1105</v>
      </c>
      <c r="BT196" s="766" t="s">
        <v>2040</v>
      </c>
      <c r="BU196" s="766" t="s">
        <v>1249</v>
      </c>
      <c r="BV196" s="766" t="s">
        <v>1247</v>
      </c>
      <c r="BW196" s="769"/>
      <c r="BX196" s="779"/>
      <c r="BY196" s="766"/>
      <c r="BZ196" s="766"/>
      <c r="CA196" s="766"/>
      <c r="CB196" s="766"/>
      <c r="CC196" s="766"/>
      <c r="CD196" s="766"/>
      <c r="CE196" s="766"/>
      <c r="CF196" s="777"/>
      <c r="CG196" s="778"/>
      <c r="CH196" s="766"/>
      <c r="CI196" s="766"/>
      <c r="CJ196" s="766"/>
      <c r="CK196" s="766"/>
      <c r="CL196" s="766"/>
      <c r="CM196" s="766"/>
      <c r="CN196" s="766"/>
      <c r="CO196" s="766"/>
      <c r="CP196" s="766"/>
      <c r="CQ196" s="766"/>
      <c r="CR196" s="766"/>
      <c r="CS196" s="766"/>
      <c r="CT196" s="766"/>
      <c r="CU196" s="129"/>
      <c r="CV196" s="766"/>
      <c r="CW196" s="766"/>
      <c r="CX196" s="766"/>
      <c r="CY196" s="766"/>
      <c r="CZ196" s="766"/>
      <c r="DA196" s="766"/>
      <c r="DB196" s="766"/>
      <c r="DC196" s="766"/>
      <c r="DD196" s="766"/>
      <c r="DE196" s="766"/>
      <c r="DF196" s="766"/>
      <c r="DG196" s="766"/>
      <c r="DH196" s="766"/>
      <c r="DI196" s="766"/>
      <c r="DJ196" s="766"/>
      <c r="DK196" s="766"/>
      <c r="DL196" s="766"/>
      <c r="DM196" s="766"/>
      <c r="DN196" s="766"/>
      <c r="DO196" s="766"/>
      <c r="DP196" s="766"/>
      <c r="DQ196" s="766"/>
      <c r="DR196" s="766"/>
      <c r="DS196" s="59"/>
      <c r="DT196" s="766"/>
      <c r="DU196" s="766"/>
      <c r="DV196" s="766"/>
      <c r="DW196" s="66"/>
      <c r="DX196" s="66"/>
      <c r="DY196" s="766"/>
      <c r="DZ196" s="766"/>
      <c r="EA196" s="766"/>
      <c r="EB196" s="766"/>
      <c r="EC196" s="766"/>
      <c r="ED196" s="766"/>
      <c r="EE196" s="766"/>
      <c r="EF196" s="766"/>
      <c r="EG196" s="766"/>
      <c r="EH196" s="766"/>
      <c r="EI196" s="766"/>
      <c r="EJ196" s="766"/>
      <c r="EK196" s="766"/>
      <c r="EL196" s="766"/>
      <c r="EM196" s="766"/>
      <c r="EN196" s="766"/>
      <c r="EO196" s="766"/>
      <c r="EP196" s="766"/>
      <c r="EQ196" s="766"/>
      <c r="ER196" s="766"/>
      <c r="ES196" s="766"/>
      <c r="ET196" s="766"/>
      <c r="EU196" s="766"/>
      <c r="EV196" s="766"/>
      <c r="EW196" s="766"/>
      <c r="EX196" s="766"/>
      <c r="EY196" s="766"/>
      <c r="EZ196" s="766"/>
      <c r="FA196" s="766"/>
      <c r="FB196" s="766"/>
      <c r="FC196" s="766"/>
      <c r="FD196" s="775"/>
      <c r="FE196" s="766"/>
      <c r="FF196" s="766"/>
      <c r="FG196" s="766"/>
      <c r="FH196" s="766" t="s">
        <v>1306</v>
      </c>
      <c r="FI196" s="766">
        <v>1</v>
      </c>
      <c r="FJ196" s="766" t="s">
        <v>1320</v>
      </c>
      <c r="FK196" s="766"/>
      <c r="FL196" s="766"/>
      <c r="FM196" s="775"/>
      <c r="FN196" s="766"/>
      <c r="FO196" s="766"/>
      <c r="FP196" s="766" t="s">
        <v>1602</v>
      </c>
      <c r="FQ196" s="766" t="s">
        <v>1660</v>
      </c>
      <c r="FR196" s="766"/>
      <c r="FS196" s="766"/>
      <c r="FT196" s="766"/>
      <c r="FU196" s="766"/>
      <c r="FV196" s="766"/>
      <c r="FW196" s="766"/>
      <c r="FX196" s="766"/>
      <c r="FY196" s="766"/>
      <c r="FZ196" s="766"/>
      <c r="GA196" s="766"/>
      <c r="GB196" s="766"/>
      <c r="GC196" s="766"/>
      <c r="GD196" s="25"/>
      <c r="GE196" s="766"/>
      <c r="GF196" s="766"/>
      <c r="GG196" s="766"/>
      <c r="GH196" s="766"/>
      <c r="GI196" s="766"/>
      <c r="GJ196" s="766"/>
      <c r="GK196" s="766"/>
      <c r="GL196" s="766"/>
      <c r="GM196" s="766"/>
      <c r="GN196" s="82"/>
      <c r="GO196" s="766"/>
      <c r="GP196" s="766"/>
      <c r="GQ196" s="766"/>
      <c r="GR196" s="766"/>
      <c r="GS196" s="766"/>
      <c r="GT196" s="766"/>
      <c r="GU196" s="766"/>
      <c r="GV196" s="766"/>
      <c r="GW196" s="766"/>
      <c r="GX196" s="766"/>
      <c r="GY196" s="766"/>
      <c r="GZ196" s="766"/>
      <c r="HA196" s="766"/>
      <c r="HB196" s="766"/>
      <c r="HC196" s="766"/>
      <c r="HD196" s="766"/>
      <c r="HE196" s="766"/>
      <c r="HF196" s="766"/>
      <c r="HG196" s="766"/>
      <c r="HH196" s="766"/>
      <c r="HI196" s="766"/>
      <c r="HJ196" s="766"/>
      <c r="HK196" s="766"/>
      <c r="HL196" s="766"/>
      <c r="HM196" s="766"/>
      <c r="HN196" s="766"/>
      <c r="HO196" s="766"/>
      <c r="HP196" s="766"/>
      <c r="HQ196" s="766"/>
      <c r="HR196" s="766"/>
      <c r="HS196" s="766"/>
      <c r="HT196" s="766"/>
      <c r="HU196" s="766"/>
      <c r="HV196" s="766"/>
      <c r="HW196" s="766"/>
      <c r="HX196" s="766"/>
      <c r="HY196" s="766"/>
      <c r="HZ196" s="766"/>
      <c r="IA196" s="766"/>
      <c r="IB196" s="14" t="e">
        <f>IF(#REF!&gt;0,IF(#REF!&lt;=10000,"Y",""),"")</f>
        <v>#REF!</v>
      </c>
      <c r="IC196" s="766"/>
      <c r="ID196" s="766"/>
      <c r="IE196" s="766"/>
      <c r="IF196" s="766" t="s">
        <v>1960</v>
      </c>
      <c r="IG196" s="766" t="s">
        <v>10</v>
      </c>
      <c r="IH196" s="766" t="s">
        <v>478</v>
      </c>
      <c r="II196" s="766"/>
      <c r="IJ196" s="766" t="s">
        <v>1961</v>
      </c>
      <c r="IK196" s="766" t="s">
        <v>1888</v>
      </c>
      <c r="IL196" s="766" t="s">
        <v>1962</v>
      </c>
      <c r="IM196" s="766" t="s">
        <v>110</v>
      </c>
      <c r="IN196" s="766" t="s">
        <v>1963</v>
      </c>
      <c r="IO196" s="24">
        <v>27213</v>
      </c>
      <c r="IP196" s="766" t="s">
        <v>1306</v>
      </c>
      <c r="IQ196" s="769" t="s">
        <v>1975</v>
      </c>
      <c r="IR196" s="766" t="s">
        <v>1964</v>
      </c>
      <c r="IS196" s="766" t="s">
        <v>1966</v>
      </c>
      <c r="IT196" s="766" t="s">
        <v>1208</v>
      </c>
      <c r="IU196" s="766"/>
      <c r="IV196" s="766" t="s">
        <v>1965</v>
      </c>
      <c r="IW196" s="766" t="s">
        <v>875</v>
      </c>
      <c r="IX196" s="766"/>
      <c r="IY196" s="766" t="s">
        <v>331</v>
      </c>
      <c r="IZ196" s="766"/>
      <c r="JA196" s="766"/>
      <c r="JB196" s="766" t="s">
        <v>1901</v>
      </c>
      <c r="JC196" s="766"/>
      <c r="JD196" s="775">
        <v>2500</v>
      </c>
      <c r="JE196" s="766"/>
      <c r="JF196" s="766"/>
      <c r="JG196" s="766"/>
      <c r="JH196" s="766"/>
      <c r="JI196" s="766"/>
      <c r="JJ196" s="766">
        <v>8</v>
      </c>
      <c r="JK196" s="1139" t="s">
        <v>1963</v>
      </c>
      <c r="JL196" s="766">
        <v>3</v>
      </c>
      <c r="JM196" s="766">
        <v>1</v>
      </c>
      <c r="JN196" s="766">
        <v>2</v>
      </c>
      <c r="JO196" s="766">
        <v>2</v>
      </c>
      <c r="JP196" s="766"/>
      <c r="JQ196" s="766"/>
      <c r="JR196" s="766"/>
      <c r="JS196" s="766"/>
      <c r="JT196" s="766">
        <f t="shared" si="46"/>
        <v>5</v>
      </c>
      <c r="JU196" s="766">
        <f t="shared" si="46"/>
        <v>3</v>
      </c>
      <c r="JV196" s="712" t="str">
        <f>IF(JT196=KJ196,"ok","male")</f>
        <v>ok</v>
      </c>
      <c r="JW196" s="712" t="str">
        <f>IF(JU196=KK196,"ok","female")</f>
        <v>ok</v>
      </c>
      <c r="JX196" s="766">
        <v>2</v>
      </c>
      <c r="JY196" s="766"/>
      <c r="JZ196" s="766">
        <v>1</v>
      </c>
      <c r="KA196" s="766">
        <v>1</v>
      </c>
      <c r="KB196" s="766">
        <v>1</v>
      </c>
      <c r="KC196" s="766"/>
      <c r="KD196" s="766">
        <v>1</v>
      </c>
      <c r="KE196" s="766">
        <v>2</v>
      </c>
      <c r="KF196" s="766"/>
      <c r="KG196" s="766"/>
      <c r="KH196" s="766"/>
      <c r="KI196" s="766"/>
      <c r="KJ196" s="770">
        <f t="shared" si="38"/>
        <v>5</v>
      </c>
      <c r="KK196" s="770">
        <f t="shared" si="38"/>
        <v>3</v>
      </c>
      <c r="KL196" s="712" t="str">
        <f>IF(KJ196=LN196,"ok","male")</f>
        <v>ok</v>
      </c>
      <c r="KM196" s="712" t="str">
        <f>IF(KK196=LO196,"ok","female")</f>
        <v>ok</v>
      </c>
      <c r="KN196" s="766" t="s">
        <v>707</v>
      </c>
      <c r="KO196" s="770"/>
      <c r="KP196" s="766"/>
      <c r="KQ196" s="766"/>
      <c r="KR196" s="766"/>
      <c r="KS196" s="766"/>
      <c r="KT196" s="766">
        <v>1</v>
      </c>
      <c r="KU196" s="766">
        <v>1</v>
      </c>
      <c r="KV196" s="766"/>
      <c r="KW196" s="766"/>
      <c r="KX196" s="766">
        <v>1</v>
      </c>
      <c r="KY196" s="766"/>
      <c r="KZ196" s="766"/>
      <c r="LA196" s="766">
        <v>2</v>
      </c>
      <c r="LB196" s="766"/>
      <c r="LC196" s="766"/>
      <c r="LD196" s="766"/>
      <c r="LE196" s="766"/>
      <c r="LF196" s="766">
        <v>1</v>
      </c>
      <c r="LG196" s="766"/>
      <c r="LH196" s="766"/>
      <c r="LI196" s="766"/>
      <c r="LJ196" s="766">
        <v>2</v>
      </c>
      <c r="LK196" s="766"/>
      <c r="LL196" s="766"/>
      <c r="LM196" s="766"/>
      <c r="LN196" s="766">
        <f t="shared" si="39"/>
        <v>5</v>
      </c>
      <c r="LO196" s="766">
        <f t="shared" si="39"/>
        <v>3</v>
      </c>
      <c r="LP196" s="766">
        <v>3</v>
      </c>
      <c r="LQ196" s="766">
        <v>2</v>
      </c>
      <c r="LR196" s="766"/>
      <c r="LS196" s="766">
        <v>1</v>
      </c>
      <c r="LT196" s="712" t="str">
        <f>IF(LQ196=SUM(LU196:LW196),"OK","REV")</f>
        <v>OK</v>
      </c>
      <c r="LU196" s="766"/>
      <c r="LV196" s="766">
        <v>2</v>
      </c>
      <c r="LW196" s="766"/>
      <c r="LX196" s="769">
        <v>4</v>
      </c>
      <c r="LY196" s="766" t="str">
        <f t="shared" si="43"/>
        <v>OTHER Province</v>
      </c>
      <c r="LZ196" s="66">
        <v>3200</v>
      </c>
      <c r="MA196" s="766">
        <v>480</v>
      </c>
      <c r="MB196" s="766"/>
      <c r="MC196" s="1679">
        <f t="shared" si="41"/>
        <v>3680</v>
      </c>
      <c r="MD196" s="66">
        <v>26000</v>
      </c>
      <c r="ME196" s="66"/>
      <c r="MF196" s="66">
        <v>2500</v>
      </c>
      <c r="MG196" s="1680">
        <f>SUM(MD196:MF196)</f>
        <v>28500</v>
      </c>
      <c r="MH196" s="766"/>
      <c r="MI196" s="775">
        <v>9600</v>
      </c>
      <c r="MJ196" s="775">
        <v>3680</v>
      </c>
      <c r="MK196" s="775">
        <v>4000</v>
      </c>
      <c r="ML196" s="775">
        <v>315</v>
      </c>
      <c r="MM196" s="775">
        <v>1800</v>
      </c>
      <c r="MN196" s="775"/>
      <c r="MO196" s="775">
        <v>900</v>
      </c>
      <c r="MP196" s="775">
        <v>2500</v>
      </c>
      <c r="MQ196" s="775">
        <v>450</v>
      </c>
      <c r="MR196" s="775">
        <v>1400</v>
      </c>
      <c r="MS196" s="775"/>
      <c r="MT196" s="775"/>
      <c r="MU196" s="775"/>
      <c r="MV196" s="775"/>
      <c r="MW196" s="775"/>
      <c r="MX196" s="775"/>
      <c r="MY196" s="1682">
        <f t="shared" si="35"/>
        <v>24645</v>
      </c>
      <c r="MZ196" s="766" t="s">
        <v>13164</v>
      </c>
      <c r="NA196" s="766" t="s">
        <v>13005</v>
      </c>
      <c r="NB196" s="766" t="s">
        <v>13069</v>
      </c>
      <c r="NC196" s="766" t="s">
        <v>13135</v>
      </c>
      <c r="ND196" s="766">
        <v>1</v>
      </c>
      <c r="NE196" s="766">
        <v>1</v>
      </c>
      <c r="NF196" s="766">
        <v>0</v>
      </c>
      <c r="NG196" s="766">
        <v>1</v>
      </c>
      <c r="NH196" s="766">
        <v>1</v>
      </c>
      <c r="NI196" s="766">
        <v>0</v>
      </c>
      <c r="NJ196" s="766">
        <v>0</v>
      </c>
      <c r="NK196" s="766">
        <v>0</v>
      </c>
      <c r="NL196" s="766">
        <v>1</v>
      </c>
      <c r="NM196" s="766">
        <v>1</v>
      </c>
      <c r="NN196" s="766">
        <v>0</v>
      </c>
      <c r="NO196" s="766">
        <v>0</v>
      </c>
      <c r="NP196" s="766">
        <v>0</v>
      </c>
      <c r="NQ196" s="766">
        <v>1</v>
      </c>
      <c r="NR196" s="766">
        <v>0</v>
      </c>
      <c r="NS196" s="766">
        <v>0</v>
      </c>
      <c r="NT196" s="766">
        <v>0</v>
      </c>
      <c r="NU196" s="766">
        <v>0</v>
      </c>
      <c r="NV196" s="766">
        <v>0</v>
      </c>
      <c r="NW196" s="766">
        <v>0</v>
      </c>
      <c r="NX196" s="766">
        <v>0</v>
      </c>
      <c r="NY196" s="766" t="s">
        <v>1208</v>
      </c>
      <c r="NZ196" s="766" t="s">
        <v>1208</v>
      </c>
      <c r="OA196" s="766" t="s">
        <v>1208</v>
      </c>
      <c r="OB196" s="766" t="s">
        <v>1208</v>
      </c>
      <c r="OC196" s="766" t="s">
        <v>1208</v>
      </c>
      <c r="OD196" s="766" t="s">
        <v>1208</v>
      </c>
      <c r="OE196" s="766"/>
      <c r="OF196" s="766" t="s">
        <v>13075</v>
      </c>
      <c r="OG196" s="766"/>
      <c r="OH196" s="766"/>
      <c r="OI196" s="766"/>
      <c r="OJ196" s="766"/>
      <c r="OK196" s="766"/>
      <c r="OL196" s="766" t="s">
        <v>13078</v>
      </c>
      <c r="OM196" s="766"/>
      <c r="ON196" s="766"/>
      <c r="OO196" s="766" t="s">
        <v>1207</v>
      </c>
      <c r="OP196" s="766" t="s">
        <v>12885</v>
      </c>
      <c r="OQ196" s="766"/>
      <c r="OR196" s="766" t="s">
        <v>1208</v>
      </c>
      <c r="OS196" s="766" t="s">
        <v>12885</v>
      </c>
      <c r="OT196" s="766"/>
      <c r="OU196" s="766"/>
      <c r="OV196" s="766" t="s">
        <v>1208</v>
      </c>
      <c r="OW196" s="766"/>
      <c r="OX196" s="766"/>
      <c r="OY196" s="766"/>
      <c r="OZ196" s="766"/>
      <c r="PA196" s="766"/>
      <c r="PB196" s="766"/>
      <c r="PC196" s="766"/>
      <c r="PD196" s="766"/>
      <c r="PE196" s="766"/>
      <c r="PF196" s="766"/>
      <c r="PG196" s="766"/>
      <c r="PH196" s="766"/>
      <c r="PI196" s="766"/>
      <c r="PJ196" s="766"/>
      <c r="PK196" s="766" t="s">
        <v>1208</v>
      </c>
      <c r="PL196" s="766"/>
      <c r="PM196" s="766" t="s">
        <v>1208</v>
      </c>
      <c r="PN196" s="766"/>
      <c r="PO196" s="766"/>
      <c r="PP196" s="766"/>
      <c r="PQ196" s="766"/>
      <c r="PR196" s="766"/>
      <c r="PS196" s="766"/>
      <c r="PT196" s="766"/>
      <c r="PU196" s="766"/>
      <c r="PV196" s="766" t="s">
        <v>1208</v>
      </c>
      <c r="PW196" s="766"/>
      <c r="PX196" s="766"/>
      <c r="PY196" s="766"/>
      <c r="PZ196" s="766"/>
      <c r="QA196" s="766"/>
      <c r="QB196" s="766"/>
      <c r="QC196" s="766"/>
      <c r="QD196" s="766"/>
      <c r="QE196" s="766"/>
      <c r="QF196" s="766"/>
      <c r="QG196" s="766"/>
      <c r="QH196" s="766"/>
      <c r="QI196" s="766"/>
      <c r="QJ196" s="766"/>
      <c r="QK196" s="766"/>
      <c r="QL196" s="766"/>
      <c r="QM196" s="766"/>
      <c r="QN196" s="766"/>
      <c r="QO196" s="766"/>
      <c r="QP196" s="766"/>
      <c r="QQ196" s="766"/>
      <c r="QR196" s="766"/>
      <c r="QS196" s="766"/>
      <c r="QT196" s="766"/>
      <c r="QU196" s="766"/>
      <c r="QV196" s="766"/>
      <c r="QW196" s="766"/>
      <c r="QX196" s="766"/>
      <c r="QY196" s="766"/>
      <c r="QZ196" s="766"/>
      <c r="RA196" s="766"/>
      <c r="RB196" s="770" t="s">
        <v>1207</v>
      </c>
      <c r="RC196" s="766">
        <v>2012</v>
      </c>
      <c r="RD196" s="766" t="s">
        <v>13223</v>
      </c>
      <c r="RE196" s="766" t="s">
        <v>13125</v>
      </c>
      <c r="RF196" s="777">
        <v>0.5</v>
      </c>
      <c r="RG196" s="766" t="s">
        <v>13267</v>
      </c>
      <c r="RH196" s="66">
        <v>0</v>
      </c>
      <c r="RI196" s="766" t="s">
        <v>13269</v>
      </c>
      <c r="RJ196" s="766" t="s">
        <v>13270</v>
      </c>
      <c r="RK196" s="766" t="s">
        <v>13146</v>
      </c>
      <c r="RL196" s="1683"/>
      <c r="RM196" s="12"/>
      <c r="RN196" s="1711"/>
      <c r="RO196" s="171" t="s">
        <v>329</v>
      </c>
      <c r="RP196" s="11"/>
      <c r="RQ196" s="11"/>
      <c r="RR196" s="154" t="s">
        <v>12446</v>
      </c>
      <c r="RS196" s="1139" t="s">
        <v>12980</v>
      </c>
      <c r="RT196" s="11"/>
      <c r="RU196" s="11"/>
      <c r="RV196" s="766" t="s">
        <v>7419</v>
      </c>
      <c r="RW196" s="11" t="s">
        <v>8075</v>
      </c>
      <c r="RX196" s="11" t="s">
        <v>324</v>
      </c>
      <c r="RY196" s="11"/>
      <c r="RZ196" s="11"/>
      <c r="SA196" s="766"/>
      <c r="SB196" s="11"/>
      <c r="SC196" s="11"/>
    </row>
    <row r="197" spans="1:497" ht="12.75" hidden="1" customHeight="1">
      <c r="A197" s="343" t="s">
        <v>7419</v>
      </c>
      <c r="B197" s="292" t="s">
        <v>7965</v>
      </c>
      <c r="C197" s="171" t="s">
        <v>333</v>
      </c>
      <c r="D197" s="766" t="s">
        <v>334</v>
      </c>
      <c r="E197" s="766" t="s">
        <v>5447</v>
      </c>
      <c r="F197" s="766" t="s">
        <v>210</v>
      </c>
      <c r="G197" s="766" t="s">
        <v>18</v>
      </c>
      <c r="H197" s="766"/>
      <c r="I197" s="5" t="s">
        <v>336</v>
      </c>
      <c r="J197" s="766"/>
      <c r="K197" s="766" t="s">
        <v>12193</v>
      </c>
      <c r="L197" s="766" t="s">
        <v>11347</v>
      </c>
      <c r="M197" s="766"/>
      <c r="N197" s="766" t="s">
        <v>12186</v>
      </c>
      <c r="O197" s="766" t="s">
        <v>12190</v>
      </c>
      <c r="P197" s="766" t="s">
        <v>877</v>
      </c>
      <c r="Q197" s="1085"/>
      <c r="R197" s="766">
        <v>21</v>
      </c>
      <c r="S197" s="770" t="s">
        <v>10</v>
      </c>
      <c r="T197" s="766"/>
      <c r="U197" s="26" t="s">
        <v>336</v>
      </c>
      <c r="V197" s="766" t="s">
        <v>707</v>
      </c>
      <c r="W197" s="766"/>
      <c r="X197" s="766"/>
      <c r="Y197" s="766" t="s">
        <v>335</v>
      </c>
      <c r="Z197" s="766" t="s">
        <v>708</v>
      </c>
      <c r="AA197" s="766" t="s">
        <v>709</v>
      </c>
      <c r="AB197" s="766" t="s">
        <v>710</v>
      </c>
      <c r="AC197" s="766" t="s">
        <v>724</v>
      </c>
      <c r="AD197" s="766"/>
      <c r="AE197" s="766"/>
      <c r="AF197" s="766" t="s">
        <v>798</v>
      </c>
      <c r="AG197" s="766" t="s">
        <v>1095</v>
      </c>
      <c r="AH197" s="766" t="s">
        <v>1096</v>
      </c>
      <c r="AI197" s="766" t="s">
        <v>1157</v>
      </c>
      <c r="AJ197" s="766"/>
      <c r="AK197" s="766" t="s">
        <v>1097</v>
      </c>
      <c r="AL197" s="121">
        <v>83.424999999999997</v>
      </c>
      <c r="AM197" s="772">
        <v>18.920000000000002</v>
      </c>
      <c r="AN197" s="774">
        <f>AM197/AL197</f>
        <v>0.22679053041654182</v>
      </c>
      <c r="AO197" s="766" t="s">
        <v>1149</v>
      </c>
      <c r="AP197" s="766"/>
      <c r="AQ197" s="766"/>
      <c r="AR197" s="766"/>
      <c r="AS197" s="766" t="s">
        <v>1207</v>
      </c>
      <c r="AT197" s="766" t="s">
        <v>1208</v>
      </c>
      <c r="AU197" s="766"/>
      <c r="AV197" s="766"/>
      <c r="AW197" s="766"/>
      <c r="AX197" s="766"/>
      <c r="AY197" s="766"/>
      <c r="AZ197" s="766"/>
      <c r="BA197" s="766"/>
      <c r="BB197" s="766"/>
      <c r="BC197" s="766" t="s">
        <v>796</v>
      </c>
      <c r="BD197" s="766" t="s">
        <v>1207</v>
      </c>
      <c r="BE197" s="766"/>
      <c r="BF197" s="775" t="s">
        <v>110</v>
      </c>
      <c r="BG197" s="775" t="s">
        <v>110</v>
      </c>
      <c r="BH197" s="766"/>
      <c r="BI197" s="766"/>
      <c r="BJ197" s="766"/>
      <c r="BK197" s="766" t="s">
        <v>1095</v>
      </c>
      <c r="BL197" s="766" t="s">
        <v>1322</v>
      </c>
      <c r="BM197" s="766" t="s">
        <v>1096</v>
      </c>
      <c r="BN197" s="766" t="s">
        <v>1230</v>
      </c>
      <c r="BO197" s="766" t="s">
        <v>1239</v>
      </c>
      <c r="BP197" s="776">
        <v>166.85</v>
      </c>
      <c r="BQ197" s="772">
        <v>37.840000000000003</v>
      </c>
      <c r="BR197" s="774">
        <f>BQ197/BP197</f>
        <v>0.22679053041654182</v>
      </c>
      <c r="BS197" s="6" t="s">
        <v>1149</v>
      </c>
      <c r="BT197" s="766" t="s">
        <v>2040</v>
      </c>
      <c r="BU197" s="766" t="s">
        <v>1249</v>
      </c>
      <c r="BV197" s="766" t="s">
        <v>1247</v>
      </c>
      <c r="BW197" s="766">
        <v>2011</v>
      </c>
      <c r="BX197" s="779"/>
      <c r="BY197" s="766"/>
      <c r="BZ197" s="766"/>
      <c r="CA197" s="766"/>
      <c r="CB197" s="766" t="s">
        <v>1207</v>
      </c>
      <c r="CC197" s="766" t="s">
        <v>1157</v>
      </c>
      <c r="CD197" s="766"/>
      <c r="CE197" s="766"/>
      <c r="CF197" s="777">
        <v>0.8</v>
      </c>
      <c r="CG197" s="778">
        <v>7.4</v>
      </c>
      <c r="CH197" s="766"/>
      <c r="CI197" s="766"/>
      <c r="CJ197" s="766"/>
      <c r="CK197" s="766">
        <v>2</v>
      </c>
      <c r="CL197" s="766" t="s">
        <v>1501</v>
      </c>
      <c r="CM197" s="766" t="s">
        <v>1502</v>
      </c>
      <c r="CN197" s="766"/>
      <c r="CO197" s="769"/>
      <c r="CP197" s="766"/>
      <c r="CQ197" s="766"/>
      <c r="CR197" s="766"/>
      <c r="CS197" s="766"/>
      <c r="CT197" s="766"/>
      <c r="CU197" s="129"/>
      <c r="CV197" s="766"/>
      <c r="CW197" s="766"/>
      <c r="CX197" s="766"/>
      <c r="CY197" s="766"/>
      <c r="CZ197" s="766"/>
      <c r="DA197" s="766"/>
      <c r="DB197" s="766"/>
      <c r="DC197" s="766"/>
      <c r="DD197" s="766"/>
      <c r="DE197" s="766"/>
      <c r="DF197" s="766"/>
      <c r="DG197" s="766"/>
      <c r="DH197" s="766"/>
      <c r="DI197" s="766"/>
      <c r="DJ197" s="766"/>
      <c r="DK197" s="766"/>
      <c r="DL197" s="766"/>
      <c r="DM197" s="766"/>
      <c r="DN197" s="766"/>
      <c r="DO197" s="766"/>
      <c r="DP197" s="766"/>
      <c r="DQ197" s="766"/>
      <c r="DR197" s="766"/>
      <c r="DS197" s="59"/>
      <c r="DT197" s="766"/>
      <c r="DU197" s="766"/>
      <c r="DV197" s="766"/>
      <c r="DW197" s="66"/>
      <c r="DX197" s="66"/>
      <c r="DY197" s="766"/>
      <c r="DZ197" s="766"/>
      <c r="EA197" s="766"/>
      <c r="EB197" s="766"/>
      <c r="EC197" s="766"/>
      <c r="ED197" s="766"/>
      <c r="EE197" s="766"/>
      <c r="EF197" s="766"/>
      <c r="EG197" s="766"/>
      <c r="EH197" s="766"/>
      <c r="EI197" s="766"/>
      <c r="EJ197" s="766"/>
      <c r="EK197" s="766"/>
      <c r="EL197" s="766"/>
      <c r="EM197" s="766"/>
      <c r="EN197" s="766"/>
      <c r="EO197" s="766"/>
      <c r="EP197" s="766"/>
      <c r="EQ197" s="766"/>
      <c r="ER197" s="766"/>
      <c r="ES197" s="766"/>
      <c r="ET197" s="766"/>
      <c r="EU197" s="766"/>
      <c r="EV197" s="766"/>
      <c r="EW197" s="766"/>
      <c r="EX197" s="766"/>
      <c r="EY197" s="766"/>
      <c r="EZ197" s="766"/>
      <c r="FA197" s="766"/>
      <c r="FB197" s="766"/>
      <c r="FC197" s="766"/>
      <c r="FD197" s="775"/>
      <c r="FE197" s="766"/>
      <c r="FF197" s="766"/>
      <c r="FG197" s="766"/>
      <c r="FH197" s="766" t="s">
        <v>478</v>
      </c>
      <c r="FI197" s="766">
        <v>2</v>
      </c>
      <c r="FJ197" s="766"/>
      <c r="FK197" s="766"/>
      <c r="FL197" s="766"/>
      <c r="FM197" s="775"/>
      <c r="FN197" s="766"/>
      <c r="FO197" s="766"/>
      <c r="FP197" s="766" t="s">
        <v>1600</v>
      </c>
      <c r="FQ197" s="766" t="s">
        <v>1642</v>
      </c>
      <c r="FR197" s="766"/>
      <c r="FS197" s="766"/>
      <c r="FT197" s="766"/>
      <c r="FU197" s="766"/>
      <c r="FV197" s="766"/>
      <c r="FW197" s="766"/>
      <c r="FX197" s="766"/>
      <c r="FY197" s="766"/>
      <c r="FZ197" s="766"/>
      <c r="GA197" s="766"/>
      <c r="GB197" s="766" t="s">
        <v>796</v>
      </c>
      <c r="GC197" s="766" t="s">
        <v>1694</v>
      </c>
      <c r="GD197" s="25"/>
      <c r="GE197" s="766" t="s">
        <v>1426</v>
      </c>
      <c r="GF197" s="766"/>
      <c r="GG197" s="766"/>
      <c r="GH197" s="766"/>
      <c r="GI197" s="766"/>
      <c r="GJ197" s="766"/>
      <c r="GK197" s="766"/>
      <c r="GL197" s="766"/>
      <c r="GM197" s="766"/>
      <c r="GN197" s="82"/>
      <c r="GO197" s="766"/>
      <c r="GP197" s="766"/>
      <c r="GQ197" s="766"/>
      <c r="GR197" s="766"/>
      <c r="GS197" s="766"/>
      <c r="GT197" s="766"/>
      <c r="GU197" s="766"/>
      <c r="GV197" s="766"/>
      <c r="GW197" s="766"/>
      <c r="GX197" s="766"/>
      <c r="GY197" s="766"/>
      <c r="GZ197" s="766"/>
      <c r="HA197" s="766"/>
      <c r="HB197" s="766"/>
      <c r="HC197" s="766"/>
      <c r="HD197" s="766"/>
      <c r="HE197" s="766"/>
      <c r="HF197" s="766"/>
      <c r="HG197" s="766"/>
      <c r="HH197" s="766"/>
      <c r="HI197" s="766"/>
      <c r="HJ197" s="766"/>
      <c r="HK197" s="766"/>
      <c r="HL197" s="766"/>
      <c r="HM197" s="766"/>
      <c r="HN197" s="766"/>
      <c r="HO197" s="766"/>
      <c r="HP197" s="766"/>
      <c r="HQ197" s="766"/>
      <c r="HR197" s="766"/>
      <c r="HS197" s="766"/>
      <c r="HT197" s="766"/>
      <c r="HU197" s="766"/>
      <c r="HV197" s="766"/>
      <c r="HW197" s="766"/>
      <c r="HX197" s="766"/>
      <c r="HY197" s="766"/>
      <c r="HZ197" s="766"/>
      <c r="IA197" s="766"/>
      <c r="IB197" s="766"/>
      <c r="IC197" s="766" t="s">
        <v>1207</v>
      </c>
      <c r="ID197" s="766" t="s">
        <v>1207</v>
      </c>
      <c r="IE197" s="766"/>
      <c r="IF197" s="1828" t="s">
        <v>1967</v>
      </c>
      <c r="IG197" s="766" t="s">
        <v>18</v>
      </c>
      <c r="IH197" s="766" t="s">
        <v>1968</v>
      </c>
      <c r="II197" s="766" t="s">
        <v>1969</v>
      </c>
      <c r="IJ197" s="766" t="s">
        <v>1604</v>
      </c>
      <c r="IK197" s="766" t="s">
        <v>1888</v>
      </c>
      <c r="IL197" s="766" t="s">
        <v>1970</v>
      </c>
      <c r="IM197" s="766">
        <v>2009</v>
      </c>
      <c r="IN197" s="766" t="s">
        <v>1970</v>
      </c>
      <c r="IO197" s="84">
        <v>16448</v>
      </c>
      <c r="IP197" s="766" t="s">
        <v>478</v>
      </c>
      <c r="IQ197" s="769" t="s">
        <v>5498</v>
      </c>
      <c r="IR197" s="770" t="s">
        <v>2716</v>
      </c>
      <c r="IS197" s="775" t="s">
        <v>1879</v>
      </c>
      <c r="IT197" s="766"/>
      <c r="IU197" s="766" t="s">
        <v>1208</v>
      </c>
      <c r="IV197" s="766"/>
      <c r="IW197" s="766" t="s">
        <v>13271</v>
      </c>
      <c r="IX197" s="766"/>
      <c r="IY197" s="766"/>
      <c r="IZ197" s="766"/>
      <c r="JA197" s="766"/>
      <c r="JB197" s="766"/>
      <c r="JC197" s="766"/>
      <c r="JD197" s="775">
        <v>10000</v>
      </c>
      <c r="JE197" s="766"/>
      <c r="JF197" s="766"/>
      <c r="JG197" s="766"/>
      <c r="JH197" s="766"/>
      <c r="JI197" s="766"/>
      <c r="JJ197" s="766">
        <v>5</v>
      </c>
      <c r="JK197" s="766" t="s">
        <v>2075</v>
      </c>
      <c r="JL197" s="766"/>
      <c r="JM197" s="766"/>
      <c r="JN197" s="766">
        <v>1</v>
      </c>
      <c r="JO197" s="766">
        <v>2</v>
      </c>
      <c r="JP197" s="766">
        <v>1</v>
      </c>
      <c r="JQ197" s="766">
        <v>1</v>
      </c>
      <c r="JR197" s="766"/>
      <c r="JS197" s="766"/>
      <c r="JT197" s="766">
        <f t="shared" si="46"/>
        <v>2</v>
      </c>
      <c r="JU197" s="766">
        <f t="shared" si="46"/>
        <v>3</v>
      </c>
      <c r="JV197" s="766"/>
      <c r="JW197" s="766"/>
      <c r="JX197" s="766"/>
      <c r="JY197" s="766"/>
      <c r="JZ197" s="766"/>
      <c r="KA197" s="766"/>
      <c r="KB197" s="766">
        <v>1</v>
      </c>
      <c r="KC197" s="766"/>
      <c r="KD197" s="766"/>
      <c r="KE197" s="766">
        <v>2</v>
      </c>
      <c r="KF197" s="766">
        <v>1</v>
      </c>
      <c r="KG197" s="766">
        <v>1</v>
      </c>
      <c r="KH197" s="766"/>
      <c r="KI197" s="766"/>
      <c r="KJ197" s="770">
        <f t="shared" si="38"/>
        <v>2</v>
      </c>
      <c r="KK197" s="770">
        <f t="shared" si="38"/>
        <v>3</v>
      </c>
      <c r="KL197" s="770"/>
      <c r="KM197" s="770"/>
      <c r="KN197" s="766" t="s">
        <v>707</v>
      </c>
      <c r="KO197" s="770"/>
      <c r="KP197" s="766"/>
      <c r="KQ197" s="766"/>
      <c r="KR197" s="766"/>
      <c r="KS197" s="766"/>
      <c r="KT197" s="766">
        <v>1</v>
      </c>
      <c r="KU197" s="766">
        <v>1</v>
      </c>
      <c r="KV197" s="766"/>
      <c r="KW197" s="766"/>
      <c r="KX197" s="766"/>
      <c r="KY197" s="766"/>
      <c r="KZ197" s="766"/>
      <c r="LA197" s="766">
        <v>2</v>
      </c>
      <c r="LB197" s="766">
        <v>1</v>
      </c>
      <c r="LC197" s="766"/>
      <c r="LD197" s="766"/>
      <c r="LE197" s="766"/>
      <c r="LF197" s="766"/>
      <c r="LG197" s="766"/>
      <c r="LH197" s="766"/>
      <c r="LI197" s="766"/>
      <c r="LJ197" s="766"/>
      <c r="LK197" s="766"/>
      <c r="LL197" s="766"/>
      <c r="LM197" s="766"/>
      <c r="LN197" s="766">
        <f t="shared" ref="LN197:LO229" si="47">SUM(KP197,KR197,KT197,KV197,KX197,KZ197,LB197,LD197,LF197,LH197,LJ197,LL197)</f>
        <v>2</v>
      </c>
      <c r="LO197" s="766">
        <f t="shared" si="47"/>
        <v>3</v>
      </c>
      <c r="LP197" s="766">
        <v>2</v>
      </c>
      <c r="LQ197" s="766"/>
      <c r="LR197" s="766"/>
      <c r="LS197" s="766"/>
      <c r="LT197" s="766"/>
      <c r="LU197" s="766"/>
      <c r="LV197" s="766"/>
      <c r="LW197" s="766"/>
      <c r="LX197" s="769">
        <v>1</v>
      </c>
      <c r="LY197" s="766" t="str">
        <f t="shared" si="43"/>
        <v>within the BRGY</v>
      </c>
      <c r="LZ197" s="66"/>
      <c r="MA197" s="766"/>
      <c r="MB197" s="766"/>
      <c r="MC197" s="1679">
        <f t="shared" si="41"/>
        <v>0</v>
      </c>
      <c r="MD197" s="66"/>
      <c r="ME197" s="66"/>
      <c r="MF197" s="66"/>
      <c r="MG197" s="1680">
        <f t="shared" ref="MG197:MG258" si="48">SUM(MD197:MF197)</f>
        <v>0</v>
      </c>
      <c r="MH197" s="766"/>
      <c r="MI197" s="775">
        <v>6000</v>
      </c>
      <c r="MJ197" s="775">
        <v>1600</v>
      </c>
      <c r="MK197" s="775">
        <v>600</v>
      </c>
      <c r="ML197" s="775">
        <v>1600</v>
      </c>
      <c r="MM197" s="775">
        <v>3000</v>
      </c>
      <c r="MN197" s="775"/>
      <c r="MO197" s="775">
        <v>1200</v>
      </c>
      <c r="MP197" s="775">
        <v>750</v>
      </c>
      <c r="MQ197" s="775">
        <v>430</v>
      </c>
      <c r="MR197" s="775">
        <v>2000</v>
      </c>
      <c r="MS197" s="775">
        <v>167.77</v>
      </c>
      <c r="MT197" s="775"/>
      <c r="MU197" s="775"/>
      <c r="MV197" s="775"/>
      <c r="MW197" s="775"/>
      <c r="MX197" s="775"/>
      <c r="MY197" s="1682">
        <f t="shared" si="35"/>
        <v>17347.77</v>
      </c>
      <c r="MZ197" s="766" t="s">
        <v>13004</v>
      </c>
      <c r="NA197" s="766" t="s">
        <v>13005</v>
      </c>
      <c r="NB197" s="766" t="s">
        <v>13006</v>
      </c>
      <c r="NC197" s="766" t="s">
        <v>13007</v>
      </c>
      <c r="ND197" s="766">
        <v>0</v>
      </c>
      <c r="NE197" s="766">
        <v>2</v>
      </c>
      <c r="NF197" s="766">
        <v>0</v>
      </c>
      <c r="NG197" s="766">
        <v>2</v>
      </c>
      <c r="NH197" s="766">
        <v>2</v>
      </c>
      <c r="NI197" s="766">
        <v>0</v>
      </c>
      <c r="NJ197" s="766">
        <v>0</v>
      </c>
      <c r="NK197" s="766">
        <v>0</v>
      </c>
      <c r="NL197" s="766">
        <v>3</v>
      </c>
      <c r="NM197" s="766">
        <v>2</v>
      </c>
      <c r="NN197" s="766">
        <v>0</v>
      </c>
      <c r="NO197" s="766">
        <v>0</v>
      </c>
      <c r="NP197" s="766">
        <v>0</v>
      </c>
      <c r="NQ197" s="766">
        <v>1</v>
      </c>
      <c r="NR197" s="766">
        <v>0</v>
      </c>
      <c r="NS197" s="766">
        <v>0</v>
      </c>
      <c r="NT197" s="766">
        <v>0</v>
      </c>
      <c r="NU197" s="766">
        <v>0</v>
      </c>
      <c r="NV197" s="766">
        <v>0</v>
      </c>
      <c r="NW197" s="766">
        <v>0</v>
      </c>
      <c r="NX197" s="766">
        <v>0</v>
      </c>
      <c r="NY197" s="766" t="s">
        <v>1208</v>
      </c>
      <c r="NZ197" s="766" t="s">
        <v>1208</v>
      </c>
      <c r="OA197" s="766" t="s">
        <v>1208</v>
      </c>
      <c r="OB197" s="766"/>
      <c r="OC197" s="766"/>
      <c r="OD197" s="766" t="s">
        <v>1208</v>
      </c>
      <c r="OE197" s="766"/>
      <c r="OF197" s="1834" t="s">
        <v>13034</v>
      </c>
      <c r="OG197" s="766"/>
      <c r="OH197" s="766"/>
      <c r="OI197" s="766"/>
      <c r="OJ197" s="766"/>
      <c r="OK197" s="1828" t="s">
        <v>1208</v>
      </c>
      <c r="OL197" s="1828" t="s">
        <v>13272</v>
      </c>
      <c r="OM197" s="766" t="s">
        <v>13273</v>
      </c>
      <c r="ON197" s="766" t="s">
        <v>13234</v>
      </c>
      <c r="OO197" s="766" t="s">
        <v>1214</v>
      </c>
      <c r="OP197" s="766"/>
      <c r="OQ197" s="766"/>
      <c r="OR197" s="766"/>
      <c r="OS197" s="766"/>
      <c r="OT197" s="766"/>
      <c r="OU197" s="766"/>
      <c r="OV197" s="766"/>
      <c r="OW197" s="766"/>
      <c r="OX197" s="766"/>
      <c r="OY197" s="766"/>
      <c r="OZ197" s="766"/>
      <c r="PA197" s="766"/>
      <c r="PB197" s="766"/>
      <c r="PC197" s="766"/>
      <c r="PD197" s="766"/>
      <c r="PE197" s="766"/>
      <c r="PF197" s="766"/>
      <c r="PG197" s="766"/>
      <c r="PH197" s="766"/>
      <c r="PI197" s="766"/>
      <c r="PJ197" s="766"/>
      <c r="PK197" s="766"/>
      <c r="PL197" s="766"/>
      <c r="PM197" s="766"/>
      <c r="PN197" s="766"/>
      <c r="PO197" s="766"/>
      <c r="PP197" s="766"/>
      <c r="PQ197" s="766"/>
      <c r="PR197" s="766"/>
      <c r="PS197" s="766"/>
      <c r="PT197" s="766"/>
      <c r="PU197" s="766"/>
      <c r="PV197" s="766"/>
      <c r="PW197" s="766"/>
      <c r="PX197" s="766"/>
      <c r="PY197" s="766"/>
      <c r="PZ197" s="766"/>
      <c r="QA197" s="766"/>
      <c r="QB197" s="766"/>
      <c r="QC197" s="766"/>
      <c r="QD197" s="766"/>
      <c r="QE197" s="766"/>
      <c r="QF197" s="766"/>
      <c r="QG197" s="766"/>
      <c r="QH197" s="766"/>
      <c r="QI197" s="766"/>
      <c r="QJ197" s="766"/>
      <c r="QK197" s="766"/>
      <c r="QL197" s="766"/>
      <c r="QM197" s="766"/>
      <c r="QN197" s="766"/>
      <c r="QO197" s="766"/>
      <c r="QP197" s="766"/>
      <c r="QQ197" s="766"/>
      <c r="QR197" s="766"/>
      <c r="QS197" s="766"/>
      <c r="QT197" s="766"/>
      <c r="QU197" s="766"/>
      <c r="QV197" s="766"/>
      <c r="QW197" s="766"/>
      <c r="QX197" s="766"/>
      <c r="QY197" s="766"/>
      <c r="QZ197" s="766"/>
      <c r="RA197" s="766"/>
      <c r="RB197" s="766"/>
      <c r="RC197" s="766"/>
      <c r="RD197" s="766"/>
      <c r="RE197" s="766"/>
      <c r="RF197" s="777"/>
      <c r="RG197" s="766"/>
      <c r="RH197" s="66"/>
      <c r="RI197" s="766"/>
      <c r="RJ197" s="766" t="s">
        <v>2075</v>
      </c>
      <c r="RK197" s="766" t="s">
        <v>13146</v>
      </c>
      <c r="RL197" s="1683"/>
      <c r="RM197" s="12"/>
      <c r="RN197" s="1711"/>
      <c r="RO197" s="171" t="s">
        <v>333</v>
      </c>
      <c r="RP197" s="11"/>
      <c r="RQ197" s="11"/>
      <c r="RR197" s="17"/>
      <c r="RS197" s="766"/>
      <c r="RT197" s="11"/>
      <c r="RU197" s="11"/>
      <c r="RV197" s="766" t="s">
        <v>12446</v>
      </c>
      <c r="RW197" s="11" t="s">
        <v>7537</v>
      </c>
      <c r="RX197" s="11" t="s">
        <v>326</v>
      </c>
      <c r="RY197" s="11"/>
      <c r="RZ197" s="11" t="s">
        <v>7419</v>
      </c>
      <c r="SA197" s="766"/>
      <c r="SB197" s="11"/>
      <c r="SC197" s="11"/>
    </row>
    <row r="198" spans="1:497" ht="12.75" hidden="1" customHeight="1">
      <c r="A198" s="19" t="s">
        <v>12447</v>
      </c>
      <c r="B198" s="292" t="s">
        <v>7584</v>
      </c>
      <c r="C198" s="171" t="s">
        <v>337</v>
      </c>
      <c r="D198" s="766" t="s">
        <v>5832</v>
      </c>
      <c r="E198" s="766" t="s">
        <v>5447</v>
      </c>
      <c r="F198" s="766"/>
      <c r="G198" s="766"/>
      <c r="H198" s="766"/>
      <c r="I198" s="5"/>
      <c r="J198" s="766"/>
      <c r="K198" s="766"/>
      <c r="L198" s="766"/>
      <c r="M198" s="766"/>
      <c r="N198" s="766"/>
      <c r="O198" s="766"/>
      <c r="P198" s="766" t="s">
        <v>878</v>
      </c>
      <c r="Q198" s="1085">
        <v>33508</v>
      </c>
      <c r="R198" s="25">
        <v>25</v>
      </c>
      <c r="S198" s="770" t="s">
        <v>10</v>
      </c>
      <c r="T198" s="766"/>
      <c r="U198" s="26" t="s">
        <v>879</v>
      </c>
      <c r="V198" s="766" t="s">
        <v>722</v>
      </c>
      <c r="W198" s="766"/>
      <c r="X198" s="766"/>
      <c r="Y198" s="766" t="s">
        <v>335</v>
      </c>
      <c r="Z198" s="766" t="s">
        <v>708</v>
      </c>
      <c r="AA198" s="766" t="s">
        <v>748</v>
      </c>
      <c r="AB198" s="766" t="s">
        <v>7274</v>
      </c>
      <c r="AC198" s="766" t="s">
        <v>880</v>
      </c>
      <c r="AD198" s="766"/>
      <c r="AE198" s="766"/>
      <c r="AF198" s="766" t="s">
        <v>712</v>
      </c>
      <c r="AG198" s="766"/>
      <c r="AH198" s="766"/>
      <c r="AI198" s="766"/>
      <c r="AJ198" s="766"/>
      <c r="AK198" s="766" t="s">
        <v>1899</v>
      </c>
      <c r="AL198" s="121"/>
      <c r="AM198" s="772"/>
      <c r="AN198" s="774"/>
      <c r="AO198" s="766"/>
      <c r="AP198" s="766"/>
      <c r="AQ198" s="766"/>
      <c r="AR198" s="766"/>
      <c r="AS198" s="766"/>
      <c r="AT198" s="766"/>
      <c r="AU198" s="766"/>
      <c r="AV198" s="766"/>
      <c r="AW198" s="766"/>
      <c r="AX198" s="766"/>
      <c r="AY198" s="766"/>
      <c r="AZ198" s="766"/>
      <c r="BA198" s="766"/>
      <c r="BB198" s="766"/>
      <c r="BC198" s="766"/>
      <c r="BD198" s="766"/>
      <c r="BE198" s="766"/>
      <c r="BF198" s="775"/>
      <c r="BG198" s="775"/>
      <c r="BH198" s="766"/>
      <c r="BI198" s="766"/>
      <c r="BJ198" s="766"/>
      <c r="BK198" s="766"/>
      <c r="BL198" s="766"/>
      <c r="BM198" s="766" t="s">
        <v>1238</v>
      </c>
      <c r="BN198" s="766" t="s">
        <v>1256</v>
      </c>
      <c r="BO198" s="766"/>
      <c r="BP198" s="776"/>
      <c r="BQ198" s="772"/>
      <c r="BR198" s="774"/>
      <c r="BS198" s="766" t="s">
        <v>1105</v>
      </c>
      <c r="BT198" s="766"/>
      <c r="BU198" s="766"/>
      <c r="BV198" s="766"/>
      <c r="BW198" s="766"/>
      <c r="BX198" s="779"/>
      <c r="BY198" s="766"/>
      <c r="BZ198" s="775"/>
      <c r="CA198" s="766"/>
      <c r="CB198" s="766"/>
      <c r="CC198" s="766"/>
      <c r="CD198" s="766"/>
      <c r="CE198" s="766"/>
      <c r="CF198" s="777"/>
      <c r="CG198" s="778"/>
      <c r="CH198" s="766"/>
      <c r="CI198" s="766"/>
      <c r="CJ198" s="766"/>
      <c r="CK198" s="766"/>
      <c r="CL198" s="766"/>
      <c r="CM198" s="766"/>
      <c r="CN198" s="766"/>
      <c r="CO198" s="766"/>
      <c r="CP198" s="766"/>
      <c r="CQ198" s="766"/>
      <c r="CR198" s="775"/>
      <c r="CS198" s="766"/>
      <c r="CT198" s="766"/>
      <c r="CU198" s="129"/>
      <c r="CV198" s="766"/>
      <c r="CW198" s="766"/>
      <c r="CX198" s="766"/>
      <c r="CY198" s="766"/>
      <c r="CZ198" s="766"/>
      <c r="DA198" s="766"/>
      <c r="DB198" s="766"/>
      <c r="DC198" s="766"/>
      <c r="DD198" s="766"/>
      <c r="DE198" s="766"/>
      <c r="DF198" s="766"/>
      <c r="DG198" s="766"/>
      <c r="DH198" s="766"/>
      <c r="DI198" s="766"/>
      <c r="DJ198" s="766"/>
      <c r="DK198" s="766"/>
      <c r="DL198" s="766"/>
      <c r="DM198" s="766"/>
      <c r="DN198" s="766"/>
      <c r="DO198" s="766"/>
      <c r="DP198" s="766"/>
      <c r="DQ198" s="766"/>
      <c r="DR198" s="766"/>
      <c r="DS198" s="59"/>
      <c r="DT198" s="766"/>
      <c r="DU198" s="766"/>
      <c r="DV198" s="766"/>
      <c r="DW198" s="66"/>
      <c r="DX198" s="66"/>
      <c r="DY198" s="766"/>
      <c r="DZ198" s="766"/>
      <c r="EA198" s="766"/>
      <c r="EB198" s="766"/>
      <c r="EC198" s="766"/>
      <c r="ED198" s="766"/>
      <c r="EE198" s="766"/>
      <c r="EF198" s="766"/>
      <c r="EG198" s="766"/>
      <c r="EH198" s="766"/>
      <c r="EI198" s="766"/>
      <c r="EJ198" s="766"/>
      <c r="EK198" s="766"/>
      <c r="EL198" s="766"/>
      <c r="EM198" s="766"/>
      <c r="EN198" s="766"/>
      <c r="EO198" s="766"/>
      <c r="EP198" s="766"/>
      <c r="EQ198" s="766"/>
      <c r="ER198" s="766"/>
      <c r="ES198" s="766"/>
      <c r="ET198" s="766"/>
      <c r="EU198" s="766"/>
      <c r="EV198" s="766"/>
      <c r="EW198" s="766"/>
      <c r="EX198" s="766"/>
      <c r="EY198" s="766"/>
      <c r="EZ198" s="766"/>
      <c r="FA198" s="766"/>
      <c r="FB198" s="766"/>
      <c r="FC198" s="766"/>
      <c r="FD198" s="775"/>
      <c r="FE198" s="766"/>
      <c r="FF198" s="766"/>
      <c r="FG198" s="766"/>
      <c r="FH198" s="766" t="s">
        <v>1306</v>
      </c>
      <c r="FI198" s="766">
        <v>1</v>
      </c>
      <c r="FJ198" s="766" t="s">
        <v>1628</v>
      </c>
      <c r="FK198" s="766"/>
      <c r="FL198" s="766" t="s">
        <v>1629</v>
      </c>
      <c r="FM198" s="775"/>
      <c r="FN198" s="775"/>
      <c r="FO198" s="775"/>
      <c r="FP198" s="766" t="s">
        <v>1602</v>
      </c>
      <c r="FQ198" s="766" t="s">
        <v>1660</v>
      </c>
      <c r="FR198" s="766"/>
      <c r="FS198" s="766" t="s">
        <v>1208</v>
      </c>
      <c r="FT198" s="766"/>
      <c r="FU198" s="766"/>
      <c r="FV198" s="766"/>
      <c r="FW198" s="766"/>
      <c r="FX198" s="766"/>
      <c r="FY198" s="766"/>
      <c r="FZ198" s="766"/>
      <c r="GA198" s="766"/>
      <c r="GB198" s="766"/>
      <c r="GC198" s="75"/>
      <c r="GD198" s="25"/>
      <c r="GE198" s="766"/>
      <c r="GF198" s="775"/>
      <c r="GG198" s="775"/>
      <c r="GH198" s="766"/>
      <c r="GI198" s="766"/>
      <c r="GJ198" s="766"/>
      <c r="GK198" s="766"/>
      <c r="GL198" s="766"/>
      <c r="GM198" s="766"/>
      <c r="GN198" s="82"/>
      <c r="GO198" s="766"/>
      <c r="GP198" s="766"/>
      <c r="GQ198" s="766"/>
      <c r="GR198" s="766"/>
      <c r="GS198" s="766"/>
      <c r="GT198" s="766"/>
      <c r="GU198" s="766"/>
      <c r="GV198" s="766"/>
      <c r="GW198" s="766"/>
      <c r="GX198" s="766"/>
      <c r="GY198" s="766"/>
      <c r="GZ198" s="766"/>
      <c r="HA198" s="766"/>
      <c r="HB198" s="766"/>
      <c r="HC198" s="766"/>
      <c r="HD198" s="766"/>
      <c r="HE198" s="766"/>
      <c r="HF198" s="766"/>
      <c r="HG198" s="766"/>
      <c r="HH198" s="766"/>
      <c r="HI198" s="766"/>
      <c r="HJ198" s="766"/>
      <c r="HK198" s="766"/>
      <c r="HL198" s="766"/>
      <c r="HM198" s="766"/>
      <c r="HN198" s="766"/>
      <c r="HO198" s="766"/>
      <c r="HP198" s="766"/>
      <c r="HQ198" s="766"/>
      <c r="HR198" s="766"/>
      <c r="HS198" s="766"/>
      <c r="HT198" s="766"/>
      <c r="HU198" s="766"/>
      <c r="HV198" s="766"/>
      <c r="HW198" s="766"/>
      <c r="HX198" s="766"/>
      <c r="HY198" s="766"/>
      <c r="HZ198" s="766"/>
      <c r="IA198" s="766"/>
      <c r="IB198" s="766"/>
      <c r="IC198" s="766"/>
      <c r="ID198" s="766"/>
      <c r="IE198" s="766"/>
      <c r="IF198" s="766"/>
      <c r="IG198" s="766"/>
      <c r="IH198" s="766"/>
      <c r="II198" s="766"/>
      <c r="IJ198" s="766"/>
      <c r="IK198" s="766"/>
      <c r="IL198" s="766"/>
      <c r="IM198" s="766"/>
      <c r="IN198" s="766"/>
      <c r="IO198" s="24"/>
      <c r="IP198" s="766"/>
      <c r="IQ198" s="766"/>
      <c r="IR198" s="766"/>
      <c r="IS198" s="766"/>
      <c r="IT198" s="766"/>
      <c r="IU198" s="766"/>
      <c r="IV198" s="766"/>
      <c r="IW198" s="766"/>
      <c r="IX198" s="766"/>
      <c r="IY198" s="766"/>
      <c r="IZ198" s="766"/>
      <c r="JA198" s="766"/>
      <c r="JB198" s="766"/>
      <c r="JC198" s="766"/>
      <c r="JD198" s="775"/>
      <c r="JE198" s="766"/>
      <c r="JF198" s="766"/>
      <c r="JG198" s="766"/>
      <c r="JH198" s="766"/>
      <c r="JI198" s="766"/>
      <c r="JJ198" s="766">
        <v>3</v>
      </c>
      <c r="JK198" s="766" t="s">
        <v>2076</v>
      </c>
      <c r="JL198" s="766"/>
      <c r="JM198" s="766"/>
      <c r="JN198" s="766">
        <v>1</v>
      </c>
      <c r="JO198" s="766">
        <v>2</v>
      </c>
      <c r="JP198" s="766"/>
      <c r="JQ198" s="766"/>
      <c r="JR198" s="766"/>
      <c r="JS198" s="766"/>
      <c r="JT198" s="766">
        <f t="shared" si="46"/>
        <v>1</v>
      </c>
      <c r="JU198" s="766">
        <f t="shared" si="46"/>
        <v>2</v>
      </c>
      <c r="JV198" s="766"/>
      <c r="JW198" s="766"/>
      <c r="JX198" s="766"/>
      <c r="JY198" s="766"/>
      <c r="JZ198" s="766"/>
      <c r="KA198" s="766"/>
      <c r="KB198" s="766">
        <v>1</v>
      </c>
      <c r="KC198" s="766">
        <v>2</v>
      </c>
      <c r="KD198" s="766"/>
      <c r="KE198" s="766"/>
      <c r="KF198" s="766"/>
      <c r="KG198" s="766"/>
      <c r="KH198" s="766"/>
      <c r="KI198" s="766"/>
      <c r="KJ198" s="770">
        <f t="shared" si="38"/>
        <v>1</v>
      </c>
      <c r="KK198" s="770">
        <f t="shared" si="38"/>
        <v>2</v>
      </c>
      <c r="KL198" s="770"/>
      <c r="KM198" s="770"/>
      <c r="KN198" s="766" t="s">
        <v>722</v>
      </c>
      <c r="KO198" s="766"/>
      <c r="KP198" s="766"/>
      <c r="KQ198" s="766"/>
      <c r="KR198" s="766"/>
      <c r="KS198" s="766"/>
      <c r="KT198" s="766"/>
      <c r="KU198" s="766"/>
      <c r="KV198" s="766"/>
      <c r="KW198" s="766"/>
      <c r="KX198" s="766"/>
      <c r="KY198" s="766"/>
      <c r="KZ198" s="766">
        <v>1</v>
      </c>
      <c r="LA198" s="766">
        <v>2</v>
      </c>
      <c r="LB198" s="766"/>
      <c r="LC198" s="766"/>
      <c r="LD198" s="766"/>
      <c r="LE198" s="766"/>
      <c r="LF198" s="766"/>
      <c r="LG198" s="766"/>
      <c r="LH198" s="766"/>
      <c r="LI198" s="766"/>
      <c r="LJ198" s="766"/>
      <c r="LK198" s="766"/>
      <c r="LL198" s="766"/>
      <c r="LM198" s="766"/>
      <c r="LN198" s="766">
        <f t="shared" si="47"/>
        <v>1</v>
      </c>
      <c r="LO198" s="766">
        <f t="shared" si="47"/>
        <v>2</v>
      </c>
      <c r="LP198" s="766">
        <v>2</v>
      </c>
      <c r="LQ198" s="766"/>
      <c r="LR198" s="766"/>
      <c r="LS198" s="766"/>
      <c r="LT198" s="766"/>
      <c r="LU198" s="766">
        <v>1</v>
      </c>
      <c r="LV198" s="766">
        <v>1</v>
      </c>
      <c r="LW198" s="766"/>
      <c r="LX198" s="769">
        <v>3</v>
      </c>
      <c r="LY198" s="766" t="str">
        <f t="shared" si="43"/>
        <v>within the PROVINCE</v>
      </c>
      <c r="LZ198" s="66"/>
      <c r="MA198" s="766"/>
      <c r="MB198" s="766"/>
      <c r="MC198" s="1679">
        <f t="shared" si="41"/>
        <v>0</v>
      </c>
      <c r="MD198" s="66"/>
      <c r="ME198" s="66"/>
      <c r="MF198" s="66"/>
      <c r="MG198" s="1680">
        <f t="shared" si="48"/>
        <v>0</v>
      </c>
      <c r="MH198" s="766"/>
      <c r="MI198" s="775">
        <v>4000</v>
      </c>
      <c r="MJ198" s="775">
        <v>2000</v>
      </c>
      <c r="MK198" s="775">
        <f>QUOTIENT(3000,12)</f>
        <v>250</v>
      </c>
      <c r="ML198" s="775">
        <v>200</v>
      </c>
      <c r="MM198" s="775"/>
      <c r="MN198" s="775">
        <v>2500</v>
      </c>
      <c r="MO198" s="775">
        <f>SUM(PRODUCT(15,30),PRODUCT(30,4))</f>
        <v>570</v>
      </c>
      <c r="MP198" s="775">
        <v>1000</v>
      </c>
      <c r="MQ198" s="775">
        <v>430</v>
      </c>
      <c r="MR198" s="775">
        <v>400</v>
      </c>
      <c r="MS198" s="775">
        <v>2000</v>
      </c>
      <c r="MT198" s="775"/>
      <c r="MU198" s="775"/>
      <c r="MV198" s="775"/>
      <c r="MW198" s="775"/>
      <c r="MX198" s="775"/>
      <c r="MY198" s="1682">
        <f t="shared" ref="MY198:MY259" si="49">IF(ISBLANK(MI198:MX198)=TRUE,"",SUM(MI198:MX198))</f>
        <v>13350</v>
      </c>
      <c r="MZ198" s="766" t="s">
        <v>13004</v>
      </c>
      <c r="NA198" s="766" t="s">
        <v>13005</v>
      </c>
      <c r="NB198" s="766" t="s">
        <v>13016</v>
      </c>
      <c r="NC198" s="766" t="s">
        <v>13007</v>
      </c>
      <c r="ND198" s="766">
        <v>0</v>
      </c>
      <c r="NE198" s="766">
        <v>0</v>
      </c>
      <c r="NF198" s="766">
        <v>0</v>
      </c>
      <c r="NG198" s="766">
        <v>3</v>
      </c>
      <c r="NH198" s="766">
        <v>1</v>
      </c>
      <c r="NI198" s="766">
        <v>1</v>
      </c>
      <c r="NJ198" s="766">
        <v>0</v>
      </c>
      <c r="NK198" s="766">
        <v>0</v>
      </c>
      <c r="NL198" s="766">
        <v>0</v>
      </c>
      <c r="NM198" s="766">
        <v>1</v>
      </c>
      <c r="NN198" s="766">
        <v>0</v>
      </c>
      <c r="NO198" s="766">
        <v>0</v>
      </c>
      <c r="NP198" s="766">
        <v>0</v>
      </c>
      <c r="NQ198" s="766">
        <v>1</v>
      </c>
      <c r="NR198" s="766">
        <v>1</v>
      </c>
      <c r="NS198" s="766">
        <v>1</v>
      </c>
      <c r="NT198" s="766">
        <v>0</v>
      </c>
      <c r="NU198" s="766">
        <v>0</v>
      </c>
      <c r="NV198" s="766">
        <v>0</v>
      </c>
      <c r="NW198" s="766">
        <v>1</v>
      </c>
      <c r="NX198" s="766">
        <v>0</v>
      </c>
      <c r="NY198" s="766" t="s">
        <v>1208</v>
      </c>
      <c r="NZ198" s="766"/>
      <c r="OA198" s="766" t="s">
        <v>1208</v>
      </c>
      <c r="OB198" s="766" t="s">
        <v>1208</v>
      </c>
      <c r="OC198" s="766" t="s">
        <v>1208</v>
      </c>
      <c r="OD198" s="766"/>
      <c r="OE198" s="766"/>
      <c r="OF198" s="766"/>
      <c r="OG198" s="766"/>
      <c r="OH198" s="766"/>
      <c r="OI198" s="766"/>
      <c r="OJ198" s="766"/>
      <c r="OK198" s="76"/>
      <c r="OL198" s="766"/>
      <c r="OM198" s="766"/>
      <c r="ON198" s="766"/>
      <c r="OO198" s="766"/>
      <c r="OP198" s="766"/>
      <c r="OQ198" s="766"/>
      <c r="OR198" s="766"/>
      <c r="OS198" s="766"/>
      <c r="OT198" s="766"/>
      <c r="OU198" s="766"/>
      <c r="OV198" s="766"/>
      <c r="OW198" s="766"/>
      <c r="OX198" s="766"/>
      <c r="OY198" s="766"/>
      <c r="OZ198" s="766"/>
      <c r="PA198" s="766"/>
      <c r="PB198" s="766"/>
      <c r="PC198" s="766"/>
      <c r="PD198" s="766"/>
      <c r="PE198" s="766"/>
      <c r="PF198" s="766"/>
      <c r="PG198" s="766"/>
      <c r="PH198" s="766"/>
      <c r="PI198" s="766"/>
      <c r="PJ198" s="766"/>
      <c r="PK198" s="766"/>
      <c r="PL198" s="766"/>
      <c r="PM198" s="766"/>
      <c r="PN198" s="766"/>
      <c r="PO198" s="766"/>
      <c r="PP198" s="766"/>
      <c r="PQ198" s="766"/>
      <c r="PR198" s="766" t="s">
        <v>1208</v>
      </c>
      <c r="PS198" s="766" t="s">
        <v>1208</v>
      </c>
      <c r="PT198" s="766" t="s">
        <v>1208</v>
      </c>
      <c r="PU198" s="766"/>
      <c r="PV198" s="766"/>
      <c r="PW198" s="766"/>
      <c r="PX198" s="766"/>
      <c r="PY198" s="766"/>
      <c r="PZ198" s="766"/>
      <c r="QA198" s="766"/>
      <c r="QB198" s="766"/>
      <c r="QC198" s="766"/>
      <c r="QD198" s="766"/>
      <c r="QE198" s="766"/>
      <c r="QF198" s="766"/>
      <c r="QG198" s="766"/>
      <c r="QH198" s="766"/>
      <c r="QI198" s="766"/>
      <c r="QJ198" s="766"/>
      <c r="QK198" s="766"/>
      <c r="QL198" s="766"/>
      <c r="QM198" s="766"/>
      <c r="QN198" s="766"/>
      <c r="QO198" s="766"/>
      <c r="QP198" s="766"/>
      <c r="QQ198" s="766"/>
      <c r="QR198" s="766"/>
      <c r="QS198" s="766"/>
      <c r="QT198" s="766"/>
      <c r="QU198" s="766"/>
      <c r="QV198" s="766"/>
      <c r="QW198" s="766"/>
      <c r="QX198" s="766"/>
      <c r="QY198" s="766"/>
      <c r="QZ198" s="766"/>
      <c r="RA198" s="766"/>
      <c r="RB198" s="766"/>
      <c r="RC198" s="766"/>
      <c r="RD198" s="766"/>
      <c r="RE198" s="766"/>
      <c r="RF198" s="777"/>
      <c r="RG198" s="766"/>
      <c r="RH198" s="775"/>
      <c r="RI198" s="766"/>
      <c r="RJ198" s="766" t="s">
        <v>2231</v>
      </c>
      <c r="RK198" s="766" t="s">
        <v>13146</v>
      </c>
      <c r="RL198" s="1683"/>
      <c r="RM198" s="12"/>
      <c r="RN198" s="1711"/>
      <c r="RO198" s="171" t="s">
        <v>337</v>
      </c>
      <c r="RP198" s="11"/>
      <c r="RQ198" s="11"/>
      <c r="RR198" s="17"/>
      <c r="RS198" s="766"/>
      <c r="RT198" s="11"/>
      <c r="RU198" s="11"/>
      <c r="RV198" s="766" t="s">
        <v>12446</v>
      </c>
      <c r="RW198" s="11" t="s">
        <v>7964</v>
      </c>
      <c r="RX198" s="11" t="s">
        <v>329</v>
      </c>
      <c r="RY198" s="11"/>
      <c r="RZ198" s="11"/>
      <c r="SA198" s="766"/>
      <c r="SB198" s="11"/>
      <c r="SC198" s="11"/>
    </row>
    <row r="199" spans="1:497" ht="12.75" hidden="1" customHeight="1">
      <c r="A199" s="19" t="s">
        <v>12447</v>
      </c>
      <c r="B199" s="292" t="s">
        <v>7584</v>
      </c>
      <c r="C199" s="171" t="s">
        <v>338</v>
      </c>
      <c r="D199" s="766" t="s">
        <v>5831</v>
      </c>
      <c r="E199" s="766" t="s">
        <v>5447</v>
      </c>
      <c r="F199" s="766"/>
      <c r="G199" s="766"/>
      <c r="H199" s="766"/>
      <c r="I199" s="5"/>
      <c r="J199" s="766"/>
      <c r="K199" s="766"/>
      <c r="L199" s="766"/>
      <c r="M199" s="766"/>
      <c r="N199" s="766"/>
      <c r="O199" s="766"/>
      <c r="P199" s="766" t="s">
        <v>881</v>
      </c>
      <c r="Q199" s="1085">
        <v>17784</v>
      </c>
      <c r="R199" s="25">
        <v>68</v>
      </c>
      <c r="S199" s="770" t="s">
        <v>10</v>
      </c>
      <c r="T199" s="766"/>
      <c r="U199" s="26" t="s">
        <v>882</v>
      </c>
      <c r="V199" s="766" t="s">
        <v>719</v>
      </c>
      <c r="W199" s="766"/>
      <c r="X199" s="766"/>
      <c r="Y199" s="766" t="s">
        <v>335</v>
      </c>
      <c r="Z199" s="766" t="s">
        <v>708</v>
      </c>
      <c r="AA199" s="766" t="s">
        <v>883</v>
      </c>
      <c r="AB199" s="766" t="s">
        <v>7275</v>
      </c>
      <c r="AC199" s="766"/>
      <c r="AD199" s="766"/>
      <c r="AE199" s="766" t="s">
        <v>7287</v>
      </c>
      <c r="AF199" s="766"/>
      <c r="AG199" s="766"/>
      <c r="AH199" s="766"/>
      <c r="AI199" s="766"/>
      <c r="AJ199" s="766"/>
      <c r="AK199" s="766" t="s">
        <v>1899</v>
      </c>
      <c r="AL199" s="121"/>
      <c r="AM199" s="772"/>
      <c r="AN199" s="774"/>
      <c r="AO199" s="766"/>
      <c r="AP199" s="766"/>
      <c r="AQ199" s="766"/>
      <c r="AR199" s="766"/>
      <c r="AS199" s="766"/>
      <c r="AT199" s="766"/>
      <c r="AU199" s="766"/>
      <c r="AV199" s="766"/>
      <c r="AW199" s="766"/>
      <c r="AX199" s="766"/>
      <c r="AY199" s="766"/>
      <c r="AZ199" s="766"/>
      <c r="BA199" s="766"/>
      <c r="BB199" s="766"/>
      <c r="BC199" s="766"/>
      <c r="BD199" s="766"/>
      <c r="BE199" s="766"/>
      <c r="BF199" s="775"/>
      <c r="BG199" s="775"/>
      <c r="BH199" s="766"/>
      <c r="BI199" s="766"/>
      <c r="BJ199" s="766"/>
      <c r="BK199" s="766"/>
      <c r="BL199" s="766"/>
      <c r="BM199" s="766" t="s">
        <v>1238</v>
      </c>
      <c r="BN199" s="766" t="s">
        <v>1256</v>
      </c>
      <c r="BO199" s="766"/>
      <c r="BP199" s="776"/>
      <c r="BQ199" s="772"/>
      <c r="BR199" s="774"/>
      <c r="BS199" s="766" t="s">
        <v>1105</v>
      </c>
      <c r="BT199" s="766"/>
      <c r="BU199" s="766"/>
      <c r="BV199" s="766"/>
      <c r="BW199" s="766"/>
      <c r="BX199" s="779"/>
      <c r="BY199" s="766"/>
      <c r="BZ199" s="775"/>
      <c r="CA199" s="766"/>
      <c r="CB199" s="766"/>
      <c r="CC199" s="766"/>
      <c r="CD199" s="766"/>
      <c r="CE199" s="766"/>
      <c r="CF199" s="777"/>
      <c r="CG199" s="778"/>
      <c r="CH199" s="766"/>
      <c r="CI199" s="766"/>
      <c r="CJ199" s="766"/>
      <c r="CK199" s="766"/>
      <c r="CL199" s="766"/>
      <c r="CM199" s="766"/>
      <c r="CN199" s="766"/>
      <c r="CO199" s="766"/>
      <c r="CP199" s="766"/>
      <c r="CQ199" s="766"/>
      <c r="CR199" s="775"/>
      <c r="CS199" s="766"/>
      <c r="CT199" s="766"/>
      <c r="CU199" s="129"/>
      <c r="CV199" s="766"/>
      <c r="CW199" s="766"/>
      <c r="CX199" s="766"/>
      <c r="CY199" s="766"/>
      <c r="CZ199" s="766"/>
      <c r="DA199" s="766"/>
      <c r="DB199" s="766"/>
      <c r="DC199" s="766"/>
      <c r="DD199" s="766"/>
      <c r="DE199" s="766"/>
      <c r="DF199" s="766"/>
      <c r="DG199" s="766"/>
      <c r="DH199" s="766"/>
      <c r="DI199" s="766"/>
      <c r="DJ199" s="766"/>
      <c r="DK199" s="766"/>
      <c r="DL199" s="766"/>
      <c r="DM199" s="766"/>
      <c r="DN199" s="766"/>
      <c r="DO199" s="766"/>
      <c r="DP199" s="766"/>
      <c r="DQ199" s="766"/>
      <c r="DR199" s="766"/>
      <c r="DS199" s="59"/>
      <c r="DT199" s="766"/>
      <c r="DU199" s="766"/>
      <c r="DV199" s="766"/>
      <c r="DW199" s="66"/>
      <c r="DX199" s="66"/>
      <c r="DY199" s="766"/>
      <c r="DZ199" s="766"/>
      <c r="EA199" s="766"/>
      <c r="EB199" s="766"/>
      <c r="EC199" s="766"/>
      <c r="ED199" s="766"/>
      <c r="EE199" s="766"/>
      <c r="EF199" s="766"/>
      <c r="EG199" s="766"/>
      <c r="EH199" s="766"/>
      <c r="EI199" s="766"/>
      <c r="EJ199" s="766"/>
      <c r="EK199" s="766"/>
      <c r="EL199" s="766"/>
      <c r="EM199" s="766"/>
      <c r="EN199" s="766"/>
      <c r="EO199" s="766"/>
      <c r="EP199" s="766"/>
      <c r="EQ199" s="766"/>
      <c r="ER199" s="766"/>
      <c r="ES199" s="766"/>
      <c r="ET199" s="766"/>
      <c r="EU199" s="766"/>
      <c r="EV199" s="766"/>
      <c r="EW199" s="766"/>
      <c r="EX199" s="766"/>
      <c r="EY199" s="766"/>
      <c r="EZ199" s="766"/>
      <c r="FA199" s="766"/>
      <c r="FB199" s="766"/>
      <c r="FC199" s="766"/>
      <c r="FD199" s="775"/>
      <c r="FE199" s="766"/>
      <c r="FF199" s="766"/>
      <c r="FG199" s="766"/>
      <c r="FH199" s="766" t="s">
        <v>1306</v>
      </c>
      <c r="FI199" s="766">
        <v>1</v>
      </c>
      <c r="FJ199" s="766" t="s">
        <v>1628</v>
      </c>
      <c r="FK199" s="766"/>
      <c r="FL199" s="766" t="s">
        <v>1629</v>
      </c>
      <c r="FM199" s="147">
        <v>4500</v>
      </c>
      <c r="FN199" s="775">
        <v>600</v>
      </c>
      <c r="FO199" s="775">
        <v>1000</v>
      </c>
      <c r="FP199" s="766" t="s">
        <v>1602</v>
      </c>
      <c r="FQ199" s="766" t="s">
        <v>1660</v>
      </c>
      <c r="FR199" s="766"/>
      <c r="FS199" s="766"/>
      <c r="FT199" s="766"/>
      <c r="FU199" s="766"/>
      <c r="FV199" s="766"/>
      <c r="FW199" s="766"/>
      <c r="FX199" s="766"/>
      <c r="FY199" s="766"/>
      <c r="FZ199" s="766"/>
      <c r="GA199" s="766"/>
      <c r="GB199" s="766"/>
      <c r="GC199" s="75"/>
      <c r="GD199" s="25"/>
      <c r="GE199" s="766"/>
      <c r="GF199" s="775"/>
      <c r="GG199" s="775"/>
      <c r="GH199" s="766"/>
      <c r="GI199" s="766"/>
      <c r="GJ199" s="766"/>
      <c r="GK199" s="766"/>
      <c r="GL199" s="766"/>
      <c r="GM199" s="766"/>
      <c r="GN199" s="82"/>
      <c r="GO199" s="766"/>
      <c r="GP199" s="766"/>
      <c r="GQ199" s="766"/>
      <c r="GR199" s="766"/>
      <c r="GS199" s="766"/>
      <c r="GT199" s="766"/>
      <c r="GU199" s="766"/>
      <c r="GV199" s="766"/>
      <c r="GW199" s="766"/>
      <c r="GX199" s="766"/>
      <c r="GY199" s="766"/>
      <c r="GZ199" s="766"/>
      <c r="HA199" s="766"/>
      <c r="HB199" s="766"/>
      <c r="HC199" s="766"/>
      <c r="HD199" s="766"/>
      <c r="HE199" s="766"/>
      <c r="HF199" s="766"/>
      <c r="HG199" s="766"/>
      <c r="HH199" s="766"/>
      <c r="HI199" s="766"/>
      <c r="HJ199" s="766"/>
      <c r="HK199" s="766"/>
      <c r="HL199" s="766"/>
      <c r="HM199" s="766"/>
      <c r="HN199" s="766"/>
      <c r="HO199" s="766"/>
      <c r="HP199" s="766"/>
      <c r="HQ199" s="766"/>
      <c r="HR199" s="766"/>
      <c r="HS199" s="766"/>
      <c r="HT199" s="766"/>
      <c r="HU199" s="766"/>
      <c r="HV199" s="766"/>
      <c r="HW199" s="766"/>
      <c r="HX199" s="766"/>
      <c r="HY199" s="766"/>
      <c r="HZ199" s="766"/>
      <c r="IA199" s="766"/>
      <c r="IB199" s="766"/>
      <c r="IC199" s="766"/>
      <c r="ID199" s="766" t="s">
        <v>1207</v>
      </c>
      <c r="IE199" s="766"/>
      <c r="IF199" s="766"/>
      <c r="IG199" s="766"/>
      <c r="IH199" s="766"/>
      <c r="II199" s="766"/>
      <c r="IJ199" s="766"/>
      <c r="IK199" s="766"/>
      <c r="IL199" s="766"/>
      <c r="IM199" s="766"/>
      <c r="IN199" s="766"/>
      <c r="IO199" s="24"/>
      <c r="IP199" s="766"/>
      <c r="IQ199" s="766"/>
      <c r="IR199" s="766"/>
      <c r="IS199" s="766"/>
      <c r="IT199" s="766"/>
      <c r="IU199" s="766"/>
      <c r="IV199" s="766"/>
      <c r="IW199" s="766"/>
      <c r="IX199" s="766"/>
      <c r="IY199" s="766"/>
      <c r="IZ199" s="766"/>
      <c r="JA199" s="766"/>
      <c r="JB199" s="766"/>
      <c r="JC199" s="766"/>
      <c r="JD199" s="775"/>
      <c r="JE199" s="766"/>
      <c r="JF199" s="766"/>
      <c r="JG199" s="766"/>
      <c r="JH199" s="766"/>
      <c r="JI199" s="766"/>
      <c r="JJ199" s="766">
        <v>7</v>
      </c>
      <c r="JK199" s="766" t="s">
        <v>13274</v>
      </c>
      <c r="JL199" s="766">
        <v>3</v>
      </c>
      <c r="JM199" s="766">
        <v>1</v>
      </c>
      <c r="JN199" s="766">
        <v>1</v>
      </c>
      <c r="JO199" s="766">
        <v>1</v>
      </c>
      <c r="JP199" s="766">
        <v>1</v>
      </c>
      <c r="JQ199" s="766"/>
      <c r="JR199" s="766"/>
      <c r="JS199" s="766"/>
      <c r="JT199" s="766">
        <f t="shared" si="46"/>
        <v>5</v>
      </c>
      <c r="JU199" s="766">
        <f t="shared" si="46"/>
        <v>2</v>
      </c>
      <c r="JV199" s="766"/>
      <c r="JW199" s="766"/>
      <c r="JX199" s="766">
        <v>1</v>
      </c>
      <c r="JY199" s="766">
        <v>1</v>
      </c>
      <c r="JZ199" s="766">
        <v>2</v>
      </c>
      <c r="KA199" s="766"/>
      <c r="KB199" s="766">
        <v>1</v>
      </c>
      <c r="KC199" s="766">
        <v>1</v>
      </c>
      <c r="KD199" s="766"/>
      <c r="KE199" s="766"/>
      <c r="KF199" s="766">
        <v>1</v>
      </c>
      <c r="KG199" s="766"/>
      <c r="KH199" s="766"/>
      <c r="KI199" s="766"/>
      <c r="KJ199" s="770">
        <f t="shared" si="38"/>
        <v>5</v>
      </c>
      <c r="KK199" s="770">
        <f t="shared" si="38"/>
        <v>2</v>
      </c>
      <c r="KL199" s="770"/>
      <c r="KM199" s="770"/>
      <c r="KN199" s="766" t="s">
        <v>719</v>
      </c>
      <c r="KO199" s="766"/>
      <c r="KP199" s="766"/>
      <c r="KQ199" s="766"/>
      <c r="KR199" s="766"/>
      <c r="KS199" s="766"/>
      <c r="KT199" s="766">
        <v>3</v>
      </c>
      <c r="KU199" s="766"/>
      <c r="KV199" s="766"/>
      <c r="KW199" s="766"/>
      <c r="KX199" s="766">
        <v>1</v>
      </c>
      <c r="KY199" s="766">
        <v>1</v>
      </c>
      <c r="KZ199" s="766"/>
      <c r="LA199" s="766"/>
      <c r="LB199" s="766"/>
      <c r="LC199" s="766"/>
      <c r="LD199" s="766"/>
      <c r="LE199" s="766"/>
      <c r="LF199" s="766"/>
      <c r="LG199" s="766"/>
      <c r="LH199" s="766"/>
      <c r="LI199" s="766"/>
      <c r="LJ199" s="766">
        <v>1</v>
      </c>
      <c r="LK199" s="766">
        <v>1</v>
      </c>
      <c r="LL199" s="766"/>
      <c r="LM199" s="766"/>
      <c r="LN199" s="766">
        <f t="shared" si="47"/>
        <v>5</v>
      </c>
      <c r="LO199" s="766">
        <f t="shared" si="47"/>
        <v>2</v>
      </c>
      <c r="LP199" s="766">
        <v>2</v>
      </c>
      <c r="LQ199" s="766"/>
      <c r="LR199" s="766"/>
      <c r="LS199" s="766"/>
      <c r="LT199" s="766"/>
      <c r="LU199" s="766">
        <v>1</v>
      </c>
      <c r="LV199" s="766"/>
      <c r="LW199" s="766">
        <v>1</v>
      </c>
      <c r="LX199" s="769">
        <v>1</v>
      </c>
      <c r="LY199" s="766" t="str">
        <f t="shared" ref="LY199:LY230" si="50">IF(ISBLANK(LX199)=TRUE,"",LOOKUP(LX199,RT:RU))</f>
        <v>within the BRGY</v>
      </c>
      <c r="LZ199" s="66"/>
      <c r="MA199" s="766"/>
      <c r="MB199" s="766"/>
      <c r="MC199" s="1679">
        <f t="shared" si="41"/>
        <v>0</v>
      </c>
      <c r="MD199" s="66"/>
      <c r="ME199" s="66"/>
      <c r="MF199" s="66"/>
      <c r="MG199" s="1680">
        <f t="shared" si="48"/>
        <v>0</v>
      </c>
      <c r="MH199" s="766"/>
      <c r="MI199" s="775">
        <v>12000</v>
      </c>
      <c r="MJ199" s="775">
        <v>1824</v>
      </c>
      <c r="MK199" s="775">
        <f>QUOTIENT(1000,12)</f>
        <v>83</v>
      </c>
      <c r="ML199" s="775">
        <v>330</v>
      </c>
      <c r="MM199" s="775">
        <v>1000</v>
      </c>
      <c r="MN199" s="775">
        <v>4500</v>
      </c>
      <c r="MO199" s="775">
        <v>50</v>
      </c>
      <c r="MP199" s="775">
        <v>1000</v>
      </c>
      <c r="MQ199" s="775">
        <v>560</v>
      </c>
      <c r="MR199" s="775">
        <v>600</v>
      </c>
      <c r="MS199" s="775">
        <f>QUOTIENT(2000,12)</f>
        <v>166</v>
      </c>
      <c r="MT199" s="775"/>
      <c r="MU199" s="775"/>
      <c r="MV199" s="775"/>
      <c r="MW199" s="775"/>
      <c r="MX199" s="775"/>
      <c r="MY199" s="1682">
        <f t="shared" si="49"/>
        <v>22113</v>
      </c>
      <c r="MZ199" s="766" t="s">
        <v>13004</v>
      </c>
      <c r="NA199" s="766" t="s">
        <v>13005</v>
      </c>
      <c r="NB199" s="766" t="s">
        <v>13006</v>
      </c>
      <c r="NC199" s="766" t="s">
        <v>13007</v>
      </c>
      <c r="ND199" s="766">
        <v>0</v>
      </c>
      <c r="NE199" s="766">
        <v>0</v>
      </c>
      <c r="NF199" s="766">
        <v>0</v>
      </c>
      <c r="NG199" s="766">
        <v>1</v>
      </c>
      <c r="NH199" s="766">
        <v>1</v>
      </c>
      <c r="NI199" s="766">
        <v>1</v>
      </c>
      <c r="NJ199" s="766">
        <v>0</v>
      </c>
      <c r="NK199" s="766">
        <v>0</v>
      </c>
      <c r="NL199" s="766">
        <v>0</v>
      </c>
      <c r="NM199" s="766">
        <v>0</v>
      </c>
      <c r="NN199" s="766">
        <v>1</v>
      </c>
      <c r="NO199" s="766">
        <v>0</v>
      </c>
      <c r="NP199" s="766">
        <v>0</v>
      </c>
      <c r="NQ199" s="766">
        <v>1</v>
      </c>
      <c r="NR199" s="766">
        <v>0</v>
      </c>
      <c r="NS199" s="766">
        <v>0</v>
      </c>
      <c r="NT199" s="766">
        <v>0</v>
      </c>
      <c r="NU199" s="766">
        <v>0</v>
      </c>
      <c r="NV199" s="766">
        <v>0</v>
      </c>
      <c r="NW199" s="766">
        <v>1</v>
      </c>
      <c r="NX199" s="766">
        <v>0</v>
      </c>
      <c r="NY199" s="766"/>
      <c r="NZ199" s="766"/>
      <c r="OA199" s="766"/>
      <c r="OB199" s="766"/>
      <c r="OC199" s="766"/>
      <c r="OD199" s="766"/>
      <c r="OE199" s="766"/>
      <c r="OF199" s="766"/>
      <c r="OG199" s="766"/>
      <c r="OH199" s="766"/>
      <c r="OI199" s="766"/>
      <c r="OJ199" s="766"/>
      <c r="OK199" s="76"/>
      <c r="OL199" s="766"/>
      <c r="OM199" s="766"/>
      <c r="ON199" s="766"/>
      <c r="OO199" s="766"/>
      <c r="OP199" s="766"/>
      <c r="OQ199" s="766"/>
      <c r="OR199" s="766"/>
      <c r="OS199" s="766"/>
      <c r="OT199" s="766"/>
      <c r="OU199" s="766"/>
      <c r="OV199" s="766"/>
      <c r="OW199" s="766"/>
      <c r="OX199" s="766"/>
      <c r="OY199" s="766"/>
      <c r="OZ199" s="766"/>
      <c r="PA199" s="766"/>
      <c r="PB199" s="766"/>
      <c r="PC199" s="766"/>
      <c r="PD199" s="766"/>
      <c r="PE199" s="766"/>
      <c r="PF199" s="766"/>
      <c r="PG199" s="766"/>
      <c r="PH199" s="766"/>
      <c r="PI199" s="766"/>
      <c r="PJ199" s="766"/>
      <c r="PK199" s="766"/>
      <c r="PL199" s="766"/>
      <c r="PM199" s="766"/>
      <c r="PN199" s="766"/>
      <c r="PO199" s="766"/>
      <c r="PP199" s="766"/>
      <c r="PQ199" s="766"/>
      <c r="PR199" s="766" t="s">
        <v>1208</v>
      </c>
      <c r="PS199" s="766" t="s">
        <v>1208</v>
      </c>
      <c r="PT199" s="766"/>
      <c r="PU199" s="766"/>
      <c r="PV199" s="766"/>
      <c r="PW199" s="766"/>
      <c r="PX199" s="766"/>
      <c r="PY199" s="766"/>
      <c r="PZ199" s="766"/>
      <c r="QA199" s="766"/>
      <c r="QB199" s="766"/>
      <c r="QC199" s="766"/>
      <c r="QD199" s="766"/>
      <c r="QE199" s="766"/>
      <c r="QF199" s="766"/>
      <c r="QG199" s="766"/>
      <c r="QH199" s="766"/>
      <c r="QI199" s="766"/>
      <c r="QJ199" s="766"/>
      <c r="QK199" s="766"/>
      <c r="QL199" s="766"/>
      <c r="QM199" s="766"/>
      <c r="QN199" s="766"/>
      <c r="QO199" s="766"/>
      <c r="QP199" s="766"/>
      <c r="QQ199" s="766"/>
      <c r="QR199" s="766"/>
      <c r="QS199" s="766"/>
      <c r="QT199" s="766"/>
      <c r="QU199" s="766"/>
      <c r="QV199" s="766"/>
      <c r="QW199" s="766"/>
      <c r="QX199" s="766"/>
      <c r="QY199" s="766"/>
      <c r="QZ199" s="766"/>
      <c r="RA199" s="766"/>
      <c r="RB199" s="770" t="s">
        <v>1207</v>
      </c>
      <c r="RC199" s="766">
        <v>2012</v>
      </c>
      <c r="RD199" s="766" t="s">
        <v>12989</v>
      </c>
      <c r="RE199" s="766" t="s">
        <v>13008</v>
      </c>
      <c r="RF199" s="777">
        <v>1</v>
      </c>
      <c r="RG199" s="766" t="s">
        <v>13000</v>
      </c>
      <c r="RH199" s="775"/>
      <c r="RI199" s="766">
        <v>2</v>
      </c>
      <c r="RJ199" s="766" t="s">
        <v>2164</v>
      </c>
      <c r="RK199" s="766" t="s">
        <v>13146</v>
      </c>
      <c r="RL199" s="1683"/>
      <c r="RM199" s="12"/>
      <c r="RN199" s="1711"/>
      <c r="RO199" s="171" t="s">
        <v>338</v>
      </c>
      <c r="RP199" s="11"/>
      <c r="RQ199" s="11"/>
      <c r="RR199" s="17"/>
      <c r="RS199" s="766"/>
      <c r="RT199" s="11"/>
      <c r="RU199" s="11"/>
      <c r="RV199" s="766" t="s">
        <v>7419</v>
      </c>
      <c r="RW199" s="11" t="s">
        <v>7965</v>
      </c>
      <c r="RX199" s="11" t="s">
        <v>333</v>
      </c>
      <c r="RY199" s="11"/>
      <c r="RZ199" s="11"/>
      <c r="SA199" s="766"/>
      <c r="SB199" s="11"/>
      <c r="SC199" s="11"/>
    </row>
    <row r="200" spans="1:497" ht="12.75" hidden="1" customHeight="1">
      <c r="A200" s="154" t="s">
        <v>7419</v>
      </c>
      <c r="B200" s="288" t="s">
        <v>7966</v>
      </c>
      <c r="C200" s="171" t="s">
        <v>339</v>
      </c>
      <c r="D200" s="766" t="s">
        <v>340</v>
      </c>
      <c r="E200" s="766" t="s">
        <v>5448</v>
      </c>
      <c r="F200" s="766" t="s">
        <v>20</v>
      </c>
      <c r="G200" s="766" t="s">
        <v>18</v>
      </c>
      <c r="H200" s="766"/>
      <c r="I200" s="5" t="s">
        <v>342</v>
      </c>
      <c r="J200" s="766" t="s">
        <v>343</v>
      </c>
      <c r="K200" s="766" t="s">
        <v>344</v>
      </c>
      <c r="L200" s="766" t="s">
        <v>323</v>
      </c>
      <c r="M200" s="766"/>
      <c r="N200" s="766" t="s">
        <v>12186</v>
      </c>
      <c r="O200" s="766" t="s">
        <v>12190</v>
      </c>
      <c r="P200" s="14" t="s">
        <v>884</v>
      </c>
      <c r="Q200" s="1085">
        <v>28947</v>
      </c>
      <c r="R200" s="25">
        <v>41</v>
      </c>
      <c r="S200" s="770" t="s">
        <v>18</v>
      </c>
      <c r="T200" s="766"/>
      <c r="U200" s="26" t="s">
        <v>342</v>
      </c>
      <c r="V200" s="766" t="s">
        <v>707</v>
      </c>
      <c r="W200" s="766"/>
      <c r="X200" s="766"/>
      <c r="Y200" s="766" t="s">
        <v>341</v>
      </c>
      <c r="Z200" s="766" t="s">
        <v>708</v>
      </c>
      <c r="AA200" s="766" t="s">
        <v>868</v>
      </c>
      <c r="AB200" s="766" t="s">
        <v>710</v>
      </c>
      <c r="AC200" s="766"/>
      <c r="AD200" s="766" t="s">
        <v>711</v>
      </c>
      <c r="AE200" s="766"/>
      <c r="AF200" s="766" t="s">
        <v>885</v>
      </c>
      <c r="AG200" s="766" t="s">
        <v>1095</v>
      </c>
      <c r="AH200" s="766" t="s">
        <v>1096</v>
      </c>
      <c r="AI200" s="766" t="s">
        <v>1158</v>
      </c>
      <c r="AJ200" s="766"/>
      <c r="AK200" s="766" t="s">
        <v>1097</v>
      </c>
      <c r="AL200" s="121">
        <v>29.33</v>
      </c>
      <c r="AM200" s="772">
        <v>29.33</v>
      </c>
      <c r="AN200" s="774">
        <f>AM200/AL200</f>
        <v>1</v>
      </c>
      <c r="AO200" s="766" t="s">
        <v>1113</v>
      </c>
      <c r="AP200" s="766"/>
      <c r="AQ200" s="766"/>
      <c r="AR200" s="766"/>
      <c r="AS200" s="766" t="s">
        <v>1207</v>
      </c>
      <c r="AT200" s="766" t="s">
        <v>1208</v>
      </c>
      <c r="AU200" s="766" t="s">
        <v>1208</v>
      </c>
      <c r="AV200" s="766"/>
      <c r="AW200" s="766"/>
      <c r="AX200" s="766"/>
      <c r="AY200" s="766"/>
      <c r="AZ200" s="766"/>
      <c r="BA200" s="766"/>
      <c r="BB200" s="766"/>
      <c r="BC200" s="766" t="s">
        <v>796</v>
      </c>
      <c r="BD200" s="766" t="s">
        <v>1207</v>
      </c>
      <c r="BE200" s="766"/>
      <c r="BF200" s="775"/>
      <c r="BG200" s="775"/>
      <c r="BH200" s="766"/>
      <c r="BI200" s="766"/>
      <c r="BJ200" s="766"/>
      <c r="BK200" s="766" t="s">
        <v>1095</v>
      </c>
      <c r="BL200" s="766" t="s">
        <v>1323</v>
      </c>
      <c r="BM200" s="766" t="s">
        <v>1096</v>
      </c>
      <c r="BN200" s="766" t="s">
        <v>1230</v>
      </c>
      <c r="BO200" s="766" t="s">
        <v>1239</v>
      </c>
      <c r="BP200" s="776">
        <v>58.66</v>
      </c>
      <c r="BQ200" s="776">
        <v>58.66</v>
      </c>
      <c r="BR200" s="774">
        <f>BQ200/BP200</f>
        <v>1</v>
      </c>
      <c r="BS200" s="6" t="s">
        <v>1257</v>
      </c>
      <c r="BT200" s="766" t="s">
        <v>2040</v>
      </c>
      <c r="BU200" s="766" t="s">
        <v>1324</v>
      </c>
      <c r="BV200" s="766" t="s">
        <v>1240</v>
      </c>
      <c r="BW200" s="766">
        <v>2008</v>
      </c>
      <c r="BX200" s="779">
        <v>400000</v>
      </c>
      <c r="BY200" s="766"/>
      <c r="BZ200" s="775"/>
      <c r="CA200" s="766"/>
      <c r="CB200" s="766"/>
      <c r="CC200" s="766"/>
      <c r="CD200" s="766"/>
      <c r="CE200" s="766"/>
      <c r="CF200" s="777"/>
      <c r="CG200" s="778"/>
      <c r="CH200" s="766"/>
      <c r="CI200" s="766"/>
      <c r="CJ200" s="766"/>
      <c r="CK200" s="766"/>
      <c r="CL200" s="766"/>
      <c r="CM200" s="766"/>
      <c r="CN200" s="766"/>
      <c r="CO200" s="766"/>
      <c r="CP200" s="766"/>
      <c r="CQ200" s="766"/>
      <c r="CR200" s="775"/>
      <c r="CS200" s="766"/>
      <c r="CT200" s="766"/>
      <c r="CU200" s="129"/>
      <c r="CV200" s="766"/>
      <c r="CW200" s="766"/>
      <c r="CX200" s="766"/>
      <c r="CY200" s="766"/>
      <c r="CZ200" s="766"/>
      <c r="DA200" s="766"/>
      <c r="DB200" s="766"/>
      <c r="DC200" s="766"/>
      <c r="DD200" s="766"/>
      <c r="DE200" s="766"/>
      <c r="DF200" s="766"/>
      <c r="DG200" s="766"/>
      <c r="DH200" s="766"/>
      <c r="DI200" s="766"/>
      <c r="DJ200" s="766"/>
      <c r="DK200" s="766"/>
      <c r="DL200" s="766"/>
      <c r="DM200" s="766"/>
      <c r="DN200" s="766"/>
      <c r="DO200" s="766"/>
      <c r="DP200" s="766"/>
      <c r="DQ200" s="766"/>
      <c r="DR200" s="766"/>
      <c r="DS200" s="59"/>
      <c r="DT200" s="766"/>
      <c r="DU200" s="766"/>
      <c r="DV200" s="766"/>
      <c r="DW200" s="66"/>
      <c r="DX200" s="66"/>
      <c r="DY200" s="766"/>
      <c r="DZ200" s="766"/>
      <c r="EA200" s="766"/>
      <c r="EB200" s="766"/>
      <c r="EC200" s="766"/>
      <c r="ED200" s="766"/>
      <c r="EE200" s="766"/>
      <c r="EF200" s="766"/>
      <c r="EG200" s="766"/>
      <c r="EH200" s="766"/>
      <c r="EI200" s="766"/>
      <c r="EJ200" s="766"/>
      <c r="EK200" s="766"/>
      <c r="EL200" s="766"/>
      <c r="EM200" s="766"/>
      <c r="EN200" s="766"/>
      <c r="EO200" s="766"/>
      <c r="EP200" s="766"/>
      <c r="EQ200" s="766"/>
      <c r="ER200" s="766"/>
      <c r="ES200" s="766"/>
      <c r="ET200" s="766"/>
      <c r="EU200" s="766"/>
      <c r="EV200" s="766"/>
      <c r="EW200" s="766"/>
      <c r="EX200" s="766"/>
      <c r="EY200" s="766"/>
      <c r="EZ200" s="766"/>
      <c r="FA200" s="766"/>
      <c r="FB200" s="766"/>
      <c r="FC200" s="766"/>
      <c r="FD200" s="775"/>
      <c r="FE200" s="766"/>
      <c r="FF200" s="766"/>
      <c r="FG200" s="766"/>
      <c r="FH200" s="766" t="s">
        <v>478</v>
      </c>
      <c r="FI200" s="766">
        <v>1</v>
      </c>
      <c r="FJ200" s="766"/>
      <c r="FK200" s="766"/>
      <c r="FL200" s="766"/>
      <c r="FM200" s="775"/>
      <c r="FN200" s="775"/>
      <c r="FO200" s="775"/>
      <c r="FP200" s="766" t="s">
        <v>1602</v>
      </c>
      <c r="FQ200" s="766" t="s">
        <v>1660</v>
      </c>
      <c r="FR200" s="766" t="s">
        <v>1207</v>
      </c>
      <c r="FS200" s="766"/>
      <c r="FT200" s="766"/>
      <c r="FU200" s="766"/>
      <c r="FV200" s="766"/>
      <c r="FW200" s="766"/>
      <c r="FX200" s="766"/>
      <c r="FY200" s="766"/>
      <c r="FZ200" s="766"/>
      <c r="GA200" s="766"/>
      <c r="GB200" s="766" t="s">
        <v>1734</v>
      </c>
      <c r="GC200" s="75" t="s">
        <v>1735</v>
      </c>
      <c r="GD200" s="25" t="s">
        <v>110</v>
      </c>
      <c r="GE200" s="766"/>
      <c r="GF200" s="775"/>
      <c r="GG200" s="775"/>
      <c r="GH200" s="766"/>
      <c r="GI200" s="766"/>
      <c r="GJ200" s="766"/>
      <c r="GK200" s="766"/>
      <c r="GL200" s="766"/>
      <c r="GM200" s="766"/>
      <c r="GN200" s="82"/>
      <c r="GO200" s="766"/>
      <c r="GP200" s="766"/>
      <c r="GQ200" s="766"/>
      <c r="GR200" s="766"/>
      <c r="GS200" s="766"/>
      <c r="GT200" s="766"/>
      <c r="GU200" s="766"/>
      <c r="GV200" s="766"/>
      <c r="GW200" s="766"/>
      <c r="GX200" s="766"/>
      <c r="GY200" s="766"/>
      <c r="GZ200" s="766"/>
      <c r="HA200" s="766"/>
      <c r="HB200" s="766"/>
      <c r="HC200" s="766"/>
      <c r="HD200" s="766"/>
      <c r="HE200" s="766"/>
      <c r="HF200" s="766"/>
      <c r="HG200" s="766"/>
      <c r="HH200" s="766"/>
      <c r="HI200" s="766"/>
      <c r="HJ200" s="766"/>
      <c r="HK200" s="766"/>
      <c r="HL200" s="766"/>
      <c r="HM200" s="766"/>
      <c r="HN200" s="766"/>
      <c r="HO200" s="766"/>
      <c r="HP200" s="766"/>
      <c r="HQ200" s="766"/>
      <c r="HR200" s="766"/>
      <c r="HS200" s="766"/>
      <c r="HT200" s="766"/>
      <c r="HU200" s="766"/>
      <c r="HV200" s="766"/>
      <c r="HW200" s="766"/>
      <c r="HX200" s="766"/>
      <c r="HY200" s="766"/>
      <c r="HZ200" s="766"/>
      <c r="IA200" s="766"/>
      <c r="IB200" s="14" t="e">
        <f>IF(#REF!&gt;0,IF(#REF!&lt;=10000,"Y",""),"")</f>
        <v>#REF!</v>
      </c>
      <c r="IC200" s="766"/>
      <c r="ID200" s="766"/>
      <c r="IE200" s="766"/>
      <c r="IF200" s="766"/>
      <c r="IG200" s="766"/>
      <c r="IH200" s="766"/>
      <c r="II200" s="766"/>
      <c r="IJ200" s="766"/>
      <c r="IK200" s="766"/>
      <c r="IL200" s="766"/>
      <c r="IM200" s="766"/>
      <c r="IN200" s="766"/>
      <c r="IO200" s="24"/>
      <c r="IP200" s="766"/>
      <c r="IQ200" s="766"/>
      <c r="IR200" s="766"/>
      <c r="IS200" s="766"/>
      <c r="IT200" s="766"/>
      <c r="IU200" s="766"/>
      <c r="IV200" s="766"/>
      <c r="IW200" s="766"/>
      <c r="IX200" s="766"/>
      <c r="IY200" s="766"/>
      <c r="IZ200" s="766"/>
      <c r="JA200" s="766"/>
      <c r="JB200" s="766"/>
      <c r="JC200" s="766"/>
      <c r="JD200" s="775"/>
      <c r="JE200" s="766"/>
      <c r="JF200" s="766"/>
      <c r="JG200" s="766"/>
      <c r="JH200" s="766"/>
      <c r="JI200" s="766"/>
      <c r="JJ200" s="766">
        <v>6</v>
      </c>
      <c r="JK200" s="1139" t="s">
        <v>1323</v>
      </c>
      <c r="JL200" s="766">
        <v>2</v>
      </c>
      <c r="JM200" s="766">
        <v>1</v>
      </c>
      <c r="JN200" s="766">
        <v>1</v>
      </c>
      <c r="JO200" s="766">
        <v>2</v>
      </c>
      <c r="JP200" s="766"/>
      <c r="JQ200" s="766"/>
      <c r="JR200" s="766"/>
      <c r="JS200" s="766"/>
      <c r="JT200" s="766">
        <f t="shared" si="46"/>
        <v>3</v>
      </c>
      <c r="JU200" s="766">
        <f t="shared" si="46"/>
        <v>3</v>
      </c>
      <c r="JV200" s="712" t="str">
        <f>IF(JT200=KJ200,"ok","male")</f>
        <v>ok</v>
      </c>
      <c r="JW200" s="712" t="str">
        <f>IF(JU200=KK200,"ok","female")</f>
        <v>ok</v>
      </c>
      <c r="JX200" s="766">
        <v>2</v>
      </c>
      <c r="JY200" s="766"/>
      <c r="JZ200" s="766"/>
      <c r="KA200" s="766">
        <v>1</v>
      </c>
      <c r="KB200" s="766"/>
      <c r="KC200" s="766"/>
      <c r="KD200" s="766">
        <v>1</v>
      </c>
      <c r="KE200" s="766">
        <v>1</v>
      </c>
      <c r="KF200" s="766"/>
      <c r="KG200" s="766">
        <v>1</v>
      </c>
      <c r="KH200" s="766"/>
      <c r="KI200" s="766"/>
      <c r="KJ200" s="770">
        <f t="shared" si="38"/>
        <v>3</v>
      </c>
      <c r="KK200" s="770">
        <f t="shared" si="38"/>
        <v>3</v>
      </c>
      <c r="KL200" s="712" t="str">
        <f>IF(KJ200=LN200,"ok","male")</f>
        <v>ok</v>
      </c>
      <c r="KM200" s="712" t="str">
        <f>IF(KK200=LO200,"ok","female")</f>
        <v>ok</v>
      </c>
      <c r="KN200" s="766"/>
      <c r="KO200" s="766"/>
      <c r="KP200" s="766"/>
      <c r="KQ200" s="766">
        <v>1</v>
      </c>
      <c r="KR200" s="766"/>
      <c r="KS200" s="766"/>
      <c r="KT200" s="766"/>
      <c r="KU200" s="766">
        <v>1</v>
      </c>
      <c r="KV200" s="766"/>
      <c r="KW200" s="766"/>
      <c r="KX200" s="766"/>
      <c r="KY200" s="766"/>
      <c r="KZ200" s="766"/>
      <c r="LA200" s="766"/>
      <c r="LB200" s="766"/>
      <c r="LC200" s="766"/>
      <c r="LD200" s="766">
        <v>1</v>
      </c>
      <c r="LE200" s="766">
        <v>1</v>
      </c>
      <c r="LF200" s="766"/>
      <c r="LG200" s="766"/>
      <c r="LH200" s="766"/>
      <c r="LI200" s="766"/>
      <c r="LJ200" s="766">
        <v>2</v>
      </c>
      <c r="LK200" s="766"/>
      <c r="LL200" s="766"/>
      <c r="LM200" s="766"/>
      <c r="LN200" s="766">
        <f t="shared" si="47"/>
        <v>3</v>
      </c>
      <c r="LO200" s="766">
        <f t="shared" si="47"/>
        <v>3</v>
      </c>
      <c r="LP200" s="766">
        <v>1</v>
      </c>
      <c r="LQ200" s="766"/>
      <c r="LR200" s="766"/>
      <c r="LS200" s="766">
        <v>1</v>
      </c>
      <c r="LT200" s="712" t="str">
        <f>IF(LQ200=SUM(LU200:LW200),"OK","REV")</f>
        <v>OK</v>
      </c>
      <c r="LU200" s="766"/>
      <c r="LV200" s="766"/>
      <c r="LW200" s="766"/>
      <c r="LX200" s="769">
        <v>5</v>
      </c>
      <c r="LY200" s="766" t="str">
        <f t="shared" si="50"/>
        <v>OVERSEAS Worker</v>
      </c>
      <c r="LZ200" s="66"/>
      <c r="MA200" s="766"/>
      <c r="MB200" s="766"/>
      <c r="MC200" s="1679">
        <f t="shared" si="41"/>
        <v>0</v>
      </c>
      <c r="MD200" s="66">
        <v>32000</v>
      </c>
      <c r="ME200" s="66"/>
      <c r="MF200" s="66"/>
      <c r="MG200" s="1680">
        <f>SUM(MD200:MF200)</f>
        <v>32000</v>
      </c>
      <c r="MH200" s="766"/>
      <c r="MI200" s="775">
        <v>7500</v>
      </c>
      <c r="MJ200" s="775">
        <v>1500</v>
      </c>
      <c r="MK200" s="775">
        <v>500</v>
      </c>
      <c r="ML200" s="775">
        <v>2000</v>
      </c>
      <c r="MM200" s="775">
        <v>900</v>
      </c>
      <c r="MN200" s="775"/>
      <c r="MO200" s="775">
        <v>1500</v>
      </c>
      <c r="MP200" s="775">
        <v>2750</v>
      </c>
      <c r="MQ200" s="775">
        <v>550</v>
      </c>
      <c r="MR200" s="775">
        <v>700</v>
      </c>
      <c r="MS200" s="775">
        <v>500</v>
      </c>
      <c r="MT200" s="775"/>
      <c r="MU200" s="775"/>
      <c r="MV200" s="775"/>
      <c r="MW200" s="775"/>
      <c r="MX200" s="775"/>
      <c r="MY200" s="1682">
        <f t="shared" si="49"/>
        <v>18400</v>
      </c>
      <c r="MZ200" s="766"/>
      <c r="NA200" s="766"/>
      <c r="NB200" s="766"/>
      <c r="NC200" s="766"/>
      <c r="ND200" s="766"/>
      <c r="NE200" s="766"/>
      <c r="NF200" s="766"/>
      <c r="NG200" s="766"/>
      <c r="NH200" s="766"/>
      <c r="NI200" s="766"/>
      <c r="NJ200" s="766"/>
      <c r="NK200" s="766"/>
      <c r="NL200" s="766"/>
      <c r="NM200" s="766"/>
      <c r="NN200" s="766"/>
      <c r="NO200" s="766"/>
      <c r="NP200" s="766"/>
      <c r="NQ200" s="766"/>
      <c r="NR200" s="766"/>
      <c r="NS200" s="766"/>
      <c r="NT200" s="766"/>
      <c r="NU200" s="766"/>
      <c r="NV200" s="766"/>
      <c r="NW200" s="766"/>
      <c r="NX200" s="766"/>
      <c r="NY200" s="766"/>
      <c r="NZ200" s="766"/>
      <c r="OA200" s="766"/>
      <c r="OB200" s="766"/>
      <c r="OC200" s="766"/>
      <c r="OD200" s="766"/>
      <c r="OE200" s="766"/>
      <c r="OF200" s="766"/>
      <c r="OG200" s="766"/>
      <c r="OH200" s="766"/>
      <c r="OI200" s="766"/>
      <c r="OJ200" s="766"/>
      <c r="OK200" s="76"/>
      <c r="OL200" s="766"/>
      <c r="OM200" s="766"/>
      <c r="ON200" s="766"/>
      <c r="OO200" s="766"/>
      <c r="OP200" s="766"/>
      <c r="OQ200" s="766"/>
      <c r="OR200" s="766"/>
      <c r="OS200" s="766"/>
      <c r="OT200" s="766"/>
      <c r="OU200" s="766"/>
      <c r="OV200" s="766"/>
      <c r="OW200" s="766"/>
      <c r="OX200" s="766"/>
      <c r="OY200" s="766"/>
      <c r="OZ200" s="766"/>
      <c r="PA200" s="766"/>
      <c r="PB200" s="766"/>
      <c r="PC200" s="766"/>
      <c r="PD200" s="766"/>
      <c r="PE200" s="766"/>
      <c r="PF200" s="766"/>
      <c r="PG200" s="766"/>
      <c r="PH200" s="766"/>
      <c r="PI200" s="766"/>
      <c r="PJ200" s="766"/>
      <c r="PK200" s="766"/>
      <c r="PL200" s="766"/>
      <c r="PM200" s="766"/>
      <c r="PN200" s="766"/>
      <c r="PO200" s="766"/>
      <c r="PP200" s="766"/>
      <c r="PQ200" s="766"/>
      <c r="PR200" s="766"/>
      <c r="PS200" s="766"/>
      <c r="PT200" s="766"/>
      <c r="PU200" s="766"/>
      <c r="PV200" s="766"/>
      <c r="PW200" s="766"/>
      <c r="PX200" s="766"/>
      <c r="PY200" s="766"/>
      <c r="PZ200" s="766"/>
      <c r="QA200" s="766"/>
      <c r="QB200" s="766"/>
      <c r="QC200" s="766"/>
      <c r="QD200" s="766"/>
      <c r="QE200" s="766"/>
      <c r="QF200" s="766"/>
      <c r="QG200" s="766"/>
      <c r="QH200" s="766"/>
      <c r="QI200" s="766"/>
      <c r="QJ200" s="766"/>
      <c r="QK200" s="766"/>
      <c r="QL200" s="766"/>
      <c r="QM200" s="766"/>
      <c r="QN200" s="766"/>
      <c r="QO200" s="766"/>
      <c r="QP200" s="766"/>
      <c r="QQ200" s="766"/>
      <c r="QR200" s="766"/>
      <c r="QS200" s="766"/>
      <c r="QT200" s="766"/>
      <c r="QU200" s="766"/>
      <c r="QV200" s="766"/>
      <c r="QW200" s="766"/>
      <c r="QX200" s="766"/>
      <c r="QY200" s="766"/>
      <c r="QZ200" s="766"/>
      <c r="RA200" s="766"/>
      <c r="RB200" s="766"/>
      <c r="RC200" s="766"/>
      <c r="RD200" s="766"/>
      <c r="RE200" s="766"/>
      <c r="RF200" s="777"/>
      <c r="RG200" s="766"/>
      <c r="RH200" s="66"/>
      <c r="RI200" s="766"/>
      <c r="RJ200" s="766" t="s">
        <v>2165</v>
      </c>
      <c r="RK200" s="766" t="s">
        <v>13146</v>
      </c>
      <c r="RL200" s="1683"/>
      <c r="RM200" s="12"/>
      <c r="RN200" s="1711"/>
      <c r="RO200" s="171" t="s">
        <v>339</v>
      </c>
      <c r="RP200" s="11"/>
      <c r="RQ200" s="11"/>
      <c r="RR200" s="154" t="s">
        <v>7419</v>
      </c>
      <c r="RS200" s="1139" t="s">
        <v>12980</v>
      </c>
      <c r="RT200" s="11"/>
      <c r="RU200" s="11"/>
      <c r="RV200" s="766" t="s">
        <v>12447</v>
      </c>
      <c r="RW200" s="11" t="s">
        <v>7584</v>
      </c>
      <c r="RX200" s="11" t="s">
        <v>337</v>
      </c>
      <c r="RY200" s="11"/>
      <c r="RZ200" s="11" t="s">
        <v>7419</v>
      </c>
      <c r="SA200" s="766"/>
      <c r="SB200" s="11"/>
      <c r="SC200" s="11"/>
    </row>
    <row r="201" spans="1:497" ht="12.75" hidden="1" customHeight="1">
      <c r="A201" s="19" t="s">
        <v>7419</v>
      </c>
      <c r="B201" s="292" t="s">
        <v>7967</v>
      </c>
      <c r="C201" s="171" t="s">
        <v>353</v>
      </c>
      <c r="D201" s="766" t="s">
        <v>354</v>
      </c>
      <c r="E201" s="766" t="s">
        <v>5437</v>
      </c>
      <c r="F201" s="766" t="s">
        <v>20</v>
      </c>
      <c r="G201" s="766"/>
      <c r="H201" s="766"/>
      <c r="I201" s="5"/>
      <c r="J201" s="766"/>
      <c r="K201" s="766" t="s">
        <v>355</v>
      </c>
      <c r="L201" s="766" t="s">
        <v>356</v>
      </c>
      <c r="M201" s="766"/>
      <c r="N201" s="766"/>
      <c r="O201" s="766" t="s">
        <v>357</v>
      </c>
      <c r="P201" s="766"/>
      <c r="Q201" s="1085"/>
      <c r="R201" s="25"/>
      <c r="S201" s="770"/>
      <c r="T201" s="766"/>
      <c r="U201" s="26"/>
      <c r="V201" s="766"/>
      <c r="W201" s="766"/>
      <c r="X201" s="766"/>
      <c r="Y201" s="766"/>
      <c r="Z201" s="766"/>
      <c r="AA201" s="766"/>
      <c r="AB201" s="766"/>
      <c r="AC201" s="766"/>
      <c r="AD201" s="766"/>
      <c r="AE201" s="766"/>
      <c r="AF201" s="766"/>
      <c r="AG201" s="766" t="s">
        <v>1095</v>
      </c>
      <c r="AH201" s="766" t="s">
        <v>1096</v>
      </c>
      <c r="AI201" s="766" t="s">
        <v>1159</v>
      </c>
      <c r="AJ201" s="766"/>
      <c r="AK201" s="766" t="s">
        <v>1097</v>
      </c>
      <c r="AL201" s="121"/>
      <c r="AM201" s="772"/>
      <c r="AN201" s="774"/>
      <c r="AO201" s="766" t="s">
        <v>1109</v>
      </c>
      <c r="AP201" s="766"/>
      <c r="AQ201" s="766"/>
      <c r="AR201" s="766"/>
      <c r="AS201" s="766" t="s">
        <v>1207</v>
      </c>
      <c r="AT201" s="766" t="s">
        <v>1208</v>
      </c>
      <c r="AU201" s="766"/>
      <c r="AV201" s="766"/>
      <c r="AW201" s="766"/>
      <c r="AX201" s="766"/>
      <c r="AY201" s="766"/>
      <c r="AZ201" s="766"/>
      <c r="BA201" s="766"/>
      <c r="BB201" s="766"/>
      <c r="BC201" s="766" t="s">
        <v>853</v>
      </c>
      <c r="BD201" s="766" t="s">
        <v>1207</v>
      </c>
      <c r="BE201" s="766"/>
      <c r="BF201" s="775"/>
      <c r="BG201" s="775"/>
      <c r="BH201" s="766"/>
      <c r="BI201" s="766"/>
      <c r="BJ201" s="766"/>
      <c r="BK201" s="766"/>
      <c r="BL201" s="766"/>
      <c r="BM201" s="766"/>
      <c r="BN201" s="766"/>
      <c r="BO201" s="766"/>
      <c r="BP201" s="776"/>
      <c r="BQ201" s="772"/>
      <c r="BR201" s="774"/>
      <c r="BS201" s="766"/>
      <c r="BT201" s="766"/>
      <c r="BU201" s="766"/>
      <c r="BV201" s="766"/>
      <c r="BW201" s="766"/>
      <c r="BX201" s="779"/>
      <c r="BY201" s="766"/>
      <c r="BZ201" s="775"/>
      <c r="CA201" s="766"/>
      <c r="CB201" s="766" t="s">
        <v>1207</v>
      </c>
      <c r="CC201" s="766" t="s">
        <v>1327</v>
      </c>
      <c r="CD201" s="766"/>
      <c r="CE201" s="766"/>
      <c r="CF201" s="777">
        <v>2</v>
      </c>
      <c r="CG201" s="778">
        <v>6</v>
      </c>
      <c r="CH201" s="766" t="s">
        <v>1503</v>
      </c>
      <c r="CI201" s="766"/>
      <c r="CJ201" s="766"/>
      <c r="CK201" s="766"/>
      <c r="CL201" s="766"/>
      <c r="CM201" s="766"/>
      <c r="CN201" s="766"/>
      <c r="CO201" s="769"/>
      <c r="CP201" s="766"/>
      <c r="CQ201" s="766"/>
      <c r="CR201" s="775"/>
      <c r="CS201" s="766"/>
      <c r="CT201" s="766"/>
      <c r="CU201" s="129"/>
      <c r="CV201" s="766"/>
      <c r="CW201" s="766"/>
      <c r="CX201" s="766"/>
      <c r="CY201" s="766"/>
      <c r="CZ201" s="766"/>
      <c r="DA201" s="766"/>
      <c r="DB201" s="766"/>
      <c r="DC201" s="766"/>
      <c r="DD201" s="766"/>
      <c r="DE201" s="766"/>
      <c r="DF201" s="766"/>
      <c r="DG201" s="766"/>
      <c r="DH201" s="766"/>
      <c r="DI201" s="766"/>
      <c r="DJ201" s="766"/>
      <c r="DK201" s="766"/>
      <c r="DL201" s="766"/>
      <c r="DM201" s="766"/>
      <c r="DN201" s="766"/>
      <c r="DO201" s="766"/>
      <c r="DP201" s="766"/>
      <c r="DQ201" s="766"/>
      <c r="DR201" s="766"/>
      <c r="DS201" s="59"/>
      <c r="DT201" s="766"/>
      <c r="DU201" s="766"/>
      <c r="DV201" s="766"/>
      <c r="DW201" s="66"/>
      <c r="DX201" s="66"/>
      <c r="DY201" s="766"/>
      <c r="DZ201" s="766"/>
      <c r="EA201" s="766"/>
      <c r="EB201" s="766"/>
      <c r="EC201" s="766"/>
      <c r="ED201" s="766"/>
      <c r="EE201" s="766"/>
      <c r="EF201" s="766"/>
      <c r="EG201" s="766"/>
      <c r="EH201" s="766"/>
      <c r="EI201" s="766"/>
      <c r="EJ201" s="766"/>
      <c r="EK201" s="766"/>
      <c r="EL201" s="766"/>
      <c r="EM201" s="766"/>
      <c r="EN201" s="766"/>
      <c r="EO201" s="766"/>
      <c r="EP201" s="766"/>
      <c r="EQ201" s="766"/>
      <c r="ER201" s="766"/>
      <c r="ES201" s="766"/>
      <c r="ET201" s="766"/>
      <c r="EU201" s="766"/>
      <c r="EV201" s="766"/>
      <c r="EW201" s="766"/>
      <c r="EX201" s="766"/>
      <c r="EY201" s="766"/>
      <c r="EZ201" s="766"/>
      <c r="FA201" s="766"/>
      <c r="FB201" s="766"/>
      <c r="FC201" s="766"/>
      <c r="FD201" s="775"/>
      <c r="FE201" s="766"/>
      <c r="FF201" s="766"/>
      <c r="FG201" s="766"/>
      <c r="FH201" s="766"/>
      <c r="FI201" s="766"/>
      <c r="FJ201" s="766"/>
      <c r="FK201" s="766"/>
      <c r="FL201" s="766"/>
      <c r="FM201" s="775"/>
      <c r="FN201" s="775"/>
      <c r="FO201" s="775"/>
      <c r="FP201" s="766" t="s">
        <v>1600</v>
      </c>
      <c r="FQ201" s="766" t="s">
        <v>1642</v>
      </c>
      <c r="FR201" s="766" t="s">
        <v>1207</v>
      </c>
      <c r="FS201" s="766" t="s">
        <v>1208</v>
      </c>
      <c r="FT201" s="766"/>
      <c r="FU201" s="75"/>
      <c r="FV201" s="75">
        <v>1967</v>
      </c>
      <c r="FW201" s="766"/>
      <c r="FX201" s="766"/>
      <c r="FY201" s="766"/>
      <c r="FZ201" s="766"/>
      <c r="GA201" s="766"/>
      <c r="GB201" s="766" t="s">
        <v>853</v>
      </c>
      <c r="GC201" s="75" t="s">
        <v>1736</v>
      </c>
      <c r="GD201" s="25" t="s">
        <v>1737</v>
      </c>
      <c r="GE201" s="766" t="s">
        <v>1698</v>
      </c>
      <c r="GF201" s="775"/>
      <c r="GG201" s="775"/>
      <c r="GH201" s="766"/>
      <c r="GI201" s="766"/>
      <c r="GJ201" s="766"/>
      <c r="GK201" s="766"/>
      <c r="GL201" s="766"/>
      <c r="GM201" s="766"/>
      <c r="GN201" s="82"/>
      <c r="GO201" s="766"/>
      <c r="GP201" s="766"/>
      <c r="GQ201" s="766"/>
      <c r="GR201" s="766"/>
      <c r="GS201" s="766"/>
      <c r="GT201" s="766"/>
      <c r="GU201" s="766"/>
      <c r="GV201" s="766"/>
      <c r="GW201" s="766"/>
      <c r="GX201" s="766"/>
      <c r="GY201" s="766"/>
      <c r="GZ201" s="766"/>
      <c r="HA201" s="766"/>
      <c r="HB201" s="766"/>
      <c r="HC201" s="766"/>
      <c r="HD201" s="766"/>
      <c r="HE201" s="766"/>
      <c r="HF201" s="766"/>
      <c r="HG201" s="766"/>
      <c r="HH201" s="766"/>
      <c r="HI201" s="766"/>
      <c r="HJ201" s="766"/>
      <c r="HK201" s="766"/>
      <c r="HL201" s="766"/>
      <c r="HM201" s="766"/>
      <c r="HN201" s="766"/>
      <c r="HO201" s="766"/>
      <c r="HP201" s="766"/>
      <c r="HQ201" s="766"/>
      <c r="HR201" s="766"/>
      <c r="HS201" s="766"/>
      <c r="HT201" s="766">
        <v>3</v>
      </c>
      <c r="HU201" s="766"/>
      <c r="HV201" s="766"/>
      <c r="HW201" s="766"/>
      <c r="HX201" s="766"/>
      <c r="HY201" s="766"/>
      <c r="HZ201" s="766"/>
      <c r="IA201" s="766"/>
      <c r="IB201" s="766"/>
      <c r="IC201" s="766"/>
      <c r="ID201" s="766" t="s">
        <v>1207</v>
      </c>
      <c r="IE201" s="766"/>
      <c r="IF201" s="766"/>
      <c r="IG201" s="766"/>
      <c r="IH201" s="766"/>
      <c r="II201" s="766"/>
      <c r="IJ201" s="766"/>
      <c r="IK201" s="766"/>
      <c r="IL201" s="766"/>
      <c r="IM201" s="766"/>
      <c r="IN201" s="766"/>
      <c r="IO201" s="24"/>
      <c r="IP201" s="766"/>
      <c r="IQ201" s="766"/>
      <c r="IR201" s="766"/>
      <c r="IS201" s="766"/>
      <c r="IT201" s="766"/>
      <c r="IU201" s="766"/>
      <c r="IV201" s="766"/>
      <c r="IW201" s="766"/>
      <c r="IX201" s="766"/>
      <c r="IY201" s="766"/>
      <c r="IZ201" s="766"/>
      <c r="JA201" s="766"/>
      <c r="JB201" s="766"/>
      <c r="JC201" s="766"/>
      <c r="JD201" s="775"/>
      <c r="JE201" s="766"/>
      <c r="JF201" s="766"/>
      <c r="JG201" s="766"/>
      <c r="JH201" s="766"/>
      <c r="JI201" s="766"/>
      <c r="JJ201" s="766"/>
      <c r="JK201" s="766"/>
      <c r="JL201" s="766"/>
      <c r="JM201" s="766"/>
      <c r="JN201" s="766"/>
      <c r="JO201" s="766"/>
      <c r="JP201" s="766"/>
      <c r="JQ201" s="766"/>
      <c r="JR201" s="766"/>
      <c r="JS201" s="766"/>
      <c r="JT201" s="766"/>
      <c r="JU201" s="766"/>
      <c r="JV201" s="766"/>
      <c r="JW201" s="766"/>
      <c r="JX201" s="766"/>
      <c r="JY201" s="766"/>
      <c r="JZ201" s="766"/>
      <c r="KA201" s="766"/>
      <c r="KB201" s="766"/>
      <c r="KC201" s="766"/>
      <c r="KD201" s="766"/>
      <c r="KE201" s="766"/>
      <c r="KF201" s="766"/>
      <c r="KG201" s="766"/>
      <c r="KH201" s="766"/>
      <c r="KI201" s="766"/>
      <c r="KJ201" s="770"/>
      <c r="KK201" s="770"/>
      <c r="KL201" s="770"/>
      <c r="KM201" s="770"/>
      <c r="KN201" s="766"/>
      <c r="KO201" s="766"/>
      <c r="KP201" s="766"/>
      <c r="KQ201" s="766"/>
      <c r="KR201" s="766"/>
      <c r="KS201" s="766"/>
      <c r="KT201" s="766"/>
      <c r="KU201" s="766"/>
      <c r="KV201" s="766"/>
      <c r="KW201" s="766"/>
      <c r="KX201" s="766"/>
      <c r="KY201" s="766"/>
      <c r="KZ201" s="766"/>
      <c r="LA201" s="766"/>
      <c r="LB201" s="766"/>
      <c r="LC201" s="766"/>
      <c r="LD201" s="766"/>
      <c r="LE201" s="766"/>
      <c r="LF201" s="766"/>
      <c r="LG201" s="766"/>
      <c r="LH201" s="766"/>
      <c r="LI201" s="766"/>
      <c r="LJ201" s="766"/>
      <c r="LK201" s="766"/>
      <c r="LL201" s="766"/>
      <c r="LM201" s="766"/>
      <c r="LN201" s="766"/>
      <c r="LO201" s="766"/>
      <c r="LP201" s="766"/>
      <c r="LQ201" s="766"/>
      <c r="LR201" s="766"/>
      <c r="LS201" s="766"/>
      <c r="LT201" s="766"/>
      <c r="LU201" s="766"/>
      <c r="LV201" s="766"/>
      <c r="LW201" s="766"/>
      <c r="LX201" s="769"/>
      <c r="LY201" s="766" t="str">
        <f t="shared" si="50"/>
        <v/>
      </c>
      <c r="LZ201" s="66"/>
      <c r="MA201" s="766"/>
      <c r="MB201" s="766"/>
      <c r="MC201" s="1679">
        <f t="shared" si="41"/>
        <v>0</v>
      </c>
      <c r="MD201" s="66"/>
      <c r="ME201" s="66"/>
      <c r="MF201" s="66"/>
      <c r="MG201" s="1680">
        <f t="shared" si="48"/>
        <v>0</v>
      </c>
      <c r="MH201" s="766"/>
      <c r="MI201" s="775"/>
      <c r="MJ201" s="775"/>
      <c r="MK201" s="775"/>
      <c r="ML201" s="775"/>
      <c r="MM201" s="775"/>
      <c r="MN201" s="775"/>
      <c r="MO201" s="775"/>
      <c r="MP201" s="775"/>
      <c r="MQ201" s="775"/>
      <c r="MR201" s="775"/>
      <c r="MS201" s="775"/>
      <c r="MT201" s="775"/>
      <c r="MU201" s="775"/>
      <c r="MV201" s="775"/>
      <c r="MW201" s="775"/>
      <c r="MX201" s="775"/>
      <c r="MY201" s="1682">
        <f t="shared" si="49"/>
        <v>0</v>
      </c>
      <c r="MZ201" s="766" t="s">
        <v>13004</v>
      </c>
      <c r="NA201" s="766" t="s">
        <v>13230</v>
      </c>
      <c r="NB201" s="766" t="s">
        <v>13006</v>
      </c>
      <c r="NC201" s="766"/>
      <c r="ND201" s="766">
        <v>0</v>
      </c>
      <c r="NE201" s="766">
        <v>1</v>
      </c>
      <c r="NF201" s="766">
        <v>0</v>
      </c>
      <c r="NG201" s="766">
        <v>3</v>
      </c>
      <c r="NH201" s="766">
        <v>1</v>
      </c>
      <c r="NI201" s="766">
        <v>1</v>
      </c>
      <c r="NJ201" s="766">
        <v>0</v>
      </c>
      <c r="NK201" s="766">
        <v>0</v>
      </c>
      <c r="NL201" s="766">
        <v>1</v>
      </c>
      <c r="NM201" s="766">
        <v>0</v>
      </c>
      <c r="NN201" s="766">
        <v>0</v>
      </c>
      <c r="NO201" s="766">
        <v>0</v>
      </c>
      <c r="NP201" s="766">
        <v>0</v>
      </c>
      <c r="NQ201" s="766">
        <v>1</v>
      </c>
      <c r="NR201" s="766">
        <v>0</v>
      </c>
      <c r="NS201" s="766">
        <v>0</v>
      </c>
      <c r="NT201" s="766">
        <v>0</v>
      </c>
      <c r="NU201" s="766">
        <v>0</v>
      </c>
      <c r="NV201" s="766">
        <v>0</v>
      </c>
      <c r="NW201" s="766">
        <v>0</v>
      </c>
      <c r="NX201" s="766">
        <v>0</v>
      </c>
      <c r="NY201" s="766" t="s">
        <v>1208</v>
      </c>
      <c r="NZ201" s="766" t="s">
        <v>1208</v>
      </c>
      <c r="OA201" s="766" t="s">
        <v>1208</v>
      </c>
      <c r="OB201" s="766" t="s">
        <v>1208</v>
      </c>
      <c r="OC201" s="766"/>
      <c r="OD201" s="766"/>
      <c r="OE201" s="766"/>
      <c r="OF201" s="766"/>
      <c r="OG201" s="766"/>
      <c r="OH201" s="766"/>
      <c r="OI201" s="766"/>
      <c r="OJ201" s="766"/>
      <c r="OK201" s="76"/>
      <c r="OL201" s="766"/>
      <c r="OM201" s="766"/>
      <c r="ON201" s="766"/>
      <c r="OO201" s="766"/>
      <c r="OP201" s="766"/>
      <c r="OQ201" s="766"/>
      <c r="OR201" s="766"/>
      <c r="OS201" s="766"/>
      <c r="OT201" s="766"/>
      <c r="OU201" s="766"/>
      <c r="OV201" s="766"/>
      <c r="OW201" s="766"/>
      <c r="OX201" s="766"/>
      <c r="OY201" s="766"/>
      <c r="OZ201" s="766"/>
      <c r="PA201" s="766"/>
      <c r="PB201" s="766"/>
      <c r="PC201" s="766"/>
      <c r="PD201" s="766"/>
      <c r="PE201" s="766"/>
      <c r="PF201" s="766"/>
      <c r="PG201" s="766"/>
      <c r="PH201" s="766"/>
      <c r="PI201" s="766"/>
      <c r="PJ201" s="766"/>
      <c r="PK201" s="766"/>
      <c r="PL201" s="766"/>
      <c r="PM201" s="766"/>
      <c r="PN201" s="766"/>
      <c r="PO201" s="766"/>
      <c r="PP201" s="766"/>
      <c r="PQ201" s="766"/>
      <c r="PR201" s="766"/>
      <c r="PS201" s="766"/>
      <c r="PT201" s="766"/>
      <c r="PU201" s="766"/>
      <c r="PV201" s="766"/>
      <c r="PW201" s="766"/>
      <c r="PX201" s="766"/>
      <c r="PY201" s="766"/>
      <c r="PZ201" s="766"/>
      <c r="QA201" s="766"/>
      <c r="QB201" s="766"/>
      <c r="QC201" s="766"/>
      <c r="QD201" s="766"/>
      <c r="QE201" s="766"/>
      <c r="QF201" s="766"/>
      <c r="QG201" s="766"/>
      <c r="QH201" s="766"/>
      <c r="QI201" s="766"/>
      <c r="QJ201" s="766"/>
      <c r="QK201" s="766"/>
      <c r="QL201" s="766"/>
      <c r="QM201" s="766"/>
      <c r="QN201" s="766"/>
      <c r="QO201" s="766"/>
      <c r="QP201" s="766"/>
      <c r="QQ201" s="766"/>
      <c r="QR201" s="766"/>
      <c r="QS201" s="766"/>
      <c r="QT201" s="766"/>
      <c r="QU201" s="766"/>
      <c r="QV201" s="766"/>
      <c r="QW201" s="766"/>
      <c r="QX201" s="766"/>
      <c r="QY201" s="766"/>
      <c r="QZ201" s="766"/>
      <c r="RA201" s="766"/>
      <c r="RB201" s="770" t="s">
        <v>1207</v>
      </c>
      <c r="RC201" s="766">
        <v>2012</v>
      </c>
      <c r="RD201" s="766" t="s">
        <v>13036</v>
      </c>
      <c r="RE201" s="766" t="s">
        <v>13125</v>
      </c>
      <c r="RF201" s="777">
        <v>1.5</v>
      </c>
      <c r="RG201" s="766" t="s">
        <v>13138</v>
      </c>
      <c r="RH201" s="775">
        <v>10000</v>
      </c>
      <c r="RI201" s="766">
        <v>96</v>
      </c>
      <c r="RJ201" s="766" t="s">
        <v>2166</v>
      </c>
      <c r="RK201" s="766" t="s">
        <v>13146</v>
      </c>
      <c r="RL201" s="1683"/>
      <c r="RM201" s="12"/>
      <c r="RN201" s="1711"/>
      <c r="RO201" s="171" t="s">
        <v>353</v>
      </c>
      <c r="RP201" s="11"/>
      <c r="RQ201" s="11"/>
      <c r="RR201" s="17"/>
      <c r="RS201" s="766"/>
      <c r="RT201" s="11"/>
      <c r="RU201" s="11"/>
      <c r="RV201" s="766" t="s">
        <v>12447</v>
      </c>
      <c r="RW201" s="11" t="s">
        <v>7584</v>
      </c>
      <c r="RX201" s="11" t="s">
        <v>338</v>
      </c>
      <c r="RY201" s="11"/>
      <c r="RZ201" s="11" t="s">
        <v>7419</v>
      </c>
      <c r="SA201" s="766"/>
      <c r="SB201" s="11"/>
      <c r="SC201" s="11"/>
    </row>
    <row r="202" spans="1:497" ht="12.75" customHeight="1">
      <c r="A202" s="767" t="s">
        <v>7421</v>
      </c>
      <c r="B202" s="288" t="s">
        <v>7538</v>
      </c>
      <c r="C202" s="171" t="s">
        <v>346</v>
      </c>
      <c r="D202" s="14" t="s">
        <v>347</v>
      </c>
      <c r="E202" s="766" t="s">
        <v>5436</v>
      </c>
      <c r="F202" s="766" t="s">
        <v>28</v>
      </c>
      <c r="G202" s="766" t="s">
        <v>18</v>
      </c>
      <c r="H202" s="766"/>
      <c r="I202" s="5"/>
      <c r="J202" s="14" t="s">
        <v>347</v>
      </c>
      <c r="K202" s="766" t="s">
        <v>348</v>
      </c>
      <c r="L202" s="766" t="s">
        <v>323</v>
      </c>
      <c r="M202" s="766"/>
      <c r="N202" s="766"/>
      <c r="O202" s="766" t="s">
        <v>345</v>
      </c>
      <c r="P202" s="14" t="s">
        <v>347</v>
      </c>
      <c r="Q202" s="1085">
        <v>20493</v>
      </c>
      <c r="R202" s="25">
        <v>60</v>
      </c>
      <c r="S202" s="770" t="s">
        <v>18</v>
      </c>
      <c r="T202" s="766"/>
      <c r="U202" s="26" t="s">
        <v>886</v>
      </c>
      <c r="V202" s="766" t="s">
        <v>707</v>
      </c>
      <c r="W202" s="766"/>
      <c r="X202" s="766"/>
      <c r="Y202" s="766" t="s">
        <v>887</v>
      </c>
      <c r="Z202" s="766" t="s">
        <v>708</v>
      </c>
      <c r="AA202" s="766" t="s">
        <v>709</v>
      </c>
      <c r="AB202" s="766" t="s">
        <v>710</v>
      </c>
      <c r="AC202" s="766"/>
      <c r="AD202" s="766"/>
      <c r="AE202" s="766" t="s">
        <v>888</v>
      </c>
      <c r="AF202" s="766" t="s">
        <v>889</v>
      </c>
      <c r="AG202" s="766" t="s">
        <v>1095</v>
      </c>
      <c r="AH202" s="766" t="s">
        <v>1096</v>
      </c>
      <c r="AI202" s="766" t="s">
        <v>5325</v>
      </c>
      <c r="AJ202" s="766"/>
      <c r="AK202" s="766" t="s">
        <v>1101</v>
      </c>
      <c r="AL202" s="333"/>
      <c r="AM202" s="334"/>
      <c r="AN202" s="774"/>
      <c r="AO202" s="766" t="s">
        <v>1113</v>
      </c>
      <c r="AP202" s="766"/>
      <c r="AQ202" s="766"/>
      <c r="AR202" s="766"/>
      <c r="AS202" s="766"/>
      <c r="AT202" s="766"/>
      <c r="AU202" s="766"/>
      <c r="AV202" s="766"/>
      <c r="AW202" s="766"/>
      <c r="AX202" s="13"/>
      <c r="AY202" s="766"/>
      <c r="AZ202" s="766"/>
      <c r="BA202" s="766"/>
      <c r="BB202" s="766"/>
      <c r="BC202" s="766"/>
      <c r="BD202" s="766"/>
      <c r="BE202" s="766"/>
      <c r="BF202" s="775"/>
      <c r="BG202" s="775"/>
      <c r="BH202" s="766"/>
      <c r="BI202" s="766"/>
      <c r="BJ202" s="766"/>
      <c r="BK202" s="766" t="s">
        <v>1095</v>
      </c>
      <c r="BL202" s="766" t="s">
        <v>5434</v>
      </c>
      <c r="BM202" s="766" t="s">
        <v>1096</v>
      </c>
      <c r="BN202" s="766" t="s">
        <v>1230</v>
      </c>
      <c r="BO202" s="766" t="s">
        <v>1246</v>
      </c>
      <c r="BP202" s="776">
        <v>12</v>
      </c>
      <c r="BQ202" s="772">
        <v>12</v>
      </c>
      <c r="BR202" s="774">
        <f>BQ202/BP202</f>
        <v>1</v>
      </c>
      <c r="BS202" s="766" t="s">
        <v>1257</v>
      </c>
      <c r="BT202" s="766" t="s">
        <v>1326</v>
      </c>
      <c r="BU202" s="766" t="s">
        <v>1249</v>
      </c>
      <c r="BV202" s="766" t="s">
        <v>1247</v>
      </c>
      <c r="BW202" s="766">
        <f>2016-50</f>
        <v>1966</v>
      </c>
      <c r="BX202" s="779"/>
      <c r="BY202" s="766"/>
      <c r="BZ202" s="775"/>
      <c r="CA202" s="766"/>
      <c r="CB202" s="766"/>
      <c r="CC202" s="766"/>
      <c r="CD202" s="766"/>
      <c r="CE202" s="766"/>
      <c r="CF202" s="777"/>
      <c r="CG202" s="778"/>
      <c r="CH202" s="766"/>
      <c r="CI202" s="766"/>
      <c r="CJ202" s="766"/>
      <c r="CK202" s="766"/>
      <c r="CL202" s="766"/>
      <c r="CM202" s="766"/>
      <c r="CN202" s="766"/>
      <c r="CO202" s="766"/>
      <c r="CP202" s="766"/>
      <c r="CQ202" s="766"/>
      <c r="CR202" s="775"/>
      <c r="CS202" s="766"/>
      <c r="CT202" s="766"/>
      <c r="CU202" s="129"/>
      <c r="CV202" s="766"/>
      <c r="CW202" s="766"/>
      <c r="CX202" s="766"/>
      <c r="CY202" s="766"/>
      <c r="CZ202" s="766"/>
      <c r="DA202" s="766"/>
      <c r="DB202" s="766"/>
      <c r="DC202" s="766"/>
      <c r="DD202" s="766"/>
      <c r="DE202" s="766"/>
      <c r="DF202" s="766"/>
      <c r="DG202" s="766"/>
      <c r="DH202" s="766"/>
      <c r="DI202" s="766"/>
      <c r="DJ202" s="766"/>
      <c r="DK202" s="766"/>
      <c r="DL202" s="766"/>
      <c r="DM202" s="766"/>
      <c r="DN202" s="766"/>
      <c r="DO202" s="766"/>
      <c r="DP202" s="766"/>
      <c r="DQ202" s="766"/>
      <c r="DR202" s="766"/>
      <c r="DS202" s="59"/>
      <c r="DT202" s="766"/>
      <c r="DU202" s="766"/>
      <c r="DV202" s="766"/>
      <c r="DW202" s="66"/>
      <c r="DX202" s="66"/>
      <c r="DY202" s="766"/>
      <c r="DZ202" s="766"/>
      <c r="EA202" s="766"/>
      <c r="EB202" s="766"/>
      <c r="EC202" s="766"/>
      <c r="ED202" s="766"/>
      <c r="EE202" s="766"/>
      <c r="EF202" s="766"/>
      <c r="EG202" s="766"/>
      <c r="EH202" s="766"/>
      <c r="EI202" s="766"/>
      <c r="EJ202" s="766"/>
      <c r="EK202" s="766"/>
      <c r="EL202" s="766"/>
      <c r="EM202" s="766"/>
      <c r="EN202" s="766"/>
      <c r="EO202" s="766"/>
      <c r="EP202" s="766"/>
      <c r="EQ202" s="766"/>
      <c r="ER202" s="766"/>
      <c r="ES202" s="766"/>
      <c r="ET202" s="766"/>
      <c r="EU202" s="766"/>
      <c r="EV202" s="766"/>
      <c r="EW202" s="766"/>
      <c r="EX202" s="766"/>
      <c r="EY202" s="766"/>
      <c r="EZ202" s="766"/>
      <c r="FA202" s="766"/>
      <c r="FB202" s="766"/>
      <c r="FC202" s="766"/>
      <c r="FD202" s="775"/>
      <c r="FE202" s="766"/>
      <c r="FF202" s="766"/>
      <c r="FG202" s="766"/>
      <c r="FH202" s="766" t="s">
        <v>478</v>
      </c>
      <c r="FI202" s="766">
        <v>4</v>
      </c>
      <c r="FJ202" s="766" t="s">
        <v>1325</v>
      </c>
      <c r="FK202" s="766"/>
      <c r="FL202" s="766"/>
      <c r="FM202" s="775"/>
      <c r="FN202" s="775"/>
      <c r="FO202" s="775"/>
      <c r="FP202" s="766" t="s">
        <v>1602</v>
      </c>
      <c r="FQ202" s="766" t="s">
        <v>1660</v>
      </c>
      <c r="FR202" s="766"/>
      <c r="FS202" s="766"/>
      <c r="FT202" s="766"/>
      <c r="FU202" s="766"/>
      <c r="FV202" s="766"/>
      <c r="FW202" s="766"/>
      <c r="FX202" s="766"/>
      <c r="FY202" s="766"/>
      <c r="FZ202" s="766"/>
      <c r="GA202" s="766"/>
      <c r="GB202" s="775"/>
      <c r="GC202" s="775"/>
      <c r="GD202" s="25"/>
      <c r="GE202" s="766"/>
      <c r="GF202" s="775"/>
      <c r="GG202" s="775"/>
      <c r="GH202" s="712" t="s">
        <v>14260</v>
      </c>
      <c r="GI202" s="766"/>
      <c r="GJ202" s="766" t="s">
        <v>1810</v>
      </c>
      <c r="GK202" s="766"/>
      <c r="GL202" s="766"/>
      <c r="GM202" s="766"/>
      <c r="GN202" s="82"/>
      <c r="GO202" s="766"/>
      <c r="GP202" s="766"/>
      <c r="GQ202" s="766"/>
      <c r="GR202" s="766"/>
      <c r="GS202" s="766"/>
      <c r="GT202" s="766"/>
      <c r="GU202" s="766"/>
      <c r="GV202" s="766"/>
      <c r="GW202" s="766"/>
      <c r="GX202" s="766"/>
      <c r="GY202" s="766"/>
      <c r="GZ202" s="766"/>
      <c r="HA202" s="766"/>
      <c r="HB202" s="766"/>
      <c r="HC202" s="766"/>
      <c r="HD202" s="766"/>
      <c r="HE202" s="766"/>
      <c r="HF202" s="766"/>
      <c r="HG202" s="766"/>
      <c r="HH202" s="766"/>
      <c r="HI202" s="766"/>
      <c r="HJ202" s="766"/>
      <c r="HK202" s="766"/>
      <c r="HL202" s="766"/>
      <c r="HM202" s="766"/>
      <c r="HN202" s="766"/>
      <c r="HO202" s="766"/>
      <c r="HP202" s="766"/>
      <c r="HQ202" s="766"/>
      <c r="HR202" s="766"/>
      <c r="HS202" s="766"/>
      <c r="HT202" s="766"/>
      <c r="HU202" s="766"/>
      <c r="HV202" s="766"/>
      <c r="HW202" s="766"/>
      <c r="HX202" s="766"/>
      <c r="HY202" s="766"/>
      <c r="HZ202" s="766"/>
      <c r="IA202" s="766"/>
      <c r="IB202" s="14" t="e">
        <f>IF(#REF!&gt;0,IF(#REF!&lt;=10000,"Y",""),"")</f>
        <v>#REF!</v>
      </c>
      <c r="IC202" s="766" t="s">
        <v>1207</v>
      </c>
      <c r="ID202" s="766">
        <v>2</v>
      </c>
      <c r="IE202" s="766">
        <v>1</v>
      </c>
      <c r="IF202" s="766"/>
      <c r="IG202" s="766"/>
      <c r="IH202" s="766"/>
      <c r="II202" s="766"/>
      <c r="IJ202" s="766"/>
      <c r="IK202" s="766"/>
      <c r="IL202" s="766"/>
      <c r="IM202" s="766"/>
      <c r="IN202" s="766"/>
      <c r="IO202" s="24"/>
      <c r="IP202" s="766"/>
      <c r="IQ202" s="766"/>
      <c r="IR202" s="770"/>
      <c r="IS202" s="766"/>
      <c r="IT202" s="766"/>
      <c r="IU202" s="766"/>
      <c r="IV202" s="766"/>
      <c r="IW202" s="766"/>
      <c r="IX202" s="766"/>
      <c r="IY202" s="766"/>
      <c r="IZ202" s="766"/>
      <c r="JA202" s="766"/>
      <c r="JB202" s="766"/>
      <c r="JC202" s="766"/>
      <c r="JD202" s="775"/>
      <c r="JE202" s="766"/>
      <c r="JF202" s="766"/>
      <c r="JG202" s="766"/>
      <c r="JH202" s="766"/>
      <c r="JI202" s="766"/>
      <c r="JJ202" s="766">
        <v>3</v>
      </c>
      <c r="JK202" s="1139" t="s">
        <v>1971</v>
      </c>
      <c r="JL202" s="766">
        <v>1</v>
      </c>
      <c r="JM202" s="766"/>
      <c r="JN202" s="766"/>
      <c r="JO202" s="766">
        <v>1</v>
      </c>
      <c r="JP202" s="766">
        <v>1</v>
      </c>
      <c r="JQ202" s="766"/>
      <c r="JR202" s="766"/>
      <c r="JS202" s="766"/>
      <c r="JT202" s="766">
        <f t="shared" ref="JT202:JU209" si="51">SUM(JP202,JN202,JL202,JR202)</f>
        <v>2</v>
      </c>
      <c r="JU202" s="766">
        <f t="shared" si="51"/>
        <v>1</v>
      </c>
      <c r="JV202" s="712" t="str">
        <f t="shared" ref="JV202:JV209" si="52">IF(JT202=KJ202,"ok","male")</f>
        <v>ok</v>
      </c>
      <c r="JW202" s="712" t="str">
        <f t="shared" ref="JW202:JW209" si="53">IF(JU202=KK202,"ok","female")</f>
        <v>ok</v>
      </c>
      <c r="JX202" s="766"/>
      <c r="JY202" s="766"/>
      <c r="JZ202" s="766">
        <v>1</v>
      </c>
      <c r="KA202" s="766"/>
      <c r="KB202" s="766"/>
      <c r="KC202" s="766"/>
      <c r="KD202" s="766"/>
      <c r="KE202" s="766"/>
      <c r="KF202" s="766">
        <v>1</v>
      </c>
      <c r="KG202" s="766">
        <v>1</v>
      </c>
      <c r="KH202" s="766"/>
      <c r="KI202" s="766"/>
      <c r="KJ202" s="770">
        <f t="shared" si="38"/>
        <v>2</v>
      </c>
      <c r="KK202" s="770">
        <f t="shared" si="38"/>
        <v>1</v>
      </c>
      <c r="KL202" s="712" t="str">
        <f t="shared" ref="KL202:KL209" si="54">IF(KJ202=LN202,"ok","male")</f>
        <v>ok</v>
      </c>
      <c r="KM202" s="712" t="str">
        <f t="shared" ref="KM202:KM209" si="55">IF(KK202=LO202,"ok","female")</f>
        <v>ok</v>
      </c>
      <c r="KN202" s="766" t="s">
        <v>707</v>
      </c>
      <c r="KO202" s="766"/>
      <c r="KP202" s="766"/>
      <c r="KQ202" s="766"/>
      <c r="KR202" s="766"/>
      <c r="KS202" s="766"/>
      <c r="KT202" s="766">
        <v>2</v>
      </c>
      <c r="KU202" s="766">
        <v>1</v>
      </c>
      <c r="KV202" s="766"/>
      <c r="KW202" s="766"/>
      <c r="KX202" s="766"/>
      <c r="KY202" s="766"/>
      <c r="KZ202" s="766"/>
      <c r="LA202" s="766"/>
      <c r="LB202" s="766"/>
      <c r="LC202" s="766"/>
      <c r="LD202" s="766"/>
      <c r="LE202" s="766"/>
      <c r="LF202" s="766"/>
      <c r="LG202" s="766"/>
      <c r="LH202" s="766"/>
      <c r="LI202" s="766"/>
      <c r="LJ202" s="766"/>
      <c r="LK202" s="766"/>
      <c r="LL202" s="766"/>
      <c r="LM202" s="766"/>
      <c r="LN202" s="766">
        <f t="shared" si="47"/>
        <v>2</v>
      </c>
      <c r="LO202" s="766">
        <f t="shared" si="47"/>
        <v>1</v>
      </c>
      <c r="LP202" s="766">
        <v>1</v>
      </c>
      <c r="LQ202" s="766"/>
      <c r="LR202" s="766"/>
      <c r="LS202" s="766">
        <v>1</v>
      </c>
      <c r="LT202" s="712" t="str">
        <f t="shared" ref="LT202:LT209" si="56">IF(LQ202=SUM(LU202:LW202),"OK","REV")</f>
        <v>OK</v>
      </c>
      <c r="LU202" s="766"/>
      <c r="LV202" s="766"/>
      <c r="LW202" s="766"/>
      <c r="LX202" s="769">
        <v>3</v>
      </c>
      <c r="LY202" s="766" t="str">
        <f t="shared" si="50"/>
        <v>within the PROVINCE</v>
      </c>
      <c r="LZ202" s="66"/>
      <c r="MA202" s="766"/>
      <c r="MB202" s="766">
        <v>56</v>
      </c>
      <c r="MC202" s="1679">
        <f t="shared" si="41"/>
        <v>56</v>
      </c>
      <c r="MD202" s="66"/>
      <c r="ME202" s="66"/>
      <c r="MF202" s="66">
        <v>3600</v>
      </c>
      <c r="MG202" s="1680">
        <f t="shared" ref="MG202:MG209" si="57">SUM(MD202:MF202)</f>
        <v>3600</v>
      </c>
      <c r="MH202" s="766"/>
      <c r="MI202" s="775">
        <v>1500</v>
      </c>
      <c r="MJ202" s="775">
        <v>224</v>
      </c>
      <c r="MK202" s="775"/>
      <c r="ML202" s="775">
        <v>100</v>
      </c>
      <c r="MM202" s="775">
        <v>900</v>
      </c>
      <c r="MN202" s="775"/>
      <c r="MO202" s="775"/>
      <c r="MP202" s="775">
        <v>230</v>
      </c>
      <c r="MQ202" s="775"/>
      <c r="MR202" s="775">
        <v>150</v>
      </c>
      <c r="MS202" s="775"/>
      <c r="MT202" s="775"/>
      <c r="MU202" s="775"/>
      <c r="MV202" s="775"/>
      <c r="MW202" s="775"/>
      <c r="MX202" s="775"/>
      <c r="MY202" s="1682">
        <f t="shared" si="49"/>
        <v>3104</v>
      </c>
      <c r="MZ202" s="766" t="s">
        <v>13004</v>
      </c>
      <c r="NA202" s="766" t="s">
        <v>1249</v>
      </c>
      <c r="NB202" s="766" t="s">
        <v>13069</v>
      </c>
      <c r="NC202" s="766" t="s">
        <v>13135</v>
      </c>
      <c r="ND202" s="766">
        <v>0</v>
      </c>
      <c r="NE202" s="766">
        <v>0</v>
      </c>
      <c r="NF202" s="766">
        <v>0</v>
      </c>
      <c r="NG202" s="766">
        <v>0</v>
      </c>
      <c r="NH202" s="766">
        <v>1</v>
      </c>
      <c r="NI202" s="766">
        <v>0</v>
      </c>
      <c r="NJ202" s="766">
        <v>0</v>
      </c>
      <c r="NK202" s="766">
        <v>0</v>
      </c>
      <c r="NL202" s="766">
        <v>0</v>
      </c>
      <c r="NM202" s="766">
        <v>0</v>
      </c>
      <c r="NN202" s="766">
        <v>0</v>
      </c>
      <c r="NO202" s="766">
        <v>0</v>
      </c>
      <c r="NP202" s="766">
        <v>0</v>
      </c>
      <c r="NQ202" s="766">
        <v>0</v>
      </c>
      <c r="NR202" s="766">
        <v>0</v>
      </c>
      <c r="NS202" s="766">
        <v>0</v>
      </c>
      <c r="NT202" s="766">
        <v>0</v>
      </c>
      <c r="NU202" s="766">
        <v>0</v>
      </c>
      <c r="NV202" s="766">
        <v>0</v>
      </c>
      <c r="NW202" s="766">
        <v>0</v>
      </c>
      <c r="NX202" s="766">
        <v>0</v>
      </c>
      <c r="NY202" s="766" t="s">
        <v>1208</v>
      </c>
      <c r="NZ202" s="766" t="s">
        <v>1208</v>
      </c>
      <c r="OA202" s="766" t="s">
        <v>1208</v>
      </c>
      <c r="OB202" s="766"/>
      <c r="OC202" s="766" t="s">
        <v>1208</v>
      </c>
      <c r="OD202" s="766"/>
      <c r="OE202" s="766"/>
      <c r="OF202" s="766" t="s">
        <v>13275</v>
      </c>
      <c r="OG202" s="766"/>
      <c r="OH202" s="766"/>
      <c r="OI202" s="766"/>
      <c r="OJ202" s="766"/>
      <c r="OK202" s="76"/>
      <c r="OL202" s="766" t="s">
        <v>1824</v>
      </c>
      <c r="OM202" s="766" t="s">
        <v>13172</v>
      </c>
      <c r="ON202" s="766" t="s">
        <v>13276</v>
      </c>
      <c r="OO202" s="766" t="s">
        <v>1214</v>
      </c>
      <c r="OP202" s="766" t="s">
        <v>110</v>
      </c>
      <c r="OQ202" s="766"/>
      <c r="OR202" s="766"/>
      <c r="OS202" s="766"/>
      <c r="OT202" s="766"/>
      <c r="OU202" s="766"/>
      <c r="OV202" s="766"/>
      <c r="OW202" s="766"/>
      <c r="OX202" s="766"/>
      <c r="OY202" s="766"/>
      <c r="OZ202" s="766"/>
      <c r="PA202" s="766"/>
      <c r="PB202" s="766"/>
      <c r="PC202" s="766"/>
      <c r="PD202" s="766"/>
      <c r="PE202" s="766"/>
      <c r="PF202" s="766"/>
      <c r="PG202" s="766"/>
      <c r="PH202" s="766"/>
      <c r="PI202" s="766"/>
      <c r="PJ202" s="766"/>
      <c r="PK202" s="766"/>
      <c r="PL202" s="766"/>
      <c r="PM202" s="766"/>
      <c r="PN202" s="766"/>
      <c r="PO202" s="766"/>
      <c r="PP202" s="766"/>
      <c r="PQ202" s="766"/>
      <c r="PR202" s="766"/>
      <c r="PS202" s="766"/>
      <c r="PT202" s="766"/>
      <c r="PU202" s="766"/>
      <c r="PV202" s="766"/>
      <c r="PW202" s="766"/>
      <c r="PX202" s="766"/>
      <c r="PY202" s="766"/>
      <c r="PZ202" s="766"/>
      <c r="QA202" s="766"/>
      <c r="QB202" s="766"/>
      <c r="QC202" s="766"/>
      <c r="QD202" s="766"/>
      <c r="QE202" s="766"/>
      <c r="QF202" s="766"/>
      <c r="QG202" s="766"/>
      <c r="QH202" s="766"/>
      <c r="QI202" s="766"/>
      <c r="QJ202" s="766"/>
      <c r="QK202" s="766"/>
      <c r="QL202" s="766"/>
      <c r="QM202" s="766"/>
      <c r="QN202" s="766"/>
      <c r="QO202" s="766"/>
      <c r="QP202" s="766"/>
      <c r="QQ202" s="766"/>
      <c r="QR202" s="766"/>
      <c r="QS202" s="766"/>
      <c r="QT202" s="766"/>
      <c r="QU202" s="766"/>
      <c r="QV202" s="766"/>
      <c r="QW202" s="766"/>
      <c r="QX202" s="766"/>
      <c r="QY202" s="766"/>
      <c r="QZ202" s="766"/>
      <c r="RA202" s="766"/>
      <c r="RB202" s="766"/>
      <c r="RC202" s="766"/>
      <c r="RD202" s="766"/>
      <c r="RE202" s="766"/>
      <c r="RF202" s="777"/>
      <c r="RG202" s="766"/>
      <c r="RH202" s="66"/>
      <c r="RI202" s="766"/>
      <c r="RJ202" s="766" t="s">
        <v>1971</v>
      </c>
      <c r="RK202" s="766" t="s">
        <v>13146</v>
      </c>
      <c r="RL202" s="1683"/>
      <c r="RM202" s="12"/>
      <c r="RN202" s="1711"/>
      <c r="RO202" s="171" t="s">
        <v>346</v>
      </c>
      <c r="RP202" s="11"/>
      <c r="RQ202" s="11"/>
      <c r="RR202" s="19" t="s">
        <v>7421</v>
      </c>
      <c r="RS202" s="1139" t="s">
        <v>12980</v>
      </c>
      <c r="RT202" s="11"/>
      <c r="RU202" s="11"/>
      <c r="RV202" s="766" t="s">
        <v>7419</v>
      </c>
      <c r="RW202" s="11" t="s">
        <v>7966</v>
      </c>
      <c r="RX202" s="11" t="s">
        <v>339</v>
      </c>
      <c r="RY202" s="11"/>
      <c r="RZ202" s="11" t="s">
        <v>7421</v>
      </c>
      <c r="SA202" s="766"/>
      <c r="SB202" s="11"/>
      <c r="SC202" s="11"/>
    </row>
    <row r="203" spans="1:497" ht="12.75" customHeight="1">
      <c r="A203" s="767" t="s">
        <v>12448</v>
      </c>
      <c r="B203" s="288" t="s">
        <v>7585</v>
      </c>
      <c r="C203" s="171" t="s">
        <v>349</v>
      </c>
      <c r="D203" s="766" t="s">
        <v>350</v>
      </c>
      <c r="E203" s="766" t="s">
        <v>5436</v>
      </c>
      <c r="F203" s="766" t="s">
        <v>28</v>
      </c>
      <c r="G203" s="766" t="s">
        <v>18</v>
      </c>
      <c r="H203" s="766"/>
      <c r="I203" s="5"/>
      <c r="J203" s="766" t="s">
        <v>350</v>
      </c>
      <c r="K203" s="766" t="s">
        <v>348</v>
      </c>
      <c r="L203" s="766" t="s">
        <v>323</v>
      </c>
      <c r="M203" s="766"/>
      <c r="N203" s="766"/>
      <c r="O203" s="766" t="s">
        <v>345</v>
      </c>
      <c r="P203" s="14" t="s">
        <v>890</v>
      </c>
      <c r="Q203" s="1085">
        <v>21082</v>
      </c>
      <c r="R203" s="25">
        <v>59</v>
      </c>
      <c r="S203" s="770" t="s">
        <v>18</v>
      </c>
      <c r="T203" s="766"/>
      <c r="U203" s="26" t="s">
        <v>891</v>
      </c>
      <c r="V203" s="766" t="s">
        <v>719</v>
      </c>
      <c r="W203" s="766"/>
      <c r="X203" s="766"/>
      <c r="Y203" s="766" t="s">
        <v>5437</v>
      </c>
      <c r="Z203" s="766" t="s">
        <v>893</v>
      </c>
      <c r="AA203" s="766" t="s">
        <v>709</v>
      </c>
      <c r="AB203" s="766" t="s">
        <v>710</v>
      </c>
      <c r="AC203" s="766" t="s">
        <v>880</v>
      </c>
      <c r="AD203" s="766"/>
      <c r="AE203" s="766" t="s">
        <v>894</v>
      </c>
      <c r="AF203" s="766"/>
      <c r="AG203" s="766"/>
      <c r="AH203" s="766"/>
      <c r="AI203" s="766"/>
      <c r="AJ203" s="766"/>
      <c r="AK203" s="766" t="s">
        <v>1101</v>
      </c>
      <c r="AL203" s="121"/>
      <c r="AM203" s="772"/>
      <c r="AN203" s="774"/>
      <c r="AO203" s="766"/>
      <c r="AP203" s="766"/>
      <c r="AQ203" s="766"/>
      <c r="AR203" s="766"/>
      <c r="AS203" s="766"/>
      <c r="AT203" s="766"/>
      <c r="AU203" s="766"/>
      <c r="AV203" s="766"/>
      <c r="AW203" s="766"/>
      <c r="AX203" s="766"/>
      <c r="AY203" s="766"/>
      <c r="AZ203" s="766"/>
      <c r="BA203" s="766"/>
      <c r="BB203" s="766"/>
      <c r="BC203" s="766"/>
      <c r="BD203" s="766"/>
      <c r="BE203" s="766"/>
      <c r="BF203" s="775"/>
      <c r="BG203" s="775"/>
      <c r="BH203" s="766"/>
      <c r="BI203" s="766"/>
      <c r="BJ203" s="766"/>
      <c r="BK203" s="766" t="s">
        <v>1095</v>
      </c>
      <c r="BL203" s="766" t="s">
        <v>5434</v>
      </c>
      <c r="BM203" s="766" t="s">
        <v>1096</v>
      </c>
      <c r="BN203" s="766" t="s">
        <v>1230</v>
      </c>
      <c r="BO203" s="766" t="s">
        <v>1246</v>
      </c>
      <c r="BP203" s="1109">
        <v>16</v>
      </c>
      <c r="BQ203" s="772">
        <v>8</v>
      </c>
      <c r="BR203" s="774">
        <f>BQ203/BP203</f>
        <v>0.5</v>
      </c>
      <c r="BS203" s="766" t="s">
        <v>1257</v>
      </c>
      <c r="BT203" s="766" t="s">
        <v>1326</v>
      </c>
      <c r="BU203" s="766" t="s">
        <v>1288</v>
      </c>
      <c r="BV203" s="766" t="s">
        <v>1247</v>
      </c>
      <c r="BW203" s="769"/>
      <c r="BX203" s="779"/>
      <c r="BY203" s="766"/>
      <c r="BZ203" s="775"/>
      <c r="CA203" s="766"/>
      <c r="CB203" s="766"/>
      <c r="CC203" s="766"/>
      <c r="CD203" s="766"/>
      <c r="CE203" s="766"/>
      <c r="CF203" s="777"/>
      <c r="CG203" s="778"/>
      <c r="CH203" s="766"/>
      <c r="CI203" s="766"/>
      <c r="CJ203" s="766"/>
      <c r="CK203" s="766"/>
      <c r="CL203" s="766"/>
      <c r="CM203" s="766"/>
      <c r="CN203" s="766"/>
      <c r="CO203" s="766"/>
      <c r="CP203" s="766"/>
      <c r="CQ203" s="766"/>
      <c r="CR203" s="775"/>
      <c r="CS203" s="766"/>
      <c r="CT203" s="766"/>
      <c r="CU203" s="129"/>
      <c r="CV203" s="766"/>
      <c r="CW203" s="766"/>
      <c r="CX203" s="766"/>
      <c r="CY203" s="766"/>
      <c r="CZ203" s="766"/>
      <c r="DA203" s="766"/>
      <c r="DB203" s="766"/>
      <c r="DC203" s="766"/>
      <c r="DD203" s="766"/>
      <c r="DE203" s="766"/>
      <c r="DF203" s="766"/>
      <c r="DG203" s="766"/>
      <c r="DH203" s="766"/>
      <c r="DI203" s="766"/>
      <c r="DJ203" s="766"/>
      <c r="DK203" s="766"/>
      <c r="DL203" s="766"/>
      <c r="DM203" s="766"/>
      <c r="DN203" s="766"/>
      <c r="DO203" s="766"/>
      <c r="DP203" s="766"/>
      <c r="DQ203" s="766"/>
      <c r="DR203" s="766"/>
      <c r="DS203" s="59"/>
      <c r="DT203" s="766"/>
      <c r="DU203" s="766"/>
      <c r="DV203" s="766"/>
      <c r="DW203" s="66"/>
      <c r="DX203" s="66"/>
      <c r="DY203" s="766"/>
      <c r="DZ203" s="766"/>
      <c r="EA203" s="766"/>
      <c r="EB203" s="766"/>
      <c r="EC203" s="766"/>
      <c r="ED203" s="766"/>
      <c r="EE203" s="766"/>
      <c r="EF203" s="766"/>
      <c r="EG203" s="766"/>
      <c r="EH203" s="766"/>
      <c r="EI203" s="766"/>
      <c r="EJ203" s="766"/>
      <c r="EK203" s="766"/>
      <c r="EL203" s="766"/>
      <c r="EM203" s="766"/>
      <c r="EN203" s="766"/>
      <c r="EO203" s="766"/>
      <c r="EP203" s="766"/>
      <c r="EQ203" s="766"/>
      <c r="ER203" s="766"/>
      <c r="ES203" s="766"/>
      <c r="ET203" s="766"/>
      <c r="EU203" s="766"/>
      <c r="EV203" s="766"/>
      <c r="EW203" s="766"/>
      <c r="EX203" s="766"/>
      <c r="EY203" s="766"/>
      <c r="EZ203" s="766"/>
      <c r="FA203" s="766"/>
      <c r="FB203" s="766"/>
      <c r="FC203" s="766"/>
      <c r="FD203" s="775"/>
      <c r="FE203" s="766"/>
      <c r="FF203" s="766"/>
      <c r="FG203" s="766"/>
      <c r="FH203" s="766" t="s">
        <v>1305</v>
      </c>
      <c r="FI203" s="766"/>
      <c r="FJ203" s="766"/>
      <c r="FK203" s="766"/>
      <c r="FL203" s="766"/>
      <c r="FM203" s="775"/>
      <c r="FN203" s="775"/>
      <c r="FO203" s="775"/>
      <c r="FP203" s="766" t="s">
        <v>1602</v>
      </c>
      <c r="FQ203" s="766" t="s">
        <v>1660</v>
      </c>
      <c r="FR203" s="766"/>
      <c r="FS203" s="766"/>
      <c r="FT203" s="766"/>
      <c r="FU203" s="75"/>
      <c r="FV203" s="78"/>
      <c r="FW203" s="766"/>
      <c r="FX203" s="766"/>
      <c r="FY203" s="766"/>
      <c r="FZ203" s="766"/>
      <c r="GA203" s="766"/>
      <c r="GB203" s="775"/>
      <c r="GC203" s="775"/>
      <c r="GD203" s="25"/>
      <c r="GE203" s="766"/>
      <c r="GF203" s="775"/>
      <c r="GG203" s="775"/>
      <c r="GH203" s="712" t="s">
        <v>14260</v>
      </c>
      <c r="GI203" s="766"/>
      <c r="GJ203" s="766" t="s">
        <v>1811</v>
      </c>
      <c r="GK203" s="766"/>
      <c r="GL203" s="766"/>
      <c r="GM203" s="766" t="s">
        <v>110</v>
      </c>
      <c r="GN203" s="82"/>
      <c r="GO203" s="766"/>
      <c r="GP203" s="766"/>
      <c r="GQ203" s="766"/>
      <c r="GR203" s="766"/>
      <c r="GS203" s="766"/>
      <c r="GT203" s="766"/>
      <c r="GU203" s="766"/>
      <c r="GV203" s="766"/>
      <c r="GW203" s="766"/>
      <c r="GX203" s="766"/>
      <c r="GY203" s="766"/>
      <c r="GZ203" s="766"/>
      <c r="HA203" s="766"/>
      <c r="HB203" s="766"/>
      <c r="HC203" s="766"/>
      <c r="HD203" s="766"/>
      <c r="HE203" s="766"/>
      <c r="HF203" s="766"/>
      <c r="HG203" s="766"/>
      <c r="HH203" s="766"/>
      <c r="HI203" s="766"/>
      <c r="HJ203" s="766"/>
      <c r="HK203" s="766"/>
      <c r="HL203" s="766"/>
      <c r="HM203" s="766"/>
      <c r="HN203" s="766"/>
      <c r="HO203" s="766"/>
      <c r="HP203" s="766"/>
      <c r="HQ203" s="766"/>
      <c r="HR203" s="766"/>
      <c r="HS203" s="766"/>
      <c r="HT203" s="766"/>
      <c r="HU203" s="766"/>
      <c r="HV203" s="766"/>
      <c r="HW203" s="766"/>
      <c r="HX203" s="766"/>
      <c r="HY203" s="766"/>
      <c r="HZ203" s="766"/>
      <c r="IA203" s="766"/>
      <c r="IB203" s="14" t="e">
        <f>IF(#REF!&gt;0,IF(#REF!&lt;=10000,"Y",""),"")</f>
        <v>#REF!</v>
      </c>
      <c r="IC203" s="766" t="s">
        <v>1207</v>
      </c>
      <c r="ID203" s="766"/>
      <c r="IE203" s="766"/>
      <c r="IF203" s="766"/>
      <c r="IG203" s="766"/>
      <c r="IH203" s="766"/>
      <c r="II203" s="766"/>
      <c r="IJ203" s="766"/>
      <c r="IK203" s="766"/>
      <c r="IL203" s="766"/>
      <c r="IM203" s="766"/>
      <c r="IN203" s="766"/>
      <c r="IO203" s="24"/>
      <c r="IP203" s="766"/>
      <c r="IQ203" s="766"/>
      <c r="IR203" s="766"/>
      <c r="IS203" s="766"/>
      <c r="IT203" s="766"/>
      <c r="IU203" s="766"/>
      <c r="IV203" s="766"/>
      <c r="IW203" s="766"/>
      <c r="IX203" s="766"/>
      <c r="IY203" s="766"/>
      <c r="IZ203" s="766"/>
      <c r="JA203" s="766"/>
      <c r="JB203" s="766"/>
      <c r="JC203" s="766"/>
      <c r="JD203" s="775"/>
      <c r="JE203" s="766"/>
      <c r="JF203" s="766"/>
      <c r="JG203" s="766"/>
      <c r="JH203" s="766"/>
      <c r="JI203" s="766"/>
      <c r="JJ203" s="766">
        <v>4</v>
      </c>
      <c r="JK203" s="1139" t="s">
        <v>2077</v>
      </c>
      <c r="JL203" s="766">
        <v>1</v>
      </c>
      <c r="JM203" s="766">
        <v>1</v>
      </c>
      <c r="JN203" s="766">
        <v>1</v>
      </c>
      <c r="JO203" s="766">
        <v>1</v>
      </c>
      <c r="JP203" s="766"/>
      <c r="JQ203" s="766"/>
      <c r="JR203" s="766"/>
      <c r="JS203" s="766"/>
      <c r="JT203" s="766">
        <f t="shared" si="51"/>
        <v>2</v>
      </c>
      <c r="JU203" s="766">
        <f t="shared" si="51"/>
        <v>2</v>
      </c>
      <c r="JV203" s="712" t="str">
        <f t="shared" si="52"/>
        <v>ok</v>
      </c>
      <c r="JW203" s="712" t="str">
        <f t="shared" si="53"/>
        <v>ok</v>
      </c>
      <c r="JX203" s="766">
        <v>1</v>
      </c>
      <c r="JY203" s="766"/>
      <c r="JZ203" s="766"/>
      <c r="KA203" s="766">
        <v>1</v>
      </c>
      <c r="KB203" s="766"/>
      <c r="KC203" s="766"/>
      <c r="KD203" s="766">
        <v>1</v>
      </c>
      <c r="KE203" s="766">
        <v>1</v>
      </c>
      <c r="KF203" s="766"/>
      <c r="KG203" s="766"/>
      <c r="KH203" s="766"/>
      <c r="KI203" s="766"/>
      <c r="KJ203" s="770">
        <f t="shared" si="38"/>
        <v>2</v>
      </c>
      <c r="KK203" s="770">
        <f t="shared" si="38"/>
        <v>2</v>
      </c>
      <c r="KL203" s="712" t="str">
        <f t="shared" si="54"/>
        <v>ok</v>
      </c>
      <c r="KM203" s="712" t="str">
        <f t="shared" si="55"/>
        <v>ok</v>
      </c>
      <c r="KN203" s="766" t="s">
        <v>719</v>
      </c>
      <c r="KO203" s="766"/>
      <c r="KP203" s="766"/>
      <c r="KQ203" s="766"/>
      <c r="KR203" s="766">
        <v>1</v>
      </c>
      <c r="KS203" s="766"/>
      <c r="KT203" s="766"/>
      <c r="KU203" s="766">
        <v>1</v>
      </c>
      <c r="KV203" s="766"/>
      <c r="KW203" s="766">
        <v>1</v>
      </c>
      <c r="KX203" s="766"/>
      <c r="KY203" s="766"/>
      <c r="KZ203" s="766"/>
      <c r="LA203" s="766"/>
      <c r="LB203" s="766">
        <v>1</v>
      </c>
      <c r="LC203" s="766"/>
      <c r="LD203" s="766"/>
      <c r="LE203" s="766"/>
      <c r="LF203" s="766"/>
      <c r="LG203" s="766"/>
      <c r="LH203" s="766"/>
      <c r="LI203" s="766"/>
      <c r="LJ203" s="766"/>
      <c r="LK203" s="766"/>
      <c r="LL203" s="766"/>
      <c r="LM203" s="766"/>
      <c r="LN203" s="766">
        <f t="shared" si="47"/>
        <v>2</v>
      </c>
      <c r="LO203" s="766">
        <f t="shared" si="47"/>
        <v>2</v>
      </c>
      <c r="LP203" s="766">
        <v>1</v>
      </c>
      <c r="LQ203" s="766"/>
      <c r="LR203" s="766"/>
      <c r="LS203" s="766">
        <v>1</v>
      </c>
      <c r="LT203" s="712" t="str">
        <f t="shared" si="56"/>
        <v>OK</v>
      </c>
      <c r="LU203" s="766"/>
      <c r="LV203" s="766"/>
      <c r="LW203" s="766"/>
      <c r="LX203" s="769">
        <v>1</v>
      </c>
      <c r="LY203" s="766" t="str">
        <f t="shared" si="50"/>
        <v>within the BRGY</v>
      </c>
      <c r="LZ203" s="66"/>
      <c r="MA203" s="766"/>
      <c r="MB203" s="766"/>
      <c r="MC203" s="1679">
        <f t="shared" si="41"/>
        <v>0</v>
      </c>
      <c r="MD203" s="66"/>
      <c r="ME203" s="66"/>
      <c r="MF203" s="66">
        <v>640</v>
      </c>
      <c r="MG203" s="1680">
        <f t="shared" si="57"/>
        <v>640</v>
      </c>
      <c r="MH203" s="766"/>
      <c r="MI203" s="775">
        <v>3000</v>
      </c>
      <c r="MJ203" s="775"/>
      <c r="MK203" s="775"/>
      <c r="ML203" s="775">
        <v>240</v>
      </c>
      <c r="MM203" s="775">
        <f>PRODUCT(40,30)</f>
        <v>1200</v>
      </c>
      <c r="MN203" s="775"/>
      <c r="MO203" s="775">
        <v>160</v>
      </c>
      <c r="MP203" s="775">
        <v>180</v>
      </c>
      <c r="MQ203" s="775">
        <v>150</v>
      </c>
      <c r="MR203" s="775">
        <v>400</v>
      </c>
      <c r="MS203" s="775"/>
      <c r="MT203" s="775"/>
      <c r="MU203" s="775"/>
      <c r="MV203" s="775"/>
      <c r="MW203" s="775"/>
      <c r="MX203" s="775"/>
      <c r="MY203" s="1682">
        <f t="shared" si="49"/>
        <v>5330</v>
      </c>
      <c r="MZ203" s="766" t="s">
        <v>13004</v>
      </c>
      <c r="NA203" s="766" t="s">
        <v>13005</v>
      </c>
      <c r="NB203" s="766" t="s">
        <v>13143</v>
      </c>
      <c r="NC203" s="766" t="s">
        <v>13026</v>
      </c>
      <c r="ND203" s="766">
        <v>0</v>
      </c>
      <c r="NE203" s="766">
        <v>0</v>
      </c>
      <c r="NF203" s="766">
        <v>0</v>
      </c>
      <c r="NG203" s="766">
        <v>2</v>
      </c>
      <c r="NH203" s="766">
        <v>1</v>
      </c>
      <c r="NI203" s="766">
        <v>0</v>
      </c>
      <c r="NJ203" s="766">
        <v>0</v>
      </c>
      <c r="NK203" s="766">
        <v>0</v>
      </c>
      <c r="NL203" s="766">
        <v>0</v>
      </c>
      <c r="NM203" s="766">
        <v>0</v>
      </c>
      <c r="NN203" s="766">
        <v>1</v>
      </c>
      <c r="NO203" s="766">
        <v>0</v>
      </c>
      <c r="NP203" s="766">
        <v>0</v>
      </c>
      <c r="NQ203" s="766">
        <v>0</v>
      </c>
      <c r="NR203" s="766">
        <v>0</v>
      </c>
      <c r="NS203" s="766">
        <v>0</v>
      </c>
      <c r="NT203" s="766">
        <v>0</v>
      </c>
      <c r="NU203" s="766">
        <v>0</v>
      </c>
      <c r="NV203" s="766">
        <v>0</v>
      </c>
      <c r="NW203" s="766">
        <v>0</v>
      </c>
      <c r="NX203" s="766">
        <v>0</v>
      </c>
      <c r="NY203" s="766" t="s">
        <v>1208</v>
      </c>
      <c r="NZ203" s="766" t="s">
        <v>1208</v>
      </c>
      <c r="OA203" s="766" t="s">
        <v>1208</v>
      </c>
      <c r="OB203" s="766"/>
      <c r="OC203" s="766"/>
      <c r="OD203" s="766"/>
      <c r="OE203" s="766"/>
      <c r="OF203" s="766" t="s">
        <v>13277</v>
      </c>
      <c r="OG203" s="766"/>
      <c r="OH203" s="766"/>
      <c r="OI203" s="766"/>
      <c r="OJ203" s="766"/>
      <c r="OK203" s="76"/>
      <c r="OL203" s="766" t="s">
        <v>1824</v>
      </c>
      <c r="OM203" s="766" t="s">
        <v>13172</v>
      </c>
      <c r="ON203" s="766"/>
      <c r="OO203" s="766" t="s">
        <v>1207</v>
      </c>
      <c r="OP203" s="766" t="s">
        <v>13278</v>
      </c>
      <c r="OQ203" s="766" t="s">
        <v>13279</v>
      </c>
      <c r="OR203" s="766"/>
      <c r="OS203" s="766" t="s">
        <v>13280</v>
      </c>
      <c r="OT203" s="766" t="s">
        <v>12887</v>
      </c>
      <c r="OU203" s="766"/>
      <c r="OV203" s="766">
        <v>1</v>
      </c>
      <c r="OW203" s="766"/>
      <c r="OX203" s="766">
        <v>1</v>
      </c>
      <c r="OY203" s="766">
        <v>1</v>
      </c>
      <c r="OZ203" s="766"/>
      <c r="PA203" s="766">
        <v>1</v>
      </c>
      <c r="PB203" s="766"/>
      <c r="PC203" s="766"/>
      <c r="PD203" s="766"/>
      <c r="PE203" s="766"/>
      <c r="PF203" s="766"/>
      <c r="PG203" s="766"/>
      <c r="PH203" s="766"/>
      <c r="PI203" s="766"/>
      <c r="PJ203" s="766"/>
      <c r="PK203" s="766"/>
      <c r="PL203" s="766"/>
      <c r="PM203" s="766"/>
      <c r="PN203" s="766"/>
      <c r="PO203" s="766"/>
      <c r="PP203" s="766"/>
      <c r="PQ203" s="766"/>
      <c r="PR203" s="766"/>
      <c r="PS203" s="766"/>
      <c r="PT203" s="766"/>
      <c r="PU203" s="766"/>
      <c r="PV203" s="766"/>
      <c r="PW203" s="766"/>
      <c r="PX203" s="766"/>
      <c r="PY203" s="766"/>
      <c r="PZ203" s="766"/>
      <c r="QA203" s="766"/>
      <c r="QB203" s="766"/>
      <c r="QC203" s="766"/>
      <c r="QD203" s="766" t="s">
        <v>1208</v>
      </c>
      <c r="QE203" s="766"/>
      <c r="QF203" s="766"/>
      <c r="QG203" s="766"/>
      <c r="QH203" s="766"/>
      <c r="QI203" s="766"/>
      <c r="QJ203" s="766"/>
      <c r="QK203" s="766"/>
      <c r="QL203" s="766"/>
      <c r="QM203" s="766"/>
      <c r="QN203" s="766"/>
      <c r="QO203" s="766"/>
      <c r="QP203" s="766"/>
      <c r="QQ203" s="766"/>
      <c r="QR203" s="766"/>
      <c r="QS203" s="766"/>
      <c r="QT203" s="766"/>
      <c r="QU203" s="766"/>
      <c r="QV203" s="766"/>
      <c r="QW203" s="766"/>
      <c r="QX203" s="766"/>
      <c r="QY203" s="766"/>
      <c r="QZ203" s="766"/>
      <c r="RA203" s="766"/>
      <c r="RB203" s="770" t="s">
        <v>1207</v>
      </c>
      <c r="RC203" s="766">
        <v>2012</v>
      </c>
      <c r="RD203" s="766" t="s">
        <v>13223</v>
      </c>
      <c r="RE203" s="766" t="s">
        <v>13008</v>
      </c>
      <c r="RF203" s="777">
        <v>1.5</v>
      </c>
      <c r="RG203" s="766" t="s">
        <v>12991</v>
      </c>
      <c r="RH203" s="66">
        <v>0</v>
      </c>
      <c r="RI203" s="766">
        <v>48</v>
      </c>
      <c r="RJ203" s="766" t="s">
        <v>2077</v>
      </c>
      <c r="RK203" s="766" t="s">
        <v>13146</v>
      </c>
      <c r="RL203" s="1683"/>
      <c r="RM203" s="12"/>
      <c r="RN203" s="1711"/>
      <c r="RO203" s="171" t="s">
        <v>349</v>
      </c>
      <c r="RP203" s="11"/>
      <c r="RQ203" s="11"/>
      <c r="RR203" s="19" t="s">
        <v>12448</v>
      </c>
      <c r="RS203" s="1139" t="s">
        <v>12980</v>
      </c>
      <c r="RT203" s="11"/>
      <c r="RU203" s="11"/>
      <c r="RV203" s="766" t="s">
        <v>7419</v>
      </c>
      <c r="RW203" s="11" t="s">
        <v>7967</v>
      </c>
      <c r="RX203" s="11" t="s">
        <v>353</v>
      </c>
      <c r="RY203" s="11"/>
      <c r="RZ203" s="11" t="s">
        <v>7421</v>
      </c>
      <c r="SA203" s="766"/>
      <c r="SB203" s="11"/>
      <c r="SC203" s="11"/>
    </row>
    <row r="204" spans="1:497" ht="12.75" customHeight="1">
      <c r="A204" s="767" t="s">
        <v>12448</v>
      </c>
      <c r="B204" s="288" t="s">
        <v>7586</v>
      </c>
      <c r="C204" s="171" t="s">
        <v>351</v>
      </c>
      <c r="D204" s="766" t="s">
        <v>2078</v>
      </c>
      <c r="E204" s="766" t="s">
        <v>5436</v>
      </c>
      <c r="F204" s="766" t="s">
        <v>210</v>
      </c>
      <c r="G204" s="766"/>
      <c r="H204" s="766"/>
      <c r="I204" s="5"/>
      <c r="J204" s="766" t="s">
        <v>895</v>
      </c>
      <c r="K204" s="766"/>
      <c r="L204" s="766"/>
      <c r="M204" s="766"/>
      <c r="N204" s="766"/>
      <c r="O204" s="766"/>
      <c r="P204" s="14" t="s">
        <v>895</v>
      </c>
      <c r="Q204" s="1085">
        <v>21132</v>
      </c>
      <c r="R204" s="25">
        <v>59</v>
      </c>
      <c r="S204" s="770" t="s">
        <v>18</v>
      </c>
      <c r="T204" s="766"/>
      <c r="U204" s="26" t="s">
        <v>896</v>
      </c>
      <c r="V204" s="766" t="s">
        <v>719</v>
      </c>
      <c r="W204" s="766"/>
      <c r="X204" s="766"/>
      <c r="Y204" s="766" t="s">
        <v>5437</v>
      </c>
      <c r="Z204" s="766" t="s">
        <v>708</v>
      </c>
      <c r="AA204" s="766" t="s">
        <v>709</v>
      </c>
      <c r="AB204" s="766" t="s">
        <v>710</v>
      </c>
      <c r="AC204" s="766" t="s">
        <v>880</v>
      </c>
      <c r="AD204" s="766"/>
      <c r="AE204" s="766" t="s">
        <v>897</v>
      </c>
      <c r="AF204" s="766"/>
      <c r="AG204" s="766"/>
      <c r="AH204" s="766"/>
      <c r="AI204" s="766"/>
      <c r="AJ204" s="766"/>
      <c r="AK204" s="766" t="s">
        <v>1101</v>
      </c>
      <c r="AL204" s="121"/>
      <c r="AM204" s="772"/>
      <c r="AN204" s="774"/>
      <c r="AO204" s="766"/>
      <c r="AP204" s="766"/>
      <c r="AQ204" s="766"/>
      <c r="AR204" s="766"/>
      <c r="AS204" s="766"/>
      <c r="AT204" s="766"/>
      <c r="AU204" s="766"/>
      <c r="AV204" s="766"/>
      <c r="AW204" s="766"/>
      <c r="AX204" s="766"/>
      <c r="AY204" s="766"/>
      <c r="AZ204" s="766"/>
      <c r="BA204" s="766"/>
      <c r="BB204" s="766"/>
      <c r="BC204" s="766"/>
      <c r="BD204" s="766"/>
      <c r="BE204" s="766"/>
      <c r="BF204" s="775"/>
      <c r="BG204" s="775"/>
      <c r="BH204" s="766"/>
      <c r="BI204" s="766"/>
      <c r="BJ204" s="766"/>
      <c r="BK204" s="766"/>
      <c r="BL204" s="766"/>
      <c r="BM204" s="766" t="s">
        <v>1238</v>
      </c>
      <c r="BN204" s="766" t="s">
        <v>1305</v>
      </c>
      <c r="BO204" s="766"/>
      <c r="BP204" s="776"/>
      <c r="BQ204" s="772"/>
      <c r="BR204" s="774"/>
      <c r="BS204" s="766" t="s">
        <v>1257</v>
      </c>
      <c r="BT204" s="766"/>
      <c r="BU204" s="766"/>
      <c r="BV204" s="766"/>
      <c r="BW204" s="766"/>
      <c r="BX204" s="779"/>
      <c r="BY204" s="766"/>
      <c r="BZ204" s="775"/>
      <c r="CA204" s="766"/>
      <c r="CB204" s="766"/>
      <c r="CC204" s="766"/>
      <c r="CD204" s="766"/>
      <c r="CE204" s="766"/>
      <c r="CF204" s="777"/>
      <c r="CG204" s="778"/>
      <c r="CH204" s="766"/>
      <c r="CI204" s="766"/>
      <c r="CJ204" s="766"/>
      <c r="CK204" s="766"/>
      <c r="CL204" s="766"/>
      <c r="CM204" s="766"/>
      <c r="CN204" s="766"/>
      <c r="CO204" s="766"/>
      <c r="CP204" s="766"/>
      <c r="CQ204" s="766"/>
      <c r="CR204" s="775"/>
      <c r="CS204" s="766"/>
      <c r="CT204" s="766"/>
      <c r="CU204" s="129"/>
      <c r="CV204" s="766"/>
      <c r="CW204" s="766"/>
      <c r="CX204" s="766"/>
      <c r="CY204" s="766"/>
      <c r="CZ204" s="766"/>
      <c r="DA204" s="766"/>
      <c r="DB204" s="766"/>
      <c r="DC204" s="766"/>
      <c r="DD204" s="766"/>
      <c r="DE204" s="766"/>
      <c r="DF204" s="766"/>
      <c r="DG204" s="766"/>
      <c r="DH204" s="766"/>
      <c r="DI204" s="766"/>
      <c r="DJ204" s="766"/>
      <c r="DK204" s="766"/>
      <c r="DL204" s="766"/>
      <c r="DM204" s="766"/>
      <c r="DN204" s="766"/>
      <c r="DO204" s="766"/>
      <c r="DP204" s="766"/>
      <c r="DQ204" s="766"/>
      <c r="DR204" s="766"/>
      <c r="DS204" s="59"/>
      <c r="DT204" s="766"/>
      <c r="DU204" s="766"/>
      <c r="DV204" s="766"/>
      <c r="DW204" s="66"/>
      <c r="DX204" s="66"/>
      <c r="DY204" s="766"/>
      <c r="DZ204" s="766"/>
      <c r="EA204" s="766"/>
      <c r="EB204" s="766"/>
      <c r="EC204" s="766"/>
      <c r="ED204" s="766"/>
      <c r="EE204" s="766"/>
      <c r="EF204" s="766"/>
      <c r="EG204" s="766"/>
      <c r="EH204" s="766"/>
      <c r="EI204" s="766"/>
      <c r="EJ204" s="766"/>
      <c r="EK204" s="766"/>
      <c r="EL204" s="766"/>
      <c r="EM204" s="766"/>
      <c r="EN204" s="766"/>
      <c r="EO204" s="766"/>
      <c r="EP204" s="766"/>
      <c r="EQ204" s="766"/>
      <c r="ER204" s="766"/>
      <c r="ES204" s="766"/>
      <c r="ET204" s="766"/>
      <c r="EU204" s="766"/>
      <c r="EV204" s="766"/>
      <c r="EW204" s="766"/>
      <c r="EX204" s="766"/>
      <c r="EY204" s="766"/>
      <c r="EZ204" s="766"/>
      <c r="FA204" s="766"/>
      <c r="FB204" s="766"/>
      <c r="FC204" s="766"/>
      <c r="FD204" s="775"/>
      <c r="FE204" s="766"/>
      <c r="FF204" s="766"/>
      <c r="FG204" s="766"/>
      <c r="FH204" s="766" t="s">
        <v>1305</v>
      </c>
      <c r="FI204" s="766"/>
      <c r="FJ204" s="766"/>
      <c r="FK204" s="766"/>
      <c r="FL204" s="766"/>
      <c r="FM204" s="775"/>
      <c r="FN204" s="775"/>
      <c r="FO204" s="775"/>
      <c r="FP204" s="766" t="s">
        <v>1602</v>
      </c>
      <c r="FQ204" s="766" t="s">
        <v>1660</v>
      </c>
      <c r="FR204" s="766"/>
      <c r="FS204" s="766"/>
      <c r="FT204" s="766"/>
      <c r="FU204" s="75"/>
      <c r="FV204" s="78"/>
      <c r="FW204" s="766"/>
      <c r="FX204" s="766"/>
      <c r="FY204" s="766"/>
      <c r="FZ204" s="766"/>
      <c r="GA204" s="766"/>
      <c r="GB204" s="775"/>
      <c r="GC204" s="775"/>
      <c r="GD204" s="25"/>
      <c r="GE204" s="766"/>
      <c r="GF204" s="775"/>
      <c r="GG204" s="775"/>
      <c r="GH204" s="766" t="s">
        <v>14260</v>
      </c>
      <c r="GI204" s="766"/>
      <c r="GJ204" s="766" t="s">
        <v>1812</v>
      </c>
      <c r="GK204" s="766"/>
      <c r="GL204" s="766"/>
      <c r="GM204" s="766" t="s">
        <v>110</v>
      </c>
      <c r="GN204" s="82"/>
      <c r="GO204" s="766"/>
      <c r="GP204" s="766"/>
      <c r="GQ204" s="766"/>
      <c r="GR204" s="766"/>
      <c r="GS204" s="766"/>
      <c r="GT204" s="766"/>
      <c r="GU204" s="766"/>
      <c r="GV204" s="766"/>
      <c r="GW204" s="766"/>
      <c r="GX204" s="766"/>
      <c r="GY204" s="766"/>
      <c r="GZ204" s="766"/>
      <c r="HA204" s="766"/>
      <c r="HB204" s="766"/>
      <c r="HC204" s="766"/>
      <c r="HD204" s="766"/>
      <c r="HE204" s="766"/>
      <c r="HF204" s="766"/>
      <c r="HG204" s="766"/>
      <c r="HH204" s="766"/>
      <c r="HI204" s="766"/>
      <c r="HJ204" s="766"/>
      <c r="HK204" s="766"/>
      <c r="HL204" s="766"/>
      <c r="HM204" s="766"/>
      <c r="HN204" s="766"/>
      <c r="HO204" s="766"/>
      <c r="HP204" s="766"/>
      <c r="HQ204" s="766"/>
      <c r="HR204" s="766"/>
      <c r="HS204" s="766"/>
      <c r="HT204" s="766"/>
      <c r="HU204" s="766"/>
      <c r="HV204" s="766"/>
      <c r="HW204" s="766"/>
      <c r="HX204" s="766"/>
      <c r="HY204" s="766"/>
      <c r="HZ204" s="766"/>
      <c r="IA204" s="766"/>
      <c r="IB204" s="14" t="e">
        <f>IF(#REF!&gt;0,IF(#REF!&lt;=10000,"Y",""),"")</f>
        <v>#REF!</v>
      </c>
      <c r="IC204" s="766" t="s">
        <v>1207</v>
      </c>
      <c r="ID204" s="766"/>
      <c r="IE204" s="766">
        <v>1</v>
      </c>
      <c r="IF204" s="766"/>
      <c r="IG204" s="766"/>
      <c r="IH204" s="766"/>
      <c r="II204" s="766"/>
      <c r="IJ204" s="766"/>
      <c r="IK204" s="766"/>
      <c r="IL204" s="766"/>
      <c r="IM204" s="766"/>
      <c r="IN204" s="766"/>
      <c r="IO204" s="24"/>
      <c r="IP204" s="766"/>
      <c r="IQ204" s="766"/>
      <c r="IR204" s="766"/>
      <c r="IS204" s="766"/>
      <c r="IT204" s="766"/>
      <c r="IU204" s="766"/>
      <c r="IV204" s="766"/>
      <c r="IW204" s="766"/>
      <c r="IX204" s="766"/>
      <c r="IY204" s="766"/>
      <c r="IZ204" s="766"/>
      <c r="JA204" s="766"/>
      <c r="JB204" s="766"/>
      <c r="JC204" s="766"/>
      <c r="JD204" s="775"/>
      <c r="JE204" s="766"/>
      <c r="JF204" s="766"/>
      <c r="JG204" s="766"/>
      <c r="JH204" s="766"/>
      <c r="JI204" s="766"/>
      <c r="JJ204" s="766">
        <v>2</v>
      </c>
      <c r="JK204" s="1139" t="s">
        <v>2078</v>
      </c>
      <c r="JL204" s="766" t="s">
        <v>110</v>
      </c>
      <c r="JM204" s="766"/>
      <c r="JN204" s="766"/>
      <c r="JO204" s="766">
        <v>2</v>
      </c>
      <c r="JP204" s="766"/>
      <c r="JQ204" s="766"/>
      <c r="JR204" s="766"/>
      <c r="JS204" s="766"/>
      <c r="JT204" s="766">
        <f t="shared" si="51"/>
        <v>0</v>
      </c>
      <c r="JU204" s="766">
        <f t="shared" si="51"/>
        <v>2</v>
      </c>
      <c r="JV204" s="712" t="str">
        <f t="shared" si="52"/>
        <v>ok</v>
      </c>
      <c r="JW204" s="712" t="str">
        <f t="shared" si="53"/>
        <v>ok</v>
      </c>
      <c r="JX204" s="766"/>
      <c r="JY204" s="766"/>
      <c r="JZ204" s="766"/>
      <c r="KA204" s="766"/>
      <c r="KB204" s="766"/>
      <c r="KC204" s="766">
        <v>1</v>
      </c>
      <c r="KD204" s="766"/>
      <c r="KE204" s="766">
        <v>1</v>
      </c>
      <c r="KF204" s="766"/>
      <c r="KG204" s="766"/>
      <c r="KH204" s="766"/>
      <c r="KI204" s="766"/>
      <c r="KJ204" s="770">
        <f t="shared" si="38"/>
        <v>0</v>
      </c>
      <c r="KK204" s="770">
        <f t="shared" si="38"/>
        <v>2</v>
      </c>
      <c r="KL204" s="712" t="str">
        <f t="shared" si="54"/>
        <v>ok</v>
      </c>
      <c r="KM204" s="712" t="str">
        <f t="shared" si="55"/>
        <v>ok</v>
      </c>
      <c r="KN204" s="766" t="s">
        <v>768</v>
      </c>
      <c r="KO204" s="766"/>
      <c r="KP204" s="766"/>
      <c r="KQ204" s="766"/>
      <c r="KR204" s="766"/>
      <c r="KS204" s="766"/>
      <c r="KT204" s="766"/>
      <c r="KU204" s="766">
        <v>1</v>
      </c>
      <c r="KV204" s="766"/>
      <c r="KW204" s="766"/>
      <c r="KX204" s="766"/>
      <c r="KY204" s="766"/>
      <c r="KZ204" s="766"/>
      <c r="LA204" s="766"/>
      <c r="LB204" s="766"/>
      <c r="LC204" s="766"/>
      <c r="LD204" s="766"/>
      <c r="LE204" s="766"/>
      <c r="LF204" s="766"/>
      <c r="LG204" s="766"/>
      <c r="LH204" s="766"/>
      <c r="LI204" s="766">
        <v>1</v>
      </c>
      <c r="LJ204" s="766"/>
      <c r="LK204" s="766"/>
      <c r="LL204" s="766"/>
      <c r="LM204" s="766"/>
      <c r="LN204" s="766">
        <f t="shared" si="47"/>
        <v>0</v>
      </c>
      <c r="LO204" s="766">
        <f t="shared" si="47"/>
        <v>2</v>
      </c>
      <c r="LP204" s="766">
        <v>1</v>
      </c>
      <c r="LQ204" s="766">
        <v>1</v>
      </c>
      <c r="LR204" s="766"/>
      <c r="LS204" s="766"/>
      <c r="LT204" s="712" t="str">
        <f t="shared" si="56"/>
        <v>OK</v>
      </c>
      <c r="LU204" s="766">
        <v>1</v>
      </c>
      <c r="LV204" s="766"/>
      <c r="LW204" s="766"/>
      <c r="LX204" s="769">
        <v>3</v>
      </c>
      <c r="LY204" s="766" t="str">
        <f t="shared" si="50"/>
        <v>within the PROVINCE</v>
      </c>
      <c r="LZ204" s="66">
        <v>384</v>
      </c>
      <c r="MA204" s="766"/>
      <c r="MB204" s="766"/>
      <c r="MC204" s="1679">
        <f t="shared" si="41"/>
        <v>384</v>
      </c>
      <c r="MD204" s="66">
        <v>8000</v>
      </c>
      <c r="ME204" s="66"/>
      <c r="MF204" s="66"/>
      <c r="MG204" s="1680">
        <f t="shared" si="57"/>
        <v>8000</v>
      </c>
      <c r="MH204" s="766"/>
      <c r="MI204" s="775">
        <v>3000</v>
      </c>
      <c r="MJ204" s="775">
        <v>384</v>
      </c>
      <c r="MK204" s="775">
        <v>200</v>
      </c>
      <c r="ML204" s="775">
        <v>100</v>
      </c>
      <c r="MM204" s="775"/>
      <c r="MN204" s="775"/>
      <c r="MO204" s="775">
        <v>80</v>
      </c>
      <c r="MP204" s="775">
        <v>300</v>
      </c>
      <c r="MQ204" s="775">
        <v>130</v>
      </c>
      <c r="MR204" s="775">
        <v>700</v>
      </c>
      <c r="MS204" s="775"/>
      <c r="MT204" s="775"/>
      <c r="MU204" s="775"/>
      <c r="MV204" s="775"/>
      <c r="MW204" s="775"/>
      <c r="MX204" s="775"/>
      <c r="MY204" s="1682">
        <f t="shared" si="49"/>
        <v>4894</v>
      </c>
      <c r="MZ204" s="766" t="s">
        <v>13164</v>
      </c>
      <c r="NA204" s="766" t="s">
        <v>13005</v>
      </c>
      <c r="NB204" s="766" t="s">
        <v>13069</v>
      </c>
      <c r="NC204" s="766" t="s">
        <v>13135</v>
      </c>
      <c r="ND204" s="766">
        <v>0</v>
      </c>
      <c r="NE204" s="766">
        <v>0</v>
      </c>
      <c r="NF204" s="766">
        <v>0</v>
      </c>
      <c r="NG204" s="766">
        <v>1</v>
      </c>
      <c r="NH204" s="766">
        <v>1</v>
      </c>
      <c r="NI204" s="766">
        <v>1</v>
      </c>
      <c r="NJ204" s="766">
        <v>0</v>
      </c>
      <c r="NK204" s="766">
        <v>0</v>
      </c>
      <c r="NL204" s="766">
        <v>0</v>
      </c>
      <c r="NM204" s="766">
        <v>0</v>
      </c>
      <c r="NN204" s="766">
        <v>0</v>
      </c>
      <c r="NO204" s="766">
        <v>0</v>
      </c>
      <c r="NP204" s="766">
        <v>0</v>
      </c>
      <c r="NQ204" s="766">
        <v>1</v>
      </c>
      <c r="NR204" s="766">
        <v>0</v>
      </c>
      <c r="NS204" s="766">
        <v>0</v>
      </c>
      <c r="NT204" s="766">
        <v>0</v>
      </c>
      <c r="NU204" s="766">
        <v>0</v>
      </c>
      <c r="NV204" s="766">
        <v>0</v>
      </c>
      <c r="NW204" s="766">
        <v>0</v>
      </c>
      <c r="NX204" s="766">
        <v>0</v>
      </c>
      <c r="NY204" s="766" t="s">
        <v>1208</v>
      </c>
      <c r="NZ204" s="766"/>
      <c r="OA204" s="766"/>
      <c r="OB204" s="766" t="s">
        <v>1208</v>
      </c>
      <c r="OC204" s="766"/>
      <c r="OD204" s="766"/>
      <c r="OE204" s="766"/>
      <c r="OF204" s="766"/>
      <c r="OG204" s="766"/>
      <c r="OH204" s="766"/>
      <c r="OI204" s="766"/>
      <c r="OJ204" s="766"/>
      <c r="OK204" s="76"/>
      <c r="OL204" s="766"/>
      <c r="OM204" s="766"/>
      <c r="ON204" s="766"/>
      <c r="OO204" s="766"/>
      <c r="OP204" s="766"/>
      <c r="OQ204" s="766"/>
      <c r="OR204" s="766"/>
      <c r="OS204" s="766"/>
      <c r="OT204" s="766"/>
      <c r="OU204" s="766"/>
      <c r="OV204" s="766"/>
      <c r="OW204" s="766"/>
      <c r="OX204" s="766"/>
      <c r="OY204" s="766"/>
      <c r="OZ204" s="766"/>
      <c r="PA204" s="766"/>
      <c r="PB204" s="766"/>
      <c r="PC204" s="766"/>
      <c r="PD204" s="766"/>
      <c r="PE204" s="766"/>
      <c r="PF204" s="766"/>
      <c r="PG204" s="766"/>
      <c r="PH204" s="766"/>
      <c r="PI204" s="766"/>
      <c r="PJ204" s="766"/>
      <c r="PK204" s="766"/>
      <c r="PL204" s="766"/>
      <c r="PM204" s="766"/>
      <c r="PN204" s="766"/>
      <c r="PO204" s="766"/>
      <c r="PP204" s="766"/>
      <c r="PQ204" s="766"/>
      <c r="PR204" s="766" t="s">
        <v>1208</v>
      </c>
      <c r="PS204" s="766" t="s">
        <v>1208</v>
      </c>
      <c r="PT204" s="766"/>
      <c r="PU204" s="766"/>
      <c r="PV204" s="766"/>
      <c r="PW204" s="766"/>
      <c r="PX204" s="766"/>
      <c r="PY204" s="766"/>
      <c r="PZ204" s="766"/>
      <c r="QA204" s="766" t="s">
        <v>1208</v>
      </c>
      <c r="QB204" s="766"/>
      <c r="QC204" s="766"/>
      <c r="QD204" s="766"/>
      <c r="QE204" s="766"/>
      <c r="QF204" s="766"/>
      <c r="QG204" s="766"/>
      <c r="QH204" s="766"/>
      <c r="QI204" s="766"/>
      <c r="QJ204" s="766"/>
      <c r="QK204" s="766"/>
      <c r="QL204" s="766"/>
      <c r="QM204" s="766"/>
      <c r="QN204" s="766"/>
      <c r="QO204" s="766"/>
      <c r="QP204" s="766"/>
      <c r="QQ204" s="766"/>
      <c r="QR204" s="766"/>
      <c r="QS204" s="766"/>
      <c r="QT204" s="766"/>
      <c r="QU204" s="766"/>
      <c r="QV204" s="766"/>
      <c r="QW204" s="766"/>
      <c r="QX204" s="766"/>
      <c r="QY204" s="766"/>
      <c r="QZ204" s="766"/>
      <c r="RA204" s="766"/>
      <c r="RB204" s="770" t="s">
        <v>1207</v>
      </c>
      <c r="RC204" s="766">
        <v>2012</v>
      </c>
      <c r="RD204" s="766" t="s">
        <v>13036</v>
      </c>
      <c r="RE204" s="766" t="s">
        <v>13008</v>
      </c>
      <c r="RF204" s="777">
        <v>1.5</v>
      </c>
      <c r="RG204" s="766" t="s">
        <v>12991</v>
      </c>
      <c r="RH204" s="775"/>
      <c r="RI204" s="766">
        <v>48</v>
      </c>
      <c r="RJ204" s="766" t="s">
        <v>2078</v>
      </c>
      <c r="RK204" s="766" t="s">
        <v>13146</v>
      </c>
      <c r="RL204" s="1683"/>
      <c r="RM204" s="12"/>
      <c r="RN204" s="1711"/>
      <c r="RO204" s="171" t="s">
        <v>351</v>
      </c>
      <c r="RP204" s="11"/>
      <c r="RQ204" s="11"/>
      <c r="RR204" s="19" t="s">
        <v>12448</v>
      </c>
      <c r="RS204" s="1139" t="s">
        <v>12980</v>
      </c>
      <c r="RT204" s="11"/>
      <c r="RU204" s="11"/>
      <c r="RV204" s="766" t="s">
        <v>7421</v>
      </c>
      <c r="RW204" s="11" t="s">
        <v>7538</v>
      </c>
      <c r="RX204" s="11" t="s">
        <v>346</v>
      </c>
      <c r="RY204" s="11"/>
      <c r="RZ204" s="11" t="s">
        <v>7421</v>
      </c>
      <c r="SA204" s="766"/>
      <c r="SB204" s="11"/>
      <c r="SC204" s="11"/>
    </row>
    <row r="205" spans="1:497" ht="12.75" customHeight="1">
      <c r="A205" s="767" t="s">
        <v>12448</v>
      </c>
      <c r="B205" s="288" t="s">
        <v>7587</v>
      </c>
      <c r="C205" s="171" t="s">
        <v>352</v>
      </c>
      <c r="D205" s="766" t="s">
        <v>898</v>
      </c>
      <c r="E205" s="766" t="s">
        <v>5436</v>
      </c>
      <c r="F205" s="766" t="s">
        <v>28</v>
      </c>
      <c r="G205" s="766"/>
      <c r="H205" s="766"/>
      <c r="I205" s="5"/>
      <c r="J205" s="766" t="s">
        <v>898</v>
      </c>
      <c r="K205" s="766"/>
      <c r="L205" s="766"/>
      <c r="M205" s="766"/>
      <c r="N205" s="766"/>
      <c r="O205" s="766"/>
      <c r="P205" s="14" t="s">
        <v>898</v>
      </c>
      <c r="Q205" s="1085">
        <v>19007</v>
      </c>
      <c r="R205" s="25">
        <v>62</v>
      </c>
      <c r="S205" s="770" t="s">
        <v>10</v>
      </c>
      <c r="T205" s="766"/>
      <c r="U205" s="26" t="s">
        <v>899</v>
      </c>
      <c r="V205" s="766" t="s">
        <v>768</v>
      </c>
      <c r="W205" s="766"/>
      <c r="X205" s="766"/>
      <c r="Y205" s="766" t="s">
        <v>5437</v>
      </c>
      <c r="Z205" s="766" t="s">
        <v>708</v>
      </c>
      <c r="AA205" s="766" t="s">
        <v>709</v>
      </c>
      <c r="AB205" s="766" t="s">
        <v>710</v>
      </c>
      <c r="AC205" s="766" t="s">
        <v>724</v>
      </c>
      <c r="AD205" s="766"/>
      <c r="AE205" s="766"/>
      <c r="AF205" s="766"/>
      <c r="AG205" s="766"/>
      <c r="AH205" s="766"/>
      <c r="AI205" s="766"/>
      <c r="AJ205" s="766"/>
      <c r="AK205" s="766" t="s">
        <v>1101</v>
      </c>
      <c r="AL205" s="121"/>
      <c r="AM205" s="772"/>
      <c r="AN205" s="774"/>
      <c r="AO205" s="766"/>
      <c r="AP205" s="766"/>
      <c r="AQ205" s="766"/>
      <c r="AR205" s="766"/>
      <c r="AS205" s="766"/>
      <c r="AT205" s="766"/>
      <c r="AU205" s="766"/>
      <c r="AV205" s="766"/>
      <c r="AW205" s="766"/>
      <c r="AX205" s="766"/>
      <c r="AY205" s="766"/>
      <c r="AZ205" s="766"/>
      <c r="BA205" s="766"/>
      <c r="BB205" s="766"/>
      <c r="BC205" s="766"/>
      <c r="BD205" s="766"/>
      <c r="BE205" s="766"/>
      <c r="BF205" s="775"/>
      <c r="BG205" s="775"/>
      <c r="BH205" s="766"/>
      <c r="BI205" s="766"/>
      <c r="BJ205" s="766"/>
      <c r="BK205" s="766"/>
      <c r="BL205" s="766"/>
      <c r="BM205" s="766" t="s">
        <v>1238</v>
      </c>
      <c r="BN205" s="766" t="s">
        <v>1305</v>
      </c>
      <c r="BO205" s="766"/>
      <c r="BP205" s="776"/>
      <c r="BQ205" s="772"/>
      <c r="BR205" s="774"/>
      <c r="BS205" s="766" t="s">
        <v>1257</v>
      </c>
      <c r="BT205" s="766"/>
      <c r="BU205" s="766"/>
      <c r="BV205" s="766"/>
      <c r="BW205" s="766"/>
      <c r="BX205" s="779"/>
      <c r="BY205" s="766"/>
      <c r="BZ205" s="775"/>
      <c r="CA205" s="766"/>
      <c r="CB205" s="766"/>
      <c r="CC205" s="766"/>
      <c r="CD205" s="766"/>
      <c r="CE205" s="766"/>
      <c r="CF205" s="777"/>
      <c r="CG205" s="778"/>
      <c r="CH205" s="766"/>
      <c r="CI205" s="766"/>
      <c r="CJ205" s="766"/>
      <c r="CK205" s="766"/>
      <c r="CL205" s="766"/>
      <c r="CM205" s="766"/>
      <c r="CN205" s="766"/>
      <c r="CO205" s="766"/>
      <c r="CP205" s="766"/>
      <c r="CQ205" s="766"/>
      <c r="CR205" s="775"/>
      <c r="CS205" s="766"/>
      <c r="CT205" s="766"/>
      <c r="CU205" s="129"/>
      <c r="CV205" s="766"/>
      <c r="CW205" s="766"/>
      <c r="CX205" s="766"/>
      <c r="CY205" s="766"/>
      <c r="CZ205" s="766"/>
      <c r="DA205" s="766"/>
      <c r="DB205" s="766"/>
      <c r="DC205" s="766"/>
      <c r="DD205" s="766"/>
      <c r="DE205" s="766"/>
      <c r="DF205" s="766"/>
      <c r="DG205" s="766"/>
      <c r="DH205" s="766"/>
      <c r="DI205" s="766"/>
      <c r="DJ205" s="766"/>
      <c r="DK205" s="766"/>
      <c r="DL205" s="766"/>
      <c r="DM205" s="766"/>
      <c r="DN205" s="766"/>
      <c r="DO205" s="766"/>
      <c r="DP205" s="766"/>
      <c r="DQ205" s="766"/>
      <c r="DR205" s="766"/>
      <c r="DS205" s="59"/>
      <c r="DT205" s="766"/>
      <c r="DU205" s="766"/>
      <c r="DV205" s="766"/>
      <c r="DW205" s="66"/>
      <c r="DX205" s="66"/>
      <c r="DY205" s="766"/>
      <c r="DZ205" s="766"/>
      <c r="EA205" s="766"/>
      <c r="EB205" s="766"/>
      <c r="EC205" s="766"/>
      <c r="ED205" s="766"/>
      <c r="EE205" s="766"/>
      <c r="EF205" s="766"/>
      <c r="EG205" s="766"/>
      <c r="EH205" s="766"/>
      <c r="EI205" s="766"/>
      <c r="EJ205" s="766"/>
      <c r="EK205" s="766"/>
      <c r="EL205" s="766"/>
      <c r="EM205" s="766"/>
      <c r="EN205" s="766"/>
      <c r="EO205" s="766"/>
      <c r="EP205" s="766"/>
      <c r="EQ205" s="766"/>
      <c r="ER205" s="766"/>
      <c r="ES205" s="766"/>
      <c r="ET205" s="766"/>
      <c r="EU205" s="766"/>
      <c r="EV205" s="766"/>
      <c r="EW205" s="766"/>
      <c r="EX205" s="766"/>
      <c r="EY205" s="766"/>
      <c r="EZ205" s="766"/>
      <c r="FA205" s="766"/>
      <c r="FB205" s="766"/>
      <c r="FC205" s="766"/>
      <c r="FD205" s="775"/>
      <c r="FE205" s="766"/>
      <c r="FF205" s="766"/>
      <c r="FG205" s="766"/>
      <c r="FH205" s="766" t="s">
        <v>1305</v>
      </c>
      <c r="FI205" s="766"/>
      <c r="FJ205" s="766"/>
      <c r="FK205" s="766"/>
      <c r="FL205" s="766" t="s">
        <v>892</v>
      </c>
      <c r="FM205" s="775"/>
      <c r="FN205" s="775"/>
      <c r="FO205" s="775"/>
      <c r="FP205" s="766" t="s">
        <v>1602</v>
      </c>
      <c r="FQ205" s="766" t="s">
        <v>1660</v>
      </c>
      <c r="FR205" s="766"/>
      <c r="FS205" s="766"/>
      <c r="FT205" s="766"/>
      <c r="FU205" s="75"/>
      <c r="FV205" s="78"/>
      <c r="FW205" s="766"/>
      <c r="FX205" s="766"/>
      <c r="FY205" s="766"/>
      <c r="FZ205" s="766"/>
      <c r="GA205" s="766"/>
      <c r="GB205" s="775"/>
      <c r="GC205" s="775"/>
      <c r="GD205" s="25"/>
      <c r="GE205" s="766" t="s">
        <v>110</v>
      </c>
      <c r="GF205" s="775"/>
      <c r="GG205" s="775"/>
      <c r="GH205" s="766"/>
      <c r="GI205" s="766"/>
      <c r="GJ205" s="766"/>
      <c r="GK205" s="766"/>
      <c r="GL205" s="766"/>
      <c r="GM205" s="766"/>
      <c r="GN205" s="82"/>
      <c r="GO205" s="766"/>
      <c r="GP205" s="766"/>
      <c r="GQ205" s="766"/>
      <c r="GR205" s="766"/>
      <c r="GS205" s="766"/>
      <c r="GT205" s="766"/>
      <c r="GU205" s="766"/>
      <c r="GV205" s="766"/>
      <c r="GW205" s="766"/>
      <c r="GX205" s="766"/>
      <c r="GY205" s="766"/>
      <c r="GZ205" s="766"/>
      <c r="HA205" s="766"/>
      <c r="HB205" s="766"/>
      <c r="HC205" s="766"/>
      <c r="HD205" s="766"/>
      <c r="HE205" s="766"/>
      <c r="HF205" s="766"/>
      <c r="HG205" s="766"/>
      <c r="HH205" s="766"/>
      <c r="HI205" s="766"/>
      <c r="HJ205" s="766"/>
      <c r="HK205" s="766"/>
      <c r="HL205" s="766"/>
      <c r="HM205" s="766"/>
      <c r="HN205" s="766"/>
      <c r="HO205" s="766"/>
      <c r="HP205" s="766"/>
      <c r="HQ205" s="766"/>
      <c r="HR205" s="766"/>
      <c r="HS205" s="766"/>
      <c r="HT205" s="766"/>
      <c r="HU205" s="766"/>
      <c r="HV205" s="766"/>
      <c r="HW205" s="766"/>
      <c r="HX205" s="766"/>
      <c r="HY205" s="766"/>
      <c r="HZ205" s="766"/>
      <c r="IA205" s="766"/>
      <c r="IB205" s="14" t="e">
        <f>IF(#REF!&gt;0,IF(#REF!&lt;=10000,"Y",""),"")</f>
        <v>#REF!</v>
      </c>
      <c r="IC205" s="766"/>
      <c r="ID205" s="766">
        <v>1</v>
      </c>
      <c r="IE205" s="766"/>
      <c r="IF205" s="766"/>
      <c r="IG205" s="766"/>
      <c r="IH205" s="766"/>
      <c r="II205" s="766"/>
      <c r="IJ205" s="766"/>
      <c r="IK205" s="766"/>
      <c r="IL205" s="766"/>
      <c r="IM205" s="766"/>
      <c r="IN205" s="766"/>
      <c r="IO205" s="24"/>
      <c r="IP205" s="766"/>
      <c r="IQ205" s="766"/>
      <c r="IR205" s="766"/>
      <c r="IS205" s="766"/>
      <c r="IT205" s="766"/>
      <c r="IU205" s="766"/>
      <c r="IV205" s="766"/>
      <c r="IW205" s="766"/>
      <c r="IX205" s="766"/>
      <c r="IY205" s="766"/>
      <c r="IZ205" s="766"/>
      <c r="JA205" s="766"/>
      <c r="JB205" s="766"/>
      <c r="JC205" s="766"/>
      <c r="JD205" s="775"/>
      <c r="JE205" s="766"/>
      <c r="JF205" s="766"/>
      <c r="JG205" s="766"/>
      <c r="JH205" s="766"/>
      <c r="JI205" s="712" t="str">
        <f>IF(SUM(JT205,JU205)=JJ205,"ok","review")</f>
        <v>ok</v>
      </c>
      <c r="JJ205" s="766">
        <v>1</v>
      </c>
      <c r="JK205" s="1139" t="s">
        <v>2079</v>
      </c>
      <c r="JL205" s="766" t="s">
        <v>110</v>
      </c>
      <c r="JM205" s="766"/>
      <c r="JN205" s="766">
        <v>1</v>
      </c>
      <c r="JO205" s="766"/>
      <c r="JP205" s="766"/>
      <c r="JQ205" s="766"/>
      <c r="JR205" s="766"/>
      <c r="JS205" s="766"/>
      <c r="JT205" s="766">
        <f t="shared" si="51"/>
        <v>1</v>
      </c>
      <c r="JU205" s="766">
        <f t="shared" si="51"/>
        <v>0</v>
      </c>
      <c r="JV205" s="712" t="str">
        <f t="shared" si="52"/>
        <v>ok</v>
      </c>
      <c r="JW205" s="712" t="str">
        <f t="shared" si="53"/>
        <v>ok</v>
      </c>
      <c r="JX205" s="766"/>
      <c r="JY205" s="766"/>
      <c r="JZ205" s="766"/>
      <c r="KA205" s="766"/>
      <c r="KB205" s="766"/>
      <c r="KC205" s="766"/>
      <c r="KD205" s="766"/>
      <c r="KE205" s="766"/>
      <c r="KF205" s="766">
        <v>1</v>
      </c>
      <c r="KG205" s="766"/>
      <c r="KH205" s="766"/>
      <c r="KI205" s="766"/>
      <c r="KJ205" s="770">
        <f t="shared" ref="KJ205:KK268" si="58">SUM(KF205,KD205,KB205,JZ205,JX205,KH205)</f>
        <v>1</v>
      </c>
      <c r="KK205" s="770">
        <f t="shared" si="58"/>
        <v>0</v>
      </c>
      <c r="KL205" s="712" t="str">
        <f t="shared" si="54"/>
        <v>ok</v>
      </c>
      <c r="KM205" s="712" t="str">
        <f t="shared" si="55"/>
        <v>ok</v>
      </c>
      <c r="KN205" s="766" t="s">
        <v>768</v>
      </c>
      <c r="KO205" s="766"/>
      <c r="KP205" s="766"/>
      <c r="KQ205" s="766"/>
      <c r="KR205" s="766"/>
      <c r="KS205" s="766"/>
      <c r="KT205" s="766"/>
      <c r="KU205" s="766"/>
      <c r="KV205" s="766">
        <v>1</v>
      </c>
      <c r="KW205" s="766"/>
      <c r="KX205" s="766"/>
      <c r="KY205" s="766"/>
      <c r="KZ205" s="766"/>
      <c r="LA205" s="766"/>
      <c r="LB205" s="766"/>
      <c r="LC205" s="766"/>
      <c r="LD205" s="766"/>
      <c r="LE205" s="766"/>
      <c r="LF205" s="766"/>
      <c r="LG205" s="766"/>
      <c r="LH205" s="766"/>
      <c r="LI205" s="766"/>
      <c r="LJ205" s="766"/>
      <c r="LK205" s="766"/>
      <c r="LL205" s="766"/>
      <c r="LM205" s="766"/>
      <c r="LN205" s="766">
        <f t="shared" si="47"/>
        <v>1</v>
      </c>
      <c r="LO205" s="766">
        <f t="shared" si="47"/>
        <v>0</v>
      </c>
      <c r="LP205" s="766">
        <v>1</v>
      </c>
      <c r="LQ205" s="766">
        <v>1</v>
      </c>
      <c r="LR205" s="766"/>
      <c r="LS205" s="766"/>
      <c r="LT205" s="712" t="str">
        <f t="shared" si="56"/>
        <v>OK</v>
      </c>
      <c r="LU205" s="766"/>
      <c r="LV205" s="766"/>
      <c r="LW205" s="766">
        <v>1</v>
      </c>
      <c r="LX205" s="769">
        <v>2</v>
      </c>
      <c r="LY205" s="766" t="str">
        <f t="shared" si="50"/>
        <v>within the MUNICIPALITY</v>
      </c>
      <c r="LZ205" s="66">
        <v>300</v>
      </c>
      <c r="MA205" s="766"/>
      <c r="MB205" s="766"/>
      <c r="MC205" s="1679">
        <f t="shared" si="41"/>
        <v>300</v>
      </c>
      <c r="MD205" s="66">
        <v>5000</v>
      </c>
      <c r="ME205" s="66"/>
      <c r="MF205" s="66"/>
      <c r="MG205" s="1680">
        <f t="shared" si="57"/>
        <v>5000</v>
      </c>
      <c r="MH205" s="766"/>
      <c r="MI205" s="775">
        <v>2100</v>
      </c>
      <c r="MJ205" s="775">
        <v>500</v>
      </c>
      <c r="MK205" s="775">
        <v>300</v>
      </c>
      <c r="ML205" s="775">
        <v>600</v>
      </c>
      <c r="MM205" s="775"/>
      <c r="MN205" s="775"/>
      <c r="MO205" s="775"/>
      <c r="MP205" s="775">
        <v>100</v>
      </c>
      <c r="MQ205" s="775"/>
      <c r="MR205" s="775">
        <v>200</v>
      </c>
      <c r="MS205" s="775"/>
      <c r="MT205" s="775"/>
      <c r="MU205" s="775"/>
      <c r="MV205" s="775"/>
      <c r="MW205" s="775"/>
      <c r="MX205" s="775"/>
      <c r="MY205" s="1682">
        <f t="shared" si="49"/>
        <v>3800</v>
      </c>
      <c r="MZ205" s="766" t="s">
        <v>13164</v>
      </c>
      <c r="NA205" s="766" t="s">
        <v>1249</v>
      </c>
      <c r="NB205" s="766" t="s">
        <v>13069</v>
      </c>
      <c r="NC205" s="766" t="s">
        <v>13026</v>
      </c>
      <c r="ND205" s="766">
        <v>0</v>
      </c>
      <c r="NE205" s="766">
        <v>0</v>
      </c>
      <c r="NF205" s="766">
        <v>0</v>
      </c>
      <c r="NG205" s="766">
        <v>0</v>
      </c>
      <c r="NH205" s="766">
        <v>0</v>
      </c>
      <c r="NI205" s="766">
        <v>0</v>
      </c>
      <c r="NJ205" s="766">
        <v>0</v>
      </c>
      <c r="NK205" s="766">
        <v>0</v>
      </c>
      <c r="NL205" s="766">
        <v>0</v>
      </c>
      <c r="NM205" s="766">
        <v>0</v>
      </c>
      <c r="NN205" s="766">
        <v>0</v>
      </c>
      <c r="NO205" s="766">
        <v>0</v>
      </c>
      <c r="NP205" s="766">
        <v>0</v>
      </c>
      <c r="NQ205" s="766">
        <v>1</v>
      </c>
      <c r="NR205" s="766">
        <v>0</v>
      </c>
      <c r="NS205" s="766">
        <v>0</v>
      </c>
      <c r="NT205" s="766">
        <v>0</v>
      </c>
      <c r="NU205" s="766">
        <v>0</v>
      </c>
      <c r="NV205" s="766">
        <v>0</v>
      </c>
      <c r="NW205" s="766">
        <v>0</v>
      </c>
      <c r="NX205" s="766">
        <v>0</v>
      </c>
      <c r="NY205" s="766"/>
      <c r="NZ205" s="766"/>
      <c r="OA205" s="766"/>
      <c r="OB205" s="766"/>
      <c r="OC205" s="766"/>
      <c r="OD205" s="766"/>
      <c r="OE205" s="766"/>
      <c r="OF205" s="766"/>
      <c r="OG205" s="766"/>
      <c r="OH205" s="766"/>
      <c r="OI205" s="766"/>
      <c r="OJ205" s="766"/>
      <c r="OK205" s="76"/>
      <c r="OL205" s="766"/>
      <c r="OM205" s="766"/>
      <c r="ON205" s="766"/>
      <c r="OO205" s="766"/>
      <c r="OP205" s="766"/>
      <c r="OQ205" s="766"/>
      <c r="OR205" s="766"/>
      <c r="OS205" s="766"/>
      <c r="OT205" s="766"/>
      <c r="OU205" s="766"/>
      <c r="OV205" s="766"/>
      <c r="OW205" s="766"/>
      <c r="OX205" s="766"/>
      <c r="OY205" s="766"/>
      <c r="OZ205" s="766"/>
      <c r="PA205" s="766"/>
      <c r="PB205" s="766"/>
      <c r="PC205" s="766"/>
      <c r="PD205" s="766"/>
      <c r="PE205" s="766"/>
      <c r="PF205" s="766"/>
      <c r="PG205" s="766"/>
      <c r="PH205" s="766"/>
      <c r="PI205" s="766"/>
      <c r="PJ205" s="766"/>
      <c r="PK205" s="766"/>
      <c r="PL205" s="766"/>
      <c r="PM205" s="766"/>
      <c r="PN205" s="766"/>
      <c r="PO205" s="766"/>
      <c r="PP205" s="766"/>
      <c r="PQ205" s="766"/>
      <c r="PR205" s="766"/>
      <c r="PS205" s="766"/>
      <c r="PT205" s="766"/>
      <c r="PU205" s="766"/>
      <c r="PV205" s="766"/>
      <c r="PW205" s="766"/>
      <c r="PX205" s="766"/>
      <c r="PY205" s="766"/>
      <c r="PZ205" s="766"/>
      <c r="QA205" s="766"/>
      <c r="QB205" s="766"/>
      <c r="QC205" s="766"/>
      <c r="QD205" s="766"/>
      <c r="QE205" s="766"/>
      <c r="QF205" s="766"/>
      <c r="QG205" s="766"/>
      <c r="QH205" s="766"/>
      <c r="QI205" s="766"/>
      <c r="QJ205" s="766"/>
      <c r="QK205" s="766"/>
      <c r="QL205" s="766"/>
      <c r="QM205" s="766"/>
      <c r="QN205" s="766"/>
      <c r="QO205" s="766"/>
      <c r="QP205" s="766"/>
      <c r="QQ205" s="766"/>
      <c r="QR205" s="766"/>
      <c r="QS205" s="766"/>
      <c r="QT205" s="766"/>
      <c r="QU205" s="766"/>
      <c r="QV205" s="766"/>
      <c r="QW205" s="766"/>
      <c r="QX205" s="766"/>
      <c r="QY205" s="766"/>
      <c r="QZ205" s="766"/>
      <c r="RA205" s="766"/>
      <c r="RB205" s="770" t="s">
        <v>1207</v>
      </c>
      <c r="RC205" s="766" t="s">
        <v>13222</v>
      </c>
      <c r="RD205" s="766" t="s">
        <v>12989</v>
      </c>
      <c r="RE205" s="766" t="s">
        <v>12990</v>
      </c>
      <c r="RF205" s="777">
        <v>1.5</v>
      </c>
      <c r="RG205" s="766" t="s">
        <v>13000</v>
      </c>
      <c r="RH205" s="775"/>
      <c r="RI205" s="766">
        <v>72</v>
      </c>
      <c r="RJ205" s="766" t="s">
        <v>13281</v>
      </c>
      <c r="RK205" s="766" t="s">
        <v>13146</v>
      </c>
      <c r="RL205" s="1683"/>
      <c r="RM205" s="12"/>
      <c r="RN205" s="1711"/>
      <c r="RO205" s="171" t="s">
        <v>352</v>
      </c>
      <c r="RP205" s="11"/>
      <c r="RQ205" s="11"/>
      <c r="RR205" s="19" t="s">
        <v>12448</v>
      </c>
      <c r="RS205" s="1139" t="s">
        <v>12980</v>
      </c>
      <c r="RT205" s="11"/>
      <c r="RU205" s="11"/>
      <c r="RV205" s="766" t="s">
        <v>12448</v>
      </c>
      <c r="RW205" s="11" t="s">
        <v>7585</v>
      </c>
      <c r="RX205" s="11" t="s">
        <v>349</v>
      </c>
      <c r="RY205" s="11"/>
      <c r="RZ205" s="11" t="s">
        <v>7421</v>
      </c>
      <c r="SA205" s="766"/>
      <c r="SB205" s="11"/>
      <c r="SC205" s="11"/>
    </row>
    <row r="206" spans="1:497" ht="12.75" customHeight="1">
      <c r="A206" s="767" t="s">
        <v>7421</v>
      </c>
      <c r="B206" s="288" t="s">
        <v>7539</v>
      </c>
      <c r="C206" s="171" t="s">
        <v>358</v>
      </c>
      <c r="D206" s="14" t="s">
        <v>359</v>
      </c>
      <c r="E206" s="766" t="s">
        <v>5435</v>
      </c>
      <c r="F206" s="766" t="s">
        <v>28</v>
      </c>
      <c r="G206" s="766" t="s">
        <v>10</v>
      </c>
      <c r="H206" s="766"/>
      <c r="I206" s="5" t="s">
        <v>360</v>
      </c>
      <c r="J206" s="766" t="s">
        <v>361</v>
      </c>
      <c r="K206" s="766" t="s">
        <v>355</v>
      </c>
      <c r="L206" s="766" t="s">
        <v>356</v>
      </c>
      <c r="M206" s="766"/>
      <c r="N206" s="766"/>
      <c r="O206" s="766" t="s">
        <v>362</v>
      </c>
      <c r="P206" s="14" t="s">
        <v>359</v>
      </c>
      <c r="Q206" s="1085">
        <v>30460</v>
      </c>
      <c r="R206" s="25">
        <v>33</v>
      </c>
      <c r="S206" s="770" t="s">
        <v>10</v>
      </c>
      <c r="T206" s="766"/>
      <c r="U206" s="26" t="s">
        <v>360</v>
      </c>
      <c r="V206" s="766" t="s">
        <v>722</v>
      </c>
      <c r="W206" s="766"/>
      <c r="X206" s="766"/>
      <c r="Y206" s="766" t="s">
        <v>900</v>
      </c>
      <c r="Z206" s="766" t="s">
        <v>708</v>
      </c>
      <c r="AA206" s="766" t="s">
        <v>901</v>
      </c>
      <c r="AB206" s="766" t="s">
        <v>744</v>
      </c>
      <c r="AC206" s="766" t="s">
        <v>724</v>
      </c>
      <c r="AD206" s="766"/>
      <c r="AE206" s="766"/>
      <c r="AF206" s="766" t="s">
        <v>902</v>
      </c>
      <c r="AG206" s="766" t="s">
        <v>1095</v>
      </c>
      <c r="AH206" s="766" t="s">
        <v>1096</v>
      </c>
      <c r="AI206" s="766"/>
      <c r="AJ206" s="766"/>
      <c r="AK206" s="766" t="s">
        <v>1101</v>
      </c>
      <c r="AL206" s="333"/>
      <c r="AM206" s="334"/>
      <c r="AN206" s="774"/>
      <c r="AO206" s="766" t="s">
        <v>1113</v>
      </c>
      <c r="AP206" s="766"/>
      <c r="AQ206" s="766"/>
      <c r="AR206" s="766"/>
      <c r="AS206" s="766"/>
      <c r="AT206" s="766"/>
      <c r="AU206" s="766"/>
      <c r="AV206" s="766"/>
      <c r="AW206" s="766"/>
      <c r="AX206" s="13"/>
      <c r="AY206" s="766"/>
      <c r="AZ206" s="766"/>
      <c r="BA206" s="766"/>
      <c r="BB206" s="766"/>
      <c r="BC206" s="766"/>
      <c r="BD206" s="766"/>
      <c r="BE206" s="766"/>
      <c r="BF206" s="775"/>
      <c r="BG206" s="775"/>
      <c r="BH206" s="766"/>
      <c r="BI206" s="766"/>
      <c r="BJ206" s="766"/>
      <c r="BK206" s="766" t="s">
        <v>1095</v>
      </c>
      <c r="BL206" s="766" t="s">
        <v>1328</v>
      </c>
      <c r="BM206" s="766" t="s">
        <v>1096</v>
      </c>
      <c r="BN206" s="766" t="s">
        <v>1230</v>
      </c>
      <c r="BO206" s="766" t="s">
        <v>1239</v>
      </c>
      <c r="BP206" s="1109">
        <v>17.5</v>
      </c>
      <c r="BQ206" s="772">
        <v>17.5</v>
      </c>
      <c r="BR206" s="774">
        <f t="shared" ref="BR206:BR211" si="59">BQ206/BP206</f>
        <v>1</v>
      </c>
      <c r="BS206" s="766" t="s">
        <v>1257</v>
      </c>
      <c r="BT206" s="766" t="s">
        <v>8133</v>
      </c>
      <c r="BU206" s="766" t="s">
        <v>1249</v>
      </c>
      <c r="BV206" s="766" t="s">
        <v>1247</v>
      </c>
      <c r="BW206" s="766">
        <v>2006</v>
      </c>
      <c r="BX206" s="779">
        <v>20000</v>
      </c>
      <c r="BY206" s="766" t="s">
        <v>1207</v>
      </c>
      <c r="BZ206" s="775">
        <v>50000</v>
      </c>
      <c r="CA206" s="766"/>
      <c r="CB206" s="766"/>
      <c r="CC206" s="766"/>
      <c r="CD206" s="766"/>
      <c r="CE206" s="766"/>
      <c r="CF206" s="777"/>
      <c r="CG206" s="778"/>
      <c r="CH206" s="766"/>
      <c r="CI206" s="766"/>
      <c r="CJ206" s="766"/>
      <c r="CK206" s="766"/>
      <c r="CL206" s="766"/>
      <c r="CM206" s="766"/>
      <c r="CN206" s="766"/>
      <c r="CO206" s="766"/>
      <c r="CP206" s="766"/>
      <c r="CQ206" s="766"/>
      <c r="CR206" s="775"/>
      <c r="CS206" s="766"/>
      <c r="CT206" s="766"/>
      <c r="CU206" s="129"/>
      <c r="CV206" s="766"/>
      <c r="CW206" s="766"/>
      <c r="CX206" s="766"/>
      <c r="CY206" s="766"/>
      <c r="CZ206" s="766"/>
      <c r="DA206" s="766"/>
      <c r="DB206" s="766"/>
      <c r="DC206" s="766"/>
      <c r="DD206" s="766"/>
      <c r="DE206" s="766"/>
      <c r="DF206" s="766"/>
      <c r="DG206" s="766"/>
      <c r="DH206" s="766"/>
      <c r="DI206" s="766"/>
      <c r="DJ206" s="766"/>
      <c r="DK206" s="766"/>
      <c r="DL206" s="766"/>
      <c r="DM206" s="766"/>
      <c r="DN206" s="766"/>
      <c r="DO206" s="766"/>
      <c r="DP206" s="766"/>
      <c r="DQ206" s="766"/>
      <c r="DR206" s="766"/>
      <c r="DS206" s="59"/>
      <c r="DT206" s="766"/>
      <c r="DU206" s="766"/>
      <c r="DV206" s="766"/>
      <c r="DW206" s="66"/>
      <c r="DX206" s="66"/>
      <c r="DY206" s="766"/>
      <c r="DZ206" s="766"/>
      <c r="EA206" s="766"/>
      <c r="EB206" s="766"/>
      <c r="EC206" s="766"/>
      <c r="ED206" s="766"/>
      <c r="EE206" s="766"/>
      <c r="EF206" s="766"/>
      <c r="EG206" s="766"/>
      <c r="EH206" s="766"/>
      <c r="EI206" s="766"/>
      <c r="EJ206" s="766"/>
      <c r="EK206" s="766"/>
      <c r="EL206" s="766"/>
      <c r="EM206" s="766"/>
      <c r="EN206" s="766"/>
      <c r="EO206" s="766"/>
      <c r="EP206" s="766"/>
      <c r="EQ206" s="766"/>
      <c r="ER206" s="766"/>
      <c r="ES206" s="766"/>
      <c r="ET206" s="766"/>
      <c r="EU206" s="766"/>
      <c r="EV206" s="766"/>
      <c r="EW206" s="766"/>
      <c r="EX206" s="766"/>
      <c r="EY206" s="766"/>
      <c r="EZ206" s="766"/>
      <c r="FA206" s="766"/>
      <c r="FB206" s="766"/>
      <c r="FC206" s="766"/>
      <c r="FD206" s="775"/>
      <c r="FE206" s="766"/>
      <c r="FF206" s="766"/>
      <c r="FG206" s="766"/>
      <c r="FH206" s="766" t="s">
        <v>478</v>
      </c>
      <c r="FI206" s="766">
        <v>1</v>
      </c>
      <c r="FJ206" s="766" t="s">
        <v>1630</v>
      </c>
      <c r="FK206" s="766"/>
      <c r="FL206" s="766"/>
      <c r="FM206" s="775"/>
      <c r="FN206" s="775"/>
      <c r="FO206" s="775"/>
      <c r="FP206" s="766" t="s">
        <v>1602</v>
      </c>
      <c r="FQ206" s="766" t="s">
        <v>1660</v>
      </c>
      <c r="FR206" s="766"/>
      <c r="FS206" s="766" t="s">
        <v>1208</v>
      </c>
      <c r="FT206" s="766"/>
      <c r="FU206" s="766"/>
      <c r="FV206" s="766"/>
      <c r="FW206" s="766"/>
      <c r="FX206" s="766"/>
      <c r="FY206" s="766"/>
      <c r="FZ206" s="766"/>
      <c r="GA206" s="766"/>
      <c r="GB206" s="766"/>
      <c r="GC206" s="75"/>
      <c r="GD206" s="25"/>
      <c r="GE206" s="766"/>
      <c r="GF206" s="775"/>
      <c r="GG206" s="775"/>
      <c r="GH206" s="712" t="s">
        <v>14260</v>
      </c>
      <c r="GI206" s="766"/>
      <c r="GJ206" s="766"/>
      <c r="GK206" s="766"/>
      <c r="GL206" s="766"/>
      <c r="GM206" s="766"/>
      <c r="GN206" s="82"/>
      <c r="GO206" s="766"/>
      <c r="GP206" s="766"/>
      <c r="GQ206" s="766"/>
      <c r="GR206" s="766"/>
      <c r="GS206" s="766"/>
      <c r="GT206" s="766"/>
      <c r="GU206" s="766"/>
      <c r="GV206" s="766"/>
      <c r="GW206" s="766"/>
      <c r="GX206" s="766"/>
      <c r="GY206" s="766"/>
      <c r="GZ206" s="766"/>
      <c r="HA206" s="766"/>
      <c r="HB206" s="766"/>
      <c r="HC206" s="766"/>
      <c r="HD206" s="766"/>
      <c r="HE206" s="766"/>
      <c r="HF206" s="766"/>
      <c r="HG206" s="766"/>
      <c r="HH206" s="766"/>
      <c r="HI206" s="766"/>
      <c r="HJ206" s="766"/>
      <c r="HK206" s="766"/>
      <c r="HL206" s="766"/>
      <c r="HM206" s="766"/>
      <c r="HN206" s="766"/>
      <c r="HO206" s="766"/>
      <c r="HP206" s="766"/>
      <c r="HQ206" s="766"/>
      <c r="HR206" s="766"/>
      <c r="HS206" s="766"/>
      <c r="HT206" s="766"/>
      <c r="HU206" s="766"/>
      <c r="HV206" s="766"/>
      <c r="HW206" s="766"/>
      <c r="HX206" s="766"/>
      <c r="HY206" s="766"/>
      <c r="HZ206" s="766"/>
      <c r="IA206" s="766"/>
      <c r="IB206" s="14" t="e">
        <f>IF(#REF!&gt;0,IF(#REF!&lt;=10000,"Y",""),"")</f>
        <v>#REF!</v>
      </c>
      <c r="IC206" s="766"/>
      <c r="ID206" s="766">
        <v>1</v>
      </c>
      <c r="IE206" s="766"/>
      <c r="IF206" s="766"/>
      <c r="IG206" s="766"/>
      <c r="IH206" s="766"/>
      <c r="II206" s="766"/>
      <c r="IJ206" s="766"/>
      <c r="IK206" s="766"/>
      <c r="IL206" s="766"/>
      <c r="IM206" s="766"/>
      <c r="IN206" s="766"/>
      <c r="IO206" s="24"/>
      <c r="IP206" s="766"/>
      <c r="IQ206" s="766"/>
      <c r="IR206" s="766"/>
      <c r="IS206" s="766"/>
      <c r="IT206" s="766"/>
      <c r="IU206" s="766"/>
      <c r="IV206" s="766"/>
      <c r="IW206" s="766"/>
      <c r="IX206" s="766"/>
      <c r="IY206" s="766"/>
      <c r="IZ206" s="766"/>
      <c r="JA206" s="766"/>
      <c r="JB206" s="766"/>
      <c r="JC206" s="766"/>
      <c r="JD206" s="775"/>
      <c r="JE206" s="766"/>
      <c r="JF206" s="766"/>
      <c r="JG206" s="766"/>
      <c r="JH206" s="766"/>
      <c r="JI206" s="766"/>
      <c r="JJ206" s="766">
        <v>9</v>
      </c>
      <c r="JK206" s="1139" t="s">
        <v>2080</v>
      </c>
      <c r="JL206" s="766"/>
      <c r="JM206" s="766"/>
      <c r="JN206" s="766">
        <v>6</v>
      </c>
      <c r="JO206" s="766">
        <v>3</v>
      </c>
      <c r="JP206" s="766"/>
      <c r="JQ206" s="766"/>
      <c r="JR206" s="766"/>
      <c r="JS206" s="766"/>
      <c r="JT206" s="766">
        <f t="shared" si="51"/>
        <v>6</v>
      </c>
      <c r="JU206" s="766">
        <f t="shared" si="51"/>
        <v>3</v>
      </c>
      <c r="JV206" s="712" t="str">
        <f t="shared" si="52"/>
        <v>ok</v>
      </c>
      <c r="JW206" s="712" t="str">
        <f t="shared" si="53"/>
        <v>ok</v>
      </c>
      <c r="JX206" s="766"/>
      <c r="JY206" s="766"/>
      <c r="JZ206" s="766"/>
      <c r="KA206" s="766"/>
      <c r="KB206" s="766">
        <v>3</v>
      </c>
      <c r="KC206" s="766">
        <v>2</v>
      </c>
      <c r="KD206" s="766">
        <v>2</v>
      </c>
      <c r="KE206" s="766">
        <v>1</v>
      </c>
      <c r="KF206" s="766">
        <v>1</v>
      </c>
      <c r="KG206" s="766"/>
      <c r="KH206" s="766"/>
      <c r="KI206" s="766"/>
      <c r="KJ206" s="770">
        <f t="shared" si="58"/>
        <v>6</v>
      </c>
      <c r="KK206" s="770">
        <f t="shared" si="58"/>
        <v>3</v>
      </c>
      <c r="KL206" s="712" t="str">
        <f t="shared" si="54"/>
        <v>ok</v>
      </c>
      <c r="KM206" s="712" t="str">
        <f t="shared" si="55"/>
        <v>ok</v>
      </c>
      <c r="KN206" s="766" t="s">
        <v>722</v>
      </c>
      <c r="KO206" s="766"/>
      <c r="KP206" s="766"/>
      <c r="KQ206" s="766"/>
      <c r="KR206" s="766"/>
      <c r="KS206" s="766"/>
      <c r="KT206" s="766"/>
      <c r="KU206" s="766"/>
      <c r="KV206" s="766"/>
      <c r="KW206" s="766">
        <v>1</v>
      </c>
      <c r="KX206" s="766"/>
      <c r="KY206" s="766"/>
      <c r="KZ206" s="766">
        <v>6</v>
      </c>
      <c r="LA206" s="766">
        <v>1</v>
      </c>
      <c r="LB206" s="766"/>
      <c r="LC206" s="766"/>
      <c r="LD206" s="766"/>
      <c r="LE206" s="766">
        <v>1</v>
      </c>
      <c r="LF206" s="766"/>
      <c r="LG206" s="766"/>
      <c r="LH206" s="766"/>
      <c r="LI206" s="766"/>
      <c r="LJ206" s="766"/>
      <c r="LK206" s="766"/>
      <c r="LL206" s="766"/>
      <c r="LM206" s="766"/>
      <c r="LN206" s="766">
        <f t="shared" si="47"/>
        <v>6</v>
      </c>
      <c r="LO206" s="766">
        <f t="shared" si="47"/>
        <v>3</v>
      </c>
      <c r="LP206" s="766">
        <v>1</v>
      </c>
      <c r="LQ206" s="766">
        <v>1</v>
      </c>
      <c r="LR206" s="766"/>
      <c r="LS206" s="766"/>
      <c r="LT206" s="712" t="str">
        <f t="shared" si="56"/>
        <v>OK</v>
      </c>
      <c r="LU206" s="766"/>
      <c r="LV206" s="766">
        <v>1</v>
      </c>
      <c r="LW206" s="766"/>
      <c r="LX206" s="769">
        <v>2</v>
      </c>
      <c r="LY206" s="766" t="str">
        <f t="shared" si="50"/>
        <v>within the MUNICIPALITY</v>
      </c>
      <c r="LZ206" s="66">
        <v>120</v>
      </c>
      <c r="MA206" s="766"/>
      <c r="MB206" s="766"/>
      <c r="MC206" s="1679">
        <f t="shared" si="41"/>
        <v>120</v>
      </c>
      <c r="MD206" s="66">
        <v>18000</v>
      </c>
      <c r="ME206" s="66"/>
      <c r="MF206" s="66"/>
      <c r="MG206" s="1680">
        <f t="shared" si="57"/>
        <v>18000</v>
      </c>
      <c r="MH206" s="766"/>
      <c r="MI206" s="775">
        <v>14500</v>
      </c>
      <c r="MJ206" s="775">
        <v>3650</v>
      </c>
      <c r="MK206" s="775">
        <v>1250</v>
      </c>
      <c r="ML206" s="775">
        <v>250</v>
      </c>
      <c r="MM206" s="775"/>
      <c r="MN206" s="775"/>
      <c r="MO206" s="775">
        <v>500</v>
      </c>
      <c r="MP206" s="775">
        <v>1800</v>
      </c>
      <c r="MQ206" s="775">
        <v>500</v>
      </c>
      <c r="MR206" s="775">
        <v>3000</v>
      </c>
      <c r="MS206" s="775">
        <v>10000</v>
      </c>
      <c r="MT206" s="775"/>
      <c r="MU206" s="775"/>
      <c r="MV206" s="775"/>
      <c r="MW206" s="775"/>
      <c r="MX206" s="775"/>
      <c r="MY206" s="1682">
        <f t="shared" si="49"/>
        <v>35450</v>
      </c>
      <c r="MZ206" s="766" t="s">
        <v>13164</v>
      </c>
      <c r="NA206" s="766" t="s">
        <v>13005</v>
      </c>
      <c r="NB206" s="766" t="s">
        <v>13282</v>
      </c>
      <c r="NC206" s="766" t="s">
        <v>13007</v>
      </c>
      <c r="ND206" s="766">
        <v>0</v>
      </c>
      <c r="NE206" s="766">
        <v>0</v>
      </c>
      <c r="NF206" s="766">
        <v>0</v>
      </c>
      <c r="NG206" s="766">
        <v>1</v>
      </c>
      <c r="NH206" s="766">
        <v>1</v>
      </c>
      <c r="NI206" s="766">
        <v>1</v>
      </c>
      <c r="NJ206" s="766">
        <v>1</v>
      </c>
      <c r="NK206" s="766">
        <v>0</v>
      </c>
      <c r="NL206" s="766">
        <v>0</v>
      </c>
      <c r="NM206" s="766">
        <v>1</v>
      </c>
      <c r="NN206" s="766">
        <v>0</v>
      </c>
      <c r="NO206" s="766">
        <v>0</v>
      </c>
      <c r="NP206" s="766">
        <v>0</v>
      </c>
      <c r="NQ206" s="766">
        <v>1</v>
      </c>
      <c r="NR206" s="766">
        <v>0</v>
      </c>
      <c r="NS206" s="766">
        <v>0</v>
      </c>
      <c r="NT206" s="766">
        <v>0</v>
      </c>
      <c r="NU206" s="766">
        <v>0</v>
      </c>
      <c r="NV206" s="766">
        <v>0</v>
      </c>
      <c r="NW206" s="766">
        <v>0</v>
      </c>
      <c r="NX206" s="766">
        <v>0</v>
      </c>
      <c r="NY206" s="766" t="s">
        <v>1208</v>
      </c>
      <c r="NZ206" s="766"/>
      <c r="OA206" s="766"/>
      <c r="OB206" s="766" t="s">
        <v>1208</v>
      </c>
      <c r="OC206" s="766" t="s">
        <v>1208</v>
      </c>
      <c r="OD206" s="766"/>
      <c r="OE206" s="766"/>
      <c r="OF206" s="766" t="s">
        <v>2142</v>
      </c>
      <c r="OG206" s="766"/>
      <c r="OH206" s="766"/>
      <c r="OI206" s="766"/>
      <c r="OJ206" s="766"/>
      <c r="OK206" s="76"/>
      <c r="OL206" s="766" t="s">
        <v>1824</v>
      </c>
      <c r="OM206" s="766" t="s">
        <v>13172</v>
      </c>
      <c r="ON206" s="766"/>
      <c r="OO206" s="766" t="s">
        <v>1214</v>
      </c>
      <c r="OP206" s="766"/>
      <c r="OQ206" s="766"/>
      <c r="OR206" s="766"/>
      <c r="OS206" s="766"/>
      <c r="OT206" s="766"/>
      <c r="OU206" s="766"/>
      <c r="OV206" s="766"/>
      <c r="OW206" s="766"/>
      <c r="OX206" s="766"/>
      <c r="OY206" s="766"/>
      <c r="OZ206" s="766"/>
      <c r="PA206" s="766"/>
      <c r="PB206" s="766"/>
      <c r="PC206" s="766"/>
      <c r="PD206" s="766"/>
      <c r="PE206" s="766"/>
      <c r="PF206" s="766"/>
      <c r="PG206" s="766"/>
      <c r="PH206" s="766"/>
      <c r="PI206" s="766"/>
      <c r="PJ206" s="766"/>
      <c r="PK206" s="766"/>
      <c r="PL206" s="766"/>
      <c r="PM206" s="766"/>
      <c r="PN206" s="766"/>
      <c r="PO206" s="766"/>
      <c r="PP206" s="766"/>
      <c r="PQ206" s="766"/>
      <c r="PR206" s="766"/>
      <c r="PS206" s="766"/>
      <c r="PT206" s="766"/>
      <c r="PU206" s="766"/>
      <c r="PV206" s="766"/>
      <c r="PW206" s="766"/>
      <c r="PX206" s="766"/>
      <c r="PY206" s="766"/>
      <c r="PZ206" s="766"/>
      <c r="QA206" s="766"/>
      <c r="QB206" s="766"/>
      <c r="QC206" s="766"/>
      <c r="QD206" s="766"/>
      <c r="QE206" s="766"/>
      <c r="QF206" s="766"/>
      <c r="QG206" s="766"/>
      <c r="QH206" s="766"/>
      <c r="QI206" s="766"/>
      <c r="QJ206" s="766"/>
      <c r="QK206" s="766"/>
      <c r="QL206" s="766"/>
      <c r="QM206" s="766"/>
      <c r="QN206" s="766"/>
      <c r="QO206" s="766"/>
      <c r="QP206" s="766"/>
      <c r="QQ206" s="766"/>
      <c r="QR206" s="766"/>
      <c r="QS206" s="766"/>
      <c r="QT206" s="766"/>
      <c r="QU206" s="766"/>
      <c r="QV206" s="766"/>
      <c r="QW206" s="766"/>
      <c r="QX206" s="766"/>
      <c r="QY206" s="766"/>
      <c r="QZ206" s="766"/>
      <c r="RA206" s="766"/>
      <c r="RB206" s="770" t="s">
        <v>1207</v>
      </c>
      <c r="RC206" s="766"/>
      <c r="RD206" s="766"/>
      <c r="RE206" s="766" t="s">
        <v>12990</v>
      </c>
      <c r="RF206" s="777">
        <f>CONVERT(2,"ft","m")</f>
        <v>0.60960000000000003</v>
      </c>
      <c r="RG206" s="766" t="s">
        <v>12991</v>
      </c>
      <c r="RH206" s="775">
        <v>0</v>
      </c>
      <c r="RI206" s="766">
        <v>24</v>
      </c>
      <c r="RJ206" s="766" t="s">
        <v>1630</v>
      </c>
      <c r="RK206" s="766" t="s">
        <v>13146</v>
      </c>
      <c r="RL206" s="1683"/>
      <c r="RM206" s="12"/>
      <c r="RN206" s="1711"/>
      <c r="RO206" s="171" t="s">
        <v>358</v>
      </c>
      <c r="RP206" s="11"/>
      <c r="RQ206" s="11"/>
      <c r="RR206" s="19" t="s">
        <v>7421</v>
      </c>
      <c r="RS206" s="1139" t="s">
        <v>12980</v>
      </c>
      <c r="RT206" s="11"/>
      <c r="RU206" s="11"/>
      <c r="RV206" s="766" t="s">
        <v>12448</v>
      </c>
      <c r="RW206" s="11" t="s">
        <v>7586</v>
      </c>
      <c r="RX206" s="11" t="s">
        <v>351</v>
      </c>
      <c r="RY206" s="11"/>
      <c r="RZ206" s="11" t="s">
        <v>7421</v>
      </c>
      <c r="SA206" s="766"/>
      <c r="SB206" s="11"/>
      <c r="SC206" s="11"/>
    </row>
    <row r="207" spans="1:497" ht="12.75" customHeight="1">
      <c r="A207" s="767" t="s">
        <v>7421</v>
      </c>
      <c r="B207" s="288" t="s">
        <v>7540</v>
      </c>
      <c r="C207" s="171" t="s">
        <v>363</v>
      </c>
      <c r="D207" s="14" t="s">
        <v>364</v>
      </c>
      <c r="E207" s="766" t="s">
        <v>5438</v>
      </c>
      <c r="F207" s="766" t="s">
        <v>28</v>
      </c>
      <c r="G207" s="766" t="s">
        <v>10</v>
      </c>
      <c r="H207" s="766"/>
      <c r="I207" s="5" t="s">
        <v>365</v>
      </c>
      <c r="J207" s="14" t="s">
        <v>364</v>
      </c>
      <c r="K207" s="766" t="s">
        <v>355</v>
      </c>
      <c r="L207" s="766" t="s">
        <v>356</v>
      </c>
      <c r="M207" s="766"/>
      <c r="N207" s="766"/>
      <c r="O207" s="766" t="s">
        <v>362</v>
      </c>
      <c r="P207" s="14" t="s">
        <v>903</v>
      </c>
      <c r="Q207" s="1085">
        <v>31368</v>
      </c>
      <c r="R207" s="25">
        <v>31</v>
      </c>
      <c r="S207" s="770" t="s">
        <v>10</v>
      </c>
      <c r="T207" s="766"/>
      <c r="U207" s="26" t="s">
        <v>365</v>
      </c>
      <c r="V207" s="766" t="s">
        <v>707</v>
      </c>
      <c r="W207" s="766"/>
      <c r="X207" s="766"/>
      <c r="Y207" s="766" t="s">
        <v>904</v>
      </c>
      <c r="Z207" s="766" t="s">
        <v>708</v>
      </c>
      <c r="AA207" s="766" t="s">
        <v>709</v>
      </c>
      <c r="AB207" s="766" t="s">
        <v>744</v>
      </c>
      <c r="AC207" s="766"/>
      <c r="AD207" s="766"/>
      <c r="AE207" s="766" t="s">
        <v>853</v>
      </c>
      <c r="AF207" s="766"/>
      <c r="AG207" s="766"/>
      <c r="AH207" s="766"/>
      <c r="AI207" s="766"/>
      <c r="AJ207" s="766"/>
      <c r="AK207" s="766" t="s">
        <v>1101</v>
      </c>
      <c r="AL207" s="333"/>
      <c r="AM207" s="772">
        <f>1.3*5.7</f>
        <v>7.41</v>
      </c>
      <c r="AN207" s="774"/>
      <c r="AO207" s="766" t="s">
        <v>1113</v>
      </c>
      <c r="AP207" s="766"/>
      <c r="AQ207" s="766"/>
      <c r="AR207" s="766"/>
      <c r="AS207" s="766"/>
      <c r="AT207" s="766"/>
      <c r="AU207" s="766"/>
      <c r="AV207" s="766"/>
      <c r="AW207" s="766"/>
      <c r="AX207" s="13"/>
      <c r="AY207" s="766"/>
      <c r="AZ207" s="766"/>
      <c r="BA207" s="766"/>
      <c r="BB207" s="766"/>
      <c r="BC207" s="766"/>
      <c r="BD207" s="766"/>
      <c r="BE207" s="766"/>
      <c r="BF207" s="775"/>
      <c r="BG207" s="775"/>
      <c r="BH207" s="766"/>
      <c r="BI207" s="766"/>
      <c r="BJ207" s="766"/>
      <c r="BK207" s="766" t="s">
        <v>1095</v>
      </c>
      <c r="BL207" s="766" t="s">
        <v>1329</v>
      </c>
      <c r="BM207" s="766" t="s">
        <v>1096</v>
      </c>
      <c r="BN207" s="766" t="s">
        <v>1230</v>
      </c>
      <c r="BO207" s="766" t="s">
        <v>1239</v>
      </c>
      <c r="BP207" s="1109">
        <v>46</v>
      </c>
      <c r="BQ207" s="772">
        <v>17.100000000000001</v>
      </c>
      <c r="BR207" s="774">
        <f t="shared" si="59"/>
        <v>0.37173913043478263</v>
      </c>
      <c r="BS207" s="766" t="s">
        <v>1105</v>
      </c>
      <c r="BT207" s="766" t="s">
        <v>8133</v>
      </c>
      <c r="BU207" s="766" t="s">
        <v>1249</v>
      </c>
      <c r="BV207" s="766" t="s">
        <v>1247</v>
      </c>
      <c r="BW207" s="766">
        <v>2016</v>
      </c>
      <c r="BX207" s="779">
        <v>50000</v>
      </c>
      <c r="BY207" s="766"/>
      <c r="BZ207" s="775"/>
      <c r="CA207" s="766"/>
      <c r="CB207" s="766"/>
      <c r="CC207" s="766"/>
      <c r="CD207" s="766"/>
      <c r="CE207" s="766"/>
      <c r="CF207" s="777"/>
      <c r="CG207" s="778"/>
      <c r="CH207" s="766"/>
      <c r="CI207" s="766"/>
      <c r="CJ207" s="766"/>
      <c r="CK207" s="766"/>
      <c r="CL207" s="766"/>
      <c r="CM207" s="766"/>
      <c r="CN207" s="766"/>
      <c r="CO207" s="766"/>
      <c r="CP207" s="766"/>
      <c r="CQ207" s="766"/>
      <c r="CR207" s="775"/>
      <c r="CS207" s="766"/>
      <c r="CT207" s="766"/>
      <c r="CU207" s="129"/>
      <c r="CV207" s="766"/>
      <c r="CW207" s="766"/>
      <c r="CX207" s="766"/>
      <c r="CY207" s="766"/>
      <c r="CZ207" s="766"/>
      <c r="DA207" s="766"/>
      <c r="DB207" s="766"/>
      <c r="DC207" s="766"/>
      <c r="DD207" s="766"/>
      <c r="DE207" s="766"/>
      <c r="DF207" s="766"/>
      <c r="DG207" s="766"/>
      <c r="DH207" s="766"/>
      <c r="DI207" s="766"/>
      <c r="DJ207" s="766"/>
      <c r="DK207" s="766"/>
      <c r="DL207" s="766"/>
      <c r="DM207" s="766"/>
      <c r="DN207" s="766"/>
      <c r="DO207" s="766"/>
      <c r="DP207" s="766"/>
      <c r="DQ207" s="766"/>
      <c r="DR207" s="766"/>
      <c r="DS207" s="59"/>
      <c r="DT207" s="766"/>
      <c r="DU207" s="766"/>
      <c r="DV207" s="766"/>
      <c r="DW207" s="66"/>
      <c r="DX207" s="66"/>
      <c r="DY207" s="766"/>
      <c r="DZ207" s="766"/>
      <c r="EA207" s="766"/>
      <c r="EB207" s="766"/>
      <c r="EC207" s="766"/>
      <c r="ED207" s="766"/>
      <c r="EE207" s="766"/>
      <c r="EF207" s="766"/>
      <c r="EG207" s="766"/>
      <c r="EH207" s="766"/>
      <c r="EI207" s="766"/>
      <c r="EJ207" s="766"/>
      <c r="EK207" s="766"/>
      <c r="EL207" s="766"/>
      <c r="EM207" s="766"/>
      <c r="EN207" s="766"/>
      <c r="EO207" s="766"/>
      <c r="EP207" s="766"/>
      <c r="EQ207" s="766"/>
      <c r="ER207" s="766"/>
      <c r="ES207" s="766"/>
      <c r="ET207" s="766"/>
      <c r="EU207" s="766"/>
      <c r="EV207" s="766"/>
      <c r="EW207" s="766"/>
      <c r="EX207" s="766"/>
      <c r="EY207" s="766"/>
      <c r="EZ207" s="766"/>
      <c r="FA207" s="766"/>
      <c r="FB207" s="766"/>
      <c r="FC207" s="766"/>
      <c r="FD207" s="775"/>
      <c r="FE207" s="766"/>
      <c r="FF207" s="766"/>
      <c r="FG207" s="766"/>
      <c r="FH207" s="766" t="s">
        <v>478</v>
      </c>
      <c r="FI207" s="766">
        <v>1</v>
      </c>
      <c r="FJ207" s="766" t="s">
        <v>1329</v>
      </c>
      <c r="FK207" s="766"/>
      <c r="FL207" s="766"/>
      <c r="FM207" s="775"/>
      <c r="FN207" s="775"/>
      <c r="FO207" s="775"/>
      <c r="FP207" s="766" t="s">
        <v>1602</v>
      </c>
      <c r="FQ207" s="766" t="s">
        <v>1660</v>
      </c>
      <c r="FR207" s="766"/>
      <c r="FS207" s="766"/>
      <c r="FT207" s="766"/>
      <c r="FU207" s="766"/>
      <c r="FV207" s="766"/>
      <c r="FW207" s="766"/>
      <c r="FX207" s="766"/>
      <c r="FY207" s="766"/>
      <c r="FZ207" s="766"/>
      <c r="GA207" s="766"/>
      <c r="GB207" s="766"/>
      <c r="GC207" s="75"/>
      <c r="GD207" s="25"/>
      <c r="GE207" s="766"/>
      <c r="GF207" s="775"/>
      <c r="GG207" s="775"/>
      <c r="GH207" s="712" t="s">
        <v>14260</v>
      </c>
      <c r="GI207" s="766"/>
      <c r="GJ207" s="766"/>
      <c r="GK207" s="766"/>
      <c r="GL207" s="766"/>
      <c r="GM207" s="766"/>
      <c r="GN207" s="82"/>
      <c r="GO207" s="766"/>
      <c r="GP207" s="766"/>
      <c r="GQ207" s="766"/>
      <c r="GR207" s="766"/>
      <c r="GS207" s="766"/>
      <c r="GT207" s="766"/>
      <c r="GU207" s="766"/>
      <c r="GV207" s="766"/>
      <c r="GW207" s="766"/>
      <c r="GX207" s="766"/>
      <c r="GY207" s="766"/>
      <c r="GZ207" s="766"/>
      <c r="HA207" s="766"/>
      <c r="HB207" s="766"/>
      <c r="HC207" s="766"/>
      <c r="HD207" s="766"/>
      <c r="HE207" s="766"/>
      <c r="HF207" s="766"/>
      <c r="HG207" s="766"/>
      <c r="HH207" s="766"/>
      <c r="HI207" s="766"/>
      <c r="HJ207" s="766"/>
      <c r="HK207" s="766"/>
      <c r="HL207" s="766"/>
      <c r="HM207" s="766"/>
      <c r="HN207" s="766"/>
      <c r="HO207" s="766"/>
      <c r="HP207" s="766"/>
      <c r="HQ207" s="766"/>
      <c r="HR207" s="766"/>
      <c r="HS207" s="766"/>
      <c r="HT207" s="766"/>
      <c r="HU207" s="766"/>
      <c r="HV207" s="766"/>
      <c r="HW207" s="766"/>
      <c r="HX207" s="766"/>
      <c r="HY207" s="766"/>
      <c r="HZ207" s="766"/>
      <c r="IA207" s="766"/>
      <c r="IB207" s="14" t="e">
        <f>IF(#REF!&gt;0,IF(#REF!&lt;=10000,"Y",""),"")</f>
        <v>#REF!</v>
      </c>
      <c r="IC207" s="766"/>
      <c r="ID207" s="766"/>
      <c r="IE207" s="766"/>
      <c r="IF207" s="766"/>
      <c r="IG207" s="766"/>
      <c r="IH207" s="766"/>
      <c r="II207" s="766"/>
      <c r="IJ207" s="766"/>
      <c r="IK207" s="766"/>
      <c r="IL207" s="766"/>
      <c r="IM207" s="766"/>
      <c r="IN207" s="766"/>
      <c r="IO207" s="24"/>
      <c r="IP207" s="766"/>
      <c r="IQ207" s="766"/>
      <c r="IR207" s="766"/>
      <c r="IS207" s="766"/>
      <c r="IT207" s="766"/>
      <c r="IU207" s="766"/>
      <c r="IV207" s="766"/>
      <c r="IW207" s="766"/>
      <c r="IX207" s="766"/>
      <c r="IY207" s="766"/>
      <c r="IZ207" s="766"/>
      <c r="JA207" s="766"/>
      <c r="JB207" s="766"/>
      <c r="JC207" s="766"/>
      <c r="JD207" s="775"/>
      <c r="JE207" s="766"/>
      <c r="JF207" s="766"/>
      <c r="JG207" s="766"/>
      <c r="JH207" s="766"/>
      <c r="JI207" s="712" t="str">
        <f>IF(SUM(JT207,JU207)=JJ207,"ok","review")</f>
        <v>ok</v>
      </c>
      <c r="JJ207" s="766">
        <v>4</v>
      </c>
      <c r="JK207" s="1139" t="s">
        <v>1329</v>
      </c>
      <c r="JL207" s="766"/>
      <c r="JM207" s="766">
        <v>2</v>
      </c>
      <c r="JN207" s="766">
        <v>1</v>
      </c>
      <c r="JO207" s="766">
        <v>1</v>
      </c>
      <c r="JP207" s="766"/>
      <c r="JQ207" s="766"/>
      <c r="JR207" s="766"/>
      <c r="JS207" s="766"/>
      <c r="JT207" s="766">
        <f t="shared" si="51"/>
        <v>1</v>
      </c>
      <c r="JU207" s="766">
        <f t="shared" si="51"/>
        <v>3</v>
      </c>
      <c r="JV207" s="712" t="str">
        <f t="shared" si="52"/>
        <v>ok</v>
      </c>
      <c r="JW207" s="712" t="str">
        <f t="shared" si="53"/>
        <v>ok</v>
      </c>
      <c r="JX207" s="766"/>
      <c r="JY207" s="766">
        <v>1</v>
      </c>
      <c r="JZ207" s="766"/>
      <c r="KA207" s="766">
        <v>1</v>
      </c>
      <c r="KB207" s="766"/>
      <c r="KC207" s="766"/>
      <c r="KD207" s="766">
        <v>1</v>
      </c>
      <c r="KE207" s="766">
        <v>1</v>
      </c>
      <c r="KF207" s="766"/>
      <c r="KG207" s="766"/>
      <c r="KH207" s="766"/>
      <c r="KI207" s="766"/>
      <c r="KJ207" s="770">
        <f t="shared" si="58"/>
        <v>1</v>
      </c>
      <c r="KK207" s="770">
        <f t="shared" si="58"/>
        <v>3</v>
      </c>
      <c r="KL207" s="712" t="str">
        <f t="shared" si="54"/>
        <v>ok</v>
      </c>
      <c r="KM207" s="712" t="str">
        <f t="shared" si="55"/>
        <v>ok</v>
      </c>
      <c r="KN207" s="766" t="s">
        <v>707</v>
      </c>
      <c r="KO207" s="766"/>
      <c r="KP207" s="766"/>
      <c r="KQ207" s="766"/>
      <c r="KR207" s="766"/>
      <c r="KS207" s="766"/>
      <c r="KT207" s="766"/>
      <c r="KU207" s="766">
        <v>1</v>
      </c>
      <c r="KV207" s="766"/>
      <c r="KW207" s="766"/>
      <c r="KX207" s="766"/>
      <c r="KY207" s="766"/>
      <c r="KZ207" s="766"/>
      <c r="LA207" s="766">
        <v>1</v>
      </c>
      <c r="LB207" s="766"/>
      <c r="LC207" s="766"/>
      <c r="LD207" s="766"/>
      <c r="LE207" s="766"/>
      <c r="LF207" s="766"/>
      <c r="LG207" s="766"/>
      <c r="LH207" s="766">
        <v>1</v>
      </c>
      <c r="LI207" s="766"/>
      <c r="LJ207" s="766"/>
      <c r="LK207" s="766">
        <v>1</v>
      </c>
      <c r="LL207" s="766"/>
      <c r="LM207" s="766"/>
      <c r="LN207" s="766">
        <f t="shared" si="47"/>
        <v>1</v>
      </c>
      <c r="LO207" s="766">
        <f t="shared" si="47"/>
        <v>3</v>
      </c>
      <c r="LP207" s="766">
        <v>1</v>
      </c>
      <c r="LQ207" s="766">
        <v>1</v>
      </c>
      <c r="LR207" s="766"/>
      <c r="LS207" s="766"/>
      <c r="LT207" s="712" t="str">
        <f t="shared" si="56"/>
        <v>OK</v>
      </c>
      <c r="LU207" s="766">
        <v>1</v>
      </c>
      <c r="LV207" s="766"/>
      <c r="LW207" s="766"/>
      <c r="LX207" s="769">
        <v>3</v>
      </c>
      <c r="LY207" s="766" t="str">
        <f t="shared" si="50"/>
        <v>within the PROVINCE</v>
      </c>
      <c r="LZ207" s="66">
        <v>3000</v>
      </c>
      <c r="MA207" s="766"/>
      <c r="MB207" s="766"/>
      <c r="MC207" s="1679">
        <f t="shared" si="41"/>
        <v>3000</v>
      </c>
      <c r="MD207" s="66">
        <v>17000</v>
      </c>
      <c r="ME207" s="66"/>
      <c r="MF207" s="66"/>
      <c r="MG207" s="1680">
        <f t="shared" si="57"/>
        <v>17000</v>
      </c>
      <c r="MH207" s="766"/>
      <c r="MI207" s="775">
        <v>9000</v>
      </c>
      <c r="MJ207" s="775">
        <v>3600</v>
      </c>
      <c r="MK207" s="775">
        <f>QUOTIENT(1500,12)</f>
        <v>125</v>
      </c>
      <c r="ML207" s="775"/>
      <c r="MM207" s="775">
        <v>400</v>
      </c>
      <c r="MN207" s="775"/>
      <c r="MO207" s="775">
        <v>3000</v>
      </c>
      <c r="MP207" s="775">
        <v>1400</v>
      </c>
      <c r="MQ207" s="775">
        <v>450</v>
      </c>
      <c r="MR207" s="775">
        <v>1500</v>
      </c>
      <c r="MS207" s="775">
        <f>QUOTIENT(2000,12)</f>
        <v>166</v>
      </c>
      <c r="MT207" s="775"/>
      <c r="MU207" s="775"/>
      <c r="MV207" s="775">
        <v>2000</v>
      </c>
      <c r="MW207" s="775"/>
      <c r="MX207" s="775"/>
      <c r="MY207" s="1682">
        <f t="shared" si="49"/>
        <v>21641</v>
      </c>
      <c r="MZ207" s="766" t="s">
        <v>13004</v>
      </c>
      <c r="NA207" s="766" t="s">
        <v>13005</v>
      </c>
      <c r="NB207" s="766" t="s">
        <v>13006</v>
      </c>
      <c r="NC207" s="766" t="s">
        <v>13026</v>
      </c>
      <c r="ND207" s="766">
        <v>0</v>
      </c>
      <c r="NE207" s="766">
        <v>0</v>
      </c>
      <c r="NF207" s="766">
        <v>1</v>
      </c>
      <c r="NG207" s="766">
        <v>2</v>
      </c>
      <c r="NH207" s="766">
        <v>1</v>
      </c>
      <c r="NI207" s="766">
        <v>0</v>
      </c>
      <c r="NJ207" s="766">
        <v>0</v>
      </c>
      <c r="NK207" s="766">
        <v>0</v>
      </c>
      <c r="NL207" s="766">
        <v>1</v>
      </c>
      <c r="NM207" s="766">
        <v>0</v>
      </c>
      <c r="NN207" s="766">
        <v>1</v>
      </c>
      <c r="NO207" s="766">
        <v>0</v>
      </c>
      <c r="NP207" s="766">
        <v>0</v>
      </c>
      <c r="NQ207" s="766">
        <v>0</v>
      </c>
      <c r="NR207" s="766">
        <v>0</v>
      </c>
      <c r="NS207" s="766">
        <v>0</v>
      </c>
      <c r="NT207" s="766">
        <v>0</v>
      </c>
      <c r="NU207" s="766">
        <v>0</v>
      </c>
      <c r="NV207" s="766">
        <v>0</v>
      </c>
      <c r="NW207" s="766">
        <v>1</v>
      </c>
      <c r="NX207" s="766">
        <v>0</v>
      </c>
      <c r="NY207" s="766" t="s">
        <v>1208</v>
      </c>
      <c r="NZ207" s="766" t="s">
        <v>1208</v>
      </c>
      <c r="OA207" s="766" t="s">
        <v>1208</v>
      </c>
      <c r="OB207" s="766" t="s">
        <v>1208</v>
      </c>
      <c r="OC207" s="766"/>
      <c r="OD207" s="766"/>
      <c r="OE207" s="766"/>
      <c r="OF207" s="766"/>
      <c r="OG207" s="766"/>
      <c r="OH207" s="766"/>
      <c r="OI207" s="766"/>
      <c r="OJ207" s="766"/>
      <c r="OK207" s="76"/>
      <c r="OL207" s="766"/>
      <c r="OM207" s="766"/>
      <c r="ON207" s="766"/>
      <c r="OO207" s="766"/>
      <c r="OP207" s="766"/>
      <c r="OQ207" s="766"/>
      <c r="OR207" s="766"/>
      <c r="OS207" s="766"/>
      <c r="OT207" s="766"/>
      <c r="OU207" s="766"/>
      <c r="OV207" s="766"/>
      <c r="OW207" s="766"/>
      <c r="OX207" s="766"/>
      <c r="OY207" s="766"/>
      <c r="OZ207" s="766"/>
      <c r="PA207" s="766"/>
      <c r="PB207" s="766"/>
      <c r="PC207" s="766"/>
      <c r="PD207" s="766"/>
      <c r="PE207" s="766"/>
      <c r="PF207" s="766"/>
      <c r="PG207" s="766"/>
      <c r="PH207" s="766"/>
      <c r="PI207" s="766"/>
      <c r="PJ207" s="766"/>
      <c r="PK207" s="766"/>
      <c r="PL207" s="766"/>
      <c r="PM207" s="766"/>
      <c r="PN207" s="766"/>
      <c r="PO207" s="766"/>
      <c r="PP207" s="766"/>
      <c r="PQ207" s="766"/>
      <c r="PR207" s="766"/>
      <c r="PS207" s="766"/>
      <c r="PT207" s="766"/>
      <c r="PU207" s="766"/>
      <c r="PV207" s="766"/>
      <c r="PW207" s="766"/>
      <c r="PX207" s="766"/>
      <c r="PY207" s="766"/>
      <c r="PZ207" s="766"/>
      <c r="QA207" s="766"/>
      <c r="QB207" s="766"/>
      <c r="QC207" s="766"/>
      <c r="QD207" s="766"/>
      <c r="QE207" s="766"/>
      <c r="QF207" s="766"/>
      <c r="QG207" s="766"/>
      <c r="QH207" s="766"/>
      <c r="QI207" s="766"/>
      <c r="QJ207" s="766"/>
      <c r="QK207" s="766"/>
      <c r="QL207" s="766"/>
      <c r="QM207" s="766"/>
      <c r="QN207" s="766"/>
      <c r="QO207" s="766"/>
      <c r="QP207" s="766"/>
      <c r="QQ207" s="766"/>
      <c r="QR207" s="766"/>
      <c r="QS207" s="766"/>
      <c r="QT207" s="766"/>
      <c r="QU207" s="766"/>
      <c r="QV207" s="766"/>
      <c r="QW207" s="766"/>
      <c r="QX207" s="766"/>
      <c r="QY207" s="766"/>
      <c r="QZ207" s="766"/>
      <c r="RA207" s="766"/>
      <c r="RB207" s="770" t="s">
        <v>1207</v>
      </c>
      <c r="RC207" s="766">
        <v>2012</v>
      </c>
      <c r="RD207" s="766" t="s">
        <v>12989</v>
      </c>
      <c r="RE207" s="766" t="s">
        <v>13125</v>
      </c>
      <c r="RF207" s="777">
        <v>1</v>
      </c>
      <c r="RG207" s="766" t="s">
        <v>13138</v>
      </c>
      <c r="RH207" s="775">
        <v>10000</v>
      </c>
      <c r="RI207" s="766">
        <v>96</v>
      </c>
      <c r="RJ207" s="766" t="s">
        <v>13283</v>
      </c>
      <c r="RK207" s="766" t="s">
        <v>13146</v>
      </c>
      <c r="RL207" s="1683"/>
      <c r="RM207" s="12"/>
      <c r="RN207" s="1711"/>
      <c r="RO207" s="171" t="s">
        <v>363</v>
      </c>
      <c r="RP207" s="11"/>
      <c r="RQ207" s="11"/>
      <c r="RR207" s="19" t="s">
        <v>7421</v>
      </c>
      <c r="RS207" s="1139" t="s">
        <v>12980</v>
      </c>
      <c r="RT207" s="11"/>
      <c r="RU207" s="11"/>
      <c r="RV207" s="766" t="s">
        <v>12448</v>
      </c>
      <c r="RW207" s="11" t="s">
        <v>7587</v>
      </c>
      <c r="RX207" s="11" t="s">
        <v>352</v>
      </c>
      <c r="RY207" s="11"/>
      <c r="RZ207" s="11" t="s">
        <v>7421</v>
      </c>
      <c r="SA207" s="766"/>
      <c r="SB207" s="11"/>
      <c r="SC207" s="11"/>
    </row>
    <row r="208" spans="1:497" ht="12.75" customHeight="1">
      <c r="A208" s="19" t="s">
        <v>7421</v>
      </c>
      <c r="B208" s="292" t="s">
        <v>7968</v>
      </c>
      <c r="C208" s="171" t="s">
        <v>366</v>
      </c>
      <c r="D208" s="766" t="s">
        <v>367</v>
      </c>
      <c r="E208" s="766" t="s">
        <v>5438</v>
      </c>
      <c r="F208" s="766" t="s">
        <v>28</v>
      </c>
      <c r="G208" s="766" t="s">
        <v>10</v>
      </c>
      <c r="H208" s="766"/>
      <c r="I208" s="5" t="s">
        <v>368</v>
      </c>
      <c r="J208" s="766" t="s">
        <v>367</v>
      </c>
      <c r="K208" s="766" t="s">
        <v>355</v>
      </c>
      <c r="L208" s="766" t="s">
        <v>356</v>
      </c>
      <c r="M208" s="766"/>
      <c r="N208" s="766"/>
      <c r="O208" s="766" t="s">
        <v>362</v>
      </c>
      <c r="P208" s="14" t="s">
        <v>905</v>
      </c>
      <c r="Q208" s="1085">
        <v>24219</v>
      </c>
      <c r="R208" s="25">
        <v>52</v>
      </c>
      <c r="S208" s="770" t="s">
        <v>10</v>
      </c>
      <c r="T208" s="766"/>
      <c r="U208" s="26" t="s">
        <v>368</v>
      </c>
      <c r="V208" s="766" t="s">
        <v>707</v>
      </c>
      <c r="W208" s="766"/>
      <c r="X208" s="766"/>
      <c r="Y208" s="766" t="s">
        <v>5439</v>
      </c>
      <c r="Z208" s="766" t="s">
        <v>850</v>
      </c>
      <c r="AA208" s="766" t="s">
        <v>709</v>
      </c>
      <c r="AB208" s="766" t="s">
        <v>710</v>
      </c>
      <c r="AC208" s="766"/>
      <c r="AD208" s="766" t="s">
        <v>711</v>
      </c>
      <c r="AE208" s="766"/>
      <c r="AF208" s="766" t="s">
        <v>906</v>
      </c>
      <c r="AG208" s="766"/>
      <c r="AH208" s="766"/>
      <c r="AI208" s="766"/>
      <c r="AJ208" s="766"/>
      <c r="AK208" s="766" t="s">
        <v>1101</v>
      </c>
      <c r="AL208" s="333"/>
      <c r="AM208" s="334"/>
      <c r="AN208" s="774"/>
      <c r="AO208" s="766" t="s">
        <v>1113</v>
      </c>
      <c r="AP208" s="766"/>
      <c r="AQ208" s="766"/>
      <c r="AR208" s="766"/>
      <c r="AS208" s="766"/>
      <c r="AT208" s="766"/>
      <c r="AU208" s="766"/>
      <c r="AV208" s="766"/>
      <c r="AW208" s="766"/>
      <c r="AX208" s="13"/>
      <c r="AY208" s="766"/>
      <c r="AZ208" s="766"/>
      <c r="BA208" s="766"/>
      <c r="BB208" s="766"/>
      <c r="BC208" s="766"/>
      <c r="BD208" s="766"/>
      <c r="BE208" s="766"/>
      <c r="BF208" s="775"/>
      <c r="BG208" s="775"/>
      <c r="BH208" s="766"/>
      <c r="BI208" s="766"/>
      <c r="BJ208" s="766"/>
      <c r="BK208" s="766" t="s">
        <v>1095</v>
      </c>
      <c r="BL208" s="766" t="s">
        <v>1330</v>
      </c>
      <c r="BM208" s="766" t="s">
        <v>8108</v>
      </c>
      <c r="BN208" s="766" t="s">
        <v>1230</v>
      </c>
      <c r="BO208" s="766" t="s">
        <v>1239</v>
      </c>
      <c r="BP208" s="1109">
        <v>30.6</v>
      </c>
      <c r="BQ208" s="772">
        <v>5.85</v>
      </c>
      <c r="BR208" s="774">
        <f t="shared" si="59"/>
        <v>0.19117647058823528</v>
      </c>
      <c r="BS208" s="766" t="s">
        <v>1242</v>
      </c>
      <c r="BT208" s="766" t="s">
        <v>8133</v>
      </c>
      <c r="BU208" s="766" t="s">
        <v>1249</v>
      </c>
      <c r="BV208" s="766" t="s">
        <v>1247</v>
      </c>
      <c r="BW208" s="766">
        <v>1972</v>
      </c>
      <c r="BX208" s="779">
        <v>100000</v>
      </c>
      <c r="BY208" s="766" t="s">
        <v>1207</v>
      </c>
      <c r="BZ208" s="775">
        <v>150000</v>
      </c>
      <c r="CA208" s="766"/>
      <c r="CB208" s="766"/>
      <c r="CC208" s="766"/>
      <c r="CD208" s="766"/>
      <c r="CE208" s="766"/>
      <c r="CF208" s="777"/>
      <c r="CG208" s="778"/>
      <c r="CH208" s="766"/>
      <c r="CI208" s="766"/>
      <c r="CJ208" s="766"/>
      <c r="CK208" s="766"/>
      <c r="CL208" s="766"/>
      <c r="CM208" s="766"/>
      <c r="CN208" s="766"/>
      <c r="CO208" s="766"/>
      <c r="CP208" s="766"/>
      <c r="CQ208" s="766"/>
      <c r="CR208" s="775"/>
      <c r="CS208" s="766"/>
      <c r="CT208" s="766"/>
      <c r="CU208" s="129"/>
      <c r="CV208" s="766"/>
      <c r="CW208" s="766"/>
      <c r="CX208" s="766"/>
      <c r="CY208" s="766"/>
      <c r="CZ208" s="766"/>
      <c r="DA208" s="766"/>
      <c r="DB208" s="766"/>
      <c r="DC208" s="766"/>
      <c r="DD208" s="766"/>
      <c r="DE208" s="766"/>
      <c r="DF208" s="766"/>
      <c r="DG208" s="766"/>
      <c r="DH208" s="766"/>
      <c r="DI208" s="766"/>
      <c r="DJ208" s="766"/>
      <c r="DK208" s="766"/>
      <c r="DL208" s="766"/>
      <c r="DM208" s="766"/>
      <c r="DN208" s="766"/>
      <c r="DO208" s="766"/>
      <c r="DP208" s="766"/>
      <c r="DQ208" s="766"/>
      <c r="DR208" s="766"/>
      <c r="DS208" s="59"/>
      <c r="DT208" s="766"/>
      <c r="DU208" s="766"/>
      <c r="DV208" s="766"/>
      <c r="DW208" s="66"/>
      <c r="DX208" s="66"/>
      <c r="DY208" s="766"/>
      <c r="DZ208" s="766"/>
      <c r="EA208" s="766"/>
      <c r="EB208" s="766"/>
      <c r="EC208" s="766"/>
      <c r="ED208" s="766"/>
      <c r="EE208" s="766"/>
      <c r="EF208" s="766"/>
      <c r="EG208" s="766"/>
      <c r="EH208" s="766"/>
      <c r="EI208" s="766"/>
      <c r="EJ208" s="766"/>
      <c r="EK208" s="766"/>
      <c r="EL208" s="766"/>
      <c r="EM208" s="766"/>
      <c r="EN208" s="766"/>
      <c r="EO208" s="766"/>
      <c r="EP208" s="766"/>
      <c r="EQ208" s="766"/>
      <c r="ER208" s="766"/>
      <c r="ES208" s="766"/>
      <c r="ET208" s="766"/>
      <c r="EU208" s="766"/>
      <c r="EV208" s="766"/>
      <c r="EW208" s="766"/>
      <c r="EX208" s="766"/>
      <c r="EY208" s="766"/>
      <c r="EZ208" s="766"/>
      <c r="FA208" s="766"/>
      <c r="FB208" s="766"/>
      <c r="FC208" s="766"/>
      <c r="FD208" s="775"/>
      <c r="FE208" s="766"/>
      <c r="FF208" s="766"/>
      <c r="FG208" s="766"/>
      <c r="FH208" s="766" t="s">
        <v>478</v>
      </c>
      <c r="FI208" s="766">
        <v>1</v>
      </c>
      <c r="FJ208" s="766" t="s">
        <v>1631</v>
      </c>
      <c r="FK208" s="766"/>
      <c r="FL208" s="766"/>
      <c r="FM208" s="775"/>
      <c r="FN208" s="775"/>
      <c r="FO208" s="775"/>
      <c r="FP208" s="766" t="s">
        <v>1600</v>
      </c>
      <c r="FQ208" s="766" t="s">
        <v>1642</v>
      </c>
      <c r="FR208" s="766"/>
      <c r="FS208" s="766"/>
      <c r="FT208" s="766"/>
      <c r="FU208" s="766"/>
      <c r="FV208" s="766"/>
      <c r="FW208" s="766"/>
      <c r="FX208" s="766"/>
      <c r="FY208" s="766"/>
      <c r="FZ208" s="766"/>
      <c r="GA208" s="766"/>
      <c r="GB208" s="766"/>
      <c r="GC208" s="75"/>
      <c r="GD208" s="25"/>
      <c r="GE208" s="766"/>
      <c r="GF208" s="775"/>
      <c r="GG208" s="775"/>
      <c r="GH208" s="766" t="s">
        <v>14260</v>
      </c>
      <c r="GI208" s="766"/>
      <c r="GJ208" s="766" t="s">
        <v>1813</v>
      </c>
      <c r="GK208" s="766"/>
      <c r="GL208" s="766"/>
      <c r="GM208" s="766"/>
      <c r="GN208" s="82"/>
      <c r="GO208" s="766"/>
      <c r="GP208" s="766"/>
      <c r="GQ208" s="766"/>
      <c r="GR208" s="766"/>
      <c r="GS208" s="766"/>
      <c r="GT208" s="766"/>
      <c r="GU208" s="766"/>
      <c r="GV208" s="766"/>
      <c r="GW208" s="766"/>
      <c r="GX208" s="766"/>
      <c r="GY208" s="766"/>
      <c r="GZ208" s="766"/>
      <c r="HA208" s="766"/>
      <c r="HB208" s="766"/>
      <c r="HC208" s="766"/>
      <c r="HD208" s="766"/>
      <c r="HE208" s="766"/>
      <c r="HF208" s="766"/>
      <c r="HG208" s="766"/>
      <c r="HH208" s="766"/>
      <c r="HI208" s="766"/>
      <c r="HJ208" s="766"/>
      <c r="HK208" s="766"/>
      <c r="HL208" s="766"/>
      <c r="HM208" s="766"/>
      <c r="HN208" s="766"/>
      <c r="HO208" s="766"/>
      <c r="HP208" s="766"/>
      <c r="HQ208" s="766"/>
      <c r="HR208" s="766"/>
      <c r="HS208" s="766"/>
      <c r="HT208" s="766"/>
      <c r="HU208" s="766"/>
      <c r="HV208" s="766"/>
      <c r="HW208" s="766"/>
      <c r="HX208" s="766"/>
      <c r="HY208" s="766"/>
      <c r="HZ208" s="766"/>
      <c r="IA208" s="766"/>
      <c r="IB208" s="14" t="e">
        <f>IF(#REF!&gt;0,IF(#REF!&lt;=10000,"Y",""),"")</f>
        <v>#REF!</v>
      </c>
      <c r="IC208" s="766"/>
      <c r="ID208" s="766"/>
      <c r="IE208" s="766"/>
      <c r="IF208" s="766" t="s">
        <v>1972</v>
      </c>
      <c r="IG208" s="766" t="s">
        <v>18</v>
      </c>
      <c r="IH208" s="766" t="s">
        <v>110</v>
      </c>
      <c r="II208" s="766" t="s">
        <v>892</v>
      </c>
      <c r="IJ208" s="766" t="s">
        <v>5852</v>
      </c>
      <c r="IK208" s="766" t="s">
        <v>1973</v>
      </c>
      <c r="IL208" s="766" t="s">
        <v>1974</v>
      </c>
      <c r="IM208" s="766">
        <v>2006</v>
      </c>
      <c r="IN208" s="766" t="s">
        <v>1974</v>
      </c>
      <c r="IO208" s="24">
        <v>24810</v>
      </c>
      <c r="IP208" s="766" t="s">
        <v>478</v>
      </c>
      <c r="IQ208" s="13" t="s">
        <v>1975</v>
      </c>
      <c r="IR208" s="770" t="s">
        <v>1964</v>
      </c>
      <c r="IS208" s="766" t="s">
        <v>1883</v>
      </c>
      <c r="IT208" s="766"/>
      <c r="IU208" s="766" t="s">
        <v>110</v>
      </c>
      <c r="IV208" s="766"/>
      <c r="IW208" s="766" t="s">
        <v>1974</v>
      </c>
      <c r="IX208" s="766"/>
      <c r="IY208" s="766"/>
      <c r="IZ208" s="766"/>
      <c r="JA208" s="766"/>
      <c r="JB208" s="766" t="s">
        <v>12779</v>
      </c>
      <c r="JC208" s="766"/>
      <c r="JD208" s="775">
        <v>4500</v>
      </c>
      <c r="JE208" s="766"/>
      <c r="JF208" s="766"/>
      <c r="JG208" s="766"/>
      <c r="JH208" s="766"/>
      <c r="JI208" s="766"/>
      <c r="JJ208" s="766">
        <v>4</v>
      </c>
      <c r="JK208" s="1139" t="s">
        <v>1631</v>
      </c>
      <c r="JL208" s="766">
        <v>2</v>
      </c>
      <c r="JM208" s="766"/>
      <c r="JN208" s="766">
        <v>1</v>
      </c>
      <c r="JO208" s="766">
        <v>1</v>
      </c>
      <c r="JP208" s="766"/>
      <c r="JQ208" s="766"/>
      <c r="JR208" s="766"/>
      <c r="JS208" s="766"/>
      <c r="JT208" s="766">
        <f t="shared" si="51"/>
        <v>3</v>
      </c>
      <c r="JU208" s="766">
        <f t="shared" si="51"/>
        <v>1</v>
      </c>
      <c r="JV208" s="712" t="str">
        <f t="shared" si="52"/>
        <v>ok</v>
      </c>
      <c r="JW208" s="712" t="str">
        <f t="shared" si="53"/>
        <v>ok</v>
      </c>
      <c r="JX208" s="766"/>
      <c r="JY208" s="766"/>
      <c r="JZ208" s="766">
        <v>2</v>
      </c>
      <c r="KA208" s="766"/>
      <c r="KB208" s="766"/>
      <c r="KC208" s="766"/>
      <c r="KD208" s="766">
        <v>1</v>
      </c>
      <c r="KE208" s="766">
        <v>1</v>
      </c>
      <c r="KF208" s="766"/>
      <c r="KG208" s="766"/>
      <c r="KH208" s="766"/>
      <c r="KI208" s="766"/>
      <c r="KJ208" s="770">
        <f t="shared" si="58"/>
        <v>3</v>
      </c>
      <c r="KK208" s="770">
        <f t="shared" si="58"/>
        <v>1</v>
      </c>
      <c r="KL208" s="712" t="str">
        <f t="shared" si="54"/>
        <v>ok</v>
      </c>
      <c r="KM208" s="712" t="str">
        <f t="shared" si="55"/>
        <v>ok</v>
      </c>
      <c r="KN208" s="766" t="s">
        <v>707</v>
      </c>
      <c r="KO208" s="28"/>
      <c r="KP208" s="766"/>
      <c r="KQ208" s="766"/>
      <c r="KR208" s="766"/>
      <c r="KS208" s="766"/>
      <c r="KT208" s="766"/>
      <c r="KU208" s="766"/>
      <c r="KV208" s="766">
        <v>2</v>
      </c>
      <c r="KW208" s="766"/>
      <c r="KX208" s="766"/>
      <c r="KY208" s="766"/>
      <c r="KZ208" s="766"/>
      <c r="LA208" s="766"/>
      <c r="LB208" s="766"/>
      <c r="LC208" s="766"/>
      <c r="LD208" s="766">
        <v>1</v>
      </c>
      <c r="LE208" s="766">
        <v>1</v>
      </c>
      <c r="LF208" s="766"/>
      <c r="LG208" s="766"/>
      <c r="LH208" s="766"/>
      <c r="LI208" s="766"/>
      <c r="LJ208" s="766"/>
      <c r="LK208" s="766"/>
      <c r="LL208" s="766"/>
      <c r="LM208" s="766"/>
      <c r="LN208" s="766">
        <f t="shared" si="47"/>
        <v>3</v>
      </c>
      <c r="LO208" s="766">
        <f t="shared" si="47"/>
        <v>1</v>
      </c>
      <c r="LP208" s="766">
        <v>2</v>
      </c>
      <c r="LQ208" s="1678">
        <v>2</v>
      </c>
      <c r="LR208" s="766"/>
      <c r="LS208" s="766"/>
      <c r="LT208" s="712" t="str">
        <f t="shared" si="56"/>
        <v>OK</v>
      </c>
      <c r="LU208" s="766">
        <v>1</v>
      </c>
      <c r="LV208" s="766"/>
      <c r="LW208" s="766">
        <v>1</v>
      </c>
      <c r="LX208" s="769">
        <v>1</v>
      </c>
      <c r="LY208" s="766" t="str">
        <f t="shared" si="50"/>
        <v>within the BRGY</v>
      </c>
      <c r="LZ208" s="66"/>
      <c r="MA208" s="766"/>
      <c r="MB208" s="766"/>
      <c r="MC208" s="1679">
        <f t="shared" si="41"/>
        <v>0</v>
      </c>
      <c r="MD208" s="66">
        <f>11000+4500</f>
        <v>15500</v>
      </c>
      <c r="ME208" s="66"/>
      <c r="MF208" s="66">
        <v>4500</v>
      </c>
      <c r="MG208" s="1680">
        <f t="shared" si="57"/>
        <v>20000</v>
      </c>
      <c r="MH208" s="1681"/>
      <c r="MI208" s="775">
        <v>9000</v>
      </c>
      <c r="MJ208" s="775">
        <v>200</v>
      </c>
      <c r="MK208" s="775">
        <v>2000</v>
      </c>
      <c r="ML208" s="775">
        <v>450</v>
      </c>
      <c r="MM208" s="775">
        <v>1200</v>
      </c>
      <c r="MN208" s="775"/>
      <c r="MO208" s="775">
        <v>300</v>
      </c>
      <c r="MP208" s="775">
        <v>1450</v>
      </c>
      <c r="MQ208" s="775">
        <v>183.33</v>
      </c>
      <c r="MR208" s="775">
        <v>1200</v>
      </c>
      <c r="MS208" s="775">
        <v>400</v>
      </c>
      <c r="MT208" s="775"/>
      <c r="MU208" s="775"/>
      <c r="MV208" s="775"/>
      <c r="MW208" s="775"/>
      <c r="MX208" s="775"/>
      <c r="MY208" s="1682">
        <f t="shared" si="49"/>
        <v>16383.33</v>
      </c>
      <c r="MZ208" s="766" t="s">
        <v>13004</v>
      </c>
      <c r="NA208" s="766" t="s">
        <v>13005</v>
      </c>
      <c r="NB208" s="766" t="s">
        <v>13006</v>
      </c>
      <c r="NC208" s="766" t="s">
        <v>13135</v>
      </c>
      <c r="ND208" s="766">
        <v>0</v>
      </c>
      <c r="NE208" s="766">
        <v>1</v>
      </c>
      <c r="NF208" s="766">
        <v>1</v>
      </c>
      <c r="NG208" s="766">
        <v>1</v>
      </c>
      <c r="NH208" s="766">
        <v>1</v>
      </c>
      <c r="NI208" s="766">
        <v>1</v>
      </c>
      <c r="NJ208" s="766">
        <v>1</v>
      </c>
      <c r="NK208" s="766">
        <v>0</v>
      </c>
      <c r="NL208" s="766">
        <v>1</v>
      </c>
      <c r="NM208" s="766">
        <v>1</v>
      </c>
      <c r="NN208" s="766">
        <v>0</v>
      </c>
      <c r="NO208" s="766">
        <v>0</v>
      </c>
      <c r="NP208" s="766">
        <v>0</v>
      </c>
      <c r="NQ208" s="766">
        <v>1</v>
      </c>
      <c r="NR208" s="766">
        <v>0</v>
      </c>
      <c r="NS208" s="766">
        <v>0</v>
      </c>
      <c r="NT208" s="766">
        <v>0</v>
      </c>
      <c r="NU208" s="766">
        <v>0</v>
      </c>
      <c r="NV208" s="766">
        <v>0</v>
      </c>
      <c r="NW208" s="766">
        <v>0</v>
      </c>
      <c r="NX208" s="766">
        <v>0</v>
      </c>
      <c r="NY208" s="766" t="s">
        <v>1208</v>
      </c>
      <c r="NZ208" s="766" t="s">
        <v>1208</v>
      </c>
      <c r="OA208" s="766" t="s">
        <v>1208</v>
      </c>
      <c r="OB208" s="766" t="s">
        <v>1208</v>
      </c>
      <c r="OC208" s="766" t="s">
        <v>1208</v>
      </c>
      <c r="OD208" s="766" t="s">
        <v>1208</v>
      </c>
      <c r="OE208" s="766"/>
      <c r="OF208" s="766" t="s">
        <v>2142</v>
      </c>
      <c r="OG208" s="766"/>
      <c r="OH208" s="766"/>
      <c r="OI208" s="766"/>
      <c r="OJ208" s="766"/>
      <c r="OK208" s="76"/>
      <c r="OL208" s="766" t="s">
        <v>13124</v>
      </c>
      <c r="OM208" s="766" t="s">
        <v>13284</v>
      </c>
      <c r="ON208" s="766" t="s">
        <v>1824</v>
      </c>
      <c r="OO208" s="766" t="s">
        <v>1207</v>
      </c>
      <c r="OP208" s="766" t="s">
        <v>13285</v>
      </c>
      <c r="OQ208" s="766"/>
      <c r="OR208" s="766"/>
      <c r="OS208" s="766" t="s">
        <v>13286</v>
      </c>
      <c r="OT208" s="766"/>
      <c r="OU208" s="766"/>
      <c r="OV208" s="766" t="s">
        <v>1208</v>
      </c>
      <c r="OW208" s="766"/>
      <c r="OX208" s="766"/>
      <c r="OY208" s="766"/>
      <c r="OZ208" s="766"/>
      <c r="PA208" s="766"/>
      <c r="PB208" s="766"/>
      <c r="PC208" s="766"/>
      <c r="PD208" s="766"/>
      <c r="PE208" s="766"/>
      <c r="PF208" s="766" t="s">
        <v>1208</v>
      </c>
      <c r="PG208" s="766"/>
      <c r="PH208" s="766"/>
      <c r="PI208" s="766"/>
      <c r="PJ208" s="766"/>
      <c r="PK208" s="766" t="s">
        <v>1208</v>
      </c>
      <c r="PL208" s="766"/>
      <c r="PM208" s="766"/>
      <c r="PN208" s="766"/>
      <c r="PO208" s="766"/>
      <c r="PP208" s="766"/>
      <c r="PQ208" s="766"/>
      <c r="PR208" s="766" t="s">
        <v>1208</v>
      </c>
      <c r="PS208" s="766"/>
      <c r="PT208" s="766"/>
      <c r="PU208" s="766"/>
      <c r="PV208" s="766"/>
      <c r="PW208" s="766"/>
      <c r="PX208" s="766"/>
      <c r="PY208" s="766"/>
      <c r="PZ208" s="766"/>
      <c r="QA208" s="766"/>
      <c r="QB208" s="766"/>
      <c r="QC208" s="766"/>
      <c r="QD208" s="766"/>
      <c r="QE208" s="766"/>
      <c r="QF208" s="766"/>
      <c r="QG208" s="766"/>
      <c r="QH208" s="766"/>
      <c r="QI208" s="766"/>
      <c r="QJ208" s="766"/>
      <c r="QK208" s="766"/>
      <c r="QL208" s="766"/>
      <c r="QM208" s="766"/>
      <c r="QN208" s="766"/>
      <c r="QO208" s="766"/>
      <c r="QP208" s="766"/>
      <c r="QQ208" s="766"/>
      <c r="QR208" s="766"/>
      <c r="QS208" s="766"/>
      <c r="QT208" s="766"/>
      <c r="QU208" s="766"/>
      <c r="QV208" s="766"/>
      <c r="QW208" s="766"/>
      <c r="QX208" s="766"/>
      <c r="QY208" s="766"/>
      <c r="QZ208" s="766"/>
      <c r="RA208" s="766"/>
      <c r="RB208" s="770" t="s">
        <v>1207</v>
      </c>
      <c r="RC208" s="766"/>
      <c r="RD208" s="766" t="s">
        <v>13036</v>
      </c>
      <c r="RE208" s="766"/>
      <c r="RF208" s="777"/>
      <c r="RG208" s="766" t="s">
        <v>13107</v>
      </c>
      <c r="RH208" s="775">
        <v>0</v>
      </c>
      <c r="RI208" s="766"/>
      <c r="RJ208" s="766" t="s">
        <v>1631</v>
      </c>
      <c r="RK208" s="766" t="s">
        <v>13287</v>
      </c>
      <c r="RL208" s="1683"/>
      <c r="RM208" s="12"/>
      <c r="RN208" s="1711"/>
      <c r="RO208" s="171" t="s">
        <v>366</v>
      </c>
      <c r="RP208" s="11"/>
      <c r="RQ208" s="11"/>
      <c r="RR208" s="19" t="s">
        <v>7421</v>
      </c>
      <c r="RS208" s="1139" t="s">
        <v>12980</v>
      </c>
      <c r="RT208" s="11"/>
      <c r="RU208" s="11"/>
      <c r="RV208" s="766" t="s">
        <v>7421</v>
      </c>
      <c r="RW208" s="11" t="s">
        <v>7539</v>
      </c>
      <c r="RX208" s="11" t="s">
        <v>358</v>
      </c>
      <c r="RY208" s="11"/>
      <c r="RZ208" s="11" t="s">
        <v>7421</v>
      </c>
      <c r="SA208" s="766"/>
      <c r="SB208" s="11"/>
      <c r="SC208" s="11"/>
    </row>
    <row r="209" spans="1:497" ht="12.75" customHeight="1">
      <c r="A209" s="19" t="s">
        <v>7421</v>
      </c>
      <c r="B209" s="292" t="s">
        <v>7588</v>
      </c>
      <c r="C209" s="171" t="s">
        <v>369</v>
      </c>
      <c r="D209" s="766" t="s">
        <v>370</v>
      </c>
      <c r="E209" s="766" t="s">
        <v>7924</v>
      </c>
      <c r="F209" s="766" t="s">
        <v>28</v>
      </c>
      <c r="G209" s="766" t="s">
        <v>10</v>
      </c>
      <c r="H209" s="766"/>
      <c r="I209" s="5"/>
      <c r="J209" s="766" t="s">
        <v>370</v>
      </c>
      <c r="K209" s="766" t="s">
        <v>355</v>
      </c>
      <c r="L209" s="766" t="s">
        <v>356</v>
      </c>
      <c r="M209" s="766"/>
      <c r="N209" s="766"/>
      <c r="O209" s="766"/>
      <c r="P209" s="14" t="s">
        <v>907</v>
      </c>
      <c r="Q209" s="1085">
        <v>18999</v>
      </c>
      <c r="R209" s="25">
        <v>63</v>
      </c>
      <c r="S209" s="770" t="s">
        <v>10</v>
      </c>
      <c r="T209" s="766"/>
      <c r="U209" s="26"/>
      <c r="V209" s="766" t="s">
        <v>707</v>
      </c>
      <c r="W209" s="766"/>
      <c r="X209" s="766"/>
      <c r="Y209" s="766" t="s">
        <v>900</v>
      </c>
      <c r="Z209" s="766" t="s">
        <v>708</v>
      </c>
      <c r="AA209" s="766" t="s">
        <v>709</v>
      </c>
      <c r="AB209" s="766" t="s">
        <v>710</v>
      </c>
      <c r="AC209" s="766"/>
      <c r="AD209" s="766" t="s">
        <v>711</v>
      </c>
      <c r="AE209" s="766"/>
      <c r="AF209" s="766" t="s">
        <v>908</v>
      </c>
      <c r="AG209" s="766"/>
      <c r="AH209" s="766"/>
      <c r="AI209" s="766"/>
      <c r="AJ209" s="766"/>
      <c r="AK209" s="766" t="s">
        <v>1101</v>
      </c>
      <c r="AL209" s="333"/>
      <c r="AM209" s="334"/>
      <c r="AN209" s="774"/>
      <c r="AO209" s="766" t="s">
        <v>1113</v>
      </c>
      <c r="AP209" s="766"/>
      <c r="AQ209" s="766"/>
      <c r="AR209" s="766"/>
      <c r="AS209" s="766"/>
      <c r="AT209" s="766"/>
      <c r="AU209" s="766"/>
      <c r="AV209" s="766"/>
      <c r="AW209" s="766"/>
      <c r="AX209" s="13"/>
      <c r="AY209" s="766"/>
      <c r="AZ209" s="766"/>
      <c r="BA209" s="766"/>
      <c r="BB209" s="766"/>
      <c r="BC209" s="766"/>
      <c r="BD209" s="766"/>
      <c r="BE209" s="766"/>
      <c r="BF209" s="775"/>
      <c r="BG209" s="775"/>
      <c r="BH209" s="766"/>
      <c r="BI209" s="766"/>
      <c r="BJ209" s="766"/>
      <c r="BK209" s="766" t="s">
        <v>1095</v>
      </c>
      <c r="BL209" s="766" t="s">
        <v>1331</v>
      </c>
      <c r="BM209" s="766" t="s">
        <v>1096</v>
      </c>
      <c r="BN209" s="766" t="s">
        <v>1230</v>
      </c>
      <c r="BO209" s="766" t="s">
        <v>1246</v>
      </c>
      <c r="BP209" s="1109">
        <v>15.75</v>
      </c>
      <c r="BQ209" s="772">
        <v>0.9</v>
      </c>
      <c r="BR209" s="774">
        <f t="shared" si="59"/>
        <v>5.7142857142857141E-2</v>
      </c>
      <c r="BS209" s="766" t="s">
        <v>1242</v>
      </c>
      <c r="BT209" s="766" t="s">
        <v>8133</v>
      </c>
      <c r="BU209" s="766" t="s">
        <v>1288</v>
      </c>
      <c r="BV209" s="766" t="s">
        <v>1247</v>
      </c>
      <c r="BW209" s="766">
        <v>2015</v>
      </c>
      <c r="BX209" s="779">
        <v>50000</v>
      </c>
      <c r="BY209" s="766" t="s">
        <v>1207</v>
      </c>
      <c r="BZ209" s="775">
        <v>80000</v>
      </c>
      <c r="CA209" s="766"/>
      <c r="CB209" s="766"/>
      <c r="CC209" s="766"/>
      <c r="CD209" s="766"/>
      <c r="CE209" s="766"/>
      <c r="CF209" s="777"/>
      <c r="CG209" s="778"/>
      <c r="CH209" s="766"/>
      <c r="CI209" s="766"/>
      <c r="CJ209" s="766"/>
      <c r="CK209" s="766"/>
      <c r="CL209" s="766"/>
      <c r="CM209" s="766"/>
      <c r="CN209" s="766"/>
      <c r="CO209" s="766"/>
      <c r="CP209" s="766"/>
      <c r="CQ209" s="766"/>
      <c r="CR209" s="775"/>
      <c r="CS209" s="766"/>
      <c r="CT209" s="766"/>
      <c r="CU209" s="129"/>
      <c r="CV209" s="766"/>
      <c r="CW209" s="766"/>
      <c r="CX209" s="766"/>
      <c r="CY209" s="766"/>
      <c r="CZ209" s="766"/>
      <c r="DA209" s="766"/>
      <c r="DB209" s="766"/>
      <c r="DC209" s="766"/>
      <c r="DD209" s="766"/>
      <c r="DE209" s="766"/>
      <c r="DF209" s="766"/>
      <c r="DG209" s="766"/>
      <c r="DH209" s="766"/>
      <c r="DI209" s="766"/>
      <c r="DJ209" s="766"/>
      <c r="DK209" s="766"/>
      <c r="DL209" s="766"/>
      <c r="DM209" s="766"/>
      <c r="DN209" s="766"/>
      <c r="DO209" s="766"/>
      <c r="DP209" s="766"/>
      <c r="DQ209" s="766"/>
      <c r="DR209" s="766"/>
      <c r="DS209" s="59"/>
      <c r="DT209" s="766"/>
      <c r="DU209" s="766"/>
      <c r="DV209" s="766"/>
      <c r="DW209" s="66"/>
      <c r="DX209" s="66"/>
      <c r="DY209" s="766"/>
      <c r="DZ209" s="766"/>
      <c r="EA209" s="766"/>
      <c r="EB209" s="766"/>
      <c r="EC209" s="766"/>
      <c r="ED209" s="766"/>
      <c r="EE209" s="766"/>
      <c r="EF209" s="766"/>
      <c r="EG209" s="766"/>
      <c r="EH209" s="766"/>
      <c r="EI209" s="766"/>
      <c r="EJ209" s="766"/>
      <c r="EK209" s="766"/>
      <c r="EL209" s="766"/>
      <c r="EM209" s="766"/>
      <c r="EN209" s="766"/>
      <c r="EO209" s="766"/>
      <c r="EP209" s="766"/>
      <c r="EQ209" s="766"/>
      <c r="ER209" s="766"/>
      <c r="ES209" s="766"/>
      <c r="ET209" s="766"/>
      <c r="EU209" s="766"/>
      <c r="EV209" s="766"/>
      <c r="EW209" s="766"/>
      <c r="EX209" s="766"/>
      <c r="EY209" s="766"/>
      <c r="EZ209" s="766"/>
      <c r="FA209" s="766"/>
      <c r="FB209" s="766"/>
      <c r="FC209" s="766"/>
      <c r="FD209" s="775"/>
      <c r="FE209" s="766"/>
      <c r="FF209" s="766"/>
      <c r="FG209" s="766"/>
      <c r="FH209" s="766" t="s">
        <v>478</v>
      </c>
      <c r="FI209" s="766">
        <v>1</v>
      </c>
      <c r="FJ209" s="766" t="s">
        <v>1331</v>
      </c>
      <c r="FK209" s="766"/>
      <c r="FL209" s="766"/>
      <c r="FM209" s="775"/>
      <c r="FN209" s="775"/>
      <c r="FO209" s="775"/>
      <c r="FP209" s="766" t="s">
        <v>1600</v>
      </c>
      <c r="FQ209" s="766" t="s">
        <v>1642</v>
      </c>
      <c r="FR209" s="766"/>
      <c r="FS209" s="766"/>
      <c r="FT209" s="766"/>
      <c r="FU209" s="766"/>
      <c r="FV209" s="766"/>
      <c r="FW209" s="766"/>
      <c r="FX209" s="766"/>
      <c r="FY209" s="766"/>
      <c r="FZ209" s="766"/>
      <c r="GA209" s="766"/>
      <c r="GB209" s="766"/>
      <c r="GC209" s="75"/>
      <c r="GD209" s="25"/>
      <c r="GE209" s="766"/>
      <c r="GF209" s="775"/>
      <c r="GG209" s="775"/>
      <c r="GH209" s="766"/>
      <c r="GI209" s="766"/>
      <c r="GJ209" s="766"/>
      <c r="GK209" s="766"/>
      <c r="GL209" s="766"/>
      <c r="GM209" s="766"/>
      <c r="GN209" s="82"/>
      <c r="GO209" s="766"/>
      <c r="GP209" s="766"/>
      <c r="GQ209" s="766"/>
      <c r="GR209" s="766"/>
      <c r="GS209" s="766"/>
      <c r="GT209" s="766"/>
      <c r="GU209" s="766"/>
      <c r="GV209" s="766"/>
      <c r="GW209" s="766"/>
      <c r="GX209" s="766"/>
      <c r="GY209" s="766"/>
      <c r="GZ209" s="766"/>
      <c r="HA209" s="766"/>
      <c r="HB209" s="766"/>
      <c r="HC209" s="766"/>
      <c r="HD209" s="766"/>
      <c r="HE209" s="766"/>
      <c r="HF209" s="766"/>
      <c r="HG209" s="766"/>
      <c r="HH209" s="766"/>
      <c r="HI209" s="766"/>
      <c r="HJ209" s="766"/>
      <c r="HK209" s="766"/>
      <c r="HL209" s="766"/>
      <c r="HM209" s="766"/>
      <c r="HN209" s="766"/>
      <c r="HO209" s="766"/>
      <c r="HP209" s="766"/>
      <c r="HQ209" s="766"/>
      <c r="HR209" s="766"/>
      <c r="HS209" s="766"/>
      <c r="HT209" s="766"/>
      <c r="HU209" s="766"/>
      <c r="HV209" s="766"/>
      <c r="HW209" s="766"/>
      <c r="HX209" s="766"/>
      <c r="HY209" s="766"/>
      <c r="HZ209" s="766"/>
      <c r="IA209" s="766"/>
      <c r="IB209" s="14" t="e">
        <f>IF(#REF!&gt;0,IF(#REF!&lt;=10000,"Y",""),"")</f>
        <v>#REF!</v>
      </c>
      <c r="IC209" s="766"/>
      <c r="ID209" s="766">
        <v>1</v>
      </c>
      <c r="IE209" s="766"/>
      <c r="IF209" s="766"/>
      <c r="IG209" s="766"/>
      <c r="IH209" s="766"/>
      <c r="II209" s="766"/>
      <c r="IJ209" s="766"/>
      <c r="IK209" s="766"/>
      <c r="IL209" s="766"/>
      <c r="IM209" s="766"/>
      <c r="IN209" s="766"/>
      <c r="IO209" s="24"/>
      <c r="IP209" s="766"/>
      <c r="IQ209" s="766"/>
      <c r="IR209" s="766"/>
      <c r="IS209" s="766"/>
      <c r="IT209" s="766"/>
      <c r="IU209" s="766"/>
      <c r="IV209" s="766"/>
      <c r="IW209" s="766"/>
      <c r="IX209" s="766"/>
      <c r="IY209" s="766"/>
      <c r="IZ209" s="766"/>
      <c r="JA209" s="766"/>
      <c r="JB209" s="766"/>
      <c r="JC209" s="766"/>
      <c r="JD209" s="775"/>
      <c r="JE209" s="766"/>
      <c r="JF209" s="766"/>
      <c r="JG209" s="766"/>
      <c r="JH209" s="766"/>
      <c r="JI209" s="766"/>
      <c r="JJ209" s="766">
        <v>5</v>
      </c>
      <c r="JK209" s="1139" t="s">
        <v>2081</v>
      </c>
      <c r="JL209" s="766">
        <v>1</v>
      </c>
      <c r="JM209" s="766">
        <v>1</v>
      </c>
      <c r="JN209" s="766">
        <v>2</v>
      </c>
      <c r="JO209" s="766">
        <v>1</v>
      </c>
      <c r="JP209" s="766"/>
      <c r="JQ209" s="766"/>
      <c r="JR209" s="766"/>
      <c r="JS209" s="766"/>
      <c r="JT209" s="766">
        <f t="shared" si="51"/>
        <v>3</v>
      </c>
      <c r="JU209" s="766">
        <f t="shared" si="51"/>
        <v>2</v>
      </c>
      <c r="JV209" s="712" t="str">
        <f t="shared" si="52"/>
        <v>ok</v>
      </c>
      <c r="JW209" s="712" t="str">
        <f t="shared" si="53"/>
        <v>ok</v>
      </c>
      <c r="JX209" s="766">
        <v>1</v>
      </c>
      <c r="JY209" s="766">
        <v>1</v>
      </c>
      <c r="JZ209" s="766"/>
      <c r="KA209" s="766"/>
      <c r="KB209" s="766">
        <v>1</v>
      </c>
      <c r="KC209" s="766"/>
      <c r="KD209" s="766"/>
      <c r="KE209" s="766">
        <v>1</v>
      </c>
      <c r="KF209" s="766">
        <v>1</v>
      </c>
      <c r="KG209" s="766"/>
      <c r="KH209" s="766"/>
      <c r="KI209" s="766"/>
      <c r="KJ209" s="770">
        <f t="shared" si="58"/>
        <v>3</v>
      </c>
      <c r="KK209" s="770">
        <f t="shared" si="58"/>
        <v>2</v>
      </c>
      <c r="KL209" s="712" t="str">
        <f t="shared" si="54"/>
        <v>ok</v>
      </c>
      <c r="KM209" s="712" t="str">
        <f t="shared" si="55"/>
        <v>ok</v>
      </c>
      <c r="KN209" s="766" t="s">
        <v>707</v>
      </c>
      <c r="KO209" s="766"/>
      <c r="KP209" s="766"/>
      <c r="KQ209" s="766"/>
      <c r="KR209" s="766"/>
      <c r="KS209" s="766"/>
      <c r="KT209" s="766">
        <v>1</v>
      </c>
      <c r="KU209" s="766"/>
      <c r="KV209" s="766"/>
      <c r="KW209" s="766"/>
      <c r="KX209" s="766"/>
      <c r="KY209" s="766"/>
      <c r="KZ209" s="766">
        <v>1</v>
      </c>
      <c r="LA209" s="766">
        <v>1</v>
      </c>
      <c r="LB209" s="766"/>
      <c r="LC209" s="766"/>
      <c r="LD209" s="766"/>
      <c r="LE209" s="766"/>
      <c r="LF209" s="766"/>
      <c r="LG209" s="766"/>
      <c r="LH209" s="766"/>
      <c r="LI209" s="766"/>
      <c r="LJ209" s="766">
        <v>1</v>
      </c>
      <c r="LK209" s="766">
        <v>1</v>
      </c>
      <c r="LL209" s="766"/>
      <c r="LM209" s="766"/>
      <c r="LN209" s="766">
        <f t="shared" si="47"/>
        <v>3</v>
      </c>
      <c r="LO209" s="766">
        <f t="shared" si="47"/>
        <v>2</v>
      </c>
      <c r="LP209" s="766">
        <v>1</v>
      </c>
      <c r="LQ209" s="766"/>
      <c r="LR209" s="766"/>
      <c r="LS209" s="766">
        <v>1</v>
      </c>
      <c r="LT209" s="712" t="str">
        <f t="shared" si="56"/>
        <v>OK</v>
      </c>
      <c r="LU209" s="766"/>
      <c r="LV209" s="766"/>
      <c r="LW209" s="766"/>
      <c r="LX209" s="769">
        <v>2</v>
      </c>
      <c r="LY209" s="766" t="str">
        <f t="shared" si="50"/>
        <v>within the MUNICIPALITY</v>
      </c>
      <c r="LZ209" s="66"/>
      <c r="MA209" s="766"/>
      <c r="MB209" s="766"/>
      <c r="MC209" s="1679">
        <f t="shared" si="41"/>
        <v>0</v>
      </c>
      <c r="MD209" s="66"/>
      <c r="ME209" s="66"/>
      <c r="MF209" s="66">
        <v>8000</v>
      </c>
      <c r="MG209" s="1680">
        <f t="shared" si="57"/>
        <v>8000</v>
      </c>
      <c r="MH209" s="766"/>
      <c r="MI209" s="775">
        <v>6000</v>
      </c>
      <c r="MJ209" s="775"/>
      <c r="MK209" s="775">
        <v>83.33</v>
      </c>
      <c r="ML209" s="775">
        <v>1200</v>
      </c>
      <c r="MM209" s="775"/>
      <c r="MN209" s="775"/>
      <c r="MO209" s="775"/>
      <c r="MP209" s="775">
        <v>500</v>
      </c>
      <c r="MQ209" s="775">
        <v>800</v>
      </c>
      <c r="MR209" s="775">
        <v>1000</v>
      </c>
      <c r="MS209" s="775"/>
      <c r="MT209" s="775"/>
      <c r="MU209" s="775"/>
      <c r="MV209" s="775"/>
      <c r="MW209" s="775"/>
      <c r="MX209" s="775"/>
      <c r="MY209" s="1682">
        <f t="shared" si="49"/>
        <v>9583.33</v>
      </c>
      <c r="MZ209" s="766" t="s">
        <v>13164</v>
      </c>
      <c r="NA209" s="766" t="s">
        <v>13005</v>
      </c>
      <c r="NB209" s="766" t="s">
        <v>13143</v>
      </c>
      <c r="NC209" s="766"/>
      <c r="ND209" s="766">
        <v>0</v>
      </c>
      <c r="NE209" s="766">
        <v>0</v>
      </c>
      <c r="NF209" s="766">
        <v>0</v>
      </c>
      <c r="NG209" s="766">
        <v>1</v>
      </c>
      <c r="NH209" s="766">
        <v>0</v>
      </c>
      <c r="NI209" s="766">
        <v>1</v>
      </c>
      <c r="NJ209" s="766">
        <v>0</v>
      </c>
      <c r="NK209" s="766">
        <v>0</v>
      </c>
      <c r="NL209" s="766">
        <v>0</v>
      </c>
      <c r="NM209" s="766">
        <v>1</v>
      </c>
      <c r="NN209" s="766">
        <v>0</v>
      </c>
      <c r="NO209" s="766">
        <v>0</v>
      </c>
      <c r="NP209" s="766">
        <v>0</v>
      </c>
      <c r="NQ209" s="766">
        <v>0</v>
      </c>
      <c r="NR209" s="766">
        <v>0</v>
      </c>
      <c r="NS209" s="766">
        <v>0</v>
      </c>
      <c r="NT209" s="766">
        <v>0</v>
      </c>
      <c r="NU209" s="766">
        <v>0</v>
      </c>
      <c r="NV209" s="766">
        <v>0</v>
      </c>
      <c r="NW209" s="766">
        <v>0</v>
      </c>
      <c r="NX209" s="766">
        <v>0</v>
      </c>
      <c r="NY209" s="766" t="s">
        <v>1208</v>
      </c>
      <c r="NZ209" s="766"/>
      <c r="OA209" s="766"/>
      <c r="OB209" s="766" t="s">
        <v>1208</v>
      </c>
      <c r="OC209" s="766" t="s">
        <v>1208</v>
      </c>
      <c r="OD209" s="766"/>
      <c r="OE209" s="766"/>
      <c r="OF209" s="766"/>
      <c r="OG209" s="766"/>
      <c r="OH209" s="766"/>
      <c r="OI209" s="766"/>
      <c r="OJ209" s="766"/>
      <c r="OK209" s="28"/>
      <c r="OL209" s="766"/>
      <c r="OM209" s="766"/>
      <c r="ON209" s="766"/>
      <c r="OO209" s="766"/>
      <c r="OP209" s="766"/>
      <c r="OQ209" s="766"/>
      <c r="OR209" s="766"/>
      <c r="OS209" s="766"/>
      <c r="OT209" s="766"/>
      <c r="OU209" s="766"/>
      <c r="OV209" s="766"/>
      <c r="OW209" s="766"/>
      <c r="OX209" s="766"/>
      <c r="OY209" s="766"/>
      <c r="OZ209" s="766"/>
      <c r="PA209" s="766"/>
      <c r="PB209" s="766"/>
      <c r="PC209" s="766"/>
      <c r="PD209" s="766"/>
      <c r="PE209" s="766"/>
      <c r="PF209" s="766"/>
      <c r="PG209" s="766"/>
      <c r="PH209" s="766"/>
      <c r="PI209" s="766"/>
      <c r="PJ209" s="766"/>
      <c r="PK209" s="766" t="s">
        <v>1208</v>
      </c>
      <c r="PL209" s="766"/>
      <c r="PM209" s="766"/>
      <c r="PN209" s="766"/>
      <c r="PO209" s="766"/>
      <c r="PP209" s="766"/>
      <c r="PQ209" s="766"/>
      <c r="PR209" s="766" t="s">
        <v>1208</v>
      </c>
      <c r="PS209" s="766"/>
      <c r="PT209" s="766"/>
      <c r="PU209" s="766"/>
      <c r="PV209" s="766"/>
      <c r="PW209" s="766"/>
      <c r="PX209" s="766"/>
      <c r="PY209" s="766"/>
      <c r="PZ209" s="766"/>
      <c r="QA209" s="766"/>
      <c r="QB209" s="766"/>
      <c r="QC209" s="766"/>
      <c r="QD209" s="766"/>
      <c r="QE209" s="766"/>
      <c r="QF209" s="766"/>
      <c r="QG209" s="766"/>
      <c r="QH209" s="766"/>
      <c r="QI209" s="766"/>
      <c r="QJ209" s="766"/>
      <c r="QK209" s="766"/>
      <c r="QL209" s="766"/>
      <c r="QM209" s="766"/>
      <c r="QN209" s="766"/>
      <c r="QO209" s="766"/>
      <c r="QP209" s="766"/>
      <c r="QQ209" s="766"/>
      <c r="QR209" s="766"/>
      <c r="QS209" s="766"/>
      <c r="QT209" s="766"/>
      <c r="QU209" s="766"/>
      <c r="QV209" s="766"/>
      <c r="QW209" s="766"/>
      <c r="QX209" s="766"/>
      <c r="QY209" s="766"/>
      <c r="QZ209" s="766"/>
      <c r="RA209" s="766"/>
      <c r="RB209" s="766"/>
      <c r="RC209" s="766"/>
      <c r="RD209" s="766"/>
      <c r="RE209" s="766"/>
      <c r="RF209" s="777"/>
      <c r="RG209" s="766"/>
      <c r="RH209" s="775"/>
      <c r="RI209" s="766"/>
      <c r="RJ209" s="766" t="s">
        <v>13288</v>
      </c>
      <c r="RK209" s="766" t="s">
        <v>13146</v>
      </c>
      <c r="RL209" s="1683"/>
      <c r="RM209" s="12"/>
      <c r="RN209" s="1711"/>
      <c r="RO209" s="171" t="s">
        <v>369</v>
      </c>
      <c r="RP209" s="11"/>
      <c r="RQ209" s="11"/>
      <c r="RR209" s="19" t="s">
        <v>7421</v>
      </c>
      <c r="RS209" s="1139" t="s">
        <v>12980</v>
      </c>
      <c r="RT209" s="11"/>
      <c r="RU209" s="11"/>
      <c r="RV209" s="766" t="s">
        <v>7421</v>
      </c>
      <c r="RW209" s="11" t="s">
        <v>7540</v>
      </c>
      <c r="RX209" s="11" t="s">
        <v>363</v>
      </c>
      <c r="RY209" s="11"/>
      <c r="RZ209" s="11" t="s">
        <v>7421</v>
      </c>
      <c r="SA209" s="766"/>
      <c r="SB209" s="11"/>
      <c r="SC209" s="11"/>
    </row>
    <row r="210" spans="1:497" ht="12.75" hidden="1" customHeight="1">
      <c r="A210" s="19" t="s">
        <v>11146</v>
      </c>
      <c r="B210" s="1097" t="s">
        <v>11341</v>
      </c>
      <c r="C210" s="171" t="s">
        <v>11342</v>
      </c>
      <c r="D210" s="766"/>
      <c r="E210" s="766" t="s">
        <v>11343</v>
      </c>
      <c r="F210" s="766"/>
      <c r="G210" s="766"/>
      <c r="H210" s="766"/>
      <c r="I210" s="5"/>
      <c r="J210" s="766"/>
      <c r="K210" s="766" t="s">
        <v>11344</v>
      </c>
      <c r="L210" s="766" t="s">
        <v>425</v>
      </c>
      <c r="M210" s="766"/>
      <c r="N210" s="766" t="s">
        <v>11345</v>
      </c>
      <c r="O210" s="766" t="s">
        <v>11346</v>
      </c>
      <c r="P210" s="766"/>
      <c r="Q210" s="1085"/>
      <c r="R210" s="25"/>
      <c r="S210" s="770"/>
      <c r="T210" s="766"/>
      <c r="U210" s="26"/>
      <c r="V210" s="766"/>
      <c r="W210" s="766"/>
      <c r="X210" s="766"/>
      <c r="Y210" s="766"/>
      <c r="Z210" s="766"/>
      <c r="AA210" s="766"/>
      <c r="AB210" s="766"/>
      <c r="AC210" s="766"/>
      <c r="AD210" s="766"/>
      <c r="AE210" s="766"/>
      <c r="AF210" s="766"/>
      <c r="AG210" s="766" t="s">
        <v>1095</v>
      </c>
      <c r="AH210" s="766" t="s">
        <v>1120</v>
      </c>
      <c r="AI210" s="766"/>
      <c r="AJ210" s="766" t="s">
        <v>1137</v>
      </c>
      <c r="AK210" s="766" t="s">
        <v>1097</v>
      </c>
      <c r="AL210" s="121">
        <v>73.45</v>
      </c>
      <c r="AM210" s="772">
        <v>30.51</v>
      </c>
      <c r="AN210" s="774">
        <f>AM210/AL210</f>
        <v>0.41538461538461541</v>
      </c>
      <c r="AO210" s="766" t="s">
        <v>1149</v>
      </c>
      <c r="AP210" s="766"/>
      <c r="AQ210" s="766"/>
      <c r="AR210" s="766"/>
      <c r="AS210" s="766"/>
      <c r="AT210" s="766"/>
      <c r="AU210" s="766"/>
      <c r="AV210" s="766"/>
      <c r="AW210" s="766"/>
      <c r="AX210" s="13"/>
      <c r="AY210" s="766"/>
      <c r="AZ210" s="766"/>
      <c r="BA210" s="766"/>
      <c r="BB210" s="766"/>
      <c r="BC210" s="766"/>
      <c r="BD210" s="766"/>
      <c r="BE210" s="766"/>
      <c r="BF210" s="775"/>
      <c r="BG210" s="775"/>
      <c r="BH210" s="766"/>
      <c r="BI210" s="766"/>
      <c r="BJ210" s="766"/>
      <c r="BK210" s="766" t="s">
        <v>1095</v>
      </c>
      <c r="BL210" s="769" t="s">
        <v>11834</v>
      </c>
      <c r="BM210" s="766" t="s">
        <v>1120</v>
      </c>
      <c r="BN210" s="766" t="s">
        <v>1230</v>
      </c>
      <c r="BO210" s="766" t="s">
        <v>1239</v>
      </c>
      <c r="BP210" s="776">
        <v>146.9</v>
      </c>
      <c r="BQ210" s="772">
        <v>61</v>
      </c>
      <c r="BR210" s="774">
        <f t="shared" si="59"/>
        <v>0.41524846834581347</v>
      </c>
      <c r="BS210" s="6" t="s">
        <v>1149</v>
      </c>
      <c r="BT210" s="766" t="s">
        <v>2040</v>
      </c>
      <c r="BU210" s="766" t="s">
        <v>1249</v>
      </c>
      <c r="BV210" s="766" t="s">
        <v>1247</v>
      </c>
      <c r="BW210" s="766"/>
      <c r="BX210" s="779"/>
      <c r="BY210" s="766"/>
      <c r="BZ210" s="775"/>
      <c r="CA210" s="766"/>
      <c r="CB210" s="766"/>
      <c r="CC210" s="766"/>
      <c r="CD210" s="766"/>
      <c r="CE210" s="766"/>
      <c r="CF210" s="777"/>
      <c r="CG210" s="778"/>
      <c r="CH210" s="766"/>
      <c r="CI210" s="766"/>
      <c r="CJ210" s="766"/>
      <c r="CK210" s="766"/>
      <c r="CL210" s="766"/>
      <c r="CM210" s="766"/>
      <c r="CN210" s="766"/>
      <c r="CO210" s="766"/>
      <c r="CP210" s="766"/>
      <c r="CQ210" s="766"/>
      <c r="CR210" s="775"/>
      <c r="CS210" s="766"/>
      <c r="CT210" s="766"/>
      <c r="CU210" s="129"/>
      <c r="CV210" s="766"/>
      <c r="CW210" s="766"/>
      <c r="CX210" s="766"/>
      <c r="CY210" s="766"/>
      <c r="CZ210" s="766"/>
      <c r="DA210" s="766"/>
      <c r="DB210" s="766"/>
      <c r="DC210" s="766"/>
      <c r="DD210" s="766"/>
      <c r="DE210" s="766"/>
      <c r="DF210" s="766"/>
      <c r="DG210" s="766"/>
      <c r="DH210" s="766"/>
      <c r="DI210" s="766"/>
      <c r="DJ210" s="766"/>
      <c r="DK210" s="766"/>
      <c r="DL210" s="766"/>
      <c r="DM210" s="766"/>
      <c r="DN210" s="766"/>
      <c r="DO210" s="766"/>
      <c r="DP210" s="766"/>
      <c r="DQ210" s="766"/>
      <c r="DR210" s="766"/>
      <c r="DS210" s="59"/>
      <c r="DT210" s="766"/>
      <c r="DU210" s="766"/>
      <c r="DV210" s="766"/>
      <c r="DW210" s="66"/>
      <c r="DX210" s="66"/>
      <c r="DY210" s="766"/>
      <c r="DZ210" s="766"/>
      <c r="EA210" s="766"/>
      <c r="EB210" s="766"/>
      <c r="EC210" s="766"/>
      <c r="ED210" s="766"/>
      <c r="EE210" s="766"/>
      <c r="EF210" s="766"/>
      <c r="EG210" s="766"/>
      <c r="EH210" s="766"/>
      <c r="EI210" s="766"/>
      <c r="EJ210" s="766"/>
      <c r="EK210" s="766"/>
      <c r="EL210" s="766"/>
      <c r="EM210" s="766"/>
      <c r="EN210" s="766"/>
      <c r="EO210" s="766"/>
      <c r="EP210" s="766"/>
      <c r="EQ210" s="766"/>
      <c r="ER210" s="766"/>
      <c r="ES210" s="766"/>
      <c r="ET210" s="766"/>
      <c r="EU210" s="766"/>
      <c r="EV210" s="766"/>
      <c r="EW210" s="766"/>
      <c r="EX210" s="766"/>
      <c r="EY210" s="766"/>
      <c r="EZ210" s="766"/>
      <c r="FA210" s="766"/>
      <c r="FB210" s="766"/>
      <c r="FC210" s="766"/>
      <c r="FD210" s="775"/>
      <c r="FE210" s="766"/>
      <c r="FF210" s="766"/>
      <c r="FG210" s="766"/>
      <c r="FH210" s="766"/>
      <c r="FI210" s="766"/>
      <c r="FJ210" s="766"/>
      <c r="FK210" s="766"/>
      <c r="FL210" s="766"/>
      <c r="FM210" s="775"/>
      <c r="FN210" s="775"/>
      <c r="FO210" s="775"/>
      <c r="FP210" s="766"/>
      <c r="FQ210" s="766"/>
      <c r="FR210" s="766"/>
      <c r="FS210" s="766"/>
      <c r="FT210" s="766"/>
      <c r="FU210" s="766"/>
      <c r="FV210" s="766"/>
      <c r="FW210" s="766"/>
      <c r="FX210" s="766"/>
      <c r="FY210" s="766"/>
      <c r="FZ210" s="766"/>
      <c r="GA210" s="766"/>
      <c r="GB210" s="766"/>
      <c r="GC210" s="75"/>
      <c r="GD210" s="25"/>
      <c r="GE210" s="766"/>
      <c r="GF210" s="775"/>
      <c r="GG210" s="775"/>
      <c r="GH210" s="766"/>
      <c r="GI210" s="766"/>
      <c r="GJ210" s="766"/>
      <c r="GK210" s="766"/>
      <c r="GL210" s="766"/>
      <c r="GM210" s="766"/>
      <c r="GN210" s="82"/>
      <c r="GO210" s="766"/>
      <c r="GP210" s="766"/>
      <c r="GQ210" s="766"/>
      <c r="GR210" s="766"/>
      <c r="GS210" s="766"/>
      <c r="GT210" s="766"/>
      <c r="GU210" s="766"/>
      <c r="GV210" s="766"/>
      <c r="GW210" s="766"/>
      <c r="GX210" s="766"/>
      <c r="GY210" s="766"/>
      <c r="GZ210" s="766"/>
      <c r="HA210" s="766"/>
      <c r="HB210" s="766"/>
      <c r="HC210" s="766"/>
      <c r="HD210" s="766"/>
      <c r="HE210" s="766"/>
      <c r="HF210" s="766"/>
      <c r="HG210" s="766"/>
      <c r="HH210" s="766"/>
      <c r="HI210" s="766"/>
      <c r="HJ210" s="766"/>
      <c r="HK210" s="766"/>
      <c r="HL210" s="766"/>
      <c r="HM210" s="766"/>
      <c r="HN210" s="766"/>
      <c r="HO210" s="766"/>
      <c r="HP210" s="766"/>
      <c r="HQ210" s="766"/>
      <c r="HR210" s="766"/>
      <c r="HS210" s="766"/>
      <c r="HT210" s="766"/>
      <c r="HU210" s="766"/>
      <c r="HV210" s="766"/>
      <c r="HW210" s="766"/>
      <c r="HX210" s="766"/>
      <c r="HY210" s="766"/>
      <c r="HZ210" s="766"/>
      <c r="IA210" s="766"/>
      <c r="IB210" s="766"/>
      <c r="IC210" s="766"/>
      <c r="ID210" s="766"/>
      <c r="IE210" s="766"/>
      <c r="IF210" s="766"/>
      <c r="IG210" s="766"/>
      <c r="IH210" s="766"/>
      <c r="II210" s="766"/>
      <c r="IJ210" s="766"/>
      <c r="IK210" s="766"/>
      <c r="IL210" s="766"/>
      <c r="IM210" s="766"/>
      <c r="IN210" s="766"/>
      <c r="IO210" s="24"/>
      <c r="IP210" s="766"/>
      <c r="IQ210" s="766"/>
      <c r="IR210" s="766"/>
      <c r="IS210" s="766"/>
      <c r="IT210" s="766"/>
      <c r="IU210" s="766"/>
      <c r="IV210" s="766"/>
      <c r="IW210" s="766"/>
      <c r="IX210" s="766"/>
      <c r="IY210" s="766"/>
      <c r="IZ210" s="766"/>
      <c r="JA210" s="766"/>
      <c r="JB210" s="766"/>
      <c r="JC210" s="766"/>
      <c r="JD210" s="775"/>
      <c r="JE210" s="766"/>
      <c r="JF210" s="766"/>
      <c r="JG210" s="766"/>
      <c r="JH210" s="766"/>
      <c r="JI210" s="766"/>
      <c r="JJ210" s="766"/>
      <c r="JK210" s="766"/>
      <c r="JL210" s="766"/>
      <c r="JM210" s="766"/>
      <c r="JN210" s="766"/>
      <c r="JO210" s="766"/>
      <c r="JP210" s="766"/>
      <c r="JQ210" s="766"/>
      <c r="JR210" s="766"/>
      <c r="JS210" s="766"/>
      <c r="JT210" s="766"/>
      <c r="JU210" s="766"/>
      <c r="JV210" s="766"/>
      <c r="JW210" s="766"/>
      <c r="JX210" s="766"/>
      <c r="JY210" s="766"/>
      <c r="JZ210" s="766"/>
      <c r="KA210" s="766"/>
      <c r="KB210" s="766"/>
      <c r="KC210" s="766"/>
      <c r="KD210" s="766"/>
      <c r="KE210" s="766"/>
      <c r="KF210" s="766"/>
      <c r="KG210" s="766"/>
      <c r="KH210" s="766"/>
      <c r="KI210" s="766"/>
      <c r="KJ210" s="770"/>
      <c r="KK210" s="770"/>
      <c r="KL210" s="770"/>
      <c r="KM210" s="770"/>
      <c r="KN210" s="766"/>
      <c r="KO210" s="766"/>
      <c r="KP210" s="766"/>
      <c r="KQ210" s="766"/>
      <c r="KR210" s="766"/>
      <c r="KS210" s="766"/>
      <c r="KT210" s="766"/>
      <c r="KU210" s="766"/>
      <c r="KV210" s="766"/>
      <c r="KW210" s="766"/>
      <c r="KX210" s="766"/>
      <c r="KY210" s="766"/>
      <c r="KZ210" s="766"/>
      <c r="LA210" s="766"/>
      <c r="LB210" s="766"/>
      <c r="LC210" s="766"/>
      <c r="LD210" s="766"/>
      <c r="LE210" s="766"/>
      <c r="LF210" s="766"/>
      <c r="LG210" s="766"/>
      <c r="LH210" s="766"/>
      <c r="LI210" s="766"/>
      <c r="LJ210" s="766"/>
      <c r="LK210" s="766"/>
      <c r="LL210" s="766"/>
      <c r="LM210" s="766"/>
      <c r="LN210" s="766"/>
      <c r="LO210" s="766"/>
      <c r="LP210" s="766"/>
      <c r="LQ210" s="766"/>
      <c r="LR210" s="766"/>
      <c r="LS210" s="766"/>
      <c r="LT210" s="766"/>
      <c r="LU210" s="766"/>
      <c r="LV210" s="766"/>
      <c r="LW210" s="766"/>
      <c r="LX210" s="769"/>
      <c r="LY210" s="766" t="str">
        <f t="shared" si="50"/>
        <v/>
      </c>
      <c r="LZ210" s="66"/>
      <c r="MA210" s="766"/>
      <c r="MB210" s="766"/>
      <c r="MC210" s="1679">
        <f t="shared" si="41"/>
        <v>0</v>
      </c>
      <c r="MD210" s="66"/>
      <c r="ME210" s="66"/>
      <c r="MF210" s="66"/>
      <c r="MG210" s="1680">
        <f t="shared" si="48"/>
        <v>0</v>
      </c>
      <c r="MH210" s="766"/>
      <c r="MI210" s="775"/>
      <c r="MJ210" s="775"/>
      <c r="MK210" s="775"/>
      <c r="ML210" s="775"/>
      <c r="MM210" s="775"/>
      <c r="MN210" s="775"/>
      <c r="MO210" s="775"/>
      <c r="MP210" s="775"/>
      <c r="MQ210" s="775"/>
      <c r="MR210" s="775"/>
      <c r="MS210" s="775"/>
      <c r="MT210" s="775"/>
      <c r="MU210" s="775"/>
      <c r="MV210" s="775"/>
      <c r="MW210" s="775"/>
      <c r="MX210" s="775"/>
      <c r="MY210" s="1682">
        <f t="shared" si="49"/>
        <v>0</v>
      </c>
      <c r="MZ210" s="766"/>
      <c r="NA210" s="766"/>
      <c r="NB210" s="766"/>
      <c r="NC210" s="766"/>
      <c r="ND210" s="766"/>
      <c r="NE210" s="766"/>
      <c r="NF210" s="766"/>
      <c r="NG210" s="766"/>
      <c r="NH210" s="766"/>
      <c r="NI210" s="766"/>
      <c r="NJ210" s="766"/>
      <c r="NK210" s="766"/>
      <c r="NL210" s="766"/>
      <c r="NM210" s="766"/>
      <c r="NN210" s="766"/>
      <c r="NO210" s="766"/>
      <c r="NP210" s="766"/>
      <c r="NQ210" s="766"/>
      <c r="NR210" s="766"/>
      <c r="NS210" s="766"/>
      <c r="NT210" s="766"/>
      <c r="NU210" s="766"/>
      <c r="NV210" s="766"/>
      <c r="NW210" s="766"/>
      <c r="NX210" s="766"/>
      <c r="NY210" s="766"/>
      <c r="NZ210" s="766"/>
      <c r="OA210" s="766"/>
      <c r="OB210" s="766"/>
      <c r="OC210" s="766"/>
      <c r="OD210" s="766"/>
      <c r="OE210" s="766"/>
      <c r="OF210" s="766"/>
      <c r="OG210" s="766"/>
      <c r="OH210" s="766"/>
      <c r="OI210" s="766"/>
      <c r="OJ210" s="766"/>
      <c r="OK210" s="28"/>
      <c r="OL210" s="766"/>
      <c r="OM210" s="766"/>
      <c r="ON210" s="766"/>
      <c r="OO210" s="766"/>
      <c r="OP210" s="766"/>
      <c r="OQ210" s="766"/>
      <c r="OR210" s="766"/>
      <c r="OS210" s="766"/>
      <c r="OT210" s="766"/>
      <c r="OU210" s="766"/>
      <c r="OV210" s="766"/>
      <c r="OW210" s="766"/>
      <c r="OX210" s="766"/>
      <c r="OY210" s="766"/>
      <c r="OZ210" s="766"/>
      <c r="PA210" s="766"/>
      <c r="PB210" s="766"/>
      <c r="PC210" s="766"/>
      <c r="PD210" s="766"/>
      <c r="PE210" s="766"/>
      <c r="PF210" s="766"/>
      <c r="PG210" s="766"/>
      <c r="PH210" s="766"/>
      <c r="PI210" s="766"/>
      <c r="PJ210" s="766"/>
      <c r="PK210" s="766"/>
      <c r="PL210" s="766"/>
      <c r="PM210" s="766"/>
      <c r="PN210" s="766"/>
      <c r="PO210" s="766"/>
      <c r="PP210" s="766"/>
      <c r="PQ210" s="766"/>
      <c r="PR210" s="766"/>
      <c r="PS210" s="766"/>
      <c r="PT210" s="766"/>
      <c r="PU210" s="766"/>
      <c r="PV210" s="766"/>
      <c r="PW210" s="766"/>
      <c r="PX210" s="766"/>
      <c r="PY210" s="766"/>
      <c r="PZ210" s="766"/>
      <c r="QA210" s="766"/>
      <c r="QB210" s="766"/>
      <c r="QC210" s="766"/>
      <c r="QD210" s="766"/>
      <c r="QE210" s="766"/>
      <c r="QF210" s="766"/>
      <c r="QG210" s="766"/>
      <c r="QH210" s="766"/>
      <c r="QI210" s="766"/>
      <c r="QJ210" s="766"/>
      <c r="QK210" s="766"/>
      <c r="QL210" s="766"/>
      <c r="QM210" s="766"/>
      <c r="QN210" s="766"/>
      <c r="QO210" s="766"/>
      <c r="QP210" s="766"/>
      <c r="QQ210" s="766"/>
      <c r="QR210" s="766"/>
      <c r="QS210" s="766"/>
      <c r="QT210" s="766"/>
      <c r="QU210" s="766"/>
      <c r="QV210" s="766"/>
      <c r="QW210" s="766"/>
      <c r="QX210" s="766"/>
      <c r="QY210" s="766"/>
      <c r="QZ210" s="766"/>
      <c r="RA210" s="766"/>
      <c r="RB210" s="766"/>
      <c r="RC210" s="766"/>
      <c r="RD210" s="766"/>
      <c r="RE210" s="766"/>
      <c r="RF210" s="777"/>
      <c r="RG210" s="766"/>
      <c r="RH210" s="775"/>
      <c r="RI210" s="766"/>
      <c r="RJ210" s="766"/>
      <c r="RK210" s="766"/>
      <c r="RL210" s="1683"/>
      <c r="RM210" s="12" t="s">
        <v>13011</v>
      </c>
      <c r="RN210" s="1711">
        <v>42916</v>
      </c>
      <c r="RO210" s="171" t="s">
        <v>11342</v>
      </c>
      <c r="RP210" s="11"/>
      <c r="RQ210" s="11"/>
      <c r="RR210" s="17"/>
      <c r="RS210" s="766"/>
      <c r="RT210" s="11"/>
      <c r="RU210" s="11"/>
      <c r="RV210" s="766" t="s">
        <v>7421</v>
      </c>
      <c r="RW210" s="11" t="s">
        <v>7968</v>
      </c>
      <c r="RX210" s="11" t="s">
        <v>366</v>
      </c>
      <c r="RY210" s="11"/>
      <c r="RZ210" s="11" t="s">
        <v>7419</v>
      </c>
      <c r="SA210" s="766"/>
      <c r="SB210" s="11"/>
      <c r="SC210" s="11"/>
    </row>
    <row r="211" spans="1:497" ht="12.75" hidden="1" customHeight="1">
      <c r="A211" s="343" t="s">
        <v>7419</v>
      </c>
      <c r="B211" s="1093" t="s">
        <v>12199</v>
      </c>
      <c r="C211" s="171" t="s">
        <v>11848</v>
      </c>
      <c r="D211" s="766" t="s">
        <v>12089</v>
      </c>
      <c r="E211" s="766" t="s">
        <v>11343</v>
      </c>
      <c r="F211" s="766"/>
      <c r="G211" s="766"/>
      <c r="H211" s="766"/>
      <c r="I211" s="5"/>
      <c r="J211" s="766"/>
      <c r="K211" s="766" t="s">
        <v>11344</v>
      </c>
      <c r="L211" s="766" t="s">
        <v>12090</v>
      </c>
      <c r="M211" s="766"/>
      <c r="N211" s="766" t="s">
        <v>12091</v>
      </c>
      <c r="O211" s="766" t="s">
        <v>11345</v>
      </c>
      <c r="P211" s="766"/>
      <c r="Q211" s="1085"/>
      <c r="R211" s="25"/>
      <c r="S211" s="770"/>
      <c r="T211" s="766"/>
      <c r="U211" s="26"/>
      <c r="V211" s="766"/>
      <c r="W211" s="766"/>
      <c r="X211" s="24"/>
      <c r="Y211" s="766"/>
      <c r="Z211" s="766"/>
      <c r="AA211" s="766"/>
      <c r="AB211" s="766"/>
      <c r="AC211" s="766"/>
      <c r="AD211" s="766"/>
      <c r="AE211" s="766"/>
      <c r="AF211" s="766"/>
      <c r="AG211" s="766" t="s">
        <v>1095</v>
      </c>
      <c r="AH211" s="766" t="s">
        <v>1096</v>
      </c>
      <c r="AI211" s="766" t="s">
        <v>12341</v>
      </c>
      <c r="AJ211" s="766"/>
      <c r="AK211" s="766" t="s">
        <v>1097</v>
      </c>
      <c r="AL211" s="333"/>
      <c r="AM211" s="772">
        <v>34</v>
      </c>
      <c r="AN211" s="774"/>
      <c r="AO211" s="766"/>
      <c r="AP211" s="766"/>
      <c r="AQ211" s="766"/>
      <c r="AR211" s="766"/>
      <c r="AS211" s="766"/>
      <c r="AT211" s="766"/>
      <c r="AU211" s="766"/>
      <c r="AV211" s="766"/>
      <c r="AW211" s="766"/>
      <c r="AX211" s="13"/>
      <c r="AY211" s="766"/>
      <c r="AZ211" s="766"/>
      <c r="BA211" s="766"/>
      <c r="BB211" s="766"/>
      <c r="BC211" s="766"/>
      <c r="BD211" s="766"/>
      <c r="BE211" s="766"/>
      <c r="BF211" s="775"/>
      <c r="BG211" s="775"/>
      <c r="BH211" s="766"/>
      <c r="BI211" s="766"/>
      <c r="BJ211" s="766"/>
      <c r="BK211" s="766" t="s">
        <v>1095</v>
      </c>
      <c r="BL211" s="769" t="s">
        <v>12341</v>
      </c>
      <c r="BM211" s="766" t="s">
        <v>8108</v>
      </c>
      <c r="BN211" s="766" t="s">
        <v>1230</v>
      </c>
      <c r="BO211" s="766" t="s">
        <v>1275</v>
      </c>
      <c r="BP211" s="776">
        <v>174.8</v>
      </c>
      <c r="BQ211" s="772">
        <v>54.05</v>
      </c>
      <c r="BR211" s="774">
        <f t="shared" si="59"/>
        <v>0.30921052631578944</v>
      </c>
      <c r="BS211" s="766" t="s">
        <v>1105</v>
      </c>
      <c r="BT211" s="766"/>
      <c r="BU211" s="766"/>
      <c r="BV211" s="766"/>
      <c r="BW211" s="766"/>
      <c r="BX211" s="779"/>
      <c r="BY211" s="766"/>
      <c r="BZ211" s="775"/>
      <c r="CA211" s="766"/>
      <c r="CB211" s="766"/>
      <c r="CC211" s="766"/>
      <c r="CD211" s="766"/>
      <c r="CE211" s="766"/>
      <c r="CF211" s="777"/>
      <c r="CG211" s="778"/>
      <c r="CH211" s="766"/>
      <c r="CI211" s="766"/>
      <c r="CJ211" s="766"/>
      <c r="CK211" s="766"/>
      <c r="CL211" s="766"/>
      <c r="CM211" s="766"/>
      <c r="CN211" s="766"/>
      <c r="CO211" s="766"/>
      <c r="CP211" s="766"/>
      <c r="CQ211" s="766"/>
      <c r="CR211" s="775"/>
      <c r="CS211" s="766"/>
      <c r="CT211" s="766"/>
      <c r="CU211" s="129"/>
      <c r="CV211" s="766"/>
      <c r="CW211" s="766"/>
      <c r="CX211" s="766"/>
      <c r="CY211" s="766"/>
      <c r="CZ211" s="766"/>
      <c r="DA211" s="766"/>
      <c r="DB211" s="766"/>
      <c r="DC211" s="766"/>
      <c r="DD211" s="766"/>
      <c r="DE211" s="766"/>
      <c r="DF211" s="766"/>
      <c r="DG211" s="766"/>
      <c r="DH211" s="766"/>
      <c r="DI211" s="766"/>
      <c r="DJ211" s="766"/>
      <c r="DK211" s="766"/>
      <c r="DL211" s="766"/>
      <c r="DM211" s="766"/>
      <c r="DN211" s="766"/>
      <c r="DO211" s="766"/>
      <c r="DP211" s="766"/>
      <c r="DQ211" s="766"/>
      <c r="DR211" s="766"/>
      <c r="DS211" s="59"/>
      <c r="DT211" s="766"/>
      <c r="DU211" s="766"/>
      <c r="DV211" s="766"/>
      <c r="DW211" s="66"/>
      <c r="DX211" s="66"/>
      <c r="DY211" s="766"/>
      <c r="DZ211" s="766"/>
      <c r="EA211" s="766"/>
      <c r="EB211" s="766"/>
      <c r="EC211" s="766"/>
      <c r="ED211" s="766"/>
      <c r="EE211" s="766"/>
      <c r="EF211" s="766"/>
      <c r="EG211" s="766"/>
      <c r="EH211" s="766"/>
      <c r="EI211" s="766"/>
      <c r="EJ211" s="766"/>
      <c r="EK211" s="766"/>
      <c r="EL211" s="766"/>
      <c r="EM211" s="766"/>
      <c r="EN211" s="766"/>
      <c r="EO211" s="766"/>
      <c r="EP211" s="766"/>
      <c r="EQ211" s="766"/>
      <c r="ER211" s="766"/>
      <c r="ES211" s="766"/>
      <c r="ET211" s="766"/>
      <c r="EU211" s="766"/>
      <c r="EV211" s="766"/>
      <c r="EW211" s="766"/>
      <c r="EX211" s="766"/>
      <c r="EY211" s="766"/>
      <c r="EZ211" s="766"/>
      <c r="FA211" s="766"/>
      <c r="FB211" s="766"/>
      <c r="FC211" s="766"/>
      <c r="FD211" s="775"/>
      <c r="FE211" s="766"/>
      <c r="FF211" s="766"/>
      <c r="FG211" s="766"/>
      <c r="FH211" s="766"/>
      <c r="FI211" s="770"/>
      <c r="FJ211" s="766"/>
      <c r="FK211" s="766"/>
      <c r="FL211" s="766"/>
      <c r="FM211" s="775"/>
      <c r="FN211" s="775"/>
      <c r="FO211" s="775"/>
      <c r="FP211" s="766"/>
      <c r="FQ211" s="766"/>
      <c r="FR211" s="766"/>
      <c r="FS211" s="766"/>
      <c r="FT211" s="766"/>
      <c r="FU211" s="766"/>
      <c r="FV211" s="766"/>
      <c r="FW211" s="766"/>
      <c r="FX211" s="766"/>
      <c r="FY211" s="766"/>
      <c r="FZ211" s="766"/>
      <c r="GA211" s="766"/>
      <c r="GB211" s="766"/>
      <c r="GC211" s="75"/>
      <c r="GD211" s="25"/>
      <c r="GE211" s="766"/>
      <c r="GF211" s="775"/>
      <c r="GG211" s="775"/>
      <c r="GH211" s="766"/>
      <c r="GI211" s="766"/>
      <c r="GJ211" s="766"/>
      <c r="GK211" s="766"/>
      <c r="GL211" s="766"/>
      <c r="GM211" s="766"/>
      <c r="GN211" s="82"/>
      <c r="GO211" s="766"/>
      <c r="GP211" s="766"/>
      <c r="GQ211" s="766"/>
      <c r="GR211" s="766"/>
      <c r="GS211" s="766"/>
      <c r="GT211" s="766"/>
      <c r="GU211" s="766"/>
      <c r="GV211" s="766"/>
      <c r="GW211" s="766"/>
      <c r="GX211" s="766"/>
      <c r="GY211" s="766"/>
      <c r="GZ211" s="766"/>
      <c r="HA211" s="766"/>
      <c r="HB211" s="766"/>
      <c r="HC211" s="766"/>
      <c r="HD211" s="766"/>
      <c r="HE211" s="766"/>
      <c r="HF211" s="766"/>
      <c r="HG211" s="766"/>
      <c r="HH211" s="766"/>
      <c r="HI211" s="766"/>
      <c r="HJ211" s="766"/>
      <c r="HK211" s="766"/>
      <c r="HL211" s="766"/>
      <c r="HM211" s="766"/>
      <c r="HN211" s="766"/>
      <c r="HO211" s="766"/>
      <c r="HP211" s="766"/>
      <c r="HQ211" s="766"/>
      <c r="HR211" s="766"/>
      <c r="HS211" s="766"/>
      <c r="HT211" s="766"/>
      <c r="HU211" s="766"/>
      <c r="HV211" s="766"/>
      <c r="HW211" s="766"/>
      <c r="HX211" s="766"/>
      <c r="HY211" s="766"/>
      <c r="HZ211" s="766"/>
      <c r="IA211" s="766"/>
      <c r="IB211" s="766"/>
      <c r="IC211" s="766"/>
      <c r="ID211" s="766"/>
      <c r="IE211" s="766"/>
      <c r="IF211" s="766"/>
      <c r="IG211" s="766"/>
      <c r="IH211" s="766"/>
      <c r="II211" s="766"/>
      <c r="IJ211" s="766"/>
      <c r="IK211" s="766"/>
      <c r="IL211" s="766"/>
      <c r="IM211" s="766"/>
      <c r="IN211" s="766"/>
      <c r="IO211" s="24"/>
      <c r="IP211" s="766"/>
      <c r="IQ211" s="766"/>
      <c r="IR211" s="766"/>
      <c r="IS211" s="766"/>
      <c r="IT211" s="766"/>
      <c r="IU211" s="766"/>
      <c r="IV211" s="766"/>
      <c r="IW211" s="766"/>
      <c r="IX211" s="766"/>
      <c r="IY211" s="766"/>
      <c r="IZ211" s="766"/>
      <c r="JA211" s="766"/>
      <c r="JB211" s="766"/>
      <c r="JC211" s="766"/>
      <c r="JD211" s="775"/>
      <c r="JE211" s="766"/>
      <c r="JF211" s="766"/>
      <c r="JG211" s="766"/>
      <c r="JH211" s="766"/>
      <c r="JI211" s="766"/>
      <c r="JJ211" s="766"/>
      <c r="JK211" s="766"/>
      <c r="JL211" s="766"/>
      <c r="JM211" s="766"/>
      <c r="JN211" s="766"/>
      <c r="JO211" s="766"/>
      <c r="JP211" s="766"/>
      <c r="JQ211" s="766"/>
      <c r="JR211" s="766"/>
      <c r="JS211" s="766"/>
      <c r="JT211" s="766"/>
      <c r="JU211" s="766"/>
      <c r="JV211" s="766"/>
      <c r="JW211" s="766"/>
      <c r="JX211" s="766"/>
      <c r="JY211" s="766"/>
      <c r="JZ211" s="766"/>
      <c r="KA211" s="766"/>
      <c r="KB211" s="766"/>
      <c r="KC211" s="766"/>
      <c r="KD211" s="766"/>
      <c r="KE211" s="766"/>
      <c r="KF211" s="766"/>
      <c r="KG211" s="766"/>
      <c r="KH211" s="766"/>
      <c r="KI211" s="766"/>
      <c r="KJ211" s="770"/>
      <c r="KK211" s="770"/>
      <c r="KL211" s="770"/>
      <c r="KM211" s="770"/>
      <c r="KN211" s="766"/>
      <c r="KO211" s="766"/>
      <c r="KP211" s="766"/>
      <c r="KQ211" s="766"/>
      <c r="KR211" s="766"/>
      <c r="KS211" s="766"/>
      <c r="KT211" s="766"/>
      <c r="KU211" s="766"/>
      <c r="KV211" s="766"/>
      <c r="KW211" s="766"/>
      <c r="KX211" s="766"/>
      <c r="KY211" s="766"/>
      <c r="KZ211" s="766"/>
      <c r="LA211" s="766"/>
      <c r="LB211" s="766"/>
      <c r="LC211" s="766"/>
      <c r="LD211" s="766"/>
      <c r="LE211" s="766"/>
      <c r="LF211" s="766"/>
      <c r="LG211" s="766"/>
      <c r="LH211" s="766"/>
      <c r="LI211" s="766"/>
      <c r="LJ211" s="766"/>
      <c r="LK211" s="766"/>
      <c r="LL211" s="766"/>
      <c r="LM211" s="766"/>
      <c r="LN211" s="766"/>
      <c r="LO211" s="766"/>
      <c r="LP211" s="766"/>
      <c r="LQ211" s="766"/>
      <c r="LR211" s="766"/>
      <c r="LS211" s="766"/>
      <c r="LT211" s="766"/>
      <c r="LU211" s="766"/>
      <c r="LV211" s="766"/>
      <c r="LW211" s="766"/>
      <c r="LX211" s="769"/>
      <c r="LY211" s="766" t="str">
        <f t="shared" si="50"/>
        <v/>
      </c>
      <c r="LZ211" s="66"/>
      <c r="MA211" s="766"/>
      <c r="MB211" s="766"/>
      <c r="MC211" s="1679">
        <f t="shared" si="41"/>
        <v>0</v>
      </c>
      <c r="MD211" s="66"/>
      <c r="ME211" s="66"/>
      <c r="MF211" s="66"/>
      <c r="MG211" s="1680">
        <f t="shared" si="48"/>
        <v>0</v>
      </c>
      <c r="MH211" s="766"/>
      <c r="MI211" s="775"/>
      <c r="MJ211" s="775"/>
      <c r="MK211" s="775"/>
      <c r="ML211" s="775"/>
      <c r="MM211" s="775"/>
      <c r="MN211" s="775"/>
      <c r="MO211" s="775"/>
      <c r="MP211" s="775"/>
      <c r="MQ211" s="775"/>
      <c r="MR211" s="775"/>
      <c r="MS211" s="775"/>
      <c r="MT211" s="775"/>
      <c r="MU211" s="775"/>
      <c r="MV211" s="775"/>
      <c r="MW211" s="775"/>
      <c r="MX211" s="775"/>
      <c r="MY211" s="1682">
        <f t="shared" si="49"/>
        <v>0</v>
      </c>
      <c r="MZ211" s="766"/>
      <c r="NA211" s="766"/>
      <c r="NB211" s="766"/>
      <c r="NC211" s="766"/>
      <c r="ND211" s="766"/>
      <c r="NE211" s="766"/>
      <c r="NF211" s="766"/>
      <c r="NG211" s="766"/>
      <c r="NH211" s="766"/>
      <c r="NI211" s="766"/>
      <c r="NJ211" s="766"/>
      <c r="NK211" s="766"/>
      <c r="NL211" s="766"/>
      <c r="NM211" s="766"/>
      <c r="NN211" s="766"/>
      <c r="NO211" s="766"/>
      <c r="NP211" s="766"/>
      <c r="NQ211" s="766"/>
      <c r="NR211" s="766"/>
      <c r="NS211" s="766"/>
      <c r="NT211" s="766"/>
      <c r="NU211" s="766"/>
      <c r="NV211" s="766"/>
      <c r="NW211" s="766"/>
      <c r="NX211" s="766"/>
      <c r="NY211" s="766"/>
      <c r="NZ211" s="766"/>
      <c r="OA211" s="766"/>
      <c r="OB211" s="766"/>
      <c r="OC211" s="766"/>
      <c r="OD211" s="766"/>
      <c r="OE211" s="766"/>
      <c r="OF211" s="766"/>
      <c r="OG211" s="766"/>
      <c r="OH211" s="766"/>
      <c r="OI211" s="766"/>
      <c r="OJ211" s="766"/>
      <c r="OK211" s="28"/>
      <c r="OL211" s="766"/>
      <c r="OM211" s="766"/>
      <c r="ON211" s="766"/>
      <c r="OO211" s="766"/>
      <c r="OP211" s="766"/>
      <c r="OQ211" s="766"/>
      <c r="OR211" s="766"/>
      <c r="OS211" s="766"/>
      <c r="OT211" s="766"/>
      <c r="OU211" s="766"/>
      <c r="OV211" s="766"/>
      <c r="OW211" s="766"/>
      <c r="OX211" s="766"/>
      <c r="OY211" s="766"/>
      <c r="OZ211" s="766"/>
      <c r="PA211" s="766"/>
      <c r="PB211" s="766"/>
      <c r="PC211" s="766"/>
      <c r="PD211" s="766"/>
      <c r="PE211" s="766"/>
      <c r="PF211" s="766"/>
      <c r="PG211" s="766"/>
      <c r="PH211" s="766"/>
      <c r="PI211" s="766"/>
      <c r="PJ211" s="766"/>
      <c r="PK211" s="766"/>
      <c r="PL211" s="766"/>
      <c r="PM211" s="766"/>
      <c r="PN211" s="766"/>
      <c r="PO211" s="766"/>
      <c r="PP211" s="766"/>
      <c r="PQ211" s="766"/>
      <c r="PR211" s="766"/>
      <c r="PS211" s="766"/>
      <c r="PT211" s="766"/>
      <c r="PU211" s="766"/>
      <c r="PV211" s="766"/>
      <c r="PW211" s="766"/>
      <c r="PX211" s="766"/>
      <c r="PY211" s="766"/>
      <c r="PZ211" s="766"/>
      <c r="QA211" s="766"/>
      <c r="QB211" s="766"/>
      <c r="QC211" s="766"/>
      <c r="QD211" s="766"/>
      <c r="QE211" s="766"/>
      <c r="QF211" s="766"/>
      <c r="QG211" s="766"/>
      <c r="QH211" s="766"/>
      <c r="QI211" s="766"/>
      <c r="QJ211" s="766"/>
      <c r="QK211" s="766"/>
      <c r="QL211" s="766"/>
      <c r="QM211" s="766"/>
      <c r="QN211" s="766"/>
      <c r="QO211" s="766"/>
      <c r="QP211" s="766"/>
      <c r="QQ211" s="766"/>
      <c r="QR211" s="766"/>
      <c r="QS211" s="766"/>
      <c r="QT211" s="766"/>
      <c r="QU211" s="766"/>
      <c r="QV211" s="766"/>
      <c r="QW211" s="766"/>
      <c r="QX211" s="766"/>
      <c r="QY211" s="766"/>
      <c r="QZ211" s="766"/>
      <c r="RA211" s="766"/>
      <c r="RB211" s="766"/>
      <c r="RC211" s="766"/>
      <c r="RD211" s="766"/>
      <c r="RE211" s="766"/>
      <c r="RF211" s="777"/>
      <c r="RG211" s="766"/>
      <c r="RH211" s="775"/>
      <c r="RI211" s="766"/>
      <c r="RJ211" s="766"/>
      <c r="RK211" s="766"/>
      <c r="RL211" s="1683"/>
      <c r="RM211" s="12"/>
      <c r="RN211" s="1711"/>
      <c r="RO211" s="171" t="s">
        <v>11848</v>
      </c>
      <c r="RP211" s="11"/>
      <c r="RQ211" s="11"/>
      <c r="RR211" s="17"/>
      <c r="RS211" s="766"/>
      <c r="RT211" s="11"/>
      <c r="RU211" s="11"/>
      <c r="RV211" s="766" t="s">
        <v>7421</v>
      </c>
      <c r="RW211" s="11" t="s">
        <v>7588</v>
      </c>
      <c r="RX211" s="11" t="s">
        <v>369</v>
      </c>
      <c r="RY211" s="11"/>
      <c r="RZ211" s="11" t="s">
        <v>7419</v>
      </c>
      <c r="SA211" s="766"/>
      <c r="SB211" s="11"/>
      <c r="SC211" s="11"/>
    </row>
    <row r="212" spans="1:497" ht="12.75" hidden="1" customHeight="1">
      <c r="A212" s="343" t="s">
        <v>14158</v>
      </c>
      <c r="B212" s="1093" t="s">
        <v>12092</v>
      </c>
      <c r="C212" s="171" t="s">
        <v>11848</v>
      </c>
      <c r="D212" s="766" t="s">
        <v>12093</v>
      </c>
      <c r="E212" s="766" t="s">
        <v>12094</v>
      </c>
      <c r="F212" s="766" t="s">
        <v>42</v>
      </c>
      <c r="G212" s="766" t="s">
        <v>10</v>
      </c>
      <c r="H212" s="766"/>
      <c r="I212" s="5" t="s">
        <v>12095</v>
      </c>
      <c r="J212" s="766" t="s">
        <v>12096</v>
      </c>
      <c r="K212" s="766" t="s">
        <v>11344</v>
      </c>
      <c r="L212" s="766" t="s">
        <v>12090</v>
      </c>
      <c r="M212" s="766"/>
      <c r="N212" s="766" t="s">
        <v>12091</v>
      </c>
      <c r="O212" s="766" t="s">
        <v>11345</v>
      </c>
      <c r="P212" s="14" t="s">
        <v>12097</v>
      </c>
      <c r="Q212" s="1085">
        <v>25531</v>
      </c>
      <c r="R212" s="25">
        <v>42</v>
      </c>
      <c r="S212" s="770" t="s">
        <v>10</v>
      </c>
      <c r="T212" s="766"/>
      <c r="U212" s="26" t="s">
        <v>12098</v>
      </c>
      <c r="V212" s="766" t="s">
        <v>707</v>
      </c>
      <c r="W212" s="766" t="s">
        <v>12099</v>
      </c>
      <c r="X212" s="24">
        <v>25074</v>
      </c>
      <c r="Y212" s="766" t="s">
        <v>12100</v>
      </c>
      <c r="Z212" s="766" t="s">
        <v>12101</v>
      </c>
      <c r="AA212" s="766" t="s">
        <v>709</v>
      </c>
      <c r="AB212" s="12" t="s">
        <v>710</v>
      </c>
      <c r="AC212" s="766" t="s">
        <v>991</v>
      </c>
      <c r="AD212" s="766"/>
      <c r="AE212" s="766"/>
      <c r="AF212" s="766" t="s">
        <v>712</v>
      </c>
      <c r="AG212" s="766"/>
      <c r="AH212" s="766"/>
      <c r="AI212" s="766"/>
      <c r="AJ212" s="766"/>
      <c r="AK212" s="766" t="s">
        <v>1899</v>
      </c>
      <c r="AL212" s="121"/>
      <c r="AM212" s="772"/>
      <c r="AN212" s="774"/>
      <c r="AO212" s="766"/>
      <c r="AP212" s="766"/>
      <c r="AQ212" s="766"/>
      <c r="AR212" s="766"/>
      <c r="AS212" s="766"/>
      <c r="AT212" s="766"/>
      <c r="AU212" s="766"/>
      <c r="AV212" s="766"/>
      <c r="AW212" s="766"/>
      <c r="AX212" s="13"/>
      <c r="AY212" s="766"/>
      <c r="AZ212" s="766"/>
      <c r="BA212" s="766"/>
      <c r="BB212" s="766"/>
      <c r="BC212" s="766"/>
      <c r="BD212" s="766"/>
      <c r="BE212" s="766"/>
      <c r="BF212" s="775"/>
      <c r="BG212" s="775"/>
      <c r="BH212" s="766"/>
      <c r="BI212" s="766"/>
      <c r="BJ212" s="766"/>
      <c r="BK212" s="766"/>
      <c r="BL212" s="766"/>
      <c r="BM212" s="766" t="s">
        <v>12423</v>
      </c>
      <c r="BN212" s="766" t="s">
        <v>1256</v>
      </c>
      <c r="BO212" s="766"/>
      <c r="BP212" s="776"/>
      <c r="BQ212" s="772"/>
      <c r="BR212" s="774"/>
      <c r="BS212" s="766" t="s">
        <v>1105</v>
      </c>
      <c r="BT212" s="766"/>
      <c r="BU212" s="766"/>
      <c r="BV212" s="766"/>
      <c r="BW212" s="766"/>
      <c r="BX212" s="779"/>
      <c r="BY212" s="766"/>
      <c r="BZ212" s="775"/>
      <c r="CA212" s="766"/>
      <c r="CB212" s="766"/>
      <c r="CC212" s="766"/>
      <c r="CD212" s="766"/>
      <c r="CE212" s="766"/>
      <c r="CF212" s="777"/>
      <c r="CG212" s="778"/>
      <c r="CH212" s="766"/>
      <c r="CI212" s="766"/>
      <c r="CJ212" s="766"/>
      <c r="CK212" s="766"/>
      <c r="CL212" s="766"/>
      <c r="CM212" s="766"/>
      <c r="CN212" s="766"/>
      <c r="CO212" s="766"/>
      <c r="CP212" s="766"/>
      <c r="CQ212" s="766"/>
      <c r="CR212" s="775"/>
      <c r="CS212" s="766"/>
      <c r="CT212" s="766"/>
      <c r="CU212" s="129"/>
      <c r="CV212" s="766"/>
      <c r="CW212" s="766"/>
      <c r="CX212" s="766"/>
      <c r="CY212" s="766"/>
      <c r="CZ212" s="766"/>
      <c r="DA212" s="766"/>
      <c r="DB212" s="766"/>
      <c r="DC212" s="766"/>
      <c r="DD212" s="766"/>
      <c r="DE212" s="766"/>
      <c r="DF212" s="766"/>
      <c r="DG212" s="766"/>
      <c r="DH212" s="766"/>
      <c r="DI212" s="766"/>
      <c r="DJ212" s="766"/>
      <c r="DK212" s="766"/>
      <c r="DL212" s="766"/>
      <c r="DM212" s="766"/>
      <c r="DN212" s="766"/>
      <c r="DO212" s="766"/>
      <c r="DP212" s="766"/>
      <c r="DQ212" s="766"/>
      <c r="DR212" s="766"/>
      <c r="DS212" s="59"/>
      <c r="DT212" s="766"/>
      <c r="DU212" s="766"/>
      <c r="DV212" s="766"/>
      <c r="DW212" s="66"/>
      <c r="DX212" s="66"/>
      <c r="DY212" s="766"/>
      <c r="DZ212" s="766"/>
      <c r="EA212" s="766"/>
      <c r="EB212" s="766"/>
      <c r="EC212" s="766"/>
      <c r="ED212" s="766"/>
      <c r="EE212" s="766"/>
      <c r="EF212" s="766"/>
      <c r="EG212" s="766"/>
      <c r="EH212" s="766"/>
      <c r="EI212" s="766"/>
      <c r="EJ212" s="766"/>
      <c r="EK212" s="766"/>
      <c r="EL212" s="766"/>
      <c r="EM212" s="766"/>
      <c r="EN212" s="766"/>
      <c r="EO212" s="766"/>
      <c r="EP212" s="766"/>
      <c r="EQ212" s="766"/>
      <c r="ER212" s="766"/>
      <c r="ES212" s="766"/>
      <c r="ET212" s="766"/>
      <c r="EU212" s="766"/>
      <c r="EV212" s="766"/>
      <c r="EW212" s="766"/>
      <c r="EX212" s="766"/>
      <c r="EY212" s="766"/>
      <c r="EZ212" s="766"/>
      <c r="FA212" s="766"/>
      <c r="FB212" s="766"/>
      <c r="FC212" s="766"/>
      <c r="FD212" s="775"/>
      <c r="FE212" s="766"/>
      <c r="FF212" s="766"/>
      <c r="FG212" s="766"/>
      <c r="FH212" s="766" t="s">
        <v>1263</v>
      </c>
      <c r="FI212" s="770">
        <v>1</v>
      </c>
      <c r="FJ212" s="766" t="s">
        <v>12140</v>
      </c>
      <c r="FK212" s="766"/>
      <c r="FL212" s="766"/>
      <c r="FM212" s="147">
        <v>2500</v>
      </c>
      <c r="FN212" s="775">
        <v>0</v>
      </c>
      <c r="FO212" s="775">
        <v>3000</v>
      </c>
      <c r="FP212" s="766" t="s">
        <v>1602</v>
      </c>
      <c r="FQ212" s="766" t="s">
        <v>1660</v>
      </c>
      <c r="FR212" s="766"/>
      <c r="FS212" s="766"/>
      <c r="FT212" s="766"/>
      <c r="FU212" s="766"/>
      <c r="FV212" s="766"/>
      <c r="FW212" s="766"/>
      <c r="FX212" s="766"/>
      <c r="FY212" s="766"/>
      <c r="FZ212" s="766"/>
      <c r="GA212" s="766"/>
      <c r="GB212" s="766"/>
      <c r="GC212" s="75"/>
      <c r="GD212" s="25"/>
      <c r="GE212" s="766"/>
      <c r="GF212" s="775"/>
      <c r="GG212" s="775"/>
      <c r="GH212" s="766"/>
      <c r="GI212" s="766"/>
      <c r="GJ212" s="766"/>
      <c r="GK212" s="766"/>
      <c r="GL212" s="766"/>
      <c r="GM212" s="766"/>
      <c r="GN212" s="82"/>
      <c r="GO212" s="766"/>
      <c r="GP212" s="766"/>
      <c r="GQ212" s="766"/>
      <c r="GR212" s="766"/>
      <c r="GS212" s="766"/>
      <c r="GT212" s="766"/>
      <c r="GU212" s="766"/>
      <c r="GV212" s="766"/>
      <c r="GW212" s="766"/>
      <c r="GX212" s="766"/>
      <c r="GY212" s="766"/>
      <c r="GZ212" s="766"/>
      <c r="HA212" s="766"/>
      <c r="HB212" s="766"/>
      <c r="HC212" s="766"/>
      <c r="HD212" s="766"/>
      <c r="HE212" s="766"/>
      <c r="HF212" s="766"/>
      <c r="HG212" s="766"/>
      <c r="HH212" s="766"/>
      <c r="HI212" s="766"/>
      <c r="HJ212" s="766"/>
      <c r="HK212" s="766"/>
      <c r="HL212" s="766"/>
      <c r="HM212" s="766"/>
      <c r="HN212" s="766"/>
      <c r="HO212" s="766"/>
      <c r="HP212" s="766"/>
      <c r="HQ212" s="766"/>
      <c r="HR212" s="766"/>
      <c r="HS212" s="766"/>
      <c r="HT212" s="766"/>
      <c r="HU212" s="766"/>
      <c r="HV212" s="766"/>
      <c r="HW212" s="766"/>
      <c r="HX212" s="766"/>
      <c r="HY212" s="766"/>
      <c r="HZ212" s="766"/>
      <c r="IA212" s="766"/>
      <c r="IB212" s="14" t="e">
        <f>IF(#REF!&gt;0,IF(#REF!&lt;=10000,"Y",""),"")</f>
        <v>#REF!</v>
      </c>
      <c r="IC212" s="766"/>
      <c r="ID212" s="766"/>
      <c r="IE212" s="766"/>
      <c r="IF212" s="766" t="s">
        <v>12142</v>
      </c>
      <c r="IG212" s="766" t="s">
        <v>10</v>
      </c>
      <c r="IH212" s="766" t="s">
        <v>42</v>
      </c>
      <c r="II212" s="766" t="s">
        <v>12100</v>
      </c>
      <c r="IJ212" s="766" t="s">
        <v>1604</v>
      </c>
      <c r="IK212" s="766" t="s">
        <v>1973</v>
      </c>
      <c r="IL212" s="766" t="s">
        <v>12143</v>
      </c>
      <c r="IM212" s="766"/>
      <c r="IN212" s="766" t="s">
        <v>12144</v>
      </c>
      <c r="IO212" s="24">
        <v>25074</v>
      </c>
      <c r="IP212" s="766" t="s">
        <v>1306</v>
      </c>
      <c r="IQ212" s="769" t="s">
        <v>12145</v>
      </c>
      <c r="IR212" s="770" t="s">
        <v>1964</v>
      </c>
      <c r="IS212" s="766"/>
      <c r="IT212" s="766" t="s">
        <v>1208</v>
      </c>
      <c r="IU212" s="766"/>
      <c r="IV212" s="766"/>
      <c r="IW212" s="766"/>
      <c r="IX212" s="766"/>
      <c r="IY212" s="766"/>
      <c r="IZ212" s="766"/>
      <c r="JA212" s="766"/>
      <c r="JB212" s="766"/>
      <c r="JC212" s="766"/>
      <c r="JD212" s="775"/>
      <c r="JE212" s="766"/>
      <c r="JF212" s="766"/>
      <c r="JG212" s="766"/>
      <c r="JH212" s="766"/>
      <c r="JI212" s="766"/>
      <c r="JJ212" s="766">
        <v>4</v>
      </c>
      <c r="JK212" s="1139" t="s">
        <v>12195</v>
      </c>
      <c r="JL212" s="766"/>
      <c r="JM212" s="766">
        <v>1</v>
      </c>
      <c r="JN212" s="766">
        <v>2</v>
      </c>
      <c r="JO212" s="766">
        <v>1</v>
      </c>
      <c r="JP212" s="766"/>
      <c r="JQ212" s="766"/>
      <c r="JR212" s="766"/>
      <c r="JS212" s="766"/>
      <c r="JT212" s="766">
        <f>SUM(JP212,JN212,JL212,JR212)</f>
        <v>2</v>
      </c>
      <c r="JU212" s="766">
        <f>SUM(JQ212,JO212,JM212,JS212)</f>
        <v>2</v>
      </c>
      <c r="JV212" s="712" t="str">
        <f>IF(JT212=KJ212,"ok","male")</f>
        <v>ok</v>
      </c>
      <c r="JW212" s="712" t="str">
        <f>IF(JU212=KK212,"ok","female")</f>
        <v>ok</v>
      </c>
      <c r="JX212" s="766"/>
      <c r="JY212" s="766"/>
      <c r="JZ212" s="766"/>
      <c r="KA212" s="766">
        <v>1</v>
      </c>
      <c r="KB212" s="766">
        <v>1</v>
      </c>
      <c r="KC212" s="766"/>
      <c r="KD212" s="766">
        <v>1</v>
      </c>
      <c r="KE212" s="766">
        <v>1</v>
      </c>
      <c r="KF212" s="766"/>
      <c r="KG212" s="766"/>
      <c r="KH212" s="766"/>
      <c r="KI212" s="766"/>
      <c r="KJ212" s="770">
        <f t="shared" si="58"/>
        <v>2</v>
      </c>
      <c r="KK212" s="770">
        <f t="shared" si="58"/>
        <v>2</v>
      </c>
      <c r="KL212" s="712" t="str">
        <f>IF(KJ212=LN212,"ok","male")</f>
        <v>ok</v>
      </c>
      <c r="KM212" s="712" t="str">
        <f>IF(KK212=LO212,"ok","female")</f>
        <v>ok</v>
      </c>
      <c r="KN212" s="766" t="s">
        <v>707</v>
      </c>
      <c r="KO212" s="766"/>
      <c r="KP212" s="766"/>
      <c r="KQ212" s="766"/>
      <c r="KR212" s="766"/>
      <c r="KS212" s="766"/>
      <c r="KT212" s="766"/>
      <c r="KU212" s="766">
        <v>1</v>
      </c>
      <c r="KV212" s="766"/>
      <c r="KW212" s="766"/>
      <c r="KX212" s="766">
        <v>1</v>
      </c>
      <c r="KY212" s="766"/>
      <c r="KZ212" s="766"/>
      <c r="LA212" s="766"/>
      <c r="LB212" s="766"/>
      <c r="LC212" s="766"/>
      <c r="LD212" s="766">
        <v>1</v>
      </c>
      <c r="LE212" s="766">
        <v>1</v>
      </c>
      <c r="LF212" s="766"/>
      <c r="LG212" s="766"/>
      <c r="LH212" s="766"/>
      <c r="LI212" s="766"/>
      <c r="LJ212" s="766"/>
      <c r="LK212" s="766"/>
      <c r="LL212" s="766"/>
      <c r="LM212" s="766"/>
      <c r="LN212" s="766">
        <f t="shared" si="47"/>
        <v>2</v>
      </c>
      <c r="LO212" s="766">
        <f t="shared" si="47"/>
        <v>2</v>
      </c>
      <c r="LP212" s="766">
        <v>2</v>
      </c>
      <c r="LQ212" s="766">
        <v>1</v>
      </c>
      <c r="LR212" s="766">
        <v>1</v>
      </c>
      <c r="LS212" s="766"/>
      <c r="LT212" s="712" t="str">
        <f>IF(LQ212=SUM(LU212:LW212),"OK","REV")</f>
        <v>OK</v>
      </c>
      <c r="LU212" s="766"/>
      <c r="LV212" s="766">
        <v>1</v>
      </c>
      <c r="LW212" s="766"/>
      <c r="LX212" s="769">
        <v>1</v>
      </c>
      <c r="LY212" s="766" t="str">
        <f t="shared" si="50"/>
        <v>within the BRGY</v>
      </c>
      <c r="LZ212" s="299"/>
      <c r="MA212" s="1709"/>
      <c r="MB212" s="766"/>
      <c r="MC212" s="1679">
        <f t="shared" si="41"/>
        <v>0</v>
      </c>
      <c r="MD212" s="66">
        <f>360*26</f>
        <v>9360</v>
      </c>
      <c r="ME212" s="66">
        <f>20000+9000</f>
        <v>29000</v>
      </c>
      <c r="MF212" s="66"/>
      <c r="MG212" s="1680">
        <f>SUM(MD212:MF212)</f>
        <v>38360</v>
      </c>
      <c r="MH212" s="766" t="s">
        <v>13289</v>
      </c>
      <c r="MI212" s="775">
        <f>400*30</f>
        <v>12000</v>
      </c>
      <c r="MJ212" s="775">
        <f>300*30</f>
        <v>9000</v>
      </c>
      <c r="MK212" s="775">
        <v>2000</v>
      </c>
      <c r="ML212" s="775">
        <v>500</v>
      </c>
      <c r="MM212" s="775">
        <v>15000</v>
      </c>
      <c r="MN212" s="775">
        <v>2500</v>
      </c>
      <c r="MO212" s="775">
        <v>500</v>
      </c>
      <c r="MP212" s="775">
        <v>3000</v>
      </c>
      <c r="MQ212" s="775">
        <v>560</v>
      </c>
      <c r="MR212" s="775">
        <v>1000</v>
      </c>
      <c r="MS212" s="775"/>
      <c r="MT212" s="775"/>
      <c r="MU212" s="775"/>
      <c r="MV212" s="775"/>
      <c r="MW212" s="775"/>
      <c r="MX212" s="775"/>
      <c r="MY212" s="1682">
        <f t="shared" si="49"/>
        <v>46060</v>
      </c>
      <c r="MZ212" s="766" t="s">
        <v>13004</v>
      </c>
      <c r="NA212" s="766" t="s">
        <v>13005</v>
      </c>
      <c r="NB212" s="766" t="s">
        <v>13069</v>
      </c>
      <c r="NC212" s="766" t="s">
        <v>13290</v>
      </c>
      <c r="ND212" s="766">
        <v>0</v>
      </c>
      <c r="NE212" s="766">
        <v>1</v>
      </c>
      <c r="NF212" s="766">
        <v>8</v>
      </c>
      <c r="NG212" s="766">
        <v>3</v>
      </c>
      <c r="NH212" s="766">
        <v>0</v>
      </c>
      <c r="NI212" s="766">
        <v>0</v>
      </c>
      <c r="NJ212" s="766">
        <v>0</v>
      </c>
      <c r="NK212" s="766">
        <v>0</v>
      </c>
      <c r="NL212" s="766">
        <v>1</v>
      </c>
      <c r="NM212" s="766">
        <v>1</v>
      </c>
      <c r="NN212" s="766">
        <v>0</v>
      </c>
      <c r="NO212" s="766">
        <v>0</v>
      </c>
      <c r="NP212" s="766">
        <v>0</v>
      </c>
      <c r="NQ212" s="766">
        <v>0</v>
      </c>
      <c r="NR212" s="766">
        <v>0</v>
      </c>
      <c r="NS212" s="766">
        <v>0</v>
      </c>
      <c r="NT212" s="766">
        <v>0</v>
      </c>
      <c r="NU212" s="766">
        <v>0</v>
      </c>
      <c r="NV212" s="766">
        <v>0</v>
      </c>
      <c r="NW212" s="766">
        <v>0</v>
      </c>
      <c r="NX212" s="766">
        <v>0</v>
      </c>
      <c r="NY212" s="766" t="s">
        <v>1208</v>
      </c>
      <c r="NZ212" s="766" t="s">
        <v>1208</v>
      </c>
      <c r="OA212" s="766" t="s">
        <v>1208</v>
      </c>
      <c r="OB212" s="766" t="s">
        <v>1208</v>
      </c>
      <c r="OC212" s="766" t="s">
        <v>1208</v>
      </c>
      <c r="OD212" s="766" t="s">
        <v>1208</v>
      </c>
      <c r="OE212" s="766"/>
      <c r="OF212" s="766" t="s">
        <v>2142</v>
      </c>
      <c r="OG212" s="766"/>
      <c r="OH212" s="766"/>
      <c r="OI212" s="766"/>
      <c r="OJ212" s="766"/>
      <c r="OK212" s="28"/>
      <c r="OL212" s="766"/>
      <c r="OM212" s="766"/>
      <c r="ON212" s="766"/>
      <c r="OO212" s="766"/>
      <c r="OP212" s="766"/>
      <c r="OQ212" s="766"/>
      <c r="OR212" s="766"/>
      <c r="OS212" s="766"/>
      <c r="OT212" s="766"/>
      <c r="OU212" s="766"/>
      <c r="OV212" s="766"/>
      <c r="OW212" s="766"/>
      <c r="OX212" s="766"/>
      <c r="OY212" s="766"/>
      <c r="OZ212" s="766"/>
      <c r="PA212" s="766"/>
      <c r="PB212" s="766"/>
      <c r="PC212" s="766"/>
      <c r="PD212" s="766"/>
      <c r="PE212" s="766"/>
      <c r="PF212" s="766"/>
      <c r="PG212" s="766"/>
      <c r="PH212" s="766"/>
      <c r="PI212" s="766"/>
      <c r="PJ212" s="766"/>
      <c r="PK212" s="766"/>
      <c r="PL212" s="766"/>
      <c r="PM212" s="766"/>
      <c r="PN212" s="766"/>
      <c r="PO212" s="766"/>
      <c r="PP212" s="766"/>
      <c r="PQ212" s="766"/>
      <c r="PR212" s="766"/>
      <c r="PS212" s="766"/>
      <c r="PT212" s="766"/>
      <c r="PU212" s="766"/>
      <c r="PV212" s="766"/>
      <c r="PW212" s="766"/>
      <c r="PX212" s="766"/>
      <c r="PY212" s="766" t="s">
        <v>1208</v>
      </c>
      <c r="PZ212" s="766"/>
      <c r="QA212" s="766"/>
      <c r="QB212" s="766"/>
      <c r="QC212" s="766"/>
      <c r="QD212" s="766"/>
      <c r="QE212" s="766"/>
      <c r="QF212" s="766"/>
      <c r="QG212" s="766"/>
      <c r="QH212" s="766"/>
      <c r="QI212" s="766"/>
      <c r="QJ212" s="766"/>
      <c r="QK212" s="766"/>
      <c r="QL212" s="766"/>
      <c r="QM212" s="766"/>
      <c r="QN212" s="766"/>
      <c r="QO212" s="766"/>
      <c r="QP212" s="766"/>
      <c r="QQ212" s="766"/>
      <c r="QR212" s="766"/>
      <c r="QS212" s="766"/>
      <c r="QT212" s="766"/>
      <c r="QU212" s="766"/>
      <c r="QV212" s="766"/>
      <c r="QW212" s="766"/>
      <c r="QX212" s="766"/>
      <c r="QY212" s="766"/>
      <c r="QZ212" s="766"/>
      <c r="RA212" s="766"/>
      <c r="RB212" s="766" t="s">
        <v>1207</v>
      </c>
      <c r="RC212" s="766">
        <v>2014</v>
      </c>
      <c r="RD212" s="766" t="s">
        <v>13251</v>
      </c>
      <c r="RE212" s="766" t="s">
        <v>13008</v>
      </c>
      <c r="RF212" s="777">
        <v>0.5</v>
      </c>
      <c r="RG212" s="766" t="s">
        <v>12991</v>
      </c>
      <c r="RH212" s="775">
        <v>0</v>
      </c>
      <c r="RI212" s="766">
        <v>24</v>
      </c>
      <c r="RJ212" s="766" t="s">
        <v>13291</v>
      </c>
      <c r="RK212" s="766" t="s">
        <v>13013</v>
      </c>
      <c r="RL212" s="1683"/>
      <c r="RM212" s="12"/>
      <c r="RN212" s="1711"/>
      <c r="RO212" s="171" t="s">
        <v>11848</v>
      </c>
      <c r="RP212" s="11"/>
      <c r="RQ212" s="11"/>
      <c r="RR212" s="343" t="s">
        <v>12449</v>
      </c>
      <c r="RS212" s="1139" t="s">
        <v>12980</v>
      </c>
      <c r="RT212" s="11"/>
      <c r="RU212" s="11"/>
      <c r="RV212" s="766" t="s">
        <v>11146</v>
      </c>
      <c r="RW212" s="11" t="s">
        <v>11341</v>
      </c>
      <c r="RX212" s="11" t="s">
        <v>11342</v>
      </c>
      <c r="RY212" s="11"/>
      <c r="RZ212" s="11"/>
      <c r="SA212" s="766"/>
      <c r="SB212" s="11"/>
      <c r="SC212" s="11"/>
    </row>
    <row r="213" spans="1:497" ht="12.75" hidden="1" customHeight="1">
      <c r="A213" s="343" t="s">
        <v>14158</v>
      </c>
      <c r="B213" s="1093" t="s">
        <v>12102</v>
      </c>
      <c r="C213" s="171" t="s">
        <v>11848</v>
      </c>
      <c r="D213" s="766" t="s">
        <v>12103</v>
      </c>
      <c r="E213" s="766" t="s">
        <v>12104</v>
      </c>
      <c r="F213" s="766" t="s">
        <v>20</v>
      </c>
      <c r="G213" s="766" t="s">
        <v>18</v>
      </c>
      <c r="H213" s="766"/>
      <c r="I213" s="5" t="s">
        <v>12105</v>
      </c>
      <c r="J213" s="766" t="s">
        <v>12106</v>
      </c>
      <c r="K213" s="766" t="s">
        <v>11344</v>
      </c>
      <c r="L213" s="766" t="s">
        <v>12090</v>
      </c>
      <c r="M213" s="766"/>
      <c r="N213" s="766" t="s">
        <v>12091</v>
      </c>
      <c r="O213" s="766" t="s">
        <v>11345</v>
      </c>
      <c r="P213" s="14" t="s">
        <v>12197</v>
      </c>
      <c r="Q213" s="1085">
        <v>28727</v>
      </c>
      <c r="R213" s="25">
        <v>39</v>
      </c>
      <c r="S213" s="770" t="s">
        <v>10</v>
      </c>
      <c r="T213" s="766"/>
      <c r="U213" s="26" t="s">
        <v>12105</v>
      </c>
      <c r="V213" s="766" t="s">
        <v>707</v>
      </c>
      <c r="W213" s="766" t="s">
        <v>12198</v>
      </c>
      <c r="X213" s="24">
        <v>28014</v>
      </c>
      <c r="Y213" s="766" t="s">
        <v>12104</v>
      </c>
      <c r="Z213" s="766" t="s">
        <v>12101</v>
      </c>
      <c r="AA213" s="766" t="s">
        <v>709</v>
      </c>
      <c r="AB213" s="766" t="s">
        <v>744</v>
      </c>
      <c r="AC213" s="766" t="s">
        <v>991</v>
      </c>
      <c r="AD213" s="766"/>
      <c r="AE213" s="766"/>
      <c r="AF213" s="766" t="s">
        <v>712</v>
      </c>
      <c r="AG213" s="766"/>
      <c r="AH213" s="766"/>
      <c r="AI213" s="766"/>
      <c r="AJ213" s="766"/>
      <c r="AK213" s="766" t="s">
        <v>1899</v>
      </c>
      <c r="AL213" s="121"/>
      <c r="AM213" s="772"/>
      <c r="AN213" s="774"/>
      <c r="AO213" s="766"/>
      <c r="AP213" s="766"/>
      <c r="AQ213" s="766"/>
      <c r="AR213" s="766"/>
      <c r="AS213" s="766"/>
      <c r="AT213" s="766"/>
      <c r="AU213" s="766"/>
      <c r="AV213" s="766"/>
      <c r="AW213" s="766"/>
      <c r="AX213" s="13"/>
      <c r="AY213" s="766"/>
      <c r="AZ213" s="766"/>
      <c r="BA213" s="766"/>
      <c r="BB213" s="766"/>
      <c r="BC213" s="766"/>
      <c r="BD213" s="766"/>
      <c r="BE213" s="766"/>
      <c r="BF213" s="775"/>
      <c r="BG213" s="775"/>
      <c r="BH213" s="766"/>
      <c r="BI213" s="766"/>
      <c r="BJ213" s="766"/>
      <c r="BK213" s="766"/>
      <c r="BL213" s="766"/>
      <c r="BM213" s="766" t="s">
        <v>12423</v>
      </c>
      <c r="BN213" s="766" t="s">
        <v>1256</v>
      </c>
      <c r="BO213" s="766"/>
      <c r="BP213" s="776"/>
      <c r="BQ213" s="772"/>
      <c r="BR213" s="774"/>
      <c r="BS213" s="766" t="s">
        <v>1105</v>
      </c>
      <c r="BT213" s="766"/>
      <c r="BU213" s="766"/>
      <c r="BV213" s="766"/>
      <c r="BW213" s="766"/>
      <c r="BX213" s="779"/>
      <c r="BY213" s="766"/>
      <c r="BZ213" s="775"/>
      <c r="CA213" s="766"/>
      <c r="CB213" s="766"/>
      <c r="CC213" s="766"/>
      <c r="CD213" s="766"/>
      <c r="CE213" s="766"/>
      <c r="CF213" s="777"/>
      <c r="CG213" s="778"/>
      <c r="CH213" s="766"/>
      <c r="CI213" s="766"/>
      <c r="CJ213" s="766"/>
      <c r="CK213" s="766"/>
      <c r="CL213" s="766"/>
      <c r="CM213" s="766"/>
      <c r="CN213" s="766"/>
      <c r="CO213" s="766"/>
      <c r="CP213" s="766"/>
      <c r="CQ213" s="766"/>
      <c r="CR213" s="775"/>
      <c r="CS213" s="766"/>
      <c r="CT213" s="766"/>
      <c r="CU213" s="129"/>
      <c r="CV213" s="766"/>
      <c r="CW213" s="766"/>
      <c r="CX213" s="766"/>
      <c r="CY213" s="766"/>
      <c r="CZ213" s="766"/>
      <c r="DA213" s="766"/>
      <c r="DB213" s="766"/>
      <c r="DC213" s="766"/>
      <c r="DD213" s="766"/>
      <c r="DE213" s="766"/>
      <c r="DF213" s="766"/>
      <c r="DG213" s="766"/>
      <c r="DH213" s="766"/>
      <c r="DI213" s="766"/>
      <c r="DJ213" s="766"/>
      <c r="DK213" s="766"/>
      <c r="DL213" s="766"/>
      <c r="DM213" s="766"/>
      <c r="DN213" s="766"/>
      <c r="DO213" s="766"/>
      <c r="DP213" s="766"/>
      <c r="DQ213" s="766"/>
      <c r="DR213" s="766"/>
      <c r="DS213" s="59"/>
      <c r="DT213" s="766"/>
      <c r="DU213" s="766"/>
      <c r="DV213" s="766"/>
      <c r="DW213" s="66"/>
      <c r="DX213" s="66"/>
      <c r="DY213" s="766"/>
      <c r="DZ213" s="766"/>
      <c r="EA213" s="766"/>
      <c r="EB213" s="766"/>
      <c r="EC213" s="766"/>
      <c r="ED213" s="766"/>
      <c r="EE213" s="766"/>
      <c r="EF213" s="766"/>
      <c r="EG213" s="766"/>
      <c r="EH213" s="766"/>
      <c r="EI213" s="766"/>
      <c r="EJ213" s="766"/>
      <c r="EK213" s="766"/>
      <c r="EL213" s="766"/>
      <c r="EM213" s="766"/>
      <c r="EN213" s="766"/>
      <c r="EO213" s="766"/>
      <c r="EP213" s="766"/>
      <c r="EQ213" s="766"/>
      <c r="ER213" s="766"/>
      <c r="ES213" s="766"/>
      <c r="ET213" s="766"/>
      <c r="EU213" s="766"/>
      <c r="EV213" s="766"/>
      <c r="EW213" s="766"/>
      <c r="EX213" s="766"/>
      <c r="EY213" s="766"/>
      <c r="EZ213" s="766"/>
      <c r="FA213" s="766"/>
      <c r="FB213" s="766"/>
      <c r="FC213" s="766"/>
      <c r="FD213" s="775"/>
      <c r="FE213" s="766"/>
      <c r="FF213" s="766"/>
      <c r="FG213" s="766"/>
      <c r="FH213" s="766" t="s">
        <v>1306</v>
      </c>
      <c r="FI213" s="766">
        <v>1</v>
      </c>
      <c r="FJ213" s="766" t="s">
        <v>12140</v>
      </c>
      <c r="FK213" s="766"/>
      <c r="FL213" s="766"/>
      <c r="FM213" s="147">
        <v>2000</v>
      </c>
      <c r="FN213" s="775">
        <v>0</v>
      </c>
      <c r="FO213" s="775">
        <v>1000</v>
      </c>
      <c r="FP213" s="766" t="s">
        <v>1602</v>
      </c>
      <c r="FQ213" s="766" t="s">
        <v>1660</v>
      </c>
      <c r="FR213" s="766"/>
      <c r="FS213" s="766"/>
      <c r="FT213" s="766"/>
      <c r="FU213" s="766"/>
      <c r="FV213" s="766"/>
      <c r="FW213" s="766"/>
      <c r="FX213" s="766"/>
      <c r="FY213" s="766"/>
      <c r="FZ213" s="766"/>
      <c r="GA213" s="766"/>
      <c r="GB213" s="766"/>
      <c r="GC213" s="75"/>
      <c r="GD213" s="25"/>
      <c r="GE213" s="766"/>
      <c r="GF213" s="775"/>
      <c r="GG213" s="775"/>
      <c r="GH213" s="766"/>
      <c r="GI213" s="766"/>
      <c r="GJ213" s="766"/>
      <c r="GK213" s="766"/>
      <c r="GL213" s="766"/>
      <c r="GM213" s="766"/>
      <c r="GN213" s="82"/>
      <c r="GO213" s="766"/>
      <c r="GP213" s="766"/>
      <c r="GQ213" s="766"/>
      <c r="GR213" s="766"/>
      <c r="GS213" s="766"/>
      <c r="GT213" s="766"/>
      <c r="GU213" s="766"/>
      <c r="GV213" s="766"/>
      <c r="GW213" s="766"/>
      <c r="GX213" s="766"/>
      <c r="GY213" s="766"/>
      <c r="GZ213" s="766"/>
      <c r="HA213" s="766"/>
      <c r="HB213" s="766"/>
      <c r="HC213" s="766"/>
      <c r="HD213" s="766"/>
      <c r="HE213" s="766"/>
      <c r="HF213" s="766"/>
      <c r="HG213" s="766"/>
      <c r="HH213" s="766"/>
      <c r="HI213" s="766"/>
      <c r="HJ213" s="766"/>
      <c r="HK213" s="766"/>
      <c r="HL213" s="766"/>
      <c r="HM213" s="766"/>
      <c r="HN213" s="766"/>
      <c r="HO213" s="766"/>
      <c r="HP213" s="766"/>
      <c r="HQ213" s="766"/>
      <c r="HR213" s="766"/>
      <c r="HS213" s="766"/>
      <c r="HT213" s="766"/>
      <c r="HU213" s="766"/>
      <c r="HV213" s="766"/>
      <c r="HW213" s="766"/>
      <c r="HX213" s="766"/>
      <c r="HY213" s="766"/>
      <c r="HZ213" s="766"/>
      <c r="IA213" s="766"/>
      <c r="IB213" s="14" t="e">
        <f>IF(#REF!&gt;0,IF(#REF!&lt;=10000,"Y",""),"")</f>
        <v>#REF!</v>
      </c>
      <c r="IC213" s="766"/>
      <c r="ID213" s="766"/>
      <c r="IE213" s="766"/>
      <c r="IF213" s="766"/>
      <c r="IG213" s="766"/>
      <c r="IH213" s="766"/>
      <c r="II213" s="766"/>
      <c r="IJ213" s="766"/>
      <c r="IK213" s="766"/>
      <c r="IL213" s="766"/>
      <c r="IM213" s="766"/>
      <c r="IN213" s="766"/>
      <c r="IO213" s="24"/>
      <c r="IP213" s="766"/>
      <c r="IQ213" s="766"/>
      <c r="IR213" s="766"/>
      <c r="IS213" s="766"/>
      <c r="IT213" s="766"/>
      <c r="IU213" s="766"/>
      <c r="IV213" s="766"/>
      <c r="IW213" s="766"/>
      <c r="IX213" s="766"/>
      <c r="IY213" s="766"/>
      <c r="IZ213" s="766"/>
      <c r="JA213" s="766"/>
      <c r="JB213" s="766"/>
      <c r="JC213" s="766"/>
      <c r="JD213" s="775"/>
      <c r="JE213" s="766"/>
      <c r="JF213" s="766"/>
      <c r="JG213" s="766"/>
      <c r="JH213" s="766"/>
      <c r="JI213" s="766"/>
      <c r="JJ213" s="766">
        <v>5</v>
      </c>
      <c r="JK213" s="1139" t="s">
        <v>12196</v>
      </c>
      <c r="JL213" s="766">
        <v>3</v>
      </c>
      <c r="JM213" s="766"/>
      <c r="JN213" s="766">
        <v>1</v>
      </c>
      <c r="JO213" s="766">
        <v>1</v>
      </c>
      <c r="JP213" s="766"/>
      <c r="JQ213" s="766"/>
      <c r="JR213" s="766"/>
      <c r="JS213" s="766"/>
      <c r="JT213" s="766">
        <f>SUM(JP213,JN213,JL213,JR213)</f>
        <v>4</v>
      </c>
      <c r="JU213" s="766">
        <f>SUM(JQ213,JO213,JM213,JS213)</f>
        <v>1</v>
      </c>
      <c r="JV213" s="712" t="str">
        <f>IF(JT213=KJ213,"ok","male")</f>
        <v>ok</v>
      </c>
      <c r="JW213" s="712" t="str">
        <f>IF(JU213=KK213,"ok","female")</f>
        <v>ok</v>
      </c>
      <c r="JX213" s="766"/>
      <c r="JY213" s="766"/>
      <c r="JZ213" s="766">
        <v>3</v>
      </c>
      <c r="KA213" s="766"/>
      <c r="KB213" s="766"/>
      <c r="KC213" s="766"/>
      <c r="KD213" s="766">
        <v>1</v>
      </c>
      <c r="KE213" s="766">
        <v>1</v>
      </c>
      <c r="KF213" s="766"/>
      <c r="KG213" s="766"/>
      <c r="KH213" s="766"/>
      <c r="KI213" s="766"/>
      <c r="KJ213" s="770">
        <f t="shared" si="58"/>
        <v>4</v>
      </c>
      <c r="KK213" s="770">
        <f t="shared" si="58"/>
        <v>1</v>
      </c>
      <c r="KL213" s="712" t="str">
        <f>IF(KJ213=LN213,"ok","male")</f>
        <v>ok</v>
      </c>
      <c r="KM213" s="712" t="str">
        <f>IF(KK213=LO213,"ok","female")</f>
        <v>ok</v>
      </c>
      <c r="KN213" s="766" t="s">
        <v>707</v>
      </c>
      <c r="KO213" s="766"/>
      <c r="KP213" s="766"/>
      <c r="KQ213" s="766"/>
      <c r="KR213" s="766"/>
      <c r="KS213" s="766"/>
      <c r="KT213" s="766">
        <v>2</v>
      </c>
      <c r="KU213" s="766"/>
      <c r="KV213" s="766"/>
      <c r="KW213" s="766"/>
      <c r="KX213" s="766">
        <v>1</v>
      </c>
      <c r="KY213" s="766"/>
      <c r="KZ213" s="766">
        <v>1</v>
      </c>
      <c r="LA213" s="766"/>
      <c r="LB213" s="766"/>
      <c r="LC213" s="766">
        <v>1</v>
      </c>
      <c r="LD213" s="766"/>
      <c r="LE213" s="766"/>
      <c r="LF213" s="766"/>
      <c r="LG213" s="766"/>
      <c r="LH213" s="766"/>
      <c r="LI213" s="766"/>
      <c r="LJ213" s="766"/>
      <c r="LK213" s="766"/>
      <c r="LL213" s="766"/>
      <c r="LM213" s="766"/>
      <c r="LN213" s="766">
        <f t="shared" si="47"/>
        <v>4</v>
      </c>
      <c r="LO213" s="766">
        <f t="shared" si="47"/>
        <v>1</v>
      </c>
      <c r="LP213" s="766">
        <v>1</v>
      </c>
      <c r="LQ213" s="766">
        <v>1</v>
      </c>
      <c r="LR213" s="766"/>
      <c r="LS213" s="766"/>
      <c r="LT213" s="712" t="str">
        <f>IF(LQ213=SUM(LU213:LW213),"OK","REV")</f>
        <v>OK</v>
      </c>
      <c r="LU213" s="766"/>
      <c r="LV213" s="766">
        <v>1</v>
      </c>
      <c r="LW213" s="766"/>
      <c r="LX213" s="769">
        <v>4</v>
      </c>
      <c r="LY213" s="766" t="str">
        <f t="shared" si="50"/>
        <v>OTHER Province</v>
      </c>
      <c r="LZ213" s="299"/>
      <c r="MA213" s="766"/>
      <c r="MB213" s="766"/>
      <c r="MC213" s="1679">
        <f t="shared" si="41"/>
        <v>0</v>
      </c>
      <c r="MD213" s="66">
        <v>9000</v>
      </c>
      <c r="ME213" s="66"/>
      <c r="MF213" s="66"/>
      <c r="MG213" s="1680">
        <f>SUM(MD213:MF213)</f>
        <v>9000</v>
      </c>
      <c r="MH213" s="766" t="s">
        <v>2214</v>
      </c>
      <c r="MI213" s="775">
        <v>3000</v>
      </c>
      <c r="MJ213" s="775">
        <v>5000</v>
      </c>
      <c r="MK213" s="775">
        <v>1000</v>
      </c>
      <c r="ML213" s="775"/>
      <c r="MM213" s="775"/>
      <c r="MN213" s="775">
        <v>2000</v>
      </c>
      <c r="MO213" s="775">
        <v>300</v>
      </c>
      <c r="MP213" s="775">
        <v>1000</v>
      </c>
      <c r="MQ213" s="775">
        <v>550</v>
      </c>
      <c r="MR213" s="775"/>
      <c r="MS213" s="775">
        <v>1000</v>
      </c>
      <c r="MT213" s="775"/>
      <c r="MU213" s="775"/>
      <c r="MV213" s="775"/>
      <c r="MW213" s="775"/>
      <c r="MX213" s="775"/>
      <c r="MY213" s="1682">
        <f t="shared" si="49"/>
        <v>13850</v>
      </c>
      <c r="MZ213" s="766" t="s">
        <v>13004</v>
      </c>
      <c r="NA213" s="766" t="s">
        <v>13005</v>
      </c>
      <c r="NB213" s="766" t="s">
        <v>13151</v>
      </c>
      <c r="NC213" s="766" t="s">
        <v>13290</v>
      </c>
      <c r="ND213" s="766">
        <v>0</v>
      </c>
      <c r="NE213" s="766">
        <v>0</v>
      </c>
      <c r="NF213" s="766">
        <v>0</v>
      </c>
      <c r="NG213" s="766">
        <v>2</v>
      </c>
      <c r="NH213" s="766">
        <v>1</v>
      </c>
      <c r="NI213" s="766">
        <v>0</v>
      </c>
      <c r="NJ213" s="766">
        <v>1</v>
      </c>
      <c r="NK213" s="766">
        <v>1</v>
      </c>
      <c r="NL213" s="766">
        <v>1</v>
      </c>
      <c r="NM213" s="766">
        <v>1</v>
      </c>
      <c r="NN213" s="766">
        <v>0</v>
      </c>
      <c r="NO213" s="766">
        <v>0</v>
      </c>
      <c r="NP213" s="766">
        <v>0</v>
      </c>
      <c r="NQ213" s="766">
        <v>0</v>
      </c>
      <c r="NR213" s="766">
        <v>0</v>
      </c>
      <c r="NS213" s="766">
        <v>0</v>
      </c>
      <c r="NT213" s="766">
        <v>0</v>
      </c>
      <c r="NU213" s="766">
        <v>0</v>
      </c>
      <c r="NV213" s="766">
        <v>0</v>
      </c>
      <c r="NW213" s="766">
        <v>0</v>
      </c>
      <c r="NX213" s="766">
        <v>0</v>
      </c>
      <c r="NY213" s="766" t="s">
        <v>1208</v>
      </c>
      <c r="NZ213" s="766" t="s">
        <v>1208</v>
      </c>
      <c r="OA213" s="766"/>
      <c r="OB213" s="766"/>
      <c r="OC213" s="766" t="s">
        <v>1208</v>
      </c>
      <c r="OD213" s="766" t="s">
        <v>1208</v>
      </c>
      <c r="OE213" s="766"/>
      <c r="OF213" s="766"/>
      <c r="OG213" s="766"/>
      <c r="OH213" s="766"/>
      <c r="OI213" s="766"/>
      <c r="OJ213" s="766"/>
      <c r="OK213" s="28"/>
      <c r="OL213" s="766"/>
      <c r="OM213" s="766"/>
      <c r="ON213" s="766"/>
      <c r="OO213" s="766"/>
      <c r="OP213" s="766"/>
      <c r="OQ213" s="766"/>
      <c r="OR213" s="766"/>
      <c r="OS213" s="766"/>
      <c r="OT213" s="766"/>
      <c r="OU213" s="766"/>
      <c r="OV213" s="766"/>
      <c r="OW213" s="766"/>
      <c r="OX213" s="766"/>
      <c r="OY213" s="766"/>
      <c r="OZ213" s="766"/>
      <c r="PA213" s="766"/>
      <c r="PB213" s="766"/>
      <c r="PC213" s="766"/>
      <c r="PD213" s="766"/>
      <c r="PE213" s="766"/>
      <c r="PF213" s="766"/>
      <c r="PG213" s="766"/>
      <c r="PH213" s="766"/>
      <c r="PI213" s="766"/>
      <c r="PJ213" s="766"/>
      <c r="PK213" s="766"/>
      <c r="PL213" s="766"/>
      <c r="PM213" s="766"/>
      <c r="PN213" s="766"/>
      <c r="PO213" s="766"/>
      <c r="PP213" s="766"/>
      <c r="PQ213" s="766"/>
      <c r="PR213" s="766"/>
      <c r="PS213" s="766"/>
      <c r="PT213" s="766"/>
      <c r="PU213" s="766"/>
      <c r="PV213" s="766"/>
      <c r="PW213" s="766"/>
      <c r="PX213" s="766"/>
      <c r="PY213" s="766"/>
      <c r="PZ213" s="766"/>
      <c r="QA213" s="766"/>
      <c r="QB213" s="766"/>
      <c r="QC213" s="766"/>
      <c r="QD213" s="766"/>
      <c r="QE213" s="766"/>
      <c r="QF213" s="766"/>
      <c r="QG213" s="766"/>
      <c r="QH213" s="766"/>
      <c r="QI213" s="766"/>
      <c r="QJ213" s="766"/>
      <c r="QK213" s="766"/>
      <c r="QL213" s="766"/>
      <c r="QM213" s="766"/>
      <c r="QN213" s="766"/>
      <c r="QO213" s="766"/>
      <c r="QP213" s="766"/>
      <c r="QQ213" s="766"/>
      <c r="QR213" s="766"/>
      <c r="QS213" s="766"/>
      <c r="QT213" s="766"/>
      <c r="QU213" s="766"/>
      <c r="QV213" s="766"/>
      <c r="QW213" s="766"/>
      <c r="QX213" s="766"/>
      <c r="QY213" s="766"/>
      <c r="QZ213" s="766"/>
      <c r="RA213" s="766"/>
      <c r="RB213" s="766" t="s">
        <v>1207</v>
      </c>
      <c r="RC213" s="766">
        <v>2014</v>
      </c>
      <c r="RD213" s="766" t="s">
        <v>13251</v>
      </c>
      <c r="RE213" s="766" t="s">
        <v>12999</v>
      </c>
      <c r="RF213" s="777">
        <v>0.5</v>
      </c>
      <c r="RG213" s="766" t="s">
        <v>13047</v>
      </c>
      <c r="RH213" s="775">
        <v>0</v>
      </c>
      <c r="RI213" s="766" t="s">
        <v>13292</v>
      </c>
      <c r="RJ213" s="766" t="s">
        <v>13293</v>
      </c>
      <c r="RK213" s="766" t="s">
        <v>13294</v>
      </c>
      <c r="RL213" s="1683"/>
      <c r="RM213" s="12"/>
      <c r="RN213" s="1711"/>
      <c r="RO213" s="171" t="s">
        <v>11848</v>
      </c>
      <c r="RP213" s="11"/>
      <c r="RQ213" s="11"/>
      <c r="RR213" s="343" t="s">
        <v>12449</v>
      </c>
      <c r="RS213" s="1139" t="s">
        <v>12980</v>
      </c>
      <c r="RT213" s="11"/>
      <c r="RU213" s="11"/>
      <c r="RV213" s="766" t="s">
        <v>7419</v>
      </c>
      <c r="RW213" s="11" t="s">
        <v>12199</v>
      </c>
      <c r="RX213" s="11" t="s">
        <v>11848</v>
      </c>
      <c r="RY213" s="11"/>
      <c r="RZ213" s="11"/>
      <c r="SA213" s="766"/>
      <c r="SB213" s="11"/>
      <c r="SC213" s="11"/>
    </row>
    <row r="214" spans="1:497" ht="12.75" hidden="1" customHeight="1">
      <c r="A214" s="343" t="s">
        <v>14159</v>
      </c>
      <c r="B214" s="1093" t="s">
        <v>12194</v>
      </c>
      <c r="C214" s="171" t="s">
        <v>11849</v>
      </c>
      <c r="D214" s="766" t="s">
        <v>12089</v>
      </c>
      <c r="E214" s="766" t="s">
        <v>12104</v>
      </c>
      <c r="F214" s="766"/>
      <c r="G214" s="766"/>
      <c r="H214" s="766"/>
      <c r="I214" s="5"/>
      <c r="J214" s="766"/>
      <c r="K214" s="766"/>
      <c r="L214" s="766"/>
      <c r="M214" s="766"/>
      <c r="N214" s="766"/>
      <c r="O214" s="766"/>
      <c r="P214" s="766"/>
      <c r="Q214" s="1085"/>
      <c r="R214" s="25"/>
      <c r="S214" s="770"/>
      <c r="T214" s="766"/>
      <c r="U214" s="26"/>
      <c r="V214" s="766"/>
      <c r="W214" s="766"/>
      <c r="X214" s="24"/>
      <c r="Y214" s="766"/>
      <c r="Z214" s="766"/>
      <c r="AA214" s="766"/>
      <c r="AB214" s="766"/>
      <c r="AC214" s="766"/>
      <c r="AD214" s="766"/>
      <c r="AE214" s="766"/>
      <c r="AF214" s="766"/>
      <c r="AG214" s="766"/>
      <c r="AH214" s="766"/>
      <c r="AI214" s="766"/>
      <c r="AJ214" s="766"/>
      <c r="AK214" s="766"/>
      <c r="AL214" s="121"/>
      <c r="AM214" s="772"/>
      <c r="AN214" s="774"/>
      <c r="AO214" s="766"/>
      <c r="AP214" s="766"/>
      <c r="AQ214" s="766"/>
      <c r="AR214" s="766"/>
      <c r="AS214" s="766"/>
      <c r="AT214" s="766"/>
      <c r="AU214" s="766"/>
      <c r="AV214" s="766"/>
      <c r="AW214" s="766"/>
      <c r="AX214" s="13"/>
      <c r="AY214" s="766"/>
      <c r="AZ214" s="766"/>
      <c r="BA214" s="766"/>
      <c r="BB214" s="766"/>
      <c r="BC214" s="766"/>
      <c r="BD214" s="766"/>
      <c r="BE214" s="766"/>
      <c r="BF214" s="775"/>
      <c r="BG214" s="775"/>
      <c r="BH214" s="766"/>
      <c r="BI214" s="766"/>
      <c r="BJ214" s="766"/>
      <c r="BK214" s="766" t="s">
        <v>1095</v>
      </c>
      <c r="BL214" s="769"/>
      <c r="BM214" s="766" t="s">
        <v>1096</v>
      </c>
      <c r="BN214" s="766" t="s">
        <v>1230</v>
      </c>
      <c r="BO214" s="766" t="s">
        <v>1252</v>
      </c>
      <c r="BP214" s="776">
        <v>300</v>
      </c>
      <c r="BQ214" s="772">
        <v>24</v>
      </c>
      <c r="BR214" s="774">
        <f>BQ214/BP214</f>
        <v>0.08</v>
      </c>
      <c r="BS214" s="766" t="s">
        <v>1242</v>
      </c>
      <c r="BT214" s="766" t="s">
        <v>2040</v>
      </c>
      <c r="BU214" s="766" t="s">
        <v>12125</v>
      </c>
      <c r="BV214" s="766" t="s">
        <v>1247</v>
      </c>
      <c r="BW214" s="766"/>
      <c r="BX214" s="779"/>
      <c r="BY214" s="766"/>
      <c r="BZ214" s="775"/>
      <c r="CA214" s="766"/>
      <c r="CB214" s="766" t="s">
        <v>1207</v>
      </c>
      <c r="CC214" s="766" t="s">
        <v>12208</v>
      </c>
      <c r="CD214" s="766"/>
      <c r="CE214" s="766"/>
      <c r="CF214" s="777">
        <v>2.4</v>
      </c>
      <c r="CG214" s="778">
        <v>16.5</v>
      </c>
      <c r="CH214" s="766"/>
      <c r="CI214" s="770" t="s">
        <v>12210</v>
      </c>
      <c r="CJ214" s="766" t="s">
        <v>12209</v>
      </c>
      <c r="CK214" s="766">
        <v>5</v>
      </c>
      <c r="CL214" s="766" t="s">
        <v>1240</v>
      </c>
      <c r="CM214" s="766" t="s">
        <v>12211</v>
      </c>
      <c r="CN214" s="766"/>
      <c r="CO214" s="766" t="s">
        <v>1257</v>
      </c>
      <c r="CP214" s="766"/>
      <c r="CQ214" s="766"/>
      <c r="CR214" s="775"/>
      <c r="CS214" s="766"/>
      <c r="CT214" s="766"/>
      <c r="CU214" s="129"/>
      <c r="CV214" s="766"/>
      <c r="CW214" s="766"/>
      <c r="CX214" s="766"/>
      <c r="CY214" s="766"/>
      <c r="CZ214" s="766"/>
      <c r="DA214" s="766"/>
      <c r="DB214" s="766"/>
      <c r="DC214" s="766"/>
      <c r="DD214" s="766"/>
      <c r="DE214" s="766"/>
      <c r="DF214" s="766"/>
      <c r="DG214" s="766"/>
      <c r="DH214" s="766"/>
      <c r="DI214" s="766"/>
      <c r="DJ214" s="766"/>
      <c r="DK214" s="766"/>
      <c r="DL214" s="766"/>
      <c r="DM214" s="766"/>
      <c r="DN214" s="766"/>
      <c r="DO214" s="766"/>
      <c r="DP214" s="766"/>
      <c r="DQ214" s="766"/>
      <c r="DR214" s="766"/>
      <c r="DS214" s="59"/>
      <c r="DT214" s="766"/>
      <c r="DU214" s="766"/>
      <c r="DV214" s="766"/>
      <c r="DW214" s="66"/>
      <c r="DX214" s="66"/>
      <c r="DY214" s="766"/>
      <c r="DZ214" s="766"/>
      <c r="EA214" s="766"/>
      <c r="EB214" s="766"/>
      <c r="EC214" s="766"/>
      <c r="ED214" s="766"/>
      <c r="EE214" s="766"/>
      <c r="EF214" s="766"/>
      <c r="EG214" s="766"/>
      <c r="EH214" s="766"/>
      <c r="EI214" s="766"/>
      <c r="EJ214" s="766"/>
      <c r="EK214" s="766"/>
      <c r="EL214" s="766"/>
      <c r="EM214" s="766"/>
      <c r="EN214" s="766"/>
      <c r="EO214" s="766"/>
      <c r="EP214" s="766"/>
      <c r="EQ214" s="766"/>
      <c r="ER214" s="766"/>
      <c r="ES214" s="766"/>
      <c r="ET214" s="766"/>
      <c r="EU214" s="766"/>
      <c r="EV214" s="766"/>
      <c r="EW214" s="766"/>
      <c r="EX214" s="766"/>
      <c r="EY214" s="766"/>
      <c r="EZ214" s="766" t="s">
        <v>12208</v>
      </c>
      <c r="FA214" s="766" t="s">
        <v>12212</v>
      </c>
      <c r="FB214" s="766" t="s">
        <v>1257</v>
      </c>
      <c r="FC214" s="766"/>
      <c r="FD214" s="775"/>
      <c r="FE214" s="766" t="s">
        <v>12213</v>
      </c>
      <c r="FF214" s="766"/>
      <c r="FG214" s="766"/>
      <c r="FH214" s="766" t="s">
        <v>478</v>
      </c>
      <c r="FI214" s="766"/>
      <c r="FJ214" s="766"/>
      <c r="FK214" s="766"/>
      <c r="FL214" s="766"/>
      <c r="FM214" s="775"/>
      <c r="FN214" s="775"/>
      <c r="FO214" s="775"/>
      <c r="FP214" s="766" t="s">
        <v>1600</v>
      </c>
      <c r="FQ214" s="766" t="s">
        <v>1635</v>
      </c>
      <c r="FR214" s="766"/>
      <c r="FS214" s="766"/>
      <c r="FT214" s="766"/>
      <c r="FU214" s="766"/>
      <c r="FV214" s="766"/>
      <c r="FW214" s="766"/>
      <c r="FX214" s="766"/>
      <c r="FY214" s="766"/>
      <c r="FZ214" s="766"/>
      <c r="GA214" s="766"/>
      <c r="GB214" s="766"/>
      <c r="GC214" s="75"/>
      <c r="GD214" s="25"/>
      <c r="GE214" s="766"/>
      <c r="GF214" s="775"/>
      <c r="GG214" s="775"/>
      <c r="GH214" s="766"/>
      <c r="GI214" s="766"/>
      <c r="GJ214" s="766"/>
      <c r="GK214" s="766"/>
      <c r="GL214" s="766"/>
      <c r="GM214" s="766"/>
      <c r="GN214" s="82"/>
      <c r="GO214" s="766"/>
      <c r="GP214" s="766"/>
      <c r="GQ214" s="766"/>
      <c r="GR214" s="766"/>
      <c r="GS214" s="766"/>
      <c r="GT214" s="766"/>
      <c r="GU214" s="766"/>
      <c r="GV214" s="766"/>
      <c r="GW214" s="766"/>
      <c r="GX214" s="766"/>
      <c r="GY214" s="766"/>
      <c r="GZ214" s="766"/>
      <c r="HA214" s="766"/>
      <c r="HB214" s="766"/>
      <c r="HC214" s="766"/>
      <c r="HD214" s="766"/>
      <c r="HE214" s="766"/>
      <c r="HF214" s="766"/>
      <c r="HG214" s="766"/>
      <c r="HH214" s="766"/>
      <c r="HI214" s="766"/>
      <c r="HJ214" s="766"/>
      <c r="HK214" s="766"/>
      <c r="HL214" s="766"/>
      <c r="HM214" s="766"/>
      <c r="HN214" s="766"/>
      <c r="HO214" s="766"/>
      <c r="HP214" s="766"/>
      <c r="HQ214" s="766"/>
      <c r="HR214" s="766"/>
      <c r="HS214" s="766"/>
      <c r="HT214" s="766"/>
      <c r="HU214" s="766"/>
      <c r="HV214" s="766"/>
      <c r="HW214" s="766"/>
      <c r="HX214" s="766"/>
      <c r="HY214" s="766"/>
      <c r="HZ214" s="766"/>
      <c r="IA214" s="766"/>
      <c r="IB214" s="766"/>
      <c r="IC214" s="766"/>
      <c r="ID214" s="766"/>
      <c r="IE214" s="766"/>
      <c r="IF214" s="766"/>
      <c r="IG214" s="766"/>
      <c r="IH214" s="766"/>
      <c r="II214" s="766"/>
      <c r="IJ214" s="766"/>
      <c r="IK214" s="766"/>
      <c r="IL214" s="766"/>
      <c r="IM214" s="766"/>
      <c r="IN214" s="766"/>
      <c r="IO214" s="24"/>
      <c r="IP214" s="766"/>
      <c r="IQ214" s="766"/>
      <c r="IR214" s="766"/>
      <c r="IS214" s="766"/>
      <c r="IT214" s="766"/>
      <c r="IU214" s="766"/>
      <c r="IV214" s="766"/>
      <c r="IW214" s="766"/>
      <c r="IX214" s="766"/>
      <c r="IY214" s="766"/>
      <c r="IZ214" s="766"/>
      <c r="JA214" s="766"/>
      <c r="JB214" s="766"/>
      <c r="JC214" s="766"/>
      <c r="JD214" s="775"/>
      <c r="JE214" s="766"/>
      <c r="JF214" s="766"/>
      <c r="JG214" s="766"/>
      <c r="JH214" s="766"/>
      <c r="JI214" s="766"/>
      <c r="JJ214" s="766"/>
      <c r="JK214" s="766"/>
      <c r="JL214" s="766"/>
      <c r="JM214" s="766"/>
      <c r="JN214" s="766"/>
      <c r="JO214" s="766"/>
      <c r="JP214" s="766"/>
      <c r="JQ214" s="766"/>
      <c r="JR214" s="766"/>
      <c r="JS214" s="766"/>
      <c r="JT214" s="766"/>
      <c r="JU214" s="766"/>
      <c r="JV214" s="766"/>
      <c r="JW214" s="766"/>
      <c r="JX214" s="766"/>
      <c r="JY214" s="766"/>
      <c r="JZ214" s="766"/>
      <c r="KA214" s="766"/>
      <c r="KB214" s="766"/>
      <c r="KC214" s="766"/>
      <c r="KD214" s="766"/>
      <c r="KE214" s="766"/>
      <c r="KF214" s="766"/>
      <c r="KG214" s="766"/>
      <c r="KH214" s="766"/>
      <c r="KI214" s="766"/>
      <c r="KJ214" s="770"/>
      <c r="KK214" s="770"/>
      <c r="KL214" s="770"/>
      <c r="KM214" s="770"/>
      <c r="KN214" s="766"/>
      <c r="KO214" s="766"/>
      <c r="KP214" s="766"/>
      <c r="KQ214" s="766"/>
      <c r="KR214" s="766"/>
      <c r="KS214" s="766"/>
      <c r="KT214" s="766"/>
      <c r="KU214" s="766"/>
      <c r="KV214" s="766"/>
      <c r="KW214" s="766"/>
      <c r="KX214" s="766"/>
      <c r="KY214" s="766"/>
      <c r="KZ214" s="766"/>
      <c r="LA214" s="766"/>
      <c r="LB214" s="766"/>
      <c r="LC214" s="766"/>
      <c r="LD214" s="766"/>
      <c r="LE214" s="766"/>
      <c r="LF214" s="766"/>
      <c r="LG214" s="766"/>
      <c r="LH214" s="766"/>
      <c r="LI214" s="766"/>
      <c r="LJ214" s="766"/>
      <c r="LK214" s="766"/>
      <c r="LL214" s="766"/>
      <c r="LM214" s="766"/>
      <c r="LN214" s="766"/>
      <c r="LO214" s="766"/>
      <c r="LP214" s="766"/>
      <c r="LQ214" s="766"/>
      <c r="LR214" s="766"/>
      <c r="LS214" s="766"/>
      <c r="LT214" s="766"/>
      <c r="LU214" s="766"/>
      <c r="LV214" s="766"/>
      <c r="LW214" s="766"/>
      <c r="LX214" s="769"/>
      <c r="LY214" s="766" t="str">
        <f t="shared" si="50"/>
        <v/>
      </c>
      <c r="LZ214" s="66"/>
      <c r="MA214" s="766"/>
      <c r="MB214" s="766"/>
      <c r="MC214" s="1679">
        <f t="shared" si="41"/>
        <v>0</v>
      </c>
      <c r="MD214" s="66"/>
      <c r="ME214" s="66"/>
      <c r="MF214" s="66"/>
      <c r="MG214" s="1680">
        <f t="shared" si="48"/>
        <v>0</v>
      </c>
      <c r="MH214" s="766"/>
      <c r="MI214" s="775"/>
      <c r="MJ214" s="775"/>
      <c r="MK214" s="775"/>
      <c r="ML214" s="775"/>
      <c r="MM214" s="775"/>
      <c r="MN214" s="775"/>
      <c r="MO214" s="775"/>
      <c r="MP214" s="775"/>
      <c r="MQ214" s="775"/>
      <c r="MR214" s="775"/>
      <c r="MS214" s="775"/>
      <c r="MT214" s="775"/>
      <c r="MU214" s="775"/>
      <c r="MV214" s="775"/>
      <c r="MW214" s="775"/>
      <c r="MX214" s="775"/>
      <c r="MY214" s="1682">
        <f t="shared" si="49"/>
        <v>0</v>
      </c>
      <c r="MZ214" s="766"/>
      <c r="NA214" s="766"/>
      <c r="NB214" s="766"/>
      <c r="NC214" s="766"/>
      <c r="ND214" s="766"/>
      <c r="NE214" s="766"/>
      <c r="NF214" s="766"/>
      <c r="NG214" s="766"/>
      <c r="NH214" s="766"/>
      <c r="NI214" s="766"/>
      <c r="NJ214" s="766"/>
      <c r="NK214" s="766"/>
      <c r="NL214" s="766"/>
      <c r="NM214" s="766"/>
      <c r="NN214" s="766"/>
      <c r="NO214" s="766"/>
      <c r="NP214" s="766"/>
      <c r="NQ214" s="766"/>
      <c r="NR214" s="766"/>
      <c r="NS214" s="766"/>
      <c r="NT214" s="766"/>
      <c r="NU214" s="766"/>
      <c r="NV214" s="766"/>
      <c r="NW214" s="766"/>
      <c r="NX214" s="766"/>
      <c r="NY214" s="766"/>
      <c r="NZ214" s="766"/>
      <c r="OA214" s="766"/>
      <c r="OB214" s="766"/>
      <c r="OC214" s="766"/>
      <c r="OD214" s="766"/>
      <c r="OE214" s="766"/>
      <c r="OF214" s="766"/>
      <c r="OG214" s="766"/>
      <c r="OH214" s="766"/>
      <c r="OI214" s="766"/>
      <c r="OJ214" s="766"/>
      <c r="OK214" s="28"/>
      <c r="OL214" s="766"/>
      <c r="OM214" s="766"/>
      <c r="ON214" s="766"/>
      <c r="OO214" s="766"/>
      <c r="OP214" s="766"/>
      <c r="OQ214" s="766"/>
      <c r="OR214" s="766"/>
      <c r="OS214" s="766"/>
      <c r="OT214" s="766"/>
      <c r="OU214" s="766"/>
      <c r="OV214" s="766"/>
      <c r="OW214" s="766"/>
      <c r="OX214" s="766"/>
      <c r="OY214" s="766"/>
      <c r="OZ214" s="766"/>
      <c r="PA214" s="766"/>
      <c r="PB214" s="766"/>
      <c r="PC214" s="766"/>
      <c r="PD214" s="766"/>
      <c r="PE214" s="766"/>
      <c r="PF214" s="766"/>
      <c r="PG214" s="766"/>
      <c r="PH214" s="766"/>
      <c r="PI214" s="766"/>
      <c r="PJ214" s="766"/>
      <c r="PK214" s="766"/>
      <c r="PL214" s="766"/>
      <c r="PM214" s="766"/>
      <c r="PN214" s="766"/>
      <c r="PO214" s="766"/>
      <c r="PP214" s="766"/>
      <c r="PQ214" s="766"/>
      <c r="PR214" s="766"/>
      <c r="PS214" s="766"/>
      <c r="PT214" s="766"/>
      <c r="PU214" s="766"/>
      <c r="PV214" s="766"/>
      <c r="PW214" s="766"/>
      <c r="PX214" s="766"/>
      <c r="PY214" s="766"/>
      <c r="PZ214" s="766"/>
      <c r="QA214" s="766"/>
      <c r="QB214" s="766"/>
      <c r="QC214" s="766"/>
      <c r="QD214" s="766"/>
      <c r="QE214" s="766"/>
      <c r="QF214" s="766"/>
      <c r="QG214" s="766"/>
      <c r="QH214" s="766"/>
      <c r="QI214" s="766"/>
      <c r="QJ214" s="766"/>
      <c r="QK214" s="766"/>
      <c r="QL214" s="766"/>
      <c r="QM214" s="766"/>
      <c r="QN214" s="766"/>
      <c r="QO214" s="766"/>
      <c r="QP214" s="766"/>
      <c r="QQ214" s="766"/>
      <c r="QR214" s="766"/>
      <c r="QS214" s="766"/>
      <c r="QT214" s="766"/>
      <c r="QU214" s="766"/>
      <c r="QV214" s="766"/>
      <c r="QW214" s="766"/>
      <c r="QX214" s="766"/>
      <c r="QY214" s="766"/>
      <c r="QZ214" s="766"/>
      <c r="RA214" s="766"/>
      <c r="RB214" s="766"/>
      <c r="RC214" s="766"/>
      <c r="RD214" s="766"/>
      <c r="RE214" s="766"/>
      <c r="RF214" s="777"/>
      <c r="RG214" s="766"/>
      <c r="RH214" s="775"/>
      <c r="RI214" s="766"/>
      <c r="RJ214" s="766"/>
      <c r="RK214" s="766"/>
      <c r="RL214" s="1683"/>
      <c r="RM214" s="12"/>
      <c r="RN214" s="1711"/>
      <c r="RO214" s="171" t="s">
        <v>11849</v>
      </c>
      <c r="RP214" s="11"/>
      <c r="RQ214" s="11"/>
      <c r="RR214" s="17"/>
      <c r="RS214" s="766"/>
      <c r="RT214" s="11"/>
      <c r="RU214" s="11"/>
      <c r="RV214" s="766" t="s">
        <v>12449</v>
      </c>
      <c r="RW214" s="11" t="s">
        <v>12092</v>
      </c>
      <c r="RX214" s="11" t="s">
        <v>11848</v>
      </c>
      <c r="RY214" s="11"/>
      <c r="RZ214" s="11" t="s">
        <v>7419</v>
      </c>
      <c r="SA214" s="766"/>
      <c r="SB214" s="11"/>
      <c r="SC214" s="11"/>
    </row>
    <row r="215" spans="1:497" ht="12.75" hidden="1" customHeight="1">
      <c r="A215" s="343" t="s">
        <v>14158</v>
      </c>
      <c r="B215" s="1093" t="s">
        <v>12107</v>
      </c>
      <c r="C215" s="171" t="s">
        <v>11849</v>
      </c>
      <c r="D215" s="766" t="s">
        <v>12108</v>
      </c>
      <c r="E215" s="766" t="s">
        <v>12109</v>
      </c>
      <c r="F215" s="766" t="s">
        <v>210</v>
      </c>
      <c r="G215" s="766" t="s">
        <v>18</v>
      </c>
      <c r="H215" s="766"/>
      <c r="I215" s="5" t="s">
        <v>12110</v>
      </c>
      <c r="J215" s="766" t="s">
        <v>12111</v>
      </c>
      <c r="K215" s="766" t="s">
        <v>12214</v>
      </c>
      <c r="L215" s="766" t="s">
        <v>12215</v>
      </c>
      <c r="M215" s="766"/>
      <c r="N215" s="766" t="s">
        <v>12091</v>
      </c>
      <c r="O215" s="766" t="s">
        <v>11345</v>
      </c>
      <c r="P215" s="766" t="s">
        <v>12111</v>
      </c>
      <c r="Q215" s="1085" t="s">
        <v>12112</v>
      </c>
      <c r="R215" s="25">
        <v>63</v>
      </c>
      <c r="S215" s="770" t="s">
        <v>10</v>
      </c>
      <c r="T215" s="766"/>
      <c r="U215" s="26" t="s">
        <v>12110</v>
      </c>
      <c r="V215" s="766" t="s">
        <v>707</v>
      </c>
      <c r="W215" s="766" t="s">
        <v>12113</v>
      </c>
      <c r="X215" s="766"/>
      <c r="Y215" s="766" t="s">
        <v>12109</v>
      </c>
      <c r="Z215" s="766" t="s">
        <v>708</v>
      </c>
      <c r="AA215" s="766" t="s">
        <v>709</v>
      </c>
      <c r="AB215" s="766" t="s">
        <v>710</v>
      </c>
      <c r="AC215" s="766" t="s">
        <v>724</v>
      </c>
      <c r="AD215" s="766"/>
      <c r="AE215" s="766"/>
      <c r="AF215" s="766" t="s">
        <v>712</v>
      </c>
      <c r="AG215" s="766"/>
      <c r="AH215" s="766"/>
      <c r="AI215" s="766"/>
      <c r="AJ215" s="766"/>
      <c r="AK215" s="766" t="s">
        <v>1899</v>
      </c>
      <c r="AL215" s="121"/>
      <c r="AM215" s="772"/>
      <c r="AN215" s="774"/>
      <c r="AO215" s="766"/>
      <c r="AP215" s="766"/>
      <c r="AQ215" s="766"/>
      <c r="AR215" s="766"/>
      <c r="AS215" s="766"/>
      <c r="AT215" s="766"/>
      <c r="AU215" s="766"/>
      <c r="AV215" s="766"/>
      <c r="AW215" s="766"/>
      <c r="AX215" s="13"/>
      <c r="AY215" s="766"/>
      <c r="AZ215" s="766"/>
      <c r="BA215" s="766"/>
      <c r="BB215" s="766"/>
      <c r="BC215" s="766"/>
      <c r="BD215" s="766"/>
      <c r="BE215" s="766"/>
      <c r="BF215" s="775"/>
      <c r="BG215" s="775"/>
      <c r="BH215" s="766"/>
      <c r="BI215" s="766"/>
      <c r="BJ215" s="766"/>
      <c r="BK215" s="766"/>
      <c r="BL215" s="766"/>
      <c r="BM215" s="766" t="s">
        <v>1238</v>
      </c>
      <c r="BN215" s="769" t="s">
        <v>1256</v>
      </c>
      <c r="BO215" s="766"/>
      <c r="BP215" s="776"/>
      <c r="BQ215" s="772"/>
      <c r="BR215" s="774"/>
      <c r="BS215" s="766" t="s">
        <v>1242</v>
      </c>
      <c r="BT215" s="766"/>
      <c r="BU215" s="766"/>
      <c r="BV215" s="766"/>
      <c r="BW215" s="766"/>
      <c r="BX215" s="779"/>
      <c r="BY215" s="766"/>
      <c r="BZ215" s="775"/>
      <c r="CA215" s="766"/>
      <c r="CB215" s="766"/>
      <c r="CC215" s="766"/>
      <c r="CD215" s="766"/>
      <c r="CE215" s="766"/>
      <c r="CF215" s="777"/>
      <c r="CG215" s="778"/>
      <c r="CH215" s="766"/>
      <c r="CI215" s="766"/>
      <c r="CJ215" s="766"/>
      <c r="CK215" s="766"/>
      <c r="CL215" s="766"/>
      <c r="CM215" s="766"/>
      <c r="CN215" s="766"/>
      <c r="CO215" s="766"/>
      <c r="CP215" s="766"/>
      <c r="CQ215" s="766"/>
      <c r="CR215" s="775"/>
      <c r="CS215" s="766"/>
      <c r="CT215" s="766"/>
      <c r="CU215" s="129"/>
      <c r="CV215" s="766"/>
      <c r="CW215" s="766"/>
      <c r="CX215" s="766"/>
      <c r="CY215" s="766"/>
      <c r="CZ215" s="766"/>
      <c r="DA215" s="766"/>
      <c r="DB215" s="766"/>
      <c r="DC215" s="766"/>
      <c r="DD215" s="766"/>
      <c r="DE215" s="766"/>
      <c r="DF215" s="766"/>
      <c r="DG215" s="766"/>
      <c r="DH215" s="766"/>
      <c r="DI215" s="766"/>
      <c r="DJ215" s="766"/>
      <c r="DK215" s="766"/>
      <c r="DL215" s="766"/>
      <c r="DM215" s="766"/>
      <c r="DN215" s="766"/>
      <c r="DO215" s="766"/>
      <c r="DP215" s="766"/>
      <c r="DQ215" s="766"/>
      <c r="DR215" s="766"/>
      <c r="DS215" s="59"/>
      <c r="DT215" s="766"/>
      <c r="DU215" s="766"/>
      <c r="DV215" s="766"/>
      <c r="DW215" s="66"/>
      <c r="DX215" s="66"/>
      <c r="DY215" s="766"/>
      <c r="DZ215" s="766"/>
      <c r="EA215" s="766"/>
      <c r="EB215" s="766"/>
      <c r="EC215" s="766"/>
      <c r="ED215" s="766"/>
      <c r="EE215" s="766"/>
      <c r="EF215" s="766"/>
      <c r="EG215" s="766"/>
      <c r="EH215" s="766"/>
      <c r="EI215" s="766"/>
      <c r="EJ215" s="766"/>
      <c r="EK215" s="766"/>
      <c r="EL215" s="766"/>
      <c r="EM215" s="766"/>
      <c r="EN215" s="766"/>
      <c r="EO215" s="766"/>
      <c r="EP215" s="766"/>
      <c r="EQ215" s="766"/>
      <c r="ER215" s="766"/>
      <c r="ES215" s="766"/>
      <c r="ET215" s="766"/>
      <c r="EU215" s="766"/>
      <c r="EV215" s="766"/>
      <c r="EW215" s="766"/>
      <c r="EX215" s="766"/>
      <c r="EY215" s="766"/>
      <c r="EZ215" s="766"/>
      <c r="FA215" s="766"/>
      <c r="FB215" s="766"/>
      <c r="FC215" s="766"/>
      <c r="FD215" s="775"/>
      <c r="FE215" s="766"/>
      <c r="FF215" s="766"/>
      <c r="FG215" s="766"/>
      <c r="FH215" s="766" t="s">
        <v>1306</v>
      </c>
      <c r="FI215" s="766">
        <v>1</v>
      </c>
      <c r="FJ215" s="766" t="s">
        <v>12141</v>
      </c>
      <c r="FK215" s="766"/>
      <c r="FL215" s="766"/>
      <c r="FM215" s="147">
        <v>1750</v>
      </c>
      <c r="FN215" s="775">
        <v>0</v>
      </c>
      <c r="FO215" s="775">
        <v>900</v>
      </c>
      <c r="FP215" s="766" t="s">
        <v>1600</v>
      </c>
      <c r="FQ215" s="766" t="s">
        <v>1635</v>
      </c>
      <c r="FR215" s="766"/>
      <c r="FS215" s="766"/>
      <c r="FT215" s="766"/>
      <c r="FU215" s="766"/>
      <c r="FV215" s="766"/>
      <c r="FW215" s="766"/>
      <c r="FX215" s="766"/>
      <c r="FY215" s="766"/>
      <c r="FZ215" s="766"/>
      <c r="GA215" s="766"/>
      <c r="GB215" s="766"/>
      <c r="GC215" s="75"/>
      <c r="GD215" s="25"/>
      <c r="GE215" s="766"/>
      <c r="GF215" s="775"/>
      <c r="GG215" s="775"/>
      <c r="GH215" s="766"/>
      <c r="GI215" s="766"/>
      <c r="GJ215" s="766"/>
      <c r="GK215" s="766"/>
      <c r="GL215" s="766"/>
      <c r="GM215" s="766"/>
      <c r="GN215" s="82"/>
      <c r="GO215" s="766"/>
      <c r="GP215" s="766"/>
      <c r="GQ215" s="766"/>
      <c r="GR215" s="766"/>
      <c r="GS215" s="766"/>
      <c r="GT215" s="766"/>
      <c r="GU215" s="766"/>
      <c r="GV215" s="766"/>
      <c r="GW215" s="766"/>
      <c r="GX215" s="766"/>
      <c r="GY215" s="766"/>
      <c r="GZ215" s="766"/>
      <c r="HA215" s="766"/>
      <c r="HB215" s="766"/>
      <c r="HC215" s="766"/>
      <c r="HD215" s="766"/>
      <c r="HE215" s="766"/>
      <c r="HF215" s="766"/>
      <c r="HG215" s="766"/>
      <c r="HH215" s="766"/>
      <c r="HI215" s="766"/>
      <c r="HJ215" s="766"/>
      <c r="HK215" s="766"/>
      <c r="HL215" s="766"/>
      <c r="HM215" s="766"/>
      <c r="HN215" s="766"/>
      <c r="HO215" s="766"/>
      <c r="HP215" s="766"/>
      <c r="HQ215" s="766"/>
      <c r="HR215" s="766"/>
      <c r="HS215" s="766"/>
      <c r="HT215" s="766"/>
      <c r="HU215" s="766"/>
      <c r="HV215" s="766"/>
      <c r="HW215" s="766"/>
      <c r="HX215" s="766"/>
      <c r="HY215" s="766"/>
      <c r="HZ215" s="766"/>
      <c r="IA215" s="766"/>
      <c r="IB215" s="766"/>
      <c r="IC215" s="766"/>
      <c r="ID215" s="766"/>
      <c r="IE215" s="766"/>
      <c r="IF215" s="766"/>
      <c r="IG215" s="766"/>
      <c r="IH215" s="766"/>
      <c r="II215" s="766"/>
      <c r="IJ215" s="766"/>
      <c r="IK215" s="766"/>
      <c r="IL215" s="766"/>
      <c r="IM215" s="766"/>
      <c r="IN215" s="766"/>
      <c r="IO215" s="24"/>
      <c r="IP215" s="766"/>
      <c r="IQ215" s="766"/>
      <c r="IR215" s="766"/>
      <c r="IS215" s="766"/>
      <c r="IT215" s="766"/>
      <c r="IU215" s="766"/>
      <c r="IV215" s="766"/>
      <c r="IW215" s="766"/>
      <c r="IX215" s="766"/>
      <c r="IY215" s="766"/>
      <c r="IZ215" s="766"/>
      <c r="JA215" s="766"/>
      <c r="JB215" s="766"/>
      <c r="JC215" s="766"/>
      <c r="JD215" s="775"/>
      <c r="JE215" s="766"/>
      <c r="JF215" s="766"/>
      <c r="JG215" s="766"/>
      <c r="JH215" s="766"/>
      <c r="JI215" s="766"/>
      <c r="JJ215" s="766">
        <v>7</v>
      </c>
      <c r="JK215" s="766" t="s">
        <v>12146</v>
      </c>
      <c r="JL215" s="766"/>
      <c r="JM215" s="766">
        <v>1</v>
      </c>
      <c r="JN215" s="766">
        <v>2</v>
      </c>
      <c r="JO215" s="766">
        <v>4</v>
      </c>
      <c r="JP215" s="766"/>
      <c r="JQ215" s="766"/>
      <c r="JR215" s="766"/>
      <c r="JS215" s="766"/>
      <c r="JT215" s="766">
        <f>SUM(JP215,JN215,JL215,JR215)</f>
        <v>2</v>
      </c>
      <c r="JU215" s="766">
        <f>SUM(JQ215,JO215,JM215,JS215)</f>
        <v>5</v>
      </c>
      <c r="JV215" s="766"/>
      <c r="JW215" s="766"/>
      <c r="JX215" s="766"/>
      <c r="JY215" s="766">
        <v>1</v>
      </c>
      <c r="JZ215" s="766"/>
      <c r="KA215" s="766"/>
      <c r="KB215" s="766">
        <v>1</v>
      </c>
      <c r="KC215" s="766">
        <v>3</v>
      </c>
      <c r="KD215" s="766">
        <v>1</v>
      </c>
      <c r="KE215" s="766">
        <v>1</v>
      </c>
      <c r="KF215" s="766"/>
      <c r="KG215" s="766"/>
      <c r="KH215" s="766"/>
      <c r="KI215" s="766"/>
      <c r="KJ215" s="770">
        <f t="shared" si="58"/>
        <v>2</v>
      </c>
      <c r="KK215" s="770">
        <f t="shared" si="58"/>
        <v>5</v>
      </c>
      <c r="KL215" s="770"/>
      <c r="KM215" s="770"/>
      <c r="KN215" s="766" t="s">
        <v>707</v>
      </c>
      <c r="KO215" s="766"/>
      <c r="KP215" s="766"/>
      <c r="KQ215" s="766"/>
      <c r="KR215" s="766"/>
      <c r="KS215" s="766"/>
      <c r="KT215" s="766">
        <v>1</v>
      </c>
      <c r="KU215" s="766">
        <v>2</v>
      </c>
      <c r="KV215" s="766"/>
      <c r="KW215" s="766"/>
      <c r="KX215" s="766">
        <v>1</v>
      </c>
      <c r="KY215" s="766"/>
      <c r="KZ215" s="766"/>
      <c r="LA215" s="766">
        <v>2</v>
      </c>
      <c r="LB215" s="766"/>
      <c r="LC215" s="766"/>
      <c r="LD215" s="766"/>
      <c r="LE215" s="766"/>
      <c r="LF215" s="766"/>
      <c r="LG215" s="766"/>
      <c r="LH215" s="766"/>
      <c r="LI215" s="766"/>
      <c r="LJ215" s="766"/>
      <c r="LK215" s="766">
        <v>1</v>
      </c>
      <c r="LL215" s="766"/>
      <c r="LM215" s="766"/>
      <c r="LN215" s="766">
        <f t="shared" si="47"/>
        <v>2</v>
      </c>
      <c r="LO215" s="766">
        <f t="shared" si="47"/>
        <v>5</v>
      </c>
      <c r="LP215" s="766">
        <v>3</v>
      </c>
      <c r="LQ215" s="766">
        <v>3</v>
      </c>
      <c r="LR215" s="766"/>
      <c r="LS215" s="766"/>
      <c r="LT215" s="766"/>
      <c r="LU215" s="766">
        <v>3</v>
      </c>
      <c r="LV215" s="766"/>
      <c r="LW215" s="766"/>
      <c r="LX215" s="769">
        <v>3</v>
      </c>
      <c r="LY215" s="766" t="str">
        <f t="shared" si="50"/>
        <v>within the PROVINCE</v>
      </c>
      <c r="LZ215" s="66">
        <v>832</v>
      </c>
      <c r="MA215" s="766"/>
      <c r="MB215" s="766"/>
      <c r="MC215" s="1679">
        <f t="shared" si="41"/>
        <v>832</v>
      </c>
      <c r="MD215" s="66">
        <v>25500</v>
      </c>
      <c r="ME215" s="66"/>
      <c r="MF215" s="66"/>
      <c r="MG215" s="1680">
        <f t="shared" si="48"/>
        <v>25500</v>
      </c>
      <c r="MH215" s="766" t="s">
        <v>13295</v>
      </c>
      <c r="MI215" s="775">
        <v>6000</v>
      </c>
      <c r="MJ215" s="775">
        <v>960</v>
      </c>
      <c r="MK215" s="775"/>
      <c r="ML215" s="775"/>
      <c r="MM215" s="775"/>
      <c r="MN215" s="775">
        <v>1750</v>
      </c>
      <c r="MO215" s="775"/>
      <c r="MP215" s="775">
        <v>900</v>
      </c>
      <c r="MQ215" s="775">
        <v>140</v>
      </c>
      <c r="MR215" s="775"/>
      <c r="MS215" s="775"/>
      <c r="MT215" s="775"/>
      <c r="MU215" s="775"/>
      <c r="MV215" s="775"/>
      <c r="MW215" s="775"/>
      <c r="MX215" s="775"/>
      <c r="MY215" s="1682">
        <f t="shared" si="49"/>
        <v>9750</v>
      </c>
      <c r="MZ215" s="766" t="s">
        <v>13004</v>
      </c>
      <c r="NA215" s="766" t="s">
        <v>13296</v>
      </c>
      <c r="NB215" s="766" t="s">
        <v>13033</v>
      </c>
      <c r="NC215" s="766" t="s">
        <v>13290</v>
      </c>
      <c r="ND215" s="766">
        <v>0</v>
      </c>
      <c r="NE215" s="766">
        <v>0</v>
      </c>
      <c r="NF215" s="766">
        <v>0</v>
      </c>
      <c r="NG215" s="766">
        <v>3</v>
      </c>
      <c r="NH215" s="766">
        <v>1</v>
      </c>
      <c r="NI215" s="766">
        <v>1</v>
      </c>
      <c r="NJ215" s="766">
        <v>1</v>
      </c>
      <c r="NK215" s="766">
        <v>0</v>
      </c>
      <c r="NL215" s="766">
        <v>1</v>
      </c>
      <c r="NM215" s="766">
        <v>1</v>
      </c>
      <c r="NN215" s="766">
        <v>0</v>
      </c>
      <c r="NO215" s="766">
        <v>0</v>
      </c>
      <c r="NP215" s="766">
        <v>0</v>
      </c>
      <c r="NQ215" s="766">
        <v>0</v>
      </c>
      <c r="NR215" s="766">
        <v>0</v>
      </c>
      <c r="NS215" s="766">
        <v>0</v>
      </c>
      <c r="NT215" s="766">
        <v>0</v>
      </c>
      <c r="NU215" s="766">
        <v>0</v>
      </c>
      <c r="NV215" s="766">
        <v>0</v>
      </c>
      <c r="NW215" s="766">
        <v>0</v>
      </c>
      <c r="NX215" s="766">
        <v>0</v>
      </c>
      <c r="NY215" s="766" t="s">
        <v>1208</v>
      </c>
      <c r="NZ215" s="766"/>
      <c r="OA215" s="766"/>
      <c r="OB215" s="766"/>
      <c r="OC215" s="766" t="s">
        <v>1208</v>
      </c>
      <c r="OD215" s="766" t="s">
        <v>1208</v>
      </c>
      <c r="OE215" s="766"/>
      <c r="OF215" s="766"/>
      <c r="OG215" s="766"/>
      <c r="OH215" s="766"/>
      <c r="OI215" s="766"/>
      <c r="OJ215" s="766"/>
      <c r="OK215" s="28"/>
      <c r="OL215" s="766"/>
      <c r="OM215" s="766"/>
      <c r="ON215" s="766"/>
      <c r="OO215" s="766"/>
      <c r="OP215" s="766"/>
      <c r="OQ215" s="766"/>
      <c r="OR215" s="766"/>
      <c r="OS215" s="766"/>
      <c r="OT215" s="766"/>
      <c r="OU215" s="766"/>
      <c r="OV215" s="766"/>
      <c r="OW215" s="766"/>
      <c r="OX215" s="766"/>
      <c r="OY215" s="766"/>
      <c r="OZ215" s="766"/>
      <c r="PA215" s="766"/>
      <c r="PB215" s="766"/>
      <c r="PC215" s="766"/>
      <c r="PD215" s="766"/>
      <c r="PE215" s="766"/>
      <c r="PF215" s="766"/>
      <c r="PG215" s="766"/>
      <c r="PH215" s="766"/>
      <c r="PI215" s="766"/>
      <c r="PJ215" s="766"/>
      <c r="PK215" s="766"/>
      <c r="PL215" s="766"/>
      <c r="PM215" s="766"/>
      <c r="PN215" s="766"/>
      <c r="PO215" s="766"/>
      <c r="PP215" s="766"/>
      <c r="PQ215" s="766"/>
      <c r="PR215" s="766"/>
      <c r="PS215" s="766"/>
      <c r="PT215" s="766"/>
      <c r="PU215" s="766"/>
      <c r="PV215" s="766"/>
      <c r="PW215" s="766"/>
      <c r="PX215" s="766"/>
      <c r="PY215" s="766"/>
      <c r="PZ215" s="766"/>
      <c r="QA215" s="766"/>
      <c r="QB215" s="766"/>
      <c r="QC215" s="766"/>
      <c r="QD215" s="766"/>
      <c r="QE215" s="766"/>
      <c r="QF215" s="766"/>
      <c r="QG215" s="766"/>
      <c r="QH215" s="766"/>
      <c r="QI215" s="766"/>
      <c r="QJ215" s="766"/>
      <c r="QK215" s="766"/>
      <c r="QL215" s="766"/>
      <c r="QM215" s="766"/>
      <c r="QN215" s="766"/>
      <c r="QO215" s="766"/>
      <c r="QP215" s="766"/>
      <c r="QQ215" s="766"/>
      <c r="QR215" s="766"/>
      <c r="QS215" s="766"/>
      <c r="QT215" s="766"/>
      <c r="QU215" s="766"/>
      <c r="QV215" s="766"/>
      <c r="QW215" s="766"/>
      <c r="QX215" s="766"/>
      <c r="QY215" s="766"/>
      <c r="QZ215" s="766"/>
      <c r="RA215" s="766"/>
      <c r="RB215" s="766" t="s">
        <v>1207</v>
      </c>
      <c r="RC215" s="766">
        <v>2016</v>
      </c>
      <c r="RD215" s="766" t="s">
        <v>12989</v>
      </c>
      <c r="RE215" s="766" t="s">
        <v>12999</v>
      </c>
      <c r="RF215" s="777">
        <v>1</v>
      </c>
      <c r="RG215" s="766" t="s">
        <v>13297</v>
      </c>
      <c r="RH215" s="775"/>
      <c r="RI215" s="766" t="s">
        <v>13292</v>
      </c>
      <c r="RJ215" s="766" t="s">
        <v>13298</v>
      </c>
      <c r="RK215" s="766" t="s">
        <v>13013</v>
      </c>
      <c r="RL215" s="1683"/>
      <c r="RM215" s="12"/>
      <c r="RN215" s="1711"/>
      <c r="RO215" s="171" t="s">
        <v>11849</v>
      </c>
      <c r="RP215" s="11"/>
      <c r="RQ215" s="11"/>
      <c r="RR215" s="17"/>
      <c r="RS215" s="766"/>
      <c r="RT215" s="11"/>
      <c r="RU215" s="11"/>
      <c r="RV215" s="766" t="s">
        <v>12449</v>
      </c>
      <c r="RW215" s="11" t="s">
        <v>12102</v>
      </c>
      <c r="RX215" s="11" t="s">
        <v>11848</v>
      </c>
      <c r="RY215" s="11"/>
      <c r="RZ215" s="11"/>
      <c r="SA215" s="766"/>
      <c r="SB215" s="11"/>
      <c r="SC215" s="11"/>
    </row>
    <row r="216" spans="1:497" ht="12.75" hidden="1" customHeight="1">
      <c r="A216" s="343" t="s">
        <v>14158</v>
      </c>
      <c r="B216" s="1093" t="s">
        <v>12114</v>
      </c>
      <c r="C216" s="171" t="s">
        <v>11849</v>
      </c>
      <c r="D216" s="766" t="s">
        <v>12115</v>
      </c>
      <c r="E216" s="766" t="s">
        <v>12116</v>
      </c>
      <c r="F216" s="766" t="s">
        <v>12117</v>
      </c>
      <c r="G216" s="766" t="s">
        <v>10</v>
      </c>
      <c r="H216" s="766"/>
      <c r="I216" s="5" t="s">
        <v>12118</v>
      </c>
      <c r="J216" s="766" t="s">
        <v>12119</v>
      </c>
      <c r="K216" s="766" t="s">
        <v>12120</v>
      </c>
      <c r="L216" s="766" t="s">
        <v>12121</v>
      </c>
      <c r="M216" s="766"/>
      <c r="N216" s="766" t="s">
        <v>12091</v>
      </c>
      <c r="O216" s="766" t="s">
        <v>11345</v>
      </c>
      <c r="P216" s="766" t="s">
        <v>12119</v>
      </c>
      <c r="Q216" s="1085" t="s">
        <v>12122</v>
      </c>
      <c r="R216" s="25">
        <v>41</v>
      </c>
      <c r="S216" s="770" t="s">
        <v>10</v>
      </c>
      <c r="T216" s="766"/>
      <c r="U216" s="5" t="s">
        <v>12118</v>
      </c>
      <c r="V216" s="766" t="s">
        <v>707</v>
      </c>
      <c r="W216" s="766" t="s">
        <v>12123</v>
      </c>
      <c r="X216" s="24">
        <v>29132</v>
      </c>
      <c r="Y216" s="766" t="s">
        <v>12116</v>
      </c>
      <c r="Z216" s="766" t="s">
        <v>1057</v>
      </c>
      <c r="AA216" s="766" t="s">
        <v>739</v>
      </c>
      <c r="AB216" s="766" t="s">
        <v>12124</v>
      </c>
      <c r="AC216" s="766" t="s">
        <v>724</v>
      </c>
      <c r="AD216" s="766" t="s">
        <v>770</v>
      </c>
      <c r="AE216" s="766"/>
      <c r="AF216" s="766" t="s">
        <v>798</v>
      </c>
      <c r="AG216" s="766"/>
      <c r="AH216" s="766"/>
      <c r="AI216" s="766"/>
      <c r="AJ216" s="766"/>
      <c r="AK216" s="766" t="s">
        <v>1899</v>
      </c>
      <c r="AL216" s="121"/>
      <c r="AM216" s="772"/>
      <c r="AN216" s="774"/>
      <c r="AO216" s="766"/>
      <c r="AP216" s="766"/>
      <c r="AQ216" s="766"/>
      <c r="AR216" s="766"/>
      <c r="AS216" s="766"/>
      <c r="AT216" s="766"/>
      <c r="AU216" s="766"/>
      <c r="AV216" s="766"/>
      <c r="AW216" s="766"/>
      <c r="AX216" s="13"/>
      <c r="AY216" s="766"/>
      <c r="AZ216" s="766"/>
      <c r="BA216" s="766"/>
      <c r="BB216" s="766"/>
      <c r="BC216" s="766"/>
      <c r="BD216" s="766"/>
      <c r="BE216" s="766"/>
      <c r="BF216" s="775"/>
      <c r="BG216" s="775"/>
      <c r="BH216" s="766"/>
      <c r="BI216" s="766"/>
      <c r="BJ216" s="766"/>
      <c r="BK216" s="766"/>
      <c r="BL216" s="766"/>
      <c r="BM216" s="766" t="s">
        <v>1238</v>
      </c>
      <c r="BN216" s="769" t="s">
        <v>1256</v>
      </c>
      <c r="BO216" s="766"/>
      <c r="BP216" s="776"/>
      <c r="BQ216" s="772"/>
      <c r="BR216" s="774"/>
      <c r="BS216" s="766" t="s">
        <v>1242</v>
      </c>
      <c r="BT216" s="770"/>
      <c r="BU216" s="770"/>
      <c r="BV216" s="770"/>
      <c r="BW216" s="766"/>
      <c r="BX216" s="779"/>
      <c r="BY216" s="766"/>
      <c r="BZ216" s="775"/>
      <c r="CA216" s="766"/>
      <c r="CB216" s="766"/>
      <c r="CC216" s="766"/>
      <c r="CD216" s="766"/>
      <c r="CE216" s="766"/>
      <c r="CF216" s="777"/>
      <c r="CG216" s="778"/>
      <c r="CH216" s="766"/>
      <c r="CI216" s="766"/>
      <c r="CJ216" s="766"/>
      <c r="CK216" s="766"/>
      <c r="CL216" s="766"/>
      <c r="CM216" s="766"/>
      <c r="CN216" s="766"/>
      <c r="CO216" s="766"/>
      <c r="CP216" s="766"/>
      <c r="CQ216" s="766"/>
      <c r="CR216" s="775"/>
      <c r="CS216" s="766"/>
      <c r="CT216" s="766"/>
      <c r="CU216" s="129"/>
      <c r="CV216" s="766"/>
      <c r="CW216" s="766"/>
      <c r="CX216" s="766"/>
      <c r="CY216" s="766"/>
      <c r="CZ216" s="766"/>
      <c r="DA216" s="766"/>
      <c r="DB216" s="766"/>
      <c r="DC216" s="766"/>
      <c r="DD216" s="766"/>
      <c r="DE216" s="766"/>
      <c r="DF216" s="766"/>
      <c r="DG216" s="766"/>
      <c r="DH216" s="766"/>
      <c r="DI216" s="766"/>
      <c r="DJ216" s="766"/>
      <c r="DK216" s="766"/>
      <c r="DL216" s="766"/>
      <c r="DM216" s="766"/>
      <c r="DN216" s="766"/>
      <c r="DO216" s="766"/>
      <c r="DP216" s="766"/>
      <c r="DQ216" s="766"/>
      <c r="DR216" s="766"/>
      <c r="DS216" s="59"/>
      <c r="DT216" s="766"/>
      <c r="DU216" s="766"/>
      <c r="DV216" s="766"/>
      <c r="DW216" s="66"/>
      <c r="DX216" s="66"/>
      <c r="DY216" s="766"/>
      <c r="DZ216" s="766"/>
      <c r="EA216" s="766"/>
      <c r="EB216" s="766"/>
      <c r="EC216" s="766"/>
      <c r="ED216" s="766"/>
      <c r="EE216" s="766"/>
      <c r="EF216" s="766"/>
      <c r="EG216" s="766"/>
      <c r="EH216" s="766"/>
      <c r="EI216" s="766"/>
      <c r="EJ216" s="766"/>
      <c r="EK216" s="766"/>
      <c r="EL216" s="766"/>
      <c r="EM216" s="766"/>
      <c r="EN216" s="766"/>
      <c r="EO216" s="766"/>
      <c r="EP216" s="766"/>
      <c r="EQ216" s="766"/>
      <c r="ER216" s="766"/>
      <c r="ES216" s="766"/>
      <c r="ET216" s="766"/>
      <c r="EU216" s="766"/>
      <c r="EV216" s="766"/>
      <c r="EW216" s="766"/>
      <c r="EX216" s="766"/>
      <c r="EY216" s="766"/>
      <c r="EZ216" s="766"/>
      <c r="FA216" s="766"/>
      <c r="FB216" s="766"/>
      <c r="FC216" s="766"/>
      <c r="FD216" s="775"/>
      <c r="FE216" s="766"/>
      <c r="FF216" s="766"/>
      <c r="FG216" s="766"/>
      <c r="FH216" s="766" t="s">
        <v>1306</v>
      </c>
      <c r="FI216" s="766">
        <v>1</v>
      </c>
      <c r="FJ216" s="766" t="s">
        <v>12141</v>
      </c>
      <c r="FK216" s="766"/>
      <c r="FL216" s="766"/>
      <c r="FM216" s="147">
        <v>2300</v>
      </c>
      <c r="FN216" s="775">
        <v>0</v>
      </c>
      <c r="FO216" s="775">
        <v>1700</v>
      </c>
      <c r="FP216" s="766" t="s">
        <v>1600</v>
      </c>
      <c r="FQ216" s="766" t="s">
        <v>1635</v>
      </c>
      <c r="FR216" s="766"/>
      <c r="FS216" s="766"/>
      <c r="FT216" s="766"/>
      <c r="FU216" s="766"/>
      <c r="FV216" s="766"/>
      <c r="FW216" s="766"/>
      <c r="FX216" s="766"/>
      <c r="FY216" s="766"/>
      <c r="FZ216" s="766"/>
      <c r="GA216" s="766"/>
      <c r="GB216" s="766"/>
      <c r="GC216" s="75"/>
      <c r="GD216" s="25"/>
      <c r="GE216" s="766"/>
      <c r="GF216" s="775"/>
      <c r="GG216" s="775"/>
      <c r="GH216" s="766"/>
      <c r="GI216" s="766"/>
      <c r="GJ216" s="766"/>
      <c r="GK216" s="766"/>
      <c r="GL216" s="766"/>
      <c r="GM216" s="766"/>
      <c r="GN216" s="82"/>
      <c r="GO216" s="766"/>
      <c r="GP216" s="766"/>
      <c r="GQ216" s="766"/>
      <c r="GR216" s="766"/>
      <c r="GS216" s="766"/>
      <c r="GT216" s="766"/>
      <c r="GU216" s="766"/>
      <c r="GV216" s="766"/>
      <c r="GW216" s="766"/>
      <c r="GX216" s="766"/>
      <c r="GY216" s="766"/>
      <c r="GZ216" s="766"/>
      <c r="HA216" s="766"/>
      <c r="HB216" s="766"/>
      <c r="HC216" s="766"/>
      <c r="HD216" s="766"/>
      <c r="HE216" s="766"/>
      <c r="HF216" s="766"/>
      <c r="HG216" s="766"/>
      <c r="HH216" s="766"/>
      <c r="HI216" s="766"/>
      <c r="HJ216" s="766"/>
      <c r="HK216" s="766"/>
      <c r="HL216" s="766"/>
      <c r="HM216" s="766"/>
      <c r="HN216" s="766"/>
      <c r="HO216" s="766"/>
      <c r="HP216" s="766"/>
      <c r="HQ216" s="766"/>
      <c r="HR216" s="766"/>
      <c r="HS216" s="766"/>
      <c r="HT216" s="766"/>
      <c r="HU216" s="766"/>
      <c r="HV216" s="766"/>
      <c r="HW216" s="766"/>
      <c r="HX216" s="766"/>
      <c r="HY216" s="766"/>
      <c r="HZ216" s="766"/>
      <c r="IA216" s="766"/>
      <c r="IB216" s="766"/>
      <c r="IC216" s="766"/>
      <c r="ID216" s="766"/>
      <c r="IE216" s="766"/>
      <c r="IF216" s="766"/>
      <c r="IG216" s="766"/>
      <c r="IH216" s="766"/>
      <c r="II216" s="766"/>
      <c r="IJ216" s="766"/>
      <c r="IK216" s="766"/>
      <c r="IL216" s="766"/>
      <c r="IM216" s="766"/>
      <c r="IN216" s="766"/>
      <c r="IO216" s="24"/>
      <c r="IP216" s="766"/>
      <c r="IQ216" s="766"/>
      <c r="IR216" s="766"/>
      <c r="IS216" s="766"/>
      <c r="IT216" s="766"/>
      <c r="IU216" s="766"/>
      <c r="IV216" s="766"/>
      <c r="IW216" s="766"/>
      <c r="IX216" s="766"/>
      <c r="IY216" s="766"/>
      <c r="IZ216" s="766"/>
      <c r="JA216" s="766"/>
      <c r="JB216" s="766"/>
      <c r="JC216" s="766"/>
      <c r="JD216" s="775"/>
      <c r="JE216" s="766"/>
      <c r="JF216" s="766"/>
      <c r="JG216" s="766"/>
      <c r="JH216" s="766"/>
      <c r="JI216" s="766"/>
      <c r="JJ216" s="766">
        <v>5</v>
      </c>
      <c r="JK216" s="766" t="s">
        <v>12147</v>
      </c>
      <c r="JL216" s="766"/>
      <c r="JM216" s="766"/>
      <c r="JN216" s="766">
        <v>3</v>
      </c>
      <c r="JO216" s="766">
        <v>3</v>
      </c>
      <c r="JP216" s="766"/>
      <c r="JQ216" s="766"/>
      <c r="JR216" s="766"/>
      <c r="JS216" s="766"/>
      <c r="JT216" s="766">
        <f>SUM(JP216,JN216,JL216,JR216)</f>
        <v>3</v>
      </c>
      <c r="JU216" s="766">
        <f>SUM(JQ216,JO216,JM216,JS216)</f>
        <v>3</v>
      </c>
      <c r="JV216" s="766"/>
      <c r="JW216" s="766"/>
      <c r="JX216" s="766"/>
      <c r="JY216" s="766"/>
      <c r="JZ216" s="766"/>
      <c r="KA216" s="766">
        <v>1</v>
      </c>
      <c r="KB216" s="766">
        <v>2</v>
      </c>
      <c r="KC216" s="766"/>
      <c r="KD216" s="766">
        <v>1</v>
      </c>
      <c r="KE216" s="766">
        <v>1</v>
      </c>
      <c r="KF216" s="766"/>
      <c r="KG216" s="766"/>
      <c r="KH216" s="766"/>
      <c r="KI216" s="766"/>
      <c r="KJ216" s="770">
        <f t="shared" si="58"/>
        <v>3</v>
      </c>
      <c r="KK216" s="770">
        <f t="shared" si="58"/>
        <v>2</v>
      </c>
      <c r="KL216" s="770"/>
      <c r="KM216" s="770"/>
      <c r="KN216" s="766" t="s">
        <v>707</v>
      </c>
      <c r="KO216" s="766"/>
      <c r="KP216" s="766"/>
      <c r="KQ216" s="766"/>
      <c r="KR216" s="766"/>
      <c r="KS216" s="766"/>
      <c r="KT216" s="766"/>
      <c r="KU216" s="766"/>
      <c r="KV216" s="766"/>
      <c r="KW216" s="766"/>
      <c r="KX216" s="766">
        <v>1</v>
      </c>
      <c r="KY216" s="766">
        <v>1</v>
      </c>
      <c r="KZ216" s="766">
        <v>2</v>
      </c>
      <c r="LA216" s="766"/>
      <c r="LB216" s="766"/>
      <c r="LC216" s="766"/>
      <c r="LD216" s="766"/>
      <c r="LE216" s="766"/>
      <c r="LF216" s="766"/>
      <c r="LG216" s="766"/>
      <c r="LH216" s="766"/>
      <c r="LI216" s="766">
        <v>1</v>
      </c>
      <c r="LJ216" s="766"/>
      <c r="LK216" s="766"/>
      <c r="LL216" s="766"/>
      <c r="LM216" s="766"/>
      <c r="LN216" s="766">
        <f t="shared" si="47"/>
        <v>3</v>
      </c>
      <c r="LO216" s="766">
        <f t="shared" si="47"/>
        <v>2</v>
      </c>
      <c r="LP216" s="766">
        <v>2</v>
      </c>
      <c r="LQ216" s="766">
        <v>2</v>
      </c>
      <c r="LR216" s="766"/>
      <c r="LS216" s="766"/>
      <c r="LT216" s="766"/>
      <c r="LU216" s="766">
        <v>1</v>
      </c>
      <c r="LV216" s="766">
        <v>1</v>
      </c>
      <c r="LW216" s="766"/>
      <c r="LX216" s="769">
        <v>2</v>
      </c>
      <c r="LY216" s="766" t="str">
        <f t="shared" si="50"/>
        <v>within the MUNICIPALITY</v>
      </c>
      <c r="LZ216" s="66"/>
      <c r="MA216" s="766"/>
      <c r="MB216" s="766"/>
      <c r="MC216" s="1679">
        <f t="shared" si="41"/>
        <v>0</v>
      </c>
      <c r="MD216" s="66"/>
      <c r="ME216" s="66"/>
      <c r="MF216" s="66"/>
      <c r="MG216" s="1680">
        <f t="shared" si="48"/>
        <v>0</v>
      </c>
      <c r="MH216" s="766" t="s">
        <v>13299</v>
      </c>
      <c r="MI216" s="775"/>
      <c r="MJ216" s="775"/>
      <c r="MK216" s="775"/>
      <c r="ML216" s="775"/>
      <c r="MM216" s="775"/>
      <c r="MN216" s="775">
        <v>2700</v>
      </c>
      <c r="MO216" s="775"/>
      <c r="MP216" s="775"/>
      <c r="MQ216" s="775">
        <v>500</v>
      </c>
      <c r="MR216" s="775">
        <v>0</v>
      </c>
      <c r="MS216" s="775"/>
      <c r="MT216" s="775"/>
      <c r="MU216" s="775"/>
      <c r="MV216" s="775"/>
      <c r="MW216" s="775"/>
      <c r="MX216" s="775"/>
      <c r="MY216" s="1682">
        <f t="shared" si="49"/>
        <v>3200</v>
      </c>
      <c r="MZ216" s="766" t="s">
        <v>13004</v>
      </c>
      <c r="NA216" s="766" t="s">
        <v>13005</v>
      </c>
      <c r="NB216" s="766" t="s">
        <v>13033</v>
      </c>
      <c r="NC216" s="766" t="s">
        <v>13290</v>
      </c>
      <c r="ND216" s="766">
        <v>1</v>
      </c>
      <c r="NE216" s="766">
        <v>0</v>
      </c>
      <c r="NF216" s="766">
        <v>1</v>
      </c>
      <c r="NG216" s="766">
        <v>2</v>
      </c>
      <c r="NH216" s="766">
        <v>2</v>
      </c>
      <c r="NI216" s="766">
        <v>0</v>
      </c>
      <c r="NJ216" s="766">
        <v>1</v>
      </c>
      <c r="NK216" s="766">
        <v>0</v>
      </c>
      <c r="NL216" s="766">
        <v>1</v>
      </c>
      <c r="NM216" s="766">
        <v>2</v>
      </c>
      <c r="NN216" s="766">
        <v>0</v>
      </c>
      <c r="NO216" s="766">
        <v>0</v>
      </c>
      <c r="NP216" s="766">
        <v>0</v>
      </c>
      <c r="NQ216" s="766">
        <v>0</v>
      </c>
      <c r="NR216" s="766">
        <v>0</v>
      </c>
      <c r="NS216" s="766">
        <v>0</v>
      </c>
      <c r="NT216" s="766">
        <v>0</v>
      </c>
      <c r="NU216" s="766">
        <v>0</v>
      </c>
      <c r="NV216" s="766">
        <v>0</v>
      </c>
      <c r="NW216" s="766">
        <v>0</v>
      </c>
      <c r="NX216" s="766">
        <v>0</v>
      </c>
      <c r="NY216" s="766"/>
      <c r="NZ216" s="766"/>
      <c r="OA216" s="766"/>
      <c r="OB216" s="766"/>
      <c r="OC216" s="766"/>
      <c r="OD216" s="766"/>
      <c r="OE216" s="766"/>
      <c r="OF216" s="766"/>
      <c r="OG216" s="766"/>
      <c r="OH216" s="766"/>
      <c r="OI216" s="766"/>
      <c r="OJ216" s="766"/>
      <c r="OK216" s="28"/>
      <c r="OL216" s="766"/>
      <c r="OM216" s="766"/>
      <c r="ON216" s="766"/>
      <c r="OO216" s="766"/>
      <c r="OP216" s="766"/>
      <c r="OQ216" s="766"/>
      <c r="OR216" s="766"/>
      <c r="OS216" s="766"/>
      <c r="OT216" s="766"/>
      <c r="OU216" s="766"/>
      <c r="OV216" s="766"/>
      <c r="OW216" s="766"/>
      <c r="OX216" s="766"/>
      <c r="OY216" s="766"/>
      <c r="OZ216" s="766"/>
      <c r="PA216" s="766"/>
      <c r="PB216" s="766"/>
      <c r="PC216" s="766"/>
      <c r="PD216" s="766"/>
      <c r="PE216" s="766"/>
      <c r="PF216" s="766"/>
      <c r="PG216" s="766"/>
      <c r="PH216" s="766"/>
      <c r="PI216" s="766"/>
      <c r="PJ216" s="766"/>
      <c r="PK216" s="766" t="s">
        <v>1208</v>
      </c>
      <c r="PL216" s="766"/>
      <c r="PM216" s="766"/>
      <c r="PN216" s="766"/>
      <c r="PO216" s="766"/>
      <c r="PP216" s="766"/>
      <c r="PQ216" s="766"/>
      <c r="PR216" s="766"/>
      <c r="PS216" s="766"/>
      <c r="PT216" s="766"/>
      <c r="PU216" s="766"/>
      <c r="PV216" s="766"/>
      <c r="PW216" s="766"/>
      <c r="PX216" s="766"/>
      <c r="PY216" s="766"/>
      <c r="PZ216" s="766"/>
      <c r="QA216" s="766"/>
      <c r="QB216" s="766"/>
      <c r="QC216" s="766"/>
      <c r="QD216" s="766"/>
      <c r="QE216" s="766"/>
      <c r="QF216" s="766"/>
      <c r="QG216" s="766"/>
      <c r="QH216" s="766"/>
      <c r="QI216" s="766"/>
      <c r="QJ216" s="766"/>
      <c r="QK216" s="766"/>
      <c r="QL216" s="766"/>
      <c r="QM216" s="766"/>
      <c r="QN216" s="766"/>
      <c r="QO216" s="766"/>
      <c r="QP216" s="766"/>
      <c r="QQ216" s="766"/>
      <c r="QR216" s="766"/>
      <c r="QS216" s="766"/>
      <c r="QT216" s="766"/>
      <c r="QU216" s="766"/>
      <c r="QV216" s="766"/>
      <c r="QW216" s="766"/>
      <c r="QX216" s="766"/>
      <c r="QY216" s="766"/>
      <c r="QZ216" s="766"/>
      <c r="RA216" s="766"/>
      <c r="RB216" s="766" t="s">
        <v>1214</v>
      </c>
      <c r="RC216" s="766"/>
      <c r="RD216" s="766"/>
      <c r="RE216" s="766"/>
      <c r="RF216" s="777"/>
      <c r="RG216" s="766"/>
      <c r="RH216" s="775"/>
      <c r="RI216" s="766"/>
      <c r="RJ216" s="766" t="s">
        <v>13300</v>
      </c>
      <c r="RK216" s="766" t="s">
        <v>13013</v>
      </c>
      <c r="RL216" s="1683"/>
      <c r="RM216" s="12"/>
      <c r="RN216" s="1711"/>
      <c r="RO216" s="171" t="s">
        <v>11849</v>
      </c>
      <c r="RP216" s="11"/>
      <c r="RQ216" s="11"/>
      <c r="RR216" s="17"/>
      <c r="RS216" s="766"/>
      <c r="RT216" s="11"/>
      <c r="RU216" s="11"/>
      <c r="RV216" s="766" t="s">
        <v>12450</v>
      </c>
      <c r="RW216" s="11" t="s">
        <v>12194</v>
      </c>
      <c r="RX216" s="11" t="s">
        <v>11849</v>
      </c>
      <c r="RY216" s="11"/>
      <c r="RZ216" s="11"/>
      <c r="SA216" s="766"/>
      <c r="SB216" s="11"/>
      <c r="SC216" s="11"/>
    </row>
    <row r="217" spans="1:497" ht="12.75" hidden="1" customHeight="1">
      <c r="A217" s="343" t="s">
        <v>14159</v>
      </c>
      <c r="B217" s="1093" t="s">
        <v>12223</v>
      </c>
      <c r="C217" s="171" t="s">
        <v>11850</v>
      </c>
      <c r="D217" s="766" t="s">
        <v>12089</v>
      </c>
      <c r="E217" s="766" t="s">
        <v>12127</v>
      </c>
      <c r="F217" s="766"/>
      <c r="G217" s="766"/>
      <c r="H217" s="766"/>
      <c r="I217" s="5"/>
      <c r="J217" s="766"/>
      <c r="K217" s="766"/>
      <c r="L217" s="766"/>
      <c r="M217" s="766"/>
      <c r="N217" s="766"/>
      <c r="O217" s="766"/>
      <c r="P217" s="766"/>
      <c r="Q217" s="1085"/>
      <c r="R217" s="25"/>
      <c r="S217" s="770"/>
      <c r="T217" s="766"/>
      <c r="U217" s="5"/>
      <c r="V217" s="766"/>
      <c r="W217" s="766"/>
      <c r="X217" s="766"/>
      <c r="Y217" s="766"/>
      <c r="Z217" s="766"/>
      <c r="AA217" s="766"/>
      <c r="AB217" s="766"/>
      <c r="AC217" s="766"/>
      <c r="AD217" s="766"/>
      <c r="AE217" s="766"/>
      <c r="AF217" s="766"/>
      <c r="AG217" s="766"/>
      <c r="AH217" s="766"/>
      <c r="AI217" s="766"/>
      <c r="AJ217" s="766"/>
      <c r="AK217" s="766"/>
      <c r="AL217" s="121"/>
      <c r="AM217" s="772"/>
      <c r="AN217" s="774"/>
      <c r="AO217" s="766"/>
      <c r="AP217" s="766"/>
      <c r="AQ217" s="766"/>
      <c r="AR217" s="766"/>
      <c r="AS217" s="766"/>
      <c r="AT217" s="766"/>
      <c r="AU217" s="766"/>
      <c r="AV217" s="766"/>
      <c r="AW217" s="766"/>
      <c r="AX217" s="13"/>
      <c r="AY217" s="766"/>
      <c r="AZ217" s="766"/>
      <c r="BA217" s="766"/>
      <c r="BB217" s="766"/>
      <c r="BC217" s="766"/>
      <c r="BD217" s="766"/>
      <c r="BE217" s="766"/>
      <c r="BF217" s="775"/>
      <c r="BG217" s="775"/>
      <c r="BH217" s="766"/>
      <c r="BI217" s="766"/>
      <c r="BJ217" s="766"/>
      <c r="BK217" s="766" t="s">
        <v>1095</v>
      </c>
      <c r="BL217" s="769"/>
      <c r="BM217" s="766" t="s">
        <v>1096</v>
      </c>
      <c r="BN217" s="766" t="s">
        <v>1230</v>
      </c>
      <c r="BO217" s="766" t="s">
        <v>1252</v>
      </c>
      <c r="BP217" s="776">
        <v>126.38</v>
      </c>
      <c r="BQ217" s="772">
        <v>17.8</v>
      </c>
      <c r="BR217" s="774">
        <v>0.14000000000000001</v>
      </c>
      <c r="BS217" s="766" t="s">
        <v>1242</v>
      </c>
      <c r="BT217" s="766"/>
      <c r="BU217" s="766"/>
      <c r="BV217" s="766"/>
      <c r="BW217" s="766"/>
      <c r="BX217" s="779"/>
      <c r="BY217" s="766"/>
      <c r="BZ217" s="775"/>
      <c r="CA217" s="766"/>
      <c r="CB217" s="766"/>
      <c r="CC217" s="766"/>
      <c r="CD217" s="766"/>
      <c r="CE217" s="766"/>
      <c r="CF217" s="777"/>
      <c r="CG217" s="778"/>
      <c r="CH217" s="766"/>
      <c r="CI217" s="766"/>
      <c r="CJ217" s="766"/>
      <c r="CK217" s="766"/>
      <c r="CL217" s="766"/>
      <c r="CM217" s="766"/>
      <c r="CN217" s="766"/>
      <c r="CO217" s="766"/>
      <c r="CP217" s="766"/>
      <c r="CQ217" s="766"/>
      <c r="CR217" s="775"/>
      <c r="CS217" s="766"/>
      <c r="CT217" s="766"/>
      <c r="CU217" s="129"/>
      <c r="CV217" s="766"/>
      <c r="CW217" s="766"/>
      <c r="CX217" s="766"/>
      <c r="CY217" s="766"/>
      <c r="CZ217" s="766"/>
      <c r="DA217" s="766"/>
      <c r="DB217" s="766"/>
      <c r="DC217" s="766"/>
      <c r="DD217" s="766"/>
      <c r="DE217" s="766"/>
      <c r="DF217" s="766"/>
      <c r="DG217" s="766"/>
      <c r="DH217" s="766"/>
      <c r="DI217" s="766"/>
      <c r="DJ217" s="766"/>
      <c r="DK217" s="766"/>
      <c r="DL217" s="766"/>
      <c r="DM217" s="766"/>
      <c r="DN217" s="766"/>
      <c r="DO217" s="766"/>
      <c r="DP217" s="766"/>
      <c r="DQ217" s="766"/>
      <c r="DR217" s="766"/>
      <c r="DS217" s="59"/>
      <c r="DT217" s="766"/>
      <c r="DU217" s="766"/>
      <c r="DV217" s="766"/>
      <c r="DW217" s="66"/>
      <c r="DX217" s="66"/>
      <c r="DY217" s="766"/>
      <c r="DZ217" s="766"/>
      <c r="EA217" s="766"/>
      <c r="EB217" s="766"/>
      <c r="EC217" s="766"/>
      <c r="ED217" s="766"/>
      <c r="EE217" s="766"/>
      <c r="EF217" s="766"/>
      <c r="EG217" s="766"/>
      <c r="EH217" s="766"/>
      <c r="EI217" s="766"/>
      <c r="EJ217" s="766"/>
      <c r="EK217" s="766"/>
      <c r="EL217" s="766"/>
      <c r="EM217" s="766"/>
      <c r="EN217" s="766"/>
      <c r="EO217" s="766"/>
      <c r="EP217" s="766"/>
      <c r="EQ217" s="766"/>
      <c r="ER217" s="766"/>
      <c r="ES217" s="766"/>
      <c r="ET217" s="766"/>
      <c r="EU217" s="766"/>
      <c r="EV217" s="766"/>
      <c r="EW217" s="766"/>
      <c r="EX217" s="766"/>
      <c r="EY217" s="766"/>
      <c r="EZ217" s="766"/>
      <c r="FA217" s="766"/>
      <c r="FB217" s="766"/>
      <c r="FC217" s="766"/>
      <c r="FD217" s="775"/>
      <c r="FE217" s="766"/>
      <c r="FF217" s="766"/>
      <c r="FG217" s="766"/>
      <c r="FH217" s="766"/>
      <c r="FI217" s="766"/>
      <c r="FJ217" s="766"/>
      <c r="FK217" s="766"/>
      <c r="FL217" s="766"/>
      <c r="FM217" s="775"/>
      <c r="FN217" s="775"/>
      <c r="FO217" s="775"/>
      <c r="FP217" s="766"/>
      <c r="FQ217" s="766"/>
      <c r="FR217" s="766"/>
      <c r="FS217" s="766"/>
      <c r="FT217" s="766"/>
      <c r="FU217" s="766"/>
      <c r="FV217" s="766"/>
      <c r="FW217" s="766"/>
      <c r="FX217" s="766"/>
      <c r="FY217" s="766"/>
      <c r="FZ217" s="766"/>
      <c r="GA217" s="766"/>
      <c r="GB217" s="766"/>
      <c r="GC217" s="75"/>
      <c r="GD217" s="25"/>
      <c r="GE217" s="766"/>
      <c r="GF217" s="775"/>
      <c r="GG217" s="775"/>
      <c r="GH217" s="766"/>
      <c r="GI217" s="766"/>
      <c r="GJ217" s="766"/>
      <c r="GK217" s="766"/>
      <c r="GL217" s="766"/>
      <c r="GM217" s="766"/>
      <c r="GN217" s="82"/>
      <c r="GO217" s="766"/>
      <c r="GP217" s="766"/>
      <c r="GQ217" s="766"/>
      <c r="GR217" s="766"/>
      <c r="GS217" s="766"/>
      <c r="GT217" s="766"/>
      <c r="GU217" s="766"/>
      <c r="GV217" s="766"/>
      <c r="GW217" s="766"/>
      <c r="GX217" s="766"/>
      <c r="GY217" s="766"/>
      <c r="GZ217" s="766"/>
      <c r="HA217" s="766"/>
      <c r="HB217" s="766"/>
      <c r="HC217" s="766"/>
      <c r="HD217" s="766"/>
      <c r="HE217" s="766"/>
      <c r="HF217" s="766"/>
      <c r="HG217" s="766"/>
      <c r="HH217" s="766"/>
      <c r="HI217" s="766"/>
      <c r="HJ217" s="766"/>
      <c r="HK217" s="766"/>
      <c r="HL217" s="766"/>
      <c r="HM217" s="766"/>
      <c r="HN217" s="766"/>
      <c r="HO217" s="766"/>
      <c r="HP217" s="766"/>
      <c r="HQ217" s="766"/>
      <c r="HR217" s="766"/>
      <c r="HS217" s="766"/>
      <c r="HT217" s="766"/>
      <c r="HU217" s="766"/>
      <c r="HV217" s="766"/>
      <c r="HW217" s="766"/>
      <c r="HX217" s="766"/>
      <c r="HY217" s="766"/>
      <c r="HZ217" s="766"/>
      <c r="IA217" s="766"/>
      <c r="IB217" s="766"/>
      <c r="IC217" s="766"/>
      <c r="ID217" s="766"/>
      <c r="IE217" s="766"/>
      <c r="IF217" s="766"/>
      <c r="IG217" s="766"/>
      <c r="IH217" s="766"/>
      <c r="II217" s="766"/>
      <c r="IJ217" s="766"/>
      <c r="IK217" s="766"/>
      <c r="IL217" s="766"/>
      <c r="IM217" s="766"/>
      <c r="IN217" s="766"/>
      <c r="IO217" s="24"/>
      <c r="IP217" s="766"/>
      <c r="IQ217" s="766"/>
      <c r="IR217" s="766"/>
      <c r="IS217" s="766"/>
      <c r="IT217" s="766"/>
      <c r="IU217" s="766"/>
      <c r="IV217" s="766"/>
      <c r="IW217" s="766"/>
      <c r="IX217" s="766"/>
      <c r="IY217" s="766"/>
      <c r="IZ217" s="766"/>
      <c r="JA217" s="766"/>
      <c r="JB217" s="766"/>
      <c r="JC217" s="766"/>
      <c r="JD217" s="775"/>
      <c r="JE217" s="766"/>
      <c r="JF217" s="766"/>
      <c r="JG217" s="766"/>
      <c r="JH217" s="766"/>
      <c r="JI217" s="766"/>
      <c r="JJ217" s="766"/>
      <c r="JK217" s="766"/>
      <c r="JL217" s="766"/>
      <c r="JM217" s="766"/>
      <c r="JN217" s="766"/>
      <c r="JO217" s="766"/>
      <c r="JP217" s="766"/>
      <c r="JQ217" s="766"/>
      <c r="JR217" s="766"/>
      <c r="JS217" s="766"/>
      <c r="JT217" s="766"/>
      <c r="JU217" s="766"/>
      <c r="JV217" s="766"/>
      <c r="JW217" s="766"/>
      <c r="JX217" s="766"/>
      <c r="JY217" s="766"/>
      <c r="JZ217" s="766"/>
      <c r="KA217" s="766"/>
      <c r="KB217" s="766"/>
      <c r="KC217" s="766"/>
      <c r="KD217" s="766"/>
      <c r="KE217" s="766"/>
      <c r="KF217" s="766"/>
      <c r="KG217" s="766"/>
      <c r="KH217" s="766"/>
      <c r="KI217" s="766"/>
      <c r="KJ217" s="770"/>
      <c r="KK217" s="770"/>
      <c r="KL217" s="770"/>
      <c r="KM217" s="770"/>
      <c r="KN217" s="766"/>
      <c r="KO217" s="766"/>
      <c r="KP217" s="766"/>
      <c r="KQ217" s="766"/>
      <c r="KR217" s="766"/>
      <c r="KS217" s="766"/>
      <c r="KT217" s="766"/>
      <c r="KU217" s="766"/>
      <c r="KV217" s="766"/>
      <c r="KW217" s="766"/>
      <c r="KX217" s="766"/>
      <c r="KY217" s="766"/>
      <c r="KZ217" s="766"/>
      <c r="LA217" s="766"/>
      <c r="LB217" s="766"/>
      <c r="LC217" s="766"/>
      <c r="LD217" s="766"/>
      <c r="LE217" s="766"/>
      <c r="LF217" s="766"/>
      <c r="LG217" s="766"/>
      <c r="LH217" s="766"/>
      <c r="LI217" s="766"/>
      <c r="LJ217" s="766"/>
      <c r="LK217" s="766"/>
      <c r="LL217" s="766"/>
      <c r="LM217" s="766"/>
      <c r="LN217" s="766"/>
      <c r="LO217" s="766"/>
      <c r="LP217" s="766"/>
      <c r="LQ217" s="766"/>
      <c r="LR217" s="766"/>
      <c r="LS217" s="766"/>
      <c r="LT217" s="766"/>
      <c r="LU217" s="766"/>
      <c r="LV217" s="766"/>
      <c r="LW217" s="766"/>
      <c r="LX217" s="769"/>
      <c r="LY217" s="766" t="str">
        <f t="shared" si="50"/>
        <v/>
      </c>
      <c r="LZ217" s="66"/>
      <c r="MA217" s="766"/>
      <c r="MB217" s="766"/>
      <c r="MC217" s="1679">
        <f t="shared" si="41"/>
        <v>0</v>
      </c>
      <c r="MD217" s="66"/>
      <c r="ME217" s="66"/>
      <c r="MF217" s="66"/>
      <c r="MG217" s="1680">
        <f t="shared" si="48"/>
        <v>0</v>
      </c>
      <c r="MH217" s="766"/>
      <c r="MI217" s="775"/>
      <c r="MJ217" s="775"/>
      <c r="MK217" s="775"/>
      <c r="ML217" s="775"/>
      <c r="MM217" s="775"/>
      <c r="MN217" s="775"/>
      <c r="MO217" s="775"/>
      <c r="MP217" s="775"/>
      <c r="MQ217" s="775"/>
      <c r="MR217" s="775"/>
      <c r="MS217" s="775"/>
      <c r="MT217" s="775"/>
      <c r="MU217" s="775"/>
      <c r="MV217" s="775"/>
      <c r="MW217" s="775"/>
      <c r="MX217" s="775"/>
      <c r="MY217" s="1682">
        <f t="shared" si="49"/>
        <v>0</v>
      </c>
      <c r="MZ217" s="766"/>
      <c r="NA217" s="766"/>
      <c r="NB217" s="766"/>
      <c r="NC217" s="766"/>
      <c r="ND217" s="766"/>
      <c r="NE217" s="766"/>
      <c r="NF217" s="766"/>
      <c r="NG217" s="766"/>
      <c r="NH217" s="766"/>
      <c r="NI217" s="766"/>
      <c r="NJ217" s="766"/>
      <c r="NK217" s="766"/>
      <c r="NL217" s="766"/>
      <c r="NM217" s="766"/>
      <c r="NN217" s="766"/>
      <c r="NO217" s="766"/>
      <c r="NP217" s="766"/>
      <c r="NQ217" s="766"/>
      <c r="NR217" s="766"/>
      <c r="NS217" s="766"/>
      <c r="NT217" s="766"/>
      <c r="NU217" s="766"/>
      <c r="NV217" s="766"/>
      <c r="NW217" s="766"/>
      <c r="NX217" s="766"/>
      <c r="NY217" s="766"/>
      <c r="NZ217" s="766"/>
      <c r="OA217" s="766"/>
      <c r="OB217" s="766"/>
      <c r="OC217" s="766"/>
      <c r="OD217" s="766"/>
      <c r="OE217" s="766"/>
      <c r="OF217" s="766"/>
      <c r="OG217" s="766"/>
      <c r="OH217" s="766"/>
      <c r="OI217" s="766"/>
      <c r="OJ217" s="766"/>
      <c r="OK217" s="28"/>
      <c r="OL217" s="766"/>
      <c r="OM217" s="766"/>
      <c r="ON217" s="766"/>
      <c r="OO217" s="766"/>
      <c r="OP217" s="766"/>
      <c r="OQ217" s="766"/>
      <c r="OR217" s="766"/>
      <c r="OS217" s="766"/>
      <c r="OT217" s="766"/>
      <c r="OU217" s="766"/>
      <c r="OV217" s="766"/>
      <c r="OW217" s="766"/>
      <c r="OX217" s="766"/>
      <c r="OY217" s="766"/>
      <c r="OZ217" s="766"/>
      <c r="PA217" s="766"/>
      <c r="PB217" s="766"/>
      <c r="PC217" s="766"/>
      <c r="PD217" s="766"/>
      <c r="PE217" s="766"/>
      <c r="PF217" s="766"/>
      <c r="PG217" s="766"/>
      <c r="PH217" s="766"/>
      <c r="PI217" s="766"/>
      <c r="PJ217" s="766"/>
      <c r="PK217" s="766"/>
      <c r="PL217" s="766"/>
      <c r="PM217" s="766"/>
      <c r="PN217" s="766"/>
      <c r="PO217" s="766"/>
      <c r="PP217" s="766"/>
      <c r="PQ217" s="766"/>
      <c r="PR217" s="766"/>
      <c r="PS217" s="766"/>
      <c r="PT217" s="766"/>
      <c r="PU217" s="766"/>
      <c r="PV217" s="766"/>
      <c r="PW217" s="766"/>
      <c r="PX217" s="766"/>
      <c r="PY217" s="766"/>
      <c r="PZ217" s="766"/>
      <c r="QA217" s="766"/>
      <c r="QB217" s="766"/>
      <c r="QC217" s="766"/>
      <c r="QD217" s="766"/>
      <c r="QE217" s="766"/>
      <c r="QF217" s="766"/>
      <c r="QG217" s="766"/>
      <c r="QH217" s="766"/>
      <c r="QI217" s="766"/>
      <c r="QJ217" s="766"/>
      <c r="QK217" s="766"/>
      <c r="QL217" s="766"/>
      <c r="QM217" s="766"/>
      <c r="QN217" s="766"/>
      <c r="QO217" s="766"/>
      <c r="QP217" s="766"/>
      <c r="QQ217" s="766"/>
      <c r="QR217" s="766"/>
      <c r="QS217" s="766"/>
      <c r="QT217" s="766"/>
      <c r="QU217" s="766"/>
      <c r="QV217" s="766"/>
      <c r="QW217" s="766"/>
      <c r="QX217" s="766"/>
      <c r="QY217" s="766"/>
      <c r="QZ217" s="766"/>
      <c r="RA217" s="766"/>
      <c r="RB217" s="766"/>
      <c r="RC217" s="766"/>
      <c r="RD217" s="766"/>
      <c r="RE217" s="766"/>
      <c r="RF217" s="777"/>
      <c r="RG217" s="766"/>
      <c r="RH217" s="775"/>
      <c r="RI217" s="766"/>
      <c r="RJ217" s="766"/>
      <c r="RK217" s="766"/>
      <c r="RL217" s="1683"/>
      <c r="RM217" s="12"/>
      <c r="RN217" s="1711"/>
      <c r="RO217" s="171" t="s">
        <v>11850</v>
      </c>
      <c r="RP217" s="11"/>
      <c r="RQ217" s="11"/>
      <c r="RR217" s="17"/>
      <c r="RS217" s="766"/>
      <c r="RT217" s="11"/>
      <c r="RU217" s="11"/>
      <c r="RV217" s="766" t="s">
        <v>12449</v>
      </c>
      <c r="RW217" s="11" t="s">
        <v>12107</v>
      </c>
      <c r="RX217" s="11" t="s">
        <v>11849</v>
      </c>
      <c r="RY217" s="11"/>
      <c r="RZ217" s="11" t="s">
        <v>7419</v>
      </c>
      <c r="SA217" s="766"/>
      <c r="SB217" s="11"/>
      <c r="SC217" s="11"/>
    </row>
    <row r="218" spans="1:497" ht="12.75" hidden="1" customHeight="1">
      <c r="A218" s="767" t="s">
        <v>14158</v>
      </c>
      <c r="B218" s="1093" t="s">
        <v>12224</v>
      </c>
      <c r="C218" s="171" t="s">
        <v>11850</v>
      </c>
      <c r="D218" s="766" t="s">
        <v>12126</v>
      </c>
      <c r="E218" s="766" t="s">
        <v>12127</v>
      </c>
      <c r="F218" s="766" t="s">
        <v>28</v>
      </c>
      <c r="G218" s="766" t="s">
        <v>10</v>
      </c>
      <c r="H218" s="766"/>
      <c r="I218" s="5"/>
      <c r="J218" s="766" t="s">
        <v>12126</v>
      </c>
      <c r="K218" s="766" t="s">
        <v>12128</v>
      </c>
      <c r="L218" s="766" t="s">
        <v>12121</v>
      </c>
      <c r="M218" s="766"/>
      <c r="N218" s="766" t="s">
        <v>12091</v>
      </c>
      <c r="O218" s="766" t="s">
        <v>11345</v>
      </c>
      <c r="P218" s="766" t="s">
        <v>12231</v>
      </c>
      <c r="Q218" s="1085"/>
      <c r="R218" s="25"/>
      <c r="S218" s="770"/>
      <c r="T218" s="766"/>
      <c r="U218" s="26"/>
      <c r="V218" s="766"/>
      <c r="W218" s="766"/>
      <c r="X218" s="766"/>
      <c r="Y218" s="766"/>
      <c r="Z218" s="766"/>
      <c r="AA218" s="766"/>
      <c r="AB218" s="766"/>
      <c r="AC218" s="766"/>
      <c r="AD218" s="766"/>
      <c r="AE218" s="766"/>
      <c r="AF218" s="766"/>
      <c r="AG218" s="766"/>
      <c r="AH218" s="766"/>
      <c r="AI218" s="766"/>
      <c r="AJ218" s="766"/>
      <c r="AK218" s="766" t="s">
        <v>1899</v>
      </c>
      <c r="AL218" s="121"/>
      <c r="AM218" s="772"/>
      <c r="AN218" s="774"/>
      <c r="AO218" s="766"/>
      <c r="AP218" s="766"/>
      <c r="AQ218" s="766"/>
      <c r="AR218" s="766"/>
      <c r="AS218" s="766"/>
      <c r="AT218" s="766"/>
      <c r="AU218" s="766"/>
      <c r="AV218" s="766"/>
      <c r="AW218" s="766"/>
      <c r="AX218" s="13"/>
      <c r="AY218" s="766"/>
      <c r="AZ218" s="766"/>
      <c r="BA218" s="766"/>
      <c r="BB218" s="766"/>
      <c r="BC218" s="766"/>
      <c r="BD218" s="766"/>
      <c r="BE218" s="766"/>
      <c r="BF218" s="775"/>
      <c r="BG218" s="775"/>
      <c r="BH218" s="766"/>
      <c r="BI218" s="766"/>
      <c r="BJ218" s="766"/>
      <c r="BK218" s="766"/>
      <c r="BL218" s="766"/>
      <c r="BM218" s="766" t="s">
        <v>1238</v>
      </c>
      <c r="BN218" s="769" t="s">
        <v>1256</v>
      </c>
      <c r="BO218" s="766"/>
      <c r="BP218" s="776"/>
      <c r="BQ218" s="772"/>
      <c r="BR218" s="774"/>
      <c r="BS218" s="766" t="s">
        <v>1242</v>
      </c>
      <c r="BT218" s="766" t="s">
        <v>2040</v>
      </c>
      <c r="BU218" s="766" t="s">
        <v>12125</v>
      </c>
      <c r="BV218" s="766" t="s">
        <v>1247</v>
      </c>
      <c r="BW218" s="766"/>
      <c r="BX218" s="779"/>
      <c r="BY218" s="766"/>
      <c r="BZ218" s="775"/>
      <c r="CA218" s="766"/>
      <c r="CB218" s="766"/>
      <c r="CC218" s="766"/>
      <c r="CD218" s="766"/>
      <c r="CE218" s="766"/>
      <c r="CF218" s="777"/>
      <c r="CG218" s="778"/>
      <c r="CH218" s="766"/>
      <c r="CI218" s="766"/>
      <c r="CJ218" s="766"/>
      <c r="CK218" s="766"/>
      <c r="CL218" s="766"/>
      <c r="CM218" s="766"/>
      <c r="CN218" s="766"/>
      <c r="CO218" s="766"/>
      <c r="CP218" s="766"/>
      <c r="CQ218" s="766"/>
      <c r="CR218" s="775"/>
      <c r="CS218" s="766"/>
      <c r="CT218" s="766"/>
      <c r="CU218" s="129"/>
      <c r="CV218" s="766"/>
      <c r="CW218" s="766"/>
      <c r="CX218" s="766"/>
      <c r="CY218" s="766"/>
      <c r="CZ218" s="766"/>
      <c r="DA218" s="66"/>
      <c r="DB218" s="766"/>
      <c r="DC218" s="766"/>
      <c r="DD218" s="766"/>
      <c r="DE218" s="772"/>
      <c r="DF218" s="766"/>
      <c r="DG218" s="766"/>
      <c r="DH218" s="766"/>
      <c r="DI218" s="766"/>
      <c r="DJ218" s="766"/>
      <c r="DK218" s="766"/>
      <c r="DL218" s="766"/>
      <c r="DM218" s="766"/>
      <c r="DN218" s="44"/>
      <c r="DO218" s="766"/>
      <c r="DP218" s="766"/>
      <c r="DQ218" s="766"/>
      <c r="DR218" s="766"/>
      <c r="DS218" s="59"/>
      <c r="DT218" s="766"/>
      <c r="DU218" s="766"/>
      <c r="DV218" s="766"/>
      <c r="DW218" s="66"/>
      <c r="DX218" s="66"/>
      <c r="DY218" s="766"/>
      <c r="DZ218" s="766"/>
      <c r="EA218" s="766"/>
      <c r="EB218" s="766"/>
      <c r="EC218" s="766"/>
      <c r="ED218" s="766"/>
      <c r="EE218" s="766"/>
      <c r="EF218" s="766"/>
      <c r="EG218" s="766"/>
      <c r="EH218" s="766"/>
      <c r="EI218" s="766"/>
      <c r="EJ218" s="766"/>
      <c r="EK218" s="766"/>
      <c r="EL218" s="766"/>
      <c r="EM218" s="766"/>
      <c r="EN218" s="766"/>
      <c r="EO218" s="766"/>
      <c r="EP218" s="14"/>
      <c r="EQ218" s="766"/>
      <c r="ER218" s="766"/>
      <c r="ES218" s="766"/>
      <c r="ET218" s="766"/>
      <c r="EU218" s="766"/>
      <c r="EV218" s="766"/>
      <c r="EW218" s="766"/>
      <c r="EX218" s="766"/>
      <c r="EY218" s="766"/>
      <c r="EZ218" s="766"/>
      <c r="FA218" s="766"/>
      <c r="FB218" s="766"/>
      <c r="FC218" s="766"/>
      <c r="FD218" s="775"/>
      <c r="FE218" s="766"/>
      <c r="FF218" s="766"/>
      <c r="FG218" s="766"/>
      <c r="FH218" s="766"/>
      <c r="FI218" s="766"/>
      <c r="FJ218" s="766"/>
      <c r="FK218" s="766"/>
      <c r="FL218" s="766"/>
      <c r="FM218" s="775"/>
      <c r="FN218" s="775"/>
      <c r="FO218" s="775"/>
      <c r="FP218" s="766"/>
      <c r="FQ218" s="766"/>
      <c r="FR218" s="766"/>
      <c r="FS218" s="766"/>
      <c r="FT218" s="766"/>
      <c r="FU218" s="766"/>
      <c r="FV218" s="766"/>
      <c r="FW218" s="766"/>
      <c r="FX218" s="766"/>
      <c r="FY218" s="766"/>
      <c r="FZ218" s="766"/>
      <c r="GA218" s="766"/>
      <c r="GB218" s="766"/>
      <c r="GC218" s="75"/>
      <c r="GD218" s="25"/>
      <c r="GE218" s="766"/>
      <c r="GF218" s="775"/>
      <c r="GG218" s="775"/>
      <c r="GH218" s="770"/>
      <c r="GI218" s="770"/>
      <c r="GJ218" s="770"/>
      <c r="GK218" s="770"/>
      <c r="GL218" s="770"/>
      <c r="GM218" s="770"/>
      <c r="GN218" s="299"/>
      <c r="GO218" s="770"/>
      <c r="GP218" s="770"/>
      <c r="GQ218" s="770"/>
      <c r="GR218" s="770"/>
      <c r="GS218" s="770"/>
      <c r="GT218" s="770"/>
      <c r="GU218" s="770"/>
      <c r="GV218" s="770"/>
      <c r="GW218" s="770"/>
      <c r="GX218" s="770"/>
      <c r="GY218" s="770"/>
      <c r="GZ218" s="770"/>
      <c r="HA218" s="770"/>
      <c r="HB218" s="770"/>
      <c r="HC218" s="770"/>
      <c r="HD218" s="770"/>
      <c r="HE218" s="770"/>
      <c r="HF218" s="770"/>
      <c r="HG218" s="770"/>
      <c r="HH218" s="770"/>
      <c r="HI218" s="770"/>
      <c r="HJ218" s="770"/>
      <c r="HK218" s="770"/>
      <c r="HL218" s="770"/>
      <c r="HM218" s="770"/>
      <c r="HN218" s="770"/>
      <c r="HO218" s="770"/>
      <c r="HP218" s="770"/>
      <c r="HQ218" s="770"/>
      <c r="HR218" s="770"/>
      <c r="HS218" s="770"/>
      <c r="HT218" s="770"/>
      <c r="HU218" s="770"/>
      <c r="HV218" s="770"/>
      <c r="HW218" s="770"/>
      <c r="HX218" s="770"/>
      <c r="HY218" s="770"/>
      <c r="HZ218" s="770"/>
      <c r="IA218" s="770"/>
      <c r="IB218" s="770"/>
      <c r="IC218" s="770"/>
      <c r="ID218" s="770"/>
      <c r="IE218" s="770"/>
      <c r="IF218" s="770"/>
      <c r="IG218" s="770"/>
      <c r="IH218" s="770"/>
      <c r="II218" s="770"/>
      <c r="IJ218" s="770"/>
      <c r="IK218" s="770"/>
      <c r="IL218" s="770"/>
      <c r="IM218" s="770"/>
      <c r="IN218" s="770"/>
      <c r="IO218" s="296"/>
      <c r="IP218" s="770"/>
      <c r="IQ218" s="770"/>
      <c r="IR218" s="770"/>
      <c r="IS218" s="770"/>
      <c r="IT218" s="770"/>
      <c r="IU218" s="770"/>
      <c r="IV218" s="770"/>
      <c r="IW218" s="770"/>
      <c r="IX218" s="770"/>
      <c r="IY218" s="770"/>
      <c r="IZ218" s="770"/>
      <c r="JA218" s="770"/>
      <c r="JB218" s="770"/>
      <c r="JC218" s="770"/>
      <c r="JD218" s="302"/>
      <c r="JE218" s="770"/>
      <c r="JF218" s="770"/>
      <c r="JG218" s="770"/>
      <c r="JH218" s="302"/>
      <c r="JI218" s="302"/>
      <c r="JJ218" s="770"/>
      <c r="JK218" s="770"/>
      <c r="JL218" s="770"/>
      <c r="JM218" s="770"/>
      <c r="JN218" s="770"/>
      <c r="JO218" s="770"/>
      <c r="JP218" s="770"/>
      <c r="JQ218" s="770"/>
      <c r="JR218" s="770"/>
      <c r="JS218" s="770"/>
      <c r="JT218" s="766"/>
      <c r="JU218" s="766"/>
      <c r="JV218" s="766"/>
      <c r="JW218" s="766"/>
      <c r="JX218" s="770"/>
      <c r="JY218" s="770"/>
      <c r="JZ218" s="770"/>
      <c r="KA218" s="770"/>
      <c r="KB218" s="770"/>
      <c r="KC218" s="770"/>
      <c r="KD218" s="770"/>
      <c r="KE218" s="770"/>
      <c r="KF218" s="770"/>
      <c r="KG218" s="770"/>
      <c r="KH218" s="770"/>
      <c r="KI218" s="770"/>
      <c r="KJ218" s="770"/>
      <c r="KK218" s="770"/>
      <c r="KL218" s="770"/>
      <c r="KM218" s="770"/>
      <c r="KN218" s="770"/>
      <c r="KO218" s="770"/>
      <c r="KP218" s="770"/>
      <c r="KQ218" s="770"/>
      <c r="KR218" s="770"/>
      <c r="KS218" s="770"/>
      <c r="KT218" s="770"/>
      <c r="KU218" s="770"/>
      <c r="KV218" s="770"/>
      <c r="KW218" s="770"/>
      <c r="KX218" s="770"/>
      <c r="KY218" s="770"/>
      <c r="KZ218" s="770"/>
      <c r="LA218" s="770"/>
      <c r="LB218" s="770"/>
      <c r="LC218" s="770"/>
      <c r="LD218" s="770"/>
      <c r="LE218" s="770"/>
      <c r="LF218" s="770"/>
      <c r="LG218" s="770"/>
      <c r="LH218" s="770"/>
      <c r="LI218" s="770"/>
      <c r="LJ218" s="770"/>
      <c r="LK218" s="770"/>
      <c r="LL218" s="770"/>
      <c r="LM218" s="770"/>
      <c r="LN218" s="766"/>
      <c r="LO218" s="766"/>
      <c r="LP218" s="770"/>
      <c r="LQ218" s="770"/>
      <c r="LR218" s="770"/>
      <c r="LS218" s="770"/>
      <c r="LT218" s="770"/>
      <c r="LU218" s="770"/>
      <c r="LV218" s="770"/>
      <c r="LW218" s="770"/>
      <c r="LX218" s="769"/>
      <c r="LY218" s="766" t="str">
        <f t="shared" si="50"/>
        <v/>
      </c>
      <c r="LZ218" s="299"/>
      <c r="MA218" s="1709"/>
      <c r="MB218" s="1709"/>
      <c r="MC218" s="1679">
        <f t="shared" si="41"/>
        <v>0</v>
      </c>
      <c r="MD218" s="1709"/>
      <c r="ME218" s="1709"/>
      <c r="MF218" s="1709"/>
      <c r="MG218" s="1680">
        <f t="shared" si="48"/>
        <v>0</v>
      </c>
      <c r="MH218" s="770"/>
      <c r="MI218" s="302"/>
      <c r="MJ218" s="302"/>
      <c r="MK218" s="302"/>
      <c r="ML218" s="302"/>
      <c r="MM218" s="302"/>
      <c r="MN218" s="302"/>
      <c r="MO218" s="302"/>
      <c r="MP218" s="302"/>
      <c r="MQ218" s="302"/>
      <c r="MR218" s="302"/>
      <c r="MS218" s="302"/>
      <c r="MT218" s="302"/>
      <c r="MU218" s="302"/>
      <c r="MV218" s="302"/>
      <c r="MW218" s="302"/>
      <c r="MX218" s="302"/>
      <c r="MY218" s="1682">
        <f t="shared" si="49"/>
        <v>0</v>
      </c>
      <c r="MZ218" s="770"/>
      <c r="NA218" s="770"/>
      <c r="NB218" s="770"/>
      <c r="NC218" s="770"/>
      <c r="ND218" s="770"/>
      <c r="NE218" s="770"/>
      <c r="NF218" s="770"/>
      <c r="NG218" s="770"/>
      <c r="NH218" s="770"/>
      <c r="NI218" s="770"/>
      <c r="NJ218" s="770"/>
      <c r="NK218" s="770"/>
      <c r="NL218" s="770"/>
      <c r="NM218" s="770"/>
      <c r="NN218" s="770"/>
      <c r="NO218" s="770"/>
      <c r="NP218" s="770"/>
      <c r="NQ218" s="770"/>
      <c r="NR218" s="770"/>
      <c r="NS218" s="770"/>
      <c r="NT218" s="770"/>
      <c r="NU218" s="770"/>
      <c r="NV218" s="770"/>
      <c r="NW218" s="770"/>
      <c r="NX218" s="770"/>
      <c r="NY218" s="770"/>
      <c r="NZ218" s="770"/>
      <c r="OA218" s="770"/>
      <c r="OB218" s="770"/>
      <c r="OC218" s="770"/>
      <c r="OD218" s="770"/>
      <c r="OE218" s="770"/>
      <c r="OF218" s="770"/>
      <c r="OG218" s="770"/>
      <c r="OH218" s="770"/>
      <c r="OI218" s="770"/>
      <c r="OJ218" s="770"/>
      <c r="OK218" s="770"/>
      <c r="OL218" s="770"/>
      <c r="OM218" s="770"/>
      <c r="ON218" s="770"/>
      <c r="OO218" s="770"/>
      <c r="OP218" s="770"/>
      <c r="OQ218" s="770"/>
      <c r="OR218" s="770"/>
      <c r="OS218" s="770"/>
      <c r="OT218" s="770"/>
      <c r="OU218" s="770"/>
      <c r="OV218" s="770"/>
      <c r="OW218" s="770"/>
      <c r="OX218" s="770"/>
      <c r="OY218" s="770"/>
      <c r="OZ218" s="770"/>
      <c r="PA218" s="770"/>
      <c r="PB218" s="770"/>
      <c r="PC218" s="770"/>
      <c r="PD218" s="770"/>
      <c r="PE218" s="770"/>
      <c r="PF218" s="770"/>
      <c r="PG218" s="770"/>
      <c r="PH218" s="770"/>
      <c r="PI218" s="770"/>
      <c r="PJ218" s="770"/>
      <c r="PK218" s="770"/>
      <c r="PL218" s="770"/>
      <c r="PM218" s="770"/>
      <c r="PN218" s="770"/>
      <c r="PO218" s="770"/>
      <c r="PP218" s="770"/>
      <c r="PQ218" s="770"/>
      <c r="PR218" s="770"/>
      <c r="PS218" s="770"/>
      <c r="PT218" s="770"/>
      <c r="PU218" s="770"/>
      <c r="PV218" s="770"/>
      <c r="PW218" s="770"/>
      <c r="PX218" s="770"/>
      <c r="PY218" s="770"/>
      <c r="PZ218" s="770"/>
      <c r="QA218" s="770"/>
      <c r="QB218" s="770"/>
      <c r="QC218" s="770"/>
      <c r="QD218" s="770"/>
      <c r="QE218" s="770"/>
      <c r="QF218" s="770"/>
      <c r="QG218" s="770"/>
      <c r="QH218" s="770"/>
      <c r="QI218" s="770"/>
      <c r="QJ218" s="770"/>
      <c r="QK218" s="770"/>
      <c r="QL218" s="770"/>
      <c r="QM218" s="770"/>
      <c r="QN218" s="770"/>
      <c r="QO218" s="770"/>
      <c r="QP218" s="770"/>
      <c r="QQ218" s="770"/>
      <c r="QR218" s="770"/>
      <c r="QS218" s="770"/>
      <c r="QT218" s="770"/>
      <c r="QU218" s="770"/>
      <c r="QV218" s="770"/>
      <c r="QW218" s="770"/>
      <c r="QX218" s="770"/>
      <c r="QY218" s="770"/>
      <c r="QZ218" s="770"/>
      <c r="RA218" s="770"/>
      <c r="RB218" s="770"/>
      <c r="RC218" s="770"/>
      <c r="RD218" s="770"/>
      <c r="RE218" s="770"/>
      <c r="RF218" s="304"/>
      <c r="RG218" s="770"/>
      <c r="RH218" s="306"/>
      <c r="RI218" s="770"/>
      <c r="RJ218" s="1732"/>
      <c r="RK218" s="770"/>
      <c r="RL218" s="1733"/>
      <c r="RM218" s="12"/>
      <c r="RN218" s="1711"/>
      <c r="RO218" s="171" t="s">
        <v>11850</v>
      </c>
      <c r="RP218" s="11"/>
      <c r="RQ218" s="11"/>
      <c r="RR218" s="771"/>
      <c r="RS218" s="767"/>
      <c r="RT218" s="11"/>
      <c r="RU218" s="11"/>
      <c r="RV218" s="771" t="s">
        <v>12449</v>
      </c>
      <c r="RW218" s="11" t="s">
        <v>12114</v>
      </c>
      <c r="RX218" s="11" t="s">
        <v>11849</v>
      </c>
      <c r="RY218" s="11"/>
      <c r="RZ218" s="11"/>
      <c r="SA218" s="771"/>
      <c r="SB218" s="11"/>
      <c r="SC218" s="11"/>
    </row>
    <row r="219" spans="1:497" ht="12.75" hidden="1" customHeight="1">
      <c r="A219" s="767" t="s">
        <v>12354</v>
      </c>
      <c r="B219" s="292" t="s">
        <v>12230</v>
      </c>
      <c r="C219" s="171" t="s">
        <v>11851</v>
      </c>
      <c r="D219" s="766" t="s">
        <v>12129</v>
      </c>
      <c r="E219" s="766" t="s">
        <v>12130</v>
      </c>
      <c r="F219" s="766"/>
      <c r="G219" s="766" t="s">
        <v>10</v>
      </c>
      <c r="H219" s="766"/>
      <c r="I219" s="5"/>
      <c r="J219" s="766"/>
      <c r="K219" s="766" t="s">
        <v>12131</v>
      </c>
      <c r="L219" s="766" t="s">
        <v>12090</v>
      </c>
      <c r="M219" s="766"/>
      <c r="N219" s="766" t="s">
        <v>11345</v>
      </c>
      <c r="O219" s="766" t="s">
        <v>11346</v>
      </c>
      <c r="P219" s="766"/>
      <c r="Q219" s="1085"/>
      <c r="R219" s="25"/>
      <c r="S219" s="770"/>
      <c r="T219" s="766"/>
      <c r="U219" s="26"/>
      <c r="V219" s="766"/>
      <c r="W219" s="766"/>
      <c r="X219" s="24"/>
      <c r="Y219" s="766"/>
      <c r="Z219" s="766"/>
      <c r="AA219" s="766"/>
      <c r="AB219" s="766"/>
      <c r="AC219" s="766"/>
      <c r="AD219" s="766"/>
      <c r="AE219" s="766"/>
      <c r="AF219" s="766"/>
      <c r="AG219" s="766" t="s">
        <v>1095</v>
      </c>
      <c r="AH219" s="766" t="s">
        <v>1120</v>
      </c>
      <c r="AI219" s="766" t="s">
        <v>12132</v>
      </c>
      <c r="AJ219" s="766"/>
      <c r="AK219" s="766" t="s">
        <v>1097</v>
      </c>
      <c r="AL219" s="121">
        <v>10120</v>
      </c>
      <c r="AM219" s="772">
        <v>50</v>
      </c>
      <c r="AN219" s="774">
        <f t="shared" ref="AN219:AN224" si="60">AM219/AL219</f>
        <v>4.940711462450593E-3</v>
      </c>
      <c r="AO219" s="766" t="s">
        <v>1098</v>
      </c>
      <c r="AP219" s="766"/>
      <c r="AQ219" s="766"/>
      <c r="AR219" s="766"/>
      <c r="AS219" s="766"/>
      <c r="AT219" s="766"/>
      <c r="AU219" s="766"/>
      <c r="AV219" s="766"/>
      <c r="AW219" s="766"/>
      <c r="AX219" s="13"/>
      <c r="AY219" s="766"/>
      <c r="AZ219" s="766"/>
      <c r="BA219" s="766"/>
      <c r="BB219" s="766"/>
      <c r="BC219" s="766"/>
      <c r="BD219" s="766"/>
      <c r="BE219" s="766"/>
      <c r="BF219" s="775"/>
      <c r="BG219" s="775"/>
      <c r="BH219" s="766"/>
      <c r="BI219" s="766"/>
      <c r="BJ219" s="766"/>
      <c r="BK219" s="766"/>
      <c r="BL219" s="766"/>
      <c r="BM219" s="766"/>
      <c r="BN219" s="766"/>
      <c r="BO219" s="766"/>
      <c r="BP219" s="776"/>
      <c r="BQ219" s="772"/>
      <c r="BR219" s="774"/>
      <c r="BS219" s="766"/>
      <c r="BT219" s="766"/>
      <c r="BU219" s="766"/>
      <c r="BV219" s="766"/>
      <c r="BW219" s="766"/>
      <c r="BX219" s="779"/>
      <c r="BY219" s="766"/>
      <c r="BZ219" s="775"/>
      <c r="CA219" s="766"/>
      <c r="CB219" s="766" t="s">
        <v>1207</v>
      </c>
      <c r="CC219" s="766" t="s">
        <v>12132</v>
      </c>
      <c r="CD219" s="766"/>
      <c r="CE219" s="766"/>
      <c r="CF219" s="777">
        <v>4</v>
      </c>
      <c r="CG219" s="778">
        <v>65</v>
      </c>
      <c r="CH219" s="766" t="s">
        <v>12133</v>
      </c>
      <c r="CI219" s="770"/>
      <c r="CJ219" s="766" t="s">
        <v>11026</v>
      </c>
      <c r="CK219" s="766">
        <v>17</v>
      </c>
      <c r="CL219" s="766" t="s">
        <v>1240</v>
      </c>
      <c r="CM219" s="766" t="s">
        <v>12229</v>
      </c>
      <c r="CN219" s="766"/>
      <c r="CO219" s="766" t="s">
        <v>1257</v>
      </c>
      <c r="CP219" s="766"/>
      <c r="CQ219" s="766"/>
      <c r="CR219" s="775"/>
      <c r="CS219" s="766"/>
      <c r="CT219" s="766"/>
      <c r="CU219" s="129"/>
      <c r="CV219" s="766"/>
      <c r="CW219" s="766"/>
      <c r="CX219" s="766"/>
      <c r="CY219" s="766"/>
      <c r="CZ219" s="766"/>
      <c r="DA219" s="66"/>
      <c r="DB219" s="766"/>
      <c r="DC219" s="766"/>
      <c r="DD219" s="766"/>
      <c r="DE219" s="772"/>
      <c r="DF219" s="766"/>
      <c r="DG219" s="766"/>
      <c r="DH219" s="766"/>
      <c r="DI219" s="766"/>
      <c r="DJ219" s="766"/>
      <c r="DK219" s="766"/>
      <c r="DL219" s="766"/>
      <c r="DM219" s="766"/>
      <c r="DN219" s="44"/>
      <c r="DO219" s="766"/>
      <c r="DP219" s="766"/>
      <c r="DQ219" s="766"/>
      <c r="DR219" s="766"/>
      <c r="DS219" s="775"/>
      <c r="DT219" s="766"/>
      <c r="DU219" s="766"/>
      <c r="DV219" s="766"/>
      <c r="DW219" s="66"/>
      <c r="DX219" s="66"/>
      <c r="DY219" s="766"/>
      <c r="DZ219" s="766"/>
      <c r="EA219" s="766"/>
      <c r="EB219" s="766"/>
      <c r="EC219" s="766"/>
      <c r="ED219" s="766"/>
      <c r="EE219" s="766"/>
      <c r="EF219" s="766"/>
      <c r="EG219" s="766"/>
      <c r="EH219" s="766"/>
      <c r="EI219" s="766"/>
      <c r="EJ219" s="766"/>
      <c r="EK219" s="766"/>
      <c r="EL219" s="766"/>
      <c r="EM219" s="766"/>
      <c r="EN219" s="766"/>
      <c r="EO219" s="766"/>
      <c r="EP219" s="14"/>
      <c r="EQ219" s="766"/>
      <c r="ER219" s="766"/>
      <c r="ES219" s="766"/>
      <c r="ET219" s="766"/>
      <c r="EU219" s="766"/>
      <c r="EV219" s="766"/>
      <c r="EW219" s="766"/>
      <c r="EX219" s="766"/>
      <c r="EY219" s="766"/>
      <c r="EZ219" s="766"/>
      <c r="FA219" s="766"/>
      <c r="FB219" s="766"/>
      <c r="FC219" s="766"/>
      <c r="FD219" s="775"/>
      <c r="FE219" s="766"/>
      <c r="FF219" s="766"/>
      <c r="FG219" s="766"/>
      <c r="FH219" s="766"/>
      <c r="FI219" s="766"/>
      <c r="FJ219" s="766"/>
      <c r="FK219" s="766"/>
      <c r="FL219" s="766"/>
      <c r="FM219" s="775"/>
      <c r="FN219" s="775"/>
      <c r="FO219" s="775"/>
      <c r="FP219" s="766"/>
      <c r="FQ219" s="766"/>
      <c r="FR219" s="766"/>
      <c r="FS219" s="766"/>
      <c r="FT219" s="766"/>
      <c r="FU219" s="766"/>
      <c r="FV219" s="766"/>
      <c r="FW219" s="766"/>
      <c r="FX219" s="766"/>
      <c r="FY219" s="766"/>
      <c r="FZ219" s="766"/>
      <c r="GA219" s="766"/>
      <c r="GB219" s="766"/>
      <c r="GC219" s="75"/>
      <c r="GD219" s="25"/>
      <c r="GE219" s="766"/>
      <c r="GF219" s="775"/>
      <c r="GG219" s="775"/>
      <c r="GH219" s="770"/>
      <c r="GI219" s="770"/>
      <c r="GJ219" s="770"/>
      <c r="GK219" s="770"/>
      <c r="GL219" s="770"/>
      <c r="GM219" s="770"/>
      <c r="GN219" s="299"/>
      <c r="GO219" s="770"/>
      <c r="GP219" s="770"/>
      <c r="GQ219" s="770"/>
      <c r="GR219" s="770"/>
      <c r="GS219" s="770"/>
      <c r="GT219" s="770"/>
      <c r="GU219" s="770"/>
      <c r="GV219" s="770"/>
      <c r="GW219" s="770"/>
      <c r="GX219" s="770"/>
      <c r="GY219" s="770"/>
      <c r="GZ219" s="770"/>
      <c r="HA219" s="770"/>
      <c r="HB219" s="770"/>
      <c r="HC219" s="770"/>
      <c r="HD219" s="770"/>
      <c r="HE219" s="770"/>
      <c r="HF219" s="770"/>
      <c r="HG219" s="770"/>
      <c r="HH219" s="770"/>
      <c r="HI219" s="770"/>
      <c r="HJ219" s="770"/>
      <c r="HK219" s="770"/>
      <c r="HL219" s="770"/>
      <c r="HM219" s="770"/>
      <c r="HN219" s="770"/>
      <c r="HO219" s="770"/>
      <c r="HP219" s="770"/>
      <c r="HQ219" s="770"/>
      <c r="HR219" s="770"/>
      <c r="HS219" s="770"/>
      <c r="HT219" s="770"/>
      <c r="HU219" s="770"/>
      <c r="HV219" s="770"/>
      <c r="HW219" s="770"/>
      <c r="HX219" s="770"/>
      <c r="HY219" s="770"/>
      <c r="HZ219" s="770"/>
      <c r="IA219" s="770"/>
      <c r="IB219" s="770"/>
      <c r="IC219" s="770"/>
      <c r="ID219" s="770"/>
      <c r="IE219" s="770"/>
      <c r="IF219" s="770"/>
      <c r="IG219" s="770"/>
      <c r="IH219" s="770"/>
      <c r="II219" s="770"/>
      <c r="IJ219" s="770"/>
      <c r="IK219" s="770"/>
      <c r="IL219" s="770"/>
      <c r="IM219" s="770"/>
      <c r="IN219" s="770"/>
      <c r="IO219" s="296"/>
      <c r="IP219" s="770"/>
      <c r="IQ219" s="770"/>
      <c r="IR219" s="770"/>
      <c r="IS219" s="770"/>
      <c r="IT219" s="770"/>
      <c r="IU219" s="770"/>
      <c r="IV219" s="770"/>
      <c r="IW219" s="770"/>
      <c r="IX219" s="770"/>
      <c r="IY219" s="770"/>
      <c r="IZ219" s="770"/>
      <c r="JA219" s="770"/>
      <c r="JB219" s="770"/>
      <c r="JC219" s="770"/>
      <c r="JD219" s="302"/>
      <c r="JE219" s="770"/>
      <c r="JF219" s="770"/>
      <c r="JG219" s="770"/>
      <c r="JH219" s="302"/>
      <c r="JI219" s="302"/>
      <c r="JJ219" s="770"/>
      <c r="JK219" s="770"/>
      <c r="JL219" s="770"/>
      <c r="JM219" s="770"/>
      <c r="JN219" s="770"/>
      <c r="JO219" s="770"/>
      <c r="JP219" s="770"/>
      <c r="JQ219" s="770"/>
      <c r="JR219" s="770"/>
      <c r="JS219" s="770"/>
      <c r="JT219" s="766"/>
      <c r="JU219" s="766"/>
      <c r="JV219" s="766"/>
      <c r="JW219" s="766"/>
      <c r="JX219" s="770"/>
      <c r="JY219" s="770"/>
      <c r="JZ219" s="770"/>
      <c r="KA219" s="770"/>
      <c r="KB219" s="770"/>
      <c r="KC219" s="770"/>
      <c r="KD219" s="770"/>
      <c r="KE219" s="770"/>
      <c r="KF219" s="770"/>
      <c r="KG219" s="770"/>
      <c r="KH219" s="770"/>
      <c r="KI219" s="770"/>
      <c r="KJ219" s="770"/>
      <c r="KK219" s="770"/>
      <c r="KL219" s="770"/>
      <c r="KM219" s="770"/>
      <c r="KN219" s="770"/>
      <c r="KO219" s="770"/>
      <c r="KP219" s="770"/>
      <c r="KQ219" s="770"/>
      <c r="KR219" s="770"/>
      <c r="KS219" s="770"/>
      <c r="KT219" s="770"/>
      <c r="KU219" s="770"/>
      <c r="KV219" s="770"/>
      <c r="KW219" s="770"/>
      <c r="KX219" s="770"/>
      <c r="KY219" s="770"/>
      <c r="KZ219" s="770"/>
      <c r="LA219" s="770"/>
      <c r="LB219" s="770"/>
      <c r="LC219" s="770"/>
      <c r="LD219" s="770"/>
      <c r="LE219" s="770"/>
      <c r="LF219" s="770"/>
      <c r="LG219" s="770"/>
      <c r="LH219" s="770"/>
      <c r="LI219" s="770"/>
      <c r="LJ219" s="770"/>
      <c r="LK219" s="770"/>
      <c r="LL219" s="770"/>
      <c r="LM219" s="770"/>
      <c r="LN219" s="766"/>
      <c r="LO219" s="766"/>
      <c r="LP219" s="770"/>
      <c r="LQ219" s="770"/>
      <c r="LR219" s="770"/>
      <c r="LS219" s="770"/>
      <c r="LT219" s="770"/>
      <c r="LU219" s="770"/>
      <c r="LV219" s="770"/>
      <c r="LW219" s="770"/>
      <c r="LX219" s="769"/>
      <c r="LY219" s="766" t="str">
        <f t="shared" si="50"/>
        <v/>
      </c>
      <c r="LZ219" s="299"/>
      <c r="MA219" s="1709"/>
      <c r="MB219" s="1709"/>
      <c r="MC219" s="1679">
        <f t="shared" si="41"/>
        <v>0</v>
      </c>
      <c r="MD219" s="1709"/>
      <c r="ME219" s="1709"/>
      <c r="MF219" s="1709"/>
      <c r="MG219" s="1680">
        <f t="shared" si="48"/>
        <v>0</v>
      </c>
      <c r="MH219" s="770"/>
      <c r="MI219" s="302"/>
      <c r="MJ219" s="302"/>
      <c r="MK219" s="302"/>
      <c r="ML219" s="302"/>
      <c r="MM219" s="302"/>
      <c r="MN219" s="302"/>
      <c r="MO219" s="302"/>
      <c r="MP219" s="302"/>
      <c r="MQ219" s="302"/>
      <c r="MR219" s="302"/>
      <c r="MS219" s="302"/>
      <c r="MT219" s="302"/>
      <c r="MU219" s="302"/>
      <c r="MV219" s="302"/>
      <c r="MW219" s="302"/>
      <c r="MX219" s="302"/>
      <c r="MY219" s="1682">
        <f t="shared" si="49"/>
        <v>0</v>
      </c>
      <c r="MZ219" s="770"/>
      <c r="NA219" s="770"/>
      <c r="NB219" s="770"/>
      <c r="NC219" s="770"/>
      <c r="ND219" s="770"/>
      <c r="NE219" s="770"/>
      <c r="NF219" s="770"/>
      <c r="NG219" s="770"/>
      <c r="NH219" s="770"/>
      <c r="NI219" s="770"/>
      <c r="NJ219" s="770"/>
      <c r="NK219" s="770"/>
      <c r="NL219" s="770"/>
      <c r="NM219" s="770"/>
      <c r="NN219" s="770"/>
      <c r="NO219" s="770"/>
      <c r="NP219" s="770"/>
      <c r="NQ219" s="770"/>
      <c r="NR219" s="770"/>
      <c r="NS219" s="770"/>
      <c r="NT219" s="770"/>
      <c r="NU219" s="770"/>
      <c r="NV219" s="770"/>
      <c r="NW219" s="770"/>
      <c r="NX219" s="770"/>
      <c r="NY219" s="770"/>
      <c r="NZ219" s="770"/>
      <c r="OA219" s="770"/>
      <c r="OB219" s="770"/>
      <c r="OC219" s="770"/>
      <c r="OD219" s="770"/>
      <c r="OE219" s="770"/>
      <c r="OF219" s="770"/>
      <c r="OG219" s="770"/>
      <c r="OH219" s="770"/>
      <c r="OI219" s="770"/>
      <c r="OJ219" s="770"/>
      <c r="OK219" s="770"/>
      <c r="OL219" s="770"/>
      <c r="OM219" s="770"/>
      <c r="ON219" s="770"/>
      <c r="OO219" s="770"/>
      <c r="OP219" s="770"/>
      <c r="OQ219" s="770"/>
      <c r="OR219" s="770"/>
      <c r="OS219" s="770"/>
      <c r="OT219" s="770"/>
      <c r="OU219" s="770"/>
      <c r="OV219" s="770"/>
      <c r="OW219" s="770"/>
      <c r="OX219" s="770"/>
      <c r="OY219" s="770"/>
      <c r="OZ219" s="770"/>
      <c r="PA219" s="770"/>
      <c r="PB219" s="770"/>
      <c r="PC219" s="770"/>
      <c r="PD219" s="770"/>
      <c r="PE219" s="770"/>
      <c r="PF219" s="770"/>
      <c r="PG219" s="770"/>
      <c r="PH219" s="770"/>
      <c r="PI219" s="770"/>
      <c r="PJ219" s="770"/>
      <c r="PK219" s="770"/>
      <c r="PL219" s="770"/>
      <c r="PM219" s="770"/>
      <c r="PN219" s="770"/>
      <c r="PO219" s="770"/>
      <c r="PP219" s="770"/>
      <c r="PQ219" s="770"/>
      <c r="PR219" s="770"/>
      <c r="PS219" s="770"/>
      <c r="PT219" s="770"/>
      <c r="PU219" s="770"/>
      <c r="PV219" s="770"/>
      <c r="PW219" s="770"/>
      <c r="PX219" s="770"/>
      <c r="PY219" s="770"/>
      <c r="PZ219" s="770"/>
      <c r="QA219" s="770"/>
      <c r="QB219" s="770"/>
      <c r="QC219" s="770"/>
      <c r="QD219" s="770"/>
      <c r="QE219" s="770"/>
      <c r="QF219" s="770"/>
      <c r="QG219" s="770"/>
      <c r="QH219" s="770"/>
      <c r="QI219" s="770"/>
      <c r="QJ219" s="770"/>
      <c r="QK219" s="770"/>
      <c r="QL219" s="770"/>
      <c r="QM219" s="770"/>
      <c r="QN219" s="770"/>
      <c r="QO219" s="770"/>
      <c r="QP219" s="770"/>
      <c r="QQ219" s="770"/>
      <c r="QR219" s="770"/>
      <c r="QS219" s="770"/>
      <c r="QT219" s="770"/>
      <c r="QU219" s="770"/>
      <c r="QV219" s="770"/>
      <c r="QW219" s="770"/>
      <c r="QX219" s="770"/>
      <c r="QY219" s="770"/>
      <c r="QZ219" s="770"/>
      <c r="RA219" s="770"/>
      <c r="RB219" s="770"/>
      <c r="RC219" s="770"/>
      <c r="RD219" s="770"/>
      <c r="RE219" s="770"/>
      <c r="RF219" s="304"/>
      <c r="RG219" s="770"/>
      <c r="RH219" s="306"/>
      <c r="RI219" s="770"/>
      <c r="RJ219" s="1732"/>
      <c r="RK219" s="770"/>
      <c r="RL219" s="1733"/>
      <c r="RM219" s="12"/>
      <c r="RN219" s="1711"/>
      <c r="RO219" s="171" t="s">
        <v>11851</v>
      </c>
      <c r="RP219" s="11"/>
      <c r="RQ219" s="11"/>
      <c r="RR219" s="771"/>
      <c r="RS219" s="767"/>
      <c r="RT219" s="11"/>
      <c r="RU219" s="11"/>
      <c r="RV219" s="771" t="s">
        <v>12450</v>
      </c>
      <c r="RW219" s="11" t="s">
        <v>12223</v>
      </c>
      <c r="RX219" s="11" t="s">
        <v>11850</v>
      </c>
      <c r="RY219" s="11"/>
      <c r="RZ219" s="11" t="s">
        <v>7419</v>
      </c>
      <c r="SA219" s="771"/>
      <c r="SB219" s="11"/>
      <c r="SC219" s="11"/>
    </row>
    <row r="220" spans="1:497" ht="12.75" hidden="1" customHeight="1">
      <c r="A220" s="767" t="s">
        <v>12354</v>
      </c>
      <c r="B220" s="292" t="s">
        <v>12134</v>
      </c>
      <c r="C220" s="171" t="s">
        <v>11852</v>
      </c>
      <c r="D220" s="766" t="s">
        <v>12232</v>
      </c>
      <c r="E220" s="766" t="s">
        <v>12135</v>
      </c>
      <c r="F220" s="766"/>
      <c r="G220" s="766"/>
      <c r="H220" s="766"/>
      <c r="I220" s="5"/>
      <c r="J220" s="766"/>
      <c r="K220" s="766" t="s">
        <v>12136</v>
      </c>
      <c r="L220" s="766" t="s">
        <v>12090</v>
      </c>
      <c r="M220" s="766"/>
      <c r="N220" s="766" t="s">
        <v>12091</v>
      </c>
      <c r="O220" s="766" t="s">
        <v>11345</v>
      </c>
      <c r="P220" s="766"/>
      <c r="Q220" s="1085"/>
      <c r="R220" s="25"/>
      <c r="S220" s="770"/>
      <c r="T220" s="766"/>
      <c r="U220" s="26"/>
      <c r="V220" s="766"/>
      <c r="W220" s="766"/>
      <c r="X220" s="24"/>
      <c r="Y220" s="766"/>
      <c r="Z220" s="766"/>
      <c r="AA220" s="766"/>
      <c r="AB220" s="766"/>
      <c r="AC220" s="766"/>
      <c r="AD220" s="766"/>
      <c r="AE220" s="766"/>
      <c r="AF220" s="766"/>
      <c r="AG220" s="766" t="s">
        <v>1132</v>
      </c>
      <c r="AH220" s="766" t="s">
        <v>1120</v>
      </c>
      <c r="AI220" s="766"/>
      <c r="AJ220" s="766" t="s">
        <v>1137</v>
      </c>
      <c r="AK220" s="766" t="s">
        <v>1097</v>
      </c>
      <c r="AL220" s="121">
        <v>198.4</v>
      </c>
      <c r="AM220" s="121">
        <v>198.4</v>
      </c>
      <c r="AN220" s="774">
        <f t="shared" si="60"/>
        <v>1</v>
      </c>
      <c r="AO220" s="766" t="s">
        <v>1122</v>
      </c>
      <c r="AP220" s="766"/>
      <c r="AQ220" s="766"/>
      <c r="AR220" s="766"/>
      <c r="AS220" s="766"/>
      <c r="AT220" s="766"/>
      <c r="AU220" s="766"/>
      <c r="AV220" s="766"/>
      <c r="AW220" s="766"/>
      <c r="AX220" s="13"/>
      <c r="AY220" s="766"/>
      <c r="AZ220" s="766"/>
      <c r="BA220" s="766"/>
      <c r="BB220" s="766"/>
      <c r="BC220" s="766"/>
      <c r="BD220" s="766"/>
      <c r="BE220" s="766"/>
      <c r="BF220" s="775"/>
      <c r="BG220" s="775"/>
      <c r="BH220" s="766"/>
      <c r="BI220" s="766"/>
      <c r="BJ220" s="766"/>
      <c r="BK220" s="766"/>
      <c r="BL220" s="766"/>
      <c r="BM220" s="766"/>
      <c r="BN220" s="766"/>
      <c r="BO220" s="766"/>
      <c r="BP220" s="776"/>
      <c r="BQ220" s="772"/>
      <c r="BR220" s="774"/>
      <c r="BS220" s="766"/>
      <c r="BT220" s="766"/>
      <c r="BU220" s="766"/>
      <c r="BV220" s="766"/>
      <c r="BW220" s="766"/>
      <c r="BX220" s="779"/>
      <c r="BY220" s="766"/>
      <c r="BZ220" s="775"/>
      <c r="CA220" s="766"/>
      <c r="CB220" s="766" t="s">
        <v>1207</v>
      </c>
      <c r="CC220" s="766"/>
      <c r="CD220" s="766"/>
      <c r="CE220" s="766"/>
      <c r="CF220" s="777"/>
      <c r="CG220" s="778"/>
      <c r="CH220" s="766"/>
      <c r="CI220" s="766"/>
      <c r="CJ220" s="766"/>
      <c r="CK220" s="766"/>
      <c r="CL220" s="766"/>
      <c r="CM220" s="766"/>
      <c r="CN220" s="766"/>
      <c r="CO220" s="766"/>
      <c r="CP220" s="766"/>
      <c r="CQ220" s="766"/>
      <c r="CR220" s="775"/>
      <c r="CS220" s="766"/>
      <c r="CT220" s="766"/>
      <c r="CU220" s="129"/>
      <c r="CV220" s="766"/>
      <c r="CW220" s="766"/>
      <c r="CX220" s="766"/>
      <c r="CY220" s="766"/>
      <c r="CZ220" s="766"/>
      <c r="DA220" s="66"/>
      <c r="DB220" s="766"/>
      <c r="DC220" s="766"/>
      <c r="DD220" s="766"/>
      <c r="DE220" s="772"/>
      <c r="DF220" s="766"/>
      <c r="DG220" s="766"/>
      <c r="DH220" s="766"/>
      <c r="DI220" s="766"/>
      <c r="DJ220" s="766"/>
      <c r="DK220" s="766"/>
      <c r="DL220" s="766"/>
      <c r="DM220" s="766"/>
      <c r="DN220" s="44"/>
      <c r="DO220" s="766"/>
      <c r="DP220" s="766"/>
      <c r="DQ220" s="766"/>
      <c r="DR220" s="766" t="s">
        <v>12137</v>
      </c>
      <c r="DS220" s="775">
        <v>40000</v>
      </c>
      <c r="DT220" s="766" t="s">
        <v>12138</v>
      </c>
      <c r="DU220" s="766" t="s">
        <v>4137</v>
      </c>
      <c r="DV220" s="766" t="s">
        <v>12139</v>
      </c>
      <c r="DW220" s="66">
        <f>12.4*16</f>
        <v>198.4</v>
      </c>
      <c r="DX220" s="66"/>
      <c r="DY220" s="766" t="s">
        <v>1257</v>
      </c>
      <c r="DZ220" s="766"/>
      <c r="EA220" s="766"/>
      <c r="EB220" s="766"/>
      <c r="EC220" s="766"/>
      <c r="ED220" s="766"/>
      <c r="EE220" s="766"/>
      <c r="EF220" s="766"/>
      <c r="EG220" s="766"/>
      <c r="EH220" s="766"/>
      <c r="EI220" s="766"/>
      <c r="EJ220" s="766"/>
      <c r="EK220" s="766"/>
      <c r="EL220" s="766"/>
      <c r="EM220" s="766"/>
      <c r="EN220" s="766"/>
      <c r="EO220" s="766"/>
      <c r="EP220" s="14"/>
      <c r="EQ220" s="766"/>
      <c r="ER220" s="766"/>
      <c r="ES220" s="766"/>
      <c r="ET220" s="766"/>
      <c r="EU220" s="766"/>
      <c r="EV220" s="766"/>
      <c r="EW220" s="766"/>
      <c r="EX220" s="766"/>
      <c r="EY220" s="766"/>
      <c r="EZ220" s="766"/>
      <c r="FA220" s="766"/>
      <c r="FB220" s="766"/>
      <c r="FC220" s="766"/>
      <c r="FD220" s="775"/>
      <c r="FE220" s="766"/>
      <c r="FF220" s="766"/>
      <c r="FG220" s="766"/>
      <c r="FH220" s="766"/>
      <c r="FI220" s="766"/>
      <c r="FJ220" s="766"/>
      <c r="FK220" s="766"/>
      <c r="FL220" s="766"/>
      <c r="FM220" s="775"/>
      <c r="FN220" s="775"/>
      <c r="FO220" s="775"/>
      <c r="FP220" s="766"/>
      <c r="FQ220" s="766"/>
      <c r="FR220" s="766"/>
      <c r="FS220" s="766"/>
      <c r="FT220" s="766"/>
      <c r="FU220" s="766"/>
      <c r="FV220" s="766"/>
      <c r="FW220" s="766"/>
      <c r="FX220" s="766"/>
      <c r="FY220" s="766"/>
      <c r="FZ220" s="766"/>
      <c r="GA220" s="766"/>
      <c r="GB220" s="766"/>
      <c r="GC220" s="75"/>
      <c r="GD220" s="25"/>
      <c r="GE220" s="766"/>
      <c r="GF220" s="775"/>
      <c r="GG220" s="775"/>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2"/>
      <c r="IF220" s="12"/>
      <c r="IG220" s="12"/>
      <c r="IH220" s="12"/>
      <c r="II220" s="12"/>
      <c r="IJ220" s="12"/>
      <c r="IK220" s="12"/>
      <c r="IL220" s="12"/>
      <c r="IM220" s="12"/>
      <c r="IN220" s="12"/>
      <c r="IO220" s="12"/>
      <c r="IP220" s="12"/>
      <c r="IQ220" s="12"/>
      <c r="IR220" s="12"/>
      <c r="IS220" s="12"/>
      <c r="IT220" s="12"/>
      <c r="IU220" s="12"/>
      <c r="IV220" s="12"/>
      <c r="IW220" s="12"/>
      <c r="IX220" s="12"/>
      <c r="IY220" s="12"/>
      <c r="IZ220" s="12"/>
      <c r="JA220" s="12"/>
      <c r="JB220" s="12"/>
      <c r="JC220" s="12"/>
      <c r="JD220" s="12"/>
      <c r="JE220" s="12"/>
      <c r="JF220" s="12"/>
      <c r="JG220" s="12"/>
      <c r="JH220" s="12"/>
      <c r="JI220" s="12"/>
      <c r="JJ220" s="12"/>
      <c r="JK220" s="12"/>
      <c r="JL220" s="12"/>
      <c r="JM220" s="12"/>
      <c r="JN220" s="12"/>
      <c r="JO220" s="12"/>
      <c r="JP220" s="12"/>
      <c r="JQ220" s="12"/>
      <c r="JR220" s="12"/>
      <c r="JS220" s="12"/>
      <c r="JT220" s="766"/>
      <c r="JU220" s="766"/>
      <c r="JV220" s="766"/>
      <c r="JW220" s="766"/>
      <c r="JX220" s="12"/>
      <c r="JY220" s="12"/>
      <c r="JZ220" s="12"/>
      <c r="KA220" s="12"/>
      <c r="KB220" s="12"/>
      <c r="KC220" s="12"/>
      <c r="KD220" s="12"/>
      <c r="KE220" s="12"/>
      <c r="KF220" s="12"/>
      <c r="KG220" s="12"/>
      <c r="KH220" s="12"/>
      <c r="KI220" s="12"/>
      <c r="KJ220" s="770"/>
      <c r="KK220" s="770"/>
      <c r="KL220" s="770"/>
      <c r="KM220" s="770"/>
      <c r="KN220" s="12"/>
      <c r="KO220" s="12"/>
      <c r="KP220" s="12"/>
      <c r="KQ220" s="12"/>
      <c r="KR220" s="12"/>
      <c r="KS220" s="12"/>
      <c r="KT220" s="12"/>
      <c r="KU220" s="12"/>
      <c r="KV220" s="12"/>
      <c r="KW220" s="12"/>
      <c r="KX220" s="12"/>
      <c r="KY220" s="12"/>
      <c r="KZ220" s="12"/>
      <c r="LA220" s="12"/>
      <c r="LB220" s="12"/>
      <c r="LC220" s="12"/>
      <c r="LD220" s="12"/>
      <c r="LE220" s="12"/>
      <c r="LF220" s="12"/>
      <c r="LG220" s="12"/>
      <c r="LH220" s="12"/>
      <c r="LI220" s="12"/>
      <c r="LJ220" s="12"/>
      <c r="LK220" s="12"/>
      <c r="LL220" s="12"/>
      <c r="LM220" s="12"/>
      <c r="LN220" s="766"/>
      <c r="LO220" s="766"/>
      <c r="LP220" s="12"/>
      <c r="LQ220" s="12"/>
      <c r="LR220" s="12"/>
      <c r="LS220" s="12"/>
      <c r="LT220" s="12"/>
      <c r="LU220" s="12"/>
      <c r="LV220" s="12"/>
      <c r="LW220" s="12"/>
      <c r="LX220" s="769"/>
      <c r="LY220" s="766" t="str">
        <f t="shared" si="50"/>
        <v/>
      </c>
      <c r="LZ220" s="12"/>
      <c r="MA220" s="12"/>
      <c r="MB220" s="12"/>
      <c r="MC220" s="1679">
        <f t="shared" si="41"/>
        <v>0</v>
      </c>
      <c r="MD220" s="12"/>
      <c r="ME220" s="12"/>
      <c r="MF220" s="12"/>
      <c r="MG220" s="1680">
        <f t="shared" si="48"/>
        <v>0</v>
      </c>
      <c r="MH220" s="12"/>
      <c r="MI220" s="12"/>
      <c r="MJ220" s="12"/>
      <c r="MK220" s="12"/>
      <c r="ML220" s="12"/>
      <c r="MM220" s="12"/>
      <c r="MN220" s="12"/>
      <c r="MO220" s="12"/>
      <c r="MP220" s="12"/>
      <c r="MQ220" s="12"/>
      <c r="MR220" s="12"/>
      <c r="MS220" s="12"/>
      <c r="MT220" s="12"/>
      <c r="MU220" s="12"/>
      <c r="MV220" s="12"/>
      <c r="MW220" s="12"/>
      <c r="MX220" s="12"/>
      <c r="MY220" s="1682">
        <f t="shared" si="49"/>
        <v>0</v>
      </c>
      <c r="MZ220" s="12"/>
      <c r="NA220" s="12"/>
      <c r="NB220" s="12"/>
      <c r="NC220" s="12"/>
      <c r="ND220" s="12"/>
      <c r="NE220" s="12"/>
      <c r="NF220" s="12"/>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2"/>
      <c r="PG220" s="12"/>
      <c r="PH220" s="12"/>
      <c r="PI220" s="12"/>
      <c r="PJ220" s="12"/>
      <c r="PK220" s="12"/>
      <c r="PL220" s="12"/>
      <c r="PM220" s="12"/>
      <c r="PN220" s="12"/>
      <c r="PO220" s="12"/>
      <c r="PP220" s="12"/>
      <c r="PQ220" s="12"/>
      <c r="PR220" s="12"/>
      <c r="PS220" s="12"/>
      <c r="PT220" s="12"/>
      <c r="PU220" s="12"/>
      <c r="PV220" s="12"/>
      <c r="PW220" s="12"/>
      <c r="PX220" s="12"/>
      <c r="PY220" s="12"/>
      <c r="PZ220" s="12"/>
      <c r="QA220" s="12"/>
      <c r="QB220" s="12"/>
      <c r="QC220" s="12"/>
      <c r="QD220" s="12"/>
      <c r="QE220" s="12"/>
      <c r="QF220" s="12"/>
      <c r="QG220" s="12"/>
      <c r="QH220" s="12"/>
      <c r="QI220" s="12"/>
      <c r="QJ220" s="12"/>
      <c r="QK220" s="12"/>
      <c r="QL220" s="12"/>
      <c r="QM220" s="12"/>
      <c r="QN220" s="12"/>
      <c r="QO220" s="12"/>
      <c r="QP220" s="12"/>
      <c r="QQ220" s="12"/>
      <c r="QR220" s="12"/>
      <c r="QS220" s="12"/>
      <c r="QT220" s="12"/>
      <c r="QU220" s="12"/>
      <c r="QV220" s="12"/>
      <c r="QW220" s="12"/>
      <c r="QX220" s="12"/>
      <c r="QY220" s="12"/>
      <c r="QZ220" s="12"/>
      <c r="RA220" s="12"/>
      <c r="RB220" s="12"/>
      <c r="RC220" s="12"/>
      <c r="RD220" s="12"/>
      <c r="RE220" s="12"/>
      <c r="RF220" s="12"/>
      <c r="RG220" s="12"/>
      <c r="RH220" s="12"/>
      <c r="RI220" s="12"/>
      <c r="RJ220" s="12"/>
      <c r="RK220" s="12"/>
      <c r="RL220" s="12"/>
      <c r="RM220" s="12"/>
      <c r="RN220" s="12"/>
      <c r="RO220" s="171" t="s">
        <v>11852</v>
      </c>
      <c r="RP220" s="11"/>
      <c r="RQ220" s="11"/>
      <c r="RR220" s="771"/>
      <c r="RS220" s="11"/>
      <c r="RT220" s="11"/>
      <c r="RU220" s="11"/>
      <c r="RV220" s="35" t="s">
        <v>12449</v>
      </c>
      <c r="RW220" s="11" t="s">
        <v>12224</v>
      </c>
      <c r="RX220" s="11" t="s">
        <v>11850</v>
      </c>
      <c r="RY220" s="11"/>
      <c r="RZ220" s="11" t="s">
        <v>7419</v>
      </c>
      <c r="SA220" s="35"/>
      <c r="SB220" s="11"/>
      <c r="SC220" s="11"/>
    </row>
    <row r="221" spans="1:497" s="1020" customFormat="1" ht="12.75" customHeight="1">
      <c r="A221" s="1013" t="s">
        <v>7421</v>
      </c>
      <c r="B221" s="115" t="s">
        <v>12240</v>
      </c>
      <c r="C221" s="1042" t="s">
        <v>371</v>
      </c>
      <c r="D221" s="843" t="s">
        <v>12241</v>
      </c>
      <c r="E221" s="6" t="s">
        <v>12242</v>
      </c>
      <c r="F221" s="6" t="s">
        <v>20</v>
      </c>
      <c r="G221" s="6" t="s">
        <v>18</v>
      </c>
      <c r="H221" s="6"/>
      <c r="I221" s="1012" t="s">
        <v>12243</v>
      </c>
      <c r="J221" s="843" t="s">
        <v>12244</v>
      </c>
      <c r="K221" s="6" t="s">
        <v>12245</v>
      </c>
      <c r="L221" s="6" t="s">
        <v>12246</v>
      </c>
      <c r="M221" s="6"/>
      <c r="N221" s="6"/>
      <c r="O221" s="6" t="s">
        <v>12247</v>
      </c>
      <c r="P221" s="843" t="s">
        <v>12248</v>
      </c>
      <c r="Q221" s="1014">
        <v>29287</v>
      </c>
      <c r="R221" s="1015">
        <v>36</v>
      </c>
      <c r="S221" s="1019" t="s">
        <v>10</v>
      </c>
      <c r="T221" s="6"/>
      <c r="U221" s="1016" t="s">
        <v>12243</v>
      </c>
      <c r="V221" s="6" t="s">
        <v>707</v>
      </c>
      <c r="W221" s="1016"/>
      <c r="X221" s="1014"/>
      <c r="Y221" s="6" t="s">
        <v>12242</v>
      </c>
      <c r="Z221" s="6" t="s">
        <v>708</v>
      </c>
      <c r="AA221" s="6" t="s">
        <v>748</v>
      </c>
      <c r="AB221" s="6" t="s">
        <v>744</v>
      </c>
      <c r="AC221" s="6" t="s">
        <v>777</v>
      </c>
      <c r="AD221" s="6"/>
      <c r="AE221" s="6" t="s">
        <v>12249</v>
      </c>
      <c r="AF221" s="6"/>
      <c r="AG221" s="6" t="s">
        <v>1165</v>
      </c>
      <c r="AH221" s="766" t="s">
        <v>1096</v>
      </c>
      <c r="AI221" s="6"/>
      <c r="AJ221" s="6" t="s">
        <v>427</v>
      </c>
      <c r="AK221" s="6" t="s">
        <v>1101</v>
      </c>
      <c r="AL221" s="124">
        <v>40.5</v>
      </c>
      <c r="AM221" s="45">
        <v>40.5</v>
      </c>
      <c r="AN221" s="47">
        <f t="shared" si="60"/>
        <v>1</v>
      </c>
      <c r="AO221" s="6" t="s">
        <v>1122</v>
      </c>
      <c r="AP221" s="6"/>
      <c r="AQ221" s="6"/>
      <c r="AR221" s="6"/>
      <c r="AS221" s="6"/>
      <c r="AT221" s="6"/>
      <c r="AU221" s="6"/>
      <c r="AV221" s="6"/>
      <c r="AW221" s="6"/>
      <c r="AX221" s="6"/>
      <c r="AY221" s="6"/>
      <c r="AZ221" s="6"/>
      <c r="BA221" s="6"/>
      <c r="BB221" s="6"/>
      <c r="BC221" s="6"/>
      <c r="BD221" s="6"/>
      <c r="BE221" s="6"/>
      <c r="BF221" s="64"/>
      <c r="BG221" s="64"/>
      <c r="BH221" s="6"/>
      <c r="BI221" s="6"/>
      <c r="BJ221" s="6"/>
      <c r="BK221" s="6" t="s">
        <v>1165</v>
      </c>
      <c r="BL221" s="6" t="s">
        <v>1332</v>
      </c>
      <c r="BM221" s="6" t="s">
        <v>1096</v>
      </c>
      <c r="BN221" s="6" t="s">
        <v>1230</v>
      </c>
      <c r="BO221" s="6" t="s">
        <v>1333</v>
      </c>
      <c r="BP221" s="1112">
        <v>40.5</v>
      </c>
      <c r="BQ221" s="45">
        <v>40.5</v>
      </c>
      <c r="BR221" s="47">
        <f t="shared" ref="BR221:BR236" si="61">BQ221/BP221</f>
        <v>1</v>
      </c>
      <c r="BS221" s="6" t="s">
        <v>1257</v>
      </c>
      <c r="BT221" s="6" t="s">
        <v>12250</v>
      </c>
      <c r="BU221" s="6" t="s">
        <v>1249</v>
      </c>
      <c r="BV221" s="6" t="s">
        <v>1247</v>
      </c>
      <c r="BW221" s="6"/>
      <c r="BX221" s="64"/>
      <c r="BY221" s="6"/>
      <c r="BZ221" s="64"/>
      <c r="CA221" s="6"/>
      <c r="CB221" s="6"/>
      <c r="CC221" s="6"/>
      <c r="CD221" s="6"/>
      <c r="CE221" s="6"/>
      <c r="CF221" s="1026"/>
      <c r="CG221" s="1021"/>
      <c r="CH221" s="6"/>
      <c r="CI221" s="6"/>
      <c r="CJ221" s="6"/>
      <c r="CK221" s="6"/>
      <c r="CL221" s="6"/>
      <c r="CM221" s="6"/>
      <c r="CN221" s="6"/>
      <c r="CO221" s="6"/>
      <c r="CP221" s="6"/>
      <c r="CQ221" s="6"/>
      <c r="CR221" s="64"/>
      <c r="CS221" s="6"/>
      <c r="CT221" s="6"/>
      <c r="CU221" s="1022"/>
      <c r="CV221" s="6"/>
      <c r="CW221" s="6"/>
      <c r="CX221" s="6"/>
      <c r="CY221" s="6"/>
      <c r="CZ221" s="6"/>
      <c r="DA221" s="1024"/>
      <c r="DB221" s="6"/>
      <c r="DC221" s="6"/>
      <c r="DD221" s="6"/>
      <c r="DE221" s="45"/>
      <c r="DF221" s="6"/>
      <c r="DG221" s="6"/>
      <c r="DH221" s="6"/>
      <c r="DI221" s="6"/>
      <c r="DJ221" s="6"/>
      <c r="DK221" s="6"/>
      <c r="DL221" s="6"/>
      <c r="DM221" s="6"/>
      <c r="DN221" s="1126"/>
      <c r="DO221" s="6"/>
      <c r="DP221" s="6"/>
      <c r="DQ221" s="6"/>
      <c r="DR221" s="6"/>
      <c r="DS221" s="1023"/>
      <c r="DT221" s="6"/>
      <c r="DU221" s="6"/>
      <c r="DV221" s="6"/>
      <c r="DW221" s="1024"/>
      <c r="DX221" s="1024"/>
      <c r="DY221" s="6"/>
      <c r="DZ221" s="6"/>
      <c r="EA221" s="6"/>
      <c r="EB221" s="6"/>
      <c r="EC221" s="6"/>
      <c r="ED221" s="6"/>
      <c r="EE221" s="6"/>
      <c r="EF221" s="6"/>
      <c r="EG221" s="6"/>
      <c r="EH221" s="6"/>
      <c r="EI221" s="6"/>
      <c r="EJ221" s="6"/>
      <c r="EK221" s="6"/>
      <c r="EL221" s="6"/>
      <c r="EM221" s="6"/>
      <c r="EN221" s="6"/>
      <c r="EO221" s="6"/>
      <c r="EP221" s="843"/>
      <c r="EQ221" s="6"/>
      <c r="ER221" s="6"/>
      <c r="ES221" s="6"/>
      <c r="ET221" s="6"/>
      <c r="EU221" s="6"/>
      <c r="EV221" s="6"/>
      <c r="EW221" s="6"/>
      <c r="EX221" s="6"/>
      <c r="EY221" s="6"/>
      <c r="EZ221" s="6"/>
      <c r="FA221" s="6"/>
      <c r="FB221" s="6"/>
      <c r="FC221" s="6"/>
      <c r="FD221" s="64"/>
      <c r="FE221" s="6"/>
      <c r="FF221" s="6"/>
      <c r="FG221" s="6"/>
      <c r="FH221" s="6" t="s">
        <v>478</v>
      </c>
      <c r="FI221" s="6">
        <v>1</v>
      </c>
      <c r="FJ221" s="6"/>
      <c r="FK221" s="6"/>
      <c r="FL221" s="6"/>
      <c r="FM221" s="64"/>
      <c r="FN221" s="64">
        <v>120</v>
      </c>
      <c r="FO221" s="64">
        <v>900</v>
      </c>
      <c r="FP221" s="766" t="s">
        <v>1602</v>
      </c>
      <c r="FQ221" s="766" t="s">
        <v>1660</v>
      </c>
      <c r="FR221" s="6"/>
      <c r="FS221" s="6"/>
      <c r="FT221" s="6"/>
      <c r="FU221" s="6"/>
      <c r="FV221" s="6"/>
      <c r="FW221" s="6"/>
      <c r="FX221" s="6"/>
      <c r="FY221" s="6"/>
      <c r="FZ221" s="6"/>
      <c r="GA221" s="6"/>
      <c r="GB221" s="6"/>
      <c r="GC221" s="1028"/>
      <c r="GD221" s="1015"/>
      <c r="GE221" s="6"/>
      <c r="GF221" s="64"/>
      <c r="GG221" s="64"/>
      <c r="GH221" s="712" t="s">
        <v>14260</v>
      </c>
      <c r="GI221" s="6"/>
      <c r="GJ221" s="6" t="s">
        <v>1814</v>
      </c>
      <c r="GK221" s="6"/>
      <c r="GL221" s="6"/>
      <c r="GM221" s="6"/>
      <c r="GN221" s="1025" t="s">
        <v>1815</v>
      </c>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14" t="e">
        <f>IF(#REF!&gt;0,IF(#REF!&lt;=10000,"Y",""),"")</f>
        <v>#REF!</v>
      </c>
      <c r="IC221" s="843"/>
      <c r="ID221" s="843"/>
      <c r="IE221" s="843"/>
      <c r="IF221" s="6"/>
      <c r="IG221" s="6"/>
      <c r="IH221" s="6"/>
      <c r="II221" s="6"/>
      <c r="IJ221" s="6"/>
      <c r="IK221" s="6"/>
      <c r="IL221" s="6"/>
      <c r="IM221" s="6"/>
      <c r="IN221" s="6"/>
      <c r="IO221" s="1014"/>
      <c r="IP221" s="6"/>
      <c r="IQ221" s="6"/>
      <c r="IR221" s="6"/>
      <c r="IS221" s="6"/>
      <c r="IT221" s="6"/>
      <c r="IU221" s="6"/>
      <c r="IV221" s="6"/>
      <c r="IW221" s="6"/>
      <c r="IX221" s="6"/>
      <c r="IY221" s="6"/>
      <c r="IZ221" s="6"/>
      <c r="JA221" s="6"/>
      <c r="JB221" s="6"/>
      <c r="JC221" s="6"/>
      <c r="JD221" s="64"/>
      <c r="JE221" s="6"/>
      <c r="JF221" s="6"/>
      <c r="JG221" s="6"/>
      <c r="JH221" s="6"/>
      <c r="JI221" s="712" t="str">
        <f t="shared" ref="JI221:JI239" si="62">IF(SUM(JT221,JU221)=JJ221,"ok","review")</f>
        <v>ok</v>
      </c>
      <c r="JJ221" s="1698">
        <v>7</v>
      </c>
      <c r="JK221" s="1047" t="s">
        <v>1332</v>
      </c>
      <c r="JL221" s="6">
        <v>4</v>
      </c>
      <c r="JM221" s="6">
        <v>1</v>
      </c>
      <c r="JN221" s="6">
        <v>1</v>
      </c>
      <c r="JO221" s="6">
        <v>1</v>
      </c>
      <c r="JP221" s="6"/>
      <c r="JQ221" s="6"/>
      <c r="JR221" s="6"/>
      <c r="JS221" s="6"/>
      <c r="JT221" s="766">
        <f>SUM(JP221,JN221,JL221,JR221)</f>
        <v>5</v>
      </c>
      <c r="JU221" s="766">
        <f>SUM(JQ221,JO221,JM221,JS221)</f>
        <v>2</v>
      </c>
      <c r="JV221" s="712" t="str">
        <f t="shared" ref="JV221:JV239" si="63">IF(JT221=KJ221,"ok","male")</f>
        <v>ok</v>
      </c>
      <c r="JW221" s="712" t="str">
        <f t="shared" ref="JW221:JW239" si="64">IF(JU221=KK221,"ok","female")</f>
        <v>ok</v>
      </c>
      <c r="JX221" s="6"/>
      <c r="JY221" s="6"/>
      <c r="JZ221" s="6">
        <v>1</v>
      </c>
      <c r="KA221" s="6">
        <v>1</v>
      </c>
      <c r="KB221" s="6">
        <v>3</v>
      </c>
      <c r="KC221" s="6"/>
      <c r="KD221" s="6"/>
      <c r="KE221" s="6"/>
      <c r="KF221" s="6">
        <v>1</v>
      </c>
      <c r="KG221" s="6">
        <v>1</v>
      </c>
      <c r="KH221" s="6"/>
      <c r="KI221" s="6"/>
      <c r="KJ221" s="770">
        <f t="shared" si="58"/>
        <v>5</v>
      </c>
      <c r="KK221" s="770">
        <f t="shared" si="58"/>
        <v>2</v>
      </c>
      <c r="KL221" s="712" t="str">
        <f t="shared" ref="KL221:KL239" si="65">IF(KJ221=LN221,"ok","male")</f>
        <v>ok</v>
      </c>
      <c r="KM221" s="712" t="str">
        <f t="shared" ref="KM221:KM239" si="66">IF(KK221=LO221,"ok","female")</f>
        <v>ok</v>
      </c>
      <c r="KN221" s="6" t="s">
        <v>707</v>
      </c>
      <c r="KO221" s="1688"/>
      <c r="KP221" s="6"/>
      <c r="KQ221" s="6"/>
      <c r="KR221" s="6"/>
      <c r="KS221" s="6"/>
      <c r="KT221" s="6">
        <v>4</v>
      </c>
      <c r="KU221" s="6"/>
      <c r="KV221" s="6"/>
      <c r="KW221" s="6">
        <v>1</v>
      </c>
      <c r="KX221" s="6"/>
      <c r="KY221" s="6"/>
      <c r="KZ221" s="6"/>
      <c r="LA221" s="6"/>
      <c r="LB221" s="6"/>
      <c r="LC221" s="6"/>
      <c r="LD221" s="6"/>
      <c r="LE221" s="6"/>
      <c r="LF221" s="6"/>
      <c r="LG221" s="6"/>
      <c r="LH221" s="6"/>
      <c r="LI221" s="6"/>
      <c r="LJ221" s="6">
        <v>1</v>
      </c>
      <c r="LK221" s="6">
        <v>1</v>
      </c>
      <c r="LL221" s="6"/>
      <c r="LM221" s="6"/>
      <c r="LN221" s="766">
        <f t="shared" si="47"/>
        <v>5</v>
      </c>
      <c r="LO221" s="766">
        <f t="shared" si="47"/>
        <v>2</v>
      </c>
      <c r="LP221" s="6">
        <v>1</v>
      </c>
      <c r="LQ221" s="1689">
        <v>1</v>
      </c>
      <c r="LR221" s="6"/>
      <c r="LS221" s="6"/>
      <c r="LT221" s="712" t="str">
        <f t="shared" ref="LT221:LT239" si="67">IF(LQ221=SUM(LU221:LW221),"OK","REV")</f>
        <v>OK</v>
      </c>
      <c r="LU221" s="6">
        <v>1</v>
      </c>
      <c r="LV221" s="6"/>
      <c r="LW221" s="6"/>
      <c r="LX221" s="1693">
        <v>1</v>
      </c>
      <c r="LY221" s="766" t="str">
        <f t="shared" si="50"/>
        <v>within the BRGY</v>
      </c>
      <c r="LZ221" s="124">
        <v>1800</v>
      </c>
      <c r="MA221" s="1024"/>
      <c r="MB221" s="1024"/>
      <c r="MC221" s="1679">
        <f t="shared" si="41"/>
        <v>1800</v>
      </c>
      <c r="MD221" s="1024">
        <v>10500</v>
      </c>
      <c r="ME221" s="1024"/>
      <c r="MF221" s="1024"/>
      <c r="MG221" s="1680">
        <f t="shared" ref="MG221:MG239" si="68">SUM(MD221:MF221)</f>
        <v>10500</v>
      </c>
      <c r="MH221" s="1690" t="s">
        <v>13301</v>
      </c>
      <c r="MI221" s="64">
        <v>6000</v>
      </c>
      <c r="MJ221" s="64">
        <v>960</v>
      </c>
      <c r="MK221" s="64">
        <v>80</v>
      </c>
      <c r="ML221" s="64"/>
      <c r="MM221" s="64">
        <v>900</v>
      </c>
      <c r="MN221" s="64"/>
      <c r="MO221" s="64">
        <v>60</v>
      </c>
      <c r="MP221" s="64">
        <v>900</v>
      </c>
      <c r="MQ221" s="64"/>
      <c r="MR221" s="64">
        <v>120</v>
      </c>
      <c r="MS221" s="64">
        <v>300</v>
      </c>
      <c r="MT221" s="64"/>
      <c r="MU221" s="64"/>
      <c r="MV221" s="64"/>
      <c r="MW221" s="64"/>
      <c r="MX221" s="64"/>
      <c r="MY221" s="1682">
        <f t="shared" si="49"/>
        <v>9320</v>
      </c>
      <c r="MZ221" s="6" t="s">
        <v>13164</v>
      </c>
      <c r="NA221" s="6" t="s">
        <v>1249</v>
      </c>
      <c r="NB221" s="6" t="s">
        <v>13282</v>
      </c>
      <c r="NC221" s="6" t="s">
        <v>13158</v>
      </c>
      <c r="ND221" s="6" t="s">
        <v>110</v>
      </c>
      <c r="NE221" s="6"/>
      <c r="NF221" s="6"/>
      <c r="NG221" s="6"/>
      <c r="NH221" s="6"/>
      <c r="NI221" s="6"/>
      <c r="NJ221" s="6"/>
      <c r="NK221" s="6"/>
      <c r="NL221" s="6"/>
      <c r="NM221" s="6"/>
      <c r="NN221" s="6"/>
      <c r="NO221" s="6"/>
      <c r="NP221" s="6"/>
      <c r="NQ221" s="6"/>
      <c r="NR221" s="6"/>
      <c r="NS221" s="6"/>
      <c r="NT221" s="6"/>
      <c r="NU221" s="6"/>
      <c r="NV221" s="6"/>
      <c r="NW221" s="6"/>
      <c r="NX221" s="6"/>
      <c r="NY221" s="6" t="s">
        <v>1208</v>
      </c>
      <c r="NZ221" s="6" t="s">
        <v>1208</v>
      </c>
      <c r="OA221" s="6" t="s">
        <v>1208</v>
      </c>
      <c r="OB221" s="6" t="s">
        <v>1208</v>
      </c>
      <c r="OC221" s="6" t="s">
        <v>1208</v>
      </c>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t="s">
        <v>1208</v>
      </c>
      <c r="PS221" s="6" t="s">
        <v>1208</v>
      </c>
      <c r="PT221" s="6" t="s">
        <v>1208</v>
      </c>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1019" t="s">
        <v>1207</v>
      </c>
      <c r="RC221" s="6"/>
      <c r="RD221" s="6" t="s">
        <v>12989</v>
      </c>
      <c r="RE221" s="6" t="s">
        <v>12990</v>
      </c>
      <c r="RF221" s="1026">
        <v>2</v>
      </c>
      <c r="RG221" s="6" t="s">
        <v>13267</v>
      </c>
      <c r="RH221" s="64">
        <v>0</v>
      </c>
      <c r="RI221" s="6" t="s">
        <v>13027</v>
      </c>
      <c r="RJ221" s="6" t="s">
        <v>13302</v>
      </c>
      <c r="RK221" s="6" t="s">
        <v>13146</v>
      </c>
      <c r="RL221" s="1691"/>
      <c r="RM221" s="1716"/>
      <c r="RN221" s="1716"/>
      <c r="RO221" s="1042" t="s">
        <v>371</v>
      </c>
      <c r="RP221" s="1699"/>
      <c r="RR221" s="1030" t="s">
        <v>7421</v>
      </c>
      <c r="RS221" s="1139" t="s">
        <v>12980</v>
      </c>
      <c r="RV221" s="6" t="s">
        <v>12354</v>
      </c>
      <c r="RW221" s="1020" t="s">
        <v>12230</v>
      </c>
      <c r="RX221" s="1020" t="s">
        <v>11851</v>
      </c>
      <c r="RZ221" s="1020" t="s">
        <v>1101</v>
      </c>
      <c r="SA221" s="6"/>
    </row>
    <row r="222" spans="1:497" s="1020" customFormat="1" ht="12.75" customHeight="1">
      <c r="A222" s="1013" t="s">
        <v>7421</v>
      </c>
      <c r="B222" s="115" t="s">
        <v>12251</v>
      </c>
      <c r="C222" s="1042" t="s">
        <v>372</v>
      </c>
      <c r="D222" s="6" t="s">
        <v>488</v>
      </c>
      <c r="E222" s="6" t="s">
        <v>12242</v>
      </c>
      <c r="F222" s="6"/>
      <c r="G222" s="6"/>
      <c r="H222" s="6"/>
      <c r="I222" s="1012"/>
      <c r="J222" s="843"/>
      <c r="K222" s="6" t="s">
        <v>12245</v>
      </c>
      <c r="L222" s="6" t="s">
        <v>12246</v>
      </c>
      <c r="M222" s="6"/>
      <c r="N222" s="6"/>
      <c r="O222" s="6" t="s">
        <v>12247</v>
      </c>
      <c r="P222" s="843"/>
      <c r="Q222" s="1014"/>
      <c r="R222" s="1015"/>
      <c r="S222" s="1019"/>
      <c r="T222" s="6"/>
      <c r="U222" s="1016"/>
      <c r="V222" s="6"/>
      <c r="W222" s="1016"/>
      <c r="X222" s="1014"/>
      <c r="Y222" s="6"/>
      <c r="Z222" s="6"/>
      <c r="AA222" s="6"/>
      <c r="AB222" s="6"/>
      <c r="AC222" s="6"/>
      <c r="AD222" s="6"/>
      <c r="AE222" s="6"/>
      <c r="AF222" s="6"/>
      <c r="AG222" s="6" t="s">
        <v>1165</v>
      </c>
      <c r="AH222" s="766" t="s">
        <v>1096</v>
      </c>
      <c r="AI222" s="6"/>
      <c r="AJ222" s="6" t="s">
        <v>427</v>
      </c>
      <c r="AK222" s="6" t="s">
        <v>1101</v>
      </c>
      <c r="AL222" s="124">
        <v>16</v>
      </c>
      <c r="AM222" s="45">
        <v>16</v>
      </c>
      <c r="AN222" s="47">
        <f t="shared" si="60"/>
        <v>1</v>
      </c>
      <c r="AO222" s="6" t="s">
        <v>1122</v>
      </c>
      <c r="AP222" s="6"/>
      <c r="AQ222" s="6"/>
      <c r="AR222" s="6"/>
      <c r="AS222" s="6"/>
      <c r="AT222" s="6"/>
      <c r="AU222" s="6"/>
      <c r="AV222" s="6"/>
      <c r="AW222" s="6"/>
      <c r="AX222" s="6"/>
      <c r="AY222" s="6"/>
      <c r="AZ222" s="6"/>
      <c r="BA222" s="6"/>
      <c r="BB222" s="6"/>
      <c r="BC222" s="6"/>
      <c r="BD222" s="6"/>
      <c r="BE222" s="6"/>
      <c r="BF222" s="64"/>
      <c r="BG222" s="64"/>
      <c r="BH222" s="6"/>
      <c r="BI222" s="6"/>
      <c r="BJ222" s="6"/>
      <c r="BK222" s="6" t="s">
        <v>1165</v>
      </c>
      <c r="BL222" s="6" t="s">
        <v>12252</v>
      </c>
      <c r="BM222" s="6" t="s">
        <v>1096</v>
      </c>
      <c r="BN222" s="6" t="s">
        <v>1230</v>
      </c>
      <c r="BO222" s="6" t="s">
        <v>1246</v>
      </c>
      <c r="BP222" s="1112">
        <v>16</v>
      </c>
      <c r="BQ222" s="45">
        <v>16</v>
      </c>
      <c r="BR222" s="47">
        <f t="shared" si="61"/>
        <v>1</v>
      </c>
      <c r="BS222" s="6" t="s">
        <v>1257</v>
      </c>
      <c r="BT222" s="6" t="s">
        <v>12250</v>
      </c>
      <c r="BU222" s="6" t="s">
        <v>1290</v>
      </c>
      <c r="BV222" s="6" t="s">
        <v>1247</v>
      </c>
      <c r="BW222" s="6"/>
      <c r="BX222" s="64"/>
      <c r="BY222" s="6"/>
      <c r="BZ222" s="64"/>
      <c r="CA222" s="6"/>
      <c r="CB222" s="6"/>
      <c r="CC222" s="6"/>
      <c r="CD222" s="6"/>
      <c r="CE222" s="6"/>
      <c r="CF222" s="1026"/>
      <c r="CG222" s="1021"/>
      <c r="CH222" s="6"/>
      <c r="CI222" s="6"/>
      <c r="CJ222" s="6"/>
      <c r="CK222" s="6"/>
      <c r="CL222" s="6"/>
      <c r="CM222" s="6"/>
      <c r="CN222" s="6"/>
      <c r="CO222" s="6"/>
      <c r="CP222" s="6"/>
      <c r="CQ222" s="6"/>
      <c r="CR222" s="64"/>
      <c r="CS222" s="6"/>
      <c r="CT222" s="6"/>
      <c r="CU222" s="1022"/>
      <c r="CV222" s="6"/>
      <c r="CW222" s="6"/>
      <c r="CX222" s="6"/>
      <c r="CY222" s="6"/>
      <c r="CZ222" s="6"/>
      <c r="DA222" s="1024"/>
      <c r="DB222" s="6"/>
      <c r="DC222" s="6"/>
      <c r="DD222" s="6"/>
      <c r="DE222" s="45"/>
      <c r="DF222" s="6"/>
      <c r="DG222" s="6"/>
      <c r="DH222" s="6"/>
      <c r="DI222" s="6"/>
      <c r="DJ222" s="6"/>
      <c r="DK222" s="6"/>
      <c r="DL222" s="6"/>
      <c r="DM222" s="6"/>
      <c r="DN222" s="1126"/>
      <c r="DO222" s="6"/>
      <c r="DP222" s="6"/>
      <c r="DQ222" s="6"/>
      <c r="DR222" s="6"/>
      <c r="DS222" s="1023"/>
      <c r="DT222" s="6"/>
      <c r="DU222" s="6"/>
      <c r="DV222" s="6"/>
      <c r="DW222" s="1024"/>
      <c r="DX222" s="1024"/>
      <c r="DY222" s="6"/>
      <c r="DZ222" s="6"/>
      <c r="EA222" s="6"/>
      <c r="EB222" s="6"/>
      <c r="EC222" s="6"/>
      <c r="ED222" s="6"/>
      <c r="EE222" s="6"/>
      <c r="EF222" s="6"/>
      <c r="EG222" s="6"/>
      <c r="EH222" s="6"/>
      <c r="EI222" s="6"/>
      <c r="EJ222" s="6"/>
      <c r="EK222" s="6"/>
      <c r="EL222" s="6"/>
      <c r="EM222" s="6"/>
      <c r="EN222" s="6"/>
      <c r="EO222" s="6"/>
      <c r="EP222" s="843"/>
      <c r="EQ222" s="6"/>
      <c r="ER222" s="6"/>
      <c r="ES222" s="6"/>
      <c r="ET222" s="6"/>
      <c r="EU222" s="6"/>
      <c r="EV222" s="6"/>
      <c r="EW222" s="6"/>
      <c r="EX222" s="6"/>
      <c r="EY222" s="6"/>
      <c r="EZ222" s="6"/>
      <c r="FA222" s="6"/>
      <c r="FB222" s="6"/>
      <c r="FC222" s="6"/>
      <c r="FD222" s="64"/>
      <c r="FE222" s="6"/>
      <c r="FF222" s="6"/>
      <c r="FG222" s="6"/>
      <c r="FH222" s="6"/>
      <c r="FI222" s="6"/>
      <c r="FJ222" s="6"/>
      <c r="FK222" s="6"/>
      <c r="FL222" s="6"/>
      <c r="FM222" s="64"/>
      <c r="FN222" s="64"/>
      <c r="FO222" s="64"/>
      <c r="FP222" s="766" t="s">
        <v>1602</v>
      </c>
      <c r="FQ222" s="766" t="s">
        <v>1660</v>
      </c>
      <c r="FR222" s="6"/>
      <c r="FS222" s="6"/>
      <c r="FT222" s="6"/>
      <c r="FU222" s="6"/>
      <c r="FV222" s="6"/>
      <c r="FW222" s="6"/>
      <c r="FX222" s="6"/>
      <c r="FY222" s="6"/>
      <c r="FZ222" s="6"/>
      <c r="GA222" s="6"/>
      <c r="GB222" s="6"/>
      <c r="GC222" s="1028"/>
      <c r="GD222" s="1015"/>
      <c r="GE222" s="6"/>
      <c r="GF222" s="64"/>
      <c r="GG222" s="64"/>
      <c r="GH222" s="712" t="s">
        <v>3650</v>
      </c>
      <c r="GI222" s="6"/>
      <c r="GJ222" s="6"/>
      <c r="GK222" s="6"/>
      <c r="GL222" s="6"/>
      <c r="GM222" s="6"/>
      <c r="GN222" s="1025"/>
      <c r="GO222" s="6"/>
      <c r="GP222" s="6"/>
      <c r="GQ222" s="6"/>
      <c r="GR222" s="6"/>
      <c r="GS222" s="6"/>
      <c r="GT222" s="6"/>
      <c r="GU222" s="6"/>
      <c r="GV222" s="6"/>
      <c r="GW222" s="6"/>
      <c r="GX222" s="6"/>
      <c r="GY222" s="6"/>
      <c r="GZ222" s="6"/>
      <c r="HA222" s="6"/>
      <c r="HB222" s="6"/>
      <c r="HC222" s="6"/>
      <c r="HD222" s="6"/>
      <c r="HE222" s="6"/>
      <c r="HF222" s="6"/>
      <c r="HG222" s="6"/>
      <c r="HH222" s="6"/>
      <c r="HI222" s="6"/>
      <c r="HJ222" s="6"/>
      <c r="HK222" s="6"/>
      <c r="HL222" s="6"/>
      <c r="HM222" s="6"/>
      <c r="HN222" s="6"/>
      <c r="HO222" s="6"/>
      <c r="HP222" s="6"/>
      <c r="HQ222" s="6"/>
      <c r="HR222" s="6"/>
      <c r="HS222" s="6"/>
      <c r="HT222" s="6"/>
      <c r="HU222" s="6"/>
      <c r="HV222" s="6"/>
      <c r="HW222" s="6"/>
      <c r="HX222" s="6"/>
      <c r="HY222" s="6"/>
      <c r="HZ222" s="6"/>
      <c r="IA222" s="6"/>
      <c r="IB222" s="14" t="e">
        <f>IF(#REF!&gt;0,IF(#REF!&lt;=10000,"Y",""),"")</f>
        <v>#REF!</v>
      </c>
      <c r="IC222" s="843"/>
      <c r="ID222" s="843"/>
      <c r="IE222" s="843"/>
      <c r="IF222" s="6"/>
      <c r="IG222" s="6"/>
      <c r="IH222" s="6"/>
      <c r="II222" s="6"/>
      <c r="IJ222" s="6"/>
      <c r="IK222" s="6"/>
      <c r="IL222" s="6"/>
      <c r="IM222" s="6"/>
      <c r="IN222" s="6"/>
      <c r="IO222" s="1014"/>
      <c r="IP222" s="6"/>
      <c r="IQ222" s="6"/>
      <c r="IR222" s="6"/>
      <c r="IS222" s="6"/>
      <c r="IT222" s="6"/>
      <c r="IU222" s="6"/>
      <c r="IV222" s="6"/>
      <c r="IW222" s="6"/>
      <c r="IX222" s="6"/>
      <c r="IY222" s="6"/>
      <c r="IZ222" s="6"/>
      <c r="JA222" s="6"/>
      <c r="JB222" s="6"/>
      <c r="JC222" s="6"/>
      <c r="JD222" s="64"/>
      <c r="JE222" s="6"/>
      <c r="JF222" s="6"/>
      <c r="JG222" s="6"/>
      <c r="JH222" s="6"/>
      <c r="JI222" s="712" t="str">
        <f t="shared" si="62"/>
        <v>ok</v>
      </c>
      <c r="JJ222" s="843"/>
      <c r="JK222" s="1047" t="s">
        <v>6871</v>
      </c>
      <c r="JL222" s="6"/>
      <c r="JM222" s="6"/>
      <c r="JN222" s="6"/>
      <c r="JO222" s="6"/>
      <c r="JP222" s="6"/>
      <c r="JQ222" s="6"/>
      <c r="JR222" s="6"/>
      <c r="JS222" s="6"/>
      <c r="JT222" s="766"/>
      <c r="JU222" s="766"/>
      <c r="JV222" s="712" t="str">
        <f t="shared" si="63"/>
        <v>ok</v>
      </c>
      <c r="JW222" s="712" t="str">
        <f t="shared" si="64"/>
        <v>ok</v>
      </c>
      <c r="JX222" s="6"/>
      <c r="JY222" s="6"/>
      <c r="JZ222" s="6"/>
      <c r="KA222" s="6"/>
      <c r="KB222" s="6"/>
      <c r="KC222" s="6"/>
      <c r="KD222" s="6"/>
      <c r="KE222" s="6"/>
      <c r="KF222" s="6"/>
      <c r="KG222" s="6"/>
      <c r="KH222" s="6"/>
      <c r="KI222" s="6"/>
      <c r="KJ222" s="770"/>
      <c r="KK222" s="770"/>
      <c r="KL222" s="712" t="str">
        <f t="shared" si="65"/>
        <v>ok</v>
      </c>
      <c r="KM222" s="712" t="str">
        <f t="shared" si="66"/>
        <v>ok</v>
      </c>
      <c r="KN222" s="6"/>
      <c r="KO222" s="1688"/>
      <c r="KP222" s="6"/>
      <c r="KQ222" s="6"/>
      <c r="KR222" s="6"/>
      <c r="KS222" s="6"/>
      <c r="KT222" s="6"/>
      <c r="KU222" s="6"/>
      <c r="KV222" s="6"/>
      <c r="KW222" s="6"/>
      <c r="KX222" s="6"/>
      <c r="KY222" s="6"/>
      <c r="KZ222" s="6"/>
      <c r="LA222" s="6"/>
      <c r="LB222" s="6"/>
      <c r="LC222" s="6"/>
      <c r="LD222" s="6"/>
      <c r="LE222" s="6"/>
      <c r="LF222" s="6"/>
      <c r="LG222" s="6"/>
      <c r="LH222" s="6"/>
      <c r="LI222" s="6"/>
      <c r="LJ222" s="6"/>
      <c r="LK222" s="6"/>
      <c r="LL222" s="6"/>
      <c r="LM222" s="6"/>
      <c r="LN222" s="766"/>
      <c r="LO222" s="766"/>
      <c r="LP222" s="6"/>
      <c r="LQ222" s="1689"/>
      <c r="LR222" s="6"/>
      <c r="LS222" s="6"/>
      <c r="LT222" s="712" t="str">
        <f t="shared" si="67"/>
        <v>OK</v>
      </c>
      <c r="LU222" s="6"/>
      <c r="LV222" s="6"/>
      <c r="LW222" s="6"/>
      <c r="LX222" s="1693"/>
      <c r="LY222" s="766" t="str">
        <f t="shared" si="50"/>
        <v/>
      </c>
      <c r="LZ222" s="124"/>
      <c r="MA222" s="1024"/>
      <c r="MB222" s="1024"/>
      <c r="MC222" s="1679">
        <f t="shared" si="41"/>
        <v>0</v>
      </c>
      <c r="MD222" s="1024"/>
      <c r="ME222" s="1024"/>
      <c r="MF222" s="1024"/>
      <c r="MG222" s="1680">
        <v>0</v>
      </c>
      <c r="MH222" s="1690"/>
      <c r="MI222" s="64"/>
      <c r="MJ222" s="64"/>
      <c r="MK222" s="64"/>
      <c r="ML222" s="64"/>
      <c r="MM222" s="64"/>
      <c r="MN222" s="64"/>
      <c r="MO222" s="64"/>
      <c r="MP222" s="64"/>
      <c r="MQ222" s="64"/>
      <c r="MR222" s="64"/>
      <c r="MS222" s="64"/>
      <c r="MT222" s="64"/>
      <c r="MU222" s="64"/>
      <c r="MV222" s="64"/>
      <c r="MW222" s="64"/>
      <c r="MX222" s="64"/>
      <c r="MY222" s="1682"/>
      <c r="MZ222" s="6"/>
      <c r="NA222" s="6"/>
      <c r="NB222" s="6"/>
      <c r="NC222" s="6"/>
      <c r="ND222" s="6"/>
      <c r="NE222" s="6"/>
      <c r="NF222" s="6"/>
      <c r="NG222" s="6"/>
      <c r="NH222" s="6"/>
      <c r="NI222" s="6"/>
      <c r="NJ222" s="6"/>
      <c r="NK222" s="6"/>
      <c r="NL222" s="6"/>
      <c r="NM222" s="6"/>
      <c r="NN222" s="6"/>
      <c r="NO222" s="6"/>
      <c r="NP222" s="6"/>
      <c r="NQ222" s="6"/>
      <c r="NR222" s="6"/>
      <c r="NS222" s="6"/>
      <c r="NT222" s="6"/>
      <c r="NU222" s="6"/>
      <c r="NV222" s="6"/>
      <c r="NW222" s="6"/>
      <c r="NX222" s="6"/>
      <c r="NY222" s="6"/>
      <c r="NZ222" s="6"/>
      <c r="OA222" s="6"/>
      <c r="OB222" s="6"/>
      <c r="OC222" s="6"/>
      <c r="OD222" s="6"/>
      <c r="OE222" s="6"/>
      <c r="OF222" s="6"/>
      <c r="OG222" s="6"/>
      <c r="OH222" s="6"/>
      <c r="OI222" s="6"/>
      <c r="OJ222" s="6"/>
      <c r="OK222" s="6"/>
      <c r="OL222" s="6"/>
      <c r="OM222" s="6"/>
      <c r="ON222" s="6"/>
      <c r="OO222" s="6"/>
      <c r="OP222" s="6"/>
      <c r="OQ222" s="6"/>
      <c r="OR222" s="6"/>
      <c r="OS222" s="6"/>
      <c r="OT222" s="6"/>
      <c r="OU222" s="6"/>
      <c r="OV222" s="6"/>
      <c r="OW222" s="6"/>
      <c r="OX222" s="6"/>
      <c r="OY222" s="6"/>
      <c r="OZ222" s="6"/>
      <c r="PA222" s="6"/>
      <c r="PB222" s="6"/>
      <c r="PC222" s="6"/>
      <c r="PD222" s="6"/>
      <c r="PE222" s="6"/>
      <c r="PF222" s="6"/>
      <c r="PG222" s="6"/>
      <c r="PH222" s="6"/>
      <c r="PI222" s="6"/>
      <c r="PJ222" s="6"/>
      <c r="PK222" s="6"/>
      <c r="PL222" s="6"/>
      <c r="PM222" s="6"/>
      <c r="PN222" s="6"/>
      <c r="PO222" s="6"/>
      <c r="PP222" s="6"/>
      <c r="PQ222" s="6"/>
      <c r="PR222" s="6"/>
      <c r="PS222" s="6"/>
      <c r="PT222" s="6"/>
      <c r="PU222" s="6"/>
      <c r="PV222" s="6"/>
      <c r="PW222" s="6"/>
      <c r="PX222" s="6"/>
      <c r="PY222" s="6"/>
      <c r="PZ222" s="6"/>
      <c r="QA222" s="6"/>
      <c r="QB222" s="6"/>
      <c r="QC222" s="6"/>
      <c r="QD222" s="6"/>
      <c r="QE222" s="6"/>
      <c r="QF222" s="6"/>
      <c r="QG222" s="6"/>
      <c r="QH222" s="6"/>
      <c r="QI222" s="6"/>
      <c r="QJ222" s="6"/>
      <c r="QK222" s="6"/>
      <c r="QL222" s="6"/>
      <c r="QM222" s="6"/>
      <c r="QN222" s="6"/>
      <c r="QO222" s="6"/>
      <c r="QP222" s="6"/>
      <c r="QQ222" s="6"/>
      <c r="QR222" s="6"/>
      <c r="QS222" s="6"/>
      <c r="QT222" s="6"/>
      <c r="QU222" s="6"/>
      <c r="QV222" s="6"/>
      <c r="QW222" s="6"/>
      <c r="QX222" s="6"/>
      <c r="QY222" s="6"/>
      <c r="QZ222" s="6"/>
      <c r="RA222" s="6"/>
      <c r="RB222" s="6"/>
      <c r="RC222" s="6"/>
      <c r="RD222" s="6"/>
      <c r="RE222" s="6"/>
      <c r="RF222" s="1026"/>
      <c r="RG222" s="6"/>
      <c r="RH222" s="64"/>
      <c r="RI222" s="6"/>
      <c r="RJ222" s="6"/>
      <c r="RK222" s="6"/>
      <c r="RL222" s="1691"/>
      <c r="RM222" s="1716"/>
      <c r="RN222" s="1716"/>
      <c r="RO222" s="1042" t="s">
        <v>372</v>
      </c>
      <c r="RP222" s="1699"/>
      <c r="RR222" s="1030" t="s">
        <v>7421</v>
      </c>
      <c r="RS222" s="1139" t="s">
        <v>12980</v>
      </c>
      <c r="RV222" s="6" t="s">
        <v>12354</v>
      </c>
      <c r="RW222" s="1020" t="s">
        <v>12134</v>
      </c>
      <c r="RX222" s="1020" t="s">
        <v>11852</v>
      </c>
      <c r="RZ222" s="1020" t="s">
        <v>1101</v>
      </c>
      <c r="SA222" s="6"/>
    </row>
    <row r="223" spans="1:497" s="1020" customFormat="1" ht="12.75" customHeight="1">
      <c r="A223" s="1013" t="s">
        <v>7421</v>
      </c>
      <c r="B223" s="115" t="s">
        <v>12253</v>
      </c>
      <c r="C223" s="1042" t="s">
        <v>373</v>
      </c>
      <c r="D223" s="843" t="s">
        <v>12254</v>
      </c>
      <c r="E223" s="6" t="s">
        <v>12255</v>
      </c>
      <c r="F223" s="6" t="s">
        <v>28</v>
      </c>
      <c r="G223" s="6" t="s">
        <v>10</v>
      </c>
      <c r="H223" s="6"/>
      <c r="I223" s="1012"/>
      <c r="J223" s="843" t="s">
        <v>12254</v>
      </c>
      <c r="K223" s="6" t="s">
        <v>374</v>
      </c>
      <c r="L223" s="6" t="s">
        <v>375</v>
      </c>
      <c r="M223" s="6"/>
      <c r="N223" s="6"/>
      <c r="O223" s="6" t="s">
        <v>12247</v>
      </c>
      <c r="P223" s="843" t="s">
        <v>12256</v>
      </c>
      <c r="Q223" s="1014">
        <v>22284</v>
      </c>
      <c r="R223" s="1015">
        <v>55</v>
      </c>
      <c r="S223" s="1019" t="s">
        <v>10</v>
      </c>
      <c r="T223" s="6"/>
      <c r="U223" s="1016" t="s">
        <v>12257</v>
      </c>
      <c r="V223" s="6" t="s">
        <v>707</v>
      </c>
      <c r="W223" s="1016"/>
      <c r="X223" s="1014"/>
      <c r="Y223" s="6" t="s">
        <v>380</v>
      </c>
      <c r="Z223" s="6" t="s">
        <v>708</v>
      </c>
      <c r="AA223" s="6" t="s">
        <v>709</v>
      </c>
      <c r="AB223" s="6" t="s">
        <v>710</v>
      </c>
      <c r="AC223" s="6" t="s">
        <v>724</v>
      </c>
      <c r="AD223" s="6"/>
      <c r="AE223" s="6" t="s">
        <v>909</v>
      </c>
      <c r="AF223" s="6" t="s">
        <v>798</v>
      </c>
      <c r="AG223" s="6" t="s">
        <v>1165</v>
      </c>
      <c r="AH223" s="766" t="s">
        <v>1096</v>
      </c>
      <c r="AI223" s="6"/>
      <c r="AJ223" s="6" t="s">
        <v>427</v>
      </c>
      <c r="AK223" s="6" t="s">
        <v>1101</v>
      </c>
      <c r="AL223" s="124">
        <v>7.5</v>
      </c>
      <c r="AM223" s="45">
        <v>7.5</v>
      </c>
      <c r="AN223" s="47">
        <f t="shared" si="60"/>
        <v>1</v>
      </c>
      <c r="AO223" s="6" t="s">
        <v>1122</v>
      </c>
      <c r="AP223" s="6"/>
      <c r="AQ223" s="6"/>
      <c r="AR223" s="6"/>
      <c r="AS223" s="6"/>
      <c r="AT223" s="6"/>
      <c r="AU223" s="6"/>
      <c r="AV223" s="6"/>
      <c r="AW223" s="6"/>
      <c r="AX223" s="6"/>
      <c r="AY223" s="6"/>
      <c r="AZ223" s="6"/>
      <c r="BA223" s="6"/>
      <c r="BB223" s="6"/>
      <c r="BC223" s="6"/>
      <c r="BD223" s="6"/>
      <c r="BE223" s="6"/>
      <c r="BF223" s="64"/>
      <c r="BG223" s="64"/>
      <c r="BH223" s="6"/>
      <c r="BI223" s="6"/>
      <c r="BJ223" s="6"/>
      <c r="BK223" s="6" t="s">
        <v>1165</v>
      </c>
      <c r="BL223" s="6" t="s">
        <v>12258</v>
      </c>
      <c r="BM223" s="6" t="s">
        <v>1096</v>
      </c>
      <c r="BN223" s="6" t="s">
        <v>1230</v>
      </c>
      <c r="BO223" s="6" t="s">
        <v>1246</v>
      </c>
      <c r="BP223" s="1112">
        <v>7.5</v>
      </c>
      <c r="BQ223" s="45">
        <v>7.5</v>
      </c>
      <c r="BR223" s="47">
        <f t="shared" si="61"/>
        <v>1</v>
      </c>
      <c r="BS223" s="6" t="s">
        <v>1257</v>
      </c>
      <c r="BT223" s="6" t="s">
        <v>12250</v>
      </c>
      <c r="BU223" s="6" t="s">
        <v>1290</v>
      </c>
      <c r="BV223" s="6" t="s">
        <v>12259</v>
      </c>
      <c r="BW223" s="6"/>
      <c r="BX223" s="64"/>
      <c r="BY223" s="6"/>
      <c r="BZ223" s="64"/>
      <c r="CA223" s="6"/>
      <c r="CB223" s="6"/>
      <c r="CC223" s="6"/>
      <c r="CD223" s="6"/>
      <c r="CE223" s="6"/>
      <c r="CF223" s="1026"/>
      <c r="CG223" s="1021"/>
      <c r="CH223" s="6"/>
      <c r="CI223" s="6"/>
      <c r="CJ223" s="6"/>
      <c r="CK223" s="6"/>
      <c r="CL223" s="6"/>
      <c r="CM223" s="6"/>
      <c r="CN223" s="6"/>
      <c r="CO223" s="6"/>
      <c r="CP223" s="6"/>
      <c r="CQ223" s="6"/>
      <c r="CR223" s="64"/>
      <c r="CS223" s="6"/>
      <c r="CT223" s="6"/>
      <c r="CU223" s="1022"/>
      <c r="CV223" s="6"/>
      <c r="CW223" s="6"/>
      <c r="CX223" s="6"/>
      <c r="CY223" s="6"/>
      <c r="CZ223" s="6"/>
      <c r="DA223" s="1024"/>
      <c r="DB223" s="6"/>
      <c r="DC223" s="6"/>
      <c r="DD223" s="6"/>
      <c r="DE223" s="45"/>
      <c r="DF223" s="6"/>
      <c r="DG223" s="6"/>
      <c r="DH223" s="6"/>
      <c r="DI223" s="6"/>
      <c r="DJ223" s="6"/>
      <c r="DK223" s="6"/>
      <c r="DL223" s="6"/>
      <c r="DM223" s="6"/>
      <c r="DN223" s="1126"/>
      <c r="DO223" s="6"/>
      <c r="DP223" s="6"/>
      <c r="DQ223" s="6"/>
      <c r="DR223" s="6"/>
      <c r="DS223" s="1023"/>
      <c r="DT223" s="6"/>
      <c r="DU223" s="6"/>
      <c r="DV223" s="6"/>
      <c r="DW223" s="1024"/>
      <c r="DX223" s="1024"/>
      <c r="DY223" s="6"/>
      <c r="DZ223" s="6"/>
      <c r="EA223" s="6"/>
      <c r="EB223" s="6"/>
      <c r="EC223" s="6"/>
      <c r="ED223" s="6"/>
      <c r="EE223" s="6"/>
      <c r="EF223" s="6"/>
      <c r="EG223" s="6"/>
      <c r="EH223" s="6"/>
      <c r="EI223" s="6"/>
      <c r="EJ223" s="6"/>
      <c r="EK223" s="6"/>
      <c r="EL223" s="6"/>
      <c r="EM223" s="6"/>
      <c r="EN223" s="6"/>
      <c r="EO223" s="6"/>
      <c r="EP223" s="843"/>
      <c r="EQ223" s="6"/>
      <c r="ER223" s="6"/>
      <c r="ES223" s="6"/>
      <c r="ET223" s="6"/>
      <c r="EU223" s="6"/>
      <c r="EV223" s="6"/>
      <c r="EW223" s="6"/>
      <c r="EX223" s="6"/>
      <c r="EY223" s="6"/>
      <c r="EZ223" s="6"/>
      <c r="FA223" s="6"/>
      <c r="FB223" s="6"/>
      <c r="FC223" s="6"/>
      <c r="FD223" s="64"/>
      <c r="FE223" s="6"/>
      <c r="FF223" s="6"/>
      <c r="FG223" s="6"/>
      <c r="FH223" s="6" t="s">
        <v>478</v>
      </c>
      <c r="FI223" s="6">
        <v>1</v>
      </c>
      <c r="FJ223" s="6"/>
      <c r="FK223" s="6"/>
      <c r="FL223" s="6"/>
      <c r="FM223" s="64"/>
      <c r="FN223" s="64"/>
      <c r="FO223" s="64"/>
      <c r="FP223" s="766" t="s">
        <v>1602</v>
      </c>
      <c r="FQ223" s="766" t="s">
        <v>1660</v>
      </c>
      <c r="FR223" s="6"/>
      <c r="FS223" s="6"/>
      <c r="FT223" s="6"/>
      <c r="FU223" s="6"/>
      <c r="FV223" s="6"/>
      <c r="FW223" s="6"/>
      <c r="FX223" s="6"/>
      <c r="FY223" s="6"/>
      <c r="FZ223" s="6"/>
      <c r="GA223" s="6"/>
      <c r="GB223" s="6"/>
      <c r="GC223" s="1028"/>
      <c r="GD223" s="1015"/>
      <c r="GE223" s="6"/>
      <c r="GF223" s="64"/>
      <c r="GG223" s="64"/>
      <c r="GH223" s="1811" t="s">
        <v>1791</v>
      </c>
      <c r="GI223" s="6"/>
      <c r="GJ223" s="6" t="s">
        <v>1816</v>
      </c>
      <c r="GK223" s="1019" t="s">
        <v>2345</v>
      </c>
      <c r="GL223" s="6"/>
      <c r="GM223" s="6" t="s">
        <v>1214</v>
      </c>
      <c r="GN223" s="1025" t="s">
        <v>1817</v>
      </c>
      <c r="GO223" s="6"/>
      <c r="GP223" s="6" t="s">
        <v>1208</v>
      </c>
      <c r="GQ223" s="6"/>
      <c r="GR223" s="6" t="s">
        <v>1208</v>
      </c>
      <c r="GS223" s="6" t="s">
        <v>1208</v>
      </c>
      <c r="GT223" s="6" t="s">
        <v>1208</v>
      </c>
      <c r="GU223" s="6"/>
      <c r="GV223" s="6"/>
      <c r="GW223" s="6" t="s">
        <v>1214</v>
      </c>
      <c r="GX223" s="6" t="s">
        <v>1818</v>
      </c>
      <c r="GY223" s="6"/>
      <c r="GZ223" s="6"/>
      <c r="HA223" s="6"/>
      <c r="HB223" s="6"/>
      <c r="HC223" s="6"/>
      <c r="HD223" s="6" t="s">
        <v>1208</v>
      </c>
      <c r="HE223" s="6" t="s">
        <v>1208</v>
      </c>
      <c r="HF223" s="6" t="s">
        <v>1208</v>
      </c>
      <c r="HG223" s="6"/>
      <c r="HH223" s="6"/>
      <c r="HI223" s="6"/>
      <c r="HJ223" s="6"/>
      <c r="HK223" s="6"/>
      <c r="HL223" s="6"/>
      <c r="HM223" s="6"/>
      <c r="HN223" s="6"/>
      <c r="HO223" s="6"/>
      <c r="HP223" s="6"/>
      <c r="HQ223" s="6"/>
      <c r="HR223" s="6"/>
      <c r="HS223" s="6"/>
      <c r="HT223" s="6"/>
      <c r="HU223" s="6"/>
      <c r="HV223" s="6"/>
      <c r="HW223" s="6"/>
      <c r="HX223" s="6"/>
      <c r="HY223" s="6"/>
      <c r="HZ223" s="6"/>
      <c r="IA223" s="6"/>
      <c r="IB223" s="14" t="e">
        <f>IF(#REF!&gt;0,IF(#REF!&lt;=10000,"Y",""),"")</f>
        <v>#REF!</v>
      </c>
      <c r="IC223" s="843"/>
      <c r="ID223" s="843"/>
      <c r="IE223" s="843">
        <v>1</v>
      </c>
      <c r="IF223" s="6" t="s">
        <v>12256</v>
      </c>
      <c r="IG223" s="6" t="s">
        <v>10</v>
      </c>
      <c r="IH223" s="6" t="s">
        <v>8331</v>
      </c>
      <c r="II223" s="6" t="s">
        <v>12260</v>
      </c>
      <c r="IJ223" s="6" t="s">
        <v>1604</v>
      </c>
      <c r="IK223" s="6" t="s">
        <v>1888</v>
      </c>
      <c r="IL223" s="6" t="s">
        <v>1976</v>
      </c>
      <c r="IM223" s="6">
        <v>1995</v>
      </c>
      <c r="IN223" s="6" t="s">
        <v>1976</v>
      </c>
      <c r="IO223" s="1014">
        <v>22284</v>
      </c>
      <c r="IP223" s="6" t="s">
        <v>478</v>
      </c>
      <c r="IQ223" s="6" t="s">
        <v>12261</v>
      </c>
      <c r="IR223" s="6" t="s">
        <v>12262</v>
      </c>
      <c r="IS223" s="6" t="s">
        <v>951</v>
      </c>
      <c r="IT223" s="6"/>
      <c r="IU223" s="6" t="s">
        <v>1208</v>
      </c>
      <c r="IV223" s="6"/>
      <c r="IW223" s="6" t="s">
        <v>13303</v>
      </c>
      <c r="IX223" s="6"/>
      <c r="IY223" s="6" t="s">
        <v>12257</v>
      </c>
      <c r="IZ223" s="6"/>
      <c r="JA223" s="6"/>
      <c r="JB223" s="6"/>
      <c r="JC223" s="6"/>
      <c r="JD223" s="64">
        <v>500</v>
      </c>
      <c r="JE223" s="6"/>
      <c r="JF223" s="6"/>
      <c r="JG223" s="6"/>
      <c r="JH223" s="6"/>
      <c r="JI223" s="712" t="str">
        <f t="shared" si="62"/>
        <v>ok</v>
      </c>
      <c r="JJ223" s="1698">
        <v>10</v>
      </c>
      <c r="JK223" s="1047" t="s">
        <v>13304</v>
      </c>
      <c r="JL223" s="6">
        <v>1</v>
      </c>
      <c r="JM223" s="6">
        <v>2</v>
      </c>
      <c r="JN223" s="6">
        <v>2</v>
      </c>
      <c r="JO223" s="6">
        <v>5</v>
      </c>
      <c r="JP223" s="6"/>
      <c r="JQ223" s="6"/>
      <c r="JR223" s="6"/>
      <c r="JS223" s="6"/>
      <c r="JT223" s="766">
        <f t="shared" ref="JT223:JU239" si="69">SUM(JP223,JN223,JL223,JR223)</f>
        <v>3</v>
      </c>
      <c r="JU223" s="766">
        <f t="shared" si="69"/>
        <v>7</v>
      </c>
      <c r="JV223" s="712" t="str">
        <f t="shared" si="63"/>
        <v>ok</v>
      </c>
      <c r="JW223" s="712" t="str">
        <f t="shared" si="64"/>
        <v>ok</v>
      </c>
      <c r="JX223" s="6"/>
      <c r="JY223" s="6"/>
      <c r="JZ223" s="6">
        <v>1</v>
      </c>
      <c r="KA223" s="6"/>
      <c r="KB223" s="6"/>
      <c r="KC223" s="6">
        <v>2</v>
      </c>
      <c r="KD223" s="6">
        <v>1</v>
      </c>
      <c r="KE223" s="6">
        <v>4</v>
      </c>
      <c r="KF223" s="6">
        <v>1</v>
      </c>
      <c r="KG223" s="6">
        <v>1</v>
      </c>
      <c r="KH223" s="6"/>
      <c r="KI223" s="6"/>
      <c r="KJ223" s="770">
        <f t="shared" si="58"/>
        <v>3</v>
      </c>
      <c r="KK223" s="770">
        <f t="shared" si="58"/>
        <v>7</v>
      </c>
      <c r="KL223" s="712" t="str">
        <f t="shared" si="65"/>
        <v>ok</v>
      </c>
      <c r="KM223" s="712" t="str">
        <f t="shared" si="66"/>
        <v>ok</v>
      </c>
      <c r="KN223" s="6" t="s">
        <v>707</v>
      </c>
      <c r="KO223" s="1688"/>
      <c r="KP223" s="6"/>
      <c r="KQ223" s="6"/>
      <c r="KR223" s="6">
        <v>1</v>
      </c>
      <c r="KS223" s="6"/>
      <c r="KT223" s="6">
        <v>1</v>
      </c>
      <c r="KU223" s="6">
        <v>2</v>
      </c>
      <c r="KV223" s="6"/>
      <c r="KW223" s="6">
        <v>1</v>
      </c>
      <c r="KX223" s="6"/>
      <c r="KY223" s="6"/>
      <c r="KZ223" s="6">
        <v>1</v>
      </c>
      <c r="LA223" s="6"/>
      <c r="LB223" s="6"/>
      <c r="LC223" s="6">
        <v>2</v>
      </c>
      <c r="LD223" s="6"/>
      <c r="LE223" s="6">
        <v>2</v>
      </c>
      <c r="LF223" s="6"/>
      <c r="LG223" s="6"/>
      <c r="LH223" s="6"/>
      <c r="LI223" s="6"/>
      <c r="LJ223" s="6"/>
      <c r="LK223" s="6"/>
      <c r="LL223" s="6"/>
      <c r="LM223" s="6"/>
      <c r="LN223" s="766">
        <f t="shared" si="47"/>
        <v>3</v>
      </c>
      <c r="LO223" s="766">
        <f t="shared" si="47"/>
        <v>7</v>
      </c>
      <c r="LP223" s="6">
        <v>2</v>
      </c>
      <c r="LQ223" s="1689">
        <v>1</v>
      </c>
      <c r="LR223" s="6"/>
      <c r="LS223" s="6">
        <v>1</v>
      </c>
      <c r="LT223" s="712" t="str">
        <f t="shared" si="67"/>
        <v>OK</v>
      </c>
      <c r="LU223" s="6">
        <v>1</v>
      </c>
      <c r="LV223" s="6"/>
      <c r="LW223" s="6"/>
      <c r="LX223" s="1693">
        <v>1</v>
      </c>
      <c r="LY223" s="766" t="str">
        <f t="shared" si="50"/>
        <v>within the BRGY</v>
      </c>
      <c r="LZ223" s="124"/>
      <c r="MA223" s="1024"/>
      <c r="MB223" s="1024"/>
      <c r="MC223" s="1679">
        <f t="shared" si="41"/>
        <v>0</v>
      </c>
      <c r="MD223" s="1024">
        <v>10000</v>
      </c>
      <c r="ME223" s="1024"/>
      <c r="MF223" s="1024">
        <v>500</v>
      </c>
      <c r="MG223" s="1680">
        <f t="shared" si="68"/>
        <v>10500</v>
      </c>
      <c r="MH223" s="1690" t="s">
        <v>2216</v>
      </c>
      <c r="MI223" s="64">
        <v>9000</v>
      </c>
      <c r="MJ223" s="64">
        <v>1800</v>
      </c>
      <c r="MK223" s="64">
        <v>166</v>
      </c>
      <c r="ML223" s="64">
        <v>41.67</v>
      </c>
      <c r="MM223" s="64">
        <v>1200</v>
      </c>
      <c r="MN223" s="64"/>
      <c r="MO223" s="64">
        <v>500</v>
      </c>
      <c r="MP223" s="64">
        <v>800</v>
      </c>
      <c r="MQ223" s="64">
        <v>700</v>
      </c>
      <c r="MR223" s="64">
        <v>600</v>
      </c>
      <c r="MS223" s="64">
        <v>600</v>
      </c>
      <c r="MT223" s="64"/>
      <c r="MU223" s="64"/>
      <c r="MV223" s="64"/>
      <c r="MW223" s="64"/>
      <c r="MX223" s="64"/>
      <c r="MY223" s="1682">
        <f t="shared" si="49"/>
        <v>15407.67</v>
      </c>
      <c r="MZ223" s="6" t="s">
        <v>1835</v>
      </c>
      <c r="NA223" s="6" t="s">
        <v>1249</v>
      </c>
      <c r="NB223" s="6" t="s">
        <v>13006</v>
      </c>
      <c r="NC223" s="6" t="s">
        <v>13135</v>
      </c>
      <c r="ND223" s="6">
        <v>1</v>
      </c>
      <c r="NE223" s="6">
        <v>0</v>
      </c>
      <c r="NF223" s="6">
        <v>0</v>
      </c>
      <c r="NG223" s="6">
        <v>1</v>
      </c>
      <c r="NH223" s="6">
        <v>1</v>
      </c>
      <c r="NI223" s="6">
        <v>1</v>
      </c>
      <c r="NJ223" s="6">
        <v>0</v>
      </c>
      <c r="NK223" s="6">
        <v>0</v>
      </c>
      <c r="NL223" s="6">
        <v>0</v>
      </c>
      <c r="NM223" s="6">
        <v>0</v>
      </c>
      <c r="NN223" s="6">
        <v>0</v>
      </c>
      <c r="NO223" s="6">
        <v>0</v>
      </c>
      <c r="NP223" s="6">
        <v>0</v>
      </c>
      <c r="NQ223" s="6">
        <v>1</v>
      </c>
      <c r="NR223" s="6">
        <v>0</v>
      </c>
      <c r="NS223" s="6">
        <v>0</v>
      </c>
      <c r="NT223" s="6">
        <v>0</v>
      </c>
      <c r="NU223" s="6">
        <v>0</v>
      </c>
      <c r="NV223" s="6">
        <v>0</v>
      </c>
      <c r="NW223" s="6">
        <v>0</v>
      </c>
      <c r="NX223" s="6">
        <v>0</v>
      </c>
      <c r="NY223" s="6" t="s">
        <v>1208</v>
      </c>
      <c r="NZ223" s="6" t="s">
        <v>1208</v>
      </c>
      <c r="OA223" s="6" t="s">
        <v>1208</v>
      </c>
      <c r="OB223" s="6" t="s">
        <v>1208</v>
      </c>
      <c r="OC223" s="6" t="s">
        <v>1208</v>
      </c>
      <c r="OD223" s="6" t="s">
        <v>1208</v>
      </c>
      <c r="OE223" s="6"/>
      <c r="OF223" s="6" t="s">
        <v>13305</v>
      </c>
      <c r="OG223" s="6"/>
      <c r="OH223" s="6"/>
      <c r="OI223" s="6"/>
      <c r="OJ223" s="6"/>
      <c r="OK223" s="6"/>
      <c r="OL223" s="6" t="s">
        <v>13306</v>
      </c>
      <c r="OM223" s="6" t="s">
        <v>1824</v>
      </c>
      <c r="ON223" s="6" t="s">
        <v>13307</v>
      </c>
      <c r="OO223" s="6" t="s">
        <v>1207</v>
      </c>
      <c r="OP223" s="6"/>
      <c r="OQ223" s="6"/>
      <c r="OR223" s="6"/>
      <c r="OS223" s="6" t="s">
        <v>13155</v>
      </c>
      <c r="OT223" s="6" t="s">
        <v>13308</v>
      </c>
      <c r="OU223" s="6" t="s">
        <v>13309</v>
      </c>
      <c r="OV223" s="6" t="s">
        <v>1208</v>
      </c>
      <c r="OW223" s="6"/>
      <c r="OX223" s="6"/>
      <c r="OY223" s="6"/>
      <c r="OZ223" s="6"/>
      <c r="PA223" s="6"/>
      <c r="PB223" s="6" t="s">
        <v>1208</v>
      </c>
      <c r="PC223" s="6"/>
      <c r="PD223" s="6"/>
      <c r="PE223" s="6"/>
      <c r="PF223" s="6"/>
      <c r="PG223" s="6"/>
      <c r="PH223" s="6"/>
      <c r="PI223" s="6"/>
      <c r="PJ223" s="6"/>
      <c r="PK223" s="6" t="s">
        <v>1208</v>
      </c>
      <c r="PL223" s="6"/>
      <c r="PM223" s="6"/>
      <c r="PN223" s="6"/>
      <c r="PO223" s="6"/>
      <c r="PP223" s="6"/>
      <c r="PQ223" s="6"/>
      <c r="PR223" s="6"/>
      <c r="PS223" s="6"/>
      <c r="PT223" s="6"/>
      <c r="PU223" s="6"/>
      <c r="PV223" s="6"/>
      <c r="PW223" s="6"/>
      <c r="PX223" s="6"/>
      <c r="PY223" s="6"/>
      <c r="PZ223" s="6"/>
      <c r="QA223" s="6"/>
      <c r="QB223" s="6"/>
      <c r="QC223" s="6"/>
      <c r="QD223" s="6"/>
      <c r="QE223" s="6" t="s">
        <v>1208</v>
      </c>
      <c r="QF223" s="6"/>
      <c r="QG223" s="6"/>
      <c r="QH223" s="6"/>
      <c r="QI223" s="6"/>
      <c r="QJ223" s="6"/>
      <c r="QK223" s="6"/>
      <c r="QL223" s="6"/>
      <c r="QM223" s="6"/>
      <c r="QN223" s="6"/>
      <c r="QO223" s="6"/>
      <c r="QP223" s="6"/>
      <c r="QQ223" s="6"/>
      <c r="QR223" s="6"/>
      <c r="QS223" s="6"/>
      <c r="QT223" s="6"/>
      <c r="QU223" s="6"/>
      <c r="QV223" s="6"/>
      <c r="QW223" s="6"/>
      <c r="QX223" s="6"/>
      <c r="QY223" s="6"/>
      <c r="QZ223" s="6"/>
      <c r="RA223" s="6"/>
      <c r="RB223" s="1019" t="s">
        <v>1207</v>
      </c>
      <c r="RC223" s="6">
        <v>2009</v>
      </c>
      <c r="RD223" s="6" t="s">
        <v>12989</v>
      </c>
      <c r="RE223" s="6" t="s">
        <v>13125</v>
      </c>
      <c r="RF223" s="1026">
        <v>3</v>
      </c>
      <c r="RG223" s="6"/>
      <c r="RH223" s="64">
        <v>1000</v>
      </c>
      <c r="RI223" s="6" t="s">
        <v>13310</v>
      </c>
      <c r="RJ223" s="6" t="s">
        <v>1976</v>
      </c>
      <c r="RK223" s="6" t="s">
        <v>13206</v>
      </c>
      <c r="RL223" s="1691"/>
      <c r="RM223" s="1716"/>
      <c r="RN223" s="1716"/>
      <c r="RO223" s="1042" t="s">
        <v>373</v>
      </c>
      <c r="RP223" s="1699"/>
      <c r="RR223" s="1030" t="s">
        <v>7421</v>
      </c>
      <c r="RS223" s="1139" t="s">
        <v>12980</v>
      </c>
      <c r="RV223" s="6" t="s">
        <v>7421</v>
      </c>
      <c r="RW223" s="1020" t="s">
        <v>12240</v>
      </c>
      <c r="RX223" s="1020" t="s">
        <v>371</v>
      </c>
      <c r="RZ223" s="1020" t="s">
        <v>1101</v>
      </c>
      <c r="SA223" s="6"/>
    </row>
    <row r="224" spans="1:497" s="1020" customFormat="1" ht="12.75" customHeight="1">
      <c r="A224" s="1013" t="s">
        <v>7421</v>
      </c>
      <c r="B224" s="115" t="s">
        <v>12263</v>
      </c>
      <c r="C224" s="1042" t="s">
        <v>376</v>
      </c>
      <c r="D224" s="843" t="s">
        <v>12264</v>
      </c>
      <c r="E224" s="6" t="s">
        <v>377</v>
      </c>
      <c r="F224" s="6"/>
      <c r="G224" s="6" t="s">
        <v>10</v>
      </c>
      <c r="H224" s="6"/>
      <c r="I224" s="1012"/>
      <c r="J224" s="843"/>
      <c r="K224" s="6" t="s">
        <v>374</v>
      </c>
      <c r="L224" s="6" t="s">
        <v>375</v>
      </c>
      <c r="M224" s="6"/>
      <c r="N224" s="6"/>
      <c r="O224" s="6"/>
      <c r="P224" s="843" t="s">
        <v>12265</v>
      </c>
      <c r="Q224" s="1014">
        <v>25060</v>
      </c>
      <c r="R224" s="1015">
        <v>49</v>
      </c>
      <c r="S224" s="1019" t="s">
        <v>10</v>
      </c>
      <c r="T224" s="6"/>
      <c r="U224" s="1016" t="s">
        <v>383</v>
      </c>
      <c r="V224" s="6" t="s">
        <v>722</v>
      </c>
      <c r="W224" s="1016"/>
      <c r="X224" s="1014"/>
      <c r="Y224" s="6" t="s">
        <v>377</v>
      </c>
      <c r="Z224" s="6" t="s">
        <v>708</v>
      </c>
      <c r="AA224" s="6" t="s">
        <v>739</v>
      </c>
      <c r="AB224" s="6" t="s">
        <v>7273</v>
      </c>
      <c r="AC224" s="6" t="s">
        <v>724</v>
      </c>
      <c r="AD224" s="6"/>
      <c r="AE224" s="6"/>
      <c r="AF224" s="6" t="s">
        <v>798</v>
      </c>
      <c r="AG224" s="6" t="s">
        <v>1165</v>
      </c>
      <c r="AH224" s="766" t="s">
        <v>1096</v>
      </c>
      <c r="AI224" s="6"/>
      <c r="AJ224" s="6" t="s">
        <v>427</v>
      </c>
      <c r="AK224" s="6" t="s">
        <v>1101</v>
      </c>
      <c r="AL224" s="124">
        <v>4.5</v>
      </c>
      <c r="AM224" s="45">
        <v>4.5</v>
      </c>
      <c r="AN224" s="47">
        <f t="shared" si="60"/>
        <v>1</v>
      </c>
      <c r="AO224" s="6" t="s">
        <v>1122</v>
      </c>
      <c r="AP224" s="6"/>
      <c r="AQ224" s="6"/>
      <c r="AR224" s="6"/>
      <c r="AS224" s="6"/>
      <c r="AT224" s="6"/>
      <c r="AU224" s="6"/>
      <c r="AV224" s="6"/>
      <c r="AW224" s="6"/>
      <c r="AX224" s="6"/>
      <c r="AY224" s="6"/>
      <c r="AZ224" s="6"/>
      <c r="BA224" s="6"/>
      <c r="BB224" s="6"/>
      <c r="BC224" s="6"/>
      <c r="BD224" s="6"/>
      <c r="BE224" s="6"/>
      <c r="BF224" s="64"/>
      <c r="BG224" s="64"/>
      <c r="BH224" s="6">
        <v>2</v>
      </c>
      <c r="BI224" s="6">
        <v>1</v>
      </c>
      <c r="BJ224" s="6"/>
      <c r="BK224" s="6" t="s">
        <v>1165</v>
      </c>
      <c r="BL224" s="6" t="s">
        <v>12266</v>
      </c>
      <c r="BM224" s="6" t="s">
        <v>1096</v>
      </c>
      <c r="BN224" s="6" t="s">
        <v>1230</v>
      </c>
      <c r="BO224" s="6" t="s">
        <v>1246</v>
      </c>
      <c r="BP224" s="1112">
        <f>3*1.5</f>
        <v>4.5</v>
      </c>
      <c r="BQ224" s="45">
        <v>4.5</v>
      </c>
      <c r="BR224" s="47">
        <f t="shared" si="61"/>
        <v>1</v>
      </c>
      <c r="BS224" s="6" t="s">
        <v>1257</v>
      </c>
      <c r="BT224" s="6" t="s">
        <v>1334</v>
      </c>
      <c r="BU224" s="6" t="s">
        <v>1267</v>
      </c>
      <c r="BV224" s="6" t="s">
        <v>1335</v>
      </c>
      <c r="BW224" s="6"/>
      <c r="BX224" s="64"/>
      <c r="BY224" s="6"/>
      <c r="BZ224" s="64"/>
      <c r="CA224" s="6"/>
      <c r="CB224" s="6"/>
      <c r="CC224" s="6"/>
      <c r="CD224" s="6"/>
      <c r="CE224" s="6"/>
      <c r="CF224" s="1026"/>
      <c r="CG224" s="1021"/>
      <c r="CH224" s="6"/>
      <c r="CI224" s="6"/>
      <c r="CJ224" s="6"/>
      <c r="CK224" s="6"/>
      <c r="CL224" s="6"/>
      <c r="CM224" s="6"/>
      <c r="CN224" s="6"/>
      <c r="CO224" s="6"/>
      <c r="CP224" s="6"/>
      <c r="CQ224" s="6"/>
      <c r="CR224" s="64"/>
      <c r="CS224" s="6"/>
      <c r="CT224" s="6"/>
      <c r="CU224" s="1022"/>
      <c r="CV224" s="6"/>
      <c r="CW224" s="6"/>
      <c r="CX224" s="6"/>
      <c r="CY224" s="6"/>
      <c r="CZ224" s="6"/>
      <c r="DA224" s="1024"/>
      <c r="DB224" s="6"/>
      <c r="DC224" s="6"/>
      <c r="DD224" s="6"/>
      <c r="DE224" s="45"/>
      <c r="DF224" s="6"/>
      <c r="DG224" s="6"/>
      <c r="DH224" s="6"/>
      <c r="DI224" s="6"/>
      <c r="DJ224" s="6"/>
      <c r="DK224" s="6"/>
      <c r="DL224" s="6"/>
      <c r="DM224" s="6"/>
      <c r="DN224" s="1126"/>
      <c r="DO224" s="6"/>
      <c r="DP224" s="6"/>
      <c r="DQ224" s="6"/>
      <c r="DR224" s="6"/>
      <c r="DS224" s="1023"/>
      <c r="DT224" s="6"/>
      <c r="DU224" s="6"/>
      <c r="DV224" s="6"/>
      <c r="DW224" s="1024"/>
      <c r="DX224" s="1024"/>
      <c r="DY224" s="6"/>
      <c r="DZ224" s="6"/>
      <c r="EA224" s="6"/>
      <c r="EB224" s="6"/>
      <c r="EC224" s="6"/>
      <c r="ED224" s="6"/>
      <c r="EE224" s="6"/>
      <c r="EF224" s="6"/>
      <c r="EG224" s="6"/>
      <c r="EH224" s="6"/>
      <c r="EI224" s="6"/>
      <c r="EJ224" s="6"/>
      <c r="EK224" s="6"/>
      <c r="EL224" s="6"/>
      <c r="EM224" s="6"/>
      <c r="EN224" s="6"/>
      <c r="EO224" s="6"/>
      <c r="EP224" s="843"/>
      <c r="EQ224" s="6"/>
      <c r="ER224" s="6"/>
      <c r="ES224" s="6"/>
      <c r="ET224" s="6"/>
      <c r="EU224" s="6"/>
      <c r="EV224" s="6"/>
      <c r="EW224" s="6"/>
      <c r="EX224" s="6"/>
      <c r="EY224" s="6"/>
      <c r="EZ224" s="6"/>
      <c r="FA224" s="6"/>
      <c r="FB224" s="6"/>
      <c r="FC224" s="6"/>
      <c r="FD224" s="64"/>
      <c r="FE224" s="6"/>
      <c r="FF224" s="6"/>
      <c r="FG224" s="6"/>
      <c r="FH224" s="6" t="s">
        <v>478</v>
      </c>
      <c r="FI224" s="6">
        <v>1</v>
      </c>
      <c r="FJ224" s="6"/>
      <c r="FK224" s="6"/>
      <c r="FL224" s="6"/>
      <c r="FM224" s="64"/>
      <c r="FN224" s="64"/>
      <c r="FO224" s="64"/>
      <c r="FP224" s="766" t="s">
        <v>1602</v>
      </c>
      <c r="FQ224" s="766" t="s">
        <v>1660</v>
      </c>
      <c r="FR224" s="6"/>
      <c r="FS224" s="6"/>
      <c r="FT224" s="6"/>
      <c r="FU224" s="6"/>
      <c r="FV224" s="6"/>
      <c r="FW224" s="6"/>
      <c r="FX224" s="6"/>
      <c r="FY224" s="6"/>
      <c r="FZ224" s="6"/>
      <c r="GA224" s="6"/>
      <c r="GB224" s="6"/>
      <c r="GC224" s="1028"/>
      <c r="GD224" s="1015"/>
      <c r="GE224" s="6"/>
      <c r="GF224" s="64"/>
      <c r="GG224" s="64"/>
      <c r="GH224" s="712" t="s">
        <v>14260</v>
      </c>
      <c r="GI224" s="6"/>
      <c r="GJ224" s="6"/>
      <c r="GK224" s="6"/>
      <c r="GL224" s="6"/>
      <c r="GM224" s="6"/>
      <c r="GN224" s="1025"/>
      <c r="GO224" s="6"/>
      <c r="GP224" s="6"/>
      <c r="GQ224" s="6"/>
      <c r="GR224" s="6"/>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14" t="e">
        <f>IF(#REF!&gt;0,IF(#REF!&lt;=10000,"Y",""),"")</f>
        <v>#REF!</v>
      </c>
      <c r="IC224" s="843"/>
      <c r="ID224" s="843"/>
      <c r="IE224" s="843"/>
      <c r="IF224" s="6"/>
      <c r="IG224" s="6"/>
      <c r="IH224" s="6"/>
      <c r="II224" s="6"/>
      <c r="IJ224" s="6"/>
      <c r="IK224" s="6"/>
      <c r="IL224" s="6"/>
      <c r="IM224" s="6"/>
      <c r="IN224" s="6"/>
      <c r="IO224" s="1014"/>
      <c r="IP224" s="6"/>
      <c r="IQ224" s="6"/>
      <c r="IR224" s="6"/>
      <c r="IS224" s="6"/>
      <c r="IT224" s="6"/>
      <c r="IU224" s="6"/>
      <c r="IV224" s="6"/>
      <c r="IW224" s="6"/>
      <c r="IX224" s="6"/>
      <c r="IY224" s="6"/>
      <c r="IZ224" s="6"/>
      <c r="JA224" s="6"/>
      <c r="JB224" s="6"/>
      <c r="JC224" s="6"/>
      <c r="JD224" s="64"/>
      <c r="JE224" s="6"/>
      <c r="JF224" s="6"/>
      <c r="JG224" s="6"/>
      <c r="JH224" s="6"/>
      <c r="JI224" s="712" t="str">
        <f>IF(SUM(JT224,JU224)=JJ224,"ok","review")</f>
        <v>ok</v>
      </c>
      <c r="JJ224" s="1698">
        <v>1</v>
      </c>
      <c r="JK224" s="1047" t="s">
        <v>13311</v>
      </c>
      <c r="JL224" s="6"/>
      <c r="JM224" s="6"/>
      <c r="JN224" s="6">
        <v>1</v>
      </c>
      <c r="JO224" s="6"/>
      <c r="JP224" s="6"/>
      <c r="JQ224" s="6"/>
      <c r="JR224" s="6"/>
      <c r="JS224" s="6"/>
      <c r="JT224" s="766">
        <f t="shared" si="69"/>
        <v>1</v>
      </c>
      <c r="JU224" s="766">
        <f t="shared" si="69"/>
        <v>0</v>
      </c>
      <c r="JV224" s="712" t="str">
        <f t="shared" si="63"/>
        <v>ok</v>
      </c>
      <c r="JW224" s="712" t="str">
        <f t="shared" si="64"/>
        <v>ok</v>
      </c>
      <c r="JX224" s="6"/>
      <c r="JY224" s="6"/>
      <c r="JZ224" s="6"/>
      <c r="KA224" s="6"/>
      <c r="KB224" s="6"/>
      <c r="KC224" s="6"/>
      <c r="KD224" s="6"/>
      <c r="KE224" s="6"/>
      <c r="KF224" s="6">
        <v>1</v>
      </c>
      <c r="KG224" s="6"/>
      <c r="KH224" s="6"/>
      <c r="KI224" s="6"/>
      <c r="KJ224" s="770">
        <f t="shared" si="58"/>
        <v>1</v>
      </c>
      <c r="KK224" s="770">
        <f t="shared" si="58"/>
        <v>0</v>
      </c>
      <c r="KL224" s="712" t="str">
        <f t="shared" si="65"/>
        <v>ok</v>
      </c>
      <c r="KM224" s="712" t="str">
        <f t="shared" si="66"/>
        <v>ok</v>
      </c>
      <c r="KN224" s="6" t="s">
        <v>722</v>
      </c>
      <c r="KO224" s="1688"/>
      <c r="KP224" s="6"/>
      <c r="KQ224" s="6"/>
      <c r="KR224" s="6"/>
      <c r="KS224" s="6"/>
      <c r="KT224" s="6"/>
      <c r="KU224" s="6"/>
      <c r="KV224" s="6"/>
      <c r="KW224" s="6"/>
      <c r="KX224" s="6"/>
      <c r="KY224" s="6"/>
      <c r="KZ224" s="6">
        <v>1</v>
      </c>
      <c r="LA224" s="6"/>
      <c r="LB224" s="6"/>
      <c r="LC224" s="6"/>
      <c r="LD224" s="6"/>
      <c r="LE224" s="6"/>
      <c r="LF224" s="6"/>
      <c r="LG224" s="6"/>
      <c r="LH224" s="6"/>
      <c r="LI224" s="6"/>
      <c r="LJ224" s="6"/>
      <c r="LK224" s="6"/>
      <c r="LL224" s="6"/>
      <c r="LM224" s="6"/>
      <c r="LN224" s="766">
        <f t="shared" si="47"/>
        <v>1</v>
      </c>
      <c r="LO224" s="766">
        <f t="shared" si="47"/>
        <v>0</v>
      </c>
      <c r="LP224" s="6">
        <v>1</v>
      </c>
      <c r="LQ224" s="1689"/>
      <c r="LR224" s="6"/>
      <c r="LS224" s="6">
        <v>1</v>
      </c>
      <c r="LT224" s="712" t="str">
        <f t="shared" si="67"/>
        <v>OK</v>
      </c>
      <c r="LU224" s="6"/>
      <c r="LV224" s="6"/>
      <c r="LW224" s="6"/>
      <c r="LX224" s="1693">
        <v>3</v>
      </c>
      <c r="LY224" s="766" t="str">
        <f t="shared" si="50"/>
        <v>within the PROVINCE</v>
      </c>
      <c r="LZ224" s="124"/>
      <c r="MA224" s="1024"/>
      <c r="MB224" s="1024"/>
      <c r="MC224" s="1679">
        <f t="shared" si="41"/>
        <v>0</v>
      </c>
      <c r="MD224" s="1024"/>
      <c r="ME224" s="1024"/>
      <c r="MF224" s="1024">
        <v>15000</v>
      </c>
      <c r="MG224" s="1680">
        <f t="shared" si="68"/>
        <v>15000</v>
      </c>
      <c r="MH224" s="1690" t="s">
        <v>2232</v>
      </c>
      <c r="MI224" s="64">
        <v>4500</v>
      </c>
      <c r="MJ224" s="64">
        <v>1500</v>
      </c>
      <c r="MK224" s="64">
        <v>50</v>
      </c>
      <c r="ML224" s="64">
        <v>3000</v>
      </c>
      <c r="MM224" s="64"/>
      <c r="MN224" s="64"/>
      <c r="MO224" s="64">
        <v>80</v>
      </c>
      <c r="MP224" s="64"/>
      <c r="MQ224" s="64">
        <v>125</v>
      </c>
      <c r="MR224" s="64">
        <v>600</v>
      </c>
      <c r="MS224" s="64">
        <v>3000</v>
      </c>
      <c r="MT224" s="64"/>
      <c r="MU224" s="64"/>
      <c r="MV224" s="64"/>
      <c r="MW224" s="64"/>
      <c r="MX224" s="64"/>
      <c r="MY224" s="1682">
        <f t="shared" si="49"/>
        <v>12855</v>
      </c>
      <c r="MZ224" s="6" t="s">
        <v>1835</v>
      </c>
      <c r="NA224" s="6" t="s">
        <v>1249</v>
      </c>
      <c r="NB224" s="6" t="s">
        <v>13069</v>
      </c>
      <c r="NC224" s="6"/>
      <c r="ND224" s="6">
        <v>0</v>
      </c>
      <c r="NE224" s="6">
        <v>0</v>
      </c>
      <c r="NF224" s="6">
        <v>0</v>
      </c>
      <c r="NG224" s="6">
        <v>0</v>
      </c>
      <c r="NH224" s="6">
        <v>0</v>
      </c>
      <c r="NI224" s="6">
        <v>0</v>
      </c>
      <c r="NJ224" s="6">
        <v>0</v>
      </c>
      <c r="NK224" s="6">
        <v>0</v>
      </c>
      <c r="NL224" s="6">
        <v>0</v>
      </c>
      <c r="NM224" s="6">
        <v>0</v>
      </c>
      <c r="NN224" s="6">
        <v>0</v>
      </c>
      <c r="NO224" s="6">
        <v>0</v>
      </c>
      <c r="NP224" s="6">
        <v>0</v>
      </c>
      <c r="NQ224" s="6">
        <v>1</v>
      </c>
      <c r="NR224" s="6">
        <v>1</v>
      </c>
      <c r="NS224" s="6">
        <v>0</v>
      </c>
      <c r="NT224" s="6">
        <v>0</v>
      </c>
      <c r="NU224" s="6">
        <v>0</v>
      </c>
      <c r="NV224" s="6">
        <v>0</v>
      </c>
      <c r="NW224" s="6">
        <v>0</v>
      </c>
      <c r="NX224" s="6">
        <v>0</v>
      </c>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t="s">
        <v>1208</v>
      </c>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1019" t="s">
        <v>1207</v>
      </c>
      <c r="RC224" s="6"/>
      <c r="RD224" s="6" t="s">
        <v>13223</v>
      </c>
      <c r="RE224" s="6" t="s">
        <v>12999</v>
      </c>
      <c r="RF224" s="1026">
        <v>1</v>
      </c>
      <c r="RG224" s="6" t="s">
        <v>13267</v>
      </c>
      <c r="RH224" s="64">
        <v>2000</v>
      </c>
      <c r="RI224" s="6" t="s">
        <v>13312</v>
      </c>
      <c r="RJ224" s="6" t="s">
        <v>2167</v>
      </c>
      <c r="RK224" s="6"/>
      <c r="RL224" s="1691"/>
      <c r="RM224" s="1716"/>
      <c r="RN224" s="1716"/>
      <c r="RO224" s="1042" t="s">
        <v>376</v>
      </c>
      <c r="RP224" s="1699"/>
      <c r="RR224" s="1030" t="s">
        <v>7421</v>
      </c>
      <c r="RS224" s="1139" t="s">
        <v>12980</v>
      </c>
      <c r="RV224" s="6" t="s">
        <v>7421</v>
      </c>
      <c r="RW224" s="1020" t="s">
        <v>12251</v>
      </c>
      <c r="RX224" s="1020" t="s">
        <v>372</v>
      </c>
      <c r="RZ224" s="1020" t="s">
        <v>1101</v>
      </c>
      <c r="SA224" s="6"/>
    </row>
    <row r="225" spans="1:497" ht="12.75" customHeight="1">
      <c r="A225" s="767" t="s">
        <v>7421</v>
      </c>
      <c r="B225" s="292" t="s">
        <v>7589</v>
      </c>
      <c r="C225" s="148" t="s">
        <v>378</v>
      </c>
      <c r="D225" s="14" t="s">
        <v>379</v>
      </c>
      <c r="E225" s="766" t="s">
        <v>380</v>
      </c>
      <c r="F225" s="766" t="s">
        <v>28</v>
      </c>
      <c r="G225" s="766" t="s">
        <v>10</v>
      </c>
      <c r="H225" s="766"/>
      <c r="I225" s="5"/>
      <c r="J225" s="14" t="s">
        <v>379</v>
      </c>
      <c r="K225" s="766" t="s">
        <v>374</v>
      </c>
      <c r="L225" s="766" t="s">
        <v>375</v>
      </c>
      <c r="M225" s="766"/>
      <c r="N225" s="766"/>
      <c r="O225" s="766"/>
      <c r="P225" s="14" t="s">
        <v>910</v>
      </c>
      <c r="Q225" s="1085">
        <v>17115</v>
      </c>
      <c r="R225" s="25">
        <v>70</v>
      </c>
      <c r="S225" s="770" t="s">
        <v>10</v>
      </c>
      <c r="T225" s="766"/>
      <c r="U225" s="26"/>
      <c r="V225" s="766" t="s">
        <v>719</v>
      </c>
      <c r="W225" s="766"/>
      <c r="X225" s="24"/>
      <c r="Y225" s="766" t="s">
        <v>380</v>
      </c>
      <c r="Z225" s="766" t="s">
        <v>708</v>
      </c>
      <c r="AA225" s="766" t="s">
        <v>709</v>
      </c>
      <c r="AB225" s="766" t="s">
        <v>710</v>
      </c>
      <c r="AC225" s="766"/>
      <c r="AD225" s="766"/>
      <c r="AE225" s="766" t="s">
        <v>909</v>
      </c>
      <c r="AF225" s="766" t="s">
        <v>911</v>
      </c>
      <c r="AG225" s="766" t="s">
        <v>1165</v>
      </c>
      <c r="AH225" s="766" t="s">
        <v>1096</v>
      </c>
      <c r="AI225" s="766"/>
      <c r="AJ225" s="766" t="s">
        <v>427</v>
      </c>
      <c r="AK225" s="766" t="s">
        <v>1101</v>
      </c>
      <c r="AL225" s="773">
        <v>12</v>
      </c>
      <c r="AM225" s="772">
        <v>12</v>
      </c>
      <c r="AN225" s="774">
        <v>1</v>
      </c>
      <c r="AO225" s="766" t="s">
        <v>1122</v>
      </c>
      <c r="AP225" s="766"/>
      <c r="AQ225" s="766"/>
      <c r="AR225" s="766"/>
      <c r="AS225" s="766"/>
      <c r="AT225" s="766"/>
      <c r="AU225" s="766"/>
      <c r="AV225" s="766"/>
      <c r="AW225" s="766"/>
      <c r="AX225" s="766"/>
      <c r="AY225" s="766"/>
      <c r="AZ225" s="766"/>
      <c r="BA225" s="766"/>
      <c r="BB225" s="766"/>
      <c r="BC225" s="766"/>
      <c r="BD225" s="766"/>
      <c r="BE225" s="766"/>
      <c r="BF225" s="775"/>
      <c r="BG225" s="775"/>
      <c r="BH225" s="766"/>
      <c r="BI225" s="766"/>
      <c r="BJ225" s="766"/>
      <c r="BK225" s="766" t="s">
        <v>1095</v>
      </c>
      <c r="BL225" s="766" t="s">
        <v>1336</v>
      </c>
      <c r="BM225" s="766" t="s">
        <v>1096</v>
      </c>
      <c r="BN225" s="766" t="s">
        <v>1230</v>
      </c>
      <c r="BO225" s="766" t="s">
        <v>1333</v>
      </c>
      <c r="BP225" s="1111">
        <v>12</v>
      </c>
      <c r="BQ225" s="772">
        <v>12</v>
      </c>
      <c r="BR225" s="774">
        <f t="shared" si="61"/>
        <v>1</v>
      </c>
      <c r="BS225" s="766" t="s">
        <v>1257</v>
      </c>
      <c r="BT225" s="766" t="s">
        <v>1326</v>
      </c>
      <c r="BU225" s="766"/>
      <c r="BV225" s="766" t="s">
        <v>1349</v>
      </c>
      <c r="BW225" s="766">
        <v>2002</v>
      </c>
      <c r="BX225" s="775">
        <v>25000</v>
      </c>
      <c r="BY225" s="766"/>
      <c r="BZ225" s="775"/>
      <c r="CA225" s="766"/>
      <c r="CB225" s="766" t="s">
        <v>1207</v>
      </c>
      <c r="CC225" s="766"/>
      <c r="CD225" s="766"/>
      <c r="CE225" s="766"/>
      <c r="CF225" s="777"/>
      <c r="CG225" s="231"/>
      <c r="CH225" s="766"/>
      <c r="CI225" s="766"/>
      <c r="CJ225" s="766"/>
      <c r="CK225" s="766"/>
      <c r="CL225" s="766"/>
      <c r="CM225" s="766"/>
      <c r="CN225" s="766"/>
      <c r="CO225" s="766"/>
      <c r="CP225" s="766"/>
      <c r="CQ225" s="766"/>
      <c r="CR225" s="775"/>
      <c r="CS225" s="766"/>
      <c r="CT225" s="766"/>
      <c r="CU225" s="129"/>
      <c r="CV225" s="766"/>
      <c r="CW225" s="766"/>
      <c r="CX225" s="766"/>
      <c r="CY225" s="766"/>
      <c r="CZ225" s="766"/>
      <c r="DA225" s="66"/>
      <c r="DB225" s="766"/>
      <c r="DC225" s="766"/>
      <c r="DD225" s="766"/>
      <c r="DE225" s="772"/>
      <c r="DF225" s="766"/>
      <c r="DG225" s="766"/>
      <c r="DH225" s="766" t="s">
        <v>1504</v>
      </c>
      <c r="DI225" s="766"/>
      <c r="DJ225" s="766">
        <v>7000</v>
      </c>
      <c r="DK225" s="766"/>
      <c r="DL225" s="770"/>
      <c r="DM225" s="766" t="s">
        <v>1505</v>
      </c>
      <c r="DN225" s="44"/>
      <c r="DO225" s="766"/>
      <c r="DP225" s="766" t="s">
        <v>1257</v>
      </c>
      <c r="DQ225" s="766"/>
      <c r="DR225" s="766"/>
      <c r="DS225" s="59"/>
      <c r="DT225" s="766"/>
      <c r="DU225" s="766"/>
      <c r="DV225" s="766"/>
      <c r="DW225" s="66"/>
      <c r="DX225" s="66"/>
      <c r="DY225" s="766"/>
      <c r="DZ225" s="766"/>
      <c r="EA225" s="766"/>
      <c r="EB225" s="766"/>
      <c r="EC225" s="766"/>
      <c r="ED225" s="766"/>
      <c r="EE225" s="766"/>
      <c r="EF225" s="766"/>
      <c r="EG225" s="766"/>
      <c r="EH225" s="766"/>
      <c r="EI225" s="766"/>
      <c r="EJ225" s="766"/>
      <c r="EK225" s="766"/>
      <c r="EL225" s="766"/>
      <c r="EM225" s="766"/>
      <c r="EN225" s="766"/>
      <c r="EO225" s="766"/>
      <c r="EP225" s="14"/>
      <c r="EQ225" s="766"/>
      <c r="ER225" s="766"/>
      <c r="ES225" s="766"/>
      <c r="ET225" s="766"/>
      <c r="EU225" s="766"/>
      <c r="EV225" s="766"/>
      <c r="EW225" s="766"/>
      <c r="EX225" s="766"/>
      <c r="EY225" s="766"/>
      <c r="EZ225" s="766" t="s">
        <v>3090</v>
      </c>
      <c r="FA225" s="766" t="s">
        <v>3089</v>
      </c>
      <c r="FB225" s="766" t="s">
        <v>110</v>
      </c>
      <c r="FC225" s="766" t="s">
        <v>110</v>
      </c>
      <c r="FD225" s="775">
        <v>7000</v>
      </c>
      <c r="FE225" s="766" t="s">
        <v>1506</v>
      </c>
      <c r="FF225" s="766"/>
      <c r="FG225" s="766"/>
      <c r="FH225" s="766" t="s">
        <v>478</v>
      </c>
      <c r="FI225" s="766">
        <v>1</v>
      </c>
      <c r="FJ225" s="766"/>
      <c r="FK225" s="766"/>
      <c r="FL225" s="766"/>
      <c r="FM225" s="775"/>
      <c r="FN225" s="775"/>
      <c r="FO225" s="775"/>
      <c r="FP225" s="766" t="s">
        <v>1602</v>
      </c>
      <c r="FQ225" s="766" t="s">
        <v>1660</v>
      </c>
      <c r="FR225" s="766"/>
      <c r="FS225" s="766"/>
      <c r="FT225" s="766"/>
      <c r="FU225" s="766"/>
      <c r="FV225" s="766"/>
      <c r="FW225" s="766"/>
      <c r="FX225" s="766"/>
      <c r="FY225" s="766"/>
      <c r="FZ225" s="766"/>
      <c r="GA225" s="766"/>
      <c r="GB225" s="766" t="s">
        <v>1734</v>
      </c>
      <c r="GC225" s="75" t="s">
        <v>427</v>
      </c>
      <c r="GD225" s="25"/>
      <c r="GE225" s="766" t="s">
        <v>1698</v>
      </c>
      <c r="GF225" s="775"/>
      <c r="GG225" s="775"/>
      <c r="GH225" s="712" t="s">
        <v>14260</v>
      </c>
      <c r="GI225" s="766"/>
      <c r="GJ225" s="766"/>
      <c r="GK225" s="766"/>
      <c r="GL225" s="766"/>
      <c r="GM225" s="766"/>
      <c r="GN225" s="82"/>
      <c r="GO225" s="766"/>
      <c r="GP225" s="766"/>
      <c r="GQ225" s="766"/>
      <c r="GR225" s="766"/>
      <c r="GS225" s="766"/>
      <c r="GT225" s="766"/>
      <c r="GU225" s="766"/>
      <c r="GV225" s="766"/>
      <c r="GW225" s="766"/>
      <c r="GX225" s="766"/>
      <c r="GY225" s="766"/>
      <c r="GZ225" s="766"/>
      <c r="HA225" s="766"/>
      <c r="HB225" s="766"/>
      <c r="HC225" s="766"/>
      <c r="HD225" s="766"/>
      <c r="HE225" s="766"/>
      <c r="HF225" s="766"/>
      <c r="HG225" s="766"/>
      <c r="HH225" s="766"/>
      <c r="HI225" s="766"/>
      <c r="HJ225" s="766"/>
      <c r="HK225" s="766"/>
      <c r="HL225" s="766"/>
      <c r="HM225" s="766"/>
      <c r="HN225" s="766"/>
      <c r="HO225" s="766"/>
      <c r="HP225" s="766"/>
      <c r="HQ225" s="766"/>
      <c r="HR225" s="766"/>
      <c r="HS225" s="766"/>
      <c r="HT225" s="766"/>
      <c r="HU225" s="766"/>
      <c r="HV225" s="766"/>
      <c r="HW225" s="766"/>
      <c r="HX225" s="766"/>
      <c r="HY225" s="766"/>
      <c r="HZ225" s="766"/>
      <c r="IA225" s="766"/>
      <c r="IB225" s="14" t="e">
        <f>IF(#REF!&gt;0,IF(#REF!&lt;=10000,"Y",""),"")</f>
        <v>#REF!</v>
      </c>
      <c r="IC225" s="14"/>
      <c r="ID225" s="14">
        <v>1</v>
      </c>
      <c r="IE225" s="14"/>
      <c r="IF225" s="766"/>
      <c r="IG225" s="766"/>
      <c r="IH225" s="766"/>
      <c r="II225" s="766"/>
      <c r="IJ225" s="766"/>
      <c r="IK225" s="766"/>
      <c r="IL225" s="766"/>
      <c r="IM225" s="766"/>
      <c r="IN225" s="766"/>
      <c r="IO225" s="24"/>
      <c r="IP225" s="766"/>
      <c r="IQ225" s="766"/>
      <c r="IR225" s="770"/>
      <c r="IS225" s="766"/>
      <c r="IT225" s="766"/>
      <c r="IU225" s="766"/>
      <c r="IV225" s="766"/>
      <c r="IW225" s="766"/>
      <c r="IX225" s="766"/>
      <c r="IY225" s="766"/>
      <c r="IZ225" s="766"/>
      <c r="JA225" s="766"/>
      <c r="JB225" s="766"/>
      <c r="JC225" s="766"/>
      <c r="JD225" s="775"/>
      <c r="JE225" s="766"/>
      <c r="JF225" s="766"/>
      <c r="JG225" s="766"/>
      <c r="JH225" s="766"/>
      <c r="JI225" s="712" t="str">
        <f t="shared" si="62"/>
        <v>ok</v>
      </c>
      <c r="JJ225" s="766">
        <v>1</v>
      </c>
      <c r="JK225" s="1139" t="s">
        <v>2082</v>
      </c>
      <c r="JL225" s="766"/>
      <c r="JM225" s="766"/>
      <c r="JN225" s="766"/>
      <c r="JO225" s="766"/>
      <c r="JP225" s="766">
        <v>1</v>
      </c>
      <c r="JQ225" s="766"/>
      <c r="JR225" s="766"/>
      <c r="JS225" s="766"/>
      <c r="JT225" s="766">
        <f t="shared" si="69"/>
        <v>1</v>
      </c>
      <c r="JU225" s="766">
        <f t="shared" si="69"/>
        <v>0</v>
      </c>
      <c r="JV225" s="712" t="str">
        <f t="shared" si="63"/>
        <v>ok</v>
      </c>
      <c r="JW225" s="712" t="str">
        <f t="shared" si="64"/>
        <v>ok</v>
      </c>
      <c r="JX225" s="766"/>
      <c r="JY225" s="766"/>
      <c r="JZ225" s="766"/>
      <c r="KA225" s="766"/>
      <c r="KB225" s="766"/>
      <c r="KC225" s="766"/>
      <c r="KD225" s="766"/>
      <c r="KE225" s="766"/>
      <c r="KF225" s="766">
        <v>1</v>
      </c>
      <c r="KG225" s="766"/>
      <c r="KH225" s="766"/>
      <c r="KI225" s="766"/>
      <c r="KJ225" s="770">
        <f t="shared" si="58"/>
        <v>1</v>
      </c>
      <c r="KK225" s="770">
        <f t="shared" si="58"/>
        <v>0</v>
      </c>
      <c r="KL225" s="712" t="str">
        <f t="shared" si="65"/>
        <v>ok</v>
      </c>
      <c r="KM225" s="712" t="str">
        <f t="shared" si="66"/>
        <v>ok</v>
      </c>
      <c r="KN225" s="766" t="s">
        <v>719</v>
      </c>
      <c r="KO225" s="28"/>
      <c r="KP225" s="766"/>
      <c r="KQ225" s="766"/>
      <c r="KR225" s="766"/>
      <c r="KS225" s="766"/>
      <c r="KT225" s="766">
        <v>1</v>
      </c>
      <c r="KU225" s="766"/>
      <c r="KV225" s="766"/>
      <c r="KW225" s="766"/>
      <c r="KX225" s="766"/>
      <c r="KY225" s="766"/>
      <c r="KZ225" s="766"/>
      <c r="LA225" s="766"/>
      <c r="LB225" s="766"/>
      <c r="LC225" s="766"/>
      <c r="LD225" s="766"/>
      <c r="LE225" s="766"/>
      <c r="LF225" s="766"/>
      <c r="LG225" s="766"/>
      <c r="LH225" s="766"/>
      <c r="LI225" s="766"/>
      <c r="LJ225" s="766"/>
      <c r="LK225" s="766"/>
      <c r="LL225" s="766"/>
      <c r="LM225" s="766"/>
      <c r="LN225" s="766">
        <f t="shared" si="47"/>
        <v>1</v>
      </c>
      <c r="LO225" s="766">
        <f t="shared" si="47"/>
        <v>0</v>
      </c>
      <c r="LP225" s="766">
        <v>1</v>
      </c>
      <c r="LQ225" s="766"/>
      <c r="LR225" s="766"/>
      <c r="LS225" s="766">
        <v>1</v>
      </c>
      <c r="LT225" s="712" t="str">
        <f t="shared" si="67"/>
        <v>OK</v>
      </c>
      <c r="LU225" s="766"/>
      <c r="LV225" s="766"/>
      <c r="LW225" s="766"/>
      <c r="LX225" s="769">
        <v>2</v>
      </c>
      <c r="LY225" s="766" t="str">
        <f t="shared" si="50"/>
        <v>within the MUNICIPALITY</v>
      </c>
      <c r="LZ225" s="121"/>
      <c r="MA225" s="66"/>
      <c r="MB225" s="66"/>
      <c r="MC225" s="1679">
        <f t="shared" si="41"/>
        <v>0</v>
      </c>
      <c r="MD225" s="66"/>
      <c r="ME225" s="66"/>
      <c r="MF225" s="66">
        <f>SUM(1000,200,30*30)</f>
        <v>2100</v>
      </c>
      <c r="MG225" s="1680">
        <f t="shared" si="68"/>
        <v>2100</v>
      </c>
      <c r="MH225" s="766" t="s">
        <v>13313</v>
      </c>
      <c r="MI225" s="775">
        <f>PRODUCT(80,4)</f>
        <v>320</v>
      </c>
      <c r="MJ225" s="775"/>
      <c r="MK225" s="775"/>
      <c r="ML225" s="775"/>
      <c r="MM225" s="775"/>
      <c r="MN225" s="775"/>
      <c r="MO225" s="775"/>
      <c r="MP225" s="775"/>
      <c r="MQ225" s="775"/>
      <c r="MR225" s="775"/>
      <c r="MS225" s="775"/>
      <c r="MT225" s="775"/>
      <c r="MU225" s="775"/>
      <c r="MV225" s="775"/>
      <c r="MW225" s="775"/>
      <c r="MX225" s="775"/>
      <c r="MY225" s="1682">
        <f t="shared" si="49"/>
        <v>320</v>
      </c>
      <c r="MZ225" s="766" t="s">
        <v>13068</v>
      </c>
      <c r="NA225" s="766" t="s">
        <v>13230</v>
      </c>
      <c r="NB225" s="766" t="s">
        <v>13069</v>
      </c>
      <c r="NC225" s="766" t="s">
        <v>13158</v>
      </c>
      <c r="ND225" s="766">
        <v>0</v>
      </c>
      <c r="NE225" s="766">
        <v>0</v>
      </c>
      <c r="NF225" s="766">
        <v>0</v>
      </c>
      <c r="NG225" s="766">
        <v>0</v>
      </c>
      <c r="NH225" s="766">
        <v>0</v>
      </c>
      <c r="NI225" s="766">
        <v>0</v>
      </c>
      <c r="NJ225" s="766">
        <v>0</v>
      </c>
      <c r="NK225" s="766">
        <v>0</v>
      </c>
      <c r="NL225" s="766">
        <v>0</v>
      </c>
      <c r="NM225" s="766">
        <v>0</v>
      </c>
      <c r="NN225" s="766">
        <v>0</v>
      </c>
      <c r="NO225" s="766">
        <v>0</v>
      </c>
      <c r="NP225" s="766">
        <v>0</v>
      </c>
      <c r="NQ225" s="766">
        <v>0</v>
      </c>
      <c r="NR225" s="766">
        <v>0</v>
      </c>
      <c r="NS225" s="766">
        <v>0</v>
      </c>
      <c r="NT225" s="766">
        <v>0</v>
      </c>
      <c r="NU225" s="766">
        <v>0</v>
      </c>
      <c r="NV225" s="766">
        <v>0</v>
      </c>
      <c r="NW225" s="766">
        <v>0</v>
      </c>
      <c r="NX225" s="766">
        <v>0</v>
      </c>
      <c r="NY225" s="766"/>
      <c r="NZ225" s="766"/>
      <c r="OA225" s="766"/>
      <c r="OB225" s="766"/>
      <c r="OC225" s="766"/>
      <c r="OD225" s="766"/>
      <c r="OE225" s="766"/>
      <c r="OF225" s="766" t="s">
        <v>2143</v>
      </c>
      <c r="OG225" s="766"/>
      <c r="OH225" s="766"/>
      <c r="OI225" s="766"/>
      <c r="OJ225" s="766"/>
      <c r="OK225" s="766"/>
      <c r="OL225" s="766" t="s">
        <v>1824</v>
      </c>
      <c r="OM225" s="766" t="s">
        <v>13314</v>
      </c>
      <c r="ON225" s="766" t="s">
        <v>13315</v>
      </c>
      <c r="OO225" s="766" t="s">
        <v>1214</v>
      </c>
      <c r="OP225" s="766"/>
      <c r="OQ225" s="766"/>
      <c r="OR225" s="766"/>
      <c r="OS225" s="766"/>
      <c r="OT225" s="766"/>
      <c r="OU225" s="766"/>
      <c r="OV225" s="766"/>
      <c r="OW225" s="766"/>
      <c r="OX225" s="766"/>
      <c r="OY225" s="766"/>
      <c r="OZ225" s="766"/>
      <c r="PA225" s="766"/>
      <c r="PB225" s="766"/>
      <c r="PC225" s="766"/>
      <c r="PD225" s="766"/>
      <c r="PE225" s="766"/>
      <c r="PF225" s="766"/>
      <c r="PG225" s="766"/>
      <c r="PH225" s="766"/>
      <c r="PI225" s="766"/>
      <c r="PJ225" s="766"/>
      <c r="PK225" s="766" t="s">
        <v>1208</v>
      </c>
      <c r="PL225" s="766"/>
      <c r="PM225" s="766"/>
      <c r="PN225" s="766"/>
      <c r="PO225" s="766"/>
      <c r="PP225" s="766"/>
      <c r="PQ225" s="766"/>
      <c r="PR225" s="766"/>
      <c r="PS225" s="766" t="s">
        <v>1208</v>
      </c>
      <c r="PT225" s="766"/>
      <c r="PU225" s="766"/>
      <c r="PV225" s="766"/>
      <c r="PW225" s="766"/>
      <c r="PX225" s="766"/>
      <c r="PY225" s="766"/>
      <c r="PZ225" s="766"/>
      <c r="QA225" s="766"/>
      <c r="QB225" s="766"/>
      <c r="QC225" s="766"/>
      <c r="QD225" s="766"/>
      <c r="QE225" s="766"/>
      <c r="QF225" s="766"/>
      <c r="QG225" s="766"/>
      <c r="QH225" s="766"/>
      <c r="QI225" s="766"/>
      <c r="QJ225" s="766"/>
      <c r="QK225" s="766"/>
      <c r="QL225" s="766"/>
      <c r="QM225" s="766"/>
      <c r="QN225" s="766"/>
      <c r="QO225" s="766"/>
      <c r="QP225" s="766"/>
      <c r="QQ225" s="766"/>
      <c r="QR225" s="766"/>
      <c r="QS225" s="766"/>
      <c r="QT225" s="766"/>
      <c r="QU225" s="766"/>
      <c r="QV225" s="766"/>
      <c r="QW225" s="766"/>
      <c r="QX225" s="766"/>
      <c r="QY225" s="766"/>
      <c r="QZ225" s="766"/>
      <c r="RA225" s="766"/>
      <c r="RB225" s="770" t="s">
        <v>1207</v>
      </c>
      <c r="RC225" s="766">
        <v>2014</v>
      </c>
      <c r="RD225" s="766" t="s">
        <v>13223</v>
      </c>
      <c r="RE225" s="6" t="s">
        <v>12990</v>
      </c>
      <c r="RF225" s="777">
        <v>1</v>
      </c>
      <c r="RG225" s="766" t="s">
        <v>13267</v>
      </c>
      <c r="RH225" s="775">
        <v>5000</v>
      </c>
      <c r="RI225" s="766" t="s">
        <v>13001</v>
      </c>
      <c r="RJ225" s="766" t="s">
        <v>13316</v>
      </c>
      <c r="RK225" s="766" t="s">
        <v>13206</v>
      </c>
      <c r="RL225" s="1683"/>
      <c r="RM225" s="12"/>
      <c r="RN225" s="1711"/>
      <c r="RO225" s="148" t="s">
        <v>378</v>
      </c>
      <c r="RP225" s="11"/>
      <c r="RQ225" s="11"/>
      <c r="RR225" s="19" t="s">
        <v>7421</v>
      </c>
      <c r="RS225" s="1139" t="s">
        <v>12980</v>
      </c>
      <c r="RT225" s="11"/>
      <c r="RU225" s="11"/>
      <c r="RV225" s="766" t="s">
        <v>7421</v>
      </c>
      <c r="RW225" s="11" t="s">
        <v>12253</v>
      </c>
      <c r="RX225" s="11" t="s">
        <v>373</v>
      </c>
      <c r="RY225" s="11"/>
      <c r="RZ225" s="1020" t="s">
        <v>1101</v>
      </c>
      <c r="SA225" s="766"/>
      <c r="SB225" s="11"/>
      <c r="SC225" s="11"/>
    </row>
    <row r="226" spans="1:497" ht="12.75" customHeight="1">
      <c r="A226" s="767" t="s">
        <v>7421</v>
      </c>
      <c r="B226" s="292" t="s">
        <v>7590</v>
      </c>
      <c r="C226" s="148" t="s">
        <v>381</v>
      </c>
      <c r="D226" s="14" t="s">
        <v>382</v>
      </c>
      <c r="E226" s="766" t="s">
        <v>380</v>
      </c>
      <c r="F226" s="766" t="s">
        <v>28</v>
      </c>
      <c r="G226" s="766" t="s">
        <v>10</v>
      </c>
      <c r="H226" s="766"/>
      <c r="I226" s="5" t="s">
        <v>383</v>
      </c>
      <c r="J226" s="14" t="s">
        <v>382</v>
      </c>
      <c r="K226" s="766" t="s">
        <v>374</v>
      </c>
      <c r="L226" s="766" t="s">
        <v>375</v>
      </c>
      <c r="M226" s="766"/>
      <c r="N226" s="766"/>
      <c r="O226" s="766"/>
      <c r="P226" s="14" t="s">
        <v>382</v>
      </c>
      <c r="Q226" s="1085">
        <v>27644</v>
      </c>
      <c r="R226" s="25">
        <v>41</v>
      </c>
      <c r="S226" s="770" t="s">
        <v>10</v>
      </c>
      <c r="T226" s="766"/>
      <c r="U226" s="26" t="s">
        <v>383</v>
      </c>
      <c r="V226" s="766" t="s">
        <v>722</v>
      </c>
      <c r="W226" s="766"/>
      <c r="X226" s="24"/>
      <c r="Y226" s="766" t="s">
        <v>380</v>
      </c>
      <c r="Z226" s="766" t="s">
        <v>708</v>
      </c>
      <c r="AA226" s="766" t="s">
        <v>912</v>
      </c>
      <c r="AB226" s="766" t="s">
        <v>710</v>
      </c>
      <c r="AC226" s="766" t="s">
        <v>724</v>
      </c>
      <c r="AD226" s="766"/>
      <c r="AE226" s="766"/>
      <c r="AF226" s="766" t="s">
        <v>798</v>
      </c>
      <c r="AG226" s="766" t="s">
        <v>1165</v>
      </c>
      <c r="AH226" s="766" t="s">
        <v>1096</v>
      </c>
      <c r="AI226" s="766"/>
      <c r="AJ226" s="766" t="s">
        <v>427</v>
      </c>
      <c r="AK226" s="766" t="s">
        <v>1101</v>
      </c>
      <c r="AL226" s="773">
        <v>9</v>
      </c>
      <c r="AM226" s="772">
        <v>9</v>
      </c>
      <c r="AN226" s="774">
        <v>1</v>
      </c>
      <c r="AO226" s="766" t="s">
        <v>1122</v>
      </c>
      <c r="AP226" s="766"/>
      <c r="AQ226" s="766"/>
      <c r="AR226" s="766"/>
      <c r="AS226" s="766"/>
      <c r="AT226" s="766"/>
      <c r="AU226" s="766"/>
      <c r="AV226" s="766"/>
      <c r="AW226" s="766"/>
      <c r="AX226" s="766"/>
      <c r="AY226" s="766"/>
      <c r="AZ226" s="766"/>
      <c r="BA226" s="766"/>
      <c r="BB226" s="766"/>
      <c r="BC226" s="766"/>
      <c r="BD226" s="766"/>
      <c r="BE226" s="766"/>
      <c r="BF226" s="775"/>
      <c r="BG226" s="775"/>
      <c r="BH226" s="766"/>
      <c r="BI226" s="766"/>
      <c r="BJ226" s="766"/>
      <c r="BK226" s="766" t="s">
        <v>1095</v>
      </c>
      <c r="BL226" s="766" t="s">
        <v>1337</v>
      </c>
      <c r="BM226" s="766" t="s">
        <v>1096</v>
      </c>
      <c r="BN226" s="766" t="s">
        <v>1230</v>
      </c>
      <c r="BO226" s="766" t="s">
        <v>1333</v>
      </c>
      <c r="BP226" s="1111">
        <v>9</v>
      </c>
      <c r="BQ226" s="772">
        <v>9</v>
      </c>
      <c r="BR226" s="774">
        <f t="shared" si="61"/>
        <v>1</v>
      </c>
      <c r="BS226" s="766" t="s">
        <v>1257</v>
      </c>
      <c r="BT226" s="766" t="s">
        <v>1326</v>
      </c>
      <c r="BU226" s="766" t="s">
        <v>1288</v>
      </c>
      <c r="BV226" s="766" t="s">
        <v>1349</v>
      </c>
      <c r="BW226" s="766">
        <v>2002</v>
      </c>
      <c r="BX226" s="775"/>
      <c r="BY226" s="766"/>
      <c r="BZ226" s="775"/>
      <c r="CA226" s="766"/>
      <c r="CB226" s="766"/>
      <c r="CC226" s="766"/>
      <c r="CD226" s="766"/>
      <c r="CE226" s="766"/>
      <c r="CF226" s="777"/>
      <c r="CG226" s="231"/>
      <c r="CH226" s="766"/>
      <c r="CI226" s="766"/>
      <c r="CJ226" s="766"/>
      <c r="CK226" s="766"/>
      <c r="CL226" s="766"/>
      <c r="CM226" s="766"/>
      <c r="CN226" s="766"/>
      <c r="CO226" s="766"/>
      <c r="CP226" s="766"/>
      <c r="CQ226" s="766"/>
      <c r="CR226" s="775"/>
      <c r="CS226" s="766"/>
      <c r="CT226" s="766"/>
      <c r="CU226" s="129"/>
      <c r="CV226" s="766"/>
      <c r="CW226" s="766"/>
      <c r="CX226" s="766"/>
      <c r="CY226" s="766"/>
      <c r="CZ226" s="766"/>
      <c r="DA226" s="66"/>
      <c r="DB226" s="766"/>
      <c r="DC226" s="766"/>
      <c r="DD226" s="766"/>
      <c r="DE226" s="772"/>
      <c r="DF226" s="766"/>
      <c r="DG226" s="766"/>
      <c r="DH226" s="766"/>
      <c r="DI226" s="766"/>
      <c r="DJ226" s="766"/>
      <c r="DK226" s="766"/>
      <c r="DL226" s="766"/>
      <c r="DM226" s="766"/>
      <c r="DN226" s="44"/>
      <c r="DO226" s="766"/>
      <c r="DP226" s="766"/>
      <c r="DQ226" s="766"/>
      <c r="DR226" s="766"/>
      <c r="DS226" s="59"/>
      <c r="DT226" s="766"/>
      <c r="DU226" s="766"/>
      <c r="DV226" s="766"/>
      <c r="DW226" s="66"/>
      <c r="DX226" s="66"/>
      <c r="DY226" s="766"/>
      <c r="DZ226" s="766"/>
      <c r="EA226" s="766"/>
      <c r="EB226" s="766"/>
      <c r="EC226" s="766"/>
      <c r="ED226" s="766"/>
      <c r="EE226" s="766"/>
      <c r="EF226" s="766"/>
      <c r="EG226" s="766"/>
      <c r="EH226" s="766"/>
      <c r="EI226" s="766"/>
      <c r="EJ226" s="766"/>
      <c r="EK226" s="766"/>
      <c r="EL226" s="766"/>
      <c r="EM226" s="766"/>
      <c r="EN226" s="766"/>
      <c r="EO226" s="766"/>
      <c r="EP226" s="14"/>
      <c r="EQ226" s="766"/>
      <c r="ER226" s="766"/>
      <c r="ES226" s="766"/>
      <c r="ET226" s="766"/>
      <c r="EU226" s="766"/>
      <c r="EV226" s="766"/>
      <c r="EW226" s="766"/>
      <c r="EX226" s="766"/>
      <c r="EY226" s="766"/>
      <c r="EZ226" s="766"/>
      <c r="FA226" s="766"/>
      <c r="FB226" s="766"/>
      <c r="FC226" s="766"/>
      <c r="FD226" s="775"/>
      <c r="FE226" s="766"/>
      <c r="FF226" s="766"/>
      <c r="FG226" s="766"/>
      <c r="FH226" s="766" t="s">
        <v>478</v>
      </c>
      <c r="FI226" s="766">
        <v>1</v>
      </c>
      <c r="FJ226" s="766"/>
      <c r="FK226" s="766"/>
      <c r="FL226" s="766"/>
      <c r="FM226" s="775"/>
      <c r="FN226" s="775"/>
      <c r="FO226" s="775"/>
      <c r="FP226" s="766" t="s">
        <v>1602</v>
      </c>
      <c r="FQ226" s="766" t="s">
        <v>1660</v>
      </c>
      <c r="FR226" s="766"/>
      <c r="FS226" s="766"/>
      <c r="FT226" s="766"/>
      <c r="FU226" s="766"/>
      <c r="FV226" s="766"/>
      <c r="FW226" s="766"/>
      <c r="FX226" s="766"/>
      <c r="FY226" s="766"/>
      <c r="FZ226" s="766"/>
      <c r="GA226" s="766"/>
      <c r="GB226" s="766"/>
      <c r="GC226" s="75"/>
      <c r="GD226" s="25"/>
      <c r="GE226" s="766"/>
      <c r="GF226" s="775"/>
      <c r="GG226" s="775"/>
      <c r="GH226" s="712" t="s">
        <v>14260</v>
      </c>
      <c r="GI226" s="766"/>
      <c r="GJ226" s="766"/>
      <c r="GK226" s="766"/>
      <c r="GL226" s="766"/>
      <c r="GM226" s="766"/>
      <c r="GN226" s="82"/>
      <c r="GO226" s="766"/>
      <c r="GP226" s="766"/>
      <c r="GQ226" s="766"/>
      <c r="GR226" s="766"/>
      <c r="GS226" s="766"/>
      <c r="GT226" s="766"/>
      <c r="GU226" s="766"/>
      <c r="GV226" s="766"/>
      <c r="GW226" s="766"/>
      <c r="GX226" s="766"/>
      <c r="GY226" s="766"/>
      <c r="GZ226" s="766"/>
      <c r="HA226" s="766"/>
      <c r="HB226" s="766"/>
      <c r="HC226" s="766"/>
      <c r="HD226" s="766"/>
      <c r="HE226" s="766"/>
      <c r="HF226" s="766"/>
      <c r="HG226" s="766"/>
      <c r="HH226" s="766"/>
      <c r="HI226" s="766"/>
      <c r="HJ226" s="766"/>
      <c r="HK226" s="766"/>
      <c r="HL226" s="766" t="s">
        <v>1207</v>
      </c>
      <c r="HM226" s="766"/>
      <c r="HN226" s="766"/>
      <c r="HO226" s="766"/>
      <c r="HP226" s="766"/>
      <c r="HQ226" s="766"/>
      <c r="HR226" s="766"/>
      <c r="HS226" s="766"/>
      <c r="HT226" s="766"/>
      <c r="HU226" s="766"/>
      <c r="HV226" s="766"/>
      <c r="HW226" s="766"/>
      <c r="HX226" s="766"/>
      <c r="HY226" s="766"/>
      <c r="HZ226" s="766"/>
      <c r="IA226" s="766"/>
      <c r="IB226" s="14" t="e">
        <f>IF(#REF!&gt;0,IF(#REF!&lt;=10000,"Y",""),"")</f>
        <v>#REF!</v>
      </c>
      <c r="IC226" s="14"/>
      <c r="ID226" s="14"/>
      <c r="IE226" s="14"/>
      <c r="IF226" s="766"/>
      <c r="IG226" s="766"/>
      <c r="IH226" s="766"/>
      <c r="II226" s="766"/>
      <c r="IJ226" s="766"/>
      <c r="IK226" s="766"/>
      <c r="IL226" s="766"/>
      <c r="IM226" s="766"/>
      <c r="IN226" s="766"/>
      <c r="IO226" s="24"/>
      <c r="IP226" s="766"/>
      <c r="IQ226" s="766"/>
      <c r="IR226" s="766"/>
      <c r="IS226" s="766"/>
      <c r="IT226" s="766"/>
      <c r="IU226" s="766"/>
      <c r="IV226" s="766"/>
      <c r="IW226" s="766"/>
      <c r="IX226" s="766"/>
      <c r="IY226" s="766"/>
      <c r="IZ226" s="766"/>
      <c r="JA226" s="766"/>
      <c r="JB226" s="766"/>
      <c r="JC226" s="766"/>
      <c r="JD226" s="775"/>
      <c r="JE226" s="766"/>
      <c r="JF226" s="766"/>
      <c r="JG226" s="766"/>
      <c r="JH226" s="766"/>
      <c r="JI226" s="712" t="str">
        <f t="shared" si="62"/>
        <v>ok</v>
      </c>
      <c r="JJ226" s="766">
        <v>2</v>
      </c>
      <c r="JK226" s="1139" t="s">
        <v>382</v>
      </c>
      <c r="JL226" s="766"/>
      <c r="JM226" s="766"/>
      <c r="JN226" s="766">
        <v>1</v>
      </c>
      <c r="JO226" s="766">
        <v>1</v>
      </c>
      <c r="JP226" s="766"/>
      <c r="JQ226" s="766"/>
      <c r="JR226" s="766"/>
      <c r="JS226" s="766"/>
      <c r="JT226" s="766">
        <f t="shared" si="69"/>
        <v>1</v>
      </c>
      <c r="JU226" s="766">
        <f t="shared" si="69"/>
        <v>1</v>
      </c>
      <c r="JV226" s="712" t="str">
        <f t="shared" si="63"/>
        <v>ok</v>
      </c>
      <c r="JW226" s="712" t="str">
        <f t="shared" si="64"/>
        <v>ok</v>
      </c>
      <c r="JX226" s="766"/>
      <c r="JY226" s="766"/>
      <c r="JZ226" s="766"/>
      <c r="KA226" s="766"/>
      <c r="KB226" s="766"/>
      <c r="KC226" s="766"/>
      <c r="KD226" s="766">
        <v>1</v>
      </c>
      <c r="KE226" s="766">
        <v>1</v>
      </c>
      <c r="KF226" s="766"/>
      <c r="KG226" s="766"/>
      <c r="KH226" s="766"/>
      <c r="KI226" s="766"/>
      <c r="KJ226" s="770">
        <f t="shared" si="58"/>
        <v>1</v>
      </c>
      <c r="KK226" s="770">
        <f t="shared" si="58"/>
        <v>1</v>
      </c>
      <c r="KL226" s="712" t="str">
        <f t="shared" si="65"/>
        <v>ok</v>
      </c>
      <c r="KM226" s="712" t="str">
        <f t="shared" si="66"/>
        <v>ok</v>
      </c>
      <c r="KN226" s="766" t="s">
        <v>722</v>
      </c>
      <c r="KO226" s="28"/>
      <c r="KP226" s="766"/>
      <c r="KQ226" s="766"/>
      <c r="KR226" s="766"/>
      <c r="KS226" s="766"/>
      <c r="KT226" s="766">
        <v>1</v>
      </c>
      <c r="KU226" s="766"/>
      <c r="KV226" s="766"/>
      <c r="KW226" s="766"/>
      <c r="KX226" s="766"/>
      <c r="KY226" s="766"/>
      <c r="KZ226" s="766"/>
      <c r="LA226" s="766">
        <v>1</v>
      </c>
      <c r="LB226" s="766"/>
      <c r="LC226" s="766"/>
      <c r="LD226" s="766"/>
      <c r="LE226" s="766"/>
      <c r="LF226" s="766"/>
      <c r="LG226" s="766"/>
      <c r="LH226" s="766"/>
      <c r="LI226" s="766"/>
      <c r="LJ226" s="766"/>
      <c r="LK226" s="766"/>
      <c r="LL226" s="766"/>
      <c r="LM226" s="766"/>
      <c r="LN226" s="766">
        <f t="shared" si="47"/>
        <v>1</v>
      </c>
      <c r="LO226" s="766">
        <f t="shared" si="47"/>
        <v>1</v>
      </c>
      <c r="LP226" s="766">
        <v>2</v>
      </c>
      <c r="LQ226" s="1678">
        <v>1</v>
      </c>
      <c r="LR226" s="766"/>
      <c r="LS226" s="766">
        <v>1</v>
      </c>
      <c r="LT226" s="712" t="str">
        <f t="shared" si="67"/>
        <v>OK</v>
      </c>
      <c r="LU226" s="766"/>
      <c r="LV226" s="766"/>
      <c r="LW226" s="766">
        <v>1</v>
      </c>
      <c r="LX226" s="769">
        <v>1</v>
      </c>
      <c r="LY226" s="766" t="str">
        <f t="shared" si="50"/>
        <v>within the BRGY</v>
      </c>
      <c r="LZ226" s="121"/>
      <c r="MA226" s="66"/>
      <c r="MB226" s="66">
        <f>20*30</f>
        <v>600</v>
      </c>
      <c r="MC226" s="1679">
        <f t="shared" si="41"/>
        <v>600</v>
      </c>
      <c r="MD226" s="66">
        <v>3500</v>
      </c>
      <c r="ME226" s="66"/>
      <c r="MF226" s="66">
        <f>SUM(6250,3600)</f>
        <v>9850</v>
      </c>
      <c r="MG226" s="1680">
        <f t="shared" si="68"/>
        <v>13350</v>
      </c>
      <c r="MH226" s="1681" t="s">
        <v>13317</v>
      </c>
      <c r="MI226" s="775">
        <v>3000</v>
      </c>
      <c r="MJ226" s="775">
        <v>600</v>
      </c>
      <c r="MK226" s="775">
        <v>67</v>
      </c>
      <c r="ML226" s="775">
        <v>150</v>
      </c>
      <c r="MM226" s="775"/>
      <c r="MN226" s="775"/>
      <c r="MO226" s="775">
        <v>200</v>
      </c>
      <c r="MP226" s="775"/>
      <c r="MQ226" s="775">
        <v>125</v>
      </c>
      <c r="MR226" s="775">
        <v>150</v>
      </c>
      <c r="MS226" s="775"/>
      <c r="MT226" s="775"/>
      <c r="MU226" s="775"/>
      <c r="MV226" s="775"/>
      <c r="MW226" s="775"/>
      <c r="MX226" s="775">
        <v>1500</v>
      </c>
      <c r="MY226" s="1682">
        <f t="shared" si="49"/>
        <v>5792</v>
      </c>
      <c r="MZ226" s="766" t="s">
        <v>1835</v>
      </c>
      <c r="NA226" s="766" t="s">
        <v>1249</v>
      </c>
      <c r="NB226" s="766" t="s">
        <v>13033</v>
      </c>
      <c r="NC226" s="766" t="s">
        <v>1835</v>
      </c>
      <c r="ND226" s="766">
        <v>0</v>
      </c>
      <c r="NE226" s="766">
        <v>0</v>
      </c>
      <c r="NF226" s="766">
        <v>0</v>
      </c>
      <c r="NG226" s="766">
        <v>0</v>
      </c>
      <c r="NH226" s="766">
        <v>0</v>
      </c>
      <c r="NI226" s="766">
        <v>0</v>
      </c>
      <c r="NJ226" s="766">
        <v>0</v>
      </c>
      <c r="NK226" s="766">
        <v>0</v>
      </c>
      <c r="NL226" s="766">
        <v>0</v>
      </c>
      <c r="NM226" s="766">
        <v>0</v>
      </c>
      <c r="NN226" s="766">
        <v>0</v>
      </c>
      <c r="NO226" s="766">
        <v>0</v>
      </c>
      <c r="NP226" s="766">
        <v>0</v>
      </c>
      <c r="NQ226" s="766">
        <v>1</v>
      </c>
      <c r="NR226" s="766">
        <v>1</v>
      </c>
      <c r="NS226" s="766">
        <v>0</v>
      </c>
      <c r="NT226" s="766">
        <v>0</v>
      </c>
      <c r="NU226" s="766">
        <v>0</v>
      </c>
      <c r="NV226" s="766">
        <v>0</v>
      </c>
      <c r="NW226" s="766">
        <v>0</v>
      </c>
      <c r="NX226" s="766">
        <v>0</v>
      </c>
      <c r="NY226" s="766" t="s">
        <v>1208</v>
      </c>
      <c r="NZ226" s="766" t="s">
        <v>1208</v>
      </c>
      <c r="OA226" s="766" t="s">
        <v>1208</v>
      </c>
      <c r="OB226" s="766" t="s">
        <v>1208</v>
      </c>
      <c r="OC226" s="766" t="s">
        <v>1208</v>
      </c>
      <c r="OD226" s="766" t="s">
        <v>1208</v>
      </c>
      <c r="OE226" s="766"/>
      <c r="OF226" s="766" t="s">
        <v>13231</v>
      </c>
      <c r="OG226" s="766"/>
      <c r="OH226" s="766" t="s">
        <v>1824</v>
      </c>
      <c r="OI226" s="766"/>
      <c r="OJ226" s="766"/>
      <c r="OK226" s="766"/>
      <c r="OL226" s="766" t="s">
        <v>13182</v>
      </c>
      <c r="OM226" s="766" t="s">
        <v>13318</v>
      </c>
      <c r="ON226" s="766" t="s">
        <v>13319</v>
      </c>
      <c r="OO226" s="766" t="s">
        <v>1207</v>
      </c>
      <c r="OP226" s="766" t="s">
        <v>13122</v>
      </c>
      <c r="OQ226" s="766" t="s">
        <v>13320</v>
      </c>
      <c r="OR226" s="766" t="s">
        <v>13321</v>
      </c>
      <c r="OS226" s="766" t="s">
        <v>13322</v>
      </c>
      <c r="OT226" s="766"/>
      <c r="OU226" s="766"/>
      <c r="OV226" s="766" t="s">
        <v>1208</v>
      </c>
      <c r="OW226" s="766"/>
      <c r="OX226" s="766"/>
      <c r="OY226" s="766"/>
      <c r="OZ226" s="766"/>
      <c r="PA226" s="766" t="s">
        <v>1208</v>
      </c>
      <c r="PB226" s="766"/>
      <c r="PC226" s="766"/>
      <c r="PD226" s="766"/>
      <c r="PE226" s="766"/>
      <c r="PF226" s="766"/>
      <c r="PG226" s="766"/>
      <c r="PH226" s="766"/>
      <c r="PI226" s="766"/>
      <c r="PJ226" s="766"/>
      <c r="PK226" s="766"/>
      <c r="PL226" s="766"/>
      <c r="PM226" s="766"/>
      <c r="PN226" s="766" t="s">
        <v>1208</v>
      </c>
      <c r="PO226" s="766"/>
      <c r="PP226" s="766"/>
      <c r="PQ226" s="766"/>
      <c r="PR226" s="766"/>
      <c r="PS226" s="766"/>
      <c r="PT226" s="766"/>
      <c r="PU226" s="766"/>
      <c r="PV226" s="766"/>
      <c r="PW226" s="766"/>
      <c r="PX226" s="766"/>
      <c r="PY226" s="766"/>
      <c r="PZ226" s="766"/>
      <c r="QA226" s="766"/>
      <c r="QB226" s="766"/>
      <c r="QC226" s="766"/>
      <c r="QD226" s="766"/>
      <c r="QE226" s="766" t="s">
        <v>1208</v>
      </c>
      <c r="QF226" s="766"/>
      <c r="QG226" s="766"/>
      <c r="QH226" s="766"/>
      <c r="QI226" s="766" t="s">
        <v>1208</v>
      </c>
      <c r="QJ226" s="766"/>
      <c r="QK226" s="766"/>
      <c r="QL226" s="766"/>
      <c r="QM226" s="766"/>
      <c r="QN226" s="766"/>
      <c r="QO226" s="766"/>
      <c r="QP226" s="766"/>
      <c r="QQ226" s="766"/>
      <c r="QR226" s="766"/>
      <c r="QS226" s="766"/>
      <c r="QT226" s="766"/>
      <c r="QU226" s="766"/>
      <c r="QV226" s="766"/>
      <c r="QW226" s="766"/>
      <c r="QX226" s="766"/>
      <c r="QY226" s="766"/>
      <c r="QZ226" s="766"/>
      <c r="RA226" s="766"/>
      <c r="RB226" s="770" t="s">
        <v>1207</v>
      </c>
      <c r="RC226" s="766">
        <v>2009</v>
      </c>
      <c r="RD226" s="766" t="s">
        <v>13223</v>
      </c>
      <c r="RE226" s="766" t="s">
        <v>12999</v>
      </c>
      <c r="RF226" s="777">
        <v>3</v>
      </c>
      <c r="RG226" s="766" t="s">
        <v>13267</v>
      </c>
      <c r="RH226" s="775">
        <v>2000</v>
      </c>
      <c r="RI226" s="766" t="s">
        <v>13323</v>
      </c>
      <c r="RJ226" s="766" t="s">
        <v>13324</v>
      </c>
      <c r="RK226" s="766" t="s">
        <v>13206</v>
      </c>
      <c r="RL226" s="1683"/>
      <c r="RM226" s="12"/>
      <c r="RN226" s="1711"/>
      <c r="RO226" s="148" t="s">
        <v>381</v>
      </c>
      <c r="RP226" s="11"/>
      <c r="RQ226" s="11"/>
      <c r="RR226" s="19" t="s">
        <v>7421</v>
      </c>
      <c r="RS226" s="1139" t="s">
        <v>12980</v>
      </c>
      <c r="RT226" s="11"/>
      <c r="RU226" s="11"/>
      <c r="RV226" s="766" t="s">
        <v>7421</v>
      </c>
      <c r="RW226" s="11" t="s">
        <v>12263</v>
      </c>
      <c r="RX226" s="11" t="s">
        <v>376</v>
      </c>
      <c r="RY226" s="11"/>
      <c r="RZ226" s="1020" t="s">
        <v>1101</v>
      </c>
      <c r="SA226" s="766"/>
      <c r="SB226" s="11"/>
      <c r="SC226" s="11"/>
    </row>
    <row r="227" spans="1:497" ht="12.75" customHeight="1">
      <c r="A227" s="767" t="s">
        <v>7421</v>
      </c>
      <c r="B227" s="292" t="s">
        <v>7591</v>
      </c>
      <c r="C227" s="148" t="s">
        <v>384</v>
      </c>
      <c r="D227" s="14" t="s">
        <v>385</v>
      </c>
      <c r="E227" s="766" t="s">
        <v>5846</v>
      </c>
      <c r="F227" s="766" t="s">
        <v>386</v>
      </c>
      <c r="G227" s="766" t="s">
        <v>10</v>
      </c>
      <c r="H227" s="766"/>
      <c r="I227" s="5" t="s">
        <v>387</v>
      </c>
      <c r="J227" s="14" t="s">
        <v>388</v>
      </c>
      <c r="K227" s="766" t="s">
        <v>374</v>
      </c>
      <c r="L227" s="766" t="s">
        <v>375</v>
      </c>
      <c r="M227" s="766"/>
      <c r="N227" s="766"/>
      <c r="O227" s="766"/>
      <c r="P227" s="14" t="s">
        <v>914</v>
      </c>
      <c r="Q227" s="1085">
        <v>29801</v>
      </c>
      <c r="R227" s="25">
        <v>35</v>
      </c>
      <c r="S227" s="770" t="s">
        <v>10</v>
      </c>
      <c r="T227" s="766"/>
      <c r="U227" s="26" t="s">
        <v>387</v>
      </c>
      <c r="V227" s="766" t="s">
        <v>722</v>
      </c>
      <c r="W227" s="766"/>
      <c r="X227" s="24"/>
      <c r="Y227" s="766" t="s">
        <v>915</v>
      </c>
      <c r="Z227" s="766" t="s">
        <v>708</v>
      </c>
      <c r="AA227" s="766" t="s">
        <v>781</v>
      </c>
      <c r="AB227" s="6" t="s">
        <v>7273</v>
      </c>
      <c r="AC227" s="766" t="s">
        <v>724</v>
      </c>
      <c r="AD227" s="766"/>
      <c r="AE227" s="766"/>
      <c r="AF227" s="766" t="s">
        <v>712</v>
      </c>
      <c r="AG227" s="766" t="s">
        <v>1165</v>
      </c>
      <c r="AH227" s="766" t="s">
        <v>1096</v>
      </c>
      <c r="AI227" s="766"/>
      <c r="AJ227" s="766" t="s">
        <v>427</v>
      </c>
      <c r="AK227" s="766" t="s">
        <v>1101</v>
      </c>
      <c r="AL227" s="773">
        <v>10</v>
      </c>
      <c r="AM227" s="772">
        <v>10</v>
      </c>
      <c r="AN227" s="774">
        <v>1</v>
      </c>
      <c r="AO227" s="766" t="s">
        <v>1122</v>
      </c>
      <c r="AP227" s="766"/>
      <c r="AQ227" s="766"/>
      <c r="AR227" s="766"/>
      <c r="AS227" s="766"/>
      <c r="AT227" s="766"/>
      <c r="AU227" s="766"/>
      <c r="AV227" s="766"/>
      <c r="AW227" s="766"/>
      <c r="AX227" s="766"/>
      <c r="AY227" s="766"/>
      <c r="AZ227" s="766"/>
      <c r="BA227" s="766"/>
      <c r="BB227" s="766"/>
      <c r="BC227" s="766"/>
      <c r="BD227" s="766"/>
      <c r="BE227" s="766"/>
      <c r="BF227" s="775"/>
      <c r="BG227" s="775"/>
      <c r="BH227" s="766"/>
      <c r="BI227" s="766"/>
      <c r="BJ227" s="766"/>
      <c r="BK227" s="766" t="s">
        <v>1095</v>
      </c>
      <c r="BL227" s="766" t="s">
        <v>1338</v>
      </c>
      <c r="BM227" s="766" t="s">
        <v>1096</v>
      </c>
      <c r="BN227" s="766" t="s">
        <v>1230</v>
      </c>
      <c r="BO227" s="766" t="s">
        <v>1246</v>
      </c>
      <c r="BP227" s="1111">
        <v>10</v>
      </c>
      <c r="BQ227" s="772">
        <v>10</v>
      </c>
      <c r="BR227" s="774">
        <f t="shared" si="61"/>
        <v>1</v>
      </c>
      <c r="BS227" s="766" t="s">
        <v>1257</v>
      </c>
      <c r="BT227" s="766" t="s">
        <v>1326</v>
      </c>
      <c r="BU227" s="766" t="s">
        <v>1288</v>
      </c>
      <c r="BV227" s="766" t="s">
        <v>1335</v>
      </c>
      <c r="BW227" s="766">
        <v>2002</v>
      </c>
      <c r="BX227" s="775">
        <v>20000</v>
      </c>
      <c r="BY227" s="766"/>
      <c r="BZ227" s="775"/>
      <c r="CA227" s="766"/>
      <c r="CB227" s="766"/>
      <c r="CC227" s="766"/>
      <c r="CD227" s="766"/>
      <c r="CE227" s="766"/>
      <c r="CF227" s="777"/>
      <c r="CG227" s="231"/>
      <c r="CH227" s="766"/>
      <c r="CI227" s="766"/>
      <c r="CJ227" s="766"/>
      <c r="CK227" s="766"/>
      <c r="CL227" s="766"/>
      <c r="CM227" s="766"/>
      <c r="CN227" s="766"/>
      <c r="CO227" s="766"/>
      <c r="CP227" s="766"/>
      <c r="CQ227" s="766"/>
      <c r="CR227" s="775"/>
      <c r="CS227" s="766"/>
      <c r="CT227" s="766"/>
      <c r="CU227" s="129"/>
      <c r="CV227" s="766"/>
      <c r="CW227" s="766"/>
      <c r="CX227" s="766"/>
      <c r="CY227" s="766"/>
      <c r="CZ227" s="766"/>
      <c r="DA227" s="66"/>
      <c r="DB227" s="766"/>
      <c r="DC227" s="766"/>
      <c r="DD227" s="766"/>
      <c r="DE227" s="772"/>
      <c r="DF227" s="766"/>
      <c r="DG227" s="766"/>
      <c r="DH227" s="766"/>
      <c r="DI227" s="766"/>
      <c r="DJ227" s="766"/>
      <c r="DK227" s="766"/>
      <c r="DL227" s="766"/>
      <c r="DM227" s="766"/>
      <c r="DN227" s="44"/>
      <c r="DO227" s="766"/>
      <c r="DP227" s="766"/>
      <c r="DQ227" s="766"/>
      <c r="DR227" s="766"/>
      <c r="DS227" s="59"/>
      <c r="DT227" s="766"/>
      <c r="DU227" s="766"/>
      <c r="DV227" s="766"/>
      <c r="DW227" s="66"/>
      <c r="DX227" s="66"/>
      <c r="DY227" s="766"/>
      <c r="DZ227" s="766"/>
      <c r="EA227" s="766"/>
      <c r="EB227" s="766"/>
      <c r="EC227" s="766"/>
      <c r="ED227" s="766"/>
      <c r="EE227" s="766"/>
      <c r="EF227" s="766"/>
      <c r="EG227" s="766"/>
      <c r="EH227" s="766"/>
      <c r="EI227" s="766"/>
      <c r="EJ227" s="766"/>
      <c r="EK227" s="766"/>
      <c r="EL227" s="766"/>
      <c r="EM227" s="766"/>
      <c r="EN227" s="766"/>
      <c r="EO227" s="766"/>
      <c r="EP227" s="14"/>
      <c r="EQ227" s="766"/>
      <c r="ER227" s="766"/>
      <c r="ES227" s="766"/>
      <c r="ET227" s="766"/>
      <c r="EU227" s="766"/>
      <c r="EV227" s="766"/>
      <c r="EW227" s="766"/>
      <c r="EX227" s="766"/>
      <c r="EY227" s="766"/>
      <c r="EZ227" s="766"/>
      <c r="FA227" s="766"/>
      <c r="FB227" s="766"/>
      <c r="FC227" s="766"/>
      <c r="FD227" s="775"/>
      <c r="FE227" s="766"/>
      <c r="FF227" s="766"/>
      <c r="FG227" s="766"/>
      <c r="FH227" s="766"/>
      <c r="FI227" s="766"/>
      <c r="FJ227" s="766"/>
      <c r="FK227" s="766"/>
      <c r="FL227" s="766"/>
      <c r="FM227" s="775"/>
      <c r="FN227" s="775"/>
      <c r="FO227" s="775"/>
      <c r="FP227" s="766" t="s">
        <v>1602</v>
      </c>
      <c r="FQ227" s="766" t="s">
        <v>1660</v>
      </c>
      <c r="FR227" s="766"/>
      <c r="FS227" s="766"/>
      <c r="FT227" s="766"/>
      <c r="FU227" s="766"/>
      <c r="FV227" s="766"/>
      <c r="FW227" s="766"/>
      <c r="FX227" s="766"/>
      <c r="FY227" s="766"/>
      <c r="FZ227" s="766"/>
      <c r="GA227" s="766"/>
      <c r="GB227" s="766" t="s">
        <v>1734</v>
      </c>
      <c r="GC227" s="75"/>
      <c r="GD227" s="25"/>
      <c r="GE227" s="766"/>
      <c r="GF227" s="775"/>
      <c r="GG227" s="775"/>
      <c r="GH227" s="712" t="s">
        <v>1791</v>
      </c>
      <c r="GI227" s="766"/>
      <c r="GJ227" s="766"/>
      <c r="GK227" s="770" t="s">
        <v>3334</v>
      </c>
      <c r="GL227" s="766"/>
      <c r="GM227" s="766" t="s">
        <v>1820</v>
      </c>
      <c r="GN227" s="82"/>
      <c r="GO227" s="766" t="s">
        <v>1821</v>
      </c>
      <c r="GP227" s="766"/>
      <c r="GQ227" s="766" t="s">
        <v>1208</v>
      </c>
      <c r="GR227" s="766" t="s">
        <v>1208</v>
      </c>
      <c r="GS227" s="766" t="s">
        <v>1208</v>
      </c>
      <c r="GT227" s="766" t="s">
        <v>1208</v>
      </c>
      <c r="GU227" s="766"/>
      <c r="GV227" s="766"/>
      <c r="GW227" s="766"/>
      <c r="GX227" s="766" t="s">
        <v>1822</v>
      </c>
      <c r="GY227" s="766" t="s">
        <v>1208</v>
      </c>
      <c r="GZ227" s="766" t="s">
        <v>1208</v>
      </c>
      <c r="HA227" s="766" t="s">
        <v>1208</v>
      </c>
      <c r="HB227" s="766" t="s">
        <v>1208</v>
      </c>
      <c r="HC227" s="766" t="s">
        <v>1208</v>
      </c>
      <c r="HD227" s="766" t="s">
        <v>1208</v>
      </c>
      <c r="HE227" s="766" t="s">
        <v>1208</v>
      </c>
      <c r="HF227" s="766"/>
      <c r="HG227" s="766"/>
      <c r="HH227" s="766"/>
      <c r="HI227" s="766"/>
      <c r="HJ227" s="766"/>
      <c r="HK227" s="766"/>
      <c r="HL227" s="766"/>
      <c r="HM227" s="766"/>
      <c r="HN227" s="766"/>
      <c r="HO227" s="766"/>
      <c r="HP227" s="766"/>
      <c r="HQ227" s="766"/>
      <c r="HR227" s="766"/>
      <c r="HS227" s="766"/>
      <c r="HT227" s="766"/>
      <c r="HU227" s="766"/>
      <c r="HV227" s="766"/>
      <c r="HW227" s="766"/>
      <c r="HX227" s="766"/>
      <c r="HY227" s="766"/>
      <c r="HZ227" s="766"/>
      <c r="IA227" s="766"/>
      <c r="IB227" s="14" t="e">
        <f>IF(#REF!&gt;0,IF(#REF!&lt;=10000,"Y",""),"")</f>
        <v>#REF!</v>
      </c>
      <c r="IC227" s="14"/>
      <c r="ID227" s="14"/>
      <c r="IE227" s="14"/>
      <c r="IF227" s="766"/>
      <c r="IG227" s="766"/>
      <c r="IH227" s="766"/>
      <c r="II227" s="766"/>
      <c r="IJ227" s="766"/>
      <c r="IK227" s="766"/>
      <c r="IL227" s="766"/>
      <c r="IM227" s="766"/>
      <c r="IN227" s="766"/>
      <c r="IO227" s="24"/>
      <c r="IP227" s="766"/>
      <c r="IQ227" s="766"/>
      <c r="IR227" s="766"/>
      <c r="IS227" s="766"/>
      <c r="IT227" s="766"/>
      <c r="IU227" s="766"/>
      <c r="IV227" s="766"/>
      <c r="IW227" s="766"/>
      <c r="IX227" s="766"/>
      <c r="IY227" s="766"/>
      <c r="IZ227" s="766"/>
      <c r="JA227" s="766"/>
      <c r="JB227" s="766"/>
      <c r="JC227" s="766"/>
      <c r="JD227" s="775"/>
      <c r="JE227" s="766"/>
      <c r="JF227" s="766"/>
      <c r="JG227" s="766"/>
      <c r="JH227" s="766"/>
      <c r="JI227" s="712" t="str">
        <f t="shared" si="62"/>
        <v>ok</v>
      </c>
      <c r="JJ227" s="766">
        <v>6</v>
      </c>
      <c r="JK227" s="1139" t="s">
        <v>2083</v>
      </c>
      <c r="JL227" s="766">
        <v>2</v>
      </c>
      <c r="JM227" s="766">
        <v>2</v>
      </c>
      <c r="JN227" s="766">
        <v>1</v>
      </c>
      <c r="JO227" s="766">
        <v>1</v>
      </c>
      <c r="JP227" s="766"/>
      <c r="JQ227" s="766"/>
      <c r="JR227" s="766"/>
      <c r="JS227" s="766"/>
      <c r="JT227" s="766">
        <f t="shared" si="69"/>
        <v>3</v>
      </c>
      <c r="JU227" s="766">
        <f t="shared" si="69"/>
        <v>3</v>
      </c>
      <c r="JV227" s="712" t="str">
        <f t="shared" si="63"/>
        <v>ok</v>
      </c>
      <c r="JW227" s="712" t="str">
        <f t="shared" si="64"/>
        <v>ok</v>
      </c>
      <c r="JX227" s="766">
        <v>1</v>
      </c>
      <c r="JY227" s="766">
        <v>1</v>
      </c>
      <c r="JZ227" s="766">
        <v>1</v>
      </c>
      <c r="KA227" s="766">
        <v>1</v>
      </c>
      <c r="KB227" s="766"/>
      <c r="KC227" s="766">
        <v>1</v>
      </c>
      <c r="KD227" s="766">
        <v>1</v>
      </c>
      <c r="KE227" s="766"/>
      <c r="KF227" s="766"/>
      <c r="KG227" s="766"/>
      <c r="KH227" s="766"/>
      <c r="KI227" s="766"/>
      <c r="KJ227" s="770">
        <f t="shared" si="58"/>
        <v>3</v>
      </c>
      <c r="KK227" s="770">
        <f t="shared" si="58"/>
        <v>3</v>
      </c>
      <c r="KL227" s="712" t="str">
        <f t="shared" si="65"/>
        <v>ok</v>
      </c>
      <c r="KM227" s="712" t="str">
        <f t="shared" si="66"/>
        <v>ok</v>
      </c>
      <c r="KN227" s="766" t="s">
        <v>722</v>
      </c>
      <c r="KO227" s="28"/>
      <c r="KP227" s="766"/>
      <c r="KQ227" s="766"/>
      <c r="KR227" s="766"/>
      <c r="KS227" s="766"/>
      <c r="KT227" s="766">
        <v>1</v>
      </c>
      <c r="KU227" s="766">
        <v>1</v>
      </c>
      <c r="KV227" s="766">
        <v>1</v>
      </c>
      <c r="KW227" s="766"/>
      <c r="KX227" s="766"/>
      <c r="KY227" s="766"/>
      <c r="KZ227" s="766"/>
      <c r="LA227" s="766">
        <v>1</v>
      </c>
      <c r="LB227" s="766"/>
      <c r="LC227" s="766"/>
      <c r="LD227" s="766"/>
      <c r="LE227" s="766"/>
      <c r="LF227" s="766"/>
      <c r="LG227" s="766"/>
      <c r="LH227" s="766"/>
      <c r="LI227" s="766"/>
      <c r="LJ227" s="766">
        <v>1</v>
      </c>
      <c r="LK227" s="766">
        <v>1</v>
      </c>
      <c r="LL227" s="766"/>
      <c r="LM227" s="766"/>
      <c r="LN227" s="766">
        <f t="shared" si="47"/>
        <v>3</v>
      </c>
      <c r="LO227" s="766">
        <f t="shared" si="47"/>
        <v>3</v>
      </c>
      <c r="LP227" s="766">
        <v>2</v>
      </c>
      <c r="LQ227" s="1678">
        <v>2</v>
      </c>
      <c r="LR227" s="766"/>
      <c r="LS227" s="766"/>
      <c r="LT227" s="712" t="str">
        <f t="shared" si="67"/>
        <v>OK</v>
      </c>
      <c r="LU227" s="766"/>
      <c r="LV227" s="766">
        <v>1</v>
      </c>
      <c r="LW227" s="766">
        <v>1</v>
      </c>
      <c r="LX227" s="769">
        <v>1</v>
      </c>
      <c r="LY227" s="766" t="str">
        <f t="shared" si="50"/>
        <v>within the BRGY</v>
      </c>
      <c r="LZ227" s="121"/>
      <c r="MA227" s="66"/>
      <c r="MB227" s="66"/>
      <c r="MC227" s="1679">
        <f t="shared" si="41"/>
        <v>0</v>
      </c>
      <c r="MD227" s="66">
        <f>2000+6000</f>
        <v>8000</v>
      </c>
      <c r="ME227" s="66"/>
      <c r="MF227" s="66"/>
      <c r="MG227" s="1680">
        <f t="shared" si="68"/>
        <v>8000</v>
      </c>
      <c r="MH227" s="1681" t="s">
        <v>13325</v>
      </c>
      <c r="MI227" s="775">
        <v>5600</v>
      </c>
      <c r="MJ227" s="775"/>
      <c r="MK227" s="775">
        <v>100</v>
      </c>
      <c r="ML227" s="775"/>
      <c r="MM227" s="775">
        <v>450</v>
      </c>
      <c r="MN227" s="775"/>
      <c r="MO227" s="775">
        <v>100</v>
      </c>
      <c r="MP227" s="775"/>
      <c r="MQ227" s="775"/>
      <c r="MR227" s="775">
        <v>300</v>
      </c>
      <c r="MS227" s="775">
        <v>1000</v>
      </c>
      <c r="MT227" s="775"/>
      <c r="MU227" s="775"/>
      <c r="MV227" s="775"/>
      <c r="MW227" s="775"/>
      <c r="MX227" s="775">
        <v>1000</v>
      </c>
      <c r="MY227" s="1682">
        <f t="shared" si="49"/>
        <v>8550</v>
      </c>
      <c r="MZ227" s="766" t="s">
        <v>1835</v>
      </c>
      <c r="NA227" s="766" t="s">
        <v>13326</v>
      </c>
      <c r="NB227" s="766" t="s">
        <v>13033</v>
      </c>
      <c r="NC227" s="766" t="s">
        <v>13158</v>
      </c>
      <c r="ND227" s="766">
        <v>0</v>
      </c>
      <c r="NE227" s="766">
        <v>0</v>
      </c>
      <c r="NF227" s="766">
        <v>0</v>
      </c>
      <c r="NG227" s="766">
        <v>0</v>
      </c>
      <c r="NH227" s="766">
        <v>0</v>
      </c>
      <c r="NI227" s="766">
        <v>0</v>
      </c>
      <c r="NJ227" s="766">
        <v>0</v>
      </c>
      <c r="NK227" s="766">
        <v>0</v>
      </c>
      <c r="NL227" s="766">
        <v>0</v>
      </c>
      <c r="NM227" s="766">
        <v>0</v>
      </c>
      <c r="NN227" s="766">
        <v>0</v>
      </c>
      <c r="NO227" s="766">
        <v>0</v>
      </c>
      <c r="NP227" s="766">
        <v>0</v>
      </c>
      <c r="NQ227" s="766">
        <v>0</v>
      </c>
      <c r="NR227" s="766">
        <v>0</v>
      </c>
      <c r="NS227" s="766">
        <v>0</v>
      </c>
      <c r="NT227" s="766">
        <v>0</v>
      </c>
      <c r="NU227" s="766">
        <v>0</v>
      </c>
      <c r="NV227" s="766">
        <v>0</v>
      </c>
      <c r="NW227" s="766">
        <v>0</v>
      </c>
      <c r="NX227" s="766">
        <v>0</v>
      </c>
      <c r="NY227" s="766" t="s">
        <v>1208</v>
      </c>
      <c r="NZ227" s="766" t="s">
        <v>1208</v>
      </c>
      <c r="OA227" s="766" t="s">
        <v>1208</v>
      </c>
      <c r="OB227" s="766"/>
      <c r="OC227" s="766"/>
      <c r="OD227" s="766"/>
      <c r="OE227" s="766"/>
      <c r="OF227" s="766" t="s">
        <v>2143</v>
      </c>
      <c r="OG227" s="766"/>
      <c r="OH227" s="766" t="s">
        <v>13327</v>
      </c>
      <c r="OI227" s="766" t="s">
        <v>13306</v>
      </c>
      <c r="OJ227" s="766"/>
      <c r="OK227" s="766"/>
      <c r="OL227" s="766" t="s">
        <v>13306</v>
      </c>
      <c r="OM227" s="766" t="s">
        <v>13183</v>
      </c>
      <c r="ON227" s="766" t="s">
        <v>13328</v>
      </c>
      <c r="OO227" s="766" t="s">
        <v>1207</v>
      </c>
      <c r="OP227" s="766" t="s">
        <v>13329</v>
      </c>
      <c r="OQ227" s="766" t="s">
        <v>13079</v>
      </c>
      <c r="OR227" s="766" t="s">
        <v>110</v>
      </c>
      <c r="OS227" s="766" t="s">
        <v>13330</v>
      </c>
      <c r="OT227" s="766" t="s">
        <v>13331</v>
      </c>
      <c r="OU227" s="766"/>
      <c r="OV227" s="766" t="s">
        <v>1208</v>
      </c>
      <c r="OW227" s="766"/>
      <c r="OX227" s="766" t="s">
        <v>1208</v>
      </c>
      <c r="OY227" s="766"/>
      <c r="OZ227" s="766"/>
      <c r="PA227" s="766"/>
      <c r="PB227" s="766"/>
      <c r="PC227" s="766"/>
      <c r="PD227" s="766"/>
      <c r="PE227" s="766"/>
      <c r="PF227" s="766"/>
      <c r="PG227" s="766"/>
      <c r="PH227" s="766" t="s">
        <v>1208</v>
      </c>
      <c r="PI227" s="766" t="s">
        <v>1208</v>
      </c>
      <c r="PJ227" s="766"/>
      <c r="PK227" s="766" t="s">
        <v>1208</v>
      </c>
      <c r="PL227" s="766"/>
      <c r="PM227" s="766"/>
      <c r="PN227" s="766"/>
      <c r="PO227" s="766"/>
      <c r="PP227" s="766"/>
      <c r="PQ227" s="766"/>
      <c r="PR227" s="766"/>
      <c r="PS227" s="766" t="s">
        <v>1208</v>
      </c>
      <c r="PT227" s="766" t="s">
        <v>1208</v>
      </c>
      <c r="PU227" s="766"/>
      <c r="PV227" s="766"/>
      <c r="PW227" s="766"/>
      <c r="PX227" s="766"/>
      <c r="PY227" s="766"/>
      <c r="PZ227" s="766"/>
      <c r="QA227" s="766"/>
      <c r="QB227" s="766"/>
      <c r="QC227" s="766"/>
      <c r="QD227" s="766"/>
      <c r="QE227" s="766"/>
      <c r="QF227" s="766"/>
      <c r="QG227" s="766"/>
      <c r="QH227" s="766"/>
      <c r="QI227" s="766"/>
      <c r="QJ227" s="766"/>
      <c r="QK227" s="766"/>
      <c r="QL227" s="766"/>
      <c r="QM227" s="766"/>
      <c r="QN227" s="766"/>
      <c r="QO227" s="766"/>
      <c r="QP227" s="766"/>
      <c r="QQ227" s="766"/>
      <c r="QR227" s="766"/>
      <c r="QS227" s="766"/>
      <c r="QT227" s="766"/>
      <c r="QU227" s="766"/>
      <c r="QV227" s="766"/>
      <c r="QW227" s="766"/>
      <c r="QX227" s="766"/>
      <c r="QY227" s="766"/>
      <c r="QZ227" s="766"/>
      <c r="RA227" s="766"/>
      <c r="RB227" s="770" t="s">
        <v>1207</v>
      </c>
      <c r="RC227" s="1656" t="s">
        <v>13222</v>
      </c>
      <c r="RD227" s="766" t="s">
        <v>13223</v>
      </c>
      <c r="RE227" s="766" t="s">
        <v>12999</v>
      </c>
      <c r="RF227" s="777">
        <v>3</v>
      </c>
      <c r="RG227" s="766" t="s">
        <v>13000</v>
      </c>
      <c r="RH227" s="775">
        <v>0</v>
      </c>
      <c r="RI227" s="766" t="s">
        <v>13332</v>
      </c>
      <c r="RJ227" s="766" t="s">
        <v>2168</v>
      </c>
      <c r="RK227" s="766" t="s">
        <v>13146</v>
      </c>
      <c r="RL227" s="1683"/>
      <c r="RM227" s="12"/>
      <c r="RN227" s="1711"/>
      <c r="RO227" s="148" t="s">
        <v>384</v>
      </c>
      <c r="RP227" s="11"/>
      <c r="RQ227" s="11"/>
      <c r="RR227" s="19" t="s">
        <v>7421</v>
      </c>
      <c r="RS227" s="1139" t="s">
        <v>12980</v>
      </c>
      <c r="RT227" s="11"/>
      <c r="RU227" s="11"/>
      <c r="RV227" s="766" t="s">
        <v>7421</v>
      </c>
      <c r="RW227" s="11" t="s">
        <v>7589</v>
      </c>
      <c r="RX227" s="11" t="s">
        <v>378</v>
      </c>
      <c r="RY227" s="11"/>
      <c r="RZ227" s="1020" t="s">
        <v>1101</v>
      </c>
      <c r="SA227" s="766"/>
      <c r="SB227" s="11"/>
      <c r="SC227" s="11"/>
    </row>
    <row r="228" spans="1:497" ht="12.75" customHeight="1">
      <c r="A228" s="767" t="s">
        <v>7421</v>
      </c>
      <c r="B228" s="292" t="s">
        <v>7592</v>
      </c>
      <c r="C228" s="148" t="s">
        <v>389</v>
      </c>
      <c r="D228" s="14" t="s">
        <v>390</v>
      </c>
      <c r="E228" s="766" t="s">
        <v>5846</v>
      </c>
      <c r="F228" s="766" t="s">
        <v>28</v>
      </c>
      <c r="G228" s="766" t="s">
        <v>10</v>
      </c>
      <c r="H228" s="766"/>
      <c r="I228" s="5"/>
      <c r="J228" s="14" t="s">
        <v>390</v>
      </c>
      <c r="K228" s="766" t="s">
        <v>374</v>
      </c>
      <c r="L228" s="766" t="s">
        <v>375</v>
      </c>
      <c r="M228" s="766"/>
      <c r="N228" s="766"/>
      <c r="O228" s="766"/>
      <c r="P228" s="14" t="s">
        <v>916</v>
      </c>
      <c r="Q228" s="1085">
        <v>27290</v>
      </c>
      <c r="R228" s="25">
        <v>42</v>
      </c>
      <c r="S228" s="770" t="s">
        <v>10</v>
      </c>
      <c r="T228" s="766"/>
      <c r="U228" s="26" t="s">
        <v>917</v>
      </c>
      <c r="V228" s="766" t="s">
        <v>722</v>
      </c>
      <c r="W228" s="766"/>
      <c r="X228" s="24"/>
      <c r="Y228" s="766" t="s">
        <v>377</v>
      </c>
      <c r="Z228" s="766" t="s">
        <v>708</v>
      </c>
      <c r="AA228" s="766" t="s">
        <v>781</v>
      </c>
      <c r="AB228" s="766" t="s">
        <v>710</v>
      </c>
      <c r="AC228" s="766" t="s">
        <v>724</v>
      </c>
      <c r="AD228" s="766"/>
      <c r="AE228" s="766" t="s">
        <v>909</v>
      </c>
      <c r="AF228" s="766" t="s">
        <v>712</v>
      </c>
      <c r="AG228" s="766" t="s">
        <v>1165</v>
      </c>
      <c r="AH228" s="766" t="s">
        <v>1096</v>
      </c>
      <c r="AI228" s="766"/>
      <c r="AJ228" s="766" t="s">
        <v>427</v>
      </c>
      <c r="AK228" s="766" t="s">
        <v>1101</v>
      </c>
      <c r="AL228" s="773">
        <v>20</v>
      </c>
      <c r="AM228" s="772">
        <v>20</v>
      </c>
      <c r="AN228" s="774">
        <v>1</v>
      </c>
      <c r="AO228" s="766" t="s">
        <v>1122</v>
      </c>
      <c r="AP228" s="766"/>
      <c r="AQ228" s="766"/>
      <c r="AR228" s="766"/>
      <c r="AS228" s="766"/>
      <c r="AT228" s="766"/>
      <c r="AU228" s="766"/>
      <c r="AV228" s="766"/>
      <c r="AW228" s="766"/>
      <c r="AX228" s="766"/>
      <c r="AY228" s="766"/>
      <c r="AZ228" s="766"/>
      <c r="BA228" s="766"/>
      <c r="BB228" s="766"/>
      <c r="BC228" s="766"/>
      <c r="BD228" s="766"/>
      <c r="BE228" s="766"/>
      <c r="BF228" s="775"/>
      <c r="BG228" s="775"/>
      <c r="BH228" s="766"/>
      <c r="BI228" s="766"/>
      <c r="BJ228" s="766"/>
      <c r="BK228" s="766" t="s">
        <v>1095</v>
      </c>
      <c r="BL228" s="766" t="s">
        <v>1339</v>
      </c>
      <c r="BM228" s="766" t="s">
        <v>1096</v>
      </c>
      <c r="BN228" s="766" t="s">
        <v>1230</v>
      </c>
      <c r="BO228" s="766" t="s">
        <v>1246</v>
      </c>
      <c r="BP228" s="1111">
        <v>20</v>
      </c>
      <c r="BQ228" s="772">
        <v>20</v>
      </c>
      <c r="BR228" s="774">
        <f t="shared" si="61"/>
        <v>1</v>
      </c>
      <c r="BS228" s="766" t="s">
        <v>1257</v>
      </c>
      <c r="BT228" s="766" t="s">
        <v>8133</v>
      </c>
      <c r="BU228" s="766" t="s">
        <v>1288</v>
      </c>
      <c r="BV228" s="766" t="s">
        <v>1247</v>
      </c>
      <c r="BW228" s="766">
        <v>1999</v>
      </c>
      <c r="BX228" s="775">
        <v>20000</v>
      </c>
      <c r="BY228" s="766"/>
      <c r="BZ228" s="775"/>
      <c r="CA228" s="766"/>
      <c r="CB228" s="766"/>
      <c r="CC228" s="766"/>
      <c r="CD228" s="766"/>
      <c r="CE228" s="766"/>
      <c r="CF228" s="777"/>
      <c r="CG228" s="231"/>
      <c r="CH228" s="766"/>
      <c r="CI228" s="766"/>
      <c r="CJ228" s="766"/>
      <c r="CK228" s="766"/>
      <c r="CL228" s="766"/>
      <c r="CM228" s="766"/>
      <c r="CN228" s="766"/>
      <c r="CO228" s="766"/>
      <c r="CP228" s="766"/>
      <c r="CQ228" s="766"/>
      <c r="CR228" s="775"/>
      <c r="CS228" s="766"/>
      <c r="CT228" s="766"/>
      <c r="CU228" s="129"/>
      <c r="CV228" s="766"/>
      <c r="CW228" s="766"/>
      <c r="CX228" s="766"/>
      <c r="CY228" s="766"/>
      <c r="CZ228" s="766"/>
      <c r="DA228" s="66"/>
      <c r="DB228" s="766"/>
      <c r="DC228" s="766"/>
      <c r="DD228" s="766"/>
      <c r="DE228" s="772"/>
      <c r="DF228" s="766"/>
      <c r="DG228" s="766"/>
      <c r="DH228" s="766"/>
      <c r="DI228" s="766"/>
      <c r="DJ228" s="766"/>
      <c r="DK228" s="766"/>
      <c r="DL228" s="766"/>
      <c r="DM228" s="766"/>
      <c r="DN228" s="44"/>
      <c r="DO228" s="766"/>
      <c r="DP228" s="766"/>
      <c r="DQ228" s="766"/>
      <c r="DR228" s="766"/>
      <c r="DS228" s="59"/>
      <c r="DT228" s="766"/>
      <c r="DU228" s="766"/>
      <c r="DV228" s="766"/>
      <c r="DW228" s="66"/>
      <c r="DX228" s="66"/>
      <c r="DY228" s="766"/>
      <c r="DZ228" s="766"/>
      <c r="EA228" s="766"/>
      <c r="EB228" s="766"/>
      <c r="EC228" s="766"/>
      <c r="ED228" s="766"/>
      <c r="EE228" s="766"/>
      <c r="EF228" s="766"/>
      <c r="EG228" s="766"/>
      <c r="EH228" s="766"/>
      <c r="EI228" s="766"/>
      <c r="EJ228" s="766"/>
      <c r="EK228" s="766"/>
      <c r="EL228" s="766"/>
      <c r="EM228" s="766"/>
      <c r="EN228" s="766"/>
      <c r="EO228" s="766"/>
      <c r="EP228" s="14"/>
      <c r="EQ228" s="766"/>
      <c r="ER228" s="766"/>
      <c r="ES228" s="766"/>
      <c r="ET228" s="766"/>
      <c r="EU228" s="766"/>
      <c r="EV228" s="766"/>
      <c r="EW228" s="766"/>
      <c r="EX228" s="766"/>
      <c r="EY228" s="766"/>
      <c r="EZ228" s="766"/>
      <c r="FA228" s="766"/>
      <c r="FB228" s="766"/>
      <c r="FC228" s="766"/>
      <c r="FD228" s="775"/>
      <c r="FE228" s="766"/>
      <c r="FF228" s="766"/>
      <c r="FG228" s="766"/>
      <c r="FH228" s="766" t="s">
        <v>478</v>
      </c>
      <c r="FI228" s="766">
        <v>1</v>
      </c>
      <c r="FJ228" s="766"/>
      <c r="FK228" s="766"/>
      <c r="FL228" s="766"/>
      <c r="FM228" s="775"/>
      <c r="FN228" s="775"/>
      <c r="FO228" s="775"/>
      <c r="FP228" s="766" t="s">
        <v>1602</v>
      </c>
      <c r="FQ228" s="766" t="s">
        <v>1660</v>
      </c>
      <c r="FR228" s="766"/>
      <c r="FS228" s="766"/>
      <c r="FT228" s="766"/>
      <c r="FU228" s="766"/>
      <c r="FV228" s="766"/>
      <c r="FW228" s="766"/>
      <c r="FX228" s="766"/>
      <c r="FY228" s="766"/>
      <c r="FZ228" s="766"/>
      <c r="GA228" s="766"/>
      <c r="GB228" s="766"/>
      <c r="GC228" s="75"/>
      <c r="GD228" s="25"/>
      <c r="GE228" s="766"/>
      <c r="GF228" s="775"/>
      <c r="GG228" s="775"/>
      <c r="GH228" s="712" t="s">
        <v>1791</v>
      </c>
      <c r="GI228" s="766"/>
      <c r="GJ228" s="766" t="s">
        <v>1823</v>
      </c>
      <c r="GK228" s="770" t="s">
        <v>2345</v>
      </c>
      <c r="GL228" s="766"/>
      <c r="GM228" s="766"/>
      <c r="GN228" s="82">
        <v>40</v>
      </c>
      <c r="GO228" s="766"/>
      <c r="GP228" s="766" t="s">
        <v>1208</v>
      </c>
      <c r="GQ228" s="766"/>
      <c r="GR228" s="766"/>
      <c r="GS228" s="766"/>
      <c r="GT228" s="766"/>
      <c r="GU228" s="766"/>
      <c r="GV228" s="766"/>
      <c r="GW228" s="766"/>
      <c r="GX228" s="766" t="s">
        <v>1822</v>
      </c>
      <c r="GY228" s="766" t="s">
        <v>110</v>
      </c>
      <c r="GZ228" s="766"/>
      <c r="HA228" s="766"/>
      <c r="HB228" s="766" t="s">
        <v>110</v>
      </c>
      <c r="HC228" s="766"/>
      <c r="HD228" s="766"/>
      <c r="HE228" s="766"/>
      <c r="HF228" s="766"/>
      <c r="HG228" s="766"/>
      <c r="HH228" s="766"/>
      <c r="HI228" s="766"/>
      <c r="HJ228" s="766"/>
      <c r="HK228" s="766"/>
      <c r="HL228" s="766"/>
      <c r="HM228" s="766"/>
      <c r="HN228" s="766"/>
      <c r="HO228" s="766"/>
      <c r="HP228" s="766"/>
      <c r="HQ228" s="766"/>
      <c r="HR228" s="766"/>
      <c r="HS228" s="766"/>
      <c r="HT228" s="766"/>
      <c r="HU228" s="766"/>
      <c r="HV228" s="766"/>
      <c r="HW228" s="766"/>
      <c r="HX228" s="766"/>
      <c r="HY228" s="766"/>
      <c r="HZ228" s="766"/>
      <c r="IA228" s="766"/>
      <c r="IB228" s="14" t="e">
        <f>IF(#REF!&gt;0,IF(#REF!&lt;=10000,"Y",""),"")</f>
        <v>#REF!</v>
      </c>
      <c r="IC228" s="14"/>
      <c r="ID228" s="14"/>
      <c r="IE228" s="14">
        <v>1</v>
      </c>
      <c r="IF228" s="766"/>
      <c r="IG228" s="766"/>
      <c r="IH228" s="766"/>
      <c r="II228" s="766"/>
      <c r="IJ228" s="766"/>
      <c r="IK228" s="766"/>
      <c r="IL228" s="766"/>
      <c r="IM228" s="766"/>
      <c r="IN228" s="766"/>
      <c r="IO228" s="24"/>
      <c r="IP228" s="766"/>
      <c r="IQ228" s="766"/>
      <c r="IR228" s="766"/>
      <c r="IS228" s="766"/>
      <c r="IT228" s="766"/>
      <c r="IU228" s="766"/>
      <c r="IV228" s="766"/>
      <c r="IW228" s="766"/>
      <c r="IX228" s="766"/>
      <c r="IY228" s="766"/>
      <c r="IZ228" s="766"/>
      <c r="JA228" s="766"/>
      <c r="JB228" s="775"/>
      <c r="JC228" s="766"/>
      <c r="JD228" s="775"/>
      <c r="JE228" s="766"/>
      <c r="JF228" s="766"/>
      <c r="JG228" s="766"/>
      <c r="JH228" s="766"/>
      <c r="JI228" s="712" t="str">
        <f t="shared" si="62"/>
        <v>ok</v>
      </c>
      <c r="JJ228" s="766">
        <v>7</v>
      </c>
      <c r="JK228" s="1139" t="s">
        <v>1339</v>
      </c>
      <c r="JL228" s="766">
        <v>2</v>
      </c>
      <c r="JM228" s="766">
        <v>2</v>
      </c>
      <c r="JN228" s="766">
        <v>2</v>
      </c>
      <c r="JO228" s="766">
        <v>1</v>
      </c>
      <c r="JP228" s="766"/>
      <c r="JQ228" s="766"/>
      <c r="JR228" s="766"/>
      <c r="JS228" s="766"/>
      <c r="JT228" s="766">
        <f t="shared" si="69"/>
        <v>4</v>
      </c>
      <c r="JU228" s="766">
        <f t="shared" si="69"/>
        <v>3</v>
      </c>
      <c r="JV228" s="712" t="str">
        <f t="shared" si="63"/>
        <v>ok</v>
      </c>
      <c r="JW228" s="712" t="str">
        <f t="shared" si="64"/>
        <v>ok</v>
      </c>
      <c r="JX228" s="766">
        <v>1</v>
      </c>
      <c r="JY228" s="766">
        <v>1</v>
      </c>
      <c r="JZ228" s="766">
        <v>1</v>
      </c>
      <c r="KA228" s="766">
        <v>1</v>
      </c>
      <c r="KB228" s="766">
        <v>1</v>
      </c>
      <c r="KC228" s="766">
        <v>1</v>
      </c>
      <c r="KD228" s="766">
        <v>1</v>
      </c>
      <c r="KE228" s="766"/>
      <c r="KF228" s="766"/>
      <c r="KG228" s="766"/>
      <c r="KH228" s="766"/>
      <c r="KI228" s="766"/>
      <c r="KJ228" s="770">
        <f t="shared" si="58"/>
        <v>4</v>
      </c>
      <c r="KK228" s="770">
        <f t="shared" si="58"/>
        <v>3</v>
      </c>
      <c r="KL228" s="712" t="str">
        <f t="shared" si="65"/>
        <v>ok</v>
      </c>
      <c r="KM228" s="712" t="str">
        <f t="shared" si="66"/>
        <v>ok</v>
      </c>
      <c r="KN228" s="766" t="s">
        <v>722</v>
      </c>
      <c r="KO228" s="28"/>
      <c r="KP228" s="766"/>
      <c r="KQ228" s="766"/>
      <c r="KR228" s="766"/>
      <c r="KS228" s="766"/>
      <c r="KT228" s="766">
        <v>1</v>
      </c>
      <c r="KU228" s="766">
        <v>1</v>
      </c>
      <c r="KV228" s="766"/>
      <c r="KW228" s="766"/>
      <c r="KX228" s="766">
        <v>1</v>
      </c>
      <c r="KY228" s="766">
        <v>1</v>
      </c>
      <c r="KZ228" s="766"/>
      <c r="LA228" s="766"/>
      <c r="LB228" s="766"/>
      <c r="LC228" s="766"/>
      <c r="LD228" s="766"/>
      <c r="LE228" s="766"/>
      <c r="LF228" s="766"/>
      <c r="LG228" s="766"/>
      <c r="LH228" s="766">
        <v>1</v>
      </c>
      <c r="LI228" s="766"/>
      <c r="LJ228" s="766">
        <v>1</v>
      </c>
      <c r="LK228" s="766">
        <v>1</v>
      </c>
      <c r="LL228" s="766"/>
      <c r="LM228" s="766"/>
      <c r="LN228" s="766">
        <f t="shared" si="47"/>
        <v>4</v>
      </c>
      <c r="LO228" s="766">
        <f t="shared" si="47"/>
        <v>3</v>
      </c>
      <c r="LP228" s="766">
        <v>2</v>
      </c>
      <c r="LQ228" s="1678">
        <v>1</v>
      </c>
      <c r="LR228" s="766"/>
      <c r="LS228" s="766">
        <v>1</v>
      </c>
      <c r="LT228" s="712" t="str">
        <f t="shared" si="67"/>
        <v>OK</v>
      </c>
      <c r="LU228" s="766"/>
      <c r="LV228" s="766">
        <v>1</v>
      </c>
      <c r="LW228" s="766"/>
      <c r="LX228" s="769">
        <v>2</v>
      </c>
      <c r="LY228" s="766" t="str">
        <f t="shared" si="50"/>
        <v>within the MUNICIPALITY</v>
      </c>
      <c r="LZ228" s="121"/>
      <c r="MA228" s="66"/>
      <c r="MB228" s="66"/>
      <c r="MC228" s="1679">
        <f t="shared" si="41"/>
        <v>0</v>
      </c>
      <c r="MD228" s="66">
        <f>9850+800</f>
        <v>10650</v>
      </c>
      <c r="ME228" s="66"/>
      <c r="MF228" s="66">
        <v>2750</v>
      </c>
      <c r="MG228" s="1680">
        <f t="shared" si="68"/>
        <v>13400</v>
      </c>
      <c r="MH228" s="1681" t="s">
        <v>5491</v>
      </c>
      <c r="MI228" s="775">
        <v>3600</v>
      </c>
      <c r="MJ228" s="775">
        <v>600</v>
      </c>
      <c r="MK228" s="775">
        <v>125</v>
      </c>
      <c r="ML228" s="775">
        <v>133.33000000000001</v>
      </c>
      <c r="MM228" s="775">
        <v>600</v>
      </c>
      <c r="MN228" s="775"/>
      <c r="MO228" s="775">
        <v>200</v>
      </c>
      <c r="MP228" s="775">
        <v>700</v>
      </c>
      <c r="MQ228" s="775">
        <v>270</v>
      </c>
      <c r="MR228" s="775">
        <v>600</v>
      </c>
      <c r="MS228" s="775"/>
      <c r="MT228" s="775"/>
      <c r="MU228" s="775"/>
      <c r="MV228" s="775"/>
      <c r="MW228" s="775"/>
      <c r="MX228" s="775">
        <v>600</v>
      </c>
      <c r="MY228" s="1682">
        <f t="shared" si="49"/>
        <v>7428.33</v>
      </c>
      <c r="MZ228" s="766" t="s">
        <v>1835</v>
      </c>
      <c r="NA228" s="766" t="s">
        <v>13333</v>
      </c>
      <c r="NB228" s="766" t="s">
        <v>13105</v>
      </c>
      <c r="NC228" s="766" t="s">
        <v>13135</v>
      </c>
      <c r="ND228" s="766">
        <v>0</v>
      </c>
      <c r="NE228" s="766">
        <v>0</v>
      </c>
      <c r="NF228" s="766">
        <v>0</v>
      </c>
      <c r="NG228" s="766">
        <v>1</v>
      </c>
      <c r="NH228" s="766">
        <v>1</v>
      </c>
      <c r="NI228" s="766">
        <v>0</v>
      </c>
      <c r="NJ228" s="766">
        <v>0</v>
      </c>
      <c r="NK228" s="766">
        <v>0</v>
      </c>
      <c r="NL228" s="766">
        <v>0</v>
      </c>
      <c r="NM228" s="766">
        <v>1</v>
      </c>
      <c r="NN228" s="766">
        <v>0</v>
      </c>
      <c r="NO228" s="766">
        <v>0</v>
      </c>
      <c r="NP228" s="766">
        <v>0</v>
      </c>
      <c r="NQ228" s="766">
        <v>1</v>
      </c>
      <c r="NR228" s="766">
        <v>0</v>
      </c>
      <c r="NS228" s="766">
        <v>0</v>
      </c>
      <c r="NT228" s="766">
        <v>0</v>
      </c>
      <c r="NU228" s="766">
        <v>0</v>
      </c>
      <c r="NV228" s="766">
        <v>0</v>
      </c>
      <c r="NW228" s="766">
        <v>0</v>
      </c>
      <c r="NX228" s="766">
        <v>0</v>
      </c>
      <c r="NY228" s="766" t="s">
        <v>1208</v>
      </c>
      <c r="NZ228" s="766" t="s">
        <v>1208</v>
      </c>
      <c r="OA228" s="766" t="s">
        <v>1208</v>
      </c>
      <c r="OB228" s="766" t="s">
        <v>1208</v>
      </c>
      <c r="OC228" s="766" t="s">
        <v>1208</v>
      </c>
      <c r="OD228" s="766" t="s">
        <v>1208</v>
      </c>
      <c r="OE228" s="766"/>
      <c r="OF228" s="766" t="s">
        <v>13334</v>
      </c>
      <c r="OG228" s="766"/>
      <c r="OH228" s="766" t="s">
        <v>13124</v>
      </c>
      <c r="OI228" s="766" t="s">
        <v>13137</v>
      </c>
      <c r="OJ228" s="766" t="s">
        <v>110</v>
      </c>
      <c r="OK228" s="766"/>
      <c r="OL228" s="766" t="s">
        <v>13335</v>
      </c>
      <c r="OM228" s="766" t="s">
        <v>13137</v>
      </c>
      <c r="ON228" s="766" t="s">
        <v>13152</v>
      </c>
      <c r="OO228" s="766" t="s">
        <v>1207</v>
      </c>
      <c r="OP228" s="766" t="s">
        <v>13336</v>
      </c>
      <c r="OQ228" s="766" t="s">
        <v>13337</v>
      </c>
      <c r="OR228" s="766" t="s">
        <v>13338</v>
      </c>
      <c r="OS228" s="766" t="s">
        <v>13339</v>
      </c>
      <c r="OT228" s="766" t="s">
        <v>13336</v>
      </c>
      <c r="OU228" s="766"/>
      <c r="OV228" s="766" t="s">
        <v>1208</v>
      </c>
      <c r="OW228" s="766" t="s">
        <v>1208</v>
      </c>
      <c r="OX228" s="766" t="s">
        <v>1208</v>
      </c>
      <c r="OY228" s="766"/>
      <c r="OZ228" s="766" t="s">
        <v>1208</v>
      </c>
      <c r="PA228" s="766" t="s">
        <v>1208</v>
      </c>
      <c r="PB228" s="766"/>
      <c r="PC228" s="766"/>
      <c r="PD228" s="766"/>
      <c r="PE228" s="766"/>
      <c r="PF228" s="766"/>
      <c r="PG228" s="766"/>
      <c r="PH228" s="766"/>
      <c r="PI228" s="766"/>
      <c r="PJ228" s="766"/>
      <c r="PK228" s="766" t="s">
        <v>1208</v>
      </c>
      <c r="PL228" s="766"/>
      <c r="PM228" s="766"/>
      <c r="PN228" s="766"/>
      <c r="PO228" s="766"/>
      <c r="PP228" s="766"/>
      <c r="PQ228" s="766"/>
      <c r="PR228" s="766"/>
      <c r="PS228" s="766"/>
      <c r="PT228" s="766"/>
      <c r="PU228" s="766" t="s">
        <v>1208</v>
      </c>
      <c r="PV228" s="766" t="s">
        <v>1208</v>
      </c>
      <c r="PW228" s="766"/>
      <c r="PX228" s="766"/>
      <c r="PY228" s="766"/>
      <c r="PZ228" s="766"/>
      <c r="QA228" s="766"/>
      <c r="QB228" s="766"/>
      <c r="QC228" s="766"/>
      <c r="QD228" s="766"/>
      <c r="QE228" s="766"/>
      <c r="QF228" s="766"/>
      <c r="QG228" s="766"/>
      <c r="QH228" s="766"/>
      <c r="QI228" s="766"/>
      <c r="QJ228" s="766"/>
      <c r="QK228" s="766"/>
      <c r="QL228" s="766"/>
      <c r="QM228" s="766"/>
      <c r="QN228" s="766"/>
      <c r="QO228" s="766"/>
      <c r="QP228" s="766"/>
      <c r="QQ228" s="766"/>
      <c r="QR228" s="766"/>
      <c r="QS228" s="766"/>
      <c r="QT228" s="766"/>
      <c r="QU228" s="766"/>
      <c r="QV228" s="766"/>
      <c r="QW228" s="766"/>
      <c r="QX228" s="766"/>
      <c r="QY228" s="766"/>
      <c r="QZ228" s="766"/>
      <c r="RA228" s="766"/>
      <c r="RB228" s="766"/>
      <c r="RC228" s="766"/>
      <c r="RD228" s="766"/>
      <c r="RE228" s="766"/>
      <c r="RF228" s="777"/>
      <c r="RG228" s="766"/>
      <c r="RH228" s="775"/>
      <c r="RI228" s="766"/>
      <c r="RJ228" s="766" t="s">
        <v>1339</v>
      </c>
      <c r="RK228" s="766" t="s">
        <v>13340</v>
      </c>
      <c r="RL228" s="1683"/>
      <c r="RM228" s="12"/>
      <c r="RN228" s="1711"/>
      <c r="RO228" s="148" t="s">
        <v>389</v>
      </c>
      <c r="RP228" s="11"/>
      <c r="RQ228" s="11"/>
      <c r="RR228" s="19" t="s">
        <v>7421</v>
      </c>
      <c r="RS228" s="1139" t="s">
        <v>12980</v>
      </c>
      <c r="RT228" s="11"/>
      <c r="RU228" s="11"/>
      <c r="RV228" s="766" t="s">
        <v>7421</v>
      </c>
      <c r="RW228" s="11" t="s">
        <v>7590</v>
      </c>
      <c r="RX228" s="11" t="s">
        <v>381</v>
      </c>
      <c r="RY228" s="11"/>
      <c r="RZ228" s="1020" t="s">
        <v>1101</v>
      </c>
      <c r="SA228" s="766"/>
      <c r="SB228" s="11"/>
      <c r="SC228" s="11"/>
    </row>
    <row r="229" spans="1:497" ht="12.75" customHeight="1">
      <c r="A229" s="767" t="s">
        <v>7421</v>
      </c>
      <c r="B229" s="292" t="s">
        <v>7593</v>
      </c>
      <c r="C229" s="148" t="s">
        <v>391</v>
      </c>
      <c r="D229" s="14" t="s">
        <v>5821</v>
      </c>
      <c r="E229" s="766" t="s">
        <v>5846</v>
      </c>
      <c r="F229" s="766" t="s">
        <v>28</v>
      </c>
      <c r="G229" s="766" t="s">
        <v>10</v>
      </c>
      <c r="H229" s="766"/>
      <c r="I229" s="5" t="s">
        <v>393</v>
      </c>
      <c r="J229" s="14" t="s">
        <v>392</v>
      </c>
      <c r="K229" s="766" t="s">
        <v>374</v>
      </c>
      <c r="L229" s="766" t="s">
        <v>375</v>
      </c>
      <c r="M229" s="766"/>
      <c r="N229" s="766"/>
      <c r="O229" s="766"/>
      <c r="P229" s="14" t="s">
        <v>918</v>
      </c>
      <c r="Q229" s="1085">
        <v>17824</v>
      </c>
      <c r="R229" s="25">
        <v>68</v>
      </c>
      <c r="S229" s="770" t="s">
        <v>10</v>
      </c>
      <c r="T229" s="766"/>
      <c r="U229" s="26" t="s">
        <v>393</v>
      </c>
      <c r="V229" s="766" t="s">
        <v>707</v>
      </c>
      <c r="W229" s="766"/>
      <c r="X229" s="24"/>
      <c r="Y229" s="766" t="s">
        <v>377</v>
      </c>
      <c r="Z229" s="766" t="s">
        <v>708</v>
      </c>
      <c r="AA229" s="766" t="s">
        <v>739</v>
      </c>
      <c r="AB229" s="766" t="s">
        <v>710</v>
      </c>
      <c r="AC229" s="766" t="s">
        <v>919</v>
      </c>
      <c r="AD229" s="766"/>
      <c r="AE229" s="766" t="s">
        <v>920</v>
      </c>
      <c r="AF229" s="766"/>
      <c r="AG229" s="766" t="s">
        <v>1165</v>
      </c>
      <c r="AH229" s="766" t="s">
        <v>1096</v>
      </c>
      <c r="AI229" s="766"/>
      <c r="AJ229" s="766" t="s">
        <v>427</v>
      </c>
      <c r="AK229" s="766" t="s">
        <v>1101</v>
      </c>
      <c r="AL229" s="773">
        <v>22.5</v>
      </c>
      <c r="AM229" s="772">
        <v>22.5</v>
      </c>
      <c r="AN229" s="774">
        <v>1</v>
      </c>
      <c r="AO229" s="766" t="s">
        <v>1122</v>
      </c>
      <c r="AP229" s="766"/>
      <c r="AQ229" s="766"/>
      <c r="AR229" s="766"/>
      <c r="AS229" s="766"/>
      <c r="AT229" s="766"/>
      <c r="AU229" s="766"/>
      <c r="AV229" s="766"/>
      <c r="AW229" s="766"/>
      <c r="AX229" s="766"/>
      <c r="AY229" s="766"/>
      <c r="AZ229" s="766"/>
      <c r="BA229" s="766"/>
      <c r="BB229" s="766"/>
      <c r="BC229" s="766"/>
      <c r="BD229" s="766"/>
      <c r="BE229" s="766"/>
      <c r="BF229" s="775"/>
      <c r="BG229" s="775"/>
      <c r="BH229" s="766">
        <v>2</v>
      </c>
      <c r="BI229" s="766" t="s">
        <v>1227</v>
      </c>
      <c r="BJ229" s="766"/>
      <c r="BK229" s="766" t="s">
        <v>1095</v>
      </c>
      <c r="BL229" s="766" t="s">
        <v>1340</v>
      </c>
      <c r="BM229" s="766" t="s">
        <v>1096</v>
      </c>
      <c r="BN229" s="766" t="s">
        <v>1230</v>
      </c>
      <c r="BO229" s="766" t="s">
        <v>1246</v>
      </c>
      <c r="BP229" s="1111">
        <v>22.5</v>
      </c>
      <c r="BQ229" s="772">
        <v>22.5</v>
      </c>
      <c r="BR229" s="774">
        <f t="shared" si="61"/>
        <v>1</v>
      </c>
      <c r="BS229" s="766" t="s">
        <v>1257</v>
      </c>
      <c r="BT229" s="766" t="s">
        <v>8133</v>
      </c>
      <c r="BU229" s="766" t="s">
        <v>1267</v>
      </c>
      <c r="BV229" s="766" t="s">
        <v>1247</v>
      </c>
      <c r="BW229" s="769"/>
      <c r="BX229" s="775">
        <v>8000</v>
      </c>
      <c r="BY229" s="766"/>
      <c r="BZ229" s="775"/>
      <c r="CA229" s="766"/>
      <c r="CB229" s="766" t="s">
        <v>1207</v>
      </c>
      <c r="CC229" s="766"/>
      <c r="CD229" s="766"/>
      <c r="CE229" s="766"/>
      <c r="CF229" s="777"/>
      <c r="CG229" s="231"/>
      <c r="CH229" s="766"/>
      <c r="CI229" s="766"/>
      <c r="CJ229" s="766"/>
      <c r="CK229" s="766"/>
      <c r="CL229" s="766"/>
      <c r="CM229" s="766"/>
      <c r="CN229" s="766"/>
      <c r="CO229" s="766"/>
      <c r="CP229" s="766"/>
      <c r="CQ229" s="766"/>
      <c r="CR229" s="775"/>
      <c r="CS229" s="766"/>
      <c r="CT229" s="766"/>
      <c r="CU229" s="129"/>
      <c r="CV229" s="766"/>
      <c r="CW229" s="766"/>
      <c r="CX229" s="766"/>
      <c r="CY229" s="766" t="s">
        <v>1340</v>
      </c>
      <c r="CZ229" s="766">
        <v>2007</v>
      </c>
      <c r="DA229" s="66">
        <v>7000</v>
      </c>
      <c r="DB229" s="766" t="s">
        <v>1507</v>
      </c>
      <c r="DC229" s="766" t="s">
        <v>1508</v>
      </c>
      <c r="DD229" s="766" t="s">
        <v>1509</v>
      </c>
      <c r="DE229" s="772">
        <v>10</v>
      </c>
      <c r="DF229" s="766">
        <v>3</v>
      </c>
      <c r="DG229" s="766" t="s">
        <v>1257</v>
      </c>
      <c r="DH229" s="766"/>
      <c r="DI229" s="766"/>
      <c r="DJ229" s="766"/>
      <c r="DK229" s="766"/>
      <c r="DL229" s="766"/>
      <c r="DM229" s="766"/>
      <c r="DN229" s="44"/>
      <c r="DO229" s="766"/>
      <c r="DP229" s="766"/>
      <c r="DQ229" s="766"/>
      <c r="DR229" s="766"/>
      <c r="DS229" s="59"/>
      <c r="DT229" s="766"/>
      <c r="DU229" s="766"/>
      <c r="DV229" s="766"/>
      <c r="DW229" s="66"/>
      <c r="DX229" s="66"/>
      <c r="DY229" s="766"/>
      <c r="DZ229" s="766"/>
      <c r="EA229" s="766"/>
      <c r="EB229" s="766"/>
      <c r="EC229" s="766"/>
      <c r="ED229" s="766"/>
      <c r="EE229" s="766"/>
      <c r="EF229" s="766"/>
      <c r="EG229" s="766"/>
      <c r="EH229" s="766"/>
      <c r="EI229" s="766"/>
      <c r="EJ229" s="766"/>
      <c r="EK229" s="766"/>
      <c r="EL229" s="766"/>
      <c r="EM229" s="766"/>
      <c r="EN229" s="766"/>
      <c r="EO229" s="766"/>
      <c r="EP229" s="14"/>
      <c r="EQ229" s="766"/>
      <c r="ER229" s="766"/>
      <c r="ES229" s="766"/>
      <c r="ET229" s="766"/>
      <c r="EU229" s="766"/>
      <c r="EV229" s="766"/>
      <c r="EW229" s="766"/>
      <c r="EX229" s="766"/>
      <c r="EY229" s="766"/>
      <c r="EZ229" s="766"/>
      <c r="FA229" s="766" t="s">
        <v>1491</v>
      </c>
      <c r="FB229" s="766" t="s">
        <v>1257</v>
      </c>
      <c r="FC229" s="766"/>
      <c r="FD229" s="775">
        <v>2000</v>
      </c>
      <c r="FE229" s="766" t="s">
        <v>1240</v>
      </c>
      <c r="FF229" s="766"/>
      <c r="FG229" s="770"/>
      <c r="FH229" s="766" t="s">
        <v>478</v>
      </c>
      <c r="FI229" s="766">
        <v>1</v>
      </c>
      <c r="FJ229" s="766"/>
      <c r="FK229" s="766"/>
      <c r="FL229" s="766"/>
      <c r="FM229" s="775"/>
      <c r="FN229" s="775"/>
      <c r="FO229" s="775"/>
      <c r="FP229" s="766" t="s">
        <v>1602</v>
      </c>
      <c r="FQ229" s="766" t="s">
        <v>1660</v>
      </c>
      <c r="FR229" s="766"/>
      <c r="FS229" s="766"/>
      <c r="FT229" s="766"/>
      <c r="FU229" s="766"/>
      <c r="FV229" s="766"/>
      <c r="FW229" s="766"/>
      <c r="FX229" s="766"/>
      <c r="FY229" s="766"/>
      <c r="FZ229" s="766"/>
      <c r="GA229" s="766"/>
      <c r="GB229" s="766"/>
      <c r="GC229" s="75"/>
      <c r="GD229" s="25"/>
      <c r="GE229" s="766"/>
      <c r="GF229" s="775"/>
      <c r="GG229" s="775"/>
      <c r="GH229" s="712" t="s">
        <v>14260</v>
      </c>
      <c r="GI229" s="766"/>
      <c r="GJ229" s="766" t="s">
        <v>1824</v>
      </c>
      <c r="GK229" s="766"/>
      <c r="GL229" s="766"/>
      <c r="GM229" s="766"/>
      <c r="GN229" s="82"/>
      <c r="GO229" s="766"/>
      <c r="GP229" s="766"/>
      <c r="GQ229" s="766"/>
      <c r="GR229" s="766"/>
      <c r="GS229" s="766"/>
      <c r="GT229" s="766"/>
      <c r="GU229" s="766"/>
      <c r="GV229" s="766"/>
      <c r="GW229" s="766"/>
      <c r="GX229" s="766"/>
      <c r="GY229" s="766"/>
      <c r="GZ229" s="766"/>
      <c r="HA229" s="766"/>
      <c r="HB229" s="766"/>
      <c r="HC229" s="766"/>
      <c r="HD229" s="766"/>
      <c r="HE229" s="766"/>
      <c r="HF229" s="766"/>
      <c r="HG229" s="766"/>
      <c r="HH229" s="766"/>
      <c r="HI229" s="766"/>
      <c r="HJ229" s="766"/>
      <c r="HK229" s="766"/>
      <c r="HL229" s="766"/>
      <c r="HM229" s="766"/>
      <c r="HN229" s="766"/>
      <c r="HO229" s="766"/>
      <c r="HP229" s="766"/>
      <c r="HQ229" s="766"/>
      <c r="HR229" s="766"/>
      <c r="HS229" s="766"/>
      <c r="HT229" s="766">
        <v>1</v>
      </c>
      <c r="HU229" s="766"/>
      <c r="HV229" s="766"/>
      <c r="HW229" s="766"/>
      <c r="HX229" s="766"/>
      <c r="HY229" s="766"/>
      <c r="HZ229" s="766"/>
      <c r="IA229" s="766"/>
      <c r="IB229" s="14" t="e">
        <f>IF(#REF!&gt;0,IF(#REF!&lt;=10000,"Y",""),"")</f>
        <v>#REF!</v>
      </c>
      <c r="IC229" s="14"/>
      <c r="ID229" s="14">
        <v>1</v>
      </c>
      <c r="IE229" s="14"/>
      <c r="IF229" s="766"/>
      <c r="IG229" s="766"/>
      <c r="IH229" s="766"/>
      <c r="II229" s="766"/>
      <c r="IJ229" s="766"/>
      <c r="IK229" s="766"/>
      <c r="IL229" s="766"/>
      <c r="IM229" s="766"/>
      <c r="IN229" s="766"/>
      <c r="IO229" s="24"/>
      <c r="IP229" s="766"/>
      <c r="IQ229" s="766"/>
      <c r="IR229" s="770"/>
      <c r="IS229" s="775"/>
      <c r="IT229" s="766"/>
      <c r="IU229" s="766"/>
      <c r="IV229" s="766"/>
      <c r="IW229" s="766"/>
      <c r="IX229" s="766"/>
      <c r="IY229" s="766"/>
      <c r="IZ229" s="766"/>
      <c r="JA229" s="766"/>
      <c r="JB229" s="766"/>
      <c r="JC229" s="766"/>
      <c r="JD229" s="775"/>
      <c r="JE229" s="766"/>
      <c r="JF229" s="766"/>
      <c r="JG229" s="766"/>
      <c r="JH229" s="766"/>
      <c r="JI229" s="712" t="str">
        <f t="shared" si="62"/>
        <v>ok</v>
      </c>
      <c r="JJ229" s="766">
        <v>11</v>
      </c>
      <c r="JK229" s="1139" t="s">
        <v>1978</v>
      </c>
      <c r="JL229" s="766">
        <v>4</v>
      </c>
      <c r="JM229" s="766">
        <v>1</v>
      </c>
      <c r="JN229" s="766">
        <v>2</v>
      </c>
      <c r="JO229" s="766">
        <v>3</v>
      </c>
      <c r="JP229" s="766">
        <v>1</v>
      </c>
      <c r="JQ229" s="766"/>
      <c r="JR229" s="766"/>
      <c r="JS229" s="766"/>
      <c r="JT229" s="766">
        <f t="shared" si="69"/>
        <v>7</v>
      </c>
      <c r="JU229" s="766">
        <f t="shared" si="69"/>
        <v>4</v>
      </c>
      <c r="JV229" s="712" t="str">
        <f t="shared" si="63"/>
        <v>ok</v>
      </c>
      <c r="JW229" s="712" t="str">
        <f t="shared" si="64"/>
        <v>ok</v>
      </c>
      <c r="JX229" s="766">
        <v>2</v>
      </c>
      <c r="JY229" s="766">
        <v>1</v>
      </c>
      <c r="JZ229" s="766">
        <v>2</v>
      </c>
      <c r="KA229" s="766"/>
      <c r="KB229" s="766">
        <v>1</v>
      </c>
      <c r="KC229" s="766">
        <v>1</v>
      </c>
      <c r="KD229" s="766">
        <v>1</v>
      </c>
      <c r="KE229" s="766">
        <v>2</v>
      </c>
      <c r="KF229" s="766">
        <v>1</v>
      </c>
      <c r="KG229" s="766"/>
      <c r="KH229" s="766"/>
      <c r="KI229" s="766"/>
      <c r="KJ229" s="770">
        <f t="shared" si="58"/>
        <v>7</v>
      </c>
      <c r="KK229" s="770">
        <f t="shared" si="58"/>
        <v>4</v>
      </c>
      <c r="KL229" s="712" t="str">
        <f t="shared" si="65"/>
        <v>ok</v>
      </c>
      <c r="KM229" s="712" t="str">
        <f t="shared" si="66"/>
        <v>ok</v>
      </c>
      <c r="KN229" s="766" t="s">
        <v>707</v>
      </c>
      <c r="KO229" s="28"/>
      <c r="KP229" s="766">
        <v>1</v>
      </c>
      <c r="KQ229" s="766"/>
      <c r="KR229" s="766"/>
      <c r="KS229" s="766"/>
      <c r="KT229" s="766">
        <v>4</v>
      </c>
      <c r="KU229" s="766">
        <v>1</v>
      </c>
      <c r="KV229" s="766">
        <v>1</v>
      </c>
      <c r="KW229" s="766"/>
      <c r="KX229" s="766"/>
      <c r="KY229" s="766">
        <v>1</v>
      </c>
      <c r="KZ229" s="766"/>
      <c r="LA229" s="766">
        <v>1</v>
      </c>
      <c r="LB229" s="766"/>
      <c r="LC229" s="766"/>
      <c r="LD229" s="766"/>
      <c r="LE229" s="766"/>
      <c r="LF229" s="766"/>
      <c r="LG229" s="766"/>
      <c r="LH229" s="766"/>
      <c r="LI229" s="766"/>
      <c r="LJ229" s="766">
        <v>1</v>
      </c>
      <c r="LK229" s="766">
        <v>1</v>
      </c>
      <c r="LL229" s="766"/>
      <c r="LM229" s="766"/>
      <c r="LN229" s="766">
        <f t="shared" si="47"/>
        <v>7</v>
      </c>
      <c r="LO229" s="766">
        <f t="shared" si="47"/>
        <v>4</v>
      </c>
      <c r="LP229" s="766">
        <v>5</v>
      </c>
      <c r="LQ229" s="1678">
        <v>3</v>
      </c>
      <c r="LR229" s="766"/>
      <c r="LS229" s="766">
        <v>2</v>
      </c>
      <c r="LT229" s="712" t="str">
        <f t="shared" si="67"/>
        <v>OK</v>
      </c>
      <c r="LU229" s="766">
        <v>3</v>
      </c>
      <c r="LV229" s="766"/>
      <c r="LW229" s="766"/>
      <c r="LX229" s="769">
        <v>1</v>
      </c>
      <c r="LY229" s="766" t="str">
        <f t="shared" si="50"/>
        <v>within the BRGY</v>
      </c>
      <c r="LZ229" s="121">
        <f>SUM(900,1500,1500)</f>
        <v>3900</v>
      </c>
      <c r="MA229" s="66"/>
      <c r="MB229" s="66"/>
      <c r="MC229" s="1679">
        <f t="shared" ref="MC229:MC292" si="70">SUM(LZ229:MB229)</f>
        <v>3900</v>
      </c>
      <c r="MD229" s="66">
        <f>SUM(15000,10000,10000)</f>
        <v>35000</v>
      </c>
      <c r="ME229" s="66"/>
      <c r="MF229" s="66">
        <f>36000/12</f>
        <v>3000</v>
      </c>
      <c r="MG229" s="1680">
        <f t="shared" si="68"/>
        <v>38000</v>
      </c>
      <c r="MH229" s="1681" t="s">
        <v>13341</v>
      </c>
      <c r="MI229" s="775">
        <v>1500</v>
      </c>
      <c r="MJ229" s="775">
        <v>3900</v>
      </c>
      <c r="MK229" s="775">
        <f>QUOTIENT(500,12)</f>
        <v>41</v>
      </c>
      <c r="ML229" s="775">
        <v>300</v>
      </c>
      <c r="MM229" s="775">
        <v>2000</v>
      </c>
      <c r="MN229" s="775"/>
      <c r="MO229" s="775">
        <v>200</v>
      </c>
      <c r="MP229" s="775"/>
      <c r="MQ229" s="775">
        <v>300</v>
      </c>
      <c r="MR229" s="775">
        <v>400</v>
      </c>
      <c r="MS229" s="775"/>
      <c r="MT229" s="775"/>
      <c r="MU229" s="775"/>
      <c r="MV229" s="775"/>
      <c r="MW229" s="775"/>
      <c r="MX229" s="775"/>
      <c r="MY229" s="1682">
        <f t="shared" si="49"/>
        <v>8641</v>
      </c>
      <c r="MZ229" s="766" t="s">
        <v>1835</v>
      </c>
      <c r="NA229" s="766" t="s">
        <v>1249</v>
      </c>
      <c r="NB229" s="766" t="s">
        <v>13143</v>
      </c>
      <c r="NC229" s="766" t="s">
        <v>13026</v>
      </c>
      <c r="ND229" s="766">
        <v>0</v>
      </c>
      <c r="NE229" s="766">
        <v>0</v>
      </c>
      <c r="NF229" s="766">
        <v>0</v>
      </c>
      <c r="NG229" s="766">
        <v>2</v>
      </c>
      <c r="NH229" s="766">
        <v>1</v>
      </c>
      <c r="NI229" s="766">
        <v>0</v>
      </c>
      <c r="NJ229" s="766">
        <v>0</v>
      </c>
      <c r="NK229" s="766">
        <v>0</v>
      </c>
      <c r="NL229" s="766">
        <v>0</v>
      </c>
      <c r="NM229" s="766">
        <v>0</v>
      </c>
      <c r="NN229" s="766">
        <v>0</v>
      </c>
      <c r="NO229" s="766">
        <v>1</v>
      </c>
      <c r="NP229" s="766">
        <v>0</v>
      </c>
      <c r="NQ229" s="766">
        <v>1</v>
      </c>
      <c r="NR229" s="766">
        <v>0</v>
      </c>
      <c r="NS229" s="766">
        <v>0</v>
      </c>
      <c r="NT229" s="766">
        <v>0</v>
      </c>
      <c r="NU229" s="766">
        <v>0</v>
      </c>
      <c r="NV229" s="766">
        <v>0</v>
      </c>
      <c r="NW229" s="766">
        <v>0</v>
      </c>
      <c r="NX229" s="766">
        <v>0</v>
      </c>
      <c r="NY229" s="766" t="s">
        <v>1208</v>
      </c>
      <c r="NZ229" s="766" t="s">
        <v>1208</v>
      </c>
      <c r="OA229" s="766" t="s">
        <v>1208</v>
      </c>
      <c r="OB229" s="766" t="s">
        <v>1208</v>
      </c>
      <c r="OC229" s="766" t="s">
        <v>1208</v>
      </c>
      <c r="OD229" s="766"/>
      <c r="OE229" s="766"/>
      <c r="OF229" s="766" t="s">
        <v>12982</v>
      </c>
      <c r="OG229" s="766"/>
      <c r="OH229" s="766"/>
      <c r="OI229" s="766"/>
      <c r="OJ229" s="766"/>
      <c r="OK229" s="766"/>
      <c r="OL229" s="766"/>
      <c r="OM229" s="766"/>
      <c r="ON229" s="766"/>
      <c r="OO229" s="766"/>
      <c r="OP229" s="766"/>
      <c r="OQ229" s="766"/>
      <c r="OR229" s="766"/>
      <c r="OS229" s="766"/>
      <c r="OT229" s="766"/>
      <c r="OU229" s="766"/>
      <c r="OV229" s="766"/>
      <c r="OW229" s="766"/>
      <c r="OX229" s="766"/>
      <c r="OY229" s="766"/>
      <c r="OZ229" s="766"/>
      <c r="PA229" s="766"/>
      <c r="PB229" s="766"/>
      <c r="PC229" s="766"/>
      <c r="PD229" s="766"/>
      <c r="PE229" s="766"/>
      <c r="PF229" s="766"/>
      <c r="PG229" s="766"/>
      <c r="PH229" s="766"/>
      <c r="PI229" s="766"/>
      <c r="PJ229" s="766"/>
      <c r="PK229" s="766" t="s">
        <v>1208</v>
      </c>
      <c r="PL229" s="766"/>
      <c r="PM229" s="766"/>
      <c r="PN229" s="766"/>
      <c r="PO229" s="766"/>
      <c r="PP229" s="766"/>
      <c r="PQ229" s="766"/>
      <c r="PR229" s="766"/>
      <c r="PS229" s="766" t="s">
        <v>1208</v>
      </c>
      <c r="PT229" s="766" t="s">
        <v>1208</v>
      </c>
      <c r="PU229" s="766"/>
      <c r="PV229" s="766"/>
      <c r="PW229" s="766"/>
      <c r="PX229" s="766"/>
      <c r="PY229" s="766"/>
      <c r="PZ229" s="766"/>
      <c r="QA229" s="766"/>
      <c r="QB229" s="766"/>
      <c r="QC229" s="766"/>
      <c r="QD229" s="766"/>
      <c r="QE229" s="766"/>
      <c r="QF229" s="766"/>
      <c r="QG229" s="766"/>
      <c r="QH229" s="766"/>
      <c r="QI229" s="766"/>
      <c r="QJ229" s="766"/>
      <c r="QK229" s="766"/>
      <c r="QL229" s="766"/>
      <c r="QM229" s="766"/>
      <c r="QN229" s="766"/>
      <c r="QO229" s="766"/>
      <c r="QP229" s="766"/>
      <c r="QQ229" s="766"/>
      <c r="QR229" s="766"/>
      <c r="QS229" s="766"/>
      <c r="QT229" s="766"/>
      <c r="QU229" s="766"/>
      <c r="QV229" s="766"/>
      <c r="QW229" s="766"/>
      <c r="QX229" s="766"/>
      <c r="QY229" s="766"/>
      <c r="QZ229" s="766"/>
      <c r="RA229" s="766"/>
      <c r="RB229" s="770" t="s">
        <v>1207</v>
      </c>
      <c r="RC229" s="766">
        <v>2012</v>
      </c>
      <c r="RD229" s="766" t="s">
        <v>13223</v>
      </c>
      <c r="RE229" s="766" t="s">
        <v>13125</v>
      </c>
      <c r="RF229" s="777">
        <v>1.5</v>
      </c>
      <c r="RG229" s="766" t="s">
        <v>13107</v>
      </c>
      <c r="RH229" s="775">
        <v>800</v>
      </c>
      <c r="RI229" s="766">
        <v>144</v>
      </c>
      <c r="RJ229" s="766" t="s">
        <v>13342</v>
      </c>
      <c r="RK229" s="766" t="s">
        <v>13146</v>
      </c>
      <c r="RL229" s="1683"/>
      <c r="RM229" s="12"/>
      <c r="RN229" s="1711"/>
      <c r="RO229" s="148" t="s">
        <v>391</v>
      </c>
      <c r="RP229" s="11"/>
      <c r="RQ229" s="11"/>
      <c r="RR229" s="19" t="s">
        <v>7421</v>
      </c>
      <c r="RS229" s="1139" t="s">
        <v>12980</v>
      </c>
      <c r="RT229" s="11"/>
      <c r="RU229" s="11"/>
      <c r="RV229" s="766" t="s">
        <v>7421</v>
      </c>
      <c r="RW229" s="11" t="s">
        <v>7591</v>
      </c>
      <c r="RX229" s="11" t="s">
        <v>384</v>
      </c>
      <c r="RY229" s="11"/>
      <c r="RZ229" s="1020" t="s">
        <v>1101</v>
      </c>
      <c r="SA229" s="766"/>
      <c r="SB229" s="11"/>
      <c r="SC229" s="11"/>
    </row>
    <row r="230" spans="1:497" ht="12.75" customHeight="1">
      <c r="A230" s="767" t="s">
        <v>7421</v>
      </c>
      <c r="B230" s="292" t="s">
        <v>7594</v>
      </c>
      <c r="C230" s="148" t="s">
        <v>394</v>
      </c>
      <c r="D230" s="14" t="s">
        <v>395</v>
      </c>
      <c r="E230" s="766" t="s">
        <v>922</v>
      </c>
      <c r="F230" s="766" t="s">
        <v>28</v>
      </c>
      <c r="G230" s="766" t="s">
        <v>18</v>
      </c>
      <c r="H230" s="766"/>
      <c r="I230" s="5"/>
      <c r="J230" s="14" t="s">
        <v>395</v>
      </c>
      <c r="K230" s="766" t="s">
        <v>374</v>
      </c>
      <c r="L230" s="766" t="s">
        <v>375</v>
      </c>
      <c r="M230" s="766"/>
      <c r="N230" s="766"/>
      <c r="O230" s="766"/>
      <c r="P230" s="14" t="s">
        <v>921</v>
      </c>
      <c r="Q230" s="1085">
        <v>19925</v>
      </c>
      <c r="R230" s="25">
        <v>62</v>
      </c>
      <c r="S230" s="770" t="s">
        <v>10</v>
      </c>
      <c r="T230" s="766"/>
      <c r="U230" s="163" t="s">
        <v>5346</v>
      </c>
      <c r="V230" s="766" t="s">
        <v>722</v>
      </c>
      <c r="W230" s="766" t="s">
        <v>11625</v>
      </c>
      <c r="X230" s="24"/>
      <c r="Y230" s="766" t="s">
        <v>922</v>
      </c>
      <c r="Z230" s="766" t="s">
        <v>708</v>
      </c>
      <c r="AA230" s="766" t="s">
        <v>923</v>
      </c>
      <c r="AB230" s="766" t="s">
        <v>7275</v>
      </c>
      <c r="AC230" s="766" t="s">
        <v>777</v>
      </c>
      <c r="AD230" s="766"/>
      <c r="AE230" s="766"/>
      <c r="AF230" s="766"/>
      <c r="AG230" s="766" t="s">
        <v>1165</v>
      </c>
      <c r="AH230" s="766" t="s">
        <v>1096</v>
      </c>
      <c r="AI230" s="766"/>
      <c r="AJ230" s="766" t="s">
        <v>427</v>
      </c>
      <c r="AK230" s="766" t="s">
        <v>1101</v>
      </c>
      <c r="AL230" s="773">
        <v>16.5</v>
      </c>
      <c r="AM230" s="772">
        <v>16.5</v>
      </c>
      <c r="AN230" s="774">
        <v>1</v>
      </c>
      <c r="AO230" s="766" t="s">
        <v>1122</v>
      </c>
      <c r="AP230" s="766"/>
      <c r="AQ230" s="766"/>
      <c r="AR230" s="766"/>
      <c r="AS230" s="766"/>
      <c r="AT230" s="766"/>
      <c r="AU230" s="766"/>
      <c r="AV230" s="766"/>
      <c r="AW230" s="766"/>
      <c r="AX230" s="766"/>
      <c r="AY230" s="766"/>
      <c r="AZ230" s="766"/>
      <c r="BA230" s="766"/>
      <c r="BB230" s="766"/>
      <c r="BC230" s="766"/>
      <c r="BD230" s="766"/>
      <c r="BE230" s="766"/>
      <c r="BF230" s="775"/>
      <c r="BG230" s="775"/>
      <c r="BH230" s="766"/>
      <c r="BI230" s="766"/>
      <c r="BJ230" s="766"/>
      <c r="BK230" s="766" t="s">
        <v>1095</v>
      </c>
      <c r="BL230" s="766" t="s">
        <v>1341</v>
      </c>
      <c r="BM230" s="766" t="s">
        <v>1096</v>
      </c>
      <c r="BN230" s="766" t="s">
        <v>1230</v>
      </c>
      <c r="BO230" s="766" t="s">
        <v>1333</v>
      </c>
      <c r="BP230" s="1111">
        <v>16.5</v>
      </c>
      <c r="BQ230" s="772">
        <v>16.5</v>
      </c>
      <c r="BR230" s="774">
        <f t="shared" si="61"/>
        <v>1</v>
      </c>
      <c r="BS230" s="766" t="s">
        <v>1257</v>
      </c>
      <c r="BT230" s="766" t="s">
        <v>1326</v>
      </c>
      <c r="BU230" s="766" t="s">
        <v>1288</v>
      </c>
      <c r="BV230" s="766" t="s">
        <v>1335</v>
      </c>
      <c r="BW230" s="766">
        <v>2008</v>
      </c>
      <c r="BX230" s="775"/>
      <c r="BY230" s="766"/>
      <c r="BZ230" s="775"/>
      <c r="CA230" s="766"/>
      <c r="CB230" s="766"/>
      <c r="CC230" s="766"/>
      <c r="CD230" s="766"/>
      <c r="CE230" s="766"/>
      <c r="CF230" s="777"/>
      <c r="CG230" s="231"/>
      <c r="CH230" s="766"/>
      <c r="CI230" s="766"/>
      <c r="CJ230" s="766"/>
      <c r="CK230" s="766"/>
      <c r="CL230" s="766"/>
      <c r="CM230" s="766"/>
      <c r="CN230" s="766"/>
      <c r="CO230" s="766"/>
      <c r="CP230" s="766"/>
      <c r="CQ230" s="766"/>
      <c r="CR230" s="775"/>
      <c r="CS230" s="766"/>
      <c r="CT230" s="766"/>
      <c r="CU230" s="129"/>
      <c r="CV230" s="766"/>
      <c r="CW230" s="766"/>
      <c r="CX230" s="766"/>
      <c r="CY230" s="766"/>
      <c r="CZ230" s="766"/>
      <c r="DA230" s="66"/>
      <c r="DB230" s="766"/>
      <c r="DC230" s="766"/>
      <c r="DD230" s="766"/>
      <c r="DE230" s="772"/>
      <c r="DF230" s="766"/>
      <c r="DG230" s="766"/>
      <c r="DH230" s="766"/>
      <c r="DI230" s="766"/>
      <c r="DJ230" s="766"/>
      <c r="DK230" s="766"/>
      <c r="DL230" s="766"/>
      <c r="DM230" s="766"/>
      <c r="DN230" s="44"/>
      <c r="DO230" s="766"/>
      <c r="DP230" s="766"/>
      <c r="DQ230" s="766"/>
      <c r="DR230" s="766"/>
      <c r="DS230" s="59"/>
      <c r="DT230" s="766"/>
      <c r="DU230" s="766"/>
      <c r="DV230" s="766"/>
      <c r="DW230" s="66"/>
      <c r="DX230" s="66"/>
      <c r="DY230" s="766"/>
      <c r="DZ230" s="766"/>
      <c r="EA230" s="766"/>
      <c r="EB230" s="766"/>
      <c r="EC230" s="766"/>
      <c r="ED230" s="766"/>
      <c r="EE230" s="766"/>
      <c r="EF230" s="766"/>
      <c r="EG230" s="766"/>
      <c r="EH230" s="766"/>
      <c r="EI230" s="766"/>
      <c r="EJ230" s="766"/>
      <c r="EK230" s="766"/>
      <c r="EL230" s="766"/>
      <c r="EM230" s="766"/>
      <c r="EN230" s="766"/>
      <c r="EO230" s="766"/>
      <c r="EP230" s="14"/>
      <c r="EQ230" s="766"/>
      <c r="ER230" s="766"/>
      <c r="ES230" s="766"/>
      <c r="ET230" s="766"/>
      <c r="EU230" s="766"/>
      <c r="EV230" s="766"/>
      <c r="EW230" s="766"/>
      <c r="EX230" s="766"/>
      <c r="EY230" s="766"/>
      <c r="EZ230" s="766"/>
      <c r="FA230" s="766"/>
      <c r="FB230" s="766"/>
      <c r="FC230" s="766"/>
      <c r="FD230" s="775"/>
      <c r="FE230" s="766"/>
      <c r="FF230" s="766"/>
      <c r="FG230" s="766"/>
      <c r="FH230" s="766" t="s">
        <v>478</v>
      </c>
      <c r="FI230" s="766">
        <v>1</v>
      </c>
      <c r="FJ230" s="766" t="s">
        <v>1632</v>
      </c>
      <c r="FK230" s="1083" t="s">
        <v>5346</v>
      </c>
      <c r="FL230" s="766" t="s">
        <v>1633</v>
      </c>
      <c r="FM230" s="775"/>
      <c r="FN230" s="775"/>
      <c r="FO230" s="775"/>
      <c r="FP230" s="766" t="s">
        <v>1602</v>
      </c>
      <c r="FQ230" s="766" t="s">
        <v>1660</v>
      </c>
      <c r="FR230" s="766"/>
      <c r="FS230" s="766"/>
      <c r="FT230" s="766"/>
      <c r="FU230" s="766"/>
      <c r="FV230" s="766"/>
      <c r="FW230" s="766"/>
      <c r="FX230" s="766"/>
      <c r="FY230" s="766"/>
      <c r="FZ230" s="766"/>
      <c r="GA230" s="766"/>
      <c r="GB230" s="766"/>
      <c r="GC230" s="75"/>
      <c r="GD230" s="25"/>
      <c r="GE230" s="766"/>
      <c r="GF230" s="775"/>
      <c r="GG230" s="775"/>
      <c r="GH230" s="712" t="s">
        <v>14260</v>
      </c>
      <c r="GI230" s="766"/>
      <c r="GJ230" s="766"/>
      <c r="GK230" s="766"/>
      <c r="GL230" s="766"/>
      <c r="GM230" s="766"/>
      <c r="GN230" s="82"/>
      <c r="GO230" s="766"/>
      <c r="GP230" s="766"/>
      <c r="GQ230" s="766"/>
      <c r="GR230" s="766"/>
      <c r="GS230" s="766"/>
      <c r="GT230" s="766"/>
      <c r="GU230" s="766"/>
      <c r="GV230" s="766"/>
      <c r="GW230" s="766"/>
      <c r="GX230" s="766"/>
      <c r="GY230" s="766"/>
      <c r="GZ230" s="766"/>
      <c r="HA230" s="766"/>
      <c r="HB230" s="766"/>
      <c r="HC230" s="766"/>
      <c r="HD230" s="766"/>
      <c r="HE230" s="766"/>
      <c r="HF230" s="766"/>
      <c r="HG230" s="766"/>
      <c r="HH230" s="766"/>
      <c r="HI230" s="766"/>
      <c r="HJ230" s="766"/>
      <c r="HK230" s="766"/>
      <c r="HL230" s="766"/>
      <c r="HM230" s="766"/>
      <c r="HN230" s="766"/>
      <c r="HO230" s="766"/>
      <c r="HP230" s="766"/>
      <c r="HQ230" s="766"/>
      <c r="HR230" s="766"/>
      <c r="HS230" s="766"/>
      <c r="HT230" s="766"/>
      <c r="HU230" s="766"/>
      <c r="HV230" s="766"/>
      <c r="HW230" s="766"/>
      <c r="HX230" s="766"/>
      <c r="HY230" s="766"/>
      <c r="HZ230" s="766"/>
      <c r="IA230" s="766"/>
      <c r="IB230" s="14" t="e">
        <f>IF(#REF!&gt;0,IF(#REF!&lt;=10000,"Y",""),"")</f>
        <v>#REF!</v>
      </c>
      <c r="IC230" s="14"/>
      <c r="ID230" s="14">
        <v>1</v>
      </c>
      <c r="IE230" s="14"/>
      <c r="IF230" s="766"/>
      <c r="IG230" s="766"/>
      <c r="IH230" s="766"/>
      <c r="II230" s="766"/>
      <c r="IJ230" s="766"/>
      <c r="IK230" s="766"/>
      <c r="IL230" s="766"/>
      <c r="IM230" s="766"/>
      <c r="IN230" s="766"/>
      <c r="IO230" s="24"/>
      <c r="IP230" s="766"/>
      <c r="IQ230" s="766"/>
      <c r="IR230" s="766"/>
      <c r="IS230" s="766"/>
      <c r="IT230" s="766"/>
      <c r="IU230" s="766"/>
      <c r="IV230" s="766"/>
      <c r="IW230" s="766"/>
      <c r="IX230" s="766"/>
      <c r="IY230" s="766"/>
      <c r="IZ230" s="766"/>
      <c r="JA230" s="766"/>
      <c r="JB230" s="766"/>
      <c r="JC230" s="766"/>
      <c r="JD230" s="775"/>
      <c r="JE230" s="766"/>
      <c r="JF230" s="766"/>
      <c r="JG230" s="766"/>
      <c r="JH230" s="766"/>
      <c r="JI230" s="712" t="str">
        <f t="shared" si="62"/>
        <v>ok</v>
      </c>
      <c r="JJ230" s="766">
        <v>6</v>
      </c>
      <c r="JK230" s="1139" t="s">
        <v>2084</v>
      </c>
      <c r="JL230" s="766">
        <v>1</v>
      </c>
      <c r="JM230" s="766">
        <v>1</v>
      </c>
      <c r="JN230" s="766">
        <v>3</v>
      </c>
      <c r="JO230" s="766">
        <v>1</v>
      </c>
      <c r="JP230" s="766"/>
      <c r="JQ230" s="766"/>
      <c r="JR230" s="766"/>
      <c r="JS230" s="766"/>
      <c r="JT230" s="766">
        <f t="shared" si="69"/>
        <v>4</v>
      </c>
      <c r="JU230" s="766">
        <f t="shared" si="69"/>
        <v>2</v>
      </c>
      <c r="JV230" s="712" t="str">
        <f t="shared" si="63"/>
        <v>ok</v>
      </c>
      <c r="JW230" s="712" t="str">
        <f t="shared" si="64"/>
        <v>ok</v>
      </c>
      <c r="JX230" s="766"/>
      <c r="JY230" s="766"/>
      <c r="JZ230" s="766">
        <v>1</v>
      </c>
      <c r="KA230" s="766"/>
      <c r="KB230" s="766">
        <v>2</v>
      </c>
      <c r="KC230" s="766">
        <v>1</v>
      </c>
      <c r="KD230" s="766"/>
      <c r="KE230" s="766">
        <v>1</v>
      </c>
      <c r="KF230" s="766">
        <v>1</v>
      </c>
      <c r="KG230" s="766"/>
      <c r="KH230" s="766"/>
      <c r="KI230" s="766"/>
      <c r="KJ230" s="770">
        <f t="shared" si="58"/>
        <v>4</v>
      </c>
      <c r="KK230" s="770">
        <f t="shared" si="58"/>
        <v>2</v>
      </c>
      <c r="KL230" s="712" t="str">
        <f t="shared" si="65"/>
        <v>ok</v>
      </c>
      <c r="KM230" s="712" t="str">
        <f t="shared" si="66"/>
        <v>ok</v>
      </c>
      <c r="KN230" s="766" t="s">
        <v>722</v>
      </c>
      <c r="KO230" s="28"/>
      <c r="KP230" s="766"/>
      <c r="KQ230" s="766"/>
      <c r="KR230" s="766"/>
      <c r="KS230" s="766"/>
      <c r="KT230" s="766">
        <v>1</v>
      </c>
      <c r="KU230" s="766"/>
      <c r="KV230" s="766">
        <v>1</v>
      </c>
      <c r="KW230" s="766"/>
      <c r="KX230" s="766">
        <v>2</v>
      </c>
      <c r="KY230" s="766">
        <v>1</v>
      </c>
      <c r="KZ230" s="766"/>
      <c r="LA230" s="766">
        <v>1</v>
      </c>
      <c r="LB230" s="766"/>
      <c r="LC230" s="766"/>
      <c r="LD230" s="766"/>
      <c r="LE230" s="766"/>
      <c r="LF230" s="766"/>
      <c r="LG230" s="766"/>
      <c r="LH230" s="766"/>
      <c r="LI230" s="766"/>
      <c r="LJ230" s="766"/>
      <c r="LK230" s="766"/>
      <c r="LL230" s="766"/>
      <c r="LM230" s="766"/>
      <c r="LN230" s="766">
        <f>SUM(KP230,KR230,KT230,KV230,KX230,KZ230,LB230,LD230,LF230,LH230,LJ230,LL230)</f>
        <v>4</v>
      </c>
      <c r="LO230" s="766">
        <f>SUM(KQ230,KS230,KU230,KW230,KY230,LA230,LC230,LE230,LG230,LI230,LK230,LM230)</f>
        <v>2</v>
      </c>
      <c r="LP230" s="766">
        <v>4</v>
      </c>
      <c r="LQ230" s="1678">
        <v>3</v>
      </c>
      <c r="LR230" s="766">
        <v>1</v>
      </c>
      <c r="LS230" s="766"/>
      <c r="LT230" s="712" t="str">
        <f t="shared" si="67"/>
        <v>OK</v>
      </c>
      <c r="LU230" s="766">
        <v>1</v>
      </c>
      <c r="LV230" s="766">
        <v>1</v>
      </c>
      <c r="LW230" s="766">
        <v>1</v>
      </c>
      <c r="LX230" s="769">
        <v>1</v>
      </c>
      <c r="LY230" s="766" t="str">
        <f t="shared" si="50"/>
        <v>within the BRGY</v>
      </c>
      <c r="LZ230" s="121"/>
      <c r="MA230" s="66">
        <v>100</v>
      </c>
      <c r="MB230" s="66"/>
      <c r="MC230" s="1679">
        <f t="shared" si="70"/>
        <v>100</v>
      </c>
      <c r="MD230" s="66">
        <f>SUM(11000,1000,2400,10000)</f>
        <v>24400</v>
      </c>
      <c r="ME230" s="66">
        <v>1000</v>
      </c>
      <c r="MF230" s="66"/>
      <c r="MG230" s="1680">
        <f t="shared" si="68"/>
        <v>25400</v>
      </c>
      <c r="MH230" s="1681" t="s">
        <v>2215</v>
      </c>
      <c r="MI230" s="775">
        <v>9000</v>
      </c>
      <c r="MJ230" s="775">
        <v>1000</v>
      </c>
      <c r="MK230" s="775">
        <v>500</v>
      </c>
      <c r="ML230" s="775"/>
      <c r="MM230" s="775"/>
      <c r="MN230" s="775"/>
      <c r="MO230" s="775">
        <v>200</v>
      </c>
      <c r="MP230" s="775"/>
      <c r="MQ230" s="775"/>
      <c r="MR230" s="775"/>
      <c r="MS230" s="775">
        <v>500</v>
      </c>
      <c r="MT230" s="775"/>
      <c r="MU230" s="775"/>
      <c r="MV230" s="775"/>
      <c r="MW230" s="775"/>
      <c r="MX230" s="775"/>
      <c r="MY230" s="1682">
        <f t="shared" si="49"/>
        <v>11200</v>
      </c>
      <c r="MZ230" s="766" t="s">
        <v>1835</v>
      </c>
      <c r="NA230" s="766" t="s">
        <v>13326</v>
      </c>
      <c r="NB230" s="766" t="s">
        <v>13033</v>
      </c>
      <c r="NC230" s="766" t="s">
        <v>13026</v>
      </c>
      <c r="ND230" s="766">
        <v>0</v>
      </c>
      <c r="NE230" s="766">
        <v>0</v>
      </c>
      <c r="NF230" s="766">
        <v>0</v>
      </c>
      <c r="NG230" s="766">
        <v>0</v>
      </c>
      <c r="NH230" s="766">
        <v>0</v>
      </c>
      <c r="NI230" s="766">
        <v>0</v>
      </c>
      <c r="NJ230" s="766">
        <v>0</v>
      </c>
      <c r="NK230" s="766">
        <v>0</v>
      </c>
      <c r="NL230" s="766">
        <v>0</v>
      </c>
      <c r="NM230" s="766">
        <v>0</v>
      </c>
      <c r="NN230" s="766">
        <v>0</v>
      </c>
      <c r="NO230" s="766">
        <v>0</v>
      </c>
      <c r="NP230" s="766">
        <v>0</v>
      </c>
      <c r="NQ230" s="766">
        <v>1</v>
      </c>
      <c r="NR230" s="766">
        <v>0</v>
      </c>
      <c r="NS230" s="766">
        <v>0</v>
      </c>
      <c r="NT230" s="766">
        <v>0</v>
      </c>
      <c r="NU230" s="766">
        <v>0</v>
      </c>
      <c r="NV230" s="766">
        <v>0</v>
      </c>
      <c r="NW230" s="766">
        <v>0</v>
      </c>
      <c r="NX230" s="766">
        <v>0</v>
      </c>
      <c r="NY230" s="766" t="s">
        <v>1208</v>
      </c>
      <c r="NZ230" s="766" t="s">
        <v>1208</v>
      </c>
      <c r="OA230" s="766" t="s">
        <v>1208</v>
      </c>
      <c r="OB230" s="766"/>
      <c r="OC230" s="766" t="s">
        <v>1208</v>
      </c>
      <c r="OD230" s="766"/>
      <c r="OE230" s="766"/>
      <c r="OF230" s="766" t="s">
        <v>13343</v>
      </c>
      <c r="OG230" s="766"/>
      <c r="OH230" s="766"/>
      <c r="OI230" s="766"/>
      <c r="OJ230" s="766"/>
      <c r="OK230" s="766"/>
      <c r="OL230" s="766"/>
      <c r="OM230" s="766"/>
      <c r="ON230" s="766"/>
      <c r="OO230" s="766"/>
      <c r="OP230" s="766"/>
      <c r="OQ230" s="766"/>
      <c r="OR230" s="766"/>
      <c r="OS230" s="766"/>
      <c r="OT230" s="766"/>
      <c r="OU230" s="766"/>
      <c r="OV230" s="766"/>
      <c r="OW230" s="766"/>
      <c r="OX230" s="766"/>
      <c r="OY230" s="766"/>
      <c r="OZ230" s="766"/>
      <c r="PA230" s="766"/>
      <c r="PB230" s="766"/>
      <c r="PC230" s="766"/>
      <c r="PD230" s="766"/>
      <c r="PE230" s="766"/>
      <c r="PF230" s="766"/>
      <c r="PG230" s="766"/>
      <c r="PH230" s="766" t="s">
        <v>1208</v>
      </c>
      <c r="PI230" s="766"/>
      <c r="PJ230" s="766"/>
      <c r="PK230" s="766"/>
      <c r="PL230" s="766"/>
      <c r="PM230" s="766"/>
      <c r="PN230" s="766"/>
      <c r="PO230" s="766"/>
      <c r="PP230" s="766"/>
      <c r="PQ230" s="766"/>
      <c r="PR230" s="766"/>
      <c r="PS230" s="766" t="s">
        <v>1208</v>
      </c>
      <c r="PT230" s="766" t="s">
        <v>1208</v>
      </c>
      <c r="PU230" s="766"/>
      <c r="PV230" s="766"/>
      <c r="PW230" s="766"/>
      <c r="PX230" s="766"/>
      <c r="PY230" s="766"/>
      <c r="PZ230" s="766"/>
      <c r="QA230" s="766"/>
      <c r="QB230" s="766"/>
      <c r="QC230" s="766"/>
      <c r="QD230" s="766"/>
      <c r="QE230" s="766"/>
      <c r="QF230" s="766"/>
      <c r="QG230" s="766"/>
      <c r="QH230" s="766"/>
      <c r="QI230" s="766"/>
      <c r="QJ230" s="766"/>
      <c r="QK230" s="766"/>
      <c r="QL230" s="766"/>
      <c r="QM230" s="766"/>
      <c r="QN230" s="766"/>
      <c r="QO230" s="766"/>
      <c r="QP230" s="766"/>
      <c r="QQ230" s="766"/>
      <c r="QR230" s="766"/>
      <c r="QS230" s="766"/>
      <c r="QT230" s="766"/>
      <c r="QU230" s="766"/>
      <c r="QV230" s="766"/>
      <c r="QW230" s="766"/>
      <c r="QX230" s="766"/>
      <c r="QY230" s="766"/>
      <c r="QZ230" s="766"/>
      <c r="RA230" s="766"/>
      <c r="RB230" s="770" t="s">
        <v>1207</v>
      </c>
      <c r="RC230" s="766">
        <v>2009</v>
      </c>
      <c r="RD230" s="766" t="s">
        <v>13223</v>
      </c>
      <c r="RE230" s="766" t="s">
        <v>12999</v>
      </c>
      <c r="RF230" s="777">
        <v>3</v>
      </c>
      <c r="RG230" s="766" t="s">
        <v>13344</v>
      </c>
      <c r="RH230" s="775" t="s">
        <v>835</v>
      </c>
      <c r="RI230" s="766" t="s">
        <v>13345</v>
      </c>
      <c r="RJ230" s="766" t="s">
        <v>1632</v>
      </c>
      <c r="RK230" s="766" t="s">
        <v>13206</v>
      </c>
      <c r="RL230" s="1683"/>
      <c r="RM230" s="12"/>
      <c r="RN230" s="1711"/>
      <c r="RO230" s="148" t="s">
        <v>394</v>
      </c>
      <c r="RP230" s="11"/>
      <c r="RQ230" s="11"/>
      <c r="RR230" s="19" t="s">
        <v>7421</v>
      </c>
      <c r="RS230" s="1139" t="s">
        <v>12980</v>
      </c>
      <c r="RT230" s="11"/>
      <c r="RU230" s="11"/>
      <c r="RV230" s="766" t="s">
        <v>7421</v>
      </c>
      <c r="RW230" s="11" t="s">
        <v>7592</v>
      </c>
      <c r="RX230" s="11" t="s">
        <v>389</v>
      </c>
      <c r="RY230" s="11"/>
      <c r="RZ230" s="1020" t="s">
        <v>1101</v>
      </c>
      <c r="SA230" s="766"/>
      <c r="SB230" s="11"/>
      <c r="SC230" s="11"/>
    </row>
    <row r="231" spans="1:497" ht="12.75" customHeight="1">
      <c r="A231" s="767" t="s">
        <v>7421</v>
      </c>
      <c r="B231" s="292" t="s">
        <v>7595</v>
      </c>
      <c r="C231" s="148" t="s">
        <v>396</v>
      </c>
      <c r="D231" s="14" t="s">
        <v>397</v>
      </c>
      <c r="E231" s="766" t="s">
        <v>415</v>
      </c>
      <c r="F231" s="766" t="s">
        <v>20</v>
      </c>
      <c r="G231" s="766" t="s">
        <v>18</v>
      </c>
      <c r="H231" s="766"/>
      <c r="I231" s="5"/>
      <c r="J231" s="14" t="s">
        <v>398</v>
      </c>
      <c r="K231" s="766" t="s">
        <v>399</v>
      </c>
      <c r="L231" s="766" t="s">
        <v>400</v>
      </c>
      <c r="M231" s="766"/>
      <c r="N231" s="766"/>
      <c r="O231" s="766"/>
      <c r="P231" s="14" t="s">
        <v>398</v>
      </c>
      <c r="Q231" s="1085">
        <v>26557</v>
      </c>
      <c r="R231" s="25">
        <v>44</v>
      </c>
      <c r="S231" s="770" t="s">
        <v>10</v>
      </c>
      <c r="T231" s="766"/>
      <c r="U231" s="26" t="s">
        <v>924</v>
      </c>
      <c r="V231" s="766" t="s">
        <v>722</v>
      </c>
      <c r="W231" s="766"/>
      <c r="X231" s="24"/>
      <c r="Y231" s="766" t="s">
        <v>5432</v>
      </c>
      <c r="Z231" s="766" t="s">
        <v>708</v>
      </c>
      <c r="AA231" s="766" t="s">
        <v>709</v>
      </c>
      <c r="AB231" s="766" t="s">
        <v>710</v>
      </c>
      <c r="AC231" s="766" t="s">
        <v>925</v>
      </c>
      <c r="AD231" s="766"/>
      <c r="AE231" s="766"/>
      <c r="AF231" s="766" t="s">
        <v>712</v>
      </c>
      <c r="AG231" s="766" t="s">
        <v>1165</v>
      </c>
      <c r="AH231" s="766" t="s">
        <v>1096</v>
      </c>
      <c r="AI231" s="766"/>
      <c r="AJ231" s="766" t="s">
        <v>427</v>
      </c>
      <c r="AK231" s="766" t="s">
        <v>1101</v>
      </c>
      <c r="AL231" s="773">
        <v>8</v>
      </c>
      <c r="AM231" s="772">
        <v>8</v>
      </c>
      <c r="AN231" s="774">
        <v>1</v>
      </c>
      <c r="AO231" s="766" t="s">
        <v>1122</v>
      </c>
      <c r="AP231" s="766"/>
      <c r="AQ231" s="766"/>
      <c r="AR231" s="766"/>
      <c r="AS231" s="766"/>
      <c r="AT231" s="766"/>
      <c r="AU231" s="766"/>
      <c r="AV231" s="766"/>
      <c r="AW231" s="766"/>
      <c r="AX231" s="766"/>
      <c r="AY231" s="766"/>
      <c r="AZ231" s="766"/>
      <c r="BA231" s="766"/>
      <c r="BB231" s="766"/>
      <c r="BC231" s="766"/>
      <c r="BD231" s="766"/>
      <c r="BE231" s="766"/>
      <c r="BF231" s="775"/>
      <c r="BG231" s="775"/>
      <c r="BH231" s="766">
        <v>2</v>
      </c>
      <c r="BI231" s="766">
        <v>1</v>
      </c>
      <c r="BJ231" s="766">
        <v>2</v>
      </c>
      <c r="BK231" s="766" t="s">
        <v>1095</v>
      </c>
      <c r="BL231" s="766" t="s">
        <v>1342</v>
      </c>
      <c r="BM231" s="766" t="s">
        <v>1096</v>
      </c>
      <c r="BN231" s="766" t="s">
        <v>1230</v>
      </c>
      <c r="BO231" s="766" t="s">
        <v>1333</v>
      </c>
      <c r="BP231" s="1111">
        <v>8</v>
      </c>
      <c r="BQ231" s="772">
        <v>8</v>
      </c>
      <c r="BR231" s="774">
        <f t="shared" si="61"/>
        <v>1</v>
      </c>
      <c r="BS231" s="766" t="s">
        <v>1257</v>
      </c>
      <c r="BT231" s="766" t="s">
        <v>8133</v>
      </c>
      <c r="BU231" s="766" t="s">
        <v>1267</v>
      </c>
      <c r="BV231" s="766" t="s">
        <v>1335</v>
      </c>
      <c r="BW231" s="769"/>
      <c r="BX231" s="775"/>
      <c r="BY231" s="766"/>
      <c r="BZ231" s="775"/>
      <c r="CA231" s="766"/>
      <c r="CB231" s="766"/>
      <c r="CC231" s="766"/>
      <c r="CD231" s="766"/>
      <c r="CE231" s="766"/>
      <c r="CF231" s="777"/>
      <c r="CG231" s="231"/>
      <c r="CH231" s="766"/>
      <c r="CI231" s="766"/>
      <c r="CJ231" s="766"/>
      <c r="CK231" s="766"/>
      <c r="CL231" s="766"/>
      <c r="CM231" s="766"/>
      <c r="CN231" s="766"/>
      <c r="CO231" s="766"/>
      <c r="CP231" s="766"/>
      <c r="CQ231" s="766"/>
      <c r="CR231" s="775"/>
      <c r="CS231" s="766"/>
      <c r="CT231" s="766"/>
      <c r="CU231" s="129"/>
      <c r="CV231" s="766"/>
      <c r="CW231" s="766"/>
      <c r="CX231" s="766"/>
      <c r="CY231" s="766"/>
      <c r="CZ231" s="766"/>
      <c r="DA231" s="66"/>
      <c r="DB231" s="766"/>
      <c r="DC231" s="766"/>
      <c r="DD231" s="766"/>
      <c r="DE231" s="772"/>
      <c r="DF231" s="766"/>
      <c r="DG231" s="766"/>
      <c r="DH231" s="766"/>
      <c r="DI231" s="766"/>
      <c r="DJ231" s="766"/>
      <c r="DK231" s="766"/>
      <c r="DL231" s="766"/>
      <c r="DM231" s="766"/>
      <c r="DN231" s="44"/>
      <c r="DO231" s="766"/>
      <c r="DP231" s="766"/>
      <c r="DQ231" s="766"/>
      <c r="DR231" s="766"/>
      <c r="DS231" s="59"/>
      <c r="DT231" s="766"/>
      <c r="DU231" s="766"/>
      <c r="DV231" s="766"/>
      <c r="DW231" s="66"/>
      <c r="DX231" s="66"/>
      <c r="DY231" s="766"/>
      <c r="DZ231" s="766"/>
      <c r="EA231" s="766"/>
      <c r="EB231" s="766"/>
      <c r="EC231" s="766"/>
      <c r="ED231" s="766"/>
      <c r="EE231" s="766"/>
      <c r="EF231" s="766"/>
      <c r="EG231" s="766"/>
      <c r="EH231" s="766"/>
      <c r="EI231" s="766"/>
      <c r="EJ231" s="766"/>
      <c r="EK231" s="766"/>
      <c r="EL231" s="766"/>
      <c r="EM231" s="766"/>
      <c r="EN231" s="766"/>
      <c r="EO231" s="766"/>
      <c r="EP231" s="14"/>
      <c r="EQ231" s="766"/>
      <c r="ER231" s="766"/>
      <c r="ES231" s="766"/>
      <c r="ET231" s="766"/>
      <c r="EU231" s="766"/>
      <c r="EV231" s="766"/>
      <c r="EW231" s="766"/>
      <c r="EX231" s="766"/>
      <c r="EY231" s="766"/>
      <c r="EZ231" s="766"/>
      <c r="FA231" s="766"/>
      <c r="FB231" s="766"/>
      <c r="FC231" s="766"/>
      <c r="FD231" s="775"/>
      <c r="FE231" s="766"/>
      <c r="FF231" s="766"/>
      <c r="FG231" s="766"/>
      <c r="FH231" s="766" t="s">
        <v>478</v>
      </c>
      <c r="FI231" s="766">
        <v>1</v>
      </c>
      <c r="FJ231" s="766"/>
      <c r="FK231" s="766"/>
      <c r="FL231" s="766"/>
      <c r="FM231" s="775"/>
      <c r="FN231" s="775"/>
      <c r="FO231" s="775"/>
      <c r="FP231" s="766" t="s">
        <v>1602</v>
      </c>
      <c r="FQ231" s="766" t="s">
        <v>1660</v>
      </c>
      <c r="FR231" s="766"/>
      <c r="FS231" s="766"/>
      <c r="FT231" s="766"/>
      <c r="FU231" s="766"/>
      <c r="FV231" s="766"/>
      <c r="FW231" s="766"/>
      <c r="FX231" s="766"/>
      <c r="FY231" s="766"/>
      <c r="FZ231" s="766"/>
      <c r="GA231" s="766"/>
      <c r="GB231" s="766"/>
      <c r="GC231" s="75"/>
      <c r="GD231" s="25"/>
      <c r="GE231" s="766"/>
      <c r="GF231" s="775"/>
      <c r="GG231" s="775"/>
      <c r="GH231" s="712" t="s">
        <v>1825</v>
      </c>
      <c r="GI231" s="766"/>
      <c r="GJ231" s="766" t="s">
        <v>1823</v>
      </c>
      <c r="GK231" s="770" t="s">
        <v>2345</v>
      </c>
      <c r="GL231" s="766"/>
      <c r="GM231" s="766"/>
      <c r="GN231" s="82">
        <v>80</v>
      </c>
      <c r="GO231" s="766"/>
      <c r="GP231" s="766" t="s">
        <v>1208</v>
      </c>
      <c r="GQ231" s="766" t="s">
        <v>1208</v>
      </c>
      <c r="GR231" s="766" t="s">
        <v>1208</v>
      </c>
      <c r="GS231" s="766"/>
      <c r="GT231" s="766"/>
      <c r="GU231" s="766"/>
      <c r="GV231" s="766"/>
      <c r="GW231" s="766" t="s">
        <v>1207</v>
      </c>
      <c r="GX231" s="766"/>
      <c r="GY231" s="766"/>
      <c r="GZ231" s="766"/>
      <c r="HA231" s="766" t="s">
        <v>1208</v>
      </c>
      <c r="HB231" s="766"/>
      <c r="HC231" s="766" t="s">
        <v>1208</v>
      </c>
      <c r="HD231" s="766" t="s">
        <v>1208</v>
      </c>
      <c r="HE231" s="766"/>
      <c r="HF231" s="766"/>
      <c r="HG231" s="766"/>
      <c r="HH231" s="766"/>
      <c r="HI231" s="766"/>
      <c r="HJ231" s="766"/>
      <c r="HK231" s="766"/>
      <c r="HL231" s="766"/>
      <c r="HM231" s="766"/>
      <c r="HN231" s="766"/>
      <c r="HO231" s="766"/>
      <c r="HP231" s="766"/>
      <c r="HQ231" s="766"/>
      <c r="HR231" s="766"/>
      <c r="HS231" s="766"/>
      <c r="HT231" s="766"/>
      <c r="HU231" s="766"/>
      <c r="HV231" s="766"/>
      <c r="HW231" s="766"/>
      <c r="HX231" s="766"/>
      <c r="HY231" s="766"/>
      <c r="HZ231" s="766"/>
      <c r="IA231" s="766"/>
      <c r="IB231" s="14" t="e">
        <f>IF(#REF!&gt;0,IF(#REF!&lt;=10000,"Y",""),"")</f>
        <v>#REF!</v>
      </c>
      <c r="IC231" s="14"/>
      <c r="ID231" s="14"/>
      <c r="IE231" s="14"/>
      <c r="IF231" s="766"/>
      <c r="IG231" s="766"/>
      <c r="IH231" s="766"/>
      <c r="II231" s="766"/>
      <c r="IJ231" s="766"/>
      <c r="IK231" s="766"/>
      <c r="IL231" s="766"/>
      <c r="IM231" s="766"/>
      <c r="IN231" s="766"/>
      <c r="IO231" s="24"/>
      <c r="IP231" s="766"/>
      <c r="IQ231" s="766"/>
      <c r="IR231" s="766"/>
      <c r="IS231" s="766"/>
      <c r="IT231" s="766"/>
      <c r="IU231" s="766"/>
      <c r="IV231" s="766"/>
      <c r="IW231" s="766"/>
      <c r="IX231" s="766"/>
      <c r="IY231" s="766"/>
      <c r="IZ231" s="766"/>
      <c r="JA231" s="766"/>
      <c r="JB231" s="766"/>
      <c r="JC231" s="766"/>
      <c r="JD231" s="775"/>
      <c r="JE231" s="766"/>
      <c r="JF231" s="766"/>
      <c r="JG231" s="766"/>
      <c r="JH231" s="766"/>
      <c r="JI231" s="712" t="str">
        <f t="shared" si="62"/>
        <v>ok</v>
      </c>
      <c r="JJ231" s="766">
        <v>4</v>
      </c>
      <c r="JK231" s="1139" t="s">
        <v>2085</v>
      </c>
      <c r="JL231" s="766">
        <v>1</v>
      </c>
      <c r="JM231" s="766">
        <v>1</v>
      </c>
      <c r="JN231" s="766">
        <v>1</v>
      </c>
      <c r="JO231" s="766">
        <v>1</v>
      </c>
      <c r="JP231" s="766"/>
      <c r="JQ231" s="766"/>
      <c r="JR231" s="766"/>
      <c r="JS231" s="766"/>
      <c r="JT231" s="766">
        <f t="shared" si="69"/>
        <v>2</v>
      </c>
      <c r="JU231" s="766">
        <f t="shared" si="69"/>
        <v>2</v>
      </c>
      <c r="JV231" s="712" t="str">
        <f t="shared" si="63"/>
        <v>ok</v>
      </c>
      <c r="JW231" s="712" t="str">
        <f t="shared" si="64"/>
        <v>ok</v>
      </c>
      <c r="JX231" s="766">
        <v>1</v>
      </c>
      <c r="JY231" s="766"/>
      <c r="JZ231" s="766"/>
      <c r="KA231" s="766">
        <v>1</v>
      </c>
      <c r="KB231" s="766"/>
      <c r="KC231" s="766"/>
      <c r="KD231" s="766">
        <v>1</v>
      </c>
      <c r="KE231" s="766">
        <v>1</v>
      </c>
      <c r="KF231" s="766"/>
      <c r="KG231" s="766"/>
      <c r="KH231" s="766"/>
      <c r="KI231" s="766"/>
      <c r="KJ231" s="770">
        <f t="shared" si="58"/>
        <v>2</v>
      </c>
      <c r="KK231" s="770">
        <f t="shared" si="58"/>
        <v>2</v>
      </c>
      <c r="KL231" s="712" t="str">
        <f t="shared" si="65"/>
        <v>ok</v>
      </c>
      <c r="KM231" s="712" t="str">
        <f t="shared" si="66"/>
        <v>ok</v>
      </c>
      <c r="KN231" s="766" t="s">
        <v>722</v>
      </c>
      <c r="KO231" s="28"/>
      <c r="KP231" s="766"/>
      <c r="KQ231" s="766"/>
      <c r="KR231" s="766"/>
      <c r="KS231" s="766">
        <v>1</v>
      </c>
      <c r="KT231" s="766">
        <v>1</v>
      </c>
      <c r="KU231" s="766"/>
      <c r="KV231" s="766"/>
      <c r="KW231" s="766"/>
      <c r="KX231" s="766"/>
      <c r="KY231" s="766"/>
      <c r="KZ231" s="766"/>
      <c r="LA231" s="766">
        <v>1</v>
      </c>
      <c r="LB231" s="766"/>
      <c r="LC231" s="766"/>
      <c r="LD231" s="766"/>
      <c r="LE231" s="766"/>
      <c r="LF231" s="766"/>
      <c r="LG231" s="766"/>
      <c r="LH231" s="766"/>
      <c r="LI231" s="766"/>
      <c r="LJ231" s="766">
        <v>1</v>
      </c>
      <c r="LK231" s="766"/>
      <c r="LL231" s="766"/>
      <c r="LM231" s="766"/>
      <c r="LN231" s="766">
        <f t="shared" ref="LN231:LO294" si="71">SUM(KP231,KR231,KT231,KV231,KX231,KZ231,LB231,LD231,LF231,LH231,LJ231,LL231)</f>
        <v>2</v>
      </c>
      <c r="LO231" s="766">
        <f t="shared" si="71"/>
        <v>2</v>
      </c>
      <c r="LP231" s="766">
        <v>3</v>
      </c>
      <c r="LQ231" s="1678">
        <v>2</v>
      </c>
      <c r="LR231" s="766"/>
      <c r="LS231" s="766">
        <v>1</v>
      </c>
      <c r="LT231" s="712" t="str">
        <f t="shared" si="67"/>
        <v>OK</v>
      </c>
      <c r="LU231" s="766"/>
      <c r="LV231" s="766">
        <v>1</v>
      </c>
      <c r="LW231" s="766">
        <v>1</v>
      </c>
      <c r="LX231" s="769">
        <v>1</v>
      </c>
      <c r="LY231" s="766" t="str">
        <f t="shared" ref="LY231:LY262" si="72">IF(ISBLANK(LX231)=TRUE,"",LOOKUP(LX231,RT:RU))</f>
        <v>within the BRGY</v>
      </c>
      <c r="LZ231" s="299"/>
      <c r="MA231" s="66"/>
      <c r="MB231" s="66"/>
      <c r="MC231" s="1679">
        <f t="shared" si="70"/>
        <v>0</v>
      </c>
      <c r="MD231" s="121">
        <f>SUM(5980,1500)</f>
        <v>7480</v>
      </c>
      <c r="ME231" s="66"/>
      <c r="MF231" s="66">
        <v>5000</v>
      </c>
      <c r="MG231" s="1680">
        <f t="shared" si="68"/>
        <v>12480</v>
      </c>
      <c r="MH231" s="1681" t="s">
        <v>13346</v>
      </c>
      <c r="MI231" s="775">
        <f>PRODUCT(150,30)</f>
        <v>4500</v>
      </c>
      <c r="MJ231" s="775"/>
      <c r="MK231" s="775">
        <f>QUOTIENT(500,12)</f>
        <v>41</v>
      </c>
      <c r="ML231" s="775">
        <v>200</v>
      </c>
      <c r="MM231" s="775">
        <v>100</v>
      </c>
      <c r="MN231" s="775"/>
      <c r="MO231" s="775">
        <v>40</v>
      </c>
      <c r="MP231" s="775"/>
      <c r="MQ231" s="775"/>
      <c r="MR231" s="775">
        <v>280</v>
      </c>
      <c r="MS231" s="775"/>
      <c r="MT231" s="775"/>
      <c r="MU231" s="775"/>
      <c r="MV231" s="775"/>
      <c r="MW231" s="775"/>
      <c r="MX231" s="775">
        <v>100</v>
      </c>
      <c r="MY231" s="1682">
        <f t="shared" si="49"/>
        <v>5261</v>
      </c>
      <c r="MZ231" s="766" t="s">
        <v>1835</v>
      </c>
      <c r="NA231" s="766" t="s">
        <v>1249</v>
      </c>
      <c r="NB231" s="766" t="s">
        <v>13143</v>
      </c>
      <c r="NC231" s="766" t="s">
        <v>13158</v>
      </c>
      <c r="ND231" s="766">
        <v>0</v>
      </c>
      <c r="NE231" s="766">
        <v>0</v>
      </c>
      <c r="NF231" s="766">
        <v>0</v>
      </c>
      <c r="NG231" s="766">
        <v>0</v>
      </c>
      <c r="NH231" s="766">
        <v>0</v>
      </c>
      <c r="NI231" s="766">
        <v>0</v>
      </c>
      <c r="NJ231" s="766">
        <v>0</v>
      </c>
      <c r="NK231" s="766">
        <v>0</v>
      </c>
      <c r="NL231" s="766">
        <v>0</v>
      </c>
      <c r="NM231" s="766">
        <v>0</v>
      </c>
      <c r="NN231" s="766">
        <v>0</v>
      </c>
      <c r="NO231" s="766">
        <v>0</v>
      </c>
      <c r="NP231" s="766">
        <v>0</v>
      </c>
      <c r="NQ231" s="766">
        <v>1</v>
      </c>
      <c r="NR231" s="766">
        <v>0</v>
      </c>
      <c r="NS231" s="766">
        <v>0</v>
      </c>
      <c r="NT231" s="766">
        <v>0</v>
      </c>
      <c r="NU231" s="766">
        <v>0</v>
      </c>
      <c r="NV231" s="766">
        <v>0</v>
      </c>
      <c r="NW231" s="766">
        <v>0</v>
      </c>
      <c r="NX231" s="766">
        <v>0</v>
      </c>
      <c r="NY231" s="766" t="s">
        <v>1208</v>
      </c>
      <c r="NZ231" s="766" t="s">
        <v>1208</v>
      </c>
      <c r="OA231" s="766" t="s">
        <v>1208</v>
      </c>
      <c r="OB231" s="766" t="s">
        <v>1208</v>
      </c>
      <c r="OC231" s="766"/>
      <c r="OD231" s="766"/>
      <c r="OE231" s="766"/>
      <c r="OF231" s="766" t="s">
        <v>13277</v>
      </c>
      <c r="OG231" s="766"/>
      <c r="OH231" s="766" t="s">
        <v>13347</v>
      </c>
      <c r="OI231" s="766" t="s">
        <v>13137</v>
      </c>
      <c r="OJ231" s="766" t="s">
        <v>13077</v>
      </c>
      <c r="OK231" s="766"/>
      <c r="OL231" s="766"/>
      <c r="OM231" s="766" t="s">
        <v>110</v>
      </c>
      <c r="ON231" s="766"/>
      <c r="OO231" s="766" t="s">
        <v>1214</v>
      </c>
      <c r="OP231" s="766"/>
      <c r="OQ231" s="766"/>
      <c r="OR231" s="766"/>
      <c r="OS231" s="766"/>
      <c r="OT231" s="766"/>
      <c r="OU231" s="766"/>
      <c r="OV231" s="766"/>
      <c r="OW231" s="766"/>
      <c r="OX231" s="766"/>
      <c r="OY231" s="766"/>
      <c r="OZ231" s="766"/>
      <c r="PA231" s="766"/>
      <c r="PB231" s="766"/>
      <c r="PC231" s="766"/>
      <c r="PD231" s="766"/>
      <c r="PE231" s="766"/>
      <c r="PF231" s="766"/>
      <c r="PG231" s="766"/>
      <c r="PH231" s="766"/>
      <c r="PI231" s="766"/>
      <c r="PJ231" s="766"/>
      <c r="PK231" s="766"/>
      <c r="PL231" s="766" t="s">
        <v>1208</v>
      </c>
      <c r="PM231" s="766"/>
      <c r="PN231" s="766"/>
      <c r="PO231" s="766"/>
      <c r="PP231" s="766"/>
      <c r="PQ231" s="766"/>
      <c r="PR231" s="766" t="s">
        <v>1208</v>
      </c>
      <c r="PS231" s="766" t="s">
        <v>1208</v>
      </c>
      <c r="PT231" s="766" t="s">
        <v>1208</v>
      </c>
      <c r="PU231" s="766"/>
      <c r="PV231" s="766"/>
      <c r="PW231" s="766"/>
      <c r="PX231" s="766"/>
      <c r="PY231" s="766"/>
      <c r="PZ231" s="766"/>
      <c r="QA231" s="766"/>
      <c r="QB231" s="766"/>
      <c r="QC231" s="766"/>
      <c r="QD231" s="766"/>
      <c r="QE231" s="766"/>
      <c r="QF231" s="766"/>
      <c r="QG231" s="766"/>
      <c r="QH231" s="766"/>
      <c r="QI231" s="766"/>
      <c r="QJ231" s="766"/>
      <c r="QK231" s="766"/>
      <c r="QL231" s="766"/>
      <c r="QM231" s="766"/>
      <c r="QN231" s="766"/>
      <c r="QO231" s="766"/>
      <c r="QP231" s="766"/>
      <c r="QQ231" s="766"/>
      <c r="QR231" s="766"/>
      <c r="QS231" s="766"/>
      <c r="QT231" s="766"/>
      <c r="QU231" s="766"/>
      <c r="QV231" s="766"/>
      <c r="QW231" s="766"/>
      <c r="QX231" s="766"/>
      <c r="QY231" s="766"/>
      <c r="QZ231" s="766"/>
      <c r="RA231" s="766"/>
      <c r="RB231" s="770" t="s">
        <v>1207</v>
      </c>
      <c r="RC231" s="766">
        <v>2012</v>
      </c>
      <c r="RD231" s="766" t="s">
        <v>12989</v>
      </c>
      <c r="RE231" s="766" t="s">
        <v>13008</v>
      </c>
      <c r="RF231" s="777">
        <v>1.5</v>
      </c>
      <c r="RG231" s="766" t="s">
        <v>12991</v>
      </c>
      <c r="RH231" s="775"/>
      <c r="RI231" s="766">
        <v>72</v>
      </c>
      <c r="RJ231" s="766" t="s">
        <v>1342</v>
      </c>
      <c r="RK231" s="766" t="s">
        <v>13146</v>
      </c>
      <c r="RL231" s="1683"/>
      <c r="RM231" s="12"/>
      <c r="RN231" s="1711"/>
      <c r="RO231" s="148" t="s">
        <v>396</v>
      </c>
      <c r="RP231" s="11"/>
      <c r="RQ231" s="11"/>
      <c r="RR231" s="19" t="s">
        <v>7421</v>
      </c>
      <c r="RS231" s="1139" t="s">
        <v>12980</v>
      </c>
      <c r="RT231" s="11"/>
      <c r="RU231" s="11"/>
      <c r="RV231" s="766" t="s">
        <v>7421</v>
      </c>
      <c r="RW231" s="11" t="s">
        <v>7593</v>
      </c>
      <c r="RX231" s="11" t="s">
        <v>391</v>
      </c>
      <c r="RY231" s="11"/>
      <c r="RZ231" s="1020" t="s">
        <v>1101</v>
      </c>
      <c r="SA231" s="766"/>
      <c r="SB231" s="11"/>
      <c r="SC231" s="11"/>
    </row>
    <row r="232" spans="1:497" ht="12.75" customHeight="1">
      <c r="A232" s="767" t="s">
        <v>7421</v>
      </c>
      <c r="B232" s="292" t="s">
        <v>7596</v>
      </c>
      <c r="C232" s="148" t="s">
        <v>401</v>
      </c>
      <c r="D232" s="14" t="s">
        <v>402</v>
      </c>
      <c r="E232" s="766" t="s">
        <v>5433</v>
      </c>
      <c r="F232" s="766"/>
      <c r="G232" s="766" t="s">
        <v>18</v>
      </c>
      <c r="H232" s="766"/>
      <c r="I232" s="5"/>
      <c r="J232" s="14"/>
      <c r="K232" s="766" t="s">
        <v>399</v>
      </c>
      <c r="L232" s="766" t="s">
        <v>400</v>
      </c>
      <c r="M232" s="766"/>
      <c r="N232" s="766"/>
      <c r="O232" s="766"/>
      <c r="P232" s="14" t="s">
        <v>926</v>
      </c>
      <c r="Q232" s="1085">
        <v>31824</v>
      </c>
      <c r="R232" s="25">
        <v>28</v>
      </c>
      <c r="S232" s="770" t="s">
        <v>10</v>
      </c>
      <c r="T232" s="766"/>
      <c r="U232" s="26" t="s">
        <v>927</v>
      </c>
      <c r="V232" s="766" t="s">
        <v>722</v>
      </c>
      <c r="W232" s="766"/>
      <c r="X232" s="24"/>
      <c r="Y232" s="766" t="s">
        <v>928</v>
      </c>
      <c r="Z232" s="766" t="s">
        <v>708</v>
      </c>
      <c r="AA232" s="766" t="s">
        <v>709</v>
      </c>
      <c r="AB232" s="6" t="s">
        <v>7273</v>
      </c>
      <c r="AC232" s="766" t="s">
        <v>777</v>
      </c>
      <c r="AD232" s="766" t="s">
        <v>711</v>
      </c>
      <c r="AE232" s="766"/>
      <c r="AF232" s="766"/>
      <c r="AG232" s="766" t="s">
        <v>1165</v>
      </c>
      <c r="AH232" s="766" t="s">
        <v>1096</v>
      </c>
      <c r="AI232" s="766"/>
      <c r="AJ232" s="766" t="s">
        <v>427</v>
      </c>
      <c r="AK232" s="766" t="s">
        <v>1101</v>
      </c>
      <c r="AL232" s="773">
        <v>9.1</v>
      </c>
      <c r="AM232" s="772">
        <v>9.1</v>
      </c>
      <c r="AN232" s="774">
        <v>1</v>
      </c>
      <c r="AO232" s="766" t="s">
        <v>1122</v>
      </c>
      <c r="AP232" s="766"/>
      <c r="AQ232" s="766"/>
      <c r="AR232" s="766"/>
      <c r="AS232" s="766"/>
      <c r="AT232" s="766"/>
      <c r="AU232" s="766"/>
      <c r="AV232" s="766"/>
      <c r="AW232" s="766"/>
      <c r="AX232" s="766"/>
      <c r="AY232" s="766"/>
      <c r="AZ232" s="766"/>
      <c r="BA232" s="766"/>
      <c r="BB232" s="766"/>
      <c r="BC232" s="766"/>
      <c r="BD232" s="766"/>
      <c r="BE232" s="766"/>
      <c r="BF232" s="775"/>
      <c r="BG232" s="775"/>
      <c r="BH232" s="766"/>
      <c r="BI232" s="766"/>
      <c r="BJ232" s="766"/>
      <c r="BK232" s="766" t="s">
        <v>1095</v>
      </c>
      <c r="BL232" s="766" t="s">
        <v>1343</v>
      </c>
      <c r="BM232" s="766" t="s">
        <v>1096</v>
      </c>
      <c r="BN232" s="766" t="s">
        <v>1230</v>
      </c>
      <c r="BO232" s="766" t="s">
        <v>1246</v>
      </c>
      <c r="BP232" s="1111">
        <v>9.1</v>
      </c>
      <c r="BQ232" s="772">
        <v>9.1</v>
      </c>
      <c r="BR232" s="774">
        <f t="shared" si="61"/>
        <v>1</v>
      </c>
      <c r="BS232" s="766" t="s">
        <v>1257</v>
      </c>
      <c r="BT232" s="766" t="s">
        <v>1326</v>
      </c>
      <c r="BU232" s="766" t="s">
        <v>1288</v>
      </c>
      <c r="BV232" s="766" t="s">
        <v>1291</v>
      </c>
      <c r="BW232" s="766">
        <v>2014</v>
      </c>
      <c r="BX232" s="775">
        <v>1000</v>
      </c>
      <c r="BY232" s="766"/>
      <c r="BZ232" s="775"/>
      <c r="CA232" s="766"/>
      <c r="CB232" s="766"/>
      <c r="CC232" s="766"/>
      <c r="CD232" s="766"/>
      <c r="CE232" s="766"/>
      <c r="CF232" s="777"/>
      <c r="CG232" s="231"/>
      <c r="CH232" s="766"/>
      <c r="CI232" s="766"/>
      <c r="CJ232" s="766"/>
      <c r="CK232" s="766"/>
      <c r="CL232" s="766"/>
      <c r="CM232" s="766"/>
      <c r="CN232" s="766"/>
      <c r="CO232" s="766"/>
      <c r="CP232" s="766"/>
      <c r="CQ232" s="766"/>
      <c r="CR232" s="775"/>
      <c r="CS232" s="766"/>
      <c r="CT232" s="766"/>
      <c r="CU232" s="129"/>
      <c r="CV232" s="766"/>
      <c r="CW232" s="766"/>
      <c r="CX232" s="766"/>
      <c r="CY232" s="766"/>
      <c r="CZ232" s="766"/>
      <c r="DA232" s="66"/>
      <c r="DB232" s="766"/>
      <c r="DC232" s="766"/>
      <c r="DD232" s="766"/>
      <c r="DE232" s="772"/>
      <c r="DF232" s="766"/>
      <c r="DG232" s="766"/>
      <c r="DH232" s="766"/>
      <c r="DI232" s="766"/>
      <c r="DJ232" s="766"/>
      <c r="DK232" s="766"/>
      <c r="DL232" s="766"/>
      <c r="DM232" s="766"/>
      <c r="DN232" s="44"/>
      <c r="DO232" s="766"/>
      <c r="DP232" s="766"/>
      <c r="DQ232" s="766"/>
      <c r="DR232" s="766"/>
      <c r="DS232" s="59"/>
      <c r="DT232" s="766"/>
      <c r="DU232" s="766"/>
      <c r="DV232" s="766"/>
      <c r="DW232" s="66"/>
      <c r="DX232" s="66"/>
      <c r="DY232" s="766"/>
      <c r="DZ232" s="766"/>
      <c r="EA232" s="766"/>
      <c r="EB232" s="766"/>
      <c r="EC232" s="766"/>
      <c r="ED232" s="766"/>
      <c r="EE232" s="766"/>
      <c r="EF232" s="766"/>
      <c r="EG232" s="766"/>
      <c r="EH232" s="766"/>
      <c r="EI232" s="766"/>
      <c r="EJ232" s="766"/>
      <c r="EK232" s="766"/>
      <c r="EL232" s="766"/>
      <c r="EM232" s="766"/>
      <c r="EN232" s="766"/>
      <c r="EO232" s="766"/>
      <c r="EP232" s="14"/>
      <c r="EQ232" s="766"/>
      <c r="ER232" s="766"/>
      <c r="ES232" s="766"/>
      <c r="ET232" s="766"/>
      <c r="EU232" s="766"/>
      <c r="EV232" s="766"/>
      <c r="EW232" s="766"/>
      <c r="EX232" s="766"/>
      <c r="EY232" s="766"/>
      <c r="EZ232" s="766"/>
      <c r="FA232" s="766"/>
      <c r="FB232" s="766"/>
      <c r="FC232" s="766"/>
      <c r="FD232" s="775"/>
      <c r="FE232" s="766"/>
      <c r="FF232" s="766"/>
      <c r="FG232" s="766"/>
      <c r="FH232" s="766" t="s">
        <v>478</v>
      </c>
      <c r="FI232" s="766">
        <v>1</v>
      </c>
      <c r="FJ232" s="766"/>
      <c r="FK232" s="766"/>
      <c r="FL232" s="766"/>
      <c r="FM232" s="775"/>
      <c r="FN232" s="775"/>
      <c r="FO232" s="775"/>
      <c r="FP232" s="766" t="s">
        <v>1602</v>
      </c>
      <c r="FQ232" s="766" t="s">
        <v>1660</v>
      </c>
      <c r="FR232" s="766"/>
      <c r="FS232" s="766"/>
      <c r="FT232" s="766"/>
      <c r="FU232" s="766"/>
      <c r="FV232" s="766"/>
      <c r="FW232" s="766"/>
      <c r="FX232" s="766"/>
      <c r="FY232" s="766"/>
      <c r="FZ232" s="766"/>
      <c r="GA232" s="766"/>
      <c r="GB232" s="766"/>
      <c r="GC232" s="75"/>
      <c r="GD232" s="25"/>
      <c r="GE232" s="766"/>
      <c r="GF232" s="775"/>
      <c r="GG232" s="775"/>
      <c r="GH232" s="712" t="s">
        <v>1791</v>
      </c>
      <c r="GI232" s="766" t="s">
        <v>2352</v>
      </c>
      <c r="GJ232" s="766"/>
      <c r="GK232" s="766" t="s">
        <v>2345</v>
      </c>
      <c r="GL232" s="766" t="s">
        <v>1805</v>
      </c>
      <c r="GM232" s="766"/>
      <c r="GN232" s="82">
        <v>45</v>
      </c>
      <c r="GO232" s="766"/>
      <c r="GP232" s="766" t="s">
        <v>1208</v>
      </c>
      <c r="GQ232" s="766" t="s">
        <v>1208</v>
      </c>
      <c r="GR232" s="766"/>
      <c r="GS232" s="766"/>
      <c r="GT232" s="766"/>
      <c r="GU232" s="766"/>
      <c r="GV232" s="766"/>
      <c r="GW232" s="766" t="s">
        <v>1207</v>
      </c>
      <c r="GX232" s="766"/>
      <c r="GY232" s="766" t="s">
        <v>1208</v>
      </c>
      <c r="GZ232" s="766"/>
      <c r="HA232" s="766" t="s">
        <v>1208</v>
      </c>
      <c r="HB232" s="766"/>
      <c r="HC232" s="766"/>
      <c r="HD232" s="766"/>
      <c r="HE232" s="766"/>
      <c r="HF232" s="766"/>
      <c r="HG232" s="766"/>
      <c r="HH232" s="766"/>
      <c r="HI232" s="766" t="s">
        <v>1214</v>
      </c>
      <c r="HJ232" s="766"/>
      <c r="HK232" s="766"/>
      <c r="HL232" s="766" t="s">
        <v>1214</v>
      </c>
      <c r="HM232" s="766"/>
      <c r="HN232" s="766"/>
      <c r="HO232" s="766"/>
      <c r="HP232" s="766"/>
      <c r="HQ232" s="766"/>
      <c r="HR232" s="766"/>
      <c r="HS232" s="766"/>
      <c r="HT232" s="766"/>
      <c r="HU232" s="766"/>
      <c r="HV232" s="766"/>
      <c r="HW232" s="766"/>
      <c r="HX232" s="766"/>
      <c r="HY232" s="766"/>
      <c r="HZ232" s="766"/>
      <c r="IA232" s="766"/>
      <c r="IB232" s="14" t="e">
        <f>IF(#REF!&gt;0,IF(#REF!&lt;=10000,"Y",""),"")</f>
        <v>#REF!</v>
      </c>
      <c r="IC232" s="766"/>
      <c r="ID232" s="14"/>
      <c r="IE232" s="14"/>
      <c r="IF232" s="766"/>
      <c r="IG232" s="766"/>
      <c r="IH232" s="766"/>
      <c r="II232" s="766"/>
      <c r="IJ232" s="766"/>
      <c r="IK232" s="766"/>
      <c r="IL232" s="766"/>
      <c r="IM232" s="766"/>
      <c r="IN232" s="766"/>
      <c r="IO232" s="24"/>
      <c r="IP232" s="766"/>
      <c r="IQ232" s="766"/>
      <c r="IR232" s="766"/>
      <c r="IS232" s="766"/>
      <c r="IT232" s="766"/>
      <c r="IU232" s="766"/>
      <c r="IV232" s="766"/>
      <c r="IW232" s="766"/>
      <c r="IX232" s="766"/>
      <c r="IY232" s="766"/>
      <c r="IZ232" s="766"/>
      <c r="JA232" s="766"/>
      <c r="JB232" s="766"/>
      <c r="JC232" s="766"/>
      <c r="JD232" s="775"/>
      <c r="JE232" s="766"/>
      <c r="JF232" s="766"/>
      <c r="JG232" s="766"/>
      <c r="JH232" s="766"/>
      <c r="JI232" s="712" t="str">
        <f t="shared" si="62"/>
        <v>ok</v>
      </c>
      <c r="JJ232" s="766">
        <v>3</v>
      </c>
      <c r="JK232" s="1139" t="s">
        <v>2086</v>
      </c>
      <c r="JL232" s="766">
        <v>1</v>
      </c>
      <c r="JM232" s="766"/>
      <c r="JN232" s="766">
        <v>1</v>
      </c>
      <c r="JO232" s="766">
        <v>1</v>
      </c>
      <c r="JP232" s="766"/>
      <c r="JQ232" s="766"/>
      <c r="JR232" s="766"/>
      <c r="JS232" s="766"/>
      <c r="JT232" s="766">
        <f t="shared" si="69"/>
        <v>2</v>
      </c>
      <c r="JU232" s="766">
        <f t="shared" si="69"/>
        <v>1</v>
      </c>
      <c r="JV232" s="712" t="str">
        <f t="shared" si="63"/>
        <v>ok</v>
      </c>
      <c r="JW232" s="712" t="str">
        <f t="shared" si="64"/>
        <v>ok</v>
      </c>
      <c r="JX232" s="766">
        <v>1</v>
      </c>
      <c r="JY232" s="766"/>
      <c r="JZ232" s="766"/>
      <c r="KA232" s="766"/>
      <c r="KB232" s="766">
        <v>1</v>
      </c>
      <c r="KC232" s="766">
        <v>1</v>
      </c>
      <c r="KD232" s="766"/>
      <c r="KE232" s="766"/>
      <c r="KF232" s="766"/>
      <c r="KG232" s="766"/>
      <c r="KH232" s="766"/>
      <c r="KI232" s="766"/>
      <c r="KJ232" s="770">
        <f t="shared" si="58"/>
        <v>2</v>
      </c>
      <c r="KK232" s="770">
        <f t="shared" si="58"/>
        <v>1</v>
      </c>
      <c r="KL232" s="712" t="str">
        <f t="shared" si="65"/>
        <v>ok</v>
      </c>
      <c r="KM232" s="712" t="str">
        <f t="shared" si="66"/>
        <v>ok</v>
      </c>
      <c r="KN232" s="766" t="s">
        <v>722</v>
      </c>
      <c r="KO232" s="28"/>
      <c r="KP232" s="766"/>
      <c r="KQ232" s="766"/>
      <c r="KR232" s="766"/>
      <c r="KS232" s="766"/>
      <c r="KT232" s="766"/>
      <c r="KU232" s="766"/>
      <c r="KV232" s="766"/>
      <c r="KW232" s="766"/>
      <c r="KX232" s="766">
        <v>1</v>
      </c>
      <c r="KY232" s="766">
        <v>1</v>
      </c>
      <c r="KZ232" s="766"/>
      <c r="LA232" s="766"/>
      <c r="LB232" s="766"/>
      <c r="LC232" s="766"/>
      <c r="LD232" s="766"/>
      <c r="LE232" s="766"/>
      <c r="LF232" s="766"/>
      <c r="LG232" s="766"/>
      <c r="LH232" s="766"/>
      <c r="LI232" s="766"/>
      <c r="LJ232" s="766">
        <v>1</v>
      </c>
      <c r="LK232" s="766"/>
      <c r="LL232" s="766"/>
      <c r="LM232" s="766"/>
      <c r="LN232" s="766">
        <f t="shared" si="71"/>
        <v>2</v>
      </c>
      <c r="LO232" s="766">
        <f t="shared" si="71"/>
        <v>1</v>
      </c>
      <c r="LP232" s="766">
        <v>3</v>
      </c>
      <c r="LQ232" s="1678">
        <v>1</v>
      </c>
      <c r="LR232" s="766"/>
      <c r="LS232" s="766">
        <v>2</v>
      </c>
      <c r="LT232" s="712" t="str">
        <f t="shared" si="67"/>
        <v>OK</v>
      </c>
      <c r="LU232" s="766"/>
      <c r="LV232" s="766">
        <v>1</v>
      </c>
      <c r="LW232" s="766"/>
      <c r="LX232" s="769">
        <v>1</v>
      </c>
      <c r="LY232" s="766" t="str">
        <f t="shared" si="72"/>
        <v>within the BRGY</v>
      </c>
      <c r="LZ232" s="121"/>
      <c r="MA232" s="66"/>
      <c r="MB232" s="66"/>
      <c r="MC232" s="1679">
        <f t="shared" si="70"/>
        <v>0</v>
      </c>
      <c r="MD232" s="66">
        <v>6520</v>
      </c>
      <c r="ME232" s="66"/>
      <c r="MF232" s="66">
        <f>SUM(4500,500)</f>
        <v>5000</v>
      </c>
      <c r="MG232" s="1680">
        <f t="shared" si="68"/>
        <v>11520</v>
      </c>
      <c r="MH232" s="1681"/>
      <c r="MI232" s="775">
        <v>6000</v>
      </c>
      <c r="MJ232" s="775"/>
      <c r="MK232" s="775">
        <v>500</v>
      </c>
      <c r="ML232" s="775"/>
      <c r="MM232" s="775"/>
      <c r="MN232" s="775"/>
      <c r="MO232" s="775">
        <v>100</v>
      </c>
      <c r="MP232" s="775"/>
      <c r="MQ232" s="775">
        <v>250</v>
      </c>
      <c r="MR232" s="775">
        <v>150</v>
      </c>
      <c r="MS232" s="775">
        <v>200</v>
      </c>
      <c r="MT232" s="775"/>
      <c r="MU232" s="775"/>
      <c r="MV232" s="775"/>
      <c r="MW232" s="775"/>
      <c r="MX232" s="775"/>
      <c r="MY232" s="1682">
        <f t="shared" si="49"/>
        <v>7200</v>
      </c>
      <c r="MZ232" s="766" t="s">
        <v>1835</v>
      </c>
      <c r="NA232" s="766" t="s">
        <v>1249</v>
      </c>
      <c r="NB232" s="766" t="s">
        <v>13143</v>
      </c>
      <c r="NC232" s="766" t="s">
        <v>1835</v>
      </c>
      <c r="ND232" s="766">
        <v>0</v>
      </c>
      <c r="NE232" s="766">
        <v>0</v>
      </c>
      <c r="NF232" s="766">
        <v>0</v>
      </c>
      <c r="NG232" s="766">
        <v>0</v>
      </c>
      <c r="NH232" s="766">
        <v>0</v>
      </c>
      <c r="NI232" s="766">
        <v>1</v>
      </c>
      <c r="NJ232" s="766">
        <v>0</v>
      </c>
      <c r="NK232" s="766">
        <v>0</v>
      </c>
      <c r="NL232" s="766">
        <v>0</v>
      </c>
      <c r="NM232" s="766">
        <v>0</v>
      </c>
      <c r="NN232" s="766">
        <v>0</v>
      </c>
      <c r="NO232" s="766">
        <v>0</v>
      </c>
      <c r="NP232" s="766">
        <v>0</v>
      </c>
      <c r="NQ232" s="766">
        <v>3</v>
      </c>
      <c r="NR232" s="766">
        <v>0</v>
      </c>
      <c r="NS232" s="766">
        <v>0</v>
      </c>
      <c r="NT232" s="766">
        <v>0</v>
      </c>
      <c r="NU232" s="766">
        <v>0</v>
      </c>
      <c r="NV232" s="766">
        <v>0</v>
      </c>
      <c r="NW232" s="766">
        <v>0</v>
      </c>
      <c r="NX232" s="766">
        <v>0</v>
      </c>
      <c r="NY232" s="766" t="s">
        <v>1208</v>
      </c>
      <c r="NZ232" s="766"/>
      <c r="OA232" s="766" t="s">
        <v>1208</v>
      </c>
      <c r="OB232" s="766" t="s">
        <v>1208</v>
      </c>
      <c r="OC232" s="766"/>
      <c r="OD232" s="766"/>
      <c r="OE232" s="766"/>
      <c r="OF232" s="766" t="s">
        <v>13231</v>
      </c>
      <c r="OG232" s="766"/>
      <c r="OH232" s="766" t="s">
        <v>13348</v>
      </c>
      <c r="OI232" s="766" t="s">
        <v>13182</v>
      </c>
      <c r="OJ232" s="766"/>
      <c r="OK232" s="766"/>
      <c r="OL232" s="766" t="s">
        <v>13349</v>
      </c>
      <c r="OM232" s="766" t="s">
        <v>13350</v>
      </c>
      <c r="ON232" s="766"/>
      <c r="OO232" s="766" t="s">
        <v>1207</v>
      </c>
      <c r="OP232" s="766" t="s">
        <v>13351</v>
      </c>
      <c r="OQ232" s="766" t="s">
        <v>13352</v>
      </c>
      <c r="OR232" s="766" t="s">
        <v>13349</v>
      </c>
      <c r="OS232" s="766" t="s">
        <v>12885</v>
      </c>
      <c r="OT232" s="766"/>
      <c r="OU232" s="766"/>
      <c r="OV232" s="766" t="s">
        <v>1208</v>
      </c>
      <c r="OW232" s="766"/>
      <c r="OX232" s="766"/>
      <c r="OY232" s="766" t="s">
        <v>1208</v>
      </c>
      <c r="OZ232" s="766"/>
      <c r="PA232" s="766" t="s">
        <v>1208</v>
      </c>
      <c r="PB232" s="766"/>
      <c r="PC232" s="766"/>
      <c r="PD232" s="766"/>
      <c r="PE232" s="766"/>
      <c r="PF232" s="766"/>
      <c r="PG232" s="766"/>
      <c r="PH232" s="766"/>
      <c r="PI232" s="766"/>
      <c r="PJ232" s="766" t="s">
        <v>1208</v>
      </c>
      <c r="PK232" s="766"/>
      <c r="PL232" s="766"/>
      <c r="PM232" s="766"/>
      <c r="PN232" s="766"/>
      <c r="PO232" s="766"/>
      <c r="PP232" s="766"/>
      <c r="PQ232" s="766"/>
      <c r="PR232" s="766"/>
      <c r="PS232" s="766"/>
      <c r="PT232" s="766"/>
      <c r="PU232" s="766"/>
      <c r="PV232" s="766"/>
      <c r="PW232" s="766"/>
      <c r="PX232" s="766"/>
      <c r="PY232" s="766"/>
      <c r="PZ232" s="766"/>
      <c r="QA232" s="766"/>
      <c r="QB232" s="766"/>
      <c r="QC232" s="766"/>
      <c r="QD232" s="766"/>
      <c r="QE232" s="766"/>
      <c r="QF232" s="766"/>
      <c r="QG232" s="766"/>
      <c r="QH232" s="766"/>
      <c r="QI232" s="766"/>
      <c r="QJ232" s="766"/>
      <c r="QK232" s="766"/>
      <c r="QL232" s="766"/>
      <c r="QM232" s="766"/>
      <c r="QN232" s="766"/>
      <c r="QO232" s="766"/>
      <c r="QP232" s="766"/>
      <c r="QQ232" s="766"/>
      <c r="QR232" s="766"/>
      <c r="QS232" s="766"/>
      <c r="QT232" s="766"/>
      <c r="QU232" s="766"/>
      <c r="QV232" s="766"/>
      <c r="QW232" s="766"/>
      <c r="QX232" s="766"/>
      <c r="QY232" s="766"/>
      <c r="QZ232" s="766"/>
      <c r="RA232" s="766"/>
      <c r="RB232" s="770" t="s">
        <v>1207</v>
      </c>
      <c r="RC232" s="766">
        <v>2012</v>
      </c>
      <c r="RD232" s="766" t="s">
        <v>13223</v>
      </c>
      <c r="RE232" s="766" t="s">
        <v>12990</v>
      </c>
      <c r="RF232" s="777">
        <v>3</v>
      </c>
      <c r="RG232" s="766" t="s">
        <v>12991</v>
      </c>
      <c r="RH232" s="775" t="s">
        <v>835</v>
      </c>
      <c r="RI232" s="766" t="s">
        <v>13310</v>
      </c>
      <c r="RJ232" s="766" t="s">
        <v>2169</v>
      </c>
      <c r="RK232" s="766" t="s">
        <v>13146</v>
      </c>
      <c r="RL232" s="1683">
        <v>42709</v>
      </c>
      <c r="RM232" s="12"/>
      <c r="RN232" s="1711"/>
      <c r="RO232" s="148" t="s">
        <v>401</v>
      </c>
      <c r="RP232" s="11"/>
      <c r="RQ232" s="11"/>
      <c r="RR232" s="19" t="s">
        <v>7421</v>
      </c>
      <c r="RS232" s="1139" t="s">
        <v>12980</v>
      </c>
      <c r="RT232" s="11"/>
      <c r="RU232" s="11"/>
      <c r="RV232" s="766" t="s">
        <v>7421</v>
      </c>
      <c r="RW232" s="11" t="s">
        <v>7594</v>
      </c>
      <c r="RX232" s="11" t="s">
        <v>394</v>
      </c>
      <c r="RY232" s="11"/>
      <c r="RZ232" s="1020" t="s">
        <v>1101</v>
      </c>
      <c r="SA232" s="766"/>
      <c r="SB232" s="11"/>
      <c r="SC232" s="11"/>
    </row>
    <row r="233" spans="1:497" ht="12.75" customHeight="1">
      <c r="A233" s="767" t="s">
        <v>7421</v>
      </c>
      <c r="B233" s="292" t="s">
        <v>7601</v>
      </c>
      <c r="C233" s="148" t="s">
        <v>403</v>
      </c>
      <c r="D233" s="770" t="s">
        <v>404</v>
      </c>
      <c r="E233" s="766" t="s">
        <v>5433</v>
      </c>
      <c r="F233" s="766" t="s">
        <v>28</v>
      </c>
      <c r="G233" s="766" t="s">
        <v>10</v>
      </c>
      <c r="H233" s="766"/>
      <c r="I233" s="5"/>
      <c r="J233" s="770" t="s">
        <v>404</v>
      </c>
      <c r="K233" s="766"/>
      <c r="L233" s="766"/>
      <c r="M233" s="766"/>
      <c r="N233" s="766"/>
      <c r="O233" s="766"/>
      <c r="P233" s="94" t="s">
        <v>929</v>
      </c>
      <c r="Q233" s="1088">
        <v>31173</v>
      </c>
      <c r="R233" s="1814">
        <v>31</v>
      </c>
      <c r="S233" s="770" t="s">
        <v>10</v>
      </c>
      <c r="T233" s="1815" t="s">
        <v>930</v>
      </c>
      <c r="U233" s="770"/>
      <c r="V233" s="94" t="s">
        <v>722</v>
      </c>
      <c r="W233" s="94"/>
      <c r="X233" s="1088"/>
      <c r="Y233" s="94" t="s">
        <v>931</v>
      </c>
      <c r="Z233" s="94" t="s">
        <v>708</v>
      </c>
      <c r="AA233" s="94" t="s">
        <v>739</v>
      </c>
      <c r="AB233" s="94" t="s">
        <v>710</v>
      </c>
      <c r="AC233" s="94" t="s">
        <v>724</v>
      </c>
      <c r="AD233" s="94"/>
      <c r="AE233" s="94" t="s">
        <v>909</v>
      </c>
      <c r="AF233" s="94" t="s">
        <v>906</v>
      </c>
      <c r="AG233" s="766" t="s">
        <v>1165</v>
      </c>
      <c r="AH233" s="766" t="s">
        <v>1096</v>
      </c>
      <c r="AI233" s="766"/>
      <c r="AJ233" s="766" t="s">
        <v>427</v>
      </c>
      <c r="AK233" s="766" t="s">
        <v>1101</v>
      </c>
      <c r="AL233" s="773">
        <v>6.5</v>
      </c>
      <c r="AM233" s="772">
        <v>6.5</v>
      </c>
      <c r="AN233" s="774">
        <v>1</v>
      </c>
      <c r="AO233" s="766" t="s">
        <v>1122</v>
      </c>
      <c r="AP233" s="766"/>
      <c r="AQ233" s="766"/>
      <c r="AR233" s="766"/>
      <c r="AS233" s="766"/>
      <c r="AT233" s="766"/>
      <c r="AU233" s="766"/>
      <c r="AV233" s="766"/>
      <c r="AW233" s="766"/>
      <c r="AX233" s="766"/>
      <c r="AY233" s="766"/>
      <c r="AZ233" s="766"/>
      <c r="BA233" s="766"/>
      <c r="BB233" s="766"/>
      <c r="BC233" s="766"/>
      <c r="BD233" s="766"/>
      <c r="BE233" s="766"/>
      <c r="BF233" s="775"/>
      <c r="BG233" s="775"/>
      <c r="BH233" s="766"/>
      <c r="BI233" s="766"/>
      <c r="BJ233" s="766"/>
      <c r="BK233" s="766" t="s">
        <v>1095</v>
      </c>
      <c r="BL233" s="766" t="s">
        <v>8123</v>
      </c>
      <c r="BM233" s="766" t="s">
        <v>1096</v>
      </c>
      <c r="BN233" s="766" t="s">
        <v>1230</v>
      </c>
      <c r="BO233" s="766" t="s">
        <v>1246</v>
      </c>
      <c r="BP233" s="1111">
        <v>6.5</v>
      </c>
      <c r="BQ233" s="772">
        <v>6.5</v>
      </c>
      <c r="BR233" s="774">
        <f t="shared" si="61"/>
        <v>1</v>
      </c>
      <c r="BS233" s="766" t="s">
        <v>1257</v>
      </c>
      <c r="BT233" s="766" t="s">
        <v>1326</v>
      </c>
      <c r="BU233" s="766" t="s">
        <v>8136</v>
      </c>
      <c r="BV233" s="769"/>
      <c r="BW233" s="769"/>
      <c r="BX233" s="775"/>
      <c r="BY233" s="766"/>
      <c r="BZ233" s="775"/>
      <c r="CA233" s="766"/>
      <c r="CB233" s="766"/>
      <c r="CC233" s="766"/>
      <c r="CD233" s="766"/>
      <c r="CE233" s="766"/>
      <c r="CF233" s="777"/>
      <c r="CG233" s="231"/>
      <c r="CH233" s="766"/>
      <c r="CI233" s="766"/>
      <c r="CJ233" s="766"/>
      <c r="CK233" s="766"/>
      <c r="CL233" s="766"/>
      <c r="CM233" s="766"/>
      <c r="CN233" s="766"/>
      <c r="CO233" s="766"/>
      <c r="CP233" s="766"/>
      <c r="CQ233" s="766"/>
      <c r="CR233" s="775"/>
      <c r="CS233" s="766"/>
      <c r="CT233" s="766"/>
      <c r="CU233" s="129"/>
      <c r="CV233" s="766"/>
      <c r="CW233" s="766"/>
      <c r="CX233" s="766"/>
      <c r="CY233" s="766"/>
      <c r="CZ233" s="766"/>
      <c r="DA233" s="66"/>
      <c r="DB233" s="766"/>
      <c r="DC233" s="766"/>
      <c r="DD233" s="766"/>
      <c r="DE233" s="772"/>
      <c r="DF233" s="766"/>
      <c r="DG233" s="766"/>
      <c r="DH233" s="766"/>
      <c r="DI233" s="766"/>
      <c r="DJ233" s="766"/>
      <c r="DK233" s="766"/>
      <c r="DL233" s="766"/>
      <c r="DM233" s="766"/>
      <c r="DN233" s="44"/>
      <c r="DO233" s="766"/>
      <c r="DP233" s="766"/>
      <c r="DQ233" s="766"/>
      <c r="DR233" s="766"/>
      <c r="DS233" s="59"/>
      <c r="DT233" s="766"/>
      <c r="DU233" s="766"/>
      <c r="DV233" s="766"/>
      <c r="DW233" s="66"/>
      <c r="DX233" s="66"/>
      <c r="DY233" s="766"/>
      <c r="DZ233" s="766"/>
      <c r="EA233" s="766"/>
      <c r="EB233" s="766"/>
      <c r="EC233" s="766"/>
      <c r="ED233" s="766"/>
      <c r="EE233" s="766"/>
      <c r="EF233" s="766"/>
      <c r="EG233" s="766"/>
      <c r="EH233" s="766"/>
      <c r="EI233" s="766"/>
      <c r="EJ233" s="766"/>
      <c r="EK233" s="766"/>
      <c r="EL233" s="766"/>
      <c r="EM233" s="766"/>
      <c r="EN233" s="766"/>
      <c r="EO233" s="766"/>
      <c r="EP233" s="14"/>
      <c r="EQ233" s="766"/>
      <c r="ER233" s="766"/>
      <c r="ES233" s="766"/>
      <c r="ET233" s="766"/>
      <c r="EU233" s="766"/>
      <c r="EV233" s="766"/>
      <c r="EW233" s="766"/>
      <c r="EX233" s="766"/>
      <c r="EY233" s="766"/>
      <c r="EZ233" s="766"/>
      <c r="FA233" s="766"/>
      <c r="FB233" s="766"/>
      <c r="FC233" s="766"/>
      <c r="FD233" s="775"/>
      <c r="FE233" s="766"/>
      <c r="FF233" s="766"/>
      <c r="FG233" s="766"/>
      <c r="FH233" s="766" t="s">
        <v>1299</v>
      </c>
      <c r="FI233" s="766">
        <v>1</v>
      </c>
      <c r="FJ233" s="766" t="s">
        <v>2085</v>
      </c>
      <c r="FK233" s="766"/>
      <c r="FL233" s="766"/>
      <c r="FM233" s="775"/>
      <c r="FN233" s="775"/>
      <c r="FO233" s="775"/>
      <c r="FP233" s="766" t="s">
        <v>1602</v>
      </c>
      <c r="FQ233" s="766" t="s">
        <v>1660</v>
      </c>
      <c r="FR233" s="766"/>
      <c r="FS233" s="766"/>
      <c r="FT233" s="766"/>
      <c r="FU233" s="766"/>
      <c r="FV233" s="766"/>
      <c r="FW233" s="766"/>
      <c r="FX233" s="766"/>
      <c r="FY233" s="766"/>
      <c r="FZ233" s="766"/>
      <c r="GA233" s="766"/>
      <c r="GB233" s="766"/>
      <c r="GC233" s="75"/>
      <c r="GD233" s="25"/>
      <c r="GE233" s="766"/>
      <c r="GF233" s="775"/>
      <c r="GG233" s="775"/>
      <c r="GH233" s="712" t="s">
        <v>1791</v>
      </c>
      <c r="GI233" s="770" t="s">
        <v>2352</v>
      </c>
      <c r="GJ233" s="770"/>
      <c r="GK233" s="770" t="s">
        <v>2345</v>
      </c>
      <c r="GL233" s="770" t="s">
        <v>1800</v>
      </c>
      <c r="GM233" s="770"/>
      <c r="GN233" s="770">
        <v>60</v>
      </c>
      <c r="GO233" s="770"/>
      <c r="GP233" s="770" t="s">
        <v>1208</v>
      </c>
      <c r="GQ233" s="770"/>
      <c r="GR233" s="770"/>
      <c r="GS233" s="770"/>
      <c r="GT233" s="770"/>
      <c r="GU233" s="770"/>
      <c r="GV233" s="770"/>
      <c r="GW233" s="770" t="s">
        <v>1207</v>
      </c>
      <c r="GX233" s="770"/>
      <c r="GY233" s="770"/>
      <c r="GZ233" s="770" t="s">
        <v>1208</v>
      </c>
      <c r="HA233" s="770"/>
      <c r="HB233" s="770"/>
      <c r="HC233" s="770" t="s">
        <v>1208</v>
      </c>
      <c r="HD233" s="770" t="s">
        <v>1208</v>
      </c>
      <c r="HE233" s="770"/>
      <c r="HF233" s="770"/>
      <c r="HG233" s="770"/>
      <c r="HH233" s="770"/>
      <c r="HI233" s="770" t="s">
        <v>1214</v>
      </c>
      <c r="HJ233" s="770"/>
      <c r="HK233" s="770"/>
      <c r="HL233" s="770"/>
      <c r="HM233" s="766"/>
      <c r="HN233" s="766"/>
      <c r="HO233" s="766"/>
      <c r="HP233" s="766"/>
      <c r="HQ233" s="766"/>
      <c r="HR233" s="766"/>
      <c r="HS233" s="766"/>
      <c r="HT233" s="766"/>
      <c r="HU233" s="766"/>
      <c r="HV233" s="766"/>
      <c r="HW233" s="766"/>
      <c r="HX233" s="766"/>
      <c r="HY233" s="766"/>
      <c r="HZ233" s="766"/>
      <c r="IA233" s="766"/>
      <c r="IB233" s="14" t="e">
        <f>IF(#REF!&gt;0,IF(#REF!&lt;=10000,"Y",""),"")</f>
        <v>#REF!</v>
      </c>
      <c r="IC233" s="14"/>
      <c r="ID233" s="14"/>
      <c r="IE233" s="14"/>
      <c r="IF233" s="766"/>
      <c r="IG233" s="766"/>
      <c r="IH233" s="766"/>
      <c r="II233" s="766"/>
      <c r="IJ233" s="766"/>
      <c r="IK233" s="766"/>
      <c r="IL233" s="766"/>
      <c r="IM233" s="766"/>
      <c r="IN233" s="766"/>
      <c r="IO233" s="24"/>
      <c r="IP233" s="766"/>
      <c r="IQ233" s="766"/>
      <c r="IR233" s="766"/>
      <c r="IS233" s="766"/>
      <c r="IT233" s="766"/>
      <c r="IU233" s="766"/>
      <c r="IV233" s="766"/>
      <c r="IW233" s="766"/>
      <c r="IX233" s="766"/>
      <c r="IY233" s="766"/>
      <c r="IZ233" s="766"/>
      <c r="JA233" s="766"/>
      <c r="JB233" s="766"/>
      <c r="JC233" s="766"/>
      <c r="JD233" s="775"/>
      <c r="JE233" s="766"/>
      <c r="JF233" s="766"/>
      <c r="JG233" s="766"/>
      <c r="JH233" s="766"/>
      <c r="JI233" s="712" t="str">
        <f t="shared" si="62"/>
        <v>ok</v>
      </c>
      <c r="JJ233" s="766">
        <v>4</v>
      </c>
      <c r="JK233" s="1139" t="s">
        <v>7230</v>
      </c>
      <c r="JL233" s="766">
        <v>1</v>
      </c>
      <c r="JM233" s="766">
        <v>1</v>
      </c>
      <c r="JN233" s="766">
        <v>1</v>
      </c>
      <c r="JO233" s="766">
        <v>1</v>
      </c>
      <c r="JP233" s="766"/>
      <c r="JQ233" s="766"/>
      <c r="JR233" s="766"/>
      <c r="JS233" s="766"/>
      <c r="JT233" s="766">
        <f t="shared" si="69"/>
        <v>2</v>
      </c>
      <c r="JU233" s="766">
        <f t="shared" si="69"/>
        <v>2</v>
      </c>
      <c r="JV233" s="712" t="str">
        <f t="shared" si="63"/>
        <v>ok</v>
      </c>
      <c r="JW233" s="712" t="str">
        <f t="shared" si="64"/>
        <v>ok</v>
      </c>
      <c r="JX233" s="766">
        <v>1</v>
      </c>
      <c r="JY233" s="766">
        <v>1</v>
      </c>
      <c r="JZ233" s="766"/>
      <c r="KA233" s="766"/>
      <c r="KB233" s="766"/>
      <c r="KC233" s="766">
        <v>1</v>
      </c>
      <c r="KD233" s="766">
        <v>1</v>
      </c>
      <c r="KE233" s="766"/>
      <c r="KF233" s="766"/>
      <c r="KG233" s="766"/>
      <c r="KH233" s="766"/>
      <c r="KI233" s="766"/>
      <c r="KJ233" s="770">
        <f t="shared" si="58"/>
        <v>2</v>
      </c>
      <c r="KK233" s="770">
        <f t="shared" si="58"/>
        <v>2</v>
      </c>
      <c r="KL233" s="712" t="str">
        <f t="shared" si="65"/>
        <v>ok</v>
      </c>
      <c r="KM233" s="712" t="str">
        <f t="shared" si="66"/>
        <v>ok</v>
      </c>
      <c r="KN233" s="766" t="s">
        <v>722</v>
      </c>
      <c r="KO233" s="28"/>
      <c r="KP233" s="766"/>
      <c r="KQ233" s="766"/>
      <c r="KR233" s="766"/>
      <c r="KS233" s="766"/>
      <c r="KT233" s="766"/>
      <c r="KU233" s="766"/>
      <c r="KV233" s="766"/>
      <c r="KW233" s="766"/>
      <c r="KX233" s="766"/>
      <c r="KY233" s="766"/>
      <c r="KZ233" s="766">
        <v>1</v>
      </c>
      <c r="LA233" s="766">
        <v>1</v>
      </c>
      <c r="LB233" s="766"/>
      <c r="LC233" s="766"/>
      <c r="LD233" s="766"/>
      <c r="LE233" s="766"/>
      <c r="LF233" s="766"/>
      <c r="LG233" s="766"/>
      <c r="LH233" s="766"/>
      <c r="LI233" s="766"/>
      <c r="LJ233" s="766">
        <v>1</v>
      </c>
      <c r="LK233" s="766">
        <v>1</v>
      </c>
      <c r="LL233" s="766"/>
      <c r="LM233" s="766"/>
      <c r="LN233" s="766">
        <f t="shared" si="71"/>
        <v>2</v>
      </c>
      <c r="LO233" s="766">
        <f t="shared" si="71"/>
        <v>2</v>
      </c>
      <c r="LP233" s="766">
        <v>1</v>
      </c>
      <c r="LQ233" s="1678"/>
      <c r="LR233" s="766"/>
      <c r="LS233" s="766">
        <v>1</v>
      </c>
      <c r="LT233" s="712" t="str">
        <f t="shared" si="67"/>
        <v>OK</v>
      </c>
      <c r="LU233" s="766"/>
      <c r="LV233" s="766"/>
      <c r="LW233" s="766"/>
      <c r="LX233" s="769">
        <v>1</v>
      </c>
      <c r="LY233" s="766" t="str">
        <f t="shared" si="72"/>
        <v>within the BRGY</v>
      </c>
      <c r="LZ233" s="66">
        <v>150</v>
      </c>
      <c r="MA233" s="66"/>
      <c r="MB233" s="66">
        <v>50</v>
      </c>
      <c r="MC233" s="1679">
        <f t="shared" si="70"/>
        <v>200</v>
      </c>
      <c r="MD233" s="66"/>
      <c r="ME233" s="66"/>
      <c r="MF233" s="66">
        <f>SUM(7200,160,900)</f>
        <v>8260</v>
      </c>
      <c r="MG233" s="1680">
        <f t="shared" si="68"/>
        <v>8260</v>
      </c>
      <c r="MH233" s="1681" t="s">
        <v>4497</v>
      </c>
      <c r="MI233" s="775">
        <v>3000</v>
      </c>
      <c r="MJ233" s="775">
        <v>400</v>
      </c>
      <c r="MK233" s="775">
        <v>25</v>
      </c>
      <c r="ML233" s="775">
        <v>20</v>
      </c>
      <c r="MM233" s="775">
        <v>0</v>
      </c>
      <c r="MN233" s="775">
        <v>300</v>
      </c>
      <c r="MO233" s="775">
        <v>0</v>
      </c>
      <c r="MP233" s="775">
        <v>0</v>
      </c>
      <c r="MQ233" s="775">
        <v>200</v>
      </c>
      <c r="MR233" s="775">
        <v>32</v>
      </c>
      <c r="MS233" s="775">
        <v>0</v>
      </c>
      <c r="MT233" s="775">
        <v>0</v>
      </c>
      <c r="MU233" s="775">
        <v>0</v>
      </c>
      <c r="MV233" s="775">
        <v>0</v>
      </c>
      <c r="MW233" s="775">
        <v>0</v>
      </c>
      <c r="MX233" s="775">
        <v>0</v>
      </c>
      <c r="MY233" s="1682">
        <f t="shared" si="49"/>
        <v>3977</v>
      </c>
      <c r="MZ233" s="1734" t="s">
        <v>1604</v>
      </c>
      <c r="NA233" s="1734" t="s">
        <v>13230</v>
      </c>
      <c r="NB233" s="1734" t="s">
        <v>13353</v>
      </c>
      <c r="NC233" s="1734" t="s">
        <v>1604</v>
      </c>
      <c r="ND233" s="770">
        <v>0</v>
      </c>
      <c r="NE233" s="770">
        <v>0</v>
      </c>
      <c r="NF233" s="770">
        <v>0</v>
      </c>
      <c r="NG233" s="770">
        <v>1</v>
      </c>
      <c r="NH233" s="770">
        <v>0</v>
      </c>
      <c r="NI233" s="770">
        <v>0</v>
      </c>
      <c r="NJ233" s="770">
        <v>0</v>
      </c>
      <c r="NK233" s="770">
        <v>0</v>
      </c>
      <c r="NL233" s="770">
        <v>0</v>
      </c>
      <c r="NM233" s="770">
        <v>0</v>
      </c>
      <c r="NN233" s="770">
        <v>0</v>
      </c>
      <c r="NO233" s="770">
        <v>0</v>
      </c>
      <c r="NP233" s="770">
        <v>0</v>
      </c>
      <c r="NQ233" s="770">
        <v>1</v>
      </c>
      <c r="NR233" s="770">
        <v>0</v>
      </c>
      <c r="NS233" s="770">
        <v>0</v>
      </c>
      <c r="NT233" s="770">
        <v>0</v>
      </c>
      <c r="NU233" s="770">
        <v>0</v>
      </c>
      <c r="NV233" s="770">
        <v>0</v>
      </c>
      <c r="NW233" s="770"/>
      <c r="NX233" s="770"/>
      <c r="NY233" s="770" t="s">
        <v>1208</v>
      </c>
      <c r="NZ233" s="770" t="s">
        <v>1208</v>
      </c>
      <c r="OA233" s="770" t="s">
        <v>1208</v>
      </c>
      <c r="OB233" s="770" t="s">
        <v>1208</v>
      </c>
      <c r="OC233" s="770" t="s">
        <v>1208</v>
      </c>
      <c r="OD233" s="770"/>
      <c r="OE233" s="766"/>
      <c r="OF233" s="766"/>
      <c r="OG233" s="766"/>
      <c r="OH233" s="766"/>
      <c r="OI233" s="766"/>
      <c r="OJ233" s="766"/>
      <c r="OK233" s="766"/>
      <c r="OL233" s="766"/>
      <c r="OM233" s="766"/>
      <c r="ON233" s="766"/>
      <c r="OO233" s="770" t="s">
        <v>1207</v>
      </c>
      <c r="OP233" s="12" t="s">
        <v>13354</v>
      </c>
      <c r="OQ233" s="12" t="s">
        <v>13122</v>
      </c>
      <c r="OR233" s="12" t="s">
        <v>13337</v>
      </c>
      <c r="OS233" s="12" t="s">
        <v>13261</v>
      </c>
      <c r="OT233" s="12" t="s">
        <v>13355</v>
      </c>
      <c r="OU233" s="12" t="s">
        <v>13356</v>
      </c>
      <c r="OV233" s="770" t="s">
        <v>1208</v>
      </c>
      <c r="OW233" s="770"/>
      <c r="OX233" s="770"/>
      <c r="OY233" s="770"/>
      <c r="OZ233" s="770"/>
      <c r="PA233" s="770" t="s">
        <v>1208</v>
      </c>
      <c r="PB233" s="770"/>
      <c r="PC233" s="770"/>
      <c r="PD233" s="770"/>
      <c r="PE233" s="770"/>
      <c r="PF233" s="770"/>
      <c r="PG233" s="770" t="s">
        <v>1208</v>
      </c>
      <c r="PH233" s="770"/>
      <c r="PI233" s="770"/>
      <c r="PJ233" s="770"/>
      <c r="PK233" s="770" t="s">
        <v>1208</v>
      </c>
      <c r="PL233" s="770"/>
      <c r="PM233" s="770"/>
      <c r="PN233" s="770"/>
      <c r="PO233" s="770"/>
      <c r="PP233" s="770"/>
      <c r="PQ233" s="770"/>
      <c r="PR233" s="770"/>
      <c r="PS233" s="770"/>
      <c r="PT233" s="770"/>
      <c r="PU233" s="770"/>
      <c r="PV233" s="770"/>
      <c r="PW233" s="770"/>
      <c r="PX233" s="770"/>
      <c r="PY233" s="770"/>
      <c r="PZ233" s="770"/>
      <c r="QA233" s="770"/>
      <c r="QB233" s="770"/>
      <c r="QC233" s="770"/>
      <c r="QD233" s="770"/>
      <c r="QE233" s="770"/>
      <c r="QF233" s="770"/>
      <c r="QG233" s="770"/>
      <c r="QH233" s="770"/>
      <c r="QI233" s="770"/>
      <c r="QJ233" s="770"/>
      <c r="QK233" s="770"/>
      <c r="QL233" s="770"/>
      <c r="QM233" s="766"/>
      <c r="QN233" s="766"/>
      <c r="QO233" s="766"/>
      <c r="QP233" s="766"/>
      <c r="QQ233" s="766"/>
      <c r="QR233" s="766"/>
      <c r="QS233" s="766"/>
      <c r="QT233" s="766"/>
      <c r="QU233" s="766"/>
      <c r="QV233" s="766"/>
      <c r="QW233" s="766"/>
      <c r="QX233" s="766"/>
      <c r="QY233" s="766"/>
      <c r="QZ233" s="766"/>
      <c r="RA233" s="766"/>
      <c r="RB233" s="770" t="s">
        <v>1207</v>
      </c>
      <c r="RC233" s="770"/>
      <c r="RD233" s="770" t="s">
        <v>13036</v>
      </c>
      <c r="RE233" s="770" t="s">
        <v>12999</v>
      </c>
      <c r="RF233" s="770">
        <v>1</v>
      </c>
      <c r="RG233" s="770" t="s">
        <v>13357</v>
      </c>
      <c r="RH233" s="302">
        <v>1000</v>
      </c>
      <c r="RI233" s="770" t="s">
        <v>13310</v>
      </c>
      <c r="RJ233" s="770" t="s">
        <v>13358</v>
      </c>
      <c r="RK233" s="766"/>
      <c r="RL233" s="1683"/>
      <c r="RM233" s="770"/>
      <c r="RN233" s="1710"/>
      <c r="RO233" s="148" t="s">
        <v>403</v>
      </c>
      <c r="RP233" s="767"/>
      <c r="RQ233" s="767"/>
      <c r="RR233" s="19" t="s">
        <v>7421</v>
      </c>
      <c r="RS233" s="1139" t="s">
        <v>12980</v>
      </c>
      <c r="RT233" s="767"/>
      <c r="RU233" s="767"/>
      <c r="RV233" s="766" t="s">
        <v>7421</v>
      </c>
      <c r="RW233" s="767" t="s">
        <v>7595</v>
      </c>
      <c r="RX233" s="767" t="s">
        <v>396</v>
      </c>
      <c r="RY233" s="767"/>
      <c r="RZ233" s="1020" t="s">
        <v>1101</v>
      </c>
      <c r="SA233" s="766"/>
      <c r="SB233" s="767"/>
      <c r="SC233" s="767"/>
    </row>
    <row r="234" spans="1:497" ht="12.75" customHeight="1">
      <c r="A234" s="767" t="s">
        <v>7421</v>
      </c>
      <c r="B234" s="292" t="s">
        <v>7597</v>
      </c>
      <c r="C234" s="148" t="s">
        <v>405</v>
      </c>
      <c r="D234" s="14" t="s">
        <v>406</v>
      </c>
      <c r="E234" s="766" t="s">
        <v>5433</v>
      </c>
      <c r="F234" s="766" t="s">
        <v>20</v>
      </c>
      <c r="G234" s="766" t="s">
        <v>18</v>
      </c>
      <c r="H234" s="766"/>
      <c r="I234" s="5"/>
      <c r="J234" s="14" t="s">
        <v>407</v>
      </c>
      <c r="K234" s="766" t="s">
        <v>399</v>
      </c>
      <c r="L234" s="766" t="s">
        <v>400</v>
      </c>
      <c r="M234" s="766"/>
      <c r="N234" s="766"/>
      <c r="O234" s="766"/>
      <c r="P234" s="14" t="s">
        <v>407</v>
      </c>
      <c r="Q234" s="1085">
        <v>32417</v>
      </c>
      <c r="R234" s="25">
        <v>28</v>
      </c>
      <c r="S234" s="770" t="s">
        <v>10</v>
      </c>
      <c r="T234" s="766"/>
      <c r="U234" s="26" t="s">
        <v>932</v>
      </c>
      <c r="V234" s="766" t="s">
        <v>722</v>
      </c>
      <c r="W234" s="766"/>
      <c r="X234" s="24"/>
      <c r="Y234" s="766" t="s">
        <v>933</v>
      </c>
      <c r="Z234" s="766" t="s">
        <v>708</v>
      </c>
      <c r="AA234" s="766" t="s">
        <v>709</v>
      </c>
      <c r="AB234" s="766" t="s">
        <v>744</v>
      </c>
      <c r="AC234" s="766" t="s">
        <v>777</v>
      </c>
      <c r="AD234" s="766"/>
      <c r="AE234" s="766" t="s">
        <v>853</v>
      </c>
      <c r="AF234" s="766" t="s">
        <v>798</v>
      </c>
      <c r="AG234" s="766" t="s">
        <v>1165</v>
      </c>
      <c r="AH234" s="766" t="s">
        <v>1096</v>
      </c>
      <c r="AI234" s="766"/>
      <c r="AJ234" s="766" t="s">
        <v>427</v>
      </c>
      <c r="AK234" s="766" t="s">
        <v>1101</v>
      </c>
      <c r="AL234" s="773">
        <v>10.36</v>
      </c>
      <c r="AM234" s="772">
        <v>10.36</v>
      </c>
      <c r="AN234" s="774">
        <v>1</v>
      </c>
      <c r="AO234" s="766" t="s">
        <v>1122</v>
      </c>
      <c r="AP234" s="766"/>
      <c r="AQ234" s="766"/>
      <c r="AR234" s="766"/>
      <c r="AS234" s="766"/>
      <c r="AT234" s="766"/>
      <c r="AU234" s="766"/>
      <c r="AV234" s="766"/>
      <c r="AW234" s="766"/>
      <c r="AX234" s="766"/>
      <c r="AY234" s="766"/>
      <c r="AZ234" s="766"/>
      <c r="BA234" s="766"/>
      <c r="BB234" s="766"/>
      <c r="BC234" s="766"/>
      <c r="BD234" s="766"/>
      <c r="BE234" s="766"/>
      <c r="BF234" s="775"/>
      <c r="BG234" s="775"/>
      <c r="BH234" s="766"/>
      <c r="BI234" s="766"/>
      <c r="BJ234" s="766"/>
      <c r="BK234" s="766" t="s">
        <v>1095</v>
      </c>
      <c r="BL234" s="766" t="s">
        <v>1344</v>
      </c>
      <c r="BM234" s="766" t="s">
        <v>1096</v>
      </c>
      <c r="BN234" s="766" t="s">
        <v>1230</v>
      </c>
      <c r="BO234" s="766" t="s">
        <v>1246</v>
      </c>
      <c r="BP234" s="1111">
        <v>10.36</v>
      </c>
      <c r="BQ234" s="772">
        <v>10.36</v>
      </c>
      <c r="BR234" s="774">
        <f t="shared" si="61"/>
        <v>1</v>
      </c>
      <c r="BS234" s="766" t="s">
        <v>1257</v>
      </c>
      <c r="BT234" s="766" t="s">
        <v>1326</v>
      </c>
      <c r="BU234" s="766" t="s">
        <v>1288</v>
      </c>
      <c r="BV234" s="766" t="s">
        <v>1335</v>
      </c>
      <c r="BW234" s="766">
        <v>2010</v>
      </c>
      <c r="BX234" s="775">
        <v>6000</v>
      </c>
      <c r="BY234" s="766"/>
      <c r="BZ234" s="775"/>
      <c r="CA234" s="766"/>
      <c r="CB234" s="766"/>
      <c r="CC234" s="766"/>
      <c r="CD234" s="766"/>
      <c r="CE234" s="766"/>
      <c r="CF234" s="777"/>
      <c r="CG234" s="231"/>
      <c r="CH234" s="766"/>
      <c r="CI234" s="766"/>
      <c r="CJ234" s="766"/>
      <c r="CK234" s="766"/>
      <c r="CL234" s="766"/>
      <c r="CM234" s="766"/>
      <c r="CN234" s="766"/>
      <c r="CO234" s="766"/>
      <c r="CP234" s="766"/>
      <c r="CQ234" s="766"/>
      <c r="CR234" s="775"/>
      <c r="CS234" s="766"/>
      <c r="CT234" s="766"/>
      <c r="CU234" s="129"/>
      <c r="CV234" s="766"/>
      <c r="CW234" s="766"/>
      <c r="CX234" s="766"/>
      <c r="CY234" s="766"/>
      <c r="CZ234" s="766"/>
      <c r="DA234" s="66"/>
      <c r="DB234" s="766"/>
      <c r="DC234" s="766"/>
      <c r="DD234" s="766"/>
      <c r="DE234" s="772"/>
      <c r="DF234" s="766"/>
      <c r="DG234" s="766"/>
      <c r="DH234" s="766"/>
      <c r="DI234" s="766"/>
      <c r="DJ234" s="766"/>
      <c r="DK234" s="766"/>
      <c r="DL234" s="766"/>
      <c r="DM234" s="766"/>
      <c r="DN234" s="44"/>
      <c r="DO234" s="766"/>
      <c r="DP234" s="766"/>
      <c r="DQ234" s="766"/>
      <c r="DR234" s="766"/>
      <c r="DS234" s="59"/>
      <c r="DT234" s="766"/>
      <c r="DU234" s="766"/>
      <c r="DV234" s="766"/>
      <c r="DW234" s="66"/>
      <c r="DX234" s="66"/>
      <c r="DY234" s="766"/>
      <c r="DZ234" s="766"/>
      <c r="EA234" s="766"/>
      <c r="EB234" s="766"/>
      <c r="EC234" s="766"/>
      <c r="ED234" s="766"/>
      <c r="EE234" s="766"/>
      <c r="EF234" s="766"/>
      <c r="EG234" s="766"/>
      <c r="EH234" s="766"/>
      <c r="EI234" s="766"/>
      <c r="EJ234" s="766"/>
      <c r="EK234" s="766"/>
      <c r="EL234" s="766"/>
      <c r="EM234" s="766"/>
      <c r="EN234" s="766"/>
      <c r="EO234" s="766"/>
      <c r="EP234" s="14"/>
      <c r="EQ234" s="766"/>
      <c r="ER234" s="766"/>
      <c r="ES234" s="766"/>
      <c r="ET234" s="766"/>
      <c r="EU234" s="766"/>
      <c r="EV234" s="766"/>
      <c r="EW234" s="766"/>
      <c r="EX234" s="766"/>
      <c r="EY234" s="766"/>
      <c r="EZ234" s="766"/>
      <c r="FA234" s="766"/>
      <c r="FB234" s="766"/>
      <c r="FC234" s="766"/>
      <c r="FD234" s="775"/>
      <c r="FE234" s="766"/>
      <c r="FF234" s="766"/>
      <c r="FG234" s="766"/>
      <c r="FH234" s="766" t="s">
        <v>478</v>
      </c>
      <c r="FI234" s="766">
        <v>1</v>
      </c>
      <c r="FJ234" s="766" t="s">
        <v>1634</v>
      </c>
      <c r="FK234" s="766"/>
      <c r="FL234" s="766"/>
      <c r="FM234" s="775"/>
      <c r="FN234" s="775"/>
      <c r="FO234" s="775"/>
      <c r="FP234" s="766" t="s">
        <v>1602</v>
      </c>
      <c r="FQ234" s="766" t="s">
        <v>1660</v>
      </c>
      <c r="FR234" s="766"/>
      <c r="FS234" s="766"/>
      <c r="FT234" s="766"/>
      <c r="FU234" s="766"/>
      <c r="FV234" s="766"/>
      <c r="FW234" s="766"/>
      <c r="FX234" s="766"/>
      <c r="FY234" s="766"/>
      <c r="FZ234" s="766"/>
      <c r="GA234" s="766"/>
      <c r="GB234" s="766"/>
      <c r="GC234" s="75"/>
      <c r="GD234" s="25"/>
      <c r="GE234" s="766"/>
      <c r="GF234" s="775"/>
      <c r="GG234" s="775"/>
      <c r="GH234" s="712" t="s">
        <v>1791</v>
      </c>
      <c r="GI234" s="766"/>
      <c r="GJ234" s="766"/>
      <c r="GK234" s="770" t="s">
        <v>2345</v>
      </c>
      <c r="GL234" s="766" t="s">
        <v>1800</v>
      </c>
      <c r="GM234" s="766"/>
      <c r="GN234" s="82"/>
      <c r="GO234" s="766"/>
      <c r="GP234" s="766" t="s">
        <v>1208</v>
      </c>
      <c r="GQ234" s="766" t="s">
        <v>1208</v>
      </c>
      <c r="GR234" s="766" t="s">
        <v>1208</v>
      </c>
      <c r="GS234" s="766"/>
      <c r="GT234" s="766"/>
      <c r="GU234" s="766"/>
      <c r="GV234" s="766"/>
      <c r="GW234" s="766" t="s">
        <v>1207</v>
      </c>
      <c r="GX234" s="766"/>
      <c r="GY234" s="766" t="s">
        <v>1208</v>
      </c>
      <c r="GZ234" s="766"/>
      <c r="HA234" s="766"/>
      <c r="HB234" s="766"/>
      <c r="HC234" s="766" t="s">
        <v>1208</v>
      </c>
      <c r="HD234" s="766"/>
      <c r="HE234" s="766" t="s">
        <v>1208</v>
      </c>
      <c r="HF234" s="766"/>
      <c r="HG234" s="766"/>
      <c r="HH234" s="766"/>
      <c r="HI234" s="766"/>
      <c r="HJ234" s="766"/>
      <c r="HK234" s="766"/>
      <c r="HL234" s="766"/>
      <c r="HM234" s="766"/>
      <c r="HN234" s="766"/>
      <c r="HO234" s="766"/>
      <c r="HP234" s="766"/>
      <c r="HQ234" s="766"/>
      <c r="HR234" s="766"/>
      <c r="HS234" s="766"/>
      <c r="HT234" s="766"/>
      <c r="HU234" s="766"/>
      <c r="HV234" s="766"/>
      <c r="HW234" s="766"/>
      <c r="HX234" s="766"/>
      <c r="HY234" s="766"/>
      <c r="HZ234" s="766"/>
      <c r="IA234" s="766"/>
      <c r="IB234" s="14" t="e">
        <f>IF(#REF!&gt;0,IF(#REF!&lt;=10000,"Y",""),"")</f>
        <v>#REF!</v>
      </c>
      <c r="IC234" s="14"/>
      <c r="ID234" s="14"/>
      <c r="IE234" s="14"/>
      <c r="IF234" s="766"/>
      <c r="IG234" s="766"/>
      <c r="IH234" s="766"/>
      <c r="II234" s="766"/>
      <c r="IJ234" s="766"/>
      <c r="IK234" s="766"/>
      <c r="IL234" s="766"/>
      <c r="IM234" s="766"/>
      <c r="IN234" s="766"/>
      <c r="IO234" s="24"/>
      <c r="IP234" s="766"/>
      <c r="IQ234" s="766"/>
      <c r="IR234" s="766"/>
      <c r="IS234" s="766"/>
      <c r="IT234" s="766"/>
      <c r="IU234" s="766"/>
      <c r="IV234" s="766"/>
      <c r="IW234" s="766"/>
      <c r="IX234" s="766"/>
      <c r="IY234" s="766"/>
      <c r="IZ234" s="766"/>
      <c r="JA234" s="766"/>
      <c r="JB234" s="766"/>
      <c r="JC234" s="766"/>
      <c r="JD234" s="775"/>
      <c r="JE234" s="766"/>
      <c r="JF234" s="766"/>
      <c r="JG234" s="766"/>
      <c r="JH234" s="766"/>
      <c r="JI234" s="712" t="str">
        <f t="shared" si="62"/>
        <v>ok</v>
      </c>
      <c r="JJ234" s="766">
        <v>5</v>
      </c>
      <c r="JK234" s="1139" t="s">
        <v>2088</v>
      </c>
      <c r="JL234" s="766">
        <v>1</v>
      </c>
      <c r="JM234" s="766"/>
      <c r="JN234" s="766">
        <v>2</v>
      </c>
      <c r="JO234" s="766">
        <v>2</v>
      </c>
      <c r="JP234" s="766"/>
      <c r="JQ234" s="766"/>
      <c r="JR234" s="766"/>
      <c r="JS234" s="766"/>
      <c r="JT234" s="766">
        <f t="shared" si="69"/>
        <v>3</v>
      </c>
      <c r="JU234" s="766">
        <f t="shared" si="69"/>
        <v>2</v>
      </c>
      <c r="JV234" s="712" t="str">
        <f t="shared" si="63"/>
        <v>ok</v>
      </c>
      <c r="JW234" s="712" t="str">
        <f t="shared" si="64"/>
        <v>ok</v>
      </c>
      <c r="JX234" s="766"/>
      <c r="JY234" s="766"/>
      <c r="JZ234" s="766">
        <v>1</v>
      </c>
      <c r="KA234" s="766"/>
      <c r="KB234" s="766">
        <v>1</v>
      </c>
      <c r="KC234" s="766">
        <v>1</v>
      </c>
      <c r="KD234" s="766">
        <v>1</v>
      </c>
      <c r="KE234" s="766">
        <v>1</v>
      </c>
      <c r="KF234" s="766"/>
      <c r="KG234" s="766"/>
      <c r="KH234" s="766"/>
      <c r="KI234" s="766"/>
      <c r="KJ234" s="770">
        <f t="shared" si="58"/>
        <v>3</v>
      </c>
      <c r="KK234" s="770">
        <f t="shared" si="58"/>
        <v>2</v>
      </c>
      <c r="KL234" s="712" t="str">
        <f t="shared" si="65"/>
        <v>ok</v>
      </c>
      <c r="KM234" s="712" t="str">
        <f t="shared" si="66"/>
        <v>ok</v>
      </c>
      <c r="KN234" s="766" t="s">
        <v>722</v>
      </c>
      <c r="KO234" s="28"/>
      <c r="KP234" s="766"/>
      <c r="KQ234" s="766"/>
      <c r="KR234" s="766"/>
      <c r="KS234" s="766"/>
      <c r="KT234" s="766">
        <v>2</v>
      </c>
      <c r="KU234" s="766"/>
      <c r="KV234" s="766"/>
      <c r="KW234" s="766">
        <v>1</v>
      </c>
      <c r="KX234" s="766"/>
      <c r="KY234" s="766"/>
      <c r="KZ234" s="766"/>
      <c r="LA234" s="766"/>
      <c r="LB234" s="766">
        <v>1</v>
      </c>
      <c r="LC234" s="766">
        <v>1</v>
      </c>
      <c r="LD234" s="766"/>
      <c r="LE234" s="766"/>
      <c r="LF234" s="766"/>
      <c r="LG234" s="766"/>
      <c r="LH234" s="766"/>
      <c r="LI234" s="766"/>
      <c r="LJ234" s="766"/>
      <c r="LK234" s="766"/>
      <c r="LL234" s="766"/>
      <c r="LM234" s="766"/>
      <c r="LN234" s="766">
        <f t="shared" si="71"/>
        <v>3</v>
      </c>
      <c r="LO234" s="766">
        <f t="shared" si="71"/>
        <v>2</v>
      </c>
      <c r="LP234" s="766">
        <v>2</v>
      </c>
      <c r="LQ234" s="1678">
        <v>2</v>
      </c>
      <c r="LR234" s="766"/>
      <c r="LS234" s="766"/>
      <c r="LT234" s="712" t="str">
        <f t="shared" si="67"/>
        <v>OK</v>
      </c>
      <c r="LU234" s="766"/>
      <c r="LV234" s="766"/>
      <c r="LW234" s="766">
        <v>2</v>
      </c>
      <c r="LX234" s="769">
        <v>2</v>
      </c>
      <c r="LY234" s="766" t="str">
        <f t="shared" si="72"/>
        <v>within the MUNICIPALITY</v>
      </c>
      <c r="LZ234" s="121"/>
      <c r="MA234" s="66"/>
      <c r="MB234" s="66"/>
      <c r="MC234" s="1679">
        <f t="shared" si="70"/>
        <v>0</v>
      </c>
      <c r="MD234" s="66">
        <f>SUM(1600,3000)</f>
        <v>4600</v>
      </c>
      <c r="ME234" s="66"/>
      <c r="MF234" s="66"/>
      <c r="MG234" s="1680">
        <f t="shared" si="68"/>
        <v>4600</v>
      </c>
      <c r="MH234" s="1681" t="s">
        <v>2228</v>
      </c>
      <c r="MI234" s="775">
        <v>2000</v>
      </c>
      <c r="MJ234" s="775">
        <v>200</v>
      </c>
      <c r="MK234" s="775">
        <f>QUOTIENT(500,3)</f>
        <v>166</v>
      </c>
      <c r="ML234" s="775">
        <v>150</v>
      </c>
      <c r="MM234" s="775">
        <v>400</v>
      </c>
      <c r="MN234" s="775"/>
      <c r="MO234" s="775">
        <v>50</v>
      </c>
      <c r="MP234" s="775"/>
      <c r="MQ234" s="775">
        <v>200</v>
      </c>
      <c r="MR234" s="775">
        <v>200</v>
      </c>
      <c r="MS234" s="775">
        <v>300</v>
      </c>
      <c r="MT234" s="775"/>
      <c r="MU234" s="775"/>
      <c r="MV234" s="775"/>
      <c r="MW234" s="775"/>
      <c r="MX234" s="775"/>
      <c r="MY234" s="1682">
        <f t="shared" si="49"/>
        <v>3666</v>
      </c>
      <c r="MZ234" s="766" t="s">
        <v>1835</v>
      </c>
      <c r="NA234" s="766" t="s">
        <v>13326</v>
      </c>
      <c r="NB234" s="766" t="s">
        <v>13105</v>
      </c>
      <c r="NC234" s="766" t="s">
        <v>13026</v>
      </c>
      <c r="ND234" s="766">
        <v>0</v>
      </c>
      <c r="NE234" s="766">
        <v>0</v>
      </c>
      <c r="NF234" s="766">
        <v>0</v>
      </c>
      <c r="NG234" s="766">
        <v>0</v>
      </c>
      <c r="NH234" s="766">
        <v>0</v>
      </c>
      <c r="NI234" s="766">
        <v>0</v>
      </c>
      <c r="NJ234" s="766">
        <v>0</v>
      </c>
      <c r="NK234" s="766">
        <v>0</v>
      </c>
      <c r="NL234" s="766">
        <v>0</v>
      </c>
      <c r="NM234" s="766">
        <v>0</v>
      </c>
      <c r="NN234" s="766">
        <v>0</v>
      </c>
      <c r="NO234" s="766">
        <v>0</v>
      </c>
      <c r="NP234" s="766">
        <v>0</v>
      </c>
      <c r="NQ234" s="766">
        <v>1</v>
      </c>
      <c r="NR234" s="766">
        <v>0</v>
      </c>
      <c r="NS234" s="766">
        <v>0</v>
      </c>
      <c r="NT234" s="766">
        <v>0</v>
      </c>
      <c r="NU234" s="766">
        <v>0</v>
      </c>
      <c r="NV234" s="766">
        <v>0</v>
      </c>
      <c r="NW234" s="766">
        <v>0</v>
      </c>
      <c r="NX234" s="766">
        <v>0</v>
      </c>
      <c r="NY234" s="766" t="s">
        <v>1208</v>
      </c>
      <c r="NZ234" s="766" t="s">
        <v>1208</v>
      </c>
      <c r="OA234" s="766" t="s">
        <v>1208</v>
      </c>
      <c r="OB234" s="766" t="s">
        <v>1208</v>
      </c>
      <c r="OC234" s="766"/>
      <c r="OD234" s="766"/>
      <c r="OE234" s="766"/>
      <c r="OF234" s="766"/>
      <c r="OG234" s="766"/>
      <c r="OH234" s="766"/>
      <c r="OI234" s="766"/>
      <c r="OJ234" s="766"/>
      <c r="OK234" s="766"/>
      <c r="OL234" s="766"/>
      <c r="OM234" s="766"/>
      <c r="ON234" s="766"/>
      <c r="OO234" s="766"/>
      <c r="OP234" s="766"/>
      <c r="OQ234" s="766"/>
      <c r="OR234" s="766"/>
      <c r="OS234" s="766"/>
      <c r="OT234" s="766"/>
      <c r="OU234" s="766"/>
      <c r="OV234" s="766"/>
      <c r="OW234" s="766"/>
      <c r="OX234" s="766"/>
      <c r="OY234" s="766"/>
      <c r="OZ234" s="766"/>
      <c r="PA234" s="766"/>
      <c r="PB234" s="766"/>
      <c r="PC234" s="766"/>
      <c r="PD234" s="766"/>
      <c r="PE234" s="766"/>
      <c r="PF234" s="766"/>
      <c r="PG234" s="766"/>
      <c r="PH234" s="766"/>
      <c r="PI234" s="766"/>
      <c r="PJ234" s="766"/>
      <c r="PK234" s="766" t="s">
        <v>1208</v>
      </c>
      <c r="PL234" s="766"/>
      <c r="PM234" s="766"/>
      <c r="PN234" s="766"/>
      <c r="PO234" s="766"/>
      <c r="PP234" s="766"/>
      <c r="PQ234" s="766"/>
      <c r="PR234" s="766"/>
      <c r="PS234" s="766" t="s">
        <v>1208</v>
      </c>
      <c r="PT234" s="766" t="s">
        <v>1208</v>
      </c>
      <c r="PU234" s="766"/>
      <c r="PV234" s="766"/>
      <c r="PW234" s="766"/>
      <c r="PX234" s="766"/>
      <c r="PY234" s="766"/>
      <c r="PZ234" s="766"/>
      <c r="QA234" s="766"/>
      <c r="QB234" s="766"/>
      <c r="QC234" s="766"/>
      <c r="QD234" s="766"/>
      <c r="QE234" s="766"/>
      <c r="QF234" s="766"/>
      <c r="QG234" s="766"/>
      <c r="QH234" s="766"/>
      <c r="QI234" s="766"/>
      <c r="QJ234" s="766" t="s">
        <v>1208</v>
      </c>
      <c r="QK234" s="766"/>
      <c r="QL234" s="766"/>
      <c r="QM234" s="766"/>
      <c r="QN234" s="766"/>
      <c r="QO234" s="766"/>
      <c r="QP234" s="766"/>
      <c r="QQ234" s="766"/>
      <c r="QR234" s="766"/>
      <c r="QS234" s="766"/>
      <c r="QT234" s="766"/>
      <c r="QU234" s="766"/>
      <c r="QV234" s="766"/>
      <c r="QW234" s="766"/>
      <c r="QX234" s="766"/>
      <c r="QY234" s="766"/>
      <c r="QZ234" s="766"/>
      <c r="RA234" s="766"/>
      <c r="RB234" s="770" t="s">
        <v>1207</v>
      </c>
      <c r="RC234" s="766" t="s">
        <v>13222</v>
      </c>
      <c r="RD234" s="766" t="s">
        <v>13223</v>
      </c>
      <c r="RE234" s="766" t="s">
        <v>13125</v>
      </c>
      <c r="RF234" s="777">
        <v>1.5</v>
      </c>
      <c r="RG234" s="766" t="s">
        <v>12991</v>
      </c>
      <c r="RH234" s="775">
        <v>0</v>
      </c>
      <c r="RI234" s="766" t="s">
        <v>13359</v>
      </c>
      <c r="RJ234" s="766" t="s">
        <v>2170</v>
      </c>
      <c r="RK234" s="766" t="s">
        <v>13146</v>
      </c>
      <c r="RL234" s="1683"/>
      <c r="RM234" s="12"/>
      <c r="RN234" s="1711"/>
      <c r="RO234" s="148" t="s">
        <v>405</v>
      </c>
      <c r="RP234" s="11"/>
      <c r="RQ234" s="11"/>
      <c r="RR234" s="19" t="s">
        <v>7421</v>
      </c>
      <c r="RS234" s="1139" t="s">
        <v>12980</v>
      </c>
      <c r="RT234" s="11"/>
      <c r="RU234" s="11"/>
      <c r="RV234" s="766" t="s">
        <v>7421</v>
      </c>
      <c r="RW234" s="11" t="s">
        <v>7596</v>
      </c>
      <c r="RX234" s="11" t="s">
        <v>401</v>
      </c>
      <c r="RY234" s="11"/>
      <c r="RZ234" s="1020" t="s">
        <v>1101</v>
      </c>
      <c r="SA234" s="766"/>
      <c r="SB234" s="11"/>
      <c r="SC234" s="11"/>
    </row>
    <row r="235" spans="1:497" ht="12.75" customHeight="1">
      <c r="A235" s="767" t="s">
        <v>7421</v>
      </c>
      <c r="B235" s="292" t="s">
        <v>7598</v>
      </c>
      <c r="C235" s="148" t="s">
        <v>408</v>
      </c>
      <c r="D235" s="14" t="s">
        <v>409</v>
      </c>
      <c r="E235" s="766" t="s">
        <v>5433</v>
      </c>
      <c r="F235" s="766" t="s">
        <v>28</v>
      </c>
      <c r="G235" s="766" t="s">
        <v>18</v>
      </c>
      <c r="H235" s="766"/>
      <c r="I235" s="5"/>
      <c r="J235" s="14"/>
      <c r="K235" s="766" t="s">
        <v>399</v>
      </c>
      <c r="L235" s="766" t="s">
        <v>400</v>
      </c>
      <c r="M235" s="766"/>
      <c r="N235" s="766"/>
      <c r="O235" s="766"/>
      <c r="P235" s="14" t="s">
        <v>934</v>
      </c>
      <c r="Q235" s="1085">
        <v>30572</v>
      </c>
      <c r="R235" s="25">
        <v>33</v>
      </c>
      <c r="S235" s="770" t="s">
        <v>10</v>
      </c>
      <c r="T235" s="766"/>
      <c r="U235" s="26" t="s">
        <v>935</v>
      </c>
      <c r="V235" s="766" t="s">
        <v>722</v>
      </c>
      <c r="W235" s="766"/>
      <c r="X235" s="24"/>
      <c r="Y235" s="766" t="s">
        <v>936</v>
      </c>
      <c r="Z235" s="766" t="s">
        <v>708</v>
      </c>
      <c r="AA235" s="766" t="s">
        <v>748</v>
      </c>
      <c r="AB235" s="766"/>
      <c r="AC235" s="766" t="s">
        <v>724</v>
      </c>
      <c r="AD235" s="766" t="s">
        <v>937</v>
      </c>
      <c r="AE235" s="766"/>
      <c r="AF235" s="766" t="s">
        <v>712</v>
      </c>
      <c r="AG235" s="766" t="s">
        <v>1165</v>
      </c>
      <c r="AH235" s="766" t="s">
        <v>1096</v>
      </c>
      <c r="AI235" s="766"/>
      <c r="AJ235" s="766" t="s">
        <v>427</v>
      </c>
      <c r="AK235" s="766" t="s">
        <v>1101</v>
      </c>
      <c r="AL235" s="773">
        <v>9</v>
      </c>
      <c r="AM235" s="772">
        <v>9</v>
      </c>
      <c r="AN235" s="774">
        <v>1</v>
      </c>
      <c r="AO235" s="766" t="s">
        <v>1122</v>
      </c>
      <c r="AP235" s="766"/>
      <c r="AQ235" s="766"/>
      <c r="AR235" s="766"/>
      <c r="AS235" s="766"/>
      <c r="AT235" s="766"/>
      <c r="AU235" s="766"/>
      <c r="AV235" s="766"/>
      <c r="AW235" s="766"/>
      <c r="AX235" s="766"/>
      <c r="AY235" s="766"/>
      <c r="AZ235" s="766"/>
      <c r="BA235" s="766"/>
      <c r="BB235" s="766"/>
      <c r="BC235" s="766"/>
      <c r="BD235" s="766"/>
      <c r="BE235" s="766"/>
      <c r="BF235" s="775"/>
      <c r="BG235" s="775"/>
      <c r="BH235" s="766"/>
      <c r="BI235" s="766"/>
      <c r="BJ235" s="766"/>
      <c r="BK235" s="766" t="s">
        <v>1095</v>
      </c>
      <c r="BL235" s="766" t="s">
        <v>1510</v>
      </c>
      <c r="BM235" s="766" t="s">
        <v>1096</v>
      </c>
      <c r="BN235" s="766" t="s">
        <v>1230</v>
      </c>
      <c r="BO235" s="766" t="s">
        <v>1246</v>
      </c>
      <c r="BP235" s="1111">
        <v>9</v>
      </c>
      <c r="BQ235" s="772">
        <v>9</v>
      </c>
      <c r="BR235" s="774">
        <f t="shared" si="61"/>
        <v>1</v>
      </c>
      <c r="BS235" s="766" t="s">
        <v>1257</v>
      </c>
      <c r="BT235" s="766" t="s">
        <v>1326</v>
      </c>
      <c r="BU235" s="766" t="s">
        <v>1288</v>
      </c>
      <c r="BV235" s="766" t="s">
        <v>1335</v>
      </c>
      <c r="BW235" s="769"/>
      <c r="BX235" s="775"/>
      <c r="BY235" s="766"/>
      <c r="BZ235" s="775"/>
      <c r="CA235" s="766"/>
      <c r="CB235" s="766" t="s">
        <v>1207</v>
      </c>
      <c r="CC235" s="766"/>
      <c r="CD235" s="766"/>
      <c r="CE235" s="766"/>
      <c r="CF235" s="777"/>
      <c r="CG235" s="231"/>
      <c r="CH235" s="766"/>
      <c r="CI235" s="766"/>
      <c r="CJ235" s="766"/>
      <c r="CK235" s="766"/>
      <c r="CL235" s="766"/>
      <c r="CM235" s="766"/>
      <c r="CN235" s="766"/>
      <c r="CO235" s="766"/>
      <c r="CP235" s="766"/>
      <c r="CQ235" s="766"/>
      <c r="CR235" s="775"/>
      <c r="CS235" s="766"/>
      <c r="CT235" s="766"/>
      <c r="CU235" s="129"/>
      <c r="CV235" s="766"/>
      <c r="CW235" s="766"/>
      <c r="CX235" s="766"/>
      <c r="CY235" s="766"/>
      <c r="CZ235" s="766"/>
      <c r="DA235" s="66"/>
      <c r="DB235" s="766"/>
      <c r="DC235" s="766"/>
      <c r="DD235" s="766"/>
      <c r="DE235" s="772"/>
      <c r="DF235" s="766"/>
      <c r="DG235" s="766"/>
      <c r="DH235" s="766" t="s">
        <v>1510</v>
      </c>
      <c r="DI235" s="12"/>
      <c r="DJ235" s="766"/>
      <c r="DK235" s="766"/>
      <c r="DL235" s="766" t="s">
        <v>1511</v>
      </c>
      <c r="DM235" s="766" t="s">
        <v>1512</v>
      </c>
      <c r="DN235" s="44">
        <v>5.0999999999999996</v>
      </c>
      <c r="DO235" s="766"/>
      <c r="DP235" s="766" t="s">
        <v>1257</v>
      </c>
      <c r="DQ235" s="766"/>
      <c r="DR235" s="766"/>
      <c r="DS235" s="59"/>
      <c r="DT235" s="766"/>
      <c r="DU235" s="766"/>
      <c r="DV235" s="766"/>
      <c r="DW235" s="66"/>
      <c r="DX235" s="66"/>
      <c r="DY235" s="766"/>
      <c r="DZ235" s="766"/>
      <c r="EA235" s="766"/>
      <c r="EB235" s="766"/>
      <c r="EC235" s="766"/>
      <c r="ED235" s="766"/>
      <c r="EE235" s="766"/>
      <c r="EF235" s="766"/>
      <c r="EG235" s="766"/>
      <c r="EH235" s="766"/>
      <c r="EI235" s="766"/>
      <c r="EJ235" s="766"/>
      <c r="EK235" s="766"/>
      <c r="EL235" s="766"/>
      <c r="EM235" s="766"/>
      <c r="EN235" s="766"/>
      <c r="EO235" s="766"/>
      <c r="EP235" s="14"/>
      <c r="EQ235" s="766"/>
      <c r="ER235" s="766"/>
      <c r="ES235" s="766"/>
      <c r="ET235" s="766"/>
      <c r="EU235" s="766"/>
      <c r="EV235" s="766"/>
      <c r="EW235" s="766"/>
      <c r="EX235" s="766"/>
      <c r="EY235" s="766"/>
      <c r="EZ235" s="766" t="s">
        <v>1510</v>
      </c>
      <c r="FA235" s="766"/>
      <c r="FB235" s="766" t="s">
        <v>1257</v>
      </c>
      <c r="FC235" s="766"/>
      <c r="FD235" s="775"/>
      <c r="FE235" s="766" t="s">
        <v>1513</v>
      </c>
      <c r="FF235" s="766" t="s">
        <v>1514</v>
      </c>
      <c r="FG235" s="766" t="s">
        <v>1515</v>
      </c>
      <c r="FH235" s="766" t="s">
        <v>478</v>
      </c>
      <c r="FI235" s="766">
        <v>1</v>
      </c>
      <c r="FJ235" s="766"/>
      <c r="FK235" s="766"/>
      <c r="FL235" s="766"/>
      <c r="FM235" s="775"/>
      <c r="FN235" s="775"/>
      <c r="FO235" s="775"/>
      <c r="FP235" s="766" t="s">
        <v>1602</v>
      </c>
      <c r="FQ235" s="766" t="s">
        <v>1660</v>
      </c>
      <c r="FR235" s="766"/>
      <c r="FS235" s="766"/>
      <c r="FT235" s="766"/>
      <c r="FU235" s="766"/>
      <c r="FV235" s="766"/>
      <c r="FW235" s="766"/>
      <c r="FX235" s="766"/>
      <c r="FY235" s="766"/>
      <c r="FZ235" s="766"/>
      <c r="GA235" s="766"/>
      <c r="GB235" s="766"/>
      <c r="GC235" s="75"/>
      <c r="GD235" s="25"/>
      <c r="GE235" s="766"/>
      <c r="GF235" s="775"/>
      <c r="GG235" s="775"/>
      <c r="GH235" s="712" t="s">
        <v>1791</v>
      </c>
      <c r="GI235" s="766"/>
      <c r="GJ235" s="766" t="s">
        <v>1826</v>
      </c>
      <c r="GK235" s="766" t="s">
        <v>1806</v>
      </c>
      <c r="GL235" s="766" t="s">
        <v>1805</v>
      </c>
      <c r="GM235" s="766"/>
      <c r="GN235" s="82">
        <v>200</v>
      </c>
      <c r="GO235" s="766"/>
      <c r="GP235" s="766"/>
      <c r="GQ235" s="766" t="s">
        <v>1208</v>
      </c>
      <c r="GR235" s="766"/>
      <c r="GS235" s="766"/>
      <c r="GT235" s="766"/>
      <c r="GU235" s="766"/>
      <c r="GV235" s="766"/>
      <c r="GW235" s="766" t="s">
        <v>1207</v>
      </c>
      <c r="GX235" s="766"/>
      <c r="GY235" s="766" t="s">
        <v>1208</v>
      </c>
      <c r="GZ235" s="766"/>
      <c r="HA235" s="766" t="s">
        <v>1208</v>
      </c>
      <c r="HB235" s="766" t="s">
        <v>1208</v>
      </c>
      <c r="HC235" s="766" t="s">
        <v>1208</v>
      </c>
      <c r="HD235" s="766"/>
      <c r="HE235" s="766" t="s">
        <v>1208</v>
      </c>
      <c r="HF235" s="766"/>
      <c r="HG235" s="766"/>
      <c r="HH235" s="766"/>
      <c r="HI235" s="766"/>
      <c r="HJ235" s="766"/>
      <c r="HK235" s="766"/>
      <c r="HL235" s="766"/>
      <c r="HM235" s="766"/>
      <c r="HN235" s="766"/>
      <c r="HO235" s="766"/>
      <c r="HP235" s="766"/>
      <c r="HQ235" s="766"/>
      <c r="HR235" s="766"/>
      <c r="HS235" s="766"/>
      <c r="HT235" s="766"/>
      <c r="HU235" s="766"/>
      <c r="HV235" s="766"/>
      <c r="HW235" s="766"/>
      <c r="HX235" s="766"/>
      <c r="HY235" s="766"/>
      <c r="HZ235" s="766"/>
      <c r="IA235" s="766"/>
      <c r="IB235" s="14" t="e">
        <f>IF(#REF!&gt;0,IF(#REF!&lt;=10000,"Y",""),"")</f>
        <v>#REF!</v>
      </c>
      <c r="IC235" s="14"/>
      <c r="ID235" s="14"/>
      <c r="IE235" s="14"/>
      <c r="IF235" s="766"/>
      <c r="IG235" s="766"/>
      <c r="IH235" s="766"/>
      <c r="II235" s="766"/>
      <c r="IJ235" s="766"/>
      <c r="IK235" s="766"/>
      <c r="IL235" s="766"/>
      <c r="IM235" s="766"/>
      <c r="IN235" s="766"/>
      <c r="IO235" s="24"/>
      <c r="IP235" s="766"/>
      <c r="IQ235" s="766"/>
      <c r="IR235" s="766"/>
      <c r="IS235" s="766"/>
      <c r="IT235" s="766"/>
      <c r="IU235" s="766"/>
      <c r="IV235" s="766"/>
      <c r="IW235" s="766"/>
      <c r="IX235" s="766"/>
      <c r="IY235" s="766"/>
      <c r="IZ235" s="766"/>
      <c r="JA235" s="766"/>
      <c r="JB235" s="766"/>
      <c r="JC235" s="766"/>
      <c r="JD235" s="775"/>
      <c r="JE235" s="766"/>
      <c r="JF235" s="766"/>
      <c r="JG235" s="766"/>
      <c r="JH235" s="766"/>
      <c r="JI235" s="712" t="str">
        <f t="shared" si="62"/>
        <v>ok</v>
      </c>
      <c r="JJ235" s="766">
        <v>4</v>
      </c>
      <c r="JK235" s="1139" t="s">
        <v>1510</v>
      </c>
      <c r="JL235" s="766">
        <v>2</v>
      </c>
      <c r="JM235" s="766"/>
      <c r="JN235" s="766">
        <v>1</v>
      </c>
      <c r="JO235" s="766">
        <v>1</v>
      </c>
      <c r="JP235" s="766"/>
      <c r="JQ235" s="766"/>
      <c r="JR235" s="766"/>
      <c r="JS235" s="766"/>
      <c r="JT235" s="766">
        <f t="shared" si="69"/>
        <v>3</v>
      </c>
      <c r="JU235" s="766">
        <f t="shared" si="69"/>
        <v>1</v>
      </c>
      <c r="JV235" s="712" t="str">
        <f t="shared" si="63"/>
        <v>ok</v>
      </c>
      <c r="JW235" s="712" t="str">
        <f t="shared" si="64"/>
        <v>ok</v>
      </c>
      <c r="JX235" s="766"/>
      <c r="JY235" s="766"/>
      <c r="JZ235" s="766">
        <v>2</v>
      </c>
      <c r="KA235" s="766"/>
      <c r="KB235" s="766"/>
      <c r="KC235" s="766"/>
      <c r="KD235" s="766">
        <v>1</v>
      </c>
      <c r="KE235" s="766">
        <v>1</v>
      </c>
      <c r="KF235" s="766"/>
      <c r="KG235" s="766"/>
      <c r="KH235" s="766"/>
      <c r="KI235" s="766"/>
      <c r="KJ235" s="770">
        <f t="shared" si="58"/>
        <v>3</v>
      </c>
      <c r="KK235" s="770">
        <f t="shared" si="58"/>
        <v>1</v>
      </c>
      <c r="KL235" s="712" t="str">
        <f t="shared" si="65"/>
        <v>ok</v>
      </c>
      <c r="KM235" s="712" t="str">
        <f t="shared" si="66"/>
        <v>ok</v>
      </c>
      <c r="KN235" s="766" t="s">
        <v>722</v>
      </c>
      <c r="KO235" s="766"/>
      <c r="KP235" s="766"/>
      <c r="KQ235" s="766"/>
      <c r="KR235" s="766"/>
      <c r="KS235" s="766"/>
      <c r="KT235" s="766">
        <v>2</v>
      </c>
      <c r="KU235" s="766"/>
      <c r="KV235" s="766"/>
      <c r="KW235" s="766"/>
      <c r="KX235" s="766">
        <v>1</v>
      </c>
      <c r="KY235" s="766"/>
      <c r="KZ235" s="766"/>
      <c r="LA235" s="766">
        <v>1</v>
      </c>
      <c r="LB235" s="766"/>
      <c r="LC235" s="766"/>
      <c r="LD235" s="766"/>
      <c r="LE235" s="766"/>
      <c r="LF235" s="766"/>
      <c r="LG235" s="766"/>
      <c r="LH235" s="766"/>
      <c r="LI235" s="766"/>
      <c r="LJ235" s="766"/>
      <c r="LK235" s="766"/>
      <c r="LL235" s="766"/>
      <c r="LM235" s="766"/>
      <c r="LN235" s="766">
        <f t="shared" si="71"/>
        <v>3</v>
      </c>
      <c r="LO235" s="766">
        <f t="shared" si="71"/>
        <v>1</v>
      </c>
      <c r="LP235" s="766">
        <v>2</v>
      </c>
      <c r="LQ235" s="766">
        <v>2</v>
      </c>
      <c r="LR235" s="766"/>
      <c r="LS235" s="766"/>
      <c r="LT235" s="712" t="str">
        <f t="shared" si="67"/>
        <v>OK</v>
      </c>
      <c r="LU235" s="766">
        <v>1</v>
      </c>
      <c r="LV235" s="766">
        <v>1</v>
      </c>
      <c r="LW235" s="766"/>
      <c r="LX235" s="769">
        <v>2</v>
      </c>
      <c r="LY235" s="766" t="str">
        <f t="shared" si="72"/>
        <v>within the MUNICIPALITY</v>
      </c>
      <c r="LZ235" s="121">
        <v>200</v>
      </c>
      <c r="MA235" s="66"/>
      <c r="MB235" s="66"/>
      <c r="MC235" s="1679">
        <f t="shared" si="70"/>
        <v>200</v>
      </c>
      <c r="MD235" s="66">
        <v>12700</v>
      </c>
      <c r="ME235" s="66"/>
      <c r="MF235" s="66"/>
      <c r="MG235" s="1680">
        <f t="shared" si="68"/>
        <v>12700</v>
      </c>
      <c r="MH235" s="766" t="s">
        <v>13360</v>
      </c>
      <c r="MI235" s="775">
        <v>5000</v>
      </c>
      <c r="MJ235" s="775">
        <f>PRODUCT(200,6,4)</f>
        <v>4800</v>
      </c>
      <c r="MK235" s="775">
        <f>QUOTIENT(1500,12)</f>
        <v>125</v>
      </c>
      <c r="ML235" s="775">
        <v>200</v>
      </c>
      <c r="MM235" s="775">
        <v>500</v>
      </c>
      <c r="MN235" s="775"/>
      <c r="MO235" s="775">
        <f>PRODUCT(40,4)</f>
        <v>160</v>
      </c>
      <c r="MP235" s="775"/>
      <c r="MQ235" s="775"/>
      <c r="MR235" s="775">
        <v>150</v>
      </c>
      <c r="MS235" s="775"/>
      <c r="MT235" s="775"/>
      <c r="MU235" s="775"/>
      <c r="MV235" s="775"/>
      <c r="MW235" s="775"/>
      <c r="MX235" s="775"/>
      <c r="MY235" s="1682">
        <f t="shared" si="49"/>
        <v>10935</v>
      </c>
      <c r="MZ235" s="766" t="s">
        <v>13361</v>
      </c>
      <c r="NA235" s="766" t="s">
        <v>1249</v>
      </c>
      <c r="NB235" s="766" t="s">
        <v>13069</v>
      </c>
      <c r="NC235" s="766" t="s">
        <v>13158</v>
      </c>
      <c r="ND235" s="766">
        <v>0</v>
      </c>
      <c r="NE235" s="766">
        <v>0</v>
      </c>
      <c r="NF235" s="766">
        <v>0</v>
      </c>
      <c r="NG235" s="766">
        <v>0</v>
      </c>
      <c r="NH235" s="766">
        <v>0</v>
      </c>
      <c r="NI235" s="766">
        <v>0</v>
      </c>
      <c r="NJ235" s="766">
        <v>0</v>
      </c>
      <c r="NK235" s="766">
        <v>0</v>
      </c>
      <c r="NL235" s="766">
        <v>0</v>
      </c>
      <c r="NM235" s="766">
        <v>0</v>
      </c>
      <c r="NN235" s="766">
        <v>0</v>
      </c>
      <c r="NO235" s="766">
        <v>0</v>
      </c>
      <c r="NP235" s="766">
        <v>0</v>
      </c>
      <c r="NQ235" s="766">
        <v>0</v>
      </c>
      <c r="NR235" s="766">
        <v>0</v>
      </c>
      <c r="NS235" s="766">
        <v>0</v>
      </c>
      <c r="NT235" s="766">
        <v>0</v>
      </c>
      <c r="NU235" s="766">
        <v>0</v>
      </c>
      <c r="NV235" s="766">
        <v>0</v>
      </c>
      <c r="NW235" s="766">
        <v>0</v>
      </c>
      <c r="NX235" s="766">
        <v>0</v>
      </c>
      <c r="NY235" s="766" t="s">
        <v>1208</v>
      </c>
      <c r="NZ235" s="766" t="s">
        <v>1208</v>
      </c>
      <c r="OA235" s="766" t="s">
        <v>1208</v>
      </c>
      <c r="OB235" s="766" t="s">
        <v>1208</v>
      </c>
      <c r="OC235" s="766" t="s">
        <v>1208</v>
      </c>
      <c r="OD235" s="766"/>
      <c r="OE235" s="766"/>
      <c r="OF235" s="766"/>
      <c r="OG235" s="766"/>
      <c r="OH235" s="766"/>
      <c r="OI235" s="766"/>
      <c r="OJ235" s="766"/>
      <c r="OK235" s="766"/>
      <c r="OL235" s="766"/>
      <c r="OM235" s="766"/>
      <c r="ON235" s="766"/>
      <c r="OO235" s="766"/>
      <c r="OP235" s="766"/>
      <c r="OQ235" s="766"/>
      <c r="OR235" s="766"/>
      <c r="OS235" s="766"/>
      <c r="OT235" s="766"/>
      <c r="OU235" s="766"/>
      <c r="OV235" s="766"/>
      <c r="OW235" s="766"/>
      <c r="OX235" s="766"/>
      <c r="OY235" s="766"/>
      <c r="OZ235" s="766"/>
      <c r="PA235" s="766"/>
      <c r="PB235" s="766"/>
      <c r="PC235" s="766"/>
      <c r="PD235" s="766"/>
      <c r="PE235" s="766"/>
      <c r="PF235" s="766"/>
      <c r="PG235" s="766"/>
      <c r="PH235" s="766"/>
      <c r="PI235" s="766"/>
      <c r="PJ235" s="766"/>
      <c r="PK235" s="766" t="s">
        <v>1208</v>
      </c>
      <c r="PL235" s="766"/>
      <c r="PM235" s="766"/>
      <c r="PN235" s="766"/>
      <c r="PO235" s="766"/>
      <c r="PP235" s="766"/>
      <c r="PQ235" s="766"/>
      <c r="PR235" s="766"/>
      <c r="PS235" s="766" t="s">
        <v>1208</v>
      </c>
      <c r="PT235" s="766" t="s">
        <v>1208</v>
      </c>
      <c r="PU235" s="766"/>
      <c r="PV235" s="766"/>
      <c r="PW235" s="766"/>
      <c r="PX235" s="766"/>
      <c r="PY235" s="766"/>
      <c r="PZ235" s="766"/>
      <c r="QA235" s="766"/>
      <c r="QB235" s="766"/>
      <c r="QC235" s="766"/>
      <c r="QD235" s="766"/>
      <c r="QE235" s="766"/>
      <c r="QF235" s="766"/>
      <c r="QG235" s="766"/>
      <c r="QH235" s="766"/>
      <c r="QI235" s="766"/>
      <c r="QJ235" s="766"/>
      <c r="QK235" s="766"/>
      <c r="QL235" s="766"/>
      <c r="QM235" s="766"/>
      <c r="QN235" s="766"/>
      <c r="QO235" s="766"/>
      <c r="QP235" s="766"/>
      <c r="QQ235" s="766"/>
      <c r="QR235" s="766"/>
      <c r="QS235" s="766"/>
      <c r="QT235" s="766"/>
      <c r="QU235" s="766"/>
      <c r="QV235" s="766"/>
      <c r="QW235" s="766"/>
      <c r="QX235" s="766"/>
      <c r="QY235" s="766"/>
      <c r="QZ235" s="766"/>
      <c r="RA235" s="766"/>
      <c r="RB235" s="770" t="s">
        <v>1207</v>
      </c>
      <c r="RC235" s="766"/>
      <c r="RD235" s="766" t="s">
        <v>12989</v>
      </c>
      <c r="RE235" s="766" t="s">
        <v>13125</v>
      </c>
      <c r="RF235" s="777">
        <v>1.5</v>
      </c>
      <c r="RG235" s="766" t="s">
        <v>12991</v>
      </c>
      <c r="RH235" s="775">
        <v>0</v>
      </c>
      <c r="RI235" s="766" t="s">
        <v>13362</v>
      </c>
      <c r="RJ235" s="766" t="s">
        <v>2171</v>
      </c>
      <c r="RK235" s="766" t="s">
        <v>13146</v>
      </c>
      <c r="RL235" s="1683"/>
      <c r="RM235" s="12"/>
      <c r="RN235" s="1711"/>
      <c r="RO235" s="148" t="s">
        <v>408</v>
      </c>
      <c r="RP235" s="11"/>
      <c r="RQ235" s="11"/>
      <c r="RR235" s="19" t="s">
        <v>7421</v>
      </c>
      <c r="RS235" s="1139" t="s">
        <v>12980</v>
      </c>
      <c r="RT235" s="11"/>
      <c r="RU235" s="11"/>
      <c r="RV235" s="766" t="s">
        <v>7421</v>
      </c>
      <c r="RW235" s="11" t="s">
        <v>7601</v>
      </c>
      <c r="RX235" s="11" t="s">
        <v>403</v>
      </c>
      <c r="RY235" s="11"/>
      <c r="RZ235" s="1020" t="s">
        <v>1101</v>
      </c>
      <c r="SA235" s="766"/>
      <c r="SB235" s="11"/>
      <c r="SC235" s="11"/>
    </row>
    <row r="236" spans="1:497" ht="12.75" customHeight="1">
      <c r="A236" s="767" t="s">
        <v>7421</v>
      </c>
      <c r="B236" s="292" t="s">
        <v>7599</v>
      </c>
      <c r="C236" s="148" t="s">
        <v>410</v>
      </c>
      <c r="D236" s="14" t="s">
        <v>411</v>
      </c>
      <c r="E236" s="766" t="s">
        <v>5433</v>
      </c>
      <c r="F236" s="766" t="s">
        <v>20</v>
      </c>
      <c r="G236" s="766" t="s">
        <v>18</v>
      </c>
      <c r="H236" s="766"/>
      <c r="I236" s="5"/>
      <c r="J236" s="766" t="s">
        <v>938</v>
      </c>
      <c r="K236" s="766" t="s">
        <v>399</v>
      </c>
      <c r="L236" s="766" t="s">
        <v>400</v>
      </c>
      <c r="M236" s="766"/>
      <c r="N236" s="766"/>
      <c r="O236" s="766"/>
      <c r="P236" s="14" t="s">
        <v>412</v>
      </c>
      <c r="Q236" s="1085">
        <v>35490</v>
      </c>
      <c r="R236" s="25">
        <v>19</v>
      </c>
      <c r="S236" s="770" t="s">
        <v>10</v>
      </c>
      <c r="T236" s="766"/>
      <c r="U236" s="26" t="s">
        <v>939</v>
      </c>
      <c r="V236" s="766" t="s">
        <v>722</v>
      </c>
      <c r="W236" s="766"/>
      <c r="X236" s="24"/>
      <c r="Y236" s="766" t="s">
        <v>936</v>
      </c>
      <c r="Z236" s="766" t="s">
        <v>708</v>
      </c>
      <c r="AA236" s="766" t="s">
        <v>2463</v>
      </c>
      <c r="AB236" s="766" t="s">
        <v>7275</v>
      </c>
      <c r="AC236" s="766"/>
      <c r="AD236" s="766"/>
      <c r="AE236" s="766" t="s">
        <v>909</v>
      </c>
      <c r="AF236" s="766" t="s">
        <v>712</v>
      </c>
      <c r="AG236" s="766" t="s">
        <v>1165</v>
      </c>
      <c r="AH236" s="766" t="s">
        <v>1096</v>
      </c>
      <c r="AI236" s="766"/>
      <c r="AJ236" s="766" t="s">
        <v>427</v>
      </c>
      <c r="AK236" s="766" t="s">
        <v>1101</v>
      </c>
      <c r="AL236" s="773">
        <v>12</v>
      </c>
      <c r="AM236" s="772">
        <v>12</v>
      </c>
      <c r="AN236" s="774">
        <v>1</v>
      </c>
      <c r="AO236" s="766" t="s">
        <v>1122</v>
      </c>
      <c r="AP236" s="766"/>
      <c r="AQ236" s="766"/>
      <c r="AR236" s="766"/>
      <c r="AS236" s="766"/>
      <c r="AT236" s="766"/>
      <c r="AU236" s="766"/>
      <c r="AV236" s="766"/>
      <c r="AW236" s="766"/>
      <c r="AX236" s="766"/>
      <c r="AY236" s="766"/>
      <c r="AZ236" s="766"/>
      <c r="BA236" s="766"/>
      <c r="BB236" s="766"/>
      <c r="BC236" s="766"/>
      <c r="BD236" s="766"/>
      <c r="BE236" s="766"/>
      <c r="BF236" s="775"/>
      <c r="BG236" s="775"/>
      <c r="BH236" s="766">
        <v>2</v>
      </c>
      <c r="BI236" s="766">
        <v>1</v>
      </c>
      <c r="BJ236" s="766"/>
      <c r="BK236" s="766" t="s">
        <v>1095</v>
      </c>
      <c r="BL236" s="766" t="s">
        <v>1345</v>
      </c>
      <c r="BM236" s="766" t="s">
        <v>1096</v>
      </c>
      <c r="BN236" s="766" t="s">
        <v>1230</v>
      </c>
      <c r="BO236" s="766" t="s">
        <v>1246</v>
      </c>
      <c r="BP236" s="1111">
        <v>12</v>
      </c>
      <c r="BQ236" s="772">
        <v>12</v>
      </c>
      <c r="BR236" s="774">
        <f t="shared" si="61"/>
        <v>1</v>
      </c>
      <c r="BS236" s="766" t="s">
        <v>1257</v>
      </c>
      <c r="BT236" s="766" t="s">
        <v>1326</v>
      </c>
      <c r="BU236" s="766" t="s">
        <v>1267</v>
      </c>
      <c r="BV236" s="766" t="s">
        <v>1346</v>
      </c>
      <c r="BW236" s="766">
        <v>2009</v>
      </c>
      <c r="BX236" s="775">
        <v>2000</v>
      </c>
      <c r="BY236" s="766"/>
      <c r="BZ236" s="775"/>
      <c r="CA236" s="766"/>
      <c r="CB236" s="766"/>
      <c r="CC236" s="766"/>
      <c r="CD236" s="766"/>
      <c r="CE236" s="766"/>
      <c r="CF236" s="777"/>
      <c r="CG236" s="231"/>
      <c r="CH236" s="766"/>
      <c r="CI236" s="766"/>
      <c r="CJ236" s="766"/>
      <c r="CK236" s="766"/>
      <c r="CL236" s="766"/>
      <c r="CM236" s="766"/>
      <c r="CN236" s="766"/>
      <c r="CO236" s="766"/>
      <c r="CP236" s="766"/>
      <c r="CQ236" s="766"/>
      <c r="CR236" s="775"/>
      <c r="CS236" s="766"/>
      <c r="CT236" s="766"/>
      <c r="CU236" s="129"/>
      <c r="CV236" s="766"/>
      <c r="CW236" s="766"/>
      <c r="CX236" s="766"/>
      <c r="CY236" s="766"/>
      <c r="CZ236" s="766"/>
      <c r="DA236" s="66"/>
      <c r="DB236" s="766"/>
      <c r="DC236" s="766"/>
      <c r="DD236" s="766"/>
      <c r="DE236" s="772"/>
      <c r="DF236" s="766"/>
      <c r="DG236" s="766"/>
      <c r="DH236" s="766"/>
      <c r="DI236" s="766"/>
      <c r="DJ236" s="766"/>
      <c r="DK236" s="766"/>
      <c r="DL236" s="766"/>
      <c r="DM236" s="766"/>
      <c r="DN236" s="44"/>
      <c r="DO236" s="766"/>
      <c r="DP236" s="766"/>
      <c r="DQ236" s="766"/>
      <c r="DR236" s="766"/>
      <c r="DS236" s="59"/>
      <c r="DT236" s="766"/>
      <c r="DU236" s="766"/>
      <c r="DV236" s="766"/>
      <c r="DW236" s="66"/>
      <c r="DX236" s="66"/>
      <c r="DY236" s="766"/>
      <c r="DZ236" s="766"/>
      <c r="EA236" s="766"/>
      <c r="EB236" s="766"/>
      <c r="EC236" s="766"/>
      <c r="ED236" s="766"/>
      <c r="EE236" s="766"/>
      <c r="EF236" s="766"/>
      <c r="EG236" s="766"/>
      <c r="EH236" s="766"/>
      <c r="EI236" s="766"/>
      <c r="EJ236" s="766"/>
      <c r="EK236" s="766"/>
      <c r="EL236" s="766"/>
      <c r="EM236" s="766"/>
      <c r="EN236" s="766"/>
      <c r="EO236" s="766"/>
      <c r="EP236" s="14"/>
      <c r="EQ236" s="766"/>
      <c r="ER236" s="766"/>
      <c r="ES236" s="766"/>
      <c r="ET236" s="766"/>
      <c r="EU236" s="766"/>
      <c r="EV236" s="766"/>
      <c r="EW236" s="766"/>
      <c r="EX236" s="766"/>
      <c r="EY236" s="766"/>
      <c r="EZ236" s="766"/>
      <c r="FA236" s="766"/>
      <c r="FB236" s="766"/>
      <c r="FC236" s="766"/>
      <c r="FD236" s="775"/>
      <c r="FE236" s="766"/>
      <c r="FF236" s="766"/>
      <c r="FG236" s="766"/>
      <c r="FH236" s="766" t="s">
        <v>478</v>
      </c>
      <c r="FI236" s="766">
        <v>2</v>
      </c>
      <c r="FJ236" s="766"/>
      <c r="FK236" s="766"/>
      <c r="FL236" s="766"/>
      <c r="FM236" s="775"/>
      <c r="FN236" s="775"/>
      <c r="FO236" s="775"/>
      <c r="FP236" s="766" t="s">
        <v>1602</v>
      </c>
      <c r="FQ236" s="766" t="s">
        <v>1660</v>
      </c>
      <c r="FR236" s="766"/>
      <c r="FS236" s="766"/>
      <c r="FT236" s="766"/>
      <c r="FU236" s="766"/>
      <c r="FV236" s="766"/>
      <c r="FW236" s="766"/>
      <c r="FX236" s="766"/>
      <c r="FY236" s="766"/>
      <c r="FZ236" s="766"/>
      <c r="GA236" s="766"/>
      <c r="GB236" s="766"/>
      <c r="GC236" s="75"/>
      <c r="GD236" s="25"/>
      <c r="GE236" s="766"/>
      <c r="GF236" s="775"/>
      <c r="GG236" s="775"/>
      <c r="GH236" s="712" t="s">
        <v>14260</v>
      </c>
      <c r="GI236" s="766"/>
      <c r="GJ236" s="766"/>
      <c r="GK236" s="766"/>
      <c r="GL236" s="766"/>
      <c r="GM236" s="766"/>
      <c r="GN236" s="82"/>
      <c r="GO236" s="766"/>
      <c r="GP236" s="766"/>
      <c r="GQ236" s="766"/>
      <c r="GR236" s="766"/>
      <c r="GS236" s="766"/>
      <c r="GT236" s="766"/>
      <c r="GU236" s="766"/>
      <c r="GV236" s="766"/>
      <c r="GW236" s="766"/>
      <c r="GX236" s="766"/>
      <c r="GY236" s="766"/>
      <c r="GZ236" s="766"/>
      <c r="HA236" s="766"/>
      <c r="HB236" s="766"/>
      <c r="HC236" s="766"/>
      <c r="HD236" s="766"/>
      <c r="HE236" s="766"/>
      <c r="HF236" s="766"/>
      <c r="HG236" s="766"/>
      <c r="HH236" s="766"/>
      <c r="HI236" s="766" t="s">
        <v>1214</v>
      </c>
      <c r="HJ236" s="766"/>
      <c r="HK236" s="766"/>
      <c r="HL236" s="766"/>
      <c r="HM236" s="766"/>
      <c r="HN236" s="766"/>
      <c r="HO236" s="766"/>
      <c r="HP236" s="766"/>
      <c r="HQ236" s="766"/>
      <c r="HR236" s="766"/>
      <c r="HS236" s="766"/>
      <c r="HT236" s="766"/>
      <c r="HU236" s="766"/>
      <c r="HV236" s="766"/>
      <c r="HW236" s="766"/>
      <c r="HX236" s="766"/>
      <c r="HY236" s="766"/>
      <c r="HZ236" s="766"/>
      <c r="IA236" s="766"/>
      <c r="IB236" s="14" t="e">
        <f>IF(#REF!&gt;0,IF(#REF!&lt;=10000,"Y",""),"")</f>
        <v>#REF!</v>
      </c>
      <c r="IC236" s="14"/>
      <c r="ID236" s="14"/>
      <c r="IE236" s="14"/>
      <c r="IF236" s="766"/>
      <c r="IG236" s="766"/>
      <c r="IH236" s="766"/>
      <c r="II236" s="766"/>
      <c r="IJ236" s="766"/>
      <c r="IK236" s="766"/>
      <c r="IL236" s="766"/>
      <c r="IM236" s="766"/>
      <c r="IN236" s="766"/>
      <c r="IO236" s="24"/>
      <c r="IP236" s="766"/>
      <c r="IQ236" s="766"/>
      <c r="IR236" s="766"/>
      <c r="IS236" s="766"/>
      <c r="IT236" s="766"/>
      <c r="IU236" s="766"/>
      <c r="IV236" s="766"/>
      <c r="IW236" s="766"/>
      <c r="IX236" s="766"/>
      <c r="IY236" s="766"/>
      <c r="IZ236" s="766"/>
      <c r="JA236" s="766"/>
      <c r="JB236" s="766"/>
      <c r="JC236" s="766"/>
      <c r="JD236" s="775"/>
      <c r="JE236" s="766"/>
      <c r="JF236" s="766"/>
      <c r="JG236" s="766"/>
      <c r="JH236" s="766"/>
      <c r="JI236" s="712" t="str">
        <f t="shared" si="62"/>
        <v>ok</v>
      </c>
      <c r="JJ236" s="766">
        <v>4</v>
      </c>
      <c r="JK236" s="1139" t="s">
        <v>2089</v>
      </c>
      <c r="JL236" s="766">
        <v>2</v>
      </c>
      <c r="JM236" s="766"/>
      <c r="JN236" s="766">
        <v>1</v>
      </c>
      <c r="JO236" s="766">
        <v>1</v>
      </c>
      <c r="JP236" s="766"/>
      <c r="JQ236" s="766"/>
      <c r="JR236" s="766"/>
      <c r="JS236" s="766"/>
      <c r="JT236" s="766">
        <f t="shared" si="69"/>
        <v>3</v>
      </c>
      <c r="JU236" s="766">
        <f t="shared" si="69"/>
        <v>1</v>
      </c>
      <c r="JV236" s="712" t="str">
        <f t="shared" si="63"/>
        <v>ok</v>
      </c>
      <c r="JW236" s="712" t="str">
        <f t="shared" si="64"/>
        <v>ok</v>
      </c>
      <c r="JX236" s="766">
        <v>2</v>
      </c>
      <c r="JY236" s="766"/>
      <c r="JZ236" s="766"/>
      <c r="KA236" s="766"/>
      <c r="KB236" s="766">
        <v>1</v>
      </c>
      <c r="KC236" s="766">
        <v>1</v>
      </c>
      <c r="KD236" s="766"/>
      <c r="KE236" s="766"/>
      <c r="KF236" s="766"/>
      <c r="KG236" s="766"/>
      <c r="KH236" s="766"/>
      <c r="KI236" s="766"/>
      <c r="KJ236" s="770">
        <f t="shared" si="58"/>
        <v>3</v>
      </c>
      <c r="KK236" s="770">
        <f t="shared" si="58"/>
        <v>1</v>
      </c>
      <c r="KL236" s="712" t="str">
        <f t="shared" si="65"/>
        <v>ok</v>
      </c>
      <c r="KM236" s="712" t="str">
        <f t="shared" si="66"/>
        <v>ok</v>
      </c>
      <c r="KN236" s="766" t="s">
        <v>722</v>
      </c>
      <c r="KO236" s="28"/>
      <c r="KP236" s="766"/>
      <c r="KQ236" s="766"/>
      <c r="KR236" s="766"/>
      <c r="KS236" s="766"/>
      <c r="KT236" s="766">
        <v>1</v>
      </c>
      <c r="KU236" s="766"/>
      <c r="KV236" s="766"/>
      <c r="KW236" s="766">
        <v>1</v>
      </c>
      <c r="KX236" s="766"/>
      <c r="KY236" s="766"/>
      <c r="KZ236" s="766"/>
      <c r="LA236" s="766"/>
      <c r="LB236" s="766"/>
      <c r="LC236" s="766"/>
      <c r="LD236" s="766"/>
      <c r="LE236" s="766"/>
      <c r="LF236" s="766"/>
      <c r="LG236" s="766"/>
      <c r="LH236" s="766"/>
      <c r="LI236" s="766"/>
      <c r="LJ236" s="766">
        <v>2</v>
      </c>
      <c r="LK236" s="766"/>
      <c r="LL236" s="766"/>
      <c r="LM236" s="766"/>
      <c r="LN236" s="766">
        <f t="shared" si="71"/>
        <v>3</v>
      </c>
      <c r="LO236" s="766">
        <f t="shared" si="71"/>
        <v>1</v>
      </c>
      <c r="LP236" s="766">
        <v>1</v>
      </c>
      <c r="LQ236" s="1678">
        <v>1</v>
      </c>
      <c r="LR236" s="766"/>
      <c r="LS236" s="766">
        <v>1</v>
      </c>
      <c r="LT236" s="712" t="str">
        <f t="shared" si="67"/>
        <v>OK</v>
      </c>
      <c r="LU236" s="766"/>
      <c r="LV236" s="766"/>
      <c r="LW236" s="766">
        <v>1</v>
      </c>
      <c r="LX236" s="769">
        <v>2</v>
      </c>
      <c r="LY236" s="766" t="str">
        <f t="shared" si="72"/>
        <v>within the MUNICIPALITY</v>
      </c>
      <c r="LZ236" s="121"/>
      <c r="MA236" s="66"/>
      <c r="MB236" s="66">
        <v>600</v>
      </c>
      <c r="MC236" s="1679">
        <f t="shared" si="70"/>
        <v>600</v>
      </c>
      <c r="MD236" s="66">
        <v>7200</v>
      </c>
      <c r="ME236" s="66"/>
      <c r="MF236" s="66"/>
      <c r="MG236" s="1680">
        <f t="shared" si="68"/>
        <v>7200</v>
      </c>
      <c r="MH236" s="1681" t="s">
        <v>2198</v>
      </c>
      <c r="MI236" s="775">
        <v>1375</v>
      </c>
      <c r="MJ236" s="775">
        <v>300</v>
      </c>
      <c r="MK236" s="775">
        <v>11</v>
      </c>
      <c r="ML236" s="775">
        <v>38</v>
      </c>
      <c r="MM236" s="775"/>
      <c r="MN236" s="775"/>
      <c r="MO236" s="775">
        <v>25</v>
      </c>
      <c r="MP236" s="775"/>
      <c r="MQ236" s="775">
        <v>30</v>
      </c>
      <c r="MR236" s="775">
        <v>300</v>
      </c>
      <c r="MS236" s="775"/>
      <c r="MT236" s="775"/>
      <c r="MU236" s="775"/>
      <c r="MV236" s="775"/>
      <c r="MW236" s="775"/>
      <c r="MX236" s="775">
        <v>337.5</v>
      </c>
      <c r="MY236" s="1682">
        <f t="shared" si="49"/>
        <v>2416.5</v>
      </c>
      <c r="MZ236" s="766"/>
      <c r="NA236" s="766" t="s">
        <v>1249</v>
      </c>
      <c r="NB236" s="766" t="s">
        <v>13105</v>
      </c>
      <c r="NC236" s="766" t="s">
        <v>13363</v>
      </c>
      <c r="ND236" s="766">
        <v>0</v>
      </c>
      <c r="NE236" s="766">
        <v>0</v>
      </c>
      <c r="NF236" s="766">
        <v>0</v>
      </c>
      <c r="NG236" s="766">
        <v>0</v>
      </c>
      <c r="NH236" s="766">
        <v>0</v>
      </c>
      <c r="NI236" s="766">
        <v>0</v>
      </c>
      <c r="NJ236" s="766">
        <v>0</v>
      </c>
      <c r="NK236" s="766">
        <v>0</v>
      </c>
      <c r="NL236" s="766">
        <v>0</v>
      </c>
      <c r="NM236" s="766">
        <v>0</v>
      </c>
      <c r="NN236" s="766">
        <v>0</v>
      </c>
      <c r="NO236" s="766">
        <v>0</v>
      </c>
      <c r="NP236" s="766">
        <v>0</v>
      </c>
      <c r="NQ236" s="766">
        <v>0</v>
      </c>
      <c r="NR236" s="766">
        <v>0</v>
      </c>
      <c r="NS236" s="766">
        <v>0</v>
      </c>
      <c r="NT236" s="766">
        <v>0</v>
      </c>
      <c r="NU236" s="766">
        <v>0</v>
      </c>
      <c r="NV236" s="766">
        <v>0</v>
      </c>
      <c r="NW236" s="766">
        <v>0</v>
      </c>
      <c r="NX236" s="766">
        <v>0</v>
      </c>
      <c r="NY236" s="766" t="s">
        <v>1208</v>
      </c>
      <c r="NZ236" s="766" t="s">
        <v>1208</v>
      </c>
      <c r="OA236" s="766" t="s">
        <v>1208</v>
      </c>
      <c r="OB236" s="766" t="s">
        <v>1208</v>
      </c>
      <c r="OC236" s="766" t="s">
        <v>1208</v>
      </c>
      <c r="OD236" s="766" t="s">
        <v>1208</v>
      </c>
      <c r="OE236" s="766"/>
      <c r="OF236" s="766"/>
      <c r="OG236" s="766"/>
      <c r="OH236" s="766"/>
      <c r="OI236" s="766"/>
      <c r="OJ236" s="766"/>
      <c r="OK236" s="766"/>
      <c r="OL236" s="766"/>
      <c r="OM236" s="766"/>
      <c r="ON236" s="766"/>
      <c r="OO236" s="766"/>
      <c r="OP236" s="766"/>
      <c r="OQ236" s="766"/>
      <c r="OR236" s="766"/>
      <c r="OS236" s="766"/>
      <c r="OT236" s="766"/>
      <c r="OU236" s="766"/>
      <c r="OV236" s="766"/>
      <c r="OW236" s="766"/>
      <c r="OX236" s="766"/>
      <c r="OY236" s="766"/>
      <c r="OZ236" s="766"/>
      <c r="PA236" s="766"/>
      <c r="PB236" s="766"/>
      <c r="PC236" s="766"/>
      <c r="PD236" s="766"/>
      <c r="PE236" s="766"/>
      <c r="PF236" s="766"/>
      <c r="PG236" s="766"/>
      <c r="PH236" s="766"/>
      <c r="PI236" s="766"/>
      <c r="PJ236" s="766"/>
      <c r="PK236" s="766" t="s">
        <v>1208</v>
      </c>
      <c r="PL236" s="766"/>
      <c r="PM236" s="766"/>
      <c r="PN236" s="766"/>
      <c r="PO236" s="766"/>
      <c r="PP236" s="766"/>
      <c r="PQ236" s="766"/>
      <c r="PR236" s="766"/>
      <c r="PS236" s="766"/>
      <c r="PT236" s="766"/>
      <c r="PU236" s="766"/>
      <c r="PV236" s="766" t="s">
        <v>1208</v>
      </c>
      <c r="PW236" s="766"/>
      <c r="PX236" s="766" t="s">
        <v>1208</v>
      </c>
      <c r="PY236" s="766"/>
      <c r="PZ236" s="766"/>
      <c r="QA236" s="766"/>
      <c r="QB236" s="766"/>
      <c r="QC236" s="766"/>
      <c r="QD236" s="766"/>
      <c r="QE236" s="766"/>
      <c r="QF236" s="766"/>
      <c r="QG236" s="766"/>
      <c r="QH236" s="766"/>
      <c r="QI236" s="766"/>
      <c r="QJ236" s="766"/>
      <c r="QK236" s="766"/>
      <c r="QL236" s="766"/>
      <c r="QM236" s="766"/>
      <c r="QN236" s="766"/>
      <c r="QO236" s="766"/>
      <c r="QP236" s="766"/>
      <c r="QQ236" s="766"/>
      <c r="QR236" s="766"/>
      <c r="QS236" s="766"/>
      <c r="QT236" s="766"/>
      <c r="QU236" s="766"/>
      <c r="QV236" s="766"/>
      <c r="QW236" s="766"/>
      <c r="QX236" s="766"/>
      <c r="QY236" s="766"/>
      <c r="QZ236" s="766"/>
      <c r="RA236" s="766"/>
      <c r="RB236" s="770" t="s">
        <v>1207</v>
      </c>
      <c r="RC236" s="766"/>
      <c r="RD236" s="766" t="s">
        <v>13036</v>
      </c>
      <c r="RE236" s="766" t="s">
        <v>12999</v>
      </c>
      <c r="RF236" s="777">
        <v>1</v>
      </c>
      <c r="RG236" s="766" t="s">
        <v>13107</v>
      </c>
      <c r="RH236" s="775">
        <v>3000</v>
      </c>
      <c r="RI236" s="766" t="s">
        <v>13362</v>
      </c>
      <c r="RJ236" s="766" t="s">
        <v>13364</v>
      </c>
      <c r="RK236" s="766" t="s">
        <v>13146</v>
      </c>
      <c r="RL236" s="1683"/>
      <c r="RM236" s="12"/>
      <c r="RN236" s="1711"/>
      <c r="RO236" s="148" t="s">
        <v>410</v>
      </c>
      <c r="RP236" s="11"/>
      <c r="RQ236" s="11"/>
      <c r="RR236" s="19" t="s">
        <v>7421</v>
      </c>
      <c r="RS236" s="1139" t="s">
        <v>12980</v>
      </c>
      <c r="RT236" s="11"/>
      <c r="RU236" s="11"/>
      <c r="RV236" s="766" t="s">
        <v>7421</v>
      </c>
      <c r="RW236" s="11" t="s">
        <v>7597</v>
      </c>
      <c r="RX236" s="11" t="s">
        <v>405</v>
      </c>
      <c r="RY236" s="11"/>
      <c r="RZ236" s="1020" t="s">
        <v>1101</v>
      </c>
      <c r="SA236" s="766"/>
      <c r="SB236" s="11"/>
      <c r="SC236" s="11"/>
    </row>
    <row r="237" spans="1:497" ht="12.75" customHeight="1">
      <c r="A237" s="311" t="s">
        <v>12355</v>
      </c>
      <c r="B237" s="292" t="s">
        <v>7600</v>
      </c>
      <c r="C237" s="148" t="s">
        <v>410</v>
      </c>
      <c r="D237" s="14" t="s">
        <v>411</v>
      </c>
      <c r="E237" s="766" t="s">
        <v>5433</v>
      </c>
      <c r="F237" s="766" t="s">
        <v>210</v>
      </c>
      <c r="G237" s="766" t="s">
        <v>18</v>
      </c>
      <c r="H237" s="766"/>
      <c r="I237" s="5"/>
      <c r="J237" s="14"/>
      <c r="K237" s="766"/>
      <c r="L237" s="766"/>
      <c r="M237" s="766"/>
      <c r="N237" s="766"/>
      <c r="O237" s="766"/>
      <c r="P237" s="14" t="s">
        <v>940</v>
      </c>
      <c r="Q237" s="1085">
        <v>26292</v>
      </c>
      <c r="R237" s="25">
        <v>46</v>
      </c>
      <c r="S237" s="770" t="s">
        <v>10</v>
      </c>
      <c r="T237" s="766"/>
      <c r="U237" s="26" t="s">
        <v>939</v>
      </c>
      <c r="V237" s="766" t="s">
        <v>783</v>
      </c>
      <c r="W237" s="766"/>
      <c r="X237" s="24"/>
      <c r="Y237" s="766" t="s">
        <v>936</v>
      </c>
      <c r="Z237" s="766" t="s">
        <v>708</v>
      </c>
      <c r="AA237" s="766" t="s">
        <v>709</v>
      </c>
      <c r="AB237" s="766" t="s">
        <v>7275</v>
      </c>
      <c r="AC237" s="766"/>
      <c r="AD237" s="766"/>
      <c r="AE237" s="766" t="s">
        <v>909</v>
      </c>
      <c r="AF237" s="766" t="s">
        <v>712</v>
      </c>
      <c r="AG237" s="766" t="s">
        <v>1165</v>
      </c>
      <c r="AH237" s="766" t="s">
        <v>1096</v>
      </c>
      <c r="AI237" s="766"/>
      <c r="AJ237" s="766" t="s">
        <v>427</v>
      </c>
      <c r="AK237" s="766" t="s">
        <v>1101</v>
      </c>
      <c r="AL237" s="773"/>
      <c r="AM237" s="772"/>
      <c r="AN237" s="774"/>
      <c r="AO237" s="766"/>
      <c r="AP237" s="766"/>
      <c r="AQ237" s="766"/>
      <c r="AR237" s="766"/>
      <c r="AS237" s="766"/>
      <c r="AT237" s="766"/>
      <c r="AU237" s="766"/>
      <c r="AV237" s="766"/>
      <c r="AW237" s="766"/>
      <c r="AX237" s="766"/>
      <c r="AY237" s="766"/>
      <c r="AZ237" s="766"/>
      <c r="BA237" s="766"/>
      <c r="BB237" s="766"/>
      <c r="BC237" s="766"/>
      <c r="BD237" s="766"/>
      <c r="BE237" s="766"/>
      <c r="BF237" s="775"/>
      <c r="BG237" s="775"/>
      <c r="BH237" s="766">
        <v>2</v>
      </c>
      <c r="BI237" s="766"/>
      <c r="BJ237" s="766"/>
      <c r="BK237" s="766" t="s">
        <v>1095</v>
      </c>
      <c r="BL237" s="766"/>
      <c r="BM237" s="766" t="s">
        <v>1238</v>
      </c>
      <c r="BN237" s="766" t="s">
        <v>1299</v>
      </c>
      <c r="BO237" s="766"/>
      <c r="BP237" s="773"/>
      <c r="BQ237" s="772"/>
      <c r="BR237" s="774"/>
      <c r="BS237" s="766" t="s">
        <v>1257</v>
      </c>
      <c r="BT237" s="766"/>
      <c r="BU237" s="766"/>
      <c r="BV237" s="766"/>
      <c r="BW237" s="769"/>
      <c r="BX237" s="775"/>
      <c r="BY237" s="766"/>
      <c r="BZ237" s="775"/>
      <c r="CA237" s="766"/>
      <c r="CB237" s="766" t="s">
        <v>1207</v>
      </c>
      <c r="CC237" s="766"/>
      <c r="CD237" s="766"/>
      <c r="CE237" s="766"/>
      <c r="CF237" s="777"/>
      <c r="CG237" s="231"/>
      <c r="CH237" s="766"/>
      <c r="CI237" s="766"/>
      <c r="CJ237" s="766"/>
      <c r="CK237" s="766"/>
      <c r="CL237" s="766"/>
      <c r="CM237" s="766"/>
      <c r="CN237" s="766"/>
      <c r="CO237" s="766"/>
      <c r="CP237" s="766"/>
      <c r="CQ237" s="766"/>
      <c r="CR237" s="775"/>
      <c r="CS237" s="766"/>
      <c r="CT237" s="766"/>
      <c r="CU237" s="129"/>
      <c r="CV237" s="766"/>
      <c r="CW237" s="766"/>
      <c r="CX237" s="766"/>
      <c r="CY237" s="766"/>
      <c r="CZ237" s="766"/>
      <c r="DA237" s="66"/>
      <c r="DB237" s="766"/>
      <c r="DC237" s="766"/>
      <c r="DD237" s="766"/>
      <c r="DE237" s="772"/>
      <c r="DF237" s="766"/>
      <c r="DG237" s="766"/>
      <c r="DH237" s="766" t="s">
        <v>1516</v>
      </c>
      <c r="DI237" s="766"/>
      <c r="DJ237" s="766"/>
      <c r="DK237" s="766"/>
      <c r="DL237" s="766" t="s">
        <v>1517</v>
      </c>
      <c r="DM237" s="766" t="s">
        <v>1518</v>
      </c>
      <c r="DN237" s="44">
        <v>5.74</v>
      </c>
      <c r="DO237" s="766"/>
      <c r="DP237" s="766" t="s">
        <v>1257</v>
      </c>
      <c r="DQ237" s="766"/>
      <c r="DR237" s="766"/>
      <c r="DS237" s="59"/>
      <c r="DT237" s="766"/>
      <c r="DU237" s="766"/>
      <c r="DV237" s="766"/>
      <c r="DW237" s="66"/>
      <c r="DX237" s="66"/>
      <c r="DY237" s="766"/>
      <c r="DZ237" s="766"/>
      <c r="EA237" s="766"/>
      <c r="EB237" s="766"/>
      <c r="EC237" s="766"/>
      <c r="ED237" s="766"/>
      <c r="EE237" s="766"/>
      <c r="EF237" s="766"/>
      <c r="EG237" s="766"/>
      <c r="EH237" s="766"/>
      <c r="EI237" s="766"/>
      <c r="EJ237" s="766"/>
      <c r="EK237" s="766"/>
      <c r="EL237" s="766"/>
      <c r="EM237" s="766"/>
      <c r="EN237" s="766"/>
      <c r="EO237" s="766"/>
      <c r="EP237" s="14"/>
      <c r="EQ237" s="766"/>
      <c r="ER237" s="766"/>
      <c r="ES237" s="766"/>
      <c r="ET237" s="766"/>
      <c r="EU237" s="766"/>
      <c r="EV237" s="766"/>
      <c r="EW237" s="766"/>
      <c r="EX237" s="766"/>
      <c r="EY237" s="766"/>
      <c r="EZ237" s="766"/>
      <c r="FA237" s="766"/>
      <c r="FB237" s="766"/>
      <c r="FC237" s="766"/>
      <c r="FD237" s="775"/>
      <c r="FE237" s="766"/>
      <c r="FF237" s="766"/>
      <c r="FG237" s="766"/>
      <c r="FH237" s="766" t="s">
        <v>1299</v>
      </c>
      <c r="FI237" s="766">
        <v>1</v>
      </c>
      <c r="FJ237" s="766" t="s">
        <v>11624</v>
      </c>
      <c r="FK237" s="766"/>
      <c r="FL237" s="766"/>
      <c r="FM237" s="775"/>
      <c r="FN237" s="775"/>
      <c r="FO237" s="775"/>
      <c r="FP237" s="766" t="s">
        <v>1602</v>
      </c>
      <c r="FQ237" s="766" t="s">
        <v>1660</v>
      </c>
      <c r="FR237" s="766"/>
      <c r="FS237" s="766"/>
      <c r="FT237" s="766"/>
      <c r="FU237" s="766"/>
      <c r="FV237" s="766"/>
      <c r="FW237" s="766"/>
      <c r="FX237" s="766"/>
      <c r="FY237" s="766"/>
      <c r="FZ237" s="766"/>
      <c r="GA237" s="766"/>
      <c r="GB237" s="766"/>
      <c r="GC237" s="75"/>
      <c r="GD237" s="25"/>
      <c r="GE237" s="766"/>
      <c r="GF237" s="775"/>
      <c r="GG237" s="775"/>
      <c r="GH237" s="766" t="s">
        <v>1791</v>
      </c>
      <c r="GI237" s="766"/>
      <c r="GJ237" s="766" t="s">
        <v>1770</v>
      </c>
      <c r="GK237" s="770" t="s">
        <v>2345</v>
      </c>
      <c r="GL237" s="766" t="s">
        <v>1800</v>
      </c>
      <c r="GM237" s="766"/>
      <c r="GN237" s="82">
        <v>60</v>
      </c>
      <c r="GO237" s="766"/>
      <c r="GP237" s="766" t="s">
        <v>1208</v>
      </c>
      <c r="GQ237" s="766"/>
      <c r="GR237" s="766"/>
      <c r="GS237" s="766"/>
      <c r="GT237" s="766"/>
      <c r="GU237" s="766"/>
      <c r="GV237" s="766"/>
      <c r="GW237" s="766" t="s">
        <v>1207</v>
      </c>
      <c r="GX237" s="766"/>
      <c r="GY237" s="766" t="s">
        <v>1208</v>
      </c>
      <c r="GZ237" s="766"/>
      <c r="HA237" s="766" t="s">
        <v>1208</v>
      </c>
      <c r="HB237" s="766"/>
      <c r="HC237" s="766"/>
      <c r="HD237" s="766" t="s">
        <v>1208</v>
      </c>
      <c r="HE237" s="766" t="s">
        <v>1208</v>
      </c>
      <c r="HF237" s="766"/>
      <c r="HG237" s="766"/>
      <c r="HH237" s="766"/>
      <c r="HI237" s="766"/>
      <c r="HJ237" s="766"/>
      <c r="HK237" s="766"/>
      <c r="HL237" s="766"/>
      <c r="HM237" s="766"/>
      <c r="HN237" s="766"/>
      <c r="HO237" s="766"/>
      <c r="HP237" s="766"/>
      <c r="HQ237" s="766"/>
      <c r="HR237" s="766"/>
      <c r="HS237" s="766"/>
      <c r="HT237" s="766"/>
      <c r="HU237" s="766"/>
      <c r="HV237" s="766"/>
      <c r="HW237" s="766"/>
      <c r="HX237" s="766"/>
      <c r="HY237" s="766"/>
      <c r="HZ237" s="766"/>
      <c r="IA237" s="766"/>
      <c r="IB237" s="14" t="e">
        <f>IF(#REF!&gt;0,IF(#REF!&lt;=10000,"Y",""),"")</f>
        <v>#REF!</v>
      </c>
      <c r="IC237" s="14"/>
      <c r="ID237" s="14"/>
      <c r="IE237" s="14"/>
      <c r="IF237" s="766"/>
      <c r="IG237" s="766"/>
      <c r="IH237" s="766"/>
      <c r="II237" s="766"/>
      <c r="IJ237" s="766"/>
      <c r="IK237" s="766"/>
      <c r="IL237" s="766"/>
      <c r="IM237" s="766"/>
      <c r="IN237" s="766"/>
      <c r="IO237" s="24"/>
      <c r="IP237" s="766"/>
      <c r="IQ237" s="766"/>
      <c r="IR237" s="766"/>
      <c r="IS237" s="766"/>
      <c r="IT237" s="766"/>
      <c r="IU237" s="766"/>
      <c r="IV237" s="766"/>
      <c r="IW237" s="766"/>
      <c r="IX237" s="766"/>
      <c r="IY237" s="766"/>
      <c r="IZ237" s="766"/>
      <c r="JA237" s="766"/>
      <c r="JB237" s="766"/>
      <c r="JC237" s="766"/>
      <c r="JD237" s="775"/>
      <c r="JE237" s="766"/>
      <c r="JF237" s="766"/>
      <c r="JG237" s="766"/>
      <c r="JH237" s="766"/>
      <c r="JI237" s="712" t="str">
        <f t="shared" si="62"/>
        <v>ok</v>
      </c>
      <c r="JJ237" s="766">
        <v>4</v>
      </c>
      <c r="JK237" s="1139" t="s">
        <v>1516</v>
      </c>
      <c r="JL237" s="766"/>
      <c r="JM237" s="766">
        <v>2</v>
      </c>
      <c r="JN237" s="766">
        <v>2</v>
      </c>
      <c r="JO237" s="766"/>
      <c r="JP237" s="766"/>
      <c r="JQ237" s="766"/>
      <c r="JR237" s="766"/>
      <c r="JS237" s="766"/>
      <c r="JT237" s="766">
        <f t="shared" si="69"/>
        <v>2</v>
      </c>
      <c r="JU237" s="766">
        <f t="shared" si="69"/>
        <v>2</v>
      </c>
      <c r="JV237" s="712" t="str">
        <f t="shared" si="63"/>
        <v>ok</v>
      </c>
      <c r="JW237" s="712" t="str">
        <f t="shared" si="64"/>
        <v>ok</v>
      </c>
      <c r="JX237" s="766"/>
      <c r="JY237" s="766"/>
      <c r="JZ237" s="766"/>
      <c r="KA237" s="766">
        <v>2</v>
      </c>
      <c r="KB237" s="766">
        <v>1</v>
      </c>
      <c r="KC237" s="766"/>
      <c r="KD237" s="766">
        <v>1</v>
      </c>
      <c r="KE237" s="766"/>
      <c r="KF237" s="766"/>
      <c r="KG237" s="766"/>
      <c r="KH237" s="766"/>
      <c r="KI237" s="766"/>
      <c r="KJ237" s="770">
        <f t="shared" si="58"/>
        <v>2</v>
      </c>
      <c r="KK237" s="770">
        <f t="shared" si="58"/>
        <v>2</v>
      </c>
      <c r="KL237" s="712" t="str">
        <f t="shared" si="65"/>
        <v>ok</v>
      </c>
      <c r="KM237" s="712" t="str">
        <f t="shared" si="66"/>
        <v>ok</v>
      </c>
      <c r="KN237" s="766" t="s">
        <v>783</v>
      </c>
      <c r="KO237" s="28"/>
      <c r="KP237" s="766"/>
      <c r="KQ237" s="766"/>
      <c r="KR237" s="766"/>
      <c r="KS237" s="766"/>
      <c r="KT237" s="766">
        <v>1</v>
      </c>
      <c r="KU237" s="766">
        <v>1</v>
      </c>
      <c r="KV237" s="766"/>
      <c r="KW237" s="766">
        <v>1</v>
      </c>
      <c r="KX237" s="766">
        <v>1</v>
      </c>
      <c r="KY237" s="766"/>
      <c r="KZ237" s="766"/>
      <c r="LA237" s="766"/>
      <c r="LB237" s="766"/>
      <c r="LC237" s="766"/>
      <c r="LD237" s="766"/>
      <c r="LE237" s="766"/>
      <c r="LF237" s="766"/>
      <c r="LG237" s="766"/>
      <c r="LH237" s="766"/>
      <c r="LI237" s="766"/>
      <c r="LJ237" s="766"/>
      <c r="LK237" s="766"/>
      <c r="LL237" s="766"/>
      <c r="LM237" s="766"/>
      <c r="LN237" s="766">
        <f t="shared" si="71"/>
        <v>2</v>
      </c>
      <c r="LO237" s="766">
        <f t="shared" si="71"/>
        <v>2</v>
      </c>
      <c r="LP237" s="766">
        <v>2</v>
      </c>
      <c r="LQ237" s="1678">
        <v>1</v>
      </c>
      <c r="LR237" s="766"/>
      <c r="LS237" s="766">
        <v>1</v>
      </c>
      <c r="LT237" s="712" t="str">
        <f t="shared" si="67"/>
        <v>OK</v>
      </c>
      <c r="LU237" s="766">
        <v>1</v>
      </c>
      <c r="LV237" s="766"/>
      <c r="LW237" s="766"/>
      <c r="LX237" s="769">
        <v>2</v>
      </c>
      <c r="LY237" s="766" t="str">
        <f t="shared" si="72"/>
        <v>within the MUNICIPALITY</v>
      </c>
      <c r="LZ237" s="121"/>
      <c r="MA237" s="66"/>
      <c r="MB237" s="66"/>
      <c r="MC237" s="1679">
        <f t="shared" si="70"/>
        <v>0</v>
      </c>
      <c r="MD237" s="66">
        <f>SUM( 12000,6500)</f>
        <v>18500</v>
      </c>
      <c r="ME237" s="66"/>
      <c r="MF237" s="66">
        <v>12000</v>
      </c>
      <c r="MG237" s="1680">
        <f t="shared" si="68"/>
        <v>30500</v>
      </c>
      <c r="MH237" s="1681" t="s">
        <v>13365</v>
      </c>
      <c r="MI237" s="775">
        <v>1375</v>
      </c>
      <c r="MJ237" s="775">
        <v>300</v>
      </c>
      <c r="MK237" s="775">
        <v>11</v>
      </c>
      <c r="ML237" s="775">
        <v>38</v>
      </c>
      <c r="MM237" s="775"/>
      <c r="MN237" s="775"/>
      <c r="MO237" s="775">
        <v>25</v>
      </c>
      <c r="MP237" s="775"/>
      <c r="MQ237" s="775">
        <v>30</v>
      </c>
      <c r="MR237" s="775">
        <v>300</v>
      </c>
      <c r="MS237" s="775"/>
      <c r="MT237" s="775"/>
      <c r="MU237" s="775"/>
      <c r="MV237" s="775"/>
      <c r="MW237" s="775"/>
      <c r="MX237" s="775">
        <v>337.5</v>
      </c>
      <c r="MY237" s="1682">
        <f t="shared" si="49"/>
        <v>2416.5</v>
      </c>
      <c r="MZ237" s="766" t="s">
        <v>1835</v>
      </c>
      <c r="NA237" s="766" t="s">
        <v>13326</v>
      </c>
      <c r="NB237" s="766" t="s">
        <v>13143</v>
      </c>
      <c r="NC237" s="766" t="s">
        <v>1835</v>
      </c>
      <c r="ND237" s="766">
        <v>0</v>
      </c>
      <c r="NE237" s="766">
        <v>0</v>
      </c>
      <c r="NF237" s="766">
        <v>0</v>
      </c>
      <c r="NG237" s="766">
        <v>0</v>
      </c>
      <c r="NH237" s="766">
        <v>0</v>
      </c>
      <c r="NI237" s="766">
        <v>0</v>
      </c>
      <c r="NJ237" s="766">
        <v>0</v>
      </c>
      <c r="NK237" s="766">
        <v>0</v>
      </c>
      <c r="NL237" s="766">
        <v>0</v>
      </c>
      <c r="NM237" s="766">
        <v>0</v>
      </c>
      <c r="NN237" s="766">
        <v>0</v>
      </c>
      <c r="NO237" s="766">
        <v>0</v>
      </c>
      <c r="NP237" s="766">
        <v>0</v>
      </c>
      <c r="NQ237" s="766">
        <v>0</v>
      </c>
      <c r="NR237" s="766">
        <v>1</v>
      </c>
      <c r="NS237" s="766">
        <v>0</v>
      </c>
      <c r="NT237" s="766">
        <v>0</v>
      </c>
      <c r="NU237" s="766">
        <v>0</v>
      </c>
      <c r="NV237" s="766">
        <v>0</v>
      </c>
      <c r="NW237" s="766">
        <v>0</v>
      </c>
      <c r="NX237" s="766">
        <v>0</v>
      </c>
      <c r="NY237" s="766"/>
      <c r="NZ237" s="766"/>
      <c r="OA237" s="766"/>
      <c r="OB237" s="766"/>
      <c r="OC237" s="766"/>
      <c r="OD237" s="766"/>
      <c r="OE237" s="766"/>
      <c r="OF237" s="766" t="s">
        <v>13277</v>
      </c>
      <c r="OG237" s="766"/>
      <c r="OH237" s="766" t="s">
        <v>13182</v>
      </c>
      <c r="OI237" s="766"/>
      <c r="OJ237" s="766"/>
      <c r="OK237" s="766"/>
      <c r="OL237" s="766"/>
      <c r="OM237" s="766"/>
      <c r="ON237" s="766"/>
      <c r="OO237" s="766" t="s">
        <v>1214</v>
      </c>
      <c r="OP237" s="766"/>
      <c r="OQ237" s="766"/>
      <c r="OR237" s="766"/>
      <c r="OS237" s="766"/>
      <c r="OT237" s="766"/>
      <c r="OU237" s="766"/>
      <c r="OV237" s="766"/>
      <c r="OW237" s="766"/>
      <c r="OX237" s="766"/>
      <c r="OY237" s="766"/>
      <c r="OZ237" s="766"/>
      <c r="PA237" s="766"/>
      <c r="PB237" s="766"/>
      <c r="PC237" s="766"/>
      <c r="PD237" s="766"/>
      <c r="PE237" s="766"/>
      <c r="PF237" s="766"/>
      <c r="PG237" s="766"/>
      <c r="PH237" s="766"/>
      <c r="PI237" s="766"/>
      <c r="PJ237" s="766"/>
      <c r="PK237" s="766" t="s">
        <v>1208</v>
      </c>
      <c r="PL237" s="766"/>
      <c r="PM237" s="766"/>
      <c r="PN237" s="766"/>
      <c r="PO237" s="766"/>
      <c r="PP237" s="766"/>
      <c r="PQ237" s="766"/>
      <c r="PR237" s="766"/>
      <c r="PS237" s="766"/>
      <c r="PT237" s="766"/>
      <c r="PU237" s="766"/>
      <c r="PV237" s="766" t="s">
        <v>1208</v>
      </c>
      <c r="PW237" s="766"/>
      <c r="PX237" s="766" t="s">
        <v>1208</v>
      </c>
      <c r="PY237" s="766"/>
      <c r="PZ237" s="766"/>
      <c r="QA237" s="766"/>
      <c r="QB237" s="766"/>
      <c r="QC237" s="766"/>
      <c r="QD237" s="766"/>
      <c r="QE237" s="766"/>
      <c r="QF237" s="766"/>
      <c r="QG237" s="766"/>
      <c r="QH237" s="766"/>
      <c r="QI237" s="766"/>
      <c r="QJ237" s="766" t="s">
        <v>1208</v>
      </c>
      <c r="QK237" s="766"/>
      <c r="QL237" s="766"/>
      <c r="QM237" s="766"/>
      <c r="QN237" s="766"/>
      <c r="QO237" s="766"/>
      <c r="QP237" s="766"/>
      <c r="QQ237" s="766"/>
      <c r="QR237" s="766"/>
      <c r="QS237" s="766"/>
      <c r="QT237" s="766"/>
      <c r="QU237" s="766"/>
      <c r="QV237" s="766"/>
      <c r="QW237" s="766"/>
      <c r="QX237" s="766"/>
      <c r="QY237" s="766"/>
      <c r="QZ237" s="766"/>
      <c r="RA237" s="766"/>
      <c r="RB237" s="770" t="s">
        <v>1207</v>
      </c>
      <c r="RC237" s="766"/>
      <c r="RD237" s="766" t="s">
        <v>13036</v>
      </c>
      <c r="RE237" s="766" t="s">
        <v>12999</v>
      </c>
      <c r="RF237" s="777">
        <v>1</v>
      </c>
      <c r="RG237" s="766" t="s">
        <v>13107</v>
      </c>
      <c r="RH237" s="775">
        <v>3000</v>
      </c>
      <c r="RI237" s="766" t="s">
        <v>13362</v>
      </c>
      <c r="RJ237" s="766" t="s">
        <v>13364</v>
      </c>
      <c r="RK237" s="766" t="s">
        <v>13146</v>
      </c>
      <c r="RL237" s="1683"/>
      <c r="RM237" s="12"/>
      <c r="RN237" s="1711"/>
      <c r="RO237" s="148" t="s">
        <v>410</v>
      </c>
      <c r="RP237" s="11"/>
      <c r="RQ237" s="11"/>
      <c r="RR237" s="311" t="s">
        <v>12355</v>
      </c>
      <c r="RS237" s="1139" t="s">
        <v>12980</v>
      </c>
      <c r="RT237" s="11"/>
      <c r="RU237" s="11"/>
      <c r="RV237" s="766" t="s">
        <v>7421</v>
      </c>
      <c r="RW237" s="11" t="s">
        <v>7598</v>
      </c>
      <c r="RX237" s="11" t="s">
        <v>408</v>
      </c>
      <c r="RY237" s="11"/>
      <c r="RZ237" s="11"/>
      <c r="SA237" s="766"/>
      <c r="SB237" s="11"/>
      <c r="SC237" s="11"/>
    </row>
    <row r="238" spans="1:497" ht="12.75" customHeight="1">
      <c r="A238" s="767" t="s">
        <v>7421</v>
      </c>
      <c r="B238" s="292" t="s">
        <v>7602</v>
      </c>
      <c r="C238" s="148" t="s">
        <v>413</v>
      </c>
      <c r="D238" s="14" t="s">
        <v>414</v>
      </c>
      <c r="E238" s="766" t="s">
        <v>415</v>
      </c>
      <c r="F238" s="766"/>
      <c r="G238" s="766"/>
      <c r="H238" s="766"/>
      <c r="I238" s="5" t="s">
        <v>416</v>
      </c>
      <c r="J238" s="14"/>
      <c r="K238" s="766" t="s">
        <v>417</v>
      </c>
      <c r="L238" s="766" t="s">
        <v>400</v>
      </c>
      <c r="M238" s="766"/>
      <c r="N238" s="766"/>
      <c r="O238" s="766"/>
      <c r="P238" s="14" t="s">
        <v>941</v>
      </c>
      <c r="Q238" s="1085">
        <v>21384</v>
      </c>
      <c r="R238" s="25">
        <v>59</v>
      </c>
      <c r="S238" s="770" t="s">
        <v>10</v>
      </c>
      <c r="T238" s="766"/>
      <c r="U238" s="26" t="s">
        <v>416</v>
      </c>
      <c r="V238" s="766" t="s">
        <v>722</v>
      </c>
      <c r="W238" s="766"/>
      <c r="X238" s="24"/>
      <c r="Y238" s="766" t="s">
        <v>942</v>
      </c>
      <c r="Z238" s="766" t="s">
        <v>708</v>
      </c>
      <c r="AA238" s="766" t="s">
        <v>723</v>
      </c>
      <c r="AB238" s="766" t="s">
        <v>710</v>
      </c>
      <c r="AC238" s="766" t="s">
        <v>724</v>
      </c>
      <c r="AD238" s="766"/>
      <c r="AE238" s="766"/>
      <c r="AF238" s="766" t="s">
        <v>712</v>
      </c>
      <c r="AG238" s="766" t="s">
        <v>1165</v>
      </c>
      <c r="AH238" s="766" t="s">
        <v>1096</v>
      </c>
      <c r="AI238" s="766"/>
      <c r="AJ238" s="766" t="s">
        <v>427</v>
      </c>
      <c r="AK238" s="766" t="s">
        <v>1101</v>
      </c>
      <c r="AL238" s="773">
        <v>12</v>
      </c>
      <c r="AM238" s="772">
        <v>12</v>
      </c>
      <c r="AN238" s="774">
        <v>1</v>
      </c>
      <c r="AO238" s="766" t="s">
        <v>1122</v>
      </c>
      <c r="AP238" s="766"/>
      <c r="AQ238" s="766"/>
      <c r="AR238" s="766"/>
      <c r="AS238" s="766"/>
      <c r="AT238" s="766"/>
      <c r="AU238" s="766"/>
      <c r="AV238" s="766"/>
      <c r="AW238" s="766"/>
      <c r="AX238" s="766"/>
      <c r="AY238" s="766"/>
      <c r="AZ238" s="766"/>
      <c r="BA238" s="766"/>
      <c r="BB238" s="766"/>
      <c r="BC238" s="766"/>
      <c r="BD238" s="766"/>
      <c r="BE238" s="766"/>
      <c r="BF238" s="775"/>
      <c r="BG238" s="775"/>
      <c r="BH238" s="766">
        <v>3</v>
      </c>
      <c r="BI238" s="766">
        <v>2</v>
      </c>
      <c r="BJ238" s="766">
        <v>3</v>
      </c>
      <c r="BK238" s="766" t="s">
        <v>1095</v>
      </c>
      <c r="BL238" s="766" t="s">
        <v>1347</v>
      </c>
      <c r="BM238" s="766" t="s">
        <v>1096</v>
      </c>
      <c r="BN238" s="766" t="s">
        <v>1230</v>
      </c>
      <c r="BO238" s="766" t="s">
        <v>1246</v>
      </c>
      <c r="BP238" s="1111">
        <v>12</v>
      </c>
      <c r="BQ238" s="772">
        <v>12</v>
      </c>
      <c r="BR238" s="774">
        <f>BQ238/BP238</f>
        <v>1</v>
      </c>
      <c r="BS238" s="766" t="s">
        <v>1257</v>
      </c>
      <c r="BT238" s="766" t="s">
        <v>1326</v>
      </c>
      <c r="BU238" s="766" t="s">
        <v>1288</v>
      </c>
      <c r="BV238" s="766" t="s">
        <v>1335</v>
      </c>
      <c r="BW238" s="769"/>
      <c r="BX238" s="775"/>
      <c r="BY238" s="766"/>
      <c r="BZ238" s="775"/>
      <c r="CA238" s="766"/>
      <c r="CB238" s="766"/>
      <c r="CC238" s="766"/>
      <c r="CD238" s="766"/>
      <c r="CE238" s="766"/>
      <c r="CF238" s="777"/>
      <c r="CG238" s="231"/>
      <c r="CH238" s="766"/>
      <c r="CI238" s="766"/>
      <c r="CJ238" s="766"/>
      <c r="CK238" s="766"/>
      <c r="CL238" s="766"/>
      <c r="CM238" s="766"/>
      <c r="CN238" s="766"/>
      <c r="CO238" s="766"/>
      <c r="CP238" s="766"/>
      <c r="CQ238" s="766"/>
      <c r="CR238" s="775"/>
      <c r="CS238" s="766"/>
      <c r="CT238" s="766"/>
      <c r="CU238" s="129"/>
      <c r="CV238" s="766"/>
      <c r="CW238" s="766"/>
      <c r="CX238" s="766"/>
      <c r="CY238" s="766"/>
      <c r="CZ238" s="766"/>
      <c r="DA238" s="66"/>
      <c r="DB238" s="766"/>
      <c r="DC238" s="766"/>
      <c r="DD238" s="766"/>
      <c r="DE238" s="772"/>
      <c r="DF238" s="766"/>
      <c r="DG238" s="766"/>
      <c r="DH238" s="766"/>
      <c r="DI238" s="766"/>
      <c r="DJ238" s="766"/>
      <c r="DK238" s="766"/>
      <c r="DL238" s="766"/>
      <c r="DM238" s="766"/>
      <c r="DN238" s="44"/>
      <c r="DO238" s="766"/>
      <c r="DP238" s="766"/>
      <c r="DQ238" s="766"/>
      <c r="DR238" s="766"/>
      <c r="DS238" s="59"/>
      <c r="DT238" s="766"/>
      <c r="DU238" s="766"/>
      <c r="DV238" s="766"/>
      <c r="DW238" s="66"/>
      <c r="DX238" s="66"/>
      <c r="DY238" s="766"/>
      <c r="DZ238" s="766"/>
      <c r="EA238" s="766"/>
      <c r="EB238" s="766"/>
      <c r="EC238" s="766"/>
      <c r="ED238" s="766"/>
      <c r="EE238" s="766"/>
      <c r="EF238" s="766"/>
      <c r="EG238" s="766"/>
      <c r="EH238" s="766"/>
      <c r="EI238" s="766"/>
      <c r="EJ238" s="766"/>
      <c r="EK238" s="766"/>
      <c r="EL238" s="766"/>
      <c r="EM238" s="766"/>
      <c r="EN238" s="766"/>
      <c r="EO238" s="766"/>
      <c r="EP238" s="14"/>
      <c r="EQ238" s="766"/>
      <c r="ER238" s="766"/>
      <c r="ES238" s="766"/>
      <c r="ET238" s="766"/>
      <c r="EU238" s="766"/>
      <c r="EV238" s="766"/>
      <c r="EW238" s="766"/>
      <c r="EX238" s="766"/>
      <c r="EY238" s="766"/>
      <c r="EZ238" s="766"/>
      <c r="FA238" s="766"/>
      <c r="FB238" s="766"/>
      <c r="FC238" s="766"/>
      <c r="FD238" s="775"/>
      <c r="FE238" s="766"/>
      <c r="FF238" s="766"/>
      <c r="FG238" s="766"/>
      <c r="FH238" s="766" t="s">
        <v>478</v>
      </c>
      <c r="FI238" s="766">
        <v>1</v>
      </c>
      <c r="FJ238" s="766"/>
      <c r="FK238" s="766"/>
      <c r="FL238" s="766"/>
      <c r="FM238" s="775"/>
      <c r="FN238" s="775"/>
      <c r="FO238" s="775"/>
      <c r="FP238" s="766" t="s">
        <v>1602</v>
      </c>
      <c r="FQ238" s="766" t="s">
        <v>1660</v>
      </c>
      <c r="FR238" s="766"/>
      <c r="FS238" s="766"/>
      <c r="FT238" s="766"/>
      <c r="FU238" s="766"/>
      <c r="FV238" s="766"/>
      <c r="FW238" s="766"/>
      <c r="FX238" s="766"/>
      <c r="FY238" s="766"/>
      <c r="FZ238" s="766"/>
      <c r="GA238" s="766"/>
      <c r="GB238" s="766"/>
      <c r="GC238" s="75"/>
      <c r="GD238" s="25"/>
      <c r="GE238" s="766"/>
      <c r="GF238" s="775"/>
      <c r="GG238" s="775"/>
      <c r="GH238" s="712" t="s">
        <v>14260</v>
      </c>
      <c r="GI238" s="766"/>
      <c r="GJ238" s="766"/>
      <c r="GK238" s="766"/>
      <c r="GL238" s="766"/>
      <c r="GM238" s="766"/>
      <c r="GN238" s="82"/>
      <c r="GO238" s="766"/>
      <c r="GP238" s="766"/>
      <c r="GQ238" s="766"/>
      <c r="GR238" s="766"/>
      <c r="GS238" s="766"/>
      <c r="GT238" s="766"/>
      <c r="GU238" s="766"/>
      <c r="GV238" s="766"/>
      <c r="GW238" s="766" t="s">
        <v>1214</v>
      </c>
      <c r="GX238" s="766"/>
      <c r="GY238" s="766"/>
      <c r="GZ238" s="766"/>
      <c r="HA238" s="766"/>
      <c r="HB238" s="766"/>
      <c r="HC238" s="766"/>
      <c r="HD238" s="766"/>
      <c r="HE238" s="766"/>
      <c r="HF238" s="766"/>
      <c r="HG238" s="766"/>
      <c r="HH238" s="766"/>
      <c r="HI238" s="766"/>
      <c r="HJ238" s="766"/>
      <c r="HK238" s="766"/>
      <c r="HL238" s="766"/>
      <c r="HM238" s="766"/>
      <c r="HN238" s="766"/>
      <c r="HO238" s="766"/>
      <c r="HP238" s="766"/>
      <c r="HQ238" s="766"/>
      <c r="HR238" s="766">
        <v>1</v>
      </c>
      <c r="HS238" s="766">
        <v>4</v>
      </c>
      <c r="HT238" s="766">
        <v>4</v>
      </c>
      <c r="HU238" s="766"/>
      <c r="HV238" s="766"/>
      <c r="HW238" s="766"/>
      <c r="HX238" s="766"/>
      <c r="HY238" s="766"/>
      <c r="HZ238" s="766"/>
      <c r="IA238" s="766"/>
      <c r="IB238" s="14" t="e">
        <f>IF(#REF!&gt;0,IF(#REF!&lt;=10000,"Y",""),"")</f>
        <v>#REF!</v>
      </c>
      <c r="IC238" s="14"/>
      <c r="ID238" s="14"/>
      <c r="IE238" s="14"/>
      <c r="IF238" s="766"/>
      <c r="IG238" s="766"/>
      <c r="IH238" s="766"/>
      <c r="II238" s="766"/>
      <c r="IJ238" s="766"/>
      <c r="IK238" s="766"/>
      <c r="IL238" s="766"/>
      <c r="IM238" s="766"/>
      <c r="IN238" s="766"/>
      <c r="IO238" s="24"/>
      <c r="IP238" s="766"/>
      <c r="IQ238" s="766"/>
      <c r="IR238" s="766"/>
      <c r="IS238" s="766"/>
      <c r="IT238" s="766"/>
      <c r="IU238" s="766"/>
      <c r="IV238" s="766"/>
      <c r="IW238" s="766"/>
      <c r="IX238" s="766"/>
      <c r="IY238" s="766"/>
      <c r="IZ238" s="766"/>
      <c r="JA238" s="766"/>
      <c r="JB238" s="766"/>
      <c r="JC238" s="766"/>
      <c r="JD238" s="775"/>
      <c r="JE238" s="766"/>
      <c r="JF238" s="766"/>
      <c r="JG238" s="766"/>
      <c r="JH238" s="766"/>
      <c r="JI238" s="712" t="str">
        <f t="shared" si="62"/>
        <v>ok</v>
      </c>
      <c r="JJ238" s="766">
        <v>3</v>
      </c>
      <c r="JK238" s="1139" t="s">
        <v>1979</v>
      </c>
      <c r="JL238" s="766"/>
      <c r="JM238" s="766"/>
      <c r="JN238" s="766">
        <v>2</v>
      </c>
      <c r="JO238" s="766">
        <v>1</v>
      </c>
      <c r="JP238" s="766"/>
      <c r="JQ238" s="766"/>
      <c r="JR238" s="766"/>
      <c r="JS238" s="766"/>
      <c r="JT238" s="766">
        <f t="shared" si="69"/>
        <v>2</v>
      </c>
      <c r="JU238" s="766">
        <f t="shared" si="69"/>
        <v>1</v>
      </c>
      <c r="JV238" s="712" t="str">
        <f t="shared" si="63"/>
        <v>ok</v>
      </c>
      <c r="JW238" s="712" t="str">
        <f t="shared" si="64"/>
        <v>ok</v>
      </c>
      <c r="JX238" s="766"/>
      <c r="JY238" s="766"/>
      <c r="JZ238" s="766"/>
      <c r="KA238" s="766"/>
      <c r="KB238" s="766"/>
      <c r="KC238" s="766"/>
      <c r="KD238" s="766">
        <v>2</v>
      </c>
      <c r="KE238" s="766">
        <v>1</v>
      </c>
      <c r="KF238" s="766"/>
      <c r="KG238" s="766"/>
      <c r="KH238" s="766"/>
      <c r="KI238" s="766"/>
      <c r="KJ238" s="770">
        <f t="shared" si="58"/>
        <v>2</v>
      </c>
      <c r="KK238" s="770">
        <f t="shared" si="58"/>
        <v>1</v>
      </c>
      <c r="KL238" s="712" t="str">
        <f t="shared" si="65"/>
        <v>ok</v>
      </c>
      <c r="KM238" s="712" t="str">
        <f t="shared" si="66"/>
        <v>ok</v>
      </c>
      <c r="KN238" s="766" t="s">
        <v>722</v>
      </c>
      <c r="KO238" s="28"/>
      <c r="KP238" s="766"/>
      <c r="KQ238" s="766"/>
      <c r="KR238" s="766"/>
      <c r="KS238" s="766"/>
      <c r="KT238" s="766"/>
      <c r="KU238" s="766"/>
      <c r="KV238" s="766"/>
      <c r="KW238" s="766"/>
      <c r="KX238" s="766">
        <v>2</v>
      </c>
      <c r="KY238" s="766">
        <v>1</v>
      </c>
      <c r="KZ238" s="766"/>
      <c r="LA238" s="766"/>
      <c r="LB238" s="766"/>
      <c r="LC238" s="766"/>
      <c r="LD238" s="766"/>
      <c r="LE238" s="766"/>
      <c r="LF238" s="766"/>
      <c r="LG238" s="766"/>
      <c r="LH238" s="766"/>
      <c r="LI238" s="766"/>
      <c r="LJ238" s="766"/>
      <c r="LK238" s="766"/>
      <c r="LL238" s="766"/>
      <c r="LM238" s="766"/>
      <c r="LN238" s="766">
        <f t="shared" si="71"/>
        <v>2</v>
      </c>
      <c r="LO238" s="766">
        <f t="shared" si="71"/>
        <v>1</v>
      </c>
      <c r="LP238" s="766">
        <v>1</v>
      </c>
      <c r="LQ238" s="1678">
        <v>1</v>
      </c>
      <c r="LR238" s="766"/>
      <c r="LS238" s="766">
        <v>1</v>
      </c>
      <c r="LT238" s="712" t="str">
        <f t="shared" si="67"/>
        <v>OK</v>
      </c>
      <c r="LU238" s="766"/>
      <c r="LV238" s="766"/>
      <c r="LW238" s="766">
        <v>1</v>
      </c>
      <c r="LX238" s="769">
        <v>1</v>
      </c>
      <c r="LY238" s="766" t="str">
        <f t="shared" si="72"/>
        <v>within the BRGY</v>
      </c>
      <c r="LZ238" s="121"/>
      <c r="MA238" s="66"/>
      <c r="MB238" s="66"/>
      <c r="MC238" s="1679">
        <f t="shared" si="70"/>
        <v>0</v>
      </c>
      <c r="MD238" s="66"/>
      <c r="ME238" s="66"/>
      <c r="MF238" s="66">
        <v>6000</v>
      </c>
      <c r="MG238" s="1680">
        <f t="shared" si="68"/>
        <v>6000</v>
      </c>
      <c r="MH238" s="1681" t="s">
        <v>13366</v>
      </c>
      <c r="MI238" s="775">
        <v>5000</v>
      </c>
      <c r="MJ238" s="775">
        <v>1200</v>
      </c>
      <c r="MK238" s="775">
        <v>208.33</v>
      </c>
      <c r="ML238" s="775"/>
      <c r="MM238" s="775"/>
      <c r="MN238" s="775"/>
      <c r="MO238" s="775">
        <v>1020</v>
      </c>
      <c r="MP238" s="775"/>
      <c r="MQ238" s="775"/>
      <c r="MR238" s="775">
        <v>1200</v>
      </c>
      <c r="MS238" s="775"/>
      <c r="MT238" s="775"/>
      <c r="MU238" s="775"/>
      <c r="MV238" s="775"/>
      <c r="MW238" s="775"/>
      <c r="MX238" s="775">
        <v>1350</v>
      </c>
      <c r="MY238" s="1682">
        <f t="shared" si="49"/>
        <v>9978.33</v>
      </c>
      <c r="MZ238" s="766" t="s">
        <v>13068</v>
      </c>
      <c r="NA238" s="766" t="s">
        <v>1249</v>
      </c>
      <c r="NB238" s="766" t="s">
        <v>13069</v>
      </c>
      <c r="NC238" s="766" t="s">
        <v>1835</v>
      </c>
      <c r="ND238" s="766">
        <v>0</v>
      </c>
      <c r="NE238" s="766">
        <v>0</v>
      </c>
      <c r="NF238" s="766">
        <v>0</v>
      </c>
      <c r="NG238" s="766">
        <v>0</v>
      </c>
      <c r="NH238" s="766">
        <v>0</v>
      </c>
      <c r="NI238" s="766">
        <v>0</v>
      </c>
      <c r="NJ238" s="766">
        <v>0</v>
      </c>
      <c r="NK238" s="766">
        <v>0</v>
      </c>
      <c r="NL238" s="766">
        <v>0</v>
      </c>
      <c r="NM238" s="766">
        <v>0</v>
      </c>
      <c r="NN238" s="766">
        <v>0</v>
      </c>
      <c r="NO238" s="766">
        <v>0</v>
      </c>
      <c r="NP238" s="766">
        <v>0</v>
      </c>
      <c r="NQ238" s="766">
        <v>1</v>
      </c>
      <c r="NR238" s="766">
        <v>0</v>
      </c>
      <c r="NS238" s="766">
        <v>0</v>
      </c>
      <c r="NT238" s="766">
        <v>0</v>
      </c>
      <c r="NU238" s="766">
        <v>0</v>
      </c>
      <c r="NV238" s="766">
        <v>0</v>
      </c>
      <c r="NW238" s="766">
        <v>0</v>
      </c>
      <c r="NX238" s="766">
        <v>0</v>
      </c>
      <c r="NY238" s="766" t="s">
        <v>1208</v>
      </c>
      <c r="NZ238" s="766"/>
      <c r="OA238" s="766"/>
      <c r="OB238" s="766" t="s">
        <v>1208</v>
      </c>
      <c r="OC238" s="766" t="s">
        <v>1208</v>
      </c>
      <c r="OD238" s="766"/>
      <c r="OE238" s="766"/>
      <c r="OF238" s="766" t="s">
        <v>2143</v>
      </c>
      <c r="OG238" s="766"/>
      <c r="OH238" s="766"/>
      <c r="OI238" s="766"/>
      <c r="OJ238" s="766"/>
      <c r="OK238" s="766"/>
      <c r="OL238" s="766" t="s">
        <v>13234</v>
      </c>
      <c r="OM238" s="766" t="s">
        <v>13182</v>
      </c>
      <c r="ON238" s="766"/>
      <c r="OO238" s="766" t="s">
        <v>1214</v>
      </c>
      <c r="OP238" s="766"/>
      <c r="OQ238" s="766"/>
      <c r="OR238" s="766"/>
      <c r="OS238" s="766"/>
      <c r="OT238" s="766"/>
      <c r="OU238" s="766"/>
      <c r="OV238" s="766"/>
      <c r="OW238" s="766"/>
      <c r="OX238" s="766"/>
      <c r="OY238" s="766"/>
      <c r="OZ238" s="766"/>
      <c r="PA238" s="766"/>
      <c r="PB238" s="766"/>
      <c r="PC238" s="766"/>
      <c r="PD238" s="766"/>
      <c r="PE238" s="766"/>
      <c r="PF238" s="766"/>
      <c r="PG238" s="766"/>
      <c r="PH238" s="766"/>
      <c r="PI238" s="766"/>
      <c r="PJ238" s="766"/>
      <c r="PK238" s="766" t="s">
        <v>1208</v>
      </c>
      <c r="PL238" s="766"/>
      <c r="PM238" s="766"/>
      <c r="PN238" s="766"/>
      <c r="PO238" s="766"/>
      <c r="PP238" s="766"/>
      <c r="PQ238" s="766"/>
      <c r="PR238" s="766"/>
      <c r="PS238" s="766"/>
      <c r="PT238" s="766"/>
      <c r="PU238" s="766"/>
      <c r="PV238" s="766"/>
      <c r="PW238" s="766"/>
      <c r="PX238" s="766"/>
      <c r="PY238" s="766"/>
      <c r="PZ238" s="766"/>
      <c r="QA238" s="766"/>
      <c r="QB238" s="766"/>
      <c r="QC238" s="766"/>
      <c r="QD238" s="766"/>
      <c r="QE238" s="766"/>
      <c r="QF238" s="766"/>
      <c r="QG238" s="766"/>
      <c r="QH238" s="766"/>
      <c r="QI238" s="766"/>
      <c r="QJ238" s="766"/>
      <c r="QK238" s="766" t="s">
        <v>1208</v>
      </c>
      <c r="QL238" s="766"/>
      <c r="QM238" s="766"/>
      <c r="QN238" s="766"/>
      <c r="QO238" s="766"/>
      <c r="QP238" s="766"/>
      <c r="QQ238" s="766"/>
      <c r="QR238" s="766"/>
      <c r="QS238" s="766"/>
      <c r="QT238" s="766"/>
      <c r="QU238" s="766"/>
      <c r="QV238" s="766"/>
      <c r="QW238" s="766"/>
      <c r="QX238" s="766"/>
      <c r="QY238" s="766"/>
      <c r="QZ238" s="766"/>
      <c r="RA238" s="766"/>
      <c r="RB238" s="770" t="s">
        <v>1207</v>
      </c>
      <c r="RC238" s="766"/>
      <c r="RD238" s="766" t="s">
        <v>13036</v>
      </c>
      <c r="RE238" s="766" t="s">
        <v>12999</v>
      </c>
      <c r="RF238" s="777">
        <v>1.5</v>
      </c>
      <c r="RG238" s="766" t="s">
        <v>13107</v>
      </c>
      <c r="RH238" s="775">
        <v>3000</v>
      </c>
      <c r="RI238" s="766" t="s">
        <v>13310</v>
      </c>
      <c r="RJ238" s="766" t="s">
        <v>1979</v>
      </c>
      <c r="RK238" s="766" t="s">
        <v>835</v>
      </c>
      <c r="RL238" s="1683"/>
      <c r="RM238" s="12"/>
      <c r="RN238" s="1711"/>
      <c r="RO238" s="148" t="s">
        <v>413</v>
      </c>
      <c r="RP238" s="11"/>
      <c r="RQ238" s="11"/>
      <c r="RR238" s="19" t="s">
        <v>7421</v>
      </c>
      <c r="RS238" s="1139" t="s">
        <v>12980</v>
      </c>
      <c r="RT238" s="11"/>
      <c r="RU238" s="11"/>
      <c r="RV238" s="766" t="s">
        <v>7421</v>
      </c>
      <c r="RW238" s="11" t="s">
        <v>7599</v>
      </c>
      <c r="RX238" s="11" t="s">
        <v>410</v>
      </c>
      <c r="RY238" s="11"/>
      <c r="RZ238" s="1020" t="s">
        <v>1101</v>
      </c>
      <c r="SA238" s="766"/>
      <c r="SB238" s="11"/>
      <c r="SC238" s="11"/>
    </row>
    <row r="239" spans="1:497" ht="12.75" customHeight="1">
      <c r="A239" s="767" t="s">
        <v>7421</v>
      </c>
      <c r="B239" s="288" t="s">
        <v>7603</v>
      </c>
      <c r="C239" s="148" t="s">
        <v>418</v>
      </c>
      <c r="D239" s="14" t="s">
        <v>419</v>
      </c>
      <c r="E239" s="766" t="s">
        <v>420</v>
      </c>
      <c r="F239" s="766" t="s">
        <v>28</v>
      </c>
      <c r="G239" s="766" t="s">
        <v>10</v>
      </c>
      <c r="H239" s="766"/>
      <c r="I239" s="5"/>
      <c r="J239" s="14" t="s">
        <v>419</v>
      </c>
      <c r="K239" s="766" t="s">
        <v>421</v>
      </c>
      <c r="L239" s="766" t="s">
        <v>400</v>
      </c>
      <c r="M239" s="766"/>
      <c r="N239" s="766"/>
      <c r="O239" s="766"/>
      <c r="P239" s="14" t="s">
        <v>11394</v>
      </c>
      <c r="Q239" s="1085">
        <v>18719</v>
      </c>
      <c r="R239" s="25">
        <v>66</v>
      </c>
      <c r="S239" s="770" t="s">
        <v>10</v>
      </c>
      <c r="T239" s="766"/>
      <c r="U239" s="26" t="s">
        <v>11395</v>
      </c>
      <c r="V239" s="766" t="s">
        <v>722</v>
      </c>
      <c r="W239" s="766"/>
      <c r="X239" s="24"/>
      <c r="Y239" s="766" t="s">
        <v>420</v>
      </c>
      <c r="Z239" s="766" t="s">
        <v>708</v>
      </c>
      <c r="AA239" s="766" t="s">
        <v>4568</v>
      </c>
      <c r="AB239" s="766" t="s">
        <v>710</v>
      </c>
      <c r="AC239" s="766" t="s">
        <v>724</v>
      </c>
      <c r="AD239" s="766"/>
      <c r="AE239" s="766"/>
      <c r="AF239" s="766" t="s">
        <v>712</v>
      </c>
      <c r="AG239" s="766" t="s">
        <v>1165</v>
      </c>
      <c r="AH239" s="766" t="s">
        <v>1096</v>
      </c>
      <c r="AI239" s="766"/>
      <c r="AJ239" s="766" t="s">
        <v>427</v>
      </c>
      <c r="AK239" s="766" t="s">
        <v>1101</v>
      </c>
      <c r="AL239" s="773">
        <v>15.75</v>
      </c>
      <c r="AM239" s="772">
        <v>15.75</v>
      </c>
      <c r="AN239" s="774">
        <v>1</v>
      </c>
      <c r="AO239" s="766" t="s">
        <v>1122</v>
      </c>
      <c r="AP239" s="766"/>
      <c r="AQ239" s="766"/>
      <c r="AR239" s="766"/>
      <c r="AS239" s="766"/>
      <c r="AT239" s="766"/>
      <c r="AU239" s="766"/>
      <c r="AV239" s="766"/>
      <c r="AW239" s="766"/>
      <c r="AX239" s="766"/>
      <c r="AY239" s="766"/>
      <c r="AZ239" s="766"/>
      <c r="BA239" s="766"/>
      <c r="BB239" s="766"/>
      <c r="BC239" s="766"/>
      <c r="BD239" s="766"/>
      <c r="BE239" s="766"/>
      <c r="BF239" s="775"/>
      <c r="BG239" s="775"/>
      <c r="BH239" s="766"/>
      <c r="BI239" s="766"/>
      <c r="BJ239" s="766"/>
      <c r="BK239" s="766" t="s">
        <v>1095</v>
      </c>
      <c r="BL239" s="766" t="s">
        <v>1348</v>
      </c>
      <c r="BM239" s="766" t="s">
        <v>1096</v>
      </c>
      <c r="BN239" s="766" t="s">
        <v>1230</v>
      </c>
      <c r="BO239" s="766" t="s">
        <v>1246</v>
      </c>
      <c r="BP239" s="1111">
        <v>15.75</v>
      </c>
      <c r="BQ239" s="772">
        <v>15.75</v>
      </c>
      <c r="BR239" s="774">
        <f>BQ239/BP239</f>
        <v>1</v>
      </c>
      <c r="BS239" s="766" t="s">
        <v>1257</v>
      </c>
      <c r="BT239" s="766" t="s">
        <v>1326</v>
      </c>
      <c r="BU239" s="766" t="s">
        <v>1288</v>
      </c>
      <c r="BV239" s="766" t="s">
        <v>1349</v>
      </c>
      <c r="BW239" s="766">
        <v>1977</v>
      </c>
      <c r="BX239" s="775"/>
      <c r="BY239" s="766"/>
      <c r="BZ239" s="775"/>
      <c r="CA239" s="766"/>
      <c r="CB239" s="766"/>
      <c r="CC239" s="766"/>
      <c r="CD239" s="766"/>
      <c r="CE239" s="766"/>
      <c r="CF239" s="777"/>
      <c r="CG239" s="231"/>
      <c r="CH239" s="766"/>
      <c r="CI239" s="766"/>
      <c r="CJ239" s="766"/>
      <c r="CK239" s="766"/>
      <c r="CL239" s="766"/>
      <c r="CM239" s="766"/>
      <c r="CN239" s="766"/>
      <c r="CO239" s="766"/>
      <c r="CP239" s="766"/>
      <c r="CQ239" s="766"/>
      <c r="CR239" s="775"/>
      <c r="CS239" s="766"/>
      <c r="CT239" s="766"/>
      <c r="CU239" s="129"/>
      <c r="CV239" s="766"/>
      <c r="CW239" s="766"/>
      <c r="CX239" s="766"/>
      <c r="CY239" s="766"/>
      <c r="CZ239" s="766"/>
      <c r="DA239" s="66"/>
      <c r="DB239" s="766"/>
      <c r="DC239" s="766"/>
      <c r="DD239" s="766"/>
      <c r="DE239" s="772"/>
      <c r="DF239" s="766"/>
      <c r="DG239" s="766"/>
      <c r="DH239" s="766"/>
      <c r="DI239" s="766"/>
      <c r="DJ239" s="766"/>
      <c r="DK239" s="766"/>
      <c r="DL239" s="766"/>
      <c r="DM239" s="766"/>
      <c r="DN239" s="44"/>
      <c r="DO239" s="766"/>
      <c r="DP239" s="766"/>
      <c r="DQ239" s="766"/>
      <c r="DR239" s="766"/>
      <c r="DS239" s="59"/>
      <c r="DT239" s="766"/>
      <c r="DU239" s="766"/>
      <c r="DV239" s="766"/>
      <c r="DW239" s="66"/>
      <c r="DX239" s="66"/>
      <c r="DY239" s="766"/>
      <c r="DZ239" s="766"/>
      <c r="EA239" s="766"/>
      <c r="EB239" s="766"/>
      <c r="EC239" s="766"/>
      <c r="ED239" s="766"/>
      <c r="EE239" s="766"/>
      <c r="EF239" s="766"/>
      <c r="EG239" s="766"/>
      <c r="EH239" s="766"/>
      <c r="EI239" s="766"/>
      <c r="EJ239" s="766"/>
      <c r="EK239" s="766"/>
      <c r="EL239" s="766"/>
      <c r="EM239" s="766"/>
      <c r="EN239" s="766"/>
      <c r="EO239" s="766"/>
      <c r="EP239" s="14"/>
      <c r="EQ239" s="766"/>
      <c r="ER239" s="766"/>
      <c r="ES239" s="766"/>
      <c r="ET239" s="766"/>
      <c r="EU239" s="766"/>
      <c r="EV239" s="766"/>
      <c r="EW239" s="766"/>
      <c r="EX239" s="766"/>
      <c r="EY239" s="766"/>
      <c r="EZ239" s="766"/>
      <c r="FA239" s="766"/>
      <c r="FB239" s="766"/>
      <c r="FC239" s="766"/>
      <c r="FD239" s="775"/>
      <c r="FE239" s="766"/>
      <c r="FF239" s="766"/>
      <c r="FG239" s="766"/>
      <c r="FH239" s="766" t="s">
        <v>478</v>
      </c>
      <c r="FI239" s="766">
        <v>1</v>
      </c>
      <c r="FJ239" s="766"/>
      <c r="FK239" s="766"/>
      <c r="FL239" s="766"/>
      <c r="FM239" s="775"/>
      <c r="FN239" s="775"/>
      <c r="FO239" s="775"/>
      <c r="FP239" s="766" t="s">
        <v>1602</v>
      </c>
      <c r="FQ239" s="766" t="s">
        <v>1660</v>
      </c>
      <c r="FR239" s="766"/>
      <c r="FS239" s="766"/>
      <c r="FT239" s="766"/>
      <c r="FU239" s="766"/>
      <c r="FV239" s="766"/>
      <c r="FW239" s="766"/>
      <c r="FX239" s="766"/>
      <c r="FY239" s="766"/>
      <c r="FZ239" s="766"/>
      <c r="GA239" s="766"/>
      <c r="GB239" s="766"/>
      <c r="GC239" s="75"/>
      <c r="GD239" s="25"/>
      <c r="GE239" s="766"/>
      <c r="GF239" s="775"/>
      <c r="GG239" s="775"/>
      <c r="GH239" s="712" t="s">
        <v>1791</v>
      </c>
      <c r="GI239" s="766"/>
      <c r="GJ239" s="766"/>
      <c r="GK239" s="770" t="s">
        <v>2345</v>
      </c>
      <c r="GL239" s="766"/>
      <c r="GM239" s="766"/>
      <c r="GN239" s="82">
        <v>70</v>
      </c>
      <c r="GO239" s="770" t="s">
        <v>2760</v>
      </c>
      <c r="GP239" s="766" t="s">
        <v>1208</v>
      </c>
      <c r="GQ239" s="766" t="s">
        <v>1208</v>
      </c>
      <c r="GR239" s="766"/>
      <c r="GS239" s="766"/>
      <c r="GT239" s="766"/>
      <c r="GU239" s="766"/>
      <c r="GV239" s="766"/>
      <c r="GW239" s="766" t="s">
        <v>1207</v>
      </c>
      <c r="GX239" s="766"/>
      <c r="GY239" s="766" t="s">
        <v>1208</v>
      </c>
      <c r="GZ239" s="766"/>
      <c r="HA239" s="766"/>
      <c r="HB239" s="766"/>
      <c r="HC239" s="766" t="s">
        <v>1208</v>
      </c>
      <c r="HD239" s="766"/>
      <c r="HE239" s="766"/>
      <c r="HF239" s="766"/>
      <c r="HG239" s="766"/>
      <c r="HH239" s="766"/>
      <c r="HI239" s="766" t="s">
        <v>1214</v>
      </c>
      <c r="HJ239" s="766"/>
      <c r="HK239" s="766"/>
      <c r="HL239" s="766"/>
      <c r="HM239" s="766"/>
      <c r="HN239" s="766"/>
      <c r="HO239" s="766"/>
      <c r="HP239" s="766"/>
      <c r="HQ239" s="766"/>
      <c r="HR239" s="766"/>
      <c r="HS239" s="766"/>
      <c r="HT239" s="766"/>
      <c r="HU239" s="766"/>
      <c r="HV239" s="766"/>
      <c r="HW239" s="766"/>
      <c r="HX239" s="766"/>
      <c r="HY239" s="766"/>
      <c r="HZ239" s="766"/>
      <c r="IA239" s="766"/>
      <c r="IB239" s="14" t="e">
        <f>IF(#REF!&gt;0,IF(#REF!&lt;=10000,"Y",""),"")</f>
        <v>#REF!</v>
      </c>
      <c r="IC239" s="14"/>
      <c r="ID239" s="14"/>
      <c r="IE239" s="14"/>
      <c r="IF239" s="766"/>
      <c r="IG239" s="766"/>
      <c r="IH239" s="766"/>
      <c r="II239" s="766"/>
      <c r="IJ239" s="766"/>
      <c r="IK239" s="766"/>
      <c r="IL239" s="766"/>
      <c r="IM239" s="766"/>
      <c r="IN239" s="766"/>
      <c r="IO239" s="24"/>
      <c r="IP239" s="766"/>
      <c r="IQ239" s="766"/>
      <c r="IR239" s="766"/>
      <c r="IS239" s="766"/>
      <c r="IT239" s="766"/>
      <c r="IU239" s="766"/>
      <c r="IV239" s="766"/>
      <c r="IW239" s="766"/>
      <c r="IX239" s="766"/>
      <c r="IY239" s="766"/>
      <c r="IZ239" s="766"/>
      <c r="JA239" s="766"/>
      <c r="JB239" s="766"/>
      <c r="JC239" s="766"/>
      <c r="JD239" s="775"/>
      <c r="JE239" s="766"/>
      <c r="JF239" s="766"/>
      <c r="JG239" s="766"/>
      <c r="JH239" s="766"/>
      <c r="JI239" s="712" t="str">
        <f t="shared" si="62"/>
        <v>ok</v>
      </c>
      <c r="JJ239" s="766">
        <v>2</v>
      </c>
      <c r="JK239" s="1139" t="s">
        <v>11396</v>
      </c>
      <c r="JL239" s="766"/>
      <c r="JM239" s="766"/>
      <c r="JN239" s="766">
        <v>1</v>
      </c>
      <c r="JO239" s="766"/>
      <c r="JP239" s="766">
        <v>1</v>
      </c>
      <c r="JQ239" s="766"/>
      <c r="JR239" s="766"/>
      <c r="JS239" s="766"/>
      <c r="JT239" s="766">
        <f t="shared" si="69"/>
        <v>2</v>
      </c>
      <c r="JU239" s="766">
        <f t="shared" si="69"/>
        <v>0</v>
      </c>
      <c r="JV239" s="712" t="str">
        <f t="shared" si="63"/>
        <v>ok</v>
      </c>
      <c r="JW239" s="712" t="str">
        <f t="shared" si="64"/>
        <v>ok</v>
      </c>
      <c r="JX239" s="766"/>
      <c r="JY239" s="766"/>
      <c r="JZ239" s="766"/>
      <c r="KA239" s="766"/>
      <c r="KB239" s="766">
        <v>1</v>
      </c>
      <c r="KC239" s="766"/>
      <c r="KD239" s="766"/>
      <c r="KE239" s="766"/>
      <c r="KF239" s="766">
        <v>1</v>
      </c>
      <c r="KG239" s="766"/>
      <c r="KH239" s="766"/>
      <c r="KI239" s="766"/>
      <c r="KJ239" s="770">
        <f t="shared" si="58"/>
        <v>2</v>
      </c>
      <c r="KK239" s="770">
        <f t="shared" si="58"/>
        <v>0</v>
      </c>
      <c r="KL239" s="712" t="str">
        <f t="shared" si="65"/>
        <v>ok</v>
      </c>
      <c r="KM239" s="712" t="str">
        <f t="shared" si="66"/>
        <v>ok</v>
      </c>
      <c r="KN239" s="766" t="s">
        <v>783</v>
      </c>
      <c r="KO239" s="28"/>
      <c r="KP239" s="766">
        <v>1</v>
      </c>
      <c r="KQ239" s="766"/>
      <c r="KR239" s="766"/>
      <c r="KS239" s="766"/>
      <c r="KT239" s="766"/>
      <c r="KU239" s="766"/>
      <c r="KV239" s="766">
        <v>1</v>
      </c>
      <c r="KW239" s="766"/>
      <c r="KX239" s="766"/>
      <c r="KY239" s="766"/>
      <c r="KZ239" s="766"/>
      <c r="LA239" s="766"/>
      <c r="LB239" s="766"/>
      <c r="LC239" s="766"/>
      <c r="LD239" s="766"/>
      <c r="LE239" s="766"/>
      <c r="LF239" s="766"/>
      <c r="LG239" s="766"/>
      <c r="LH239" s="766"/>
      <c r="LI239" s="766"/>
      <c r="LJ239" s="766"/>
      <c r="LK239" s="766"/>
      <c r="LL239" s="766"/>
      <c r="LM239" s="766"/>
      <c r="LN239" s="766">
        <f t="shared" si="71"/>
        <v>2</v>
      </c>
      <c r="LO239" s="766">
        <f t="shared" si="71"/>
        <v>0</v>
      </c>
      <c r="LP239" s="766">
        <v>1</v>
      </c>
      <c r="LQ239" s="1678">
        <v>1</v>
      </c>
      <c r="LR239" s="766"/>
      <c r="LS239" s="766"/>
      <c r="LT239" s="712" t="str">
        <f t="shared" si="67"/>
        <v>OK</v>
      </c>
      <c r="LU239" s="766">
        <v>1</v>
      </c>
      <c r="LV239" s="766"/>
      <c r="LW239" s="766"/>
      <c r="LX239" s="769">
        <v>1</v>
      </c>
      <c r="LY239" s="766" t="str">
        <f t="shared" si="72"/>
        <v>within the BRGY</v>
      </c>
      <c r="LZ239" s="121">
        <f>20*26</f>
        <v>520</v>
      </c>
      <c r="MA239" s="66"/>
      <c r="MB239" s="66"/>
      <c r="MC239" s="1679">
        <f t="shared" si="70"/>
        <v>520</v>
      </c>
      <c r="MD239" s="66">
        <f>4000*4</f>
        <v>16000</v>
      </c>
      <c r="ME239" s="66"/>
      <c r="MF239" s="66"/>
      <c r="MG239" s="1680">
        <f t="shared" si="68"/>
        <v>16000</v>
      </c>
      <c r="MH239" s="1681" t="s">
        <v>2214</v>
      </c>
      <c r="MI239" s="775">
        <f>100*30</f>
        <v>3000</v>
      </c>
      <c r="MJ239" s="775">
        <f>20*26</f>
        <v>520</v>
      </c>
      <c r="MK239" s="775"/>
      <c r="ML239" s="775">
        <f>200*4</f>
        <v>800</v>
      </c>
      <c r="MM239" s="775"/>
      <c r="MN239" s="775"/>
      <c r="MO239" s="775"/>
      <c r="MP239" s="775"/>
      <c r="MQ239" s="775"/>
      <c r="MR239" s="775">
        <f>30*4</f>
        <v>120</v>
      </c>
      <c r="MS239" s="775"/>
      <c r="MT239" s="775">
        <f>300*30</f>
        <v>9000</v>
      </c>
      <c r="MU239" s="775"/>
      <c r="MV239" s="775"/>
      <c r="MW239" s="775"/>
      <c r="MX239" s="775"/>
      <c r="MY239" s="1682">
        <f t="shared" si="49"/>
        <v>13440</v>
      </c>
      <c r="MZ239" s="766" t="s">
        <v>13367</v>
      </c>
      <c r="NA239" s="766" t="s">
        <v>1249</v>
      </c>
      <c r="NB239" s="766" t="s">
        <v>13143</v>
      </c>
      <c r="NC239" s="766" t="s">
        <v>13135</v>
      </c>
      <c r="ND239" s="766">
        <v>0</v>
      </c>
      <c r="NE239" s="766">
        <v>0</v>
      </c>
      <c r="NF239" s="766">
        <v>0</v>
      </c>
      <c r="NG239" s="766">
        <v>0</v>
      </c>
      <c r="NH239" s="766">
        <v>0</v>
      </c>
      <c r="NI239" s="766">
        <v>1</v>
      </c>
      <c r="NJ239" s="766">
        <v>0</v>
      </c>
      <c r="NK239" s="766">
        <v>0</v>
      </c>
      <c r="NL239" s="766">
        <v>0</v>
      </c>
      <c r="NM239" s="766">
        <v>0</v>
      </c>
      <c r="NN239" s="766">
        <v>0</v>
      </c>
      <c r="NO239" s="766">
        <v>0</v>
      </c>
      <c r="NP239" s="766">
        <v>0</v>
      </c>
      <c r="NQ239" s="766">
        <v>0</v>
      </c>
      <c r="NR239" s="766">
        <v>0</v>
      </c>
      <c r="NS239" s="766">
        <v>0</v>
      </c>
      <c r="NT239" s="766">
        <v>0</v>
      </c>
      <c r="NU239" s="766">
        <v>0</v>
      </c>
      <c r="NV239" s="766">
        <v>0</v>
      </c>
      <c r="NW239" s="766">
        <v>0</v>
      </c>
      <c r="NX239" s="766">
        <v>0</v>
      </c>
      <c r="NY239" s="766"/>
      <c r="NZ239" s="766"/>
      <c r="OA239" s="766"/>
      <c r="OB239" s="766"/>
      <c r="OC239" s="766"/>
      <c r="OD239" s="766"/>
      <c r="OE239" s="766"/>
      <c r="OF239" s="766"/>
      <c r="OG239" s="766"/>
      <c r="OH239" s="766"/>
      <c r="OI239" s="766"/>
      <c r="OJ239" s="766"/>
      <c r="OK239" s="766"/>
      <c r="OL239" s="766"/>
      <c r="OM239" s="766"/>
      <c r="ON239" s="766"/>
      <c r="OO239" s="766"/>
      <c r="OP239" s="766"/>
      <c r="OQ239" s="766"/>
      <c r="OR239" s="766"/>
      <c r="OS239" s="766"/>
      <c r="OT239" s="766"/>
      <c r="OU239" s="766"/>
      <c r="OV239" s="766"/>
      <c r="OW239" s="766"/>
      <c r="OX239" s="766"/>
      <c r="OY239" s="766"/>
      <c r="OZ239" s="766"/>
      <c r="PA239" s="766"/>
      <c r="PB239" s="766"/>
      <c r="PC239" s="766"/>
      <c r="PD239" s="766"/>
      <c r="PE239" s="766"/>
      <c r="PF239" s="766"/>
      <c r="PG239" s="766"/>
      <c r="PH239" s="766"/>
      <c r="PI239" s="766"/>
      <c r="PJ239" s="766"/>
      <c r="PK239" s="766"/>
      <c r="PL239" s="766"/>
      <c r="PM239" s="766"/>
      <c r="PN239" s="766"/>
      <c r="PO239" s="766"/>
      <c r="PP239" s="766"/>
      <c r="PQ239" s="766"/>
      <c r="PR239" s="766"/>
      <c r="PS239" s="766" t="s">
        <v>1208</v>
      </c>
      <c r="PT239" s="766"/>
      <c r="PU239" s="766"/>
      <c r="PV239" s="766"/>
      <c r="PW239" s="766"/>
      <c r="PX239" s="766"/>
      <c r="PY239" s="766" t="s">
        <v>1208</v>
      </c>
      <c r="PZ239" s="766"/>
      <c r="QA239" s="766"/>
      <c r="QB239" s="766"/>
      <c r="QC239" s="766"/>
      <c r="QD239" s="766"/>
      <c r="QE239" s="766"/>
      <c r="QF239" s="766"/>
      <c r="QG239" s="766"/>
      <c r="QH239" s="766"/>
      <c r="QI239" s="766"/>
      <c r="QJ239" s="766"/>
      <c r="QK239" s="766"/>
      <c r="QL239" s="766"/>
      <c r="QM239" s="766"/>
      <c r="QN239" s="766"/>
      <c r="QO239" s="766"/>
      <c r="QP239" s="766"/>
      <c r="QQ239" s="766"/>
      <c r="QR239" s="766"/>
      <c r="QS239" s="766"/>
      <c r="QT239" s="766"/>
      <c r="QU239" s="766"/>
      <c r="QV239" s="766"/>
      <c r="QW239" s="766"/>
      <c r="QX239" s="766"/>
      <c r="QY239" s="766"/>
      <c r="QZ239" s="766"/>
      <c r="RA239" s="766"/>
      <c r="RB239" s="766" t="s">
        <v>1214</v>
      </c>
      <c r="RC239" s="766"/>
      <c r="RD239" s="766"/>
      <c r="RE239" s="766"/>
      <c r="RF239" s="777"/>
      <c r="RG239" s="766"/>
      <c r="RH239" s="775"/>
      <c r="RI239" s="766"/>
      <c r="RJ239" s="766" t="s">
        <v>11396</v>
      </c>
      <c r="RK239" s="766" t="s">
        <v>13013</v>
      </c>
      <c r="RL239" s="1683">
        <v>42918</v>
      </c>
      <c r="RM239" s="12"/>
      <c r="RN239" s="1711"/>
      <c r="RO239" s="148" t="s">
        <v>418</v>
      </c>
      <c r="RP239" s="11"/>
      <c r="RQ239" s="11"/>
      <c r="RR239" s="19" t="s">
        <v>7421</v>
      </c>
      <c r="RS239" s="1139" t="s">
        <v>12980</v>
      </c>
      <c r="RT239" s="11"/>
      <c r="RU239" s="11"/>
      <c r="RV239" s="766" t="s">
        <v>12355</v>
      </c>
      <c r="RW239" s="11" t="s">
        <v>7600</v>
      </c>
      <c r="RX239" s="11" t="s">
        <v>410</v>
      </c>
      <c r="RY239" s="11"/>
      <c r="RZ239" s="1020" t="s">
        <v>1101</v>
      </c>
      <c r="SA239" s="766"/>
      <c r="SB239" s="11"/>
      <c r="SC239" s="11"/>
    </row>
    <row r="240" spans="1:497" ht="12.75" hidden="1" customHeight="1">
      <c r="A240" s="767" t="s">
        <v>7419</v>
      </c>
      <c r="B240" s="750" t="s">
        <v>7604</v>
      </c>
      <c r="C240" s="148" t="s">
        <v>422</v>
      </c>
      <c r="D240" s="766" t="s">
        <v>423</v>
      </c>
      <c r="E240" s="766" t="s">
        <v>5846</v>
      </c>
      <c r="F240" s="766"/>
      <c r="G240" s="766"/>
      <c r="H240" s="766"/>
      <c r="I240" s="5"/>
      <c r="J240" s="14"/>
      <c r="K240" s="766" t="s">
        <v>424</v>
      </c>
      <c r="L240" s="766" t="s">
        <v>425</v>
      </c>
      <c r="M240" s="766"/>
      <c r="N240" s="766"/>
      <c r="O240" s="766"/>
      <c r="P240" s="766"/>
      <c r="Q240" s="1085"/>
      <c r="R240" s="25"/>
      <c r="S240" s="770"/>
      <c r="T240" s="766"/>
      <c r="U240" s="26"/>
      <c r="V240" s="766"/>
      <c r="W240" s="766"/>
      <c r="X240" s="24"/>
      <c r="Y240" s="766"/>
      <c r="Z240" s="766"/>
      <c r="AA240" s="766"/>
      <c r="AB240" s="766"/>
      <c r="AC240" s="766"/>
      <c r="AD240" s="766"/>
      <c r="AE240" s="766"/>
      <c r="AF240" s="766"/>
      <c r="AG240" s="766" t="s">
        <v>1165</v>
      </c>
      <c r="AH240" s="766" t="s">
        <v>1096</v>
      </c>
      <c r="AI240" s="766"/>
      <c r="AJ240" s="766" t="s">
        <v>427</v>
      </c>
      <c r="AK240" s="766" t="s">
        <v>1097</v>
      </c>
      <c r="AL240" s="121">
        <v>2937.7260000000001</v>
      </c>
      <c r="AM240" s="121">
        <v>2937.7260000000001</v>
      </c>
      <c r="AN240" s="774">
        <v>1</v>
      </c>
      <c r="AO240" s="766" t="s">
        <v>1122</v>
      </c>
      <c r="AP240" s="766"/>
      <c r="AQ240" s="766"/>
      <c r="AR240" s="766"/>
      <c r="AS240" s="766"/>
      <c r="AT240" s="766"/>
      <c r="AU240" s="766"/>
      <c r="AV240" s="766"/>
      <c r="AW240" s="766"/>
      <c r="AX240" s="766"/>
      <c r="AY240" s="766"/>
      <c r="AZ240" s="766"/>
      <c r="BA240" s="766"/>
      <c r="BB240" s="766"/>
      <c r="BC240" s="766"/>
      <c r="BD240" s="766"/>
      <c r="BE240" s="766"/>
      <c r="BF240" s="775"/>
      <c r="BG240" s="775"/>
      <c r="BH240" s="766"/>
      <c r="BI240" s="766"/>
      <c r="BJ240" s="766"/>
      <c r="BK240" s="766" t="s">
        <v>1099</v>
      </c>
      <c r="BL240" s="766" t="s">
        <v>1350</v>
      </c>
      <c r="BM240" s="766" t="s">
        <v>1100</v>
      </c>
      <c r="BN240" s="766" t="s">
        <v>1230</v>
      </c>
      <c r="BO240" s="766" t="s">
        <v>1246</v>
      </c>
      <c r="BP240" s="773">
        <f t="shared" ref="BP240:BR247" si="73">AL240</f>
        <v>2937.7260000000001</v>
      </c>
      <c r="BQ240" s="773">
        <f t="shared" si="73"/>
        <v>2937.7260000000001</v>
      </c>
      <c r="BR240" s="774">
        <f t="shared" si="73"/>
        <v>1</v>
      </c>
      <c r="BS240" s="766" t="s">
        <v>1257</v>
      </c>
      <c r="BT240" s="766" t="s">
        <v>2040</v>
      </c>
      <c r="BU240" s="766" t="s">
        <v>1241</v>
      </c>
      <c r="BV240" s="766" t="s">
        <v>1247</v>
      </c>
      <c r="BW240" s="769"/>
      <c r="BX240" s="775"/>
      <c r="BY240" s="766"/>
      <c r="BZ240" s="775"/>
      <c r="CA240" s="766"/>
      <c r="CB240" s="766" t="s">
        <v>1207</v>
      </c>
      <c r="CC240" s="766" t="s">
        <v>423</v>
      </c>
      <c r="CD240" s="766"/>
      <c r="CE240" s="766"/>
      <c r="CF240" s="777">
        <v>2.5</v>
      </c>
      <c r="CG240" s="231">
        <v>329</v>
      </c>
      <c r="CH240" s="766" t="s">
        <v>1519</v>
      </c>
      <c r="CI240" s="766" t="s">
        <v>5644</v>
      </c>
      <c r="CJ240" s="766" t="s">
        <v>1520</v>
      </c>
      <c r="CK240" s="766">
        <v>2</v>
      </c>
      <c r="CL240" s="766" t="s">
        <v>1240</v>
      </c>
      <c r="CM240" s="766" t="s">
        <v>1521</v>
      </c>
      <c r="CN240" s="766"/>
      <c r="CO240" s="766" t="s">
        <v>1257</v>
      </c>
      <c r="CP240" s="766"/>
      <c r="CQ240" s="766"/>
      <c r="CR240" s="775"/>
      <c r="CS240" s="766"/>
      <c r="CT240" s="766"/>
      <c r="CU240" s="129"/>
      <c r="CV240" s="766"/>
      <c r="CW240" s="766"/>
      <c r="CX240" s="766"/>
      <c r="CY240" s="766"/>
      <c r="CZ240" s="766"/>
      <c r="DA240" s="66"/>
      <c r="DB240" s="766"/>
      <c r="DC240" s="766"/>
      <c r="DD240" s="766"/>
      <c r="DE240" s="772"/>
      <c r="DF240" s="766"/>
      <c r="DG240" s="766"/>
      <c r="DH240" s="766"/>
      <c r="DI240" s="766"/>
      <c r="DJ240" s="766"/>
      <c r="DK240" s="766"/>
      <c r="DL240" s="766"/>
      <c r="DM240" s="766"/>
      <c r="DN240" s="44"/>
      <c r="DO240" s="766"/>
      <c r="DP240" s="766"/>
      <c r="DQ240" s="766"/>
      <c r="DR240" s="766"/>
      <c r="DS240" s="59"/>
      <c r="DT240" s="766"/>
      <c r="DU240" s="766"/>
      <c r="DV240" s="766"/>
      <c r="DW240" s="66"/>
      <c r="DX240" s="66"/>
      <c r="DY240" s="766"/>
      <c r="DZ240" s="766"/>
      <c r="EA240" s="766"/>
      <c r="EB240" s="766"/>
      <c r="EC240" s="766"/>
      <c r="ED240" s="766"/>
      <c r="EE240" s="766"/>
      <c r="EF240" s="766"/>
      <c r="EG240" s="766"/>
      <c r="EH240" s="766"/>
      <c r="EI240" s="766"/>
      <c r="EJ240" s="766"/>
      <c r="EK240" s="766"/>
      <c r="EL240" s="766"/>
      <c r="EM240" s="766"/>
      <c r="EN240" s="766"/>
      <c r="EO240" s="766"/>
      <c r="EP240" s="14"/>
      <c r="EQ240" s="766"/>
      <c r="ER240" s="766"/>
      <c r="ES240" s="766"/>
      <c r="ET240" s="766"/>
      <c r="EU240" s="766"/>
      <c r="EV240" s="766"/>
      <c r="EW240" s="766"/>
      <c r="EX240" s="766"/>
      <c r="EY240" s="766"/>
      <c r="EZ240" s="766" t="s">
        <v>1522</v>
      </c>
      <c r="FA240" s="766"/>
      <c r="FB240" s="766" t="s">
        <v>1257</v>
      </c>
      <c r="FC240" s="766"/>
      <c r="FD240" s="775"/>
      <c r="FE240" s="766" t="s">
        <v>1523</v>
      </c>
      <c r="FF240" s="766" t="s">
        <v>1524</v>
      </c>
      <c r="FG240" s="766" t="s">
        <v>1525</v>
      </c>
      <c r="FH240" s="766"/>
      <c r="FI240" s="766"/>
      <c r="FJ240" s="766"/>
      <c r="FK240" s="766"/>
      <c r="FL240" s="766"/>
      <c r="FM240" s="775"/>
      <c r="FN240" s="775"/>
      <c r="FO240" s="775"/>
      <c r="FP240" s="766"/>
      <c r="FQ240" s="766"/>
      <c r="FR240" s="766"/>
      <c r="FS240" s="766"/>
      <c r="FT240" s="766"/>
      <c r="FU240" s="766"/>
      <c r="FV240" s="766"/>
      <c r="FW240" s="766"/>
      <c r="FX240" s="766"/>
      <c r="FY240" s="766"/>
      <c r="FZ240" s="766"/>
      <c r="GA240" s="766"/>
      <c r="GB240" s="766"/>
      <c r="GC240" s="75"/>
      <c r="GD240" s="25"/>
      <c r="GE240" s="766"/>
      <c r="GF240" s="775"/>
      <c r="GG240" s="775"/>
      <c r="GH240" s="766"/>
      <c r="GI240" s="766"/>
      <c r="GJ240" s="766"/>
      <c r="GK240" s="766"/>
      <c r="GL240" s="766"/>
      <c r="GM240" s="766"/>
      <c r="GN240" s="82"/>
      <c r="GO240" s="766"/>
      <c r="GP240" s="766"/>
      <c r="GQ240" s="766"/>
      <c r="GR240" s="766"/>
      <c r="GS240" s="766"/>
      <c r="GT240" s="766"/>
      <c r="GU240" s="766"/>
      <c r="GV240" s="766"/>
      <c r="GW240" s="766"/>
      <c r="GX240" s="766"/>
      <c r="GY240" s="766"/>
      <c r="GZ240" s="766"/>
      <c r="HA240" s="766"/>
      <c r="HB240" s="766"/>
      <c r="HC240" s="766"/>
      <c r="HD240" s="766"/>
      <c r="HE240" s="766"/>
      <c r="HF240" s="766"/>
      <c r="HG240" s="766"/>
      <c r="HH240" s="766"/>
      <c r="HI240" s="766"/>
      <c r="HJ240" s="766"/>
      <c r="HK240" s="766"/>
      <c r="HL240" s="766"/>
      <c r="HM240" s="766"/>
      <c r="HN240" s="766"/>
      <c r="HO240" s="766"/>
      <c r="HP240" s="766"/>
      <c r="HQ240" s="766"/>
      <c r="HR240" s="766"/>
      <c r="HS240" s="766"/>
      <c r="HT240" s="766"/>
      <c r="HU240" s="766"/>
      <c r="HV240" s="766"/>
      <c r="HW240" s="766"/>
      <c r="HX240" s="766"/>
      <c r="HY240" s="766"/>
      <c r="HZ240" s="766"/>
      <c r="IA240" s="766"/>
      <c r="IB240" s="14" t="e">
        <f>IF(#REF!&gt;0,IF(#REF!&lt;=10000,"Y",""),"")</f>
        <v>#REF!</v>
      </c>
      <c r="IC240" s="14"/>
      <c r="ID240" s="14"/>
      <c r="IE240" s="14"/>
      <c r="IF240" s="766"/>
      <c r="IG240" s="766"/>
      <c r="IH240" s="766"/>
      <c r="II240" s="766"/>
      <c r="IJ240" s="766"/>
      <c r="IK240" s="766"/>
      <c r="IL240" s="766"/>
      <c r="IM240" s="766"/>
      <c r="IN240" s="766"/>
      <c r="IO240" s="24"/>
      <c r="IP240" s="766"/>
      <c r="IQ240" s="766"/>
      <c r="IR240" s="766"/>
      <c r="IS240" s="766"/>
      <c r="IT240" s="766"/>
      <c r="IU240" s="766"/>
      <c r="IV240" s="766"/>
      <c r="IW240" s="766"/>
      <c r="IX240" s="766"/>
      <c r="IY240" s="766"/>
      <c r="IZ240" s="766"/>
      <c r="JA240" s="766"/>
      <c r="JB240" s="766"/>
      <c r="JC240" s="766"/>
      <c r="JD240" s="775"/>
      <c r="JE240" s="766"/>
      <c r="JF240" s="766"/>
      <c r="JG240" s="766"/>
      <c r="JH240" s="766"/>
      <c r="JI240" s="766"/>
      <c r="JJ240" s="766"/>
      <c r="JK240" s="766"/>
      <c r="JL240" s="766"/>
      <c r="JM240" s="766"/>
      <c r="JN240" s="766"/>
      <c r="JO240" s="766"/>
      <c r="JP240" s="766"/>
      <c r="JQ240" s="766"/>
      <c r="JR240" s="766"/>
      <c r="JS240" s="766"/>
      <c r="JT240" s="766"/>
      <c r="JU240" s="766"/>
      <c r="JV240" s="766"/>
      <c r="JW240" s="766"/>
      <c r="JX240" s="766"/>
      <c r="JY240" s="766"/>
      <c r="JZ240" s="766"/>
      <c r="KA240" s="766"/>
      <c r="KB240" s="766"/>
      <c r="KC240" s="766"/>
      <c r="KD240" s="766"/>
      <c r="KE240" s="766"/>
      <c r="KF240" s="766"/>
      <c r="KG240" s="766"/>
      <c r="KH240" s="766"/>
      <c r="KI240" s="766"/>
      <c r="KJ240" s="770"/>
      <c r="KK240" s="770"/>
      <c r="KL240" s="770"/>
      <c r="KM240" s="770"/>
      <c r="KN240" s="766"/>
      <c r="KO240" s="28"/>
      <c r="KP240" s="766"/>
      <c r="KQ240" s="766"/>
      <c r="KR240" s="766"/>
      <c r="KS240" s="766"/>
      <c r="KT240" s="766"/>
      <c r="KU240" s="766"/>
      <c r="KV240" s="766"/>
      <c r="KW240" s="766"/>
      <c r="KX240" s="766"/>
      <c r="KY240" s="766"/>
      <c r="KZ240" s="766"/>
      <c r="LA240" s="766"/>
      <c r="LB240" s="766"/>
      <c r="LC240" s="766"/>
      <c r="LD240" s="766"/>
      <c r="LE240" s="766"/>
      <c r="LF240" s="766"/>
      <c r="LG240" s="766"/>
      <c r="LH240" s="766"/>
      <c r="LI240" s="766"/>
      <c r="LJ240" s="766"/>
      <c r="LK240" s="766"/>
      <c r="LL240" s="766"/>
      <c r="LM240" s="766"/>
      <c r="LN240" s="766"/>
      <c r="LO240" s="766"/>
      <c r="LP240" s="766"/>
      <c r="LQ240" s="1678"/>
      <c r="LR240" s="766"/>
      <c r="LS240" s="766"/>
      <c r="LT240" s="766"/>
      <c r="LU240" s="766"/>
      <c r="LV240" s="766"/>
      <c r="LW240" s="766"/>
      <c r="LX240" s="769"/>
      <c r="LY240" s="766" t="str">
        <f t="shared" si="72"/>
        <v/>
      </c>
      <c r="LZ240" s="121"/>
      <c r="MA240" s="66"/>
      <c r="MB240" s="66"/>
      <c r="MC240" s="1679">
        <f t="shared" si="70"/>
        <v>0</v>
      </c>
      <c r="MD240" s="66"/>
      <c r="ME240" s="66"/>
      <c r="MF240" s="66"/>
      <c r="MG240" s="1680">
        <f t="shared" si="48"/>
        <v>0</v>
      </c>
      <c r="MH240" s="1681"/>
      <c r="MI240" s="775"/>
      <c r="MJ240" s="775"/>
      <c r="MK240" s="775"/>
      <c r="ML240" s="775"/>
      <c r="MM240" s="775"/>
      <c r="MN240" s="775"/>
      <c r="MO240" s="775"/>
      <c r="MP240" s="775"/>
      <c r="MQ240" s="775"/>
      <c r="MR240" s="775"/>
      <c r="MS240" s="775"/>
      <c r="MT240" s="775"/>
      <c r="MU240" s="775"/>
      <c r="MV240" s="775"/>
      <c r="MW240" s="775"/>
      <c r="MX240" s="775"/>
      <c r="MY240" s="1682">
        <f t="shared" si="49"/>
        <v>0</v>
      </c>
      <c r="MZ240" s="766"/>
      <c r="NA240" s="766"/>
      <c r="NB240" s="766"/>
      <c r="NC240" s="766"/>
      <c r="ND240" s="766"/>
      <c r="NE240" s="766"/>
      <c r="NF240" s="766"/>
      <c r="NG240" s="766"/>
      <c r="NH240" s="766"/>
      <c r="NI240" s="766"/>
      <c r="NJ240" s="766"/>
      <c r="NK240" s="766"/>
      <c r="NL240" s="766"/>
      <c r="NM240" s="766"/>
      <c r="NN240" s="766"/>
      <c r="NO240" s="766"/>
      <c r="NP240" s="766"/>
      <c r="NQ240" s="766"/>
      <c r="NR240" s="766"/>
      <c r="NS240" s="766"/>
      <c r="NT240" s="766"/>
      <c r="NU240" s="766"/>
      <c r="NV240" s="766"/>
      <c r="NW240" s="766"/>
      <c r="NX240" s="766"/>
      <c r="NY240" s="766"/>
      <c r="NZ240" s="766"/>
      <c r="OA240" s="766"/>
      <c r="OB240" s="766"/>
      <c r="OC240" s="766"/>
      <c r="OD240" s="766"/>
      <c r="OE240" s="766"/>
      <c r="OF240" s="766"/>
      <c r="OG240" s="766"/>
      <c r="OH240" s="766"/>
      <c r="OI240" s="766"/>
      <c r="OJ240" s="766"/>
      <c r="OK240" s="766"/>
      <c r="OL240" s="766"/>
      <c r="OM240" s="766"/>
      <c r="ON240" s="766"/>
      <c r="OO240" s="766"/>
      <c r="OP240" s="766"/>
      <c r="OQ240" s="766"/>
      <c r="OR240" s="766"/>
      <c r="OS240" s="766"/>
      <c r="OT240" s="766"/>
      <c r="OU240" s="766"/>
      <c r="OV240" s="766"/>
      <c r="OW240" s="766"/>
      <c r="OX240" s="766"/>
      <c r="OY240" s="766"/>
      <c r="OZ240" s="766"/>
      <c r="PA240" s="766"/>
      <c r="PB240" s="766"/>
      <c r="PC240" s="766"/>
      <c r="PD240" s="766"/>
      <c r="PE240" s="766"/>
      <c r="PF240" s="766"/>
      <c r="PG240" s="766"/>
      <c r="PH240" s="766"/>
      <c r="PI240" s="766"/>
      <c r="PJ240" s="766"/>
      <c r="PK240" s="766"/>
      <c r="PL240" s="766"/>
      <c r="PM240" s="766"/>
      <c r="PN240" s="766"/>
      <c r="PO240" s="766"/>
      <c r="PP240" s="766"/>
      <c r="PQ240" s="766"/>
      <c r="PR240" s="766"/>
      <c r="PS240" s="766"/>
      <c r="PT240" s="766"/>
      <c r="PU240" s="766"/>
      <c r="PV240" s="766"/>
      <c r="PW240" s="766"/>
      <c r="PX240" s="766"/>
      <c r="PY240" s="766"/>
      <c r="PZ240" s="766"/>
      <c r="QA240" s="766"/>
      <c r="QB240" s="766"/>
      <c r="QC240" s="766"/>
      <c r="QD240" s="766"/>
      <c r="QE240" s="766"/>
      <c r="QF240" s="766"/>
      <c r="QG240" s="766"/>
      <c r="QH240" s="766"/>
      <c r="QI240" s="766"/>
      <c r="QJ240" s="766"/>
      <c r="QK240" s="766"/>
      <c r="QL240" s="766"/>
      <c r="QM240" s="766"/>
      <c r="QN240" s="766"/>
      <c r="QO240" s="766"/>
      <c r="QP240" s="766"/>
      <c r="QQ240" s="766"/>
      <c r="QR240" s="766"/>
      <c r="QS240" s="766"/>
      <c r="QT240" s="766"/>
      <c r="QU240" s="766"/>
      <c r="QV240" s="766"/>
      <c r="QW240" s="766"/>
      <c r="QX240" s="766"/>
      <c r="QY240" s="766"/>
      <c r="QZ240" s="766"/>
      <c r="RA240" s="766"/>
      <c r="RB240" s="766"/>
      <c r="RC240" s="766"/>
      <c r="RD240" s="766"/>
      <c r="RE240" s="766"/>
      <c r="RF240" s="777"/>
      <c r="RG240" s="766"/>
      <c r="RH240" s="775"/>
      <c r="RI240" s="766"/>
      <c r="RJ240" s="766" t="s">
        <v>835</v>
      </c>
      <c r="RK240" s="766" t="s">
        <v>835</v>
      </c>
      <c r="RL240" s="1683"/>
      <c r="RM240" s="12"/>
      <c r="RN240" s="1711"/>
      <c r="RO240" s="148" t="s">
        <v>422</v>
      </c>
      <c r="RP240" s="11"/>
      <c r="RQ240" s="11"/>
      <c r="RR240" s="771"/>
      <c r="RS240" s="766"/>
      <c r="RT240" s="11"/>
      <c r="RU240" s="11"/>
      <c r="RV240" s="766" t="s">
        <v>7421</v>
      </c>
      <c r="RW240" s="11" t="s">
        <v>7602</v>
      </c>
      <c r="RX240" s="11" t="s">
        <v>413</v>
      </c>
      <c r="RY240" s="11"/>
      <c r="RZ240" s="11" t="s">
        <v>2209</v>
      </c>
      <c r="SA240" s="766"/>
      <c r="SB240" s="11"/>
      <c r="SC240" s="11"/>
    </row>
    <row r="241" spans="1:497" ht="12.75" hidden="1" customHeight="1">
      <c r="A241" s="154" t="s">
        <v>14160</v>
      </c>
      <c r="B241" s="750"/>
      <c r="C241" s="148" t="s">
        <v>11870</v>
      </c>
      <c r="D241" s="766" t="s">
        <v>11869</v>
      </c>
      <c r="E241" s="766" t="s">
        <v>5846</v>
      </c>
      <c r="F241" s="766"/>
      <c r="G241" s="766"/>
      <c r="H241" s="766"/>
      <c r="I241" s="5"/>
      <c r="J241" s="14"/>
      <c r="K241" s="766"/>
      <c r="L241" s="766"/>
      <c r="M241" s="766"/>
      <c r="N241" s="766"/>
      <c r="O241" s="766"/>
      <c r="P241" s="766"/>
      <c r="Q241" s="1085"/>
      <c r="R241" s="25"/>
      <c r="S241" s="770"/>
      <c r="T241" s="766"/>
      <c r="U241" s="26"/>
      <c r="V241" s="766"/>
      <c r="W241" s="766"/>
      <c r="X241" s="24"/>
      <c r="Y241" s="766"/>
      <c r="Z241" s="766"/>
      <c r="AA241" s="766"/>
      <c r="AB241" s="766"/>
      <c r="AC241" s="766"/>
      <c r="AD241" s="766"/>
      <c r="AE241" s="766"/>
      <c r="AF241" s="766"/>
      <c r="AG241" s="766"/>
      <c r="AH241" s="766"/>
      <c r="AI241" s="766"/>
      <c r="AJ241" s="766"/>
      <c r="AK241" s="766"/>
      <c r="AL241" s="772">
        <v>180.16399999999999</v>
      </c>
      <c r="AM241" s="772">
        <v>180.16399999999999</v>
      </c>
      <c r="AN241" s="774">
        <v>1</v>
      </c>
      <c r="AO241" s="766" t="s">
        <v>1122</v>
      </c>
      <c r="AP241" s="766"/>
      <c r="AQ241" s="766"/>
      <c r="AR241" s="766"/>
      <c r="AS241" s="766"/>
      <c r="AT241" s="766"/>
      <c r="AU241" s="766"/>
      <c r="AV241" s="766"/>
      <c r="AW241" s="766"/>
      <c r="AX241" s="766"/>
      <c r="AY241" s="766"/>
      <c r="AZ241" s="766"/>
      <c r="BA241" s="766"/>
      <c r="BB241" s="766"/>
      <c r="BC241" s="766"/>
      <c r="BD241" s="766"/>
      <c r="BE241" s="766"/>
      <c r="BF241" s="775"/>
      <c r="BG241" s="775"/>
      <c r="BH241" s="766"/>
      <c r="BI241" s="766"/>
      <c r="BJ241" s="766"/>
      <c r="BK241" s="766"/>
      <c r="BL241" s="766"/>
      <c r="BM241" s="766"/>
      <c r="BN241" s="766"/>
      <c r="BO241" s="766"/>
      <c r="BP241" s="773">
        <f t="shared" si="73"/>
        <v>180.16399999999999</v>
      </c>
      <c r="BQ241" s="773">
        <f t="shared" si="73"/>
        <v>180.16399999999999</v>
      </c>
      <c r="BR241" s="774">
        <f t="shared" si="73"/>
        <v>1</v>
      </c>
      <c r="BS241" s="766" t="s">
        <v>1257</v>
      </c>
      <c r="BT241" s="766"/>
      <c r="BU241" s="766"/>
      <c r="BV241" s="766"/>
      <c r="BW241" s="769"/>
      <c r="BX241" s="775"/>
      <c r="BY241" s="766"/>
      <c r="BZ241" s="775"/>
      <c r="CA241" s="766"/>
      <c r="CB241" s="766"/>
      <c r="CC241" s="766"/>
      <c r="CD241" s="766"/>
      <c r="CE241" s="766"/>
      <c r="CF241" s="777"/>
      <c r="CG241" s="231"/>
      <c r="CH241" s="766"/>
      <c r="CI241" s="766"/>
      <c r="CJ241" s="766"/>
      <c r="CK241" s="766"/>
      <c r="CL241" s="766"/>
      <c r="CM241" s="766"/>
      <c r="CN241" s="766"/>
      <c r="CO241" s="766"/>
      <c r="CP241" s="766"/>
      <c r="CQ241" s="766"/>
      <c r="CR241" s="775"/>
      <c r="CS241" s="766"/>
      <c r="CT241" s="766"/>
      <c r="CU241" s="129"/>
      <c r="CV241" s="766"/>
      <c r="CW241" s="766"/>
      <c r="CX241" s="766"/>
      <c r="CY241" s="766"/>
      <c r="CZ241" s="766"/>
      <c r="DA241" s="66"/>
      <c r="DB241" s="766"/>
      <c r="DC241" s="766"/>
      <c r="DD241" s="766"/>
      <c r="DE241" s="772"/>
      <c r="DF241" s="766"/>
      <c r="DG241" s="766"/>
      <c r="DH241" s="766"/>
      <c r="DI241" s="766"/>
      <c r="DJ241" s="766"/>
      <c r="DK241" s="766"/>
      <c r="DL241" s="766"/>
      <c r="DM241" s="766"/>
      <c r="DN241" s="44"/>
      <c r="DO241" s="766"/>
      <c r="DP241" s="766"/>
      <c r="DQ241" s="766"/>
      <c r="DR241" s="766"/>
      <c r="DS241" s="59"/>
      <c r="DT241" s="766"/>
      <c r="DU241" s="766"/>
      <c r="DV241" s="766"/>
      <c r="DW241" s="66"/>
      <c r="DX241" s="66"/>
      <c r="DY241" s="766"/>
      <c r="DZ241" s="766"/>
      <c r="EA241" s="766"/>
      <c r="EB241" s="766"/>
      <c r="EC241" s="766"/>
      <c r="ED241" s="766"/>
      <c r="EE241" s="766"/>
      <c r="EF241" s="766"/>
      <c r="EG241" s="766"/>
      <c r="EH241" s="766"/>
      <c r="EI241" s="766"/>
      <c r="EJ241" s="766"/>
      <c r="EK241" s="766"/>
      <c r="EL241" s="766"/>
      <c r="EM241" s="766"/>
      <c r="EN241" s="766"/>
      <c r="EO241" s="766"/>
      <c r="EP241" s="14"/>
      <c r="EQ241" s="766"/>
      <c r="ER241" s="766"/>
      <c r="ES241" s="766"/>
      <c r="ET241" s="766"/>
      <c r="EU241" s="766"/>
      <c r="EV241" s="766"/>
      <c r="EW241" s="766"/>
      <c r="EX241" s="766"/>
      <c r="EY241" s="766"/>
      <c r="EZ241" s="766"/>
      <c r="FA241" s="766"/>
      <c r="FB241" s="766"/>
      <c r="FC241" s="766"/>
      <c r="FD241" s="775"/>
      <c r="FE241" s="766"/>
      <c r="FF241" s="766"/>
      <c r="FG241" s="766"/>
      <c r="FH241" s="766"/>
      <c r="FI241" s="766"/>
      <c r="FJ241" s="766"/>
      <c r="FK241" s="766"/>
      <c r="FL241" s="766"/>
      <c r="FM241" s="775"/>
      <c r="FN241" s="775"/>
      <c r="FO241" s="775"/>
      <c r="FP241" s="766"/>
      <c r="FQ241" s="766"/>
      <c r="FR241" s="766"/>
      <c r="FS241" s="766"/>
      <c r="FT241" s="766"/>
      <c r="FU241" s="766"/>
      <c r="FV241" s="766"/>
      <c r="FW241" s="766"/>
      <c r="FX241" s="766"/>
      <c r="FY241" s="766"/>
      <c r="FZ241" s="766"/>
      <c r="GA241" s="766"/>
      <c r="GB241" s="766"/>
      <c r="GC241" s="75"/>
      <c r="GD241" s="25"/>
      <c r="GE241" s="766"/>
      <c r="GF241" s="775"/>
      <c r="GG241" s="775"/>
      <c r="GH241" s="766"/>
      <c r="GI241" s="766"/>
      <c r="GJ241" s="766"/>
      <c r="GK241" s="766"/>
      <c r="GL241" s="766"/>
      <c r="GM241" s="766"/>
      <c r="GN241" s="82"/>
      <c r="GO241" s="766"/>
      <c r="GP241" s="766"/>
      <c r="GQ241" s="766"/>
      <c r="GR241" s="766"/>
      <c r="GS241" s="766"/>
      <c r="GT241" s="766"/>
      <c r="GU241" s="766"/>
      <c r="GV241" s="766"/>
      <c r="GW241" s="766"/>
      <c r="GX241" s="766"/>
      <c r="GY241" s="766"/>
      <c r="GZ241" s="766"/>
      <c r="HA241" s="766"/>
      <c r="HB241" s="766"/>
      <c r="HC241" s="766"/>
      <c r="HD241" s="766"/>
      <c r="HE241" s="766"/>
      <c r="HF241" s="766"/>
      <c r="HG241" s="766"/>
      <c r="HH241" s="766"/>
      <c r="HI241" s="766"/>
      <c r="HJ241" s="766"/>
      <c r="HK241" s="766"/>
      <c r="HL241" s="766"/>
      <c r="HM241" s="766"/>
      <c r="HN241" s="766"/>
      <c r="HO241" s="766"/>
      <c r="HP241" s="766"/>
      <c r="HQ241" s="766"/>
      <c r="HR241" s="766"/>
      <c r="HS241" s="766"/>
      <c r="HT241" s="766"/>
      <c r="HU241" s="766"/>
      <c r="HV241" s="766"/>
      <c r="HW241" s="766"/>
      <c r="HX241" s="766"/>
      <c r="HY241" s="766"/>
      <c r="HZ241" s="766"/>
      <c r="IA241" s="766"/>
      <c r="IB241" s="14"/>
      <c r="IC241" s="14"/>
      <c r="ID241" s="14"/>
      <c r="IE241" s="14"/>
      <c r="IF241" s="766"/>
      <c r="IG241" s="766"/>
      <c r="IH241" s="766"/>
      <c r="II241" s="766"/>
      <c r="IJ241" s="766"/>
      <c r="IK241" s="766"/>
      <c r="IL241" s="766"/>
      <c r="IM241" s="766"/>
      <c r="IN241" s="766"/>
      <c r="IO241" s="24"/>
      <c r="IP241" s="766"/>
      <c r="IQ241" s="766"/>
      <c r="IR241" s="766"/>
      <c r="IS241" s="766"/>
      <c r="IT241" s="766"/>
      <c r="IU241" s="766"/>
      <c r="IV241" s="766"/>
      <c r="IW241" s="766"/>
      <c r="IX241" s="766"/>
      <c r="IY241" s="766"/>
      <c r="IZ241" s="766"/>
      <c r="JA241" s="766"/>
      <c r="JB241" s="766"/>
      <c r="JC241" s="766"/>
      <c r="JD241" s="775"/>
      <c r="JE241" s="766"/>
      <c r="JF241" s="766"/>
      <c r="JG241" s="766"/>
      <c r="JH241" s="766"/>
      <c r="JI241" s="766"/>
      <c r="JJ241" s="766"/>
      <c r="JK241" s="766"/>
      <c r="JL241" s="766"/>
      <c r="JM241" s="766"/>
      <c r="JN241" s="766"/>
      <c r="JO241" s="766"/>
      <c r="JP241" s="766"/>
      <c r="JQ241" s="766"/>
      <c r="JR241" s="766"/>
      <c r="JS241" s="766"/>
      <c r="JT241" s="766"/>
      <c r="JU241" s="766"/>
      <c r="JV241" s="766"/>
      <c r="JW241" s="766"/>
      <c r="JX241" s="766"/>
      <c r="JY241" s="766"/>
      <c r="JZ241" s="766"/>
      <c r="KA241" s="766"/>
      <c r="KB241" s="766"/>
      <c r="KC241" s="766"/>
      <c r="KD241" s="766"/>
      <c r="KE241" s="766"/>
      <c r="KF241" s="766"/>
      <c r="KG241" s="766"/>
      <c r="KH241" s="766"/>
      <c r="KI241" s="766"/>
      <c r="KJ241" s="770"/>
      <c r="KK241" s="770"/>
      <c r="KL241" s="770"/>
      <c r="KM241" s="770"/>
      <c r="KN241" s="766"/>
      <c r="KO241" s="28"/>
      <c r="KP241" s="766"/>
      <c r="KQ241" s="766"/>
      <c r="KR241" s="766"/>
      <c r="KS241" s="766"/>
      <c r="KT241" s="766"/>
      <c r="KU241" s="766"/>
      <c r="KV241" s="766"/>
      <c r="KW241" s="766"/>
      <c r="KX241" s="766"/>
      <c r="KY241" s="766"/>
      <c r="KZ241" s="766"/>
      <c r="LA241" s="766"/>
      <c r="LB241" s="766"/>
      <c r="LC241" s="766"/>
      <c r="LD241" s="766"/>
      <c r="LE241" s="766"/>
      <c r="LF241" s="766"/>
      <c r="LG241" s="766"/>
      <c r="LH241" s="766"/>
      <c r="LI241" s="766"/>
      <c r="LJ241" s="766"/>
      <c r="LK241" s="766"/>
      <c r="LL241" s="766"/>
      <c r="LM241" s="766"/>
      <c r="LN241" s="766"/>
      <c r="LO241" s="766"/>
      <c r="LP241" s="766"/>
      <c r="LQ241" s="1678"/>
      <c r="LR241" s="766"/>
      <c r="LS241" s="766"/>
      <c r="LT241" s="766"/>
      <c r="LU241" s="766"/>
      <c r="LV241" s="766"/>
      <c r="LW241" s="766"/>
      <c r="LX241" s="769"/>
      <c r="LY241" s="766" t="str">
        <f t="shared" si="72"/>
        <v/>
      </c>
      <c r="LZ241" s="121"/>
      <c r="MA241" s="66"/>
      <c r="MB241" s="66"/>
      <c r="MC241" s="1679">
        <f t="shared" si="70"/>
        <v>0</v>
      </c>
      <c r="MD241" s="66"/>
      <c r="ME241" s="66"/>
      <c r="MF241" s="66"/>
      <c r="MG241" s="1680">
        <f t="shared" si="48"/>
        <v>0</v>
      </c>
      <c r="MH241" s="1681"/>
      <c r="MI241" s="775"/>
      <c r="MJ241" s="775"/>
      <c r="MK241" s="775"/>
      <c r="ML241" s="775"/>
      <c r="MM241" s="775"/>
      <c r="MN241" s="775"/>
      <c r="MO241" s="775"/>
      <c r="MP241" s="775"/>
      <c r="MQ241" s="775"/>
      <c r="MR241" s="775"/>
      <c r="MS241" s="775"/>
      <c r="MT241" s="775"/>
      <c r="MU241" s="775"/>
      <c r="MV241" s="775"/>
      <c r="MW241" s="775"/>
      <c r="MX241" s="775"/>
      <c r="MY241" s="1682">
        <f t="shared" si="49"/>
        <v>0</v>
      </c>
      <c r="MZ241" s="766"/>
      <c r="NA241" s="766"/>
      <c r="NB241" s="766"/>
      <c r="NC241" s="766"/>
      <c r="ND241" s="766"/>
      <c r="NE241" s="766"/>
      <c r="NF241" s="766"/>
      <c r="NG241" s="766"/>
      <c r="NH241" s="766"/>
      <c r="NI241" s="766"/>
      <c r="NJ241" s="766"/>
      <c r="NK241" s="766"/>
      <c r="NL241" s="766"/>
      <c r="NM241" s="766"/>
      <c r="NN241" s="766"/>
      <c r="NO241" s="766"/>
      <c r="NP241" s="766"/>
      <c r="NQ241" s="766"/>
      <c r="NR241" s="766"/>
      <c r="NS241" s="766"/>
      <c r="NT241" s="766"/>
      <c r="NU241" s="766"/>
      <c r="NV241" s="766"/>
      <c r="NW241" s="766"/>
      <c r="NX241" s="766"/>
      <c r="NY241" s="766"/>
      <c r="NZ241" s="766"/>
      <c r="OA241" s="766"/>
      <c r="OB241" s="766"/>
      <c r="OC241" s="766"/>
      <c r="OD241" s="766"/>
      <c r="OE241" s="766"/>
      <c r="OF241" s="766"/>
      <c r="OG241" s="766"/>
      <c r="OH241" s="766"/>
      <c r="OI241" s="766"/>
      <c r="OJ241" s="766"/>
      <c r="OK241" s="766"/>
      <c r="OL241" s="766"/>
      <c r="OM241" s="766"/>
      <c r="ON241" s="766"/>
      <c r="OO241" s="766"/>
      <c r="OP241" s="766"/>
      <c r="OQ241" s="766"/>
      <c r="OR241" s="766"/>
      <c r="OS241" s="766"/>
      <c r="OT241" s="766"/>
      <c r="OU241" s="766"/>
      <c r="OV241" s="766"/>
      <c r="OW241" s="766"/>
      <c r="OX241" s="766"/>
      <c r="OY241" s="766"/>
      <c r="OZ241" s="766"/>
      <c r="PA241" s="766"/>
      <c r="PB241" s="766"/>
      <c r="PC241" s="766"/>
      <c r="PD241" s="766"/>
      <c r="PE241" s="766"/>
      <c r="PF241" s="766"/>
      <c r="PG241" s="766"/>
      <c r="PH241" s="766"/>
      <c r="PI241" s="766"/>
      <c r="PJ241" s="766"/>
      <c r="PK241" s="766"/>
      <c r="PL241" s="766"/>
      <c r="PM241" s="766"/>
      <c r="PN241" s="766"/>
      <c r="PO241" s="766"/>
      <c r="PP241" s="766"/>
      <c r="PQ241" s="766"/>
      <c r="PR241" s="766"/>
      <c r="PS241" s="766"/>
      <c r="PT241" s="766"/>
      <c r="PU241" s="766"/>
      <c r="PV241" s="766"/>
      <c r="PW241" s="766"/>
      <c r="PX241" s="766"/>
      <c r="PY241" s="766"/>
      <c r="PZ241" s="766"/>
      <c r="QA241" s="766"/>
      <c r="QB241" s="766"/>
      <c r="QC241" s="766"/>
      <c r="QD241" s="766"/>
      <c r="QE241" s="766"/>
      <c r="QF241" s="766"/>
      <c r="QG241" s="766"/>
      <c r="QH241" s="766"/>
      <c r="QI241" s="766"/>
      <c r="QJ241" s="766"/>
      <c r="QK241" s="766"/>
      <c r="QL241" s="766"/>
      <c r="QM241" s="766"/>
      <c r="QN241" s="766"/>
      <c r="QO241" s="766"/>
      <c r="QP241" s="766"/>
      <c r="QQ241" s="766"/>
      <c r="QR241" s="766"/>
      <c r="QS241" s="766"/>
      <c r="QT241" s="766"/>
      <c r="QU241" s="766"/>
      <c r="QV241" s="766"/>
      <c r="QW241" s="766"/>
      <c r="QX241" s="766"/>
      <c r="QY241" s="766"/>
      <c r="QZ241" s="766"/>
      <c r="RA241" s="766"/>
      <c r="RB241" s="766"/>
      <c r="RC241" s="766"/>
      <c r="RD241" s="766"/>
      <c r="RE241" s="766"/>
      <c r="RF241" s="777"/>
      <c r="RG241" s="766"/>
      <c r="RH241" s="775"/>
      <c r="RI241" s="766"/>
      <c r="RJ241" s="766"/>
      <c r="RK241" s="766"/>
      <c r="RL241" s="1683"/>
      <c r="RM241" s="12"/>
      <c r="RN241" s="1711"/>
      <c r="RO241" s="148" t="s">
        <v>11870</v>
      </c>
      <c r="RP241" s="11"/>
      <c r="RQ241" s="11"/>
      <c r="RR241" s="771"/>
      <c r="RS241" s="766"/>
      <c r="RT241" s="11"/>
      <c r="RU241" s="11"/>
      <c r="RV241" s="766" t="s">
        <v>7421</v>
      </c>
      <c r="RW241" s="11" t="s">
        <v>7603</v>
      </c>
      <c r="RX241" s="11" t="s">
        <v>418</v>
      </c>
      <c r="RY241" s="11"/>
      <c r="RZ241" s="11"/>
      <c r="SA241" s="766"/>
      <c r="SB241" s="11"/>
      <c r="SC241" s="11"/>
    </row>
    <row r="242" spans="1:497" ht="12.75" hidden="1" customHeight="1">
      <c r="A242" s="154" t="s">
        <v>14160</v>
      </c>
      <c r="B242" s="750"/>
      <c r="C242" s="148" t="s">
        <v>11877</v>
      </c>
      <c r="D242" s="766" t="s">
        <v>11871</v>
      </c>
      <c r="E242" s="766" t="s">
        <v>5846</v>
      </c>
      <c r="F242" s="766"/>
      <c r="G242" s="766"/>
      <c r="H242" s="766"/>
      <c r="I242" s="5"/>
      <c r="J242" s="14"/>
      <c r="K242" s="766"/>
      <c r="L242" s="766"/>
      <c r="M242" s="766"/>
      <c r="N242" s="766"/>
      <c r="O242" s="766"/>
      <c r="P242" s="766"/>
      <c r="Q242" s="1085"/>
      <c r="R242" s="25"/>
      <c r="S242" s="770"/>
      <c r="T242" s="766"/>
      <c r="U242" s="26"/>
      <c r="V242" s="766"/>
      <c r="W242" s="766"/>
      <c r="X242" s="24"/>
      <c r="Y242" s="766"/>
      <c r="Z242" s="766"/>
      <c r="AA242" s="766"/>
      <c r="AB242" s="766"/>
      <c r="AC242" s="766"/>
      <c r="AD242" s="766"/>
      <c r="AE242" s="766"/>
      <c r="AF242" s="766"/>
      <c r="AG242" s="766"/>
      <c r="AH242" s="766"/>
      <c r="AI242" s="766"/>
      <c r="AJ242" s="766"/>
      <c r="AK242" s="766"/>
      <c r="AL242" s="772">
        <v>696</v>
      </c>
      <c r="AM242" s="772">
        <v>696</v>
      </c>
      <c r="AN242" s="774">
        <v>1</v>
      </c>
      <c r="AO242" s="766" t="s">
        <v>1122</v>
      </c>
      <c r="AP242" s="766"/>
      <c r="AQ242" s="766"/>
      <c r="AR242" s="766"/>
      <c r="AS242" s="766"/>
      <c r="AT242" s="766"/>
      <c r="AU242" s="766"/>
      <c r="AV242" s="766"/>
      <c r="AW242" s="766"/>
      <c r="AX242" s="766"/>
      <c r="AY242" s="766"/>
      <c r="AZ242" s="766"/>
      <c r="BA242" s="766"/>
      <c r="BB242" s="766"/>
      <c r="BC242" s="766"/>
      <c r="BD242" s="766"/>
      <c r="BE242" s="766"/>
      <c r="BF242" s="775"/>
      <c r="BG242" s="775"/>
      <c r="BH242" s="766"/>
      <c r="BI242" s="766"/>
      <c r="BJ242" s="766"/>
      <c r="BK242" s="766"/>
      <c r="BL242" s="766"/>
      <c r="BM242" s="766"/>
      <c r="BN242" s="766"/>
      <c r="BO242" s="766"/>
      <c r="BP242" s="773">
        <f t="shared" si="73"/>
        <v>696</v>
      </c>
      <c r="BQ242" s="773">
        <f t="shared" si="73"/>
        <v>696</v>
      </c>
      <c r="BR242" s="774">
        <f t="shared" si="73"/>
        <v>1</v>
      </c>
      <c r="BS242" s="766" t="s">
        <v>1257</v>
      </c>
      <c r="BT242" s="766"/>
      <c r="BU242" s="766"/>
      <c r="BV242" s="766"/>
      <c r="BW242" s="769"/>
      <c r="BX242" s="775"/>
      <c r="BY242" s="766"/>
      <c r="BZ242" s="775"/>
      <c r="CA242" s="766"/>
      <c r="CB242" s="766"/>
      <c r="CC242" s="766"/>
      <c r="CD242" s="766"/>
      <c r="CE242" s="766"/>
      <c r="CF242" s="777"/>
      <c r="CG242" s="231"/>
      <c r="CH242" s="766"/>
      <c r="CI242" s="766"/>
      <c r="CJ242" s="766"/>
      <c r="CK242" s="766"/>
      <c r="CL242" s="766"/>
      <c r="CM242" s="766"/>
      <c r="CN242" s="766"/>
      <c r="CO242" s="766"/>
      <c r="CP242" s="766"/>
      <c r="CQ242" s="766"/>
      <c r="CR242" s="775"/>
      <c r="CS242" s="766"/>
      <c r="CT242" s="766"/>
      <c r="CU242" s="129"/>
      <c r="CV242" s="766"/>
      <c r="CW242" s="766"/>
      <c r="CX242" s="766"/>
      <c r="CY242" s="766"/>
      <c r="CZ242" s="766"/>
      <c r="DA242" s="66"/>
      <c r="DB242" s="766"/>
      <c r="DC242" s="766"/>
      <c r="DD242" s="766"/>
      <c r="DE242" s="772"/>
      <c r="DF242" s="766"/>
      <c r="DG242" s="766"/>
      <c r="DH242" s="766"/>
      <c r="DI242" s="766"/>
      <c r="DJ242" s="766"/>
      <c r="DK242" s="766"/>
      <c r="DL242" s="766"/>
      <c r="DM242" s="766"/>
      <c r="DN242" s="44"/>
      <c r="DO242" s="766"/>
      <c r="DP242" s="766"/>
      <c r="DQ242" s="766"/>
      <c r="DR242" s="766"/>
      <c r="DS242" s="59"/>
      <c r="DT242" s="766"/>
      <c r="DU242" s="766"/>
      <c r="DV242" s="766"/>
      <c r="DW242" s="66"/>
      <c r="DX242" s="66"/>
      <c r="DY242" s="766"/>
      <c r="DZ242" s="766"/>
      <c r="EA242" s="766"/>
      <c r="EB242" s="766"/>
      <c r="EC242" s="766"/>
      <c r="ED242" s="766"/>
      <c r="EE242" s="766"/>
      <c r="EF242" s="766"/>
      <c r="EG242" s="766"/>
      <c r="EH242" s="766"/>
      <c r="EI242" s="766"/>
      <c r="EJ242" s="766"/>
      <c r="EK242" s="766"/>
      <c r="EL242" s="766"/>
      <c r="EM242" s="766"/>
      <c r="EN242" s="766"/>
      <c r="EO242" s="766"/>
      <c r="EP242" s="14"/>
      <c r="EQ242" s="766"/>
      <c r="ER242" s="766"/>
      <c r="ES242" s="766"/>
      <c r="ET242" s="766"/>
      <c r="EU242" s="766"/>
      <c r="EV242" s="766"/>
      <c r="EW242" s="766"/>
      <c r="EX242" s="766"/>
      <c r="EY242" s="766"/>
      <c r="EZ242" s="766"/>
      <c r="FA242" s="766"/>
      <c r="FB242" s="766"/>
      <c r="FC242" s="766"/>
      <c r="FD242" s="775"/>
      <c r="FE242" s="766"/>
      <c r="FF242" s="766"/>
      <c r="FG242" s="766"/>
      <c r="FH242" s="766"/>
      <c r="FI242" s="766"/>
      <c r="FJ242" s="766"/>
      <c r="FK242" s="766"/>
      <c r="FL242" s="766"/>
      <c r="FM242" s="775"/>
      <c r="FN242" s="775"/>
      <c r="FO242" s="775"/>
      <c r="FP242" s="766"/>
      <c r="FQ242" s="766"/>
      <c r="FR242" s="766"/>
      <c r="FS242" s="766"/>
      <c r="FT242" s="766"/>
      <c r="FU242" s="766"/>
      <c r="FV242" s="766"/>
      <c r="FW242" s="766"/>
      <c r="FX242" s="766"/>
      <c r="FY242" s="766"/>
      <c r="FZ242" s="766"/>
      <c r="GA242" s="766"/>
      <c r="GB242" s="766"/>
      <c r="GC242" s="75"/>
      <c r="GD242" s="25"/>
      <c r="GE242" s="766"/>
      <c r="GF242" s="775"/>
      <c r="GG242" s="775"/>
      <c r="GH242" s="766"/>
      <c r="GI242" s="766"/>
      <c r="GJ242" s="766"/>
      <c r="GK242" s="766"/>
      <c r="GL242" s="766"/>
      <c r="GM242" s="766"/>
      <c r="GN242" s="82"/>
      <c r="GO242" s="766"/>
      <c r="GP242" s="766"/>
      <c r="GQ242" s="766"/>
      <c r="GR242" s="766"/>
      <c r="GS242" s="766"/>
      <c r="GT242" s="766"/>
      <c r="GU242" s="766"/>
      <c r="GV242" s="766"/>
      <c r="GW242" s="766"/>
      <c r="GX242" s="766"/>
      <c r="GY242" s="766"/>
      <c r="GZ242" s="766"/>
      <c r="HA242" s="766"/>
      <c r="HB242" s="766"/>
      <c r="HC242" s="766"/>
      <c r="HD242" s="766"/>
      <c r="HE242" s="766"/>
      <c r="HF242" s="766"/>
      <c r="HG242" s="766"/>
      <c r="HH242" s="766"/>
      <c r="HI242" s="766"/>
      <c r="HJ242" s="766"/>
      <c r="HK242" s="766"/>
      <c r="HL242" s="766"/>
      <c r="HM242" s="766"/>
      <c r="HN242" s="766"/>
      <c r="HO242" s="766"/>
      <c r="HP242" s="766"/>
      <c r="HQ242" s="766"/>
      <c r="HR242" s="766"/>
      <c r="HS242" s="766"/>
      <c r="HT242" s="766"/>
      <c r="HU242" s="766"/>
      <c r="HV242" s="766"/>
      <c r="HW242" s="766"/>
      <c r="HX242" s="766"/>
      <c r="HY242" s="766"/>
      <c r="HZ242" s="766"/>
      <c r="IA242" s="766"/>
      <c r="IB242" s="14"/>
      <c r="IC242" s="14"/>
      <c r="ID242" s="14"/>
      <c r="IE242" s="14"/>
      <c r="IF242" s="766"/>
      <c r="IG242" s="766"/>
      <c r="IH242" s="766"/>
      <c r="II242" s="766"/>
      <c r="IJ242" s="766"/>
      <c r="IK242" s="766"/>
      <c r="IL242" s="766"/>
      <c r="IM242" s="766"/>
      <c r="IN242" s="766"/>
      <c r="IO242" s="24"/>
      <c r="IP242" s="766"/>
      <c r="IQ242" s="766"/>
      <c r="IR242" s="766"/>
      <c r="IS242" s="766"/>
      <c r="IT242" s="766"/>
      <c r="IU242" s="766"/>
      <c r="IV242" s="766"/>
      <c r="IW242" s="766"/>
      <c r="IX242" s="766"/>
      <c r="IY242" s="766"/>
      <c r="IZ242" s="766"/>
      <c r="JA242" s="766"/>
      <c r="JB242" s="766"/>
      <c r="JC242" s="766"/>
      <c r="JD242" s="775"/>
      <c r="JE242" s="766"/>
      <c r="JF242" s="766"/>
      <c r="JG242" s="766"/>
      <c r="JH242" s="766"/>
      <c r="JI242" s="766"/>
      <c r="JJ242" s="766"/>
      <c r="JK242" s="766"/>
      <c r="JL242" s="766"/>
      <c r="JM242" s="766"/>
      <c r="JN242" s="766"/>
      <c r="JO242" s="766"/>
      <c r="JP242" s="766"/>
      <c r="JQ242" s="766"/>
      <c r="JR242" s="766"/>
      <c r="JS242" s="766"/>
      <c r="JT242" s="766"/>
      <c r="JU242" s="766"/>
      <c r="JV242" s="766"/>
      <c r="JW242" s="766"/>
      <c r="JX242" s="766"/>
      <c r="JY242" s="766"/>
      <c r="JZ242" s="766"/>
      <c r="KA242" s="766"/>
      <c r="KB242" s="766"/>
      <c r="KC242" s="766"/>
      <c r="KD242" s="766"/>
      <c r="KE242" s="766"/>
      <c r="KF242" s="766"/>
      <c r="KG242" s="766"/>
      <c r="KH242" s="766"/>
      <c r="KI242" s="766"/>
      <c r="KJ242" s="770"/>
      <c r="KK242" s="770"/>
      <c r="KL242" s="770"/>
      <c r="KM242" s="770"/>
      <c r="KN242" s="766"/>
      <c r="KO242" s="28"/>
      <c r="KP242" s="766"/>
      <c r="KQ242" s="766"/>
      <c r="KR242" s="766"/>
      <c r="KS242" s="766"/>
      <c r="KT242" s="766"/>
      <c r="KU242" s="766"/>
      <c r="KV242" s="766"/>
      <c r="KW242" s="766"/>
      <c r="KX242" s="766"/>
      <c r="KY242" s="766"/>
      <c r="KZ242" s="766"/>
      <c r="LA242" s="766"/>
      <c r="LB242" s="766"/>
      <c r="LC242" s="766"/>
      <c r="LD242" s="766"/>
      <c r="LE242" s="766"/>
      <c r="LF242" s="766"/>
      <c r="LG242" s="766"/>
      <c r="LH242" s="766"/>
      <c r="LI242" s="766"/>
      <c r="LJ242" s="766"/>
      <c r="LK242" s="766"/>
      <c r="LL242" s="766"/>
      <c r="LM242" s="766"/>
      <c r="LN242" s="766"/>
      <c r="LO242" s="766"/>
      <c r="LP242" s="766"/>
      <c r="LQ242" s="1678"/>
      <c r="LR242" s="766"/>
      <c r="LS242" s="766"/>
      <c r="LT242" s="766"/>
      <c r="LU242" s="766"/>
      <c r="LV242" s="766"/>
      <c r="LW242" s="766"/>
      <c r="LX242" s="769"/>
      <c r="LY242" s="766" t="str">
        <f t="shared" si="72"/>
        <v/>
      </c>
      <c r="LZ242" s="121"/>
      <c r="MA242" s="66"/>
      <c r="MB242" s="66"/>
      <c r="MC242" s="1679">
        <f t="shared" si="70"/>
        <v>0</v>
      </c>
      <c r="MD242" s="66"/>
      <c r="ME242" s="66"/>
      <c r="MF242" s="66"/>
      <c r="MG242" s="1680">
        <f t="shared" si="48"/>
        <v>0</v>
      </c>
      <c r="MH242" s="1681"/>
      <c r="MI242" s="775"/>
      <c r="MJ242" s="775"/>
      <c r="MK242" s="775"/>
      <c r="ML242" s="775"/>
      <c r="MM242" s="775"/>
      <c r="MN242" s="775"/>
      <c r="MO242" s="775"/>
      <c r="MP242" s="775"/>
      <c r="MQ242" s="775"/>
      <c r="MR242" s="775"/>
      <c r="MS242" s="775"/>
      <c r="MT242" s="775"/>
      <c r="MU242" s="775"/>
      <c r="MV242" s="775"/>
      <c r="MW242" s="775"/>
      <c r="MX242" s="775"/>
      <c r="MY242" s="1682">
        <f t="shared" si="49"/>
        <v>0</v>
      </c>
      <c r="MZ242" s="766"/>
      <c r="NA242" s="766"/>
      <c r="NB242" s="766"/>
      <c r="NC242" s="766"/>
      <c r="ND242" s="766"/>
      <c r="NE242" s="766"/>
      <c r="NF242" s="766"/>
      <c r="NG242" s="766"/>
      <c r="NH242" s="766"/>
      <c r="NI242" s="766"/>
      <c r="NJ242" s="766"/>
      <c r="NK242" s="766"/>
      <c r="NL242" s="766"/>
      <c r="NM242" s="766"/>
      <c r="NN242" s="766"/>
      <c r="NO242" s="766"/>
      <c r="NP242" s="766"/>
      <c r="NQ242" s="766"/>
      <c r="NR242" s="766"/>
      <c r="NS242" s="766"/>
      <c r="NT242" s="766"/>
      <c r="NU242" s="766"/>
      <c r="NV242" s="766"/>
      <c r="NW242" s="766"/>
      <c r="NX242" s="766"/>
      <c r="NY242" s="766"/>
      <c r="NZ242" s="766"/>
      <c r="OA242" s="766"/>
      <c r="OB242" s="766"/>
      <c r="OC242" s="766"/>
      <c r="OD242" s="766"/>
      <c r="OE242" s="766"/>
      <c r="OF242" s="766"/>
      <c r="OG242" s="766"/>
      <c r="OH242" s="766"/>
      <c r="OI242" s="766"/>
      <c r="OJ242" s="766"/>
      <c r="OK242" s="766"/>
      <c r="OL242" s="766"/>
      <c r="OM242" s="766"/>
      <c r="ON242" s="766"/>
      <c r="OO242" s="766"/>
      <c r="OP242" s="766"/>
      <c r="OQ242" s="766"/>
      <c r="OR242" s="766"/>
      <c r="OS242" s="766"/>
      <c r="OT242" s="766"/>
      <c r="OU242" s="766"/>
      <c r="OV242" s="766"/>
      <c r="OW242" s="766"/>
      <c r="OX242" s="766"/>
      <c r="OY242" s="766"/>
      <c r="OZ242" s="766"/>
      <c r="PA242" s="766"/>
      <c r="PB242" s="766"/>
      <c r="PC242" s="766"/>
      <c r="PD242" s="766"/>
      <c r="PE242" s="766"/>
      <c r="PF242" s="766"/>
      <c r="PG242" s="766"/>
      <c r="PH242" s="766"/>
      <c r="PI242" s="766"/>
      <c r="PJ242" s="766"/>
      <c r="PK242" s="766"/>
      <c r="PL242" s="766"/>
      <c r="PM242" s="766"/>
      <c r="PN242" s="766"/>
      <c r="PO242" s="766"/>
      <c r="PP242" s="766"/>
      <c r="PQ242" s="766"/>
      <c r="PR242" s="766"/>
      <c r="PS242" s="766"/>
      <c r="PT242" s="766"/>
      <c r="PU242" s="766"/>
      <c r="PV242" s="766"/>
      <c r="PW242" s="766"/>
      <c r="PX242" s="766"/>
      <c r="PY242" s="766"/>
      <c r="PZ242" s="766"/>
      <c r="QA242" s="766"/>
      <c r="QB242" s="766"/>
      <c r="QC242" s="766"/>
      <c r="QD242" s="766"/>
      <c r="QE242" s="766"/>
      <c r="QF242" s="766"/>
      <c r="QG242" s="766"/>
      <c r="QH242" s="766"/>
      <c r="QI242" s="766"/>
      <c r="QJ242" s="766"/>
      <c r="QK242" s="766"/>
      <c r="QL242" s="766"/>
      <c r="QM242" s="766"/>
      <c r="QN242" s="766"/>
      <c r="QO242" s="766"/>
      <c r="QP242" s="766"/>
      <c r="QQ242" s="766"/>
      <c r="QR242" s="766"/>
      <c r="QS242" s="766"/>
      <c r="QT242" s="766"/>
      <c r="QU242" s="766"/>
      <c r="QV242" s="766"/>
      <c r="QW242" s="766"/>
      <c r="QX242" s="766"/>
      <c r="QY242" s="766"/>
      <c r="QZ242" s="766"/>
      <c r="RA242" s="766"/>
      <c r="RB242" s="766"/>
      <c r="RC242" s="766"/>
      <c r="RD242" s="766"/>
      <c r="RE242" s="766"/>
      <c r="RF242" s="777"/>
      <c r="RG242" s="766"/>
      <c r="RH242" s="775"/>
      <c r="RI242" s="766"/>
      <c r="RJ242" s="766"/>
      <c r="RK242" s="766"/>
      <c r="RL242" s="1683"/>
      <c r="RM242" s="12"/>
      <c r="RN242" s="1711"/>
      <c r="RO242" s="148" t="s">
        <v>11877</v>
      </c>
      <c r="RP242" s="11"/>
      <c r="RQ242" s="11"/>
      <c r="RR242" s="771"/>
      <c r="RS242" s="766"/>
      <c r="RT242" s="11"/>
      <c r="RU242" s="11"/>
      <c r="RV242" s="766" t="s">
        <v>7419</v>
      </c>
      <c r="RW242" s="11" t="s">
        <v>7604</v>
      </c>
      <c r="RX242" s="11" t="s">
        <v>422</v>
      </c>
      <c r="RY242" s="11"/>
      <c r="RZ242" s="11"/>
      <c r="SA242" s="766"/>
      <c r="SB242" s="11"/>
      <c r="SC242" s="11"/>
    </row>
    <row r="243" spans="1:497" ht="12.75" hidden="1" customHeight="1">
      <c r="A243" s="154" t="s">
        <v>14160</v>
      </c>
      <c r="B243" s="750"/>
      <c r="C243" s="148" t="s">
        <v>11878</v>
      </c>
      <c r="D243" s="766" t="s">
        <v>11872</v>
      </c>
      <c r="E243" s="766" t="s">
        <v>5846</v>
      </c>
      <c r="F243" s="766"/>
      <c r="G243" s="766"/>
      <c r="H243" s="766"/>
      <c r="I243" s="5"/>
      <c r="J243" s="14"/>
      <c r="K243" s="766"/>
      <c r="L243" s="766"/>
      <c r="M243" s="766"/>
      <c r="N243" s="766"/>
      <c r="O243" s="766"/>
      <c r="P243" s="766"/>
      <c r="Q243" s="1085"/>
      <c r="R243" s="25"/>
      <c r="S243" s="770"/>
      <c r="T243" s="766"/>
      <c r="U243" s="26"/>
      <c r="V243" s="766"/>
      <c r="W243" s="766"/>
      <c r="X243" s="24"/>
      <c r="Y243" s="766"/>
      <c r="Z243" s="766"/>
      <c r="AA243" s="766"/>
      <c r="AB243" s="766"/>
      <c r="AC243" s="766"/>
      <c r="AD243" s="766"/>
      <c r="AE243" s="766"/>
      <c r="AF243" s="766"/>
      <c r="AG243" s="766"/>
      <c r="AH243" s="766"/>
      <c r="AI243" s="766"/>
      <c r="AJ243" s="766"/>
      <c r="AK243" s="766"/>
      <c r="AL243" s="772">
        <v>1688.2</v>
      </c>
      <c r="AM243" s="772">
        <v>1688.2</v>
      </c>
      <c r="AN243" s="774">
        <v>1</v>
      </c>
      <c r="AO243" s="766" t="s">
        <v>1122</v>
      </c>
      <c r="AP243" s="766"/>
      <c r="AQ243" s="766"/>
      <c r="AR243" s="766"/>
      <c r="AS243" s="766"/>
      <c r="AT243" s="766"/>
      <c r="AU243" s="766"/>
      <c r="AV243" s="766"/>
      <c r="AW243" s="766"/>
      <c r="AX243" s="766"/>
      <c r="AY243" s="766"/>
      <c r="AZ243" s="766"/>
      <c r="BA243" s="766"/>
      <c r="BB243" s="766"/>
      <c r="BC243" s="766"/>
      <c r="BD243" s="766"/>
      <c r="BE243" s="766"/>
      <c r="BF243" s="775"/>
      <c r="BG243" s="775"/>
      <c r="BH243" s="766"/>
      <c r="BI243" s="766"/>
      <c r="BJ243" s="766"/>
      <c r="BK243" s="766"/>
      <c r="BL243" s="766"/>
      <c r="BM243" s="766"/>
      <c r="BN243" s="766"/>
      <c r="BO243" s="766"/>
      <c r="BP243" s="773">
        <f t="shared" si="73"/>
        <v>1688.2</v>
      </c>
      <c r="BQ243" s="773">
        <f t="shared" si="73"/>
        <v>1688.2</v>
      </c>
      <c r="BR243" s="774">
        <f t="shared" si="73"/>
        <v>1</v>
      </c>
      <c r="BS243" s="766" t="s">
        <v>1257</v>
      </c>
      <c r="BT243" s="766"/>
      <c r="BU243" s="766"/>
      <c r="BV243" s="766"/>
      <c r="BW243" s="769"/>
      <c r="BX243" s="775"/>
      <c r="BY243" s="766"/>
      <c r="BZ243" s="775"/>
      <c r="CA243" s="766"/>
      <c r="CB243" s="766"/>
      <c r="CC243" s="766"/>
      <c r="CD243" s="766"/>
      <c r="CE243" s="766"/>
      <c r="CF243" s="777"/>
      <c r="CG243" s="231"/>
      <c r="CH243" s="766"/>
      <c r="CI243" s="766"/>
      <c r="CJ243" s="766"/>
      <c r="CK243" s="766"/>
      <c r="CL243" s="766"/>
      <c r="CM243" s="766"/>
      <c r="CN243" s="766"/>
      <c r="CO243" s="766"/>
      <c r="CP243" s="766"/>
      <c r="CQ243" s="766"/>
      <c r="CR243" s="775"/>
      <c r="CS243" s="766"/>
      <c r="CT243" s="766"/>
      <c r="CU243" s="129"/>
      <c r="CV243" s="766"/>
      <c r="CW243" s="766"/>
      <c r="CX243" s="766"/>
      <c r="CY243" s="766"/>
      <c r="CZ243" s="766"/>
      <c r="DA243" s="66"/>
      <c r="DB243" s="766"/>
      <c r="DC243" s="766"/>
      <c r="DD243" s="766"/>
      <c r="DE243" s="772"/>
      <c r="DF243" s="766"/>
      <c r="DG243" s="766"/>
      <c r="DH243" s="766"/>
      <c r="DI243" s="766"/>
      <c r="DJ243" s="766"/>
      <c r="DK243" s="766"/>
      <c r="DL243" s="766"/>
      <c r="DM243" s="766"/>
      <c r="DN243" s="44"/>
      <c r="DO243" s="766"/>
      <c r="DP243" s="766"/>
      <c r="DQ243" s="766"/>
      <c r="DR243" s="766"/>
      <c r="DS243" s="59"/>
      <c r="DT243" s="766"/>
      <c r="DU243" s="766"/>
      <c r="DV243" s="766"/>
      <c r="DW243" s="66"/>
      <c r="DX243" s="66"/>
      <c r="DY243" s="766"/>
      <c r="DZ243" s="766"/>
      <c r="EA243" s="766"/>
      <c r="EB243" s="766"/>
      <c r="EC243" s="766"/>
      <c r="ED243" s="766"/>
      <c r="EE243" s="766"/>
      <c r="EF243" s="766"/>
      <c r="EG243" s="766"/>
      <c r="EH243" s="766"/>
      <c r="EI243" s="766"/>
      <c r="EJ243" s="766"/>
      <c r="EK243" s="766"/>
      <c r="EL243" s="766"/>
      <c r="EM243" s="766"/>
      <c r="EN243" s="766"/>
      <c r="EO243" s="766"/>
      <c r="EP243" s="14"/>
      <c r="EQ243" s="766"/>
      <c r="ER243" s="766"/>
      <c r="ES243" s="766"/>
      <c r="ET243" s="766"/>
      <c r="EU243" s="766"/>
      <c r="EV243" s="766"/>
      <c r="EW243" s="766"/>
      <c r="EX243" s="766"/>
      <c r="EY243" s="766"/>
      <c r="EZ243" s="766"/>
      <c r="FA243" s="766"/>
      <c r="FB243" s="766"/>
      <c r="FC243" s="766"/>
      <c r="FD243" s="775"/>
      <c r="FE243" s="766"/>
      <c r="FF243" s="766"/>
      <c r="FG243" s="766"/>
      <c r="FH243" s="766"/>
      <c r="FI243" s="766"/>
      <c r="FJ243" s="766"/>
      <c r="FK243" s="766"/>
      <c r="FL243" s="766"/>
      <c r="FM243" s="775"/>
      <c r="FN243" s="775"/>
      <c r="FO243" s="775"/>
      <c r="FP243" s="766"/>
      <c r="FQ243" s="766"/>
      <c r="FR243" s="766"/>
      <c r="FS243" s="766"/>
      <c r="FT243" s="766"/>
      <c r="FU243" s="766"/>
      <c r="FV243" s="766"/>
      <c r="FW243" s="766"/>
      <c r="FX243" s="766"/>
      <c r="FY243" s="766"/>
      <c r="FZ243" s="766"/>
      <c r="GA243" s="766"/>
      <c r="GB243" s="766"/>
      <c r="GC243" s="75"/>
      <c r="GD243" s="25"/>
      <c r="GE243" s="766"/>
      <c r="GF243" s="775"/>
      <c r="GG243" s="775"/>
      <c r="GH243" s="766"/>
      <c r="GI243" s="766"/>
      <c r="GJ243" s="766"/>
      <c r="GK243" s="766"/>
      <c r="GL243" s="766"/>
      <c r="GM243" s="766"/>
      <c r="GN243" s="82"/>
      <c r="GO243" s="766"/>
      <c r="GP243" s="766"/>
      <c r="GQ243" s="766"/>
      <c r="GR243" s="766"/>
      <c r="GS243" s="766"/>
      <c r="GT243" s="766"/>
      <c r="GU243" s="766"/>
      <c r="GV243" s="766"/>
      <c r="GW243" s="766"/>
      <c r="GX243" s="766"/>
      <c r="GY243" s="766"/>
      <c r="GZ243" s="766"/>
      <c r="HA243" s="766"/>
      <c r="HB243" s="766"/>
      <c r="HC243" s="766"/>
      <c r="HD243" s="766"/>
      <c r="HE243" s="766"/>
      <c r="HF243" s="766"/>
      <c r="HG243" s="766"/>
      <c r="HH243" s="766"/>
      <c r="HI243" s="766"/>
      <c r="HJ243" s="766"/>
      <c r="HK243" s="766"/>
      <c r="HL243" s="766"/>
      <c r="HM243" s="766"/>
      <c r="HN243" s="766"/>
      <c r="HO243" s="766"/>
      <c r="HP243" s="766"/>
      <c r="HQ243" s="766"/>
      <c r="HR243" s="766"/>
      <c r="HS243" s="766"/>
      <c r="HT243" s="766"/>
      <c r="HU243" s="766"/>
      <c r="HV243" s="766"/>
      <c r="HW243" s="766"/>
      <c r="HX243" s="766"/>
      <c r="HY243" s="766"/>
      <c r="HZ243" s="766"/>
      <c r="IA243" s="766"/>
      <c r="IB243" s="14"/>
      <c r="IC243" s="14"/>
      <c r="ID243" s="14"/>
      <c r="IE243" s="14"/>
      <c r="IF243" s="766"/>
      <c r="IG243" s="766"/>
      <c r="IH243" s="766"/>
      <c r="II243" s="766"/>
      <c r="IJ243" s="766"/>
      <c r="IK243" s="766"/>
      <c r="IL243" s="766"/>
      <c r="IM243" s="766"/>
      <c r="IN243" s="766"/>
      <c r="IO243" s="24"/>
      <c r="IP243" s="766"/>
      <c r="IQ243" s="766"/>
      <c r="IR243" s="766"/>
      <c r="IS243" s="766"/>
      <c r="IT243" s="766"/>
      <c r="IU243" s="766"/>
      <c r="IV243" s="766"/>
      <c r="IW243" s="766"/>
      <c r="IX243" s="766"/>
      <c r="IY243" s="766"/>
      <c r="IZ243" s="766"/>
      <c r="JA243" s="766"/>
      <c r="JB243" s="766"/>
      <c r="JC243" s="766"/>
      <c r="JD243" s="775"/>
      <c r="JE243" s="766"/>
      <c r="JF243" s="766"/>
      <c r="JG243" s="766"/>
      <c r="JH243" s="766"/>
      <c r="JI243" s="766"/>
      <c r="JJ243" s="766"/>
      <c r="JK243" s="766"/>
      <c r="JL243" s="766"/>
      <c r="JM243" s="766"/>
      <c r="JN243" s="766"/>
      <c r="JO243" s="766"/>
      <c r="JP243" s="766"/>
      <c r="JQ243" s="766"/>
      <c r="JR243" s="766"/>
      <c r="JS243" s="766"/>
      <c r="JT243" s="766"/>
      <c r="JU243" s="766"/>
      <c r="JV243" s="766"/>
      <c r="JW243" s="766"/>
      <c r="JX243" s="766"/>
      <c r="JY243" s="766"/>
      <c r="JZ243" s="766"/>
      <c r="KA243" s="766"/>
      <c r="KB243" s="766"/>
      <c r="KC243" s="766"/>
      <c r="KD243" s="766"/>
      <c r="KE243" s="766"/>
      <c r="KF243" s="766"/>
      <c r="KG243" s="766"/>
      <c r="KH243" s="766"/>
      <c r="KI243" s="766"/>
      <c r="KJ243" s="770"/>
      <c r="KK243" s="770"/>
      <c r="KL243" s="770"/>
      <c r="KM243" s="770"/>
      <c r="KN243" s="766"/>
      <c r="KO243" s="28"/>
      <c r="KP243" s="766"/>
      <c r="KQ243" s="766"/>
      <c r="KR243" s="766"/>
      <c r="KS243" s="766"/>
      <c r="KT243" s="766"/>
      <c r="KU243" s="766"/>
      <c r="KV243" s="766"/>
      <c r="KW243" s="766"/>
      <c r="KX243" s="766"/>
      <c r="KY243" s="766"/>
      <c r="KZ243" s="766"/>
      <c r="LA243" s="766"/>
      <c r="LB243" s="766"/>
      <c r="LC243" s="766"/>
      <c r="LD243" s="766"/>
      <c r="LE243" s="766"/>
      <c r="LF243" s="766"/>
      <c r="LG243" s="766"/>
      <c r="LH243" s="766"/>
      <c r="LI243" s="766"/>
      <c r="LJ243" s="766"/>
      <c r="LK243" s="766"/>
      <c r="LL243" s="766"/>
      <c r="LM243" s="766"/>
      <c r="LN243" s="766"/>
      <c r="LO243" s="766"/>
      <c r="LP243" s="766"/>
      <c r="LQ243" s="1678"/>
      <c r="LR243" s="766"/>
      <c r="LS243" s="766"/>
      <c r="LT243" s="766"/>
      <c r="LU243" s="766"/>
      <c r="LV243" s="766"/>
      <c r="LW243" s="766"/>
      <c r="LX243" s="769"/>
      <c r="LY243" s="766" t="str">
        <f t="shared" si="72"/>
        <v/>
      </c>
      <c r="LZ243" s="121"/>
      <c r="MA243" s="66"/>
      <c r="MB243" s="66"/>
      <c r="MC243" s="1679">
        <f t="shared" si="70"/>
        <v>0</v>
      </c>
      <c r="MD243" s="66"/>
      <c r="ME243" s="66"/>
      <c r="MF243" s="66"/>
      <c r="MG243" s="1680">
        <f t="shared" si="48"/>
        <v>0</v>
      </c>
      <c r="MH243" s="1681"/>
      <c r="MI243" s="775"/>
      <c r="MJ243" s="775"/>
      <c r="MK243" s="775"/>
      <c r="ML243" s="775"/>
      <c r="MM243" s="775"/>
      <c r="MN243" s="775"/>
      <c r="MO243" s="775"/>
      <c r="MP243" s="775"/>
      <c r="MQ243" s="775"/>
      <c r="MR243" s="775"/>
      <c r="MS243" s="775"/>
      <c r="MT243" s="775"/>
      <c r="MU243" s="775"/>
      <c r="MV243" s="775"/>
      <c r="MW243" s="775"/>
      <c r="MX243" s="775"/>
      <c r="MY243" s="1682">
        <f t="shared" si="49"/>
        <v>0</v>
      </c>
      <c r="MZ243" s="766"/>
      <c r="NA243" s="766"/>
      <c r="NB243" s="766"/>
      <c r="NC243" s="766"/>
      <c r="ND243" s="766"/>
      <c r="NE243" s="766"/>
      <c r="NF243" s="766"/>
      <c r="NG243" s="766"/>
      <c r="NH243" s="766"/>
      <c r="NI243" s="766"/>
      <c r="NJ243" s="766"/>
      <c r="NK243" s="766"/>
      <c r="NL243" s="766"/>
      <c r="NM243" s="766"/>
      <c r="NN243" s="766"/>
      <c r="NO243" s="766"/>
      <c r="NP243" s="766"/>
      <c r="NQ243" s="766"/>
      <c r="NR243" s="766"/>
      <c r="NS243" s="766"/>
      <c r="NT243" s="766"/>
      <c r="NU243" s="766"/>
      <c r="NV243" s="766"/>
      <c r="NW243" s="766"/>
      <c r="NX243" s="766"/>
      <c r="NY243" s="766"/>
      <c r="NZ243" s="766"/>
      <c r="OA243" s="766"/>
      <c r="OB243" s="766"/>
      <c r="OC243" s="766"/>
      <c r="OD243" s="766"/>
      <c r="OE243" s="766"/>
      <c r="OF243" s="766"/>
      <c r="OG243" s="766"/>
      <c r="OH243" s="766"/>
      <c r="OI243" s="766"/>
      <c r="OJ243" s="766"/>
      <c r="OK243" s="766"/>
      <c r="OL243" s="766"/>
      <c r="OM243" s="766"/>
      <c r="ON243" s="766"/>
      <c r="OO243" s="766"/>
      <c r="OP243" s="766"/>
      <c r="OQ243" s="766"/>
      <c r="OR243" s="766"/>
      <c r="OS243" s="766"/>
      <c r="OT243" s="766"/>
      <c r="OU243" s="766"/>
      <c r="OV243" s="766"/>
      <c r="OW243" s="766"/>
      <c r="OX243" s="766"/>
      <c r="OY243" s="766"/>
      <c r="OZ243" s="766"/>
      <c r="PA243" s="766"/>
      <c r="PB243" s="766"/>
      <c r="PC243" s="766"/>
      <c r="PD243" s="766"/>
      <c r="PE243" s="766"/>
      <c r="PF243" s="766"/>
      <c r="PG243" s="766"/>
      <c r="PH243" s="766"/>
      <c r="PI243" s="766"/>
      <c r="PJ243" s="766"/>
      <c r="PK243" s="766"/>
      <c r="PL243" s="766"/>
      <c r="PM243" s="766"/>
      <c r="PN243" s="766"/>
      <c r="PO243" s="766"/>
      <c r="PP243" s="766"/>
      <c r="PQ243" s="766"/>
      <c r="PR243" s="766"/>
      <c r="PS243" s="766"/>
      <c r="PT243" s="766"/>
      <c r="PU243" s="766"/>
      <c r="PV243" s="766"/>
      <c r="PW243" s="766"/>
      <c r="PX243" s="766"/>
      <c r="PY243" s="766"/>
      <c r="PZ243" s="766"/>
      <c r="QA243" s="766"/>
      <c r="QB243" s="766"/>
      <c r="QC243" s="766"/>
      <c r="QD243" s="766"/>
      <c r="QE243" s="766"/>
      <c r="QF243" s="766"/>
      <c r="QG243" s="766"/>
      <c r="QH243" s="766"/>
      <c r="QI243" s="766"/>
      <c r="QJ243" s="766"/>
      <c r="QK243" s="766"/>
      <c r="QL243" s="766"/>
      <c r="QM243" s="766"/>
      <c r="QN243" s="766"/>
      <c r="QO243" s="766"/>
      <c r="QP243" s="766"/>
      <c r="QQ243" s="766"/>
      <c r="QR243" s="766"/>
      <c r="QS243" s="766"/>
      <c r="QT243" s="766"/>
      <c r="QU243" s="766"/>
      <c r="QV243" s="766"/>
      <c r="QW243" s="766"/>
      <c r="QX243" s="766"/>
      <c r="QY243" s="766"/>
      <c r="QZ243" s="766"/>
      <c r="RA243" s="766"/>
      <c r="RB243" s="766"/>
      <c r="RC243" s="766"/>
      <c r="RD243" s="766"/>
      <c r="RE243" s="766"/>
      <c r="RF243" s="777"/>
      <c r="RG243" s="766"/>
      <c r="RH243" s="775"/>
      <c r="RI243" s="766"/>
      <c r="RJ243" s="766"/>
      <c r="RK243" s="766"/>
      <c r="RL243" s="1683"/>
      <c r="RM243" s="12"/>
      <c r="RN243" s="1711"/>
      <c r="RO243" s="148" t="s">
        <v>11878</v>
      </c>
      <c r="RP243" s="11"/>
      <c r="RQ243" s="11"/>
      <c r="RR243" s="771"/>
      <c r="RS243" s="766"/>
      <c r="RT243" s="11"/>
      <c r="RU243" s="11"/>
      <c r="RV243" s="766"/>
      <c r="RW243" s="11"/>
      <c r="RX243" s="11" t="s">
        <v>11870</v>
      </c>
      <c r="RY243" s="11"/>
      <c r="RZ243" s="11"/>
      <c r="SA243" s="766"/>
      <c r="SB243" s="11"/>
      <c r="SC243" s="11"/>
    </row>
    <row r="244" spans="1:497" ht="12.75" hidden="1" customHeight="1">
      <c r="A244" s="154" t="s">
        <v>14160</v>
      </c>
      <c r="B244" s="750"/>
      <c r="C244" s="148" t="s">
        <v>11879</v>
      </c>
      <c r="D244" s="766" t="s">
        <v>11873</v>
      </c>
      <c r="E244" s="766" t="s">
        <v>5846</v>
      </c>
      <c r="F244" s="766"/>
      <c r="G244" s="766"/>
      <c r="H244" s="766"/>
      <c r="I244" s="5"/>
      <c r="J244" s="14"/>
      <c r="K244" s="766"/>
      <c r="L244" s="766"/>
      <c r="M244" s="766"/>
      <c r="N244" s="766"/>
      <c r="O244" s="766"/>
      <c r="P244" s="766"/>
      <c r="Q244" s="1085"/>
      <c r="R244" s="25"/>
      <c r="S244" s="770"/>
      <c r="T244" s="766"/>
      <c r="U244" s="26"/>
      <c r="V244" s="766"/>
      <c r="W244" s="766"/>
      <c r="X244" s="24"/>
      <c r="Y244" s="766"/>
      <c r="Z244" s="766"/>
      <c r="AA244" s="766"/>
      <c r="AB244" s="766"/>
      <c r="AC244" s="766"/>
      <c r="AD244" s="766"/>
      <c r="AE244" s="766"/>
      <c r="AF244" s="766"/>
      <c r="AG244" s="766"/>
      <c r="AH244" s="766"/>
      <c r="AI244" s="766"/>
      <c r="AJ244" s="766"/>
      <c r="AK244" s="766"/>
      <c r="AL244" s="772">
        <v>133.21199999999999</v>
      </c>
      <c r="AM244" s="772">
        <v>133.21199999999999</v>
      </c>
      <c r="AN244" s="774">
        <v>1</v>
      </c>
      <c r="AO244" s="766" t="s">
        <v>1122</v>
      </c>
      <c r="AP244" s="766"/>
      <c r="AQ244" s="766"/>
      <c r="AR244" s="766"/>
      <c r="AS244" s="766"/>
      <c r="AT244" s="766"/>
      <c r="AU244" s="766"/>
      <c r="AV244" s="766"/>
      <c r="AW244" s="766"/>
      <c r="AX244" s="766"/>
      <c r="AY244" s="766"/>
      <c r="AZ244" s="766"/>
      <c r="BA244" s="766"/>
      <c r="BB244" s="766"/>
      <c r="BC244" s="766"/>
      <c r="BD244" s="766"/>
      <c r="BE244" s="766"/>
      <c r="BF244" s="775"/>
      <c r="BG244" s="775"/>
      <c r="BH244" s="766"/>
      <c r="BI244" s="766"/>
      <c r="BJ244" s="766"/>
      <c r="BK244" s="766"/>
      <c r="BL244" s="766"/>
      <c r="BM244" s="766"/>
      <c r="BN244" s="766"/>
      <c r="BO244" s="766"/>
      <c r="BP244" s="773">
        <f t="shared" si="73"/>
        <v>133.21199999999999</v>
      </c>
      <c r="BQ244" s="773">
        <f t="shared" si="73"/>
        <v>133.21199999999999</v>
      </c>
      <c r="BR244" s="774">
        <f t="shared" si="73"/>
        <v>1</v>
      </c>
      <c r="BS244" s="766" t="s">
        <v>1257</v>
      </c>
      <c r="BT244" s="766"/>
      <c r="BU244" s="766"/>
      <c r="BV244" s="766"/>
      <c r="BW244" s="769"/>
      <c r="BX244" s="775"/>
      <c r="BY244" s="766"/>
      <c r="BZ244" s="775"/>
      <c r="CA244" s="766"/>
      <c r="CB244" s="766"/>
      <c r="CC244" s="766"/>
      <c r="CD244" s="766"/>
      <c r="CE244" s="766"/>
      <c r="CF244" s="777"/>
      <c r="CG244" s="231"/>
      <c r="CH244" s="766"/>
      <c r="CI244" s="766"/>
      <c r="CJ244" s="766"/>
      <c r="CK244" s="766"/>
      <c r="CL244" s="766"/>
      <c r="CM244" s="766"/>
      <c r="CN244" s="766"/>
      <c r="CO244" s="766"/>
      <c r="CP244" s="766"/>
      <c r="CQ244" s="766"/>
      <c r="CR244" s="775"/>
      <c r="CS244" s="766"/>
      <c r="CT244" s="766"/>
      <c r="CU244" s="129"/>
      <c r="CV244" s="766"/>
      <c r="CW244" s="766"/>
      <c r="CX244" s="766"/>
      <c r="CY244" s="766"/>
      <c r="CZ244" s="766"/>
      <c r="DA244" s="66"/>
      <c r="DB244" s="766"/>
      <c r="DC244" s="766"/>
      <c r="DD244" s="766"/>
      <c r="DE244" s="772"/>
      <c r="DF244" s="766"/>
      <c r="DG244" s="766"/>
      <c r="DH244" s="766"/>
      <c r="DI244" s="766"/>
      <c r="DJ244" s="766"/>
      <c r="DK244" s="766"/>
      <c r="DL244" s="766"/>
      <c r="DM244" s="766"/>
      <c r="DN244" s="44"/>
      <c r="DO244" s="766"/>
      <c r="DP244" s="766"/>
      <c r="DQ244" s="766"/>
      <c r="DR244" s="766"/>
      <c r="DS244" s="59"/>
      <c r="DT244" s="766"/>
      <c r="DU244" s="766"/>
      <c r="DV244" s="766"/>
      <c r="DW244" s="66"/>
      <c r="DX244" s="66"/>
      <c r="DY244" s="766"/>
      <c r="DZ244" s="766"/>
      <c r="EA244" s="766"/>
      <c r="EB244" s="766"/>
      <c r="EC244" s="766"/>
      <c r="ED244" s="766"/>
      <c r="EE244" s="766"/>
      <c r="EF244" s="766"/>
      <c r="EG244" s="766"/>
      <c r="EH244" s="766"/>
      <c r="EI244" s="766"/>
      <c r="EJ244" s="766"/>
      <c r="EK244" s="766"/>
      <c r="EL244" s="766"/>
      <c r="EM244" s="766"/>
      <c r="EN244" s="766"/>
      <c r="EO244" s="766"/>
      <c r="EP244" s="14"/>
      <c r="EQ244" s="766"/>
      <c r="ER244" s="766"/>
      <c r="ES244" s="766"/>
      <c r="ET244" s="766"/>
      <c r="EU244" s="766"/>
      <c r="EV244" s="766"/>
      <c r="EW244" s="766"/>
      <c r="EX244" s="766"/>
      <c r="EY244" s="766"/>
      <c r="EZ244" s="766"/>
      <c r="FA244" s="766"/>
      <c r="FB244" s="766"/>
      <c r="FC244" s="766"/>
      <c r="FD244" s="775"/>
      <c r="FE244" s="766"/>
      <c r="FF244" s="766"/>
      <c r="FG244" s="766"/>
      <c r="FH244" s="766"/>
      <c r="FI244" s="766"/>
      <c r="FJ244" s="766"/>
      <c r="FK244" s="766"/>
      <c r="FL244" s="766"/>
      <c r="FM244" s="775"/>
      <c r="FN244" s="775"/>
      <c r="FO244" s="775"/>
      <c r="FP244" s="766"/>
      <c r="FQ244" s="766"/>
      <c r="FR244" s="766"/>
      <c r="FS244" s="766"/>
      <c r="FT244" s="766"/>
      <c r="FU244" s="766"/>
      <c r="FV244" s="766"/>
      <c r="FW244" s="766"/>
      <c r="FX244" s="766"/>
      <c r="FY244" s="766"/>
      <c r="FZ244" s="766"/>
      <c r="GA244" s="766"/>
      <c r="GB244" s="766"/>
      <c r="GC244" s="75"/>
      <c r="GD244" s="25"/>
      <c r="GE244" s="766"/>
      <c r="GF244" s="775"/>
      <c r="GG244" s="775"/>
      <c r="GH244" s="766"/>
      <c r="GI244" s="766"/>
      <c r="GJ244" s="766"/>
      <c r="GK244" s="766"/>
      <c r="GL244" s="766"/>
      <c r="GM244" s="766"/>
      <c r="GN244" s="82"/>
      <c r="GO244" s="766"/>
      <c r="GP244" s="766"/>
      <c r="GQ244" s="766"/>
      <c r="GR244" s="766"/>
      <c r="GS244" s="766"/>
      <c r="GT244" s="766"/>
      <c r="GU244" s="766"/>
      <c r="GV244" s="766"/>
      <c r="GW244" s="766"/>
      <c r="GX244" s="766"/>
      <c r="GY244" s="766"/>
      <c r="GZ244" s="766"/>
      <c r="HA244" s="766"/>
      <c r="HB244" s="766"/>
      <c r="HC244" s="766"/>
      <c r="HD244" s="766"/>
      <c r="HE244" s="766"/>
      <c r="HF244" s="766"/>
      <c r="HG244" s="766"/>
      <c r="HH244" s="766"/>
      <c r="HI244" s="766"/>
      <c r="HJ244" s="766"/>
      <c r="HK244" s="766"/>
      <c r="HL244" s="766"/>
      <c r="HM244" s="766"/>
      <c r="HN244" s="766"/>
      <c r="HO244" s="766"/>
      <c r="HP244" s="766"/>
      <c r="HQ244" s="766"/>
      <c r="HR244" s="766"/>
      <c r="HS244" s="766"/>
      <c r="HT244" s="766"/>
      <c r="HU244" s="766"/>
      <c r="HV244" s="766"/>
      <c r="HW244" s="766"/>
      <c r="HX244" s="766"/>
      <c r="HY244" s="766"/>
      <c r="HZ244" s="766"/>
      <c r="IA244" s="766"/>
      <c r="IB244" s="14"/>
      <c r="IC244" s="14"/>
      <c r="ID244" s="14"/>
      <c r="IE244" s="14"/>
      <c r="IF244" s="766"/>
      <c r="IG244" s="766"/>
      <c r="IH244" s="766"/>
      <c r="II244" s="766"/>
      <c r="IJ244" s="766"/>
      <c r="IK244" s="766"/>
      <c r="IL244" s="766"/>
      <c r="IM244" s="766"/>
      <c r="IN244" s="766"/>
      <c r="IO244" s="24"/>
      <c r="IP244" s="766"/>
      <c r="IQ244" s="766"/>
      <c r="IR244" s="766"/>
      <c r="IS244" s="766"/>
      <c r="IT244" s="766"/>
      <c r="IU244" s="766"/>
      <c r="IV244" s="766"/>
      <c r="IW244" s="766"/>
      <c r="IX244" s="766"/>
      <c r="IY244" s="766"/>
      <c r="IZ244" s="766"/>
      <c r="JA244" s="766"/>
      <c r="JB244" s="766"/>
      <c r="JC244" s="766"/>
      <c r="JD244" s="775"/>
      <c r="JE244" s="766"/>
      <c r="JF244" s="766"/>
      <c r="JG244" s="766"/>
      <c r="JH244" s="766"/>
      <c r="JI244" s="766"/>
      <c r="JJ244" s="766"/>
      <c r="JK244" s="766"/>
      <c r="JL244" s="766"/>
      <c r="JM244" s="766"/>
      <c r="JN244" s="766"/>
      <c r="JO244" s="766"/>
      <c r="JP244" s="766"/>
      <c r="JQ244" s="766"/>
      <c r="JR244" s="766"/>
      <c r="JS244" s="766"/>
      <c r="JT244" s="766"/>
      <c r="JU244" s="766"/>
      <c r="JV244" s="766"/>
      <c r="JW244" s="766"/>
      <c r="JX244" s="766"/>
      <c r="JY244" s="766"/>
      <c r="JZ244" s="766"/>
      <c r="KA244" s="766"/>
      <c r="KB244" s="766"/>
      <c r="KC244" s="766"/>
      <c r="KD244" s="766"/>
      <c r="KE244" s="766"/>
      <c r="KF244" s="766"/>
      <c r="KG244" s="766"/>
      <c r="KH244" s="766"/>
      <c r="KI244" s="766"/>
      <c r="KJ244" s="770"/>
      <c r="KK244" s="770"/>
      <c r="KL244" s="770"/>
      <c r="KM244" s="770"/>
      <c r="KN244" s="766"/>
      <c r="KO244" s="28"/>
      <c r="KP244" s="766"/>
      <c r="KQ244" s="766"/>
      <c r="KR244" s="766"/>
      <c r="KS244" s="766"/>
      <c r="KT244" s="766"/>
      <c r="KU244" s="766"/>
      <c r="KV244" s="766"/>
      <c r="KW244" s="766"/>
      <c r="KX244" s="766"/>
      <c r="KY244" s="766"/>
      <c r="KZ244" s="766"/>
      <c r="LA244" s="766"/>
      <c r="LB244" s="766"/>
      <c r="LC244" s="766"/>
      <c r="LD244" s="766"/>
      <c r="LE244" s="766"/>
      <c r="LF244" s="766"/>
      <c r="LG244" s="766"/>
      <c r="LH244" s="766"/>
      <c r="LI244" s="766"/>
      <c r="LJ244" s="766"/>
      <c r="LK244" s="766"/>
      <c r="LL244" s="766"/>
      <c r="LM244" s="766"/>
      <c r="LN244" s="766"/>
      <c r="LO244" s="766"/>
      <c r="LP244" s="766"/>
      <c r="LQ244" s="1678"/>
      <c r="LR244" s="766"/>
      <c r="LS244" s="766"/>
      <c r="LT244" s="766"/>
      <c r="LU244" s="766"/>
      <c r="LV244" s="766"/>
      <c r="LW244" s="766"/>
      <c r="LX244" s="769"/>
      <c r="LY244" s="766" t="str">
        <f t="shared" si="72"/>
        <v/>
      </c>
      <c r="LZ244" s="121"/>
      <c r="MA244" s="66"/>
      <c r="MB244" s="66"/>
      <c r="MC244" s="1679">
        <f t="shared" si="70"/>
        <v>0</v>
      </c>
      <c r="MD244" s="66"/>
      <c r="ME244" s="66"/>
      <c r="MF244" s="66"/>
      <c r="MG244" s="1680">
        <f t="shared" si="48"/>
        <v>0</v>
      </c>
      <c r="MH244" s="1681"/>
      <c r="MI244" s="775"/>
      <c r="MJ244" s="775"/>
      <c r="MK244" s="775"/>
      <c r="ML244" s="775"/>
      <c r="MM244" s="775"/>
      <c r="MN244" s="775"/>
      <c r="MO244" s="775"/>
      <c r="MP244" s="775"/>
      <c r="MQ244" s="775"/>
      <c r="MR244" s="775"/>
      <c r="MS244" s="775"/>
      <c r="MT244" s="775"/>
      <c r="MU244" s="775"/>
      <c r="MV244" s="775"/>
      <c r="MW244" s="775"/>
      <c r="MX244" s="775"/>
      <c r="MY244" s="1682">
        <f t="shared" si="49"/>
        <v>0</v>
      </c>
      <c r="MZ244" s="766"/>
      <c r="NA244" s="766"/>
      <c r="NB244" s="766"/>
      <c r="NC244" s="766"/>
      <c r="ND244" s="766"/>
      <c r="NE244" s="766"/>
      <c r="NF244" s="766"/>
      <c r="NG244" s="766"/>
      <c r="NH244" s="766"/>
      <c r="NI244" s="766"/>
      <c r="NJ244" s="766"/>
      <c r="NK244" s="766"/>
      <c r="NL244" s="766"/>
      <c r="NM244" s="766"/>
      <c r="NN244" s="766"/>
      <c r="NO244" s="766"/>
      <c r="NP244" s="766"/>
      <c r="NQ244" s="766"/>
      <c r="NR244" s="766"/>
      <c r="NS244" s="766"/>
      <c r="NT244" s="766"/>
      <c r="NU244" s="766"/>
      <c r="NV244" s="766"/>
      <c r="NW244" s="766"/>
      <c r="NX244" s="766"/>
      <c r="NY244" s="766"/>
      <c r="NZ244" s="766"/>
      <c r="OA244" s="766"/>
      <c r="OB244" s="766"/>
      <c r="OC244" s="766"/>
      <c r="OD244" s="766"/>
      <c r="OE244" s="766"/>
      <c r="OF244" s="766"/>
      <c r="OG244" s="766"/>
      <c r="OH244" s="766"/>
      <c r="OI244" s="766"/>
      <c r="OJ244" s="766"/>
      <c r="OK244" s="766"/>
      <c r="OL244" s="766"/>
      <c r="OM244" s="766"/>
      <c r="ON244" s="766"/>
      <c r="OO244" s="766"/>
      <c r="OP244" s="766"/>
      <c r="OQ244" s="766"/>
      <c r="OR244" s="766"/>
      <c r="OS244" s="766"/>
      <c r="OT244" s="766"/>
      <c r="OU244" s="766"/>
      <c r="OV244" s="766"/>
      <c r="OW244" s="766"/>
      <c r="OX244" s="766"/>
      <c r="OY244" s="766"/>
      <c r="OZ244" s="766"/>
      <c r="PA244" s="766"/>
      <c r="PB244" s="766"/>
      <c r="PC244" s="766"/>
      <c r="PD244" s="766"/>
      <c r="PE244" s="766"/>
      <c r="PF244" s="766"/>
      <c r="PG244" s="766"/>
      <c r="PH244" s="766"/>
      <c r="PI244" s="766"/>
      <c r="PJ244" s="766"/>
      <c r="PK244" s="766"/>
      <c r="PL244" s="766"/>
      <c r="PM244" s="766"/>
      <c r="PN244" s="766"/>
      <c r="PO244" s="766"/>
      <c r="PP244" s="766"/>
      <c r="PQ244" s="766"/>
      <c r="PR244" s="766"/>
      <c r="PS244" s="766"/>
      <c r="PT244" s="766"/>
      <c r="PU244" s="766"/>
      <c r="PV244" s="766"/>
      <c r="PW244" s="766"/>
      <c r="PX244" s="766"/>
      <c r="PY244" s="766"/>
      <c r="PZ244" s="766"/>
      <c r="QA244" s="766"/>
      <c r="QB244" s="766"/>
      <c r="QC244" s="766"/>
      <c r="QD244" s="766"/>
      <c r="QE244" s="766"/>
      <c r="QF244" s="766"/>
      <c r="QG244" s="766"/>
      <c r="QH244" s="766"/>
      <c r="QI244" s="766"/>
      <c r="QJ244" s="766"/>
      <c r="QK244" s="766"/>
      <c r="QL244" s="766"/>
      <c r="QM244" s="766"/>
      <c r="QN244" s="766"/>
      <c r="QO244" s="766"/>
      <c r="QP244" s="766"/>
      <c r="QQ244" s="766"/>
      <c r="QR244" s="766"/>
      <c r="QS244" s="766"/>
      <c r="QT244" s="766"/>
      <c r="QU244" s="766"/>
      <c r="QV244" s="766"/>
      <c r="QW244" s="766"/>
      <c r="QX244" s="766"/>
      <c r="QY244" s="766"/>
      <c r="QZ244" s="766"/>
      <c r="RA244" s="766"/>
      <c r="RB244" s="766"/>
      <c r="RC244" s="766"/>
      <c r="RD244" s="766"/>
      <c r="RE244" s="766"/>
      <c r="RF244" s="777"/>
      <c r="RG244" s="766"/>
      <c r="RH244" s="775"/>
      <c r="RI244" s="766"/>
      <c r="RJ244" s="766"/>
      <c r="RK244" s="766"/>
      <c r="RL244" s="1683"/>
      <c r="RM244" s="12"/>
      <c r="RN244" s="1711"/>
      <c r="RO244" s="148" t="s">
        <v>11879</v>
      </c>
      <c r="RP244" s="11"/>
      <c r="RQ244" s="11"/>
      <c r="RR244" s="771"/>
      <c r="RS244" s="766"/>
      <c r="RT244" s="11"/>
      <c r="RU244" s="11"/>
      <c r="RV244" s="766"/>
      <c r="RW244" s="11"/>
      <c r="RX244" s="11" t="s">
        <v>11877</v>
      </c>
      <c r="RY244" s="11"/>
      <c r="RZ244" s="11"/>
      <c r="SA244" s="766"/>
      <c r="SB244" s="11"/>
      <c r="SC244" s="11"/>
    </row>
    <row r="245" spans="1:497" ht="12.75" hidden="1" customHeight="1">
      <c r="A245" s="154" t="s">
        <v>14160</v>
      </c>
      <c r="B245" s="750"/>
      <c r="C245" s="148" t="s">
        <v>11880</v>
      </c>
      <c r="D245" s="766" t="s">
        <v>11874</v>
      </c>
      <c r="E245" s="766" t="s">
        <v>5846</v>
      </c>
      <c r="F245" s="766"/>
      <c r="G245" s="766"/>
      <c r="H245" s="766"/>
      <c r="I245" s="5"/>
      <c r="J245" s="14"/>
      <c r="K245" s="766"/>
      <c r="L245" s="766"/>
      <c r="M245" s="766"/>
      <c r="N245" s="766"/>
      <c r="O245" s="766"/>
      <c r="P245" s="766"/>
      <c r="Q245" s="1085"/>
      <c r="R245" s="25"/>
      <c r="S245" s="770"/>
      <c r="T245" s="766"/>
      <c r="U245" s="26"/>
      <c r="V245" s="766"/>
      <c r="W245" s="766"/>
      <c r="X245" s="24"/>
      <c r="Y245" s="766"/>
      <c r="Z245" s="766"/>
      <c r="AA245" s="766"/>
      <c r="AB245" s="766"/>
      <c r="AC245" s="766"/>
      <c r="AD245" s="766"/>
      <c r="AE245" s="766"/>
      <c r="AF245" s="766"/>
      <c r="AG245" s="766"/>
      <c r="AH245" s="766"/>
      <c r="AI245" s="766"/>
      <c r="AJ245" s="766"/>
      <c r="AK245" s="766"/>
      <c r="AL245" s="772">
        <v>108.55</v>
      </c>
      <c r="AM245" s="772">
        <v>108.55</v>
      </c>
      <c r="AN245" s="774">
        <v>1</v>
      </c>
      <c r="AO245" s="766" t="s">
        <v>1122</v>
      </c>
      <c r="AP245" s="766"/>
      <c r="AQ245" s="766"/>
      <c r="AR245" s="766"/>
      <c r="AS245" s="766"/>
      <c r="AT245" s="766"/>
      <c r="AU245" s="766"/>
      <c r="AV245" s="766"/>
      <c r="AW245" s="766"/>
      <c r="AX245" s="766"/>
      <c r="AY245" s="766"/>
      <c r="AZ245" s="766"/>
      <c r="BA245" s="766"/>
      <c r="BB245" s="766"/>
      <c r="BC245" s="766"/>
      <c r="BD245" s="766"/>
      <c r="BE245" s="766"/>
      <c r="BF245" s="775"/>
      <c r="BG245" s="775"/>
      <c r="BH245" s="766"/>
      <c r="BI245" s="766"/>
      <c r="BJ245" s="766"/>
      <c r="BK245" s="766"/>
      <c r="BL245" s="766"/>
      <c r="BM245" s="766"/>
      <c r="BN245" s="766"/>
      <c r="BO245" s="766"/>
      <c r="BP245" s="773">
        <f t="shared" si="73"/>
        <v>108.55</v>
      </c>
      <c r="BQ245" s="773">
        <f t="shared" si="73"/>
        <v>108.55</v>
      </c>
      <c r="BR245" s="774">
        <f t="shared" si="73"/>
        <v>1</v>
      </c>
      <c r="BS245" s="766" t="s">
        <v>1257</v>
      </c>
      <c r="BT245" s="766"/>
      <c r="BU245" s="766"/>
      <c r="BV245" s="766"/>
      <c r="BW245" s="769"/>
      <c r="BX245" s="775"/>
      <c r="BY245" s="766"/>
      <c r="BZ245" s="775"/>
      <c r="CA245" s="766"/>
      <c r="CB245" s="766"/>
      <c r="CC245" s="766"/>
      <c r="CD245" s="766"/>
      <c r="CE245" s="766"/>
      <c r="CF245" s="777"/>
      <c r="CG245" s="231"/>
      <c r="CH245" s="766"/>
      <c r="CI245" s="766"/>
      <c r="CJ245" s="766"/>
      <c r="CK245" s="766"/>
      <c r="CL245" s="766"/>
      <c r="CM245" s="766"/>
      <c r="CN245" s="766"/>
      <c r="CO245" s="766"/>
      <c r="CP245" s="766"/>
      <c r="CQ245" s="766"/>
      <c r="CR245" s="775"/>
      <c r="CS245" s="766"/>
      <c r="CT245" s="766"/>
      <c r="CU245" s="129"/>
      <c r="CV245" s="766"/>
      <c r="CW245" s="766"/>
      <c r="CX245" s="766"/>
      <c r="CY245" s="766"/>
      <c r="CZ245" s="766"/>
      <c r="DA245" s="66"/>
      <c r="DB245" s="766"/>
      <c r="DC245" s="766"/>
      <c r="DD245" s="766"/>
      <c r="DE245" s="772"/>
      <c r="DF245" s="766"/>
      <c r="DG245" s="766"/>
      <c r="DH245" s="766"/>
      <c r="DI245" s="766"/>
      <c r="DJ245" s="766"/>
      <c r="DK245" s="766"/>
      <c r="DL245" s="766"/>
      <c r="DM245" s="766"/>
      <c r="DN245" s="44"/>
      <c r="DO245" s="766"/>
      <c r="DP245" s="766"/>
      <c r="DQ245" s="766"/>
      <c r="DR245" s="766"/>
      <c r="DS245" s="59"/>
      <c r="DT245" s="766"/>
      <c r="DU245" s="766"/>
      <c r="DV245" s="766"/>
      <c r="DW245" s="66"/>
      <c r="DX245" s="66"/>
      <c r="DY245" s="766"/>
      <c r="DZ245" s="766"/>
      <c r="EA245" s="766"/>
      <c r="EB245" s="766"/>
      <c r="EC245" s="766"/>
      <c r="ED245" s="766"/>
      <c r="EE245" s="766"/>
      <c r="EF245" s="766"/>
      <c r="EG245" s="766"/>
      <c r="EH245" s="766"/>
      <c r="EI245" s="766"/>
      <c r="EJ245" s="766"/>
      <c r="EK245" s="766"/>
      <c r="EL245" s="766"/>
      <c r="EM245" s="766"/>
      <c r="EN245" s="766"/>
      <c r="EO245" s="766"/>
      <c r="EP245" s="14"/>
      <c r="EQ245" s="766"/>
      <c r="ER245" s="766"/>
      <c r="ES245" s="766"/>
      <c r="ET245" s="766"/>
      <c r="EU245" s="766"/>
      <c r="EV245" s="766"/>
      <c r="EW245" s="766"/>
      <c r="EX245" s="766"/>
      <c r="EY245" s="766"/>
      <c r="EZ245" s="766"/>
      <c r="FA245" s="766"/>
      <c r="FB245" s="766"/>
      <c r="FC245" s="766"/>
      <c r="FD245" s="775"/>
      <c r="FE245" s="766"/>
      <c r="FF245" s="766"/>
      <c r="FG245" s="766"/>
      <c r="FH245" s="766"/>
      <c r="FI245" s="766"/>
      <c r="FJ245" s="766"/>
      <c r="FK245" s="766"/>
      <c r="FL245" s="766"/>
      <c r="FM245" s="775"/>
      <c r="FN245" s="775"/>
      <c r="FO245" s="775"/>
      <c r="FP245" s="766"/>
      <c r="FQ245" s="766"/>
      <c r="FR245" s="766"/>
      <c r="FS245" s="766"/>
      <c r="FT245" s="766"/>
      <c r="FU245" s="766"/>
      <c r="FV245" s="766"/>
      <c r="FW245" s="766"/>
      <c r="FX245" s="766"/>
      <c r="FY245" s="766"/>
      <c r="FZ245" s="766"/>
      <c r="GA245" s="766"/>
      <c r="GB245" s="766"/>
      <c r="GC245" s="75"/>
      <c r="GD245" s="25"/>
      <c r="GE245" s="766"/>
      <c r="GF245" s="775"/>
      <c r="GG245" s="775"/>
      <c r="GH245" s="766"/>
      <c r="GI245" s="766"/>
      <c r="GJ245" s="766"/>
      <c r="GK245" s="766"/>
      <c r="GL245" s="766"/>
      <c r="GM245" s="766"/>
      <c r="GN245" s="82"/>
      <c r="GO245" s="766"/>
      <c r="GP245" s="766"/>
      <c r="GQ245" s="766"/>
      <c r="GR245" s="766"/>
      <c r="GS245" s="766"/>
      <c r="GT245" s="766"/>
      <c r="GU245" s="766"/>
      <c r="GV245" s="766"/>
      <c r="GW245" s="766"/>
      <c r="GX245" s="766"/>
      <c r="GY245" s="766"/>
      <c r="GZ245" s="766"/>
      <c r="HA245" s="766"/>
      <c r="HB245" s="766"/>
      <c r="HC245" s="766"/>
      <c r="HD245" s="766"/>
      <c r="HE245" s="766"/>
      <c r="HF245" s="766"/>
      <c r="HG245" s="766"/>
      <c r="HH245" s="766"/>
      <c r="HI245" s="766"/>
      <c r="HJ245" s="766"/>
      <c r="HK245" s="766"/>
      <c r="HL245" s="766"/>
      <c r="HM245" s="766"/>
      <c r="HN245" s="766"/>
      <c r="HO245" s="766"/>
      <c r="HP245" s="766"/>
      <c r="HQ245" s="766"/>
      <c r="HR245" s="766"/>
      <c r="HS245" s="766"/>
      <c r="HT245" s="766"/>
      <c r="HU245" s="766"/>
      <c r="HV245" s="766"/>
      <c r="HW245" s="766"/>
      <c r="HX245" s="766"/>
      <c r="HY245" s="766"/>
      <c r="HZ245" s="766"/>
      <c r="IA245" s="766"/>
      <c r="IB245" s="14"/>
      <c r="IC245" s="14"/>
      <c r="ID245" s="14"/>
      <c r="IE245" s="14"/>
      <c r="IF245" s="766"/>
      <c r="IG245" s="766"/>
      <c r="IH245" s="766"/>
      <c r="II245" s="766"/>
      <c r="IJ245" s="766"/>
      <c r="IK245" s="766"/>
      <c r="IL245" s="766"/>
      <c r="IM245" s="766"/>
      <c r="IN245" s="766"/>
      <c r="IO245" s="24"/>
      <c r="IP245" s="766"/>
      <c r="IQ245" s="766"/>
      <c r="IR245" s="766"/>
      <c r="IS245" s="766"/>
      <c r="IT245" s="766"/>
      <c r="IU245" s="766"/>
      <c r="IV245" s="766"/>
      <c r="IW245" s="766"/>
      <c r="IX245" s="766"/>
      <c r="IY245" s="766"/>
      <c r="IZ245" s="766"/>
      <c r="JA245" s="766"/>
      <c r="JB245" s="766"/>
      <c r="JC245" s="766"/>
      <c r="JD245" s="775"/>
      <c r="JE245" s="766"/>
      <c r="JF245" s="766"/>
      <c r="JG245" s="766"/>
      <c r="JH245" s="766"/>
      <c r="JI245" s="766"/>
      <c r="JJ245" s="766"/>
      <c r="JK245" s="766"/>
      <c r="JL245" s="766"/>
      <c r="JM245" s="766"/>
      <c r="JN245" s="766"/>
      <c r="JO245" s="766"/>
      <c r="JP245" s="766"/>
      <c r="JQ245" s="766"/>
      <c r="JR245" s="766"/>
      <c r="JS245" s="766"/>
      <c r="JT245" s="766"/>
      <c r="JU245" s="766"/>
      <c r="JV245" s="766"/>
      <c r="JW245" s="766"/>
      <c r="JX245" s="766"/>
      <c r="JY245" s="766"/>
      <c r="JZ245" s="766"/>
      <c r="KA245" s="766"/>
      <c r="KB245" s="766"/>
      <c r="KC245" s="766"/>
      <c r="KD245" s="766"/>
      <c r="KE245" s="766"/>
      <c r="KF245" s="766"/>
      <c r="KG245" s="766"/>
      <c r="KH245" s="766"/>
      <c r="KI245" s="766"/>
      <c r="KJ245" s="770"/>
      <c r="KK245" s="770"/>
      <c r="KL245" s="770"/>
      <c r="KM245" s="770"/>
      <c r="KN245" s="766"/>
      <c r="KO245" s="28"/>
      <c r="KP245" s="766"/>
      <c r="KQ245" s="766"/>
      <c r="KR245" s="766"/>
      <c r="KS245" s="766"/>
      <c r="KT245" s="766"/>
      <c r="KU245" s="766"/>
      <c r="KV245" s="766"/>
      <c r="KW245" s="766"/>
      <c r="KX245" s="766"/>
      <c r="KY245" s="766"/>
      <c r="KZ245" s="766"/>
      <c r="LA245" s="766"/>
      <c r="LB245" s="766"/>
      <c r="LC245" s="766"/>
      <c r="LD245" s="766"/>
      <c r="LE245" s="766"/>
      <c r="LF245" s="766"/>
      <c r="LG245" s="766"/>
      <c r="LH245" s="766"/>
      <c r="LI245" s="766"/>
      <c r="LJ245" s="766"/>
      <c r="LK245" s="766"/>
      <c r="LL245" s="766"/>
      <c r="LM245" s="766"/>
      <c r="LN245" s="766"/>
      <c r="LO245" s="766"/>
      <c r="LP245" s="766"/>
      <c r="LQ245" s="1678"/>
      <c r="LR245" s="766"/>
      <c r="LS245" s="766"/>
      <c r="LT245" s="766"/>
      <c r="LU245" s="766"/>
      <c r="LV245" s="766"/>
      <c r="LW245" s="766"/>
      <c r="LX245" s="769"/>
      <c r="LY245" s="766" t="str">
        <f t="shared" si="72"/>
        <v/>
      </c>
      <c r="LZ245" s="121"/>
      <c r="MA245" s="66"/>
      <c r="MB245" s="66"/>
      <c r="MC245" s="1679">
        <f t="shared" si="70"/>
        <v>0</v>
      </c>
      <c r="MD245" s="66"/>
      <c r="ME245" s="66"/>
      <c r="MF245" s="66"/>
      <c r="MG245" s="1680">
        <f t="shared" si="48"/>
        <v>0</v>
      </c>
      <c r="MH245" s="1681"/>
      <c r="MI245" s="775"/>
      <c r="MJ245" s="775"/>
      <c r="MK245" s="775"/>
      <c r="ML245" s="775"/>
      <c r="MM245" s="775"/>
      <c r="MN245" s="775"/>
      <c r="MO245" s="775"/>
      <c r="MP245" s="775"/>
      <c r="MQ245" s="775"/>
      <c r="MR245" s="775"/>
      <c r="MS245" s="775"/>
      <c r="MT245" s="775"/>
      <c r="MU245" s="775"/>
      <c r="MV245" s="775"/>
      <c r="MW245" s="775"/>
      <c r="MX245" s="775"/>
      <c r="MY245" s="1682">
        <f t="shared" si="49"/>
        <v>0</v>
      </c>
      <c r="MZ245" s="766"/>
      <c r="NA245" s="766"/>
      <c r="NB245" s="766"/>
      <c r="NC245" s="766"/>
      <c r="ND245" s="766"/>
      <c r="NE245" s="766"/>
      <c r="NF245" s="766"/>
      <c r="NG245" s="766"/>
      <c r="NH245" s="766"/>
      <c r="NI245" s="766"/>
      <c r="NJ245" s="766"/>
      <c r="NK245" s="766"/>
      <c r="NL245" s="766"/>
      <c r="NM245" s="766"/>
      <c r="NN245" s="766"/>
      <c r="NO245" s="766"/>
      <c r="NP245" s="766"/>
      <c r="NQ245" s="766"/>
      <c r="NR245" s="766"/>
      <c r="NS245" s="766"/>
      <c r="NT245" s="766"/>
      <c r="NU245" s="766"/>
      <c r="NV245" s="766"/>
      <c r="NW245" s="766"/>
      <c r="NX245" s="766"/>
      <c r="NY245" s="766"/>
      <c r="NZ245" s="766"/>
      <c r="OA245" s="766"/>
      <c r="OB245" s="766"/>
      <c r="OC245" s="766"/>
      <c r="OD245" s="766"/>
      <c r="OE245" s="766"/>
      <c r="OF245" s="766"/>
      <c r="OG245" s="766"/>
      <c r="OH245" s="766"/>
      <c r="OI245" s="766"/>
      <c r="OJ245" s="766"/>
      <c r="OK245" s="766"/>
      <c r="OL245" s="766"/>
      <c r="OM245" s="766"/>
      <c r="ON245" s="766"/>
      <c r="OO245" s="766"/>
      <c r="OP245" s="766"/>
      <c r="OQ245" s="766"/>
      <c r="OR245" s="766"/>
      <c r="OS245" s="766"/>
      <c r="OT245" s="766"/>
      <c r="OU245" s="766"/>
      <c r="OV245" s="766"/>
      <c r="OW245" s="766"/>
      <c r="OX245" s="766"/>
      <c r="OY245" s="766"/>
      <c r="OZ245" s="766"/>
      <c r="PA245" s="766"/>
      <c r="PB245" s="766"/>
      <c r="PC245" s="766"/>
      <c r="PD245" s="766"/>
      <c r="PE245" s="766"/>
      <c r="PF245" s="766"/>
      <c r="PG245" s="766"/>
      <c r="PH245" s="766"/>
      <c r="PI245" s="766"/>
      <c r="PJ245" s="766"/>
      <c r="PK245" s="766"/>
      <c r="PL245" s="766"/>
      <c r="PM245" s="766"/>
      <c r="PN245" s="766"/>
      <c r="PO245" s="766"/>
      <c r="PP245" s="766"/>
      <c r="PQ245" s="766"/>
      <c r="PR245" s="766"/>
      <c r="PS245" s="766"/>
      <c r="PT245" s="766"/>
      <c r="PU245" s="766"/>
      <c r="PV245" s="766"/>
      <c r="PW245" s="766"/>
      <c r="PX245" s="766"/>
      <c r="PY245" s="766"/>
      <c r="PZ245" s="766"/>
      <c r="QA245" s="766"/>
      <c r="QB245" s="766"/>
      <c r="QC245" s="766"/>
      <c r="QD245" s="766"/>
      <c r="QE245" s="766"/>
      <c r="QF245" s="766"/>
      <c r="QG245" s="766"/>
      <c r="QH245" s="766"/>
      <c r="QI245" s="766"/>
      <c r="QJ245" s="766"/>
      <c r="QK245" s="766"/>
      <c r="QL245" s="766"/>
      <c r="QM245" s="766"/>
      <c r="QN245" s="766"/>
      <c r="QO245" s="766"/>
      <c r="QP245" s="766"/>
      <c r="QQ245" s="766"/>
      <c r="QR245" s="766"/>
      <c r="QS245" s="766"/>
      <c r="QT245" s="766"/>
      <c r="QU245" s="766"/>
      <c r="QV245" s="766"/>
      <c r="QW245" s="766"/>
      <c r="QX245" s="766"/>
      <c r="QY245" s="766"/>
      <c r="QZ245" s="766"/>
      <c r="RA245" s="766"/>
      <c r="RB245" s="766"/>
      <c r="RC245" s="766"/>
      <c r="RD245" s="766"/>
      <c r="RE245" s="766"/>
      <c r="RF245" s="777"/>
      <c r="RG245" s="766"/>
      <c r="RH245" s="775"/>
      <c r="RI245" s="766"/>
      <c r="RJ245" s="766"/>
      <c r="RK245" s="766"/>
      <c r="RL245" s="1683"/>
      <c r="RM245" s="12"/>
      <c r="RN245" s="1711"/>
      <c r="RO245" s="148" t="s">
        <v>11880</v>
      </c>
      <c r="RP245" s="11"/>
      <c r="RQ245" s="11"/>
      <c r="RR245" s="771"/>
      <c r="RS245" s="766"/>
      <c r="RT245" s="11"/>
      <c r="RU245" s="11"/>
      <c r="RV245" s="766"/>
      <c r="RW245" s="11"/>
      <c r="RX245" s="11" t="s">
        <v>11878</v>
      </c>
      <c r="RY245" s="11"/>
      <c r="RZ245" s="11"/>
      <c r="SA245" s="766"/>
      <c r="SB245" s="11"/>
      <c r="SC245" s="11"/>
    </row>
    <row r="246" spans="1:497" ht="12.75" hidden="1" customHeight="1">
      <c r="A246" s="154" t="s">
        <v>14160</v>
      </c>
      <c r="B246" s="750"/>
      <c r="C246" s="148" t="s">
        <v>11881</v>
      </c>
      <c r="D246" s="766" t="s">
        <v>11875</v>
      </c>
      <c r="E246" s="766" t="s">
        <v>5846</v>
      </c>
      <c r="F246" s="766"/>
      <c r="G246" s="766"/>
      <c r="H246" s="766"/>
      <c r="I246" s="5"/>
      <c r="J246" s="14"/>
      <c r="K246" s="766"/>
      <c r="L246" s="766"/>
      <c r="M246" s="766"/>
      <c r="N246" s="766"/>
      <c r="O246" s="766"/>
      <c r="P246" s="766"/>
      <c r="Q246" s="1085"/>
      <c r="R246" s="25"/>
      <c r="S246" s="770"/>
      <c r="T246" s="766"/>
      <c r="U246" s="26"/>
      <c r="V246" s="766"/>
      <c r="W246" s="766"/>
      <c r="X246" s="24"/>
      <c r="Y246" s="766"/>
      <c r="Z246" s="766"/>
      <c r="AA246" s="766"/>
      <c r="AB246" s="766"/>
      <c r="AC246" s="766"/>
      <c r="AD246" s="766"/>
      <c r="AE246" s="766"/>
      <c r="AF246" s="766"/>
      <c r="AG246" s="766"/>
      <c r="AH246" s="766"/>
      <c r="AI246" s="766"/>
      <c r="AJ246" s="766"/>
      <c r="AK246" s="766"/>
      <c r="AL246" s="772">
        <v>7.5</v>
      </c>
      <c r="AM246" s="772">
        <v>7.5</v>
      </c>
      <c r="AN246" s="774">
        <v>1</v>
      </c>
      <c r="AO246" s="766" t="s">
        <v>1122</v>
      </c>
      <c r="AP246" s="766"/>
      <c r="AQ246" s="766"/>
      <c r="AR246" s="766"/>
      <c r="AS246" s="766"/>
      <c r="AT246" s="766"/>
      <c r="AU246" s="766"/>
      <c r="AV246" s="766"/>
      <c r="AW246" s="766"/>
      <c r="AX246" s="766"/>
      <c r="AY246" s="766"/>
      <c r="AZ246" s="766"/>
      <c r="BA246" s="766"/>
      <c r="BB246" s="766"/>
      <c r="BC246" s="766"/>
      <c r="BD246" s="766"/>
      <c r="BE246" s="766"/>
      <c r="BF246" s="775"/>
      <c r="BG246" s="775"/>
      <c r="BH246" s="766"/>
      <c r="BI246" s="766"/>
      <c r="BJ246" s="766"/>
      <c r="BK246" s="766"/>
      <c r="BL246" s="766"/>
      <c r="BM246" s="766"/>
      <c r="BN246" s="766"/>
      <c r="BO246" s="766"/>
      <c r="BP246" s="773">
        <f t="shared" si="73"/>
        <v>7.5</v>
      </c>
      <c r="BQ246" s="773">
        <f t="shared" si="73"/>
        <v>7.5</v>
      </c>
      <c r="BR246" s="774">
        <f t="shared" si="73"/>
        <v>1</v>
      </c>
      <c r="BS246" s="766" t="s">
        <v>1257</v>
      </c>
      <c r="BT246" s="766"/>
      <c r="BU246" s="766"/>
      <c r="BV246" s="766"/>
      <c r="BW246" s="769"/>
      <c r="BX246" s="775"/>
      <c r="BY246" s="766"/>
      <c r="BZ246" s="775"/>
      <c r="CA246" s="766"/>
      <c r="CB246" s="766"/>
      <c r="CC246" s="766"/>
      <c r="CD246" s="766"/>
      <c r="CE246" s="766"/>
      <c r="CF246" s="777"/>
      <c r="CG246" s="231"/>
      <c r="CH246" s="766"/>
      <c r="CI246" s="766"/>
      <c r="CJ246" s="766"/>
      <c r="CK246" s="766"/>
      <c r="CL246" s="766"/>
      <c r="CM246" s="766"/>
      <c r="CN246" s="766"/>
      <c r="CO246" s="766"/>
      <c r="CP246" s="766"/>
      <c r="CQ246" s="766"/>
      <c r="CR246" s="775"/>
      <c r="CS246" s="766"/>
      <c r="CT246" s="766"/>
      <c r="CU246" s="129"/>
      <c r="CV246" s="766"/>
      <c r="CW246" s="766"/>
      <c r="CX246" s="766"/>
      <c r="CY246" s="766"/>
      <c r="CZ246" s="766"/>
      <c r="DA246" s="66"/>
      <c r="DB246" s="766"/>
      <c r="DC246" s="766"/>
      <c r="DD246" s="766"/>
      <c r="DE246" s="772"/>
      <c r="DF246" s="766"/>
      <c r="DG246" s="766"/>
      <c r="DH246" s="766"/>
      <c r="DI246" s="766"/>
      <c r="DJ246" s="766"/>
      <c r="DK246" s="766"/>
      <c r="DL246" s="766"/>
      <c r="DM246" s="766"/>
      <c r="DN246" s="44"/>
      <c r="DO246" s="766"/>
      <c r="DP246" s="766"/>
      <c r="DQ246" s="766"/>
      <c r="DR246" s="766"/>
      <c r="DS246" s="59"/>
      <c r="DT246" s="766"/>
      <c r="DU246" s="766"/>
      <c r="DV246" s="766"/>
      <c r="DW246" s="66"/>
      <c r="DX246" s="66"/>
      <c r="DY246" s="766"/>
      <c r="DZ246" s="766"/>
      <c r="EA246" s="766"/>
      <c r="EB246" s="766"/>
      <c r="EC246" s="766"/>
      <c r="ED246" s="766"/>
      <c r="EE246" s="766"/>
      <c r="EF246" s="766"/>
      <c r="EG246" s="766"/>
      <c r="EH246" s="766"/>
      <c r="EI246" s="766"/>
      <c r="EJ246" s="766"/>
      <c r="EK246" s="766"/>
      <c r="EL246" s="766"/>
      <c r="EM246" s="766"/>
      <c r="EN246" s="766"/>
      <c r="EO246" s="766"/>
      <c r="EP246" s="14"/>
      <c r="EQ246" s="766"/>
      <c r="ER246" s="766"/>
      <c r="ES246" s="766"/>
      <c r="ET246" s="766"/>
      <c r="EU246" s="766"/>
      <c r="EV246" s="766"/>
      <c r="EW246" s="766"/>
      <c r="EX246" s="766"/>
      <c r="EY246" s="766"/>
      <c r="EZ246" s="766"/>
      <c r="FA246" s="766"/>
      <c r="FB246" s="766"/>
      <c r="FC246" s="766"/>
      <c r="FD246" s="775"/>
      <c r="FE246" s="766"/>
      <c r="FF246" s="766"/>
      <c r="FG246" s="766"/>
      <c r="FH246" s="766"/>
      <c r="FI246" s="766"/>
      <c r="FJ246" s="766"/>
      <c r="FK246" s="766"/>
      <c r="FL246" s="766"/>
      <c r="FM246" s="775"/>
      <c r="FN246" s="775"/>
      <c r="FO246" s="775"/>
      <c r="FP246" s="766"/>
      <c r="FQ246" s="766"/>
      <c r="FR246" s="766"/>
      <c r="FS246" s="766"/>
      <c r="FT246" s="766"/>
      <c r="FU246" s="766"/>
      <c r="FV246" s="766"/>
      <c r="FW246" s="766"/>
      <c r="FX246" s="766"/>
      <c r="FY246" s="766"/>
      <c r="FZ246" s="766"/>
      <c r="GA246" s="766"/>
      <c r="GB246" s="766"/>
      <c r="GC246" s="75"/>
      <c r="GD246" s="25"/>
      <c r="GE246" s="766"/>
      <c r="GF246" s="775"/>
      <c r="GG246" s="775"/>
      <c r="GH246" s="766"/>
      <c r="GI246" s="766"/>
      <c r="GJ246" s="766"/>
      <c r="GK246" s="766"/>
      <c r="GL246" s="766"/>
      <c r="GM246" s="766"/>
      <c r="GN246" s="82"/>
      <c r="GO246" s="766"/>
      <c r="GP246" s="766"/>
      <c r="GQ246" s="766"/>
      <c r="GR246" s="766"/>
      <c r="GS246" s="766"/>
      <c r="GT246" s="766"/>
      <c r="GU246" s="766"/>
      <c r="GV246" s="766"/>
      <c r="GW246" s="766"/>
      <c r="GX246" s="766"/>
      <c r="GY246" s="766"/>
      <c r="GZ246" s="766"/>
      <c r="HA246" s="766"/>
      <c r="HB246" s="766"/>
      <c r="HC246" s="766"/>
      <c r="HD246" s="766"/>
      <c r="HE246" s="766"/>
      <c r="HF246" s="766"/>
      <c r="HG246" s="766"/>
      <c r="HH246" s="766"/>
      <c r="HI246" s="766"/>
      <c r="HJ246" s="766"/>
      <c r="HK246" s="766"/>
      <c r="HL246" s="766"/>
      <c r="HM246" s="766"/>
      <c r="HN246" s="766"/>
      <c r="HO246" s="766"/>
      <c r="HP246" s="766"/>
      <c r="HQ246" s="766"/>
      <c r="HR246" s="766"/>
      <c r="HS246" s="766"/>
      <c r="HT246" s="766"/>
      <c r="HU246" s="766"/>
      <c r="HV246" s="766"/>
      <c r="HW246" s="766"/>
      <c r="HX246" s="766"/>
      <c r="HY246" s="766"/>
      <c r="HZ246" s="766"/>
      <c r="IA246" s="766"/>
      <c r="IB246" s="14"/>
      <c r="IC246" s="14"/>
      <c r="ID246" s="14"/>
      <c r="IE246" s="14"/>
      <c r="IF246" s="766"/>
      <c r="IG246" s="766"/>
      <c r="IH246" s="766"/>
      <c r="II246" s="766"/>
      <c r="IJ246" s="766"/>
      <c r="IK246" s="766"/>
      <c r="IL246" s="766"/>
      <c r="IM246" s="766"/>
      <c r="IN246" s="766"/>
      <c r="IO246" s="24"/>
      <c r="IP246" s="766"/>
      <c r="IQ246" s="766"/>
      <c r="IR246" s="766"/>
      <c r="IS246" s="766"/>
      <c r="IT246" s="766"/>
      <c r="IU246" s="766"/>
      <c r="IV246" s="766"/>
      <c r="IW246" s="766"/>
      <c r="IX246" s="766"/>
      <c r="IY246" s="766"/>
      <c r="IZ246" s="766"/>
      <c r="JA246" s="766"/>
      <c r="JB246" s="766"/>
      <c r="JC246" s="766"/>
      <c r="JD246" s="775"/>
      <c r="JE246" s="766"/>
      <c r="JF246" s="766"/>
      <c r="JG246" s="766"/>
      <c r="JH246" s="766"/>
      <c r="JI246" s="766"/>
      <c r="JJ246" s="766"/>
      <c r="JK246" s="766"/>
      <c r="JL246" s="766"/>
      <c r="JM246" s="766"/>
      <c r="JN246" s="766"/>
      <c r="JO246" s="766"/>
      <c r="JP246" s="766"/>
      <c r="JQ246" s="766"/>
      <c r="JR246" s="766"/>
      <c r="JS246" s="766"/>
      <c r="JT246" s="766"/>
      <c r="JU246" s="766"/>
      <c r="JV246" s="766"/>
      <c r="JW246" s="766"/>
      <c r="JX246" s="766"/>
      <c r="JY246" s="766"/>
      <c r="JZ246" s="766"/>
      <c r="KA246" s="766"/>
      <c r="KB246" s="766"/>
      <c r="KC246" s="766"/>
      <c r="KD246" s="766"/>
      <c r="KE246" s="766"/>
      <c r="KF246" s="766"/>
      <c r="KG246" s="766"/>
      <c r="KH246" s="766"/>
      <c r="KI246" s="766"/>
      <c r="KJ246" s="770"/>
      <c r="KK246" s="770"/>
      <c r="KL246" s="770"/>
      <c r="KM246" s="770"/>
      <c r="KN246" s="766"/>
      <c r="KO246" s="28"/>
      <c r="KP246" s="766"/>
      <c r="KQ246" s="766"/>
      <c r="KR246" s="766"/>
      <c r="KS246" s="766"/>
      <c r="KT246" s="766"/>
      <c r="KU246" s="766"/>
      <c r="KV246" s="766"/>
      <c r="KW246" s="766"/>
      <c r="KX246" s="766"/>
      <c r="KY246" s="766"/>
      <c r="KZ246" s="766"/>
      <c r="LA246" s="766"/>
      <c r="LB246" s="766"/>
      <c r="LC246" s="766"/>
      <c r="LD246" s="766"/>
      <c r="LE246" s="766"/>
      <c r="LF246" s="766"/>
      <c r="LG246" s="766"/>
      <c r="LH246" s="766"/>
      <c r="LI246" s="766"/>
      <c r="LJ246" s="766"/>
      <c r="LK246" s="766"/>
      <c r="LL246" s="766"/>
      <c r="LM246" s="766"/>
      <c r="LN246" s="766"/>
      <c r="LO246" s="766"/>
      <c r="LP246" s="766"/>
      <c r="LQ246" s="1678"/>
      <c r="LR246" s="766"/>
      <c r="LS246" s="766"/>
      <c r="LT246" s="766"/>
      <c r="LU246" s="766"/>
      <c r="LV246" s="766"/>
      <c r="LW246" s="766"/>
      <c r="LX246" s="769"/>
      <c r="LY246" s="766" t="str">
        <f t="shared" si="72"/>
        <v/>
      </c>
      <c r="LZ246" s="121"/>
      <c r="MA246" s="66"/>
      <c r="MB246" s="66"/>
      <c r="MC246" s="1679">
        <f t="shared" si="70"/>
        <v>0</v>
      </c>
      <c r="MD246" s="66"/>
      <c r="ME246" s="66"/>
      <c r="MF246" s="66"/>
      <c r="MG246" s="1680">
        <f t="shared" si="48"/>
        <v>0</v>
      </c>
      <c r="MH246" s="1681"/>
      <c r="MI246" s="775"/>
      <c r="MJ246" s="775"/>
      <c r="MK246" s="775"/>
      <c r="ML246" s="775"/>
      <c r="MM246" s="775"/>
      <c r="MN246" s="775"/>
      <c r="MO246" s="775"/>
      <c r="MP246" s="775"/>
      <c r="MQ246" s="775"/>
      <c r="MR246" s="775"/>
      <c r="MS246" s="775"/>
      <c r="MT246" s="775"/>
      <c r="MU246" s="775"/>
      <c r="MV246" s="775"/>
      <c r="MW246" s="775"/>
      <c r="MX246" s="775"/>
      <c r="MY246" s="1682">
        <f t="shared" si="49"/>
        <v>0</v>
      </c>
      <c r="MZ246" s="766"/>
      <c r="NA246" s="766"/>
      <c r="NB246" s="766"/>
      <c r="NC246" s="766"/>
      <c r="ND246" s="766"/>
      <c r="NE246" s="766"/>
      <c r="NF246" s="766"/>
      <c r="NG246" s="766"/>
      <c r="NH246" s="766"/>
      <c r="NI246" s="766"/>
      <c r="NJ246" s="766"/>
      <c r="NK246" s="766"/>
      <c r="NL246" s="766"/>
      <c r="NM246" s="766"/>
      <c r="NN246" s="766"/>
      <c r="NO246" s="766"/>
      <c r="NP246" s="766"/>
      <c r="NQ246" s="766"/>
      <c r="NR246" s="766"/>
      <c r="NS246" s="766"/>
      <c r="NT246" s="766"/>
      <c r="NU246" s="766"/>
      <c r="NV246" s="766"/>
      <c r="NW246" s="766"/>
      <c r="NX246" s="766"/>
      <c r="NY246" s="766"/>
      <c r="NZ246" s="766"/>
      <c r="OA246" s="766"/>
      <c r="OB246" s="766"/>
      <c r="OC246" s="766"/>
      <c r="OD246" s="766"/>
      <c r="OE246" s="766"/>
      <c r="OF246" s="766"/>
      <c r="OG246" s="766"/>
      <c r="OH246" s="766"/>
      <c r="OI246" s="766"/>
      <c r="OJ246" s="766"/>
      <c r="OK246" s="766"/>
      <c r="OL246" s="766"/>
      <c r="OM246" s="766"/>
      <c r="ON246" s="766"/>
      <c r="OO246" s="766"/>
      <c r="OP246" s="766"/>
      <c r="OQ246" s="766"/>
      <c r="OR246" s="766"/>
      <c r="OS246" s="766"/>
      <c r="OT246" s="766"/>
      <c r="OU246" s="766"/>
      <c r="OV246" s="766"/>
      <c r="OW246" s="766"/>
      <c r="OX246" s="766"/>
      <c r="OY246" s="766"/>
      <c r="OZ246" s="766"/>
      <c r="PA246" s="766"/>
      <c r="PB246" s="766"/>
      <c r="PC246" s="766"/>
      <c r="PD246" s="766"/>
      <c r="PE246" s="766"/>
      <c r="PF246" s="766"/>
      <c r="PG246" s="766"/>
      <c r="PH246" s="766"/>
      <c r="PI246" s="766"/>
      <c r="PJ246" s="766"/>
      <c r="PK246" s="766"/>
      <c r="PL246" s="766"/>
      <c r="PM246" s="766"/>
      <c r="PN246" s="766"/>
      <c r="PO246" s="766"/>
      <c r="PP246" s="766"/>
      <c r="PQ246" s="766"/>
      <c r="PR246" s="766"/>
      <c r="PS246" s="766"/>
      <c r="PT246" s="766"/>
      <c r="PU246" s="766"/>
      <c r="PV246" s="766"/>
      <c r="PW246" s="766"/>
      <c r="PX246" s="766"/>
      <c r="PY246" s="766"/>
      <c r="PZ246" s="766"/>
      <c r="QA246" s="766"/>
      <c r="QB246" s="766"/>
      <c r="QC246" s="766"/>
      <c r="QD246" s="766"/>
      <c r="QE246" s="766"/>
      <c r="QF246" s="766"/>
      <c r="QG246" s="766"/>
      <c r="QH246" s="766"/>
      <c r="QI246" s="766"/>
      <c r="QJ246" s="766"/>
      <c r="QK246" s="766"/>
      <c r="QL246" s="766"/>
      <c r="QM246" s="766"/>
      <c r="QN246" s="766"/>
      <c r="QO246" s="766"/>
      <c r="QP246" s="766"/>
      <c r="QQ246" s="766"/>
      <c r="QR246" s="766"/>
      <c r="QS246" s="766"/>
      <c r="QT246" s="766"/>
      <c r="QU246" s="766"/>
      <c r="QV246" s="766"/>
      <c r="QW246" s="766"/>
      <c r="QX246" s="766"/>
      <c r="QY246" s="766"/>
      <c r="QZ246" s="766"/>
      <c r="RA246" s="766"/>
      <c r="RB246" s="766"/>
      <c r="RC246" s="766"/>
      <c r="RD246" s="766"/>
      <c r="RE246" s="766"/>
      <c r="RF246" s="777"/>
      <c r="RG246" s="766"/>
      <c r="RH246" s="775"/>
      <c r="RI246" s="766"/>
      <c r="RJ246" s="766"/>
      <c r="RK246" s="766"/>
      <c r="RL246" s="1683"/>
      <c r="RM246" s="12"/>
      <c r="RN246" s="1711"/>
      <c r="RO246" s="148" t="s">
        <v>11881</v>
      </c>
      <c r="RP246" s="11"/>
      <c r="RQ246" s="11"/>
      <c r="RR246" s="771"/>
      <c r="RS246" s="766"/>
      <c r="RT246" s="11"/>
      <c r="RU246" s="11"/>
      <c r="RV246" s="766"/>
      <c r="RW246" s="11"/>
      <c r="RX246" s="11" t="s">
        <v>11879</v>
      </c>
      <c r="RY246" s="11"/>
      <c r="RZ246" s="11"/>
      <c r="SA246" s="766"/>
      <c r="SB246" s="11"/>
      <c r="SC246" s="11"/>
    </row>
    <row r="247" spans="1:497" ht="12.75" hidden="1" customHeight="1">
      <c r="A247" s="154" t="s">
        <v>14160</v>
      </c>
      <c r="B247" s="750"/>
      <c r="C247" s="148" t="s">
        <v>11882</v>
      </c>
      <c r="D247" s="766" t="s">
        <v>11876</v>
      </c>
      <c r="E247" s="766" t="s">
        <v>5846</v>
      </c>
      <c r="F247" s="766"/>
      <c r="G247" s="766"/>
      <c r="H247" s="766"/>
      <c r="I247" s="5"/>
      <c r="J247" s="14"/>
      <c r="K247" s="766"/>
      <c r="L247" s="766"/>
      <c r="M247" s="766"/>
      <c r="N247" s="766"/>
      <c r="O247" s="766"/>
      <c r="P247" s="766"/>
      <c r="Q247" s="1085"/>
      <c r="R247" s="25"/>
      <c r="S247" s="770"/>
      <c r="T247" s="766"/>
      <c r="U247" s="26"/>
      <c r="V247" s="766"/>
      <c r="W247" s="766"/>
      <c r="X247" s="24"/>
      <c r="Y247" s="766"/>
      <c r="Z247" s="766"/>
      <c r="AA247" s="766"/>
      <c r="AB247" s="766"/>
      <c r="AC247" s="766"/>
      <c r="AD247" s="766"/>
      <c r="AE247" s="766"/>
      <c r="AF247" s="766"/>
      <c r="AG247" s="766"/>
      <c r="AH247" s="766"/>
      <c r="AI247" s="766"/>
      <c r="AJ247" s="766"/>
      <c r="AK247" s="766"/>
      <c r="AL247" s="772">
        <v>124.1</v>
      </c>
      <c r="AM247" s="772">
        <v>124.1</v>
      </c>
      <c r="AN247" s="774">
        <v>1</v>
      </c>
      <c r="AO247" s="766" t="s">
        <v>1122</v>
      </c>
      <c r="AP247" s="766"/>
      <c r="AQ247" s="766"/>
      <c r="AR247" s="766"/>
      <c r="AS247" s="766"/>
      <c r="AT247" s="766"/>
      <c r="AU247" s="766"/>
      <c r="AV247" s="766"/>
      <c r="AW247" s="766"/>
      <c r="AX247" s="766"/>
      <c r="AY247" s="766"/>
      <c r="AZ247" s="766"/>
      <c r="BA247" s="766"/>
      <c r="BB247" s="766"/>
      <c r="BC247" s="766"/>
      <c r="BD247" s="766"/>
      <c r="BE247" s="766"/>
      <c r="BF247" s="775"/>
      <c r="BG247" s="775"/>
      <c r="BH247" s="766"/>
      <c r="BI247" s="766"/>
      <c r="BJ247" s="766"/>
      <c r="BK247" s="766"/>
      <c r="BL247" s="766"/>
      <c r="BM247" s="766"/>
      <c r="BN247" s="766"/>
      <c r="BO247" s="766"/>
      <c r="BP247" s="773">
        <f t="shared" si="73"/>
        <v>124.1</v>
      </c>
      <c r="BQ247" s="773">
        <f t="shared" si="73"/>
        <v>124.1</v>
      </c>
      <c r="BR247" s="774">
        <f t="shared" si="73"/>
        <v>1</v>
      </c>
      <c r="BS247" s="766" t="s">
        <v>1257</v>
      </c>
      <c r="BT247" s="766"/>
      <c r="BU247" s="766"/>
      <c r="BV247" s="766"/>
      <c r="BW247" s="769"/>
      <c r="BX247" s="775"/>
      <c r="BY247" s="766"/>
      <c r="BZ247" s="775"/>
      <c r="CA247" s="766"/>
      <c r="CB247" s="766"/>
      <c r="CC247" s="766"/>
      <c r="CD247" s="766"/>
      <c r="CE247" s="766"/>
      <c r="CF247" s="777"/>
      <c r="CG247" s="231"/>
      <c r="CH247" s="766"/>
      <c r="CI247" s="766"/>
      <c r="CJ247" s="766"/>
      <c r="CK247" s="766"/>
      <c r="CL247" s="766"/>
      <c r="CM247" s="766"/>
      <c r="CN247" s="766"/>
      <c r="CO247" s="766"/>
      <c r="CP247" s="766"/>
      <c r="CQ247" s="766"/>
      <c r="CR247" s="775"/>
      <c r="CS247" s="766"/>
      <c r="CT247" s="766"/>
      <c r="CU247" s="129"/>
      <c r="CV247" s="766"/>
      <c r="CW247" s="766"/>
      <c r="CX247" s="766"/>
      <c r="CY247" s="766"/>
      <c r="CZ247" s="766"/>
      <c r="DA247" s="66"/>
      <c r="DB247" s="766"/>
      <c r="DC247" s="766"/>
      <c r="DD247" s="766"/>
      <c r="DE247" s="772"/>
      <c r="DF247" s="766"/>
      <c r="DG247" s="766"/>
      <c r="DH247" s="766"/>
      <c r="DI247" s="766"/>
      <c r="DJ247" s="766"/>
      <c r="DK247" s="766"/>
      <c r="DL247" s="766"/>
      <c r="DM247" s="766"/>
      <c r="DN247" s="44"/>
      <c r="DO247" s="766"/>
      <c r="DP247" s="766"/>
      <c r="DQ247" s="766"/>
      <c r="DR247" s="766"/>
      <c r="DS247" s="59"/>
      <c r="DT247" s="766"/>
      <c r="DU247" s="766"/>
      <c r="DV247" s="766"/>
      <c r="DW247" s="66"/>
      <c r="DX247" s="66"/>
      <c r="DY247" s="766"/>
      <c r="DZ247" s="766"/>
      <c r="EA247" s="766"/>
      <c r="EB247" s="766"/>
      <c r="EC247" s="766"/>
      <c r="ED247" s="766"/>
      <c r="EE247" s="766"/>
      <c r="EF247" s="766"/>
      <c r="EG247" s="766"/>
      <c r="EH247" s="766"/>
      <c r="EI247" s="766"/>
      <c r="EJ247" s="766"/>
      <c r="EK247" s="766"/>
      <c r="EL247" s="766"/>
      <c r="EM247" s="766"/>
      <c r="EN247" s="766"/>
      <c r="EO247" s="766"/>
      <c r="EP247" s="14"/>
      <c r="EQ247" s="766"/>
      <c r="ER247" s="766"/>
      <c r="ES247" s="766"/>
      <c r="ET247" s="766"/>
      <c r="EU247" s="766"/>
      <c r="EV247" s="766"/>
      <c r="EW247" s="766"/>
      <c r="EX247" s="766"/>
      <c r="EY247" s="766"/>
      <c r="EZ247" s="766"/>
      <c r="FA247" s="766"/>
      <c r="FB247" s="766"/>
      <c r="FC247" s="766"/>
      <c r="FD247" s="775"/>
      <c r="FE247" s="766"/>
      <c r="FF247" s="766"/>
      <c r="FG247" s="766"/>
      <c r="FH247" s="766"/>
      <c r="FI247" s="766"/>
      <c r="FJ247" s="766"/>
      <c r="FK247" s="766"/>
      <c r="FL247" s="766"/>
      <c r="FM247" s="775"/>
      <c r="FN247" s="775"/>
      <c r="FO247" s="775"/>
      <c r="FP247" s="766"/>
      <c r="FQ247" s="766"/>
      <c r="FR247" s="766"/>
      <c r="FS247" s="766"/>
      <c r="FT247" s="766"/>
      <c r="FU247" s="766"/>
      <c r="FV247" s="766"/>
      <c r="FW247" s="766"/>
      <c r="FX247" s="766"/>
      <c r="FY247" s="766"/>
      <c r="FZ247" s="766"/>
      <c r="GA247" s="766"/>
      <c r="GB247" s="766"/>
      <c r="GC247" s="75"/>
      <c r="GD247" s="25"/>
      <c r="GE247" s="766"/>
      <c r="GF247" s="775"/>
      <c r="GG247" s="775"/>
      <c r="GH247" s="766"/>
      <c r="GI247" s="766"/>
      <c r="GJ247" s="766"/>
      <c r="GK247" s="766"/>
      <c r="GL247" s="766"/>
      <c r="GM247" s="766"/>
      <c r="GN247" s="82"/>
      <c r="GO247" s="766"/>
      <c r="GP247" s="766"/>
      <c r="GQ247" s="766"/>
      <c r="GR247" s="766"/>
      <c r="GS247" s="766"/>
      <c r="GT247" s="766"/>
      <c r="GU247" s="766"/>
      <c r="GV247" s="766"/>
      <c r="GW247" s="766"/>
      <c r="GX247" s="766"/>
      <c r="GY247" s="766"/>
      <c r="GZ247" s="766"/>
      <c r="HA247" s="766"/>
      <c r="HB247" s="766"/>
      <c r="HC247" s="766"/>
      <c r="HD247" s="766"/>
      <c r="HE247" s="766"/>
      <c r="HF247" s="766"/>
      <c r="HG247" s="766"/>
      <c r="HH247" s="766"/>
      <c r="HI247" s="766"/>
      <c r="HJ247" s="766"/>
      <c r="HK247" s="766"/>
      <c r="HL247" s="766"/>
      <c r="HM247" s="766"/>
      <c r="HN247" s="766"/>
      <c r="HO247" s="766"/>
      <c r="HP247" s="766"/>
      <c r="HQ247" s="766"/>
      <c r="HR247" s="766"/>
      <c r="HS247" s="766"/>
      <c r="HT247" s="766"/>
      <c r="HU247" s="766"/>
      <c r="HV247" s="766"/>
      <c r="HW247" s="766"/>
      <c r="HX247" s="766"/>
      <c r="HY247" s="766"/>
      <c r="HZ247" s="766"/>
      <c r="IA247" s="766"/>
      <c r="IB247" s="14"/>
      <c r="IC247" s="14"/>
      <c r="ID247" s="14"/>
      <c r="IE247" s="14"/>
      <c r="IF247" s="766"/>
      <c r="IG247" s="766"/>
      <c r="IH247" s="766"/>
      <c r="II247" s="766"/>
      <c r="IJ247" s="766"/>
      <c r="IK247" s="766"/>
      <c r="IL247" s="766"/>
      <c r="IM247" s="766"/>
      <c r="IN247" s="766"/>
      <c r="IO247" s="24"/>
      <c r="IP247" s="766"/>
      <c r="IQ247" s="766"/>
      <c r="IR247" s="766"/>
      <c r="IS247" s="766"/>
      <c r="IT247" s="766"/>
      <c r="IU247" s="766"/>
      <c r="IV247" s="766"/>
      <c r="IW247" s="766"/>
      <c r="IX247" s="766"/>
      <c r="IY247" s="766"/>
      <c r="IZ247" s="766"/>
      <c r="JA247" s="766"/>
      <c r="JB247" s="766"/>
      <c r="JC247" s="766"/>
      <c r="JD247" s="775"/>
      <c r="JE247" s="766"/>
      <c r="JF247" s="766"/>
      <c r="JG247" s="766"/>
      <c r="JH247" s="766"/>
      <c r="JI247" s="766"/>
      <c r="JJ247" s="766"/>
      <c r="JK247" s="766"/>
      <c r="JL247" s="766"/>
      <c r="JM247" s="766"/>
      <c r="JN247" s="766"/>
      <c r="JO247" s="766"/>
      <c r="JP247" s="766"/>
      <c r="JQ247" s="766"/>
      <c r="JR247" s="766"/>
      <c r="JS247" s="766"/>
      <c r="JT247" s="766"/>
      <c r="JU247" s="766"/>
      <c r="JV247" s="766"/>
      <c r="JW247" s="766"/>
      <c r="JX247" s="766"/>
      <c r="JY247" s="766"/>
      <c r="JZ247" s="766"/>
      <c r="KA247" s="766"/>
      <c r="KB247" s="766"/>
      <c r="KC247" s="766"/>
      <c r="KD247" s="766"/>
      <c r="KE247" s="766"/>
      <c r="KF247" s="766"/>
      <c r="KG247" s="766"/>
      <c r="KH247" s="766"/>
      <c r="KI247" s="766"/>
      <c r="KJ247" s="770"/>
      <c r="KK247" s="770"/>
      <c r="KL247" s="770"/>
      <c r="KM247" s="770"/>
      <c r="KN247" s="766"/>
      <c r="KO247" s="28"/>
      <c r="KP247" s="766"/>
      <c r="KQ247" s="766"/>
      <c r="KR247" s="766"/>
      <c r="KS247" s="766"/>
      <c r="KT247" s="766"/>
      <c r="KU247" s="766"/>
      <c r="KV247" s="766"/>
      <c r="KW247" s="766"/>
      <c r="KX247" s="766"/>
      <c r="KY247" s="766"/>
      <c r="KZ247" s="766"/>
      <c r="LA247" s="766"/>
      <c r="LB247" s="766"/>
      <c r="LC247" s="766"/>
      <c r="LD247" s="766"/>
      <c r="LE247" s="766"/>
      <c r="LF247" s="766"/>
      <c r="LG247" s="766"/>
      <c r="LH247" s="766"/>
      <c r="LI247" s="766"/>
      <c r="LJ247" s="766"/>
      <c r="LK247" s="766"/>
      <c r="LL247" s="766"/>
      <c r="LM247" s="766"/>
      <c r="LN247" s="766"/>
      <c r="LO247" s="766"/>
      <c r="LP247" s="766"/>
      <c r="LQ247" s="1678"/>
      <c r="LR247" s="766"/>
      <c r="LS247" s="766"/>
      <c r="LT247" s="766"/>
      <c r="LU247" s="766"/>
      <c r="LV247" s="766"/>
      <c r="LW247" s="766"/>
      <c r="LX247" s="769"/>
      <c r="LY247" s="766" t="str">
        <f t="shared" si="72"/>
        <v/>
      </c>
      <c r="LZ247" s="121"/>
      <c r="MA247" s="66"/>
      <c r="MB247" s="66"/>
      <c r="MC247" s="1679">
        <f t="shared" si="70"/>
        <v>0</v>
      </c>
      <c r="MD247" s="66"/>
      <c r="ME247" s="66"/>
      <c r="MF247" s="66"/>
      <c r="MG247" s="1680">
        <f t="shared" si="48"/>
        <v>0</v>
      </c>
      <c r="MH247" s="1681"/>
      <c r="MI247" s="775"/>
      <c r="MJ247" s="775"/>
      <c r="MK247" s="775"/>
      <c r="ML247" s="775"/>
      <c r="MM247" s="775"/>
      <c r="MN247" s="775"/>
      <c r="MO247" s="775"/>
      <c r="MP247" s="775"/>
      <c r="MQ247" s="775"/>
      <c r="MR247" s="775"/>
      <c r="MS247" s="775"/>
      <c r="MT247" s="775"/>
      <c r="MU247" s="775"/>
      <c r="MV247" s="775"/>
      <c r="MW247" s="775"/>
      <c r="MX247" s="775"/>
      <c r="MY247" s="1682">
        <f t="shared" si="49"/>
        <v>0</v>
      </c>
      <c r="MZ247" s="766"/>
      <c r="NA247" s="766"/>
      <c r="NB247" s="766"/>
      <c r="NC247" s="766"/>
      <c r="ND247" s="766"/>
      <c r="NE247" s="766"/>
      <c r="NF247" s="766"/>
      <c r="NG247" s="766"/>
      <c r="NH247" s="766"/>
      <c r="NI247" s="766"/>
      <c r="NJ247" s="766"/>
      <c r="NK247" s="766"/>
      <c r="NL247" s="766"/>
      <c r="NM247" s="766"/>
      <c r="NN247" s="766"/>
      <c r="NO247" s="766"/>
      <c r="NP247" s="766"/>
      <c r="NQ247" s="766"/>
      <c r="NR247" s="766"/>
      <c r="NS247" s="766"/>
      <c r="NT247" s="766"/>
      <c r="NU247" s="766"/>
      <c r="NV247" s="766"/>
      <c r="NW247" s="766"/>
      <c r="NX247" s="766"/>
      <c r="NY247" s="766"/>
      <c r="NZ247" s="766"/>
      <c r="OA247" s="766"/>
      <c r="OB247" s="766"/>
      <c r="OC247" s="766"/>
      <c r="OD247" s="766"/>
      <c r="OE247" s="766"/>
      <c r="OF247" s="766"/>
      <c r="OG247" s="766"/>
      <c r="OH247" s="766"/>
      <c r="OI247" s="766"/>
      <c r="OJ247" s="766"/>
      <c r="OK247" s="766"/>
      <c r="OL247" s="766"/>
      <c r="OM247" s="766"/>
      <c r="ON247" s="766"/>
      <c r="OO247" s="766"/>
      <c r="OP247" s="766"/>
      <c r="OQ247" s="766"/>
      <c r="OR247" s="766"/>
      <c r="OS247" s="766"/>
      <c r="OT247" s="766"/>
      <c r="OU247" s="766"/>
      <c r="OV247" s="766"/>
      <c r="OW247" s="766"/>
      <c r="OX247" s="766"/>
      <c r="OY247" s="766"/>
      <c r="OZ247" s="766"/>
      <c r="PA247" s="766"/>
      <c r="PB247" s="766"/>
      <c r="PC247" s="766"/>
      <c r="PD247" s="766"/>
      <c r="PE247" s="766"/>
      <c r="PF247" s="766"/>
      <c r="PG247" s="766"/>
      <c r="PH247" s="766"/>
      <c r="PI247" s="766"/>
      <c r="PJ247" s="766"/>
      <c r="PK247" s="766"/>
      <c r="PL247" s="766"/>
      <c r="PM247" s="766"/>
      <c r="PN247" s="766"/>
      <c r="PO247" s="766"/>
      <c r="PP247" s="766"/>
      <c r="PQ247" s="766"/>
      <c r="PR247" s="766"/>
      <c r="PS247" s="766"/>
      <c r="PT247" s="766"/>
      <c r="PU247" s="766"/>
      <c r="PV247" s="766"/>
      <c r="PW247" s="766"/>
      <c r="PX247" s="766"/>
      <c r="PY247" s="766"/>
      <c r="PZ247" s="766"/>
      <c r="QA247" s="766"/>
      <c r="QB247" s="766"/>
      <c r="QC247" s="766"/>
      <c r="QD247" s="766"/>
      <c r="QE247" s="766"/>
      <c r="QF247" s="766"/>
      <c r="QG247" s="766"/>
      <c r="QH247" s="766"/>
      <c r="QI247" s="766"/>
      <c r="QJ247" s="766"/>
      <c r="QK247" s="766"/>
      <c r="QL247" s="766"/>
      <c r="QM247" s="766"/>
      <c r="QN247" s="766"/>
      <c r="QO247" s="766"/>
      <c r="QP247" s="766"/>
      <c r="QQ247" s="766"/>
      <c r="QR247" s="766"/>
      <c r="QS247" s="766"/>
      <c r="QT247" s="766"/>
      <c r="QU247" s="766"/>
      <c r="QV247" s="766"/>
      <c r="QW247" s="766"/>
      <c r="QX247" s="766"/>
      <c r="QY247" s="766"/>
      <c r="QZ247" s="766"/>
      <c r="RA247" s="766"/>
      <c r="RB247" s="766"/>
      <c r="RC247" s="766"/>
      <c r="RD247" s="766"/>
      <c r="RE247" s="766"/>
      <c r="RF247" s="777"/>
      <c r="RG247" s="766"/>
      <c r="RH247" s="775"/>
      <c r="RI247" s="766"/>
      <c r="RJ247" s="766"/>
      <c r="RK247" s="766"/>
      <c r="RL247" s="1683"/>
      <c r="RM247" s="12"/>
      <c r="RN247" s="1711"/>
      <c r="RO247" s="148" t="s">
        <v>11882</v>
      </c>
      <c r="RP247" s="11"/>
      <c r="RQ247" s="11"/>
      <c r="RR247" s="771"/>
      <c r="RS247" s="766"/>
      <c r="RT247" s="11"/>
      <c r="RU247" s="11"/>
      <c r="RV247" s="766"/>
      <c r="RW247" s="11"/>
      <c r="RX247" s="11" t="s">
        <v>11880</v>
      </c>
      <c r="RY247" s="11"/>
      <c r="RZ247" s="11"/>
      <c r="SA247" s="766"/>
      <c r="SB247" s="11"/>
      <c r="SC247" s="11"/>
    </row>
    <row r="248" spans="1:497" ht="12.75" hidden="1" customHeight="1">
      <c r="A248" s="767" t="s">
        <v>7419</v>
      </c>
      <c r="B248" s="750" t="s">
        <v>7605</v>
      </c>
      <c r="C248" s="148" t="s">
        <v>426</v>
      </c>
      <c r="D248" s="14" t="s">
        <v>427</v>
      </c>
      <c r="E248" s="766" t="s">
        <v>5846</v>
      </c>
      <c r="F248" s="766"/>
      <c r="G248" s="766"/>
      <c r="H248" s="766"/>
      <c r="I248" s="5"/>
      <c r="J248" s="14"/>
      <c r="K248" s="766" t="s">
        <v>428</v>
      </c>
      <c r="L248" s="766" t="s">
        <v>429</v>
      </c>
      <c r="M248" s="766"/>
      <c r="N248" s="766"/>
      <c r="O248" s="766"/>
      <c r="P248" s="766"/>
      <c r="Q248" s="1085"/>
      <c r="R248" s="25"/>
      <c r="S248" s="770"/>
      <c r="T248" s="766"/>
      <c r="U248" s="26"/>
      <c r="V248" s="766"/>
      <c r="W248" s="766"/>
      <c r="X248" s="24"/>
      <c r="Y248" s="766"/>
      <c r="Z248" s="766"/>
      <c r="AA248" s="766"/>
      <c r="AB248" s="766"/>
      <c r="AC248" s="766"/>
      <c r="AD248" s="766"/>
      <c r="AE248" s="766"/>
      <c r="AF248" s="766"/>
      <c r="AG248" s="766" t="s">
        <v>1165</v>
      </c>
      <c r="AH248" s="766" t="s">
        <v>1096</v>
      </c>
      <c r="AI248" s="766"/>
      <c r="AJ248" s="766" t="s">
        <v>427</v>
      </c>
      <c r="AK248" s="766" t="s">
        <v>1097</v>
      </c>
      <c r="AL248" s="1133">
        <v>1022.29</v>
      </c>
      <c r="AM248" s="1133">
        <v>1022.29</v>
      </c>
      <c r="AN248" s="774">
        <v>1</v>
      </c>
      <c r="AO248" s="766" t="s">
        <v>1122</v>
      </c>
      <c r="AP248" s="766"/>
      <c r="AQ248" s="766"/>
      <c r="AR248" s="766"/>
      <c r="AS248" s="766"/>
      <c r="AT248" s="766"/>
      <c r="AU248" s="766"/>
      <c r="AV248" s="766"/>
      <c r="AW248" s="766"/>
      <c r="AX248" s="766"/>
      <c r="AY248" s="766"/>
      <c r="AZ248" s="766"/>
      <c r="BA248" s="766"/>
      <c r="BB248" s="766"/>
      <c r="BC248" s="766"/>
      <c r="BD248" s="766"/>
      <c r="BE248" s="766"/>
      <c r="BF248" s="775"/>
      <c r="BG248" s="775"/>
      <c r="BH248" s="766"/>
      <c r="BI248" s="766"/>
      <c r="BJ248" s="766"/>
      <c r="BK248" s="766" t="s">
        <v>1099</v>
      </c>
      <c r="BL248" s="766" t="s">
        <v>1351</v>
      </c>
      <c r="BM248" s="766" t="s">
        <v>1100</v>
      </c>
      <c r="BN248" s="766" t="s">
        <v>1230</v>
      </c>
      <c r="BO248" s="766" t="s">
        <v>1246</v>
      </c>
      <c r="BP248" s="1134">
        <v>526.6</v>
      </c>
      <c r="BQ248" s="1132">
        <v>526.6</v>
      </c>
      <c r="BR248" s="774">
        <f>BQ248/BP248</f>
        <v>1</v>
      </c>
      <c r="BS248" s="766" t="s">
        <v>1257</v>
      </c>
      <c r="BT248" s="766" t="s">
        <v>2040</v>
      </c>
      <c r="BU248" s="766" t="s">
        <v>1241</v>
      </c>
      <c r="BV248" s="766" t="s">
        <v>1247</v>
      </c>
      <c r="BW248" s="769"/>
      <c r="BX248" s="775"/>
      <c r="BY248" s="766"/>
      <c r="BZ248" s="775"/>
      <c r="CA248" s="766"/>
      <c r="CB248" s="766" t="s">
        <v>1207</v>
      </c>
      <c r="CC248" s="766"/>
      <c r="CD248" s="766"/>
      <c r="CE248" s="766"/>
      <c r="CF248" s="777"/>
      <c r="CG248" s="231"/>
      <c r="CH248" s="766"/>
      <c r="CI248" s="766"/>
      <c r="CJ248" s="766"/>
      <c r="CK248" s="766"/>
      <c r="CL248" s="766"/>
      <c r="CM248" s="766"/>
      <c r="CN248" s="766"/>
      <c r="CO248" s="766"/>
      <c r="CP248" s="766"/>
      <c r="CQ248" s="766"/>
      <c r="CR248" s="775"/>
      <c r="CS248" s="766"/>
      <c r="CT248" s="766"/>
      <c r="CU248" s="129"/>
      <c r="CV248" s="766"/>
      <c r="CW248" s="766"/>
      <c r="CX248" s="766"/>
      <c r="CY248" s="766"/>
      <c r="CZ248" s="766"/>
      <c r="DA248" s="66"/>
      <c r="DB248" s="766"/>
      <c r="DC248" s="766"/>
      <c r="DD248" s="766"/>
      <c r="DE248" s="772"/>
      <c r="DF248" s="766"/>
      <c r="DG248" s="766"/>
      <c r="DH248" s="766"/>
      <c r="DI248" s="766"/>
      <c r="DJ248" s="766"/>
      <c r="DK248" s="766"/>
      <c r="DL248" s="766"/>
      <c r="DM248" s="766"/>
      <c r="DN248" s="44"/>
      <c r="DO248" s="766"/>
      <c r="DP248" s="766"/>
      <c r="DQ248" s="766"/>
      <c r="DR248" s="766"/>
      <c r="DS248" s="59"/>
      <c r="DT248" s="766"/>
      <c r="DU248" s="766"/>
      <c r="DV248" s="766"/>
      <c r="DW248" s="66"/>
      <c r="DX248" s="66"/>
      <c r="DY248" s="766"/>
      <c r="DZ248" s="766"/>
      <c r="EA248" s="766"/>
      <c r="EB248" s="766"/>
      <c r="EC248" s="766"/>
      <c r="ED248" s="766"/>
      <c r="EE248" s="766"/>
      <c r="EF248" s="766"/>
      <c r="EG248" s="766"/>
      <c r="EH248" s="766"/>
      <c r="EI248" s="766"/>
      <c r="EJ248" s="766"/>
      <c r="EK248" s="766"/>
      <c r="EL248" s="766"/>
      <c r="EM248" s="766"/>
      <c r="EN248" s="766"/>
      <c r="EO248" s="766"/>
      <c r="EP248" s="14"/>
      <c r="EQ248" s="766"/>
      <c r="ER248" s="766"/>
      <c r="ES248" s="766"/>
      <c r="ET248" s="766"/>
      <c r="EU248" s="766"/>
      <c r="EV248" s="766"/>
      <c r="EW248" s="766"/>
      <c r="EX248" s="766"/>
      <c r="EY248" s="766"/>
      <c r="EZ248" s="766"/>
      <c r="FA248" s="766"/>
      <c r="FB248" s="766"/>
      <c r="FC248" s="766"/>
      <c r="FD248" s="775"/>
      <c r="FE248" s="766"/>
      <c r="FF248" s="766"/>
      <c r="FG248" s="766"/>
      <c r="FH248" s="766"/>
      <c r="FI248" s="766"/>
      <c r="FJ248" s="766"/>
      <c r="FK248" s="766"/>
      <c r="FL248" s="766"/>
      <c r="FM248" s="775"/>
      <c r="FN248" s="775"/>
      <c r="FO248" s="775"/>
      <c r="FP248" s="766" t="s">
        <v>1602</v>
      </c>
      <c r="FQ248" s="766" t="s">
        <v>1660</v>
      </c>
      <c r="FR248" s="766"/>
      <c r="FS248" s="766"/>
      <c r="FT248" s="766"/>
      <c r="FU248" s="766"/>
      <c r="FV248" s="766"/>
      <c r="FW248" s="766"/>
      <c r="FX248" s="766"/>
      <c r="FY248" s="766"/>
      <c r="FZ248" s="766"/>
      <c r="GA248" s="766"/>
      <c r="GB248" s="766"/>
      <c r="GC248" s="75"/>
      <c r="GD248" s="25"/>
      <c r="GE248" s="766"/>
      <c r="GF248" s="775"/>
      <c r="GG248" s="775"/>
      <c r="GH248" s="766"/>
      <c r="GI248" s="766"/>
      <c r="GJ248" s="766"/>
      <c r="GK248" s="766"/>
      <c r="GL248" s="766"/>
      <c r="GM248" s="766"/>
      <c r="GN248" s="82"/>
      <c r="GO248" s="766"/>
      <c r="GP248" s="766"/>
      <c r="GQ248" s="766"/>
      <c r="GR248" s="766"/>
      <c r="GS248" s="766"/>
      <c r="GT248" s="766"/>
      <c r="GU248" s="766"/>
      <c r="GV248" s="766"/>
      <c r="GW248" s="766"/>
      <c r="GX248" s="766"/>
      <c r="GY248" s="766"/>
      <c r="GZ248" s="766"/>
      <c r="HA248" s="766"/>
      <c r="HB248" s="766"/>
      <c r="HC248" s="766"/>
      <c r="HD248" s="766"/>
      <c r="HE248" s="766"/>
      <c r="HF248" s="766"/>
      <c r="HG248" s="766"/>
      <c r="HH248" s="766"/>
      <c r="HI248" s="766"/>
      <c r="HJ248" s="766"/>
      <c r="HK248" s="766"/>
      <c r="HL248" s="766"/>
      <c r="HM248" s="766"/>
      <c r="HN248" s="766"/>
      <c r="HO248" s="766"/>
      <c r="HP248" s="766"/>
      <c r="HQ248" s="766"/>
      <c r="HR248" s="766"/>
      <c r="HS248" s="766"/>
      <c r="HT248" s="766"/>
      <c r="HU248" s="766"/>
      <c r="HV248" s="766"/>
      <c r="HW248" s="766"/>
      <c r="HX248" s="766"/>
      <c r="HY248" s="766"/>
      <c r="HZ248" s="766"/>
      <c r="IA248" s="766"/>
      <c r="IB248" s="14" t="e">
        <f>IF(#REF!&gt;0,IF(#REF!&lt;=10000,"Y",""),"")</f>
        <v>#REF!</v>
      </c>
      <c r="IC248" s="14"/>
      <c r="ID248" s="14"/>
      <c r="IE248" s="14"/>
      <c r="IF248" s="766"/>
      <c r="IG248" s="766"/>
      <c r="IH248" s="766"/>
      <c r="II248" s="766"/>
      <c r="IJ248" s="766"/>
      <c r="IK248" s="766"/>
      <c r="IL248" s="766"/>
      <c r="IM248" s="766"/>
      <c r="IN248" s="766"/>
      <c r="IO248" s="24"/>
      <c r="IP248" s="766"/>
      <c r="IQ248" s="766"/>
      <c r="IR248" s="766"/>
      <c r="IS248" s="766"/>
      <c r="IT248" s="766"/>
      <c r="IU248" s="766"/>
      <c r="IV248" s="766"/>
      <c r="IW248" s="766"/>
      <c r="IX248" s="766"/>
      <c r="IY248" s="766"/>
      <c r="IZ248" s="766"/>
      <c r="JA248" s="766"/>
      <c r="JB248" s="766"/>
      <c r="JC248" s="766"/>
      <c r="JD248" s="775"/>
      <c r="JE248" s="766"/>
      <c r="JF248" s="766"/>
      <c r="JG248" s="766"/>
      <c r="JH248" s="766"/>
      <c r="JI248" s="766"/>
      <c r="JJ248" s="766"/>
      <c r="JK248" s="766"/>
      <c r="JL248" s="766"/>
      <c r="JM248" s="766"/>
      <c r="JN248" s="766"/>
      <c r="JO248" s="766"/>
      <c r="JP248" s="766"/>
      <c r="JQ248" s="766"/>
      <c r="JR248" s="766"/>
      <c r="JS248" s="766"/>
      <c r="JT248" s="766"/>
      <c r="JU248" s="766"/>
      <c r="JV248" s="766"/>
      <c r="JW248" s="766"/>
      <c r="JX248" s="766"/>
      <c r="JY248" s="766"/>
      <c r="JZ248" s="766"/>
      <c r="KA248" s="766"/>
      <c r="KB248" s="766"/>
      <c r="KC248" s="766"/>
      <c r="KD248" s="766"/>
      <c r="KE248" s="766"/>
      <c r="KF248" s="766"/>
      <c r="KG248" s="766"/>
      <c r="KH248" s="766"/>
      <c r="KI248" s="766"/>
      <c r="KJ248" s="770"/>
      <c r="KK248" s="770"/>
      <c r="KL248" s="770"/>
      <c r="KM248" s="770"/>
      <c r="KN248" s="766"/>
      <c r="KO248" s="28"/>
      <c r="KP248" s="766"/>
      <c r="KQ248" s="766"/>
      <c r="KR248" s="766"/>
      <c r="KS248" s="766"/>
      <c r="KT248" s="766"/>
      <c r="KU248" s="766"/>
      <c r="KV248" s="766"/>
      <c r="KW248" s="766"/>
      <c r="KX248" s="766"/>
      <c r="KY248" s="766"/>
      <c r="KZ248" s="766"/>
      <c r="LA248" s="766"/>
      <c r="LB248" s="766"/>
      <c r="LC248" s="766"/>
      <c r="LD248" s="766"/>
      <c r="LE248" s="766"/>
      <c r="LF248" s="766"/>
      <c r="LG248" s="766"/>
      <c r="LH248" s="766"/>
      <c r="LI248" s="766"/>
      <c r="LJ248" s="766"/>
      <c r="LK248" s="766"/>
      <c r="LL248" s="766"/>
      <c r="LM248" s="766"/>
      <c r="LN248" s="766"/>
      <c r="LO248" s="766"/>
      <c r="LP248" s="766"/>
      <c r="LQ248" s="1678"/>
      <c r="LR248" s="766"/>
      <c r="LS248" s="766"/>
      <c r="LT248" s="766"/>
      <c r="LU248" s="766"/>
      <c r="LV248" s="766"/>
      <c r="LW248" s="766"/>
      <c r="LX248" s="769"/>
      <c r="LY248" s="766" t="str">
        <f t="shared" si="72"/>
        <v/>
      </c>
      <c r="LZ248" s="121"/>
      <c r="MA248" s="66"/>
      <c r="MB248" s="66"/>
      <c r="MC248" s="1679">
        <f t="shared" si="70"/>
        <v>0</v>
      </c>
      <c r="MD248" s="66"/>
      <c r="ME248" s="66"/>
      <c r="MF248" s="66"/>
      <c r="MG248" s="1680">
        <f t="shared" si="48"/>
        <v>0</v>
      </c>
      <c r="MH248" s="1681"/>
      <c r="MI248" s="775"/>
      <c r="MJ248" s="775"/>
      <c r="MK248" s="775"/>
      <c r="ML248" s="775"/>
      <c r="MM248" s="775"/>
      <c r="MN248" s="775"/>
      <c r="MO248" s="775"/>
      <c r="MP248" s="775"/>
      <c r="MQ248" s="775"/>
      <c r="MR248" s="775"/>
      <c r="MS248" s="775"/>
      <c r="MT248" s="775"/>
      <c r="MU248" s="775"/>
      <c r="MV248" s="775"/>
      <c r="MW248" s="775"/>
      <c r="MX248" s="775"/>
      <c r="MY248" s="1682">
        <f t="shared" si="49"/>
        <v>0</v>
      </c>
      <c r="MZ248" s="766"/>
      <c r="NA248" s="766"/>
      <c r="NB248" s="766"/>
      <c r="NC248" s="766"/>
      <c r="ND248" s="766"/>
      <c r="NE248" s="766"/>
      <c r="NF248" s="766"/>
      <c r="NG248" s="766"/>
      <c r="NH248" s="766"/>
      <c r="NI248" s="766"/>
      <c r="NJ248" s="766"/>
      <c r="NK248" s="766"/>
      <c r="NL248" s="766"/>
      <c r="NM248" s="766"/>
      <c r="NN248" s="766"/>
      <c r="NO248" s="766"/>
      <c r="NP248" s="766"/>
      <c r="NQ248" s="766"/>
      <c r="NR248" s="766"/>
      <c r="NS248" s="766"/>
      <c r="NT248" s="766"/>
      <c r="NU248" s="766"/>
      <c r="NV248" s="766"/>
      <c r="NW248" s="766"/>
      <c r="NX248" s="766"/>
      <c r="NY248" s="766"/>
      <c r="NZ248" s="766"/>
      <c r="OA248" s="766"/>
      <c r="OB248" s="766"/>
      <c r="OC248" s="766"/>
      <c r="OD248" s="766"/>
      <c r="OE248" s="766"/>
      <c r="OF248" s="766"/>
      <c r="OG248" s="766"/>
      <c r="OH248" s="766"/>
      <c r="OI248" s="766"/>
      <c r="OJ248" s="766"/>
      <c r="OK248" s="766"/>
      <c r="OL248" s="766"/>
      <c r="OM248" s="766"/>
      <c r="ON248" s="766"/>
      <c r="OO248" s="766"/>
      <c r="OP248" s="766"/>
      <c r="OQ248" s="766"/>
      <c r="OR248" s="766"/>
      <c r="OS248" s="766"/>
      <c r="OT248" s="766"/>
      <c r="OU248" s="766"/>
      <c r="OV248" s="766"/>
      <c r="OW248" s="766"/>
      <c r="OX248" s="766"/>
      <c r="OY248" s="766"/>
      <c r="OZ248" s="766"/>
      <c r="PA248" s="766"/>
      <c r="PB248" s="766"/>
      <c r="PC248" s="766"/>
      <c r="PD248" s="766"/>
      <c r="PE248" s="766"/>
      <c r="PF248" s="766"/>
      <c r="PG248" s="766"/>
      <c r="PH248" s="766"/>
      <c r="PI248" s="766"/>
      <c r="PJ248" s="766"/>
      <c r="PK248" s="766"/>
      <c r="PL248" s="766"/>
      <c r="PM248" s="766"/>
      <c r="PN248" s="766"/>
      <c r="PO248" s="766"/>
      <c r="PP248" s="766"/>
      <c r="PQ248" s="766"/>
      <c r="PR248" s="766"/>
      <c r="PS248" s="766"/>
      <c r="PT248" s="766"/>
      <c r="PU248" s="766"/>
      <c r="PV248" s="766"/>
      <c r="PW248" s="766"/>
      <c r="PX248" s="766"/>
      <c r="PY248" s="766"/>
      <c r="PZ248" s="766"/>
      <c r="QA248" s="766"/>
      <c r="QB248" s="766"/>
      <c r="QC248" s="766"/>
      <c r="QD248" s="766"/>
      <c r="QE248" s="766"/>
      <c r="QF248" s="766"/>
      <c r="QG248" s="766"/>
      <c r="QH248" s="766"/>
      <c r="QI248" s="766"/>
      <c r="QJ248" s="766"/>
      <c r="QK248" s="766"/>
      <c r="QL248" s="766"/>
      <c r="QM248" s="766"/>
      <c r="QN248" s="766"/>
      <c r="QO248" s="766"/>
      <c r="QP248" s="766"/>
      <c r="QQ248" s="766"/>
      <c r="QR248" s="766"/>
      <c r="QS248" s="766"/>
      <c r="QT248" s="766"/>
      <c r="QU248" s="766"/>
      <c r="QV248" s="766"/>
      <c r="QW248" s="766"/>
      <c r="QX248" s="766"/>
      <c r="QY248" s="766"/>
      <c r="QZ248" s="766"/>
      <c r="RA248" s="766"/>
      <c r="RB248" s="766"/>
      <c r="RC248" s="766"/>
      <c r="RD248" s="766"/>
      <c r="RE248" s="766"/>
      <c r="RF248" s="777"/>
      <c r="RG248" s="766"/>
      <c r="RH248" s="775"/>
      <c r="RI248" s="766"/>
      <c r="RJ248" s="766" t="s">
        <v>835</v>
      </c>
      <c r="RK248" s="766" t="s">
        <v>835</v>
      </c>
      <c r="RL248" s="1683"/>
      <c r="RM248" s="12"/>
      <c r="RN248" s="1711"/>
      <c r="RO248" s="148" t="s">
        <v>426</v>
      </c>
      <c r="RP248" s="11"/>
      <c r="RQ248" s="11"/>
      <c r="RR248" s="771"/>
      <c r="RS248" s="766"/>
      <c r="RT248" s="11"/>
      <c r="RU248" s="11"/>
      <c r="RV248" s="766"/>
      <c r="RW248" s="11"/>
      <c r="RX248" s="11" t="s">
        <v>11881</v>
      </c>
      <c r="RY248" s="11"/>
      <c r="RZ248" s="11" t="s">
        <v>2209</v>
      </c>
      <c r="SA248" s="766"/>
      <c r="SB248" s="11"/>
      <c r="SC248" s="11"/>
    </row>
    <row r="249" spans="1:497" ht="12.75" hidden="1" customHeight="1">
      <c r="A249" s="154" t="s">
        <v>14161</v>
      </c>
      <c r="B249" s="750"/>
      <c r="C249" s="148" t="s">
        <v>11888</v>
      </c>
      <c r="D249" s="14" t="s">
        <v>11883</v>
      </c>
      <c r="E249" s="766" t="s">
        <v>5846</v>
      </c>
      <c r="F249" s="766"/>
      <c r="G249" s="766"/>
      <c r="H249" s="766"/>
      <c r="I249" s="5"/>
      <c r="J249" s="14"/>
      <c r="K249" s="766"/>
      <c r="L249" s="766"/>
      <c r="M249" s="766"/>
      <c r="N249" s="766"/>
      <c r="O249" s="766"/>
      <c r="P249" s="766"/>
      <c r="Q249" s="1085"/>
      <c r="R249" s="25"/>
      <c r="S249" s="770"/>
      <c r="T249" s="766"/>
      <c r="U249" s="26"/>
      <c r="V249" s="766"/>
      <c r="W249" s="766"/>
      <c r="X249" s="24"/>
      <c r="Y249" s="766"/>
      <c r="Z249" s="766"/>
      <c r="AA249" s="766"/>
      <c r="AB249" s="766"/>
      <c r="AC249" s="766"/>
      <c r="AD249" s="766"/>
      <c r="AE249" s="766"/>
      <c r="AF249" s="766"/>
      <c r="AG249" s="766"/>
      <c r="AH249" s="766"/>
      <c r="AI249" s="766"/>
      <c r="AJ249" s="766"/>
      <c r="AK249" s="766"/>
      <c r="AL249" s="1133">
        <v>59.16</v>
      </c>
      <c r="AM249" s="1133">
        <v>59.16</v>
      </c>
      <c r="AN249" s="774">
        <v>1</v>
      </c>
      <c r="AO249" s="766" t="s">
        <v>1122</v>
      </c>
      <c r="AP249" s="766"/>
      <c r="AQ249" s="766"/>
      <c r="AR249" s="766"/>
      <c r="AS249" s="766"/>
      <c r="AT249" s="766"/>
      <c r="AU249" s="766"/>
      <c r="AV249" s="766"/>
      <c r="AW249" s="766"/>
      <c r="AX249" s="766"/>
      <c r="AY249" s="766"/>
      <c r="AZ249" s="766"/>
      <c r="BA249" s="766"/>
      <c r="BB249" s="766"/>
      <c r="BC249" s="766"/>
      <c r="BD249" s="766"/>
      <c r="BE249" s="766"/>
      <c r="BF249" s="775"/>
      <c r="BG249" s="775"/>
      <c r="BH249" s="766"/>
      <c r="BI249" s="766"/>
      <c r="BJ249" s="766"/>
      <c r="BK249" s="766"/>
      <c r="BL249" s="766"/>
      <c r="BM249" s="766"/>
      <c r="BN249" s="766"/>
      <c r="BO249" s="766"/>
      <c r="BP249" s="1133">
        <v>59.16</v>
      </c>
      <c r="BQ249" s="1133">
        <v>59.16</v>
      </c>
      <c r="BR249" s="774">
        <v>1</v>
      </c>
      <c r="BS249" s="766" t="s">
        <v>1257</v>
      </c>
      <c r="BT249" s="766"/>
      <c r="BU249" s="766"/>
      <c r="BV249" s="766"/>
      <c r="BW249" s="769"/>
      <c r="BX249" s="775"/>
      <c r="BY249" s="766"/>
      <c r="BZ249" s="775"/>
      <c r="CA249" s="766"/>
      <c r="CB249" s="766"/>
      <c r="CC249" s="766"/>
      <c r="CD249" s="766"/>
      <c r="CE249" s="766"/>
      <c r="CF249" s="777"/>
      <c r="CG249" s="231"/>
      <c r="CH249" s="766"/>
      <c r="CI249" s="766"/>
      <c r="CJ249" s="766"/>
      <c r="CK249" s="766"/>
      <c r="CL249" s="766"/>
      <c r="CM249" s="766"/>
      <c r="CN249" s="766"/>
      <c r="CO249" s="766"/>
      <c r="CP249" s="766"/>
      <c r="CQ249" s="766"/>
      <c r="CR249" s="775"/>
      <c r="CS249" s="766"/>
      <c r="CT249" s="766"/>
      <c r="CU249" s="129"/>
      <c r="CV249" s="766"/>
      <c r="CW249" s="766"/>
      <c r="CX249" s="766"/>
      <c r="CY249" s="766"/>
      <c r="CZ249" s="766"/>
      <c r="DA249" s="66"/>
      <c r="DB249" s="766"/>
      <c r="DC249" s="766"/>
      <c r="DD249" s="766"/>
      <c r="DE249" s="772"/>
      <c r="DF249" s="766"/>
      <c r="DG249" s="766"/>
      <c r="DH249" s="766"/>
      <c r="DI249" s="766"/>
      <c r="DJ249" s="766"/>
      <c r="DK249" s="766"/>
      <c r="DL249" s="766"/>
      <c r="DM249" s="766"/>
      <c r="DN249" s="44"/>
      <c r="DO249" s="766"/>
      <c r="DP249" s="766"/>
      <c r="DQ249" s="766"/>
      <c r="DR249" s="766"/>
      <c r="DS249" s="59"/>
      <c r="DT249" s="766"/>
      <c r="DU249" s="766"/>
      <c r="DV249" s="766"/>
      <c r="DW249" s="66"/>
      <c r="DX249" s="66"/>
      <c r="DY249" s="766"/>
      <c r="DZ249" s="766"/>
      <c r="EA249" s="766"/>
      <c r="EB249" s="766"/>
      <c r="EC249" s="766"/>
      <c r="ED249" s="766"/>
      <c r="EE249" s="766"/>
      <c r="EF249" s="766"/>
      <c r="EG249" s="766"/>
      <c r="EH249" s="766"/>
      <c r="EI249" s="766"/>
      <c r="EJ249" s="766"/>
      <c r="EK249" s="766"/>
      <c r="EL249" s="766"/>
      <c r="EM249" s="766"/>
      <c r="EN249" s="766"/>
      <c r="EO249" s="766"/>
      <c r="EP249" s="14"/>
      <c r="EQ249" s="766"/>
      <c r="ER249" s="766"/>
      <c r="ES249" s="766"/>
      <c r="ET249" s="766"/>
      <c r="EU249" s="766"/>
      <c r="EV249" s="766"/>
      <c r="EW249" s="766"/>
      <c r="EX249" s="766"/>
      <c r="EY249" s="766"/>
      <c r="EZ249" s="766"/>
      <c r="FA249" s="766"/>
      <c r="FB249" s="766"/>
      <c r="FC249" s="766"/>
      <c r="FD249" s="775"/>
      <c r="FE249" s="766"/>
      <c r="FF249" s="766"/>
      <c r="FG249" s="766"/>
      <c r="FH249" s="766"/>
      <c r="FI249" s="766"/>
      <c r="FJ249" s="766"/>
      <c r="FK249" s="766"/>
      <c r="FL249" s="766"/>
      <c r="FM249" s="775"/>
      <c r="FN249" s="775"/>
      <c r="FO249" s="775"/>
      <c r="FP249" s="766"/>
      <c r="FQ249" s="766"/>
      <c r="FR249" s="766"/>
      <c r="FS249" s="766"/>
      <c r="FT249" s="766"/>
      <c r="FU249" s="766"/>
      <c r="FV249" s="766"/>
      <c r="FW249" s="766"/>
      <c r="FX249" s="766"/>
      <c r="FY249" s="766"/>
      <c r="FZ249" s="766"/>
      <c r="GA249" s="766"/>
      <c r="GB249" s="766"/>
      <c r="GC249" s="75"/>
      <c r="GD249" s="25"/>
      <c r="GE249" s="766"/>
      <c r="GF249" s="775"/>
      <c r="GG249" s="775"/>
      <c r="GH249" s="766"/>
      <c r="GI249" s="766"/>
      <c r="GJ249" s="766"/>
      <c r="GK249" s="766"/>
      <c r="GL249" s="766"/>
      <c r="GM249" s="766"/>
      <c r="GN249" s="82"/>
      <c r="GO249" s="766"/>
      <c r="GP249" s="766"/>
      <c r="GQ249" s="766"/>
      <c r="GR249" s="766"/>
      <c r="GS249" s="766"/>
      <c r="GT249" s="766"/>
      <c r="GU249" s="766"/>
      <c r="GV249" s="766"/>
      <c r="GW249" s="766"/>
      <c r="GX249" s="766"/>
      <c r="GY249" s="766"/>
      <c r="GZ249" s="766"/>
      <c r="HA249" s="766"/>
      <c r="HB249" s="766"/>
      <c r="HC249" s="766"/>
      <c r="HD249" s="766"/>
      <c r="HE249" s="766"/>
      <c r="HF249" s="766"/>
      <c r="HG249" s="766"/>
      <c r="HH249" s="766"/>
      <c r="HI249" s="766"/>
      <c r="HJ249" s="766"/>
      <c r="HK249" s="766"/>
      <c r="HL249" s="766"/>
      <c r="HM249" s="766"/>
      <c r="HN249" s="766"/>
      <c r="HO249" s="766"/>
      <c r="HP249" s="766"/>
      <c r="HQ249" s="766"/>
      <c r="HR249" s="766"/>
      <c r="HS249" s="766"/>
      <c r="HT249" s="766"/>
      <c r="HU249" s="766"/>
      <c r="HV249" s="766"/>
      <c r="HW249" s="766"/>
      <c r="HX249" s="766"/>
      <c r="HY249" s="766"/>
      <c r="HZ249" s="766"/>
      <c r="IA249" s="766"/>
      <c r="IB249" s="14"/>
      <c r="IC249" s="14"/>
      <c r="ID249" s="14"/>
      <c r="IE249" s="14"/>
      <c r="IF249" s="766"/>
      <c r="IG249" s="766"/>
      <c r="IH249" s="766"/>
      <c r="II249" s="766"/>
      <c r="IJ249" s="766"/>
      <c r="IK249" s="766"/>
      <c r="IL249" s="766"/>
      <c r="IM249" s="766"/>
      <c r="IN249" s="766"/>
      <c r="IO249" s="24"/>
      <c r="IP249" s="766"/>
      <c r="IQ249" s="766"/>
      <c r="IR249" s="766"/>
      <c r="IS249" s="766"/>
      <c r="IT249" s="766"/>
      <c r="IU249" s="766"/>
      <c r="IV249" s="766"/>
      <c r="IW249" s="766"/>
      <c r="IX249" s="766"/>
      <c r="IY249" s="766"/>
      <c r="IZ249" s="766"/>
      <c r="JA249" s="766"/>
      <c r="JB249" s="766"/>
      <c r="JC249" s="766"/>
      <c r="JD249" s="775"/>
      <c r="JE249" s="766"/>
      <c r="JF249" s="766"/>
      <c r="JG249" s="766"/>
      <c r="JH249" s="766"/>
      <c r="JI249" s="766"/>
      <c r="JJ249" s="766"/>
      <c r="JK249" s="766"/>
      <c r="JL249" s="766"/>
      <c r="JM249" s="766"/>
      <c r="JN249" s="766"/>
      <c r="JO249" s="766"/>
      <c r="JP249" s="766"/>
      <c r="JQ249" s="766"/>
      <c r="JR249" s="766"/>
      <c r="JS249" s="766"/>
      <c r="JT249" s="766"/>
      <c r="JU249" s="766"/>
      <c r="JV249" s="766"/>
      <c r="JW249" s="766"/>
      <c r="JX249" s="766"/>
      <c r="JY249" s="766"/>
      <c r="JZ249" s="766"/>
      <c r="KA249" s="766"/>
      <c r="KB249" s="766"/>
      <c r="KC249" s="766"/>
      <c r="KD249" s="766"/>
      <c r="KE249" s="766"/>
      <c r="KF249" s="766"/>
      <c r="KG249" s="766"/>
      <c r="KH249" s="766"/>
      <c r="KI249" s="766"/>
      <c r="KJ249" s="770"/>
      <c r="KK249" s="770"/>
      <c r="KL249" s="770"/>
      <c r="KM249" s="770"/>
      <c r="KN249" s="766"/>
      <c r="KO249" s="28"/>
      <c r="KP249" s="766"/>
      <c r="KQ249" s="766"/>
      <c r="KR249" s="766"/>
      <c r="KS249" s="766"/>
      <c r="KT249" s="766"/>
      <c r="KU249" s="766"/>
      <c r="KV249" s="766"/>
      <c r="KW249" s="766"/>
      <c r="KX249" s="766"/>
      <c r="KY249" s="766"/>
      <c r="KZ249" s="766"/>
      <c r="LA249" s="766"/>
      <c r="LB249" s="766"/>
      <c r="LC249" s="766"/>
      <c r="LD249" s="766"/>
      <c r="LE249" s="766"/>
      <c r="LF249" s="766"/>
      <c r="LG249" s="766"/>
      <c r="LH249" s="766"/>
      <c r="LI249" s="766"/>
      <c r="LJ249" s="766"/>
      <c r="LK249" s="766"/>
      <c r="LL249" s="766"/>
      <c r="LM249" s="766"/>
      <c r="LN249" s="766"/>
      <c r="LO249" s="766"/>
      <c r="LP249" s="766"/>
      <c r="LQ249" s="1678"/>
      <c r="LR249" s="766"/>
      <c r="LS249" s="766"/>
      <c r="LT249" s="766"/>
      <c r="LU249" s="766"/>
      <c r="LV249" s="766"/>
      <c r="LW249" s="766"/>
      <c r="LX249" s="769"/>
      <c r="LY249" s="766" t="str">
        <f t="shared" si="72"/>
        <v/>
      </c>
      <c r="LZ249" s="121"/>
      <c r="MA249" s="66"/>
      <c r="MB249" s="66"/>
      <c r="MC249" s="1679">
        <f t="shared" si="70"/>
        <v>0</v>
      </c>
      <c r="MD249" s="66"/>
      <c r="ME249" s="66"/>
      <c r="MF249" s="66"/>
      <c r="MG249" s="1680">
        <f t="shared" si="48"/>
        <v>0</v>
      </c>
      <c r="MH249" s="1681"/>
      <c r="MI249" s="775"/>
      <c r="MJ249" s="775"/>
      <c r="MK249" s="775"/>
      <c r="ML249" s="775"/>
      <c r="MM249" s="775"/>
      <c r="MN249" s="775"/>
      <c r="MO249" s="775"/>
      <c r="MP249" s="775"/>
      <c r="MQ249" s="775"/>
      <c r="MR249" s="775"/>
      <c r="MS249" s="775"/>
      <c r="MT249" s="775"/>
      <c r="MU249" s="775"/>
      <c r="MV249" s="775"/>
      <c r="MW249" s="775"/>
      <c r="MX249" s="775"/>
      <c r="MY249" s="1682">
        <f t="shared" si="49"/>
        <v>0</v>
      </c>
      <c r="MZ249" s="766"/>
      <c r="NA249" s="766"/>
      <c r="NB249" s="766"/>
      <c r="NC249" s="766"/>
      <c r="ND249" s="766"/>
      <c r="NE249" s="766"/>
      <c r="NF249" s="766"/>
      <c r="NG249" s="766"/>
      <c r="NH249" s="766"/>
      <c r="NI249" s="766"/>
      <c r="NJ249" s="766"/>
      <c r="NK249" s="766"/>
      <c r="NL249" s="766"/>
      <c r="NM249" s="766"/>
      <c r="NN249" s="766"/>
      <c r="NO249" s="766"/>
      <c r="NP249" s="766"/>
      <c r="NQ249" s="766"/>
      <c r="NR249" s="766"/>
      <c r="NS249" s="766"/>
      <c r="NT249" s="766"/>
      <c r="NU249" s="766"/>
      <c r="NV249" s="766"/>
      <c r="NW249" s="766"/>
      <c r="NX249" s="766"/>
      <c r="NY249" s="766"/>
      <c r="NZ249" s="766"/>
      <c r="OA249" s="766"/>
      <c r="OB249" s="766"/>
      <c r="OC249" s="766"/>
      <c r="OD249" s="766"/>
      <c r="OE249" s="766"/>
      <c r="OF249" s="766"/>
      <c r="OG249" s="766"/>
      <c r="OH249" s="766"/>
      <c r="OI249" s="766"/>
      <c r="OJ249" s="766"/>
      <c r="OK249" s="766"/>
      <c r="OL249" s="766"/>
      <c r="OM249" s="766"/>
      <c r="ON249" s="766"/>
      <c r="OO249" s="766"/>
      <c r="OP249" s="766"/>
      <c r="OQ249" s="766"/>
      <c r="OR249" s="766"/>
      <c r="OS249" s="766"/>
      <c r="OT249" s="766"/>
      <c r="OU249" s="766"/>
      <c r="OV249" s="766"/>
      <c r="OW249" s="766"/>
      <c r="OX249" s="766"/>
      <c r="OY249" s="766"/>
      <c r="OZ249" s="766"/>
      <c r="PA249" s="766"/>
      <c r="PB249" s="766"/>
      <c r="PC249" s="766"/>
      <c r="PD249" s="766"/>
      <c r="PE249" s="766"/>
      <c r="PF249" s="766"/>
      <c r="PG249" s="766"/>
      <c r="PH249" s="766"/>
      <c r="PI249" s="766"/>
      <c r="PJ249" s="766"/>
      <c r="PK249" s="766"/>
      <c r="PL249" s="766"/>
      <c r="PM249" s="766"/>
      <c r="PN249" s="766"/>
      <c r="PO249" s="766"/>
      <c r="PP249" s="766"/>
      <c r="PQ249" s="766"/>
      <c r="PR249" s="766"/>
      <c r="PS249" s="766"/>
      <c r="PT249" s="766"/>
      <c r="PU249" s="766"/>
      <c r="PV249" s="766"/>
      <c r="PW249" s="766"/>
      <c r="PX249" s="766"/>
      <c r="PY249" s="766"/>
      <c r="PZ249" s="766"/>
      <c r="QA249" s="766"/>
      <c r="QB249" s="766"/>
      <c r="QC249" s="766"/>
      <c r="QD249" s="766"/>
      <c r="QE249" s="766"/>
      <c r="QF249" s="766"/>
      <c r="QG249" s="766"/>
      <c r="QH249" s="766"/>
      <c r="QI249" s="766"/>
      <c r="QJ249" s="766"/>
      <c r="QK249" s="766"/>
      <c r="QL249" s="766"/>
      <c r="QM249" s="766"/>
      <c r="QN249" s="766"/>
      <c r="QO249" s="766"/>
      <c r="QP249" s="766"/>
      <c r="QQ249" s="766"/>
      <c r="QR249" s="766"/>
      <c r="QS249" s="766"/>
      <c r="QT249" s="766"/>
      <c r="QU249" s="766"/>
      <c r="QV249" s="766"/>
      <c r="QW249" s="766"/>
      <c r="QX249" s="766"/>
      <c r="QY249" s="766"/>
      <c r="QZ249" s="766"/>
      <c r="RA249" s="766"/>
      <c r="RB249" s="766"/>
      <c r="RC249" s="766"/>
      <c r="RD249" s="766"/>
      <c r="RE249" s="766"/>
      <c r="RF249" s="777"/>
      <c r="RG249" s="766"/>
      <c r="RH249" s="775"/>
      <c r="RI249" s="766"/>
      <c r="RJ249" s="766"/>
      <c r="RK249" s="766"/>
      <c r="RL249" s="1683"/>
      <c r="RM249" s="12"/>
      <c r="RN249" s="1711"/>
      <c r="RO249" s="148" t="s">
        <v>11888</v>
      </c>
      <c r="RP249" s="11"/>
      <c r="RQ249" s="11"/>
      <c r="RR249" s="771"/>
      <c r="RS249" s="766"/>
      <c r="RT249" s="11"/>
      <c r="RU249" s="11"/>
      <c r="RV249" s="766"/>
      <c r="RW249" s="11"/>
      <c r="RX249" s="11" t="s">
        <v>11882</v>
      </c>
      <c r="RY249" s="11"/>
      <c r="RZ249" s="11"/>
      <c r="SA249" s="766"/>
      <c r="SB249" s="11"/>
      <c r="SC249" s="11"/>
    </row>
    <row r="250" spans="1:497" ht="12.75" hidden="1" customHeight="1">
      <c r="A250" s="154" t="s">
        <v>14161</v>
      </c>
      <c r="B250" s="750"/>
      <c r="C250" s="148" t="s">
        <v>11889</v>
      </c>
      <c r="D250" s="14" t="s">
        <v>11871</v>
      </c>
      <c r="E250" s="766" t="s">
        <v>5846</v>
      </c>
      <c r="F250" s="766"/>
      <c r="G250" s="766"/>
      <c r="H250" s="766"/>
      <c r="I250" s="5"/>
      <c r="J250" s="14"/>
      <c r="K250" s="766"/>
      <c r="L250" s="766"/>
      <c r="M250" s="766"/>
      <c r="N250" s="766"/>
      <c r="O250" s="766"/>
      <c r="P250" s="766"/>
      <c r="Q250" s="1085"/>
      <c r="R250" s="25"/>
      <c r="S250" s="770"/>
      <c r="T250" s="766"/>
      <c r="U250" s="26"/>
      <c r="V250" s="766"/>
      <c r="W250" s="766"/>
      <c r="X250" s="24"/>
      <c r="Y250" s="766"/>
      <c r="Z250" s="766"/>
      <c r="AA250" s="766"/>
      <c r="AB250" s="766"/>
      <c r="AC250" s="766"/>
      <c r="AD250" s="766"/>
      <c r="AE250" s="766"/>
      <c r="AF250" s="766"/>
      <c r="AG250" s="766"/>
      <c r="AH250" s="766"/>
      <c r="AI250" s="766"/>
      <c r="AJ250" s="766"/>
      <c r="AK250" s="766"/>
      <c r="AL250" s="1133">
        <v>483.52</v>
      </c>
      <c r="AM250" s="1133">
        <v>483.52</v>
      </c>
      <c r="AN250" s="774">
        <v>1</v>
      </c>
      <c r="AO250" s="766" t="s">
        <v>1122</v>
      </c>
      <c r="AP250" s="766"/>
      <c r="AQ250" s="766"/>
      <c r="AR250" s="766"/>
      <c r="AS250" s="766"/>
      <c r="AT250" s="766"/>
      <c r="AU250" s="766"/>
      <c r="AV250" s="766"/>
      <c r="AW250" s="766"/>
      <c r="AX250" s="766"/>
      <c r="AY250" s="766"/>
      <c r="AZ250" s="766"/>
      <c r="BA250" s="766"/>
      <c r="BB250" s="766"/>
      <c r="BC250" s="766"/>
      <c r="BD250" s="766"/>
      <c r="BE250" s="766"/>
      <c r="BF250" s="775"/>
      <c r="BG250" s="775"/>
      <c r="BH250" s="766"/>
      <c r="BI250" s="766"/>
      <c r="BJ250" s="766"/>
      <c r="BK250" s="766"/>
      <c r="BL250" s="766"/>
      <c r="BM250" s="766"/>
      <c r="BN250" s="766"/>
      <c r="BO250" s="766"/>
      <c r="BP250" s="1133">
        <v>483.52</v>
      </c>
      <c r="BQ250" s="1133">
        <v>483.52</v>
      </c>
      <c r="BR250" s="774">
        <v>1</v>
      </c>
      <c r="BS250" s="766" t="s">
        <v>1257</v>
      </c>
      <c r="BT250" s="766"/>
      <c r="BU250" s="766"/>
      <c r="BV250" s="766"/>
      <c r="BW250" s="769"/>
      <c r="BX250" s="775"/>
      <c r="BY250" s="766"/>
      <c r="BZ250" s="775"/>
      <c r="CA250" s="766"/>
      <c r="CB250" s="766"/>
      <c r="CC250" s="766"/>
      <c r="CD250" s="766"/>
      <c r="CE250" s="766"/>
      <c r="CF250" s="777"/>
      <c r="CG250" s="231"/>
      <c r="CH250" s="766"/>
      <c r="CI250" s="766"/>
      <c r="CJ250" s="766"/>
      <c r="CK250" s="766"/>
      <c r="CL250" s="766"/>
      <c r="CM250" s="766"/>
      <c r="CN250" s="766"/>
      <c r="CO250" s="766"/>
      <c r="CP250" s="766"/>
      <c r="CQ250" s="766"/>
      <c r="CR250" s="775"/>
      <c r="CS250" s="766"/>
      <c r="CT250" s="766"/>
      <c r="CU250" s="129"/>
      <c r="CV250" s="766"/>
      <c r="CW250" s="766"/>
      <c r="CX250" s="766"/>
      <c r="CY250" s="766"/>
      <c r="CZ250" s="766"/>
      <c r="DA250" s="66"/>
      <c r="DB250" s="766"/>
      <c r="DC250" s="766"/>
      <c r="DD250" s="766"/>
      <c r="DE250" s="772"/>
      <c r="DF250" s="766"/>
      <c r="DG250" s="766"/>
      <c r="DH250" s="766"/>
      <c r="DI250" s="766"/>
      <c r="DJ250" s="766"/>
      <c r="DK250" s="766"/>
      <c r="DL250" s="766"/>
      <c r="DM250" s="766"/>
      <c r="DN250" s="44"/>
      <c r="DO250" s="766"/>
      <c r="DP250" s="766"/>
      <c r="DQ250" s="766"/>
      <c r="DR250" s="766"/>
      <c r="DS250" s="59"/>
      <c r="DT250" s="766"/>
      <c r="DU250" s="766"/>
      <c r="DV250" s="766"/>
      <c r="DW250" s="66"/>
      <c r="DX250" s="66"/>
      <c r="DY250" s="766"/>
      <c r="DZ250" s="766"/>
      <c r="EA250" s="766"/>
      <c r="EB250" s="766"/>
      <c r="EC250" s="766"/>
      <c r="ED250" s="766"/>
      <c r="EE250" s="766"/>
      <c r="EF250" s="766"/>
      <c r="EG250" s="766"/>
      <c r="EH250" s="766"/>
      <c r="EI250" s="766"/>
      <c r="EJ250" s="766"/>
      <c r="EK250" s="766"/>
      <c r="EL250" s="766"/>
      <c r="EM250" s="766"/>
      <c r="EN250" s="766"/>
      <c r="EO250" s="766"/>
      <c r="EP250" s="14"/>
      <c r="EQ250" s="766"/>
      <c r="ER250" s="766"/>
      <c r="ES250" s="766"/>
      <c r="ET250" s="766"/>
      <c r="EU250" s="766"/>
      <c r="EV250" s="766"/>
      <c r="EW250" s="766"/>
      <c r="EX250" s="766"/>
      <c r="EY250" s="766"/>
      <c r="EZ250" s="766"/>
      <c r="FA250" s="766"/>
      <c r="FB250" s="766"/>
      <c r="FC250" s="766"/>
      <c r="FD250" s="775"/>
      <c r="FE250" s="766"/>
      <c r="FF250" s="766"/>
      <c r="FG250" s="766"/>
      <c r="FH250" s="766"/>
      <c r="FI250" s="766"/>
      <c r="FJ250" s="766"/>
      <c r="FK250" s="766"/>
      <c r="FL250" s="766"/>
      <c r="FM250" s="775"/>
      <c r="FN250" s="775"/>
      <c r="FO250" s="775"/>
      <c r="FP250" s="766"/>
      <c r="FQ250" s="766"/>
      <c r="FR250" s="766"/>
      <c r="FS250" s="766"/>
      <c r="FT250" s="766"/>
      <c r="FU250" s="766"/>
      <c r="FV250" s="766"/>
      <c r="FW250" s="766"/>
      <c r="FX250" s="766"/>
      <c r="FY250" s="766"/>
      <c r="FZ250" s="766"/>
      <c r="GA250" s="766"/>
      <c r="GB250" s="766"/>
      <c r="GC250" s="75"/>
      <c r="GD250" s="25"/>
      <c r="GE250" s="766"/>
      <c r="GF250" s="775"/>
      <c r="GG250" s="775"/>
      <c r="GH250" s="766"/>
      <c r="GI250" s="766"/>
      <c r="GJ250" s="766"/>
      <c r="GK250" s="766"/>
      <c r="GL250" s="766"/>
      <c r="GM250" s="766"/>
      <c r="GN250" s="82"/>
      <c r="GO250" s="766"/>
      <c r="GP250" s="766"/>
      <c r="GQ250" s="766"/>
      <c r="GR250" s="766"/>
      <c r="GS250" s="766"/>
      <c r="GT250" s="766"/>
      <c r="GU250" s="766"/>
      <c r="GV250" s="766"/>
      <c r="GW250" s="766"/>
      <c r="GX250" s="766"/>
      <c r="GY250" s="766"/>
      <c r="GZ250" s="766"/>
      <c r="HA250" s="766"/>
      <c r="HB250" s="766"/>
      <c r="HC250" s="766"/>
      <c r="HD250" s="766"/>
      <c r="HE250" s="766"/>
      <c r="HF250" s="766"/>
      <c r="HG250" s="766"/>
      <c r="HH250" s="766"/>
      <c r="HI250" s="766"/>
      <c r="HJ250" s="766"/>
      <c r="HK250" s="766"/>
      <c r="HL250" s="766"/>
      <c r="HM250" s="766"/>
      <c r="HN250" s="766"/>
      <c r="HO250" s="766"/>
      <c r="HP250" s="766"/>
      <c r="HQ250" s="766"/>
      <c r="HR250" s="766"/>
      <c r="HS250" s="766"/>
      <c r="HT250" s="766"/>
      <c r="HU250" s="766"/>
      <c r="HV250" s="766"/>
      <c r="HW250" s="766"/>
      <c r="HX250" s="766"/>
      <c r="HY250" s="766"/>
      <c r="HZ250" s="766"/>
      <c r="IA250" s="766"/>
      <c r="IB250" s="14"/>
      <c r="IC250" s="14"/>
      <c r="ID250" s="14"/>
      <c r="IE250" s="14"/>
      <c r="IF250" s="766"/>
      <c r="IG250" s="766"/>
      <c r="IH250" s="766"/>
      <c r="II250" s="766"/>
      <c r="IJ250" s="766"/>
      <c r="IK250" s="766"/>
      <c r="IL250" s="766"/>
      <c r="IM250" s="766"/>
      <c r="IN250" s="766"/>
      <c r="IO250" s="24"/>
      <c r="IP250" s="766"/>
      <c r="IQ250" s="766"/>
      <c r="IR250" s="766"/>
      <c r="IS250" s="766"/>
      <c r="IT250" s="766"/>
      <c r="IU250" s="766"/>
      <c r="IV250" s="766"/>
      <c r="IW250" s="766"/>
      <c r="IX250" s="766"/>
      <c r="IY250" s="766"/>
      <c r="IZ250" s="766"/>
      <c r="JA250" s="766"/>
      <c r="JB250" s="766"/>
      <c r="JC250" s="766"/>
      <c r="JD250" s="775"/>
      <c r="JE250" s="766"/>
      <c r="JF250" s="766"/>
      <c r="JG250" s="766"/>
      <c r="JH250" s="766"/>
      <c r="JI250" s="766"/>
      <c r="JJ250" s="766"/>
      <c r="JK250" s="766"/>
      <c r="JL250" s="766"/>
      <c r="JM250" s="766"/>
      <c r="JN250" s="766"/>
      <c r="JO250" s="766"/>
      <c r="JP250" s="766"/>
      <c r="JQ250" s="766"/>
      <c r="JR250" s="766"/>
      <c r="JS250" s="766"/>
      <c r="JT250" s="766"/>
      <c r="JU250" s="766"/>
      <c r="JV250" s="766"/>
      <c r="JW250" s="766"/>
      <c r="JX250" s="766"/>
      <c r="JY250" s="766"/>
      <c r="JZ250" s="766"/>
      <c r="KA250" s="766"/>
      <c r="KB250" s="766"/>
      <c r="KC250" s="766"/>
      <c r="KD250" s="766"/>
      <c r="KE250" s="766"/>
      <c r="KF250" s="766"/>
      <c r="KG250" s="766"/>
      <c r="KH250" s="766"/>
      <c r="KI250" s="766"/>
      <c r="KJ250" s="770"/>
      <c r="KK250" s="770"/>
      <c r="KL250" s="770"/>
      <c r="KM250" s="770"/>
      <c r="KN250" s="766"/>
      <c r="KO250" s="28"/>
      <c r="KP250" s="766"/>
      <c r="KQ250" s="766"/>
      <c r="KR250" s="766"/>
      <c r="KS250" s="766"/>
      <c r="KT250" s="766"/>
      <c r="KU250" s="766"/>
      <c r="KV250" s="766"/>
      <c r="KW250" s="766"/>
      <c r="KX250" s="766"/>
      <c r="KY250" s="766"/>
      <c r="KZ250" s="766"/>
      <c r="LA250" s="766"/>
      <c r="LB250" s="766"/>
      <c r="LC250" s="766"/>
      <c r="LD250" s="766"/>
      <c r="LE250" s="766"/>
      <c r="LF250" s="766"/>
      <c r="LG250" s="766"/>
      <c r="LH250" s="766"/>
      <c r="LI250" s="766"/>
      <c r="LJ250" s="766"/>
      <c r="LK250" s="766"/>
      <c r="LL250" s="766"/>
      <c r="LM250" s="766"/>
      <c r="LN250" s="766"/>
      <c r="LO250" s="766"/>
      <c r="LP250" s="766"/>
      <c r="LQ250" s="1678"/>
      <c r="LR250" s="766"/>
      <c r="LS250" s="766"/>
      <c r="LT250" s="766"/>
      <c r="LU250" s="766"/>
      <c r="LV250" s="766"/>
      <c r="LW250" s="766"/>
      <c r="LX250" s="769"/>
      <c r="LY250" s="766" t="str">
        <f t="shared" si="72"/>
        <v/>
      </c>
      <c r="LZ250" s="121"/>
      <c r="MA250" s="66"/>
      <c r="MB250" s="66"/>
      <c r="MC250" s="1679">
        <f t="shared" si="70"/>
        <v>0</v>
      </c>
      <c r="MD250" s="66"/>
      <c r="ME250" s="66"/>
      <c r="MF250" s="66"/>
      <c r="MG250" s="1680">
        <f t="shared" si="48"/>
        <v>0</v>
      </c>
      <c r="MH250" s="1681"/>
      <c r="MI250" s="775"/>
      <c r="MJ250" s="775"/>
      <c r="MK250" s="775"/>
      <c r="ML250" s="775"/>
      <c r="MM250" s="775"/>
      <c r="MN250" s="775"/>
      <c r="MO250" s="775"/>
      <c r="MP250" s="775"/>
      <c r="MQ250" s="775"/>
      <c r="MR250" s="775"/>
      <c r="MS250" s="775"/>
      <c r="MT250" s="775"/>
      <c r="MU250" s="775"/>
      <c r="MV250" s="775"/>
      <c r="MW250" s="775"/>
      <c r="MX250" s="775"/>
      <c r="MY250" s="1682">
        <f t="shared" si="49"/>
        <v>0</v>
      </c>
      <c r="MZ250" s="766"/>
      <c r="NA250" s="766"/>
      <c r="NB250" s="766"/>
      <c r="NC250" s="766"/>
      <c r="ND250" s="766"/>
      <c r="NE250" s="766"/>
      <c r="NF250" s="766"/>
      <c r="NG250" s="766"/>
      <c r="NH250" s="766"/>
      <c r="NI250" s="766"/>
      <c r="NJ250" s="766"/>
      <c r="NK250" s="766"/>
      <c r="NL250" s="766"/>
      <c r="NM250" s="766"/>
      <c r="NN250" s="766"/>
      <c r="NO250" s="766"/>
      <c r="NP250" s="766"/>
      <c r="NQ250" s="766"/>
      <c r="NR250" s="766"/>
      <c r="NS250" s="766"/>
      <c r="NT250" s="766"/>
      <c r="NU250" s="766"/>
      <c r="NV250" s="766"/>
      <c r="NW250" s="766"/>
      <c r="NX250" s="766"/>
      <c r="NY250" s="766"/>
      <c r="NZ250" s="766"/>
      <c r="OA250" s="766"/>
      <c r="OB250" s="766"/>
      <c r="OC250" s="766"/>
      <c r="OD250" s="766"/>
      <c r="OE250" s="766"/>
      <c r="OF250" s="766"/>
      <c r="OG250" s="766"/>
      <c r="OH250" s="766"/>
      <c r="OI250" s="766"/>
      <c r="OJ250" s="766"/>
      <c r="OK250" s="766"/>
      <c r="OL250" s="766"/>
      <c r="OM250" s="766"/>
      <c r="ON250" s="766"/>
      <c r="OO250" s="766"/>
      <c r="OP250" s="766"/>
      <c r="OQ250" s="766"/>
      <c r="OR250" s="766"/>
      <c r="OS250" s="766"/>
      <c r="OT250" s="766"/>
      <c r="OU250" s="766"/>
      <c r="OV250" s="766"/>
      <c r="OW250" s="766"/>
      <c r="OX250" s="766"/>
      <c r="OY250" s="766"/>
      <c r="OZ250" s="766"/>
      <c r="PA250" s="766"/>
      <c r="PB250" s="766"/>
      <c r="PC250" s="766"/>
      <c r="PD250" s="766"/>
      <c r="PE250" s="766"/>
      <c r="PF250" s="766"/>
      <c r="PG250" s="766"/>
      <c r="PH250" s="766"/>
      <c r="PI250" s="766"/>
      <c r="PJ250" s="766"/>
      <c r="PK250" s="766"/>
      <c r="PL250" s="766"/>
      <c r="PM250" s="766"/>
      <c r="PN250" s="766"/>
      <c r="PO250" s="766"/>
      <c r="PP250" s="766"/>
      <c r="PQ250" s="766"/>
      <c r="PR250" s="766"/>
      <c r="PS250" s="766"/>
      <c r="PT250" s="766"/>
      <c r="PU250" s="766"/>
      <c r="PV250" s="766"/>
      <c r="PW250" s="766"/>
      <c r="PX250" s="766"/>
      <c r="PY250" s="766"/>
      <c r="PZ250" s="766"/>
      <c r="QA250" s="766"/>
      <c r="QB250" s="766"/>
      <c r="QC250" s="766"/>
      <c r="QD250" s="766"/>
      <c r="QE250" s="766"/>
      <c r="QF250" s="766"/>
      <c r="QG250" s="766"/>
      <c r="QH250" s="766"/>
      <c r="QI250" s="766"/>
      <c r="QJ250" s="766"/>
      <c r="QK250" s="766"/>
      <c r="QL250" s="766"/>
      <c r="QM250" s="766"/>
      <c r="QN250" s="766"/>
      <c r="QO250" s="766"/>
      <c r="QP250" s="766"/>
      <c r="QQ250" s="766"/>
      <c r="QR250" s="766"/>
      <c r="QS250" s="766"/>
      <c r="QT250" s="766"/>
      <c r="QU250" s="766"/>
      <c r="QV250" s="766"/>
      <c r="QW250" s="766"/>
      <c r="QX250" s="766"/>
      <c r="QY250" s="766"/>
      <c r="QZ250" s="766"/>
      <c r="RA250" s="766"/>
      <c r="RB250" s="766"/>
      <c r="RC250" s="766"/>
      <c r="RD250" s="766"/>
      <c r="RE250" s="766"/>
      <c r="RF250" s="777"/>
      <c r="RG250" s="766"/>
      <c r="RH250" s="775"/>
      <c r="RI250" s="766"/>
      <c r="RJ250" s="766"/>
      <c r="RK250" s="766"/>
      <c r="RL250" s="1683"/>
      <c r="RM250" s="12"/>
      <c r="RN250" s="1711"/>
      <c r="RO250" s="148" t="s">
        <v>11889</v>
      </c>
      <c r="RP250" s="11"/>
      <c r="RQ250" s="11"/>
      <c r="RR250" s="771"/>
      <c r="RS250" s="766"/>
      <c r="RT250" s="11"/>
      <c r="RU250" s="11"/>
      <c r="RV250" s="766" t="s">
        <v>7419</v>
      </c>
      <c r="RW250" s="11" t="s">
        <v>7605</v>
      </c>
      <c r="RX250" s="11" t="s">
        <v>426</v>
      </c>
      <c r="RY250" s="11"/>
      <c r="RZ250" s="11"/>
      <c r="SA250" s="766"/>
      <c r="SB250" s="11"/>
      <c r="SC250" s="11"/>
    </row>
    <row r="251" spans="1:497" ht="12.75" hidden="1" customHeight="1">
      <c r="A251" s="154" t="s">
        <v>14161</v>
      </c>
      <c r="B251" s="750"/>
      <c r="C251" s="148" t="s">
        <v>11890</v>
      </c>
      <c r="D251" s="14" t="s">
        <v>11884</v>
      </c>
      <c r="E251" s="766" t="s">
        <v>5846</v>
      </c>
      <c r="F251" s="766"/>
      <c r="G251" s="766"/>
      <c r="H251" s="766"/>
      <c r="I251" s="5"/>
      <c r="J251" s="14"/>
      <c r="K251" s="766"/>
      <c r="L251" s="766"/>
      <c r="M251" s="766"/>
      <c r="N251" s="766"/>
      <c r="O251" s="766"/>
      <c r="P251" s="766"/>
      <c r="Q251" s="1085"/>
      <c r="R251" s="25"/>
      <c r="S251" s="770"/>
      <c r="T251" s="766"/>
      <c r="U251" s="26"/>
      <c r="V251" s="766"/>
      <c r="W251" s="766"/>
      <c r="X251" s="24"/>
      <c r="Y251" s="766"/>
      <c r="Z251" s="766"/>
      <c r="AA251" s="766"/>
      <c r="AB251" s="766"/>
      <c r="AC251" s="766"/>
      <c r="AD251" s="766"/>
      <c r="AE251" s="766"/>
      <c r="AF251" s="766"/>
      <c r="AG251" s="766"/>
      <c r="AH251" s="766"/>
      <c r="AI251" s="766"/>
      <c r="AJ251" s="766"/>
      <c r="AK251" s="766"/>
      <c r="AL251" s="1133">
        <v>10.85</v>
      </c>
      <c r="AM251" s="1133">
        <v>10.85</v>
      </c>
      <c r="AN251" s="774">
        <v>1</v>
      </c>
      <c r="AO251" s="766" t="s">
        <v>1122</v>
      </c>
      <c r="AP251" s="766"/>
      <c r="AQ251" s="766"/>
      <c r="AR251" s="766"/>
      <c r="AS251" s="766"/>
      <c r="AT251" s="766"/>
      <c r="AU251" s="766"/>
      <c r="AV251" s="766"/>
      <c r="AW251" s="766"/>
      <c r="AX251" s="766"/>
      <c r="AY251" s="766"/>
      <c r="AZ251" s="766"/>
      <c r="BA251" s="766"/>
      <c r="BB251" s="766"/>
      <c r="BC251" s="766"/>
      <c r="BD251" s="766"/>
      <c r="BE251" s="766"/>
      <c r="BF251" s="775"/>
      <c r="BG251" s="775"/>
      <c r="BH251" s="766"/>
      <c r="BI251" s="766"/>
      <c r="BJ251" s="766"/>
      <c r="BK251" s="766"/>
      <c r="BL251" s="766"/>
      <c r="BM251" s="766"/>
      <c r="BN251" s="766"/>
      <c r="BO251" s="766"/>
      <c r="BP251" s="1133">
        <v>10.85</v>
      </c>
      <c r="BQ251" s="1133">
        <v>10.85</v>
      </c>
      <c r="BR251" s="774">
        <v>1</v>
      </c>
      <c r="BS251" s="766" t="s">
        <v>1257</v>
      </c>
      <c r="BT251" s="766"/>
      <c r="BU251" s="766"/>
      <c r="BV251" s="766"/>
      <c r="BW251" s="769"/>
      <c r="BX251" s="775"/>
      <c r="BY251" s="766"/>
      <c r="BZ251" s="775"/>
      <c r="CA251" s="766"/>
      <c r="CB251" s="766"/>
      <c r="CC251" s="766"/>
      <c r="CD251" s="766"/>
      <c r="CE251" s="766"/>
      <c r="CF251" s="777"/>
      <c r="CG251" s="231"/>
      <c r="CH251" s="766"/>
      <c r="CI251" s="766"/>
      <c r="CJ251" s="766"/>
      <c r="CK251" s="766"/>
      <c r="CL251" s="766"/>
      <c r="CM251" s="766"/>
      <c r="CN251" s="766"/>
      <c r="CO251" s="766"/>
      <c r="CP251" s="766"/>
      <c r="CQ251" s="766"/>
      <c r="CR251" s="775"/>
      <c r="CS251" s="766"/>
      <c r="CT251" s="766"/>
      <c r="CU251" s="129"/>
      <c r="CV251" s="766"/>
      <c r="CW251" s="766"/>
      <c r="CX251" s="766"/>
      <c r="CY251" s="766"/>
      <c r="CZ251" s="766"/>
      <c r="DA251" s="66"/>
      <c r="DB251" s="766"/>
      <c r="DC251" s="766"/>
      <c r="DD251" s="766"/>
      <c r="DE251" s="772"/>
      <c r="DF251" s="766"/>
      <c r="DG251" s="766"/>
      <c r="DH251" s="766"/>
      <c r="DI251" s="766"/>
      <c r="DJ251" s="766"/>
      <c r="DK251" s="766"/>
      <c r="DL251" s="766"/>
      <c r="DM251" s="766"/>
      <c r="DN251" s="44"/>
      <c r="DO251" s="766"/>
      <c r="DP251" s="766"/>
      <c r="DQ251" s="766"/>
      <c r="DR251" s="766"/>
      <c r="DS251" s="59"/>
      <c r="DT251" s="766"/>
      <c r="DU251" s="766"/>
      <c r="DV251" s="766"/>
      <c r="DW251" s="66"/>
      <c r="DX251" s="66"/>
      <c r="DY251" s="766"/>
      <c r="DZ251" s="766"/>
      <c r="EA251" s="766"/>
      <c r="EB251" s="766"/>
      <c r="EC251" s="766"/>
      <c r="ED251" s="766"/>
      <c r="EE251" s="766"/>
      <c r="EF251" s="766"/>
      <c r="EG251" s="766"/>
      <c r="EH251" s="766"/>
      <c r="EI251" s="766"/>
      <c r="EJ251" s="766"/>
      <c r="EK251" s="766"/>
      <c r="EL251" s="766"/>
      <c r="EM251" s="766"/>
      <c r="EN251" s="766"/>
      <c r="EO251" s="766"/>
      <c r="EP251" s="14"/>
      <c r="EQ251" s="766"/>
      <c r="ER251" s="766"/>
      <c r="ES251" s="766"/>
      <c r="ET251" s="766"/>
      <c r="EU251" s="766"/>
      <c r="EV251" s="766"/>
      <c r="EW251" s="766"/>
      <c r="EX251" s="766"/>
      <c r="EY251" s="766"/>
      <c r="EZ251" s="766"/>
      <c r="FA251" s="766"/>
      <c r="FB251" s="766"/>
      <c r="FC251" s="766"/>
      <c r="FD251" s="775"/>
      <c r="FE251" s="766"/>
      <c r="FF251" s="766"/>
      <c r="FG251" s="766"/>
      <c r="FH251" s="766"/>
      <c r="FI251" s="766"/>
      <c r="FJ251" s="766"/>
      <c r="FK251" s="766"/>
      <c r="FL251" s="766"/>
      <c r="FM251" s="775"/>
      <c r="FN251" s="775"/>
      <c r="FO251" s="775"/>
      <c r="FP251" s="766"/>
      <c r="FQ251" s="766"/>
      <c r="FR251" s="766"/>
      <c r="FS251" s="766"/>
      <c r="FT251" s="766"/>
      <c r="FU251" s="766"/>
      <c r="FV251" s="766"/>
      <c r="FW251" s="766"/>
      <c r="FX251" s="766"/>
      <c r="FY251" s="766"/>
      <c r="FZ251" s="766"/>
      <c r="GA251" s="766"/>
      <c r="GB251" s="766"/>
      <c r="GC251" s="75"/>
      <c r="GD251" s="25"/>
      <c r="GE251" s="766"/>
      <c r="GF251" s="775"/>
      <c r="GG251" s="775"/>
      <c r="GH251" s="766"/>
      <c r="GI251" s="766"/>
      <c r="GJ251" s="766"/>
      <c r="GK251" s="766"/>
      <c r="GL251" s="766"/>
      <c r="GM251" s="766"/>
      <c r="GN251" s="82"/>
      <c r="GO251" s="766"/>
      <c r="GP251" s="766"/>
      <c r="GQ251" s="766"/>
      <c r="GR251" s="766"/>
      <c r="GS251" s="766"/>
      <c r="GT251" s="766"/>
      <c r="GU251" s="766"/>
      <c r="GV251" s="766"/>
      <c r="GW251" s="766"/>
      <c r="GX251" s="766"/>
      <c r="GY251" s="766"/>
      <c r="GZ251" s="766"/>
      <c r="HA251" s="766"/>
      <c r="HB251" s="766"/>
      <c r="HC251" s="766"/>
      <c r="HD251" s="766"/>
      <c r="HE251" s="766"/>
      <c r="HF251" s="766"/>
      <c r="HG251" s="766"/>
      <c r="HH251" s="766"/>
      <c r="HI251" s="766"/>
      <c r="HJ251" s="766"/>
      <c r="HK251" s="766"/>
      <c r="HL251" s="766"/>
      <c r="HM251" s="766"/>
      <c r="HN251" s="766"/>
      <c r="HO251" s="766"/>
      <c r="HP251" s="766"/>
      <c r="HQ251" s="766"/>
      <c r="HR251" s="766"/>
      <c r="HS251" s="766"/>
      <c r="HT251" s="766"/>
      <c r="HU251" s="766"/>
      <c r="HV251" s="766"/>
      <c r="HW251" s="766"/>
      <c r="HX251" s="766"/>
      <c r="HY251" s="766"/>
      <c r="HZ251" s="766"/>
      <c r="IA251" s="766"/>
      <c r="IB251" s="14"/>
      <c r="IC251" s="14"/>
      <c r="ID251" s="14"/>
      <c r="IE251" s="14"/>
      <c r="IF251" s="766"/>
      <c r="IG251" s="766"/>
      <c r="IH251" s="766"/>
      <c r="II251" s="766"/>
      <c r="IJ251" s="766"/>
      <c r="IK251" s="766"/>
      <c r="IL251" s="766"/>
      <c r="IM251" s="766"/>
      <c r="IN251" s="766"/>
      <c r="IO251" s="24"/>
      <c r="IP251" s="766"/>
      <c r="IQ251" s="766"/>
      <c r="IR251" s="766"/>
      <c r="IS251" s="766"/>
      <c r="IT251" s="766"/>
      <c r="IU251" s="766"/>
      <c r="IV251" s="766"/>
      <c r="IW251" s="766"/>
      <c r="IX251" s="766"/>
      <c r="IY251" s="766"/>
      <c r="IZ251" s="766"/>
      <c r="JA251" s="766"/>
      <c r="JB251" s="766"/>
      <c r="JC251" s="766"/>
      <c r="JD251" s="775"/>
      <c r="JE251" s="766"/>
      <c r="JF251" s="766"/>
      <c r="JG251" s="766"/>
      <c r="JH251" s="766"/>
      <c r="JI251" s="766"/>
      <c r="JJ251" s="766"/>
      <c r="JK251" s="766"/>
      <c r="JL251" s="766"/>
      <c r="JM251" s="766"/>
      <c r="JN251" s="766"/>
      <c r="JO251" s="766"/>
      <c r="JP251" s="766"/>
      <c r="JQ251" s="766"/>
      <c r="JR251" s="766"/>
      <c r="JS251" s="766"/>
      <c r="JT251" s="766"/>
      <c r="JU251" s="766"/>
      <c r="JV251" s="766"/>
      <c r="JW251" s="766"/>
      <c r="JX251" s="766"/>
      <c r="JY251" s="766"/>
      <c r="JZ251" s="766"/>
      <c r="KA251" s="766"/>
      <c r="KB251" s="766"/>
      <c r="KC251" s="766"/>
      <c r="KD251" s="766"/>
      <c r="KE251" s="766"/>
      <c r="KF251" s="766"/>
      <c r="KG251" s="766"/>
      <c r="KH251" s="766"/>
      <c r="KI251" s="766"/>
      <c r="KJ251" s="770"/>
      <c r="KK251" s="770"/>
      <c r="KL251" s="770"/>
      <c r="KM251" s="770"/>
      <c r="KN251" s="766"/>
      <c r="KO251" s="28"/>
      <c r="KP251" s="766"/>
      <c r="KQ251" s="766"/>
      <c r="KR251" s="766"/>
      <c r="KS251" s="766"/>
      <c r="KT251" s="766"/>
      <c r="KU251" s="766"/>
      <c r="KV251" s="766"/>
      <c r="KW251" s="766"/>
      <c r="KX251" s="766"/>
      <c r="KY251" s="766"/>
      <c r="KZ251" s="766"/>
      <c r="LA251" s="766"/>
      <c r="LB251" s="766"/>
      <c r="LC251" s="766"/>
      <c r="LD251" s="766"/>
      <c r="LE251" s="766"/>
      <c r="LF251" s="766"/>
      <c r="LG251" s="766"/>
      <c r="LH251" s="766"/>
      <c r="LI251" s="766"/>
      <c r="LJ251" s="766"/>
      <c r="LK251" s="766"/>
      <c r="LL251" s="766"/>
      <c r="LM251" s="766"/>
      <c r="LN251" s="766"/>
      <c r="LO251" s="766"/>
      <c r="LP251" s="766"/>
      <c r="LQ251" s="1678"/>
      <c r="LR251" s="766"/>
      <c r="LS251" s="766"/>
      <c r="LT251" s="766"/>
      <c r="LU251" s="766"/>
      <c r="LV251" s="766"/>
      <c r="LW251" s="766"/>
      <c r="LX251" s="769"/>
      <c r="LY251" s="766" t="str">
        <f t="shared" si="72"/>
        <v/>
      </c>
      <c r="LZ251" s="121"/>
      <c r="MA251" s="66"/>
      <c r="MB251" s="66"/>
      <c r="MC251" s="1679">
        <f t="shared" si="70"/>
        <v>0</v>
      </c>
      <c r="MD251" s="66"/>
      <c r="ME251" s="66"/>
      <c r="MF251" s="66"/>
      <c r="MG251" s="1680">
        <f t="shared" si="48"/>
        <v>0</v>
      </c>
      <c r="MH251" s="1681"/>
      <c r="MI251" s="775"/>
      <c r="MJ251" s="775"/>
      <c r="MK251" s="775"/>
      <c r="ML251" s="775"/>
      <c r="MM251" s="775"/>
      <c r="MN251" s="775"/>
      <c r="MO251" s="775"/>
      <c r="MP251" s="775"/>
      <c r="MQ251" s="775"/>
      <c r="MR251" s="775"/>
      <c r="MS251" s="775"/>
      <c r="MT251" s="775"/>
      <c r="MU251" s="775"/>
      <c r="MV251" s="775"/>
      <c r="MW251" s="775"/>
      <c r="MX251" s="775"/>
      <c r="MY251" s="1682">
        <f t="shared" si="49"/>
        <v>0</v>
      </c>
      <c r="MZ251" s="766"/>
      <c r="NA251" s="766"/>
      <c r="NB251" s="766"/>
      <c r="NC251" s="766"/>
      <c r="ND251" s="766"/>
      <c r="NE251" s="766"/>
      <c r="NF251" s="766"/>
      <c r="NG251" s="766"/>
      <c r="NH251" s="766"/>
      <c r="NI251" s="766"/>
      <c r="NJ251" s="766"/>
      <c r="NK251" s="766"/>
      <c r="NL251" s="766"/>
      <c r="NM251" s="766"/>
      <c r="NN251" s="766"/>
      <c r="NO251" s="766"/>
      <c r="NP251" s="766"/>
      <c r="NQ251" s="766"/>
      <c r="NR251" s="766"/>
      <c r="NS251" s="766"/>
      <c r="NT251" s="766"/>
      <c r="NU251" s="766"/>
      <c r="NV251" s="766"/>
      <c r="NW251" s="766"/>
      <c r="NX251" s="766"/>
      <c r="NY251" s="766"/>
      <c r="NZ251" s="766"/>
      <c r="OA251" s="766"/>
      <c r="OB251" s="766"/>
      <c r="OC251" s="766"/>
      <c r="OD251" s="766"/>
      <c r="OE251" s="766"/>
      <c r="OF251" s="766"/>
      <c r="OG251" s="766"/>
      <c r="OH251" s="766"/>
      <c r="OI251" s="766"/>
      <c r="OJ251" s="766"/>
      <c r="OK251" s="766"/>
      <c r="OL251" s="766"/>
      <c r="OM251" s="766"/>
      <c r="ON251" s="766"/>
      <c r="OO251" s="766"/>
      <c r="OP251" s="766"/>
      <c r="OQ251" s="766"/>
      <c r="OR251" s="766"/>
      <c r="OS251" s="766"/>
      <c r="OT251" s="766"/>
      <c r="OU251" s="766"/>
      <c r="OV251" s="766"/>
      <c r="OW251" s="766"/>
      <c r="OX251" s="766"/>
      <c r="OY251" s="766"/>
      <c r="OZ251" s="766"/>
      <c r="PA251" s="766"/>
      <c r="PB251" s="766"/>
      <c r="PC251" s="766"/>
      <c r="PD251" s="766"/>
      <c r="PE251" s="766"/>
      <c r="PF251" s="766"/>
      <c r="PG251" s="766"/>
      <c r="PH251" s="766"/>
      <c r="PI251" s="766"/>
      <c r="PJ251" s="766"/>
      <c r="PK251" s="766"/>
      <c r="PL251" s="766"/>
      <c r="PM251" s="766"/>
      <c r="PN251" s="766"/>
      <c r="PO251" s="766"/>
      <c r="PP251" s="766"/>
      <c r="PQ251" s="766"/>
      <c r="PR251" s="766"/>
      <c r="PS251" s="766"/>
      <c r="PT251" s="766"/>
      <c r="PU251" s="766"/>
      <c r="PV251" s="766"/>
      <c r="PW251" s="766"/>
      <c r="PX251" s="766"/>
      <c r="PY251" s="766"/>
      <c r="PZ251" s="766"/>
      <c r="QA251" s="766"/>
      <c r="QB251" s="766"/>
      <c r="QC251" s="766"/>
      <c r="QD251" s="766"/>
      <c r="QE251" s="766"/>
      <c r="QF251" s="766"/>
      <c r="QG251" s="766"/>
      <c r="QH251" s="766"/>
      <c r="QI251" s="766"/>
      <c r="QJ251" s="766"/>
      <c r="QK251" s="766"/>
      <c r="QL251" s="766"/>
      <c r="QM251" s="766"/>
      <c r="QN251" s="766"/>
      <c r="QO251" s="766"/>
      <c r="QP251" s="766"/>
      <c r="QQ251" s="766"/>
      <c r="QR251" s="766"/>
      <c r="QS251" s="766"/>
      <c r="QT251" s="766"/>
      <c r="QU251" s="766"/>
      <c r="QV251" s="766"/>
      <c r="QW251" s="766"/>
      <c r="QX251" s="766"/>
      <c r="QY251" s="766"/>
      <c r="QZ251" s="766"/>
      <c r="RA251" s="766"/>
      <c r="RB251" s="766"/>
      <c r="RC251" s="766"/>
      <c r="RD251" s="766"/>
      <c r="RE251" s="766"/>
      <c r="RF251" s="777"/>
      <c r="RG251" s="766"/>
      <c r="RH251" s="775"/>
      <c r="RI251" s="766"/>
      <c r="RJ251" s="766"/>
      <c r="RK251" s="766"/>
      <c r="RL251" s="1683"/>
      <c r="RM251" s="12"/>
      <c r="RN251" s="1711"/>
      <c r="RO251" s="148" t="s">
        <v>11890</v>
      </c>
      <c r="RP251" s="11"/>
      <c r="RQ251" s="11"/>
      <c r="RR251" s="771"/>
      <c r="RS251" s="766"/>
      <c r="RT251" s="11"/>
      <c r="RU251" s="11"/>
      <c r="RV251" s="766"/>
      <c r="RW251" s="11"/>
      <c r="RX251" s="11" t="s">
        <v>11888</v>
      </c>
      <c r="RY251" s="11"/>
      <c r="RZ251" s="11"/>
      <c r="SA251" s="766"/>
      <c r="SB251" s="11"/>
      <c r="SC251" s="11"/>
    </row>
    <row r="252" spans="1:497" ht="12.75" hidden="1" customHeight="1">
      <c r="A252" s="154" t="s">
        <v>14161</v>
      </c>
      <c r="B252" s="750"/>
      <c r="C252" s="148" t="s">
        <v>11891</v>
      </c>
      <c r="D252" s="14" t="s">
        <v>11885</v>
      </c>
      <c r="E252" s="766" t="s">
        <v>5846</v>
      </c>
      <c r="F252" s="766"/>
      <c r="G252" s="766"/>
      <c r="H252" s="766"/>
      <c r="I252" s="5"/>
      <c r="J252" s="14"/>
      <c r="K252" s="766"/>
      <c r="L252" s="766"/>
      <c r="M252" s="766"/>
      <c r="N252" s="766"/>
      <c r="O252" s="766"/>
      <c r="P252" s="766"/>
      <c r="Q252" s="1085"/>
      <c r="R252" s="25"/>
      <c r="S252" s="770"/>
      <c r="T252" s="766"/>
      <c r="U252" s="26"/>
      <c r="V252" s="766"/>
      <c r="W252" s="766"/>
      <c r="X252" s="24"/>
      <c r="Y252" s="766"/>
      <c r="Z252" s="766"/>
      <c r="AA252" s="766"/>
      <c r="AB252" s="766"/>
      <c r="AC252" s="766"/>
      <c r="AD252" s="766"/>
      <c r="AE252" s="766"/>
      <c r="AF252" s="766"/>
      <c r="AG252" s="766"/>
      <c r="AH252" s="766"/>
      <c r="AI252" s="766"/>
      <c r="AJ252" s="766"/>
      <c r="AK252" s="766"/>
      <c r="AL252" s="1133">
        <v>410</v>
      </c>
      <c r="AM252" s="1133">
        <v>410</v>
      </c>
      <c r="AN252" s="774">
        <v>1</v>
      </c>
      <c r="AO252" s="766" t="s">
        <v>1122</v>
      </c>
      <c r="AP252" s="766"/>
      <c r="AQ252" s="766"/>
      <c r="AR252" s="766"/>
      <c r="AS252" s="766"/>
      <c r="AT252" s="766"/>
      <c r="AU252" s="766"/>
      <c r="AV252" s="766"/>
      <c r="AW252" s="766"/>
      <c r="AX252" s="766"/>
      <c r="AY252" s="766"/>
      <c r="AZ252" s="766"/>
      <c r="BA252" s="766"/>
      <c r="BB252" s="766"/>
      <c r="BC252" s="766"/>
      <c r="BD252" s="766"/>
      <c r="BE252" s="766"/>
      <c r="BF252" s="775"/>
      <c r="BG252" s="775"/>
      <c r="BH252" s="766"/>
      <c r="BI252" s="766"/>
      <c r="BJ252" s="766"/>
      <c r="BK252" s="766"/>
      <c r="BL252" s="766"/>
      <c r="BM252" s="766"/>
      <c r="BN252" s="766"/>
      <c r="BO252" s="766"/>
      <c r="BP252" s="1133">
        <v>410</v>
      </c>
      <c r="BQ252" s="1133">
        <v>410</v>
      </c>
      <c r="BR252" s="774">
        <v>1</v>
      </c>
      <c r="BS252" s="766" t="s">
        <v>1257</v>
      </c>
      <c r="BT252" s="766"/>
      <c r="BU252" s="766"/>
      <c r="BV252" s="766"/>
      <c r="BW252" s="769"/>
      <c r="BX252" s="775"/>
      <c r="BY252" s="766"/>
      <c r="BZ252" s="775"/>
      <c r="CA252" s="766"/>
      <c r="CB252" s="766"/>
      <c r="CC252" s="766"/>
      <c r="CD252" s="766"/>
      <c r="CE252" s="766"/>
      <c r="CF252" s="777"/>
      <c r="CG252" s="231"/>
      <c r="CH252" s="766"/>
      <c r="CI252" s="766"/>
      <c r="CJ252" s="766"/>
      <c r="CK252" s="766"/>
      <c r="CL252" s="766"/>
      <c r="CM252" s="766"/>
      <c r="CN252" s="766"/>
      <c r="CO252" s="766"/>
      <c r="CP252" s="766"/>
      <c r="CQ252" s="766"/>
      <c r="CR252" s="775"/>
      <c r="CS252" s="766"/>
      <c r="CT252" s="766"/>
      <c r="CU252" s="129"/>
      <c r="CV252" s="766"/>
      <c r="CW252" s="766"/>
      <c r="CX252" s="766"/>
      <c r="CY252" s="766"/>
      <c r="CZ252" s="766"/>
      <c r="DA252" s="66"/>
      <c r="DB252" s="766"/>
      <c r="DC252" s="766"/>
      <c r="DD252" s="766"/>
      <c r="DE252" s="772"/>
      <c r="DF252" s="766"/>
      <c r="DG252" s="766"/>
      <c r="DH252" s="766"/>
      <c r="DI252" s="766"/>
      <c r="DJ252" s="766"/>
      <c r="DK252" s="766"/>
      <c r="DL252" s="766"/>
      <c r="DM252" s="766"/>
      <c r="DN252" s="44"/>
      <c r="DO252" s="766"/>
      <c r="DP252" s="766"/>
      <c r="DQ252" s="766"/>
      <c r="DR252" s="766"/>
      <c r="DS252" s="59"/>
      <c r="DT252" s="766"/>
      <c r="DU252" s="766"/>
      <c r="DV252" s="766"/>
      <c r="DW252" s="66"/>
      <c r="DX252" s="66"/>
      <c r="DY252" s="766"/>
      <c r="DZ252" s="766"/>
      <c r="EA252" s="766"/>
      <c r="EB252" s="766"/>
      <c r="EC252" s="766"/>
      <c r="ED252" s="766"/>
      <c r="EE252" s="766"/>
      <c r="EF252" s="766"/>
      <c r="EG252" s="766"/>
      <c r="EH252" s="766"/>
      <c r="EI252" s="766"/>
      <c r="EJ252" s="766"/>
      <c r="EK252" s="766"/>
      <c r="EL252" s="766"/>
      <c r="EM252" s="766"/>
      <c r="EN252" s="766"/>
      <c r="EO252" s="766"/>
      <c r="EP252" s="14"/>
      <c r="EQ252" s="766"/>
      <c r="ER252" s="766"/>
      <c r="ES252" s="766"/>
      <c r="ET252" s="766"/>
      <c r="EU252" s="766"/>
      <c r="EV252" s="766"/>
      <c r="EW252" s="766"/>
      <c r="EX252" s="766"/>
      <c r="EY252" s="766"/>
      <c r="EZ252" s="766"/>
      <c r="FA252" s="766"/>
      <c r="FB252" s="766"/>
      <c r="FC252" s="766"/>
      <c r="FD252" s="775"/>
      <c r="FE252" s="766"/>
      <c r="FF252" s="766"/>
      <c r="FG252" s="766"/>
      <c r="FH252" s="766"/>
      <c r="FI252" s="766"/>
      <c r="FJ252" s="766"/>
      <c r="FK252" s="766"/>
      <c r="FL252" s="766"/>
      <c r="FM252" s="775"/>
      <c r="FN252" s="775"/>
      <c r="FO252" s="775"/>
      <c r="FP252" s="766"/>
      <c r="FQ252" s="766"/>
      <c r="FR252" s="766"/>
      <c r="FS252" s="766"/>
      <c r="FT252" s="766"/>
      <c r="FU252" s="766"/>
      <c r="FV252" s="766"/>
      <c r="FW252" s="766"/>
      <c r="FX252" s="766"/>
      <c r="FY252" s="766"/>
      <c r="FZ252" s="766"/>
      <c r="GA252" s="766"/>
      <c r="GB252" s="766"/>
      <c r="GC252" s="75"/>
      <c r="GD252" s="25"/>
      <c r="GE252" s="766"/>
      <c r="GF252" s="775"/>
      <c r="GG252" s="775"/>
      <c r="GH252" s="766"/>
      <c r="GI252" s="766"/>
      <c r="GJ252" s="766"/>
      <c r="GK252" s="766"/>
      <c r="GL252" s="766"/>
      <c r="GM252" s="766"/>
      <c r="GN252" s="82"/>
      <c r="GO252" s="766"/>
      <c r="GP252" s="766"/>
      <c r="GQ252" s="766"/>
      <c r="GR252" s="766"/>
      <c r="GS252" s="766"/>
      <c r="GT252" s="766"/>
      <c r="GU252" s="766"/>
      <c r="GV252" s="766"/>
      <c r="GW252" s="766"/>
      <c r="GX252" s="766"/>
      <c r="GY252" s="766"/>
      <c r="GZ252" s="766"/>
      <c r="HA252" s="766"/>
      <c r="HB252" s="766"/>
      <c r="HC252" s="766"/>
      <c r="HD252" s="766"/>
      <c r="HE252" s="766"/>
      <c r="HF252" s="766"/>
      <c r="HG252" s="766"/>
      <c r="HH252" s="766"/>
      <c r="HI252" s="766"/>
      <c r="HJ252" s="766"/>
      <c r="HK252" s="766"/>
      <c r="HL252" s="766"/>
      <c r="HM252" s="766"/>
      <c r="HN252" s="766"/>
      <c r="HO252" s="766"/>
      <c r="HP252" s="766"/>
      <c r="HQ252" s="766"/>
      <c r="HR252" s="766"/>
      <c r="HS252" s="766"/>
      <c r="HT252" s="766"/>
      <c r="HU252" s="766"/>
      <c r="HV252" s="766"/>
      <c r="HW252" s="766"/>
      <c r="HX252" s="766"/>
      <c r="HY252" s="766"/>
      <c r="HZ252" s="766"/>
      <c r="IA252" s="766"/>
      <c r="IB252" s="14"/>
      <c r="IC252" s="14"/>
      <c r="ID252" s="14"/>
      <c r="IE252" s="14"/>
      <c r="IF252" s="766"/>
      <c r="IG252" s="766"/>
      <c r="IH252" s="766"/>
      <c r="II252" s="766"/>
      <c r="IJ252" s="766"/>
      <c r="IK252" s="766"/>
      <c r="IL252" s="766"/>
      <c r="IM252" s="766"/>
      <c r="IN252" s="766"/>
      <c r="IO252" s="24"/>
      <c r="IP252" s="766"/>
      <c r="IQ252" s="766"/>
      <c r="IR252" s="766"/>
      <c r="IS252" s="766"/>
      <c r="IT252" s="766"/>
      <c r="IU252" s="766"/>
      <c r="IV252" s="766"/>
      <c r="IW252" s="766"/>
      <c r="IX252" s="766"/>
      <c r="IY252" s="766"/>
      <c r="IZ252" s="766"/>
      <c r="JA252" s="766"/>
      <c r="JB252" s="766"/>
      <c r="JC252" s="766"/>
      <c r="JD252" s="775"/>
      <c r="JE252" s="766"/>
      <c r="JF252" s="766"/>
      <c r="JG252" s="766"/>
      <c r="JH252" s="766"/>
      <c r="JI252" s="766"/>
      <c r="JJ252" s="766"/>
      <c r="JK252" s="766"/>
      <c r="JL252" s="766"/>
      <c r="JM252" s="766"/>
      <c r="JN252" s="766"/>
      <c r="JO252" s="766"/>
      <c r="JP252" s="766"/>
      <c r="JQ252" s="766"/>
      <c r="JR252" s="766"/>
      <c r="JS252" s="766"/>
      <c r="JT252" s="766"/>
      <c r="JU252" s="766"/>
      <c r="JV252" s="766"/>
      <c r="JW252" s="766"/>
      <c r="JX252" s="766"/>
      <c r="JY252" s="766"/>
      <c r="JZ252" s="766"/>
      <c r="KA252" s="766"/>
      <c r="KB252" s="766"/>
      <c r="KC252" s="766"/>
      <c r="KD252" s="766"/>
      <c r="KE252" s="766"/>
      <c r="KF252" s="766"/>
      <c r="KG252" s="766"/>
      <c r="KH252" s="766"/>
      <c r="KI252" s="766"/>
      <c r="KJ252" s="770"/>
      <c r="KK252" s="770"/>
      <c r="KL252" s="770"/>
      <c r="KM252" s="770"/>
      <c r="KN252" s="766"/>
      <c r="KO252" s="28"/>
      <c r="KP252" s="766"/>
      <c r="KQ252" s="766"/>
      <c r="KR252" s="766"/>
      <c r="KS252" s="766"/>
      <c r="KT252" s="766"/>
      <c r="KU252" s="766"/>
      <c r="KV252" s="766"/>
      <c r="KW252" s="766"/>
      <c r="KX252" s="766"/>
      <c r="KY252" s="766"/>
      <c r="KZ252" s="766"/>
      <c r="LA252" s="766"/>
      <c r="LB252" s="766"/>
      <c r="LC252" s="766"/>
      <c r="LD252" s="766"/>
      <c r="LE252" s="766"/>
      <c r="LF252" s="766"/>
      <c r="LG252" s="766"/>
      <c r="LH252" s="766"/>
      <c r="LI252" s="766"/>
      <c r="LJ252" s="766"/>
      <c r="LK252" s="766"/>
      <c r="LL252" s="766"/>
      <c r="LM252" s="766"/>
      <c r="LN252" s="766"/>
      <c r="LO252" s="766"/>
      <c r="LP252" s="766"/>
      <c r="LQ252" s="1678"/>
      <c r="LR252" s="766"/>
      <c r="LS252" s="766"/>
      <c r="LT252" s="766"/>
      <c r="LU252" s="766"/>
      <c r="LV252" s="766"/>
      <c r="LW252" s="766"/>
      <c r="LX252" s="769"/>
      <c r="LY252" s="766" t="str">
        <f t="shared" si="72"/>
        <v/>
      </c>
      <c r="LZ252" s="121"/>
      <c r="MA252" s="66"/>
      <c r="MB252" s="66"/>
      <c r="MC252" s="1679">
        <f t="shared" si="70"/>
        <v>0</v>
      </c>
      <c r="MD252" s="66"/>
      <c r="ME252" s="66"/>
      <c r="MF252" s="66"/>
      <c r="MG252" s="1680">
        <f t="shared" si="48"/>
        <v>0</v>
      </c>
      <c r="MH252" s="1681"/>
      <c r="MI252" s="775"/>
      <c r="MJ252" s="775"/>
      <c r="MK252" s="775"/>
      <c r="ML252" s="775"/>
      <c r="MM252" s="775"/>
      <c r="MN252" s="775"/>
      <c r="MO252" s="775"/>
      <c r="MP252" s="775"/>
      <c r="MQ252" s="775"/>
      <c r="MR252" s="775"/>
      <c r="MS252" s="775"/>
      <c r="MT252" s="775"/>
      <c r="MU252" s="775"/>
      <c r="MV252" s="775"/>
      <c r="MW252" s="775"/>
      <c r="MX252" s="775"/>
      <c r="MY252" s="1682">
        <f t="shared" si="49"/>
        <v>0</v>
      </c>
      <c r="MZ252" s="766"/>
      <c r="NA252" s="766"/>
      <c r="NB252" s="766"/>
      <c r="NC252" s="766"/>
      <c r="ND252" s="766"/>
      <c r="NE252" s="766"/>
      <c r="NF252" s="766"/>
      <c r="NG252" s="766"/>
      <c r="NH252" s="766"/>
      <c r="NI252" s="766"/>
      <c r="NJ252" s="766"/>
      <c r="NK252" s="766"/>
      <c r="NL252" s="766"/>
      <c r="NM252" s="766"/>
      <c r="NN252" s="766"/>
      <c r="NO252" s="766"/>
      <c r="NP252" s="766"/>
      <c r="NQ252" s="766"/>
      <c r="NR252" s="766"/>
      <c r="NS252" s="766"/>
      <c r="NT252" s="766"/>
      <c r="NU252" s="766"/>
      <c r="NV252" s="766"/>
      <c r="NW252" s="766"/>
      <c r="NX252" s="766"/>
      <c r="NY252" s="766"/>
      <c r="NZ252" s="766"/>
      <c r="OA252" s="766"/>
      <c r="OB252" s="766"/>
      <c r="OC252" s="766"/>
      <c r="OD252" s="766"/>
      <c r="OE252" s="766"/>
      <c r="OF252" s="766"/>
      <c r="OG252" s="766"/>
      <c r="OH252" s="766"/>
      <c r="OI252" s="766"/>
      <c r="OJ252" s="766"/>
      <c r="OK252" s="766"/>
      <c r="OL252" s="766"/>
      <c r="OM252" s="766"/>
      <c r="ON252" s="766"/>
      <c r="OO252" s="766"/>
      <c r="OP252" s="766"/>
      <c r="OQ252" s="766"/>
      <c r="OR252" s="766"/>
      <c r="OS252" s="766"/>
      <c r="OT252" s="766"/>
      <c r="OU252" s="766"/>
      <c r="OV252" s="766"/>
      <c r="OW252" s="766"/>
      <c r="OX252" s="766"/>
      <c r="OY252" s="766"/>
      <c r="OZ252" s="766"/>
      <c r="PA252" s="766"/>
      <c r="PB252" s="766"/>
      <c r="PC252" s="766"/>
      <c r="PD252" s="766"/>
      <c r="PE252" s="766"/>
      <c r="PF252" s="766"/>
      <c r="PG252" s="766"/>
      <c r="PH252" s="766"/>
      <c r="PI252" s="766"/>
      <c r="PJ252" s="766"/>
      <c r="PK252" s="766"/>
      <c r="PL252" s="766"/>
      <c r="PM252" s="766"/>
      <c r="PN252" s="766"/>
      <c r="PO252" s="766"/>
      <c r="PP252" s="766"/>
      <c r="PQ252" s="766"/>
      <c r="PR252" s="766"/>
      <c r="PS252" s="766"/>
      <c r="PT252" s="766"/>
      <c r="PU252" s="766"/>
      <c r="PV252" s="766"/>
      <c r="PW252" s="766"/>
      <c r="PX252" s="766"/>
      <c r="PY252" s="766"/>
      <c r="PZ252" s="766"/>
      <c r="QA252" s="766"/>
      <c r="QB252" s="766"/>
      <c r="QC252" s="766"/>
      <c r="QD252" s="766"/>
      <c r="QE252" s="766"/>
      <c r="QF252" s="766"/>
      <c r="QG252" s="766"/>
      <c r="QH252" s="766"/>
      <c r="QI252" s="766"/>
      <c r="QJ252" s="766"/>
      <c r="QK252" s="766"/>
      <c r="QL252" s="766"/>
      <c r="QM252" s="766"/>
      <c r="QN252" s="766"/>
      <c r="QO252" s="766"/>
      <c r="QP252" s="766"/>
      <c r="QQ252" s="766"/>
      <c r="QR252" s="766"/>
      <c r="QS252" s="766"/>
      <c r="QT252" s="766"/>
      <c r="QU252" s="766"/>
      <c r="QV252" s="766"/>
      <c r="QW252" s="766"/>
      <c r="QX252" s="766"/>
      <c r="QY252" s="766"/>
      <c r="QZ252" s="766"/>
      <c r="RA252" s="766"/>
      <c r="RB252" s="766"/>
      <c r="RC252" s="766"/>
      <c r="RD252" s="766"/>
      <c r="RE252" s="766"/>
      <c r="RF252" s="777"/>
      <c r="RG252" s="766"/>
      <c r="RH252" s="775"/>
      <c r="RI252" s="766"/>
      <c r="RJ252" s="766"/>
      <c r="RK252" s="766"/>
      <c r="RL252" s="1683"/>
      <c r="RM252" s="12"/>
      <c r="RN252" s="1711"/>
      <c r="RO252" s="148" t="s">
        <v>11891</v>
      </c>
      <c r="RP252" s="11"/>
      <c r="RQ252" s="11"/>
      <c r="RR252" s="771"/>
      <c r="RS252" s="766"/>
      <c r="RT252" s="11"/>
      <c r="RU252" s="11"/>
      <c r="RV252" s="766"/>
      <c r="RW252" s="11"/>
      <c r="RX252" s="11" t="s">
        <v>11889</v>
      </c>
      <c r="RY252" s="11"/>
      <c r="RZ252" s="11"/>
      <c r="SA252" s="766"/>
      <c r="SB252" s="11"/>
      <c r="SC252" s="11"/>
    </row>
    <row r="253" spans="1:497" ht="12.75" hidden="1" customHeight="1">
      <c r="A253" s="154" t="s">
        <v>14161</v>
      </c>
      <c r="B253" s="750"/>
      <c r="C253" s="148" t="s">
        <v>11892</v>
      </c>
      <c r="D253" s="14" t="s">
        <v>11886</v>
      </c>
      <c r="E253" s="766" t="s">
        <v>5846</v>
      </c>
      <c r="F253" s="766"/>
      <c r="G253" s="766"/>
      <c r="H253" s="766"/>
      <c r="I253" s="5"/>
      <c r="J253" s="14"/>
      <c r="K253" s="766"/>
      <c r="L253" s="766"/>
      <c r="M253" s="766"/>
      <c r="N253" s="766"/>
      <c r="O253" s="766"/>
      <c r="P253" s="766"/>
      <c r="Q253" s="1085"/>
      <c r="R253" s="25"/>
      <c r="S253" s="770"/>
      <c r="T253" s="766"/>
      <c r="U253" s="26"/>
      <c r="V253" s="766"/>
      <c r="W253" s="766"/>
      <c r="X253" s="24"/>
      <c r="Y253" s="766"/>
      <c r="Z253" s="766"/>
      <c r="AA253" s="766"/>
      <c r="AB253" s="766"/>
      <c r="AC253" s="766"/>
      <c r="AD253" s="766"/>
      <c r="AE253" s="766"/>
      <c r="AF253" s="766"/>
      <c r="AG253" s="766"/>
      <c r="AH253" s="766"/>
      <c r="AI253" s="766"/>
      <c r="AJ253" s="766"/>
      <c r="AK253" s="766"/>
      <c r="AL253" s="1133">
        <v>54.36</v>
      </c>
      <c r="AM253" s="1133">
        <v>54.36</v>
      </c>
      <c r="AN253" s="774">
        <v>1</v>
      </c>
      <c r="AO253" s="766" t="s">
        <v>1122</v>
      </c>
      <c r="AP253" s="766"/>
      <c r="AQ253" s="766"/>
      <c r="AR253" s="766"/>
      <c r="AS253" s="766"/>
      <c r="AT253" s="766"/>
      <c r="AU253" s="766"/>
      <c r="AV253" s="766"/>
      <c r="AW253" s="766"/>
      <c r="AX253" s="766"/>
      <c r="AY253" s="766"/>
      <c r="AZ253" s="766"/>
      <c r="BA253" s="766"/>
      <c r="BB253" s="766"/>
      <c r="BC253" s="766"/>
      <c r="BD253" s="766"/>
      <c r="BE253" s="766"/>
      <c r="BF253" s="775"/>
      <c r="BG253" s="775"/>
      <c r="BH253" s="766"/>
      <c r="BI253" s="766"/>
      <c r="BJ253" s="766"/>
      <c r="BK253" s="766"/>
      <c r="BL253" s="766"/>
      <c r="BM253" s="766"/>
      <c r="BN253" s="766"/>
      <c r="BO253" s="766"/>
      <c r="BP253" s="1133">
        <v>54.36</v>
      </c>
      <c r="BQ253" s="1133">
        <v>54.36</v>
      </c>
      <c r="BR253" s="774">
        <v>1</v>
      </c>
      <c r="BS253" s="766" t="s">
        <v>1257</v>
      </c>
      <c r="BT253" s="766"/>
      <c r="BU253" s="766"/>
      <c r="BV253" s="766"/>
      <c r="BW253" s="769"/>
      <c r="BX253" s="775"/>
      <c r="BY253" s="766"/>
      <c r="BZ253" s="775"/>
      <c r="CA253" s="766"/>
      <c r="CB253" s="766"/>
      <c r="CC253" s="766"/>
      <c r="CD253" s="766"/>
      <c r="CE253" s="766"/>
      <c r="CF253" s="777"/>
      <c r="CG253" s="231"/>
      <c r="CH253" s="766"/>
      <c r="CI253" s="766"/>
      <c r="CJ253" s="766"/>
      <c r="CK253" s="766"/>
      <c r="CL253" s="766"/>
      <c r="CM253" s="766"/>
      <c r="CN253" s="766"/>
      <c r="CO253" s="766"/>
      <c r="CP253" s="766"/>
      <c r="CQ253" s="766"/>
      <c r="CR253" s="775"/>
      <c r="CS253" s="766"/>
      <c r="CT253" s="766"/>
      <c r="CU253" s="129"/>
      <c r="CV253" s="766"/>
      <c r="CW253" s="766"/>
      <c r="CX253" s="766"/>
      <c r="CY253" s="766"/>
      <c r="CZ253" s="766"/>
      <c r="DA253" s="66"/>
      <c r="DB253" s="766"/>
      <c r="DC253" s="766"/>
      <c r="DD253" s="766"/>
      <c r="DE253" s="772"/>
      <c r="DF253" s="766"/>
      <c r="DG253" s="766"/>
      <c r="DH253" s="766"/>
      <c r="DI253" s="766"/>
      <c r="DJ253" s="766"/>
      <c r="DK253" s="766"/>
      <c r="DL253" s="766"/>
      <c r="DM253" s="766"/>
      <c r="DN253" s="44"/>
      <c r="DO253" s="766"/>
      <c r="DP253" s="766"/>
      <c r="DQ253" s="766"/>
      <c r="DR253" s="766"/>
      <c r="DS253" s="59"/>
      <c r="DT253" s="766"/>
      <c r="DU253" s="766"/>
      <c r="DV253" s="766"/>
      <c r="DW253" s="66"/>
      <c r="DX253" s="66"/>
      <c r="DY253" s="766"/>
      <c r="DZ253" s="766"/>
      <c r="EA253" s="766"/>
      <c r="EB253" s="766"/>
      <c r="EC253" s="766"/>
      <c r="ED253" s="766"/>
      <c r="EE253" s="766"/>
      <c r="EF253" s="766"/>
      <c r="EG253" s="766"/>
      <c r="EH253" s="766"/>
      <c r="EI253" s="766"/>
      <c r="EJ253" s="766"/>
      <c r="EK253" s="766"/>
      <c r="EL253" s="766"/>
      <c r="EM253" s="766"/>
      <c r="EN253" s="766"/>
      <c r="EO253" s="766"/>
      <c r="EP253" s="14"/>
      <c r="EQ253" s="766"/>
      <c r="ER253" s="766"/>
      <c r="ES253" s="766"/>
      <c r="ET253" s="766"/>
      <c r="EU253" s="766"/>
      <c r="EV253" s="766"/>
      <c r="EW253" s="766"/>
      <c r="EX253" s="766"/>
      <c r="EY253" s="766"/>
      <c r="EZ253" s="766"/>
      <c r="FA253" s="766"/>
      <c r="FB253" s="766"/>
      <c r="FC253" s="766"/>
      <c r="FD253" s="775"/>
      <c r="FE253" s="766"/>
      <c r="FF253" s="766"/>
      <c r="FG253" s="766"/>
      <c r="FH253" s="766"/>
      <c r="FI253" s="766"/>
      <c r="FJ253" s="766"/>
      <c r="FK253" s="766"/>
      <c r="FL253" s="766"/>
      <c r="FM253" s="775"/>
      <c r="FN253" s="775"/>
      <c r="FO253" s="775"/>
      <c r="FP253" s="766"/>
      <c r="FQ253" s="766"/>
      <c r="FR253" s="766"/>
      <c r="FS253" s="766"/>
      <c r="FT253" s="766"/>
      <c r="FU253" s="766"/>
      <c r="FV253" s="766"/>
      <c r="FW253" s="766"/>
      <c r="FX253" s="766"/>
      <c r="FY253" s="766"/>
      <c r="FZ253" s="766"/>
      <c r="GA253" s="766"/>
      <c r="GB253" s="766"/>
      <c r="GC253" s="75"/>
      <c r="GD253" s="25"/>
      <c r="GE253" s="766"/>
      <c r="GF253" s="775"/>
      <c r="GG253" s="775"/>
      <c r="GH253" s="766"/>
      <c r="GI253" s="766"/>
      <c r="GJ253" s="766"/>
      <c r="GK253" s="766"/>
      <c r="GL253" s="766"/>
      <c r="GM253" s="766"/>
      <c r="GN253" s="82"/>
      <c r="GO253" s="766"/>
      <c r="GP253" s="766"/>
      <c r="GQ253" s="766"/>
      <c r="GR253" s="766"/>
      <c r="GS253" s="766"/>
      <c r="GT253" s="766"/>
      <c r="GU253" s="766"/>
      <c r="GV253" s="766"/>
      <c r="GW253" s="766"/>
      <c r="GX253" s="766"/>
      <c r="GY253" s="766"/>
      <c r="GZ253" s="766"/>
      <c r="HA253" s="766"/>
      <c r="HB253" s="766"/>
      <c r="HC253" s="766"/>
      <c r="HD253" s="766"/>
      <c r="HE253" s="766"/>
      <c r="HF253" s="766"/>
      <c r="HG253" s="766"/>
      <c r="HH253" s="766"/>
      <c r="HI253" s="766"/>
      <c r="HJ253" s="766"/>
      <c r="HK253" s="766"/>
      <c r="HL253" s="766"/>
      <c r="HM253" s="766"/>
      <c r="HN253" s="766"/>
      <c r="HO253" s="766"/>
      <c r="HP253" s="766"/>
      <c r="HQ253" s="766"/>
      <c r="HR253" s="766"/>
      <c r="HS253" s="766"/>
      <c r="HT253" s="766"/>
      <c r="HU253" s="766"/>
      <c r="HV253" s="766"/>
      <c r="HW253" s="766"/>
      <c r="HX253" s="766"/>
      <c r="HY253" s="766"/>
      <c r="HZ253" s="766"/>
      <c r="IA253" s="766"/>
      <c r="IB253" s="14"/>
      <c r="IC253" s="14"/>
      <c r="ID253" s="14"/>
      <c r="IE253" s="14"/>
      <c r="IF253" s="766"/>
      <c r="IG253" s="766"/>
      <c r="IH253" s="766"/>
      <c r="II253" s="766"/>
      <c r="IJ253" s="766"/>
      <c r="IK253" s="766"/>
      <c r="IL253" s="766"/>
      <c r="IM253" s="766"/>
      <c r="IN253" s="766"/>
      <c r="IO253" s="24"/>
      <c r="IP253" s="766"/>
      <c r="IQ253" s="766"/>
      <c r="IR253" s="766"/>
      <c r="IS253" s="766"/>
      <c r="IT253" s="766"/>
      <c r="IU253" s="766"/>
      <c r="IV253" s="766"/>
      <c r="IW253" s="766"/>
      <c r="IX253" s="766"/>
      <c r="IY253" s="766"/>
      <c r="IZ253" s="766"/>
      <c r="JA253" s="766"/>
      <c r="JB253" s="766"/>
      <c r="JC253" s="766"/>
      <c r="JD253" s="775"/>
      <c r="JE253" s="766"/>
      <c r="JF253" s="766"/>
      <c r="JG253" s="766"/>
      <c r="JH253" s="766"/>
      <c r="JI253" s="766"/>
      <c r="JJ253" s="766"/>
      <c r="JK253" s="766"/>
      <c r="JL253" s="766"/>
      <c r="JM253" s="766"/>
      <c r="JN253" s="766"/>
      <c r="JO253" s="766"/>
      <c r="JP253" s="766"/>
      <c r="JQ253" s="766"/>
      <c r="JR253" s="766"/>
      <c r="JS253" s="766"/>
      <c r="JT253" s="766"/>
      <c r="JU253" s="766"/>
      <c r="JV253" s="766"/>
      <c r="JW253" s="766"/>
      <c r="JX253" s="766"/>
      <c r="JY253" s="766"/>
      <c r="JZ253" s="766"/>
      <c r="KA253" s="766"/>
      <c r="KB253" s="766"/>
      <c r="KC253" s="766"/>
      <c r="KD253" s="766"/>
      <c r="KE253" s="766"/>
      <c r="KF253" s="766"/>
      <c r="KG253" s="766"/>
      <c r="KH253" s="766"/>
      <c r="KI253" s="766"/>
      <c r="KJ253" s="770"/>
      <c r="KK253" s="770"/>
      <c r="KL253" s="770"/>
      <c r="KM253" s="770"/>
      <c r="KN253" s="766"/>
      <c r="KO253" s="28"/>
      <c r="KP253" s="766"/>
      <c r="KQ253" s="766"/>
      <c r="KR253" s="766"/>
      <c r="KS253" s="766"/>
      <c r="KT253" s="766"/>
      <c r="KU253" s="766"/>
      <c r="KV253" s="766"/>
      <c r="KW253" s="766"/>
      <c r="KX253" s="766"/>
      <c r="KY253" s="766"/>
      <c r="KZ253" s="766"/>
      <c r="LA253" s="766"/>
      <c r="LB253" s="766"/>
      <c r="LC253" s="766"/>
      <c r="LD253" s="766"/>
      <c r="LE253" s="766"/>
      <c r="LF253" s="766"/>
      <c r="LG253" s="766"/>
      <c r="LH253" s="766"/>
      <c r="LI253" s="766"/>
      <c r="LJ253" s="766"/>
      <c r="LK253" s="766"/>
      <c r="LL253" s="766"/>
      <c r="LM253" s="766"/>
      <c r="LN253" s="766"/>
      <c r="LO253" s="766"/>
      <c r="LP253" s="766"/>
      <c r="LQ253" s="1678"/>
      <c r="LR253" s="766"/>
      <c r="LS253" s="766"/>
      <c r="LT253" s="766"/>
      <c r="LU253" s="766"/>
      <c r="LV253" s="766"/>
      <c r="LW253" s="766"/>
      <c r="LX253" s="769"/>
      <c r="LY253" s="766" t="str">
        <f t="shared" si="72"/>
        <v/>
      </c>
      <c r="LZ253" s="121"/>
      <c r="MA253" s="66"/>
      <c r="MB253" s="66"/>
      <c r="MC253" s="1679">
        <f t="shared" si="70"/>
        <v>0</v>
      </c>
      <c r="MD253" s="66"/>
      <c r="ME253" s="66"/>
      <c r="MF253" s="66"/>
      <c r="MG253" s="1680">
        <f t="shared" si="48"/>
        <v>0</v>
      </c>
      <c r="MH253" s="1681"/>
      <c r="MI253" s="775"/>
      <c r="MJ253" s="775"/>
      <c r="MK253" s="775"/>
      <c r="ML253" s="775"/>
      <c r="MM253" s="775"/>
      <c r="MN253" s="775"/>
      <c r="MO253" s="775"/>
      <c r="MP253" s="775"/>
      <c r="MQ253" s="775"/>
      <c r="MR253" s="775"/>
      <c r="MS253" s="775"/>
      <c r="MT253" s="775"/>
      <c r="MU253" s="775"/>
      <c r="MV253" s="775"/>
      <c r="MW253" s="775"/>
      <c r="MX253" s="775"/>
      <c r="MY253" s="1682">
        <f t="shared" si="49"/>
        <v>0</v>
      </c>
      <c r="MZ253" s="766"/>
      <c r="NA253" s="766"/>
      <c r="NB253" s="766"/>
      <c r="NC253" s="766"/>
      <c r="ND253" s="766"/>
      <c r="NE253" s="766"/>
      <c r="NF253" s="766"/>
      <c r="NG253" s="766"/>
      <c r="NH253" s="766"/>
      <c r="NI253" s="766"/>
      <c r="NJ253" s="766"/>
      <c r="NK253" s="766"/>
      <c r="NL253" s="766"/>
      <c r="NM253" s="766"/>
      <c r="NN253" s="766"/>
      <c r="NO253" s="766"/>
      <c r="NP253" s="766"/>
      <c r="NQ253" s="766"/>
      <c r="NR253" s="766"/>
      <c r="NS253" s="766"/>
      <c r="NT253" s="766"/>
      <c r="NU253" s="766"/>
      <c r="NV253" s="766"/>
      <c r="NW253" s="766"/>
      <c r="NX253" s="766"/>
      <c r="NY253" s="766"/>
      <c r="NZ253" s="766"/>
      <c r="OA253" s="766"/>
      <c r="OB253" s="766"/>
      <c r="OC253" s="766"/>
      <c r="OD253" s="766"/>
      <c r="OE253" s="766"/>
      <c r="OF253" s="766"/>
      <c r="OG253" s="766"/>
      <c r="OH253" s="766"/>
      <c r="OI253" s="766"/>
      <c r="OJ253" s="766"/>
      <c r="OK253" s="766"/>
      <c r="OL253" s="766"/>
      <c r="OM253" s="766"/>
      <c r="ON253" s="766"/>
      <c r="OO253" s="766"/>
      <c r="OP253" s="766"/>
      <c r="OQ253" s="766"/>
      <c r="OR253" s="766"/>
      <c r="OS253" s="766"/>
      <c r="OT253" s="766"/>
      <c r="OU253" s="766"/>
      <c r="OV253" s="766"/>
      <c r="OW253" s="766"/>
      <c r="OX253" s="766"/>
      <c r="OY253" s="766"/>
      <c r="OZ253" s="766"/>
      <c r="PA253" s="766"/>
      <c r="PB253" s="766"/>
      <c r="PC253" s="766"/>
      <c r="PD253" s="766"/>
      <c r="PE253" s="766"/>
      <c r="PF253" s="766"/>
      <c r="PG253" s="766"/>
      <c r="PH253" s="766"/>
      <c r="PI253" s="766"/>
      <c r="PJ253" s="766"/>
      <c r="PK253" s="766"/>
      <c r="PL253" s="766"/>
      <c r="PM253" s="766"/>
      <c r="PN253" s="766"/>
      <c r="PO253" s="766"/>
      <c r="PP253" s="766"/>
      <c r="PQ253" s="766"/>
      <c r="PR253" s="766"/>
      <c r="PS253" s="766"/>
      <c r="PT253" s="766"/>
      <c r="PU253" s="766"/>
      <c r="PV253" s="766"/>
      <c r="PW253" s="766"/>
      <c r="PX253" s="766"/>
      <c r="PY253" s="766"/>
      <c r="PZ253" s="766"/>
      <c r="QA253" s="766"/>
      <c r="QB253" s="766"/>
      <c r="QC253" s="766"/>
      <c r="QD253" s="766"/>
      <c r="QE253" s="766"/>
      <c r="QF253" s="766"/>
      <c r="QG253" s="766"/>
      <c r="QH253" s="766"/>
      <c r="QI253" s="766"/>
      <c r="QJ253" s="766"/>
      <c r="QK253" s="766"/>
      <c r="QL253" s="766"/>
      <c r="QM253" s="766"/>
      <c r="QN253" s="766"/>
      <c r="QO253" s="766"/>
      <c r="QP253" s="766"/>
      <c r="QQ253" s="766"/>
      <c r="QR253" s="766"/>
      <c r="QS253" s="766"/>
      <c r="QT253" s="766"/>
      <c r="QU253" s="766"/>
      <c r="QV253" s="766"/>
      <c r="QW253" s="766"/>
      <c r="QX253" s="766"/>
      <c r="QY253" s="766"/>
      <c r="QZ253" s="766"/>
      <c r="RA253" s="766"/>
      <c r="RB253" s="766"/>
      <c r="RC253" s="766"/>
      <c r="RD253" s="766"/>
      <c r="RE253" s="766"/>
      <c r="RF253" s="777"/>
      <c r="RG253" s="766"/>
      <c r="RH253" s="775"/>
      <c r="RI253" s="766"/>
      <c r="RJ253" s="766"/>
      <c r="RK253" s="766"/>
      <c r="RL253" s="1683"/>
      <c r="RM253" s="12"/>
      <c r="RN253" s="1711"/>
      <c r="RO253" s="148" t="s">
        <v>11892</v>
      </c>
      <c r="RP253" s="11"/>
      <c r="RQ253" s="11"/>
      <c r="RR253" s="771"/>
      <c r="RS253" s="766"/>
      <c r="RT253" s="11"/>
      <c r="RU253" s="11"/>
      <c r="RV253" s="766"/>
      <c r="RW253" s="11"/>
      <c r="RX253" s="11" t="s">
        <v>11890</v>
      </c>
      <c r="RY253" s="11"/>
      <c r="RZ253" s="11"/>
      <c r="SA253" s="766"/>
      <c r="SB253" s="11"/>
      <c r="SC253" s="11"/>
    </row>
    <row r="254" spans="1:497" ht="12.75" hidden="1" customHeight="1">
      <c r="A254" s="154" t="s">
        <v>14161</v>
      </c>
      <c r="B254" s="750"/>
      <c r="C254" s="148" t="s">
        <v>11893</v>
      </c>
      <c r="D254" s="14" t="s">
        <v>11887</v>
      </c>
      <c r="E254" s="766" t="s">
        <v>5846</v>
      </c>
      <c r="F254" s="766"/>
      <c r="G254" s="766"/>
      <c r="H254" s="766"/>
      <c r="I254" s="5"/>
      <c r="J254" s="14"/>
      <c r="K254" s="766"/>
      <c r="L254" s="766"/>
      <c r="M254" s="766"/>
      <c r="N254" s="766"/>
      <c r="O254" s="766"/>
      <c r="P254" s="766"/>
      <c r="Q254" s="1085"/>
      <c r="R254" s="25"/>
      <c r="S254" s="770"/>
      <c r="T254" s="766"/>
      <c r="U254" s="26"/>
      <c r="V254" s="766"/>
      <c r="W254" s="766"/>
      <c r="X254" s="24"/>
      <c r="Y254" s="766"/>
      <c r="Z254" s="766"/>
      <c r="AA254" s="766"/>
      <c r="AB254" s="766"/>
      <c r="AC254" s="766"/>
      <c r="AD254" s="766"/>
      <c r="AE254" s="766"/>
      <c r="AF254" s="766"/>
      <c r="AG254" s="766"/>
      <c r="AH254" s="766"/>
      <c r="AI254" s="766"/>
      <c r="AJ254" s="766"/>
      <c r="AK254" s="766"/>
      <c r="AL254" s="1133">
        <v>4.4000000000000004</v>
      </c>
      <c r="AM254" s="1133">
        <v>4.4000000000000004</v>
      </c>
      <c r="AN254" s="774">
        <v>1</v>
      </c>
      <c r="AO254" s="766" t="s">
        <v>1122</v>
      </c>
      <c r="AP254" s="766"/>
      <c r="AQ254" s="766"/>
      <c r="AR254" s="766"/>
      <c r="AS254" s="766"/>
      <c r="AT254" s="766"/>
      <c r="AU254" s="766"/>
      <c r="AV254" s="766"/>
      <c r="AW254" s="766"/>
      <c r="AX254" s="766"/>
      <c r="AY254" s="766"/>
      <c r="AZ254" s="766"/>
      <c r="BA254" s="766"/>
      <c r="BB254" s="766"/>
      <c r="BC254" s="766"/>
      <c r="BD254" s="766"/>
      <c r="BE254" s="766"/>
      <c r="BF254" s="775"/>
      <c r="BG254" s="775"/>
      <c r="BH254" s="766"/>
      <c r="BI254" s="766"/>
      <c r="BJ254" s="766"/>
      <c r="BK254" s="766"/>
      <c r="BL254" s="766"/>
      <c r="BM254" s="766"/>
      <c r="BN254" s="766"/>
      <c r="BO254" s="766"/>
      <c r="BP254" s="1133">
        <v>4.4000000000000004</v>
      </c>
      <c r="BQ254" s="1133">
        <v>4.4000000000000004</v>
      </c>
      <c r="BR254" s="774">
        <v>1</v>
      </c>
      <c r="BS254" s="766" t="s">
        <v>1257</v>
      </c>
      <c r="BT254" s="766"/>
      <c r="BU254" s="766"/>
      <c r="BV254" s="766"/>
      <c r="BW254" s="769"/>
      <c r="BX254" s="775"/>
      <c r="BY254" s="766"/>
      <c r="BZ254" s="775"/>
      <c r="CA254" s="766"/>
      <c r="CB254" s="766"/>
      <c r="CC254" s="766"/>
      <c r="CD254" s="766"/>
      <c r="CE254" s="766"/>
      <c r="CF254" s="777"/>
      <c r="CG254" s="231"/>
      <c r="CH254" s="766"/>
      <c r="CI254" s="766"/>
      <c r="CJ254" s="766"/>
      <c r="CK254" s="766"/>
      <c r="CL254" s="766"/>
      <c r="CM254" s="766"/>
      <c r="CN254" s="766"/>
      <c r="CO254" s="766"/>
      <c r="CP254" s="766"/>
      <c r="CQ254" s="766"/>
      <c r="CR254" s="775"/>
      <c r="CS254" s="766"/>
      <c r="CT254" s="766"/>
      <c r="CU254" s="129"/>
      <c r="CV254" s="766"/>
      <c r="CW254" s="766"/>
      <c r="CX254" s="766"/>
      <c r="CY254" s="766"/>
      <c r="CZ254" s="766"/>
      <c r="DA254" s="66"/>
      <c r="DB254" s="766"/>
      <c r="DC254" s="766"/>
      <c r="DD254" s="766"/>
      <c r="DE254" s="772"/>
      <c r="DF254" s="766"/>
      <c r="DG254" s="766"/>
      <c r="DH254" s="766"/>
      <c r="DI254" s="766"/>
      <c r="DJ254" s="766"/>
      <c r="DK254" s="766"/>
      <c r="DL254" s="766"/>
      <c r="DM254" s="766"/>
      <c r="DN254" s="44"/>
      <c r="DO254" s="766"/>
      <c r="DP254" s="766"/>
      <c r="DQ254" s="766"/>
      <c r="DR254" s="766"/>
      <c r="DS254" s="59"/>
      <c r="DT254" s="766"/>
      <c r="DU254" s="766"/>
      <c r="DV254" s="766"/>
      <c r="DW254" s="66"/>
      <c r="DX254" s="66"/>
      <c r="DY254" s="766"/>
      <c r="DZ254" s="766"/>
      <c r="EA254" s="766"/>
      <c r="EB254" s="766"/>
      <c r="EC254" s="766"/>
      <c r="ED254" s="766"/>
      <c r="EE254" s="766"/>
      <c r="EF254" s="766"/>
      <c r="EG254" s="766"/>
      <c r="EH254" s="766"/>
      <c r="EI254" s="766"/>
      <c r="EJ254" s="766"/>
      <c r="EK254" s="766"/>
      <c r="EL254" s="766"/>
      <c r="EM254" s="766"/>
      <c r="EN254" s="766"/>
      <c r="EO254" s="766"/>
      <c r="EP254" s="14"/>
      <c r="EQ254" s="766"/>
      <c r="ER254" s="766"/>
      <c r="ES254" s="766"/>
      <c r="ET254" s="766"/>
      <c r="EU254" s="766"/>
      <c r="EV254" s="766"/>
      <c r="EW254" s="766"/>
      <c r="EX254" s="766"/>
      <c r="EY254" s="766"/>
      <c r="EZ254" s="766"/>
      <c r="FA254" s="766"/>
      <c r="FB254" s="766"/>
      <c r="FC254" s="766"/>
      <c r="FD254" s="775"/>
      <c r="FE254" s="766"/>
      <c r="FF254" s="766"/>
      <c r="FG254" s="766"/>
      <c r="FH254" s="766"/>
      <c r="FI254" s="766"/>
      <c r="FJ254" s="766"/>
      <c r="FK254" s="766"/>
      <c r="FL254" s="766"/>
      <c r="FM254" s="775"/>
      <c r="FN254" s="775"/>
      <c r="FO254" s="775"/>
      <c r="FP254" s="766"/>
      <c r="FQ254" s="766"/>
      <c r="FR254" s="766"/>
      <c r="FS254" s="766"/>
      <c r="FT254" s="766"/>
      <c r="FU254" s="766"/>
      <c r="FV254" s="766"/>
      <c r="FW254" s="766"/>
      <c r="FX254" s="766"/>
      <c r="FY254" s="766"/>
      <c r="FZ254" s="766"/>
      <c r="GA254" s="766"/>
      <c r="GB254" s="766"/>
      <c r="GC254" s="75"/>
      <c r="GD254" s="25"/>
      <c r="GE254" s="766"/>
      <c r="GF254" s="775"/>
      <c r="GG254" s="775"/>
      <c r="GH254" s="766"/>
      <c r="GI254" s="766"/>
      <c r="GJ254" s="766"/>
      <c r="GK254" s="766"/>
      <c r="GL254" s="766"/>
      <c r="GM254" s="766"/>
      <c r="GN254" s="82"/>
      <c r="GO254" s="766"/>
      <c r="GP254" s="766"/>
      <c r="GQ254" s="766"/>
      <c r="GR254" s="766"/>
      <c r="GS254" s="766"/>
      <c r="GT254" s="766"/>
      <c r="GU254" s="766"/>
      <c r="GV254" s="766"/>
      <c r="GW254" s="766"/>
      <c r="GX254" s="766"/>
      <c r="GY254" s="766"/>
      <c r="GZ254" s="766"/>
      <c r="HA254" s="766"/>
      <c r="HB254" s="766"/>
      <c r="HC254" s="766"/>
      <c r="HD254" s="766"/>
      <c r="HE254" s="766"/>
      <c r="HF254" s="766"/>
      <c r="HG254" s="766"/>
      <c r="HH254" s="766"/>
      <c r="HI254" s="766"/>
      <c r="HJ254" s="766"/>
      <c r="HK254" s="766"/>
      <c r="HL254" s="766"/>
      <c r="HM254" s="766"/>
      <c r="HN254" s="766"/>
      <c r="HO254" s="766"/>
      <c r="HP254" s="766"/>
      <c r="HQ254" s="766"/>
      <c r="HR254" s="766"/>
      <c r="HS254" s="766"/>
      <c r="HT254" s="766"/>
      <c r="HU254" s="766"/>
      <c r="HV254" s="766"/>
      <c r="HW254" s="766"/>
      <c r="HX254" s="766"/>
      <c r="HY254" s="766"/>
      <c r="HZ254" s="766"/>
      <c r="IA254" s="766"/>
      <c r="IB254" s="14"/>
      <c r="IC254" s="14"/>
      <c r="ID254" s="14"/>
      <c r="IE254" s="14"/>
      <c r="IF254" s="766"/>
      <c r="IG254" s="766"/>
      <c r="IH254" s="766"/>
      <c r="II254" s="766"/>
      <c r="IJ254" s="766"/>
      <c r="IK254" s="766"/>
      <c r="IL254" s="766"/>
      <c r="IM254" s="766"/>
      <c r="IN254" s="766"/>
      <c r="IO254" s="24"/>
      <c r="IP254" s="766"/>
      <c r="IQ254" s="766"/>
      <c r="IR254" s="766"/>
      <c r="IS254" s="766"/>
      <c r="IT254" s="766"/>
      <c r="IU254" s="766"/>
      <c r="IV254" s="766"/>
      <c r="IW254" s="766"/>
      <c r="IX254" s="766"/>
      <c r="IY254" s="766"/>
      <c r="IZ254" s="766"/>
      <c r="JA254" s="766"/>
      <c r="JB254" s="766"/>
      <c r="JC254" s="766"/>
      <c r="JD254" s="775"/>
      <c r="JE254" s="766"/>
      <c r="JF254" s="766"/>
      <c r="JG254" s="766"/>
      <c r="JH254" s="766"/>
      <c r="JI254" s="766"/>
      <c r="JJ254" s="766"/>
      <c r="JK254" s="766"/>
      <c r="JL254" s="766"/>
      <c r="JM254" s="766"/>
      <c r="JN254" s="766"/>
      <c r="JO254" s="766"/>
      <c r="JP254" s="766"/>
      <c r="JQ254" s="766"/>
      <c r="JR254" s="766"/>
      <c r="JS254" s="766"/>
      <c r="JT254" s="766"/>
      <c r="JU254" s="766"/>
      <c r="JV254" s="766"/>
      <c r="JW254" s="766"/>
      <c r="JX254" s="766"/>
      <c r="JY254" s="766"/>
      <c r="JZ254" s="766"/>
      <c r="KA254" s="766"/>
      <c r="KB254" s="766"/>
      <c r="KC254" s="766"/>
      <c r="KD254" s="766"/>
      <c r="KE254" s="766"/>
      <c r="KF254" s="766"/>
      <c r="KG254" s="766"/>
      <c r="KH254" s="766"/>
      <c r="KI254" s="766"/>
      <c r="KJ254" s="770"/>
      <c r="KK254" s="770"/>
      <c r="KL254" s="770"/>
      <c r="KM254" s="770"/>
      <c r="KN254" s="766"/>
      <c r="KO254" s="28"/>
      <c r="KP254" s="766"/>
      <c r="KQ254" s="766"/>
      <c r="KR254" s="766"/>
      <c r="KS254" s="766"/>
      <c r="KT254" s="766"/>
      <c r="KU254" s="766"/>
      <c r="KV254" s="766"/>
      <c r="KW254" s="766"/>
      <c r="KX254" s="766"/>
      <c r="KY254" s="766"/>
      <c r="KZ254" s="766"/>
      <c r="LA254" s="766"/>
      <c r="LB254" s="766"/>
      <c r="LC254" s="766"/>
      <c r="LD254" s="766"/>
      <c r="LE254" s="766"/>
      <c r="LF254" s="766"/>
      <c r="LG254" s="766"/>
      <c r="LH254" s="766"/>
      <c r="LI254" s="766"/>
      <c r="LJ254" s="766"/>
      <c r="LK254" s="766"/>
      <c r="LL254" s="766"/>
      <c r="LM254" s="766"/>
      <c r="LN254" s="766"/>
      <c r="LO254" s="766"/>
      <c r="LP254" s="766"/>
      <c r="LQ254" s="1678"/>
      <c r="LR254" s="766"/>
      <c r="LS254" s="766"/>
      <c r="LT254" s="766"/>
      <c r="LU254" s="766"/>
      <c r="LV254" s="766"/>
      <c r="LW254" s="766"/>
      <c r="LX254" s="769"/>
      <c r="LY254" s="766" t="str">
        <f t="shared" si="72"/>
        <v/>
      </c>
      <c r="LZ254" s="121"/>
      <c r="MA254" s="66"/>
      <c r="MB254" s="66"/>
      <c r="MC254" s="1679">
        <f t="shared" si="70"/>
        <v>0</v>
      </c>
      <c r="MD254" s="66"/>
      <c r="ME254" s="66"/>
      <c r="MF254" s="66"/>
      <c r="MG254" s="1680">
        <f t="shared" si="48"/>
        <v>0</v>
      </c>
      <c r="MH254" s="1681"/>
      <c r="MI254" s="775"/>
      <c r="MJ254" s="775"/>
      <c r="MK254" s="775"/>
      <c r="ML254" s="775"/>
      <c r="MM254" s="775"/>
      <c r="MN254" s="775"/>
      <c r="MO254" s="775"/>
      <c r="MP254" s="775"/>
      <c r="MQ254" s="775"/>
      <c r="MR254" s="775"/>
      <c r="MS254" s="775"/>
      <c r="MT254" s="775"/>
      <c r="MU254" s="775"/>
      <c r="MV254" s="775"/>
      <c r="MW254" s="775"/>
      <c r="MX254" s="775"/>
      <c r="MY254" s="1682">
        <f t="shared" si="49"/>
        <v>0</v>
      </c>
      <c r="MZ254" s="766"/>
      <c r="NA254" s="766"/>
      <c r="NB254" s="766"/>
      <c r="NC254" s="766"/>
      <c r="ND254" s="766"/>
      <c r="NE254" s="766"/>
      <c r="NF254" s="766"/>
      <c r="NG254" s="766"/>
      <c r="NH254" s="766"/>
      <c r="NI254" s="766"/>
      <c r="NJ254" s="766"/>
      <c r="NK254" s="766"/>
      <c r="NL254" s="766"/>
      <c r="NM254" s="766"/>
      <c r="NN254" s="766"/>
      <c r="NO254" s="766"/>
      <c r="NP254" s="766"/>
      <c r="NQ254" s="766"/>
      <c r="NR254" s="766"/>
      <c r="NS254" s="766"/>
      <c r="NT254" s="766"/>
      <c r="NU254" s="766"/>
      <c r="NV254" s="766"/>
      <c r="NW254" s="766"/>
      <c r="NX254" s="766"/>
      <c r="NY254" s="766"/>
      <c r="NZ254" s="766"/>
      <c r="OA254" s="766"/>
      <c r="OB254" s="766"/>
      <c r="OC254" s="766"/>
      <c r="OD254" s="766"/>
      <c r="OE254" s="766"/>
      <c r="OF254" s="766"/>
      <c r="OG254" s="766"/>
      <c r="OH254" s="766"/>
      <c r="OI254" s="766"/>
      <c r="OJ254" s="766"/>
      <c r="OK254" s="766"/>
      <c r="OL254" s="766"/>
      <c r="OM254" s="766"/>
      <c r="ON254" s="766"/>
      <c r="OO254" s="766"/>
      <c r="OP254" s="766"/>
      <c r="OQ254" s="766"/>
      <c r="OR254" s="766"/>
      <c r="OS254" s="766"/>
      <c r="OT254" s="766"/>
      <c r="OU254" s="766"/>
      <c r="OV254" s="766"/>
      <c r="OW254" s="766"/>
      <c r="OX254" s="766"/>
      <c r="OY254" s="766"/>
      <c r="OZ254" s="766"/>
      <c r="PA254" s="766"/>
      <c r="PB254" s="766"/>
      <c r="PC254" s="766"/>
      <c r="PD254" s="766"/>
      <c r="PE254" s="766"/>
      <c r="PF254" s="766"/>
      <c r="PG254" s="766"/>
      <c r="PH254" s="766"/>
      <c r="PI254" s="766"/>
      <c r="PJ254" s="766"/>
      <c r="PK254" s="766"/>
      <c r="PL254" s="766"/>
      <c r="PM254" s="766"/>
      <c r="PN254" s="766"/>
      <c r="PO254" s="766"/>
      <c r="PP254" s="766"/>
      <c r="PQ254" s="766"/>
      <c r="PR254" s="766"/>
      <c r="PS254" s="766"/>
      <c r="PT254" s="766"/>
      <c r="PU254" s="766"/>
      <c r="PV254" s="766"/>
      <c r="PW254" s="766"/>
      <c r="PX254" s="766"/>
      <c r="PY254" s="766"/>
      <c r="PZ254" s="766"/>
      <c r="QA254" s="766"/>
      <c r="QB254" s="766"/>
      <c r="QC254" s="766"/>
      <c r="QD254" s="766"/>
      <c r="QE254" s="766"/>
      <c r="QF254" s="766"/>
      <c r="QG254" s="766"/>
      <c r="QH254" s="766"/>
      <c r="QI254" s="766"/>
      <c r="QJ254" s="766"/>
      <c r="QK254" s="766"/>
      <c r="QL254" s="766"/>
      <c r="QM254" s="766"/>
      <c r="QN254" s="766"/>
      <c r="QO254" s="766"/>
      <c r="QP254" s="766"/>
      <c r="QQ254" s="766"/>
      <c r="QR254" s="766"/>
      <c r="QS254" s="766"/>
      <c r="QT254" s="766"/>
      <c r="QU254" s="766"/>
      <c r="QV254" s="766"/>
      <c r="QW254" s="766"/>
      <c r="QX254" s="766"/>
      <c r="QY254" s="766"/>
      <c r="QZ254" s="766"/>
      <c r="RA254" s="766"/>
      <c r="RB254" s="766"/>
      <c r="RC254" s="766"/>
      <c r="RD254" s="766"/>
      <c r="RE254" s="766"/>
      <c r="RF254" s="777"/>
      <c r="RG254" s="766"/>
      <c r="RH254" s="775"/>
      <c r="RI254" s="766"/>
      <c r="RJ254" s="766"/>
      <c r="RK254" s="766"/>
      <c r="RL254" s="1683"/>
      <c r="RM254" s="12"/>
      <c r="RN254" s="1711"/>
      <c r="RO254" s="148" t="s">
        <v>11893</v>
      </c>
      <c r="RP254" s="11"/>
      <c r="RQ254" s="11"/>
      <c r="RR254" s="771"/>
      <c r="RS254" s="766"/>
      <c r="RT254" s="11"/>
      <c r="RU254" s="11"/>
      <c r="RV254" s="766"/>
      <c r="RW254" s="11"/>
      <c r="RX254" s="11" t="s">
        <v>11891</v>
      </c>
      <c r="RY254" s="11"/>
      <c r="RZ254" s="11"/>
      <c r="SA254" s="766"/>
      <c r="SB254" s="11"/>
      <c r="SC254" s="11"/>
    </row>
    <row r="255" spans="1:497" s="1100" customFormat="1" ht="12.75" hidden="1" customHeight="1">
      <c r="A255" s="1098" t="s">
        <v>7419</v>
      </c>
      <c r="B255" s="1099" t="s">
        <v>11894</v>
      </c>
      <c r="C255" s="140" t="s">
        <v>11783</v>
      </c>
      <c r="D255" s="38" t="s">
        <v>11007</v>
      </c>
      <c r="E255" s="38" t="s">
        <v>11784</v>
      </c>
      <c r="F255" s="38"/>
      <c r="G255" s="1749"/>
      <c r="H255" s="1749"/>
      <c r="I255" s="1816"/>
      <c r="J255" s="1104"/>
      <c r="K255" s="38"/>
      <c r="L255" s="38"/>
      <c r="M255" s="38"/>
      <c r="N255" s="38"/>
      <c r="O255" s="38"/>
      <c r="P255" s="38"/>
      <c r="Q255" s="1817"/>
      <c r="R255" s="1743"/>
      <c r="S255" s="38"/>
      <c r="T255" s="38"/>
      <c r="U255" s="1818"/>
      <c r="V255" s="38"/>
      <c r="W255" s="38"/>
      <c r="X255" s="1745"/>
      <c r="Y255" s="38"/>
      <c r="Z255" s="38"/>
      <c r="AA255" s="38"/>
      <c r="AB255" s="38"/>
      <c r="AC255" s="38"/>
      <c r="AD255" s="38"/>
      <c r="AE255" s="38"/>
      <c r="AF255" s="38"/>
      <c r="AG255" s="38" t="s">
        <v>1095</v>
      </c>
      <c r="AH255" s="766" t="s">
        <v>1120</v>
      </c>
      <c r="AI255" s="38"/>
      <c r="AJ255" s="38" t="s">
        <v>1137</v>
      </c>
      <c r="AK255" s="38" t="s">
        <v>1097</v>
      </c>
      <c r="AL255" s="1735">
        <v>83.2</v>
      </c>
      <c r="AM255" s="1102">
        <v>15</v>
      </c>
      <c r="AN255" s="1103">
        <f>AM255/AL255</f>
        <v>0.18028846153846154</v>
      </c>
      <c r="AO255" s="38" t="s">
        <v>12752</v>
      </c>
      <c r="AP255" s="38"/>
      <c r="AQ255" s="38"/>
      <c r="AR255" s="38"/>
      <c r="AS255" s="38"/>
      <c r="AT255" s="38"/>
      <c r="AU255" s="38"/>
      <c r="AV255" s="38"/>
      <c r="AW255" s="38"/>
      <c r="AX255" s="38"/>
      <c r="AY255" s="38"/>
      <c r="AZ255" s="38"/>
      <c r="BA255" s="38"/>
      <c r="BB255" s="38"/>
      <c r="BC255" s="770"/>
      <c r="BD255" s="770"/>
      <c r="BE255" s="770"/>
      <c r="BF255" s="302"/>
      <c r="BG255" s="302"/>
      <c r="BH255" s="770"/>
      <c r="BI255" s="770"/>
      <c r="BJ255" s="770"/>
      <c r="BK255" s="38" t="s">
        <v>1099</v>
      </c>
      <c r="BL255" s="38" t="s">
        <v>11854</v>
      </c>
      <c r="BM255" s="38" t="s">
        <v>1120</v>
      </c>
      <c r="BN255" s="38" t="s">
        <v>1230</v>
      </c>
      <c r="BO255" s="766"/>
      <c r="BP255" s="1101">
        <v>83.2</v>
      </c>
      <c r="BQ255" s="1102">
        <v>1.5</v>
      </c>
      <c r="BR255" s="1103">
        <f>BQ255/BP255</f>
        <v>1.8028846153846152E-2</v>
      </c>
      <c r="BS255" s="38" t="s">
        <v>1242</v>
      </c>
      <c r="BT255" s="38" t="s">
        <v>2040</v>
      </c>
      <c r="BU255" s="38" t="s">
        <v>1249</v>
      </c>
      <c r="BV255" s="38" t="s">
        <v>1247</v>
      </c>
      <c r="BW255" s="38"/>
      <c r="BX255" s="1736"/>
      <c r="BY255" s="1736"/>
      <c r="BZ255" s="38"/>
      <c r="CA255" s="1736"/>
      <c r="CB255" s="1736"/>
      <c r="CC255" s="38"/>
      <c r="CD255" s="38"/>
      <c r="CE255" s="38"/>
      <c r="CF255" s="69"/>
      <c r="CG255" s="1737"/>
      <c r="CH255" s="38"/>
      <c r="CI255" s="38"/>
      <c r="CJ255" s="38"/>
      <c r="CK255" s="38"/>
      <c r="CL255" s="38"/>
      <c r="CM255" s="38"/>
      <c r="CN255" s="38"/>
      <c r="CO255" s="38"/>
      <c r="CP255" s="38"/>
      <c r="CQ255" s="38"/>
      <c r="CR255" s="1736"/>
      <c r="CS255" s="38"/>
      <c r="CT255" s="38"/>
      <c r="CU255" s="1738"/>
      <c r="CV255" s="38"/>
      <c r="CW255" s="38"/>
      <c r="CX255" s="38"/>
      <c r="CY255" s="38"/>
      <c r="CZ255" s="38"/>
      <c r="DA255" s="1739"/>
      <c r="DB255" s="38"/>
      <c r="DC255" s="38"/>
      <c r="DD255" s="38"/>
      <c r="DE255" s="1102"/>
      <c r="DF255" s="38"/>
      <c r="DG255" s="38"/>
      <c r="DH255" s="38"/>
      <c r="DI255" s="38"/>
      <c r="DJ255" s="38"/>
      <c r="DK255" s="38"/>
      <c r="DL255" s="38"/>
      <c r="DM255" s="38"/>
      <c r="DN255" s="1740"/>
      <c r="DO255" s="38"/>
      <c r="DP255" s="38"/>
      <c r="DQ255" s="38"/>
      <c r="DR255" s="38"/>
      <c r="DS255" s="1741"/>
      <c r="DT255" s="38"/>
      <c r="DU255" s="38"/>
      <c r="DV255" s="38"/>
      <c r="DW255" s="1739"/>
      <c r="DX255" s="1739"/>
      <c r="DY255" s="38"/>
      <c r="DZ255" s="38"/>
      <c r="EA255" s="38"/>
      <c r="EB255" s="38"/>
      <c r="EC255" s="38"/>
      <c r="ED255" s="38"/>
      <c r="EE255" s="38"/>
      <c r="EF255" s="38"/>
      <c r="EG255" s="38"/>
      <c r="EH255" s="38"/>
      <c r="EI255" s="38"/>
      <c r="EJ255" s="38"/>
      <c r="EK255" s="38"/>
      <c r="EL255" s="38"/>
      <c r="EM255" s="38"/>
      <c r="EN255" s="38"/>
      <c r="EO255" s="38"/>
      <c r="EP255" s="1104"/>
      <c r="EQ255" s="38"/>
      <c r="ER255" s="38"/>
      <c r="ES255" s="38"/>
      <c r="ET255" s="38"/>
      <c r="EU255" s="38"/>
      <c r="EV255" s="38"/>
      <c r="EW255" s="38"/>
      <c r="EX255" s="38"/>
      <c r="EY255" s="38"/>
      <c r="EZ255" s="38"/>
      <c r="FA255" s="38"/>
      <c r="FB255" s="38"/>
      <c r="FC255" s="38"/>
      <c r="FD255" s="1736"/>
      <c r="FE255" s="38"/>
      <c r="FF255" s="38"/>
      <c r="FG255" s="38"/>
      <c r="FH255" s="38"/>
      <c r="FI255" s="38"/>
      <c r="FJ255" s="38"/>
      <c r="FK255" s="38"/>
      <c r="FL255" s="38"/>
      <c r="FM255" s="1736"/>
      <c r="FN255" s="1736"/>
      <c r="FO255" s="1736"/>
      <c r="FP255" s="38"/>
      <c r="FQ255" s="38"/>
      <c r="FR255" s="38"/>
      <c r="FS255" s="38"/>
      <c r="FT255" s="38"/>
      <c r="FU255" s="38"/>
      <c r="FV255" s="38"/>
      <c r="FW255" s="38"/>
      <c r="FX255" s="38"/>
      <c r="FY255" s="38"/>
      <c r="FZ255" s="38"/>
      <c r="GA255" s="38"/>
      <c r="GB255" s="38"/>
      <c r="GC255" s="1742"/>
      <c r="GD255" s="1743"/>
      <c r="GE255" s="38"/>
      <c r="GF255" s="1736"/>
      <c r="GG255" s="1736"/>
      <c r="GH255" s="38"/>
      <c r="GI255" s="38"/>
      <c r="GJ255" s="38"/>
      <c r="GK255" s="38"/>
      <c r="GL255" s="38"/>
      <c r="GM255" s="38"/>
      <c r="GN255" s="1744"/>
      <c r="GO255" s="38"/>
      <c r="GP255" s="38"/>
      <c r="GQ255" s="38"/>
      <c r="GR255" s="38"/>
      <c r="GS255" s="38"/>
      <c r="GT255" s="38"/>
      <c r="GU255" s="38"/>
      <c r="GV255" s="38"/>
      <c r="GW255" s="38"/>
      <c r="GX255" s="38"/>
      <c r="GY255" s="38"/>
      <c r="GZ255" s="38"/>
      <c r="HA255" s="38"/>
      <c r="HB255" s="38"/>
      <c r="HC255" s="38"/>
      <c r="HD255" s="38"/>
      <c r="HE255" s="38"/>
      <c r="HF255" s="38"/>
      <c r="HG255" s="38"/>
      <c r="HH255" s="38"/>
      <c r="HI255" s="38"/>
      <c r="HJ255" s="38"/>
      <c r="HK255" s="38"/>
      <c r="HL255" s="38"/>
      <c r="HM255" s="38"/>
      <c r="HN255" s="38"/>
      <c r="HO255" s="38"/>
      <c r="HP255" s="38"/>
      <c r="HQ255" s="38"/>
      <c r="HR255" s="38"/>
      <c r="HS255" s="38"/>
      <c r="HT255" s="38"/>
      <c r="HU255" s="38"/>
      <c r="HV255" s="38"/>
      <c r="HW255" s="38"/>
      <c r="HX255" s="38"/>
      <c r="HY255" s="38"/>
      <c r="HZ255" s="38"/>
      <c r="IA255" s="38"/>
      <c r="IB255" s="1104"/>
      <c r="IC255" s="1104"/>
      <c r="ID255" s="1104"/>
      <c r="IE255" s="1104"/>
      <c r="IF255" s="38"/>
      <c r="IG255" s="38"/>
      <c r="IH255" s="38"/>
      <c r="II255" s="38"/>
      <c r="IJ255" s="38"/>
      <c r="IK255" s="38"/>
      <c r="IL255" s="38"/>
      <c r="IM255" s="38"/>
      <c r="IN255" s="38"/>
      <c r="IO255" s="1745"/>
      <c r="IP255" s="38"/>
      <c r="IQ255" s="38"/>
      <c r="IR255" s="38"/>
      <c r="IS255" s="38"/>
      <c r="IT255" s="38"/>
      <c r="IU255" s="38"/>
      <c r="IV255" s="38"/>
      <c r="IW255" s="38"/>
      <c r="IX255" s="38"/>
      <c r="IY255" s="38"/>
      <c r="IZ255" s="38"/>
      <c r="JA255" s="38"/>
      <c r="JB255" s="38"/>
      <c r="JC255" s="38"/>
      <c r="JD255" s="1736"/>
      <c r="JE255" s="38"/>
      <c r="JF255" s="38"/>
      <c r="JG255" s="38"/>
      <c r="JH255" s="38"/>
      <c r="JI255" s="38"/>
      <c r="JJ255" s="38"/>
      <c r="JK255" s="38"/>
      <c r="JL255" s="38"/>
      <c r="JM255" s="38"/>
      <c r="JN255" s="38"/>
      <c r="JO255" s="38"/>
      <c r="JP255" s="38"/>
      <c r="JQ255" s="38"/>
      <c r="JR255" s="38"/>
      <c r="JS255" s="38"/>
      <c r="JT255" s="766"/>
      <c r="JU255" s="766"/>
      <c r="JV255" s="766"/>
      <c r="JW255" s="766"/>
      <c r="JX255" s="38"/>
      <c r="JY255" s="38"/>
      <c r="JZ255" s="38"/>
      <c r="KA255" s="38"/>
      <c r="KB255" s="38"/>
      <c r="KC255" s="38"/>
      <c r="KD255" s="38"/>
      <c r="KE255" s="38"/>
      <c r="KF255" s="38"/>
      <c r="KG255" s="38"/>
      <c r="KH255" s="38"/>
      <c r="KI255" s="38"/>
      <c r="KJ255" s="770"/>
      <c r="KK255" s="770"/>
      <c r="KL255" s="770"/>
      <c r="KM255" s="770"/>
      <c r="KN255" s="38"/>
      <c r="KO255" s="1746"/>
      <c r="KP255" s="38"/>
      <c r="KQ255" s="38"/>
      <c r="KR255" s="38"/>
      <c r="KS255" s="38"/>
      <c r="KT255" s="38"/>
      <c r="KU255" s="38"/>
      <c r="KV255" s="38"/>
      <c r="KW255" s="38"/>
      <c r="KX255" s="38"/>
      <c r="KY255" s="38"/>
      <c r="KZ255" s="38"/>
      <c r="LA255" s="38"/>
      <c r="LB255" s="38"/>
      <c r="LC255" s="38"/>
      <c r="LD255" s="38"/>
      <c r="LE255" s="38"/>
      <c r="LF255" s="38"/>
      <c r="LG255" s="38"/>
      <c r="LH255" s="38"/>
      <c r="LI255" s="38"/>
      <c r="LJ255" s="38"/>
      <c r="LK255" s="38"/>
      <c r="LL255" s="38"/>
      <c r="LM255" s="38"/>
      <c r="LN255" s="766"/>
      <c r="LO255" s="766"/>
      <c r="LP255" s="38"/>
      <c r="LQ255" s="38"/>
      <c r="LR255" s="38"/>
      <c r="LS255" s="38"/>
      <c r="LT255" s="38"/>
      <c r="LU255" s="38"/>
      <c r="LV255" s="38"/>
      <c r="LW255" s="38"/>
      <c r="LX255" s="38"/>
      <c r="LY255" s="766" t="str">
        <f t="shared" si="72"/>
        <v/>
      </c>
      <c r="LZ255" s="1735"/>
      <c r="MA255" s="1739"/>
      <c r="MB255" s="1739"/>
      <c r="MC255" s="1679">
        <f t="shared" si="70"/>
        <v>0</v>
      </c>
      <c r="MD255" s="1739"/>
      <c r="ME255" s="1739"/>
      <c r="MF255" s="1739"/>
      <c r="MG255" s="1680">
        <f t="shared" si="48"/>
        <v>0</v>
      </c>
      <c r="MH255" s="38"/>
      <c r="MI255" s="1736"/>
      <c r="MJ255" s="1736"/>
      <c r="MK255" s="1736"/>
      <c r="ML255" s="1736"/>
      <c r="MM255" s="1736"/>
      <c r="MN255" s="1736"/>
      <c r="MO255" s="1736"/>
      <c r="MP255" s="1736"/>
      <c r="MQ255" s="1736"/>
      <c r="MR255" s="1736"/>
      <c r="MS255" s="1736"/>
      <c r="MT255" s="1736"/>
      <c r="MU255" s="1736"/>
      <c r="MV255" s="1736"/>
      <c r="MW255" s="1736"/>
      <c r="MX255" s="1736"/>
      <c r="MY255" s="1682">
        <f t="shared" si="49"/>
        <v>0</v>
      </c>
      <c r="MZ255" s="38"/>
      <c r="NA255" s="38"/>
      <c r="NB255" s="38"/>
      <c r="NC255" s="38"/>
      <c r="ND255" s="38"/>
      <c r="NE255" s="38"/>
      <c r="NF255" s="38"/>
      <c r="NG255" s="38"/>
      <c r="NH255" s="38"/>
      <c r="NI255" s="38"/>
      <c r="NJ255" s="38"/>
      <c r="NK255" s="38"/>
      <c r="NL255" s="38"/>
      <c r="NM255" s="38"/>
      <c r="NN255" s="38"/>
      <c r="NO255" s="38"/>
      <c r="NP255" s="38"/>
      <c r="NQ255" s="38"/>
      <c r="NR255" s="38"/>
      <c r="NS255" s="38"/>
      <c r="NT255" s="38"/>
      <c r="NU255" s="38"/>
      <c r="NV255" s="38"/>
      <c r="NW255" s="38"/>
      <c r="NX255" s="38"/>
      <c r="NY255" s="38"/>
      <c r="NZ255" s="38"/>
      <c r="OA255" s="38"/>
      <c r="OB255" s="38"/>
      <c r="OC255" s="38"/>
      <c r="OD255" s="38"/>
      <c r="OE255" s="38"/>
      <c r="OF255" s="38"/>
      <c r="OG255" s="38"/>
      <c r="OH255" s="38"/>
      <c r="OI255" s="38"/>
      <c r="OJ255" s="38"/>
      <c r="OK255" s="1747"/>
      <c r="OL255" s="38"/>
      <c r="OM255" s="38"/>
      <c r="ON255" s="38"/>
      <c r="OO255" s="38"/>
      <c r="OP255" s="38"/>
      <c r="OQ255" s="38"/>
      <c r="OR255" s="38"/>
      <c r="OS255" s="38"/>
      <c r="OT255" s="38"/>
      <c r="OU255" s="38"/>
      <c r="OV255" s="38"/>
      <c r="OW255" s="38"/>
      <c r="OX255" s="38"/>
      <c r="OY255" s="38"/>
      <c r="OZ255" s="38"/>
      <c r="PA255" s="38"/>
      <c r="PB255" s="38"/>
      <c r="PC255" s="38"/>
      <c r="PD255" s="38"/>
      <c r="PE255" s="38"/>
      <c r="PF255" s="38"/>
      <c r="PG255" s="38"/>
      <c r="PH255" s="38"/>
      <c r="PI255" s="38"/>
      <c r="PJ255" s="38"/>
      <c r="PK255" s="38"/>
      <c r="PL255" s="38"/>
      <c r="PM255" s="38"/>
      <c r="PN255" s="38"/>
      <c r="PO255" s="38"/>
      <c r="PP255" s="38"/>
      <c r="PQ255" s="38"/>
      <c r="PR255" s="38"/>
      <c r="PS255" s="38"/>
      <c r="PT255" s="38"/>
      <c r="PU255" s="38"/>
      <c r="PV255" s="38"/>
      <c r="PW255" s="38"/>
      <c r="PX255" s="38"/>
      <c r="PY255" s="38"/>
      <c r="PZ255" s="38"/>
      <c r="QA255" s="38"/>
      <c r="QB255" s="38"/>
      <c r="QC255" s="38"/>
      <c r="QD255" s="38"/>
      <c r="QE255" s="38"/>
      <c r="QF255" s="38"/>
      <c r="QG255" s="38"/>
      <c r="QH255" s="38"/>
      <c r="QI255" s="38"/>
      <c r="QJ255" s="38"/>
      <c r="QK255" s="38"/>
      <c r="QL255" s="38"/>
      <c r="QM255" s="38"/>
      <c r="QN255" s="38"/>
      <c r="QO255" s="38"/>
      <c r="QP255" s="38"/>
      <c r="QQ255" s="38"/>
      <c r="QR255" s="38"/>
      <c r="QS255" s="38"/>
      <c r="QT255" s="38"/>
      <c r="QU255" s="38"/>
      <c r="QV255" s="38"/>
      <c r="QW255" s="38"/>
      <c r="QX255" s="38"/>
      <c r="QY255" s="38"/>
      <c r="QZ255" s="38"/>
      <c r="RA255" s="38"/>
      <c r="RB255" s="38"/>
      <c r="RC255" s="38"/>
      <c r="RD255" s="38"/>
      <c r="RE255" s="38"/>
      <c r="RF255" s="69"/>
      <c r="RG255" s="38"/>
      <c r="RH255" s="1736"/>
      <c r="RI255" s="38"/>
      <c r="RJ255" s="38"/>
      <c r="RK255" s="38"/>
      <c r="RL255" s="1748"/>
      <c r="RM255" s="1749" t="s">
        <v>13011</v>
      </c>
      <c r="RN255" s="1750"/>
      <c r="RO255" s="140" t="s">
        <v>11783</v>
      </c>
      <c r="RR255" s="1098"/>
      <c r="RS255" s="1098"/>
      <c r="RV255" s="771"/>
      <c r="RX255" s="1100" t="s">
        <v>11892</v>
      </c>
      <c r="SA255" s="771"/>
    </row>
    <row r="256" spans="1:497" ht="12.75" hidden="1" customHeight="1">
      <c r="A256" s="154" t="s">
        <v>7419</v>
      </c>
      <c r="B256" s="292" t="s">
        <v>7606</v>
      </c>
      <c r="C256" s="140" t="s">
        <v>430</v>
      </c>
      <c r="D256" s="770" t="s">
        <v>431</v>
      </c>
      <c r="E256" s="770" t="s">
        <v>5819</v>
      </c>
      <c r="F256" s="770" t="s">
        <v>28</v>
      </c>
      <c r="G256" s="12" t="s">
        <v>10</v>
      </c>
      <c r="H256" s="12"/>
      <c r="I256" s="295"/>
      <c r="J256" s="14"/>
      <c r="K256" s="766" t="s">
        <v>432</v>
      </c>
      <c r="L256" s="766" t="s">
        <v>433</v>
      </c>
      <c r="M256" s="766"/>
      <c r="N256" s="766"/>
      <c r="O256" s="770"/>
      <c r="P256" s="770" t="s">
        <v>431</v>
      </c>
      <c r="Q256" s="1088">
        <v>20799</v>
      </c>
      <c r="R256" s="297">
        <v>60</v>
      </c>
      <c r="S256" s="770" t="s">
        <v>10</v>
      </c>
      <c r="T256" s="770" t="s">
        <v>5348</v>
      </c>
      <c r="U256" s="1819" t="s">
        <v>5347</v>
      </c>
      <c r="V256" s="770" t="s">
        <v>707</v>
      </c>
      <c r="W256" s="770"/>
      <c r="X256" s="296"/>
      <c r="Y256" s="770" t="s">
        <v>943</v>
      </c>
      <c r="Z256" s="770" t="s">
        <v>850</v>
      </c>
      <c r="AA256" s="770" t="s">
        <v>709</v>
      </c>
      <c r="AB256" s="770" t="s">
        <v>710</v>
      </c>
      <c r="AC256" s="770"/>
      <c r="AD256" s="770"/>
      <c r="AE256" s="770" t="s">
        <v>1073</v>
      </c>
      <c r="AF256" s="770" t="s">
        <v>712</v>
      </c>
      <c r="AG256" s="766" t="s">
        <v>1095</v>
      </c>
      <c r="AH256" s="766" t="s">
        <v>1096</v>
      </c>
      <c r="AI256" s="770" t="s">
        <v>1160</v>
      </c>
      <c r="AJ256" s="770"/>
      <c r="AK256" s="770" t="s">
        <v>1097</v>
      </c>
      <c r="AL256" s="299">
        <v>128.19999999999999</v>
      </c>
      <c r="AM256" s="334">
        <v>23.55</v>
      </c>
      <c r="AN256" s="301">
        <v>0.184</v>
      </c>
      <c r="AO256" s="766" t="s">
        <v>1109</v>
      </c>
      <c r="AP256" s="766"/>
      <c r="AQ256" s="766"/>
      <c r="AR256" s="766"/>
      <c r="AS256" s="770" t="s">
        <v>1207</v>
      </c>
      <c r="AT256" s="770" t="s">
        <v>1208</v>
      </c>
      <c r="AU256" s="770" t="s">
        <v>1208</v>
      </c>
      <c r="AV256" s="770" t="s">
        <v>1208</v>
      </c>
      <c r="AW256" s="770"/>
      <c r="AX256" s="13"/>
      <c r="AY256" s="770"/>
      <c r="AZ256" s="770"/>
      <c r="BA256" s="770"/>
      <c r="BB256" s="770"/>
      <c r="BC256" s="770" t="s">
        <v>796</v>
      </c>
      <c r="BD256" s="770" t="s">
        <v>1207</v>
      </c>
      <c r="BE256" s="770"/>
      <c r="BF256" s="302"/>
      <c r="BG256" s="302"/>
      <c r="BH256" s="770"/>
      <c r="BI256" s="770"/>
      <c r="BJ256" s="770"/>
      <c r="BK256" s="770" t="s">
        <v>1095</v>
      </c>
      <c r="BL256" s="766" t="s">
        <v>1160</v>
      </c>
      <c r="BM256" s="766" t="s">
        <v>8108</v>
      </c>
      <c r="BN256" s="766" t="s">
        <v>1230</v>
      </c>
      <c r="BO256" s="766" t="s">
        <v>1246</v>
      </c>
      <c r="BP256" s="559">
        <v>128.19999999999999</v>
      </c>
      <c r="BQ256" s="334">
        <v>23.55</v>
      </c>
      <c r="BR256" s="774">
        <v>0.184</v>
      </c>
      <c r="BS256" s="766" t="s">
        <v>1242</v>
      </c>
      <c r="BT256" s="766" t="s">
        <v>2040</v>
      </c>
      <c r="BU256" s="770" t="s">
        <v>1249</v>
      </c>
      <c r="BV256" s="770" t="s">
        <v>1247</v>
      </c>
      <c r="BW256" s="770">
        <v>1983</v>
      </c>
      <c r="BX256" s="302">
        <v>280000</v>
      </c>
      <c r="BY256" s="302" t="s">
        <v>1207</v>
      </c>
      <c r="BZ256" s="770"/>
      <c r="CA256" s="302"/>
      <c r="CB256" s="302"/>
      <c r="CC256" s="770"/>
      <c r="CD256" s="770"/>
      <c r="CE256" s="770"/>
      <c r="CF256" s="304"/>
      <c r="CG256" s="321"/>
      <c r="CH256" s="770"/>
      <c r="CI256" s="770"/>
      <c r="CJ256" s="770" t="s">
        <v>1526</v>
      </c>
      <c r="CK256" s="770"/>
      <c r="CL256" s="770"/>
      <c r="CM256" s="770"/>
      <c r="CN256" s="770"/>
      <c r="CO256" s="770" t="s">
        <v>1257</v>
      </c>
      <c r="CP256" s="770"/>
      <c r="CQ256" s="770"/>
      <c r="CR256" s="302"/>
      <c r="CS256" s="770"/>
      <c r="CT256" s="770"/>
      <c r="CU256" s="305"/>
      <c r="CV256" s="770"/>
      <c r="CW256" s="770"/>
      <c r="CX256" s="770"/>
      <c r="CY256" s="770"/>
      <c r="CZ256" s="770"/>
      <c r="DA256" s="306"/>
      <c r="DB256" s="770"/>
      <c r="DC256" s="770"/>
      <c r="DD256" s="770"/>
      <c r="DE256" s="300"/>
      <c r="DF256" s="770"/>
      <c r="DG256" s="770"/>
      <c r="DH256" s="770"/>
      <c r="DI256" s="770"/>
      <c r="DJ256" s="770"/>
      <c r="DK256" s="770"/>
      <c r="DL256" s="770"/>
      <c r="DM256" s="770"/>
      <c r="DN256" s="322"/>
      <c r="DO256" s="770"/>
      <c r="DP256" s="770"/>
      <c r="DQ256" s="770"/>
      <c r="DR256" s="770"/>
      <c r="DS256" s="307"/>
      <c r="DT256" s="770"/>
      <c r="DU256" s="770"/>
      <c r="DV256" s="770"/>
      <c r="DW256" s="306"/>
      <c r="DX256" s="306"/>
      <c r="DY256" s="770"/>
      <c r="DZ256" s="770"/>
      <c r="EA256" s="770"/>
      <c r="EB256" s="770"/>
      <c r="EC256" s="770"/>
      <c r="ED256" s="770"/>
      <c r="EE256" s="770"/>
      <c r="EF256" s="770"/>
      <c r="EG256" s="770"/>
      <c r="EH256" s="770"/>
      <c r="EI256" s="770"/>
      <c r="EJ256" s="770"/>
      <c r="EK256" s="770"/>
      <c r="EL256" s="770"/>
      <c r="EM256" s="770"/>
      <c r="EN256" s="770"/>
      <c r="EO256" s="770"/>
      <c r="EP256" s="94"/>
      <c r="EQ256" s="770"/>
      <c r="ER256" s="770"/>
      <c r="ES256" s="770"/>
      <c r="ET256" s="770"/>
      <c r="EU256" s="770"/>
      <c r="EV256" s="770"/>
      <c r="EW256" s="770"/>
      <c r="EX256" s="770"/>
      <c r="EY256" s="770"/>
      <c r="EZ256" s="770"/>
      <c r="FA256" s="770"/>
      <c r="FB256" s="770"/>
      <c r="FC256" s="770"/>
      <c r="FD256" s="302"/>
      <c r="FE256" s="770"/>
      <c r="FF256" s="770"/>
      <c r="FG256" s="770"/>
      <c r="FH256" s="770" t="s">
        <v>478</v>
      </c>
      <c r="FI256" s="770">
        <v>1</v>
      </c>
      <c r="FJ256" s="770"/>
      <c r="FK256" s="770"/>
      <c r="FL256" s="770"/>
      <c r="FM256" s="302"/>
      <c r="FN256" s="302"/>
      <c r="FO256" s="302"/>
      <c r="FP256" s="770"/>
      <c r="FQ256" s="770"/>
      <c r="FR256" s="770" t="s">
        <v>1207</v>
      </c>
      <c r="FS256" s="766" t="s">
        <v>1208</v>
      </c>
      <c r="FT256" s="766" t="s">
        <v>1208</v>
      </c>
      <c r="FU256" s="766"/>
      <c r="FV256" s="766"/>
      <c r="FW256" s="766"/>
      <c r="FX256" s="766"/>
      <c r="FY256" s="766"/>
      <c r="FZ256" s="766"/>
      <c r="GA256" s="766"/>
      <c r="GB256" s="770" t="s">
        <v>796</v>
      </c>
      <c r="GC256" s="308"/>
      <c r="GD256" s="297"/>
      <c r="GE256" s="770"/>
      <c r="GF256" s="302"/>
      <c r="GG256" s="302"/>
      <c r="GH256" s="770"/>
      <c r="GI256" s="770"/>
      <c r="GJ256" s="770"/>
      <c r="GK256" s="770"/>
      <c r="GL256" s="770"/>
      <c r="GM256" s="770"/>
      <c r="GN256" s="309"/>
      <c r="GO256" s="770"/>
      <c r="GP256" s="770"/>
      <c r="GQ256" s="770"/>
      <c r="GR256" s="770"/>
      <c r="GS256" s="770"/>
      <c r="GT256" s="770"/>
      <c r="GU256" s="770"/>
      <c r="GV256" s="770"/>
      <c r="GW256" s="770"/>
      <c r="GX256" s="770"/>
      <c r="GY256" s="770"/>
      <c r="GZ256" s="770"/>
      <c r="HA256" s="770"/>
      <c r="HB256" s="770"/>
      <c r="HC256" s="770"/>
      <c r="HD256" s="770"/>
      <c r="HE256" s="770"/>
      <c r="HF256" s="770"/>
      <c r="HG256" s="770"/>
      <c r="HH256" s="770"/>
      <c r="HI256" s="770"/>
      <c r="HJ256" s="770"/>
      <c r="HK256" s="770"/>
      <c r="HL256" s="770"/>
      <c r="HM256" s="770"/>
      <c r="HN256" s="770"/>
      <c r="HO256" s="770"/>
      <c r="HP256" s="770"/>
      <c r="HQ256" s="770"/>
      <c r="HR256" s="770"/>
      <c r="HS256" s="770"/>
      <c r="HT256" s="770"/>
      <c r="HU256" s="770"/>
      <c r="HV256" s="770"/>
      <c r="HW256" s="770"/>
      <c r="HX256" s="770"/>
      <c r="HY256" s="770"/>
      <c r="HZ256" s="770"/>
      <c r="IA256" s="770"/>
      <c r="IB256" s="14" t="e">
        <f>IF(#REF!&gt;0,IF(#REF!&lt;=10000,"Y",""),"")</f>
        <v>#REF!</v>
      </c>
      <c r="IC256" s="94"/>
      <c r="ID256" s="94">
        <v>1</v>
      </c>
      <c r="IE256" s="94">
        <v>1</v>
      </c>
      <c r="IF256" s="770"/>
      <c r="IG256" s="770"/>
      <c r="IH256" s="770"/>
      <c r="II256" s="770"/>
      <c r="IJ256" s="770"/>
      <c r="IK256" s="770"/>
      <c r="IL256" s="770"/>
      <c r="IM256" s="770"/>
      <c r="IN256" s="770"/>
      <c r="IO256" s="296"/>
      <c r="IP256" s="770"/>
      <c r="IQ256" s="770"/>
      <c r="IR256" s="770"/>
      <c r="IS256" s="770"/>
      <c r="IT256" s="770"/>
      <c r="IU256" s="770"/>
      <c r="IV256" s="770"/>
      <c r="IW256" s="770"/>
      <c r="IX256" s="770"/>
      <c r="IY256" s="770"/>
      <c r="IZ256" s="770"/>
      <c r="JA256" s="770"/>
      <c r="JB256" s="770"/>
      <c r="JC256" s="770"/>
      <c r="JD256" s="302"/>
      <c r="JE256" s="770"/>
      <c r="JF256" s="770"/>
      <c r="JG256" s="770"/>
      <c r="JH256" s="770"/>
      <c r="JI256" s="770"/>
      <c r="JJ256" s="766">
        <v>7</v>
      </c>
      <c r="JK256" s="770" t="s">
        <v>2090</v>
      </c>
      <c r="JL256" s="770"/>
      <c r="JM256" s="770"/>
      <c r="JN256" s="770">
        <v>4</v>
      </c>
      <c r="JO256" s="770">
        <v>3</v>
      </c>
      <c r="JP256" s="770"/>
      <c r="JQ256" s="770"/>
      <c r="JR256" s="770"/>
      <c r="JS256" s="770"/>
      <c r="JT256" s="766">
        <f>SUM(JP256,JN256,JL256,JR256)</f>
        <v>4</v>
      </c>
      <c r="JU256" s="766">
        <f>SUM(JQ256,JO256,JM256,JS256)</f>
        <v>3</v>
      </c>
      <c r="JV256" s="766"/>
      <c r="JW256" s="766"/>
      <c r="JX256" s="770"/>
      <c r="JY256" s="770"/>
      <c r="JZ256" s="770"/>
      <c r="KA256" s="770"/>
      <c r="KB256" s="770">
        <v>2</v>
      </c>
      <c r="KC256" s="770"/>
      <c r="KD256" s="770">
        <v>2</v>
      </c>
      <c r="KE256" s="770">
        <v>3</v>
      </c>
      <c r="KF256" s="770"/>
      <c r="KG256" s="770"/>
      <c r="KH256" s="770"/>
      <c r="KI256" s="770"/>
      <c r="KJ256" s="770">
        <f t="shared" si="58"/>
        <v>4</v>
      </c>
      <c r="KK256" s="770">
        <f t="shared" si="58"/>
        <v>3</v>
      </c>
      <c r="KL256" s="770"/>
      <c r="KM256" s="770"/>
      <c r="KN256" s="770" t="s">
        <v>707</v>
      </c>
      <c r="KO256" s="1751" t="s">
        <v>13368</v>
      </c>
      <c r="KP256" s="770"/>
      <c r="KQ256" s="770"/>
      <c r="KR256" s="770"/>
      <c r="KS256" s="770"/>
      <c r="KT256" s="770"/>
      <c r="KU256" s="770"/>
      <c r="KV256" s="770"/>
      <c r="KW256" s="770"/>
      <c r="KX256" s="770"/>
      <c r="KY256" s="770"/>
      <c r="KZ256" s="770"/>
      <c r="LA256" s="770"/>
      <c r="LB256" s="770">
        <v>1</v>
      </c>
      <c r="LC256" s="770"/>
      <c r="LD256" s="770">
        <v>2</v>
      </c>
      <c r="LE256" s="770">
        <v>2</v>
      </c>
      <c r="LF256" s="770"/>
      <c r="LG256" s="770"/>
      <c r="LH256" s="770">
        <v>1</v>
      </c>
      <c r="LI256" s="770">
        <v>1</v>
      </c>
      <c r="LJ256" s="770"/>
      <c r="LK256" s="770"/>
      <c r="LL256" s="770"/>
      <c r="LM256" s="770"/>
      <c r="LN256" s="766">
        <f t="shared" si="71"/>
        <v>4</v>
      </c>
      <c r="LO256" s="766">
        <f t="shared" si="71"/>
        <v>3</v>
      </c>
      <c r="LP256" s="770">
        <v>5</v>
      </c>
      <c r="LQ256" s="770"/>
      <c r="LR256" s="770"/>
      <c r="LS256" s="770"/>
      <c r="LT256" s="770"/>
      <c r="LU256" s="770">
        <v>4</v>
      </c>
      <c r="LV256" s="770">
        <v>1</v>
      </c>
      <c r="LW256" s="770"/>
      <c r="LX256" s="769">
        <v>1</v>
      </c>
      <c r="LY256" s="766" t="str">
        <f t="shared" si="72"/>
        <v>within the BRGY</v>
      </c>
      <c r="LZ256" s="299">
        <v>2000</v>
      </c>
      <c r="MA256" s="306"/>
      <c r="MB256" s="306"/>
      <c r="MC256" s="1679">
        <f t="shared" si="70"/>
        <v>2000</v>
      </c>
      <c r="MD256" s="306">
        <f>30000+40000+40000+30000+20000</f>
        <v>160000</v>
      </c>
      <c r="ME256" s="306"/>
      <c r="MF256" s="306"/>
      <c r="MG256" s="1680">
        <f t="shared" si="48"/>
        <v>160000</v>
      </c>
      <c r="MH256" s="770" t="s">
        <v>13369</v>
      </c>
      <c r="MI256" s="302">
        <v>9000</v>
      </c>
      <c r="MJ256" s="302">
        <v>2000</v>
      </c>
      <c r="MK256" s="302">
        <v>5000</v>
      </c>
      <c r="ML256" s="302">
        <v>10000</v>
      </c>
      <c r="MM256" s="302"/>
      <c r="MN256" s="302"/>
      <c r="MO256" s="302">
        <v>2000</v>
      </c>
      <c r="MP256" s="302">
        <v>4000</v>
      </c>
      <c r="MQ256" s="302">
        <v>600</v>
      </c>
      <c r="MR256" s="302">
        <v>1000</v>
      </c>
      <c r="MS256" s="302">
        <v>10000</v>
      </c>
      <c r="MT256" s="302"/>
      <c r="MU256" s="302"/>
      <c r="MV256" s="302"/>
      <c r="MW256" s="302"/>
      <c r="MX256" s="302"/>
      <c r="MY256" s="1682">
        <f t="shared" si="49"/>
        <v>43600</v>
      </c>
      <c r="MZ256" s="770" t="s">
        <v>13370</v>
      </c>
      <c r="NA256" s="770" t="s">
        <v>13005</v>
      </c>
      <c r="NB256" s="770" t="s">
        <v>13371</v>
      </c>
      <c r="NC256" s="766" t="s">
        <v>13007</v>
      </c>
      <c r="ND256" s="770">
        <v>0</v>
      </c>
      <c r="NE256" s="770">
        <v>0</v>
      </c>
      <c r="NF256" s="770">
        <v>2</v>
      </c>
      <c r="NG256" s="770">
        <v>6</v>
      </c>
      <c r="NH256" s="770">
        <v>1</v>
      </c>
      <c r="NI256" s="770">
        <v>0</v>
      </c>
      <c r="NJ256" s="770">
        <v>0</v>
      </c>
      <c r="NK256" s="770">
        <v>0</v>
      </c>
      <c r="NL256" s="770">
        <v>1</v>
      </c>
      <c r="NM256" s="770">
        <v>1</v>
      </c>
      <c r="NN256" s="770">
        <v>0</v>
      </c>
      <c r="NO256" s="770">
        <v>0</v>
      </c>
      <c r="NP256" s="770">
        <v>1</v>
      </c>
      <c r="NQ256" s="770">
        <v>0</v>
      </c>
      <c r="NR256" s="770">
        <v>0</v>
      </c>
      <c r="NS256" s="770">
        <v>0</v>
      </c>
      <c r="NT256" s="770">
        <v>0</v>
      </c>
      <c r="NU256" s="770">
        <v>0</v>
      </c>
      <c r="NV256" s="770">
        <v>0</v>
      </c>
      <c r="NW256" s="770">
        <v>0</v>
      </c>
      <c r="NX256" s="770">
        <v>0</v>
      </c>
      <c r="NY256" s="770" t="s">
        <v>1208</v>
      </c>
      <c r="NZ256" s="770"/>
      <c r="OA256" s="770"/>
      <c r="OB256" s="770" t="s">
        <v>1208</v>
      </c>
      <c r="OC256" s="770" t="s">
        <v>1208</v>
      </c>
      <c r="OD256" s="770" t="s">
        <v>1208</v>
      </c>
      <c r="OE256" s="770"/>
      <c r="OF256" s="770"/>
      <c r="OG256" s="770"/>
      <c r="OH256" s="770"/>
      <c r="OI256" s="770"/>
      <c r="OJ256" s="770"/>
      <c r="OK256" s="1752"/>
      <c r="OL256" s="770"/>
      <c r="OM256" s="770"/>
      <c r="ON256" s="770"/>
      <c r="OO256" s="770"/>
      <c r="OP256" s="770"/>
      <c r="OQ256" s="770"/>
      <c r="OR256" s="770"/>
      <c r="OS256" s="770"/>
      <c r="OT256" s="770"/>
      <c r="OU256" s="770"/>
      <c r="OV256" s="770"/>
      <c r="OW256" s="770"/>
      <c r="OX256" s="770"/>
      <c r="OY256" s="770"/>
      <c r="OZ256" s="770"/>
      <c r="PA256" s="770"/>
      <c r="PB256" s="770"/>
      <c r="PC256" s="770"/>
      <c r="PD256" s="770"/>
      <c r="PE256" s="770"/>
      <c r="PF256" s="770"/>
      <c r="PG256" s="770"/>
      <c r="PH256" s="770"/>
      <c r="PI256" s="770"/>
      <c r="PJ256" s="770"/>
      <c r="PK256" s="770"/>
      <c r="PL256" s="770"/>
      <c r="PM256" s="770" t="s">
        <v>1208</v>
      </c>
      <c r="PN256" s="770"/>
      <c r="PO256" s="770"/>
      <c r="PP256" s="770"/>
      <c r="PQ256" s="770"/>
      <c r="PR256" s="770"/>
      <c r="PS256" s="770"/>
      <c r="PT256" s="770"/>
      <c r="PU256" s="770"/>
      <c r="PV256" s="770"/>
      <c r="PW256" s="770"/>
      <c r="PX256" s="770"/>
      <c r="PY256" s="770"/>
      <c r="PZ256" s="770"/>
      <c r="QA256" s="770"/>
      <c r="QB256" s="770"/>
      <c r="QC256" s="770"/>
      <c r="QD256" s="770"/>
      <c r="QE256" s="770"/>
      <c r="QF256" s="770"/>
      <c r="QG256" s="770"/>
      <c r="QH256" s="770"/>
      <c r="QI256" s="770"/>
      <c r="QJ256" s="770"/>
      <c r="QK256" s="770"/>
      <c r="QL256" s="770"/>
      <c r="QM256" s="770"/>
      <c r="QN256" s="770"/>
      <c r="QO256" s="770"/>
      <c r="QP256" s="770"/>
      <c r="QQ256" s="770"/>
      <c r="QR256" s="770"/>
      <c r="QS256" s="770"/>
      <c r="QT256" s="770"/>
      <c r="QU256" s="770"/>
      <c r="QV256" s="770"/>
      <c r="QW256" s="770"/>
      <c r="QX256" s="770"/>
      <c r="QY256" s="770"/>
      <c r="QZ256" s="770"/>
      <c r="RA256" s="770"/>
      <c r="RB256" s="770" t="s">
        <v>1207</v>
      </c>
      <c r="RC256" s="770">
        <v>2015</v>
      </c>
      <c r="RD256" s="770" t="s">
        <v>1217</v>
      </c>
      <c r="RE256" s="770" t="s">
        <v>13125</v>
      </c>
      <c r="RF256" s="304">
        <f>CONVERT(2,"ft","m")</f>
        <v>0.60960000000000003</v>
      </c>
      <c r="RG256" s="770" t="s">
        <v>13037</v>
      </c>
      <c r="RH256" s="302">
        <v>0</v>
      </c>
      <c r="RI256" s="770" t="s">
        <v>13372</v>
      </c>
      <c r="RJ256" s="770" t="s">
        <v>2090</v>
      </c>
      <c r="RK256" s="770" t="s">
        <v>13373</v>
      </c>
      <c r="RL256" s="1710" t="s">
        <v>1604</v>
      </c>
      <c r="RM256" s="12"/>
      <c r="RN256" s="1711"/>
      <c r="RO256" s="140" t="s">
        <v>430</v>
      </c>
      <c r="RP256" s="11"/>
      <c r="RQ256" s="11"/>
      <c r="RR256" s="771"/>
      <c r="RS256" s="767"/>
      <c r="RT256" s="11"/>
      <c r="RU256" s="11"/>
      <c r="RV256" s="771"/>
      <c r="RW256" s="11"/>
      <c r="RX256" s="11" t="s">
        <v>11893</v>
      </c>
      <c r="RY256" s="11"/>
      <c r="RZ256" s="11" t="s">
        <v>1101</v>
      </c>
      <c r="SA256" s="771"/>
      <c r="SB256" s="11"/>
      <c r="SC256" s="11"/>
    </row>
    <row r="257" spans="1:497" ht="12.75" hidden="1" customHeight="1">
      <c r="A257" s="154" t="s">
        <v>7419</v>
      </c>
      <c r="B257" s="292" t="s">
        <v>7607</v>
      </c>
      <c r="C257" s="140" t="s">
        <v>434</v>
      </c>
      <c r="D257" s="94" t="s">
        <v>435</v>
      </c>
      <c r="E257" s="770" t="s">
        <v>5819</v>
      </c>
      <c r="F257" s="770" t="s">
        <v>28</v>
      </c>
      <c r="G257" s="12" t="s">
        <v>18</v>
      </c>
      <c r="H257" s="12"/>
      <c r="I257" s="295"/>
      <c r="J257" s="94"/>
      <c r="K257" s="770"/>
      <c r="L257" s="770"/>
      <c r="M257" s="770"/>
      <c r="N257" s="770"/>
      <c r="O257" s="770"/>
      <c r="P257" s="766"/>
      <c r="Q257" s="1088"/>
      <c r="R257" s="297"/>
      <c r="S257" s="770"/>
      <c r="T257" s="770"/>
      <c r="U257" s="298"/>
      <c r="V257" s="770"/>
      <c r="W257" s="770"/>
      <c r="X257" s="296"/>
      <c r="Y257" s="770"/>
      <c r="Z257" s="770"/>
      <c r="AA257" s="770"/>
      <c r="AB257" s="770"/>
      <c r="AC257" s="770"/>
      <c r="AD257" s="770"/>
      <c r="AE257" s="770"/>
      <c r="AF257" s="770"/>
      <c r="AG257" s="766" t="s">
        <v>1095</v>
      </c>
      <c r="AH257" s="766" t="s">
        <v>1096</v>
      </c>
      <c r="AI257" s="770" t="s">
        <v>1161</v>
      </c>
      <c r="AJ257" s="770"/>
      <c r="AK257" s="770" t="s">
        <v>1097</v>
      </c>
      <c r="AL257" s="299">
        <v>58.8</v>
      </c>
      <c r="AM257" s="334">
        <v>17.5</v>
      </c>
      <c r="AN257" s="301">
        <v>0.29759999999999998</v>
      </c>
      <c r="AO257" s="766" t="s">
        <v>1149</v>
      </c>
      <c r="AP257" s="766"/>
      <c r="AQ257" s="766"/>
      <c r="AR257" s="766"/>
      <c r="AS257" s="770" t="s">
        <v>1207</v>
      </c>
      <c r="AT257" s="770" t="s">
        <v>1208</v>
      </c>
      <c r="AU257" s="770"/>
      <c r="AV257" s="770"/>
      <c r="AW257" s="770"/>
      <c r="AX257" s="770"/>
      <c r="AY257" s="770"/>
      <c r="AZ257" s="770"/>
      <c r="BA257" s="770"/>
      <c r="BB257" s="770"/>
      <c r="BC257" s="770" t="s">
        <v>796</v>
      </c>
      <c r="BD257" s="770" t="s">
        <v>1207</v>
      </c>
      <c r="BE257" s="770"/>
      <c r="BF257" s="302"/>
      <c r="BG257" s="302"/>
      <c r="BH257" s="770"/>
      <c r="BI257" s="770"/>
      <c r="BJ257" s="770"/>
      <c r="BK257" s="770" t="s">
        <v>1095</v>
      </c>
      <c r="BL257" s="769" t="s">
        <v>11832</v>
      </c>
      <c r="BM257" s="766" t="s">
        <v>8108</v>
      </c>
      <c r="BN257" s="766" t="s">
        <v>1230</v>
      </c>
      <c r="BO257" s="766" t="s">
        <v>1239</v>
      </c>
      <c r="BP257" s="1649">
        <v>117.6</v>
      </c>
      <c r="BQ257" s="1130">
        <v>35</v>
      </c>
      <c r="BR257" s="774">
        <v>0.29759999999999998</v>
      </c>
      <c r="BS257" s="6" t="s">
        <v>1149</v>
      </c>
      <c r="BT257" s="766" t="s">
        <v>2040</v>
      </c>
      <c r="BU257" s="770" t="s">
        <v>1249</v>
      </c>
      <c r="BV257" s="770" t="s">
        <v>1247</v>
      </c>
      <c r="BW257" s="770">
        <v>1958</v>
      </c>
      <c r="BX257" s="302"/>
      <c r="BY257" s="302"/>
      <c r="BZ257" s="770"/>
      <c r="CA257" s="302"/>
      <c r="CB257" s="302"/>
      <c r="CC257" s="770"/>
      <c r="CD257" s="770"/>
      <c r="CE257" s="770"/>
      <c r="CF257" s="304"/>
      <c r="CG257" s="321"/>
      <c r="CH257" s="770"/>
      <c r="CI257" s="770"/>
      <c r="CJ257" s="770"/>
      <c r="CK257" s="770"/>
      <c r="CL257" s="770"/>
      <c r="CM257" s="770"/>
      <c r="CN257" s="770"/>
      <c r="CO257" s="770"/>
      <c r="CP257" s="770"/>
      <c r="CQ257" s="770"/>
      <c r="CR257" s="302"/>
      <c r="CS257" s="770"/>
      <c r="CT257" s="770"/>
      <c r="CU257" s="305"/>
      <c r="CV257" s="770"/>
      <c r="CW257" s="770"/>
      <c r="CX257" s="770"/>
      <c r="CY257" s="770"/>
      <c r="CZ257" s="770"/>
      <c r="DA257" s="306"/>
      <c r="DB257" s="770"/>
      <c r="DC257" s="770"/>
      <c r="DD257" s="770"/>
      <c r="DE257" s="300"/>
      <c r="DF257" s="770"/>
      <c r="DG257" s="770"/>
      <c r="DH257" s="770"/>
      <c r="DI257" s="770"/>
      <c r="DJ257" s="770"/>
      <c r="DK257" s="770"/>
      <c r="DL257" s="770"/>
      <c r="DM257" s="770"/>
      <c r="DN257" s="322"/>
      <c r="DO257" s="770"/>
      <c r="DP257" s="770"/>
      <c r="DQ257" s="770"/>
      <c r="DR257" s="770"/>
      <c r="DS257" s="307"/>
      <c r="DT257" s="770"/>
      <c r="DU257" s="770"/>
      <c r="DV257" s="770"/>
      <c r="DW257" s="306"/>
      <c r="DX257" s="306"/>
      <c r="DY257" s="770"/>
      <c r="DZ257" s="770"/>
      <c r="EA257" s="770"/>
      <c r="EB257" s="770"/>
      <c r="EC257" s="770"/>
      <c r="ED257" s="770"/>
      <c r="EE257" s="770"/>
      <c r="EF257" s="770"/>
      <c r="EG257" s="770"/>
      <c r="EH257" s="770"/>
      <c r="EI257" s="770"/>
      <c r="EJ257" s="770"/>
      <c r="EK257" s="770"/>
      <c r="EL257" s="770"/>
      <c r="EM257" s="770"/>
      <c r="EN257" s="770"/>
      <c r="EO257" s="770"/>
      <c r="EP257" s="94"/>
      <c r="EQ257" s="770"/>
      <c r="ER257" s="770"/>
      <c r="ES257" s="770"/>
      <c r="ET257" s="770"/>
      <c r="EU257" s="770"/>
      <c r="EV257" s="770"/>
      <c r="EW257" s="770"/>
      <c r="EX257" s="770"/>
      <c r="EY257" s="770"/>
      <c r="EZ257" s="770"/>
      <c r="FA257" s="770"/>
      <c r="FB257" s="770"/>
      <c r="FC257" s="770"/>
      <c r="FD257" s="302"/>
      <c r="FE257" s="770"/>
      <c r="FF257" s="770"/>
      <c r="FG257" s="770"/>
      <c r="FH257" s="770" t="s">
        <v>478</v>
      </c>
      <c r="FI257" s="770">
        <v>1</v>
      </c>
      <c r="FJ257" s="770"/>
      <c r="FK257" s="770"/>
      <c r="FL257" s="770"/>
      <c r="FM257" s="302"/>
      <c r="FN257" s="302"/>
      <c r="FO257" s="302"/>
      <c r="FP257" s="770"/>
      <c r="FQ257" s="770"/>
      <c r="FR257" s="770" t="s">
        <v>1207</v>
      </c>
      <c r="FS257" s="770" t="s">
        <v>1208</v>
      </c>
      <c r="FT257" s="770" t="s">
        <v>1208</v>
      </c>
      <c r="FU257" s="770"/>
      <c r="FV257" s="770"/>
      <c r="FW257" s="770" t="s">
        <v>1208</v>
      </c>
      <c r="FX257" s="770"/>
      <c r="FY257" s="770"/>
      <c r="FZ257" s="770"/>
      <c r="GA257" s="770"/>
      <c r="GB257" s="770"/>
      <c r="GC257" s="308"/>
      <c r="GD257" s="297"/>
      <c r="GE257" s="770"/>
      <c r="GF257" s="302"/>
      <c r="GG257" s="302"/>
      <c r="GH257" s="770"/>
      <c r="GI257" s="770"/>
      <c r="GJ257" s="770"/>
      <c r="GK257" s="770"/>
      <c r="GL257" s="770"/>
      <c r="GM257" s="770"/>
      <c r="GN257" s="309"/>
      <c r="GO257" s="770"/>
      <c r="GP257" s="770"/>
      <c r="GQ257" s="770"/>
      <c r="GR257" s="770"/>
      <c r="GS257" s="770"/>
      <c r="GT257" s="770"/>
      <c r="GU257" s="770"/>
      <c r="GV257" s="770"/>
      <c r="GW257" s="770"/>
      <c r="GX257" s="770"/>
      <c r="GY257" s="770"/>
      <c r="GZ257" s="770"/>
      <c r="HA257" s="770"/>
      <c r="HB257" s="770"/>
      <c r="HC257" s="770"/>
      <c r="HD257" s="770"/>
      <c r="HE257" s="770"/>
      <c r="HF257" s="770"/>
      <c r="HG257" s="770"/>
      <c r="HH257" s="770"/>
      <c r="HI257" s="770"/>
      <c r="HJ257" s="770"/>
      <c r="HK257" s="770"/>
      <c r="HL257" s="770"/>
      <c r="HM257" s="770"/>
      <c r="HN257" s="770"/>
      <c r="HO257" s="770"/>
      <c r="HP257" s="770"/>
      <c r="HQ257" s="770"/>
      <c r="HR257" s="770">
        <v>3</v>
      </c>
      <c r="HS257" s="770"/>
      <c r="HT257" s="770"/>
      <c r="HU257" s="770"/>
      <c r="HV257" s="770"/>
      <c r="HW257" s="770"/>
      <c r="HX257" s="770"/>
      <c r="HY257" s="770"/>
      <c r="HZ257" s="770"/>
      <c r="IA257" s="770"/>
      <c r="IB257" s="14" t="e">
        <f>IF(#REF!&gt;0,IF(#REF!&lt;=10000,"Y",""),"")</f>
        <v>#REF!</v>
      </c>
      <c r="IC257" s="770"/>
      <c r="ID257" s="770" t="s">
        <v>1207</v>
      </c>
      <c r="IE257" s="770" t="s">
        <v>1207</v>
      </c>
      <c r="IF257" s="770"/>
      <c r="IG257" s="770"/>
      <c r="IH257" s="770"/>
      <c r="II257" s="770"/>
      <c r="IJ257" s="770"/>
      <c r="IK257" s="766"/>
      <c r="IL257" s="770"/>
      <c r="IM257" s="770"/>
      <c r="IN257" s="770"/>
      <c r="IO257" s="296"/>
      <c r="IP257" s="770"/>
      <c r="IQ257" s="770"/>
      <c r="IR257" s="770"/>
      <c r="IS257" s="770"/>
      <c r="IT257" s="770"/>
      <c r="IU257" s="770"/>
      <c r="IV257" s="770"/>
      <c r="IW257" s="770"/>
      <c r="IX257" s="770"/>
      <c r="IY257" s="770"/>
      <c r="IZ257" s="770"/>
      <c r="JA257" s="770"/>
      <c r="JB257" s="770"/>
      <c r="JC257" s="770"/>
      <c r="JD257" s="302"/>
      <c r="JE257" s="770"/>
      <c r="JF257" s="770"/>
      <c r="JG257" s="770"/>
      <c r="JH257" s="770"/>
      <c r="JI257" s="770"/>
      <c r="JJ257" s="770"/>
      <c r="JK257" s="770"/>
      <c r="JL257" s="770"/>
      <c r="JM257" s="770"/>
      <c r="JN257" s="770"/>
      <c r="JO257" s="770"/>
      <c r="JP257" s="770"/>
      <c r="JQ257" s="770"/>
      <c r="JR257" s="770"/>
      <c r="JS257" s="770"/>
      <c r="JT257" s="766"/>
      <c r="JU257" s="766"/>
      <c r="JV257" s="766"/>
      <c r="JW257" s="766"/>
      <c r="JX257" s="770"/>
      <c r="JY257" s="770"/>
      <c r="JZ257" s="770"/>
      <c r="KA257" s="770"/>
      <c r="KB257" s="770"/>
      <c r="KC257" s="770"/>
      <c r="KD257" s="770"/>
      <c r="KE257" s="770"/>
      <c r="KF257" s="770"/>
      <c r="KG257" s="770"/>
      <c r="KH257" s="770"/>
      <c r="KI257" s="770"/>
      <c r="KJ257" s="770"/>
      <c r="KK257" s="770"/>
      <c r="KL257" s="770"/>
      <c r="KM257" s="770"/>
      <c r="KN257" s="770"/>
      <c r="KO257" s="770"/>
      <c r="KP257" s="770"/>
      <c r="KQ257" s="770"/>
      <c r="KR257" s="770"/>
      <c r="KS257" s="770"/>
      <c r="KT257" s="770"/>
      <c r="KU257" s="770"/>
      <c r="KV257" s="770"/>
      <c r="KW257" s="770"/>
      <c r="KX257" s="770"/>
      <c r="KY257" s="770"/>
      <c r="KZ257" s="770"/>
      <c r="LA257" s="770"/>
      <c r="LB257" s="770"/>
      <c r="LC257" s="770"/>
      <c r="LD257" s="770"/>
      <c r="LE257" s="770"/>
      <c r="LF257" s="770"/>
      <c r="LG257" s="770"/>
      <c r="LH257" s="770"/>
      <c r="LI257" s="770"/>
      <c r="LJ257" s="770"/>
      <c r="LK257" s="770"/>
      <c r="LL257" s="770"/>
      <c r="LM257" s="770"/>
      <c r="LN257" s="766"/>
      <c r="LO257" s="766"/>
      <c r="LP257" s="770"/>
      <c r="LQ257" s="770"/>
      <c r="LR257" s="770"/>
      <c r="LS257" s="770"/>
      <c r="LT257" s="770"/>
      <c r="LU257" s="770"/>
      <c r="LV257" s="770"/>
      <c r="LW257" s="770"/>
      <c r="LX257" s="769"/>
      <c r="LY257" s="766" t="str">
        <f t="shared" si="72"/>
        <v/>
      </c>
      <c r="LZ257" s="299"/>
      <c r="MA257" s="306"/>
      <c r="MB257" s="306"/>
      <c r="MC257" s="1679">
        <f t="shared" si="70"/>
        <v>0</v>
      </c>
      <c r="MD257" s="306"/>
      <c r="ME257" s="306"/>
      <c r="MF257" s="306"/>
      <c r="MG257" s="1680">
        <f t="shared" si="48"/>
        <v>0</v>
      </c>
      <c r="MH257" s="770"/>
      <c r="MI257" s="302"/>
      <c r="MJ257" s="302"/>
      <c r="MK257" s="302"/>
      <c r="ML257" s="302"/>
      <c r="MM257" s="302"/>
      <c r="MN257" s="302"/>
      <c r="MO257" s="302"/>
      <c r="MP257" s="302"/>
      <c r="MQ257" s="302"/>
      <c r="MR257" s="302"/>
      <c r="MS257" s="302"/>
      <c r="MT257" s="302"/>
      <c r="MU257" s="302"/>
      <c r="MV257" s="302"/>
      <c r="MW257" s="302"/>
      <c r="MX257" s="302"/>
      <c r="MY257" s="1682">
        <f t="shared" si="49"/>
        <v>0</v>
      </c>
      <c r="MZ257" s="770"/>
      <c r="NA257" s="770"/>
      <c r="NB257" s="770"/>
      <c r="NC257" s="770"/>
      <c r="ND257" s="770"/>
      <c r="NE257" s="770"/>
      <c r="NF257" s="770"/>
      <c r="NG257" s="770"/>
      <c r="NH257" s="770"/>
      <c r="NI257" s="770"/>
      <c r="NJ257" s="770"/>
      <c r="NK257" s="770"/>
      <c r="NL257" s="770"/>
      <c r="NM257" s="770"/>
      <c r="NN257" s="770"/>
      <c r="NO257" s="770"/>
      <c r="NP257" s="770"/>
      <c r="NQ257" s="770"/>
      <c r="NR257" s="770"/>
      <c r="NS257" s="770"/>
      <c r="NT257" s="770"/>
      <c r="NU257" s="770"/>
      <c r="NV257" s="770"/>
      <c r="NW257" s="770"/>
      <c r="NX257" s="770"/>
      <c r="NY257" s="770"/>
      <c r="NZ257" s="770"/>
      <c r="OA257" s="770"/>
      <c r="OB257" s="770"/>
      <c r="OC257" s="770"/>
      <c r="OD257" s="770"/>
      <c r="OE257" s="770"/>
      <c r="OF257" s="770" t="s">
        <v>13220</v>
      </c>
      <c r="OG257" s="770"/>
      <c r="OH257" s="770"/>
      <c r="OI257" s="770"/>
      <c r="OJ257" s="770"/>
      <c r="OK257" s="770" t="s">
        <v>1208</v>
      </c>
      <c r="OL257" s="770"/>
      <c r="OM257" s="770"/>
      <c r="ON257" s="770"/>
      <c r="OO257" s="770" t="s">
        <v>1214</v>
      </c>
      <c r="OP257" s="770"/>
      <c r="OQ257" s="770"/>
      <c r="OR257" s="770"/>
      <c r="OS257" s="770"/>
      <c r="OT257" s="770"/>
      <c r="OU257" s="770"/>
      <c r="OV257" s="770"/>
      <c r="OW257" s="770"/>
      <c r="OX257" s="770"/>
      <c r="OY257" s="770"/>
      <c r="OZ257" s="770"/>
      <c r="PA257" s="770"/>
      <c r="PB257" s="770"/>
      <c r="PC257" s="770"/>
      <c r="PD257" s="770"/>
      <c r="PE257" s="770"/>
      <c r="PF257" s="770"/>
      <c r="PG257" s="770"/>
      <c r="PH257" s="770"/>
      <c r="PI257" s="770"/>
      <c r="PJ257" s="770"/>
      <c r="PK257" s="770" t="s">
        <v>1208</v>
      </c>
      <c r="PL257" s="770"/>
      <c r="PM257" s="770"/>
      <c r="PN257" s="770"/>
      <c r="PO257" s="770"/>
      <c r="PP257" s="770"/>
      <c r="PQ257" s="770"/>
      <c r="PR257" s="770"/>
      <c r="PS257" s="770"/>
      <c r="PT257" s="770"/>
      <c r="PU257" s="770"/>
      <c r="PV257" s="770"/>
      <c r="PW257" s="770"/>
      <c r="PX257" s="770"/>
      <c r="PY257" s="770"/>
      <c r="PZ257" s="770"/>
      <c r="QA257" s="770"/>
      <c r="QB257" s="770"/>
      <c r="QC257" s="770" t="s">
        <v>1208</v>
      </c>
      <c r="QD257" s="770"/>
      <c r="QE257" s="770"/>
      <c r="QF257" s="770"/>
      <c r="QG257" s="770"/>
      <c r="QH257" s="770"/>
      <c r="QI257" s="770"/>
      <c r="QJ257" s="770"/>
      <c r="QK257" s="770"/>
      <c r="QL257" s="770"/>
      <c r="QM257" s="770"/>
      <c r="QN257" s="770"/>
      <c r="QO257" s="770"/>
      <c r="QP257" s="770"/>
      <c r="QQ257" s="770"/>
      <c r="QR257" s="770"/>
      <c r="QS257" s="770"/>
      <c r="QT257" s="770"/>
      <c r="QU257" s="770"/>
      <c r="QV257" s="770"/>
      <c r="QW257" s="770"/>
      <c r="QX257" s="770"/>
      <c r="QY257" s="770"/>
      <c r="QZ257" s="770"/>
      <c r="RA257" s="770"/>
      <c r="RB257" s="770"/>
      <c r="RC257" s="770"/>
      <c r="RD257" s="770"/>
      <c r="RE257" s="770"/>
      <c r="RF257" s="304"/>
      <c r="RG257" s="770"/>
      <c r="RH257" s="302"/>
      <c r="RI257" s="770"/>
      <c r="RJ257" s="770" t="s">
        <v>13374</v>
      </c>
      <c r="RK257" s="770" t="s">
        <v>13375</v>
      </c>
      <c r="RL257" s="1710" t="s">
        <v>1604</v>
      </c>
      <c r="RM257" s="12"/>
      <c r="RN257" s="1711"/>
      <c r="RO257" s="140" t="s">
        <v>434</v>
      </c>
      <c r="RP257" s="11"/>
      <c r="RQ257" s="11"/>
      <c r="RR257" s="771"/>
      <c r="RS257" s="767"/>
      <c r="RT257" s="11"/>
      <c r="RU257" s="11"/>
      <c r="RV257" s="771"/>
      <c r="RW257" s="11" t="s">
        <v>11894</v>
      </c>
      <c r="RX257" s="11" t="s">
        <v>11783</v>
      </c>
      <c r="RY257" s="11"/>
      <c r="RZ257" s="11" t="s">
        <v>1101</v>
      </c>
      <c r="SA257" s="771"/>
      <c r="SB257" s="11"/>
      <c r="SC257" s="11"/>
    </row>
    <row r="258" spans="1:497" ht="12.75" hidden="1" customHeight="1">
      <c r="A258" s="154" t="s">
        <v>7419</v>
      </c>
      <c r="B258" s="292" t="s">
        <v>7608</v>
      </c>
      <c r="C258" s="140" t="s">
        <v>436</v>
      </c>
      <c r="D258" s="94"/>
      <c r="E258" s="770" t="s">
        <v>5819</v>
      </c>
      <c r="F258" s="770"/>
      <c r="G258" s="12"/>
      <c r="H258" s="12"/>
      <c r="I258" s="295"/>
      <c r="J258" s="94"/>
      <c r="K258" s="770"/>
      <c r="L258" s="770"/>
      <c r="M258" s="770"/>
      <c r="N258" s="770"/>
      <c r="O258" s="770"/>
      <c r="P258" s="766"/>
      <c r="Q258" s="1088"/>
      <c r="R258" s="297"/>
      <c r="S258" s="770"/>
      <c r="T258" s="770"/>
      <c r="U258" s="298"/>
      <c r="V258" s="770"/>
      <c r="W258" s="770"/>
      <c r="X258" s="296"/>
      <c r="Y258" s="770"/>
      <c r="Z258" s="770"/>
      <c r="AA258" s="770"/>
      <c r="AB258" s="770"/>
      <c r="AC258" s="770"/>
      <c r="AD258" s="770"/>
      <c r="AE258" s="770"/>
      <c r="AF258" s="770"/>
      <c r="AG258" s="766" t="s">
        <v>1095</v>
      </c>
      <c r="AH258" s="766" t="s">
        <v>1096</v>
      </c>
      <c r="AI258" s="770" t="s">
        <v>1162</v>
      </c>
      <c r="AJ258" s="770"/>
      <c r="AK258" s="770" t="s">
        <v>1097</v>
      </c>
      <c r="AL258" s="299">
        <v>215.82</v>
      </c>
      <c r="AM258" s="300">
        <v>22.75</v>
      </c>
      <c r="AN258" s="301">
        <v>0.105</v>
      </c>
      <c r="AO258" s="766" t="s">
        <v>1109</v>
      </c>
      <c r="AP258" s="766"/>
      <c r="AQ258" s="766"/>
      <c r="AR258" s="766"/>
      <c r="AS258" s="770" t="s">
        <v>1207</v>
      </c>
      <c r="AT258" s="770" t="s">
        <v>1208</v>
      </c>
      <c r="AU258" s="770"/>
      <c r="AV258" s="770"/>
      <c r="AW258" s="770"/>
      <c r="AX258" s="13"/>
      <c r="AY258" s="770"/>
      <c r="AZ258" s="770"/>
      <c r="BA258" s="770"/>
      <c r="BB258" s="770"/>
      <c r="BC258" s="770" t="s">
        <v>796</v>
      </c>
      <c r="BD258" s="770"/>
      <c r="BE258" s="770"/>
      <c r="BF258" s="302"/>
      <c r="BG258" s="302"/>
      <c r="BH258" s="770"/>
      <c r="BI258" s="770"/>
      <c r="BJ258" s="770"/>
      <c r="BK258" s="770" t="s">
        <v>1095</v>
      </c>
      <c r="BL258" s="769" t="s">
        <v>5570</v>
      </c>
      <c r="BM258" s="766" t="s">
        <v>1096</v>
      </c>
      <c r="BN258" s="766" t="s">
        <v>1230</v>
      </c>
      <c r="BO258" s="766" t="s">
        <v>1239</v>
      </c>
      <c r="BP258" s="1649">
        <v>431.64</v>
      </c>
      <c r="BQ258" s="1130">
        <v>45.5</v>
      </c>
      <c r="BR258" s="774">
        <v>0.10539999999999999</v>
      </c>
      <c r="BS258" s="766" t="s">
        <v>1242</v>
      </c>
      <c r="BT258" s="766" t="s">
        <v>2040</v>
      </c>
      <c r="BU258" s="770" t="s">
        <v>1249</v>
      </c>
      <c r="BV258" s="770" t="s">
        <v>1247</v>
      </c>
      <c r="BW258" s="770">
        <v>1989</v>
      </c>
      <c r="BX258" s="302"/>
      <c r="BY258" s="302"/>
      <c r="BZ258" s="770"/>
      <c r="CA258" s="302"/>
      <c r="CB258" s="302"/>
      <c r="CC258" s="770"/>
      <c r="CD258" s="770"/>
      <c r="CE258" s="770"/>
      <c r="CF258" s="304"/>
      <c r="CG258" s="321"/>
      <c r="CH258" s="770"/>
      <c r="CI258" s="770"/>
      <c r="CJ258" s="770"/>
      <c r="CK258" s="770"/>
      <c r="CL258" s="770"/>
      <c r="CM258" s="770"/>
      <c r="CN258" s="770"/>
      <c r="CO258" s="770"/>
      <c r="CP258" s="770"/>
      <c r="CQ258" s="770"/>
      <c r="CR258" s="302"/>
      <c r="CS258" s="770"/>
      <c r="CT258" s="770"/>
      <c r="CU258" s="305"/>
      <c r="CV258" s="770"/>
      <c r="CW258" s="770"/>
      <c r="CX258" s="770"/>
      <c r="CY258" s="770"/>
      <c r="CZ258" s="770"/>
      <c r="DA258" s="306"/>
      <c r="DB258" s="770"/>
      <c r="DC258" s="770"/>
      <c r="DD258" s="770"/>
      <c r="DE258" s="300"/>
      <c r="DF258" s="770"/>
      <c r="DG258" s="770"/>
      <c r="DH258" s="770"/>
      <c r="DI258" s="770"/>
      <c r="DJ258" s="770"/>
      <c r="DK258" s="770"/>
      <c r="DL258" s="770"/>
      <c r="DM258" s="770"/>
      <c r="DN258" s="322"/>
      <c r="DO258" s="770"/>
      <c r="DP258" s="770"/>
      <c r="DQ258" s="770"/>
      <c r="DR258" s="770"/>
      <c r="DS258" s="307"/>
      <c r="DT258" s="770"/>
      <c r="DU258" s="770"/>
      <c r="DV258" s="770"/>
      <c r="DW258" s="306"/>
      <c r="DX258" s="306"/>
      <c r="DY258" s="770"/>
      <c r="DZ258" s="770"/>
      <c r="EA258" s="770"/>
      <c r="EB258" s="770"/>
      <c r="EC258" s="770"/>
      <c r="ED258" s="770"/>
      <c r="EE258" s="770"/>
      <c r="EF258" s="770"/>
      <c r="EG258" s="770"/>
      <c r="EH258" s="770"/>
      <c r="EI258" s="770"/>
      <c r="EJ258" s="770"/>
      <c r="EK258" s="770"/>
      <c r="EL258" s="770"/>
      <c r="EM258" s="770"/>
      <c r="EN258" s="770"/>
      <c r="EO258" s="770"/>
      <c r="EP258" s="94"/>
      <c r="EQ258" s="770"/>
      <c r="ER258" s="770"/>
      <c r="ES258" s="770"/>
      <c r="ET258" s="770"/>
      <c r="EU258" s="770"/>
      <c r="EV258" s="770"/>
      <c r="EW258" s="770"/>
      <c r="EX258" s="770"/>
      <c r="EY258" s="770"/>
      <c r="EZ258" s="770"/>
      <c r="FA258" s="770"/>
      <c r="FB258" s="770"/>
      <c r="FC258" s="770"/>
      <c r="FD258" s="302"/>
      <c r="FE258" s="770"/>
      <c r="FF258" s="770"/>
      <c r="FG258" s="770"/>
      <c r="FH258" s="770"/>
      <c r="FI258" s="770"/>
      <c r="FJ258" s="770"/>
      <c r="FK258" s="770"/>
      <c r="FL258" s="770"/>
      <c r="FM258" s="302"/>
      <c r="FN258" s="302"/>
      <c r="FO258" s="302"/>
      <c r="FP258" s="770"/>
      <c r="FQ258" s="770"/>
      <c r="FR258" s="770"/>
      <c r="FS258" s="770"/>
      <c r="FT258" s="770"/>
      <c r="FU258" s="770"/>
      <c r="FV258" s="770"/>
      <c r="FW258" s="770"/>
      <c r="FX258" s="770"/>
      <c r="FY258" s="770"/>
      <c r="FZ258" s="770"/>
      <c r="GA258" s="770"/>
      <c r="GB258" s="770"/>
      <c r="GC258" s="308"/>
      <c r="GD258" s="297"/>
      <c r="GE258" s="770"/>
      <c r="GF258" s="302"/>
      <c r="GG258" s="302"/>
      <c r="GH258" s="770"/>
      <c r="GI258" s="770"/>
      <c r="GJ258" s="770"/>
      <c r="GK258" s="770"/>
      <c r="GL258" s="770"/>
      <c r="GM258" s="770"/>
      <c r="GN258" s="309"/>
      <c r="GO258" s="770"/>
      <c r="GP258" s="770"/>
      <c r="GQ258" s="770"/>
      <c r="GR258" s="770"/>
      <c r="GS258" s="770"/>
      <c r="GT258" s="770"/>
      <c r="GU258" s="770"/>
      <c r="GV258" s="770"/>
      <c r="GW258" s="770"/>
      <c r="GX258" s="770"/>
      <c r="GY258" s="770"/>
      <c r="GZ258" s="770"/>
      <c r="HA258" s="770"/>
      <c r="HB258" s="770"/>
      <c r="HC258" s="770"/>
      <c r="HD258" s="770"/>
      <c r="HE258" s="770"/>
      <c r="HF258" s="770"/>
      <c r="HG258" s="770"/>
      <c r="HH258" s="770"/>
      <c r="HI258" s="770"/>
      <c r="HJ258" s="770"/>
      <c r="HK258" s="770"/>
      <c r="HL258" s="770"/>
      <c r="HM258" s="770"/>
      <c r="HN258" s="770"/>
      <c r="HO258" s="770"/>
      <c r="HP258" s="770"/>
      <c r="HQ258" s="770"/>
      <c r="HR258" s="770"/>
      <c r="HS258" s="770"/>
      <c r="HT258" s="770"/>
      <c r="HU258" s="770"/>
      <c r="HV258" s="770"/>
      <c r="HW258" s="770"/>
      <c r="HX258" s="770"/>
      <c r="HY258" s="770"/>
      <c r="HZ258" s="770"/>
      <c r="IA258" s="770"/>
      <c r="IB258" s="14" t="e">
        <f>IF(#REF!&gt;0,IF(#REF!&lt;=10000,"Y",""),"")</f>
        <v>#REF!</v>
      </c>
      <c r="IC258" s="770"/>
      <c r="ID258" s="770"/>
      <c r="IE258" s="770"/>
      <c r="IF258" s="770"/>
      <c r="IG258" s="770"/>
      <c r="IH258" s="770"/>
      <c r="II258" s="770"/>
      <c r="IJ258" s="770"/>
      <c r="IK258" s="766"/>
      <c r="IL258" s="770"/>
      <c r="IM258" s="770"/>
      <c r="IN258" s="770"/>
      <c r="IO258" s="296"/>
      <c r="IP258" s="770"/>
      <c r="IQ258" s="770"/>
      <c r="IR258" s="770"/>
      <c r="IS258" s="770"/>
      <c r="IT258" s="770"/>
      <c r="IU258" s="770"/>
      <c r="IV258" s="770"/>
      <c r="IW258" s="770"/>
      <c r="IX258" s="770"/>
      <c r="IY258" s="770"/>
      <c r="IZ258" s="770"/>
      <c r="JA258" s="770"/>
      <c r="JB258" s="770"/>
      <c r="JC258" s="770"/>
      <c r="JD258" s="302"/>
      <c r="JE258" s="770"/>
      <c r="JF258" s="770"/>
      <c r="JG258" s="770"/>
      <c r="JH258" s="770"/>
      <c r="JI258" s="770"/>
      <c r="JJ258" s="770"/>
      <c r="JK258" s="770"/>
      <c r="JL258" s="770"/>
      <c r="JM258" s="770"/>
      <c r="JN258" s="770"/>
      <c r="JO258" s="770"/>
      <c r="JP258" s="770"/>
      <c r="JQ258" s="770"/>
      <c r="JR258" s="770"/>
      <c r="JS258" s="770"/>
      <c r="JT258" s="766"/>
      <c r="JU258" s="766"/>
      <c r="JV258" s="766"/>
      <c r="JW258" s="766"/>
      <c r="JX258" s="770"/>
      <c r="JY258" s="770"/>
      <c r="JZ258" s="770"/>
      <c r="KA258" s="770"/>
      <c r="KB258" s="770"/>
      <c r="KC258" s="770"/>
      <c r="KD258" s="770"/>
      <c r="KE258" s="770"/>
      <c r="KF258" s="770"/>
      <c r="KG258" s="770"/>
      <c r="KH258" s="770"/>
      <c r="KI258" s="770"/>
      <c r="KJ258" s="770"/>
      <c r="KK258" s="770"/>
      <c r="KL258" s="770"/>
      <c r="KM258" s="770"/>
      <c r="KN258" s="770"/>
      <c r="KO258" s="770"/>
      <c r="KP258" s="770"/>
      <c r="KQ258" s="770"/>
      <c r="KR258" s="770"/>
      <c r="KS258" s="770"/>
      <c r="KT258" s="770"/>
      <c r="KU258" s="770"/>
      <c r="KV258" s="770"/>
      <c r="KW258" s="770"/>
      <c r="KX258" s="770"/>
      <c r="KY258" s="770"/>
      <c r="KZ258" s="770"/>
      <c r="LA258" s="770"/>
      <c r="LB258" s="770"/>
      <c r="LC258" s="770"/>
      <c r="LD258" s="770"/>
      <c r="LE258" s="770"/>
      <c r="LF258" s="770"/>
      <c r="LG258" s="770"/>
      <c r="LH258" s="770"/>
      <c r="LI258" s="770"/>
      <c r="LJ258" s="770"/>
      <c r="LK258" s="770"/>
      <c r="LL258" s="770"/>
      <c r="LM258" s="770"/>
      <c r="LN258" s="766"/>
      <c r="LO258" s="766"/>
      <c r="LP258" s="770"/>
      <c r="LQ258" s="770"/>
      <c r="LR258" s="770"/>
      <c r="LS258" s="770"/>
      <c r="LT258" s="770"/>
      <c r="LU258" s="770"/>
      <c r="LV258" s="770"/>
      <c r="LW258" s="770"/>
      <c r="LX258" s="769"/>
      <c r="LY258" s="766" t="str">
        <f t="shared" si="72"/>
        <v/>
      </c>
      <c r="LZ258" s="299"/>
      <c r="MA258" s="306"/>
      <c r="MB258" s="306"/>
      <c r="MC258" s="1679">
        <f t="shared" si="70"/>
        <v>0</v>
      </c>
      <c r="MD258" s="306"/>
      <c r="ME258" s="306"/>
      <c r="MF258" s="306"/>
      <c r="MG258" s="1680">
        <f t="shared" si="48"/>
        <v>0</v>
      </c>
      <c r="MH258" s="770"/>
      <c r="MI258" s="302"/>
      <c r="MJ258" s="302"/>
      <c r="MK258" s="302"/>
      <c r="ML258" s="302"/>
      <c r="MM258" s="302"/>
      <c r="MN258" s="302"/>
      <c r="MO258" s="302"/>
      <c r="MP258" s="302"/>
      <c r="MQ258" s="302"/>
      <c r="MR258" s="302"/>
      <c r="MS258" s="302"/>
      <c r="MT258" s="302"/>
      <c r="MU258" s="302"/>
      <c r="MV258" s="302"/>
      <c r="MW258" s="302"/>
      <c r="MX258" s="302"/>
      <c r="MY258" s="1682">
        <f t="shared" si="49"/>
        <v>0</v>
      </c>
      <c r="MZ258" s="770"/>
      <c r="NA258" s="770"/>
      <c r="NB258" s="770"/>
      <c r="NC258" s="770"/>
      <c r="ND258" s="770"/>
      <c r="NE258" s="770"/>
      <c r="NF258" s="770"/>
      <c r="NG258" s="770"/>
      <c r="NH258" s="770"/>
      <c r="NI258" s="770"/>
      <c r="NJ258" s="770"/>
      <c r="NK258" s="770"/>
      <c r="NL258" s="770"/>
      <c r="NM258" s="770"/>
      <c r="NN258" s="770"/>
      <c r="NO258" s="770"/>
      <c r="NP258" s="770"/>
      <c r="NQ258" s="770"/>
      <c r="NR258" s="770"/>
      <c r="NS258" s="770"/>
      <c r="NT258" s="770"/>
      <c r="NU258" s="770"/>
      <c r="NV258" s="770"/>
      <c r="NW258" s="770"/>
      <c r="NX258" s="770"/>
      <c r="NY258" s="770"/>
      <c r="NZ258" s="770"/>
      <c r="OA258" s="770"/>
      <c r="OB258" s="770"/>
      <c r="OC258" s="770"/>
      <c r="OD258" s="770"/>
      <c r="OE258" s="770"/>
      <c r="OF258" s="770"/>
      <c r="OG258" s="770"/>
      <c r="OH258" s="770"/>
      <c r="OI258" s="770"/>
      <c r="OJ258" s="770"/>
      <c r="OK258" s="770"/>
      <c r="OL258" s="770"/>
      <c r="OM258" s="770"/>
      <c r="ON258" s="770"/>
      <c r="OO258" s="770"/>
      <c r="OP258" s="770"/>
      <c r="OQ258" s="770"/>
      <c r="OR258" s="770"/>
      <c r="OS258" s="770"/>
      <c r="OT258" s="770"/>
      <c r="OU258" s="770"/>
      <c r="OV258" s="770"/>
      <c r="OW258" s="770"/>
      <c r="OX258" s="770"/>
      <c r="OY258" s="770"/>
      <c r="OZ258" s="770"/>
      <c r="PA258" s="770"/>
      <c r="PB258" s="770"/>
      <c r="PC258" s="770"/>
      <c r="PD258" s="770"/>
      <c r="PE258" s="770"/>
      <c r="PF258" s="770"/>
      <c r="PG258" s="770"/>
      <c r="PH258" s="770"/>
      <c r="PI258" s="770"/>
      <c r="PJ258" s="770"/>
      <c r="PK258" s="770"/>
      <c r="PL258" s="770"/>
      <c r="PM258" s="770"/>
      <c r="PN258" s="770"/>
      <c r="PO258" s="770"/>
      <c r="PP258" s="770"/>
      <c r="PQ258" s="770"/>
      <c r="PR258" s="770"/>
      <c r="PS258" s="770"/>
      <c r="PT258" s="770"/>
      <c r="PU258" s="770"/>
      <c r="PV258" s="770"/>
      <c r="PW258" s="770"/>
      <c r="PX258" s="770"/>
      <c r="PY258" s="770"/>
      <c r="PZ258" s="770"/>
      <c r="QA258" s="770"/>
      <c r="QB258" s="770"/>
      <c r="QC258" s="770"/>
      <c r="QD258" s="770"/>
      <c r="QE258" s="770"/>
      <c r="QF258" s="770"/>
      <c r="QG258" s="770"/>
      <c r="QH258" s="770"/>
      <c r="QI258" s="770"/>
      <c r="QJ258" s="770"/>
      <c r="QK258" s="770"/>
      <c r="QL258" s="770"/>
      <c r="QM258" s="770"/>
      <c r="QN258" s="770"/>
      <c r="QO258" s="770"/>
      <c r="QP258" s="770"/>
      <c r="QQ258" s="770"/>
      <c r="QR258" s="770"/>
      <c r="QS258" s="770"/>
      <c r="QT258" s="770"/>
      <c r="QU258" s="770"/>
      <c r="QV258" s="770"/>
      <c r="QW258" s="770"/>
      <c r="QX258" s="770"/>
      <c r="QY258" s="770"/>
      <c r="QZ258" s="770"/>
      <c r="RA258" s="770"/>
      <c r="RB258" s="770"/>
      <c r="RC258" s="770"/>
      <c r="RD258" s="770"/>
      <c r="RE258" s="770"/>
      <c r="RF258" s="304"/>
      <c r="RG258" s="770"/>
      <c r="RH258" s="302"/>
      <c r="RI258" s="770"/>
      <c r="RJ258" s="770"/>
      <c r="RK258" s="770"/>
      <c r="RL258" s="1710"/>
      <c r="RM258" s="12"/>
      <c r="RN258" s="1711"/>
      <c r="RO258" s="140" t="s">
        <v>436</v>
      </c>
      <c r="RP258" s="11"/>
      <c r="RQ258" s="11"/>
      <c r="RR258" s="771"/>
      <c r="RS258" s="767"/>
      <c r="RT258" s="11"/>
      <c r="RU258" s="11"/>
      <c r="RV258" s="771" t="s">
        <v>7419</v>
      </c>
      <c r="RW258" s="11" t="s">
        <v>7606</v>
      </c>
      <c r="RX258" s="11" t="s">
        <v>430</v>
      </c>
      <c r="RY258" s="11"/>
      <c r="RZ258" s="11" t="s">
        <v>1101</v>
      </c>
      <c r="SA258" s="771"/>
      <c r="SB258" s="11"/>
      <c r="SC258" s="11"/>
    </row>
    <row r="259" spans="1:497" ht="12.75" hidden="1" customHeight="1">
      <c r="A259" s="154" t="s">
        <v>7419</v>
      </c>
      <c r="B259" s="292" t="s">
        <v>7970</v>
      </c>
      <c r="C259" s="140" t="s">
        <v>437</v>
      </c>
      <c r="D259" s="770" t="s">
        <v>438</v>
      </c>
      <c r="E259" s="770" t="s">
        <v>5819</v>
      </c>
      <c r="F259" s="770" t="s">
        <v>28</v>
      </c>
      <c r="G259" s="12" t="s">
        <v>18</v>
      </c>
      <c r="H259" s="12"/>
      <c r="I259" s="295"/>
      <c r="J259" s="94" t="s">
        <v>439</v>
      </c>
      <c r="K259" s="770"/>
      <c r="L259" s="770"/>
      <c r="M259" s="770"/>
      <c r="N259" s="770"/>
      <c r="O259" s="770"/>
      <c r="P259" s="766"/>
      <c r="Q259" s="1088"/>
      <c r="R259" s="297"/>
      <c r="S259" s="770"/>
      <c r="T259" s="770"/>
      <c r="U259" s="298"/>
      <c r="V259" s="770"/>
      <c r="W259" s="770"/>
      <c r="X259" s="296"/>
      <c r="Y259" s="770"/>
      <c r="Z259" s="770"/>
      <c r="AA259" s="770"/>
      <c r="AB259" s="770"/>
      <c r="AC259" s="770"/>
      <c r="AD259" s="770"/>
      <c r="AE259" s="770"/>
      <c r="AF259" s="770"/>
      <c r="AG259" s="766" t="s">
        <v>1095</v>
      </c>
      <c r="AH259" s="766" t="s">
        <v>1096</v>
      </c>
      <c r="AI259" s="770" t="s">
        <v>1163</v>
      </c>
      <c r="AJ259" s="770"/>
      <c r="AK259" s="770" t="s">
        <v>1097</v>
      </c>
      <c r="AL259" s="299">
        <f>30*9</f>
        <v>270</v>
      </c>
      <c r="AM259" s="300"/>
      <c r="AN259" s="301"/>
      <c r="AO259" s="766" t="s">
        <v>1105</v>
      </c>
      <c r="AP259" s="766"/>
      <c r="AQ259" s="766"/>
      <c r="AR259" s="766"/>
      <c r="AS259" s="770" t="s">
        <v>1207</v>
      </c>
      <c r="AT259" s="770" t="s">
        <v>1208</v>
      </c>
      <c r="AU259" s="770"/>
      <c r="AV259" s="770"/>
      <c r="AW259" s="770"/>
      <c r="AX259" s="13"/>
      <c r="AY259" s="770"/>
      <c r="AZ259" s="770"/>
      <c r="BA259" s="770"/>
      <c r="BB259" s="770"/>
      <c r="BC259" s="770" t="s">
        <v>796</v>
      </c>
      <c r="BD259" s="770" t="s">
        <v>1207</v>
      </c>
      <c r="BE259" s="770" t="s">
        <v>1207</v>
      </c>
      <c r="BF259" s="302"/>
      <c r="BG259" s="302"/>
      <c r="BH259" s="770"/>
      <c r="BI259" s="770"/>
      <c r="BJ259" s="770"/>
      <c r="BK259" s="770" t="s">
        <v>1095</v>
      </c>
      <c r="BL259" s="769" t="s">
        <v>1163</v>
      </c>
      <c r="BM259" s="766" t="s">
        <v>8108</v>
      </c>
      <c r="BN259" s="766" t="s">
        <v>1230</v>
      </c>
      <c r="BO259" s="770" t="s">
        <v>1275</v>
      </c>
      <c r="BP259" s="1649">
        <v>276</v>
      </c>
      <c r="BQ259" s="1130">
        <v>90</v>
      </c>
      <c r="BR259" s="774">
        <f>BQ259/BP259</f>
        <v>0.32608695652173914</v>
      </c>
      <c r="BS259" s="6" t="s">
        <v>1149</v>
      </c>
      <c r="BT259" s="766" t="s">
        <v>2040</v>
      </c>
      <c r="BU259" s="770" t="s">
        <v>1249</v>
      </c>
      <c r="BV259" s="770" t="s">
        <v>1247</v>
      </c>
      <c r="BW259" s="770">
        <v>1998</v>
      </c>
      <c r="BX259" s="302">
        <v>1500000</v>
      </c>
      <c r="BY259" s="302"/>
      <c r="BZ259" s="770"/>
      <c r="CA259" s="302"/>
      <c r="CB259" s="302"/>
      <c r="CC259" s="770"/>
      <c r="CD259" s="770"/>
      <c r="CE259" s="770"/>
      <c r="CF259" s="304"/>
      <c r="CG259" s="321"/>
      <c r="CH259" s="770"/>
      <c r="CI259" s="770"/>
      <c r="CJ259" s="770"/>
      <c r="CK259" s="770"/>
      <c r="CL259" s="770"/>
      <c r="CM259" s="770"/>
      <c r="CN259" s="770"/>
      <c r="CO259" s="770"/>
      <c r="CP259" s="770"/>
      <c r="CQ259" s="770"/>
      <c r="CR259" s="302"/>
      <c r="CS259" s="770"/>
      <c r="CT259" s="770"/>
      <c r="CU259" s="305"/>
      <c r="CV259" s="770"/>
      <c r="CW259" s="770"/>
      <c r="CX259" s="770"/>
      <c r="CY259" s="770"/>
      <c r="CZ259" s="770"/>
      <c r="DA259" s="306"/>
      <c r="DB259" s="770"/>
      <c r="DC259" s="770"/>
      <c r="DD259" s="770"/>
      <c r="DE259" s="300"/>
      <c r="DF259" s="770"/>
      <c r="DG259" s="770"/>
      <c r="DH259" s="770"/>
      <c r="DI259" s="770"/>
      <c r="DJ259" s="770"/>
      <c r="DK259" s="770"/>
      <c r="DL259" s="770"/>
      <c r="DM259" s="770"/>
      <c r="DN259" s="322"/>
      <c r="DO259" s="770"/>
      <c r="DP259" s="770"/>
      <c r="DQ259" s="770"/>
      <c r="DR259" s="770"/>
      <c r="DS259" s="307"/>
      <c r="DT259" s="770"/>
      <c r="DU259" s="770"/>
      <c r="DV259" s="770"/>
      <c r="DW259" s="306"/>
      <c r="DX259" s="306"/>
      <c r="DY259" s="770"/>
      <c r="DZ259" s="770"/>
      <c r="EA259" s="770"/>
      <c r="EB259" s="770"/>
      <c r="EC259" s="770"/>
      <c r="ED259" s="770"/>
      <c r="EE259" s="770"/>
      <c r="EF259" s="770"/>
      <c r="EG259" s="770"/>
      <c r="EH259" s="770"/>
      <c r="EI259" s="770"/>
      <c r="EJ259" s="770"/>
      <c r="EK259" s="770"/>
      <c r="EL259" s="770"/>
      <c r="EM259" s="770"/>
      <c r="EN259" s="770"/>
      <c r="EO259" s="770"/>
      <c r="EP259" s="94"/>
      <c r="EQ259" s="770"/>
      <c r="ER259" s="770"/>
      <c r="ES259" s="770"/>
      <c r="ET259" s="770"/>
      <c r="EU259" s="770"/>
      <c r="EV259" s="770"/>
      <c r="EW259" s="770"/>
      <c r="EX259" s="770"/>
      <c r="EY259" s="770"/>
      <c r="EZ259" s="770"/>
      <c r="FA259" s="770"/>
      <c r="FB259" s="770"/>
      <c r="FC259" s="770"/>
      <c r="FD259" s="302"/>
      <c r="FE259" s="770"/>
      <c r="FF259" s="770"/>
      <c r="FG259" s="770"/>
      <c r="FH259" s="770" t="s">
        <v>478</v>
      </c>
      <c r="FI259" s="770">
        <v>3</v>
      </c>
      <c r="FJ259" s="770"/>
      <c r="FK259" s="770"/>
      <c r="FL259" s="770"/>
      <c r="FM259" s="302"/>
      <c r="FN259" s="302">
        <v>2500</v>
      </c>
      <c r="FO259" s="302">
        <v>1200</v>
      </c>
      <c r="FP259" s="770" t="s">
        <v>1600</v>
      </c>
      <c r="FQ259" s="770" t="s">
        <v>1635</v>
      </c>
      <c r="FR259" s="770" t="s">
        <v>1207</v>
      </c>
      <c r="FS259" s="770" t="s">
        <v>1208</v>
      </c>
      <c r="FT259" s="770" t="s">
        <v>1208</v>
      </c>
      <c r="FU259" s="770" t="s">
        <v>1208</v>
      </c>
      <c r="FV259" s="770"/>
      <c r="FW259" s="770"/>
      <c r="FX259" s="770"/>
      <c r="FY259" s="770"/>
      <c r="FZ259" s="770"/>
      <c r="GA259" s="770"/>
      <c r="GB259" s="770" t="s">
        <v>796</v>
      </c>
      <c r="GC259" s="308" t="s">
        <v>5571</v>
      </c>
      <c r="GD259" s="297"/>
      <c r="GE259" s="770" t="s">
        <v>1207</v>
      </c>
      <c r="GF259" s="302">
        <v>7000</v>
      </c>
      <c r="GG259" s="302">
        <f>GF259*12</f>
        <v>84000</v>
      </c>
      <c r="GH259" s="770"/>
      <c r="GI259" s="770"/>
      <c r="GJ259" s="770"/>
      <c r="GK259" s="770"/>
      <c r="GL259" s="770"/>
      <c r="GM259" s="770"/>
      <c r="GN259" s="309"/>
      <c r="GO259" s="770"/>
      <c r="GP259" s="770"/>
      <c r="GQ259" s="770"/>
      <c r="GR259" s="770"/>
      <c r="GS259" s="770"/>
      <c r="GT259" s="770"/>
      <c r="GU259" s="770"/>
      <c r="GV259" s="770"/>
      <c r="GW259" s="770"/>
      <c r="GX259" s="770"/>
      <c r="GY259" s="770"/>
      <c r="GZ259" s="770"/>
      <c r="HA259" s="770"/>
      <c r="HB259" s="770"/>
      <c r="HC259" s="770"/>
      <c r="HD259" s="770"/>
      <c r="HE259" s="770"/>
      <c r="HF259" s="770"/>
      <c r="HG259" s="770"/>
      <c r="HH259" s="770"/>
      <c r="HI259" s="770"/>
      <c r="HJ259" s="770"/>
      <c r="HK259" s="770"/>
      <c r="HL259" s="770"/>
      <c r="HM259" s="770"/>
      <c r="HN259" s="770"/>
      <c r="HO259" s="770"/>
      <c r="HP259" s="770"/>
      <c r="HQ259" s="770"/>
      <c r="HR259" s="770"/>
      <c r="HS259" s="770"/>
      <c r="HT259" s="770"/>
      <c r="HU259" s="770"/>
      <c r="HV259" s="770"/>
      <c r="HW259" s="770"/>
      <c r="HX259" s="770"/>
      <c r="HY259" s="770"/>
      <c r="HZ259" s="770"/>
      <c r="IA259" s="770"/>
      <c r="IB259" s="14" t="e">
        <f>IF(#REF!&gt;0,IF(#REF!&lt;=10000,"Y",""),"")</f>
        <v>#REF!</v>
      </c>
      <c r="IC259" s="770" t="s">
        <v>1207</v>
      </c>
      <c r="ID259" s="770">
        <v>1</v>
      </c>
      <c r="IE259" s="770"/>
      <c r="IF259" s="1828" t="s">
        <v>1980</v>
      </c>
      <c r="IG259" s="770" t="s">
        <v>18</v>
      </c>
      <c r="IH259" s="770" t="s">
        <v>478</v>
      </c>
      <c r="II259" s="770" t="s">
        <v>1981</v>
      </c>
      <c r="IJ259" s="770" t="s">
        <v>1604</v>
      </c>
      <c r="IK259" s="766" t="s">
        <v>1888</v>
      </c>
      <c r="IL259" s="770" t="s">
        <v>1980</v>
      </c>
      <c r="IM259" s="770"/>
      <c r="IN259" s="770" t="s">
        <v>1980</v>
      </c>
      <c r="IO259" s="296"/>
      <c r="IP259" s="770" t="s">
        <v>478</v>
      </c>
      <c r="IQ259" s="769" t="s">
        <v>5498</v>
      </c>
      <c r="IR259" s="770" t="s">
        <v>2716</v>
      </c>
      <c r="IS259" s="770" t="s">
        <v>1982</v>
      </c>
      <c r="IT259" s="770"/>
      <c r="IU259" s="770" t="s">
        <v>1208</v>
      </c>
      <c r="IV259" s="770"/>
      <c r="IW259" s="770" t="s">
        <v>1980</v>
      </c>
      <c r="IX259" s="770"/>
      <c r="IY259" s="770" t="s">
        <v>12780</v>
      </c>
      <c r="IZ259" s="770"/>
      <c r="JA259" s="770"/>
      <c r="JB259" s="770"/>
      <c r="JC259" s="770"/>
      <c r="JD259" s="302">
        <v>7000</v>
      </c>
      <c r="JE259" s="770"/>
      <c r="JF259" s="770"/>
      <c r="JG259" s="770"/>
      <c r="JH259" s="770"/>
      <c r="JI259" s="770"/>
      <c r="JJ259" s="770"/>
      <c r="JK259" s="770"/>
      <c r="JL259" s="770"/>
      <c r="JM259" s="770"/>
      <c r="JN259" s="770"/>
      <c r="JO259" s="770"/>
      <c r="JP259" s="770"/>
      <c r="JQ259" s="770"/>
      <c r="JR259" s="770"/>
      <c r="JS259" s="770"/>
      <c r="JT259" s="766"/>
      <c r="JU259" s="766"/>
      <c r="JV259" s="766"/>
      <c r="JW259" s="766"/>
      <c r="JX259" s="770"/>
      <c r="JY259" s="770"/>
      <c r="JZ259" s="770"/>
      <c r="KA259" s="770"/>
      <c r="KB259" s="770"/>
      <c r="KC259" s="770"/>
      <c r="KD259" s="770"/>
      <c r="KE259" s="770"/>
      <c r="KF259" s="770"/>
      <c r="KG259" s="770"/>
      <c r="KH259" s="770"/>
      <c r="KI259" s="770"/>
      <c r="KJ259" s="770"/>
      <c r="KK259" s="770"/>
      <c r="KL259" s="770"/>
      <c r="KM259" s="770"/>
      <c r="KN259" s="770"/>
      <c r="KO259" s="770"/>
      <c r="KP259" s="770"/>
      <c r="KQ259" s="770"/>
      <c r="KR259" s="770"/>
      <c r="KS259" s="770"/>
      <c r="KT259" s="770"/>
      <c r="KU259" s="770"/>
      <c r="KV259" s="770"/>
      <c r="KW259" s="770"/>
      <c r="KX259" s="770"/>
      <c r="KY259" s="770"/>
      <c r="KZ259" s="770"/>
      <c r="LA259" s="770"/>
      <c r="LB259" s="770"/>
      <c r="LC259" s="770"/>
      <c r="LD259" s="770"/>
      <c r="LE259" s="770"/>
      <c r="LF259" s="770"/>
      <c r="LG259" s="770"/>
      <c r="LH259" s="770"/>
      <c r="LI259" s="770"/>
      <c r="LJ259" s="770"/>
      <c r="LK259" s="770"/>
      <c r="LL259" s="770"/>
      <c r="LM259" s="770"/>
      <c r="LN259" s="766"/>
      <c r="LO259" s="766"/>
      <c r="LP259" s="770"/>
      <c r="LQ259" s="770"/>
      <c r="LR259" s="770"/>
      <c r="LS259" s="770"/>
      <c r="LT259" s="770"/>
      <c r="LU259" s="770"/>
      <c r="LV259" s="770"/>
      <c r="LW259" s="770"/>
      <c r="LX259" s="769"/>
      <c r="LY259" s="766" t="str">
        <f t="shared" si="72"/>
        <v/>
      </c>
      <c r="LZ259" s="299"/>
      <c r="MA259" s="306"/>
      <c r="MB259" s="306"/>
      <c r="MC259" s="1679">
        <f t="shared" si="70"/>
        <v>0</v>
      </c>
      <c r="MD259" s="306"/>
      <c r="ME259" s="306"/>
      <c r="MF259" s="306"/>
      <c r="MG259" s="1680">
        <f>SUM(MD259:MF259)</f>
        <v>0</v>
      </c>
      <c r="MH259" s="770"/>
      <c r="MI259" s="302"/>
      <c r="MJ259" s="302"/>
      <c r="MK259" s="302"/>
      <c r="ML259" s="302"/>
      <c r="MM259" s="302"/>
      <c r="MN259" s="302"/>
      <c r="MO259" s="302"/>
      <c r="MP259" s="302"/>
      <c r="MQ259" s="302"/>
      <c r="MR259" s="302"/>
      <c r="MS259" s="302"/>
      <c r="MT259" s="302"/>
      <c r="MU259" s="302"/>
      <c r="MV259" s="302"/>
      <c r="MW259" s="302"/>
      <c r="MX259" s="302"/>
      <c r="MY259" s="1682">
        <f t="shared" si="49"/>
        <v>0</v>
      </c>
      <c r="MZ259" s="770"/>
      <c r="NA259" s="770"/>
      <c r="NB259" s="770"/>
      <c r="NC259" s="770"/>
      <c r="ND259" s="770"/>
      <c r="NE259" s="770"/>
      <c r="NF259" s="770"/>
      <c r="NG259" s="770"/>
      <c r="NH259" s="770"/>
      <c r="NI259" s="770"/>
      <c r="NJ259" s="770"/>
      <c r="NK259" s="770"/>
      <c r="NL259" s="770"/>
      <c r="NM259" s="770"/>
      <c r="NN259" s="770"/>
      <c r="NO259" s="770"/>
      <c r="NP259" s="770"/>
      <c r="NQ259" s="770"/>
      <c r="NR259" s="770"/>
      <c r="NS259" s="770"/>
      <c r="NT259" s="770"/>
      <c r="NU259" s="770"/>
      <c r="NV259" s="770"/>
      <c r="NW259" s="770"/>
      <c r="NX259" s="770"/>
      <c r="NY259" s="770"/>
      <c r="NZ259" s="770"/>
      <c r="OA259" s="770"/>
      <c r="OB259" s="770"/>
      <c r="OC259" s="770"/>
      <c r="OD259" s="770"/>
      <c r="OE259" s="770"/>
      <c r="OF259" s="1828" t="s">
        <v>3650</v>
      </c>
      <c r="OG259" s="770"/>
      <c r="OH259" s="770"/>
      <c r="OI259" s="770"/>
      <c r="OJ259" s="770"/>
      <c r="OK259" s="770"/>
      <c r="OL259" s="770"/>
      <c r="OM259" s="770"/>
      <c r="ON259" s="770"/>
      <c r="OO259" s="770"/>
      <c r="OP259" s="770"/>
      <c r="OQ259" s="770"/>
      <c r="OR259" s="770"/>
      <c r="OS259" s="770"/>
      <c r="OT259" s="770"/>
      <c r="OU259" s="770"/>
      <c r="OV259" s="770"/>
      <c r="OW259" s="770"/>
      <c r="OX259" s="770"/>
      <c r="OY259" s="770"/>
      <c r="OZ259" s="770"/>
      <c r="PA259" s="770"/>
      <c r="PB259" s="770"/>
      <c r="PC259" s="770"/>
      <c r="PD259" s="770"/>
      <c r="PE259" s="770"/>
      <c r="PF259" s="770"/>
      <c r="PG259" s="770"/>
      <c r="PH259" s="770"/>
      <c r="PI259" s="770"/>
      <c r="PJ259" s="770"/>
      <c r="PK259" s="770"/>
      <c r="PL259" s="770"/>
      <c r="PM259" s="770"/>
      <c r="PN259" s="770"/>
      <c r="PO259" s="770"/>
      <c r="PP259" s="770"/>
      <c r="PQ259" s="770"/>
      <c r="PR259" s="770"/>
      <c r="PS259" s="770"/>
      <c r="PT259" s="770"/>
      <c r="PU259" s="770"/>
      <c r="PV259" s="770"/>
      <c r="PW259" s="770"/>
      <c r="PX259" s="770"/>
      <c r="PY259" s="770"/>
      <c r="PZ259" s="770"/>
      <c r="QA259" s="770"/>
      <c r="QB259" s="770"/>
      <c r="QC259" s="770"/>
      <c r="QD259" s="770"/>
      <c r="QE259" s="770"/>
      <c r="QF259" s="770"/>
      <c r="QG259" s="770"/>
      <c r="QH259" s="770"/>
      <c r="QI259" s="770"/>
      <c r="QJ259" s="770"/>
      <c r="QK259" s="770"/>
      <c r="QL259" s="770"/>
      <c r="QM259" s="770"/>
      <c r="QN259" s="770"/>
      <c r="QO259" s="770"/>
      <c r="QP259" s="770"/>
      <c r="QQ259" s="770"/>
      <c r="QR259" s="770"/>
      <c r="QS259" s="770"/>
      <c r="QT259" s="770"/>
      <c r="QU259" s="770"/>
      <c r="QV259" s="770"/>
      <c r="QW259" s="770"/>
      <c r="QX259" s="770"/>
      <c r="QY259" s="770"/>
      <c r="QZ259" s="770"/>
      <c r="RA259" s="770"/>
      <c r="RB259" s="770"/>
      <c r="RC259" s="770"/>
      <c r="RD259" s="770"/>
      <c r="RE259" s="770"/>
      <c r="RF259" s="304"/>
      <c r="RG259" s="770"/>
      <c r="RH259" s="302"/>
      <c r="RI259" s="770"/>
      <c r="RJ259" s="770" t="s">
        <v>13376</v>
      </c>
      <c r="RK259" s="770" t="s">
        <v>13373</v>
      </c>
      <c r="RL259" s="1710"/>
      <c r="RM259" s="12"/>
      <c r="RN259" s="1711"/>
      <c r="RO259" s="140" t="s">
        <v>437</v>
      </c>
      <c r="RP259" s="11"/>
      <c r="RQ259" s="11"/>
      <c r="RR259" s="771"/>
      <c r="RS259" s="767"/>
      <c r="RT259" s="11"/>
      <c r="RU259" s="11"/>
      <c r="RV259" s="771" t="s">
        <v>7419</v>
      </c>
      <c r="RW259" s="11" t="s">
        <v>7607</v>
      </c>
      <c r="RX259" s="11" t="s">
        <v>434</v>
      </c>
      <c r="RY259" s="11"/>
      <c r="RZ259" s="11" t="s">
        <v>1101</v>
      </c>
      <c r="SA259" s="771"/>
      <c r="SB259" s="11"/>
      <c r="SC259" s="11"/>
    </row>
    <row r="260" spans="1:497" ht="12.75" hidden="1" customHeight="1">
      <c r="A260" s="767" t="s">
        <v>7419</v>
      </c>
      <c r="B260" s="292" t="s">
        <v>7609</v>
      </c>
      <c r="C260" s="140" t="s">
        <v>440</v>
      </c>
      <c r="D260" s="770" t="s">
        <v>441</v>
      </c>
      <c r="E260" s="770" t="s">
        <v>5820</v>
      </c>
      <c r="F260" s="770" t="s">
        <v>442</v>
      </c>
      <c r="G260" s="12" t="s">
        <v>10</v>
      </c>
      <c r="H260" s="12"/>
      <c r="I260" s="295" t="s">
        <v>5573</v>
      </c>
      <c r="J260" s="770" t="s">
        <v>441</v>
      </c>
      <c r="K260" s="770">
        <v>14</v>
      </c>
      <c r="L260" s="770">
        <v>120</v>
      </c>
      <c r="M260" s="770"/>
      <c r="N260" s="770"/>
      <c r="O260" s="770"/>
      <c r="P260" s="766"/>
      <c r="Q260" s="1088"/>
      <c r="R260" s="297"/>
      <c r="S260" s="770"/>
      <c r="T260" s="770"/>
      <c r="U260" s="298"/>
      <c r="V260" s="770"/>
      <c r="W260" s="770"/>
      <c r="X260" s="296"/>
      <c r="Y260" s="770"/>
      <c r="Z260" s="770"/>
      <c r="AA260" s="770"/>
      <c r="AB260" s="770"/>
      <c r="AC260" s="770"/>
      <c r="AD260" s="770"/>
      <c r="AE260" s="770"/>
      <c r="AF260" s="770"/>
      <c r="AG260" s="766" t="s">
        <v>1095</v>
      </c>
      <c r="AH260" s="766" t="s">
        <v>1100</v>
      </c>
      <c r="AI260" s="770" t="s">
        <v>1164</v>
      </c>
      <c r="AJ260" s="770"/>
      <c r="AK260" s="770" t="s">
        <v>1097</v>
      </c>
      <c r="AL260" s="299">
        <v>82.8</v>
      </c>
      <c r="AM260" s="300">
        <v>17.28</v>
      </c>
      <c r="AN260" s="37">
        <v>0.2087</v>
      </c>
      <c r="AO260" s="766" t="s">
        <v>1149</v>
      </c>
      <c r="AP260" s="766"/>
      <c r="AQ260" s="766"/>
      <c r="AR260" s="766"/>
      <c r="AS260" s="770" t="s">
        <v>1207</v>
      </c>
      <c r="AT260" s="770" t="s">
        <v>1208</v>
      </c>
      <c r="AU260" s="770"/>
      <c r="AV260" s="770"/>
      <c r="AW260" s="770"/>
      <c r="AX260" s="770"/>
      <c r="AY260" s="770"/>
      <c r="AZ260" s="770"/>
      <c r="BA260" s="770"/>
      <c r="BB260" s="770"/>
      <c r="BC260" s="770"/>
      <c r="BD260" s="770"/>
      <c r="BE260" s="770"/>
      <c r="BF260" s="302"/>
      <c r="BG260" s="302"/>
      <c r="BH260" s="770"/>
      <c r="BI260" s="770"/>
      <c r="BJ260" s="770"/>
      <c r="BK260" s="770" t="s">
        <v>1095</v>
      </c>
      <c r="BL260" s="769" t="s">
        <v>1164</v>
      </c>
      <c r="BM260" s="766" t="s">
        <v>1100</v>
      </c>
      <c r="BN260" s="766" t="s">
        <v>1230</v>
      </c>
      <c r="BO260" s="766" t="s">
        <v>1239</v>
      </c>
      <c r="BP260" s="1649">
        <v>165.6</v>
      </c>
      <c r="BQ260" s="1130">
        <v>34.56</v>
      </c>
      <c r="BR260" s="774">
        <f>BQ260/BP260</f>
        <v>0.20869565217391306</v>
      </c>
      <c r="BS260" s="6" t="s">
        <v>1149</v>
      </c>
      <c r="BT260" s="766" t="s">
        <v>2040</v>
      </c>
      <c r="BU260" s="770" t="s">
        <v>1249</v>
      </c>
      <c r="BV260" s="770" t="s">
        <v>1247</v>
      </c>
      <c r="BW260" s="770">
        <v>2015</v>
      </c>
      <c r="BX260" s="302"/>
      <c r="BY260" s="302"/>
      <c r="BZ260" s="770"/>
      <c r="CA260" s="302"/>
      <c r="CB260" s="302"/>
      <c r="CC260" s="770"/>
      <c r="CD260" s="770"/>
      <c r="CE260" s="770"/>
      <c r="CF260" s="304"/>
      <c r="CG260" s="321"/>
      <c r="CH260" s="770"/>
      <c r="CI260" s="770"/>
      <c r="CJ260" s="770"/>
      <c r="CK260" s="770"/>
      <c r="CL260" s="770"/>
      <c r="CM260" s="770"/>
      <c r="CN260" s="770"/>
      <c r="CO260" s="770"/>
      <c r="CP260" s="770"/>
      <c r="CQ260" s="770"/>
      <c r="CR260" s="302"/>
      <c r="CS260" s="770"/>
      <c r="CT260" s="770"/>
      <c r="CU260" s="305"/>
      <c r="CV260" s="770"/>
      <c r="CW260" s="770"/>
      <c r="CX260" s="770"/>
      <c r="CY260" s="770"/>
      <c r="CZ260" s="770"/>
      <c r="DA260" s="306"/>
      <c r="DB260" s="770"/>
      <c r="DC260" s="770"/>
      <c r="DD260" s="770"/>
      <c r="DE260" s="300"/>
      <c r="DF260" s="770"/>
      <c r="DG260" s="770"/>
      <c r="DH260" s="770"/>
      <c r="DI260" s="770"/>
      <c r="DJ260" s="770"/>
      <c r="DK260" s="770"/>
      <c r="DL260" s="770"/>
      <c r="DM260" s="770"/>
      <c r="DN260" s="322"/>
      <c r="DO260" s="770"/>
      <c r="DP260" s="770"/>
      <c r="DQ260" s="770"/>
      <c r="DR260" s="770"/>
      <c r="DS260" s="307"/>
      <c r="DT260" s="770"/>
      <c r="DU260" s="770"/>
      <c r="DV260" s="770"/>
      <c r="DW260" s="306"/>
      <c r="DX260" s="306"/>
      <c r="DY260" s="770"/>
      <c r="DZ260" s="770"/>
      <c r="EA260" s="770"/>
      <c r="EB260" s="770"/>
      <c r="EC260" s="770"/>
      <c r="ED260" s="770"/>
      <c r="EE260" s="770"/>
      <c r="EF260" s="770"/>
      <c r="EG260" s="770"/>
      <c r="EH260" s="770"/>
      <c r="EI260" s="770"/>
      <c r="EJ260" s="770"/>
      <c r="EK260" s="770"/>
      <c r="EL260" s="770"/>
      <c r="EM260" s="770"/>
      <c r="EN260" s="770"/>
      <c r="EO260" s="770"/>
      <c r="EP260" s="94"/>
      <c r="EQ260" s="770"/>
      <c r="ER260" s="770"/>
      <c r="ES260" s="770"/>
      <c r="ET260" s="770"/>
      <c r="EU260" s="770"/>
      <c r="EV260" s="770"/>
      <c r="EW260" s="770"/>
      <c r="EX260" s="770"/>
      <c r="EY260" s="770"/>
      <c r="EZ260" s="770"/>
      <c r="FA260" s="770"/>
      <c r="FB260" s="770"/>
      <c r="FC260" s="770"/>
      <c r="FD260" s="302"/>
      <c r="FE260" s="770"/>
      <c r="FF260" s="770"/>
      <c r="FG260" s="770"/>
      <c r="FH260" s="770"/>
      <c r="FI260" s="770"/>
      <c r="FJ260" s="770"/>
      <c r="FK260" s="770"/>
      <c r="FL260" s="770"/>
      <c r="FM260" s="302"/>
      <c r="FN260" s="302"/>
      <c r="FO260" s="302"/>
      <c r="FP260" s="770"/>
      <c r="FQ260" s="770"/>
      <c r="FR260" s="770" t="s">
        <v>1207</v>
      </c>
      <c r="FS260" s="770" t="s">
        <v>1208</v>
      </c>
      <c r="FT260" s="770"/>
      <c r="FU260" s="770"/>
      <c r="FV260" s="770"/>
      <c r="FW260" s="770"/>
      <c r="FX260" s="770"/>
      <c r="FY260" s="770"/>
      <c r="FZ260" s="770"/>
      <c r="GA260" s="770"/>
      <c r="GB260" s="770" t="s">
        <v>796</v>
      </c>
      <c r="GC260" s="308" t="s">
        <v>5572</v>
      </c>
      <c r="GD260" s="297"/>
      <c r="GE260" s="770" t="s">
        <v>1214</v>
      </c>
      <c r="GF260" s="302"/>
      <c r="GG260" s="302"/>
      <c r="GH260" s="770"/>
      <c r="GI260" s="770"/>
      <c r="GJ260" s="770"/>
      <c r="GK260" s="770"/>
      <c r="GL260" s="770"/>
      <c r="GM260" s="770"/>
      <c r="GN260" s="309"/>
      <c r="GO260" s="770"/>
      <c r="GP260" s="770"/>
      <c r="GQ260" s="770"/>
      <c r="GR260" s="770"/>
      <c r="GS260" s="770"/>
      <c r="GT260" s="770"/>
      <c r="GU260" s="770"/>
      <c r="GV260" s="770"/>
      <c r="GW260" s="770"/>
      <c r="GX260" s="770"/>
      <c r="GY260" s="770"/>
      <c r="GZ260" s="770"/>
      <c r="HA260" s="770"/>
      <c r="HB260" s="770"/>
      <c r="HC260" s="770"/>
      <c r="HD260" s="770"/>
      <c r="HE260" s="770"/>
      <c r="HF260" s="770"/>
      <c r="HG260" s="770"/>
      <c r="HH260" s="770"/>
      <c r="HI260" s="770"/>
      <c r="HJ260" s="770"/>
      <c r="HK260" s="770"/>
      <c r="HL260" s="770"/>
      <c r="HM260" s="770"/>
      <c r="HN260" s="770"/>
      <c r="HO260" s="770"/>
      <c r="HP260" s="770"/>
      <c r="HQ260" s="770"/>
      <c r="HR260" s="770"/>
      <c r="HS260" s="770"/>
      <c r="HT260" s="770"/>
      <c r="HU260" s="770"/>
      <c r="HV260" s="770"/>
      <c r="HW260" s="770"/>
      <c r="HX260" s="770"/>
      <c r="HY260" s="770"/>
      <c r="HZ260" s="770"/>
      <c r="IA260" s="770"/>
      <c r="IB260" s="14" t="e">
        <f>IF(#REF!&gt;0,IF(#REF!&lt;=10000,"Y",""),"")</f>
        <v>#REF!</v>
      </c>
      <c r="IC260" s="770"/>
      <c r="ID260" s="770"/>
      <c r="IE260" s="770"/>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770"/>
      <c r="JK260" s="770"/>
      <c r="JL260" s="770"/>
      <c r="JM260" s="770"/>
      <c r="JN260" s="770"/>
      <c r="JO260" s="770"/>
      <c r="JP260" s="770"/>
      <c r="JQ260" s="770"/>
      <c r="JR260" s="770"/>
      <c r="JS260" s="770"/>
      <c r="JT260" s="766"/>
      <c r="JU260" s="766"/>
      <c r="JV260" s="766"/>
      <c r="JW260" s="766"/>
      <c r="JX260" s="770"/>
      <c r="JY260" s="770"/>
      <c r="JZ260" s="770"/>
      <c r="KA260" s="770"/>
      <c r="KB260" s="770"/>
      <c r="KC260" s="770"/>
      <c r="KD260" s="770"/>
      <c r="KE260" s="770"/>
      <c r="KF260" s="770"/>
      <c r="KG260" s="770"/>
      <c r="KH260" s="770"/>
      <c r="KI260" s="770"/>
      <c r="KJ260" s="770"/>
      <c r="KK260" s="770"/>
      <c r="KL260" s="770"/>
      <c r="KM260" s="770"/>
      <c r="KN260" s="770"/>
      <c r="KO260" s="770"/>
      <c r="KP260" s="770"/>
      <c r="KQ260" s="770"/>
      <c r="KR260" s="770"/>
      <c r="KS260" s="770"/>
      <c r="KT260" s="770"/>
      <c r="KU260" s="770"/>
      <c r="KV260" s="770"/>
      <c r="KW260" s="770"/>
      <c r="KX260" s="770"/>
      <c r="KY260" s="770"/>
      <c r="KZ260" s="770"/>
      <c r="LA260" s="770"/>
      <c r="LB260" s="770"/>
      <c r="LC260" s="770"/>
      <c r="LD260" s="770"/>
      <c r="LE260" s="770"/>
      <c r="LF260" s="770"/>
      <c r="LG260" s="770"/>
      <c r="LH260" s="770"/>
      <c r="LI260" s="770"/>
      <c r="LJ260" s="770"/>
      <c r="LK260" s="770"/>
      <c r="LL260" s="770"/>
      <c r="LM260" s="770"/>
      <c r="LN260" s="766"/>
      <c r="LO260" s="766"/>
      <c r="LP260" s="770"/>
      <c r="LQ260" s="770"/>
      <c r="LR260" s="770"/>
      <c r="LS260" s="770"/>
      <c r="LT260" s="770"/>
      <c r="LU260" s="770"/>
      <c r="LV260" s="770"/>
      <c r="LW260" s="770"/>
      <c r="LX260" s="769"/>
      <c r="LY260" s="766" t="str">
        <f t="shared" si="72"/>
        <v/>
      </c>
      <c r="LZ260" s="299"/>
      <c r="MA260" s="306"/>
      <c r="MB260" s="306"/>
      <c r="MC260" s="1679">
        <f t="shared" si="70"/>
        <v>0</v>
      </c>
      <c r="MD260" s="306"/>
      <c r="ME260" s="306"/>
      <c r="MF260" s="306"/>
      <c r="MG260" s="1680">
        <f>SUM(MD260:MF260)</f>
        <v>0</v>
      </c>
      <c r="MH260" s="770"/>
      <c r="MI260" s="302"/>
      <c r="MJ260" s="302"/>
      <c r="MK260" s="302"/>
      <c r="ML260" s="302"/>
      <c r="MM260" s="302"/>
      <c r="MN260" s="302"/>
      <c r="MO260" s="302"/>
      <c r="MP260" s="302"/>
      <c r="MQ260" s="302"/>
      <c r="MR260" s="302"/>
      <c r="MS260" s="302"/>
      <c r="MT260" s="302"/>
      <c r="MU260" s="302"/>
      <c r="MV260" s="302"/>
      <c r="MW260" s="302"/>
      <c r="MX260" s="302"/>
      <c r="MY260" s="1682">
        <f t="shared" ref="MY260:MY322" si="74">IF(ISBLANK(MI260:MX260)=TRUE,"",SUM(MI260:MX260))</f>
        <v>0</v>
      </c>
      <c r="MZ260" s="770"/>
      <c r="NA260" s="770"/>
      <c r="NB260" s="770"/>
      <c r="NC260" s="770"/>
      <c r="ND260" s="770"/>
      <c r="NE260" s="770"/>
      <c r="NF260" s="770"/>
      <c r="NG260" s="770"/>
      <c r="NH260" s="770"/>
      <c r="NI260" s="770"/>
      <c r="NJ260" s="770"/>
      <c r="NK260" s="770"/>
      <c r="NL260" s="770"/>
      <c r="NM260" s="770"/>
      <c r="NN260" s="770"/>
      <c r="NO260" s="770"/>
      <c r="NP260" s="770"/>
      <c r="NQ260" s="770"/>
      <c r="NR260" s="770"/>
      <c r="NS260" s="770"/>
      <c r="NT260" s="770"/>
      <c r="NU260" s="770"/>
      <c r="NV260" s="770"/>
      <c r="NW260" s="770"/>
      <c r="NX260" s="770"/>
      <c r="NY260" s="770"/>
      <c r="NZ260" s="770"/>
      <c r="OA260" s="770"/>
      <c r="OB260" s="770"/>
      <c r="OC260" s="770"/>
      <c r="OD260" s="770"/>
      <c r="OE260" s="770"/>
      <c r="OF260" s="770"/>
      <c r="OG260" s="770"/>
      <c r="OH260" s="770"/>
      <c r="OI260" s="770"/>
      <c r="OJ260" s="770"/>
      <c r="OK260" s="770"/>
      <c r="OL260" s="770"/>
      <c r="OM260" s="770"/>
      <c r="ON260" s="770"/>
      <c r="OO260" s="770"/>
      <c r="OP260" s="770"/>
      <c r="OQ260" s="770"/>
      <c r="OR260" s="770"/>
      <c r="OS260" s="770"/>
      <c r="OT260" s="770"/>
      <c r="OU260" s="770"/>
      <c r="OV260" s="770"/>
      <c r="OW260" s="770"/>
      <c r="OX260" s="770"/>
      <c r="OY260" s="770"/>
      <c r="OZ260" s="770"/>
      <c r="PA260" s="770"/>
      <c r="PB260" s="770"/>
      <c r="PC260" s="770"/>
      <c r="PD260" s="770"/>
      <c r="PE260" s="770"/>
      <c r="PF260" s="770"/>
      <c r="PG260" s="770"/>
      <c r="PH260" s="770"/>
      <c r="PI260" s="770"/>
      <c r="PJ260" s="770"/>
      <c r="PK260" s="770"/>
      <c r="PL260" s="770"/>
      <c r="PM260" s="770"/>
      <c r="PN260" s="770"/>
      <c r="PO260" s="770"/>
      <c r="PP260" s="770"/>
      <c r="PQ260" s="770"/>
      <c r="PR260" s="770"/>
      <c r="PS260" s="770"/>
      <c r="PT260" s="770"/>
      <c r="PU260" s="770"/>
      <c r="PV260" s="770"/>
      <c r="PW260" s="770"/>
      <c r="PX260" s="770"/>
      <c r="PY260" s="770"/>
      <c r="PZ260" s="770"/>
      <c r="QA260" s="770"/>
      <c r="QB260" s="770"/>
      <c r="QC260" s="770"/>
      <c r="QD260" s="770"/>
      <c r="QE260" s="770"/>
      <c r="QF260" s="770"/>
      <c r="QG260" s="770"/>
      <c r="QH260" s="770"/>
      <c r="QI260" s="770"/>
      <c r="QJ260" s="770"/>
      <c r="QK260" s="770"/>
      <c r="QL260" s="770"/>
      <c r="QM260" s="770"/>
      <c r="QN260" s="770"/>
      <c r="QO260" s="770"/>
      <c r="QP260" s="770"/>
      <c r="QQ260" s="770"/>
      <c r="QR260" s="770"/>
      <c r="QS260" s="770"/>
      <c r="QT260" s="770"/>
      <c r="QU260" s="770"/>
      <c r="QV260" s="770"/>
      <c r="QW260" s="770"/>
      <c r="QX260" s="770"/>
      <c r="QY260" s="770"/>
      <c r="QZ260" s="770"/>
      <c r="RA260" s="770"/>
      <c r="RB260" s="770" t="s">
        <v>1214</v>
      </c>
      <c r="RC260" s="770"/>
      <c r="RD260" s="770"/>
      <c r="RE260" s="770"/>
      <c r="RF260" s="304"/>
      <c r="RG260" s="770"/>
      <c r="RH260" s="302"/>
      <c r="RI260" s="770"/>
      <c r="RJ260" s="770" t="s">
        <v>2172</v>
      </c>
      <c r="RK260" s="770" t="s">
        <v>13373</v>
      </c>
      <c r="RL260" s="1710"/>
      <c r="RM260" s="12"/>
      <c r="RN260" s="1711"/>
      <c r="RO260" s="140" t="s">
        <v>440</v>
      </c>
      <c r="RP260" s="11"/>
      <c r="RQ260" s="11"/>
      <c r="RR260" s="771"/>
      <c r="RS260" s="767"/>
      <c r="RT260" s="11"/>
      <c r="RU260" s="11"/>
      <c r="RV260" s="771" t="s">
        <v>7419</v>
      </c>
      <c r="RW260" s="11" t="s">
        <v>7608</v>
      </c>
      <c r="RX260" s="11" t="s">
        <v>436</v>
      </c>
      <c r="RY260" s="11"/>
      <c r="RZ260" s="11" t="s">
        <v>1101</v>
      </c>
      <c r="SA260" s="771"/>
      <c r="SB260" s="11"/>
      <c r="SC260" s="11"/>
    </row>
    <row r="261" spans="1:497" ht="12.75" customHeight="1">
      <c r="A261" s="19" t="s">
        <v>7421</v>
      </c>
      <c r="B261" s="762" t="s">
        <v>11855</v>
      </c>
      <c r="C261" s="140" t="s">
        <v>443</v>
      </c>
      <c r="D261" s="94" t="s">
        <v>5574</v>
      </c>
      <c r="E261" s="766" t="s">
        <v>12538</v>
      </c>
      <c r="F261" s="770"/>
      <c r="G261" s="770"/>
      <c r="H261" s="770"/>
      <c r="I261" s="295"/>
      <c r="J261" s="94" t="s">
        <v>5574</v>
      </c>
      <c r="K261" s="770"/>
      <c r="L261" s="770"/>
      <c r="M261" s="770"/>
      <c r="N261" s="770" t="s">
        <v>5575</v>
      </c>
      <c r="O261" s="770"/>
      <c r="P261" s="94" t="s">
        <v>5576</v>
      </c>
      <c r="Q261" s="1088"/>
      <c r="R261" s="297"/>
      <c r="S261" s="770" t="s">
        <v>10</v>
      </c>
      <c r="T261" s="770"/>
      <c r="U261" s="298" t="s">
        <v>5579</v>
      </c>
      <c r="V261" s="770" t="s">
        <v>707</v>
      </c>
      <c r="W261" s="770"/>
      <c r="X261" s="296"/>
      <c r="Y261" s="770"/>
      <c r="Z261" s="770"/>
      <c r="AA261" s="770"/>
      <c r="AB261" s="770"/>
      <c r="AC261" s="770"/>
      <c r="AD261" s="770"/>
      <c r="AE261" s="770"/>
      <c r="AF261" s="770"/>
      <c r="AG261" s="766" t="s">
        <v>1132</v>
      </c>
      <c r="AH261" s="770" t="s">
        <v>1119</v>
      </c>
      <c r="AI261" s="770"/>
      <c r="AJ261" s="770" t="s">
        <v>1137</v>
      </c>
      <c r="AK261" s="770" t="s">
        <v>1101</v>
      </c>
      <c r="AL261" s="299"/>
      <c r="AM261" s="300"/>
      <c r="AN261" s="301"/>
      <c r="AO261" s="766" t="s">
        <v>1122</v>
      </c>
      <c r="AP261" s="766"/>
      <c r="AQ261" s="766"/>
      <c r="AR261" s="766"/>
      <c r="AS261" s="770"/>
      <c r="AT261" s="770"/>
      <c r="AU261" s="770"/>
      <c r="AV261" s="770"/>
      <c r="AW261" s="770"/>
      <c r="AX261" s="770"/>
      <c r="AY261" s="770"/>
      <c r="AZ261" s="770"/>
      <c r="BA261" s="770"/>
      <c r="BB261" s="770"/>
      <c r="BC261" s="770"/>
      <c r="BD261" s="770"/>
      <c r="BE261" s="770"/>
      <c r="BF261" s="302"/>
      <c r="BG261" s="302"/>
      <c r="BH261" s="770"/>
      <c r="BI261" s="770"/>
      <c r="BJ261" s="770"/>
      <c r="BK261" s="770" t="s">
        <v>1095</v>
      </c>
      <c r="BL261" s="766" t="s">
        <v>5577</v>
      </c>
      <c r="BM261" s="766" t="s">
        <v>1096</v>
      </c>
      <c r="BN261" s="766" t="s">
        <v>1230</v>
      </c>
      <c r="BO261" s="766" t="s">
        <v>1246</v>
      </c>
      <c r="BP261" s="46">
        <v>31.5</v>
      </c>
      <c r="BQ261" s="46">
        <v>31.5</v>
      </c>
      <c r="BR261" s="774">
        <f>BQ261/BP261</f>
        <v>1</v>
      </c>
      <c r="BS261" s="766" t="s">
        <v>1257</v>
      </c>
      <c r="BT261" s="770" t="s">
        <v>2040</v>
      </c>
      <c r="BU261" s="770" t="s">
        <v>1249</v>
      </c>
      <c r="BV261" s="766" t="s">
        <v>1247</v>
      </c>
      <c r="BW261" s="769"/>
      <c r="BX261" s="302"/>
      <c r="BY261" s="302"/>
      <c r="BZ261" s="770"/>
      <c r="CA261" s="302"/>
      <c r="CB261" s="302"/>
      <c r="CC261" s="770"/>
      <c r="CD261" s="770"/>
      <c r="CE261" s="770"/>
      <c r="CF261" s="304"/>
      <c r="CG261" s="321"/>
      <c r="CH261" s="770"/>
      <c r="CI261" s="770"/>
      <c r="CJ261" s="770"/>
      <c r="CK261" s="770"/>
      <c r="CL261" s="770"/>
      <c r="CM261" s="770"/>
      <c r="CN261" s="770"/>
      <c r="CO261" s="770"/>
      <c r="CP261" s="770"/>
      <c r="CQ261" s="770"/>
      <c r="CR261" s="302"/>
      <c r="CS261" s="770"/>
      <c r="CT261" s="770"/>
      <c r="CU261" s="305"/>
      <c r="CV261" s="770"/>
      <c r="CW261" s="770"/>
      <c r="CX261" s="770"/>
      <c r="CY261" s="770"/>
      <c r="CZ261" s="770"/>
      <c r="DA261" s="306"/>
      <c r="DB261" s="770"/>
      <c r="DC261" s="770"/>
      <c r="DD261" s="770"/>
      <c r="DE261" s="300"/>
      <c r="DF261" s="770"/>
      <c r="DG261" s="770"/>
      <c r="DH261" s="770"/>
      <c r="DI261" s="770"/>
      <c r="DJ261" s="770"/>
      <c r="DK261" s="770"/>
      <c r="DL261" s="770"/>
      <c r="DM261" s="770"/>
      <c r="DN261" s="322"/>
      <c r="DO261" s="770"/>
      <c r="DP261" s="770"/>
      <c r="DQ261" s="770"/>
      <c r="DR261" s="770"/>
      <c r="DS261" s="307"/>
      <c r="DT261" s="770"/>
      <c r="DU261" s="770"/>
      <c r="DV261" s="770"/>
      <c r="DW261" s="306"/>
      <c r="DX261" s="306"/>
      <c r="DY261" s="770"/>
      <c r="DZ261" s="770"/>
      <c r="EA261" s="770"/>
      <c r="EB261" s="770"/>
      <c r="EC261" s="770"/>
      <c r="ED261" s="770"/>
      <c r="EE261" s="770"/>
      <c r="EF261" s="770"/>
      <c r="EG261" s="770"/>
      <c r="EH261" s="770"/>
      <c r="EI261" s="770"/>
      <c r="EJ261" s="770"/>
      <c r="EK261" s="770"/>
      <c r="EL261" s="770"/>
      <c r="EM261" s="770"/>
      <c r="EN261" s="770"/>
      <c r="EO261" s="770"/>
      <c r="EP261" s="94"/>
      <c r="EQ261" s="770"/>
      <c r="ER261" s="770"/>
      <c r="ES261" s="770"/>
      <c r="ET261" s="770"/>
      <c r="EU261" s="770"/>
      <c r="EV261" s="770"/>
      <c r="EW261" s="770"/>
      <c r="EX261" s="770"/>
      <c r="EY261" s="770"/>
      <c r="EZ261" s="770"/>
      <c r="FA261" s="770"/>
      <c r="FB261" s="770"/>
      <c r="FC261" s="770"/>
      <c r="FD261" s="302"/>
      <c r="FE261" s="770"/>
      <c r="FF261" s="770"/>
      <c r="FG261" s="770"/>
      <c r="FH261" s="770"/>
      <c r="FI261" s="770"/>
      <c r="FJ261" s="770"/>
      <c r="FK261" s="770"/>
      <c r="FL261" s="770"/>
      <c r="FM261" s="302"/>
      <c r="FN261" s="302"/>
      <c r="FO261" s="302"/>
      <c r="FP261" s="766" t="s">
        <v>1602</v>
      </c>
      <c r="FQ261" s="766" t="s">
        <v>1660</v>
      </c>
      <c r="FR261" s="770"/>
      <c r="FS261" s="770"/>
      <c r="FT261" s="770"/>
      <c r="FU261" s="770"/>
      <c r="FV261" s="770"/>
      <c r="FW261" s="770"/>
      <c r="FX261" s="770"/>
      <c r="FY261" s="770"/>
      <c r="FZ261" s="770"/>
      <c r="GA261" s="770"/>
      <c r="GB261" s="770"/>
      <c r="GC261" s="308"/>
      <c r="GD261" s="297"/>
      <c r="GE261" s="770"/>
      <c r="GF261" s="302"/>
      <c r="GG261" s="302"/>
      <c r="GH261" s="712" t="s">
        <v>3650</v>
      </c>
      <c r="GI261" s="770"/>
      <c r="GJ261" s="770"/>
      <c r="GK261" s="770"/>
      <c r="GL261" s="770"/>
      <c r="GM261" s="770"/>
      <c r="GN261" s="309"/>
      <c r="GO261" s="770"/>
      <c r="GP261" s="770"/>
      <c r="GQ261" s="770"/>
      <c r="GR261" s="770"/>
      <c r="GS261" s="770"/>
      <c r="GT261" s="770"/>
      <c r="GU261" s="770"/>
      <c r="GV261" s="770"/>
      <c r="GW261" s="770"/>
      <c r="GX261" s="770"/>
      <c r="GY261" s="770"/>
      <c r="GZ261" s="770"/>
      <c r="HA261" s="770"/>
      <c r="HB261" s="770"/>
      <c r="HC261" s="770"/>
      <c r="HD261" s="770"/>
      <c r="HE261" s="770"/>
      <c r="HF261" s="770"/>
      <c r="HG261" s="770"/>
      <c r="HH261" s="770"/>
      <c r="HI261" s="770"/>
      <c r="HJ261" s="770"/>
      <c r="HK261" s="770"/>
      <c r="HL261" s="770"/>
      <c r="HM261" s="770"/>
      <c r="HN261" s="770"/>
      <c r="HO261" s="770"/>
      <c r="HP261" s="770"/>
      <c r="HQ261" s="770"/>
      <c r="HR261" s="770"/>
      <c r="HS261" s="770"/>
      <c r="HT261" s="770"/>
      <c r="HU261" s="770"/>
      <c r="HV261" s="770"/>
      <c r="HW261" s="770"/>
      <c r="HX261" s="770"/>
      <c r="HY261" s="770"/>
      <c r="HZ261" s="770"/>
      <c r="IA261" s="770"/>
      <c r="IB261" s="14" t="e">
        <f>IF(#REF!&gt;0,IF(#REF!&lt;=10000,"Y",""),"")</f>
        <v>#REF!</v>
      </c>
      <c r="IC261" s="770"/>
      <c r="ID261" s="770"/>
      <c r="IE261" s="770"/>
      <c r="IF261" s="770"/>
      <c r="IG261" s="770"/>
      <c r="IH261" s="770"/>
      <c r="II261" s="770"/>
      <c r="IJ261" s="770"/>
      <c r="IK261" s="770"/>
      <c r="IL261" s="770"/>
      <c r="IM261" s="770"/>
      <c r="IN261" s="770"/>
      <c r="IO261" s="296"/>
      <c r="IP261" s="770"/>
      <c r="IQ261" s="770"/>
      <c r="IR261" s="770"/>
      <c r="IS261" s="770"/>
      <c r="IT261" s="770"/>
      <c r="IU261" s="770"/>
      <c r="IV261" s="770"/>
      <c r="IW261" s="770"/>
      <c r="IX261" s="770"/>
      <c r="IY261" s="770"/>
      <c r="IZ261" s="770"/>
      <c r="JA261" s="770"/>
      <c r="JB261" s="770"/>
      <c r="JC261" s="770"/>
      <c r="JD261" s="302"/>
      <c r="JE261" s="770"/>
      <c r="JF261" s="770"/>
      <c r="JG261" s="770"/>
      <c r="JH261" s="770"/>
      <c r="JI261" s="712" t="str">
        <f t="shared" ref="JI261:JI296" si="75">IF(SUM(JT261,JU261)=JJ261,"ok","review")</f>
        <v>ok</v>
      </c>
      <c r="JJ261" s="94"/>
      <c r="JK261" s="1047" t="s">
        <v>13377</v>
      </c>
      <c r="JL261" s="770"/>
      <c r="JM261" s="770"/>
      <c r="JN261" s="770"/>
      <c r="JO261" s="770"/>
      <c r="JP261" s="770"/>
      <c r="JQ261" s="770"/>
      <c r="JR261" s="770"/>
      <c r="JS261" s="770"/>
      <c r="JT261" s="766"/>
      <c r="JU261" s="766"/>
      <c r="JV261" s="712" t="str">
        <f t="shared" ref="JV261:JV296" si="76">IF(JT261=KJ261,"ok","male")</f>
        <v>ok</v>
      </c>
      <c r="JW261" s="712" t="str">
        <f t="shared" ref="JW261:JW296" si="77">IF(JU261=KK261,"ok","female")</f>
        <v>ok</v>
      </c>
      <c r="JX261" s="770"/>
      <c r="JY261" s="770"/>
      <c r="JZ261" s="770"/>
      <c r="KA261" s="770"/>
      <c r="KB261" s="770"/>
      <c r="KC261" s="770"/>
      <c r="KD261" s="770"/>
      <c r="KE261" s="770"/>
      <c r="KF261" s="770"/>
      <c r="KG261" s="770"/>
      <c r="KH261" s="770"/>
      <c r="KI261" s="770"/>
      <c r="KJ261" s="770"/>
      <c r="KK261" s="770"/>
      <c r="KL261" s="712" t="str">
        <f t="shared" ref="KL261:KL266" si="78">IF(KJ261=LN261,"ok","male")</f>
        <v>ok</v>
      </c>
      <c r="KM261" s="712" t="str">
        <f t="shared" ref="KM261:KM266" si="79">IF(KK261=LO261,"ok","female")</f>
        <v>ok</v>
      </c>
      <c r="KN261" s="770"/>
      <c r="KO261" s="770"/>
      <c r="KP261" s="770"/>
      <c r="KQ261" s="770"/>
      <c r="KR261" s="770"/>
      <c r="KS261" s="770"/>
      <c r="KT261" s="770"/>
      <c r="KU261" s="770"/>
      <c r="KV261" s="770"/>
      <c r="KW261" s="770"/>
      <c r="KX261" s="770"/>
      <c r="KY261" s="770"/>
      <c r="KZ261" s="770"/>
      <c r="LA261" s="770"/>
      <c r="LB261" s="770"/>
      <c r="LC261" s="770"/>
      <c r="LD261" s="770"/>
      <c r="LE261" s="770"/>
      <c r="LF261" s="770"/>
      <c r="LG261" s="770"/>
      <c r="LH261" s="770"/>
      <c r="LI261" s="770"/>
      <c r="LJ261" s="770"/>
      <c r="LK261" s="770"/>
      <c r="LL261" s="770"/>
      <c r="LM261" s="770"/>
      <c r="LN261" s="766"/>
      <c r="LO261" s="766"/>
      <c r="LP261" s="770"/>
      <c r="LQ261" s="770"/>
      <c r="LR261" s="770"/>
      <c r="LS261" s="770"/>
      <c r="LT261" s="712" t="str">
        <f t="shared" ref="LT261:LT296" si="80">IF(LQ261=SUM(LU261:LW261),"OK","REV")</f>
        <v>OK</v>
      </c>
      <c r="LU261" s="770"/>
      <c r="LV261" s="770"/>
      <c r="LW261" s="770"/>
      <c r="LX261" s="769"/>
      <c r="LY261" s="766" t="str">
        <f t="shared" si="72"/>
        <v/>
      </c>
      <c r="LZ261" s="299"/>
      <c r="MA261" s="306"/>
      <c r="MB261" s="306"/>
      <c r="MC261" s="1679">
        <f t="shared" si="70"/>
        <v>0</v>
      </c>
      <c r="MD261" s="306"/>
      <c r="ME261" s="306"/>
      <c r="MF261" s="306"/>
      <c r="MG261" s="1680">
        <v>0</v>
      </c>
      <c r="MH261" s="770"/>
      <c r="MI261" s="302"/>
      <c r="MJ261" s="302"/>
      <c r="MK261" s="302"/>
      <c r="ML261" s="302"/>
      <c r="MM261" s="302"/>
      <c r="MN261" s="302"/>
      <c r="MO261" s="302"/>
      <c r="MP261" s="302"/>
      <c r="MQ261" s="302"/>
      <c r="MR261" s="302"/>
      <c r="MS261" s="302"/>
      <c r="MT261" s="302"/>
      <c r="MU261" s="302"/>
      <c r="MV261" s="302"/>
      <c r="MW261" s="302"/>
      <c r="MX261" s="302"/>
      <c r="MY261" s="1682"/>
      <c r="MZ261" s="770"/>
      <c r="NA261" s="770"/>
      <c r="NB261" s="770"/>
      <c r="NC261" s="770"/>
      <c r="ND261" s="770"/>
      <c r="NE261" s="770"/>
      <c r="NF261" s="770"/>
      <c r="NG261" s="770"/>
      <c r="NH261" s="770"/>
      <c r="NI261" s="770"/>
      <c r="NJ261" s="770"/>
      <c r="NK261" s="770"/>
      <c r="NL261" s="770"/>
      <c r="NM261" s="770"/>
      <c r="NN261" s="770"/>
      <c r="NO261" s="770"/>
      <c r="NP261" s="770"/>
      <c r="NQ261" s="770"/>
      <c r="NR261" s="770"/>
      <c r="NS261" s="770"/>
      <c r="NT261" s="770"/>
      <c r="NU261" s="770"/>
      <c r="NV261" s="770"/>
      <c r="NW261" s="770"/>
      <c r="NX261" s="770"/>
      <c r="NY261" s="770"/>
      <c r="NZ261" s="770"/>
      <c r="OA261" s="770"/>
      <c r="OB261" s="770"/>
      <c r="OC261" s="770"/>
      <c r="OD261" s="770"/>
      <c r="OE261" s="770"/>
      <c r="OF261" s="770"/>
      <c r="OG261" s="770"/>
      <c r="OH261" s="770"/>
      <c r="OI261" s="770"/>
      <c r="OJ261" s="770"/>
      <c r="OK261" s="770"/>
      <c r="OL261" s="770"/>
      <c r="OM261" s="770"/>
      <c r="ON261" s="770"/>
      <c r="OO261" s="770"/>
      <c r="OP261" s="770"/>
      <c r="OQ261" s="770"/>
      <c r="OR261" s="770"/>
      <c r="OS261" s="770"/>
      <c r="OT261" s="770"/>
      <c r="OU261" s="770"/>
      <c r="OV261" s="770"/>
      <c r="OW261" s="770"/>
      <c r="OX261" s="770"/>
      <c r="OY261" s="770"/>
      <c r="OZ261" s="770"/>
      <c r="PA261" s="770"/>
      <c r="PB261" s="770"/>
      <c r="PC261" s="770"/>
      <c r="PD261" s="770"/>
      <c r="PE261" s="770"/>
      <c r="PF261" s="770"/>
      <c r="PG261" s="770"/>
      <c r="PH261" s="770"/>
      <c r="PI261" s="770"/>
      <c r="PJ261" s="770"/>
      <c r="PK261" s="770"/>
      <c r="PL261" s="770"/>
      <c r="PM261" s="770"/>
      <c r="PN261" s="770"/>
      <c r="PO261" s="770"/>
      <c r="PP261" s="770"/>
      <c r="PQ261" s="770"/>
      <c r="PR261" s="770"/>
      <c r="PS261" s="770"/>
      <c r="PT261" s="770"/>
      <c r="PU261" s="770"/>
      <c r="PV261" s="770"/>
      <c r="PW261" s="770"/>
      <c r="PX261" s="770"/>
      <c r="PY261" s="770"/>
      <c r="PZ261" s="770"/>
      <c r="QA261" s="770"/>
      <c r="QB261" s="770"/>
      <c r="QC261" s="770"/>
      <c r="QD261" s="770"/>
      <c r="QE261" s="770"/>
      <c r="QF261" s="770"/>
      <c r="QG261" s="770"/>
      <c r="QH261" s="770"/>
      <c r="QI261" s="770"/>
      <c r="QJ261" s="770"/>
      <c r="QK261" s="770"/>
      <c r="QL261" s="770"/>
      <c r="QM261" s="770"/>
      <c r="QN261" s="770"/>
      <c r="QO261" s="770"/>
      <c r="QP261" s="770"/>
      <c r="QQ261" s="770"/>
      <c r="QR261" s="770"/>
      <c r="QS261" s="770"/>
      <c r="QT261" s="770"/>
      <c r="QU261" s="770"/>
      <c r="QV261" s="770"/>
      <c r="QW261" s="770"/>
      <c r="QX261" s="770"/>
      <c r="QY261" s="770"/>
      <c r="QZ261" s="770"/>
      <c r="RA261" s="770"/>
      <c r="RB261" s="770"/>
      <c r="RC261" s="770"/>
      <c r="RD261" s="770"/>
      <c r="RE261" s="770"/>
      <c r="RF261" s="304"/>
      <c r="RG261" s="770"/>
      <c r="RH261" s="302"/>
      <c r="RI261" s="770"/>
      <c r="RJ261" s="770"/>
      <c r="RK261" s="770"/>
      <c r="RL261" s="1710"/>
      <c r="RM261" s="12"/>
      <c r="RN261" s="1711"/>
      <c r="RO261" s="140" t="s">
        <v>443</v>
      </c>
      <c r="RP261" s="11"/>
      <c r="RQ261" s="11"/>
      <c r="RR261" s="19" t="s">
        <v>7421</v>
      </c>
      <c r="RS261" s="1139" t="s">
        <v>12980</v>
      </c>
      <c r="RT261" s="11"/>
      <c r="RU261" s="11"/>
      <c r="RV261" s="6" t="s">
        <v>7419</v>
      </c>
      <c r="RW261" s="11" t="s">
        <v>7970</v>
      </c>
      <c r="RX261" s="11" t="s">
        <v>437</v>
      </c>
      <c r="RY261" s="11"/>
      <c r="RZ261" s="11"/>
      <c r="SA261" s="6"/>
      <c r="SB261" s="11"/>
      <c r="SC261" s="11"/>
    </row>
    <row r="262" spans="1:497" ht="12.75" customHeight="1">
      <c r="A262" s="767" t="s">
        <v>7421</v>
      </c>
      <c r="B262" s="292" t="s">
        <v>7610</v>
      </c>
      <c r="C262" s="140" t="s">
        <v>444</v>
      </c>
      <c r="D262" s="94" t="s">
        <v>445</v>
      </c>
      <c r="E262" s="766" t="s">
        <v>446</v>
      </c>
      <c r="F262" s="770" t="s">
        <v>210</v>
      </c>
      <c r="G262" s="770"/>
      <c r="H262" s="770"/>
      <c r="I262" s="295"/>
      <c r="J262" s="94" t="s">
        <v>5580</v>
      </c>
      <c r="K262" s="766" t="s">
        <v>5581</v>
      </c>
      <c r="L262" s="766" t="s">
        <v>5582</v>
      </c>
      <c r="M262" s="770"/>
      <c r="N262" s="770" t="s">
        <v>5583</v>
      </c>
      <c r="O262" s="770" t="s">
        <v>5584</v>
      </c>
      <c r="P262" s="94" t="s">
        <v>944</v>
      </c>
      <c r="Q262" s="1088">
        <v>19647</v>
      </c>
      <c r="R262" s="297">
        <v>63</v>
      </c>
      <c r="S262" s="770" t="s">
        <v>18</v>
      </c>
      <c r="T262" s="770"/>
      <c r="U262" s="298" t="s">
        <v>945</v>
      </c>
      <c r="V262" s="770" t="s">
        <v>719</v>
      </c>
      <c r="W262" s="770"/>
      <c r="X262" s="296"/>
      <c r="Y262" s="770" t="s">
        <v>946</v>
      </c>
      <c r="Z262" s="770" t="s">
        <v>708</v>
      </c>
      <c r="AA262" s="770" t="s">
        <v>947</v>
      </c>
      <c r="AB262" s="770" t="s">
        <v>710</v>
      </c>
      <c r="AC262" s="770" t="s">
        <v>948</v>
      </c>
      <c r="AD262" s="770"/>
      <c r="AE262" s="770"/>
      <c r="AF262" s="770"/>
      <c r="AG262" s="766" t="s">
        <v>1132</v>
      </c>
      <c r="AH262" s="766" t="s">
        <v>1096</v>
      </c>
      <c r="AI262" s="770"/>
      <c r="AJ262" s="770" t="s">
        <v>1137</v>
      </c>
      <c r="AK262" s="770" t="s">
        <v>1101</v>
      </c>
      <c r="AL262" s="333"/>
      <c r="AM262" s="334"/>
      <c r="AN262" s="301"/>
      <c r="AO262" s="766" t="s">
        <v>1122</v>
      </c>
      <c r="AP262" s="766"/>
      <c r="AQ262" s="766"/>
      <c r="AR262" s="766"/>
      <c r="AS262" s="770"/>
      <c r="AT262" s="770"/>
      <c r="AU262" s="770"/>
      <c r="AV262" s="770"/>
      <c r="AW262" s="770"/>
      <c r="AX262" s="770"/>
      <c r="AY262" s="770"/>
      <c r="AZ262" s="770"/>
      <c r="BA262" s="770"/>
      <c r="BB262" s="770"/>
      <c r="BC262" s="770"/>
      <c r="BD262" s="770"/>
      <c r="BE262" s="770"/>
      <c r="BF262" s="302"/>
      <c r="BG262" s="302"/>
      <c r="BH262" s="770"/>
      <c r="BI262" s="770"/>
      <c r="BJ262" s="770"/>
      <c r="BK262" s="770" t="s">
        <v>1095</v>
      </c>
      <c r="BL262" s="766" t="s">
        <v>1354</v>
      </c>
      <c r="BM262" s="766" t="s">
        <v>1096</v>
      </c>
      <c r="BN262" s="766" t="s">
        <v>1230</v>
      </c>
      <c r="BO262" s="766" t="s">
        <v>1246</v>
      </c>
      <c r="BP262" s="559">
        <v>12</v>
      </c>
      <c r="BQ262" s="334">
        <v>12</v>
      </c>
      <c r="BR262" s="774">
        <f>BQ262/BP262</f>
        <v>1</v>
      </c>
      <c r="BS262" s="766" t="s">
        <v>1257</v>
      </c>
      <c r="BT262" s="770" t="s">
        <v>8133</v>
      </c>
      <c r="BU262" s="766" t="s">
        <v>1267</v>
      </c>
      <c r="BV262" s="770" t="s">
        <v>1247</v>
      </c>
      <c r="BW262" s="769"/>
      <c r="BX262" s="302"/>
      <c r="BY262" s="770"/>
      <c r="BZ262" s="302"/>
      <c r="CA262" s="770"/>
      <c r="CB262" s="770"/>
      <c r="CC262" s="770"/>
      <c r="CD262" s="770"/>
      <c r="CE262" s="770"/>
      <c r="CF262" s="304"/>
      <c r="CG262" s="321"/>
      <c r="CH262" s="770"/>
      <c r="CI262" s="770"/>
      <c r="CJ262" s="770"/>
      <c r="CK262" s="770"/>
      <c r="CL262" s="770"/>
      <c r="CM262" s="770"/>
      <c r="CN262" s="770"/>
      <c r="CO262" s="770"/>
      <c r="CP262" s="770"/>
      <c r="CQ262" s="770"/>
      <c r="CR262" s="302"/>
      <c r="CS262" s="770"/>
      <c r="CT262" s="770"/>
      <c r="CU262" s="305"/>
      <c r="CV262" s="770"/>
      <c r="CW262" s="770"/>
      <c r="CX262" s="770"/>
      <c r="CY262" s="770"/>
      <c r="CZ262" s="770"/>
      <c r="DA262" s="306"/>
      <c r="DB262" s="770"/>
      <c r="DC262" s="770"/>
      <c r="DD262" s="770"/>
      <c r="DE262" s="300"/>
      <c r="DF262" s="770"/>
      <c r="DG262" s="770"/>
      <c r="DH262" s="770"/>
      <c r="DI262" s="770"/>
      <c r="DJ262" s="770"/>
      <c r="DK262" s="770"/>
      <c r="DL262" s="770"/>
      <c r="DM262" s="770"/>
      <c r="DN262" s="322"/>
      <c r="DO262" s="770"/>
      <c r="DP262" s="770"/>
      <c r="DQ262" s="770"/>
      <c r="DR262" s="770"/>
      <c r="DS262" s="307"/>
      <c r="DT262" s="770"/>
      <c r="DU262" s="770"/>
      <c r="DV262" s="770"/>
      <c r="DW262" s="306"/>
      <c r="DX262" s="306"/>
      <c r="DY262" s="770"/>
      <c r="DZ262" s="770"/>
      <c r="EA262" s="770"/>
      <c r="EB262" s="770"/>
      <c r="EC262" s="770"/>
      <c r="ED262" s="770"/>
      <c r="EE262" s="770"/>
      <c r="EF262" s="770"/>
      <c r="EG262" s="770"/>
      <c r="EH262" s="770"/>
      <c r="EI262" s="770"/>
      <c r="EJ262" s="770"/>
      <c r="EK262" s="770"/>
      <c r="EL262" s="770"/>
      <c r="EM262" s="770"/>
      <c r="EN262" s="770"/>
      <c r="EO262" s="770"/>
      <c r="EP262" s="94"/>
      <c r="EQ262" s="770"/>
      <c r="ER262" s="770"/>
      <c r="ES262" s="770"/>
      <c r="ET262" s="770"/>
      <c r="EU262" s="770"/>
      <c r="EV262" s="770"/>
      <c r="EW262" s="770"/>
      <c r="EX262" s="770"/>
      <c r="EY262" s="770"/>
      <c r="EZ262" s="770"/>
      <c r="FA262" s="770"/>
      <c r="FB262" s="770"/>
      <c r="FC262" s="770"/>
      <c r="FD262" s="302"/>
      <c r="FE262" s="770"/>
      <c r="FF262" s="770"/>
      <c r="FG262" s="770"/>
      <c r="FH262" s="770" t="s">
        <v>478</v>
      </c>
      <c r="FI262" s="770">
        <v>1</v>
      </c>
      <c r="FJ262" s="770"/>
      <c r="FK262" s="770"/>
      <c r="FL262" s="770"/>
      <c r="FM262" s="302"/>
      <c r="FN262" s="302"/>
      <c r="FO262" s="302"/>
      <c r="FP262" s="766" t="s">
        <v>1602</v>
      </c>
      <c r="FQ262" s="766" t="s">
        <v>1660</v>
      </c>
      <c r="FR262" s="770" t="s">
        <v>1214</v>
      </c>
      <c r="FS262" s="770"/>
      <c r="FT262" s="770"/>
      <c r="FU262" s="770"/>
      <c r="FV262" s="770"/>
      <c r="FW262" s="770"/>
      <c r="FX262" s="770"/>
      <c r="FY262" s="770"/>
      <c r="FZ262" s="770"/>
      <c r="GA262" s="770"/>
      <c r="GB262" s="770"/>
      <c r="GC262" s="308"/>
      <c r="GD262" s="297"/>
      <c r="GE262" s="770"/>
      <c r="GF262" s="302"/>
      <c r="GG262" s="302"/>
      <c r="GH262" s="1811" t="s">
        <v>1791</v>
      </c>
      <c r="GI262" s="770"/>
      <c r="GJ262" s="770"/>
      <c r="GK262" s="770" t="s">
        <v>2345</v>
      </c>
      <c r="GL262" s="770"/>
      <c r="GM262" s="770" t="s">
        <v>1214</v>
      </c>
      <c r="GN262" s="309">
        <v>80</v>
      </c>
      <c r="GO262" s="770"/>
      <c r="GP262" s="770" t="s">
        <v>1208</v>
      </c>
      <c r="GQ262" s="770"/>
      <c r="GR262" s="770"/>
      <c r="GS262" s="770"/>
      <c r="GT262" s="770"/>
      <c r="GU262" s="770"/>
      <c r="GV262" s="770"/>
      <c r="GW262" s="770" t="s">
        <v>1214</v>
      </c>
      <c r="GX262" s="770" t="s">
        <v>1827</v>
      </c>
      <c r="GY262" s="770" t="s">
        <v>1208</v>
      </c>
      <c r="GZ262" s="770"/>
      <c r="HA262" s="770" t="s">
        <v>1208</v>
      </c>
      <c r="HB262" s="770" t="s">
        <v>1208</v>
      </c>
      <c r="HC262" s="770" t="s">
        <v>1208</v>
      </c>
      <c r="HD262" s="770"/>
      <c r="HE262" s="770"/>
      <c r="HF262" s="770"/>
      <c r="HG262" s="770"/>
      <c r="HH262" s="770"/>
      <c r="HI262" s="770" t="s">
        <v>1214</v>
      </c>
      <c r="HJ262" s="770"/>
      <c r="HK262" s="770"/>
      <c r="HL262" s="770"/>
      <c r="HM262" s="770"/>
      <c r="HN262" s="770"/>
      <c r="HO262" s="770"/>
      <c r="HP262" s="770"/>
      <c r="HQ262" s="770"/>
      <c r="HR262" s="770"/>
      <c r="HS262" s="770"/>
      <c r="HT262" s="770"/>
      <c r="HU262" s="770"/>
      <c r="HV262" s="770"/>
      <c r="HW262" s="770"/>
      <c r="HX262" s="770"/>
      <c r="HY262" s="770"/>
      <c r="HZ262" s="770"/>
      <c r="IA262" s="770"/>
      <c r="IB262" s="14" t="e">
        <f>IF(#REF!&gt;0,IF(#REF!&lt;=10000,"Y",""),"")</f>
        <v>#REF!</v>
      </c>
      <c r="IC262" s="770" t="s">
        <v>1207</v>
      </c>
      <c r="ID262" s="770">
        <v>1</v>
      </c>
      <c r="IE262" s="770"/>
      <c r="IF262" s="1828" t="s">
        <v>1983</v>
      </c>
      <c r="IG262" s="770" t="s">
        <v>18</v>
      </c>
      <c r="IH262" s="770" t="s">
        <v>478</v>
      </c>
      <c r="II262" s="770"/>
      <c r="IJ262" s="770" t="s">
        <v>1604</v>
      </c>
      <c r="IK262" s="770" t="s">
        <v>1882</v>
      </c>
      <c r="IL262" s="770"/>
      <c r="IM262" s="770">
        <v>2006</v>
      </c>
      <c r="IN262" s="770"/>
      <c r="IO262" s="296"/>
      <c r="IP262" s="770" t="s">
        <v>478</v>
      </c>
      <c r="IQ262" s="13" t="s">
        <v>5498</v>
      </c>
      <c r="IR262" s="770" t="s">
        <v>2716</v>
      </c>
      <c r="IS262" s="770" t="s">
        <v>1984</v>
      </c>
      <c r="IT262" s="770"/>
      <c r="IU262" s="770" t="s">
        <v>1208</v>
      </c>
      <c r="IV262" s="770"/>
      <c r="IW262" s="770" t="s">
        <v>944</v>
      </c>
      <c r="IX262" s="770"/>
      <c r="IY262" s="770"/>
      <c r="IZ262" s="770"/>
      <c r="JA262" s="770"/>
      <c r="JB262" s="770" t="s">
        <v>12779</v>
      </c>
      <c r="JC262" s="770"/>
      <c r="JD262" s="302"/>
      <c r="JE262" s="770"/>
      <c r="JF262" s="770"/>
      <c r="JG262" s="770"/>
      <c r="JH262" s="770"/>
      <c r="JI262" s="712" t="str">
        <f t="shared" si="75"/>
        <v>ok</v>
      </c>
      <c r="JJ262" s="766">
        <v>9</v>
      </c>
      <c r="JK262" s="1139" t="s">
        <v>1354</v>
      </c>
      <c r="JL262" s="766"/>
      <c r="JM262" s="766"/>
      <c r="JN262" s="766">
        <v>2</v>
      </c>
      <c r="JO262" s="766">
        <v>6</v>
      </c>
      <c r="JP262" s="766"/>
      <c r="JQ262" s="766">
        <v>1</v>
      </c>
      <c r="JR262" s="766"/>
      <c r="JS262" s="766"/>
      <c r="JT262" s="766">
        <f>SUM(JP262,JN262,JL262,JR262)</f>
        <v>2</v>
      </c>
      <c r="JU262" s="766">
        <f>SUM(JQ262,JO262,JM262,JS262)</f>
        <v>7</v>
      </c>
      <c r="JV262" s="712" t="str">
        <f t="shared" si="76"/>
        <v>ok</v>
      </c>
      <c r="JW262" s="712" t="str">
        <f t="shared" si="77"/>
        <v>ok</v>
      </c>
      <c r="JX262" s="766"/>
      <c r="JY262" s="766"/>
      <c r="JZ262" s="766"/>
      <c r="KA262" s="766"/>
      <c r="KB262" s="766">
        <v>2</v>
      </c>
      <c r="KC262" s="766">
        <v>5</v>
      </c>
      <c r="KD262" s="766"/>
      <c r="KE262" s="766">
        <v>1</v>
      </c>
      <c r="KF262" s="766"/>
      <c r="KG262" s="766">
        <v>1</v>
      </c>
      <c r="KH262" s="766"/>
      <c r="KI262" s="766"/>
      <c r="KJ262" s="770">
        <f t="shared" si="58"/>
        <v>2</v>
      </c>
      <c r="KK262" s="770">
        <f t="shared" si="58"/>
        <v>7</v>
      </c>
      <c r="KL262" s="712" t="str">
        <f t="shared" si="78"/>
        <v>ok</v>
      </c>
      <c r="KM262" s="712" t="str">
        <f t="shared" si="79"/>
        <v>ok</v>
      </c>
      <c r="KN262" s="770" t="s">
        <v>719</v>
      </c>
      <c r="KO262" s="770"/>
      <c r="KP262" s="770"/>
      <c r="KQ262" s="770"/>
      <c r="KR262" s="770"/>
      <c r="KS262" s="770"/>
      <c r="KT262" s="770">
        <v>1</v>
      </c>
      <c r="KU262" s="770">
        <v>2</v>
      </c>
      <c r="KV262" s="770">
        <v>1</v>
      </c>
      <c r="KW262" s="770">
        <v>1</v>
      </c>
      <c r="KX262" s="770"/>
      <c r="KY262" s="770">
        <v>2</v>
      </c>
      <c r="KZ262" s="770"/>
      <c r="LA262" s="770">
        <v>2</v>
      </c>
      <c r="LB262" s="770"/>
      <c r="LC262" s="770"/>
      <c r="LD262" s="770"/>
      <c r="LE262" s="770"/>
      <c r="LF262" s="770"/>
      <c r="LG262" s="770"/>
      <c r="LH262" s="770"/>
      <c r="LI262" s="770"/>
      <c r="LJ262" s="770"/>
      <c r="LK262" s="770"/>
      <c r="LL262" s="770"/>
      <c r="LM262" s="770"/>
      <c r="LN262" s="766">
        <f t="shared" si="71"/>
        <v>2</v>
      </c>
      <c r="LO262" s="766">
        <f t="shared" si="71"/>
        <v>7</v>
      </c>
      <c r="LP262" s="770">
        <v>4</v>
      </c>
      <c r="LQ262" s="770">
        <v>1</v>
      </c>
      <c r="LR262" s="770"/>
      <c r="LS262" s="770">
        <v>3</v>
      </c>
      <c r="LT262" s="712" t="str">
        <f t="shared" si="80"/>
        <v>OK</v>
      </c>
      <c r="LU262" s="770"/>
      <c r="LV262" s="770">
        <v>1</v>
      </c>
      <c r="LW262" s="770"/>
      <c r="LX262" s="769">
        <v>2</v>
      </c>
      <c r="LY262" s="766" t="str">
        <f t="shared" si="72"/>
        <v>within the MUNICIPALITY</v>
      </c>
      <c r="LZ262" s="299">
        <f>SUM(272,816)</f>
        <v>1088</v>
      </c>
      <c r="MA262" s="306"/>
      <c r="MB262" s="306"/>
      <c r="MC262" s="1679">
        <f t="shared" si="70"/>
        <v>1088</v>
      </c>
      <c r="MD262" s="306">
        <v>8808</v>
      </c>
      <c r="ME262" s="306"/>
      <c r="MF262" s="306">
        <f>SUM(5600,3000,2800)</f>
        <v>11400</v>
      </c>
      <c r="MG262" s="1680">
        <f t="shared" ref="MG262:MG296" si="81">SUM(MD262:MF262)</f>
        <v>20208</v>
      </c>
      <c r="MH262" s="770" t="s">
        <v>4634</v>
      </c>
      <c r="MI262" s="302">
        <f>200*30</f>
        <v>6000</v>
      </c>
      <c r="MJ262" s="302">
        <v>1088</v>
      </c>
      <c r="MK262" s="302">
        <f>3000/12</f>
        <v>250</v>
      </c>
      <c r="ML262" s="302">
        <v>60</v>
      </c>
      <c r="MM262" s="302">
        <v>800</v>
      </c>
      <c r="MN262" s="302"/>
      <c r="MO262" s="302">
        <v>100</v>
      </c>
      <c r="MP262" s="302">
        <v>400</v>
      </c>
      <c r="MQ262" s="302">
        <v>400</v>
      </c>
      <c r="MR262" s="302">
        <v>560</v>
      </c>
      <c r="MS262" s="302"/>
      <c r="MT262" s="302"/>
      <c r="MU262" s="302"/>
      <c r="MV262" s="302"/>
      <c r="MW262" s="302"/>
      <c r="MX262" s="302"/>
      <c r="MY262" s="1682">
        <f t="shared" si="74"/>
        <v>9658</v>
      </c>
      <c r="MZ262" s="766" t="s">
        <v>1835</v>
      </c>
      <c r="NA262" s="770" t="s">
        <v>13230</v>
      </c>
      <c r="NB262" s="770" t="s">
        <v>13092</v>
      </c>
      <c r="NC262" s="766" t="s">
        <v>13026</v>
      </c>
      <c r="ND262" s="770">
        <v>0</v>
      </c>
      <c r="NE262" s="770">
        <v>0</v>
      </c>
      <c r="NF262" s="770">
        <v>0</v>
      </c>
      <c r="NG262" s="770">
        <v>3</v>
      </c>
      <c r="NH262" s="770">
        <v>1</v>
      </c>
      <c r="NI262" s="770">
        <v>1</v>
      </c>
      <c r="NJ262" s="770">
        <v>1</v>
      </c>
      <c r="NK262" s="770">
        <v>0</v>
      </c>
      <c r="NL262" s="770">
        <v>0</v>
      </c>
      <c r="NM262" s="770">
        <v>0</v>
      </c>
      <c r="NN262" s="770">
        <v>0</v>
      </c>
      <c r="NO262" s="770">
        <v>0</v>
      </c>
      <c r="NP262" s="770">
        <v>0</v>
      </c>
      <c r="NQ262" s="770">
        <v>0</v>
      </c>
      <c r="NR262" s="770">
        <v>0</v>
      </c>
      <c r="NS262" s="770">
        <v>0</v>
      </c>
      <c r="NT262" s="770">
        <v>0</v>
      </c>
      <c r="NU262" s="770">
        <v>0</v>
      </c>
      <c r="NV262" s="770">
        <v>0</v>
      </c>
      <c r="NW262" s="770">
        <v>0</v>
      </c>
      <c r="NX262" s="770">
        <v>0</v>
      </c>
      <c r="NY262" s="770" t="s">
        <v>1208</v>
      </c>
      <c r="NZ262" s="770"/>
      <c r="OA262" s="770" t="s">
        <v>1208</v>
      </c>
      <c r="OB262" s="770"/>
      <c r="OC262" s="770" t="s">
        <v>1208</v>
      </c>
      <c r="OD262" s="770"/>
      <c r="OE262" s="770"/>
      <c r="OF262" s="1834" t="s">
        <v>13034</v>
      </c>
      <c r="OG262" s="770"/>
      <c r="OH262" s="770"/>
      <c r="OI262" s="770"/>
      <c r="OJ262" s="770"/>
      <c r="OK262" s="1828" t="s">
        <v>1208</v>
      </c>
      <c r="OL262" s="770"/>
      <c r="OM262" s="770"/>
      <c r="ON262" s="770"/>
      <c r="OO262" s="770" t="s">
        <v>1214</v>
      </c>
      <c r="OP262" s="770"/>
      <c r="OQ262" s="770"/>
      <c r="OR262" s="770"/>
      <c r="OS262" s="770"/>
      <c r="OT262" s="770"/>
      <c r="OU262" s="770"/>
      <c r="OV262" s="770"/>
      <c r="OW262" s="770"/>
      <c r="OX262" s="770"/>
      <c r="OY262" s="770"/>
      <c r="OZ262" s="770"/>
      <c r="PA262" s="770"/>
      <c r="PB262" s="770"/>
      <c r="PC262" s="770"/>
      <c r="PD262" s="770"/>
      <c r="PE262" s="770"/>
      <c r="PF262" s="770"/>
      <c r="PG262" s="770"/>
      <c r="PH262" s="770"/>
      <c r="PI262" s="770"/>
      <c r="PJ262" s="770"/>
      <c r="PK262" s="770" t="s">
        <v>1208</v>
      </c>
      <c r="PL262" s="770"/>
      <c r="PM262" s="770"/>
      <c r="PN262" s="770"/>
      <c r="PO262" s="770"/>
      <c r="PP262" s="770"/>
      <c r="PQ262" s="770"/>
      <c r="PR262" s="770"/>
      <c r="PS262" s="770"/>
      <c r="PT262" s="770"/>
      <c r="PU262" s="770"/>
      <c r="PV262" s="770"/>
      <c r="PW262" s="770"/>
      <c r="PX262" s="770"/>
      <c r="PY262" s="770"/>
      <c r="PZ262" s="770"/>
      <c r="QA262" s="770"/>
      <c r="QB262" s="770"/>
      <c r="QC262" s="770"/>
      <c r="QD262" s="770"/>
      <c r="QE262" s="770" t="s">
        <v>1208</v>
      </c>
      <c r="QF262" s="770"/>
      <c r="QG262" s="770"/>
      <c r="QH262" s="770"/>
      <c r="QI262" s="770"/>
      <c r="QJ262" s="770"/>
      <c r="QK262" s="770"/>
      <c r="QL262" s="770"/>
      <c r="QM262" s="770"/>
      <c r="QN262" s="770"/>
      <c r="QO262" s="770"/>
      <c r="QP262" s="770"/>
      <c r="QQ262" s="770"/>
      <c r="QR262" s="770"/>
      <c r="QS262" s="770"/>
      <c r="QT262" s="770"/>
      <c r="QU262" s="770"/>
      <c r="QV262" s="770"/>
      <c r="QW262" s="770"/>
      <c r="QX262" s="770"/>
      <c r="QY262" s="770"/>
      <c r="QZ262" s="770"/>
      <c r="RA262" s="770"/>
      <c r="RB262" s="770" t="s">
        <v>1214</v>
      </c>
      <c r="RC262" s="770"/>
      <c r="RD262" s="770"/>
      <c r="RE262" s="770"/>
      <c r="RF262" s="304"/>
      <c r="RG262" s="770"/>
      <c r="RH262" s="302"/>
      <c r="RI262" s="770"/>
      <c r="RJ262" s="770" t="s">
        <v>1354</v>
      </c>
      <c r="RK262" s="770" t="s">
        <v>13378</v>
      </c>
      <c r="RL262" s="1710">
        <v>42818</v>
      </c>
      <c r="RM262" s="12"/>
      <c r="RN262" s="1711"/>
      <c r="RO262" s="140" t="s">
        <v>444</v>
      </c>
      <c r="RP262" s="11"/>
      <c r="RQ262" s="11"/>
      <c r="RR262" s="19" t="s">
        <v>7421</v>
      </c>
      <c r="RS262" s="1139" t="s">
        <v>12980</v>
      </c>
      <c r="RT262" s="11"/>
      <c r="RU262" s="11"/>
      <c r="RV262" s="771" t="s">
        <v>7419</v>
      </c>
      <c r="RW262" s="11" t="s">
        <v>7609</v>
      </c>
      <c r="RX262" s="11" t="s">
        <v>440</v>
      </c>
      <c r="RY262" s="11"/>
      <c r="RZ262" s="11" t="s">
        <v>2209</v>
      </c>
      <c r="SA262" s="771"/>
      <c r="SB262" s="11"/>
      <c r="SC262" s="11"/>
    </row>
    <row r="263" spans="1:497" ht="12.75" customHeight="1">
      <c r="A263" s="311" t="s">
        <v>12452</v>
      </c>
      <c r="B263" s="292" t="s">
        <v>5585</v>
      </c>
      <c r="C263" s="140" t="s">
        <v>444</v>
      </c>
      <c r="D263" s="770" t="s">
        <v>5591</v>
      </c>
      <c r="E263" s="766" t="s">
        <v>7249</v>
      </c>
      <c r="F263" s="770" t="s">
        <v>28</v>
      </c>
      <c r="G263" s="770" t="s">
        <v>18</v>
      </c>
      <c r="H263" s="12"/>
      <c r="I263" s="770" t="s">
        <v>950</v>
      </c>
      <c r="J263" s="770" t="s">
        <v>5591</v>
      </c>
      <c r="K263" s="770"/>
      <c r="L263" s="770"/>
      <c r="M263" s="770"/>
      <c r="N263" s="770"/>
      <c r="O263" s="770"/>
      <c r="P263" s="94" t="s">
        <v>949</v>
      </c>
      <c r="Q263" s="1088">
        <v>18013</v>
      </c>
      <c r="R263" s="297">
        <v>67</v>
      </c>
      <c r="S263" s="766" t="s">
        <v>18</v>
      </c>
      <c r="T263" s="770"/>
      <c r="U263" s="298" t="s">
        <v>950</v>
      </c>
      <c r="V263" s="770" t="s">
        <v>768</v>
      </c>
      <c r="W263" s="770"/>
      <c r="X263" s="296"/>
      <c r="Y263" s="770" t="s">
        <v>5431</v>
      </c>
      <c r="Z263" s="770" t="s">
        <v>708</v>
      </c>
      <c r="AA263" s="770" t="s">
        <v>739</v>
      </c>
      <c r="AB263" s="6" t="s">
        <v>7273</v>
      </c>
      <c r="AC263" s="770" t="s">
        <v>948</v>
      </c>
      <c r="AD263" s="770"/>
      <c r="AE263" s="770"/>
      <c r="AF263" s="770" t="s">
        <v>952</v>
      </c>
      <c r="AG263" s="770"/>
      <c r="AH263" s="770"/>
      <c r="AI263" s="770"/>
      <c r="AJ263" s="770"/>
      <c r="AK263" s="770" t="s">
        <v>1101</v>
      </c>
      <c r="AL263" s="299"/>
      <c r="AM263" s="300"/>
      <c r="AN263" s="301"/>
      <c r="AO263" s="766"/>
      <c r="AP263" s="766"/>
      <c r="AQ263" s="766"/>
      <c r="AR263" s="766"/>
      <c r="AS263" s="770"/>
      <c r="AT263" s="770"/>
      <c r="AU263" s="770"/>
      <c r="AV263" s="770"/>
      <c r="AW263" s="770"/>
      <c r="AX263" s="770"/>
      <c r="AY263" s="770"/>
      <c r="AZ263" s="770"/>
      <c r="BA263" s="770"/>
      <c r="BB263" s="770"/>
      <c r="BC263" s="770"/>
      <c r="BD263" s="770"/>
      <c r="BE263" s="770"/>
      <c r="BF263" s="302"/>
      <c r="BG263" s="302"/>
      <c r="BH263" s="770"/>
      <c r="BI263" s="770"/>
      <c r="BJ263" s="770"/>
      <c r="BK263" s="770"/>
      <c r="BL263" s="766"/>
      <c r="BM263" s="766" t="s">
        <v>1238</v>
      </c>
      <c r="BN263" s="766" t="s">
        <v>1256</v>
      </c>
      <c r="BO263" s="770"/>
      <c r="BP263" s="780"/>
      <c r="BQ263" s="772"/>
      <c r="BR263" s="774"/>
      <c r="BS263" s="766" t="s">
        <v>1257</v>
      </c>
      <c r="BT263" s="770"/>
      <c r="BU263" s="770"/>
      <c r="BV263" s="770"/>
      <c r="BW263" s="770"/>
      <c r="BX263" s="302"/>
      <c r="BY263" s="770"/>
      <c r="BZ263" s="302"/>
      <c r="CA263" s="770"/>
      <c r="CB263" s="770"/>
      <c r="CC263" s="770"/>
      <c r="CD263" s="770"/>
      <c r="CE263" s="770"/>
      <c r="CF263" s="770"/>
      <c r="CG263" s="770"/>
      <c r="CH263" s="770"/>
      <c r="CI263" s="770"/>
      <c r="CJ263" s="770"/>
      <c r="CK263" s="770"/>
      <c r="CL263" s="770"/>
      <c r="CM263" s="770"/>
      <c r="CN263" s="770"/>
      <c r="CO263" s="770"/>
      <c r="CP263" s="770"/>
      <c r="CQ263" s="770"/>
      <c r="CR263" s="302"/>
      <c r="CS263" s="770"/>
      <c r="CT263" s="770"/>
      <c r="CU263" s="305"/>
      <c r="CV263" s="770"/>
      <c r="CW263" s="770"/>
      <c r="CX263" s="770"/>
      <c r="CY263" s="770"/>
      <c r="CZ263" s="770"/>
      <c r="DA263" s="770"/>
      <c r="DB263" s="770"/>
      <c r="DC263" s="770"/>
      <c r="DD263" s="770"/>
      <c r="DE263" s="770"/>
      <c r="DF263" s="770"/>
      <c r="DG263" s="770"/>
      <c r="DH263" s="770"/>
      <c r="DI263" s="770"/>
      <c r="DJ263" s="770"/>
      <c r="DK263" s="770"/>
      <c r="DL263" s="770"/>
      <c r="DM263" s="770"/>
      <c r="DN263" s="770"/>
      <c r="DO263" s="770"/>
      <c r="DP263" s="770"/>
      <c r="DQ263" s="770"/>
      <c r="DR263" s="770"/>
      <c r="DS263" s="307"/>
      <c r="DT263" s="770"/>
      <c r="DU263" s="770"/>
      <c r="DV263" s="770"/>
      <c r="DW263" s="306"/>
      <c r="DX263" s="306"/>
      <c r="DY263" s="770"/>
      <c r="DZ263" s="770"/>
      <c r="EA263" s="770"/>
      <c r="EB263" s="770"/>
      <c r="EC263" s="770"/>
      <c r="ED263" s="770"/>
      <c r="EE263" s="770"/>
      <c r="EF263" s="770"/>
      <c r="EG263" s="770"/>
      <c r="EH263" s="770"/>
      <c r="EI263" s="770"/>
      <c r="EJ263" s="770"/>
      <c r="EK263" s="770"/>
      <c r="EL263" s="770"/>
      <c r="EM263" s="770"/>
      <c r="EN263" s="770"/>
      <c r="EO263" s="770"/>
      <c r="EP263" s="770"/>
      <c r="EQ263" s="770"/>
      <c r="ER263" s="770"/>
      <c r="ES263" s="770"/>
      <c r="ET263" s="770"/>
      <c r="EU263" s="770"/>
      <c r="EV263" s="770"/>
      <c r="EW263" s="770"/>
      <c r="EX263" s="770"/>
      <c r="EY263" s="770"/>
      <c r="EZ263" s="770"/>
      <c r="FA263" s="770"/>
      <c r="FB263" s="770"/>
      <c r="FC263" s="770"/>
      <c r="FD263" s="302"/>
      <c r="FE263" s="770"/>
      <c r="FF263" s="770"/>
      <c r="FG263" s="770"/>
      <c r="FH263" s="770" t="s">
        <v>1306</v>
      </c>
      <c r="FI263" s="770">
        <v>1</v>
      </c>
      <c r="FJ263" s="770" t="s">
        <v>1354</v>
      </c>
      <c r="FK263" s="298" t="s">
        <v>945</v>
      </c>
      <c r="FL263" s="770" t="s">
        <v>946</v>
      </c>
      <c r="FM263" s="147">
        <v>500</v>
      </c>
      <c r="FN263" s="302">
        <v>560</v>
      </c>
      <c r="FO263" s="302"/>
      <c r="FP263" s="766" t="s">
        <v>1602</v>
      </c>
      <c r="FQ263" s="766" t="s">
        <v>1660</v>
      </c>
      <c r="FR263" s="770"/>
      <c r="FS263" s="770"/>
      <c r="FT263" s="770"/>
      <c r="FU263" s="770"/>
      <c r="FV263" s="770"/>
      <c r="FW263" s="770"/>
      <c r="FX263" s="770"/>
      <c r="FY263" s="770"/>
      <c r="FZ263" s="770"/>
      <c r="GA263" s="770"/>
      <c r="GB263" s="770"/>
      <c r="GC263" s="308"/>
      <c r="GD263" s="297"/>
      <c r="GE263" s="770"/>
      <c r="GF263" s="302"/>
      <c r="GG263" s="302"/>
      <c r="GH263" s="770"/>
      <c r="GI263" s="770"/>
      <c r="GJ263" s="770"/>
      <c r="GK263" s="770"/>
      <c r="GL263" s="770"/>
      <c r="GM263" s="770"/>
      <c r="GN263" s="309"/>
      <c r="GO263" s="770"/>
      <c r="GP263" s="770"/>
      <c r="GQ263" s="770"/>
      <c r="GR263" s="770"/>
      <c r="GS263" s="770"/>
      <c r="GT263" s="770"/>
      <c r="GU263" s="770"/>
      <c r="GV263" s="770"/>
      <c r="GW263" s="770"/>
      <c r="GX263" s="770"/>
      <c r="GY263" s="770"/>
      <c r="GZ263" s="770"/>
      <c r="HA263" s="770"/>
      <c r="HB263" s="770"/>
      <c r="HC263" s="770"/>
      <c r="HD263" s="770"/>
      <c r="HE263" s="770"/>
      <c r="HF263" s="770"/>
      <c r="HG263" s="770"/>
      <c r="HH263" s="770"/>
      <c r="HI263" s="770"/>
      <c r="HJ263" s="770"/>
      <c r="HK263" s="770"/>
      <c r="HL263" s="770"/>
      <c r="HM263" s="770"/>
      <c r="HN263" s="770"/>
      <c r="HO263" s="770"/>
      <c r="HP263" s="770"/>
      <c r="HQ263" s="770"/>
      <c r="HR263" s="770"/>
      <c r="HS263" s="770"/>
      <c r="HT263" s="770"/>
      <c r="HU263" s="770"/>
      <c r="HV263" s="770"/>
      <c r="HW263" s="770"/>
      <c r="HX263" s="770"/>
      <c r="HY263" s="770"/>
      <c r="HZ263" s="770"/>
      <c r="IA263" s="770"/>
      <c r="IB263" s="14" t="e">
        <f>IF(#REF!&gt;0,IF(#REF!&lt;=10000,"Y",""),"")</f>
        <v>#REF!</v>
      </c>
      <c r="IC263" s="770" t="s">
        <v>1207</v>
      </c>
      <c r="ID263" s="770">
        <v>1</v>
      </c>
      <c r="IE263" s="770"/>
      <c r="IF263" s="770"/>
      <c r="IG263" s="770"/>
      <c r="IH263" s="770"/>
      <c r="II263" s="770"/>
      <c r="IJ263" s="770"/>
      <c r="IK263" s="770"/>
      <c r="IL263" s="770"/>
      <c r="IM263" s="770"/>
      <c r="IN263" s="770"/>
      <c r="IO263" s="296"/>
      <c r="IP263" s="770"/>
      <c r="IQ263" s="770"/>
      <c r="IR263" s="770"/>
      <c r="IS263" s="770"/>
      <c r="IT263" s="770"/>
      <c r="IU263" s="770"/>
      <c r="IV263" s="770"/>
      <c r="IW263" s="770"/>
      <c r="IX263" s="770"/>
      <c r="IY263" s="770"/>
      <c r="IZ263" s="770"/>
      <c r="JA263" s="770"/>
      <c r="JB263" s="770"/>
      <c r="JC263" s="770"/>
      <c r="JD263" s="302"/>
      <c r="JE263" s="770"/>
      <c r="JF263" s="770"/>
      <c r="JG263" s="770"/>
      <c r="JH263" s="770"/>
      <c r="JI263" s="712" t="str">
        <f t="shared" si="75"/>
        <v>ok</v>
      </c>
      <c r="JJ263" s="766">
        <v>1</v>
      </c>
      <c r="JK263" s="1139" t="s">
        <v>2091</v>
      </c>
      <c r="JL263" s="770"/>
      <c r="JM263" s="770"/>
      <c r="JN263" s="770"/>
      <c r="JO263" s="770"/>
      <c r="JP263" s="770"/>
      <c r="JQ263" s="770">
        <v>1</v>
      </c>
      <c r="JR263" s="770"/>
      <c r="JS263" s="770"/>
      <c r="JT263" s="766">
        <f>SUM(JP263,JN263,JL263,JR263)</f>
        <v>0</v>
      </c>
      <c r="JU263" s="766">
        <f>SUM(JQ263,JO263,JM263,JS263)</f>
        <v>1</v>
      </c>
      <c r="JV263" s="712" t="str">
        <f t="shared" si="76"/>
        <v>ok</v>
      </c>
      <c r="JW263" s="712" t="str">
        <f t="shared" si="77"/>
        <v>ok</v>
      </c>
      <c r="JX263" s="770"/>
      <c r="JY263" s="770"/>
      <c r="JZ263" s="770"/>
      <c r="KA263" s="770"/>
      <c r="KB263" s="770"/>
      <c r="KC263" s="770"/>
      <c r="KD263" s="770"/>
      <c r="KE263" s="770"/>
      <c r="KF263" s="770"/>
      <c r="KG263" s="770">
        <v>1</v>
      </c>
      <c r="KH263" s="770"/>
      <c r="KI263" s="770"/>
      <c r="KJ263" s="770">
        <f t="shared" si="58"/>
        <v>0</v>
      </c>
      <c r="KK263" s="770">
        <f t="shared" si="58"/>
        <v>1</v>
      </c>
      <c r="KL263" s="712" t="str">
        <f t="shared" si="78"/>
        <v>ok</v>
      </c>
      <c r="KM263" s="712" t="str">
        <f t="shared" si="79"/>
        <v>ok</v>
      </c>
      <c r="KN263" s="770" t="s">
        <v>768</v>
      </c>
      <c r="KO263" s="770"/>
      <c r="KP263" s="770"/>
      <c r="KQ263" s="770"/>
      <c r="KR263" s="770"/>
      <c r="KS263" s="770"/>
      <c r="KT263" s="770"/>
      <c r="KU263" s="770"/>
      <c r="KV263" s="770"/>
      <c r="KW263" s="770"/>
      <c r="KX263" s="770"/>
      <c r="KY263" s="770">
        <v>1</v>
      </c>
      <c r="KZ263" s="770"/>
      <c r="LA263" s="770"/>
      <c r="LB263" s="770"/>
      <c r="LC263" s="770"/>
      <c r="LD263" s="770"/>
      <c r="LE263" s="770"/>
      <c r="LF263" s="770"/>
      <c r="LG263" s="770"/>
      <c r="LH263" s="770"/>
      <c r="LI263" s="770"/>
      <c r="LJ263" s="770"/>
      <c r="LK263" s="770"/>
      <c r="LL263" s="770"/>
      <c r="LM263" s="770"/>
      <c r="LN263" s="766">
        <f t="shared" si="71"/>
        <v>0</v>
      </c>
      <c r="LO263" s="766">
        <f t="shared" si="71"/>
        <v>1</v>
      </c>
      <c r="LP263" s="770">
        <v>1</v>
      </c>
      <c r="LQ263" s="770"/>
      <c r="LR263" s="770"/>
      <c r="LS263" s="770">
        <v>1</v>
      </c>
      <c r="LT263" s="712" t="str">
        <f t="shared" si="80"/>
        <v>OK</v>
      </c>
      <c r="LU263" s="770"/>
      <c r="LV263" s="770"/>
      <c r="LW263" s="770"/>
      <c r="LX263" s="769">
        <v>2</v>
      </c>
      <c r="LY263" s="766" t="str">
        <f t="shared" ref="LY263:LY294" si="82">IF(ISBLANK(LX263)=TRUE,"",LOOKUP(LX263,RT:RU))</f>
        <v>within the MUNICIPALITY</v>
      </c>
      <c r="LZ263" s="299"/>
      <c r="MA263" s="1709"/>
      <c r="MB263" s="1709">
        <v>192</v>
      </c>
      <c r="MC263" s="1679">
        <f t="shared" si="70"/>
        <v>192</v>
      </c>
      <c r="MD263" s="1709"/>
      <c r="ME263" s="1709"/>
      <c r="MF263" s="1709">
        <v>6000</v>
      </c>
      <c r="MG263" s="1680">
        <f t="shared" si="81"/>
        <v>6000</v>
      </c>
      <c r="MH263" s="770" t="s">
        <v>2235</v>
      </c>
      <c r="MI263" s="302">
        <v>3000</v>
      </c>
      <c r="MJ263" s="302">
        <v>192</v>
      </c>
      <c r="MK263" s="302"/>
      <c r="ML263" s="302">
        <v>100</v>
      </c>
      <c r="MM263" s="302"/>
      <c r="MN263" s="302">
        <v>500</v>
      </c>
      <c r="MO263" s="302">
        <v>300</v>
      </c>
      <c r="MP263" s="302"/>
      <c r="MQ263" s="302">
        <v>280</v>
      </c>
      <c r="MR263" s="302">
        <v>560</v>
      </c>
      <c r="MS263" s="302"/>
      <c r="MT263" s="302"/>
      <c r="MU263" s="302"/>
      <c r="MV263" s="302"/>
      <c r="MW263" s="302"/>
      <c r="MX263" s="302"/>
      <c r="MY263" s="1682">
        <f t="shared" si="74"/>
        <v>4932</v>
      </c>
      <c r="MZ263" s="770" t="s">
        <v>13367</v>
      </c>
      <c r="NA263" s="770" t="s">
        <v>13065</v>
      </c>
      <c r="NB263" s="770" t="s">
        <v>13143</v>
      </c>
      <c r="NC263" s="770" t="s">
        <v>13135</v>
      </c>
      <c r="ND263" s="770">
        <v>0</v>
      </c>
      <c r="NE263" s="770">
        <v>0</v>
      </c>
      <c r="NF263" s="770">
        <v>0</v>
      </c>
      <c r="NG263" s="770">
        <v>0</v>
      </c>
      <c r="NH263" s="770">
        <v>0</v>
      </c>
      <c r="NI263" s="770">
        <v>1</v>
      </c>
      <c r="NJ263" s="770">
        <v>0</v>
      </c>
      <c r="NK263" s="770">
        <v>0</v>
      </c>
      <c r="NL263" s="770">
        <v>0</v>
      </c>
      <c r="NM263" s="770">
        <v>0</v>
      </c>
      <c r="NN263" s="770">
        <v>0</v>
      </c>
      <c r="NO263" s="770">
        <v>0</v>
      </c>
      <c r="NP263" s="770">
        <v>0</v>
      </c>
      <c r="NQ263" s="770">
        <v>0</v>
      </c>
      <c r="NR263" s="770">
        <v>0</v>
      </c>
      <c r="NS263" s="770">
        <v>0</v>
      </c>
      <c r="NT263" s="770">
        <v>0</v>
      </c>
      <c r="NU263" s="770">
        <v>0</v>
      </c>
      <c r="NV263" s="770">
        <v>0</v>
      </c>
      <c r="NW263" s="770">
        <v>0</v>
      </c>
      <c r="NX263" s="770">
        <v>0</v>
      </c>
      <c r="NY263" s="770" t="s">
        <v>1208</v>
      </c>
      <c r="NZ263" s="770"/>
      <c r="OA263" s="770"/>
      <c r="OB263" s="770" t="s">
        <v>1208</v>
      </c>
      <c r="OC263" s="770" t="s">
        <v>1208</v>
      </c>
      <c r="OD263" s="770"/>
      <c r="OE263" s="770"/>
      <c r="OF263" s="770" t="s">
        <v>13379</v>
      </c>
      <c r="OG263" s="770"/>
      <c r="OH263" s="770"/>
      <c r="OI263" s="770"/>
      <c r="OJ263" s="770"/>
      <c r="OK263" s="770"/>
      <c r="OL263" s="770"/>
      <c r="OM263" s="770"/>
      <c r="ON263" s="770"/>
      <c r="OO263" s="770"/>
      <c r="OP263" s="770"/>
      <c r="OQ263" s="770"/>
      <c r="OR263" s="770"/>
      <c r="OS263" s="770"/>
      <c r="OT263" s="770"/>
      <c r="OU263" s="770"/>
      <c r="OV263" s="770"/>
      <c r="OW263" s="770"/>
      <c r="OX263" s="770"/>
      <c r="OY263" s="770"/>
      <c r="OZ263" s="770"/>
      <c r="PA263" s="770"/>
      <c r="PB263" s="770"/>
      <c r="PC263" s="770"/>
      <c r="PD263" s="770"/>
      <c r="PE263" s="770"/>
      <c r="PF263" s="770"/>
      <c r="PG263" s="770"/>
      <c r="PH263" s="770"/>
      <c r="PI263" s="770"/>
      <c r="PJ263" s="770"/>
      <c r="PK263" s="770"/>
      <c r="PL263" s="770"/>
      <c r="PM263" s="770" t="s">
        <v>1208</v>
      </c>
      <c r="PN263" s="770"/>
      <c r="PO263" s="770"/>
      <c r="PP263" s="770"/>
      <c r="PQ263" s="770"/>
      <c r="PR263" s="770"/>
      <c r="PS263" s="770"/>
      <c r="PT263" s="770"/>
      <c r="PU263" s="770"/>
      <c r="PV263" s="770"/>
      <c r="PW263" s="770"/>
      <c r="PX263" s="770"/>
      <c r="PY263" s="770"/>
      <c r="PZ263" s="770"/>
      <c r="QA263" s="770"/>
      <c r="QB263" s="770"/>
      <c r="QC263" s="770"/>
      <c r="QD263" s="770"/>
      <c r="QE263" s="770"/>
      <c r="QF263" s="770"/>
      <c r="QG263" s="770"/>
      <c r="QH263" s="770"/>
      <c r="QI263" s="770"/>
      <c r="QJ263" s="770"/>
      <c r="QK263" s="770"/>
      <c r="QL263" s="770"/>
      <c r="QM263" s="770"/>
      <c r="QN263" s="770"/>
      <c r="QO263" s="770"/>
      <c r="QP263" s="770"/>
      <c r="QQ263" s="770"/>
      <c r="QR263" s="770"/>
      <c r="QS263" s="770"/>
      <c r="QT263" s="770"/>
      <c r="QU263" s="770"/>
      <c r="QV263" s="770"/>
      <c r="QW263" s="770"/>
      <c r="QX263" s="770"/>
      <c r="QY263" s="770"/>
      <c r="QZ263" s="770"/>
      <c r="RA263" s="770"/>
      <c r="RB263" s="770" t="s">
        <v>1207</v>
      </c>
      <c r="RC263" s="770">
        <v>2016</v>
      </c>
      <c r="RD263" s="770" t="s">
        <v>1217</v>
      </c>
      <c r="RE263" s="770" t="s">
        <v>12999</v>
      </c>
      <c r="RF263" s="304">
        <f>CONVERT(3,"in","m")</f>
        <v>7.6200000000000004E-2</v>
      </c>
      <c r="RG263" s="770" t="s">
        <v>13037</v>
      </c>
      <c r="RH263" s="302">
        <v>0</v>
      </c>
      <c r="RI263" s="770">
        <v>1</v>
      </c>
      <c r="RJ263" s="770" t="s">
        <v>13380</v>
      </c>
      <c r="RK263" s="770" t="s">
        <v>13381</v>
      </c>
      <c r="RL263" s="1710"/>
      <c r="RM263" s="12"/>
      <c r="RN263" s="1711"/>
      <c r="RO263" s="140" t="s">
        <v>444</v>
      </c>
      <c r="RP263" s="11"/>
      <c r="RQ263" s="11"/>
      <c r="RR263" s="311" t="s">
        <v>12452</v>
      </c>
      <c r="RS263" s="1139" t="s">
        <v>12980</v>
      </c>
      <c r="RT263" s="11"/>
      <c r="RU263" s="11"/>
      <c r="RV263" s="771" t="s">
        <v>7421</v>
      </c>
      <c r="RW263" s="11" t="s">
        <v>11855</v>
      </c>
      <c r="RX263" s="11" t="s">
        <v>443</v>
      </c>
      <c r="RY263" s="11"/>
      <c r="RZ263" s="11"/>
      <c r="SA263" s="771"/>
      <c r="SB263" s="11"/>
      <c r="SC263" s="11"/>
    </row>
    <row r="264" spans="1:497" ht="12.75" customHeight="1">
      <c r="A264" s="311" t="s">
        <v>12452</v>
      </c>
      <c r="B264" s="292" t="s">
        <v>5586</v>
      </c>
      <c r="C264" s="140" t="s">
        <v>444</v>
      </c>
      <c r="D264" s="770" t="s">
        <v>953</v>
      </c>
      <c r="E264" s="766" t="s">
        <v>446</v>
      </c>
      <c r="F264" s="770" t="s">
        <v>28</v>
      </c>
      <c r="G264" s="770" t="s">
        <v>18</v>
      </c>
      <c r="H264" s="770"/>
      <c r="I264" s="295"/>
      <c r="J264" s="770"/>
      <c r="K264" s="770"/>
      <c r="L264" s="770"/>
      <c r="M264" s="770"/>
      <c r="N264" s="770"/>
      <c r="O264" s="770"/>
      <c r="P264" s="94" t="s">
        <v>953</v>
      </c>
      <c r="Q264" s="1088"/>
      <c r="R264" s="297"/>
      <c r="S264" s="766" t="s">
        <v>18</v>
      </c>
      <c r="T264" s="770"/>
      <c r="U264" s="298"/>
      <c r="V264" s="770" t="s">
        <v>719</v>
      </c>
      <c r="W264" s="770"/>
      <c r="X264" s="296"/>
      <c r="Y264" s="770"/>
      <c r="Z264" s="770"/>
      <c r="AA264" s="770"/>
      <c r="AB264" s="770"/>
      <c r="AC264" s="770"/>
      <c r="AD264" s="770"/>
      <c r="AE264" s="770"/>
      <c r="AF264" s="770"/>
      <c r="AG264" s="770"/>
      <c r="AH264" s="770"/>
      <c r="AI264" s="770"/>
      <c r="AJ264" s="770"/>
      <c r="AK264" s="770" t="s">
        <v>1101</v>
      </c>
      <c r="AL264" s="299"/>
      <c r="AM264" s="300"/>
      <c r="AN264" s="301"/>
      <c r="AO264" s="766"/>
      <c r="AP264" s="766"/>
      <c r="AQ264" s="766"/>
      <c r="AR264" s="766"/>
      <c r="AS264" s="770"/>
      <c r="AT264" s="770"/>
      <c r="AU264" s="770"/>
      <c r="AV264" s="770"/>
      <c r="AW264" s="770"/>
      <c r="AX264" s="770"/>
      <c r="AY264" s="770"/>
      <c r="AZ264" s="770"/>
      <c r="BA264" s="770"/>
      <c r="BB264" s="770"/>
      <c r="BC264" s="770"/>
      <c r="BD264" s="770"/>
      <c r="BE264" s="770"/>
      <c r="BF264" s="302"/>
      <c r="BG264" s="302"/>
      <c r="BH264" s="770"/>
      <c r="BI264" s="770"/>
      <c r="BJ264" s="770"/>
      <c r="BK264" s="770"/>
      <c r="BL264" s="766"/>
      <c r="BM264" s="766" t="s">
        <v>1238</v>
      </c>
      <c r="BN264" s="766" t="s">
        <v>1256</v>
      </c>
      <c r="BO264" s="770"/>
      <c r="BP264" s="780"/>
      <c r="BQ264" s="772"/>
      <c r="BR264" s="774"/>
      <c r="BS264" s="766" t="s">
        <v>1257</v>
      </c>
      <c r="BT264" s="770"/>
      <c r="BU264" s="770"/>
      <c r="BV264" s="770"/>
      <c r="BW264" s="770"/>
      <c r="BX264" s="302"/>
      <c r="BY264" s="770"/>
      <c r="BZ264" s="302"/>
      <c r="CA264" s="770"/>
      <c r="CB264" s="770"/>
      <c r="CC264" s="770"/>
      <c r="CD264" s="770"/>
      <c r="CE264" s="770"/>
      <c r="CF264" s="770"/>
      <c r="CG264" s="770"/>
      <c r="CH264" s="770"/>
      <c r="CI264" s="770"/>
      <c r="CJ264" s="770"/>
      <c r="CK264" s="770"/>
      <c r="CL264" s="770"/>
      <c r="CM264" s="770"/>
      <c r="CN264" s="770"/>
      <c r="CO264" s="770"/>
      <c r="CP264" s="770"/>
      <c r="CQ264" s="770"/>
      <c r="CR264" s="302"/>
      <c r="CS264" s="770"/>
      <c r="CT264" s="770"/>
      <c r="CU264" s="305"/>
      <c r="CV264" s="770"/>
      <c r="CW264" s="770"/>
      <c r="CX264" s="770"/>
      <c r="CY264" s="770"/>
      <c r="CZ264" s="770"/>
      <c r="DA264" s="770"/>
      <c r="DB264" s="770"/>
      <c r="DC264" s="770"/>
      <c r="DD264" s="770"/>
      <c r="DE264" s="770"/>
      <c r="DF264" s="770"/>
      <c r="DG264" s="770"/>
      <c r="DH264" s="770"/>
      <c r="DI264" s="770"/>
      <c r="DJ264" s="770"/>
      <c r="DK264" s="770"/>
      <c r="DL264" s="770"/>
      <c r="DM264" s="770"/>
      <c r="DN264" s="770"/>
      <c r="DO264" s="770"/>
      <c r="DP264" s="770"/>
      <c r="DQ264" s="770"/>
      <c r="DR264" s="770"/>
      <c r="DS264" s="307"/>
      <c r="DT264" s="770"/>
      <c r="DU264" s="770"/>
      <c r="DV264" s="770"/>
      <c r="DW264" s="306"/>
      <c r="DX264" s="306"/>
      <c r="DY264" s="770"/>
      <c r="DZ264" s="770"/>
      <c r="EA264" s="770"/>
      <c r="EB264" s="770"/>
      <c r="EC264" s="770"/>
      <c r="ED264" s="770"/>
      <c r="EE264" s="770"/>
      <c r="EF264" s="770"/>
      <c r="EG264" s="770"/>
      <c r="EH264" s="770"/>
      <c r="EI264" s="770"/>
      <c r="EJ264" s="770"/>
      <c r="EK264" s="770"/>
      <c r="EL264" s="770"/>
      <c r="EM264" s="770"/>
      <c r="EN264" s="770"/>
      <c r="EO264" s="770"/>
      <c r="EP264" s="770"/>
      <c r="EQ264" s="770"/>
      <c r="ER264" s="770"/>
      <c r="ES264" s="770"/>
      <c r="ET264" s="770"/>
      <c r="EU264" s="770"/>
      <c r="EV264" s="770"/>
      <c r="EW264" s="770"/>
      <c r="EX264" s="770"/>
      <c r="EY264" s="770"/>
      <c r="EZ264" s="770"/>
      <c r="FA264" s="770"/>
      <c r="FB264" s="770"/>
      <c r="FC264" s="770"/>
      <c r="FD264" s="302"/>
      <c r="FE264" s="770"/>
      <c r="FF264" s="770"/>
      <c r="FG264" s="770"/>
      <c r="FH264" s="770" t="s">
        <v>1306</v>
      </c>
      <c r="FI264" s="770">
        <v>1</v>
      </c>
      <c r="FJ264" s="770" t="s">
        <v>1354</v>
      </c>
      <c r="FK264" s="298" t="s">
        <v>945</v>
      </c>
      <c r="FL264" s="770" t="s">
        <v>946</v>
      </c>
      <c r="FM264" s="147">
        <v>1800</v>
      </c>
      <c r="FN264" s="302">
        <f>20*30</f>
        <v>600</v>
      </c>
      <c r="FO264" s="302">
        <f>100*4</f>
        <v>400</v>
      </c>
      <c r="FP264" s="766" t="s">
        <v>1602</v>
      </c>
      <c r="FQ264" s="766" t="s">
        <v>1660</v>
      </c>
      <c r="FR264" s="770"/>
      <c r="FS264" s="770"/>
      <c r="FT264" s="770"/>
      <c r="FU264" s="770"/>
      <c r="FV264" s="770"/>
      <c r="FW264" s="770"/>
      <c r="FX264" s="770"/>
      <c r="FY264" s="770"/>
      <c r="FZ264" s="770"/>
      <c r="GA264" s="770"/>
      <c r="GB264" s="770"/>
      <c r="GC264" s="308"/>
      <c r="GD264" s="297"/>
      <c r="GE264" s="770"/>
      <c r="GF264" s="302"/>
      <c r="GG264" s="302"/>
      <c r="GH264" s="770"/>
      <c r="GI264" s="770"/>
      <c r="GJ264" s="770"/>
      <c r="GK264" s="770"/>
      <c r="GL264" s="770"/>
      <c r="GM264" s="770"/>
      <c r="GN264" s="309"/>
      <c r="GO264" s="770"/>
      <c r="GP264" s="770"/>
      <c r="GQ264" s="770"/>
      <c r="GR264" s="770"/>
      <c r="GS264" s="770"/>
      <c r="GT264" s="770"/>
      <c r="GU264" s="770"/>
      <c r="GV264" s="770"/>
      <c r="GW264" s="770"/>
      <c r="GX264" s="770"/>
      <c r="GY264" s="770"/>
      <c r="GZ264" s="770"/>
      <c r="HA264" s="770"/>
      <c r="HB264" s="770"/>
      <c r="HC264" s="770"/>
      <c r="HD264" s="770"/>
      <c r="HE264" s="770"/>
      <c r="HF264" s="770"/>
      <c r="HG264" s="770"/>
      <c r="HH264" s="770"/>
      <c r="HI264" s="770"/>
      <c r="HJ264" s="770"/>
      <c r="HK264" s="770"/>
      <c r="HL264" s="770"/>
      <c r="HM264" s="770"/>
      <c r="HN264" s="770"/>
      <c r="HO264" s="770"/>
      <c r="HP264" s="770"/>
      <c r="HQ264" s="770"/>
      <c r="HR264" s="770"/>
      <c r="HS264" s="770"/>
      <c r="HT264" s="770"/>
      <c r="HU264" s="770"/>
      <c r="HV264" s="770"/>
      <c r="HW264" s="770"/>
      <c r="HX264" s="770"/>
      <c r="HY264" s="770"/>
      <c r="HZ264" s="770"/>
      <c r="IA264" s="770"/>
      <c r="IB264" s="14" t="e">
        <f>IF(#REF!&gt;0,IF(#REF!&lt;=10000,"Y",""),"")</f>
        <v>#REF!</v>
      </c>
      <c r="IC264" s="770" t="s">
        <v>1207</v>
      </c>
      <c r="ID264" s="770"/>
      <c r="IE264" s="770"/>
      <c r="IF264" s="770"/>
      <c r="IG264" s="770"/>
      <c r="IH264" s="770"/>
      <c r="II264" s="770"/>
      <c r="IJ264" s="770"/>
      <c r="IK264" s="770"/>
      <c r="IL264" s="770"/>
      <c r="IM264" s="770"/>
      <c r="IN264" s="770"/>
      <c r="IO264" s="296"/>
      <c r="IP264" s="770"/>
      <c r="IQ264" s="770"/>
      <c r="IR264" s="770"/>
      <c r="IS264" s="770"/>
      <c r="IT264" s="770"/>
      <c r="IU264" s="770"/>
      <c r="IV264" s="770"/>
      <c r="IW264" s="770"/>
      <c r="IX264" s="770"/>
      <c r="IY264" s="770"/>
      <c r="IZ264" s="770"/>
      <c r="JA264" s="770"/>
      <c r="JB264" s="770"/>
      <c r="JC264" s="770"/>
      <c r="JD264" s="302"/>
      <c r="JE264" s="770"/>
      <c r="JF264" s="770"/>
      <c r="JG264" s="770"/>
      <c r="JH264" s="770"/>
      <c r="JI264" s="712" t="str">
        <f t="shared" si="75"/>
        <v>ok</v>
      </c>
      <c r="JJ264" s="766"/>
      <c r="JK264" s="1139" t="s">
        <v>13382</v>
      </c>
      <c r="JL264" s="766"/>
      <c r="JM264" s="766"/>
      <c r="JN264" s="766"/>
      <c r="JO264" s="766"/>
      <c r="JP264" s="766"/>
      <c r="JQ264" s="766"/>
      <c r="JR264" s="766"/>
      <c r="JS264" s="766"/>
      <c r="JT264" s="766"/>
      <c r="JU264" s="766"/>
      <c r="JV264" s="712" t="str">
        <f t="shared" si="76"/>
        <v>ok</v>
      </c>
      <c r="JW264" s="712" t="str">
        <f t="shared" si="77"/>
        <v>ok</v>
      </c>
      <c r="JX264" s="770"/>
      <c r="JY264" s="770"/>
      <c r="JZ264" s="770"/>
      <c r="KA264" s="770"/>
      <c r="KB264" s="770"/>
      <c r="KC264" s="770"/>
      <c r="KD264" s="770"/>
      <c r="KE264" s="770"/>
      <c r="KF264" s="770"/>
      <c r="KG264" s="770"/>
      <c r="KH264" s="770"/>
      <c r="KI264" s="770"/>
      <c r="KJ264" s="766"/>
      <c r="KK264" s="770"/>
      <c r="KL264" s="712" t="str">
        <f t="shared" si="78"/>
        <v>ok</v>
      </c>
      <c r="KM264" s="712" t="str">
        <f t="shared" si="79"/>
        <v>ok</v>
      </c>
      <c r="KN264" s="770" t="s">
        <v>719</v>
      </c>
      <c r="KO264" s="770"/>
      <c r="KP264" s="770"/>
      <c r="KQ264" s="770"/>
      <c r="KR264" s="770"/>
      <c r="KS264" s="770"/>
      <c r="KT264" s="770"/>
      <c r="KU264" s="770"/>
      <c r="KV264" s="770"/>
      <c r="KW264" s="770"/>
      <c r="KX264" s="770"/>
      <c r="KY264" s="770"/>
      <c r="KZ264" s="770"/>
      <c r="LA264" s="770"/>
      <c r="LB264" s="770"/>
      <c r="LC264" s="770"/>
      <c r="LD264" s="770"/>
      <c r="LE264" s="770"/>
      <c r="LF264" s="770"/>
      <c r="LG264" s="770"/>
      <c r="LH264" s="770"/>
      <c r="LI264" s="770"/>
      <c r="LJ264" s="770"/>
      <c r="LK264" s="770"/>
      <c r="LL264" s="770"/>
      <c r="LM264" s="770"/>
      <c r="LN264" s="766"/>
      <c r="LO264" s="766"/>
      <c r="LP264" s="770"/>
      <c r="LQ264" s="770"/>
      <c r="LR264" s="770"/>
      <c r="LS264" s="770"/>
      <c r="LT264" s="712" t="str">
        <f t="shared" si="80"/>
        <v>OK</v>
      </c>
      <c r="LU264" s="770"/>
      <c r="LV264" s="770"/>
      <c r="LW264" s="770"/>
      <c r="LX264" s="769"/>
      <c r="LY264" s="766" t="str">
        <f t="shared" si="82"/>
        <v/>
      </c>
      <c r="LZ264" s="299"/>
      <c r="MA264" s="1709"/>
      <c r="MB264" s="1709"/>
      <c r="MC264" s="1679">
        <f t="shared" si="70"/>
        <v>0</v>
      </c>
      <c r="MD264" s="1709"/>
      <c r="ME264" s="1709"/>
      <c r="MF264" s="1709"/>
      <c r="MG264" s="1680">
        <v>0</v>
      </c>
      <c r="MH264" s="770"/>
      <c r="MI264" s="302"/>
      <c r="MJ264" s="302"/>
      <c r="MK264" s="302"/>
      <c r="ML264" s="302"/>
      <c r="MM264" s="302"/>
      <c r="MN264" s="302"/>
      <c r="MO264" s="302"/>
      <c r="MP264" s="302"/>
      <c r="MQ264" s="302"/>
      <c r="MR264" s="302"/>
      <c r="MS264" s="302"/>
      <c r="MT264" s="302"/>
      <c r="MU264" s="302"/>
      <c r="MV264" s="302"/>
      <c r="MW264" s="302"/>
      <c r="MX264" s="302"/>
      <c r="MY264" s="1682"/>
      <c r="MZ264" s="770"/>
      <c r="NA264" s="770"/>
      <c r="NB264" s="770"/>
      <c r="NC264" s="770"/>
      <c r="ND264" s="770"/>
      <c r="NE264" s="770"/>
      <c r="NF264" s="770"/>
      <c r="NG264" s="770"/>
      <c r="NH264" s="770"/>
      <c r="NI264" s="770"/>
      <c r="NJ264" s="770"/>
      <c r="NK264" s="770"/>
      <c r="NL264" s="770"/>
      <c r="NM264" s="770"/>
      <c r="NN264" s="770"/>
      <c r="NO264" s="770"/>
      <c r="NP264" s="770"/>
      <c r="NQ264" s="770"/>
      <c r="NR264" s="770"/>
      <c r="NS264" s="770"/>
      <c r="NT264" s="770"/>
      <c r="NU264" s="770"/>
      <c r="NV264" s="770"/>
      <c r="NW264" s="770"/>
      <c r="NX264" s="770"/>
      <c r="NY264" s="770"/>
      <c r="NZ264" s="770"/>
      <c r="OA264" s="770"/>
      <c r="OB264" s="770"/>
      <c r="OC264" s="770"/>
      <c r="OD264" s="770"/>
      <c r="OE264" s="770"/>
      <c r="OF264" s="770"/>
      <c r="OG264" s="770"/>
      <c r="OH264" s="770"/>
      <c r="OI264" s="770"/>
      <c r="OJ264" s="770"/>
      <c r="OK264" s="770"/>
      <c r="OL264" s="770"/>
      <c r="OM264" s="770"/>
      <c r="ON264" s="770"/>
      <c r="OO264" s="770"/>
      <c r="OP264" s="770"/>
      <c r="OQ264" s="770"/>
      <c r="OR264" s="770"/>
      <c r="OS264" s="770"/>
      <c r="OT264" s="770"/>
      <c r="OU264" s="770"/>
      <c r="OV264" s="770"/>
      <c r="OW264" s="770"/>
      <c r="OX264" s="770"/>
      <c r="OY264" s="770"/>
      <c r="OZ264" s="770"/>
      <c r="PA264" s="770"/>
      <c r="PB264" s="770"/>
      <c r="PC264" s="770"/>
      <c r="PD264" s="770"/>
      <c r="PE264" s="770"/>
      <c r="PF264" s="770"/>
      <c r="PG264" s="770"/>
      <c r="PH264" s="770"/>
      <c r="PI264" s="770"/>
      <c r="PJ264" s="770"/>
      <c r="PK264" s="770"/>
      <c r="PL264" s="770"/>
      <c r="PM264" s="770"/>
      <c r="PN264" s="770"/>
      <c r="PO264" s="770"/>
      <c r="PP264" s="770"/>
      <c r="PQ264" s="770"/>
      <c r="PR264" s="770"/>
      <c r="PS264" s="770"/>
      <c r="PT264" s="770"/>
      <c r="PU264" s="770"/>
      <c r="PV264" s="770"/>
      <c r="PW264" s="770"/>
      <c r="PX264" s="770"/>
      <c r="PY264" s="770"/>
      <c r="PZ264" s="770"/>
      <c r="QA264" s="770"/>
      <c r="QB264" s="770"/>
      <c r="QC264" s="770"/>
      <c r="QD264" s="770"/>
      <c r="QE264" s="770"/>
      <c r="QF264" s="770"/>
      <c r="QG264" s="770"/>
      <c r="QH264" s="770"/>
      <c r="QI264" s="770"/>
      <c r="QJ264" s="770"/>
      <c r="QK264" s="770"/>
      <c r="QL264" s="770"/>
      <c r="QM264" s="770"/>
      <c r="QN264" s="770"/>
      <c r="QO264" s="770"/>
      <c r="QP264" s="770"/>
      <c r="QQ264" s="770"/>
      <c r="QR264" s="770"/>
      <c r="QS264" s="770"/>
      <c r="QT264" s="770"/>
      <c r="QU264" s="770"/>
      <c r="QV264" s="770"/>
      <c r="QW264" s="770"/>
      <c r="QX264" s="770"/>
      <c r="QY264" s="770"/>
      <c r="QZ264" s="770"/>
      <c r="RA264" s="770"/>
      <c r="RB264" s="770"/>
      <c r="RC264" s="770"/>
      <c r="RD264" s="770"/>
      <c r="RE264" s="770"/>
      <c r="RF264" s="304"/>
      <c r="RG264" s="770"/>
      <c r="RH264" s="302"/>
      <c r="RI264" s="770"/>
      <c r="RJ264" s="770" t="s">
        <v>13382</v>
      </c>
      <c r="RK264" s="770" t="s">
        <v>13378</v>
      </c>
      <c r="RL264" s="1710">
        <v>42818</v>
      </c>
      <c r="RM264" s="12"/>
      <c r="RN264" s="1711"/>
      <c r="RO264" s="140" t="s">
        <v>444</v>
      </c>
      <c r="RP264" s="11"/>
      <c r="RQ264" s="11"/>
      <c r="RR264" s="311" t="s">
        <v>12452</v>
      </c>
      <c r="RS264" s="1139" t="s">
        <v>12980</v>
      </c>
      <c r="RT264" s="11"/>
      <c r="RU264" s="11"/>
      <c r="RV264" s="771" t="s">
        <v>7421</v>
      </c>
      <c r="RW264" s="11" t="s">
        <v>7610</v>
      </c>
      <c r="RX264" s="11" t="s">
        <v>444</v>
      </c>
      <c r="RY264" s="11"/>
      <c r="RZ264" s="11"/>
      <c r="SA264" s="771"/>
      <c r="SB264" s="11"/>
      <c r="SC264" s="11"/>
    </row>
    <row r="265" spans="1:497" ht="12.75" customHeight="1">
      <c r="A265" s="311" t="s">
        <v>12452</v>
      </c>
      <c r="B265" s="292" t="s">
        <v>5587</v>
      </c>
      <c r="C265" s="140" t="s">
        <v>444</v>
      </c>
      <c r="D265" s="770" t="s">
        <v>954</v>
      </c>
      <c r="E265" s="766" t="s">
        <v>7249</v>
      </c>
      <c r="F265" s="770" t="s">
        <v>28</v>
      </c>
      <c r="G265" s="770" t="s">
        <v>10</v>
      </c>
      <c r="H265" s="770"/>
      <c r="I265" s="295" t="s">
        <v>955</v>
      </c>
      <c r="J265" s="770" t="s">
        <v>954</v>
      </c>
      <c r="K265" s="770"/>
      <c r="L265" s="770"/>
      <c r="M265" s="770"/>
      <c r="N265" s="770"/>
      <c r="O265" s="770"/>
      <c r="P265" s="94" t="s">
        <v>954</v>
      </c>
      <c r="Q265" s="1088">
        <v>30590</v>
      </c>
      <c r="R265" s="297">
        <v>34</v>
      </c>
      <c r="S265" s="770" t="s">
        <v>10</v>
      </c>
      <c r="T265" s="770"/>
      <c r="U265" s="298" t="s">
        <v>955</v>
      </c>
      <c r="V265" s="770" t="s">
        <v>722</v>
      </c>
      <c r="W265" s="770"/>
      <c r="X265" s="296"/>
      <c r="Y265" s="770" t="s">
        <v>956</v>
      </c>
      <c r="Z265" s="770" t="s">
        <v>708</v>
      </c>
      <c r="AA265" s="770" t="s">
        <v>739</v>
      </c>
      <c r="AB265" s="770"/>
      <c r="AC265" s="770"/>
      <c r="AD265" s="770" t="s">
        <v>711</v>
      </c>
      <c r="AE265" s="770"/>
      <c r="AF265" s="770" t="s">
        <v>798</v>
      </c>
      <c r="AG265" s="770"/>
      <c r="AH265" s="770"/>
      <c r="AI265" s="770"/>
      <c r="AJ265" s="770"/>
      <c r="AK265" s="770" t="s">
        <v>1101</v>
      </c>
      <c r="AL265" s="299"/>
      <c r="AM265" s="300"/>
      <c r="AN265" s="301"/>
      <c r="AO265" s="766"/>
      <c r="AP265" s="766"/>
      <c r="AQ265" s="766"/>
      <c r="AR265" s="766"/>
      <c r="AS265" s="770"/>
      <c r="AT265" s="770"/>
      <c r="AU265" s="770"/>
      <c r="AV265" s="770"/>
      <c r="AW265" s="770"/>
      <c r="AX265" s="770"/>
      <c r="AY265" s="770"/>
      <c r="AZ265" s="770"/>
      <c r="BA265" s="770"/>
      <c r="BB265" s="770"/>
      <c r="BC265" s="770"/>
      <c r="BD265" s="770"/>
      <c r="BE265" s="770"/>
      <c r="BF265" s="302"/>
      <c r="BG265" s="302"/>
      <c r="BH265" s="770"/>
      <c r="BI265" s="770"/>
      <c r="BJ265" s="770"/>
      <c r="BK265" s="770"/>
      <c r="BL265" s="766"/>
      <c r="BM265" s="766" t="s">
        <v>1238</v>
      </c>
      <c r="BN265" s="766" t="s">
        <v>1256</v>
      </c>
      <c r="BO265" s="770"/>
      <c r="BP265" s="780"/>
      <c r="BQ265" s="772"/>
      <c r="BR265" s="774"/>
      <c r="BS265" s="766" t="s">
        <v>1257</v>
      </c>
      <c r="BT265" s="770"/>
      <c r="BU265" s="770"/>
      <c r="BV265" s="770"/>
      <c r="BW265" s="770"/>
      <c r="BX265" s="302"/>
      <c r="BY265" s="770"/>
      <c r="BZ265" s="302"/>
      <c r="CA265" s="770"/>
      <c r="CB265" s="770"/>
      <c r="CC265" s="770"/>
      <c r="CD265" s="770"/>
      <c r="CE265" s="770"/>
      <c r="CF265" s="770"/>
      <c r="CG265" s="770"/>
      <c r="CH265" s="770"/>
      <c r="CI265" s="770"/>
      <c r="CJ265" s="770"/>
      <c r="CK265" s="770"/>
      <c r="CL265" s="770"/>
      <c r="CM265" s="770"/>
      <c r="CN265" s="770"/>
      <c r="CO265" s="770"/>
      <c r="CP265" s="770"/>
      <c r="CQ265" s="770"/>
      <c r="CR265" s="302"/>
      <c r="CS265" s="770"/>
      <c r="CT265" s="770"/>
      <c r="CU265" s="305"/>
      <c r="CV265" s="770"/>
      <c r="CW265" s="770"/>
      <c r="CX265" s="770"/>
      <c r="CY265" s="770"/>
      <c r="CZ265" s="770"/>
      <c r="DA265" s="770"/>
      <c r="DB265" s="770"/>
      <c r="DC265" s="770"/>
      <c r="DD265" s="770"/>
      <c r="DE265" s="770"/>
      <c r="DF265" s="770"/>
      <c r="DG265" s="770"/>
      <c r="DH265" s="770"/>
      <c r="DI265" s="770"/>
      <c r="DJ265" s="770"/>
      <c r="DK265" s="770"/>
      <c r="DL265" s="770"/>
      <c r="DM265" s="770"/>
      <c r="DN265" s="770"/>
      <c r="DO265" s="770"/>
      <c r="DP265" s="770"/>
      <c r="DQ265" s="770"/>
      <c r="DR265" s="770"/>
      <c r="DS265" s="307"/>
      <c r="DT265" s="770"/>
      <c r="DU265" s="770"/>
      <c r="DV265" s="770"/>
      <c r="DW265" s="306"/>
      <c r="DX265" s="306"/>
      <c r="DY265" s="770"/>
      <c r="DZ265" s="770"/>
      <c r="EA265" s="770"/>
      <c r="EB265" s="770"/>
      <c r="EC265" s="770"/>
      <c r="ED265" s="770"/>
      <c r="EE265" s="770"/>
      <c r="EF265" s="770"/>
      <c r="EG265" s="770"/>
      <c r="EH265" s="770"/>
      <c r="EI265" s="770"/>
      <c r="EJ265" s="770"/>
      <c r="EK265" s="770"/>
      <c r="EL265" s="770"/>
      <c r="EM265" s="770"/>
      <c r="EN265" s="770"/>
      <c r="EO265" s="770"/>
      <c r="EP265" s="770"/>
      <c r="EQ265" s="770"/>
      <c r="ER265" s="770"/>
      <c r="ES265" s="770"/>
      <c r="ET265" s="770"/>
      <c r="EU265" s="770"/>
      <c r="EV265" s="770"/>
      <c r="EW265" s="770"/>
      <c r="EX265" s="770"/>
      <c r="EY265" s="770"/>
      <c r="EZ265" s="770"/>
      <c r="FA265" s="770"/>
      <c r="FB265" s="770"/>
      <c r="FC265" s="770"/>
      <c r="FD265" s="302"/>
      <c r="FE265" s="770"/>
      <c r="FF265" s="770"/>
      <c r="FG265" s="770"/>
      <c r="FH265" s="770" t="s">
        <v>1306</v>
      </c>
      <c r="FI265" s="770">
        <v>1</v>
      </c>
      <c r="FJ265" s="770" t="s">
        <v>1354</v>
      </c>
      <c r="FK265" s="298" t="s">
        <v>945</v>
      </c>
      <c r="FL265" s="770" t="s">
        <v>946</v>
      </c>
      <c r="FM265" s="147">
        <v>700</v>
      </c>
      <c r="FN265" s="302">
        <f>90*4</f>
        <v>360</v>
      </c>
      <c r="FO265" s="302">
        <f>50*4</f>
        <v>200</v>
      </c>
      <c r="FP265" s="766" t="s">
        <v>1602</v>
      </c>
      <c r="FQ265" s="766" t="s">
        <v>1660</v>
      </c>
      <c r="FR265" s="770"/>
      <c r="FS265" s="770"/>
      <c r="FT265" s="770"/>
      <c r="FU265" s="770"/>
      <c r="FV265" s="770"/>
      <c r="FW265" s="770"/>
      <c r="FX265" s="770"/>
      <c r="FY265" s="770"/>
      <c r="FZ265" s="770"/>
      <c r="GA265" s="770"/>
      <c r="GB265" s="770"/>
      <c r="GC265" s="308"/>
      <c r="GD265" s="297"/>
      <c r="GE265" s="770"/>
      <c r="GF265" s="302"/>
      <c r="GG265" s="302"/>
      <c r="GH265" s="770"/>
      <c r="GI265" s="770"/>
      <c r="GJ265" s="770"/>
      <c r="GK265" s="770"/>
      <c r="GL265" s="770"/>
      <c r="GM265" s="770"/>
      <c r="GN265" s="309"/>
      <c r="GO265" s="770"/>
      <c r="GP265" s="770"/>
      <c r="GQ265" s="770"/>
      <c r="GR265" s="770"/>
      <c r="GS265" s="770"/>
      <c r="GT265" s="770"/>
      <c r="GU265" s="770"/>
      <c r="GV265" s="770"/>
      <c r="GW265" s="770"/>
      <c r="GX265" s="770"/>
      <c r="GY265" s="770"/>
      <c r="GZ265" s="770"/>
      <c r="HA265" s="770"/>
      <c r="HB265" s="770"/>
      <c r="HC265" s="770"/>
      <c r="HD265" s="770"/>
      <c r="HE265" s="770"/>
      <c r="HF265" s="770"/>
      <c r="HG265" s="770"/>
      <c r="HH265" s="770"/>
      <c r="HI265" s="770"/>
      <c r="HJ265" s="770"/>
      <c r="HK265" s="770"/>
      <c r="HL265" s="770"/>
      <c r="HM265" s="770"/>
      <c r="HN265" s="770"/>
      <c r="HO265" s="770"/>
      <c r="HP265" s="770"/>
      <c r="HQ265" s="770"/>
      <c r="HR265" s="770"/>
      <c r="HS265" s="770"/>
      <c r="HT265" s="770"/>
      <c r="HU265" s="770"/>
      <c r="HV265" s="770"/>
      <c r="HW265" s="770"/>
      <c r="HX265" s="770"/>
      <c r="HY265" s="770"/>
      <c r="HZ265" s="770"/>
      <c r="IA265" s="770"/>
      <c r="IB265" s="14" t="e">
        <f>IF(#REF!&gt;0,IF(#REF!&lt;=10000,"Y",""),"")</f>
        <v>#REF!</v>
      </c>
      <c r="IC265" s="770"/>
      <c r="ID265" s="770"/>
      <c r="IE265" s="770"/>
      <c r="IF265" s="770"/>
      <c r="IG265" s="770"/>
      <c r="IH265" s="770"/>
      <c r="II265" s="770"/>
      <c r="IJ265" s="770"/>
      <c r="IK265" s="770"/>
      <c r="IL265" s="770"/>
      <c r="IM265" s="770"/>
      <c r="IN265" s="770"/>
      <c r="IO265" s="296"/>
      <c r="IP265" s="770"/>
      <c r="IQ265" s="770"/>
      <c r="IR265" s="770"/>
      <c r="IS265" s="770"/>
      <c r="IT265" s="770"/>
      <c r="IU265" s="770"/>
      <c r="IV265" s="770"/>
      <c r="IW265" s="770"/>
      <c r="IX265" s="770"/>
      <c r="IY265" s="770"/>
      <c r="IZ265" s="770"/>
      <c r="JA265" s="770"/>
      <c r="JB265" s="770"/>
      <c r="JC265" s="770"/>
      <c r="JD265" s="302"/>
      <c r="JE265" s="770"/>
      <c r="JF265" s="770"/>
      <c r="JG265" s="770"/>
      <c r="JH265" s="770"/>
      <c r="JI265" s="712" t="str">
        <f t="shared" si="75"/>
        <v>ok</v>
      </c>
      <c r="JJ265" s="766">
        <v>3</v>
      </c>
      <c r="JK265" s="1139" t="s">
        <v>2092</v>
      </c>
      <c r="JL265" s="770"/>
      <c r="JM265" s="770">
        <v>1</v>
      </c>
      <c r="JN265" s="770">
        <v>1</v>
      </c>
      <c r="JO265" s="770">
        <v>1</v>
      </c>
      <c r="JP265" s="770"/>
      <c r="JQ265" s="770"/>
      <c r="JR265" s="770"/>
      <c r="JS265" s="770"/>
      <c r="JT265" s="766">
        <f t="shared" ref="JT265:JU278" si="83">SUM(JP265,JN265,JL265,JR265)</f>
        <v>1</v>
      </c>
      <c r="JU265" s="766">
        <f t="shared" si="83"/>
        <v>2</v>
      </c>
      <c r="JV265" s="712" t="str">
        <f t="shared" si="76"/>
        <v>ok</v>
      </c>
      <c r="JW265" s="712" t="str">
        <f t="shared" si="77"/>
        <v>ok</v>
      </c>
      <c r="JX265" s="770"/>
      <c r="JY265" s="770">
        <v>1</v>
      </c>
      <c r="JZ265" s="770"/>
      <c r="KA265" s="770"/>
      <c r="KB265" s="770"/>
      <c r="KC265" s="770"/>
      <c r="KD265" s="770">
        <v>1</v>
      </c>
      <c r="KE265" s="770">
        <v>1</v>
      </c>
      <c r="KF265" s="770"/>
      <c r="KG265" s="770"/>
      <c r="KH265" s="770"/>
      <c r="KI265" s="770"/>
      <c r="KJ265" s="770">
        <f t="shared" si="58"/>
        <v>1</v>
      </c>
      <c r="KK265" s="770">
        <f t="shared" si="58"/>
        <v>2</v>
      </c>
      <c r="KL265" s="712" t="str">
        <f t="shared" si="78"/>
        <v>ok</v>
      </c>
      <c r="KM265" s="712" t="str">
        <f t="shared" si="79"/>
        <v>ok</v>
      </c>
      <c r="KN265" s="770" t="s">
        <v>722</v>
      </c>
      <c r="KO265" s="770"/>
      <c r="KP265" s="770"/>
      <c r="KQ265" s="770"/>
      <c r="KR265" s="770"/>
      <c r="KS265" s="770"/>
      <c r="KT265" s="770">
        <v>1</v>
      </c>
      <c r="KU265" s="770"/>
      <c r="KV265" s="770"/>
      <c r="KW265" s="770"/>
      <c r="KX265" s="770"/>
      <c r="KY265" s="770">
        <v>1</v>
      </c>
      <c r="KZ265" s="770"/>
      <c r="LA265" s="770"/>
      <c r="LB265" s="770"/>
      <c r="LC265" s="770"/>
      <c r="LD265" s="770"/>
      <c r="LE265" s="770"/>
      <c r="LF265" s="770"/>
      <c r="LG265" s="770"/>
      <c r="LH265" s="770"/>
      <c r="LI265" s="770"/>
      <c r="LJ265" s="770"/>
      <c r="LK265" s="770">
        <v>1</v>
      </c>
      <c r="LL265" s="770"/>
      <c r="LM265" s="770"/>
      <c r="LN265" s="766">
        <f t="shared" si="71"/>
        <v>1</v>
      </c>
      <c r="LO265" s="766">
        <f t="shared" si="71"/>
        <v>2</v>
      </c>
      <c r="LP265" s="770">
        <v>1</v>
      </c>
      <c r="LQ265" s="770">
        <v>1</v>
      </c>
      <c r="LR265" s="770"/>
      <c r="LS265" s="770"/>
      <c r="LT265" s="712" t="str">
        <f t="shared" si="80"/>
        <v>OK</v>
      </c>
      <c r="LU265" s="770"/>
      <c r="LV265" s="770">
        <v>1</v>
      </c>
      <c r="LW265" s="770"/>
      <c r="LX265" s="769">
        <v>2</v>
      </c>
      <c r="LY265" s="766" t="str">
        <f t="shared" si="82"/>
        <v>within the MUNICIPALITY</v>
      </c>
      <c r="LZ265" s="299"/>
      <c r="MA265" s="1709"/>
      <c r="MB265" s="1709"/>
      <c r="MC265" s="1679">
        <f t="shared" si="70"/>
        <v>0</v>
      </c>
      <c r="MD265" s="1709">
        <v>9600</v>
      </c>
      <c r="ME265" s="1709"/>
      <c r="MF265" s="1709"/>
      <c r="MG265" s="1680">
        <f t="shared" si="81"/>
        <v>9600</v>
      </c>
      <c r="MH265" s="770" t="s">
        <v>13383</v>
      </c>
      <c r="MI265" s="302">
        <v>3000</v>
      </c>
      <c r="MJ265" s="302">
        <v>100</v>
      </c>
      <c r="MK265" s="302">
        <v>300</v>
      </c>
      <c r="ML265" s="302">
        <v>150</v>
      </c>
      <c r="MM265" s="302"/>
      <c r="MN265" s="302">
        <v>700</v>
      </c>
      <c r="MO265" s="302">
        <v>150</v>
      </c>
      <c r="MP265" s="302">
        <v>200</v>
      </c>
      <c r="MQ265" s="302">
        <v>180</v>
      </c>
      <c r="MR265" s="302">
        <v>900</v>
      </c>
      <c r="MS265" s="302">
        <v>150</v>
      </c>
      <c r="MT265" s="302"/>
      <c r="MU265" s="302"/>
      <c r="MV265" s="302"/>
      <c r="MW265" s="302"/>
      <c r="MX265" s="302"/>
      <c r="MY265" s="1682">
        <f t="shared" si="74"/>
        <v>5830</v>
      </c>
      <c r="MZ265" s="770" t="s">
        <v>13164</v>
      </c>
      <c r="NA265" s="770" t="s">
        <v>13005</v>
      </c>
      <c r="NB265" s="770" t="s">
        <v>13164</v>
      </c>
      <c r="NC265" s="770" t="s">
        <v>13135</v>
      </c>
      <c r="ND265" s="770">
        <v>0</v>
      </c>
      <c r="NE265" s="770">
        <v>0</v>
      </c>
      <c r="NF265" s="770">
        <v>0</v>
      </c>
      <c r="NG265" s="770">
        <v>1</v>
      </c>
      <c r="NH265" s="770">
        <v>0</v>
      </c>
      <c r="NI265" s="770">
        <v>0</v>
      </c>
      <c r="NJ265" s="770">
        <v>0</v>
      </c>
      <c r="NK265" s="770">
        <v>0</v>
      </c>
      <c r="NL265" s="770">
        <v>0</v>
      </c>
      <c r="NM265" s="770">
        <v>0</v>
      </c>
      <c r="NN265" s="770">
        <v>0</v>
      </c>
      <c r="NO265" s="770">
        <v>0</v>
      </c>
      <c r="NP265" s="770">
        <v>0</v>
      </c>
      <c r="NQ265" s="770">
        <v>0</v>
      </c>
      <c r="NR265" s="770">
        <v>0</v>
      </c>
      <c r="NS265" s="770">
        <v>0</v>
      </c>
      <c r="NT265" s="770">
        <v>0</v>
      </c>
      <c r="NU265" s="770">
        <v>0</v>
      </c>
      <c r="NV265" s="770">
        <v>0</v>
      </c>
      <c r="NW265" s="770">
        <v>0</v>
      </c>
      <c r="NX265" s="770">
        <v>0</v>
      </c>
      <c r="NY265" s="770" t="s">
        <v>1208</v>
      </c>
      <c r="NZ265" s="770"/>
      <c r="OA265" s="770" t="s">
        <v>1208</v>
      </c>
      <c r="OB265" s="770" t="s">
        <v>1208</v>
      </c>
      <c r="OC265" s="770" t="s">
        <v>1208</v>
      </c>
      <c r="OD265" s="770" t="s">
        <v>1208</v>
      </c>
      <c r="OE265" s="770"/>
      <c r="OF265" s="770" t="s">
        <v>13384</v>
      </c>
      <c r="OG265" s="770"/>
      <c r="OH265" s="770"/>
      <c r="OI265" s="770"/>
      <c r="OJ265" s="770"/>
      <c r="OK265" s="770" t="s">
        <v>1208</v>
      </c>
      <c r="OL265" s="770" t="s">
        <v>13385</v>
      </c>
      <c r="OM265" s="770" t="s">
        <v>13386</v>
      </c>
      <c r="ON265" s="770" t="s">
        <v>13387</v>
      </c>
      <c r="OO265" s="770" t="s">
        <v>1207</v>
      </c>
      <c r="OP265" s="770" t="s">
        <v>13388</v>
      </c>
      <c r="OQ265" s="770" t="s">
        <v>13389</v>
      </c>
      <c r="OR265" s="770"/>
      <c r="OS265" s="770" t="s">
        <v>13390</v>
      </c>
      <c r="OT265" s="770"/>
      <c r="OU265" s="770"/>
      <c r="OV265" s="770" t="s">
        <v>1208</v>
      </c>
      <c r="OW265" s="770"/>
      <c r="OX265" s="770"/>
      <c r="OY265" s="770"/>
      <c r="OZ265" s="770"/>
      <c r="PA265" s="770"/>
      <c r="PB265" s="770"/>
      <c r="PC265" s="770"/>
      <c r="PD265" s="770"/>
      <c r="PE265" s="770"/>
      <c r="PF265" s="770"/>
      <c r="PG265" s="770"/>
      <c r="PH265" s="770"/>
      <c r="PI265" s="770"/>
      <c r="PJ265" s="770"/>
      <c r="PK265" s="770"/>
      <c r="PL265" s="770"/>
      <c r="PM265" s="770"/>
      <c r="PN265" s="770"/>
      <c r="PO265" s="770"/>
      <c r="PP265" s="770"/>
      <c r="PQ265" s="770"/>
      <c r="PR265" s="770" t="s">
        <v>1208</v>
      </c>
      <c r="PS265" s="770" t="s">
        <v>1208</v>
      </c>
      <c r="PT265" s="770" t="s">
        <v>1208</v>
      </c>
      <c r="PU265" s="770"/>
      <c r="PV265" s="770"/>
      <c r="PW265" s="770"/>
      <c r="PX265" s="770" t="s">
        <v>1208</v>
      </c>
      <c r="PY265" s="770"/>
      <c r="PZ265" s="770"/>
      <c r="QA265" s="770"/>
      <c r="QB265" s="770"/>
      <c r="QC265" s="770"/>
      <c r="QD265" s="770"/>
      <c r="QE265" s="770"/>
      <c r="QF265" s="770"/>
      <c r="QG265" s="770"/>
      <c r="QH265" s="770"/>
      <c r="QI265" s="770"/>
      <c r="QJ265" s="770"/>
      <c r="QK265" s="770"/>
      <c r="QL265" s="770"/>
      <c r="QM265" s="770"/>
      <c r="QN265" s="770"/>
      <c r="QO265" s="770"/>
      <c r="QP265" s="770"/>
      <c r="QQ265" s="770"/>
      <c r="QR265" s="770"/>
      <c r="QS265" s="770"/>
      <c r="QT265" s="770"/>
      <c r="QU265" s="770"/>
      <c r="QV265" s="770"/>
      <c r="QW265" s="770"/>
      <c r="QX265" s="770"/>
      <c r="QY265" s="770"/>
      <c r="QZ265" s="770"/>
      <c r="RA265" s="770"/>
      <c r="RB265" s="770" t="s">
        <v>1207</v>
      </c>
      <c r="RC265" s="770">
        <v>2016</v>
      </c>
      <c r="RD265" s="770" t="s">
        <v>1217</v>
      </c>
      <c r="RE265" s="770" t="s">
        <v>12999</v>
      </c>
      <c r="RF265" s="304">
        <f>CONVERT(3,"in","m")</f>
        <v>7.6200000000000004E-2</v>
      </c>
      <c r="RG265" s="770" t="s">
        <v>13047</v>
      </c>
      <c r="RH265" s="302">
        <v>0</v>
      </c>
      <c r="RI265" s="770">
        <v>1</v>
      </c>
      <c r="RJ265" s="770" t="s">
        <v>13391</v>
      </c>
      <c r="RK265" s="770" t="s">
        <v>13381</v>
      </c>
      <c r="RL265" s="1710"/>
      <c r="RM265" s="12"/>
      <c r="RN265" s="1711"/>
      <c r="RO265" s="140" t="s">
        <v>444</v>
      </c>
      <c r="RP265" s="11"/>
      <c r="RQ265" s="11"/>
      <c r="RR265" s="311" t="s">
        <v>12452</v>
      </c>
      <c r="RS265" s="1139" t="s">
        <v>12980</v>
      </c>
      <c r="RT265" s="11"/>
      <c r="RU265" s="11"/>
      <c r="RV265" s="771" t="s">
        <v>12452</v>
      </c>
      <c r="RW265" s="11" t="s">
        <v>5585</v>
      </c>
      <c r="RX265" s="11" t="s">
        <v>444</v>
      </c>
      <c r="RY265" s="11"/>
      <c r="RZ265" s="11"/>
      <c r="SA265" s="771"/>
      <c r="SB265" s="11"/>
      <c r="SC265" s="11"/>
    </row>
    <row r="266" spans="1:497" ht="12.75" customHeight="1">
      <c r="A266" s="311" t="s">
        <v>12452</v>
      </c>
      <c r="B266" s="292" t="s">
        <v>5588</v>
      </c>
      <c r="C266" s="140" t="s">
        <v>444</v>
      </c>
      <c r="D266" s="770" t="s">
        <v>5592</v>
      </c>
      <c r="E266" s="766" t="s">
        <v>446</v>
      </c>
      <c r="F266" s="770" t="s">
        <v>28</v>
      </c>
      <c r="G266" s="770" t="s">
        <v>10</v>
      </c>
      <c r="H266" s="770"/>
      <c r="I266" s="295"/>
      <c r="J266" s="770" t="s">
        <v>5592</v>
      </c>
      <c r="K266" s="770"/>
      <c r="L266" s="770"/>
      <c r="M266" s="770"/>
      <c r="N266" s="770"/>
      <c r="O266" s="770"/>
      <c r="P266" s="94" t="s">
        <v>957</v>
      </c>
      <c r="Q266" s="1088"/>
      <c r="R266" s="297">
        <v>25</v>
      </c>
      <c r="S266" s="770" t="s">
        <v>10</v>
      </c>
      <c r="T266" s="770"/>
      <c r="U266" s="298"/>
      <c r="V266" s="770" t="s">
        <v>722</v>
      </c>
      <c r="W266" s="770"/>
      <c r="X266" s="296"/>
      <c r="Y266" s="770" t="s">
        <v>956</v>
      </c>
      <c r="Z266" s="770"/>
      <c r="AA266" s="770"/>
      <c r="AB266" s="770"/>
      <c r="AC266" s="770"/>
      <c r="AD266" s="770"/>
      <c r="AE266" s="770"/>
      <c r="AF266" s="770"/>
      <c r="AG266" s="770"/>
      <c r="AH266" s="770"/>
      <c r="AI266" s="770"/>
      <c r="AJ266" s="770"/>
      <c r="AK266" s="770" t="s">
        <v>1101</v>
      </c>
      <c r="AL266" s="299"/>
      <c r="AM266" s="300"/>
      <c r="AN266" s="301"/>
      <c r="AO266" s="766"/>
      <c r="AP266" s="766"/>
      <c r="AQ266" s="766"/>
      <c r="AR266" s="766"/>
      <c r="AS266" s="770"/>
      <c r="AT266" s="770"/>
      <c r="AU266" s="770"/>
      <c r="AV266" s="770"/>
      <c r="AW266" s="770"/>
      <c r="AX266" s="770"/>
      <c r="AY266" s="770"/>
      <c r="AZ266" s="770"/>
      <c r="BA266" s="770"/>
      <c r="BB266" s="770"/>
      <c r="BC266" s="770"/>
      <c r="BD266" s="770"/>
      <c r="BE266" s="770"/>
      <c r="BF266" s="302"/>
      <c r="BG266" s="302"/>
      <c r="BH266" s="770"/>
      <c r="BI266" s="770"/>
      <c r="BJ266" s="770"/>
      <c r="BK266" s="770"/>
      <c r="BL266" s="766"/>
      <c r="BM266" s="766" t="s">
        <v>1238</v>
      </c>
      <c r="BN266" s="766" t="s">
        <v>1256</v>
      </c>
      <c r="BO266" s="770"/>
      <c r="BP266" s="780"/>
      <c r="BQ266" s="772"/>
      <c r="BR266" s="774"/>
      <c r="BS266" s="766" t="s">
        <v>1257</v>
      </c>
      <c r="BT266" s="770"/>
      <c r="BU266" s="770"/>
      <c r="BV266" s="770"/>
      <c r="BW266" s="770"/>
      <c r="BX266" s="302"/>
      <c r="BY266" s="770"/>
      <c r="BZ266" s="302"/>
      <c r="CA266" s="770"/>
      <c r="CB266" s="770"/>
      <c r="CC266" s="770"/>
      <c r="CD266" s="770"/>
      <c r="CE266" s="770"/>
      <c r="CF266" s="770"/>
      <c r="CG266" s="770"/>
      <c r="CH266" s="770"/>
      <c r="CI266" s="770"/>
      <c r="CJ266" s="770"/>
      <c r="CK266" s="770"/>
      <c r="CL266" s="770"/>
      <c r="CM266" s="770"/>
      <c r="CN266" s="770"/>
      <c r="CO266" s="770"/>
      <c r="CP266" s="770"/>
      <c r="CQ266" s="770"/>
      <c r="CR266" s="302"/>
      <c r="CS266" s="770"/>
      <c r="CT266" s="770"/>
      <c r="CU266" s="305"/>
      <c r="CV266" s="770"/>
      <c r="CW266" s="770"/>
      <c r="CX266" s="770"/>
      <c r="CY266" s="770"/>
      <c r="CZ266" s="770"/>
      <c r="DA266" s="770"/>
      <c r="DB266" s="770"/>
      <c r="DC266" s="770"/>
      <c r="DD266" s="770"/>
      <c r="DE266" s="770"/>
      <c r="DF266" s="770"/>
      <c r="DG266" s="770"/>
      <c r="DH266" s="770"/>
      <c r="DI266" s="770"/>
      <c r="DJ266" s="770"/>
      <c r="DK266" s="770"/>
      <c r="DL266" s="770"/>
      <c r="DM266" s="770"/>
      <c r="DN266" s="770"/>
      <c r="DO266" s="770"/>
      <c r="DP266" s="770"/>
      <c r="DQ266" s="770"/>
      <c r="DR266" s="770"/>
      <c r="DS266" s="307"/>
      <c r="DT266" s="770"/>
      <c r="DU266" s="770"/>
      <c r="DV266" s="770"/>
      <c r="DW266" s="306"/>
      <c r="DX266" s="306"/>
      <c r="DY266" s="770"/>
      <c r="DZ266" s="770"/>
      <c r="EA266" s="770"/>
      <c r="EB266" s="770"/>
      <c r="EC266" s="770"/>
      <c r="ED266" s="770"/>
      <c r="EE266" s="770"/>
      <c r="EF266" s="770"/>
      <c r="EG266" s="770"/>
      <c r="EH266" s="770"/>
      <c r="EI266" s="770"/>
      <c r="EJ266" s="770"/>
      <c r="EK266" s="770"/>
      <c r="EL266" s="770"/>
      <c r="EM266" s="770"/>
      <c r="EN266" s="770"/>
      <c r="EO266" s="770"/>
      <c r="EP266" s="770"/>
      <c r="EQ266" s="770"/>
      <c r="ER266" s="770"/>
      <c r="ES266" s="770"/>
      <c r="ET266" s="770"/>
      <c r="EU266" s="770"/>
      <c r="EV266" s="770"/>
      <c r="EW266" s="770"/>
      <c r="EX266" s="770"/>
      <c r="EY266" s="770"/>
      <c r="EZ266" s="770"/>
      <c r="FA266" s="770"/>
      <c r="FB266" s="770"/>
      <c r="FC266" s="770"/>
      <c r="FD266" s="302"/>
      <c r="FE266" s="770"/>
      <c r="FF266" s="770"/>
      <c r="FG266" s="770"/>
      <c r="FH266" s="770" t="s">
        <v>1306</v>
      </c>
      <c r="FI266" s="770">
        <v>1</v>
      </c>
      <c r="FJ266" s="770" t="s">
        <v>1354</v>
      </c>
      <c r="FK266" s="298" t="s">
        <v>945</v>
      </c>
      <c r="FL266" s="770" t="s">
        <v>946</v>
      </c>
      <c r="FM266" s="147">
        <v>500</v>
      </c>
      <c r="FN266" s="302">
        <f>11*30</f>
        <v>330</v>
      </c>
      <c r="FO266" s="302">
        <f>50*4</f>
        <v>200</v>
      </c>
      <c r="FP266" s="766" t="s">
        <v>1602</v>
      </c>
      <c r="FQ266" s="766" t="s">
        <v>1660</v>
      </c>
      <c r="FR266" s="770"/>
      <c r="FS266" s="770"/>
      <c r="FT266" s="770"/>
      <c r="FU266" s="770"/>
      <c r="FV266" s="770"/>
      <c r="FW266" s="770"/>
      <c r="FX266" s="770"/>
      <c r="FY266" s="770"/>
      <c r="FZ266" s="770"/>
      <c r="GA266" s="770"/>
      <c r="GB266" s="770"/>
      <c r="GC266" s="308"/>
      <c r="GD266" s="297"/>
      <c r="GE266" s="770"/>
      <c r="GF266" s="302"/>
      <c r="GG266" s="302"/>
      <c r="GH266" s="770"/>
      <c r="GI266" s="770"/>
      <c r="GJ266" s="770"/>
      <c r="GK266" s="770"/>
      <c r="GL266" s="770"/>
      <c r="GM266" s="770"/>
      <c r="GN266" s="309"/>
      <c r="GO266" s="770"/>
      <c r="GP266" s="770"/>
      <c r="GQ266" s="770"/>
      <c r="GR266" s="770"/>
      <c r="GS266" s="770"/>
      <c r="GT266" s="770"/>
      <c r="GU266" s="770"/>
      <c r="GV266" s="770"/>
      <c r="GW266" s="770"/>
      <c r="GX266" s="770"/>
      <c r="GY266" s="770"/>
      <c r="GZ266" s="770"/>
      <c r="HA266" s="770"/>
      <c r="HB266" s="770"/>
      <c r="HC266" s="770"/>
      <c r="HD266" s="770"/>
      <c r="HE266" s="770"/>
      <c r="HF266" s="770"/>
      <c r="HG266" s="770"/>
      <c r="HH266" s="770"/>
      <c r="HI266" s="770"/>
      <c r="HJ266" s="770"/>
      <c r="HK266" s="770"/>
      <c r="HL266" s="770"/>
      <c r="HM266" s="770"/>
      <c r="HN266" s="770"/>
      <c r="HO266" s="770"/>
      <c r="HP266" s="770"/>
      <c r="HQ266" s="770"/>
      <c r="HR266" s="770"/>
      <c r="HS266" s="770"/>
      <c r="HT266" s="770"/>
      <c r="HU266" s="770"/>
      <c r="HV266" s="770"/>
      <c r="HW266" s="770"/>
      <c r="HX266" s="770"/>
      <c r="HY266" s="770"/>
      <c r="HZ266" s="770"/>
      <c r="IA266" s="770"/>
      <c r="IB266" s="14" t="e">
        <f>IF(#REF!&gt;0,IF(#REF!&lt;=10000,"Y",""),"")</f>
        <v>#REF!</v>
      </c>
      <c r="IC266" s="770"/>
      <c r="ID266" s="770"/>
      <c r="IE266" s="770"/>
      <c r="IF266" s="770"/>
      <c r="IG266" s="770"/>
      <c r="IH266" s="770"/>
      <c r="II266" s="770"/>
      <c r="IJ266" s="770"/>
      <c r="IK266" s="770"/>
      <c r="IL266" s="770"/>
      <c r="IM266" s="770"/>
      <c r="IN266" s="770"/>
      <c r="IO266" s="296"/>
      <c r="IP266" s="770"/>
      <c r="IQ266" s="770"/>
      <c r="IR266" s="770"/>
      <c r="IS266" s="770"/>
      <c r="IT266" s="770"/>
      <c r="IU266" s="770"/>
      <c r="IV266" s="770"/>
      <c r="IW266" s="770"/>
      <c r="IX266" s="770"/>
      <c r="IY266" s="770"/>
      <c r="IZ266" s="770"/>
      <c r="JA266" s="770"/>
      <c r="JB266" s="770"/>
      <c r="JC266" s="770"/>
      <c r="JD266" s="302"/>
      <c r="JE266" s="770"/>
      <c r="JF266" s="770"/>
      <c r="JG266" s="770"/>
      <c r="JH266" s="770"/>
      <c r="JI266" s="712" t="str">
        <f t="shared" si="75"/>
        <v>ok</v>
      </c>
      <c r="JJ266" s="770">
        <v>3</v>
      </c>
      <c r="JK266" s="1139" t="s">
        <v>13392</v>
      </c>
      <c r="JL266" s="766"/>
      <c r="JM266" s="766"/>
      <c r="JN266" s="766">
        <v>1</v>
      </c>
      <c r="JO266" s="766"/>
      <c r="JP266" s="766"/>
      <c r="JQ266" s="766"/>
      <c r="JR266" s="766">
        <v>1</v>
      </c>
      <c r="JS266" s="766">
        <v>1</v>
      </c>
      <c r="JT266" s="766">
        <f t="shared" si="83"/>
        <v>2</v>
      </c>
      <c r="JU266" s="766">
        <f t="shared" si="83"/>
        <v>1</v>
      </c>
      <c r="JV266" s="712" t="str">
        <f t="shared" si="76"/>
        <v>ok</v>
      </c>
      <c r="JW266" s="712" t="str">
        <f t="shared" si="77"/>
        <v>ok</v>
      </c>
      <c r="JX266" s="766"/>
      <c r="JY266" s="766"/>
      <c r="JZ266" s="766"/>
      <c r="KA266" s="766"/>
      <c r="KB266" s="766">
        <v>1</v>
      </c>
      <c r="KC266" s="766"/>
      <c r="KD266" s="766"/>
      <c r="KE266" s="766"/>
      <c r="KF266" s="766"/>
      <c r="KG266" s="766"/>
      <c r="KH266" s="766">
        <v>1</v>
      </c>
      <c r="KI266" s="766">
        <v>1</v>
      </c>
      <c r="KJ266" s="770">
        <f t="shared" si="58"/>
        <v>2</v>
      </c>
      <c r="KK266" s="770">
        <f t="shared" si="58"/>
        <v>1</v>
      </c>
      <c r="KL266" s="712" t="str">
        <f t="shared" si="78"/>
        <v>ok</v>
      </c>
      <c r="KM266" s="712" t="str">
        <f t="shared" si="79"/>
        <v>ok</v>
      </c>
      <c r="KN266" s="770" t="s">
        <v>722</v>
      </c>
      <c r="KO266" s="770"/>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v>2</v>
      </c>
      <c r="LM266" s="13">
        <v>1</v>
      </c>
      <c r="LN266" s="766">
        <f>SUM(KP266,KR266,KT266,KV266,KX266,KZ266,LB266,LD266,LF266,LH266,LJ266,LL266)</f>
        <v>2</v>
      </c>
      <c r="LO266" s="766">
        <f>SUM(KQ266,KS266,KU266,KW266,KY266,LA266,LC266,LE266,LG266,LI266,LK266,LM266)</f>
        <v>1</v>
      </c>
      <c r="LP266" s="770"/>
      <c r="LQ266" s="770"/>
      <c r="LR266" s="770"/>
      <c r="LS266" s="770"/>
      <c r="LT266" s="712" t="str">
        <f t="shared" si="80"/>
        <v>OK</v>
      </c>
      <c r="LU266" s="770"/>
      <c r="LV266" s="770"/>
      <c r="LW266" s="770"/>
      <c r="LX266" s="769"/>
      <c r="LY266" s="766" t="str">
        <f t="shared" si="82"/>
        <v/>
      </c>
      <c r="LZ266" s="299"/>
      <c r="MA266" s="1709"/>
      <c r="MB266" s="1709"/>
      <c r="MC266" s="1679">
        <f t="shared" si="70"/>
        <v>0</v>
      </c>
      <c r="MD266" s="1709"/>
      <c r="ME266" s="1709"/>
      <c r="MF266" s="1709"/>
      <c r="MG266" s="1680">
        <v>0</v>
      </c>
      <c r="MH266" s="770"/>
      <c r="MI266" s="302"/>
      <c r="MJ266" s="302"/>
      <c r="MK266" s="302"/>
      <c r="ML266" s="302"/>
      <c r="MM266" s="302"/>
      <c r="MN266" s="302"/>
      <c r="MO266" s="302"/>
      <c r="MP266" s="302"/>
      <c r="MQ266" s="302"/>
      <c r="MR266" s="302"/>
      <c r="MS266" s="302"/>
      <c r="MT266" s="302"/>
      <c r="MU266" s="302"/>
      <c r="MV266" s="302"/>
      <c r="MW266" s="302"/>
      <c r="MX266" s="302"/>
      <c r="MY266" s="1682"/>
      <c r="MZ266" s="770"/>
      <c r="NA266" s="770"/>
      <c r="NB266" s="770"/>
      <c r="NC266" s="770"/>
      <c r="ND266" s="770"/>
      <c r="NE266" s="770"/>
      <c r="NF266" s="770"/>
      <c r="NG266" s="770"/>
      <c r="NH266" s="770"/>
      <c r="NI266" s="770"/>
      <c r="NJ266" s="770"/>
      <c r="NK266" s="770"/>
      <c r="NL266" s="770"/>
      <c r="NM266" s="770"/>
      <c r="NN266" s="770"/>
      <c r="NO266" s="770"/>
      <c r="NP266" s="770"/>
      <c r="NQ266" s="770"/>
      <c r="NR266" s="770"/>
      <c r="NS266" s="770"/>
      <c r="NT266" s="770"/>
      <c r="NU266" s="770"/>
      <c r="NV266" s="770"/>
      <c r="NW266" s="770"/>
      <c r="NX266" s="770"/>
      <c r="NY266" s="770"/>
      <c r="NZ266" s="770"/>
      <c r="OA266" s="770"/>
      <c r="OB266" s="770"/>
      <c r="OC266" s="770"/>
      <c r="OD266" s="770"/>
      <c r="OE266" s="770"/>
      <c r="OF266" s="770"/>
      <c r="OG266" s="770"/>
      <c r="OH266" s="770"/>
      <c r="OI266" s="770"/>
      <c r="OJ266" s="770"/>
      <c r="OK266" s="770"/>
      <c r="OL266" s="770"/>
      <c r="OM266" s="770"/>
      <c r="ON266" s="770"/>
      <c r="OO266" s="770"/>
      <c r="OP266" s="770"/>
      <c r="OQ266" s="770"/>
      <c r="OR266" s="770"/>
      <c r="OS266" s="770"/>
      <c r="OT266" s="770"/>
      <c r="OU266" s="770"/>
      <c r="OV266" s="770"/>
      <c r="OW266" s="770"/>
      <c r="OX266" s="770"/>
      <c r="OY266" s="770"/>
      <c r="OZ266" s="770"/>
      <c r="PA266" s="770"/>
      <c r="PB266" s="770"/>
      <c r="PC266" s="770"/>
      <c r="PD266" s="770"/>
      <c r="PE266" s="770"/>
      <c r="PF266" s="770"/>
      <c r="PG266" s="770"/>
      <c r="PH266" s="770"/>
      <c r="PI266" s="770"/>
      <c r="PJ266" s="770"/>
      <c r="PK266" s="770"/>
      <c r="PL266" s="770"/>
      <c r="PM266" s="770"/>
      <c r="PN266" s="770"/>
      <c r="PO266" s="770"/>
      <c r="PP266" s="770"/>
      <c r="PQ266" s="770"/>
      <c r="PR266" s="770"/>
      <c r="PS266" s="770"/>
      <c r="PT266" s="770"/>
      <c r="PU266" s="770"/>
      <c r="PV266" s="770"/>
      <c r="PW266" s="770"/>
      <c r="PX266" s="770"/>
      <c r="PY266" s="770"/>
      <c r="PZ266" s="770"/>
      <c r="QA266" s="770"/>
      <c r="QB266" s="770"/>
      <c r="QC266" s="770"/>
      <c r="QD266" s="770"/>
      <c r="QE266" s="770"/>
      <c r="QF266" s="770"/>
      <c r="QG266" s="770"/>
      <c r="QH266" s="770"/>
      <c r="QI266" s="770"/>
      <c r="QJ266" s="770"/>
      <c r="QK266" s="770"/>
      <c r="QL266" s="770"/>
      <c r="QM266" s="770"/>
      <c r="QN266" s="770"/>
      <c r="QO266" s="770"/>
      <c r="QP266" s="770"/>
      <c r="QQ266" s="770"/>
      <c r="QR266" s="770"/>
      <c r="QS266" s="770"/>
      <c r="QT266" s="770"/>
      <c r="QU266" s="770"/>
      <c r="QV266" s="770"/>
      <c r="QW266" s="770"/>
      <c r="QX266" s="770"/>
      <c r="QY266" s="770"/>
      <c r="QZ266" s="770"/>
      <c r="RA266" s="770"/>
      <c r="RB266" s="770"/>
      <c r="RC266" s="770"/>
      <c r="RD266" s="770"/>
      <c r="RE266" s="770"/>
      <c r="RF266" s="304"/>
      <c r="RG266" s="770"/>
      <c r="RH266" s="302"/>
      <c r="RI266" s="770"/>
      <c r="RJ266" s="770" t="s">
        <v>957</v>
      </c>
      <c r="RK266" s="770"/>
      <c r="RL266" s="1710">
        <v>42818</v>
      </c>
      <c r="RM266" s="12"/>
      <c r="RN266" s="1711"/>
      <c r="RO266" s="140" t="s">
        <v>444</v>
      </c>
      <c r="RP266" s="11"/>
      <c r="RQ266" s="11"/>
      <c r="RR266" s="311" t="s">
        <v>12452</v>
      </c>
      <c r="RS266" s="1139" t="s">
        <v>12980</v>
      </c>
      <c r="RT266" s="11"/>
      <c r="RU266" s="11"/>
      <c r="RV266" s="766" t="s">
        <v>12452</v>
      </c>
      <c r="RW266" s="11" t="s">
        <v>5586</v>
      </c>
      <c r="RX266" s="11" t="s">
        <v>444</v>
      </c>
      <c r="RY266" s="11"/>
      <c r="RZ266" s="11"/>
      <c r="SA266" s="766"/>
      <c r="SB266" s="11"/>
      <c r="SC266" s="11"/>
    </row>
    <row r="267" spans="1:497" ht="12.75" customHeight="1">
      <c r="A267" s="19" t="s">
        <v>12353</v>
      </c>
      <c r="B267" s="288" t="s">
        <v>11399</v>
      </c>
      <c r="C267" s="140" t="s">
        <v>447</v>
      </c>
      <c r="D267" s="770" t="s">
        <v>11400</v>
      </c>
      <c r="E267" s="766" t="s">
        <v>11379</v>
      </c>
      <c r="F267" s="770" t="s">
        <v>28</v>
      </c>
      <c r="G267" s="770" t="s">
        <v>10</v>
      </c>
      <c r="H267" s="770"/>
      <c r="I267" s="295"/>
      <c r="J267" s="770" t="s">
        <v>11400</v>
      </c>
      <c r="K267" s="770"/>
      <c r="L267" s="770"/>
      <c r="M267" s="770"/>
      <c r="N267" s="770"/>
      <c r="O267" s="770"/>
      <c r="P267" s="94" t="s">
        <v>11401</v>
      </c>
      <c r="Q267" s="1088">
        <v>2952202</v>
      </c>
      <c r="R267" s="297">
        <v>34</v>
      </c>
      <c r="S267" s="770" t="s">
        <v>10</v>
      </c>
      <c r="T267" s="770"/>
      <c r="U267" s="298" t="s">
        <v>11402</v>
      </c>
      <c r="V267" s="770" t="s">
        <v>768</v>
      </c>
      <c r="W267" s="770"/>
      <c r="X267" s="296"/>
      <c r="Y267" s="770" t="s">
        <v>11379</v>
      </c>
      <c r="Z267" s="770" t="s">
        <v>708</v>
      </c>
      <c r="AA267" s="770" t="s">
        <v>11403</v>
      </c>
      <c r="AB267" s="770" t="s">
        <v>7275</v>
      </c>
      <c r="AC267" s="766" t="s">
        <v>724</v>
      </c>
      <c r="AD267" s="770"/>
      <c r="AE267" s="770"/>
      <c r="AF267" s="770" t="s">
        <v>712</v>
      </c>
      <c r="AG267" s="770" t="s">
        <v>1132</v>
      </c>
      <c r="AH267" s="766" t="s">
        <v>1096</v>
      </c>
      <c r="AI267" s="770"/>
      <c r="AJ267" s="770" t="s">
        <v>1137</v>
      </c>
      <c r="AK267" s="770" t="s">
        <v>1101</v>
      </c>
      <c r="AL267" s="299"/>
      <c r="AM267" s="300"/>
      <c r="AN267" s="301"/>
      <c r="AO267" s="766" t="s">
        <v>1149</v>
      </c>
      <c r="AP267" s="766"/>
      <c r="AQ267" s="766"/>
      <c r="AR267" s="766"/>
      <c r="AS267" s="770"/>
      <c r="AT267" s="770"/>
      <c r="AU267" s="770"/>
      <c r="AV267" s="770"/>
      <c r="AW267" s="770"/>
      <c r="AX267" s="770"/>
      <c r="AY267" s="770"/>
      <c r="AZ267" s="770"/>
      <c r="BA267" s="770"/>
      <c r="BB267" s="770"/>
      <c r="BC267" s="770"/>
      <c r="BD267" s="770"/>
      <c r="BE267" s="770"/>
      <c r="BF267" s="302"/>
      <c r="BG267" s="302"/>
      <c r="BH267" s="770"/>
      <c r="BI267" s="770"/>
      <c r="BJ267" s="770"/>
      <c r="BK267" s="770" t="s">
        <v>1095</v>
      </c>
      <c r="BL267" s="766" t="s">
        <v>11867</v>
      </c>
      <c r="BM267" s="766" t="s">
        <v>1096</v>
      </c>
      <c r="BN267" s="766" t="s">
        <v>1230</v>
      </c>
      <c r="BO267" s="766" t="s">
        <v>1239</v>
      </c>
      <c r="BP267" s="1111">
        <v>25</v>
      </c>
      <c r="BQ267" s="772">
        <v>8</v>
      </c>
      <c r="BR267" s="774">
        <f>BQ267/BP267</f>
        <v>0.32</v>
      </c>
      <c r="BS267" s="766" t="s">
        <v>1149</v>
      </c>
      <c r="BT267" s="766" t="s">
        <v>8133</v>
      </c>
      <c r="BU267" s="766" t="s">
        <v>1288</v>
      </c>
      <c r="BV267" s="770" t="s">
        <v>1247</v>
      </c>
      <c r="BW267" s="770"/>
      <c r="BX267" s="302"/>
      <c r="BY267" s="770"/>
      <c r="BZ267" s="302"/>
      <c r="CA267" s="770"/>
      <c r="CB267" s="770"/>
      <c r="CC267" s="770"/>
      <c r="CD267" s="770"/>
      <c r="CE267" s="770"/>
      <c r="CF267" s="770"/>
      <c r="CG267" s="770"/>
      <c r="CH267" s="770"/>
      <c r="CI267" s="770"/>
      <c r="CJ267" s="770"/>
      <c r="CK267" s="770"/>
      <c r="CL267" s="770"/>
      <c r="CM267" s="770"/>
      <c r="CN267" s="770"/>
      <c r="CO267" s="770"/>
      <c r="CP267" s="770"/>
      <c r="CQ267" s="770"/>
      <c r="CR267" s="302"/>
      <c r="CS267" s="770"/>
      <c r="CT267" s="770"/>
      <c r="CU267" s="305"/>
      <c r="CV267" s="770"/>
      <c r="CW267" s="770"/>
      <c r="CX267" s="770"/>
      <c r="CY267" s="770"/>
      <c r="CZ267" s="770"/>
      <c r="DA267" s="770"/>
      <c r="DB267" s="770"/>
      <c r="DC267" s="770"/>
      <c r="DD267" s="770"/>
      <c r="DE267" s="770"/>
      <c r="DF267" s="770"/>
      <c r="DG267" s="770"/>
      <c r="DH267" s="770"/>
      <c r="DI267" s="770"/>
      <c r="DJ267" s="770"/>
      <c r="DK267" s="770"/>
      <c r="DL267" s="770"/>
      <c r="DM267" s="770"/>
      <c r="DN267" s="770"/>
      <c r="DO267" s="770"/>
      <c r="DP267" s="770"/>
      <c r="DQ267" s="770"/>
      <c r="DR267" s="770"/>
      <c r="DS267" s="307"/>
      <c r="DT267" s="770"/>
      <c r="DU267" s="770"/>
      <c r="DV267" s="770"/>
      <c r="DW267" s="306"/>
      <c r="DX267" s="306"/>
      <c r="DY267" s="770"/>
      <c r="DZ267" s="770"/>
      <c r="EA267" s="770"/>
      <c r="EB267" s="770"/>
      <c r="EC267" s="770"/>
      <c r="ED267" s="770"/>
      <c r="EE267" s="770"/>
      <c r="EF267" s="770"/>
      <c r="EG267" s="770"/>
      <c r="EH267" s="770"/>
      <c r="EI267" s="770"/>
      <c r="EJ267" s="770"/>
      <c r="EK267" s="770"/>
      <c r="EL267" s="770"/>
      <c r="EM267" s="770"/>
      <c r="EN267" s="770"/>
      <c r="EO267" s="770"/>
      <c r="EP267" s="770"/>
      <c r="EQ267" s="770"/>
      <c r="ER267" s="770"/>
      <c r="ES267" s="770"/>
      <c r="ET267" s="770"/>
      <c r="EU267" s="770"/>
      <c r="EV267" s="770"/>
      <c r="EW267" s="770"/>
      <c r="EX267" s="770"/>
      <c r="EY267" s="770"/>
      <c r="EZ267" s="770"/>
      <c r="FA267" s="770"/>
      <c r="FB267" s="770"/>
      <c r="FC267" s="770"/>
      <c r="FD267" s="302"/>
      <c r="FE267" s="770"/>
      <c r="FF267" s="770"/>
      <c r="FG267" s="770"/>
      <c r="FH267" s="770" t="s">
        <v>3230</v>
      </c>
      <c r="FI267" s="770">
        <v>3</v>
      </c>
      <c r="FJ267" s="770" t="s">
        <v>11621</v>
      </c>
      <c r="FK267" s="298"/>
      <c r="FL267" s="770"/>
      <c r="FM267" s="147">
        <v>800</v>
      </c>
      <c r="FN267" s="302"/>
      <c r="FO267" s="302"/>
      <c r="FP267" s="766" t="s">
        <v>1602</v>
      </c>
      <c r="FQ267" s="766" t="s">
        <v>1660</v>
      </c>
      <c r="FR267" s="770"/>
      <c r="FS267" s="770"/>
      <c r="FT267" s="770"/>
      <c r="FU267" s="770"/>
      <c r="FV267" s="770"/>
      <c r="FW267" s="770"/>
      <c r="FX267" s="770"/>
      <c r="FY267" s="770"/>
      <c r="FZ267" s="770"/>
      <c r="GA267" s="770"/>
      <c r="GB267" s="770"/>
      <c r="GC267" s="308"/>
      <c r="GD267" s="297"/>
      <c r="GE267" s="770"/>
      <c r="GF267" s="302"/>
      <c r="GG267" s="302"/>
      <c r="GH267" s="712" t="s">
        <v>1791</v>
      </c>
      <c r="GI267" s="770" t="s">
        <v>2352</v>
      </c>
      <c r="GJ267" s="770" t="s">
        <v>11618</v>
      </c>
      <c r="GK267" s="770" t="s">
        <v>2345</v>
      </c>
      <c r="GL267" s="770"/>
      <c r="GM267" s="770"/>
      <c r="GN267" s="309">
        <v>100</v>
      </c>
      <c r="GO267" s="770"/>
      <c r="GP267" s="770"/>
      <c r="GQ267" s="770"/>
      <c r="GR267" s="770" t="s">
        <v>1208</v>
      </c>
      <c r="GS267" s="770"/>
      <c r="GT267" s="770"/>
      <c r="GU267" s="770"/>
      <c r="GV267" s="770" t="s">
        <v>11619</v>
      </c>
      <c r="GW267" s="770" t="s">
        <v>1207</v>
      </c>
      <c r="GX267" s="770"/>
      <c r="GY267" s="770" t="s">
        <v>1208</v>
      </c>
      <c r="GZ267" s="770"/>
      <c r="HA267" s="770"/>
      <c r="HB267" s="770" t="s">
        <v>1208</v>
      </c>
      <c r="HC267" s="770"/>
      <c r="HD267" s="770"/>
      <c r="HE267" s="770" t="s">
        <v>1208</v>
      </c>
      <c r="HF267" s="770"/>
      <c r="HG267" s="770"/>
      <c r="HH267" s="770"/>
      <c r="HI267" s="770" t="s">
        <v>1214</v>
      </c>
      <c r="HJ267" s="770"/>
      <c r="HK267" s="770"/>
      <c r="HL267" s="770" t="s">
        <v>1214</v>
      </c>
      <c r="HM267" s="770"/>
      <c r="HN267" s="770"/>
      <c r="HO267" s="770"/>
      <c r="HP267" s="770"/>
      <c r="HQ267" s="770"/>
      <c r="HR267" s="770"/>
      <c r="HS267" s="770"/>
      <c r="HT267" s="770"/>
      <c r="HU267" s="770"/>
      <c r="HV267" s="770"/>
      <c r="HW267" s="770"/>
      <c r="HX267" s="770"/>
      <c r="HY267" s="770"/>
      <c r="HZ267" s="770"/>
      <c r="IA267" s="770"/>
      <c r="IB267" s="14" t="e">
        <f>IF(#REF!&gt;0,IF(#REF!&lt;=10000,"Y",""),"")</f>
        <v>#REF!</v>
      </c>
      <c r="IC267" s="770"/>
      <c r="ID267" s="770"/>
      <c r="IE267" s="770"/>
      <c r="IF267" s="770"/>
      <c r="IG267" s="770"/>
      <c r="IH267" s="770"/>
      <c r="II267" s="770"/>
      <c r="IJ267" s="770"/>
      <c r="IK267" s="770"/>
      <c r="IL267" s="770"/>
      <c r="IM267" s="770"/>
      <c r="IN267" s="770"/>
      <c r="IO267" s="296"/>
      <c r="IP267" s="770"/>
      <c r="IQ267" s="770"/>
      <c r="IR267" s="770"/>
      <c r="IS267" s="770"/>
      <c r="IT267" s="770"/>
      <c r="IU267" s="770"/>
      <c r="IV267" s="770"/>
      <c r="IW267" s="770"/>
      <c r="IX267" s="770"/>
      <c r="IY267" s="770"/>
      <c r="IZ267" s="770"/>
      <c r="JA267" s="770"/>
      <c r="JB267" s="770"/>
      <c r="JC267" s="770"/>
      <c r="JD267" s="302"/>
      <c r="JE267" s="770"/>
      <c r="JF267" s="770"/>
      <c r="JG267" s="770"/>
      <c r="JH267" s="770"/>
      <c r="JI267" s="712" t="str">
        <f t="shared" si="75"/>
        <v>ok</v>
      </c>
      <c r="JJ267" s="770">
        <v>1</v>
      </c>
      <c r="JK267" s="1139" t="s">
        <v>11620</v>
      </c>
      <c r="JL267" s="766"/>
      <c r="JM267" s="766"/>
      <c r="JN267" s="766">
        <v>1</v>
      </c>
      <c r="JO267" s="766"/>
      <c r="JP267" s="766"/>
      <c r="JQ267" s="766"/>
      <c r="JR267" s="766"/>
      <c r="JS267" s="766"/>
      <c r="JT267" s="766">
        <f t="shared" si="83"/>
        <v>1</v>
      </c>
      <c r="JU267" s="766">
        <f t="shared" si="83"/>
        <v>0</v>
      </c>
      <c r="JV267" s="712" t="str">
        <f t="shared" si="76"/>
        <v>ok</v>
      </c>
      <c r="JW267" s="712" t="str">
        <f t="shared" si="77"/>
        <v>ok</v>
      </c>
      <c r="JX267" s="766"/>
      <c r="JY267" s="766"/>
      <c r="JZ267" s="766"/>
      <c r="KA267" s="766"/>
      <c r="KB267" s="766"/>
      <c r="KC267" s="766"/>
      <c r="KD267" s="766">
        <v>1</v>
      </c>
      <c r="KE267" s="766"/>
      <c r="KF267" s="766"/>
      <c r="KG267" s="766"/>
      <c r="KH267" s="766"/>
      <c r="KI267" s="766"/>
      <c r="KJ267" s="770">
        <f t="shared" si="58"/>
        <v>1</v>
      </c>
      <c r="KK267" s="770">
        <f t="shared" si="58"/>
        <v>0</v>
      </c>
      <c r="KL267" s="712" t="str">
        <f>IF(KJ267=LN267,"ok","male")</f>
        <v>ok</v>
      </c>
      <c r="KM267" s="712" t="str">
        <f>IF(KK267=LO267,"ok","female")</f>
        <v>ok</v>
      </c>
      <c r="KN267" s="770" t="s">
        <v>768</v>
      </c>
      <c r="KO267" s="770"/>
      <c r="KP267" s="766"/>
      <c r="KQ267" s="766"/>
      <c r="KR267" s="766"/>
      <c r="KS267" s="766"/>
      <c r="KT267" s="766"/>
      <c r="KU267" s="766"/>
      <c r="KV267" s="766"/>
      <c r="KW267" s="766"/>
      <c r="KX267" s="766"/>
      <c r="KY267" s="766"/>
      <c r="KZ267" s="766"/>
      <c r="LA267" s="766"/>
      <c r="LB267" s="766"/>
      <c r="LC267" s="766"/>
      <c r="LD267" s="766"/>
      <c r="LE267" s="766"/>
      <c r="LF267" s="766"/>
      <c r="LG267" s="766"/>
      <c r="LH267" s="766">
        <v>1</v>
      </c>
      <c r="LI267" s="766"/>
      <c r="LJ267" s="766"/>
      <c r="LK267" s="766"/>
      <c r="LL267" s="766"/>
      <c r="LM267" s="766"/>
      <c r="LN267" s="766">
        <f t="shared" si="71"/>
        <v>1</v>
      </c>
      <c r="LO267" s="766">
        <f t="shared" si="71"/>
        <v>0</v>
      </c>
      <c r="LP267" s="770">
        <v>1</v>
      </c>
      <c r="LQ267" s="770">
        <v>1</v>
      </c>
      <c r="LR267" s="770"/>
      <c r="LS267" s="770"/>
      <c r="LT267" s="712" t="str">
        <f t="shared" si="80"/>
        <v>OK</v>
      </c>
      <c r="LU267" s="770"/>
      <c r="LV267" s="770">
        <v>1</v>
      </c>
      <c r="LW267" s="770"/>
      <c r="LX267" s="769">
        <v>1</v>
      </c>
      <c r="LY267" s="766" t="str">
        <f t="shared" si="82"/>
        <v>within the BRGY</v>
      </c>
      <c r="LZ267" s="299"/>
      <c r="MA267" s="1709"/>
      <c r="MB267" s="1709"/>
      <c r="MC267" s="1679">
        <f t="shared" si="70"/>
        <v>0</v>
      </c>
      <c r="MD267" s="1709">
        <v>12000</v>
      </c>
      <c r="ME267" s="1709"/>
      <c r="MF267" s="1709"/>
      <c r="MG267" s="1680">
        <f t="shared" si="81"/>
        <v>12000</v>
      </c>
      <c r="MH267" s="770" t="s">
        <v>2214</v>
      </c>
      <c r="MI267" s="302">
        <v>3000</v>
      </c>
      <c r="MJ267" s="302"/>
      <c r="MK267" s="302">
        <v>100</v>
      </c>
      <c r="ML267" s="302"/>
      <c r="MM267" s="302"/>
      <c r="MN267" s="302">
        <v>800</v>
      </c>
      <c r="MO267" s="302">
        <v>60</v>
      </c>
      <c r="MP267" s="302">
        <v>400</v>
      </c>
      <c r="MQ267" s="302">
        <v>100</v>
      </c>
      <c r="MR267" s="302">
        <v>250</v>
      </c>
      <c r="MS267" s="302"/>
      <c r="MT267" s="302"/>
      <c r="MU267" s="302"/>
      <c r="MV267" s="302"/>
      <c r="MW267" s="302"/>
      <c r="MX267" s="302"/>
      <c r="MY267" s="1682">
        <f t="shared" si="74"/>
        <v>4710</v>
      </c>
      <c r="MZ267" s="770" t="s">
        <v>13367</v>
      </c>
      <c r="NA267" s="770" t="s">
        <v>13005</v>
      </c>
      <c r="NB267" s="770" t="s">
        <v>13371</v>
      </c>
      <c r="NC267" s="770" t="s">
        <v>13135</v>
      </c>
      <c r="ND267" s="770">
        <v>0</v>
      </c>
      <c r="NE267" s="770">
        <v>1</v>
      </c>
      <c r="NF267" s="770">
        <v>0</v>
      </c>
      <c r="NG267" s="770">
        <v>0</v>
      </c>
      <c r="NH267" s="770">
        <v>0</v>
      </c>
      <c r="NI267" s="770">
        <v>0</v>
      </c>
      <c r="NJ267" s="770">
        <v>0</v>
      </c>
      <c r="NK267" s="770">
        <v>0</v>
      </c>
      <c r="NL267" s="770">
        <v>0</v>
      </c>
      <c r="NM267" s="770">
        <v>1</v>
      </c>
      <c r="NN267" s="770">
        <v>0</v>
      </c>
      <c r="NO267" s="770">
        <v>0</v>
      </c>
      <c r="NP267" s="770">
        <v>0</v>
      </c>
      <c r="NQ267" s="770">
        <v>0</v>
      </c>
      <c r="NR267" s="770">
        <v>0</v>
      </c>
      <c r="NS267" s="770">
        <v>0</v>
      </c>
      <c r="NT267" s="770">
        <v>0</v>
      </c>
      <c r="NU267" s="770">
        <v>0</v>
      </c>
      <c r="NV267" s="770">
        <v>0</v>
      </c>
      <c r="NW267" s="770">
        <v>0</v>
      </c>
      <c r="NX267" s="770">
        <v>0</v>
      </c>
      <c r="NY267" s="770"/>
      <c r="NZ267" s="770"/>
      <c r="OA267" s="770"/>
      <c r="OB267" s="770"/>
      <c r="OC267" s="770"/>
      <c r="OD267" s="770"/>
      <c r="OE267" s="770"/>
      <c r="OF267" s="770"/>
      <c r="OG267" s="770"/>
      <c r="OH267" s="770"/>
      <c r="OI267" s="770"/>
      <c r="OJ267" s="770"/>
      <c r="OK267" s="770"/>
      <c r="OL267" s="770"/>
      <c r="OM267" s="770"/>
      <c r="ON267" s="770"/>
      <c r="OO267" s="770"/>
      <c r="OP267" s="770"/>
      <c r="OQ267" s="770"/>
      <c r="OR267" s="770"/>
      <c r="OS267" s="770"/>
      <c r="OT267" s="770"/>
      <c r="OU267" s="770"/>
      <c r="OV267" s="770"/>
      <c r="OW267" s="770"/>
      <c r="OX267" s="770"/>
      <c r="OY267" s="770"/>
      <c r="OZ267" s="770"/>
      <c r="PA267" s="770"/>
      <c r="PB267" s="770"/>
      <c r="PC267" s="770"/>
      <c r="PD267" s="770"/>
      <c r="PE267" s="770"/>
      <c r="PF267" s="770"/>
      <c r="PG267" s="770"/>
      <c r="PH267" s="770"/>
      <c r="PI267" s="770"/>
      <c r="PJ267" s="770"/>
      <c r="PK267" s="770"/>
      <c r="PL267" s="770"/>
      <c r="PM267" s="770"/>
      <c r="PN267" s="770"/>
      <c r="PO267" s="770"/>
      <c r="PP267" s="770"/>
      <c r="PQ267" s="770"/>
      <c r="PR267" s="770" t="s">
        <v>1208</v>
      </c>
      <c r="PS267" s="770" t="s">
        <v>1208</v>
      </c>
      <c r="PT267" s="770" t="s">
        <v>1208</v>
      </c>
      <c r="PU267" s="770"/>
      <c r="PV267" s="770"/>
      <c r="PW267" s="770"/>
      <c r="PX267" s="770"/>
      <c r="PY267" s="770"/>
      <c r="PZ267" s="770"/>
      <c r="QA267" s="770"/>
      <c r="QB267" s="770"/>
      <c r="QC267" s="770"/>
      <c r="QD267" s="770"/>
      <c r="QE267" s="770"/>
      <c r="QF267" s="770"/>
      <c r="QG267" s="770"/>
      <c r="QH267" s="770"/>
      <c r="QI267" s="770"/>
      <c r="QJ267" s="770"/>
      <c r="QK267" s="770"/>
      <c r="QL267" s="770"/>
      <c r="QM267" s="770"/>
      <c r="QN267" s="770"/>
      <c r="QO267" s="770"/>
      <c r="QP267" s="770"/>
      <c r="QQ267" s="770"/>
      <c r="QR267" s="770"/>
      <c r="QS267" s="770"/>
      <c r="QT267" s="770"/>
      <c r="QU267" s="770"/>
      <c r="QV267" s="770"/>
      <c r="QW267" s="770"/>
      <c r="QX267" s="770"/>
      <c r="QY267" s="770"/>
      <c r="QZ267" s="770"/>
      <c r="RA267" s="770"/>
      <c r="RB267" s="770" t="s">
        <v>1207</v>
      </c>
      <c r="RC267" s="770">
        <v>2016</v>
      </c>
      <c r="RD267" s="770"/>
      <c r="RE267" s="770" t="s">
        <v>12999</v>
      </c>
      <c r="RF267" s="304"/>
      <c r="RG267" s="770"/>
      <c r="RH267" s="302"/>
      <c r="RI267" s="770">
        <v>4</v>
      </c>
      <c r="RJ267" s="770" t="s">
        <v>11620</v>
      </c>
      <c r="RK267" s="770" t="s">
        <v>13086</v>
      </c>
      <c r="RL267" s="1710">
        <v>42918</v>
      </c>
      <c r="RM267" s="12"/>
      <c r="RN267" s="1711"/>
      <c r="RO267" s="140" t="s">
        <v>447</v>
      </c>
      <c r="RP267" s="11"/>
      <c r="RQ267" s="11"/>
      <c r="RR267" s="19" t="s">
        <v>12353</v>
      </c>
      <c r="RS267" s="1139" t="s">
        <v>12980</v>
      </c>
      <c r="RT267" s="11"/>
      <c r="RU267" s="11"/>
      <c r="RV267" s="766" t="s">
        <v>12452</v>
      </c>
      <c r="RW267" s="11" t="s">
        <v>5587</v>
      </c>
      <c r="RX267" s="11" t="s">
        <v>444</v>
      </c>
      <c r="RY267" s="11"/>
      <c r="RZ267" s="11" t="s">
        <v>2209</v>
      </c>
      <c r="SA267" s="766"/>
      <c r="SB267" s="11"/>
      <c r="SC267" s="11"/>
    </row>
    <row r="268" spans="1:497" ht="12.75" customHeight="1">
      <c r="A268" s="19" t="s">
        <v>12452</v>
      </c>
      <c r="B268" s="288" t="s">
        <v>11385</v>
      </c>
      <c r="C268" s="140" t="s">
        <v>447</v>
      </c>
      <c r="D268" s="770" t="s">
        <v>11378</v>
      </c>
      <c r="E268" s="766" t="s">
        <v>11387</v>
      </c>
      <c r="F268" s="770" t="s">
        <v>28</v>
      </c>
      <c r="G268" s="770" t="s">
        <v>10</v>
      </c>
      <c r="H268" s="770"/>
      <c r="I268" s="295" t="s">
        <v>11380</v>
      </c>
      <c r="J268" s="94" t="s">
        <v>11378</v>
      </c>
      <c r="K268" s="766"/>
      <c r="L268" s="766"/>
      <c r="M268" s="770"/>
      <c r="N268" s="770"/>
      <c r="O268" s="770"/>
      <c r="P268" s="94" t="s">
        <v>11381</v>
      </c>
      <c r="Q268" s="1088">
        <v>34154</v>
      </c>
      <c r="R268" s="297">
        <v>24</v>
      </c>
      <c r="S268" s="770" t="s">
        <v>10</v>
      </c>
      <c r="T268" s="770"/>
      <c r="U268" s="298" t="s">
        <v>11380</v>
      </c>
      <c r="V268" s="770" t="s">
        <v>768</v>
      </c>
      <c r="W268" s="770"/>
      <c r="X268" s="296"/>
      <c r="Y268" s="770" t="s">
        <v>11379</v>
      </c>
      <c r="Z268" s="770" t="s">
        <v>708</v>
      </c>
      <c r="AA268" s="770" t="s">
        <v>739</v>
      </c>
      <c r="AB268" s="770" t="s">
        <v>7274</v>
      </c>
      <c r="AC268" s="766" t="s">
        <v>724</v>
      </c>
      <c r="AD268" s="770"/>
      <c r="AE268" s="770"/>
      <c r="AF268" s="770" t="s">
        <v>11382</v>
      </c>
      <c r="AG268" s="766" t="s">
        <v>1132</v>
      </c>
      <c r="AH268" s="766" t="s">
        <v>1096</v>
      </c>
      <c r="AI268" s="770"/>
      <c r="AJ268" s="770" t="s">
        <v>1137</v>
      </c>
      <c r="AK268" s="770" t="s">
        <v>1101</v>
      </c>
      <c r="AL268" s="299"/>
      <c r="AM268" s="300"/>
      <c r="AN268" s="301"/>
      <c r="AO268" s="766" t="s">
        <v>1149</v>
      </c>
      <c r="AP268" s="766"/>
      <c r="AQ268" s="766"/>
      <c r="AR268" s="766"/>
      <c r="AS268" s="770"/>
      <c r="AT268" s="770"/>
      <c r="AU268" s="770"/>
      <c r="AV268" s="770"/>
      <c r="AW268" s="770"/>
      <c r="AX268" s="770"/>
      <c r="AY268" s="770"/>
      <c r="AZ268" s="770"/>
      <c r="BA268" s="770"/>
      <c r="BB268" s="770"/>
      <c r="BC268" s="770"/>
      <c r="BD268" s="770"/>
      <c r="BE268" s="770"/>
      <c r="BF268" s="302"/>
      <c r="BG268" s="302"/>
      <c r="BH268" s="770"/>
      <c r="BI268" s="770"/>
      <c r="BJ268" s="770"/>
      <c r="BK268" s="770"/>
      <c r="BL268" s="769"/>
      <c r="BM268" s="766" t="s">
        <v>1238</v>
      </c>
      <c r="BN268" s="766" t="s">
        <v>1305</v>
      </c>
      <c r="BO268" s="766"/>
      <c r="BP268" s="780"/>
      <c r="BQ268" s="772"/>
      <c r="BR268" s="774"/>
      <c r="BS268" s="766" t="s">
        <v>1149</v>
      </c>
      <c r="BT268" s="766"/>
      <c r="BU268" s="766"/>
      <c r="BV268" s="770"/>
      <c r="BW268" s="769"/>
      <c r="BX268" s="302"/>
      <c r="BY268" s="770"/>
      <c r="BZ268" s="302"/>
      <c r="CA268" s="770"/>
      <c r="CB268" s="770"/>
      <c r="CC268" s="770"/>
      <c r="CD268" s="770"/>
      <c r="CE268" s="770"/>
      <c r="CF268" s="304"/>
      <c r="CG268" s="321"/>
      <c r="CH268" s="770"/>
      <c r="CI268" s="770"/>
      <c r="CJ268" s="770"/>
      <c r="CK268" s="770"/>
      <c r="CL268" s="770"/>
      <c r="CM268" s="770"/>
      <c r="CN268" s="770"/>
      <c r="CO268" s="770"/>
      <c r="CP268" s="770"/>
      <c r="CQ268" s="770"/>
      <c r="CR268" s="302"/>
      <c r="CS268" s="770"/>
      <c r="CT268" s="770"/>
      <c r="CU268" s="305"/>
      <c r="CV268" s="770"/>
      <c r="CW268" s="770"/>
      <c r="CX268" s="770"/>
      <c r="CY268" s="770"/>
      <c r="CZ268" s="770"/>
      <c r="DA268" s="306"/>
      <c r="DB268" s="770"/>
      <c r="DC268" s="770"/>
      <c r="DD268" s="770"/>
      <c r="DE268" s="300"/>
      <c r="DF268" s="770"/>
      <c r="DG268" s="770"/>
      <c r="DH268" s="770"/>
      <c r="DI268" s="770"/>
      <c r="DJ268" s="770"/>
      <c r="DK268" s="770"/>
      <c r="DL268" s="770"/>
      <c r="DM268" s="770"/>
      <c r="DN268" s="322"/>
      <c r="DO268" s="770"/>
      <c r="DP268" s="770"/>
      <c r="DQ268" s="770"/>
      <c r="DR268" s="770"/>
      <c r="DS268" s="307"/>
      <c r="DT268" s="770"/>
      <c r="DU268" s="770"/>
      <c r="DV268" s="770"/>
      <c r="DW268" s="306"/>
      <c r="DX268" s="306"/>
      <c r="DY268" s="770"/>
      <c r="DZ268" s="770"/>
      <c r="EA268" s="770"/>
      <c r="EB268" s="770"/>
      <c r="EC268" s="770"/>
      <c r="ED268" s="770"/>
      <c r="EE268" s="770"/>
      <c r="EF268" s="770"/>
      <c r="EG268" s="770"/>
      <c r="EH268" s="770"/>
      <c r="EI268" s="770"/>
      <c r="EJ268" s="770"/>
      <c r="EK268" s="770"/>
      <c r="EL268" s="770"/>
      <c r="EM268" s="770"/>
      <c r="EN268" s="770"/>
      <c r="EO268" s="770"/>
      <c r="EP268" s="94"/>
      <c r="EQ268" s="770"/>
      <c r="ER268" s="770"/>
      <c r="ES268" s="770"/>
      <c r="ET268" s="770"/>
      <c r="EU268" s="770"/>
      <c r="EV268" s="770"/>
      <c r="EW268" s="770"/>
      <c r="EX268" s="770"/>
      <c r="EY268" s="770"/>
      <c r="EZ268" s="770"/>
      <c r="FA268" s="770"/>
      <c r="FB268" s="770"/>
      <c r="FC268" s="770"/>
      <c r="FD268" s="302"/>
      <c r="FE268" s="770"/>
      <c r="FF268" s="770"/>
      <c r="FG268" s="770"/>
      <c r="FH268" s="770" t="s">
        <v>1306</v>
      </c>
      <c r="FI268" s="770">
        <v>1</v>
      </c>
      <c r="FJ268" s="770" t="s">
        <v>11383</v>
      </c>
      <c r="FK268" s="770"/>
      <c r="FL268" s="770"/>
      <c r="FM268" s="147">
        <v>1000</v>
      </c>
      <c r="FN268" s="302">
        <v>250</v>
      </c>
      <c r="FO268" s="302">
        <v>400</v>
      </c>
      <c r="FP268" s="766" t="s">
        <v>1602</v>
      </c>
      <c r="FQ268" s="766" t="s">
        <v>1660</v>
      </c>
      <c r="FR268" s="770"/>
      <c r="FS268" s="770"/>
      <c r="FT268" s="770"/>
      <c r="FU268" s="770"/>
      <c r="FV268" s="770"/>
      <c r="FW268" s="770"/>
      <c r="FX268" s="770"/>
      <c r="FY268" s="770"/>
      <c r="FZ268" s="770"/>
      <c r="GA268" s="770"/>
      <c r="GB268" s="770"/>
      <c r="GC268" s="308"/>
      <c r="GD268" s="297"/>
      <c r="GE268" s="770"/>
      <c r="GF268" s="302"/>
      <c r="GG268" s="302"/>
      <c r="GH268" s="770"/>
      <c r="GI268" s="770"/>
      <c r="GJ268" s="770"/>
      <c r="GK268" s="770"/>
      <c r="GL268" s="770"/>
      <c r="GM268" s="770"/>
      <c r="GN268" s="309"/>
      <c r="GO268" s="770"/>
      <c r="GP268" s="770"/>
      <c r="GQ268" s="770"/>
      <c r="GR268" s="770"/>
      <c r="GS268" s="770"/>
      <c r="GT268" s="770"/>
      <c r="GU268" s="770"/>
      <c r="GV268" s="770"/>
      <c r="GW268" s="770"/>
      <c r="GX268" s="770"/>
      <c r="GY268" s="770"/>
      <c r="GZ268" s="770"/>
      <c r="HA268" s="770"/>
      <c r="HB268" s="770"/>
      <c r="HC268" s="770"/>
      <c r="HD268" s="770"/>
      <c r="HE268" s="770"/>
      <c r="HF268" s="770"/>
      <c r="HG268" s="770"/>
      <c r="HH268" s="770"/>
      <c r="HI268" s="770"/>
      <c r="HJ268" s="770"/>
      <c r="HK268" s="770"/>
      <c r="HL268" s="770"/>
      <c r="HM268" s="770"/>
      <c r="HN268" s="770"/>
      <c r="HO268" s="770"/>
      <c r="HP268" s="770"/>
      <c r="HQ268" s="770"/>
      <c r="HR268" s="770"/>
      <c r="HS268" s="770"/>
      <c r="HT268" s="770"/>
      <c r="HU268" s="770"/>
      <c r="HV268" s="770"/>
      <c r="HW268" s="770"/>
      <c r="HX268" s="770"/>
      <c r="HY268" s="770"/>
      <c r="HZ268" s="770"/>
      <c r="IA268" s="770"/>
      <c r="IB268" s="14" t="e">
        <f>IF(#REF!&gt;0,IF(#REF!&lt;=10000,"Y",""),"")</f>
        <v>#REF!</v>
      </c>
      <c r="IC268" s="770"/>
      <c r="ID268" s="770"/>
      <c r="IE268" s="770"/>
      <c r="IF268" s="770"/>
      <c r="IG268" s="770"/>
      <c r="IH268" s="770"/>
      <c r="II268" s="770"/>
      <c r="IJ268" s="770"/>
      <c r="IK268" s="770"/>
      <c r="IL268" s="770"/>
      <c r="IM268" s="770"/>
      <c r="IN268" s="770"/>
      <c r="IO268" s="296"/>
      <c r="IP268" s="770"/>
      <c r="IQ268" s="770"/>
      <c r="IR268" s="770"/>
      <c r="IS268" s="770"/>
      <c r="IT268" s="770"/>
      <c r="IU268" s="770"/>
      <c r="IV268" s="770"/>
      <c r="IW268" s="770"/>
      <c r="IX268" s="770"/>
      <c r="IY268" s="770"/>
      <c r="IZ268" s="770"/>
      <c r="JA268" s="770"/>
      <c r="JB268" s="770"/>
      <c r="JC268" s="770"/>
      <c r="JD268" s="302"/>
      <c r="JE268" s="770"/>
      <c r="JF268" s="770"/>
      <c r="JG268" s="770"/>
      <c r="JH268" s="770"/>
      <c r="JI268" s="712" t="str">
        <f t="shared" si="75"/>
        <v>ok</v>
      </c>
      <c r="JJ268" s="770">
        <v>2</v>
      </c>
      <c r="JK268" s="1139" t="s">
        <v>13393</v>
      </c>
      <c r="JL268" s="770"/>
      <c r="JM268" s="770"/>
      <c r="JN268" s="770">
        <v>2</v>
      </c>
      <c r="JO268" s="770"/>
      <c r="JP268" s="770"/>
      <c r="JQ268" s="770"/>
      <c r="JR268" s="770"/>
      <c r="JS268" s="770"/>
      <c r="JT268" s="766">
        <f t="shared" si="83"/>
        <v>2</v>
      </c>
      <c r="JU268" s="766">
        <f t="shared" si="83"/>
        <v>0</v>
      </c>
      <c r="JV268" s="712" t="str">
        <f t="shared" si="76"/>
        <v>ok</v>
      </c>
      <c r="JW268" s="712" t="str">
        <f t="shared" si="77"/>
        <v>ok</v>
      </c>
      <c r="JX268" s="770"/>
      <c r="JY268" s="770"/>
      <c r="JZ268" s="770"/>
      <c r="KA268" s="770"/>
      <c r="KB268" s="770">
        <v>2</v>
      </c>
      <c r="KC268" s="770"/>
      <c r="KD268" s="770"/>
      <c r="KE268" s="770"/>
      <c r="KF268" s="770"/>
      <c r="KG268" s="770"/>
      <c r="KH268" s="770"/>
      <c r="KI268" s="770"/>
      <c r="KJ268" s="770">
        <f t="shared" si="58"/>
        <v>2</v>
      </c>
      <c r="KK268" s="770">
        <f t="shared" si="58"/>
        <v>0</v>
      </c>
      <c r="KL268" s="712" t="str">
        <f t="shared" ref="KL268:KL296" si="84">IF(KJ268=LN268,"ok","male")</f>
        <v>ok</v>
      </c>
      <c r="KM268" s="712" t="str">
        <f t="shared" ref="KM268:KM296" si="85">IF(KK268=LO268,"ok","female")</f>
        <v>ok</v>
      </c>
      <c r="KN268" s="770" t="s">
        <v>768</v>
      </c>
      <c r="KO268" s="770"/>
      <c r="KP268" s="770"/>
      <c r="KQ268" s="770"/>
      <c r="KR268" s="770"/>
      <c r="KS268" s="770"/>
      <c r="KT268" s="770"/>
      <c r="KU268" s="770"/>
      <c r="KV268" s="770"/>
      <c r="KW268" s="770"/>
      <c r="KX268" s="770"/>
      <c r="KY268" s="770"/>
      <c r="KZ268" s="770">
        <v>2</v>
      </c>
      <c r="LA268" s="770"/>
      <c r="LB268" s="770"/>
      <c r="LC268" s="770"/>
      <c r="LD268" s="770"/>
      <c r="LE268" s="770"/>
      <c r="LF268" s="770"/>
      <c r="LG268" s="770"/>
      <c r="LH268" s="770"/>
      <c r="LI268" s="770"/>
      <c r="LJ268" s="770"/>
      <c r="LK268" s="770"/>
      <c r="LL268" s="770"/>
      <c r="LM268" s="770"/>
      <c r="LN268" s="766">
        <f t="shared" si="71"/>
        <v>2</v>
      </c>
      <c r="LO268" s="766">
        <f t="shared" si="71"/>
        <v>0</v>
      </c>
      <c r="LP268" s="770">
        <v>1</v>
      </c>
      <c r="LQ268" s="770">
        <v>1</v>
      </c>
      <c r="LR268" s="770"/>
      <c r="LS268" s="770"/>
      <c r="LT268" s="712" t="str">
        <f t="shared" si="80"/>
        <v>OK</v>
      </c>
      <c r="LU268" s="770"/>
      <c r="LV268" s="770">
        <v>1</v>
      </c>
      <c r="LW268" s="770"/>
      <c r="LX268" s="769">
        <v>2</v>
      </c>
      <c r="LY268" s="766" t="str">
        <f t="shared" si="82"/>
        <v>within the MUNICIPALITY</v>
      </c>
      <c r="LZ268" s="299">
        <f>600*4</f>
        <v>2400</v>
      </c>
      <c r="MA268" s="306"/>
      <c r="MB268" s="306"/>
      <c r="MC268" s="1679">
        <f t="shared" si="70"/>
        <v>2400</v>
      </c>
      <c r="MD268" s="306">
        <f>200*26</f>
        <v>5200</v>
      </c>
      <c r="ME268" s="306"/>
      <c r="MF268" s="306"/>
      <c r="MG268" s="1680">
        <f t="shared" si="81"/>
        <v>5200</v>
      </c>
      <c r="MH268" s="770" t="s">
        <v>13394</v>
      </c>
      <c r="MI268" s="302">
        <f>2000*4</f>
        <v>8000</v>
      </c>
      <c r="MJ268" s="302">
        <f>2300*4</f>
        <v>9200</v>
      </c>
      <c r="MK268" s="302">
        <f>1000*4</f>
        <v>4000</v>
      </c>
      <c r="ML268" s="302">
        <v>2500</v>
      </c>
      <c r="MM268" s="302"/>
      <c r="MN268" s="302">
        <v>1000</v>
      </c>
      <c r="MO268" s="302">
        <v>500</v>
      </c>
      <c r="MP268" s="302">
        <v>100</v>
      </c>
      <c r="MQ268" s="302">
        <f>100*4</f>
        <v>400</v>
      </c>
      <c r="MR268" s="302">
        <v>450</v>
      </c>
      <c r="MS268" s="302">
        <v>250</v>
      </c>
      <c r="MT268" s="302">
        <v>2500</v>
      </c>
      <c r="MU268" s="302"/>
      <c r="MV268" s="302"/>
      <c r="MW268" s="302"/>
      <c r="MX268" s="302"/>
      <c r="MY268" s="1682">
        <f t="shared" si="74"/>
        <v>28900</v>
      </c>
      <c r="MZ268" s="770" t="s">
        <v>13395</v>
      </c>
      <c r="NA268" s="770" t="s">
        <v>13005</v>
      </c>
      <c r="NB268" s="770" t="s">
        <v>13371</v>
      </c>
      <c r="NC268" s="766" t="s">
        <v>13026</v>
      </c>
      <c r="ND268" s="770">
        <v>0</v>
      </c>
      <c r="NE268" s="770">
        <v>0</v>
      </c>
      <c r="NF268" s="770">
        <v>0</v>
      </c>
      <c r="NG268" s="770">
        <v>1</v>
      </c>
      <c r="NH268" s="770">
        <v>1</v>
      </c>
      <c r="NI268" s="770">
        <v>0</v>
      </c>
      <c r="NJ268" s="770">
        <v>0</v>
      </c>
      <c r="NK268" s="770">
        <v>0</v>
      </c>
      <c r="NL268" s="770">
        <v>0</v>
      </c>
      <c r="NM268" s="770">
        <v>1</v>
      </c>
      <c r="NN268" s="770">
        <v>0</v>
      </c>
      <c r="NO268" s="770">
        <v>0</v>
      </c>
      <c r="NP268" s="770">
        <v>0</v>
      </c>
      <c r="NQ268" s="770">
        <v>0</v>
      </c>
      <c r="NR268" s="770">
        <v>0</v>
      </c>
      <c r="NS268" s="770">
        <v>0</v>
      </c>
      <c r="NT268" s="770">
        <v>0</v>
      </c>
      <c r="NU268" s="770">
        <v>0</v>
      </c>
      <c r="NV268" s="770">
        <v>0</v>
      </c>
      <c r="NW268" s="770">
        <v>0</v>
      </c>
      <c r="NX268" s="770">
        <v>0</v>
      </c>
      <c r="NY268" s="770"/>
      <c r="NZ268" s="770"/>
      <c r="OA268" s="770"/>
      <c r="OB268" s="770"/>
      <c r="OC268" s="770"/>
      <c r="OD268" s="770"/>
      <c r="OE268" s="770"/>
      <c r="OF268" s="770" t="s">
        <v>13220</v>
      </c>
      <c r="OG268" s="770"/>
      <c r="OH268" s="770"/>
      <c r="OI268" s="770"/>
      <c r="OJ268" s="770"/>
      <c r="OK268" s="770"/>
      <c r="OL268" s="770"/>
      <c r="OM268" s="770"/>
      <c r="ON268" s="770"/>
      <c r="OO268" s="770"/>
      <c r="OP268" s="770"/>
      <c r="OQ268" s="770"/>
      <c r="OR268" s="770"/>
      <c r="OS268" s="770"/>
      <c r="OT268" s="770"/>
      <c r="OU268" s="770"/>
      <c r="OV268" s="770"/>
      <c r="OW268" s="770"/>
      <c r="OX268" s="770"/>
      <c r="OY268" s="770"/>
      <c r="OZ268" s="770"/>
      <c r="PA268" s="770"/>
      <c r="PB268" s="770"/>
      <c r="PC268" s="770"/>
      <c r="PD268" s="770"/>
      <c r="PE268" s="770"/>
      <c r="PF268" s="770"/>
      <c r="PG268" s="770"/>
      <c r="PH268" s="770"/>
      <c r="PI268" s="770"/>
      <c r="PJ268" s="770"/>
      <c r="PK268" s="770" t="s">
        <v>1208</v>
      </c>
      <c r="PL268" s="770"/>
      <c r="PM268" s="770"/>
      <c r="PN268" s="770"/>
      <c r="PO268" s="770"/>
      <c r="PP268" s="770"/>
      <c r="PQ268" s="770"/>
      <c r="PR268" s="770"/>
      <c r="PS268" s="770"/>
      <c r="PT268" s="770"/>
      <c r="PU268" s="770"/>
      <c r="PV268" s="770"/>
      <c r="PW268" s="770"/>
      <c r="PX268" s="770"/>
      <c r="PY268" s="770"/>
      <c r="PZ268" s="770"/>
      <c r="QA268" s="770"/>
      <c r="QB268" s="770"/>
      <c r="QC268" s="770"/>
      <c r="QD268" s="770"/>
      <c r="QE268" s="770"/>
      <c r="QF268" s="770"/>
      <c r="QG268" s="770"/>
      <c r="QH268" s="770"/>
      <c r="QI268" s="770"/>
      <c r="QJ268" s="770"/>
      <c r="QK268" s="770"/>
      <c r="QL268" s="770"/>
      <c r="QM268" s="770"/>
      <c r="QN268" s="770"/>
      <c r="QO268" s="770"/>
      <c r="QP268" s="770"/>
      <c r="QQ268" s="770"/>
      <c r="QR268" s="770"/>
      <c r="QS268" s="770"/>
      <c r="QT268" s="770"/>
      <c r="QU268" s="770"/>
      <c r="QV268" s="770"/>
      <c r="QW268" s="770"/>
      <c r="QX268" s="770"/>
      <c r="QY268" s="770"/>
      <c r="QZ268" s="770"/>
      <c r="RA268" s="770"/>
      <c r="RB268" s="770" t="s">
        <v>1207</v>
      </c>
      <c r="RC268" s="770">
        <v>2015</v>
      </c>
      <c r="RD268" s="770" t="s">
        <v>13396</v>
      </c>
      <c r="RE268" s="770" t="s">
        <v>12999</v>
      </c>
      <c r="RF268" s="304">
        <v>0.1</v>
      </c>
      <c r="RG268" s="770" t="s">
        <v>13397</v>
      </c>
      <c r="RH268" s="302">
        <v>0</v>
      </c>
      <c r="RI268" s="770">
        <v>0.5</v>
      </c>
      <c r="RJ268" s="770" t="s">
        <v>11384</v>
      </c>
      <c r="RK268" s="770" t="s">
        <v>14056</v>
      </c>
      <c r="RL268" s="1710">
        <v>42918</v>
      </c>
      <c r="RM268" s="12"/>
      <c r="RN268" s="1711"/>
      <c r="RO268" s="140" t="s">
        <v>447</v>
      </c>
      <c r="RP268" s="11"/>
      <c r="RQ268" s="11"/>
      <c r="RR268" s="19" t="s">
        <v>12452</v>
      </c>
      <c r="RS268" s="1139" t="s">
        <v>12980</v>
      </c>
      <c r="RT268" s="11"/>
      <c r="RU268" s="11"/>
      <c r="RV268" s="771" t="s">
        <v>12452</v>
      </c>
      <c r="RW268" s="11" t="s">
        <v>5588</v>
      </c>
      <c r="RX268" s="11" t="s">
        <v>444</v>
      </c>
      <c r="RY268" s="11"/>
      <c r="RZ268" s="11"/>
      <c r="SA268" s="771"/>
      <c r="SB268" s="11"/>
      <c r="SC268" s="11"/>
    </row>
    <row r="269" spans="1:497" ht="12.75" customHeight="1">
      <c r="A269" s="19" t="s">
        <v>12452</v>
      </c>
      <c r="B269" s="288" t="s">
        <v>11386</v>
      </c>
      <c r="C269" s="140" t="s">
        <v>447</v>
      </c>
      <c r="D269" s="770" t="s">
        <v>11393</v>
      </c>
      <c r="E269" s="766" t="s">
        <v>11387</v>
      </c>
      <c r="F269" s="770" t="s">
        <v>28</v>
      </c>
      <c r="G269" s="770" t="s">
        <v>18</v>
      </c>
      <c r="H269" s="770"/>
      <c r="I269" s="295" t="s">
        <v>11388</v>
      </c>
      <c r="J269" s="770" t="s">
        <v>11393</v>
      </c>
      <c r="K269" s="766"/>
      <c r="L269" s="766"/>
      <c r="M269" s="770"/>
      <c r="N269" s="770"/>
      <c r="O269" s="770"/>
      <c r="P269" s="94" t="s">
        <v>11772</v>
      </c>
      <c r="Q269" s="1088">
        <v>29898</v>
      </c>
      <c r="R269" s="297">
        <v>35</v>
      </c>
      <c r="S269" s="770" t="s">
        <v>18</v>
      </c>
      <c r="T269" s="770"/>
      <c r="U269" s="295" t="s">
        <v>11388</v>
      </c>
      <c r="V269" s="770" t="s">
        <v>768</v>
      </c>
      <c r="W269" s="770"/>
      <c r="X269" s="296"/>
      <c r="Y269" s="770" t="s">
        <v>11387</v>
      </c>
      <c r="Z269" s="770" t="s">
        <v>708</v>
      </c>
      <c r="AA269" s="770" t="s">
        <v>748</v>
      </c>
      <c r="AB269" s="770" t="s">
        <v>7275</v>
      </c>
      <c r="AC269" s="766" t="s">
        <v>11389</v>
      </c>
      <c r="AD269" s="770"/>
      <c r="AE269" s="770"/>
      <c r="AF269" s="770" t="s">
        <v>798</v>
      </c>
      <c r="AG269" s="766" t="s">
        <v>1132</v>
      </c>
      <c r="AH269" s="766" t="s">
        <v>1096</v>
      </c>
      <c r="AI269" s="770"/>
      <c r="AJ269" s="770" t="s">
        <v>1137</v>
      </c>
      <c r="AK269" s="770" t="s">
        <v>1101</v>
      </c>
      <c r="AL269" s="299"/>
      <c r="AM269" s="300"/>
      <c r="AN269" s="301"/>
      <c r="AO269" s="766" t="s">
        <v>1149</v>
      </c>
      <c r="AP269" s="766"/>
      <c r="AQ269" s="766"/>
      <c r="AR269" s="766"/>
      <c r="AS269" s="770"/>
      <c r="AT269" s="770"/>
      <c r="AU269" s="770"/>
      <c r="AV269" s="770"/>
      <c r="AW269" s="770"/>
      <c r="AX269" s="770"/>
      <c r="AY269" s="770"/>
      <c r="AZ269" s="770"/>
      <c r="BA269" s="770"/>
      <c r="BB269" s="770"/>
      <c r="BC269" s="770"/>
      <c r="BD269" s="770"/>
      <c r="BE269" s="770"/>
      <c r="BF269" s="302"/>
      <c r="BG269" s="302"/>
      <c r="BH269" s="770"/>
      <c r="BI269" s="770"/>
      <c r="BJ269" s="770"/>
      <c r="BK269" s="770"/>
      <c r="BL269" s="769"/>
      <c r="BM269" s="766" t="s">
        <v>1238</v>
      </c>
      <c r="BN269" s="766" t="s">
        <v>1305</v>
      </c>
      <c r="BO269" s="766"/>
      <c r="BP269" s="780"/>
      <c r="BQ269" s="772"/>
      <c r="BR269" s="774"/>
      <c r="BS269" s="766" t="s">
        <v>1149</v>
      </c>
      <c r="BT269" s="766"/>
      <c r="BU269" s="766"/>
      <c r="BV269" s="770"/>
      <c r="BW269" s="769"/>
      <c r="BX269" s="302"/>
      <c r="BY269" s="770"/>
      <c r="BZ269" s="302"/>
      <c r="CA269" s="770"/>
      <c r="CB269" s="770"/>
      <c r="CC269" s="770"/>
      <c r="CD269" s="770"/>
      <c r="CE269" s="770"/>
      <c r="CF269" s="304"/>
      <c r="CG269" s="321"/>
      <c r="CH269" s="770"/>
      <c r="CI269" s="770"/>
      <c r="CJ269" s="770"/>
      <c r="CK269" s="770"/>
      <c r="CL269" s="770"/>
      <c r="CM269" s="770"/>
      <c r="CN269" s="770"/>
      <c r="CO269" s="770"/>
      <c r="CP269" s="770"/>
      <c r="CQ269" s="770"/>
      <c r="CR269" s="302"/>
      <c r="CS269" s="770"/>
      <c r="CT269" s="770"/>
      <c r="CU269" s="305"/>
      <c r="CV269" s="770"/>
      <c r="CW269" s="770"/>
      <c r="CX269" s="770"/>
      <c r="CY269" s="770"/>
      <c r="CZ269" s="770"/>
      <c r="DA269" s="306"/>
      <c r="DB269" s="770"/>
      <c r="DC269" s="770"/>
      <c r="DD269" s="770"/>
      <c r="DE269" s="300"/>
      <c r="DF269" s="770"/>
      <c r="DG269" s="770"/>
      <c r="DH269" s="770"/>
      <c r="DI269" s="770"/>
      <c r="DJ269" s="770"/>
      <c r="DK269" s="770"/>
      <c r="DL269" s="770"/>
      <c r="DM269" s="770"/>
      <c r="DN269" s="322"/>
      <c r="DO269" s="770"/>
      <c r="DP269" s="770"/>
      <c r="DQ269" s="770"/>
      <c r="DR269" s="770"/>
      <c r="DS269" s="307"/>
      <c r="DT269" s="770"/>
      <c r="DU269" s="770"/>
      <c r="DV269" s="770"/>
      <c r="DW269" s="306"/>
      <c r="DX269" s="306"/>
      <c r="DY269" s="770"/>
      <c r="DZ269" s="770"/>
      <c r="EA269" s="770"/>
      <c r="EB269" s="770"/>
      <c r="EC269" s="770"/>
      <c r="ED269" s="770"/>
      <c r="EE269" s="770"/>
      <c r="EF269" s="770"/>
      <c r="EG269" s="770"/>
      <c r="EH269" s="770"/>
      <c r="EI269" s="770"/>
      <c r="EJ269" s="770"/>
      <c r="EK269" s="770"/>
      <c r="EL269" s="770"/>
      <c r="EM269" s="770"/>
      <c r="EN269" s="770"/>
      <c r="EO269" s="770"/>
      <c r="EP269" s="94"/>
      <c r="EQ269" s="770"/>
      <c r="ER269" s="770"/>
      <c r="ES269" s="770"/>
      <c r="ET269" s="770"/>
      <c r="EU269" s="770"/>
      <c r="EV269" s="770"/>
      <c r="EW269" s="770"/>
      <c r="EX269" s="770"/>
      <c r="EY269" s="770"/>
      <c r="EZ269" s="770"/>
      <c r="FA269" s="770"/>
      <c r="FB269" s="770"/>
      <c r="FC269" s="770"/>
      <c r="FD269" s="302"/>
      <c r="FE269" s="770"/>
      <c r="FF269" s="770"/>
      <c r="FG269" s="770"/>
      <c r="FH269" s="770" t="s">
        <v>1306</v>
      </c>
      <c r="FI269" s="770">
        <v>1</v>
      </c>
      <c r="FJ269" s="770" t="s">
        <v>11383</v>
      </c>
      <c r="FK269" s="770"/>
      <c r="FL269" s="770"/>
      <c r="FM269" s="147">
        <v>1300</v>
      </c>
      <c r="FN269" s="302">
        <v>250</v>
      </c>
      <c r="FO269" s="302">
        <v>400</v>
      </c>
      <c r="FP269" s="766" t="s">
        <v>1602</v>
      </c>
      <c r="FQ269" s="766" t="s">
        <v>1660</v>
      </c>
      <c r="FR269" s="770"/>
      <c r="FS269" s="770"/>
      <c r="FT269" s="770"/>
      <c r="FU269" s="770"/>
      <c r="FV269" s="770"/>
      <c r="FW269" s="770"/>
      <c r="FX269" s="770"/>
      <c r="FY269" s="770"/>
      <c r="FZ269" s="770"/>
      <c r="GA269" s="770"/>
      <c r="GB269" s="770"/>
      <c r="GC269" s="308"/>
      <c r="GD269" s="297"/>
      <c r="GE269" s="770"/>
      <c r="GF269" s="302"/>
      <c r="GG269" s="302"/>
      <c r="GH269" s="770" t="s">
        <v>1791</v>
      </c>
      <c r="GI269" s="770" t="s">
        <v>1008</v>
      </c>
      <c r="GJ269" s="770"/>
      <c r="GK269" s="770" t="s">
        <v>2345</v>
      </c>
      <c r="GL269" s="770"/>
      <c r="GM269" s="770"/>
      <c r="GN269" s="309">
        <v>70</v>
      </c>
      <c r="GO269" s="770" t="s">
        <v>11391</v>
      </c>
      <c r="GP269" s="770"/>
      <c r="GQ269" s="770" t="s">
        <v>1208</v>
      </c>
      <c r="GR269" s="770"/>
      <c r="GS269" s="770"/>
      <c r="GT269" s="770"/>
      <c r="GU269" s="770"/>
      <c r="GV269" s="770"/>
      <c r="GW269" s="770" t="s">
        <v>1207</v>
      </c>
      <c r="GX269" s="770"/>
      <c r="GY269" s="770"/>
      <c r="GZ269" s="770"/>
      <c r="HA269" s="770"/>
      <c r="HB269" s="770"/>
      <c r="HC269" s="770" t="s">
        <v>1208</v>
      </c>
      <c r="HD269" s="770"/>
      <c r="HE269" s="770"/>
      <c r="HF269" s="770"/>
      <c r="HG269" s="770"/>
      <c r="HH269" s="770"/>
      <c r="HI269" s="770" t="s">
        <v>1214</v>
      </c>
      <c r="HJ269" s="770"/>
      <c r="HK269" s="770"/>
      <c r="HL269" s="770"/>
      <c r="HM269" s="770"/>
      <c r="HN269" s="770"/>
      <c r="HO269" s="770"/>
      <c r="HP269" s="770"/>
      <c r="HQ269" s="770"/>
      <c r="HR269" s="770"/>
      <c r="HS269" s="770"/>
      <c r="HT269" s="770"/>
      <c r="HU269" s="770"/>
      <c r="HV269" s="770"/>
      <c r="HW269" s="770"/>
      <c r="HX269" s="770"/>
      <c r="HY269" s="770"/>
      <c r="HZ269" s="770"/>
      <c r="IA269" s="770"/>
      <c r="IB269" s="14" t="e">
        <f>IF(#REF!&gt;0,IF(#REF!&lt;=10000,"Y",""),"")</f>
        <v>#REF!</v>
      </c>
      <c r="IC269" s="770"/>
      <c r="ID269" s="770"/>
      <c r="IE269" s="770"/>
      <c r="IF269" s="770"/>
      <c r="IG269" s="770"/>
      <c r="IH269" s="770"/>
      <c r="II269" s="770"/>
      <c r="IJ269" s="770"/>
      <c r="IK269" s="770"/>
      <c r="IL269" s="770"/>
      <c r="IM269" s="770"/>
      <c r="IN269" s="770"/>
      <c r="IO269" s="296"/>
      <c r="IP269" s="770"/>
      <c r="IQ269" s="770"/>
      <c r="IR269" s="770"/>
      <c r="IS269" s="770"/>
      <c r="IT269" s="770"/>
      <c r="IU269" s="770"/>
      <c r="IV269" s="770"/>
      <c r="IW269" s="770"/>
      <c r="IX269" s="770"/>
      <c r="IY269" s="770"/>
      <c r="IZ269" s="770"/>
      <c r="JA269" s="770"/>
      <c r="JB269" s="770"/>
      <c r="JC269" s="770"/>
      <c r="JD269" s="302"/>
      <c r="JE269" s="770"/>
      <c r="JF269" s="770"/>
      <c r="JG269" s="770"/>
      <c r="JH269" s="770"/>
      <c r="JI269" s="712" t="str">
        <f t="shared" si="75"/>
        <v>ok</v>
      </c>
      <c r="JJ269" s="770">
        <v>1</v>
      </c>
      <c r="JK269" s="1139" t="s">
        <v>11392</v>
      </c>
      <c r="JL269" s="770"/>
      <c r="JM269" s="770"/>
      <c r="JN269" s="770"/>
      <c r="JO269" s="770">
        <v>1</v>
      </c>
      <c r="JP269" s="770"/>
      <c r="JQ269" s="770"/>
      <c r="JR269" s="770"/>
      <c r="JS269" s="770"/>
      <c r="JT269" s="766">
        <f t="shared" si="83"/>
        <v>0</v>
      </c>
      <c r="JU269" s="766">
        <f t="shared" si="83"/>
        <v>1</v>
      </c>
      <c r="JV269" s="712" t="str">
        <f t="shared" si="76"/>
        <v>ok</v>
      </c>
      <c r="JW269" s="712" t="str">
        <f t="shared" si="77"/>
        <v>ok</v>
      </c>
      <c r="JX269" s="770"/>
      <c r="JY269" s="770"/>
      <c r="JZ269" s="770"/>
      <c r="KA269" s="770"/>
      <c r="KB269" s="770"/>
      <c r="KC269" s="770"/>
      <c r="KD269" s="770"/>
      <c r="KE269" s="770">
        <v>1</v>
      </c>
      <c r="KF269" s="770"/>
      <c r="KG269" s="770"/>
      <c r="KH269" s="770"/>
      <c r="KI269" s="770"/>
      <c r="KJ269" s="770">
        <f t="shared" ref="KJ269:KK329" si="86">SUM(KF269,KD269,KB269,JZ269,JX269,KH269)</f>
        <v>0</v>
      </c>
      <c r="KK269" s="770">
        <f t="shared" si="86"/>
        <v>1</v>
      </c>
      <c r="KL269" s="712" t="str">
        <f t="shared" si="84"/>
        <v>ok</v>
      </c>
      <c r="KM269" s="712" t="str">
        <f t="shared" si="85"/>
        <v>ok</v>
      </c>
      <c r="KN269" s="770" t="s">
        <v>768</v>
      </c>
      <c r="KO269" s="770"/>
      <c r="KP269" s="770"/>
      <c r="KQ269" s="770"/>
      <c r="KR269" s="770"/>
      <c r="KS269" s="770"/>
      <c r="KT269" s="770"/>
      <c r="KU269" s="770"/>
      <c r="KV269" s="770"/>
      <c r="KW269" s="770"/>
      <c r="KX269" s="770"/>
      <c r="KY269" s="770"/>
      <c r="KZ269" s="770"/>
      <c r="LA269" s="770">
        <v>1</v>
      </c>
      <c r="LB269" s="770"/>
      <c r="LC269" s="770"/>
      <c r="LD269" s="770"/>
      <c r="LE269" s="770"/>
      <c r="LF269" s="770"/>
      <c r="LG269" s="770"/>
      <c r="LH269" s="770"/>
      <c r="LI269" s="770"/>
      <c r="LJ269" s="770"/>
      <c r="LK269" s="770"/>
      <c r="LL269" s="770"/>
      <c r="LM269" s="770"/>
      <c r="LN269" s="766">
        <f t="shared" si="71"/>
        <v>0</v>
      </c>
      <c r="LO269" s="766">
        <f t="shared" si="71"/>
        <v>1</v>
      </c>
      <c r="LP269" s="770">
        <v>1</v>
      </c>
      <c r="LQ269" s="770">
        <v>1</v>
      </c>
      <c r="LR269" s="770"/>
      <c r="LS269" s="770"/>
      <c r="LT269" s="712" t="str">
        <f t="shared" si="80"/>
        <v>OK</v>
      </c>
      <c r="LU269" s="770"/>
      <c r="LV269" s="770">
        <v>1</v>
      </c>
      <c r="LW269" s="770"/>
      <c r="LX269" s="769">
        <v>2</v>
      </c>
      <c r="LY269" s="766" t="str">
        <f t="shared" si="82"/>
        <v>within the MUNICIPALITY</v>
      </c>
      <c r="LZ269" s="299">
        <f>16*26</f>
        <v>416</v>
      </c>
      <c r="MA269" s="306"/>
      <c r="MB269" s="306"/>
      <c r="MC269" s="1679">
        <f t="shared" si="70"/>
        <v>416</v>
      </c>
      <c r="MD269" s="306">
        <v>8000</v>
      </c>
      <c r="ME269" s="306"/>
      <c r="MF269" s="306"/>
      <c r="MG269" s="1680">
        <f t="shared" si="81"/>
        <v>8000</v>
      </c>
      <c r="MH269" s="770" t="s">
        <v>2225</v>
      </c>
      <c r="MI269" s="302">
        <v>4000</v>
      </c>
      <c r="MJ269" s="302">
        <f>16*26</f>
        <v>416</v>
      </c>
      <c r="MK269" s="302"/>
      <c r="ML269" s="302"/>
      <c r="MM269" s="302"/>
      <c r="MN269" s="302">
        <v>1700</v>
      </c>
      <c r="MO269" s="302">
        <f>60*4</f>
        <v>240</v>
      </c>
      <c r="MP269" s="302">
        <v>400</v>
      </c>
      <c r="MQ269" s="302">
        <v>200</v>
      </c>
      <c r="MR269" s="302">
        <v>250</v>
      </c>
      <c r="MS269" s="302">
        <f>300*4</f>
        <v>1200</v>
      </c>
      <c r="MT269" s="302"/>
      <c r="MU269" s="302"/>
      <c r="MV269" s="302"/>
      <c r="MW269" s="302"/>
      <c r="MX269" s="302"/>
      <c r="MY269" s="1682">
        <f t="shared" si="74"/>
        <v>8406</v>
      </c>
      <c r="MZ269" s="770" t="s">
        <v>13398</v>
      </c>
      <c r="NA269" s="770" t="s">
        <v>13005</v>
      </c>
      <c r="NB269" s="770" t="s">
        <v>13069</v>
      </c>
      <c r="NC269" s="766" t="s">
        <v>13135</v>
      </c>
      <c r="ND269" s="770">
        <v>0</v>
      </c>
      <c r="NE269" s="770">
        <v>0</v>
      </c>
      <c r="NF269" s="770">
        <v>0</v>
      </c>
      <c r="NG269" s="770">
        <v>1</v>
      </c>
      <c r="NH269" s="770">
        <v>1</v>
      </c>
      <c r="NI269" s="770">
        <v>0</v>
      </c>
      <c r="NJ269" s="770">
        <v>0</v>
      </c>
      <c r="NK269" s="770">
        <v>0</v>
      </c>
      <c r="NL269" s="770">
        <v>0</v>
      </c>
      <c r="NM269" s="770">
        <v>0</v>
      </c>
      <c r="NN269" s="770">
        <v>1</v>
      </c>
      <c r="NO269" s="770">
        <v>0</v>
      </c>
      <c r="NP269" s="770">
        <v>0</v>
      </c>
      <c r="NQ269" s="770">
        <v>0</v>
      </c>
      <c r="NR269" s="770">
        <v>0</v>
      </c>
      <c r="NS269" s="770">
        <v>0</v>
      </c>
      <c r="NT269" s="770">
        <v>0</v>
      </c>
      <c r="NU269" s="770">
        <v>0</v>
      </c>
      <c r="NV269" s="770">
        <v>0</v>
      </c>
      <c r="NW269" s="770">
        <v>0</v>
      </c>
      <c r="NX269" s="770">
        <v>0</v>
      </c>
      <c r="NY269" s="770" t="s">
        <v>1208</v>
      </c>
      <c r="NZ269" s="770"/>
      <c r="OA269" s="770"/>
      <c r="OB269" s="770" t="s">
        <v>1208</v>
      </c>
      <c r="OC269" s="770" t="s">
        <v>1208</v>
      </c>
      <c r="OD269" s="770"/>
      <c r="OE269" s="770"/>
      <c r="OF269" s="770"/>
      <c r="OG269" s="770"/>
      <c r="OH269" s="770"/>
      <c r="OI269" s="770"/>
      <c r="OJ269" s="770"/>
      <c r="OK269" s="770"/>
      <c r="OL269" s="770"/>
      <c r="OM269" s="770"/>
      <c r="ON269" s="770"/>
      <c r="OO269" s="770"/>
      <c r="OP269" s="770"/>
      <c r="OQ269" s="770"/>
      <c r="OR269" s="770"/>
      <c r="OS269" s="770"/>
      <c r="OT269" s="770"/>
      <c r="OU269" s="770"/>
      <c r="OV269" s="770"/>
      <c r="OW269" s="770"/>
      <c r="OX269" s="770"/>
      <c r="OY269" s="770"/>
      <c r="OZ269" s="770"/>
      <c r="PA269" s="770"/>
      <c r="PB269" s="770"/>
      <c r="PC269" s="770"/>
      <c r="PD269" s="770"/>
      <c r="PE269" s="770"/>
      <c r="PF269" s="770"/>
      <c r="PG269" s="770"/>
      <c r="PH269" s="770"/>
      <c r="PI269" s="770"/>
      <c r="PJ269" s="770"/>
      <c r="PK269" s="770" t="s">
        <v>1208</v>
      </c>
      <c r="PL269" s="770"/>
      <c r="PM269" s="770"/>
      <c r="PN269" s="770"/>
      <c r="PO269" s="770"/>
      <c r="PP269" s="770"/>
      <c r="PQ269" s="770"/>
      <c r="PR269" s="770" t="s">
        <v>1208</v>
      </c>
      <c r="PS269" s="770"/>
      <c r="PT269" s="770"/>
      <c r="PU269" s="770"/>
      <c r="PV269" s="770"/>
      <c r="PW269" s="770"/>
      <c r="PX269" s="770"/>
      <c r="PY269" s="770"/>
      <c r="PZ269" s="770"/>
      <c r="QA269" s="770"/>
      <c r="QB269" s="770"/>
      <c r="QC269" s="770"/>
      <c r="QD269" s="770"/>
      <c r="QE269" s="770"/>
      <c r="QF269" s="770"/>
      <c r="QG269" s="770"/>
      <c r="QH269" s="770"/>
      <c r="QI269" s="770"/>
      <c r="QJ269" s="770"/>
      <c r="QK269" s="770"/>
      <c r="QL269" s="770"/>
      <c r="QM269" s="770"/>
      <c r="QN269" s="770"/>
      <c r="QO269" s="770"/>
      <c r="QP269" s="770"/>
      <c r="QQ269" s="770"/>
      <c r="QR269" s="770"/>
      <c r="QS269" s="770"/>
      <c r="QT269" s="770"/>
      <c r="QU269" s="770"/>
      <c r="QV269" s="770"/>
      <c r="QW269" s="770"/>
      <c r="QX269" s="770"/>
      <c r="QY269" s="770"/>
      <c r="QZ269" s="770"/>
      <c r="RA269" s="770"/>
      <c r="RB269" s="770" t="s">
        <v>1207</v>
      </c>
      <c r="RC269" s="770">
        <v>2016</v>
      </c>
      <c r="RD269" s="770" t="s">
        <v>13046</v>
      </c>
      <c r="RE269" s="770" t="s">
        <v>13008</v>
      </c>
      <c r="RF269" s="304">
        <f>CONVERT(3,"in","m")</f>
        <v>7.6200000000000004E-2</v>
      </c>
      <c r="RG269" s="770" t="s">
        <v>13397</v>
      </c>
      <c r="RH269" s="302">
        <v>0</v>
      </c>
      <c r="RI269" s="770">
        <v>1</v>
      </c>
      <c r="RJ269" s="770" t="s">
        <v>11392</v>
      </c>
      <c r="RK269" s="770" t="s">
        <v>13013</v>
      </c>
      <c r="RL269" s="1710">
        <v>42918</v>
      </c>
      <c r="RM269" s="12"/>
      <c r="RN269" s="1711"/>
      <c r="RO269" s="140" t="s">
        <v>447</v>
      </c>
      <c r="RP269" s="11"/>
      <c r="RQ269" s="11"/>
      <c r="RR269" s="19" t="s">
        <v>12452</v>
      </c>
      <c r="RS269" s="1139" t="s">
        <v>12980</v>
      </c>
      <c r="RT269" s="11"/>
      <c r="RU269" s="11"/>
      <c r="RV269" s="771" t="s">
        <v>12353</v>
      </c>
      <c r="RW269" s="11" t="s">
        <v>11399</v>
      </c>
      <c r="RX269" s="11" t="s">
        <v>447</v>
      </c>
      <c r="RY269" s="11"/>
      <c r="RZ269" s="11"/>
      <c r="SA269" s="771"/>
      <c r="SB269" s="11"/>
      <c r="SC269" s="11"/>
    </row>
    <row r="270" spans="1:497" ht="12.75" customHeight="1">
      <c r="A270" s="767" t="s">
        <v>7421</v>
      </c>
      <c r="B270" s="292" t="s">
        <v>7612</v>
      </c>
      <c r="C270" s="140" t="s">
        <v>448</v>
      </c>
      <c r="D270" s="770" t="s">
        <v>449</v>
      </c>
      <c r="E270" s="766" t="s">
        <v>450</v>
      </c>
      <c r="F270" s="770" t="s">
        <v>451</v>
      </c>
      <c r="G270" s="770" t="s">
        <v>18</v>
      </c>
      <c r="H270" s="770"/>
      <c r="I270" s="295"/>
      <c r="J270" s="94" t="s">
        <v>959</v>
      </c>
      <c r="K270" s="770"/>
      <c r="L270" s="770"/>
      <c r="M270" s="770"/>
      <c r="N270" s="770"/>
      <c r="O270" s="770"/>
      <c r="P270" s="94" t="s">
        <v>959</v>
      </c>
      <c r="Q270" s="1088">
        <v>19939</v>
      </c>
      <c r="R270" s="297">
        <v>62</v>
      </c>
      <c r="S270" s="770" t="s">
        <v>10</v>
      </c>
      <c r="T270" s="770"/>
      <c r="U270" s="298" t="s">
        <v>960</v>
      </c>
      <c r="V270" s="770" t="s">
        <v>707</v>
      </c>
      <c r="W270" s="770"/>
      <c r="X270" s="296"/>
      <c r="Y270" s="770" t="s">
        <v>961</v>
      </c>
      <c r="Z270" s="770" t="s">
        <v>708</v>
      </c>
      <c r="AA270" s="770" t="s">
        <v>709</v>
      </c>
      <c r="AB270" s="770"/>
      <c r="AC270" s="766" t="s">
        <v>724</v>
      </c>
      <c r="AD270" s="770"/>
      <c r="AE270" s="770"/>
      <c r="AF270" s="770" t="s">
        <v>962</v>
      </c>
      <c r="AG270" s="766" t="s">
        <v>1132</v>
      </c>
      <c r="AH270" s="766" t="s">
        <v>1096</v>
      </c>
      <c r="AI270" s="770"/>
      <c r="AJ270" s="770" t="s">
        <v>1137</v>
      </c>
      <c r="AK270" s="770" t="s">
        <v>1101</v>
      </c>
      <c r="AL270" s="299"/>
      <c r="AM270" s="300"/>
      <c r="AN270" s="301"/>
      <c r="AO270" s="766" t="s">
        <v>1122</v>
      </c>
      <c r="AP270" s="766"/>
      <c r="AQ270" s="766"/>
      <c r="AR270" s="766"/>
      <c r="AS270" s="770"/>
      <c r="AT270" s="770"/>
      <c r="AU270" s="770"/>
      <c r="AV270" s="770"/>
      <c r="AW270" s="770"/>
      <c r="AX270" s="770"/>
      <c r="AY270" s="770"/>
      <c r="AZ270" s="770"/>
      <c r="BA270" s="770"/>
      <c r="BB270" s="770"/>
      <c r="BC270" s="770"/>
      <c r="BD270" s="770"/>
      <c r="BE270" s="770"/>
      <c r="BF270" s="302"/>
      <c r="BG270" s="302"/>
      <c r="BH270" s="770"/>
      <c r="BI270" s="770"/>
      <c r="BJ270" s="770"/>
      <c r="BK270" s="770" t="s">
        <v>1095</v>
      </c>
      <c r="BL270" s="766" t="s">
        <v>2093</v>
      </c>
      <c r="BM270" s="766" t="s">
        <v>8108</v>
      </c>
      <c r="BN270" s="766" t="s">
        <v>1230</v>
      </c>
      <c r="BO270" s="766" t="s">
        <v>1246</v>
      </c>
      <c r="BP270" s="1111">
        <v>14</v>
      </c>
      <c r="BQ270" s="772">
        <v>8</v>
      </c>
      <c r="BR270" s="774">
        <f t="shared" ref="BR270:BR277" si="87">BQ270/BP270</f>
        <v>0.5714285714285714</v>
      </c>
      <c r="BS270" s="766" t="s">
        <v>1105</v>
      </c>
      <c r="BT270" s="766" t="s">
        <v>8133</v>
      </c>
      <c r="BU270" s="766" t="s">
        <v>1288</v>
      </c>
      <c r="BV270" s="770" t="s">
        <v>1247</v>
      </c>
      <c r="BW270" s="770">
        <v>1994</v>
      </c>
      <c r="BX270" s="302"/>
      <c r="BY270" s="770"/>
      <c r="BZ270" s="302"/>
      <c r="CA270" s="770"/>
      <c r="CB270" s="770"/>
      <c r="CC270" s="770"/>
      <c r="CD270" s="770"/>
      <c r="CE270" s="770"/>
      <c r="CF270" s="304"/>
      <c r="CG270" s="321"/>
      <c r="CH270" s="770"/>
      <c r="CI270" s="770"/>
      <c r="CJ270" s="770"/>
      <c r="CK270" s="770"/>
      <c r="CL270" s="770"/>
      <c r="CM270" s="770"/>
      <c r="CN270" s="770"/>
      <c r="CO270" s="770"/>
      <c r="CP270" s="770"/>
      <c r="CQ270" s="770"/>
      <c r="CR270" s="302"/>
      <c r="CS270" s="770"/>
      <c r="CT270" s="770"/>
      <c r="CU270" s="305"/>
      <c r="CV270" s="770"/>
      <c r="CW270" s="770"/>
      <c r="CX270" s="770"/>
      <c r="CY270" s="770"/>
      <c r="CZ270" s="770"/>
      <c r="DA270" s="306"/>
      <c r="DB270" s="770"/>
      <c r="DC270" s="770"/>
      <c r="DD270" s="770"/>
      <c r="DE270" s="300"/>
      <c r="DF270" s="770"/>
      <c r="DG270" s="770"/>
      <c r="DH270" s="770"/>
      <c r="DI270" s="770"/>
      <c r="DJ270" s="770"/>
      <c r="DK270" s="770"/>
      <c r="DL270" s="770"/>
      <c r="DM270" s="770"/>
      <c r="DN270" s="322"/>
      <c r="DO270" s="770"/>
      <c r="DP270" s="770"/>
      <c r="DQ270" s="770"/>
      <c r="DR270" s="770"/>
      <c r="DS270" s="307"/>
      <c r="DT270" s="770"/>
      <c r="DU270" s="770"/>
      <c r="DV270" s="770"/>
      <c r="DW270" s="306"/>
      <c r="DX270" s="306"/>
      <c r="DY270" s="770"/>
      <c r="DZ270" s="770"/>
      <c r="EA270" s="770"/>
      <c r="EB270" s="770"/>
      <c r="EC270" s="770"/>
      <c r="ED270" s="770"/>
      <c r="EE270" s="770"/>
      <c r="EF270" s="770"/>
      <c r="EG270" s="770"/>
      <c r="EH270" s="770"/>
      <c r="EI270" s="770"/>
      <c r="EJ270" s="770"/>
      <c r="EK270" s="770"/>
      <c r="EL270" s="770"/>
      <c r="EM270" s="770"/>
      <c r="EN270" s="770"/>
      <c r="EO270" s="770"/>
      <c r="EP270" s="94"/>
      <c r="EQ270" s="770"/>
      <c r="ER270" s="770"/>
      <c r="ES270" s="770"/>
      <c r="ET270" s="770"/>
      <c r="EU270" s="770"/>
      <c r="EV270" s="770"/>
      <c r="EW270" s="770"/>
      <c r="EX270" s="770"/>
      <c r="EY270" s="770"/>
      <c r="EZ270" s="770"/>
      <c r="FA270" s="770"/>
      <c r="FB270" s="770"/>
      <c r="FC270" s="770"/>
      <c r="FD270" s="302"/>
      <c r="FE270" s="770"/>
      <c r="FF270" s="770"/>
      <c r="FG270" s="770"/>
      <c r="FH270" s="770" t="s">
        <v>478</v>
      </c>
      <c r="FI270" s="770">
        <v>1</v>
      </c>
      <c r="FJ270" s="770"/>
      <c r="FK270" s="770"/>
      <c r="FL270" s="770"/>
      <c r="FM270" s="302"/>
      <c r="FN270" s="302"/>
      <c r="FO270" s="302"/>
      <c r="FP270" s="766" t="s">
        <v>1602</v>
      </c>
      <c r="FQ270" s="766" t="s">
        <v>1660</v>
      </c>
      <c r="FR270" s="770" t="s">
        <v>1214</v>
      </c>
      <c r="FS270" s="770"/>
      <c r="FT270" s="770"/>
      <c r="FU270" s="770"/>
      <c r="FV270" s="770"/>
      <c r="FW270" s="770"/>
      <c r="FX270" s="770"/>
      <c r="FY270" s="770"/>
      <c r="FZ270" s="770"/>
      <c r="GA270" s="770"/>
      <c r="GB270" s="770"/>
      <c r="GC270" s="308"/>
      <c r="GD270" s="297"/>
      <c r="GE270" s="770"/>
      <c r="GF270" s="302"/>
      <c r="GG270" s="302"/>
      <c r="GH270" s="712" t="s">
        <v>14260</v>
      </c>
      <c r="GI270" s="770"/>
      <c r="GJ270" s="770"/>
      <c r="GK270" s="770"/>
      <c r="GL270" s="770"/>
      <c r="GM270" s="770"/>
      <c r="GN270" s="309"/>
      <c r="GO270" s="770"/>
      <c r="GP270" s="770"/>
      <c r="GQ270" s="770"/>
      <c r="GR270" s="770"/>
      <c r="GS270" s="770"/>
      <c r="GT270" s="770"/>
      <c r="GU270" s="770"/>
      <c r="GV270" s="770"/>
      <c r="GW270" s="770"/>
      <c r="GX270" s="770"/>
      <c r="GY270" s="770"/>
      <c r="GZ270" s="770"/>
      <c r="HA270" s="770"/>
      <c r="HB270" s="770"/>
      <c r="HC270" s="770"/>
      <c r="HD270" s="770"/>
      <c r="HE270" s="770"/>
      <c r="HF270" s="770"/>
      <c r="HG270" s="770"/>
      <c r="HH270" s="770"/>
      <c r="HI270" s="770" t="s">
        <v>1214</v>
      </c>
      <c r="HJ270" s="770"/>
      <c r="HK270" s="770"/>
      <c r="HL270" s="770" t="s">
        <v>1214</v>
      </c>
      <c r="HM270" s="770"/>
      <c r="HN270" s="770"/>
      <c r="HO270" s="770"/>
      <c r="HP270" s="770"/>
      <c r="HQ270" s="770"/>
      <c r="HR270" s="770"/>
      <c r="HS270" s="770"/>
      <c r="HT270" s="770"/>
      <c r="HU270" s="770"/>
      <c r="HV270" s="770"/>
      <c r="HW270" s="770"/>
      <c r="HX270" s="770"/>
      <c r="HY270" s="770"/>
      <c r="HZ270" s="770"/>
      <c r="IA270" s="770"/>
      <c r="IB270" s="14" t="e">
        <f>IF(#REF!&gt;0,IF(#REF!&lt;=10000,"Y",""),"")</f>
        <v>#REF!</v>
      </c>
      <c r="IC270" s="770"/>
      <c r="ID270" s="770">
        <v>1</v>
      </c>
      <c r="IE270" s="770"/>
      <c r="IF270" s="770"/>
      <c r="IG270" s="770"/>
      <c r="IH270" s="770"/>
      <c r="II270" s="770"/>
      <c r="IJ270" s="770"/>
      <c r="IK270" s="770"/>
      <c r="IL270" s="770"/>
      <c r="IM270" s="770"/>
      <c r="IN270" s="770"/>
      <c r="IO270" s="296"/>
      <c r="IP270" s="770"/>
      <c r="IQ270" s="770"/>
      <c r="IR270" s="770"/>
      <c r="IS270" s="770"/>
      <c r="IT270" s="770"/>
      <c r="IU270" s="770"/>
      <c r="IV270" s="770"/>
      <c r="IW270" s="770"/>
      <c r="IX270" s="770"/>
      <c r="IY270" s="770"/>
      <c r="IZ270" s="770"/>
      <c r="JA270" s="770"/>
      <c r="JB270" s="770"/>
      <c r="JC270" s="770"/>
      <c r="JD270" s="302"/>
      <c r="JE270" s="770"/>
      <c r="JF270" s="770"/>
      <c r="JG270" s="770"/>
      <c r="JH270" s="770"/>
      <c r="JI270" s="712" t="str">
        <f t="shared" si="75"/>
        <v>ok</v>
      </c>
      <c r="JJ270" s="766">
        <v>2</v>
      </c>
      <c r="JK270" s="1139" t="s">
        <v>2093</v>
      </c>
      <c r="JL270" s="770"/>
      <c r="JM270" s="770"/>
      <c r="JN270" s="770">
        <v>2</v>
      </c>
      <c r="JO270" s="770"/>
      <c r="JP270" s="770"/>
      <c r="JQ270" s="770"/>
      <c r="JR270" s="770"/>
      <c r="JS270" s="770"/>
      <c r="JT270" s="766">
        <f t="shared" si="83"/>
        <v>2</v>
      </c>
      <c r="JU270" s="766">
        <f t="shared" si="83"/>
        <v>0</v>
      </c>
      <c r="JV270" s="712" t="str">
        <f t="shared" si="76"/>
        <v>ok</v>
      </c>
      <c r="JW270" s="712" t="str">
        <f t="shared" si="77"/>
        <v>ok</v>
      </c>
      <c r="JX270" s="770"/>
      <c r="JY270" s="770"/>
      <c r="JZ270" s="770"/>
      <c r="KA270" s="770"/>
      <c r="KB270" s="770"/>
      <c r="KC270" s="770"/>
      <c r="KD270" s="770">
        <v>1</v>
      </c>
      <c r="KE270" s="770"/>
      <c r="KF270" s="770">
        <v>1</v>
      </c>
      <c r="KG270" s="770"/>
      <c r="KH270" s="770"/>
      <c r="KI270" s="770"/>
      <c r="KJ270" s="770">
        <f t="shared" si="86"/>
        <v>2</v>
      </c>
      <c r="KK270" s="770">
        <f t="shared" si="86"/>
        <v>0</v>
      </c>
      <c r="KL270" s="712" t="str">
        <f t="shared" si="84"/>
        <v>ok</v>
      </c>
      <c r="KM270" s="712" t="str">
        <f t="shared" si="85"/>
        <v>ok</v>
      </c>
      <c r="KN270" s="770" t="s">
        <v>707</v>
      </c>
      <c r="KO270" s="770"/>
      <c r="KP270" s="770"/>
      <c r="KQ270" s="770"/>
      <c r="KR270" s="770"/>
      <c r="KS270" s="770"/>
      <c r="KT270" s="770"/>
      <c r="KU270" s="770"/>
      <c r="KV270" s="770"/>
      <c r="KW270" s="770"/>
      <c r="KX270" s="770">
        <v>1</v>
      </c>
      <c r="KY270" s="770"/>
      <c r="KZ270" s="770">
        <v>1</v>
      </c>
      <c r="LA270" s="770"/>
      <c r="LB270" s="770"/>
      <c r="LC270" s="770"/>
      <c r="LD270" s="770"/>
      <c r="LE270" s="770"/>
      <c r="LF270" s="770"/>
      <c r="LG270" s="770"/>
      <c r="LH270" s="770"/>
      <c r="LI270" s="770"/>
      <c r="LJ270" s="770"/>
      <c r="LK270" s="770"/>
      <c r="LL270" s="770"/>
      <c r="LM270" s="770"/>
      <c r="LN270" s="766">
        <f t="shared" si="71"/>
        <v>2</v>
      </c>
      <c r="LO270" s="766">
        <f t="shared" si="71"/>
        <v>0</v>
      </c>
      <c r="LP270" s="770">
        <v>2</v>
      </c>
      <c r="LQ270" s="770">
        <v>1</v>
      </c>
      <c r="LR270" s="770"/>
      <c r="LS270" s="770">
        <v>1</v>
      </c>
      <c r="LT270" s="712" t="str">
        <f t="shared" si="80"/>
        <v>OK</v>
      </c>
      <c r="LU270" s="770">
        <v>1</v>
      </c>
      <c r="LV270" s="770"/>
      <c r="LW270" s="770"/>
      <c r="LX270" s="769">
        <v>3</v>
      </c>
      <c r="LY270" s="766" t="str">
        <f t="shared" si="82"/>
        <v>within the PROVINCE</v>
      </c>
      <c r="LZ270" s="299"/>
      <c r="MA270" s="306"/>
      <c r="MB270" s="306">
        <v>804</v>
      </c>
      <c r="MC270" s="1679">
        <f t="shared" si="70"/>
        <v>804</v>
      </c>
      <c r="MD270" s="306">
        <v>2000</v>
      </c>
      <c r="ME270" s="306"/>
      <c r="MF270" s="306">
        <v>4200</v>
      </c>
      <c r="MG270" s="1680">
        <f t="shared" si="81"/>
        <v>6200</v>
      </c>
      <c r="MH270" s="770" t="s">
        <v>13399</v>
      </c>
      <c r="MI270" s="302">
        <v>3500</v>
      </c>
      <c r="MJ270" s="302">
        <v>840</v>
      </c>
      <c r="MK270" s="302">
        <f>440/12</f>
        <v>36.666666666666664</v>
      </c>
      <c r="ML270" s="302">
        <v>300</v>
      </c>
      <c r="MM270" s="302"/>
      <c r="MN270" s="302"/>
      <c r="MO270" s="302">
        <v>140</v>
      </c>
      <c r="MP270" s="302">
        <v>200</v>
      </c>
      <c r="MQ270" s="302"/>
      <c r="MR270" s="302">
        <v>100</v>
      </c>
      <c r="MS270" s="302"/>
      <c r="MT270" s="302"/>
      <c r="MU270" s="302"/>
      <c r="MV270" s="302"/>
      <c r="MW270" s="302"/>
      <c r="MX270" s="302"/>
      <c r="MY270" s="1682">
        <f t="shared" si="74"/>
        <v>5116.666666666667</v>
      </c>
      <c r="MZ270" s="770" t="s">
        <v>13164</v>
      </c>
      <c r="NA270" s="770" t="s">
        <v>1835</v>
      </c>
      <c r="NB270" s="770" t="s">
        <v>13164</v>
      </c>
      <c r="NC270" s="770" t="s">
        <v>13135</v>
      </c>
      <c r="ND270" s="770">
        <v>0</v>
      </c>
      <c r="NE270" s="770">
        <v>0</v>
      </c>
      <c r="NF270" s="770">
        <v>0</v>
      </c>
      <c r="NG270" s="770">
        <v>1</v>
      </c>
      <c r="NH270" s="770">
        <v>0</v>
      </c>
      <c r="NI270" s="770">
        <v>0</v>
      </c>
      <c r="NJ270" s="770">
        <v>0</v>
      </c>
      <c r="NK270" s="770">
        <v>0</v>
      </c>
      <c r="NL270" s="770">
        <v>0</v>
      </c>
      <c r="NM270" s="770">
        <v>0</v>
      </c>
      <c r="NN270" s="770">
        <v>0</v>
      </c>
      <c r="NO270" s="770">
        <v>0</v>
      </c>
      <c r="NP270" s="770">
        <v>0</v>
      </c>
      <c r="NQ270" s="770">
        <v>1</v>
      </c>
      <c r="NR270" s="770">
        <v>0</v>
      </c>
      <c r="NS270" s="770">
        <v>0</v>
      </c>
      <c r="NT270" s="770">
        <v>0</v>
      </c>
      <c r="NU270" s="770">
        <v>0</v>
      </c>
      <c r="NV270" s="770">
        <v>0</v>
      </c>
      <c r="NW270" s="770">
        <v>0</v>
      </c>
      <c r="NX270" s="770">
        <v>0</v>
      </c>
      <c r="NY270" s="770"/>
      <c r="NZ270" s="770"/>
      <c r="OA270" s="770"/>
      <c r="OB270" s="770"/>
      <c r="OC270" s="770"/>
      <c r="OD270" s="770"/>
      <c r="OE270" s="770"/>
      <c r="OF270" s="770"/>
      <c r="OG270" s="770"/>
      <c r="OH270" s="770"/>
      <c r="OI270" s="770"/>
      <c r="OJ270" s="770"/>
      <c r="OK270" s="770"/>
      <c r="OL270" s="770"/>
      <c r="OM270" s="770"/>
      <c r="ON270" s="770"/>
      <c r="OO270" s="770"/>
      <c r="OP270" s="770"/>
      <c r="OQ270" s="770"/>
      <c r="OR270" s="770"/>
      <c r="OS270" s="770"/>
      <c r="OT270" s="770"/>
      <c r="OU270" s="770"/>
      <c r="OV270" s="770"/>
      <c r="OW270" s="770"/>
      <c r="OX270" s="770"/>
      <c r="OY270" s="770"/>
      <c r="OZ270" s="770"/>
      <c r="PA270" s="770"/>
      <c r="PB270" s="770"/>
      <c r="PC270" s="770"/>
      <c r="PD270" s="770"/>
      <c r="PE270" s="770"/>
      <c r="PF270" s="770"/>
      <c r="PG270" s="770"/>
      <c r="PH270" s="770"/>
      <c r="PI270" s="770"/>
      <c r="PJ270" s="770"/>
      <c r="PK270" s="770"/>
      <c r="PL270" s="770"/>
      <c r="PM270" s="770" t="s">
        <v>1208</v>
      </c>
      <c r="PN270" s="770" t="s">
        <v>1208</v>
      </c>
      <c r="PO270" s="770"/>
      <c r="PP270" s="770"/>
      <c r="PQ270" s="770"/>
      <c r="PR270" s="770"/>
      <c r="PS270" s="770"/>
      <c r="PT270" s="770"/>
      <c r="PU270" s="770"/>
      <c r="PV270" s="770"/>
      <c r="PW270" s="770"/>
      <c r="PX270" s="770"/>
      <c r="PY270" s="770"/>
      <c r="PZ270" s="770"/>
      <c r="QA270" s="770"/>
      <c r="QB270" s="770"/>
      <c r="QC270" s="770"/>
      <c r="QD270" s="770"/>
      <c r="QE270" s="770"/>
      <c r="QF270" s="770"/>
      <c r="QG270" s="770"/>
      <c r="QH270" s="770"/>
      <c r="QI270" s="770"/>
      <c r="QJ270" s="770"/>
      <c r="QK270" s="770"/>
      <c r="QL270" s="770"/>
      <c r="QM270" s="770"/>
      <c r="QN270" s="770"/>
      <c r="QO270" s="770"/>
      <c r="QP270" s="770"/>
      <c r="QQ270" s="770"/>
      <c r="QR270" s="770"/>
      <c r="QS270" s="770"/>
      <c r="QT270" s="770"/>
      <c r="QU270" s="770"/>
      <c r="QV270" s="770"/>
      <c r="QW270" s="770"/>
      <c r="QX270" s="770"/>
      <c r="QY270" s="770"/>
      <c r="QZ270" s="770"/>
      <c r="RA270" s="770"/>
      <c r="RB270" s="770" t="s">
        <v>1214</v>
      </c>
      <c r="RC270" s="770"/>
      <c r="RD270" s="770"/>
      <c r="RE270" s="770"/>
      <c r="RF270" s="304"/>
      <c r="RG270" s="770"/>
      <c r="RH270" s="302"/>
      <c r="RI270" s="770"/>
      <c r="RJ270" s="770" t="s">
        <v>2093</v>
      </c>
      <c r="RK270" s="770" t="s">
        <v>13381</v>
      </c>
      <c r="RL270" s="1710" t="s">
        <v>1604</v>
      </c>
      <c r="RM270" s="12"/>
      <c r="RN270" s="1711"/>
      <c r="RO270" s="140" t="s">
        <v>448</v>
      </c>
      <c r="RP270" s="11"/>
      <c r="RQ270" s="11"/>
      <c r="RR270" s="19" t="s">
        <v>7421</v>
      </c>
      <c r="RS270" s="1139" t="s">
        <v>12980</v>
      </c>
      <c r="RT270" s="11"/>
      <c r="RU270" s="11"/>
      <c r="RV270" s="771" t="s">
        <v>12452</v>
      </c>
      <c r="RW270" s="11" t="s">
        <v>11385</v>
      </c>
      <c r="RX270" s="11" t="s">
        <v>447</v>
      </c>
      <c r="RY270" s="11"/>
      <c r="RZ270" s="11" t="s">
        <v>2209</v>
      </c>
      <c r="SA270" s="771"/>
      <c r="SB270" s="11"/>
      <c r="SC270" s="11"/>
    </row>
    <row r="271" spans="1:497" ht="12.75" customHeight="1">
      <c r="A271" s="19" t="s">
        <v>7421</v>
      </c>
      <c r="B271" s="292" t="s">
        <v>7611</v>
      </c>
      <c r="C271" s="140" t="s">
        <v>452</v>
      </c>
      <c r="D271" s="770" t="s">
        <v>449</v>
      </c>
      <c r="E271" s="766" t="s">
        <v>450</v>
      </c>
      <c r="F271" s="770" t="s">
        <v>20</v>
      </c>
      <c r="G271" s="770" t="s">
        <v>18</v>
      </c>
      <c r="H271" s="770"/>
      <c r="I271" s="295" t="s">
        <v>453</v>
      </c>
      <c r="J271" s="94"/>
      <c r="K271" s="770"/>
      <c r="L271" s="770"/>
      <c r="M271" s="770"/>
      <c r="N271" s="770"/>
      <c r="O271" s="770"/>
      <c r="P271" s="94" t="s">
        <v>963</v>
      </c>
      <c r="Q271" s="1088">
        <v>29116</v>
      </c>
      <c r="R271" s="297">
        <v>39</v>
      </c>
      <c r="S271" s="770" t="s">
        <v>10</v>
      </c>
      <c r="T271" s="298" t="s">
        <v>964</v>
      </c>
      <c r="U271" s="298"/>
      <c r="V271" s="770" t="s">
        <v>707</v>
      </c>
      <c r="W271" s="770"/>
      <c r="X271" s="296"/>
      <c r="Y271" s="770" t="s">
        <v>961</v>
      </c>
      <c r="Z271" s="770" t="s">
        <v>708</v>
      </c>
      <c r="AA271" s="770" t="s">
        <v>709</v>
      </c>
      <c r="AB271" s="770" t="s">
        <v>744</v>
      </c>
      <c r="AC271" s="770" t="s">
        <v>755</v>
      </c>
      <c r="AD271" s="770" t="s">
        <v>711</v>
      </c>
      <c r="AE271" s="770"/>
      <c r="AF271" s="770" t="s">
        <v>712</v>
      </c>
      <c r="AG271" s="766" t="s">
        <v>1132</v>
      </c>
      <c r="AH271" s="766" t="s">
        <v>1096</v>
      </c>
      <c r="AI271" s="770"/>
      <c r="AJ271" s="770" t="s">
        <v>1137</v>
      </c>
      <c r="AK271" s="770" t="s">
        <v>1101</v>
      </c>
      <c r="AL271" s="299"/>
      <c r="AM271" s="300"/>
      <c r="AN271" s="301"/>
      <c r="AO271" s="766"/>
      <c r="AP271" s="766"/>
      <c r="AQ271" s="766"/>
      <c r="AR271" s="766"/>
      <c r="AS271" s="770"/>
      <c r="AT271" s="770"/>
      <c r="AU271" s="770"/>
      <c r="AV271" s="770"/>
      <c r="AW271" s="770"/>
      <c r="AX271" s="770"/>
      <c r="AY271" s="770"/>
      <c r="AZ271" s="770"/>
      <c r="BA271" s="770"/>
      <c r="BB271" s="770"/>
      <c r="BC271" s="770"/>
      <c r="BD271" s="770"/>
      <c r="BE271" s="770"/>
      <c r="BF271" s="302"/>
      <c r="BG271" s="302"/>
      <c r="BH271" s="770"/>
      <c r="BI271" s="770"/>
      <c r="BJ271" s="770"/>
      <c r="BK271" s="770" t="s">
        <v>1095</v>
      </c>
      <c r="BL271" s="766" t="s">
        <v>12754</v>
      </c>
      <c r="BM271" s="766" t="s">
        <v>1096</v>
      </c>
      <c r="BN271" s="766" t="s">
        <v>1230</v>
      </c>
      <c r="BO271" s="766" t="s">
        <v>1246</v>
      </c>
      <c r="BP271" s="1111">
        <v>18</v>
      </c>
      <c r="BQ271" s="772">
        <v>3</v>
      </c>
      <c r="BR271" s="774">
        <f t="shared" si="87"/>
        <v>0.16666666666666666</v>
      </c>
      <c r="BS271" s="766" t="s">
        <v>1242</v>
      </c>
      <c r="BT271" s="766" t="s">
        <v>8133</v>
      </c>
      <c r="BU271" s="766" t="s">
        <v>1288</v>
      </c>
      <c r="BV271" s="770" t="s">
        <v>1247</v>
      </c>
      <c r="BW271" s="770">
        <v>1994</v>
      </c>
      <c r="BX271" s="302"/>
      <c r="BY271" s="770"/>
      <c r="BZ271" s="302"/>
      <c r="CA271" s="770"/>
      <c r="CB271" s="770"/>
      <c r="CC271" s="770"/>
      <c r="CD271" s="770"/>
      <c r="CE271" s="770"/>
      <c r="CF271" s="304"/>
      <c r="CG271" s="321"/>
      <c r="CH271" s="770"/>
      <c r="CI271" s="770"/>
      <c r="CJ271" s="770"/>
      <c r="CK271" s="770"/>
      <c r="CL271" s="770"/>
      <c r="CM271" s="770"/>
      <c r="CN271" s="770"/>
      <c r="CO271" s="770"/>
      <c r="CP271" s="770"/>
      <c r="CQ271" s="770"/>
      <c r="CR271" s="302"/>
      <c r="CS271" s="770"/>
      <c r="CT271" s="770"/>
      <c r="CU271" s="305"/>
      <c r="CV271" s="770"/>
      <c r="CW271" s="770"/>
      <c r="CX271" s="770"/>
      <c r="CY271" s="770"/>
      <c r="CZ271" s="770"/>
      <c r="DA271" s="306"/>
      <c r="DB271" s="770"/>
      <c r="DC271" s="770"/>
      <c r="DD271" s="770"/>
      <c r="DE271" s="300"/>
      <c r="DF271" s="770"/>
      <c r="DG271" s="770"/>
      <c r="DH271" s="770"/>
      <c r="DI271" s="770"/>
      <c r="DJ271" s="770"/>
      <c r="DK271" s="770"/>
      <c r="DL271" s="770"/>
      <c r="DM271" s="770"/>
      <c r="DN271" s="322"/>
      <c r="DO271" s="770"/>
      <c r="DP271" s="770"/>
      <c r="DQ271" s="770"/>
      <c r="DR271" s="770"/>
      <c r="DS271" s="307"/>
      <c r="DT271" s="770"/>
      <c r="DU271" s="770"/>
      <c r="DV271" s="770"/>
      <c r="DW271" s="306"/>
      <c r="DX271" s="306"/>
      <c r="DY271" s="770"/>
      <c r="DZ271" s="770"/>
      <c r="EA271" s="770"/>
      <c r="EB271" s="770"/>
      <c r="EC271" s="770"/>
      <c r="ED271" s="770"/>
      <c r="EE271" s="770"/>
      <c r="EF271" s="770"/>
      <c r="EG271" s="770"/>
      <c r="EH271" s="770"/>
      <c r="EI271" s="770"/>
      <c r="EJ271" s="770"/>
      <c r="EK271" s="770"/>
      <c r="EL271" s="770"/>
      <c r="EM271" s="770"/>
      <c r="EN271" s="770"/>
      <c r="EO271" s="770"/>
      <c r="EP271" s="94"/>
      <c r="EQ271" s="770"/>
      <c r="ER271" s="770"/>
      <c r="ES271" s="770"/>
      <c r="ET271" s="770"/>
      <c r="EU271" s="770"/>
      <c r="EV271" s="770"/>
      <c r="EW271" s="770"/>
      <c r="EX271" s="770"/>
      <c r="EY271" s="770"/>
      <c r="EZ271" s="770"/>
      <c r="FA271" s="770"/>
      <c r="FB271" s="770"/>
      <c r="FC271" s="770"/>
      <c r="FD271" s="302"/>
      <c r="FE271" s="770"/>
      <c r="FF271" s="770"/>
      <c r="FG271" s="770"/>
      <c r="FH271" s="770" t="s">
        <v>1263</v>
      </c>
      <c r="FI271" s="770">
        <v>1</v>
      </c>
      <c r="FJ271" s="770" t="s">
        <v>5593</v>
      </c>
      <c r="FK271" s="770"/>
      <c r="FL271" s="770" t="s">
        <v>5594</v>
      </c>
      <c r="FM271" s="302"/>
      <c r="FN271" s="302"/>
      <c r="FO271" s="302"/>
      <c r="FP271" s="766" t="s">
        <v>1600</v>
      </c>
      <c r="FQ271" s="766" t="s">
        <v>1642</v>
      </c>
      <c r="FR271" s="770" t="s">
        <v>1214</v>
      </c>
      <c r="FS271" s="770"/>
      <c r="FT271" s="770"/>
      <c r="FU271" s="770"/>
      <c r="FV271" s="770"/>
      <c r="FW271" s="770"/>
      <c r="FX271" s="770"/>
      <c r="FY271" s="770"/>
      <c r="FZ271" s="770"/>
      <c r="GA271" s="770"/>
      <c r="GB271" s="770"/>
      <c r="GC271" s="308"/>
      <c r="GD271" s="297"/>
      <c r="GE271" s="770"/>
      <c r="GF271" s="302"/>
      <c r="GG271" s="302"/>
      <c r="GH271" s="770"/>
      <c r="GI271" s="770"/>
      <c r="GJ271" s="770"/>
      <c r="GK271" s="770"/>
      <c r="GL271" s="770"/>
      <c r="GM271" s="770"/>
      <c r="GN271" s="309"/>
      <c r="GO271" s="770"/>
      <c r="GP271" s="770"/>
      <c r="GQ271" s="770"/>
      <c r="GR271" s="770"/>
      <c r="GS271" s="770"/>
      <c r="GT271" s="770"/>
      <c r="GU271" s="770"/>
      <c r="GV271" s="770"/>
      <c r="GW271" s="770"/>
      <c r="GX271" s="770"/>
      <c r="GY271" s="770"/>
      <c r="GZ271" s="770"/>
      <c r="HA271" s="770"/>
      <c r="HB271" s="770"/>
      <c r="HC271" s="770"/>
      <c r="HD271" s="770"/>
      <c r="HE271" s="770"/>
      <c r="HF271" s="770"/>
      <c r="HG271" s="770"/>
      <c r="HH271" s="770"/>
      <c r="HI271" s="770"/>
      <c r="HJ271" s="770"/>
      <c r="HK271" s="770"/>
      <c r="HL271" s="770"/>
      <c r="HM271" s="770"/>
      <c r="HN271" s="770"/>
      <c r="HO271" s="770"/>
      <c r="HP271" s="770"/>
      <c r="HQ271" s="770"/>
      <c r="HR271" s="770"/>
      <c r="HS271" s="770"/>
      <c r="HT271" s="770"/>
      <c r="HU271" s="770"/>
      <c r="HV271" s="770"/>
      <c r="HW271" s="770"/>
      <c r="HX271" s="770"/>
      <c r="HY271" s="770"/>
      <c r="HZ271" s="770"/>
      <c r="IA271" s="770"/>
      <c r="IB271" s="14" t="e">
        <f>IF(#REF!&gt;0,IF(#REF!&lt;=10000,"Y",""),"")</f>
        <v>#REF!</v>
      </c>
      <c r="IC271" s="770"/>
      <c r="ID271" s="770"/>
      <c r="IE271" s="770"/>
      <c r="IF271" s="770"/>
      <c r="IG271" s="770"/>
      <c r="IH271" s="770"/>
      <c r="II271" s="770"/>
      <c r="IJ271" s="770"/>
      <c r="IK271" s="770"/>
      <c r="IL271" s="770"/>
      <c r="IM271" s="770"/>
      <c r="IN271" s="770"/>
      <c r="IO271" s="296"/>
      <c r="IP271" s="770"/>
      <c r="IQ271" s="770"/>
      <c r="IR271" s="770"/>
      <c r="IS271" s="770"/>
      <c r="IT271" s="770"/>
      <c r="IU271" s="770"/>
      <c r="IV271" s="770"/>
      <c r="IW271" s="770"/>
      <c r="IX271" s="770"/>
      <c r="IY271" s="770"/>
      <c r="IZ271" s="770"/>
      <c r="JA271" s="770"/>
      <c r="JB271" s="770"/>
      <c r="JC271" s="770"/>
      <c r="JD271" s="302"/>
      <c r="JE271" s="770"/>
      <c r="JF271" s="770"/>
      <c r="JG271" s="770"/>
      <c r="JH271" s="770"/>
      <c r="JI271" s="712" t="str">
        <f t="shared" si="75"/>
        <v>ok</v>
      </c>
      <c r="JJ271" s="766">
        <v>5</v>
      </c>
      <c r="JK271" s="1139" t="s">
        <v>2094</v>
      </c>
      <c r="JL271" s="770">
        <v>1</v>
      </c>
      <c r="JM271" s="770"/>
      <c r="JN271" s="770">
        <v>2</v>
      </c>
      <c r="JO271" s="770">
        <v>2</v>
      </c>
      <c r="JP271" s="770"/>
      <c r="JQ271" s="770"/>
      <c r="JR271" s="770"/>
      <c r="JS271" s="770"/>
      <c r="JT271" s="766">
        <f t="shared" si="83"/>
        <v>3</v>
      </c>
      <c r="JU271" s="766">
        <f t="shared" si="83"/>
        <v>2</v>
      </c>
      <c r="JV271" s="712" t="str">
        <f t="shared" si="76"/>
        <v>ok</v>
      </c>
      <c r="JW271" s="712" t="str">
        <f t="shared" si="77"/>
        <v>ok</v>
      </c>
      <c r="JX271" s="770">
        <v>1</v>
      </c>
      <c r="JY271" s="770"/>
      <c r="JZ271" s="770"/>
      <c r="KA271" s="770"/>
      <c r="KB271" s="770">
        <v>1</v>
      </c>
      <c r="KC271" s="770">
        <v>1</v>
      </c>
      <c r="KD271" s="770">
        <v>1</v>
      </c>
      <c r="KE271" s="770">
        <v>1</v>
      </c>
      <c r="KF271" s="770"/>
      <c r="KG271" s="770"/>
      <c r="KH271" s="770"/>
      <c r="KI271" s="770"/>
      <c r="KJ271" s="770">
        <f t="shared" si="86"/>
        <v>3</v>
      </c>
      <c r="KK271" s="770">
        <f t="shared" si="86"/>
        <v>2</v>
      </c>
      <c r="KL271" s="712" t="str">
        <f t="shared" si="84"/>
        <v>ok</v>
      </c>
      <c r="KM271" s="712" t="str">
        <f t="shared" si="85"/>
        <v>ok</v>
      </c>
      <c r="KN271" s="770" t="s">
        <v>707</v>
      </c>
      <c r="KO271" s="770"/>
      <c r="KP271" s="770"/>
      <c r="KQ271" s="770"/>
      <c r="KR271" s="770"/>
      <c r="KS271" s="770"/>
      <c r="KT271" s="770">
        <v>2</v>
      </c>
      <c r="KU271" s="770">
        <v>1</v>
      </c>
      <c r="KV271" s="770"/>
      <c r="KW271" s="770"/>
      <c r="KX271" s="770"/>
      <c r="KY271" s="770"/>
      <c r="KZ271" s="770"/>
      <c r="LA271" s="770">
        <v>1</v>
      </c>
      <c r="LB271" s="770"/>
      <c r="LC271" s="770"/>
      <c r="LD271" s="770"/>
      <c r="LE271" s="770"/>
      <c r="LF271" s="770"/>
      <c r="LG271" s="770"/>
      <c r="LH271" s="770"/>
      <c r="LI271" s="770"/>
      <c r="LJ271" s="770">
        <v>1</v>
      </c>
      <c r="LK271" s="770"/>
      <c r="LL271" s="770"/>
      <c r="LM271" s="770"/>
      <c r="LN271" s="766">
        <f t="shared" si="71"/>
        <v>3</v>
      </c>
      <c r="LO271" s="766">
        <f t="shared" si="71"/>
        <v>2</v>
      </c>
      <c r="LP271" s="770">
        <v>1</v>
      </c>
      <c r="LQ271" s="770">
        <v>1</v>
      </c>
      <c r="LR271" s="770"/>
      <c r="LS271" s="770"/>
      <c r="LT271" s="712" t="str">
        <f t="shared" si="80"/>
        <v>OK</v>
      </c>
      <c r="LU271" s="770"/>
      <c r="LV271" s="770"/>
      <c r="LW271" s="770">
        <v>1</v>
      </c>
      <c r="LX271" s="769">
        <v>3</v>
      </c>
      <c r="LY271" s="766" t="str">
        <f t="shared" si="82"/>
        <v>within the PROVINCE</v>
      </c>
      <c r="LZ271" s="299"/>
      <c r="MA271" s="306"/>
      <c r="MB271" s="306"/>
      <c r="MC271" s="1679">
        <f t="shared" si="70"/>
        <v>0</v>
      </c>
      <c r="MD271" s="306">
        <f>400*20</f>
        <v>8000</v>
      </c>
      <c r="ME271" s="306"/>
      <c r="MF271" s="306"/>
      <c r="MG271" s="1680">
        <f t="shared" si="81"/>
        <v>8000</v>
      </c>
      <c r="MH271" s="770" t="s">
        <v>13400</v>
      </c>
      <c r="MI271" s="302">
        <f>150*30</f>
        <v>4500</v>
      </c>
      <c r="MJ271" s="302">
        <f>16*30</f>
        <v>480</v>
      </c>
      <c r="MK271" s="302">
        <f>800/12</f>
        <v>66.666666666666671</v>
      </c>
      <c r="ML271" s="302">
        <v>300</v>
      </c>
      <c r="MM271" s="302">
        <f>30*30</f>
        <v>900</v>
      </c>
      <c r="MN271" s="302"/>
      <c r="MO271" s="302">
        <v>200</v>
      </c>
      <c r="MP271" s="302">
        <v>1300</v>
      </c>
      <c r="MQ271" s="302">
        <v>150</v>
      </c>
      <c r="MR271" s="302">
        <v>320</v>
      </c>
      <c r="MS271" s="302">
        <v>180</v>
      </c>
      <c r="MT271" s="302"/>
      <c r="MU271" s="302"/>
      <c r="MV271" s="302"/>
      <c r="MW271" s="302"/>
      <c r="MX271" s="302"/>
      <c r="MY271" s="1682">
        <f t="shared" si="74"/>
        <v>8396.6666666666679</v>
      </c>
      <c r="MZ271" s="770"/>
      <c r="NA271" s="770"/>
      <c r="NB271" s="770"/>
      <c r="NC271" s="770"/>
      <c r="ND271" s="770">
        <v>0</v>
      </c>
      <c r="NE271" s="770">
        <v>0</v>
      </c>
      <c r="NF271" s="770">
        <v>0</v>
      </c>
      <c r="NG271" s="770">
        <v>3</v>
      </c>
      <c r="NH271" s="770">
        <v>1</v>
      </c>
      <c r="NI271" s="770">
        <v>0</v>
      </c>
      <c r="NJ271" s="770">
        <v>0</v>
      </c>
      <c r="NK271" s="770">
        <v>0</v>
      </c>
      <c r="NL271" s="770">
        <v>0</v>
      </c>
      <c r="NM271" s="770">
        <v>1</v>
      </c>
      <c r="NN271" s="770">
        <v>0</v>
      </c>
      <c r="NO271" s="770">
        <v>0</v>
      </c>
      <c r="NP271" s="770">
        <v>0</v>
      </c>
      <c r="NQ271" s="770">
        <v>0</v>
      </c>
      <c r="NR271" s="770">
        <v>0</v>
      </c>
      <c r="NS271" s="770">
        <v>0</v>
      </c>
      <c r="NT271" s="770">
        <v>0</v>
      </c>
      <c r="NU271" s="770">
        <v>0</v>
      </c>
      <c r="NV271" s="770">
        <v>0</v>
      </c>
      <c r="NW271" s="770">
        <v>0</v>
      </c>
      <c r="NX271" s="770">
        <v>0</v>
      </c>
      <c r="NY271" s="770"/>
      <c r="NZ271" s="770"/>
      <c r="OA271" s="770"/>
      <c r="OB271" s="770"/>
      <c r="OC271" s="770"/>
      <c r="OD271" s="770"/>
      <c r="OE271" s="770"/>
      <c r="OF271" s="770"/>
      <c r="OG271" s="770"/>
      <c r="OH271" s="770"/>
      <c r="OI271" s="770"/>
      <c r="OJ271" s="770"/>
      <c r="OK271" s="770"/>
      <c r="OL271" s="770"/>
      <c r="OM271" s="770"/>
      <c r="ON271" s="770"/>
      <c r="OO271" s="770"/>
      <c r="OP271" s="770"/>
      <c r="OQ271" s="770"/>
      <c r="OR271" s="770"/>
      <c r="OS271" s="770"/>
      <c r="OT271" s="770"/>
      <c r="OU271" s="770"/>
      <c r="OV271" s="770"/>
      <c r="OW271" s="770"/>
      <c r="OX271" s="770"/>
      <c r="OY271" s="770"/>
      <c r="OZ271" s="770"/>
      <c r="PA271" s="770"/>
      <c r="PB271" s="770"/>
      <c r="PC271" s="770"/>
      <c r="PD271" s="770"/>
      <c r="PE271" s="770"/>
      <c r="PF271" s="770"/>
      <c r="PG271" s="770"/>
      <c r="PH271" s="770"/>
      <c r="PI271" s="770"/>
      <c r="PJ271" s="770"/>
      <c r="PK271" s="770"/>
      <c r="PL271" s="770"/>
      <c r="PM271" s="770"/>
      <c r="PN271" s="770"/>
      <c r="PO271" s="770"/>
      <c r="PP271" s="770"/>
      <c r="PQ271" s="770"/>
      <c r="PR271" s="770"/>
      <c r="PS271" s="770"/>
      <c r="PT271" s="770"/>
      <c r="PU271" s="770"/>
      <c r="PV271" s="770"/>
      <c r="PW271" s="770"/>
      <c r="PX271" s="770"/>
      <c r="PY271" s="770"/>
      <c r="PZ271" s="770"/>
      <c r="QA271" s="770"/>
      <c r="QB271" s="770"/>
      <c r="QC271" s="770"/>
      <c r="QD271" s="770"/>
      <c r="QE271" s="770"/>
      <c r="QF271" s="770"/>
      <c r="QG271" s="770"/>
      <c r="QH271" s="770"/>
      <c r="QI271" s="770"/>
      <c r="QJ271" s="770"/>
      <c r="QK271" s="770"/>
      <c r="QL271" s="770"/>
      <c r="QM271" s="770"/>
      <c r="QN271" s="770"/>
      <c r="QO271" s="770"/>
      <c r="QP271" s="770"/>
      <c r="QQ271" s="770"/>
      <c r="QR271" s="770"/>
      <c r="QS271" s="770"/>
      <c r="QT271" s="770"/>
      <c r="QU271" s="770"/>
      <c r="QV271" s="770"/>
      <c r="QW271" s="770"/>
      <c r="QX271" s="770"/>
      <c r="QY271" s="770"/>
      <c r="QZ271" s="770"/>
      <c r="RA271" s="770"/>
      <c r="RB271" s="770" t="s">
        <v>1214</v>
      </c>
      <c r="RC271" s="770"/>
      <c r="RD271" s="770"/>
      <c r="RE271" s="770"/>
      <c r="RF271" s="304"/>
      <c r="RG271" s="770"/>
      <c r="RH271" s="302"/>
      <c r="RI271" s="770"/>
      <c r="RJ271" s="770" t="s">
        <v>2173</v>
      </c>
      <c r="RK271" s="770" t="s">
        <v>13401</v>
      </c>
      <c r="RL271" s="1710"/>
      <c r="RM271" s="12"/>
      <c r="RN271" s="1711"/>
      <c r="RO271" s="140" t="s">
        <v>452</v>
      </c>
      <c r="RP271" s="11"/>
      <c r="RQ271" s="11"/>
      <c r="RR271" s="19" t="s">
        <v>7421</v>
      </c>
      <c r="RS271" s="1139" t="s">
        <v>12980</v>
      </c>
      <c r="RT271" s="11"/>
      <c r="RU271" s="11"/>
      <c r="RV271" s="771" t="s">
        <v>12452</v>
      </c>
      <c r="RW271" s="11" t="s">
        <v>11386</v>
      </c>
      <c r="RX271" s="11" t="s">
        <v>447</v>
      </c>
      <c r="RY271" s="11"/>
      <c r="RZ271" s="11" t="s">
        <v>2209</v>
      </c>
      <c r="SA271" s="771"/>
      <c r="SB271" s="11"/>
      <c r="SC271" s="11"/>
    </row>
    <row r="272" spans="1:497" ht="12.75" customHeight="1">
      <c r="A272" s="767" t="s">
        <v>7421</v>
      </c>
      <c r="B272" s="292" t="s">
        <v>7613</v>
      </c>
      <c r="C272" s="140" t="s">
        <v>454</v>
      </c>
      <c r="D272" s="770" t="s">
        <v>455</v>
      </c>
      <c r="E272" s="766" t="s">
        <v>450</v>
      </c>
      <c r="F272" s="770" t="s">
        <v>3139</v>
      </c>
      <c r="G272" s="770" t="s">
        <v>18</v>
      </c>
      <c r="H272" s="770"/>
      <c r="I272" s="295" t="s">
        <v>456</v>
      </c>
      <c r="J272" s="94"/>
      <c r="K272" s="770"/>
      <c r="L272" s="770"/>
      <c r="M272" s="770"/>
      <c r="N272" s="770"/>
      <c r="O272" s="770"/>
      <c r="P272" s="94" t="s">
        <v>965</v>
      </c>
      <c r="Q272" s="1088">
        <v>29755</v>
      </c>
      <c r="R272" s="297">
        <v>27</v>
      </c>
      <c r="S272" s="770" t="s">
        <v>18</v>
      </c>
      <c r="T272" s="770"/>
      <c r="U272" s="298" t="s">
        <v>966</v>
      </c>
      <c r="V272" s="770" t="s">
        <v>707</v>
      </c>
      <c r="W272" s="770"/>
      <c r="X272" s="296"/>
      <c r="Y272" s="770" t="s">
        <v>967</v>
      </c>
      <c r="Z272" s="770" t="s">
        <v>708</v>
      </c>
      <c r="AA272" s="770" t="s">
        <v>709</v>
      </c>
      <c r="AB272" s="770" t="s">
        <v>710</v>
      </c>
      <c r="AC272" s="770"/>
      <c r="AD272" s="770"/>
      <c r="AE272" s="770" t="s">
        <v>968</v>
      </c>
      <c r="AF272" s="770" t="s">
        <v>712</v>
      </c>
      <c r="AG272" s="766" t="s">
        <v>1132</v>
      </c>
      <c r="AH272" s="766" t="s">
        <v>1096</v>
      </c>
      <c r="AI272" s="770"/>
      <c r="AJ272" s="770" t="s">
        <v>1137</v>
      </c>
      <c r="AK272" s="770" t="s">
        <v>1101</v>
      </c>
      <c r="AL272" s="299"/>
      <c r="AM272" s="300"/>
      <c r="AN272" s="301"/>
      <c r="AO272" s="766" t="s">
        <v>1105</v>
      </c>
      <c r="AP272" s="766"/>
      <c r="AQ272" s="766"/>
      <c r="AR272" s="766"/>
      <c r="AS272" s="770"/>
      <c r="AT272" s="770"/>
      <c r="AU272" s="770"/>
      <c r="AV272" s="770"/>
      <c r="AW272" s="770"/>
      <c r="AX272" s="770"/>
      <c r="AY272" s="770"/>
      <c r="AZ272" s="770"/>
      <c r="BA272" s="770"/>
      <c r="BB272" s="770"/>
      <c r="BC272" s="770"/>
      <c r="BD272" s="770"/>
      <c r="BE272" s="770"/>
      <c r="BF272" s="302"/>
      <c r="BG272" s="302"/>
      <c r="BH272" s="770"/>
      <c r="BI272" s="770"/>
      <c r="BJ272" s="770"/>
      <c r="BK272" s="770" t="s">
        <v>1095</v>
      </c>
      <c r="BL272" s="766" t="s">
        <v>1357</v>
      </c>
      <c r="BM272" s="766" t="s">
        <v>1096</v>
      </c>
      <c r="BN272" s="766" t="s">
        <v>1230</v>
      </c>
      <c r="BO272" s="766" t="s">
        <v>1246</v>
      </c>
      <c r="BP272" s="1111">
        <v>32.4</v>
      </c>
      <c r="BQ272" s="772">
        <v>8.1</v>
      </c>
      <c r="BR272" s="774">
        <f t="shared" si="87"/>
        <v>0.25</v>
      </c>
      <c r="BS272" s="766" t="s">
        <v>1149</v>
      </c>
      <c r="BT272" s="766" t="s">
        <v>8133</v>
      </c>
      <c r="BU272" s="770" t="s">
        <v>1249</v>
      </c>
      <c r="BV272" s="770" t="s">
        <v>1247</v>
      </c>
      <c r="BW272" s="770">
        <v>2006</v>
      </c>
      <c r="BX272" s="302"/>
      <c r="BY272" s="770"/>
      <c r="BZ272" s="302"/>
      <c r="CA272" s="770"/>
      <c r="CB272" s="770"/>
      <c r="CC272" s="770"/>
      <c r="CD272" s="770"/>
      <c r="CE272" s="770"/>
      <c r="CF272" s="304"/>
      <c r="CG272" s="321"/>
      <c r="CH272" s="770"/>
      <c r="CI272" s="770"/>
      <c r="CJ272" s="770"/>
      <c r="CK272" s="770"/>
      <c r="CL272" s="770"/>
      <c r="CM272" s="770"/>
      <c r="CN272" s="770"/>
      <c r="CO272" s="770"/>
      <c r="CP272" s="770"/>
      <c r="CQ272" s="770"/>
      <c r="CR272" s="302"/>
      <c r="CS272" s="770"/>
      <c r="CT272" s="770"/>
      <c r="CU272" s="305"/>
      <c r="CV272" s="770"/>
      <c r="CW272" s="770"/>
      <c r="CX272" s="770"/>
      <c r="CY272" s="770"/>
      <c r="CZ272" s="770"/>
      <c r="DA272" s="306"/>
      <c r="DB272" s="770"/>
      <c r="DC272" s="770"/>
      <c r="DD272" s="770"/>
      <c r="DE272" s="300"/>
      <c r="DF272" s="770"/>
      <c r="DG272" s="770"/>
      <c r="DH272" s="770"/>
      <c r="DI272" s="770"/>
      <c r="DJ272" s="770"/>
      <c r="DK272" s="770"/>
      <c r="DL272" s="770"/>
      <c r="DM272" s="770"/>
      <c r="DN272" s="322"/>
      <c r="DO272" s="770"/>
      <c r="DP272" s="770"/>
      <c r="DQ272" s="770"/>
      <c r="DR272" s="770"/>
      <c r="DS272" s="307"/>
      <c r="DT272" s="770"/>
      <c r="DU272" s="770"/>
      <c r="DV272" s="770"/>
      <c r="DW272" s="306"/>
      <c r="DX272" s="306"/>
      <c r="DY272" s="770"/>
      <c r="DZ272" s="770"/>
      <c r="EA272" s="770"/>
      <c r="EB272" s="770"/>
      <c r="EC272" s="770"/>
      <c r="ED272" s="770"/>
      <c r="EE272" s="770"/>
      <c r="EF272" s="770"/>
      <c r="EG272" s="770"/>
      <c r="EH272" s="770"/>
      <c r="EI272" s="770"/>
      <c r="EJ272" s="770"/>
      <c r="EK272" s="770"/>
      <c r="EL272" s="770"/>
      <c r="EM272" s="770"/>
      <c r="EN272" s="770"/>
      <c r="EO272" s="770"/>
      <c r="EP272" s="94"/>
      <c r="EQ272" s="770"/>
      <c r="ER272" s="770"/>
      <c r="ES272" s="770"/>
      <c r="ET272" s="770"/>
      <c r="EU272" s="770"/>
      <c r="EV272" s="770"/>
      <c r="EW272" s="770"/>
      <c r="EX272" s="770"/>
      <c r="EY272" s="770"/>
      <c r="EZ272" s="770"/>
      <c r="FA272" s="770"/>
      <c r="FB272" s="770"/>
      <c r="FC272" s="770"/>
      <c r="FD272" s="302"/>
      <c r="FE272" s="770"/>
      <c r="FF272" s="770"/>
      <c r="FG272" s="770"/>
      <c r="FH272" s="770" t="s">
        <v>478</v>
      </c>
      <c r="FI272" s="770">
        <v>1</v>
      </c>
      <c r="FJ272" s="770"/>
      <c r="FK272" s="770"/>
      <c r="FL272" s="770"/>
      <c r="FM272" s="302"/>
      <c r="FN272" s="302"/>
      <c r="FO272" s="302"/>
      <c r="FP272" s="766" t="s">
        <v>1602</v>
      </c>
      <c r="FQ272" s="766" t="s">
        <v>1660</v>
      </c>
      <c r="FR272" s="770" t="s">
        <v>1214</v>
      </c>
      <c r="FS272" s="770"/>
      <c r="FT272" s="770"/>
      <c r="FU272" s="770"/>
      <c r="FV272" s="770"/>
      <c r="FW272" s="770"/>
      <c r="FX272" s="770"/>
      <c r="FY272" s="770"/>
      <c r="FZ272" s="770"/>
      <c r="GA272" s="770"/>
      <c r="GB272" s="770"/>
      <c r="GC272" s="308"/>
      <c r="GD272" s="297"/>
      <c r="GE272" s="770"/>
      <c r="GF272" s="302"/>
      <c r="GG272" s="302"/>
      <c r="GH272" s="712" t="s">
        <v>3650</v>
      </c>
      <c r="GI272" s="770"/>
      <c r="GJ272" s="770"/>
      <c r="GK272" s="770"/>
      <c r="GL272" s="770"/>
      <c r="GM272" s="770"/>
      <c r="GN272" s="309"/>
      <c r="GO272" s="770"/>
      <c r="GP272" s="770"/>
      <c r="GQ272" s="770"/>
      <c r="GR272" s="770"/>
      <c r="GS272" s="770"/>
      <c r="GT272" s="770"/>
      <c r="GU272" s="770"/>
      <c r="GV272" s="770"/>
      <c r="GW272" s="770"/>
      <c r="GX272" s="770"/>
      <c r="GY272" s="770"/>
      <c r="GZ272" s="770"/>
      <c r="HA272" s="770"/>
      <c r="HB272" s="770"/>
      <c r="HC272" s="770"/>
      <c r="HD272" s="770"/>
      <c r="HE272" s="770"/>
      <c r="HF272" s="770"/>
      <c r="HG272" s="770"/>
      <c r="HH272" s="770"/>
      <c r="HI272" s="770"/>
      <c r="HJ272" s="770"/>
      <c r="HK272" s="770"/>
      <c r="HL272" s="770"/>
      <c r="HM272" s="770"/>
      <c r="HN272" s="770"/>
      <c r="HO272" s="770"/>
      <c r="HP272" s="770"/>
      <c r="HQ272" s="770"/>
      <c r="HR272" s="770"/>
      <c r="HS272" s="770"/>
      <c r="HT272" s="770"/>
      <c r="HU272" s="770"/>
      <c r="HV272" s="770"/>
      <c r="HW272" s="770"/>
      <c r="HX272" s="770"/>
      <c r="HY272" s="770"/>
      <c r="HZ272" s="770"/>
      <c r="IA272" s="770"/>
      <c r="IB272" s="14" t="e">
        <f>IF(#REF!&gt;0,IF(#REF!&lt;=10000,"Y",""),"")</f>
        <v>#REF!</v>
      </c>
      <c r="IC272" s="770" t="s">
        <v>1207</v>
      </c>
      <c r="ID272" s="770"/>
      <c r="IE272" s="770"/>
      <c r="IF272" s="770"/>
      <c r="IG272" s="770"/>
      <c r="IH272" s="770"/>
      <c r="II272" s="770"/>
      <c r="IJ272" s="770"/>
      <c r="IK272" s="770"/>
      <c r="IL272" s="770"/>
      <c r="IM272" s="770"/>
      <c r="IN272" s="770"/>
      <c r="IO272" s="296"/>
      <c r="IP272" s="770"/>
      <c r="IQ272" s="770"/>
      <c r="IR272" s="770"/>
      <c r="IS272" s="770"/>
      <c r="IT272" s="770"/>
      <c r="IU272" s="770"/>
      <c r="IV272" s="770"/>
      <c r="IW272" s="770"/>
      <c r="IX272" s="770"/>
      <c r="IY272" s="770"/>
      <c r="IZ272" s="770"/>
      <c r="JA272" s="770"/>
      <c r="JB272" s="770"/>
      <c r="JC272" s="770"/>
      <c r="JD272" s="302"/>
      <c r="JE272" s="770"/>
      <c r="JF272" s="770"/>
      <c r="JG272" s="770"/>
      <c r="JH272" s="770"/>
      <c r="JI272" s="712" t="str">
        <f t="shared" si="75"/>
        <v>ok</v>
      </c>
      <c r="JJ272" s="766">
        <v>8</v>
      </c>
      <c r="JK272" s="1139" t="s">
        <v>2095</v>
      </c>
      <c r="JL272" s="770"/>
      <c r="JM272" s="770">
        <v>2</v>
      </c>
      <c r="JN272" s="770">
        <v>3</v>
      </c>
      <c r="JO272" s="770">
        <v>3</v>
      </c>
      <c r="JP272" s="770"/>
      <c r="JQ272" s="770"/>
      <c r="JR272" s="770"/>
      <c r="JS272" s="770"/>
      <c r="JT272" s="766">
        <f t="shared" si="83"/>
        <v>3</v>
      </c>
      <c r="JU272" s="766">
        <f t="shared" si="83"/>
        <v>5</v>
      </c>
      <c r="JV272" s="712" t="str">
        <f t="shared" si="76"/>
        <v>ok</v>
      </c>
      <c r="JW272" s="712" t="str">
        <f t="shared" si="77"/>
        <v>ok</v>
      </c>
      <c r="JX272" s="770"/>
      <c r="JY272" s="770">
        <v>2</v>
      </c>
      <c r="JZ272" s="770"/>
      <c r="KA272" s="770"/>
      <c r="KB272" s="770">
        <v>3</v>
      </c>
      <c r="KC272" s="770">
        <v>2</v>
      </c>
      <c r="KD272" s="770"/>
      <c r="KE272" s="770">
        <v>1</v>
      </c>
      <c r="KF272" s="770"/>
      <c r="KG272" s="770"/>
      <c r="KH272" s="770"/>
      <c r="KI272" s="770"/>
      <c r="KJ272" s="770">
        <f t="shared" si="86"/>
        <v>3</v>
      </c>
      <c r="KK272" s="770">
        <f t="shared" si="86"/>
        <v>5</v>
      </c>
      <c r="KL272" s="712" t="str">
        <f t="shared" si="84"/>
        <v>ok</v>
      </c>
      <c r="KM272" s="712" t="str">
        <f t="shared" si="85"/>
        <v>ok</v>
      </c>
      <c r="KN272" s="770" t="s">
        <v>707</v>
      </c>
      <c r="KO272" s="770"/>
      <c r="KP272" s="770"/>
      <c r="KQ272" s="770"/>
      <c r="KR272" s="770"/>
      <c r="KS272" s="770"/>
      <c r="KT272" s="770"/>
      <c r="KU272" s="770"/>
      <c r="KV272" s="770"/>
      <c r="KW272" s="770"/>
      <c r="KX272" s="770"/>
      <c r="KY272" s="770">
        <v>1</v>
      </c>
      <c r="KZ272" s="770"/>
      <c r="LA272" s="770">
        <v>1</v>
      </c>
      <c r="LB272" s="770"/>
      <c r="LC272" s="770">
        <v>1</v>
      </c>
      <c r="LD272" s="770">
        <v>3</v>
      </c>
      <c r="LE272" s="770"/>
      <c r="LF272" s="770"/>
      <c r="LG272" s="770"/>
      <c r="LH272" s="770"/>
      <c r="LI272" s="770"/>
      <c r="LJ272" s="770"/>
      <c r="LK272" s="770">
        <v>2</v>
      </c>
      <c r="LL272" s="770"/>
      <c r="LM272" s="770"/>
      <c r="LN272" s="766">
        <f t="shared" si="71"/>
        <v>3</v>
      </c>
      <c r="LO272" s="766">
        <f t="shared" si="71"/>
        <v>5</v>
      </c>
      <c r="LP272" s="770">
        <v>4</v>
      </c>
      <c r="LQ272" s="770">
        <v>4</v>
      </c>
      <c r="LR272" s="770"/>
      <c r="LS272" s="770"/>
      <c r="LT272" s="712" t="str">
        <f t="shared" si="80"/>
        <v>OK</v>
      </c>
      <c r="LU272" s="770">
        <v>2</v>
      </c>
      <c r="LV272" s="770">
        <v>2</v>
      </c>
      <c r="LW272" s="770"/>
      <c r="LX272" s="769">
        <v>3</v>
      </c>
      <c r="LY272" s="766" t="str">
        <f t="shared" si="82"/>
        <v>within the PROVINCE</v>
      </c>
      <c r="LZ272" s="299">
        <f>SUM(2160*2,400)</f>
        <v>4720</v>
      </c>
      <c r="MA272" s="306"/>
      <c r="MB272" s="306"/>
      <c r="MC272" s="1679">
        <f t="shared" si="70"/>
        <v>4720</v>
      </c>
      <c r="MD272" s="306">
        <f>SUM(30000,21000,16000)</f>
        <v>67000</v>
      </c>
      <c r="ME272" s="306"/>
      <c r="MF272" s="306"/>
      <c r="MG272" s="1680">
        <f t="shared" si="81"/>
        <v>67000</v>
      </c>
      <c r="MH272" s="770" t="s">
        <v>13402</v>
      </c>
      <c r="MI272" s="302">
        <v>15000</v>
      </c>
      <c r="MJ272" s="302">
        <v>5520</v>
      </c>
      <c r="MK272" s="302">
        <v>1000</v>
      </c>
      <c r="ML272" s="302">
        <v>2000</v>
      </c>
      <c r="MM272" s="302">
        <v>2500</v>
      </c>
      <c r="MN272" s="302"/>
      <c r="MO272" s="302">
        <v>4900</v>
      </c>
      <c r="MP272" s="302">
        <v>2500</v>
      </c>
      <c r="MQ272" s="302">
        <v>700</v>
      </c>
      <c r="MR272" s="302">
        <v>3000</v>
      </c>
      <c r="MS272" s="302">
        <v>3000</v>
      </c>
      <c r="MT272" s="302"/>
      <c r="MU272" s="302"/>
      <c r="MV272" s="302"/>
      <c r="MW272" s="302"/>
      <c r="MX272" s="302"/>
      <c r="MY272" s="1682">
        <f t="shared" si="74"/>
        <v>40120</v>
      </c>
      <c r="MZ272" s="770" t="s">
        <v>13370</v>
      </c>
      <c r="NA272" s="770" t="s">
        <v>13005</v>
      </c>
      <c r="NB272" s="770" t="s">
        <v>13371</v>
      </c>
      <c r="NC272" s="770" t="s">
        <v>13007</v>
      </c>
      <c r="ND272" s="770">
        <v>0</v>
      </c>
      <c r="NE272" s="770">
        <v>1</v>
      </c>
      <c r="NF272" s="770">
        <v>0</v>
      </c>
      <c r="NG272" s="770">
        <v>5</v>
      </c>
      <c r="NH272" s="770">
        <v>1</v>
      </c>
      <c r="NI272" s="770">
        <v>0</v>
      </c>
      <c r="NJ272" s="770">
        <v>1</v>
      </c>
      <c r="NK272" s="770">
        <v>0</v>
      </c>
      <c r="NL272" s="770">
        <v>1</v>
      </c>
      <c r="NM272" s="770">
        <v>1</v>
      </c>
      <c r="NN272" s="770">
        <v>0</v>
      </c>
      <c r="NO272" s="770">
        <v>0</v>
      </c>
      <c r="NP272" s="770">
        <v>0</v>
      </c>
      <c r="NQ272" s="770">
        <v>1</v>
      </c>
      <c r="NR272" s="770">
        <v>0</v>
      </c>
      <c r="NS272" s="770">
        <v>0</v>
      </c>
      <c r="NT272" s="770">
        <v>0</v>
      </c>
      <c r="NU272" s="770">
        <v>0</v>
      </c>
      <c r="NV272" s="770">
        <v>0</v>
      </c>
      <c r="NW272" s="770">
        <v>0</v>
      </c>
      <c r="NX272" s="770">
        <v>0</v>
      </c>
      <c r="NY272" s="770" t="s">
        <v>1208</v>
      </c>
      <c r="NZ272" s="770" t="s">
        <v>1208</v>
      </c>
      <c r="OA272" s="770" t="s">
        <v>1208</v>
      </c>
      <c r="OB272" s="770" t="s">
        <v>1208</v>
      </c>
      <c r="OC272" s="770" t="s">
        <v>1208</v>
      </c>
      <c r="OD272" s="770" t="s">
        <v>1208</v>
      </c>
      <c r="OE272" s="770"/>
      <c r="OF272" s="770"/>
      <c r="OG272" s="770"/>
      <c r="OH272" s="770"/>
      <c r="OI272" s="770"/>
      <c r="OJ272" s="770"/>
      <c r="OK272" s="770"/>
      <c r="OL272" s="770"/>
      <c r="OM272" s="770"/>
      <c r="ON272" s="770"/>
      <c r="OO272" s="770"/>
      <c r="OP272" s="770"/>
      <c r="OQ272" s="770"/>
      <c r="OR272" s="770"/>
      <c r="OS272" s="770"/>
      <c r="OT272" s="770"/>
      <c r="OU272" s="770"/>
      <c r="OV272" s="770"/>
      <c r="OW272" s="770"/>
      <c r="OX272" s="770"/>
      <c r="OY272" s="770"/>
      <c r="OZ272" s="770"/>
      <c r="PA272" s="770"/>
      <c r="PB272" s="770"/>
      <c r="PC272" s="770"/>
      <c r="PD272" s="770"/>
      <c r="PE272" s="770"/>
      <c r="PF272" s="770"/>
      <c r="PG272" s="770"/>
      <c r="PH272" s="770"/>
      <c r="PI272" s="770"/>
      <c r="PJ272" s="770"/>
      <c r="PK272" s="770"/>
      <c r="PL272" s="770"/>
      <c r="PM272" s="770"/>
      <c r="PN272" s="770"/>
      <c r="PO272" s="770"/>
      <c r="PP272" s="770"/>
      <c r="PQ272" s="770"/>
      <c r="PR272" s="770"/>
      <c r="PS272" s="770"/>
      <c r="PT272" s="770"/>
      <c r="PU272" s="770"/>
      <c r="PV272" s="770"/>
      <c r="PW272" s="770"/>
      <c r="PX272" s="770"/>
      <c r="PY272" s="770"/>
      <c r="PZ272" s="770"/>
      <c r="QA272" s="770"/>
      <c r="QB272" s="770"/>
      <c r="QC272" s="770"/>
      <c r="QD272" s="770"/>
      <c r="QE272" s="770"/>
      <c r="QF272" s="770"/>
      <c r="QG272" s="770"/>
      <c r="QH272" s="770"/>
      <c r="QI272" s="770"/>
      <c r="QJ272" s="770"/>
      <c r="QK272" s="770"/>
      <c r="QL272" s="770"/>
      <c r="QM272" s="770"/>
      <c r="QN272" s="770" t="s">
        <v>1208</v>
      </c>
      <c r="QO272" s="770"/>
      <c r="QP272" s="770"/>
      <c r="QQ272" s="770"/>
      <c r="QR272" s="770"/>
      <c r="QS272" s="770"/>
      <c r="QT272" s="770"/>
      <c r="QU272" s="770"/>
      <c r="QV272" s="770"/>
      <c r="QW272" s="770"/>
      <c r="QX272" s="770"/>
      <c r="QY272" s="770"/>
      <c r="QZ272" s="770"/>
      <c r="RA272" s="770"/>
      <c r="RB272" s="770" t="s">
        <v>1207</v>
      </c>
      <c r="RC272" s="770">
        <v>2016</v>
      </c>
      <c r="RD272" s="770" t="s">
        <v>1217</v>
      </c>
      <c r="RE272" s="770" t="s">
        <v>13100</v>
      </c>
      <c r="RF272" s="304">
        <v>0.5</v>
      </c>
      <c r="RG272" s="770" t="s">
        <v>13037</v>
      </c>
      <c r="RH272" s="302" t="s">
        <v>835</v>
      </c>
      <c r="RI272" s="770" t="s">
        <v>13403</v>
      </c>
      <c r="RJ272" s="770" t="s">
        <v>2174</v>
      </c>
      <c r="RK272" s="770" t="s">
        <v>13381</v>
      </c>
      <c r="RL272" s="1710"/>
      <c r="RM272" s="12"/>
      <c r="RN272" s="1711"/>
      <c r="RO272" s="140" t="s">
        <v>454</v>
      </c>
      <c r="RP272" s="11"/>
      <c r="RQ272" s="11"/>
      <c r="RR272" s="19" t="s">
        <v>7421</v>
      </c>
      <c r="RS272" s="1139" t="s">
        <v>12980</v>
      </c>
      <c r="RT272" s="11"/>
      <c r="RU272" s="11"/>
      <c r="RV272" s="771" t="s">
        <v>7421</v>
      </c>
      <c r="RW272" s="11" t="s">
        <v>7612</v>
      </c>
      <c r="RX272" s="11" t="s">
        <v>448</v>
      </c>
      <c r="RY272" s="11"/>
      <c r="RZ272" s="11" t="s">
        <v>2209</v>
      </c>
      <c r="SA272" s="771"/>
      <c r="SB272" s="11"/>
      <c r="SC272" s="11"/>
    </row>
    <row r="273" spans="1:497" ht="12.75" customHeight="1">
      <c r="A273" s="767" t="s">
        <v>7421</v>
      </c>
      <c r="B273" s="292" t="s">
        <v>7614</v>
      </c>
      <c r="C273" s="140" t="s">
        <v>457</v>
      </c>
      <c r="D273" s="770" t="s">
        <v>455</v>
      </c>
      <c r="E273" s="766" t="s">
        <v>450</v>
      </c>
      <c r="F273" s="770" t="s">
        <v>458</v>
      </c>
      <c r="G273" s="770"/>
      <c r="H273" s="770"/>
      <c r="I273" s="295"/>
      <c r="J273" s="94"/>
      <c r="K273" s="770"/>
      <c r="L273" s="770"/>
      <c r="M273" s="770"/>
      <c r="N273" s="770"/>
      <c r="O273" s="770"/>
      <c r="P273" s="94" t="s">
        <v>969</v>
      </c>
      <c r="Q273" s="1088">
        <v>31439</v>
      </c>
      <c r="R273" s="297">
        <v>31</v>
      </c>
      <c r="S273" s="770" t="s">
        <v>10</v>
      </c>
      <c r="T273" s="770"/>
      <c r="U273" s="298" t="s">
        <v>970</v>
      </c>
      <c r="V273" s="770" t="s">
        <v>722</v>
      </c>
      <c r="W273" s="770"/>
      <c r="X273" s="296"/>
      <c r="Y273" s="770" t="s">
        <v>450</v>
      </c>
      <c r="Z273" s="770" t="s">
        <v>708</v>
      </c>
      <c r="AA273" s="770" t="s">
        <v>709</v>
      </c>
      <c r="AB273" s="770" t="s">
        <v>7275</v>
      </c>
      <c r="AC273" s="770"/>
      <c r="AD273" s="770" t="s">
        <v>937</v>
      </c>
      <c r="AE273" s="770"/>
      <c r="AF273" s="770" t="s">
        <v>798</v>
      </c>
      <c r="AG273" s="766" t="s">
        <v>1132</v>
      </c>
      <c r="AH273" s="766" t="s">
        <v>1096</v>
      </c>
      <c r="AI273" s="770"/>
      <c r="AJ273" s="770" t="s">
        <v>1137</v>
      </c>
      <c r="AK273" s="770" t="s">
        <v>1101</v>
      </c>
      <c r="AL273" s="299"/>
      <c r="AM273" s="300"/>
      <c r="AN273" s="301"/>
      <c r="AO273" s="766" t="s">
        <v>1105</v>
      </c>
      <c r="AP273" s="766"/>
      <c r="AQ273" s="766"/>
      <c r="AR273" s="766"/>
      <c r="AS273" s="770"/>
      <c r="AT273" s="770"/>
      <c r="AU273" s="770"/>
      <c r="AV273" s="770"/>
      <c r="AW273" s="770"/>
      <c r="AX273" s="770"/>
      <c r="AY273" s="770" t="s">
        <v>1208</v>
      </c>
      <c r="AZ273" s="770"/>
      <c r="BA273" s="770"/>
      <c r="BB273" s="770"/>
      <c r="BC273" s="770" t="s">
        <v>5595</v>
      </c>
      <c r="BD273" s="770"/>
      <c r="BE273" s="770"/>
      <c r="BF273" s="302"/>
      <c r="BG273" s="302"/>
      <c r="BH273" s="770"/>
      <c r="BI273" s="770"/>
      <c r="BJ273" s="770"/>
      <c r="BK273" s="770" t="s">
        <v>1095</v>
      </c>
      <c r="BL273" s="766" t="s">
        <v>5596</v>
      </c>
      <c r="BM273" s="766" t="s">
        <v>1096</v>
      </c>
      <c r="BN273" s="766" t="s">
        <v>1230</v>
      </c>
      <c r="BO273" s="766" t="s">
        <v>1239</v>
      </c>
      <c r="BP273" s="1111">
        <v>35</v>
      </c>
      <c r="BQ273" s="772">
        <v>7.5</v>
      </c>
      <c r="BR273" s="774">
        <f t="shared" si="87"/>
        <v>0.21428571428571427</v>
      </c>
      <c r="BS273" s="766" t="s">
        <v>1149</v>
      </c>
      <c r="BT273" s="766" t="s">
        <v>8133</v>
      </c>
      <c r="BU273" s="766" t="s">
        <v>1288</v>
      </c>
      <c r="BV273" s="770" t="s">
        <v>1247</v>
      </c>
      <c r="BW273" s="770">
        <v>2011</v>
      </c>
      <c r="BX273" s="302"/>
      <c r="BY273" s="770"/>
      <c r="BZ273" s="302"/>
      <c r="CA273" s="770"/>
      <c r="CB273" s="770"/>
      <c r="CC273" s="770"/>
      <c r="CD273" s="770"/>
      <c r="CE273" s="770"/>
      <c r="CF273" s="304"/>
      <c r="CG273" s="321"/>
      <c r="CH273" s="770"/>
      <c r="CI273" s="770"/>
      <c r="CJ273" s="770"/>
      <c r="CK273" s="770"/>
      <c r="CL273" s="770"/>
      <c r="CM273" s="770"/>
      <c r="CN273" s="770"/>
      <c r="CO273" s="770"/>
      <c r="CP273" s="770"/>
      <c r="CQ273" s="770"/>
      <c r="CR273" s="302"/>
      <c r="CS273" s="770"/>
      <c r="CT273" s="770"/>
      <c r="CU273" s="305"/>
      <c r="CV273" s="770"/>
      <c r="CW273" s="770"/>
      <c r="CX273" s="770"/>
      <c r="CY273" s="770"/>
      <c r="CZ273" s="770"/>
      <c r="DA273" s="306"/>
      <c r="DB273" s="770"/>
      <c r="DC273" s="770"/>
      <c r="DD273" s="770"/>
      <c r="DE273" s="300"/>
      <c r="DF273" s="770"/>
      <c r="DG273" s="770"/>
      <c r="DH273" s="770"/>
      <c r="DI273" s="770"/>
      <c r="DJ273" s="770"/>
      <c r="DK273" s="770"/>
      <c r="DL273" s="770"/>
      <c r="DM273" s="770"/>
      <c r="DN273" s="322"/>
      <c r="DO273" s="770"/>
      <c r="DP273" s="770"/>
      <c r="DQ273" s="770"/>
      <c r="DR273" s="770"/>
      <c r="DS273" s="307"/>
      <c r="DT273" s="770"/>
      <c r="DU273" s="770"/>
      <c r="DV273" s="770"/>
      <c r="DW273" s="306"/>
      <c r="DX273" s="306"/>
      <c r="DY273" s="770"/>
      <c r="DZ273" s="770"/>
      <c r="EA273" s="770"/>
      <c r="EB273" s="770"/>
      <c r="EC273" s="770"/>
      <c r="ED273" s="770"/>
      <c r="EE273" s="770"/>
      <c r="EF273" s="770"/>
      <c r="EG273" s="770"/>
      <c r="EH273" s="770"/>
      <c r="EI273" s="770"/>
      <c r="EJ273" s="770"/>
      <c r="EK273" s="770"/>
      <c r="EL273" s="770"/>
      <c r="EM273" s="770"/>
      <c r="EN273" s="770"/>
      <c r="EO273" s="770"/>
      <c r="EP273" s="94"/>
      <c r="EQ273" s="770"/>
      <c r="ER273" s="770"/>
      <c r="ES273" s="770"/>
      <c r="ET273" s="770"/>
      <c r="EU273" s="770"/>
      <c r="EV273" s="770"/>
      <c r="EW273" s="770"/>
      <c r="EX273" s="770"/>
      <c r="EY273" s="770"/>
      <c r="EZ273" s="770"/>
      <c r="FA273" s="770"/>
      <c r="FB273" s="770"/>
      <c r="FC273" s="770"/>
      <c r="FD273" s="302"/>
      <c r="FE273" s="770"/>
      <c r="FF273" s="770"/>
      <c r="FG273" s="770"/>
      <c r="FH273" s="770" t="s">
        <v>478</v>
      </c>
      <c r="FI273" s="770">
        <v>1</v>
      </c>
      <c r="FJ273" s="770"/>
      <c r="FK273" s="770"/>
      <c r="FL273" s="770"/>
      <c r="FM273" s="302"/>
      <c r="FN273" s="302"/>
      <c r="FO273" s="302"/>
      <c r="FP273" s="766" t="s">
        <v>1602</v>
      </c>
      <c r="FQ273" s="766" t="s">
        <v>1660</v>
      </c>
      <c r="FR273" s="770" t="s">
        <v>1214</v>
      </c>
      <c r="FS273" s="770"/>
      <c r="FT273" s="770"/>
      <c r="FU273" s="770"/>
      <c r="FV273" s="770"/>
      <c r="FW273" s="770"/>
      <c r="FX273" s="770"/>
      <c r="FY273" s="770"/>
      <c r="FZ273" s="770"/>
      <c r="GA273" s="770"/>
      <c r="GB273" s="770"/>
      <c r="GC273" s="308"/>
      <c r="GD273" s="297"/>
      <c r="GE273" s="770"/>
      <c r="GF273" s="302"/>
      <c r="GG273" s="302"/>
      <c r="GH273" s="712" t="s">
        <v>14260</v>
      </c>
      <c r="GI273" s="770"/>
      <c r="GJ273" s="770"/>
      <c r="GK273" s="770"/>
      <c r="GL273" s="770"/>
      <c r="GM273" s="770"/>
      <c r="GN273" s="309"/>
      <c r="GO273" s="770"/>
      <c r="GP273" s="770"/>
      <c r="GQ273" s="770"/>
      <c r="GR273" s="770"/>
      <c r="GS273" s="770"/>
      <c r="GT273" s="770"/>
      <c r="GU273" s="770"/>
      <c r="GV273" s="770"/>
      <c r="GW273" s="770"/>
      <c r="GX273" s="770"/>
      <c r="GY273" s="770"/>
      <c r="GZ273" s="770"/>
      <c r="HA273" s="770"/>
      <c r="HB273" s="770"/>
      <c r="HC273" s="770"/>
      <c r="HD273" s="770"/>
      <c r="HE273" s="770"/>
      <c r="HF273" s="770"/>
      <c r="HG273" s="770"/>
      <c r="HH273" s="770"/>
      <c r="HI273" s="770"/>
      <c r="HJ273" s="770"/>
      <c r="HK273" s="770"/>
      <c r="HL273" s="770"/>
      <c r="HM273" s="770"/>
      <c r="HN273" s="770"/>
      <c r="HO273" s="770"/>
      <c r="HP273" s="770"/>
      <c r="HQ273" s="770"/>
      <c r="HR273" s="770"/>
      <c r="HS273" s="770"/>
      <c r="HT273" s="770"/>
      <c r="HU273" s="770"/>
      <c r="HV273" s="770"/>
      <c r="HW273" s="770"/>
      <c r="HX273" s="770"/>
      <c r="HY273" s="770"/>
      <c r="HZ273" s="770"/>
      <c r="IA273" s="770"/>
      <c r="IB273" s="14" t="e">
        <f>IF(#REF!&gt;0,IF(#REF!&lt;=10000,"Y",""),"")</f>
        <v>#REF!</v>
      </c>
      <c r="IC273" s="770" t="s">
        <v>1207</v>
      </c>
      <c r="ID273" s="770"/>
      <c r="IE273" s="770"/>
      <c r="IF273" s="770"/>
      <c r="IG273" s="770"/>
      <c r="IH273" s="770"/>
      <c r="II273" s="770"/>
      <c r="IJ273" s="770"/>
      <c r="IK273" s="770"/>
      <c r="IL273" s="770"/>
      <c r="IM273" s="770"/>
      <c r="IN273" s="770"/>
      <c r="IO273" s="296"/>
      <c r="IP273" s="770"/>
      <c r="IQ273" s="770"/>
      <c r="IR273" s="770"/>
      <c r="IS273" s="770"/>
      <c r="IT273" s="770"/>
      <c r="IU273" s="770"/>
      <c r="IV273" s="770"/>
      <c r="IW273" s="770"/>
      <c r="IX273" s="770"/>
      <c r="IY273" s="770"/>
      <c r="IZ273" s="770"/>
      <c r="JA273" s="770"/>
      <c r="JB273" s="770"/>
      <c r="JC273" s="770"/>
      <c r="JD273" s="302"/>
      <c r="JE273" s="770"/>
      <c r="JF273" s="770"/>
      <c r="JG273" s="770"/>
      <c r="JH273" s="770"/>
      <c r="JI273" s="712" t="str">
        <f t="shared" si="75"/>
        <v>ok</v>
      </c>
      <c r="JJ273" s="766">
        <v>4</v>
      </c>
      <c r="JK273" s="1139" t="s">
        <v>2096</v>
      </c>
      <c r="JL273" s="770">
        <v>1</v>
      </c>
      <c r="JM273" s="770">
        <v>1</v>
      </c>
      <c r="JN273" s="770">
        <v>1</v>
      </c>
      <c r="JO273" s="770">
        <v>1</v>
      </c>
      <c r="JP273" s="770"/>
      <c r="JQ273" s="770"/>
      <c r="JR273" s="770"/>
      <c r="JS273" s="770"/>
      <c r="JT273" s="766">
        <f t="shared" si="83"/>
        <v>2</v>
      </c>
      <c r="JU273" s="766">
        <f t="shared" si="83"/>
        <v>2</v>
      </c>
      <c r="JV273" s="712" t="str">
        <f t="shared" si="76"/>
        <v>ok</v>
      </c>
      <c r="JW273" s="712" t="str">
        <f t="shared" si="77"/>
        <v>ok</v>
      </c>
      <c r="JX273" s="770"/>
      <c r="JY273" s="770"/>
      <c r="JZ273" s="770">
        <v>1</v>
      </c>
      <c r="KA273" s="770">
        <v>1</v>
      </c>
      <c r="KB273" s="770"/>
      <c r="KC273" s="770"/>
      <c r="KD273" s="770">
        <v>1</v>
      </c>
      <c r="KE273" s="770">
        <v>1</v>
      </c>
      <c r="KF273" s="770"/>
      <c r="KG273" s="770"/>
      <c r="KH273" s="770"/>
      <c r="KI273" s="770"/>
      <c r="KJ273" s="770">
        <f t="shared" si="86"/>
        <v>2</v>
      </c>
      <c r="KK273" s="770">
        <f t="shared" si="86"/>
        <v>2</v>
      </c>
      <c r="KL273" s="712" t="str">
        <f t="shared" si="84"/>
        <v>ok</v>
      </c>
      <c r="KM273" s="712" t="str">
        <f t="shared" si="85"/>
        <v>ok</v>
      </c>
      <c r="KN273" s="770" t="s">
        <v>722</v>
      </c>
      <c r="KO273" s="770"/>
      <c r="KP273" s="770"/>
      <c r="KQ273" s="770"/>
      <c r="KR273" s="770"/>
      <c r="KS273" s="770"/>
      <c r="KT273" s="770"/>
      <c r="KU273" s="770"/>
      <c r="KV273" s="770"/>
      <c r="KW273" s="770"/>
      <c r="KX273" s="770"/>
      <c r="KY273" s="770"/>
      <c r="KZ273" s="770"/>
      <c r="LA273" s="770"/>
      <c r="LB273" s="770">
        <v>1</v>
      </c>
      <c r="LC273" s="770">
        <v>1</v>
      </c>
      <c r="LD273" s="770"/>
      <c r="LE273" s="770"/>
      <c r="LF273" s="770"/>
      <c r="LG273" s="770"/>
      <c r="LH273" s="770"/>
      <c r="LI273" s="770"/>
      <c r="LJ273" s="770">
        <v>1</v>
      </c>
      <c r="LK273" s="770">
        <v>1</v>
      </c>
      <c r="LL273" s="770"/>
      <c r="LM273" s="770"/>
      <c r="LN273" s="766">
        <f t="shared" si="71"/>
        <v>2</v>
      </c>
      <c r="LO273" s="766">
        <f t="shared" si="71"/>
        <v>2</v>
      </c>
      <c r="LP273" s="770">
        <v>1</v>
      </c>
      <c r="LQ273" s="770">
        <v>1</v>
      </c>
      <c r="LR273" s="770"/>
      <c r="LS273" s="770"/>
      <c r="LT273" s="712" t="str">
        <f t="shared" si="80"/>
        <v>OK</v>
      </c>
      <c r="LU273" s="770"/>
      <c r="LV273" s="770">
        <v>1</v>
      </c>
      <c r="LW273" s="770"/>
      <c r="LX273" s="769">
        <v>5</v>
      </c>
      <c r="LY273" s="766" t="str">
        <f t="shared" si="82"/>
        <v>OVERSEAS Worker</v>
      </c>
      <c r="LZ273" s="299"/>
      <c r="MA273" s="306"/>
      <c r="MB273" s="306"/>
      <c r="MC273" s="1679">
        <f t="shared" si="70"/>
        <v>0</v>
      </c>
      <c r="MD273" s="306">
        <v>25000</v>
      </c>
      <c r="ME273" s="306"/>
      <c r="MF273" s="306"/>
      <c r="MG273" s="1680">
        <f t="shared" si="81"/>
        <v>25000</v>
      </c>
      <c r="MH273" s="770" t="s">
        <v>2217</v>
      </c>
      <c r="MI273" s="302">
        <v>6000</v>
      </c>
      <c r="MJ273" s="302">
        <v>1500</v>
      </c>
      <c r="MK273" s="302">
        <v>400</v>
      </c>
      <c r="ML273" s="302"/>
      <c r="MM273" s="302">
        <v>3000</v>
      </c>
      <c r="MN273" s="302"/>
      <c r="MO273" s="302">
        <v>300</v>
      </c>
      <c r="MP273" s="302">
        <v>800</v>
      </c>
      <c r="MQ273" s="302">
        <v>300</v>
      </c>
      <c r="MR273" s="302">
        <v>300</v>
      </c>
      <c r="MS273" s="302">
        <v>1000</v>
      </c>
      <c r="MT273" s="302"/>
      <c r="MU273" s="302"/>
      <c r="MV273" s="302"/>
      <c r="MW273" s="302"/>
      <c r="MX273" s="302"/>
      <c r="MY273" s="1682">
        <f t="shared" si="74"/>
        <v>13600</v>
      </c>
      <c r="MZ273" s="770" t="s">
        <v>13164</v>
      </c>
      <c r="NA273" s="770" t="s">
        <v>13005</v>
      </c>
      <c r="NB273" s="770" t="s">
        <v>13371</v>
      </c>
      <c r="NC273" s="770" t="s">
        <v>13007</v>
      </c>
      <c r="ND273" s="770">
        <v>0</v>
      </c>
      <c r="NE273" s="770">
        <v>0</v>
      </c>
      <c r="NF273" s="770">
        <v>0</v>
      </c>
      <c r="NG273" s="770">
        <v>2</v>
      </c>
      <c r="NH273" s="770">
        <v>1</v>
      </c>
      <c r="NI273" s="770">
        <v>0</v>
      </c>
      <c r="NJ273" s="770">
        <v>1</v>
      </c>
      <c r="NK273" s="770">
        <v>0</v>
      </c>
      <c r="NL273" s="770">
        <v>1</v>
      </c>
      <c r="NM273" s="770">
        <v>1</v>
      </c>
      <c r="NN273" s="770">
        <v>0</v>
      </c>
      <c r="NO273" s="770">
        <v>0</v>
      </c>
      <c r="NP273" s="770">
        <v>0</v>
      </c>
      <c r="NQ273" s="770">
        <v>0</v>
      </c>
      <c r="NR273" s="770">
        <v>0</v>
      </c>
      <c r="NS273" s="770">
        <v>0</v>
      </c>
      <c r="NT273" s="770">
        <v>0</v>
      </c>
      <c r="NU273" s="770">
        <v>0</v>
      </c>
      <c r="NV273" s="770">
        <v>0</v>
      </c>
      <c r="NW273" s="770">
        <v>0</v>
      </c>
      <c r="NX273" s="770">
        <v>0</v>
      </c>
      <c r="NY273" s="770"/>
      <c r="NZ273" s="770"/>
      <c r="OA273" s="770"/>
      <c r="OB273" s="770"/>
      <c r="OC273" s="770"/>
      <c r="OD273" s="770"/>
      <c r="OE273" s="770"/>
      <c r="OF273" s="770" t="s">
        <v>2140</v>
      </c>
      <c r="OG273" s="770"/>
      <c r="OH273" s="770"/>
      <c r="OI273" s="770"/>
      <c r="OJ273" s="770"/>
      <c r="OK273" s="770"/>
      <c r="OL273" s="770"/>
      <c r="OM273" s="770"/>
      <c r="ON273" s="770"/>
      <c r="OO273" s="770"/>
      <c r="OP273" s="770"/>
      <c r="OQ273" s="770"/>
      <c r="OR273" s="770"/>
      <c r="OS273" s="770"/>
      <c r="OT273" s="770"/>
      <c r="OU273" s="770"/>
      <c r="OV273" s="770"/>
      <c r="OW273" s="770"/>
      <c r="OX273" s="770"/>
      <c r="OY273" s="770"/>
      <c r="OZ273" s="770"/>
      <c r="PA273" s="770"/>
      <c r="PB273" s="770"/>
      <c r="PC273" s="770"/>
      <c r="PD273" s="770"/>
      <c r="PE273" s="770"/>
      <c r="PF273" s="770"/>
      <c r="PG273" s="770"/>
      <c r="PH273" s="770"/>
      <c r="PI273" s="770"/>
      <c r="PJ273" s="770"/>
      <c r="PK273" s="770" t="s">
        <v>1208</v>
      </c>
      <c r="PL273" s="770"/>
      <c r="PM273" s="770"/>
      <c r="PN273" s="770"/>
      <c r="PO273" s="770"/>
      <c r="PP273" s="770"/>
      <c r="PQ273" s="770"/>
      <c r="PR273" s="770"/>
      <c r="PS273" s="770"/>
      <c r="PT273" s="770"/>
      <c r="PU273" s="770"/>
      <c r="PV273" s="770"/>
      <c r="PW273" s="770"/>
      <c r="PX273" s="770"/>
      <c r="PY273" s="770"/>
      <c r="PZ273" s="770"/>
      <c r="QA273" s="770"/>
      <c r="QB273" s="770"/>
      <c r="QC273" s="770"/>
      <c r="QD273" s="770"/>
      <c r="QE273" s="770"/>
      <c r="QF273" s="770"/>
      <c r="QG273" s="770"/>
      <c r="QH273" s="770"/>
      <c r="QI273" s="770"/>
      <c r="QJ273" s="770"/>
      <c r="QK273" s="770"/>
      <c r="QL273" s="770"/>
      <c r="QM273" s="770"/>
      <c r="QN273" s="770"/>
      <c r="QO273" s="770"/>
      <c r="QP273" s="770"/>
      <c r="QQ273" s="770"/>
      <c r="QR273" s="770"/>
      <c r="QS273" s="770"/>
      <c r="QT273" s="770"/>
      <c r="QU273" s="770"/>
      <c r="QV273" s="770"/>
      <c r="QW273" s="770"/>
      <c r="QX273" s="770"/>
      <c r="QY273" s="770"/>
      <c r="QZ273" s="770"/>
      <c r="RA273" s="770"/>
      <c r="RB273" s="770" t="s">
        <v>1214</v>
      </c>
      <c r="RC273" s="770"/>
      <c r="RD273" s="770"/>
      <c r="RE273" s="770"/>
      <c r="RF273" s="304"/>
      <c r="RG273" s="770"/>
      <c r="RH273" s="302"/>
      <c r="RI273" s="770"/>
      <c r="RJ273" s="770" t="s">
        <v>13404</v>
      </c>
      <c r="RK273" s="770" t="s">
        <v>13401</v>
      </c>
      <c r="RL273" s="1710"/>
      <c r="RM273" s="12"/>
      <c r="RN273" s="1711"/>
      <c r="RO273" s="140" t="s">
        <v>457</v>
      </c>
      <c r="RP273" s="11"/>
      <c r="RQ273" s="11"/>
      <c r="RR273" s="19" t="s">
        <v>7421</v>
      </c>
      <c r="RS273" s="1139" t="s">
        <v>12980</v>
      </c>
      <c r="RT273" s="11"/>
      <c r="RU273" s="11"/>
      <c r="RV273" s="771" t="s">
        <v>7421</v>
      </c>
      <c r="RW273" s="11" t="s">
        <v>7611</v>
      </c>
      <c r="RX273" s="11" t="s">
        <v>452</v>
      </c>
      <c r="RY273" s="11"/>
      <c r="RZ273" s="11" t="s">
        <v>2209</v>
      </c>
      <c r="SA273" s="771"/>
      <c r="SB273" s="11"/>
      <c r="SC273" s="11"/>
    </row>
    <row r="274" spans="1:497" ht="12.75" customHeight="1">
      <c r="A274" s="767" t="s">
        <v>7421</v>
      </c>
      <c r="B274" s="292" t="s">
        <v>5597</v>
      </c>
      <c r="C274" s="140" t="s">
        <v>459</v>
      </c>
      <c r="D274" s="94" t="s">
        <v>460</v>
      </c>
      <c r="E274" s="766" t="s">
        <v>5606</v>
      </c>
      <c r="F274" s="770" t="s">
        <v>20</v>
      </c>
      <c r="G274" s="770" t="s">
        <v>18</v>
      </c>
      <c r="H274" s="770"/>
      <c r="I274" s="295" t="s">
        <v>461</v>
      </c>
      <c r="J274" s="94" t="s">
        <v>462</v>
      </c>
      <c r="K274" s="770"/>
      <c r="L274" s="770"/>
      <c r="M274" s="770"/>
      <c r="N274" s="770"/>
      <c r="O274" s="770"/>
      <c r="P274" s="94" t="s">
        <v>971</v>
      </c>
      <c r="Q274" s="1088">
        <v>31860</v>
      </c>
      <c r="R274" s="297">
        <v>30</v>
      </c>
      <c r="S274" s="770" t="s">
        <v>10</v>
      </c>
      <c r="T274" s="770"/>
      <c r="U274" s="298" t="s">
        <v>461</v>
      </c>
      <c r="V274" s="770" t="s">
        <v>707</v>
      </c>
      <c r="W274" s="770"/>
      <c r="X274" s="296"/>
      <c r="Y274" s="770" t="s">
        <v>972</v>
      </c>
      <c r="Z274" s="770" t="s">
        <v>973</v>
      </c>
      <c r="AA274" s="770" t="s">
        <v>709</v>
      </c>
      <c r="AB274" s="770" t="s">
        <v>710</v>
      </c>
      <c r="AC274" s="770"/>
      <c r="AD274" s="770" t="s">
        <v>711</v>
      </c>
      <c r="AE274" s="770"/>
      <c r="AF274" s="770" t="s">
        <v>712</v>
      </c>
      <c r="AG274" s="766" t="s">
        <v>1132</v>
      </c>
      <c r="AH274" s="766" t="s">
        <v>1096</v>
      </c>
      <c r="AI274" s="770"/>
      <c r="AJ274" s="770" t="s">
        <v>1137</v>
      </c>
      <c r="AK274" s="770" t="s">
        <v>1101</v>
      </c>
      <c r="AL274" s="299"/>
      <c r="AM274" s="300"/>
      <c r="AN274" s="301"/>
      <c r="AO274" s="766" t="s">
        <v>1122</v>
      </c>
      <c r="AP274" s="766"/>
      <c r="AQ274" s="766"/>
      <c r="AR274" s="766"/>
      <c r="AS274" s="770"/>
      <c r="AT274" s="770"/>
      <c r="AU274" s="770"/>
      <c r="AV274" s="770"/>
      <c r="AW274" s="770"/>
      <c r="AX274" s="770"/>
      <c r="AY274" s="770"/>
      <c r="AZ274" s="770"/>
      <c r="BA274" s="770"/>
      <c r="BB274" s="770"/>
      <c r="BC274" s="770"/>
      <c r="BD274" s="770"/>
      <c r="BE274" s="770"/>
      <c r="BF274" s="302"/>
      <c r="BG274" s="302"/>
      <c r="BH274" s="770"/>
      <c r="BI274" s="770"/>
      <c r="BJ274" s="770"/>
      <c r="BK274" s="770" t="s">
        <v>1095</v>
      </c>
      <c r="BL274" s="766" t="s">
        <v>9028</v>
      </c>
      <c r="BM274" s="766" t="s">
        <v>8108</v>
      </c>
      <c r="BN274" s="766" t="s">
        <v>1230</v>
      </c>
      <c r="BO274" s="766" t="s">
        <v>1246</v>
      </c>
      <c r="BP274" s="1111">
        <v>14.4</v>
      </c>
      <c r="BQ274" s="772">
        <v>14.4</v>
      </c>
      <c r="BR274" s="774">
        <f t="shared" si="87"/>
        <v>1</v>
      </c>
      <c r="BS274" s="766" t="s">
        <v>1257</v>
      </c>
      <c r="BT274" s="766" t="s">
        <v>8133</v>
      </c>
      <c r="BU274" s="770" t="s">
        <v>1249</v>
      </c>
      <c r="BV274" s="770" t="s">
        <v>1247</v>
      </c>
      <c r="BW274" s="770">
        <v>2005</v>
      </c>
      <c r="BX274" s="302"/>
      <c r="BY274" s="770"/>
      <c r="BZ274" s="302"/>
      <c r="CA274" s="770"/>
      <c r="CB274" s="770"/>
      <c r="CC274" s="770"/>
      <c r="CD274" s="770"/>
      <c r="CE274" s="770"/>
      <c r="CF274" s="304"/>
      <c r="CG274" s="321"/>
      <c r="CH274" s="770"/>
      <c r="CI274" s="770"/>
      <c r="CJ274" s="770"/>
      <c r="CK274" s="770"/>
      <c r="CL274" s="770"/>
      <c r="CM274" s="770"/>
      <c r="CN274" s="770"/>
      <c r="CO274" s="770"/>
      <c r="CP274" s="770"/>
      <c r="CQ274" s="770"/>
      <c r="CR274" s="302"/>
      <c r="CS274" s="770"/>
      <c r="CT274" s="770"/>
      <c r="CU274" s="305"/>
      <c r="CV274" s="770"/>
      <c r="CW274" s="770"/>
      <c r="CX274" s="770"/>
      <c r="CY274" s="770"/>
      <c r="CZ274" s="770"/>
      <c r="DA274" s="306"/>
      <c r="DB274" s="770"/>
      <c r="DC274" s="770"/>
      <c r="DD274" s="770"/>
      <c r="DE274" s="300"/>
      <c r="DF274" s="770"/>
      <c r="DG274" s="770"/>
      <c r="DH274" s="770"/>
      <c r="DI274" s="770"/>
      <c r="DJ274" s="770"/>
      <c r="DK274" s="770"/>
      <c r="DL274" s="770"/>
      <c r="DM274" s="770"/>
      <c r="DN274" s="322"/>
      <c r="DO274" s="770"/>
      <c r="DP274" s="770"/>
      <c r="DQ274" s="770"/>
      <c r="DR274" s="770"/>
      <c r="DS274" s="307"/>
      <c r="DT274" s="770"/>
      <c r="DU274" s="770"/>
      <c r="DV274" s="770"/>
      <c r="DW274" s="306"/>
      <c r="DX274" s="306"/>
      <c r="DY274" s="770"/>
      <c r="DZ274" s="770"/>
      <c r="EA274" s="770"/>
      <c r="EB274" s="770"/>
      <c r="EC274" s="770"/>
      <c r="ED274" s="770"/>
      <c r="EE274" s="770"/>
      <c r="EF274" s="770"/>
      <c r="EG274" s="770"/>
      <c r="EH274" s="770"/>
      <c r="EI274" s="770"/>
      <c r="EJ274" s="770"/>
      <c r="EK274" s="770"/>
      <c r="EL274" s="770"/>
      <c r="EM274" s="770"/>
      <c r="EN274" s="770"/>
      <c r="EO274" s="770"/>
      <c r="EP274" s="94"/>
      <c r="EQ274" s="770"/>
      <c r="ER274" s="770"/>
      <c r="ES274" s="770"/>
      <c r="ET274" s="770"/>
      <c r="EU274" s="770"/>
      <c r="EV274" s="770"/>
      <c r="EW274" s="770"/>
      <c r="EX274" s="770"/>
      <c r="EY274" s="770"/>
      <c r="EZ274" s="770"/>
      <c r="FA274" s="770"/>
      <c r="FB274" s="770"/>
      <c r="FC274" s="770"/>
      <c r="FD274" s="302"/>
      <c r="FE274" s="770"/>
      <c r="FF274" s="770"/>
      <c r="FG274" s="770"/>
      <c r="FH274" s="770" t="s">
        <v>478</v>
      </c>
      <c r="FI274" s="770">
        <v>1</v>
      </c>
      <c r="FJ274" s="770"/>
      <c r="FK274" s="770"/>
      <c r="FL274" s="770"/>
      <c r="FM274" s="302"/>
      <c r="FN274" s="302"/>
      <c r="FO274" s="302"/>
      <c r="FP274" s="766" t="s">
        <v>1602</v>
      </c>
      <c r="FQ274" s="766" t="s">
        <v>1660</v>
      </c>
      <c r="FR274" s="770" t="s">
        <v>1214</v>
      </c>
      <c r="FS274" s="770"/>
      <c r="FT274" s="770"/>
      <c r="FU274" s="770"/>
      <c r="FV274" s="770"/>
      <c r="FW274" s="770"/>
      <c r="FX274" s="770"/>
      <c r="FY274" s="770"/>
      <c r="FZ274" s="770"/>
      <c r="GA274" s="770"/>
      <c r="GB274" s="770"/>
      <c r="GC274" s="308"/>
      <c r="GD274" s="297"/>
      <c r="GE274" s="770"/>
      <c r="GF274" s="302"/>
      <c r="GG274" s="302"/>
      <c r="GH274" s="712" t="s">
        <v>1791</v>
      </c>
      <c r="GI274" s="770"/>
      <c r="GJ274" s="770"/>
      <c r="GK274" s="770" t="s">
        <v>2345</v>
      </c>
      <c r="GL274" s="770"/>
      <c r="GM274" s="770"/>
      <c r="GN274" s="309">
        <v>300</v>
      </c>
      <c r="GO274" s="770"/>
      <c r="GP274" s="770"/>
      <c r="GQ274" s="770" t="s">
        <v>1208</v>
      </c>
      <c r="GR274" s="770" t="s">
        <v>1208</v>
      </c>
      <c r="GS274" s="770" t="s">
        <v>1208</v>
      </c>
      <c r="GT274" s="770" t="s">
        <v>1208</v>
      </c>
      <c r="GU274" s="770"/>
      <c r="GV274" s="770"/>
      <c r="GW274" s="770" t="s">
        <v>1468</v>
      </c>
      <c r="GX274" s="770"/>
      <c r="GY274" s="770"/>
      <c r="GZ274" s="770"/>
      <c r="HA274" s="770"/>
      <c r="HB274" s="770"/>
      <c r="HC274" s="770" t="s">
        <v>1208</v>
      </c>
      <c r="HD274" s="770"/>
      <c r="HE274" s="770" t="s">
        <v>1208</v>
      </c>
      <c r="HF274" s="770"/>
      <c r="HG274" s="770"/>
      <c r="HH274" s="770"/>
      <c r="HI274" s="770" t="s">
        <v>1214</v>
      </c>
      <c r="HJ274" s="770"/>
      <c r="HK274" s="770"/>
      <c r="HL274" s="770" t="s">
        <v>1214</v>
      </c>
      <c r="HM274" s="770"/>
      <c r="HN274" s="770"/>
      <c r="HO274" s="770"/>
      <c r="HP274" s="770"/>
      <c r="HQ274" s="770"/>
      <c r="HR274" s="770"/>
      <c r="HS274" s="770"/>
      <c r="HT274" s="770"/>
      <c r="HU274" s="770"/>
      <c r="HV274" s="770"/>
      <c r="HW274" s="770"/>
      <c r="HX274" s="770"/>
      <c r="HY274" s="770"/>
      <c r="HZ274" s="770"/>
      <c r="IA274" s="770"/>
      <c r="IB274" s="14" t="e">
        <f>IF(#REF!&gt;0,IF(#REF!&lt;=10000,"Y",""),"")</f>
        <v>#REF!</v>
      </c>
      <c r="IC274" s="770"/>
      <c r="ID274" s="770"/>
      <c r="IE274" s="770"/>
      <c r="IF274" s="770"/>
      <c r="IG274" s="770"/>
      <c r="IH274" s="770"/>
      <c r="II274" s="770"/>
      <c r="IJ274" s="770"/>
      <c r="IK274" s="770"/>
      <c r="IL274" s="770"/>
      <c r="IM274" s="770"/>
      <c r="IN274" s="770"/>
      <c r="IO274" s="296"/>
      <c r="IP274" s="770"/>
      <c r="IQ274" s="770"/>
      <c r="IR274" s="770"/>
      <c r="IS274" s="770"/>
      <c r="IT274" s="770"/>
      <c r="IU274" s="770"/>
      <c r="IV274" s="770"/>
      <c r="IW274" s="770"/>
      <c r="IX274" s="770"/>
      <c r="IY274" s="770"/>
      <c r="IZ274" s="770"/>
      <c r="JA274" s="770"/>
      <c r="JB274" s="770"/>
      <c r="JC274" s="770"/>
      <c r="JD274" s="302"/>
      <c r="JE274" s="770"/>
      <c r="JF274" s="770"/>
      <c r="JG274" s="770"/>
      <c r="JH274" s="770"/>
      <c r="JI274" s="712" t="str">
        <f t="shared" si="75"/>
        <v>ok</v>
      </c>
      <c r="JJ274" s="766">
        <v>9</v>
      </c>
      <c r="JK274" s="1139" t="s">
        <v>13405</v>
      </c>
      <c r="JL274" s="770">
        <v>1</v>
      </c>
      <c r="JM274" s="770">
        <v>3</v>
      </c>
      <c r="JN274" s="770">
        <v>2</v>
      </c>
      <c r="JO274" s="770">
        <v>3</v>
      </c>
      <c r="JP274" s="770"/>
      <c r="JQ274" s="770"/>
      <c r="JR274" s="770"/>
      <c r="JS274" s="770"/>
      <c r="JT274" s="766">
        <f t="shared" si="83"/>
        <v>3</v>
      </c>
      <c r="JU274" s="766">
        <f t="shared" si="83"/>
        <v>6</v>
      </c>
      <c r="JV274" s="712" t="str">
        <f t="shared" si="76"/>
        <v>ok</v>
      </c>
      <c r="JW274" s="712" t="str">
        <f t="shared" si="77"/>
        <v>ok</v>
      </c>
      <c r="JX274" s="770">
        <v>1</v>
      </c>
      <c r="JY274" s="770">
        <v>2</v>
      </c>
      <c r="JZ274" s="770"/>
      <c r="KA274" s="770">
        <v>1</v>
      </c>
      <c r="KB274" s="770">
        <v>2</v>
      </c>
      <c r="KC274" s="770">
        <v>3</v>
      </c>
      <c r="KD274" s="770"/>
      <c r="KE274" s="770"/>
      <c r="KF274" s="770"/>
      <c r="KG274" s="770"/>
      <c r="KH274" s="770"/>
      <c r="KI274" s="770"/>
      <c r="KJ274" s="770">
        <f t="shared" si="86"/>
        <v>3</v>
      </c>
      <c r="KK274" s="770">
        <f t="shared" si="86"/>
        <v>6</v>
      </c>
      <c r="KL274" s="712" t="str">
        <f t="shared" si="84"/>
        <v>ok</v>
      </c>
      <c r="KM274" s="712" t="str">
        <f t="shared" si="85"/>
        <v>ok</v>
      </c>
      <c r="KN274" s="770" t="s">
        <v>707</v>
      </c>
      <c r="KO274" s="770"/>
      <c r="KP274" s="770"/>
      <c r="KQ274" s="770"/>
      <c r="KR274" s="770"/>
      <c r="KS274" s="770"/>
      <c r="KT274" s="770"/>
      <c r="KU274" s="770">
        <v>1</v>
      </c>
      <c r="KV274" s="770"/>
      <c r="KW274" s="770"/>
      <c r="KX274" s="770">
        <v>1</v>
      </c>
      <c r="KY274" s="770">
        <v>2</v>
      </c>
      <c r="KZ274" s="770">
        <v>1</v>
      </c>
      <c r="LA274" s="770">
        <v>1</v>
      </c>
      <c r="LB274" s="770"/>
      <c r="LC274" s="770"/>
      <c r="LD274" s="770"/>
      <c r="LE274" s="770"/>
      <c r="LF274" s="770"/>
      <c r="LG274" s="770"/>
      <c r="LH274" s="770"/>
      <c r="LI274" s="770"/>
      <c r="LJ274" s="770">
        <v>1</v>
      </c>
      <c r="LK274" s="770">
        <v>2</v>
      </c>
      <c r="LL274" s="770"/>
      <c r="LM274" s="770"/>
      <c r="LN274" s="766">
        <f t="shared" si="71"/>
        <v>3</v>
      </c>
      <c r="LO274" s="766">
        <f t="shared" si="71"/>
        <v>6</v>
      </c>
      <c r="LP274" s="770">
        <v>3</v>
      </c>
      <c r="LQ274" s="770">
        <v>3</v>
      </c>
      <c r="LR274" s="770"/>
      <c r="LS274" s="770"/>
      <c r="LT274" s="712" t="str">
        <f t="shared" si="80"/>
        <v>OK</v>
      </c>
      <c r="LU274" s="770">
        <v>3</v>
      </c>
      <c r="LV274" s="770"/>
      <c r="LW274" s="770"/>
      <c r="LX274" s="769">
        <v>1</v>
      </c>
      <c r="LY274" s="766" t="str">
        <f t="shared" si="82"/>
        <v>within the BRGY</v>
      </c>
      <c r="LZ274" s="299">
        <f>SUM(1200,1200)</f>
        <v>2400</v>
      </c>
      <c r="MA274" s="306"/>
      <c r="MB274" s="306"/>
      <c r="MC274" s="1679">
        <f t="shared" si="70"/>
        <v>2400</v>
      </c>
      <c r="MD274" s="299">
        <v>30700</v>
      </c>
      <c r="ME274" s="306"/>
      <c r="MF274" s="306"/>
      <c r="MG274" s="1680">
        <f t="shared" si="81"/>
        <v>30700</v>
      </c>
      <c r="MH274" s="770" t="s">
        <v>2225</v>
      </c>
      <c r="MI274" s="302">
        <v>9000</v>
      </c>
      <c r="MJ274" s="302">
        <v>2400</v>
      </c>
      <c r="MK274" s="302">
        <v>400</v>
      </c>
      <c r="ML274" s="302">
        <v>1500</v>
      </c>
      <c r="MM274" s="302">
        <v>1200</v>
      </c>
      <c r="MN274" s="302"/>
      <c r="MO274" s="302">
        <v>240</v>
      </c>
      <c r="MP274" s="302">
        <v>600</v>
      </c>
      <c r="MQ274" s="302">
        <v>240</v>
      </c>
      <c r="MR274" s="302">
        <v>1800</v>
      </c>
      <c r="MS274" s="302">
        <v>1500</v>
      </c>
      <c r="MT274" s="302"/>
      <c r="MU274" s="302"/>
      <c r="MV274" s="302"/>
      <c r="MW274" s="302"/>
      <c r="MX274" s="302"/>
      <c r="MY274" s="1682">
        <f t="shared" si="74"/>
        <v>18880</v>
      </c>
      <c r="MZ274" s="770" t="s">
        <v>13164</v>
      </c>
      <c r="NA274" s="770" t="s">
        <v>13005</v>
      </c>
      <c r="NB274" s="770" t="s">
        <v>13164</v>
      </c>
      <c r="NC274" s="770" t="s">
        <v>13135</v>
      </c>
      <c r="ND274" s="770">
        <v>0</v>
      </c>
      <c r="NE274" s="770">
        <v>0</v>
      </c>
      <c r="NF274" s="770">
        <v>0</v>
      </c>
      <c r="NG274" s="770">
        <v>1</v>
      </c>
      <c r="NH274" s="770">
        <v>1</v>
      </c>
      <c r="NI274" s="770">
        <v>0</v>
      </c>
      <c r="NJ274" s="770">
        <v>1</v>
      </c>
      <c r="NK274" s="770">
        <v>0</v>
      </c>
      <c r="NL274" s="770">
        <v>0</v>
      </c>
      <c r="NM274" s="770">
        <v>0</v>
      </c>
      <c r="NN274" s="770">
        <v>1</v>
      </c>
      <c r="NO274" s="770">
        <v>0</v>
      </c>
      <c r="NP274" s="770">
        <v>0</v>
      </c>
      <c r="NQ274" s="770">
        <v>0</v>
      </c>
      <c r="NR274" s="770">
        <v>0</v>
      </c>
      <c r="NS274" s="770">
        <v>0</v>
      </c>
      <c r="NT274" s="770">
        <v>0</v>
      </c>
      <c r="NU274" s="770">
        <v>0</v>
      </c>
      <c r="NV274" s="770">
        <v>0</v>
      </c>
      <c r="NW274" s="770">
        <v>0</v>
      </c>
      <c r="NX274" s="770">
        <v>0</v>
      </c>
      <c r="NY274" s="770" t="s">
        <v>1208</v>
      </c>
      <c r="NZ274" s="770" t="s">
        <v>1208</v>
      </c>
      <c r="OA274" s="770" t="s">
        <v>1208</v>
      </c>
      <c r="OB274" s="770" t="s">
        <v>1208</v>
      </c>
      <c r="OC274" s="770" t="s">
        <v>1208</v>
      </c>
      <c r="OD274" s="770" t="s">
        <v>1208</v>
      </c>
      <c r="OE274" s="770"/>
      <c r="OF274" s="770"/>
      <c r="OG274" s="770"/>
      <c r="OH274" s="770"/>
      <c r="OI274" s="770"/>
      <c r="OJ274" s="770"/>
      <c r="OK274" s="770"/>
      <c r="OL274" s="770"/>
      <c r="OM274" s="770"/>
      <c r="ON274" s="770"/>
      <c r="OO274" s="770"/>
      <c r="OP274" s="770"/>
      <c r="OQ274" s="770"/>
      <c r="OR274" s="770"/>
      <c r="OS274" s="770"/>
      <c r="OT274" s="770"/>
      <c r="OU274" s="770"/>
      <c r="OV274" s="770"/>
      <c r="OW274" s="770"/>
      <c r="OX274" s="770"/>
      <c r="OY274" s="770"/>
      <c r="OZ274" s="770"/>
      <c r="PA274" s="770"/>
      <c r="PB274" s="770"/>
      <c r="PC274" s="770"/>
      <c r="PD274" s="770"/>
      <c r="PE274" s="770"/>
      <c r="PF274" s="770"/>
      <c r="PG274" s="770"/>
      <c r="PH274" s="770"/>
      <c r="PI274" s="770"/>
      <c r="PJ274" s="770"/>
      <c r="PK274" s="770"/>
      <c r="PL274" s="770" t="s">
        <v>1208</v>
      </c>
      <c r="PM274" s="770"/>
      <c r="PN274" s="770"/>
      <c r="PO274" s="770"/>
      <c r="PP274" s="770"/>
      <c r="PQ274" s="770"/>
      <c r="PR274" s="770"/>
      <c r="PS274" s="770"/>
      <c r="PT274" s="770"/>
      <c r="PU274" s="770"/>
      <c r="PV274" s="770"/>
      <c r="PW274" s="770"/>
      <c r="PX274" s="770"/>
      <c r="PY274" s="770"/>
      <c r="PZ274" s="770"/>
      <c r="QA274" s="770"/>
      <c r="QB274" s="770"/>
      <c r="QC274" s="770"/>
      <c r="QD274" s="770"/>
      <c r="QE274" s="770"/>
      <c r="QF274" s="770"/>
      <c r="QG274" s="770"/>
      <c r="QH274" s="770"/>
      <c r="QI274" s="770"/>
      <c r="QJ274" s="770"/>
      <c r="QK274" s="770"/>
      <c r="QL274" s="770"/>
      <c r="QM274" s="770"/>
      <c r="QN274" s="770"/>
      <c r="QO274" s="770"/>
      <c r="QP274" s="770"/>
      <c r="QQ274" s="770"/>
      <c r="QR274" s="770"/>
      <c r="QS274" s="770"/>
      <c r="QT274" s="770"/>
      <c r="QU274" s="770"/>
      <c r="QV274" s="770"/>
      <c r="QW274" s="770"/>
      <c r="QX274" s="770"/>
      <c r="QY274" s="770"/>
      <c r="QZ274" s="770"/>
      <c r="RA274" s="770"/>
      <c r="RB274" s="770" t="s">
        <v>1207</v>
      </c>
      <c r="RC274" s="770" t="s">
        <v>13406</v>
      </c>
      <c r="RD274" s="770" t="s">
        <v>13251</v>
      </c>
      <c r="RE274" s="770" t="s">
        <v>13100</v>
      </c>
      <c r="RF274" s="304">
        <v>1.5</v>
      </c>
      <c r="RG274" s="770" t="s">
        <v>13047</v>
      </c>
      <c r="RH274" s="302">
        <v>200</v>
      </c>
      <c r="RI274" s="770">
        <v>24</v>
      </c>
      <c r="RJ274" s="770" t="s">
        <v>13407</v>
      </c>
      <c r="RK274" s="770" t="s">
        <v>13381</v>
      </c>
      <c r="RL274" s="1710">
        <v>42818</v>
      </c>
      <c r="RM274" s="12"/>
      <c r="RN274" s="1711"/>
      <c r="RO274" s="140" t="s">
        <v>459</v>
      </c>
      <c r="RP274" s="11"/>
      <c r="RQ274" s="11"/>
      <c r="RR274" s="19" t="s">
        <v>7421</v>
      </c>
      <c r="RS274" s="1139" t="s">
        <v>12980</v>
      </c>
      <c r="RT274" s="11"/>
      <c r="RU274" s="11"/>
      <c r="RV274" s="771" t="s">
        <v>7421</v>
      </c>
      <c r="RW274" s="11" t="s">
        <v>7613</v>
      </c>
      <c r="RX274" s="11" t="s">
        <v>454</v>
      </c>
      <c r="RY274" s="11"/>
      <c r="RZ274" s="11" t="s">
        <v>2209</v>
      </c>
      <c r="SA274" s="771"/>
      <c r="SB274" s="11"/>
      <c r="SC274" s="11"/>
    </row>
    <row r="275" spans="1:497" ht="12.75" customHeight="1">
      <c r="A275" s="767" t="s">
        <v>7421</v>
      </c>
      <c r="B275" s="292" t="s">
        <v>5599</v>
      </c>
      <c r="C275" s="140" t="s">
        <v>463</v>
      </c>
      <c r="D275" s="94" t="s">
        <v>464</v>
      </c>
      <c r="E275" s="766" t="s">
        <v>5606</v>
      </c>
      <c r="F275" s="770" t="s">
        <v>20</v>
      </c>
      <c r="G275" s="770" t="s">
        <v>18</v>
      </c>
      <c r="H275" s="770"/>
      <c r="I275" s="295" t="s">
        <v>465</v>
      </c>
      <c r="J275" s="94" t="s">
        <v>466</v>
      </c>
      <c r="K275" s="770"/>
      <c r="L275" s="770"/>
      <c r="M275" s="770"/>
      <c r="N275" s="770"/>
      <c r="O275" s="770"/>
      <c r="P275" s="94" t="s">
        <v>974</v>
      </c>
      <c r="Q275" s="1088">
        <v>31376</v>
      </c>
      <c r="R275" s="297">
        <v>31</v>
      </c>
      <c r="S275" s="770" t="s">
        <v>10</v>
      </c>
      <c r="T275" s="770"/>
      <c r="U275" s="298" t="s">
        <v>975</v>
      </c>
      <c r="V275" s="770" t="s">
        <v>707</v>
      </c>
      <c r="W275" s="770"/>
      <c r="X275" s="296"/>
      <c r="Y275" s="770" t="s">
        <v>14118</v>
      </c>
      <c r="Z275" s="770" t="s">
        <v>708</v>
      </c>
      <c r="AA275" s="770" t="s">
        <v>709</v>
      </c>
      <c r="AB275" s="770" t="s">
        <v>7275</v>
      </c>
      <c r="AC275" s="770"/>
      <c r="AD275" s="770" t="s">
        <v>937</v>
      </c>
      <c r="AE275" s="770"/>
      <c r="AF275" s="770" t="s">
        <v>798</v>
      </c>
      <c r="AG275" s="766" t="s">
        <v>1132</v>
      </c>
      <c r="AH275" s="766" t="s">
        <v>1096</v>
      </c>
      <c r="AI275" s="770"/>
      <c r="AJ275" s="770" t="s">
        <v>1137</v>
      </c>
      <c r="AK275" s="770" t="s">
        <v>1101</v>
      </c>
      <c r="AL275" s="299"/>
      <c r="AM275" s="300"/>
      <c r="AN275" s="301"/>
      <c r="AO275" s="766" t="s">
        <v>1122</v>
      </c>
      <c r="AP275" s="766"/>
      <c r="AQ275" s="766"/>
      <c r="AR275" s="766"/>
      <c r="AS275" s="770"/>
      <c r="AT275" s="770"/>
      <c r="AU275" s="770"/>
      <c r="AV275" s="770"/>
      <c r="AW275" s="770"/>
      <c r="AX275" s="770"/>
      <c r="AY275" s="770"/>
      <c r="AZ275" s="770"/>
      <c r="BA275" s="770"/>
      <c r="BB275" s="770"/>
      <c r="BC275" s="770"/>
      <c r="BD275" s="770"/>
      <c r="BE275" s="770"/>
      <c r="BF275" s="302"/>
      <c r="BG275" s="302"/>
      <c r="BH275" s="770"/>
      <c r="BI275" s="770"/>
      <c r="BJ275" s="770"/>
      <c r="BK275" s="770" t="s">
        <v>1095</v>
      </c>
      <c r="BL275" s="766" t="s">
        <v>1358</v>
      </c>
      <c r="BM275" s="766" t="s">
        <v>1096</v>
      </c>
      <c r="BN275" s="766" t="s">
        <v>1230</v>
      </c>
      <c r="BO275" s="766" t="s">
        <v>1246</v>
      </c>
      <c r="BP275" s="1111">
        <v>8.58</v>
      </c>
      <c r="BQ275" s="772">
        <v>8.58</v>
      </c>
      <c r="BR275" s="774">
        <f t="shared" si="87"/>
        <v>1</v>
      </c>
      <c r="BS275" s="766" t="s">
        <v>1257</v>
      </c>
      <c r="BT275" s="766" t="s">
        <v>8133</v>
      </c>
      <c r="BU275" s="766" t="s">
        <v>1267</v>
      </c>
      <c r="BV275" s="770" t="s">
        <v>1247</v>
      </c>
      <c r="BW275" s="770">
        <v>2010</v>
      </c>
      <c r="BX275" s="302"/>
      <c r="BY275" s="770"/>
      <c r="BZ275" s="302"/>
      <c r="CA275" s="770"/>
      <c r="CB275" s="770"/>
      <c r="CC275" s="770"/>
      <c r="CD275" s="770"/>
      <c r="CE275" s="770"/>
      <c r="CF275" s="304"/>
      <c r="CG275" s="321"/>
      <c r="CH275" s="770"/>
      <c r="CI275" s="770"/>
      <c r="CJ275" s="770"/>
      <c r="CK275" s="770"/>
      <c r="CL275" s="770"/>
      <c r="CM275" s="770"/>
      <c r="CN275" s="770"/>
      <c r="CO275" s="770"/>
      <c r="CP275" s="770"/>
      <c r="CQ275" s="770"/>
      <c r="CR275" s="302"/>
      <c r="CS275" s="770"/>
      <c r="CT275" s="770"/>
      <c r="CU275" s="305"/>
      <c r="CV275" s="770"/>
      <c r="CW275" s="770"/>
      <c r="CX275" s="770"/>
      <c r="CY275" s="770"/>
      <c r="CZ275" s="770"/>
      <c r="DA275" s="306"/>
      <c r="DB275" s="770"/>
      <c r="DC275" s="770"/>
      <c r="DD275" s="770"/>
      <c r="DE275" s="300"/>
      <c r="DF275" s="770"/>
      <c r="DG275" s="770"/>
      <c r="DH275" s="770"/>
      <c r="DI275" s="770"/>
      <c r="DJ275" s="770"/>
      <c r="DK275" s="770"/>
      <c r="DL275" s="770"/>
      <c r="DM275" s="770"/>
      <c r="DN275" s="322"/>
      <c r="DO275" s="770"/>
      <c r="DP275" s="770"/>
      <c r="DQ275" s="770"/>
      <c r="DR275" s="770"/>
      <c r="DS275" s="307"/>
      <c r="DT275" s="770"/>
      <c r="DU275" s="770"/>
      <c r="DV275" s="770"/>
      <c r="DW275" s="306"/>
      <c r="DX275" s="306"/>
      <c r="DY275" s="770"/>
      <c r="DZ275" s="770"/>
      <c r="EA275" s="770"/>
      <c r="EB275" s="770"/>
      <c r="EC275" s="770"/>
      <c r="ED275" s="770"/>
      <c r="EE275" s="770"/>
      <c r="EF275" s="770"/>
      <c r="EG275" s="770"/>
      <c r="EH275" s="770"/>
      <c r="EI275" s="770"/>
      <c r="EJ275" s="770"/>
      <c r="EK275" s="770"/>
      <c r="EL275" s="770"/>
      <c r="EM275" s="770"/>
      <c r="EN275" s="770"/>
      <c r="EO275" s="770"/>
      <c r="EP275" s="94"/>
      <c r="EQ275" s="770"/>
      <c r="ER275" s="770"/>
      <c r="ES275" s="770"/>
      <c r="ET275" s="770"/>
      <c r="EU275" s="770"/>
      <c r="EV275" s="770"/>
      <c r="EW275" s="770"/>
      <c r="EX275" s="770"/>
      <c r="EY275" s="770"/>
      <c r="EZ275" s="770"/>
      <c r="FA275" s="770"/>
      <c r="FB275" s="770"/>
      <c r="FC275" s="770"/>
      <c r="FD275" s="302"/>
      <c r="FE275" s="770"/>
      <c r="FF275" s="770"/>
      <c r="FG275" s="770"/>
      <c r="FH275" s="770" t="s">
        <v>478</v>
      </c>
      <c r="FI275" s="770">
        <v>1</v>
      </c>
      <c r="FJ275" s="770"/>
      <c r="FK275" s="770"/>
      <c r="FL275" s="770"/>
      <c r="FM275" s="302"/>
      <c r="FN275" s="302"/>
      <c r="FO275" s="302"/>
      <c r="FP275" s="766" t="s">
        <v>1602</v>
      </c>
      <c r="FQ275" s="766" t="s">
        <v>1660</v>
      </c>
      <c r="FR275" s="770"/>
      <c r="FS275" s="770"/>
      <c r="FT275" s="770"/>
      <c r="FU275" s="770"/>
      <c r="FV275" s="770"/>
      <c r="FW275" s="770"/>
      <c r="FX275" s="770"/>
      <c r="FY275" s="770"/>
      <c r="FZ275" s="770"/>
      <c r="GA275" s="770"/>
      <c r="GB275" s="770"/>
      <c r="GC275" s="308"/>
      <c r="GD275" s="297"/>
      <c r="GE275" s="770"/>
      <c r="GF275" s="302"/>
      <c r="GG275" s="302"/>
      <c r="GH275" s="712" t="s">
        <v>1791</v>
      </c>
      <c r="GI275" s="770"/>
      <c r="GJ275" s="770"/>
      <c r="GK275" s="770" t="s">
        <v>2345</v>
      </c>
      <c r="GL275" s="770" t="s">
        <v>1801</v>
      </c>
      <c r="GM275" s="770"/>
      <c r="GN275" s="309"/>
      <c r="GO275" s="770"/>
      <c r="GP275" s="770"/>
      <c r="GQ275" s="770"/>
      <c r="GR275" s="770"/>
      <c r="GS275" s="770"/>
      <c r="GT275" s="770"/>
      <c r="GU275" s="770"/>
      <c r="GV275" s="770"/>
      <c r="GW275" s="770"/>
      <c r="GX275" s="770"/>
      <c r="GY275" s="770"/>
      <c r="GZ275" s="770"/>
      <c r="HA275" s="770"/>
      <c r="HB275" s="770"/>
      <c r="HC275" s="770"/>
      <c r="HD275" s="770"/>
      <c r="HE275" s="770"/>
      <c r="HF275" s="770"/>
      <c r="HG275" s="770"/>
      <c r="HH275" s="770"/>
      <c r="HI275" s="770" t="s">
        <v>1214</v>
      </c>
      <c r="HJ275" s="770"/>
      <c r="HK275" s="770"/>
      <c r="HL275" s="770" t="s">
        <v>1214</v>
      </c>
      <c r="HM275" s="770"/>
      <c r="HN275" s="770"/>
      <c r="HO275" s="770"/>
      <c r="HP275" s="770"/>
      <c r="HQ275" s="770"/>
      <c r="HR275" s="770"/>
      <c r="HS275" s="770"/>
      <c r="HT275" s="770"/>
      <c r="HU275" s="770"/>
      <c r="HV275" s="770"/>
      <c r="HW275" s="770"/>
      <c r="HX275" s="770"/>
      <c r="HY275" s="770"/>
      <c r="HZ275" s="770"/>
      <c r="IA275" s="770"/>
      <c r="IB275" s="14" t="e">
        <f>IF(#REF!&gt;0,IF(#REF!&lt;=10000,"Y",""),"")</f>
        <v>#REF!</v>
      </c>
      <c r="IC275" s="770"/>
      <c r="ID275" s="770"/>
      <c r="IE275" s="770"/>
      <c r="IF275" s="94" t="s">
        <v>460</v>
      </c>
      <c r="IG275" s="770"/>
      <c r="IH275" s="770"/>
      <c r="II275" s="770"/>
      <c r="IJ275" s="770"/>
      <c r="IK275" s="770"/>
      <c r="IL275" s="770"/>
      <c r="IM275" s="770"/>
      <c r="IN275" s="770"/>
      <c r="IO275" s="296"/>
      <c r="IP275" s="770"/>
      <c r="IQ275" s="13" t="s">
        <v>1975</v>
      </c>
      <c r="IR275" s="770"/>
      <c r="IS275" s="770"/>
      <c r="IT275" s="770"/>
      <c r="IU275" s="770"/>
      <c r="IV275" s="770"/>
      <c r="IW275" s="770"/>
      <c r="IX275" s="770"/>
      <c r="IY275" s="770"/>
      <c r="IZ275" s="770"/>
      <c r="JA275" s="770"/>
      <c r="JB275" s="770"/>
      <c r="JC275" s="770"/>
      <c r="JD275" s="302"/>
      <c r="JE275" s="770"/>
      <c r="JF275" s="770"/>
      <c r="JG275" s="770"/>
      <c r="JH275" s="770"/>
      <c r="JI275" s="712" t="str">
        <f t="shared" si="75"/>
        <v>ok</v>
      </c>
      <c r="JJ275" s="766">
        <v>3</v>
      </c>
      <c r="JK275" s="1139" t="s">
        <v>466</v>
      </c>
      <c r="JL275" s="770">
        <v>1</v>
      </c>
      <c r="JM275" s="770"/>
      <c r="JN275" s="770">
        <v>1</v>
      </c>
      <c r="JO275" s="770">
        <v>1</v>
      </c>
      <c r="JP275" s="770"/>
      <c r="JQ275" s="770"/>
      <c r="JR275" s="770"/>
      <c r="JS275" s="770"/>
      <c r="JT275" s="766">
        <f t="shared" si="83"/>
        <v>2</v>
      </c>
      <c r="JU275" s="766">
        <f t="shared" si="83"/>
        <v>1</v>
      </c>
      <c r="JV275" s="712" t="str">
        <f t="shared" si="76"/>
        <v>ok</v>
      </c>
      <c r="JW275" s="712" t="str">
        <f t="shared" si="77"/>
        <v>ok</v>
      </c>
      <c r="JX275" s="770"/>
      <c r="JY275" s="770"/>
      <c r="JZ275" s="770">
        <v>1</v>
      </c>
      <c r="KA275" s="770"/>
      <c r="KB275" s="770"/>
      <c r="KC275" s="770">
        <v>1</v>
      </c>
      <c r="KD275" s="770">
        <v>1</v>
      </c>
      <c r="KE275" s="770"/>
      <c r="KF275" s="770"/>
      <c r="KG275" s="770"/>
      <c r="KH275" s="770"/>
      <c r="KI275" s="770"/>
      <c r="KJ275" s="770">
        <f t="shared" si="86"/>
        <v>2</v>
      </c>
      <c r="KK275" s="770">
        <f t="shared" si="86"/>
        <v>1</v>
      </c>
      <c r="KL275" s="712" t="str">
        <f t="shared" si="84"/>
        <v>ok</v>
      </c>
      <c r="KM275" s="712" t="str">
        <f t="shared" si="85"/>
        <v>ok</v>
      </c>
      <c r="KN275" s="770" t="s">
        <v>707</v>
      </c>
      <c r="KO275" s="770"/>
      <c r="KP275" s="770"/>
      <c r="KQ275" s="770"/>
      <c r="KR275" s="770"/>
      <c r="KS275" s="770"/>
      <c r="KT275" s="770">
        <v>2</v>
      </c>
      <c r="KU275" s="770"/>
      <c r="KV275" s="770"/>
      <c r="KW275" s="770"/>
      <c r="KX275" s="770"/>
      <c r="KY275" s="770"/>
      <c r="KZ275" s="770"/>
      <c r="LA275" s="770">
        <v>1</v>
      </c>
      <c r="LB275" s="770"/>
      <c r="LC275" s="770"/>
      <c r="LD275" s="770"/>
      <c r="LE275" s="770"/>
      <c r="LF275" s="770"/>
      <c r="LG275" s="770"/>
      <c r="LH275" s="770"/>
      <c r="LI275" s="770"/>
      <c r="LJ275" s="770"/>
      <c r="LK275" s="770"/>
      <c r="LL275" s="770"/>
      <c r="LM275" s="770"/>
      <c r="LN275" s="766">
        <f t="shared" si="71"/>
        <v>2</v>
      </c>
      <c r="LO275" s="766">
        <f t="shared" si="71"/>
        <v>1</v>
      </c>
      <c r="LP275" s="770">
        <v>1</v>
      </c>
      <c r="LQ275" s="770">
        <v>1</v>
      </c>
      <c r="LR275" s="770"/>
      <c r="LS275" s="770"/>
      <c r="LT275" s="712" t="str">
        <f t="shared" si="80"/>
        <v>OK</v>
      </c>
      <c r="LU275" s="770">
        <v>1</v>
      </c>
      <c r="LV275" s="770"/>
      <c r="LW275" s="770"/>
      <c r="LX275" s="769">
        <v>2</v>
      </c>
      <c r="LY275" s="766" t="str">
        <f t="shared" si="82"/>
        <v>within the MUNICIPALITY</v>
      </c>
      <c r="LZ275" s="299"/>
      <c r="MA275" s="306"/>
      <c r="MB275" s="306"/>
      <c r="MC275" s="1679">
        <f t="shared" si="70"/>
        <v>0</v>
      </c>
      <c r="MD275" s="306">
        <v>7200</v>
      </c>
      <c r="ME275" s="306"/>
      <c r="MF275" s="306"/>
      <c r="MG275" s="1680">
        <f t="shared" si="81"/>
        <v>7200</v>
      </c>
      <c r="MH275" s="770" t="s">
        <v>2238</v>
      </c>
      <c r="MI275" s="302">
        <v>6000</v>
      </c>
      <c r="MJ275" s="302"/>
      <c r="MK275" s="302">
        <v>150</v>
      </c>
      <c r="ML275" s="302"/>
      <c r="MM275" s="302">
        <v>400</v>
      </c>
      <c r="MN275" s="302"/>
      <c r="MO275" s="302">
        <v>100</v>
      </c>
      <c r="MP275" s="302">
        <v>400</v>
      </c>
      <c r="MQ275" s="302">
        <v>165</v>
      </c>
      <c r="MR275" s="302">
        <v>400</v>
      </c>
      <c r="MS275" s="302">
        <v>500</v>
      </c>
      <c r="MT275" s="302"/>
      <c r="MU275" s="302"/>
      <c r="MV275" s="302"/>
      <c r="MW275" s="302"/>
      <c r="MX275" s="302"/>
      <c r="MY275" s="1682">
        <f t="shared" si="74"/>
        <v>8115</v>
      </c>
      <c r="MZ275" s="770"/>
      <c r="NA275" s="770"/>
      <c r="NB275" s="770"/>
      <c r="NC275" s="770"/>
      <c r="ND275" s="770">
        <v>0</v>
      </c>
      <c r="NE275" s="770">
        <v>1</v>
      </c>
      <c r="NF275" s="770">
        <v>0</v>
      </c>
      <c r="NG275" s="770">
        <v>1</v>
      </c>
      <c r="NH275" s="770">
        <v>1</v>
      </c>
      <c r="NI275" s="770">
        <v>0</v>
      </c>
      <c r="NJ275" s="770">
        <v>1</v>
      </c>
      <c r="NK275" s="770">
        <v>0</v>
      </c>
      <c r="NL275" s="770">
        <v>0</v>
      </c>
      <c r="NM275" s="770">
        <v>1</v>
      </c>
      <c r="NN275" s="770">
        <v>0</v>
      </c>
      <c r="NO275" s="770">
        <v>0</v>
      </c>
      <c r="NP275" s="770">
        <v>0</v>
      </c>
      <c r="NQ275" s="770">
        <v>0</v>
      </c>
      <c r="NR275" s="770">
        <v>0</v>
      </c>
      <c r="NS275" s="770">
        <v>0</v>
      </c>
      <c r="NT275" s="770">
        <v>0</v>
      </c>
      <c r="NU275" s="770">
        <v>0</v>
      </c>
      <c r="NV275" s="770">
        <v>0</v>
      </c>
      <c r="NW275" s="770">
        <v>0</v>
      </c>
      <c r="NX275" s="770">
        <v>0</v>
      </c>
      <c r="NY275" s="770"/>
      <c r="NZ275" s="770"/>
      <c r="OA275" s="770"/>
      <c r="OB275" s="770"/>
      <c r="OC275" s="770"/>
      <c r="OD275" s="770"/>
      <c r="OE275" s="770"/>
      <c r="OF275" s="770"/>
      <c r="OG275" s="770"/>
      <c r="OH275" s="770"/>
      <c r="OI275" s="770"/>
      <c r="OJ275" s="770"/>
      <c r="OK275" s="770"/>
      <c r="OL275" s="770"/>
      <c r="OM275" s="770"/>
      <c r="ON275" s="770"/>
      <c r="OO275" s="770"/>
      <c r="OP275" s="770"/>
      <c r="OQ275" s="770"/>
      <c r="OR275" s="770"/>
      <c r="OS275" s="770"/>
      <c r="OT275" s="770"/>
      <c r="OU275" s="770"/>
      <c r="OV275" s="770"/>
      <c r="OW275" s="770"/>
      <c r="OX275" s="770"/>
      <c r="OY275" s="770"/>
      <c r="OZ275" s="770"/>
      <c r="PA275" s="770"/>
      <c r="PB275" s="770"/>
      <c r="PC275" s="770"/>
      <c r="PD275" s="770"/>
      <c r="PE275" s="770"/>
      <c r="PF275" s="770"/>
      <c r="PG275" s="770"/>
      <c r="PH275" s="770"/>
      <c r="PI275" s="770"/>
      <c r="PJ275" s="770"/>
      <c r="PK275" s="770" t="s">
        <v>1208</v>
      </c>
      <c r="PL275" s="770"/>
      <c r="PM275" s="770"/>
      <c r="PN275" s="770"/>
      <c r="PO275" s="770"/>
      <c r="PP275" s="770"/>
      <c r="PQ275" s="770"/>
      <c r="PR275" s="770"/>
      <c r="PS275" s="770"/>
      <c r="PT275" s="770"/>
      <c r="PU275" s="770"/>
      <c r="PV275" s="770"/>
      <c r="PW275" s="770"/>
      <c r="PX275" s="770"/>
      <c r="PY275" s="770"/>
      <c r="PZ275" s="770"/>
      <c r="QA275" s="770"/>
      <c r="QB275" s="770"/>
      <c r="QC275" s="770"/>
      <c r="QD275" s="770"/>
      <c r="QE275" s="770"/>
      <c r="QF275" s="770"/>
      <c r="QG275" s="770"/>
      <c r="QH275" s="770"/>
      <c r="QI275" s="770"/>
      <c r="QJ275" s="770"/>
      <c r="QK275" s="770"/>
      <c r="QL275" s="770"/>
      <c r="QM275" s="770"/>
      <c r="QN275" s="770"/>
      <c r="QO275" s="770"/>
      <c r="QP275" s="770"/>
      <c r="QQ275" s="770"/>
      <c r="QR275" s="770"/>
      <c r="QS275" s="770"/>
      <c r="QT275" s="770"/>
      <c r="QU275" s="770"/>
      <c r="QV275" s="770"/>
      <c r="QW275" s="770"/>
      <c r="QX275" s="770"/>
      <c r="QY275" s="770"/>
      <c r="QZ275" s="770"/>
      <c r="RA275" s="770"/>
      <c r="RB275" s="770" t="s">
        <v>1214</v>
      </c>
      <c r="RC275" s="770"/>
      <c r="RD275" s="770"/>
      <c r="RE275" s="770"/>
      <c r="RF275" s="304"/>
      <c r="RG275" s="770"/>
      <c r="RH275" s="302"/>
      <c r="RI275" s="770"/>
      <c r="RJ275" s="770" t="s">
        <v>2175</v>
      </c>
      <c r="RK275" s="770" t="s">
        <v>13401</v>
      </c>
      <c r="RL275" s="1710" t="s">
        <v>1604</v>
      </c>
      <c r="RM275" s="12"/>
      <c r="RN275" s="1711"/>
      <c r="RO275" s="140" t="s">
        <v>463</v>
      </c>
      <c r="RP275" s="11"/>
      <c r="RQ275" s="11"/>
      <c r="RR275" s="19" t="s">
        <v>7421</v>
      </c>
      <c r="RS275" s="1139" t="s">
        <v>12980</v>
      </c>
      <c r="RT275" s="11"/>
      <c r="RU275" s="11"/>
      <c r="RV275" s="771" t="s">
        <v>7421</v>
      </c>
      <c r="RW275" s="11" t="s">
        <v>7614</v>
      </c>
      <c r="RX275" s="11" t="s">
        <v>457</v>
      </c>
      <c r="RY275" s="11"/>
      <c r="RZ275" s="11" t="s">
        <v>2209</v>
      </c>
      <c r="SA275" s="771"/>
      <c r="SB275" s="11"/>
      <c r="SC275" s="11"/>
    </row>
    <row r="276" spans="1:497" ht="12.75" customHeight="1">
      <c r="A276" s="767" t="s">
        <v>7421</v>
      </c>
      <c r="B276" s="292" t="s">
        <v>5602</v>
      </c>
      <c r="C276" s="140" t="s">
        <v>467</v>
      </c>
      <c r="D276" s="94" t="s">
        <v>468</v>
      </c>
      <c r="E276" s="766" t="s">
        <v>5606</v>
      </c>
      <c r="F276" s="770" t="s">
        <v>28</v>
      </c>
      <c r="G276" s="770" t="s">
        <v>10</v>
      </c>
      <c r="H276" s="770"/>
      <c r="I276" s="295"/>
      <c r="J276" s="94"/>
      <c r="K276" s="770"/>
      <c r="L276" s="770"/>
      <c r="M276" s="770"/>
      <c r="N276" s="770"/>
      <c r="O276" s="770"/>
      <c r="P276" s="94" t="s">
        <v>976</v>
      </c>
      <c r="Q276" s="1088">
        <v>32114</v>
      </c>
      <c r="R276" s="297">
        <v>29</v>
      </c>
      <c r="S276" s="770" t="s">
        <v>10</v>
      </c>
      <c r="T276" s="770"/>
      <c r="U276" s="298" t="s">
        <v>977</v>
      </c>
      <c r="V276" s="770" t="s">
        <v>722</v>
      </c>
      <c r="W276" s="770"/>
      <c r="X276" s="296"/>
      <c r="Y276" s="770" t="s">
        <v>978</v>
      </c>
      <c r="Z276" s="770" t="s">
        <v>708</v>
      </c>
      <c r="AA276" s="770" t="s">
        <v>709</v>
      </c>
      <c r="AB276" s="770" t="s">
        <v>744</v>
      </c>
      <c r="AC276" s="770"/>
      <c r="AD276" s="770" t="s">
        <v>711</v>
      </c>
      <c r="AE276" s="770"/>
      <c r="AF276" s="770"/>
      <c r="AG276" s="766" t="s">
        <v>1132</v>
      </c>
      <c r="AH276" s="766" t="s">
        <v>1096</v>
      </c>
      <c r="AI276" s="770"/>
      <c r="AJ276" s="770" t="s">
        <v>1137</v>
      </c>
      <c r="AK276" s="770" t="s">
        <v>1101</v>
      </c>
      <c r="AL276" s="299"/>
      <c r="AM276" s="300"/>
      <c r="AN276" s="301"/>
      <c r="AO276" s="766" t="s">
        <v>1122</v>
      </c>
      <c r="AP276" s="766"/>
      <c r="AQ276" s="766"/>
      <c r="AR276" s="766"/>
      <c r="AS276" s="770"/>
      <c r="AT276" s="770"/>
      <c r="AU276" s="770"/>
      <c r="AV276" s="770"/>
      <c r="AW276" s="770"/>
      <c r="AX276" s="770"/>
      <c r="AY276" s="770"/>
      <c r="AZ276" s="770"/>
      <c r="BA276" s="770"/>
      <c r="BB276" s="770"/>
      <c r="BC276" s="770"/>
      <c r="BD276" s="770"/>
      <c r="BE276" s="770"/>
      <c r="BF276" s="302"/>
      <c r="BG276" s="302"/>
      <c r="BH276" s="770"/>
      <c r="BI276" s="770"/>
      <c r="BJ276" s="770"/>
      <c r="BK276" s="770" t="s">
        <v>1095</v>
      </c>
      <c r="BL276" s="766" t="s">
        <v>5601</v>
      </c>
      <c r="BM276" s="766" t="s">
        <v>1096</v>
      </c>
      <c r="BN276" s="766" t="s">
        <v>1230</v>
      </c>
      <c r="BO276" s="766" t="s">
        <v>1239</v>
      </c>
      <c r="BP276" s="1111">
        <v>21</v>
      </c>
      <c r="BQ276" s="772">
        <v>21</v>
      </c>
      <c r="BR276" s="774">
        <f t="shared" si="87"/>
        <v>1</v>
      </c>
      <c r="BS276" s="766" t="s">
        <v>1257</v>
      </c>
      <c r="BT276" s="766" t="s">
        <v>8133</v>
      </c>
      <c r="BU276" s="766" t="s">
        <v>1267</v>
      </c>
      <c r="BV276" s="770" t="s">
        <v>1247</v>
      </c>
      <c r="BW276" s="769"/>
      <c r="BX276" s="302"/>
      <c r="BY276" s="770"/>
      <c r="BZ276" s="302"/>
      <c r="CA276" s="770"/>
      <c r="CB276" s="770"/>
      <c r="CC276" s="770"/>
      <c r="CD276" s="770"/>
      <c r="CE276" s="770"/>
      <c r="CF276" s="304"/>
      <c r="CG276" s="321"/>
      <c r="CH276" s="770"/>
      <c r="CI276" s="770"/>
      <c r="CJ276" s="770"/>
      <c r="CK276" s="770"/>
      <c r="CL276" s="770"/>
      <c r="CM276" s="770"/>
      <c r="CN276" s="770"/>
      <c r="CO276" s="770"/>
      <c r="CP276" s="770"/>
      <c r="CQ276" s="770"/>
      <c r="CR276" s="302"/>
      <c r="CS276" s="770"/>
      <c r="CT276" s="770"/>
      <c r="CU276" s="305"/>
      <c r="CV276" s="770"/>
      <c r="CW276" s="770"/>
      <c r="CX276" s="770"/>
      <c r="CY276" s="770"/>
      <c r="CZ276" s="770"/>
      <c r="DA276" s="306"/>
      <c r="DB276" s="770"/>
      <c r="DC276" s="770"/>
      <c r="DD276" s="770"/>
      <c r="DE276" s="300"/>
      <c r="DF276" s="770"/>
      <c r="DG276" s="770"/>
      <c r="DH276" s="770"/>
      <c r="DI276" s="770"/>
      <c r="DJ276" s="770"/>
      <c r="DK276" s="770"/>
      <c r="DL276" s="770"/>
      <c r="DM276" s="770"/>
      <c r="DN276" s="322"/>
      <c r="DO276" s="770"/>
      <c r="DP276" s="770"/>
      <c r="DQ276" s="770"/>
      <c r="DR276" s="770"/>
      <c r="DS276" s="307"/>
      <c r="DT276" s="770"/>
      <c r="DU276" s="770"/>
      <c r="DV276" s="770"/>
      <c r="DW276" s="306"/>
      <c r="DX276" s="306"/>
      <c r="DY276" s="770"/>
      <c r="DZ276" s="770"/>
      <c r="EA276" s="770"/>
      <c r="EB276" s="770"/>
      <c r="EC276" s="770"/>
      <c r="ED276" s="770"/>
      <c r="EE276" s="770"/>
      <c r="EF276" s="770"/>
      <c r="EG276" s="770"/>
      <c r="EH276" s="770"/>
      <c r="EI276" s="770"/>
      <c r="EJ276" s="770"/>
      <c r="EK276" s="770"/>
      <c r="EL276" s="770"/>
      <c r="EM276" s="770"/>
      <c r="EN276" s="770"/>
      <c r="EO276" s="770"/>
      <c r="EP276" s="94"/>
      <c r="EQ276" s="770"/>
      <c r="ER276" s="770"/>
      <c r="ES276" s="770"/>
      <c r="ET276" s="770"/>
      <c r="EU276" s="770"/>
      <c r="EV276" s="770"/>
      <c r="EW276" s="770"/>
      <c r="EX276" s="770"/>
      <c r="EY276" s="770"/>
      <c r="EZ276" s="770"/>
      <c r="FA276" s="770"/>
      <c r="FB276" s="770"/>
      <c r="FC276" s="770"/>
      <c r="FD276" s="302"/>
      <c r="FE276" s="770"/>
      <c r="FF276" s="770"/>
      <c r="FG276" s="770"/>
      <c r="FH276" s="770" t="s">
        <v>478</v>
      </c>
      <c r="FI276" s="770">
        <v>2</v>
      </c>
      <c r="FJ276" s="770"/>
      <c r="FK276" s="770"/>
      <c r="FL276" s="770"/>
      <c r="FM276" s="302"/>
      <c r="FN276" s="302"/>
      <c r="FO276" s="302"/>
      <c r="FP276" s="766" t="s">
        <v>1602</v>
      </c>
      <c r="FQ276" s="766" t="s">
        <v>1660</v>
      </c>
      <c r="FR276" s="770" t="s">
        <v>1214</v>
      </c>
      <c r="FS276" s="770"/>
      <c r="FT276" s="770"/>
      <c r="FU276" s="770"/>
      <c r="FV276" s="770"/>
      <c r="FW276" s="770"/>
      <c r="FX276" s="770"/>
      <c r="FY276" s="770"/>
      <c r="FZ276" s="770"/>
      <c r="GA276" s="770"/>
      <c r="GB276" s="770"/>
      <c r="GC276" s="308"/>
      <c r="GD276" s="297"/>
      <c r="GE276" s="770"/>
      <c r="GF276" s="302"/>
      <c r="GG276" s="302"/>
      <c r="GH276" s="712" t="s">
        <v>1791</v>
      </c>
      <c r="GI276" s="770"/>
      <c r="GJ276" s="770"/>
      <c r="GK276" s="770" t="s">
        <v>2345</v>
      </c>
      <c r="GL276" s="770"/>
      <c r="GM276" s="770"/>
      <c r="GN276" s="309"/>
      <c r="GO276" s="770"/>
      <c r="GP276" s="770"/>
      <c r="GQ276" s="770"/>
      <c r="GR276" s="770"/>
      <c r="GS276" s="770"/>
      <c r="GT276" s="770"/>
      <c r="GU276" s="770"/>
      <c r="GV276" s="770"/>
      <c r="GW276" s="770"/>
      <c r="GX276" s="770"/>
      <c r="GY276" s="770"/>
      <c r="GZ276" s="770"/>
      <c r="HA276" s="770"/>
      <c r="HB276" s="770"/>
      <c r="HC276" s="770"/>
      <c r="HD276" s="770"/>
      <c r="HE276" s="770"/>
      <c r="HF276" s="770"/>
      <c r="HG276" s="770"/>
      <c r="HH276" s="770"/>
      <c r="HI276" s="770" t="s">
        <v>1214</v>
      </c>
      <c r="HJ276" s="770"/>
      <c r="HK276" s="770"/>
      <c r="HL276" s="770" t="s">
        <v>1214</v>
      </c>
      <c r="HM276" s="770"/>
      <c r="HN276" s="770"/>
      <c r="HO276" s="770"/>
      <c r="HP276" s="770"/>
      <c r="HQ276" s="770"/>
      <c r="HR276" s="770"/>
      <c r="HS276" s="770"/>
      <c r="HT276" s="770"/>
      <c r="HU276" s="770"/>
      <c r="HV276" s="770"/>
      <c r="HW276" s="770"/>
      <c r="HX276" s="770"/>
      <c r="HY276" s="770"/>
      <c r="HZ276" s="770"/>
      <c r="IA276" s="770"/>
      <c r="IB276" s="14" t="e">
        <f>IF(#REF!&gt;0,IF(#REF!&lt;=10000,"Y",""),"")</f>
        <v>#REF!</v>
      </c>
      <c r="IC276" s="770"/>
      <c r="ID276" s="770"/>
      <c r="IE276" s="770"/>
      <c r="IF276" s="770"/>
      <c r="IG276" s="770"/>
      <c r="IH276" s="770"/>
      <c r="II276" s="770"/>
      <c r="IJ276" s="770"/>
      <c r="IK276" s="770"/>
      <c r="IL276" s="770"/>
      <c r="IM276" s="770"/>
      <c r="IN276" s="770"/>
      <c r="IO276" s="296"/>
      <c r="IP276" s="770"/>
      <c r="IQ276" s="770"/>
      <c r="IR276" s="770"/>
      <c r="IS276" s="770"/>
      <c r="IT276" s="770"/>
      <c r="IU276" s="770"/>
      <c r="IV276" s="770"/>
      <c r="IW276" s="770"/>
      <c r="IX276" s="770"/>
      <c r="IY276" s="770"/>
      <c r="IZ276" s="770"/>
      <c r="JA276" s="770"/>
      <c r="JB276" s="770"/>
      <c r="JC276" s="770"/>
      <c r="JD276" s="302"/>
      <c r="JE276" s="770"/>
      <c r="JF276" s="770"/>
      <c r="JG276" s="770"/>
      <c r="JH276" s="770"/>
      <c r="JI276" s="712" t="str">
        <f t="shared" si="75"/>
        <v>ok</v>
      </c>
      <c r="JJ276" s="766">
        <v>9</v>
      </c>
      <c r="JK276" s="1139" t="s">
        <v>2097</v>
      </c>
      <c r="JL276" s="770">
        <v>5</v>
      </c>
      <c r="JM276" s="770"/>
      <c r="JN276" s="770">
        <v>2</v>
      </c>
      <c r="JO276" s="770">
        <v>2</v>
      </c>
      <c r="JP276" s="770"/>
      <c r="JQ276" s="770"/>
      <c r="JR276" s="770"/>
      <c r="JS276" s="770"/>
      <c r="JT276" s="766">
        <f t="shared" si="83"/>
        <v>7</v>
      </c>
      <c r="JU276" s="766">
        <f t="shared" si="83"/>
        <v>2</v>
      </c>
      <c r="JV276" s="712" t="str">
        <f t="shared" si="76"/>
        <v>ok</v>
      </c>
      <c r="JW276" s="712" t="str">
        <f t="shared" si="77"/>
        <v>ok</v>
      </c>
      <c r="JX276" s="770">
        <v>2</v>
      </c>
      <c r="JY276" s="770"/>
      <c r="JZ276" s="770">
        <v>3</v>
      </c>
      <c r="KA276" s="770"/>
      <c r="KB276" s="770">
        <v>2</v>
      </c>
      <c r="KC276" s="770">
        <v>2</v>
      </c>
      <c r="KD276" s="770"/>
      <c r="KE276" s="770"/>
      <c r="KF276" s="770"/>
      <c r="KG276" s="770"/>
      <c r="KH276" s="770"/>
      <c r="KI276" s="770"/>
      <c r="KJ276" s="770">
        <f t="shared" si="86"/>
        <v>7</v>
      </c>
      <c r="KK276" s="770">
        <f t="shared" si="86"/>
        <v>2</v>
      </c>
      <c r="KL276" s="712" t="str">
        <f t="shared" si="84"/>
        <v>ok</v>
      </c>
      <c r="KM276" s="712" t="str">
        <f t="shared" si="85"/>
        <v>ok</v>
      </c>
      <c r="KN276" s="770" t="s">
        <v>707</v>
      </c>
      <c r="KO276" s="770"/>
      <c r="KP276" s="770">
        <v>1</v>
      </c>
      <c r="KQ276" s="770"/>
      <c r="KR276" s="770"/>
      <c r="KS276" s="770"/>
      <c r="KT276" s="770">
        <v>3</v>
      </c>
      <c r="KU276" s="770">
        <v>1</v>
      </c>
      <c r="KV276" s="770">
        <v>1</v>
      </c>
      <c r="KW276" s="770"/>
      <c r="KX276" s="770"/>
      <c r="KY276" s="770"/>
      <c r="KZ276" s="770"/>
      <c r="LA276" s="770">
        <v>1</v>
      </c>
      <c r="LB276" s="770"/>
      <c r="LC276" s="770"/>
      <c r="LD276" s="770"/>
      <c r="LE276" s="770"/>
      <c r="LF276" s="770"/>
      <c r="LG276" s="770"/>
      <c r="LH276" s="770"/>
      <c r="LI276" s="770"/>
      <c r="LJ276" s="770">
        <v>2</v>
      </c>
      <c r="LK276" s="770"/>
      <c r="LL276" s="770"/>
      <c r="LM276" s="770"/>
      <c r="LN276" s="766">
        <f t="shared" si="71"/>
        <v>7</v>
      </c>
      <c r="LO276" s="766">
        <f t="shared" si="71"/>
        <v>2</v>
      </c>
      <c r="LP276" s="770">
        <v>4</v>
      </c>
      <c r="LQ276" s="770">
        <v>1</v>
      </c>
      <c r="LR276" s="770"/>
      <c r="LS276" s="770">
        <v>3</v>
      </c>
      <c r="LT276" s="712" t="str">
        <f t="shared" si="80"/>
        <v>OK</v>
      </c>
      <c r="LU276" s="770"/>
      <c r="LV276" s="770"/>
      <c r="LW276" s="770">
        <v>1</v>
      </c>
      <c r="LX276" s="769">
        <v>3</v>
      </c>
      <c r="LY276" s="766" t="str">
        <f t="shared" si="82"/>
        <v>within the PROVINCE</v>
      </c>
      <c r="LZ276" s="299"/>
      <c r="MA276" s="306"/>
      <c r="MB276" s="306"/>
      <c r="MC276" s="1679">
        <f t="shared" si="70"/>
        <v>0</v>
      </c>
      <c r="MD276" s="306">
        <v>9600</v>
      </c>
      <c r="ME276" s="306"/>
      <c r="MF276" s="306">
        <f>SUM(1600,AVERAGE(7000,10000),8000)</f>
        <v>18100</v>
      </c>
      <c r="MG276" s="1680">
        <f t="shared" si="81"/>
        <v>27700</v>
      </c>
      <c r="MH276" s="770" t="s">
        <v>13408</v>
      </c>
      <c r="MI276" s="302">
        <v>9000</v>
      </c>
      <c r="MJ276" s="302">
        <v>100</v>
      </c>
      <c r="MK276" s="302">
        <v>300</v>
      </c>
      <c r="ML276" s="302">
        <v>300</v>
      </c>
      <c r="MM276" s="302">
        <v>900</v>
      </c>
      <c r="MN276" s="302"/>
      <c r="MO276" s="302">
        <v>110</v>
      </c>
      <c r="MP276" s="302">
        <v>600</v>
      </c>
      <c r="MQ276" s="302">
        <v>400</v>
      </c>
      <c r="MR276" s="302">
        <v>900</v>
      </c>
      <c r="MS276" s="302"/>
      <c r="MT276" s="302"/>
      <c r="MU276" s="302"/>
      <c r="MV276" s="302"/>
      <c r="MW276" s="302"/>
      <c r="MX276" s="302"/>
      <c r="MY276" s="1682">
        <f t="shared" si="74"/>
        <v>12610</v>
      </c>
      <c r="MZ276" s="770" t="s">
        <v>13164</v>
      </c>
      <c r="NA276" s="770" t="s">
        <v>13005</v>
      </c>
      <c r="NB276" s="770" t="s">
        <v>13409</v>
      </c>
      <c r="NC276" s="770" t="s">
        <v>13007</v>
      </c>
      <c r="ND276" s="770">
        <v>0</v>
      </c>
      <c r="NE276" s="770">
        <v>0</v>
      </c>
      <c r="NF276" s="770">
        <v>0</v>
      </c>
      <c r="NG276" s="770">
        <v>2</v>
      </c>
      <c r="NH276" s="770">
        <v>2</v>
      </c>
      <c r="NI276" s="770">
        <v>1</v>
      </c>
      <c r="NJ276" s="770">
        <v>1</v>
      </c>
      <c r="NK276" s="770">
        <v>0</v>
      </c>
      <c r="NL276" s="770">
        <v>0</v>
      </c>
      <c r="NM276" s="770">
        <v>1</v>
      </c>
      <c r="NN276" s="770">
        <v>0</v>
      </c>
      <c r="NO276" s="770">
        <v>0</v>
      </c>
      <c r="NP276" s="770">
        <v>0</v>
      </c>
      <c r="NQ276" s="770">
        <v>0</v>
      </c>
      <c r="NR276" s="770">
        <v>0</v>
      </c>
      <c r="NS276" s="770">
        <v>0</v>
      </c>
      <c r="NT276" s="770">
        <v>0</v>
      </c>
      <c r="NU276" s="770">
        <v>0</v>
      </c>
      <c r="NV276" s="770">
        <v>0</v>
      </c>
      <c r="NW276" s="770">
        <v>0</v>
      </c>
      <c r="NX276" s="770">
        <v>0</v>
      </c>
      <c r="NY276" s="770"/>
      <c r="NZ276" s="770"/>
      <c r="OA276" s="770"/>
      <c r="OB276" s="770"/>
      <c r="OC276" s="770"/>
      <c r="OD276" s="770"/>
      <c r="OE276" s="770"/>
      <c r="OF276" s="770"/>
      <c r="OG276" s="770"/>
      <c r="OH276" s="770"/>
      <c r="OI276" s="770"/>
      <c r="OJ276" s="770"/>
      <c r="OK276" s="770"/>
      <c r="OL276" s="770"/>
      <c r="OM276" s="770"/>
      <c r="ON276" s="770"/>
      <c r="OO276" s="770"/>
      <c r="OP276" s="770"/>
      <c r="OQ276" s="770"/>
      <c r="OR276" s="770"/>
      <c r="OS276" s="770"/>
      <c r="OT276" s="770"/>
      <c r="OU276" s="770"/>
      <c r="OV276" s="770"/>
      <c r="OW276" s="770"/>
      <c r="OX276" s="770"/>
      <c r="OY276" s="770"/>
      <c r="OZ276" s="770"/>
      <c r="PA276" s="770"/>
      <c r="PB276" s="770"/>
      <c r="PC276" s="770"/>
      <c r="PD276" s="770"/>
      <c r="PE276" s="770"/>
      <c r="PF276" s="770"/>
      <c r="PG276" s="770"/>
      <c r="PH276" s="770"/>
      <c r="PI276" s="770"/>
      <c r="PJ276" s="770"/>
      <c r="PK276" s="770" t="s">
        <v>1208</v>
      </c>
      <c r="PL276" s="770"/>
      <c r="PM276" s="770"/>
      <c r="PN276" s="770"/>
      <c r="PO276" s="770"/>
      <c r="PP276" s="770"/>
      <c r="PQ276" s="770"/>
      <c r="PR276" s="770"/>
      <c r="PS276" s="770"/>
      <c r="PT276" s="770"/>
      <c r="PU276" s="770"/>
      <c r="PV276" s="770"/>
      <c r="PW276" s="770"/>
      <c r="PX276" s="770"/>
      <c r="PY276" s="770"/>
      <c r="PZ276" s="770"/>
      <c r="QA276" s="770"/>
      <c r="QB276" s="770"/>
      <c r="QC276" s="770"/>
      <c r="QD276" s="770"/>
      <c r="QE276" s="770"/>
      <c r="QF276" s="770"/>
      <c r="QG276" s="770"/>
      <c r="QH276" s="770"/>
      <c r="QI276" s="770"/>
      <c r="QJ276" s="770"/>
      <c r="QK276" s="770"/>
      <c r="QL276" s="770"/>
      <c r="QM276" s="770"/>
      <c r="QN276" s="770"/>
      <c r="QO276" s="770"/>
      <c r="QP276" s="770"/>
      <c r="QQ276" s="770"/>
      <c r="QR276" s="770"/>
      <c r="QS276" s="770"/>
      <c r="QT276" s="770"/>
      <c r="QU276" s="770"/>
      <c r="QV276" s="770"/>
      <c r="QW276" s="770"/>
      <c r="QX276" s="770"/>
      <c r="QY276" s="770"/>
      <c r="QZ276" s="770"/>
      <c r="RA276" s="770"/>
      <c r="RB276" s="770" t="s">
        <v>1214</v>
      </c>
      <c r="RC276" s="770"/>
      <c r="RD276" s="770"/>
      <c r="RE276" s="770"/>
      <c r="RF276" s="304"/>
      <c r="RG276" s="770"/>
      <c r="RH276" s="302"/>
      <c r="RI276" s="770"/>
      <c r="RJ276" s="770" t="s">
        <v>13410</v>
      </c>
      <c r="RK276" s="770" t="s">
        <v>13401</v>
      </c>
      <c r="RL276" s="1710" t="s">
        <v>1604</v>
      </c>
      <c r="RM276" s="12"/>
      <c r="RN276" s="1711"/>
      <c r="RO276" s="140" t="s">
        <v>467</v>
      </c>
      <c r="RP276" s="11"/>
      <c r="RQ276" s="11"/>
      <c r="RR276" s="19" t="s">
        <v>7421</v>
      </c>
      <c r="RS276" s="1139" t="s">
        <v>12980</v>
      </c>
      <c r="RT276" s="11"/>
      <c r="RU276" s="11"/>
      <c r="RV276" s="771" t="s">
        <v>7421</v>
      </c>
      <c r="RW276" s="11" t="s">
        <v>5597</v>
      </c>
      <c r="RX276" s="11" t="s">
        <v>459</v>
      </c>
      <c r="RY276" s="11"/>
      <c r="RZ276" s="11" t="s">
        <v>2209</v>
      </c>
      <c r="SA276" s="771"/>
      <c r="SB276" s="11"/>
      <c r="SC276" s="11"/>
    </row>
    <row r="277" spans="1:497" ht="12.75" customHeight="1">
      <c r="A277" s="767" t="s">
        <v>7421</v>
      </c>
      <c r="B277" s="292" t="s">
        <v>5604</v>
      </c>
      <c r="C277" s="140" t="s">
        <v>469</v>
      </c>
      <c r="D277" s="770" t="s">
        <v>470</v>
      </c>
      <c r="E277" s="766" t="s">
        <v>5606</v>
      </c>
      <c r="F277" s="770" t="s">
        <v>28</v>
      </c>
      <c r="G277" s="770" t="s">
        <v>18</v>
      </c>
      <c r="H277" s="770"/>
      <c r="I277" s="295"/>
      <c r="J277" s="94"/>
      <c r="K277" s="770"/>
      <c r="L277" s="770"/>
      <c r="M277" s="770"/>
      <c r="N277" s="770"/>
      <c r="O277" s="770"/>
      <c r="P277" s="94" t="s">
        <v>979</v>
      </c>
      <c r="Q277" s="1088">
        <v>25317</v>
      </c>
      <c r="R277" s="297">
        <v>47</v>
      </c>
      <c r="S277" s="770" t="s">
        <v>18</v>
      </c>
      <c r="T277" s="298" t="s">
        <v>980</v>
      </c>
      <c r="U277" s="298"/>
      <c r="V277" s="770" t="s">
        <v>768</v>
      </c>
      <c r="W277" s="770"/>
      <c r="X277" s="296"/>
      <c r="Y277" s="770" t="s">
        <v>5606</v>
      </c>
      <c r="Z277" s="770" t="s">
        <v>708</v>
      </c>
      <c r="AA277" s="770" t="s">
        <v>709</v>
      </c>
      <c r="AB277" s="770" t="s">
        <v>710</v>
      </c>
      <c r="AC277" s="770"/>
      <c r="AD277" s="770" t="s">
        <v>711</v>
      </c>
      <c r="AE277" s="770" t="s">
        <v>968</v>
      </c>
      <c r="AF277" s="770"/>
      <c r="AG277" s="766" t="s">
        <v>1132</v>
      </c>
      <c r="AH277" s="766" t="s">
        <v>1096</v>
      </c>
      <c r="AI277" s="770"/>
      <c r="AJ277" s="770" t="s">
        <v>1137</v>
      </c>
      <c r="AK277" s="770" t="s">
        <v>1101</v>
      </c>
      <c r="AL277" s="299"/>
      <c r="AM277" s="300"/>
      <c r="AN277" s="301"/>
      <c r="AO277" s="766" t="s">
        <v>1122</v>
      </c>
      <c r="AP277" s="766"/>
      <c r="AQ277" s="766"/>
      <c r="AR277" s="766"/>
      <c r="AS277" s="770"/>
      <c r="AT277" s="770"/>
      <c r="AU277" s="770"/>
      <c r="AV277" s="770"/>
      <c r="AW277" s="770"/>
      <c r="AX277" s="770"/>
      <c r="AY277" s="770"/>
      <c r="AZ277" s="770"/>
      <c r="BA277" s="770"/>
      <c r="BB277" s="770"/>
      <c r="BC277" s="770"/>
      <c r="BD277" s="770"/>
      <c r="BE277" s="770"/>
      <c r="BF277" s="302"/>
      <c r="BG277" s="302"/>
      <c r="BH277" s="770"/>
      <c r="BI277" s="770"/>
      <c r="BJ277" s="770"/>
      <c r="BK277" s="770" t="s">
        <v>1095</v>
      </c>
      <c r="BL277" s="766" t="s">
        <v>1359</v>
      </c>
      <c r="BM277" s="766" t="s">
        <v>1096</v>
      </c>
      <c r="BN277" s="766" t="s">
        <v>1230</v>
      </c>
      <c r="BO277" s="766" t="s">
        <v>1246</v>
      </c>
      <c r="BP277" s="1111">
        <v>14</v>
      </c>
      <c r="BQ277" s="772">
        <v>5</v>
      </c>
      <c r="BR277" s="774">
        <f t="shared" si="87"/>
        <v>0.35714285714285715</v>
      </c>
      <c r="BS277" s="766" t="s">
        <v>1149</v>
      </c>
      <c r="BT277" s="766" t="s">
        <v>8133</v>
      </c>
      <c r="BU277" s="766" t="s">
        <v>1267</v>
      </c>
      <c r="BV277" s="770" t="s">
        <v>1247</v>
      </c>
      <c r="BW277" s="769"/>
      <c r="BX277" s="302">
        <v>60000</v>
      </c>
      <c r="BY277" s="770"/>
      <c r="BZ277" s="302"/>
      <c r="CA277" s="770"/>
      <c r="CB277" s="770"/>
      <c r="CC277" s="770"/>
      <c r="CD277" s="770"/>
      <c r="CE277" s="770"/>
      <c r="CF277" s="304"/>
      <c r="CG277" s="321"/>
      <c r="CH277" s="770"/>
      <c r="CI277" s="770"/>
      <c r="CJ277" s="770"/>
      <c r="CK277" s="770"/>
      <c r="CL277" s="770"/>
      <c r="CM277" s="770"/>
      <c r="CN277" s="770"/>
      <c r="CO277" s="770"/>
      <c r="CP277" s="770"/>
      <c r="CQ277" s="770"/>
      <c r="CR277" s="302"/>
      <c r="CS277" s="770"/>
      <c r="CT277" s="770"/>
      <c r="CU277" s="305"/>
      <c r="CV277" s="770"/>
      <c r="CW277" s="770"/>
      <c r="CX277" s="770"/>
      <c r="CY277" s="770"/>
      <c r="CZ277" s="770"/>
      <c r="DA277" s="306"/>
      <c r="DB277" s="770"/>
      <c r="DC277" s="770"/>
      <c r="DD277" s="770"/>
      <c r="DE277" s="300"/>
      <c r="DF277" s="770"/>
      <c r="DG277" s="770"/>
      <c r="DH277" s="770"/>
      <c r="DI277" s="770"/>
      <c r="DJ277" s="770"/>
      <c r="DK277" s="770"/>
      <c r="DL277" s="770"/>
      <c r="DM277" s="770"/>
      <c r="DN277" s="322"/>
      <c r="DO277" s="770"/>
      <c r="DP277" s="770"/>
      <c r="DQ277" s="770"/>
      <c r="DR277" s="770"/>
      <c r="DS277" s="307"/>
      <c r="DT277" s="770"/>
      <c r="DU277" s="770"/>
      <c r="DV277" s="770"/>
      <c r="DW277" s="306"/>
      <c r="DX277" s="306"/>
      <c r="DY277" s="770"/>
      <c r="DZ277" s="770"/>
      <c r="EA277" s="770"/>
      <c r="EB277" s="770"/>
      <c r="EC277" s="770"/>
      <c r="ED277" s="770"/>
      <c r="EE277" s="770"/>
      <c r="EF277" s="770"/>
      <c r="EG277" s="770"/>
      <c r="EH277" s="770"/>
      <c r="EI277" s="770"/>
      <c r="EJ277" s="770"/>
      <c r="EK277" s="770"/>
      <c r="EL277" s="770"/>
      <c r="EM277" s="770"/>
      <c r="EN277" s="770"/>
      <c r="EO277" s="770"/>
      <c r="EP277" s="94"/>
      <c r="EQ277" s="770"/>
      <c r="ER277" s="770"/>
      <c r="ES277" s="770"/>
      <c r="ET277" s="770"/>
      <c r="EU277" s="770"/>
      <c r="EV277" s="770"/>
      <c r="EW277" s="770"/>
      <c r="EX277" s="770"/>
      <c r="EY277" s="770"/>
      <c r="EZ277" s="770"/>
      <c r="FA277" s="770"/>
      <c r="FB277" s="770"/>
      <c r="FC277" s="770"/>
      <c r="FD277" s="302"/>
      <c r="FE277" s="770"/>
      <c r="FF277" s="770"/>
      <c r="FG277" s="770"/>
      <c r="FH277" s="770" t="s">
        <v>478</v>
      </c>
      <c r="FI277" s="770">
        <v>2</v>
      </c>
      <c r="FJ277" s="770"/>
      <c r="FK277" s="770"/>
      <c r="FL277" s="770"/>
      <c r="FM277" s="302"/>
      <c r="FN277" s="302"/>
      <c r="FO277" s="302"/>
      <c r="FP277" s="766" t="s">
        <v>1602</v>
      </c>
      <c r="FQ277" s="766" t="s">
        <v>1660</v>
      </c>
      <c r="FR277" s="770" t="s">
        <v>1214</v>
      </c>
      <c r="FS277" s="770"/>
      <c r="FT277" s="770"/>
      <c r="FU277" s="770"/>
      <c r="FV277" s="770"/>
      <c r="FW277" s="770"/>
      <c r="FX277" s="770"/>
      <c r="FY277" s="770"/>
      <c r="FZ277" s="770"/>
      <c r="GA277" s="770"/>
      <c r="GB277" s="770"/>
      <c r="GC277" s="308"/>
      <c r="GD277" s="297"/>
      <c r="GE277" s="770"/>
      <c r="GF277" s="302"/>
      <c r="GG277" s="302"/>
      <c r="GH277" s="712" t="s">
        <v>14260</v>
      </c>
      <c r="GI277" s="770"/>
      <c r="GJ277" s="770"/>
      <c r="GK277" s="770"/>
      <c r="GL277" s="770"/>
      <c r="GM277" s="770"/>
      <c r="GN277" s="309"/>
      <c r="GO277" s="770"/>
      <c r="GP277" s="770"/>
      <c r="GQ277" s="770"/>
      <c r="GR277" s="770"/>
      <c r="GS277" s="770"/>
      <c r="GT277" s="770"/>
      <c r="GU277" s="770"/>
      <c r="GV277" s="770"/>
      <c r="GW277" s="770"/>
      <c r="GX277" s="770"/>
      <c r="GY277" s="770"/>
      <c r="GZ277" s="770"/>
      <c r="HA277" s="770"/>
      <c r="HB277" s="770"/>
      <c r="HC277" s="770"/>
      <c r="HD277" s="770"/>
      <c r="HE277" s="770"/>
      <c r="HF277" s="770"/>
      <c r="HG277" s="770"/>
      <c r="HH277" s="770"/>
      <c r="HI277" s="770"/>
      <c r="HJ277" s="770"/>
      <c r="HK277" s="770"/>
      <c r="HL277" s="770"/>
      <c r="HM277" s="770"/>
      <c r="HN277" s="770"/>
      <c r="HO277" s="770"/>
      <c r="HP277" s="770"/>
      <c r="HQ277" s="770"/>
      <c r="HR277" s="770"/>
      <c r="HS277" s="770"/>
      <c r="HT277" s="770"/>
      <c r="HU277" s="770"/>
      <c r="HV277" s="770"/>
      <c r="HW277" s="770"/>
      <c r="HX277" s="770"/>
      <c r="HY277" s="770"/>
      <c r="HZ277" s="770"/>
      <c r="IA277" s="770"/>
      <c r="IB277" s="14" t="e">
        <f>IF(#REF!&gt;0,IF(#REF!&lt;=10000,"Y",""),"")</f>
        <v>#REF!</v>
      </c>
      <c r="IC277" s="770" t="s">
        <v>1207</v>
      </c>
      <c r="ID277" s="770"/>
      <c r="IE277" s="770"/>
      <c r="IF277" s="770"/>
      <c r="IG277" s="770"/>
      <c r="IH277" s="770"/>
      <c r="II277" s="770"/>
      <c r="IJ277" s="770"/>
      <c r="IK277" s="770"/>
      <c r="IL277" s="770"/>
      <c r="IM277" s="770"/>
      <c r="IN277" s="770"/>
      <c r="IO277" s="296"/>
      <c r="IP277" s="770"/>
      <c r="IQ277" s="770"/>
      <c r="IR277" s="770"/>
      <c r="IS277" s="770"/>
      <c r="IT277" s="770"/>
      <c r="IU277" s="770"/>
      <c r="IV277" s="770"/>
      <c r="IW277" s="770"/>
      <c r="IX277" s="770"/>
      <c r="IY277" s="770"/>
      <c r="IZ277" s="770"/>
      <c r="JA277" s="770"/>
      <c r="JB277" s="770"/>
      <c r="JC277" s="770"/>
      <c r="JD277" s="302"/>
      <c r="JE277" s="770"/>
      <c r="JF277" s="770"/>
      <c r="JG277" s="770"/>
      <c r="JH277" s="770"/>
      <c r="JI277" s="712" t="str">
        <f t="shared" si="75"/>
        <v>ok</v>
      </c>
      <c r="JJ277" s="766">
        <v>6</v>
      </c>
      <c r="JK277" s="1139" t="s">
        <v>2098</v>
      </c>
      <c r="JL277" s="766"/>
      <c r="JM277" s="766"/>
      <c r="JN277" s="766">
        <v>3</v>
      </c>
      <c r="JO277" s="766">
        <v>2</v>
      </c>
      <c r="JP277" s="766"/>
      <c r="JQ277" s="766"/>
      <c r="JR277" s="766"/>
      <c r="JS277" s="766">
        <v>1</v>
      </c>
      <c r="JT277" s="766">
        <f t="shared" si="83"/>
        <v>3</v>
      </c>
      <c r="JU277" s="766">
        <f t="shared" si="83"/>
        <v>3</v>
      </c>
      <c r="JV277" s="712" t="str">
        <f t="shared" si="76"/>
        <v>ok</v>
      </c>
      <c r="JW277" s="712" t="str">
        <f t="shared" si="77"/>
        <v>ok</v>
      </c>
      <c r="JX277" s="766"/>
      <c r="JY277" s="766"/>
      <c r="JZ277" s="766"/>
      <c r="KA277" s="766"/>
      <c r="KB277" s="766">
        <v>3</v>
      </c>
      <c r="KC277" s="766">
        <v>1</v>
      </c>
      <c r="KD277" s="766"/>
      <c r="KE277" s="766">
        <v>1</v>
      </c>
      <c r="KF277" s="766"/>
      <c r="KG277" s="766"/>
      <c r="KH277" s="766"/>
      <c r="KI277" s="766">
        <v>1</v>
      </c>
      <c r="KJ277" s="770">
        <f t="shared" si="86"/>
        <v>3</v>
      </c>
      <c r="KK277" s="770">
        <f t="shared" si="86"/>
        <v>3</v>
      </c>
      <c r="KL277" s="712" t="str">
        <f t="shared" si="84"/>
        <v>ok</v>
      </c>
      <c r="KM277" s="712" t="str">
        <f t="shared" si="85"/>
        <v>ok</v>
      </c>
      <c r="KN277" s="770" t="s">
        <v>768</v>
      </c>
      <c r="KO277" s="770"/>
      <c r="KP277" s="770"/>
      <c r="KQ277" s="770"/>
      <c r="KR277" s="770"/>
      <c r="KS277" s="770"/>
      <c r="KT277" s="770"/>
      <c r="KU277" s="770"/>
      <c r="KV277" s="770"/>
      <c r="KW277" s="770"/>
      <c r="KX277" s="770">
        <v>1</v>
      </c>
      <c r="KY277" s="770">
        <v>2</v>
      </c>
      <c r="KZ277" s="770"/>
      <c r="LA277" s="770">
        <v>1</v>
      </c>
      <c r="LB277" s="770">
        <v>2</v>
      </c>
      <c r="LC277" s="770"/>
      <c r="LD277" s="770"/>
      <c r="LE277" s="770"/>
      <c r="LF277" s="770"/>
      <c r="LG277" s="770"/>
      <c r="LH277" s="770"/>
      <c r="LI277" s="770"/>
      <c r="LJ277" s="770"/>
      <c r="LK277" s="770"/>
      <c r="LL277" s="770"/>
      <c r="LM277" s="770"/>
      <c r="LN277" s="766">
        <f t="shared" si="71"/>
        <v>3</v>
      </c>
      <c r="LO277" s="766">
        <f t="shared" si="71"/>
        <v>3</v>
      </c>
      <c r="LP277" s="770">
        <v>1</v>
      </c>
      <c r="LQ277" s="770">
        <v>1</v>
      </c>
      <c r="LR277" s="770"/>
      <c r="LS277" s="770"/>
      <c r="LT277" s="712" t="str">
        <f t="shared" si="80"/>
        <v>OK</v>
      </c>
      <c r="LU277" s="770">
        <v>1</v>
      </c>
      <c r="LV277" s="770"/>
      <c r="LW277" s="770"/>
      <c r="LX277" s="769">
        <v>1</v>
      </c>
      <c r="LY277" s="766" t="str">
        <f t="shared" si="82"/>
        <v>within the BRGY</v>
      </c>
      <c r="LZ277" s="299"/>
      <c r="MA277" s="306"/>
      <c r="MB277" s="306"/>
      <c r="MC277" s="1679">
        <f t="shared" si="70"/>
        <v>0</v>
      </c>
      <c r="MD277" s="306">
        <v>6000</v>
      </c>
      <c r="ME277" s="306"/>
      <c r="MF277" s="306"/>
      <c r="MG277" s="1680">
        <f t="shared" si="81"/>
        <v>6000</v>
      </c>
      <c r="MH277" s="770" t="s">
        <v>13411</v>
      </c>
      <c r="MI277" s="302">
        <v>6000</v>
      </c>
      <c r="MJ277" s="302"/>
      <c r="MK277" s="302">
        <v>100</v>
      </c>
      <c r="ML277" s="302"/>
      <c r="MM277" s="302">
        <v>300</v>
      </c>
      <c r="MN277" s="302"/>
      <c r="MO277" s="302">
        <v>50</v>
      </c>
      <c r="MP277" s="302">
        <v>200</v>
      </c>
      <c r="MQ277" s="302">
        <v>150</v>
      </c>
      <c r="MR277" s="302">
        <v>200</v>
      </c>
      <c r="MS277" s="302"/>
      <c r="MT277" s="302"/>
      <c r="MU277" s="302"/>
      <c r="MV277" s="302"/>
      <c r="MW277" s="302"/>
      <c r="MX277" s="302"/>
      <c r="MY277" s="1682">
        <f t="shared" si="74"/>
        <v>7000</v>
      </c>
      <c r="MZ277" s="770" t="s">
        <v>13164</v>
      </c>
      <c r="NA277" s="770" t="s">
        <v>13065</v>
      </c>
      <c r="NB277" s="770" t="s">
        <v>13409</v>
      </c>
      <c r="NC277" s="770" t="s">
        <v>13007</v>
      </c>
      <c r="ND277" s="770">
        <v>0</v>
      </c>
      <c r="NE277" s="770">
        <v>0</v>
      </c>
      <c r="NF277" s="770">
        <v>0</v>
      </c>
      <c r="NG277" s="770">
        <v>2</v>
      </c>
      <c r="NH277" s="770">
        <v>1</v>
      </c>
      <c r="NI277" s="770">
        <v>0</v>
      </c>
      <c r="NJ277" s="770">
        <v>0</v>
      </c>
      <c r="NK277" s="770">
        <v>0</v>
      </c>
      <c r="NL277" s="770">
        <v>0</v>
      </c>
      <c r="NM277" s="770">
        <v>0</v>
      </c>
      <c r="NN277" s="770">
        <v>0</v>
      </c>
      <c r="NO277" s="770">
        <v>0</v>
      </c>
      <c r="NP277" s="770">
        <v>0</v>
      </c>
      <c r="NQ277" s="770">
        <v>0</v>
      </c>
      <c r="NR277" s="770">
        <v>0</v>
      </c>
      <c r="NS277" s="770">
        <v>0</v>
      </c>
      <c r="NT277" s="770">
        <v>0</v>
      </c>
      <c r="NU277" s="770">
        <v>0</v>
      </c>
      <c r="NV277" s="770">
        <v>0</v>
      </c>
      <c r="NW277" s="770">
        <v>0</v>
      </c>
      <c r="NX277" s="770">
        <v>0</v>
      </c>
      <c r="NY277" s="770"/>
      <c r="NZ277" s="770"/>
      <c r="OA277" s="770"/>
      <c r="OB277" s="770"/>
      <c r="OC277" s="770"/>
      <c r="OD277" s="770"/>
      <c r="OE277" s="770"/>
      <c r="OF277" s="770"/>
      <c r="OG277" s="770"/>
      <c r="OH277" s="770"/>
      <c r="OI277" s="770"/>
      <c r="OJ277" s="770"/>
      <c r="OK277" s="770"/>
      <c r="OL277" s="770"/>
      <c r="OM277" s="770"/>
      <c r="ON277" s="770"/>
      <c r="OO277" s="770"/>
      <c r="OP277" s="770"/>
      <c r="OQ277" s="770"/>
      <c r="OR277" s="770"/>
      <c r="OS277" s="770"/>
      <c r="OT277" s="770"/>
      <c r="OU277" s="770"/>
      <c r="OV277" s="770"/>
      <c r="OW277" s="770"/>
      <c r="OX277" s="770"/>
      <c r="OY277" s="770"/>
      <c r="OZ277" s="770"/>
      <c r="PA277" s="770"/>
      <c r="PB277" s="770"/>
      <c r="PC277" s="770"/>
      <c r="PD277" s="770"/>
      <c r="PE277" s="770"/>
      <c r="PF277" s="770"/>
      <c r="PG277" s="770"/>
      <c r="PH277" s="770"/>
      <c r="PI277" s="770"/>
      <c r="PJ277" s="770"/>
      <c r="PK277" s="770" t="s">
        <v>1208</v>
      </c>
      <c r="PL277" s="770"/>
      <c r="PM277" s="770"/>
      <c r="PN277" s="770" t="s">
        <v>1208</v>
      </c>
      <c r="PO277" s="770"/>
      <c r="PP277" s="770"/>
      <c r="PQ277" s="770"/>
      <c r="PR277" s="770"/>
      <c r="PS277" s="770"/>
      <c r="PT277" s="770"/>
      <c r="PU277" s="770"/>
      <c r="PV277" s="770"/>
      <c r="PW277" s="770"/>
      <c r="PX277" s="770"/>
      <c r="PY277" s="770"/>
      <c r="PZ277" s="770"/>
      <c r="QA277" s="770"/>
      <c r="QB277" s="770"/>
      <c r="QC277" s="770"/>
      <c r="QD277" s="770"/>
      <c r="QE277" s="770"/>
      <c r="QF277" s="770"/>
      <c r="QG277" s="770"/>
      <c r="QH277" s="770"/>
      <c r="QI277" s="770"/>
      <c r="QJ277" s="770"/>
      <c r="QK277" s="770"/>
      <c r="QL277" s="770"/>
      <c r="QM277" s="770"/>
      <c r="QN277" s="770"/>
      <c r="QO277" s="770"/>
      <c r="QP277" s="770"/>
      <c r="QQ277" s="770"/>
      <c r="QR277" s="770"/>
      <c r="QS277" s="770"/>
      <c r="QT277" s="770"/>
      <c r="QU277" s="770"/>
      <c r="QV277" s="770"/>
      <c r="QW277" s="770"/>
      <c r="QX277" s="770"/>
      <c r="QY277" s="770"/>
      <c r="QZ277" s="770"/>
      <c r="RA277" s="770"/>
      <c r="RB277" s="770" t="s">
        <v>1214</v>
      </c>
      <c r="RC277" s="770"/>
      <c r="RD277" s="770"/>
      <c r="RE277" s="770"/>
      <c r="RF277" s="304"/>
      <c r="RG277" s="770"/>
      <c r="RH277" s="302"/>
      <c r="RI277" s="770"/>
      <c r="RJ277" s="770" t="s">
        <v>13412</v>
      </c>
      <c r="RK277" s="770" t="s">
        <v>13401</v>
      </c>
      <c r="RL277" s="1710" t="s">
        <v>1604</v>
      </c>
      <c r="RM277" s="12"/>
      <c r="RN277" s="1711"/>
      <c r="RO277" s="140" t="s">
        <v>469</v>
      </c>
      <c r="RP277" s="11"/>
      <c r="RQ277" s="11"/>
      <c r="RR277" s="19" t="s">
        <v>7421</v>
      </c>
      <c r="RS277" s="1139" t="s">
        <v>12980</v>
      </c>
      <c r="RT277" s="11"/>
      <c r="RU277" s="11"/>
      <c r="RV277" s="771" t="s">
        <v>7421</v>
      </c>
      <c r="RW277" s="11" t="s">
        <v>5599</v>
      </c>
      <c r="RX277" s="11" t="s">
        <v>463</v>
      </c>
      <c r="RY277" s="11"/>
      <c r="RZ277" s="11" t="s">
        <v>2209</v>
      </c>
      <c r="SA277" s="771"/>
      <c r="SB277" s="11"/>
      <c r="SC277" s="11"/>
    </row>
    <row r="278" spans="1:497" ht="12.75" customHeight="1">
      <c r="A278" s="311" t="s">
        <v>12355</v>
      </c>
      <c r="B278" s="292" t="s">
        <v>7556</v>
      </c>
      <c r="C278" s="140" t="s">
        <v>469</v>
      </c>
      <c r="D278" s="770" t="s">
        <v>5605</v>
      </c>
      <c r="E278" s="766" t="s">
        <v>5606</v>
      </c>
      <c r="F278" s="770"/>
      <c r="G278" s="770"/>
      <c r="H278" s="770"/>
      <c r="I278" s="295"/>
      <c r="J278" s="770"/>
      <c r="K278" s="770"/>
      <c r="L278" s="770"/>
      <c r="M278" s="770"/>
      <c r="N278" s="770"/>
      <c r="O278" s="770"/>
      <c r="P278" s="94" t="s">
        <v>981</v>
      </c>
      <c r="Q278" s="1088">
        <v>34720</v>
      </c>
      <c r="R278" s="297">
        <v>21</v>
      </c>
      <c r="S278" s="770" t="s">
        <v>10</v>
      </c>
      <c r="T278" s="770"/>
      <c r="U278" s="298" t="s">
        <v>982</v>
      </c>
      <c r="V278" s="770" t="s">
        <v>722</v>
      </c>
      <c r="W278" s="770"/>
      <c r="X278" s="296"/>
      <c r="Y278" s="770" t="s">
        <v>5606</v>
      </c>
      <c r="Z278" s="770" t="s">
        <v>708</v>
      </c>
      <c r="AA278" s="770" t="s">
        <v>709</v>
      </c>
      <c r="AB278" s="770" t="s">
        <v>710</v>
      </c>
      <c r="AC278" s="770"/>
      <c r="AD278" s="770" t="s">
        <v>711</v>
      </c>
      <c r="AE278" s="770"/>
      <c r="AF278" s="770"/>
      <c r="AG278" s="770"/>
      <c r="AH278" s="770"/>
      <c r="AI278" s="770"/>
      <c r="AJ278" s="770"/>
      <c r="AK278" s="770" t="s">
        <v>1101</v>
      </c>
      <c r="AL278" s="299"/>
      <c r="AM278" s="300"/>
      <c r="AN278" s="301"/>
      <c r="AO278" s="766"/>
      <c r="AP278" s="766"/>
      <c r="AQ278" s="766"/>
      <c r="AR278" s="766"/>
      <c r="AS278" s="770"/>
      <c r="AT278" s="770"/>
      <c r="AU278" s="770"/>
      <c r="AV278" s="770"/>
      <c r="AW278" s="770"/>
      <c r="AX278" s="770"/>
      <c r="AY278" s="770"/>
      <c r="AZ278" s="770"/>
      <c r="BA278" s="770"/>
      <c r="BB278" s="770"/>
      <c r="BC278" s="770"/>
      <c r="BD278" s="770"/>
      <c r="BE278" s="770"/>
      <c r="BF278" s="302"/>
      <c r="BG278" s="302"/>
      <c r="BH278" s="770"/>
      <c r="BI278" s="770"/>
      <c r="BJ278" s="770"/>
      <c r="BK278" s="770"/>
      <c r="BL278" s="766"/>
      <c r="BM278" s="766" t="s">
        <v>1238</v>
      </c>
      <c r="BN278" s="766" t="s">
        <v>1299</v>
      </c>
      <c r="BO278" s="770"/>
      <c r="BP278" s="780"/>
      <c r="BQ278" s="772"/>
      <c r="BR278" s="774"/>
      <c r="BS278" s="766" t="s">
        <v>1149</v>
      </c>
      <c r="BT278" s="770"/>
      <c r="BU278" s="770"/>
      <c r="BV278" s="770"/>
      <c r="BW278" s="770"/>
      <c r="BX278" s="302"/>
      <c r="BY278" s="770"/>
      <c r="BZ278" s="302"/>
      <c r="CA278" s="770"/>
      <c r="CB278" s="770"/>
      <c r="CC278" s="770"/>
      <c r="CD278" s="770"/>
      <c r="CE278" s="770"/>
      <c r="CF278" s="770"/>
      <c r="CG278" s="770"/>
      <c r="CH278" s="770"/>
      <c r="CI278" s="770"/>
      <c r="CJ278" s="770"/>
      <c r="CK278" s="770"/>
      <c r="CL278" s="770"/>
      <c r="CM278" s="770"/>
      <c r="CN278" s="770"/>
      <c r="CO278" s="770"/>
      <c r="CP278" s="770"/>
      <c r="CQ278" s="770"/>
      <c r="CR278" s="302"/>
      <c r="CS278" s="770"/>
      <c r="CT278" s="770"/>
      <c r="CU278" s="305"/>
      <c r="CV278" s="770"/>
      <c r="CW278" s="770"/>
      <c r="CX278" s="770"/>
      <c r="CY278" s="770"/>
      <c r="CZ278" s="770"/>
      <c r="DA278" s="770"/>
      <c r="DB278" s="770"/>
      <c r="DC278" s="770"/>
      <c r="DD278" s="770"/>
      <c r="DE278" s="770"/>
      <c r="DF278" s="770"/>
      <c r="DG278" s="770"/>
      <c r="DH278" s="770"/>
      <c r="DI278" s="770"/>
      <c r="DJ278" s="770"/>
      <c r="DK278" s="770"/>
      <c r="DL278" s="770"/>
      <c r="DM278" s="770"/>
      <c r="DN278" s="770"/>
      <c r="DO278" s="770"/>
      <c r="DP278" s="770"/>
      <c r="DQ278" s="770"/>
      <c r="DR278" s="770"/>
      <c r="DS278" s="307"/>
      <c r="DT278" s="770"/>
      <c r="DU278" s="770"/>
      <c r="DV278" s="770"/>
      <c r="DW278" s="306"/>
      <c r="DX278" s="306"/>
      <c r="DY278" s="770"/>
      <c r="DZ278" s="770"/>
      <c r="EA278" s="770"/>
      <c r="EB278" s="770"/>
      <c r="EC278" s="770"/>
      <c r="ED278" s="770"/>
      <c r="EE278" s="770"/>
      <c r="EF278" s="770"/>
      <c r="EG278" s="770"/>
      <c r="EH278" s="770"/>
      <c r="EI278" s="770"/>
      <c r="EJ278" s="770"/>
      <c r="EK278" s="770"/>
      <c r="EL278" s="770"/>
      <c r="EM278" s="770"/>
      <c r="EN278" s="770"/>
      <c r="EO278" s="770"/>
      <c r="EP278" s="770"/>
      <c r="EQ278" s="770"/>
      <c r="ER278" s="770"/>
      <c r="ES278" s="770"/>
      <c r="ET278" s="770"/>
      <c r="EU278" s="770"/>
      <c r="EV278" s="770"/>
      <c r="EW278" s="770"/>
      <c r="EX278" s="770"/>
      <c r="EY278" s="770"/>
      <c r="EZ278" s="770"/>
      <c r="FA278" s="770"/>
      <c r="FB278" s="770"/>
      <c r="FC278" s="770"/>
      <c r="FD278" s="302"/>
      <c r="FE278" s="770"/>
      <c r="FF278" s="770"/>
      <c r="FG278" s="770"/>
      <c r="FH278" s="770" t="s">
        <v>1299</v>
      </c>
      <c r="FI278" s="770"/>
      <c r="FJ278" s="770" t="s">
        <v>1359</v>
      </c>
      <c r="FK278" s="770"/>
      <c r="FL278" s="770" t="s">
        <v>5603</v>
      </c>
      <c r="FM278" s="302"/>
      <c r="FN278" s="302"/>
      <c r="FO278" s="302"/>
      <c r="FP278" s="766" t="s">
        <v>1602</v>
      </c>
      <c r="FQ278" s="766" t="s">
        <v>1660</v>
      </c>
      <c r="FR278" s="770"/>
      <c r="FS278" s="770"/>
      <c r="FT278" s="770"/>
      <c r="FU278" s="770"/>
      <c r="FV278" s="770"/>
      <c r="FW278" s="770"/>
      <c r="FX278" s="770"/>
      <c r="FY278" s="770"/>
      <c r="FZ278" s="770"/>
      <c r="GA278" s="770"/>
      <c r="GB278" s="770"/>
      <c r="GC278" s="308"/>
      <c r="GD278" s="297"/>
      <c r="GE278" s="770"/>
      <c r="GF278" s="302"/>
      <c r="GG278" s="302"/>
      <c r="GH278" s="770"/>
      <c r="GI278" s="770"/>
      <c r="GJ278" s="770"/>
      <c r="GK278" s="770"/>
      <c r="GL278" s="770"/>
      <c r="GM278" s="770"/>
      <c r="GN278" s="309"/>
      <c r="GO278" s="770"/>
      <c r="GP278" s="770"/>
      <c r="GQ278" s="770"/>
      <c r="GR278" s="770"/>
      <c r="GS278" s="770"/>
      <c r="GT278" s="770"/>
      <c r="GU278" s="770"/>
      <c r="GV278" s="770"/>
      <c r="GW278" s="770"/>
      <c r="GX278" s="770"/>
      <c r="GY278" s="770"/>
      <c r="GZ278" s="770"/>
      <c r="HA278" s="770"/>
      <c r="HB278" s="770"/>
      <c r="HC278" s="770"/>
      <c r="HD278" s="770"/>
      <c r="HE278" s="770"/>
      <c r="HF278" s="770"/>
      <c r="HG278" s="770"/>
      <c r="HH278" s="770"/>
      <c r="HI278" s="770"/>
      <c r="HJ278" s="770"/>
      <c r="HK278" s="770"/>
      <c r="HL278" s="770"/>
      <c r="HM278" s="770"/>
      <c r="HN278" s="770"/>
      <c r="HO278" s="770"/>
      <c r="HP278" s="770"/>
      <c r="HQ278" s="770"/>
      <c r="HR278" s="770"/>
      <c r="HS278" s="770"/>
      <c r="HT278" s="770"/>
      <c r="HU278" s="770"/>
      <c r="HV278" s="770"/>
      <c r="HW278" s="770"/>
      <c r="HX278" s="770"/>
      <c r="HY278" s="770"/>
      <c r="HZ278" s="770"/>
      <c r="IA278" s="770"/>
      <c r="IB278" s="14" t="e">
        <f>IF(#REF!&gt;0,IF(#REF!&lt;=10000,"Y",""),"")</f>
        <v>#REF!</v>
      </c>
      <c r="IC278" s="770"/>
      <c r="ID278" s="770"/>
      <c r="IE278" s="770"/>
      <c r="IF278" s="770"/>
      <c r="IG278" s="770"/>
      <c r="IH278" s="770"/>
      <c r="II278" s="770"/>
      <c r="IJ278" s="770"/>
      <c r="IK278" s="770"/>
      <c r="IL278" s="770"/>
      <c r="IM278" s="770"/>
      <c r="IN278" s="770"/>
      <c r="IO278" s="296"/>
      <c r="IP278" s="770"/>
      <c r="IQ278" s="770"/>
      <c r="IR278" s="770"/>
      <c r="IS278" s="770"/>
      <c r="IT278" s="770"/>
      <c r="IU278" s="770"/>
      <c r="IV278" s="770"/>
      <c r="IW278" s="770"/>
      <c r="IX278" s="770"/>
      <c r="IY278" s="770"/>
      <c r="IZ278" s="770"/>
      <c r="JA278" s="770"/>
      <c r="JB278" s="770"/>
      <c r="JC278" s="770"/>
      <c r="JD278" s="302"/>
      <c r="JE278" s="770"/>
      <c r="JF278" s="770"/>
      <c r="JG278" s="770"/>
      <c r="JH278" s="770"/>
      <c r="JI278" s="712" t="str">
        <f t="shared" si="75"/>
        <v>ok</v>
      </c>
      <c r="JJ278" s="766">
        <v>3</v>
      </c>
      <c r="JK278" s="1139" t="s">
        <v>2099</v>
      </c>
      <c r="JL278" s="770"/>
      <c r="JM278" s="770">
        <v>1</v>
      </c>
      <c r="JN278" s="770">
        <v>1</v>
      </c>
      <c r="JO278" s="770">
        <v>1</v>
      </c>
      <c r="JP278" s="770"/>
      <c r="JQ278" s="770"/>
      <c r="JR278" s="770"/>
      <c r="JS278" s="770"/>
      <c r="JT278" s="766">
        <f t="shared" si="83"/>
        <v>1</v>
      </c>
      <c r="JU278" s="766">
        <f t="shared" si="83"/>
        <v>2</v>
      </c>
      <c r="JV278" s="712" t="str">
        <f t="shared" si="76"/>
        <v>ok</v>
      </c>
      <c r="JW278" s="712" t="str">
        <f t="shared" si="77"/>
        <v>ok</v>
      </c>
      <c r="JX278" s="770"/>
      <c r="JY278" s="770">
        <v>1</v>
      </c>
      <c r="JZ278" s="770"/>
      <c r="KA278" s="770"/>
      <c r="KB278" s="770">
        <v>1</v>
      </c>
      <c r="KC278" s="770">
        <v>1</v>
      </c>
      <c r="KD278" s="770"/>
      <c r="KE278" s="770"/>
      <c r="KF278" s="770"/>
      <c r="KG278" s="770"/>
      <c r="KH278" s="770"/>
      <c r="KI278" s="770"/>
      <c r="KJ278" s="770">
        <f t="shared" si="86"/>
        <v>1</v>
      </c>
      <c r="KK278" s="770">
        <f t="shared" si="86"/>
        <v>2</v>
      </c>
      <c r="KL278" s="712" t="str">
        <f t="shared" si="84"/>
        <v>ok</v>
      </c>
      <c r="KM278" s="712" t="str">
        <f t="shared" si="85"/>
        <v>ok</v>
      </c>
      <c r="KN278" s="770" t="s">
        <v>722</v>
      </c>
      <c r="KO278" s="770"/>
      <c r="KP278" s="770"/>
      <c r="KQ278" s="770"/>
      <c r="KR278" s="770"/>
      <c r="KS278" s="770">
        <v>1</v>
      </c>
      <c r="KT278" s="770"/>
      <c r="KU278" s="770"/>
      <c r="KV278" s="770"/>
      <c r="KW278" s="770"/>
      <c r="KX278" s="770">
        <v>1</v>
      </c>
      <c r="KY278" s="770">
        <v>1</v>
      </c>
      <c r="KZ278" s="770"/>
      <c r="LA278" s="770"/>
      <c r="LB278" s="770"/>
      <c r="LC278" s="770"/>
      <c r="LD278" s="770"/>
      <c r="LE278" s="770"/>
      <c r="LF278" s="770"/>
      <c r="LG278" s="770"/>
      <c r="LH278" s="770"/>
      <c r="LI278" s="770"/>
      <c r="LJ278" s="770"/>
      <c r="LK278" s="770"/>
      <c r="LL278" s="770"/>
      <c r="LM278" s="770"/>
      <c r="LN278" s="766">
        <f t="shared" si="71"/>
        <v>1</v>
      </c>
      <c r="LO278" s="766">
        <f t="shared" si="71"/>
        <v>2</v>
      </c>
      <c r="LP278" s="770">
        <v>1</v>
      </c>
      <c r="LQ278" s="770">
        <v>1</v>
      </c>
      <c r="LR278" s="770"/>
      <c r="LS278" s="770"/>
      <c r="LT278" s="712" t="str">
        <f t="shared" si="80"/>
        <v>OK</v>
      </c>
      <c r="LU278" s="770"/>
      <c r="LV278" s="770"/>
      <c r="LW278" s="770">
        <v>1</v>
      </c>
      <c r="LX278" s="769">
        <v>2</v>
      </c>
      <c r="LY278" s="766" t="str">
        <f t="shared" si="82"/>
        <v>within the MUNICIPALITY</v>
      </c>
      <c r="LZ278" s="299"/>
      <c r="MA278" s="1709"/>
      <c r="MB278" s="1709"/>
      <c r="MC278" s="1679">
        <f t="shared" si="70"/>
        <v>0</v>
      </c>
      <c r="MD278" s="1709">
        <v>4000</v>
      </c>
      <c r="ME278" s="1709"/>
      <c r="MF278" s="1709"/>
      <c r="MG278" s="1680">
        <f t="shared" si="81"/>
        <v>4000</v>
      </c>
      <c r="MH278" s="770"/>
      <c r="MI278" s="302">
        <v>3000</v>
      </c>
      <c r="MJ278" s="302"/>
      <c r="MK278" s="302">
        <v>150</v>
      </c>
      <c r="ML278" s="302">
        <v>300</v>
      </c>
      <c r="MM278" s="302">
        <v>400</v>
      </c>
      <c r="MN278" s="302"/>
      <c r="MO278" s="302"/>
      <c r="MP278" s="302">
        <v>400</v>
      </c>
      <c r="MQ278" s="302">
        <v>400</v>
      </c>
      <c r="MR278" s="302">
        <v>400</v>
      </c>
      <c r="MS278" s="302"/>
      <c r="MT278" s="302"/>
      <c r="MU278" s="302"/>
      <c r="MV278" s="302"/>
      <c r="MW278" s="302"/>
      <c r="MX278" s="302"/>
      <c r="MY278" s="1682">
        <f t="shared" si="74"/>
        <v>5050</v>
      </c>
      <c r="MZ278" s="770" t="s">
        <v>13164</v>
      </c>
      <c r="NA278" s="770" t="s">
        <v>13065</v>
      </c>
      <c r="NB278" s="770" t="s">
        <v>13409</v>
      </c>
      <c r="NC278" s="770" t="s">
        <v>13026</v>
      </c>
      <c r="ND278" s="770">
        <v>0</v>
      </c>
      <c r="NE278" s="770">
        <v>0</v>
      </c>
      <c r="NF278" s="770">
        <v>0</v>
      </c>
      <c r="NG278" s="770">
        <v>1</v>
      </c>
      <c r="NH278" s="770">
        <v>1</v>
      </c>
      <c r="NI278" s="770">
        <v>0</v>
      </c>
      <c r="NJ278" s="770">
        <v>1</v>
      </c>
      <c r="NK278" s="770">
        <v>0</v>
      </c>
      <c r="NL278" s="770">
        <v>0</v>
      </c>
      <c r="NM278" s="770">
        <v>0</v>
      </c>
      <c r="NN278" s="770">
        <v>0</v>
      </c>
      <c r="NO278" s="770">
        <v>0</v>
      </c>
      <c r="NP278" s="770">
        <v>0</v>
      </c>
      <c r="NQ278" s="770">
        <v>0</v>
      </c>
      <c r="NR278" s="770">
        <v>0</v>
      </c>
      <c r="NS278" s="770">
        <v>0</v>
      </c>
      <c r="NT278" s="770">
        <v>0</v>
      </c>
      <c r="NU278" s="770">
        <v>0</v>
      </c>
      <c r="NV278" s="770">
        <v>0</v>
      </c>
      <c r="NW278" s="770">
        <v>0</v>
      </c>
      <c r="NX278" s="770">
        <v>0</v>
      </c>
      <c r="NY278" s="770"/>
      <c r="NZ278" s="770" t="s">
        <v>1208</v>
      </c>
      <c r="OA278" s="770" t="s">
        <v>1208</v>
      </c>
      <c r="OB278" s="770" t="s">
        <v>1208</v>
      </c>
      <c r="OC278" s="770" t="s">
        <v>1208</v>
      </c>
      <c r="OD278" s="770" t="s">
        <v>1208</v>
      </c>
      <c r="OE278" s="770"/>
      <c r="OF278" s="770"/>
      <c r="OG278" s="770"/>
      <c r="OH278" s="770"/>
      <c r="OI278" s="770"/>
      <c r="OJ278" s="770"/>
      <c r="OK278" s="770"/>
      <c r="OL278" s="770"/>
      <c r="OM278" s="770"/>
      <c r="ON278" s="770"/>
      <c r="OO278" s="770"/>
      <c r="OP278" s="770"/>
      <c r="OQ278" s="770"/>
      <c r="OR278" s="770"/>
      <c r="OS278" s="770"/>
      <c r="OT278" s="770"/>
      <c r="OU278" s="770"/>
      <c r="OV278" s="770"/>
      <c r="OW278" s="770"/>
      <c r="OX278" s="770"/>
      <c r="OY278" s="770"/>
      <c r="OZ278" s="770"/>
      <c r="PA278" s="770"/>
      <c r="PB278" s="770"/>
      <c r="PC278" s="770"/>
      <c r="PD278" s="770"/>
      <c r="PE278" s="770"/>
      <c r="PF278" s="770"/>
      <c r="PG278" s="770"/>
      <c r="PH278" s="770"/>
      <c r="PI278" s="770"/>
      <c r="PJ278" s="770"/>
      <c r="PK278" s="770" t="s">
        <v>1208</v>
      </c>
      <c r="PL278" s="770" t="s">
        <v>1208</v>
      </c>
      <c r="PM278" s="770"/>
      <c r="PN278" s="770"/>
      <c r="PO278" s="770"/>
      <c r="PP278" s="770"/>
      <c r="PQ278" s="770"/>
      <c r="PR278" s="770"/>
      <c r="PS278" s="770"/>
      <c r="PT278" s="770"/>
      <c r="PU278" s="770"/>
      <c r="PV278" s="770"/>
      <c r="PW278" s="770"/>
      <c r="PX278" s="770"/>
      <c r="PY278" s="770"/>
      <c r="PZ278" s="770"/>
      <c r="QA278" s="770"/>
      <c r="QB278" s="770"/>
      <c r="QC278" s="770"/>
      <c r="QD278" s="770"/>
      <c r="QE278" s="770"/>
      <c r="QF278" s="770"/>
      <c r="QG278" s="770"/>
      <c r="QH278" s="770"/>
      <c r="QI278" s="770"/>
      <c r="QJ278" s="770"/>
      <c r="QK278" s="770"/>
      <c r="QL278" s="770"/>
      <c r="QM278" s="770"/>
      <c r="QN278" s="770"/>
      <c r="QO278" s="770"/>
      <c r="QP278" s="770"/>
      <c r="QQ278" s="770"/>
      <c r="QR278" s="770"/>
      <c r="QS278" s="770"/>
      <c r="QT278" s="770"/>
      <c r="QU278" s="770"/>
      <c r="QV278" s="770"/>
      <c r="QW278" s="770"/>
      <c r="QX278" s="770"/>
      <c r="QY278" s="770"/>
      <c r="QZ278" s="770"/>
      <c r="RA278" s="770"/>
      <c r="RB278" s="770" t="s">
        <v>1214</v>
      </c>
      <c r="RC278" s="770"/>
      <c r="RD278" s="770"/>
      <c r="RE278" s="770"/>
      <c r="RF278" s="304"/>
      <c r="RG278" s="770"/>
      <c r="RH278" s="302"/>
      <c r="RI278" s="770"/>
      <c r="RJ278" s="770" t="s">
        <v>2099</v>
      </c>
      <c r="RK278" s="770" t="s">
        <v>13401</v>
      </c>
      <c r="RL278" s="1710"/>
      <c r="RM278" s="12"/>
      <c r="RN278" s="1711"/>
      <c r="RO278" s="140" t="s">
        <v>469</v>
      </c>
      <c r="RP278" s="11"/>
      <c r="RQ278" s="11"/>
      <c r="RR278" s="311" t="s">
        <v>12355</v>
      </c>
      <c r="RS278" s="1139" t="s">
        <v>12980</v>
      </c>
      <c r="RT278" s="11"/>
      <c r="RU278" s="11"/>
      <c r="RV278" s="771" t="s">
        <v>7421</v>
      </c>
      <c r="RW278" s="11" t="s">
        <v>5602</v>
      </c>
      <c r="RX278" s="11" t="s">
        <v>467</v>
      </c>
      <c r="RY278" s="11"/>
      <c r="RZ278" s="11"/>
      <c r="SA278" s="771"/>
      <c r="SB278" s="11"/>
      <c r="SC278" s="11"/>
    </row>
    <row r="279" spans="1:497" ht="12.75" customHeight="1">
      <c r="A279" s="767" t="s">
        <v>12353</v>
      </c>
      <c r="B279" s="292" t="s">
        <v>7971</v>
      </c>
      <c r="C279" s="140" t="s">
        <v>471</v>
      </c>
      <c r="D279" s="770" t="s">
        <v>5608</v>
      </c>
      <c r="E279" s="766" t="s">
        <v>5606</v>
      </c>
      <c r="F279" s="770" t="s">
        <v>28</v>
      </c>
      <c r="G279" s="770" t="s">
        <v>18</v>
      </c>
      <c r="H279" s="770"/>
      <c r="I279" s="295"/>
      <c r="J279" s="770" t="s">
        <v>5608</v>
      </c>
      <c r="K279" s="770"/>
      <c r="L279" s="770"/>
      <c r="M279" s="770"/>
      <c r="N279" s="770"/>
      <c r="O279" s="770"/>
      <c r="P279" s="94" t="s">
        <v>5609</v>
      </c>
      <c r="Q279" s="1088"/>
      <c r="R279" s="297"/>
      <c r="S279" s="770" t="s">
        <v>18</v>
      </c>
      <c r="T279" s="770"/>
      <c r="U279" s="298" t="s">
        <v>5610</v>
      </c>
      <c r="V279" s="770" t="s">
        <v>783</v>
      </c>
      <c r="W279" s="770"/>
      <c r="X279" s="296"/>
      <c r="Y279" s="770" t="s">
        <v>984</v>
      </c>
      <c r="Z279" s="770"/>
      <c r="AA279" s="770"/>
      <c r="AB279" s="770"/>
      <c r="AC279" s="770"/>
      <c r="AD279" s="770"/>
      <c r="AE279" s="770"/>
      <c r="AF279" s="770"/>
      <c r="AG279" s="766" t="s">
        <v>1132</v>
      </c>
      <c r="AH279" s="766" t="s">
        <v>1096</v>
      </c>
      <c r="AI279" s="770"/>
      <c r="AJ279" s="770" t="s">
        <v>1137</v>
      </c>
      <c r="AK279" s="770" t="s">
        <v>1101</v>
      </c>
      <c r="AL279" s="299"/>
      <c r="AM279" s="300"/>
      <c r="AN279" s="301"/>
      <c r="AO279" s="766" t="s">
        <v>1122</v>
      </c>
      <c r="AP279" s="766"/>
      <c r="AQ279" s="766"/>
      <c r="AR279" s="766"/>
      <c r="AS279" s="770"/>
      <c r="AT279" s="770"/>
      <c r="AU279" s="770"/>
      <c r="AV279" s="770"/>
      <c r="AW279" s="770"/>
      <c r="AX279" s="770"/>
      <c r="AY279" s="770"/>
      <c r="AZ279" s="770"/>
      <c r="BA279" s="770"/>
      <c r="BB279" s="770"/>
      <c r="BC279" s="770"/>
      <c r="BD279" s="770"/>
      <c r="BE279" s="770"/>
      <c r="BF279" s="302"/>
      <c r="BG279" s="302"/>
      <c r="BH279" s="770"/>
      <c r="BI279" s="770"/>
      <c r="BJ279" s="770"/>
      <c r="BK279" s="770" t="s">
        <v>1095</v>
      </c>
      <c r="BL279" s="766" t="s">
        <v>11868</v>
      </c>
      <c r="BM279" s="766" t="s">
        <v>1096</v>
      </c>
      <c r="BN279" s="766" t="s">
        <v>1305</v>
      </c>
      <c r="BO279" s="766" t="s">
        <v>1239</v>
      </c>
      <c r="BP279" s="1111">
        <v>20</v>
      </c>
      <c r="BQ279" s="772">
        <v>20</v>
      </c>
      <c r="BR279" s="774">
        <f>BQ279/BP279</f>
        <v>1</v>
      </c>
      <c r="BS279" s="766" t="s">
        <v>1257</v>
      </c>
      <c r="BT279" s="766" t="s">
        <v>1326</v>
      </c>
      <c r="BU279" s="766" t="s">
        <v>1267</v>
      </c>
      <c r="BV279" s="770" t="s">
        <v>1247</v>
      </c>
      <c r="BW279" s="769"/>
      <c r="BX279" s="302"/>
      <c r="BY279" s="770"/>
      <c r="BZ279" s="302"/>
      <c r="CA279" s="770"/>
      <c r="CB279" s="770"/>
      <c r="CC279" s="770"/>
      <c r="CD279" s="770"/>
      <c r="CE279" s="770"/>
      <c r="CF279" s="770"/>
      <c r="CG279" s="770"/>
      <c r="CH279" s="770"/>
      <c r="CI279" s="770"/>
      <c r="CJ279" s="770"/>
      <c r="CK279" s="770"/>
      <c r="CL279" s="770"/>
      <c r="CM279" s="770"/>
      <c r="CN279" s="770"/>
      <c r="CO279" s="770"/>
      <c r="CP279" s="770"/>
      <c r="CQ279" s="770"/>
      <c r="CR279" s="302"/>
      <c r="CS279" s="770"/>
      <c r="CT279" s="770"/>
      <c r="CU279" s="305"/>
      <c r="CV279" s="770"/>
      <c r="CW279" s="770"/>
      <c r="CX279" s="770"/>
      <c r="CY279" s="770"/>
      <c r="CZ279" s="770"/>
      <c r="DA279" s="770"/>
      <c r="DB279" s="770"/>
      <c r="DC279" s="770"/>
      <c r="DD279" s="770"/>
      <c r="DE279" s="770"/>
      <c r="DF279" s="770"/>
      <c r="DG279" s="770"/>
      <c r="DH279" s="770"/>
      <c r="DI279" s="770"/>
      <c r="DJ279" s="770"/>
      <c r="DK279" s="770"/>
      <c r="DL279" s="770"/>
      <c r="DM279" s="770"/>
      <c r="DN279" s="770"/>
      <c r="DO279" s="770"/>
      <c r="DP279" s="770"/>
      <c r="DQ279" s="770"/>
      <c r="DR279" s="770"/>
      <c r="DS279" s="307"/>
      <c r="DT279" s="770"/>
      <c r="DU279" s="770"/>
      <c r="DV279" s="770"/>
      <c r="DW279" s="306"/>
      <c r="DX279" s="306"/>
      <c r="DY279" s="770"/>
      <c r="DZ279" s="770"/>
      <c r="EA279" s="770"/>
      <c r="EB279" s="770"/>
      <c r="EC279" s="770"/>
      <c r="ED279" s="770"/>
      <c r="EE279" s="770"/>
      <c r="EF279" s="770"/>
      <c r="EG279" s="770"/>
      <c r="EH279" s="770"/>
      <c r="EI279" s="770"/>
      <c r="EJ279" s="770"/>
      <c r="EK279" s="770"/>
      <c r="EL279" s="770"/>
      <c r="EM279" s="770"/>
      <c r="EN279" s="770"/>
      <c r="EO279" s="770"/>
      <c r="EP279" s="770"/>
      <c r="EQ279" s="770"/>
      <c r="ER279" s="770"/>
      <c r="ES279" s="770"/>
      <c r="ET279" s="770"/>
      <c r="EU279" s="770"/>
      <c r="EV279" s="770"/>
      <c r="EW279" s="770"/>
      <c r="EX279" s="770"/>
      <c r="EY279" s="770"/>
      <c r="EZ279" s="770"/>
      <c r="FA279" s="770"/>
      <c r="FB279" s="770"/>
      <c r="FC279" s="770"/>
      <c r="FD279" s="302"/>
      <c r="FE279" s="770"/>
      <c r="FF279" s="770"/>
      <c r="FG279" s="770"/>
      <c r="FH279" s="770" t="s">
        <v>1306</v>
      </c>
      <c r="FI279" s="770">
        <v>1</v>
      </c>
      <c r="FJ279" s="770" t="s">
        <v>1636</v>
      </c>
      <c r="FK279" s="770"/>
      <c r="FL279" s="770"/>
      <c r="FM279" s="147">
        <v>500</v>
      </c>
      <c r="FN279" s="302">
        <f>26*30</f>
        <v>780</v>
      </c>
      <c r="FO279" s="302">
        <v>200</v>
      </c>
      <c r="FP279" s="766" t="s">
        <v>1602</v>
      </c>
      <c r="FQ279" s="766" t="s">
        <v>1660</v>
      </c>
      <c r="FR279" s="770"/>
      <c r="FS279" s="770"/>
      <c r="FT279" s="770"/>
      <c r="FU279" s="770"/>
      <c r="FV279" s="770"/>
      <c r="FW279" s="770"/>
      <c r="FX279" s="770"/>
      <c r="FY279" s="770"/>
      <c r="FZ279" s="770"/>
      <c r="GA279" s="770"/>
      <c r="GB279" s="770"/>
      <c r="GC279" s="308"/>
      <c r="GD279" s="297"/>
      <c r="GE279" s="770"/>
      <c r="GF279" s="302"/>
      <c r="GG279" s="302"/>
      <c r="GH279" s="712" t="s">
        <v>14260</v>
      </c>
      <c r="GI279" s="770"/>
      <c r="GJ279" s="770"/>
      <c r="GK279" s="770"/>
      <c r="GL279" s="770"/>
      <c r="GM279" s="770"/>
      <c r="GN279" s="309"/>
      <c r="GO279" s="770"/>
      <c r="GP279" s="770"/>
      <c r="GQ279" s="770"/>
      <c r="GR279" s="770"/>
      <c r="GS279" s="770"/>
      <c r="GT279" s="770"/>
      <c r="GU279" s="770"/>
      <c r="GV279" s="770"/>
      <c r="GW279" s="770"/>
      <c r="GX279" s="770"/>
      <c r="GY279" s="770"/>
      <c r="GZ279" s="770"/>
      <c r="HA279" s="770"/>
      <c r="HB279" s="770"/>
      <c r="HC279" s="770"/>
      <c r="HD279" s="770"/>
      <c r="HE279" s="770"/>
      <c r="HF279" s="770"/>
      <c r="HG279" s="770"/>
      <c r="HH279" s="770"/>
      <c r="HI279" s="770"/>
      <c r="HJ279" s="770"/>
      <c r="HK279" s="770"/>
      <c r="HL279" s="770"/>
      <c r="HM279" s="770"/>
      <c r="HN279" s="770"/>
      <c r="HO279" s="770"/>
      <c r="HP279" s="770"/>
      <c r="HQ279" s="770"/>
      <c r="HR279" s="770"/>
      <c r="HS279" s="770"/>
      <c r="HT279" s="770"/>
      <c r="HU279" s="770"/>
      <c r="HV279" s="770"/>
      <c r="HW279" s="770"/>
      <c r="HX279" s="770"/>
      <c r="HY279" s="770"/>
      <c r="HZ279" s="770"/>
      <c r="IA279" s="770"/>
      <c r="IB279" s="14" t="e">
        <f>IF(#REF!&gt;0,IF(#REF!&lt;=10000,"Y",""),"")</f>
        <v>#REF!</v>
      </c>
      <c r="IC279" s="770" t="s">
        <v>1207</v>
      </c>
      <c r="ID279" s="770"/>
      <c r="IE279" s="770"/>
      <c r="IF279" s="770"/>
      <c r="IG279" s="770"/>
      <c r="IH279" s="770"/>
      <c r="II279" s="770"/>
      <c r="IJ279" s="770"/>
      <c r="IK279" s="770"/>
      <c r="IL279" s="770"/>
      <c r="IM279" s="770"/>
      <c r="IN279" s="770"/>
      <c r="IO279" s="296"/>
      <c r="IP279" s="770"/>
      <c r="IQ279" s="770"/>
      <c r="IR279" s="770"/>
      <c r="IS279" s="770"/>
      <c r="IT279" s="770"/>
      <c r="IU279" s="770"/>
      <c r="IV279" s="770"/>
      <c r="IW279" s="770"/>
      <c r="IX279" s="770"/>
      <c r="IY279" s="770"/>
      <c r="IZ279" s="770"/>
      <c r="JA279" s="770"/>
      <c r="JB279" s="770"/>
      <c r="JC279" s="770"/>
      <c r="JD279" s="302"/>
      <c r="JE279" s="770"/>
      <c r="JF279" s="770"/>
      <c r="JG279" s="770"/>
      <c r="JH279" s="770"/>
      <c r="JI279" s="712" t="str">
        <f t="shared" si="75"/>
        <v>ok</v>
      </c>
      <c r="JJ279" s="770">
        <v>1</v>
      </c>
      <c r="JK279" s="1139" t="s">
        <v>2176</v>
      </c>
      <c r="JL279" s="766"/>
      <c r="JM279" s="766"/>
      <c r="JN279" s="766"/>
      <c r="JO279" s="766">
        <v>1</v>
      </c>
      <c r="JP279" s="766"/>
      <c r="JQ279" s="766"/>
      <c r="JR279" s="766"/>
      <c r="JS279" s="766"/>
      <c r="JT279" s="766">
        <f>SUM(JL279,JN279,JP279,JR279)</f>
        <v>0</v>
      </c>
      <c r="JU279" s="766">
        <f>SUM(JM279,JO279,JQ279,JS279)</f>
        <v>1</v>
      </c>
      <c r="JV279" s="712" t="str">
        <f t="shared" si="76"/>
        <v>ok</v>
      </c>
      <c r="JW279" s="712" t="str">
        <f t="shared" si="77"/>
        <v>ok</v>
      </c>
      <c r="JX279" s="766"/>
      <c r="JY279" s="766"/>
      <c r="JZ279" s="766"/>
      <c r="KA279" s="766"/>
      <c r="KB279" s="766"/>
      <c r="KC279" s="766"/>
      <c r="KD279" s="766"/>
      <c r="KE279" s="766">
        <v>1</v>
      </c>
      <c r="KF279" s="766"/>
      <c r="KG279" s="766"/>
      <c r="KH279" s="766"/>
      <c r="KI279" s="766"/>
      <c r="KJ279" s="766">
        <f>SUM(JX279,JZ279,KB279,KD279,KF279,KH279)</f>
        <v>0</v>
      </c>
      <c r="KK279" s="770">
        <f>SUM(JY279,KA279,KC279,KE279,KG279,KI279)</f>
        <v>1</v>
      </c>
      <c r="KL279" s="712" t="str">
        <f t="shared" si="84"/>
        <v>ok</v>
      </c>
      <c r="KM279" s="712" t="str">
        <f t="shared" si="85"/>
        <v>ok</v>
      </c>
      <c r="KN279" s="770" t="s">
        <v>783</v>
      </c>
      <c r="KO279" s="770"/>
      <c r="KP279" s="770"/>
      <c r="KQ279" s="770"/>
      <c r="KR279" s="770"/>
      <c r="KS279" s="770"/>
      <c r="KT279" s="770"/>
      <c r="KU279" s="770"/>
      <c r="KV279" s="770"/>
      <c r="KW279" s="770"/>
      <c r="KX279" s="770"/>
      <c r="KY279" s="770">
        <v>1</v>
      </c>
      <c r="KZ279" s="770"/>
      <c r="LA279" s="770"/>
      <c r="LB279" s="770"/>
      <c r="LC279" s="770"/>
      <c r="LD279" s="770"/>
      <c r="LE279" s="770"/>
      <c r="LF279" s="770"/>
      <c r="LG279" s="770"/>
      <c r="LH279" s="770"/>
      <c r="LI279" s="770"/>
      <c r="LJ279" s="770"/>
      <c r="LK279" s="770"/>
      <c r="LL279" s="770"/>
      <c r="LM279" s="770"/>
      <c r="LN279" s="766">
        <f t="shared" si="71"/>
        <v>0</v>
      </c>
      <c r="LO279" s="766">
        <f t="shared" si="71"/>
        <v>1</v>
      </c>
      <c r="LP279" s="770"/>
      <c r="LQ279" s="770"/>
      <c r="LR279" s="770"/>
      <c r="LS279" s="770"/>
      <c r="LT279" s="712" t="str">
        <f t="shared" si="80"/>
        <v>OK</v>
      </c>
      <c r="LU279" s="770"/>
      <c r="LV279" s="770"/>
      <c r="LW279" s="770"/>
      <c r="LX279" s="769"/>
      <c r="LY279" s="766" t="str">
        <f t="shared" si="82"/>
        <v/>
      </c>
      <c r="LZ279" s="299"/>
      <c r="MA279" s="1709"/>
      <c r="MB279" s="1709"/>
      <c r="MC279" s="1679">
        <f t="shared" si="70"/>
        <v>0</v>
      </c>
      <c r="MD279" s="1709"/>
      <c r="ME279" s="1709"/>
      <c r="MF279" s="1709"/>
      <c r="MG279" s="1680">
        <v>0</v>
      </c>
      <c r="MH279" s="770"/>
      <c r="MI279" s="302"/>
      <c r="MJ279" s="302"/>
      <c r="MK279" s="302"/>
      <c r="ML279" s="302"/>
      <c r="MM279" s="302"/>
      <c r="MN279" s="302"/>
      <c r="MO279" s="302"/>
      <c r="MP279" s="302"/>
      <c r="MQ279" s="302"/>
      <c r="MR279" s="302"/>
      <c r="MS279" s="302"/>
      <c r="MT279" s="302"/>
      <c r="MU279" s="302"/>
      <c r="MV279" s="302"/>
      <c r="MW279" s="302"/>
      <c r="MX279" s="302"/>
      <c r="MY279" s="1682"/>
      <c r="MZ279" s="770"/>
      <c r="NA279" s="770"/>
      <c r="NB279" s="770"/>
      <c r="NC279" s="770"/>
      <c r="ND279" s="770"/>
      <c r="NE279" s="770"/>
      <c r="NF279" s="770"/>
      <c r="NG279" s="770"/>
      <c r="NH279" s="770"/>
      <c r="NI279" s="770"/>
      <c r="NJ279" s="770"/>
      <c r="NK279" s="770"/>
      <c r="NL279" s="770"/>
      <c r="NM279" s="770"/>
      <c r="NN279" s="770"/>
      <c r="NO279" s="770"/>
      <c r="NP279" s="770"/>
      <c r="NQ279" s="770"/>
      <c r="NR279" s="770"/>
      <c r="NS279" s="770"/>
      <c r="NT279" s="770"/>
      <c r="NU279" s="770"/>
      <c r="NV279" s="770"/>
      <c r="NW279" s="770"/>
      <c r="NX279" s="770"/>
      <c r="NY279" s="770"/>
      <c r="NZ279" s="770"/>
      <c r="OA279" s="770"/>
      <c r="OB279" s="770"/>
      <c r="OC279" s="770"/>
      <c r="OD279" s="770"/>
      <c r="OE279" s="770"/>
      <c r="OF279" s="770"/>
      <c r="OG279" s="770"/>
      <c r="OH279" s="770"/>
      <c r="OI279" s="770"/>
      <c r="OJ279" s="770"/>
      <c r="OK279" s="770"/>
      <c r="OL279" s="770"/>
      <c r="OM279" s="770"/>
      <c r="ON279" s="770"/>
      <c r="OO279" s="770"/>
      <c r="OP279" s="770"/>
      <c r="OQ279" s="770"/>
      <c r="OR279" s="770"/>
      <c r="OS279" s="770"/>
      <c r="OT279" s="770"/>
      <c r="OU279" s="770"/>
      <c r="OV279" s="770"/>
      <c r="OW279" s="770"/>
      <c r="OX279" s="770"/>
      <c r="OY279" s="770"/>
      <c r="OZ279" s="770"/>
      <c r="PA279" s="770"/>
      <c r="PB279" s="770"/>
      <c r="PC279" s="770"/>
      <c r="PD279" s="770"/>
      <c r="PE279" s="770"/>
      <c r="PF279" s="770"/>
      <c r="PG279" s="770"/>
      <c r="PH279" s="770"/>
      <c r="PI279" s="770"/>
      <c r="PJ279" s="770"/>
      <c r="PK279" s="770"/>
      <c r="PL279" s="770"/>
      <c r="PM279" s="770"/>
      <c r="PN279" s="770"/>
      <c r="PO279" s="770"/>
      <c r="PP279" s="770"/>
      <c r="PQ279" s="770"/>
      <c r="PR279" s="770"/>
      <c r="PS279" s="770"/>
      <c r="PT279" s="770"/>
      <c r="PU279" s="770"/>
      <c r="PV279" s="770"/>
      <c r="PW279" s="770"/>
      <c r="PX279" s="770"/>
      <c r="PY279" s="770"/>
      <c r="PZ279" s="770"/>
      <c r="QA279" s="770"/>
      <c r="QB279" s="770"/>
      <c r="QC279" s="770"/>
      <c r="QD279" s="770"/>
      <c r="QE279" s="770"/>
      <c r="QF279" s="770"/>
      <c r="QG279" s="770"/>
      <c r="QH279" s="770"/>
      <c r="QI279" s="770"/>
      <c r="QJ279" s="770"/>
      <c r="QK279" s="770"/>
      <c r="QL279" s="770"/>
      <c r="QM279" s="770"/>
      <c r="QN279" s="770"/>
      <c r="QO279" s="770"/>
      <c r="QP279" s="770"/>
      <c r="QQ279" s="770"/>
      <c r="QR279" s="770"/>
      <c r="QS279" s="770"/>
      <c r="QT279" s="770"/>
      <c r="QU279" s="770"/>
      <c r="QV279" s="770"/>
      <c r="QW279" s="770"/>
      <c r="QX279" s="770"/>
      <c r="QY279" s="770"/>
      <c r="QZ279" s="770"/>
      <c r="RA279" s="770"/>
      <c r="RB279" s="770"/>
      <c r="RC279" s="770"/>
      <c r="RD279" s="770"/>
      <c r="RE279" s="770"/>
      <c r="RF279" s="304"/>
      <c r="RG279" s="770"/>
      <c r="RH279" s="302"/>
      <c r="RI279" s="770"/>
      <c r="RJ279" s="770" t="s">
        <v>2176</v>
      </c>
      <c r="RK279" s="770"/>
      <c r="RL279" s="1710">
        <v>42818</v>
      </c>
      <c r="RM279" s="12"/>
      <c r="RN279" s="1711"/>
      <c r="RO279" s="140" t="s">
        <v>471</v>
      </c>
      <c r="RP279" s="11"/>
      <c r="RQ279" s="11"/>
      <c r="RR279" s="19" t="s">
        <v>12353</v>
      </c>
      <c r="RS279" s="1139" t="s">
        <v>12980</v>
      </c>
      <c r="RT279" s="11"/>
      <c r="RU279" s="11"/>
      <c r="RV279" s="771" t="s">
        <v>7421</v>
      </c>
      <c r="RW279" s="11" t="s">
        <v>5604</v>
      </c>
      <c r="RX279" s="11" t="s">
        <v>469</v>
      </c>
      <c r="RY279" s="11"/>
      <c r="RZ279" s="11" t="s">
        <v>2209</v>
      </c>
      <c r="SA279" s="771"/>
      <c r="SB279" s="11"/>
      <c r="SC279" s="11"/>
    </row>
    <row r="280" spans="1:497" ht="12.75" customHeight="1">
      <c r="A280" s="767" t="s">
        <v>12353</v>
      </c>
      <c r="B280" s="292" t="s">
        <v>7971</v>
      </c>
      <c r="C280" s="140" t="s">
        <v>471</v>
      </c>
      <c r="D280" s="770" t="s">
        <v>5611</v>
      </c>
      <c r="E280" s="766" t="s">
        <v>5606</v>
      </c>
      <c r="F280" s="770" t="s">
        <v>28</v>
      </c>
      <c r="G280" s="770" t="s">
        <v>10</v>
      </c>
      <c r="H280" s="770"/>
      <c r="I280" s="295" t="s">
        <v>5612</v>
      </c>
      <c r="J280" s="770" t="s">
        <v>5611</v>
      </c>
      <c r="K280" s="770"/>
      <c r="L280" s="770"/>
      <c r="M280" s="770"/>
      <c r="N280" s="770"/>
      <c r="O280" s="770"/>
      <c r="P280" s="94" t="s">
        <v>5613</v>
      </c>
      <c r="Q280" s="1088">
        <v>24536</v>
      </c>
      <c r="R280" s="297">
        <v>44</v>
      </c>
      <c r="S280" s="770" t="s">
        <v>10</v>
      </c>
      <c r="T280" s="770"/>
      <c r="U280" s="295" t="s">
        <v>5612</v>
      </c>
      <c r="V280" s="770"/>
      <c r="W280" s="770"/>
      <c r="X280" s="296"/>
      <c r="Y280" s="770" t="s">
        <v>984</v>
      </c>
      <c r="Z280" s="770" t="s">
        <v>708</v>
      </c>
      <c r="AA280" s="770" t="s">
        <v>709</v>
      </c>
      <c r="AB280" s="770" t="s">
        <v>744</v>
      </c>
      <c r="AC280" s="770" t="s">
        <v>991</v>
      </c>
      <c r="AD280" s="770"/>
      <c r="AE280" s="770"/>
      <c r="AF280" s="770" t="s">
        <v>5493</v>
      </c>
      <c r="AG280" s="766" t="s">
        <v>1132</v>
      </c>
      <c r="AH280" s="766" t="s">
        <v>1096</v>
      </c>
      <c r="AI280" s="770"/>
      <c r="AJ280" s="770" t="s">
        <v>1137</v>
      </c>
      <c r="AK280" s="770" t="s">
        <v>1101</v>
      </c>
      <c r="AL280" s="299"/>
      <c r="AM280" s="300"/>
      <c r="AN280" s="301"/>
      <c r="AO280" s="766" t="s">
        <v>1122</v>
      </c>
      <c r="AP280" s="766"/>
      <c r="AQ280" s="766"/>
      <c r="AR280" s="766"/>
      <c r="AS280" s="770"/>
      <c r="AT280" s="770"/>
      <c r="AU280" s="770"/>
      <c r="AV280" s="770"/>
      <c r="AW280" s="770"/>
      <c r="AX280" s="770"/>
      <c r="AY280" s="770"/>
      <c r="AZ280" s="770"/>
      <c r="BA280" s="770"/>
      <c r="BB280" s="770"/>
      <c r="BC280" s="770"/>
      <c r="BD280" s="770"/>
      <c r="BE280" s="770"/>
      <c r="BF280" s="302"/>
      <c r="BG280" s="302"/>
      <c r="BH280" s="770"/>
      <c r="BI280" s="770"/>
      <c r="BJ280" s="770"/>
      <c r="BK280" s="770"/>
      <c r="BL280" s="766"/>
      <c r="BM280" s="766" t="s">
        <v>1238</v>
      </c>
      <c r="BN280" s="766" t="s">
        <v>1305</v>
      </c>
      <c r="BO280" s="766" t="s">
        <v>1239</v>
      </c>
      <c r="BP280" s="780"/>
      <c r="BQ280" s="772"/>
      <c r="BR280" s="774"/>
      <c r="BS280" s="766" t="s">
        <v>1257</v>
      </c>
      <c r="BT280" s="770"/>
      <c r="BU280" s="770"/>
      <c r="BV280" s="770"/>
      <c r="BW280" s="770"/>
      <c r="BX280" s="302"/>
      <c r="BY280" s="770"/>
      <c r="BZ280" s="302"/>
      <c r="CA280" s="770"/>
      <c r="CB280" s="770"/>
      <c r="CC280" s="770"/>
      <c r="CD280" s="770"/>
      <c r="CE280" s="770"/>
      <c r="CF280" s="770"/>
      <c r="CG280" s="770"/>
      <c r="CH280" s="770"/>
      <c r="CI280" s="770"/>
      <c r="CJ280" s="770"/>
      <c r="CK280" s="770"/>
      <c r="CL280" s="770"/>
      <c r="CM280" s="770"/>
      <c r="CN280" s="770"/>
      <c r="CO280" s="770"/>
      <c r="CP280" s="770"/>
      <c r="CQ280" s="770"/>
      <c r="CR280" s="302"/>
      <c r="CS280" s="770"/>
      <c r="CT280" s="770"/>
      <c r="CU280" s="305"/>
      <c r="CV280" s="770"/>
      <c r="CW280" s="770"/>
      <c r="CX280" s="770"/>
      <c r="CY280" s="770"/>
      <c r="CZ280" s="770"/>
      <c r="DA280" s="770"/>
      <c r="DB280" s="770"/>
      <c r="DC280" s="770"/>
      <c r="DD280" s="770"/>
      <c r="DE280" s="770"/>
      <c r="DF280" s="770"/>
      <c r="DG280" s="770"/>
      <c r="DH280" s="770"/>
      <c r="DI280" s="770"/>
      <c r="DJ280" s="770"/>
      <c r="DK280" s="770"/>
      <c r="DL280" s="770"/>
      <c r="DM280" s="770"/>
      <c r="DN280" s="770"/>
      <c r="DO280" s="770"/>
      <c r="DP280" s="770"/>
      <c r="DQ280" s="770"/>
      <c r="DR280" s="770"/>
      <c r="DS280" s="307"/>
      <c r="DT280" s="770"/>
      <c r="DU280" s="770"/>
      <c r="DV280" s="770"/>
      <c r="DW280" s="306"/>
      <c r="DX280" s="306"/>
      <c r="DY280" s="770"/>
      <c r="DZ280" s="770"/>
      <c r="EA280" s="770"/>
      <c r="EB280" s="770"/>
      <c r="EC280" s="770"/>
      <c r="ED280" s="770"/>
      <c r="EE280" s="770"/>
      <c r="EF280" s="770"/>
      <c r="EG280" s="770"/>
      <c r="EH280" s="770"/>
      <c r="EI280" s="770"/>
      <c r="EJ280" s="770"/>
      <c r="EK280" s="770"/>
      <c r="EL280" s="770"/>
      <c r="EM280" s="770"/>
      <c r="EN280" s="770"/>
      <c r="EO280" s="770"/>
      <c r="EP280" s="770"/>
      <c r="EQ280" s="770"/>
      <c r="ER280" s="770"/>
      <c r="ES280" s="770"/>
      <c r="ET280" s="770"/>
      <c r="EU280" s="770"/>
      <c r="EV280" s="770"/>
      <c r="EW280" s="770"/>
      <c r="EX280" s="770"/>
      <c r="EY280" s="770"/>
      <c r="EZ280" s="770"/>
      <c r="FA280" s="770"/>
      <c r="FB280" s="770"/>
      <c r="FC280" s="770"/>
      <c r="FD280" s="302"/>
      <c r="FE280" s="770"/>
      <c r="FF280" s="770"/>
      <c r="FG280" s="770"/>
      <c r="FH280" s="770" t="s">
        <v>1306</v>
      </c>
      <c r="FI280" s="770">
        <v>1</v>
      </c>
      <c r="FJ280" s="770" t="s">
        <v>1636</v>
      </c>
      <c r="FK280" s="770"/>
      <c r="FL280" s="770"/>
      <c r="FM280" s="147">
        <v>1500</v>
      </c>
      <c r="FN280" s="302">
        <v>400</v>
      </c>
      <c r="FO280" s="302"/>
      <c r="FP280" s="766" t="s">
        <v>1602</v>
      </c>
      <c r="FQ280" s="766" t="s">
        <v>1660</v>
      </c>
      <c r="FR280" s="770"/>
      <c r="FS280" s="770"/>
      <c r="FT280" s="770"/>
      <c r="FU280" s="770"/>
      <c r="FV280" s="770"/>
      <c r="FW280" s="770"/>
      <c r="FX280" s="770"/>
      <c r="FY280" s="770"/>
      <c r="FZ280" s="770"/>
      <c r="GA280" s="770"/>
      <c r="GB280" s="770"/>
      <c r="GC280" s="308"/>
      <c r="GD280" s="297"/>
      <c r="GE280" s="770"/>
      <c r="GF280" s="302"/>
      <c r="GG280" s="302"/>
      <c r="GH280" s="1835" t="s">
        <v>3650</v>
      </c>
      <c r="GI280" s="770"/>
      <c r="GJ280" s="770"/>
      <c r="GK280" s="770"/>
      <c r="GL280" s="770"/>
      <c r="GM280" s="770"/>
      <c r="GN280" s="309"/>
      <c r="GO280" s="770"/>
      <c r="GP280" s="770"/>
      <c r="GQ280" s="770"/>
      <c r="GR280" s="770"/>
      <c r="GS280" s="770"/>
      <c r="GT280" s="770"/>
      <c r="GU280" s="770"/>
      <c r="GV280" s="770"/>
      <c r="GW280" s="770"/>
      <c r="GX280" s="770"/>
      <c r="GY280" s="770"/>
      <c r="GZ280" s="770"/>
      <c r="HA280" s="770"/>
      <c r="HB280" s="770"/>
      <c r="HC280" s="770"/>
      <c r="HD280" s="770"/>
      <c r="HE280" s="770"/>
      <c r="HF280" s="770"/>
      <c r="HG280" s="770"/>
      <c r="HH280" s="770"/>
      <c r="HI280" s="770"/>
      <c r="HJ280" s="770"/>
      <c r="HK280" s="770"/>
      <c r="HL280" s="770"/>
      <c r="HM280" s="770"/>
      <c r="HN280" s="770"/>
      <c r="HO280" s="770"/>
      <c r="HP280" s="770"/>
      <c r="HQ280" s="770"/>
      <c r="HR280" s="770"/>
      <c r="HS280" s="770"/>
      <c r="HT280" s="770"/>
      <c r="HU280" s="770"/>
      <c r="HV280" s="770"/>
      <c r="HW280" s="770"/>
      <c r="HX280" s="770"/>
      <c r="HY280" s="770"/>
      <c r="HZ280" s="770"/>
      <c r="IA280" s="770"/>
      <c r="IB280" s="14" t="e">
        <f>IF(#REF!&gt;0,IF(#REF!&lt;=10000,"Y",""),"")</f>
        <v>#REF!</v>
      </c>
      <c r="IC280" s="770"/>
      <c r="ID280" s="770"/>
      <c r="IE280" s="770"/>
      <c r="IF280" s="770"/>
      <c r="IG280" s="770"/>
      <c r="IH280" s="770"/>
      <c r="II280" s="770"/>
      <c r="IJ280" s="770"/>
      <c r="IK280" s="770"/>
      <c r="IL280" s="770"/>
      <c r="IM280" s="770"/>
      <c r="IN280" s="770"/>
      <c r="IO280" s="296"/>
      <c r="IP280" s="770"/>
      <c r="IQ280" s="770"/>
      <c r="IR280" s="770"/>
      <c r="IS280" s="770"/>
      <c r="IT280" s="770"/>
      <c r="IU280" s="770"/>
      <c r="IV280" s="770"/>
      <c r="IW280" s="770"/>
      <c r="IX280" s="770"/>
      <c r="IY280" s="770"/>
      <c r="IZ280" s="770"/>
      <c r="JA280" s="770"/>
      <c r="JB280" s="770"/>
      <c r="JC280" s="770"/>
      <c r="JD280" s="302"/>
      <c r="JE280" s="770"/>
      <c r="JF280" s="770"/>
      <c r="JG280" s="770"/>
      <c r="JH280" s="770"/>
      <c r="JI280" s="712" t="str">
        <f t="shared" si="75"/>
        <v>ok</v>
      </c>
      <c r="JJ280" s="770">
        <v>2</v>
      </c>
      <c r="JK280" s="1139" t="s">
        <v>9069</v>
      </c>
      <c r="JL280" s="766"/>
      <c r="JM280" s="766"/>
      <c r="JN280" s="766">
        <v>2</v>
      </c>
      <c r="JO280" s="766"/>
      <c r="JP280" s="766"/>
      <c r="JQ280" s="766"/>
      <c r="JR280" s="766"/>
      <c r="JS280" s="766"/>
      <c r="JT280" s="766">
        <f t="shared" ref="JT280:JU288" si="88">SUM(JP280,JN280,JL280,JR280)</f>
        <v>2</v>
      </c>
      <c r="JU280" s="766">
        <f t="shared" si="88"/>
        <v>0</v>
      </c>
      <c r="JV280" s="712" t="str">
        <f t="shared" si="76"/>
        <v>ok</v>
      </c>
      <c r="JW280" s="712" t="str">
        <f t="shared" si="77"/>
        <v>ok</v>
      </c>
      <c r="JX280" s="766"/>
      <c r="JY280" s="766"/>
      <c r="JZ280" s="766"/>
      <c r="KA280" s="766"/>
      <c r="KB280" s="766"/>
      <c r="KC280" s="766"/>
      <c r="KD280" s="766">
        <v>2</v>
      </c>
      <c r="KE280" s="766"/>
      <c r="KF280" s="766"/>
      <c r="KG280" s="766"/>
      <c r="KH280" s="766"/>
      <c r="KI280" s="766"/>
      <c r="KJ280" s="770">
        <f t="shared" si="86"/>
        <v>2</v>
      </c>
      <c r="KK280" s="770">
        <f t="shared" si="86"/>
        <v>0</v>
      </c>
      <c r="KL280" s="712" t="str">
        <f t="shared" si="84"/>
        <v>ok</v>
      </c>
      <c r="KM280" s="712" t="str">
        <f t="shared" si="85"/>
        <v>ok</v>
      </c>
      <c r="KN280" s="770"/>
      <c r="KO280" s="770"/>
      <c r="KP280" s="770"/>
      <c r="KQ280" s="770"/>
      <c r="KR280" s="770"/>
      <c r="KS280" s="770"/>
      <c r="KT280" s="770"/>
      <c r="KU280" s="770"/>
      <c r="KV280" s="770"/>
      <c r="KW280" s="770"/>
      <c r="KX280" s="770"/>
      <c r="KY280" s="770"/>
      <c r="KZ280" s="770">
        <v>1</v>
      </c>
      <c r="LA280" s="770"/>
      <c r="LB280" s="770">
        <v>1</v>
      </c>
      <c r="LC280" s="770"/>
      <c r="LD280" s="770"/>
      <c r="LE280" s="770"/>
      <c r="LF280" s="770"/>
      <c r="LG280" s="770"/>
      <c r="LH280" s="770"/>
      <c r="LI280" s="770"/>
      <c r="LJ280" s="770"/>
      <c r="LK280" s="770"/>
      <c r="LL280" s="770"/>
      <c r="LM280" s="770"/>
      <c r="LN280" s="766">
        <f t="shared" si="71"/>
        <v>2</v>
      </c>
      <c r="LO280" s="766">
        <f t="shared" si="71"/>
        <v>0</v>
      </c>
      <c r="LP280" s="770">
        <v>2</v>
      </c>
      <c r="LQ280" s="770">
        <v>2</v>
      </c>
      <c r="LR280" s="770"/>
      <c r="LS280" s="770"/>
      <c r="LT280" s="712" t="str">
        <f t="shared" si="80"/>
        <v>OK</v>
      </c>
      <c r="LU280" s="770"/>
      <c r="LV280" s="770">
        <v>1</v>
      </c>
      <c r="LW280" s="770">
        <v>1</v>
      </c>
      <c r="LX280" s="769">
        <v>2</v>
      </c>
      <c r="LY280" s="766" t="str">
        <f t="shared" si="82"/>
        <v>within the MUNICIPALITY</v>
      </c>
      <c r="LZ280" s="299"/>
      <c r="MA280" s="1709"/>
      <c r="MB280" s="1709"/>
      <c r="MC280" s="1679">
        <f t="shared" si="70"/>
        <v>0</v>
      </c>
      <c r="MD280" s="1709"/>
      <c r="ME280" s="1709">
        <f>400*26</f>
        <v>10400</v>
      </c>
      <c r="MF280" s="1709"/>
      <c r="MG280" s="1680">
        <f t="shared" si="81"/>
        <v>10400</v>
      </c>
      <c r="MH280" s="770" t="s">
        <v>2214</v>
      </c>
      <c r="MI280" s="302">
        <f>400*30</f>
        <v>12000</v>
      </c>
      <c r="MJ280" s="302"/>
      <c r="MK280" s="302"/>
      <c r="ML280" s="302"/>
      <c r="MM280" s="302"/>
      <c r="MN280" s="302"/>
      <c r="MO280" s="302">
        <f>50*30</f>
        <v>1500</v>
      </c>
      <c r="MP280" s="302">
        <v>500</v>
      </c>
      <c r="MQ280" s="302">
        <v>700</v>
      </c>
      <c r="MR280" s="302"/>
      <c r="MS280" s="302"/>
      <c r="MT280" s="302"/>
      <c r="MU280" s="302"/>
      <c r="MV280" s="302"/>
      <c r="MW280" s="302"/>
      <c r="MX280" s="302"/>
      <c r="MY280" s="1682">
        <f t="shared" si="74"/>
        <v>14700</v>
      </c>
      <c r="MZ280" s="770" t="s">
        <v>13395</v>
      </c>
      <c r="NA280" s="770" t="s">
        <v>13230</v>
      </c>
      <c r="NB280" s="770" t="s">
        <v>13143</v>
      </c>
      <c r="NC280" s="770" t="s">
        <v>13135</v>
      </c>
      <c r="ND280" s="770">
        <v>0</v>
      </c>
      <c r="NE280" s="770">
        <v>0</v>
      </c>
      <c r="NF280" s="770">
        <v>0</v>
      </c>
      <c r="NG280" s="770">
        <v>1</v>
      </c>
      <c r="NH280" s="770">
        <v>0</v>
      </c>
      <c r="NI280" s="770">
        <v>0</v>
      </c>
      <c r="NJ280" s="770">
        <v>0</v>
      </c>
      <c r="NK280" s="770">
        <v>0</v>
      </c>
      <c r="NL280" s="770">
        <v>0</v>
      </c>
      <c r="NM280" s="770">
        <v>1</v>
      </c>
      <c r="NN280" s="770">
        <v>0</v>
      </c>
      <c r="NO280" s="770">
        <v>0</v>
      </c>
      <c r="NP280" s="770">
        <v>0</v>
      </c>
      <c r="NQ280" s="770">
        <v>0</v>
      </c>
      <c r="NR280" s="770">
        <v>0</v>
      </c>
      <c r="NS280" s="770">
        <v>0</v>
      </c>
      <c r="NT280" s="770">
        <v>0</v>
      </c>
      <c r="NU280" s="770">
        <v>0</v>
      </c>
      <c r="NV280" s="770">
        <v>0</v>
      </c>
      <c r="NW280" s="770">
        <v>0</v>
      </c>
      <c r="NX280" s="770">
        <v>0</v>
      </c>
      <c r="NY280" s="770"/>
      <c r="NZ280" s="770"/>
      <c r="OA280" s="770"/>
      <c r="OB280" s="770"/>
      <c r="OC280" s="770"/>
      <c r="OD280" s="770"/>
      <c r="OE280" s="770"/>
      <c r="OF280" s="770"/>
      <c r="OG280" s="770"/>
      <c r="OH280" s="770"/>
      <c r="OI280" s="770"/>
      <c r="OJ280" s="770"/>
      <c r="OK280" s="770"/>
      <c r="OL280" s="770"/>
      <c r="OM280" s="770"/>
      <c r="ON280" s="770"/>
      <c r="OO280" s="770"/>
      <c r="OP280" s="770"/>
      <c r="OQ280" s="770"/>
      <c r="OR280" s="770"/>
      <c r="OS280" s="770"/>
      <c r="OT280" s="770"/>
      <c r="OU280" s="770"/>
      <c r="OV280" s="770"/>
      <c r="OW280" s="770"/>
      <c r="OX280" s="770"/>
      <c r="OY280" s="770"/>
      <c r="OZ280" s="770"/>
      <c r="PA280" s="770"/>
      <c r="PB280" s="770"/>
      <c r="PC280" s="770"/>
      <c r="PD280" s="770"/>
      <c r="PE280" s="770"/>
      <c r="PF280" s="770"/>
      <c r="PG280" s="770"/>
      <c r="PH280" s="770"/>
      <c r="PI280" s="770"/>
      <c r="PJ280" s="770"/>
      <c r="PK280" s="770"/>
      <c r="PL280" s="770"/>
      <c r="PM280" s="770" t="s">
        <v>1208</v>
      </c>
      <c r="PN280" s="770"/>
      <c r="PO280" s="770"/>
      <c r="PP280" s="770"/>
      <c r="PQ280" s="770"/>
      <c r="PR280" s="770" t="s">
        <v>1208</v>
      </c>
      <c r="PS280" s="770" t="s">
        <v>1208</v>
      </c>
      <c r="PT280" s="770" t="s">
        <v>1208</v>
      </c>
      <c r="PU280" s="770"/>
      <c r="PV280" s="770"/>
      <c r="PW280" s="770"/>
      <c r="PX280" s="770"/>
      <c r="PY280" s="770"/>
      <c r="PZ280" s="770"/>
      <c r="QA280" s="770"/>
      <c r="QB280" s="770"/>
      <c r="QC280" s="770"/>
      <c r="QD280" s="770"/>
      <c r="QE280" s="770"/>
      <c r="QF280" s="770"/>
      <c r="QG280" s="770"/>
      <c r="QH280" s="770"/>
      <c r="QI280" s="770"/>
      <c r="QJ280" s="770"/>
      <c r="QK280" s="770"/>
      <c r="QL280" s="770"/>
      <c r="QM280" s="770"/>
      <c r="QN280" s="770"/>
      <c r="QO280" s="770"/>
      <c r="QP280" s="770"/>
      <c r="QQ280" s="770"/>
      <c r="QR280" s="770"/>
      <c r="QS280" s="770"/>
      <c r="QT280" s="770"/>
      <c r="QU280" s="770"/>
      <c r="QV280" s="770"/>
      <c r="QW280" s="770"/>
      <c r="QX280" s="770"/>
      <c r="QY280" s="770"/>
      <c r="QZ280" s="770"/>
      <c r="RA280" s="770"/>
      <c r="RB280" s="770" t="s">
        <v>1207</v>
      </c>
      <c r="RC280" s="770"/>
      <c r="RD280" s="770"/>
      <c r="RE280" s="770"/>
      <c r="RF280" s="304"/>
      <c r="RG280" s="770"/>
      <c r="RH280" s="302"/>
      <c r="RI280" s="770"/>
      <c r="RJ280" s="770" t="s">
        <v>11622</v>
      </c>
      <c r="RK280" s="770"/>
      <c r="RL280" s="1710">
        <v>42918</v>
      </c>
      <c r="RM280" s="12"/>
      <c r="RN280" s="1711"/>
      <c r="RO280" s="140" t="s">
        <v>471</v>
      </c>
      <c r="RP280" s="11"/>
      <c r="RQ280" s="11"/>
      <c r="RR280" s="19" t="s">
        <v>12353</v>
      </c>
      <c r="RS280" s="1139" t="s">
        <v>12980</v>
      </c>
      <c r="RT280" s="11"/>
      <c r="RU280" s="11"/>
      <c r="RV280" s="771" t="s">
        <v>12355</v>
      </c>
      <c r="RW280" s="11" t="s">
        <v>7556</v>
      </c>
      <c r="RX280" s="11" t="s">
        <v>469</v>
      </c>
      <c r="RY280" s="11"/>
      <c r="RZ280" s="11"/>
      <c r="SA280" s="771"/>
      <c r="SB280" s="11"/>
      <c r="SC280" s="11"/>
    </row>
    <row r="281" spans="1:497" ht="12.75" customHeight="1">
      <c r="A281" s="19" t="s">
        <v>7421</v>
      </c>
      <c r="B281" s="292" t="s">
        <v>7615</v>
      </c>
      <c r="C281" s="140" t="s">
        <v>474</v>
      </c>
      <c r="D281" s="770" t="s">
        <v>5615</v>
      </c>
      <c r="E281" s="766" t="s">
        <v>5606</v>
      </c>
      <c r="F281" s="770" t="s">
        <v>3044</v>
      </c>
      <c r="G281" s="770" t="s">
        <v>10</v>
      </c>
      <c r="H281" s="770"/>
      <c r="I281" s="295" t="s">
        <v>475</v>
      </c>
      <c r="J281" s="94" t="s">
        <v>476</v>
      </c>
      <c r="K281" s="770"/>
      <c r="L281" s="770"/>
      <c r="M281" s="770"/>
      <c r="N281" s="770"/>
      <c r="O281" s="770"/>
      <c r="P281" s="94" t="s">
        <v>985</v>
      </c>
      <c r="Q281" s="1088">
        <v>34687</v>
      </c>
      <c r="R281" s="297">
        <v>22</v>
      </c>
      <c r="S281" s="770" t="s">
        <v>10</v>
      </c>
      <c r="T281" s="770"/>
      <c r="U281" s="298" t="s">
        <v>986</v>
      </c>
      <c r="V281" s="770" t="s">
        <v>722</v>
      </c>
      <c r="W281" s="770"/>
      <c r="X281" s="296"/>
      <c r="Y281" s="766" t="s">
        <v>5606</v>
      </c>
      <c r="Z281" s="770" t="s">
        <v>708</v>
      </c>
      <c r="AA281" s="770" t="s">
        <v>709</v>
      </c>
      <c r="AB281" s="770" t="s">
        <v>744</v>
      </c>
      <c r="AC281" s="770"/>
      <c r="AD281" s="770" t="s">
        <v>711</v>
      </c>
      <c r="AE281" s="770"/>
      <c r="AF281" s="770"/>
      <c r="AG281" s="766" t="s">
        <v>1132</v>
      </c>
      <c r="AH281" s="766" t="s">
        <v>1096</v>
      </c>
      <c r="AI281" s="770"/>
      <c r="AJ281" s="770" t="s">
        <v>1137</v>
      </c>
      <c r="AK281" s="770" t="s">
        <v>1101</v>
      </c>
      <c r="AL281" s="299"/>
      <c r="AM281" s="300"/>
      <c r="AN281" s="301"/>
      <c r="AO281" s="766" t="s">
        <v>1149</v>
      </c>
      <c r="AP281" s="766"/>
      <c r="AQ281" s="766"/>
      <c r="AR281" s="766"/>
      <c r="AS281" s="770"/>
      <c r="AT281" s="770"/>
      <c r="AU281" s="770"/>
      <c r="AV281" s="770"/>
      <c r="AW281" s="770"/>
      <c r="AX281" s="770"/>
      <c r="AY281" s="770"/>
      <c r="AZ281" s="770"/>
      <c r="BA281" s="770"/>
      <c r="BB281" s="770"/>
      <c r="BC281" s="770"/>
      <c r="BD281" s="770"/>
      <c r="BE281" s="770"/>
      <c r="BF281" s="302"/>
      <c r="BG281" s="302"/>
      <c r="BH281" s="770"/>
      <c r="BI281" s="770"/>
      <c r="BJ281" s="770"/>
      <c r="BK281" s="770" t="s">
        <v>1095</v>
      </c>
      <c r="BL281" s="766" t="s">
        <v>1361</v>
      </c>
      <c r="BM281" s="766" t="s">
        <v>1096</v>
      </c>
      <c r="BN281" s="766" t="s">
        <v>1230</v>
      </c>
      <c r="BO281" s="766" t="s">
        <v>1239</v>
      </c>
      <c r="BP281" s="1111">
        <v>48</v>
      </c>
      <c r="BQ281" s="772">
        <v>8</v>
      </c>
      <c r="BR281" s="774">
        <f>BQ281/BP281</f>
        <v>0.16666666666666666</v>
      </c>
      <c r="BS281" s="766" t="s">
        <v>1242</v>
      </c>
      <c r="BT281" s="766" t="s">
        <v>8133</v>
      </c>
      <c r="BU281" s="766" t="s">
        <v>1249</v>
      </c>
      <c r="BV281" s="766" t="s">
        <v>1247</v>
      </c>
      <c r="BW281" s="769"/>
      <c r="BX281" s="775"/>
      <c r="BY281" s="779"/>
      <c r="BZ281" s="766"/>
      <c r="CA281" s="775"/>
      <c r="CB281" s="775"/>
      <c r="CC281" s="766"/>
      <c r="CD281" s="770"/>
      <c r="CE281" s="770"/>
      <c r="CF281" s="777"/>
      <c r="CG281" s="321"/>
      <c r="CH281" s="770"/>
      <c r="CI281" s="770"/>
      <c r="CJ281" s="770"/>
      <c r="CK281" s="770"/>
      <c r="CL281" s="770"/>
      <c r="CM281" s="770"/>
      <c r="CN281" s="770"/>
      <c r="CO281" s="770"/>
      <c r="CP281" s="770"/>
      <c r="CQ281" s="770"/>
      <c r="CR281" s="302"/>
      <c r="CS281" s="770"/>
      <c r="CT281" s="770"/>
      <c r="CU281" s="305"/>
      <c r="CV281" s="770"/>
      <c r="CW281" s="770"/>
      <c r="CX281" s="770"/>
      <c r="CY281" s="770"/>
      <c r="CZ281" s="770"/>
      <c r="DA281" s="306"/>
      <c r="DB281" s="770"/>
      <c r="DC281" s="770"/>
      <c r="DD281" s="770"/>
      <c r="DE281" s="300"/>
      <c r="DF281" s="770"/>
      <c r="DG281" s="770"/>
      <c r="DH281" s="770"/>
      <c r="DI281" s="770"/>
      <c r="DJ281" s="770"/>
      <c r="DK281" s="770"/>
      <c r="DL281" s="770"/>
      <c r="DM281" s="770"/>
      <c r="DN281" s="322"/>
      <c r="DO281" s="770"/>
      <c r="DP281" s="770"/>
      <c r="DQ281" s="770"/>
      <c r="DR281" s="770"/>
      <c r="DS281" s="307"/>
      <c r="DT281" s="770"/>
      <c r="DU281" s="770"/>
      <c r="DV281" s="770"/>
      <c r="DW281" s="306"/>
      <c r="DX281" s="306"/>
      <c r="DY281" s="770"/>
      <c r="DZ281" s="770"/>
      <c r="EA281" s="770"/>
      <c r="EB281" s="770"/>
      <c r="EC281" s="770"/>
      <c r="ED281" s="770"/>
      <c r="EE281" s="770"/>
      <c r="EF281" s="770"/>
      <c r="EG281" s="770"/>
      <c r="EH281" s="770"/>
      <c r="EI281" s="770"/>
      <c r="EJ281" s="770"/>
      <c r="EK281" s="770"/>
      <c r="EL281" s="770"/>
      <c r="EM281" s="770"/>
      <c r="EN281" s="770"/>
      <c r="EO281" s="770"/>
      <c r="EP281" s="94"/>
      <c r="EQ281" s="770"/>
      <c r="ER281" s="770"/>
      <c r="ES281" s="770"/>
      <c r="ET281" s="770"/>
      <c r="EU281" s="770"/>
      <c r="EV281" s="770"/>
      <c r="EW281" s="770"/>
      <c r="EX281" s="770"/>
      <c r="EY281" s="770"/>
      <c r="EZ281" s="770"/>
      <c r="FA281" s="770"/>
      <c r="FB281" s="770"/>
      <c r="FC281" s="770"/>
      <c r="FD281" s="302"/>
      <c r="FE281" s="770"/>
      <c r="FF281" s="770"/>
      <c r="FG281" s="770"/>
      <c r="FH281" s="770" t="s">
        <v>478</v>
      </c>
      <c r="FI281" s="770">
        <v>1</v>
      </c>
      <c r="FJ281" s="770"/>
      <c r="FK281" s="770"/>
      <c r="FL281" s="770"/>
      <c r="FM281" s="302"/>
      <c r="FN281" s="302"/>
      <c r="FO281" s="302"/>
      <c r="FP281" s="770" t="s">
        <v>1600</v>
      </c>
      <c r="FQ281" s="770" t="s">
        <v>1642</v>
      </c>
      <c r="FR281" s="770" t="s">
        <v>1214</v>
      </c>
      <c r="FS281" s="770"/>
      <c r="FT281" s="770"/>
      <c r="FU281" s="770"/>
      <c r="FV281" s="770"/>
      <c r="FW281" s="770"/>
      <c r="FX281" s="770"/>
      <c r="FY281" s="770"/>
      <c r="FZ281" s="770"/>
      <c r="GA281" s="770"/>
      <c r="GB281" s="770"/>
      <c r="GC281" s="308"/>
      <c r="GD281" s="297"/>
      <c r="GE281" s="770" t="s">
        <v>1207</v>
      </c>
      <c r="GF281" s="302">
        <v>1500</v>
      </c>
      <c r="GG281" s="302">
        <f>GF281*12</f>
        <v>18000</v>
      </c>
      <c r="GH281" s="766" t="s">
        <v>14260</v>
      </c>
      <c r="GI281" s="770"/>
      <c r="GJ281" s="770"/>
      <c r="GK281" s="770"/>
      <c r="GL281" s="770"/>
      <c r="GM281" s="770"/>
      <c r="GN281" s="309"/>
      <c r="GO281" s="770"/>
      <c r="GP281" s="770"/>
      <c r="GQ281" s="770"/>
      <c r="GR281" s="770"/>
      <c r="GS281" s="770"/>
      <c r="GT281" s="770"/>
      <c r="GU281" s="770"/>
      <c r="GV281" s="770"/>
      <c r="GW281" s="770"/>
      <c r="GX281" s="770"/>
      <c r="GY281" s="770"/>
      <c r="GZ281" s="770"/>
      <c r="HA281" s="770"/>
      <c r="HB281" s="770"/>
      <c r="HC281" s="770"/>
      <c r="HD281" s="770"/>
      <c r="HE281" s="770"/>
      <c r="HF281" s="770"/>
      <c r="HG281" s="770"/>
      <c r="HH281" s="770"/>
      <c r="HI281" s="770" t="s">
        <v>1214</v>
      </c>
      <c r="HJ281" s="770"/>
      <c r="HK281" s="770"/>
      <c r="HL281" s="770" t="s">
        <v>1214</v>
      </c>
      <c r="HM281" s="770"/>
      <c r="HN281" s="770"/>
      <c r="HO281" s="770"/>
      <c r="HP281" s="770"/>
      <c r="HQ281" s="770"/>
      <c r="HR281" s="770"/>
      <c r="HS281" s="770"/>
      <c r="HT281" s="770"/>
      <c r="HU281" s="770"/>
      <c r="HV281" s="770"/>
      <c r="HW281" s="770"/>
      <c r="HX281" s="770"/>
      <c r="HY281" s="770"/>
      <c r="HZ281" s="770"/>
      <c r="IA281" s="770"/>
      <c r="IB281" s="14" t="e">
        <f>IF(#REF!&gt;0,IF(#REF!&lt;=10000,"Y",""),"")</f>
        <v>#REF!</v>
      </c>
      <c r="IC281" s="770"/>
      <c r="ID281" s="770"/>
      <c r="IE281" s="770">
        <v>1</v>
      </c>
      <c r="IF281" s="770" t="s">
        <v>5616</v>
      </c>
      <c r="IG281" s="770" t="s">
        <v>10</v>
      </c>
      <c r="IH281" s="770" t="s">
        <v>3044</v>
      </c>
      <c r="II281" s="770" t="s">
        <v>978</v>
      </c>
      <c r="IJ281" s="770" t="s">
        <v>1604</v>
      </c>
      <c r="IK281" s="766" t="s">
        <v>1888</v>
      </c>
      <c r="IL281" s="770" t="s">
        <v>1361</v>
      </c>
      <c r="IM281" s="770"/>
      <c r="IN281" s="770" t="s">
        <v>1361</v>
      </c>
      <c r="IO281" s="296"/>
      <c r="IP281" s="770" t="s">
        <v>478</v>
      </c>
      <c r="IQ281" s="13" t="s">
        <v>5498</v>
      </c>
      <c r="IR281" s="770" t="s">
        <v>2716</v>
      </c>
      <c r="IS281" s="770"/>
      <c r="IT281" s="770"/>
      <c r="IU281" s="770"/>
      <c r="IV281" s="770"/>
      <c r="IW281" s="770" t="s">
        <v>985</v>
      </c>
      <c r="IX281" s="770"/>
      <c r="IY281" s="770" t="s">
        <v>475</v>
      </c>
      <c r="IZ281" s="770"/>
      <c r="JA281" s="770"/>
      <c r="JB281" s="770"/>
      <c r="JC281" s="770"/>
      <c r="JD281" s="302">
        <v>1500</v>
      </c>
      <c r="JE281" s="770"/>
      <c r="JF281" s="770"/>
      <c r="JG281" s="770"/>
      <c r="JH281" s="770"/>
      <c r="JI281" s="712" t="str">
        <f t="shared" si="75"/>
        <v>ok</v>
      </c>
      <c r="JJ281" s="766">
        <v>5</v>
      </c>
      <c r="JK281" s="1139" t="s">
        <v>2101</v>
      </c>
      <c r="JL281" s="770"/>
      <c r="JM281" s="770">
        <v>1</v>
      </c>
      <c r="JN281" s="770">
        <v>3</v>
      </c>
      <c r="JO281" s="770">
        <v>1</v>
      </c>
      <c r="JP281" s="770"/>
      <c r="JQ281" s="770"/>
      <c r="JR281" s="770"/>
      <c r="JS281" s="770"/>
      <c r="JT281" s="766">
        <f t="shared" si="88"/>
        <v>3</v>
      </c>
      <c r="JU281" s="766">
        <f t="shared" si="88"/>
        <v>2</v>
      </c>
      <c r="JV281" s="712" t="str">
        <f t="shared" si="76"/>
        <v>ok</v>
      </c>
      <c r="JW281" s="712" t="str">
        <f t="shared" si="77"/>
        <v>ok</v>
      </c>
      <c r="JX281" s="770"/>
      <c r="JY281" s="770">
        <v>1</v>
      </c>
      <c r="JZ281" s="770"/>
      <c r="KA281" s="770"/>
      <c r="KB281" s="770">
        <v>2</v>
      </c>
      <c r="KC281" s="770">
        <v>1</v>
      </c>
      <c r="KD281" s="770">
        <v>1</v>
      </c>
      <c r="KE281" s="770"/>
      <c r="KF281" s="770"/>
      <c r="KG281" s="770"/>
      <c r="KH281" s="770"/>
      <c r="KI281" s="770"/>
      <c r="KJ281" s="770">
        <f t="shared" si="86"/>
        <v>3</v>
      </c>
      <c r="KK281" s="770">
        <f t="shared" si="86"/>
        <v>2</v>
      </c>
      <c r="KL281" s="712" t="str">
        <f t="shared" si="84"/>
        <v>ok</v>
      </c>
      <c r="KM281" s="712" t="str">
        <f t="shared" si="85"/>
        <v>ok</v>
      </c>
      <c r="KN281" s="770" t="s">
        <v>722</v>
      </c>
      <c r="KO281" s="770"/>
      <c r="KP281" s="770"/>
      <c r="KQ281" s="770"/>
      <c r="KR281" s="770"/>
      <c r="KS281" s="770"/>
      <c r="KT281" s="770"/>
      <c r="KU281" s="770"/>
      <c r="KV281" s="770"/>
      <c r="KW281" s="770"/>
      <c r="KX281" s="770">
        <v>3</v>
      </c>
      <c r="KY281" s="770"/>
      <c r="KZ281" s="770"/>
      <c r="LA281" s="770"/>
      <c r="LB281" s="770"/>
      <c r="LC281" s="770">
        <v>1</v>
      </c>
      <c r="LD281" s="770"/>
      <c r="LE281" s="770"/>
      <c r="LF281" s="770"/>
      <c r="LG281" s="770"/>
      <c r="LH281" s="770"/>
      <c r="LI281" s="770"/>
      <c r="LJ281" s="770"/>
      <c r="LK281" s="770">
        <v>1</v>
      </c>
      <c r="LL281" s="770"/>
      <c r="LM281" s="770"/>
      <c r="LN281" s="766">
        <f t="shared" si="71"/>
        <v>3</v>
      </c>
      <c r="LO281" s="766">
        <f t="shared" si="71"/>
        <v>2</v>
      </c>
      <c r="LP281" s="770">
        <v>1</v>
      </c>
      <c r="LQ281" s="770">
        <v>1</v>
      </c>
      <c r="LR281" s="770"/>
      <c r="LS281" s="770"/>
      <c r="LT281" s="712" t="str">
        <f t="shared" si="80"/>
        <v>OK</v>
      </c>
      <c r="LU281" s="770">
        <v>1</v>
      </c>
      <c r="LV281" s="770"/>
      <c r="LW281" s="770"/>
      <c r="LX281" s="769">
        <v>2</v>
      </c>
      <c r="LY281" s="766" t="str">
        <f t="shared" si="82"/>
        <v>within the MUNICIPALITY</v>
      </c>
      <c r="LZ281" s="299"/>
      <c r="MA281" s="306"/>
      <c r="MB281" s="306"/>
      <c r="MC281" s="1679">
        <f t="shared" si="70"/>
        <v>0</v>
      </c>
      <c r="MD281" s="306">
        <f>1000+1500</f>
        <v>2500</v>
      </c>
      <c r="ME281" s="306"/>
      <c r="MF281" s="306">
        <v>1500</v>
      </c>
      <c r="MG281" s="1680">
        <f t="shared" si="81"/>
        <v>4000</v>
      </c>
      <c r="MH281" s="770" t="s">
        <v>13413</v>
      </c>
      <c r="MI281" s="302">
        <v>7000</v>
      </c>
      <c r="MJ281" s="302"/>
      <c r="MK281" s="302">
        <v>170</v>
      </c>
      <c r="ML281" s="302">
        <v>1000</v>
      </c>
      <c r="MM281" s="302"/>
      <c r="MN281" s="302"/>
      <c r="MO281" s="302">
        <v>225</v>
      </c>
      <c r="MP281" s="302">
        <v>1800</v>
      </c>
      <c r="MQ281" s="302">
        <v>300</v>
      </c>
      <c r="MR281" s="302">
        <v>1650</v>
      </c>
      <c r="MS281" s="302"/>
      <c r="MT281" s="302"/>
      <c r="MU281" s="302"/>
      <c r="MV281" s="302"/>
      <c r="MW281" s="302"/>
      <c r="MX281" s="302"/>
      <c r="MY281" s="1682">
        <f t="shared" si="74"/>
        <v>12145</v>
      </c>
      <c r="MZ281" s="770" t="s">
        <v>13164</v>
      </c>
      <c r="NA281" s="770" t="s">
        <v>13005</v>
      </c>
      <c r="NB281" s="770" t="s">
        <v>13409</v>
      </c>
      <c r="NC281" s="770" t="s">
        <v>13007</v>
      </c>
      <c r="ND281" s="770">
        <v>0</v>
      </c>
      <c r="NE281" s="770">
        <v>0</v>
      </c>
      <c r="NF281" s="770">
        <v>0</v>
      </c>
      <c r="NG281" s="770">
        <v>3</v>
      </c>
      <c r="NH281" s="770">
        <v>2</v>
      </c>
      <c r="NI281" s="770">
        <v>1</v>
      </c>
      <c r="NJ281" s="770">
        <v>1</v>
      </c>
      <c r="NK281" s="770">
        <v>0</v>
      </c>
      <c r="NL281" s="770">
        <v>0</v>
      </c>
      <c r="NM281" s="770">
        <v>1</v>
      </c>
      <c r="NN281" s="770">
        <v>0</v>
      </c>
      <c r="NO281" s="770">
        <v>0</v>
      </c>
      <c r="NP281" s="770">
        <v>0</v>
      </c>
      <c r="NQ281" s="770">
        <v>0</v>
      </c>
      <c r="NR281" s="770">
        <v>0</v>
      </c>
      <c r="NS281" s="770">
        <v>0</v>
      </c>
      <c r="NT281" s="770">
        <v>0</v>
      </c>
      <c r="NU281" s="770">
        <v>0</v>
      </c>
      <c r="NV281" s="770">
        <v>0</v>
      </c>
      <c r="NW281" s="770">
        <v>0</v>
      </c>
      <c r="NX281" s="770">
        <v>0</v>
      </c>
      <c r="NY281" s="770" t="s">
        <v>1208</v>
      </c>
      <c r="NZ281" s="770" t="s">
        <v>1208</v>
      </c>
      <c r="OA281" s="770" t="s">
        <v>1208</v>
      </c>
      <c r="OB281" s="770" t="s">
        <v>1208</v>
      </c>
      <c r="OC281" s="770" t="s">
        <v>1208</v>
      </c>
      <c r="OD281" s="770" t="s">
        <v>1208</v>
      </c>
      <c r="OE281" s="770"/>
      <c r="OF281" s="770" t="s">
        <v>13220</v>
      </c>
      <c r="OG281" s="770"/>
      <c r="OH281" s="770"/>
      <c r="OI281" s="770"/>
      <c r="OJ281" s="770"/>
      <c r="OK281" s="770" t="s">
        <v>1208</v>
      </c>
      <c r="OL281" s="770" t="s">
        <v>13414</v>
      </c>
      <c r="OM281" s="770" t="s">
        <v>13415</v>
      </c>
      <c r="ON281" s="770"/>
      <c r="OO281" s="770" t="s">
        <v>1214</v>
      </c>
      <c r="OP281" s="770"/>
      <c r="OQ281" s="770"/>
      <c r="OR281" s="770"/>
      <c r="OS281" s="770"/>
      <c r="OT281" s="770"/>
      <c r="OU281" s="770"/>
      <c r="OV281" s="770"/>
      <c r="OW281" s="770"/>
      <c r="OX281" s="770"/>
      <c r="OY281" s="770"/>
      <c r="OZ281" s="770"/>
      <c r="PA281" s="770"/>
      <c r="PB281" s="770"/>
      <c r="PC281" s="770"/>
      <c r="PD281" s="770"/>
      <c r="PE281" s="770"/>
      <c r="PF281" s="770"/>
      <c r="PG281" s="770"/>
      <c r="PH281" s="770"/>
      <c r="PI281" s="770"/>
      <c r="PJ281" s="770"/>
      <c r="PK281" s="770"/>
      <c r="PL281" s="770"/>
      <c r="PM281" s="770"/>
      <c r="PN281" s="770"/>
      <c r="PO281" s="770"/>
      <c r="PP281" s="770"/>
      <c r="PQ281" s="770"/>
      <c r="PR281" s="770"/>
      <c r="PS281" s="770"/>
      <c r="PT281" s="770"/>
      <c r="PU281" s="770"/>
      <c r="PV281" s="770"/>
      <c r="PW281" s="770"/>
      <c r="PX281" s="770"/>
      <c r="PY281" s="770"/>
      <c r="PZ281" s="770"/>
      <c r="QA281" s="770"/>
      <c r="QB281" s="770"/>
      <c r="QC281" s="770"/>
      <c r="QD281" s="770"/>
      <c r="QE281" s="770"/>
      <c r="QF281" s="770"/>
      <c r="QG281" s="770"/>
      <c r="QH281" s="770"/>
      <c r="QI281" s="770"/>
      <c r="QJ281" s="770"/>
      <c r="QK281" s="770"/>
      <c r="QL281" s="770"/>
      <c r="QM281" s="770"/>
      <c r="QN281" s="770"/>
      <c r="QO281" s="770"/>
      <c r="QP281" s="770"/>
      <c r="QQ281" s="770"/>
      <c r="QR281" s="770"/>
      <c r="QS281" s="770"/>
      <c r="QT281" s="770"/>
      <c r="QU281" s="770"/>
      <c r="QV281" s="770"/>
      <c r="QW281" s="770"/>
      <c r="QX281" s="770"/>
      <c r="QY281" s="770"/>
      <c r="QZ281" s="770"/>
      <c r="RA281" s="770"/>
      <c r="RB281" s="770" t="s">
        <v>1214</v>
      </c>
      <c r="RC281" s="770"/>
      <c r="RD281" s="770"/>
      <c r="RE281" s="770"/>
      <c r="RF281" s="304"/>
      <c r="RG281" s="770"/>
      <c r="RH281" s="302"/>
      <c r="RI281" s="770"/>
      <c r="RJ281" s="770" t="s">
        <v>2101</v>
      </c>
      <c r="RK281" s="770" t="s">
        <v>13401</v>
      </c>
      <c r="RL281" s="1710" t="s">
        <v>1604</v>
      </c>
      <c r="RM281" s="12"/>
      <c r="RN281" s="1711"/>
      <c r="RO281" s="140" t="s">
        <v>474</v>
      </c>
      <c r="RP281" s="11"/>
      <c r="RQ281" s="11"/>
      <c r="RR281" s="19" t="s">
        <v>7421</v>
      </c>
      <c r="RS281" s="1139" t="s">
        <v>12980</v>
      </c>
      <c r="RT281" s="11"/>
      <c r="RU281" s="11"/>
      <c r="RV281" s="771" t="s">
        <v>12353</v>
      </c>
      <c r="RW281" s="11" t="s">
        <v>7971</v>
      </c>
      <c r="RX281" s="11" t="s">
        <v>471</v>
      </c>
      <c r="RY281" s="11"/>
      <c r="RZ281" s="11" t="s">
        <v>2209</v>
      </c>
      <c r="SA281" s="771"/>
      <c r="SB281" s="11"/>
      <c r="SC281" s="11"/>
    </row>
    <row r="282" spans="1:497" ht="12.75" customHeight="1">
      <c r="A282" s="311" t="s">
        <v>12452</v>
      </c>
      <c r="B282" s="292" t="s">
        <v>5618</v>
      </c>
      <c r="C282" s="140" t="s">
        <v>474</v>
      </c>
      <c r="D282" s="770" t="s">
        <v>5614</v>
      </c>
      <c r="E282" s="766" t="s">
        <v>5606</v>
      </c>
      <c r="F282" s="770" t="s">
        <v>28</v>
      </c>
      <c r="G282" s="770" t="s">
        <v>10</v>
      </c>
      <c r="H282" s="770"/>
      <c r="I282" s="295"/>
      <c r="J282" s="770" t="s">
        <v>5614</v>
      </c>
      <c r="K282" s="770"/>
      <c r="L282" s="770"/>
      <c r="M282" s="770"/>
      <c r="N282" s="770"/>
      <c r="O282" s="770"/>
      <c r="P282" s="94" t="s">
        <v>5614</v>
      </c>
      <c r="Q282" s="1088"/>
      <c r="R282" s="297"/>
      <c r="S282" s="770" t="s">
        <v>10</v>
      </c>
      <c r="T282" s="770"/>
      <c r="U282" s="298"/>
      <c r="V282" s="770"/>
      <c r="W282" s="770"/>
      <c r="X282" s="296"/>
      <c r="Y282" s="766" t="s">
        <v>5606</v>
      </c>
      <c r="Z282" s="770"/>
      <c r="AA282" s="770"/>
      <c r="AB282" s="770"/>
      <c r="AC282" s="770"/>
      <c r="AD282" s="770"/>
      <c r="AE282" s="770"/>
      <c r="AF282" s="770"/>
      <c r="AG282" s="770"/>
      <c r="AH282" s="770"/>
      <c r="AI282" s="770"/>
      <c r="AJ282" s="770"/>
      <c r="AK282" s="770" t="s">
        <v>1101</v>
      </c>
      <c r="AL282" s="299"/>
      <c r="AM282" s="300"/>
      <c r="AN282" s="301"/>
      <c r="AO282" s="766"/>
      <c r="AP282" s="766"/>
      <c r="AQ282" s="766"/>
      <c r="AR282" s="766"/>
      <c r="AS282" s="770"/>
      <c r="AT282" s="770"/>
      <c r="AU282" s="770"/>
      <c r="AV282" s="770"/>
      <c r="AW282" s="770"/>
      <c r="AX282" s="770"/>
      <c r="AY282" s="770"/>
      <c r="AZ282" s="770"/>
      <c r="BA282" s="770"/>
      <c r="BB282" s="770"/>
      <c r="BC282" s="770"/>
      <c r="BD282" s="770"/>
      <c r="BE282" s="770"/>
      <c r="BF282" s="302"/>
      <c r="BG282" s="302"/>
      <c r="BH282" s="770"/>
      <c r="BI282" s="770"/>
      <c r="BJ282" s="770"/>
      <c r="BK282" s="770"/>
      <c r="BL282" s="766"/>
      <c r="BM282" s="766" t="s">
        <v>1238</v>
      </c>
      <c r="BN282" s="766" t="s">
        <v>1256</v>
      </c>
      <c r="BO282" s="770"/>
      <c r="BP282" s="780"/>
      <c r="BQ282" s="772"/>
      <c r="BR282" s="774"/>
      <c r="BS282" s="766" t="s">
        <v>1242</v>
      </c>
      <c r="BT282" s="766"/>
      <c r="BU282" s="766"/>
      <c r="BV282" s="766"/>
      <c r="BW282" s="766"/>
      <c r="BX282" s="775"/>
      <c r="BY282" s="779"/>
      <c r="BZ282" s="766"/>
      <c r="CA282" s="775"/>
      <c r="CB282" s="775"/>
      <c r="CC282" s="766"/>
      <c r="CD282" s="770"/>
      <c r="CE282" s="770"/>
      <c r="CF282" s="766"/>
      <c r="CG282" s="770"/>
      <c r="CH282" s="770"/>
      <c r="CI282" s="770"/>
      <c r="CJ282" s="770"/>
      <c r="CK282" s="770"/>
      <c r="CL282" s="770"/>
      <c r="CM282" s="770"/>
      <c r="CN282" s="770"/>
      <c r="CO282" s="770"/>
      <c r="CP282" s="770"/>
      <c r="CQ282" s="770"/>
      <c r="CR282" s="302"/>
      <c r="CS282" s="770"/>
      <c r="CT282" s="770"/>
      <c r="CU282" s="305"/>
      <c r="CV282" s="770"/>
      <c r="CW282" s="770"/>
      <c r="CX282" s="770"/>
      <c r="CY282" s="770"/>
      <c r="CZ282" s="770"/>
      <c r="DA282" s="770"/>
      <c r="DB282" s="770"/>
      <c r="DC282" s="770"/>
      <c r="DD282" s="770"/>
      <c r="DE282" s="770"/>
      <c r="DF282" s="770"/>
      <c r="DG282" s="770"/>
      <c r="DH282" s="770"/>
      <c r="DI282" s="770"/>
      <c r="DJ282" s="770"/>
      <c r="DK282" s="770"/>
      <c r="DL282" s="770"/>
      <c r="DM282" s="770"/>
      <c r="DN282" s="770"/>
      <c r="DO282" s="770"/>
      <c r="DP282" s="770"/>
      <c r="DQ282" s="770"/>
      <c r="DR282" s="770"/>
      <c r="DS282" s="307"/>
      <c r="DT282" s="770"/>
      <c r="DU282" s="770"/>
      <c r="DV282" s="770"/>
      <c r="DW282" s="306"/>
      <c r="DX282" s="306"/>
      <c r="DY282" s="770"/>
      <c r="DZ282" s="770"/>
      <c r="EA282" s="770"/>
      <c r="EB282" s="770"/>
      <c r="EC282" s="770"/>
      <c r="ED282" s="770"/>
      <c r="EE282" s="770"/>
      <c r="EF282" s="770"/>
      <c r="EG282" s="770"/>
      <c r="EH282" s="770"/>
      <c r="EI282" s="770"/>
      <c r="EJ282" s="770"/>
      <c r="EK282" s="770"/>
      <c r="EL282" s="770"/>
      <c r="EM282" s="770"/>
      <c r="EN282" s="770"/>
      <c r="EO282" s="770"/>
      <c r="EP282" s="770"/>
      <c r="EQ282" s="770"/>
      <c r="ER282" s="770"/>
      <c r="ES282" s="770"/>
      <c r="ET282" s="770"/>
      <c r="EU282" s="770"/>
      <c r="EV282" s="770"/>
      <c r="EW282" s="770"/>
      <c r="EX282" s="770"/>
      <c r="EY282" s="770"/>
      <c r="EZ282" s="770"/>
      <c r="FA282" s="770"/>
      <c r="FB282" s="770"/>
      <c r="FC282" s="770"/>
      <c r="FD282" s="302"/>
      <c r="FE282" s="770"/>
      <c r="FF282" s="770"/>
      <c r="FG282" s="770"/>
      <c r="FH282" s="770" t="s">
        <v>1306</v>
      </c>
      <c r="FI282" s="770">
        <v>1</v>
      </c>
      <c r="FJ282" s="770" t="s">
        <v>2101</v>
      </c>
      <c r="FK282" s="770" t="s">
        <v>1637</v>
      </c>
      <c r="FL282" s="770" t="s">
        <v>978</v>
      </c>
      <c r="FM282" s="147">
        <v>1500</v>
      </c>
      <c r="FN282" s="302">
        <v>800</v>
      </c>
      <c r="FO282" s="302">
        <v>800</v>
      </c>
      <c r="FP282" s="766" t="s">
        <v>1600</v>
      </c>
      <c r="FQ282" s="766" t="s">
        <v>1642</v>
      </c>
      <c r="FR282" s="770"/>
      <c r="FS282" s="770"/>
      <c r="FT282" s="770"/>
      <c r="FU282" s="770"/>
      <c r="FV282" s="770"/>
      <c r="FW282" s="770"/>
      <c r="FX282" s="770"/>
      <c r="FY282" s="770"/>
      <c r="FZ282" s="770"/>
      <c r="GA282" s="770"/>
      <c r="GB282" s="770"/>
      <c r="GC282" s="308"/>
      <c r="GD282" s="297"/>
      <c r="GE282" s="770"/>
      <c r="GF282" s="302"/>
      <c r="GG282" s="302"/>
      <c r="GH282" s="770"/>
      <c r="GI282" s="770"/>
      <c r="GJ282" s="770"/>
      <c r="GK282" s="770"/>
      <c r="GL282" s="770"/>
      <c r="GM282" s="770"/>
      <c r="GN282" s="309"/>
      <c r="GO282" s="770"/>
      <c r="GP282" s="770"/>
      <c r="GQ282" s="770"/>
      <c r="GR282" s="770"/>
      <c r="GS282" s="770"/>
      <c r="GT282" s="770"/>
      <c r="GU282" s="770"/>
      <c r="GV282" s="770"/>
      <c r="GW282" s="770"/>
      <c r="GX282" s="770"/>
      <c r="GY282" s="770"/>
      <c r="GZ282" s="770"/>
      <c r="HA282" s="770"/>
      <c r="HB282" s="770"/>
      <c r="HC282" s="770"/>
      <c r="HD282" s="770"/>
      <c r="HE282" s="770"/>
      <c r="HF282" s="770"/>
      <c r="HG282" s="770"/>
      <c r="HH282" s="770"/>
      <c r="HI282" s="770"/>
      <c r="HJ282" s="770"/>
      <c r="HK282" s="770"/>
      <c r="HL282" s="770"/>
      <c r="HM282" s="770"/>
      <c r="HN282" s="770"/>
      <c r="HO282" s="770"/>
      <c r="HP282" s="770"/>
      <c r="HQ282" s="770"/>
      <c r="HR282" s="770"/>
      <c r="HS282" s="770"/>
      <c r="HT282" s="770"/>
      <c r="HU282" s="770"/>
      <c r="HV282" s="770"/>
      <c r="HW282" s="770"/>
      <c r="HX282" s="770"/>
      <c r="HY282" s="770"/>
      <c r="HZ282" s="770"/>
      <c r="IA282" s="770"/>
      <c r="IB282" s="14" t="e">
        <f>IF(#REF!&gt;0,IF(#REF!&lt;=10000,"Y",""),"")</f>
        <v>#REF!</v>
      </c>
      <c r="IC282" s="770"/>
      <c r="ID282" s="770"/>
      <c r="IE282" s="770"/>
      <c r="IF282" s="770"/>
      <c r="IG282" s="770"/>
      <c r="IH282" s="770"/>
      <c r="II282" s="770"/>
      <c r="IJ282" s="770"/>
      <c r="IK282" s="770"/>
      <c r="IL282" s="770"/>
      <c r="IM282" s="770"/>
      <c r="IN282" s="770"/>
      <c r="IO282" s="296"/>
      <c r="IP282" s="770"/>
      <c r="IQ282" s="770"/>
      <c r="IR282" s="770"/>
      <c r="IS282" s="770"/>
      <c r="IT282" s="770"/>
      <c r="IU282" s="770"/>
      <c r="IV282" s="770"/>
      <c r="IW282" s="770"/>
      <c r="IX282" s="770"/>
      <c r="IY282" s="770"/>
      <c r="IZ282" s="770"/>
      <c r="JA282" s="770"/>
      <c r="JB282" s="770"/>
      <c r="JC282" s="770"/>
      <c r="JD282" s="302"/>
      <c r="JE282" s="770"/>
      <c r="JF282" s="770"/>
      <c r="JG282" s="770"/>
      <c r="JH282" s="770"/>
      <c r="JI282" s="712" t="str">
        <f t="shared" si="75"/>
        <v>ok</v>
      </c>
      <c r="JJ282" s="770">
        <v>3</v>
      </c>
      <c r="JK282" s="1139" t="s">
        <v>5617</v>
      </c>
      <c r="JL282" s="766"/>
      <c r="JM282" s="766">
        <v>1</v>
      </c>
      <c r="JN282" s="766"/>
      <c r="JO282" s="766"/>
      <c r="JP282" s="766"/>
      <c r="JQ282" s="766"/>
      <c r="JR282" s="766">
        <v>1</v>
      </c>
      <c r="JS282" s="766">
        <v>1</v>
      </c>
      <c r="JT282" s="766">
        <f t="shared" si="88"/>
        <v>1</v>
      </c>
      <c r="JU282" s="766">
        <f t="shared" si="88"/>
        <v>2</v>
      </c>
      <c r="JV282" s="712" t="str">
        <f t="shared" si="76"/>
        <v>ok</v>
      </c>
      <c r="JW282" s="712" t="str">
        <f t="shared" si="77"/>
        <v>ok</v>
      </c>
      <c r="JX282" s="766"/>
      <c r="JY282" s="766">
        <v>1</v>
      </c>
      <c r="JZ282" s="766"/>
      <c r="KA282" s="766"/>
      <c r="KB282" s="766"/>
      <c r="KC282" s="766"/>
      <c r="KD282" s="766"/>
      <c r="KE282" s="766"/>
      <c r="KF282" s="766"/>
      <c r="KG282" s="766"/>
      <c r="KH282" s="766">
        <v>1</v>
      </c>
      <c r="KI282" s="766">
        <v>1</v>
      </c>
      <c r="KJ282" s="770">
        <f t="shared" si="86"/>
        <v>1</v>
      </c>
      <c r="KK282" s="770">
        <f t="shared" si="86"/>
        <v>2</v>
      </c>
      <c r="KL282" s="712" t="str">
        <f t="shared" si="84"/>
        <v>ok</v>
      </c>
      <c r="KM282" s="712" t="str">
        <f t="shared" si="85"/>
        <v>ok</v>
      </c>
      <c r="KN282" s="770" t="s">
        <v>722</v>
      </c>
      <c r="KO282" s="770"/>
      <c r="KP282" s="770"/>
      <c r="KQ282" s="770"/>
      <c r="KR282" s="770"/>
      <c r="KS282" s="770"/>
      <c r="KT282" s="770"/>
      <c r="KU282" s="770"/>
      <c r="KV282" s="770"/>
      <c r="KW282" s="770"/>
      <c r="KX282" s="770"/>
      <c r="KY282" s="770"/>
      <c r="KZ282" s="770"/>
      <c r="LA282" s="770"/>
      <c r="LB282" s="770"/>
      <c r="LC282" s="770"/>
      <c r="LD282" s="770"/>
      <c r="LE282" s="770"/>
      <c r="LF282" s="770"/>
      <c r="LG282" s="770"/>
      <c r="LH282" s="770"/>
      <c r="LI282" s="770"/>
      <c r="LJ282" s="770"/>
      <c r="LK282" s="770">
        <v>1</v>
      </c>
      <c r="LL282" s="770">
        <v>1</v>
      </c>
      <c r="LM282" s="770">
        <v>1</v>
      </c>
      <c r="LN282" s="766">
        <f>SUM(KP282,KR282,KT282,KV282,KX282,KZ282,LB282,LD282,LF282,LH282,LJ282,LL282)</f>
        <v>1</v>
      </c>
      <c r="LO282" s="766">
        <f>SUM(KQ282,KS282,KU282,KW282,KY282,LA282,LC282,LE282,LG282,LI282,LK282,LM282)</f>
        <v>2</v>
      </c>
      <c r="LP282" s="770"/>
      <c r="LQ282" s="770"/>
      <c r="LR282" s="770"/>
      <c r="LS282" s="770"/>
      <c r="LT282" s="712" t="str">
        <f t="shared" si="80"/>
        <v>OK</v>
      </c>
      <c r="LU282" s="770"/>
      <c r="LV282" s="770"/>
      <c r="LW282" s="770"/>
      <c r="LX282" s="769"/>
      <c r="LY282" s="766" t="str">
        <f t="shared" si="82"/>
        <v/>
      </c>
      <c r="LZ282" s="299"/>
      <c r="MA282" s="1709"/>
      <c r="MB282" s="1709"/>
      <c r="MC282" s="1679">
        <f t="shared" si="70"/>
        <v>0</v>
      </c>
      <c r="MD282" s="1709"/>
      <c r="ME282" s="1709"/>
      <c r="MF282" s="1709"/>
      <c r="MG282" s="1680">
        <v>0</v>
      </c>
      <c r="MH282" s="770"/>
      <c r="MI282" s="302"/>
      <c r="MJ282" s="302"/>
      <c r="MK282" s="302"/>
      <c r="ML282" s="302"/>
      <c r="MM282" s="302"/>
      <c r="MN282" s="302"/>
      <c r="MO282" s="302"/>
      <c r="MP282" s="302"/>
      <c r="MQ282" s="302"/>
      <c r="MR282" s="302"/>
      <c r="MS282" s="302"/>
      <c r="MT282" s="302"/>
      <c r="MU282" s="302"/>
      <c r="MV282" s="302"/>
      <c r="MW282" s="302"/>
      <c r="MX282" s="302"/>
      <c r="MY282" s="1682"/>
      <c r="MZ282" s="770" t="s">
        <v>13164</v>
      </c>
      <c r="NA282" s="770" t="s">
        <v>1835</v>
      </c>
      <c r="NB282" s="770" t="s">
        <v>13164</v>
      </c>
      <c r="NC282" s="770" t="s">
        <v>13135</v>
      </c>
      <c r="ND282" s="770">
        <v>0</v>
      </c>
      <c r="NE282" s="770">
        <v>0</v>
      </c>
      <c r="NF282" s="770">
        <v>0</v>
      </c>
      <c r="NG282" s="770">
        <v>1</v>
      </c>
      <c r="NH282" s="770">
        <v>0</v>
      </c>
      <c r="NI282" s="770">
        <v>0</v>
      </c>
      <c r="NJ282" s="770">
        <v>0</v>
      </c>
      <c r="NK282" s="770">
        <v>0</v>
      </c>
      <c r="NL282" s="770">
        <v>0</v>
      </c>
      <c r="NM282" s="770">
        <v>0</v>
      </c>
      <c r="NN282" s="770">
        <v>0</v>
      </c>
      <c r="NO282" s="770">
        <v>0</v>
      </c>
      <c r="NP282" s="770">
        <v>0</v>
      </c>
      <c r="NQ282" s="770">
        <v>0</v>
      </c>
      <c r="NR282" s="770">
        <v>0</v>
      </c>
      <c r="NS282" s="770">
        <v>0</v>
      </c>
      <c r="NT282" s="770">
        <v>0</v>
      </c>
      <c r="NU282" s="770">
        <v>0</v>
      </c>
      <c r="NV282" s="770">
        <v>0</v>
      </c>
      <c r="NW282" s="770">
        <v>0</v>
      </c>
      <c r="NX282" s="770">
        <v>0</v>
      </c>
      <c r="NY282" s="770" t="s">
        <v>1208</v>
      </c>
      <c r="NZ282" s="770"/>
      <c r="OA282" s="770" t="s">
        <v>1208</v>
      </c>
      <c r="OB282" s="770" t="s">
        <v>1208</v>
      </c>
      <c r="OC282" s="770"/>
      <c r="OD282" s="770"/>
      <c r="OE282" s="770"/>
      <c r="OF282" s="770"/>
      <c r="OG282" s="770"/>
      <c r="OH282" s="770"/>
      <c r="OI282" s="770"/>
      <c r="OJ282" s="770"/>
      <c r="OK282" s="770"/>
      <c r="OL282" s="770"/>
      <c r="OM282" s="770"/>
      <c r="ON282" s="770"/>
      <c r="OO282" s="770"/>
      <c r="OP282" s="770"/>
      <c r="OQ282" s="770"/>
      <c r="OR282" s="770"/>
      <c r="OS282" s="770"/>
      <c r="OT282" s="770"/>
      <c r="OU282" s="770"/>
      <c r="OV282" s="770"/>
      <c r="OW282" s="770"/>
      <c r="OX282" s="770"/>
      <c r="OY282" s="770"/>
      <c r="OZ282" s="770"/>
      <c r="PA282" s="770"/>
      <c r="PB282" s="770"/>
      <c r="PC282" s="770"/>
      <c r="PD282" s="770"/>
      <c r="PE282" s="770"/>
      <c r="PF282" s="770"/>
      <c r="PG282" s="770"/>
      <c r="PH282" s="770"/>
      <c r="PI282" s="770"/>
      <c r="PJ282" s="770"/>
      <c r="PK282" s="770"/>
      <c r="PL282" s="770"/>
      <c r="PM282" s="770"/>
      <c r="PN282" s="770"/>
      <c r="PO282" s="770"/>
      <c r="PP282" s="770"/>
      <c r="PQ282" s="770"/>
      <c r="PR282" s="770"/>
      <c r="PS282" s="770"/>
      <c r="PT282" s="770"/>
      <c r="PU282" s="770"/>
      <c r="PV282" s="770"/>
      <c r="PW282" s="770"/>
      <c r="PX282" s="770"/>
      <c r="PY282" s="770"/>
      <c r="PZ282" s="770"/>
      <c r="QA282" s="770"/>
      <c r="QB282" s="770"/>
      <c r="QC282" s="770"/>
      <c r="QD282" s="770"/>
      <c r="QE282" s="770"/>
      <c r="QF282" s="770"/>
      <c r="QG282" s="770"/>
      <c r="QH282" s="770"/>
      <c r="QI282" s="770"/>
      <c r="QJ282" s="770"/>
      <c r="QK282" s="770"/>
      <c r="QL282" s="770"/>
      <c r="QM282" s="770"/>
      <c r="QN282" s="770"/>
      <c r="QO282" s="770"/>
      <c r="QP282" s="770"/>
      <c r="QQ282" s="770"/>
      <c r="QR282" s="770"/>
      <c r="QS282" s="770"/>
      <c r="QT282" s="770"/>
      <c r="QU282" s="770"/>
      <c r="QV282" s="770"/>
      <c r="QW282" s="770"/>
      <c r="QX282" s="770"/>
      <c r="QY282" s="770"/>
      <c r="QZ282" s="770"/>
      <c r="RA282" s="770"/>
      <c r="RB282" s="770" t="s">
        <v>1207</v>
      </c>
      <c r="RC282" s="770" t="s">
        <v>1212</v>
      </c>
      <c r="RD282" s="770" t="s">
        <v>13416</v>
      </c>
      <c r="RE282" s="770" t="s">
        <v>13008</v>
      </c>
      <c r="RF282" s="304">
        <f>CONVERT(3,"in","m")</f>
        <v>7.6200000000000004E-2</v>
      </c>
      <c r="RG282" s="770" t="s">
        <v>13037</v>
      </c>
      <c r="RH282" s="302">
        <v>0</v>
      </c>
      <c r="RI282" s="770">
        <v>1</v>
      </c>
      <c r="RJ282" s="770" t="s">
        <v>13417</v>
      </c>
      <c r="RK282" s="770" t="s">
        <v>13381</v>
      </c>
      <c r="RL282" s="1710" t="s">
        <v>1604</v>
      </c>
      <c r="RM282" s="12"/>
      <c r="RN282" s="1711"/>
      <c r="RO282" s="140" t="s">
        <v>474</v>
      </c>
      <c r="RP282" s="11"/>
      <c r="RQ282" s="11"/>
      <c r="RR282" s="311" t="s">
        <v>12452</v>
      </c>
      <c r="RS282" s="1139" t="s">
        <v>12980</v>
      </c>
      <c r="RT282" s="11"/>
      <c r="RU282" s="11"/>
      <c r="RV282" s="771" t="s">
        <v>12353</v>
      </c>
      <c r="RW282" s="11" t="s">
        <v>7971</v>
      </c>
      <c r="RX282" s="11" t="s">
        <v>471</v>
      </c>
      <c r="RY282" s="11"/>
      <c r="RZ282" s="11"/>
      <c r="SA282" s="771"/>
      <c r="SB282" s="11"/>
      <c r="SC282" s="11"/>
    </row>
    <row r="283" spans="1:497" ht="12.75" customHeight="1">
      <c r="A283" s="767" t="s">
        <v>7421</v>
      </c>
      <c r="B283" s="292" t="s">
        <v>11856</v>
      </c>
      <c r="C283" s="140" t="s">
        <v>477</v>
      </c>
      <c r="D283" s="766" t="s">
        <v>5620</v>
      </c>
      <c r="E283" s="766" t="s">
        <v>5606</v>
      </c>
      <c r="F283" s="766" t="s">
        <v>5621</v>
      </c>
      <c r="G283" s="766" t="s">
        <v>18</v>
      </c>
      <c r="H283" s="766"/>
      <c r="I283" s="5"/>
      <c r="J283" s="766" t="s">
        <v>11369</v>
      </c>
      <c r="K283" s="766"/>
      <c r="L283" s="766"/>
      <c r="M283" s="766"/>
      <c r="N283" s="766"/>
      <c r="O283" s="766"/>
      <c r="P283" s="14" t="s">
        <v>11368</v>
      </c>
      <c r="Q283" s="1085">
        <v>28405</v>
      </c>
      <c r="R283" s="25">
        <v>40</v>
      </c>
      <c r="S283" s="770" t="s">
        <v>10</v>
      </c>
      <c r="T283" s="766"/>
      <c r="U283" s="1820" t="s">
        <v>11370</v>
      </c>
      <c r="V283" s="766" t="s">
        <v>722</v>
      </c>
      <c r="W283" s="766"/>
      <c r="X283" s="24"/>
      <c r="Y283" s="766" t="s">
        <v>5606</v>
      </c>
      <c r="Z283" s="766"/>
      <c r="AA283" s="766"/>
      <c r="AB283" s="766"/>
      <c r="AC283" s="766"/>
      <c r="AD283" s="766"/>
      <c r="AE283" s="766"/>
      <c r="AF283" s="766"/>
      <c r="AG283" s="766" t="s">
        <v>1132</v>
      </c>
      <c r="AH283" s="766" t="s">
        <v>1096</v>
      </c>
      <c r="AI283" s="766"/>
      <c r="AJ283" s="766" t="s">
        <v>1137</v>
      </c>
      <c r="AK283" s="770" t="s">
        <v>1101</v>
      </c>
      <c r="AL283" s="121"/>
      <c r="AM283" s="772"/>
      <c r="AN283" s="774"/>
      <c r="AO283" s="766" t="s">
        <v>1149</v>
      </c>
      <c r="AP283" s="766"/>
      <c r="AQ283" s="766"/>
      <c r="AR283" s="766"/>
      <c r="AS283" s="766"/>
      <c r="AT283" s="766"/>
      <c r="AU283" s="766"/>
      <c r="AV283" s="766"/>
      <c r="AW283" s="766"/>
      <c r="AX283" s="766"/>
      <c r="AY283" s="766"/>
      <c r="AZ283" s="766"/>
      <c r="BA283" s="766"/>
      <c r="BB283" s="766"/>
      <c r="BC283" s="766"/>
      <c r="BD283" s="766"/>
      <c r="BE283" s="766"/>
      <c r="BF283" s="775"/>
      <c r="BG283" s="775"/>
      <c r="BH283" s="766"/>
      <c r="BI283" s="766"/>
      <c r="BJ283" s="766"/>
      <c r="BK283" s="766" t="s">
        <v>1095</v>
      </c>
      <c r="BL283" s="766" t="s">
        <v>11369</v>
      </c>
      <c r="BM283" s="766" t="s">
        <v>1096</v>
      </c>
      <c r="BN283" s="766" t="s">
        <v>1230</v>
      </c>
      <c r="BO283" s="766" t="s">
        <v>1246</v>
      </c>
      <c r="BP283" s="1111">
        <v>6</v>
      </c>
      <c r="BQ283" s="772">
        <v>6</v>
      </c>
      <c r="BR283" s="774">
        <f>BQ283/BP283</f>
        <v>1</v>
      </c>
      <c r="BS283" s="766" t="s">
        <v>1257</v>
      </c>
      <c r="BT283" s="766"/>
      <c r="BU283" s="766"/>
      <c r="BV283" s="766"/>
      <c r="BW283" s="766"/>
      <c r="BX283" s="775"/>
      <c r="BY283" s="779"/>
      <c r="BZ283" s="766"/>
      <c r="CA283" s="775"/>
      <c r="CB283" s="775"/>
      <c r="CC283" s="766"/>
      <c r="CD283" s="766"/>
      <c r="CE283" s="766"/>
      <c r="CF283" s="766"/>
      <c r="CG283" s="766"/>
      <c r="CH283" s="766"/>
      <c r="CI283" s="766"/>
      <c r="CJ283" s="766"/>
      <c r="CK283" s="766"/>
      <c r="CL283" s="766"/>
      <c r="CM283" s="766"/>
      <c r="CN283" s="766"/>
      <c r="CO283" s="766"/>
      <c r="CP283" s="766"/>
      <c r="CQ283" s="766"/>
      <c r="CR283" s="766"/>
      <c r="CS283" s="775"/>
      <c r="CT283" s="766"/>
      <c r="CU283" s="129"/>
      <c r="CV283" s="766"/>
      <c r="CW283" s="766"/>
      <c r="CX283" s="766"/>
      <c r="CY283" s="766"/>
      <c r="CZ283" s="766"/>
      <c r="DA283" s="766"/>
      <c r="DB283" s="766"/>
      <c r="DC283" s="766"/>
      <c r="DD283" s="766"/>
      <c r="DE283" s="766"/>
      <c r="DF283" s="766"/>
      <c r="DG283" s="766"/>
      <c r="DH283" s="766"/>
      <c r="DI283" s="766"/>
      <c r="DJ283" s="766"/>
      <c r="DK283" s="766"/>
      <c r="DL283" s="766"/>
      <c r="DM283" s="766"/>
      <c r="DN283" s="766"/>
      <c r="DO283" s="766"/>
      <c r="DP283" s="766"/>
      <c r="DQ283" s="766"/>
      <c r="DR283" s="766"/>
      <c r="DS283" s="59"/>
      <c r="DT283" s="766"/>
      <c r="DU283" s="766"/>
      <c r="DV283" s="766"/>
      <c r="DW283" s="66"/>
      <c r="DX283" s="66"/>
      <c r="DY283" s="766"/>
      <c r="DZ283" s="766"/>
      <c r="EA283" s="766"/>
      <c r="EB283" s="766"/>
      <c r="EC283" s="766"/>
      <c r="ED283" s="766"/>
      <c r="EE283" s="766"/>
      <c r="EF283" s="766"/>
      <c r="EG283" s="766"/>
      <c r="EH283" s="766"/>
      <c r="EI283" s="766"/>
      <c r="EJ283" s="766"/>
      <c r="EK283" s="766"/>
      <c r="EL283" s="766"/>
      <c r="EM283" s="766"/>
      <c r="EN283" s="766"/>
      <c r="EO283" s="766"/>
      <c r="EP283" s="766"/>
      <c r="EQ283" s="766"/>
      <c r="ER283" s="766"/>
      <c r="ES283" s="766"/>
      <c r="ET283" s="766"/>
      <c r="EU283" s="766"/>
      <c r="EV283" s="766"/>
      <c r="EW283" s="766"/>
      <c r="EX283" s="766"/>
      <c r="EY283" s="766"/>
      <c r="EZ283" s="766"/>
      <c r="FA283" s="766"/>
      <c r="FB283" s="766"/>
      <c r="FC283" s="766"/>
      <c r="FD283" s="775"/>
      <c r="FE283" s="766"/>
      <c r="FF283" s="766"/>
      <c r="FG283" s="766"/>
      <c r="FH283" s="766" t="s">
        <v>1306</v>
      </c>
      <c r="FI283" s="766">
        <v>1</v>
      </c>
      <c r="FJ283" s="766" t="s">
        <v>11739</v>
      </c>
      <c r="FK283" s="766"/>
      <c r="FL283" s="766" t="s">
        <v>1638</v>
      </c>
      <c r="FM283" s="147">
        <v>1000</v>
      </c>
      <c r="FN283" s="775">
        <v>600</v>
      </c>
      <c r="FO283" s="775">
        <v>400</v>
      </c>
      <c r="FP283" s="766" t="s">
        <v>1602</v>
      </c>
      <c r="FQ283" s="766" t="s">
        <v>1660</v>
      </c>
      <c r="FR283" s="766"/>
      <c r="FS283" s="766"/>
      <c r="FT283" s="766"/>
      <c r="FU283" s="766"/>
      <c r="FV283" s="766"/>
      <c r="FW283" s="766"/>
      <c r="FX283" s="766"/>
      <c r="FY283" s="766"/>
      <c r="FZ283" s="766"/>
      <c r="GA283" s="766"/>
      <c r="GB283" s="766"/>
      <c r="GC283" s="75"/>
      <c r="GD283" s="25"/>
      <c r="GE283" s="766"/>
      <c r="GF283" s="775"/>
      <c r="GG283" s="775"/>
      <c r="GH283" s="712" t="s">
        <v>1791</v>
      </c>
      <c r="GI283" s="766" t="s">
        <v>2352</v>
      </c>
      <c r="GJ283" s="766" t="s">
        <v>11372</v>
      </c>
      <c r="GK283" s="770" t="s">
        <v>2345</v>
      </c>
      <c r="GL283" s="766"/>
      <c r="GM283" s="766"/>
      <c r="GN283" s="82">
        <v>300</v>
      </c>
      <c r="GO283" s="766" t="s">
        <v>11373</v>
      </c>
      <c r="GP283" s="766" t="s">
        <v>1208</v>
      </c>
      <c r="GQ283" s="766" t="s">
        <v>1208</v>
      </c>
      <c r="GR283" s="766" t="s">
        <v>1208</v>
      </c>
      <c r="GS283" s="766" t="s">
        <v>1208</v>
      </c>
      <c r="GT283" s="766" t="s">
        <v>1208</v>
      </c>
      <c r="GU283" s="766" t="s">
        <v>1208</v>
      </c>
      <c r="GV283" s="766" t="s">
        <v>1208</v>
      </c>
      <c r="GW283" s="766" t="s">
        <v>1207</v>
      </c>
      <c r="GX283" s="766"/>
      <c r="GY283" s="766" t="s">
        <v>1208</v>
      </c>
      <c r="GZ283" s="766" t="s">
        <v>1208</v>
      </c>
      <c r="HA283" s="766" t="s">
        <v>1208</v>
      </c>
      <c r="HB283" s="766" t="s">
        <v>1208</v>
      </c>
      <c r="HC283" s="766" t="s">
        <v>1208</v>
      </c>
      <c r="HD283" s="766" t="s">
        <v>1208</v>
      </c>
      <c r="HE283" s="766" t="s">
        <v>1208</v>
      </c>
      <c r="HF283" s="766"/>
      <c r="HG283" s="766"/>
      <c r="HH283" s="766"/>
      <c r="HI283" s="766" t="s">
        <v>1214</v>
      </c>
      <c r="HJ283" s="766"/>
      <c r="HK283" s="766"/>
      <c r="HL283" s="766"/>
      <c r="HM283" s="766"/>
      <c r="HN283" s="766"/>
      <c r="HO283" s="766"/>
      <c r="HP283" s="766"/>
      <c r="HQ283" s="766"/>
      <c r="HR283" s="766"/>
      <c r="HS283" s="766"/>
      <c r="HT283" s="766"/>
      <c r="HU283" s="766"/>
      <c r="HV283" s="766"/>
      <c r="HW283" s="766"/>
      <c r="HX283" s="766"/>
      <c r="HY283" s="766"/>
      <c r="HZ283" s="766"/>
      <c r="IA283" s="766"/>
      <c r="IB283" s="14" t="e">
        <f>IF(#REF!&gt;0,IF(#REF!&lt;=10000,"Y",""),"")</f>
        <v>#REF!</v>
      </c>
      <c r="IC283" s="766"/>
      <c r="ID283" s="766"/>
      <c r="IE283" s="766"/>
      <c r="IF283" s="766"/>
      <c r="IG283" s="766"/>
      <c r="IH283" s="766"/>
      <c r="II283" s="766"/>
      <c r="IJ283" s="766"/>
      <c r="IK283" s="766"/>
      <c r="IL283" s="761"/>
      <c r="IM283" s="766"/>
      <c r="IN283" s="766"/>
      <c r="IO283" s="24"/>
      <c r="IP283" s="766"/>
      <c r="IQ283" s="766"/>
      <c r="IR283" s="766"/>
      <c r="IS283" s="766"/>
      <c r="IT283" s="766"/>
      <c r="IU283" s="766"/>
      <c r="IV283" s="766"/>
      <c r="IW283" s="766"/>
      <c r="IX283" s="766"/>
      <c r="IY283" s="766"/>
      <c r="IZ283" s="766"/>
      <c r="JA283" s="766"/>
      <c r="JB283" s="770"/>
      <c r="JC283" s="766"/>
      <c r="JD283" s="775"/>
      <c r="JE283" s="766"/>
      <c r="JF283" s="766"/>
      <c r="JG283" s="766"/>
      <c r="JH283" s="766"/>
      <c r="JI283" s="712" t="str">
        <f t="shared" si="75"/>
        <v>ok</v>
      </c>
      <c r="JJ283" s="766">
        <v>5</v>
      </c>
      <c r="JK283" s="1139" t="s">
        <v>11371</v>
      </c>
      <c r="JL283" s="766">
        <v>2</v>
      </c>
      <c r="JM283" s="766">
        <v>1</v>
      </c>
      <c r="JN283" s="766">
        <v>1</v>
      </c>
      <c r="JO283" s="766">
        <v>1</v>
      </c>
      <c r="JP283" s="766"/>
      <c r="JQ283" s="766"/>
      <c r="JR283" s="766"/>
      <c r="JS283" s="766"/>
      <c r="JT283" s="766">
        <f t="shared" si="88"/>
        <v>3</v>
      </c>
      <c r="JU283" s="766">
        <f t="shared" si="88"/>
        <v>2</v>
      </c>
      <c r="JV283" s="712" t="str">
        <f t="shared" si="76"/>
        <v>ok</v>
      </c>
      <c r="JW283" s="712" t="str">
        <f t="shared" si="77"/>
        <v>ok</v>
      </c>
      <c r="JX283" s="766">
        <v>2</v>
      </c>
      <c r="JY283" s="766"/>
      <c r="JZ283" s="766"/>
      <c r="KA283" s="766">
        <v>1</v>
      </c>
      <c r="KB283" s="766"/>
      <c r="KC283" s="766"/>
      <c r="KD283" s="766">
        <v>1</v>
      </c>
      <c r="KE283" s="766">
        <v>1</v>
      </c>
      <c r="KF283" s="766"/>
      <c r="KG283" s="766"/>
      <c r="KH283" s="766"/>
      <c r="KI283" s="766"/>
      <c r="KJ283" s="770">
        <f t="shared" si="86"/>
        <v>3</v>
      </c>
      <c r="KK283" s="770">
        <f t="shared" si="86"/>
        <v>2</v>
      </c>
      <c r="KL283" s="712" t="str">
        <f t="shared" si="84"/>
        <v>ok</v>
      </c>
      <c r="KM283" s="712" t="str">
        <f t="shared" si="85"/>
        <v>ok</v>
      </c>
      <c r="KN283" s="766" t="s">
        <v>722</v>
      </c>
      <c r="KO283" s="766"/>
      <c r="KP283" s="766"/>
      <c r="KQ283" s="766"/>
      <c r="KR283" s="766"/>
      <c r="KS283" s="766"/>
      <c r="KT283" s="766">
        <v>1</v>
      </c>
      <c r="KU283" s="766">
        <v>1</v>
      </c>
      <c r="KV283" s="766"/>
      <c r="KW283" s="766"/>
      <c r="KX283" s="766">
        <v>1</v>
      </c>
      <c r="KY283" s="766">
        <v>1</v>
      </c>
      <c r="KZ283" s="766"/>
      <c r="LA283" s="766"/>
      <c r="LB283" s="766"/>
      <c r="LC283" s="766"/>
      <c r="LD283" s="766"/>
      <c r="LE283" s="766"/>
      <c r="LF283" s="766"/>
      <c r="LG283" s="766"/>
      <c r="LH283" s="766"/>
      <c r="LI283" s="766"/>
      <c r="LJ283" s="766">
        <v>1</v>
      </c>
      <c r="LK283" s="766"/>
      <c r="LL283" s="766"/>
      <c r="LM283" s="766"/>
      <c r="LN283" s="766">
        <f t="shared" si="71"/>
        <v>3</v>
      </c>
      <c r="LO283" s="766">
        <f t="shared" si="71"/>
        <v>2</v>
      </c>
      <c r="LP283" s="766">
        <v>1</v>
      </c>
      <c r="LQ283" s="766">
        <v>1</v>
      </c>
      <c r="LR283" s="766"/>
      <c r="LS283" s="766"/>
      <c r="LT283" s="712" t="str">
        <f t="shared" si="80"/>
        <v>OK</v>
      </c>
      <c r="LU283" s="766"/>
      <c r="LV283" s="766">
        <v>1</v>
      </c>
      <c r="LW283" s="766"/>
      <c r="LX283" s="769">
        <v>4</v>
      </c>
      <c r="LY283" s="766" t="str">
        <f t="shared" si="82"/>
        <v>OTHER Province</v>
      </c>
      <c r="LZ283" s="121">
        <f>200*26</f>
        <v>5200</v>
      </c>
      <c r="MA283" s="1696"/>
      <c r="MB283" s="1696"/>
      <c r="MC283" s="1679">
        <f t="shared" si="70"/>
        <v>5200</v>
      </c>
      <c r="MD283" s="1696">
        <v>12000</v>
      </c>
      <c r="ME283" s="1696"/>
      <c r="MF283" s="1696"/>
      <c r="MG283" s="1680">
        <f t="shared" si="81"/>
        <v>12000</v>
      </c>
      <c r="MH283" s="766" t="s">
        <v>8933</v>
      </c>
      <c r="MI283" s="775">
        <f>200*30</f>
        <v>6000</v>
      </c>
      <c r="MJ283" s="775">
        <f>100*30</f>
        <v>3000</v>
      </c>
      <c r="MK283" s="775">
        <v>300</v>
      </c>
      <c r="ML283" s="775">
        <f>500*5/12</f>
        <v>208.33333333333334</v>
      </c>
      <c r="MM283" s="775">
        <v>200</v>
      </c>
      <c r="MN283" s="775">
        <v>800</v>
      </c>
      <c r="MO283" s="775">
        <v>300</v>
      </c>
      <c r="MP283" s="775">
        <v>400</v>
      </c>
      <c r="MQ283" s="775">
        <f>500/2</f>
        <v>250</v>
      </c>
      <c r="MR283" s="775">
        <f>226*4</f>
        <v>904</v>
      </c>
      <c r="MS283" s="775"/>
      <c r="MT283" s="775"/>
      <c r="MU283" s="775"/>
      <c r="MV283" s="775"/>
      <c r="MW283" s="775"/>
      <c r="MX283" s="775"/>
      <c r="MY283" s="1682">
        <f t="shared" si="74"/>
        <v>12362.333333333334</v>
      </c>
      <c r="MZ283" s="766" t="s">
        <v>13164</v>
      </c>
      <c r="NA283" s="766" t="s">
        <v>13005</v>
      </c>
      <c r="NB283" s="770" t="s">
        <v>13164</v>
      </c>
      <c r="NC283" s="770" t="s">
        <v>1835</v>
      </c>
      <c r="ND283" s="766">
        <v>0</v>
      </c>
      <c r="NE283" s="766">
        <v>0</v>
      </c>
      <c r="NF283" s="766">
        <v>0</v>
      </c>
      <c r="NG283" s="766">
        <v>1</v>
      </c>
      <c r="NH283" s="766">
        <v>0</v>
      </c>
      <c r="NI283" s="766">
        <v>0</v>
      </c>
      <c r="NJ283" s="766">
        <v>0</v>
      </c>
      <c r="NK283" s="766">
        <v>0</v>
      </c>
      <c r="NL283" s="766">
        <v>0</v>
      </c>
      <c r="NM283" s="766">
        <v>1</v>
      </c>
      <c r="NN283" s="766">
        <v>0</v>
      </c>
      <c r="NO283" s="766">
        <v>0</v>
      </c>
      <c r="NP283" s="766">
        <v>0</v>
      </c>
      <c r="NQ283" s="766">
        <v>0</v>
      </c>
      <c r="NR283" s="766">
        <v>0</v>
      </c>
      <c r="NS283" s="766">
        <v>0</v>
      </c>
      <c r="NT283" s="766">
        <v>0</v>
      </c>
      <c r="NU283" s="766">
        <v>0</v>
      </c>
      <c r="NV283" s="766">
        <v>0</v>
      </c>
      <c r="NW283" s="766">
        <v>0</v>
      </c>
      <c r="NX283" s="766">
        <v>0</v>
      </c>
      <c r="NY283" s="766" t="s">
        <v>1208</v>
      </c>
      <c r="NZ283" s="766" t="s">
        <v>1208</v>
      </c>
      <c r="OA283" s="766" t="s">
        <v>1208</v>
      </c>
      <c r="OB283" s="766" t="s">
        <v>1208</v>
      </c>
      <c r="OC283" s="766" t="s">
        <v>1208</v>
      </c>
      <c r="OD283" s="766" t="s">
        <v>1208</v>
      </c>
      <c r="OE283" s="766"/>
      <c r="OF283" s="770"/>
      <c r="OG283" s="766"/>
      <c r="OH283" s="766"/>
      <c r="OI283" s="766"/>
      <c r="OJ283" s="766"/>
      <c r="OK283" s="766"/>
      <c r="OL283" s="766"/>
      <c r="OM283" s="766"/>
      <c r="ON283" s="766"/>
      <c r="OO283" s="766"/>
      <c r="OP283" s="766"/>
      <c r="OQ283" s="766"/>
      <c r="OR283" s="766"/>
      <c r="OS283" s="766"/>
      <c r="OT283" s="766"/>
      <c r="OU283" s="766"/>
      <c r="OV283" s="766"/>
      <c r="OW283" s="766"/>
      <c r="OX283" s="766"/>
      <c r="OY283" s="766"/>
      <c r="OZ283" s="766"/>
      <c r="PA283" s="766"/>
      <c r="PB283" s="766"/>
      <c r="PC283" s="766"/>
      <c r="PD283" s="766"/>
      <c r="PE283" s="766"/>
      <c r="PF283" s="766"/>
      <c r="PG283" s="766"/>
      <c r="PH283" s="766"/>
      <c r="PI283" s="766"/>
      <c r="PJ283" s="766"/>
      <c r="PK283" s="766"/>
      <c r="PL283" s="766"/>
      <c r="PM283" s="766"/>
      <c r="PN283" s="766"/>
      <c r="PO283" s="766"/>
      <c r="PP283" s="766"/>
      <c r="PQ283" s="766"/>
      <c r="PR283" s="766" t="s">
        <v>1208</v>
      </c>
      <c r="PS283" s="766" t="s">
        <v>1208</v>
      </c>
      <c r="PT283" s="766" t="s">
        <v>1208</v>
      </c>
      <c r="PU283" s="766"/>
      <c r="PV283" s="766"/>
      <c r="PW283" s="766"/>
      <c r="PX283" s="766"/>
      <c r="PY283" s="766"/>
      <c r="PZ283" s="766"/>
      <c r="QA283" s="766"/>
      <c r="QB283" s="766"/>
      <c r="QC283" s="766"/>
      <c r="QD283" s="766"/>
      <c r="QE283" s="766"/>
      <c r="QF283" s="766"/>
      <c r="QG283" s="766"/>
      <c r="QH283" s="766"/>
      <c r="QI283" s="766"/>
      <c r="QJ283" s="766"/>
      <c r="QK283" s="766"/>
      <c r="QL283" s="766"/>
      <c r="QM283" s="766"/>
      <c r="QN283" s="766"/>
      <c r="QO283" s="766"/>
      <c r="QP283" s="766"/>
      <c r="QQ283" s="766"/>
      <c r="QR283" s="766"/>
      <c r="QS283" s="766"/>
      <c r="QT283" s="766"/>
      <c r="QU283" s="766"/>
      <c r="QV283" s="766"/>
      <c r="QW283" s="766"/>
      <c r="QX283" s="766"/>
      <c r="QY283" s="766"/>
      <c r="QZ283" s="766"/>
      <c r="RA283" s="766"/>
      <c r="RB283" s="770" t="s">
        <v>1207</v>
      </c>
      <c r="RC283" s="766">
        <v>2015</v>
      </c>
      <c r="RD283" s="766" t="s">
        <v>12989</v>
      </c>
      <c r="RE283" s="766"/>
      <c r="RF283" s="304">
        <f>CONVERT(3,"in","m")</f>
        <v>7.6200000000000004E-2</v>
      </c>
      <c r="RG283" s="766" t="s">
        <v>13037</v>
      </c>
      <c r="RH283" s="775">
        <v>0</v>
      </c>
      <c r="RI283" s="766">
        <v>1</v>
      </c>
      <c r="RJ283" s="766" t="s">
        <v>13418</v>
      </c>
      <c r="RK283" s="766" t="s">
        <v>13381</v>
      </c>
      <c r="RL283" s="1683"/>
      <c r="RM283" s="12"/>
      <c r="RN283" s="1711"/>
      <c r="RO283" s="140" t="s">
        <v>477</v>
      </c>
      <c r="RP283" s="11"/>
      <c r="RQ283" s="11"/>
      <c r="RR283" s="19" t="s">
        <v>7421</v>
      </c>
      <c r="RS283" s="1139" t="s">
        <v>12980</v>
      </c>
      <c r="RT283" s="11"/>
      <c r="RU283" s="11"/>
      <c r="RV283" s="771" t="s">
        <v>7421</v>
      </c>
      <c r="RW283" s="11" t="s">
        <v>7615</v>
      </c>
      <c r="RX283" s="11" t="s">
        <v>474</v>
      </c>
      <c r="RY283" s="11"/>
      <c r="RZ283" s="11" t="s">
        <v>2209</v>
      </c>
      <c r="SA283" s="771"/>
      <c r="SB283" s="11"/>
      <c r="SC283" s="11"/>
    </row>
    <row r="284" spans="1:497" ht="12.75" customHeight="1">
      <c r="A284" s="767" t="s">
        <v>7421</v>
      </c>
      <c r="B284" s="292" t="s">
        <v>7616</v>
      </c>
      <c r="C284" s="140" t="s">
        <v>479</v>
      </c>
      <c r="D284" s="770" t="s">
        <v>480</v>
      </c>
      <c r="E284" s="766" t="s">
        <v>5606</v>
      </c>
      <c r="F284" s="770" t="s">
        <v>28</v>
      </c>
      <c r="G284" s="770" t="s">
        <v>10</v>
      </c>
      <c r="H284" s="770"/>
      <c r="I284" s="295" t="s">
        <v>481</v>
      </c>
      <c r="J284" s="770" t="s">
        <v>480</v>
      </c>
      <c r="K284" s="770"/>
      <c r="L284" s="770"/>
      <c r="M284" s="770"/>
      <c r="N284" s="770"/>
      <c r="O284" s="770"/>
      <c r="P284" s="94" t="s">
        <v>480</v>
      </c>
      <c r="Q284" s="1088">
        <v>32058</v>
      </c>
      <c r="R284" s="297">
        <v>29</v>
      </c>
      <c r="S284" s="770" t="s">
        <v>10</v>
      </c>
      <c r="T284" s="770"/>
      <c r="U284" s="298" t="s">
        <v>481</v>
      </c>
      <c r="V284" s="770" t="s">
        <v>722</v>
      </c>
      <c r="W284" s="770"/>
      <c r="X284" s="296"/>
      <c r="Y284" s="770" t="s">
        <v>5606</v>
      </c>
      <c r="Z284" s="770" t="s">
        <v>988</v>
      </c>
      <c r="AA284" s="770" t="s">
        <v>709</v>
      </c>
      <c r="AB284" s="770" t="s">
        <v>744</v>
      </c>
      <c r="AC284" s="770"/>
      <c r="AD284" s="770"/>
      <c r="AE284" s="770"/>
      <c r="AF284" s="770" t="s">
        <v>987</v>
      </c>
      <c r="AG284" s="766" t="s">
        <v>1132</v>
      </c>
      <c r="AH284" s="766" t="s">
        <v>1096</v>
      </c>
      <c r="AI284" s="770"/>
      <c r="AJ284" s="770" t="s">
        <v>1137</v>
      </c>
      <c r="AK284" s="770" t="s">
        <v>1101</v>
      </c>
      <c r="AL284" s="299"/>
      <c r="AM284" s="300"/>
      <c r="AN284" s="301"/>
      <c r="AO284" s="766" t="s">
        <v>1122</v>
      </c>
      <c r="AP284" s="766"/>
      <c r="AQ284" s="766"/>
      <c r="AR284" s="766"/>
      <c r="AS284" s="770"/>
      <c r="AT284" s="770"/>
      <c r="AU284" s="770"/>
      <c r="AV284" s="770"/>
      <c r="AW284" s="770"/>
      <c r="AX284" s="770"/>
      <c r="AY284" s="770"/>
      <c r="AZ284" s="770"/>
      <c r="BA284" s="770"/>
      <c r="BB284" s="770"/>
      <c r="BC284" s="770"/>
      <c r="BD284" s="770"/>
      <c r="BE284" s="770"/>
      <c r="BF284" s="302"/>
      <c r="BG284" s="302"/>
      <c r="BH284" s="770"/>
      <c r="BI284" s="770"/>
      <c r="BJ284" s="770"/>
      <c r="BK284" s="770" t="s">
        <v>1095</v>
      </c>
      <c r="BL284" s="766" t="s">
        <v>1362</v>
      </c>
      <c r="BM284" s="766" t="s">
        <v>1096</v>
      </c>
      <c r="BN284" s="766" t="s">
        <v>1230</v>
      </c>
      <c r="BO284" s="766" t="s">
        <v>1246</v>
      </c>
      <c r="BP284" s="1111">
        <v>14</v>
      </c>
      <c r="BQ284" s="772">
        <v>4</v>
      </c>
      <c r="BR284" s="774">
        <f>BQ284/BP284</f>
        <v>0.2857142857142857</v>
      </c>
      <c r="BS284" s="766" t="s">
        <v>1149</v>
      </c>
      <c r="BT284" s="766" t="s">
        <v>1326</v>
      </c>
      <c r="BU284" s="766" t="s">
        <v>1267</v>
      </c>
      <c r="BV284" s="770" t="s">
        <v>1247</v>
      </c>
      <c r="BW284" s="770">
        <v>2004</v>
      </c>
      <c r="BX284" s="302"/>
      <c r="BY284" s="303"/>
      <c r="BZ284" s="770"/>
      <c r="CA284" s="302"/>
      <c r="CB284" s="302"/>
      <c r="CC284" s="770"/>
      <c r="CD284" s="770"/>
      <c r="CE284" s="770"/>
      <c r="CF284" s="304"/>
      <c r="CG284" s="321"/>
      <c r="CH284" s="770"/>
      <c r="CI284" s="770"/>
      <c r="CJ284" s="770"/>
      <c r="CK284" s="770"/>
      <c r="CL284" s="770"/>
      <c r="CM284" s="770"/>
      <c r="CN284" s="770"/>
      <c r="CO284" s="770"/>
      <c r="CP284" s="770"/>
      <c r="CQ284" s="770"/>
      <c r="CR284" s="770"/>
      <c r="CS284" s="302"/>
      <c r="CT284" s="770"/>
      <c r="CU284" s="305"/>
      <c r="CV284" s="770"/>
      <c r="CW284" s="770"/>
      <c r="CX284" s="770"/>
      <c r="CY284" s="770"/>
      <c r="CZ284" s="770"/>
      <c r="DA284" s="306"/>
      <c r="DB284" s="770"/>
      <c r="DC284" s="770"/>
      <c r="DD284" s="770"/>
      <c r="DE284" s="300"/>
      <c r="DF284" s="770"/>
      <c r="DG284" s="770"/>
      <c r="DH284" s="770"/>
      <c r="DI284" s="770"/>
      <c r="DJ284" s="770"/>
      <c r="DK284" s="770"/>
      <c r="DL284" s="770"/>
      <c r="DM284" s="770"/>
      <c r="DN284" s="322"/>
      <c r="DO284" s="770"/>
      <c r="DP284" s="770"/>
      <c r="DQ284" s="770"/>
      <c r="DR284" s="770"/>
      <c r="DS284" s="307"/>
      <c r="DT284" s="770"/>
      <c r="DU284" s="770"/>
      <c r="DV284" s="770"/>
      <c r="DW284" s="306"/>
      <c r="DX284" s="306"/>
      <c r="DY284" s="770"/>
      <c r="DZ284" s="770"/>
      <c r="EA284" s="770"/>
      <c r="EB284" s="770"/>
      <c r="EC284" s="770"/>
      <c r="ED284" s="770"/>
      <c r="EE284" s="770"/>
      <c r="EF284" s="770"/>
      <c r="EG284" s="770"/>
      <c r="EH284" s="770"/>
      <c r="EI284" s="770"/>
      <c r="EJ284" s="770"/>
      <c r="EK284" s="770"/>
      <c r="EL284" s="770"/>
      <c r="EM284" s="770"/>
      <c r="EN284" s="770"/>
      <c r="EO284" s="770"/>
      <c r="EP284" s="94"/>
      <c r="EQ284" s="770"/>
      <c r="ER284" s="770"/>
      <c r="ES284" s="770"/>
      <c r="ET284" s="770"/>
      <c r="EU284" s="770"/>
      <c r="EV284" s="770"/>
      <c r="EW284" s="770"/>
      <c r="EX284" s="770"/>
      <c r="EY284" s="770"/>
      <c r="EZ284" s="770"/>
      <c r="FA284" s="770"/>
      <c r="FB284" s="770"/>
      <c r="FC284" s="770"/>
      <c r="FD284" s="302"/>
      <c r="FE284" s="770"/>
      <c r="FF284" s="770"/>
      <c r="FG284" s="770"/>
      <c r="FH284" s="770" t="s">
        <v>478</v>
      </c>
      <c r="FI284" s="770">
        <v>2</v>
      </c>
      <c r="FJ284" s="770"/>
      <c r="FK284" s="770"/>
      <c r="FL284" s="770"/>
      <c r="FM284" s="302"/>
      <c r="FN284" s="302"/>
      <c r="FO284" s="302"/>
      <c r="FP284" s="766" t="s">
        <v>1602</v>
      </c>
      <c r="FQ284" s="766" t="s">
        <v>1660</v>
      </c>
      <c r="FR284" s="770" t="s">
        <v>1214</v>
      </c>
      <c r="FS284" s="770"/>
      <c r="FT284" s="770"/>
      <c r="FU284" s="770"/>
      <c r="FV284" s="770"/>
      <c r="FW284" s="770"/>
      <c r="FX284" s="770"/>
      <c r="FY284" s="770"/>
      <c r="FZ284" s="770"/>
      <c r="GA284" s="770"/>
      <c r="GB284" s="770"/>
      <c r="GC284" s="308"/>
      <c r="GD284" s="297"/>
      <c r="GE284" s="770"/>
      <c r="GF284" s="302"/>
      <c r="GG284" s="302"/>
      <c r="GH284" s="712" t="s">
        <v>1791</v>
      </c>
      <c r="GI284" s="770"/>
      <c r="GJ284" s="770"/>
      <c r="GK284" s="770" t="s">
        <v>2345</v>
      </c>
      <c r="GL284" s="770"/>
      <c r="GM284" s="770"/>
      <c r="GN284" s="309"/>
      <c r="GO284" s="770"/>
      <c r="GP284" s="770"/>
      <c r="GQ284" s="770"/>
      <c r="GR284" s="770"/>
      <c r="GS284" s="770"/>
      <c r="GT284" s="770"/>
      <c r="GU284" s="770"/>
      <c r="GV284" s="770"/>
      <c r="GW284" s="770"/>
      <c r="GX284" s="770"/>
      <c r="GY284" s="770"/>
      <c r="GZ284" s="770"/>
      <c r="HA284" s="770"/>
      <c r="HB284" s="770"/>
      <c r="HC284" s="770"/>
      <c r="HD284" s="770"/>
      <c r="HE284" s="770"/>
      <c r="HF284" s="770"/>
      <c r="HG284" s="770"/>
      <c r="HH284" s="770"/>
      <c r="HI284" s="770" t="s">
        <v>1214</v>
      </c>
      <c r="HJ284" s="770"/>
      <c r="HK284" s="770"/>
      <c r="HL284" s="770" t="s">
        <v>1214</v>
      </c>
      <c r="HM284" s="770"/>
      <c r="HN284" s="770"/>
      <c r="HO284" s="770"/>
      <c r="HP284" s="770"/>
      <c r="HQ284" s="770"/>
      <c r="HR284" s="770"/>
      <c r="HS284" s="770"/>
      <c r="HT284" s="770"/>
      <c r="HU284" s="770"/>
      <c r="HV284" s="770"/>
      <c r="HW284" s="770"/>
      <c r="HX284" s="770"/>
      <c r="HY284" s="770"/>
      <c r="HZ284" s="770"/>
      <c r="IA284" s="770"/>
      <c r="IB284" s="14" t="e">
        <f>IF(#REF!&gt;0,IF(#REF!&lt;=10000,"Y",""),"")</f>
        <v>#REF!</v>
      </c>
      <c r="IC284" s="770"/>
      <c r="ID284" s="770">
        <v>1</v>
      </c>
      <c r="IE284" s="770">
        <v>1</v>
      </c>
      <c r="IF284" s="770"/>
      <c r="IG284" s="770"/>
      <c r="IH284" s="770"/>
      <c r="II284" s="770"/>
      <c r="IJ284" s="770"/>
      <c r="IK284" s="770"/>
      <c r="IL284" s="770"/>
      <c r="IM284" s="770"/>
      <c r="IN284" s="770"/>
      <c r="IO284" s="296"/>
      <c r="IP284" s="770"/>
      <c r="IQ284" s="770"/>
      <c r="IR284" s="770"/>
      <c r="IS284" s="770"/>
      <c r="IT284" s="770"/>
      <c r="IU284" s="770"/>
      <c r="IV284" s="770"/>
      <c r="IW284" s="770"/>
      <c r="IX284" s="770"/>
      <c r="IY284" s="770"/>
      <c r="IZ284" s="770"/>
      <c r="JA284" s="770"/>
      <c r="JB284" s="770"/>
      <c r="JC284" s="770"/>
      <c r="JD284" s="302"/>
      <c r="JE284" s="770"/>
      <c r="JF284" s="770"/>
      <c r="JG284" s="770"/>
      <c r="JH284" s="770"/>
      <c r="JI284" s="712" t="str">
        <f t="shared" si="75"/>
        <v>ok</v>
      </c>
      <c r="JJ284" s="766">
        <v>10</v>
      </c>
      <c r="JK284" s="1139" t="s">
        <v>2102</v>
      </c>
      <c r="JL284" s="770">
        <v>4</v>
      </c>
      <c r="JM284" s="770">
        <v>2</v>
      </c>
      <c r="JN284" s="770">
        <v>2</v>
      </c>
      <c r="JO284" s="770">
        <v>2</v>
      </c>
      <c r="JP284" s="770"/>
      <c r="JQ284" s="770"/>
      <c r="JR284" s="770"/>
      <c r="JS284" s="770"/>
      <c r="JT284" s="766">
        <f t="shared" si="88"/>
        <v>6</v>
      </c>
      <c r="JU284" s="766">
        <f t="shared" si="88"/>
        <v>4</v>
      </c>
      <c r="JV284" s="712" t="str">
        <f t="shared" si="76"/>
        <v>ok</v>
      </c>
      <c r="JW284" s="712" t="str">
        <f t="shared" si="77"/>
        <v>ok</v>
      </c>
      <c r="JX284" s="770">
        <v>3</v>
      </c>
      <c r="JY284" s="770"/>
      <c r="JZ284" s="770">
        <v>1</v>
      </c>
      <c r="KA284" s="770">
        <v>2</v>
      </c>
      <c r="KB284" s="770">
        <v>1</v>
      </c>
      <c r="KC284" s="770">
        <v>1</v>
      </c>
      <c r="KD284" s="770">
        <v>1</v>
      </c>
      <c r="KE284" s="770">
        <v>1</v>
      </c>
      <c r="KF284" s="770"/>
      <c r="KG284" s="770"/>
      <c r="KH284" s="770"/>
      <c r="KI284" s="770"/>
      <c r="KJ284" s="770">
        <f t="shared" si="86"/>
        <v>6</v>
      </c>
      <c r="KK284" s="770">
        <f t="shared" si="86"/>
        <v>4</v>
      </c>
      <c r="KL284" s="712" t="str">
        <f t="shared" si="84"/>
        <v>ok</v>
      </c>
      <c r="KM284" s="712" t="str">
        <f t="shared" si="85"/>
        <v>ok</v>
      </c>
      <c r="KN284" s="766" t="s">
        <v>722</v>
      </c>
      <c r="KO284" s="770"/>
      <c r="KP284" s="770"/>
      <c r="KQ284" s="770"/>
      <c r="KR284" s="770"/>
      <c r="KS284" s="770"/>
      <c r="KT284" s="770">
        <v>1</v>
      </c>
      <c r="KU284" s="770">
        <v>2</v>
      </c>
      <c r="KV284" s="770"/>
      <c r="KW284" s="770"/>
      <c r="KX284" s="770">
        <v>2</v>
      </c>
      <c r="KY284" s="770">
        <v>2</v>
      </c>
      <c r="KZ284" s="770"/>
      <c r="LA284" s="770"/>
      <c r="LB284" s="770"/>
      <c r="LC284" s="770"/>
      <c r="LD284" s="770"/>
      <c r="LE284" s="770"/>
      <c r="LF284" s="770"/>
      <c r="LG284" s="770"/>
      <c r="LH284" s="770"/>
      <c r="LI284" s="770"/>
      <c r="LJ284" s="770">
        <v>3</v>
      </c>
      <c r="LK284" s="770"/>
      <c r="LL284" s="770"/>
      <c r="LM284" s="770"/>
      <c r="LN284" s="766">
        <f t="shared" si="71"/>
        <v>6</v>
      </c>
      <c r="LO284" s="766">
        <f t="shared" si="71"/>
        <v>4</v>
      </c>
      <c r="LP284" s="770">
        <v>2</v>
      </c>
      <c r="LQ284" s="770">
        <v>2</v>
      </c>
      <c r="LR284" s="770"/>
      <c r="LS284" s="770"/>
      <c r="LT284" s="712" t="str">
        <f t="shared" si="80"/>
        <v>OK</v>
      </c>
      <c r="LU284" s="770"/>
      <c r="LV284" s="770">
        <v>2</v>
      </c>
      <c r="LW284" s="770"/>
      <c r="LX284" s="769">
        <v>2</v>
      </c>
      <c r="LY284" s="766" t="str">
        <f t="shared" si="82"/>
        <v>within the MUNICIPALITY</v>
      </c>
      <c r="LZ284" s="299">
        <f>(SUM(30*20,100*20))</f>
        <v>2600</v>
      </c>
      <c r="MA284" s="306"/>
      <c r="MB284" s="306"/>
      <c r="MC284" s="1679">
        <f t="shared" si="70"/>
        <v>2600</v>
      </c>
      <c r="MD284" s="306">
        <f>SUM(6000,8000)</f>
        <v>14000</v>
      </c>
      <c r="ME284" s="306"/>
      <c r="MF284" s="306"/>
      <c r="MG284" s="1680">
        <f t="shared" si="81"/>
        <v>14000</v>
      </c>
      <c r="MH284" s="770" t="s">
        <v>2966</v>
      </c>
      <c r="MI284" s="302">
        <v>12000</v>
      </c>
      <c r="MJ284" s="302">
        <v>2600</v>
      </c>
      <c r="MK284" s="302">
        <v>250</v>
      </c>
      <c r="ML284" s="302">
        <v>150</v>
      </c>
      <c r="MM284" s="302">
        <v>1800</v>
      </c>
      <c r="MN284" s="302"/>
      <c r="MO284" s="302">
        <v>300</v>
      </c>
      <c r="MP284" s="302">
        <v>800</v>
      </c>
      <c r="MQ284" s="302">
        <v>300</v>
      </c>
      <c r="MR284" s="302">
        <v>1200</v>
      </c>
      <c r="MS284" s="302"/>
      <c r="MT284" s="302"/>
      <c r="MU284" s="302"/>
      <c r="MV284" s="302"/>
      <c r="MW284" s="302"/>
      <c r="MX284" s="302"/>
      <c r="MY284" s="1682">
        <f t="shared" si="74"/>
        <v>19400</v>
      </c>
      <c r="MZ284" s="770" t="s">
        <v>13398</v>
      </c>
      <c r="NA284" s="770" t="s">
        <v>13005</v>
      </c>
      <c r="NB284" s="770" t="s">
        <v>13409</v>
      </c>
      <c r="NC284" s="770" t="s">
        <v>13026</v>
      </c>
      <c r="ND284" s="770">
        <v>0</v>
      </c>
      <c r="NE284" s="770">
        <v>0</v>
      </c>
      <c r="NF284" s="770">
        <v>0</v>
      </c>
      <c r="NG284" s="770">
        <v>2</v>
      </c>
      <c r="NH284" s="770">
        <v>1</v>
      </c>
      <c r="NI284" s="770">
        <v>0</v>
      </c>
      <c r="NJ284" s="770">
        <v>0</v>
      </c>
      <c r="NK284" s="770">
        <v>0</v>
      </c>
      <c r="NL284" s="770">
        <v>0</v>
      </c>
      <c r="NM284" s="770">
        <v>1</v>
      </c>
      <c r="NN284" s="770">
        <v>0</v>
      </c>
      <c r="NO284" s="770">
        <v>0</v>
      </c>
      <c r="NP284" s="770">
        <v>0</v>
      </c>
      <c r="NQ284" s="770">
        <v>0</v>
      </c>
      <c r="NR284" s="770">
        <v>0</v>
      </c>
      <c r="NS284" s="770">
        <v>0</v>
      </c>
      <c r="NT284" s="770">
        <v>0</v>
      </c>
      <c r="NU284" s="770">
        <v>0</v>
      </c>
      <c r="NV284" s="770">
        <v>0</v>
      </c>
      <c r="NW284" s="770">
        <v>0</v>
      </c>
      <c r="NX284" s="770">
        <v>0</v>
      </c>
      <c r="NY284" s="770"/>
      <c r="NZ284" s="770"/>
      <c r="OA284" s="770"/>
      <c r="OB284" s="770"/>
      <c r="OC284" s="770"/>
      <c r="OD284" s="770"/>
      <c r="OE284" s="770"/>
      <c r="OF284" s="770"/>
      <c r="OG284" s="770"/>
      <c r="OH284" s="770"/>
      <c r="OI284" s="770"/>
      <c r="OJ284" s="770"/>
      <c r="OK284" s="770"/>
      <c r="OL284" s="770"/>
      <c r="OM284" s="770"/>
      <c r="ON284" s="770"/>
      <c r="OO284" s="770"/>
      <c r="OP284" s="770"/>
      <c r="OQ284" s="770"/>
      <c r="OR284" s="770"/>
      <c r="OS284" s="770"/>
      <c r="OT284" s="770"/>
      <c r="OU284" s="770"/>
      <c r="OV284" s="770"/>
      <c r="OW284" s="770"/>
      <c r="OX284" s="770"/>
      <c r="OY284" s="770"/>
      <c r="OZ284" s="770"/>
      <c r="PA284" s="770"/>
      <c r="PB284" s="770"/>
      <c r="PC284" s="770"/>
      <c r="PD284" s="770"/>
      <c r="PE284" s="770"/>
      <c r="PF284" s="770"/>
      <c r="PG284" s="770"/>
      <c r="PH284" s="770"/>
      <c r="PI284" s="770"/>
      <c r="PJ284" s="770"/>
      <c r="PK284" s="770" t="s">
        <v>1208</v>
      </c>
      <c r="PL284" s="770" t="s">
        <v>1208</v>
      </c>
      <c r="PM284" s="770"/>
      <c r="PN284" s="770"/>
      <c r="PO284" s="770"/>
      <c r="PP284" s="770"/>
      <c r="PQ284" s="770"/>
      <c r="PR284" s="770"/>
      <c r="PS284" s="770"/>
      <c r="PT284" s="770"/>
      <c r="PU284" s="770"/>
      <c r="PV284" s="770"/>
      <c r="PW284" s="770"/>
      <c r="PX284" s="770"/>
      <c r="PY284" s="770"/>
      <c r="PZ284" s="770"/>
      <c r="QA284" s="770"/>
      <c r="QB284" s="770"/>
      <c r="QC284" s="770"/>
      <c r="QD284" s="770"/>
      <c r="QE284" s="770"/>
      <c r="QF284" s="770"/>
      <c r="QG284" s="770"/>
      <c r="QH284" s="770"/>
      <c r="QI284" s="770"/>
      <c r="QJ284" s="770"/>
      <c r="QK284" s="770"/>
      <c r="QL284" s="770"/>
      <c r="QM284" s="770"/>
      <c r="QN284" s="770"/>
      <c r="QO284" s="770"/>
      <c r="QP284" s="770"/>
      <c r="QQ284" s="770"/>
      <c r="QR284" s="770"/>
      <c r="QS284" s="770"/>
      <c r="QT284" s="770"/>
      <c r="QU284" s="770"/>
      <c r="QV284" s="770"/>
      <c r="QW284" s="770"/>
      <c r="QX284" s="770"/>
      <c r="QY284" s="770"/>
      <c r="QZ284" s="770"/>
      <c r="RA284" s="770"/>
      <c r="RB284" s="770" t="s">
        <v>1207</v>
      </c>
      <c r="RC284" s="770">
        <v>2015</v>
      </c>
      <c r="RD284" s="770" t="s">
        <v>12989</v>
      </c>
      <c r="RE284" s="770"/>
      <c r="RF284" s="304"/>
      <c r="RG284" s="770"/>
      <c r="RH284" s="302"/>
      <c r="RI284" s="770"/>
      <c r="RJ284" s="770" t="s">
        <v>13419</v>
      </c>
      <c r="RK284" s="770" t="s">
        <v>13401</v>
      </c>
      <c r="RL284" s="1710"/>
      <c r="RM284" s="12"/>
      <c r="RN284" s="1711"/>
      <c r="RO284" s="140" t="s">
        <v>479</v>
      </c>
      <c r="RP284" s="11"/>
      <c r="RQ284" s="11"/>
      <c r="RR284" s="19" t="s">
        <v>7421</v>
      </c>
      <c r="RS284" s="1139" t="s">
        <v>12980</v>
      </c>
      <c r="RT284" s="11"/>
      <c r="RU284" s="11"/>
      <c r="RV284" s="771" t="s">
        <v>12452</v>
      </c>
      <c r="RW284" s="11" t="s">
        <v>5618</v>
      </c>
      <c r="RX284" s="11" t="s">
        <v>474</v>
      </c>
      <c r="RY284" s="11"/>
      <c r="RZ284" s="11" t="s">
        <v>2209</v>
      </c>
      <c r="SA284" s="771"/>
      <c r="SB284" s="11"/>
      <c r="SC284" s="11"/>
    </row>
    <row r="285" spans="1:497" ht="12.75" customHeight="1">
      <c r="A285" s="767" t="s">
        <v>7421</v>
      </c>
      <c r="B285" s="292" t="s">
        <v>7617</v>
      </c>
      <c r="C285" s="140" t="s">
        <v>482</v>
      </c>
      <c r="D285" s="94" t="s">
        <v>483</v>
      </c>
      <c r="E285" s="766" t="s">
        <v>484</v>
      </c>
      <c r="F285" s="770" t="s">
        <v>20</v>
      </c>
      <c r="G285" s="770" t="s">
        <v>18</v>
      </c>
      <c r="H285" s="770"/>
      <c r="I285" s="295"/>
      <c r="J285" s="94" t="s">
        <v>485</v>
      </c>
      <c r="K285" s="770"/>
      <c r="L285" s="770"/>
      <c r="M285" s="770"/>
      <c r="N285" s="770"/>
      <c r="O285" s="770"/>
      <c r="P285" s="94" t="s">
        <v>989</v>
      </c>
      <c r="Q285" s="1088">
        <v>33437</v>
      </c>
      <c r="R285" s="297">
        <v>25</v>
      </c>
      <c r="S285" s="770" t="s">
        <v>18</v>
      </c>
      <c r="T285" s="770"/>
      <c r="U285" s="298" t="s">
        <v>990</v>
      </c>
      <c r="V285" s="770" t="s">
        <v>722</v>
      </c>
      <c r="W285" s="770"/>
      <c r="X285" s="296"/>
      <c r="Y285" s="770" t="s">
        <v>978</v>
      </c>
      <c r="Z285" s="770" t="s">
        <v>988</v>
      </c>
      <c r="AA285" s="770" t="s">
        <v>709</v>
      </c>
      <c r="AB285" s="770" t="s">
        <v>744</v>
      </c>
      <c r="AC285" s="770"/>
      <c r="AD285" s="770"/>
      <c r="AE285" s="770" t="s">
        <v>909</v>
      </c>
      <c r="AF285" s="770" t="s">
        <v>712</v>
      </c>
      <c r="AG285" s="766" t="s">
        <v>1132</v>
      </c>
      <c r="AH285" s="766" t="s">
        <v>1096</v>
      </c>
      <c r="AI285" s="770"/>
      <c r="AJ285" s="770" t="s">
        <v>1137</v>
      </c>
      <c r="AK285" s="770" t="s">
        <v>1101</v>
      </c>
      <c r="AL285" s="299"/>
      <c r="AM285" s="300"/>
      <c r="AN285" s="301"/>
      <c r="AO285" s="766" t="s">
        <v>1122</v>
      </c>
      <c r="AP285" s="766"/>
      <c r="AQ285" s="766"/>
      <c r="AR285" s="766"/>
      <c r="AS285" s="770"/>
      <c r="AT285" s="770"/>
      <c r="AU285" s="770"/>
      <c r="AV285" s="770"/>
      <c r="AW285" s="770"/>
      <c r="AX285" s="770"/>
      <c r="AY285" s="770"/>
      <c r="AZ285" s="770"/>
      <c r="BA285" s="770"/>
      <c r="BB285" s="770"/>
      <c r="BC285" s="770"/>
      <c r="BD285" s="770"/>
      <c r="BE285" s="770"/>
      <c r="BF285" s="302"/>
      <c r="BG285" s="302"/>
      <c r="BH285" s="770"/>
      <c r="BI285" s="770"/>
      <c r="BJ285" s="770"/>
      <c r="BK285" s="770" t="s">
        <v>1095</v>
      </c>
      <c r="BL285" s="766" t="s">
        <v>11903</v>
      </c>
      <c r="BM285" s="766" t="s">
        <v>1096</v>
      </c>
      <c r="BN285" s="766" t="s">
        <v>1230</v>
      </c>
      <c r="BO285" s="766" t="s">
        <v>1246</v>
      </c>
      <c r="BP285" s="1111">
        <v>8.75</v>
      </c>
      <c r="BQ285" s="772">
        <v>8.75</v>
      </c>
      <c r="BR285" s="774">
        <f>BQ285/BP285</f>
        <v>1</v>
      </c>
      <c r="BS285" s="766" t="s">
        <v>1257</v>
      </c>
      <c r="BT285" s="766" t="s">
        <v>8133</v>
      </c>
      <c r="BU285" s="766" t="s">
        <v>1267</v>
      </c>
      <c r="BV285" s="770" t="s">
        <v>1247</v>
      </c>
      <c r="BW285" s="770">
        <v>2008</v>
      </c>
      <c r="BX285" s="302"/>
      <c r="BY285" s="303"/>
      <c r="BZ285" s="770"/>
      <c r="CA285" s="302"/>
      <c r="CB285" s="302"/>
      <c r="CC285" s="770"/>
      <c r="CD285" s="770"/>
      <c r="CE285" s="770"/>
      <c r="CF285" s="304"/>
      <c r="CG285" s="321"/>
      <c r="CH285" s="770"/>
      <c r="CI285" s="770"/>
      <c r="CJ285" s="770"/>
      <c r="CK285" s="770"/>
      <c r="CL285" s="770"/>
      <c r="CM285" s="770"/>
      <c r="CN285" s="770"/>
      <c r="CO285" s="770"/>
      <c r="CP285" s="770"/>
      <c r="CQ285" s="770"/>
      <c r="CR285" s="770"/>
      <c r="CS285" s="302"/>
      <c r="CT285" s="770"/>
      <c r="CU285" s="305"/>
      <c r="CV285" s="770"/>
      <c r="CW285" s="770"/>
      <c r="CX285" s="770"/>
      <c r="CY285" s="770"/>
      <c r="CZ285" s="770"/>
      <c r="DA285" s="306"/>
      <c r="DB285" s="770"/>
      <c r="DC285" s="770"/>
      <c r="DD285" s="770"/>
      <c r="DE285" s="300"/>
      <c r="DF285" s="770"/>
      <c r="DG285" s="770"/>
      <c r="DH285" s="770"/>
      <c r="DI285" s="770"/>
      <c r="DJ285" s="770"/>
      <c r="DK285" s="770"/>
      <c r="DL285" s="770"/>
      <c r="DM285" s="770"/>
      <c r="DN285" s="322"/>
      <c r="DO285" s="770"/>
      <c r="DP285" s="770"/>
      <c r="DQ285" s="770"/>
      <c r="DR285" s="770"/>
      <c r="DS285" s="307"/>
      <c r="DT285" s="770"/>
      <c r="DU285" s="770"/>
      <c r="DV285" s="770"/>
      <c r="DW285" s="306"/>
      <c r="DX285" s="306"/>
      <c r="DY285" s="770"/>
      <c r="DZ285" s="770"/>
      <c r="EA285" s="770"/>
      <c r="EB285" s="770"/>
      <c r="EC285" s="770"/>
      <c r="ED285" s="770"/>
      <c r="EE285" s="770"/>
      <c r="EF285" s="770"/>
      <c r="EG285" s="770"/>
      <c r="EH285" s="770"/>
      <c r="EI285" s="770"/>
      <c r="EJ285" s="770"/>
      <c r="EK285" s="770"/>
      <c r="EL285" s="770"/>
      <c r="EM285" s="770"/>
      <c r="EN285" s="770"/>
      <c r="EO285" s="770"/>
      <c r="EP285" s="94"/>
      <c r="EQ285" s="770"/>
      <c r="ER285" s="770"/>
      <c r="ES285" s="770"/>
      <c r="ET285" s="770"/>
      <c r="EU285" s="770"/>
      <c r="EV285" s="770"/>
      <c r="EW285" s="770"/>
      <c r="EX285" s="770"/>
      <c r="EY285" s="770"/>
      <c r="EZ285" s="770"/>
      <c r="FA285" s="770"/>
      <c r="FB285" s="770"/>
      <c r="FC285" s="770"/>
      <c r="FD285" s="302"/>
      <c r="FE285" s="770"/>
      <c r="FF285" s="770"/>
      <c r="FG285" s="770"/>
      <c r="FH285" s="770" t="s">
        <v>478</v>
      </c>
      <c r="FI285" s="770">
        <v>1</v>
      </c>
      <c r="FJ285" s="770"/>
      <c r="FK285" s="770"/>
      <c r="FL285" s="770"/>
      <c r="FM285" s="302"/>
      <c r="FN285" s="302"/>
      <c r="FO285" s="302"/>
      <c r="FP285" s="766" t="s">
        <v>1602</v>
      </c>
      <c r="FQ285" s="766" t="s">
        <v>1660</v>
      </c>
      <c r="FR285" s="770" t="s">
        <v>1214</v>
      </c>
      <c r="FS285" s="770"/>
      <c r="FT285" s="770"/>
      <c r="FU285" s="770"/>
      <c r="FV285" s="770"/>
      <c r="FW285" s="770"/>
      <c r="FX285" s="770"/>
      <c r="FY285" s="770"/>
      <c r="FZ285" s="770"/>
      <c r="GA285" s="770"/>
      <c r="GB285" s="770"/>
      <c r="GC285" s="308"/>
      <c r="GD285" s="297"/>
      <c r="GE285" s="770"/>
      <c r="GF285" s="302"/>
      <c r="GG285" s="302"/>
      <c r="GH285" s="712" t="s">
        <v>14260</v>
      </c>
      <c r="GI285" s="770"/>
      <c r="GJ285" s="770"/>
      <c r="GK285" s="770"/>
      <c r="GL285" s="770"/>
      <c r="GM285" s="770"/>
      <c r="GN285" s="309"/>
      <c r="GO285" s="770"/>
      <c r="GP285" s="770"/>
      <c r="GQ285" s="770"/>
      <c r="GR285" s="770"/>
      <c r="GS285" s="770"/>
      <c r="GT285" s="770"/>
      <c r="GU285" s="770"/>
      <c r="GV285" s="770"/>
      <c r="GW285" s="770"/>
      <c r="GX285" s="770"/>
      <c r="GY285" s="770"/>
      <c r="GZ285" s="770"/>
      <c r="HA285" s="770"/>
      <c r="HB285" s="770"/>
      <c r="HC285" s="770"/>
      <c r="HD285" s="770"/>
      <c r="HE285" s="770"/>
      <c r="HF285" s="770"/>
      <c r="HG285" s="770"/>
      <c r="HH285" s="770"/>
      <c r="HI285" s="770" t="s">
        <v>1214</v>
      </c>
      <c r="HJ285" s="770"/>
      <c r="HK285" s="770"/>
      <c r="HL285" s="770"/>
      <c r="HM285" s="770"/>
      <c r="HN285" s="770"/>
      <c r="HO285" s="770"/>
      <c r="HP285" s="770"/>
      <c r="HQ285" s="770"/>
      <c r="HR285" s="770"/>
      <c r="HS285" s="770"/>
      <c r="HT285" s="770"/>
      <c r="HU285" s="770"/>
      <c r="HV285" s="770"/>
      <c r="HW285" s="770"/>
      <c r="HX285" s="770"/>
      <c r="HY285" s="770"/>
      <c r="HZ285" s="770"/>
      <c r="IA285" s="770"/>
      <c r="IB285" s="14" t="e">
        <f>IF(#REF!&gt;0,IF(#REF!&lt;=10000,"Y",""),"")</f>
        <v>#REF!</v>
      </c>
      <c r="IC285" s="770" t="s">
        <v>1207</v>
      </c>
      <c r="ID285" s="770"/>
      <c r="IE285" s="770"/>
      <c r="IF285" s="770"/>
      <c r="IG285" s="770"/>
      <c r="IH285" s="770"/>
      <c r="II285" s="770"/>
      <c r="IJ285" s="770"/>
      <c r="IK285" s="770"/>
      <c r="IL285" s="770"/>
      <c r="IM285" s="770"/>
      <c r="IN285" s="770"/>
      <c r="IO285" s="296"/>
      <c r="IP285" s="770"/>
      <c r="IQ285" s="770"/>
      <c r="IR285" s="770"/>
      <c r="IS285" s="770"/>
      <c r="IT285" s="770"/>
      <c r="IU285" s="770"/>
      <c r="IV285" s="770"/>
      <c r="IW285" s="770"/>
      <c r="IX285" s="770"/>
      <c r="IY285" s="770"/>
      <c r="IZ285" s="770"/>
      <c r="JA285" s="770"/>
      <c r="JB285" s="770"/>
      <c r="JC285" s="770"/>
      <c r="JD285" s="302"/>
      <c r="JE285" s="770"/>
      <c r="JF285" s="770"/>
      <c r="JG285" s="770"/>
      <c r="JH285" s="770"/>
      <c r="JI285" s="712" t="str">
        <f t="shared" si="75"/>
        <v>ok</v>
      </c>
      <c r="JJ285" s="766">
        <v>3</v>
      </c>
      <c r="JK285" s="1139" t="s">
        <v>2103</v>
      </c>
      <c r="JL285" s="770"/>
      <c r="JM285" s="770">
        <v>1</v>
      </c>
      <c r="JN285" s="770">
        <v>1</v>
      </c>
      <c r="JO285" s="770">
        <v>1</v>
      </c>
      <c r="JP285" s="770"/>
      <c r="JQ285" s="770"/>
      <c r="JR285" s="770"/>
      <c r="JS285" s="770"/>
      <c r="JT285" s="766">
        <f t="shared" si="88"/>
        <v>1</v>
      </c>
      <c r="JU285" s="766">
        <f t="shared" si="88"/>
        <v>2</v>
      </c>
      <c r="JV285" s="712" t="str">
        <f t="shared" si="76"/>
        <v>ok</v>
      </c>
      <c r="JW285" s="712" t="str">
        <f t="shared" si="77"/>
        <v>ok</v>
      </c>
      <c r="JX285" s="770"/>
      <c r="JY285" s="770"/>
      <c r="JZ285" s="770"/>
      <c r="KA285" s="770">
        <v>1</v>
      </c>
      <c r="KB285" s="770">
        <v>1</v>
      </c>
      <c r="KC285" s="770">
        <v>1</v>
      </c>
      <c r="KD285" s="770"/>
      <c r="KE285" s="770"/>
      <c r="KF285" s="770"/>
      <c r="KG285" s="770"/>
      <c r="KH285" s="770"/>
      <c r="KI285" s="770"/>
      <c r="KJ285" s="770">
        <f t="shared" si="86"/>
        <v>1</v>
      </c>
      <c r="KK285" s="770">
        <f t="shared" si="86"/>
        <v>2</v>
      </c>
      <c r="KL285" s="712" t="str">
        <f t="shared" si="84"/>
        <v>ok</v>
      </c>
      <c r="KM285" s="712" t="str">
        <f t="shared" si="85"/>
        <v>ok</v>
      </c>
      <c r="KN285" s="770" t="s">
        <v>722</v>
      </c>
      <c r="KO285" s="770"/>
      <c r="KP285" s="770"/>
      <c r="KQ285" s="770"/>
      <c r="KR285" s="770"/>
      <c r="KS285" s="770"/>
      <c r="KT285" s="770">
        <v>1</v>
      </c>
      <c r="KU285" s="770">
        <v>1</v>
      </c>
      <c r="KV285" s="770"/>
      <c r="KW285" s="770"/>
      <c r="KX285" s="770"/>
      <c r="KY285" s="770">
        <v>1</v>
      </c>
      <c r="KZ285" s="770"/>
      <c r="LA285" s="770"/>
      <c r="LB285" s="770"/>
      <c r="LC285" s="770"/>
      <c r="LD285" s="770"/>
      <c r="LE285" s="770"/>
      <c r="LF285" s="770"/>
      <c r="LG285" s="770"/>
      <c r="LH285" s="770"/>
      <c r="LI285" s="770"/>
      <c r="LJ285" s="770"/>
      <c r="LK285" s="770"/>
      <c r="LL285" s="770"/>
      <c r="LM285" s="770"/>
      <c r="LN285" s="766">
        <f t="shared" si="71"/>
        <v>1</v>
      </c>
      <c r="LO285" s="766">
        <f t="shared" si="71"/>
        <v>2</v>
      </c>
      <c r="LP285" s="770">
        <v>1</v>
      </c>
      <c r="LQ285" s="770">
        <v>1</v>
      </c>
      <c r="LR285" s="770"/>
      <c r="LS285" s="770"/>
      <c r="LT285" s="712" t="str">
        <f t="shared" si="80"/>
        <v>OK</v>
      </c>
      <c r="LU285" s="770"/>
      <c r="LV285" s="770"/>
      <c r="LW285" s="770">
        <v>1</v>
      </c>
      <c r="LX285" s="769">
        <v>2</v>
      </c>
      <c r="LY285" s="766" t="str">
        <f t="shared" si="82"/>
        <v>within the MUNICIPALITY</v>
      </c>
      <c r="LZ285" s="299">
        <v>448</v>
      </c>
      <c r="MA285" s="306"/>
      <c r="MB285" s="306"/>
      <c r="MC285" s="1679">
        <f t="shared" si="70"/>
        <v>448</v>
      </c>
      <c r="MD285" s="306">
        <v>8400</v>
      </c>
      <c r="ME285" s="306"/>
      <c r="MF285" s="306"/>
      <c r="MG285" s="1680">
        <f t="shared" si="81"/>
        <v>8400</v>
      </c>
      <c r="MH285" s="770" t="s">
        <v>13420</v>
      </c>
      <c r="MI285" s="302">
        <v>5600</v>
      </c>
      <c r="MJ285" s="302">
        <v>448</v>
      </c>
      <c r="MK285" s="302">
        <f>1500/12</f>
        <v>125</v>
      </c>
      <c r="ML285" s="302">
        <v>200</v>
      </c>
      <c r="MM285" s="302">
        <v>250</v>
      </c>
      <c r="MN285" s="302"/>
      <c r="MO285" s="302">
        <v>400</v>
      </c>
      <c r="MP285" s="302">
        <v>200</v>
      </c>
      <c r="MQ285" s="302">
        <v>400</v>
      </c>
      <c r="MR285" s="302">
        <v>1500</v>
      </c>
      <c r="MS285" s="302"/>
      <c r="MT285" s="302"/>
      <c r="MU285" s="302"/>
      <c r="MV285" s="302"/>
      <c r="MW285" s="302"/>
      <c r="MX285" s="302"/>
      <c r="MY285" s="1682">
        <f t="shared" si="74"/>
        <v>9123</v>
      </c>
      <c r="MZ285" s="770" t="s">
        <v>13398</v>
      </c>
      <c r="NA285" s="770" t="s">
        <v>13230</v>
      </c>
      <c r="NB285" s="770" t="s">
        <v>13164</v>
      </c>
      <c r="NC285" s="770" t="s">
        <v>1835</v>
      </c>
      <c r="ND285" s="770">
        <v>0</v>
      </c>
      <c r="NE285" s="770">
        <v>0</v>
      </c>
      <c r="NF285" s="770">
        <v>0</v>
      </c>
      <c r="NG285" s="770">
        <v>0</v>
      </c>
      <c r="NH285" s="770">
        <v>1</v>
      </c>
      <c r="NI285" s="770">
        <v>0</v>
      </c>
      <c r="NJ285" s="770">
        <v>0</v>
      </c>
      <c r="NK285" s="770">
        <v>0</v>
      </c>
      <c r="NL285" s="770">
        <v>0</v>
      </c>
      <c r="NM285" s="770">
        <v>0</v>
      </c>
      <c r="NN285" s="770">
        <v>0</v>
      </c>
      <c r="NO285" s="770">
        <v>0</v>
      </c>
      <c r="NP285" s="770">
        <v>0</v>
      </c>
      <c r="NQ285" s="770">
        <v>1</v>
      </c>
      <c r="NR285" s="770">
        <v>0</v>
      </c>
      <c r="NS285" s="770">
        <v>0</v>
      </c>
      <c r="NT285" s="770">
        <v>0</v>
      </c>
      <c r="NU285" s="770">
        <v>0</v>
      </c>
      <c r="NV285" s="770">
        <v>0</v>
      </c>
      <c r="NW285" s="770">
        <v>0</v>
      </c>
      <c r="NX285" s="770">
        <v>0</v>
      </c>
      <c r="NY285" s="770" t="s">
        <v>1208</v>
      </c>
      <c r="NZ285" s="770" t="s">
        <v>1208</v>
      </c>
      <c r="OA285" s="770" t="s">
        <v>1208</v>
      </c>
      <c r="OB285" s="770" t="s">
        <v>1208</v>
      </c>
      <c r="OC285" s="770" t="s">
        <v>1208</v>
      </c>
      <c r="OD285" s="770" t="s">
        <v>1208</v>
      </c>
      <c r="OE285" s="770"/>
      <c r="OF285" s="770" t="s">
        <v>2140</v>
      </c>
      <c r="OG285" s="770"/>
      <c r="OH285" s="770"/>
      <c r="OI285" s="770"/>
      <c r="OJ285" s="770"/>
      <c r="OK285" s="770"/>
      <c r="OL285" s="770"/>
      <c r="OM285" s="770"/>
      <c r="ON285" s="770"/>
      <c r="OO285" s="770"/>
      <c r="OP285" s="770"/>
      <c r="OQ285" s="770"/>
      <c r="OR285" s="770"/>
      <c r="OS285" s="770"/>
      <c r="OT285" s="770"/>
      <c r="OU285" s="770"/>
      <c r="OV285" s="770"/>
      <c r="OW285" s="770"/>
      <c r="OX285" s="770"/>
      <c r="OY285" s="770"/>
      <c r="OZ285" s="770"/>
      <c r="PA285" s="770"/>
      <c r="PB285" s="770"/>
      <c r="PC285" s="770"/>
      <c r="PD285" s="770"/>
      <c r="PE285" s="770"/>
      <c r="PF285" s="770"/>
      <c r="PG285" s="770"/>
      <c r="PH285" s="770"/>
      <c r="PI285" s="770"/>
      <c r="PJ285" s="770" t="s">
        <v>1208</v>
      </c>
      <c r="PK285" s="770"/>
      <c r="PL285" s="770"/>
      <c r="PM285" s="770"/>
      <c r="PN285" s="770"/>
      <c r="PO285" s="770"/>
      <c r="PP285" s="770"/>
      <c r="PQ285" s="770"/>
      <c r="PR285" s="770"/>
      <c r="PS285" s="770"/>
      <c r="PT285" s="770"/>
      <c r="PU285" s="770"/>
      <c r="PV285" s="770"/>
      <c r="PW285" s="770"/>
      <c r="PX285" s="770"/>
      <c r="PY285" s="770"/>
      <c r="PZ285" s="770"/>
      <c r="QA285" s="770"/>
      <c r="QB285" s="770"/>
      <c r="QC285" s="770"/>
      <c r="QD285" s="770"/>
      <c r="QE285" s="770"/>
      <c r="QF285" s="770"/>
      <c r="QG285" s="770"/>
      <c r="QH285" s="770"/>
      <c r="QI285" s="770"/>
      <c r="QJ285" s="770"/>
      <c r="QK285" s="770"/>
      <c r="QL285" s="770"/>
      <c r="QM285" s="770"/>
      <c r="QN285" s="770"/>
      <c r="QO285" s="770"/>
      <c r="QP285" s="770"/>
      <c r="QQ285" s="770"/>
      <c r="QR285" s="770"/>
      <c r="QS285" s="770"/>
      <c r="QT285" s="770"/>
      <c r="QU285" s="770"/>
      <c r="QV285" s="770"/>
      <c r="QW285" s="770"/>
      <c r="QX285" s="770"/>
      <c r="QY285" s="770"/>
      <c r="QZ285" s="770"/>
      <c r="RA285" s="770"/>
      <c r="RB285" s="770" t="s">
        <v>1207</v>
      </c>
      <c r="RC285" s="770">
        <v>2016</v>
      </c>
      <c r="RD285" s="770" t="s">
        <v>1217</v>
      </c>
      <c r="RE285" s="770"/>
      <c r="RF285" s="304">
        <v>1</v>
      </c>
      <c r="RG285" s="770" t="s">
        <v>13037</v>
      </c>
      <c r="RH285" s="302">
        <v>0</v>
      </c>
      <c r="RI285" s="770">
        <v>2</v>
      </c>
      <c r="RJ285" s="770" t="s">
        <v>13421</v>
      </c>
      <c r="RK285" s="770" t="s">
        <v>13381</v>
      </c>
      <c r="RL285" s="1710"/>
      <c r="RM285" s="12"/>
      <c r="RN285" s="1711"/>
      <c r="RO285" s="140" t="s">
        <v>482</v>
      </c>
      <c r="RP285" s="11"/>
      <c r="RQ285" s="11"/>
      <c r="RR285" s="19" t="s">
        <v>7421</v>
      </c>
      <c r="RS285" s="1139" t="s">
        <v>12980</v>
      </c>
      <c r="RT285" s="11"/>
      <c r="RU285" s="11"/>
      <c r="RV285" s="771" t="s">
        <v>7421</v>
      </c>
      <c r="RW285" s="11" t="s">
        <v>11856</v>
      </c>
      <c r="RX285" s="11" t="s">
        <v>477</v>
      </c>
      <c r="RY285" s="11"/>
      <c r="RZ285" s="11" t="s">
        <v>2209</v>
      </c>
      <c r="SA285" s="771"/>
      <c r="SB285" s="11"/>
      <c r="SC285" s="11"/>
    </row>
    <row r="286" spans="1:497" ht="12.75" customHeight="1">
      <c r="A286" s="767" t="s">
        <v>7421</v>
      </c>
      <c r="B286" s="292" t="s">
        <v>7618</v>
      </c>
      <c r="C286" s="140" t="s">
        <v>486</v>
      </c>
      <c r="D286" s="770" t="s">
        <v>487</v>
      </c>
      <c r="E286" s="766" t="s">
        <v>484</v>
      </c>
      <c r="F286" s="770" t="s">
        <v>28</v>
      </c>
      <c r="G286" s="770" t="s">
        <v>18</v>
      </c>
      <c r="H286" s="770"/>
      <c r="I286" s="295"/>
      <c r="J286" s="770" t="s">
        <v>487</v>
      </c>
      <c r="K286" s="770"/>
      <c r="L286" s="770"/>
      <c r="M286" s="770"/>
      <c r="N286" s="770"/>
      <c r="O286" s="770"/>
      <c r="P286" s="94" t="s">
        <v>487</v>
      </c>
      <c r="Q286" s="1088">
        <v>21182</v>
      </c>
      <c r="R286" s="297">
        <v>59</v>
      </c>
      <c r="S286" s="770" t="s">
        <v>18</v>
      </c>
      <c r="T286" s="770"/>
      <c r="U286" s="298"/>
      <c r="V286" s="770" t="s">
        <v>719</v>
      </c>
      <c r="W286" s="770"/>
      <c r="X286" s="296"/>
      <c r="Y286" s="770" t="s">
        <v>484</v>
      </c>
      <c r="Z286" s="770" t="s">
        <v>988</v>
      </c>
      <c r="AA286" s="770" t="s">
        <v>3439</v>
      </c>
      <c r="AB286" s="770" t="s">
        <v>710</v>
      </c>
      <c r="AC286" s="770" t="s">
        <v>991</v>
      </c>
      <c r="AD286" s="770" t="s">
        <v>790</v>
      </c>
      <c r="AE286" s="770"/>
      <c r="AF286" s="770" t="s">
        <v>992</v>
      </c>
      <c r="AG286" s="766" t="s">
        <v>1132</v>
      </c>
      <c r="AH286" s="766" t="s">
        <v>1096</v>
      </c>
      <c r="AI286" s="770"/>
      <c r="AJ286" s="770" t="s">
        <v>1137</v>
      </c>
      <c r="AK286" s="770" t="s">
        <v>1101</v>
      </c>
      <c r="AL286" s="299"/>
      <c r="AM286" s="300"/>
      <c r="AN286" s="301"/>
      <c r="AO286" s="766"/>
      <c r="AP286" s="766"/>
      <c r="AQ286" s="766"/>
      <c r="AR286" s="766"/>
      <c r="AS286" s="770"/>
      <c r="AT286" s="770"/>
      <c r="AU286" s="770"/>
      <c r="AV286" s="770"/>
      <c r="AW286" s="770"/>
      <c r="AX286" s="770"/>
      <c r="AY286" s="770"/>
      <c r="AZ286" s="770"/>
      <c r="BA286" s="770"/>
      <c r="BB286" s="770"/>
      <c r="BC286" s="770"/>
      <c r="BD286" s="770"/>
      <c r="BE286" s="770"/>
      <c r="BF286" s="302"/>
      <c r="BG286" s="302"/>
      <c r="BH286" s="770"/>
      <c r="BI286" s="770"/>
      <c r="BJ286" s="770"/>
      <c r="BK286" s="770" t="s">
        <v>1095</v>
      </c>
      <c r="BL286" s="766" t="s">
        <v>1995</v>
      </c>
      <c r="BM286" s="766" t="s">
        <v>1096</v>
      </c>
      <c r="BN286" s="766" t="s">
        <v>1230</v>
      </c>
      <c r="BO286" s="766" t="s">
        <v>1239</v>
      </c>
      <c r="BP286" s="1111">
        <v>63.6</v>
      </c>
      <c r="BQ286" s="772">
        <v>15</v>
      </c>
      <c r="BR286" s="774">
        <f>BQ286/BP286</f>
        <v>0.23584905660377359</v>
      </c>
      <c r="BS286" s="766" t="s">
        <v>1149</v>
      </c>
      <c r="BT286" s="766" t="s">
        <v>8133</v>
      </c>
      <c r="BU286" s="766" t="s">
        <v>1288</v>
      </c>
      <c r="BV286" s="770" t="s">
        <v>1247</v>
      </c>
      <c r="BW286" s="769"/>
      <c r="BX286" s="302"/>
      <c r="BY286" s="303"/>
      <c r="BZ286" s="770"/>
      <c r="CA286" s="302"/>
      <c r="CB286" s="302"/>
      <c r="CC286" s="770"/>
      <c r="CD286" s="770"/>
      <c r="CE286" s="770"/>
      <c r="CF286" s="304"/>
      <c r="CG286" s="321"/>
      <c r="CH286" s="770"/>
      <c r="CI286" s="770"/>
      <c r="CJ286" s="770"/>
      <c r="CK286" s="770"/>
      <c r="CL286" s="770"/>
      <c r="CM286" s="770"/>
      <c r="CN286" s="770"/>
      <c r="CO286" s="770"/>
      <c r="CP286" s="770"/>
      <c r="CQ286" s="770"/>
      <c r="CR286" s="770"/>
      <c r="CS286" s="302"/>
      <c r="CT286" s="770"/>
      <c r="CU286" s="305"/>
      <c r="CV286" s="770"/>
      <c r="CW286" s="770"/>
      <c r="CX286" s="770"/>
      <c r="CY286" s="770"/>
      <c r="CZ286" s="770"/>
      <c r="DA286" s="306"/>
      <c r="DB286" s="770"/>
      <c r="DC286" s="770"/>
      <c r="DD286" s="770"/>
      <c r="DE286" s="300"/>
      <c r="DF286" s="770"/>
      <c r="DG286" s="770"/>
      <c r="DH286" s="770"/>
      <c r="DI286" s="770"/>
      <c r="DJ286" s="770"/>
      <c r="DK286" s="770"/>
      <c r="DL286" s="770"/>
      <c r="DM286" s="770"/>
      <c r="DN286" s="322"/>
      <c r="DO286" s="770"/>
      <c r="DP286" s="770"/>
      <c r="DQ286" s="770"/>
      <c r="DR286" s="770"/>
      <c r="DS286" s="307"/>
      <c r="DT286" s="770"/>
      <c r="DU286" s="770"/>
      <c r="DV286" s="770"/>
      <c r="DW286" s="306"/>
      <c r="DX286" s="306"/>
      <c r="DY286" s="770"/>
      <c r="DZ286" s="770"/>
      <c r="EA286" s="770"/>
      <c r="EB286" s="770"/>
      <c r="EC286" s="770"/>
      <c r="ED286" s="770"/>
      <c r="EE286" s="770"/>
      <c r="EF286" s="770"/>
      <c r="EG286" s="770"/>
      <c r="EH286" s="770"/>
      <c r="EI286" s="770"/>
      <c r="EJ286" s="770"/>
      <c r="EK286" s="770"/>
      <c r="EL286" s="770"/>
      <c r="EM286" s="770"/>
      <c r="EN286" s="770"/>
      <c r="EO286" s="770"/>
      <c r="EP286" s="94"/>
      <c r="EQ286" s="770"/>
      <c r="ER286" s="770"/>
      <c r="ES286" s="770"/>
      <c r="ET286" s="770"/>
      <c r="EU286" s="770"/>
      <c r="EV286" s="770"/>
      <c r="EW286" s="770"/>
      <c r="EX286" s="770"/>
      <c r="EY286" s="770"/>
      <c r="EZ286" s="770"/>
      <c r="FA286" s="770"/>
      <c r="FB286" s="770"/>
      <c r="FC286" s="770"/>
      <c r="FD286" s="302"/>
      <c r="FE286" s="770"/>
      <c r="FF286" s="770"/>
      <c r="FG286" s="770"/>
      <c r="FH286" s="770" t="s">
        <v>478</v>
      </c>
      <c r="FI286" s="770">
        <v>3</v>
      </c>
      <c r="FJ286" s="770"/>
      <c r="FK286" s="770"/>
      <c r="FL286" s="770"/>
      <c r="FM286" s="302"/>
      <c r="FN286" s="302"/>
      <c r="FO286" s="302"/>
      <c r="FP286" s="766" t="s">
        <v>1602</v>
      </c>
      <c r="FQ286" s="766" t="s">
        <v>1660</v>
      </c>
      <c r="FR286" s="770" t="s">
        <v>1214</v>
      </c>
      <c r="FS286" s="770"/>
      <c r="FT286" s="770"/>
      <c r="FU286" s="770"/>
      <c r="FV286" s="770"/>
      <c r="FW286" s="770"/>
      <c r="FX286" s="770"/>
      <c r="FY286" s="770"/>
      <c r="FZ286" s="770"/>
      <c r="GA286" s="770"/>
      <c r="GB286" s="770"/>
      <c r="GC286" s="308"/>
      <c r="GD286" s="297"/>
      <c r="GE286" s="770" t="s">
        <v>1207</v>
      </c>
      <c r="GF286" s="302">
        <v>2000</v>
      </c>
      <c r="GG286" s="302">
        <f>GF286*12</f>
        <v>24000</v>
      </c>
      <c r="GH286" s="712" t="s">
        <v>1791</v>
      </c>
      <c r="GI286" s="770"/>
      <c r="GJ286" s="770"/>
      <c r="GK286" s="770" t="s">
        <v>2345</v>
      </c>
      <c r="GL286" s="770"/>
      <c r="GM286" s="770" t="s">
        <v>1214</v>
      </c>
      <c r="GN286" s="309"/>
      <c r="GO286" s="770"/>
      <c r="GP286" s="770" t="s">
        <v>1208</v>
      </c>
      <c r="GQ286" s="770"/>
      <c r="GR286" s="770"/>
      <c r="GS286" s="770"/>
      <c r="GT286" s="770"/>
      <c r="GU286" s="770"/>
      <c r="GV286" s="770"/>
      <c r="GW286" s="770" t="s">
        <v>1207</v>
      </c>
      <c r="GX286" s="770"/>
      <c r="GY286" s="770" t="s">
        <v>1208</v>
      </c>
      <c r="GZ286" s="770" t="s">
        <v>1208</v>
      </c>
      <c r="HA286" s="770" t="s">
        <v>1208</v>
      </c>
      <c r="HB286" s="770" t="s">
        <v>1208</v>
      </c>
      <c r="HC286" s="770" t="s">
        <v>1208</v>
      </c>
      <c r="HD286" s="770" t="s">
        <v>1208</v>
      </c>
      <c r="HE286" s="770"/>
      <c r="HF286" s="770"/>
      <c r="HG286" s="770"/>
      <c r="HH286" s="770"/>
      <c r="HI286" s="770" t="s">
        <v>1214</v>
      </c>
      <c r="HJ286" s="770"/>
      <c r="HK286" s="770"/>
      <c r="HL286" s="770"/>
      <c r="HM286" s="770"/>
      <c r="HN286" s="770"/>
      <c r="HO286" s="770"/>
      <c r="HP286" s="770"/>
      <c r="HQ286" s="770"/>
      <c r="HR286" s="770"/>
      <c r="HS286" s="770"/>
      <c r="HT286" s="770"/>
      <c r="HU286" s="770"/>
      <c r="HV286" s="770"/>
      <c r="HW286" s="770"/>
      <c r="HX286" s="770"/>
      <c r="HY286" s="770"/>
      <c r="HZ286" s="770"/>
      <c r="IA286" s="770"/>
      <c r="IB286" s="14" t="e">
        <f>IF(#REF!&gt;0,IF(#REF!&lt;=10000,"Y",""),"")</f>
        <v>#REF!</v>
      </c>
      <c r="IC286" s="770" t="s">
        <v>1207</v>
      </c>
      <c r="ID286" s="770"/>
      <c r="IE286" s="770"/>
      <c r="IF286" s="770" t="s">
        <v>487</v>
      </c>
      <c r="IG286" s="770" t="s">
        <v>18</v>
      </c>
      <c r="IH286" s="770" t="s">
        <v>478</v>
      </c>
      <c r="II286" s="766" t="s">
        <v>978</v>
      </c>
      <c r="IJ286" s="770" t="s">
        <v>1604</v>
      </c>
      <c r="IK286" s="766" t="s">
        <v>1888</v>
      </c>
      <c r="IL286" s="770" t="s">
        <v>1995</v>
      </c>
      <c r="IM286" s="770">
        <v>2009</v>
      </c>
      <c r="IN286" s="770" t="s">
        <v>1995</v>
      </c>
      <c r="IO286" s="296">
        <v>21182</v>
      </c>
      <c r="IP286" s="770" t="s">
        <v>478</v>
      </c>
      <c r="IQ286" s="13" t="s">
        <v>5498</v>
      </c>
      <c r="IR286" s="770" t="s">
        <v>2716</v>
      </c>
      <c r="IS286" s="770" t="s">
        <v>1984</v>
      </c>
      <c r="IT286" s="770"/>
      <c r="IU286" s="770" t="s">
        <v>1208</v>
      </c>
      <c r="IV286" s="770"/>
      <c r="IW286" s="770" t="s">
        <v>13422</v>
      </c>
      <c r="IX286" s="770"/>
      <c r="IY286" s="770"/>
      <c r="IZ286" s="770"/>
      <c r="JA286" s="770"/>
      <c r="JB286" s="770" t="s">
        <v>12781</v>
      </c>
      <c r="JC286" s="770"/>
      <c r="JD286" s="302">
        <v>2000</v>
      </c>
      <c r="JE286" s="770"/>
      <c r="JF286" s="770"/>
      <c r="JG286" s="770"/>
      <c r="JH286" s="770"/>
      <c r="JI286" s="712" t="str">
        <f t="shared" si="75"/>
        <v>ok</v>
      </c>
      <c r="JJ286" s="766">
        <v>2</v>
      </c>
      <c r="JK286" s="1139" t="s">
        <v>1995</v>
      </c>
      <c r="JL286" s="770"/>
      <c r="JM286" s="770"/>
      <c r="JN286" s="770"/>
      <c r="JO286" s="770">
        <v>2</v>
      </c>
      <c r="JP286" s="770"/>
      <c r="JQ286" s="770"/>
      <c r="JR286" s="770"/>
      <c r="JS286" s="770"/>
      <c r="JT286" s="766">
        <f t="shared" si="88"/>
        <v>0</v>
      </c>
      <c r="JU286" s="766">
        <f t="shared" si="88"/>
        <v>2</v>
      </c>
      <c r="JV286" s="712" t="str">
        <f t="shared" si="76"/>
        <v>ok</v>
      </c>
      <c r="JW286" s="712" t="str">
        <f t="shared" si="77"/>
        <v>ok</v>
      </c>
      <c r="JX286" s="770"/>
      <c r="JY286" s="770"/>
      <c r="JZ286" s="770"/>
      <c r="KA286" s="770"/>
      <c r="KB286" s="770"/>
      <c r="KC286" s="770"/>
      <c r="KD286" s="770"/>
      <c r="KE286" s="770">
        <v>2</v>
      </c>
      <c r="KF286" s="770"/>
      <c r="KG286" s="770"/>
      <c r="KH286" s="770"/>
      <c r="KI286" s="770"/>
      <c r="KJ286" s="770">
        <f t="shared" si="86"/>
        <v>0</v>
      </c>
      <c r="KK286" s="770">
        <f t="shared" si="86"/>
        <v>2</v>
      </c>
      <c r="KL286" s="712" t="str">
        <f t="shared" si="84"/>
        <v>ok</v>
      </c>
      <c r="KM286" s="712" t="str">
        <f t="shared" si="85"/>
        <v>ok</v>
      </c>
      <c r="KN286" s="770" t="s">
        <v>719</v>
      </c>
      <c r="KO286" s="770"/>
      <c r="KP286" s="770"/>
      <c r="KQ286" s="770"/>
      <c r="KR286" s="770"/>
      <c r="KS286" s="770"/>
      <c r="KT286" s="770"/>
      <c r="KU286" s="770"/>
      <c r="KV286" s="770"/>
      <c r="KW286" s="770"/>
      <c r="KX286" s="770"/>
      <c r="KY286" s="770">
        <v>1</v>
      </c>
      <c r="KZ286" s="770"/>
      <c r="LA286" s="770"/>
      <c r="LB286" s="770"/>
      <c r="LC286" s="770"/>
      <c r="LD286" s="770"/>
      <c r="LE286" s="770"/>
      <c r="LF286" s="770"/>
      <c r="LG286" s="770"/>
      <c r="LH286" s="770"/>
      <c r="LI286" s="770">
        <v>1</v>
      </c>
      <c r="LJ286" s="770"/>
      <c r="LK286" s="770"/>
      <c r="LL286" s="770"/>
      <c r="LM286" s="770"/>
      <c r="LN286" s="766">
        <f t="shared" si="71"/>
        <v>0</v>
      </c>
      <c r="LO286" s="766">
        <f t="shared" si="71"/>
        <v>2</v>
      </c>
      <c r="LP286" s="770">
        <v>2</v>
      </c>
      <c r="LQ286" s="770">
        <v>1</v>
      </c>
      <c r="LR286" s="770"/>
      <c r="LS286" s="770">
        <v>1</v>
      </c>
      <c r="LT286" s="712" t="str">
        <f t="shared" si="80"/>
        <v>OK</v>
      </c>
      <c r="LU286" s="770"/>
      <c r="LV286" s="770">
        <v>1</v>
      </c>
      <c r="LW286" s="770"/>
      <c r="LX286" s="769">
        <v>3</v>
      </c>
      <c r="LY286" s="766" t="str">
        <f t="shared" si="82"/>
        <v>within the PROVINCE</v>
      </c>
      <c r="LZ286" s="299">
        <f>30*26</f>
        <v>780</v>
      </c>
      <c r="MA286" s="306"/>
      <c r="MB286" s="306"/>
      <c r="MC286" s="1679">
        <f t="shared" si="70"/>
        <v>780</v>
      </c>
      <c r="MD286" s="306">
        <v>8000</v>
      </c>
      <c r="ME286" s="306"/>
      <c r="MF286" s="306">
        <f>SUM(2000,4000)</f>
        <v>6000</v>
      </c>
      <c r="MG286" s="1680">
        <f t="shared" si="81"/>
        <v>14000</v>
      </c>
      <c r="MH286" s="770" t="s">
        <v>4299</v>
      </c>
      <c r="MI286" s="302">
        <v>8000</v>
      </c>
      <c r="MJ286" s="302">
        <v>800</v>
      </c>
      <c r="MK286" s="302">
        <v>150</v>
      </c>
      <c r="ML286" s="302">
        <v>100</v>
      </c>
      <c r="MM286" s="302">
        <v>1200</v>
      </c>
      <c r="MN286" s="302">
        <v>3000</v>
      </c>
      <c r="MO286" s="302">
        <v>100</v>
      </c>
      <c r="MP286" s="302">
        <v>400</v>
      </c>
      <c r="MQ286" s="302">
        <v>300</v>
      </c>
      <c r="MR286" s="302">
        <v>100</v>
      </c>
      <c r="MS286" s="302">
        <v>200</v>
      </c>
      <c r="MT286" s="302"/>
      <c r="MU286" s="302"/>
      <c r="MV286" s="302"/>
      <c r="MW286" s="302"/>
      <c r="MX286" s="302"/>
      <c r="MY286" s="1682">
        <f t="shared" si="74"/>
        <v>14350</v>
      </c>
      <c r="MZ286" s="770" t="s">
        <v>13164</v>
      </c>
      <c r="NA286" s="770" t="s">
        <v>13005</v>
      </c>
      <c r="NB286" s="770" t="s">
        <v>13409</v>
      </c>
      <c r="NC286" s="770" t="s">
        <v>13007</v>
      </c>
      <c r="ND286" s="770">
        <v>0</v>
      </c>
      <c r="NE286" s="770">
        <v>0</v>
      </c>
      <c r="NF286" s="770">
        <v>0</v>
      </c>
      <c r="NG286" s="770">
        <v>1</v>
      </c>
      <c r="NH286" s="770">
        <v>0</v>
      </c>
      <c r="NI286" s="770">
        <v>0</v>
      </c>
      <c r="NJ286" s="770">
        <v>0</v>
      </c>
      <c r="NK286" s="770">
        <v>0</v>
      </c>
      <c r="NL286" s="770">
        <v>0</v>
      </c>
      <c r="NM286" s="770">
        <v>0</v>
      </c>
      <c r="NN286" s="770">
        <v>0</v>
      </c>
      <c r="NO286" s="770">
        <v>0</v>
      </c>
      <c r="NP286" s="770">
        <v>0</v>
      </c>
      <c r="NQ286" s="770">
        <v>0</v>
      </c>
      <c r="NR286" s="770">
        <v>0</v>
      </c>
      <c r="NS286" s="770">
        <v>0</v>
      </c>
      <c r="NT286" s="770">
        <v>0</v>
      </c>
      <c r="NU286" s="770">
        <v>0</v>
      </c>
      <c r="NV286" s="770">
        <v>0</v>
      </c>
      <c r="NW286" s="770">
        <v>0</v>
      </c>
      <c r="NX286" s="770">
        <v>0</v>
      </c>
      <c r="NY286" s="770" t="s">
        <v>1208</v>
      </c>
      <c r="NZ286" s="770" t="s">
        <v>1208</v>
      </c>
      <c r="OA286" s="770" t="s">
        <v>1208</v>
      </c>
      <c r="OB286" s="770" t="s">
        <v>1208</v>
      </c>
      <c r="OC286" s="770" t="s">
        <v>1208</v>
      </c>
      <c r="OD286" s="770" t="s">
        <v>1208</v>
      </c>
      <c r="OE286" s="770"/>
      <c r="OF286" s="1828" t="s">
        <v>3650</v>
      </c>
      <c r="OG286" s="770"/>
      <c r="OH286" s="770"/>
      <c r="OI286" s="770"/>
      <c r="OJ286" s="770"/>
      <c r="OK286" s="770"/>
      <c r="OL286" s="770"/>
      <c r="OM286" s="770"/>
      <c r="ON286" s="770"/>
      <c r="OO286" s="770"/>
      <c r="OP286" s="770"/>
      <c r="OQ286" s="770"/>
      <c r="OR286" s="770"/>
      <c r="OS286" s="770"/>
      <c r="OT286" s="770"/>
      <c r="OU286" s="770"/>
      <c r="OV286" s="770"/>
      <c r="OW286" s="770"/>
      <c r="OX286" s="770"/>
      <c r="OY286" s="770"/>
      <c r="OZ286" s="770"/>
      <c r="PA286" s="770"/>
      <c r="PB286" s="770"/>
      <c r="PC286" s="770"/>
      <c r="PD286" s="770"/>
      <c r="PE286" s="770"/>
      <c r="PF286" s="770"/>
      <c r="PG286" s="770"/>
      <c r="PH286" s="770"/>
      <c r="PI286" s="770"/>
      <c r="PJ286" s="770"/>
      <c r="PK286" s="770" t="s">
        <v>1208</v>
      </c>
      <c r="PL286" s="770"/>
      <c r="PM286" s="770"/>
      <c r="PN286" s="770"/>
      <c r="PO286" s="770"/>
      <c r="PP286" s="770"/>
      <c r="PQ286" s="770"/>
      <c r="PR286" s="770"/>
      <c r="PS286" s="770"/>
      <c r="PT286" s="770"/>
      <c r="PU286" s="770"/>
      <c r="PV286" s="770"/>
      <c r="PW286" s="770"/>
      <c r="PX286" s="770"/>
      <c r="PY286" s="770"/>
      <c r="PZ286" s="770"/>
      <c r="QA286" s="770"/>
      <c r="QB286" s="770"/>
      <c r="QC286" s="770"/>
      <c r="QD286" s="770"/>
      <c r="QE286" s="770"/>
      <c r="QF286" s="770"/>
      <c r="QG286" s="770"/>
      <c r="QH286" s="770"/>
      <c r="QI286" s="770"/>
      <c r="QJ286" s="770"/>
      <c r="QK286" s="770"/>
      <c r="QL286" s="770"/>
      <c r="QM286" s="770"/>
      <c r="QN286" s="770"/>
      <c r="QO286" s="770"/>
      <c r="QP286" s="770"/>
      <c r="QQ286" s="770"/>
      <c r="QR286" s="770"/>
      <c r="QS286" s="770"/>
      <c r="QT286" s="770"/>
      <c r="QU286" s="770"/>
      <c r="QV286" s="770"/>
      <c r="QW286" s="770"/>
      <c r="QX286" s="770"/>
      <c r="QY286" s="770"/>
      <c r="QZ286" s="770"/>
      <c r="RA286" s="770"/>
      <c r="RB286" s="770" t="s">
        <v>1214</v>
      </c>
      <c r="RC286" s="770"/>
      <c r="RD286" s="770"/>
      <c r="RE286" s="770"/>
      <c r="RF286" s="304"/>
      <c r="RG286" s="770"/>
      <c r="RH286" s="302"/>
      <c r="RI286" s="770"/>
      <c r="RJ286" s="770" t="s">
        <v>1995</v>
      </c>
      <c r="RK286" s="770" t="s">
        <v>13378</v>
      </c>
      <c r="RL286" s="1710" t="s">
        <v>1604</v>
      </c>
      <c r="RM286" s="12"/>
      <c r="RN286" s="1711"/>
      <c r="RO286" s="140" t="s">
        <v>486</v>
      </c>
      <c r="RP286" s="11"/>
      <c r="RQ286" s="11"/>
      <c r="RR286" s="19" t="s">
        <v>7421</v>
      </c>
      <c r="RS286" s="1139" t="s">
        <v>12980</v>
      </c>
      <c r="RT286" s="11"/>
      <c r="RU286" s="11"/>
      <c r="RV286" s="771" t="s">
        <v>7421</v>
      </c>
      <c r="RW286" s="11" t="s">
        <v>7616</v>
      </c>
      <c r="RX286" s="11" t="s">
        <v>479</v>
      </c>
      <c r="RY286" s="11"/>
      <c r="RZ286" s="11" t="s">
        <v>2209</v>
      </c>
      <c r="SA286" s="771"/>
      <c r="SB286" s="11"/>
      <c r="SC286" s="11"/>
    </row>
    <row r="287" spans="1:497" ht="12.75" customHeight="1">
      <c r="A287" s="49" t="s">
        <v>12353</v>
      </c>
      <c r="B287" s="292" t="s">
        <v>7620</v>
      </c>
      <c r="C287" s="140" t="s">
        <v>486</v>
      </c>
      <c r="D287" s="770" t="s">
        <v>5622</v>
      </c>
      <c r="E287" s="766" t="s">
        <v>484</v>
      </c>
      <c r="F287" s="770" t="s">
        <v>20</v>
      </c>
      <c r="G287" s="770" t="s">
        <v>18</v>
      </c>
      <c r="H287" s="770"/>
      <c r="I287" s="295"/>
      <c r="J287" s="770" t="s">
        <v>993</v>
      </c>
      <c r="K287" s="770"/>
      <c r="L287" s="770"/>
      <c r="M287" s="770"/>
      <c r="N287" s="770"/>
      <c r="O287" s="770"/>
      <c r="P287" s="94" t="s">
        <v>5623</v>
      </c>
      <c r="Q287" s="1088">
        <v>34144</v>
      </c>
      <c r="R287" s="297">
        <v>23</v>
      </c>
      <c r="S287" s="770" t="s">
        <v>10</v>
      </c>
      <c r="T287" s="770"/>
      <c r="U287" s="298" t="s">
        <v>994</v>
      </c>
      <c r="V287" s="770" t="s">
        <v>722</v>
      </c>
      <c r="W287" s="770"/>
      <c r="X287" s="296"/>
      <c r="Y287" s="770" t="s">
        <v>484</v>
      </c>
      <c r="Z287" s="770" t="s">
        <v>988</v>
      </c>
      <c r="AA287" s="770" t="s">
        <v>709</v>
      </c>
      <c r="AB287" s="770" t="s">
        <v>7275</v>
      </c>
      <c r="AC287" s="770" t="s">
        <v>991</v>
      </c>
      <c r="AD287" s="770"/>
      <c r="AE287" s="770"/>
      <c r="AF287" s="770"/>
      <c r="AG287" s="770"/>
      <c r="AH287" s="770"/>
      <c r="AI287" s="770"/>
      <c r="AJ287" s="770"/>
      <c r="AK287" s="770" t="s">
        <v>1101</v>
      </c>
      <c r="AL287" s="299"/>
      <c r="AM287" s="300"/>
      <c r="AN287" s="301"/>
      <c r="AO287" s="766"/>
      <c r="AP287" s="766"/>
      <c r="AQ287" s="766"/>
      <c r="AR287" s="766"/>
      <c r="AS287" s="770"/>
      <c r="AT287" s="770"/>
      <c r="AU287" s="770"/>
      <c r="AV287" s="770"/>
      <c r="AW287" s="770"/>
      <c r="AX287" s="770"/>
      <c r="AY287" s="770"/>
      <c r="AZ287" s="770"/>
      <c r="BA287" s="770"/>
      <c r="BB287" s="770"/>
      <c r="BC287" s="770"/>
      <c r="BD287" s="770"/>
      <c r="BE287" s="770"/>
      <c r="BF287" s="302"/>
      <c r="BG287" s="302"/>
      <c r="BH287" s="770"/>
      <c r="BI287" s="770"/>
      <c r="BJ287" s="770"/>
      <c r="BK287" s="770"/>
      <c r="BL287" s="766"/>
      <c r="BM287" s="766" t="s">
        <v>1238</v>
      </c>
      <c r="BN287" s="766" t="s">
        <v>1299</v>
      </c>
      <c r="BO287" s="770"/>
      <c r="BP287" s="780"/>
      <c r="BQ287" s="772"/>
      <c r="BR287" s="774"/>
      <c r="BS287" s="766" t="s">
        <v>1149</v>
      </c>
      <c r="BT287" s="766"/>
      <c r="BU287" s="770"/>
      <c r="BV287" s="770"/>
      <c r="BW287" s="770"/>
      <c r="BX287" s="302"/>
      <c r="BY287" s="770"/>
      <c r="BZ287" s="302"/>
      <c r="CA287" s="770"/>
      <c r="CB287" s="770"/>
      <c r="CC287" s="770"/>
      <c r="CD287" s="770"/>
      <c r="CE287" s="770"/>
      <c r="CF287" s="770"/>
      <c r="CG287" s="770"/>
      <c r="CH287" s="770"/>
      <c r="CI287" s="770"/>
      <c r="CJ287" s="770"/>
      <c r="CK287" s="770"/>
      <c r="CL287" s="770"/>
      <c r="CM287" s="770"/>
      <c r="CN287" s="770"/>
      <c r="CO287" s="770"/>
      <c r="CP287" s="770"/>
      <c r="CQ287" s="770"/>
      <c r="CR287" s="302"/>
      <c r="CS287" s="770"/>
      <c r="CT287" s="770"/>
      <c r="CU287" s="305"/>
      <c r="CV287" s="770"/>
      <c r="CW287" s="770"/>
      <c r="CX287" s="770"/>
      <c r="CY287" s="770"/>
      <c r="CZ287" s="770"/>
      <c r="DA287" s="770"/>
      <c r="DB287" s="770"/>
      <c r="DC287" s="770"/>
      <c r="DD287" s="770"/>
      <c r="DE287" s="770"/>
      <c r="DF287" s="770"/>
      <c r="DG287" s="770"/>
      <c r="DH287" s="770"/>
      <c r="DI287" s="770"/>
      <c r="DJ287" s="770"/>
      <c r="DK287" s="770"/>
      <c r="DL287" s="770"/>
      <c r="DM287" s="770"/>
      <c r="DN287" s="770"/>
      <c r="DO287" s="770"/>
      <c r="DP287" s="770"/>
      <c r="DQ287" s="770"/>
      <c r="DR287" s="770"/>
      <c r="DS287" s="307"/>
      <c r="DT287" s="770"/>
      <c r="DU287" s="770"/>
      <c r="DV287" s="770"/>
      <c r="DW287" s="306"/>
      <c r="DX287" s="306"/>
      <c r="DY287" s="770"/>
      <c r="DZ287" s="770"/>
      <c r="EA287" s="770"/>
      <c r="EB287" s="770"/>
      <c r="EC287" s="770"/>
      <c r="ED287" s="770"/>
      <c r="EE287" s="770"/>
      <c r="EF287" s="770"/>
      <c r="EG287" s="770"/>
      <c r="EH287" s="770"/>
      <c r="EI287" s="770"/>
      <c r="EJ287" s="770"/>
      <c r="EK287" s="770"/>
      <c r="EL287" s="770"/>
      <c r="EM287" s="770"/>
      <c r="EN287" s="770"/>
      <c r="EO287" s="770"/>
      <c r="EP287" s="770"/>
      <c r="EQ287" s="770"/>
      <c r="ER287" s="770"/>
      <c r="ES287" s="770"/>
      <c r="ET287" s="770"/>
      <c r="EU287" s="770"/>
      <c r="EV287" s="770"/>
      <c r="EW287" s="770"/>
      <c r="EX287" s="770"/>
      <c r="EY287" s="770"/>
      <c r="EZ287" s="770"/>
      <c r="FA287" s="770"/>
      <c r="FB287" s="770"/>
      <c r="FC287" s="770"/>
      <c r="FD287" s="302"/>
      <c r="FE287" s="770"/>
      <c r="FF287" s="770"/>
      <c r="FG287" s="770"/>
      <c r="FH287" s="769" t="s">
        <v>1299</v>
      </c>
      <c r="FI287" s="770"/>
      <c r="FJ287" s="770" t="s">
        <v>5624</v>
      </c>
      <c r="FK287" s="770"/>
      <c r="FL287" s="770"/>
      <c r="FM287" s="302"/>
      <c r="FN287" s="302"/>
      <c r="FO287" s="302"/>
      <c r="FP287" s="766" t="s">
        <v>1602</v>
      </c>
      <c r="FQ287" s="766" t="s">
        <v>1660</v>
      </c>
      <c r="FR287" s="770" t="s">
        <v>1214</v>
      </c>
      <c r="FS287" s="770"/>
      <c r="FT287" s="770"/>
      <c r="FU287" s="770"/>
      <c r="FV287" s="770"/>
      <c r="FW287" s="770"/>
      <c r="FX287" s="770"/>
      <c r="FY287" s="770"/>
      <c r="FZ287" s="770"/>
      <c r="GA287" s="770"/>
      <c r="GB287" s="770"/>
      <c r="GC287" s="308"/>
      <c r="GD287" s="297"/>
      <c r="GE287" s="770"/>
      <c r="GF287" s="302"/>
      <c r="GG287" s="302"/>
      <c r="GH287" s="770" t="s">
        <v>1791</v>
      </c>
      <c r="GI287" s="770"/>
      <c r="GJ287" s="770"/>
      <c r="GK287" s="770" t="s">
        <v>2345</v>
      </c>
      <c r="GL287" s="770"/>
      <c r="GM287" s="770"/>
      <c r="GN287" s="309"/>
      <c r="GO287" s="770"/>
      <c r="GP287" s="770"/>
      <c r="GQ287" s="770"/>
      <c r="GR287" s="770"/>
      <c r="GS287" s="770"/>
      <c r="GT287" s="770"/>
      <c r="GU287" s="770"/>
      <c r="GV287" s="770"/>
      <c r="GW287" s="770"/>
      <c r="GX287" s="770"/>
      <c r="GY287" s="770"/>
      <c r="GZ287" s="770"/>
      <c r="HA287" s="770"/>
      <c r="HB287" s="770"/>
      <c r="HC287" s="770"/>
      <c r="HD287" s="770"/>
      <c r="HE287" s="770"/>
      <c r="HF287" s="770"/>
      <c r="HG287" s="770"/>
      <c r="HH287" s="770"/>
      <c r="HI287" s="770" t="s">
        <v>1214</v>
      </c>
      <c r="HJ287" s="770"/>
      <c r="HK287" s="770"/>
      <c r="HL287" s="770" t="s">
        <v>1214</v>
      </c>
      <c r="HM287" s="770"/>
      <c r="HN287" s="770"/>
      <c r="HO287" s="770"/>
      <c r="HP287" s="770"/>
      <c r="HQ287" s="770"/>
      <c r="HR287" s="770"/>
      <c r="HS287" s="770"/>
      <c r="HT287" s="770"/>
      <c r="HU287" s="770"/>
      <c r="HV287" s="770"/>
      <c r="HW287" s="770"/>
      <c r="HX287" s="770"/>
      <c r="HY287" s="770"/>
      <c r="HZ287" s="770"/>
      <c r="IA287" s="770"/>
      <c r="IB287" s="14" t="e">
        <f>IF(#REF!&gt;0,IF(#REF!&lt;=10000,"Y",""),"")</f>
        <v>#REF!</v>
      </c>
      <c r="IC287" s="770"/>
      <c r="ID287" s="770"/>
      <c r="IE287" s="770">
        <v>1</v>
      </c>
      <c r="IF287" s="770"/>
      <c r="IG287" s="770"/>
      <c r="IH287" s="770"/>
      <c r="II287" s="770"/>
      <c r="IJ287" s="770"/>
      <c r="IK287" s="770"/>
      <c r="IL287" s="770"/>
      <c r="IM287" s="770"/>
      <c r="IN287" s="770"/>
      <c r="IO287" s="296"/>
      <c r="IP287" s="770"/>
      <c r="IQ287" s="770"/>
      <c r="IR287" s="770"/>
      <c r="IS287" s="770"/>
      <c r="IT287" s="770"/>
      <c r="IU287" s="770"/>
      <c r="IV287" s="770"/>
      <c r="IW287" s="770"/>
      <c r="IX287" s="770"/>
      <c r="IY287" s="770"/>
      <c r="IZ287" s="770"/>
      <c r="JA287" s="770"/>
      <c r="JB287" s="770"/>
      <c r="JC287" s="770"/>
      <c r="JD287" s="302"/>
      <c r="JE287" s="770"/>
      <c r="JF287" s="770"/>
      <c r="JG287" s="770"/>
      <c r="JH287" s="770"/>
      <c r="JI287" s="712" t="str">
        <f t="shared" si="75"/>
        <v>ok</v>
      </c>
      <c r="JJ287" s="766">
        <v>6</v>
      </c>
      <c r="JK287" s="1139" t="s">
        <v>2104</v>
      </c>
      <c r="JL287" s="770">
        <v>3</v>
      </c>
      <c r="JM287" s="770">
        <v>1</v>
      </c>
      <c r="JN287" s="770">
        <v>1</v>
      </c>
      <c r="JO287" s="770">
        <v>1</v>
      </c>
      <c r="JP287" s="770"/>
      <c r="JQ287" s="770"/>
      <c r="JR287" s="770"/>
      <c r="JS287" s="770"/>
      <c r="JT287" s="766">
        <f t="shared" si="88"/>
        <v>4</v>
      </c>
      <c r="JU287" s="766">
        <f t="shared" si="88"/>
        <v>2</v>
      </c>
      <c r="JV287" s="712" t="str">
        <f t="shared" si="76"/>
        <v>ok</v>
      </c>
      <c r="JW287" s="712" t="str">
        <f t="shared" si="77"/>
        <v>ok</v>
      </c>
      <c r="JX287" s="770"/>
      <c r="JY287" s="770">
        <v>1</v>
      </c>
      <c r="JZ287" s="770">
        <v>3</v>
      </c>
      <c r="KA287" s="770"/>
      <c r="KB287" s="770">
        <v>1</v>
      </c>
      <c r="KC287" s="770"/>
      <c r="KD287" s="770"/>
      <c r="KE287" s="770">
        <v>1</v>
      </c>
      <c r="KF287" s="770"/>
      <c r="KG287" s="770"/>
      <c r="KH287" s="770"/>
      <c r="KI287" s="770"/>
      <c r="KJ287" s="770">
        <f t="shared" si="86"/>
        <v>4</v>
      </c>
      <c r="KK287" s="770">
        <f t="shared" si="86"/>
        <v>2</v>
      </c>
      <c r="KL287" s="712" t="str">
        <f t="shared" si="84"/>
        <v>ok</v>
      </c>
      <c r="KM287" s="712" t="str">
        <f t="shared" si="85"/>
        <v>ok</v>
      </c>
      <c r="KN287" s="770" t="s">
        <v>722</v>
      </c>
      <c r="KO287" s="770"/>
      <c r="KP287" s="770"/>
      <c r="KQ287" s="770"/>
      <c r="KR287" s="770"/>
      <c r="KS287" s="770"/>
      <c r="KT287" s="770">
        <v>3</v>
      </c>
      <c r="KU287" s="770"/>
      <c r="KV287" s="770"/>
      <c r="KW287" s="770"/>
      <c r="KX287" s="770"/>
      <c r="KY287" s="770"/>
      <c r="KZ287" s="770">
        <v>1</v>
      </c>
      <c r="LA287" s="770">
        <v>1</v>
      </c>
      <c r="LB287" s="770"/>
      <c r="LC287" s="770"/>
      <c r="LD287" s="770"/>
      <c r="LE287" s="770"/>
      <c r="LF287" s="770"/>
      <c r="LG287" s="770"/>
      <c r="LH287" s="770"/>
      <c r="LI287" s="770"/>
      <c r="LJ287" s="770"/>
      <c r="LK287" s="770">
        <v>1</v>
      </c>
      <c r="LL287" s="770"/>
      <c r="LM287" s="770"/>
      <c r="LN287" s="766">
        <f t="shared" si="71"/>
        <v>4</v>
      </c>
      <c r="LO287" s="766">
        <f t="shared" si="71"/>
        <v>2</v>
      </c>
      <c r="LP287" s="770">
        <v>1</v>
      </c>
      <c r="LQ287" s="770">
        <v>1</v>
      </c>
      <c r="LR287" s="770"/>
      <c r="LS287" s="770"/>
      <c r="LT287" s="712" t="str">
        <f t="shared" si="80"/>
        <v>OK</v>
      </c>
      <c r="LU287" s="770"/>
      <c r="LV287" s="770">
        <v>1</v>
      </c>
      <c r="LW287" s="770"/>
      <c r="LX287" s="769">
        <v>2</v>
      </c>
      <c r="LY287" s="766" t="str">
        <f t="shared" si="82"/>
        <v>within the MUNICIPALITY</v>
      </c>
      <c r="LZ287" s="299">
        <f>34*26</f>
        <v>884</v>
      </c>
      <c r="MA287" s="1709"/>
      <c r="MB287" s="1709"/>
      <c r="MC287" s="1679">
        <f t="shared" si="70"/>
        <v>884</v>
      </c>
      <c r="MD287" s="1709">
        <f>AVERAGE(6000,8000)</f>
        <v>7000</v>
      </c>
      <c r="ME287" s="1709"/>
      <c r="MF287" s="1709"/>
      <c r="MG287" s="1680">
        <f t="shared" si="81"/>
        <v>7000</v>
      </c>
      <c r="MH287" s="770" t="s">
        <v>2198</v>
      </c>
      <c r="MI287" s="302">
        <v>6500</v>
      </c>
      <c r="MJ287" s="302">
        <v>1020</v>
      </c>
      <c r="MK287" s="302">
        <v>250</v>
      </c>
      <c r="ML287" s="302">
        <v>500</v>
      </c>
      <c r="MM287" s="302">
        <v>1200</v>
      </c>
      <c r="MN287" s="302"/>
      <c r="MO287" s="302"/>
      <c r="MP287" s="302">
        <v>400</v>
      </c>
      <c r="MQ287" s="302">
        <v>600</v>
      </c>
      <c r="MR287" s="302">
        <v>1200</v>
      </c>
      <c r="MS287" s="302"/>
      <c r="MT287" s="302"/>
      <c r="MU287" s="302"/>
      <c r="MV287" s="302"/>
      <c r="MW287" s="302"/>
      <c r="MX287" s="302"/>
      <c r="MY287" s="1682">
        <f t="shared" si="74"/>
        <v>11670</v>
      </c>
      <c r="MZ287" s="770" t="s">
        <v>13164</v>
      </c>
      <c r="NA287" s="770" t="s">
        <v>13065</v>
      </c>
      <c r="NB287" s="770" t="s">
        <v>13409</v>
      </c>
      <c r="NC287" s="770" t="s">
        <v>13007</v>
      </c>
      <c r="ND287" s="770">
        <v>0</v>
      </c>
      <c r="NE287" s="770">
        <v>0</v>
      </c>
      <c r="NF287" s="770">
        <v>0</v>
      </c>
      <c r="NG287" s="770">
        <v>2</v>
      </c>
      <c r="NH287" s="770">
        <v>2</v>
      </c>
      <c r="NI287" s="770">
        <v>0</v>
      </c>
      <c r="NJ287" s="770">
        <v>1</v>
      </c>
      <c r="NK287" s="770">
        <v>0</v>
      </c>
      <c r="NL287" s="770">
        <v>0</v>
      </c>
      <c r="NM287" s="770">
        <v>0</v>
      </c>
      <c r="NN287" s="770">
        <v>0</v>
      </c>
      <c r="NO287" s="770">
        <v>0</v>
      </c>
      <c r="NP287" s="770">
        <v>0</v>
      </c>
      <c r="NQ287" s="770">
        <v>0</v>
      </c>
      <c r="NR287" s="770">
        <v>0</v>
      </c>
      <c r="NS287" s="770">
        <v>0</v>
      </c>
      <c r="NT287" s="770">
        <v>0</v>
      </c>
      <c r="NU287" s="770">
        <v>0</v>
      </c>
      <c r="NV287" s="770">
        <v>0</v>
      </c>
      <c r="NW287" s="770">
        <v>0</v>
      </c>
      <c r="NX287" s="770">
        <v>0</v>
      </c>
      <c r="NY287" s="770" t="s">
        <v>1208</v>
      </c>
      <c r="NZ287" s="770" t="s">
        <v>1208</v>
      </c>
      <c r="OA287" s="770" t="s">
        <v>1208</v>
      </c>
      <c r="OB287" s="770" t="s">
        <v>1208</v>
      </c>
      <c r="OC287" s="770" t="s">
        <v>1208</v>
      </c>
      <c r="OD287" s="770" t="s">
        <v>1208</v>
      </c>
      <c r="OE287" s="770"/>
      <c r="OF287" s="770" t="s">
        <v>2140</v>
      </c>
      <c r="OG287" s="770"/>
      <c r="OH287" s="770"/>
      <c r="OI287" s="770"/>
      <c r="OJ287" s="770"/>
      <c r="OK287" s="770"/>
      <c r="OL287" s="770"/>
      <c r="OM287" s="770"/>
      <c r="ON287" s="770"/>
      <c r="OO287" s="770"/>
      <c r="OP287" s="770"/>
      <c r="OQ287" s="770"/>
      <c r="OR287" s="770"/>
      <c r="OS287" s="770"/>
      <c r="OT287" s="770"/>
      <c r="OU287" s="770"/>
      <c r="OV287" s="770"/>
      <c r="OW287" s="770"/>
      <c r="OX287" s="770"/>
      <c r="OY287" s="770"/>
      <c r="OZ287" s="770"/>
      <c r="PA287" s="770"/>
      <c r="PB287" s="770"/>
      <c r="PC287" s="770"/>
      <c r="PD287" s="770"/>
      <c r="PE287" s="770"/>
      <c r="PF287" s="770"/>
      <c r="PG287" s="770"/>
      <c r="PH287" s="770"/>
      <c r="PI287" s="770"/>
      <c r="PJ287" s="770"/>
      <c r="PK287" s="770"/>
      <c r="PL287" s="770"/>
      <c r="PM287" s="770"/>
      <c r="PN287" s="770"/>
      <c r="PO287" s="770"/>
      <c r="PP287" s="770"/>
      <c r="PQ287" s="770"/>
      <c r="PR287" s="770"/>
      <c r="PS287" s="770"/>
      <c r="PT287" s="770"/>
      <c r="PU287" s="770"/>
      <c r="PV287" s="770"/>
      <c r="PW287" s="770"/>
      <c r="PX287" s="770"/>
      <c r="PY287" s="770"/>
      <c r="PZ287" s="770"/>
      <c r="QA287" s="770"/>
      <c r="QB287" s="770"/>
      <c r="QC287" s="770"/>
      <c r="QD287" s="770"/>
      <c r="QE287" s="770"/>
      <c r="QF287" s="770"/>
      <c r="QG287" s="770"/>
      <c r="QH287" s="770"/>
      <c r="QI287" s="770"/>
      <c r="QJ287" s="770"/>
      <c r="QK287" s="770"/>
      <c r="QL287" s="770"/>
      <c r="QM287" s="770"/>
      <c r="QN287" s="770"/>
      <c r="QO287" s="770"/>
      <c r="QP287" s="770"/>
      <c r="QQ287" s="770"/>
      <c r="QR287" s="770"/>
      <c r="QS287" s="770"/>
      <c r="QT287" s="770"/>
      <c r="QU287" s="770"/>
      <c r="QV287" s="770"/>
      <c r="QW287" s="770"/>
      <c r="QX287" s="770"/>
      <c r="QY287" s="770"/>
      <c r="QZ287" s="770"/>
      <c r="RA287" s="770"/>
      <c r="RB287" s="770" t="s">
        <v>1214</v>
      </c>
      <c r="RC287" s="770"/>
      <c r="RD287" s="770"/>
      <c r="RE287" s="770"/>
      <c r="RF287" s="304"/>
      <c r="RG287" s="770"/>
      <c r="RH287" s="302"/>
      <c r="RI287" s="770"/>
      <c r="RJ287" s="770" t="s">
        <v>13423</v>
      </c>
      <c r="RK287" s="770" t="s">
        <v>13378</v>
      </c>
      <c r="RL287" s="1710" t="s">
        <v>1604</v>
      </c>
      <c r="RM287" s="12"/>
      <c r="RN287" s="1711"/>
      <c r="RO287" s="140" t="s">
        <v>486</v>
      </c>
      <c r="RP287" s="11"/>
      <c r="RQ287" s="11"/>
      <c r="RR287" s="311" t="s">
        <v>12353</v>
      </c>
      <c r="RS287" s="1139" t="s">
        <v>12980</v>
      </c>
      <c r="RT287" s="11"/>
      <c r="RU287" s="11"/>
      <c r="RV287" s="771" t="s">
        <v>7421</v>
      </c>
      <c r="RW287" s="11" t="s">
        <v>7617</v>
      </c>
      <c r="RX287" s="11" t="s">
        <v>482</v>
      </c>
      <c r="RY287" s="11"/>
      <c r="RZ287" s="11"/>
      <c r="SA287" s="771"/>
      <c r="SB287" s="11"/>
      <c r="SC287" s="11"/>
    </row>
    <row r="288" spans="1:497" ht="12.75" customHeight="1">
      <c r="A288" s="49" t="s">
        <v>12452</v>
      </c>
      <c r="B288" s="292" t="s">
        <v>7619</v>
      </c>
      <c r="C288" s="140" t="s">
        <v>486</v>
      </c>
      <c r="D288" s="770" t="s">
        <v>995</v>
      </c>
      <c r="E288" s="766" t="s">
        <v>7250</v>
      </c>
      <c r="F288" s="770" t="s">
        <v>28</v>
      </c>
      <c r="G288" s="770" t="s">
        <v>18</v>
      </c>
      <c r="H288" s="770"/>
      <c r="I288" s="295"/>
      <c r="J288" s="770" t="s">
        <v>995</v>
      </c>
      <c r="K288" s="770"/>
      <c r="L288" s="770"/>
      <c r="M288" s="770"/>
      <c r="N288" s="770"/>
      <c r="O288" s="770"/>
      <c r="P288" s="94" t="s">
        <v>5625</v>
      </c>
      <c r="Q288" s="1088">
        <v>30127</v>
      </c>
      <c r="R288" s="297">
        <v>35</v>
      </c>
      <c r="S288" s="770" t="s">
        <v>18</v>
      </c>
      <c r="T288" s="770"/>
      <c r="U288" s="298" t="s">
        <v>996</v>
      </c>
      <c r="V288" s="770" t="s">
        <v>707</v>
      </c>
      <c r="W288" s="770"/>
      <c r="X288" s="296"/>
      <c r="Y288" s="770" t="s">
        <v>997</v>
      </c>
      <c r="Z288" s="770" t="s">
        <v>988</v>
      </c>
      <c r="AA288" s="770" t="s">
        <v>723</v>
      </c>
      <c r="AB288" s="766" t="s">
        <v>7274</v>
      </c>
      <c r="AC288" s="770"/>
      <c r="AD288" s="770"/>
      <c r="AE288" s="770"/>
      <c r="AF288" s="770" t="s">
        <v>798</v>
      </c>
      <c r="AG288" s="770"/>
      <c r="AH288" s="770"/>
      <c r="AI288" s="770"/>
      <c r="AJ288" s="770"/>
      <c r="AK288" s="770" t="s">
        <v>1101</v>
      </c>
      <c r="AL288" s="299"/>
      <c r="AM288" s="300"/>
      <c r="AN288" s="301"/>
      <c r="AO288" s="766"/>
      <c r="AP288" s="766"/>
      <c r="AQ288" s="766"/>
      <c r="AR288" s="766"/>
      <c r="AS288" s="770"/>
      <c r="AT288" s="770"/>
      <c r="AU288" s="770"/>
      <c r="AV288" s="770"/>
      <c r="AW288" s="770"/>
      <c r="AX288" s="770"/>
      <c r="AY288" s="770"/>
      <c r="AZ288" s="770"/>
      <c r="BA288" s="770"/>
      <c r="BB288" s="770"/>
      <c r="BC288" s="770"/>
      <c r="BD288" s="770"/>
      <c r="BE288" s="770"/>
      <c r="BF288" s="302"/>
      <c r="BG288" s="302"/>
      <c r="BH288" s="770"/>
      <c r="BI288" s="770"/>
      <c r="BJ288" s="770"/>
      <c r="BK288" s="770"/>
      <c r="BL288" s="766"/>
      <c r="BM288" s="766" t="s">
        <v>1238</v>
      </c>
      <c r="BN288" s="766" t="s">
        <v>1256</v>
      </c>
      <c r="BO288" s="770"/>
      <c r="BP288" s="780"/>
      <c r="BQ288" s="772"/>
      <c r="BR288" s="774"/>
      <c r="BS288" s="766" t="s">
        <v>1149</v>
      </c>
      <c r="BT288" s="766"/>
      <c r="BU288" s="770"/>
      <c r="BV288" s="770"/>
      <c r="BW288" s="770"/>
      <c r="BX288" s="302"/>
      <c r="BY288" s="770"/>
      <c r="BZ288" s="302"/>
      <c r="CA288" s="770"/>
      <c r="CB288" s="770"/>
      <c r="CC288" s="770"/>
      <c r="CD288" s="770"/>
      <c r="CE288" s="770"/>
      <c r="CF288" s="770"/>
      <c r="CG288" s="770"/>
      <c r="CH288" s="770"/>
      <c r="CI288" s="770"/>
      <c r="CJ288" s="770"/>
      <c r="CK288" s="770"/>
      <c r="CL288" s="770"/>
      <c r="CM288" s="770"/>
      <c r="CN288" s="770"/>
      <c r="CO288" s="770"/>
      <c r="CP288" s="770"/>
      <c r="CQ288" s="770"/>
      <c r="CR288" s="302"/>
      <c r="CS288" s="770"/>
      <c r="CT288" s="770"/>
      <c r="CU288" s="305"/>
      <c r="CV288" s="770"/>
      <c r="CW288" s="770"/>
      <c r="CX288" s="770"/>
      <c r="CY288" s="770"/>
      <c r="CZ288" s="770"/>
      <c r="DA288" s="770"/>
      <c r="DB288" s="770"/>
      <c r="DC288" s="770"/>
      <c r="DD288" s="770"/>
      <c r="DE288" s="770"/>
      <c r="DF288" s="770"/>
      <c r="DG288" s="770"/>
      <c r="DH288" s="770"/>
      <c r="DI288" s="770"/>
      <c r="DJ288" s="770"/>
      <c r="DK288" s="770"/>
      <c r="DL288" s="770"/>
      <c r="DM288" s="770"/>
      <c r="DN288" s="770"/>
      <c r="DO288" s="770"/>
      <c r="DP288" s="770"/>
      <c r="DQ288" s="770"/>
      <c r="DR288" s="770"/>
      <c r="DS288" s="307"/>
      <c r="DT288" s="770"/>
      <c r="DU288" s="770"/>
      <c r="DV288" s="770"/>
      <c r="DW288" s="306"/>
      <c r="DX288" s="306"/>
      <c r="DY288" s="770"/>
      <c r="DZ288" s="770"/>
      <c r="EA288" s="770"/>
      <c r="EB288" s="770"/>
      <c r="EC288" s="770"/>
      <c r="ED288" s="770"/>
      <c r="EE288" s="770"/>
      <c r="EF288" s="770"/>
      <c r="EG288" s="770"/>
      <c r="EH288" s="770"/>
      <c r="EI288" s="770"/>
      <c r="EJ288" s="770"/>
      <c r="EK288" s="770"/>
      <c r="EL288" s="770"/>
      <c r="EM288" s="770"/>
      <c r="EN288" s="770"/>
      <c r="EO288" s="770"/>
      <c r="EP288" s="770"/>
      <c r="EQ288" s="770"/>
      <c r="ER288" s="770"/>
      <c r="ES288" s="770"/>
      <c r="ET288" s="770"/>
      <c r="EU288" s="770"/>
      <c r="EV288" s="770"/>
      <c r="EW288" s="770"/>
      <c r="EX288" s="770"/>
      <c r="EY288" s="770"/>
      <c r="EZ288" s="770"/>
      <c r="FA288" s="770"/>
      <c r="FB288" s="770"/>
      <c r="FC288" s="770"/>
      <c r="FD288" s="302"/>
      <c r="FE288" s="770"/>
      <c r="FF288" s="770"/>
      <c r="FG288" s="770"/>
      <c r="FH288" s="770" t="s">
        <v>1306</v>
      </c>
      <c r="FI288" s="770"/>
      <c r="FJ288" s="770" t="s">
        <v>5624</v>
      </c>
      <c r="FK288" s="770"/>
      <c r="FL288" s="770"/>
      <c r="FM288" s="147">
        <v>2000</v>
      </c>
      <c r="FN288" s="302"/>
      <c r="FO288" s="302"/>
      <c r="FP288" s="766" t="s">
        <v>1602</v>
      </c>
      <c r="FQ288" s="766" t="s">
        <v>1660</v>
      </c>
      <c r="FR288" s="770" t="s">
        <v>1214</v>
      </c>
      <c r="FS288" s="770"/>
      <c r="FT288" s="770"/>
      <c r="FU288" s="770"/>
      <c r="FV288" s="770"/>
      <c r="FW288" s="770"/>
      <c r="FX288" s="770"/>
      <c r="FY288" s="770"/>
      <c r="FZ288" s="770"/>
      <c r="GA288" s="770"/>
      <c r="GB288" s="770"/>
      <c r="GC288" s="308"/>
      <c r="GD288" s="297"/>
      <c r="GE288" s="770"/>
      <c r="GF288" s="302"/>
      <c r="GG288" s="302"/>
      <c r="GH288" s="766" t="s">
        <v>14260</v>
      </c>
      <c r="GI288" s="770"/>
      <c r="GJ288" s="770"/>
      <c r="GK288" s="770"/>
      <c r="GL288" s="770"/>
      <c r="GM288" s="770"/>
      <c r="GN288" s="309"/>
      <c r="GO288" s="770"/>
      <c r="GP288" s="770"/>
      <c r="GQ288" s="770"/>
      <c r="GR288" s="770"/>
      <c r="GS288" s="770"/>
      <c r="GT288" s="770"/>
      <c r="GU288" s="770"/>
      <c r="GV288" s="770"/>
      <c r="GW288" s="770"/>
      <c r="GX288" s="770"/>
      <c r="GY288" s="770"/>
      <c r="GZ288" s="770"/>
      <c r="HA288" s="770"/>
      <c r="HB288" s="770"/>
      <c r="HC288" s="770"/>
      <c r="HD288" s="770"/>
      <c r="HE288" s="770"/>
      <c r="HF288" s="770"/>
      <c r="HG288" s="770"/>
      <c r="HH288" s="770"/>
      <c r="HI288" s="770" t="s">
        <v>1214</v>
      </c>
      <c r="HJ288" s="770"/>
      <c r="HK288" s="770"/>
      <c r="HL288" s="770" t="s">
        <v>1214</v>
      </c>
      <c r="HM288" s="770"/>
      <c r="HN288" s="770"/>
      <c r="HO288" s="770"/>
      <c r="HP288" s="770"/>
      <c r="HQ288" s="770"/>
      <c r="HR288" s="770"/>
      <c r="HS288" s="770"/>
      <c r="HT288" s="770"/>
      <c r="HU288" s="770"/>
      <c r="HV288" s="770"/>
      <c r="HW288" s="770"/>
      <c r="HX288" s="770"/>
      <c r="HY288" s="770"/>
      <c r="HZ288" s="770"/>
      <c r="IA288" s="770"/>
      <c r="IB288" s="14" t="e">
        <f>IF(#REF!&gt;0,IF(#REF!&lt;=10000,"Y",""),"")</f>
        <v>#REF!</v>
      </c>
      <c r="IC288" s="770" t="s">
        <v>1207</v>
      </c>
      <c r="ID288" s="770"/>
      <c r="IE288" s="770"/>
      <c r="IF288" s="770"/>
      <c r="IG288" s="770"/>
      <c r="IH288" s="770"/>
      <c r="II288" s="770"/>
      <c r="IJ288" s="770"/>
      <c r="IK288" s="770"/>
      <c r="IL288" s="770"/>
      <c r="IM288" s="770"/>
      <c r="IN288" s="770"/>
      <c r="IO288" s="296"/>
      <c r="IP288" s="770"/>
      <c r="IQ288" s="770"/>
      <c r="IR288" s="770"/>
      <c r="IS288" s="770"/>
      <c r="IT288" s="770"/>
      <c r="IU288" s="770"/>
      <c r="IV288" s="770"/>
      <c r="IW288" s="770"/>
      <c r="IX288" s="770"/>
      <c r="IY288" s="770"/>
      <c r="IZ288" s="770"/>
      <c r="JA288" s="770"/>
      <c r="JB288" s="770"/>
      <c r="JC288" s="770"/>
      <c r="JD288" s="302"/>
      <c r="JE288" s="770"/>
      <c r="JF288" s="770"/>
      <c r="JG288" s="770"/>
      <c r="JH288" s="770"/>
      <c r="JI288" s="712" t="str">
        <f t="shared" si="75"/>
        <v>ok</v>
      </c>
      <c r="JJ288" s="766">
        <v>5</v>
      </c>
      <c r="JK288" s="1139" t="s">
        <v>2105</v>
      </c>
      <c r="JL288" s="770">
        <v>2</v>
      </c>
      <c r="JM288" s="770">
        <v>1</v>
      </c>
      <c r="JN288" s="770">
        <v>1</v>
      </c>
      <c r="JO288" s="770">
        <v>1</v>
      </c>
      <c r="JP288" s="770"/>
      <c r="JQ288" s="770"/>
      <c r="JR288" s="770"/>
      <c r="JS288" s="770"/>
      <c r="JT288" s="766">
        <f t="shared" si="88"/>
        <v>3</v>
      </c>
      <c r="JU288" s="766">
        <f t="shared" si="88"/>
        <v>2</v>
      </c>
      <c r="JV288" s="712" t="str">
        <f t="shared" si="76"/>
        <v>ok</v>
      </c>
      <c r="JW288" s="712" t="str">
        <f t="shared" si="77"/>
        <v>ok</v>
      </c>
      <c r="JX288" s="770"/>
      <c r="JY288" s="770">
        <v>1</v>
      </c>
      <c r="JZ288" s="770">
        <v>2</v>
      </c>
      <c r="KA288" s="770"/>
      <c r="KB288" s="770"/>
      <c r="KC288" s="770"/>
      <c r="KD288" s="770">
        <v>1</v>
      </c>
      <c r="KE288" s="770">
        <v>1</v>
      </c>
      <c r="KF288" s="770"/>
      <c r="KG288" s="770"/>
      <c r="KH288" s="770"/>
      <c r="KI288" s="770"/>
      <c r="KJ288" s="770">
        <f t="shared" si="86"/>
        <v>3</v>
      </c>
      <c r="KK288" s="770">
        <f t="shared" si="86"/>
        <v>2</v>
      </c>
      <c r="KL288" s="712" t="str">
        <f t="shared" si="84"/>
        <v>ok</v>
      </c>
      <c r="KM288" s="712" t="str">
        <f t="shared" si="85"/>
        <v>ok</v>
      </c>
      <c r="KN288" s="770" t="s">
        <v>707</v>
      </c>
      <c r="KO288" s="770"/>
      <c r="KP288" s="770"/>
      <c r="KQ288" s="770"/>
      <c r="KR288" s="770"/>
      <c r="KS288" s="770">
        <v>1</v>
      </c>
      <c r="KT288" s="770">
        <v>2</v>
      </c>
      <c r="KU288" s="770"/>
      <c r="KV288" s="770"/>
      <c r="KW288" s="770"/>
      <c r="KX288" s="770"/>
      <c r="KY288" s="770"/>
      <c r="KZ288" s="770">
        <v>1</v>
      </c>
      <c r="LA288" s="770">
        <v>1</v>
      </c>
      <c r="LB288" s="770"/>
      <c r="LC288" s="770"/>
      <c r="LD288" s="770"/>
      <c r="LE288" s="770"/>
      <c r="LF288" s="770"/>
      <c r="LG288" s="770"/>
      <c r="LH288" s="770"/>
      <c r="LI288" s="770"/>
      <c r="LJ288" s="770"/>
      <c r="LK288" s="770"/>
      <c r="LL288" s="770"/>
      <c r="LM288" s="770"/>
      <c r="LN288" s="766">
        <f t="shared" si="71"/>
        <v>3</v>
      </c>
      <c r="LO288" s="766">
        <f t="shared" si="71"/>
        <v>2</v>
      </c>
      <c r="LP288" s="770">
        <v>2</v>
      </c>
      <c r="LQ288" s="770">
        <v>2</v>
      </c>
      <c r="LR288" s="770"/>
      <c r="LS288" s="770"/>
      <c r="LT288" s="712" t="str">
        <f t="shared" si="80"/>
        <v>OK</v>
      </c>
      <c r="LU288" s="770"/>
      <c r="LV288" s="770">
        <v>2</v>
      </c>
      <c r="LW288" s="770"/>
      <c r="LX288" s="769">
        <v>2</v>
      </c>
      <c r="LY288" s="766" t="str">
        <f t="shared" si="82"/>
        <v>within the MUNICIPALITY</v>
      </c>
      <c r="LZ288" s="299">
        <f>SUM(384,384)</f>
        <v>768</v>
      </c>
      <c r="MA288" s="1709"/>
      <c r="MB288" s="1709"/>
      <c r="MC288" s="1679">
        <f t="shared" si="70"/>
        <v>768</v>
      </c>
      <c r="MD288" s="299">
        <f>SUM(7600,8000)</f>
        <v>15600</v>
      </c>
      <c r="ME288" s="1709"/>
      <c r="MF288" s="1709"/>
      <c r="MG288" s="1680">
        <f t="shared" si="81"/>
        <v>15600</v>
      </c>
      <c r="MH288" s="770" t="s">
        <v>2241</v>
      </c>
      <c r="MI288" s="302">
        <v>9000</v>
      </c>
      <c r="MJ288" s="302">
        <v>768</v>
      </c>
      <c r="MK288" s="302">
        <v>500</v>
      </c>
      <c r="ML288" s="302">
        <v>600</v>
      </c>
      <c r="MM288" s="302">
        <v>400</v>
      </c>
      <c r="MN288" s="302">
        <v>2000</v>
      </c>
      <c r="MO288" s="302">
        <v>100</v>
      </c>
      <c r="MP288" s="302"/>
      <c r="MQ288" s="302">
        <v>180</v>
      </c>
      <c r="MR288" s="302"/>
      <c r="MS288" s="302"/>
      <c r="MT288" s="302"/>
      <c r="MU288" s="302"/>
      <c r="MV288" s="302"/>
      <c r="MW288" s="302"/>
      <c r="MX288" s="302"/>
      <c r="MY288" s="1682">
        <f t="shared" si="74"/>
        <v>13548</v>
      </c>
      <c r="MZ288" s="770" t="s">
        <v>13164</v>
      </c>
      <c r="NA288" s="770" t="s">
        <v>13005</v>
      </c>
      <c r="NB288" s="770" t="s">
        <v>13164</v>
      </c>
      <c r="NC288" s="770"/>
      <c r="ND288" s="770">
        <v>0</v>
      </c>
      <c r="NE288" s="770">
        <v>0</v>
      </c>
      <c r="NF288" s="770">
        <v>0</v>
      </c>
      <c r="NG288" s="770">
        <v>1</v>
      </c>
      <c r="NH288" s="770">
        <v>0</v>
      </c>
      <c r="NI288" s="770">
        <v>0</v>
      </c>
      <c r="NJ288" s="770">
        <v>0</v>
      </c>
      <c r="NK288" s="770">
        <v>0</v>
      </c>
      <c r="NL288" s="770">
        <v>0</v>
      </c>
      <c r="NM288" s="770">
        <v>0</v>
      </c>
      <c r="NN288" s="770">
        <v>0</v>
      </c>
      <c r="NO288" s="770">
        <v>0</v>
      </c>
      <c r="NP288" s="770">
        <v>0</v>
      </c>
      <c r="NQ288" s="770">
        <v>0</v>
      </c>
      <c r="NR288" s="770">
        <v>0</v>
      </c>
      <c r="NS288" s="770">
        <v>0</v>
      </c>
      <c r="NT288" s="770">
        <v>0</v>
      </c>
      <c r="NU288" s="770">
        <v>0</v>
      </c>
      <c r="NV288" s="770">
        <v>0</v>
      </c>
      <c r="NW288" s="770">
        <v>0</v>
      </c>
      <c r="NX288" s="770">
        <v>0</v>
      </c>
      <c r="NY288" s="770"/>
      <c r="NZ288" s="770"/>
      <c r="OA288" s="770"/>
      <c r="OB288" s="770"/>
      <c r="OC288" s="770"/>
      <c r="OD288" s="770"/>
      <c r="OE288" s="770"/>
      <c r="OF288" s="770"/>
      <c r="OG288" s="770"/>
      <c r="OH288" s="770"/>
      <c r="OI288" s="770"/>
      <c r="OJ288" s="770"/>
      <c r="OK288" s="770"/>
      <c r="OL288" s="770"/>
      <c r="OM288" s="770"/>
      <c r="ON288" s="770"/>
      <c r="OO288" s="770"/>
      <c r="OP288" s="770"/>
      <c r="OQ288" s="770"/>
      <c r="OR288" s="770"/>
      <c r="OS288" s="770"/>
      <c r="OT288" s="770"/>
      <c r="OU288" s="770"/>
      <c r="OV288" s="770"/>
      <c r="OW288" s="770"/>
      <c r="OX288" s="770"/>
      <c r="OY288" s="770"/>
      <c r="OZ288" s="770"/>
      <c r="PA288" s="770"/>
      <c r="PB288" s="770"/>
      <c r="PC288" s="770"/>
      <c r="PD288" s="770"/>
      <c r="PE288" s="770"/>
      <c r="PF288" s="770"/>
      <c r="PG288" s="770"/>
      <c r="PH288" s="770"/>
      <c r="PI288" s="770"/>
      <c r="PJ288" s="770"/>
      <c r="PK288" s="770"/>
      <c r="PL288" s="770"/>
      <c r="PM288" s="770"/>
      <c r="PN288" s="770"/>
      <c r="PO288" s="770"/>
      <c r="PP288" s="770"/>
      <c r="PQ288" s="770"/>
      <c r="PR288" s="770"/>
      <c r="PS288" s="770"/>
      <c r="PT288" s="770"/>
      <c r="PU288" s="770"/>
      <c r="PV288" s="770"/>
      <c r="PW288" s="770"/>
      <c r="PX288" s="770"/>
      <c r="PY288" s="770"/>
      <c r="PZ288" s="770"/>
      <c r="QA288" s="770"/>
      <c r="QB288" s="770"/>
      <c r="QC288" s="770"/>
      <c r="QD288" s="770"/>
      <c r="QE288" s="770"/>
      <c r="QF288" s="770"/>
      <c r="QG288" s="770"/>
      <c r="QH288" s="770"/>
      <c r="QI288" s="770"/>
      <c r="QJ288" s="770"/>
      <c r="QK288" s="770"/>
      <c r="QL288" s="770"/>
      <c r="QM288" s="770"/>
      <c r="QN288" s="770"/>
      <c r="QO288" s="770"/>
      <c r="QP288" s="770"/>
      <c r="QQ288" s="770"/>
      <c r="QR288" s="770"/>
      <c r="QS288" s="770"/>
      <c r="QT288" s="770"/>
      <c r="QU288" s="770"/>
      <c r="QV288" s="770"/>
      <c r="QW288" s="770"/>
      <c r="QX288" s="770"/>
      <c r="QY288" s="770"/>
      <c r="QZ288" s="770"/>
      <c r="RA288" s="770"/>
      <c r="RB288" s="770"/>
      <c r="RC288" s="770"/>
      <c r="RD288" s="770"/>
      <c r="RE288" s="770"/>
      <c r="RF288" s="304"/>
      <c r="RG288" s="770"/>
      <c r="RH288" s="302"/>
      <c r="RI288" s="770"/>
      <c r="RJ288" s="770"/>
      <c r="RK288" s="770"/>
      <c r="RL288" s="1710"/>
      <c r="RM288" s="12"/>
      <c r="RN288" s="1711"/>
      <c r="RO288" s="140" t="s">
        <v>486</v>
      </c>
      <c r="RP288" s="11"/>
      <c r="RQ288" s="11"/>
      <c r="RR288" s="311" t="s">
        <v>12452</v>
      </c>
      <c r="RS288" s="1139" t="s">
        <v>12980</v>
      </c>
      <c r="RT288" s="11"/>
      <c r="RU288" s="11"/>
      <c r="RV288" s="771" t="s">
        <v>7421</v>
      </c>
      <c r="RW288" s="11" t="s">
        <v>7618</v>
      </c>
      <c r="RX288" s="11" t="s">
        <v>486</v>
      </c>
      <c r="RY288" s="11"/>
      <c r="RZ288" s="11"/>
      <c r="SA288" s="771"/>
      <c r="SB288" s="11"/>
      <c r="SC288" s="11"/>
    </row>
    <row r="289" spans="1:497" ht="12.75" customHeight="1">
      <c r="A289" s="771" t="s">
        <v>12356</v>
      </c>
      <c r="B289" s="750" t="s">
        <v>7619</v>
      </c>
      <c r="C289" s="140" t="s">
        <v>486</v>
      </c>
      <c r="D289" s="6" t="s">
        <v>488</v>
      </c>
      <c r="E289" s="766" t="s">
        <v>7250</v>
      </c>
      <c r="F289" s="770"/>
      <c r="G289" s="770"/>
      <c r="H289" s="770"/>
      <c r="I289" s="295"/>
      <c r="J289" s="770"/>
      <c r="K289" s="770"/>
      <c r="L289" s="770"/>
      <c r="M289" s="770"/>
      <c r="N289" s="770"/>
      <c r="O289" s="770"/>
      <c r="P289" s="94"/>
      <c r="Q289" s="1088"/>
      <c r="R289" s="297"/>
      <c r="S289" s="770"/>
      <c r="T289" s="770"/>
      <c r="U289" s="298"/>
      <c r="V289" s="770"/>
      <c r="W289" s="770"/>
      <c r="X289" s="296"/>
      <c r="Y289" s="766"/>
      <c r="Z289" s="770"/>
      <c r="AA289" s="770"/>
      <c r="AB289" s="770"/>
      <c r="AC289" s="770"/>
      <c r="AD289" s="770"/>
      <c r="AE289" s="770"/>
      <c r="AF289" s="770"/>
      <c r="AG289" s="770"/>
      <c r="AH289" s="770"/>
      <c r="AI289" s="770"/>
      <c r="AJ289" s="770"/>
      <c r="AK289" s="770" t="s">
        <v>1101</v>
      </c>
      <c r="AL289" s="299"/>
      <c r="AM289" s="300"/>
      <c r="AN289" s="301"/>
      <c r="AO289" s="766"/>
      <c r="AP289" s="766"/>
      <c r="AQ289" s="766"/>
      <c r="AR289" s="766"/>
      <c r="AS289" s="770"/>
      <c r="AT289" s="770"/>
      <c r="AU289" s="770"/>
      <c r="AV289" s="770"/>
      <c r="AW289" s="770"/>
      <c r="AX289" s="770"/>
      <c r="AY289" s="770"/>
      <c r="AZ289" s="770"/>
      <c r="BA289" s="770"/>
      <c r="BB289" s="770"/>
      <c r="BC289" s="770"/>
      <c r="BD289" s="770"/>
      <c r="BE289" s="770"/>
      <c r="BF289" s="302"/>
      <c r="BG289" s="302"/>
      <c r="BH289" s="770"/>
      <c r="BI289" s="770"/>
      <c r="BJ289" s="770"/>
      <c r="BK289" s="770"/>
      <c r="BL289" s="766"/>
      <c r="BM289" s="766" t="s">
        <v>1238</v>
      </c>
      <c r="BN289" s="766" t="s">
        <v>1256</v>
      </c>
      <c r="BO289" s="770"/>
      <c r="BP289" s="780"/>
      <c r="BQ289" s="772"/>
      <c r="BR289" s="774"/>
      <c r="BS289" s="766" t="s">
        <v>1149</v>
      </c>
      <c r="BT289" s="770"/>
      <c r="BU289" s="770"/>
      <c r="BV289" s="770"/>
      <c r="BW289" s="770"/>
      <c r="BX289" s="302"/>
      <c r="BY289" s="770"/>
      <c r="BZ289" s="302"/>
      <c r="CA289" s="770"/>
      <c r="CB289" s="770"/>
      <c r="CC289" s="770"/>
      <c r="CD289" s="770"/>
      <c r="CE289" s="770"/>
      <c r="CF289" s="770"/>
      <c r="CG289" s="770"/>
      <c r="CH289" s="770"/>
      <c r="CI289" s="770"/>
      <c r="CJ289" s="770"/>
      <c r="CK289" s="770"/>
      <c r="CL289" s="770"/>
      <c r="CM289" s="770"/>
      <c r="CN289" s="770"/>
      <c r="CO289" s="770"/>
      <c r="CP289" s="770"/>
      <c r="CQ289" s="770"/>
      <c r="CR289" s="302"/>
      <c r="CS289" s="770"/>
      <c r="CT289" s="770"/>
      <c r="CU289" s="305"/>
      <c r="CV289" s="770"/>
      <c r="CW289" s="770"/>
      <c r="CX289" s="770"/>
      <c r="CY289" s="770"/>
      <c r="CZ289" s="770"/>
      <c r="DA289" s="770"/>
      <c r="DB289" s="770"/>
      <c r="DC289" s="770"/>
      <c r="DD289" s="770"/>
      <c r="DE289" s="770"/>
      <c r="DF289" s="770"/>
      <c r="DG289" s="770"/>
      <c r="DH289" s="770"/>
      <c r="DI289" s="770"/>
      <c r="DJ289" s="770"/>
      <c r="DK289" s="770"/>
      <c r="DL289" s="770"/>
      <c r="DM289" s="770"/>
      <c r="DN289" s="770"/>
      <c r="DO289" s="770"/>
      <c r="DP289" s="770"/>
      <c r="DQ289" s="770"/>
      <c r="DR289" s="770"/>
      <c r="DS289" s="307"/>
      <c r="DT289" s="770"/>
      <c r="DU289" s="770"/>
      <c r="DV289" s="770"/>
      <c r="DW289" s="306"/>
      <c r="DX289" s="306"/>
      <c r="DY289" s="770"/>
      <c r="DZ289" s="770"/>
      <c r="EA289" s="770"/>
      <c r="EB289" s="770"/>
      <c r="EC289" s="770"/>
      <c r="ED289" s="770"/>
      <c r="EE289" s="770"/>
      <c r="EF289" s="770"/>
      <c r="EG289" s="770"/>
      <c r="EH289" s="770"/>
      <c r="EI289" s="770"/>
      <c r="EJ289" s="770"/>
      <c r="EK289" s="770"/>
      <c r="EL289" s="770"/>
      <c r="EM289" s="770"/>
      <c r="EN289" s="770"/>
      <c r="EO289" s="770"/>
      <c r="EP289" s="770"/>
      <c r="EQ289" s="770"/>
      <c r="ER289" s="770"/>
      <c r="ES289" s="770"/>
      <c r="ET289" s="770"/>
      <c r="EU289" s="770"/>
      <c r="EV289" s="770"/>
      <c r="EW289" s="770"/>
      <c r="EX289" s="770"/>
      <c r="EY289" s="770"/>
      <c r="EZ289" s="770"/>
      <c r="FA289" s="770"/>
      <c r="FB289" s="770"/>
      <c r="FC289" s="770"/>
      <c r="FD289" s="302"/>
      <c r="FE289" s="770"/>
      <c r="FF289" s="770"/>
      <c r="FG289" s="770"/>
      <c r="FH289" s="770"/>
      <c r="FI289" s="770"/>
      <c r="FJ289" s="770"/>
      <c r="FK289" s="770"/>
      <c r="FL289" s="770"/>
      <c r="FM289" s="302"/>
      <c r="FN289" s="302"/>
      <c r="FO289" s="302"/>
      <c r="FP289" s="766" t="s">
        <v>1602</v>
      </c>
      <c r="FQ289" s="766" t="s">
        <v>1660</v>
      </c>
      <c r="FR289" s="770"/>
      <c r="FS289" s="770"/>
      <c r="FT289" s="770"/>
      <c r="FU289" s="770"/>
      <c r="FV289" s="770"/>
      <c r="FW289" s="770"/>
      <c r="FX289" s="770"/>
      <c r="FY289" s="770"/>
      <c r="FZ289" s="770"/>
      <c r="GA289" s="770"/>
      <c r="GB289" s="770"/>
      <c r="GC289" s="308"/>
      <c r="GD289" s="297"/>
      <c r="GE289" s="770"/>
      <c r="GF289" s="302"/>
      <c r="GG289" s="302"/>
      <c r="GH289" s="770"/>
      <c r="GI289" s="770"/>
      <c r="GJ289" s="770"/>
      <c r="GK289" s="770"/>
      <c r="GL289" s="770"/>
      <c r="GM289" s="770"/>
      <c r="GN289" s="309"/>
      <c r="GO289" s="770"/>
      <c r="GP289" s="770"/>
      <c r="GQ289" s="770"/>
      <c r="GR289" s="770"/>
      <c r="GS289" s="770"/>
      <c r="GT289" s="770"/>
      <c r="GU289" s="770"/>
      <c r="GV289" s="770"/>
      <c r="GW289" s="770"/>
      <c r="GX289" s="770"/>
      <c r="GY289" s="770"/>
      <c r="GZ289" s="770"/>
      <c r="HA289" s="770"/>
      <c r="HB289" s="770"/>
      <c r="HC289" s="770"/>
      <c r="HD289" s="770"/>
      <c r="HE289" s="770"/>
      <c r="HF289" s="770"/>
      <c r="HG289" s="770"/>
      <c r="HH289" s="770"/>
      <c r="HI289" s="770"/>
      <c r="HJ289" s="770"/>
      <c r="HK289" s="770"/>
      <c r="HL289" s="770"/>
      <c r="HM289" s="770"/>
      <c r="HN289" s="770"/>
      <c r="HO289" s="770"/>
      <c r="HP289" s="770"/>
      <c r="HQ289" s="770"/>
      <c r="HR289" s="770"/>
      <c r="HS289" s="770"/>
      <c r="HT289" s="770"/>
      <c r="HU289" s="770"/>
      <c r="HV289" s="770"/>
      <c r="HW289" s="770"/>
      <c r="HX289" s="770"/>
      <c r="HY289" s="770"/>
      <c r="HZ289" s="770"/>
      <c r="IA289" s="770"/>
      <c r="IB289" s="14" t="e">
        <f>IF(#REF!&gt;0,IF(#REF!&lt;=10000,"Y",""),"")</f>
        <v>#REF!</v>
      </c>
      <c r="IC289" s="770"/>
      <c r="ID289" s="770"/>
      <c r="IE289" s="770"/>
      <c r="IF289" s="770"/>
      <c r="IG289" s="770"/>
      <c r="IH289" s="770"/>
      <c r="II289" s="770"/>
      <c r="IJ289" s="770"/>
      <c r="IK289" s="770"/>
      <c r="IL289" s="770"/>
      <c r="IM289" s="770"/>
      <c r="IN289" s="770"/>
      <c r="IO289" s="296"/>
      <c r="IP289" s="770"/>
      <c r="IQ289" s="770"/>
      <c r="IR289" s="770"/>
      <c r="IS289" s="770"/>
      <c r="IT289" s="770"/>
      <c r="IU289" s="770"/>
      <c r="IV289" s="770"/>
      <c r="IW289" s="770"/>
      <c r="IX289" s="770"/>
      <c r="IY289" s="770"/>
      <c r="IZ289" s="770"/>
      <c r="JA289" s="770"/>
      <c r="JB289" s="770"/>
      <c r="JC289" s="770"/>
      <c r="JD289" s="302"/>
      <c r="JE289" s="770"/>
      <c r="JF289" s="770"/>
      <c r="JG289" s="770"/>
      <c r="JH289" s="770"/>
      <c r="JI289" s="712" t="str">
        <f t="shared" si="75"/>
        <v>ok</v>
      </c>
      <c r="JJ289" s="94"/>
      <c r="JK289" s="1047" t="s">
        <v>6871</v>
      </c>
      <c r="JL289" s="770"/>
      <c r="JM289" s="770"/>
      <c r="JN289" s="770"/>
      <c r="JO289" s="770"/>
      <c r="JP289" s="770"/>
      <c r="JQ289" s="770"/>
      <c r="JR289" s="770"/>
      <c r="JS289" s="770"/>
      <c r="JT289" s="766"/>
      <c r="JU289" s="766"/>
      <c r="JV289" s="712" t="str">
        <f t="shared" si="76"/>
        <v>ok</v>
      </c>
      <c r="JW289" s="712" t="str">
        <f t="shared" si="77"/>
        <v>ok</v>
      </c>
      <c r="JX289" s="770"/>
      <c r="JY289" s="770"/>
      <c r="JZ289" s="770"/>
      <c r="KA289" s="770"/>
      <c r="KB289" s="770"/>
      <c r="KC289" s="770"/>
      <c r="KD289" s="770"/>
      <c r="KE289" s="770"/>
      <c r="KF289" s="770"/>
      <c r="KG289" s="770"/>
      <c r="KH289" s="770"/>
      <c r="KI289" s="770"/>
      <c r="KJ289" s="770"/>
      <c r="KK289" s="770"/>
      <c r="KL289" s="712" t="str">
        <f t="shared" si="84"/>
        <v>ok</v>
      </c>
      <c r="KM289" s="712" t="str">
        <f t="shared" si="85"/>
        <v>ok</v>
      </c>
      <c r="KN289" s="770"/>
      <c r="KO289" s="770"/>
      <c r="KP289" s="770"/>
      <c r="KQ289" s="770"/>
      <c r="KR289" s="770"/>
      <c r="KS289" s="770"/>
      <c r="KT289" s="770"/>
      <c r="KU289" s="770"/>
      <c r="KV289" s="770"/>
      <c r="KW289" s="770"/>
      <c r="KX289" s="770"/>
      <c r="KY289" s="770"/>
      <c r="KZ289" s="770"/>
      <c r="LA289" s="770"/>
      <c r="LB289" s="770"/>
      <c r="LC289" s="770"/>
      <c r="LD289" s="770"/>
      <c r="LE289" s="770"/>
      <c r="LF289" s="770"/>
      <c r="LG289" s="770"/>
      <c r="LH289" s="770"/>
      <c r="LI289" s="770"/>
      <c r="LJ289" s="770"/>
      <c r="LK289" s="770"/>
      <c r="LL289" s="770"/>
      <c r="LM289" s="770"/>
      <c r="LN289" s="766"/>
      <c r="LO289" s="766"/>
      <c r="LP289" s="770"/>
      <c r="LQ289" s="770"/>
      <c r="LR289" s="770"/>
      <c r="LS289" s="770"/>
      <c r="LT289" s="712" t="str">
        <f t="shared" si="80"/>
        <v>OK</v>
      </c>
      <c r="LU289" s="770"/>
      <c r="LV289" s="770"/>
      <c r="LW289" s="770"/>
      <c r="LX289" s="769"/>
      <c r="LY289" s="766" t="str">
        <f t="shared" si="82"/>
        <v/>
      </c>
      <c r="LZ289" s="299"/>
      <c r="MA289" s="1709"/>
      <c r="MB289" s="1709"/>
      <c r="MC289" s="1679">
        <f t="shared" si="70"/>
        <v>0</v>
      </c>
      <c r="MD289" s="1709"/>
      <c r="ME289" s="1709"/>
      <c r="MF289" s="1709"/>
      <c r="MG289" s="1680">
        <v>0</v>
      </c>
      <c r="MH289" s="770"/>
      <c r="MI289" s="302"/>
      <c r="MJ289" s="302"/>
      <c r="MK289" s="302"/>
      <c r="ML289" s="302"/>
      <c r="MM289" s="302"/>
      <c r="MN289" s="302"/>
      <c r="MO289" s="302"/>
      <c r="MP289" s="302"/>
      <c r="MQ289" s="302"/>
      <c r="MR289" s="302"/>
      <c r="MS289" s="302"/>
      <c r="MT289" s="302"/>
      <c r="MU289" s="302"/>
      <c r="MV289" s="302"/>
      <c r="MW289" s="302"/>
      <c r="MX289" s="302"/>
      <c r="MY289" s="1682"/>
      <c r="MZ289" s="770"/>
      <c r="NA289" s="770"/>
      <c r="NB289" s="770"/>
      <c r="NC289" s="770"/>
      <c r="ND289" s="770"/>
      <c r="NE289" s="770"/>
      <c r="NF289" s="770"/>
      <c r="NG289" s="770"/>
      <c r="NH289" s="770"/>
      <c r="NI289" s="770"/>
      <c r="NJ289" s="770"/>
      <c r="NK289" s="770"/>
      <c r="NL289" s="770"/>
      <c r="NM289" s="770"/>
      <c r="NN289" s="770"/>
      <c r="NO289" s="770"/>
      <c r="NP289" s="770"/>
      <c r="NQ289" s="770"/>
      <c r="NR289" s="770"/>
      <c r="NS289" s="770"/>
      <c r="NT289" s="770"/>
      <c r="NU289" s="770"/>
      <c r="NV289" s="770"/>
      <c r="NW289" s="770"/>
      <c r="NX289" s="770"/>
      <c r="NY289" s="770"/>
      <c r="NZ289" s="770"/>
      <c r="OA289" s="770"/>
      <c r="OB289" s="770"/>
      <c r="OC289" s="770"/>
      <c r="OD289" s="770"/>
      <c r="OE289" s="770"/>
      <c r="OF289" s="770"/>
      <c r="OG289" s="770"/>
      <c r="OH289" s="770"/>
      <c r="OI289" s="770"/>
      <c r="OJ289" s="770"/>
      <c r="OK289" s="770"/>
      <c r="OL289" s="770"/>
      <c r="OM289" s="770"/>
      <c r="ON289" s="770"/>
      <c r="OO289" s="770"/>
      <c r="OP289" s="770"/>
      <c r="OQ289" s="770"/>
      <c r="OR289" s="770"/>
      <c r="OS289" s="770"/>
      <c r="OT289" s="770"/>
      <c r="OU289" s="770"/>
      <c r="OV289" s="770"/>
      <c r="OW289" s="770"/>
      <c r="OX289" s="770"/>
      <c r="OY289" s="770"/>
      <c r="OZ289" s="770"/>
      <c r="PA289" s="770"/>
      <c r="PB289" s="770"/>
      <c r="PC289" s="770"/>
      <c r="PD289" s="770"/>
      <c r="PE289" s="770"/>
      <c r="PF289" s="770"/>
      <c r="PG289" s="770"/>
      <c r="PH289" s="770"/>
      <c r="PI289" s="770"/>
      <c r="PJ289" s="770"/>
      <c r="PK289" s="770"/>
      <c r="PL289" s="770"/>
      <c r="PM289" s="770"/>
      <c r="PN289" s="770"/>
      <c r="PO289" s="770"/>
      <c r="PP289" s="770"/>
      <c r="PQ289" s="770"/>
      <c r="PR289" s="770"/>
      <c r="PS289" s="770"/>
      <c r="PT289" s="770"/>
      <c r="PU289" s="770"/>
      <c r="PV289" s="770"/>
      <c r="PW289" s="770"/>
      <c r="PX289" s="770"/>
      <c r="PY289" s="770"/>
      <c r="PZ289" s="770"/>
      <c r="QA289" s="770"/>
      <c r="QB289" s="770"/>
      <c r="QC289" s="770"/>
      <c r="QD289" s="770"/>
      <c r="QE289" s="770"/>
      <c r="QF289" s="770"/>
      <c r="QG289" s="770"/>
      <c r="QH289" s="770"/>
      <c r="QI289" s="770"/>
      <c r="QJ289" s="770"/>
      <c r="QK289" s="770"/>
      <c r="QL289" s="770"/>
      <c r="QM289" s="770"/>
      <c r="QN289" s="770"/>
      <c r="QO289" s="770"/>
      <c r="QP289" s="770"/>
      <c r="QQ289" s="770"/>
      <c r="QR289" s="770"/>
      <c r="QS289" s="770"/>
      <c r="QT289" s="770"/>
      <c r="QU289" s="770"/>
      <c r="QV289" s="770"/>
      <c r="QW289" s="770"/>
      <c r="QX289" s="770"/>
      <c r="QY289" s="770"/>
      <c r="QZ289" s="770"/>
      <c r="RA289" s="770"/>
      <c r="RB289" s="770"/>
      <c r="RC289" s="770"/>
      <c r="RD289" s="770"/>
      <c r="RE289" s="770"/>
      <c r="RF289" s="304"/>
      <c r="RG289" s="770"/>
      <c r="RH289" s="302"/>
      <c r="RI289" s="770"/>
      <c r="RJ289" s="770"/>
      <c r="RK289" s="770"/>
      <c r="RL289" s="1710"/>
      <c r="RM289" s="12"/>
      <c r="RN289" s="1711"/>
      <c r="RO289" s="140" t="s">
        <v>486</v>
      </c>
      <c r="RP289" s="11"/>
      <c r="RQ289" s="11"/>
      <c r="RR289" s="17" t="s">
        <v>12356</v>
      </c>
      <c r="RS289" s="1139" t="s">
        <v>12980</v>
      </c>
      <c r="RT289" s="11"/>
      <c r="RU289" s="11"/>
      <c r="RV289" s="6" t="s">
        <v>12353</v>
      </c>
      <c r="RW289" s="11" t="s">
        <v>7620</v>
      </c>
      <c r="RX289" s="11" t="s">
        <v>486</v>
      </c>
      <c r="RY289" s="11"/>
      <c r="RZ289" s="11"/>
      <c r="SA289" s="6"/>
      <c r="SB289" s="11"/>
      <c r="SC289" s="11"/>
    </row>
    <row r="290" spans="1:497" ht="12.75" customHeight="1">
      <c r="A290" s="49" t="s">
        <v>12353</v>
      </c>
      <c r="B290" s="292" t="s">
        <v>11858</v>
      </c>
      <c r="C290" s="140" t="s">
        <v>489</v>
      </c>
      <c r="D290" s="94" t="s">
        <v>472</v>
      </c>
      <c r="E290" s="766" t="s">
        <v>484</v>
      </c>
      <c r="F290" s="770" t="s">
        <v>20</v>
      </c>
      <c r="G290" s="770" t="s">
        <v>18</v>
      </c>
      <c r="H290" s="94"/>
      <c r="I290" s="295"/>
      <c r="J290" s="94" t="s">
        <v>473</v>
      </c>
      <c r="K290" s="770"/>
      <c r="L290" s="770"/>
      <c r="M290" s="770"/>
      <c r="N290" s="770"/>
      <c r="O290" s="770"/>
      <c r="P290" s="94" t="s">
        <v>473</v>
      </c>
      <c r="Q290" s="1088"/>
      <c r="R290" s="297"/>
      <c r="S290" s="770" t="s">
        <v>10</v>
      </c>
      <c r="T290" s="770"/>
      <c r="U290" s="298"/>
      <c r="V290" s="770"/>
      <c r="W290" s="770"/>
      <c r="X290" s="296"/>
      <c r="Y290" s="770"/>
      <c r="Z290" s="770"/>
      <c r="AA290" s="770"/>
      <c r="AB290" s="770"/>
      <c r="AC290" s="770"/>
      <c r="AD290" s="770"/>
      <c r="AE290" s="770"/>
      <c r="AF290" s="770"/>
      <c r="AG290" s="766" t="s">
        <v>1132</v>
      </c>
      <c r="AH290" s="766" t="s">
        <v>1096</v>
      </c>
      <c r="AI290" s="770"/>
      <c r="AJ290" s="770" t="s">
        <v>1137</v>
      </c>
      <c r="AK290" s="770" t="s">
        <v>1101</v>
      </c>
      <c r="AL290" s="531"/>
      <c r="AM290" s="780"/>
      <c r="AN290" s="532"/>
      <c r="AO290" s="766" t="s">
        <v>1122</v>
      </c>
      <c r="AP290" s="766"/>
      <c r="AQ290" s="766"/>
      <c r="AR290" s="766"/>
      <c r="AS290" s="770"/>
      <c r="AT290" s="770"/>
      <c r="AU290" s="770"/>
      <c r="AV290" s="770"/>
      <c r="AW290" s="770"/>
      <c r="AX290" s="770"/>
      <c r="AY290" s="770"/>
      <c r="AZ290" s="770"/>
      <c r="BA290" s="770"/>
      <c r="BB290" s="770"/>
      <c r="BC290" s="770"/>
      <c r="BD290" s="770"/>
      <c r="BE290" s="770"/>
      <c r="BF290" s="302"/>
      <c r="BG290" s="302"/>
      <c r="BH290" s="770"/>
      <c r="BI290" s="770"/>
      <c r="BJ290" s="770"/>
      <c r="BK290" s="770" t="s">
        <v>1095</v>
      </c>
      <c r="BL290" s="766" t="s">
        <v>11857</v>
      </c>
      <c r="BM290" s="766" t="s">
        <v>1096</v>
      </c>
      <c r="BN290" s="766" t="s">
        <v>1230</v>
      </c>
      <c r="BO290" s="766" t="s">
        <v>1239</v>
      </c>
      <c r="BP290" s="1111">
        <v>25</v>
      </c>
      <c r="BQ290" s="772">
        <v>25</v>
      </c>
      <c r="BR290" s="774">
        <f>BQ290/BP290</f>
        <v>1</v>
      </c>
      <c r="BS290" s="766" t="s">
        <v>1257</v>
      </c>
      <c r="BT290" s="766" t="s">
        <v>8133</v>
      </c>
      <c r="BU290" s="770" t="s">
        <v>1249</v>
      </c>
      <c r="BV290" s="766" t="s">
        <v>1349</v>
      </c>
      <c r="BW290" s="769"/>
      <c r="BX290" s="302"/>
      <c r="BY290" s="770"/>
      <c r="BZ290" s="302"/>
      <c r="CA290" s="770"/>
      <c r="CB290" s="770"/>
      <c r="CC290" s="770"/>
      <c r="CD290" s="770"/>
      <c r="CE290" s="306"/>
      <c r="CF290" s="1753"/>
      <c r="CG290" s="1754"/>
      <c r="CH290" s="770"/>
      <c r="CI290" s="770"/>
      <c r="CJ290" s="770"/>
      <c r="CK290" s="770"/>
      <c r="CL290" s="770"/>
      <c r="CM290" s="770"/>
      <c r="CN290" s="770"/>
      <c r="CO290" s="770"/>
      <c r="CP290" s="770"/>
      <c r="CQ290" s="770"/>
      <c r="CR290" s="302"/>
      <c r="CS290" s="770"/>
      <c r="CT290" s="770"/>
      <c r="CU290" s="305"/>
      <c r="CV290" s="770"/>
      <c r="CW290" s="770"/>
      <c r="CX290" s="770"/>
      <c r="CY290" s="770"/>
      <c r="CZ290" s="770"/>
      <c r="DA290" s="306"/>
      <c r="DB290" s="770"/>
      <c r="DC290" s="770"/>
      <c r="DD290" s="770"/>
      <c r="DE290" s="300"/>
      <c r="DF290" s="770"/>
      <c r="DG290" s="770"/>
      <c r="DH290" s="770"/>
      <c r="DI290" s="770"/>
      <c r="DJ290" s="770"/>
      <c r="DK290" s="770"/>
      <c r="DL290" s="770"/>
      <c r="DM290" s="770"/>
      <c r="DN290" s="322"/>
      <c r="DO290" s="770"/>
      <c r="DP290" s="770"/>
      <c r="DQ290" s="770"/>
      <c r="DR290" s="770"/>
      <c r="DS290" s="307"/>
      <c r="DT290" s="770"/>
      <c r="DU290" s="770"/>
      <c r="DV290" s="770"/>
      <c r="DW290" s="306"/>
      <c r="DX290" s="306"/>
      <c r="DY290" s="1055"/>
      <c r="DZ290" s="770"/>
      <c r="EA290" s="770"/>
      <c r="EB290" s="770"/>
      <c r="EC290" s="770"/>
      <c r="ED290" s="770"/>
      <c r="EE290" s="770"/>
      <c r="EF290" s="770"/>
      <c r="EG290" s="770"/>
      <c r="EH290" s="770"/>
      <c r="EI290" s="770"/>
      <c r="EJ290" s="770"/>
      <c r="EK290" s="770"/>
      <c r="EL290" s="770"/>
      <c r="EM290" s="770"/>
      <c r="EN290" s="770"/>
      <c r="EO290" s="770"/>
      <c r="EP290" s="94"/>
      <c r="EQ290" s="770"/>
      <c r="ER290" s="770"/>
      <c r="ES290" s="770"/>
      <c r="ET290" s="770"/>
      <c r="EU290" s="770"/>
      <c r="EV290" s="770"/>
      <c r="EW290" s="770"/>
      <c r="EX290" s="770"/>
      <c r="EY290" s="770"/>
      <c r="EZ290" s="770"/>
      <c r="FA290" s="770"/>
      <c r="FB290" s="770"/>
      <c r="FC290" s="770"/>
      <c r="FD290" s="302"/>
      <c r="FE290" s="770"/>
      <c r="FF290" s="770"/>
      <c r="FG290" s="770"/>
      <c r="FH290" s="770" t="s">
        <v>1263</v>
      </c>
      <c r="FI290" s="770"/>
      <c r="FJ290" s="770" t="s">
        <v>1639</v>
      </c>
      <c r="FK290" s="770" t="s">
        <v>999</v>
      </c>
      <c r="FL290" s="770" t="s">
        <v>978</v>
      </c>
      <c r="FM290" s="302"/>
      <c r="FN290" s="302"/>
      <c r="FO290" s="302"/>
      <c r="FP290" s="766" t="s">
        <v>1602</v>
      </c>
      <c r="FQ290" s="766" t="s">
        <v>1660</v>
      </c>
      <c r="FR290" s="770"/>
      <c r="FS290" s="770"/>
      <c r="FT290" s="770"/>
      <c r="FU290" s="770"/>
      <c r="FV290" s="770"/>
      <c r="FW290" s="770"/>
      <c r="FX290" s="770"/>
      <c r="FY290" s="770"/>
      <c r="FZ290" s="770"/>
      <c r="GA290" s="770"/>
      <c r="GB290" s="770"/>
      <c r="GC290" s="308"/>
      <c r="GD290" s="297"/>
      <c r="GE290" s="770"/>
      <c r="GF290" s="302"/>
      <c r="GG290" s="302"/>
      <c r="GH290" s="712" t="s">
        <v>3650</v>
      </c>
      <c r="GI290" s="770"/>
      <c r="GJ290" s="770"/>
      <c r="GK290" s="770"/>
      <c r="GL290" s="770"/>
      <c r="GM290" s="770"/>
      <c r="GN290" s="299"/>
      <c r="GO290" s="770"/>
      <c r="GP290" s="770"/>
      <c r="GQ290" s="770"/>
      <c r="GR290" s="770"/>
      <c r="GS290" s="770"/>
      <c r="GT290" s="770"/>
      <c r="GU290" s="770"/>
      <c r="GV290" s="770"/>
      <c r="GW290" s="770"/>
      <c r="GX290" s="770"/>
      <c r="GY290" s="770"/>
      <c r="GZ290" s="770"/>
      <c r="HA290" s="770"/>
      <c r="HB290" s="770"/>
      <c r="HC290" s="770"/>
      <c r="HD290" s="770"/>
      <c r="HE290" s="770"/>
      <c r="HF290" s="770"/>
      <c r="HG290" s="770"/>
      <c r="HH290" s="770"/>
      <c r="HI290" s="770"/>
      <c r="HJ290" s="770"/>
      <c r="HK290" s="770"/>
      <c r="HL290" s="770"/>
      <c r="HM290" s="770"/>
      <c r="HN290" s="770"/>
      <c r="HO290" s="770"/>
      <c r="HP290" s="770"/>
      <c r="HQ290" s="770"/>
      <c r="HR290" s="770"/>
      <c r="HS290" s="770"/>
      <c r="HT290" s="770"/>
      <c r="HU290" s="770"/>
      <c r="HV290" s="770"/>
      <c r="HW290" s="770"/>
      <c r="HX290" s="770"/>
      <c r="HY290" s="770"/>
      <c r="HZ290" s="770"/>
      <c r="IA290" s="770"/>
      <c r="IB290" s="14" t="e">
        <f>IF(#REF!&gt;0,IF(#REF!&lt;=10000,"Y",""),"")</f>
        <v>#REF!</v>
      </c>
      <c r="IC290" s="770"/>
      <c r="ID290" s="770"/>
      <c r="IE290" s="770"/>
      <c r="IF290" s="770"/>
      <c r="IG290" s="770"/>
      <c r="IH290" s="770"/>
      <c r="II290" s="770"/>
      <c r="IJ290" s="770"/>
      <c r="IK290" s="770"/>
      <c r="IL290" s="770"/>
      <c r="IM290" s="770"/>
      <c r="IN290" s="770"/>
      <c r="IO290" s="296"/>
      <c r="IP290" s="770"/>
      <c r="IQ290" s="770"/>
      <c r="IR290" s="770"/>
      <c r="IS290" s="770"/>
      <c r="IT290" s="770"/>
      <c r="IU290" s="770"/>
      <c r="IV290" s="770"/>
      <c r="IW290" s="770"/>
      <c r="IX290" s="770"/>
      <c r="IY290" s="770"/>
      <c r="IZ290" s="770"/>
      <c r="JA290" s="770"/>
      <c r="JB290" s="770"/>
      <c r="JC290" s="770"/>
      <c r="JD290" s="302"/>
      <c r="JE290" s="770"/>
      <c r="JF290" s="770"/>
      <c r="JG290" s="770"/>
      <c r="JH290" s="307"/>
      <c r="JI290" s="712" t="str">
        <f t="shared" si="75"/>
        <v>ok</v>
      </c>
      <c r="JJ290" s="770">
        <v>3</v>
      </c>
      <c r="JK290" s="1047" t="s">
        <v>2178</v>
      </c>
      <c r="JL290" s="770">
        <v>1</v>
      </c>
      <c r="JM290" s="770"/>
      <c r="JN290" s="770">
        <v>1</v>
      </c>
      <c r="JO290" s="770">
        <v>1</v>
      </c>
      <c r="JP290" s="770"/>
      <c r="JQ290" s="770"/>
      <c r="JR290" s="770"/>
      <c r="JS290" s="770"/>
      <c r="JT290" s="766">
        <f t="shared" ref="JT290:JU296" si="89">SUM(JP290,JN290,JL290,JR290)</f>
        <v>2</v>
      </c>
      <c r="JU290" s="766">
        <f t="shared" si="89"/>
        <v>1</v>
      </c>
      <c r="JV290" s="712" t="str">
        <f t="shared" si="76"/>
        <v>ok</v>
      </c>
      <c r="JW290" s="712" t="str">
        <f t="shared" si="77"/>
        <v>ok</v>
      </c>
      <c r="JX290" s="770">
        <v>1</v>
      </c>
      <c r="JY290" s="770"/>
      <c r="JZ290" s="770"/>
      <c r="KA290" s="770"/>
      <c r="KB290" s="770">
        <v>1</v>
      </c>
      <c r="KC290" s="770">
        <v>1</v>
      </c>
      <c r="KD290" s="770"/>
      <c r="KE290" s="770"/>
      <c r="KF290" s="770"/>
      <c r="KG290" s="770"/>
      <c r="KH290" s="770"/>
      <c r="KI290" s="770"/>
      <c r="KJ290" s="770">
        <f>SUM(KF290,KD290,KB290,JZ290,JX290,KH290)</f>
        <v>2</v>
      </c>
      <c r="KK290" s="770">
        <f>SUM(KG290,KE290,KC290,KA290,JY290,KI290)</f>
        <v>1</v>
      </c>
      <c r="KL290" s="712" t="str">
        <f t="shared" si="84"/>
        <v>ok</v>
      </c>
      <c r="KM290" s="712" t="str">
        <f t="shared" si="85"/>
        <v>ok</v>
      </c>
      <c r="KN290" s="770" t="s">
        <v>707</v>
      </c>
      <c r="KO290" s="770"/>
      <c r="KP290" s="770"/>
      <c r="KQ290" s="770"/>
      <c r="KR290" s="770"/>
      <c r="KS290" s="770"/>
      <c r="KT290" s="770"/>
      <c r="KU290" s="770"/>
      <c r="KV290" s="770"/>
      <c r="KW290" s="770"/>
      <c r="KX290" s="770">
        <v>1</v>
      </c>
      <c r="KY290" s="770">
        <v>1</v>
      </c>
      <c r="KZ290" s="770"/>
      <c r="LA290" s="770"/>
      <c r="LB290" s="770"/>
      <c r="LC290" s="770"/>
      <c r="LD290" s="770"/>
      <c r="LE290" s="770"/>
      <c r="LF290" s="770"/>
      <c r="LG290" s="770"/>
      <c r="LH290" s="770"/>
      <c r="LI290" s="770"/>
      <c r="LJ290" s="770">
        <v>1</v>
      </c>
      <c r="LK290" s="770"/>
      <c r="LL290" s="770"/>
      <c r="LM290" s="770"/>
      <c r="LN290" s="766">
        <f>SUM(KP290,KR290,KT290,KV290,KX290,KZ290,LB290,LD290,LF290,LH290,LJ290,LL290)</f>
        <v>2</v>
      </c>
      <c r="LO290" s="766">
        <f>SUM(KQ290,KS290,KU290,KW290,KY290,LA290,LC290,LE290,LG290,LI290,LK290,LM290)</f>
        <v>1</v>
      </c>
      <c r="LP290" s="770">
        <v>2</v>
      </c>
      <c r="LQ290" s="770">
        <v>1</v>
      </c>
      <c r="LR290" s="770"/>
      <c r="LS290" s="770">
        <v>1</v>
      </c>
      <c r="LT290" s="712" t="str">
        <f t="shared" si="80"/>
        <v>OK</v>
      </c>
      <c r="LU290" s="770"/>
      <c r="LV290" s="770">
        <v>1</v>
      </c>
      <c r="LW290" s="770"/>
      <c r="LX290" s="769">
        <v>2</v>
      </c>
      <c r="LY290" s="766" t="str">
        <f t="shared" si="82"/>
        <v>within the MUNICIPALITY</v>
      </c>
      <c r="LZ290" s="299"/>
      <c r="MA290" s="1709"/>
      <c r="MB290" s="1709"/>
      <c r="MC290" s="1679">
        <f t="shared" si="70"/>
        <v>0</v>
      </c>
      <c r="MD290" s="1709">
        <v>9600</v>
      </c>
      <c r="ME290" s="1709"/>
      <c r="MF290" s="1709">
        <v>2000</v>
      </c>
      <c r="MG290" s="1680">
        <f t="shared" si="81"/>
        <v>11600</v>
      </c>
      <c r="MH290" s="770" t="s">
        <v>2223</v>
      </c>
      <c r="MI290" s="302">
        <v>6000</v>
      </c>
      <c r="MJ290" s="302"/>
      <c r="MK290" s="302">
        <v>333</v>
      </c>
      <c r="ML290" s="302">
        <v>500</v>
      </c>
      <c r="MM290" s="302"/>
      <c r="MN290" s="302"/>
      <c r="MO290" s="302">
        <v>280</v>
      </c>
      <c r="MP290" s="302">
        <v>400</v>
      </c>
      <c r="MQ290" s="302">
        <v>190</v>
      </c>
      <c r="MR290" s="302">
        <v>1120</v>
      </c>
      <c r="MS290" s="302"/>
      <c r="MT290" s="302"/>
      <c r="MU290" s="302"/>
      <c r="MV290" s="302"/>
      <c r="MW290" s="302"/>
      <c r="MX290" s="302"/>
      <c r="MY290" s="1682">
        <f t="shared" si="74"/>
        <v>8823</v>
      </c>
      <c r="MZ290" s="770" t="s">
        <v>13164</v>
      </c>
      <c r="NA290" s="770" t="s">
        <v>13005</v>
      </c>
      <c r="NB290" s="770" t="s">
        <v>13164</v>
      </c>
      <c r="NC290" s="770" t="s">
        <v>13007</v>
      </c>
      <c r="ND290" s="770">
        <v>0</v>
      </c>
      <c r="NE290" s="770">
        <v>0</v>
      </c>
      <c r="NF290" s="770">
        <v>0</v>
      </c>
      <c r="NG290" s="770">
        <v>1</v>
      </c>
      <c r="NH290" s="770">
        <v>1</v>
      </c>
      <c r="NI290" s="770">
        <v>0</v>
      </c>
      <c r="NJ290" s="770">
        <v>0</v>
      </c>
      <c r="NK290" s="770">
        <v>0</v>
      </c>
      <c r="NL290" s="770">
        <v>0</v>
      </c>
      <c r="NM290" s="770">
        <v>0</v>
      </c>
      <c r="NN290" s="770">
        <v>1</v>
      </c>
      <c r="NO290" s="770">
        <v>0</v>
      </c>
      <c r="NP290" s="770">
        <v>0</v>
      </c>
      <c r="NQ290" s="770">
        <v>2</v>
      </c>
      <c r="NR290" s="770">
        <v>0</v>
      </c>
      <c r="NS290" s="770">
        <v>0</v>
      </c>
      <c r="NT290" s="770">
        <v>0</v>
      </c>
      <c r="NU290" s="770">
        <v>0</v>
      </c>
      <c r="NV290" s="770">
        <v>0</v>
      </c>
      <c r="NW290" s="770">
        <v>0</v>
      </c>
      <c r="NX290" s="770">
        <v>0</v>
      </c>
      <c r="NY290" s="770" t="s">
        <v>1208</v>
      </c>
      <c r="NZ290" s="770"/>
      <c r="OA290" s="770" t="s">
        <v>1208</v>
      </c>
      <c r="OB290" s="770" t="s">
        <v>1208</v>
      </c>
      <c r="OC290" s="770" t="s">
        <v>1208</v>
      </c>
      <c r="OD290" s="770" t="s">
        <v>1208</v>
      </c>
      <c r="OE290" s="770"/>
      <c r="OF290" s="770"/>
      <c r="OG290" s="770"/>
      <c r="OH290" s="770"/>
      <c r="OI290" s="770"/>
      <c r="OJ290" s="770"/>
      <c r="OK290" s="770"/>
      <c r="OL290" s="770"/>
      <c r="OM290" s="770"/>
      <c r="ON290" s="770"/>
      <c r="OO290" s="770"/>
      <c r="OP290" s="770"/>
      <c r="OQ290" s="770"/>
      <c r="OR290" s="770"/>
      <c r="OS290" s="770"/>
      <c r="OT290" s="770"/>
      <c r="OU290" s="770"/>
      <c r="OV290" s="770"/>
      <c r="OW290" s="770"/>
      <c r="OX290" s="770"/>
      <c r="OY290" s="770"/>
      <c r="OZ290" s="770"/>
      <c r="PA290" s="770"/>
      <c r="PB290" s="770"/>
      <c r="PC290" s="770"/>
      <c r="PD290" s="770"/>
      <c r="PE290" s="770"/>
      <c r="PF290" s="770"/>
      <c r="PG290" s="770"/>
      <c r="PH290" s="770"/>
      <c r="PI290" s="770"/>
      <c r="PJ290" s="770"/>
      <c r="PK290" s="770"/>
      <c r="PL290" s="770"/>
      <c r="PM290" s="770"/>
      <c r="PN290" s="770"/>
      <c r="PO290" s="770"/>
      <c r="PP290" s="770"/>
      <c r="PQ290" s="770"/>
      <c r="PR290" s="770"/>
      <c r="PS290" s="770"/>
      <c r="PT290" s="770"/>
      <c r="PU290" s="770"/>
      <c r="PV290" s="770"/>
      <c r="PW290" s="770"/>
      <c r="PX290" s="770"/>
      <c r="PY290" s="770"/>
      <c r="PZ290" s="770"/>
      <c r="QA290" s="770"/>
      <c r="QB290" s="770"/>
      <c r="QC290" s="770"/>
      <c r="QD290" s="770"/>
      <c r="QE290" s="770"/>
      <c r="QF290" s="770"/>
      <c r="QG290" s="770"/>
      <c r="QH290" s="770"/>
      <c r="QI290" s="770"/>
      <c r="QJ290" s="770"/>
      <c r="QK290" s="770"/>
      <c r="QL290" s="770"/>
      <c r="QM290" s="770"/>
      <c r="QN290" s="770"/>
      <c r="QO290" s="770"/>
      <c r="QP290" s="770"/>
      <c r="QQ290" s="770"/>
      <c r="QR290" s="770"/>
      <c r="QS290" s="770"/>
      <c r="QT290" s="770"/>
      <c r="QU290" s="770"/>
      <c r="QV290" s="770"/>
      <c r="QW290" s="770"/>
      <c r="QX290" s="770"/>
      <c r="QY290" s="770"/>
      <c r="QZ290" s="770"/>
      <c r="RA290" s="770"/>
      <c r="RB290" s="770" t="s">
        <v>1214</v>
      </c>
      <c r="RC290" s="770"/>
      <c r="RD290" s="770"/>
      <c r="RE290" s="770"/>
      <c r="RF290" s="304"/>
      <c r="RG290" s="770"/>
      <c r="RH290" s="302"/>
      <c r="RI290" s="770"/>
      <c r="RJ290" s="770" t="s">
        <v>2178</v>
      </c>
      <c r="RK290" s="770"/>
      <c r="RL290" s="1710"/>
      <c r="RM290" s="12"/>
      <c r="RN290" s="1711"/>
      <c r="RO290" s="140" t="s">
        <v>489</v>
      </c>
      <c r="RP290" s="11"/>
      <c r="RQ290" s="11"/>
      <c r="RR290" s="311" t="s">
        <v>12353</v>
      </c>
      <c r="RS290" s="1139" t="s">
        <v>12980</v>
      </c>
      <c r="RT290" s="11"/>
      <c r="RU290" s="11"/>
      <c r="RV290" s="6" t="s">
        <v>12452</v>
      </c>
      <c r="RW290" s="11" t="s">
        <v>7619</v>
      </c>
      <c r="RX290" s="11" t="s">
        <v>486</v>
      </c>
      <c r="RY290" s="11"/>
      <c r="RZ290" s="11" t="s">
        <v>2209</v>
      </c>
      <c r="SA290" s="6"/>
      <c r="SB290" s="11"/>
      <c r="SC290" s="11"/>
    </row>
    <row r="291" spans="1:497" ht="12.75" customHeight="1">
      <c r="A291" s="49" t="s">
        <v>12353</v>
      </c>
      <c r="B291" s="292" t="s">
        <v>11859</v>
      </c>
      <c r="C291" s="140" t="s">
        <v>489</v>
      </c>
      <c r="D291" s="770" t="s">
        <v>5628</v>
      </c>
      <c r="E291" s="766" t="s">
        <v>484</v>
      </c>
      <c r="F291" s="770" t="s">
        <v>28</v>
      </c>
      <c r="G291" s="770" t="s">
        <v>18</v>
      </c>
      <c r="H291" s="770"/>
      <c r="I291" s="295"/>
      <c r="J291" s="770" t="s">
        <v>5628</v>
      </c>
      <c r="K291" s="770"/>
      <c r="L291" s="770"/>
      <c r="M291" s="770"/>
      <c r="N291" s="770"/>
      <c r="O291" s="770"/>
      <c r="P291" s="94" t="s">
        <v>5628</v>
      </c>
      <c r="Q291" s="1088"/>
      <c r="R291" s="297">
        <v>30</v>
      </c>
      <c r="S291" s="770" t="s">
        <v>18</v>
      </c>
      <c r="T291" s="770"/>
      <c r="U291" s="298"/>
      <c r="V291" s="770" t="s">
        <v>783</v>
      </c>
      <c r="W291" s="770"/>
      <c r="X291" s="296"/>
      <c r="Y291" s="766" t="s">
        <v>484</v>
      </c>
      <c r="Z291" s="770" t="s">
        <v>708</v>
      </c>
      <c r="AA291" s="770" t="s">
        <v>709</v>
      </c>
      <c r="AB291" s="6" t="s">
        <v>7273</v>
      </c>
      <c r="AC291" s="770"/>
      <c r="AD291" s="770"/>
      <c r="AE291" s="770"/>
      <c r="AF291" s="770"/>
      <c r="AG291" s="770"/>
      <c r="AH291" s="770"/>
      <c r="AI291" s="770"/>
      <c r="AJ291" s="770"/>
      <c r="AK291" s="770" t="s">
        <v>1101</v>
      </c>
      <c r="AL291" s="299"/>
      <c r="AM291" s="300"/>
      <c r="AN291" s="301"/>
      <c r="AO291" s="766"/>
      <c r="AP291" s="766"/>
      <c r="AQ291" s="766"/>
      <c r="AR291" s="766"/>
      <c r="AS291" s="770"/>
      <c r="AT291" s="770"/>
      <c r="AU291" s="770"/>
      <c r="AV291" s="770"/>
      <c r="AW291" s="770"/>
      <c r="AX291" s="770"/>
      <c r="AY291" s="770"/>
      <c r="AZ291" s="770"/>
      <c r="BA291" s="770"/>
      <c r="BB291" s="770"/>
      <c r="BC291" s="770"/>
      <c r="BD291" s="770"/>
      <c r="BE291" s="770"/>
      <c r="BF291" s="302"/>
      <c r="BG291" s="302"/>
      <c r="BH291" s="770"/>
      <c r="BI291" s="770"/>
      <c r="BJ291" s="770"/>
      <c r="BK291" s="770"/>
      <c r="BL291" s="766"/>
      <c r="BM291" s="766" t="s">
        <v>1238</v>
      </c>
      <c r="BN291" s="766" t="s">
        <v>1305</v>
      </c>
      <c r="BO291" s="770"/>
      <c r="BP291" s="780"/>
      <c r="BQ291" s="772"/>
      <c r="BR291" s="774"/>
      <c r="BS291" s="766" t="s">
        <v>1257</v>
      </c>
      <c r="BT291" s="766"/>
      <c r="BU291" s="770"/>
      <c r="BV291" s="770"/>
      <c r="BW291" s="770"/>
      <c r="BX291" s="302"/>
      <c r="BY291" s="770"/>
      <c r="BZ291" s="302"/>
      <c r="CA291" s="770"/>
      <c r="CB291" s="770"/>
      <c r="CC291" s="770"/>
      <c r="CD291" s="770"/>
      <c r="CE291" s="770"/>
      <c r="CF291" s="770"/>
      <c r="CG291" s="770"/>
      <c r="CH291" s="770"/>
      <c r="CI291" s="770"/>
      <c r="CJ291" s="770"/>
      <c r="CK291" s="770"/>
      <c r="CL291" s="770"/>
      <c r="CM291" s="770"/>
      <c r="CN291" s="770"/>
      <c r="CO291" s="770"/>
      <c r="CP291" s="770"/>
      <c r="CQ291" s="770"/>
      <c r="CR291" s="302"/>
      <c r="CS291" s="770"/>
      <c r="CT291" s="770"/>
      <c r="CU291" s="305"/>
      <c r="CV291" s="770"/>
      <c r="CW291" s="770"/>
      <c r="CX291" s="770"/>
      <c r="CY291" s="770"/>
      <c r="CZ291" s="770"/>
      <c r="DA291" s="770"/>
      <c r="DB291" s="770"/>
      <c r="DC291" s="770"/>
      <c r="DD291" s="770"/>
      <c r="DE291" s="770"/>
      <c r="DF291" s="770"/>
      <c r="DG291" s="770"/>
      <c r="DH291" s="770"/>
      <c r="DI291" s="770"/>
      <c r="DJ291" s="770"/>
      <c r="DK291" s="770"/>
      <c r="DL291" s="770"/>
      <c r="DM291" s="770"/>
      <c r="DN291" s="770"/>
      <c r="DO291" s="770"/>
      <c r="DP291" s="770"/>
      <c r="DQ291" s="770"/>
      <c r="DR291" s="770"/>
      <c r="DS291" s="307"/>
      <c r="DT291" s="770"/>
      <c r="DU291" s="770"/>
      <c r="DV291" s="770"/>
      <c r="DW291" s="306"/>
      <c r="DX291" s="306"/>
      <c r="DY291" s="770"/>
      <c r="DZ291" s="770"/>
      <c r="EA291" s="770"/>
      <c r="EB291" s="770"/>
      <c r="EC291" s="770"/>
      <c r="ED291" s="770"/>
      <c r="EE291" s="770"/>
      <c r="EF291" s="770"/>
      <c r="EG291" s="770"/>
      <c r="EH291" s="770"/>
      <c r="EI291" s="770"/>
      <c r="EJ291" s="770"/>
      <c r="EK291" s="770"/>
      <c r="EL291" s="770"/>
      <c r="EM291" s="770"/>
      <c r="EN291" s="770"/>
      <c r="EO291" s="770"/>
      <c r="EP291" s="770"/>
      <c r="EQ291" s="770"/>
      <c r="ER291" s="770"/>
      <c r="ES291" s="770"/>
      <c r="ET291" s="770"/>
      <c r="EU291" s="770"/>
      <c r="EV291" s="770"/>
      <c r="EW291" s="770"/>
      <c r="EX291" s="770"/>
      <c r="EY291" s="770"/>
      <c r="EZ291" s="770"/>
      <c r="FA291" s="770"/>
      <c r="FB291" s="770"/>
      <c r="FC291" s="770"/>
      <c r="FD291" s="302"/>
      <c r="FE291" s="770"/>
      <c r="FF291" s="770"/>
      <c r="FG291" s="770"/>
      <c r="FH291" s="770" t="s">
        <v>1306</v>
      </c>
      <c r="FI291" s="770">
        <v>1</v>
      </c>
      <c r="FJ291" s="770" t="s">
        <v>1639</v>
      </c>
      <c r="FK291" s="770" t="s">
        <v>999</v>
      </c>
      <c r="FL291" s="770" t="s">
        <v>978</v>
      </c>
      <c r="FM291" s="147">
        <v>1500</v>
      </c>
      <c r="FN291" s="302">
        <f>40*28</f>
        <v>1120</v>
      </c>
      <c r="FO291" s="302">
        <f>100*4</f>
        <v>400</v>
      </c>
      <c r="FP291" s="766" t="s">
        <v>1602</v>
      </c>
      <c r="FQ291" s="766" t="s">
        <v>1660</v>
      </c>
      <c r="FR291" s="770"/>
      <c r="FS291" s="770"/>
      <c r="FT291" s="770"/>
      <c r="FU291" s="770"/>
      <c r="FV291" s="770"/>
      <c r="FW291" s="770"/>
      <c r="FX291" s="770"/>
      <c r="FY291" s="770"/>
      <c r="FZ291" s="770"/>
      <c r="GA291" s="770"/>
      <c r="GB291" s="770"/>
      <c r="GC291" s="308"/>
      <c r="GD291" s="297"/>
      <c r="GE291" s="770"/>
      <c r="GF291" s="302"/>
      <c r="GG291" s="302"/>
      <c r="GH291" s="770"/>
      <c r="GI291" s="770"/>
      <c r="GJ291" s="770"/>
      <c r="GK291" s="770"/>
      <c r="GL291" s="770"/>
      <c r="GM291" s="770"/>
      <c r="GN291" s="309"/>
      <c r="GO291" s="770"/>
      <c r="GP291" s="770"/>
      <c r="GQ291" s="770"/>
      <c r="GR291" s="770"/>
      <c r="GS291" s="770"/>
      <c r="GT291" s="770"/>
      <c r="GU291" s="770"/>
      <c r="GV291" s="770"/>
      <c r="GW291" s="770"/>
      <c r="GX291" s="770"/>
      <c r="GY291" s="770"/>
      <c r="GZ291" s="770"/>
      <c r="HA291" s="770"/>
      <c r="HB291" s="770"/>
      <c r="HC291" s="770"/>
      <c r="HD291" s="770"/>
      <c r="HE291" s="770"/>
      <c r="HF291" s="770"/>
      <c r="HG291" s="770"/>
      <c r="HH291" s="770"/>
      <c r="HI291" s="770"/>
      <c r="HJ291" s="770"/>
      <c r="HK291" s="770"/>
      <c r="HL291" s="770"/>
      <c r="HM291" s="770"/>
      <c r="HN291" s="770"/>
      <c r="HO291" s="770"/>
      <c r="HP291" s="770"/>
      <c r="HQ291" s="770"/>
      <c r="HR291" s="770"/>
      <c r="HS291" s="770"/>
      <c r="HT291" s="770"/>
      <c r="HU291" s="770"/>
      <c r="HV291" s="770"/>
      <c r="HW291" s="770"/>
      <c r="HX291" s="770"/>
      <c r="HY291" s="770"/>
      <c r="HZ291" s="770"/>
      <c r="IA291" s="770"/>
      <c r="IB291" s="14" t="e">
        <f>IF(#REF!&gt;0,IF(#REF!&lt;=10000,"Y",""),"")</f>
        <v>#REF!</v>
      </c>
      <c r="IC291" s="770" t="s">
        <v>1207</v>
      </c>
      <c r="ID291" s="770"/>
      <c r="IE291" s="770"/>
      <c r="IF291" s="770"/>
      <c r="IG291" s="770"/>
      <c r="IH291" s="770"/>
      <c r="II291" s="770"/>
      <c r="IJ291" s="770"/>
      <c r="IK291" s="770"/>
      <c r="IL291" s="770"/>
      <c r="IM291" s="770"/>
      <c r="IN291" s="770"/>
      <c r="IO291" s="296"/>
      <c r="IP291" s="770"/>
      <c r="IQ291" s="770"/>
      <c r="IR291" s="770"/>
      <c r="IS291" s="770"/>
      <c r="IT291" s="770"/>
      <c r="IU291" s="770"/>
      <c r="IV291" s="770"/>
      <c r="IW291" s="770"/>
      <c r="IX291" s="770"/>
      <c r="IY291" s="770"/>
      <c r="IZ291" s="770"/>
      <c r="JA291" s="770"/>
      <c r="JB291" s="770"/>
      <c r="JC291" s="770"/>
      <c r="JD291" s="302"/>
      <c r="JE291" s="770"/>
      <c r="JF291" s="770"/>
      <c r="JG291" s="770"/>
      <c r="JH291" s="770"/>
      <c r="JI291" s="712" t="str">
        <f t="shared" si="75"/>
        <v>ok</v>
      </c>
      <c r="JJ291" s="770">
        <v>1</v>
      </c>
      <c r="JK291" s="1139" t="s">
        <v>2242</v>
      </c>
      <c r="JL291" s="766"/>
      <c r="JM291" s="766"/>
      <c r="JN291" s="766"/>
      <c r="JO291" s="766">
        <v>1</v>
      </c>
      <c r="JP291" s="766"/>
      <c r="JQ291" s="766"/>
      <c r="JR291" s="766"/>
      <c r="JS291" s="766"/>
      <c r="JT291" s="766">
        <f t="shared" si="89"/>
        <v>0</v>
      </c>
      <c r="JU291" s="766">
        <f t="shared" si="89"/>
        <v>1</v>
      </c>
      <c r="JV291" s="712" t="str">
        <f t="shared" si="76"/>
        <v>ok</v>
      </c>
      <c r="JW291" s="712" t="str">
        <f t="shared" si="77"/>
        <v>ok</v>
      </c>
      <c r="JX291" s="766"/>
      <c r="JY291" s="766"/>
      <c r="JZ291" s="766"/>
      <c r="KA291" s="766"/>
      <c r="KB291" s="766"/>
      <c r="KC291" s="766">
        <v>1</v>
      </c>
      <c r="KD291" s="766"/>
      <c r="KE291" s="766"/>
      <c r="KF291" s="766"/>
      <c r="KG291" s="766"/>
      <c r="KH291" s="766"/>
      <c r="KI291" s="766"/>
      <c r="KJ291" s="770">
        <f t="shared" si="86"/>
        <v>0</v>
      </c>
      <c r="KK291" s="770">
        <f t="shared" si="86"/>
        <v>1</v>
      </c>
      <c r="KL291" s="712" t="str">
        <f t="shared" si="84"/>
        <v>ok</v>
      </c>
      <c r="KM291" s="712" t="str">
        <f t="shared" si="85"/>
        <v>ok</v>
      </c>
      <c r="KN291" s="770" t="s">
        <v>783</v>
      </c>
      <c r="KO291" s="770"/>
      <c r="KP291" s="770"/>
      <c r="KQ291" s="770"/>
      <c r="KR291" s="770"/>
      <c r="KS291" s="770"/>
      <c r="KT291" s="770"/>
      <c r="KU291" s="770"/>
      <c r="KV291" s="770"/>
      <c r="KW291" s="770"/>
      <c r="KX291" s="770"/>
      <c r="KY291" s="770"/>
      <c r="KZ291" s="770"/>
      <c r="LA291" s="770">
        <v>1</v>
      </c>
      <c r="LB291" s="770"/>
      <c r="LC291" s="770"/>
      <c r="LD291" s="770"/>
      <c r="LE291" s="770"/>
      <c r="LF291" s="770"/>
      <c r="LG291" s="770"/>
      <c r="LH291" s="770"/>
      <c r="LI291" s="770"/>
      <c r="LJ291" s="770"/>
      <c r="LK291" s="770"/>
      <c r="LL291" s="770"/>
      <c r="LM291" s="770"/>
      <c r="LN291" s="766">
        <f t="shared" si="71"/>
        <v>0</v>
      </c>
      <c r="LO291" s="766">
        <f t="shared" si="71"/>
        <v>1</v>
      </c>
      <c r="LP291" s="13"/>
      <c r="LQ291" s="13"/>
      <c r="LR291" s="13"/>
      <c r="LS291" s="13"/>
      <c r="LT291" s="712" t="str">
        <f t="shared" si="80"/>
        <v>OK</v>
      </c>
      <c r="LU291" s="13"/>
      <c r="LV291" s="13"/>
      <c r="LW291" s="13"/>
      <c r="LX291" s="769"/>
      <c r="LY291" s="766" t="str">
        <f t="shared" si="82"/>
        <v/>
      </c>
      <c r="LZ291" s="299"/>
      <c r="MA291" s="306"/>
      <c r="MB291" s="306"/>
      <c r="MC291" s="1679">
        <f t="shared" si="70"/>
        <v>0</v>
      </c>
      <c r="MD291" s="306"/>
      <c r="ME291" s="306"/>
      <c r="MF291" s="306"/>
      <c r="MG291" s="1680">
        <v>0</v>
      </c>
      <c r="MH291" s="770"/>
      <c r="MI291" s="302"/>
      <c r="MJ291" s="302"/>
      <c r="MK291" s="302"/>
      <c r="ML291" s="302"/>
      <c r="MM291" s="302"/>
      <c r="MN291" s="302"/>
      <c r="MO291" s="302"/>
      <c r="MP291" s="302"/>
      <c r="MQ291" s="302"/>
      <c r="MR291" s="302"/>
      <c r="MS291" s="302"/>
      <c r="MT291" s="302"/>
      <c r="MU291" s="302"/>
      <c r="MV291" s="302"/>
      <c r="MW291" s="302"/>
      <c r="MX291" s="302"/>
      <c r="MY291" s="1682"/>
      <c r="MZ291" s="770"/>
      <c r="NA291" s="770"/>
      <c r="NB291" s="770"/>
      <c r="NC291" s="770"/>
      <c r="ND291" s="770"/>
      <c r="NE291" s="770"/>
      <c r="NF291" s="770"/>
      <c r="NG291" s="770"/>
      <c r="NH291" s="770"/>
      <c r="NI291" s="770"/>
      <c r="NJ291" s="770"/>
      <c r="NK291" s="770"/>
      <c r="NL291" s="770"/>
      <c r="NM291" s="770"/>
      <c r="NN291" s="770"/>
      <c r="NO291" s="770"/>
      <c r="NP291" s="770"/>
      <c r="NQ291" s="770"/>
      <c r="NR291" s="770"/>
      <c r="NS291" s="770"/>
      <c r="NT291" s="770"/>
      <c r="NU291" s="770"/>
      <c r="NV291" s="770"/>
      <c r="NW291" s="770"/>
      <c r="NX291" s="770"/>
      <c r="NY291" s="770"/>
      <c r="NZ291" s="770"/>
      <c r="OA291" s="770"/>
      <c r="OB291" s="770"/>
      <c r="OC291" s="770"/>
      <c r="OD291" s="770"/>
      <c r="OE291" s="770"/>
      <c r="OF291" s="770"/>
      <c r="OG291" s="770"/>
      <c r="OH291" s="770"/>
      <c r="OI291" s="770"/>
      <c r="OJ291" s="770"/>
      <c r="OK291" s="770"/>
      <c r="OL291" s="770"/>
      <c r="OM291" s="770"/>
      <c r="ON291" s="770"/>
      <c r="OO291" s="770"/>
      <c r="OP291" s="770"/>
      <c r="OQ291" s="770"/>
      <c r="OR291" s="770"/>
      <c r="OS291" s="770"/>
      <c r="OT291" s="770"/>
      <c r="OU291" s="770"/>
      <c r="OV291" s="770"/>
      <c r="OW291" s="770"/>
      <c r="OX291" s="770"/>
      <c r="OY291" s="770"/>
      <c r="OZ291" s="770"/>
      <c r="PA291" s="770"/>
      <c r="PB291" s="770"/>
      <c r="PC291" s="770"/>
      <c r="PD291" s="770"/>
      <c r="PE291" s="770"/>
      <c r="PF291" s="770"/>
      <c r="PG291" s="770"/>
      <c r="PH291" s="770"/>
      <c r="PI291" s="770"/>
      <c r="PJ291" s="770"/>
      <c r="PK291" s="770"/>
      <c r="PL291" s="770"/>
      <c r="PM291" s="770"/>
      <c r="PN291" s="770"/>
      <c r="PO291" s="770"/>
      <c r="PP291" s="770"/>
      <c r="PQ291" s="770"/>
      <c r="PR291" s="770"/>
      <c r="PS291" s="770"/>
      <c r="PT291" s="770"/>
      <c r="PU291" s="770"/>
      <c r="PV291" s="770"/>
      <c r="PW291" s="770"/>
      <c r="PX291" s="770"/>
      <c r="PY291" s="770"/>
      <c r="PZ291" s="770"/>
      <c r="QA291" s="770"/>
      <c r="QB291" s="770"/>
      <c r="QC291" s="770"/>
      <c r="QD291" s="770"/>
      <c r="QE291" s="770"/>
      <c r="QF291" s="770"/>
      <c r="QG291" s="770"/>
      <c r="QH291" s="770"/>
      <c r="QI291" s="770"/>
      <c r="QJ291" s="770"/>
      <c r="QK291" s="770"/>
      <c r="QL291" s="770"/>
      <c r="QM291" s="770"/>
      <c r="QN291" s="770"/>
      <c r="QO291" s="770"/>
      <c r="QP291" s="770"/>
      <c r="QQ291" s="770"/>
      <c r="QR291" s="770"/>
      <c r="QS291" s="770"/>
      <c r="QT291" s="770"/>
      <c r="QU291" s="770"/>
      <c r="QV291" s="770"/>
      <c r="QW291" s="770"/>
      <c r="QX291" s="770"/>
      <c r="QY291" s="770"/>
      <c r="QZ291" s="770"/>
      <c r="RA291" s="770"/>
      <c r="RB291" s="770"/>
      <c r="RC291" s="770"/>
      <c r="RD291" s="770"/>
      <c r="RE291" s="770"/>
      <c r="RF291" s="304"/>
      <c r="RG291" s="770"/>
      <c r="RH291" s="302"/>
      <c r="RI291" s="770"/>
      <c r="RJ291" s="770" t="s">
        <v>13424</v>
      </c>
      <c r="RK291" s="770" t="s">
        <v>2242</v>
      </c>
      <c r="RL291" s="1710">
        <v>42818</v>
      </c>
      <c r="RM291" s="12"/>
      <c r="RN291" s="1711"/>
      <c r="RO291" s="140" t="s">
        <v>489</v>
      </c>
      <c r="RP291" s="11"/>
      <c r="RQ291" s="11"/>
      <c r="RR291" s="311" t="s">
        <v>12353</v>
      </c>
      <c r="RS291" s="1139" t="s">
        <v>12980</v>
      </c>
      <c r="RT291" s="11"/>
      <c r="RU291" s="11"/>
      <c r="RV291" s="771" t="s">
        <v>12356</v>
      </c>
      <c r="RW291" s="11" t="s">
        <v>7619</v>
      </c>
      <c r="RX291" s="11" t="s">
        <v>486</v>
      </c>
      <c r="RY291" s="11"/>
      <c r="RZ291" s="11"/>
      <c r="SA291" s="771"/>
      <c r="SB291" s="11"/>
      <c r="SC291" s="11"/>
    </row>
    <row r="292" spans="1:497" ht="12.75" customHeight="1">
      <c r="A292" s="767" t="s">
        <v>7421</v>
      </c>
      <c r="B292" s="292" t="s">
        <v>7621</v>
      </c>
      <c r="C292" s="140" t="s">
        <v>492</v>
      </c>
      <c r="D292" s="94" t="s">
        <v>493</v>
      </c>
      <c r="E292" s="766" t="s">
        <v>484</v>
      </c>
      <c r="F292" s="770" t="s">
        <v>20</v>
      </c>
      <c r="G292" s="770" t="s">
        <v>18</v>
      </c>
      <c r="H292" s="770"/>
      <c r="I292" s="295" t="s">
        <v>5629</v>
      </c>
      <c r="J292" s="94" t="s">
        <v>494</v>
      </c>
      <c r="K292" s="770"/>
      <c r="L292" s="770"/>
      <c r="M292" s="770"/>
      <c r="N292" s="770"/>
      <c r="O292" s="770"/>
      <c r="P292" s="94" t="s">
        <v>1001</v>
      </c>
      <c r="Q292" s="1088">
        <v>26470</v>
      </c>
      <c r="R292" s="297">
        <v>42</v>
      </c>
      <c r="S292" s="770" t="s">
        <v>18</v>
      </c>
      <c r="T292" s="770"/>
      <c r="U292" s="298" t="s">
        <v>1002</v>
      </c>
      <c r="V292" s="770" t="s">
        <v>783</v>
      </c>
      <c r="W292" s="770"/>
      <c r="X292" s="296"/>
      <c r="Y292" s="770" t="s">
        <v>484</v>
      </c>
      <c r="Z292" s="770" t="s">
        <v>708</v>
      </c>
      <c r="AA292" s="770" t="s">
        <v>709</v>
      </c>
      <c r="AB292" s="770" t="s">
        <v>710</v>
      </c>
      <c r="AC292" s="770"/>
      <c r="AD292" s="770" t="s">
        <v>770</v>
      </c>
      <c r="AE292" s="770" t="s">
        <v>968</v>
      </c>
      <c r="AF292" s="770" t="s">
        <v>1003</v>
      </c>
      <c r="AG292" s="766" t="s">
        <v>1132</v>
      </c>
      <c r="AH292" s="766" t="s">
        <v>1096</v>
      </c>
      <c r="AI292" s="770"/>
      <c r="AJ292" s="770" t="s">
        <v>1137</v>
      </c>
      <c r="AK292" s="770" t="s">
        <v>1101</v>
      </c>
      <c r="AL292" s="299"/>
      <c r="AM292" s="300"/>
      <c r="AN292" s="301"/>
      <c r="AO292" s="766" t="s">
        <v>1122</v>
      </c>
      <c r="AP292" s="766"/>
      <c r="AQ292" s="766"/>
      <c r="AR292" s="766"/>
      <c r="AS292" s="770"/>
      <c r="AT292" s="770"/>
      <c r="AU292" s="770"/>
      <c r="AV292" s="770"/>
      <c r="AW292" s="770"/>
      <c r="AX292" s="770"/>
      <c r="AY292" s="770"/>
      <c r="AZ292" s="770"/>
      <c r="BA292" s="770"/>
      <c r="BB292" s="770"/>
      <c r="BC292" s="770"/>
      <c r="BD292" s="770"/>
      <c r="BE292" s="770"/>
      <c r="BF292" s="302"/>
      <c r="BG292" s="302"/>
      <c r="BH292" s="770"/>
      <c r="BI292" s="770"/>
      <c r="BJ292" s="770"/>
      <c r="BK292" s="770" t="s">
        <v>1095</v>
      </c>
      <c r="BL292" s="766" t="s">
        <v>1365</v>
      </c>
      <c r="BM292" s="766" t="s">
        <v>8108</v>
      </c>
      <c r="BN292" s="766" t="s">
        <v>1230</v>
      </c>
      <c r="BO292" s="766" t="s">
        <v>1239</v>
      </c>
      <c r="BP292" s="1111">
        <v>16</v>
      </c>
      <c r="BQ292" s="772">
        <v>16</v>
      </c>
      <c r="BR292" s="774">
        <f t="shared" ref="BR292:BR297" si="90">BQ292/BP292</f>
        <v>1</v>
      </c>
      <c r="BS292" s="766" t="s">
        <v>1257</v>
      </c>
      <c r="BT292" s="766" t="s">
        <v>8133</v>
      </c>
      <c r="BU292" s="770" t="s">
        <v>1249</v>
      </c>
      <c r="BV292" s="770" t="s">
        <v>1247</v>
      </c>
      <c r="BW292" s="769"/>
      <c r="BX292" s="302"/>
      <c r="BY292" s="303"/>
      <c r="BZ292" s="770"/>
      <c r="CA292" s="302"/>
      <c r="CB292" s="302"/>
      <c r="CC292" s="770"/>
      <c r="CD292" s="770"/>
      <c r="CE292" s="770"/>
      <c r="CF292" s="304"/>
      <c r="CG292" s="321"/>
      <c r="CH292" s="770"/>
      <c r="CI292" s="770"/>
      <c r="CJ292" s="770"/>
      <c r="CK292" s="770"/>
      <c r="CL292" s="770"/>
      <c r="CM292" s="770"/>
      <c r="CN292" s="770"/>
      <c r="CO292" s="770"/>
      <c r="CP292" s="770"/>
      <c r="CQ292" s="770"/>
      <c r="CR292" s="770"/>
      <c r="CS292" s="302"/>
      <c r="CT292" s="770"/>
      <c r="CU292" s="305"/>
      <c r="CV292" s="770"/>
      <c r="CW292" s="770"/>
      <c r="CX292" s="770"/>
      <c r="CY292" s="770"/>
      <c r="CZ292" s="770"/>
      <c r="DA292" s="306"/>
      <c r="DB292" s="770"/>
      <c r="DC292" s="770"/>
      <c r="DD292" s="770"/>
      <c r="DE292" s="300"/>
      <c r="DF292" s="770"/>
      <c r="DG292" s="770"/>
      <c r="DH292" s="770"/>
      <c r="DI292" s="770"/>
      <c r="DJ292" s="770"/>
      <c r="DK292" s="770"/>
      <c r="DL292" s="770"/>
      <c r="DM292" s="770"/>
      <c r="DN292" s="322"/>
      <c r="DO292" s="770"/>
      <c r="DP292" s="770"/>
      <c r="DQ292" s="770"/>
      <c r="DR292" s="770"/>
      <c r="DS292" s="307"/>
      <c r="DT292" s="770"/>
      <c r="DU292" s="770"/>
      <c r="DV292" s="770"/>
      <c r="DW292" s="306"/>
      <c r="DX292" s="306"/>
      <c r="DY292" s="770"/>
      <c r="DZ292" s="770"/>
      <c r="EA292" s="770"/>
      <c r="EB292" s="770"/>
      <c r="EC292" s="770"/>
      <c r="ED292" s="770"/>
      <c r="EE292" s="770"/>
      <c r="EF292" s="770"/>
      <c r="EG292" s="770"/>
      <c r="EH292" s="770"/>
      <c r="EI292" s="770"/>
      <c r="EJ292" s="770"/>
      <c r="EK292" s="770"/>
      <c r="EL292" s="770"/>
      <c r="EM292" s="770"/>
      <c r="EN292" s="770"/>
      <c r="EO292" s="770"/>
      <c r="EP292" s="94"/>
      <c r="EQ292" s="770"/>
      <c r="ER292" s="770"/>
      <c r="ES292" s="770"/>
      <c r="ET292" s="770"/>
      <c r="EU292" s="770"/>
      <c r="EV292" s="770"/>
      <c r="EW292" s="770"/>
      <c r="EX292" s="770"/>
      <c r="EY292" s="770"/>
      <c r="EZ292" s="770"/>
      <c r="FA292" s="770"/>
      <c r="FB292" s="770"/>
      <c r="FC292" s="770"/>
      <c r="FD292" s="302"/>
      <c r="FE292" s="770"/>
      <c r="FF292" s="770"/>
      <c r="FG292" s="770"/>
      <c r="FH292" s="770" t="s">
        <v>478</v>
      </c>
      <c r="FI292" s="770">
        <v>1</v>
      </c>
      <c r="FJ292" s="770"/>
      <c r="FK292" s="770"/>
      <c r="FL292" s="770"/>
      <c r="FM292" s="302"/>
      <c r="FN292" s="302"/>
      <c r="FO292" s="302"/>
      <c r="FP292" s="766" t="s">
        <v>1602</v>
      </c>
      <c r="FQ292" s="766" t="s">
        <v>1660</v>
      </c>
      <c r="FR292" s="770" t="s">
        <v>1214</v>
      </c>
      <c r="FS292" s="770"/>
      <c r="FT292" s="770"/>
      <c r="FU292" s="770"/>
      <c r="FV292" s="770"/>
      <c r="FW292" s="770"/>
      <c r="FX292" s="770"/>
      <c r="FY292" s="770"/>
      <c r="FZ292" s="770"/>
      <c r="GA292" s="770"/>
      <c r="GB292" s="770"/>
      <c r="GC292" s="308"/>
      <c r="GD292" s="297"/>
      <c r="GE292" s="770"/>
      <c r="GF292" s="302"/>
      <c r="GG292" s="302"/>
      <c r="GH292" s="712" t="s">
        <v>1791</v>
      </c>
      <c r="GI292" s="770"/>
      <c r="GJ292" s="770"/>
      <c r="GK292" s="770" t="s">
        <v>2345</v>
      </c>
      <c r="GL292" s="770"/>
      <c r="GM292" s="770" t="s">
        <v>1214</v>
      </c>
      <c r="GN292" s="309">
        <v>70</v>
      </c>
      <c r="GO292" s="770"/>
      <c r="GP292" s="770" t="s">
        <v>1208</v>
      </c>
      <c r="GQ292" s="770"/>
      <c r="GR292" s="770"/>
      <c r="GS292" s="770"/>
      <c r="GT292" s="770"/>
      <c r="GU292" s="770"/>
      <c r="GV292" s="770"/>
      <c r="GW292" s="770" t="s">
        <v>1207</v>
      </c>
      <c r="GX292" s="770"/>
      <c r="GY292" s="770" t="s">
        <v>1208</v>
      </c>
      <c r="GZ292" s="770" t="s">
        <v>1208</v>
      </c>
      <c r="HA292" s="770" t="s">
        <v>1208</v>
      </c>
      <c r="HB292" s="770" t="s">
        <v>1208</v>
      </c>
      <c r="HC292" s="770" t="s">
        <v>1208</v>
      </c>
      <c r="HD292" s="770" t="s">
        <v>1208</v>
      </c>
      <c r="HE292" s="770" t="s">
        <v>1208</v>
      </c>
      <c r="HF292" s="770"/>
      <c r="HG292" s="770"/>
      <c r="HH292" s="770"/>
      <c r="HI292" s="770" t="s">
        <v>1214</v>
      </c>
      <c r="HJ292" s="770"/>
      <c r="HK292" s="770"/>
      <c r="HL292" s="770" t="s">
        <v>1214</v>
      </c>
      <c r="HM292" s="770"/>
      <c r="HN292" s="770"/>
      <c r="HO292" s="770"/>
      <c r="HP292" s="770"/>
      <c r="HQ292" s="770"/>
      <c r="HR292" s="770"/>
      <c r="HS292" s="770"/>
      <c r="HT292" s="770"/>
      <c r="HU292" s="770"/>
      <c r="HV292" s="770"/>
      <c r="HW292" s="770"/>
      <c r="HX292" s="770"/>
      <c r="HY292" s="770"/>
      <c r="HZ292" s="770"/>
      <c r="IA292" s="770"/>
      <c r="IB292" s="14" t="e">
        <f>IF(#REF!&gt;0,IF(#REF!&lt;=10000,"Y",""),"")</f>
        <v>#REF!</v>
      </c>
      <c r="IC292" s="770" t="s">
        <v>1207</v>
      </c>
      <c r="ID292" s="770"/>
      <c r="IE292" s="770"/>
      <c r="IF292" s="770" t="s">
        <v>1996</v>
      </c>
      <c r="IG292" s="770" t="s">
        <v>18</v>
      </c>
      <c r="IH292" s="770" t="s">
        <v>478</v>
      </c>
      <c r="II292" s="766" t="s">
        <v>978</v>
      </c>
      <c r="IJ292" s="770" t="s">
        <v>1898</v>
      </c>
      <c r="IK292" s="766" t="s">
        <v>1888</v>
      </c>
      <c r="IL292" s="770" t="s">
        <v>1997</v>
      </c>
      <c r="IM292" s="770">
        <v>2016</v>
      </c>
      <c r="IN292" s="770" t="s">
        <v>1997</v>
      </c>
      <c r="IO292" s="296"/>
      <c r="IP292" s="770" t="s">
        <v>478</v>
      </c>
      <c r="IQ292" s="13" t="s">
        <v>1975</v>
      </c>
      <c r="IR292" s="770" t="s">
        <v>1964</v>
      </c>
      <c r="IS292" s="770" t="s">
        <v>1999</v>
      </c>
      <c r="IT292" s="770"/>
      <c r="IU292" s="770" t="s">
        <v>1208</v>
      </c>
      <c r="IV292" s="770"/>
      <c r="IW292" s="770" t="s">
        <v>1997</v>
      </c>
      <c r="IX292" s="770"/>
      <c r="IY292" s="770"/>
      <c r="IZ292" s="770"/>
      <c r="JA292" s="770"/>
      <c r="JB292" s="770" t="s">
        <v>12779</v>
      </c>
      <c r="JC292" s="770"/>
      <c r="JD292" s="302"/>
      <c r="JE292" s="770"/>
      <c r="JF292" s="770"/>
      <c r="JG292" s="770"/>
      <c r="JH292" s="770"/>
      <c r="JI292" s="712" t="str">
        <f t="shared" si="75"/>
        <v>ok</v>
      </c>
      <c r="JJ292" s="766">
        <v>9</v>
      </c>
      <c r="JK292" s="1139" t="s">
        <v>2106</v>
      </c>
      <c r="JL292" s="770">
        <v>1</v>
      </c>
      <c r="JM292" s="770">
        <v>2</v>
      </c>
      <c r="JN292" s="770">
        <v>2</v>
      </c>
      <c r="JO292" s="770">
        <v>4</v>
      </c>
      <c r="JP292" s="770"/>
      <c r="JQ292" s="770"/>
      <c r="JR292" s="770"/>
      <c r="JS292" s="770"/>
      <c r="JT292" s="766">
        <f t="shared" si="89"/>
        <v>3</v>
      </c>
      <c r="JU292" s="766">
        <f t="shared" si="89"/>
        <v>6</v>
      </c>
      <c r="JV292" s="712" t="str">
        <f t="shared" si="76"/>
        <v>ok</v>
      </c>
      <c r="JW292" s="712" t="str">
        <f t="shared" si="77"/>
        <v>ok</v>
      </c>
      <c r="JX292" s="770">
        <v>1</v>
      </c>
      <c r="JY292" s="770"/>
      <c r="JZ292" s="770"/>
      <c r="KA292" s="770">
        <v>2</v>
      </c>
      <c r="KB292" s="770">
        <v>1</v>
      </c>
      <c r="KC292" s="770">
        <v>3</v>
      </c>
      <c r="KD292" s="770">
        <v>1</v>
      </c>
      <c r="KE292" s="770">
        <v>1</v>
      </c>
      <c r="KF292" s="770"/>
      <c r="KG292" s="770"/>
      <c r="KH292" s="770"/>
      <c r="KI292" s="770"/>
      <c r="KJ292" s="770">
        <f t="shared" si="86"/>
        <v>3</v>
      </c>
      <c r="KK292" s="770">
        <f t="shared" si="86"/>
        <v>6</v>
      </c>
      <c r="KL292" s="712" t="str">
        <f t="shared" si="84"/>
        <v>ok</v>
      </c>
      <c r="KM292" s="712" t="str">
        <f t="shared" si="85"/>
        <v>ok</v>
      </c>
      <c r="KN292" s="770" t="s">
        <v>783</v>
      </c>
      <c r="KO292" s="770"/>
      <c r="KP292" s="770">
        <v>1</v>
      </c>
      <c r="KQ292" s="770"/>
      <c r="KR292" s="770"/>
      <c r="KS292" s="770"/>
      <c r="KT292" s="770"/>
      <c r="KU292" s="770">
        <v>4</v>
      </c>
      <c r="KV292" s="770"/>
      <c r="KW292" s="770"/>
      <c r="KX292" s="770">
        <v>1</v>
      </c>
      <c r="KY292" s="770">
        <v>2</v>
      </c>
      <c r="KZ292" s="770">
        <v>1</v>
      </c>
      <c r="LA292" s="770"/>
      <c r="LB292" s="770"/>
      <c r="LC292" s="770"/>
      <c r="LD292" s="770"/>
      <c r="LE292" s="770"/>
      <c r="LF292" s="770"/>
      <c r="LG292" s="770"/>
      <c r="LH292" s="770"/>
      <c r="LI292" s="770"/>
      <c r="LJ292" s="770"/>
      <c r="LK292" s="770"/>
      <c r="LL292" s="770"/>
      <c r="LM292" s="770"/>
      <c r="LN292" s="766">
        <f t="shared" si="71"/>
        <v>3</v>
      </c>
      <c r="LO292" s="766">
        <f t="shared" si="71"/>
        <v>6</v>
      </c>
      <c r="LP292" s="770">
        <v>3</v>
      </c>
      <c r="LQ292" s="770">
        <v>3</v>
      </c>
      <c r="LR292" s="770"/>
      <c r="LS292" s="770"/>
      <c r="LT292" s="712" t="str">
        <f t="shared" si="80"/>
        <v>OK</v>
      </c>
      <c r="LU292" s="770">
        <v>2</v>
      </c>
      <c r="LV292" s="770"/>
      <c r="LW292" s="770">
        <v>1</v>
      </c>
      <c r="LX292" s="769">
        <v>2</v>
      </c>
      <c r="LY292" s="766" t="str">
        <f t="shared" si="82"/>
        <v>within the MUNICIPALITY</v>
      </c>
      <c r="LZ292" s="299">
        <f>32*26</f>
        <v>832</v>
      </c>
      <c r="MA292" s="306"/>
      <c r="MB292" s="306"/>
      <c r="MC292" s="1679">
        <f t="shared" si="70"/>
        <v>832</v>
      </c>
      <c r="MD292" s="306">
        <f>SUM(16800,1000)</f>
        <v>17800</v>
      </c>
      <c r="ME292" s="306"/>
      <c r="MF292" s="306">
        <v>500</v>
      </c>
      <c r="MG292" s="1680">
        <f t="shared" si="81"/>
        <v>18300</v>
      </c>
      <c r="MH292" s="770" t="s">
        <v>13425</v>
      </c>
      <c r="MI292" s="302">
        <v>15000</v>
      </c>
      <c r="MJ292" s="302">
        <v>768</v>
      </c>
      <c r="MK292" s="302">
        <v>160</v>
      </c>
      <c r="ML292" s="302">
        <v>150</v>
      </c>
      <c r="MM292" s="302">
        <v>3000</v>
      </c>
      <c r="MN292" s="302"/>
      <c r="MO292" s="302"/>
      <c r="MP292" s="302">
        <v>200</v>
      </c>
      <c r="MQ292" s="302">
        <v>250</v>
      </c>
      <c r="MR292" s="302">
        <v>1620</v>
      </c>
      <c r="MS292" s="302">
        <v>100</v>
      </c>
      <c r="MT292" s="302"/>
      <c r="MU292" s="302"/>
      <c r="MV292" s="302"/>
      <c r="MW292" s="302"/>
      <c r="MX292" s="302"/>
      <c r="MY292" s="1682">
        <f t="shared" si="74"/>
        <v>21248</v>
      </c>
      <c r="MZ292" s="770" t="s">
        <v>13164</v>
      </c>
      <c r="NA292" s="770" t="s">
        <v>13005</v>
      </c>
      <c r="NB292" s="770" t="s">
        <v>13409</v>
      </c>
      <c r="NC292" s="770" t="s">
        <v>13026</v>
      </c>
      <c r="ND292" s="770">
        <v>0</v>
      </c>
      <c r="NE292" s="770">
        <v>0</v>
      </c>
      <c r="NF292" s="770">
        <v>0</v>
      </c>
      <c r="NG292" s="770">
        <v>3</v>
      </c>
      <c r="NH292" s="770">
        <v>1</v>
      </c>
      <c r="NI292" s="770">
        <v>0</v>
      </c>
      <c r="NJ292" s="770">
        <v>1</v>
      </c>
      <c r="NK292" s="770">
        <v>0</v>
      </c>
      <c r="NL292" s="770">
        <v>0</v>
      </c>
      <c r="NM292" s="770">
        <v>1</v>
      </c>
      <c r="NN292" s="770">
        <v>0</v>
      </c>
      <c r="NO292" s="770">
        <v>0</v>
      </c>
      <c r="NP292" s="770">
        <v>0</v>
      </c>
      <c r="NQ292" s="770">
        <v>0</v>
      </c>
      <c r="NR292" s="770">
        <v>0</v>
      </c>
      <c r="NS292" s="770">
        <v>0</v>
      </c>
      <c r="NT292" s="770">
        <v>0</v>
      </c>
      <c r="NU292" s="770">
        <v>0</v>
      </c>
      <c r="NV292" s="770">
        <v>0</v>
      </c>
      <c r="NW292" s="770">
        <v>0</v>
      </c>
      <c r="NX292" s="770">
        <v>0</v>
      </c>
      <c r="NY292" s="770" t="s">
        <v>1208</v>
      </c>
      <c r="NZ292" s="770" t="s">
        <v>1208</v>
      </c>
      <c r="OA292" s="770" t="s">
        <v>1208</v>
      </c>
      <c r="OB292" s="770" t="s">
        <v>1208</v>
      </c>
      <c r="OC292" s="770" t="s">
        <v>1208</v>
      </c>
      <c r="OD292" s="770" t="s">
        <v>1208</v>
      </c>
      <c r="OE292" s="770"/>
      <c r="OF292" s="1834" t="s">
        <v>13034</v>
      </c>
      <c r="OG292" s="770"/>
      <c r="OH292" s="770"/>
      <c r="OI292" s="770"/>
      <c r="OJ292" s="770"/>
      <c r="OK292" s="770"/>
      <c r="OL292" s="770"/>
      <c r="OM292" s="770"/>
      <c r="ON292" s="770"/>
      <c r="OO292" s="770" t="s">
        <v>1214</v>
      </c>
      <c r="OP292" s="770"/>
      <c r="OQ292" s="770"/>
      <c r="OR292" s="770"/>
      <c r="OS292" s="770"/>
      <c r="OT292" s="770"/>
      <c r="OU292" s="770"/>
      <c r="OV292" s="770"/>
      <c r="OW292" s="770"/>
      <c r="OX292" s="770"/>
      <c r="OY292" s="770"/>
      <c r="OZ292" s="770"/>
      <c r="PA292" s="770"/>
      <c r="PB292" s="770"/>
      <c r="PC292" s="770"/>
      <c r="PD292" s="770"/>
      <c r="PE292" s="770"/>
      <c r="PF292" s="770"/>
      <c r="PG292" s="770"/>
      <c r="PH292" s="770"/>
      <c r="PI292" s="770"/>
      <c r="PJ292" s="770"/>
      <c r="PK292" s="770" t="s">
        <v>1208</v>
      </c>
      <c r="PL292" s="770" t="s">
        <v>1208</v>
      </c>
      <c r="PM292" s="770"/>
      <c r="PN292" s="770"/>
      <c r="PO292" s="770"/>
      <c r="PP292" s="770"/>
      <c r="PQ292" s="770"/>
      <c r="PR292" s="770"/>
      <c r="PS292" s="770"/>
      <c r="PT292" s="770"/>
      <c r="PU292" s="770"/>
      <c r="PV292" s="770"/>
      <c r="PW292" s="770"/>
      <c r="PX292" s="770"/>
      <c r="PY292" s="770"/>
      <c r="PZ292" s="770"/>
      <c r="QA292" s="770"/>
      <c r="QB292" s="770"/>
      <c r="QC292" s="770"/>
      <c r="QD292" s="770"/>
      <c r="QE292" s="770"/>
      <c r="QF292" s="770"/>
      <c r="QG292" s="770"/>
      <c r="QH292" s="770"/>
      <c r="QI292" s="770"/>
      <c r="QJ292" s="770"/>
      <c r="QK292" s="770"/>
      <c r="QL292" s="770"/>
      <c r="QM292" s="770"/>
      <c r="QN292" s="770"/>
      <c r="QO292" s="770"/>
      <c r="QP292" s="770"/>
      <c r="QQ292" s="770"/>
      <c r="QR292" s="770"/>
      <c r="QS292" s="770"/>
      <c r="QT292" s="770"/>
      <c r="QU292" s="770"/>
      <c r="QV292" s="770"/>
      <c r="QW292" s="770"/>
      <c r="QX292" s="770"/>
      <c r="QY292" s="770"/>
      <c r="QZ292" s="770"/>
      <c r="RA292" s="770"/>
      <c r="RB292" s="770" t="s">
        <v>1214</v>
      </c>
      <c r="RC292" s="770"/>
      <c r="RD292" s="770"/>
      <c r="RE292" s="770"/>
      <c r="RF292" s="304"/>
      <c r="RG292" s="770"/>
      <c r="RH292" s="302"/>
      <c r="RI292" s="770"/>
      <c r="RJ292" s="770" t="s">
        <v>1997</v>
      </c>
      <c r="RK292" s="770"/>
      <c r="RL292" s="1710"/>
      <c r="RM292" s="12"/>
      <c r="RN292" s="1711"/>
      <c r="RO292" s="140" t="s">
        <v>492</v>
      </c>
      <c r="RP292" s="11"/>
      <c r="RQ292" s="11"/>
      <c r="RR292" s="19" t="s">
        <v>7421</v>
      </c>
      <c r="RS292" s="1139" t="s">
        <v>12980</v>
      </c>
      <c r="RT292" s="11"/>
      <c r="RU292" s="11"/>
      <c r="RV292" s="771" t="s">
        <v>12353</v>
      </c>
      <c r="RW292" s="11" t="s">
        <v>11858</v>
      </c>
      <c r="RX292" s="11" t="s">
        <v>489</v>
      </c>
      <c r="RY292" s="11"/>
      <c r="RZ292" s="11" t="s">
        <v>2209</v>
      </c>
      <c r="SA292" s="771"/>
      <c r="SB292" s="11"/>
      <c r="SC292" s="11"/>
    </row>
    <row r="293" spans="1:497" ht="12.75" customHeight="1">
      <c r="A293" s="767" t="s">
        <v>7421</v>
      </c>
      <c r="B293" s="292" t="s">
        <v>7622</v>
      </c>
      <c r="C293" s="140" t="s">
        <v>495</v>
      </c>
      <c r="D293" s="770" t="s">
        <v>496</v>
      </c>
      <c r="E293" s="766" t="s">
        <v>484</v>
      </c>
      <c r="F293" s="770" t="s">
        <v>20</v>
      </c>
      <c r="G293" s="770" t="s">
        <v>18</v>
      </c>
      <c r="H293" s="770"/>
      <c r="I293" s="295"/>
      <c r="J293" s="94" t="s">
        <v>497</v>
      </c>
      <c r="K293" s="770"/>
      <c r="L293" s="770"/>
      <c r="M293" s="770"/>
      <c r="N293" s="770"/>
      <c r="O293" s="770"/>
      <c r="P293" s="94" t="s">
        <v>497</v>
      </c>
      <c r="Q293" s="1088">
        <v>30883</v>
      </c>
      <c r="R293" s="297">
        <v>32</v>
      </c>
      <c r="S293" s="770" t="s">
        <v>10</v>
      </c>
      <c r="T293" s="770"/>
      <c r="U293" s="298" t="s">
        <v>1004</v>
      </c>
      <c r="V293" s="770" t="s">
        <v>722</v>
      </c>
      <c r="W293" s="770"/>
      <c r="X293" s="296"/>
      <c r="Y293" s="770" t="s">
        <v>1000</v>
      </c>
      <c r="Z293" s="770" t="s">
        <v>708</v>
      </c>
      <c r="AA293" s="770" t="s">
        <v>709</v>
      </c>
      <c r="AB293" s="770" t="s">
        <v>710</v>
      </c>
      <c r="AC293" s="770"/>
      <c r="AD293" s="770" t="s">
        <v>1005</v>
      </c>
      <c r="AE293" s="770"/>
      <c r="AF293" s="770" t="s">
        <v>712</v>
      </c>
      <c r="AG293" s="766" t="s">
        <v>1132</v>
      </c>
      <c r="AH293" s="766" t="s">
        <v>1096</v>
      </c>
      <c r="AI293" s="770"/>
      <c r="AJ293" s="770" t="s">
        <v>1137</v>
      </c>
      <c r="AK293" s="770" t="s">
        <v>1101</v>
      </c>
      <c r="AL293" s="299"/>
      <c r="AM293" s="300"/>
      <c r="AN293" s="301"/>
      <c r="AO293" s="766" t="s">
        <v>1105</v>
      </c>
      <c r="AP293" s="766"/>
      <c r="AQ293" s="766"/>
      <c r="AR293" s="766"/>
      <c r="AS293" s="770"/>
      <c r="AT293" s="770"/>
      <c r="AU293" s="770"/>
      <c r="AV293" s="770"/>
      <c r="AW293" s="770"/>
      <c r="AX293" s="770"/>
      <c r="AY293" s="770"/>
      <c r="AZ293" s="770"/>
      <c r="BA293" s="770"/>
      <c r="BB293" s="770"/>
      <c r="BC293" s="770"/>
      <c r="BD293" s="770"/>
      <c r="BE293" s="770"/>
      <c r="BF293" s="302"/>
      <c r="BG293" s="302"/>
      <c r="BH293" s="770"/>
      <c r="BI293" s="770"/>
      <c r="BJ293" s="770"/>
      <c r="BK293" s="770" t="s">
        <v>1095</v>
      </c>
      <c r="BL293" s="766" t="s">
        <v>1366</v>
      </c>
      <c r="BM293" s="766" t="s">
        <v>1096</v>
      </c>
      <c r="BN293" s="766" t="s">
        <v>1230</v>
      </c>
      <c r="BO293" s="766" t="s">
        <v>1239</v>
      </c>
      <c r="BP293" s="1111">
        <v>48.3</v>
      </c>
      <c r="BQ293" s="772">
        <v>10</v>
      </c>
      <c r="BR293" s="774">
        <f>BQ293/BP293</f>
        <v>0.20703933747412009</v>
      </c>
      <c r="BS293" s="766" t="s">
        <v>1149</v>
      </c>
      <c r="BT293" s="766" t="s">
        <v>8133</v>
      </c>
      <c r="BU293" s="770" t="s">
        <v>1364</v>
      </c>
      <c r="BV293" s="770" t="s">
        <v>1247</v>
      </c>
      <c r="BW293" s="770">
        <v>1988</v>
      </c>
      <c r="BX293" s="302"/>
      <c r="BY293" s="303"/>
      <c r="BZ293" s="770"/>
      <c r="CA293" s="302"/>
      <c r="CB293" s="302"/>
      <c r="CC293" s="770"/>
      <c r="CD293" s="770"/>
      <c r="CE293" s="770"/>
      <c r="CF293" s="304"/>
      <c r="CG293" s="321"/>
      <c r="CH293" s="770"/>
      <c r="CI293" s="770"/>
      <c r="CJ293" s="770"/>
      <c r="CK293" s="770"/>
      <c r="CL293" s="770"/>
      <c r="CM293" s="770"/>
      <c r="CN293" s="770"/>
      <c r="CO293" s="770"/>
      <c r="CP293" s="770"/>
      <c r="CQ293" s="770"/>
      <c r="CR293" s="770"/>
      <c r="CS293" s="302"/>
      <c r="CT293" s="770"/>
      <c r="CU293" s="305"/>
      <c r="CV293" s="770"/>
      <c r="CW293" s="770"/>
      <c r="CX293" s="770"/>
      <c r="CY293" s="770"/>
      <c r="CZ293" s="770"/>
      <c r="DA293" s="306"/>
      <c r="DB293" s="770"/>
      <c r="DC293" s="770"/>
      <c r="DD293" s="770"/>
      <c r="DE293" s="300"/>
      <c r="DF293" s="770"/>
      <c r="DG293" s="770"/>
      <c r="DH293" s="770"/>
      <c r="DI293" s="770"/>
      <c r="DJ293" s="770"/>
      <c r="DK293" s="770"/>
      <c r="DL293" s="770"/>
      <c r="DM293" s="770"/>
      <c r="DN293" s="322"/>
      <c r="DO293" s="770"/>
      <c r="DP293" s="770"/>
      <c r="DQ293" s="770"/>
      <c r="DR293" s="770"/>
      <c r="DS293" s="307"/>
      <c r="DT293" s="770"/>
      <c r="DU293" s="770"/>
      <c r="DV293" s="770"/>
      <c r="DW293" s="306"/>
      <c r="DX293" s="306"/>
      <c r="DY293" s="770"/>
      <c r="DZ293" s="770"/>
      <c r="EA293" s="770"/>
      <c r="EB293" s="770"/>
      <c r="EC293" s="770"/>
      <c r="ED293" s="770"/>
      <c r="EE293" s="770"/>
      <c r="EF293" s="770"/>
      <c r="EG293" s="770"/>
      <c r="EH293" s="770"/>
      <c r="EI293" s="770"/>
      <c r="EJ293" s="770"/>
      <c r="EK293" s="770"/>
      <c r="EL293" s="770"/>
      <c r="EM293" s="770"/>
      <c r="EN293" s="770"/>
      <c r="EO293" s="770"/>
      <c r="EP293" s="94"/>
      <c r="EQ293" s="770"/>
      <c r="ER293" s="770"/>
      <c r="ES293" s="770"/>
      <c r="ET293" s="770"/>
      <c r="EU293" s="770"/>
      <c r="EV293" s="770"/>
      <c r="EW293" s="770"/>
      <c r="EX293" s="770"/>
      <c r="EY293" s="770"/>
      <c r="EZ293" s="770"/>
      <c r="FA293" s="770"/>
      <c r="FB293" s="770"/>
      <c r="FC293" s="770"/>
      <c r="FD293" s="302"/>
      <c r="FE293" s="770"/>
      <c r="FF293" s="770"/>
      <c r="FG293" s="770"/>
      <c r="FH293" s="770" t="s">
        <v>478</v>
      </c>
      <c r="FI293" s="770">
        <v>1</v>
      </c>
      <c r="FJ293" s="770"/>
      <c r="FK293" s="770"/>
      <c r="FL293" s="770"/>
      <c r="FM293" s="302"/>
      <c r="FN293" s="302"/>
      <c r="FO293" s="302"/>
      <c r="FP293" s="766" t="s">
        <v>1602</v>
      </c>
      <c r="FQ293" s="766" t="s">
        <v>1660</v>
      </c>
      <c r="FR293" s="770" t="s">
        <v>1214</v>
      </c>
      <c r="FS293" s="770"/>
      <c r="FT293" s="770"/>
      <c r="FU293" s="770"/>
      <c r="FV293" s="770"/>
      <c r="FW293" s="770"/>
      <c r="FX293" s="770"/>
      <c r="FY293" s="770"/>
      <c r="FZ293" s="770"/>
      <c r="GA293" s="770"/>
      <c r="GB293" s="770"/>
      <c r="GC293" s="308"/>
      <c r="GD293" s="297"/>
      <c r="GE293" s="770"/>
      <c r="GF293" s="302"/>
      <c r="GG293" s="302"/>
      <c r="GH293" s="712" t="s">
        <v>1791</v>
      </c>
      <c r="GI293" s="770"/>
      <c r="GJ293" s="770" t="s">
        <v>913</v>
      </c>
      <c r="GK293" s="770" t="s">
        <v>2345</v>
      </c>
      <c r="GL293" s="770" t="s">
        <v>1830</v>
      </c>
      <c r="GM293" s="770"/>
      <c r="GN293" s="309"/>
      <c r="GO293" s="770"/>
      <c r="GP293" s="770"/>
      <c r="GQ293" s="770"/>
      <c r="GR293" s="770"/>
      <c r="GS293" s="770"/>
      <c r="GT293" s="770"/>
      <c r="GU293" s="770"/>
      <c r="GV293" s="770"/>
      <c r="GW293" s="770"/>
      <c r="GX293" s="770"/>
      <c r="GY293" s="770"/>
      <c r="GZ293" s="770"/>
      <c r="HA293" s="770"/>
      <c r="HB293" s="770"/>
      <c r="HC293" s="770"/>
      <c r="HD293" s="770"/>
      <c r="HE293" s="770"/>
      <c r="HF293" s="770"/>
      <c r="HG293" s="770"/>
      <c r="HH293" s="770"/>
      <c r="HI293" s="770" t="s">
        <v>1214</v>
      </c>
      <c r="HJ293" s="770"/>
      <c r="HK293" s="770"/>
      <c r="HL293" s="770" t="s">
        <v>1214</v>
      </c>
      <c r="HM293" s="770"/>
      <c r="HN293" s="770"/>
      <c r="HO293" s="770"/>
      <c r="HP293" s="770"/>
      <c r="HQ293" s="770"/>
      <c r="HR293" s="770"/>
      <c r="HS293" s="770"/>
      <c r="HT293" s="770"/>
      <c r="HU293" s="770"/>
      <c r="HV293" s="770"/>
      <c r="HW293" s="770"/>
      <c r="HX293" s="770"/>
      <c r="HY293" s="770"/>
      <c r="HZ293" s="770"/>
      <c r="IA293" s="770"/>
      <c r="IB293" s="14" t="e">
        <f>IF(#REF!&gt;0,IF(#REF!&lt;=10000,"Y",""),"")</f>
        <v>#REF!</v>
      </c>
      <c r="IC293" s="770"/>
      <c r="ID293" s="770"/>
      <c r="IE293" s="770" t="s">
        <v>1207</v>
      </c>
      <c r="IF293" s="770"/>
      <c r="IG293" s="770"/>
      <c r="IH293" s="770"/>
      <c r="II293" s="770"/>
      <c r="IJ293" s="770"/>
      <c r="IK293" s="770"/>
      <c r="IL293" s="770"/>
      <c r="IM293" s="770"/>
      <c r="IN293" s="770"/>
      <c r="IO293" s="296"/>
      <c r="IP293" s="770"/>
      <c r="IQ293" s="770"/>
      <c r="IR293" s="770"/>
      <c r="IS293" s="770"/>
      <c r="IT293" s="770"/>
      <c r="IU293" s="770"/>
      <c r="IV293" s="770"/>
      <c r="IW293" s="770"/>
      <c r="IX293" s="770"/>
      <c r="IY293" s="770"/>
      <c r="IZ293" s="770"/>
      <c r="JA293" s="770"/>
      <c r="JB293" s="770"/>
      <c r="JC293" s="770"/>
      <c r="JD293" s="302"/>
      <c r="JE293" s="770"/>
      <c r="JF293" s="770"/>
      <c r="JG293" s="770"/>
      <c r="JH293" s="770"/>
      <c r="JI293" s="712" t="str">
        <f t="shared" si="75"/>
        <v>ok</v>
      </c>
      <c r="JJ293" s="766">
        <v>8</v>
      </c>
      <c r="JK293" s="1139" t="s">
        <v>2107</v>
      </c>
      <c r="JL293" s="770">
        <v>1</v>
      </c>
      <c r="JM293" s="770">
        <v>2</v>
      </c>
      <c r="JN293" s="770">
        <v>3</v>
      </c>
      <c r="JO293" s="770">
        <v>1</v>
      </c>
      <c r="JP293" s="770"/>
      <c r="JQ293" s="770">
        <v>1</v>
      </c>
      <c r="JR293" s="770"/>
      <c r="JS293" s="770"/>
      <c r="JT293" s="766">
        <f t="shared" si="89"/>
        <v>4</v>
      </c>
      <c r="JU293" s="766">
        <f t="shared" si="89"/>
        <v>4</v>
      </c>
      <c r="JV293" s="712" t="str">
        <f t="shared" si="76"/>
        <v>ok</v>
      </c>
      <c r="JW293" s="712" t="str">
        <f t="shared" si="77"/>
        <v>ok</v>
      </c>
      <c r="JX293" s="770"/>
      <c r="JY293" s="770"/>
      <c r="JZ293" s="770">
        <v>1</v>
      </c>
      <c r="KA293" s="770">
        <v>2</v>
      </c>
      <c r="KB293" s="770"/>
      <c r="KC293" s="770"/>
      <c r="KD293" s="770">
        <v>3</v>
      </c>
      <c r="KE293" s="770">
        <v>1</v>
      </c>
      <c r="KF293" s="770"/>
      <c r="KG293" s="770">
        <v>1</v>
      </c>
      <c r="KH293" s="770"/>
      <c r="KI293" s="770"/>
      <c r="KJ293" s="770">
        <f t="shared" si="86"/>
        <v>4</v>
      </c>
      <c r="KK293" s="770">
        <f t="shared" si="86"/>
        <v>4</v>
      </c>
      <c r="KL293" s="712" t="str">
        <f t="shared" si="84"/>
        <v>ok</v>
      </c>
      <c r="KM293" s="712" t="str">
        <f t="shared" si="85"/>
        <v>ok</v>
      </c>
      <c r="KN293" s="770" t="s">
        <v>722</v>
      </c>
      <c r="KO293" s="770"/>
      <c r="KP293" s="770"/>
      <c r="KQ293" s="770"/>
      <c r="KR293" s="770"/>
      <c r="KS293" s="770"/>
      <c r="KT293" s="770">
        <v>1</v>
      </c>
      <c r="KU293" s="770">
        <v>3</v>
      </c>
      <c r="KV293" s="770"/>
      <c r="KW293" s="770"/>
      <c r="KX293" s="770">
        <v>1</v>
      </c>
      <c r="KY293" s="770"/>
      <c r="KZ293" s="770">
        <v>2</v>
      </c>
      <c r="LA293" s="770">
        <v>1</v>
      </c>
      <c r="LB293" s="770"/>
      <c r="LC293" s="770"/>
      <c r="LD293" s="770"/>
      <c r="LE293" s="770"/>
      <c r="LF293" s="770"/>
      <c r="LG293" s="770"/>
      <c r="LH293" s="770"/>
      <c r="LI293" s="770"/>
      <c r="LJ293" s="770"/>
      <c r="LK293" s="770"/>
      <c r="LL293" s="770"/>
      <c r="LM293" s="770"/>
      <c r="LN293" s="766">
        <f t="shared" si="71"/>
        <v>4</v>
      </c>
      <c r="LO293" s="766">
        <f t="shared" si="71"/>
        <v>4</v>
      </c>
      <c r="LP293" s="770">
        <v>3</v>
      </c>
      <c r="LQ293" s="770">
        <v>3</v>
      </c>
      <c r="LR293" s="770"/>
      <c r="LS293" s="770"/>
      <c r="LT293" s="712" t="str">
        <f t="shared" si="80"/>
        <v>OK</v>
      </c>
      <c r="LU293" s="770">
        <v>2</v>
      </c>
      <c r="LV293" s="770">
        <v>1</v>
      </c>
      <c r="LW293" s="770"/>
      <c r="LX293" s="769">
        <v>2</v>
      </c>
      <c r="LY293" s="766" t="str">
        <f t="shared" si="82"/>
        <v>within the MUNICIPALITY</v>
      </c>
      <c r="LZ293" s="299">
        <f>SUM(384,448,2400)</f>
        <v>3232</v>
      </c>
      <c r="MA293" s="306"/>
      <c r="MB293" s="306"/>
      <c r="MC293" s="1679">
        <f t="shared" ref="MC293:MC356" si="91">SUM(LZ293:MB293)</f>
        <v>3232</v>
      </c>
      <c r="MD293" s="306">
        <f>SUM(12384,5600,11664)</f>
        <v>29648</v>
      </c>
      <c r="ME293" s="306"/>
      <c r="MF293" s="306"/>
      <c r="MG293" s="1680">
        <f t="shared" si="81"/>
        <v>29648</v>
      </c>
      <c r="MH293" s="770" t="s">
        <v>2981</v>
      </c>
      <c r="MI293" s="302">
        <v>11200</v>
      </c>
      <c r="MJ293" s="302">
        <v>3232</v>
      </c>
      <c r="MK293" s="302">
        <v>417</v>
      </c>
      <c r="ML293" s="302">
        <v>150</v>
      </c>
      <c r="MM293" s="302">
        <v>1400</v>
      </c>
      <c r="MN293" s="302"/>
      <c r="MO293" s="302">
        <v>100</v>
      </c>
      <c r="MP293" s="302">
        <v>400</v>
      </c>
      <c r="MQ293" s="302">
        <v>780</v>
      </c>
      <c r="MR293" s="302">
        <v>1000</v>
      </c>
      <c r="MS293" s="302">
        <v>1000</v>
      </c>
      <c r="MT293" s="302"/>
      <c r="MU293" s="302"/>
      <c r="MV293" s="302"/>
      <c r="MW293" s="302"/>
      <c r="MX293" s="302"/>
      <c r="MY293" s="1682">
        <f t="shared" si="74"/>
        <v>19679</v>
      </c>
      <c r="MZ293" s="770" t="s">
        <v>13398</v>
      </c>
      <c r="NA293" s="770" t="s">
        <v>13005</v>
      </c>
      <c r="NB293" s="770" t="s">
        <v>13164</v>
      </c>
      <c r="NC293" s="770" t="s">
        <v>13007</v>
      </c>
      <c r="ND293" s="770">
        <v>0</v>
      </c>
      <c r="NE293" s="770">
        <v>0</v>
      </c>
      <c r="NF293" s="770">
        <v>0</v>
      </c>
      <c r="NG293" s="770">
        <v>2</v>
      </c>
      <c r="NH293" s="770">
        <v>1</v>
      </c>
      <c r="NI293" s="770">
        <v>1</v>
      </c>
      <c r="NJ293" s="770">
        <v>0</v>
      </c>
      <c r="NK293" s="770">
        <v>0</v>
      </c>
      <c r="NL293" s="770">
        <v>0</v>
      </c>
      <c r="NM293" s="770">
        <v>0</v>
      </c>
      <c r="NN293" s="770">
        <v>1</v>
      </c>
      <c r="NO293" s="770">
        <v>0</v>
      </c>
      <c r="NP293" s="770">
        <v>0</v>
      </c>
      <c r="NQ293" s="770">
        <v>0</v>
      </c>
      <c r="NR293" s="770">
        <v>0</v>
      </c>
      <c r="NS293" s="770">
        <v>0</v>
      </c>
      <c r="NT293" s="770">
        <v>0</v>
      </c>
      <c r="NU293" s="770">
        <v>0</v>
      </c>
      <c r="NV293" s="770">
        <v>0</v>
      </c>
      <c r="NW293" s="770">
        <v>1</v>
      </c>
      <c r="NX293" s="770">
        <v>0</v>
      </c>
      <c r="NY293" s="770" t="s">
        <v>1208</v>
      </c>
      <c r="NZ293" s="770" t="s">
        <v>1208</v>
      </c>
      <c r="OA293" s="770" t="s">
        <v>1208</v>
      </c>
      <c r="OB293" s="770" t="s">
        <v>1208</v>
      </c>
      <c r="OC293" s="770" t="s">
        <v>1208</v>
      </c>
      <c r="OD293" s="770" t="s">
        <v>1208</v>
      </c>
      <c r="OE293" s="770"/>
      <c r="OF293" s="770"/>
      <c r="OG293" s="770"/>
      <c r="OH293" s="770"/>
      <c r="OI293" s="770"/>
      <c r="OJ293" s="770"/>
      <c r="OK293" s="770"/>
      <c r="OL293" s="770"/>
      <c r="OM293" s="770"/>
      <c r="ON293" s="770"/>
      <c r="OO293" s="770"/>
      <c r="OP293" s="770"/>
      <c r="OQ293" s="770"/>
      <c r="OR293" s="770"/>
      <c r="OS293" s="770"/>
      <c r="OT293" s="770"/>
      <c r="OU293" s="770"/>
      <c r="OV293" s="770"/>
      <c r="OW293" s="770"/>
      <c r="OX293" s="770"/>
      <c r="OY293" s="770"/>
      <c r="OZ293" s="770"/>
      <c r="PA293" s="770"/>
      <c r="PB293" s="770"/>
      <c r="PC293" s="770"/>
      <c r="PD293" s="770"/>
      <c r="PE293" s="770"/>
      <c r="PF293" s="770"/>
      <c r="PG293" s="770"/>
      <c r="PH293" s="770"/>
      <c r="PI293" s="770"/>
      <c r="PJ293" s="770"/>
      <c r="PK293" s="770"/>
      <c r="PL293" s="770"/>
      <c r="PM293" s="770" t="s">
        <v>1208</v>
      </c>
      <c r="PN293" s="770"/>
      <c r="PO293" s="770"/>
      <c r="PP293" s="770"/>
      <c r="PQ293" s="770"/>
      <c r="PR293" s="770"/>
      <c r="PS293" s="770"/>
      <c r="PT293" s="770"/>
      <c r="PU293" s="770"/>
      <c r="PV293" s="770"/>
      <c r="PW293" s="770"/>
      <c r="PX293" s="770"/>
      <c r="PY293" s="770"/>
      <c r="PZ293" s="770"/>
      <c r="QA293" s="770"/>
      <c r="QB293" s="770"/>
      <c r="QC293" s="770"/>
      <c r="QD293" s="770"/>
      <c r="QE293" s="770"/>
      <c r="QF293" s="770"/>
      <c r="QG293" s="770" t="s">
        <v>1208</v>
      </c>
      <c r="QH293" s="770"/>
      <c r="QI293" s="770"/>
      <c r="QJ293" s="770"/>
      <c r="QK293" s="770"/>
      <c r="QL293" s="770"/>
      <c r="QM293" s="770"/>
      <c r="QN293" s="770"/>
      <c r="QO293" s="770"/>
      <c r="QP293" s="770"/>
      <c r="QQ293" s="770"/>
      <c r="QR293" s="770"/>
      <c r="QS293" s="770"/>
      <c r="QT293" s="770"/>
      <c r="QU293" s="770"/>
      <c r="QV293" s="770"/>
      <c r="QW293" s="770"/>
      <c r="QX293" s="770"/>
      <c r="QY293" s="770"/>
      <c r="QZ293" s="770"/>
      <c r="RA293" s="770"/>
      <c r="RB293" s="770" t="s">
        <v>1207</v>
      </c>
      <c r="RC293" s="770">
        <v>2016</v>
      </c>
      <c r="RD293" s="770" t="s">
        <v>12989</v>
      </c>
      <c r="RE293" s="770" t="s">
        <v>13125</v>
      </c>
      <c r="RF293" s="304">
        <f>CONVERT(3,"in","m")</f>
        <v>7.6200000000000004E-2</v>
      </c>
      <c r="RG293" s="770" t="s">
        <v>13037</v>
      </c>
      <c r="RH293" s="302">
        <v>0</v>
      </c>
      <c r="RI293" s="770">
        <v>0.5</v>
      </c>
      <c r="RJ293" s="770" t="s">
        <v>2180</v>
      </c>
      <c r="RK293" s="770"/>
      <c r="RL293" s="1710"/>
      <c r="RM293" s="12"/>
      <c r="RN293" s="1711"/>
      <c r="RO293" s="140" t="s">
        <v>495</v>
      </c>
      <c r="RP293" s="11"/>
      <c r="RQ293" s="11"/>
      <c r="RR293" s="19" t="s">
        <v>7421</v>
      </c>
      <c r="RS293" s="1139" t="s">
        <v>12980</v>
      </c>
      <c r="RT293" s="11"/>
      <c r="RU293" s="11"/>
      <c r="RV293" s="771" t="s">
        <v>12353</v>
      </c>
      <c r="RW293" s="11" t="s">
        <v>11859</v>
      </c>
      <c r="RX293" s="11" t="s">
        <v>489</v>
      </c>
      <c r="RY293" s="11"/>
      <c r="RZ293" s="11" t="s">
        <v>2209</v>
      </c>
      <c r="SA293" s="771"/>
      <c r="SB293" s="11"/>
      <c r="SC293" s="11"/>
    </row>
    <row r="294" spans="1:497" ht="12.75" customHeight="1">
      <c r="A294" s="767" t="s">
        <v>7421</v>
      </c>
      <c r="B294" s="292" t="s">
        <v>7623</v>
      </c>
      <c r="C294" s="140" t="s">
        <v>498</v>
      </c>
      <c r="D294" s="770" t="s">
        <v>499</v>
      </c>
      <c r="E294" s="766" t="s">
        <v>500</v>
      </c>
      <c r="F294" s="770" t="s">
        <v>28</v>
      </c>
      <c r="G294" s="770" t="s">
        <v>10</v>
      </c>
      <c r="H294" s="770"/>
      <c r="I294" s="295" t="s">
        <v>1007</v>
      </c>
      <c r="J294" s="770" t="s">
        <v>499</v>
      </c>
      <c r="K294" s="770"/>
      <c r="L294" s="770"/>
      <c r="M294" s="770"/>
      <c r="N294" s="770"/>
      <c r="O294" s="770"/>
      <c r="P294" s="94" t="s">
        <v>1006</v>
      </c>
      <c r="Q294" s="1088">
        <v>14372</v>
      </c>
      <c r="R294" s="297">
        <v>79</v>
      </c>
      <c r="S294" s="770" t="s">
        <v>10</v>
      </c>
      <c r="T294" s="770"/>
      <c r="U294" s="298" t="s">
        <v>1007</v>
      </c>
      <c r="V294" s="770" t="s">
        <v>707</v>
      </c>
      <c r="W294" s="770"/>
      <c r="X294" s="296"/>
      <c r="Y294" s="770" t="s">
        <v>500</v>
      </c>
      <c r="Z294" s="770" t="s">
        <v>708</v>
      </c>
      <c r="AA294" s="770" t="s">
        <v>709</v>
      </c>
      <c r="AB294" s="770" t="s">
        <v>710</v>
      </c>
      <c r="AC294" s="770"/>
      <c r="AD294" s="770"/>
      <c r="AE294" s="770" t="s">
        <v>909</v>
      </c>
      <c r="AF294" s="770" t="s">
        <v>1008</v>
      </c>
      <c r="AG294" s="766" t="s">
        <v>1132</v>
      </c>
      <c r="AH294" s="766" t="s">
        <v>1096</v>
      </c>
      <c r="AI294" s="770"/>
      <c r="AJ294" s="770" t="s">
        <v>1137</v>
      </c>
      <c r="AK294" s="770" t="s">
        <v>1101</v>
      </c>
      <c r="AL294" s="299"/>
      <c r="AM294" s="300"/>
      <c r="AN294" s="301"/>
      <c r="AO294" s="766" t="s">
        <v>1122</v>
      </c>
      <c r="AP294" s="766"/>
      <c r="AQ294" s="766"/>
      <c r="AR294" s="766"/>
      <c r="AS294" s="770"/>
      <c r="AT294" s="770"/>
      <c r="AU294" s="770"/>
      <c r="AV294" s="770"/>
      <c r="AW294" s="770"/>
      <c r="AX294" s="770"/>
      <c r="AY294" s="770"/>
      <c r="AZ294" s="770"/>
      <c r="BA294" s="770"/>
      <c r="BB294" s="770"/>
      <c r="BC294" s="770"/>
      <c r="BD294" s="770"/>
      <c r="BE294" s="770"/>
      <c r="BF294" s="302"/>
      <c r="BG294" s="302"/>
      <c r="BH294" s="770"/>
      <c r="BI294" s="770"/>
      <c r="BJ294" s="770"/>
      <c r="BK294" s="770" t="s">
        <v>1095</v>
      </c>
      <c r="BL294" s="766" t="s">
        <v>1367</v>
      </c>
      <c r="BM294" s="766" t="s">
        <v>1096</v>
      </c>
      <c r="BN294" s="766" t="s">
        <v>1230</v>
      </c>
      <c r="BO294" s="766" t="s">
        <v>1239</v>
      </c>
      <c r="BP294" s="1111">
        <v>138</v>
      </c>
      <c r="BQ294" s="772">
        <v>41.4</v>
      </c>
      <c r="BR294" s="774">
        <f t="shared" si="90"/>
        <v>0.3</v>
      </c>
      <c r="BS294" s="766" t="s">
        <v>1149</v>
      </c>
      <c r="BT294" s="766" t="s">
        <v>8133</v>
      </c>
      <c r="BU294" s="766" t="s">
        <v>1288</v>
      </c>
      <c r="BV294" s="770" t="s">
        <v>1247</v>
      </c>
      <c r="BW294" s="770">
        <v>1978</v>
      </c>
      <c r="BX294" s="302"/>
      <c r="BY294" s="303"/>
      <c r="BZ294" s="770"/>
      <c r="CA294" s="302"/>
      <c r="CB294" s="302"/>
      <c r="CC294" s="770"/>
      <c r="CD294" s="770"/>
      <c r="CE294" s="770"/>
      <c r="CF294" s="304"/>
      <c r="CG294" s="321"/>
      <c r="CH294" s="770"/>
      <c r="CI294" s="770"/>
      <c r="CJ294" s="770"/>
      <c r="CK294" s="770"/>
      <c r="CL294" s="770"/>
      <c r="CM294" s="770"/>
      <c r="CN294" s="770"/>
      <c r="CO294" s="770"/>
      <c r="CP294" s="770"/>
      <c r="CQ294" s="770"/>
      <c r="CR294" s="770"/>
      <c r="CS294" s="302"/>
      <c r="CT294" s="770"/>
      <c r="CU294" s="305"/>
      <c r="CV294" s="770"/>
      <c r="CW294" s="770"/>
      <c r="CX294" s="770"/>
      <c r="CY294" s="770"/>
      <c r="CZ294" s="770"/>
      <c r="DA294" s="306"/>
      <c r="DB294" s="770"/>
      <c r="DC294" s="770"/>
      <c r="DD294" s="770"/>
      <c r="DE294" s="300"/>
      <c r="DF294" s="770"/>
      <c r="DG294" s="770"/>
      <c r="DH294" s="770"/>
      <c r="DI294" s="770"/>
      <c r="DJ294" s="770"/>
      <c r="DK294" s="770"/>
      <c r="DL294" s="770"/>
      <c r="DM294" s="770"/>
      <c r="DN294" s="322"/>
      <c r="DO294" s="770"/>
      <c r="DP294" s="770"/>
      <c r="DQ294" s="770"/>
      <c r="DR294" s="770"/>
      <c r="DS294" s="307"/>
      <c r="DT294" s="770"/>
      <c r="DU294" s="770"/>
      <c r="DV294" s="770"/>
      <c r="DW294" s="306"/>
      <c r="DX294" s="306"/>
      <c r="DY294" s="770"/>
      <c r="DZ294" s="770"/>
      <c r="EA294" s="770"/>
      <c r="EB294" s="770"/>
      <c r="EC294" s="770"/>
      <c r="ED294" s="770"/>
      <c r="EE294" s="770"/>
      <c r="EF294" s="770"/>
      <c r="EG294" s="770"/>
      <c r="EH294" s="770"/>
      <c r="EI294" s="770"/>
      <c r="EJ294" s="770"/>
      <c r="EK294" s="770"/>
      <c r="EL294" s="770"/>
      <c r="EM294" s="770"/>
      <c r="EN294" s="770"/>
      <c r="EO294" s="770"/>
      <c r="EP294" s="94"/>
      <c r="EQ294" s="770"/>
      <c r="ER294" s="770"/>
      <c r="ES294" s="770"/>
      <c r="ET294" s="770"/>
      <c r="EU294" s="770"/>
      <c r="EV294" s="770"/>
      <c r="EW294" s="770"/>
      <c r="EX294" s="770"/>
      <c r="EY294" s="770"/>
      <c r="EZ294" s="770"/>
      <c r="FA294" s="770"/>
      <c r="FB294" s="770"/>
      <c r="FC294" s="770"/>
      <c r="FD294" s="302"/>
      <c r="FE294" s="770"/>
      <c r="FF294" s="770"/>
      <c r="FG294" s="770"/>
      <c r="FH294" s="770" t="s">
        <v>478</v>
      </c>
      <c r="FI294" s="770">
        <v>1</v>
      </c>
      <c r="FJ294" s="770"/>
      <c r="FK294" s="770"/>
      <c r="FL294" s="770"/>
      <c r="FM294" s="302"/>
      <c r="FN294" s="302"/>
      <c r="FO294" s="302"/>
      <c r="FP294" s="766" t="s">
        <v>1602</v>
      </c>
      <c r="FQ294" s="766" t="s">
        <v>1660</v>
      </c>
      <c r="FR294" s="770" t="s">
        <v>1214</v>
      </c>
      <c r="FS294" s="770"/>
      <c r="FT294" s="770"/>
      <c r="FU294" s="770"/>
      <c r="FV294" s="770"/>
      <c r="FW294" s="770"/>
      <c r="FX294" s="770"/>
      <c r="FY294" s="770"/>
      <c r="FZ294" s="770"/>
      <c r="GA294" s="770"/>
      <c r="GB294" s="770"/>
      <c r="GC294" s="308"/>
      <c r="GD294" s="297"/>
      <c r="GE294" s="770"/>
      <c r="GF294" s="302"/>
      <c r="GG294" s="302"/>
      <c r="GH294" s="712" t="s">
        <v>1791</v>
      </c>
      <c r="GI294" s="770" t="s">
        <v>1008</v>
      </c>
      <c r="GJ294" s="770" t="s">
        <v>711</v>
      </c>
      <c r="GK294" s="766" t="s">
        <v>2693</v>
      </c>
      <c r="GL294" s="770"/>
      <c r="GM294" s="770" t="s">
        <v>5392</v>
      </c>
      <c r="GN294" s="309"/>
      <c r="GO294" s="770" t="s">
        <v>11373</v>
      </c>
      <c r="GP294" s="770"/>
      <c r="GQ294" s="770"/>
      <c r="GR294" s="770"/>
      <c r="GS294" s="770" t="s">
        <v>1208</v>
      </c>
      <c r="GT294" s="770"/>
      <c r="GU294" s="770"/>
      <c r="GV294" s="770" t="s">
        <v>711</v>
      </c>
      <c r="GW294" s="770" t="s">
        <v>1207</v>
      </c>
      <c r="GX294" s="770"/>
      <c r="GY294" s="770"/>
      <c r="GZ294" s="770"/>
      <c r="HA294" s="770"/>
      <c r="HB294" s="770"/>
      <c r="HC294" s="770"/>
      <c r="HD294" s="770"/>
      <c r="HE294" s="770"/>
      <c r="HF294" s="770"/>
      <c r="HG294" s="770"/>
      <c r="HH294" s="770"/>
      <c r="HI294" s="770" t="s">
        <v>1214</v>
      </c>
      <c r="HJ294" s="770"/>
      <c r="HK294" s="770"/>
      <c r="HL294" s="770"/>
      <c r="HM294" s="770"/>
      <c r="HN294" s="770"/>
      <c r="HO294" s="770"/>
      <c r="HP294" s="770"/>
      <c r="HQ294" s="770"/>
      <c r="HR294" s="770"/>
      <c r="HS294" s="770"/>
      <c r="HT294" s="770"/>
      <c r="HU294" s="770"/>
      <c r="HV294" s="770"/>
      <c r="HW294" s="770"/>
      <c r="HX294" s="770"/>
      <c r="HY294" s="770"/>
      <c r="HZ294" s="770"/>
      <c r="IA294" s="770"/>
      <c r="IB294" s="14" t="e">
        <f>IF(#REF!&gt;0,IF(#REF!&lt;=10000,"Y",""),"")</f>
        <v>#REF!</v>
      </c>
      <c r="IC294" s="770"/>
      <c r="ID294" s="770">
        <v>2</v>
      </c>
      <c r="IE294" s="770">
        <v>2</v>
      </c>
      <c r="IF294" s="770"/>
      <c r="IG294" s="770"/>
      <c r="IH294" s="770"/>
      <c r="II294" s="770"/>
      <c r="IJ294" s="770"/>
      <c r="IK294" s="770"/>
      <c r="IL294" s="770"/>
      <c r="IM294" s="770"/>
      <c r="IN294" s="770"/>
      <c r="IO294" s="296"/>
      <c r="IP294" s="770"/>
      <c r="IQ294" s="770"/>
      <c r="IR294" s="770"/>
      <c r="IS294" s="770"/>
      <c r="IT294" s="770"/>
      <c r="IU294" s="770"/>
      <c r="IV294" s="770"/>
      <c r="IW294" s="770"/>
      <c r="IX294" s="770"/>
      <c r="IY294" s="770"/>
      <c r="IZ294" s="770"/>
      <c r="JA294" s="770"/>
      <c r="JB294" s="770"/>
      <c r="JC294" s="770"/>
      <c r="JD294" s="302"/>
      <c r="JE294" s="770"/>
      <c r="JF294" s="770"/>
      <c r="JG294" s="770"/>
      <c r="JH294" s="770"/>
      <c r="JI294" s="712" t="str">
        <f t="shared" si="75"/>
        <v>ok</v>
      </c>
      <c r="JJ294" s="766">
        <v>3</v>
      </c>
      <c r="JK294" s="1139" t="s">
        <v>2108</v>
      </c>
      <c r="JL294" s="766"/>
      <c r="JM294" s="766"/>
      <c r="JN294" s="766"/>
      <c r="JO294" s="766">
        <v>1</v>
      </c>
      <c r="JP294" s="766">
        <v>1</v>
      </c>
      <c r="JQ294" s="766">
        <v>1</v>
      </c>
      <c r="JR294" s="766"/>
      <c r="JS294" s="766"/>
      <c r="JT294" s="766">
        <f t="shared" si="89"/>
        <v>1</v>
      </c>
      <c r="JU294" s="766">
        <f t="shared" si="89"/>
        <v>2</v>
      </c>
      <c r="JV294" s="712" t="str">
        <f t="shared" si="76"/>
        <v>ok</v>
      </c>
      <c r="JW294" s="712" t="str">
        <f t="shared" si="77"/>
        <v>ok</v>
      </c>
      <c r="JX294" s="766"/>
      <c r="JY294" s="766"/>
      <c r="JZ294" s="766"/>
      <c r="KA294" s="766"/>
      <c r="KB294" s="766"/>
      <c r="KC294" s="766"/>
      <c r="KD294" s="766"/>
      <c r="KE294" s="766"/>
      <c r="KF294" s="766">
        <v>1</v>
      </c>
      <c r="KG294" s="766">
        <v>1</v>
      </c>
      <c r="KH294" s="766"/>
      <c r="KI294" s="766">
        <v>1</v>
      </c>
      <c r="KJ294" s="766">
        <f t="shared" si="86"/>
        <v>1</v>
      </c>
      <c r="KK294" s="770">
        <f t="shared" si="86"/>
        <v>2</v>
      </c>
      <c r="KL294" s="712" t="str">
        <f t="shared" si="84"/>
        <v>ok</v>
      </c>
      <c r="KM294" s="712" t="str">
        <f t="shared" si="85"/>
        <v>ok</v>
      </c>
      <c r="KN294" s="770" t="s">
        <v>707</v>
      </c>
      <c r="KO294" s="770"/>
      <c r="KP294" s="770"/>
      <c r="KQ294" s="770"/>
      <c r="KR294" s="770"/>
      <c r="KS294" s="770"/>
      <c r="KT294" s="770"/>
      <c r="KU294" s="770"/>
      <c r="KV294" s="770">
        <v>1</v>
      </c>
      <c r="KW294" s="770"/>
      <c r="KX294" s="770"/>
      <c r="KY294" s="770">
        <v>1</v>
      </c>
      <c r="KZ294" s="770"/>
      <c r="LA294" s="770"/>
      <c r="LB294" s="770"/>
      <c r="LC294" s="770"/>
      <c r="LD294" s="770"/>
      <c r="LE294" s="770">
        <v>1</v>
      </c>
      <c r="LF294" s="770"/>
      <c r="LG294" s="770"/>
      <c r="LH294" s="770"/>
      <c r="LI294" s="770"/>
      <c r="LJ294" s="770"/>
      <c r="LK294" s="770"/>
      <c r="LL294" s="770"/>
      <c r="LM294" s="770"/>
      <c r="LN294" s="766">
        <f t="shared" si="71"/>
        <v>1</v>
      </c>
      <c r="LO294" s="766">
        <f t="shared" si="71"/>
        <v>2</v>
      </c>
      <c r="LP294" s="770">
        <v>2</v>
      </c>
      <c r="LQ294" s="770">
        <v>1</v>
      </c>
      <c r="LR294" s="770"/>
      <c r="LS294" s="770">
        <v>1</v>
      </c>
      <c r="LT294" s="712" t="str">
        <f t="shared" si="80"/>
        <v>OK</v>
      </c>
      <c r="LU294" s="770">
        <v>1</v>
      </c>
      <c r="LV294" s="770"/>
      <c r="LW294" s="770"/>
      <c r="LX294" s="769">
        <v>0</v>
      </c>
      <c r="LY294" s="766">
        <f t="shared" si="82"/>
        <v>0</v>
      </c>
      <c r="LZ294" s="299"/>
      <c r="MA294" s="306"/>
      <c r="MB294" s="306"/>
      <c r="MC294" s="1679">
        <f t="shared" si="91"/>
        <v>0</v>
      </c>
      <c r="MD294" s="1110">
        <f>SUM(700,12000)</f>
        <v>12700</v>
      </c>
      <c r="ME294" s="1110"/>
      <c r="MF294" s="1110"/>
      <c r="MG294" s="1680">
        <f t="shared" si="81"/>
        <v>12700</v>
      </c>
      <c r="MH294" s="770" t="s">
        <v>2218</v>
      </c>
      <c r="MI294" s="302">
        <v>9000</v>
      </c>
      <c r="MJ294" s="302"/>
      <c r="MK294" s="302">
        <v>80</v>
      </c>
      <c r="ML294" s="302">
        <v>500</v>
      </c>
      <c r="MM294" s="302"/>
      <c r="MN294" s="302"/>
      <c r="MO294" s="302">
        <v>300</v>
      </c>
      <c r="MP294" s="302">
        <v>3000</v>
      </c>
      <c r="MQ294" s="302">
        <v>400</v>
      </c>
      <c r="MR294" s="302"/>
      <c r="MS294" s="302"/>
      <c r="MT294" s="302"/>
      <c r="MU294" s="302"/>
      <c r="MV294" s="302"/>
      <c r="MW294" s="302"/>
      <c r="MX294" s="302"/>
      <c r="MY294" s="1682">
        <f t="shared" si="74"/>
        <v>13280</v>
      </c>
      <c r="MZ294" s="770" t="s">
        <v>13370</v>
      </c>
      <c r="NA294" s="770" t="s">
        <v>13005</v>
      </c>
      <c r="NB294" s="770" t="s">
        <v>13371</v>
      </c>
      <c r="NC294" s="770" t="s">
        <v>13007</v>
      </c>
      <c r="ND294" s="770">
        <v>0</v>
      </c>
      <c r="NE294" s="770">
        <v>0</v>
      </c>
      <c r="NF294" s="770">
        <v>0</v>
      </c>
      <c r="NG294" s="770">
        <v>2</v>
      </c>
      <c r="NH294" s="770">
        <v>1</v>
      </c>
      <c r="NI294" s="770">
        <v>0</v>
      </c>
      <c r="NJ294" s="770">
        <v>1</v>
      </c>
      <c r="NK294" s="770">
        <v>0</v>
      </c>
      <c r="NL294" s="770">
        <v>1</v>
      </c>
      <c r="NM294" s="770">
        <v>1</v>
      </c>
      <c r="NN294" s="770">
        <v>0</v>
      </c>
      <c r="NO294" s="770">
        <v>0</v>
      </c>
      <c r="NP294" s="770">
        <v>0</v>
      </c>
      <c r="NQ294" s="770">
        <v>0</v>
      </c>
      <c r="NR294" s="770">
        <v>0</v>
      </c>
      <c r="NS294" s="770">
        <v>0</v>
      </c>
      <c r="NT294" s="770">
        <v>0</v>
      </c>
      <c r="NU294" s="770">
        <v>0</v>
      </c>
      <c r="NV294" s="770">
        <v>0</v>
      </c>
      <c r="NW294" s="770">
        <v>0</v>
      </c>
      <c r="NX294" s="770">
        <v>0</v>
      </c>
      <c r="NY294" s="770" t="s">
        <v>1208</v>
      </c>
      <c r="NZ294" s="770"/>
      <c r="OA294" s="770"/>
      <c r="OB294" s="770"/>
      <c r="OC294" s="770"/>
      <c r="OD294" s="770"/>
      <c r="OE294" s="770"/>
      <c r="OF294" s="770"/>
      <c r="OG294" s="770"/>
      <c r="OH294" s="770"/>
      <c r="OI294" s="770"/>
      <c r="OJ294" s="770"/>
      <c r="OK294" s="770"/>
      <c r="OL294" s="770"/>
      <c r="OM294" s="770"/>
      <c r="ON294" s="770"/>
      <c r="OO294" s="770"/>
      <c r="OP294" s="770"/>
      <c r="OQ294" s="770"/>
      <c r="OR294" s="770"/>
      <c r="OS294" s="770"/>
      <c r="OT294" s="770"/>
      <c r="OU294" s="770"/>
      <c r="OV294" s="770"/>
      <c r="OW294" s="770"/>
      <c r="OX294" s="770"/>
      <c r="OY294" s="770"/>
      <c r="OZ294" s="770"/>
      <c r="PA294" s="770"/>
      <c r="PB294" s="770"/>
      <c r="PC294" s="770"/>
      <c r="PD294" s="770"/>
      <c r="PE294" s="770"/>
      <c r="PF294" s="770"/>
      <c r="PG294" s="770"/>
      <c r="PH294" s="770"/>
      <c r="PI294" s="770"/>
      <c r="PJ294" s="770"/>
      <c r="PK294" s="770" t="s">
        <v>1208</v>
      </c>
      <c r="PL294" s="770"/>
      <c r="PM294" s="770" t="s">
        <v>1208</v>
      </c>
      <c r="PN294" s="770"/>
      <c r="PO294" s="770"/>
      <c r="PP294" s="770"/>
      <c r="PQ294" s="770"/>
      <c r="PR294" s="770"/>
      <c r="PS294" s="770"/>
      <c r="PT294" s="770"/>
      <c r="PU294" s="770"/>
      <c r="PV294" s="770"/>
      <c r="PW294" s="770"/>
      <c r="PX294" s="770"/>
      <c r="PY294" s="770"/>
      <c r="PZ294" s="770"/>
      <c r="QA294" s="770"/>
      <c r="QB294" s="770"/>
      <c r="QC294" s="770"/>
      <c r="QD294" s="770"/>
      <c r="QE294" s="770"/>
      <c r="QF294" s="770"/>
      <c r="QG294" s="770" t="s">
        <v>1208</v>
      </c>
      <c r="QH294" s="770"/>
      <c r="QI294" s="770"/>
      <c r="QJ294" s="770"/>
      <c r="QK294" s="770"/>
      <c r="QL294" s="770"/>
      <c r="QM294" s="770"/>
      <c r="QN294" s="770"/>
      <c r="QO294" s="770"/>
      <c r="QP294" s="770"/>
      <c r="QQ294" s="770"/>
      <c r="QR294" s="770"/>
      <c r="QS294" s="770"/>
      <c r="QT294" s="770"/>
      <c r="QU294" s="770"/>
      <c r="QV294" s="770"/>
      <c r="QW294" s="770"/>
      <c r="QX294" s="770"/>
      <c r="QY294" s="770"/>
      <c r="QZ294" s="770"/>
      <c r="RA294" s="770"/>
      <c r="RB294" s="770" t="s">
        <v>1207</v>
      </c>
      <c r="RC294" s="770">
        <v>2016</v>
      </c>
      <c r="RD294" s="770" t="s">
        <v>13036</v>
      </c>
      <c r="RE294" s="770" t="s">
        <v>12990</v>
      </c>
      <c r="RF294" s="304">
        <f>CONVERT(1.5,"ft","m")</f>
        <v>0.4572</v>
      </c>
      <c r="RG294" s="770" t="s">
        <v>13267</v>
      </c>
      <c r="RH294" s="302">
        <v>0</v>
      </c>
      <c r="RI294" s="770">
        <v>1</v>
      </c>
      <c r="RJ294" s="770" t="s">
        <v>13426</v>
      </c>
      <c r="RK294" s="770"/>
      <c r="RL294" s="1710"/>
      <c r="RM294" s="12"/>
      <c r="RN294" s="1711"/>
      <c r="RO294" s="140" t="s">
        <v>498</v>
      </c>
      <c r="RP294" s="11"/>
      <c r="RQ294" s="11"/>
      <c r="RR294" s="19" t="s">
        <v>7421</v>
      </c>
      <c r="RS294" s="1139" t="s">
        <v>12980</v>
      </c>
      <c r="RT294" s="11"/>
      <c r="RU294" s="11"/>
      <c r="RV294" s="771" t="s">
        <v>7421</v>
      </c>
      <c r="RW294" s="11" t="s">
        <v>7621</v>
      </c>
      <c r="RX294" s="11" t="s">
        <v>492</v>
      </c>
      <c r="RY294" s="11"/>
      <c r="RZ294" s="11" t="s">
        <v>2209</v>
      </c>
      <c r="SA294" s="771"/>
      <c r="SB294" s="11"/>
      <c r="SC294" s="11"/>
    </row>
    <row r="295" spans="1:497" ht="12.75" customHeight="1">
      <c r="A295" s="19" t="s">
        <v>7421</v>
      </c>
      <c r="B295" s="292" t="s">
        <v>12357</v>
      </c>
      <c r="C295" s="140" t="s">
        <v>501</v>
      </c>
      <c r="D295" s="94" t="s">
        <v>502</v>
      </c>
      <c r="E295" s="766" t="s">
        <v>484</v>
      </c>
      <c r="F295" s="770" t="s">
        <v>20</v>
      </c>
      <c r="G295" s="770" t="s">
        <v>18</v>
      </c>
      <c r="H295" s="770"/>
      <c r="I295" s="295" t="s">
        <v>5630</v>
      </c>
      <c r="J295" s="94" t="s">
        <v>503</v>
      </c>
      <c r="K295" s="770"/>
      <c r="L295" s="770"/>
      <c r="M295" s="770"/>
      <c r="N295" s="770"/>
      <c r="O295" s="770"/>
      <c r="P295" s="94" t="s">
        <v>1009</v>
      </c>
      <c r="Q295" s="1088">
        <v>34331</v>
      </c>
      <c r="R295" s="297">
        <v>23</v>
      </c>
      <c r="S295" s="770" t="s">
        <v>10</v>
      </c>
      <c r="T295" s="770"/>
      <c r="U295" s="298" t="s">
        <v>5630</v>
      </c>
      <c r="V295" s="770" t="s">
        <v>722</v>
      </c>
      <c r="W295" s="770"/>
      <c r="X295" s="296"/>
      <c r="Y295" s="770" t="s">
        <v>484</v>
      </c>
      <c r="Z295" s="770" t="s">
        <v>708</v>
      </c>
      <c r="AA295" s="770" t="s">
        <v>709</v>
      </c>
      <c r="AB295" s="6" t="s">
        <v>7273</v>
      </c>
      <c r="AC295" s="770"/>
      <c r="AD295" s="770" t="s">
        <v>770</v>
      </c>
      <c r="AE295" s="770" t="s">
        <v>853</v>
      </c>
      <c r="AF295" s="770" t="s">
        <v>1010</v>
      </c>
      <c r="AG295" s="770" t="s">
        <v>1132</v>
      </c>
      <c r="AH295" s="766" t="s">
        <v>1096</v>
      </c>
      <c r="AI295" s="770"/>
      <c r="AJ295" s="770" t="s">
        <v>1137</v>
      </c>
      <c r="AK295" s="770" t="s">
        <v>1101</v>
      </c>
      <c r="AL295" s="299"/>
      <c r="AM295" s="300"/>
      <c r="AN295" s="301"/>
      <c r="AO295" s="766" t="s">
        <v>1122</v>
      </c>
      <c r="AP295" s="766"/>
      <c r="AQ295" s="766"/>
      <c r="AR295" s="766"/>
      <c r="AS295" s="770" t="s">
        <v>1207</v>
      </c>
      <c r="AT295" s="770" t="s">
        <v>1208</v>
      </c>
      <c r="AU295" s="770"/>
      <c r="AV295" s="770"/>
      <c r="AW295" s="770"/>
      <c r="AX295" s="13"/>
      <c r="AY295" s="770"/>
      <c r="AZ295" s="770"/>
      <c r="BA295" s="770"/>
      <c r="BB295" s="770"/>
      <c r="BC295" s="770" t="s">
        <v>853</v>
      </c>
      <c r="BD295" s="770" t="s">
        <v>1207</v>
      </c>
      <c r="BE295" s="770"/>
      <c r="BF295" s="302"/>
      <c r="BG295" s="302"/>
      <c r="BH295" s="770"/>
      <c r="BI295" s="770"/>
      <c r="BJ295" s="770"/>
      <c r="BK295" s="770" t="s">
        <v>1095</v>
      </c>
      <c r="BL295" s="766" t="s">
        <v>12755</v>
      </c>
      <c r="BM295" s="766" t="s">
        <v>1096</v>
      </c>
      <c r="BN295" s="766" t="s">
        <v>1230</v>
      </c>
      <c r="BO295" s="766" t="s">
        <v>1246</v>
      </c>
      <c r="BP295" s="1111">
        <v>8.4</v>
      </c>
      <c r="BQ295" s="772">
        <v>8.4</v>
      </c>
      <c r="BR295" s="774">
        <f t="shared" si="90"/>
        <v>1</v>
      </c>
      <c r="BS295" s="766" t="s">
        <v>1257</v>
      </c>
      <c r="BT295" s="766" t="s">
        <v>8133</v>
      </c>
      <c r="BU295" s="770" t="s">
        <v>1249</v>
      </c>
      <c r="BV295" s="770" t="s">
        <v>1247</v>
      </c>
      <c r="BW295" s="769"/>
      <c r="BX295" s="302"/>
      <c r="BY295" s="303"/>
      <c r="BZ295" s="770"/>
      <c r="CA295" s="302"/>
      <c r="CB295" s="302"/>
      <c r="CC295" s="770"/>
      <c r="CD295" s="770"/>
      <c r="CE295" s="770"/>
      <c r="CF295" s="304"/>
      <c r="CG295" s="321"/>
      <c r="CH295" s="770"/>
      <c r="CI295" s="770"/>
      <c r="CJ295" s="770"/>
      <c r="CK295" s="770"/>
      <c r="CL295" s="770"/>
      <c r="CM295" s="770"/>
      <c r="CN295" s="770"/>
      <c r="CO295" s="770"/>
      <c r="CP295" s="770"/>
      <c r="CQ295" s="770"/>
      <c r="CR295" s="770"/>
      <c r="CS295" s="302"/>
      <c r="CT295" s="770"/>
      <c r="CU295" s="305"/>
      <c r="CV295" s="770"/>
      <c r="CW295" s="770"/>
      <c r="CX295" s="770"/>
      <c r="CY295" s="770"/>
      <c r="CZ295" s="770"/>
      <c r="DA295" s="306"/>
      <c r="DB295" s="770"/>
      <c r="DC295" s="770"/>
      <c r="DD295" s="770"/>
      <c r="DE295" s="300"/>
      <c r="DF295" s="770"/>
      <c r="DG295" s="770"/>
      <c r="DH295" s="770"/>
      <c r="DI295" s="770"/>
      <c r="DJ295" s="770"/>
      <c r="DK295" s="770"/>
      <c r="DL295" s="770"/>
      <c r="DM295" s="770"/>
      <c r="DN295" s="322"/>
      <c r="DO295" s="770"/>
      <c r="DP295" s="770"/>
      <c r="DQ295" s="770"/>
      <c r="DR295" s="770"/>
      <c r="DS295" s="307"/>
      <c r="DT295" s="770"/>
      <c r="DU295" s="770"/>
      <c r="DV295" s="770"/>
      <c r="DW295" s="306"/>
      <c r="DX295" s="306"/>
      <c r="DY295" s="770"/>
      <c r="DZ295" s="770"/>
      <c r="EA295" s="770"/>
      <c r="EB295" s="770"/>
      <c r="EC295" s="770"/>
      <c r="ED295" s="770"/>
      <c r="EE295" s="770"/>
      <c r="EF295" s="770"/>
      <c r="EG295" s="770"/>
      <c r="EH295" s="770"/>
      <c r="EI295" s="770"/>
      <c r="EJ295" s="770"/>
      <c r="EK295" s="770"/>
      <c r="EL295" s="770"/>
      <c r="EM295" s="770"/>
      <c r="EN295" s="770"/>
      <c r="EO295" s="770"/>
      <c r="EP295" s="94"/>
      <c r="EQ295" s="770"/>
      <c r="ER295" s="770"/>
      <c r="ES295" s="770"/>
      <c r="ET295" s="770"/>
      <c r="EU295" s="770"/>
      <c r="EV295" s="770"/>
      <c r="EW295" s="770"/>
      <c r="EX295" s="770"/>
      <c r="EY295" s="770"/>
      <c r="EZ295" s="770"/>
      <c r="FA295" s="770"/>
      <c r="FB295" s="770"/>
      <c r="FC295" s="770"/>
      <c r="FD295" s="302"/>
      <c r="FE295" s="770"/>
      <c r="FF295" s="770"/>
      <c r="FG295" s="770"/>
      <c r="FH295" s="770" t="s">
        <v>1299</v>
      </c>
      <c r="FI295" s="770">
        <v>1</v>
      </c>
      <c r="FJ295" s="770" t="s">
        <v>2182</v>
      </c>
      <c r="FK295" s="770" t="s">
        <v>5635</v>
      </c>
      <c r="FL295" s="770" t="s">
        <v>484</v>
      </c>
      <c r="FM295" s="302"/>
      <c r="FN295" s="302"/>
      <c r="FO295" s="302"/>
      <c r="FP295" s="766" t="s">
        <v>1602</v>
      </c>
      <c r="FQ295" s="766" t="s">
        <v>1660</v>
      </c>
      <c r="FR295" s="770" t="s">
        <v>1214</v>
      </c>
      <c r="FS295" s="770"/>
      <c r="FT295" s="770"/>
      <c r="FU295" s="770"/>
      <c r="FV295" s="770"/>
      <c r="FW295" s="770"/>
      <c r="FX295" s="770"/>
      <c r="FY295" s="770"/>
      <c r="FZ295" s="770"/>
      <c r="GA295" s="770"/>
      <c r="GB295" s="770"/>
      <c r="GC295" s="308"/>
      <c r="GD295" s="297"/>
      <c r="GE295" s="770"/>
      <c r="GF295" s="302"/>
      <c r="GG295" s="302"/>
      <c r="GH295" s="712" t="s">
        <v>1791</v>
      </c>
      <c r="GI295" s="770"/>
      <c r="GJ295" s="770" t="s">
        <v>1831</v>
      </c>
      <c r="GK295" s="770" t="s">
        <v>2345</v>
      </c>
      <c r="GL295" s="770"/>
      <c r="GM295" s="770"/>
      <c r="GN295" s="309"/>
      <c r="GO295" s="770"/>
      <c r="GP295" s="770" t="s">
        <v>1208</v>
      </c>
      <c r="GQ295" s="770" t="s">
        <v>1208</v>
      </c>
      <c r="GR295" s="770"/>
      <c r="GS295" s="770"/>
      <c r="GT295" s="770"/>
      <c r="GU295" s="770"/>
      <c r="GV295" s="770"/>
      <c r="GW295" s="770" t="s">
        <v>1207</v>
      </c>
      <c r="GX295" s="770"/>
      <c r="GY295" s="770" t="s">
        <v>1208</v>
      </c>
      <c r="GZ295" s="770" t="s">
        <v>1208</v>
      </c>
      <c r="HA295" s="770" t="s">
        <v>1208</v>
      </c>
      <c r="HB295" s="770" t="s">
        <v>1208</v>
      </c>
      <c r="HC295" s="770" t="s">
        <v>1208</v>
      </c>
      <c r="HD295" s="770" t="s">
        <v>1208</v>
      </c>
      <c r="HE295" s="770" t="s">
        <v>1208</v>
      </c>
      <c r="HF295" s="770"/>
      <c r="HG295" s="770"/>
      <c r="HH295" s="770"/>
      <c r="HI295" s="770" t="s">
        <v>1214</v>
      </c>
      <c r="HJ295" s="770"/>
      <c r="HK295" s="770"/>
      <c r="HL295" s="770" t="s">
        <v>1214</v>
      </c>
      <c r="HM295" s="770"/>
      <c r="HN295" s="770"/>
      <c r="HO295" s="770"/>
      <c r="HP295" s="770"/>
      <c r="HQ295" s="770"/>
      <c r="HR295" s="770"/>
      <c r="HS295" s="770"/>
      <c r="HT295" s="770"/>
      <c r="HU295" s="770"/>
      <c r="HV295" s="770"/>
      <c r="HW295" s="770"/>
      <c r="HX295" s="770"/>
      <c r="HY295" s="770"/>
      <c r="HZ295" s="770"/>
      <c r="IA295" s="770"/>
      <c r="IB295" s="14" t="e">
        <f>IF(#REF!&gt;0,IF(#REF!&lt;=10000,"Y",""),"")</f>
        <v>#REF!</v>
      </c>
      <c r="IC295" s="770"/>
      <c r="ID295" s="770"/>
      <c r="IE295" s="770"/>
      <c r="IF295" s="770"/>
      <c r="IG295" s="770"/>
      <c r="IH295" s="770"/>
      <c r="II295" s="770"/>
      <c r="IJ295" s="770"/>
      <c r="IK295" s="770"/>
      <c r="IL295" s="770"/>
      <c r="IM295" s="770"/>
      <c r="IN295" s="770"/>
      <c r="IO295" s="296"/>
      <c r="IP295" s="770"/>
      <c r="IQ295" s="770"/>
      <c r="IR295" s="770"/>
      <c r="IS295" s="770"/>
      <c r="IT295" s="770"/>
      <c r="IU295" s="770"/>
      <c r="IV295" s="770"/>
      <c r="IW295" s="770"/>
      <c r="IX295" s="770"/>
      <c r="IY295" s="770"/>
      <c r="IZ295" s="770"/>
      <c r="JA295" s="770"/>
      <c r="JB295" s="770"/>
      <c r="JC295" s="770"/>
      <c r="JD295" s="302"/>
      <c r="JE295" s="770"/>
      <c r="JF295" s="770"/>
      <c r="JG295" s="770"/>
      <c r="JH295" s="770"/>
      <c r="JI295" s="712" t="str">
        <f t="shared" si="75"/>
        <v>ok</v>
      </c>
      <c r="JJ295" s="766">
        <v>3</v>
      </c>
      <c r="JK295" s="1139" t="s">
        <v>2109</v>
      </c>
      <c r="JL295" s="770">
        <v>1</v>
      </c>
      <c r="JM295" s="770"/>
      <c r="JN295" s="770">
        <v>1</v>
      </c>
      <c r="JO295" s="770">
        <v>1</v>
      </c>
      <c r="JP295" s="770"/>
      <c r="JQ295" s="770"/>
      <c r="JR295" s="770"/>
      <c r="JS295" s="770"/>
      <c r="JT295" s="766">
        <f t="shared" si="89"/>
        <v>2</v>
      </c>
      <c r="JU295" s="766">
        <f t="shared" si="89"/>
        <v>1</v>
      </c>
      <c r="JV295" s="712" t="str">
        <f t="shared" si="76"/>
        <v>ok</v>
      </c>
      <c r="JW295" s="712" t="str">
        <f t="shared" si="77"/>
        <v>ok</v>
      </c>
      <c r="JX295" s="770">
        <v>1</v>
      </c>
      <c r="JY295" s="770"/>
      <c r="JZ295" s="770"/>
      <c r="KA295" s="770"/>
      <c r="KB295" s="770">
        <v>1</v>
      </c>
      <c r="KC295" s="770">
        <v>1</v>
      </c>
      <c r="KD295" s="770"/>
      <c r="KE295" s="770"/>
      <c r="KF295" s="770"/>
      <c r="KG295" s="770"/>
      <c r="KH295" s="770"/>
      <c r="KI295" s="770"/>
      <c r="KJ295" s="770">
        <f t="shared" si="86"/>
        <v>2</v>
      </c>
      <c r="KK295" s="770">
        <f t="shared" si="86"/>
        <v>1</v>
      </c>
      <c r="KL295" s="712" t="str">
        <f t="shared" si="84"/>
        <v>ok</v>
      </c>
      <c r="KM295" s="712" t="str">
        <f t="shared" si="85"/>
        <v>ok</v>
      </c>
      <c r="KN295" s="770" t="s">
        <v>722</v>
      </c>
      <c r="KO295" s="770"/>
      <c r="KP295" s="770"/>
      <c r="KQ295" s="770"/>
      <c r="KR295" s="770"/>
      <c r="KS295" s="770"/>
      <c r="KT295" s="770"/>
      <c r="KU295" s="770"/>
      <c r="KV295" s="770"/>
      <c r="KW295" s="770"/>
      <c r="KX295" s="770"/>
      <c r="KY295" s="770"/>
      <c r="KZ295" s="770">
        <v>1</v>
      </c>
      <c r="LA295" s="770">
        <v>1</v>
      </c>
      <c r="LB295" s="770"/>
      <c r="LC295" s="770"/>
      <c r="LD295" s="770"/>
      <c r="LE295" s="770"/>
      <c r="LF295" s="770"/>
      <c r="LG295" s="770"/>
      <c r="LH295" s="770"/>
      <c r="LI295" s="770"/>
      <c r="LJ295" s="770">
        <v>1</v>
      </c>
      <c r="LK295" s="770"/>
      <c r="LL295" s="770"/>
      <c r="LM295" s="770"/>
      <c r="LN295" s="766">
        <f t="shared" ref="LN295:LO297" si="92">SUM(KP295,KR295,KT295,KV295,KX295,KZ295,LB295,LD295,LF295,LH295,LJ295,LL295)</f>
        <v>2</v>
      </c>
      <c r="LO295" s="766">
        <f t="shared" si="92"/>
        <v>1</v>
      </c>
      <c r="LP295" s="770">
        <v>1</v>
      </c>
      <c r="LQ295" s="770">
        <v>1</v>
      </c>
      <c r="LR295" s="770"/>
      <c r="LS295" s="770"/>
      <c r="LT295" s="712" t="str">
        <f t="shared" si="80"/>
        <v>OK</v>
      </c>
      <c r="LU295" s="770"/>
      <c r="LV295" s="770"/>
      <c r="LW295" s="770">
        <v>1</v>
      </c>
      <c r="LX295" s="769">
        <v>2</v>
      </c>
      <c r="LY295" s="766" t="str">
        <f>IF(ISBLANK(LX295)=TRUE,"",LOOKUP(LX295,RT:RU))</f>
        <v>within the MUNICIPALITY</v>
      </c>
      <c r="LZ295" s="299"/>
      <c r="MA295" s="306"/>
      <c r="MB295" s="306"/>
      <c r="MC295" s="1679">
        <f t="shared" si="91"/>
        <v>0</v>
      </c>
      <c r="MD295" s="306">
        <v>12000</v>
      </c>
      <c r="ME295" s="306"/>
      <c r="MF295" s="306"/>
      <c r="MG295" s="1680">
        <f t="shared" si="81"/>
        <v>12000</v>
      </c>
      <c r="MH295" s="770" t="s">
        <v>1985</v>
      </c>
      <c r="MI295" s="302">
        <v>9000</v>
      </c>
      <c r="MJ295" s="302"/>
      <c r="MK295" s="302">
        <v>250</v>
      </c>
      <c r="ML295" s="302"/>
      <c r="MM295" s="302"/>
      <c r="MN295" s="302"/>
      <c r="MO295" s="302"/>
      <c r="MP295" s="302">
        <v>500</v>
      </c>
      <c r="MQ295" s="302">
        <v>320</v>
      </c>
      <c r="MR295" s="302">
        <v>1500</v>
      </c>
      <c r="MS295" s="302"/>
      <c r="MT295" s="302"/>
      <c r="MU295" s="302"/>
      <c r="MV295" s="302"/>
      <c r="MW295" s="302"/>
      <c r="MX295" s="302"/>
      <c r="MY295" s="1682">
        <f t="shared" si="74"/>
        <v>11570</v>
      </c>
      <c r="MZ295" s="770" t="s">
        <v>13164</v>
      </c>
      <c r="NA295" s="770" t="s">
        <v>13005</v>
      </c>
      <c r="NB295" s="770" t="s">
        <v>13409</v>
      </c>
      <c r="NC295" s="770" t="s">
        <v>13026</v>
      </c>
      <c r="ND295" s="770">
        <v>0</v>
      </c>
      <c r="NE295" s="770">
        <v>0</v>
      </c>
      <c r="NF295" s="770">
        <v>0</v>
      </c>
      <c r="NG295" s="770">
        <v>1</v>
      </c>
      <c r="NH295" s="770">
        <v>1</v>
      </c>
      <c r="NI295" s="770">
        <v>0</v>
      </c>
      <c r="NJ295" s="770">
        <v>0</v>
      </c>
      <c r="NK295" s="770">
        <v>0</v>
      </c>
      <c r="NL295" s="770">
        <v>0</v>
      </c>
      <c r="NM295" s="770">
        <v>1</v>
      </c>
      <c r="NN295" s="770">
        <v>0</v>
      </c>
      <c r="NO295" s="770">
        <v>0</v>
      </c>
      <c r="NP295" s="770">
        <v>0</v>
      </c>
      <c r="NQ295" s="770">
        <v>0</v>
      </c>
      <c r="NR295" s="770">
        <v>0</v>
      </c>
      <c r="NS295" s="770">
        <v>0</v>
      </c>
      <c r="NT295" s="770">
        <v>0</v>
      </c>
      <c r="NU295" s="770">
        <v>0</v>
      </c>
      <c r="NV295" s="770">
        <v>0</v>
      </c>
      <c r="NW295" s="770">
        <v>0</v>
      </c>
      <c r="NX295" s="770">
        <v>0</v>
      </c>
      <c r="NY295" s="770" t="s">
        <v>1208</v>
      </c>
      <c r="NZ295" s="770" t="s">
        <v>1208</v>
      </c>
      <c r="OA295" s="770" t="s">
        <v>1208</v>
      </c>
      <c r="OB295" s="770" t="s">
        <v>1208</v>
      </c>
      <c r="OC295" s="770" t="s">
        <v>1208</v>
      </c>
      <c r="OD295" s="770" t="s">
        <v>1208</v>
      </c>
      <c r="OE295" s="770"/>
      <c r="OF295" s="770"/>
      <c r="OG295" s="770"/>
      <c r="OH295" s="770"/>
      <c r="OI295" s="770"/>
      <c r="OJ295" s="770"/>
      <c r="OK295" s="770"/>
      <c r="OL295" s="770"/>
      <c r="OM295" s="770"/>
      <c r="ON295" s="770"/>
      <c r="OO295" s="770"/>
      <c r="OP295" s="770"/>
      <c r="OQ295" s="770"/>
      <c r="OR295" s="770"/>
      <c r="OS295" s="770"/>
      <c r="OT295" s="770"/>
      <c r="OU295" s="770"/>
      <c r="OV295" s="770"/>
      <c r="OW295" s="770"/>
      <c r="OX295" s="770"/>
      <c r="OY295" s="770"/>
      <c r="OZ295" s="770"/>
      <c r="PA295" s="770"/>
      <c r="PB295" s="770"/>
      <c r="PC295" s="770"/>
      <c r="PD295" s="770"/>
      <c r="PE295" s="770"/>
      <c r="PF295" s="770"/>
      <c r="PG295" s="770"/>
      <c r="PH295" s="770"/>
      <c r="PI295" s="770"/>
      <c r="PJ295" s="770"/>
      <c r="PK295" s="770" t="s">
        <v>1208</v>
      </c>
      <c r="PL295" s="770"/>
      <c r="PM295" s="770"/>
      <c r="PN295" s="770"/>
      <c r="PO295" s="770"/>
      <c r="PP295" s="770"/>
      <c r="PQ295" s="770"/>
      <c r="PR295" s="770"/>
      <c r="PS295" s="770"/>
      <c r="PT295" s="770"/>
      <c r="PU295" s="770"/>
      <c r="PV295" s="770"/>
      <c r="PW295" s="770"/>
      <c r="PX295" s="770"/>
      <c r="PY295" s="770"/>
      <c r="PZ295" s="770"/>
      <c r="QA295" s="770"/>
      <c r="QB295" s="770"/>
      <c r="QC295" s="770"/>
      <c r="QD295" s="770"/>
      <c r="QE295" s="770"/>
      <c r="QF295" s="770"/>
      <c r="QG295" s="770"/>
      <c r="QH295" s="770"/>
      <c r="QI295" s="770"/>
      <c r="QJ295" s="770"/>
      <c r="QK295" s="770"/>
      <c r="QL295" s="770"/>
      <c r="QM295" s="770"/>
      <c r="QN295" s="770"/>
      <c r="QO295" s="770"/>
      <c r="QP295" s="770"/>
      <c r="QQ295" s="770"/>
      <c r="QR295" s="770"/>
      <c r="QS295" s="770"/>
      <c r="QT295" s="770"/>
      <c r="QU295" s="770"/>
      <c r="QV295" s="770"/>
      <c r="QW295" s="770"/>
      <c r="QX295" s="770"/>
      <c r="QY295" s="770"/>
      <c r="QZ295" s="770"/>
      <c r="RA295" s="770"/>
      <c r="RB295" s="770" t="s">
        <v>1214</v>
      </c>
      <c r="RC295" s="770"/>
      <c r="RD295" s="770"/>
      <c r="RE295" s="770"/>
      <c r="RF295" s="304"/>
      <c r="RG295" s="770"/>
      <c r="RH295" s="302"/>
      <c r="RI295" s="770"/>
      <c r="RJ295" s="770" t="s">
        <v>2181</v>
      </c>
      <c r="RK295" s="770"/>
      <c r="RL295" s="1710"/>
      <c r="RM295" s="12"/>
      <c r="RN295" s="1711"/>
      <c r="RO295" s="140" t="s">
        <v>501</v>
      </c>
      <c r="RP295" s="11"/>
      <c r="RQ295" s="11"/>
      <c r="RR295" s="19" t="s">
        <v>7421</v>
      </c>
      <c r="RS295" s="1139" t="s">
        <v>12980</v>
      </c>
      <c r="RT295" s="11"/>
      <c r="RU295" s="11"/>
      <c r="RV295" s="771" t="s">
        <v>7421</v>
      </c>
      <c r="RW295" s="11" t="s">
        <v>7622</v>
      </c>
      <c r="RX295" s="11" t="s">
        <v>495</v>
      </c>
      <c r="RY295" s="11"/>
      <c r="RZ295" s="11" t="s">
        <v>2209</v>
      </c>
      <c r="SA295" s="771"/>
      <c r="SB295" s="11"/>
      <c r="SC295" s="11"/>
    </row>
    <row r="296" spans="1:497" ht="12.75" customHeight="1">
      <c r="A296" s="767" t="s">
        <v>7421</v>
      </c>
      <c r="B296" s="292" t="s">
        <v>5636</v>
      </c>
      <c r="C296" s="140" t="s">
        <v>504</v>
      </c>
      <c r="D296" s="770" t="s">
        <v>505</v>
      </c>
      <c r="E296" s="766" t="s">
        <v>484</v>
      </c>
      <c r="F296" s="770" t="s">
        <v>20</v>
      </c>
      <c r="G296" s="770" t="s">
        <v>18</v>
      </c>
      <c r="H296" s="770"/>
      <c r="I296" s="295" t="s">
        <v>1012</v>
      </c>
      <c r="J296" s="94" t="s">
        <v>506</v>
      </c>
      <c r="K296" s="770"/>
      <c r="L296" s="770"/>
      <c r="M296" s="770"/>
      <c r="N296" s="770"/>
      <c r="O296" s="770"/>
      <c r="P296" s="94" t="s">
        <v>1011</v>
      </c>
      <c r="Q296" s="1088">
        <v>21080</v>
      </c>
      <c r="R296" s="297">
        <v>59</v>
      </c>
      <c r="S296" s="770" t="s">
        <v>18</v>
      </c>
      <c r="T296" s="770"/>
      <c r="U296" s="298" t="s">
        <v>1012</v>
      </c>
      <c r="V296" s="770" t="s">
        <v>707</v>
      </c>
      <c r="W296" s="770"/>
      <c r="X296" s="296"/>
      <c r="Y296" s="770" t="s">
        <v>1013</v>
      </c>
      <c r="Z296" s="770" t="s">
        <v>708</v>
      </c>
      <c r="AA296" s="770" t="s">
        <v>759</v>
      </c>
      <c r="AB296" s="770" t="s">
        <v>710</v>
      </c>
      <c r="AC296" s="770"/>
      <c r="AD296" s="770" t="s">
        <v>937</v>
      </c>
      <c r="AE296" s="770"/>
      <c r="AF296" s="770" t="s">
        <v>1014</v>
      </c>
      <c r="AG296" s="766" t="s">
        <v>1132</v>
      </c>
      <c r="AH296" s="766" t="s">
        <v>1096</v>
      </c>
      <c r="AI296" s="766"/>
      <c r="AJ296" s="770" t="s">
        <v>1137</v>
      </c>
      <c r="AK296" s="770" t="s">
        <v>1101</v>
      </c>
      <c r="AL296" s="299"/>
      <c r="AM296" s="300"/>
      <c r="AN296" s="301"/>
      <c r="AO296" s="766" t="s">
        <v>1122</v>
      </c>
      <c r="AP296" s="766"/>
      <c r="AQ296" s="766"/>
      <c r="AR296" s="766"/>
      <c r="AS296" s="770"/>
      <c r="AT296" s="770"/>
      <c r="AU296" s="770"/>
      <c r="AV296" s="770"/>
      <c r="AW296" s="770"/>
      <c r="AX296" s="770"/>
      <c r="AY296" s="770"/>
      <c r="AZ296" s="770"/>
      <c r="BA296" s="770"/>
      <c r="BB296" s="770"/>
      <c r="BC296" s="770"/>
      <c r="BD296" s="770"/>
      <c r="BE296" s="770"/>
      <c r="BF296" s="302"/>
      <c r="BG296" s="302"/>
      <c r="BH296" s="770"/>
      <c r="BI296" s="770"/>
      <c r="BJ296" s="770"/>
      <c r="BK296" s="770" t="s">
        <v>1095</v>
      </c>
      <c r="BL296" s="766" t="s">
        <v>1368</v>
      </c>
      <c r="BM296" s="766" t="s">
        <v>1096</v>
      </c>
      <c r="BN296" s="766" t="s">
        <v>1230</v>
      </c>
      <c r="BO296" s="766" t="s">
        <v>1246</v>
      </c>
      <c r="BP296" s="1111">
        <v>28.8</v>
      </c>
      <c r="BQ296" s="772">
        <v>12</v>
      </c>
      <c r="BR296" s="774">
        <f t="shared" si="90"/>
        <v>0.41666666666666663</v>
      </c>
      <c r="BS296" s="766" t="s">
        <v>1149</v>
      </c>
      <c r="BT296" s="766" t="s">
        <v>1326</v>
      </c>
      <c r="BU296" s="770" t="s">
        <v>1249</v>
      </c>
      <c r="BV296" s="770" t="s">
        <v>1247</v>
      </c>
      <c r="BW296" s="769"/>
      <c r="BX296" s="302"/>
      <c r="BY296" s="303"/>
      <c r="BZ296" s="770"/>
      <c r="CA296" s="302"/>
      <c r="CB296" s="302"/>
      <c r="CC296" s="770"/>
      <c r="CD296" s="770"/>
      <c r="CE296" s="770"/>
      <c r="CF296" s="304"/>
      <c r="CG296" s="321"/>
      <c r="CH296" s="770"/>
      <c r="CI296" s="770"/>
      <c r="CJ296" s="770"/>
      <c r="CK296" s="770"/>
      <c r="CL296" s="770"/>
      <c r="CM296" s="770"/>
      <c r="CN296" s="770"/>
      <c r="CO296" s="770"/>
      <c r="CP296" s="770"/>
      <c r="CQ296" s="770"/>
      <c r="CR296" s="770"/>
      <c r="CS296" s="302"/>
      <c r="CT296" s="770"/>
      <c r="CU296" s="305"/>
      <c r="CV296" s="770"/>
      <c r="CW296" s="770"/>
      <c r="CX296" s="770"/>
      <c r="CY296" s="770"/>
      <c r="CZ296" s="770"/>
      <c r="DA296" s="306"/>
      <c r="DB296" s="770"/>
      <c r="DC296" s="770"/>
      <c r="DD296" s="770"/>
      <c r="DE296" s="300"/>
      <c r="DF296" s="770"/>
      <c r="DG296" s="770"/>
      <c r="DH296" s="770"/>
      <c r="DI296" s="770"/>
      <c r="DJ296" s="770"/>
      <c r="DK296" s="770"/>
      <c r="DL296" s="770"/>
      <c r="DM296" s="770"/>
      <c r="DN296" s="322"/>
      <c r="DO296" s="770"/>
      <c r="DP296" s="770"/>
      <c r="DQ296" s="770"/>
      <c r="DR296" s="770"/>
      <c r="DS296" s="307"/>
      <c r="DT296" s="770"/>
      <c r="DU296" s="770"/>
      <c r="DV296" s="770"/>
      <c r="DW296" s="306"/>
      <c r="DX296" s="306"/>
      <c r="DY296" s="770"/>
      <c r="DZ296" s="770"/>
      <c r="EA296" s="770"/>
      <c r="EB296" s="770"/>
      <c r="EC296" s="770"/>
      <c r="ED296" s="770"/>
      <c r="EE296" s="770"/>
      <c r="EF296" s="770"/>
      <c r="EG296" s="770"/>
      <c r="EH296" s="770"/>
      <c r="EI296" s="770"/>
      <c r="EJ296" s="770"/>
      <c r="EK296" s="770"/>
      <c r="EL296" s="770"/>
      <c r="EM296" s="770"/>
      <c r="EN296" s="770"/>
      <c r="EO296" s="770"/>
      <c r="EP296" s="94"/>
      <c r="EQ296" s="770"/>
      <c r="ER296" s="770"/>
      <c r="ES296" s="770"/>
      <c r="ET296" s="770"/>
      <c r="EU296" s="770"/>
      <c r="EV296" s="770"/>
      <c r="EW296" s="770"/>
      <c r="EX296" s="770"/>
      <c r="EY296" s="770"/>
      <c r="EZ296" s="770"/>
      <c r="FA296" s="770"/>
      <c r="FB296" s="770"/>
      <c r="FC296" s="770"/>
      <c r="FD296" s="302"/>
      <c r="FE296" s="770"/>
      <c r="FF296" s="770"/>
      <c r="FG296" s="770"/>
      <c r="FH296" s="770" t="s">
        <v>478</v>
      </c>
      <c r="FI296" s="770">
        <v>1</v>
      </c>
      <c r="FJ296" s="770"/>
      <c r="FK296" s="770"/>
      <c r="FL296" s="770"/>
      <c r="FM296" s="302"/>
      <c r="FN296" s="302"/>
      <c r="FO296" s="302"/>
      <c r="FP296" s="766" t="s">
        <v>1602</v>
      </c>
      <c r="FQ296" s="766" t="s">
        <v>1660</v>
      </c>
      <c r="FR296" s="770" t="s">
        <v>1214</v>
      </c>
      <c r="FS296" s="770"/>
      <c r="FT296" s="770"/>
      <c r="FU296" s="770"/>
      <c r="FV296" s="770"/>
      <c r="FW296" s="770"/>
      <c r="FX296" s="770"/>
      <c r="FY296" s="770"/>
      <c r="FZ296" s="770"/>
      <c r="GA296" s="770"/>
      <c r="GB296" s="770"/>
      <c r="GC296" s="308"/>
      <c r="GD296" s="297"/>
      <c r="GE296" s="770"/>
      <c r="GF296" s="302"/>
      <c r="GG296" s="302"/>
      <c r="GH296" s="712" t="s">
        <v>14260</v>
      </c>
      <c r="GI296" s="770"/>
      <c r="GJ296" s="770"/>
      <c r="GK296" s="770"/>
      <c r="GL296" s="770"/>
      <c r="GM296" s="770"/>
      <c r="GN296" s="309"/>
      <c r="GO296" s="770"/>
      <c r="GP296" s="770"/>
      <c r="GQ296" s="770"/>
      <c r="GR296" s="770"/>
      <c r="GS296" s="770"/>
      <c r="GT296" s="770"/>
      <c r="GU296" s="770"/>
      <c r="GV296" s="770"/>
      <c r="GW296" s="770"/>
      <c r="GX296" s="770"/>
      <c r="GY296" s="770"/>
      <c r="GZ296" s="770"/>
      <c r="HA296" s="770"/>
      <c r="HB296" s="770"/>
      <c r="HC296" s="770"/>
      <c r="HD296" s="770"/>
      <c r="HE296" s="770"/>
      <c r="HF296" s="770"/>
      <c r="HG296" s="770"/>
      <c r="HH296" s="770"/>
      <c r="HI296" s="770" t="s">
        <v>1214</v>
      </c>
      <c r="HJ296" s="770"/>
      <c r="HK296" s="770"/>
      <c r="HL296" s="770" t="s">
        <v>1214</v>
      </c>
      <c r="HM296" s="770"/>
      <c r="HN296" s="770"/>
      <c r="HO296" s="770"/>
      <c r="HP296" s="770"/>
      <c r="HQ296" s="770"/>
      <c r="HR296" s="770">
        <v>2</v>
      </c>
      <c r="HS296" s="770"/>
      <c r="HT296" s="770"/>
      <c r="HU296" s="770"/>
      <c r="HV296" s="770"/>
      <c r="HW296" s="770"/>
      <c r="HX296" s="770"/>
      <c r="HY296" s="770"/>
      <c r="HZ296" s="770"/>
      <c r="IA296" s="770"/>
      <c r="IB296" s="14" t="e">
        <f>IF(#REF!&gt;0,IF(#REF!&lt;=10000,"Y",""),"")</f>
        <v>#REF!</v>
      </c>
      <c r="IC296" s="770" t="s">
        <v>1207</v>
      </c>
      <c r="ID296" s="770">
        <v>1</v>
      </c>
      <c r="IE296" s="770"/>
      <c r="IF296" s="770"/>
      <c r="IG296" s="770"/>
      <c r="IH296" s="770"/>
      <c r="II296" s="770"/>
      <c r="IJ296" s="770"/>
      <c r="IK296" s="770"/>
      <c r="IL296" s="770"/>
      <c r="IM296" s="770"/>
      <c r="IN296" s="770"/>
      <c r="IO296" s="296"/>
      <c r="IP296" s="770"/>
      <c r="IQ296" s="770"/>
      <c r="IR296" s="770"/>
      <c r="IS296" s="770"/>
      <c r="IT296" s="770"/>
      <c r="IU296" s="770"/>
      <c r="IV296" s="770"/>
      <c r="IW296" s="770"/>
      <c r="IX296" s="770"/>
      <c r="IY296" s="770"/>
      <c r="IZ296" s="770"/>
      <c r="JA296" s="770"/>
      <c r="JB296" s="770"/>
      <c r="JC296" s="770"/>
      <c r="JD296" s="302"/>
      <c r="JE296" s="770"/>
      <c r="JF296" s="770"/>
      <c r="JG296" s="770"/>
      <c r="JH296" s="770"/>
      <c r="JI296" s="712" t="str">
        <f t="shared" si="75"/>
        <v>ok</v>
      </c>
      <c r="JJ296" s="766">
        <v>3</v>
      </c>
      <c r="JK296" s="1139" t="s">
        <v>2110</v>
      </c>
      <c r="JL296" s="770"/>
      <c r="JM296" s="770"/>
      <c r="JN296" s="770">
        <v>1</v>
      </c>
      <c r="JO296" s="770">
        <v>1</v>
      </c>
      <c r="JP296" s="770"/>
      <c r="JQ296" s="770">
        <v>1</v>
      </c>
      <c r="JR296" s="770"/>
      <c r="JS296" s="770"/>
      <c r="JT296" s="766">
        <f t="shared" si="89"/>
        <v>1</v>
      </c>
      <c r="JU296" s="766">
        <f t="shared" si="89"/>
        <v>2</v>
      </c>
      <c r="JV296" s="712" t="str">
        <f t="shared" si="76"/>
        <v>ok</v>
      </c>
      <c r="JW296" s="712" t="str">
        <f t="shared" si="77"/>
        <v>ok</v>
      </c>
      <c r="JX296" s="770"/>
      <c r="JY296" s="770"/>
      <c r="JZ296" s="770"/>
      <c r="KA296" s="770"/>
      <c r="KB296" s="770"/>
      <c r="KC296" s="770"/>
      <c r="KD296" s="770">
        <v>1</v>
      </c>
      <c r="KE296" s="770">
        <v>1</v>
      </c>
      <c r="KF296" s="770"/>
      <c r="KG296" s="770">
        <v>1</v>
      </c>
      <c r="KH296" s="770"/>
      <c r="KI296" s="770"/>
      <c r="KJ296" s="770">
        <f t="shared" si="86"/>
        <v>1</v>
      </c>
      <c r="KK296" s="770">
        <f t="shared" si="86"/>
        <v>2</v>
      </c>
      <c r="KL296" s="712" t="str">
        <f t="shared" si="84"/>
        <v>ok</v>
      </c>
      <c r="KM296" s="712" t="str">
        <f t="shared" si="85"/>
        <v>ok</v>
      </c>
      <c r="KN296" s="770" t="s">
        <v>707</v>
      </c>
      <c r="KO296" s="770"/>
      <c r="KP296" s="770"/>
      <c r="KQ296" s="770">
        <v>1</v>
      </c>
      <c r="KR296" s="770"/>
      <c r="KS296" s="770"/>
      <c r="KT296" s="770"/>
      <c r="KU296" s="770">
        <v>1</v>
      </c>
      <c r="KV296" s="770"/>
      <c r="KW296" s="770"/>
      <c r="KX296" s="770">
        <v>1</v>
      </c>
      <c r="KY296" s="770"/>
      <c r="KZ296" s="770"/>
      <c r="LA296" s="770"/>
      <c r="LB296" s="770"/>
      <c r="LC296" s="770"/>
      <c r="LD296" s="770"/>
      <c r="LE296" s="770"/>
      <c r="LF296" s="770"/>
      <c r="LG296" s="770"/>
      <c r="LH296" s="770"/>
      <c r="LI296" s="770"/>
      <c r="LJ296" s="770"/>
      <c r="LK296" s="770"/>
      <c r="LL296" s="770"/>
      <c r="LM296" s="770"/>
      <c r="LN296" s="766">
        <f t="shared" si="92"/>
        <v>1</v>
      </c>
      <c r="LO296" s="766">
        <f t="shared" si="92"/>
        <v>2</v>
      </c>
      <c r="LP296" s="770">
        <v>1</v>
      </c>
      <c r="LQ296" s="770">
        <v>1</v>
      </c>
      <c r="LR296" s="770"/>
      <c r="LS296" s="770"/>
      <c r="LT296" s="712" t="str">
        <f t="shared" si="80"/>
        <v>OK</v>
      </c>
      <c r="LU296" s="770">
        <v>1</v>
      </c>
      <c r="LV296" s="770"/>
      <c r="LW296" s="770"/>
      <c r="LX296" s="769">
        <v>2</v>
      </c>
      <c r="LY296" s="766" t="str">
        <f>IF(ISBLANK(LX296)=TRUE,"",LOOKUP(LX296,RT:RU))</f>
        <v>within the MUNICIPALITY</v>
      </c>
      <c r="LZ296" s="299">
        <v>216</v>
      </c>
      <c r="MA296" s="306"/>
      <c r="MB296" s="306"/>
      <c r="MC296" s="1679">
        <f t="shared" si="91"/>
        <v>216</v>
      </c>
      <c r="MD296" s="306">
        <v>3000</v>
      </c>
      <c r="ME296" s="306"/>
      <c r="MF296" s="306"/>
      <c r="MG296" s="1680">
        <f t="shared" si="81"/>
        <v>3000</v>
      </c>
      <c r="MH296" s="770" t="s">
        <v>2244</v>
      </c>
      <c r="MI296" s="302">
        <v>3000</v>
      </c>
      <c r="MJ296" s="302">
        <v>216</v>
      </c>
      <c r="MK296" s="302"/>
      <c r="ML296" s="302">
        <v>72</v>
      </c>
      <c r="MM296" s="302"/>
      <c r="MN296" s="302"/>
      <c r="MO296" s="302">
        <v>80</v>
      </c>
      <c r="MP296" s="302">
        <v>200</v>
      </c>
      <c r="MQ296" s="302">
        <v>340</v>
      </c>
      <c r="MR296" s="302">
        <v>600</v>
      </c>
      <c r="MS296" s="302"/>
      <c r="MT296" s="302"/>
      <c r="MU296" s="302"/>
      <c r="MV296" s="302"/>
      <c r="MW296" s="302"/>
      <c r="MX296" s="302"/>
      <c r="MY296" s="1682">
        <f t="shared" si="74"/>
        <v>4508</v>
      </c>
      <c r="MZ296" s="770" t="s">
        <v>13398</v>
      </c>
      <c r="NA296" s="770" t="s">
        <v>13005</v>
      </c>
      <c r="NB296" s="770" t="s">
        <v>13164</v>
      </c>
      <c r="NC296" s="770" t="s">
        <v>13135</v>
      </c>
      <c r="ND296" s="770">
        <v>0</v>
      </c>
      <c r="NE296" s="770">
        <v>0</v>
      </c>
      <c r="NF296" s="770">
        <v>0</v>
      </c>
      <c r="NG296" s="770">
        <v>1</v>
      </c>
      <c r="NH296" s="770">
        <v>1</v>
      </c>
      <c r="NI296" s="770">
        <v>0</v>
      </c>
      <c r="NJ296" s="770">
        <v>0</v>
      </c>
      <c r="NK296" s="770">
        <v>0</v>
      </c>
      <c r="NL296" s="770">
        <v>0</v>
      </c>
      <c r="NM296" s="770">
        <v>0</v>
      </c>
      <c r="NN296" s="770">
        <v>1</v>
      </c>
      <c r="NO296" s="770">
        <v>1</v>
      </c>
      <c r="NP296" s="770">
        <v>0</v>
      </c>
      <c r="NQ296" s="770">
        <v>0</v>
      </c>
      <c r="NR296" s="770">
        <v>0</v>
      </c>
      <c r="NS296" s="770">
        <v>0</v>
      </c>
      <c r="NT296" s="770">
        <v>0</v>
      </c>
      <c r="NU296" s="770">
        <v>0</v>
      </c>
      <c r="NV296" s="770">
        <v>0</v>
      </c>
      <c r="NW296" s="770">
        <v>0</v>
      </c>
      <c r="NX296" s="770">
        <v>0</v>
      </c>
      <c r="NY296" s="770" t="s">
        <v>1208</v>
      </c>
      <c r="NZ296" s="770"/>
      <c r="OA296" s="770"/>
      <c r="OB296" s="770" t="s">
        <v>1208</v>
      </c>
      <c r="OC296" s="770" t="s">
        <v>1208</v>
      </c>
      <c r="OD296" s="770" t="s">
        <v>1208</v>
      </c>
      <c r="OE296" s="770"/>
      <c r="OF296" s="770"/>
      <c r="OG296" s="770"/>
      <c r="OH296" s="770"/>
      <c r="OI296" s="770"/>
      <c r="OJ296" s="770"/>
      <c r="OK296" s="770"/>
      <c r="OL296" s="770"/>
      <c r="OM296" s="770"/>
      <c r="ON296" s="770"/>
      <c r="OO296" s="770"/>
      <c r="OP296" s="770"/>
      <c r="OQ296" s="770"/>
      <c r="OR296" s="770"/>
      <c r="OS296" s="770"/>
      <c r="OT296" s="770"/>
      <c r="OU296" s="770"/>
      <c r="OV296" s="770"/>
      <c r="OW296" s="770"/>
      <c r="OX296" s="770"/>
      <c r="OY296" s="770"/>
      <c r="OZ296" s="770"/>
      <c r="PA296" s="770"/>
      <c r="PB296" s="770"/>
      <c r="PC296" s="770"/>
      <c r="PD296" s="770"/>
      <c r="PE296" s="770"/>
      <c r="PF296" s="770"/>
      <c r="PG296" s="770"/>
      <c r="PH296" s="770"/>
      <c r="PI296" s="770"/>
      <c r="PJ296" s="770"/>
      <c r="PK296" s="770"/>
      <c r="PL296" s="770" t="s">
        <v>1208</v>
      </c>
      <c r="PM296" s="770" t="s">
        <v>1208</v>
      </c>
      <c r="PN296" s="770"/>
      <c r="PO296" s="770"/>
      <c r="PP296" s="770"/>
      <c r="PQ296" s="770" t="s">
        <v>1208</v>
      </c>
      <c r="PR296" s="770"/>
      <c r="PS296" s="770"/>
      <c r="PT296" s="770"/>
      <c r="PU296" s="770"/>
      <c r="PV296" s="770"/>
      <c r="PW296" s="770"/>
      <c r="PX296" s="770" t="s">
        <v>1208</v>
      </c>
      <c r="PY296" s="770"/>
      <c r="PZ296" s="770"/>
      <c r="QA296" s="770"/>
      <c r="QB296" s="770"/>
      <c r="QC296" s="770"/>
      <c r="QD296" s="770"/>
      <c r="QE296" s="770"/>
      <c r="QF296" s="770"/>
      <c r="QG296" s="770"/>
      <c r="QH296" s="770"/>
      <c r="QI296" s="770"/>
      <c r="QJ296" s="770"/>
      <c r="QK296" s="770"/>
      <c r="QL296" s="770"/>
      <c r="QM296" s="770"/>
      <c r="QN296" s="770"/>
      <c r="QO296" s="770"/>
      <c r="QP296" s="770" t="s">
        <v>1208</v>
      </c>
      <c r="QQ296" s="770"/>
      <c r="QR296" s="770"/>
      <c r="QS296" s="770"/>
      <c r="QT296" s="770"/>
      <c r="QU296" s="770"/>
      <c r="QV296" s="770"/>
      <c r="QW296" s="770"/>
      <c r="QX296" s="770"/>
      <c r="QY296" s="770"/>
      <c r="QZ296" s="770"/>
      <c r="RA296" s="770"/>
      <c r="RB296" s="770" t="s">
        <v>1207</v>
      </c>
      <c r="RC296" s="770" t="s">
        <v>1217</v>
      </c>
      <c r="RD296" s="770" t="s">
        <v>1217</v>
      </c>
      <c r="RE296" s="770" t="s">
        <v>12999</v>
      </c>
      <c r="RF296" s="304">
        <f>CONVERT(2,"ft","m")</f>
        <v>0.60960000000000003</v>
      </c>
      <c r="RG296" s="770" t="s">
        <v>13037</v>
      </c>
      <c r="RH296" s="302">
        <v>0</v>
      </c>
      <c r="RI296" s="770">
        <v>0.5</v>
      </c>
      <c r="RJ296" s="770" t="s">
        <v>2110</v>
      </c>
      <c r="RK296" s="770" t="s">
        <v>13381</v>
      </c>
      <c r="RL296" s="1710"/>
      <c r="RM296" s="12"/>
      <c r="RN296" s="1711"/>
      <c r="RO296" s="140" t="s">
        <v>504</v>
      </c>
      <c r="RP296" s="11"/>
      <c r="RQ296" s="11"/>
      <c r="RR296" s="19" t="s">
        <v>7421</v>
      </c>
      <c r="RS296" s="1139" t="s">
        <v>12980</v>
      </c>
      <c r="RT296" s="11"/>
      <c r="RU296" s="11"/>
      <c r="RV296" s="771" t="s">
        <v>7421</v>
      </c>
      <c r="RW296" s="11" t="s">
        <v>7623</v>
      </c>
      <c r="RX296" s="11" t="s">
        <v>498</v>
      </c>
      <c r="RY296" s="11"/>
      <c r="RZ296" s="11" t="s">
        <v>2209</v>
      </c>
      <c r="SA296" s="771"/>
      <c r="SB296" s="11"/>
      <c r="SC296" s="11"/>
    </row>
    <row r="297" spans="1:497" ht="12.75" customHeight="1">
      <c r="A297" s="767" t="s">
        <v>7421</v>
      </c>
      <c r="B297" s="292" t="s">
        <v>7624</v>
      </c>
      <c r="C297" s="140" t="s">
        <v>507</v>
      </c>
      <c r="D297" s="94" t="s">
        <v>5653</v>
      </c>
      <c r="E297" s="766" t="s">
        <v>508</v>
      </c>
      <c r="F297" s="770" t="s">
        <v>509</v>
      </c>
      <c r="G297" s="770" t="s">
        <v>10</v>
      </c>
      <c r="H297" s="770"/>
      <c r="I297" s="295"/>
      <c r="J297" s="94"/>
      <c r="K297" s="770"/>
      <c r="L297" s="770"/>
      <c r="M297" s="770"/>
      <c r="N297" s="770"/>
      <c r="O297" s="770"/>
      <c r="P297" s="94" t="s">
        <v>5654</v>
      </c>
      <c r="Q297" s="1088">
        <v>19795</v>
      </c>
      <c r="R297" s="297">
        <v>68</v>
      </c>
      <c r="S297" s="770" t="s">
        <v>10</v>
      </c>
      <c r="T297" s="298" t="s">
        <v>1015</v>
      </c>
      <c r="U297" s="298"/>
      <c r="V297" s="770" t="s">
        <v>722</v>
      </c>
      <c r="W297" s="770"/>
      <c r="X297" s="296"/>
      <c r="Y297" s="770" t="s">
        <v>1016</v>
      </c>
      <c r="Z297" s="770" t="s">
        <v>708</v>
      </c>
      <c r="AA297" s="770" t="s">
        <v>709</v>
      </c>
      <c r="AB297" s="770" t="s">
        <v>710</v>
      </c>
      <c r="AC297" s="770"/>
      <c r="AD297" s="770"/>
      <c r="AE297" s="770" t="s">
        <v>1017</v>
      </c>
      <c r="AF297" s="770" t="s">
        <v>712</v>
      </c>
      <c r="AG297" s="766" t="s">
        <v>1132</v>
      </c>
      <c r="AH297" s="766" t="s">
        <v>1096</v>
      </c>
      <c r="AI297" s="770"/>
      <c r="AJ297" s="770" t="s">
        <v>1137</v>
      </c>
      <c r="AK297" s="770" t="s">
        <v>1101</v>
      </c>
      <c r="AL297" s="299"/>
      <c r="AM297" s="300"/>
      <c r="AN297" s="301"/>
      <c r="AO297" s="766" t="s">
        <v>1113</v>
      </c>
      <c r="AP297" s="766"/>
      <c r="AQ297" s="766"/>
      <c r="AR297" s="766"/>
      <c r="AS297" s="770"/>
      <c r="AT297" s="770"/>
      <c r="AU297" s="770"/>
      <c r="AV297" s="770"/>
      <c r="AW297" s="770"/>
      <c r="AX297" s="770"/>
      <c r="AY297" s="770"/>
      <c r="AZ297" s="770"/>
      <c r="BA297" s="770"/>
      <c r="BB297" s="770"/>
      <c r="BC297" s="770"/>
      <c r="BD297" s="770"/>
      <c r="BE297" s="770"/>
      <c r="BF297" s="302"/>
      <c r="BG297" s="302"/>
      <c r="BH297" s="770"/>
      <c r="BI297" s="770"/>
      <c r="BJ297" s="770"/>
      <c r="BK297" s="770" t="s">
        <v>1095</v>
      </c>
      <c r="BL297" s="766" t="s">
        <v>11861</v>
      </c>
      <c r="BM297" s="766" t="s">
        <v>1096</v>
      </c>
      <c r="BN297" s="766" t="s">
        <v>1230</v>
      </c>
      <c r="BO297" s="766" t="s">
        <v>1246</v>
      </c>
      <c r="BP297" s="1111">
        <v>12.25</v>
      </c>
      <c r="BQ297" s="772">
        <v>12.25</v>
      </c>
      <c r="BR297" s="774">
        <f t="shared" si="90"/>
        <v>1</v>
      </c>
      <c r="BS297" s="766" t="s">
        <v>1257</v>
      </c>
      <c r="BT297" s="766" t="s">
        <v>1326</v>
      </c>
      <c r="BU297" s="766" t="s">
        <v>1267</v>
      </c>
      <c r="BV297" s="770" t="s">
        <v>1291</v>
      </c>
      <c r="BW297" s="769"/>
      <c r="BX297" s="302"/>
      <c r="BY297" s="303"/>
      <c r="BZ297" s="770"/>
      <c r="CA297" s="302"/>
      <c r="CB297" s="302"/>
      <c r="CC297" s="770"/>
      <c r="CD297" s="770"/>
      <c r="CE297" s="770"/>
      <c r="CF297" s="304"/>
      <c r="CG297" s="321"/>
      <c r="CH297" s="770"/>
      <c r="CI297" s="770"/>
      <c r="CJ297" s="770"/>
      <c r="CK297" s="770"/>
      <c r="CL297" s="770"/>
      <c r="CM297" s="770"/>
      <c r="CN297" s="770"/>
      <c r="CO297" s="770"/>
      <c r="CP297" s="770"/>
      <c r="CQ297" s="770"/>
      <c r="CR297" s="770"/>
      <c r="CS297" s="302"/>
      <c r="CT297" s="770"/>
      <c r="CU297" s="305"/>
      <c r="CV297" s="770"/>
      <c r="CW297" s="770"/>
      <c r="CX297" s="770"/>
      <c r="CY297" s="770"/>
      <c r="CZ297" s="770"/>
      <c r="DA297" s="306"/>
      <c r="DB297" s="770"/>
      <c r="DC297" s="770"/>
      <c r="DD297" s="770"/>
      <c r="DE297" s="300"/>
      <c r="DF297" s="770"/>
      <c r="DG297" s="770"/>
      <c r="DH297" s="770"/>
      <c r="DI297" s="770"/>
      <c r="DJ297" s="770"/>
      <c r="DK297" s="770"/>
      <c r="DL297" s="770"/>
      <c r="DM297" s="770"/>
      <c r="DN297" s="322"/>
      <c r="DO297" s="770"/>
      <c r="DP297" s="770"/>
      <c r="DQ297" s="770"/>
      <c r="DR297" s="770"/>
      <c r="DS297" s="307"/>
      <c r="DT297" s="770"/>
      <c r="DU297" s="770"/>
      <c r="DV297" s="770"/>
      <c r="DW297" s="306"/>
      <c r="DX297" s="306"/>
      <c r="DY297" s="770"/>
      <c r="DZ297" s="770"/>
      <c r="EA297" s="770"/>
      <c r="EB297" s="770"/>
      <c r="EC297" s="770"/>
      <c r="ED297" s="770"/>
      <c r="EE297" s="770"/>
      <c r="EF297" s="770"/>
      <c r="EG297" s="770"/>
      <c r="EH297" s="770"/>
      <c r="EI297" s="770"/>
      <c r="EJ297" s="770"/>
      <c r="EK297" s="770"/>
      <c r="EL297" s="770"/>
      <c r="EM297" s="770"/>
      <c r="EN297" s="770"/>
      <c r="EO297" s="770"/>
      <c r="EP297" s="94"/>
      <c r="EQ297" s="770"/>
      <c r="ER297" s="770"/>
      <c r="ES297" s="770"/>
      <c r="ET297" s="770"/>
      <c r="EU297" s="770"/>
      <c r="EV297" s="770"/>
      <c r="EW297" s="770"/>
      <c r="EX297" s="770"/>
      <c r="EY297" s="770"/>
      <c r="EZ297" s="770"/>
      <c r="FA297" s="770"/>
      <c r="FB297" s="770"/>
      <c r="FC297" s="770"/>
      <c r="FD297" s="302"/>
      <c r="FE297" s="770"/>
      <c r="FF297" s="770"/>
      <c r="FG297" s="770"/>
      <c r="FH297" s="12"/>
      <c r="FI297" s="770"/>
      <c r="FJ297" s="770"/>
      <c r="FK297" s="770"/>
      <c r="FL297" s="770"/>
      <c r="FM297" s="302"/>
      <c r="FN297" s="302"/>
      <c r="FO297" s="302"/>
      <c r="FP297" s="766" t="s">
        <v>1602</v>
      </c>
      <c r="FQ297" s="766" t="s">
        <v>1660</v>
      </c>
      <c r="FR297" s="770" t="s">
        <v>1214</v>
      </c>
      <c r="FS297" s="770"/>
      <c r="FT297" s="770"/>
      <c r="FU297" s="770"/>
      <c r="FV297" s="770"/>
      <c r="FW297" s="770"/>
      <c r="FX297" s="770"/>
      <c r="FY297" s="770"/>
      <c r="FZ297" s="770"/>
      <c r="GA297" s="770"/>
      <c r="GB297" s="770"/>
      <c r="GC297" s="308" t="s">
        <v>1738</v>
      </c>
      <c r="GD297" s="297"/>
      <c r="GE297" s="770"/>
      <c r="GF297" s="302"/>
      <c r="GG297" s="302"/>
      <c r="GH297" s="712" t="s">
        <v>1791</v>
      </c>
      <c r="GI297" s="770"/>
      <c r="GJ297" s="770" t="s">
        <v>1832</v>
      </c>
      <c r="GK297" s="770" t="s">
        <v>2345</v>
      </c>
      <c r="GL297" s="770"/>
      <c r="GM297" s="770"/>
      <c r="GN297" s="309">
        <v>40</v>
      </c>
      <c r="GO297" s="770"/>
      <c r="GP297" s="770" t="s">
        <v>1208</v>
      </c>
      <c r="GQ297" s="770" t="s">
        <v>1208</v>
      </c>
      <c r="GR297" s="770"/>
      <c r="GS297" s="770"/>
      <c r="GT297" s="770"/>
      <c r="GU297" s="770"/>
      <c r="GV297" s="770"/>
      <c r="GW297" s="770" t="s">
        <v>1207</v>
      </c>
      <c r="GX297" s="770"/>
      <c r="GY297" s="770"/>
      <c r="GZ297" s="770"/>
      <c r="HA297" s="770"/>
      <c r="HB297" s="770"/>
      <c r="HC297" s="770"/>
      <c r="HD297" s="770"/>
      <c r="HE297" s="770" t="s">
        <v>1208</v>
      </c>
      <c r="HF297" s="770"/>
      <c r="HG297" s="770"/>
      <c r="HH297" s="770"/>
      <c r="HI297" s="770" t="s">
        <v>1214</v>
      </c>
      <c r="HJ297" s="770"/>
      <c r="HK297" s="770"/>
      <c r="HL297" s="770"/>
      <c r="HM297" s="770"/>
      <c r="HN297" s="770"/>
      <c r="HO297" s="770"/>
      <c r="HP297" s="770"/>
      <c r="HQ297" s="770"/>
      <c r="HR297" s="770"/>
      <c r="HS297" s="770"/>
      <c r="HT297" s="770"/>
      <c r="HU297" s="770"/>
      <c r="HV297" s="770"/>
      <c r="HW297" s="770"/>
      <c r="HX297" s="770"/>
      <c r="HY297" s="770"/>
      <c r="HZ297" s="770"/>
      <c r="IA297" s="770"/>
      <c r="IB297" s="14" t="e">
        <f>IF(#REF!&gt;0,IF(#REF!&lt;=10000,"Y",""),"")</f>
        <v>#REF!</v>
      </c>
      <c r="IC297" s="770"/>
      <c r="ID297" s="770">
        <v>1</v>
      </c>
      <c r="IE297" s="770">
        <v>1</v>
      </c>
      <c r="IF297" s="12"/>
      <c r="IG297" s="12"/>
      <c r="IH297" s="12"/>
      <c r="II297" s="12"/>
      <c r="IJ297" s="12"/>
      <c r="IK297" s="12"/>
      <c r="IL297" s="12"/>
      <c r="IM297" s="12"/>
      <c r="IN297" s="12"/>
      <c r="IO297" s="12"/>
      <c r="IP297" s="12"/>
      <c r="IQ297" s="12"/>
      <c r="IR297" s="12"/>
      <c r="IS297" s="12"/>
      <c r="IT297" s="12"/>
      <c r="IU297" s="12"/>
      <c r="IV297" s="12"/>
      <c r="IW297" s="12"/>
      <c r="IX297" s="12"/>
      <c r="IY297" s="12"/>
      <c r="IZ297" s="12"/>
      <c r="JA297" s="12"/>
      <c r="JB297" s="12"/>
      <c r="JC297" s="12"/>
      <c r="JD297" s="12"/>
      <c r="JE297" s="12"/>
      <c r="JF297" s="12"/>
      <c r="JG297" s="12"/>
      <c r="JH297" s="12"/>
      <c r="JI297" s="712" t="str">
        <f>IF(SUM(JT297,JU297)=JJ297,"ok","review")</f>
        <v>ok</v>
      </c>
      <c r="JJ297" s="770">
        <v>9</v>
      </c>
      <c r="JK297" s="1139" t="s">
        <v>2111</v>
      </c>
      <c r="JL297" s="770">
        <v>2</v>
      </c>
      <c r="JM297" s="770">
        <v>3</v>
      </c>
      <c r="JN297" s="770">
        <v>2</v>
      </c>
      <c r="JO297" s="770">
        <v>2</v>
      </c>
      <c r="JP297" s="770"/>
      <c r="JQ297" s="770"/>
      <c r="JR297" s="770"/>
      <c r="JS297" s="770"/>
      <c r="JT297" s="766">
        <f>SUM(JP297,JN297,JL297,JR297)</f>
        <v>4</v>
      </c>
      <c r="JU297" s="766">
        <f>SUM(JQ297,JO297,JM297,JS297)</f>
        <v>5</v>
      </c>
      <c r="JV297" s="712" t="str">
        <f>IF(JT297=KJ297,"ok","male")</f>
        <v>ok</v>
      </c>
      <c r="JW297" s="712" t="str">
        <f>IF(JU297=KK297,"ok","female")</f>
        <v>ok</v>
      </c>
      <c r="JX297" s="770"/>
      <c r="JY297" s="770"/>
      <c r="JZ297" s="770">
        <v>2</v>
      </c>
      <c r="KA297" s="770">
        <v>3</v>
      </c>
      <c r="KB297" s="770">
        <v>1</v>
      </c>
      <c r="KC297" s="770">
        <v>1</v>
      </c>
      <c r="KD297" s="770"/>
      <c r="KE297" s="770">
        <v>1</v>
      </c>
      <c r="KF297" s="770">
        <v>1</v>
      </c>
      <c r="KG297" s="770"/>
      <c r="KH297" s="770"/>
      <c r="KI297" s="770"/>
      <c r="KJ297" s="770">
        <f>SUM(KF297,KD297,KB297,JZ297,JX297,KH297)</f>
        <v>4</v>
      </c>
      <c r="KK297" s="770">
        <f>SUM(KG297,KE297,KC297,KA297,JY297,KI297)</f>
        <v>5</v>
      </c>
      <c r="KL297" s="712" t="str">
        <f>IF(KJ297=LN297,"ok","male")</f>
        <v>ok</v>
      </c>
      <c r="KM297" s="712" t="str">
        <f>IF(KK297=LO297,"ok","female")</f>
        <v>ok</v>
      </c>
      <c r="KN297" s="770" t="s">
        <v>722</v>
      </c>
      <c r="KO297" s="770"/>
      <c r="KP297" s="770">
        <v>2</v>
      </c>
      <c r="KQ297" s="770">
        <v>2</v>
      </c>
      <c r="KR297" s="770"/>
      <c r="KS297" s="770"/>
      <c r="KT297" s="770"/>
      <c r="KU297" s="770"/>
      <c r="KV297" s="770">
        <v>1</v>
      </c>
      <c r="KW297" s="770"/>
      <c r="KX297" s="770">
        <v>1</v>
      </c>
      <c r="KY297" s="770">
        <v>3</v>
      </c>
      <c r="KZ297" s="770"/>
      <c r="LA297" s="770"/>
      <c r="LB297" s="770"/>
      <c r="LC297" s="770"/>
      <c r="LD297" s="770"/>
      <c r="LE297" s="770"/>
      <c r="LF297" s="770"/>
      <c r="LG297" s="770"/>
      <c r="LH297" s="770"/>
      <c r="LI297" s="770"/>
      <c r="LJ297" s="770"/>
      <c r="LK297" s="770"/>
      <c r="LL297" s="770"/>
      <c r="LM297" s="770"/>
      <c r="LN297" s="766">
        <f t="shared" si="92"/>
        <v>4</v>
      </c>
      <c r="LO297" s="766">
        <f t="shared" si="92"/>
        <v>5</v>
      </c>
      <c r="LP297" s="770">
        <v>2</v>
      </c>
      <c r="LQ297" s="770">
        <v>1</v>
      </c>
      <c r="LR297" s="770"/>
      <c r="LS297" s="770">
        <v>1</v>
      </c>
      <c r="LT297" s="712" t="str">
        <f>IF(LQ297=SUM(LU297:LW297),"OK","REV")</f>
        <v>OK</v>
      </c>
      <c r="LU297" s="770"/>
      <c r="LV297" s="770">
        <v>1</v>
      </c>
      <c r="LW297" s="770"/>
      <c r="LX297" s="769">
        <v>1</v>
      </c>
      <c r="LY297" s="766" t="str">
        <f>IF(ISBLANK(LX297)=TRUE,"",LOOKUP(LX297,RT:RU))</f>
        <v>within the BRGY</v>
      </c>
      <c r="LZ297" s="299">
        <v>960</v>
      </c>
      <c r="MA297" s="306"/>
      <c r="MB297" s="306"/>
      <c r="MC297" s="1679">
        <f>SUM(LZ297:MB297)</f>
        <v>960</v>
      </c>
      <c r="MD297" s="1110">
        <v>7200</v>
      </c>
      <c r="ME297" s="1110"/>
      <c r="MF297" s="1110"/>
      <c r="MG297" s="1680">
        <f>SUM(MD297:MF297)</f>
        <v>7200</v>
      </c>
      <c r="MH297" s="770" t="s">
        <v>13427</v>
      </c>
      <c r="MI297" s="302">
        <v>4500</v>
      </c>
      <c r="MJ297" s="302">
        <v>960</v>
      </c>
      <c r="MK297" s="302">
        <v>83</v>
      </c>
      <c r="ML297" s="302">
        <v>15000</v>
      </c>
      <c r="MM297" s="302"/>
      <c r="MN297" s="302"/>
      <c r="MO297" s="302"/>
      <c r="MP297" s="302">
        <v>400</v>
      </c>
      <c r="MQ297" s="302">
        <v>200</v>
      </c>
      <c r="MR297" s="302">
        <v>360</v>
      </c>
      <c r="MS297" s="302"/>
      <c r="MT297" s="302"/>
      <c r="MU297" s="302"/>
      <c r="MV297" s="302"/>
      <c r="MW297" s="302"/>
      <c r="MX297" s="302"/>
      <c r="MY297" s="1682">
        <f>IF(ISBLANK(MI297:MX297)=TRUE,"",SUM(MI297:MX297))</f>
        <v>21503</v>
      </c>
      <c r="MZ297" s="770" t="s">
        <v>13164</v>
      </c>
      <c r="NA297" s="770" t="s">
        <v>13230</v>
      </c>
      <c r="NB297" s="770" t="s">
        <v>13161</v>
      </c>
      <c r="NC297" s="770" t="s">
        <v>13428</v>
      </c>
      <c r="ND297" s="770">
        <v>0</v>
      </c>
      <c r="NE297" s="770">
        <v>0</v>
      </c>
      <c r="NF297" s="770">
        <v>0</v>
      </c>
      <c r="NG297" s="770">
        <v>1</v>
      </c>
      <c r="NH297" s="770">
        <v>1</v>
      </c>
      <c r="NI297" s="770">
        <v>0</v>
      </c>
      <c r="NJ297" s="770">
        <v>0</v>
      </c>
      <c r="NK297" s="770">
        <v>0</v>
      </c>
      <c r="NL297" s="770">
        <v>0</v>
      </c>
      <c r="NM297" s="770">
        <v>0</v>
      </c>
      <c r="NN297" s="770">
        <v>0</v>
      </c>
      <c r="NO297" s="770">
        <v>0</v>
      </c>
      <c r="NP297" s="770">
        <v>0</v>
      </c>
      <c r="NQ297" s="770">
        <v>0</v>
      </c>
      <c r="NR297" s="770">
        <v>0</v>
      </c>
      <c r="NS297" s="770">
        <v>0</v>
      </c>
      <c r="NT297" s="770">
        <v>0</v>
      </c>
      <c r="NU297" s="770">
        <v>0</v>
      </c>
      <c r="NV297" s="770">
        <v>0</v>
      </c>
      <c r="NW297" s="770">
        <v>0</v>
      </c>
      <c r="NX297" s="770">
        <v>0</v>
      </c>
      <c r="NY297" s="770"/>
      <c r="NZ297" s="770" t="s">
        <v>1208</v>
      </c>
      <c r="OA297" s="770"/>
      <c r="OB297" s="770"/>
      <c r="OC297" s="770"/>
      <c r="OD297" s="770"/>
      <c r="OE297" s="770"/>
      <c r="OF297" s="770" t="s">
        <v>2142</v>
      </c>
      <c r="OG297" s="770" t="s">
        <v>1208</v>
      </c>
      <c r="OH297" s="770" t="s">
        <v>13429</v>
      </c>
      <c r="OI297" s="770" t="s">
        <v>13430</v>
      </c>
      <c r="OJ297" s="770"/>
      <c r="OK297" s="770" t="s">
        <v>1208</v>
      </c>
      <c r="OL297" s="770" t="s">
        <v>13429</v>
      </c>
      <c r="OM297" s="770" t="s">
        <v>13430</v>
      </c>
      <c r="ON297" s="770"/>
      <c r="OO297" s="770" t="s">
        <v>1207</v>
      </c>
      <c r="OP297" s="770" t="s">
        <v>13388</v>
      </c>
      <c r="OQ297" s="770" t="s">
        <v>13431</v>
      </c>
      <c r="OR297" s="770"/>
      <c r="OS297" s="770" t="s">
        <v>13390</v>
      </c>
      <c r="OT297" s="770" t="s">
        <v>13355</v>
      </c>
      <c r="OU297" s="770"/>
      <c r="OV297" s="770" t="s">
        <v>1208</v>
      </c>
      <c r="OW297" s="770"/>
      <c r="OX297" s="770"/>
      <c r="OY297" s="770" t="s">
        <v>1208</v>
      </c>
      <c r="OZ297" s="770"/>
      <c r="PA297" s="770" t="s">
        <v>1208</v>
      </c>
      <c r="PB297" s="770"/>
      <c r="PC297" s="770"/>
      <c r="PD297" s="770"/>
      <c r="PE297" s="770"/>
      <c r="PF297" s="770"/>
      <c r="PG297" s="770"/>
      <c r="PH297" s="770"/>
      <c r="PI297" s="770"/>
      <c r="PJ297" s="770"/>
      <c r="PK297" s="770"/>
      <c r="PL297" s="770"/>
      <c r="PM297" s="770"/>
      <c r="PN297" s="770" t="s">
        <v>1208</v>
      </c>
      <c r="PO297" s="770"/>
      <c r="PP297" s="770"/>
      <c r="PQ297" s="770"/>
      <c r="PR297" s="770"/>
      <c r="PS297" s="770"/>
      <c r="PT297" s="770"/>
      <c r="PU297" s="770"/>
      <c r="PV297" s="770"/>
      <c r="PW297" s="770"/>
      <c r="PX297" s="770"/>
      <c r="PY297" s="770"/>
      <c r="PZ297" s="770"/>
      <c r="QA297" s="770"/>
      <c r="QB297" s="770"/>
      <c r="QC297" s="770"/>
      <c r="QD297" s="770"/>
      <c r="QE297" s="770"/>
      <c r="QF297" s="770"/>
      <c r="QG297" s="770"/>
      <c r="QH297" s="770"/>
      <c r="QI297" s="770"/>
      <c r="QJ297" s="770"/>
      <c r="QK297" s="770"/>
      <c r="QL297" s="770"/>
      <c r="QM297" s="770"/>
      <c r="QN297" s="770"/>
      <c r="QO297" s="770"/>
      <c r="QP297" s="770"/>
      <c r="QQ297" s="770"/>
      <c r="QR297" s="770"/>
      <c r="QS297" s="770"/>
      <c r="QT297" s="770"/>
      <c r="QU297" s="770"/>
      <c r="QV297" s="770"/>
      <c r="QW297" s="770"/>
      <c r="QX297" s="770"/>
      <c r="QY297" s="770"/>
      <c r="QZ297" s="770"/>
      <c r="RA297" s="770"/>
      <c r="RB297" s="770" t="s">
        <v>1214</v>
      </c>
      <c r="RC297" s="770"/>
      <c r="RD297" s="770"/>
      <c r="RE297" s="770"/>
      <c r="RF297" s="304"/>
      <c r="RG297" s="770"/>
      <c r="RH297" s="302"/>
      <c r="RI297" s="770"/>
      <c r="RJ297" s="770" t="s">
        <v>13432</v>
      </c>
      <c r="RK297" s="770" t="s">
        <v>13381</v>
      </c>
      <c r="RL297" s="1710"/>
      <c r="RM297" s="12"/>
      <c r="RN297" s="1711"/>
      <c r="RO297" s="140" t="s">
        <v>507</v>
      </c>
      <c r="RP297" s="11"/>
      <c r="RQ297" s="11"/>
      <c r="RR297" s="311" t="s">
        <v>12355</v>
      </c>
      <c r="RS297" s="1139" t="s">
        <v>12980</v>
      </c>
      <c r="RT297" s="11"/>
      <c r="RU297" s="11"/>
      <c r="RV297" s="6" t="s">
        <v>7421</v>
      </c>
      <c r="RW297" s="11" t="s">
        <v>12357</v>
      </c>
      <c r="RX297" s="11" t="s">
        <v>501</v>
      </c>
      <c r="RY297" s="11"/>
      <c r="RZ297" s="11" t="s">
        <v>1101</v>
      </c>
      <c r="SA297" s="6"/>
      <c r="SB297" s="11"/>
      <c r="SC297" s="11"/>
    </row>
    <row r="298" spans="1:497" ht="12.75" customHeight="1">
      <c r="A298" s="49" t="s">
        <v>12355</v>
      </c>
      <c r="B298" s="292" t="s">
        <v>12759</v>
      </c>
      <c r="C298" s="140" t="s">
        <v>507</v>
      </c>
      <c r="D298" s="6" t="s">
        <v>488</v>
      </c>
      <c r="E298" s="766" t="s">
        <v>508</v>
      </c>
      <c r="F298" s="770"/>
      <c r="G298" s="770"/>
      <c r="H298" s="770"/>
      <c r="I298" s="295"/>
      <c r="J298" s="94"/>
      <c r="K298" s="770"/>
      <c r="L298" s="770"/>
      <c r="M298" s="770"/>
      <c r="N298" s="770"/>
      <c r="O298" s="770"/>
      <c r="P298" s="94"/>
      <c r="Q298" s="1088"/>
      <c r="R298" s="297"/>
      <c r="S298" s="770"/>
      <c r="T298" s="298"/>
      <c r="U298" s="298"/>
      <c r="V298" s="770"/>
      <c r="W298" s="770"/>
      <c r="X298" s="296"/>
      <c r="Y298" s="766"/>
      <c r="Z298" s="770"/>
      <c r="AA298" s="770"/>
      <c r="AB298" s="770"/>
      <c r="AC298" s="770"/>
      <c r="AD298" s="770"/>
      <c r="AE298" s="770"/>
      <c r="AF298" s="770"/>
      <c r="AG298" s="766"/>
      <c r="AH298" s="770"/>
      <c r="AI298" s="770"/>
      <c r="AJ298" s="770"/>
      <c r="AK298" s="770" t="s">
        <v>1101</v>
      </c>
      <c r="AL298" s="299"/>
      <c r="AM298" s="300"/>
      <c r="AN298" s="301"/>
      <c r="AO298" s="766"/>
      <c r="AP298" s="766"/>
      <c r="AQ298" s="766"/>
      <c r="AR298" s="766"/>
      <c r="AS298" s="770"/>
      <c r="AT298" s="770"/>
      <c r="AU298" s="770"/>
      <c r="AV298" s="770"/>
      <c r="AW298" s="770"/>
      <c r="AX298" s="770"/>
      <c r="AY298" s="770"/>
      <c r="AZ298" s="770"/>
      <c r="BA298" s="770"/>
      <c r="BB298" s="770"/>
      <c r="BC298" s="770"/>
      <c r="BD298" s="770"/>
      <c r="BE298" s="770"/>
      <c r="BF298" s="302"/>
      <c r="BG298" s="302"/>
      <c r="BH298" s="770"/>
      <c r="BI298" s="770"/>
      <c r="BJ298" s="770"/>
      <c r="BK298" s="770"/>
      <c r="BL298" s="766" t="s">
        <v>11860</v>
      </c>
      <c r="BM298" s="766" t="s">
        <v>1238</v>
      </c>
      <c r="BN298" s="766" t="s">
        <v>1305</v>
      </c>
      <c r="BO298" s="766"/>
      <c r="BP298" s="780"/>
      <c r="BQ298" s="772"/>
      <c r="BR298" s="774"/>
      <c r="BS298" s="766" t="s">
        <v>1257</v>
      </c>
      <c r="BT298" s="766"/>
      <c r="BU298" s="766"/>
      <c r="BV298" s="770"/>
      <c r="BW298" s="769"/>
      <c r="BX298" s="302"/>
      <c r="BY298" s="303"/>
      <c r="BZ298" s="770"/>
      <c r="CA298" s="302"/>
      <c r="CB298" s="302"/>
      <c r="CC298" s="770"/>
      <c r="CD298" s="770"/>
      <c r="CE298" s="770"/>
      <c r="CF298" s="304"/>
      <c r="CG298" s="321"/>
      <c r="CH298" s="770"/>
      <c r="CI298" s="770"/>
      <c r="CJ298" s="770"/>
      <c r="CK298" s="770"/>
      <c r="CL298" s="770"/>
      <c r="CM298" s="770"/>
      <c r="CN298" s="770"/>
      <c r="CO298" s="770"/>
      <c r="CP298" s="770"/>
      <c r="CQ298" s="770"/>
      <c r="CR298" s="770"/>
      <c r="CS298" s="302"/>
      <c r="CT298" s="770"/>
      <c r="CU298" s="305"/>
      <c r="CV298" s="770"/>
      <c r="CW298" s="770"/>
      <c r="CX298" s="770"/>
      <c r="CY298" s="770"/>
      <c r="CZ298" s="770"/>
      <c r="DA298" s="306"/>
      <c r="DB298" s="770"/>
      <c r="DC298" s="770"/>
      <c r="DD298" s="770"/>
      <c r="DE298" s="300"/>
      <c r="DF298" s="770"/>
      <c r="DG298" s="770"/>
      <c r="DH298" s="770"/>
      <c r="DI298" s="770"/>
      <c r="DJ298" s="770"/>
      <c r="DK298" s="770"/>
      <c r="DL298" s="770"/>
      <c r="DM298" s="770"/>
      <c r="DN298" s="322"/>
      <c r="DO298" s="770"/>
      <c r="DP298" s="770"/>
      <c r="DQ298" s="770"/>
      <c r="DR298" s="770"/>
      <c r="DS298" s="307"/>
      <c r="DT298" s="770"/>
      <c r="DU298" s="770"/>
      <c r="DV298" s="770"/>
      <c r="DW298" s="306"/>
      <c r="DX298" s="306"/>
      <c r="DY298" s="770"/>
      <c r="DZ298" s="770"/>
      <c r="EA298" s="770"/>
      <c r="EB298" s="770"/>
      <c r="EC298" s="770"/>
      <c r="ED298" s="770"/>
      <c r="EE298" s="770"/>
      <c r="EF298" s="770"/>
      <c r="EG298" s="770"/>
      <c r="EH298" s="770"/>
      <c r="EI298" s="770"/>
      <c r="EJ298" s="770"/>
      <c r="EK298" s="770"/>
      <c r="EL298" s="770"/>
      <c r="EM298" s="770"/>
      <c r="EN298" s="770"/>
      <c r="EO298" s="770"/>
      <c r="EP298" s="94"/>
      <c r="EQ298" s="770"/>
      <c r="ER298" s="770"/>
      <c r="ES298" s="770"/>
      <c r="ET298" s="770"/>
      <c r="EU298" s="770"/>
      <c r="EV298" s="770"/>
      <c r="EW298" s="770"/>
      <c r="EX298" s="770"/>
      <c r="EY298" s="770"/>
      <c r="EZ298" s="770"/>
      <c r="FA298" s="770"/>
      <c r="FB298" s="770"/>
      <c r="FC298" s="770"/>
      <c r="FD298" s="302"/>
      <c r="FE298" s="770"/>
      <c r="FF298" s="770"/>
      <c r="FG298" s="770"/>
      <c r="FH298" s="770" t="s">
        <v>1299</v>
      </c>
      <c r="FI298" s="770"/>
      <c r="FJ298" s="770"/>
      <c r="FK298" s="770"/>
      <c r="FL298" s="770"/>
      <c r="FM298" s="302"/>
      <c r="FN298" s="302"/>
      <c r="FO298" s="302"/>
      <c r="FP298" s="766" t="s">
        <v>1602</v>
      </c>
      <c r="FQ298" s="766" t="s">
        <v>1660</v>
      </c>
      <c r="FR298" s="770"/>
      <c r="FS298" s="770"/>
      <c r="FT298" s="770"/>
      <c r="FU298" s="770"/>
      <c r="FV298" s="770"/>
      <c r="FW298" s="770"/>
      <c r="FX298" s="770"/>
      <c r="FY298" s="770"/>
      <c r="FZ298" s="770"/>
      <c r="GA298" s="770"/>
      <c r="GB298" s="770"/>
      <c r="GC298" s="308"/>
      <c r="GD298" s="297"/>
      <c r="GE298" s="770"/>
      <c r="GF298" s="302"/>
      <c r="GG298" s="302"/>
      <c r="GH298" s="770"/>
      <c r="GI298" s="770"/>
      <c r="GJ298" s="770"/>
      <c r="GK298" s="770"/>
      <c r="GL298" s="770"/>
      <c r="GM298" s="770"/>
      <c r="GN298" s="309"/>
      <c r="GO298" s="770"/>
      <c r="GP298" s="770"/>
      <c r="GQ298" s="770"/>
      <c r="GR298" s="770"/>
      <c r="GS298" s="770"/>
      <c r="GT298" s="770"/>
      <c r="GU298" s="770"/>
      <c r="GV298" s="770"/>
      <c r="GW298" s="770"/>
      <c r="GX298" s="770"/>
      <c r="GY298" s="770"/>
      <c r="GZ298" s="770"/>
      <c r="HA298" s="770"/>
      <c r="HB298" s="770"/>
      <c r="HC298" s="770"/>
      <c r="HD298" s="770"/>
      <c r="HE298" s="770"/>
      <c r="HF298" s="770"/>
      <c r="HG298" s="770"/>
      <c r="HH298" s="770"/>
      <c r="HI298" s="770"/>
      <c r="HJ298" s="770"/>
      <c r="HK298" s="770"/>
      <c r="HL298" s="770"/>
      <c r="HM298" s="770"/>
      <c r="HN298" s="770"/>
      <c r="HO298" s="770"/>
      <c r="HP298" s="770"/>
      <c r="HQ298" s="770"/>
      <c r="HR298" s="770"/>
      <c r="HS298" s="770"/>
      <c r="HT298" s="770"/>
      <c r="HU298" s="770"/>
      <c r="HV298" s="770"/>
      <c r="HW298" s="770"/>
      <c r="HX298" s="770"/>
      <c r="HY298" s="770"/>
      <c r="HZ298" s="770"/>
      <c r="IA298" s="770"/>
      <c r="IB298" s="14" t="e">
        <f>IF(#REF!&gt;0,IF(#REF!&lt;=10000,"Y",""),"")</f>
        <v>#REF!</v>
      </c>
      <c r="IC298" s="770"/>
      <c r="ID298" s="770"/>
      <c r="IE298" s="770"/>
      <c r="IF298" s="770"/>
      <c r="IG298" s="770"/>
      <c r="IH298" s="770"/>
      <c r="II298" s="770"/>
      <c r="IJ298" s="770"/>
      <c r="IK298" s="770"/>
      <c r="IL298" s="770"/>
      <c r="IM298" s="770"/>
      <c r="IN298" s="770"/>
      <c r="IO298" s="296"/>
      <c r="IP298" s="770"/>
      <c r="IQ298" s="770"/>
      <c r="IR298" s="770"/>
      <c r="IS298" s="770"/>
      <c r="IT298" s="770"/>
      <c r="IU298" s="770"/>
      <c r="IV298" s="770"/>
      <c r="IW298" s="770"/>
      <c r="IX298" s="770"/>
      <c r="IY298" s="770"/>
      <c r="IZ298" s="770"/>
      <c r="JA298" s="770"/>
      <c r="JB298" s="770"/>
      <c r="JC298" s="770"/>
      <c r="JD298" s="302"/>
      <c r="JE298" s="770"/>
      <c r="JF298" s="770"/>
      <c r="JG298" s="770"/>
      <c r="JH298" s="770"/>
      <c r="JI298" s="712" t="str">
        <f>IF(SUM(JT298,JU298)=JJ298,"ok","review")</f>
        <v>ok</v>
      </c>
      <c r="JJ298" s="770"/>
      <c r="JK298" s="1139" t="s">
        <v>14052</v>
      </c>
      <c r="JL298" s="770"/>
      <c r="JM298" s="770"/>
      <c r="JN298" s="770"/>
      <c r="JO298" s="770"/>
      <c r="JP298" s="770"/>
      <c r="JQ298" s="770"/>
      <c r="JR298" s="770"/>
      <c r="JS298" s="770"/>
      <c r="JT298" s="766"/>
      <c r="JU298" s="766"/>
      <c r="JV298" s="712"/>
      <c r="JW298" s="712"/>
      <c r="JX298" s="770"/>
      <c r="JY298" s="770"/>
      <c r="JZ298" s="770"/>
      <c r="KA298" s="770"/>
      <c r="KB298" s="770"/>
      <c r="KC298" s="770"/>
      <c r="KD298" s="770"/>
      <c r="KE298" s="770"/>
      <c r="KF298" s="770"/>
      <c r="KG298" s="770"/>
      <c r="KH298" s="770"/>
      <c r="KI298" s="770"/>
      <c r="KJ298" s="770"/>
      <c r="KK298" s="770"/>
      <c r="KL298" s="712" t="str">
        <f>IF(KJ298=LN298,"ok","male")</f>
        <v>ok</v>
      </c>
      <c r="KM298" s="712" t="str">
        <f>IF(KK298=LO298,"ok","female")</f>
        <v>ok</v>
      </c>
      <c r="KN298" s="770"/>
      <c r="KO298" s="770"/>
      <c r="KP298" s="770"/>
      <c r="KQ298" s="770"/>
      <c r="KR298" s="770"/>
      <c r="KS298" s="770"/>
      <c r="KT298" s="770"/>
      <c r="KU298" s="770"/>
      <c r="KV298" s="770"/>
      <c r="KW298" s="770"/>
      <c r="KX298" s="770"/>
      <c r="KY298" s="770"/>
      <c r="KZ298" s="770"/>
      <c r="LA298" s="770"/>
      <c r="LB298" s="770"/>
      <c r="LC298" s="770"/>
      <c r="LD298" s="770"/>
      <c r="LE298" s="770"/>
      <c r="LF298" s="770"/>
      <c r="LG298" s="770"/>
      <c r="LH298" s="770"/>
      <c r="LI298" s="770"/>
      <c r="LJ298" s="770"/>
      <c r="LK298" s="770"/>
      <c r="LL298" s="770"/>
      <c r="LM298" s="770"/>
      <c r="LN298" s="766"/>
      <c r="LO298" s="766"/>
      <c r="LP298" s="770"/>
      <c r="LQ298" s="770"/>
      <c r="LR298" s="770"/>
      <c r="LS298" s="770"/>
      <c r="LT298" s="712" t="str">
        <f>IF(LQ298=SUM(LU298:LW298),"OK","REV")</f>
        <v>OK</v>
      </c>
      <c r="LU298" s="770"/>
      <c r="LV298" s="770"/>
      <c r="LW298" s="770"/>
      <c r="LX298" s="769"/>
      <c r="LY298" s="766"/>
      <c r="LZ298" s="299"/>
      <c r="MA298" s="306"/>
      <c r="MB298" s="306"/>
      <c r="MC298" s="1679"/>
      <c r="MD298" s="1110"/>
      <c r="ME298" s="1110"/>
      <c r="MF298" s="1110"/>
      <c r="MG298" s="1680"/>
      <c r="MH298" s="770"/>
      <c r="MI298" s="302"/>
      <c r="MJ298" s="302"/>
      <c r="MK298" s="302"/>
      <c r="ML298" s="302"/>
      <c r="MM298" s="302"/>
      <c r="MN298" s="302"/>
      <c r="MO298" s="302"/>
      <c r="MP298" s="302"/>
      <c r="MQ298" s="302"/>
      <c r="MR298" s="302"/>
      <c r="MS298" s="302"/>
      <c r="MT298" s="302"/>
      <c r="MU298" s="302"/>
      <c r="MV298" s="302"/>
      <c r="MW298" s="302"/>
      <c r="MX298" s="302"/>
      <c r="MY298" s="1682"/>
      <c r="MZ298" s="770"/>
      <c r="NA298" s="770"/>
      <c r="NB298" s="770"/>
      <c r="NC298" s="770"/>
      <c r="ND298" s="770"/>
      <c r="NE298" s="770"/>
      <c r="NF298" s="770"/>
      <c r="NG298" s="770"/>
      <c r="NH298" s="770"/>
      <c r="NI298" s="770"/>
      <c r="NJ298" s="770"/>
      <c r="NK298" s="770"/>
      <c r="NL298" s="770"/>
      <c r="NM298" s="770"/>
      <c r="NN298" s="770"/>
      <c r="NO298" s="770"/>
      <c r="NP298" s="770"/>
      <c r="NQ298" s="770"/>
      <c r="NR298" s="770"/>
      <c r="NS298" s="770"/>
      <c r="NT298" s="770"/>
      <c r="NU298" s="770"/>
      <c r="NV298" s="770"/>
      <c r="NW298" s="770"/>
      <c r="NX298" s="770"/>
      <c r="NY298" s="770"/>
      <c r="NZ298" s="770"/>
      <c r="OA298" s="770"/>
      <c r="OB298" s="770"/>
      <c r="OC298" s="770"/>
      <c r="OD298" s="770"/>
      <c r="OE298" s="770"/>
      <c r="OF298" s="770"/>
      <c r="OG298" s="770"/>
      <c r="OH298" s="770"/>
      <c r="OI298" s="770"/>
      <c r="OJ298" s="770"/>
      <c r="OK298" s="770"/>
      <c r="OL298" s="770"/>
      <c r="OM298" s="770"/>
      <c r="ON298" s="770"/>
      <c r="OO298" s="770"/>
      <c r="OP298" s="770"/>
      <c r="OQ298" s="770"/>
      <c r="OR298" s="770"/>
      <c r="OS298" s="770"/>
      <c r="OT298" s="770"/>
      <c r="OU298" s="770"/>
      <c r="OV298" s="770"/>
      <c r="OW298" s="770"/>
      <c r="OX298" s="770"/>
      <c r="OY298" s="770"/>
      <c r="OZ298" s="770"/>
      <c r="PA298" s="770"/>
      <c r="PB298" s="770"/>
      <c r="PC298" s="770"/>
      <c r="PD298" s="770"/>
      <c r="PE298" s="770"/>
      <c r="PF298" s="770"/>
      <c r="PG298" s="770"/>
      <c r="PH298" s="770"/>
      <c r="PI298" s="770"/>
      <c r="PJ298" s="770"/>
      <c r="PK298" s="770"/>
      <c r="PL298" s="770"/>
      <c r="PM298" s="770"/>
      <c r="PN298" s="770"/>
      <c r="PO298" s="770"/>
      <c r="PP298" s="770"/>
      <c r="PQ298" s="770"/>
      <c r="PR298" s="770"/>
      <c r="PS298" s="770"/>
      <c r="PT298" s="770"/>
      <c r="PU298" s="770"/>
      <c r="PV298" s="770"/>
      <c r="PW298" s="770"/>
      <c r="PX298" s="770"/>
      <c r="PY298" s="770"/>
      <c r="PZ298" s="770"/>
      <c r="QA298" s="770"/>
      <c r="QB298" s="770"/>
      <c r="QC298" s="770"/>
      <c r="QD298" s="770"/>
      <c r="QE298" s="770"/>
      <c r="QF298" s="770"/>
      <c r="QG298" s="770"/>
      <c r="QH298" s="770"/>
      <c r="QI298" s="770"/>
      <c r="QJ298" s="770"/>
      <c r="QK298" s="770"/>
      <c r="QL298" s="770"/>
      <c r="QM298" s="770"/>
      <c r="QN298" s="770"/>
      <c r="QO298" s="770"/>
      <c r="QP298" s="770"/>
      <c r="QQ298" s="770"/>
      <c r="QR298" s="770"/>
      <c r="QS298" s="770"/>
      <c r="QT298" s="770"/>
      <c r="QU298" s="770"/>
      <c r="QV298" s="770"/>
      <c r="QW298" s="770"/>
      <c r="QX298" s="770"/>
      <c r="QY298" s="770"/>
      <c r="QZ298" s="770"/>
      <c r="RA298" s="770"/>
      <c r="RB298" s="770"/>
      <c r="RC298" s="770"/>
      <c r="RD298" s="770"/>
      <c r="RE298" s="770"/>
      <c r="RF298" s="304"/>
      <c r="RG298" s="770"/>
      <c r="RH298" s="302"/>
      <c r="RI298" s="770"/>
      <c r="RJ298" s="770"/>
      <c r="RK298" s="770"/>
      <c r="RL298" s="1710"/>
      <c r="RM298" s="12"/>
      <c r="RN298" s="1711"/>
      <c r="RO298" s="140" t="s">
        <v>507</v>
      </c>
      <c r="RP298" s="11"/>
      <c r="RQ298" s="11"/>
      <c r="RR298" s="311" t="s">
        <v>12355</v>
      </c>
      <c r="RS298" s="1139" t="s">
        <v>12980</v>
      </c>
      <c r="RT298" s="11"/>
      <c r="RU298" s="11"/>
      <c r="RV298" s="771" t="s">
        <v>7421</v>
      </c>
      <c r="RW298" s="11" t="s">
        <v>5636</v>
      </c>
      <c r="RX298" s="11" t="s">
        <v>504</v>
      </c>
      <c r="RY298" s="11"/>
      <c r="RZ298" s="11"/>
      <c r="SA298" s="771"/>
      <c r="SB298" s="11"/>
      <c r="SC298" s="11"/>
    </row>
    <row r="299" spans="1:497" ht="12.75" hidden="1" customHeight="1">
      <c r="A299" s="154" t="s">
        <v>7419</v>
      </c>
      <c r="B299" s="292" t="s">
        <v>7977</v>
      </c>
      <c r="C299" s="140" t="s">
        <v>510</v>
      </c>
      <c r="D299" s="770" t="s">
        <v>515</v>
      </c>
      <c r="E299" s="770" t="s">
        <v>511</v>
      </c>
      <c r="F299" s="770" t="s">
        <v>20</v>
      </c>
      <c r="G299" s="770" t="s">
        <v>18</v>
      </c>
      <c r="H299" s="770"/>
      <c r="I299" s="295" t="s">
        <v>512</v>
      </c>
      <c r="J299" s="94" t="s">
        <v>513</v>
      </c>
      <c r="K299" s="766" t="s">
        <v>11896</v>
      </c>
      <c r="L299" s="766" t="s">
        <v>11897</v>
      </c>
      <c r="M299" s="770"/>
      <c r="N299" s="770"/>
      <c r="O299" s="770"/>
      <c r="P299" s="770"/>
      <c r="Q299" s="1088"/>
      <c r="R299" s="297"/>
      <c r="S299" s="770"/>
      <c r="T299" s="298"/>
      <c r="U299" s="298"/>
      <c r="V299" s="770"/>
      <c r="W299" s="770"/>
      <c r="X299" s="296"/>
      <c r="Y299" s="770"/>
      <c r="Z299" s="770"/>
      <c r="AA299" s="770"/>
      <c r="AB299" s="770"/>
      <c r="AC299" s="770"/>
      <c r="AD299" s="770"/>
      <c r="AE299" s="770"/>
      <c r="AF299" s="770"/>
      <c r="AG299" s="766" t="s">
        <v>1095</v>
      </c>
      <c r="AH299" s="766" t="s">
        <v>1096</v>
      </c>
      <c r="AI299" s="770" t="s">
        <v>1166</v>
      </c>
      <c r="AJ299" s="770"/>
      <c r="AK299" s="770" t="s">
        <v>1097</v>
      </c>
      <c r="AL299" s="299">
        <v>25.84</v>
      </c>
      <c r="AM299" s="300">
        <v>13.41</v>
      </c>
      <c r="AN299" s="301">
        <v>0.51895999999999998</v>
      </c>
      <c r="AO299" s="766" t="s">
        <v>1105</v>
      </c>
      <c r="AP299" s="766"/>
      <c r="AQ299" s="766"/>
      <c r="AR299" s="766"/>
      <c r="AS299" s="770" t="s">
        <v>1207</v>
      </c>
      <c r="AT299" s="770" t="s">
        <v>1216</v>
      </c>
      <c r="AU299" s="770"/>
      <c r="AV299" s="770" t="s">
        <v>1208</v>
      </c>
      <c r="AW299" s="770"/>
      <c r="AX299" s="770"/>
      <c r="AY299" s="770"/>
      <c r="AZ299" s="770"/>
      <c r="BA299" s="770"/>
      <c r="BB299" s="770"/>
      <c r="BC299" s="770"/>
      <c r="BD299" s="770"/>
      <c r="BE299" s="770"/>
      <c r="BF299" s="302"/>
      <c r="BG299" s="302"/>
      <c r="BH299" s="770"/>
      <c r="BI299" s="770"/>
      <c r="BJ299" s="770"/>
      <c r="BK299" s="770" t="s">
        <v>1095</v>
      </c>
      <c r="BL299" s="766" t="s">
        <v>1371</v>
      </c>
      <c r="BM299" s="766" t="s">
        <v>1096</v>
      </c>
      <c r="BN299" s="766" t="s">
        <v>1230</v>
      </c>
      <c r="BO299" s="766" t="s">
        <v>1246</v>
      </c>
      <c r="BP299" s="559">
        <v>25.84</v>
      </c>
      <c r="BQ299" s="334">
        <v>13.41</v>
      </c>
      <c r="BR299" s="774">
        <v>0.51895999999999998</v>
      </c>
      <c r="BS299" s="766" t="s">
        <v>1105</v>
      </c>
      <c r="BT299" s="766" t="s">
        <v>2040</v>
      </c>
      <c r="BU299" s="770" t="s">
        <v>1249</v>
      </c>
      <c r="BV299" s="770" t="s">
        <v>1247</v>
      </c>
      <c r="BW299" s="770">
        <v>2014</v>
      </c>
      <c r="BX299" s="302"/>
      <c r="BY299" s="303"/>
      <c r="BZ299" s="770"/>
      <c r="CA299" s="302"/>
      <c r="CB299" s="302"/>
      <c r="CC299" s="770"/>
      <c r="CD299" s="770"/>
      <c r="CE299" s="770"/>
      <c r="CF299" s="304"/>
      <c r="CG299" s="321"/>
      <c r="CH299" s="770"/>
      <c r="CI299" s="770"/>
      <c r="CJ299" s="770"/>
      <c r="CK299" s="770"/>
      <c r="CL299" s="770"/>
      <c r="CM299" s="770"/>
      <c r="CN299" s="770"/>
      <c r="CO299" s="770"/>
      <c r="CP299" s="770"/>
      <c r="CQ299" s="770"/>
      <c r="CR299" s="770"/>
      <c r="CS299" s="302"/>
      <c r="CT299" s="770"/>
      <c r="CU299" s="305"/>
      <c r="CV299" s="770"/>
      <c r="CW299" s="770"/>
      <c r="CX299" s="770"/>
      <c r="CY299" s="770"/>
      <c r="CZ299" s="770"/>
      <c r="DA299" s="306"/>
      <c r="DB299" s="770"/>
      <c r="DC299" s="770"/>
      <c r="DD299" s="770"/>
      <c r="DE299" s="300"/>
      <c r="DF299" s="770"/>
      <c r="DG299" s="770"/>
      <c r="DH299" s="770"/>
      <c r="DI299" s="770"/>
      <c r="DJ299" s="770"/>
      <c r="DK299" s="770"/>
      <c r="DL299" s="770"/>
      <c r="DM299" s="770"/>
      <c r="DN299" s="322"/>
      <c r="DO299" s="770"/>
      <c r="DP299" s="770"/>
      <c r="DQ299" s="770"/>
      <c r="DR299" s="770"/>
      <c r="DS299" s="307"/>
      <c r="DT299" s="770"/>
      <c r="DU299" s="770"/>
      <c r="DV299" s="770"/>
      <c r="DW299" s="306"/>
      <c r="DX299" s="306"/>
      <c r="DY299" s="770"/>
      <c r="DZ299" s="770"/>
      <c r="EA299" s="770"/>
      <c r="EB299" s="770"/>
      <c r="EC299" s="770"/>
      <c r="ED299" s="770"/>
      <c r="EE299" s="770"/>
      <c r="EF299" s="770"/>
      <c r="EG299" s="770"/>
      <c r="EH299" s="770"/>
      <c r="EI299" s="770"/>
      <c r="EJ299" s="770"/>
      <c r="EK299" s="770"/>
      <c r="EL299" s="770"/>
      <c r="EM299" s="770"/>
      <c r="EN299" s="770"/>
      <c r="EO299" s="770"/>
      <c r="EP299" s="94"/>
      <c r="EQ299" s="770"/>
      <c r="ER299" s="770"/>
      <c r="ES299" s="770"/>
      <c r="ET299" s="770"/>
      <c r="EU299" s="770"/>
      <c r="EV299" s="770"/>
      <c r="EW299" s="770"/>
      <c r="EX299" s="770"/>
      <c r="EY299" s="770"/>
      <c r="EZ299" s="770"/>
      <c r="FA299" s="770"/>
      <c r="FB299" s="770"/>
      <c r="FC299" s="770"/>
      <c r="FD299" s="302"/>
      <c r="FE299" s="770"/>
      <c r="FF299" s="770"/>
      <c r="FG299" s="770"/>
      <c r="FH299" s="770" t="s">
        <v>478</v>
      </c>
      <c r="FI299" s="770">
        <v>1</v>
      </c>
      <c r="FJ299" s="770" t="s">
        <v>1640</v>
      </c>
      <c r="FK299" s="770" t="s">
        <v>512</v>
      </c>
      <c r="FL299" s="770" t="s">
        <v>1641</v>
      </c>
      <c r="FM299" s="775"/>
      <c r="FN299" s="302">
        <v>500</v>
      </c>
      <c r="FO299" s="302">
        <v>500</v>
      </c>
      <c r="FP299" s="770" t="s">
        <v>1600</v>
      </c>
      <c r="FQ299" s="770" t="s">
        <v>1642</v>
      </c>
      <c r="FR299" s="770"/>
      <c r="FS299" s="770"/>
      <c r="FT299" s="770"/>
      <c r="FU299" s="770"/>
      <c r="FV299" s="770"/>
      <c r="FW299" s="770"/>
      <c r="FX299" s="770"/>
      <c r="FY299" s="770"/>
      <c r="FZ299" s="770"/>
      <c r="GA299" s="770"/>
      <c r="GB299" s="770"/>
      <c r="GC299" s="308"/>
      <c r="GD299" s="297"/>
      <c r="GE299" s="770"/>
      <c r="GF299" s="302"/>
      <c r="GG299" s="302"/>
      <c r="GH299" s="770"/>
      <c r="GI299" s="770"/>
      <c r="GJ299" s="770"/>
      <c r="GK299" s="770"/>
      <c r="GL299" s="770"/>
      <c r="GM299" s="770"/>
      <c r="GN299" s="309"/>
      <c r="GO299" s="770"/>
      <c r="GP299" s="770"/>
      <c r="GQ299" s="770"/>
      <c r="GR299" s="770"/>
      <c r="GS299" s="770"/>
      <c r="GT299" s="770"/>
      <c r="GU299" s="770"/>
      <c r="GV299" s="770"/>
      <c r="GW299" s="770"/>
      <c r="GX299" s="770"/>
      <c r="GY299" s="770"/>
      <c r="GZ299" s="770"/>
      <c r="HA299" s="770"/>
      <c r="HB299" s="770"/>
      <c r="HC299" s="770"/>
      <c r="HD299" s="770"/>
      <c r="HE299" s="770"/>
      <c r="HF299" s="770"/>
      <c r="HG299" s="770"/>
      <c r="HH299" s="770"/>
      <c r="HI299" s="770"/>
      <c r="HJ299" s="770"/>
      <c r="HK299" s="770"/>
      <c r="HL299" s="770"/>
      <c r="HM299" s="770"/>
      <c r="HN299" s="770"/>
      <c r="HO299" s="770"/>
      <c r="HP299" s="770"/>
      <c r="HQ299" s="770"/>
      <c r="HR299" s="770"/>
      <c r="HS299" s="770"/>
      <c r="HT299" s="770"/>
      <c r="HU299" s="770"/>
      <c r="HV299" s="770"/>
      <c r="HW299" s="770"/>
      <c r="HX299" s="770"/>
      <c r="HY299" s="770"/>
      <c r="HZ299" s="770"/>
      <c r="IA299" s="770"/>
      <c r="IB299" s="14" t="e">
        <f>IF(#REF!&gt;0,IF(#REF!&lt;=10000,"Y",""),"")</f>
        <v>#REF!</v>
      </c>
      <c r="IC299" s="770" t="s">
        <v>1207</v>
      </c>
      <c r="ID299" s="770"/>
      <c r="IE299" s="770"/>
      <c r="IF299" s="770"/>
      <c r="IG299" s="770"/>
      <c r="IH299" s="770"/>
      <c r="II299" s="770"/>
      <c r="IJ299" s="770"/>
      <c r="IK299" s="770"/>
      <c r="IL299" s="770"/>
      <c r="IM299" s="770"/>
      <c r="IN299" s="770"/>
      <c r="IO299" s="296"/>
      <c r="IP299" s="770"/>
      <c r="IQ299" s="770"/>
      <c r="IR299" s="770"/>
      <c r="IS299" s="770"/>
      <c r="IT299" s="770"/>
      <c r="IU299" s="770"/>
      <c r="IV299" s="770"/>
      <c r="IW299" s="770"/>
      <c r="IX299" s="770"/>
      <c r="IY299" s="770"/>
      <c r="IZ299" s="770"/>
      <c r="JA299" s="770"/>
      <c r="JB299" s="770"/>
      <c r="JC299" s="770"/>
      <c r="JD299" s="302"/>
      <c r="JE299" s="770"/>
      <c r="JF299" s="770"/>
      <c r="JG299" s="770"/>
      <c r="JH299" s="770"/>
      <c r="JI299" s="770"/>
      <c r="JJ299" s="13"/>
      <c r="JK299" s="13"/>
      <c r="JL299" s="13"/>
      <c r="JM299" s="13"/>
      <c r="JN299" s="13"/>
      <c r="JO299" s="13"/>
      <c r="JP299" s="13"/>
      <c r="JQ299" s="13"/>
      <c r="JR299" s="13"/>
      <c r="JS299" s="13"/>
      <c r="JT299" s="766"/>
      <c r="JU299" s="766"/>
      <c r="JV299" s="766"/>
      <c r="JW299" s="766"/>
      <c r="JX299" s="770"/>
      <c r="JY299" s="770"/>
      <c r="JZ299" s="770"/>
      <c r="KA299" s="770"/>
      <c r="KB299" s="770"/>
      <c r="KC299" s="770"/>
      <c r="KD299" s="770"/>
      <c r="KE299" s="770"/>
      <c r="KF299" s="770"/>
      <c r="KG299" s="770"/>
      <c r="KH299" s="770"/>
      <c r="KI299" s="770"/>
      <c r="KJ299" s="770"/>
      <c r="KK299" s="770"/>
      <c r="KL299" s="770"/>
      <c r="KM299" s="770"/>
      <c r="KN299" s="770"/>
      <c r="KO299" s="770"/>
      <c r="KP299" s="770"/>
      <c r="KQ299" s="770"/>
      <c r="KR299" s="770"/>
      <c r="KS299" s="770"/>
      <c r="KT299" s="770"/>
      <c r="KU299" s="770"/>
      <c r="KV299" s="770"/>
      <c r="KW299" s="770"/>
      <c r="KX299" s="770"/>
      <c r="KY299" s="770"/>
      <c r="KZ299" s="770"/>
      <c r="LA299" s="770"/>
      <c r="LB299" s="770"/>
      <c r="LC299" s="770"/>
      <c r="LD299" s="770"/>
      <c r="LE299" s="770"/>
      <c r="LF299" s="770"/>
      <c r="LG299" s="770"/>
      <c r="LH299" s="770"/>
      <c r="LI299" s="770"/>
      <c r="LJ299" s="770"/>
      <c r="LK299" s="770"/>
      <c r="LL299" s="770"/>
      <c r="LM299" s="770"/>
      <c r="LN299" s="766"/>
      <c r="LO299" s="766"/>
      <c r="LP299" s="770"/>
      <c r="LQ299" s="770"/>
      <c r="LR299" s="770"/>
      <c r="LS299" s="770"/>
      <c r="LT299" s="770"/>
      <c r="LU299" s="770"/>
      <c r="LV299" s="770"/>
      <c r="LW299" s="770"/>
      <c r="LX299" s="769"/>
      <c r="LY299" s="766" t="str">
        <f t="shared" ref="LY299:LY362" si="93">IF(ISBLANK(LX299)=TRUE,"",LOOKUP(LX299,RT:RU))</f>
        <v/>
      </c>
      <c r="LZ299" s="299"/>
      <c r="MA299" s="306"/>
      <c r="MB299" s="306"/>
      <c r="MC299" s="1679">
        <f t="shared" si="91"/>
        <v>0</v>
      </c>
      <c r="MD299" s="306"/>
      <c r="ME299" s="306"/>
      <c r="MF299" s="306"/>
      <c r="MG299" s="1680">
        <f t="shared" ref="MG299:MG321" si="94">SUM(MD299:MF299)</f>
        <v>0</v>
      </c>
      <c r="MH299" s="770"/>
      <c r="MI299" s="302"/>
      <c r="MJ299" s="302"/>
      <c r="MK299" s="302"/>
      <c r="ML299" s="302"/>
      <c r="MM299" s="302"/>
      <c r="MN299" s="302"/>
      <c r="MO299" s="302"/>
      <c r="MP299" s="302"/>
      <c r="MQ299" s="302"/>
      <c r="MR299" s="302"/>
      <c r="MS299" s="302"/>
      <c r="MT299" s="302"/>
      <c r="MU299" s="302"/>
      <c r="MV299" s="302"/>
      <c r="MW299" s="302"/>
      <c r="MX299" s="302"/>
      <c r="MY299" s="1682">
        <f t="shared" si="74"/>
        <v>0</v>
      </c>
      <c r="MZ299" s="770"/>
      <c r="NA299" s="770"/>
      <c r="NB299" s="770"/>
      <c r="NC299" s="770"/>
      <c r="ND299" s="770"/>
      <c r="NE299" s="770"/>
      <c r="NF299" s="770"/>
      <c r="NG299" s="770"/>
      <c r="NH299" s="770"/>
      <c r="NI299" s="770"/>
      <c r="NJ299" s="770"/>
      <c r="NK299" s="770"/>
      <c r="NL299" s="770"/>
      <c r="NM299" s="770"/>
      <c r="NN299" s="770"/>
      <c r="NO299" s="770"/>
      <c r="NP299" s="770"/>
      <c r="NQ299" s="770"/>
      <c r="NR299" s="770"/>
      <c r="NS299" s="770"/>
      <c r="NT299" s="770"/>
      <c r="NU299" s="770"/>
      <c r="NV299" s="770"/>
      <c r="NW299" s="770"/>
      <c r="NX299" s="770"/>
      <c r="NY299" s="770"/>
      <c r="NZ299" s="770"/>
      <c r="OA299" s="770"/>
      <c r="OB299" s="770"/>
      <c r="OC299" s="770"/>
      <c r="OD299" s="770"/>
      <c r="OE299" s="770"/>
      <c r="OF299" s="770"/>
      <c r="OG299" s="770"/>
      <c r="OH299" s="770"/>
      <c r="OI299" s="770"/>
      <c r="OJ299" s="770"/>
      <c r="OK299" s="770"/>
      <c r="OL299" s="770"/>
      <c r="OM299" s="770"/>
      <c r="ON299" s="770"/>
      <c r="OO299" s="770"/>
      <c r="OP299" s="770"/>
      <c r="OQ299" s="770"/>
      <c r="OR299" s="770"/>
      <c r="OS299" s="770"/>
      <c r="OT299" s="770"/>
      <c r="OU299" s="770"/>
      <c r="OV299" s="770"/>
      <c r="OW299" s="770"/>
      <c r="OX299" s="770"/>
      <c r="OY299" s="770"/>
      <c r="OZ299" s="770"/>
      <c r="PA299" s="770"/>
      <c r="PB299" s="770"/>
      <c r="PC299" s="770"/>
      <c r="PD299" s="770"/>
      <c r="PE299" s="770"/>
      <c r="PF299" s="770"/>
      <c r="PG299" s="770"/>
      <c r="PH299" s="770"/>
      <c r="PI299" s="770"/>
      <c r="PJ299" s="770"/>
      <c r="PK299" s="770"/>
      <c r="PL299" s="770"/>
      <c r="PM299" s="770"/>
      <c r="PN299" s="770"/>
      <c r="PO299" s="770"/>
      <c r="PP299" s="770"/>
      <c r="PQ299" s="770"/>
      <c r="PR299" s="770"/>
      <c r="PS299" s="770"/>
      <c r="PT299" s="770"/>
      <c r="PU299" s="770"/>
      <c r="PV299" s="770"/>
      <c r="PW299" s="770"/>
      <c r="PX299" s="770"/>
      <c r="PY299" s="770"/>
      <c r="PZ299" s="770"/>
      <c r="QA299" s="770"/>
      <c r="QB299" s="770"/>
      <c r="QC299" s="770"/>
      <c r="QD299" s="770"/>
      <c r="QE299" s="770"/>
      <c r="QF299" s="770"/>
      <c r="QG299" s="770"/>
      <c r="QH299" s="770"/>
      <c r="QI299" s="770"/>
      <c r="QJ299" s="770"/>
      <c r="QK299" s="770"/>
      <c r="QL299" s="770"/>
      <c r="QM299" s="770"/>
      <c r="QN299" s="770"/>
      <c r="QO299" s="770"/>
      <c r="QP299" s="770"/>
      <c r="QQ299" s="770"/>
      <c r="QR299" s="770"/>
      <c r="QS299" s="770"/>
      <c r="QT299" s="770"/>
      <c r="QU299" s="770"/>
      <c r="QV299" s="770"/>
      <c r="QW299" s="770"/>
      <c r="QX299" s="770"/>
      <c r="QY299" s="770"/>
      <c r="QZ299" s="770"/>
      <c r="RA299" s="770"/>
      <c r="RB299" s="770"/>
      <c r="RC299" s="770"/>
      <c r="RD299" s="770"/>
      <c r="RE299" s="770"/>
      <c r="RF299" s="304"/>
      <c r="RG299" s="770"/>
      <c r="RH299" s="302"/>
      <c r="RI299" s="770"/>
      <c r="RJ299" s="770" t="s">
        <v>13433</v>
      </c>
      <c r="RK299" s="770" t="s">
        <v>13381</v>
      </c>
      <c r="RL299" s="1710"/>
      <c r="RM299" s="12"/>
      <c r="RN299" s="1711"/>
      <c r="RO299" s="140" t="s">
        <v>510</v>
      </c>
      <c r="RP299" s="11"/>
      <c r="RQ299" s="11"/>
      <c r="RR299" s="771"/>
      <c r="RS299" s="771"/>
      <c r="RT299" s="11"/>
      <c r="RU299" s="11"/>
      <c r="RV299" s="771" t="s">
        <v>7421</v>
      </c>
      <c r="RW299" s="11" t="s">
        <v>7624</v>
      </c>
      <c r="RX299" s="11" t="s">
        <v>507</v>
      </c>
      <c r="RY299" s="11"/>
      <c r="RZ299" s="11" t="s">
        <v>1101</v>
      </c>
      <c r="SA299" s="771"/>
      <c r="SB299" s="11"/>
      <c r="SC299" s="11"/>
    </row>
    <row r="300" spans="1:497" ht="12.75" hidden="1" customHeight="1">
      <c r="A300" s="154" t="s">
        <v>7419</v>
      </c>
      <c r="B300" s="292" t="s">
        <v>7625</v>
      </c>
      <c r="C300" s="140" t="s">
        <v>514</v>
      </c>
      <c r="D300" s="770" t="s">
        <v>515</v>
      </c>
      <c r="E300" s="770" t="s">
        <v>511</v>
      </c>
      <c r="F300" s="770" t="s">
        <v>28</v>
      </c>
      <c r="G300" s="770" t="s">
        <v>10</v>
      </c>
      <c r="H300" s="770"/>
      <c r="I300" s="295"/>
      <c r="J300" s="94" t="s">
        <v>513</v>
      </c>
      <c r="K300" s="766" t="s">
        <v>11898</v>
      </c>
      <c r="L300" s="766" t="s">
        <v>11899</v>
      </c>
      <c r="M300" s="770"/>
      <c r="N300" s="770"/>
      <c r="O300" s="770"/>
      <c r="P300" s="770"/>
      <c r="Q300" s="1088"/>
      <c r="R300" s="297"/>
      <c r="S300" s="770"/>
      <c r="T300" s="298"/>
      <c r="U300" s="298"/>
      <c r="V300" s="770"/>
      <c r="W300" s="770"/>
      <c r="X300" s="296"/>
      <c r="Y300" s="770"/>
      <c r="Z300" s="770"/>
      <c r="AA300" s="770"/>
      <c r="AB300" s="770"/>
      <c r="AC300" s="770"/>
      <c r="AD300" s="770"/>
      <c r="AE300" s="770"/>
      <c r="AF300" s="770"/>
      <c r="AG300" s="766"/>
      <c r="AH300" s="770"/>
      <c r="AI300" s="770"/>
      <c r="AJ300" s="770"/>
      <c r="AK300" s="770"/>
      <c r="AL300" s="299">
        <v>54</v>
      </c>
      <c r="AM300" s="300">
        <v>21.6</v>
      </c>
      <c r="AN300" s="301">
        <v>0.4</v>
      </c>
      <c r="AO300" s="766" t="s">
        <v>1149</v>
      </c>
      <c r="AP300" s="766"/>
      <c r="AQ300" s="766"/>
      <c r="AR300" s="766"/>
      <c r="AS300" s="770"/>
      <c r="AT300" s="770"/>
      <c r="AU300" s="770"/>
      <c r="AV300" s="770"/>
      <c r="AW300" s="770"/>
      <c r="AX300" s="770"/>
      <c r="AY300" s="770"/>
      <c r="AZ300" s="770"/>
      <c r="BA300" s="770"/>
      <c r="BB300" s="770" t="s">
        <v>5655</v>
      </c>
      <c r="BC300" s="770"/>
      <c r="BD300" s="770"/>
      <c r="BE300" s="770"/>
      <c r="BF300" s="302"/>
      <c r="BG300" s="302"/>
      <c r="BH300" s="770"/>
      <c r="BI300" s="770"/>
      <c r="BJ300" s="770"/>
      <c r="BK300" s="770" t="s">
        <v>1095</v>
      </c>
      <c r="BL300" s="766" t="s">
        <v>1371</v>
      </c>
      <c r="BM300" s="766" t="s">
        <v>1096</v>
      </c>
      <c r="BN300" s="766" t="s">
        <v>1230</v>
      </c>
      <c r="BO300" s="766" t="s">
        <v>1246</v>
      </c>
      <c r="BP300" s="559">
        <v>54</v>
      </c>
      <c r="BQ300" s="334">
        <v>21.6</v>
      </c>
      <c r="BR300" s="774">
        <f>BQ300/BP300</f>
        <v>0.4</v>
      </c>
      <c r="BS300" s="6" t="s">
        <v>1149</v>
      </c>
      <c r="BT300" s="766" t="s">
        <v>2040</v>
      </c>
      <c r="BU300" s="770" t="s">
        <v>1249</v>
      </c>
      <c r="BV300" s="770" t="s">
        <v>1247</v>
      </c>
      <c r="BW300" s="770">
        <v>2014</v>
      </c>
      <c r="BX300" s="302"/>
      <c r="BY300" s="303"/>
      <c r="BZ300" s="770"/>
      <c r="CA300" s="302"/>
      <c r="CB300" s="302"/>
      <c r="CC300" s="770"/>
      <c r="CD300" s="770"/>
      <c r="CE300" s="770"/>
      <c r="CF300" s="304"/>
      <c r="CG300" s="321"/>
      <c r="CH300" s="770"/>
      <c r="CI300" s="770"/>
      <c r="CJ300" s="770"/>
      <c r="CK300" s="770"/>
      <c r="CL300" s="770"/>
      <c r="CM300" s="770"/>
      <c r="CN300" s="770"/>
      <c r="CO300" s="770"/>
      <c r="CP300" s="770"/>
      <c r="CQ300" s="770"/>
      <c r="CR300" s="770"/>
      <c r="CS300" s="302"/>
      <c r="CT300" s="770"/>
      <c r="CU300" s="305"/>
      <c r="CV300" s="770"/>
      <c r="CW300" s="770"/>
      <c r="CX300" s="770"/>
      <c r="CY300" s="770"/>
      <c r="CZ300" s="770"/>
      <c r="DA300" s="306"/>
      <c r="DB300" s="770"/>
      <c r="DC300" s="770"/>
      <c r="DD300" s="770"/>
      <c r="DE300" s="300"/>
      <c r="DF300" s="770"/>
      <c r="DG300" s="770"/>
      <c r="DH300" s="770"/>
      <c r="DI300" s="770"/>
      <c r="DJ300" s="770"/>
      <c r="DK300" s="770"/>
      <c r="DL300" s="770"/>
      <c r="DM300" s="770"/>
      <c r="DN300" s="322"/>
      <c r="DO300" s="770"/>
      <c r="DP300" s="770"/>
      <c r="DQ300" s="770"/>
      <c r="DR300" s="770"/>
      <c r="DS300" s="307"/>
      <c r="DT300" s="770"/>
      <c r="DU300" s="770"/>
      <c r="DV300" s="770"/>
      <c r="DW300" s="306"/>
      <c r="DX300" s="306"/>
      <c r="DY300" s="770"/>
      <c r="DZ300" s="770"/>
      <c r="EA300" s="770"/>
      <c r="EB300" s="770"/>
      <c r="EC300" s="770"/>
      <c r="ED300" s="770"/>
      <c r="EE300" s="770"/>
      <c r="EF300" s="770"/>
      <c r="EG300" s="770"/>
      <c r="EH300" s="770"/>
      <c r="EI300" s="770"/>
      <c r="EJ300" s="770"/>
      <c r="EK300" s="770"/>
      <c r="EL300" s="770"/>
      <c r="EM300" s="770"/>
      <c r="EN300" s="770"/>
      <c r="EO300" s="770"/>
      <c r="EP300" s="94"/>
      <c r="EQ300" s="770"/>
      <c r="ER300" s="770"/>
      <c r="ES300" s="770"/>
      <c r="ET300" s="770"/>
      <c r="EU300" s="770"/>
      <c r="EV300" s="770"/>
      <c r="EW300" s="770"/>
      <c r="EX300" s="770"/>
      <c r="EY300" s="770"/>
      <c r="EZ300" s="770"/>
      <c r="FA300" s="770"/>
      <c r="FB300" s="770"/>
      <c r="FC300" s="770"/>
      <c r="FD300" s="302"/>
      <c r="FE300" s="770"/>
      <c r="FF300" s="770"/>
      <c r="FG300" s="770"/>
      <c r="FH300" s="770"/>
      <c r="FI300" s="770"/>
      <c r="FJ300" s="770"/>
      <c r="FK300" s="770"/>
      <c r="FL300" s="770"/>
      <c r="FM300" s="775"/>
      <c r="FN300" s="302"/>
      <c r="FO300" s="302"/>
      <c r="FP300" s="770"/>
      <c r="FQ300" s="770"/>
      <c r="FR300" s="770"/>
      <c r="FS300" s="770"/>
      <c r="FT300" s="770"/>
      <c r="FU300" s="770"/>
      <c r="FV300" s="770"/>
      <c r="FW300" s="770"/>
      <c r="FX300" s="770"/>
      <c r="FY300" s="770"/>
      <c r="FZ300" s="770"/>
      <c r="GA300" s="770"/>
      <c r="GB300" s="770"/>
      <c r="GC300" s="308"/>
      <c r="GD300" s="297"/>
      <c r="GE300" s="770"/>
      <c r="GF300" s="302"/>
      <c r="GG300" s="302"/>
      <c r="GH300" s="770"/>
      <c r="GI300" s="770"/>
      <c r="GJ300" s="770"/>
      <c r="GK300" s="770"/>
      <c r="GL300" s="770"/>
      <c r="GM300" s="770"/>
      <c r="GN300" s="309"/>
      <c r="GO300" s="770"/>
      <c r="GP300" s="770"/>
      <c r="GQ300" s="770"/>
      <c r="GR300" s="770"/>
      <c r="GS300" s="770"/>
      <c r="GT300" s="770"/>
      <c r="GU300" s="770"/>
      <c r="GV300" s="770"/>
      <c r="GW300" s="770"/>
      <c r="GX300" s="770"/>
      <c r="GY300" s="770"/>
      <c r="GZ300" s="770"/>
      <c r="HA300" s="770"/>
      <c r="HB300" s="770"/>
      <c r="HC300" s="770"/>
      <c r="HD300" s="770"/>
      <c r="HE300" s="770"/>
      <c r="HF300" s="770"/>
      <c r="HG300" s="770"/>
      <c r="HH300" s="770"/>
      <c r="HI300" s="770"/>
      <c r="HJ300" s="770"/>
      <c r="HK300" s="770"/>
      <c r="HL300" s="770"/>
      <c r="HM300" s="770"/>
      <c r="HN300" s="770"/>
      <c r="HO300" s="770"/>
      <c r="HP300" s="770"/>
      <c r="HQ300" s="770"/>
      <c r="HR300" s="770"/>
      <c r="HS300" s="770"/>
      <c r="HT300" s="770"/>
      <c r="HU300" s="770"/>
      <c r="HV300" s="770"/>
      <c r="HW300" s="770"/>
      <c r="HX300" s="770"/>
      <c r="HY300" s="770"/>
      <c r="HZ300" s="770"/>
      <c r="IA300" s="770"/>
      <c r="IB300" s="14"/>
      <c r="IC300" s="770"/>
      <c r="ID300" s="770"/>
      <c r="IE300" s="770"/>
      <c r="IF300" s="770"/>
      <c r="IG300" s="770"/>
      <c r="IH300" s="770"/>
      <c r="II300" s="770"/>
      <c r="IJ300" s="770"/>
      <c r="IK300" s="770"/>
      <c r="IL300" s="770"/>
      <c r="IM300" s="770"/>
      <c r="IN300" s="770"/>
      <c r="IO300" s="296"/>
      <c r="IP300" s="770"/>
      <c r="IQ300" s="770"/>
      <c r="IR300" s="770"/>
      <c r="IS300" s="770"/>
      <c r="IT300" s="770"/>
      <c r="IU300" s="770"/>
      <c r="IV300" s="770"/>
      <c r="IW300" s="770"/>
      <c r="IX300" s="770"/>
      <c r="IY300" s="770"/>
      <c r="IZ300" s="770"/>
      <c r="JA300" s="770"/>
      <c r="JB300" s="770"/>
      <c r="JC300" s="770"/>
      <c r="JD300" s="302"/>
      <c r="JE300" s="770"/>
      <c r="JF300" s="770"/>
      <c r="JG300" s="770"/>
      <c r="JH300" s="770"/>
      <c r="JI300" s="770"/>
      <c r="JJ300" s="13"/>
      <c r="JK300" s="13"/>
      <c r="JL300" s="13"/>
      <c r="JM300" s="13"/>
      <c r="JN300" s="13"/>
      <c r="JO300" s="13"/>
      <c r="JP300" s="13"/>
      <c r="JQ300" s="13"/>
      <c r="JR300" s="13"/>
      <c r="JS300" s="13"/>
      <c r="JT300" s="766"/>
      <c r="JU300" s="766"/>
      <c r="JV300" s="766"/>
      <c r="JW300" s="766"/>
      <c r="JX300" s="770"/>
      <c r="JY300" s="770"/>
      <c r="JZ300" s="770"/>
      <c r="KA300" s="770"/>
      <c r="KB300" s="770"/>
      <c r="KC300" s="770"/>
      <c r="KD300" s="770"/>
      <c r="KE300" s="770"/>
      <c r="KF300" s="770"/>
      <c r="KG300" s="770"/>
      <c r="KH300" s="770"/>
      <c r="KI300" s="770"/>
      <c r="KJ300" s="770"/>
      <c r="KK300" s="770"/>
      <c r="KL300" s="770"/>
      <c r="KM300" s="770"/>
      <c r="KN300" s="770"/>
      <c r="KO300" s="770"/>
      <c r="KP300" s="770"/>
      <c r="KQ300" s="770"/>
      <c r="KR300" s="770"/>
      <c r="KS300" s="770"/>
      <c r="KT300" s="770"/>
      <c r="KU300" s="770"/>
      <c r="KV300" s="770"/>
      <c r="KW300" s="770"/>
      <c r="KX300" s="770"/>
      <c r="KY300" s="770"/>
      <c r="KZ300" s="770"/>
      <c r="LA300" s="770"/>
      <c r="LB300" s="770"/>
      <c r="LC300" s="770"/>
      <c r="LD300" s="770"/>
      <c r="LE300" s="770"/>
      <c r="LF300" s="770"/>
      <c r="LG300" s="770"/>
      <c r="LH300" s="770"/>
      <c r="LI300" s="770"/>
      <c r="LJ300" s="770"/>
      <c r="LK300" s="770"/>
      <c r="LL300" s="770"/>
      <c r="LM300" s="770"/>
      <c r="LN300" s="766"/>
      <c r="LO300" s="766"/>
      <c r="LP300" s="770"/>
      <c r="LQ300" s="770"/>
      <c r="LR300" s="770"/>
      <c r="LS300" s="770"/>
      <c r="LT300" s="770"/>
      <c r="LU300" s="770"/>
      <c r="LV300" s="770"/>
      <c r="LW300" s="770"/>
      <c r="LX300" s="769"/>
      <c r="LY300" s="766" t="str">
        <f t="shared" si="93"/>
        <v/>
      </c>
      <c r="LZ300" s="299"/>
      <c r="MA300" s="306"/>
      <c r="MB300" s="306"/>
      <c r="MC300" s="1679">
        <f t="shared" si="91"/>
        <v>0</v>
      </c>
      <c r="MD300" s="306"/>
      <c r="ME300" s="306"/>
      <c r="MF300" s="306"/>
      <c r="MG300" s="1680">
        <f t="shared" si="94"/>
        <v>0</v>
      </c>
      <c r="MH300" s="770"/>
      <c r="MI300" s="302"/>
      <c r="MJ300" s="302"/>
      <c r="MK300" s="302"/>
      <c r="ML300" s="302"/>
      <c r="MM300" s="302"/>
      <c r="MN300" s="302"/>
      <c r="MO300" s="302"/>
      <c r="MP300" s="302"/>
      <c r="MQ300" s="302"/>
      <c r="MR300" s="302"/>
      <c r="MS300" s="302"/>
      <c r="MT300" s="302"/>
      <c r="MU300" s="302"/>
      <c r="MV300" s="302"/>
      <c r="MW300" s="302"/>
      <c r="MX300" s="302"/>
      <c r="MY300" s="1682">
        <f t="shared" si="74"/>
        <v>0</v>
      </c>
      <c r="MZ300" s="770"/>
      <c r="NA300" s="770"/>
      <c r="NB300" s="770"/>
      <c r="NC300" s="770"/>
      <c r="ND300" s="770"/>
      <c r="NE300" s="770"/>
      <c r="NF300" s="770"/>
      <c r="NG300" s="770"/>
      <c r="NH300" s="770"/>
      <c r="NI300" s="770"/>
      <c r="NJ300" s="770"/>
      <c r="NK300" s="770"/>
      <c r="NL300" s="770"/>
      <c r="NM300" s="770"/>
      <c r="NN300" s="770"/>
      <c r="NO300" s="770"/>
      <c r="NP300" s="770"/>
      <c r="NQ300" s="770"/>
      <c r="NR300" s="770"/>
      <c r="NS300" s="770"/>
      <c r="NT300" s="770"/>
      <c r="NU300" s="770"/>
      <c r="NV300" s="770"/>
      <c r="NW300" s="770"/>
      <c r="NX300" s="770"/>
      <c r="NY300" s="770"/>
      <c r="NZ300" s="770"/>
      <c r="OA300" s="770"/>
      <c r="OB300" s="770"/>
      <c r="OC300" s="770"/>
      <c r="OD300" s="770"/>
      <c r="OE300" s="770"/>
      <c r="OF300" s="770"/>
      <c r="OG300" s="770"/>
      <c r="OH300" s="770"/>
      <c r="OI300" s="770"/>
      <c r="OJ300" s="770"/>
      <c r="OK300" s="770"/>
      <c r="OL300" s="770"/>
      <c r="OM300" s="770"/>
      <c r="ON300" s="770"/>
      <c r="OO300" s="770"/>
      <c r="OP300" s="770"/>
      <c r="OQ300" s="770"/>
      <c r="OR300" s="770"/>
      <c r="OS300" s="770"/>
      <c r="OT300" s="770"/>
      <c r="OU300" s="770"/>
      <c r="OV300" s="770"/>
      <c r="OW300" s="770"/>
      <c r="OX300" s="770"/>
      <c r="OY300" s="770"/>
      <c r="OZ300" s="770"/>
      <c r="PA300" s="770"/>
      <c r="PB300" s="770"/>
      <c r="PC300" s="770"/>
      <c r="PD300" s="770"/>
      <c r="PE300" s="770"/>
      <c r="PF300" s="770"/>
      <c r="PG300" s="770"/>
      <c r="PH300" s="770"/>
      <c r="PI300" s="770"/>
      <c r="PJ300" s="770"/>
      <c r="PK300" s="770"/>
      <c r="PL300" s="770"/>
      <c r="PM300" s="770"/>
      <c r="PN300" s="770"/>
      <c r="PO300" s="770"/>
      <c r="PP300" s="770"/>
      <c r="PQ300" s="770"/>
      <c r="PR300" s="770"/>
      <c r="PS300" s="770"/>
      <c r="PT300" s="770"/>
      <c r="PU300" s="770"/>
      <c r="PV300" s="770"/>
      <c r="PW300" s="770"/>
      <c r="PX300" s="770"/>
      <c r="PY300" s="770"/>
      <c r="PZ300" s="770"/>
      <c r="QA300" s="770"/>
      <c r="QB300" s="770"/>
      <c r="QC300" s="770"/>
      <c r="QD300" s="770"/>
      <c r="QE300" s="770"/>
      <c r="QF300" s="770"/>
      <c r="QG300" s="770"/>
      <c r="QH300" s="770"/>
      <c r="QI300" s="770"/>
      <c r="QJ300" s="770"/>
      <c r="QK300" s="770"/>
      <c r="QL300" s="770"/>
      <c r="QM300" s="770"/>
      <c r="QN300" s="770"/>
      <c r="QO300" s="770"/>
      <c r="QP300" s="770"/>
      <c r="QQ300" s="770"/>
      <c r="QR300" s="770"/>
      <c r="QS300" s="770"/>
      <c r="QT300" s="770"/>
      <c r="QU300" s="770"/>
      <c r="QV300" s="770"/>
      <c r="QW300" s="770"/>
      <c r="QX300" s="770"/>
      <c r="QY300" s="770"/>
      <c r="QZ300" s="770"/>
      <c r="RA300" s="770"/>
      <c r="RB300" s="770"/>
      <c r="RC300" s="770"/>
      <c r="RD300" s="770"/>
      <c r="RE300" s="770"/>
      <c r="RF300" s="304"/>
      <c r="RG300" s="770"/>
      <c r="RH300" s="302"/>
      <c r="RI300" s="770"/>
      <c r="RJ300" s="770"/>
      <c r="RK300" s="770"/>
      <c r="RL300" s="1710"/>
      <c r="RM300" s="12"/>
      <c r="RN300" s="1711"/>
      <c r="RO300" s="140" t="s">
        <v>514</v>
      </c>
      <c r="RP300" s="11"/>
      <c r="RQ300" s="11"/>
      <c r="RR300" s="771"/>
      <c r="RS300" s="771"/>
      <c r="RT300" s="11"/>
      <c r="RU300" s="11"/>
      <c r="RV300" s="771" t="s">
        <v>12355</v>
      </c>
      <c r="RW300" s="11"/>
      <c r="RX300" s="11" t="s">
        <v>507</v>
      </c>
      <c r="RY300" s="11"/>
      <c r="RZ300" s="11" t="s">
        <v>1101</v>
      </c>
      <c r="SA300" s="771"/>
      <c r="SB300" s="11"/>
      <c r="SC300" s="11"/>
    </row>
    <row r="301" spans="1:497" ht="12.75" hidden="1" customHeight="1">
      <c r="A301" s="154" t="s">
        <v>7419</v>
      </c>
      <c r="B301" s="11"/>
      <c r="C301" s="140" t="s">
        <v>514</v>
      </c>
      <c r="D301" s="12"/>
      <c r="E301" s="770" t="s">
        <v>511</v>
      </c>
      <c r="F301" s="12"/>
      <c r="G301" s="12"/>
      <c r="H301" s="12"/>
      <c r="I301" s="12"/>
      <c r="J301" s="12"/>
      <c r="K301" s="770"/>
      <c r="L301" s="770"/>
      <c r="M301" s="770"/>
      <c r="N301" s="770"/>
      <c r="O301" s="770"/>
      <c r="P301" s="770"/>
      <c r="Q301" s="1088"/>
      <c r="R301" s="297"/>
      <c r="S301" s="770"/>
      <c r="T301" s="298"/>
      <c r="U301" s="298"/>
      <c r="V301" s="770"/>
      <c r="W301" s="770"/>
      <c r="X301" s="296"/>
      <c r="Y301" s="770"/>
      <c r="Z301" s="770"/>
      <c r="AA301" s="770"/>
      <c r="AB301" s="770"/>
      <c r="AC301" s="770"/>
      <c r="AD301" s="770"/>
      <c r="AE301" s="770"/>
      <c r="AF301" s="770"/>
      <c r="AG301" s="770"/>
      <c r="AH301" s="770"/>
      <c r="AI301" s="770"/>
      <c r="AJ301" s="770"/>
      <c r="AK301" s="770" t="s">
        <v>5454</v>
      </c>
      <c r="AL301" s="299"/>
      <c r="AM301" s="300"/>
      <c r="AN301" s="301"/>
      <c r="AO301" s="766"/>
      <c r="AP301" s="766"/>
      <c r="AQ301" s="766"/>
      <c r="AR301" s="766"/>
      <c r="AS301" s="770"/>
      <c r="AT301" s="770"/>
      <c r="AU301" s="770"/>
      <c r="AV301" s="770"/>
      <c r="AW301" s="770"/>
      <c r="AX301" s="770"/>
      <c r="AY301" s="770"/>
      <c r="AZ301" s="770"/>
      <c r="BA301" s="770"/>
      <c r="BB301" s="12"/>
      <c r="BC301" s="770" t="s">
        <v>796</v>
      </c>
      <c r="BD301" s="770"/>
      <c r="BE301" s="770"/>
      <c r="BF301" s="302"/>
      <c r="BG301" s="302"/>
      <c r="BH301" s="770"/>
      <c r="BI301" s="770"/>
      <c r="BJ301" s="770"/>
      <c r="BK301" s="12"/>
      <c r="BL301" s="12"/>
      <c r="BM301" s="766" t="s">
        <v>1238</v>
      </c>
      <c r="BN301" s="766" t="s">
        <v>1299</v>
      </c>
      <c r="BO301" s="12"/>
      <c r="BP301" s="12"/>
      <c r="BQ301" s="12"/>
      <c r="BR301" s="12"/>
      <c r="BS301" s="6" t="s">
        <v>1149</v>
      </c>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770" t="s">
        <v>478</v>
      </c>
      <c r="FI301" s="770">
        <v>1</v>
      </c>
      <c r="FJ301" s="770"/>
      <c r="FK301" s="770" t="s">
        <v>512</v>
      </c>
      <c r="FL301" s="770" t="s">
        <v>1641</v>
      </c>
      <c r="FM301" s="302"/>
      <c r="FN301" s="302"/>
      <c r="FO301" s="302"/>
      <c r="FP301" s="770" t="s">
        <v>1600</v>
      </c>
      <c r="FQ301" s="770" t="s">
        <v>1642</v>
      </c>
      <c r="FR301" s="770" t="s">
        <v>1207</v>
      </c>
      <c r="FS301" s="770"/>
      <c r="FT301" s="770"/>
      <c r="FU301" s="770"/>
      <c r="FV301" s="770"/>
      <c r="FW301" s="770"/>
      <c r="FX301" s="770"/>
      <c r="FY301" s="770"/>
      <c r="FZ301" s="770"/>
      <c r="GA301" s="770" t="s">
        <v>1739</v>
      </c>
      <c r="GB301" s="770" t="s">
        <v>796</v>
      </c>
      <c r="GC301" s="308" t="s">
        <v>1740</v>
      </c>
      <c r="GD301" s="297"/>
      <c r="GE301" s="770" t="s">
        <v>1214</v>
      </c>
      <c r="GF301" s="302"/>
      <c r="GG301" s="302"/>
      <c r="GH301" s="770"/>
      <c r="GI301" s="770"/>
      <c r="GJ301" s="770"/>
      <c r="GK301" s="770"/>
      <c r="GL301" s="770"/>
      <c r="GM301" s="770"/>
      <c r="GN301" s="309"/>
      <c r="GO301" s="770"/>
      <c r="GP301" s="770"/>
      <c r="GQ301" s="770"/>
      <c r="GR301" s="770"/>
      <c r="GS301" s="770"/>
      <c r="GT301" s="770"/>
      <c r="GU301" s="770"/>
      <c r="GV301" s="770"/>
      <c r="GW301" s="770"/>
      <c r="GX301" s="770"/>
      <c r="GY301" s="770"/>
      <c r="GZ301" s="770"/>
      <c r="HA301" s="770"/>
      <c r="HB301" s="770"/>
      <c r="HC301" s="770"/>
      <c r="HD301" s="770"/>
      <c r="HE301" s="770"/>
      <c r="HF301" s="770"/>
      <c r="HG301" s="770"/>
      <c r="HH301" s="770"/>
      <c r="HI301" s="770"/>
      <c r="HJ301" s="770"/>
      <c r="HK301" s="770"/>
      <c r="HL301" s="770"/>
      <c r="HM301" s="770"/>
      <c r="HN301" s="770"/>
      <c r="HO301" s="770"/>
      <c r="HP301" s="770"/>
      <c r="HQ301" s="770"/>
      <c r="HR301" s="770"/>
      <c r="HS301" s="770"/>
      <c r="HT301" s="770"/>
      <c r="HU301" s="770"/>
      <c r="HV301" s="770"/>
      <c r="HW301" s="770"/>
      <c r="HX301" s="770"/>
      <c r="HY301" s="770"/>
      <c r="HZ301" s="770"/>
      <c r="IA301" s="770"/>
      <c r="IB301" s="14" t="e">
        <f>IF(#REF!&gt;0,IF(#REF!&lt;=10000,"Y",""),"")</f>
        <v>#REF!</v>
      </c>
      <c r="IC301" s="770"/>
      <c r="ID301" s="770"/>
      <c r="IE301" s="770"/>
      <c r="IF301" s="770"/>
      <c r="IG301" s="770"/>
      <c r="IH301" s="770"/>
      <c r="II301" s="770"/>
      <c r="IJ301" s="770"/>
      <c r="IK301" s="770"/>
      <c r="IL301" s="770"/>
      <c r="IM301" s="770"/>
      <c r="IN301" s="770"/>
      <c r="IO301" s="296"/>
      <c r="IP301" s="770"/>
      <c r="IQ301" s="770"/>
      <c r="IR301" s="770"/>
      <c r="IS301" s="770"/>
      <c r="IT301" s="770"/>
      <c r="IU301" s="770"/>
      <c r="IV301" s="770"/>
      <c r="IW301" s="770"/>
      <c r="IX301" s="770"/>
      <c r="IY301" s="770"/>
      <c r="IZ301" s="770"/>
      <c r="JA301" s="770"/>
      <c r="JB301" s="770"/>
      <c r="JC301" s="770"/>
      <c r="JD301" s="302"/>
      <c r="JE301" s="770"/>
      <c r="JF301" s="770"/>
      <c r="JG301" s="770"/>
      <c r="JH301" s="770"/>
      <c r="JI301" s="770"/>
      <c r="JJ301" s="13"/>
      <c r="JK301" s="13"/>
      <c r="JL301" s="13"/>
      <c r="JM301" s="13"/>
      <c r="JN301" s="13"/>
      <c r="JO301" s="13"/>
      <c r="JP301" s="13"/>
      <c r="JQ301" s="13"/>
      <c r="JR301" s="13"/>
      <c r="JS301" s="13"/>
      <c r="JT301" s="766"/>
      <c r="JU301" s="766"/>
      <c r="JV301" s="766"/>
      <c r="JW301" s="766"/>
      <c r="JX301" s="770"/>
      <c r="JY301" s="770"/>
      <c r="JZ301" s="770"/>
      <c r="KA301" s="770"/>
      <c r="KB301" s="770"/>
      <c r="KC301" s="770"/>
      <c r="KD301" s="770"/>
      <c r="KE301" s="770"/>
      <c r="KF301" s="770"/>
      <c r="KG301" s="770"/>
      <c r="KH301" s="770"/>
      <c r="KI301" s="770"/>
      <c r="KJ301" s="770"/>
      <c r="KK301" s="770"/>
      <c r="KL301" s="770"/>
      <c r="KM301" s="770"/>
      <c r="KN301" s="770"/>
      <c r="KO301" s="770"/>
      <c r="KP301" s="770"/>
      <c r="KQ301" s="770"/>
      <c r="KR301" s="770"/>
      <c r="KS301" s="770"/>
      <c r="KT301" s="770"/>
      <c r="KU301" s="770"/>
      <c r="KV301" s="770"/>
      <c r="KW301" s="770"/>
      <c r="KX301" s="770"/>
      <c r="KY301" s="770"/>
      <c r="KZ301" s="770"/>
      <c r="LA301" s="770"/>
      <c r="LB301" s="770"/>
      <c r="LC301" s="770"/>
      <c r="LD301" s="770"/>
      <c r="LE301" s="770"/>
      <c r="LF301" s="770"/>
      <c r="LG301" s="770"/>
      <c r="LH301" s="770"/>
      <c r="LI301" s="770"/>
      <c r="LJ301" s="770"/>
      <c r="LK301" s="770"/>
      <c r="LL301" s="770"/>
      <c r="LM301" s="770"/>
      <c r="LN301" s="766"/>
      <c r="LO301" s="766"/>
      <c r="LP301" s="770"/>
      <c r="LQ301" s="770"/>
      <c r="LR301" s="770"/>
      <c r="LS301" s="770"/>
      <c r="LT301" s="770"/>
      <c r="LU301" s="770"/>
      <c r="LV301" s="770"/>
      <c r="LW301" s="770"/>
      <c r="LX301" s="769"/>
      <c r="LY301" s="766" t="str">
        <f t="shared" si="93"/>
        <v/>
      </c>
      <c r="LZ301" s="299"/>
      <c r="MA301" s="306"/>
      <c r="MB301" s="306"/>
      <c r="MC301" s="1679">
        <f t="shared" si="91"/>
        <v>0</v>
      </c>
      <c r="MD301" s="306"/>
      <c r="ME301" s="306"/>
      <c r="MF301" s="306"/>
      <c r="MG301" s="1680">
        <f t="shared" si="94"/>
        <v>0</v>
      </c>
      <c r="MH301" s="770"/>
      <c r="MI301" s="302"/>
      <c r="MJ301" s="302"/>
      <c r="MK301" s="302"/>
      <c r="ML301" s="302"/>
      <c r="MM301" s="302"/>
      <c r="MN301" s="302"/>
      <c r="MO301" s="302"/>
      <c r="MP301" s="302"/>
      <c r="MQ301" s="302"/>
      <c r="MR301" s="302"/>
      <c r="MS301" s="302"/>
      <c r="MT301" s="302"/>
      <c r="MU301" s="302"/>
      <c r="MV301" s="302"/>
      <c r="MW301" s="302"/>
      <c r="MX301" s="302"/>
      <c r="MY301" s="1682">
        <f t="shared" si="74"/>
        <v>0</v>
      </c>
      <c r="MZ301" s="770"/>
      <c r="NA301" s="770"/>
      <c r="NB301" s="770"/>
      <c r="NC301" s="770"/>
      <c r="ND301" s="770"/>
      <c r="NE301" s="770"/>
      <c r="NF301" s="770"/>
      <c r="NG301" s="770"/>
      <c r="NH301" s="770"/>
      <c r="NI301" s="770"/>
      <c r="NJ301" s="770"/>
      <c r="NK301" s="770"/>
      <c r="NL301" s="770"/>
      <c r="NM301" s="770"/>
      <c r="NN301" s="770"/>
      <c r="NO301" s="770"/>
      <c r="NP301" s="770"/>
      <c r="NQ301" s="770"/>
      <c r="NR301" s="770"/>
      <c r="NS301" s="770"/>
      <c r="NT301" s="770"/>
      <c r="NU301" s="770"/>
      <c r="NV301" s="770"/>
      <c r="NW301" s="770"/>
      <c r="NX301" s="770"/>
      <c r="NY301" s="770"/>
      <c r="NZ301" s="770"/>
      <c r="OA301" s="770"/>
      <c r="OB301" s="770"/>
      <c r="OC301" s="770"/>
      <c r="OD301" s="770"/>
      <c r="OE301" s="770"/>
      <c r="OF301" s="770"/>
      <c r="OG301" s="770"/>
      <c r="OH301" s="770"/>
      <c r="OI301" s="770"/>
      <c r="OJ301" s="770"/>
      <c r="OK301" s="770"/>
      <c r="OL301" s="770"/>
      <c r="OM301" s="770"/>
      <c r="ON301" s="770"/>
      <c r="OO301" s="770"/>
      <c r="OP301" s="770"/>
      <c r="OQ301" s="770"/>
      <c r="OR301" s="770"/>
      <c r="OS301" s="770"/>
      <c r="OT301" s="770"/>
      <c r="OU301" s="770"/>
      <c r="OV301" s="770"/>
      <c r="OW301" s="770"/>
      <c r="OX301" s="770"/>
      <c r="OY301" s="770"/>
      <c r="OZ301" s="770"/>
      <c r="PA301" s="770"/>
      <c r="PB301" s="770"/>
      <c r="PC301" s="770"/>
      <c r="PD301" s="770"/>
      <c r="PE301" s="770"/>
      <c r="PF301" s="770"/>
      <c r="PG301" s="770"/>
      <c r="PH301" s="770"/>
      <c r="PI301" s="770"/>
      <c r="PJ301" s="770"/>
      <c r="PK301" s="770"/>
      <c r="PL301" s="770"/>
      <c r="PM301" s="770"/>
      <c r="PN301" s="770"/>
      <c r="PO301" s="770"/>
      <c r="PP301" s="770"/>
      <c r="PQ301" s="770"/>
      <c r="PR301" s="770"/>
      <c r="PS301" s="770"/>
      <c r="PT301" s="770"/>
      <c r="PU301" s="770"/>
      <c r="PV301" s="770"/>
      <c r="PW301" s="770"/>
      <c r="PX301" s="770"/>
      <c r="PY301" s="770"/>
      <c r="PZ301" s="770"/>
      <c r="QA301" s="770"/>
      <c r="QB301" s="770"/>
      <c r="QC301" s="770"/>
      <c r="QD301" s="770"/>
      <c r="QE301" s="770"/>
      <c r="QF301" s="770"/>
      <c r="QG301" s="770"/>
      <c r="QH301" s="770"/>
      <c r="QI301" s="770"/>
      <c r="QJ301" s="770"/>
      <c r="QK301" s="770"/>
      <c r="QL301" s="770"/>
      <c r="QM301" s="770"/>
      <c r="QN301" s="770"/>
      <c r="QO301" s="770"/>
      <c r="QP301" s="770"/>
      <c r="QQ301" s="770"/>
      <c r="QR301" s="770"/>
      <c r="QS301" s="770"/>
      <c r="QT301" s="770"/>
      <c r="QU301" s="770"/>
      <c r="QV301" s="770"/>
      <c r="QW301" s="770"/>
      <c r="QX301" s="770"/>
      <c r="QY301" s="770"/>
      <c r="QZ301" s="770"/>
      <c r="RA301" s="770"/>
      <c r="RB301" s="770"/>
      <c r="RC301" s="770"/>
      <c r="RD301" s="770"/>
      <c r="RE301" s="770"/>
      <c r="RF301" s="304"/>
      <c r="RG301" s="770"/>
      <c r="RH301" s="302"/>
      <c r="RI301" s="770"/>
      <c r="RJ301" s="770" t="s">
        <v>13434</v>
      </c>
      <c r="RK301" s="770" t="s">
        <v>13381</v>
      </c>
      <c r="RL301" s="1710">
        <v>42815</v>
      </c>
      <c r="RM301" s="12"/>
      <c r="RN301" s="1711"/>
      <c r="RO301" s="140" t="s">
        <v>514</v>
      </c>
      <c r="RP301" s="11"/>
      <c r="RQ301" s="11"/>
      <c r="RR301" s="771"/>
      <c r="RS301" s="771"/>
      <c r="RT301" s="11"/>
      <c r="RU301" s="11"/>
      <c r="RV301" s="771" t="s">
        <v>7419</v>
      </c>
      <c r="RW301" s="11" t="s">
        <v>7977</v>
      </c>
      <c r="RX301" s="11" t="s">
        <v>510</v>
      </c>
      <c r="RY301" s="11"/>
      <c r="RZ301" s="11"/>
      <c r="SA301" s="771"/>
      <c r="SB301" s="11"/>
      <c r="SC301" s="11"/>
    </row>
    <row r="302" spans="1:497" ht="12.75" hidden="1" customHeight="1">
      <c r="A302" s="154" t="s">
        <v>7419</v>
      </c>
      <c r="B302" s="292" t="s">
        <v>7974</v>
      </c>
      <c r="C302" s="140" t="s">
        <v>516</v>
      </c>
      <c r="D302" s="770" t="s">
        <v>517</v>
      </c>
      <c r="E302" s="770" t="s">
        <v>518</v>
      </c>
      <c r="F302" s="770" t="s">
        <v>28</v>
      </c>
      <c r="G302" s="770" t="s">
        <v>10</v>
      </c>
      <c r="H302" s="295" t="s">
        <v>519</v>
      </c>
      <c r="I302" s="295"/>
      <c r="J302" s="94"/>
      <c r="K302" s="770"/>
      <c r="L302" s="770"/>
      <c r="M302" s="770"/>
      <c r="N302" s="770"/>
      <c r="O302" s="770"/>
      <c r="P302" s="770"/>
      <c r="Q302" s="1088"/>
      <c r="R302" s="297"/>
      <c r="S302" s="770"/>
      <c r="T302" s="298"/>
      <c r="U302" s="298"/>
      <c r="V302" s="770"/>
      <c r="W302" s="770"/>
      <c r="X302" s="296"/>
      <c r="Y302" s="770"/>
      <c r="Z302" s="770"/>
      <c r="AA302" s="770"/>
      <c r="AB302" s="770"/>
      <c r="AC302" s="770"/>
      <c r="AD302" s="770"/>
      <c r="AE302" s="770"/>
      <c r="AF302" s="770"/>
      <c r="AG302" s="766" t="s">
        <v>1095</v>
      </c>
      <c r="AH302" s="766" t="s">
        <v>1096</v>
      </c>
      <c r="AI302" s="770" t="s">
        <v>1167</v>
      </c>
      <c r="AJ302" s="770"/>
      <c r="AK302" s="766" t="s">
        <v>1097</v>
      </c>
      <c r="AL302" s="333">
        <v>173</v>
      </c>
      <c r="AM302" s="334">
        <v>22</v>
      </c>
      <c r="AN302" s="301">
        <f>AM302/AL302</f>
        <v>0.12716763005780346</v>
      </c>
      <c r="AO302" s="766" t="s">
        <v>1109</v>
      </c>
      <c r="AP302" s="766"/>
      <c r="AQ302" s="766"/>
      <c r="AR302" s="766"/>
      <c r="AS302" s="770"/>
      <c r="AT302" s="770"/>
      <c r="AU302" s="770"/>
      <c r="AV302" s="770"/>
      <c r="AW302" s="770"/>
      <c r="AX302" s="770"/>
      <c r="AY302" s="770"/>
      <c r="AZ302" s="770"/>
      <c r="BA302" s="770"/>
      <c r="BB302" s="770"/>
      <c r="BC302" s="770"/>
      <c r="BD302" s="770"/>
      <c r="BE302" s="770"/>
      <c r="BF302" s="302"/>
      <c r="BG302" s="302"/>
      <c r="BH302" s="770"/>
      <c r="BI302" s="770"/>
      <c r="BJ302" s="770"/>
      <c r="BK302" s="770" t="s">
        <v>1095</v>
      </c>
      <c r="BL302" s="766" t="s">
        <v>7975</v>
      </c>
      <c r="BM302" s="766" t="s">
        <v>1096</v>
      </c>
      <c r="BN302" s="766" t="s">
        <v>1230</v>
      </c>
      <c r="BO302" s="766" t="s">
        <v>1246</v>
      </c>
      <c r="BP302" s="559">
        <v>57.34</v>
      </c>
      <c r="BQ302" s="334">
        <v>13.773999999999999</v>
      </c>
      <c r="BR302" s="774">
        <f>BQ302/BP302</f>
        <v>0.24021625392396231</v>
      </c>
      <c r="BS302" s="6" t="s">
        <v>1149</v>
      </c>
      <c r="BT302" s="766" t="s">
        <v>2040</v>
      </c>
      <c r="BU302" s="766" t="s">
        <v>1288</v>
      </c>
      <c r="BV302" s="770" t="s">
        <v>1247</v>
      </c>
      <c r="BW302" s="770">
        <v>2011</v>
      </c>
      <c r="BX302" s="302"/>
      <c r="BY302" s="303"/>
      <c r="BZ302" s="770"/>
      <c r="CA302" s="302"/>
      <c r="CB302" s="302"/>
      <c r="CC302" s="770"/>
      <c r="CD302" s="770"/>
      <c r="CE302" s="770"/>
      <c r="CF302" s="304"/>
      <c r="CG302" s="321"/>
      <c r="CH302" s="770"/>
      <c r="CI302" s="770"/>
      <c r="CJ302" s="770"/>
      <c r="CK302" s="770"/>
      <c r="CL302" s="770"/>
      <c r="CM302" s="770"/>
      <c r="CN302" s="770"/>
      <c r="CO302" s="770"/>
      <c r="CP302" s="770"/>
      <c r="CQ302" s="770"/>
      <c r="CR302" s="770"/>
      <c r="CS302" s="302"/>
      <c r="CT302" s="770"/>
      <c r="CU302" s="305"/>
      <c r="CV302" s="770"/>
      <c r="CW302" s="770"/>
      <c r="CX302" s="770"/>
      <c r="CY302" s="770"/>
      <c r="CZ302" s="770"/>
      <c r="DA302" s="306"/>
      <c r="DB302" s="770"/>
      <c r="DC302" s="770"/>
      <c r="DD302" s="770"/>
      <c r="DE302" s="300"/>
      <c r="DF302" s="770"/>
      <c r="DG302" s="770"/>
      <c r="DH302" s="770"/>
      <c r="DI302" s="770"/>
      <c r="DJ302" s="770"/>
      <c r="DK302" s="770"/>
      <c r="DL302" s="770"/>
      <c r="DM302" s="770"/>
      <c r="DN302" s="322"/>
      <c r="DO302" s="770"/>
      <c r="DP302" s="770"/>
      <c r="DQ302" s="770"/>
      <c r="DR302" s="770"/>
      <c r="DS302" s="307"/>
      <c r="DT302" s="770"/>
      <c r="DU302" s="770"/>
      <c r="DV302" s="770"/>
      <c r="DW302" s="306"/>
      <c r="DX302" s="306"/>
      <c r="DY302" s="770"/>
      <c r="DZ302" s="770"/>
      <c r="EA302" s="770"/>
      <c r="EB302" s="770"/>
      <c r="EC302" s="770"/>
      <c r="ED302" s="770"/>
      <c r="EE302" s="770"/>
      <c r="EF302" s="770"/>
      <c r="EG302" s="770"/>
      <c r="EH302" s="770"/>
      <c r="EI302" s="770"/>
      <c r="EJ302" s="770"/>
      <c r="EK302" s="770"/>
      <c r="EL302" s="770"/>
      <c r="EM302" s="770"/>
      <c r="EN302" s="770"/>
      <c r="EO302" s="770"/>
      <c r="EP302" s="94"/>
      <c r="EQ302" s="770"/>
      <c r="ER302" s="770"/>
      <c r="ES302" s="770"/>
      <c r="ET302" s="770"/>
      <c r="EU302" s="770"/>
      <c r="EV302" s="770"/>
      <c r="EW302" s="770"/>
      <c r="EX302" s="770"/>
      <c r="EY302" s="770"/>
      <c r="EZ302" s="770"/>
      <c r="FA302" s="770"/>
      <c r="FB302" s="770"/>
      <c r="FC302" s="770"/>
      <c r="FD302" s="302"/>
      <c r="FE302" s="770"/>
      <c r="FF302" s="770"/>
      <c r="FG302" s="770"/>
      <c r="FH302" s="770"/>
      <c r="FI302" s="770"/>
      <c r="FJ302" s="770"/>
      <c r="FK302" s="770"/>
      <c r="FL302" s="770"/>
      <c r="FM302" s="302"/>
      <c r="FN302" s="302"/>
      <c r="FO302" s="302"/>
      <c r="FP302" s="770"/>
      <c r="FQ302" s="770"/>
      <c r="FR302" s="770"/>
      <c r="FS302" s="770"/>
      <c r="FT302" s="770"/>
      <c r="FU302" s="770"/>
      <c r="FV302" s="770"/>
      <c r="FW302" s="770"/>
      <c r="FX302" s="770"/>
      <c r="FY302" s="770"/>
      <c r="FZ302" s="770"/>
      <c r="GA302" s="770"/>
      <c r="GB302" s="770"/>
      <c r="GC302" s="308"/>
      <c r="GD302" s="297"/>
      <c r="GE302" s="770"/>
      <c r="GF302" s="302"/>
      <c r="GG302" s="302"/>
      <c r="GH302" s="770"/>
      <c r="GI302" s="770"/>
      <c r="GJ302" s="770"/>
      <c r="GK302" s="770"/>
      <c r="GL302" s="770"/>
      <c r="GM302" s="770"/>
      <c r="GN302" s="309"/>
      <c r="GO302" s="770"/>
      <c r="GP302" s="770"/>
      <c r="GQ302" s="770"/>
      <c r="GR302" s="770"/>
      <c r="GS302" s="770"/>
      <c r="GT302" s="770"/>
      <c r="GU302" s="770"/>
      <c r="GV302" s="770"/>
      <c r="GW302" s="770"/>
      <c r="GX302" s="770"/>
      <c r="GY302" s="770"/>
      <c r="GZ302" s="770"/>
      <c r="HA302" s="770"/>
      <c r="HB302" s="770"/>
      <c r="HC302" s="770"/>
      <c r="HD302" s="770"/>
      <c r="HE302" s="770"/>
      <c r="HF302" s="770"/>
      <c r="HG302" s="770"/>
      <c r="HH302" s="770"/>
      <c r="HI302" s="770"/>
      <c r="HJ302" s="770"/>
      <c r="HK302" s="770"/>
      <c r="HL302" s="770"/>
      <c r="HM302" s="770"/>
      <c r="HN302" s="770"/>
      <c r="HO302" s="770"/>
      <c r="HP302" s="770"/>
      <c r="HQ302" s="770"/>
      <c r="HR302" s="770"/>
      <c r="HS302" s="770"/>
      <c r="HT302" s="770"/>
      <c r="HU302" s="770"/>
      <c r="HV302" s="770"/>
      <c r="HW302" s="770"/>
      <c r="HX302" s="770"/>
      <c r="HY302" s="770"/>
      <c r="HZ302" s="770"/>
      <c r="IA302" s="770"/>
      <c r="IB302" s="14" t="e">
        <f>IF(#REF!&gt;0,IF(#REF!&lt;=10000,"Y",""),"")</f>
        <v>#REF!</v>
      </c>
      <c r="IC302" s="770"/>
      <c r="ID302" s="770"/>
      <c r="IE302" s="770"/>
      <c r="IF302" s="770"/>
      <c r="IG302" s="770"/>
      <c r="IH302" s="770"/>
      <c r="II302" s="770"/>
      <c r="IJ302" s="770"/>
      <c r="IK302" s="770"/>
      <c r="IL302" s="770"/>
      <c r="IM302" s="770"/>
      <c r="IN302" s="770"/>
      <c r="IO302" s="296"/>
      <c r="IP302" s="770"/>
      <c r="IQ302" s="770"/>
      <c r="IR302" s="770"/>
      <c r="IS302" s="770"/>
      <c r="IT302" s="770"/>
      <c r="IU302" s="770"/>
      <c r="IV302" s="770"/>
      <c r="IW302" s="770"/>
      <c r="IX302" s="770"/>
      <c r="IY302" s="770"/>
      <c r="IZ302" s="770"/>
      <c r="JA302" s="770"/>
      <c r="JB302" s="770"/>
      <c r="JC302" s="770"/>
      <c r="JD302" s="302"/>
      <c r="JE302" s="770"/>
      <c r="JF302" s="770"/>
      <c r="JG302" s="770"/>
      <c r="JH302" s="770"/>
      <c r="JI302" s="770"/>
      <c r="JJ302" s="13"/>
      <c r="JK302" s="13"/>
      <c r="JL302" s="13"/>
      <c r="JM302" s="13"/>
      <c r="JN302" s="13"/>
      <c r="JO302" s="13"/>
      <c r="JP302" s="13"/>
      <c r="JQ302" s="13"/>
      <c r="JR302" s="13"/>
      <c r="JS302" s="13"/>
      <c r="JT302" s="766"/>
      <c r="JU302" s="766"/>
      <c r="JV302" s="766"/>
      <c r="JW302" s="766"/>
      <c r="JX302" s="770"/>
      <c r="JY302" s="770"/>
      <c r="JZ302" s="770"/>
      <c r="KA302" s="770"/>
      <c r="KB302" s="770"/>
      <c r="KC302" s="770"/>
      <c r="KD302" s="770"/>
      <c r="KE302" s="770"/>
      <c r="KF302" s="770"/>
      <c r="KG302" s="770"/>
      <c r="KH302" s="770"/>
      <c r="KI302" s="770"/>
      <c r="KJ302" s="770"/>
      <c r="KK302" s="770"/>
      <c r="KL302" s="770"/>
      <c r="KM302" s="770"/>
      <c r="KN302" s="770"/>
      <c r="KO302" s="770"/>
      <c r="KP302" s="770"/>
      <c r="KQ302" s="770"/>
      <c r="KR302" s="770"/>
      <c r="KS302" s="770"/>
      <c r="KT302" s="770"/>
      <c r="KU302" s="770"/>
      <c r="KV302" s="770"/>
      <c r="KW302" s="770"/>
      <c r="KX302" s="770"/>
      <c r="KY302" s="770"/>
      <c r="KZ302" s="770"/>
      <c r="LA302" s="770"/>
      <c r="LB302" s="770"/>
      <c r="LC302" s="770"/>
      <c r="LD302" s="770"/>
      <c r="LE302" s="770"/>
      <c r="LF302" s="770"/>
      <c r="LG302" s="770"/>
      <c r="LH302" s="770"/>
      <c r="LI302" s="770"/>
      <c r="LJ302" s="770"/>
      <c r="LK302" s="770"/>
      <c r="LL302" s="770"/>
      <c r="LM302" s="770"/>
      <c r="LN302" s="766"/>
      <c r="LO302" s="766"/>
      <c r="LP302" s="770"/>
      <c r="LQ302" s="770"/>
      <c r="LR302" s="770"/>
      <c r="LS302" s="770"/>
      <c r="LT302" s="770"/>
      <c r="LU302" s="770"/>
      <c r="LV302" s="770"/>
      <c r="LW302" s="770"/>
      <c r="LX302" s="769"/>
      <c r="LY302" s="766" t="str">
        <f t="shared" si="93"/>
        <v/>
      </c>
      <c r="LZ302" s="299"/>
      <c r="MA302" s="306"/>
      <c r="MB302" s="306"/>
      <c r="MC302" s="1679">
        <f t="shared" si="91"/>
        <v>0</v>
      </c>
      <c r="MD302" s="306"/>
      <c r="ME302" s="306"/>
      <c r="MF302" s="306"/>
      <c r="MG302" s="1680">
        <f t="shared" si="94"/>
        <v>0</v>
      </c>
      <c r="MH302" s="770"/>
      <c r="MI302" s="302"/>
      <c r="MJ302" s="302"/>
      <c r="MK302" s="302"/>
      <c r="ML302" s="302"/>
      <c r="MM302" s="302"/>
      <c r="MN302" s="302"/>
      <c r="MO302" s="302"/>
      <c r="MP302" s="302"/>
      <c r="MQ302" s="302"/>
      <c r="MR302" s="302"/>
      <c r="MS302" s="302"/>
      <c r="MT302" s="302"/>
      <c r="MU302" s="302"/>
      <c r="MV302" s="302"/>
      <c r="MW302" s="302"/>
      <c r="MX302" s="302"/>
      <c r="MY302" s="1682">
        <f t="shared" si="74"/>
        <v>0</v>
      </c>
      <c r="MZ302" s="770"/>
      <c r="NA302" s="770"/>
      <c r="NB302" s="770"/>
      <c r="NC302" s="770"/>
      <c r="ND302" s="770"/>
      <c r="NE302" s="770"/>
      <c r="NF302" s="770"/>
      <c r="NG302" s="770"/>
      <c r="NH302" s="770"/>
      <c r="NI302" s="770"/>
      <c r="NJ302" s="770"/>
      <c r="NK302" s="770"/>
      <c r="NL302" s="770"/>
      <c r="NM302" s="770"/>
      <c r="NN302" s="770"/>
      <c r="NO302" s="770"/>
      <c r="NP302" s="770"/>
      <c r="NQ302" s="770"/>
      <c r="NR302" s="770"/>
      <c r="NS302" s="770"/>
      <c r="NT302" s="770"/>
      <c r="NU302" s="770"/>
      <c r="NV302" s="770"/>
      <c r="NW302" s="770"/>
      <c r="NX302" s="770"/>
      <c r="NY302" s="770"/>
      <c r="NZ302" s="770"/>
      <c r="OA302" s="770"/>
      <c r="OB302" s="770"/>
      <c r="OC302" s="770"/>
      <c r="OD302" s="770"/>
      <c r="OE302" s="770"/>
      <c r="OF302" s="770"/>
      <c r="OG302" s="770"/>
      <c r="OH302" s="770"/>
      <c r="OI302" s="770"/>
      <c r="OJ302" s="770"/>
      <c r="OK302" s="770"/>
      <c r="OL302" s="770"/>
      <c r="OM302" s="770"/>
      <c r="ON302" s="770"/>
      <c r="OO302" s="770"/>
      <c r="OP302" s="770"/>
      <c r="OQ302" s="770"/>
      <c r="OR302" s="770"/>
      <c r="OS302" s="770"/>
      <c r="OT302" s="770"/>
      <c r="OU302" s="770"/>
      <c r="OV302" s="770"/>
      <c r="OW302" s="770"/>
      <c r="OX302" s="770"/>
      <c r="OY302" s="770"/>
      <c r="OZ302" s="770"/>
      <c r="PA302" s="770"/>
      <c r="PB302" s="770"/>
      <c r="PC302" s="770"/>
      <c r="PD302" s="770"/>
      <c r="PE302" s="770"/>
      <c r="PF302" s="770"/>
      <c r="PG302" s="770"/>
      <c r="PH302" s="770"/>
      <c r="PI302" s="770"/>
      <c r="PJ302" s="770"/>
      <c r="PK302" s="770"/>
      <c r="PL302" s="770"/>
      <c r="PM302" s="770"/>
      <c r="PN302" s="770"/>
      <c r="PO302" s="770"/>
      <c r="PP302" s="770"/>
      <c r="PQ302" s="770"/>
      <c r="PR302" s="770"/>
      <c r="PS302" s="770"/>
      <c r="PT302" s="770"/>
      <c r="PU302" s="770"/>
      <c r="PV302" s="770"/>
      <c r="PW302" s="770"/>
      <c r="PX302" s="770"/>
      <c r="PY302" s="770"/>
      <c r="PZ302" s="770"/>
      <c r="QA302" s="770"/>
      <c r="QB302" s="770"/>
      <c r="QC302" s="770"/>
      <c r="QD302" s="770"/>
      <c r="QE302" s="770"/>
      <c r="QF302" s="770"/>
      <c r="QG302" s="770"/>
      <c r="QH302" s="770"/>
      <c r="QI302" s="770"/>
      <c r="QJ302" s="770"/>
      <c r="QK302" s="770"/>
      <c r="QL302" s="770"/>
      <c r="QM302" s="770"/>
      <c r="QN302" s="770"/>
      <c r="QO302" s="770"/>
      <c r="QP302" s="770"/>
      <c r="QQ302" s="770"/>
      <c r="QR302" s="770"/>
      <c r="QS302" s="770"/>
      <c r="QT302" s="770"/>
      <c r="QU302" s="770"/>
      <c r="QV302" s="770"/>
      <c r="QW302" s="770"/>
      <c r="QX302" s="770"/>
      <c r="QY302" s="770"/>
      <c r="QZ302" s="770"/>
      <c r="RA302" s="770"/>
      <c r="RB302" s="770"/>
      <c r="RC302" s="770"/>
      <c r="RD302" s="770"/>
      <c r="RE302" s="770"/>
      <c r="RF302" s="304"/>
      <c r="RG302" s="770"/>
      <c r="RH302" s="302"/>
      <c r="RI302" s="770"/>
      <c r="RJ302" s="770"/>
      <c r="RK302" s="770"/>
      <c r="RL302" s="1710"/>
      <c r="RM302" s="12"/>
      <c r="RN302" s="1711"/>
      <c r="RO302" s="140" t="s">
        <v>516</v>
      </c>
      <c r="RP302" s="11"/>
      <c r="RQ302" s="11"/>
      <c r="RR302" s="771"/>
      <c r="RS302" s="771"/>
      <c r="RT302" s="11"/>
      <c r="RU302" s="11"/>
      <c r="RV302" s="771" t="s">
        <v>8076</v>
      </c>
      <c r="RW302" s="11" t="s">
        <v>7625</v>
      </c>
      <c r="RX302" s="11" t="s">
        <v>514</v>
      </c>
      <c r="RY302" s="11"/>
      <c r="RZ302" s="11" t="s">
        <v>1101</v>
      </c>
      <c r="SA302" s="771"/>
      <c r="SB302" s="11"/>
      <c r="SC302" s="11"/>
    </row>
    <row r="303" spans="1:497" ht="12.75" hidden="1" customHeight="1">
      <c r="A303" s="154" t="s">
        <v>14162</v>
      </c>
      <c r="B303" s="292" t="s">
        <v>7626</v>
      </c>
      <c r="C303" s="140" t="s">
        <v>516</v>
      </c>
      <c r="D303" s="770" t="s">
        <v>517</v>
      </c>
      <c r="E303" s="770" t="s">
        <v>518</v>
      </c>
      <c r="F303" s="770" t="s">
        <v>28</v>
      </c>
      <c r="G303" s="770" t="s">
        <v>10</v>
      </c>
      <c r="H303" s="295" t="s">
        <v>519</v>
      </c>
      <c r="I303" s="295"/>
      <c r="J303" s="770"/>
      <c r="K303" s="770"/>
      <c r="L303" s="770"/>
      <c r="M303" s="770"/>
      <c r="N303" s="770"/>
      <c r="O303" s="770"/>
      <c r="P303" s="770" t="s">
        <v>5658</v>
      </c>
      <c r="Q303" s="1088"/>
      <c r="R303" s="297"/>
      <c r="S303" s="770"/>
      <c r="T303" s="770"/>
      <c r="U303" s="298"/>
      <c r="V303" s="770"/>
      <c r="W303" s="770"/>
      <c r="X303" s="296"/>
      <c r="Y303" s="770" t="s">
        <v>1018</v>
      </c>
      <c r="Z303" s="770"/>
      <c r="AA303" s="770"/>
      <c r="AB303" s="770"/>
      <c r="AC303" s="770"/>
      <c r="AD303" s="770"/>
      <c r="AE303" s="770"/>
      <c r="AF303" s="770"/>
      <c r="AG303" s="770"/>
      <c r="AH303" s="770"/>
      <c r="AI303" s="770"/>
      <c r="AJ303" s="770"/>
      <c r="AK303" s="770" t="s">
        <v>3214</v>
      </c>
      <c r="AL303" s="299"/>
      <c r="AM303" s="300"/>
      <c r="AN303" s="301"/>
      <c r="AO303" s="766"/>
      <c r="AP303" s="766"/>
      <c r="AQ303" s="766"/>
      <c r="AR303" s="766"/>
      <c r="AS303" s="770"/>
      <c r="AT303" s="770"/>
      <c r="AU303" s="770"/>
      <c r="AV303" s="770"/>
      <c r="AW303" s="770"/>
      <c r="AX303" s="770"/>
      <c r="AY303" s="770"/>
      <c r="AZ303" s="770"/>
      <c r="BA303" s="770"/>
      <c r="BB303" s="770"/>
      <c r="BC303" s="770"/>
      <c r="BD303" s="770"/>
      <c r="BE303" s="770"/>
      <c r="BF303" s="302"/>
      <c r="BG303" s="302"/>
      <c r="BH303" s="770"/>
      <c r="BI303" s="770"/>
      <c r="BJ303" s="770"/>
      <c r="BK303" s="12"/>
      <c r="BL303" s="12"/>
      <c r="BM303" s="766" t="s">
        <v>1238</v>
      </c>
      <c r="BN303" s="766" t="s">
        <v>1263</v>
      </c>
      <c r="BO303" s="770"/>
      <c r="BP303" s="12"/>
      <c r="BQ303" s="12"/>
      <c r="BR303" s="770"/>
      <c r="BS303" s="6" t="s">
        <v>1149</v>
      </c>
      <c r="BT303" s="12"/>
      <c r="BU303" s="12"/>
      <c r="BV303" s="12"/>
      <c r="BW303" s="12"/>
      <c r="BX303" s="302"/>
      <c r="BY303" s="303"/>
      <c r="BZ303" s="770"/>
      <c r="CA303" s="302"/>
      <c r="CB303" s="302"/>
      <c r="CC303" s="770"/>
      <c r="CD303" s="770"/>
      <c r="CE303" s="770"/>
      <c r="CF303" s="770"/>
      <c r="CG303" s="770"/>
      <c r="CH303" s="770"/>
      <c r="CI303" s="770"/>
      <c r="CJ303" s="770"/>
      <c r="CK303" s="770"/>
      <c r="CL303" s="770"/>
      <c r="CM303" s="770"/>
      <c r="CN303" s="770"/>
      <c r="CO303" s="770"/>
      <c r="CP303" s="770"/>
      <c r="CQ303" s="770"/>
      <c r="CR303" s="770"/>
      <c r="CS303" s="302"/>
      <c r="CT303" s="770"/>
      <c r="CU303" s="305"/>
      <c r="CV303" s="770"/>
      <c r="CW303" s="770"/>
      <c r="CX303" s="770"/>
      <c r="CY303" s="770"/>
      <c r="CZ303" s="770"/>
      <c r="DA303" s="770"/>
      <c r="DB303" s="770"/>
      <c r="DC303" s="770"/>
      <c r="DD303" s="770"/>
      <c r="DE303" s="770"/>
      <c r="DF303" s="770"/>
      <c r="DG303" s="770"/>
      <c r="DH303" s="770"/>
      <c r="DI303" s="770"/>
      <c r="DJ303" s="770"/>
      <c r="DK303" s="770"/>
      <c r="DL303" s="770"/>
      <c r="DM303" s="770"/>
      <c r="DN303" s="770"/>
      <c r="DO303" s="770"/>
      <c r="DP303" s="770"/>
      <c r="DQ303" s="770"/>
      <c r="DR303" s="770"/>
      <c r="DS303" s="307"/>
      <c r="DT303" s="770"/>
      <c r="DU303" s="770"/>
      <c r="DV303" s="770"/>
      <c r="DW303" s="306"/>
      <c r="DX303" s="306"/>
      <c r="DY303" s="770"/>
      <c r="DZ303" s="770"/>
      <c r="EA303" s="770"/>
      <c r="EB303" s="770"/>
      <c r="EC303" s="770"/>
      <c r="ED303" s="770"/>
      <c r="EE303" s="770"/>
      <c r="EF303" s="770"/>
      <c r="EG303" s="770"/>
      <c r="EH303" s="770"/>
      <c r="EI303" s="770"/>
      <c r="EJ303" s="770"/>
      <c r="EK303" s="770"/>
      <c r="EL303" s="770"/>
      <c r="EM303" s="770"/>
      <c r="EN303" s="770"/>
      <c r="EO303" s="770"/>
      <c r="EP303" s="770"/>
      <c r="EQ303" s="770"/>
      <c r="ER303" s="770"/>
      <c r="ES303" s="770"/>
      <c r="ET303" s="770"/>
      <c r="EU303" s="770"/>
      <c r="EV303" s="770"/>
      <c r="EW303" s="770"/>
      <c r="EX303" s="770"/>
      <c r="EY303" s="770"/>
      <c r="EZ303" s="770"/>
      <c r="FA303" s="770"/>
      <c r="FB303" s="770"/>
      <c r="FC303" s="770"/>
      <c r="FD303" s="302"/>
      <c r="FE303" s="770"/>
      <c r="FF303" s="770"/>
      <c r="FG303" s="770"/>
      <c r="FH303" s="770" t="s">
        <v>1263</v>
      </c>
      <c r="FI303" s="770">
        <v>1</v>
      </c>
      <c r="FJ303" s="770" t="s">
        <v>4352</v>
      </c>
      <c r="FK303" s="770" t="s">
        <v>519</v>
      </c>
      <c r="FL303" s="770" t="s">
        <v>518</v>
      </c>
      <c r="FM303" s="302"/>
      <c r="FN303" s="302"/>
      <c r="FO303" s="302"/>
      <c r="FP303" s="770" t="s">
        <v>1602</v>
      </c>
      <c r="FQ303" s="766" t="s">
        <v>1660</v>
      </c>
      <c r="FR303" s="770"/>
      <c r="FS303" s="770"/>
      <c r="FT303" s="770"/>
      <c r="FU303" s="770"/>
      <c r="FV303" s="770"/>
      <c r="FW303" s="770"/>
      <c r="FX303" s="770"/>
      <c r="FY303" s="770"/>
      <c r="FZ303" s="770"/>
      <c r="GA303" s="770"/>
      <c r="GB303" s="770"/>
      <c r="GC303" s="308"/>
      <c r="GD303" s="297"/>
      <c r="GE303" s="770"/>
      <c r="GF303" s="302"/>
      <c r="GG303" s="302"/>
      <c r="GH303" s="770"/>
      <c r="GI303" s="770"/>
      <c r="GJ303" s="770"/>
      <c r="GK303" s="770"/>
      <c r="GL303" s="770"/>
      <c r="GM303" s="770"/>
      <c r="GN303" s="309"/>
      <c r="GO303" s="770"/>
      <c r="GP303" s="770"/>
      <c r="GQ303" s="770"/>
      <c r="GR303" s="770"/>
      <c r="GS303" s="770"/>
      <c r="GT303" s="770"/>
      <c r="GU303" s="770"/>
      <c r="GV303" s="770"/>
      <c r="GW303" s="770"/>
      <c r="GX303" s="770"/>
      <c r="GY303" s="770"/>
      <c r="GZ303" s="770"/>
      <c r="HA303" s="770"/>
      <c r="HB303" s="770"/>
      <c r="HC303" s="770"/>
      <c r="HD303" s="770"/>
      <c r="HE303" s="770"/>
      <c r="HF303" s="770"/>
      <c r="HG303" s="770"/>
      <c r="HH303" s="770"/>
      <c r="HI303" s="770"/>
      <c r="HJ303" s="770"/>
      <c r="HK303" s="770"/>
      <c r="HL303" s="770"/>
      <c r="HM303" s="770"/>
      <c r="HN303" s="770"/>
      <c r="HO303" s="770"/>
      <c r="HP303" s="770"/>
      <c r="HQ303" s="770"/>
      <c r="HR303" s="770"/>
      <c r="HS303" s="770"/>
      <c r="HT303" s="770"/>
      <c r="HU303" s="770"/>
      <c r="HV303" s="770"/>
      <c r="HW303" s="770"/>
      <c r="HX303" s="770"/>
      <c r="HY303" s="770"/>
      <c r="HZ303" s="770"/>
      <c r="IA303" s="770"/>
      <c r="IB303" s="14" t="e">
        <f>IF(#REF!&gt;0,IF(#REF!&lt;=10000,"Y",""),"")</f>
        <v>#REF!</v>
      </c>
      <c r="IC303" s="770"/>
      <c r="ID303" s="770"/>
      <c r="IE303" s="770">
        <v>1</v>
      </c>
      <c r="IF303" s="770"/>
      <c r="IG303" s="770"/>
      <c r="IH303" s="770"/>
      <c r="II303" s="770"/>
      <c r="IJ303" s="770"/>
      <c r="IK303" s="770"/>
      <c r="IL303" s="770"/>
      <c r="IM303" s="770"/>
      <c r="IN303" s="770"/>
      <c r="IO303" s="296"/>
      <c r="IP303" s="770"/>
      <c r="IQ303" s="770"/>
      <c r="IR303" s="770"/>
      <c r="IS303" s="770"/>
      <c r="IT303" s="770"/>
      <c r="IU303" s="770"/>
      <c r="IV303" s="770"/>
      <c r="IW303" s="770"/>
      <c r="IX303" s="770"/>
      <c r="IY303" s="770"/>
      <c r="IZ303" s="770"/>
      <c r="JA303" s="770"/>
      <c r="JB303" s="770"/>
      <c r="JC303" s="770"/>
      <c r="JD303" s="302"/>
      <c r="JE303" s="770"/>
      <c r="JF303" s="770"/>
      <c r="JG303" s="770"/>
      <c r="JH303" s="770"/>
      <c r="JI303" s="770"/>
      <c r="JJ303" s="770"/>
      <c r="JK303" s="770"/>
      <c r="JL303" s="770"/>
      <c r="JM303" s="770"/>
      <c r="JN303" s="770"/>
      <c r="JO303" s="770"/>
      <c r="JP303" s="770"/>
      <c r="JQ303" s="770"/>
      <c r="JR303" s="770"/>
      <c r="JS303" s="770"/>
      <c r="JT303" s="766"/>
      <c r="JU303" s="766"/>
      <c r="JV303" s="766"/>
      <c r="JW303" s="766"/>
      <c r="JX303" s="770"/>
      <c r="JY303" s="770"/>
      <c r="JZ303" s="770"/>
      <c r="KA303" s="770"/>
      <c r="KB303" s="770"/>
      <c r="KC303" s="770"/>
      <c r="KD303" s="770"/>
      <c r="KE303" s="770"/>
      <c r="KF303" s="770"/>
      <c r="KG303" s="770"/>
      <c r="KH303" s="770"/>
      <c r="KI303" s="770"/>
      <c r="KJ303" s="770"/>
      <c r="KK303" s="770"/>
      <c r="KL303" s="770"/>
      <c r="KM303" s="770"/>
      <c r="KN303" s="770"/>
      <c r="KO303" s="770"/>
      <c r="KP303" s="770"/>
      <c r="KQ303" s="770"/>
      <c r="KR303" s="770"/>
      <c r="KS303" s="770"/>
      <c r="KT303" s="770"/>
      <c r="KU303" s="770"/>
      <c r="KV303" s="770"/>
      <c r="KW303" s="770"/>
      <c r="KX303" s="770"/>
      <c r="KY303" s="770"/>
      <c r="KZ303" s="770"/>
      <c r="LA303" s="770"/>
      <c r="LB303" s="770"/>
      <c r="LC303" s="770"/>
      <c r="LD303" s="770"/>
      <c r="LE303" s="770"/>
      <c r="LF303" s="770"/>
      <c r="LG303" s="770"/>
      <c r="LH303" s="770"/>
      <c r="LI303" s="770"/>
      <c r="LJ303" s="770"/>
      <c r="LK303" s="770"/>
      <c r="LL303" s="770"/>
      <c r="LM303" s="770"/>
      <c r="LN303" s="766"/>
      <c r="LO303" s="766"/>
      <c r="LP303" s="770"/>
      <c r="LQ303" s="770"/>
      <c r="LR303" s="770"/>
      <c r="LS303" s="770"/>
      <c r="LT303" s="770"/>
      <c r="LU303" s="770"/>
      <c r="LV303" s="770"/>
      <c r="LW303" s="770"/>
      <c r="LX303" s="769"/>
      <c r="LY303" s="766" t="str">
        <f t="shared" si="93"/>
        <v/>
      </c>
      <c r="LZ303" s="299"/>
      <c r="MA303" s="1709"/>
      <c r="MB303" s="1709"/>
      <c r="MC303" s="1679">
        <f t="shared" si="91"/>
        <v>0</v>
      </c>
      <c r="MD303" s="1709"/>
      <c r="ME303" s="1709"/>
      <c r="MF303" s="1709"/>
      <c r="MG303" s="1680">
        <f t="shared" si="94"/>
        <v>0</v>
      </c>
      <c r="MH303" s="770"/>
      <c r="MI303" s="302"/>
      <c r="MJ303" s="302"/>
      <c r="MK303" s="302"/>
      <c r="ML303" s="302"/>
      <c r="MM303" s="302"/>
      <c r="MN303" s="302"/>
      <c r="MO303" s="302"/>
      <c r="MP303" s="302"/>
      <c r="MQ303" s="302"/>
      <c r="MR303" s="302"/>
      <c r="MS303" s="302"/>
      <c r="MT303" s="302"/>
      <c r="MU303" s="302"/>
      <c r="MV303" s="302"/>
      <c r="MW303" s="302"/>
      <c r="MX303" s="302"/>
      <c r="MY303" s="1682">
        <f t="shared" si="74"/>
        <v>0</v>
      </c>
      <c r="MZ303" s="770"/>
      <c r="NA303" s="770"/>
      <c r="NB303" s="770"/>
      <c r="NC303" s="770"/>
      <c r="ND303" s="770"/>
      <c r="NE303" s="770"/>
      <c r="NF303" s="770"/>
      <c r="NG303" s="770"/>
      <c r="NH303" s="770"/>
      <c r="NI303" s="770"/>
      <c r="NJ303" s="770"/>
      <c r="NK303" s="770"/>
      <c r="NL303" s="770"/>
      <c r="NM303" s="770"/>
      <c r="NN303" s="770"/>
      <c r="NO303" s="770"/>
      <c r="NP303" s="770"/>
      <c r="NQ303" s="770"/>
      <c r="NR303" s="770"/>
      <c r="NS303" s="770"/>
      <c r="NT303" s="770"/>
      <c r="NU303" s="770"/>
      <c r="NV303" s="770"/>
      <c r="NW303" s="770"/>
      <c r="NX303" s="770"/>
      <c r="NY303" s="770"/>
      <c r="NZ303" s="770"/>
      <c r="OA303" s="770"/>
      <c r="OB303" s="770"/>
      <c r="OC303" s="770"/>
      <c r="OD303" s="770"/>
      <c r="OE303" s="770"/>
      <c r="OF303" s="770"/>
      <c r="OG303" s="770"/>
      <c r="OH303" s="770"/>
      <c r="OI303" s="770"/>
      <c r="OJ303" s="770"/>
      <c r="OK303" s="770"/>
      <c r="OL303" s="770"/>
      <c r="OM303" s="770"/>
      <c r="ON303" s="770"/>
      <c r="OO303" s="770"/>
      <c r="OP303" s="770"/>
      <c r="OQ303" s="770"/>
      <c r="OR303" s="770"/>
      <c r="OS303" s="770"/>
      <c r="OT303" s="770"/>
      <c r="OU303" s="770"/>
      <c r="OV303" s="770"/>
      <c r="OW303" s="770"/>
      <c r="OX303" s="770"/>
      <c r="OY303" s="770"/>
      <c r="OZ303" s="770"/>
      <c r="PA303" s="770"/>
      <c r="PB303" s="770"/>
      <c r="PC303" s="770"/>
      <c r="PD303" s="770"/>
      <c r="PE303" s="770"/>
      <c r="PF303" s="770"/>
      <c r="PG303" s="770"/>
      <c r="PH303" s="770"/>
      <c r="PI303" s="770"/>
      <c r="PJ303" s="770"/>
      <c r="PK303" s="770"/>
      <c r="PL303" s="770"/>
      <c r="PM303" s="770"/>
      <c r="PN303" s="770"/>
      <c r="PO303" s="770"/>
      <c r="PP303" s="770"/>
      <c r="PQ303" s="770"/>
      <c r="PR303" s="770"/>
      <c r="PS303" s="770"/>
      <c r="PT303" s="770"/>
      <c r="PU303" s="770"/>
      <c r="PV303" s="770"/>
      <c r="PW303" s="770"/>
      <c r="PX303" s="770"/>
      <c r="PY303" s="770"/>
      <c r="PZ303" s="770"/>
      <c r="QA303" s="770"/>
      <c r="QB303" s="770"/>
      <c r="QC303" s="770"/>
      <c r="QD303" s="770"/>
      <c r="QE303" s="770"/>
      <c r="QF303" s="770"/>
      <c r="QG303" s="770"/>
      <c r="QH303" s="770"/>
      <c r="QI303" s="770"/>
      <c r="QJ303" s="770"/>
      <c r="QK303" s="770"/>
      <c r="QL303" s="770"/>
      <c r="QM303" s="770"/>
      <c r="QN303" s="770"/>
      <c r="QO303" s="770"/>
      <c r="QP303" s="770"/>
      <c r="QQ303" s="770"/>
      <c r="QR303" s="770"/>
      <c r="QS303" s="770"/>
      <c r="QT303" s="770"/>
      <c r="QU303" s="770"/>
      <c r="QV303" s="770"/>
      <c r="QW303" s="770"/>
      <c r="QX303" s="770"/>
      <c r="QY303" s="770"/>
      <c r="QZ303" s="770"/>
      <c r="RA303" s="770"/>
      <c r="RB303" s="770"/>
      <c r="RC303" s="770"/>
      <c r="RD303" s="770"/>
      <c r="RE303" s="770"/>
      <c r="RF303" s="304"/>
      <c r="RG303" s="770"/>
      <c r="RH303" s="302"/>
      <c r="RI303" s="770"/>
      <c r="RJ303" s="770" t="s">
        <v>13435</v>
      </c>
      <c r="RK303" s="770" t="s">
        <v>13381</v>
      </c>
      <c r="RL303" s="1710"/>
      <c r="RM303" s="12"/>
      <c r="RN303" s="1711"/>
      <c r="RO303" s="140" t="s">
        <v>516</v>
      </c>
      <c r="RP303" s="11"/>
      <c r="RQ303" s="11"/>
      <c r="RR303" s="771"/>
      <c r="RS303" s="767"/>
      <c r="RT303" s="11"/>
      <c r="RU303" s="11"/>
      <c r="RV303" s="771" t="s">
        <v>7419</v>
      </c>
      <c r="RW303" s="11"/>
      <c r="RX303" s="11" t="s">
        <v>514</v>
      </c>
      <c r="RY303" s="11"/>
      <c r="RZ303" s="11"/>
      <c r="SA303" s="771"/>
      <c r="SB303" s="11"/>
      <c r="SC303" s="11"/>
    </row>
    <row r="304" spans="1:497" ht="12.75" hidden="1" customHeight="1">
      <c r="A304" s="154" t="s">
        <v>7419</v>
      </c>
      <c r="B304" s="292" t="s">
        <v>7979</v>
      </c>
      <c r="C304" s="140" t="s">
        <v>516</v>
      </c>
      <c r="D304" s="770" t="s">
        <v>517</v>
      </c>
      <c r="E304" s="766" t="s">
        <v>518</v>
      </c>
      <c r="F304" s="770" t="s">
        <v>28</v>
      </c>
      <c r="G304" s="770" t="s">
        <v>10</v>
      </c>
      <c r="H304" s="295" t="s">
        <v>519</v>
      </c>
      <c r="I304" s="295"/>
      <c r="J304" s="94"/>
      <c r="K304" s="770"/>
      <c r="L304" s="770"/>
      <c r="M304" s="770"/>
      <c r="N304" s="770"/>
      <c r="O304" s="770"/>
      <c r="P304" s="94" t="s">
        <v>517</v>
      </c>
      <c r="Q304" s="1088">
        <v>21341</v>
      </c>
      <c r="R304" s="297">
        <v>58</v>
      </c>
      <c r="S304" s="770" t="s">
        <v>10</v>
      </c>
      <c r="T304" s="298" t="s">
        <v>519</v>
      </c>
      <c r="U304" s="298"/>
      <c r="V304" s="770" t="s">
        <v>707</v>
      </c>
      <c r="W304" s="770"/>
      <c r="X304" s="296"/>
      <c r="Y304" s="770" t="s">
        <v>1018</v>
      </c>
      <c r="Z304" s="770" t="s">
        <v>708</v>
      </c>
      <c r="AA304" s="770" t="s">
        <v>709</v>
      </c>
      <c r="AB304" s="770" t="s">
        <v>710</v>
      </c>
      <c r="AC304" s="770"/>
      <c r="AD304" s="770" t="s">
        <v>1019</v>
      </c>
      <c r="AE304" s="770"/>
      <c r="AF304" s="770" t="s">
        <v>1020</v>
      </c>
      <c r="AG304" s="766" t="s">
        <v>1095</v>
      </c>
      <c r="AH304" s="766" t="s">
        <v>1096</v>
      </c>
      <c r="AI304" s="770"/>
      <c r="AJ304" s="770"/>
      <c r="AK304" s="770" t="s">
        <v>5454</v>
      </c>
      <c r="AL304" s="299">
        <v>28.67</v>
      </c>
      <c r="AM304" s="300">
        <v>6.89</v>
      </c>
      <c r="AN304" s="301">
        <v>0.2402</v>
      </c>
      <c r="AO304" s="766" t="s">
        <v>1149</v>
      </c>
      <c r="AP304" s="766"/>
      <c r="AQ304" s="766"/>
      <c r="AR304" s="766"/>
      <c r="AS304" s="770" t="s">
        <v>1207</v>
      </c>
      <c r="AT304" s="770" t="s">
        <v>1208</v>
      </c>
      <c r="AU304" s="770"/>
      <c r="AV304" s="770"/>
      <c r="AW304" s="770"/>
      <c r="AX304" s="770"/>
      <c r="AY304" s="770"/>
      <c r="AZ304" s="770"/>
      <c r="BA304" s="770"/>
      <c r="BB304" s="770"/>
      <c r="BC304" s="770" t="s">
        <v>796</v>
      </c>
      <c r="BD304" s="770"/>
      <c r="BE304" s="770"/>
      <c r="BF304" s="302"/>
      <c r="BG304" s="302"/>
      <c r="BH304" s="770"/>
      <c r="BI304" s="770"/>
      <c r="BJ304" s="770"/>
      <c r="BK304" s="770" t="s">
        <v>1095</v>
      </c>
      <c r="BL304" s="770" t="s">
        <v>1372</v>
      </c>
      <c r="BM304" s="766" t="s">
        <v>1096</v>
      </c>
      <c r="BN304" s="766" t="s">
        <v>1230</v>
      </c>
      <c r="BO304" s="766" t="s">
        <v>1239</v>
      </c>
      <c r="BP304" s="559">
        <v>57.34</v>
      </c>
      <c r="BQ304" s="334">
        <v>13.773999999999999</v>
      </c>
      <c r="BR304" s="774">
        <f>BQ304/BP304</f>
        <v>0.24021625392396231</v>
      </c>
      <c r="BS304" s="6" t="s">
        <v>1149</v>
      </c>
      <c r="BT304" s="766" t="s">
        <v>2040</v>
      </c>
      <c r="BU304" s="766" t="s">
        <v>1288</v>
      </c>
      <c r="BV304" s="770" t="s">
        <v>1247</v>
      </c>
      <c r="BW304" s="770">
        <v>2005</v>
      </c>
      <c r="BX304" s="302"/>
      <c r="BY304" s="303"/>
      <c r="BZ304" s="770"/>
      <c r="CA304" s="302"/>
      <c r="CB304" s="302" t="s">
        <v>1207</v>
      </c>
      <c r="CC304" s="770"/>
      <c r="CD304" s="770"/>
      <c r="CE304" s="770"/>
      <c r="CF304" s="304">
        <v>1</v>
      </c>
      <c r="CG304" s="321">
        <v>6.5</v>
      </c>
      <c r="CH304" s="770" t="s">
        <v>1527</v>
      </c>
      <c r="CI304" s="770"/>
      <c r="CJ304" s="770"/>
      <c r="CK304" s="770"/>
      <c r="CL304" s="770"/>
      <c r="CM304" s="770"/>
      <c r="CN304" s="770"/>
      <c r="CO304" s="770"/>
      <c r="CP304" s="770"/>
      <c r="CQ304" s="770"/>
      <c r="CR304" s="770"/>
      <c r="CS304" s="302"/>
      <c r="CT304" s="770"/>
      <c r="CU304" s="305"/>
      <c r="CV304" s="770"/>
      <c r="CW304" s="770"/>
      <c r="CX304" s="770"/>
      <c r="CY304" s="770"/>
      <c r="CZ304" s="770"/>
      <c r="DA304" s="306"/>
      <c r="DB304" s="770"/>
      <c r="DC304" s="770"/>
      <c r="DD304" s="770"/>
      <c r="DE304" s="300"/>
      <c r="DF304" s="770"/>
      <c r="DG304" s="770"/>
      <c r="DH304" s="770"/>
      <c r="DI304" s="770"/>
      <c r="DJ304" s="770"/>
      <c r="DK304" s="770"/>
      <c r="DL304" s="770"/>
      <c r="DM304" s="770"/>
      <c r="DN304" s="322"/>
      <c r="DO304" s="770"/>
      <c r="DP304" s="770"/>
      <c r="DQ304" s="770"/>
      <c r="DR304" s="770"/>
      <c r="DS304" s="307"/>
      <c r="DT304" s="770"/>
      <c r="DU304" s="770"/>
      <c r="DV304" s="770"/>
      <c r="DW304" s="306"/>
      <c r="DX304" s="306"/>
      <c r="DY304" s="770"/>
      <c r="DZ304" s="770"/>
      <c r="EA304" s="770"/>
      <c r="EB304" s="770"/>
      <c r="EC304" s="770"/>
      <c r="ED304" s="770"/>
      <c r="EE304" s="770"/>
      <c r="EF304" s="770"/>
      <c r="EG304" s="770"/>
      <c r="EH304" s="770"/>
      <c r="EI304" s="770"/>
      <c r="EJ304" s="770"/>
      <c r="EK304" s="770"/>
      <c r="EL304" s="770"/>
      <c r="EM304" s="770"/>
      <c r="EN304" s="770"/>
      <c r="EO304" s="770"/>
      <c r="EP304" s="94"/>
      <c r="EQ304" s="770"/>
      <c r="ER304" s="770"/>
      <c r="ES304" s="770"/>
      <c r="ET304" s="770"/>
      <c r="EU304" s="770"/>
      <c r="EV304" s="770"/>
      <c r="EW304" s="770"/>
      <c r="EX304" s="770"/>
      <c r="EY304" s="770"/>
      <c r="EZ304" s="770"/>
      <c r="FA304" s="770" t="s">
        <v>5656</v>
      </c>
      <c r="FB304" s="770" t="s">
        <v>1105</v>
      </c>
      <c r="FC304" s="770"/>
      <c r="FD304" s="302"/>
      <c r="FE304" s="770" t="s">
        <v>1528</v>
      </c>
      <c r="FF304" s="770" t="s">
        <v>5657</v>
      </c>
      <c r="FG304" s="770"/>
      <c r="FH304" s="770" t="s">
        <v>478</v>
      </c>
      <c r="FI304" s="770">
        <v>1</v>
      </c>
      <c r="FJ304" s="770"/>
      <c r="FK304" s="770"/>
      <c r="FL304" s="770"/>
      <c r="FM304" s="302"/>
      <c r="FN304" s="302"/>
      <c r="FO304" s="302"/>
      <c r="FP304" s="766" t="s">
        <v>1602</v>
      </c>
      <c r="FQ304" s="766" t="s">
        <v>1660</v>
      </c>
      <c r="FR304" s="770" t="s">
        <v>1214</v>
      </c>
      <c r="FS304" s="770"/>
      <c r="FT304" s="770"/>
      <c r="FU304" s="770"/>
      <c r="FV304" s="770"/>
      <c r="FW304" s="770"/>
      <c r="FX304" s="770"/>
      <c r="FY304" s="770"/>
      <c r="FZ304" s="770"/>
      <c r="GA304" s="770"/>
      <c r="GB304" s="770"/>
      <c r="GC304" s="308"/>
      <c r="GD304" s="297"/>
      <c r="GE304" s="770"/>
      <c r="GF304" s="302"/>
      <c r="GG304" s="302"/>
      <c r="GH304" s="770"/>
      <c r="GI304" s="770"/>
      <c r="GJ304" s="770"/>
      <c r="GK304" s="770"/>
      <c r="GL304" s="770"/>
      <c r="GM304" s="770"/>
      <c r="GN304" s="309"/>
      <c r="GO304" s="770"/>
      <c r="GP304" s="770"/>
      <c r="GQ304" s="770"/>
      <c r="GR304" s="770"/>
      <c r="GS304" s="770"/>
      <c r="GT304" s="770"/>
      <c r="GU304" s="770"/>
      <c r="GV304" s="770"/>
      <c r="GW304" s="770"/>
      <c r="GX304" s="770"/>
      <c r="GY304" s="770"/>
      <c r="GZ304" s="770"/>
      <c r="HA304" s="770"/>
      <c r="HB304" s="770"/>
      <c r="HC304" s="770"/>
      <c r="HD304" s="770"/>
      <c r="HE304" s="770"/>
      <c r="HF304" s="770"/>
      <c r="HG304" s="770"/>
      <c r="HH304" s="770"/>
      <c r="HI304" s="770"/>
      <c r="HJ304" s="770"/>
      <c r="HK304" s="770"/>
      <c r="HL304" s="770"/>
      <c r="HM304" s="770"/>
      <c r="HN304" s="770"/>
      <c r="HO304" s="770"/>
      <c r="HP304" s="770"/>
      <c r="HQ304" s="770"/>
      <c r="HR304" s="770"/>
      <c r="HS304" s="770"/>
      <c r="HT304" s="770"/>
      <c r="HU304" s="770"/>
      <c r="HV304" s="770"/>
      <c r="HW304" s="770"/>
      <c r="HX304" s="770"/>
      <c r="HY304" s="770"/>
      <c r="HZ304" s="770"/>
      <c r="IA304" s="770"/>
      <c r="IB304" s="14" t="e">
        <f>IF(#REF!&gt;0,IF(#REF!&lt;=10000,"Y",""),"")</f>
        <v>#REF!</v>
      </c>
      <c r="IC304" s="770"/>
      <c r="ID304" s="770"/>
      <c r="IE304" s="770"/>
      <c r="IF304" s="770"/>
      <c r="IG304" s="770"/>
      <c r="IH304" s="770"/>
      <c r="II304" s="770"/>
      <c r="IJ304" s="770"/>
      <c r="IK304" s="770"/>
      <c r="IL304" s="770"/>
      <c r="IM304" s="770"/>
      <c r="IN304" s="770"/>
      <c r="IO304" s="296"/>
      <c r="IP304" s="770"/>
      <c r="IQ304" s="770"/>
      <c r="IR304" s="770"/>
      <c r="IS304" s="770"/>
      <c r="IT304" s="770"/>
      <c r="IU304" s="770"/>
      <c r="IV304" s="770"/>
      <c r="IW304" s="770"/>
      <c r="IX304" s="770"/>
      <c r="IY304" s="770"/>
      <c r="IZ304" s="770"/>
      <c r="JA304" s="770"/>
      <c r="JB304" s="770"/>
      <c r="JC304" s="770"/>
      <c r="JD304" s="302"/>
      <c r="JE304" s="770"/>
      <c r="JF304" s="770"/>
      <c r="JG304" s="770"/>
      <c r="JH304" s="770"/>
      <c r="JI304" s="712" t="str">
        <f>IF(SUM(JT304,JU304)=JJ304,"ok","review")</f>
        <v>ok</v>
      </c>
      <c r="JJ304" s="770">
        <v>5</v>
      </c>
      <c r="JK304" s="1139" t="s">
        <v>1372</v>
      </c>
      <c r="JL304" s="770"/>
      <c r="JM304" s="770"/>
      <c r="JN304" s="770">
        <v>3</v>
      </c>
      <c r="JO304" s="770">
        <v>2</v>
      </c>
      <c r="JP304" s="770"/>
      <c r="JQ304" s="770"/>
      <c r="JR304" s="770"/>
      <c r="JS304" s="770"/>
      <c r="JT304" s="766">
        <f>SUM(JP304,JN304,JL304,JR304)</f>
        <v>3</v>
      </c>
      <c r="JU304" s="766">
        <f>SUM(JQ304,JO304,JM304,JS304)</f>
        <v>2</v>
      </c>
      <c r="JV304" s="712" t="str">
        <f>IF(JT304=KJ304,"ok","male")</f>
        <v>ok</v>
      </c>
      <c r="JW304" s="712" t="str">
        <f>IF(JU304=KK304,"ok","female")</f>
        <v>ok</v>
      </c>
      <c r="JX304" s="770"/>
      <c r="JY304" s="770"/>
      <c r="JZ304" s="770"/>
      <c r="KA304" s="770"/>
      <c r="KB304" s="770">
        <v>1</v>
      </c>
      <c r="KC304" s="770">
        <v>1</v>
      </c>
      <c r="KD304" s="770">
        <v>2</v>
      </c>
      <c r="KE304" s="770">
        <v>1</v>
      </c>
      <c r="KF304" s="770"/>
      <c r="KG304" s="770"/>
      <c r="KH304" s="770"/>
      <c r="KI304" s="770"/>
      <c r="KJ304" s="770">
        <f t="shared" si="86"/>
        <v>3</v>
      </c>
      <c r="KK304" s="770">
        <f t="shared" si="86"/>
        <v>2</v>
      </c>
      <c r="KL304" s="712" t="str">
        <f>IF(KJ304=LN304,"ok","male")</f>
        <v>ok</v>
      </c>
      <c r="KM304" s="712" t="str">
        <f>IF(KK304=LO304,"ok","female")</f>
        <v>ok</v>
      </c>
      <c r="KN304" s="770" t="s">
        <v>707</v>
      </c>
      <c r="KO304" s="770"/>
      <c r="KP304" s="770"/>
      <c r="KQ304" s="770"/>
      <c r="KR304" s="770"/>
      <c r="KS304" s="770"/>
      <c r="KT304" s="770"/>
      <c r="KU304" s="770"/>
      <c r="KV304" s="770"/>
      <c r="KW304" s="770"/>
      <c r="KX304" s="770"/>
      <c r="KY304" s="770"/>
      <c r="KZ304" s="770">
        <v>1</v>
      </c>
      <c r="LA304" s="770">
        <v>1</v>
      </c>
      <c r="LB304" s="770"/>
      <c r="LC304" s="770"/>
      <c r="LD304" s="770">
        <v>2</v>
      </c>
      <c r="LE304" s="770">
        <v>1</v>
      </c>
      <c r="LF304" s="770"/>
      <c r="LG304" s="770"/>
      <c r="LH304" s="770"/>
      <c r="LI304" s="770"/>
      <c r="LJ304" s="770"/>
      <c r="LK304" s="770"/>
      <c r="LL304" s="770"/>
      <c r="LM304" s="770"/>
      <c r="LN304" s="766">
        <f>SUM(KP304,KR304,KT304,KV304,KX304,KZ304,LB304,LD304,LF304,LH304,LJ304,LL304)</f>
        <v>3</v>
      </c>
      <c r="LO304" s="766">
        <f>SUM(KQ304,KS304,KU304,KW304,KY304,LA304,LC304,LE304,LG304,LI304,LK304,LM304)</f>
        <v>2</v>
      </c>
      <c r="LP304" s="770">
        <v>3</v>
      </c>
      <c r="LQ304" s="770">
        <v>3</v>
      </c>
      <c r="LR304" s="770"/>
      <c r="LS304" s="770"/>
      <c r="LT304" s="712" t="str">
        <f>IF(LQ304=SUM(LU304:LW304),"OK","REV")</f>
        <v>OK</v>
      </c>
      <c r="LU304" s="770">
        <v>1</v>
      </c>
      <c r="LV304" s="770">
        <v>2</v>
      </c>
      <c r="LW304" s="770"/>
      <c r="LX304" s="769">
        <v>1</v>
      </c>
      <c r="LY304" s="766" t="str">
        <f t="shared" si="93"/>
        <v>within the BRGY</v>
      </c>
      <c r="LZ304" s="299"/>
      <c r="MA304" s="306"/>
      <c r="MB304" s="306"/>
      <c r="MC304" s="1679">
        <f t="shared" si="91"/>
        <v>0</v>
      </c>
      <c r="MD304" s="306">
        <v>3600</v>
      </c>
      <c r="ME304" s="306"/>
      <c r="MF304" s="306"/>
      <c r="MG304" s="1680">
        <f t="shared" si="94"/>
        <v>3600</v>
      </c>
      <c r="MH304" s="770" t="s">
        <v>2215</v>
      </c>
      <c r="MI304" s="302">
        <v>14000</v>
      </c>
      <c r="MJ304" s="302">
        <v>28000</v>
      </c>
      <c r="MK304" s="302">
        <v>167</v>
      </c>
      <c r="ML304" s="302">
        <v>891</v>
      </c>
      <c r="MM304" s="302"/>
      <c r="MN304" s="302"/>
      <c r="MO304" s="302">
        <v>1780</v>
      </c>
      <c r="MP304" s="302">
        <v>2000</v>
      </c>
      <c r="MQ304" s="302">
        <v>750</v>
      </c>
      <c r="MR304" s="302">
        <v>1200</v>
      </c>
      <c r="MS304" s="302"/>
      <c r="MT304" s="302"/>
      <c r="MU304" s="302"/>
      <c r="MV304" s="302"/>
      <c r="MW304" s="302"/>
      <c r="MX304" s="302"/>
      <c r="MY304" s="1682">
        <f t="shared" si="74"/>
        <v>48788</v>
      </c>
      <c r="MZ304" s="770" t="s">
        <v>13164</v>
      </c>
      <c r="NA304" s="770" t="s">
        <v>13005</v>
      </c>
      <c r="NB304" s="770" t="s">
        <v>13371</v>
      </c>
      <c r="NC304" s="770" t="s">
        <v>13007</v>
      </c>
      <c r="ND304" s="770">
        <v>2</v>
      </c>
      <c r="NE304" s="770">
        <v>1</v>
      </c>
      <c r="NF304" s="770">
        <v>0</v>
      </c>
      <c r="NG304" s="770">
        <v>1</v>
      </c>
      <c r="NH304" s="770">
        <v>1</v>
      </c>
      <c r="NI304" s="770">
        <v>1</v>
      </c>
      <c r="NJ304" s="770">
        <v>0</v>
      </c>
      <c r="NK304" s="770">
        <v>0</v>
      </c>
      <c r="NL304" s="770">
        <v>1</v>
      </c>
      <c r="NM304" s="770">
        <v>1</v>
      </c>
      <c r="NN304" s="770">
        <v>0</v>
      </c>
      <c r="NO304" s="770">
        <v>0</v>
      </c>
      <c r="NP304" s="770">
        <v>0</v>
      </c>
      <c r="NQ304" s="770">
        <v>0</v>
      </c>
      <c r="NR304" s="770">
        <v>0</v>
      </c>
      <c r="NS304" s="770">
        <v>0</v>
      </c>
      <c r="NT304" s="770">
        <v>0</v>
      </c>
      <c r="NU304" s="770">
        <v>0</v>
      </c>
      <c r="NV304" s="770">
        <v>0</v>
      </c>
      <c r="NW304" s="770">
        <v>0</v>
      </c>
      <c r="NX304" s="770">
        <v>0</v>
      </c>
      <c r="NY304" s="770"/>
      <c r="NZ304" s="770"/>
      <c r="OA304" s="770"/>
      <c r="OB304" s="770"/>
      <c r="OC304" s="770"/>
      <c r="OD304" s="770"/>
      <c r="OE304" s="770"/>
      <c r="OF304" s="770"/>
      <c r="OG304" s="770"/>
      <c r="OH304" s="770"/>
      <c r="OI304" s="770"/>
      <c r="OJ304" s="770"/>
      <c r="OK304" s="770"/>
      <c r="OL304" s="770"/>
      <c r="OM304" s="770"/>
      <c r="ON304" s="770"/>
      <c r="OO304" s="770"/>
      <c r="OP304" s="770"/>
      <c r="OQ304" s="770"/>
      <c r="OR304" s="770"/>
      <c r="OS304" s="770"/>
      <c r="OT304" s="770"/>
      <c r="OU304" s="770"/>
      <c r="OV304" s="770"/>
      <c r="OW304" s="770"/>
      <c r="OX304" s="770"/>
      <c r="OY304" s="770"/>
      <c r="OZ304" s="770"/>
      <c r="PA304" s="770"/>
      <c r="PB304" s="770"/>
      <c r="PC304" s="770"/>
      <c r="PD304" s="770"/>
      <c r="PE304" s="770"/>
      <c r="PF304" s="770"/>
      <c r="PG304" s="770"/>
      <c r="PH304" s="770"/>
      <c r="PI304" s="770"/>
      <c r="PJ304" s="770"/>
      <c r="PK304" s="770"/>
      <c r="PL304" s="770"/>
      <c r="PM304" s="770" t="s">
        <v>1208</v>
      </c>
      <c r="PN304" s="770"/>
      <c r="PO304" s="770"/>
      <c r="PP304" s="770"/>
      <c r="PQ304" s="770"/>
      <c r="PR304" s="770"/>
      <c r="PS304" s="770"/>
      <c r="PT304" s="770"/>
      <c r="PU304" s="770"/>
      <c r="PV304" s="770"/>
      <c r="PW304" s="770"/>
      <c r="PX304" s="770"/>
      <c r="PY304" s="770"/>
      <c r="PZ304" s="770"/>
      <c r="QA304" s="770"/>
      <c r="QB304" s="770"/>
      <c r="QC304" s="770"/>
      <c r="QD304" s="770"/>
      <c r="QE304" s="770"/>
      <c r="QF304" s="770"/>
      <c r="QG304" s="770"/>
      <c r="QH304" s="770"/>
      <c r="QI304" s="770"/>
      <c r="QJ304" s="770"/>
      <c r="QK304" s="770"/>
      <c r="QL304" s="770"/>
      <c r="QM304" s="770"/>
      <c r="QN304" s="770"/>
      <c r="QO304" s="770"/>
      <c r="QP304" s="770"/>
      <c r="QQ304" s="770" t="s">
        <v>1208</v>
      </c>
      <c r="QR304" s="770" t="s">
        <v>1208</v>
      </c>
      <c r="QS304" s="770"/>
      <c r="QT304" s="770"/>
      <c r="QU304" s="770"/>
      <c r="QV304" s="770"/>
      <c r="QW304" s="770"/>
      <c r="QX304" s="770"/>
      <c r="QY304" s="770"/>
      <c r="QZ304" s="770"/>
      <c r="RA304" s="770"/>
      <c r="RB304" s="770" t="s">
        <v>1207</v>
      </c>
      <c r="RC304" s="770">
        <v>2014</v>
      </c>
      <c r="RD304" s="770" t="s">
        <v>13251</v>
      </c>
      <c r="RE304" s="770" t="s">
        <v>12999</v>
      </c>
      <c r="RF304" s="304">
        <f>CONVERT(1.5,"ft","m")</f>
        <v>0.4572</v>
      </c>
      <c r="RG304" s="770" t="s">
        <v>13267</v>
      </c>
      <c r="RH304" s="302">
        <v>2000</v>
      </c>
      <c r="RI304" s="770">
        <v>5</v>
      </c>
      <c r="RJ304" s="770" t="s">
        <v>13436</v>
      </c>
      <c r="RK304" s="770" t="s">
        <v>13381</v>
      </c>
      <c r="RL304" s="1710"/>
      <c r="RM304" s="12"/>
      <c r="RN304" s="1711"/>
      <c r="RO304" s="140" t="s">
        <v>516</v>
      </c>
      <c r="RP304" s="11"/>
      <c r="RQ304" s="11"/>
      <c r="RR304" s="154" t="s">
        <v>7419</v>
      </c>
      <c r="RS304" s="1139" t="s">
        <v>12980</v>
      </c>
      <c r="RT304" s="11"/>
      <c r="RU304" s="11"/>
      <c r="RV304" s="771" t="s">
        <v>7419</v>
      </c>
      <c r="RW304" s="11" t="s">
        <v>7974</v>
      </c>
      <c r="RX304" s="11" t="s">
        <v>516</v>
      </c>
      <c r="RY304" s="11"/>
      <c r="RZ304" s="11"/>
      <c r="SA304" s="771"/>
      <c r="SB304" s="11"/>
      <c r="SC304" s="11"/>
    </row>
    <row r="305" spans="1:497" ht="12.75" hidden="1" customHeight="1">
      <c r="A305" s="154" t="s">
        <v>14139</v>
      </c>
      <c r="B305" s="292" t="s">
        <v>7541</v>
      </c>
      <c r="C305" s="140" t="s">
        <v>520</v>
      </c>
      <c r="D305" s="770" t="s">
        <v>521</v>
      </c>
      <c r="E305" s="770" t="s">
        <v>522</v>
      </c>
      <c r="F305" s="770" t="s">
        <v>20</v>
      </c>
      <c r="G305" s="770" t="s">
        <v>18</v>
      </c>
      <c r="H305" s="770"/>
      <c r="I305" s="295"/>
      <c r="J305" s="94" t="s">
        <v>523</v>
      </c>
      <c r="K305" s="770"/>
      <c r="L305" s="770"/>
      <c r="M305" s="770"/>
      <c r="N305" s="770"/>
      <c r="O305" s="770"/>
      <c r="P305" s="770"/>
      <c r="Q305" s="1088"/>
      <c r="R305" s="297"/>
      <c r="S305" s="770"/>
      <c r="T305" s="770"/>
      <c r="U305" s="298"/>
      <c r="V305" s="770"/>
      <c r="W305" s="770"/>
      <c r="X305" s="296"/>
      <c r="Y305" s="770"/>
      <c r="Z305" s="770"/>
      <c r="AA305" s="770"/>
      <c r="AB305" s="770"/>
      <c r="AC305" s="770"/>
      <c r="AD305" s="770"/>
      <c r="AE305" s="770"/>
      <c r="AF305" s="770"/>
      <c r="AG305" s="770"/>
      <c r="AH305" s="770"/>
      <c r="AI305" s="770"/>
      <c r="AJ305" s="770"/>
      <c r="AK305" s="770" t="s">
        <v>5454</v>
      </c>
      <c r="AL305" s="299">
        <v>36.5</v>
      </c>
      <c r="AM305" s="300">
        <v>15</v>
      </c>
      <c r="AN305" s="301">
        <v>0.41089999999999999</v>
      </c>
      <c r="AO305" s="766" t="s">
        <v>1149</v>
      </c>
      <c r="AP305" s="766"/>
      <c r="AQ305" s="766"/>
      <c r="AR305" s="766"/>
      <c r="AS305" s="770"/>
      <c r="AT305" s="770"/>
      <c r="AU305" s="770"/>
      <c r="AV305" s="770"/>
      <c r="AW305" s="770"/>
      <c r="AX305" s="770"/>
      <c r="AY305" s="770"/>
      <c r="AZ305" s="770"/>
      <c r="BA305" s="770"/>
      <c r="BB305" s="770"/>
      <c r="BC305" s="770"/>
      <c r="BD305" s="770"/>
      <c r="BE305" s="770"/>
      <c r="BF305" s="302"/>
      <c r="BG305" s="302"/>
      <c r="BH305" s="770"/>
      <c r="BI305" s="770"/>
      <c r="BJ305" s="770"/>
      <c r="BK305" s="770" t="s">
        <v>1095</v>
      </c>
      <c r="BL305" s="770" t="s">
        <v>1373</v>
      </c>
      <c r="BM305" s="766" t="s">
        <v>1096</v>
      </c>
      <c r="BN305" s="770" t="s">
        <v>1230</v>
      </c>
      <c r="BO305" s="766" t="s">
        <v>1246</v>
      </c>
      <c r="BP305" s="559">
        <v>36.5</v>
      </c>
      <c r="BQ305" s="334">
        <v>15</v>
      </c>
      <c r="BR305" s="774">
        <v>0.41089999999999999</v>
      </c>
      <c r="BS305" s="6" t="s">
        <v>1149</v>
      </c>
      <c r="BT305" s="766" t="s">
        <v>2040</v>
      </c>
      <c r="BU305" s="770" t="s">
        <v>1249</v>
      </c>
      <c r="BV305" s="770" t="s">
        <v>1247</v>
      </c>
      <c r="BW305" s="769"/>
      <c r="BX305" s="302"/>
      <c r="BY305" s="303"/>
      <c r="BZ305" s="770"/>
      <c r="CA305" s="302"/>
      <c r="CB305" s="302"/>
      <c r="CC305" s="770"/>
      <c r="CD305" s="770"/>
      <c r="CE305" s="770"/>
      <c r="CF305" s="304"/>
      <c r="CG305" s="321"/>
      <c r="CH305" s="770"/>
      <c r="CI305" s="770"/>
      <c r="CJ305" s="770"/>
      <c r="CK305" s="770"/>
      <c r="CL305" s="770"/>
      <c r="CM305" s="770"/>
      <c r="CN305" s="770"/>
      <c r="CO305" s="770"/>
      <c r="CP305" s="770"/>
      <c r="CQ305" s="770"/>
      <c r="CR305" s="770"/>
      <c r="CS305" s="302"/>
      <c r="CT305" s="770"/>
      <c r="CU305" s="305"/>
      <c r="CV305" s="770"/>
      <c r="CW305" s="770"/>
      <c r="CX305" s="770"/>
      <c r="CY305" s="770"/>
      <c r="CZ305" s="770"/>
      <c r="DA305" s="306"/>
      <c r="DB305" s="770"/>
      <c r="DC305" s="770"/>
      <c r="DD305" s="770"/>
      <c r="DE305" s="300"/>
      <c r="DF305" s="770"/>
      <c r="DG305" s="770"/>
      <c r="DH305" s="770"/>
      <c r="DI305" s="770"/>
      <c r="DJ305" s="770"/>
      <c r="DK305" s="770"/>
      <c r="DL305" s="770"/>
      <c r="DM305" s="770"/>
      <c r="DN305" s="322"/>
      <c r="DO305" s="770"/>
      <c r="DP305" s="770"/>
      <c r="DQ305" s="770"/>
      <c r="DR305" s="770"/>
      <c r="DS305" s="307"/>
      <c r="DT305" s="770"/>
      <c r="DU305" s="770"/>
      <c r="DV305" s="770"/>
      <c r="DW305" s="306"/>
      <c r="DX305" s="306"/>
      <c r="DY305" s="770"/>
      <c r="DZ305" s="770"/>
      <c r="EA305" s="770"/>
      <c r="EB305" s="770"/>
      <c r="EC305" s="770"/>
      <c r="ED305" s="770"/>
      <c r="EE305" s="770"/>
      <c r="EF305" s="770"/>
      <c r="EG305" s="770"/>
      <c r="EH305" s="770"/>
      <c r="EI305" s="770"/>
      <c r="EJ305" s="770"/>
      <c r="EK305" s="770"/>
      <c r="EL305" s="770"/>
      <c r="EM305" s="770"/>
      <c r="EN305" s="770"/>
      <c r="EO305" s="770"/>
      <c r="EP305" s="94"/>
      <c r="EQ305" s="770"/>
      <c r="ER305" s="770"/>
      <c r="ES305" s="770"/>
      <c r="ET305" s="770"/>
      <c r="EU305" s="770"/>
      <c r="EV305" s="770"/>
      <c r="EW305" s="770"/>
      <c r="EX305" s="770"/>
      <c r="EY305" s="770"/>
      <c r="EZ305" s="770"/>
      <c r="FA305" s="770"/>
      <c r="FB305" s="770"/>
      <c r="FC305" s="770"/>
      <c r="FD305" s="302"/>
      <c r="FE305" s="770"/>
      <c r="FF305" s="770"/>
      <c r="FG305" s="770"/>
      <c r="FH305" s="770" t="s">
        <v>478</v>
      </c>
      <c r="FI305" s="770">
        <v>1</v>
      </c>
      <c r="FJ305" s="770"/>
      <c r="FK305" s="770"/>
      <c r="FL305" s="770"/>
      <c r="FM305" s="302"/>
      <c r="FN305" s="302"/>
      <c r="FO305" s="302"/>
      <c r="FP305" s="770" t="s">
        <v>1600</v>
      </c>
      <c r="FQ305" s="770" t="s">
        <v>1642</v>
      </c>
      <c r="FR305" s="770" t="s">
        <v>1214</v>
      </c>
      <c r="FS305" s="770"/>
      <c r="FT305" s="770"/>
      <c r="FU305" s="770"/>
      <c r="FV305" s="770"/>
      <c r="FW305" s="770"/>
      <c r="FX305" s="770"/>
      <c r="FY305" s="770"/>
      <c r="FZ305" s="770"/>
      <c r="GA305" s="770"/>
      <c r="GB305" s="770"/>
      <c r="GC305" s="308"/>
      <c r="GD305" s="297"/>
      <c r="GE305" s="770"/>
      <c r="GF305" s="302"/>
      <c r="GG305" s="302"/>
      <c r="GH305" s="770"/>
      <c r="GI305" s="770"/>
      <c r="GJ305" s="770"/>
      <c r="GK305" s="770"/>
      <c r="GL305" s="770"/>
      <c r="GM305" s="770"/>
      <c r="GN305" s="309"/>
      <c r="GO305" s="770"/>
      <c r="GP305" s="770"/>
      <c r="GQ305" s="770"/>
      <c r="GR305" s="770"/>
      <c r="GS305" s="770"/>
      <c r="GT305" s="770"/>
      <c r="GU305" s="770"/>
      <c r="GV305" s="770"/>
      <c r="GW305" s="770"/>
      <c r="GX305" s="770"/>
      <c r="GY305" s="770"/>
      <c r="GZ305" s="770"/>
      <c r="HA305" s="770"/>
      <c r="HB305" s="770"/>
      <c r="HC305" s="770"/>
      <c r="HD305" s="770"/>
      <c r="HE305" s="770"/>
      <c r="HF305" s="770"/>
      <c r="HG305" s="770"/>
      <c r="HH305" s="770"/>
      <c r="HI305" s="770"/>
      <c r="HJ305" s="770"/>
      <c r="HK305" s="770"/>
      <c r="HL305" s="770"/>
      <c r="HM305" s="770"/>
      <c r="HN305" s="770"/>
      <c r="HO305" s="770"/>
      <c r="HP305" s="770"/>
      <c r="HQ305" s="770"/>
      <c r="HR305" s="770"/>
      <c r="HS305" s="770"/>
      <c r="HT305" s="770"/>
      <c r="HU305" s="770"/>
      <c r="HV305" s="770"/>
      <c r="HW305" s="770"/>
      <c r="HX305" s="770"/>
      <c r="HY305" s="770"/>
      <c r="HZ305" s="770"/>
      <c r="IA305" s="770"/>
      <c r="IB305" s="14" t="e">
        <f>IF(#REF!&gt;0,IF(#REF!&lt;=10000,"Y",""),"")</f>
        <v>#REF!</v>
      </c>
      <c r="IC305" s="770"/>
      <c r="ID305" s="770"/>
      <c r="IE305" s="770"/>
      <c r="IF305" s="770"/>
      <c r="IG305" s="770"/>
      <c r="IH305" s="770"/>
      <c r="II305" s="770"/>
      <c r="IJ305" s="770"/>
      <c r="IK305" s="770"/>
      <c r="IL305" s="770"/>
      <c r="IM305" s="770"/>
      <c r="IN305" s="770"/>
      <c r="IO305" s="296"/>
      <c r="IP305" s="770"/>
      <c r="IQ305" s="770"/>
      <c r="IR305" s="770"/>
      <c r="IS305" s="770"/>
      <c r="IT305" s="770"/>
      <c r="IU305" s="770"/>
      <c r="IV305" s="770"/>
      <c r="IW305" s="770"/>
      <c r="IX305" s="770"/>
      <c r="IY305" s="770"/>
      <c r="IZ305" s="770"/>
      <c r="JA305" s="770"/>
      <c r="JB305" s="770"/>
      <c r="JC305" s="770"/>
      <c r="JD305" s="302"/>
      <c r="JE305" s="770"/>
      <c r="JF305" s="770"/>
      <c r="JG305" s="770"/>
      <c r="JH305" s="770"/>
      <c r="JI305" s="770"/>
      <c r="JJ305" s="770"/>
      <c r="JK305" s="770"/>
      <c r="JL305" s="770"/>
      <c r="JM305" s="770"/>
      <c r="JN305" s="770"/>
      <c r="JO305" s="770"/>
      <c r="JP305" s="770"/>
      <c r="JQ305" s="770"/>
      <c r="JR305" s="770"/>
      <c r="JS305" s="770"/>
      <c r="JT305" s="766"/>
      <c r="JU305" s="766"/>
      <c r="JV305" s="766"/>
      <c r="JW305" s="766"/>
      <c r="JX305" s="770"/>
      <c r="JY305" s="770"/>
      <c r="JZ305" s="770"/>
      <c r="KA305" s="770"/>
      <c r="KB305" s="770"/>
      <c r="KC305" s="770"/>
      <c r="KD305" s="770"/>
      <c r="KE305" s="770"/>
      <c r="KF305" s="770"/>
      <c r="KG305" s="770"/>
      <c r="KH305" s="770"/>
      <c r="KI305" s="770"/>
      <c r="KJ305" s="770"/>
      <c r="KK305" s="770"/>
      <c r="KL305" s="770"/>
      <c r="KM305" s="770"/>
      <c r="KN305" s="770"/>
      <c r="KO305" s="770"/>
      <c r="KP305" s="770"/>
      <c r="KQ305" s="770"/>
      <c r="KR305" s="770"/>
      <c r="KS305" s="770"/>
      <c r="KT305" s="770"/>
      <c r="KU305" s="770"/>
      <c r="KV305" s="770"/>
      <c r="KW305" s="770"/>
      <c r="KX305" s="770"/>
      <c r="KY305" s="770"/>
      <c r="KZ305" s="770"/>
      <c r="LA305" s="770"/>
      <c r="LB305" s="770"/>
      <c r="LC305" s="770"/>
      <c r="LD305" s="770"/>
      <c r="LE305" s="770"/>
      <c r="LF305" s="770"/>
      <c r="LG305" s="770"/>
      <c r="LH305" s="770"/>
      <c r="LI305" s="770"/>
      <c r="LJ305" s="770"/>
      <c r="LK305" s="770"/>
      <c r="LL305" s="770"/>
      <c r="LM305" s="770"/>
      <c r="LN305" s="766"/>
      <c r="LO305" s="766"/>
      <c r="LP305" s="770"/>
      <c r="LQ305" s="770"/>
      <c r="LR305" s="770"/>
      <c r="LS305" s="770"/>
      <c r="LT305" s="770"/>
      <c r="LU305" s="770"/>
      <c r="LV305" s="770"/>
      <c r="LW305" s="770"/>
      <c r="LX305" s="769"/>
      <c r="LY305" s="766" t="str">
        <f t="shared" si="93"/>
        <v/>
      </c>
      <c r="LZ305" s="299"/>
      <c r="MA305" s="306"/>
      <c r="MB305" s="306"/>
      <c r="MC305" s="1679">
        <f t="shared" si="91"/>
        <v>0</v>
      </c>
      <c r="MD305" s="306"/>
      <c r="ME305" s="306"/>
      <c r="MF305" s="306"/>
      <c r="MG305" s="1680">
        <f t="shared" si="94"/>
        <v>0</v>
      </c>
      <c r="MH305" s="770"/>
      <c r="MI305" s="302"/>
      <c r="MJ305" s="302"/>
      <c r="MK305" s="302"/>
      <c r="ML305" s="302"/>
      <c r="MM305" s="302"/>
      <c r="MN305" s="302"/>
      <c r="MO305" s="302"/>
      <c r="MP305" s="302"/>
      <c r="MQ305" s="302"/>
      <c r="MR305" s="302"/>
      <c r="MS305" s="302"/>
      <c r="MT305" s="302"/>
      <c r="MU305" s="302"/>
      <c r="MV305" s="302"/>
      <c r="MW305" s="302"/>
      <c r="MX305" s="302"/>
      <c r="MY305" s="1682">
        <f t="shared" si="74"/>
        <v>0</v>
      </c>
      <c r="MZ305" s="770"/>
      <c r="NA305" s="770"/>
      <c r="NB305" s="770"/>
      <c r="NC305" s="770"/>
      <c r="ND305" s="770"/>
      <c r="NE305" s="770"/>
      <c r="NF305" s="770"/>
      <c r="NG305" s="770"/>
      <c r="NH305" s="770"/>
      <c r="NI305" s="770"/>
      <c r="NJ305" s="770"/>
      <c r="NK305" s="770"/>
      <c r="NL305" s="770"/>
      <c r="NM305" s="770"/>
      <c r="NN305" s="770"/>
      <c r="NO305" s="770"/>
      <c r="NP305" s="770"/>
      <c r="NQ305" s="770"/>
      <c r="NR305" s="770"/>
      <c r="NS305" s="770"/>
      <c r="NT305" s="770"/>
      <c r="NU305" s="770"/>
      <c r="NV305" s="770"/>
      <c r="NW305" s="770"/>
      <c r="NX305" s="770"/>
      <c r="NY305" s="770"/>
      <c r="NZ305" s="770"/>
      <c r="OA305" s="770"/>
      <c r="OB305" s="770"/>
      <c r="OC305" s="770"/>
      <c r="OD305" s="770"/>
      <c r="OE305" s="770"/>
      <c r="OF305" s="770"/>
      <c r="OG305" s="770"/>
      <c r="OH305" s="770"/>
      <c r="OI305" s="770"/>
      <c r="OJ305" s="770"/>
      <c r="OK305" s="770"/>
      <c r="OL305" s="770"/>
      <c r="OM305" s="770"/>
      <c r="ON305" s="770"/>
      <c r="OO305" s="770"/>
      <c r="OP305" s="770"/>
      <c r="OQ305" s="770"/>
      <c r="OR305" s="770"/>
      <c r="OS305" s="770"/>
      <c r="OT305" s="770"/>
      <c r="OU305" s="770"/>
      <c r="OV305" s="770"/>
      <c r="OW305" s="770"/>
      <c r="OX305" s="770"/>
      <c r="OY305" s="770"/>
      <c r="OZ305" s="770"/>
      <c r="PA305" s="770"/>
      <c r="PB305" s="770"/>
      <c r="PC305" s="770"/>
      <c r="PD305" s="770"/>
      <c r="PE305" s="770"/>
      <c r="PF305" s="770"/>
      <c r="PG305" s="770"/>
      <c r="PH305" s="770"/>
      <c r="PI305" s="770"/>
      <c r="PJ305" s="770"/>
      <c r="PK305" s="770"/>
      <c r="PL305" s="770"/>
      <c r="PM305" s="770"/>
      <c r="PN305" s="770"/>
      <c r="PO305" s="770"/>
      <c r="PP305" s="770"/>
      <c r="PQ305" s="770"/>
      <c r="PR305" s="770"/>
      <c r="PS305" s="770"/>
      <c r="PT305" s="770"/>
      <c r="PU305" s="770"/>
      <c r="PV305" s="770"/>
      <c r="PW305" s="770"/>
      <c r="PX305" s="770"/>
      <c r="PY305" s="770"/>
      <c r="PZ305" s="770"/>
      <c r="QA305" s="770"/>
      <c r="QB305" s="770"/>
      <c r="QC305" s="770"/>
      <c r="QD305" s="770"/>
      <c r="QE305" s="770"/>
      <c r="QF305" s="770"/>
      <c r="QG305" s="770"/>
      <c r="QH305" s="770"/>
      <c r="QI305" s="770"/>
      <c r="QJ305" s="770"/>
      <c r="QK305" s="770"/>
      <c r="QL305" s="770"/>
      <c r="QM305" s="770"/>
      <c r="QN305" s="770"/>
      <c r="QO305" s="770"/>
      <c r="QP305" s="770"/>
      <c r="QQ305" s="770"/>
      <c r="QR305" s="770"/>
      <c r="QS305" s="770"/>
      <c r="QT305" s="770"/>
      <c r="QU305" s="770"/>
      <c r="QV305" s="770"/>
      <c r="QW305" s="770"/>
      <c r="QX305" s="770"/>
      <c r="QY305" s="770"/>
      <c r="QZ305" s="770"/>
      <c r="RA305" s="770"/>
      <c r="RB305" s="770"/>
      <c r="RC305" s="770"/>
      <c r="RD305" s="770"/>
      <c r="RE305" s="770"/>
      <c r="RF305" s="304"/>
      <c r="RG305" s="770"/>
      <c r="RH305" s="302"/>
      <c r="RI305" s="770"/>
      <c r="RJ305" s="770" t="s">
        <v>13437</v>
      </c>
      <c r="RK305" s="770" t="s">
        <v>13381</v>
      </c>
      <c r="RL305" s="1710">
        <v>42816</v>
      </c>
      <c r="RM305" s="12"/>
      <c r="RN305" s="1711"/>
      <c r="RO305" s="140" t="s">
        <v>520</v>
      </c>
      <c r="RP305" s="11"/>
      <c r="RQ305" s="11"/>
      <c r="RR305" s="771"/>
      <c r="RS305" s="767"/>
      <c r="RT305" s="11"/>
      <c r="RU305" s="11"/>
      <c r="RV305" s="771" t="s">
        <v>8077</v>
      </c>
      <c r="RW305" s="11" t="s">
        <v>7626</v>
      </c>
      <c r="RX305" s="11" t="s">
        <v>516</v>
      </c>
      <c r="RY305" s="11"/>
      <c r="RZ305" s="11" t="s">
        <v>1101</v>
      </c>
      <c r="SA305" s="771"/>
      <c r="SB305" s="11"/>
      <c r="SC305" s="11"/>
    </row>
    <row r="306" spans="1:497" ht="12.75" hidden="1" customHeight="1" thickBot="1">
      <c r="A306" s="154" t="s">
        <v>7419</v>
      </c>
      <c r="B306" s="292" t="s">
        <v>7978</v>
      </c>
      <c r="C306" s="140" t="s">
        <v>524</v>
      </c>
      <c r="D306" s="770" t="s">
        <v>525</v>
      </c>
      <c r="E306" s="766" t="s">
        <v>522</v>
      </c>
      <c r="F306" s="770" t="s">
        <v>20</v>
      </c>
      <c r="G306" s="770"/>
      <c r="H306" s="770"/>
      <c r="I306" s="295"/>
      <c r="J306" s="94" t="s">
        <v>526</v>
      </c>
      <c r="K306" s="770"/>
      <c r="L306" s="770"/>
      <c r="M306" s="770"/>
      <c r="N306" s="770"/>
      <c r="O306" s="770"/>
      <c r="P306" s="94" t="s">
        <v>1021</v>
      </c>
      <c r="Q306" s="1088">
        <v>25312</v>
      </c>
      <c r="R306" s="297">
        <v>48</v>
      </c>
      <c r="S306" s="770" t="s">
        <v>10</v>
      </c>
      <c r="T306" s="770" t="s">
        <v>5350</v>
      </c>
      <c r="U306" s="298" t="s">
        <v>5349</v>
      </c>
      <c r="V306" s="770" t="s">
        <v>707</v>
      </c>
      <c r="W306" s="770"/>
      <c r="X306" s="296"/>
      <c r="Y306" s="770" t="s">
        <v>1022</v>
      </c>
      <c r="Z306" s="770" t="s">
        <v>708</v>
      </c>
      <c r="AA306" s="770" t="s">
        <v>709</v>
      </c>
      <c r="AB306" s="770" t="s">
        <v>710</v>
      </c>
      <c r="AC306" s="770" t="s">
        <v>991</v>
      </c>
      <c r="AD306" s="770" t="s">
        <v>1005</v>
      </c>
      <c r="AE306" s="770"/>
      <c r="AF306" s="770" t="s">
        <v>798</v>
      </c>
      <c r="AG306" s="766" t="s">
        <v>1095</v>
      </c>
      <c r="AH306" s="766" t="s">
        <v>1096</v>
      </c>
      <c r="AI306" s="770" t="s">
        <v>1168</v>
      </c>
      <c r="AJ306" s="770"/>
      <c r="AK306" s="766" t="s">
        <v>1097</v>
      </c>
      <c r="AL306" s="299">
        <v>49.4</v>
      </c>
      <c r="AM306" s="300">
        <v>49.4</v>
      </c>
      <c r="AN306" s="301">
        <v>1</v>
      </c>
      <c r="AO306" s="766" t="s">
        <v>1122</v>
      </c>
      <c r="AP306" s="766"/>
      <c r="AQ306" s="766"/>
      <c r="AR306" s="766"/>
      <c r="AS306" s="770" t="s">
        <v>1207</v>
      </c>
      <c r="AT306" s="770" t="s">
        <v>1216</v>
      </c>
      <c r="AU306" s="770"/>
      <c r="AV306" s="770" t="s">
        <v>1208</v>
      </c>
      <c r="AW306" s="770"/>
      <c r="AX306" s="770"/>
      <c r="AY306" s="770"/>
      <c r="AZ306" s="770"/>
      <c r="BA306" s="770"/>
      <c r="BB306" s="770"/>
      <c r="BC306" s="770" t="s">
        <v>796</v>
      </c>
      <c r="BD306" s="770" t="s">
        <v>1207</v>
      </c>
      <c r="BE306" s="770"/>
      <c r="BF306" s="302"/>
      <c r="BG306" s="302"/>
      <c r="BH306" s="770"/>
      <c r="BI306" s="770"/>
      <c r="BJ306" s="770"/>
      <c r="BK306" s="770" t="s">
        <v>1095</v>
      </c>
      <c r="BL306" s="770" t="s">
        <v>1168</v>
      </c>
      <c r="BM306" s="770" t="s">
        <v>8108</v>
      </c>
      <c r="BN306" s="770" t="s">
        <v>1230</v>
      </c>
      <c r="BO306" s="770" t="s">
        <v>1275</v>
      </c>
      <c r="BP306" s="559">
        <v>148.19999999999999</v>
      </c>
      <c r="BQ306" s="559">
        <v>148.19999999999999</v>
      </c>
      <c r="BR306" s="774">
        <f>BQ306/BP306</f>
        <v>1</v>
      </c>
      <c r="BS306" s="766" t="s">
        <v>1257</v>
      </c>
      <c r="BT306" s="766" t="s">
        <v>2040</v>
      </c>
      <c r="BU306" s="766" t="s">
        <v>1249</v>
      </c>
      <c r="BV306" s="770" t="s">
        <v>1247</v>
      </c>
      <c r="BW306" s="769"/>
      <c r="BX306" s="302"/>
      <c r="BY306" s="303"/>
      <c r="BZ306" s="770"/>
      <c r="CA306" s="302"/>
      <c r="CB306" s="302" t="s">
        <v>1207</v>
      </c>
      <c r="CC306" s="770" t="s">
        <v>525</v>
      </c>
      <c r="CD306" s="770"/>
      <c r="CE306" s="770"/>
      <c r="CF306" s="304">
        <v>1.5</v>
      </c>
      <c r="CG306" s="321">
        <v>11.5</v>
      </c>
      <c r="CH306" s="770" t="s">
        <v>1529</v>
      </c>
      <c r="CI306" s="770" t="s">
        <v>5645</v>
      </c>
      <c r="CJ306" s="770"/>
      <c r="CK306" s="770"/>
      <c r="CL306" s="770"/>
      <c r="CM306" s="770"/>
      <c r="CN306" s="770"/>
      <c r="CO306" s="770"/>
      <c r="CP306" s="770"/>
      <c r="CQ306" s="770"/>
      <c r="CR306" s="770"/>
      <c r="CS306" s="302"/>
      <c r="CT306" s="770"/>
      <c r="CU306" s="305"/>
      <c r="CV306" s="770"/>
      <c r="CW306" s="770"/>
      <c r="CX306" s="770"/>
      <c r="CY306" s="770"/>
      <c r="CZ306" s="770"/>
      <c r="DA306" s="306"/>
      <c r="DB306" s="770"/>
      <c r="DC306" s="770"/>
      <c r="DD306" s="770"/>
      <c r="DE306" s="300"/>
      <c r="DF306" s="770"/>
      <c r="DG306" s="770"/>
      <c r="DH306" s="770"/>
      <c r="DI306" s="770"/>
      <c r="DJ306" s="770"/>
      <c r="DK306" s="770"/>
      <c r="DL306" s="770"/>
      <c r="DM306" s="770"/>
      <c r="DN306" s="322"/>
      <c r="DO306" s="770"/>
      <c r="DP306" s="770"/>
      <c r="DQ306" s="770"/>
      <c r="DR306" s="770"/>
      <c r="DS306" s="307"/>
      <c r="DT306" s="770"/>
      <c r="DU306" s="770"/>
      <c r="DV306" s="770"/>
      <c r="DW306" s="306"/>
      <c r="DX306" s="306"/>
      <c r="DY306" s="770"/>
      <c r="DZ306" s="770"/>
      <c r="EA306" s="770"/>
      <c r="EB306" s="770"/>
      <c r="EC306" s="770"/>
      <c r="ED306" s="770"/>
      <c r="EE306" s="770"/>
      <c r="EF306" s="770"/>
      <c r="EG306" s="770"/>
      <c r="EH306" s="770"/>
      <c r="EI306" s="770"/>
      <c r="EJ306" s="770"/>
      <c r="EK306" s="770"/>
      <c r="EL306" s="770"/>
      <c r="EM306" s="770"/>
      <c r="EN306" s="770"/>
      <c r="EO306" s="770"/>
      <c r="EP306" s="94"/>
      <c r="EQ306" s="770"/>
      <c r="ER306" s="770"/>
      <c r="ES306" s="770"/>
      <c r="ET306" s="770"/>
      <c r="EU306" s="770"/>
      <c r="EV306" s="770"/>
      <c r="EW306" s="770"/>
      <c r="EX306" s="770"/>
      <c r="EY306" s="770"/>
      <c r="EZ306" s="770"/>
      <c r="FA306" s="770" t="s">
        <v>3091</v>
      </c>
      <c r="FB306" s="770"/>
      <c r="FC306" s="770"/>
      <c r="FD306" s="302"/>
      <c r="FE306" s="770"/>
      <c r="FF306" s="770" t="s">
        <v>1530</v>
      </c>
      <c r="FG306" s="770"/>
      <c r="FH306" s="770" t="s">
        <v>478</v>
      </c>
      <c r="FI306" s="770">
        <v>1</v>
      </c>
      <c r="FJ306" s="770"/>
      <c r="FK306" s="770"/>
      <c r="FL306" s="770"/>
      <c r="FM306" s="302"/>
      <c r="FN306" s="302"/>
      <c r="FO306" s="302"/>
      <c r="FP306" s="766" t="s">
        <v>1602</v>
      </c>
      <c r="FQ306" s="766" t="s">
        <v>1660</v>
      </c>
      <c r="FR306" s="770" t="s">
        <v>1207</v>
      </c>
      <c r="FS306" s="770" t="s">
        <v>1208</v>
      </c>
      <c r="FT306" s="770"/>
      <c r="FU306" s="770"/>
      <c r="FV306" s="770"/>
      <c r="FW306" s="770"/>
      <c r="FX306" s="770"/>
      <c r="FY306" s="770"/>
      <c r="FZ306" s="770"/>
      <c r="GA306" s="770"/>
      <c r="GB306" s="770" t="s">
        <v>796</v>
      </c>
      <c r="GC306" s="308" t="s">
        <v>1741</v>
      </c>
      <c r="GD306" s="308">
        <v>2008</v>
      </c>
      <c r="GE306" s="770" t="s">
        <v>1214</v>
      </c>
      <c r="GF306" s="302"/>
      <c r="GG306" s="302"/>
      <c r="GH306" s="770"/>
      <c r="GI306" s="770"/>
      <c r="GJ306" s="770"/>
      <c r="GK306" s="770"/>
      <c r="GL306" s="770"/>
      <c r="GM306" s="770"/>
      <c r="GN306" s="309"/>
      <c r="GO306" s="770"/>
      <c r="GP306" s="770"/>
      <c r="GQ306" s="770"/>
      <c r="GR306" s="770"/>
      <c r="GS306" s="770"/>
      <c r="GT306" s="770"/>
      <c r="GU306" s="770"/>
      <c r="GV306" s="770"/>
      <c r="GW306" s="770"/>
      <c r="GX306" s="770"/>
      <c r="GY306" s="770"/>
      <c r="GZ306" s="770"/>
      <c r="HA306" s="770"/>
      <c r="HB306" s="770"/>
      <c r="HC306" s="770"/>
      <c r="HD306" s="770"/>
      <c r="HE306" s="770"/>
      <c r="HF306" s="770"/>
      <c r="HG306" s="770"/>
      <c r="HH306" s="770"/>
      <c r="HI306" s="770"/>
      <c r="HJ306" s="770"/>
      <c r="HK306" s="770"/>
      <c r="HL306" s="770"/>
      <c r="HM306" s="770"/>
      <c r="HN306" s="770"/>
      <c r="HO306" s="770"/>
      <c r="HP306" s="770"/>
      <c r="HQ306" s="770"/>
      <c r="HR306" s="770"/>
      <c r="HS306" s="770"/>
      <c r="HT306" s="770"/>
      <c r="HU306" s="770"/>
      <c r="HV306" s="770"/>
      <c r="HW306" s="770"/>
      <c r="HX306" s="770"/>
      <c r="HY306" s="770"/>
      <c r="HZ306" s="770"/>
      <c r="IA306" s="770"/>
      <c r="IB306" s="14" t="e">
        <f>IF(#REF!&gt;0,IF(#REF!&lt;=10000,"Y",""),"")</f>
        <v>#REF!</v>
      </c>
      <c r="IC306" s="770"/>
      <c r="ID306" s="770">
        <v>2</v>
      </c>
      <c r="IE306" s="770"/>
      <c r="IF306" s="1828" t="s">
        <v>525</v>
      </c>
      <c r="IG306" s="770" t="s">
        <v>18</v>
      </c>
      <c r="IH306" s="770" t="s">
        <v>478</v>
      </c>
      <c r="II306" s="770" t="s">
        <v>2000</v>
      </c>
      <c r="IJ306" s="770" t="s">
        <v>2001</v>
      </c>
      <c r="IK306" s="766" t="s">
        <v>1888</v>
      </c>
      <c r="IL306" s="770" t="s">
        <v>2002</v>
      </c>
      <c r="IM306" s="770">
        <v>2014</v>
      </c>
      <c r="IN306" s="770"/>
      <c r="IO306" s="296"/>
      <c r="IP306" s="770" t="s">
        <v>478</v>
      </c>
      <c r="IQ306" s="769" t="s">
        <v>1975</v>
      </c>
      <c r="IR306" s="770" t="s">
        <v>1964</v>
      </c>
      <c r="IS306" s="770" t="s">
        <v>1931</v>
      </c>
      <c r="IT306" s="770"/>
      <c r="IU306" s="770" t="s">
        <v>1208</v>
      </c>
      <c r="IV306" s="770"/>
      <c r="IW306" s="770" t="s">
        <v>13438</v>
      </c>
      <c r="IX306" s="770"/>
      <c r="IY306" s="770" t="s">
        <v>12782</v>
      </c>
      <c r="IZ306" s="770" t="s">
        <v>12775</v>
      </c>
      <c r="JA306" s="770"/>
      <c r="JB306" s="770"/>
      <c r="JC306" s="770"/>
      <c r="JD306" s="302">
        <v>21000</v>
      </c>
      <c r="JE306" s="770"/>
      <c r="JF306" s="770"/>
      <c r="JG306" s="770"/>
      <c r="JH306" s="770"/>
      <c r="JI306" s="712" t="str">
        <f>IF(SUM(JT306,JU306)=JJ306,"ok","review")</f>
        <v>ok</v>
      </c>
      <c r="JJ306" s="770">
        <v>11</v>
      </c>
      <c r="JK306" s="1139" t="s">
        <v>2112</v>
      </c>
      <c r="JL306" s="770">
        <v>2</v>
      </c>
      <c r="JM306" s="770">
        <v>1</v>
      </c>
      <c r="JN306" s="770">
        <v>3</v>
      </c>
      <c r="JO306" s="770">
        <v>4</v>
      </c>
      <c r="JP306" s="770"/>
      <c r="JQ306" s="770">
        <v>1</v>
      </c>
      <c r="JR306" s="770"/>
      <c r="JS306" s="770"/>
      <c r="JT306" s="766">
        <f>SUM(JP306,JN306,JL306,JR306)</f>
        <v>5</v>
      </c>
      <c r="JU306" s="766">
        <f>SUM(JQ306,JO306,JM306,JS306)</f>
        <v>6</v>
      </c>
      <c r="JV306" s="712" t="str">
        <f>IF(JT306=KJ306,"ok","male")</f>
        <v>ok</v>
      </c>
      <c r="JW306" s="712" t="str">
        <f>IF(JU306=KK306,"ok","female")</f>
        <v>ok</v>
      </c>
      <c r="JX306" s="770"/>
      <c r="JY306" s="770"/>
      <c r="JZ306" s="770">
        <v>2</v>
      </c>
      <c r="KA306" s="770">
        <v>1</v>
      </c>
      <c r="KB306" s="770">
        <v>2</v>
      </c>
      <c r="KC306" s="770">
        <v>2</v>
      </c>
      <c r="KD306" s="770">
        <v>1</v>
      </c>
      <c r="KE306" s="770">
        <v>1</v>
      </c>
      <c r="KF306" s="770"/>
      <c r="KG306" s="770">
        <v>2</v>
      </c>
      <c r="KH306" s="770"/>
      <c r="KI306" s="770"/>
      <c r="KJ306" s="770">
        <f t="shared" si="86"/>
        <v>5</v>
      </c>
      <c r="KK306" s="770">
        <f t="shared" si="86"/>
        <v>6</v>
      </c>
      <c r="KL306" s="712" t="str">
        <f>IF(KJ306=LN306,"ok","male")</f>
        <v>ok</v>
      </c>
      <c r="KM306" s="712" t="str">
        <f>IF(KK306=LO306,"ok","female")</f>
        <v>ok</v>
      </c>
      <c r="KN306" s="770" t="s">
        <v>707</v>
      </c>
      <c r="KO306" s="770"/>
      <c r="KP306" s="770"/>
      <c r="KQ306" s="770"/>
      <c r="KR306" s="770"/>
      <c r="KS306" s="770"/>
      <c r="KT306" s="770">
        <v>2</v>
      </c>
      <c r="KU306" s="770"/>
      <c r="KV306" s="770"/>
      <c r="KW306" s="770">
        <v>1</v>
      </c>
      <c r="KX306" s="770"/>
      <c r="KY306" s="770">
        <v>2</v>
      </c>
      <c r="KZ306" s="770"/>
      <c r="LA306" s="770"/>
      <c r="LB306" s="770">
        <v>1</v>
      </c>
      <c r="LC306" s="770">
        <v>2</v>
      </c>
      <c r="LD306" s="770">
        <v>1</v>
      </c>
      <c r="LE306" s="770">
        <v>1</v>
      </c>
      <c r="LF306" s="770"/>
      <c r="LG306" s="770"/>
      <c r="LH306" s="770">
        <v>1</v>
      </c>
      <c r="LI306" s="770"/>
      <c r="LJ306" s="770"/>
      <c r="LK306" s="770"/>
      <c r="LL306" s="770"/>
      <c r="LM306" s="770"/>
      <c r="LN306" s="766">
        <f>SUM(KP306,KR306,KT306,KV306,KX306,KZ306,LB306,LD306,LF306,LH306,LJ306,LL306)</f>
        <v>5</v>
      </c>
      <c r="LO306" s="766">
        <f>SUM(KQ306,KS306,KU306,KW306,KY306,LA306,LC306,LE306,LG306,LI306,LK306,LM306)</f>
        <v>6</v>
      </c>
      <c r="LP306" s="770">
        <v>5</v>
      </c>
      <c r="LQ306" s="770">
        <v>4</v>
      </c>
      <c r="LR306" s="770"/>
      <c r="LS306" s="770">
        <v>1</v>
      </c>
      <c r="LT306" s="712" t="str">
        <f>IF(LQ306=SUM(LU306:LW306),"OK","REV")</f>
        <v>OK</v>
      </c>
      <c r="LU306" s="770">
        <v>4</v>
      </c>
      <c r="LV306" s="770"/>
      <c r="LW306" s="770"/>
      <c r="LX306" s="769">
        <v>1</v>
      </c>
      <c r="LY306" s="766" t="str">
        <f t="shared" si="93"/>
        <v>within the BRGY</v>
      </c>
      <c r="LZ306" s="299">
        <v>5500</v>
      </c>
      <c r="MA306" s="306"/>
      <c r="MB306" s="306">
        <v>200</v>
      </c>
      <c r="MC306" s="1679">
        <f t="shared" si="91"/>
        <v>5700</v>
      </c>
      <c r="MD306" s="306">
        <v>113000</v>
      </c>
      <c r="ME306" s="306"/>
      <c r="MF306" s="306">
        <f>10000+9000</f>
        <v>19000</v>
      </c>
      <c r="MG306" s="1680">
        <f t="shared" si="94"/>
        <v>132000</v>
      </c>
      <c r="MH306" s="770" t="s">
        <v>13439</v>
      </c>
      <c r="MI306" s="302">
        <v>15000</v>
      </c>
      <c r="MJ306" s="302">
        <v>11200</v>
      </c>
      <c r="MK306" s="302">
        <v>5000</v>
      </c>
      <c r="ML306" s="302">
        <v>3000</v>
      </c>
      <c r="MM306" s="302">
        <v>12083</v>
      </c>
      <c r="MN306" s="302"/>
      <c r="MO306" s="302">
        <v>3050</v>
      </c>
      <c r="MP306" s="302">
        <v>5000</v>
      </c>
      <c r="MQ306" s="302">
        <v>700</v>
      </c>
      <c r="MR306" s="302">
        <v>2000</v>
      </c>
      <c r="MS306" s="302">
        <v>7000</v>
      </c>
      <c r="MT306" s="302"/>
      <c r="MU306" s="302"/>
      <c r="MV306" s="302"/>
      <c r="MW306" s="302"/>
      <c r="MX306" s="302"/>
      <c r="MY306" s="1682">
        <f t="shared" si="74"/>
        <v>64033</v>
      </c>
      <c r="MZ306" s="770"/>
      <c r="NA306" s="770"/>
      <c r="NB306" s="770"/>
      <c r="NC306" s="770"/>
      <c r="ND306" s="770"/>
      <c r="NE306" s="770"/>
      <c r="NF306" s="770"/>
      <c r="NG306" s="770"/>
      <c r="NH306" s="770"/>
      <c r="NI306" s="770"/>
      <c r="NJ306" s="770"/>
      <c r="NK306" s="770"/>
      <c r="NL306" s="770"/>
      <c r="NM306" s="770"/>
      <c r="NN306" s="770"/>
      <c r="NO306" s="770"/>
      <c r="NP306" s="770"/>
      <c r="NQ306" s="770"/>
      <c r="NR306" s="770"/>
      <c r="NS306" s="770"/>
      <c r="NT306" s="770"/>
      <c r="NU306" s="770"/>
      <c r="NV306" s="770"/>
      <c r="NW306" s="770"/>
      <c r="NX306" s="770"/>
      <c r="NY306" s="770"/>
      <c r="NZ306" s="770"/>
      <c r="OA306" s="770"/>
      <c r="OB306" s="770"/>
      <c r="OC306" s="770"/>
      <c r="OD306" s="770"/>
      <c r="OE306" s="770"/>
      <c r="OF306" s="1828" t="s">
        <v>3650</v>
      </c>
      <c r="OG306" s="770"/>
      <c r="OH306" s="770"/>
      <c r="OI306" s="770"/>
      <c r="OJ306" s="770"/>
      <c r="OK306" s="770"/>
      <c r="OL306" s="770"/>
      <c r="OM306" s="770"/>
      <c r="ON306" s="770"/>
      <c r="OO306" s="770"/>
      <c r="OP306" s="770"/>
      <c r="OQ306" s="770"/>
      <c r="OR306" s="770"/>
      <c r="OS306" s="770"/>
      <c r="OT306" s="770"/>
      <c r="OU306" s="770"/>
      <c r="OV306" s="770"/>
      <c r="OW306" s="770"/>
      <c r="OX306" s="770"/>
      <c r="OY306" s="770"/>
      <c r="OZ306" s="770"/>
      <c r="PA306" s="770"/>
      <c r="PB306" s="770"/>
      <c r="PC306" s="770"/>
      <c r="PD306" s="770"/>
      <c r="PE306" s="770"/>
      <c r="PF306" s="770"/>
      <c r="PG306" s="770"/>
      <c r="PH306" s="770"/>
      <c r="PI306" s="770"/>
      <c r="PJ306" s="770"/>
      <c r="PK306" s="770"/>
      <c r="PL306" s="770"/>
      <c r="PM306" s="770" t="s">
        <v>1208</v>
      </c>
      <c r="PN306" s="770"/>
      <c r="PO306" s="770"/>
      <c r="PP306" s="770"/>
      <c r="PQ306" s="770"/>
      <c r="PR306" s="770"/>
      <c r="PS306" s="770"/>
      <c r="PT306" s="770"/>
      <c r="PU306" s="770"/>
      <c r="PV306" s="770"/>
      <c r="PW306" s="770"/>
      <c r="PX306" s="770"/>
      <c r="PY306" s="770"/>
      <c r="PZ306" s="770"/>
      <c r="QA306" s="770"/>
      <c r="QB306" s="770"/>
      <c r="QC306" s="770"/>
      <c r="QD306" s="770"/>
      <c r="QE306" s="770"/>
      <c r="QF306" s="770"/>
      <c r="QG306" s="770"/>
      <c r="QH306" s="770"/>
      <c r="QI306" s="770"/>
      <c r="QJ306" s="770"/>
      <c r="QK306" s="770"/>
      <c r="QL306" s="770"/>
      <c r="QM306" s="770"/>
      <c r="QN306" s="770"/>
      <c r="QO306" s="770"/>
      <c r="QP306" s="770"/>
      <c r="QQ306" s="770"/>
      <c r="QR306" s="770"/>
      <c r="QS306" s="770"/>
      <c r="QT306" s="770"/>
      <c r="QU306" s="770"/>
      <c r="QV306" s="770"/>
      <c r="QW306" s="770"/>
      <c r="QX306" s="770"/>
      <c r="QY306" s="770"/>
      <c r="QZ306" s="770"/>
      <c r="RA306" s="770"/>
      <c r="RB306" s="770" t="s">
        <v>1214</v>
      </c>
      <c r="RC306" s="770"/>
      <c r="RD306" s="770"/>
      <c r="RE306" s="770"/>
      <c r="RF306" s="304"/>
      <c r="RG306" s="770"/>
      <c r="RH306" s="302"/>
      <c r="RI306" s="770"/>
      <c r="RJ306" s="770" t="s">
        <v>13440</v>
      </c>
      <c r="RK306" s="770" t="s">
        <v>13381</v>
      </c>
      <c r="RL306" s="1710"/>
      <c r="RM306" s="12"/>
      <c r="RN306" s="1711"/>
      <c r="RO306" s="140" t="s">
        <v>524</v>
      </c>
      <c r="RP306" s="11"/>
      <c r="RQ306" s="11"/>
      <c r="RR306" s="154" t="s">
        <v>7419</v>
      </c>
      <c r="RS306" s="1139" t="s">
        <v>12980</v>
      </c>
      <c r="RT306" s="11"/>
      <c r="RU306" s="11"/>
      <c r="RV306" s="771" t="s">
        <v>7419</v>
      </c>
      <c r="RW306" s="11" t="s">
        <v>7979</v>
      </c>
      <c r="RX306" s="11" t="s">
        <v>516</v>
      </c>
      <c r="RY306" s="11"/>
      <c r="RZ306" s="11" t="s">
        <v>1101</v>
      </c>
      <c r="SA306" s="771"/>
      <c r="SB306" s="11"/>
      <c r="SC306" s="11"/>
    </row>
    <row r="307" spans="1:497" ht="12.75" hidden="1" customHeight="1" thickBot="1">
      <c r="A307" s="343" t="s">
        <v>7419</v>
      </c>
      <c r="B307" s="292" t="s">
        <v>5506</v>
      </c>
      <c r="C307" s="140" t="s">
        <v>527</v>
      </c>
      <c r="D307" s="770" t="s">
        <v>530</v>
      </c>
      <c r="E307" s="770" t="s">
        <v>528</v>
      </c>
      <c r="F307" s="770" t="s">
        <v>20</v>
      </c>
      <c r="G307" s="770" t="s">
        <v>18</v>
      </c>
      <c r="H307" s="770"/>
      <c r="I307" s="295" t="s">
        <v>529</v>
      </c>
      <c r="J307" s="94" t="s">
        <v>530</v>
      </c>
      <c r="K307" s="770"/>
      <c r="L307" s="770"/>
      <c r="M307" s="770"/>
      <c r="N307" s="770"/>
      <c r="O307" s="770"/>
      <c r="P307" s="770"/>
      <c r="Q307" s="1088"/>
      <c r="R307" s="297"/>
      <c r="S307" s="770"/>
      <c r="T307" s="770"/>
      <c r="U307" s="298"/>
      <c r="V307" s="770"/>
      <c r="W307" s="770"/>
      <c r="X307" s="296"/>
      <c r="Y307" s="770"/>
      <c r="Z307" s="770"/>
      <c r="AA307" s="770"/>
      <c r="AB307" s="770"/>
      <c r="AC307" s="770"/>
      <c r="AD307" s="770"/>
      <c r="AE307" s="770"/>
      <c r="AF307" s="770"/>
      <c r="AG307" s="766" t="s">
        <v>1095</v>
      </c>
      <c r="AH307" s="766" t="s">
        <v>1096</v>
      </c>
      <c r="AI307" s="770" t="s">
        <v>1169</v>
      </c>
      <c r="AJ307" s="770"/>
      <c r="AK307" s="766" t="s">
        <v>1097</v>
      </c>
      <c r="AL307" s="299">
        <v>33.81</v>
      </c>
      <c r="AM307" s="300">
        <v>3.88</v>
      </c>
      <c r="AN307" s="301">
        <v>0.11459999999999999</v>
      </c>
      <c r="AO307" s="766" t="s">
        <v>1109</v>
      </c>
      <c r="AP307" s="766"/>
      <c r="AQ307" s="766"/>
      <c r="AR307" s="766"/>
      <c r="AS307" s="770" t="s">
        <v>1207</v>
      </c>
      <c r="AT307" s="770" t="s">
        <v>1208</v>
      </c>
      <c r="AU307" s="770"/>
      <c r="AV307" s="770"/>
      <c r="AW307" s="770"/>
      <c r="AX307" s="770"/>
      <c r="AY307" s="770"/>
      <c r="AZ307" s="770"/>
      <c r="BA307" s="770"/>
      <c r="BB307" s="770"/>
      <c r="BC307" s="770" t="s">
        <v>853</v>
      </c>
      <c r="BD307" s="770" t="s">
        <v>1207</v>
      </c>
      <c r="BE307" s="770" t="s">
        <v>1207</v>
      </c>
      <c r="BF307" s="302">
        <v>1000</v>
      </c>
      <c r="BG307" s="302">
        <f>1000*12</f>
        <v>12000</v>
      </c>
      <c r="BH307" s="770"/>
      <c r="BI307" s="770"/>
      <c r="BJ307" s="770"/>
      <c r="BK307" s="770" t="s">
        <v>1095</v>
      </c>
      <c r="BL307" s="770" t="s">
        <v>1374</v>
      </c>
      <c r="BM307" s="766" t="s">
        <v>1096</v>
      </c>
      <c r="BN307" s="770" t="s">
        <v>1230</v>
      </c>
      <c r="BO307" s="766" t="s">
        <v>1239</v>
      </c>
      <c r="BP307" s="1755">
        <v>67.62</v>
      </c>
      <c r="BQ307" s="1756">
        <v>7.75</v>
      </c>
      <c r="BR307" s="1106">
        <v>0.11459999999999999</v>
      </c>
      <c r="BS307" s="6" t="s">
        <v>1242</v>
      </c>
      <c r="BT307" s="766" t="s">
        <v>2040</v>
      </c>
      <c r="BU307" s="770" t="s">
        <v>1249</v>
      </c>
      <c r="BV307" s="770" t="s">
        <v>1247</v>
      </c>
      <c r="BW307" s="769"/>
      <c r="BX307" s="302"/>
      <c r="BY307" s="303"/>
      <c r="BZ307" s="770"/>
      <c r="CA307" s="302"/>
      <c r="CB307" s="302" t="s">
        <v>1207</v>
      </c>
      <c r="CC307" s="770" t="s">
        <v>5507</v>
      </c>
      <c r="CD307" s="770"/>
      <c r="CE307" s="770"/>
      <c r="CF307" s="304"/>
      <c r="CG307" s="321"/>
      <c r="CH307" s="770"/>
      <c r="CI307" s="770" t="s">
        <v>5646</v>
      </c>
      <c r="CJ307" s="770" t="s">
        <v>1531</v>
      </c>
      <c r="CK307" s="770"/>
      <c r="CL307" s="770"/>
      <c r="CM307" s="770" t="s">
        <v>5639</v>
      </c>
      <c r="CN307" s="770"/>
      <c r="CO307" s="770" t="s">
        <v>1257</v>
      </c>
      <c r="CP307" s="770"/>
      <c r="CQ307" s="770"/>
      <c r="CR307" s="770"/>
      <c r="CS307" s="302"/>
      <c r="CT307" s="770"/>
      <c r="CU307" s="305"/>
      <c r="CV307" s="770"/>
      <c r="CW307" s="770"/>
      <c r="CX307" s="770"/>
      <c r="CY307" s="770"/>
      <c r="CZ307" s="770"/>
      <c r="DA307" s="306"/>
      <c r="DB307" s="770"/>
      <c r="DC307" s="770"/>
      <c r="DD307" s="770"/>
      <c r="DE307" s="300"/>
      <c r="DF307" s="770"/>
      <c r="DG307" s="770"/>
      <c r="DH307" s="770"/>
      <c r="DI307" s="770"/>
      <c r="DJ307" s="770"/>
      <c r="DK307" s="770"/>
      <c r="DL307" s="770"/>
      <c r="DM307" s="770"/>
      <c r="DN307" s="322"/>
      <c r="DO307" s="770"/>
      <c r="DP307" s="770"/>
      <c r="DQ307" s="770"/>
      <c r="DR307" s="770"/>
      <c r="DS307" s="307"/>
      <c r="DT307" s="770"/>
      <c r="DU307" s="770"/>
      <c r="DV307" s="770"/>
      <c r="DW307" s="306"/>
      <c r="DX307" s="306"/>
      <c r="DY307" s="770"/>
      <c r="DZ307" s="770"/>
      <c r="EA307" s="770"/>
      <c r="EB307" s="770"/>
      <c r="EC307" s="770"/>
      <c r="ED307" s="770"/>
      <c r="EE307" s="770"/>
      <c r="EF307" s="770"/>
      <c r="EG307" s="770"/>
      <c r="EH307" s="770"/>
      <c r="EI307" s="770"/>
      <c r="EJ307" s="770"/>
      <c r="EK307" s="770"/>
      <c r="EL307" s="770"/>
      <c r="EM307" s="770"/>
      <c r="EN307" s="770"/>
      <c r="EO307" s="770"/>
      <c r="EP307" s="94"/>
      <c r="EQ307" s="770"/>
      <c r="ER307" s="770"/>
      <c r="ES307" s="770"/>
      <c r="ET307" s="770"/>
      <c r="EU307" s="770"/>
      <c r="EV307" s="770"/>
      <c r="EW307" s="770"/>
      <c r="EX307" s="770"/>
      <c r="EY307" s="770"/>
      <c r="EZ307" s="770" t="s">
        <v>5507</v>
      </c>
      <c r="FA307" s="770" t="s">
        <v>1532</v>
      </c>
      <c r="FB307" s="770" t="s">
        <v>1257</v>
      </c>
      <c r="FC307" s="770"/>
      <c r="FD307" s="302"/>
      <c r="FE307" s="770"/>
      <c r="FF307" s="770" t="s">
        <v>1533</v>
      </c>
      <c r="FG307" s="770"/>
      <c r="FH307" s="770" t="s">
        <v>478</v>
      </c>
      <c r="FI307" s="770">
        <v>3</v>
      </c>
      <c r="FJ307" s="770"/>
      <c r="FK307" s="770"/>
      <c r="FL307" s="770"/>
      <c r="FM307" s="302"/>
      <c r="FN307" s="302"/>
      <c r="FO307" s="302"/>
      <c r="FP307" s="770" t="s">
        <v>1600</v>
      </c>
      <c r="FQ307" s="770" t="s">
        <v>1642</v>
      </c>
      <c r="FR307" s="770" t="s">
        <v>1207</v>
      </c>
      <c r="FS307" s="770" t="s">
        <v>1208</v>
      </c>
      <c r="FT307" s="770"/>
      <c r="FU307" s="770"/>
      <c r="FV307" s="770"/>
      <c r="FW307" s="770"/>
      <c r="FX307" s="770"/>
      <c r="FY307" s="770"/>
      <c r="FZ307" s="770"/>
      <c r="GA307" s="770"/>
      <c r="GB307" s="770" t="s">
        <v>853</v>
      </c>
      <c r="GC307" s="308" t="s">
        <v>1374</v>
      </c>
      <c r="GD307" s="297" t="s">
        <v>1742</v>
      </c>
      <c r="GE307" s="770" t="s">
        <v>1207</v>
      </c>
      <c r="GF307" s="302">
        <v>1000</v>
      </c>
      <c r="GG307" s="302">
        <f>GF307*12</f>
        <v>12000</v>
      </c>
      <c r="GH307" s="770"/>
      <c r="GI307" s="770"/>
      <c r="GJ307" s="770"/>
      <c r="GK307" s="770"/>
      <c r="GL307" s="770"/>
      <c r="GM307" s="770"/>
      <c r="GN307" s="309"/>
      <c r="GO307" s="770"/>
      <c r="GP307" s="770"/>
      <c r="GQ307" s="770"/>
      <c r="GR307" s="770"/>
      <c r="GS307" s="770"/>
      <c r="GT307" s="770"/>
      <c r="GU307" s="770"/>
      <c r="GV307" s="770"/>
      <c r="GW307" s="770"/>
      <c r="GX307" s="770"/>
      <c r="GY307" s="770"/>
      <c r="GZ307" s="770"/>
      <c r="HA307" s="770"/>
      <c r="HB307" s="770"/>
      <c r="HC307" s="770"/>
      <c r="HD307" s="770"/>
      <c r="HE307" s="770"/>
      <c r="HF307" s="770"/>
      <c r="HG307" s="770"/>
      <c r="HH307" s="770"/>
      <c r="HI307" s="770"/>
      <c r="HJ307" s="770"/>
      <c r="HK307" s="770"/>
      <c r="HL307" s="770"/>
      <c r="HM307" s="770"/>
      <c r="HN307" s="770"/>
      <c r="HO307" s="770"/>
      <c r="HP307" s="770"/>
      <c r="HQ307" s="770"/>
      <c r="HR307" s="770"/>
      <c r="HS307" s="770"/>
      <c r="HT307" s="770"/>
      <c r="HU307" s="770"/>
      <c r="HV307" s="770"/>
      <c r="HW307" s="770"/>
      <c r="HX307" s="770"/>
      <c r="HY307" s="770"/>
      <c r="HZ307" s="770"/>
      <c r="IA307" s="770"/>
      <c r="IB307" s="14" t="e">
        <f>IF(#REF!&gt;0,IF(#REF!&lt;=10000,"Y",""),"")</f>
        <v>#REF!</v>
      </c>
      <c r="IC307" s="770"/>
      <c r="ID307" s="770"/>
      <c r="IE307" s="770"/>
      <c r="IF307" s="770" t="s">
        <v>530</v>
      </c>
      <c r="IG307" s="770" t="s">
        <v>10</v>
      </c>
      <c r="IH307" s="770" t="s">
        <v>478</v>
      </c>
      <c r="II307" s="770" t="s">
        <v>528</v>
      </c>
      <c r="IJ307" s="770" t="s">
        <v>1604</v>
      </c>
      <c r="IK307" s="770" t="s">
        <v>1888</v>
      </c>
      <c r="IL307" s="770" t="s">
        <v>5508</v>
      </c>
      <c r="IM307" s="770"/>
      <c r="IN307" s="770" t="s">
        <v>1643</v>
      </c>
      <c r="IO307" s="296"/>
      <c r="IP307" s="770" t="s">
        <v>1306</v>
      </c>
      <c r="IQ307" s="769" t="s">
        <v>5498</v>
      </c>
      <c r="IR307" s="770" t="s">
        <v>2716</v>
      </c>
      <c r="IS307" s="770"/>
      <c r="IT307" s="770"/>
      <c r="IU307" s="770"/>
      <c r="IV307" s="770"/>
      <c r="IW307" s="770" t="s">
        <v>13441</v>
      </c>
      <c r="IX307" s="770"/>
      <c r="IY307" s="770" t="s">
        <v>1644</v>
      </c>
      <c r="IZ307" s="770"/>
      <c r="JA307" s="770"/>
      <c r="JB307" s="770"/>
      <c r="JC307" s="770"/>
      <c r="JD307" s="302">
        <v>1000</v>
      </c>
      <c r="JE307" s="770"/>
      <c r="JF307" s="770"/>
      <c r="JG307" s="770"/>
      <c r="JH307" s="770"/>
      <c r="JI307" s="770"/>
      <c r="JJ307" s="770"/>
      <c r="JK307" s="770"/>
      <c r="JL307" s="770"/>
      <c r="JM307" s="770"/>
      <c r="JN307" s="770"/>
      <c r="JO307" s="770"/>
      <c r="JP307" s="770"/>
      <c r="JQ307" s="770"/>
      <c r="JR307" s="770"/>
      <c r="JS307" s="770"/>
      <c r="JT307" s="766"/>
      <c r="JU307" s="766"/>
      <c r="JV307" s="766"/>
      <c r="JW307" s="766"/>
      <c r="JX307" s="770"/>
      <c r="JY307" s="770"/>
      <c r="JZ307" s="770"/>
      <c r="KA307" s="770"/>
      <c r="KB307" s="770"/>
      <c r="KC307" s="770"/>
      <c r="KD307" s="770"/>
      <c r="KE307" s="770"/>
      <c r="KF307" s="770"/>
      <c r="KG307" s="770"/>
      <c r="KH307" s="770"/>
      <c r="KI307" s="770"/>
      <c r="KJ307" s="770"/>
      <c r="KK307" s="770"/>
      <c r="KL307" s="770"/>
      <c r="KM307" s="770"/>
      <c r="KN307" s="770"/>
      <c r="KO307" s="770"/>
      <c r="KP307" s="770"/>
      <c r="KQ307" s="770"/>
      <c r="KR307" s="770"/>
      <c r="KS307" s="770"/>
      <c r="KT307" s="770"/>
      <c r="KU307" s="770"/>
      <c r="KV307" s="770"/>
      <c r="KW307" s="770"/>
      <c r="KX307" s="770"/>
      <c r="KY307" s="770"/>
      <c r="KZ307" s="770"/>
      <c r="LA307" s="770"/>
      <c r="LB307" s="770"/>
      <c r="LC307" s="770"/>
      <c r="LD307" s="770"/>
      <c r="LE307" s="770"/>
      <c r="LF307" s="770"/>
      <c r="LG307" s="770"/>
      <c r="LH307" s="770"/>
      <c r="LI307" s="770"/>
      <c r="LJ307" s="770"/>
      <c r="LK307" s="770"/>
      <c r="LL307" s="770"/>
      <c r="LM307" s="770"/>
      <c r="LN307" s="766"/>
      <c r="LO307" s="766"/>
      <c r="LP307" s="770"/>
      <c r="LQ307" s="770"/>
      <c r="LR307" s="770"/>
      <c r="LS307" s="770"/>
      <c r="LT307" s="770"/>
      <c r="LU307" s="770"/>
      <c r="LV307" s="770"/>
      <c r="LW307" s="770"/>
      <c r="LX307" s="769"/>
      <c r="LY307" s="766" t="str">
        <f t="shared" si="93"/>
        <v/>
      </c>
      <c r="LZ307" s="299"/>
      <c r="MA307" s="306"/>
      <c r="MB307" s="306"/>
      <c r="MC307" s="1679">
        <f t="shared" si="91"/>
        <v>0</v>
      </c>
      <c r="MD307" s="306"/>
      <c r="ME307" s="306"/>
      <c r="MF307" s="306"/>
      <c r="MG307" s="1680">
        <f t="shared" si="94"/>
        <v>0</v>
      </c>
      <c r="MH307" s="770"/>
      <c r="MI307" s="302"/>
      <c r="MJ307" s="302"/>
      <c r="MK307" s="302"/>
      <c r="ML307" s="302"/>
      <c r="MM307" s="302"/>
      <c r="MN307" s="302"/>
      <c r="MO307" s="302"/>
      <c r="MP307" s="302"/>
      <c r="MQ307" s="302"/>
      <c r="MR307" s="302"/>
      <c r="MS307" s="302"/>
      <c r="MT307" s="302"/>
      <c r="MU307" s="302"/>
      <c r="MV307" s="302"/>
      <c r="MW307" s="302"/>
      <c r="MX307" s="302"/>
      <c r="MY307" s="1682">
        <f t="shared" si="74"/>
        <v>0</v>
      </c>
      <c r="MZ307" s="770"/>
      <c r="NA307" s="770"/>
      <c r="NB307" s="770"/>
      <c r="NC307" s="770"/>
      <c r="ND307" s="770"/>
      <c r="NE307" s="770"/>
      <c r="NF307" s="770"/>
      <c r="NG307" s="770"/>
      <c r="NH307" s="770"/>
      <c r="NI307" s="770"/>
      <c r="NJ307" s="770"/>
      <c r="NK307" s="770"/>
      <c r="NL307" s="770"/>
      <c r="NM307" s="770"/>
      <c r="NN307" s="770"/>
      <c r="NO307" s="770"/>
      <c r="NP307" s="770"/>
      <c r="NQ307" s="770"/>
      <c r="NR307" s="770"/>
      <c r="NS307" s="770"/>
      <c r="NT307" s="770"/>
      <c r="NU307" s="770"/>
      <c r="NV307" s="770"/>
      <c r="NW307" s="770"/>
      <c r="NX307" s="770"/>
      <c r="NY307" s="770"/>
      <c r="NZ307" s="770"/>
      <c r="OA307" s="770"/>
      <c r="OB307" s="770"/>
      <c r="OC307" s="770"/>
      <c r="OD307" s="770"/>
      <c r="OE307" s="770"/>
      <c r="OF307" s="770"/>
      <c r="OG307" s="770"/>
      <c r="OH307" s="770"/>
      <c r="OI307" s="770"/>
      <c r="OJ307" s="770"/>
      <c r="OK307" s="770"/>
      <c r="OL307" s="770"/>
      <c r="OM307" s="770"/>
      <c r="ON307" s="770"/>
      <c r="OO307" s="770"/>
      <c r="OP307" s="770"/>
      <c r="OQ307" s="770"/>
      <c r="OR307" s="770"/>
      <c r="OS307" s="770"/>
      <c r="OT307" s="770"/>
      <c r="OU307" s="770"/>
      <c r="OV307" s="770"/>
      <c r="OW307" s="770"/>
      <c r="OX307" s="770"/>
      <c r="OY307" s="770"/>
      <c r="OZ307" s="770"/>
      <c r="PA307" s="770"/>
      <c r="PB307" s="770"/>
      <c r="PC307" s="770"/>
      <c r="PD307" s="770"/>
      <c r="PE307" s="770"/>
      <c r="PF307" s="770"/>
      <c r="PG307" s="770"/>
      <c r="PH307" s="770"/>
      <c r="PI307" s="770"/>
      <c r="PJ307" s="770"/>
      <c r="PK307" s="770"/>
      <c r="PL307" s="770"/>
      <c r="PM307" s="770"/>
      <c r="PN307" s="770"/>
      <c r="PO307" s="770"/>
      <c r="PP307" s="770"/>
      <c r="PQ307" s="770"/>
      <c r="PR307" s="770"/>
      <c r="PS307" s="770"/>
      <c r="PT307" s="770"/>
      <c r="PU307" s="770"/>
      <c r="PV307" s="770"/>
      <c r="PW307" s="770"/>
      <c r="PX307" s="770"/>
      <c r="PY307" s="770"/>
      <c r="PZ307" s="770"/>
      <c r="QA307" s="770"/>
      <c r="QB307" s="770"/>
      <c r="QC307" s="770"/>
      <c r="QD307" s="770"/>
      <c r="QE307" s="770"/>
      <c r="QF307" s="770"/>
      <c r="QG307" s="770"/>
      <c r="QH307" s="770"/>
      <c r="QI307" s="770"/>
      <c r="QJ307" s="770"/>
      <c r="QK307" s="770"/>
      <c r="QL307" s="770"/>
      <c r="QM307" s="770"/>
      <c r="QN307" s="770"/>
      <c r="QO307" s="770"/>
      <c r="QP307" s="770"/>
      <c r="QQ307" s="770"/>
      <c r="QR307" s="770"/>
      <c r="QS307" s="770"/>
      <c r="QT307" s="770"/>
      <c r="QU307" s="770"/>
      <c r="QV307" s="770"/>
      <c r="QW307" s="770"/>
      <c r="QX307" s="770"/>
      <c r="QY307" s="770"/>
      <c r="QZ307" s="770"/>
      <c r="RA307" s="770"/>
      <c r="RB307" s="770"/>
      <c r="RC307" s="770"/>
      <c r="RD307" s="770"/>
      <c r="RE307" s="770"/>
      <c r="RF307" s="304"/>
      <c r="RG307" s="770"/>
      <c r="RH307" s="302"/>
      <c r="RI307" s="770"/>
      <c r="RJ307" s="770" t="s">
        <v>13442</v>
      </c>
      <c r="RK307" s="770" t="s">
        <v>13381</v>
      </c>
      <c r="RL307" s="1710"/>
      <c r="RM307" s="12"/>
      <c r="RN307" s="1711"/>
      <c r="RO307" s="140" t="s">
        <v>527</v>
      </c>
      <c r="RP307" s="11"/>
      <c r="RQ307" s="11"/>
      <c r="RR307" s="17"/>
      <c r="RS307" s="767"/>
      <c r="RT307" s="11"/>
      <c r="RU307" s="11"/>
      <c r="RV307" s="771" t="s">
        <v>8078</v>
      </c>
      <c r="RW307" s="11" t="s">
        <v>7541</v>
      </c>
      <c r="RX307" s="11" t="s">
        <v>520</v>
      </c>
      <c r="RY307" s="11"/>
      <c r="RZ307" s="11" t="s">
        <v>1101</v>
      </c>
      <c r="SA307" s="771"/>
      <c r="SB307" s="11"/>
      <c r="SC307" s="11"/>
    </row>
    <row r="308" spans="1:497" ht="12.75" hidden="1" customHeight="1">
      <c r="A308" s="343" t="s">
        <v>14163</v>
      </c>
      <c r="B308" s="292" t="s">
        <v>11862</v>
      </c>
      <c r="C308" s="140" t="s">
        <v>527</v>
      </c>
      <c r="D308" s="770" t="s">
        <v>1643</v>
      </c>
      <c r="E308" s="770" t="s">
        <v>528</v>
      </c>
      <c r="F308" s="770"/>
      <c r="G308" s="770"/>
      <c r="H308" s="770"/>
      <c r="I308" s="295"/>
      <c r="J308" s="94"/>
      <c r="K308" s="770"/>
      <c r="L308" s="770"/>
      <c r="M308" s="770"/>
      <c r="N308" s="770"/>
      <c r="O308" s="770"/>
      <c r="P308" s="770"/>
      <c r="Q308" s="1088"/>
      <c r="R308" s="297"/>
      <c r="S308" s="770"/>
      <c r="T308" s="770"/>
      <c r="U308" s="298"/>
      <c r="V308" s="770"/>
      <c r="W308" s="770"/>
      <c r="X308" s="296"/>
      <c r="Y308" s="770"/>
      <c r="Z308" s="770"/>
      <c r="AA308" s="770"/>
      <c r="AB308" s="770"/>
      <c r="AC308" s="770"/>
      <c r="AD308" s="770"/>
      <c r="AE308" s="770"/>
      <c r="AF308" s="770"/>
      <c r="AG308" s="770"/>
      <c r="AH308" s="770"/>
      <c r="AI308" s="770"/>
      <c r="AJ308" s="770"/>
      <c r="AK308" s="770" t="s">
        <v>5454</v>
      </c>
      <c r="AL308" s="299"/>
      <c r="AM308" s="300"/>
      <c r="AN308" s="301"/>
      <c r="AO308" s="766"/>
      <c r="AP308" s="766"/>
      <c r="AQ308" s="766"/>
      <c r="AR308" s="766"/>
      <c r="AS308" s="770"/>
      <c r="AT308" s="770"/>
      <c r="AU308" s="770"/>
      <c r="AV308" s="770"/>
      <c r="AW308" s="770"/>
      <c r="AX308" s="770"/>
      <c r="AY308" s="770"/>
      <c r="AZ308" s="770"/>
      <c r="BA308" s="770"/>
      <c r="BB308" s="770"/>
      <c r="BC308" s="770"/>
      <c r="BD308" s="770"/>
      <c r="BE308" s="770"/>
      <c r="BF308" s="302"/>
      <c r="BG308" s="302"/>
      <c r="BH308" s="770"/>
      <c r="BI308" s="770"/>
      <c r="BJ308" s="770"/>
      <c r="BK308" s="770"/>
      <c r="BL308" s="770"/>
      <c r="BM308" s="766" t="s">
        <v>1238</v>
      </c>
      <c r="BN308" s="770" t="s">
        <v>1299</v>
      </c>
      <c r="BO308" s="770"/>
      <c r="BP308" s="780"/>
      <c r="BQ308" s="772"/>
      <c r="BR308" s="774"/>
      <c r="BS308" s="6" t="s">
        <v>1149</v>
      </c>
      <c r="BT308" s="766"/>
      <c r="BU308" s="770"/>
      <c r="BV308" s="770"/>
      <c r="BW308" s="770"/>
      <c r="BX308" s="302"/>
      <c r="BY308" s="303"/>
      <c r="BZ308" s="770"/>
      <c r="CA308" s="302"/>
      <c r="CB308" s="302"/>
      <c r="CC308" s="770"/>
      <c r="CD308" s="770"/>
      <c r="CE308" s="770"/>
      <c r="CF308" s="304"/>
      <c r="CG308" s="321"/>
      <c r="CH308" s="770"/>
      <c r="CI308" s="770"/>
      <c r="CJ308" s="770"/>
      <c r="CK308" s="770"/>
      <c r="CL308" s="770"/>
      <c r="CM308" s="770"/>
      <c r="CN308" s="770"/>
      <c r="CO308" s="770"/>
      <c r="CP308" s="770"/>
      <c r="CQ308" s="770"/>
      <c r="CR308" s="770"/>
      <c r="CS308" s="302"/>
      <c r="CT308" s="770"/>
      <c r="CU308" s="305"/>
      <c r="CV308" s="770"/>
      <c r="CW308" s="770"/>
      <c r="CX308" s="770"/>
      <c r="CY308" s="770"/>
      <c r="CZ308" s="770"/>
      <c r="DA308" s="306"/>
      <c r="DB308" s="770"/>
      <c r="DC308" s="770"/>
      <c r="DD308" s="770"/>
      <c r="DE308" s="300"/>
      <c r="DF308" s="770"/>
      <c r="DG308" s="770"/>
      <c r="DH308" s="770"/>
      <c r="DI308" s="770"/>
      <c r="DJ308" s="770"/>
      <c r="DK308" s="770"/>
      <c r="DL308" s="770"/>
      <c r="DM308" s="770"/>
      <c r="DN308" s="322"/>
      <c r="DO308" s="770"/>
      <c r="DP308" s="770"/>
      <c r="DQ308" s="770"/>
      <c r="DR308" s="770"/>
      <c r="DS308" s="307"/>
      <c r="DT308" s="770"/>
      <c r="DU308" s="770"/>
      <c r="DV308" s="770"/>
      <c r="DW308" s="306"/>
      <c r="DX308" s="306"/>
      <c r="DY308" s="770"/>
      <c r="DZ308" s="770"/>
      <c r="EA308" s="770"/>
      <c r="EB308" s="770"/>
      <c r="EC308" s="770"/>
      <c r="ED308" s="770"/>
      <c r="EE308" s="770"/>
      <c r="EF308" s="770"/>
      <c r="EG308" s="770"/>
      <c r="EH308" s="770"/>
      <c r="EI308" s="770"/>
      <c r="EJ308" s="770"/>
      <c r="EK308" s="770"/>
      <c r="EL308" s="770"/>
      <c r="EM308" s="770"/>
      <c r="EN308" s="770"/>
      <c r="EO308" s="770"/>
      <c r="EP308" s="94"/>
      <c r="EQ308" s="770"/>
      <c r="ER308" s="770"/>
      <c r="ES308" s="770"/>
      <c r="ET308" s="770"/>
      <c r="EU308" s="770"/>
      <c r="EV308" s="770"/>
      <c r="EW308" s="770"/>
      <c r="EX308" s="770"/>
      <c r="EY308" s="770"/>
      <c r="EZ308" s="770"/>
      <c r="FA308" s="770"/>
      <c r="FB308" s="770"/>
      <c r="FC308" s="770"/>
      <c r="FD308" s="302"/>
      <c r="FE308" s="770"/>
      <c r="FF308" s="770"/>
      <c r="FG308" s="770"/>
      <c r="FH308" s="770" t="s">
        <v>3230</v>
      </c>
      <c r="FI308" s="770">
        <v>1</v>
      </c>
      <c r="FJ308" s="770" t="s">
        <v>1643</v>
      </c>
      <c r="FK308" s="770" t="s">
        <v>1644</v>
      </c>
      <c r="FL308" s="770"/>
      <c r="FM308" s="302"/>
      <c r="FN308" s="302"/>
      <c r="FO308" s="302"/>
      <c r="FP308" s="770" t="s">
        <v>1600</v>
      </c>
      <c r="FQ308" s="770" t="s">
        <v>1642</v>
      </c>
      <c r="FR308" s="770"/>
      <c r="FS308" s="770"/>
      <c r="FT308" s="770"/>
      <c r="FU308" s="770"/>
      <c r="FV308" s="770"/>
      <c r="FW308" s="770"/>
      <c r="FX308" s="770"/>
      <c r="FY308" s="770"/>
      <c r="FZ308" s="770"/>
      <c r="GA308" s="770"/>
      <c r="GB308" s="770"/>
      <c r="GC308" s="308"/>
      <c r="GD308" s="297"/>
      <c r="GE308" s="770"/>
      <c r="GF308" s="302"/>
      <c r="GG308" s="302"/>
      <c r="GH308" s="770"/>
      <c r="GI308" s="770"/>
      <c r="GJ308" s="770"/>
      <c r="GK308" s="770"/>
      <c r="GL308" s="770"/>
      <c r="GM308" s="770"/>
      <c r="GN308" s="309"/>
      <c r="GO308" s="770"/>
      <c r="GP308" s="770"/>
      <c r="GQ308" s="770"/>
      <c r="GR308" s="770"/>
      <c r="GS308" s="770"/>
      <c r="GT308" s="770"/>
      <c r="GU308" s="770"/>
      <c r="GV308" s="770"/>
      <c r="GW308" s="770"/>
      <c r="GX308" s="770"/>
      <c r="GY308" s="770"/>
      <c r="GZ308" s="770"/>
      <c r="HA308" s="770"/>
      <c r="HB308" s="770"/>
      <c r="HC308" s="770"/>
      <c r="HD308" s="770"/>
      <c r="HE308" s="770"/>
      <c r="HF308" s="770"/>
      <c r="HG308" s="770"/>
      <c r="HH308" s="770"/>
      <c r="HI308" s="770"/>
      <c r="HJ308" s="770"/>
      <c r="HK308" s="770"/>
      <c r="HL308" s="770"/>
      <c r="HM308" s="770"/>
      <c r="HN308" s="770"/>
      <c r="HO308" s="770"/>
      <c r="HP308" s="770"/>
      <c r="HQ308" s="770"/>
      <c r="HR308" s="770"/>
      <c r="HS308" s="770"/>
      <c r="HT308" s="770"/>
      <c r="HU308" s="770"/>
      <c r="HV308" s="770"/>
      <c r="HW308" s="770"/>
      <c r="HX308" s="770"/>
      <c r="HY308" s="770"/>
      <c r="HZ308" s="770"/>
      <c r="IA308" s="770"/>
      <c r="IB308" s="14" t="e">
        <f>IF(#REF!&gt;0,IF(#REF!&lt;=10000,"Y",""),"")</f>
        <v>#REF!</v>
      </c>
      <c r="IC308" s="770"/>
      <c r="ID308" s="770"/>
      <c r="IE308" s="770"/>
      <c r="IF308" s="770"/>
      <c r="IG308" s="770"/>
      <c r="IH308" s="770"/>
      <c r="II308" s="770"/>
      <c r="IJ308" s="770"/>
      <c r="IK308" s="770"/>
      <c r="IL308" s="770"/>
      <c r="IM308" s="770"/>
      <c r="IN308" s="770"/>
      <c r="IO308" s="296"/>
      <c r="IP308" s="770"/>
      <c r="IQ308" s="770"/>
      <c r="IR308" s="770"/>
      <c r="IS308" s="770"/>
      <c r="IT308" s="770"/>
      <c r="IU308" s="770"/>
      <c r="IV308" s="770"/>
      <c r="IW308" s="770"/>
      <c r="IX308" s="770"/>
      <c r="IY308" s="770"/>
      <c r="IZ308" s="770"/>
      <c r="JA308" s="770"/>
      <c r="JB308" s="770"/>
      <c r="JC308" s="770"/>
      <c r="JD308" s="302"/>
      <c r="JE308" s="770"/>
      <c r="JF308" s="770"/>
      <c r="JG308" s="770"/>
      <c r="JH308" s="770"/>
      <c r="JI308" s="770"/>
      <c r="JJ308" s="770"/>
      <c r="JK308" s="770"/>
      <c r="JL308" s="770"/>
      <c r="JM308" s="770"/>
      <c r="JN308" s="770"/>
      <c r="JO308" s="770"/>
      <c r="JP308" s="770"/>
      <c r="JQ308" s="770"/>
      <c r="JR308" s="770"/>
      <c r="JS308" s="770"/>
      <c r="JT308" s="766"/>
      <c r="JU308" s="766"/>
      <c r="JV308" s="766"/>
      <c r="JW308" s="766"/>
      <c r="JX308" s="770"/>
      <c r="JY308" s="770"/>
      <c r="JZ308" s="770"/>
      <c r="KA308" s="770"/>
      <c r="KB308" s="770"/>
      <c r="KC308" s="770"/>
      <c r="KD308" s="770"/>
      <c r="KE308" s="770"/>
      <c r="KF308" s="770"/>
      <c r="KG308" s="770"/>
      <c r="KH308" s="770"/>
      <c r="KI308" s="770"/>
      <c r="KJ308" s="770"/>
      <c r="KK308" s="770"/>
      <c r="KL308" s="770"/>
      <c r="KM308" s="770"/>
      <c r="KN308" s="770"/>
      <c r="KO308" s="770"/>
      <c r="KP308" s="770"/>
      <c r="KQ308" s="770"/>
      <c r="KR308" s="770"/>
      <c r="KS308" s="770"/>
      <c r="KT308" s="770"/>
      <c r="KU308" s="770"/>
      <c r="KV308" s="770"/>
      <c r="KW308" s="770"/>
      <c r="KX308" s="770"/>
      <c r="KY308" s="770"/>
      <c r="KZ308" s="770"/>
      <c r="LA308" s="770"/>
      <c r="LB308" s="770"/>
      <c r="LC308" s="770"/>
      <c r="LD308" s="770"/>
      <c r="LE308" s="770"/>
      <c r="LF308" s="770"/>
      <c r="LG308" s="770"/>
      <c r="LH308" s="770"/>
      <c r="LI308" s="770"/>
      <c r="LJ308" s="770"/>
      <c r="LK308" s="770"/>
      <c r="LL308" s="770"/>
      <c r="LM308" s="770"/>
      <c r="LN308" s="766"/>
      <c r="LO308" s="766"/>
      <c r="LP308" s="770"/>
      <c r="LQ308" s="770"/>
      <c r="LR308" s="770"/>
      <c r="LS308" s="770"/>
      <c r="LT308" s="770"/>
      <c r="LU308" s="770"/>
      <c r="LV308" s="770"/>
      <c r="LW308" s="770"/>
      <c r="LX308" s="769"/>
      <c r="LY308" s="766" t="str">
        <f t="shared" si="93"/>
        <v/>
      </c>
      <c r="LZ308" s="299"/>
      <c r="MA308" s="306"/>
      <c r="MB308" s="306"/>
      <c r="MC308" s="1679">
        <f t="shared" si="91"/>
        <v>0</v>
      </c>
      <c r="MD308" s="306"/>
      <c r="ME308" s="306"/>
      <c r="MF308" s="306"/>
      <c r="MG308" s="1680">
        <f t="shared" si="94"/>
        <v>0</v>
      </c>
      <c r="MH308" s="770"/>
      <c r="MI308" s="302"/>
      <c r="MJ308" s="302"/>
      <c r="MK308" s="302"/>
      <c r="ML308" s="302"/>
      <c r="MM308" s="302"/>
      <c r="MN308" s="302"/>
      <c r="MO308" s="302"/>
      <c r="MP308" s="302"/>
      <c r="MQ308" s="302"/>
      <c r="MR308" s="302"/>
      <c r="MS308" s="302"/>
      <c r="MT308" s="302"/>
      <c r="MU308" s="302"/>
      <c r="MV308" s="302"/>
      <c r="MW308" s="302"/>
      <c r="MX308" s="302"/>
      <c r="MY308" s="1682">
        <f t="shared" si="74"/>
        <v>0</v>
      </c>
      <c r="MZ308" s="770"/>
      <c r="NA308" s="770"/>
      <c r="NB308" s="770"/>
      <c r="NC308" s="770"/>
      <c r="ND308" s="770"/>
      <c r="NE308" s="770"/>
      <c r="NF308" s="770"/>
      <c r="NG308" s="770"/>
      <c r="NH308" s="770"/>
      <c r="NI308" s="770"/>
      <c r="NJ308" s="770"/>
      <c r="NK308" s="770"/>
      <c r="NL308" s="770"/>
      <c r="NM308" s="770"/>
      <c r="NN308" s="770"/>
      <c r="NO308" s="770"/>
      <c r="NP308" s="770"/>
      <c r="NQ308" s="770"/>
      <c r="NR308" s="770"/>
      <c r="NS308" s="770"/>
      <c r="NT308" s="770"/>
      <c r="NU308" s="770"/>
      <c r="NV308" s="770"/>
      <c r="NW308" s="770"/>
      <c r="NX308" s="770"/>
      <c r="NY308" s="770"/>
      <c r="NZ308" s="770"/>
      <c r="OA308" s="770"/>
      <c r="OB308" s="770"/>
      <c r="OC308" s="770"/>
      <c r="OD308" s="770"/>
      <c r="OE308" s="770"/>
      <c r="OF308" s="770"/>
      <c r="OG308" s="770"/>
      <c r="OH308" s="770"/>
      <c r="OI308" s="770"/>
      <c r="OJ308" s="770"/>
      <c r="OK308" s="770"/>
      <c r="OL308" s="770"/>
      <c r="OM308" s="770"/>
      <c r="ON308" s="770"/>
      <c r="OO308" s="770"/>
      <c r="OP308" s="770"/>
      <c r="OQ308" s="770"/>
      <c r="OR308" s="770"/>
      <c r="OS308" s="770"/>
      <c r="OT308" s="770"/>
      <c r="OU308" s="770"/>
      <c r="OV308" s="770"/>
      <c r="OW308" s="770"/>
      <c r="OX308" s="770"/>
      <c r="OY308" s="770"/>
      <c r="OZ308" s="770"/>
      <c r="PA308" s="770"/>
      <c r="PB308" s="770"/>
      <c r="PC308" s="770"/>
      <c r="PD308" s="770"/>
      <c r="PE308" s="770"/>
      <c r="PF308" s="770"/>
      <c r="PG308" s="770"/>
      <c r="PH308" s="770"/>
      <c r="PI308" s="770"/>
      <c r="PJ308" s="770"/>
      <c r="PK308" s="770"/>
      <c r="PL308" s="770"/>
      <c r="PM308" s="770"/>
      <c r="PN308" s="770"/>
      <c r="PO308" s="770"/>
      <c r="PP308" s="770"/>
      <c r="PQ308" s="770"/>
      <c r="PR308" s="770"/>
      <c r="PS308" s="770"/>
      <c r="PT308" s="770"/>
      <c r="PU308" s="770"/>
      <c r="PV308" s="770"/>
      <c r="PW308" s="770"/>
      <c r="PX308" s="770"/>
      <c r="PY308" s="770"/>
      <c r="PZ308" s="770"/>
      <c r="QA308" s="770"/>
      <c r="QB308" s="770"/>
      <c r="QC308" s="770"/>
      <c r="QD308" s="770"/>
      <c r="QE308" s="770"/>
      <c r="QF308" s="770"/>
      <c r="QG308" s="770"/>
      <c r="QH308" s="770"/>
      <c r="QI308" s="770"/>
      <c r="QJ308" s="770"/>
      <c r="QK308" s="770"/>
      <c r="QL308" s="770"/>
      <c r="QM308" s="770"/>
      <c r="QN308" s="770"/>
      <c r="QO308" s="770"/>
      <c r="QP308" s="770"/>
      <c r="QQ308" s="770"/>
      <c r="QR308" s="770"/>
      <c r="QS308" s="770"/>
      <c r="QT308" s="770"/>
      <c r="QU308" s="770"/>
      <c r="QV308" s="770"/>
      <c r="QW308" s="770"/>
      <c r="QX308" s="770"/>
      <c r="QY308" s="770"/>
      <c r="QZ308" s="770"/>
      <c r="RA308" s="770"/>
      <c r="RB308" s="770"/>
      <c r="RC308" s="770"/>
      <c r="RD308" s="770"/>
      <c r="RE308" s="770"/>
      <c r="RF308" s="304"/>
      <c r="RG308" s="770"/>
      <c r="RH308" s="302"/>
      <c r="RI308" s="770"/>
      <c r="RJ308" s="770"/>
      <c r="RK308" s="770"/>
      <c r="RL308" s="1710"/>
      <c r="RM308" s="12"/>
      <c r="RN308" s="1711"/>
      <c r="RO308" s="140" t="s">
        <v>527</v>
      </c>
      <c r="RP308" s="11"/>
      <c r="RQ308" s="11"/>
      <c r="RR308" s="17"/>
      <c r="RS308" s="767"/>
      <c r="RT308" s="11"/>
      <c r="RU308" s="11"/>
      <c r="RV308" s="771" t="s">
        <v>7419</v>
      </c>
      <c r="RW308" s="11" t="s">
        <v>7978</v>
      </c>
      <c r="RX308" s="11" t="s">
        <v>524</v>
      </c>
      <c r="RY308" s="11"/>
      <c r="RZ308" s="11"/>
      <c r="SA308" s="771"/>
      <c r="SB308" s="11"/>
      <c r="SC308" s="11"/>
    </row>
    <row r="309" spans="1:497" ht="12.75" hidden="1" customHeight="1">
      <c r="A309" s="343" t="s">
        <v>14164</v>
      </c>
      <c r="B309" s="292" t="s">
        <v>7627</v>
      </c>
      <c r="C309" s="140" t="s">
        <v>527</v>
      </c>
      <c r="D309" s="770" t="s">
        <v>5509</v>
      </c>
      <c r="E309" s="770" t="s">
        <v>528</v>
      </c>
      <c r="F309" s="770" t="s">
        <v>28</v>
      </c>
      <c r="G309" s="770" t="s">
        <v>10</v>
      </c>
      <c r="H309" s="770"/>
      <c r="I309" s="295"/>
      <c r="J309" s="770" t="s">
        <v>5509</v>
      </c>
      <c r="K309" s="770"/>
      <c r="L309" s="770"/>
      <c r="M309" s="770"/>
      <c r="N309" s="770"/>
      <c r="O309" s="770"/>
      <c r="P309" s="770"/>
      <c r="Q309" s="1088"/>
      <c r="R309" s="297"/>
      <c r="S309" s="770"/>
      <c r="T309" s="770"/>
      <c r="U309" s="298"/>
      <c r="V309" s="770"/>
      <c r="W309" s="770"/>
      <c r="X309" s="296"/>
      <c r="Y309" s="770"/>
      <c r="Z309" s="770"/>
      <c r="AA309" s="770"/>
      <c r="AB309" s="770"/>
      <c r="AC309" s="770"/>
      <c r="AD309" s="770"/>
      <c r="AE309" s="770"/>
      <c r="AF309" s="770"/>
      <c r="AG309" s="770"/>
      <c r="AH309" s="770"/>
      <c r="AI309" s="770"/>
      <c r="AJ309" s="770"/>
      <c r="AK309" s="770" t="s">
        <v>1899</v>
      </c>
      <c r="AL309" s="299"/>
      <c r="AM309" s="300"/>
      <c r="AN309" s="301"/>
      <c r="AO309" s="766"/>
      <c r="AP309" s="766"/>
      <c r="AQ309" s="766"/>
      <c r="AR309" s="766"/>
      <c r="AS309" s="770"/>
      <c r="AT309" s="770"/>
      <c r="AU309" s="770"/>
      <c r="AV309" s="770"/>
      <c r="AW309" s="770"/>
      <c r="AX309" s="770"/>
      <c r="AY309" s="770"/>
      <c r="AZ309" s="770"/>
      <c r="BA309" s="770"/>
      <c r="BB309" s="770"/>
      <c r="BC309" s="770"/>
      <c r="BD309" s="770"/>
      <c r="BE309" s="770"/>
      <c r="BF309" s="302"/>
      <c r="BG309" s="302"/>
      <c r="BH309" s="770"/>
      <c r="BI309" s="770"/>
      <c r="BJ309" s="770"/>
      <c r="BK309" s="770"/>
      <c r="BL309" s="770"/>
      <c r="BM309" s="766" t="s">
        <v>1238</v>
      </c>
      <c r="BN309" s="770" t="s">
        <v>1256</v>
      </c>
      <c r="BO309" s="770"/>
      <c r="BP309" s="780"/>
      <c r="BQ309" s="772"/>
      <c r="BR309" s="774"/>
      <c r="BS309" s="6" t="s">
        <v>1149</v>
      </c>
      <c r="BT309" s="766"/>
      <c r="BU309" s="770"/>
      <c r="BV309" s="770"/>
      <c r="BW309" s="770"/>
      <c r="BX309" s="302"/>
      <c r="BY309" s="303"/>
      <c r="BZ309" s="770"/>
      <c r="CA309" s="302"/>
      <c r="CB309" s="302"/>
      <c r="CC309" s="770"/>
      <c r="CD309" s="770"/>
      <c r="CE309" s="770"/>
      <c r="CF309" s="770"/>
      <c r="CG309" s="770"/>
      <c r="CH309" s="770"/>
      <c r="CI309" s="770"/>
      <c r="CJ309" s="770"/>
      <c r="CK309" s="770"/>
      <c r="CL309" s="770"/>
      <c r="CM309" s="770"/>
      <c r="CN309" s="770"/>
      <c r="CO309" s="770"/>
      <c r="CP309" s="770"/>
      <c r="CQ309" s="770"/>
      <c r="CR309" s="770"/>
      <c r="CS309" s="302"/>
      <c r="CT309" s="770"/>
      <c r="CU309" s="305"/>
      <c r="CV309" s="770"/>
      <c r="CW309" s="770"/>
      <c r="CX309" s="770"/>
      <c r="CY309" s="770"/>
      <c r="CZ309" s="770"/>
      <c r="DA309" s="770"/>
      <c r="DB309" s="770"/>
      <c r="DC309" s="770"/>
      <c r="DD309" s="770"/>
      <c r="DE309" s="770"/>
      <c r="DF309" s="770"/>
      <c r="DG309" s="770"/>
      <c r="DH309" s="770"/>
      <c r="DI309" s="770"/>
      <c r="DJ309" s="770"/>
      <c r="DK309" s="770"/>
      <c r="DL309" s="770"/>
      <c r="DM309" s="770"/>
      <c r="DN309" s="770"/>
      <c r="DO309" s="770"/>
      <c r="DP309" s="770"/>
      <c r="DQ309" s="770"/>
      <c r="DR309" s="770"/>
      <c r="DS309" s="307"/>
      <c r="DT309" s="770"/>
      <c r="DU309" s="770"/>
      <c r="DV309" s="770"/>
      <c r="DW309" s="306"/>
      <c r="DX309" s="306"/>
      <c r="DY309" s="770"/>
      <c r="DZ309" s="770"/>
      <c r="EA309" s="770"/>
      <c r="EB309" s="770"/>
      <c r="EC309" s="770"/>
      <c r="ED309" s="770"/>
      <c r="EE309" s="770"/>
      <c r="EF309" s="770"/>
      <c r="EG309" s="770"/>
      <c r="EH309" s="770"/>
      <c r="EI309" s="770"/>
      <c r="EJ309" s="770"/>
      <c r="EK309" s="770"/>
      <c r="EL309" s="770"/>
      <c r="EM309" s="770"/>
      <c r="EN309" s="770"/>
      <c r="EO309" s="770"/>
      <c r="EP309" s="770"/>
      <c r="EQ309" s="770"/>
      <c r="ER309" s="770"/>
      <c r="ES309" s="770"/>
      <c r="ET309" s="770"/>
      <c r="EU309" s="770"/>
      <c r="EV309" s="770"/>
      <c r="EW309" s="770"/>
      <c r="EX309" s="770"/>
      <c r="EY309" s="770"/>
      <c r="EZ309" s="770"/>
      <c r="FA309" s="770"/>
      <c r="FB309" s="770"/>
      <c r="FC309" s="770"/>
      <c r="FD309" s="302"/>
      <c r="FE309" s="770"/>
      <c r="FF309" s="770"/>
      <c r="FG309" s="770"/>
      <c r="FH309" s="770" t="s">
        <v>1306</v>
      </c>
      <c r="FI309" s="770">
        <v>2</v>
      </c>
      <c r="FJ309" s="770" t="s">
        <v>1643</v>
      </c>
      <c r="FK309" s="770" t="s">
        <v>1644</v>
      </c>
      <c r="FL309" s="770"/>
      <c r="FM309" s="147">
        <v>1000</v>
      </c>
      <c r="FN309" s="302">
        <v>115</v>
      </c>
      <c r="FO309" s="302">
        <v>300</v>
      </c>
      <c r="FP309" s="770" t="s">
        <v>1600</v>
      </c>
      <c r="FQ309" s="770" t="s">
        <v>1642</v>
      </c>
      <c r="FR309" s="770"/>
      <c r="FS309" s="770"/>
      <c r="FT309" s="770"/>
      <c r="FU309" s="770"/>
      <c r="FV309" s="770"/>
      <c r="FW309" s="770"/>
      <c r="FX309" s="770"/>
      <c r="FY309" s="770"/>
      <c r="FZ309" s="770"/>
      <c r="GA309" s="770"/>
      <c r="GB309" s="770"/>
      <c r="GC309" s="308"/>
      <c r="GD309" s="297"/>
      <c r="GE309" s="770"/>
      <c r="GF309" s="302"/>
      <c r="GG309" s="302"/>
      <c r="GH309" s="770"/>
      <c r="GI309" s="770"/>
      <c r="GJ309" s="770"/>
      <c r="GK309" s="770"/>
      <c r="GL309" s="770"/>
      <c r="GM309" s="770"/>
      <c r="GN309" s="309"/>
      <c r="GO309" s="770"/>
      <c r="GP309" s="770"/>
      <c r="GQ309" s="770"/>
      <c r="GR309" s="770"/>
      <c r="GS309" s="770"/>
      <c r="GT309" s="770"/>
      <c r="GU309" s="770"/>
      <c r="GV309" s="770"/>
      <c r="GW309" s="770"/>
      <c r="GX309" s="770"/>
      <c r="GY309" s="770"/>
      <c r="GZ309" s="770"/>
      <c r="HA309" s="770"/>
      <c r="HB309" s="770"/>
      <c r="HC309" s="770"/>
      <c r="HD309" s="770"/>
      <c r="HE309" s="770"/>
      <c r="HF309" s="770"/>
      <c r="HG309" s="770"/>
      <c r="HH309" s="770"/>
      <c r="HI309" s="770"/>
      <c r="HJ309" s="770"/>
      <c r="HK309" s="770"/>
      <c r="HL309" s="770"/>
      <c r="HM309" s="770"/>
      <c r="HN309" s="770"/>
      <c r="HO309" s="770"/>
      <c r="HP309" s="770"/>
      <c r="HQ309" s="770"/>
      <c r="HR309" s="770"/>
      <c r="HS309" s="770"/>
      <c r="HT309" s="770"/>
      <c r="HU309" s="770"/>
      <c r="HV309" s="770"/>
      <c r="HW309" s="770"/>
      <c r="HX309" s="770"/>
      <c r="HY309" s="770"/>
      <c r="HZ309" s="770"/>
      <c r="IA309" s="770"/>
      <c r="IB309" s="14" t="e">
        <f>IF(#REF!&gt;0,IF(#REF!&lt;=10000,"Y",""),"")</f>
        <v>#REF!</v>
      </c>
      <c r="IC309" s="770"/>
      <c r="ID309" s="770"/>
      <c r="IE309" s="770"/>
      <c r="IF309" s="770"/>
      <c r="IG309" s="770"/>
      <c r="IH309" s="770"/>
      <c r="II309" s="770"/>
      <c r="IJ309" s="770"/>
      <c r="IK309" s="770"/>
      <c r="IL309" s="770"/>
      <c r="IM309" s="770"/>
      <c r="IN309" s="770"/>
      <c r="IO309" s="296"/>
      <c r="IP309" s="770"/>
      <c r="IQ309" s="770"/>
      <c r="IR309" s="770"/>
      <c r="IS309" s="770"/>
      <c r="IT309" s="770"/>
      <c r="IU309" s="770"/>
      <c r="IV309" s="770"/>
      <c r="IW309" s="770"/>
      <c r="IX309" s="770"/>
      <c r="IY309" s="770"/>
      <c r="IZ309" s="770"/>
      <c r="JA309" s="770"/>
      <c r="JB309" s="770"/>
      <c r="JC309" s="770"/>
      <c r="JD309" s="302"/>
      <c r="JE309" s="770"/>
      <c r="JF309" s="770"/>
      <c r="JG309" s="770"/>
      <c r="JH309" s="770"/>
      <c r="JI309" s="770"/>
      <c r="JJ309" s="13">
        <v>2</v>
      </c>
      <c r="JK309" s="13" t="s">
        <v>13443</v>
      </c>
      <c r="JL309" s="13"/>
      <c r="JM309" s="13"/>
      <c r="JN309" s="13"/>
      <c r="JO309" s="13"/>
      <c r="JP309" s="13"/>
      <c r="JQ309" s="13"/>
      <c r="JR309" s="13"/>
      <c r="JS309" s="13"/>
      <c r="JT309" s="766"/>
      <c r="JU309" s="766"/>
      <c r="JV309" s="766"/>
      <c r="JW309" s="766"/>
      <c r="JX309" s="13"/>
      <c r="JY309" s="13"/>
      <c r="JZ309" s="13"/>
      <c r="KA309" s="13"/>
      <c r="KB309" s="13"/>
      <c r="KC309" s="13"/>
      <c r="KD309" s="13"/>
      <c r="KE309" s="13"/>
      <c r="KF309" s="13"/>
      <c r="KG309" s="13"/>
      <c r="KH309" s="13"/>
      <c r="KI309" s="13"/>
      <c r="KJ309" s="770"/>
      <c r="KK309" s="770"/>
      <c r="KL309" s="770"/>
      <c r="KM309" s="770"/>
      <c r="KN309" s="770" t="s">
        <v>722</v>
      </c>
      <c r="KO309" s="770"/>
      <c r="KP309" s="770"/>
      <c r="KQ309" s="770"/>
      <c r="KR309" s="770"/>
      <c r="KS309" s="770"/>
      <c r="KT309" s="770"/>
      <c r="KU309" s="770"/>
      <c r="KV309" s="770"/>
      <c r="KW309" s="770"/>
      <c r="KX309" s="770"/>
      <c r="KY309" s="770"/>
      <c r="KZ309" s="770"/>
      <c r="LA309" s="770"/>
      <c r="LB309" s="770"/>
      <c r="LC309" s="770"/>
      <c r="LD309" s="770"/>
      <c r="LE309" s="770"/>
      <c r="LF309" s="770"/>
      <c r="LG309" s="770"/>
      <c r="LH309" s="770"/>
      <c r="LI309" s="770"/>
      <c r="LJ309" s="770"/>
      <c r="LK309" s="770"/>
      <c r="LL309" s="770"/>
      <c r="LM309" s="770"/>
      <c r="LN309" s="766"/>
      <c r="LO309" s="766"/>
      <c r="LP309" s="770"/>
      <c r="LQ309" s="770"/>
      <c r="LR309" s="770"/>
      <c r="LS309" s="770"/>
      <c r="LT309" s="770"/>
      <c r="LU309" s="770"/>
      <c r="LV309" s="770"/>
      <c r="LW309" s="770"/>
      <c r="LX309" s="769"/>
      <c r="LY309" s="766" t="str">
        <f t="shared" si="93"/>
        <v/>
      </c>
      <c r="LZ309" s="299"/>
      <c r="MA309" s="1709"/>
      <c r="MB309" s="1709"/>
      <c r="MC309" s="1679">
        <f t="shared" si="91"/>
        <v>0</v>
      </c>
      <c r="MD309" s="1709"/>
      <c r="ME309" s="1709"/>
      <c r="MF309" s="1709"/>
      <c r="MG309" s="1680">
        <f t="shared" si="94"/>
        <v>0</v>
      </c>
      <c r="MH309" s="770"/>
      <c r="MI309" s="302"/>
      <c r="MJ309" s="302"/>
      <c r="MK309" s="302"/>
      <c r="ML309" s="302"/>
      <c r="MM309" s="302"/>
      <c r="MN309" s="302"/>
      <c r="MO309" s="302"/>
      <c r="MP309" s="302"/>
      <c r="MQ309" s="302"/>
      <c r="MR309" s="302"/>
      <c r="MS309" s="302"/>
      <c r="MT309" s="302"/>
      <c r="MU309" s="302"/>
      <c r="MV309" s="302"/>
      <c r="MW309" s="302"/>
      <c r="MX309" s="302"/>
      <c r="MY309" s="1682">
        <f t="shared" si="74"/>
        <v>0</v>
      </c>
      <c r="MZ309" s="770"/>
      <c r="NA309" s="770"/>
      <c r="NB309" s="770"/>
      <c r="NC309" s="770"/>
      <c r="ND309" s="770"/>
      <c r="NE309" s="770"/>
      <c r="NF309" s="770"/>
      <c r="NG309" s="770"/>
      <c r="NH309" s="770"/>
      <c r="NI309" s="770"/>
      <c r="NJ309" s="770"/>
      <c r="NK309" s="770"/>
      <c r="NL309" s="770"/>
      <c r="NM309" s="770"/>
      <c r="NN309" s="770"/>
      <c r="NO309" s="770"/>
      <c r="NP309" s="770"/>
      <c r="NQ309" s="770"/>
      <c r="NR309" s="770"/>
      <c r="NS309" s="770"/>
      <c r="NT309" s="770"/>
      <c r="NU309" s="770"/>
      <c r="NV309" s="770"/>
      <c r="NW309" s="770"/>
      <c r="NX309" s="770"/>
      <c r="NY309" s="770"/>
      <c r="NZ309" s="770"/>
      <c r="OA309" s="770"/>
      <c r="OB309" s="770"/>
      <c r="OC309" s="770"/>
      <c r="OD309" s="770"/>
      <c r="OE309" s="770"/>
      <c r="OF309" s="770"/>
      <c r="OG309" s="770"/>
      <c r="OH309" s="770"/>
      <c r="OI309" s="770"/>
      <c r="OJ309" s="770"/>
      <c r="OK309" s="770"/>
      <c r="OL309" s="770"/>
      <c r="OM309" s="770"/>
      <c r="ON309" s="770"/>
      <c r="OO309" s="770"/>
      <c r="OP309" s="770"/>
      <c r="OQ309" s="770"/>
      <c r="OR309" s="770"/>
      <c r="OS309" s="770"/>
      <c r="OT309" s="770"/>
      <c r="OU309" s="770"/>
      <c r="OV309" s="770"/>
      <c r="OW309" s="770"/>
      <c r="OX309" s="770"/>
      <c r="OY309" s="770"/>
      <c r="OZ309" s="770"/>
      <c r="PA309" s="770"/>
      <c r="PB309" s="770"/>
      <c r="PC309" s="770"/>
      <c r="PD309" s="770"/>
      <c r="PE309" s="770"/>
      <c r="PF309" s="770"/>
      <c r="PG309" s="770"/>
      <c r="PH309" s="770"/>
      <c r="PI309" s="770"/>
      <c r="PJ309" s="770"/>
      <c r="PK309" s="770"/>
      <c r="PL309" s="770"/>
      <c r="PM309" s="770"/>
      <c r="PN309" s="770"/>
      <c r="PO309" s="770"/>
      <c r="PP309" s="770"/>
      <c r="PQ309" s="770"/>
      <c r="PR309" s="770"/>
      <c r="PS309" s="770"/>
      <c r="PT309" s="770"/>
      <c r="PU309" s="770"/>
      <c r="PV309" s="770"/>
      <c r="PW309" s="770"/>
      <c r="PX309" s="770"/>
      <c r="PY309" s="770"/>
      <c r="PZ309" s="770"/>
      <c r="QA309" s="770"/>
      <c r="QB309" s="770"/>
      <c r="QC309" s="770"/>
      <c r="QD309" s="770"/>
      <c r="QE309" s="770"/>
      <c r="QF309" s="770"/>
      <c r="QG309" s="770"/>
      <c r="QH309" s="770"/>
      <c r="QI309" s="770"/>
      <c r="QJ309" s="770"/>
      <c r="QK309" s="770"/>
      <c r="QL309" s="770"/>
      <c r="QM309" s="770"/>
      <c r="QN309" s="770"/>
      <c r="QO309" s="770"/>
      <c r="QP309" s="770"/>
      <c r="QQ309" s="770"/>
      <c r="QR309" s="770"/>
      <c r="QS309" s="770"/>
      <c r="QT309" s="770"/>
      <c r="QU309" s="770"/>
      <c r="QV309" s="770"/>
      <c r="QW309" s="770"/>
      <c r="QX309" s="770"/>
      <c r="QY309" s="770"/>
      <c r="QZ309" s="770"/>
      <c r="RA309" s="770"/>
      <c r="RB309" s="770"/>
      <c r="RC309" s="770"/>
      <c r="RD309" s="770"/>
      <c r="RE309" s="770"/>
      <c r="RF309" s="304"/>
      <c r="RG309" s="770"/>
      <c r="RH309" s="302"/>
      <c r="RI309" s="770"/>
      <c r="RJ309" s="770" t="s">
        <v>13444</v>
      </c>
      <c r="RK309" s="770" t="s">
        <v>13381</v>
      </c>
      <c r="RL309" s="1710"/>
      <c r="RM309" s="12"/>
      <c r="RN309" s="1711"/>
      <c r="RO309" s="140" t="s">
        <v>527</v>
      </c>
      <c r="RP309" s="11"/>
      <c r="RQ309" s="11"/>
      <c r="RR309" s="771"/>
      <c r="RS309" s="771"/>
      <c r="RT309" s="11"/>
      <c r="RU309" s="11"/>
      <c r="RV309" s="771" t="s">
        <v>7419</v>
      </c>
      <c r="RW309" s="11" t="s">
        <v>5506</v>
      </c>
      <c r="RX309" s="11" t="s">
        <v>527</v>
      </c>
      <c r="RY309" s="11"/>
      <c r="RZ309" s="11"/>
      <c r="SA309" s="771"/>
      <c r="SB309" s="11"/>
      <c r="SC309" s="11"/>
    </row>
    <row r="310" spans="1:497" ht="12.75" hidden="1" customHeight="1">
      <c r="A310" s="154" t="s">
        <v>7419</v>
      </c>
      <c r="B310" s="292" t="s">
        <v>7628</v>
      </c>
      <c r="C310" s="140" t="s">
        <v>531</v>
      </c>
      <c r="D310" s="94" t="s">
        <v>5510</v>
      </c>
      <c r="E310" s="770" t="s">
        <v>532</v>
      </c>
      <c r="F310" s="770" t="s">
        <v>28</v>
      </c>
      <c r="G310" s="770" t="s">
        <v>18</v>
      </c>
      <c r="H310" s="770"/>
      <c r="I310" s="295"/>
      <c r="J310" s="94" t="s">
        <v>5510</v>
      </c>
      <c r="K310" s="770"/>
      <c r="L310" s="770"/>
      <c r="M310" s="770"/>
      <c r="N310" s="770"/>
      <c r="O310" s="770"/>
      <c r="P310" s="770"/>
      <c r="Q310" s="1088"/>
      <c r="R310" s="297"/>
      <c r="S310" s="770"/>
      <c r="T310" s="770"/>
      <c r="U310" s="298"/>
      <c r="V310" s="770"/>
      <c r="W310" s="770"/>
      <c r="X310" s="296"/>
      <c r="Y310" s="770"/>
      <c r="Z310" s="770"/>
      <c r="AA310" s="770"/>
      <c r="AB310" s="770"/>
      <c r="AC310" s="770"/>
      <c r="AD310" s="770"/>
      <c r="AE310" s="770"/>
      <c r="AF310" s="770"/>
      <c r="AG310" s="766" t="s">
        <v>1095</v>
      </c>
      <c r="AH310" s="766" t="s">
        <v>1096</v>
      </c>
      <c r="AI310" s="770" t="s">
        <v>1170</v>
      </c>
      <c r="AJ310" s="770"/>
      <c r="AK310" s="766" t="s">
        <v>1097</v>
      </c>
      <c r="AL310" s="121">
        <v>72</v>
      </c>
      <c r="AM310" s="772">
        <v>28.8</v>
      </c>
      <c r="AN310" s="774">
        <v>0.4</v>
      </c>
      <c r="AO310" s="766" t="s">
        <v>1149</v>
      </c>
      <c r="AP310" s="766"/>
      <c r="AQ310" s="766"/>
      <c r="AR310" s="766"/>
      <c r="AS310" s="770" t="s">
        <v>1207</v>
      </c>
      <c r="AT310" s="770" t="s">
        <v>1208</v>
      </c>
      <c r="AU310" s="770"/>
      <c r="AV310" s="770"/>
      <c r="AW310" s="770"/>
      <c r="AX310" s="770"/>
      <c r="AY310" s="770"/>
      <c r="AZ310" s="770"/>
      <c r="BA310" s="770"/>
      <c r="BB310" s="770"/>
      <c r="BC310" s="770" t="s">
        <v>853</v>
      </c>
      <c r="BD310" s="770" t="s">
        <v>1207</v>
      </c>
      <c r="BE310" s="770"/>
      <c r="BF310" s="302"/>
      <c r="BG310" s="302"/>
      <c r="BH310" s="770"/>
      <c r="BI310" s="770"/>
      <c r="BJ310" s="770"/>
      <c r="BK310" s="766" t="s">
        <v>1095</v>
      </c>
      <c r="BL310" s="766" t="s">
        <v>1375</v>
      </c>
      <c r="BM310" s="766" t="s">
        <v>8108</v>
      </c>
      <c r="BN310" s="766" t="s">
        <v>1230</v>
      </c>
      <c r="BO310" s="766" t="s">
        <v>1246</v>
      </c>
      <c r="BP310" s="773">
        <v>72</v>
      </c>
      <c r="BQ310" s="772">
        <v>28.8</v>
      </c>
      <c r="BR310" s="774">
        <v>0.4</v>
      </c>
      <c r="BS310" s="6" t="s">
        <v>1149</v>
      </c>
      <c r="BT310" s="766" t="s">
        <v>2040</v>
      </c>
      <c r="BU310" s="770" t="s">
        <v>1249</v>
      </c>
      <c r="BV310" s="770" t="s">
        <v>1247</v>
      </c>
      <c r="BW310" s="769"/>
      <c r="BX310" s="302"/>
      <c r="BY310" s="303"/>
      <c r="BZ310" s="770"/>
      <c r="CA310" s="302"/>
      <c r="CB310" s="302"/>
      <c r="CC310" s="770"/>
      <c r="CD310" s="770"/>
      <c r="CE310" s="770"/>
      <c r="CF310" s="304"/>
      <c r="CG310" s="321"/>
      <c r="CH310" s="770"/>
      <c r="CI310" s="770"/>
      <c r="CJ310" s="770"/>
      <c r="CK310" s="770"/>
      <c r="CL310" s="770"/>
      <c r="CM310" s="770"/>
      <c r="CN310" s="770"/>
      <c r="CO310" s="770"/>
      <c r="CP310" s="770"/>
      <c r="CQ310" s="770"/>
      <c r="CR310" s="770"/>
      <c r="CS310" s="302"/>
      <c r="CT310" s="770"/>
      <c r="CU310" s="305"/>
      <c r="CV310" s="770"/>
      <c r="CW310" s="770"/>
      <c r="CX310" s="770"/>
      <c r="CY310" s="770"/>
      <c r="CZ310" s="770"/>
      <c r="DA310" s="306"/>
      <c r="DB310" s="770"/>
      <c r="DC310" s="770"/>
      <c r="DD310" s="770"/>
      <c r="DE310" s="300"/>
      <c r="DF310" s="770"/>
      <c r="DG310" s="770"/>
      <c r="DH310" s="770"/>
      <c r="DI310" s="770"/>
      <c r="DJ310" s="770"/>
      <c r="DK310" s="770"/>
      <c r="DL310" s="770"/>
      <c r="DM310" s="770"/>
      <c r="DN310" s="322"/>
      <c r="DO310" s="770"/>
      <c r="DP310" s="770"/>
      <c r="DQ310" s="770"/>
      <c r="DR310" s="770"/>
      <c r="DS310" s="307"/>
      <c r="DT310" s="770"/>
      <c r="DU310" s="770"/>
      <c r="DV310" s="770"/>
      <c r="DW310" s="306"/>
      <c r="DX310" s="306"/>
      <c r="DY310" s="770"/>
      <c r="DZ310" s="770"/>
      <c r="EA310" s="770"/>
      <c r="EB310" s="770"/>
      <c r="EC310" s="770"/>
      <c r="ED310" s="770"/>
      <c r="EE310" s="770"/>
      <c r="EF310" s="770"/>
      <c r="EG310" s="770"/>
      <c r="EH310" s="770"/>
      <c r="EI310" s="770"/>
      <c r="EJ310" s="770"/>
      <c r="EK310" s="770"/>
      <c r="EL310" s="770"/>
      <c r="EM310" s="770"/>
      <c r="EN310" s="770"/>
      <c r="EO310" s="770"/>
      <c r="EP310" s="94"/>
      <c r="EQ310" s="770"/>
      <c r="ER310" s="770"/>
      <c r="ES310" s="770"/>
      <c r="ET310" s="770"/>
      <c r="EU310" s="770"/>
      <c r="EV310" s="770"/>
      <c r="EW310" s="770"/>
      <c r="EX310" s="770"/>
      <c r="EY310" s="770"/>
      <c r="EZ310" s="770"/>
      <c r="FA310" s="770"/>
      <c r="FB310" s="770"/>
      <c r="FC310" s="770"/>
      <c r="FD310" s="302"/>
      <c r="FE310" s="770"/>
      <c r="FF310" s="770"/>
      <c r="FG310" s="770"/>
      <c r="FH310" s="770" t="s">
        <v>478</v>
      </c>
      <c r="FI310" s="770"/>
      <c r="FJ310" s="770"/>
      <c r="FK310" s="770"/>
      <c r="FL310" s="770"/>
      <c r="FM310" s="302"/>
      <c r="FN310" s="302"/>
      <c r="FO310" s="302"/>
      <c r="FP310" s="770"/>
      <c r="FQ310" s="770"/>
      <c r="FR310" s="770" t="s">
        <v>1207</v>
      </c>
      <c r="FS310" s="770" t="s">
        <v>1208</v>
      </c>
      <c r="FT310" s="770"/>
      <c r="FU310" s="770"/>
      <c r="FV310" s="770"/>
      <c r="FW310" s="770"/>
      <c r="FX310" s="770"/>
      <c r="FY310" s="770"/>
      <c r="FZ310" s="770"/>
      <c r="GA310" s="770"/>
      <c r="GB310" s="770" t="s">
        <v>853</v>
      </c>
      <c r="GC310" s="308" t="s">
        <v>1743</v>
      </c>
      <c r="GD310" s="297" t="s">
        <v>1217</v>
      </c>
      <c r="GE310" s="770" t="s">
        <v>1207</v>
      </c>
      <c r="GF310" s="302">
        <v>3000</v>
      </c>
      <c r="GG310" s="302">
        <f>GF310*12</f>
        <v>36000</v>
      </c>
      <c r="GH310" s="770"/>
      <c r="GI310" s="770"/>
      <c r="GJ310" s="770"/>
      <c r="GK310" s="770"/>
      <c r="GL310" s="770"/>
      <c r="GM310" s="770"/>
      <c r="GN310" s="309"/>
      <c r="GO310" s="770"/>
      <c r="GP310" s="770"/>
      <c r="GQ310" s="770"/>
      <c r="GR310" s="770"/>
      <c r="GS310" s="770"/>
      <c r="GT310" s="770"/>
      <c r="GU310" s="770"/>
      <c r="GV310" s="770"/>
      <c r="GW310" s="770"/>
      <c r="GX310" s="770"/>
      <c r="GY310" s="770"/>
      <c r="GZ310" s="770"/>
      <c r="HA310" s="770"/>
      <c r="HB310" s="770"/>
      <c r="HC310" s="770"/>
      <c r="HD310" s="770"/>
      <c r="HE310" s="770"/>
      <c r="HF310" s="770"/>
      <c r="HG310" s="770"/>
      <c r="HH310" s="770"/>
      <c r="HI310" s="770"/>
      <c r="HJ310" s="770"/>
      <c r="HK310" s="770"/>
      <c r="HL310" s="770"/>
      <c r="HM310" s="770"/>
      <c r="HN310" s="770"/>
      <c r="HO310" s="770"/>
      <c r="HP310" s="770"/>
      <c r="HQ310" s="770"/>
      <c r="HR310" s="770"/>
      <c r="HS310" s="770"/>
      <c r="HT310" s="770"/>
      <c r="HU310" s="770"/>
      <c r="HV310" s="770"/>
      <c r="HW310" s="770"/>
      <c r="HX310" s="770"/>
      <c r="HY310" s="770"/>
      <c r="HZ310" s="770"/>
      <c r="IA310" s="770"/>
      <c r="IB310" s="14" t="e">
        <f>IF(#REF!&gt;0,IF(#REF!&lt;=10000,"Y",""),"")</f>
        <v>#REF!</v>
      </c>
      <c r="IC310" s="770" t="s">
        <v>1207</v>
      </c>
      <c r="ID310" s="770" t="s">
        <v>1207</v>
      </c>
      <c r="IE310" s="770"/>
      <c r="IF310" s="1839" t="s">
        <v>5510</v>
      </c>
      <c r="IG310" s="770"/>
      <c r="IH310" s="770"/>
      <c r="II310" s="770"/>
      <c r="IJ310" s="770"/>
      <c r="IK310" s="770"/>
      <c r="IL310" s="770"/>
      <c r="IM310" s="770"/>
      <c r="IN310" s="770"/>
      <c r="IO310" s="296"/>
      <c r="IP310" s="770"/>
      <c r="IQ310" s="769" t="s">
        <v>5498</v>
      </c>
      <c r="IR310" s="770"/>
      <c r="IS310" s="770"/>
      <c r="IT310" s="770"/>
      <c r="IU310" s="770"/>
      <c r="IV310" s="770"/>
      <c r="IW310" s="770"/>
      <c r="IX310" s="770"/>
      <c r="IY310" s="770"/>
      <c r="IZ310" s="770"/>
      <c r="JA310" s="770"/>
      <c r="JB310" s="770"/>
      <c r="JC310" s="770"/>
      <c r="JD310" s="302"/>
      <c r="JE310" s="770"/>
      <c r="JF310" s="770"/>
      <c r="JG310" s="770"/>
      <c r="JH310" s="770"/>
      <c r="JI310" s="770"/>
      <c r="JJ310" s="770"/>
      <c r="JK310" s="770"/>
      <c r="JL310" s="770"/>
      <c r="JM310" s="770"/>
      <c r="JN310" s="770"/>
      <c r="JO310" s="770"/>
      <c r="JP310" s="770"/>
      <c r="JQ310" s="770"/>
      <c r="JR310" s="770"/>
      <c r="JS310" s="770"/>
      <c r="JT310" s="766"/>
      <c r="JU310" s="766"/>
      <c r="JV310" s="766"/>
      <c r="JW310" s="766"/>
      <c r="JX310" s="770"/>
      <c r="JY310" s="770"/>
      <c r="JZ310" s="770"/>
      <c r="KA310" s="770"/>
      <c r="KB310" s="770"/>
      <c r="KC310" s="770"/>
      <c r="KD310" s="770"/>
      <c r="KE310" s="770"/>
      <c r="KF310" s="770"/>
      <c r="KG310" s="770"/>
      <c r="KH310" s="770"/>
      <c r="KI310" s="770"/>
      <c r="KJ310" s="770"/>
      <c r="KK310" s="770"/>
      <c r="KL310" s="770"/>
      <c r="KM310" s="770"/>
      <c r="KN310" s="770"/>
      <c r="KO310" s="770"/>
      <c r="KP310" s="770"/>
      <c r="KQ310" s="770"/>
      <c r="KR310" s="770"/>
      <c r="KS310" s="770"/>
      <c r="KT310" s="770"/>
      <c r="KU310" s="770"/>
      <c r="KV310" s="770"/>
      <c r="KW310" s="770"/>
      <c r="KX310" s="770"/>
      <c r="KY310" s="770"/>
      <c r="KZ310" s="770"/>
      <c r="LA310" s="770"/>
      <c r="LB310" s="770"/>
      <c r="LC310" s="770"/>
      <c r="LD310" s="770"/>
      <c r="LE310" s="770"/>
      <c r="LF310" s="770"/>
      <c r="LG310" s="770"/>
      <c r="LH310" s="770"/>
      <c r="LI310" s="770"/>
      <c r="LJ310" s="770"/>
      <c r="LK310" s="770"/>
      <c r="LL310" s="770"/>
      <c r="LM310" s="770"/>
      <c r="LN310" s="766"/>
      <c r="LO310" s="766"/>
      <c r="LP310" s="770"/>
      <c r="LQ310" s="770"/>
      <c r="LR310" s="770"/>
      <c r="LS310" s="770"/>
      <c r="LT310" s="770"/>
      <c r="LU310" s="770"/>
      <c r="LV310" s="770"/>
      <c r="LW310" s="770"/>
      <c r="LX310" s="769"/>
      <c r="LY310" s="766" t="str">
        <f t="shared" si="93"/>
        <v/>
      </c>
      <c r="LZ310" s="299"/>
      <c r="MA310" s="306"/>
      <c r="MB310" s="306"/>
      <c r="MC310" s="1679">
        <f t="shared" si="91"/>
        <v>0</v>
      </c>
      <c r="MD310" s="306"/>
      <c r="ME310" s="306"/>
      <c r="MF310" s="306"/>
      <c r="MG310" s="1680">
        <f t="shared" si="94"/>
        <v>0</v>
      </c>
      <c r="MH310" s="770"/>
      <c r="MI310" s="302"/>
      <c r="MJ310" s="302"/>
      <c r="MK310" s="302"/>
      <c r="ML310" s="302"/>
      <c r="MM310" s="302"/>
      <c r="MN310" s="302"/>
      <c r="MO310" s="302"/>
      <c r="MP310" s="302"/>
      <c r="MQ310" s="302"/>
      <c r="MR310" s="302"/>
      <c r="MS310" s="302"/>
      <c r="MT310" s="302"/>
      <c r="MU310" s="302"/>
      <c r="MV310" s="302"/>
      <c r="MW310" s="302"/>
      <c r="MX310" s="302"/>
      <c r="MY310" s="1682">
        <f t="shared" si="74"/>
        <v>0</v>
      </c>
      <c r="MZ310" s="770"/>
      <c r="NA310" s="770"/>
      <c r="NB310" s="770"/>
      <c r="NC310" s="770"/>
      <c r="ND310" s="770"/>
      <c r="NE310" s="770"/>
      <c r="NF310" s="770"/>
      <c r="NG310" s="770"/>
      <c r="NH310" s="770"/>
      <c r="NI310" s="770"/>
      <c r="NJ310" s="770"/>
      <c r="NK310" s="770"/>
      <c r="NL310" s="770"/>
      <c r="NM310" s="770"/>
      <c r="NN310" s="770"/>
      <c r="NO310" s="770"/>
      <c r="NP310" s="770"/>
      <c r="NQ310" s="770"/>
      <c r="NR310" s="770"/>
      <c r="NS310" s="770"/>
      <c r="NT310" s="770"/>
      <c r="NU310" s="770"/>
      <c r="NV310" s="770"/>
      <c r="NW310" s="770"/>
      <c r="NX310" s="770"/>
      <c r="NY310" s="770"/>
      <c r="NZ310" s="770"/>
      <c r="OA310" s="770"/>
      <c r="OB310" s="770"/>
      <c r="OC310" s="770"/>
      <c r="OD310" s="770"/>
      <c r="OE310" s="770"/>
      <c r="OF310" s="1828" t="s">
        <v>3650</v>
      </c>
      <c r="OG310" s="770"/>
      <c r="OH310" s="770"/>
      <c r="OI310" s="770"/>
      <c r="OJ310" s="770"/>
      <c r="OK310" s="770"/>
      <c r="OL310" s="770"/>
      <c r="OM310" s="770"/>
      <c r="ON310" s="770"/>
      <c r="OO310" s="770"/>
      <c r="OP310" s="770"/>
      <c r="OQ310" s="770"/>
      <c r="OR310" s="770"/>
      <c r="OS310" s="770"/>
      <c r="OT310" s="770"/>
      <c r="OU310" s="770"/>
      <c r="OV310" s="770"/>
      <c r="OW310" s="770"/>
      <c r="OX310" s="770"/>
      <c r="OY310" s="770"/>
      <c r="OZ310" s="770"/>
      <c r="PA310" s="770"/>
      <c r="PB310" s="770"/>
      <c r="PC310" s="770"/>
      <c r="PD310" s="770"/>
      <c r="PE310" s="770"/>
      <c r="PF310" s="770"/>
      <c r="PG310" s="770"/>
      <c r="PH310" s="770"/>
      <c r="PI310" s="770"/>
      <c r="PJ310" s="770"/>
      <c r="PK310" s="770"/>
      <c r="PL310" s="770"/>
      <c r="PM310" s="770"/>
      <c r="PN310" s="770"/>
      <c r="PO310" s="770"/>
      <c r="PP310" s="770"/>
      <c r="PQ310" s="770"/>
      <c r="PR310" s="770"/>
      <c r="PS310" s="770"/>
      <c r="PT310" s="770"/>
      <c r="PU310" s="770"/>
      <c r="PV310" s="770"/>
      <c r="PW310" s="770"/>
      <c r="PX310" s="770"/>
      <c r="PY310" s="770"/>
      <c r="PZ310" s="770"/>
      <c r="QA310" s="770"/>
      <c r="QB310" s="770"/>
      <c r="QC310" s="770"/>
      <c r="QD310" s="770"/>
      <c r="QE310" s="770"/>
      <c r="QF310" s="770"/>
      <c r="QG310" s="770"/>
      <c r="QH310" s="770"/>
      <c r="QI310" s="770"/>
      <c r="QJ310" s="770"/>
      <c r="QK310" s="770"/>
      <c r="QL310" s="770"/>
      <c r="QM310" s="770"/>
      <c r="QN310" s="770"/>
      <c r="QO310" s="770"/>
      <c r="QP310" s="770"/>
      <c r="QQ310" s="770"/>
      <c r="QR310" s="770"/>
      <c r="QS310" s="770"/>
      <c r="QT310" s="770"/>
      <c r="QU310" s="770"/>
      <c r="QV310" s="770"/>
      <c r="QW310" s="770"/>
      <c r="QX310" s="770"/>
      <c r="QY310" s="770"/>
      <c r="QZ310" s="770"/>
      <c r="RA310" s="770"/>
      <c r="RB310" s="770"/>
      <c r="RC310" s="770"/>
      <c r="RD310" s="770"/>
      <c r="RE310" s="770"/>
      <c r="RF310" s="304"/>
      <c r="RG310" s="770"/>
      <c r="RH310" s="302"/>
      <c r="RI310" s="770"/>
      <c r="RJ310" s="770" t="s">
        <v>13445</v>
      </c>
      <c r="RK310" s="770" t="s">
        <v>13381</v>
      </c>
      <c r="RL310" s="1710">
        <v>42816</v>
      </c>
      <c r="RM310" s="12"/>
      <c r="RN310" s="1711"/>
      <c r="RO310" s="140" t="s">
        <v>531</v>
      </c>
      <c r="RP310" s="11"/>
      <c r="RQ310" s="11"/>
      <c r="RR310" s="771"/>
      <c r="RS310" s="767"/>
      <c r="RT310" s="11"/>
      <c r="RU310" s="11"/>
      <c r="RV310" s="771" t="s">
        <v>8079</v>
      </c>
      <c r="RW310" s="11" t="s">
        <v>11862</v>
      </c>
      <c r="RX310" s="11" t="s">
        <v>527</v>
      </c>
      <c r="RY310" s="11"/>
      <c r="RZ310" s="11" t="s">
        <v>1101</v>
      </c>
      <c r="SA310" s="771"/>
      <c r="SB310" s="11"/>
      <c r="SC310" s="11"/>
    </row>
    <row r="311" spans="1:497" ht="12.75" hidden="1" customHeight="1">
      <c r="A311" s="154" t="s">
        <v>14165</v>
      </c>
      <c r="B311" s="292" t="s">
        <v>7542</v>
      </c>
      <c r="C311" s="140" t="s">
        <v>531</v>
      </c>
      <c r="D311" s="770" t="s">
        <v>2003</v>
      </c>
      <c r="E311" s="770" t="s">
        <v>532</v>
      </c>
      <c r="F311" s="770" t="s">
        <v>20</v>
      </c>
      <c r="G311" s="770" t="s">
        <v>18</v>
      </c>
      <c r="H311" s="770"/>
      <c r="I311" s="295" t="s">
        <v>533</v>
      </c>
      <c r="J311" s="94" t="s">
        <v>534</v>
      </c>
      <c r="K311" s="770"/>
      <c r="L311" s="770"/>
      <c r="M311" s="770"/>
      <c r="N311" s="770"/>
      <c r="O311" s="770"/>
      <c r="P311" s="770"/>
      <c r="Q311" s="1088"/>
      <c r="R311" s="297"/>
      <c r="S311" s="770"/>
      <c r="T311" s="770"/>
      <c r="U311" s="298"/>
      <c r="V311" s="770"/>
      <c r="W311" s="770"/>
      <c r="X311" s="296"/>
      <c r="Y311" s="770"/>
      <c r="Z311" s="770"/>
      <c r="AA311" s="770"/>
      <c r="AB311" s="770"/>
      <c r="AC311" s="770"/>
      <c r="AD311" s="770"/>
      <c r="AE311" s="770"/>
      <c r="AF311" s="770"/>
      <c r="AG311" s="770"/>
      <c r="AH311" s="770"/>
      <c r="AI311" s="770"/>
      <c r="AJ311" s="770"/>
      <c r="AK311" s="770" t="s">
        <v>1899</v>
      </c>
      <c r="AL311" s="299"/>
      <c r="AM311" s="300"/>
      <c r="AN311" s="301"/>
      <c r="AO311" s="766"/>
      <c r="AP311" s="766"/>
      <c r="AQ311" s="766"/>
      <c r="AR311" s="766"/>
      <c r="AS311" s="770"/>
      <c r="AT311" s="770"/>
      <c r="AU311" s="770"/>
      <c r="AV311" s="770"/>
      <c r="AW311" s="770"/>
      <c r="AX311" s="770"/>
      <c r="AY311" s="770"/>
      <c r="AZ311" s="770"/>
      <c r="BA311" s="770"/>
      <c r="BB311" s="770"/>
      <c r="BC311" s="770"/>
      <c r="BD311" s="770"/>
      <c r="BE311" s="770"/>
      <c r="BF311" s="302"/>
      <c r="BG311" s="302"/>
      <c r="BH311" s="770"/>
      <c r="BI311" s="770"/>
      <c r="BJ311" s="770"/>
      <c r="BK311" s="770"/>
      <c r="BL311" s="770"/>
      <c r="BM311" s="770" t="s">
        <v>12423</v>
      </c>
      <c r="BN311" s="770" t="s">
        <v>1260</v>
      </c>
      <c r="BO311" s="770"/>
      <c r="BP311" s="780"/>
      <c r="BQ311" s="772"/>
      <c r="BR311" s="774"/>
      <c r="BS311" s="766" t="s">
        <v>1105</v>
      </c>
      <c r="BT311" s="766"/>
      <c r="BU311" s="770"/>
      <c r="BV311" s="770"/>
      <c r="BW311" s="770"/>
      <c r="BX311" s="302"/>
      <c r="BY311" s="303"/>
      <c r="BZ311" s="770"/>
      <c r="CA311" s="302"/>
      <c r="CB311" s="302"/>
      <c r="CC311" s="770"/>
      <c r="CD311" s="770"/>
      <c r="CE311" s="770"/>
      <c r="CF311" s="770"/>
      <c r="CG311" s="770"/>
      <c r="CH311" s="770"/>
      <c r="CI311" s="770"/>
      <c r="CJ311" s="770"/>
      <c r="CK311" s="770"/>
      <c r="CL311" s="770"/>
      <c r="CM311" s="770"/>
      <c r="CN311" s="770"/>
      <c r="CO311" s="770"/>
      <c r="CP311" s="770"/>
      <c r="CQ311" s="770"/>
      <c r="CR311" s="770"/>
      <c r="CS311" s="302"/>
      <c r="CT311" s="770"/>
      <c r="CU311" s="305"/>
      <c r="CV311" s="770"/>
      <c r="CW311" s="770"/>
      <c r="CX311" s="770"/>
      <c r="CY311" s="770"/>
      <c r="CZ311" s="770"/>
      <c r="DA311" s="770"/>
      <c r="DB311" s="770"/>
      <c r="DC311" s="770"/>
      <c r="DD311" s="770"/>
      <c r="DE311" s="770"/>
      <c r="DF311" s="770"/>
      <c r="DG311" s="770"/>
      <c r="DH311" s="770"/>
      <c r="DI311" s="770"/>
      <c r="DJ311" s="770"/>
      <c r="DK311" s="770"/>
      <c r="DL311" s="770"/>
      <c r="DM311" s="770"/>
      <c r="DN311" s="770"/>
      <c r="DO311" s="770"/>
      <c r="DP311" s="770"/>
      <c r="DQ311" s="770"/>
      <c r="DR311" s="770"/>
      <c r="DS311" s="307"/>
      <c r="DT311" s="770"/>
      <c r="DU311" s="770"/>
      <c r="DV311" s="770"/>
      <c r="DW311" s="306"/>
      <c r="DX311" s="306"/>
      <c r="DY311" s="770"/>
      <c r="DZ311" s="770"/>
      <c r="EA311" s="770"/>
      <c r="EB311" s="770"/>
      <c r="EC311" s="770"/>
      <c r="ED311" s="770"/>
      <c r="EE311" s="770"/>
      <c r="EF311" s="770"/>
      <c r="EG311" s="770"/>
      <c r="EH311" s="770"/>
      <c r="EI311" s="770"/>
      <c r="EJ311" s="770"/>
      <c r="EK311" s="770"/>
      <c r="EL311" s="770"/>
      <c r="EM311" s="770"/>
      <c r="EN311" s="770"/>
      <c r="EO311" s="770"/>
      <c r="EP311" s="770"/>
      <c r="EQ311" s="770"/>
      <c r="ER311" s="770"/>
      <c r="ES311" s="770"/>
      <c r="ET311" s="770"/>
      <c r="EU311" s="770"/>
      <c r="EV311" s="770"/>
      <c r="EW311" s="770"/>
      <c r="EX311" s="770"/>
      <c r="EY311" s="770"/>
      <c r="EZ311" s="770"/>
      <c r="FA311" s="770"/>
      <c r="FB311" s="770"/>
      <c r="FC311" s="770"/>
      <c r="FD311" s="302"/>
      <c r="FE311" s="770"/>
      <c r="FF311" s="770"/>
      <c r="FG311" s="770"/>
      <c r="FH311" s="770" t="s">
        <v>1306</v>
      </c>
      <c r="FI311" s="770">
        <v>1</v>
      </c>
      <c r="FJ311" s="770" t="s">
        <v>1170</v>
      </c>
      <c r="FK311" s="770"/>
      <c r="FL311" s="770"/>
      <c r="FM311" s="147">
        <v>3000</v>
      </c>
      <c r="FN311" s="302">
        <v>1000</v>
      </c>
      <c r="FO311" s="302">
        <v>1200</v>
      </c>
      <c r="FP311" s="770"/>
      <c r="FQ311" s="770"/>
      <c r="FR311" s="770"/>
      <c r="FS311" s="770"/>
      <c r="FT311" s="770"/>
      <c r="FU311" s="770"/>
      <c r="FV311" s="770"/>
      <c r="FW311" s="770"/>
      <c r="FX311" s="770"/>
      <c r="FY311" s="770"/>
      <c r="FZ311" s="770"/>
      <c r="GA311" s="770"/>
      <c r="GB311" s="770"/>
      <c r="GC311" s="308"/>
      <c r="GD311" s="297"/>
      <c r="GE311" s="770"/>
      <c r="GF311" s="302"/>
      <c r="GG311" s="302"/>
      <c r="GH311" s="770"/>
      <c r="GI311" s="770"/>
      <c r="GJ311" s="770"/>
      <c r="GK311" s="770"/>
      <c r="GL311" s="770"/>
      <c r="GM311" s="770"/>
      <c r="GN311" s="309"/>
      <c r="GO311" s="770"/>
      <c r="GP311" s="770"/>
      <c r="GQ311" s="770"/>
      <c r="GR311" s="770"/>
      <c r="GS311" s="770"/>
      <c r="GT311" s="770"/>
      <c r="GU311" s="770"/>
      <c r="GV311" s="770"/>
      <c r="GW311" s="770"/>
      <c r="GX311" s="770"/>
      <c r="GY311" s="770"/>
      <c r="GZ311" s="770"/>
      <c r="HA311" s="770"/>
      <c r="HB311" s="770"/>
      <c r="HC311" s="770"/>
      <c r="HD311" s="770"/>
      <c r="HE311" s="770"/>
      <c r="HF311" s="770"/>
      <c r="HG311" s="770"/>
      <c r="HH311" s="770"/>
      <c r="HI311" s="770"/>
      <c r="HJ311" s="770"/>
      <c r="HK311" s="770"/>
      <c r="HL311" s="770"/>
      <c r="HM311" s="770"/>
      <c r="HN311" s="770"/>
      <c r="HO311" s="770"/>
      <c r="HP311" s="770"/>
      <c r="HQ311" s="770"/>
      <c r="HR311" s="770"/>
      <c r="HS311" s="770"/>
      <c r="HT311" s="770"/>
      <c r="HU311" s="770"/>
      <c r="HV311" s="770"/>
      <c r="HW311" s="770"/>
      <c r="HX311" s="770"/>
      <c r="HY311" s="770"/>
      <c r="HZ311" s="770"/>
      <c r="IA311" s="770"/>
      <c r="IB311" s="14" t="e">
        <f>IF(#REF!&gt;0,IF(#REF!&lt;=10000,"Y",""),"")</f>
        <v>#REF!</v>
      </c>
      <c r="IC311" s="770"/>
      <c r="ID311" s="770"/>
      <c r="IE311" s="770"/>
      <c r="IF311" s="770" t="s">
        <v>2003</v>
      </c>
      <c r="IG311" s="770" t="s">
        <v>18</v>
      </c>
      <c r="IH311" s="770" t="s">
        <v>478</v>
      </c>
      <c r="II311" s="770" t="s">
        <v>2004</v>
      </c>
      <c r="IJ311" s="770" t="s">
        <v>1604</v>
      </c>
      <c r="IK311" s="766" t="s">
        <v>1888</v>
      </c>
      <c r="IL311" s="770" t="s">
        <v>1170</v>
      </c>
      <c r="IM311" s="770"/>
      <c r="IN311" s="770" t="s">
        <v>2005</v>
      </c>
      <c r="IO311" s="296">
        <v>26470</v>
      </c>
      <c r="IP311" s="770" t="s">
        <v>1306</v>
      </c>
      <c r="IQ311" s="769" t="s">
        <v>1975</v>
      </c>
      <c r="IR311" s="770" t="s">
        <v>2716</v>
      </c>
      <c r="IS311" s="770" t="s">
        <v>1879</v>
      </c>
      <c r="IT311" s="770" t="s">
        <v>1208</v>
      </c>
      <c r="IU311" s="770"/>
      <c r="IV311" s="770" t="s">
        <v>5511</v>
      </c>
      <c r="IW311" s="770" t="s">
        <v>13446</v>
      </c>
      <c r="IX311" s="770"/>
      <c r="IY311" s="770" t="s">
        <v>533</v>
      </c>
      <c r="IZ311" s="12"/>
      <c r="JA311" s="770" t="s">
        <v>1880</v>
      </c>
      <c r="JB311" s="770" t="s">
        <v>12783</v>
      </c>
      <c r="JC311" s="770"/>
      <c r="JD311" s="302">
        <v>8000</v>
      </c>
      <c r="JE311" s="770"/>
      <c r="JF311" s="770"/>
      <c r="JG311" s="770"/>
      <c r="JH311" s="770"/>
      <c r="JI311" s="770"/>
      <c r="JJ311" s="770"/>
      <c r="JK311" s="770"/>
      <c r="JL311" s="770"/>
      <c r="JM311" s="770"/>
      <c r="JN311" s="770"/>
      <c r="JO311" s="770"/>
      <c r="JP311" s="770"/>
      <c r="JQ311" s="770"/>
      <c r="JR311" s="770"/>
      <c r="JS311" s="770"/>
      <c r="JT311" s="766"/>
      <c r="JU311" s="766"/>
      <c r="JV311" s="766"/>
      <c r="JW311" s="766"/>
      <c r="JX311" s="770"/>
      <c r="JY311" s="770"/>
      <c r="JZ311" s="770"/>
      <c r="KA311" s="770"/>
      <c r="KB311" s="770"/>
      <c r="KC311" s="770"/>
      <c r="KD311" s="770"/>
      <c r="KE311" s="770"/>
      <c r="KF311" s="770"/>
      <c r="KG311" s="770"/>
      <c r="KH311" s="770"/>
      <c r="KI311" s="770"/>
      <c r="KJ311" s="770"/>
      <c r="KK311" s="770"/>
      <c r="KL311" s="770"/>
      <c r="KM311" s="770"/>
      <c r="KN311" s="770"/>
      <c r="KO311" s="770"/>
      <c r="KP311" s="770"/>
      <c r="KQ311" s="770"/>
      <c r="KR311" s="770"/>
      <c r="KS311" s="770"/>
      <c r="KT311" s="770"/>
      <c r="KU311" s="770"/>
      <c r="KV311" s="770"/>
      <c r="KW311" s="770"/>
      <c r="KX311" s="770"/>
      <c r="KY311" s="770"/>
      <c r="KZ311" s="770"/>
      <c r="LA311" s="770"/>
      <c r="LB311" s="770"/>
      <c r="LC311" s="770"/>
      <c r="LD311" s="770"/>
      <c r="LE311" s="770"/>
      <c r="LF311" s="770"/>
      <c r="LG311" s="770"/>
      <c r="LH311" s="770"/>
      <c r="LI311" s="770"/>
      <c r="LJ311" s="770"/>
      <c r="LK311" s="770"/>
      <c r="LL311" s="770"/>
      <c r="LM311" s="770"/>
      <c r="LN311" s="766"/>
      <c r="LO311" s="766"/>
      <c r="LP311" s="770"/>
      <c r="LQ311" s="770"/>
      <c r="LR311" s="770"/>
      <c r="LS311" s="770"/>
      <c r="LT311" s="770"/>
      <c r="LU311" s="770"/>
      <c r="LV311" s="770"/>
      <c r="LW311" s="770"/>
      <c r="LX311" s="769"/>
      <c r="LY311" s="766" t="str">
        <f t="shared" si="93"/>
        <v/>
      </c>
      <c r="LZ311" s="299"/>
      <c r="MA311" s="1709"/>
      <c r="MB311" s="1709"/>
      <c r="MC311" s="1679">
        <f t="shared" si="91"/>
        <v>0</v>
      </c>
      <c r="MD311" s="1709"/>
      <c r="ME311" s="1709"/>
      <c r="MF311" s="1709"/>
      <c r="MG311" s="1680">
        <f t="shared" si="94"/>
        <v>0</v>
      </c>
      <c r="MH311" s="770"/>
      <c r="MI311" s="302"/>
      <c r="MJ311" s="302"/>
      <c r="MK311" s="302"/>
      <c r="ML311" s="302"/>
      <c r="MM311" s="302"/>
      <c r="MN311" s="302"/>
      <c r="MO311" s="302"/>
      <c r="MP311" s="302"/>
      <c r="MQ311" s="302"/>
      <c r="MR311" s="302"/>
      <c r="MS311" s="302"/>
      <c r="MT311" s="302"/>
      <c r="MU311" s="302"/>
      <c r="MV311" s="302"/>
      <c r="MW311" s="302"/>
      <c r="MX311" s="302"/>
      <c r="MY311" s="1682">
        <f t="shared" si="74"/>
        <v>0</v>
      </c>
      <c r="MZ311" s="770"/>
      <c r="NA311" s="770"/>
      <c r="NB311" s="770"/>
      <c r="NC311" s="770"/>
      <c r="ND311" s="770"/>
      <c r="NE311" s="770"/>
      <c r="NF311" s="770"/>
      <c r="NG311" s="770"/>
      <c r="NH311" s="770"/>
      <c r="NI311" s="770"/>
      <c r="NJ311" s="770"/>
      <c r="NK311" s="770"/>
      <c r="NL311" s="770"/>
      <c r="NM311" s="770"/>
      <c r="NN311" s="770"/>
      <c r="NO311" s="770"/>
      <c r="NP311" s="770"/>
      <c r="NQ311" s="770"/>
      <c r="NR311" s="770"/>
      <c r="NS311" s="770"/>
      <c r="NT311" s="770"/>
      <c r="NU311" s="770"/>
      <c r="NV311" s="770"/>
      <c r="NW311" s="770"/>
      <c r="NX311" s="770"/>
      <c r="NY311" s="770"/>
      <c r="NZ311" s="770"/>
      <c r="OA311" s="770"/>
      <c r="OB311" s="770"/>
      <c r="OC311" s="770"/>
      <c r="OD311" s="770"/>
      <c r="OE311" s="770"/>
      <c r="OF311" s="770"/>
      <c r="OG311" s="770"/>
      <c r="OH311" s="770"/>
      <c r="OI311" s="770"/>
      <c r="OJ311" s="770"/>
      <c r="OK311" s="770"/>
      <c r="OL311" s="770"/>
      <c r="OM311" s="770"/>
      <c r="ON311" s="770"/>
      <c r="OO311" s="770"/>
      <c r="OP311" s="770"/>
      <c r="OQ311" s="770"/>
      <c r="OR311" s="770"/>
      <c r="OS311" s="770"/>
      <c r="OT311" s="770"/>
      <c r="OU311" s="770"/>
      <c r="OV311" s="770"/>
      <c r="OW311" s="770"/>
      <c r="OX311" s="770"/>
      <c r="OY311" s="770"/>
      <c r="OZ311" s="770"/>
      <c r="PA311" s="770"/>
      <c r="PB311" s="770"/>
      <c r="PC311" s="770"/>
      <c r="PD311" s="770"/>
      <c r="PE311" s="770"/>
      <c r="PF311" s="770"/>
      <c r="PG311" s="770"/>
      <c r="PH311" s="770"/>
      <c r="PI311" s="770"/>
      <c r="PJ311" s="770"/>
      <c r="PK311" s="770"/>
      <c r="PL311" s="770"/>
      <c r="PM311" s="770"/>
      <c r="PN311" s="770"/>
      <c r="PO311" s="770"/>
      <c r="PP311" s="770"/>
      <c r="PQ311" s="770"/>
      <c r="PR311" s="770"/>
      <c r="PS311" s="770"/>
      <c r="PT311" s="770"/>
      <c r="PU311" s="770"/>
      <c r="PV311" s="770"/>
      <c r="PW311" s="770"/>
      <c r="PX311" s="770"/>
      <c r="PY311" s="770"/>
      <c r="PZ311" s="770"/>
      <c r="QA311" s="770"/>
      <c r="QB311" s="770"/>
      <c r="QC311" s="770"/>
      <c r="QD311" s="770"/>
      <c r="QE311" s="770"/>
      <c r="QF311" s="770"/>
      <c r="QG311" s="770"/>
      <c r="QH311" s="770"/>
      <c r="QI311" s="770"/>
      <c r="QJ311" s="770"/>
      <c r="QK311" s="770"/>
      <c r="QL311" s="770"/>
      <c r="QM311" s="770"/>
      <c r="QN311" s="770"/>
      <c r="QO311" s="770"/>
      <c r="QP311" s="770"/>
      <c r="QQ311" s="770"/>
      <c r="QR311" s="770"/>
      <c r="QS311" s="770"/>
      <c r="QT311" s="770"/>
      <c r="QU311" s="770"/>
      <c r="QV311" s="770"/>
      <c r="QW311" s="770"/>
      <c r="QX311" s="770"/>
      <c r="QY311" s="770"/>
      <c r="QZ311" s="770"/>
      <c r="RA311" s="770"/>
      <c r="RB311" s="770"/>
      <c r="RC311" s="770"/>
      <c r="RD311" s="770"/>
      <c r="RE311" s="770"/>
      <c r="RF311" s="304"/>
      <c r="RG311" s="770"/>
      <c r="RH311" s="302"/>
      <c r="RI311" s="770"/>
      <c r="RJ311" s="770" t="s">
        <v>13447</v>
      </c>
      <c r="RK311" s="770" t="s">
        <v>13381</v>
      </c>
      <c r="RL311" s="1710">
        <v>42816</v>
      </c>
      <c r="RM311" s="12"/>
      <c r="RN311" s="1711"/>
      <c r="RO311" s="140" t="s">
        <v>531</v>
      </c>
      <c r="RP311" s="11"/>
      <c r="RQ311" s="11"/>
      <c r="RR311" s="771"/>
      <c r="RS311" s="767"/>
      <c r="RT311" s="11"/>
      <c r="RU311" s="11"/>
      <c r="RV311" s="771" t="s">
        <v>8079</v>
      </c>
      <c r="RW311" s="11" t="s">
        <v>7627</v>
      </c>
      <c r="RX311" s="11" t="s">
        <v>527</v>
      </c>
      <c r="RY311" s="11"/>
      <c r="RZ311" s="11"/>
      <c r="SA311" s="771"/>
      <c r="SB311" s="11"/>
      <c r="SC311" s="11"/>
    </row>
    <row r="312" spans="1:497" ht="12.75" hidden="1" customHeight="1">
      <c r="A312" s="154" t="s">
        <v>7419</v>
      </c>
      <c r="B312" s="292" t="s">
        <v>7629</v>
      </c>
      <c r="C312" s="148" t="s">
        <v>535</v>
      </c>
      <c r="D312" s="770" t="s">
        <v>5514</v>
      </c>
      <c r="E312" s="766" t="s">
        <v>5512</v>
      </c>
      <c r="F312" s="770"/>
      <c r="G312" s="770" t="s">
        <v>18</v>
      </c>
      <c r="H312" s="770"/>
      <c r="I312" s="295"/>
      <c r="J312" s="94"/>
      <c r="K312" s="770"/>
      <c r="L312" s="770"/>
      <c r="M312" s="770"/>
      <c r="N312" s="770"/>
      <c r="O312" s="770"/>
      <c r="P312" s="770"/>
      <c r="Q312" s="1088"/>
      <c r="R312" s="297"/>
      <c r="S312" s="770"/>
      <c r="T312" s="770"/>
      <c r="U312" s="298"/>
      <c r="V312" s="770"/>
      <c r="W312" s="770"/>
      <c r="X312" s="296"/>
      <c r="Y312" s="770"/>
      <c r="Z312" s="770"/>
      <c r="AA312" s="770"/>
      <c r="AB312" s="770"/>
      <c r="AC312" s="770"/>
      <c r="AD312" s="770"/>
      <c r="AE312" s="770"/>
      <c r="AF312" s="770"/>
      <c r="AG312" s="766" t="s">
        <v>1095</v>
      </c>
      <c r="AH312" s="766" t="s">
        <v>1096</v>
      </c>
      <c r="AI312" s="770" t="s">
        <v>5513</v>
      </c>
      <c r="AJ312" s="770"/>
      <c r="AK312" s="766" t="s">
        <v>1097</v>
      </c>
      <c r="AL312" s="299">
        <v>80</v>
      </c>
      <c r="AM312" s="300">
        <v>36</v>
      </c>
      <c r="AN312" s="301">
        <f>AM312/AL312</f>
        <v>0.45</v>
      </c>
      <c r="AO312" s="766" t="s">
        <v>1149</v>
      </c>
      <c r="AP312" s="766"/>
      <c r="AQ312" s="766"/>
      <c r="AR312" s="766"/>
      <c r="AS312" s="770" t="s">
        <v>1207</v>
      </c>
      <c r="AT312" s="770" t="s">
        <v>1208</v>
      </c>
      <c r="AU312" s="770"/>
      <c r="AV312" s="770"/>
      <c r="AW312" s="770"/>
      <c r="AX312" s="770"/>
      <c r="AY312" s="770"/>
      <c r="AZ312" s="770"/>
      <c r="BA312" s="770"/>
      <c r="BB312" s="770"/>
      <c r="BC312" s="770" t="s">
        <v>853</v>
      </c>
      <c r="BD312" s="770"/>
      <c r="BE312" s="770"/>
      <c r="BF312" s="302"/>
      <c r="BG312" s="302"/>
      <c r="BH312" s="770"/>
      <c r="BI312" s="770"/>
      <c r="BJ312" s="770"/>
      <c r="BK312" s="770"/>
      <c r="BL312" s="770"/>
      <c r="BM312" s="770"/>
      <c r="BN312" s="770"/>
      <c r="BO312" s="770"/>
      <c r="BP312" s="780"/>
      <c r="BQ312" s="772"/>
      <c r="BR312" s="774"/>
      <c r="BS312" s="766" t="s">
        <v>1105</v>
      </c>
      <c r="BT312" s="766"/>
      <c r="BU312" s="770"/>
      <c r="BV312" s="770"/>
      <c r="BW312" s="770"/>
      <c r="BX312" s="302"/>
      <c r="BY312" s="303"/>
      <c r="BZ312" s="770"/>
      <c r="CA312" s="302"/>
      <c r="CB312" s="302"/>
      <c r="CC312" s="770"/>
      <c r="CD312" s="770"/>
      <c r="CE312" s="770"/>
      <c r="CF312" s="770"/>
      <c r="CG312" s="770"/>
      <c r="CH312" s="770"/>
      <c r="CI312" s="770"/>
      <c r="CJ312" s="770"/>
      <c r="CK312" s="770"/>
      <c r="CL312" s="770"/>
      <c r="CM312" s="770"/>
      <c r="CN312" s="770"/>
      <c r="CO312" s="770"/>
      <c r="CP312" s="770"/>
      <c r="CQ312" s="770"/>
      <c r="CR312" s="770"/>
      <c r="CS312" s="302"/>
      <c r="CT312" s="770"/>
      <c r="CU312" s="305"/>
      <c r="CV312" s="770"/>
      <c r="CW312" s="770"/>
      <c r="CX312" s="770"/>
      <c r="CY312" s="770"/>
      <c r="CZ312" s="770"/>
      <c r="DA312" s="770"/>
      <c r="DB312" s="770"/>
      <c r="DC312" s="770"/>
      <c r="DD312" s="770"/>
      <c r="DE312" s="770"/>
      <c r="DF312" s="770"/>
      <c r="DG312" s="770"/>
      <c r="DH312" s="770"/>
      <c r="DI312" s="770"/>
      <c r="DJ312" s="770"/>
      <c r="DK312" s="770"/>
      <c r="DL312" s="770"/>
      <c r="DM312" s="770"/>
      <c r="DN312" s="770"/>
      <c r="DO312" s="770"/>
      <c r="DP312" s="770"/>
      <c r="DQ312" s="770"/>
      <c r="DR312" s="770"/>
      <c r="DS312" s="307"/>
      <c r="DT312" s="770"/>
      <c r="DU312" s="770"/>
      <c r="DV312" s="770"/>
      <c r="DW312" s="306"/>
      <c r="DX312" s="306"/>
      <c r="DY312" s="770"/>
      <c r="DZ312" s="770"/>
      <c r="EA312" s="770"/>
      <c r="EB312" s="770"/>
      <c r="EC312" s="770"/>
      <c r="ED312" s="770"/>
      <c r="EE312" s="770"/>
      <c r="EF312" s="770"/>
      <c r="EG312" s="770"/>
      <c r="EH312" s="770"/>
      <c r="EI312" s="770"/>
      <c r="EJ312" s="770"/>
      <c r="EK312" s="770"/>
      <c r="EL312" s="770"/>
      <c r="EM312" s="770"/>
      <c r="EN312" s="770"/>
      <c r="EO312" s="770"/>
      <c r="EP312" s="770"/>
      <c r="EQ312" s="770"/>
      <c r="ER312" s="770"/>
      <c r="ES312" s="770"/>
      <c r="ET312" s="770"/>
      <c r="EU312" s="770"/>
      <c r="EV312" s="770"/>
      <c r="EW312" s="770"/>
      <c r="EX312" s="770"/>
      <c r="EY312" s="770"/>
      <c r="EZ312" s="770"/>
      <c r="FA312" s="770"/>
      <c r="FB312" s="770"/>
      <c r="FC312" s="770"/>
      <c r="FD312" s="302"/>
      <c r="FE312" s="770"/>
      <c r="FF312" s="770"/>
      <c r="FG312" s="770"/>
      <c r="FH312" s="770"/>
      <c r="FI312" s="770"/>
      <c r="FJ312" s="770"/>
      <c r="FK312" s="770"/>
      <c r="FL312" s="770"/>
      <c r="FM312" s="775"/>
      <c r="FN312" s="302"/>
      <c r="FO312" s="302"/>
      <c r="FP312" s="770"/>
      <c r="FQ312" s="770"/>
      <c r="FR312" s="770"/>
      <c r="FS312" s="770"/>
      <c r="FT312" s="770"/>
      <c r="FU312" s="770"/>
      <c r="FV312" s="770"/>
      <c r="FW312" s="770"/>
      <c r="FX312" s="770"/>
      <c r="FY312" s="770"/>
      <c r="FZ312" s="770"/>
      <c r="GA312" s="770"/>
      <c r="GB312" s="770"/>
      <c r="GC312" s="308"/>
      <c r="GD312" s="297"/>
      <c r="GE312" s="770"/>
      <c r="GF312" s="302"/>
      <c r="GG312" s="302"/>
      <c r="GH312" s="770"/>
      <c r="GI312" s="770"/>
      <c r="GJ312" s="770"/>
      <c r="GK312" s="770"/>
      <c r="GL312" s="770"/>
      <c r="GM312" s="770"/>
      <c r="GN312" s="309"/>
      <c r="GO312" s="770"/>
      <c r="GP312" s="770"/>
      <c r="GQ312" s="770"/>
      <c r="GR312" s="770"/>
      <c r="GS312" s="770"/>
      <c r="GT312" s="770"/>
      <c r="GU312" s="770"/>
      <c r="GV312" s="770"/>
      <c r="GW312" s="770"/>
      <c r="GX312" s="770"/>
      <c r="GY312" s="770"/>
      <c r="GZ312" s="770"/>
      <c r="HA312" s="770"/>
      <c r="HB312" s="770"/>
      <c r="HC312" s="770"/>
      <c r="HD312" s="770"/>
      <c r="HE312" s="770"/>
      <c r="HF312" s="770"/>
      <c r="HG312" s="770"/>
      <c r="HH312" s="770"/>
      <c r="HI312" s="770"/>
      <c r="HJ312" s="770"/>
      <c r="HK312" s="770"/>
      <c r="HL312" s="770"/>
      <c r="HM312" s="770"/>
      <c r="HN312" s="770"/>
      <c r="HO312" s="770"/>
      <c r="HP312" s="770"/>
      <c r="HQ312" s="770"/>
      <c r="HR312" s="770"/>
      <c r="HS312" s="770"/>
      <c r="HT312" s="770"/>
      <c r="HU312" s="770"/>
      <c r="HV312" s="770"/>
      <c r="HW312" s="770"/>
      <c r="HX312" s="770"/>
      <c r="HY312" s="770"/>
      <c r="HZ312" s="770"/>
      <c r="IA312" s="770"/>
      <c r="IB312" s="14" t="e">
        <f>IF(#REF!&gt;0,IF(#REF!&lt;=10000,"Y",""),"")</f>
        <v>#REF!</v>
      </c>
      <c r="IC312" s="770"/>
      <c r="ID312" s="770"/>
      <c r="IE312" s="770"/>
      <c r="IF312" s="770"/>
      <c r="IG312" s="770"/>
      <c r="IH312" s="770"/>
      <c r="II312" s="770"/>
      <c r="IJ312" s="770"/>
      <c r="IK312" s="766"/>
      <c r="IL312" s="770"/>
      <c r="IM312" s="770"/>
      <c r="IN312" s="770"/>
      <c r="IO312" s="296"/>
      <c r="IP312" s="770"/>
      <c r="IQ312" s="766"/>
      <c r="IR312" s="770"/>
      <c r="IS312" s="770"/>
      <c r="IT312" s="770"/>
      <c r="IU312" s="770"/>
      <c r="IV312" s="770"/>
      <c r="IW312" s="770"/>
      <c r="IX312" s="770"/>
      <c r="IY312" s="770"/>
      <c r="IZ312" s="12"/>
      <c r="JA312" s="770"/>
      <c r="JB312" s="770"/>
      <c r="JC312" s="770"/>
      <c r="JD312" s="302"/>
      <c r="JE312" s="770"/>
      <c r="JF312" s="770"/>
      <c r="JG312" s="770"/>
      <c r="JH312" s="770"/>
      <c r="JI312" s="770"/>
      <c r="JJ312" s="770"/>
      <c r="JK312" s="770"/>
      <c r="JL312" s="770"/>
      <c r="JM312" s="770"/>
      <c r="JN312" s="770"/>
      <c r="JO312" s="770"/>
      <c r="JP312" s="770"/>
      <c r="JQ312" s="770"/>
      <c r="JR312" s="770"/>
      <c r="JS312" s="770"/>
      <c r="JT312" s="766"/>
      <c r="JU312" s="766"/>
      <c r="JV312" s="766"/>
      <c r="JW312" s="766"/>
      <c r="JX312" s="770"/>
      <c r="JY312" s="770"/>
      <c r="JZ312" s="770"/>
      <c r="KA312" s="770"/>
      <c r="KB312" s="770"/>
      <c r="KC312" s="770"/>
      <c r="KD312" s="770"/>
      <c r="KE312" s="770"/>
      <c r="KF312" s="770"/>
      <c r="KG312" s="770"/>
      <c r="KH312" s="770"/>
      <c r="KI312" s="770"/>
      <c r="KJ312" s="770"/>
      <c r="KK312" s="770"/>
      <c r="KL312" s="770"/>
      <c r="KM312" s="770"/>
      <c r="KN312" s="770"/>
      <c r="KO312" s="770"/>
      <c r="KP312" s="770"/>
      <c r="KQ312" s="770"/>
      <c r="KR312" s="770"/>
      <c r="KS312" s="770"/>
      <c r="KT312" s="770"/>
      <c r="KU312" s="770"/>
      <c r="KV312" s="770"/>
      <c r="KW312" s="770"/>
      <c r="KX312" s="770"/>
      <c r="KY312" s="770"/>
      <c r="KZ312" s="770"/>
      <c r="LA312" s="770"/>
      <c r="LB312" s="770"/>
      <c r="LC312" s="770"/>
      <c r="LD312" s="770"/>
      <c r="LE312" s="770"/>
      <c r="LF312" s="770"/>
      <c r="LG312" s="770"/>
      <c r="LH312" s="770"/>
      <c r="LI312" s="770"/>
      <c r="LJ312" s="770"/>
      <c r="LK312" s="770"/>
      <c r="LL312" s="770"/>
      <c r="LM312" s="770"/>
      <c r="LN312" s="766"/>
      <c r="LO312" s="766"/>
      <c r="LP312" s="770"/>
      <c r="LQ312" s="770"/>
      <c r="LR312" s="770"/>
      <c r="LS312" s="770"/>
      <c r="LT312" s="770"/>
      <c r="LU312" s="770"/>
      <c r="LV312" s="770"/>
      <c r="LW312" s="770"/>
      <c r="LX312" s="769"/>
      <c r="LY312" s="766" t="str">
        <f t="shared" si="93"/>
        <v/>
      </c>
      <c r="LZ312" s="299"/>
      <c r="MA312" s="1709"/>
      <c r="MB312" s="1709"/>
      <c r="MC312" s="1679">
        <f t="shared" si="91"/>
        <v>0</v>
      </c>
      <c r="MD312" s="1709"/>
      <c r="ME312" s="1709"/>
      <c r="MF312" s="1709"/>
      <c r="MG312" s="1680">
        <f t="shared" si="94"/>
        <v>0</v>
      </c>
      <c r="MH312" s="770"/>
      <c r="MI312" s="302"/>
      <c r="MJ312" s="302"/>
      <c r="MK312" s="302"/>
      <c r="ML312" s="302"/>
      <c r="MM312" s="302"/>
      <c r="MN312" s="302"/>
      <c r="MO312" s="302"/>
      <c r="MP312" s="302"/>
      <c r="MQ312" s="302"/>
      <c r="MR312" s="302"/>
      <c r="MS312" s="302"/>
      <c r="MT312" s="302"/>
      <c r="MU312" s="302"/>
      <c r="MV312" s="302"/>
      <c r="MW312" s="302"/>
      <c r="MX312" s="302"/>
      <c r="MY312" s="1682">
        <f t="shared" si="74"/>
        <v>0</v>
      </c>
      <c r="MZ312" s="770"/>
      <c r="NA312" s="770"/>
      <c r="NB312" s="770"/>
      <c r="NC312" s="770"/>
      <c r="ND312" s="770"/>
      <c r="NE312" s="770"/>
      <c r="NF312" s="770"/>
      <c r="NG312" s="770"/>
      <c r="NH312" s="770"/>
      <c r="NI312" s="770"/>
      <c r="NJ312" s="770"/>
      <c r="NK312" s="770"/>
      <c r="NL312" s="770"/>
      <c r="NM312" s="770"/>
      <c r="NN312" s="770"/>
      <c r="NO312" s="770"/>
      <c r="NP312" s="770"/>
      <c r="NQ312" s="770"/>
      <c r="NR312" s="770"/>
      <c r="NS312" s="770"/>
      <c r="NT312" s="770"/>
      <c r="NU312" s="770"/>
      <c r="NV312" s="770"/>
      <c r="NW312" s="770"/>
      <c r="NX312" s="770"/>
      <c r="NY312" s="770"/>
      <c r="NZ312" s="770"/>
      <c r="OA312" s="770"/>
      <c r="OB312" s="770"/>
      <c r="OC312" s="770"/>
      <c r="OD312" s="770"/>
      <c r="OE312" s="770"/>
      <c r="OF312" s="770"/>
      <c r="OG312" s="770"/>
      <c r="OH312" s="770"/>
      <c r="OI312" s="770"/>
      <c r="OJ312" s="770"/>
      <c r="OK312" s="770"/>
      <c r="OL312" s="770"/>
      <c r="OM312" s="770"/>
      <c r="ON312" s="770"/>
      <c r="OO312" s="770"/>
      <c r="OP312" s="770"/>
      <c r="OQ312" s="770"/>
      <c r="OR312" s="770"/>
      <c r="OS312" s="770"/>
      <c r="OT312" s="770"/>
      <c r="OU312" s="770"/>
      <c r="OV312" s="770"/>
      <c r="OW312" s="770"/>
      <c r="OX312" s="770"/>
      <c r="OY312" s="770"/>
      <c r="OZ312" s="770"/>
      <c r="PA312" s="770"/>
      <c r="PB312" s="770"/>
      <c r="PC312" s="770"/>
      <c r="PD312" s="770"/>
      <c r="PE312" s="770"/>
      <c r="PF312" s="770"/>
      <c r="PG312" s="770"/>
      <c r="PH312" s="770"/>
      <c r="PI312" s="770"/>
      <c r="PJ312" s="770"/>
      <c r="PK312" s="770"/>
      <c r="PL312" s="770"/>
      <c r="PM312" s="770"/>
      <c r="PN312" s="770"/>
      <c r="PO312" s="770"/>
      <c r="PP312" s="770"/>
      <c r="PQ312" s="770"/>
      <c r="PR312" s="770"/>
      <c r="PS312" s="770"/>
      <c r="PT312" s="770"/>
      <c r="PU312" s="770"/>
      <c r="PV312" s="770"/>
      <c r="PW312" s="770"/>
      <c r="PX312" s="770"/>
      <c r="PY312" s="770"/>
      <c r="PZ312" s="770"/>
      <c r="QA312" s="770"/>
      <c r="QB312" s="770"/>
      <c r="QC312" s="770"/>
      <c r="QD312" s="770"/>
      <c r="QE312" s="770"/>
      <c r="QF312" s="770"/>
      <c r="QG312" s="770"/>
      <c r="QH312" s="770"/>
      <c r="QI312" s="770"/>
      <c r="QJ312" s="770"/>
      <c r="QK312" s="770"/>
      <c r="QL312" s="770"/>
      <c r="QM312" s="770"/>
      <c r="QN312" s="770"/>
      <c r="QO312" s="770"/>
      <c r="QP312" s="770"/>
      <c r="QQ312" s="770"/>
      <c r="QR312" s="770"/>
      <c r="QS312" s="770"/>
      <c r="QT312" s="770"/>
      <c r="QU312" s="770"/>
      <c r="QV312" s="770"/>
      <c r="QW312" s="770"/>
      <c r="QX312" s="770"/>
      <c r="QY312" s="770"/>
      <c r="QZ312" s="770"/>
      <c r="RA312" s="770"/>
      <c r="RB312" s="770"/>
      <c r="RC312" s="770"/>
      <c r="RD312" s="770"/>
      <c r="RE312" s="770"/>
      <c r="RF312" s="304"/>
      <c r="RG312" s="770"/>
      <c r="RH312" s="302"/>
      <c r="RI312" s="770"/>
      <c r="RJ312" s="770"/>
      <c r="RK312" s="770"/>
      <c r="RL312" s="1710"/>
      <c r="RM312" s="12"/>
      <c r="RN312" s="1711"/>
      <c r="RO312" s="148" t="s">
        <v>535</v>
      </c>
      <c r="RP312" s="11"/>
      <c r="RQ312" s="11"/>
      <c r="RR312" s="771"/>
      <c r="RS312" s="767"/>
      <c r="RT312" s="11"/>
      <c r="RU312" s="11"/>
      <c r="RV312" s="771" t="s">
        <v>7419</v>
      </c>
      <c r="RW312" s="11" t="s">
        <v>7628</v>
      </c>
      <c r="RX312" s="11" t="s">
        <v>531</v>
      </c>
      <c r="RY312" s="11"/>
      <c r="RZ312" s="11"/>
      <c r="SA312" s="771"/>
      <c r="SB312" s="11"/>
      <c r="SC312" s="11"/>
    </row>
    <row r="313" spans="1:497" ht="12.75" hidden="1" customHeight="1">
      <c r="A313" s="343" t="s">
        <v>14139</v>
      </c>
      <c r="B313" s="288" t="s">
        <v>7630</v>
      </c>
      <c r="C313" s="148" t="s">
        <v>535</v>
      </c>
      <c r="D313" s="770" t="s">
        <v>5514</v>
      </c>
      <c r="E313" s="766" t="s">
        <v>5512</v>
      </c>
      <c r="F313" s="770"/>
      <c r="G313" s="770" t="s">
        <v>18</v>
      </c>
      <c r="H313" s="770"/>
      <c r="I313" s="295"/>
      <c r="J313" s="94"/>
      <c r="K313" s="770"/>
      <c r="L313" s="770"/>
      <c r="M313" s="770"/>
      <c r="N313" s="770"/>
      <c r="O313" s="770"/>
      <c r="P313" s="770"/>
      <c r="Q313" s="1088"/>
      <c r="R313" s="297"/>
      <c r="S313" s="770"/>
      <c r="T313" s="770"/>
      <c r="U313" s="298"/>
      <c r="V313" s="770"/>
      <c r="W313" s="770"/>
      <c r="X313" s="296"/>
      <c r="Y313" s="770"/>
      <c r="Z313" s="770"/>
      <c r="AA313" s="770"/>
      <c r="AB313" s="770"/>
      <c r="AC313" s="770"/>
      <c r="AD313" s="770"/>
      <c r="AE313" s="770"/>
      <c r="AF313" s="770"/>
      <c r="AG313" s="770"/>
      <c r="AH313" s="770"/>
      <c r="AI313" s="770"/>
      <c r="AJ313" s="770"/>
      <c r="AK313" s="770" t="s">
        <v>5454</v>
      </c>
      <c r="AL313" s="531">
        <v>76.5</v>
      </c>
      <c r="AM313" s="780">
        <v>24.3</v>
      </c>
      <c r="AN313" s="532">
        <v>0.31459999999999999</v>
      </c>
      <c r="AO313" s="766" t="s">
        <v>1149</v>
      </c>
      <c r="AP313" s="766"/>
      <c r="AQ313" s="766"/>
      <c r="AR313" s="766"/>
      <c r="AS313" s="770"/>
      <c r="AT313" s="770"/>
      <c r="AU313" s="770"/>
      <c r="AV313" s="770"/>
      <c r="AW313" s="770"/>
      <c r="AX313" s="13"/>
      <c r="AY313" s="770"/>
      <c r="AZ313" s="770"/>
      <c r="BA313" s="770"/>
      <c r="BB313" s="770"/>
      <c r="BC313" s="770" t="s">
        <v>853</v>
      </c>
      <c r="BD313" s="770"/>
      <c r="BE313" s="770"/>
      <c r="BF313" s="302"/>
      <c r="BG313" s="302"/>
      <c r="BH313" s="770"/>
      <c r="BI313" s="770"/>
      <c r="BJ313" s="770"/>
      <c r="BK313" s="770"/>
      <c r="BL313" s="770"/>
      <c r="BM313" s="770"/>
      <c r="BN313" s="770"/>
      <c r="BO313" s="770"/>
      <c r="BP313" s="780"/>
      <c r="BQ313" s="772"/>
      <c r="BR313" s="774"/>
      <c r="BS313" s="766" t="s">
        <v>1105</v>
      </c>
      <c r="BT313" s="766"/>
      <c r="BU313" s="770"/>
      <c r="BV313" s="770"/>
      <c r="BW313" s="770"/>
      <c r="BX313" s="302"/>
      <c r="BY313" s="303"/>
      <c r="BZ313" s="770"/>
      <c r="CA313" s="302"/>
      <c r="CB313" s="302" t="s">
        <v>1207</v>
      </c>
      <c r="CC313" s="770"/>
      <c r="CD313" s="770"/>
      <c r="CE313" s="770"/>
      <c r="CF313" s="304"/>
      <c r="CG313" s="321"/>
      <c r="CH313" s="770"/>
      <c r="CI313" s="770"/>
      <c r="CJ313" s="770"/>
      <c r="CK313" s="770"/>
      <c r="CL313" s="770"/>
      <c r="CM313" s="770"/>
      <c r="CN313" s="770"/>
      <c r="CO313" s="770"/>
      <c r="CP313" s="770"/>
      <c r="CQ313" s="770"/>
      <c r="CR313" s="770"/>
      <c r="CS313" s="302"/>
      <c r="CT313" s="770"/>
      <c r="CU313" s="305"/>
      <c r="CV313" s="770"/>
      <c r="CW313" s="770"/>
      <c r="CX313" s="770"/>
      <c r="CY313" s="770"/>
      <c r="CZ313" s="770"/>
      <c r="DA313" s="306"/>
      <c r="DB313" s="770"/>
      <c r="DC313" s="770"/>
      <c r="DD313" s="770"/>
      <c r="DE313" s="300"/>
      <c r="DF313" s="770"/>
      <c r="DG313" s="770"/>
      <c r="DH313" s="770"/>
      <c r="DI313" s="770"/>
      <c r="DJ313" s="770"/>
      <c r="DK313" s="770"/>
      <c r="DL313" s="770"/>
      <c r="DM313" s="770"/>
      <c r="DN313" s="322"/>
      <c r="DO313" s="770"/>
      <c r="DP313" s="770"/>
      <c r="DQ313" s="770" t="s">
        <v>8119</v>
      </c>
      <c r="DR313" s="770"/>
      <c r="DS313" s="307"/>
      <c r="DT313" s="770" t="s">
        <v>5430</v>
      </c>
      <c r="DU313" s="770" t="s">
        <v>4137</v>
      </c>
      <c r="DV313" s="770" t="s">
        <v>5328</v>
      </c>
      <c r="DW313" s="306">
        <f>8.5*9</f>
        <v>76.5</v>
      </c>
      <c r="DX313" s="306">
        <v>36</v>
      </c>
      <c r="DY313" s="306" t="s">
        <v>1534</v>
      </c>
      <c r="DZ313" s="1055"/>
      <c r="EA313" s="770"/>
      <c r="EB313" s="770"/>
      <c r="EC313" s="770"/>
      <c r="ED313" s="770"/>
      <c r="EE313" s="770"/>
      <c r="EF313" s="770"/>
      <c r="EG313" s="770"/>
      <c r="EH313" s="770"/>
      <c r="EI313" s="770"/>
      <c r="EJ313" s="770"/>
      <c r="EK313" s="770"/>
      <c r="EL313" s="770"/>
      <c r="EM313" s="770"/>
      <c r="EN313" s="770"/>
      <c r="EO313" s="770"/>
      <c r="EP313" s="94"/>
      <c r="EQ313" s="770"/>
      <c r="ER313" s="770"/>
      <c r="ES313" s="770"/>
      <c r="ET313" s="770"/>
      <c r="EU313" s="770"/>
      <c r="EV313" s="770"/>
      <c r="EW313" s="770"/>
      <c r="EX313" s="770"/>
      <c r="EY313" s="770"/>
      <c r="EZ313" s="770"/>
      <c r="FA313" s="770"/>
      <c r="FB313" s="770"/>
      <c r="FC313" s="770"/>
      <c r="FD313" s="302"/>
      <c r="FE313" s="770"/>
      <c r="FF313" s="770"/>
      <c r="FG313" s="770"/>
      <c r="FH313" s="770" t="s">
        <v>3230</v>
      </c>
      <c r="FI313" s="770"/>
      <c r="FJ313" s="770" t="s">
        <v>5515</v>
      </c>
      <c r="FK313" s="770"/>
      <c r="FL313" s="770"/>
      <c r="FM313" s="302"/>
      <c r="FN313" s="302"/>
      <c r="FO313" s="302"/>
      <c r="FP313" s="770"/>
      <c r="FQ313" s="770"/>
      <c r="FR313" s="770" t="s">
        <v>1207</v>
      </c>
      <c r="FS313" s="770" t="s">
        <v>1208</v>
      </c>
      <c r="FT313" s="770"/>
      <c r="FU313" s="770"/>
      <c r="FV313" s="770"/>
      <c r="FW313" s="770"/>
      <c r="FX313" s="770"/>
      <c r="FY313" s="770"/>
      <c r="FZ313" s="770"/>
      <c r="GA313" s="770"/>
      <c r="GB313" s="770" t="s">
        <v>853</v>
      </c>
      <c r="GC313" s="308" t="s">
        <v>1744</v>
      </c>
      <c r="GD313" s="297">
        <v>2011</v>
      </c>
      <c r="GE313" s="770" t="s">
        <v>1214</v>
      </c>
      <c r="GF313" s="302"/>
      <c r="GG313" s="302"/>
      <c r="GH313" s="770"/>
      <c r="GI313" s="770"/>
      <c r="GJ313" s="770"/>
      <c r="GK313" s="770"/>
      <c r="GL313" s="770"/>
      <c r="GM313" s="770"/>
      <c r="GN313" s="309"/>
      <c r="GO313" s="770"/>
      <c r="GP313" s="770"/>
      <c r="GQ313" s="770"/>
      <c r="GR313" s="770"/>
      <c r="GS313" s="770"/>
      <c r="GT313" s="770"/>
      <c r="GU313" s="770"/>
      <c r="GV313" s="770"/>
      <c r="GW313" s="770"/>
      <c r="GX313" s="770"/>
      <c r="GY313" s="770"/>
      <c r="GZ313" s="770"/>
      <c r="HA313" s="770"/>
      <c r="HB313" s="770"/>
      <c r="HC313" s="770"/>
      <c r="HD313" s="770"/>
      <c r="HE313" s="770"/>
      <c r="HF313" s="770"/>
      <c r="HG313" s="770"/>
      <c r="HH313" s="770"/>
      <c r="HI313" s="770"/>
      <c r="HJ313" s="770"/>
      <c r="HK313" s="770"/>
      <c r="HL313" s="770"/>
      <c r="HM313" s="770"/>
      <c r="HN313" s="770"/>
      <c r="HO313" s="770"/>
      <c r="HP313" s="770"/>
      <c r="HQ313" s="770"/>
      <c r="HR313" s="770"/>
      <c r="HS313" s="770"/>
      <c r="HT313" s="770"/>
      <c r="HU313" s="770"/>
      <c r="HV313" s="770"/>
      <c r="HW313" s="770"/>
      <c r="HX313" s="770"/>
      <c r="HY313" s="770"/>
      <c r="HZ313" s="770"/>
      <c r="IA313" s="770"/>
      <c r="IB313" s="14" t="e">
        <f>IF(#REF!&gt;0,IF(#REF!&lt;=10000,"Y",""),"")</f>
        <v>#REF!</v>
      </c>
      <c r="IC313" s="770"/>
      <c r="ID313" s="770"/>
      <c r="IE313" s="770"/>
      <c r="IF313" s="770"/>
      <c r="IG313" s="770"/>
      <c r="IH313" s="770"/>
      <c r="II313" s="770"/>
      <c r="IJ313" s="770"/>
      <c r="IK313" s="770"/>
      <c r="IL313" s="770"/>
      <c r="IM313" s="770"/>
      <c r="IN313" s="770"/>
      <c r="IO313" s="296"/>
      <c r="IP313" s="770"/>
      <c r="IQ313" s="770"/>
      <c r="IR313" s="770"/>
      <c r="IS313" s="770"/>
      <c r="IT313" s="770"/>
      <c r="IU313" s="770"/>
      <c r="IV313" s="770"/>
      <c r="IW313" s="770"/>
      <c r="IX313" s="770"/>
      <c r="IY313" s="770"/>
      <c r="IZ313" s="770"/>
      <c r="JA313" s="770"/>
      <c r="JB313" s="770"/>
      <c r="JC313" s="770"/>
      <c r="JD313" s="302"/>
      <c r="JE313" s="770"/>
      <c r="JF313" s="770"/>
      <c r="JG313" s="770"/>
      <c r="JH313" s="770"/>
      <c r="JI313" s="770"/>
      <c r="JJ313" s="770"/>
      <c r="JK313" s="770"/>
      <c r="JL313" s="770"/>
      <c r="JM313" s="770"/>
      <c r="JN313" s="770"/>
      <c r="JO313" s="770"/>
      <c r="JP313" s="770"/>
      <c r="JQ313" s="770"/>
      <c r="JR313" s="770"/>
      <c r="JS313" s="770"/>
      <c r="JT313" s="766"/>
      <c r="JU313" s="766"/>
      <c r="JV313" s="766"/>
      <c r="JW313" s="766"/>
      <c r="JX313" s="770"/>
      <c r="JY313" s="770"/>
      <c r="JZ313" s="770"/>
      <c r="KA313" s="770"/>
      <c r="KB313" s="770"/>
      <c r="KC313" s="770"/>
      <c r="KD313" s="770"/>
      <c r="KE313" s="770"/>
      <c r="KF313" s="770"/>
      <c r="KG313" s="770"/>
      <c r="KH313" s="770"/>
      <c r="KI313" s="770"/>
      <c r="KJ313" s="770"/>
      <c r="KK313" s="770"/>
      <c r="KL313" s="770"/>
      <c r="KM313" s="770"/>
      <c r="KN313" s="770"/>
      <c r="KO313" s="770"/>
      <c r="KP313" s="770"/>
      <c r="KQ313" s="770"/>
      <c r="KR313" s="770"/>
      <c r="KS313" s="770"/>
      <c r="KT313" s="770"/>
      <c r="KU313" s="770"/>
      <c r="KV313" s="770"/>
      <c r="KW313" s="770"/>
      <c r="KX313" s="770"/>
      <c r="KY313" s="770"/>
      <c r="KZ313" s="770"/>
      <c r="LA313" s="770"/>
      <c r="LB313" s="770"/>
      <c r="LC313" s="770"/>
      <c r="LD313" s="770"/>
      <c r="LE313" s="770"/>
      <c r="LF313" s="770"/>
      <c r="LG313" s="770"/>
      <c r="LH313" s="770"/>
      <c r="LI313" s="770"/>
      <c r="LJ313" s="770"/>
      <c r="LK313" s="770"/>
      <c r="LL313" s="770"/>
      <c r="LM313" s="770"/>
      <c r="LN313" s="766"/>
      <c r="LO313" s="766"/>
      <c r="LP313" s="770"/>
      <c r="LQ313" s="770"/>
      <c r="LR313" s="770"/>
      <c r="LS313" s="770"/>
      <c r="LT313" s="770"/>
      <c r="LU313" s="770"/>
      <c r="LV313" s="770"/>
      <c r="LW313" s="770"/>
      <c r="LX313" s="769"/>
      <c r="LY313" s="766" t="str">
        <f t="shared" si="93"/>
        <v/>
      </c>
      <c r="LZ313" s="299"/>
      <c r="MA313" s="306"/>
      <c r="MB313" s="306"/>
      <c r="MC313" s="1679">
        <f t="shared" si="91"/>
        <v>0</v>
      </c>
      <c r="MD313" s="306"/>
      <c r="ME313" s="306"/>
      <c r="MF313" s="306"/>
      <c r="MG313" s="1680">
        <f t="shared" si="94"/>
        <v>0</v>
      </c>
      <c r="MH313" s="770"/>
      <c r="MI313" s="302"/>
      <c r="MJ313" s="302"/>
      <c r="MK313" s="302"/>
      <c r="ML313" s="302"/>
      <c r="MM313" s="302"/>
      <c r="MN313" s="302"/>
      <c r="MO313" s="302"/>
      <c r="MP313" s="302"/>
      <c r="MQ313" s="302"/>
      <c r="MR313" s="302"/>
      <c r="MS313" s="302"/>
      <c r="MT313" s="302"/>
      <c r="MU313" s="302"/>
      <c r="MV313" s="302"/>
      <c r="MW313" s="302"/>
      <c r="MX313" s="302"/>
      <c r="MY313" s="1682">
        <f t="shared" si="74"/>
        <v>0</v>
      </c>
      <c r="MZ313" s="770"/>
      <c r="NA313" s="770"/>
      <c r="NB313" s="770"/>
      <c r="NC313" s="770"/>
      <c r="ND313" s="770"/>
      <c r="NE313" s="770"/>
      <c r="NF313" s="770"/>
      <c r="NG313" s="770"/>
      <c r="NH313" s="770"/>
      <c r="NI313" s="770"/>
      <c r="NJ313" s="770"/>
      <c r="NK313" s="770"/>
      <c r="NL313" s="770"/>
      <c r="NM313" s="770"/>
      <c r="NN313" s="770"/>
      <c r="NO313" s="770"/>
      <c r="NP313" s="770"/>
      <c r="NQ313" s="770"/>
      <c r="NR313" s="770"/>
      <c r="NS313" s="770"/>
      <c r="NT313" s="770"/>
      <c r="NU313" s="770"/>
      <c r="NV313" s="770"/>
      <c r="NW313" s="770"/>
      <c r="NX313" s="770"/>
      <c r="NY313" s="770"/>
      <c r="NZ313" s="770"/>
      <c r="OA313" s="770"/>
      <c r="OB313" s="770"/>
      <c r="OC313" s="770"/>
      <c r="OD313" s="770"/>
      <c r="OE313" s="770"/>
      <c r="OF313" s="770"/>
      <c r="OG313" s="770"/>
      <c r="OH313" s="770"/>
      <c r="OI313" s="770"/>
      <c r="OJ313" s="770"/>
      <c r="OK313" s="770"/>
      <c r="OL313" s="770"/>
      <c r="OM313" s="770"/>
      <c r="ON313" s="770"/>
      <c r="OO313" s="770"/>
      <c r="OP313" s="770"/>
      <c r="OQ313" s="770"/>
      <c r="OR313" s="770"/>
      <c r="OS313" s="770"/>
      <c r="OT313" s="770"/>
      <c r="OU313" s="770"/>
      <c r="OV313" s="770"/>
      <c r="OW313" s="770"/>
      <c r="OX313" s="770"/>
      <c r="OY313" s="770"/>
      <c r="OZ313" s="770"/>
      <c r="PA313" s="770"/>
      <c r="PB313" s="770"/>
      <c r="PC313" s="770"/>
      <c r="PD313" s="770"/>
      <c r="PE313" s="770"/>
      <c r="PF313" s="770"/>
      <c r="PG313" s="770"/>
      <c r="PH313" s="770"/>
      <c r="PI313" s="770"/>
      <c r="PJ313" s="770"/>
      <c r="PK313" s="770"/>
      <c r="PL313" s="770"/>
      <c r="PM313" s="770"/>
      <c r="PN313" s="770"/>
      <c r="PO313" s="770"/>
      <c r="PP313" s="770"/>
      <c r="PQ313" s="770"/>
      <c r="PR313" s="770"/>
      <c r="PS313" s="770"/>
      <c r="PT313" s="770"/>
      <c r="PU313" s="770"/>
      <c r="PV313" s="770"/>
      <c r="PW313" s="770"/>
      <c r="PX313" s="770"/>
      <c r="PY313" s="770"/>
      <c r="PZ313" s="770"/>
      <c r="QA313" s="770"/>
      <c r="QB313" s="770"/>
      <c r="QC313" s="770"/>
      <c r="QD313" s="770"/>
      <c r="QE313" s="770"/>
      <c r="QF313" s="770"/>
      <c r="QG313" s="770"/>
      <c r="QH313" s="770"/>
      <c r="QI313" s="770"/>
      <c r="QJ313" s="770"/>
      <c r="QK313" s="770"/>
      <c r="QL313" s="770"/>
      <c r="QM313" s="770"/>
      <c r="QN313" s="770"/>
      <c r="QO313" s="770"/>
      <c r="QP313" s="770"/>
      <c r="QQ313" s="770"/>
      <c r="QR313" s="770"/>
      <c r="QS313" s="770"/>
      <c r="QT313" s="770"/>
      <c r="QU313" s="770"/>
      <c r="QV313" s="770"/>
      <c r="QW313" s="770"/>
      <c r="QX313" s="770"/>
      <c r="QY313" s="770"/>
      <c r="QZ313" s="770"/>
      <c r="RA313" s="770"/>
      <c r="RB313" s="770" t="s">
        <v>1214</v>
      </c>
      <c r="RC313" s="770"/>
      <c r="RD313" s="770"/>
      <c r="RE313" s="770"/>
      <c r="RF313" s="304"/>
      <c r="RG313" s="770"/>
      <c r="RH313" s="302"/>
      <c r="RI313" s="770"/>
      <c r="RJ313" s="770" t="s">
        <v>13448</v>
      </c>
      <c r="RK313" s="770" t="s">
        <v>13381</v>
      </c>
      <c r="RL313" s="1710"/>
      <c r="RM313" s="12"/>
      <c r="RN313" s="1711"/>
      <c r="RO313" s="148" t="s">
        <v>535</v>
      </c>
      <c r="RP313" s="11"/>
      <c r="RQ313" s="11"/>
      <c r="RR313" s="17"/>
      <c r="RS313" s="767"/>
      <c r="RT313" s="11"/>
      <c r="RU313" s="11"/>
      <c r="RV313" s="771" t="s">
        <v>8080</v>
      </c>
      <c r="RW313" s="11" t="s">
        <v>7542</v>
      </c>
      <c r="RX313" s="11" t="s">
        <v>531</v>
      </c>
      <c r="RY313" s="11"/>
      <c r="RZ313" s="11"/>
      <c r="SA313" s="771"/>
      <c r="SB313" s="11"/>
      <c r="SC313" s="11"/>
    </row>
    <row r="314" spans="1:497" ht="12.75" hidden="1" customHeight="1">
      <c r="A314" s="154" t="s">
        <v>7419</v>
      </c>
      <c r="B314" s="292" t="s">
        <v>5519</v>
      </c>
      <c r="C314" s="140" t="s">
        <v>536</v>
      </c>
      <c r="D314" s="770" t="s">
        <v>5516</v>
      </c>
      <c r="E314" s="770" t="s">
        <v>537</v>
      </c>
      <c r="F314" s="770" t="s">
        <v>20</v>
      </c>
      <c r="G314" s="770" t="s">
        <v>18</v>
      </c>
      <c r="H314" s="770"/>
      <c r="I314" s="295" t="s">
        <v>538</v>
      </c>
      <c r="J314" s="94" t="s">
        <v>5517</v>
      </c>
      <c r="K314" s="770"/>
      <c r="L314" s="770"/>
      <c r="M314" s="770"/>
      <c r="N314" s="770"/>
      <c r="O314" s="770"/>
      <c r="P314" s="770"/>
      <c r="Q314" s="1088"/>
      <c r="R314" s="297"/>
      <c r="S314" s="770"/>
      <c r="T314" s="770"/>
      <c r="U314" s="298"/>
      <c r="V314" s="770"/>
      <c r="W314" s="770"/>
      <c r="X314" s="296"/>
      <c r="Y314" s="770"/>
      <c r="Z314" s="770"/>
      <c r="AA314" s="770"/>
      <c r="AB314" s="770"/>
      <c r="AC314" s="770"/>
      <c r="AD314" s="770"/>
      <c r="AE314" s="770"/>
      <c r="AF314" s="770"/>
      <c r="AG314" s="766" t="s">
        <v>1095</v>
      </c>
      <c r="AH314" s="766" t="s">
        <v>1096</v>
      </c>
      <c r="AI314" s="770" t="s">
        <v>5518</v>
      </c>
      <c r="AJ314" s="770"/>
      <c r="AK314" s="766" t="s">
        <v>1097</v>
      </c>
      <c r="AL314" s="299">
        <v>35.89</v>
      </c>
      <c r="AM314" s="300">
        <v>15.12</v>
      </c>
      <c r="AN314" s="301">
        <v>0.42130000000000001</v>
      </c>
      <c r="AO314" s="766" t="s">
        <v>1149</v>
      </c>
      <c r="AP314" s="766"/>
      <c r="AQ314" s="766"/>
      <c r="AR314" s="766"/>
      <c r="AS314" s="770" t="s">
        <v>1207</v>
      </c>
      <c r="AT314" s="770" t="s">
        <v>1208</v>
      </c>
      <c r="AU314" s="770"/>
      <c r="AV314" s="770"/>
      <c r="AW314" s="770"/>
      <c r="AX314" s="770"/>
      <c r="AY314" s="770"/>
      <c r="AZ314" s="770"/>
      <c r="BA314" s="770"/>
      <c r="BB314" s="770"/>
      <c r="BC314" s="770" t="s">
        <v>853</v>
      </c>
      <c r="BD314" s="770" t="s">
        <v>1207</v>
      </c>
      <c r="BE314" s="770"/>
      <c r="BF314" s="302"/>
      <c r="BG314" s="302"/>
      <c r="BH314" s="770"/>
      <c r="BI314" s="770"/>
      <c r="BJ314" s="770"/>
      <c r="BK314" s="770" t="s">
        <v>1095</v>
      </c>
      <c r="BL314" s="770" t="s">
        <v>1376</v>
      </c>
      <c r="BM314" s="766" t="s">
        <v>1096</v>
      </c>
      <c r="BN314" s="770" t="s">
        <v>1230</v>
      </c>
      <c r="BO314" s="766" t="s">
        <v>1239</v>
      </c>
      <c r="BP314" s="780">
        <v>71.78</v>
      </c>
      <c r="BQ314" s="772">
        <v>30.24</v>
      </c>
      <c r="BR314" s="774">
        <f>BQ314/BP314</f>
        <v>0.42128726664809135</v>
      </c>
      <c r="BS314" s="6" t="s">
        <v>1149</v>
      </c>
      <c r="BT314" s="766" t="s">
        <v>2040</v>
      </c>
      <c r="BU314" s="770" t="s">
        <v>1249</v>
      </c>
      <c r="BV314" s="770" t="s">
        <v>1247</v>
      </c>
      <c r="BW314" s="769"/>
      <c r="BX314" s="302"/>
      <c r="BY314" s="303"/>
      <c r="BZ314" s="770"/>
      <c r="CA314" s="302"/>
      <c r="CB314" s="302"/>
      <c r="CC314" s="770"/>
      <c r="CD314" s="770"/>
      <c r="CE314" s="770"/>
      <c r="CF314" s="304"/>
      <c r="CG314" s="321"/>
      <c r="CH314" s="770"/>
      <c r="CI314" s="770"/>
      <c r="CJ314" s="770"/>
      <c r="CK314" s="770"/>
      <c r="CL314" s="770"/>
      <c r="CM314" s="770"/>
      <c r="CN314" s="770"/>
      <c r="CO314" s="770"/>
      <c r="CP314" s="770"/>
      <c r="CQ314" s="770"/>
      <c r="CR314" s="770"/>
      <c r="CS314" s="302"/>
      <c r="CT314" s="770"/>
      <c r="CU314" s="305"/>
      <c r="CV314" s="770"/>
      <c r="CW314" s="770"/>
      <c r="CX314" s="770"/>
      <c r="CY314" s="770"/>
      <c r="CZ314" s="770"/>
      <c r="DA314" s="306"/>
      <c r="DB314" s="770"/>
      <c r="DC314" s="770"/>
      <c r="DD314" s="770"/>
      <c r="DE314" s="300"/>
      <c r="DF314" s="770"/>
      <c r="DG314" s="770"/>
      <c r="DH314" s="770"/>
      <c r="DI314" s="770"/>
      <c r="DJ314" s="770"/>
      <c r="DK314" s="770"/>
      <c r="DL314" s="770"/>
      <c r="DM314" s="770"/>
      <c r="DN314" s="322"/>
      <c r="DO314" s="770"/>
      <c r="DP314" s="770"/>
      <c r="DQ314" s="770"/>
      <c r="DR314" s="770"/>
      <c r="DS314" s="307"/>
      <c r="DT314" s="770"/>
      <c r="DU314" s="770"/>
      <c r="DV314" s="770"/>
      <c r="DW314" s="306"/>
      <c r="DX314" s="306"/>
      <c r="DY314" s="770"/>
      <c r="DZ314" s="770"/>
      <c r="EA314" s="770"/>
      <c r="EB314" s="770"/>
      <c r="EC314" s="770"/>
      <c r="ED314" s="770"/>
      <c r="EE314" s="770"/>
      <c r="EF314" s="770"/>
      <c r="EG314" s="770"/>
      <c r="EH314" s="770"/>
      <c r="EI314" s="770"/>
      <c r="EJ314" s="770"/>
      <c r="EK314" s="770"/>
      <c r="EL314" s="770"/>
      <c r="EM314" s="770"/>
      <c r="EN314" s="770"/>
      <c r="EO314" s="770"/>
      <c r="EP314" s="94"/>
      <c r="EQ314" s="770"/>
      <c r="ER314" s="770"/>
      <c r="ES314" s="770"/>
      <c r="ET314" s="770"/>
      <c r="EU314" s="770"/>
      <c r="EV314" s="770"/>
      <c r="EW314" s="770"/>
      <c r="EX314" s="770"/>
      <c r="EY314" s="770"/>
      <c r="EZ314" s="770"/>
      <c r="FA314" s="770"/>
      <c r="FB314" s="770"/>
      <c r="FC314" s="770"/>
      <c r="FD314" s="302"/>
      <c r="FE314" s="770"/>
      <c r="FF314" s="770"/>
      <c r="FG314" s="770"/>
      <c r="FH314" s="770" t="s">
        <v>478</v>
      </c>
      <c r="FI314" s="770">
        <v>2</v>
      </c>
      <c r="FJ314" s="770"/>
      <c r="FK314" s="770"/>
      <c r="FL314" s="770"/>
      <c r="FM314" s="302"/>
      <c r="FN314" s="302"/>
      <c r="FO314" s="302"/>
      <c r="FP314" s="770" t="s">
        <v>1600</v>
      </c>
      <c r="FQ314" s="770" t="s">
        <v>1642</v>
      </c>
      <c r="FR314" s="770" t="s">
        <v>1207</v>
      </c>
      <c r="FS314" s="770" t="s">
        <v>1208</v>
      </c>
      <c r="FT314" s="770"/>
      <c r="FU314" s="770"/>
      <c r="FV314" s="770"/>
      <c r="FW314" s="770"/>
      <c r="FX314" s="770"/>
      <c r="FY314" s="770"/>
      <c r="FZ314" s="770"/>
      <c r="GA314" s="770"/>
      <c r="GB314" s="770" t="s">
        <v>853</v>
      </c>
      <c r="GC314" s="308" t="s">
        <v>1745</v>
      </c>
      <c r="GD314" s="297">
        <v>2000</v>
      </c>
      <c r="GE314" s="770"/>
      <c r="GF314" s="302"/>
      <c r="GG314" s="302"/>
      <c r="GH314" s="770"/>
      <c r="GI314" s="770"/>
      <c r="GJ314" s="770"/>
      <c r="GK314" s="770"/>
      <c r="GL314" s="770"/>
      <c r="GM314" s="770"/>
      <c r="GN314" s="309"/>
      <c r="GO314" s="770"/>
      <c r="GP314" s="770"/>
      <c r="GQ314" s="770"/>
      <c r="GR314" s="770"/>
      <c r="GS314" s="770"/>
      <c r="GT314" s="770"/>
      <c r="GU314" s="770"/>
      <c r="GV314" s="770"/>
      <c r="GW314" s="770"/>
      <c r="GX314" s="770"/>
      <c r="GY314" s="770"/>
      <c r="GZ314" s="770"/>
      <c r="HA314" s="770"/>
      <c r="HB314" s="770"/>
      <c r="HC314" s="770"/>
      <c r="HD314" s="770"/>
      <c r="HE314" s="770"/>
      <c r="HF314" s="770"/>
      <c r="HG314" s="770"/>
      <c r="HH314" s="770"/>
      <c r="HI314" s="770"/>
      <c r="HJ314" s="770"/>
      <c r="HK314" s="770"/>
      <c r="HL314" s="770"/>
      <c r="HM314" s="770"/>
      <c r="HN314" s="770"/>
      <c r="HO314" s="770"/>
      <c r="HP314" s="770"/>
      <c r="HQ314" s="770"/>
      <c r="HR314" s="770"/>
      <c r="HS314" s="770"/>
      <c r="HT314" s="770"/>
      <c r="HU314" s="770"/>
      <c r="HV314" s="770"/>
      <c r="HW314" s="770"/>
      <c r="HX314" s="770"/>
      <c r="HY314" s="770"/>
      <c r="HZ314" s="770"/>
      <c r="IA314" s="770"/>
      <c r="IB314" s="14" t="e">
        <f>IF(#REF!&gt;0,IF(#REF!&lt;=10000,"Y",""),"")</f>
        <v>#REF!</v>
      </c>
      <c r="IC314" s="770"/>
      <c r="ID314" s="770">
        <v>2</v>
      </c>
      <c r="IE314" s="770">
        <v>1</v>
      </c>
      <c r="IF314" s="770"/>
      <c r="IG314" s="770"/>
      <c r="IH314" s="770"/>
      <c r="II314" s="770"/>
      <c r="IJ314" s="770"/>
      <c r="IK314" s="770"/>
      <c r="IL314" s="770"/>
      <c r="IM314" s="770"/>
      <c r="IN314" s="770"/>
      <c r="IO314" s="296"/>
      <c r="IP314" s="770"/>
      <c r="IQ314" s="770"/>
      <c r="IR314" s="770"/>
      <c r="IS314" s="770"/>
      <c r="IT314" s="770"/>
      <c r="IU314" s="770"/>
      <c r="IV314" s="770"/>
      <c r="IW314" s="770"/>
      <c r="IX314" s="770"/>
      <c r="IY314" s="770"/>
      <c r="IZ314" s="770"/>
      <c r="JA314" s="770"/>
      <c r="JB314" s="770"/>
      <c r="JC314" s="770"/>
      <c r="JD314" s="302"/>
      <c r="JE314" s="770"/>
      <c r="JF314" s="770"/>
      <c r="JG314" s="770"/>
      <c r="JH314" s="770"/>
      <c r="JI314" s="770"/>
      <c r="JJ314" s="770"/>
      <c r="JK314" s="770"/>
      <c r="JL314" s="770"/>
      <c r="JM314" s="770"/>
      <c r="JN314" s="770"/>
      <c r="JO314" s="770"/>
      <c r="JP314" s="770"/>
      <c r="JQ314" s="770"/>
      <c r="JR314" s="770"/>
      <c r="JS314" s="770"/>
      <c r="JT314" s="766"/>
      <c r="JU314" s="766"/>
      <c r="JV314" s="766"/>
      <c r="JW314" s="766"/>
      <c r="JX314" s="770"/>
      <c r="JY314" s="770"/>
      <c r="JZ314" s="770"/>
      <c r="KA314" s="770"/>
      <c r="KB314" s="770"/>
      <c r="KC314" s="770"/>
      <c r="KD314" s="770"/>
      <c r="KE314" s="770"/>
      <c r="KF314" s="770"/>
      <c r="KG314" s="770"/>
      <c r="KH314" s="770"/>
      <c r="KI314" s="770"/>
      <c r="KJ314" s="770"/>
      <c r="KK314" s="770"/>
      <c r="KL314" s="770"/>
      <c r="KM314" s="770"/>
      <c r="KN314" s="770"/>
      <c r="KO314" s="770"/>
      <c r="KP314" s="770"/>
      <c r="KQ314" s="770"/>
      <c r="KR314" s="770"/>
      <c r="KS314" s="770"/>
      <c r="KT314" s="770"/>
      <c r="KU314" s="770"/>
      <c r="KV314" s="770"/>
      <c r="KW314" s="770"/>
      <c r="KX314" s="770"/>
      <c r="KY314" s="770"/>
      <c r="KZ314" s="770"/>
      <c r="LA314" s="770"/>
      <c r="LB314" s="770"/>
      <c r="LC314" s="770"/>
      <c r="LD314" s="770"/>
      <c r="LE314" s="770"/>
      <c r="LF314" s="770"/>
      <c r="LG314" s="770"/>
      <c r="LH314" s="770"/>
      <c r="LI314" s="770"/>
      <c r="LJ314" s="770"/>
      <c r="LK314" s="770"/>
      <c r="LL314" s="770"/>
      <c r="LM314" s="770"/>
      <c r="LN314" s="766"/>
      <c r="LO314" s="766"/>
      <c r="LP314" s="770"/>
      <c r="LQ314" s="770"/>
      <c r="LR314" s="770"/>
      <c r="LS314" s="770"/>
      <c r="LT314" s="770"/>
      <c r="LU314" s="770"/>
      <c r="LV314" s="770"/>
      <c r="LW314" s="770"/>
      <c r="LX314" s="769"/>
      <c r="LY314" s="766" t="str">
        <f t="shared" si="93"/>
        <v/>
      </c>
      <c r="LZ314" s="299"/>
      <c r="MA314" s="306"/>
      <c r="MB314" s="306"/>
      <c r="MC314" s="1679">
        <f t="shared" si="91"/>
        <v>0</v>
      </c>
      <c r="MD314" s="306"/>
      <c r="ME314" s="306"/>
      <c r="MF314" s="306"/>
      <c r="MG314" s="1680">
        <f t="shared" si="94"/>
        <v>0</v>
      </c>
      <c r="MH314" s="770"/>
      <c r="MI314" s="302"/>
      <c r="MJ314" s="302"/>
      <c r="MK314" s="302"/>
      <c r="ML314" s="302"/>
      <c r="MM314" s="302"/>
      <c r="MN314" s="302"/>
      <c r="MO314" s="302"/>
      <c r="MP314" s="302"/>
      <c r="MQ314" s="302"/>
      <c r="MR314" s="302"/>
      <c r="MS314" s="302"/>
      <c r="MT314" s="302"/>
      <c r="MU314" s="302"/>
      <c r="MV314" s="302"/>
      <c r="MW314" s="302"/>
      <c r="MX314" s="302"/>
      <c r="MY314" s="1682">
        <f t="shared" si="74"/>
        <v>0</v>
      </c>
      <c r="MZ314" s="770"/>
      <c r="NA314" s="770"/>
      <c r="NB314" s="770"/>
      <c r="NC314" s="770"/>
      <c r="ND314" s="770"/>
      <c r="NE314" s="770"/>
      <c r="NF314" s="770"/>
      <c r="NG314" s="770"/>
      <c r="NH314" s="770"/>
      <c r="NI314" s="770"/>
      <c r="NJ314" s="770"/>
      <c r="NK314" s="770"/>
      <c r="NL314" s="770"/>
      <c r="NM314" s="770"/>
      <c r="NN314" s="770"/>
      <c r="NO314" s="770"/>
      <c r="NP314" s="770"/>
      <c r="NQ314" s="770"/>
      <c r="NR314" s="770"/>
      <c r="NS314" s="770"/>
      <c r="NT314" s="770"/>
      <c r="NU314" s="770"/>
      <c r="NV314" s="770"/>
      <c r="NW314" s="770"/>
      <c r="NX314" s="770"/>
      <c r="NY314" s="770"/>
      <c r="NZ314" s="770"/>
      <c r="OA314" s="770"/>
      <c r="OB314" s="770"/>
      <c r="OC314" s="770"/>
      <c r="OD314" s="770"/>
      <c r="OE314" s="770"/>
      <c r="OF314" s="770"/>
      <c r="OG314" s="770"/>
      <c r="OH314" s="770"/>
      <c r="OI314" s="770"/>
      <c r="OJ314" s="770"/>
      <c r="OK314" s="770"/>
      <c r="OL314" s="770"/>
      <c r="OM314" s="770"/>
      <c r="ON314" s="770"/>
      <c r="OO314" s="770"/>
      <c r="OP314" s="770"/>
      <c r="OQ314" s="770"/>
      <c r="OR314" s="770"/>
      <c r="OS314" s="770"/>
      <c r="OT314" s="770"/>
      <c r="OU314" s="770"/>
      <c r="OV314" s="770"/>
      <c r="OW314" s="770"/>
      <c r="OX314" s="770"/>
      <c r="OY314" s="770"/>
      <c r="OZ314" s="770"/>
      <c r="PA314" s="770"/>
      <c r="PB314" s="770"/>
      <c r="PC314" s="770"/>
      <c r="PD314" s="770"/>
      <c r="PE314" s="770"/>
      <c r="PF314" s="770"/>
      <c r="PG314" s="770"/>
      <c r="PH314" s="770"/>
      <c r="PI314" s="770"/>
      <c r="PJ314" s="770"/>
      <c r="PK314" s="770"/>
      <c r="PL314" s="770"/>
      <c r="PM314" s="770"/>
      <c r="PN314" s="770"/>
      <c r="PO314" s="770"/>
      <c r="PP314" s="770"/>
      <c r="PQ314" s="770"/>
      <c r="PR314" s="770"/>
      <c r="PS314" s="770"/>
      <c r="PT314" s="770"/>
      <c r="PU314" s="770"/>
      <c r="PV314" s="770"/>
      <c r="PW314" s="770"/>
      <c r="PX314" s="770"/>
      <c r="PY314" s="770"/>
      <c r="PZ314" s="770"/>
      <c r="QA314" s="770"/>
      <c r="QB314" s="770"/>
      <c r="QC314" s="770"/>
      <c r="QD314" s="770"/>
      <c r="QE314" s="770"/>
      <c r="QF314" s="770"/>
      <c r="QG314" s="770"/>
      <c r="QH314" s="770"/>
      <c r="QI314" s="770"/>
      <c r="QJ314" s="770"/>
      <c r="QK314" s="770"/>
      <c r="QL314" s="770"/>
      <c r="QM314" s="770"/>
      <c r="QN314" s="770"/>
      <c r="QO314" s="770"/>
      <c r="QP314" s="770"/>
      <c r="QQ314" s="770"/>
      <c r="QR314" s="770"/>
      <c r="QS314" s="770"/>
      <c r="QT314" s="770"/>
      <c r="QU314" s="770"/>
      <c r="QV314" s="770"/>
      <c r="QW314" s="770"/>
      <c r="QX314" s="770"/>
      <c r="QY314" s="770"/>
      <c r="QZ314" s="770"/>
      <c r="RA314" s="770"/>
      <c r="RB314" s="770"/>
      <c r="RC314" s="770"/>
      <c r="RD314" s="770"/>
      <c r="RE314" s="770"/>
      <c r="RF314" s="304"/>
      <c r="RG314" s="770"/>
      <c r="RH314" s="302"/>
      <c r="RI314" s="770"/>
      <c r="RJ314" s="770" t="s">
        <v>13449</v>
      </c>
      <c r="RK314" s="770" t="s">
        <v>13381</v>
      </c>
      <c r="RL314" s="1710"/>
      <c r="RM314" s="12"/>
      <c r="RN314" s="1711"/>
      <c r="RO314" s="140" t="s">
        <v>536</v>
      </c>
      <c r="RP314" s="11"/>
      <c r="RQ314" s="11"/>
      <c r="RR314" s="771"/>
      <c r="RS314" s="767"/>
      <c r="RT314" s="11"/>
      <c r="RU314" s="11"/>
      <c r="RV314" s="771" t="s">
        <v>7419</v>
      </c>
      <c r="RW314" s="11" t="s">
        <v>7629</v>
      </c>
      <c r="RX314" s="11" t="s">
        <v>535</v>
      </c>
      <c r="RY314" s="11"/>
      <c r="RZ314" s="11" t="s">
        <v>1101</v>
      </c>
      <c r="SA314" s="771"/>
      <c r="SB314" s="11"/>
      <c r="SC314" s="11"/>
    </row>
    <row r="315" spans="1:497" ht="12.75" hidden="1" customHeight="1">
      <c r="A315" s="343" t="s">
        <v>14166</v>
      </c>
      <c r="B315" s="292" t="s">
        <v>7631</v>
      </c>
      <c r="C315" s="140" t="s">
        <v>536</v>
      </c>
      <c r="D315" s="770"/>
      <c r="E315" s="770" t="s">
        <v>537</v>
      </c>
      <c r="F315" s="770"/>
      <c r="G315" s="770"/>
      <c r="H315" s="770"/>
      <c r="I315" s="295"/>
      <c r="J315" s="94"/>
      <c r="K315" s="770"/>
      <c r="L315" s="770"/>
      <c r="M315" s="770"/>
      <c r="N315" s="770"/>
      <c r="O315" s="770"/>
      <c r="P315" s="770"/>
      <c r="Q315" s="1088"/>
      <c r="R315" s="297"/>
      <c r="S315" s="770"/>
      <c r="T315" s="770"/>
      <c r="U315" s="298"/>
      <c r="V315" s="770"/>
      <c r="W315" s="770"/>
      <c r="X315" s="296"/>
      <c r="Y315" s="770"/>
      <c r="Z315" s="770"/>
      <c r="AA315" s="770"/>
      <c r="AB315" s="770"/>
      <c r="AC315" s="770"/>
      <c r="AD315" s="770"/>
      <c r="AE315" s="770"/>
      <c r="AF315" s="770"/>
      <c r="AG315" s="770"/>
      <c r="AH315" s="770"/>
      <c r="AI315" s="770"/>
      <c r="AJ315" s="770"/>
      <c r="AK315" s="770" t="s">
        <v>5454</v>
      </c>
      <c r="AL315" s="299"/>
      <c r="AM315" s="300"/>
      <c r="AN315" s="301"/>
      <c r="AO315" s="766"/>
      <c r="AP315" s="766"/>
      <c r="AQ315" s="766"/>
      <c r="AR315" s="766"/>
      <c r="AS315" s="770"/>
      <c r="AT315" s="770"/>
      <c r="AU315" s="770"/>
      <c r="AV315" s="770"/>
      <c r="AW315" s="770"/>
      <c r="AX315" s="770"/>
      <c r="AY315" s="770"/>
      <c r="AZ315" s="770"/>
      <c r="BA315" s="770"/>
      <c r="BB315" s="770"/>
      <c r="BC315" s="770"/>
      <c r="BD315" s="770"/>
      <c r="BE315" s="770"/>
      <c r="BF315" s="302"/>
      <c r="BG315" s="302"/>
      <c r="BH315" s="770"/>
      <c r="BI315" s="770"/>
      <c r="BJ315" s="770"/>
      <c r="BK315" s="770"/>
      <c r="BL315" s="770"/>
      <c r="BM315" s="770" t="s">
        <v>1238</v>
      </c>
      <c r="BN315" s="770" t="s">
        <v>1299</v>
      </c>
      <c r="BO315" s="770"/>
      <c r="BP315" s="780"/>
      <c r="BQ315" s="772"/>
      <c r="BR315" s="774"/>
      <c r="BS315" s="766" t="s">
        <v>1105</v>
      </c>
      <c r="BT315" s="766"/>
      <c r="BU315" s="770"/>
      <c r="BV315" s="770"/>
      <c r="BW315" s="770"/>
      <c r="BX315" s="302"/>
      <c r="BY315" s="303"/>
      <c r="BZ315" s="770"/>
      <c r="CA315" s="302"/>
      <c r="CB315" s="302"/>
      <c r="CC315" s="770"/>
      <c r="CD315" s="770"/>
      <c r="CE315" s="770"/>
      <c r="CF315" s="304"/>
      <c r="CG315" s="321"/>
      <c r="CH315" s="770"/>
      <c r="CI315" s="770"/>
      <c r="CJ315" s="770"/>
      <c r="CK315" s="770"/>
      <c r="CL315" s="770"/>
      <c r="CM315" s="770"/>
      <c r="CN315" s="770"/>
      <c r="CO315" s="770"/>
      <c r="CP315" s="770"/>
      <c r="CQ315" s="770"/>
      <c r="CR315" s="770"/>
      <c r="CS315" s="302"/>
      <c r="CT315" s="770"/>
      <c r="CU315" s="305"/>
      <c r="CV315" s="770"/>
      <c r="CW315" s="770"/>
      <c r="CX315" s="770"/>
      <c r="CY315" s="770"/>
      <c r="CZ315" s="770"/>
      <c r="DA315" s="306"/>
      <c r="DB315" s="770"/>
      <c r="DC315" s="770"/>
      <c r="DD315" s="770"/>
      <c r="DE315" s="300"/>
      <c r="DF315" s="770"/>
      <c r="DG315" s="770"/>
      <c r="DH315" s="770"/>
      <c r="DI315" s="770"/>
      <c r="DJ315" s="770"/>
      <c r="DK315" s="770"/>
      <c r="DL315" s="770"/>
      <c r="DM315" s="770"/>
      <c r="DN315" s="322"/>
      <c r="DO315" s="770"/>
      <c r="DP315" s="770"/>
      <c r="DQ315" s="770"/>
      <c r="DR315" s="770"/>
      <c r="DS315" s="307"/>
      <c r="DT315" s="770"/>
      <c r="DU315" s="770"/>
      <c r="DV315" s="770"/>
      <c r="DW315" s="306"/>
      <c r="DX315" s="306"/>
      <c r="DY315" s="770"/>
      <c r="DZ315" s="770"/>
      <c r="EA315" s="770"/>
      <c r="EB315" s="770"/>
      <c r="EC315" s="770"/>
      <c r="ED315" s="770"/>
      <c r="EE315" s="770"/>
      <c r="EF315" s="770"/>
      <c r="EG315" s="770"/>
      <c r="EH315" s="770"/>
      <c r="EI315" s="770"/>
      <c r="EJ315" s="770"/>
      <c r="EK315" s="770"/>
      <c r="EL315" s="770"/>
      <c r="EM315" s="770"/>
      <c r="EN315" s="770"/>
      <c r="EO315" s="770"/>
      <c r="EP315" s="94"/>
      <c r="EQ315" s="770"/>
      <c r="ER315" s="770"/>
      <c r="ES315" s="770"/>
      <c r="ET315" s="770"/>
      <c r="EU315" s="770"/>
      <c r="EV315" s="770"/>
      <c r="EW315" s="770"/>
      <c r="EX315" s="770"/>
      <c r="EY315" s="770"/>
      <c r="EZ315" s="770"/>
      <c r="FA315" s="770"/>
      <c r="FB315" s="770"/>
      <c r="FC315" s="770"/>
      <c r="FD315" s="302"/>
      <c r="FE315" s="770"/>
      <c r="FF315" s="770"/>
      <c r="FG315" s="770"/>
      <c r="FH315" s="770"/>
      <c r="FI315" s="770"/>
      <c r="FJ315" s="770"/>
      <c r="FK315" s="770"/>
      <c r="FL315" s="770"/>
      <c r="FM315" s="302"/>
      <c r="FN315" s="302"/>
      <c r="FO315" s="302"/>
      <c r="FP315" s="770"/>
      <c r="FQ315" s="770"/>
      <c r="FR315" s="770"/>
      <c r="FS315" s="770"/>
      <c r="FT315" s="770"/>
      <c r="FU315" s="770"/>
      <c r="FV315" s="770"/>
      <c r="FW315" s="770"/>
      <c r="FX315" s="770"/>
      <c r="FY315" s="770"/>
      <c r="FZ315" s="770"/>
      <c r="GA315" s="770"/>
      <c r="GB315" s="770"/>
      <c r="GC315" s="308"/>
      <c r="GD315" s="297"/>
      <c r="GE315" s="770"/>
      <c r="GF315" s="302"/>
      <c r="GG315" s="302"/>
      <c r="GH315" s="770"/>
      <c r="GI315" s="770"/>
      <c r="GJ315" s="770"/>
      <c r="GK315" s="770"/>
      <c r="GL315" s="770"/>
      <c r="GM315" s="770"/>
      <c r="GN315" s="309"/>
      <c r="GO315" s="770"/>
      <c r="GP315" s="770"/>
      <c r="GQ315" s="770"/>
      <c r="GR315" s="770"/>
      <c r="GS315" s="770"/>
      <c r="GT315" s="770"/>
      <c r="GU315" s="770"/>
      <c r="GV315" s="770"/>
      <c r="GW315" s="770"/>
      <c r="GX315" s="770"/>
      <c r="GY315" s="770"/>
      <c r="GZ315" s="770"/>
      <c r="HA315" s="770"/>
      <c r="HB315" s="770"/>
      <c r="HC315" s="770"/>
      <c r="HD315" s="770"/>
      <c r="HE315" s="770"/>
      <c r="HF315" s="770"/>
      <c r="HG315" s="770"/>
      <c r="HH315" s="770"/>
      <c r="HI315" s="770"/>
      <c r="HJ315" s="770"/>
      <c r="HK315" s="770"/>
      <c r="HL315" s="770"/>
      <c r="HM315" s="770"/>
      <c r="HN315" s="770"/>
      <c r="HO315" s="770"/>
      <c r="HP315" s="770"/>
      <c r="HQ315" s="770"/>
      <c r="HR315" s="770"/>
      <c r="HS315" s="770"/>
      <c r="HT315" s="770"/>
      <c r="HU315" s="770"/>
      <c r="HV315" s="770"/>
      <c r="HW315" s="770"/>
      <c r="HX315" s="770"/>
      <c r="HY315" s="770"/>
      <c r="HZ315" s="770"/>
      <c r="IA315" s="770"/>
      <c r="IB315" s="14" t="e">
        <f>IF(#REF!&gt;0,IF(#REF!&lt;=10000,"Y",""),"")</f>
        <v>#REF!</v>
      </c>
      <c r="IC315" s="770"/>
      <c r="ID315" s="770"/>
      <c r="IE315" s="770"/>
      <c r="IF315" s="770"/>
      <c r="IG315" s="770"/>
      <c r="IH315" s="770"/>
      <c r="II315" s="770"/>
      <c r="IJ315" s="770"/>
      <c r="IK315" s="770"/>
      <c r="IL315" s="770"/>
      <c r="IM315" s="770"/>
      <c r="IN315" s="770"/>
      <c r="IO315" s="296"/>
      <c r="IP315" s="770"/>
      <c r="IQ315" s="770"/>
      <c r="IR315" s="770"/>
      <c r="IS315" s="770"/>
      <c r="IT315" s="770"/>
      <c r="IU315" s="770"/>
      <c r="IV315" s="770"/>
      <c r="IW315" s="770"/>
      <c r="IX315" s="770"/>
      <c r="IY315" s="770"/>
      <c r="IZ315" s="770"/>
      <c r="JA315" s="770"/>
      <c r="JB315" s="770"/>
      <c r="JC315" s="770"/>
      <c r="JD315" s="302"/>
      <c r="JE315" s="770"/>
      <c r="JF315" s="770"/>
      <c r="JG315" s="770"/>
      <c r="JH315" s="770"/>
      <c r="JI315" s="770"/>
      <c r="JJ315" s="770"/>
      <c r="JK315" s="770"/>
      <c r="JL315" s="770"/>
      <c r="JM315" s="770"/>
      <c r="JN315" s="770"/>
      <c r="JO315" s="770"/>
      <c r="JP315" s="770"/>
      <c r="JQ315" s="770"/>
      <c r="JR315" s="770"/>
      <c r="JS315" s="770"/>
      <c r="JT315" s="766"/>
      <c r="JU315" s="766"/>
      <c r="JV315" s="766"/>
      <c r="JW315" s="766"/>
      <c r="JX315" s="770"/>
      <c r="JY315" s="770"/>
      <c r="JZ315" s="770"/>
      <c r="KA315" s="770"/>
      <c r="KB315" s="770"/>
      <c r="KC315" s="770"/>
      <c r="KD315" s="770"/>
      <c r="KE315" s="770"/>
      <c r="KF315" s="770"/>
      <c r="KG315" s="770"/>
      <c r="KH315" s="770"/>
      <c r="KI315" s="770"/>
      <c r="KJ315" s="770"/>
      <c r="KK315" s="770"/>
      <c r="KL315" s="770"/>
      <c r="KM315" s="770"/>
      <c r="KN315" s="770"/>
      <c r="KO315" s="770"/>
      <c r="KP315" s="770"/>
      <c r="KQ315" s="770"/>
      <c r="KR315" s="770"/>
      <c r="KS315" s="770"/>
      <c r="KT315" s="770"/>
      <c r="KU315" s="770"/>
      <c r="KV315" s="770"/>
      <c r="KW315" s="770"/>
      <c r="KX315" s="770"/>
      <c r="KY315" s="770"/>
      <c r="KZ315" s="770"/>
      <c r="LA315" s="770"/>
      <c r="LB315" s="770"/>
      <c r="LC315" s="770"/>
      <c r="LD315" s="770"/>
      <c r="LE315" s="770"/>
      <c r="LF315" s="770"/>
      <c r="LG315" s="770"/>
      <c r="LH315" s="770"/>
      <c r="LI315" s="770"/>
      <c r="LJ315" s="770"/>
      <c r="LK315" s="770"/>
      <c r="LL315" s="770"/>
      <c r="LM315" s="770"/>
      <c r="LN315" s="766"/>
      <c r="LO315" s="766"/>
      <c r="LP315" s="770"/>
      <c r="LQ315" s="770"/>
      <c r="LR315" s="770"/>
      <c r="LS315" s="770"/>
      <c r="LT315" s="770"/>
      <c r="LU315" s="770"/>
      <c r="LV315" s="770"/>
      <c r="LW315" s="770"/>
      <c r="LX315" s="769"/>
      <c r="LY315" s="766" t="str">
        <f t="shared" si="93"/>
        <v/>
      </c>
      <c r="LZ315" s="299"/>
      <c r="MA315" s="306"/>
      <c r="MB315" s="306"/>
      <c r="MC315" s="1679">
        <f t="shared" si="91"/>
        <v>0</v>
      </c>
      <c r="MD315" s="306"/>
      <c r="ME315" s="306"/>
      <c r="MF315" s="306"/>
      <c r="MG315" s="1680">
        <f t="shared" si="94"/>
        <v>0</v>
      </c>
      <c r="MH315" s="770"/>
      <c r="MI315" s="302"/>
      <c r="MJ315" s="302"/>
      <c r="MK315" s="302"/>
      <c r="ML315" s="302"/>
      <c r="MM315" s="302"/>
      <c r="MN315" s="302"/>
      <c r="MO315" s="302"/>
      <c r="MP315" s="302"/>
      <c r="MQ315" s="302"/>
      <c r="MR315" s="302"/>
      <c r="MS315" s="302"/>
      <c r="MT315" s="302"/>
      <c r="MU315" s="302"/>
      <c r="MV315" s="302"/>
      <c r="MW315" s="302"/>
      <c r="MX315" s="302"/>
      <c r="MY315" s="1682">
        <f t="shared" si="74"/>
        <v>0</v>
      </c>
      <c r="MZ315" s="770"/>
      <c r="NA315" s="770"/>
      <c r="NB315" s="770"/>
      <c r="NC315" s="770"/>
      <c r="ND315" s="770"/>
      <c r="NE315" s="770"/>
      <c r="NF315" s="770"/>
      <c r="NG315" s="770"/>
      <c r="NH315" s="770"/>
      <c r="NI315" s="770"/>
      <c r="NJ315" s="770"/>
      <c r="NK315" s="770"/>
      <c r="NL315" s="770"/>
      <c r="NM315" s="770"/>
      <c r="NN315" s="770"/>
      <c r="NO315" s="770"/>
      <c r="NP315" s="770"/>
      <c r="NQ315" s="770"/>
      <c r="NR315" s="770"/>
      <c r="NS315" s="770"/>
      <c r="NT315" s="770"/>
      <c r="NU315" s="770"/>
      <c r="NV315" s="770"/>
      <c r="NW315" s="770"/>
      <c r="NX315" s="770"/>
      <c r="NY315" s="770"/>
      <c r="NZ315" s="770"/>
      <c r="OA315" s="770"/>
      <c r="OB315" s="770"/>
      <c r="OC315" s="770"/>
      <c r="OD315" s="770"/>
      <c r="OE315" s="770"/>
      <c r="OF315" s="770"/>
      <c r="OG315" s="770"/>
      <c r="OH315" s="770"/>
      <c r="OI315" s="770"/>
      <c r="OJ315" s="770"/>
      <c r="OK315" s="770"/>
      <c r="OL315" s="770"/>
      <c r="OM315" s="770"/>
      <c r="ON315" s="770"/>
      <c r="OO315" s="770"/>
      <c r="OP315" s="770"/>
      <c r="OQ315" s="770"/>
      <c r="OR315" s="770"/>
      <c r="OS315" s="770"/>
      <c r="OT315" s="770"/>
      <c r="OU315" s="770"/>
      <c r="OV315" s="770"/>
      <c r="OW315" s="770"/>
      <c r="OX315" s="770"/>
      <c r="OY315" s="770"/>
      <c r="OZ315" s="770"/>
      <c r="PA315" s="770"/>
      <c r="PB315" s="770"/>
      <c r="PC315" s="770"/>
      <c r="PD315" s="770"/>
      <c r="PE315" s="770"/>
      <c r="PF315" s="770"/>
      <c r="PG315" s="770"/>
      <c r="PH315" s="770"/>
      <c r="PI315" s="770"/>
      <c r="PJ315" s="770"/>
      <c r="PK315" s="770"/>
      <c r="PL315" s="770"/>
      <c r="PM315" s="770"/>
      <c r="PN315" s="770"/>
      <c r="PO315" s="770"/>
      <c r="PP315" s="770"/>
      <c r="PQ315" s="770"/>
      <c r="PR315" s="770"/>
      <c r="PS315" s="770"/>
      <c r="PT315" s="770"/>
      <c r="PU315" s="770"/>
      <c r="PV315" s="770"/>
      <c r="PW315" s="770"/>
      <c r="PX315" s="770"/>
      <c r="PY315" s="770"/>
      <c r="PZ315" s="770"/>
      <c r="QA315" s="770"/>
      <c r="QB315" s="770"/>
      <c r="QC315" s="770"/>
      <c r="QD315" s="770"/>
      <c r="QE315" s="770"/>
      <c r="QF315" s="770"/>
      <c r="QG315" s="770"/>
      <c r="QH315" s="770"/>
      <c r="QI315" s="770"/>
      <c r="QJ315" s="770"/>
      <c r="QK315" s="770"/>
      <c r="QL315" s="770"/>
      <c r="QM315" s="770"/>
      <c r="QN315" s="770"/>
      <c r="QO315" s="770"/>
      <c r="QP315" s="770"/>
      <c r="QQ315" s="770"/>
      <c r="QR315" s="770"/>
      <c r="QS315" s="770"/>
      <c r="QT315" s="770"/>
      <c r="QU315" s="770"/>
      <c r="QV315" s="770"/>
      <c r="QW315" s="770"/>
      <c r="QX315" s="770"/>
      <c r="QY315" s="770"/>
      <c r="QZ315" s="770"/>
      <c r="RA315" s="770"/>
      <c r="RB315" s="770"/>
      <c r="RC315" s="770"/>
      <c r="RD315" s="770"/>
      <c r="RE315" s="770"/>
      <c r="RF315" s="304"/>
      <c r="RG315" s="770"/>
      <c r="RH315" s="302"/>
      <c r="RI315" s="770"/>
      <c r="RJ315" s="770"/>
      <c r="RK315" s="770"/>
      <c r="RL315" s="1710"/>
      <c r="RM315" s="12"/>
      <c r="RN315" s="1711"/>
      <c r="RO315" s="140" t="s">
        <v>536</v>
      </c>
      <c r="RP315" s="11"/>
      <c r="RQ315" s="11"/>
      <c r="RR315" s="17"/>
      <c r="RS315" s="767"/>
      <c r="RT315" s="11"/>
      <c r="RU315" s="11"/>
      <c r="RV315" s="771" t="s">
        <v>8081</v>
      </c>
      <c r="RW315" s="11" t="s">
        <v>7630</v>
      </c>
      <c r="RX315" s="11" t="s">
        <v>535</v>
      </c>
      <c r="RY315" s="11"/>
      <c r="RZ315" s="11"/>
      <c r="SA315" s="771"/>
      <c r="SB315" s="11"/>
      <c r="SC315" s="11"/>
    </row>
    <row r="316" spans="1:497" ht="12.75" hidden="1" customHeight="1">
      <c r="A316" s="154" t="s">
        <v>7419</v>
      </c>
      <c r="B316" s="750" t="s">
        <v>7632</v>
      </c>
      <c r="C316" s="140" t="s">
        <v>539</v>
      </c>
      <c r="D316" s="770"/>
      <c r="E316" s="770" t="s">
        <v>541</v>
      </c>
      <c r="F316" s="770"/>
      <c r="G316" s="770"/>
      <c r="H316" s="770"/>
      <c r="I316" s="295"/>
      <c r="J316" s="94"/>
      <c r="K316" s="770"/>
      <c r="L316" s="770"/>
      <c r="M316" s="770"/>
      <c r="N316" s="770"/>
      <c r="O316" s="770"/>
      <c r="P316" s="770"/>
      <c r="Q316" s="1088"/>
      <c r="R316" s="297"/>
      <c r="S316" s="770"/>
      <c r="T316" s="770"/>
      <c r="U316" s="298"/>
      <c r="V316" s="770"/>
      <c r="W316" s="770"/>
      <c r="X316" s="296"/>
      <c r="Y316" s="770"/>
      <c r="Z316" s="770"/>
      <c r="AA316" s="770"/>
      <c r="AB316" s="770"/>
      <c r="AC316" s="770"/>
      <c r="AD316" s="770"/>
      <c r="AE316" s="770"/>
      <c r="AF316" s="770"/>
      <c r="AG316" s="766" t="s">
        <v>1095</v>
      </c>
      <c r="AH316" s="766" t="s">
        <v>1096</v>
      </c>
      <c r="AI316" s="770" t="s">
        <v>1171</v>
      </c>
      <c r="AJ316" s="770"/>
      <c r="AK316" s="766" t="s">
        <v>1097</v>
      </c>
      <c r="AL316" s="333">
        <v>64.8</v>
      </c>
      <c r="AM316" s="334">
        <v>26.64</v>
      </c>
      <c r="AN316" s="335">
        <v>0.41110000000000002</v>
      </c>
      <c r="AO316" s="766" t="s">
        <v>1149</v>
      </c>
      <c r="AP316" s="766"/>
      <c r="AQ316" s="766"/>
      <c r="AR316" s="766"/>
      <c r="AS316" s="770"/>
      <c r="AT316" s="770"/>
      <c r="AU316" s="770"/>
      <c r="AV316" s="770"/>
      <c r="AW316" s="770"/>
      <c r="AX316" s="770"/>
      <c r="AY316" s="770"/>
      <c r="AZ316" s="770"/>
      <c r="BA316" s="770"/>
      <c r="BB316" s="770"/>
      <c r="BC316" s="770"/>
      <c r="BD316" s="770"/>
      <c r="BE316" s="770"/>
      <c r="BF316" s="302"/>
      <c r="BG316" s="302"/>
      <c r="BH316" s="770"/>
      <c r="BI316" s="770"/>
      <c r="BJ316" s="770"/>
      <c r="BK316" s="770" t="s">
        <v>1095</v>
      </c>
      <c r="BL316" s="770" t="s">
        <v>1171</v>
      </c>
      <c r="BM316" s="766" t="s">
        <v>1096</v>
      </c>
      <c r="BN316" s="770" t="s">
        <v>1230</v>
      </c>
      <c r="BO316" s="766" t="s">
        <v>1246</v>
      </c>
      <c r="BP316" s="780">
        <v>64.8</v>
      </c>
      <c r="BQ316" s="772">
        <v>26.64</v>
      </c>
      <c r="BR316" s="774">
        <f>BQ316/BP316</f>
        <v>0.41111111111111115</v>
      </c>
      <c r="BS316" s="6" t="s">
        <v>1149</v>
      </c>
      <c r="BT316" s="766" t="s">
        <v>2040</v>
      </c>
      <c r="BU316" s="770" t="s">
        <v>1249</v>
      </c>
      <c r="BV316" s="770" t="s">
        <v>1247</v>
      </c>
      <c r="BW316" s="769"/>
      <c r="BX316" s="302"/>
      <c r="BY316" s="303"/>
      <c r="BZ316" s="770"/>
      <c r="CA316" s="302"/>
      <c r="CB316" s="302"/>
      <c r="CC316" s="770"/>
      <c r="CD316" s="770"/>
      <c r="CE316" s="770"/>
      <c r="CF316" s="304"/>
      <c r="CG316" s="321"/>
      <c r="CH316" s="770"/>
      <c r="CI316" s="770"/>
      <c r="CJ316" s="770"/>
      <c r="CK316" s="770"/>
      <c r="CL316" s="770"/>
      <c r="CM316" s="770"/>
      <c r="CN316" s="770"/>
      <c r="CO316" s="770"/>
      <c r="CP316" s="770"/>
      <c r="CQ316" s="770"/>
      <c r="CR316" s="770"/>
      <c r="CS316" s="302"/>
      <c r="CT316" s="770"/>
      <c r="CU316" s="305"/>
      <c r="CV316" s="770"/>
      <c r="CW316" s="770"/>
      <c r="CX316" s="770"/>
      <c r="CY316" s="770"/>
      <c r="CZ316" s="770"/>
      <c r="DA316" s="306"/>
      <c r="DB316" s="770"/>
      <c r="DC316" s="770"/>
      <c r="DD316" s="770"/>
      <c r="DE316" s="300"/>
      <c r="DF316" s="770"/>
      <c r="DG316" s="770"/>
      <c r="DH316" s="770"/>
      <c r="DI316" s="770"/>
      <c r="DJ316" s="770"/>
      <c r="DK316" s="770"/>
      <c r="DL316" s="770"/>
      <c r="DM316" s="770"/>
      <c r="DN316" s="322"/>
      <c r="DO316" s="770"/>
      <c r="DP316" s="770"/>
      <c r="DQ316" s="770"/>
      <c r="DR316" s="770"/>
      <c r="DS316" s="307"/>
      <c r="DT316" s="770"/>
      <c r="DU316" s="770"/>
      <c r="DV316" s="770"/>
      <c r="DW316" s="306"/>
      <c r="DX316" s="306"/>
      <c r="DY316" s="770"/>
      <c r="DZ316" s="770"/>
      <c r="EA316" s="770"/>
      <c r="EB316" s="770"/>
      <c r="EC316" s="770"/>
      <c r="ED316" s="770"/>
      <c r="EE316" s="770"/>
      <c r="EF316" s="770"/>
      <c r="EG316" s="770"/>
      <c r="EH316" s="770"/>
      <c r="EI316" s="770"/>
      <c r="EJ316" s="770"/>
      <c r="EK316" s="770"/>
      <c r="EL316" s="770"/>
      <c r="EM316" s="770"/>
      <c r="EN316" s="770"/>
      <c r="EO316" s="770"/>
      <c r="EP316" s="94"/>
      <c r="EQ316" s="770"/>
      <c r="ER316" s="770"/>
      <c r="ES316" s="770"/>
      <c r="ET316" s="770"/>
      <c r="EU316" s="770"/>
      <c r="EV316" s="770"/>
      <c r="EW316" s="770"/>
      <c r="EX316" s="770"/>
      <c r="EY316" s="770"/>
      <c r="EZ316" s="770"/>
      <c r="FA316" s="770"/>
      <c r="FB316" s="770"/>
      <c r="FC316" s="770"/>
      <c r="FD316" s="302"/>
      <c r="FE316" s="770"/>
      <c r="FF316" s="770"/>
      <c r="FG316" s="770"/>
      <c r="FH316" s="770"/>
      <c r="FI316" s="770"/>
      <c r="FJ316" s="770"/>
      <c r="FK316" s="770"/>
      <c r="FL316" s="770"/>
      <c r="FM316" s="302"/>
      <c r="FN316" s="302"/>
      <c r="FO316" s="302"/>
      <c r="FP316" s="770" t="s">
        <v>7554</v>
      </c>
      <c r="FQ316" s="766" t="s">
        <v>1660</v>
      </c>
      <c r="FR316" s="770"/>
      <c r="FS316" s="770"/>
      <c r="FT316" s="770"/>
      <c r="FU316" s="770"/>
      <c r="FV316" s="770"/>
      <c r="FW316" s="770"/>
      <c r="FX316" s="770"/>
      <c r="FY316" s="770"/>
      <c r="FZ316" s="770"/>
      <c r="GA316" s="770"/>
      <c r="GB316" s="770"/>
      <c r="GC316" s="308"/>
      <c r="GD316" s="297"/>
      <c r="GE316" s="770"/>
      <c r="GF316" s="302"/>
      <c r="GG316" s="302"/>
      <c r="GH316" s="770"/>
      <c r="GI316" s="770"/>
      <c r="GJ316" s="770"/>
      <c r="GK316" s="770"/>
      <c r="GL316" s="770"/>
      <c r="GM316" s="770"/>
      <c r="GN316" s="309"/>
      <c r="GO316" s="770"/>
      <c r="GP316" s="770"/>
      <c r="GQ316" s="770"/>
      <c r="GR316" s="770"/>
      <c r="GS316" s="770"/>
      <c r="GT316" s="770"/>
      <c r="GU316" s="770"/>
      <c r="GV316" s="770"/>
      <c r="GW316" s="770"/>
      <c r="GX316" s="770"/>
      <c r="GY316" s="770"/>
      <c r="GZ316" s="770"/>
      <c r="HA316" s="770"/>
      <c r="HB316" s="770"/>
      <c r="HC316" s="770"/>
      <c r="HD316" s="770"/>
      <c r="HE316" s="770"/>
      <c r="HF316" s="770"/>
      <c r="HG316" s="770"/>
      <c r="HH316" s="770"/>
      <c r="HI316" s="770"/>
      <c r="HJ316" s="770"/>
      <c r="HK316" s="770"/>
      <c r="HL316" s="770"/>
      <c r="HM316" s="770"/>
      <c r="HN316" s="770"/>
      <c r="HO316" s="770"/>
      <c r="HP316" s="770"/>
      <c r="HQ316" s="770"/>
      <c r="HR316" s="770"/>
      <c r="HS316" s="770"/>
      <c r="HT316" s="770"/>
      <c r="HU316" s="770"/>
      <c r="HV316" s="770"/>
      <c r="HW316" s="770"/>
      <c r="HX316" s="770"/>
      <c r="HY316" s="770"/>
      <c r="HZ316" s="770"/>
      <c r="IA316" s="770"/>
      <c r="IB316" s="14" t="e">
        <f>IF(#REF!&gt;0,IF(#REF!&lt;=10000,"Y",""),"")</f>
        <v>#REF!</v>
      </c>
      <c r="IC316" s="770"/>
      <c r="ID316" s="770"/>
      <c r="IE316" s="770"/>
      <c r="IF316" s="770"/>
      <c r="IG316" s="770"/>
      <c r="IH316" s="770"/>
      <c r="II316" s="770"/>
      <c r="IJ316" s="770" t="s">
        <v>1604</v>
      </c>
      <c r="IK316" s="766" t="s">
        <v>1888</v>
      </c>
      <c r="IL316" s="770" t="s">
        <v>1171</v>
      </c>
      <c r="IM316" s="770"/>
      <c r="IN316" s="770" t="s">
        <v>1171</v>
      </c>
      <c r="IO316" s="296"/>
      <c r="IP316" s="770"/>
      <c r="IQ316" s="769" t="s">
        <v>5498</v>
      </c>
      <c r="IR316" s="770" t="s">
        <v>2716</v>
      </c>
      <c r="IS316" s="770"/>
      <c r="IT316" s="770"/>
      <c r="IU316" s="770"/>
      <c r="IV316" s="770"/>
      <c r="IW316" s="770" t="s">
        <v>1171</v>
      </c>
      <c r="IX316" s="770"/>
      <c r="IY316" s="770"/>
      <c r="IZ316" s="770"/>
      <c r="JA316" s="770"/>
      <c r="JB316" s="770"/>
      <c r="JC316" s="770"/>
      <c r="JD316" s="302"/>
      <c r="JE316" s="770"/>
      <c r="JF316" s="770"/>
      <c r="JG316" s="770"/>
      <c r="JH316" s="770"/>
      <c r="JI316" s="770"/>
      <c r="JJ316" s="770"/>
      <c r="JK316" s="770"/>
      <c r="JL316" s="770"/>
      <c r="JM316" s="770"/>
      <c r="JN316" s="770"/>
      <c r="JO316" s="770"/>
      <c r="JP316" s="770"/>
      <c r="JQ316" s="770"/>
      <c r="JR316" s="770"/>
      <c r="JS316" s="770"/>
      <c r="JT316" s="766"/>
      <c r="JU316" s="766"/>
      <c r="JV316" s="766"/>
      <c r="JW316" s="766"/>
      <c r="JX316" s="770"/>
      <c r="JY316" s="770"/>
      <c r="JZ316" s="770"/>
      <c r="KA316" s="770"/>
      <c r="KB316" s="770"/>
      <c r="KC316" s="770"/>
      <c r="KD316" s="770"/>
      <c r="KE316" s="770"/>
      <c r="KF316" s="770"/>
      <c r="KG316" s="770"/>
      <c r="KH316" s="770"/>
      <c r="KI316" s="770"/>
      <c r="KJ316" s="770"/>
      <c r="KK316" s="770"/>
      <c r="KL316" s="770"/>
      <c r="KM316" s="770"/>
      <c r="KN316" s="770"/>
      <c r="KO316" s="770"/>
      <c r="KP316" s="770"/>
      <c r="KQ316" s="770"/>
      <c r="KR316" s="770"/>
      <c r="KS316" s="770"/>
      <c r="KT316" s="770"/>
      <c r="KU316" s="770"/>
      <c r="KV316" s="770"/>
      <c r="KW316" s="770"/>
      <c r="KX316" s="770"/>
      <c r="KY316" s="770"/>
      <c r="KZ316" s="770"/>
      <c r="LA316" s="770"/>
      <c r="LB316" s="770"/>
      <c r="LC316" s="770"/>
      <c r="LD316" s="770"/>
      <c r="LE316" s="770"/>
      <c r="LF316" s="770"/>
      <c r="LG316" s="770"/>
      <c r="LH316" s="770"/>
      <c r="LI316" s="770"/>
      <c r="LJ316" s="770"/>
      <c r="LK316" s="770"/>
      <c r="LL316" s="770"/>
      <c r="LM316" s="770"/>
      <c r="LN316" s="766"/>
      <c r="LO316" s="766"/>
      <c r="LP316" s="770"/>
      <c r="LQ316" s="770"/>
      <c r="LR316" s="770"/>
      <c r="LS316" s="770"/>
      <c r="LT316" s="770"/>
      <c r="LU316" s="770"/>
      <c r="LV316" s="770"/>
      <c r="LW316" s="770"/>
      <c r="LX316" s="769"/>
      <c r="LY316" s="766" t="str">
        <f t="shared" si="93"/>
        <v/>
      </c>
      <c r="LZ316" s="299"/>
      <c r="MA316" s="306"/>
      <c r="MB316" s="306"/>
      <c r="MC316" s="1679">
        <f t="shared" si="91"/>
        <v>0</v>
      </c>
      <c r="MD316" s="306"/>
      <c r="ME316" s="306"/>
      <c r="MF316" s="306"/>
      <c r="MG316" s="1680">
        <f t="shared" si="94"/>
        <v>0</v>
      </c>
      <c r="MH316" s="770"/>
      <c r="MI316" s="302"/>
      <c r="MJ316" s="302"/>
      <c r="MK316" s="302"/>
      <c r="ML316" s="302"/>
      <c r="MM316" s="302"/>
      <c r="MN316" s="302"/>
      <c r="MO316" s="302"/>
      <c r="MP316" s="302"/>
      <c r="MQ316" s="302"/>
      <c r="MR316" s="302"/>
      <c r="MS316" s="302"/>
      <c r="MT316" s="302"/>
      <c r="MU316" s="302"/>
      <c r="MV316" s="302"/>
      <c r="MW316" s="302"/>
      <c r="MX316" s="302"/>
      <c r="MY316" s="1682">
        <f t="shared" si="74"/>
        <v>0</v>
      </c>
      <c r="MZ316" s="770"/>
      <c r="NA316" s="770"/>
      <c r="NB316" s="770"/>
      <c r="NC316" s="770"/>
      <c r="ND316" s="770"/>
      <c r="NE316" s="770"/>
      <c r="NF316" s="770"/>
      <c r="NG316" s="770"/>
      <c r="NH316" s="770"/>
      <c r="NI316" s="770"/>
      <c r="NJ316" s="770"/>
      <c r="NK316" s="770"/>
      <c r="NL316" s="770"/>
      <c r="NM316" s="770"/>
      <c r="NN316" s="770"/>
      <c r="NO316" s="770"/>
      <c r="NP316" s="770"/>
      <c r="NQ316" s="770"/>
      <c r="NR316" s="770"/>
      <c r="NS316" s="770"/>
      <c r="NT316" s="770"/>
      <c r="NU316" s="770"/>
      <c r="NV316" s="770"/>
      <c r="NW316" s="770"/>
      <c r="NX316" s="770"/>
      <c r="NY316" s="770"/>
      <c r="NZ316" s="770"/>
      <c r="OA316" s="770"/>
      <c r="OB316" s="770"/>
      <c r="OC316" s="770"/>
      <c r="OD316" s="770"/>
      <c r="OE316" s="770"/>
      <c r="OF316" s="770"/>
      <c r="OG316" s="770"/>
      <c r="OH316" s="770"/>
      <c r="OI316" s="770"/>
      <c r="OJ316" s="770"/>
      <c r="OK316" s="770"/>
      <c r="OL316" s="770"/>
      <c r="OM316" s="770"/>
      <c r="ON316" s="770"/>
      <c r="OO316" s="770"/>
      <c r="OP316" s="770"/>
      <c r="OQ316" s="770"/>
      <c r="OR316" s="770"/>
      <c r="OS316" s="770"/>
      <c r="OT316" s="770"/>
      <c r="OU316" s="770"/>
      <c r="OV316" s="770"/>
      <c r="OW316" s="770"/>
      <c r="OX316" s="770"/>
      <c r="OY316" s="770"/>
      <c r="OZ316" s="770"/>
      <c r="PA316" s="770"/>
      <c r="PB316" s="770"/>
      <c r="PC316" s="770"/>
      <c r="PD316" s="770"/>
      <c r="PE316" s="770"/>
      <c r="PF316" s="770"/>
      <c r="PG316" s="770"/>
      <c r="PH316" s="770"/>
      <c r="PI316" s="770"/>
      <c r="PJ316" s="770"/>
      <c r="PK316" s="770"/>
      <c r="PL316" s="770"/>
      <c r="PM316" s="770"/>
      <c r="PN316" s="770"/>
      <c r="PO316" s="770"/>
      <c r="PP316" s="770"/>
      <c r="PQ316" s="770"/>
      <c r="PR316" s="770"/>
      <c r="PS316" s="770"/>
      <c r="PT316" s="770"/>
      <c r="PU316" s="770"/>
      <c r="PV316" s="770"/>
      <c r="PW316" s="770"/>
      <c r="PX316" s="770"/>
      <c r="PY316" s="770"/>
      <c r="PZ316" s="770"/>
      <c r="QA316" s="770"/>
      <c r="QB316" s="770"/>
      <c r="QC316" s="770"/>
      <c r="QD316" s="770"/>
      <c r="QE316" s="770"/>
      <c r="QF316" s="770"/>
      <c r="QG316" s="770"/>
      <c r="QH316" s="770"/>
      <c r="QI316" s="770"/>
      <c r="QJ316" s="770"/>
      <c r="QK316" s="770"/>
      <c r="QL316" s="770"/>
      <c r="QM316" s="770"/>
      <c r="QN316" s="770"/>
      <c r="QO316" s="770"/>
      <c r="QP316" s="770"/>
      <c r="QQ316" s="770"/>
      <c r="QR316" s="770"/>
      <c r="QS316" s="770"/>
      <c r="QT316" s="770"/>
      <c r="QU316" s="770"/>
      <c r="QV316" s="770"/>
      <c r="QW316" s="770"/>
      <c r="QX316" s="770"/>
      <c r="QY316" s="770"/>
      <c r="QZ316" s="770"/>
      <c r="RA316" s="770"/>
      <c r="RB316" s="770"/>
      <c r="RC316" s="770"/>
      <c r="RD316" s="770"/>
      <c r="RE316" s="770"/>
      <c r="RF316" s="304"/>
      <c r="RG316" s="770"/>
      <c r="RH316" s="302"/>
      <c r="RI316" s="770"/>
      <c r="RJ316" s="770"/>
      <c r="RK316" s="770"/>
      <c r="RL316" s="1710"/>
      <c r="RM316" s="12"/>
      <c r="RN316" s="1711"/>
      <c r="RO316" s="140" t="s">
        <v>539</v>
      </c>
      <c r="RP316" s="11"/>
      <c r="RQ316" s="11"/>
      <c r="RR316" s="771"/>
      <c r="RS316" s="767"/>
      <c r="RT316" s="11"/>
      <c r="RU316" s="11"/>
      <c r="RV316" s="771" t="s">
        <v>7419</v>
      </c>
      <c r="RW316" s="11" t="s">
        <v>5519</v>
      </c>
      <c r="RX316" s="11" t="s">
        <v>536</v>
      </c>
      <c r="RY316" s="11"/>
      <c r="RZ316" s="11" t="s">
        <v>1101</v>
      </c>
      <c r="SA316" s="771"/>
      <c r="SB316" s="11"/>
      <c r="SC316" s="11"/>
    </row>
    <row r="317" spans="1:497" ht="12.75" hidden="1" customHeight="1">
      <c r="A317" s="154" t="s">
        <v>14167</v>
      </c>
      <c r="B317" s="292" t="s">
        <v>7633</v>
      </c>
      <c r="C317" s="140" t="s">
        <v>539</v>
      </c>
      <c r="D317" s="770" t="s">
        <v>540</v>
      </c>
      <c r="E317" s="770" t="s">
        <v>541</v>
      </c>
      <c r="F317" s="770" t="s">
        <v>20</v>
      </c>
      <c r="G317" s="770" t="s">
        <v>18</v>
      </c>
      <c r="H317" s="770"/>
      <c r="I317" s="295"/>
      <c r="J317" s="94" t="s">
        <v>542</v>
      </c>
      <c r="K317" s="770"/>
      <c r="L317" s="770"/>
      <c r="M317" s="770"/>
      <c r="N317" s="770"/>
      <c r="O317" s="770"/>
      <c r="P317" s="770"/>
      <c r="Q317" s="1088"/>
      <c r="R317" s="297"/>
      <c r="S317" s="770"/>
      <c r="T317" s="770"/>
      <c r="U317" s="298"/>
      <c r="V317" s="770"/>
      <c r="W317" s="770"/>
      <c r="X317" s="296"/>
      <c r="Y317" s="770"/>
      <c r="Z317" s="770"/>
      <c r="AA317" s="770"/>
      <c r="AB317" s="770"/>
      <c r="AC317" s="770"/>
      <c r="AD317" s="770"/>
      <c r="AE317" s="770"/>
      <c r="AF317" s="770"/>
      <c r="AG317" s="770"/>
      <c r="AH317" s="770"/>
      <c r="AI317" s="770"/>
      <c r="AJ317" s="770"/>
      <c r="AK317" s="770" t="s">
        <v>1899</v>
      </c>
      <c r="AL317" s="299"/>
      <c r="AM317" s="300"/>
      <c r="AN317" s="301"/>
      <c r="AO317" s="766" t="s">
        <v>1098</v>
      </c>
      <c r="AP317" s="766"/>
      <c r="AQ317" s="766"/>
      <c r="AR317" s="766"/>
      <c r="AS317" s="770"/>
      <c r="AT317" s="770"/>
      <c r="AU317" s="770"/>
      <c r="AV317" s="770"/>
      <c r="AW317" s="770"/>
      <c r="AX317" s="770"/>
      <c r="AY317" s="770"/>
      <c r="AZ317" s="770"/>
      <c r="BA317" s="770"/>
      <c r="BB317" s="770"/>
      <c r="BC317" s="770"/>
      <c r="BD317" s="770"/>
      <c r="BE317" s="770"/>
      <c r="BF317" s="302"/>
      <c r="BG317" s="302"/>
      <c r="BH317" s="770"/>
      <c r="BI317" s="770"/>
      <c r="BJ317" s="770"/>
      <c r="BK317" s="770"/>
      <c r="BL317" s="770"/>
      <c r="BM317" s="770" t="s">
        <v>1238</v>
      </c>
      <c r="BN317" s="770" t="s">
        <v>1256</v>
      </c>
      <c r="BO317" s="770"/>
      <c r="BP317" s="780"/>
      <c r="BQ317" s="772"/>
      <c r="BR317" s="774"/>
      <c r="BS317" s="766" t="s">
        <v>1105</v>
      </c>
      <c r="BT317" s="766"/>
      <c r="BU317" s="770"/>
      <c r="BV317" s="770"/>
      <c r="BW317" s="770"/>
      <c r="BX317" s="302"/>
      <c r="BY317" s="303"/>
      <c r="BZ317" s="770"/>
      <c r="CA317" s="302"/>
      <c r="CB317" s="302"/>
      <c r="CC317" s="770"/>
      <c r="CD317" s="770"/>
      <c r="CE317" s="770"/>
      <c r="CF317" s="304"/>
      <c r="CG317" s="321"/>
      <c r="CH317" s="770"/>
      <c r="CI317" s="770"/>
      <c r="CJ317" s="770"/>
      <c r="CK317" s="770"/>
      <c r="CL317" s="770"/>
      <c r="CM317" s="770"/>
      <c r="CN317" s="770"/>
      <c r="CO317" s="770"/>
      <c r="CP317" s="770"/>
      <c r="CQ317" s="770"/>
      <c r="CR317" s="770"/>
      <c r="CS317" s="302"/>
      <c r="CT317" s="770"/>
      <c r="CU317" s="305"/>
      <c r="CV317" s="770"/>
      <c r="CW317" s="770"/>
      <c r="CX317" s="770"/>
      <c r="CY317" s="770"/>
      <c r="CZ317" s="770"/>
      <c r="DA317" s="306"/>
      <c r="DB317" s="770"/>
      <c r="DC317" s="770"/>
      <c r="DD317" s="770"/>
      <c r="DE317" s="300"/>
      <c r="DF317" s="770"/>
      <c r="DG317" s="770"/>
      <c r="DH317" s="770"/>
      <c r="DI317" s="770"/>
      <c r="DJ317" s="770"/>
      <c r="DK317" s="770"/>
      <c r="DL317" s="770"/>
      <c r="DM317" s="770"/>
      <c r="DN317" s="322"/>
      <c r="DO317" s="770"/>
      <c r="DP317" s="770"/>
      <c r="DQ317" s="770"/>
      <c r="DR317" s="770"/>
      <c r="DS317" s="307"/>
      <c r="DT317" s="770"/>
      <c r="DU317" s="770"/>
      <c r="DV317" s="770"/>
      <c r="DW317" s="306"/>
      <c r="DX317" s="306"/>
      <c r="DY317" s="770"/>
      <c r="DZ317" s="770"/>
      <c r="EA317" s="770"/>
      <c r="EB317" s="770"/>
      <c r="EC317" s="770"/>
      <c r="ED317" s="770"/>
      <c r="EE317" s="770"/>
      <c r="EF317" s="770"/>
      <c r="EG317" s="770"/>
      <c r="EH317" s="770"/>
      <c r="EI317" s="770"/>
      <c r="EJ317" s="770"/>
      <c r="EK317" s="770"/>
      <c r="EL317" s="770"/>
      <c r="EM317" s="770"/>
      <c r="EN317" s="770"/>
      <c r="EO317" s="770"/>
      <c r="EP317" s="94"/>
      <c r="EQ317" s="770"/>
      <c r="ER317" s="770"/>
      <c r="ES317" s="770"/>
      <c r="ET317" s="770"/>
      <c r="EU317" s="770"/>
      <c r="EV317" s="770"/>
      <c r="EW317" s="770"/>
      <c r="EX317" s="770"/>
      <c r="EY317" s="770"/>
      <c r="EZ317" s="770"/>
      <c r="FA317" s="770"/>
      <c r="FB317" s="770"/>
      <c r="FC317" s="770"/>
      <c r="FD317" s="302"/>
      <c r="FE317" s="770"/>
      <c r="FF317" s="770"/>
      <c r="FG317" s="770"/>
      <c r="FH317" s="770" t="s">
        <v>1306</v>
      </c>
      <c r="FI317" s="770">
        <v>1</v>
      </c>
      <c r="FJ317" s="770" t="s">
        <v>1171</v>
      </c>
      <c r="FK317" s="770" t="s">
        <v>1645</v>
      </c>
      <c r="FL317" s="770" t="s">
        <v>1646</v>
      </c>
      <c r="FM317" s="147">
        <v>2500</v>
      </c>
      <c r="FN317" s="302">
        <v>1300</v>
      </c>
      <c r="FO317" s="302">
        <v>700</v>
      </c>
      <c r="FP317" s="770" t="s">
        <v>1600</v>
      </c>
      <c r="FQ317" s="770" t="s">
        <v>1642</v>
      </c>
      <c r="FR317" s="770"/>
      <c r="FS317" s="770"/>
      <c r="FT317" s="770"/>
      <c r="FU317" s="770"/>
      <c r="FV317" s="770"/>
      <c r="FW317" s="770"/>
      <c r="FX317" s="770"/>
      <c r="FY317" s="770"/>
      <c r="FZ317" s="770"/>
      <c r="GA317" s="770"/>
      <c r="GB317" s="770"/>
      <c r="GC317" s="308"/>
      <c r="GD317" s="297"/>
      <c r="GE317" s="770"/>
      <c r="GF317" s="302"/>
      <c r="GG317" s="302"/>
      <c r="GH317" s="770"/>
      <c r="GI317" s="770"/>
      <c r="GJ317" s="770"/>
      <c r="GK317" s="770"/>
      <c r="GL317" s="770"/>
      <c r="GM317" s="770"/>
      <c r="GN317" s="309"/>
      <c r="GO317" s="770"/>
      <c r="GP317" s="770"/>
      <c r="GQ317" s="770"/>
      <c r="GR317" s="770"/>
      <c r="GS317" s="770"/>
      <c r="GT317" s="770"/>
      <c r="GU317" s="770"/>
      <c r="GV317" s="770"/>
      <c r="GW317" s="770"/>
      <c r="GX317" s="770"/>
      <c r="GY317" s="770"/>
      <c r="GZ317" s="770"/>
      <c r="HA317" s="770"/>
      <c r="HB317" s="770"/>
      <c r="HC317" s="770"/>
      <c r="HD317" s="770"/>
      <c r="HE317" s="770"/>
      <c r="HF317" s="770"/>
      <c r="HG317" s="770"/>
      <c r="HH317" s="770"/>
      <c r="HI317" s="770"/>
      <c r="HJ317" s="770"/>
      <c r="HK317" s="770"/>
      <c r="HL317" s="770"/>
      <c r="HM317" s="770"/>
      <c r="HN317" s="770"/>
      <c r="HO317" s="770"/>
      <c r="HP317" s="770"/>
      <c r="HQ317" s="770"/>
      <c r="HR317" s="770"/>
      <c r="HS317" s="770"/>
      <c r="HT317" s="770"/>
      <c r="HU317" s="770"/>
      <c r="HV317" s="770"/>
      <c r="HW317" s="770"/>
      <c r="HX317" s="770"/>
      <c r="HY317" s="770"/>
      <c r="HZ317" s="770"/>
      <c r="IA317" s="770"/>
      <c r="IB317" s="14" t="e">
        <f>IF(#REF!&gt;0,IF(#REF!&lt;=10000,"Y",""),"")</f>
        <v>#REF!</v>
      </c>
      <c r="IC317" s="770"/>
      <c r="ID317" s="770"/>
      <c r="IE317" s="770" t="s">
        <v>1207</v>
      </c>
      <c r="IF317" s="770"/>
      <c r="IG317" s="770"/>
      <c r="IH317" s="770"/>
      <c r="II317" s="770"/>
      <c r="IJ317" s="770"/>
      <c r="IK317" s="770"/>
      <c r="IL317" s="770"/>
      <c r="IM317" s="770"/>
      <c r="IN317" s="770"/>
      <c r="IO317" s="296"/>
      <c r="IP317" s="770"/>
      <c r="IQ317" s="770"/>
      <c r="IR317" s="770"/>
      <c r="IS317" s="770"/>
      <c r="IT317" s="770"/>
      <c r="IU317" s="770"/>
      <c r="IV317" s="770"/>
      <c r="IW317" s="770"/>
      <c r="IX317" s="770"/>
      <c r="IY317" s="770"/>
      <c r="IZ317" s="770"/>
      <c r="JA317" s="770"/>
      <c r="JB317" s="770"/>
      <c r="JC317" s="770"/>
      <c r="JD317" s="302"/>
      <c r="JE317" s="770"/>
      <c r="JF317" s="770"/>
      <c r="JG317" s="770"/>
      <c r="JH317" s="770"/>
      <c r="JI317" s="770"/>
      <c r="JJ317" s="770"/>
      <c r="JK317" s="770"/>
      <c r="JL317" s="770"/>
      <c r="JM317" s="770"/>
      <c r="JN317" s="770"/>
      <c r="JO317" s="770"/>
      <c r="JP317" s="770"/>
      <c r="JQ317" s="770"/>
      <c r="JR317" s="770"/>
      <c r="JS317" s="770"/>
      <c r="JT317" s="766"/>
      <c r="JU317" s="766"/>
      <c r="JV317" s="766"/>
      <c r="JW317" s="766"/>
      <c r="JX317" s="770"/>
      <c r="JY317" s="770"/>
      <c r="JZ317" s="770"/>
      <c r="KA317" s="770"/>
      <c r="KB317" s="770"/>
      <c r="KC317" s="770"/>
      <c r="KD317" s="770"/>
      <c r="KE317" s="770"/>
      <c r="KF317" s="770"/>
      <c r="KG317" s="770"/>
      <c r="KH317" s="770"/>
      <c r="KI317" s="770"/>
      <c r="KJ317" s="770"/>
      <c r="KK317" s="770"/>
      <c r="KL317" s="770"/>
      <c r="KM317" s="770"/>
      <c r="KN317" s="770"/>
      <c r="KO317" s="770"/>
      <c r="KP317" s="770"/>
      <c r="KQ317" s="770"/>
      <c r="KR317" s="770"/>
      <c r="KS317" s="770"/>
      <c r="KT317" s="770"/>
      <c r="KU317" s="770"/>
      <c r="KV317" s="770"/>
      <c r="KW317" s="770"/>
      <c r="KX317" s="770"/>
      <c r="KY317" s="770"/>
      <c r="KZ317" s="770"/>
      <c r="LA317" s="770"/>
      <c r="LB317" s="770"/>
      <c r="LC317" s="770"/>
      <c r="LD317" s="770"/>
      <c r="LE317" s="770"/>
      <c r="LF317" s="770"/>
      <c r="LG317" s="770"/>
      <c r="LH317" s="770"/>
      <c r="LI317" s="770"/>
      <c r="LJ317" s="770"/>
      <c r="LK317" s="770"/>
      <c r="LL317" s="770"/>
      <c r="LM317" s="770"/>
      <c r="LN317" s="766"/>
      <c r="LO317" s="766"/>
      <c r="LP317" s="770"/>
      <c r="LQ317" s="770"/>
      <c r="LR317" s="770"/>
      <c r="LS317" s="770"/>
      <c r="LT317" s="770"/>
      <c r="LU317" s="770"/>
      <c r="LV317" s="770"/>
      <c r="LW317" s="770"/>
      <c r="LX317" s="769"/>
      <c r="LY317" s="766" t="str">
        <f t="shared" si="93"/>
        <v/>
      </c>
      <c r="LZ317" s="299"/>
      <c r="MA317" s="306"/>
      <c r="MB317" s="306"/>
      <c r="MC317" s="1679">
        <f t="shared" si="91"/>
        <v>0</v>
      </c>
      <c r="MD317" s="306"/>
      <c r="ME317" s="306"/>
      <c r="MF317" s="306"/>
      <c r="MG317" s="1680">
        <f t="shared" si="94"/>
        <v>0</v>
      </c>
      <c r="MH317" s="770"/>
      <c r="MI317" s="302"/>
      <c r="MJ317" s="302"/>
      <c r="MK317" s="302"/>
      <c r="ML317" s="302"/>
      <c r="MM317" s="302"/>
      <c r="MN317" s="302"/>
      <c r="MO317" s="302"/>
      <c r="MP317" s="302"/>
      <c r="MQ317" s="302"/>
      <c r="MR317" s="302"/>
      <c r="MS317" s="302"/>
      <c r="MT317" s="302"/>
      <c r="MU317" s="302"/>
      <c r="MV317" s="302"/>
      <c r="MW317" s="302"/>
      <c r="MX317" s="302"/>
      <c r="MY317" s="1682">
        <f t="shared" si="74"/>
        <v>0</v>
      </c>
      <c r="MZ317" s="770" t="s">
        <v>13370</v>
      </c>
      <c r="NA317" s="770" t="s">
        <v>13230</v>
      </c>
      <c r="NB317" s="770" t="s">
        <v>13371</v>
      </c>
      <c r="NC317" s="770" t="s">
        <v>13007</v>
      </c>
      <c r="ND317" s="770">
        <v>0</v>
      </c>
      <c r="NE317" s="770">
        <v>0</v>
      </c>
      <c r="NF317" s="770">
        <v>0</v>
      </c>
      <c r="NG317" s="770">
        <v>2</v>
      </c>
      <c r="NH317" s="770">
        <v>2</v>
      </c>
      <c r="NI317" s="770">
        <v>0</v>
      </c>
      <c r="NJ317" s="770">
        <v>1</v>
      </c>
      <c r="NK317" s="770">
        <v>0</v>
      </c>
      <c r="NL317" s="770">
        <v>0</v>
      </c>
      <c r="NM317" s="770">
        <v>0</v>
      </c>
      <c r="NN317" s="770">
        <v>0</v>
      </c>
      <c r="NO317" s="770">
        <v>1</v>
      </c>
      <c r="NP317" s="770">
        <v>0</v>
      </c>
      <c r="NQ317" s="770">
        <v>0</v>
      </c>
      <c r="NR317" s="770">
        <v>0</v>
      </c>
      <c r="NS317" s="770">
        <v>0</v>
      </c>
      <c r="NT317" s="770">
        <v>0</v>
      </c>
      <c r="NU317" s="770">
        <v>0</v>
      </c>
      <c r="NV317" s="770">
        <v>0</v>
      </c>
      <c r="NW317" s="770">
        <v>0</v>
      </c>
      <c r="NX317" s="770">
        <v>0</v>
      </c>
      <c r="NY317" s="770" t="s">
        <v>1208</v>
      </c>
      <c r="NZ317" s="770" t="s">
        <v>1208</v>
      </c>
      <c r="OA317" s="770" t="s">
        <v>1208</v>
      </c>
      <c r="OB317" s="770" t="s">
        <v>1208</v>
      </c>
      <c r="OC317" s="770" t="s">
        <v>1208</v>
      </c>
      <c r="OD317" s="770" t="s">
        <v>1208</v>
      </c>
      <c r="OE317" s="770"/>
      <c r="OF317" s="770"/>
      <c r="OG317" s="770"/>
      <c r="OH317" s="770"/>
      <c r="OI317" s="770"/>
      <c r="OJ317" s="770"/>
      <c r="OK317" s="770"/>
      <c r="OL317" s="770"/>
      <c r="OM317" s="770"/>
      <c r="ON317" s="770"/>
      <c r="OO317" s="770"/>
      <c r="OP317" s="770"/>
      <c r="OQ317" s="770"/>
      <c r="OR317" s="770"/>
      <c r="OS317" s="770"/>
      <c r="OT317" s="770"/>
      <c r="OU317" s="770"/>
      <c r="OV317" s="770"/>
      <c r="OW317" s="770"/>
      <c r="OX317" s="770"/>
      <c r="OY317" s="770"/>
      <c r="OZ317" s="770"/>
      <c r="PA317" s="770"/>
      <c r="PB317" s="770"/>
      <c r="PC317" s="770"/>
      <c r="PD317" s="770"/>
      <c r="PE317" s="770"/>
      <c r="PF317" s="770"/>
      <c r="PG317" s="770"/>
      <c r="PH317" s="770"/>
      <c r="PI317" s="770"/>
      <c r="PJ317" s="770"/>
      <c r="PK317" s="770"/>
      <c r="PL317" s="770"/>
      <c r="PM317" s="770"/>
      <c r="PN317" s="770"/>
      <c r="PO317" s="770"/>
      <c r="PP317" s="770"/>
      <c r="PQ317" s="770"/>
      <c r="PR317" s="770"/>
      <c r="PS317" s="770"/>
      <c r="PT317" s="770"/>
      <c r="PU317" s="770"/>
      <c r="PV317" s="770"/>
      <c r="PW317" s="770"/>
      <c r="PX317" s="770"/>
      <c r="PY317" s="770"/>
      <c r="PZ317" s="770"/>
      <c r="QA317" s="770"/>
      <c r="QB317" s="770"/>
      <c r="QC317" s="770"/>
      <c r="QD317" s="770"/>
      <c r="QE317" s="770"/>
      <c r="QF317" s="770"/>
      <c r="QG317" s="770"/>
      <c r="QH317" s="770"/>
      <c r="QI317" s="770"/>
      <c r="QJ317" s="770"/>
      <c r="QK317" s="770"/>
      <c r="QL317" s="770"/>
      <c r="QM317" s="770"/>
      <c r="QN317" s="770"/>
      <c r="QO317" s="770"/>
      <c r="QP317" s="770"/>
      <c r="QQ317" s="770"/>
      <c r="QR317" s="770"/>
      <c r="QS317" s="770"/>
      <c r="QT317" s="770"/>
      <c r="QU317" s="770"/>
      <c r="QV317" s="770"/>
      <c r="QW317" s="770"/>
      <c r="QX317" s="770"/>
      <c r="QY317" s="770"/>
      <c r="QZ317" s="770"/>
      <c r="RA317" s="770"/>
      <c r="RB317" s="770" t="s">
        <v>1207</v>
      </c>
      <c r="RC317" s="770">
        <v>2015</v>
      </c>
      <c r="RD317" s="770" t="s">
        <v>13450</v>
      </c>
      <c r="RE317" s="770" t="s">
        <v>12990</v>
      </c>
      <c r="RF317" s="304">
        <f>CONVERT(3,"in","m")</f>
        <v>7.6200000000000004E-2</v>
      </c>
      <c r="RG317" s="770" t="s">
        <v>13047</v>
      </c>
      <c r="RH317" s="302">
        <v>700</v>
      </c>
      <c r="RI317" s="770">
        <v>1</v>
      </c>
      <c r="RJ317" s="770" t="s">
        <v>13451</v>
      </c>
      <c r="RK317" s="770" t="s">
        <v>13381</v>
      </c>
      <c r="RL317" s="1710" t="s">
        <v>1604</v>
      </c>
      <c r="RM317" s="12"/>
      <c r="RN317" s="1711"/>
      <c r="RO317" s="140" t="s">
        <v>539</v>
      </c>
      <c r="RP317" s="11"/>
      <c r="RQ317" s="11"/>
      <c r="RR317" s="771"/>
      <c r="RS317" s="767"/>
      <c r="RT317" s="11"/>
      <c r="RU317" s="11"/>
      <c r="RV317" s="771" t="s">
        <v>8082</v>
      </c>
      <c r="RW317" s="11" t="s">
        <v>7631</v>
      </c>
      <c r="RX317" s="11" t="s">
        <v>536</v>
      </c>
      <c r="RY317" s="11"/>
      <c r="RZ317" s="11"/>
      <c r="SA317" s="771"/>
      <c r="SB317" s="11"/>
      <c r="SC317" s="11"/>
    </row>
    <row r="318" spans="1:497" ht="12.75" customHeight="1">
      <c r="A318" s="767" t="s">
        <v>7421</v>
      </c>
      <c r="B318" s="292" t="s">
        <v>11726</v>
      </c>
      <c r="C318" s="140" t="s">
        <v>543</v>
      </c>
      <c r="D318" s="94" t="s">
        <v>5520</v>
      </c>
      <c r="E318" s="766" t="s">
        <v>544</v>
      </c>
      <c r="F318" s="770" t="s">
        <v>28</v>
      </c>
      <c r="G318" s="770" t="s">
        <v>10</v>
      </c>
      <c r="H318" s="770"/>
      <c r="I318" s="295" t="s">
        <v>545</v>
      </c>
      <c r="J318" s="94" t="s">
        <v>5520</v>
      </c>
      <c r="K318" s="770"/>
      <c r="L318" s="770"/>
      <c r="M318" s="770"/>
      <c r="N318" s="770"/>
      <c r="O318" s="770"/>
      <c r="P318" s="94" t="s">
        <v>1023</v>
      </c>
      <c r="Q318" s="1088">
        <v>24032</v>
      </c>
      <c r="R318" s="297">
        <v>51</v>
      </c>
      <c r="S318" s="770" t="s">
        <v>10</v>
      </c>
      <c r="T318" s="770"/>
      <c r="U318" s="298" t="s">
        <v>5351</v>
      </c>
      <c r="V318" s="770" t="s">
        <v>722</v>
      </c>
      <c r="W318" s="770" t="s">
        <v>11723</v>
      </c>
      <c r="X318" s="296"/>
      <c r="Y318" s="770" t="s">
        <v>1024</v>
      </c>
      <c r="Z318" s="770" t="s">
        <v>708</v>
      </c>
      <c r="AA318" s="770" t="s">
        <v>732</v>
      </c>
      <c r="AB318" s="766" t="s">
        <v>7274</v>
      </c>
      <c r="AC318" s="770"/>
      <c r="AD318" s="770"/>
      <c r="AE318" s="770" t="s">
        <v>1025</v>
      </c>
      <c r="AF318" s="770" t="s">
        <v>798</v>
      </c>
      <c r="AG318" s="766" t="s">
        <v>1132</v>
      </c>
      <c r="AH318" s="766" t="s">
        <v>1096</v>
      </c>
      <c r="AI318" s="770"/>
      <c r="AJ318" s="770" t="s">
        <v>1137</v>
      </c>
      <c r="AK318" s="770" t="s">
        <v>1101</v>
      </c>
      <c r="AL318" s="299"/>
      <c r="AM318" s="300"/>
      <c r="AN318" s="301"/>
      <c r="AO318" s="766" t="s">
        <v>1122</v>
      </c>
      <c r="AP318" s="766"/>
      <c r="AQ318" s="766"/>
      <c r="AR318" s="766"/>
      <c r="AS318" s="770"/>
      <c r="AT318" s="770"/>
      <c r="AU318" s="770"/>
      <c r="AV318" s="770"/>
      <c r="AW318" s="770"/>
      <c r="AX318" s="770"/>
      <c r="AY318" s="770"/>
      <c r="AZ318" s="770"/>
      <c r="BA318" s="770"/>
      <c r="BB318" s="770"/>
      <c r="BC318" s="770"/>
      <c r="BD318" s="770"/>
      <c r="BE318" s="770"/>
      <c r="BF318" s="302"/>
      <c r="BG318" s="302"/>
      <c r="BH318" s="770"/>
      <c r="BI318" s="770"/>
      <c r="BJ318" s="770"/>
      <c r="BK318" s="770" t="s">
        <v>1095</v>
      </c>
      <c r="BL318" s="770" t="s">
        <v>11863</v>
      </c>
      <c r="BM318" s="766" t="s">
        <v>1096</v>
      </c>
      <c r="BN318" s="770" t="s">
        <v>1230</v>
      </c>
      <c r="BO318" s="766" t="s">
        <v>1246</v>
      </c>
      <c r="BP318" s="1111">
        <v>10</v>
      </c>
      <c r="BQ318" s="772">
        <v>10</v>
      </c>
      <c r="BR318" s="774">
        <f>BQ318/BP318</f>
        <v>1</v>
      </c>
      <c r="BS318" s="766" t="s">
        <v>1257</v>
      </c>
      <c r="BT318" s="766" t="s">
        <v>8133</v>
      </c>
      <c r="BU318" s="766" t="s">
        <v>1267</v>
      </c>
      <c r="BV318" s="770" t="s">
        <v>1247</v>
      </c>
      <c r="BW318" s="769"/>
      <c r="BX318" s="302"/>
      <c r="BY318" s="303"/>
      <c r="BZ318" s="770"/>
      <c r="CA318" s="302"/>
      <c r="CB318" s="302"/>
      <c r="CC318" s="770"/>
      <c r="CD318" s="770"/>
      <c r="CE318" s="770"/>
      <c r="CF318" s="304"/>
      <c r="CG318" s="321"/>
      <c r="CH318" s="770"/>
      <c r="CI318" s="770"/>
      <c r="CJ318" s="770"/>
      <c r="CK318" s="770"/>
      <c r="CL318" s="770"/>
      <c r="CM318" s="770"/>
      <c r="CN318" s="770"/>
      <c r="CO318" s="770"/>
      <c r="CP318" s="770"/>
      <c r="CQ318" s="770"/>
      <c r="CR318" s="770"/>
      <c r="CS318" s="302"/>
      <c r="CT318" s="770"/>
      <c r="CU318" s="305"/>
      <c r="CV318" s="770"/>
      <c r="CW318" s="770"/>
      <c r="CX318" s="770"/>
      <c r="CY318" s="770"/>
      <c r="CZ318" s="770"/>
      <c r="DA318" s="306"/>
      <c r="DB318" s="770"/>
      <c r="DC318" s="770"/>
      <c r="DD318" s="770"/>
      <c r="DE318" s="300"/>
      <c r="DF318" s="770"/>
      <c r="DG318" s="770"/>
      <c r="DH318" s="770"/>
      <c r="DI318" s="770"/>
      <c r="DJ318" s="770"/>
      <c r="DK318" s="770"/>
      <c r="DL318" s="770"/>
      <c r="DM318" s="770"/>
      <c r="DN318" s="322"/>
      <c r="DO318" s="770"/>
      <c r="DP318" s="770"/>
      <c r="DQ318" s="770"/>
      <c r="DR318" s="770"/>
      <c r="DS318" s="307"/>
      <c r="DT318" s="770"/>
      <c r="DU318" s="770"/>
      <c r="DV318" s="770"/>
      <c r="DW318" s="306"/>
      <c r="DX318" s="306"/>
      <c r="DY318" s="770"/>
      <c r="DZ318" s="770"/>
      <c r="EA318" s="770"/>
      <c r="EB318" s="770"/>
      <c r="EC318" s="770"/>
      <c r="ED318" s="770"/>
      <c r="EE318" s="770"/>
      <c r="EF318" s="770"/>
      <c r="EG318" s="770"/>
      <c r="EH318" s="770"/>
      <c r="EI318" s="770"/>
      <c r="EJ318" s="770"/>
      <c r="EK318" s="770"/>
      <c r="EL318" s="770"/>
      <c r="EM318" s="770"/>
      <c r="EN318" s="770"/>
      <c r="EO318" s="770"/>
      <c r="EP318" s="94"/>
      <c r="EQ318" s="770"/>
      <c r="ER318" s="770"/>
      <c r="ES318" s="770"/>
      <c r="ET318" s="770"/>
      <c r="EU318" s="770"/>
      <c r="EV318" s="770"/>
      <c r="EW318" s="770"/>
      <c r="EX318" s="770"/>
      <c r="EY318" s="770"/>
      <c r="EZ318" s="770"/>
      <c r="FA318" s="770"/>
      <c r="FB318" s="770"/>
      <c r="FC318" s="770"/>
      <c r="FD318" s="302"/>
      <c r="FE318" s="770"/>
      <c r="FF318" s="770"/>
      <c r="FG318" s="770"/>
      <c r="FH318" s="770" t="s">
        <v>1306</v>
      </c>
      <c r="FI318" s="770">
        <v>1</v>
      </c>
      <c r="FJ318" s="770" t="s">
        <v>11724</v>
      </c>
      <c r="FK318" s="770" t="s">
        <v>1647</v>
      </c>
      <c r="FL318" s="770" t="s">
        <v>1648</v>
      </c>
      <c r="FM318" s="147">
        <v>1000</v>
      </c>
      <c r="FN318" s="302">
        <v>200</v>
      </c>
      <c r="FO318" s="302">
        <v>200</v>
      </c>
      <c r="FP318" s="766" t="s">
        <v>1602</v>
      </c>
      <c r="FQ318" s="766" t="s">
        <v>1660</v>
      </c>
      <c r="FR318" s="770"/>
      <c r="FS318" s="770"/>
      <c r="FT318" s="770"/>
      <c r="FU318" s="770"/>
      <c r="FV318" s="770"/>
      <c r="FW318" s="770"/>
      <c r="FX318" s="770"/>
      <c r="FY318" s="770"/>
      <c r="FZ318" s="770"/>
      <c r="GA318" s="770"/>
      <c r="GB318" s="770"/>
      <c r="GC318" s="308"/>
      <c r="GD318" s="297"/>
      <c r="GE318" s="770"/>
      <c r="GF318" s="302"/>
      <c r="GG318" s="302"/>
      <c r="GH318" s="712" t="s">
        <v>1791</v>
      </c>
      <c r="GI318" s="770" t="s">
        <v>2352</v>
      </c>
      <c r="GJ318" s="770" t="s">
        <v>11725</v>
      </c>
      <c r="GK318" s="770" t="s">
        <v>2345</v>
      </c>
      <c r="GL318" s="770"/>
      <c r="GM318" s="770"/>
      <c r="GN318" s="309">
        <f>2800/20</f>
        <v>140</v>
      </c>
      <c r="GO318" s="770" t="s">
        <v>11373</v>
      </c>
      <c r="GP318" s="770" t="s">
        <v>1208</v>
      </c>
      <c r="GQ318" s="770" t="s">
        <v>1208</v>
      </c>
      <c r="GR318" s="770"/>
      <c r="GS318" s="770" t="s">
        <v>1208</v>
      </c>
      <c r="GT318" s="770" t="s">
        <v>1208</v>
      </c>
      <c r="GU318" s="770"/>
      <c r="GV318" s="770"/>
      <c r="GW318" s="770" t="s">
        <v>1207</v>
      </c>
      <c r="GX318" s="770"/>
      <c r="GY318" s="770" t="s">
        <v>1208</v>
      </c>
      <c r="GZ318" s="770"/>
      <c r="HA318" s="770" t="s">
        <v>1208</v>
      </c>
      <c r="HB318" s="770" t="s">
        <v>1208</v>
      </c>
      <c r="HC318" s="770" t="s">
        <v>1208</v>
      </c>
      <c r="HD318" s="770" t="s">
        <v>1208</v>
      </c>
      <c r="HE318" s="770" t="s">
        <v>1208</v>
      </c>
      <c r="HF318" s="770"/>
      <c r="HG318" s="770"/>
      <c r="HH318" s="770"/>
      <c r="HI318" s="770" t="s">
        <v>1214</v>
      </c>
      <c r="HJ318" s="770"/>
      <c r="HK318" s="770"/>
      <c r="HL318" s="770" t="s">
        <v>1214</v>
      </c>
      <c r="HM318" s="770"/>
      <c r="HN318" s="770"/>
      <c r="HO318" s="770"/>
      <c r="HP318" s="770"/>
      <c r="HQ318" s="770"/>
      <c r="HR318" s="770"/>
      <c r="HS318" s="770"/>
      <c r="HT318" s="770"/>
      <c r="HU318" s="770"/>
      <c r="HV318" s="770"/>
      <c r="HW318" s="770"/>
      <c r="HX318" s="770"/>
      <c r="HY318" s="770"/>
      <c r="HZ318" s="770"/>
      <c r="IA318" s="770"/>
      <c r="IB318" s="14" t="e">
        <f>IF(#REF!&gt;0,IF(#REF!&lt;=10000,"Y",""),"")</f>
        <v>#REF!</v>
      </c>
      <c r="IC318" s="770"/>
      <c r="ID318" s="770"/>
      <c r="IE318" s="770"/>
      <c r="IF318" s="770"/>
      <c r="IG318" s="770"/>
      <c r="IH318" s="770"/>
      <c r="II318" s="770"/>
      <c r="IJ318" s="770"/>
      <c r="IK318" s="770"/>
      <c r="IL318" s="770"/>
      <c r="IM318" s="770"/>
      <c r="IN318" s="770"/>
      <c r="IO318" s="296"/>
      <c r="IP318" s="770"/>
      <c r="IQ318" s="770"/>
      <c r="IR318" s="770"/>
      <c r="IS318" s="770"/>
      <c r="IT318" s="770"/>
      <c r="IU318" s="770"/>
      <c r="IV318" s="770"/>
      <c r="IW318" s="770"/>
      <c r="IX318" s="770"/>
      <c r="IY318" s="770"/>
      <c r="IZ318" s="770"/>
      <c r="JA318" s="770"/>
      <c r="JB318" s="770"/>
      <c r="JC318" s="770"/>
      <c r="JD318" s="302"/>
      <c r="JE318" s="770"/>
      <c r="JF318" s="770"/>
      <c r="JG318" s="770"/>
      <c r="JH318" s="770"/>
      <c r="JI318" s="712" t="str">
        <f>IF(SUM(JT318,JU318)=JJ318,"ok","review")</f>
        <v>ok</v>
      </c>
      <c r="JJ318" s="770">
        <v>2</v>
      </c>
      <c r="JK318" s="1139" t="s">
        <v>2113</v>
      </c>
      <c r="JL318" s="770"/>
      <c r="JM318" s="770"/>
      <c r="JN318" s="770">
        <v>1</v>
      </c>
      <c r="JO318" s="770">
        <v>1</v>
      </c>
      <c r="JP318" s="770"/>
      <c r="JQ318" s="770"/>
      <c r="JR318" s="770"/>
      <c r="JS318" s="770"/>
      <c r="JT318" s="766">
        <f t="shared" ref="JT318:JU320" si="95">SUM(JP318,JN318,JL318,JR318)</f>
        <v>1</v>
      </c>
      <c r="JU318" s="766">
        <f t="shared" si="95"/>
        <v>1</v>
      </c>
      <c r="JV318" s="712" t="str">
        <f>IF(JT318=KJ318,"ok","male")</f>
        <v>ok</v>
      </c>
      <c r="JW318" s="712" t="str">
        <f>IF(JU318=KK318,"ok","female")</f>
        <v>ok</v>
      </c>
      <c r="JX318" s="770"/>
      <c r="JY318" s="770"/>
      <c r="JZ318" s="770"/>
      <c r="KA318" s="770"/>
      <c r="KB318" s="770"/>
      <c r="KC318" s="770"/>
      <c r="KD318" s="770">
        <v>1</v>
      </c>
      <c r="KE318" s="770">
        <v>1</v>
      </c>
      <c r="KF318" s="770"/>
      <c r="KG318" s="770"/>
      <c r="KH318" s="770"/>
      <c r="KI318" s="770"/>
      <c r="KJ318" s="770">
        <f t="shared" si="86"/>
        <v>1</v>
      </c>
      <c r="KK318" s="770">
        <f t="shared" si="86"/>
        <v>1</v>
      </c>
      <c r="KL318" s="712" t="str">
        <f>IF(KJ318=LN318,"ok","male")</f>
        <v>ok</v>
      </c>
      <c r="KM318" s="712" t="str">
        <f>IF(KK318=LO318,"ok","female")</f>
        <v>ok</v>
      </c>
      <c r="KN318" s="770" t="s">
        <v>722</v>
      </c>
      <c r="KO318" s="770"/>
      <c r="KP318" s="770"/>
      <c r="KQ318" s="770"/>
      <c r="KR318" s="770"/>
      <c r="KS318" s="770"/>
      <c r="KT318" s="770"/>
      <c r="KU318" s="770"/>
      <c r="KV318" s="770"/>
      <c r="KW318" s="770"/>
      <c r="KX318" s="770">
        <v>1</v>
      </c>
      <c r="KY318" s="770"/>
      <c r="KZ318" s="770"/>
      <c r="LA318" s="770"/>
      <c r="LB318" s="770"/>
      <c r="LC318" s="770"/>
      <c r="LD318" s="770"/>
      <c r="LE318" s="770">
        <v>1</v>
      </c>
      <c r="LF318" s="770"/>
      <c r="LG318" s="770"/>
      <c r="LH318" s="770"/>
      <c r="LI318" s="770"/>
      <c r="LJ318" s="770"/>
      <c r="LK318" s="770"/>
      <c r="LL318" s="770"/>
      <c r="LM318" s="770"/>
      <c r="LN318" s="766">
        <f t="shared" ref="LN318:LO320" si="96">SUM(KP318,KR318,KT318,KV318,KX318,KZ318,LB318,LD318,LF318,LH318,LJ318,LL318)</f>
        <v>1</v>
      </c>
      <c r="LO318" s="766">
        <f t="shared" si="96"/>
        <v>1</v>
      </c>
      <c r="LP318" s="770">
        <v>2</v>
      </c>
      <c r="LQ318" s="770">
        <v>1</v>
      </c>
      <c r="LR318" s="770"/>
      <c r="LS318" s="770">
        <v>1</v>
      </c>
      <c r="LT318" s="712" t="str">
        <f>IF(LQ318=SUM(LU318:LW318),"OK","REV")</f>
        <v>OK</v>
      </c>
      <c r="LU318" s="770"/>
      <c r="LV318" s="770"/>
      <c r="LW318" s="770">
        <v>1</v>
      </c>
      <c r="LX318" s="769">
        <v>1</v>
      </c>
      <c r="LY318" s="766" t="str">
        <f t="shared" si="93"/>
        <v>within the BRGY</v>
      </c>
      <c r="LZ318" s="299"/>
      <c r="MA318" s="306"/>
      <c r="MB318" s="306"/>
      <c r="MC318" s="1679">
        <f t="shared" si="91"/>
        <v>0</v>
      </c>
      <c r="MD318" s="306">
        <v>7500</v>
      </c>
      <c r="ME318" s="306"/>
      <c r="MF318" s="306">
        <v>1000</v>
      </c>
      <c r="MG318" s="1680">
        <f t="shared" si="94"/>
        <v>8500</v>
      </c>
      <c r="MH318" s="770" t="s">
        <v>2199</v>
      </c>
      <c r="MI318" s="302">
        <v>4500</v>
      </c>
      <c r="MJ318" s="302"/>
      <c r="MK318" s="302">
        <v>42</v>
      </c>
      <c r="ML318" s="302">
        <v>50</v>
      </c>
      <c r="MM318" s="302">
        <v>1000</v>
      </c>
      <c r="MN318" s="302">
        <v>70</v>
      </c>
      <c r="MO318" s="302">
        <v>200</v>
      </c>
      <c r="MP318" s="302">
        <v>560</v>
      </c>
      <c r="MQ318" s="302">
        <v>200</v>
      </c>
      <c r="MR318" s="302"/>
      <c r="MS318" s="302"/>
      <c r="MT318" s="302"/>
      <c r="MU318" s="302"/>
      <c r="MV318" s="302"/>
      <c r="MW318" s="302"/>
      <c r="MX318" s="302"/>
      <c r="MY318" s="1682">
        <f t="shared" si="74"/>
        <v>6622</v>
      </c>
      <c r="MZ318" s="770" t="s">
        <v>13164</v>
      </c>
      <c r="NA318" s="770" t="s">
        <v>13452</v>
      </c>
      <c r="NB318" s="770" t="s">
        <v>13164</v>
      </c>
      <c r="NC318" s="770" t="s">
        <v>13135</v>
      </c>
      <c r="ND318" s="770">
        <v>0</v>
      </c>
      <c r="NE318" s="770">
        <v>0</v>
      </c>
      <c r="NF318" s="770">
        <v>0</v>
      </c>
      <c r="NG318" s="770">
        <v>1</v>
      </c>
      <c r="NH318" s="770">
        <v>0</v>
      </c>
      <c r="NI318" s="770">
        <v>0</v>
      </c>
      <c r="NJ318" s="770">
        <v>0</v>
      </c>
      <c r="NK318" s="770">
        <v>0</v>
      </c>
      <c r="NL318" s="770">
        <v>0</v>
      </c>
      <c r="NM318" s="770">
        <v>0</v>
      </c>
      <c r="NN318" s="770">
        <v>0</v>
      </c>
      <c r="NO318" s="770">
        <v>0</v>
      </c>
      <c r="NP318" s="770">
        <v>0</v>
      </c>
      <c r="NQ318" s="770">
        <v>0</v>
      </c>
      <c r="NR318" s="770">
        <v>0</v>
      </c>
      <c r="NS318" s="770">
        <v>0</v>
      </c>
      <c r="NT318" s="770">
        <v>0</v>
      </c>
      <c r="NU318" s="770">
        <v>0</v>
      </c>
      <c r="NV318" s="770">
        <v>0</v>
      </c>
      <c r="NW318" s="770">
        <v>0</v>
      </c>
      <c r="NX318" s="770">
        <v>2</v>
      </c>
      <c r="NY318" s="770" t="s">
        <v>1208</v>
      </c>
      <c r="NZ318" s="770"/>
      <c r="OA318" s="770"/>
      <c r="OB318" s="770" t="s">
        <v>1208</v>
      </c>
      <c r="OC318" s="770" t="s">
        <v>1208</v>
      </c>
      <c r="OD318" s="770" t="s">
        <v>1208</v>
      </c>
      <c r="OE318" s="770"/>
      <c r="OF318" s="770"/>
      <c r="OG318" s="770"/>
      <c r="OH318" s="770"/>
      <c r="OI318" s="770"/>
      <c r="OJ318" s="770"/>
      <c r="OK318" s="770"/>
      <c r="OL318" s="770"/>
      <c r="OM318" s="770"/>
      <c r="ON318" s="770"/>
      <c r="OO318" s="770"/>
      <c r="OP318" s="770"/>
      <c r="OQ318" s="770"/>
      <c r="OR318" s="770"/>
      <c r="OS318" s="770"/>
      <c r="OT318" s="770"/>
      <c r="OU318" s="770"/>
      <c r="OV318" s="770"/>
      <c r="OW318" s="770"/>
      <c r="OX318" s="770"/>
      <c r="OY318" s="770"/>
      <c r="OZ318" s="770"/>
      <c r="PA318" s="770"/>
      <c r="PB318" s="770"/>
      <c r="PC318" s="770"/>
      <c r="PD318" s="770"/>
      <c r="PE318" s="770"/>
      <c r="PF318" s="770"/>
      <c r="PG318" s="770"/>
      <c r="PH318" s="770"/>
      <c r="PI318" s="770"/>
      <c r="PJ318" s="770"/>
      <c r="PK318" s="770"/>
      <c r="PL318" s="770"/>
      <c r="PM318" s="770"/>
      <c r="PN318" s="770"/>
      <c r="PO318" s="770"/>
      <c r="PP318" s="770"/>
      <c r="PQ318" s="770"/>
      <c r="PR318" s="770"/>
      <c r="PS318" s="770"/>
      <c r="PT318" s="770"/>
      <c r="PU318" s="770"/>
      <c r="PV318" s="770"/>
      <c r="PW318" s="770"/>
      <c r="PX318" s="770"/>
      <c r="PY318" s="770"/>
      <c r="PZ318" s="770"/>
      <c r="QA318" s="770"/>
      <c r="QB318" s="770"/>
      <c r="QC318" s="770"/>
      <c r="QD318" s="770"/>
      <c r="QE318" s="770"/>
      <c r="QF318" s="770"/>
      <c r="QG318" s="770"/>
      <c r="QH318" s="770"/>
      <c r="QI318" s="770"/>
      <c r="QJ318" s="770"/>
      <c r="QK318" s="770"/>
      <c r="QL318" s="770"/>
      <c r="QM318" s="770"/>
      <c r="QN318" s="770"/>
      <c r="QO318" s="770"/>
      <c r="QP318" s="770"/>
      <c r="QQ318" s="770"/>
      <c r="QR318" s="770"/>
      <c r="QS318" s="770"/>
      <c r="QT318" s="770"/>
      <c r="QU318" s="770"/>
      <c r="QV318" s="770"/>
      <c r="QW318" s="770"/>
      <c r="QX318" s="770"/>
      <c r="QY318" s="770"/>
      <c r="QZ318" s="770"/>
      <c r="RA318" s="770"/>
      <c r="RB318" s="770" t="s">
        <v>1214</v>
      </c>
      <c r="RC318" s="770"/>
      <c r="RD318" s="770"/>
      <c r="RE318" s="770"/>
      <c r="RF318" s="304"/>
      <c r="RG318" s="770"/>
      <c r="RH318" s="302"/>
      <c r="RI318" s="770"/>
      <c r="RJ318" s="770" t="s">
        <v>13453</v>
      </c>
      <c r="RK318" s="770" t="s">
        <v>13381</v>
      </c>
      <c r="RL318" s="1710" t="s">
        <v>1604</v>
      </c>
      <c r="RM318" s="12"/>
      <c r="RN318" s="1711"/>
      <c r="RO318" s="140" t="s">
        <v>543</v>
      </c>
      <c r="RP318" s="11"/>
      <c r="RQ318" s="11"/>
      <c r="RR318" s="19" t="s">
        <v>7421</v>
      </c>
      <c r="RS318" s="1139" t="s">
        <v>12980</v>
      </c>
      <c r="RT318" s="11"/>
      <c r="RU318" s="11"/>
      <c r="RV318" s="771" t="s">
        <v>7419</v>
      </c>
      <c r="RW318" s="11" t="s">
        <v>7632</v>
      </c>
      <c r="RX318" s="11" t="s">
        <v>539</v>
      </c>
      <c r="RY318" s="11"/>
      <c r="RZ318" s="11" t="s">
        <v>1101</v>
      </c>
      <c r="SA318" s="771"/>
      <c r="SB318" s="11"/>
      <c r="SC318" s="11"/>
    </row>
    <row r="319" spans="1:497" ht="12.75" customHeight="1">
      <c r="A319" s="767" t="s">
        <v>7421</v>
      </c>
      <c r="B319" s="292" t="s">
        <v>5521</v>
      </c>
      <c r="C319" s="140" t="s">
        <v>546</v>
      </c>
      <c r="D319" s="94" t="s">
        <v>547</v>
      </c>
      <c r="E319" s="766" t="s">
        <v>544</v>
      </c>
      <c r="F319" s="770" t="s">
        <v>28</v>
      </c>
      <c r="G319" s="770" t="s">
        <v>10</v>
      </c>
      <c r="H319" s="770"/>
      <c r="I319" s="295" t="s">
        <v>548</v>
      </c>
      <c r="J319" s="94" t="s">
        <v>547</v>
      </c>
      <c r="K319" s="770"/>
      <c r="L319" s="770"/>
      <c r="M319" s="770"/>
      <c r="N319" s="770"/>
      <c r="O319" s="770"/>
      <c r="P319" s="94" t="s">
        <v>547</v>
      </c>
      <c r="Q319" s="1088">
        <v>24861</v>
      </c>
      <c r="R319" s="297">
        <v>54</v>
      </c>
      <c r="S319" s="770" t="s">
        <v>10</v>
      </c>
      <c r="T319" s="770"/>
      <c r="U319" s="298" t="s">
        <v>1029</v>
      </c>
      <c r="V319" s="770" t="s">
        <v>707</v>
      </c>
      <c r="W319" s="770"/>
      <c r="X319" s="296"/>
      <c r="Y319" s="770" t="s">
        <v>1030</v>
      </c>
      <c r="Z319" s="770" t="s">
        <v>708</v>
      </c>
      <c r="AA319" s="770" t="s">
        <v>709</v>
      </c>
      <c r="AB319" s="770" t="s">
        <v>710</v>
      </c>
      <c r="AC319" s="770"/>
      <c r="AD319" s="770"/>
      <c r="AE319" s="770"/>
      <c r="AF319" s="770" t="s">
        <v>712</v>
      </c>
      <c r="AG319" s="766" t="s">
        <v>1132</v>
      </c>
      <c r="AH319" s="766" t="s">
        <v>1096</v>
      </c>
      <c r="AI319" s="770"/>
      <c r="AJ319" s="770" t="s">
        <v>1137</v>
      </c>
      <c r="AK319" s="770" t="s">
        <v>1101</v>
      </c>
      <c r="AL319" s="299"/>
      <c r="AM319" s="300"/>
      <c r="AN319" s="301"/>
      <c r="AO319" s="766" t="s">
        <v>1122</v>
      </c>
      <c r="AP319" s="766"/>
      <c r="AQ319" s="766"/>
      <c r="AR319" s="766"/>
      <c r="AS319" s="770"/>
      <c r="AT319" s="770"/>
      <c r="AU319" s="770"/>
      <c r="AV319" s="770"/>
      <c r="AW319" s="770"/>
      <c r="AX319" s="770"/>
      <c r="AY319" s="770"/>
      <c r="AZ319" s="770"/>
      <c r="BA319" s="770"/>
      <c r="BB319" s="770"/>
      <c r="BC319" s="770"/>
      <c r="BD319" s="770"/>
      <c r="BE319" s="770"/>
      <c r="BF319" s="302"/>
      <c r="BG319" s="302"/>
      <c r="BH319" s="770"/>
      <c r="BI319" s="770"/>
      <c r="BJ319" s="770"/>
      <c r="BK319" s="770" t="s">
        <v>1095</v>
      </c>
      <c r="BL319" s="770" t="s">
        <v>1377</v>
      </c>
      <c r="BM319" s="766" t="s">
        <v>1096</v>
      </c>
      <c r="BN319" s="770" t="s">
        <v>1230</v>
      </c>
      <c r="BO319" s="766" t="s">
        <v>1246</v>
      </c>
      <c r="BP319" s="1112">
        <v>25</v>
      </c>
      <c r="BQ319" s="1108">
        <v>25</v>
      </c>
      <c r="BR319" s="47">
        <f>BQ319/BP319</f>
        <v>1</v>
      </c>
      <c r="BS319" s="766" t="s">
        <v>1257</v>
      </c>
      <c r="BT319" s="766" t="s">
        <v>8133</v>
      </c>
      <c r="BU319" s="770" t="s">
        <v>1249</v>
      </c>
      <c r="BV319" s="770" t="s">
        <v>1247</v>
      </c>
      <c r="BW319" s="770">
        <v>2015</v>
      </c>
      <c r="BX319" s="302">
        <v>15000</v>
      </c>
      <c r="BY319" s="303" t="s">
        <v>1207</v>
      </c>
      <c r="BZ319" s="770"/>
      <c r="CA319" s="302"/>
      <c r="CB319" s="302"/>
      <c r="CC319" s="770"/>
      <c r="CD319" s="770"/>
      <c r="CE319" s="770"/>
      <c r="CF319" s="304"/>
      <c r="CG319" s="321"/>
      <c r="CH319" s="770"/>
      <c r="CI319" s="770"/>
      <c r="CJ319" s="770"/>
      <c r="CK319" s="770"/>
      <c r="CL319" s="770"/>
      <c r="CM319" s="770"/>
      <c r="CN319" s="770"/>
      <c r="CO319" s="770"/>
      <c r="CP319" s="770"/>
      <c r="CQ319" s="770"/>
      <c r="CR319" s="770"/>
      <c r="CS319" s="302"/>
      <c r="CT319" s="770"/>
      <c r="CU319" s="305"/>
      <c r="CV319" s="770"/>
      <c r="CW319" s="770"/>
      <c r="CX319" s="770"/>
      <c r="CY319" s="770"/>
      <c r="CZ319" s="770"/>
      <c r="DA319" s="306"/>
      <c r="DB319" s="770"/>
      <c r="DC319" s="770"/>
      <c r="DD319" s="770"/>
      <c r="DE319" s="300"/>
      <c r="DF319" s="770"/>
      <c r="DG319" s="770"/>
      <c r="DH319" s="770"/>
      <c r="DI319" s="770"/>
      <c r="DJ319" s="770"/>
      <c r="DK319" s="770"/>
      <c r="DL319" s="770"/>
      <c r="DM319" s="770"/>
      <c r="DN319" s="322"/>
      <c r="DO319" s="770"/>
      <c r="DP319" s="770"/>
      <c r="DQ319" s="770"/>
      <c r="DR319" s="770"/>
      <c r="DS319" s="307"/>
      <c r="DT319" s="770"/>
      <c r="DU319" s="770"/>
      <c r="DV319" s="770"/>
      <c r="DW319" s="306"/>
      <c r="DX319" s="306"/>
      <c r="DY319" s="770"/>
      <c r="DZ319" s="770"/>
      <c r="EA319" s="770"/>
      <c r="EB319" s="770"/>
      <c r="EC319" s="770"/>
      <c r="ED319" s="770"/>
      <c r="EE319" s="770"/>
      <c r="EF319" s="770"/>
      <c r="EG319" s="770"/>
      <c r="EH319" s="770"/>
      <c r="EI319" s="770"/>
      <c r="EJ319" s="770"/>
      <c r="EK319" s="770"/>
      <c r="EL319" s="770"/>
      <c r="EM319" s="770"/>
      <c r="EN319" s="770"/>
      <c r="EO319" s="770"/>
      <c r="EP319" s="94"/>
      <c r="EQ319" s="770"/>
      <c r="ER319" s="770"/>
      <c r="ES319" s="770"/>
      <c r="ET319" s="770"/>
      <c r="EU319" s="770"/>
      <c r="EV319" s="770"/>
      <c r="EW319" s="770"/>
      <c r="EX319" s="770"/>
      <c r="EY319" s="770"/>
      <c r="EZ319" s="770"/>
      <c r="FA319" s="770"/>
      <c r="FB319" s="770"/>
      <c r="FC319" s="770"/>
      <c r="FD319" s="302"/>
      <c r="FE319" s="770"/>
      <c r="FF319" s="770"/>
      <c r="FG319" s="770"/>
      <c r="FH319" s="770" t="s">
        <v>478</v>
      </c>
      <c r="FI319" s="770">
        <v>1</v>
      </c>
      <c r="FJ319" s="770"/>
      <c r="FK319" s="770"/>
      <c r="FL319" s="770"/>
      <c r="FM319" s="302"/>
      <c r="FN319" s="302"/>
      <c r="FO319" s="302"/>
      <c r="FP319" s="766" t="s">
        <v>1602</v>
      </c>
      <c r="FQ319" s="766" t="s">
        <v>1660</v>
      </c>
      <c r="FR319" s="770" t="s">
        <v>1214</v>
      </c>
      <c r="FS319" s="770"/>
      <c r="FT319" s="770"/>
      <c r="FU319" s="770"/>
      <c r="FV319" s="770"/>
      <c r="FW319" s="770"/>
      <c r="FX319" s="770"/>
      <c r="FY319" s="770"/>
      <c r="FZ319" s="770"/>
      <c r="GA319" s="770"/>
      <c r="GB319" s="770"/>
      <c r="GC319" s="308"/>
      <c r="GD319" s="297"/>
      <c r="GE319" s="770"/>
      <c r="GF319" s="302"/>
      <c r="GG319" s="302"/>
      <c r="GH319" s="712" t="s">
        <v>1791</v>
      </c>
      <c r="GI319" s="770"/>
      <c r="GJ319" s="770" t="s">
        <v>1833</v>
      </c>
      <c r="GK319" s="770" t="s">
        <v>2345</v>
      </c>
      <c r="GL319" s="770" t="s">
        <v>1801</v>
      </c>
      <c r="GM319" s="770"/>
      <c r="GN319" s="309"/>
      <c r="GO319" s="770"/>
      <c r="GP319" s="770"/>
      <c r="GQ319" s="770" t="s">
        <v>1208</v>
      </c>
      <c r="GR319" s="770"/>
      <c r="GS319" s="770"/>
      <c r="GT319" s="770"/>
      <c r="GU319" s="770"/>
      <c r="GV319" s="770"/>
      <c r="GW319" s="770"/>
      <c r="GX319" s="770"/>
      <c r="GY319" s="770"/>
      <c r="GZ319" s="770" t="s">
        <v>1208</v>
      </c>
      <c r="HA319" s="770"/>
      <c r="HB319" s="770" t="s">
        <v>1208</v>
      </c>
      <c r="HC319" s="770" t="s">
        <v>1208</v>
      </c>
      <c r="HD319" s="770"/>
      <c r="HE319" s="770"/>
      <c r="HF319" s="770"/>
      <c r="HG319" s="770"/>
      <c r="HH319" s="770"/>
      <c r="HI319" s="770" t="s">
        <v>1214</v>
      </c>
      <c r="HJ319" s="770"/>
      <c r="HK319" s="770"/>
      <c r="HL319" s="770"/>
      <c r="HM319" s="770"/>
      <c r="HN319" s="770"/>
      <c r="HO319" s="770"/>
      <c r="HP319" s="770"/>
      <c r="HQ319" s="770"/>
      <c r="HR319" s="770"/>
      <c r="HS319" s="770"/>
      <c r="HT319" s="770"/>
      <c r="HU319" s="770"/>
      <c r="HV319" s="770"/>
      <c r="HW319" s="770"/>
      <c r="HX319" s="770"/>
      <c r="HY319" s="770"/>
      <c r="HZ319" s="770"/>
      <c r="IA319" s="770"/>
      <c r="IB319" s="14" t="e">
        <f>IF(#REF!&gt;0,IF(#REF!&lt;=10000,"Y",""),"")</f>
        <v>#REF!</v>
      </c>
      <c r="IC319" s="770"/>
      <c r="ID319" s="770"/>
      <c r="IE319" s="770">
        <v>1</v>
      </c>
      <c r="IF319" s="770"/>
      <c r="IG319" s="770"/>
      <c r="IH319" s="770"/>
      <c r="II319" s="770"/>
      <c r="IJ319" s="770"/>
      <c r="IK319" s="770"/>
      <c r="IL319" s="770"/>
      <c r="IM319" s="770"/>
      <c r="IN319" s="770"/>
      <c r="IO319" s="296"/>
      <c r="IP319" s="770"/>
      <c r="IQ319" s="770"/>
      <c r="IR319" s="770"/>
      <c r="IS319" s="770"/>
      <c r="IT319" s="770"/>
      <c r="IU319" s="770"/>
      <c r="IV319" s="770"/>
      <c r="IW319" s="770"/>
      <c r="IX319" s="770"/>
      <c r="IY319" s="770"/>
      <c r="IZ319" s="770"/>
      <c r="JA319" s="770"/>
      <c r="JB319" s="770"/>
      <c r="JC319" s="770"/>
      <c r="JD319" s="302"/>
      <c r="JE319" s="770"/>
      <c r="JF319" s="770"/>
      <c r="JG319" s="770"/>
      <c r="JH319" s="770"/>
      <c r="JI319" s="712" t="str">
        <f>IF(SUM(JT319,JU319)=JJ319,"ok","review")</f>
        <v>ok</v>
      </c>
      <c r="JJ319" s="770">
        <v>4</v>
      </c>
      <c r="JK319" s="1139" t="s">
        <v>2115</v>
      </c>
      <c r="JL319" s="770"/>
      <c r="JM319" s="770"/>
      <c r="JN319" s="770">
        <v>3</v>
      </c>
      <c r="JO319" s="770">
        <v>1</v>
      </c>
      <c r="JP319" s="770"/>
      <c r="JQ319" s="770"/>
      <c r="JR319" s="770"/>
      <c r="JS319" s="770"/>
      <c r="JT319" s="766">
        <f t="shared" si="95"/>
        <v>3</v>
      </c>
      <c r="JU319" s="766">
        <f t="shared" si="95"/>
        <v>1</v>
      </c>
      <c r="JV319" s="712" t="str">
        <f>IF(JT319=KJ319,"ok","male")</f>
        <v>ok</v>
      </c>
      <c r="JW319" s="712" t="str">
        <f>IF(JU319=KK319,"ok","female")</f>
        <v>ok</v>
      </c>
      <c r="JX319" s="770"/>
      <c r="JY319" s="770"/>
      <c r="JZ319" s="770"/>
      <c r="KA319" s="770"/>
      <c r="KB319" s="770">
        <v>2</v>
      </c>
      <c r="KC319" s="770"/>
      <c r="KD319" s="770">
        <v>1</v>
      </c>
      <c r="KE319" s="770">
        <v>1</v>
      </c>
      <c r="KF319" s="770"/>
      <c r="KG319" s="770"/>
      <c r="KH319" s="770"/>
      <c r="KI319" s="770"/>
      <c r="KJ319" s="770">
        <f t="shared" si="86"/>
        <v>3</v>
      </c>
      <c r="KK319" s="770">
        <f t="shared" si="86"/>
        <v>1</v>
      </c>
      <c r="KL319" s="712" t="str">
        <f>IF(KJ319=LN319,"ok","male")</f>
        <v>ok</v>
      </c>
      <c r="KM319" s="712" t="str">
        <f>IF(KK319=LO319,"ok","female")</f>
        <v>ok</v>
      </c>
      <c r="KN319" s="770" t="s">
        <v>707</v>
      </c>
      <c r="KO319" s="770"/>
      <c r="KP319" s="770"/>
      <c r="KQ319" s="770"/>
      <c r="KR319" s="770"/>
      <c r="KS319" s="770"/>
      <c r="KT319" s="770"/>
      <c r="KU319" s="770"/>
      <c r="KV319" s="770"/>
      <c r="KW319" s="770"/>
      <c r="KX319" s="770"/>
      <c r="KY319" s="770"/>
      <c r="KZ319" s="770">
        <v>3</v>
      </c>
      <c r="LA319" s="770">
        <v>1</v>
      </c>
      <c r="LB319" s="770"/>
      <c r="LC319" s="770"/>
      <c r="LD319" s="770"/>
      <c r="LE319" s="770"/>
      <c r="LF319" s="770"/>
      <c r="LG319" s="770"/>
      <c r="LH319" s="770"/>
      <c r="LI319" s="770"/>
      <c r="LJ319" s="770"/>
      <c r="LK319" s="770"/>
      <c r="LL319" s="770"/>
      <c r="LM319" s="770"/>
      <c r="LN319" s="766">
        <f t="shared" si="96"/>
        <v>3</v>
      </c>
      <c r="LO319" s="766">
        <f t="shared" si="96"/>
        <v>1</v>
      </c>
      <c r="LP319" s="770">
        <v>4</v>
      </c>
      <c r="LQ319" s="770">
        <v>4</v>
      </c>
      <c r="LR319" s="770"/>
      <c r="LS319" s="770"/>
      <c r="LT319" s="712" t="str">
        <f>IF(LQ319=SUM(LU319:LW319),"OK","REV")</f>
        <v>OK</v>
      </c>
      <c r="LU319" s="770"/>
      <c r="LV319" s="770">
        <v>4</v>
      </c>
      <c r="LW319" s="770"/>
      <c r="LX319" s="769">
        <v>4</v>
      </c>
      <c r="LY319" s="766" t="str">
        <f t="shared" si="93"/>
        <v>OTHER Province</v>
      </c>
      <c r="LZ319" s="299"/>
      <c r="MA319" s="306"/>
      <c r="MB319" s="306"/>
      <c r="MC319" s="1679">
        <f t="shared" si="91"/>
        <v>0</v>
      </c>
      <c r="MD319" s="306">
        <f>SUM(7200,3000,8400*2)</f>
        <v>27000</v>
      </c>
      <c r="ME319" s="306"/>
      <c r="MF319" s="306"/>
      <c r="MG319" s="1680">
        <f t="shared" si="94"/>
        <v>27000</v>
      </c>
      <c r="MH319" s="770" t="s">
        <v>2215</v>
      </c>
      <c r="MI319" s="302">
        <v>3200</v>
      </c>
      <c r="MJ319" s="302">
        <v>2400</v>
      </c>
      <c r="MK319" s="302">
        <v>50</v>
      </c>
      <c r="ML319" s="302"/>
      <c r="MM319" s="302"/>
      <c r="MN319" s="302"/>
      <c r="MO319" s="302">
        <v>240</v>
      </c>
      <c r="MP319" s="302">
        <v>480</v>
      </c>
      <c r="MQ319" s="302">
        <v>160</v>
      </c>
      <c r="MR319" s="302">
        <v>480</v>
      </c>
      <c r="MS319" s="302"/>
      <c r="MT319" s="302"/>
      <c r="MU319" s="302"/>
      <c r="MV319" s="302"/>
      <c r="MW319" s="302"/>
      <c r="MX319" s="302"/>
      <c r="MY319" s="1682">
        <f t="shared" si="74"/>
        <v>7010</v>
      </c>
      <c r="MZ319" s="770" t="s">
        <v>13214</v>
      </c>
      <c r="NA319" s="770" t="s">
        <v>13454</v>
      </c>
      <c r="NB319" s="770" t="s">
        <v>13164</v>
      </c>
      <c r="NC319" s="770" t="s">
        <v>13007</v>
      </c>
      <c r="ND319" s="770">
        <v>0</v>
      </c>
      <c r="NE319" s="770">
        <v>0</v>
      </c>
      <c r="NF319" s="770">
        <v>0</v>
      </c>
      <c r="NG319" s="770">
        <v>1</v>
      </c>
      <c r="NH319" s="770">
        <v>1</v>
      </c>
      <c r="NI319" s="770">
        <v>1</v>
      </c>
      <c r="NJ319" s="770">
        <v>0</v>
      </c>
      <c r="NK319" s="770">
        <v>0</v>
      </c>
      <c r="NL319" s="770">
        <v>1</v>
      </c>
      <c r="NM319" s="770">
        <v>0</v>
      </c>
      <c r="NN319" s="770">
        <v>0</v>
      </c>
      <c r="NO319" s="770">
        <v>0</v>
      </c>
      <c r="NP319" s="770">
        <v>0</v>
      </c>
      <c r="NQ319" s="770">
        <v>0</v>
      </c>
      <c r="NR319" s="770">
        <v>0</v>
      </c>
      <c r="NS319" s="770">
        <v>0</v>
      </c>
      <c r="NT319" s="770">
        <v>0</v>
      </c>
      <c r="NU319" s="770">
        <v>0</v>
      </c>
      <c r="NV319" s="770">
        <v>0</v>
      </c>
      <c r="NW319" s="770">
        <v>0</v>
      </c>
      <c r="NX319" s="770">
        <v>0</v>
      </c>
      <c r="NY319" s="770" t="s">
        <v>1208</v>
      </c>
      <c r="NZ319" s="770"/>
      <c r="OA319" s="770"/>
      <c r="OB319" s="770" t="s">
        <v>1208</v>
      </c>
      <c r="OC319" s="770" t="s">
        <v>1208</v>
      </c>
      <c r="OD319" s="770" t="s">
        <v>1208</v>
      </c>
      <c r="OE319" s="770"/>
      <c r="OF319" s="770" t="s">
        <v>13066</v>
      </c>
      <c r="OG319" s="770" t="s">
        <v>1208</v>
      </c>
      <c r="OH319" s="770" t="s">
        <v>13455</v>
      </c>
      <c r="OI319" s="770" t="s">
        <v>13390</v>
      </c>
      <c r="OJ319" s="770"/>
      <c r="OK319" s="770" t="s">
        <v>1208</v>
      </c>
      <c r="OL319" s="770" t="s">
        <v>13385</v>
      </c>
      <c r="OM319" s="770" t="s">
        <v>13414</v>
      </c>
      <c r="ON319" s="770"/>
      <c r="OO319" s="770" t="s">
        <v>1207</v>
      </c>
      <c r="OP319" s="770" t="s">
        <v>13456</v>
      </c>
      <c r="OQ319" s="770"/>
      <c r="OR319" s="770"/>
      <c r="OS319" s="770" t="s">
        <v>13261</v>
      </c>
      <c r="OT319" s="770"/>
      <c r="OU319" s="770"/>
      <c r="OV319" s="770" t="s">
        <v>1208</v>
      </c>
      <c r="OW319" s="770"/>
      <c r="OX319" s="770"/>
      <c r="OY319" s="770"/>
      <c r="OZ319" s="770"/>
      <c r="PA319" s="770"/>
      <c r="PB319" s="770"/>
      <c r="PC319" s="770"/>
      <c r="PD319" s="770"/>
      <c r="PE319" s="770"/>
      <c r="PF319" s="770"/>
      <c r="PG319" s="770"/>
      <c r="PH319" s="770"/>
      <c r="PI319" s="770"/>
      <c r="PJ319" s="770"/>
      <c r="PK319" s="770"/>
      <c r="PL319" s="770"/>
      <c r="PM319" s="770"/>
      <c r="PN319" s="770"/>
      <c r="PO319" s="770"/>
      <c r="PP319" s="770"/>
      <c r="PQ319" s="770"/>
      <c r="PR319" s="770"/>
      <c r="PS319" s="770"/>
      <c r="PT319" s="770"/>
      <c r="PU319" s="770"/>
      <c r="PV319" s="770"/>
      <c r="PW319" s="770"/>
      <c r="PX319" s="770"/>
      <c r="PY319" s="770"/>
      <c r="PZ319" s="770"/>
      <c r="QA319" s="770"/>
      <c r="QB319" s="770"/>
      <c r="QC319" s="770"/>
      <c r="QD319" s="770"/>
      <c r="QE319" s="770"/>
      <c r="QF319" s="770"/>
      <c r="QG319" s="770"/>
      <c r="QH319" s="770"/>
      <c r="QI319" s="770"/>
      <c r="QJ319" s="770"/>
      <c r="QK319" s="770"/>
      <c r="QL319" s="770"/>
      <c r="QM319" s="770"/>
      <c r="QN319" s="770"/>
      <c r="QO319" s="770"/>
      <c r="QP319" s="770"/>
      <c r="QQ319" s="770"/>
      <c r="QR319" s="770"/>
      <c r="QS319" s="770" t="s">
        <v>1208</v>
      </c>
      <c r="QT319" s="770"/>
      <c r="QU319" s="770"/>
      <c r="QV319" s="770"/>
      <c r="QW319" s="770"/>
      <c r="QX319" s="770"/>
      <c r="QY319" s="770"/>
      <c r="QZ319" s="770"/>
      <c r="RA319" s="770"/>
      <c r="RB319" s="770" t="s">
        <v>1214</v>
      </c>
      <c r="RC319" s="770"/>
      <c r="RD319" s="770"/>
      <c r="RE319" s="770"/>
      <c r="RF319" s="304"/>
      <c r="RG319" s="770"/>
      <c r="RH319" s="302"/>
      <c r="RI319" s="770"/>
      <c r="RJ319" s="770" t="s">
        <v>2115</v>
      </c>
      <c r="RK319" s="770" t="s">
        <v>13381</v>
      </c>
      <c r="RL319" s="1710"/>
      <c r="RM319" s="12"/>
      <c r="RN319" s="1711"/>
      <c r="RO319" s="140" t="s">
        <v>546</v>
      </c>
      <c r="RP319" s="11"/>
      <c r="RQ319" s="11"/>
      <c r="RR319" s="19" t="s">
        <v>7421</v>
      </c>
      <c r="RS319" s="1139" t="s">
        <v>12980</v>
      </c>
      <c r="RT319" s="11"/>
      <c r="RU319" s="11"/>
      <c r="RV319" s="771" t="s">
        <v>8083</v>
      </c>
      <c r="RW319" s="11" t="s">
        <v>7633</v>
      </c>
      <c r="RX319" s="11" t="s">
        <v>539</v>
      </c>
      <c r="RY319" s="11"/>
      <c r="RZ319" s="11" t="s">
        <v>1101</v>
      </c>
      <c r="SA319" s="771"/>
      <c r="SB319" s="11"/>
      <c r="SC319" s="11"/>
    </row>
    <row r="320" spans="1:497" ht="12.75" customHeight="1">
      <c r="A320" s="767" t="s">
        <v>7421</v>
      </c>
      <c r="B320" s="292" t="s">
        <v>7634</v>
      </c>
      <c r="C320" s="140" t="s">
        <v>549</v>
      </c>
      <c r="D320" s="94" t="s">
        <v>547</v>
      </c>
      <c r="E320" s="766" t="s">
        <v>544</v>
      </c>
      <c r="F320" s="770" t="s">
        <v>550</v>
      </c>
      <c r="G320" s="770" t="s">
        <v>10</v>
      </c>
      <c r="H320" s="770"/>
      <c r="I320" s="295"/>
      <c r="J320" s="94"/>
      <c r="K320" s="770"/>
      <c r="L320" s="770"/>
      <c r="M320" s="770"/>
      <c r="N320" s="770"/>
      <c r="O320" s="770"/>
      <c r="P320" s="94" t="s">
        <v>1031</v>
      </c>
      <c r="Q320" s="1088">
        <v>26073</v>
      </c>
      <c r="R320" s="297">
        <v>45</v>
      </c>
      <c r="S320" s="770" t="s">
        <v>18</v>
      </c>
      <c r="T320" s="770"/>
      <c r="U320" s="298" t="s">
        <v>1032</v>
      </c>
      <c r="V320" s="770" t="s">
        <v>707</v>
      </c>
      <c r="W320" s="770"/>
      <c r="X320" s="296"/>
      <c r="Y320" s="770"/>
      <c r="Z320" s="770" t="s">
        <v>708</v>
      </c>
      <c r="AA320" s="770" t="s">
        <v>709</v>
      </c>
      <c r="AB320" s="770" t="s">
        <v>710</v>
      </c>
      <c r="AC320" s="770"/>
      <c r="AD320" s="770"/>
      <c r="AE320" s="770" t="s">
        <v>1033</v>
      </c>
      <c r="AF320" s="770" t="s">
        <v>712</v>
      </c>
      <c r="AG320" s="766" t="s">
        <v>1132</v>
      </c>
      <c r="AH320" s="766" t="s">
        <v>1096</v>
      </c>
      <c r="AI320" s="770"/>
      <c r="AJ320" s="770" t="s">
        <v>1137</v>
      </c>
      <c r="AK320" s="770" t="s">
        <v>1101</v>
      </c>
      <c r="AL320" s="299"/>
      <c r="AM320" s="300"/>
      <c r="AN320" s="301"/>
      <c r="AO320" s="766" t="s">
        <v>1122</v>
      </c>
      <c r="AP320" s="766"/>
      <c r="AQ320" s="766"/>
      <c r="AR320" s="766"/>
      <c r="AS320" s="770"/>
      <c r="AT320" s="770"/>
      <c r="AU320" s="770"/>
      <c r="AV320" s="770"/>
      <c r="AW320" s="770"/>
      <c r="AX320" s="770"/>
      <c r="AY320" s="770"/>
      <c r="AZ320" s="770"/>
      <c r="BA320" s="770"/>
      <c r="BB320" s="770"/>
      <c r="BC320" s="770"/>
      <c r="BD320" s="770"/>
      <c r="BE320" s="770"/>
      <c r="BF320" s="302"/>
      <c r="BG320" s="302"/>
      <c r="BH320" s="770"/>
      <c r="BI320" s="770"/>
      <c r="BJ320" s="770"/>
      <c r="BK320" s="770" t="s">
        <v>1095</v>
      </c>
      <c r="BL320" s="770" t="s">
        <v>1649</v>
      </c>
      <c r="BM320" s="766" t="s">
        <v>1096</v>
      </c>
      <c r="BN320" s="770" t="s">
        <v>1230</v>
      </c>
      <c r="BO320" s="766" t="s">
        <v>1246</v>
      </c>
      <c r="BP320" s="1112">
        <v>7.5</v>
      </c>
      <c r="BQ320" s="45">
        <v>7.5</v>
      </c>
      <c r="BR320" s="47">
        <f>BQ320/BP320</f>
        <v>1</v>
      </c>
      <c r="BS320" s="766" t="s">
        <v>1257</v>
      </c>
      <c r="BT320" s="766" t="s">
        <v>8133</v>
      </c>
      <c r="BU320" s="770" t="s">
        <v>1378</v>
      </c>
      <c r="BV320" s="766" t="s">
        <v>1349</v>
      </c>
      <c r="BW320" s="770">
        <v>2010</v>
      </c>
      <c r="BX320" s="302"/>
      <c r="BY320" s="303"/>
      <c r="BZ320" s="770"/>
      <c r="CA320" s="302"/>
      <c r="CB320" s="302"/>
      <c r="CC320" s="770"/>
      <c r="CD320" s="770"/>
      <c r="CE320" s="770"/>
      <c r="CF320" s="304"/>
      <c r="CG320" s="321"/>
      <c r="CH320" s="770"/>
      <c r="CI320" s="770"/>
      <c r="CJ320" s="770"/>
      <c r="CK320" s="770"/>
      <c r="CL320" s="770"/>
      <c r="CM320" s="770"/>
      <c r="CN320" s="770"/>
      <c r="CO320" s="770"/>
      <c r="CP320" s="770"/>
      <c r="CQ320" s="770"/>
      <c r="CR320" s="770"/>
      <c r="CS320" s="302"/>
      <c r="CT320" s="770"/>
      <c r="CU320" s="305"/>
      <c r="CV320" s="770"/>
      <c r="CW320" s="770"/>
      <c r="CX320" s="770"/>
      <c r="CY320" s="770"/>
      <c r="CZ320" s="770"/>
      <c r="DA320" s="306"/>
      <c r="DB320" s="770"/>
      <c r="DC320" s="770"/>
      <c r="DD320" s="770"/>
      <c r="DE320" s="300"/>
      <c r="DF320" s="770"/>
      <c r="DG320" s="770"/>
      <c r="DH320" s="770"/>
      <c r="DI320" s="770"/>
      <c r="DJ320" s="770"/>
      <c r="DK320" s="770"/>
      <c r="DL320" s="770"/>
      <c r="DM320" s="770"/>
      <c r="DN320" s="322"/>
      <c r="DO320" s="770"/>
      <c r="DP320" s="770"/>
      <c r="DQ320" s="770"/>
      <c r="DR320" s="770"/>
      <c r="DS320" s="307"/>
      <c r="DT320" s="770"/>
      <c r="DU320" s="770"/>
      <c r="DV320" s="770"/>
      <c r="DW320" s="306"/>
      <c r="DX320" s="306"/>
      <c r="DY320" s="770"/>
      <c r="DZ320" s="770"/>
      <c r="EA320" s="770"/>
      <c r="EB320" s="770"/>
      <c r="EC320" s="770"/>
      <c r="ED320" s="770"/>
      <c r="EE320" s="770"/>
      <c r="EF320" s="770"/>
      <c r="EG320" s="770"/>
      <c r="EH320" s="770"/>
      <c r="EI320" s="770"/>
      <c r="EJ320" s="770"/>
      <c r="EK320" s="770"/>
      <c r="EL320" s="770"/>
      <c r="EM320" s="770"/>
      <c r="EN320" s="770"/>
      <c r="EO320" s="770"/>
      <c r="EP320" s="94"/>
      <c r="EQ320" s="770"/>
      <c r="ER320" s="770"/>
      <c r="ES320" s="770"/>
      <c r="ET320" s="770"/>
      <c r="EU320" s="770"/>
      <c r="EV320" s="770"/>
      <c r="EW320" s="770"/>
      <c r="EX320" s="770"/>
      <c r="EY320" s="770"/>
      <c r="EZ320" s="770"/>
      <c r="FA320" s="770"/>
      <c r="FB320" s="770"/>
      <c r="FC320" s="770"/>
      <c r="FD320" s="302"/>
      <c r="FE320" s="770"/>
      <c r="FF320" s="770"/>
      <c r="FG320" s="770"/>
      <c r="FH320" s="770" t="s">
        <v>1299</v>
      </c>
      <c r="FI320" s="770">
        <v>1</v>
      </c>
      <c r="FJ320" s="770" t="s">
        <v>1649</v>
      </c>
      <c r="FK320" s="770" t="s">
        <v>1650</v>
      </c>
      <c r="FL320" s="770" t="s">
        <v>1008</v>
      </c>
      <c r="FM320" s="302"/>
      <c r="FN320" s="302"/>
      <c r="FO320" s="302"/>
      <c r="FP320" s="766" t="s">
        <v>1602</v>
      </c>
      <c r="FQ320" s="766" t="s">
        <v>1660</v>
      </c>
      <c r="FR320" s="770"/>
      <c r="FS320" s="770"/>
      <c r="FT320" s="770"/>
      <c r="FU320" s="770"/>
      <c r="FV320" s="770"/>
      <c r="FW320" s="770"/>
      <c r="FX320" s="770"/>
      <c r="FY320" s="770"/>
      <c r="FZ320" s="770"/>
      <c r="GA320" s="770"/>
      <c r="GB320" s="770"/>
      <c r="GC320" s="308"/>
      <c r="GD320" s="297"/>
      <c r="GE320" s="770"/>
      <c r="GF320" s="302"/>
      <c r="GG320" s="302"/>
      <c r="GH320" s="712" t="s">
        <v>1791</v>
      </c>
      <c r="GI320" s="770"/>
      <c r="GJ320" s="770"/>
      <c r="GK320" s="770" t="s">
        <v>2345</v>
      </c>
      <c r="GL320" s="770"/>
      <c r="GM320" s="770" t="s">
        <v>1214</v>
      </c>
      <c r="GN320" s="309">
        <v>80</v>
      </c>
      <c r="GO320" s="770"/>
      <c r="GP320" s="770" t="s">
        <v>1208</v>
      </c>
      <c r="GQ320" s="770"/>
      <c r="GR320" s="770"/>
      <c r="GS320" s="770"/>
      <c r="GT320" s="770"/>
      <c r="GU320" s="770"/>
      <c r="GV320" s="770"/>
      <c r="GW320" s="770" t="s">
        <v>1207</v>
      </c>
      <c r="GX320" s="770"/>
      <c r="GY320" s="770" t="s">
        <v>1208</v>
      </c>
      <c r="GZ320" s="770"/>
      <c r="HA320" s="770" t="s">
        <v>1208</v>
      </c>
      <c r="HB320" s="770"/>
      <c r="HC320" s="770" t="s">
        <v>1208</v>
      </c>
      <c r="HD320" s="770"/>
      <c r="HE320" s="770"/>
      <c r="HF320" s="770"/>
      <c r="HG320" s="770"/>
      <c r="HH320" s="770"/>
      <c r="HI320" s="770" t="s">
        <v>1214</v>
      </c>
      <c r="HJ320" s="770"/>
      <c r="HK320" s="770"/>
      <c r="HL320" s="770"/>
      <c r="HM320" s="770"/>
      <c r="HN320" s="770"/>
      <c r="HO320" s="770"/>
      <c r="HP320" s="770"/>
      <c r="HQ320" s="770"/>
      <c r="HR320" s="770"/>
      <c r="HS320" s="770"/>
      <c r="HT320" s="770"/>
      <c r="HU320" s="770"/>
      <c r="HV320" s="770"/>
      <c r="HW320" s="770"/>
      <c r="HX320" s="770"/>
      <c r="HY320" s="770"/>
      <c r="HZ320" s="770"/>
      <c r="IA320" s="770"/>
      <c r="IB320" s="14" t="e">
        <f>IF(#REF!&gt;0,IF(#REF!&lt;=10000,"Y",""),"")</f>
        <v>#REF!</v>
      </c>
      <c r="IC320" s="770" t="s">
        <v>1207</v>
      </c>
      <c r="ID320" s="770"/>
      <c r="IE320" s="770"/>
      <c r="IF320" s="770"/>
      <c r="IG320" s="770"/>
      <c r="IH320" s="770"/>
      <c r="II320" s="770"/>
      <c r="IJ320" s="770"/>
      <c r="IK320" s="770"/>
      <c r="IL320" s="770"/>
      <c r="IM320" s="770"/>
      <c r="IN320" s="770"/>
      <c r="IO320" s="296"/>
      <c r="IP320" s="770"/>
      <c r="IQ320" s="770"/>
      <c r="IR320" s="770"/>
      <c r="IS320" s="770"/>
      <c r="IT320" s="770"/>
      <c r="IU320" s="770"/>
      <c r="IV320" s="770"/>
      <c r="IW320" s="770"/>
      <c r="IX320" s="770"/>
      <c r="IY320" s="770"/>
      <c r="IZ320" s="770"/>
      <c r="JA320" s="770"/>
      <c r="JB320" s="770"/>
      <c r="JC320" s="770"/>
      <c r="JD320" s="302"/>
      <c r="JE320" s="770"/>
      <c r="JF320" s="770"/>
      <c r="JG320" s="770"/>
      <c r="JH320" s="770"/>
      <c r="JI320" s="712" t="str">
        <f>IF(SUM(JT320,JU320)=JJ320,"ok","review")</f>
        <v>ok</v>
      </c>
      <c r="JJ320" s="770">
        <v>2</v>
      </c>
      <c r="JK320" s="1139" t="s">
        <v>2116</v>
      </c>
      <c r="JL320" s="770"/>
      <c r="JM320" s="770"/>
      <c r="JN320" s="770">
        <v>1</v>
      </c>
      <c r="JO320" s="770">
        <v>1</v>
      </c>
      <c r="JP320" s="770"/>
      <c r="JQ320" s="770"/>
      <c r="JR320" s="770"/>
      <c r="JS320" s="770"/>
      <c r="JT320" s="766">
        <f t="shared" si="95"/>
        <v>1</v>
      </c>
      <c r="JU320" s="766">
        <f t="shared" si="95"/>
        <v>1</v>
      </c>
      <c r="JV320" s="712" t="str">
        <f>IF(JT320=KJ320,"ok","male")</f>
        <v>ok</v>
      </c>
      <c r="JW320" s="712" t="str">
        <f>IF(JU320=KK320,"ok","female")</f>
        <v>ok</v>
      </c>
      <c r="JX320" s="770"/>
      <c r="JY320" s="770"/>
      <c r="JZ320" s="770"/>
      <c r="KA320" s="770"/>
      <c r="KB320" s="770"/>
      <c r="KC320" s="770"/>
      <c r="KD320" s="770">
        <v>1</v>
      </c>
      <c r="KE320" s="770">
        <v>1</v>
      </c>
      <c r="KF320" s="770"/>
      <c r="KG320" s="770"/>
      <c r="KH320" s="770"/>
      <c r="KI320" s="770"/>
      <c r="KJ320" s="770">
        <f t="shared" si="86"/>
        <v>1</v>
      </c>
      <c r="KK320" s="770">
        <f t="shared" si="86"/>
        <v>1</v>
      </c>
      <c r="KL320" s="712" t="str">
        <f>IF(KJ320=LN320,"ok","male")</f>
        <v>ok</v>
      </c>
      <c r="KM320" s="712" t="str">
        <f>IF(KK320=LO320,"ok","female")</f>
        <v>ok</v>
      </c>
      <c r="KN320" s="770" t="s">
        <v>707</v>
      </c>
      <c r="KO320" s="770"/>
      <c r="KP320" s="770"/>
      <c r="KQ320" s="770"/>
      <c r="KR320" s="770"/>
      <c r="KS320" s="770"/>
      <c r="KT320" s="770"/>
      <c r="KU320" s="770"/>
      <c r="KV320" s="770"/>
      <c r="KW320" s="770"/>
      <c r="KX320" s="770"/>
      <c r="KY320" s="770"/>
      <c r="KZ320" s="770"/>
      <c r="LA320" s="770"/>
      <c r="LB320" s="770">
        <v>1</v>
      </c>
      <c r="LC320" s="770">
        <v>1</v>
      </c>
      <c r="LD320" s="770"/>
      <c r="LE320" s="770"/>
      <c r="LF320" s="770"/>
      <c r="LG320" s="770"/>
      <c r="LH320" s="770"/>
      <c r="LI320" s="770"/>
      <c r="LJ320" s="770"/>
      <c r="LK320" s="770"/>
      <c r="LL320" s="770"/>
      <c r="LM320" s="770"/>
      <c r="LN320" s="766">
        <f t="shared" si="96"/>
        <v>1</v>
      </c>
      <c r="LO320" s="766">
        <f t="shared" si="96"/>
        <v>1</v>
      </c>
      <c r="LP320" s="770">
        <v>2</v>
      </c>
      <c r="LQ320" s="770">
        <v>2</v>
      </c>
      <c r="LR320" s="770"/>
      <c r="LS320" s="770"/>
      <c r="LT320" s="712" t="str">
        <f>IF(LQ320=SUM(LU320:LW320),"OK","REV")</f>
        <v>OK</v>
      </c>
      <c r="LU320" s="770"/>
      <c r="LV320" s="770">
        <v>1</v>
      </c>
      <c r="LW320" s="770">
        <v>1</v>
      </c>
      <c r="LX320" s="769">
        <v>3</v>
      </c>
      <c r="LY320" s="766" t="str">
        <f t="shared" si="93"/>
        <v>within the PROVINCE</v>
      </c>
      <c r="LZ320" s="299"/>
      <c r="MA320" s="306"/>
      <c r="MB320" s="306"/>
      <c r="MC320" s="1679">
        <f t="shared" si="91"/>
        <v>0</v>
      </c>
      <c r="MD320" s="306">
        <f>SUM(4000,4500)</f>
        <v>8500</v>
      </c>
      <c r="ME320" s="306"/>
      <c r="MF320" s="306"/>
      <c r="MG320" s="1680">
        <f t="shared" si="94"/>
        <v>8500</v>
      </c>
      <c r="MH320" s="770" t="s">
        <v>1985</v>
      </c>
      <c r="MI320" s="302">
        <v>4000</v>
      </c>
      <c r="MJ320" s="302">
        <v>1650</v>
      </c>
      <c r="MK320" s="302">
        <v>100</v>
      </c>
      <c r="ML320" s="302">
        <v>200</v>
      </c>
      <c r="MM320" s="302"/>
      <c r="MN320" s="302"/>
      <c r="MO320" s="302">
        <v>50</v>
      </c>
      <c r="MP320" s="302">
        <v>100</v>
      </c>
      <c r="MQ320" s="302">
        <v>200</v>
      </c>
      <c r="MR320" s="302">
        <v>100</v>
      </c>
      <c r="MS320" s="302"/>
      <c r="MT320" s="302"/>
      <c r="MU320" s="302"/>
      <c r="MV320" s="302"/>
      <c r="MW320" s="302"/>
      <c r="MX320" s="302"/>
      <c r="MY320" s="1682">
        <f t="shared" si="74"/>
        <v>6400</v>
      </c>
      <c r="MZ320" s="770" t="s">
        <v>13164</v>
      </c>
      <c r="NA320" s="770" t="s">
        <v>13230</v>
      </c>
      <c r="NB320" s="770" t="s">
        <v>13371</v>
      </c>
      <c r="NC320" s="770"/>
      <c r="ND320" s="770">
        <v>0</v>
      </c>
      <c r="NE320" s="770">
        <v>0</v>
      </c>
      <c r="NF320" s="770">
        <v>0</v>
      </c>
      <c r="NG320" s="770">
        <v>1</v>
      </c>
      <c r="NH320" s="770">
        <v>1</v>
      </c>
      <c r="NI320" s="770">
        <v>1</v>
      </c>
      <c r="NJ320" s="770">
        <v>0</v>
      </c>
      <c r="NK320" s="770">
        <v>0</v>
      </c>
      <c r="NL320" s="770">
        <v>0</v>
      </c>
      <c r="NM320" s="770">
        <v>0</v>
      </c>
      <c r="NN320" s="770">
        <v>0</v>
      </c>
      <c r="NO320" s="770">
        <v>0</v>
      </c>
      <c r="NP320" s="770">
        <v>0</v>
      </c>
      <c r="NQ320" s="770">
        <v>0</v>
      </c>
      <c r="NR320" s="770">
        <v>0</v>
      </c>
      <c r="NS320" s="770">
        <v>0</v>
      </c>
      <c r="NT320" s="770">
        <v>0</v>
      </c>
      <c r="NU320" s="770">
        <v>0</v>
      </c>
      <c r="NV320" s="770">
        <v>0</v>
      </c>
      <c r="NW320" s="770">
        <v>0</v>
      </c>
      <c r="NX320" s="770">
        <v>0</v>
      </c>
      <c r="NY320" s="770" t="s">
        <v>1208</v>
      </c>
      <c r="NZ320" s="770"/>
      <c r="OA320" s="770" t="s">
        <v>1208</v>
      </c>
      <c r="OB320" s="770" t="s">
        <v>1208</v>
      </c>
      <c r="OC320" s="770" t="s">
        <v>1208</v>
      </c>
      <c r="OD320" s="770" t="s">
        <v>1208</v>
      </c>
      <c r="OE320" s="770"/>
      <c r="OF320" s="770"/>
      <c r="OG320" s="770" t="s">
        <v>1208</v>
      </c>
      <c r="OH320" s="770"/>
      <c r="OI320" s="770"/>
      <c r="OJ320" s="770"/>
      <c r="OK320" s="770"/>
      <c r="OL320" s="770"/>
      <c r="OM320" s="770"/>
      <c r="ON320" s="770"/>
      <c r="OO320" s="770"/>
      <c r="OP320" s="770"/>
      <c r="OQ320" s="770"/>
      <c r="OR320" s="770"/>
      <c r="OS320" s="770"/>
      <c r="OT320" s="770"/>
      <c r="OU320" s="770"/>
      <c r="OV320" s="770"/>
      <c r="OW320" s="770"/>
      <c r="OX320" s="770"/>
      <c r="OY320" s="770"/>
      <c r="OZ320" s="770"/>
      <c r="PA320" s="770"/>
      <c r="PB320" s="770"/>
      <c r="PC320" s="770"/>
      <c r="PD320" s="770"/>
      <c r="PE320" s="770"/>
      <c r="PF320" s="770"/>
      <c r="PG320" s="770"/>
      <c r="PH320" s="770"/>
      <c r="PI320" s="770"/>
      <c r="PJ320" s="770"/>
      <c r="PK320" s="770" t="s">
        <v>1208</v>
      </c>
      <c r="PL320" s="770"/>
      <c r="PM320" s="770"/>
      <c r="PN320" s="770"/>
      <c r="PO320" s="770"/>
      <c r="PP320" s="770"/>
      <c r="PQ320" s="770"/>
      <c r="PR320" s="770"/>
      <c r="PS320" s="770"/>
      <c r="PT320" s="770"/>
      <c r="PU320" s="770"/>
      <c r="PV320" s="770"/>
      <c r="PW320" s="770"/>
      <c r="PX320" s="770"/>
      <c r="PY320" s="770"/>
      <c r="PZ320" s="770"/>
      <c r="QA320" s="770"/>
      <c r="QB320" s="770"/>
      <c r="QC320" s="770"/>
      <c r="QD320" s="770"/>
      <c r="QE320" s="770"/>
      <c r="QF320" s="770"/>
      <c r="QG320" s="770"/>
      <c r="QH320" s="770"/>
      <c r="QI320" s="770"/>
      <c r="QJ320" s="770"/>
      <c r="QK320" s="770" t="s">
        <v>1208</v>
      </c>
      <c r="QL320" s="770"/>
      <c r="QM320" s="770"/>
      <c r="QN320" s="770"/>
      <c r="QO320" s="770"/>
      <c r="QP320" s="770"/>
      <c r="QQ320" s="770"/>
      <c r="QR320" s="770"/>
      <c r="QS320" s="770"/>
      <c r="QT320" s="770"/>
      <c r="QU320" s="770"/>
      <c r="QV320" s="770"/>
      <c r="QW320" s="770"/>
      <c r="QX320" s="770"/>
      <c r="QY320" s="770"/>
      <c r="QZ320" s="770"/>
      <c r="RA320" s="770"/>
      <c r="RB320" s="770" t="s">
        <v>1214</v>
      </c>
      <c r="RC320" s="770"/>
      <c r="RD320" s="770"/>
      <c r="RE320" s="770"/>
      <c r="RF320" s="304"/>
      <c r="RG320" s="770"/>
      <c r="RH320" s="302"/>
      <c r="RI320" s="770"/>
      <c r="RJ320" s="770" t="s">
        <v>13457</v>
      </c>
      <c r="RK320" s="770" t="s">
        <v>13401</v>
      </c>
      <c r="RL320" s="1710"/>
      <c r="RM320" s="12"/>
      <c r="RN320" s="1711"/>
      <c r="RO320" s="140" t="s">
        <v>549</v>
      </c>
      <c r="RP320" s="11"/>
      <c r="RQ320" s="11"/>
      <c r="RR320" s="19" t="s">
        <v>7421</v>
      </c>
      <c r="RS320" s="1139" t="s">
        <v>12980</v>
      </c>
      <c r="RT320" s="11"/>
      <c r="RU320" s="11"/>
      <c r="RV320" s="771" t="s">
        <v>7421</v>
      </c>
      <c r="RW320" s="11" t="s">
        <v>11726</v>
      </c>
      <c r="RX320" s="11" t="s">
        <v>543</v>
      </c>
      <c r="RY320" s="11"/>
      <c r="RZ320" s="11" t="s">
        <v>1101</v>
      </c>
      <c r="SA320" s="771"/>
      <c r="SB320" s="11"/>
      <c r="SC320" s="11"/>
    </row>
    <row r="321" spans="1:497" ht="12.75" hidden="1" customHeight="1">
      <c r="A321" s="767" t="s">
        <v>7419</v>
      </c>
      <c r="B321" s="292" t="s">
        <v>7980</v>
      </c>
      <c r="C321" s="140" t="s">
        <v>551</v>
      </c>
      <c r="D321" s="94" t="s">
        <v>552</v>
      </c>
      <c r="E321" s="770" t="s">
        <v>553</v>
      </c>
      <c r="F321" s="770" t="s">
        <v>42</v>
      </c>
      <c r="G321" s="770"/>
      <c r="H321" s="770"/>
      <c r="I321" s="295"/>
      <c r="J321" s="94"/>
      <c r="K321" s="770"/>
      <c r="L321" s="770"/>
      <c r="M321" s="770"/>
      <c r="N321" s="770"/>
      <c r="O321" s="770"/>
      <c r="P321" s="770"/>
      <c r="Q321" s="1088"/>
      <c r="R321" s="297"/>
      <c r="S321" s="770"/>
      <c r="T321" s="770"/>
      <c r="U321" s="298"/>
      <c r="V321" s="770"/>
      <c r="W321" s="770"/>
      <c r="X321" s="296"/>
      <c r="Y321" s="770"/>
      <c r="Z321" s="770"/>
      <c r="AA321" s="770"/>
      <c r="AB321" s="770"/>
      <c r="AC321" s="770"/>
      <c r="AD321" s="770"/>
      <c r="AE321" s="770"/>
      <c r="AF321" s="770"/>
      <c r="AG321" s="766" t="s">
        <v>1095</v>
      </c>
      <c r="AH321" s="766" t="s">
        <v>1096</v>
      </c>
      <c r="AI321" s="770" t="s">
        <v>1172</v>
      </c>
      <c r="AJ321" s="770"/>
      <c r="AK321" s="766" t="s">
        <v>1097</v>
      </c>
      <c r="AL321" s="299">
        <v>24.96</v>
      </c>
      <c r="AM321" s="300">
        <v>20.8</v>
      </c>
      <c r="AN321" s="301">
        <v>0.83330000000000004</v>
      </c>
      <c r="AO321" s="766" t="s">
        <v>1105</v>
      </c>
      <c r="AP321" s="766"/>
      <c r="AQ321" s="766"/>
      <c r="AR321" s="766"/>
      <c r="AS321" s="770" t="s">
        <v>1207</v>
      </c>
      <c r="AT321" s="770" t="s">
        <v>1208</v>
      </c>
      <c r="AU321" s="770" t="s">
        <v>1208</v>
      </c>
      <c r="AV321" s="770"/>
      <c r="AW321" s="770"/>
      <c r="AX321" s="13"/>
      <c r="AY321" s="770"/>
      <c r="AZ321" s="770"/>
      <c r="BA321" s="770"/>
      <c r="BB321" s="770"/>
      <c r="BC321" s="770" t="s">
        <v>796</v>
      </c>
      <c r="BD321" s="770"/>
      <c r="BE321" s="770"/>
      <c r="BF321" s="302"/>
      <c r="BG321" s="302"/>
      <c r="BH321" s="770"/>
      <c r="BI321" s="770"/>
      <c r="BJ321" s="770"/>
      <c r="BK321" s="770"/>
      <c r="BL321" s="770"/>
      <c r="BM321" s="770"/>
      <c r="BN321" s="770"/>
      <c r="BO321" s="770"/>
      <c r="BP321" s="1108">
        <v>24.96</v>
      </c>
      <c r="BQ321" s="45">
        <v>20.8</v>
      </c>
      <c r="BR321" s="47">
        <f>BQ321/BP321</f>
        <v>0.83333333333333337</v>
      </c>
      <c r="BS321" s="766" t="s">
        <v>1105</v>
      </c>
      <c r="BT321" s="766"/>
      <c r="BU321" s="770"/>
      <c r="BV321" s="770"/>
      <c r="BW321" s="770"/>
      <c r="BX321" s="302"/>
      <c r="BY321" s="303"/>
      <c r="BZ321" s="770"/>
      <c r="CA321" s="302"/>
      <c r="CB321" s="302" t="s">
        <v>1207</v>
      </c>
      <c r="CC321" s="770" t="s">
        <v>5522</v>
      </c>
      <c r="CD321" s="770"/>
      <c r="CE321" s="770"/>
      <c r="CF321" s="304">
        <v>1.2</v>
      </c>
      <c r="CG321" s="321">
        <v>1.8</v>
      </c>
      <c r="CH321" s="770" t="s">
        <v>1448</v>
      </c>
      <c r="CI321" s="770"/>
      <c r="CJ321" s="770"/>
      <c r="CK321" s="770"/>
      <c r="CL321" s="770"/>
      <c r="CM321" s="770"/>
      <c r="CN321" s="770"/>
      <c r="CO321" s="770"/>
      <c r="CP321" s="770"/>
      <c r="CQ321" s="770"/>
      <c r="CR321" s="770"/>
      <c r="CS321" s="302"/>
      <c r="CT321" s="770"/>
      <c r="CU321" s="305"/>
      <c r="CV321" s="770"/>
      <c r="CW321" s="770"/>
      <c r="CX321" s="770"/>
      <c r="CY321" s="770"/>
      <c r="CZ321" s="770"/>
      <c r="DA321" s="306"/>
      <c r="DB321" s="770"/>
      <c r="DC321" s="770"/>
      <c r="DD321" s="770"/>
      <c r="DE321" s="300"/>
      <c r="DF321" s="770"/>
      <c r="DG321" s="770"/>
      <c r="DH321" s="770"/>
      <c r="DI321" s="770"/>
      <c r="DJ321" s="770"/>
      <c r="DK321" s="770"/>
      <c r="DL321" s="770"/>
      <c r="DM321" s="770"/>
      <c r="DN321" s="322"/>
      <c r="DO321" s="770"/>
      <c r="DP321" s="770"/>
      <c r="DQ321" s="770"/>
      <c r="DR321" s="770"/>
      <c r="DS321" s="307"/>
      <c r="DT321" s="770"/>
      <c r="DU321" s="770"/>
      <c r="DV321" s="770"/>
      <c r="DW321" s="306"/>
      <c r="DX321" s="306"/>
      <c r="DY321" s="770"/>
      <c r="DZ321" s="770"/>
      <c r="EA321" s="770"/>
      <c r="EB321" s="770"/>
      <c r="EC321" s="770"/>
      <c r="ED321" s="770"/>
      <c r="EE321" s="770"/>
      <c r="EF321" s="770"/>
      <c r="EG321" s="770"/>
      <c r="EH321" s="770"/>
      <c r="EI321" s="770"/>
      <c r="EJ321" s="770"/>
      <c r="EK321" s="770"/>
      <c r="EL321" s="770"/>
      <c r="EM321" s="770"/>
      <c r="EN321" s="770"/>
      <c r="EO321" s="770"/>
      <c r="EP321" s="94"/>
      <c r="EQ321" s="770"/>
      <c r="ER321" s="770"/>
      <c r="ES321" s="770"/>
      <c r="ET321" s="770"/>
      <c r="EU321" s="770"/>
      <c r="EV321" s="770"/>
      <c r="EW321" s="770"/>
      <c r="EX321" s="770"/>
      <c r="EY321" s="770"/>
      <c r="EZ321" s="770"/>
      <c r="FA321" s="770" t="s">
        <v>1535</v>
      </c>
      <c r="FB321" s="770" t="s">
        <v>1242</v>
      </c>
      <c r="FC321" s="770"/>
      <c r="FD321" s="302"/>
      <c r="FE321" s="770"/>
      <c r="FF321" s="770" t="s">
        <v>1536</v>
      </c>
      <c r="FG321" s="770"/>
      <c r="FH321" s="770"/>
      <c r="FI321" s="770"/>
      <c r="FJ321" s="770"/>
      <c r="FK321" s="770"/>
      <c r="FL321" s="770"/>
      <c r="FM321" s="302"/>
      <c r="FN321" s="302"/>
      <c r="FO321" s="302"/>
      <c r="FP321" s="770"/>
      <c r="FQ321" s="770"/>
      <c r="FR321" s="770" t="s">
        <v>1207</v>
      </c>
      <c r="FS321" s="770" t="s">
        <v>1208</v>
      </c>
      <c r="FT321" s="770"/>
      <c r="FU321" s="770"/>
      <c r="FV321" s="770"/>
      <c r="FW321" s="770"/>
      <c r="FX321" s="770"/>
      <c r="FY321" s="770"/>
      <c r="FZ321" s="770"/>
      <c r="GA321" s="770"/>
      <c r="GB321" s="770" t="s">
        <v>796</v>
      </c>
      <c r="GC321" s="308" t="s">
        <v>1747</v>
      </c>
      <c r="GD321" s="297">
        <v>1982</v>
      </c>
      <c r="GE321" s="770" t="s">
        <v>1214</v>
      </c>
      <c r="GF321" s="302"/>
      <c r="GG321" s="302"/>
      <c r="GH321" s="770"/>
      <c r="GI321" s="770"/>
      <c r="GJ321" s="770"/>
      <c r="GK321" s="770"/>
      <c r="GL321" s="770"/>
      <c r="GM321" s="770"/>
      <c r="GN321" s="309"/>
      <c r="GO321" s="770"/>
      <c r="GP321" s="770"/>
      <c r="GQ321" s="770"/>
      <c r="GR321" s="770"/>
      <c r="GS321" s="770"/>
      <c r="GT321" s="770"/>
      <c r="GU321" s="770"/>
      <c r="GV321" s="770"/>
      <c r="GW321" s="770"/>
      <c r="GX321" s="770"/>
      <c r="GY321" s="770"/>
      <c r="GZ321" s="770"/>
      <c r="HA321" s="770"/>
      <c r="HB321" s="770"/>
      <c r="HC321" s="770"/>
      <c r="HD321" s="770"/>
      <c r="HE321" s="770"/>
      <c r="HF321" s="770"/>
      <c r="HG321" s="770"/>
      <c r="HH321" s="770"/>
      <c r="HI321" s="770"/>
      <c r="HJ321" s="770"/>
      <c r="HK321" s="770"/>
      <c r="HL321" s="770"/>
      <c r="HM321" s="770"/>
      <c r="HN321" s="770"/>
      <c r="HO321" s="770"/>
      <c r="HP321" s="770"/>
      <c r="HQ321" s="770"/>
      <c r="HR321" s="770"/>
      <c r="HS321" s="770"/>
      <c r="HT321" s="770"/>
      <c r="HU321" s="770"/>
      <c r="HV321" s="770"/>
      <c r="HW321" s="770"/>
      <c r="HX321" s="770"/>
      <c r="HY321" s="770"/>
      <c r="HZ321" s="770"/>
      <c r="IA321" s="770"/>
      <c r="IB321" s="14" t="e">
        <f>IF(#REF!&gt;0,IF(#REF!&lt;=10000,"Y",""),"")</f>
        <v>#REF!</v>
      </c>
      <c r="IC321" s="770"/>
      <c r="ID321" s="770"/>
      <c r="IE321" s="770"/>
      <c r="IF321" s="770"/>
      <c r="IG321" s="770"/>
      <c r="IH321" s="770"/>
      <c r="II321" s="770"/>
      <c r="IJ321" s="770"/>
      <c r="IK321" s="770"/>
      <c r="IL321" s="770"/>
      <c r="IM321" s="770"/>
      <c r="IN321" s="770"/>
      <c r="IO321" s="296"/>
      <c r="IP321" s="770"/>
      <c r="IQ321" s="770"/>
      <c r="IR321" s="770"/>
      <c r="IS321" s="770"/>
      <c r="IT321" s="770"/>
      <c r="IU321" s="770"/>
      <c r="IV321" s="770"/>
      <c r="IW321" s="770"/>
      <c r="IX321" s="770"/>
      <c r="IY321" s="770"/>
      <c r="IZ321" s="770"/>
      <c r="JA321" s="770"/>
      <c r="JB321" s="770"/>
      <c r="JC321" s="770"/>
      <c r="JD321" s="302"/>
      <c r="JE321" s="770"/>
      <c r="JF321" s="770"/>
      <c r="JG321" s="770"/>
      <c r="JH321" s="770"/>
      <c r="JI321" s="770"/>
      <c r="JJ321" s="770"/>
      <c r="JK321" s="770"/>
      <c r="JL321" s="770"/>
      <c r="JM321" s="770"/>
      <c r="JN321" s="770"/>
      <c r="JO321" s="770"/>
      <c r="JP321" s="770"/>
      <c r="JQ321" s="770"/>
      <c r="JR321" s="770"/>
      <c r="JS321" s="770"/>
      <c r="JT321" s="766"/>
      <c r="JU321" s="766"/>
      <c r="JV321" s="766"/>
      <c r="JW321" s="766"/>
      <c r="JX321" s="770"/>
      <c r="JY321" s="770"/>
      <c r="JZ321" s="770"/>
      <c r="KA321" s="770"/>
      <c r="KB321" s="770"/>
      <c r="KC321" s="770"/>
      <c r="KD321" s="770"/>
      <c r="KE321" s="770"/>
      <c r="KF321" s="770"/>
      <c r="KG321" s="770"/>
      <c r="KH321" s="770"/>
      <c r="KI321" s="770"/>
      <c r="KJ321" s="770"/>
      <c r="KK321" s="770"/>
      <c r="KL321" s="770"/>
      <c r="KM321" s="770"/>
      <c r="KN321" s="770"/>
      <c r="KO321" s="770"/>
      <c r="KP321" s="770"/>
      <c r="KQ321" s="770"/>
      <c r="KR321" s="770"/>
      <c r="KS321" s="770"/>
      <c r="KT321" s="770"/>
      <c r="KU321" s="770"/>
      <c r="KV321" s="770"/>
      <c r="KW321" s="770"/>
      <c r="KX321" s="770"/>
      <c r="KY321" s="770"/>
      <c r="KZ321" s="770"/>
      <c r="LA321" s="770"/>
      <c r="LB321" s="770"/>
      <c r="LC321" s="770"/>
      <c r="LD321" s="770"/>
      <c r="LE321" s="770"/>
      <c r="LF321" s="770"/>
      <c r="LG321" s="770"/>
      <c r="LH321" s="770"/>
      <c r="LI321" s="770"/>
      <c r="LJ321" s="770"/>
      <c r="LK321" s="770"/>
      <c r="LL321" s="770"/>
      <c r="LM321" s="770"/>
      <c r="LN321" s="766"/>
      <c r="LO321" s="766"/>
      <c r="LP321" s="770"/>
      <c r="LQ321" s="770"/>
      <c r="LR321" s="770"/>
      <c r="LS321" s="770"/>
      <c r="LT321" s="770"/>
      <c r="LU321" s="770"/>
      <c r="LV321" s="770"/>
      <c r="LW321" s="770"/>
      <c r="LX321" s="769"/>
      <c r="LY321" s="766" t="str">
        <f t="shared" si="93"/>
        <v/>
      </c>
      <c r="LZ321" s="299"/>
      <c r="MA321" s="306"/>
      <c r="MB321" s="306"/>
      <c r="MC321" s="1679">
        <f t="shared" si="91"/>
        <v>0</v>
      </c>
      <c r="MD321" s="306"/>
      <c r="ME321" s="306"/>
      <c r="MF321" s="306"/>
      <c r="MG321" s="1680">
        <f t="shared" si="94"/>
        <v>0</v>
      </c>
      <c r="MH321" s="770"/>
      <c r="MI321" s="302"/>
      <c r="MJ321" s="302"/>
      <c r="MK321" s="302"/>
      <c r="ML321" s="302"/>
      <c r="MM321" s="302"/>
      <c r="MN321" s="302"/>
      <c r="MO321" s="302"/>
      <c r="MP321" s="302"/>
      <c r="MQ321" s="302"/>
      <c r="MR321" s="302"/>
      <c r="MS321" s="302"/>
      <c r="MT321" s="302"/>
      <c r="MU321" s="302"/>
      <c r="MV321" s="302"/>
      <c r="MW321" s="302"/>
      <c r="MX321" s="302"/>
      <c r="MY321" s="1682">
        <f t="shared" si="74"/>
        <v>0</v>
      </c>
      <c r="MZ321" s="770"/>
      <c r="NA321" s="770"/>
      <c r="NB321" s="770"/>
      <c r="NC321" s="770"/>
      <c r="ND321" s="770"/>
      <c r="NE321" s="770"/>
      <c r="NF321" s="770"/>
      <c r="NG321" s="770"/>
      <c r="NH321" s="770"/>
      <c r="NI321" s="770"/>
      <c r="NJ321" s="770"/>
      <c r="NK321" s="770"/>
      <c r="NL321" s="770"/>
      <c r="NM321" s="770"/>
      <c r="NN321" s="770"/>
      <c r="NO321" s="770"/>
      <c r="NP321" s="770"/>
      <c r="NQ321" s="770"/>
      <c r="NR321" s="770"/>
      <c r="NS321" s="770"/>
      <c r="NT321" s="770"/>
      <c r="NU321" s="770"/>
      <c r="NV321" s="770"/>
      <c r="NW321" s="770"/>
      <c r="NX321" s="770"/>
      <c r="NY321" s="770"/>
      <c r="NZ321" s="770"/>
      <c r="OA321" s="770"/>
      <c r="OB321" s="770"/>
      <c r="OC321" s="770"/>
      <c r="OD321" s="770"/>
      <c r="OE321" s="770"/>
      <c r="OF321" s="770"/>
      <c r="OG321" s="770"/>
      <c r="OH321" s="770"/>
      <c r="OI321" s="770"/>
      <c r="OJ321" s="770"/>
      <c r="OK321" s="770"/>
      <c r="OL321" s="770"/>
      <c r="OM321" s="770"/>
      <c r="ON321" s="770"/>
      <c r="OO321" s="770"/>
      <c r="OP321" s="770"/>
      <c r="OQ321" s="770"/>
      <c r="OR321" s="770"/>
      <c r="OS321" s="770"/>
      <c r="OT321" s="770"/>
      <c r="OU321" s="770"/>
      <c r="OV321" s="770"/>
      <c r="OW321" s="770"/>
      <c r="OX321" s="770"/>
      <c r="OY321" s="770"/>
      <c r="OZ321" s="770"/>
      <c r="PA321" s="770"/>
      <c r="PB321" s="770"/>
      <c r="PC321" s="770"/>
      <c r="PD321" s="770"/>
      <c r="PE321" s="770"/>
      <c r="PF321" s="770"/>
      <c r="PG321" s="770"/>
      <c r="PH321" s="770"/>
      <c r="PI321" s="770"/>
      <c r="PJ321" s="770"/>
      <c r="PK321" s="770"/>
      <c r="PL321" s="770"/>
      <c r="PM321" s="770"/>
      <c r="PN321" s="770"/>
      <c r="PO321" s="770"/>
      <c r="PP321" s="770"/>
      <c r="PQ321" s="770"/>
      <c r="PR321" s="770" t="s">
        <v>1208</v>
      </c>
      <c r="PS321" s="770" t="s">
        <v>1208</v>
      </c>
      <c r="PT321" s="770" t="s">
        <v>1208</v>
      </c>
      <c r="PU321" s="770"/>
      <c r="PV321" s="770"/>
      <c r="PW321" s="770"/>
      <c r="PX321" s="770"/>
      <c r="PY321" s="770"/>
      <c r="PZ321" s="770"/>
      <c r="QA321" s="770"/>
      <c r="QB321" s="770"/>
      <c r="QC321" s="770"/>
      <c r="QD321" s="770"/>
      <c r="QE321" s="770"/>
      <c r="QF321" s="770"/>
      <c r="QG321" s="770"/>
      <c r="QH321" s="770"/>
      <c r="QI321" s="770"/>
      <c r="QJ321" s="770"/>
      <c r="QK321" s="770"/>
      <c r="QL321" s="770"/>
      <c r="QM321" s="770"/>
      <c r="QN321" s="770"/>
      <c r="QO321" s="770"/>
      <c r="QP321" s="770"/>
      <c r="QQ321" s="770"/>
      <c r="QR321" s="770"/>
      <c r="QS321" s="770"/>
      <c r="QT321" s="770"/>
      <c r="QU321" s="770"/>
      <c r="QV321" s="770"/>
      <c r="QW321" s="770"/>
      <c r="QX321" s="770"/>
      <c r="QY321" s="770"/>
      <c r="QZ321" s="770"/>
      <c r="RA321" s="770"/>
      <c r="RB321" s="770" t="s">
        <v>1214</v>
      </c>
      <c r="RC321" s="770"/>
      <c r="RD321" s="770"/>
      <c r="RE321" s="770"/>
      <c r="RF321" s="304"/>
      <c r="RG321" s="770"/>
      <c r="RH321" s="302"/>
      <c r="RI321" s="770"/>
      <c r="RJ321" s="770" t="s">
        <v>13458</v>
      </c>
      <c r="RK321" s="770" t="s">
        <v>13381</v>
      </c>
      <c r="RL321" s="1710">
        <v>42816</v>
      </c>
      <c r="RM321" s="12"/>
      <c r="RN321" s="1711"/>
      <c r="RO321" s="140" t="s">
        <v>551</v>
      </c>
      <c r="RP321" s="11"/>
      <c r="RQ321" s="11"/>
      <c r="RR321" s="771"/>
      <c r="RS321" s="767"/>
      <c r="RT321" s="11"/>
      <c r="RU321" s="11"/>
      <c r="RV321" s="771" t="s">
        <v>7421</v>
      </c>
      <c r="RW321" s="11" t="s">
        <v>5521</v>
      </c>
      <c r="RX321" s="11" t="s">
        <v>546</v>
      </c>
      <c r="RY321" s="11"/>
      <c r="RZ321" s="11" t="s">
        <v>2209</v>
      </c>
      <c r="SA321" s="771"/>
      <c r="SB321" s="11"/>
      <c r="SC321" s="11"/>
    </row>
    <row r="322" spans="1:497" ht="12.75" hidden="1" customHeight="1">
      <c r="A322" s="154" t="s">
        <v>7419</v>
      </c>
      <c r="B322" s="292" t="s">
        <v>5523</v>
      </c>
      <c r="C322" s="140" t="s">
        <v>554</v>
      </c>
      <c r="D322" s="770" t="s">
        <v>2009</v>
      </c>
      <c r="E322" s="770" t="s">
        <v>555</v>
      </c>
      <c r="F322" s="770" t="s">
        <v>3139</v>
      </c>
      <c r="G322" s="770" t="s">
        <v>18</v>
      </c>
      <c r="H322" s="295" t="s">
        <v>5524</v>
      </c>
      <c r="I322" s="295"/>
      <c r="J322" s="94" t="s">
        <v>5525</v>
      </c>
      <c r="K322" s="770"/>
      <c r="L322" s="770"/>
      <c r="M322" s="770"/>
      <c r="N322" s="770"/>
      <c r="O322" s="770"/>
      <c r="P322" s="770"/>
      <c r="Q322" s="1088"/>
      <c r="R322" s="297"/>
      <c r="S322" s="770"/>
      <c r="T322" s="770"/>
      <c r="U322" s="298"/>
      <c r="V322" s="770"/>
      <c r="W322" s="770"/>
      <c r="X322" s="296"/>
      <c r="Y322" s="770"/>
      <c r="Z322" s="770"/>
      <c r="AA322" s="770"/>
      <c r="AB322" s="770"/>
      <c r="AC322" s="770"/>
      <c r="AD322" s="770"/>
      <c r="AE322" s="770"/>
      <c r="AF322" s="770"/>
      <c r="AG322" s="766" t="s">
        <v>1095</v>
      </c>
      <c r="AH322" s="766" t="s">
        <v>1096</v>
      </c>
      <c r="AI322" s="770" t="s">
        <v>1173</v>
      </c>
      <c r="AJ322" s="770"/>
      <c r="AK322" s="766" t="s">
        <v>1097</v>
      </c>
      <c r="AL322" s="121">
        <v>67.680000000000007</v>
      </c>
      <c r="AM322" s="772">
        <v>30.71</v>
      </c>
      <c r="AN322" s="774">
        <v>0.45400000000000001</v>
      </c>
      <c r="AO322" s="766" t="s">
        <v>1149</v>
      </c>
      <c r="AP322" s="766"/>
      <c r="AQ322" s="766"/>
      <c r="AR322" s="766"/>
      <c r="AS322" s="770" t="s">
        <v>1207</v>
      </c>
      <c r="AT322" s="770" t="s">
        <v>1208</v>
      </c>
      <c r="AU322" s="770"/>
      <c r="AV322" s="770"/>
      <c r="AW322" s="770"/>
      <c r="AX322" s="770"/>
      <c r="AY322" s="770"/>
      <c r="AZ322" s="770"/>
      <c r="BA322" s="770"/>
      <c r="BB322" s="770"/>
      <c r="BC322" s="770" t="s">
        <v>796</v>
      </c>
      <c r="BD322" s="770" t="s">
        <v>1207</v>
      </c>
      <c r="BE322" s="770"/>
      <c r="BF322" s="302"/>
      <c r="BG322" s="302"/>
      <c r="BH322" s="770"/>
      <c r="BI322" s="770"/>
      <c r="BJ322" s="770"/>
      <c r="BK322" s="766" t="s">
        <v>1095</v>
      </c>
      <c r="BL322" s="766" t="s">
        <v>1173</v>
      </c>
      <c r="BM322" s="766" t="s">
        <v>1096</v>
      </c>
      <c r="BN322" s="766" t="s">
        <v>1230</v>
      </c>
      <c r="BO322" s="766" t="s">
        <v>1239</v>
      </c>
      <c r="BP322" s="46">
        <v>135.36000000000001</v>
      </c>
      <c r="BQ322" s="45">
        <v>61.42</v>
      </c>
      <c r="BR322" s="47">
        <v>0.4536</v>
      </c>
      <c r="BS322" s="6" t="s">
        <v>1149</v>
      </c>
      <c r="BT322" s="766" t="s">
        <v>2040</v>
      </c>
      <c r="BU322" s="770" t="s">
        <v>1249</v>
      </c>
      <c r="BV322" s="770" t="s">
        <v>1247</v>
      </c>
      <c r="BW322" s="769"/>
      <c r="BX322" s="302"/>
      <c r="BY322" s="303"/>
      <c r="BZ322" s="770"/>
      <c r="CA322" s="302"/>
      <c r="CB322" s="302"/>
      <c r="CC322" s="770"/>
      <c r="CD322" s="770"/>
      <c r="CE322" s="770"/>
      <c r="CF322" s="304"/>
      <c r="CG322" s="321"/>
      <c r="CH322" s="770"/>
      <c r="CI322" s="770"/>
      <c r="CJ322" s="770"/>
      <c r="CK322" s="770"/>
      <c r="CL322" s="770"/>
      <c r="CM322" s="770"/>
      <c r="CN322" s="770"/>
      <c r="CO322" s="770"/>
      <c r="CP322" s="770"/>
      <c r="CQ322" s="770"/>
      <c r="CR322" s="770"/>
      <c r="CS322" s="302"/>
      <c r="CT322" s="770"/>
      <c r="CU322" s="305"/>
      <c r="CV322" s="770"/>
      <c r="CW322" s="770"/>
      <c r="CX322" s="770"/>
      <c r="CY322" s="770"/>
      <c r="CZ322" s="770"/>
      <c r="DA322" s="306"/>
      <c r="DB322" s="770"/>
      <c r="DC322" s="770"/>
      <c r="DD322" s="770"/>
      <c r="DE322" s="300"/>
      <c r="DF322" s="770"/>
      <c r="DG322" s="770"/>
      <c r="DH322" s="770"/>
      <c r="DI322" s="770"/>
      <c r="DJ322" s="770"/>
      <c r="DK322" s="770"/>
      <c r="DL322" s="770"/>
      <c r="DM322" s="770"/>
      <c r="DN322" s="322"/>
      <c r="DO322" s="770"/>
      <c r="DP322" s="770"/>
      <c r="DQ322" s="770"/>
      <c r="DR322" s="770"/>
      <c r="DS322" s="307"/>
      <c r="DT322" s="770"/>
      <c r="DU322" s="770"/>
      <c r="DV322" s="770"/>
      <c r="DW322" s="306"/>
      <c r="DX322" s="306"/>
      <c r="DY322" s="770"/>
      <c r="DZ322" s="770"/>
      <c r="EA322" s="770"/>
      <c r="EB322" s="770"/>
      <c r="EC322" s="770"/>
      <c r="ED322" s="770"/>
      <c r="EE322" s="770"/>
      <c r="EF322" s="770"/>
      <c r="EG322" s="770"/>
      <c r="EH322" s="770"/>
      <c r="EI322" s="770"/>
      <c r="EJ322" s="770"/>
      <c r="EK322" s="770"/>
      <c r="EL322" s="770"/>
      <c r="EM322" s="770"/>
      <c r="EN322" s="770"/>
      <c r="EO322" s="770"/>
      <c r="EP322" s="94"/>
      <c r="EQ322" s="770"/>
      <c r="ER322" s="770"/>
      <c r="ES322" s="770"/>
      <c r="ET322" s="770"/>
      <c r="EU322" s="770"/>
      <c r="EV322" s="770"/>
      <c r="EW322" s="770"/>
      <c r="EX322" s="770"/>
      <c r="EY322" s="770"/>
      <c r="EZ322" s="770"/>
      <c r="FA322" s="770"/>
      <c r="FB322" s="770"/>
      <c r="FC322" s="770"/>
      <c r="FD322" s="302"/>
      <c r="FE322" s="770"/>
      <c r="FF322" s="770"/>
      <c r="FG322" s="770"/>
      <c r="FH322" s="770" t="s">
        <v>1263</v>
      </c>
      <c r="FI322" s="770">
        <v>2</v>
      </c>
      <c r="FJ322" s="770" t="s">
        <v>1173</v>
      </c>
      <c r="FK322" s="770" t="s">
        <v>5524</v>
      </c>
      <c r="FL322" s="770"/>
      <c r="FM322" s="302"/>
      <c r="FN322" s="302"/>
      <c r="FO322" s="302"/>
      <c r="FP322" s="770" t="s">
        <v>1602</v>
      </c>
      <c r="FQ322" s="766" t="s">
        <v>1660</v>
      </c>
      <c r="FR322" s="770" t="s">
        <v>1207</v>
      </c>
      <c r="FS322" s="770" t="s">
        <v>1208</v>
      </c>
      <c r="FT322" s="770"/>
      <c r="FU322" s="770"/>
      <c r="FV322" s="770"/>
      <c r="FW322" s="770"/>
      <c r="FX322" s="770"/>
      <c r="FY322" s="770"/>
      <c r="FZ322" s="770"/>
      <c r="GA322" s="770"/>
      <c r="GB322" s="770" t="s">
        <v>796</v>
      </c>
      <c r="GC322" s="308" t="s">
        <v>1173</v>
      </c>
      <c r="GD322" s="297">
        <v>2011</v>
      </c>
      <c r="GE322" s="770" t="s">
        <v>1207</v>
      </c>
      <c r="GF322" s="302">
        <v>2500</v>
      </c>
      <c r="GG322" s="302">
        <f>GF322*12</f>
        <v>30000</v>
      </c>
      <c r="GH322" s="770"/>
      <c r="GI322" s="770"/>
      <c r="GJ322" s="770"/>
      <c r="GK322" s="770"/>
      <c r="GL322" s="770"/>
      <c r="GM322" s="770"/>
      <c r="GN322" s="309"/>
      <c r="GO322" s="770"/>
      <c r="GP322" s="770"/>
      <c r="GQ322" s="770"/>
      <c r="GR322" s="770"/>
      <c r="GS322" s="770"/>
      <c r="GT322" s="770"/>
      <c r="GU322" s="770"/>
      <c r="GV322" s="770"/>
      <c r="GW322" s="770"/>
      <c r="GX322" s="770"/>
      <c r="GY322" s="770"/>
      <c r="GZ322" s="770"/>
      <c r="HA322" s="770"/>
      <c r="HB322" s="770"/>
      <c r="HC322" s="770"/>
      <c r="HD322" s="770"/>
      <c r="HE322" s="770"/>
      <c r="HF322" s="770"/>
      <c r="HG322" s="770"/>
      <c r="HH322" s="770"/>
      <c r="HI322" s="770"/>
      <c r="HJ322" s="770"/>
      <c r="HK322" s="770"/>
      <c r="HL322" s="770"/>
      <c r="HM322" s="770"/>
      <c r="HN322" s="770"/>
      <c r="HO322" s="770"/>
      <c r="HP322" s="770"/>
      <c r="HQ322" s="770"/>
      <c r="HR322" s="770"/>
      <c r="HS322" s="770"/>
      <c r="HT322" s="770"/>
      <c r="HU322" s="770"/>
      <c r="HV322" s="770"/>
      <c r="HW322" s="770"/>
      <c r="HX322" s="770"/>
      <c r="HY322" s="770"/>
      <c r="HZ322" s="770"/>
      <c r="IA322" s="770"/>
      <c r="IB322" s="14" t="e">
        <f>IF(#REF!&gt;0,IF(#REF!&lt;=10000,"Y",""),"")</f>
        <v>#REF!</v>
      </c>
      <c r="IC322" s="770" t="s">
        <v>1207</v>
      </c>
      <c r="ID322" s="770">
        <v>1</v>
      </c>
      <c r="IE322" s="770"/>
      <c r="IF322" s="1828" t="s">
        <v>2009</v>
      </c>
      <c r="IG322" s="770" t="s">
        <v>18</v>
      </c>
      <c r="IH322" s="770" t="s">
        <v>478</v>
      </c>
      <c r="II322" s="770" t="s">
        <v>2010</v>
      </c>
      <c r="IJ322" s="770" t="s">
        <v>1604</v>
      </c>
      <c r="IK322" s="766" t="s">
        <v>1888</v>
      </c>
      <c r="IL322" s="770" t="s">
        <v>1173</v>
      </c>
      <c r="IM322" s="770">
        <v>1985</v>
      </c>
      <c r="IN322" s="770" t="s">
        <v>2011</v>
      </c>
      <c r="IO322" s="296">
        <v>17261</v>
      </c>
      <c r="IP322" s="770" t="s">
        <v>1263</v>
      </c>
      <c r="IQ322" s="769" t="s">
        <v>5498</v>
      </c>
      <c r="IR322" s="770" t="s">
        <v>2716</v>
      </c>
      <c r="IS322" s="770" t="s">
        <v>951</v>
      </c>
      <c r="IT322" s="770"/>
      <c r="IU322" s="770" t="s">
        <v>1208</v>
      </c>
      <c r="IV322" s="770"/>
      <c r="IW322" s="770" t="s">
        <v>13459</v>
      </c>
      <c r="IX322" s="770" t="s">
        <v>12784</v>
      </c>
      <c r="IY322" s="770" t="s">
        <v>12785</v>
      </c>
      <c r="IZ322" s="770"/>
      <c r="JA322" s="770"/>
      <c r="JB322" s="770"/>
      <c r="JC322" s="770"/>
      <c r="JD322" s="302">
        <v>2500</v>
      </c>
      <c r="JE322" s="770"/>
      <c r="JF322" s="770"/>
      <c r="JG322" s="770"/>
      <c r="JH322" s="770"/>
      <c r="JI322" s="770"/>
      <c r="JJ322" s="770">
        <v>1</v>
      </c>
      <c r="JK322" s="770" t="s">
        <v>13460</v>
      </c>
      <c r="JL322" s="770"/>
      <c r="JM322" s="770"/>
      <c r="JN322" s="770"/>
      <c r="JO322" s="770"/>
      <c r="JP322" s="770"/>
      <c r="JQ322" s="770">
        <v>1</v>
      </c>
      <c r="JR322" s="770"/>
      <c r="JS322" s="770"/>
      <c r="JT322" s="766">
        <f>SUM(JP322,JN322,JL322,JR322)</f>
        <v>0</v>
      </c>
      <c r="JU322" s="766">
        <f>SUM(JQ322,JO322,JM322,JS322)</f>
        <v>1</v>
      </c>
      <c r="JV322" s="766"/>
      <c r="JW322" s="766"/>
      <c r="JX322" s="770"/>
      <c r="JY322" s="770"/>
      <c r="JZ322" s="770"/>
      <c r="KA322" s="770"/>
      <c r="KB322" s="770"/>
      <c r="KC322" s="770"/>
      <c r="KD322" s="770"/>
      <c r="KE322" s="770"/>
      <c r="KF322" s="770"/>
      <c r="KG322" s="770">
        <v>1</v>
      </c>
      <c r="KH322" s="770"/>
      <c r="KI322" s="770"/>
      <c r="KJ322" s="770">
        <f t="shared" si="86"/>
        <v>0</v>
      </c>
      <c r="KK322" s="770">
        <f t="shared" si="86"/>
        <v>1</v>
      </c>
      <c r="KL322" s="770"/>
      <c r="KM322" s="770"/>
      <c r="KN322" s="770"/>
      <c r="KO322" s="770"/>
      <c r="KP322" s="770"/>
      <c r="KQ322" s="770"/>
      <c r="KR322" s="770"/>
      <c r="KS322" s="770"/>
      <c r="KT322" s="770"/>
      <c r="KU322" s="770"/>
      <c r="KV322" s="770"/>
      <c r="KW322" s="770"/>
      <c r="KX322" s="770"/>
      <c r="KY322" s="770"/>
      <c r="KZ322" s="770"/>
      <c r="LA322" s="770"/>
      <c r="LB322" s="770"/>
      <c r="LC322" s="770"/>
      <c r="LD322" s="770"/>
      <c r="LE322" s="770"/>
      <c r="LF322" s="770"/>
      <c r="LG322" s="770"/>
      <c r="LH322" s="770"/>
      <c r="LI322" s="770"/>
      <c r="LJ322" s="770"/>
      <c r="LK322" s="770"/>
      <c r="LL322" s="770"/>
      <c r="LM322" s="770"/>
      <c r="LN322" s="766"/>
      <c r="LO322" s="766"/>
      <c r="LP322" s="770"/>
      <c r="LQ322" s="770"/>
      <c r="LR322" s="770"/>
      <c r="LS322" s="770"/>
      <c r="LT322" s="770"/>
      <c r="LU322" s="770"/>
      <c r="LV322" s="770"/>
      <c r="LW322" s="770"/>
      <c r="LX322" s="769"/>
      <c r="LY322" s="766" t="str">
        <f t="shared" si="93"/>
        <v/>
      </c>
      <c r="LZ322" s="299"/>
      <c r="MA322" s="306"/>
      <c r="MB322" s="306"/>
      <c r="MC322" s="1679">
        <f t="shared" si="91"/>
        <v>0</v>
      </c>
      <c r="MD322" s="306"/>
      <c r="ME322" s="306"/>
      <c r="MF322" s="306"/>
      <c r="MG322" s="1680">
        <f t="shared" ref="MG322:MG385" si="97">SUM(MD322:MF322)</f>
        <v>0</v>
      </c>
      <c r="MH322" s="770"/>
      <c r="MI322" s="302"/>
      <c r="MJ322" s="302"/>
      <c r="MK322" s="302"/>
      <c r="ML322" s="302"/>
      <c r="MM322" s="302"/>
      <c r="MN322" s="302"/>
      <c r="MO322" s="302"/>
      <c r="MP322" s="302"/>
      <c r="MQ322" s="302"/>
      <c r="MR322" s="302"/>
      <c r="MS322" s="302"/>
      <c r="MT322" s="302"/>
      <c r="MU322" s="302"/>
      <c r="MV322" s="302"/>
      <c r="MW322" s="302"/>
      <c r="MX322" s="302"/>
      <c r="MY322" s="1682">
        <f t="shared" si="74"/>
        <v>0</v>
      </c>
      <c r="MZ322" s="770"/>
      <c r="NA322" s="770"/>
      <c r="NB322" s="770"/>
      <c r="NC322" s="770"/>
      <c r="ND322" s="770"/>
      <c r="NE322" s="770"/>
      <c r="NF322" s="770"/>
      <c r="NG322" s="770"/>
      <c r="NH322" s="770"/>
      <c r="NI322" s="770"/>
      <c r="NJ322" s="770"/>
      <c r="NK322" s="770"/>
      <c r="NL322" s="770"/>
      <c r="NM322" s="770"/>
      <c r="NN322" s="770"/>
      <c r="NO322" s="770"/>
      <c r="NP322" s="770"/>
      <c r="NQ322" s="770"/>
      <c r="NR322" s="770"/>
      <c r="NS322" s="770"/>
      <c r="NT322" s="770"/>
      <c r="NU322" s="770"/>
      <c r="NV322" s="770"/>
      <c r="NW322" s="770"/>
      <c r="NX322" s="770"/>
      <c r="NY322" s="770"/>
      <c r="NZ322" s="770"/>
      <c r="OA322" s="770"/>
      <c r="OB322" s="770"/>
      <c r="OC322" s="770"/>
      <c r="OD322" s="770"/>
      <c r="OE322" s="770"/>
      <c r="OF322" s="1834" t="s">
        <v>13034</v>
      </c>
      <c r="OG322" s="770"/>
      <c r="OH322" s="770"/>
      <c r="OI322" s="770"/>
      <c r="OJ322" s="770"/>
      <c r="OK322" s="770"/>
      <c r="OL322" s="770"/>
      <c r="OM322" s="770"/>
      <c r="ON322" s="770"/>
      <c r="OO322" s="770"/>
      <c r="OP322" s="770"/>
      <c r="OQ322" s="770"/>
      <c r="OR322" s="770"/>
      <c r="OS322" s="770"/>
      <c r="OT322" s="770"/>
      <c r="OU322" s="770"/>
      <c r="OV322" s="770"/>
      <c r="OW322" s="770"/>
      <c r="OX322" s="770"/>
      <c r="OY322" s="770"/>
      <c r="OZ322" s="770"/>
      <c r="PA322" s="770"/>
      <c r="PB322" s="770"/>
      <c r="PC322" s="770"/>
      <c r="PD322" s="770"/>
      <c r="PE322" s="770"/>
      <c r="PF322" s="770"/>
      <c r="PG322" s="770"/>
      <c r="PH322" s="770"/>
      <c r="PI322" s="770"/>
      <c r="PJ322" s="770"/>
      <c r="PK322" s="770"/>
      <c r="PL322" s="770"/>
      <c r="PM322" s="770"/>
      <c r="PN322" s="770"/>
      <c r="PO322" s="770"/>
      <c r="PP322" s="770"/>
      <c r="PQ322" s="770"/>
      <c r="PR322" s="770"/>
      <c r="PS322" s="770"/>
      <c r="PT322" s="770"/>
      <c r="PU322" s="770"/>
      <c r="PV322" s="770"/>
      <c r="PW322" s="770"/>
      <c r="PX322" s="770"/>
      <c r="PY322" s="770"/>
      <c r="PZ322" s="770"/>
      <c r="QA322" s="770"/>
      <c r="QB322" s="770"/>
      <c r="QC322" s="770"/>
      <c r="QD322" s="770"/>
      <c r="QE322" s="770"/>
      <c r="QF322" s="770"/>
      <c r="QG322" s="770"/>
      <c r="QH322" s="770"/>
      <c r="QI322" s="770"/>
      <c r="QJ322" s="770"/>
      <c r="QK322" s="770"/>
      <c r="QL322" s="770"/>
      <c r="QM322" s="770"/>
      <c r="QN322" s="770"/>
      <c r="QO322" s="770"/>
      <c r="QP322" s="770"/>
      <c r="QQ322" s="770"/>
      <c r="QR322" s="770"/>
      <c r="QS322" s="770"/>
      <c r="QT322" s="770"/>
      <c r="QU322" s="770"/>
      <c r="QV322" s="770"/>
      <c r="QW322" s="770"/>
      <c r="QX322" s="770"/>
      <c r="QY322" s="770"/>
      <c r="QZ322" s="770"/>
      <c r="RA322" s="770"/>
      <c r="RB322" s="770"/>
      <c r="RC322" s="770"/>
      <c r="RD322" s="770"/>
      <c r="RE322" s="770"/>
      <c r="RF322" s="304"/>
      <c r="RG322" s="770"/>
      <c r="RH322" s="302"/>
      <c r="RI322" s="770"/>
      <c r="RJ322" s="770" t="s">
        <v>2011</v>
      </c>
      <c r="RK322" s="770" t="s">
        <v>13461</v>
      </c>
      <c r="RL322" s="1710"/>
      <c r="RM322" s="12"/>
      <c r="RN322" s="1711"/>
      <c r="RO322" s="140" t="s">
        <v>554</v>
      </c>
      <c r="RP322" s="11"/>
      <c r="RQ322" s="11"/>
      <c r="RR322" s="771"/>
      <c r="RS322" s="767"/>
      <c r="RT322" s="11"/>
      <c r="RU322" s="11"/>
      <c r="RV322" s="771" t="s">
        <v>7421</v>
      </c>
      <c r="RW322" s="11" t="s">
        <v>7634</v>
      </c>
      <c r="RX322" s="11" t="s">
        <v>549</v>
      </c>
      <c r="RY322" s="11"/>
      <c r="RZ322" s="11" t="s">
        <v>2209</v>
      </c>
      <c r="SA322" s="771"/>
      <c r="SB322" s="11"/>
      <c r="SC322" s="11"/>
    </row>
    <row r="323" spans="1:497" ht="12.75" hidden="1" customHeight="1">
      <c r="A323" s="343" t="s">
        <v>14168</v>
      </c>
      <c r="B323" s="292" t="s">
        <v>7635</v>
      </c>
      <c r="C323" s="140" t="s">
        <v>554</v>
      </c>
      <c r="D323" s="770" t="s">
        <v>5526</v>
      </c>
      <c r="E323" s="770" t="s">
        <v>555</v>
      </c>
      <c r="F323" s="770" t="s">
        <v>28</v>
      </c>
      <c r="G323" s="770" t="s">
        <v>10</v>
      </c>
      <c r="H323" s="770"/>
      <c r="I323" s="295"/>
      <c r="J323" s="770" t="s">
        <v>5526</v>
      </c>
      <c r="K323" s="770"/>
      <c r="L323" s="770"/>
      <c r="M323" s="770"/>
      <c r="N323" s="770"/>
      <c r="O323" s="770"/>
      <c r="P323" s="770"/>
      <c r="Q323" s="1088"/>
      <c r="R323" s="297"/>
      <c r="S323" s="770"/>
      <c r="T323" s="770"/>
      <c r="U323" s="298"/>
      <c r="V323" s="770"/>
      <c r="W323" s="770"/>
      <c r="X323" s="296"/>
      <c r="Y323" s="770"/>
      <c r="Z323" s="770"/>
      <c r="AA323" s="770"/>
      <c r="AB323" s="770"/>
      <c r="AC323" s="770"/>
      <c r="AD323" s="770"/>
      <c r="AE323" s="770"/>
      <c r="AF323" s="770"/>
      <c r="AG323" s="770"/>
      <c r="AH323" s="770"/>
      <c r="AI323" s="770"/>
      <c r="AJ323" s="770"/>
      <c r="AK323" s="770" t="s">
        <v>1899</v>
      </c>
      <c r="AL323" s="299"/>
      <c r="AM323" s="300"/>
      <c r="AN323" s="301"/>
      <c r="AO323" s="766"/>
      <c r="AP323" s="766"/>
      <c r="AQ323" s="766"/>
      <c r="AR323" s="766"/>
      <c r="AS323" s="770"/>
      <c r="AT323" s="770"/>
      <c r="AU323" s="770"/>
      <c r="AV323" s="770"/>
      <c r="AW323" s="770"/>
      <c r="AX323" s="770"/>
      <c r="AY323" s="770"/>
      <c r="AZ323" s="770"/>
      <c r="BA323" s="770"/>
      <c r="BB323" s="770"/>
      <c r="BC323" s="770"/>
      <c r="BD323" s="770"/>
      <c r="BE323" s="770"/>
      <c r="BF323" s="302"/>
      <c r="BG323" s="302"/>
      <c r="BH323" s="770"/>
      <c r="BI323" s="770"/>
      <c r="BJ323" s="770"/>
      <c r="BK323" s="770"/>
      <c r="BL323" s="770"/>
      <c r="BM323" s="770" t="s">
        <v>1238</v>
      </c>
      <c r="BN323" s="770" t="s">
        <v>1256</v>
      </c>
      <c r="BO323" s="770"/>
      <c r="BP323" s="1108"/>
      <c r="BQ323" s="45"/>
      <c r="BR323" s="47"/>
      <c r="BS323" s="6" t="s">
        <v>1149</v>
      </c>
      <c r="BT323" s="766"/>
      <c r="BU323" s="770"/>
      <c r="BV323" s="770"/>
      <c r="BW323" s="770"/>
      <c r="BX323" s="302"/>
      <c r="BY323" s="303"/>
      <c r="BZ323" s="770"/>
      <c r="CA323" s="302"/>
      <c r="CB323" s="302"/>
      <c r="CC323" s="770"/>
      <c r="CD323" s="770"/>
      <c r="CE323" s="770"/>
      <c r="CF323" s="770"/>
      <c r="CG323" s="770"/>
      <c r="CH323" s="770"/>
      <c r="CI323" s="770"/>
      <c r="CJ323" s="770"/>
      <c r="CK323" s="770"/>
      <c r="CL323" s="770"/>
      <c r="CM323" s="770"/>
      <c r="CN323" s="770"/>
      <c r="CO323" s="770"/>
      <c r="CP323" s="770"/>
      <c r="CQ323" s="770"/>
      <c r="CR323" s="770"/>
      <c r="CS323" s="302"/>
      <c r="CT323" s="770"/>
      <c r="CU323" s="305"/>
      <c r="CV323" s="770"/>
      <c r="CW323" s="770"/>
      <c r="CX323" s="770"/>
      <c r="CY323" s="770"/>
      <c r="CZ323" s="770"/>
      <c r="DA323" s="770"/>
      <c r="DB323" s="770"/>
      <c r="DC323" s="770"/>
      <c r="DD323" s="770"/>
      <c r="DE323" s="770"/>
      <c r="DF323" s="770"/>
      <c r="DG323" s="770"/>
      <c r="DH323" s="770"/>
      <c r="DI323" s="770"/>
      <c r="DJ323" s="770"/>
      <c r="DK323" s="770"/>
      <c r="DL323" s="770"/>
      <c r="DM323" s="770"/>
      <c r="DN323" s="770"/>
      <c r="DO323" s="770"/>
      <c r="DP323" s="770"/>
      <c r="DQ323" s="770"/>
      <c r="DR323" s="770"/>
      <c r="DS323" s="307"/>
      <c r="DT323" s="770"/>
      <c r="DU323" s="770"/>
      <c r="DV323" s="770"/>
      <c r="DW323" s="306"/>
      <c r="DX323" s="306"/>
      <c r="DY323" s="770"/>
      <c r="DZ323" s="770"/>
      <c r="EA323" s="770"/>
      <c r="EB323" s="770"/>
      <c r="EC323" s="770"/>
      <c r="ED323" s="770"/>
      <c r="EE323" s="770"/>
      <c r="EF323" s="770"/>
      <c r="EG323" s="770"/>
      <c r="EH323" s="770"/>
      <c r="EI323" s="770"/>
      <c r="EJ323" s="770"/>
      <c r="EK323" s="770"/>
      <c r="EL323" s="770"/>
      <c r="EM323" s="770"/>
      <c r="EN323" s="770"/>
      <c r="EO323" s="770"/>
      <c r="EP323" s="770"/>
      <c r="EQ323" s="770"/>
      <c r="ER323" s="770"/>
      <c r="ES323" s="770"/>
      <c r="ET323" s="770"/>
      <c r="EU323" s="770"/>
      <c r="EV323" s="770"/>
      <c r="EW323" s="770"/>
      <c r="EX323" s="770"/>
      <c r="EY323" s="770"/>
      <c r="EZ323" s="770"/>
      <c r="FA323" s="770"/>
      <c r="FB323" s="770"/>
      <c r="FC323" s="770"/>
      <c r="FD323" s="302"/>
      <c r="FE323" s="770"/>
      <c r="FF323" s="770"/>
      <c r="FG323" s="770"/>
      <c r="FH323" s="770" t="s">
        <v>1306</v>
      </c>
      <c r="FI323" s="770">
        <v>1</v>
      </c>
      <c r="FJ323" s="770" t="s">
        <v>1173</v>
      </c>
      <c r="FK323" s="770"/>
      <c r="FL323" s="770"/>
      <c r="FM323" s="147">
        <v>2500</v>
      </c>
      <c r="FN323" s="302"/>
      <c r="FO323" s="302">
        <v>500</v>
      </c>
      <c r="FP323" s="770" t="s">
        <v>1602</v>
      </c>
      <c r="FQ323" s="766" t="s">
        <v>1660</v>
      </c>
      <c r="FR323" s="770"/>
      <c r="FS323" s="770"/>
      <c r="FT323" s="770"/>
      <c r="FU323" s="770"/>
      <c r="FV323" s="770"/>
      <c r="FW323" s="770"/>
      <c r="FX323" s="770"/>
      <c r="FY323" s="770"/>
      <c r="FZ323" s="770"/>
      <c r="GA323" s="770"/>
      <c r="GB323" s="770"/>
      <c r="GC323" s="308"/>
      <c r="GD323" s="297"/>
      <c r="GE323" s="770"/>
      <c r="GF323" s="302"/>
      <c r="GG323" s="302"/>
      <c r="GH323" s="770"/>
      <c r="GI323" s="770"/>
      <c r="GJ323" s="770"/>
      <c r="GK323" s="770"/>
      <c r="GL323" s="770"/>
      <c r="GM323" s="770"/>
      <c r="GN323" s="309"/>
      <c r="GO323" s="770"/>
      <c r="GP323" s="770"/>
      <c r="GQ323" s="770"/>
      <c r="GR323" s="770"/>
      <c r="GS323" s="770"/>
      <c r="GT323" s="770"/>
      <c r="GU323" s="770"/>
      <c r="GV323" s="770"/>
      <c r="GW323" s="770"/>
      <c r="GX323" s="770"/>
      <c r="GY323" s="770"/>
      <c r="GZ323" s="770"/>
      <c r="HA323" s="770"/>
      <c r="HB323" s="770"/>
      <c r="HC323" s="770"/>
      <c r="HD323" s="770"/>
      <c r="HE323" s="770"/>
      <c r="HF323" s="770"/>
      <c r="HG323" s="770"/>
      <c r="HH323" s="770"/>
      <c r="HI323" s="770"/>
      <c r="HJ323" s="770"/>
      <c r="HK323" s="770"/>
      <c r="HL323" s="770"/>
      <c r="HM323" s="770"/>
      <c r="HN323" s="770"/>
      <c r="HO323" s="770"/>
      <c r="HP323" s="770"/>
      <c r="HQ323" s="770"/>
      <c r="HR323" s="770"/>
      <c r="HS323" s="770"/>
      <c r="HT323" s="770"/>
      <c r="HU323" s="770"/>
      <c r="HV323" s="770"/>
      <c r="HW323" s="770"/>
      <c r="HX323" s="770"/>
      <c r="HY323" s="770"/>
      <c r="HZ323" s="770"/>
      <c r="IA323" s="770"/>
      <c r="IB323" s="14" t="e">
        <f>IF(#REF!&gt;0,IF(#REF!&lt;=10000,"Y",""),"")</f>
        <v>#REF!</v>
      </c>
      <c r="IC323" s="770"/>
      <c r="ID323" s="770"/>
      <c r="IE323" s="770"/>
      <c r="IF323" s="770"/>
      <c r="IG323" s="770"/>
      <c r="IH323" s="770"/>
      <c r="II323" s="770"/>
      <c r="IJ323" s="770"/>
      <c r="IK323" s="766"/>
      <c r="IL323" s="770"/>
      <c r="IM323" s="770"/>
      <c r="IN323" s="770"/>
      <c r="IO323" s="296"/>
      <c r="IP323" s="770"/>
      <c r="IQ323" s="770"/>
      <c r="IR323" s="770"/>
      <c r="IS323" s="770"/>
      <c r="IT323" s="770"/>
      <c r="IU323" s="770"/>
      <c r="IV323" s="770"/>
      <c r="IW323" s="770"/>
      <c r="IX323" s="770"/>
      <c r="IY323" s="770"/>
      <c r="IZ323" s="770"/>
      <c r="JA323" s="770"/>
      <c r="JB323" s="770"/>
      <c r="JC323" s="770"/>
      <c r="JD323" s="302"/>
      <c r="JE323" s="770"/>
      <c r="JF323" s="770"/>
      <c r="JG323" s="770"/>
      <c r="JH323" s="770"/>
      <c r="JI323" s="770"/>
      <c r="JJ323" s="770"/>
      <c r="JK323" s="770"/>
      <c r="JL323" s="770"/>
      <c r="JM323" s="770"/>
      <c r="JN323" s="770"/>
      <c r="JO323" s="770"/>
      <c r="JP323" s="770"/>
      <c r="JQ323" s="770"/>
      <c r="JR323" s="770"/>
      <c r="JS323" s="770"/>
      <c r="JT323" s="766"/>
      <c r="JU323" s="766"/>
      <c r="JV323" s="766"/>
      <c r="JW323" s="766"/>
      <c r="JX323" s="770"/>
      <c r="JY323" s="770"/>
      <c r="JZ323" s="770"/>
      <c r="KA323" s="770"/>
      <c r="KB323" s="770"/>
      <c r="KC323" s="770"/>
      <c r="KD323" s="770"/>
      <c r="KE323" s="770"/>
      <c r="KF323" s="770"/>
      <c r="KG323" s="770"/>
      <c r="KH323" s="770"/>
      <c r="KI323" s="770"/>
      <c r="KJ323" s="770"/>
      <c r="KK323" s="770"/>
      <c r="KL323" s="770"/>
      <c r="KM323" s="770"/>
      <c r="KN323" s="770"/>
      <c r="KO323" s="770"/>
      <c r="KP323" s="770"/>
      <c r="KQ323" s="770"/>
      <c r="KR323" s="770"/>
      <c r="KS323" s="770"/>
      <c r="KT323" s="770"/>
      <c r="KU323" s="770"/>
      <c r="KV323" s="770"/>
      <c r="KW323" s="770"/>
      <c r="KX323" s="770"/>
      <c r="KY323" s="770"/>
      <c r="KZ323" s="770"/>
      <c r="LA323" s="770"/>
      <c r="LB323" s="770"/>
      <c r="LC323" s="770"/>
      <c r="LD323" s="770"/>
      <c r="LE323" s="770"/>
      <c r="LF323" s="770"/>
      <c r="LG323" s="770"/>
      <c r="LH323" s="770"/>
      <c r="LI323" s="770"/>
      <c r="LJ323" s="770"/>
      <c r="LK323" s="770"/>
      <c r="LL323" s="770"/>
      <c r="LM323" s="770"/>
      <c r="LN323" s="766"/>
      <c r="LO323" s="766"/>
      <c r="LP323" s="770"/>
      <c r="LQ323" s="770"/>
      <c r="LR323" s="770"/>
      <c r="LS323" s="770"/>
      <c r="LT323" s="770"/>
      <c r="LU323" s="770"/>
      <c r="LV323" s="770"/>
      <c r="LW323" s="770"/>
      <c r="LX323" s="769"/>
      <c r="LY323" s="766" t="str">
        <f t="shared" si="93"/>
        <v/>
      </c>
      <c r="LZ323" s="299"/>
      <c r="MA323" s="1709"/>
      <c r="MB323" s="1709"/>
      <c r="MC323" s="1679">
        <f t="shared" si="91"/>
        <v>0</v>
      </c>
      <c r="MD323" s="1709"/>
      <c r="ME323" s="1709"/>
      <c r="MF323" s="1709"/>
      <c r="MG323" s="1680">
        <f t="shared" si="97"/>
        <v>0</v>
      </c>
      <c r="MH323" s="770"/>
      <c r="MI323" s="302"/>
      <c r="MJ323" s="302"/>
      <c r="MK323" s="302"/>
      <c r="ML323" s="302"/>
      <c r="MM323" s="302"/>
      <c r="MN323" s="302"/>
      <c r="MO323" s="302"/>
      <c r="MP323" s="302"/>
      <c r="MQ323" s="302"/>
      <c r="MR323" s="302"/>
      <c r="MS323" s="302"/>
      <c r="MT323" s="302"/>
      <c r="MU323" s="302"/>
      <c r="MV323" s="302"/>
      <c r="MW323" s="302"/>
      <c r="MX323" s="302"/>
      <c r="MY323" s="1682">
        <f t="shared" ref="MY323:MY386" si="98">IF(ISBLANK(MI323:MX323)=TRUE,"",SUM(MI323:MX323))</f>
        <v>0</v>
      </c>
      <c r="MZ323" s="770"/>
      <c r="NA323" s="770"/>
      <c r="NB323" s="770"/>
      <c r="NC323" s="770"/>
      <c r="ND323" s="770"/>
      <c r="NE323" s="770"/>
      <c r="NF323" s="770"/>
      <c r="NG323" s="770"/>
      <c r="NH323" s="770"/>
      <c r="NI323" s="770"/>
      <c r="NJ323" s="770"/>
      <c r="NK323" s="770"/>
      <c r="NL323" s="770"/>
      <c r="NM323" s="770"/>
      <c r="NN323" s="770"/>
      <c r="NO323" s="770"/>
      <c r="NP323" s="770"/>
      <c r="NQ323" s="770"/>
      <c r="NR323" s="770"/>
      <c r="NS323" s="770"/>
      <c r="NT323" s="770"/>
      <c r="NU323" s="770"/>
      <c r="NV323" s="770"/>
      <c r="NW323" s="770"/>
      <c r="NX323" s="770"/>
      <c r="NY323" s="770"/>
      <c r="NZ323" s="770"/>
      <c r="OA323" s="770"/>
      <c r="OB323" s="770"/>
      <c r="OC323" s="770"/>
      <c r="OD323" s="770"/>
      <c r="OE323" s="770"/>
      <c r="OF323" s="770"/>
      <c r="OG323" s="770"/>
      <c r="OH323" s="770"/>
      <c r="OI323" s="770"/>
      <c r="OJ323" s="770"/>
      <c r="OK323" s="770"/>
      <c r="OL323" s="770"/>
      <c r="OM323" s="770"/>
      <c r="ON323" s="770"/>
      <c r="OO323" s="770"/>
      <c r="OP323" s="770"/>
      <c r="OQ323" s="770"/>
      <c r="OR323" s="770"/>
      <c r="OS323" s="770"/>
      <c r="OT323" s="770"/>
      <c r="OU323" s="770"/>
      <c r="OV323" s="770"/>
      <c r="OW323" s="770"/>
      <c r="OX323" s="770"/>
      <c r="OY323" s="770"/>
      <c r="OZ323" s="770"/>
      <c r="PA323" s="770"/>
      <c r="PB323" s="770"/>
      <c r="PC323" s="770"/>
      <c r="PD323" s="770"/>
      <c r="PE323" s="770"/>
      <c r="PF323" s="770"/>
      <c r="PG323" s="770"/>
      <c r="PH323" s="770"/>
      <c r="PI323" s="770"/>
      <c r="PJ323" s="770"/>
      <c r="PK323" s="770"/>
      <c r="PL323" s="770"/>
      <c r="PM323" s="770"/>
      <c r="PN323" s="770"/>
      <c r="PO323" s="770"/>
      <c r="PP323" s="770"/>
      <c r="PQ323" s="770"/>
      <c r="PR323" s="770"/>
      <c r="PS323" s="770"/>
      <c r="PT323" s="770"/>
      <c r="PU323" s="770"/>
      <c r="PV323" s="770"/>
      <c r="PW323" s="770"/>
      <c r="PX323" s="770"/>
      <c r="PY323" s="770"/>
      <c r="PZ323" s="770"/>
      <c r="QA323" s="770"/>
      <c r="QB323" s="770"/>
      <c r="QC323" s="770"/>
      <c r="QD323" s="770"/>
      <c r="QE323" s="770"/>
      <c r="QF323" s="770"/>
      <c r="QG323" s="770"/>
      <c r="QH323" s="770"/>
      <c r="QI323" s="770"/>
      <c r="QJ323" s="770"/>
      <c r="QK323" s="770"/>
      <c r="QL323" s="770"/>
      <c r="QM323" s="770"/>
      <c r="QN323" s="770"/>
      <c r="QO323" s="770"/>
      <c r="QP323" s="770"/>
      <c r="QQ323" s="770"/>
      <c r="QR323" s="770"/>
      <c r="QS323" s="770"/>
      <c r="QT323" s="770"/>
      <c r="QU323" s="770"/>
      <c r="QV323" s="770"/>
      <c r="QW323" s="770"/>
      <c r="QX323" s="770"/>
      <c r="QY323" s="770"/>
      <c r="QZ323" s="770"/>
      <c r="RA323" s="770"/>
      <c r="RB323" s="770"/>
      <c r="RC323" s="770"/>
      <c r="RD323" s="770"/>
      <c r="RE323" s="770"/>
      <c r="RF323" s="304"/>
      <c r="RG323" s="770"/>
      <c r="RH323" s="302"/>
      <c r="RI323" s="770"/>
      <c r="RJ323" s="770" t="s">
        <v>2183</v>
      </c>
      <c r="RK323" s="770" t="s">
        <v>13461</v>
      </c>
      <c r="RL323" s="1710">
        <v>42816</v>
      </c>
      <c r="RM323" s="12"/>
      <c r="RN323" s="1711"/>
      <c r="RO323" s="140" t="s">
        <v>554</v>
      </c>
      <c r="RP323" s="11"/>
      <c r="RQ323" s="11"/>
      <c r="RR323" s="17"/>
      <c r="RS323" s="767"/>
      <c r="RT323" s="11"/>
      <c r="RU323" s="11"/>
      <c r="RV323" s="771" t="s">
        <v>7419</v>
      </c>
      <c r="RW323" s="11" t="s">
        <v>7980</v>
      </c>
      <c r="RX323" s="11" t="s">
        <v>551</v>
      </c>
      <c r="RY323" s="11"/>
      <c r="RZ323" s="11"/>
      <c r="SA323" s="771"/>
      <c r="SB323" s="11"/>
      <c r="SC323" s="11"/>
    </row>
    <row r="324" spans="1:497" ht="12.75" hidden="1" customHeight="1">
      <c r="A324" s="343" t="s">
        <v>7419</v>
      </c>
      <c r="B324" s="292" t="s">
        <v>7636</v>
      </c>
      <c r="C324" s="148" t="s">
        <v>556</v>
      </c>
      <c r="D324" s="770" t="s">
        <v>5527</v>
      </c>
      <c r="E324" s="770" t="s">
        <v>558</v>
      </c>
      <c r="F324" s="770" t="s">
        <v>20</v>
      </c>
      <c r="G324" s="770" t="s">
        <v>18</v>
      </c>
      <c r="H324" s="770"/>
      <c r="I324" s="295"/>
      <c r="J324" s="770" t="s">
        <v>5528</v>
      </c>
      <c r="K324" s="770"/>
      <c r="L324" s="770"/>
      <c r="M324" s="770"/>
      <c r="N324" s="770"/>
      <c r="O324" s="770"/>
      <c r="P324" s="770"/>
      <c r="Q324" s="1088"/>
      <c r="R324" s="297"/>
      <c r="S324" s="770"/>
      <c r="T324" s="770"/>
      <c r="U324" s="298"/>
      <c r="V324" s="770"/>
      <c r="W324" s="770"/>
      <c r="X324" s="296"/>
      <c r="Y324" s="770"/>
      <c r="Z324" s="770"/>
      <c r="AA324" s="770"/>
      <c r="AB324" s="770"/>
      <c r="AC324" s="770"/>
      <c r="AD324" s="770"/>
      <c r="AE324" s="770"/>
      <c r="AF324" s="770"/>
      <c r="AG324" s="766" t="s">
        <v>1095</v>
      </c>
      <c r="AH324" s="766" t="s">
        <v>1096</v>
      </c>
      <c r="AI324" s="770" t="s">
        <v>1174</v>
      </c>
      <c r="AJ324" s="770"/>
      <c r="AK324" s="766" t="s">
        <v>1097</v>
      </c>
      <c r="AL324" s="121">
        <v>95.2</v>
      </c>
      <c r="AM324" s="772">
        <v>17</v>
      </c>
      <c r="AN324" s="774">
        <v>0.17860000000000001</v>
      </c>
      <c r="AO324" s="766" t="s">
        <v>1109</v>
      </c>
      <c r="AP324" s="766"/>
      <c r="AQ324" s="766"/>
      <c r="AR324" s="766"/>
      <c r="AS324" s="770" t="s">
        <v>1207</v>
      </c>
      <c r="AT324" s="770" t="s">
        <v>1208</v>
      </c>
      <c r="AU324" s="770"/>
      <c r="AV324" s="770"/>
      <c r="AW324" s="770"/>
      <c r="AX324" s="770"/>
      <c r="AY324" s="770"/>
      <c r="AZ324" s="770"/>
      <c r="BA324" s="770"/>
      <c r="BB324" s="770"/>
      <c r="BC324" s="770" t="s">
        <v>796</v>
      </c>
      <c r="BD324" s="770" t="s">
        <v>1207</v>
      </c>
      <c r="BE324" s="770" t="s">
        <v>1214</v>
      </c>
      <c r="BF324" s="302"/>
      <c r="BG324" s="302"/>
      <c r="BH324" s="770"/>
      <c r="BI324" s="770"/>
      <c r="BJ324" s="770"/>
      <c r="BK324" s="766" t="s">
        <v>1095</v>
      </c>
      <c r="BL324" s="766" t="s">
        <v>1651</v>
      </c>
      <c r="BM324" s="766" t="s">
        <v>1096</v>
      </c>
      <c r="BN324" s="766" t="s">
        <v>1230</v>
      </c>
      <c r="BO324" s="766" t="s">
        <v>1239</v>
      </c>
      <c r="BP324" s="46">
        <v>190.4</v>
      </c>
      <c r="BQ324" s="45">
        <v>34</v>
      </c>
      <c r="BR324" s="47">
        <f>BQ324/BP324</f>
        <v>0.17857142857142858</v>
      </c>
      <c r="BS324" s="766" t="s">
        <v>1242</v>
      </c>
      <c r="BT324" s="766" t="s">
        <v>2040</v>
      </c>
      <c r="BU324" s="770" t="s">
        <v>1249</v>
      </c>
      <c r="BV324" s="770" t="s">
        <v>1247</v>
      </c>
      <c r="BW324" s="770">
        <v>2012</v>
      </c>
      <c r="BX324" s="302"/>
      <c r="BY324" s="303"/>
      <c r="BZ324" s="770"/>
      <c r="CA324" s="302"/>
      <c r="CB324" s="302"/>
      <c r="CC324" s="770"/>
      <c r="CD324" s="770"/>
      <c r="CE324" s="770"/>
      <c r="CF324" s="770"/>
      <c r="CG324" s="770"/>
      <c r="CH324" s="770"/>
      <c r="CI324" s="770"/>
      <c r="CJ324" s="770"/>
      <c r="CK324" s="770"/>
      <c r="CL324" s="770"/>
      <c r="CM324" s="770"/>
      <c r="CN324" s="770"/>
      <c r="CO324" s="770"/>
      <c r="CP324" s="770"/>
      <c r="CQ324" s="770"/>
      <c r="CR324" s="770"/>
      <c r="CS324" s="302"/>
      <c r="CT324" s="770"/>
      <c r="CU324" s="305"/>
      <c r="CV324" s="770"/>
      <c r="CW324" s="770"/>
      <c r="CX324" s="770"/>
      <c r="CY324" s="770"/>
      <c r="CZ324" s="770"/>
      <c r="DA324" s="770"/>
      <c r="DB324" s="770"/>
      <c r="DC324" s="770"/>
      <c r="DD324" s="770"/>
      <c r="DE324" s="770"/>
      <c r="DF324" s="770"/>
      <c r="DG324" s="770"/>
      <c r="DH324" s="770"/>
      <c r="DI324" s="770"/>
      <c r="DJ324" s="770"/>
      <c r="DK324" s="770"/>
      <c r="DL324" s="770"/>
      <c r="DM324" s="770"/>
      <c r="DN324" s="770"/>
      <c r="DO324" s="770"/>
      <c r="DP324" s="770"/>
      <c r="DQ324" s="770"/>
      <c r="DR324" s="770"/>
      <c r="DS324" s="307"/>
      <c r="DT324" s="770"/>
      <c r="DU324" s="770"/>
      <c r="DV324" s="770"/>
      <c r="DW324" s="306"/>
      <c r="DX324" s="306"/>
      <c r="DY324" s="770"/>
      <c r="DZ324" s="770"/>
      <c r="EA324" s="770"/>
      <c r="EB324" s="770"/>
      <c r="EC324" s="770"/>
      <c r="ED324" s="770"/>
      <c r="EE324" s="770"/>
      <c r="EF324" s="770"/>
      <c r="EG324" s="770"/>
      <c r="EH324" s="770"/>
      <c r="EI324" s="770"/>
      <c r="EJ324" s="770"/>
      <c r="EK324" s="770"/>
      <c r="EL324" s="770"/>
      <c r="EM324" s="770"/>
      <c r="EN324" s="770"/>
      <c r="EO324" s="770"/>
      <c r="EP324" s="770"/>
      <c r="EQ324" s="770"/>
      <c r="ER324" s="770"/>
      <c r="ES324" s="770"/>
      <c r="ET324" s="770"/>
      <c r="EU324" s="770"/>
      <c r="EV324" s="770"/>
      <c r="EW324" s="770"/>
      <c r="EX324" s="770"/>
      <c r="EY324" s="770"/>
      <c r="EZ324" s="770"/>
      <c r="FA324" s="770"/>
      <c r="FB324" s="770"/>
      <c r="FC324" s="770"/>
      <c r="FD324" s="302"/>
      <c r="FE324" s="770"/>
      <c r="FF324" s="770"/>
      <c r="FG324" s="770"/>
      <c r="FH324" s="770" t="s">
        <v>478</v>
      </c>
      <c r="FI324" s="770">
        <v>1</v>
      </c>
      <c r="FJ324" s="770"/>
      <c r="FK324" s="770"/>
      <c r="FL324" s="770"/>
      <c r="FM324" s="302"/>
      <c r="FN324" s="302"/>
      <c r="FO324" s="302"/>
      <c r="FP324" s="770" t="s">
        <v>1600</v>
      </c>
      <c r="FQ324" s="770" t="s">
        <v>1642</v>
      </c>
      <c r="FR324" s="770" t="s">
        <v>1207</v>
      </c>
      <c r="FS324" s="770" t="s">
        <v>1208</v>
      </c>
      <c r="FT324" s="770"/>
      <c r="FU324" s="770"/>
      <c r="FV324" s="770"/>
      <c r="FW324" s="770"/>
      <c r="FX324" s="770" t="s">
        <v>1208</v>
      </c>
      <c r="FY324" s="770"/>
      <c r="FZ324" s="770"/>
      <c r="GA324" s="770"/>
      <c r="GB324" s="770" t="s">
        <v>796</v>
      </c>
      <c r="GC324" s="308" t="s">
        <v>1651</v>
      </c>
      <c r="GD324" s="297">
        <v>1969</v>
      </c>
      <c r="GE324" s="770" t="s">
        <v>1214</v>
      </c>
      <c r="GF324" s="302"/>
      <c r="GG324" s="302"/>
      <c r="GH324" s="770"/>
      <c r="GI324" s="770"/>
      <c r="GJ324" s="770"/>
      <c r="GK324" s="770"/>
      <c r="GL324" s="770"/>
      <c r="GM324" s="770"/>
      <c r="GN324" s="309"/>
      <c r="GO324" s="770"/>
      <c r="GP324" s="770"/>
      <c r="GQ324" s="770"/>
      <c r="GR324" s="770"/>
      <c r="GS324" s="770"/>
      <c r="GT324" s="770"/>
      <c r="GU324" s="770"/>
      <c r="GV324" s="770"/>
      <c r="GW324" s="770"/>
      <c r="GX324" s="770"/>
      <c r="GY324" s="770"/>
      <c r="GZ324" s="770"/>
      <c r="HA324" s="770"/>
      <c r="HB324" s="770"/>
      <c r="HC324" s="770"/>
      <c r="HD324" s="770"/>
      <c r="HE324" s="770"/>
      <c r="HF324" s="770"/>
      <c r="HG324" s="770"/>
      <c r="HH324" s="770"/>
      <c r="HI324" s="770"/>
      <c r="HJ324" s="770"/>
      <c r="HK324" s="770"/>
      <c r="HL324" s="770"/>
      <c r="HM324" s="770"/>
      <c r="HN324" s="770"/>
      <c r="HO324" s="770"/>
      <c r="HP324" s="770"/>
      <c r="HQ324" s="770"/>
      <c r="HR324" s="770">
        <v>3</v>
      </c>
      <c r="HS324" s="770">
        <v>1</v>
      </c>
      <c r="HT324" s="770">
        <v>1</v>
      </c>
      <c r="HU324" s="770"/>
      <c r="HV324" s="770"/>
      <c r="HW324" s="770"/>
      <c r="HX324" s="770"/>
      <c r="HY324" s="770"/>
      <c r="HZ324" s="770"/>
      <c r="IA324" s="770"/>
      <c r="IB324" s="14" t="e">
        <f>IF(#REF!&gt;0,IF(#REF!&lt;=10000,"Y",""),"")</f>
        <v>#REF!</v>
      </c>
      <c r="IC324" s="770"/>
      <c r="ID324" s="770">
        <v>2</v>
      </c>
      <c r="IE324" s="770">
        <v>1</v>
      </c>
      <c r="IF324" s="770"/>
      <c r="IG324" s="770"/>
      <c r="IH324" s="770"/>
      <c r="II324" s="770"/>
      <c r="IJ324" s="770"/>
      <c r="IK324" s="770"/>
      <c r="IL324" s="770"/>
      <c r="IM324" s="770"/>
      <c r="IN324" s="770"/>
      <c r="IO324" s="296"/>
      <c r="IP324" s="770"/>
      <c r="IQ324" s="770"/>
      <c r="IR324" s="770"/>
      <c r="IS324" s="770"/>
      <c r="IT324" s="770"/>
      <c r="IU324" s="770"/>
      <c r="IV324" s="770"/>
      <c r="IW324" s="770"/>
      <c r="IX324" s="770"/>
      <c r="IY324" s="770"/>
      <c r="IZ324" s="770"/>
      <c r="JA324" s="770"/>
      <c r="JB324" s="770"/>
      <c r="JC324" s="770"/>
      <c r="JD324" s="302"/>
      <c r="JE324" s="770"/>
      <c r="JF324" s="770"/>
      <c r="JG324" s="770"/>
      <c r="JH324" s="770"/>
      <c r="JI324" s="770"/>
      <c r="JJ324" s="769"/>
      <c r="JK324" s="770"/>
      <c r="JL324" s="770"/>
      <c r="JM324" s="770"/>
      <c r="JN324" s="770"/>
      <c r="JO324" s="770"/>
      <c r="JP324" s="770"/>
      <c r="JQ324" s="770"/>
      <c r="JR324" s="770"/>
      <c r="JS324" s="770"/>
      <c r="JT324" s="766"/>
      <c r="JU324" s="766"/>
      <c r="JV324" s="766"/>
      <c r="JW324" s="766"/>
      <c r="JX324" s="770"/>
      <c r="JY324" s="770"/>
      <c r="JZ324" s="770"/>
      <c r="KA324" s="770"/>
      <c r="KB324" s="770"/>
      <c r="KC324" s="770"/>
      <c r="KD324" s="770"/>
      <c r="KE324" s="770"/>
      <c r="KF324" s="770"/>
      <c r="KG324" s="770"/>
      <c r="KH324" s="770"/>
      <c r="KI324" s="770"/>
      <c r="KJ324" s="770"/>
      <c r="KK324" s="770"/>
      <c r="KL324" s="770"/>
      <c r="KM324" s="770"/>
      <c r="KN324" s="770"/>
      <c r="KO324" s="770"/>
      <c r="KP324" s="770"/>
      <c r="KQ324" s="770"/>
      <c r="KR324" s="770"/>
      <c r="KS324" s="770"/>
      <c r="KT324" s="770"/>
      <c r="KU324" s="770"/>
      <c r="KV324" s="770"/>
      <c r="KW324" s="770"/>
      <c r="KX324" s="770"/>
      <c r="KY324" s="770"/>
      <c r="KZ324" s="770"/>
      <c r="LA324" s="770"/>
      <c r="LB324" s="770"/>
      <c r="LC324" s="770"/>
      <c r="LD324" s="770"/>
      <c r="LE324" s="770"/>
      <c r="LF324" s="770"/>
      <c r="LG324" s="770"/>
      <c r="LH324" s="770"/>
      <c r="LI324" s="770"/>
      <c r="LJ324" s="770"/>
      <c r="LK324" s="770"/>
      <c r="LL324" s="770"/>
      <c r="LM324" s="770"/>
      <c r="LN324" s="766"/>
      <c r="LO324" s="766"/>
      <c r="LP324" s="770"/>
      <c r="LQ324" s="770"/>
      <c r="LR324" s="770"/>
      <c r="LS324" s="770"/>
      <c r="LT324" s="770"/>
      <c r="LU324" s="770"/>
      <c r="LV324" s="770"/>
      <c r="LW324" s="770"/>
      <c r="LX324" s="769"/>
      <c r="LY324" s="766" t="str">
        <f t="shared" si="93"/>
        <v/>
      </c>
      <c r="LZ324" s="299"/>
      <c r="MA324" s="1709"/>
      <c r="MB324" s="1709"/>
      <c r="MC324" s="1679">
        <f t="shared" si="91"/>
        <v>0</v>
      </c>
      <c r="MD324" s="1709"/>
      <c r="ME324" s="1709"/>
      <c r="MF324" s="1709"/>
      <c r="MG324" s="1680">
        <f t="shared" si="97"/>
        <v>0</v>
      </c>
      <c r="MH324" s="770"/>
      <c r="MI324" s="302"/>
      <c r="MJ324" s="302"/>
      <c r="MK324" s="302"/>
      <c r="ML324" s="302"/>
      <c r="MM324" s="302"/>
      <c r="MN324" s="302"/>
      <c r="MO324" s="302"/>
      <c r="MP324" s="302"/>
      <c r="MQ324" s="302"/>
      <c r="MR324" s="302"/>
      <c r="MS324" s="302"/>
      <c r="MT324" s="302"/>
      <c r="MU324" s="302"/>
      <c r="MV324" s="302"/>
      <c r="MW324" s="302"/>
      <c r="MX324" s="302"/>
      <c r="MY324" s="1682">
        <f t="shared" si="98"/>
        <v>0</v>
      </c>
      <c r="MZ324" s="770"/>
      <c r="NA324" s="770"/>
      <c r="NB324" s="770"/>
      <c r="NC324" s="770"/>
      <c r="ND324" s="770"/>
      <c r="NE324" s="770"/>
      <c r="NF324" s="770"/>
      <c r="NG324" s="770"/>
      <c r="NH324" s="770"/>
      <c r="NI324" s="770"/>
      <c r="NJ324" s="770"/>
      <c r="NK324" s="770"/>
      <c r="NL324" s="770"/>
      <c r="NM324" s="770"/>
      <c r="NN324" s="770"/>
      <c r="NO324" s="770"/>
      <c r="NP324" s="770"/>
      <c r="NQ324" s="770"/>
      <c r="NR324" s="770"/>
      <c r="NS324" s="770"/>
      <c r="NT324" s="770"/>
      <c r="NU324" s="770"/>
      <c r="NV324" s="770"/>
      <c r="NW324" s="770"/>
      <c r="NX324" s="770"/>
      <c r="NY324" s="770"/>
      <c r="NZ324" s="770"/>
      <c r="OA324" s="770"/>
      <c r="OB324" s="770"/>
      <c r="OC324" s="770"/>
      <c r="OD324" s="770"/>
      <c r="OE324" s="770"/>
      <c r="OF324" s="770"/>
      <c r="OG324" s="770"/>
      <c r="OH324" s="770"/>
      <c r="OI324" s="770"/>
      <c r="OJ324" s="770"/>
      <c r="OK324" s="770"/>
      <c r="OL324" s="770"/>
      <c r="OM324" s="770"/>
      <c r="ON324" s="770"/>
      <c r="OO324" s="770"/>
      <c r="OP324" s="770"/>
      <c r="OQ324" s="770"/>
      <c r="OR324" s="770"/>
      <c r="OS324" s="770"/>
      <c r="OT324" s="770"/>
      <c r="OU324" s="770"/>
      <c r="OV324" s="770"/>
      <c r="OW324" s="770"/>
      <c r="OX324" s="770"/>
      <c r="OY324" s="770"/>
      <c r="OZ324" s="770"/>
      <c r="PA324" s="770"/>
      <c r="PB324" s="770"/>
      <c r="PC324" s="770"/>
      <c r="PD324" s="770"/>
      <c r="PE324" s="770"/>
      <c r="PF324" s="770"/>
      <c r="PG324" s="770"/>
      <c r="PH324" s="770"/>
      <c r="PI324" s="770"/>
      <c r="PJ324" s="770"/>
      <c r="PK324" s="770"/>
      <c r="PL324" s="770"/>
      <c r="PM324" s="770"/>
      <c r="PN324" s="770"/>
      <c r="PO324" s="770"/>
      <c r="PP324" s="770"/>
      <c r="PQ324" s="770"/>
      <c r="PR324" s="770"/>
      <c r="PS324" s="770"/>
      <c r="PT324" s="770"/>
      <c r="PU324" s="770"/>
      <c r="PV324" s="770"/>
      <c r="PW324" s="770"/>
      <c r="PX324" s="770"/>
      <c r="PY324" s="770"/>
      <c r="PZ324" s="770"/>
      <c r="QA324" s="770"/>
      <c r="QB324" s="770"/>
      <c r="QC324" s="770"/>
      <c r="QD324" s="770"/>
      <c r="QE324" s="770"/>
      <c r="QF324" s="770"/>
      <c r="QG324" s="770"/>
      <c r="QH324" s="770"/>
      <c r="QI324" s="770"/>
      <c r="QJ324" s="770"/>
      <c r="QK324" s="770"/>
      <c r="QL324" s="770"/>
      <c r="QM324" s="770"/>
      <c r="QN324" s="770"/>
      <c r="QO324" s="770"/>
      <c r="QP324" s="770"/>
      <c r="QQ324" s="770"/>
      <c r="QR324" s="770"/>
      <c r="QS324" s="770"/>
      <c r="QT324" s="770"/>
      <c r="QU324" s="770"/>
      <c r="QV324" s="770"/>
      <c r="QW324" s="770"/>
      <c r="QX324" s="770"/>
      <c r="QY324" s="770"/>
      <c r="QZ324" s="770"/>
      <c r="RA324" s="770"/>
      <c r="RB324" s="770"/>
      <c r="RC324" s="770"/>
      <c r="RD324" s="770"/>
      <c r="RE324" s="770"/>
      <c r="RF324" s="304"/>
      <c r="RG324" s="770"/>
      <c r="RH324" s="302"/>
      <c r="RI324" s="770"/>
      <c r="RJ324" s="770" t="s">
        <v>13462</v>
      </c>
      <c r="RK324" s="770" t="s">
        <v>13401</v>
      </c>
      <c r="RL324" s="1710">
        <v>42817</v>
      </c>
      <c r="RM324" s="12"/>
      <c r="RN324" s="1711"/>
      <c r="RO324" s="148" t="s">
        <v>556</v>
      </c>
      <c r="RP324" s="11"/>
      <c r="RQ324" s="11"/>
      <c r="RR324" s="17"/>
      <c r="RS324" s="767"/>
      <c r="RT324" s="11"/>
      <c r="RU324" s="11"/>
      <c r="RV324" s="771" t="s">
        <v>7419</v>
      </c>
      <c r="RW324" s="11" t="s">
        <v>5523</v>
      </c>
      <c r="RX324" s="11" t="s">
        <v>554</v>
      </c>
      <c r="RY324" s="11"/>
      <c r="RZ324" s="11" t="s">
        <v>2209</v>
      </c>
      <c r="SA324" s="771"/>
      <c r="SB324" s="11"/>
      <c r="SC324" s="11"/>
    </row>
    <row r="325" spans="1:497" ht="12.75" hidden="1" customHeight="1">
      <c r="A325" s="343" t="s">
        <v>14169</v>
      </c>
      <c r="B325" s="292" t="s">
        <v>7981</v>
      </c>
      <c r="C325" s="148" t="s">
        <v>556</v>
      </c>
      <c r="D325" s="770" t="s">
        <v>557</v>
      </c>
      <c r="E325" s="770" t="s">
        <v>558</v>
      </c>
      <c r="F325" s="770" t="s">
        <v>28</v>
      </c>
      <c r="G325" s="770" t="s">
        <v>18</v>
      </c>
      <c r="H325" s="770"/>
      <c r="I325" s="295" t="s">
        <v>559</v>
      </c>
      <c r="J325" s="94" t="s">
        <v>557</v>
      </c>
      <c r="K325" s="770"/>
      <c r="L325" s="770"/>
      <c r="M325" s="770"/>
      <c r="N325" s="770"/>
      <c r="O325" s="770"/>
      <c r="P325" s="770"/>
      <c r="Q325" s="1088"/>
      <c r="R325" s="297"/>
      <c r="S325" s="770"/>
      <c r="T325" s="770"/>
      <c r="U325" s="298"/>
      <c r="V325" s="770"/>
      <c r="W325" s="770"/>
      <c r="X325" s="296"/>
      <c r="Y325" s="770"/>
      <c r="Z325" s="770"/>
      <c r="AA325" s="770"/>
      <c r="AB325" s="770"/>
      <c r="AC325" s="770"/>
      <c r="AD325" s="770"/>
      <c r="AE325" s="770"/>
      <c r="AF325" s="770"/>
      <c r="AG325" s="770"/>
      <c r="AH325" s="770"/>
      <c r="AI325" s="770"/>
      <c r="AJ325" s="770"/>
      <c r="AK325" s="770" t="s">
        <v>5454</v>
      </c>
      <c r="AL325" s="531"/>
      <c r="AM325" s="780"/>
      <c r="AN325" s="532"/>
      <c r="AO325" s="766"/>
      <c r="AP325" s="766"/>
      <c r="AQ325" s="766"/>
      <c r="AR325" s="766"/>
      <c r="AS325" s="770"/>
      <c r="AT325" s="770"/>
      <c r="AU325" s="770"/>
      <c r="AV325" s="770"/>
      <c r="AW325" s="770"/>
      <c r="AX325" s="770"/>
      <c r="AY325" s="770"/>
      <c r="AZ325" s="770"/>
      <c r="BA325" s="770"/>
      <c r="BB325" s="770"/>
      <c r="BC325" s="770"/>
      <c r="BD325" s="770"/>
      <c r="BE325" s="770"/>
      <c r="BF325" s="302"/>
      <c r="BG325" s="302"/>
      <c r="BH325" s="770"/>
      <c r="BI325" s="770"/>
      <c r="BJ325" s="770"/>
      <c r="BK325" s="770"/>
      <c r="BL325" s="770"/>
      <c r="BM325" s="770" t="s">
        <v>1238</v>
      </c>
      <c r="BN325" s="770" t="s">
        <v>1305</v>
      </c>
      <c r="BO325" s="770"/>
      <c r="BP325" s="780"/>
      <c r="BQ325" s="772"/>
      <c r="BR325" s="774"/>
      <c r="BS325" s="766"/>
      <c r="BT325" s="766"/>
      <c r="BU325" s="770"/>
      <c r="BV325" s="770"/>
      <c r="BW325" s="770"/>
      <c r="BX325" s="302"/>
      <c r="BY325" s="303"/>
      <c r="BZ325" s="770"/>
      <c r="CA325" s="302"/>
      <c r="CB325" s="302"/>
      <c r="CC325" s="770"/>
      <c r="CD325" s="770"/>
      <c r="CE325" s="770"/>
      <c r="CF325" s="304"/>
      <c r="CG325" s="321"/>
      <c r="CH325" s="770"/>
      <c r="CI325" s="770"/>
      <c r="CJ325" s="770"/>
      <c r="CK325" s="770"/>
      <c r="CL325" s="770"/>
      <c r="CM325" s="770"/>
      <c r="CN325" s="770"/>
      <c r="CO325" s="770"/>
      <c r="CP325" s="770"/>
      <c r="CQ325" s="770"/>
      <c r="CR325" s="770"/>
      <c r="CS325" s="302"/>
      <c r="CT325" s="770"/>
      <c r="CU325" s="305"/>
      <c r="CV325" s="770"/>
      <c r="CW325" s="770"/>
      <c r="CX325" s="770"/>
      <c r="CY325" s="770"/>
      <c r="CZ325" s="770"/>
      <c r="DA325" s="306"/>
      <c r="DB325" s="770"/>
      <c r="DC325" s="770"/>
      <c r="DD325" s="770"/>
      <c r="DE325" s="300"/>
      <c r="DF325" s="770"/>
      <c r="DG325" s="770"/>
      <c r="DH325" s="770"/>
      <c r="DI325" s="770"/>
      <c r="DJ325" s="770"/>
      <c r="DK325" s="770"/>
      <c r="DL325" s="770"/>
      <c r="DM325" s="770"/>
      <c r="DN325" s="322"/>
      <c r="DO325" s="770"/>
      <c r="DP325" s="770"/>
      <c r="DQ325" s="770"/>
      <c r="DR325" s="770"/>
      <c r="DS325" s="307"/>
      <c r="DT325" s="770"/>
      <c r="DU325" s="770"/>
      <c r="DV325" s="770"/>
      <c r="DW325" s="306"/>
      <c r="DX325" s="306"/>
      <c r="DY325" s="770"/>
      <c r="DZ325" s="770"/>
      <c r="EA325" s="770"/>
      <c r="EB325" s="770"/>
      <c r="EC325" s="770"/>
      <c r="ED325" s="770"/>
      <c r="EE325" s="770"/>
      <c r="EF325" s="770"/>
      <c r="EG325" s="770"/>
      <c r="EH325" s="770"/>
      <c r="EI325" s="770"/>
      <c r="EJ325" s="770"/>
      <c r="EK325" s="770"/>
      <c r="EL325" s="770"/>
      <c r="EM325" s="770"/>
      <c r="EN325" s="770"/>
      <c r="EO325" s="770"/>
      <c r="EP325" s="94"/>
      <c r="EQ325" s="770"/>
      <c r="ER325" s="770"/>
      <c r="ES325" s="770"/>
      <c r="ET325" s="770"/>
      <c r="EU325" s="770"/>
      <c r="EV325" s="770"/>
      <c r="EW325" s="770"/>
      <c r="EX325" s="770"/>
      <c r="EY325" s="770"/>
      <c r="EZ325" s="770"/>
      <c r="FA325" s="770"/>
      <c r="FB325" s="770"/>
      <c r="FC325" s="770"/>
      <c r="FD325" s="302"/>
      <c r="FE325" s="770"/>
      <c r="FF325" s="770"/>
      <c r="FG325" s="770"/>
      <c r="FH325" s="770" t="s">
        <v>1299</v>
      </c>
      <c r="FI325" s="770">
        <v>1</v>
      </c>
      <c r="FJ325" s="770" t="s">
        <v>1651</v>
      </c>
      <c r="FK325" s="770"/>
      <c r="FL325" s="770" t="s">
        <v>1652</v>
      </c>
      <c r="FM325" s="775"/>
      <c r="FN325" s="302">
        <v>300</v>
      </c>
      <c r="FO325" s="302">
        <v>1200</v>
      </c>
      <c r="FP325" s="770" t="s">
        <v>1600</v>
      </c>
      <c r="FQ325" s="770" t="s">
        <v>1642</v>
      </c>
      <c r="FR325" s="770" t="s">
        <v>1214</v>
      </c>
      <c r="FS325" s="770"/>
      <c r="FT325" s="770"/>
      <c r="FU325" s="770"/>
      <c r="FV325" s="770"/>
      <c r="FW325" s="770"/>
      <c r="FX325" s="770"/>
      <c r="FY325" s="770"/>
      <c r="FZ325" s="770"/>
      <c r="GA325" s="770"/>
      <c r="GB325" s="770"/>
      <c r="GC325" s="308"/>
      <c r="GD325" s="297"/>
      <c r="GE325" s="770"/>
      <c r="GF325" s="302"/>
      <c r="GG325" s="302"/>
      <c r="GH325" s="770"/>
      <c r="GI325" s="770"/>
      <c r="GJ325" s="770"/>
      <c r="GK325" s="770"/>
      <c r="GL325" s="770"/>
      <c r="GM325" s="770"/>
      <c r="GN325" s="309"/>
      <c r="GO325" s="770"/>
      <c r="GP325" s="770"/>
      <c r="GQ325" s="770"/>
      <c r="GR325" s="770"/>
      <c r="GS325" s="770"/>
      <c r="GT325" s="770"/>
      <c r="GU325" s="770"/>
      <c r="GV325" s="770"/>
      <c r="GW325" s="770"/>
      <c r="GX325" s="770"/>
      <c r="GY325" s="770"/>
      <c r="GZ325" s="770"/>
      <c r="HA325" s="770"/>
      <c r="HB325" s="770"/>
      <c r="HC325" s="770"/>
      <c r="HD325" s="770"/>
      <c r="HE325" s="770"/>
      <c r="HF325" s="770"/>
      <c r="HG325" s="770"/>
      <c r="HH325" s="770"/>
      <c r="HI325" s="770"/>
      <c r="HJ325" s="770"/>
      <c r="HK325" s="770"/>
      <c r="HL325" s="770"/>
      <c r="HM325" s="770"/>
      <c r="HN325" s="770"/>
      <c r="HO325" s="770"/>
      <c r="HP325" s="770"/>
      <c r="HQ325" s="770"/>
      <c r="HR325" s="770"/>
      <c r="HS325" s="770"/>
      <c r="HT325" s="770"/>
      <c r="HU325" s="770"/>
      <c r="HV325" s="770"/>
      <c r="HW325" s="770"/>
      <c r="HX325" s="770"/>
      <c r="HY325" s="770"/>
      <c r="HZ325" s="770"/>
      <c r="IA325" s="770"/>
      <c r="IB325" s="14" t="e">
        <f>IF(#REF!&gt;0,IF(#REF!&lt;=10000,"Y",""),"")</f>
        <v>#REF!</v>
      </c>
      <c r="IC325" s="770" t="s">
        <v>1207</v>
      </c>
      <c r="ID325" s="770">
        <v>1</v>
      </c>
      <c r="IE325" s="770"/>
      <c r="IF325" s="770"/>
      <c r="IG325" s="770"/>
      <c r="IH325" s="770"/>
      <c r="II325" s="770"/>
      <c r="IJ325" s="770"/>
      <c r="IK325" s="770"/>
      <c r="IL325" s="770"/>
      <c r="IM325" s="770"/>
      <c r="IN325" s="770"/>
      <c r="IO325" s="296"/>
      <c r="IP325" s="770"/>
      <c r="IQ325" s="770"/>
      <c r="IR325" s="770"/>
      <c r="IS325" s="770"/>
      <c r="IT325" s="770"/>
      <c r="IU325" s="770"/>
      <c r="IV325" s="770"/>
      <c r="IW325" s="770"/>
      <c r="IX325" s="770"/>
      <c r="IY325" s="770"/>
      <c r="IZ325" s="770"/>
      <c r="JA325" s="770"/>
      <c r="JB325" s="770"/>
      <c r="JC325" s="770"/>
      <c r="JD325" s="302"/>
      <c r="JE325" s="770"/>
      <c r="JF325" s="770"/>
      <c r="JG325" s="770"/>
      <c r="JH325" s="770"/>
      <c r="JI325" s="770"/>
      <c r="JJ325" s="769"/>
      <c r="JK325" s="770"/>
      <c r="JL325" s="770"/>
      <c r="JM325" s="770"/>
      <c r="JN325" s="770"/>
      <c r="JO325" s="770"/>
      <c r="JP325" s="770"/>
      <c r="JQ325" s="770"/>
      <c r="JR325" s="770"/>
      <c r="JS325" s="770"/>
      <c r="JT325" s="766"/>
      <c r="JU325" s="766"/>
      <c r="JV325" s="766"/>
      <c r="JW325" s="766"/>
      <c r="JX325" s="770"/>
      <c r="JY325" s="770"/>
      <c r="JZ325" s="770"/>
      <c r="KA325" s="770"/>
      <c r="KB325" s="770"/>
      <c r="KC325" s="770"/>
      <c r="KD325" s="770"/>
      <c r="KE325" s="770"/>
      <c r="KF325" s="770"/>
      <c r="KG325" s="770"/>
      <c r="KH325" s="770"/>
      <c r="KI325" s="770"/>
      <c r="KJ325" s="770"/>
      <c r="KK325" s="770"/>
      <c r="KL325" s="770"/>
      <c r="KM325" s="770"/>
      <c r="KN325" s="770"/>
      <c r="KO325" s="770"/>
      <c r="KP325" s="770"/>
      <c r="KQ325" s="770"/>
      <c r="KR325" s="770"/>
      <c r="KS325" s="770"/>
      <c r="KT325" s="770"/>
      <c r="KU325" s="770"/>
      <c r="KV325" s="770"/>
      <c r="KW325" s="770"/>
      <c r="KX325" s="770"/>
      <c r="KY325" s="770"/>
      <c r="KZ325" s="770"/>
      <c r="LA325" s="770"/>
      <c r="LB325" s="770"/>
      <c r="LC325" s="770"/>
      <c r="LD325" s="770"/>
      <c r="LE325" s="770"/>
      <c r="LF325" s="770"/>
      <c r="LG325" s="770"/>
      <c r="LH325" s="770"/>
      <c r="LI325" s="770"/>
      <c r="LJ325" s="770"/>
      <c r="LK325" s="770"/>
      <c r="LL325" s="770"/>
      <c r="LM325" s="770"/>
      <c r="LN325" s="766"/>
      <c r="LO325" s="766"/>
      <c r="LP325" s="770"/>
      <c r="LQ325" s="770"/>
      <c r="LR325" s="770"/>
      <c r="LS325" s="770"/>
      <c r="LT325" s="770"/>
      <c r="LU325" s="770"/>
      <c r="LV325" s="770"/>
      <c r="LW325" s="770"/>
      <c r="LX325" s="769"/>
      <c r="LY325" s="766" t="str">
        <f t="shared" si="93"/>
        <v/>
      </c>
      <c r="LZ325" s="299"/>
      <c r="MA325" s="306"/>
      <c r="MB325" s="306"/>
      <c r="MC325" s="1679">
        <f t="shared" si="91"/>
        <v>0</v>
      </c>
      <c r="MD325" s="306"/>
      <c r="ME325" s="306"/>
      <c r="MF325" s="306"/>
      <c r="MG325" s="1680">
        <f t="shared" si="97"/>
        <v>0</v>
      </c>
      <c r="MH325" s="770"/>
      <c r="MI325" s="302"/>
      <c r="MJ325" s="302"/>
      <c r="MK325" s="302"/>
      <c r="ML325" s="302"/>
      <c r="MM325" s="302"/>
      <c r="MN325" s="302"/>
      <c r="MO325" s="302"/>
      <c r="MP325" s="302"/>
      <c r="MQ325" s="302"/>
      <c r="MR325" s="302"/>
      <c r="MS325" s="302"/>
      <c r="MT325" s="302"/>
      <c r="MU325" s="302"/>
      <c r="MV325" s="302"/>
      <c r="MW325" s="302"/>
      <c r="MX325" s="302"/>
      <c r="MY325" s="1682">
        <f t="shared" si="98"/>
        <v>0</v>
      </c>
      <c r="MZ325" s="770"/>
      <c r="NA325" s="770"/>
      <c r="NB325" s="770"/>
      <c r="NC325" s="770"/>
      <c r="ND325" s="770"/>
      <c r="NE325" s="770"/>
      <c r="NF325" s="770"/>
      <c r="NG325" s="770"/>
      <c r="NH325" s="770"/>
      <c r="NI325" s="770"/>
      <c r="NJ325" s="770"/>
      <c r="NK325" s="770"/>
      <c r="NL325" s="770"/>
      <c r="NM325" s="770"/>
      <c r="NN325" s="770"/>
      <c r="NO325" s="770"/>
      <c r="NP325" s="770"/>
      <c r="NQ325" s="770"/>
      <c r="NR325" s="770"/>
      <c r="NS325" s="770"/>
      <c r="NT325" s="770"/>
      <c r="NU325" s="770"/>
      <c r="NV325" s="770"/>
      <c r="NW325" s="770"/>
      <c r="NX325" s="770"/>
      <c r="NY325" s="770"/>
      <c r="NZ325" s="770"/>
      <c r="OA325" s="770"/>
      <c r="OB325" s="770"/>
      <c r="OC325" s="770"/>
      <c r="OD325" s="770"/>
      <c r="OE325" s="770"/>
      <c r="OF325" s="770"/>
      <c r="OG325" s="770"/>
      <c r="OH325" s="770"/>
      <c r="OI325" s="770"/>
      <c r="OJ325" s="770"/>
      <c r="OK325" s="770"/>
      <c r="OL325" s="770"/>
      <c r="OM325" s="770"/>
      <c r="ON325" s="770"/>
      <c r="OO325" s="770"/>
      <c r="OP325" s="770"/>
      <c r="OQ325" s="770"/>
      <c r="OR325" s="770"/>
      <c r="OS325" s="770"/>
      <c r="OT325" s="770"/>
      <c r="OU325" s="770"/>
      <c r="OV325" s="770"/>
      <c r="OW325" s="770"/>
      <c r="OX325" s="770"/>
      <c r="OY325" s="770"/>
      <c r="OZ325" s="770"/>
      <c r="PA325" s="770"/>
      <c r="PB325" s="770"/>
      <c r="PC325" s="770"/>
      <c r="PD325" s="770"/>
      <c r="PE325" s="770"/>
      <c r="PF325" s="770"/>
      <c r="PG325" s="770"/>
      <c r="PH325" s="770"/>
      <c r="PI325" s="770"/>
      <c r="PJ325" s="770"/>
      <c r="PK325" s="770"/>
      <c r="PL325" s="770"/>
      <c r="PM325" s="770"/>
      <c r="PN325" s="770"/>
      <c r="PO325" s="770"/>
      <c r="PP325" s="770"/>
      <c r="PQ325" s="770"/>
      <c r="PR325" s="770"/>
      <c r="PS325" s="770"/>
      <c r="PT325" s="770"/>
      <c r="PU325" s="770"/>
      <c r="PV325" s="770"/>
      <c r="PW325" s="770"/>
      <c r="PX325" s="770"/>
      <c r="PY325" s="770"/>
      <c r="PZ325" s="770"/>
      <c r="QA325" s="770"/>
      <c r="QB325" s="770"/>
      <c r="QC325" s="770"/>
      <c r="QD325" s="770"/>
      <c r="QE325" s="770"/>
      <c r="QF325" s="770"/>
      <c r="QG325" s="770"/>
      <c r="QH325" s="770"/>
      <c r="QI325" s="770"/>
      <c r="QJ325" s="770"/>
      <c r="QK325" s="770"/>
      <c r="QL325" s="770"/>
      <c r="QM325" s="770"/>
      <c r="QN325" s="770"/>
      <c r="QO325" s="770"/>
      <c r="QP325" s="770"/>
      <c r="QQ325" s="770"/>
      <c r="QR325" s="770"/>
      <c r="QS325" s="770"/>
      <c r="QT325" s="770"/>
      <c r="QU325" s="770"/>
      <c r="QV325" s="770"/>
      <c r="QW325" s="770"/>
      <c r="QX325" s="770"/>
      <c r="QY325" s="770"/>
      <c r="QZ325" s="770"/>
      <c r="RA325" s="770"/>
      <c r="RB325" s="770"/>
      <c r="RC325" s="770"/>
      <c r="RD325" s="770"/>
      <c r="RE325" s="770"/>
      <c r="RF325" s="304"/>
      <c r="RG325" s="770"/>
      <c r="RH325" s="302"/>
      <c r="RI325" s="770"/>
      <c r="RJ325" s="770" t="s">
        <v>13463</v>
      </c>
      <c r="RK325" s="770" t="s">
        <v>13401</v>
      </c>
      <c r="RL325" s="1710">
        <v>42817</v>
      </c>
      <c r="RM325" s="12"/>
      <c r="RN325" s="1711"/>
      <c r="RO325" s="148" t="s">
        <v>556</v>
      </c>
      <c r="RP325" s="11"/>
      <c r="RQ325" s="11"/>
      <c r="RR325" s="17"/>
      <c r="RS325" s="767"/>
      <c r="RT325" s="11"/>
      <c r="RU325" s="11"/>
      <c r="RV325" s="771" t="s">
        <v>8084</v>
      </c>
      <c r="RW325" s="11" t="s">
        <v>7635</v>
      </c>
      <c r="RX325" s="11" t="s">
        <v>554</v>
      </c>
      <c r="RY325" s="11"/>
      <c r="RZ325" s="11"/>
      <c r="SA325" s="771"/>
      <c r="SB325" s="11"/>
      <c r="SC325" s="11"/>
    </row>
    <row r="326" spans="1:497" ht="12.75" hidden="1" customHeight="1">
      <c r="A326" s="343" t="s">
        <v>14169</v>
      </c>
      <c r="B326" s="292" t="s">
        <v>7981</v>
      </c>
      <c r="C326" s="148" t="s">
        <v>556</v>
      </c>
      <c r="D326" s="770" t="s">
        <v>5529</v>
      </c>
      <c r="E326" s="770" t="s">
        <v>558</v>
      </c>
      <c r="F326" s="770" t="s">
        <v>28</v>
      </c>
      <c r="G326" s="770" t="s">
        <v>18</v>
      </c>
      <c r="H326" s="770"/>
      <c r="I326" s="295" t="s">
        <v>559</v>
      </c>
      <c r="J326" s="770" t="s">
        <v>5529</v>
      </c>
      <c r="K326" s="770"/>
      <c r="L326" s="770"/>
      <c r="M326" s="770"/>
      <c r="N326" s="770"/>
      <c r="O326" s="770"/>
      <c r="P326" s="770"/>
      <c r="Q326" s="1088"/>
      <c r="R326" s="297"/>
      <c r="S326" s="770"/>
      <c r="T326" s="770"/>
      <c r="U326" s="298"/>
      <c r="V326" s="770"/>
      <c r="W326" s="770"/>
      <c r="X326" s="296"/>
      <c r="Y326" s="770"/>
      <c r="Z326" s="770"/>
      <c r="AA326" s="770"/>
      <c r="AB326" s="770"/>
      <c r="AC326" s="770"/>
      <c r="AD326" s="770"/>
      <c r="AE326" s="770"/>
      <c r="AF326" s="770"/>
      <c r="AG326" s="770"/>
      <c r="AH326" s="770"/>
      <c r="AI326" s="770"/>
      <c r="AJ326" s="770"/>
      <c r="AK326" s="770" t="s">
        <v>5454</v>
      </c>
      <c r="AL326" s="299"/>
      <c r="AM326" s="300"/>
      <c r="AN326" s="301"/>
      <c r="AO326" s="766"/>
      <c r="AP326" s="766"/>
      <c r="AQ326" s="766"/>
      <c r="AR326" s="766"/>
      <c r="AS326" s="770"/>
      <c r="AT326" s="770"/>
      <c r="AU326" s="770"/>
      <c r="AV326" s="770"/>
      <c r="AW326" s="770"/>
      <c r="AX326" s="770"/>
      <c r="AY326" s="770"/>
      <c r="AZ326" s="770"/>
      <c r="BA326" s="770"/>
      <c r="BB326" s="770"/>
      <c r="BC326" s="770"/>
      <c r="BD326" s="770"/>
      <c r="BE326" s="770"/>
      <c r="BF326" s="302"/>
      <c r="BG326" s="302"/>
      <c r="BH326" s="770"/>
      <c r="BI326" s="770"/>
      <c r="BJ326" s="770"/>
      <c r="BK326" s="770"/>
      <c r="BL326" s="770"/>
      <c r="BM326" s="770" t="s">
        <v>1238</v>
      </c>
      <c r="BN326" s="770" t="s">
        <v>1305</v>
      </c>
      <c r="BO326" s="770"/>
      <c r="BP326" s="780"/>
      <c r="BQ326" s="772"/>
      <c r="BR326" s="774"/>
      <c r="BS326" s="766"/>
      <c r="BT326" s="766"/>
      <c r="BU326" s="770"/>
      <c r="BV326" s="770"/>
      <c r="BW326" s="770"/>
      <c r="BX326" s="302"/>
      <c r="BY326" s="303"/>
      <c r="BZ326" s="770"/>
      <c r="CA326" s="302"/>
      <c r="CB326" s="302"/>
      <c r="CC326" s="770"/>
      <c r="CD326" s="770"/>
      <c r="CE326" s="770"/>
      <c r="CF326" s="770"/>
      <c r="CG326" s="770"/>
      <c r="CH326" s="770"/>
      <c r="CI326" s="770"/>
      <c r="CJ326" s="770"/>
      <c r="CK326" s="770"/>
      <c r="CL326" s="770"/>
      <c r="CM326" s="770"/>
      <c r="CN326" s="770"/>
      <c r="CO326" s="770"/>
      <c r="CP326" s="770"/>
      <c r="CQ326" s="770"/>
      <c r="CR326" s="770"/>
      <c r="CS326" s="302"/>
      <c r="CT326" s="770"/>
      <c r="CU326" s="305"/>
      <c r="CV326" s="770"/>
      <c r="CW326" s="770"/>
      <c r="CX326" s="770"/>
      <c r="CY326" s="770"/>
      <c r="CZ326" s="770"/>
      <c r="DA326" s="770"/>
      <c r="DB326" s="770"/>
      <c r="DC326" s="770"/>
      <c r="DD326" s="770"/>
      <c r="DE326" s="770"/>
      <c r="DF326" s="770"/>
      <c r="DG326" s="770"/>
      <c r="DH326" s="770"/>
      <c r="DI326" s="770"/>
      <c r="DJ326" s="770"/>
      <c r="DK326" s="770"/>
      <c r="DL326" s="770"/>
      <c r="DM326" s="770"/>
      <c r="DN326" s="770"/>
      <c r="DO326" s="770"/>
      <c r="DP326" s="770"/>
      <c r="DQ326" s="770"/>
      <c r="DR326" s="770"/>
      <c r="DS326" s="307"/>
      <c r="DT326" s="770"/>
      <c r="DU326" s="770"/>
      <c r="DV326" s="770"/>
      <c r="DW326" s="306"/>
      <c r="DX326" s="306"/>
      <c r="DY326" s="770"/>
      <c r="DZ326" s="770"/>
      <c r="EA326" s="770"/>
      <c r="EB326" s="770"/>
      <c r="EC326" s="770"/>
      <c r="ED326" s="770"/>
      <c r="EE326" s="770"/>
      <c r="EF326" s="770"/>
      <c r="EG326" s="770"/>
      <c r="EH326" s="770"/>
      <c r="EI326" s="770"/>
      <c r="EJ326" s="770"/>
      <c r="EK326" s="770"/>
      <c r="EL326" s="770"/>
      <c r="EM326" s="770"/>
      <c r="EN326" s="770"/>
      <c r="EO326" s="770"/>
      <c r="EP326" s="770"/>
      <c r="EQ326" s="770"/>
      <c r="ER326" s="770"/>
      <c r="ES326" s="770"/>
      <c r="ET326" s="770"/>
      <c r="EU326" s="770"/>
      <c r="EV326" s="770"/>
      <c r="EW326" s="770"/>
      <c r="EX326" s="770"/>
      <c r="EY326" s="770"/>
      <c r="EZ326" s="770"/>
      <c r="FA326" s="770"/>
      <c r="FB326" s="770"/>
      <c r="FC326" s="770"/>
      <c r="FD326" s="302"/>
      <c r="FE326" s="770"/>
      <c r="FF326" s="770"/>
      <c r="FG326" s="770"/>
      <c r="FH326" s="770" t="s">
        <v>1299</v>
      </c>
      <c r="FI326" s="770">
        <v>1</v>
      </c>
      <c r="FJ326" s="770" t="s">
        <v>1651</v>
      </c>
      <c r="FK326" s="770"/>
      <c r="FL326" s="770" t="s">
        <v>1652</v>
      </c>
      <c r="FM326" s="302"/>
      <c r="FN326" s="302">
        <v>300</v>
      </c>
      <c r="FO326" s="302">
        <v>1300</v>
      </c>
      <c r="FP326" s="770" t="s">
        <v>1600</v>
      </c>
      <c r="FQ326" s="770" t="s">
        <v>1642</v>
      </c>
      <c r="FR326" s="770" t="s">
        <v>1214</v>
      </c>
      <c r="FS326" s="770"/>
      <c r="FT326" s="770"/>
      <c r="FU326" s="770"/>
      <c r="FV326" s="770"/>
      <c r="FW326" s="770"/>
      <c r="FX326" s="770"/>
      <c r="FY326" s="770"/>
      <c r="FZ326" s="770"/>
      <c r="GA326" s="770"/>
      <c r="GB326" s="770"/>
      <c r="GC326" s="308"/>
      <c r="GD326" s="297"/>
      <c r="GE326" s="770"/>
      <c r="GF326" s="302"/>
      <c r="GG326" s="302"/>
      <c r="GH326" s="770"/>
      <c r="GI326" s="770"/>
      <c r="GJ326" s="770"/>
      <c r="GK326" s="770"/>
      <c r="GL326" s="770"/>
      <c r="GM326" s="770"/>
      <c r="GN326" s="309"/>
      <c r="GO326" s="770"/>
      <c r="GP326" s="770"/>
      <c r="GQ326" s="770"/>
      <c r="GR326" s="770"/>
      <c r="GS326" s="770"/>
      <c r="GT326" s="770"/>
      <c r="GU326" s="770"/>
      <c r="GV326" s="770"/>
      <c r="GW326" s="770"/>
      <c r="GX326" s="770"/>
      <c r="GY326" s="770"/>
      <c r="GZ326" s="770"/>
      <c r="HA326" s="770"/>
      <c r="HB326" s="770"/>
      <c r="HC326" s="770"/>
      <c r="HD326" s="770"/>
      <c r="HE326" s="770"/>
      <c r="HF326" s="770"/>
      <c r="HG326" s="770"/>
      <c r="HH326" s="770"/>
      <c r="HI326" s="770"/>
      <c r="HJ326" s="770"/>
      <c r="HK326" s="770"/>
      <c r="HL326" s="770"/>
      <c r="HM326" s="770"/>
      <c r="HN326" s="770"/>
      <c r="HO326" s="770"/>
      <c r="HP326" s="770"/>
      <c r="HQ326" s="770"/>
      <c r="HR326" s="770"/>
      <c r="HS326" s="770"/>
      <c r="HT326" s="770"/>
      <c r="HU326" s="770"/>
      <c r="HV326" s="770"/>
      <c r="HW326" s="770"/>
      <c r="HX326" s="770"/>
      <c r="HY326" s="770"/>
      <c r="HZ326" s="770"/>
      <c r="IA326" s="770"/>
      <c r="IB326" s="14" t="e">
        <f>IF(#REF!&gt;0,IF(#REF!&lt;=10000,"Y",""),"")</f>
        <v>#REF!</v>
      </c>
      <c r="IC326" s="770"/>
      <c r="ID326" s="770">
        <v>2</v>
      </c>
      <c r="IE326" s="770"/>
      <c r="IF326" s="770"/>
      <c r="IG326" s="770"/>
      <c r="IH326" s="770"/>
      <c r="II326" s="770"/>
      <c r="IJ326" s="770"/>
      <c r="IK326" s="770"/>
      <c r="IL326" s="770"/>
      <c r="IM326" s="770"/>
      <c r="IN326" s="770"/>
      <c r="IO326" s="296"/>
      <c r="IP326" s="770"/>
      <c r="IQ326" s="770"/>
      <c r="IR326" s="770"/>
      <c r="IS326" s="770"/>
      <c r="IT326" s="770"/>
      <c r="IU326" s="770"/>
      <c r="IV326" s="770"/>
      <c r="IW326" s="770"/>
      <c r="IX326" s="770"/>
      <c r="IY326" s="770"/>
      <c r="IZ326" s="770"/>
      <c r="JA326" s="770"/>
      <c r="JB326" s="770"/>
      <c r="JC326" s="770"/>
      <c r="JD326" s="302"/>
      <c r="JE326" s="770"/>
      <c r="JF326" s="770"/>
      <c r="JG326" s="770"/>
      <c r="JH326" s="770"/>
      <c r="JI326" s="770"/>
      <c r="JJ326" s="769"/>
      <c r="JK326" s="770"/>
      <c r="JL326" s="770"/>
      <c r="JM326" s="770"/>
      <c r="JN326" s="770"/>
      <c r="JO326" s="770"/>
      <c r="JP326" s="770"/>
      <c r="JQ326" s="770"/>
      <c r="JR326" s="770"/>
      <c r="JS326" s="770"/>
      <c r="JT326" s="766"/>
      <c r="JU326" s="766"/>
      <c r="JV326" s="766"/>
      <c r="JW326" s="766"/>
      <c r="JX326" s="770"/>
      <c r="JY326" s="770"/>
      <c r="JZ326" s="770"/>
      <c r="KA326" s="770"/>
      <c r="KB326" s="770"/>
      <c r="KC326" s="770"/>
      <c r="KD326" s="770"/>
      <c r="KE326" s="770"/>
      <c r="KF326" s="770"/>
      <c r="KG326" s="770"/>
      <c r="KH326" s="770"/>
      <c r="KI326" s="770"/>
      <c r="KJ326" s="770"/>
      <c r="KK326" s="770"/>
      <c r="KL326" s="770"/>
      <c r="KM326" s="770"/>
      <c r="KN326" s="770"/>
      <c r="KO326" s="770"/>
      <c r="KP326" s="770"/>
      <c r="KQ326" s="770"/>
      <c r="KR326" s="770"/>
      <c r="KS326" s="770"/>
      <c r="KT326" s="770"/>
      <c r="KU326" s="770"/>
      <c r="KV326" s="770"/>
      <c r="KW326" s="770"/>
      <c r="KX326" s="770"/>
      <c r="KY326" s="770"/>
      <c r="KZ326" s="770"/>
      <c r="LA326" s="770"/>
      <c r="LB326" s="770"/>
      <c r="LC326" s="770"/>
      <c r="LD326" s="770"/>
      <c r="LE326" s="770"/>
      <c r="LF326" s="770"/>
      <c r="LG326" s="770"/>
      <c r="LH326" s="770"/>
      <c r="LI326" s="770"/>
      <c r="LJ326" s="770"/>
      <c r="LK326" s="770"/>
      <c r="LL326" s="770"/>
      <c r="LM326" s="770"/>
      <c r="LN326" s="766"/>
      <c r="LO326" s="766"/>
      <c r="LP326" s="770"/>
      <c r="LQ326" s="770"/>
      <c r="LR326" s="770"/>
      <c r="LS326" s="770"/>
      <c r="LT326" s="770"/>
      <c r="LU326" s="770"/>
      <c r="LV326" s="770"/>
      <c r="LW326" s="770"/>
      <c r="LX326" s="769"/>
      <c r="LY326" s="766" t="str">
        <f t="shared" si="93"/>
        <v/>
      </c>
      <c r="LZ326" s="299"/>
      <c r="MA326" s="1709"/>
      <c r="MB326" s="1709"/>
      <c r="MC326" s="1679">
        <f t="shared" si="91"/>
        <v>0</v>
      </c>
      <c r="MD326" s="1709"/>
      <c r="ME326" s="1709"/>
      <c r="MF326" s="1709"/>
      <c r="MG326" s="1680">
        <f t="shared" si="97"/>
        <v>0</v>
      </c>
      <c r="MH326" s="770"/>
      <c r="MI326" s="302"/>
      <c r="MJ326" s="302"/>
      <c r="MK326" s="302"/>
      <c r="ML326" s="302"/>
      <c r="MM326" s="302"/>
      <c r="MN326" s="302"/>
      <c r="MO326" s="302"/>
      <c r="MP326" s="302"/>
      <c r="MQ326" s="302"/>
      <c r="MR326" s="302"/>
      <c r="MS326" s="302"/>
      <c r="MT326" s="302"/>
      <c r="MU326" s="302"/>
      <c r="MV326" s="302"/>
      <c r="MW326" s="302"/>
      <c r="MX326" s="302"/>
      <c r="MY326" s="1682">
        <f t="shared" si="98"/>
        <v>0</v>
      </c>
      <c r="MZ326" s="770"/>
      <c r="NA326" s="770"/>
      <c r="NB326" s="770"/>
      <c r="NC326" s="770"/>
      <c r="ND326" s="770"/>
      <c r="NE326" s="770"/>
      <c r="NF326" s="770"/>
      <c r="NG326" s="770"/>
      <c r="NH326" s="770"/>
      <c r="NI326" s="770"/>
      <c r="NJ326" s="770"/>
      <c r="NK326" s="770"/>
      <c r="NL326" s="770"/>
      <c r="NM326" s="770"/>
      <c r="NN326" s="770"/>
      <c r="NO326" s="770"/>
      <c r="NP326" s="770"/>
      <c r="NQ326" s="770"/>
      <c r="NR326" s="770"/>
      <c r="NS326" s="770"/>
      <c r="NT326" s="770"/>
      <c r="NU326" s="770"/>
      <c r="NV326" s="770"/>
      <c r="NW326" s="770"/>
      <c r="NX326" s="770"/>
      <c r="NY326" s="770"/>
      <c r="NZ326" s="770"/>
      <c r="OA326" s="770"/>
      <c r="OB326" s="770"/>
      <c r="OC326" s="770"/>
      <c r="OD326" s="770"/>
      <c r="OE326" s="770"/>
      <c r="OF326" s="770"/>
      <c r="OG326" s="770"/>
      <c r="OH326" s="770"/>
      <c r="OI326" s="770"/>
      <c r="OJ326" s="770"/>
      <c r="OK326" s="770"/>
      <c r="OL326" s="770"/>
      <c r="OM326" s="770"/>
      <c r="ON326" s="770"/>
      <c r="OO326" s="770"/>
      <c r="OP326" s="770"/>
      <c r="OQ326" s="770"/>
      <c r="OR326" s="770"/>
      <c r="OS326" s="770"/>
      <c r="OT326" s="770"/>
      <c r="OU326" s="770"/>
      <c r="OV326" s="770"/>
      <c r="OW326" s="770"/>
      <c r="OX326" s="770"/>
      <c r="OY326" s="770"/>
      <c r="OZ326" s="770"/>
      <c r="PA326" s="770"/>
      <c r="PB326" s="770"/>
      <c r="PC326" s="770"/>
      <c r="PD326" s="770"/>
      <c r="PE326" s="770"/>
      <c r="PF326" s="770"/>
      <c r="PG326" s="770"/>
      <c r="PH326" s="770"/>
      <c r="PI326" s="770"/>
      <c r="PJ326" s="770"/>
      <c r="PK326" s="770"/>
      <c r="PL326" s="770"/>
      <c r="PM326" s="770"/>
      <c r="PN326" s="770"/>
      <c r="PO326" s="770"/>
      <c r="PP326" s="770"/>
      <c r="PQ326" s="770"/>
      <c r="PR326" s="770"/>
      <c r="PS326" s="770"/>
      <c r="PT326" s="770"/>
      <c r="PU326" s="770"/>
      <c r="PV326" s="770"/>
      <c r="PW326" s="770"/>
      <c r="PX326" s="770"/>
      <c r="PY326" s="770"/>
      <c r="PZ326" s="770"/>
      <c r="QA326" s="770"/>
      <c r="QB326" s="770"/>
      <c r="QC326" s="770"/>
      <c r="QD326" s="770"/>
      <c r="QE326" s="770"/>
      <c r="QF326" s="770"/>
      <c r="QG326" s="770"/>
      <c r="QH326" s="770"/>
      <c r="QI326" s="770"/>
      <c r="QJ326" s="770"/>
      <c r="QK326" s="770"/>
      <c r="QL326" s="770"/>
      <c r="QM326" s="770"/>
      <c r="QN326" s="770"/>
      <c r="QO326" s="770"/>
      <c r="QP326" s="770"/>
      <c r="QQ326" s="770"/>
      <c r="QR326" s="770"/>
      <c r="QS326" s="770"/>
      <c r="QT326" s="770"/>
      <c r="QU326" s="770"/>
      <c r="QV326" s="770"/>
      <c r="QW326" s="770"/>
      <c r="QX326" s="770"/>
      <c r="QY326" s="770"/>
      <c r="QZ326" s="770"/>
      <c r="RA326" s="770"/>
      <c r="RB326" s="770"/>
      <c r="RC326" s="770"/>
      <c r="RD326" s="770"/>
      <c r="RE326" s="770"/>
      <c r="RF326" s="304"/>
      <c r="RG326" s="770"/>
      <c r="RH326" s="302"/>
      <c r="RI326" s="770"/>
      <c r="RJ326" s="770" t="s">
        <v>13464</v>
      </c>
      <c r="RK326" s="770" t="s">
        <v>13401</v>
      </c>
      <c r="RL326" s="1710">
        <v>42817</v>
      </c>
      <c r="RM326" s="12"/>
      <c r="RN326" s="1711"/>
      <c r="RO326" s="148" t="s">
        <v>556</v>
      </c>
      <c r="RP326" s="11"/>
      <c r="RQ326" s="11"/>
      <c r="RR326" s="17"/>
      <c r="RS326" s="767"/>
      <c r="RT326" s="11"/>
      <c r="RU326" s="11"/>
      <c r="RV326" s="771" t="s">
        <v>7419</v>
      </c>
      <c r="RW326" s="11" t="s">
        <v>7636</v>
      </c>
      <c r="RX326" s="11" t="s">
        <v>556</v>
      </c>
      <c r="RY326" s="11"/>
      <c r="RZ326" s="11"/>
      <c r="SA326" s="771"/>
      <c r="SB326" s="11"/>
      <c r="SC326" s="11"/>
    </row>
    <row r="327" spans="1:497" ht="12.75" hidden="1" customHeight="1">
      <c r="A327" s="343" t="s">
        <v>14169</v>
      </c>
      <c r="B327" s="292" t="s">
        <v>7981</v>
      </c>
      <c r="C327" s="148" t="s">
        <v>556</v>
      </c>
      <c r="D327" s="770" t="s">
        <v>5530</v>
      </c>
      <c r="E327" s="770" t="s">
        <v>558</v>
      </c>
      <c r="F327" s="770" t="s">
        <v>28</v>
      </c>
      <c r="G327" s="770" t="s">
        <v>18</v>
      </c>
      <c r="H327" s="770"/>
      <c r="I327" s="295"/>
      <c r="J327" s="770"/>
      <c r="K327" s="770"/>
      <c r="L327" s="770"/>
      <c r="M327" s="770"/>
      <c r="N327" s="770"/>
      <c r="O327" s="770"/>
      <c r="P327" s="770" t="s">
        <v>1034</v>
      </c>
      <c r="Q327" s="1088"/>
      <c r="R327" s="297"/>
      <c r="S327" s="770"/>
      <c r="T327" s="770"/>
      <c r="U327" s="298"/>
      <c r="V327" s="770"/>
      <c r="W327" s="770"/>
      <c r="X327" s="296"/>
      <c r="Y327" s="770"/>
      <c r="Z327" s="770"/>
      <c r="AA327" s="770"/>
      <c r="AB327" s="770"/>
      <c r="AC327" s="770"/>
      <c r="AD327" s="770"/>
      <c r="AE327" s="770"/>
      <c r="AF327" s="770"/>
      <c r="AG327" s="770"/>
      <c r="AH327" s="770"/>
      <c r="AI327" s="770"/>
      <c r="AJ327" s="770"/>
      <c r="AK327" s="770" t="s">
        <v>5454</v>
      </c>
      <c r="AL327" s="299"/>
      <c r="AM327" s="300"/>
      <c r="AN327" s="301"/>
      <c r="AO327" s="766"/>
      <c r="AP327" s="766"/>
      <c r="AQ327" s="766"/>
      <c r="AR327" s="766"/>
      <c r="AS327" s="770"/>
      <c r="AT327" s="770"/>
      <c r="AU327" s="770"/>
      <c r="AV327" s="770"/>
      <c r="AW327" s="770"/>
      <c r="AX327" s="770"/>
      <c r="AY327" s="770"/>
      <c r="AZ327" s="770"/>
      <c r="BA327" s="770"/>
      <c r="BB327" s="770"/>
      <c r="BC327" s="770"/>
      <c r="BD327" s="770"/>
      <c r="BE327" s="770"/>
      <c r="BF327" s="302"/>
      <c r="BG327" s="302"/>
      <c r="BH327" s="770"/>
      <c r="BI327" s="770"/>
      <c r="BJ327" s="770"/>
      <c r="BK327" s="770"/>
      <c r="BL327" s="770"/>
      <c r="BM327" s="770" t="s">
        <v>1238</v>
      </c>
      <c r="BN327" s="770" t="s">
        <v>1305</v>
      </c>
      <c r="BO327" s="770"/>
      <c r="BP327" s="780"/>
      <c r="BQ327" s="772"/>
      <c r="BR327" s="774"/>
      <c r="BS327" s="766"/>
      <c r="BT327" s="766"/>
      <c r="BU327" s="770"/>
      <c r="BV327" s="770"/>
      <c r="BW327" s="770"/>
      <c r="BX327" s="302"/>
      <c r="BY327" s="303"/>
      <c r="BZ327" s="770"/>
      <c r="CA327" s="302"/>
      <c r="CB327" s="302"/>
      <c r="CC327" s="770"/>
      <c r="CD327" s="770"/>
      <c r="CE327" s="770"/>
      <c r="CF327" s="770"/>
      <c r="CG327" s="770"/>
      <c r="CH327" s="770"/>
      <c r="CI327" s="770"/>
      <c r="CJ327" s="770"/>
      <c r="CK327" s="770"/>
      <c r="CL327" s="770"/>
      <c r="CM327" s="770"/>
      <c r="CN327" s="770"/>
      <c r="CO327" s="770"/>
      <c r="CP327" s="770"/>
      <c r="CQ327" s="770"/>
      <c r="CR327" s="770"/>
      <c r="CS327" s="302"/>
      <c r="CT327" s="770"/>
      <c r="CU327" s="305"/>
      <c r="CV327" s="770"/>
      <c r="CW327" s="770"/>
      <c r="CX327" s="770"/>
      <c r="CY327" s="770"/>
      <c r="CZ327" s="770"/>
      <c r="DA327" s="770"/>
      <c r="DB327" s="770"/>
      <c r="DC327" s="770"/>
      <c r="DD327" s="770"/>
      <c r="DE327" s="770"/>
      <c r="DF327" s="770"/>
      <c r="DG327" s="770"/>
      <c r="DH327" s="770"/>
      <c r="DI327" s="770"/>
      <c r="DJ327" s="770"/>
      <c r="DK327" s="770"/>
      <c r="DL327" s="770"/>
      <c r="DM327" s="770"/>
      <c r="DN327" s="770"/>
      <c r="DO327" s="770"/>
      <c r="DP327" s="770"/>
      <c r="DQ327" s="770"/>
      <c r="DR327" s="770"/>
      <c r="DS327" s="307"/>
      <c r="DT327" s="770"/>
      <c r="DU327" s="770"/>
      <c r="DV327" s="770"/>
      <c r="DW327" s="306"/>
      <c r="DX327" s="306"/>
      <c r="DY327" s="770"/>
      <c r="DZ327" s="770"/>
      <c r="EA327" s="770"/>
      <c r="EB327" s="770"/>
      <c r="EC327" s="770"/>
      <c r="ED327" s="770"/>
      <c r="EE327" s="770"/>
      <c r="EF327" s="770"/>
      <c r="EG327" s="770"/>
      <c r="EH327" s="770"/>
      <c r="EI327" s="770"/>
      <c r="EJ327" s="770"/>
      <c r="EK327" s="770"/>
      <c r="EL327" s="770"/>
      <c r="EM327" s="770"/>
      <c r="EN327" s="770"/>
      <c r="EO327" s="770"/>
      <c r="EP327" s="770"/>
      <c r="EQ327" s="770"/>
      <c r="ER327" s="770"/>
      <c r="ES327" s="770"/>
      <c r="ET327" s="770"/>
      <c r="EU327" s="770"/>
      <c r="EV327" s="770"/>
      <c r="EW327" s="770"/>
      <c r="EX327" s="770"/>
      <c r="EY327" s="770"/>
      <c r="EZ327" s="770"/>
      <c r="FA327" s="770"/>
      <c r="FB327" s="770"/>
      <c r="FC327" s="770"/>
      <c r="FD327" s="302"/>
      <c r="FE327" s="770"/>
      <c r="FF327" s="770"/>
      <c r="FG327" s="770"/>
      <c r="FH327" s="770" t="s">
        <v>1299</v>
      </c>
      <c r="FI327" s="770">
        <v>1</v>
      </c>
      <c r="FJ327" s="770" t="s">
        <v>1651</v>
      </c>
      <c r="FK327" s="770"/>
      <c r="FL327" s="770" t="s">
        <v>1652</v>
      </c>
      <c r="FM327" s="775"/>
      <c r="FN327" s="302">
        <v>300</v>
      </c>
      <c r="FO327" s="302">
        <v>200</v>
      </c>
      <c r="FP327" s="770" t="s">
        <v>1600</v>
      </c>
      <c r="FQ327" s="770" t="s">
        <v>1642</v>
      </c>
      <c r="FR327" s="770" t="s">
        <v>1214</v>
      </c>
      <c r="FS327" s="770"/>
      <c r="FT327" s="770"/>
      <c r="FU327" s="770"/>
      <c r="FV327" s="770"/>
      <c r="FW327" s="770"/>
      <c r="FX327" s="770"/>
      <c r="FY327" s="770"/>
      <c r="FZ327" s="770"/>
      <c r="GA327" s="770"/>
      <c r="GB327" s="770"/>
      <c r="GC327" s="308"/>
      <c r="GD327" s="297"/>
      <c r="GE327" s="770"/>
      <c r="GF327" s="302"/>
      <c r="GG327" s="302"/>
      <c r="GH327" s="770"/>
      <c r="GI327" s="770"/>
      <c r="GJ327" s="770"/>
      <c r="GK327" s="770"/>
      <c r="GL327" s="770"/>
      <c r="GM327" s="770"/>
      <c r="GN327" s="309"/>
      <c r="GO327" s="770"/>
      <c r="GP327" s="770"/>
      <c r="GQ327" s="770"/>
      <c r="GR327" s="770"/>
      <c r="GS327" s="770"/>
      <c r="GT327" s="770"/>
      <c r="GU327" s="770"/>
      <c r="GV327" s="770"/>
      <c r="GW327" s="770"/>
      <c r="GX327" s="770"/>
      <c r="GY327" s="770"/>
      <c r="GZ327" s="770"/>
      <c r="HA327" s="770"/>
      <c r="HB327" s="770"/>
      <c r="HC327" s="770"/>
      <c r="HD327" s="770"/>
      <c r="HE327" s="770"/>
      <c r="HF327" s="770"/>
      <c r="HG327" s="770"/>
      <c r="HH327" s="770"/>
      <c r="HI327" s="770"/>
      <c r="HJ327" s="770"/>
      <c r="HK327" s="770"/>
      <c r="HL327" s="770"/>
      <c r="HM327" s="770"/>
      <c r="HN327" s="770"/>
      <c r="HO327" s="770"/>
      <c r="HP327" s="770"/>
      <c r="HQ327" s="770"/>
      <c r="HR327" s="770"/>
      <c r="HS327" s="770"/>
      <c r="HT327" s="770"/>
      <c r="HU327" s="770"/>
      <c r="HV327" s="770"/>
      <c r="HW327" s="770"/>
      <c r="HX327" s="770"/>
      <c r="HY327" s="770"/>
      <c r="HZ327" s="770"/>
      <c r="IA327" s="770"/>
      <c r="IB327" s="14" t="e">
        <f>IF(#REF!&gt;0,IF(#REF!&lt;=10000,"Y",""),"")</f>
        <v>#REF!</v>
      </c>
      <c r="IC327" s="770" t="s">
        <v>1207</v>
      </c>
      <c r="ID327" s="770"/>
      <c r="IE327" s="770"/>
      <c r="IF327" s="770"/>
      <c r="IG327" s="770"/>
      <c r="IH327" s="770"/>
      <c r="II327" s="770"/>
      <c r="IJ327" s="770"/>
      <c r="IK327" s="770"/>
      <c r="IL327" s="770"/>
      <c r="IM327" s="770"/>
      <c r="IN327" s="770"/>
      <c r="IO327" s="296"/>
      <c r="IP327" s="770"/>
      <c r="IQ327" s="770"/>
      <c r="IR327" s="770"/>
      <c r="IS327" s="770"/>
      <c r="IT327" s="770"/>
      <c r="IU327" s="770"/>
      <c r="IV327" s="770"/>
      <c r="IW327" s="770"/>
      <c r="IX327" s="770"/>
      <c r="IY327" s="770"/>
      <c r="IZ327" s="770"/>
      <c r="JA327" s="770"/>
      <c r="JB327" s="770"/>
      <c r="JC327" s="770"/>
      <c r="JD327" s="302"/>
      <c r="JE327" s="770"/>
      <c r="JF327" s="770"/>
      <c r="JG327" s="770"/>
      <c r="JH327" s="770"/>
      <c r="JI327" s="770"/>
      <c r="JJ327" s="770">
        <v>1</v>
      </c>
      <c r="JK327" s="770" t="s">
        <v>13465</v>
      </c>
      <c r="JL327" s="770"/>
      <c r="JM327" s="770"/>
      <c r="JN327" s="770"/>
      <c r="JO327" s="770"/>
      <c r="JP327" s="770"/>
      <c r="JQ327" s="770"/>
      <c r="JR327" s="770"/>
      <c r="JS327" s="770"/>
      <c r="JT327" s="766"/>
      <c r="JU327" s="766"/>
      <c r="JV327" s="766"/>
      <c r="JW327" s="766"/>
      <c r="JX327" s="770"/>
      <c r="JY327" s="770"/>
      <c r="JZ327" s="770"/>
      <c r="KA327" s="770"/>
      <c r="KB327" s="770"/>
      <c r="KC327" s="770"/>
      <c r="KD327" s="770"/>
      <c r="KE327" s="770"/>
      <c r="KF327" s="770"/>
      <c r="KG327" s="770"/>
      <c r="KH327" s="770"/>
      <c r="KI327" s="770"/>
      <c r="KJ327" s="770"/>
      <c r="KK327" s="770"/>
      <c r="KL327" s="770"/>
      <c r="KM327" s="770"/>
      <c r="KN327" s="770"/>
      <c r="KO327" s="770"/>
      <c r="KP327" s="770"/>
      <c r="KQ327" s="770"/>
      <c r="KR327" s="770"/>
      <c r="KS327" s="770"/>
      <c r="KT327" s="770"/>
      <c r="KU327" s="770"/>
      <c r="KV327" s="770"/>
      <c r="KW327" s="770"/>
      <c r="KX327" s="770"/>
      <c r="KY327" s="770"/>
      <c r="KZ327" s="770"/>
      <c r="LA327" s="770"/>
      <c r="LB327" s="770"/>
      <c r="LC327" s="770"/>
      <c r="LD327" s="770"/>
      <c r="LE327" s="770"/>
      <c r="LF327" s="770"/>
      <c r="LG327" s="770"/>
      <c r="LH327" s="770"/>
      <c r="LI327" s="770"/>
      <c r="LJ327" s="770"/>
      <c r="LK327" s="770"/>
      <c r="LL327" s="770"/>
      <c r="LM327" s="770"/>
      <c r="LN327" s="766"/>
      <c r="LO327" s="766"/>
      <c r="LP327" s="770"/>
      <c r="LQ327" s="770"/>
      <c r="LR327" s="770"/>
      <c r="LS327" s="770"/>
      <c r="LT327" s="770"/>
      <c r="LU327" s="770"/>
      <c r="LV327" s="770"/>
      <c r="LW327" s="770"/>
      <c r="LX327" s="769"/>
      <c r="LY327" s="766" t="str">
        <f t="shared" si="93"/>
        <v/>
      </c>
      <c r="LZ327" s="299"/>
      <c r="MA327" s="1709"/>
      <c r="MB327" s="1709"/>
      <c r="MC327" s="1679">
        <f t="shared" si="91"/>
        <v>0</v>
      </c>
      <c r="MD327" s="1709"/>
      <c r="ME327" s="1709"/>
      <c r="MF327" s="1709"/>
      <c r="MG327" s="1680">
        <f t="shared" si="97"/>
        <v>0</v>
      </c>
      <c r="MH327" s="770"/>
      <c r="MI327" s="302"/>
      <c r="MJ327" s="302"/>
      <c r="MK327" s="302"/>
      <c r="ML327" s="302"/>
      <c r="MM327" s="302"/>
      <c r="MN327" s="302"/>
      <c r="MO327" s="302"/>
      <c r="MP327" s="302"/>
      <c r="MQ327" s="302"/>
      <c r="MR327" s="302"/>
      <c r="MS327" s="302"/>
      <c r="MT327" s="302"/>
      <c r="MU327" s="302"/>
      <c r="MV327" s="302"/>
      <c r="MW327" s="302"/>
      <c r="MX327" s="302"/>
      <c r="MY327" s="1682">
        <f t="shared" si="98"/>
        <v>0</v>
      </c>
      <c r="MZ327" s="770"/>
      <c r="NA327" s="770"/>
      <c r="NB327" s="770"/>
      <c r="NC327" s="770"/>
      <c r="ND327" s="770"/>
      <c r="NE327" s="770"/>
      <c r="NF327" s="770"/>
      <c r="NG327" s="770"/>
      <c r="NH327" s="770"/>
      <c r="NI327" s="770"/>
      <c r="NJ327" s="770"/>
      <c r="NK327" s="770"/>
      <c r="NL327" s="770"/>
      <c r="NM327" s="770"/>
      <c r="NN327" s="770"/>
      <c r="NO327" s="770"/>
      <c r="NP327" s="770"/>
      <c r="NQ327" s="770"/>
      <c r="NR327" s="770"/>
      <c r="NS327" s="770"/>
      <c r="NT327" s="770"/>
      <c r="NU327" s="770"/>
      <c r="NV327" s="770"/>
      <c r="NW327" s="770"/>
      <c r="NX327" s="770"/>
      <c r="NY327" s="770"/>
      <c r="NZ327" s="770"/>
      <c r="OA327" s="770"/>
      <c r="OB327" s="770"/>
      <c r="OC327" s="770"/>
      <c r="OD327" s="770"/>
      <c r="OE327" s="770"/>
      <c r="OF327" s="770"/>
      <c r="OG327" s="770"/>
      <c r="OH327" s="770"/>
      <c r="OI327" s="770"/>
      <c r="OJ327" s="770"/>
      <c r="OK327" s="770"/>
      <c r="OL327" s="770"/>
      <c r="OM327" s="770"/>
      <c r="ON327" s="770"/>
      <c r="OO327" s="770"/>
      <c r="OP327" s="770"/>
      <c r="OQ327" s="770"/>
      <c r="OR327" s="770"/>
      <c r="OS327" s="770"/>
      <c r="OT327" s="770"/>
      <c r="OU327" s="770"/>
      <c r="OV327" s="770"/>
      <c r="OW327" s="770"/>
      <c r="OX327" s="770"/>
      <c r="OY327" s="770"/>
      <c r="OZ327" s="770"/>
      <c r="PA327" s="770"/>
      <c r="PB327" s="770"/>
      <c r="PC327" s="770"/>
      <c r="PD327" s="770"/>
      <c r="PE327" s="770"/>
      <c r="PF327" s="770"/>
      <c r="PG327" s="770"/>
      <c r="PH327" s="770"/>
      <c r="PI327" s="770"/>
      <c r="PJ327" s="770"/>
      <c r="PK327" s="770"/>
      <c r="PL327" s="770"/>
      <c r="PM327" s="770"/>
      <c r="PN327" s="770"/>
      <c r="PO327" s="770"/>
      <c r="PP327" s="770"/>
      <c r="PQ327" s="770"/>
      <c r="PR327" s="770"/>
      <c r="PS327" s="770"/>
      <c r="PT327" s="770"/>
      <c r="PU327" s="770"/>
      <c r="PV327" s="770"/>
      <c r="PW327" s="770"/>
      <c r="PX327" s="770"/>
      <c r="PY327" s="770"/>
      <c r="PZ327" s="770"/>
      <c r="QA327" s="770"/>
      <c r="QB327" s="770"/>
      <c r="QC327" s="770"/>
      <c r="QD327" s="770"/>
      <c r="QE327" s="770"/>
      <c r="QF327" s="770"/>
      <c r="QG327" s="770"/>
      <c r="QH327" s="770"/>
      <c r="QI327" s="770"/>
      <c r="QJ327" s="770"/>
      <c r="QK327" s="770"/>
      <c r="QL327" s="770"/>
      <c r="QM327" s="770"/>
      <c r="QN327" s="770"/>
      <c r="QO327" s="770"/>
      <c r="QP327" s="770"/>
      <c r="QQ327" s="770"/>
      <c r="QR327" s="770"/>
      <c r="QS327" s="770"/>
      <c r="QT327" s="770"/>
      <c r="QU327" s="770"/>
      <c r="QV327" s="770"/>
      <c r="QW327" s="770"/>
      <c r="QX327" s="770"/>
      <c r="QY327" s="770"/>
      <c r="QZ327" s="770"/>
      <c r="RA327" s="770"/>
      <c r="RB327" s="770"/>
      <c r="RC327" s="770"/>
      <c r="RD327" s="770"/>
      <c r="RE327" s="770"/>
      <c r="RF327" s="304"/>
      <c r="RG327" s="770"/>
      <c r="RH327" s="302"/>
      <c r="RI327" s="770"/>
      <c r="RJ327" s="770" t="s">
        <v>13466</v>
      </c>
      <c r="RK327" s="770" t="s">
        <v>13401</v>
      </c>
      <c r="RL327" s="1710">
        <v>42817</v>
      </c>
      <c r="RM327" s="12"/>
      <c r="RN327" s="1711"/>
      <c r="RO327" s="148" t="s">
        <v>556</v>
      </c>
      <c r="RP327" s="11"/>
      <c r="RQ327" s="11"/>
      <c r="RR327" s="17"/>
      <c r="RS327" s="767"/>
      <c r="RT327" s="11"/>
      <c r="RU327" s="11"/>
      <c r="RV327" s="771" t="s">
        <v>8085</v>
      </c>
      <c r="RW327" s="11" t="s">
        <v>7981</v>
      </c>
      <c r="RX327" s="11" t="s">
        <v>556</v>
      </c>
      <c r="RY327" s="11"/>
      <c r="RZ327" s="11"/>
      <c r="SA327" s="771"/>
      <c r="SB327" s="11"/>
      <c r="SC327" s="11"/>
    </row>
    <row r="328" spans="1:497" ht="12.75" hidden="1" customHeight="1">
      <c r="A328" s="154" t="s">
        <v>7419</v>
      </c>
      <c r="B328" s="292" t="s">
        <v>7637</v>
      </c>
      <c r="C328" s="140" t="s">
        <v>560</v>
      </c>
      <c r="D328" s="770"/>
      <c r="E328" s="770" t="s">
        <v>562</v>
      </c>
      <c r="F328" s="770"/>
      <c r="G328" s="770"/>
      <c r="H328" s="770"/>
      <c r="I328" s="295"/>
      <c r="J328" s="770"/>
      <c r="K328" s="770"/>
      <c r="L328" s="770"/>
      <c r="M328" s="770"/>
      <c r="N328" s="770"/>
      <c r="O328" s="770"/>
      <c r="P328" s="770"/>
      <c r="Q328" s="1088"/>
      <c r="R328" s="297"/>
      <c r="S328" s="770"/>
      <c r="T328" s="770"/>
      <c r="U328" s="298"/>
      <c r="V328" s="770"/>
      <c r="W328" s="770"/>
      <c r="X328" s="296"/>
      <c r="Y328" s="770"/>
      <c r="Z328" s="770"/>
      <c r="AA328" s="770"/>
      <c r="AB328" s="770"/>
      <c r="AC328" s="770"/>
      <c r="AD328" s="770"/>
      <c r="AE328" s="770"/>
      <c r="AF328" s="770"/>
      <c r="AG328" s="766" t="s">
        <v>1095</v>
      </c>
      <c r="AH328" s="766" t="s">
        <v>1096</v>
      </c>
      <c r="AI328" s="770" t="s">
        <v>1175</v>
      </c>
      <c r="AJ328" s="770"/>
      <c r="AK328" s="766" t="s">
        <v>1097</v>
      </c>
      <c r="AL328" s="299">
        <v>57.8</v>
      </c>
      <c r="AM328" s="300">
        <v>9.4</v>
      </c>
      <c r="AN328" s="301">
        <v>0.16300000000000001</v>
      </c>
      <c r="AO328" s="766" t="s">
        <v>1109</v>
      </c>
      <c r="AP328" s="766"/>
      <c r="AQ328" s="766"/>
      <c r="AR328" s="766"/>
      <c r="AS328" s="770"/>
      <c r="AT328" s="770"/>
      <c r="AU328" s="770"/>
      <c r="AV328" s="770"/>
      <c r="AW328" s="770"/>
      <c r="AX328" s="770"/>
      <c r="AY328" s="770"/>
      <c r="AZ328" s="770"/>
      <c r="BA328" s="770"/>
      <c r="BB328" s="770"/>
      <c r="BC328" s="770"/>
      <c r="BD328" s="770"/>
      <c r="BE328" s="770"/>
      <c r="BF328" s="302"/>
      <c r="BG328" s="302"/>
      <c r="BH328" s="770"/>
      <c r="BI328" s="770"/>
      <c r="BJ328" s="770"/>
      <c r="BK328" s="770" t="s">
        <v>1095</v>
      </c>
      <c r="BL328" s="770" t="s">
        <v>1175</v>
      </c>
      <c r="BM328" s="766" t="s">
        <v>1096</v>
      </c>
      <c r="BN328" s="770" t="s">
        <v>1230</v>
      </c>
      <c r="BO328" s="766" t="s">
        <v>1246</v>
      </c>
      <c r="BP328" s="780">
        <v>76.61</v>
      </c>
      <c r="BQ328" s="772">
        <v>9.4</v>
      </c>
      <c r="BR328" s="774">
        <f>BQ328/BP328</f>
        <v>0.12269938650306748</v>
      </c>
      <c r="BS328" s="766" t="s">
        <v>1242</v>
      </c>
      <c r="BT328" s="766" t="s">
        <v>2040</v>
      </c>
      <c r="BU328" s="766" t="s">
        <v>1267</v>
      </c>
      <c r="BV328" s="766" t="s">
        <v>1349</v>
      </c>
      <c r="BW328" s="769"/>
      <c r="BX328" s="302"/>
      <c r="BY328" s="303"/>
      <c r="BZ328" s="770"/>
      <c r="CA328" s="302"/>
      <c r="CB328" s="302"/>
      <c r="CC328" s="770"/>
      <c r="CD328" s="770"/>
      <c r="CE328" s="770"/>
      <c r="CF328" s="770"/>
      <c r="CG328" s="770"/>
      <c r="CH328" s="770"/>
      <c r="CI328" s="770"/>
      <c r="CJ328" s="770"/>
      <c r="CK328" s="770"/>
      <c r="CL328" s="770"/>
      <c r="CM328" s="770"/>
      <c r="CN328" s="770"/>
      <c r="CO328" s="770"/>
      <c r="CP328" s="770"/>
      <c r="CQ328" s="770"/>
      <c r="CR328" s="770"/>
      <c r="CS328" s="302"/>
      <c r="CT328" s="770"/>
      <c r="CU328" s="305"/>
      <c r="CV328" s="770"/>
      <c r="CW328" s="770"/>
      <c r="CX328" s="770"/>
      <c r="CY328" s="770"/>
      <c r="CZ328" s="770"/>
      <c r="DA328" s="770"/>
      <c r="DB328" s="770"/>
      <c r="DC328" s="770"/>
      <c r="DD328" s="770"/>
      <c r="DE328" s="770"/>
      <c r="DF328" s="770"/>
      <c r="DG328" s="770"/>
      <c r="DH328" s="770"/>
      <c r="DI328" s="770"/>
      <c r="DJ328" s="770"/>
      <c r="DK328" s="770"/>
      <c r="DL328" s="770"/>
      <c r="DM328" s="770"/>
      <c r="DN328" s="770"/>
      <c r="DO328" s="770"/>
      <c r="DP328" s="770"/>
      <c r="DQ328" s="770"/>
      <c r="DR328" s="770"/>
      <c r="DS328" s="307"/>
      <c r="DT328" s="770"/>
      <c r="DU328" s="770"/>
      <c r="DV328" s="770"/>
      <c r="DW328" s="306"/>
      <c r="DX328" s="306"/>
      <c r="DY328" s="770"/>
      <c r="DZ328" s="770"/>
      <c r="EA328" s="770"/>
      <c r="EB328" s="770"/>
      <c r="EC328" s="770"/>
      <c r="ED328" s="770"/>
      <c r="EE328" s="770"/>
      <c r="EF328" s="770"/>
      <c r="EG328" s="770"/>
      <c r="EH328" s="770"/>
      <c r="EI328" s="770"/>
      <c r="EJ328" s="770"/>
      <c r="EK328" s="770"/>
      <c r="EL328" s="770"/>
      <c r="EM328" s="770"/>
      <c r="EN328" s="770"/>
      <c r="EO328" s="770"/>
      <c r="EP328" s="770"/>
      <c r="EQ328" s="770"/>
      <c r="ER328" s="770"/>
      <c r="ES328" s="770"/>
      <c r="ET328" s="770"/>
      <c r="EU328" s="770"/>
      <c r="EV328" s="770"/>
      <c r="EW328" s="770"/>
      <c r="EX328" s="770"/>
      <c r="EY328" s="770"/>
      <c r="EZ328" s="770"/>
      <c r="FA328" s="770"/>
      <c r="FB328" s="770"/>
      <c r="FC328" s="770"/>
      <c r="FD328" s="302"/>
      <c r="FE328" s="770"/>
      <c r="FF328" s="770"/>
      <c r="FG328" s="770"/>
      <c r="FH328" s="770" t="s">
        <v>478</v>
      </c>
      <c r="FI328" s="770"/>
      <c r="FJ328" s="770"/>
      <c r="FK328" s="770"/>
      <c r="FL328" s="770"/>
      <c r="FM328" s="302"/>
      <c r="FN328" s="302"/>
      <c r="FO328" s="302"/>
      <c r="FP328" s="770"/>
      <c r="FQ328" s="770"/>
      <c r="FR328" s="770"/>
      <c r="FS328" s="770"/>
      <c r="FT328" s="770"/>
      <c r="FU328" s="770"/>
      <c r="FV328" s="770"/>
      <c r="FW328" s="770"/>
      <c r="FX328" s="770"/>
      <c r="FY328" s="770"/>
      <c r="FZ328" s="770"/>
      <c r="GA328" s="770"/>
      <c r="GB328" s="770"/>
      <c r="GC328" s="308"/>
      <c r="GD328" s="297"/>
      <c r="GE328" s="770"/>
      <c r="GF328" s="302"/>
      <c r="GG328" s="302"/>
      <c r="GH328" s="770"/>
      <c r="GI328" s="770"/>
      <c r="GJ328" s="770"/>
      <c r="GK328" s="770"/>
      <c r="GL328" s="770"/>
      <c r="GM328" s="770"/>
      <c r="GN328" s="309"/>
      <c r="GO328" s="770"/>
      <c r="GP328" s="770"/>
      <c r="GQ328" s="770"/>
      <c r="GR328" s="770"/>
      <c r="GS328" s="770"/>
      <c r="GT328" s="770"/>
      <c r="GU328" s="770"/>
      <c r="GV328" s="770"/>
      <c r="GW328" s="770"/>
      <c r="GX328" s="770"/>
      <c r="GY328" s="770"/>
      <c r="GZ328" s="770"/>
      <c r="HA328" s="770"/>
      <c r="HB328" s="770"/>
      <c r="HC328" s="770"/>
      <c r="HD328" s="770"/>
      <c r="HE328" s="770"/>
      <c r="HF328" s="770"/>
      <c r="HG328" s="770"/>
      <c r="HH328" s="770"/>
      <c r="HI328" s="770"/>
      <c r="HJ328" s="770"/>
      <c r="HK328" s="770"/>
      <c r="HL328" s="770"/>
      <c r="HM328" s="770"/>
      <c r="HN328" s="770"/>
      <c r="HO328" s="770"/>
      <c r="HP328" s="770"/>
      <c r="HQ328" s="770"/>
      <c r="HR328" s="770"/>
      <c r="HS328" s="770"/>
      <c r="HT328" s="770"/>
      <c r="HU328" s="770"/>
      <c r="HV328" s="770"/>
      <c r="HW328" s="770"/>
      <c r="HX328" s="770"/>
      <c r="HY328" s="770"/>
      <c r="HZ328" s="770"/>
      <c r="IA328" s="770"/>
      <c r="IB328" s="14" t="e">
        <f>IF(#REF!&gt;0,IF(#REF!&lt;=10000,"Y",""),"")</f>
        <v>#REF!</v>
      </c>
      <c r="IC328" s="770"/>
      <c r="ID328" s="770"/>
      <c r="IE328" s="770"/>
      <c r="IF328" s="770"/>
      <c r="IG328" s="770"/>
      <c r="IH328" s="770"/>
      <c r="II328" s="770"/>
      <c r="IJ328" s="770"/>
      <c r="IK328" s="770"/>
      <c r="IL328" s="770" t="s">
        <v>5533</v>
      </c>
      <c r="IM328" s="770"/>
      <c r="IN328" s="770" t="s">
        <v>5533</v>
      </c>
      <c r="IO328" s="296"/>
      <c r="IP328" s="770"/>
      <c r="IQ328" s="769" t="s">
        <v>5498</v>
      </c>
      <c r="IR328" s="770" t="s">
        <v>2716</v>
      </c>
      <c r="IS328" s="770"/>
      <c r="IT328" s="770"/>
      <c r="IU328" s="770"/>
      <c r="IV328" s="770"/>
      <c r="IW328" s="770" t="s">
        <v>13467</v>
      </c>
      <c r="IX328" s="770"/>
      <c r="IY328" s="770" t="s">
        <v>1653</v>
      </c>
      <c r="IZ328" s="770"/>
      <c r="JA328" s="770"/>
      <c r="JB328" s="770"/>
      <c r="JC328" s="770"/>
      <c r="JD328" s="302">
        <v>2500</v>
      </c>
      <c r="JE328" s="770"/>
      <c r="JF328" s="770"/>
      <c r="JG328" s="770"/>
      <c r="JH328" s="770"/>
      <c r="JI328" s="770"/>
      <c r="JJ328" s="770"/>
      <c r="JK328" s="770"/>
      <c r="JL328" s="770"/>
      <c r="JM328" s="770"/>
      <c r="JN328" s="770"/>
      <c r="JO328" s="770"/>
      <c r="JP328" s="770"/>
      <c r="JQ328" s="770"/>
      <c r="JR328" s="770"/>
      <c r="JS328" s="770"/>
      <c r="JT328" s="766"/>
      <c r="JU328" s="766"/>
      <c r="JV328" s="766"/>
      <c r="JW328" s="766"/>
      <c r="JX328" s="770"/>
      <c r="JY328" s="770"/>
      <c r="JZ328" s="770"/>
      <c r="KA328" s="770"/>
      <c r="KB328" s="770"/>
      <c r="KC328" s="770"/>
      <c r="KD328" s="770"/>
      <c r="KE328" s="770"/>
      <c r="KF328" s="770"/>
      <c r="KG328" s="770"/>
      <c r="KH328" s="770"/>
      <c r="KI328" s="770"/>
      <c r="KJ328" s="770"/>
      <c r="KK328" s="770"/>
      <c r="KL328" s="770"/>
      <c r="KM328" s="770"/>
      <c r="KN328" s="770"/>
      <c r="KO328" s="770"/>
      <c r="KP328" s="770"/>
      <c r="KQ328" s="770"/>
      <c r="KR328" s="770"/>
      <c r="KS328" s="770"/>
      <c r="KT328" s="770"/>
      <c r="KU328" s="770"/>
      <c r="KV328" s="770"/>
      <c r="KW328" s="770"/>
      <c r="KX328" s="770"/>
      <c r="KY328" s="770"/>
      <c r="KZ328" s="770"/>
      <c r="LA328" s="770"/>
      <c r="LB328" s="770"/>
      <c r="LC328" s="770"/>
      <c r="LD328" s="770"/>
      <c r="LE328" s="770"/>
      <c r="LF328" s="770"/>
      <c r="LG328" s="770"/>
      <c r="LH328" s="770"/>
      <c r="LI328" s="770"/>
      <c r="LJ328" s="770"/>
      <c r="LK328" s="770"/>
      <c r="LL328" s="770"/>
      <c r="LM328" s="770"/>
      <c r="LN328" s="766"/>
      <c r="LO328" s="766"/>
      <c r="LP328" s="770"/>
      <c r="LQ328" s="770"/>
      <c r="LR328" s="770"/>
      <c r="LS328" s="770"/>
      <c r="LT328" s="770"/>
      <c r="LU328" s="770"/>
      <c r="LV328" s="770"/>
      <c r="LW328" s="770"/>
      <c r="LX328" s="769"/>
      <c r="LY328" s="766" t="str">
        <f t="shared" si="93"/>
        <v/>
      </c>
      <c r="LZ328" s="299"/>
      <c r="MA328" s="1709"/>
      <c r="MB328" s="1709"/>
      <c r="MC328" s="1679">
        <f t="shared" si="91"/>
        <v>0</v>
      </c>
      <c r="MD328" s="1709"/>
      <c r="ME328" s="1709"/>
      <c r="MF328" s="1709"/>
      <c r="MG328" s="1680">
        <f t="shared" si="97"/>
        <v>0</v>
      </c>
      <c r="MH328" s="770"/>
      <c r="MI328" s="302"/>
      <c r="MJ328" s="302"/>
      <c r="MK328" s="302"/>
      <c r="ML328" s="302"/>
      <c r="MM328" s="302"/>
      <c r="MN328" s="302"/>
      <c r="MO328" s="302"/>
      <c r="MP328" s="302"/>
      <c r="MQ328" s="302"/>
      <c r="MR328" s="302"/>
      <c r="MS328" s="302"/>
      <c r="MT328" s="302"/>
      <c r="MU328" s="302"/>
      <c r="MV328" s="302"/>
      <c r="MW328" s="302"/>
      <c r="MX328" s="302"/>
      <c r="MY328" s="1682">
        <f t="shared" si="98"/>
        <v>0</v>
      </c>
      <c r="MZ328" s="770"/>
      <c r="NA328" s="770"/>
      <c r="NB328" s="770"/>
      <c r="NC328" s="770"/>
      <c r="ND328" s="770"/>
      <c r="NE328" s="770"/>
      <c r="NF328" s="770"/>
      <c r="NG328" s="770"/>
      <c r="NH328" s="770"/>
      <c r="NI328" s="770"/>
      <c r="NJ328" s="770"/>
      <c r="NK328" s="770"/>
      <c r="NL328" s="770"/>
      <c r="NM328" s="770"/>
      <c r="NN328" s="770"/>
      <c r="NO328" s="770"/>
      <c r="NP328" s="770"/>
      <c r="NQ328" s="770"/>
      <c r="NR328" s="770"/>
      <c r="NS328" s="770"/>
      <c r="NT328" s="770"/>
      <c r="NU328" s="770"/>
      <c r="NV328" s="770"/>
      <c r="NW328" s="770"/>
      <c r="NX328" s="770"/>
      <c r="NY328" s="770"/>
      <c r="NZ328" s="770"/>
      <c r="OA328" s="770"/>
      <c r="OB328" s="770"/>
      <c r="OC328" s="770"/>
      <c r="OD328" s="770"/>
      <c r="OE328" s="770"/>
      <c r="OF328" s="770"/>
      <c r="OG328" s="770"/>
      <c r="OH328" s="770"/>
      <c r="OI328" s="770"/>
      <c r="OJ328" s="770"/>
      <c r="OK328" s="770"/>
      <c r="OL328" s="770"/>
      <c r="OM328" s="770"/>
      <c r="ON328" s="770"/>
      <c r="OO328" s="770"/>
      <c r="OP328" s="770"/>
      <c r="OQ328" s="770"/>
      <c r="OR328" s="770"/>
      <c r="OS328" s="770"/>
      <c r="OT328" s="770"/>
      <c r="OU328" s="770"/>
      <c r="OV328" s="770"/>
      <c r="OW328" s="770"/>
      <c r="OX328" s="770"/>
      <c r="OY328" s="770"/>
      <c r="OZ328" s="770"/>
      <c r="PA328" s="770"/>
      <c r="PB328" s="770"/>
      <c r="PC328" s="770"/>
      <c r="PD328" s="770"/>
      <c r="PE328" s="770"/>
      <c r="PF328" s="770"/>
      <c r="PG328" s="770"/>
      <c r="PH328" s="770"/>
      <c r="PI328" s="770"/>
      <c r="PJ328" s="770"/>
      <c r="PK328" s="770"/>
      <c r="PL328" s="770"/>
      <c r="PM328" s="770"/>
      <c r="PN328" s="770"/>
      <c r="PO328" s="770"/>
      <c r="PP328" s="770"/>
      <c r="PQ328" s="770"/>
      <c r="PR328" s="770"/>
      <c r="PS328" s="770"/>
      <c r="PT328" s="770"/>
      <c r="PU328" s="770"/>
      <c r="PV328" s="770"/>
      <c r="PW328" s="770"/>
      <c r="PX328" s="770"/>
      <c r="PY328" s="770"/>
      <c r="PZ328" s="770"/>
      <c r="QA328" s="770"/>
      <c r="QB328" s="770"/>
      <c r="QC328" s="770"/>
      <c r="QD328" s="770"/>
      <c r="QE328" s="770"/>
      <c r="QF328" s="770"/>
      <c r="QG328" s="770"/>
      <c r="QH328" s="770"/>
      <c r="QI328" s="770"/>
      <c r="QJ328" s="770"/>
      <c r="QK328" s="770"/>
      <c r="QL328" s="770"/>
      <c r="QM328" s="770"/>
      <c r="QN328" s="770"/>
      <c r="QO328" s="770"/>
      <c r="QP328" s="770"/>
      <c r="QQ328" s="770"/>
      <c r="QR328" s="770"/>
      <c r="QS328" s="770"/>
      <c r="QT328" s="770"/>
      <c r="QU328" s="770"/>
      <c r="QV328" s="770"/>
      <c r="QW328" s="770"/>
      <c r="QX328" s="770"/>
      <c r="QY328" s="770"/>
      <c r="QZ328" s="770"/>
      <c r="RA328" s="770"/>
      <c r="RB328" s="770"/>
      <c r="RC328" s="770"/>
      <c r="RD328" s="770"/>
      <c r="RE328" s="770"/>
      <c r="RF328" s="304"/>
      <c r="RG328" s="770"/>
      <c r="RH328" s="302"/>
      <c r="RI328" s="770"/>
      <c r="RJ328" s="770"/>
      <c r="RK328" s="770"/>
      <c r="RL328" s="1710"/>
      <c r="RM328" s="12"/>
      <c r="RN328" s="1711"/>
      <c r="RO328" s="140" t="s">
        <v>560</v>
      </c>
      <c r="RP328" s="11"/>
      <c r="RQ328" s="11"/>
      <c r="RR328" s="771"/>
      <c r="RS328" s="767"/>
      <c r="RT328" s="11"/>
      <c r="RU328" s="11"/>
      <c r="RV328" s="771" t="s">
        <v>8085</v>
      </c>
      <c r="RW328" s="11" t="s">
        <v>7981</v>
      </c>
      <c r="RX328" s="11" t="s">
        <v>556</v>
      </c>
      <c r="RY328" s="11"/>
      <c r="RZ328" s="11" t="s">
        <v>2209</v>
      </c>
      <c r="SA328" s="771"/>
      <c r="SB328" s="11"/>
      <c r="SC328" s="11"/>
    </row>
    <row r="329" spans="1:497" ht="12.75" hidden="1" customHeight="1">
      <c r="A329" s="343" t="s">
        <v>14170</v>
      </c>
      <c r="B329" s="292" t="s">
        <v>5531</v>
      </c>
      <c r="C329" s="140" t="s">
        <v>560</v>
      </c>
      <c r="D329" s="94" t="s">
        <v>561</v>
      </c>
      <c r="E329" s="770" t="s">
        <v>562</v>
      </c>
      <c r="F329" s="770" t="s">
        <v>20</v>
      </c>
      <c r="G329" s="770" t="s">
        <v>18</v>
      </c>
      <c r="H329" s="770"/>
      <c r="I329" s="295" t="s">
        <v>563</v>
      </c>
      <c r="J329" s="94"/>
      <c r="K329" s="770"/>
      <c r="L329" s="770"/>
      <c r="M329" s="770"/>
      <c r="N329" s="770"/>
      <c r="O329" s="770"/>
      <c r="P329" s="770" t="s">
        <v>1035</v>
      </c>
      <c r="Q329" s="1088">
        <v>28824</v>
      </c>
      <c r="R329" s="297">
        <v>38</v>
      </c>
      <c r="S329" s="770" t="s">
        <v>10</v>
      </c>
      <c r="T329" s="770"/>
      <c r="U329" s="298" t="s">
        <v>563</v>
      </c>
      <c r="V329" s="770" t="s">
        <v>707</v>
      </c>
      <c r="W329" s="770"/>
      <c r="X329" s="296"/>
      <c r="Y329" s="770"/>
      <c r="Z329" s="770" t="s">
        <v>708</v>
      </c>
      <c r="AA329" s="770" t="s">
        <v>1036</v>
      </c>
      <c r="AB329" s="766" t="s">
        <v>7274</v>
      </c>
      <c r="AC329" s="770" t="s">
        <v>724</v>
      </c>
      <c r="AD329" s="770" t="s">
        <v>790</v>
      </c>
      <c r="AE329" s="770"/>
      <c r="AF329" s="770" t="s">
        <v>712</v>
      </c>
      <c r="AG329" s="770"/>
      <c r="AH329" s="770"/>
      <c r="AI329" s="770"/>
      <c r="AJ329" s="770"/>
      <c r="AK329" s="770" t="s">
        <v>1899</v>
      </c>
      <c r="AL329" s="531"/>
      <c r="AM329" s="780"/>
      <c r="AN329" s="532"/>
      <c r="AO329" s="766"/>
      <c r="AP329" s="766"/>
      <c r="AQ329" s="766"/>
      <c r="AR329" s="766"/>
      <c r="AS329" s="770"/>
      <c r="AT329" s="770"/>
      <c r="AU329" s="770"/>
      <c r="AV329" s="770"/>
      <c r="AW329" s="770"/>
      <c r="AX329" s="770"/>
      <c r="AY329" s="770"/>
      <c r="AZ329" s="770"/>
      <c r="BA329" s="770"/>
      <c r="BB329" s="770"/>
      <c r="BC329" s="770"/>
      <c r="BD329" s="770"/>
      <c r="BE329" s="770"/>
      <c r="BF329" s="302"/>
      <c r="BG329" s="302"/>
      <c r="BH329" s="770"/>
      <c r="BI329" s="770"/>
      <c r="BJ329" s="770"/>
      <c r="BK329" s="770"/>
      <c r="BL329" s="770"/>
      <c r="BM329" s="770" t="s">
        <v>1238</v>
      </c>
      <c r="BN329" s="770" t="s">
        <v>1256</v>
      </c>
      <c r="BO329" s="770"/>
      <c r="BP329" s="780"/>
      <c r="BQ329" s="773"/>
      <c r="BR329" s="774"/>
      <c r="BS329" s="766"/>
      <c r="BT329" s="770"/>
      <c r="BU329" s="770"/>
      <c r="BV329" s="770"/>
      <c r="BW329" s="770"/>
      <c r="BX329" s="302"/>
      <c r="BY329" s="303"/>
      <c r="BZ329" s="770"/>
      <c r="CA329" s="302"/>
      <c r="CB329" s="302"/>
      <c r="CC329" s="770"/>
      <c r="CD329" s="770"/>
      <c r="CE329" s="770"/>
      <c r="CF329" s="304"/>
      <c r="CG329" s="321"/>
      <c r="CH329" s="770"/>
      <c r="CI329" s="770"/>
      <c r="CJ329" s="770"/>
      <c r="CK329" s="770"/>
      <c r="CL329" s="770"/>
      <c r="CM329" s="770"/>
      <c r="CN329" s="770"/>
      <c r="CO329" s="770"/>
      <c r="CP329" s="770"/>
      <c r="CQ329" s="770"/>
      <c r="CR329" s="770"/>
      <c r="CS329" s="302"/>
      <c r="CT329" s="770"/>
      <c r="CU329" s="305"/>
      <c r="CV329" s="770"/>
      <c r="CW329" s="770"/>
      <c r="CX329" s="770"/>
      <c r="CY329" s="770"/>
      <c r="CZ329" s="770"/>
      <c r="DA329" s="306"/>
      <c r="DB329" s="770"/>
      <c r="DC329" s="770"/>
      <c r="DD329" s="770"/>
      <c r="DE329" s="300"/>
      <c r="DF329" s="770"/>
      <c r="DG329" s="770"/>
      <c r="DH329" s="770"/>
      <c r="DI329" s="770"/>
      <c r="DJ329" s="770"/>
      <c r="DK329" s="770"/>
      <c r="DL329" s="770"/>
      <c r="DM329" s="770"/>
      <c r="DN329" s="322"/>
      <c r="DO329" s="770"/>
      <c r="DP329" s="770"/>
      <c r="DQ329" s="770"/>
      <c r="DR329" s="770"/>
      <c r="DS329" s="307"/>
      <c r="DT329" s="770"/>
      <c r="DU329" s="770"/>
      <c r="DV329" s="770"/>
      <c r="DW329" s="306"/>
      <c r="DX329" s="306"/>
      <c r="DY329" s="770"/>
      <c r="DZ329" s="770"/>
      <c r="EA329" s="770"/>
      <c r="EB329" s="770"/>
      <c r="EC329" s="770"/>
      <c r="ED329" s="770"/>
      <c r="EE329" s="770"/>
      <c r="EF329" s="770"/>
      <c r="EG329" s="770"/>
      <c r="EH329" s="770"/>
      <c r="EI329" s="770"/>
      <c r="EJ329" s="770"/>
      <c r="EK329" s="770"/>
      <c r="EL329" s="770"/>
      <c r="EM329" s="770"/>
      <c r="EN329" s="770"/>
      <c r="EO329" s="770"/>
      <c r="EP329" s="94"/>
      <c r="EQ329" s="770"/>
      <c r="ER329" s="770"/>
      <c r="ES329" s="770"/>
      <c r="ET329" s="770"/>
      <c r="EU329" s="770"/>
      <c r="EV329" s="770"/>
      <c r="EW329" s="770"/>
      <c r="EX329" s="770"/>
      <c r="EY329" s="770"/>
      <c r="EZ329" s="770"/>
      <c r="FA329" s="770"/>
      <c r="FB329" s="770"/>
      <c r="FC329" s="770"/>
      <c r="FD329" s="302"/>
      <c r="FE329" s="770"/>
      <c r="FF329" s="770"/>
      <c r="FG329" s="770"/>
      <c r="FH329" s="770" t="s">
        <v>1306</v>
      </c>
      <c r="FI329" s="770">
        <v>1</v>
      </c>
      <c r="FJ329" s="770" t="s">
        <v>5532</v>
      </c>
      <c r="FK329" s="770" t="s">
        <v>1653</v>
      </c>
      <c r="FL329" s="770" t="s">
        <v>1654</v>
      </c>
      <c r="FM329" s="147">
        <v>2500</v>
      </c>
      <c r="FN329" s="302">
        <v>115</v>
      </c>
      <c r="FO329" s="302">
        <v>200</v>
      </c>
      <c r="FP329" s="770" t="s">
        <v>1602</v>
      </c>
      <c r="FQ329" s="766" t="s">
        <v>1660</v>
      </c>
      <c r="FR329" s="770" t="s">
        <v>1214</v>
      </c>
      <c r="FS329" s="770"/>
      <c r="FT329" s="770"/>
      <c r="FU329" s="770"/>
      <c r="FV329" s="770"/>
      <c r="FW329" s="770"/>
      <c r="FX329" s="770"/>
      <c r="FY329" s="770"/>
      <c r="FZ329" s="770"/>
      <c r="GA329" s="770"/>
      <c r="GB329" s="770"/>
      <c r="GC329" s="308"/>
      <c r="GD329" s="297"/>
      <c r="GE329" s="770"/>
      <c r="GF329" s="302"/>
      <c r="GG329" s="302"/>
      <c r="GH329" s="770"/>
      <c r="GI329" s="770"/>
      <c r="GJ329" s="770"/>
      <c r="GK329" s="770"/>
      <c r="GL329" s="770"/>
      <c r="GM329" s="770"/>
      <c r="GN329" s="309"/>
      <c r="GO329" s="770"/>
      <c r="GP329" s="770"/>
      <c r="GQ329" s="770"/>
      <c r="GR329" s="770"/>
      <c r="GS329" s="770"/>
      <c r="GT329" s="770"/>
      <c r="GU329" s="770"/>
      <c r="GV329" s="770"/>
      <c r="GW329" s="770"/>
      <c r="GX329" s="770"/>
      <c r="GY329" s="770"/>
      <c r="GZ329" s="770"/>
      <c r="HA329" s="770"/>
      <c r="HB329" s="770"/>
      <c r="HC329" s="770"/>
      <c r="HD329" s="770"/>
      <c r="HE329" s="770"/>
      <c r="HF329" s="770"/>
      <c r="HG329" s="770"/>
      <c r="HH329" s="770"/>
      <c r="HI329" s="770"/>
      <c r="HJ329" s="770"/>
      <c r="HK329" s="770"/>
      <c r="HL329" s="770"/>
      <c r="HM329" s="770"/>
      <c r="HN329" s="770"/>
      <c r="HO329" s="770"/>
      <c r="HP329" s="770"/>
      <c r="HQ329" s="770"/>
      <c r="HR329" s="770"/>
      <c r="HS329" s="770"/>
      <c r="HT329" s="770"/>
      <c r="HU329" s="770"/>
      <c r="HV329" s="770"/>
      <c r="HW329" s="770"/>
      <c r="HX329" s="770"/>
      <c r="HY329" s="770"/>
      <c r="HZ329" s="770"/>
      <c r="IA329" s="770"/>
      <c r="IB329" s="14" t="e">
        <f>IF(#REF!&gt;0,IF(#REF!&lt;=10000,"Y",""),"")</f>
        <v>#REF!</v>
      </c>
      <c r="IC329" s="770"/>
      <c r="ID329" s="770"/>
      <c r="IE329" s="770"/>
      <c r="IF329" s="770"/>
      <c r="IG329" s="770"/>
      <c r="IH329" s="770"/>
      <c r="II329" s="770"/>
      <c r="IJ329" s="770"/>
      <c r="IK329" s="770"/>
      <c r="IL329" s="770"/>
      <c r="IM329" s="770"/>
      <c r="IN329" s="770"/>
      <c r="IO329" s="296"/>
      <c r="IP329" s="770"/>
      <c r="IQ329" s="770"/>
      <c r="IR329" s="770"/>
      <c r="IS329" s="770"/>
      <c r="IT329" s="770"/>
      <c r="IU329" s="770"/>
      <c r="IV329" s="770"/>
      <c r="IW329" s="770"/>
      <c r="IX329" s="770"/>
      <c r="IY329" s="770"/>
      <c r="IZ329" s="770"/>
      <c r="JA329" s="770"/>
      <c r="JB329" s="770"/>
      <c r="JC329" s="770"/>
      <c r="JD329" s="302"/>
      <c r="JE329" s="770"/>
      <c r="JF329" s="770"/>
      <c r="JG329" s="770"/>
      <c r="JH329" s="770"/>
      <c r="JI329" s="770"/>
      <c r="JJ329" s="770">
        <v>4</v>
      </c>
      <c r="JK329" s="770" t="s">
        <v>2117</v>
      </c>
      <c r="JL329" s="13"/>
      <c r="JM329" s="13"/>
      <c r="JN329" s="13">
        <v>1</v>
      </c>
      <c r="JO329" s="13"/>
      <c r="JP329" s="13"/>
      <c r="JQ329" s="13"/>
      <c r="JR329" s="13"/>
      <c r="JS329" s="13"/>
      <c r="JT329" s="766">
        <f>SUM(JP329,JN329,JL329,JR329)</f>
        <v>1</v>
      </c>
      <c r="JU329" s="766">
        <f>SUM(JQ329,JO329,JM329,JS329)</f>
        <v>0</v>
      </c>
      <c r="JV329" s="766"/>
      <c r="JW329" s="766"/>
      <c r="JX329" s="13"/>
      <c r="JY329" s="13"/>
      <c r="JZ329" s="13"/>
      <c r="KA329" s="13"/>
      <c r="KB329" s="13"/>
      <c r="KC329" s="13"/>
      <c r="KD329" s="13">
        <v>1</v>
      </c>
      <c r="KE329" s="13"/>
      <c r="KF329" s="13"/>
      <c r="KG329" s="13"/>
      <c r="KH329" s="13"/>
      <c r="KI329" s="13"/>
      <c r="KJ329" s="770">
        <f t="shared" si="86"/>
        <v>1</v>
      </c>
      <c r="KK329" s="770">
        <f t="shared" si="86"/>
        <v>0</v>
      </c>
      <c r="KL329" s="770"/>
      <c r="KM329" s="770"/>
      <c r="KN329" s="770" t="s">
        <v>707</v>
      </c>
      <c r="KO329" s="770"/>
      <c r="KP329" s="770"/>
      <c r="KQ329" s="770"/>
      <c r="KR329" s="770"/>
      <c r="KS329" s="770"/>
      <c r="KT329" s="770">
        <v>1</v>
      </c>
      <c r="KU329" s="770">
        <v>1</v>
      </c>
      <c r="KV329" s="770"/>
      <c r="KW329" s="770"/>
      <c r="KX329" s="770"/>
      <c r="KY329" s="770">
        <v>1</v>
      </c>
      <c r="KZ329" s="770">
        <v>1</v>
      </c>
      <c r="LA329" s="770"/>
      <c r="LB329" s="770"/>
      <c r="LC329" s="770"/>
      <c r="LD329" s="770"/>
      <c r="LE329" s="770"/>
      <c r="LF329" s="770"/>
      <c r="LG329" s="770"/>
      <c r="LH329" s="770"/>
      <c r="LI329" s="770"/>
      <c r="LJ329" s="770"/>
      <c r="LK329" s="770"/>
      <c r="LL329" s="770"/>
      <c r="LM329" s="770"/>
      <c r="LN329" s="766">
        <f>SUM(KP329,KR329,KT329,KV329,KX329,KZ329,LB329,LD329,LF329,LH329,LJ329,LL329)</f>
        <v>2</v>
      </c>
      <c r="LO329" s="766">
        <f>SUM(KQ329,KS329,KU329,KW329,KY329,LA329,LC329,LE329,LG329,LI329,LK329,LM329)</f>
        <v>2</v>
      </c>
      <c r="LP329" s="770">
        <v>1</v>
      </c>
      <c r="LQ329" s="770" t="s">
        <v>1208</v>
      </c>
      <c r="LR329" s="770"/>
      <c r="LS329" s="770"/>
      <c r="LT329" s="770"/>
      <c r="LU329" s="770">
        <v>1</v>
      </c>
      <c r="LV329" s="770"/>
      <c r="LW329" s="770"/>
      <c r="LX329" s="769">
        <v>1</v>
      </c>
      <c r="LY329" s="766" t="str">
        <f t="shared" si="93"/>
        <v>within the BRGY</v>
      </c>
      <c r="LZ329" s="299"/>
      <c r="MA329" s="306"/>
      <c r="MB329" s="306"/>
      <c r="MC329" s="1679">
        <f t="shared" si="91"/>
        <v>0</v>
      </c>
      <c r="MD329" s="306" t="s">
        <v>1208</v>
      </c>
      <c r="ME329" s="306"/>
      <c r="MF329" s="306"/>
      <c r="MG329" s="1680">
        <f t="shared" si="97"/>
        <v>0</v>
      </c>
      <c r="MH329" s="770"/>
      <c r="MI329" s="302">
        <v>3000</v>
      </c>
      <c r="MJ329" s="302">
        <v>300</v>
      </c>
      <c r="MK329" s="302">
        <v>400</v>
      </c>
      <c r="ML329" s="302">
        <v>280</v>
      </c>
      <c r="MM329" s="302">
        <v>700</v>
      </c>
      <c r="MN329" s="302">
        <v>2500</v>
      </c>
      <c r="MO329" s="302">
        <v>50</v>
      </c>
      <c r="MP329" s="302">
        <v>200</v>
      </c>
      <c r="MQ329" s="302">
        <v>160</v>
      </c>
      <c r="MR329" s="302">
        <v>115</v>
      </c>
      <c r="MS329" s="302"/>
      <c r="MT329" s="302"/>
      <c r="MU329" s="302"/>
      <c r="MV329" s="302"/>
      <c r="MW329" s="302"/>
      <c r="MX329" s="302"/>
      <c r="MY329" s="1682">
        <f t="shared" si="98"/>
        <v>7705</v>
      </c>
      <c r="MZ329" s="770" t="s">
        <v>13370</v>
      </c>
      <c r="NA329" s="770" t="s">
        <v>13005</v>
      </c>
      <c r="NB329" s="770" t="s">
        <v>13371</v>
      </c>
      <c r="NC329" s="770" t="s">
        <v>13007</v>
      </c>
      <c r="ND329" s="770">
        <v>0</v>
      </c>
      <c r="NE329" s="770">
        <v>0</v>
      </c>
      <c r="NF329" s="770">
        <v>0</v>
      </c>
      <c r="NG329" s="770">
        <v>1</v>
      </c>
      <c r="NH329" s="770">
        <v>1</v>
      </c>
      <c r="NI329" s="770">
        <v>0</v>
      </c>
      <c r="NJ329" s="770">
        <v>0</v>
      </c>
      <c r="NK329" s="770">
        <v>0</v>
      </c>
      <c r="NL329" s="770">
        <v>1</v>
      </c>
      <c r="NM329" s="770">
        <v>1</v>
      </c>
      <c r="NN329" s="770">
        <v>0</v>
      </c>
      <c r="NO329" s="770">
        <v>0</v>
      </c>
      <c r="NP329" s="770">
        <v>0</v>
      </c>
      <c r="NQ329" s="770">
        <v>0</v>
      </c>
      <c r="NR329" s="770">
        <v>0</v>
      </c>
      <c r="NS329" s="770">
        <v>0</v>
      </c>
      <c r="NT329" s="770">
        <v>0</v>
      </c>
      <c r="NU329" s="770">
        <v>0</v>
      </c>
      <c r="NV329" s="770">
        <v>0</v>
      </c>
      <c r="NW329" s="770">
        <v>0</v>
      </c>
      <c r="NX329" s="770">
        <v>0</v>
      </c>
      <c r="NY329" s="770" t="s">
        <v>1208</v>
      </c>
      <c r="NZ329" s="770" t="s">
        <v>1208</v>
      </c>
      <c r="OA329" s="770" t="s">
        <v>1208</v>
      </c>
      <c r="OB329" s="770" t="s">
        <v>1208</v>
      </c>
      <c r="OC329" s="770" t="s">
        <v>1208</v>
      </c>
      <c r="OD329" s="770" t="s">
        <v>1208</v>
      </c>
      <c r="OE329" s="770"/>
      <c r="OF329" s="770"/>
      <c r="OG329" s="770"/>
      <c r="OH329" s="770"/>
      <c r="OI329" s="770"/>
      <c r="OJ329" s="770"/>
      <c r="OK329" s="770"/>
      <c r="OL329" s="770"/>
      <c r="OM329" s="770"/>
      <c r="ON329" s="770"/>
      <c r="OO329" s="770"/>
      <c r="OP329" s="770"/>
      <c r="OQ329" s="770"/>
      <c r="OR329" s="770"/>
      <c r="OS329" s="770"/>
      <c r="OT329" s="770"/>
      <c r="OU329" s="770"/>
      <c r="OV329" s="770"/>
      <c r="OW329" s="770"/>
      <c r="OX329" s="770"/>
      <c r="OY329" s="770"/>
      <c r="OZ329" s="770"/>
      <c r="PA329" s="770"/>
      <c r="PB329" s="770"/>
      <c r="PC329" s="770"/>
      <c r="PD329" s="770"/>
      <c r="PE329" s="770"/>
      <c r="PF329" s="770"/>
      <c r="PG329" s="770"/>
      <c r="PH329" s="770"/>
      <c r="PI329" s="770"/>
      <c r="PJ329" s="770"/>
      <c r="PK329" s="770" t="s">
        <v>1208</v>
      </c>
      <c r="PL329" s="770"/>
      <c r="PM329" s="770"/>
      <c r="PN329" s="770"/>
      <c r="PO329" s="770"/>
      <c r="PP329" s="770"/>
      <c r="PQ329" s="770"/>
      <c r="PR329" s="770"/>
      <c r="PS329" s="770"/>
      <c r="PT329" s="770"/>
      <c r="PU329" s="770"/>
      <c r="PV329" s="770"/>
      <c r="PW329" s="770"/>
      <c r="PX329" s="770"/>
      <c r="PY329" s="770"/>
      <c r="PZ329" s="770"/>
      <c r="QA329" s="770"/>
      <c r="QB329" s="770"/>
      <c r="QC329" s="770"/>
      <c r="QD329" s="770"/>
      <c r="QE329" s="770"/>
      <c r="QF329" s="770"/>
      <c r="QG329" s="770"/>
      <c r="QH329" s="770"/>
      <c r="QI329" s="770"/>
      <c r="QJ329" s="770"/>
      <c r="QK329" s="770"/>
      <c r="QL329" s="770"/>
      <c r="QM329" s="770"/>
      <c r="QN329" s="770"/>
      <c r="QO329" s="770"/>
      <c r="QP329" s="770"/>
      <c r="QQ329" s="770"/>
      <c r="QR329" s="770"/>
      <c r="QS329" s="770"/>
      <c r="QT329" s="770"/>
      <c r="QU329" s="770"/>
      <c r="QV329" s="770"/>
      <c r="QW329" s="770"/>
      <c r="QX329" s="770"/>
      <c r="QY329" s="770"/>
      <c r="QZ329" s="770"/>
      <c r="RA329" s="770"/>
      <c r="RB329" s="770" t="s">
        <v>1207</v>
      </c>
      <c r="RC329" s="770"/>
      <c r="RD329" s="770" t="s">
        <v>13036</v>
      </c>
      <c r="RE329" s="770"/>
      <c r="RF329" s="304"/>
      <c r="RG329" s="770"/>
      <c r="RH329" s="302"/>
      <c r="RI329" s="770"/>
      <c r="RJ329" s="770" t="s">
        <v>2184</v>
      </c>
      <c r="RK329" s="770" t="s">
        <v>13401</v>
      </c>
      <c r="RL329" s="1710"/>
      <c r="RM329" s="12"/>
      <c r="RN329" s="1711"/>
      <c r="RO329" s="140" t="s">
        <v>560</v>
      </c>
      <c r="RP329" s="11"/>
      <c r="RQ329" s="11"/>
      <c r="RR329" s="17"/>
      <c r="RS329" s="767"/>
      <c r="RT329" s="11"/>
      <c r="RU329" s="11"/>
      <c r="RV329" s="771" t="s">
        <v>8085</v>
      </c>
      <c r="RW329" s="11" t="s">
        <v>7981</v>
      </c>
      <c r="RX329" s="11" t="s">
        <v>556</v>
      </c>
      <c r="RY329" s="11"/>
      <c r="RZ329" s="11"/>
      <c r="SA329" s="771"/>
      <c r="SB329" s="11"/>
      <c r="SC329" s="11"/>
    </row>
    <row r="330" spans="1:497" ht="12.75" hidden="1" customHeight="1">
      <c r="A330" s="343" t="s">
        <v>7419</v>
      </c>
      <c r="B330" s="292" t="s">
        <v>11895</v>
      </c>
      <c r="C330" s="140" t="s">
        <v>564</v>
      </c>
      <c r="D330" s="94"/>
      <c r="E330" s="770" t="s">
        <v>566</v>
      </c>
      <c r="F330" s="770"/>
      <c r="G330" s="770"/>
      <c r="H330" s="770"/>
      <c r="I330" s="295"/>
      <c r="J330" s="94"/>
      <c r="K330" s="770"/>
      <c r="L330" s="770"/>
      <c r="M330" s="770"/>
      <c r="N330" s="770"/>
      <c r="O330" s="770"/>
      <c r="P330" s="770"/>
      <c r="Q330" s="1088"/>
      <c r="R330" s="297"/>
      <c r="S330" s="770"/>
      <c r="T330" s="770"/>
      <c r="U330" s="298"/>
      <c r="V330" s="770"/>
      <c r="W330" s="770"/>
      <c r="X330" s="296"/>
      <c r="Y330" s="770"/>
      <c r="Z330" s="770"/>
      <c r="AA330" s="770"/>
      <c r="AB330" s="770"/>
      <c r="AC330" s="770"/>
      <c r="AD330" s="770"/>
      <c r="AE330" s="770"/>
      <c r="AF330" s="770"/>
      <c r="AG330" s="766"/>
      <c r="AH330" s="770"/>
      <c r="AI330" s="770" t="s">
        <v>1175</v>
      </c>
      <c r="AJ330" s="770"/>
      <c r="AK330" s="770" t="s">
        <v>1097</v>
      </c>
      <c r="AL330" s="299">
        <v>30.71</v>
      </c>
      <c r="AM330" s="300">
        <v>7.4</v>
      </c>
      <c r="AN330" s="301">
        <v>0.24096000000000001</v>
      </c>
      <c r="AO330" s="766" t="s">
        <v>1149</v>
      </c>
      <c r="AP330" s="766"/>
      <c r="AQ330" s="766"/>
      <c r="AR330" s="766"/>
      <c r="AS330" s="770"/>
      <c r="AT330" s="770"/>
      <c r="AU330" s="770"/>
      <c r="AV330" s="770"/>
      <c r="AW330" s="770"/>
      <c r="AX330" s="770"/>
      <c r="AY330" s="770"/>
      <c r="AZ330" s="770"/>
      <c r="BA330" s="770"/>
      <c r="BB330" s="770"/>
      <c r="BC330" s="770"/>
      <c r="BD330" s="770"/>
      <c r="BE330" s="770"/>
      <c r="BF330" s="302"/>
      <c r="BG330" s="302"/>
      <c r="BH330" s="770"/>
      <c r="BI330" s="770"/>
      <c r="BJ330" s="770"/>
      <c r="BK330" s="770" t="s">
        <v>1095</v>
      </c>
      <c r="BL330" s="770" t="s">
        <v>1175</v>
      </c>
      <c r="BM330" s="766" t="s">
        <v>1096</v>
      </c>
      <c r="BN330" s="770" t="s">
        <v>1230</v>
      </c>
      <c r="BO330" s="766" t="s">
        <v>1246</v>
      </c>
      <c r="BP330" s="780">
        <v>30.71</v>
      </c>
      <c r="BQ330" s="772">
        <v>7.4</v>
      </c>
      <c r="BR330" s="774">
        <f>BQ330/BP330</f>
        <v>0.24096385542168675</v>
      </c>
      <c r="BS330" s="6" t="s">
        <v>1149</v>
      </c>
      <c r="BT330" s="766" t="s">
        <v>2040</v>
      </c>
      <c r="BU330" s="770" t="s">
        <v>1249</v>
      </c>
      <c r="BV330" s="770" t="s">
        <v>1247</v>
      </c>
      <c r="BW330" s="769"/>
      <c r="BX330" s="302"/>
      <c r="BY330" s="303"/>
      <c r="BZ330" s="770"/>
      <c r="CA330" s="302"/>
      <c r="CB330" s="302"/>
      <c r="CC330" s="770"/>
      <c r="CD330" s="770"/>
      <c r="CE330" s="770"/>
      <c r="CF330" s="304"/>
      <c r="CG330" s="321"/>
      <c r="CH330" s="770"/>
      <c r="CI330" s="770"/>
      <c r="CJ330" s="770"/>
      <c r="CK330" s="770"/>
      <c r="CL330" s="770"/>
      <c r="CM330" s="770"/>
      <c r="CN330" s="770"/>
      <c r="CO330" s="770"/>
      <c r="CP330" s="770"/>
      <c r="CQ330" s="770"/>
      <c r="CR330" s="770"/>
      <c r="CS330" s="302"/>
      <c r="CT330" s="770"/>
      <c r="CU330" s="305"/>
      <c r="CV330" s="770"/>
      <c r="CW330" s="770"/>
      <c r="CX330" s="770"/>
      <c r="CY330" s="770"/>
      <c r="CZ330" s="770"/>
      <c r="DA330" s="306"/>
      <c r="DB330" s="770"/>
      <c r="DC330" s="770"/>
      <c r="DD330" s="770"/>
      <c r="DE330" s="300"/>
      <c r="DF330" s="770"/>
      <c r="DG330" s="770"/>
      <c r="DH330" s="770"/>
      <c r="DI330" s="770"/>
      <c r="DJ330" s="770"/>
      <c r="DK330" s="770"/>
      <c r="DL330" s="770"/>
      <c r="DM330" s="770"/>
      <c r="DN330" s="322"/>
      <c r="DO330" s="770"/>
      <c r="DP330" s="770"/>
      <c r="DQ330" s="770"/>
      <c r="DR330" s="770"/>
      <c r="DS330" s="307"/>
      <c r="DT330" s="770"/>
      <c r="DU330" s="770"/>
      <c r="DV330" s="770"/>
      <c r="DW330" s="306"/>
      <c r="DX330" s="306"/>
      <c r="DY330" s="770"/>
      <c r="DZ330" s="770"/>
      <c r="EA330" s="770"/>
      <c r="EB330" s="770"/>
      <c r="EC330" s="770"/>
      <c r="ED330" s="770"/>
      <c r="EE330" s="770"/>
      <c r="EF330" s="770"/>
      <c r="EG330" s="770"/>
      <c r="EH330" s="770"/>
      <c r="EI330" s="770"/>
      <c r="EJ330" s="770"/>
      <c r="EK330" s="770"/>
      <c r="EL330" s="770"/>
      <c r="EM330" s="770"/>
      <c r="EN330" s="770"/>
      <c r="EO330" s="770"/>
      <c r="EP330" s="94"/>
      <c r="EQ330" s="770"/>
      <c r="ER330" s="770"/>
      <c r="ES330" s="770"/>
      <c r="ET330" s="770"/>
      <c r="EU330" s="770"/>
      <c r="EV330" s="770"/>
      <c r="EW330" s="770"/>
      <c r="EX330" s="770"/>
      <c r="EY330" s="770"/>
      <c r="EZ330" s="770"/>
      <c r="FA330" s="770"/>
      <c r="FB330" s="770"/>
      <c r="FC330" s="770"/>
      <c r="FD330" s="302"/>
      <c r="FE330" s="770"/>
      <c r="FF330" s="770"/>
      <c r="FG330" s="770"/>
      <c r="FH330" s="770" t="s">
        <v>478</v>
      </c>
      <c r="FI330" s="770"/>
      <c r="FJ330" s="770"/>
      <c r="FK330" s="770"/>
      <c r="FL330" s="770"/>
      <c r="FM330" s="775"/>
      <c r="FN330" s="302"/>
      <c r="FO330" s="302"/>
      <c r="FP330" s="770"/>
      <c r="FQ330" s="770"/>
      <c r="FR330" s="770"/>
      <c r="FS330" s="770"/>
      <c r="FT330" s="770"/>
      <c r="FU330" s="770"/>
      <c r="FV330" s="770"/>
      <c r="FW330" s="770"/>
      <c r="FX330" s="770"/>
      <c r="FY330" s="770"/>
      <c r="FZ330" s="770"/>
      <c r="GA330" s="770"/>
      <c r="GB330" s="770"/>
      <c r="GC330" s="308"/>
      <c r="GD330" s="297"/>
      <c r="GE330" s="770"/>
      <c r="GF330" s="302"/>
      <c r="GG330" s="302"/>
      <c r="GH330" s="770"/>
      <c r="GI330" s="770"/>
      <c r="GJ330" s="770"/>
      <c r="GK330" s="770"/>
      <c r="GL330" s="770"/>
      <c r="GM330" s="770"/>
      <c r="GN330" s="309"/>
      <c r="GO330" s="770"/>
      <c r="GP330" s="770"/>
      <c r="GQ330" s="770"/>
      <c r="GR330" s="770"/>
      <c r="GS330" s="770"/>
      <c r="GT330" s="770"/>
      <c r="GU330" s="770"/>
      <c r="GV330" s="770"/>
      <c r="GW330" s="770"/>
      <c r="GX330" s="770"/>
      <c r="GY330" s="770"/>
      <c r="GZ330" s="770"/>
      <c r="HA330" s="770"/>
      <c r="HB330" s="770"/>
      <c r="HC330" s="770"/>
      <c r="HD330" s="770"/>
      <c r="HE330" s="770"/>
      <c r="HF330" s="770"/>
      <c r="HG330" s="770"/>
      <c r="HH330" s="770"/>
      <c r="HI330" s="770"/>
      <c r="HJ330" s="770"/>
      <c r="HK330" s="770"/>
      <c r="HL330" s="770"/>
      <c r="HM330" s="770"/>
      <c r="HN330" s="770"/>
      <c r="HO330" s="770"/>
      <c r="HP330" s="770"/>
      <c r="HQ330" s="770"/>
      <c r="HR330" s="770"/>
      <c r="HS330" s="770"/>
      <c r="HT330" s="770"/>
      <c r="HU330" s="770"/>
      <c r="HV330" s="770"/>
      <c r="HW330" s="770"/>
      <c r="HX330" s="770"/>
      <c r="HY330" s="770"/>
      <c r="HZ330" s="770"/>
      <c r="IA330" s="770"/>
      <c r="IB330" s="14" t="e">
        <f>IF(#REF!&gt;0,IF(#REF!&lt;=10000,"Y",""),"")</f>
        <v>#REF!</v>
      </c>
      <c r="IC330" s="770"/>
      <c r="ID330" s="770"/>
      <c r="IE330" s="770"/>
      <c r="IF330" s="770"/>
      <c r="IG330" s="770"/>
      <c r="IH330" s="770"/>
      <c r="II330" s="770"/>
      <c r="IJ330" s="770"/>
      <c r="IK330" s="770"/>
      <c r="IL330" s="770" t="s">
        <v>5533</v>
      </c>
      <c r="IM330" s="770"/>
      <c r="IN330" s="770" t="s">
        <v>5533</v>
      </c>
      <c r="IO330" s="296"/>
      <c r="IP330" s="770"/>
      <c r="IQ330" s="769" t="s">
        <v>5498</v>
      </c>
      <c r="IR330" s="770" t="s">
        <v>2716</v>
      </c>
      <c r="IS330" s="770"/>
      <c r="IT330" s="770"/>
      <c r="IU330" s="770"/>
      <c r="IV330" s="770"/>
      <c r="IW330" s="770" t="s">
        <v>13467</v>
      </c>
      <c r="IX330" s="770"/>
      <c r="IY330" s="770" t="s">
        <v>1653</v>
      </c>
      <c r="IZ330" s="770"/>
      <c r="JA330" s="770"/>
      <c r="JB330" s="770"/>
      <c r="JC330" s="770"/>
      <c r="JD330" s="302">
        <v>2800</v>
      </c>
      <c r="JE330" s="770"/>
      <c r="JF330" s="770"/>
      <c r="JG330" s="770"/>
      <c r="JH330" s="770"/>
      <c r="JI330" s="770"/>
      <c r="JJ330" s="770"/>
      <c r="JK330" s="770"/>
      <c r="JL330" s="13"/>
      <c r="JM330" s="13"/>
      <c r="JN330" s="13"/>
      <c r="JO330" s="13"/>
      <c r="JP330" s="13"/>
      <c r="JQ330" s="13"/>
      <c r="JR330" s="13"/>
      <c r="JS330" s="13"/>
      <c r="JT330" s="766"/>
      <c r="JU330" s="766"/>
      <c r="JV330" s="766"/>
      <c r="JW330" s="766"/>
      <c r="JX330" s="13"/>
      <c r="JY330" s="13"/>
      <c r="JZ330" s="13"/>
      <c r="KA330" s="13"/>
      <c r="KB330" s="13"/>
      <c r="KC330" s="13"/>
      <c r="KD330" s="13"/>
      <c r="KE330" s="13"/>
      <c r="KF330" s="13"/>
      <c r="KG330" s="13"/>
      <c r="KH330" s="13"/>
      <c r="KI330" s="13"/>
      <c r="KJ330" s="770"/>
      <c r="KK330" s="770"/>
      <c r="KL330" s="770"/>
      <c r="KM330" s="770"/>
      <c r="KN330" s="770"/>
      <c r="KO330" s="770"/>
      <c r="KP330" s="770"/>
      <c r="KQ330" s="770"/>
      <c r="KR330" s="770"/>
      <c r="KS330" s="770"/>
      <c r="KT330" s="770"/>
      <c r="KU330" s="770"/>
      <c r="KV330" s="770"/>
      <c r="KW330" s="770"/>
      <c r="KX330" s="770"/>
      <c r="KY330" s="770"/>
      <c r="KZ330" s="770"/>
      <c r="LA330" s="770"/>
      <c r="LB330" s="770"/>
      <c r="LC330" s="770"/>
      <c r="LD330" s="770"/>
      <c r="LE330" s="770"/>
      <c r="LF330" s="770"/>
      <c r="LG330" s="770"/>
      <c r="LH330" s="770"/>
      <c r="LI330" s="770"/>
      <c r="LJ330" s="770"/>
      <c r="LK330" s="770"/>
      <c r="LL330" s="770"/>
      <c r="LM330" s="770"/>
      <c r="LN330" s="766"/>
      <c r="LO330" s="766"/>
      <c r="LP330" s="770"/>
      <c r="LQ330" s="770"/>
      <c r="LR330" s="770"/>
      <c r="LS330" s="770"/>
      <c r="LT330" s="770"/>
      <c r="LU330" s="770"/>
      <c r="LV330" s="770"/>
      <c r="LW330" s="770"/>
      <c r="LX330" s="769"/>
      <c r="LY330" s="766" t="str">
        <f t="shared" si="93"/>
        <v/>
      </c>
      <c r="LZ330" s="299"/>
      <c r="MA330" s="306"/>
      <c r="MB330" s="306"/>
      <c r="MC330" s="1679">
        <f t="shared" si="91"/>
        <v>0</v>
      </c>
      <c r="MD330" s="306"/>
      <c r="ME330" s="306"/>
      <c r="MF330" s="306"/>
      <c r="MG330" s="1680">
        <f t="shared" si="97"/>
        <v>0</v>
      </c>
      <c r="MH330" s="770"/>
      <c r="MI330" s="302"/>
      <c r="MJ330" s="302"/>
      <c r="MK330" s="302"/>
      <c r="ML330" s="302"/>
      <c r="MM330" s="302"/>
      <c r="MN330" s="302"/>
      <c r="MO330" s="302"/>
      <c r="MP330" s="302"/>
      <c r="MQ330" s="302"/>
      <c r="MR330" s="302"/>
      <c r="MS330" s="302"/>
      <c r="MT330" s="302"/>
      <c r="MU330" s="302"/>
      <c r="MV330" s="302"/>
      <c r="MW330" s="302"/>
      <c r="MX330" s="302"/>
      <c r="MY330" s="1682">
        <f t="shared" si="98"/>
        <v>0</v>
      </c>
      <c r="MZ330" s="770"/>
      <c r="NA330" s="770"/>
      <c r="NB330" s="770"/>
      <c r="NC330" s="770"/>
      <c r="ND330" s="770"/>
      <c r="NE330" s="770"/>
      <c r="NF330" s="770"/>
      <c r="NG330" s="770"/>
      <c r="NH330" s="770"/>
      <c r="NI330" s="770"/>
      <c r="NJ330" s="770"/>
      <c r="NK330" s="770"/>
      <c r="NL330" s="770"/>
      <c r="NM330" s="770"/>
      <c r="NN330" s="770"/>
      <c r="NO330" s="770"/>
      <c r="NP330" s="770"/>
      <c r="NQ330" s="770"/>
      <c r="NR330" s="770"/>
      <c r="NS330" s="770"/>
      <c r="NT330" s="770"/>
      <c r="NU330" s="770"/>
      <c r="NV330" s="770"/>
      <c r="NW330" s="770"/>
      <c r="NX330" s="770"/>
      <c r="NY330" s="770"/>
      <c r="NZ330" s="770"/>
      <c r="OA330" s="770"/>
      <c r="OB330" s="770"/>
      <c r="OC330" s="770"/>
      <c r="OD330" s="770"/>
      <c r="OE330" s="770"/>
      <c r="OF330" s="770"/>
      <c r="OG330" s="770"/>
      <c r="OH330" s="770"/>
      <c r="OI330" s="770"/>
      <c r="OJ330" s="770"/>
      <c r="OK330" s="770"/>
      <c r="OL330" s="770"/>
      <c r="OM330" s="770"/>
      <c r="ON330" s="770"/>
      <c r="OO330" s="770"/>
      <c r="OP330" s="770"/>
      <c r="OQ330" s="770"/>
      <c r="OR330" s="770"/>
      <c r="OS330" s="770"/>
      <c r="OT330" s="770"/>
      <c r="OU330" s="770"/>
      <c r="OV330" s="770"/>
      <c r="OW330" s="770"/>
      <c r="OX330" s="770"/>
      <c r="OY330" s="770"/>
      <c r="OZ330" s="770"/>
      <c r="PA330" s="770"/>
      <c r="PB330" s="770"/>
      <c r="PC330" s="770"/>
      <c r="PD330" s="770"/>
      <c r="PE330" s="770"/>
      <c r="PF330" s="770"/>
      <c r="PG330" s="770"/>
      <c r="PH330" s="770"/>
      <c r="PI330" s="770"/>
      <c r="PJ330" s="770"/>
      <c r="PK330" s="770"/>
      <c r="PL330" s="770"/>
      <c r="PM330" s="770"/>
      <c r="PN330" s="770"/>
      <c r="PO330" s="770"/>
      <c r="PP330" s="770"/>
      <c r="PQ330" s="770"/>
      <c r="PR330" s="770"/>
      <c r="PS330" s="770"/>
      <c r="PT330" s="770"/>
      <c r="PU330" s="770"/>
      <c r="PV330" s="770"/>
      <c r="PW330" s="770"/>
      <c r="PX330" s="770"/>
      <c r="PY330" s="770"/>
      <c r="PZ330" s="770"/>
      <c r="QA330" s="770"/>
      <c r="QB330" s="770"/>
      <c r="QC330" s="770"/>
      <c r="QD330" s="770"/>
      <c r="QE330" s="770"/>
      <c r="QF330" s="770"/>
      <c r="QG330" s="770"/>
      <c r="QH330" s="770"/>
      <c r="QI330" s="770"/>
      <c r="QJ330" s="770"/>
      <c r="QK330" s="770"/>
      <c r="QL330" s="770"/>
      <c r="QM330" s="770"/>
      <c r="QN330" s="770"/>
      <c r="QO330" s="770"/>
      <c r="QP330" s="770"/>
      <c r="QQ330" s="770"/>
      <c r="QR330" s="770"/>
      <c r="QS330" s="770"/>
      <c r="QT330" s="770"/>
      <c r="QU330" s="770"/>
      <c r="QV330" s="770"/>
      <c r="QW330" s="770"/>
      <c r="QX330" s="770"/>
      <c r="QY330" s="770"/>
      <c r="QZ330" s="770"/>
      <c r="RA330" s="770"/>
      <c r="RB330" s="770"/>
      <c r="RC330" s="770"/>
      <c r="RD330" s="770"/>
      <c r="RE330" s="770"/>
      <c r="RF330" s="304"/>
      <c r="RG330" s="770"/>
      <c r="RH330" s="302"/>
      <c r="RI330" s="770"/>
      <c r="RJ330" s="770"/>
      <c r="RK330" s="770"/>
      <c r="RL330" s="1710"/>
      <c r="RM330" s="12"/>
      <c r="RN330" s="1711"/>
      <c r="RO330" s="140" t="s">
        <v>564</v>
      </c>
      <c r="RP330" s="11"/>
      <c r="RQ330" s="11"/>
      <c r="RR330" s="17"/>
      <c r="RS330" s="767"/>
      <c r="RT330" s="11"/>
      <c r="RU330" s="11"/>
      <c r="RV330" s="771" t="s">
        <v>7419</v>
      </c>
      <c r="RW330" s="11" t="s">
        <v>7637</v>
      </c>
      <c r="RX330" s="11" t="s">
        <v>560</v>
      </c>
      <c r="RY330" s="11"/>
      <c r="RZ330" s="11" t="s">
        <v>2209</v>
      </c>
      <c r="SA330" s="771"/>
      <c r="SB330" s="11"/>
      <c r="SC330" s="11"/>
    </row>
    <row r="331" spans="1:497" ht="12.75" hidden="1" customHeight="1">
      <c r="A331" s="343" t="s">
        <v>14171</v>
      </c>
      <c r="B331" s="292" t="s">
        <v>7543</v>
      </c>
      <c r="C331" s="140" t="s">
        <v>564</v>
      </c>
      <c r="D331" s="770" t="s">
        <v>565</v>
      </c>
      <c r="E331" s="770" t="s">
        <v>566</v>
      </c>
      <c r="F331" s="770" t="s">
        <v>28</v>
      </c>
      <c r="G331" s="770" t="s">
        <v>10</v>
      </c>
      <c r="H331" s="770"/>
      <c r="I331" s="295" t="s">
        <v>567</v>
      </c>
      <c r="J331" s="94"/>
      <c r="K331" s="770"/>
      <c r="L331" s="770"/>
      <c r="M331" s="770"/>
      <c r="N331" s="770"/>
      <c r="O331" s="770"/>
      <c r="P331" s="770" t="s">
        <v>1037</v>
      </c>
      <c r="Q331" s="1088"/>
      <c r="R331" s="297"/>
      <c r="S331" s="770"/>
      <c r="T331" s="770"/>
      <c r="U331" s="298"/>
      <c r="V331" s="770"/>
      <c r="W331" s="770"/>
      <c r="X331" s="296"/>
      <c r="Y331" s="770"/>
      <c r="Z331" s="770"/>
      <c r="AA331" s="770"/>
      <c r="AB331" s="770"/>
      <c r="AC331" s="770"/>
      <c r="AD331" s="770"/>
      <c r="AE331" s="770"/>
      <c r="AF331" s="770"/>
      <c r="AG331" s="770"/>
      <c r="AH331" s="770"/>
      <c r="AI331" s="770"/>
      <c r="AJ331" s="770"/>
      <c r="AK331" s="770" t="s">
        <v>1899</v>
      </c>
      <c r="AL331" s="299"/>
      <c r="AM331" s="300"/>
      <c r="AN331" s="301"/>
      <c r="AO331" s="766"/>
      <c r="AP331" s="766"/>
      <c r="AQ331" s="766"/>
      <c r="AR331" s="766"/>
      <c r="AS331" s="770"/>
      <c r="AT331" s="770"/>
      <c r="AU331" s="770"/>
      <c r="AV331" s="770"/>
      <c r="AW331" s="770"/>
      <c r="AX331" s="770"/>
      <c r="AY331" s="770"/>
      <c r="AZ331" s="770"/>
      <c r="BA331" s="770"/>
      <c r="BB331" s="770"/>
      <c r="BC331" s="770"/>
      <c r="BD331" s="770"/>
      <c r="BE331" s="770"/>
      <c r="BF331" s="302"/>
      <c r="BG331" s="302"/>
      <c r="BH331" s="770"/>
      <c r="BI331" s="770"/>
      <c r="BJ331" s="770"/>
      <c r="BK331" s="770"/>
      <c r="BL331" s="770"/>
      <c r="BM331" s="770" t="s">
        <v>1238</v>
      </c>
      <c r="BN331" s="770" t="s">
        <v>1256</v>
      </c>
      <c r="BO331" s="770"/>
      <c r="BP331" s="780"/>
      <c r="BQ331" s="773"/>
      <c r="BR331" s="774"/>
      <c r="BS331" s="766"/>
      <c r="BT331" s="770"/>
      <c r="BU331" s="770"/>
      <c r="BV331" s="770"/>
      <c r="BW331" s="770"/>
      <c r="BX331" s="302"/>
      <c r="BY331" s="303"/>
      <c r="BZ331" s="770"/>
      <c r="CA331" s="302"/>
      <c r="CB331" s="302"/>
      <c r="CC331" s="770"/>
      <c r="CD331" s="770"/>
      <c r="CE331" s="770"/>
      <c r="CF331" s="304"/>
      <c r="CG331" s="321"/>
      <c r="CH331" s="770"/>
      <c r="CI331" s="770"/>
      <c r="CJ331" s="770"/>
      <c r="CK331" s="770"/>
      <c r="CL331" s="770"/>
      <c r="CM331" s="770"/>
      <c r="CN331" s="770"/>
      <c r="CO331" s="770"/>
      <c r="CP331" s="770"/>
      <c r="CQ331" s="770"/>
      <c r="CR331" s="770"/>
      <c r="CS331" s="302"/>
      <c r="CT331" s="770"/>
      <c r="CU331" s="305"/>
      <c r="CV331" s="770"/>
      <c r="CW331" s="770"/>
      <c r="CX331" s="770"/>
      <c r="CY331" s="770"/>
      <c r="CZ331" s="770"/>
      <c r="DA331" s="306"/>
      <c r="DB331" s="770"/>
      <c r="DC331" s="770"/>
      <c r="DD331" s="770"/>
      <c r="DE331" s="300"/>
      <c r="DF331" s="770"/>
      <c r="DG331" s="770"/>
      <c r="DH331" s="770"/>
      <c r="DI331" s="770"/>
      <c r="DJ331" s="770"/>
      <c r="DK331" s="770"/>
      <c r="DL331" s="770"/>
      <c r="DM331" s="770"/>
      <c r="DN331" s="322"/>
      <c r="DO331" s="770"/>
      <c r="DP331" s="770"/>
      <c r="DQ331" s="770"/>
      <c r="DR331" s="770"/>
      <c r="DS331" s="307"/>
      <c r="DT331" s="770"/>
      <c r="DU331" s="770"/>
      <c r="DV331" s="770"/>
      <c r="DW331" s="306"/>
      <c r="DX331" s="306"/>
      <c r="DY331" s="770"/>
      <c r="DZ331" s="770"/>
      <c r="EA331" s="770"/>
      <c r="EB331" s="770"/>
      <c r="EC331" s="770"/>
      <c r="ED331" s="770"/>
      <c r="EE331" s="770"/>
      <c r="EF331" s="770"/>
      <c r="EG331" s="770"/>
      <c r="EH331" s="770"/>
      <c r="EI331" s="770"/>
      <c r="EJ331" s="770"/>
      <c r="EK331" s="770"/>
      <c r="EL331" s="770"/>
      <c r="EM331" s="770"/>
      <c r="EN331" s="770"/>
      <c r="EO331" s="770"/>
      <c r="EP331" s="94"/>
      <c r="EQ331" s="770"/>
      <c r="ER331" s="770"/>
      <c r="ES331" s="770"/>
      <c r="ET331" s="770"/>
      <c r="EU331" s="770"/>
      <c r="EV331" s="770"/>
      <c r="EW331" s="770"/>
      <c r="EX331" s="770"/>
      <c r="EY331" s="770"/>
      <c r="EZ331" s="770"/>
      <c r="FA331" s="770"/>
      <c r="FB331" s="770"/>
      <c r="FC331" s="770"/>
      <c r="FD331" s="302"/>
      <c r="FE331" s="770"/>
      <c r="FF331" s="770"/>
      <c r="FG331" s="770"/>
      <c r="FH331" s="770" t="s">
        <v>1306</v>
      </c>
      <c r="FI331" s="770">
        <v>1</v>
      </c>
      <c r="FJ331" s="770" t="s">
        <v>5532</v>
      </c>
      <c r="FK331" s="770" t="s">
        <v>1653</v>
      </c>
      <c r="FL331" s="770" t="s">
        <v>1654</v>
      </c>
      <c r="FM331" s="147">
        <v>2800</v>
      </c>
      <c r="FN331" s="302">
        <v>200</v>
      </c>
      <c r="FO331" s="302">
        <v>300</v>
      </c>
      <c r="FP331" s="770" t="s">
        <v>1600</v>
      </c>
      <c r="FQ331" s="770" t="s">
        <v>1642</v>
      </c>
      <c r="FR331" s="770"/>
      <c r="FS331" s="770"/>
      <c r="FT331" s="770"/>
      <c r="FU331" s="770"/>
      <c r="FV331" s="770"/>
      <c r="FW331" s="770"/>
      <c r="FX331" s="770"/>
      <c r="FY331" s="770"/>
      <c r="FZ331" s="770"/>
      <c r="GA331" s="770"/>
      <c r="GB331" s="770"/>
      <c r="GC331" s="308"/>
      <c r="GD331" s="297"/>
      <c r="GE331" s="770"/>
      <c r="GF331" s="302"/>
      <c r="GG331" s="302"/>
      <c r="GH331" s="770"/>
      <c r="GI331" s="770"/>
      <c r="GJ331" s="770"/>
      <c r="GK331" s="770"/>
      <c r="GL331" s="770"/>
      <c r="GM331" s="770"/>
      <c r="GN331" s="309"/>
      <c r="GO331" s="770"/>
      <c r="GP331" s="770"/>
      <c r="GQ331" s="770"/>
      <c r="GR331" s="770"/>
      <c r="GS331" s="770"/>
      <c r="GT331" s="770"/>
      <c r="GU331" s="770"/>
      <c r="GV331" s="770"/>
      <c r="GW331" s="770"/>
      <c r="GX331" s="770"/>
      <c r="GY331" s="770"/>
      <c r="GZ331" s="770"/>
      <c r="HA331" s="770"/>
      <c r="HB331" s="770"/>
      <c r="HC331" s="770"/>
      <c r="HD331" s="770"/>
      <c r="HE331" s="770"/>
      <c r="HF331" s="770"/>
      <c r="HG331" s="770"/>
      <c r="HH331" s="770"/>
      <c r="HI331" s="770"/>
      <c r="HJ331" s="770"/>
      <c r="HK331" s="770"/>
      <c r="HL331" s="770"/>
      <c r="HM331" s="770"/>
      <c r="HN331" s="770"/>
      <c r="HO331" s="770"/>
      <c r="HP331" s="770"/>
      <c r="HQ331" s="770"/>
      <c r="HR331" s="770"/>
      <c r="HS331" s="770"/>
      <c r="HT331" s="770"/>
      <c r="HU331" s="770"/>
      <c r="HV331" s="770"/>
      <c r="HW331" s="770"/>
      <c r="HX331" s="770"/>
      <c r="HY331" s="770"/>
      <c r="HZ331" s="770"/>
      <c r="IA331" s="770"/>
      <c r="IB331" s="14" t="e">
        <f>IF(#REF!&gt;0,IF(#REF!&lt;=10000,"Y",""),"")</f>
        <v>#REF!</v>
      </c>
      <c r="IC331" s="770" t="s">
        <v>1207</v>
      </c>
      <c r="ID331" s="770"/>
      <c r="IE331" s="770">
        <v>1</v>
      </c>
      <c r="IF331" s="770"/>
      <c r="IG331" s="770"/>
      <c r="IH331" s="770"/>
      <c r="II331" s="770"/>
      <c r="IJ331" s="770"/>
      <c r="IK331" s="770"/>
      <c r="IL331" s="770"/>
      <c r="IM331" s="770"/>
      <c r="IN331" s="770"/>
      <c r="IO331" s="296"/>
      <c r="IP331" s="770"/>
      <c r="IQ331" s="770"/>
      <c r="IR331" s="770"/>
      <c r="IS331" s="770"/>
      <c r="IT331" s="770"/>
      <c r="IU331" s="770"/>
      <c r="IV331" s="770"/>
      <c r="IW331" s="770"/>
      <c r="IX331" s="770"/>
      <c r="IY331" s="770"/>
      <c r="IZ331" s="770"/>
      <c r="JA331" s="770"/>
      <c r="JB331" s="770"/>
      <c r="JC331" s="770"/>
      <c r="JD331" s="302"/>
      <c r="JE331" s="770"/>
      <c r="JF331" s="770"/>
      <c r="JG331" s="770"/>
      <c r="JH331" s="770"/>
      <c r="JI331" s="770"/>
      <c r="JJ331" s="770"/>
      <c r="JK331" s="770"/>
      <c r="JL331" s="770"/>
      <c r="JM331" s="770"/>
      <c r="JN331" s="770"/>
      <c r="JO331" s="770"/>
      <c r="JP331" s="770"/>
      <c r="JQ331" s="770"/>
      <c r="JR331" s="770"/>
      <c r="JS331" s="770"/>
      <c r="JT331" s="766"/>
      <c r="JU331" s="766"/>
      <c r="JV331" s="766"/>
      <c r="JW331" s="766"/>
      <c r="JX331" s="770"/>
      <c r="JY331" s="770"/>
      <c r="JZ331" s="770"/>
      <c r="KA331" s="770"/>
      <c r="KB331" s="770"/>
      <c r="KC331" s="770"/>
      <c r="KD331" s="770"/>
      <c r="KE331" s="770"/>
      <c r="KF331" s="770"/>
      <c r="KG331" s="770"/>
      <c r="KH331" s="770"/>
      <c r="KI331" s="770"/>
      <c r="KJ331" s="770"/>
      <c r="KK331" s="770"/>
      <c r="KL331" s="770"/>
      <c r="KM331" s="770"/>
      <c r="KN331" s="770"/>
      <c r="KO331" s="770"/>
      <c r="KP331" s="770"/>
      <c r="KQ331" s="770"/>
      <c r="KR331" s="770"/>
      <c r="KS331" s="770"/>
      <c r="KT331" s="770"/>
      <c r="KU331" s="770"/>
      <c r="KV331" s="770"/>
      <c r="KW331" s="770"/>
      <c r="KX331" s="770"/>
      <c r="KY331" s="770"/>
      <c r="KZ331" s="770"/>
      <c r="LA331" s="770"/>
      <c r="LB331" s="770"/>
      <c r="LC331" s="770"/>
      <c r="LD331" s="770"/>
      <c r="LE331" s="770"/>
      <c r="LF331" s="770"/>
      <c r="LG331" s="770"/>
      <c r="LH331" s="770"/>
      <c r="LI331" s="770"/>
      <c r="LJ331" s="770"/>
      <c r="LK331" s="770"/>
      <c r="LL331" s="770"/>
      <c r="LM331" s="770"/>
      <c r="LN331" s="766"/>
      <c r="LO331" s="766"/>
      <c r="LP331" s="770"/>
      <c r="LQ331" s="770"/>
      <c r="LR331" s="770"/>
      <c r="LS331" s="770"/>
      <c r="LT331" s="770"/>
      <c r="LU331" s="770"/>
      <c r="LV331" s="770"/>
      <c r="LW331" s="770"/>
      <c r="LX331" s="769"/>
      <c r="LY331" s="766" t="str">
        <f t="shared" si="93"/>
        <v/>
      </c>
      <c r="LZ331" s="299"/>
      <c r="MA331" s="306"/>
      <c r="MB331" s="306"/>
      <c r="MC331" s="1679">
        <f t="shared" si="91"/>
        <v>0</v>
      </c>
      <c r="MD331" s="306"/>
      <c r="ME331" s="306"/>
      <c r="MF331" s="306"/>
      <c r="MG331" s="1680">
        <f t="shared" si="97"/>
        <v>0</v>
      </c>
      <c r="MH331" s="770"/>
      <c r="MI331" s="302"/>
      <c r="MJ331" s="302"/>
      <c r="MK331" s="302"/>
      <c r="ML331" s="302"/>
      <c r="MM331" s="302"/>
      <c r="MN331" s="302"/>
      <c r="MO331" s="302"/>
      <c r="MP331" s="302"/>
      <c r="MQ331" s="302"/>
      <c r="MR331" s="302"/>
      <c r="MS331" s="302"/>
      <c r="MT331" s="302"/>
      <c r="MU331" s="302"/>
      <c r="MV331" s="302"/>
      <c r="MW331" s="302"/>
      <c r="MX331" s="302"/>
      <c r="MY331" s="1682">
        <f t="shared" si="98"/>
        <v>0</v>
      </c>
      <c r="MZ331" s="770"/>
      <c r="NA331" s="770"/>
      <c r="NB331" s="770"/>
      <c r="NC331" s="770"/>
      <c r="ND331" s="770"/>
      <c r="NE331" s="770"/>
      <c r="NF331" s="770"/>
      <c r="NG331" s="770"/>
      <c r="NH331" s="770"/>
      <c r="NI331" s="770"/>
      <c r="NJ331" s="770"/>
      <c r="NK331" s="770"/>
      <c r="NL331" s="770"/>
      <c r="NM331" s="770"/>
      <c r="NN331" s="770"/>
      <c r="NO331" s="770"/>
      <c r="NP331" s="770"/>
      <c r="NQ331" s="770"/>
      <c r="NR331" s="770"/>
      <c r="NS331" s="770"/>
      <c r="NT331" s="770"/>
      <c r="NU331" s="770"/>
      <c r="NV331" s="770"/>
      <c r="NW331" s="770"/>
      <c r="NX331" s="770"/>
      <c r="NY331" s="770"/>
      <c r="NZ331" s="770"/>
      <c r="OA331" s="770"/>
      <c r="OB331" s="770"/>
      <c r="OC331" s="770"/>
      <c r="OD331" s="770"/>
      <c r="OE331" s="770"/>
      <c r="OF331" s="770"/>
      <c r="OG331" s="770"/>
      <c r="OH331" s="770"/>
      <c r="OI331" s="770"/>
      <c r="OJ331" s="770"/>
      <c r="OK331" s="770"/>
      <c r="OL331" s="770"/>
      <c r="OM331" s="770"/>
      <c r="ON331" s="770"/>
      <c r="OO331" s="770"/>
      <c r="OP331" s="770"/>
      <c r="OQ331" s="770"/>
      <c r="OR331" s="770"/>
      <c r="OS331" s="770"/>
      <c r="OT331" s="770"/>
      <c r="OU331" s="770"/>
      <c r="OV331" s="770"/>
      <c r="OW331" s="770"/>
      <c r="OX331" s="770"/>
      <c r="OY331" s="770"/>
      <c r="OZ331" s="770"/>
      <c r="PA331" s="770"/>
      <c r="PB331" s="770"/>
      <c r="PC331" s="770"/>
      <c r="PD331" s="770"/>
      <c r="PE331" s="770"/>
      <c r="PF331" s="770"/>
      <c r="PG331" s="770"/>
      <c r="PH331" s="770"/>
      <c r="PI331" s="770"/>
      <c r="PJ331" s="770"/>
      <c r="PK331" s="770"/>
      <c r="PL331" s="770"/>
      <c r="PM331" s="770"/>
      <c r="PN331" s="770"/>
      <c r="PO331" s="770"/>
      <c r="PP331" s="770"/>
      <c r="PQ331" s="770"/>
      <c r="PR331" s="770"/>
      <c r="PS331" s="770"/>
      <c r="PT331" s="770"/>
      <c r="PU331" s="770"/>
      <c r="PV331" s="770"/>
      <c r="PW331" s="770"/>
      <c r="PX331" s="770"/>
      <c r="PY331" s="770"/>
      <c r="PZ331" s="770"/>
      <c r="QA331" s="770"/>
      <c r="QB331" s="770"/>
      <c r="QC331" s="770"/>
      <c r="QD331" s="770"/>
      <c r="QE331" s="770"/>
      <c r="QF331" s="770"/>
      <c r="QG331" s="770"/>
      <c r="QH331" s="770"/>
      <c r="QI331" s="770"/>
      <c r="QJ331" s="770"/>
      <c r="QK331" s="770"/>
      <c r="QL331" s="770"/>
      <c r="QM331" s="770"/>
      <c r="QN331" s="770"/>
      <c r="QO331" s="770"/>
      <c r="QP331" s="770"/>
      <c r="QQ331" s="770"/>
      <c r="QR331" s="770"/>
      <c r="QS331" s="770"/>
      <c r="QT331" s="770"/>
      <c r="QU331" s="770"/>
      <c r="QV331" s="770"/>
      <c r="QW331" s="770"/>
      <c r="QX331" s="770"/>
      <c r="QY331" s="770"/>
      <c r="QZ331" s="770"/>
      <c r="RA331" s="770"/>
      <c r="RB331" s="770"/>
      <c r="RC331" s="770"/>
      <c r="RD331" s="770"/>
      <c r="RE331" s="770"/>
      <c r="RF331" s="304"/>
      <c r="RG331" s="770"/>
      <c r="RH331" s="302"/>
      <c r="RI331" s="770"/>
      <c r="RJ331" s="770" t="s">
        <v>13468</v>
      </c>
      <c r="RK331" s="770" t="s">
        <v>13401</v>
      </c>
      <c r="RL331" s="1710"/>
      <c r="RM331" s="12"/>
      <c r="RN331" s="1711"/>
      <c r="RO331" s="140" t="s">
        <v>564</v>
      </c>
      <c r="RP331" s="11"/>
      <c r="RQ331" s="11"/>
      <c r="RR331" s="17"/>
      <c r="RS331" s="767"/>
      <c r="RT331" s="11"/>
      <c r="RU331" s="11"/>
      <c r="RV331" s="771" t="s">
        <v>8086</v>
      </c>
      <c r="RW331" s="11" t="s">
        <v>5531</v>
      </c>
      <c r="RX331" s="11" t="s">
        <v>560</v>
      </c>
      <c r="RY331" s="11"/>
      <c r="RZ331" s="11"/>
      <c r="SA331" s="771"/>
      <c r="SB331" s="11"/>
      <c r="SC331" s="11"/>
    </row>
    <row r="332" spans="1:497" ht="12.75" hidden="1" customHeight="1">
      <c r="A332" s="343" t="s">
        <v>7419</v>
      </c>
      <c r="B332" s="292" t="s">
        <v>7638</v>
      </c>
      <c r="C332" s="140" t="s">
        <v>568</v>
      </c>
      <c r="D332" s="770" t="s">
        <v>5534</v>
      </c>
      <c r="E332" s="770" t="s">
        <v>569</v>
      </c>
      <c r="F332" s="770" t="s">
        <v>28</v>
      </c>
      <c r="G332" s="770" t="s">
        <v>10</v>
      </c>
      <c r="H332" s="770"/>
      <c r="I332" s="295" t="s">
        <v>570</v>
      </c>
      <c r="J332" s="770" t="s">
        <v>5534</v>
      </c>
      <c r="K332" s="770"/>
      <c r="L332" s="770"/>
      <c r="M332" s="770"/>
      <c r="N332" s="770"/>
      <c r="O332" s="770"/>
      <c r="P332" s="770" t="s">
        <v>5535</v>
      </c>
      <c r="Q332" s="1088">
        <v>16431</v>
      </c>
      <c r="R332" s="297">
        <v>71</v>
      </c>
      <c r="S332" s="770"/>
      <c r="T332" s="770"/>
      <c r="U332" s="298"/>
      <c r="V332" s="770" t="s">
        <v>719</v>
      </c>
      <c r="W332" s="770"/>
      <c r="X332" s="296"/>
      <c r="Y332" s="770"/>
      <c r="Z332" s="770" t="s">
        <v>708</v>
      </c>
      <c r="AA332" s="770" t="s">
        <v>709</v>
      </c>
      <c r="AB332" s="770" t="s">
        <v>710</v>
      </c>
      <c r="AC332" s="770" t="s">
        <v>724</v>
      </c>
      <c r="AD332" s="770"/>
      <c r="AE332" s="770"/>
      <c r="AF332" s="770" t="s">
        <v>1038</v>
      </c>
      <c r="AG332" s="766" t="s">
        <v>1095</v>
      </c>
      <c r="AH332" s="766" t="s">
        <v>1096</v>
      </c>
      <c r="AI332" s="770" t="s">
        <v>1176</v>
      </c>
      <c r="AJ332" s="770"/>
      <c r="AK332" s="766" t="s">
        <v>1097</v>
      </c>
      <c r="AL332" s="299">
        <v>65.5</v>
      </c>
      <c r="AM332" s="300">
        <v>25</v>
      </c>
      <c r="AN332" s="301">
        <f>AM332/AL332</f>
        <v>0.38167938931297712</v>
      </c>
      <c r="AO332" s="766" t="s">
        <v>1149</v>
      </c>
      <c r="AP332" s="766"/>
      <c r="AQ332" s="766"/>
      <c r="AR332" s="766"/>
      <c r="AS332" s="770" t="s">
        <v>1207</v>
      </c>
      <c r="AT332" s="770" t="s">
        <v>1208</v>
      </c>
      <c r="AU332" s="770"/>
      <c r="AV332" s="770"/>
      <c r="AW332" s="770"/>
      <c r="AX332" s="13"/>
      <c r="AY332" s="770"/>
      <c r="AZ332" s="770"/>
      <c r="BA332" s="770"/>
      <c r="BB332" s="770"/>
      <c r="BC332" s="770" t="s">
        <v>796</v>
      </c>
      <c r="BD332" s="770" t="s">
        <v>1207</v>
      </c>
      <c r="BE332" s="770" t="s">
        <v>1214</v>
      </c>
      <c r="BF332" s="302"/>
      <c r="BG332" s="302"/>
      <c r="BH332" s="770"/>
      <c r="BI332" s="770"/>
      <c r="BJ332" s="770"/>
      <c r="BK332" s="1187"/>
      <c r="BL332" s="1187"/>
      <c r="BM332" s="766" t="s">
        <v>1238</v>
      </c>
      <c r="BN332" s="766" t="s">
        <v>1299</v>
      </c>
      <c r="BO332" s="766"/>
      <c r="BP332" s="773"/>
      <c r="BQ332" s="772"/>
      <c r="BR332" s="774"/>
      <c r="BS332" s="766"/>
      <c r="BT332" s="766"/>
      <c r="BU332" s="770"/>
      <c r="BV332" s="770"/>
      <c r="BW332" s="770"/>
      <c r="BX332" s="302"/>
      <c r="BY332" s="303"/>
      <c r="BZ332" s="770"/>
      <c r="CA332" s="302"/>
      <c r="CB332" s="302"/>
      <c r="CC332" s="770"/>
      <c r="CD332" s="770"/>
      <c r="CE332" s="770"/>
      <c r="CF332" s="304"/>
      <c r="CG332" s="321"/>
      <c r="CH332" s="770"/>
      <c r="CI332" s="770"/>
      <c r="CJ332" s="770"/>
      <c r="CK332" s="770"/>
      <c r="CL332" s="770"/>
      <c r="CM332" s="770"/>
      <c r="CN332" s="770"/>
      <c r="CO332" s="770"/>
      <c r="CP332" s="770"/>
      <c r="CQ332" s="770"/>
      <c r="CR332" s="770"/>
      <c r="CS332" s="302"/>
      <c r="CT332" s="770"/>
      <c r="CU332" s="305"/>
      <c r="CV332" s="770"/>
      <c r="CW332" s="770"/>
      <c r="CX332" s="770"/>
      <c r="CY332" s="770"/>
      <c r="CZ332" s="770"/>
      <c r="DA332" s="306"/>
      <c r="DB332" s="770"/>
      <c r="DC332" s="770"/>
      <c r="DD332" s="770"/>
      <c r="DE332" s="300"/>
      <c r="DF332" s="770"/>
      <c r="DG332" s="770"/>
      <c r="DH332" s="770"/>
      <c r="DI332" s="770"/>
      <c r="DJ332" s="770"/>
      <c r="DK332" s="770"/>
      <c r="DL332" s="770"/>
      <c r="DM332" s="770"/>
      <c r="DN332" s="322"/>
      <c r="DO332" s="770"/>
      <c r="DP332" s="770"/>
      <c r="DQ332" s="770"/>
      <c r="DR332" s="770"/>
      <c r="DS332" s="307"/>
      <c r="DT332" s="770"/>
      <c r="DU332" s="770"/>
      <c r="DV332" s="770"/>
      <c r="DW332" s="306"/>
      <c r="DX332" s="306"/>
      <c r="DY332" s="770"/>
      <c r="DZ332" s="770"/>
      <c r="EA332" s="770"/>
      <c r="EB332" s="770"/>
      <c r="EC332" s="770"/>
      <c r="ED332" s="770"/>
      <c r="EE332" s="770"/>
      <c r="EF332" s="770"/>
      <c r="EG332" s="770"/>
      <c r="EH332" s="770"/>
      <c r="EI332" s="770"/>
      <c r="EJ332" s="770"/>
      <c r="EK332" s="770"/>
      <c r="EL332" s="770"/>
      <c r="EM332" s="770"/>
      <c r="EN332" s="770"/>
      <c r="EO332" s="770"/>
      <c r="EP332" s="94"/>
      <c r="EQ332" s="770"/>
      <c r="ER332" s="770"/>
      <c r="ES332" s="770"/>
      <c r="ET332" s="770"/>
      <c r="EU332" s="770"/>
      <c r="EV332" s="770"/>
      <c r="EW332" s="770"/>
      <c r="EX332" s="770"/>
      <c r="EY332" s="770"/>
      <c r="EZ332" s="770"/>
      <c r="FA332" s="770"/>
      <c r="FB332" s="770"/>
      <c r="FC332" s="770"/>
      <c r="FD332" s="302"/>
      <c r="FE332" s="770"/>
      <c r="FF332" s="770"/>
      <c r="FG332" s="770"/>
      <c r="FH332" s="770" t="s">
        <v>1299</v>
      </c>
      <c r="FI332" s="770">
        <v>1</v>
      </c>
      <c r="FJ332" s="770" t="s">
        <v>1655</v>
      </c>
      <c r="FK332" s="770"/>
      <c r="FL332" s="770"/>
      <c r="FM332" s="302"/>
      <c r="FN332" s="302"/>
      <c r="FO332" s="302"/>
      <c r="FP332" s="770" t="s">
        <v>1600</v>
      </c>
      <c r="FQ332" s="770" t="s">
        <v>1642</v>
      </c>
      <c r="FR332" s="770"/>
      <c r="FS332" s="770"/>
      <c r="FT332" s="770"/>
      <c r="FU332" s="770"/>
      <c r="FV332" s="770"/>
      <c r="FW332" s="770"/>
      <c r="FX332" s="770"/>
      <c r="FY332" s="770"/>
      <c r="FZ332" s="770"/>
      <c r="GA332" s="770"/>
      <c r="GB332" s="770"/>
      <c r="GC332" s="308"/>
      <c r="GD332" s="297"/>
      <c r="GE332" s="770"/>
      <c r="GF332" s="302"/>
      <c r="GG332" s="302"/>
      <c r="GH332" s="770"/>
      <c r="GI332" s="770"/>
      <c r="GJ332" s="770"/>
      <c r="GK332" s="770"/>
      <c r="GL332" s="770"/>
      <c r="GM332" s="770"/>
      <c r="GN332" s="309"/>
      <c r="GO332" s="770"/>
      <c r="GP332" s="770"/>
      <c r="GQ332" s="770"/>
      <c r="GR332" s="770"/>
      <c r="GS332" s="770"/>
      <c r="GT332" s="770"/>
      <c r="GU332" s="770"/>
      <c r="GV332" s="770"/>
      <c r="GW332" s="770"/>
      <c r="GX332" s="770"/>
      <c r="GY332" s="770"/>
      <c r="GZ332" s="770"/>
      <c r="HA332" s="770"/>
      <c r="HB332" s="770"/>
      <c r="HC332" s="770"/>
      <c r="HD332" s="770"/>
      <c r="HE332" s="770"/>
      <c r="HF332" s="770"/>
      <c r="HG332" s="770"/>
      <c r="HH332" s="770"/>
      <c r="HI332" s="770"/>
      <c r="HJ332" s="770"/>
      <c r="HK332" s="770"/>
      <c r="HL332" s="770"/>
      <c r="HM332" s="770"/>
      <c r="HN332" s="770"/>
      <c r="HO332" s="770"/>
      <c r="HP332" s="770"/>
      <c r="HQ332" s="770"/>
      <c r="HR332" s="770"/>
      <c r="HS332" s="770"/>
      <c r="HT332" s="770"/>
      <c r="HU332" s="770"/>
      <c r="HV332" s="770"/>
      <c r="HW332" s="770"/>
      <c r="HX332" s="770"/>
      <c r="HY332" s="770"/>
      <c r="HZ332" s="770"/>
      <c r="IA332" s="770"/>
      <c r="IB332" s="14" t="e">
        <f>IF(#REF!&gt;0,IF(#REF!&lt;=10000,"Y",""),"")</f>
        <v>#REF!</v>
      </c>
      <c r="IC332" s="770"/>
      <c r="ID332" s="770" t="s">
        <v>1207</v>
      </c>
      <c r="IE332" s="770" t="s">
        <v>1207</v>
      </c>
      <c r="IF332" s="770"/>
      <c r="IG332" s="770"/>
      <c r="IH332" s="770"/>
      <c r="II332" s="770"/>
      <c r="IJ332" s="770"/>
      <c r="IK332" s="770"/>
      <c r="IL332" s="770"/>
      <c r="IM332" s="770"/>
      <c r="IN332" s="770"/>
      <c r="IO332" s="296"/>
      <c r="IP332" s="770"/>
      <c r="IQ332" s="770"/>
      <c r="IR332" s="770"/>
      <c r="IS332" s="770"/>
      <c r="IT332" s="770"/>
      <c r="IU332" s="770"/>
      <c r="IV332" s="770"/>
      <c r="IW332" s="770"/>
      <c r="IX332" s="770"/>
      <c r="IY332" s="770"/>
      <c r="IZ332" s="770"/>
      <c r="JA332" s="770"/>
      <c r="JB332" s="770"/>
      <c r="JC332" s="770"/>
      <c r="JD332" s="302"/>
      <c r="JE332" s="770"/>
      <c r="JF332" s="770"/>
      <c r="JG332" s="770"/>
      <c r="JH332" s="770"/>
      <c r="JI332" s="770"/>
      <c r="JJ332" s="770">
        <v>1</v>
      </c>
      <c r="JK332" s="770" t="s">
        <v>1176</v>
      </c>
      <c r="JL332" s="13"/>
      <c r="JM332" s="13"/>
      <c r="JN332" s="13"/>
      <c r="JO332" s="13"/>
      <c r="JP332" s="13">
        <v>1</v>
      </c>
      <c r="JQ332" s="13"/>
      <c r="JR332" s="13"/>
      <c r="JS332" s="13"/>
      <c r="JT332" s="766">
        <f>SUM(JP332,JN332,JL332,JR332)</f>
        <v>1</v>
      </c>
      <c r="JU332" s="766">
        <f>SUM(JQ332,JO332,JM332,JS332)</f>
        <v>0</v>
      </c>
      <c r="JV332" s="766"/>
      <c r="JW332" s="766"/>
      <c r="JX332" s="13"/>
      <c r="JY332" s="13"/>
      <c r="JZ332" s="13"/>
      <c r="KA332" s="13"/>
      <c r="KB332" s="13"/>
      <c r="KC332" s="13"/>
      <c r="KD332" s="13"/>
      <c r="KE332" s="13"/>
      <c r="KF332" s="13"/>
      <c r="KG332" s="13"/>
      <c r="KH332" s="13"/>
      <c r="KI332" s="13"/>
      <c r="KJ332" s="770"/>
      <c r="KK332" s="770"/>
      <c r="KL332" s="770"/>
      <c r="KM332" s="770"/>
      <c r="KN332" s="770" t="s">
        <v>707</v>
      </c>
      <c r="KO332" s="770"/>
      <c r="KP332" s="770"/>
      <c r="KQ332" s="770"/>
      <c r="KR332" s="770"/>
      <c r="KS332" s="770"/>
      <c r="KT332" s="770"/>
      <c r="KU332" s="770"/>
      <c r="KV332" s="770"/>
      <c r="KW332" s="770"/>
      <c r="KX332" s="770"/>
      <c r="KY332" s="770"/>
      <c r="KZ332" s="770"/>
      <c r="LA332" s="770"/>
      <c r="LB332" s="770"/>
      <c r="LC332" s="770"/>
      <c r="LD332" s="770"/>
      <c r="LE332" s="770"/>
      <c r="LF332" s="770"/>
      <c r="LG332" s="770"/>
      <c r="LH332" s="770"/>
      <c r="LI332" s="770"/>
      <c r="LJ332" s="770"/>
      <c r="LK332" s="770"/>
      <c r="LL332" s="770"/>
      <c r="LM332" s="770"/>
      <c r="LN332" s="766"/>
      <c r="LO332" s="766"/>
      <c r="LP332" s="770"/>
      <c r="LQ332" s="770"/>
      <c r="LR332" s="770"/>
      <c r="LS332" s="770"/>
      <c r="LT332" s="770"/>
      <c r="LU332" s="770"/>
      <c r="LV332" s="770"/>
      <c r="LW332" s="770"/>
      <c r="LX332" s="769"/>
      <c r="LY332" s="766" t="str">
        <f t="shared" si="93"/>
        <v/>
      </c>
      <c r="LZ332" s="299"/>
      <c r="MA332" s="306"/>
      <c r="MB332" s="306"/>
      <c r="MC332" s="1679">
        <f t="shared" si="91"/>
        <v>0</v>
      </c>
      <c r="MD332" s="306"/>
      <c r="ME332" s="306"/>
      <c r="MF332" s="306"/>
      <c r="MG332" s="1680">
        <f t="shared" si="97"/>
        <v>0</v>
      </c>
      <c r="MH332" s="770"/>
      <c r="MI332" s="302"/>
      <c r="MJ332" s="302"/>
      <c r="MK332" s="302"/>
      <c r="ML332" s="302"/>
      <c r="MM332" s="302"/>
      <c r="MN332" s="302"/>
      <c r="MO332" s="302"/>
      <c r="MP332" s="302"/>
      <c r="MQ332" s="302"/>
      <c r="MR332" s="302"/>
      <c r="MS332" s="302"/>
      <c r="MT332" s="302"/>
      <c r="MU332" s="302"/>
      <c r="MV332" s="302"/>
      <c r="MW332" s="302"/>
      <c r="MX332" s="302"/>
      <c r="MY332" s="1682">
        <f t="shared" si="98"/>
        <v>0</v>
      </c>
      <c r="MZ332" s="770"/>
      <c r="NA332" s="770"/>
      <c r="NB332" s="770"/>
      <c r="NC332" s="770"/>
      <c r="ND332" s="770"/>
      <c r="NE332" s="770"/>
      <c r="NF332" s="770"/>
      <c r="NG332" s="770"/>
      <c r="NH332" s="770"/>
      <c r="NI332" s="770"/>
      <c r="NJ332" s="770"/>
      <c r="NK332" s="770"/>
      <c r="NL332" s="770"/>
      <c r="NM332" s="770"/>
      <c r="NN332" s="770"/>
      <c r="NO332" s="770"/>
      <c r="NP332" s="770"/>
      <c r="NQ332" s="770"/>
      <c r="NR332" s="770"/>
      <c r="NS332" s="770"/>
      <c r="NT332" s="770"/>
      <c r="NU332" s="770"/>
      <c r="NV332" s="770"/>
      <c r="NW332" s="770"/>
      <c r="NX332" s="770"/>
      <c r="NY332" s="770"/>
      <c r="NZ332" s="770"/>
      <c r="OA332" s="770"/>
      <c r="OB332" s="770"/>
      <c r="OC332" s="770"/>
      <c r="OD332" s="770"/>
      <c r="OE332" s="770"/>
      <c r="OF332" s="770"/>
      <c r="OG332" s="770"/>
      <c r="OH332" s="770"/>
      <c r="OI332" s="770"/>
      <c r="OJ332" s="770"/>
      <c r="OK332" s="770"/>
      <c r="OL332" s="770"/>
      <c r="OM332" s="770"/>
      <c r="ON332" s="770"/>
      <c r="OO332" s="770"/>
      <c r="OP332" s="770"/>
      <c r="OQ332" s="770"/>
      <c r="OR332" s="770"/>
      <c r="OS332" s="770"/>
      <c r="OT332" s="770"/>
      <c r="OU332" s="770"/>
      <c r="OV332" s="770"/>
      <c r="OW332" s="770"/>
      <c r="OX332" s="770"/>
      <c r="OY332" s="770"/>
      <c r="OZ332" s="770"/>
      <c r="PA332" s="770"/>
      <c r="PB332" s="770"/>
      <c r="PC332" s="770"/>
      <c r="PD332" s="770"/>
      <c r="PE332" s="770"/>
      <c r="PF332" s="770"/>
      <c r="PG332" s="770"/>
      <c r="PH332" s="770"/>
      <c r="PI332" s="770"/>
      <c r="PJ332" s="770"/>
      <c r="PK332" s="770"/>
      <c r="PL332" s="770"/>
      <c r="PM332" s="770"/>
      <c r="PN332" s="770"/>
      <c r="PO332" s="770"/>
      <c r="PP332" s="770"/>
      <c r="PQ332" s="770"/>
      <c r="PR332" s="770"/>
      <c r="PS332" s="770"/>
      <c r="PT332" s="770"/>
      <c r="PU332" s="770"/>
      <c r="PV332" s="770"/>
      <c r="PW332" s="770"/>
      <c r="PX332" s="770"/>
      <c r="PY332" s="770"/>
      <c r="PZ332" s="770"/>
      <c r="QA332" s="770"/>
      <c r="QB332" s="770"/>
      <c r="QC332" s="770"/>
      <c r="QD332" s="770"/>
      <c r="QE332" s="770"/>
      <c r="QF332" s="770"/>
      <c r="QG332" s="770"/>
      <c r="QH332" s="770"/>
      <c r="QI332" s="770"/>
      <c r="QJ332" s="770"/>
      <c r="QK332" s="770"/>
      <c r="QL332" s="770"/>
      <c r="QM332" s="770"/>
      <c r="QN332" s="770"/>
      <c r="QO332" s="770"/>
      <c r="QP332" s="770"/>
      <c r="QQ332" s="770"/>
      <c r="QR332" s="770"/>
      <c r="QS332" s="770"/>
      <c r="QT332" s="770"/>
      <c r="QU332" s="770"/>
      <c r="QV332" s="770"/>
      <c r="QW332" s="770"/>
      <c r="QX332" s="770"/>
      <c r="QY332" s="770"/>
      <c r="QZ332" s="770"/>
      <c r="RA332" s="770"/>
      <c r="RB332" s="770"/>
      <c r="RC332" s="770"/>
      <c r="RD332" s="770"/>
      <c r="RE332" s="770"/>
      <c r="RF332" s="304"/>
      <c r="RG332" s="770"/>
      <c r="RH332" s="302"/>
      <c r="RI332" s="770"/>
      <c r="RJ332" s="770" t="s">
        <v>1176</v>
      </c>
      <c r="RK332" s="770" t="s">
        <v>13401</v>
      </c>
      <c r="RL332" s="1710"/>
      <c r="RM332" s="12"/>
      <c r="RN332" s="1711"/>
      <c r="RO332" s="140" t="s">
        <v>568</v>
      </c>
      <c r="RP332" s="11"/>
      <c r="RQ332" s="11"/>
      <c r="RR332" s="17"/>
      <c r="RS332" s="767"/>
      <c r="RT332" s="11"/>
      <c r="RU332" s="11"/>
      <c r="RV332" s="771" t="s">
        <v>8086</v>
      </c>
      <c r="RW332" s="11" t="s">
        <v>11895</v>
      </c>
      <c r="RX332" s="11" t="s">
        <v>564</v>
      </c>
      <c r="RY332" s="11"/>
      <c r="RZ332" s="11"/>
      <c r="SA332" s="771"/>
      <c r="SB332" s="11"/>
      <c r="SC332" s="11"/>
    </row>
    <row r="333" spans="1:497" ht="12.75" hidden="1" customHeight="1">
      <c r="A333" s="343" t="s">
        <v>14139</v>
      </c>
      <c r="B333" s="292" t="s">
        <v>7639</v>
      </c>
      <c r="C333" s="140" t="s">
        <v>568</v>
      </c>
      <c r="D333" s="770" t="s">
        <v>5536</v>
      </c>
      <c r="E333" s="770" t="s">
        <v>569</v>
      </c>
      <c r="F333" s="770" t="s">
        <v>28</v>
      </c>
      <c r="G333" s="770" t="s">
        <v>18</v>
      </c>
      <c r="H333" s="770"/>
      <c r="I333" s="295"/>
      <c r="J333" s="770" t="s">
        <v>5536</v>
      </c>
      <c r="K333" s="770"/>
      <c r="L333" s="770"/>
      <c r="M333" s="770"/>
      <c r="N333" s="770"/>
      <c r="O333" s="770"/>
      <c r="P333" s="770"/>
      <c r="Q333" s="1088"/>
      <c r="R333" s="297"/>
      <c r="S333" s="770"/>
      <c r="T333" s="770"/>
      <c r="U333" s="298"/>
      <c r="V333" s="770"/>
      <c r="W333" s="770"/>
      <c r="X333" s="296"/>
      <c r="Y333" s="770"/>
      <c r="Z333" s="770"/>
      <c r="AA333" s="770"/>
      <c r="AB333" s="770"/>
      <c r="AC333" s="770"/>
      <c r="AD333" s="770"/>
      <c r="AE333" s="770"/>
      <c r="AF333" s="770"/>
      <c r="AG333" s="770"/>
      <c r="AH333" s="770"/>
      <c r="AI333" s="770"/>
      <c r="AJ333" s="770"/>
      <c r="AK333" s="770" t="s">
        <v>5454</v>
      </c>
      <c r="AL333" s="299">
        <v>45.92</v>
      </c>
      <c r="AM333" s="300">
        <v>11.07</v>
      </c>
      <c r="AN333" s="301">
        <v>0.24</v>
      </c>
      <c r="AO333" s="766" t="s">
        <v>1149</v>
      </c>
      <c r="AP333" s="766"/>
      <c r="AQ333" s="766"/>
      <c r="AR333" s="766"/>
      <c r="AS333" s="770"/>
      <c r="AT333" s="770"/>
      <c r="AU333" s="770"/>
      <c r="AV333" s="770"/>
      <c r="AW333" s="770"/>
      <c r="AX333" s="770"/>
      <c r="AY333" s="770"/>
      <c r="AZ333" s="770"/>
      <c r="BA333" s="770"/>
      <c r="BB333" s="770"/>
      <c r="BC333" s="770"/>
      <c r="BD333" s="770"/>
      <c r="BE333" s="770"/>
      <c r="BF333" s="302"/>
      <c r="BG333" s="302"/>
      <c r="BH333" s="770"/>
      <c r="BI333" s="770"/>
      <c r="BJ333" s="770"/>
      <c r="BK333" s="770" t="s">
        <v>1095</v>
      </c>
      <c r="BL333" s="770" t="s">
        <v>5538</v>
      </c>
      <c r="BM333" s="766" t="s">
        <v>1096</v>
      </c>
      <c r="BN333" s="766" t="s">
        <v>1230</v>
      </c>
      <c r="BO333" s="770" t="s">
        <v>1275</v>
      </c>
      <c r="BP333" s="780">
        <v>137.76</v>
      </c>
      <c r="BQ333" s="772">
        <v>33.21</v>
      </c>
      <c r="BR333" s="774">
        <f>BQ333/BP333</f>
        <v>0.2410714285714286</v>
      </c>
      <c r="BS333" s="6" t="s">
        <v>1149</v>
      </c>
      <c r="BT333" s="766" t="s">
        <v>2040</v>
      </c>
      <c r="BU333" s="770" t="s">
        <v>1249</v>
      </c>
      <c r="BV333" s="766" t="s">
        <v>1243</v>
      </c>
      <c r="BW333" s="769"/>
      <c r="BX333" s="302"/>
      <c r="BY333" s="303"/>
      <c r="BZ333" s="770"/>
      <c r="CA333" s="302"/>
      <c r="CB333" s="302"/>
      <c r="CC333" s="770"/>
      <c r="CD333" s="770"/>
      <c r="CE333" s="770"/>
      <c r="CF333" s="770"/>
      <c r="CG333" s="770"/>
      <c r="CH333" s="770"/>
      <c r="CI333" s="770"/>
      <c r="CJ333" s="770"/>
      <c r="CK333" s="770"/>
      <c r="CL333" s="770"/>
      <c r="CM333" s="770"/>
      <c r="CN333" s="770"/>
      <c r="CO333" s="770"/>
      <c r="CP333" s="770"/>
      <c r="CQ333" s="770"/>
      <c r="CR333" s="770"/>
      <c r="CS333" s="302"/>
      <c r="CT333" s="770"/>
      <c r="CU333" s="305"/>
      <c r="CV333" s="770"/>
      <c r="CW333" s="770"/>
      <c r="CX333" s="770"/>
      <c r="CY333" s="770"/>
      <c r="CZ333" s="770"/>
      <c r="DA333" s="770"/>
      <c r="DB333" s="770"/>
      <c r="DC333" s="770"/>
      <c r="DD333" s="770"/>
      <c r="DE333" s="770"/>
      <c r="DF333" s="770"/>
      <c r="DG333" s="770"/>
      <c r="DH333" s="770"/>
      <c r="DI333" s="770"/>
      <c r="DJ333" s="770"/>
      <c r="DK333" s="770"/>
      <c r="DL333" s="770"/>
      <c r="DM333" s="770"/>
      <c r="DN333" s="770"/>
      <c r="DO333" s="770"/>
      <c r="DP333" s="770"/>
      <c r="DQ333" s="770"/>
      <c r="DR333" s="770"/>
      <c r="DS333" s="307"/>
      <c r="DT333" s="770"/>
      <c r="DU333" s="770"/>
      <c r="DV333" s="770"/>
      <c r="DW333" s="306"/>
      <c r="DX333" s="306"/>
      <c r="DY333" s="770"/>
      <c r="DZ333" s="770"/>
      <c r="EA333" s="770"/>
      <c r="EB333" s="770"/>
      <c r="EC333" s="770"/>
      <c r="ED333" s="770"/>
      <c r="EE333" s="770"/>
      <c r="EF333" s="770"/>
      <c r="EG333" s="770"/>
      <c r="EH333" s="770"/>
      <c r="EI333" s="770"/>
      <c r="EJ333" s="770"/>
      <c r="EK333" s="770"/>
      <c r="EL333" s="770"/>
      <c r="EM333" s="770"/>
      <c r="EN333" s="770"/>
      <c r="EO333" s="770"/>
      <c r="EP333" s="770"/>
      <c r="EQ333" s="770"/>
      <c r="ER333" s="770"/>
      <c r="ES333" s="770"/>
      <c r="ET333" s="770"/>
      <c r="EU333" s="770"/>
      <c r="EV333" s="770"/>
      <c r="EW333" s="770"/>
      <c r="EX333" s="770"/>
      <c r="EY333" s="770"/>
      <c r="EZ333" s="770"/>
      <c r="FA333" s="770"/>
      <c r="FB333" s="770"/>
      <c r="FC333" s="770"/>
      <c r="FD333" s="302"/>
      <c r="FE333" s="770"/>
      <c r="FF333" s="770"/>
      <c r="FG333" s="770"/>
      <c r="FH333" s="770" t="s">
        <v>478</v>
      </c>
      <c r="FI333" s="770">
        <v>3</v>
      </c>
      <c r="FJ333" s="770"/>
      <c r="FK333" s="770"/>
      <c r="FL333" s="770"/>
      <c r="FM333" s="302"/>
      <c r="FN333" s="302"/>
      <c r="FO333" s="302"/>
      <c r="FP333" s="770" t="s">
        <v>1600</v>
      </c>
      <c r="FQ333" s="770" t="s">
        <v>1642</v>
      </c>
      <c r="FR333" s="770" t="s">
        <v>1207</v>
      </c>
      <c r="FS333" s="770" t="s">
        <v>1208</v>
      </c>
      <c r="FT333" s="770" t="s">
        <v>1208</v>
      </c>
      <c r="FU333" s="770"/>
      <c r="FV333" s="770"/>
      <c r="FW333" s="770"/>
      <c r="FX333" s="770"/>
      <c r="FY333" s="770"/>
      <c r="FZ333" s="770"/>
      <c r="GA333" s="770"/>
      <c r="GB333" s="770" t="s">
        <v>1696</v>
      </c>
      <c r="GC333" s="308" t="s">
        <v>1748</v>
      </c>
      <c r="GD333" s="297">
        <v>2000</v>
      </c>
      <c r="GE333" s="770"/>
      <c r="GF333" s="302"/>
      <c r="GG333" s="302"/>
      <c r="GH333" s="770"/>
      <c r="GI333" s="770"/>
      <c r="GJ333" s="770"/>
      <c r="GK333" s="770"/>
      <c r="GL333" s="770"/>
      <c r="GM333" s="770"/>
      <c r="GN333" s="309"/>
      <c r="GO333" s="770"/>
      <c r="GP333" s="770"/>
      <c r="GQ333" s="770"/>
      <c r="GR333" s="770"/>
      <c r="GS333" s="770"/>
      <c r="GT333" s="770"/>
      <c r="GU333" s="770"/>
      <c r="GV333" s="770"/>
      <c r="GW333" s="770"/>
      <c r="GX333" s="770"/>
      <c r="GY333" s="770"/>
      <c r="GZ333" s="770"/>
      <c r="HA333" s="770"/>
      <c r="HB333" s="770"/>
      <c r="HC333" s="770"/>
      <c r="HD333" s="770"/>
      <c r="HE333" s="770"/>
      <c r="HF333" s="770"/>
      <c r="HG333" s="770"/>
      <c r="HH333" s="770"/>
      <c r="HI333" s="770"/>
      <c r="HJ333" s="770"/>
      <c r="HK333" s="770"/>
      <c r="HL333" s="770"/>
      <c r="HM333" s="770"/>
      <c r="HN333" s="770"/>
      <c r="HO333" s="770"/>
      <c r="HP333" s="770"/>
      <c r="HQ333" s="770"/>
      <c r="HR333" s="770"/>
      <c r="HS333" s="770"/>
      <c r="HT333" s="770"/>
      <c r="HU333" s="770"/>
      <c r="HV333" s="770"/>
      <c r="HW333" s="770"/>
      <c r="HX333" s="770"/>
      <c r="HY333" s="770"/>
      <c r="HZ333" s="770"/>
      <c r="IA333" s="770"/>
      <c r="IB333" s="14" t="e">
        <f>IF(#REF!&gt;0,IF(#REF!&lt;=10000,"Y",""),"")</f>
        <v>#REF!</v>
      </c>
      <c r="IC333" s="770" t="s">
        <v>1207</v>
      </c>
      <c r="ID333" s="770"/>
      <c r="IE333" s="770"/>
      <c r="IF333" s="770"/>
      <c r="IG333" s="770"/>
      <c r="IH333" s="770"/>
      <c r="II333" s="770"/>
      <c r="IJ333" s="770"/>
      <c r="IK333" s="770"/>
      <c r="IL333" s="770"/>
      <c r="IM333" s="770"/>
      <c r="IN333" s="770"/>
      <c r="IO333" s="296"/>
      <c r="IP333" s="770"/>
      <c r="IQ333" s="770"/>
      <c r="IR333" s="770"/>
      <c r="IS333" s="770"/>
      <c r="IT333" s="770"/>
      <c r="IU333" s="770"/>
      <c r="IV333" s="770"/>
      <c r="IW333" s="770"/>
      <c r="IX333" s="770"/>
      <c r="IY333" s="770"/>
      <c r="IZ333" s="770"/>
      <c r="JA333" s="770"/>
      <c r="JB333" s="770"/>
      <c r="JC333" s="770"/>
      <c r="JD333" s="302"/>
      <c r="JE333" s="770"/>
      <c r="JF333" s="770"/>
      <c r="JG333" s="770"/>
      <c r="JH333" s="770"/>
      <c r="JI333" s="770"/>
      <c r="JJ333" s="770">
        <v>1</v>
      </c>
      <c r="JK333" s="770" t="s">
        <v>13469</v>
      </c>
      <c r="JL333" s="13"/>
      <c r="JM333" s="13"/>
      <c r="JN333" s="13"/>
      <c r="JO333" s="13"/>
      <c r="JP333" s="13"/>
      <c r="JQ333" s="13"/>
      <c r="JR333" s="13"/>
      <c r="JS333" s="13"/>
      <c r="JT333" s="766"/>
      <c r="JU333" s="766"/>
      <c r="JV333" s="766"/>
      <c r="JW333" s="766"/>
      <c r="JX333" s="13"/>
      <c r="JY333" s="13"/>
      <c r="JZ333" s="13"/>
      <c r="KA333" s="13"/>
      <c r="KB333" s="13"/>
      <c r="KC333" s="13"/>
      <c r="KD333" s="13"/>
      <c r="KE333" s="13"/>
      <c r="KF333" s="13"/>
      <c r="KG333" s="13"/>
      <c r="KH333" s="13"/>
      <c r="KI333" s="13"/>
      <c r="KJ333" s="770"/>
      <c r="KK333" s="770"/>
      <c r="KL333" s="770"/>
      <c r="KM333" s="770"/>
      <c r="KN333" s="770"/>
      <c r="KO333" s="770"/>
      <c r="KP333" s="770"/>
      <c r="KQ333" s="770"/>
      <c r="KR333" s="770"/>
      <c r="KS333" s="770"/>
      <c r="KT333" s="770"/>
      <c r="KU333" s="770"/>
      <c r="KV333" s="770"/>
      <c r="KW333" s="770"/>
      <c r="KX333" s="770"/>
      <c r="KY333" s="770"/>
      <c r="KZ333" s="770"/>
      <c r="LA333" s="770"/>
      <c r="LB333" s="770"/>
      <c r="LC333" s="770"/>
      <c r="LD333" s="770"/>
      <c r="LE333" s="770"/>
      <c r="LF333" s="770"/>
      <c r="LG333" s="770"/>
      <c r="LH333" s="770"/>
      <c r="LI333" s="770"/>
      <c r="LJ333" s="770"/>
      <c r="LK333" s="770"/>
      <c r="LL333" s="770"/>
      <c r="LM333" s="770"/>
      <c r="LN333" s="766"/>
      <c r="LO333" s="766"/>
      <c r="LP333" s="770"/>
      <c r="LQ333" s="770"/>
      <c r="LR333" s="770"/>
      <c r="LS333" s="770"/>
      <c r="LT333" s="770"/>
      <c r="LU333" s="770"/>
      <c r="LV333" s="770"/>
      <c r="LW333" s="770"/>
      <c r="LX333" s="769"/>
      <c r="LY333" s="766" t="str">
        <f t="shared" si="93"/>
        <v/>
      </c>
      <c r="LZ333" s="299"/>
      <c r="MA333" s="1709"/>
      <c r="MB333" s="1709"/>
      <c r="MC333" s="1679">
        <f t="shared" si="91"/>
        <v>0</v>
      </c>
      <c r="MD333" s="1709"/>
      <c r="ME333" s="1709"/>
      <c r="MF333" s="1709"/>
      <c r="MG333" s="1680">
        <f t="shared" si="97"/>
        <v>0</v>
      </c>
      <c r="MH333" s="770"/>
      <c r="MI333" s="302"/>
      <c r="MJ333" s="302"/>
      <c r="MK333" s="302"/>
      <c r="ML333" s="302"/>
      <c r="MM333" s="302"/>
      <c r="MN333" s="302"/>
      <c r="MO333" s="302"/>
      <c r="MP333" s="302"/>
      <c r="MQ333" s="302"/>
      <c r="MR333" s="302"/>
      <c r="MS333" s="302"/>
      <c r="MT333" s="302"/>
      <c r="MU333" s="302"/>
      <c r="MV333" s="302"/>
      <c r="MW333" s="302"/>
      <c r="MX333" s="302"/>
      <c r="MY333" s="1682">
        <f t="shared" si="98"/>
        <v>0</v>
      </c>
      <c r="MZ333" s="770"/>
      <c r="NA333" s="770"/>
      <c r="NB333" s="770"/>
      <c r="NC333" s="770"/>
      <c r="ND333" s="770"/>
      <c r="NE333" s="770"/>
      <c r="NF333" s="770"/>
      <c r="NG333" s="770"/>
      <c r="NH333" s="770"/>
      <c r="NI333" s="770"/>
      <c r="NJ333" s="770"/>
      <c r="NK333" s="770"/>
      <c r="NL333" s="770"/>
      <c r="NM333" s="770"/>
      <c r="NN333" s="770"/>
      <c r="NO333" s="770"/>
      <c r="NP333" s="770"/>
      <c r="NQ333" s="770"/>
      <c r="NR333" s="770"/>
      <c r="NS333" s="770"/>
      <c r="NT333" s="770"/>
      <c r="NU333" s="770"/>
      <c r="NV333" s="770"/>
      <c r="NW333" s="770"/>
      <c r="NX333" s="770"/>
      <c r="NY333" s="770"/>
      <c r="NZ333" s="770"/>
      <c r="OA333" s="770"/>
      <c r="OB333" s="770"/>
      <c r="OC333" s="770"/>
      <c r="OD333" s="770"/>
      <c r="OE333" s="770"/>
      <c r="OF333" s="770"/>
      <c r="OG333" s="770"/>
      <c r="OH333" s="770"/>
      <c r="OI333" s="770"/>
      <c r="OJ333" s="770"/>
      <c r="OK333" s="770"/>
      <c r="OL333" s="770"/>
      <c r="OM333" s="770"/>
      <c r="ON333" s="770"/>
      <c r="OO333" s="770"/>
      <c r="OP333" s="770"/>
      <c r="OQ333" s="770"/>
      <c r="OR333" s="770"/>
      <c r="OS333" s="770"/>
      <c r="OT333" s="770"/>
      <c r="OU333" s="770"/>
      <c r="OV333" s="770"/>
      <c r="OW333" s="770"/>
      <c r="OX333" s="770"/>
      <c r="OY333" s="770"/>
      <c r="OZ333" s="770"/>
      <c r="PA333" s="770"/>
      <c r="PB333" s="770"/>
      <c r="PC333" s="770"/>
      <c r="PD333" s="770"/>
      <c r="PE333" s="770"/>
      <c r="PF333" s="770"/>
      <c r="PG333" s="770"/>
      <c r="PH333" s="770"/>
      <c r="PI333" s="770"/>
      <c r="PJ333" s="770"/>
      <c r="PK333" s="770"/>
      <c r="PL333" s="770"/>
      <c r="PM333" s="770"/>
      <c r="PN333" s="770"/>
      <c r="PO333" s="770"/>
      <c r="PP333" s="770"/>
      <c r="PQ333" s="770"/>
      <c r="PR333" s="770"/>
      <c r="PS333" s="770"/>
      <c r="PT333" s="770"/>
      <c r="PU333" s="770"/>
      <c r="PV333" s="770"/>
      <c r="PW333" s="770"/>
      <c r="PX333" s="770"/>
      <c r="PY333" s="770"/>
      <c r="PZ333" s="770"/>
      <c r="QA333" s="770"/>
      <c r="QB333" s="770"/>
      <c r="QC333" s="770"/>
      <c r="QD333" s="770"/>
      <c r="QE333" s="770"/>
      <c r="QF333" s="770"/>
      <c r="QG333" s="770"/>
      <c r="QH333" s="770"/>
      <c r="QI333" s="770"/>
      <c r="QJ333" s="770"/>
      <c r="QK333" s="770"/>
      <c r="QL333" s="770"/>
      <c r="QM333" s="770"/>
      <c r="QN333" s="770"/>
      <c r="QO333" s="770"/>
      <c r="QP333" s="770"/>
      <c r="QQ333" s="770"/>
      <c r="QR333" s="770"/>
      <c r="QS333" s="770"/>
      <c r="QT333" s="770"/>
      <c r="QU333" s="770"/>
      <c r="QV333" s="770"/>
      <c r="QW333" s="770"/>
      <c r="QX333" s="770"/>
      <c r="QY333" s="770"/>
      <c r="QZ333" s="770"/>
      <c r="RA333" s="770"/>
      <c r="RB333" s="770"/>
      <c r="RC333" s="770"/>
      <c r="RD333" s="770"/>
      <c r="RE333" s="770"/>
      <c r="RF333" s="304"/>
      <c r="RG333" s="770"/>
      <c r="RH333" s="302"/>
      <c r="RI333" s="770"/>
      <c r="RJ333" s="770" t="s">
        <v>13470</v>
      </c>
      <c r="RK333" s="770" t="s">
        <v>13401</v>
      </c>
      <c r="RL333" s="1710">
        <v>42816</v>
      </c>
      <c r="RM333" s="12"/>
      <c r="RN333" s="1711"/>
      <c r="RO333" s="140" t="s">
        <v>568</v>
      </c>
      <c r="RP333" s="11"/>
      <c r="RQ333" s="11"/>
      <c r="RR333" s="17"/>
      <c r="RS333" s="767"/>
      <c r="RT333" s="11"/>
      <c r="RU333" s="11"/>
      <c r="RV333" s="771" t="s">
        <v>8086</v>
      </c>
      <c r="RW333" s="11" t="s">
        <v>7543</v>
      </c>
      <c r="RX333" s="11" t="s">
        <v>564</v>
      </c>
      <c r="RY333" s="11"/>
      <c r="RZ333" s="11" t="s">
        <v>2209</v>
      </c>
      <c r="SA333" s="771"/>
      <c r="SB333" s="11"/>
      <c r="SC333" s="11"/>
    </row>
    <row r="334" spans="1:497" ht="12.75" hidden="1" customHeight="1">
      <c r="A334" s="343" t="s">
        <v>14172</v>
      </c>
      <c r="B334" s="292" t="s">
        <v>7640</v>
      </c>
      <c r="C334" s="140" t="s">
        <v>568</v>
      </c>
      <c r="D334" s="770" t="s">
        <v>5536</v>
      </c>
      <c r="E334" s="770" t="s">
        <v>569</v>
      </c>
      <c r="F334" s="770" t="s">
        <v>3139</v>
      </c>
      <c r="G334" s="770" t="s">
        <v>18</v>
      </c>
      <c r="H334" s="770"/>
      <c r="I334" s="295" t="s">
        <v>5539</v>
      </c>
      <c r="J334" s="770" t="s">
        <v>5537</v>
      </c>
      <c r="K334" s="770"/>
      <c r="L334" s="770"/>
      <c r="M334" s="770"/>
      <c r="N334" s="770"/>
      <c r="O334" s="770"/>
      <c r="P334" s="770"/>
      <c r="Q334" s="1088"/>
      <c r="R334" s="297"/>
      <c r="S334" s="770"/>
      <c r="T334" s="770"/>
      <c r="U334" s="298"/>
      <c r="V334" s="770"/>
      <c r="W334" s="770"/>
      <c r="X334" s="296"/>
      <c r="Y334" s="770"/>
      <c r="Z334" s="770"/>
      <c r="AA334" s="770"/>
      <c r="AB334" s="770"/>
      <c r="AC334" s="770"/>
      <c r="AD334" s="770"/>
      <c r="AE334" s="770"/>
      <c r="AF334" s="770"/>
      <c r="AG334" s="770"/>
      <c r="AH334" s="770"/>
      <c r="AI334" s="770"/>
      <c r="AJ334" s="770"/>
      <c r="AK334" s="770" t="s">
        <v>5454</v>
      </c>
      <c r="AL334" s="299"/>
      <c r="AM334" s="300"/>
      <c r="AN334" s="301"/>
      <c r="AO334" s="766"/>
      <c r="AP334" s="766"/>
      <c r="AQ334" s="766"/>
      <c r="AR334" s="766"/>
      <c r="AS334" s="770"/>
      <c r="AT334" s="770"/>
      <c r="AU334" s="770"/>
      <c r="AV334" s="770"/>
      <c r="AW334" s="770"/>
      <c r="AX334" s="770"/>
      <c r="AY334" s="770"/>
      <c r="AZ334" s="770"/>
      <c r="BA334" s="770"/>
      <c r="BB334" s="770"/>
      <c r="BC334" s="770"/>
      <c r="BD334" s="770"/>
      <c r="BE334" s="770"/>
      <c r="BF334" s="302"/>
      <c r="BG334" s="302"/>
      <c r="BH334" s="770"/>
      <c r="BI334" s="770"/>
      <c r="BJ334" s="770"/>
      <c r="BK334" s="770"/>
      <c r="BL334" s="770"/>
      <c r="BM334" s="770" t="s">
        <v>1238</v>
      </c>
      <c r="BN334" s="770" t="s">
        <v>1299</v>
      </c>
      <c r="BO334" s="770"/>
      <c r="BP334" s="780"/>
      <c r="BQ334" s="772"/>
      <c r="BR334" s="774"/>
      <c r="BS334" s="766"/>
      <c r="BT334" s="766"/>
      <c r="BU334" s="770"/>
      <c r="BV334" s="770"/>
      <c r="BW334" s="770"/>
      <c r="BX334" s="302"/>
      <c r="BY334" s="303"/>
      <c r="BZ334" s="770"/>
      <c r="CA334" s="302"/>
      <c r="CB334" s="302"/>
      <c r="CC334" s="770"/>
      <c r="CD334" s="770"/>
      <c r="CE334" s="770"/>
      <c r="CF334" s="770"/>
      <c r="CG334" s="770"/>
      <c r="CH334" s="770"/>
      <c r="CI334" s="770"/>
      <c r="CJ334" s="770"/>
      <c r="CK334" s="770"/>
      <c r="CL334" s="770"/>
      <c r="CM334" s="770"/>
      <c r="CN334" s="770"/>
      <c r="CO334" s="770"/>
      <c r="CP334" s="770"/>
      <c r="CQ334" s="770"/>
      <c r="CR334" s="770"/>
      <c r="CS334" s="302"/>
      <c r="CT334" s="770"/>
      <c r="CU334" s="305"/>
      <c r="CV334" s="770"/>
      <c r="CW334" s="770"/>
      <c r="CX334" s="770"/>
      <c r="CY334" s="770"/>
      <c r="CZ334" s="770"/>
      <c r="DA334" s="770"/>
      <c r="DB334" s="770"/>
      <c r="DC334" s="770"/>
      <c r="DD334" s="770"/>
      <c r="DE334" s="770"/>
      <c r="DF334" s="770"/>
      <c r="DG334" s="770"/>
      <c r="DH334" s="770"/>
      <c r="DI334" s="770"/>
      <c r="DJ334" s="770"/>
      <c r="DK334" s="770"/>
      <c r="DL334" s="770"/>
      <c r="DM334" s="770"/>
      <c r="DN334" s="770"/>
      <c r="DO334" s="770"/>
      <c r="DP334" s="770"/>
      <c r="DQ334" s="770"/>
      <c r="DR334" s="770"/>
      <c r="DS334" s="307"/>
      <c r="DT334" s="770"/>
      <c r="DU334" s="770"/>
      <c r="DV334" s="770"/>
      <c r="DW334" s="306"/>
      <c r="DX334" s="306"/>
      <c r="DY334" s="770"/>
      <c r="DZ334" s="770"/>
      <c r="EA334" s="770"/>
      <c r="EB334" s="770"/>
      <c r="EC334" s="770"/>
      <c r="ED334" s="770"/>
      <c r="EE334" s="770"/>
      <c r="EF334" s="770"/>
      <c r="EG334" s="770"/>
      <c r="EH334" s="770"/>
      <c r="EI334" s="770"/>
      <c r="EJ334" s="770"/>
      <c r="EK334" s="770"/>
      <c r="EL334" s="770"/>
      <c r="EM334" s="770"/>
      <c r="EN334" s="770"/>
      <c r="EO334" s="770"/>
      <c r="EP334" s="770"/>
      <c r="EQ334" s="770"/>
      <c r="ER334" s="770"/>
      <c r="ES334" s="770"/>
      <c r="ET334" s="770"/>
      <c r="EU334" s="770"/>
      <c r="EV334" s="770"/>
      <c r="EW334" s="770"/>
      <c r="EX334" s="770"/>
      <c r="EY334" s="770"/>
      <c r="EZ334" s="770"/>
      <c r="FA334" s="770"/>
      <c r="FB334" s="770"/>
      <c r="FC334" s="770"/>
      <c r="FD334" s="302"/>
      <c r="FE334" s="770"/>
      <c r="FF334" s="770"/>
      <c r="FG334" s="770"/>
      <c r="FH334" s="770" t="s">
        <v>1299</v>
      </c>
      <c r="FI334" s="770">
        <v>1</v>
      </c>
      <c r="FJ334" s="770" t="s">
        <v>1655</v>
      </c>
      <c r="FK334" s="770"/>
      <c r="FL334" s="770" t="s">
        <v>1656</v>
      </c>
      <c r="FM334" s="302"/>
      <c r="FN334" s="302"/>
      <c r="FO334" s="302"/>
      <c r="FP334" s="770" t="s">
        <v>1600</v>
      </c>
      <c r="FQ334" s="770" t="s">
        <v>1642</v>
      </c>
      <c r="FR334" s="770"/>
      <c r="FS334" s="770"/>
      <c r="FT334" s="770"/>
      <c r="FU334" s="770"/>
      <c r="FV334" s="770"/>
      <c r="FW334" s="770"/>
      <c r="FX334" s="770"/>
      <c r="FY334" s="770"/>
      <c r="FZ334" s="770"/>
      <c r="GA334" s="770"/>
      <c r="GB334" s="770"/>
      <c r="GC334" s="308"/>
      <c r="GD334" s="297"/>
      <c r="GE334" s="770"/>
      <c r="GF334" s="302"/>
      <c r="GG334" s="302"/>
      <c r="GH334" s="770"/>
      <c r="GI334" s="770"/>
      <c r="GJ334" s="770"/>
      <c r="GK334" s="770"/>
      <c r="GL334" s="770"/>
      <c r="GM334" s="770"/>
      <c r="GN334" s="309"/>
      <c r="GO334" s="770"/>
      <c r="GP334" s="770"/>
      <c r="GQ334" s="770"/>
      <c r="GR334" s="770"/>
      <c r="GS334" s="770"/>
      <c r="GT334" s="770"/>
      <c r="GU334" s="770"/>
      <c r="GV334" s="770"/>
      <c r="GW334" s="770"/>
      <c r="GX334" s="770"/>
      <c r="GY334" s="770"/>
      <c r="GZ334" s="770"/>
      <c r="HA334" s="770"/>
      <c r="HB334" s="770"/>
      <c r="HC334" s="770"/>
      <c r="HD334" s="770"/>
      <c r="HE334" s="770"/>
      <c r="HF334" s="770"/>
      <c r="HG334" s="770"/>
      <c r="HH334" s="770"/>
      <c r="HI334" s="770"/>
      <c r="HJ334" s="770"/>
      <c r="HK334" s="770"/>
      <c r="HL334" s="770"/>
      <c r="HM334" s="770"/>
      <c r="HN334" s="770"/>
      <c r="HO334" s="770"/>
      <c r="HP334" s="770"/>
      <c r="HQ334" s="770"/>
      <c r="HR334" s="770"/>
      <c r="HS334" s="770"/>
      <c r="HT334" s="770"/>
      <c r="HU334" s="770"/>
      <c r="HV334" s="770"/>
      <c r="HW334" s="770"/>
      <c r="HX334" s="770"/>
      <c r="HY334" s="770"/>
      <c r="HZ334" s="770"/>
      <c r="IA334" s="770"/>
      <c r="IB334" s="14" t="e">
        <f>IF(#REF!&gt;0,IF(#REF!&lt;=10000,"Y",""),"")</f>
        <v>#REF!</v>
      </c>
      <c r="IC334" s="770"/>
      <c r="ID334" s="770"/>
      <c r="IE334" s="770"/>
      <c r="IF334" s="770"/>
      <c r="IG334" s="770"/>
      <c r="IH334" s="770"/>
      <c r="II334" s="770"/>
      <c r="IJ334" s="770"/>
      <c r="IK334" s="770"/>
      <c r="IL334" s="770"/>
      <c r="IM334" s="770"/>
      <c r="IN334" s="770"/>
      <c r="IO334" s="296"/>
      <c r="IP334" s="770"/>
      <c r="IQ334" s="770"/>
      <c r="IR334" s="770"/>
      <c r="IS334" s="770"/>
      <c r="IT334" s="770"/>
      <c r="IU334" s="770"/>
      <c r="IV334" s="770"/>
      <c r="IW334" s="770"/>
      <c r="IX334" s="770"/>
      <c r="IY334" s="770"/>
      <c r="IZ334" s="770"/>
      <c r="JA334" s="770"/>
      <c r="JB334" s="770"/>
      <c r="JC334" s="770"/>
      <c r="JD334" s="302"/>
      <c r="JE334" s="770"/>
      <c r="JF334" s="770"/>
      <c r="JG334" s="770"/>
      <c r="JH334" s="770"/>
      <c r="JI334" s="770"/>
      <c r="JJ334" s="770"/>
      <c r="JK334" s="770"/>
      <c r="JL334" s="770"/>
      <c r="JM334" s="770"/>
      <c r="JN334" s="770"/>
      <c r="JO334" s="770"/>
      <c r="JP334" s="770"/>
      <c r="JQ334" s="770"/>
      <c r="JR334" s="770"/>
      <c r="JS334" s="770"/>
      <c r="JT334" s="766"/>
      <c r="JU334" s="766"/>
      <c r="JV334" s="766"/>
      <c r="JW334" s="766"/>
      <c r="JX334" s="770"/>
      <c r="JY334" s="770"/>
      <c r="JZ334" s="770"/>
      <c r="KA334" s="770"/>
      <c r="KB334" s="770"/>
      <c r="KC334" s="770"/>
      <c r="KD334" s="770"/>
      <c r="KE334" s="770"/>
      <c r="KF334" s="770"/>
      <c r="KG334" s="770"/>
      <c r="KH334" s="770"/>
      <c r="KI334" s="770"/>
      <c r="KJ334" s="770"/>
      <c r="KK334" s="770"/>
      <c r="KL334" s="770"/>
      <c r="KM334" s="770"/>
      <c r="KN334" s="770"/>
      <c r="KO334" s="770"/>
      <c r="KP334" s="770"/>
      <c r="KQ334" s="770"/>
      <c r="KR334" s="770"/>
      <c r="KS334" s="770"/>
      <c r="KT334" s="770"/>
      <c r="KU334" s="770"/>
      <c r="KV334" s="770"/>
      <c r="KW334" s="770"/>
      <c r="KX334" s="770"/>
      <c r="KY334" s="770"/>
      <c r="KZ334" s="770"/>
      <c r="LA334" s="770"/>
      <c r="LB334" s="770"/>
      <c r="LC334" s="770"/>
      <c r="LD334" s="770"/>
      <c r="LE334" s="770"/>
      <c r="LF334" s="770"/>
      <c r="LG334" s="770"/>
      <c r="LH334" s="770"/>
      <c r="LI334" s="770"/>
      <c r="LJ334" s="770"/>
      <c r="LK334" s="770"/>
      <c r="LL334" s="770"/>
      <c r="LM334" s="770"/>
      <c r="LN334" s="766"/>
      <c r="LO334" s="766"/>
      <c r="LP334" s="770"/>
      <c r="LQ334" s="770"/>
      <c r="LR334" s="770"/>
      <c r="LS334" s="770"/>
      <c r="LT334" s="770"/>
      <c r="LU334" s="770"/>
      <c r="LV334" s="770"/>
      <c r="LW334" s="770"/>
      <c r="LX334" s="769"/>
      <c r="LY334" s="766" t="str">
        <f t="shared" si="93"/>
        <v/>
      </c>
      <c r="LZ334" s="299"/>
      <c r="MA334" s="1709"/>
      <c r="MB334" s="1709"/>
      <c r="MC334" s="1679">
        <f t="shared" si="91"/>
        <v>0</v>
      </c>
      <c r="MD334" s="1709"/>
      <c r="ME334" s="1709"/>
      <c r="MF334" s="1709"/>
      <c r="MG334" s="1680">
        <f t="shared" si="97"/>
        <v>0</v>
      </c>
      <c r="MH334" s="770"/>
      <c r="MI334" s="302"/>
      <c r="MJ334" s="302"/>
      <c r="MK334" s="302"/>
      <c r="ML334" s="302"/>
      <c r="MM334" s="302"/>
      <c r="MN334" s="302"/>
      <c r="MO334" s="302"/>
      <c r="MP334" s="302"/>
      <c r="MQ334" s="302"/>
      <c r="MR334" s="302"/>
      <c r="MS334" s="302"/>
      <c r="MT334" s="302"/>
      <c r="MU334" s="302"/>
      <c r="MV334" s="302"/>
      <c r="MW334" s="302"/>
      <c r="MX334" s="302"/>
      <c r="MY334" s="1682">
        <f t="shared" si="98"/>
        <v>0</v>
      </c>
      <c r="MZ334" s="770"/>
      <c r="NA334" s="770"/>
      <c r="NB334" s="770"/>
      <c r="NC334" s="770"/>
      <c r="ND334" s="770"/>
      <c r="NE334" s="770"/>
      <c r="NF334" s="770"/>
      <c r="NG334" s="770"/>
      <c r="NH334" s="770"/>
      <c r="NI334" s="770"/>
      <c r="NJ334" s="770"/>
      <c r="NK334" s="770"/>
      <c r="NL334" s="770"/>
      <c r="NM334" s="770"/>
      <c r="NN334" s="770"/>
      <c r="NO334" s="770"/>
      <c r="NP334" s="770"/>
      <c r="NQ334" s="770"/>
      <c r="NR334" s="770"/>
      <c r="NS334" s="770"/>
      <c r="NT334" s="770"/>
      <c r="NU334" s="770"/>
      <c r="NV334" s="770"/>
      <c r="NW334" s="770"/>
      <c r="NX334" s="770"/>
      <c r="NY334" s="770"/>
      <c r="NZ334" s="770"/>
      <c r="OA334" s="770"/>
      <c r="OB334" s="770"/>
      <c r="OC334" s="770"/>
      <c r="OD334" s="770"/>
      <c r="OE334" s="770"/>
      <c r="OF334" s="770"/>
      <c r="OG334" s="770"/>
      <c r="OH334" s="770"/>
      <c r="OI334" s="770"/>
      <c r="OJ334" s="770"/>
      <c r="OK334" s="770"/>
      <c r="OL334" s="770"/>
      <c r="OM334" s="770"/>
      <c r="ON334" s="770"/>
      <c r="OO334" s="770"/>
      <c r="OP334" s="770"/>
      <c r="OQ334" s="770"/>
      <c r="OR334" s="770"/>
      <c r="OS334" s="770"/>
      <c r="OT334" s="770"/>
      <c r="OU334" s="770"/>
      <c r="OV334" s="770"/>
      <c r="OW334" s="770"/>
      <c r="OX334" s="770"/>
      <c r="OY334" s="770"/>
      <c r="OZ334" s="770"/>
      <c r="PA334" s="770"/>
      <c r="PB334" s="770"/>
      <c r="PC334" s="770"/>
      <c r="PD334" s="770"/>
      <c r="PE334" s="770"/>
      <c r="PF334" s="770"/>
      <c r="PG334" s="770"/>
      <c r="PH334" s="770"/>
      <c r="PI334" s="770"/>
      <c r="PJ334" s="770"/>
      <c r="PK334" s="770"/>
      <c r="PL334" s="770"/>
      <c r="PM334" s="770"/>
      <c r="PN334" s="770"/>
      <c r="PO334" s="770"/>
      <c r="PP334" s="770"/>
      <c r="PQ334" s="770"/>
      <c r="PR334" s="770"/>
      <c r="PS334" s="770"/>
      <c r="PT334" s="770"/>
      <c r="PU334" s="770"/>
      <c r="PV334" s="770"/>
      <c r="PW334" s="770"/>
      <c r="PX334" s="770"/>
      <c r="PY334" s="770"/>
      <c r="PZ334" s="770"/>
      <c r="QA334" s="770"/>
      <c r="QB334" s="770"/>
      <c r="QC334" s="770"/>
      <c r="QD334" s="770"/>
      <c r="QE334" s="770"/>
      <c r="QF334" s="770"/>
      <c r="QG334" s="770"/>
      <c r="QH334" s="770"/>
      <c r="QI334" s="770"/>
      <c r="QJ334" s="770"/>
      <c r="QK334" s="770"/>
      <c r="QL334" s="770"/>
      <c r="QM334" s="770"/>
      <c r="QN334" s="770"/>
      <c r="QO334" s="770"/>
      <c r="QP334" s="770"/>
      <c r="QQ334" s="770"/>
      <c r="QR334" s="770"/>
      <c r="QS334" s="770"/>
      <c r="QT334" s="770"/>
      <c r="QU334" s="770"/>
      <c r="QV334" s="770"/>
      <c r="QW334" s="770"/>
      <c r="QX334" s="770"/>
      <c r="QY334" s="770"/>
      <c r="QZ334" s="770"/>
      <c r="RA334" s="770"/>
      <c r="RB334" s="770"/>
      <c r="RC334" s="770"/>
      <c r="RD334" s="770"/>
      <c r="RE334" s="770"/>
      <c r="RF334" s="304"/>
      <c r="RG334" s="770"/>
      <c r="RH334" s="302"/>
      <c r="RI334" s="770"/>
      <c r="RJ334" s="770" t="s">
        <v>13469</v>
      </c>
      <c r="RK334" s="770" t="s">
        <v>13401</v>
      </c>
      <c r="RL334" s="1710"/>
      <c r="RM334" s="12"/>
      <c r="RN334" s="1711"/>
      <c r="RO334" s="140" t="s">
        <v>568</v>
      </c>
      <c r="RP334" s="11"/>
      <c r="RQ334" s="11"/>
      <c r="RR334" s="17"/>
      <c r="RS334" s="767"/>
      <c r="RT334" s="11"/>
      <c r="RU334" s="11"/>
      <c r="RV334" s="771" t="s">
        <v>7419</v>
      </c>
      <c r="RW334" s="11" t="s">
        <v>7638</v>
      </c>
      <c r="RX334" s="11" t="s">
        <v>568</v>
      </c>
      <c r="RY334" s="11"/>
      <c r="RZ334" s="11"/>
      <c r="SA334" s="771"/>
      <c r="SB334" s="11"/>
      <c r="SC334" s="11"/>
    </row>
    <row r="335" spans="1:497" s="12" customFormat="1" ht="12.75" hidden="1" customHeight="1">
      <c r="A335" s="769" t="s">
        <v>7419</v>
      </c>
      <c r="B335" s="1009" t="s">
        <v>7641</v>
      </c>
      <c r="C335" s="148" t="s">
        <v>571</v>
      </c>
      <c r="D335" s="770" t="s">
        <v>5540</v>
      </c>
      <c r="E335" s="770" t="s">
        <v>569</v>
      </c>
      <c r="F335" s="770" t="s">
        <v>28</v>
      </c>
      <c r="G335" s="770" t="s">
        <v>10</v>
      </c>
      <c r="H335" s="770"/>
      <c r="I335" s="295"/>
      <c r="J335" s="94" t="s">
        <v>5540</v>
      </c>
      <c r="K335" s="770"/>
      <c r="L335" s="770"/>
      <c r="M335" s="770"/>
      <c r="N335" s="770"/>
      <c r="O335" s="770"/>
      <c r="P335" s="770"/>
      <c r="Q335" s="1088"/>
      <c r="R335" s="297"/>
      <c r="T335" s="770"/>
      <c r="U335" s="298"/>
      <c r="V335" s="770"/>
      <c r="W335" s="770"/>
      <c r="X335" s="296"/>
      <c r="Y335" s="770"/>
      <c r="Z335" s="770"/>
      <c r="AA335" s="770"/>
      <c r="AB335" s="770"/>
      <c r="AC335" s="770"/>
      <c r="AD335" s="770"/>
      <c r="AE335" s="770"/>
      <c r="AF335" s="770"/>
      <c r="AG335" s="766" t="s">
        <v>1095</v>
      </c>
      <c r="AH335" s="766" t="s">
        <v>1096</v>
      </c>
      <c r="AI335" s="770" t="s">
        <v>1177</v>
      </c>
      <c r="AJ335" s="770"/>
      <c r="AK335" s="766" t="s">
        <v>1097</v>
      </c>
      <c r="AL335" s="299">
        <v>35.1</v>
      </c>
      <c r="AM335" s="300">
        <v>12.15</v>
      </c>
      <c r="AN335" s="301">
        <v>0.34620000000000001</v>
      </c>
      <c r="AO335" s="766" t="s">
        <v>1149</v>
      </c>
      <c r="AP335" s="766"/>
      <c r="AQ335" s="766"/>
      <c r="AR335" s="766"/>
      <c r="AS335" s="770" t="s">
        <v>1207</v>
      </c>
      <c r="AT335" s="770" t="s">
        <v>1208</v>
      </c>
      <c r="AU335" s="770"/>
      <c r="AV335" s="770" t="s">
        <v>1208</v>
      </c>
      <c r="AW335" s="770"/>
      <c r="AX335" s="770"/>
      <c r="AY335" s="770"/>
      <c r="AZ335" s="770"/>
      <c r="BA335" s="770"/>
      <c r="BB335" s="770"/>
      <c r="BC335" s="770" t="s">
        <v>796</v>
      </c>
      <c r="BD335" s="770" t="s">
        <v>5541</v>
      </c>
      <c r="BE335" s="770"/>
      <c r="BF335" s="302"/>
      <c r="BG335" s="302"/>
      <c r="BH335" s="770"/>
      <c r="BI335" s="770"/>
      <c r="BJ335" s="770"/>
      <c r="BK335" s="770" t="s">
        <v>1095</v>
      </c>
      <c r="BL335" s="770" t="s">
        <v>1177</v>
      </c>
      <c r="BM335" s="766" t="s">
        <v>1096</v>
      </c>
      <c r="BN335" s="770" t="s">
        <v>1230</v>
      </c>
      <c r="BO335" s="766" t="s">
        <v>1246</v>
      </c>
      <c r="BP335" s="780">
        <v>35.1</v>
      </c>
      <c r="BQ335" s="772">
        <v>12.15</v>
      </c>
      <c r="BR335" s="774">
        <f>BQ335/BP335</f>
        <v>0.34615384615384615</v>
      </c>
      <c r="BS335" s="6" t="s">
        <v>1149</v>
      </c>
      <c r="BT335" s="766" t="s">
        <v>2040</v>
      </c>
      <c r="BU335" s="766" t="s">
        <v>1267</v>
      </c>
      <c r="BV335" s="770" t="s">
        <v>1247</v>
      </c>
      <c r="BW335" s="769"/>
      <c r="BX335" s="302"/>
      <c r="BY335" s="303"/>
      <c r="BZ335" s="770"/>
      <c r="CA335" s="302"/>
      <c r="CB335" s="302"/>
      <c r="CC335" s="770"/>
      <c r="CD335" s="770"/>
      <c r="CE335" s="770"/>
      <c r="CF335" s="770"/>
      <c r="CG335" s="770"/>
      <c r="CH335" s="770"/>
      <c r="CI335" s="770"/>
      <c r="CJ335" s="770"/>
      <c r="CK335" s="770"/>
      <c r="CL335" s="770"/>
      <c r="CM335" s="770"/>
      <c r="CN335" s="770"/>
      <c r="CO335" s="770"/>
      <c r="CP335" s="770"/>
      <c r="CQ335" s="770"/>
      <c r="CR335" s="770"/>
      <c r="CS335" s="302"/>
      <c r="CT335" s="770"/>
      <c r="CU335" s="305"/>
      <c r="CV335" s="770"/>
      <c r="CW335" s="770"/>
      <c r="CX335" s="770"/>
      <c r="CY335" s="770"/>
      <c r="CZ335" s="770"/>
      <c r="DA335" s="770"/>
      <c r="DB335" s="770"/>
      <c r="DC335" s="770"/>
      <c r="DD335" s="770"/>
      <c r="DE335" s="770"/>
      <c r="DF335" s="770"/>
      <c r="DG335" s="770"/>
      <c r="DH335" s="770"/>
      <c r="DI335" s="770"/>
      <c r="DJ335" s="770"/>
      <c r="DK335" s="770"/>
      <c r="DL335" s="770"/>
      <c r="DM335" s="770"/>
      <c r="DN335" s="770"/>
      <c r="DO335" s="770"/>
      <c r="DP335" s="770"/>
      <c r="DQ335" s="770"/>
      <c r="DR335" s="770"/>
      <c r="DS335" s="307"/>
      <c r="DT335" s="770"/>
      <c r="DU335" s="770"/>
      <c r="DV335" s="770"/>
      <c r="DW335" s="306"/>
      <c r="DX335" s="306"/>
      <c r="DY335" s="770"/>
      <c r="DZ335" s="770"/>
      <c r="EA335" s="770"/>
      <c r="EB335" s="770"/>
      <c r="EC335" s="770"/>
      <c r="ED335" s="770"/>
      <c r="EE335" s="770"/>
      <c r="EF335" s="770"/>
      <c r="EG335" s="770"/>
      <c r="EH335" s="770"/>
      <c r="EI335" s="770"/>
      <c r="EJ335" s="770"/>
      <c r="EK335" s="770"/>
      <c r="EL335" s="770"/>
      <c r="EM335" s="770"/>
      <c r="EN335" s="770"/>
      <c r="EO335" s="770"/>
      <c r="EP335" s="770"/>
      <c r="EQ335" s="770"/>
      <c r="ER335" s="770"/>
      <c r="ES335" s="770"/>
      <c r="ET335" s="770"/>
      <c r="EU335" s="770"/>
      <c r="EV335" s="770"/>
      <c r="EW335" s="770"/>
      <c r="EX335" s="770"/>
      <c r="EY335" s="770"/>
      <c r="EZ335" s="770"/>
      <c r="FA335" s="770"/>
      <c r="FB335" s="770"/>
      <c r="FC335" s="770"/>
      <c r="FD335" s="302"/>
      <c r="FE335" s="770"/>
      <c r="FF335" s="770"/>
      <c r="FG335" s="770"/>
      <c r="FH335" s="770" t="s">
        <v>478</v>
      </c>
      <c r="FI335" s="770">
        <v>1</v>
      </c>
      <c r="FJ335" s="770"/>
      <c r="FK335" s="770"/>
      <c r="FL335" s="770"/>
      <c r="FM335" s="302"/>
      <c r="FN335" s="302"/>
      <c r="FO335" s="302"/>
      <c r="FP335" s="770" t="s">
        <v>1600</v>
      </c>
      <c r="FQ335" s="770" t="s">
        <v>1642</v>
      </c>
      <c r="FR335" s="770" t="s">
        <v>1207</v>
      </c>
      <c r="FS335" s="770" t="s">
        <v>1208</v>
      </c>
      <c r="FT335" s="770"/>
      <c r="FU335" s="770" t="s">
        <v>1208</v>
      </c>
      <c r="FV335" s="770"/>
      <c r="FW335" s="770"/>
      <c r="FX335" s="770"/>
      <c r="FY335" s="770"/>
      <c r="FZ335" s="770"/>
      <c r="GA335" s="770"/>
      <c r="GB335" s="770" t="s">
        <v>796</v>
      </c>
      <c r="GC335" s="308" t="s">
        <v>1749</v>
      </c>
      <c r="GD335" s="297">
        <v>1979</v>
      </c>
      <c r="GE335" s="770"/>
      <c r="GF335" s="302"/>
      <c r="GG335" s="302"/>
      <c r="GH335" s="770"/>
      <c r="GI335" s="770"/>
      <c r="GJ335" s="770"/>
      <c r="GK335" s="770"/>
      <c r="GL335" s="770"/>
      <c r="GM335" s="770"/>
      <c r="GN335" s="309"/>
      <c r="GO335" s="770"/>
      <c r="GP335" s="770"/>
      <c r="GQ335" s="770"/>
      <c r="GR335" s="770"/>
      <c r="GS335" s="770"/>
      <c r="GT335" s="770"/>
      <c r="GU335" s="770"/>
      <c r="GV335" s="770"/>
      <c r="GW335" s="770"/>
      <c r="GX335" s="770"/>
      <c r="GY335" s="770"/>
      <c r="GZ335" s="770"/>
      <c r="HA335" s="770"/>
      <c r="HB335" s="770"/>
      <c r="HC335" s="770"/>
      <c r="HD335" s="770"/>
      <c r="HE335" s="770"/>
      <c r="HF335" s="770"/>
      <c r="HG335" s="770"/>
      <c r="HH335" s="770"/>
      <c r="HI335" s="770"/>
      <c r="HJ335" s="770"/>
      <c r="HK335" s="770"/>
      <c r="HL335" s="770"/>
      <c r="HM335" s="770"/>
      <c r="HN335" s="770"/>
      <c r="HO335" s="770"/>
      <c r="HP335" s="770"/>
      <c r="HQ335" s="770"/>
      <c r="HR335" s="770"/>
      <c r="HS335" s="770"/>
      <c r="HT335" s="770"/>
      <c r="HU335" s="770"/>
      <c r="HV335" s="770"/>
      <c r="HW335" s="770"/>
      <c r="HX335" s="770"/>
      <c r="HY335" s="770"/>
      <c r="HZ335" s="770"/>
      <c r="IA335" s="770"/>
      <c r="IB335" s="14" t="e">
        <f>IF(#REF!&gt;0,IF(#REF!&lt;=10000,"Y",""),"")</f>
        <v>#REF!</v>
      </c>
      <c r="IC335" s="770"/>
      <c r="ID335" s="770">
        <v>1</v>
      </c>
      <c r="IE335" s="770">
        <v>1</v>
      </c>
      <c r="IF335" s="770"/>
      <c r="IG335" s="770"/>
      <c r="IH335" s="770"/>
      <c r="II335" s="770"/>
      <c r="IJ335" s="770"/>
      <c r="IK335" s="770"/>
      <c r="IL335" s="770"/>
      <c r="IM335" s="770"/>
      <c r="IN335" s="770"/>
      <c r="IO335" s="296"/>
      <c r="IP335" s="770"/>
      <c r="IQ335" s="770"/>
      <c r="IR335" s="770"/>
      <c r="IS335" s="770"/>
      <c r="IT335" s="770"/>
      <c r="IU335" s="770"/>
      <c r="IV335" s="770"/>
      <c r="IW335" s="770"/>
      <c r="IX335" s="770"/>
      <c r="IY335" s="770"/>
      <c r="IZ335" s="770"/>
      <c r="JA335" s="770"/>
      <c r="JB335" s="770"/>
      <c r="JC335" s="770"/>
      <c r="JD335" s="302"/>
      <c r="JE335" s="770"/>
      <c r="JF335" s="770"/>
      <c r="JG335" s="770"/>
      <c r="JH335" s="770"/>
      <c r="JI335" s="770"/>
      <c r="JJ335" s="770"/>
      <c r="JK335" s="770"/>
      <c r="JL335" s="770"/>
      <c r="JM335" s="770"/>
      <c r="JN335" s="770"/>
      <c r="JO335" s="770"/>
      <c r="JP335" s="770"/>
      <c r="JQ335" s="770"/>
      <c r="JR335" s="770"/>
      <c r="JS335" s="770"/>
      <c r="JT335" s="766"/>
      <c r="JU335" s="766"/>
      <c r="JV335" s="766"/>
      <c r="JW335" s="766"/>
      <c r="JX335" s="770"/>
      <c r="JY335" s="770"/>
      <c r="JZ335" s="770"/>
      <c r="KA335" s="770"/>
      <c r="KB335" s="770"/>
      <c r="KC335" s="770"/>
      <c r="KD335" s="770"/>
      <c r="KE335" s="770"/>
      <c r="KF335" s="770"/>
      <c r="KG335" s="770"/>
      <c r="KH335" s="770"/>
      <c r="KI335" s="770"/>
      <c r="KJ335" s="770"/>
      <c r="KK335" s="770"/>
      <c r="KL335" s="770"/>
      <c r="KM335" s="770"/>
      <c r="KN335" s="770"/>
      <c r="KO335" s="770"/>
      <c r="KP335" s="770"/>
      <c r="KQ335" s="770"/>
      <c r="KR335" s="770"/>
      <c r="KS335" s="770"/>
      <c r="KT335" s="770"/>
      <c r="KU335" s="770"/>
      <c r="KV335" s="770"/>
      <c r="KW335" s="770"/>
      <c r="KX335" s="770"/>
      <c r="KY335" s="770"/>
      <c r="KZ335" s="770"/>
      <c r="LA335" s="770"/>
      <c r="LB335" s="770"/>
      <c r="LC335" s="770"/>
      <c r="LD335" s="770"/>
      <c r="LE335" s="770"/>
      <c r="LF335" s="770"/>
      <c r="LG335" s="770"/>
      <c r="LH335" s="770"/>
      <c r="LI335" s="770"/>
      <c r="LJ335" s="770"/>
      <c r="LK335" s="770"/>
      <c r="LL335" s="770"/>
      <c r="LM335" s="770"/>
      <c r="LN335" s="766"/>
      <c r="LO335" s="766"/>
      <c r="LP335" s="770"/>
      <c r="LQ335" s="770"/>
      <c r="LR335" s="770"/>
      <c r="LS335" s="770"/>
      <c r="LT335" s="770"/>
      <c r="LU335" s="770"/>
      <c r="LV335" s="770"/>
      <c r="LW335" s="770"/>
      <c r="LX335" s="769"/>
      <c r="LY335" s="766" t="str">
        <f t="shared" si="93"/>
        <v/>
      </c>
      <c r="LZ335" s="299"/>
      <c r="MA335" s="1709"/>
      <c r="MB335" s="1709"/>
      <c r="MC335" s="1679">
        <f t="shared" si="91"/>
        <v>0</v>
      </c>
      <c r="MD335" s="1709"/>
      <c r="ME335" s="1709"/>
      <c r="MF335" s="1709"/>
      <c r="MG335" s="1680">
        <f t="shared" si="97"/>
        <v>0</v>
      </c>
      <c r="MH335" s="770"/>
      <c r="MI335" s="302"/>
      <c r="MJ335" s="302"/>
      <c r="MK335" s="302"/>
      <c r="ML335" s="302"/>
      <c r="MM335" s="302"/>
      <c r="MN335" s="302"/>
      <c r="MO335" s="302"/>
      <c r="MP335" s="302"/>
      <c r="MQ335" s="302"/>
      <c r="MR335" s="302"/>
      <c r="MS335" s="302"/>
      <c r="MT335" s="302"/>
      <c r="MU335" s="302"/>
      <c r="MV335" s="302"/>
      <c r="MW335" s="302"/>
      <c r="MX335" s="302"/>
      <c r="MY335" s="1682">
        <f t="shared" si="98"/>
        <v>0</v>
      </c>
      <c r="MZ335" s="770"/>
      <c r="NA335" s="770"/>
      <c r="NB335" s="770"/>
      <c r="NC335" s="770"/>
      <c r="ND335" s="770"/>
      <c r="NE335" s="770"/>
      <c r="NF335" s="770"/>
      <c r="NG335" s="770"/>
      <c r="NH335" s="770"/>
      <c r="NI335" s="770"/>
      <c r="NJ335" s="770"/>
      <c r="NK335" s="770"/>
      <c r="NL335" s="770"/>
      <c r="NM335" s="770"/>
      <c r="NN335" s="770"/>
      <c r="NO335" s="770"/>
      <c r="NP335" s="770"/>
      <c r="NQ335" s="770"/>
      <c r="NR335" s="770"/>
      <c r="NS335" s="770"/>
      <c r="NT335" s="770"/>
      <c r="NU335" s="770"/>
      <c r="NV335" s="770"/>
      <c r="NW335" s="770"/>
      <c r="NX335" s="770"/>
      <c r="NY335" s="770"/>
      <c r="NZ335" s="770"/>
      <c r="OA335" s="770"/>
      <c r="OB335" s="770"/>
      <c r="OC335" s="770"/>
      <c r="OD335" s="770"/>
      <c r="OE335" s="770"/>
      <c r="OF335" s="770"/>
      <c r="OG335" s="770"/>
      <c r="OH335" s="770"/>
      <c r="OI335" s="770"/>
      <c r="OJ335" s="770"/>
      <c r="OK335" s="770"/>
      <c r="OL335" s="770"/>
      <c r="OM335" s="770"/>
      <c r="ON335" s="770"/>
      <c r="OO335" s="770"/>
      <c r="OP335" s="770"/>
      <c r="OQ335" s="770"/>
      <c r="OR335" s="770"/>
      <c r="OS335" s="770"/>
      <c r="OT335" s="770"/>
      <c r="OU335" s="770"/>
      <c r="OV335" s="770"/>
      <c r="OW335" s="770"/>
      <c r="OX335" s="770"/>
      <c r="OY335" s="770"/>
      <c r="OZ335" s="770"/>
      <c r="PA335" s="770"/>
      <c r="PB335" s="770"/>
      <c r="PC335" s="770"/>
      <c r="PD335" s="770"/>
      <c r="PE335" s="770"/>
      <c r="PF335" s="770"/>
      <c r="PG335" s="770"/>
      <c r="PH335" s="770"/>
      <c r="PI335" s="770"/>
      <c r="PJ335" s="770"/>
      <c r="PK335" s="770"/>
      <c r="PL335" s="770"/>
      <c r="PM335" s="770"/>
      <c r="PN335" s="770"/>
      <c r="PO335" s="770"/>
      <c r="PP335" s="770"/>
      <c r="PQ335" s="770"/>
      <c r="PR335" s="770"/>
      <c r="PS335" s="770"/>
      <c r="PT335" s="770"/>
      <c r="PU335" s="770"/>
      <c r="PV335" s="770"/>
      <c r="PW335" s="770"/>
      <c r="PX335" s="770"/>
      <c r="PY335" s="770"/>
      <c r="PZ335" s="770"/>
      <c r="QA335" s="770"/>
      <c r="QB335" s="770"/>
      <c r="QC335" s="770"/>
      <c r="QD335" s="770"/>
      <c r="QE335" s="770"/>
      <c r="QF335" s="770"/>
      <c r="QG335" s="770"/>
      <c r="QH335" s="770"/>
      <c r="QI335" s="770"/>
      <c r="QJ335" s="770"/>
      <c r="QK335" s="770"/>
      <c r="QL335" s="770"/>
      <c r="QM335" s="770"/>
      <c r="QN335" s="770"/>
      <c r="QO335" s="770"/>
      <c r="QP335" s="770"/>
      <c r="QQ335" s="770"/>
      <c r="QR335" s="770"/>
      <c r="QS335" s="770"/>
      <c r="QT335" s="770"/>
      <c r="QU335" s="770"/>
      <c r="QV335" s="770"/>
      <c r="QW335" s="770"/>
      <c r="QX335" s="770"/>
      <c r="QY335" s="770"/>
      <c r="QZ335" s="770"/>
      <c r="RA335" s="770"/>
      <c r="RB335" s="770"/>
      <c r="RC335" s="770"/>
      <c r="RD335" s="770"/>
      <c r="RE335" s="770"/>
      <c r="RF335" s="304"/>
      <c r="RG335" s="770"/>
      <c r="RH335" s="302"/>
      <c r="RI335" s="770"/>
      <c r="RJ335" s="770" t="s">
        <v>1749</v>
      </c>
      <c r="RK335" s="770" t="s">
        <v>13401</v>
      </c>
      <c r="RL335" s="1710" t="s">
        <v>1604</v>
      </c>
      <c r="RN335" s="1711"/>
      <c r="RO335" s="148" t="s">
        <v>571</v>
      </c>
      <c r="RR335" s="766"/>
      <c r="RS335" s="770"/>
      <c r="RV335" s="766" t="s">
        <v>8087</v>
      </c>
      <c r="RW335" s="12" t="s">
        <v>7639</v>
      </c>
      <c r="RX335" s="12" t="s">
        <v>568</v>
      </c>
      <c r="RZ335" s="12" t="s">
        <v>2209</v>
      </c>
      <c r="SA335" s="766"/>
    </row>
    <row r="336" spans="1:497" ht="12.75" hidden="1" customHeight="1">
      <c r="A336" s="19" t="s">
        <v>7419</v>
      </c>
      <c r="B336" s="292" t="s">
        <v>7642</v>
      </c>
      <c r="C336" s="140" t="s">
        <v>572</v>
      </c>
      <c r="D336" s="770" t="s">
        <v>573</v>
      </c>
      <c r="E336" s="770" t="s">
        <v>574</v>
      </c>
      <c r="F336" s="770" t="s">
        <v>451</v>
      </c>
      <c r="G336" s="770"/>
      <c r="H336" s="770"/>
      <c r="I336" s="295"/>
      <c r="J336" s="94"/>
      <c r="K336" s="770"/>
      <c r="L336" s="770"/>
      <c r="M336" s="770"/>
      <c r="N336" s="770"/>
      <c r="O336" s="770"/>
      <c r="P336" s="770" t="s">
        <v>958</v>
      </c>
      <c r="Q336" s="1088"/>
      <c r="R336" s="297"/>
      <c r="S336" s="770"/>
      <c r="T336" s="770"/>
      <c r="U336" s="298"/>
      <c r="V336" s="770"/>
      <c r="W336" s="770"/>
      <c r="X336" s="296"/>
      <c r="Y336" s="770"/>
      <c r="Z336" s="770"/>
      <c r="AA336" s="770"/>
      <c r="AB336" s="770"/>
      <c r="AC336" s="770"/>
      <c r="AD336" s="770"/>
      <c r="AE336" s="770"/>
      <c r="AF336" s="770"/>
      <c r="AG336" s="766" t="s">
        <v>1095</v>
      </c>
      <c r="AH336" s="766" t="s">
        <v>1096</v>
      </c>
      <c r="AI336" s="770" t="s">
        <v>1178</v>
      </c>
      <c r="AJ336" s="770"/>
      <c r="AK336" s="766" t="s">
        <v>1097</v>
      </c>
      <c r="AL336" s="299">
        <v>55.2</v>
      </c>
      <c r="AM336" s="300">
        <v>55.2</v>
      </c>
      <c r="AN336" s="301">
        <v>1</v>
      </c>
      <c r="AO336" s="766" t="s">
        <v>1122</v>
      </c>
      <c r="AP336" s="766"/>
      <c r="AQ336" s="766"/>
      <c r="AR336" s="766"/>
      <c r="AS336" s="770" t="s">
        <v>1207</v>
      </c>
      <c r="AT336" s="770" t="s">
        <v>1208</v>
      </c>
      <c r="AU336" s="770" t="s">
        <v>1208</v>
      </c>
      <c r="AV336" s="770"/>
      <c r="AW336" s="770"/>
      <c r="AX336" s="770"/>
      <c r="AY336" s="770"/>
      <c r="AZ336" s="770"/>
      <c r="BA336" s="770"/>
      <c r="BB336" s="770"/>
      <c r="BC336" s="770"/>
      <c r="BD336" s="770" t="s">
        <v>1207</v>
      </c>
      <c r="BE336" s="770" t="s">
        <v>1214</v>
      </c>
      <c r="BF336" s="302"/>
      <c r="BG336" s="302"/>
      <c r="BH336" s="770"/>
      <c r="BI336" s="770"/>
      <c r="BJ336" s="770"/>
      <c r="BK336" s="770"/>
      <c r="BL336" s="770"/>
      <c r="BM336" s="766"/>
      <c r="BN336" s="770"/>
      <c r="BO336" s="770"/>
      <c r="BP336" s="780"/>
      <c r="BQ336" s="772"/>
      <c r="BR336" s="774"/>
      <c r="BS336" s="766"/>
      <c r="BT336" s="766"/>
      <c r="BU336" s="770"/>
      <c r="BV336" s="770"/>
      <c r="BW336" s="770"/>
      <c r="BX336" s="302"/>
      <c r="BY336" s="303"/>
      <c r="BZ336" s="770"/>
      <c r="CA336" s="302"/>
      <c r="CB336" s="302" t="s">
        <v>1207</v>
      </c>
      <c r="CC336" s="770" t="s">
        <v>1178</v>
      </c>
      <c r="CD336" s="770"/>
      <c r="CE336" s="770"/>
      <c r="CF336" s="304">
        <v>0.6</v>
      </c>
      <c r="CG336" s="321">
        <v>13</v>
      </c>
      <c r="CH336" s="770" t="s">
        <v>5542</v>
      </c>
      <c r="CI336" s="770"/>
      <c r="CJ336" s="770" t="s">
        <v>1537</v>
      </c>
      <c r="CK336" s="770">
        <v>7</v>
      </c>
      <c r="CL336" s="770"/>
      <c r="CM336" s="770"/>
      <c r="CN336" s="770"/>
      <c r="CO336" s="770"/>
      <c r="CP336" s="770"/>
      <c r="CQ336" s="770"/>
      <c r="CR336" s="770"/>
      <c r="CS336" s="302"/>
      <c r="CT336" s="770"/>
      <c r="CU336" s="305"/>
      <c r="CV336" s="770"/>
      <c r="CW336" s="770"/>
      <c r="CX336" s="770"/>
      <c r="CY336" s="770"/>
      <c r="CZ336" s="770"/>
      <c r="DA336" s="306"/>
      <c r="DB336" s="770"/>
      <c r="DC336" s="770"/>
      <c r="DD336" s="770"/>
      <c r="DE336" s="300"/>
      <c r="DF336" s="770"/>
      <c r="DG336" s="770"/>
      <c r="DH336" s="770"/>
      <c r="DI336" s="770"/>
      <c r="DJ336" s="770"/>
      <c r="DK336" s="770"/>
      <c r="DL336" s="770"/>
      <c r="DM336" s="770"/>
      <c r="DN336" s="322"/>
      <c r="DO336" s="770"/>
      <c r="DP336" s="770"/>
      <c r="DQ336" s="770"/>
      <c r="DR336" s="770"/>
      <c r="DS336" s="307"/>
      <c r="DT336" s="770"/>
      <c r="DU336" s="770"/>
      <c r="DV336" s="770"/>
      <c r="DW336" s="306"/>
      <c r="DX336" s="306"/>
      <c r="DY336" s="770"/>
      <c r="DZ336" s="770"/>
      <c r="EA336" s="770"/>
      <c r="EB336" s="770"/>
      <c r="EC336" s="770"/>
      <c r="ED336" s="770"/>
      <c r="EE336" s="770"/>
      <c r="EF336" s="770"/>
      <c r="EG336" s="770"/>
      <c r="EH336" s="770"/>
      <c r="EI336" s="770"/>
      <c r="EJ336" s="770"/>
      <c r="EK336" s="770"/>
      <c r="EL336" s="770"/>
      <c r="EM336" s="770"/>
      <c r="EN336" s="770"/>
      <c r="EO336" s="770"/>
      <c r="EP336" s="94"/>
      <c r="EQ336" s="770"/>
      <c r="ER336" s="770"/>
      <c r="ES336" s="770"/>
      <c r="ET336" s="770"/>
      <c r="EU336" s="770"/>
      <c r="EV336" s="770"/>
      <c r="EW336" s="770"/>
      <c r="EX336" s="770"/>
      <c r="EY336" s="770"/>
      <c r="EZ336" s="770"/>
      <c r="FA336" s="770"/>
      <c r="FB336" s="770"/>
      <c r="FC336" s="770"/>
      <c r="FD336" s="302"/>
      <c r="FE336" s="770"/>
      <c r="FF336" s="770"/>
      <c r="FG336" s="770"/>
      <c r="FH336" s="770"/>
      <c r="FI336" s="770"/>
      <c r="FJ336" s="770"/>
      <c r="FK336" s="770"/>
      <c r="FL336" s="770"/>
      <c r="FM336" s="302"/>
      <c r="FN336" s="302"/>
      <c r="FO336" s="302"/>
      <c r="FP336" s="770"/>
      <c r="FQ336" s="770"/>
      <c r="FR336" s="770"/>
      <c r="FS336" s="770"/>
      <c r="FT336" s="770"/>
      <c r="FU336" s="770"/>
      <c r="FV336" s="770"/>
      <c r="FW336" s="770"/>
      <c r="FX336" s="770"/>
      <c r="FY336" s="770"/>
      <c r="FZ336" s="770"/>
      <c r="GA336" s="770"/>
      <c r="GB336" s="770"/>
      <c r="GC336" s="308"/>
      <c r="GD336" s="297"/>
      <c r="GE336" s="770"/>
      <c r="GF336" s="302"/>
      <c r="GG336" s="302"/>
      <c r="GH336" s="770"/>
      <c r="GI336" s="770"/>
      <c r="GJ336" s="770"/>
      <c r="GK336" s="770"/>
      <c r="GL336" s="770"/>
      <c r="GM336" s="770"/>
      <c r="GN336" s="309"/>
      <c r="GO336" s="770"/>
      <c r="GP336" s="770"/>
      <c r="GQ336" s="770"/>
      <c r="GR336" s="770"/>
      <c r="GS336" s="770"/>
      <c r="GT336" s="770"/>
      <c r="GU336" s="770"/>
      <c r="GV336" s="770"/>
      <c r="GW336" s="770"/>
      <c r="GX336" s="770"/>
      <c r="GY336" s="770"/>
      <c r="GZ336" s="770"/>
      <c r="HA336" s="770"/>
      <c r="HB336" s="770"/>
      <c r="HC336" s="770"/>
      <c r="HD336" s="770"/>
      <c r="HE336" s="770"/>
      <c r="HF336" s="770"/>
      <c r="HG336" s="770"/>
      <c r="HH336" s="770"/>
      <c r="HI336" s="770"/>
      <c r="HJ336" s="770"/>
      <c r="HK336" s="770"/>
      <c r="HL336" s="770"/>
      <c r="HM336" s="770"/>
      <c r="HN336" s="770"/>
      <c r="HO336" s="770"/>
      <c r="HP336" s="770"/>
      <c r="HQ336" s="770"/>
      <c r="HR336" s="770"/>
      <c r="HS336" s="770"/>
      <c r="HT336" s="770"/>
      <c r="HU336" s="770"/>
      <c r="HV336" s="770"/>
      <c r="HW336" s="770"/>
      <c r="HX336" s="770"/>
      <c r="HY336" s="770"/>
      <c r="HZ336" s="770"/>
      <c r="IA336" s="770"/>
      <c r="IB336" s="14" t="e">
        <f>IF(#REF!&gt;0,IF(#REF!&lt;=10000,"Y",""),"")</f>
        <v>#REF!</v>
      </c>
      <c r="IC336" s="770"/>
      <c r="ID336" s="770"/>
      <c r="IE336" s="770"/>
      <c r="IF336" s="770"/>
      <c r="IG336" s="770"/>
      <c r="IH336" s="770"/>
      <c r="II336" s="770"/>
      <c r="IJ336" s="770"/>
      <c r="IK336" s="770"/>
      <c r="IL336" s="770"/>
      <c r="IM336" s="770"/>
      <c r="IN336" s="770"/>
      <c r="IO336" s="296"/>
      <c r="IP336" s="770"/>
      <c r="IQ336" s="770"/>
      <c r="IR336" s="770"/>
      <c r="IS336" s="770"/>
      <c r="IT336" s="770"/>
      <c r="IU336" s="770"/>
      <c r="IV336" s="770"/>
      <c r="IW336" s="770"/>
      <c r="IX336" s="770"/>
      <c r="IY336" s="770"/>
      <c r="IZ336" s="770"/>
      <c r="JA336" s="770"/>
      <c r="JB336" s="770"/>
      <c r="JC336" s="770"/>
      <c r="JD336" s="302"/>
      <c r="JE336" s="770"/>
      <c r="JF336" s="770"/>
      <c r="JG336" s="770"/>
      <c r="JH336" s="770"/>
      <c r="JI336" s="770"/>
      <c r="JJ336" s="770"/>
      <c r="JK336" s="770"/>
      <c r="JL336" s="770"/>
      <c r="JM336" s="770"/>
      <c r="JN336" s="770"/>
      <c r="JO336" s="770"/>
      <c r="JP336" s="770"/>
      <c r="JQ336" s="770"/>
      <c r="JR336" s="770"/>
      <c r="JS336" s="770"/>
      <c r="JT336" s="766"/>
      <c r="JU336" s="766"/>
      <c r="JV336" s="766"/>
      <c r="JW336" s="766"/>
      <c r="JX336" s="770"/>
      <c r="JY336" s="770"/>
      <c r="JZ336" s="770"/>
      <c r="KA336" s="770"/>
      <c r="KB336" s="770"/>
      <c r="KC336" s="770"/>
      <c r="KD336" s="770"/>
      <c r="KE336" s="770"/>
      <c r="KF336" s="770"/>
      <c r="KG336" s="770"/>
      <c r="KH336" s="770"/>
      <c r="KI336" s="770"/>
      <c r="KJ336" s="770"/>
      <c r="KK336" s="770"/>
      <c r="KL336" s="770"/>
      <c r="KM336" s="770"/>
      <c r="KN336" s="770"/>
      <c r="KO336" s="770"/>
      <c r="KP336" s="770"/>
      <c r="KQ336" s="770"/>
      <c r="KR336" s="770"/>
      <c r="KS336" s="770"/>
      <c r="KT336" s="770"/>
      <c r="KU336" s="770"/>
      <c r="KV336" s="770"/>
      <c r="KW336" s="770"/>
      <c r="KX336" s="770"/>
      <c r="KY336" s="770"/>
      <c r="KZ336" s="770"/>
      <c r="LA336" s="770"/>
      <c r="LB336" s="770"/>
      <c r="LC336" s="770"/>
      <c r="LD336" s="770"/>
      <c r="LE336" s="770"/>
      <c r="LF336" s="770"/>
      <c r="LG336" s="770"/>
      <c r="LH336" s="770"/>
      <c r="LI336" s="770"/>
      <c r="LJ336" s="770"/>
      <c r="LK336" s="770"/>
      <c r="LL336" s="770"/>
      <c r="LM336" s="770"/>
      <c r="LN336" s="766"/>
      <c r="LO336" s="766"/>
      <c r="LP336" s="770"/>
      <c r="LQ336" s="770"/>
      <c r="LR336" s="770"/>
      <c r="LS336" s="770"/>
      <c r="LT336" s="770"/>
      <c r="LU336" s="770"/>
      <c r="LV336" s="770"/>
      <c r="LW336" s="770"/>
      <c r="LX336" s="769"/>
      <c r="LY336" s="766" t="str">
        <f t="shared" si="93"/>
        <v/>
      </c>
      <c r="LZ336" s="299"/>
      <c r="MA336" s="306"/>
      <c r="MB336" s="306"/>
      <c r="MC336" s="1679">
        <f t="shared" si="91"/>
        <v>0</v>
      </c>
      <c r="MD336" s="306"/>
      <c r="ME336" s="306"/>
      <c r="MF336" s="306"/>
      <c r="MG336" s="1680">
        <f t="shared" si="97"/>
        <v>0</v>
      </c>
      <c r="MH336" s="770"/>
      <c r="MI336" s="302"/>
      <c r="MJ336" s="302"/>
      <c r="MK336" s="302"/>
      <c r="ML336" s="302"/>
      <c r="MM336" s="302"/>
      <c r="MN336" s="302"/>
      <c r="MO336" s="302"/>
      <c r="MP336" s="302"/>
      <c r="MQ336" s="302"/>
      <c r="MR336" s="302"/>
      <c r="MS336" s="302"/>
      <c r="MT336" s="302"/>
      <c r="MU336" s="302"/>
      <c r="MV336" s="302"/>
      <c r="MW336" s="302"/>
      <c r="MX336" s="302"/>
      <c r="MY336" s="1682">
        <f t="shared" si="98"/>
        <v>0</v>
      </c>
      <c r="MZ336" s="770"/>
      <c r="NA336" s="770"/>
      <c r="NB336" s="770"/>
      <c r="NC336" s="770"/>
      <c r="ND336" s="770"/>
      <c r="NE336" s="770"/>
      <c r="NF336" s="770"/>
      <c r="NG336" s="770"/>
      <c r="NH336" s="770"/>
      <c r="NI336" s="770"/>
      <c r="NJ336" s="770"/>
      <c r="NK336" s="770"/>
      <c r="NL336" s="770"/>
      <c r="NM336" s="770"/>
      <c r="NN336" s="770"/>
      <c r="NO336" s="770"/>
      <c r="NP336" s="770"/>
      <c r="NQ336" s="770"/>
      <c r="NR336" s="770"/>
      <c r="NS336" s="770"/>
      <c r="NT336" s="770"/>
      <c r="NU336" s="770"/>
      <c r="NV336" s="770"/>
      <c r="NW336" s="770"/>
      <c r="NX336" s="770"/>
      <c r="NY336" s="770"/>
      <c r="NZ336" s="770"/>
      <c r="OA336" s="770"/>
      <c r="OB336" s="770"/>
      <c r="OC336" s="770"/>
      <c r="OD336" s="770"/>
      <c r="OE336" s="770"/>
      <c r="OF336" s="770"/>
      <c r="OG336" s="770"/>
      <c r="OH336" s="770"/>
      <c r="OI336" s="770"/>
      <c r="OJ336" s="770"/>
      <c r="OK336" s="770"/>
      <c r="OL336" s="770"/>
      <c r="OM336" s="770"/>
      <c r="ON336" s="770"/>
      <c r="OO336" s="770"/>
      <c r="OP336" s="770"/>
      <c r="OQ336" s="770"/>
      <c r="OR336" s="770"/>
      <c r="OS336" s="770"/>
      <c r="OT336" s="770"/>
      <c r="OU336" s="770"/>
      <c r="OV336" s="770"/>
      <c r="OW336" s="770"/>
      <c r="OX336" s="770"/>
      <c r="OY336" s="770"/>
      <c r="OZ336" s="770"/>
      <c r="PA336" s="770"/>
      <c r="PB336" s="770"/>
      <c r="PC336" s="770"/>
      <c r="PD336" s="770"/>
      <c r="PE336" s="770"/>
      <c r="PF336" s="770"/>
      <c r="PG336" s="770"/>
      <c r="PH336" s="770"/>
      <c r="PI336" s="770"/>
      <c r="PJ336" s="770"/>
      <c r="PK336" s="770"/>
      <c r="PL336" s="770"/>
      <c r="PM336" s="770"/>
      <c r="PN336" s="770"/>
      <c r="PO336" s="770"/>
      <c r="PP336" s="770"/>
      <c r="PQ336" s="770"/>
      <c r="PR336" s="770"/>
      <c r="PS336" s="770"/>
      <c r="PT336" s="770"/>
      <c r="PU336" s="770"/>
      <c r="PV336" s="770"/>
      <c r="PW336" s="770"/>
      <c r="PX336" s="770"/>
      <c r="PY336" s="770"/>
      <c r="PZ336" s="770"/>
      <c r="QA336" s="770"/>
      <c r="QB336" s="770"/>
      <c r="QC336" s="770"/>
      <c r="QD336" s="770"/>
      <c r="QE336" s="770"/>
      <c r="QF336" s="770"/>
      <c r="QG336" s="770"/>
      <c r="QH336" s="770"/>
      <c r="QI336" s="770"/>
      <c r="QJ336" s="770"/>
      <c r="QK336" s="770"/>
      <c r="QL336" s="770"/>
      <c r="QM336" s="770"/>
      <c r="QN336" s="770"/>
      <c r="QO336" s="770"/>
      <c r="QP336" s="770"/>
      <c r="QQ336" s="770"/>
      <c r="QR336" s="770"/>
      <c r="QS336" s="770"/>
      <c r="QT336" s="770"/>
      <c r="QU336" s="770"/>
      <c r="QV336" s="770"/>
      <c r="QW336" s="770"/>
      <c r="QX336" s="770"/>
      <c r="QY336" s="770"/>
      <c r="QZ336" s="770"/>
      <c r="RA336" s="770"/>
      <c r="RB336" s="770"/>
      <c r="RC336" s="770"/>
      <c r="RD336" s="770"/>
      <c r="RE336" s="770"/>
      <c r="RF336" s="304"/>
      <c r="RG336" s="770"/>
      <c r="RH336" s="302"/>
      <c r="RI336" s="770"/>
      <c r="RJ336" s="770" t="s">
        <v>13471</v>
      </c>
      <c r="RK336" s="770" t="s">
        <v>13461</v>
      </c>
      <c r="RL336" s="1710" t="s">
        <v>1604</v>
      </c>
      <c r="RM336" s="12"/>
      <c r="RN336" s="1711"/>
      <c r="RO336" s="140" t="s">
        <v>572</v>
      </c>
      <c r="RP336" s="11"/>
      <c r="RQ336" s="11"/>
      <c r="RR336" s="17"/>
      <c r="RS336" s="767"/>
      <c r="RT336" s="11"/>
      <c r="RU336" s="11"/>
      <c r="RV336" s="771" t="s">
        <v>8087</v>
      </c>
      <c r="RW336" s="11" t="s">
        <v>7640</v>
      </c>
      <c r="RX336" s="11" t="s">
        <v>568</v>
      </c>
      <c r="RY336" s="11"/>
      <c r="RZ336" s="11" t="s">
        <v>2209</v>
      </c>
      <c r="SA336" s="771"/>
      <c r="SB336" s="11"/>
      <c r="SC336" s="11"/>
    </row>
    <row r="337" spans="1:497" ht="12.75" hidden="1" customHeight="1">
      <c r="A337" s="19" t="s">
        <v>7419</v>
      </c>
      <c r="B337" s="292" t="s">
        <v>12681</v>
      </c>
      <c r="C337" s="140" t="s">
        <v>575</v>
      </c>
      <c r="D337" s="770"/>
      <c r="E337" s="770" t="s">
        <v>576</v>
      </c>
      <c r="F337" s="770"/>
      <c r="G337" s="770"/>
      <c r="H337" s="770"/>
      <c r="I337" s="295"/>
      <c r="J337" s="94"/>
      <c r="K337" s="770"/>
      <c r="L337" s="770"/>
      <c r="M337" s="770"/>
      <c r="N337" s="770"/>
      <c r="O337" s="770"/>
      <c r="P337" s="770"/>
      <c r="Q337" s="1088"/>
      <c r="R337" s="297"/>
      <c r="S337" s="770"/>
      <c r="T337" s="770"/>
      <c r="U337" s="298"/>
      <c r="V337" s="770"/>
      <c r="W337" s="770"/>
      <c r="X337" s="296"/>
      <c r="Y337" s="770"/>
      <c r="Z337" s="770"/>
      <c r="AA337" s="770"/>
      <c r="AB337" s="770"/>
      <c r="AC337" s="770"/>
      <c r="AD337" s="770"/>
      <c r="AE337" s="770"/>
      <c r="AF337" s="770"/>
      <c r="AG337" s="766" t="s">
        <v>1095</v>
      </c>
      <c r="AH337" s="766" t="s">
        <v>1096</v>
      </c>
      <c r="AI337" s="770" t="s">
        <v>1179</v>
      </c>
      <c r="AJ337" s="770"/>
      <c r="AK337" s="766" t="s">
        <v>1097</v>
      </c>
      <c r="AL337" s="299">
        <v>29.48</v>
      </c>
      <c r="AM337" s="300">
        <v>3.35</v>
      </c>
      <c r="AN337" s="301">
        <v>0.11360000000000001</v>
      </c>
      <c r="AO337" s="766" t="s">
        <v>1109</v>
      </c>
      <c r="AP337" s="766"/>
      <c r="AQ337" s="766"/>
      <c r="AR337" s="766"/>
      <c r="AS337" s="770" t="s">
        <v>1207</v>
      </c>
      <c r="AT337" s="770" t="s">
        <v>1208</v>
      </c>
      <c r="AU337" s="770"/>
      <c r="AV337" s="770"/>
      <c r="AW337" s="770"/>
      <c r="AX337" s="770"/>
      <c r="AY337" s="770"/>
      <c r="AZ337" s="770"/>
      <c r="BA337" s="770"/>
      <c r="BB337" s="770"/>
      <c r="BC337" s="770"/>
      <c r="BD337" s="770"/>
      <c r="BE337" s="770"/>
      <c r="BF337" s="302"/>
      <c r="BG337" s="302"/>
      <c r="BH337" s="770"/>
      <c r="BI337" s="770"/>
      <c r="BJ337" s="770"/>
      <c r="BK337" s="770" t="s">
        <v>1095</v>
      </c>
      <c r="BL337" s="770" t="s">
        <v>1179</v>
      </c>
      <c r="BM337" s="770" t="s">
        <v>8108</v>
      </c>
      <c r="BN337" s="770" t="s">
        <v>1230</v>
      </c>
      <c r="BO337" s="766" t="s">
        <v>1239</v>
      </c>
      <c r="BP337" s="780">
        <v>58.96</v>
      </c>
      <c r="BQ337" s="772">
        <v>6.7</v>
      </c>
      <c r="BR337" s="774">
        <f>BQ337/BP337</f>
        <v>0.11363636363636363</v>
      </c>
      <c r="BS337" s="766" t="s">
        <v>1242</v>
      </c>
      <c r="BT337" s="766"/>
      <c r="BU337" s="770"/>
      <c r="BV337" s="770"/>
      <c r="BW337" s="770"/>
      <c r="BX337" s="302"/>
      <c r="BY337" s="303"/>
      <c r="BZ337" s="770"/>
      <c r="CA337" s="302"/>
      <c r="CB337" s="302"/>
      <c r="CC337" s="770"/>
      <c r="CD337" s="770"/>
      <c r="CE337" s="770"/>
      <c r="CF337" s="304"/>
      <c r="CG337" s="321"/>
      <c r="CH337" s="770"/>
      <c r="CI337" s="770"/>
      <c r="CJ337" s="770"/>
      <c r="CK337" s="770"/>
      <c r="CL337" s="770"/>
      <c r="CM337" s="770"/>
      <c r="CN337" s="770"/>
      <c r="CO337" s="770"/>
      <c r="CP337" s="770"/>
      <c r="CQ337" s="770"/>
      <c r="CR337" s="770"/>
      <c r="CS337" s="302"/>
      <c r="CT337" s="770"/>
      <c r="CU337" s="305"/>
      <c r="CV337" s="770"/>
      <c r="CW337" s="770"/>
      <c r="CX337" s="770"/>
      <c r="CY337" s="770"/>
      <c r="CZ337" s="770"/>
      <c r="DA337" s="306"/>
      <c r="DB337" s="770"/>
      <c r="DC337" s="770"/>
      <c r="DD337" s="770"/>
      <c r="DE337" s="300"/>
      <c r="DF337" s="770"/>
      <c r="DG337" s="770"/>
      <c r="DH337" s="770"/>
      <c r="DI337" s="770"/>
      <c r="DJ337" s="770"/>
      <c r="DK337" s="770"/>
      <c r="DL337" s="770"/>
      <c r="DM337" s="770"/>
      <c r="DN337" s="322"/>
      <c r="DO337" s="770"/>
      <c r="DP337" s="770"/>
      <c r="DQ337" s="770"/>
      <c r="DR337" s="770"/>
      <c r="DS337" s="307"/>
      <c r="DT337" s="770"/>
      <c r="DU337" s="770"/>
      <c r="DV337" s="770"/>
      <c r="DW337" s="306"/>
      <c r="DX337" s="306"/>
      <c r="DY337" s="770"/>
      <c r="DZ337" s="770"/>
      <c r="EA337" s="770"/>
      <c r="EB337" s="770"/>
      <c r="EC337" s="770"/>
      <c r="ED337" s="770"/>
      <c r="EE337" s="770"/>
      <c r="EF337" s="770"/>
      <c r="EG337" s="770"/>
      <c r="EH337" s="770"/>
      <c r="EI337" s="770"/>
      <c r="EJ337" s="770"/>
      <c r="EK337" s="770"/>
      <c r="EL337" s="770"/>
      <c r="EM337" s="770"/>
      <c r="EN337" s="770"/>
      <c r="EO337" s="770"/>
      <c r="EP337" s="94"/>
      <c r="EQ337" s="770"/>
      <c r="ER337" s="770"/>
      <c r="ES337" s="770"/>
      <c r="ET337" s="770"/>
      <c r="EU337" s="770"/>
      <c r="EV337" s="770"/>
      <c r="EW337" s="770"/>
      <c r="EX337" s="770"/>
      <c r="EY337" s="770"/>
      <c r="EZ337" s="770"/>
      <c r="FA337" s="770"/>
      <c r="FB337" s="770"/>
      <c r="FC337" s="770"/>
      <c r="FD337" s="302"/>
      <c r="FE337" s="770"/>
      <c r="FF337" s="770"/>
      <c r="FG337" s="770"/>
      <c r="FH337" s="770"/>
      <c r="FI337" s="770"/>
      <c r="FJ337" s="770"/>
      <c r="FK337" s="770"/>
      <c r="FL337" s="770"/>
      <c r="FM337" s="302"/>
      <c r="FN337" s="302"/>
      <c r="FO337" s="302"/>
      <c r="FP337" s="770"/>
      <c r="FQ337" s="770"/>
      <c r="FR337" s="770"/>
      <c r="FS337" s="770"/>
      <c r="FT337" s="770"/>
      <c r="FU337" s="770"/>
      <c r="FV337" s="770"/>
      <c r="FW337" s="770"/>
      <c r="FX337" s="770"/>
      <c r="FY337" s="770"/>
      <c r="FZ337" s="770"/>
      <c r="GA337" s="770"/>
      <c r="GB337" s="770"/>
      <c r="GC337" s="308"/>
      <c r="GD337" s="297"/>
      <c r="GE337" s="770"/>
      <c r="GF337" s="302"/>
      <c r="GG337" s="302"/>
      <c r="GH337" s="770"/>
      <c r="GI337" s="770"/>
      <c r="GJ337" s="770"/>
      <c r="GK337" s="770"/>
      <c r="GL337" s="770"/>
      <c r="GM337" s="770"/>
      <c r="GN337" s="309"/>
      <c r="GO337" s="770"/>
      <c r="GP337" s="770"/>
      <c r="GQ337" s="770"/>
      <c r="GR337" s="770"/>
      <c r="GS337" s="770"/>
      <c r="GT337" s="770"/>
      <c r="GU337" s="770"/>
      <c r="GV337" s="770"/>
      <c r="GW337" s="770"/>
      <c r="GX337" s="770"/>
      <c r="GY337" s="770"/>
      <c r="GZ337" s="770"/>
      <c r="HA337" s="770"/>
      <c r="HB337" s="770"/>
      <c r="HC337" s="770"/>
      <c r="HD337" s="770"/>
      <c r="HE337" s="770"/>
      <c r="HF337" s="770"/>
      <c r="HG337" s="770"/>
      <c r="HH337" s="770"/>
      <c r="HI337" s="770"/>
      <c r="HJ337" s="770"/>
      <c r="HK337" s="770"/>
      <c r="HL337" s="770"/>
      <c r="HM337" s="770"/>
      <c r="HN337" s="770"/>
      <c r="HO337" s="770"/>
      <c r="HP337" s="770"/>
      <c r="HQ337" s="770"/>
      <c r="HR337" s="770"/>
      <c r="HS337" s="770"/>
      <c r="HT337" s="770"/>
      <c r="HU337" s="770"/>
      <c r="HV337" s="770"/>
      <c r="HW337" s="770"/>
      <c r="HX337" s="770"/>
      <c r="HY337" s="770"/>
      <c r="HZ337" s="770"/>
      <c r="IA337" s="770"/>
      <c r="IB337" s="14" t="e">
        <f>IF(#REF!&gt;0,IF(#REF!&lt;=10000,"Y",""),"")</f>
        <v>#REF!</v>
      </c>
      <c r="IC337" s="770"/>
      <c r="ID337" s="770"/>
      <c r="IE337" s="770"/>
      <c r="IF337" s="770"/>
      <c r="IG337" s="770"/>
      <c r="IH337" s="770"/>
      <c r="II337" s="770"/>
      <c r="IJ337" s="770"/>
      <c r="IK337" s="770"/>
      <c r="IL337" s="770"/>
      <c r="IM337" s="770"/>
      <c r="IN337" s="770"/>
      <c r="IO337" s="296"/>
      <c r="IP337" s="770"/>
      <c r="IQ337" s="770"/>
      <c r="IR337" s="770"/>
      <c r="IS337" s="770"/>
      <c r="IT337" s="770"/>
      <c r="IU337" s="770"/>
      <c r="IV337" s="770"/>
      <c r="IW337" s="770"/>
      <c r="IX337" s="770"/>
      <c r="IY337" s="770"/>
      <c r="IZ337" s="770"/>
      <c r="JA337" s="770"/>
      <c r="JB337" s="770"/>
      <c r="JC337" s="770"/>
      <c r="JD337" s="302"/>
      <c r="JE337" s="770"/>
      <c r="JF337" s="770"/>
      <c r="JG337" s="770"/>
      <c r="JH337" s="770"/>
      <c r="JI337" s="770"/>
      <c r="JJ337" s="770"/>
      <c r="JK337" s="770"/>
      <c r="JL337" s="770"/>
      <c r="JM337" s="770"/>
      <c r="JN337" s="770"/>
      <c r="JO337" s="770"/>
      <c r="JP337" s="770"/>
      <c r="JQ337" s="770"/>
      <c r="JR337" s="770"/>
      <c r="JS337" s="770"/>
      <c r="JT337" s="766"/>
      <c r="JU337" s="766"/>
      <c r="JV337" s="766"/>
      <c r="JW337" s="766"/>
      <c r="JX337" s="770"/>
      <c r="JY337" s="770"/>
      <c r="JZ337" s="770"/>
      <c r="KA337" s="770"/>
      <c r="KB337" s="770"/>
      <c r="KC337" s="770"/>
      <c r="KD337" s="770"/>
      <c r="KE337" s="770"/>
      <c r="KF337" s="770"/>
      <c r="KG337" s="770"/>
      <c r="KH337" s="770"/>
      <c r="KI337" s="770"/>
      <c r="KJ337" s="770"/>
      <c r="KK337" s="770"/>
      <c r="KL337" s="770"/>
      <c r="KM337" s="770"/>
      <c r="KN337" s="770"/>
      <c r="KO337" s="770"/>
      <c r="KP337" s="770"/>
      <c r="KQ337" s="770"/>
      <c r="KR337" s="770"/>
      <c r="KS337" s="770"/>
      <c r="KT337" s="770"/>
      <c r="KU337" s="770"/>
      <c r="KV337" s="770"/>
      <c r="KW337" s="770"/>
      <c r="KX337" s="770"/>
      <c r="KY337" s="770"/>
      <c r="KZ337" s="770"/>
      <c r="LA337" s="770"/>
      <c r="LB337" s="770"/>
      <c r="LC337" s="770"/>
      <c r="LD337" s="770"/>
      <c r="LE337" s="770"/>
      <c r="LF337" s="770"/>
      <c r="LG337" s="770"/>
      <c r="LH337" s="770"/>
      <c r="LI337" s="770"/>
      <c r="LJ337" s="770"/>
      <c r="LK337" s="770"/>
      <c r="LL337" s="770"/>
      <c r="LM337" s="770"/>
      <c r="LN337" s="766"/>
      <c r="LO337" s="766"/>
      <c r="LP337" s="770"/>
      <c r="LQ337" s="770"/>
      <c r="LR337" s="770"/>
      <c r="LS337" s="770"/>
      <c r="LT337" s="770"/>
      <c r="LU337" s="770"/>
      <c r="LV337" s="770"/>
      <c r="LW337" s="770"/>
      <c r="LX337" s="769"/>
      <c r="LY337" s="766" t="str">
        <f t="shared" si="93"/>
        <v/>
      </c>
      <c r="LZ337" s="299"/>
      <c r="MA337" s="306"/>
      <c r="MB337" s="306"/>
      <c r="MC337" s="1679">
        <f>SUM(LZ337:MB337)</f>
        <v>0</v>
      </c>
      <c r="MD337" s="306"/>
      <c r="ME337" s="306"/>
      <c r="MF337" s="306"/>
      <c r="MG337" s="1680">
        <f>SUM(MD337:MF337)</f>
        <v>0</v>
      </c>
      <c r="MH337" s="770"/>
      <c r="MI337" s="302"/>
      <c r="MJ337" s="302"/>
      <c r="MK337" s="302"/>
      <c r="ML337" s="302"/>
      <c r="MM337" s="302"/>
      <c r="MN337" s="302"/>
      <c r="MO337" s="302"/>
      <c r="MP337" s="302"/>
      <c r="MQ337" s="302"/>
      <c r="MR337" s="302"/>
      <c r="MS337" s="302"/>
      <c r="MT337" s="302"/>
      <c r="MU337" s="302"/>
      <c r="MV337" s="302"/>
      <c r="MW337" s="302"/>
      <c r="MX337" s="302"/>
      <c r="MY337" s="1682">
        <f>IF(ISBLANK(MI337:MX337)=TRUE,"",SUM(MI337:MX337))</f>
        <v>0</v>
      </c>
      <c r="MZ337" s="770"/>
      <c r="NA337" s="770"/>
      <c r="NB337" s="770"/>
      <c r="NC337" s="770"/>
      <c r="ND337" s="770"/>
      <c r="NE337" s="770"/>
      <c r="NF337" s="770"/>
      <c r="NG337" s="770"/>
      <c r="NH337" s="770"/>
      <c r="NI337" s="770"/>
      <c r="NJ337" s="770"/>
      <c r="NK337" s="770"/>
      <c r="NL337" s="770"/>
      <c r="NM337" s="770"/>
      <c r="NN337" s="770"/>
      <c r="NO337" s="770"/>
      <c r="NP337" s="770"/>
      <c r="NQ337" s="770"/>
      <c r="NR337" s="770"/>
      <c r="NS337" s="770"/>
      <c r="NT337" s="770"/>
      <c r="NU337" s="770"/>
      <c r="NV337" s="770"/>
      <c r="NW337" s="770"/>
      <c r="NX337" s="770"/>
      <c r="NY337" s="770"/>
      <c r="NZ337" s="770"/>
      <c r="OA337" s="770"/>
      <c r="OB337" s="770"/>
      <c r="OC337" s="770"/>
      <c r="OD337" s="770"/>
      <c r="OE337" s="770"/>
      <c r="OF337" s="770"/>
      <c r="OG337" s="770"/>
      <c r="OH337" s="770"/>
      <c r="OI337" s="770"/>
      <c r="OJ337" s="770"/>
      <c r="OK337" s="770"/>
      <c r="OL337" s="770"/>
      <c r="OM337" s="770"/>
      <c r="ON337" s="770"/>
      <c r="OO337" s="770"/>
      <c r="OP337" s="770"/>
      <c r="OQ337" s="770"/>
      <c r="OR337" s="770"/>
      <c r="OS337" s="770"/>
      <c r="OT337" s="770"/>
      <c r="OU337" s="770"/>
      <c r="OV337" s="770"/>
      <c r="OW337" s="770"/>
      <c r="OX337" s="770"/>
      <c r="OY337" s="770"/>
      <c r="OZ337" s="770"/>
      <c r="PA337" s="770"/>
      <c r="PB337" s="770"/>
      <c r="PC337" s="770"/>
      <c r="PD337" s="770"/>
      <c r="PE337" s="770"/>
      <c r="PF337" s="770"/>
      <c r="PG337" s="770"/>
      <c r="PH337" s="770"/>
      <c r="PI337" s="770"/>
      <c r="PJ337" s="770"/>
      <c r="PK337" s="770"/>
      <c r="PL337" s="770"/>
      <c r="PM337" s="770"/>
      <c r="PN337" s="770"/>
      <c r="PO337" s="770"/>
      <c r="PP337" s="770"/>
      <c r="PQ337" s="770"/>
      <c r="PR337" s="770"/>
      <c r="PS337" s="770"/>
      <c r="PT337" s="770"/>
      <c r="PU337" s="770"/>
      <c r="PV337" s="770"/>
      <c r="PW337" s="770"/>
      <c r="PX337" s="770"/>
      <c r="PY337" s="770"/>
      <c r="PZ337" s="770"/>
      <c r="QA337" s="770"/>
      <c r="QB337" s="770"/>
      <c r="QC337" s="770"/>
      <c r="QD337" s="770"/>
      <c r="QE337" s="770"/>
      <c r="QF337" s="770"/>
      <c r="QG337" s="770"/>
      <c r="QH337" s="770"/>
      <c r="QI337" s="770"/>
      <c r="QJ337" s="770"/>
      <c r="QK337" s="770"/>
      <c r="QL337" s="770"/>
      <c r="QM337" s="770"/>
      <c r="QN337" s="770"/>
      <c r="QO337" s="770"/>
      <c r="QP337" s="770"/>
      <c r="QQ337" s="770"/>
      <c r="QR337" s="770"/>
      <c r="QS337" s="770"/>
      <c r="QT337" s="770"/>
      <c r="QU337" s="770"/>
      <c r="QV337" s="770"/>
      <c r="QW337" s="770"/>
      <c r="QX337" s="770"/>
      <c r="QY337" s="770"/>
      <c r="QZ337" s="770"/>
      <c r="RA337" s="770"/>
      <c r="RB337" s="770"/>
      <c r="RC337" s="770"/>
      <c r="RD337" s="770"/>
      <c r="RE337" s="770"/>
      <c r="RF337" s="304"/>
      <c r="RG337" s="770"/>
      <c r="RH337" s="302"/>
      <c r="RI337" s="770"/>
      <c r="RJ337" s="770"/>
      <c r="RK337" s="770"/>
      <c r="RL337" s="1710"/>
      <c r="RM337" s="12"/>
      <c r="RN337" s="1711"/>
      <c r="RO337" s="140" t="s">
        <v>7973</v>
      </c>
      <c r="RP337" s="11"/>
      <c r="RQ337" s="11"/>
      <c r="RR337" s="17"/>
      <c r="RS337" s="767"/>
      <c r="RT337" s="11"/>
      <c r="RU337" s="11"/>
      <c r="RV337" s="771" t="s">
        <v>7419</v>
      </c>
      <c r="RW337" s="11" t="s">
        <v>7642</v>
      </c>
      <c r="RX337" s="11" t="s">
        <v>572</v>
      </c>
      <c r="RY337" s="11"/>
      <c r="RZ337" s="11" t="s">
        <v>2209</v>
      </c>
      <c r="SA337" s="771"/>
      <c r="SB337" s="11"/>
      <c r="SC337" s="11"/>
    </row>
    <row r="338" spans="1:497" ht="12.75" hidden="1" customHeight="1" thickBot="1">
      <c r="A338" s="343" t="s">
        <v>14139</v>
      </c>
      <c r="B338" s="292" t="s">
        <v>12676</v>
      </c>
      <c r="C338" s="140" t="s">
        <v>575</v>
      </c>
      <c r="D338" s="770" t="s">
        <v>2012</v>
      </c>
      <c r="E338" s="770" t="s">
        <v>576</v>
      </c>
      <c r="F338" s="770"/>
      <c r="G338" s="770" t="s">
        <v>18</v>
      </c>
      <c r="H338" s="770"/>
      <c r="I338" s="295" t="s">
        <v>577</v>
      </c>
      <c r="J338" s="94"/>
      <c r="K338" s="770"/>
      <c r="L338" s="770"/>
      <c r="M338" s="770"/>
      <c r="N338" s="770"/>
      <c r="O338" s="770"/>
      <c r="P338" s="770"/>
      <c r="Q338" s="1088"/>
      <c r="R338" s="297"/>
      <c r="S338" s="770"/>
      <c r="T338" s="770"/>
      <c r="U338" s="298"/>
      <c r="V338" s="770"/>
      <c r="W338" s="770"/>
      <c r="X338" s="296"/>
      <c r="Y338" s="770"/>
      <c r="Z338" s="770"/>
      <c r="AA338" s="770"/>
      <c r="AB338" s="770"/>
      <c r="AC338" s="770"/>
      <c r="AD338" s="770"/>
      <c r="AE338" s="770"/>
      <c r="AF338" s="770"/>
      <c r="AG338" s="770"/>
      <c r="AH338" s="770"/>
      <c r="AI338" s="770"/>
      <c r="AJ338" s="770"/>
      <c r="AK338" s="770" t="s">
        <v>5454</v>
      </c>
      <c r="AL338" s="299">
        <v>10.35</v>
      </c>
      <c r="AM338" s="300">
        <v>5.1749999999999998</v>
      </c>
      <c r="AN338" s="301">
        <v>0.5</v>
      </c>
      <c r="AO338" s="766" t="s">
        <v>1105</v>
      </c>
      <c r="AP338" s="766"/>
      <c r="AQ338" s="766"/>
      <c r="AR338" s="766"/>
      <c r="AS338" s="770"/>
      <c r="AT338" s="770"/>
      <c r="AU338" s="770"/>
      <c r="AV338" s="770"/>
      <c r="AW338" s="770"/>
      <c r="AX338" s="13"/>
      <c r="AY338" s="770"/>
      <c r="AZ338" s="770"/>
      <c r="BA338" s="770"/>
      <c r="BB338" s="770" t="s">
        <v>5545</v>
      </c>
      <c r="BC338" s="770" t="s">
        <v>796</v>
      </c>
      <c r="BD338" s="770"/>
      <c r="BE338" s="770"/>
      <c r="BF338" s="302"/>
      <c r="BG338" s="302"/>
      <c r="BH338" s="770"/>
      <c r="BI338" s="770"/>
      <c r="BJ338" s="770"/>
      <c r="BK338" s="770"/>
      <c r="BL338" s="770"/>
      <c r="BM338" s="766"/>
      <c r="BN338" s="770"/>
      <c r="BO338" s="770"/>
      <c r="BP338" s="780"/>
      <c r="BQ338" s="772"/>
      <c r="BR338" s="774"/>
      <c r="BS338" s="766"/>
      <c r="BT338" s="766" t="s">
        <v>2040</v>
      </c>
      <c r="BU338" s="770" t="s">
        <v>1249</v>
      </c>
      <c r="BV338" s="766" t="s">
        <v>1243</v>
      </c>
      <c r="BW338" s="769"/>
      <c r="BX338" s="302"/>
      <c r="BY338" s="303"/>
      <c r="BZ338" s="770"/>
      <c r="CA338" s="302"/>
      <c r="CB338" s="302" t="s">
        <v>1207</v>
      </c>
      <c r="CC338" s="770" t="s">
        <v>1379</v>
      </c>
      <c r="CD338" s="770"/>
      <c r="CE338" s="770"/>
      <c r="CF338" s="304">
        <v>2.5</v>
      </c>
      <c r="CG338" s="321">
        <v>10.5</v>
      </c>
      <c r="CH338" s="770" t="s">
        <v>1450</v>
      </c>
      <c r="CI338" s="770" t="s">
        <v>1538</v>
      </c>
      <c r="CJ338" s="770"/>
      <c r="CK338" s="770">
        <v>3</v>
      </c>
      <c r="CL338" s="770" t="s">
        <v>1539</v>
      </c>
      <c r="CM338" s="770"/>
      <c r="CN338" s="770"/>
      <c r="CO338" s="770" t="s">
        <v>1257</v>
      </c>
      <c r="CP338" s="770"/>
      <c r="CQ338" s="770"/>
      <c r="CR338" s="770"/>
      <c r="CS338" s="302"/>
      <c r="CT338" s="770"/>
      <c r="CU338" s="305"/>
      <c r="CV338" s="770"/>
      <c r="CW338" s="770"/>
      <c r="CX338" s="770"/>
      <c r="CY338" s="770"/>
      <c r="CZ338" s="770"/>
      <c r="DA338" s="306"/>
      <c r="DB338" s="770"/>
      <c r="DC338" s="770"/>
      <c r="DD338" s="770"/>
      <c r="DE338" s="300"/>
      <c r="DF338" s="770"/>
      <c r="DG338" s="770"/>
      <c r="DH338" s="770"/>
      <c r="DI338" s="770"/>
      <c r="DJ338" s="770"/>
      <c r="DK338" s="770"/>
      <c r="DL338" s="770"/>
      <c r="DM338" s="770"/>
      <c r="DN338" s="322"/>
      <c r="DO338" s="770"/>
      <c r="DP338" s="770"/>
      <c r="DQ338" s="770"/>
      <c r="DR338" s="770"/>
      <c r="DS338" s="307"/>
      <c r="DT338" s="770"/>
      <c r="DU338" s="770"/>
      <c r="DV338" s="770"/>
      <c r="DW338" s="306"/>
      <c r="DX338" s="306"/>
      <c r="DY338" s="770"/>
      <c r="DZ338" s="770"/>
      <c r="EA338" s="770"/>
      <c r="EB338" s="770"/>
      <c r="EC338" s="770"/>
      <c r="ED338" s="770"/>
      <c r="EE338" s="770"/>
      <c r="EF338" s="770"/>
      <c r="EG338" s="770"/>
      <c r="EH338" s="770"/>
      <c r="EI338" s="770"/>
      <c r="EJ338" s="770"/>
      <c r="EK338" s="770"/>
      <c r="EL338" s="770"/>
      <c r="EM338" s="770"/>
      <c r="EN338" s="770"/>
      <c r="EO338" s="770"/>
      <c r="EP338" s="94"/>
      <c r="EQ338" s="770"/>
      <c r="ER338" s="770"/>
      <c r="ES338" s="770"/>
      <c r="ET338" s="770"/>
      <c r="EU338" s="770"/>
      <c r="EV338" s="770"/>
      <c r="EW338" s="770"/>
      <c r="EX338" s="770"/>
      <c r="EY338" s="770"/>
      <c r="EZ338" s="770"/>
      <c r="FA338" s="770"/>
      <c r="FB338" s="770"/>
      <c r="FC338" s="770"/>
      <c r="FD338" s="302"/>
      <c r="FE338" s="770"/>
      <c r="FF338" s="770"/>
      <c r="FG338" s="770"/>
      <c r="FH338" s="770" t="s">
        <v>478</v>
      </c>
      <c r="FI338" s="770">
        <v>1</v>
      </c>
      <c r="FJ338" s="770"/>
      <c r="FK338" s="770"/>
      <c r="FL338" s="770"/>
      <c r="FM338" s="302"/>
      <c r="FN338" s="302"/>
      <c r="FO338" s="302"/>
      <c r="FP338" s="770"/>
      <c r="FQ338" s="770"/>
      <c r="FR338" s="770" t="s">
        <v>1207</v>
      </c>
      <c r="FS338" s="770" t="s">
        <v>1208</v>
      </c>
      <c r="FT338" s="770"/>
      <c r="FU338" s="770"/>
      <c r="FV338" s="770"/>
      <c r="FW338" s="770"/>
      <c r="FX338" s="770"/>
      <c r="FY338" s="770"/>
      <c r="FZ338" s="770"/>
      <c r="GA338" s="770"/>
      <c r="GB338" s="770" t="s">
        <v>853</v>
      </c>
      <c r="GC338" s="308" t="s">
        <v>1750</v>
      </c>
      <c r="GD338" s="297">
        <v>2009</v>
      </c>
      <c r="GE338" s="770"/>
      <c r="GF338" s="302"/>
      <c r="GG338" s="302"/>
      <c r="GH338" s="770"/>
      <c r="GI338" s="770"/>
      <c r="GJ338" s="770"/>
      <c r="GK338" s="770"/>
      <c r="GL338" s="770"/>
      <c r="GM338" s="770"/>
      <c r="GN338" s="309"/>
      <c r="GO338" s="770"/>
      <c r="GP338" s="770"/>
      <c r="GQ338" s="770"/>
      <c r="GR338" s="770"/>
      <c r="GS338" s="770"/>
      <c r="GT338" s="770"/>
      <c r="GU338" s="770"/>
      <c r="GV338" s="770"/>
      <c r="GW338" s="770"/>
      <c r="GX338" s="770"/>
      <c r="GY338" s="770"/>
      <c r="GZ338" s="770"/>
      <c r="HA338" s="770"/>
      <c r="HB338" s="770"/>
      <c r="HC338" s="770"/>
      <c r="HD338" s="770"/>
      <c r="HE338" s="770"/>
      <c r="HF338" s="770"/>
      <c r="HG338" s="770"/>
      <c r="HH338" s="770"/>
      <c r="HI338" s="770"/>
      <c r="HJ338" s="770"/>
      <c r="HK338" s="770"/>
      <c r="HL338" s="770"/>
      <c r="HM338" s="770"/>
      <c r="HN338" s="770"/>
      <c r="HO338" s="770"/>
      <c r="HP338" s="770"/>
      <c r="HQ338" s="770"/>
      <c r="HR338" s="770"/>
      <c r="HS338" s="770"/>
      <c r="HT338" s="770"/>
      <c r="HU338" s="770"/>
      <c r="HV338" s="770"/>
      <c r="HW338" s="770"/>
      <c r="HX338" s="770"/>
      <c r="HY338" s="770"/>
      <c r="HZ338" s="770"/>
      <c r="IA338" s="770"/>
      <c r="IB338" s="14" t="e">
        <f>IF(#REF!&gt;0,IF(#REF!&lt;=10000,"Y",""),"")</f>
        <v>#REF!</v>
      </c>
      <c r="IC338" s="770" t="s">
        <v>1207</v>
      </c>
      <c r="ID338" s="770"/>
      <c r="IE338" s="770"/>
      <c r="IF338" s="770"/>
      <c r="IG338" s="770"/>
      <c r="IH338" s="770"/>
      <c r="II338" s="770"/>
      <c r="IJ338" s="770"/>
      <c r="IK338" s="770"/>
      <c r="IL338" s="770"/>
      <c r="IM338" s="770"/>
      <c r="IN338" s="770"/>
      <c r="IO338" s="296"/>
      <c r="IP338" s="770"/>
      <c r="IQ338" s="770"/>
      <c r="IR338" s="770"/>
      <c r="IS338" s="770"/>
      <c r="IT338" s="770"/>
      <c r="IU338" s="770"/>
      <c r="IV338" s="770"/>
      <c r="IW338" s="770"/>
      <c r="IX338" s="770"/>
      <c r="IY338" s="770"/>
      <c r="IZ338" s="770"/>
      <c r="JA338" s="770"/>
      <c r="JB338" s="770"/>
      <c r="JC338" s="770"/>
      <c r="JD338" s="302"/>
      <c r="JE338" s="770"/>
      <c r="JF338" s="770"/>
      <c r="JG338" s="770"/>
      <c r="JH338" s="770"/>
      <c r="JI338" s="770"/>
      <c r="JJ338" s="770"/>
      <c r="JK338" s="770"/>
      <c r="JL338" s="770"/>
      <c r="JM338" s="770"/>
      <c r="JN338" s="770"/>
      <c r="JO338" s="770"/>
      <c r="JP338" s="770"/>
      <c r="JQ338" s="770"/>
      <c r="JR338" s="770"/>
      <c r="JS338" s="770"/>
      <c r="JT338" s="766"/>
      <c r="JU338" s="766"/>
      <c r="JV338" s="766"/>
      <c r="JW338" s="766"/>
      <c r="JX338" s="770"/>
      <c r="JY338" s="770"/>
      <c r="JZ338" s="770"/>
      <c r="KA338" s="770"/>
      <c r="KB338" s="770"/>
      <c r="KC338" s="770"/>
      <c r="KD338" s="770"/>
      <c r="KE338" s="770"/>
      <c r="KF338" s="770"/>
      <c r="KG338" s="770"/>
      <c r="KH338" s="770"/>
      <c r="KI338" s="770"/>
      <c r="KJ338" s="770"/>
      <c r="KK338" s="770"/>
      <c r="KL338" s="770"/>
      <c r="KM338" s="770"/>
      <c r="KN338" s="770"/>
      <c r="KO338" s="770"/>
      <c r="KP338" s="770"/>
      <c r="KQ338" s="770"/>
      <c r="KR338" s="770"/>
      <c r="KS338" s="770"/>
      <c r="KT338" s="770"/>
      <c r="KU338" s="770"/>
      <c r="KV338" s="770"/>
      <c r="KW338" s="770"/>
      <c r="KX338" s="770"/>
      <c r="KY338" s="770"/>
      <c r="KZ338" s="770"/>
      <c r="LA338" s="770"/>
      <c r="LB338" s="770"/>
      <c r="LC338" s="770"/>
      <c r="LD338" s="770"/>
      <c r="LE338" s="770"/>
      <c r="LF338" s="770"/>
      <c r="LG338" s="770"/>
      <c r="LH338" s="770"/>
      <c r="LI338" s="770"/>
      <c r="LJ338" s="770"/>
      <c r="LK338" s="770"/>
      <c r="LL338" s="770"/>
      <c r="LM338" s="770"/>
      <c r="LN338" s="766"/>
      <c r="LO338" s="766"/>
      <c r="LP338" s="770"/>
      <c r="LQ338" s="770"/>
      <c r="LR338" s="770"/>
      <c r="LS338" s="770"/>
      <c r="LT338" s="770"/>
      <c r="LU338" s="770"/>
      <c r="LV338" s="770"/>
      <c r="LW338" s="770"/>
      <c r="LX338" s="769"/>
      <c r="LY338" s="766" t="str">
        <f t="shared" si="93"/>
        <v/>
      </c>
      <c r="LZ338" s="299"/>
      <c r="MA338" s="306"/>
      <c r="MB338" s="306"/>
      <c r="MC338" s="1679">
        <f>SUM(LZ338:MB338)</f>
        <v>0</v>
      </c>
      <c r="MD338" s="306"/>
      <c r="ME338" s="306"/>
      <c r="MF338" s="306"/>
      <c r="MG338" s="1680">
        <f>SUM(MD338:MF338)</f>
        <v>0</v>
      </c>
      <c r="MH338" s="770"/>
      <c r="MI338" s="302"/>
      <c r="MJ338" s="302"/>
      <c r="MK338" s="302"/>
      <c r="ML338" s="302"/>
      <c r="MM338" s="302"/>
      <c r="MN338" s="302"/>
      <c r="MO338" s="302"/>
      <c r="MP338" s="302"/>
      <c r="MQ338" s="302"/>
      <c r="MR338" s="302"/>
      <c r="MS338" s="302"/>
      <c r="MT338" s="302"/>
      <c r="MU338" s="302"/>
      <c r="MV338" s="302"/>
      <c r="MW338" s="302"/>
      <c r="MX338" s="302"/>
      <c r="MY338" s="1682">
        <f>IF(ISBLANK(MI338:MX338)=TRUE,"",SUM(MI338:MX338))</f>
        <v>0</v>
      </c>
      <c r="MZ338" s="770"/>
      <c r="NA338" s="770"/>
      <c r="NB338" s="770"/>
      <c r="NC338" s="770"/>
      <c r="ND338" s="770"/>
      <c r="NE338" s="770"/>
      <c r="NF338" s="770"/>
      <c r="NG338" s="770"/>
      <c r="NH338" s="770"/>
      <c r="NI338" s="770"/>
      <c r="NJ338" s="770"/>
      <c r="NK338" s="770"/>
      <c r="NL338" s="770"/>
      <c r="NM338" s="770"/>
      <c r="NN338" s="770"/>
      <c r="NO338" s="770"/>
      <c r="NP338" s="770"/>
      <c r="NQ338" s="770"/>
      <c r="NR338" s="770"/>
      <c r="NS338" s="770"/>
      <c r="NT338" s="770"/>
      <c r="NU338" s="770"/>
      <c r="NV338" s="770"/>
      <c r="NW338" s="770"/>
      <c r="NX338" s="770"/>
      <c r="NY338" s="770"/>
      <c r="NZ338" s="770"/>
      <c r="OA338" s="770"/>
      <c r="OB338" s="770"/>
      <c r="OC338" s="770"/>
      <c r="OD338" s="770"/>
      <c r="OE338" s="770"/>
      <c r="OF338" s="770"/>
      <c r="OG338" s="770"/>
      <c r="OH338" s="770"/>
      <c r="OI338" s="770"/>
      <c r="OJ338" s="770"/>
      <c r="OK338" s="770"/>
      <c r="OL338" s="770"/>
      <c r="OM338" s="770"/>
      <c r="ON338" s="770"/>
      <c r="OO338" s="770"/>
      <c r="OP338" s="770"/>
      <c r="OQ338" s="770"/>
      <c r="OR338" s="770"/>
      <c r="OS338" s="770"/>
      <c r="OT338" s="770"/>
      <c r="OU338" s="770"/>
      <c r="OV338" s="770"/>
      <c r="OW338" s="770"/>
      <c r="OX338" s="770"/>
      <c r="OY338" s="770"/>
      <c r="OZ338" s="770"/>
      <c r="PA338" s="770"/>
      <c r="PB338" s="770"/>
      <c r="PC338" s="770"/>
      <c r="PD338" s="770"/>
      <c r="PE338" s="770"/>
      <c r="PF338" s="770"/>
      <c r="PG338" s="770"/>
      <c r="PH338" s="770"/>
      <c r="PI338" s="770"/>
      <c r="PJ338" s="770"/>
      <c r="PK338" s="770"/>
      <c r="PL338" s="770"/>
      <c r="PM338" s="770"/>
      <c r="PN338" s="770"/>
      <c r="PO338" s="770"/>
      <c r="PP338" s="770"/>
      <c r="PQ338" s="770"/>
      <c r="PR338" s="770"/>
      <c r="PS338" s="770"/>
      <c r="PT338" s="770"/>
      <c r="PU338" s="770"/>
      <c r="PV338" s="770"/>
      <c r="PW338" s="770"/>
      <c r="PX338" s="770"/>
      <c r="PY338" s="770"/>
      <c r="PZ338" s="770"/>
      <c r="QA338" s="770"/>
      <c r="QB338" s="770"/>
      <c r="QC338" s="770"/>
      <c r="QD338" s="770"/>
      <c r="QE338" s="770"/>
      <c r="QF338" s="770"/>
      <c r="QG338" s="770"/>
      <c r="QH338" s="770"/>
      <c r="QI338" s="770"/>
      <c r="QJ338" s="770"/>
      <c r="QK338" s="770"/>
      <c r="QL338" s="770"/>
      <c r="QM338" s="770"/>
      <c r="QN338" s="770"/>
      <c r="QO338" s="770"/>
      <c r="QP338" s="770"/>
      <c r="QQ338" s="770"/>
      <c r="QR338" s="770"/>
      <c r="QS338" s="770"/>
      <c r="QT338" s="770"/>
      <c r="QU338" s="770"/>
      <c r="QV338" s="770"/>
      <c r="QW338" s="770"/>
      <c r="QX338" s="770"/>
      <c r="QY338" s="770"/>
      <c r="QZ338" s="770"/>
      <c r="RA338" s="770"/>
      <c r="RB338" s="770"/>
      <c r="RC338" s="770"/>
      <c r="RD338" s="770"/>
      <c r="RE338" s="770"/>
      <c r="RF338" s="304"/>
      <c r="RG338" s="770"/>
      <c r="RH338" s="302"/>
      <c r="RI338" s="770"/>
      <c r="RJ338" s="770" t="s">
        <v>13472</v>
      </c>
      <c r="RK338" s="770" t="s">
        <v>13401</v>
      </c>
      <c r="RL338" s="1710"/>
      <c r="RM338" s="12"/>
      <c r="RN338" s="1711"/>
      <c r="RO338" s="140" t="s">
        <v>7973</v>
      </c>
      <c r="RP338" s="11"/>
      <c r="RQ338" s="11"/>
      <c r="RR338" s="17"/>
      <c r="RS338" s="767"/>
      <c r="RT338" s="11"/>
      <c r="RU338" s="11"/>
      <c r="RV338" s="771" t="s">
        <v>7419</v>
      </c>
      <c r="RW338" s="11" t="s">
        <v>13473</v>
      </c>
      <c r="RX338" s="11" t="s">
        <v>575</v>
      </c>
      <c r="RY338" s="11"/>
      <c r="RZ338" s="11" t="s">
        <v>2209</v>
      </c>
      <c r="SA338" s="771"/>
      <c r="SB338" s="11"/>
      <c r="SC338" s="11"/>
    </row>
    <row r="339" spans="1:497" ht="12.75" hidden="1" customHeight="1" thickBot="1">
      <c r="A339" s="343" t="s">
        <v>7419</v>
      </c>
      <c r="B339" s="292" t="s">
        <v>12675</v>
      </c>
      <c r="C339" s="140" t="s">
        <v>7973</v>
      </c>
      <c r="D339" s="770" t="s">
        <v>578</v>
      </c>
      <c r="E339" s="770" t="s">
        <v>579</v>
      </c>
      <c r="F339" s="770" t="s">
        <v>20</v>
      </c>
      <c r="G339" s="770" t="s">
        <v>18</v>
      </c>
      <c r="H339" s="770"/>
      <c r="I339" s="295"/>
      <c r="J339" s="94" t="s">
        <v>580</v>
      </c>
      <c r="K339" s="766" t="s">
        <v>12677</v>
      </c>
      <c r="L339" s="766" t="s">
        <v>12678</v>
      </c>
      <c r="M339" s="770"/>
      <c r="N339" s="770" t="s">
        <v>12679</v>
      </c>
      <c r="O339" s="770" t="s">
        <v>12680</v>
      </c>
      <c r="P339" s="770"/>
      <c r="Q339" s="1088"/>
      <c r="R339" s="297"/>
      <c r="S339" s="770"/>
      <c r="T339" s="770"/>
      <c r="U339" s="298"/>
      <c r="V339" s="770"/>
      <c r="W339" s="770"/>
      <c r="X339" s="296"/>
      <c r="Y339" s="770"/>
      <c r="Z339" s="770"/>
      <c r="AA339" s="770"/>
      <c r="AB339" s="770"/>
      <c r="AC339" s="770"/>
      <c r="AD339" s="770"/>
      <c r="AE339" s="770"/>
      <c r="AF339" s="770"/>
      <c r="AG339" s="766" t="s">
        <v>1095</v>
      </c>
      <c r="AH339" s="766" t="s">
        <v>1096</v>
      </c>
      <c r="AI339" s="770" t="s">
        <v>1179</v>
      </c>
      <c r="AJ339" s="770"/>
      <c r="AK339" s="766" t="s">
        <v>1097</v>
      </c>
      <c r="AL339" s="531"/>
      <c r="AM339" s="780"/>
      <c r="AN339" s="532"/>
      <c r="AO339" s="766"/>
      <c r="AP339" s="766"/>
      <c r="AQ339" s="766"/>
      <c r="AR339" s="766"/>
      <c r="AS339" s="770" t="s">
        <v>1207</v>
      </c>
      <c r="AT339" s="770" t="s">
        <v>1208</v>
      </c>
      <c r="AU339" s="770"/>
      <c r="AV339" s="770" t="s">
        <v>1208</v>
      </c>
      <c r="AW339" s="770"/>
      <c r="AX339" s="770"/>
      <c r="AY339" s="770"/>
      <c r="AZ339" s="770"/>
      <c r="BA339" s="770"/>
      <c r="BB339" s="770"/>
      <c r="BC339" s="770" t="s">
        <v>853</v>
      </c>
      <c r="BD339" s="770" t="s">
        <v>1207</v>
      </c>
      <c r="BE339" s="770" t="s">
        <v>1214</v>
      </c>
      <c r="BF339" s="302"/>
      <c r="BG339" s="302"/>
      <c r="BH339" s="770"/>
      <c r="BI339" s="770"/>
      <c r="BJ339" s="770"/>
      <c r="BK339" s="770" t="s">
        <v>1095</v>
      </c>
      <c r="BL339" s="770" t="s">
        <v>1379</v>
      </c>
      <c r="BM339" s="766" t="s">
        <v>1096</v>
      </c>
      <c r="BN339" s="770" t="s">
        <v>1230</v>
      </c>
      <c r="BO339" s="766" t="s">
        <v>1239</v>
      </c>
      <c r="BP339" s="1105">
        <v>20.7</v>
      </c>
      <c r="BQ339" s="1107">
        <v>10.35</v>
      </c>
      <c r="BR339" s="1106">
        <v>0.5</v>
      </c>
      <c r="BS339" s="766" t="s">
        <v>1105</v>
      </c>
      <c r="BT339" s="766" t="s">
        <v>2040</v>
      </c>
      <c r="BU339" s="770" t="s">
        <v>1241</v>
      </c>
      <c r="BV339" s="766" t="s">
        <v>1243</v>
      </c>
      <c r="BW339" s="769"/>
      <c r="BX339" s="302"/>
      <c r="BY339" s="303"/>
      <c r="BZ339" s="770"/>
      <c r="CA339" s="302"/>
      <c r="CB339" s="302" t="s">
        <v>1207</v>
      </c>
      <c r="CC339" s="770" t="s">
        <v>1540</v>
      </c>
      <c r="CD339" s="770"/>
      <c r="CE339" s="770"/>
      <c r="CF339" s="304">
        <v>3</v>
      </c>
      <c r="CG339" s="321">
        <v>11</v>
      </c>
      <c r="CH339" s="770" t="s">
        <v>1541</v>
      </c>
      <c r="CI339" s="770"/>
      <c r="CJ339" s="770"/>
      <c r="CK339" s="770">
        <v>3</v>
      </c>
      <c r="CL339" s="770" t="s">
        <v>1542</v>
      </c>
      <c r="CM339" s="770"/>
      <c r="CN339" s="770"/>
      <c r="CO339" s="770" t="s">
        <v>1257</v>
      </c>
      <c r="CP339" s="770"/>
      <c r="CQ339" s="770"/>
      <c r="CR339" s="770"/>
      <c r="CS339" s="302"/>
      <c r="CT339" s="770"/>
      <c r="CU339" s="305"/>
      <c r="CV339" s="770"/>
      <c r="CW339" s="770"/>
      <c r="CX339" s="770"/>
      <c r="CY339" s="770"/>
      <c r="CZ339" s="770"/>
      <c r="DA339" s="306"/>
      <c r="DB339" s="770"/>
      <c r="DC339" s="770"/>
      <c r="DD339" s="770"/>
      <c r="DE339" s="300"/>
      <c r="DF339" s="770"/>
      <c r="DG339" s="770"/>
      <c r="DH339" s="770"/>
      <c r="DI339" s="770"/>
      <c r="DJ339" s="770"/>
      <c r="DK339" s="770"/>
      <c r="DL339" s="770"/>
      <c r="DM339" s="770"/>
      <c r="DN339" s="322"/>
      <c r="DO339" s="770"/>
      <c r="DP339" s="770"/>
      <c r="DQ339" s="770"/>
      <c r="DR339" s="770"/>
      <c r="DS339" s="307"/>
      <c r="DT339" s="770"/>
      <c r="DU339" s="770"/>
      <c r="DV339" s="770"/>
      <c r="DW339" s="306"/>
      <c r="DX339" s="306"/>
      <c r="DY339" s="770"/>
      <c r="DZ339" s="770"/>
      <c r="EA339" s="770"/>
      <c r="EB339" s="770"/>
      <c r="EC339" s="770"/>
      <c r="ED339" s="770"/>
      <c r="EE339" s="770"/>
      <c r="EF339" s="770"/>
      <c r="EG339" s="770"/>
      <c r="EH339" s="770"/>
      <c r="EI339" s="770"/>
      <c r="EJ339" s="770"/>
      <c r="EK339" s="770"/>
      <c r="EL339" s="770"/>
      <c r="EM339" s="770"/>
      <c r="EN339" s="770"/>
      <c r="EO339" s="770"/>
      <c r="EP339" s="94"/>
      <c r="EQ339" s="770"/>
      <c r="ER339" s="770"/>
      <c r="ES339" s="770"/>
      <c r="ET339" s="770"/>
      <c r="EU339" s="770"/>
      <c r="EV339" s="770"/>
      <c r="EW339" s="770"/>
      <c r="EX339" s="770"/>
      <c r="EY339" s="770"/>
      <c r="EZ339" s="770"/>
      <c r="FA339" s="770"/>
      <c r="FB339" s="770"/>
      <c r="FC339" s="770"/>
      <c r="FD339" s="302"/>
      <c r="FE339" s="770"/>
      <c r="FF339" s="770"/>
      <c r="FG339" s="770"/>
      <c r="FH339" s="770" t="s">
        <v>478</v>
      </c>
      <c r="FI339" s="770">
        <v>1</v>
      </c>
      <c r="FJ339" s="770"/>
      <c r="FK339" s="770"/>
      <c r="FL339" s="770"/>
      <c r="FM339" s="302"/>
      <c r="FN339" s="302"/>
      <c r="FO339" s="302"/>
      <c r="FP339" s="770"/>
      <c r="FQ339" s="770"/>
      <c r="FR339" s="770" t="s">
        <v>1207</v>
      </c>
      <c r="FS339" s="770" t="s">
        <v>1208</v>
      </c>
      <c r="FT339" s="770"/>
      <c r="FU339" s="770"/>
      <c r="FV339" s="770"/>
      <c r="FW339" s="770"/>
      <c r="FX339" s="770"/>
      <c r="FY339" s="770"/>
      <c r="FZ339" s="770"/>
      <c r="GA339" s="770"/>
      <c r="GB339" s="770" t="s">
        <v>796</v>
      </c>
      <c r="GC339" s="308" t="s">
        <v>1750</v>
      </c>
      <c r="GD339" s="297">
        <v>1988</v>
      </c>
      <c r="GE339" s="770"/>
      <c r="GF339" s="302"/>
      <c r="GG339" s="302"/>
      <c r="GH339" s="770"/>
      <c r="GI339" s="770"/>
      <c r="GJ339" s="770"/>
      <c r="GK339" s="770"/>
      <c r="GL339" s="770"/>
      <c r="GM339" s="770"/>
      <c r="GN339" s="309"/>
      <c r="GO339" s="770"/>
      <c r="GP339" s="770"/>
      <c r="GQ339" s="770"/>
      <c r="GR339" s="770"/>
      <c r="GS339" s="770"/>
      <c r="GT339" s="770"/>
      <c r="GU339" s="770"/>
      <c r="GV339" s="770"/>
      <c r="GW339" s="770"/>
      <c r="GX339" s="770"/>
      <c r="GY339" s="770"/>
      <c r="GZ339" s="770"/>
      <c r="HA339" s="770"/>
      <c r="HB339" s="770"/>
      <c r="HC339" s="770"/>
      <c r="HD339" s="770"/>
      <c r="HE339" s="770"/>
      <c r="HF339" s="770"/>
      <c r="HG339" s="770"/>
      <c r="HH339" s="770"/>
      <c r="HI339" s="770"/>
      <c r="HJ339" s="770"/>
      <c r="HK339" s="770"/>
      <c r="HL339" s="770"/>
      <c r="HM339" s="770"/>
      <c r="HN339" s="770"/>
      <c r="HO339" s="770"/>
      <c r="HP339" s="770"/>
      <c r="HQ339" s="770"/>
      <c r="HR339" s="770"/>
      <c r="HS339" s="770"/>
      <c r="HT339" s="770"/>
      <c r="HU339" s="770"/>
      <c r="HV339" s="770"/>
      <c r="HW339" s="770"/>
      <c r="HX339" s="770"/>
      <c r="HY339" s="770"/>
      <c r="HZ339" s="770"/>
      <c r="IA339" s="770"/>
      <c r="IB339" s="14" t="e">
        <f>IF(#REF!&gt;0,IF(#REF!&lt;=10000,"Y",""),"")</f>
        <v>#REF!</v>
      </c>
      <c r="IC339" s="770"/>
      <c r="ID339" s="770" t="s">
        <v>1207</v>
      </c>
      <c r="IE339" s="770">
        <v>1</v>
      </c>
      <c r="IF339" s="1828" t="s">
        <v>2012</v>
      </c>
      <c r="IG339" s="770" t="s">
        <v>18</v>
      </c>
      <c r="IH339" s="770" t="s">
        <v>478</v>
      </c>
      <c r="II339" s="770"/>
      <c r="IJ339" s="770" t="s">
        <v>1898</v>
      </c>
      <c r="IK339" s="766" t="s">
        <v>1888</v>
      </c>
      <c r="IL339" s="770" t="s">
        <v>1540</v>
      </c>
      <c r="IM339" s="770">
        <v>2016</v>
      </c>
      <c r="IN339" s="770"/>
      <c r="IO339" s="296">
        <v>21264</v>
      </c>
      <c r="IP339" s="770" t="s">
        <v>478</v>
      </c>
      <c r="IQ339" s="769" t="s">
        <v>1975</v>
      </c>
      <c r="IR339" s="770" t="s">
        <v>1964</v>
      </c>
      <c r="IS339" s="770" t="s">
        <v>1966</v>
      </c>
      <c r="IT339" s="770"/>
      <c r="IU339" s="770" t="s">
        <v>1208</v>
      </c>
      <c r="IV339" s="770"/>
      <c r="IW339" s="770"/>
      <c r="IX339" s="770"/>
      <c r="IY339" s="770"/>
      <c r="IZ339" s="770"/>
      <c r="JA339" s="770"/>
      <c r="JB339" s="770" t="s">
        <v>12781</v>
      </c>
      <c r="JC339" s="770"/>
      <c r="JD339" s="302"/>
      <c r="JE339" s="770"/>
      <c r="JF339" s="770"/>
      <c r="JG339" s="770"/>
      <c r="JH339" s="770"/>
      <c r="JI339" s="770"/>
      <c r="JJ339" s="770"/>
      <c r="JK339" s="770"/>
      <c r="JL339" s="770"/>
      <c r="JM339" s="770"/>
      <c r="JN339" s="770"/>
      <c r="JO339" s="770"/>
      <c r="JP339" s="770"/>
      <c r="JQ339" s="770"/>
      <c r="JR339" s="770"/>
      <c r="JS339" s="770"/>
      <c r="JT339" s="766"/>
      <c r="JU339" s="766"/>
      <c r="JV339" s="766"/>
      <c r="JW339" s="766"/>
      <c r="JX339" s="770"/>
      <c r="JY339" s="770"/>
      <c r="JZ339" s="770"/>
      <c r="KA339" s="770"/>
      <c r="KB339" s="770"/>
      <c r="KC339" s="770"/>
      <c r="KD339" s="770"/>
      <c r="KE339" s="770"/>
      <c r="KF339" s="770"/>
      <c r="KG339" s="770"/>
      <c r="KH339" s="770"/>
      <c r="KI339" s="770"/>
      <c r="KJ339" s="770"/>
      <c r="KK339" s="770"/>
      <c r="KL339" s="770"/>
      <c r="KM339" s="770"/>
      <c r="KN339" s="770"/>
      <c r="KO339" s="770"/>
      <c r="KP339" s="770"/>
      <c r="KQ339" s="770"/>
      <c r="KR339" s="770"/>
      <c r="KS339" s="770"/>
      <c r="KT339" s="770"/>
      <c r="KU339" s="770"/>
      <c r="KV339" s="770"/>
      <c r="KW339" s="770"/>
      <c r="KX339" s="770"/>
      <c r="KY339" s="770"/>
      <c r="KZ339" s="770"/>
      <c r="LA339" s="770"/>
      <c r="LB339" s="770"/>
      <c r="LC339" s="770"/>
      <c r="LD339" s="770"/>
      <c r="LE339" s="770"/>
      <c r="LF339" s="770"/>
      <c r="LG339" s="770"/>
      <c r="LH339" s="770"/>
      <c r="LI339" s="770"/>
      <c r="LJ339" s="770"/>
      <c r="LK339" s="770"/>
      <c r="LL339" s="770"/>
      <c r="LM339" s="770"/>
      <c r="LN339" s="766"/>
      <c r="LO339" s="766"/>
      <c r="LP339" s="770"/>
      <c r="LQ339" s="770"/>
      <c r="LR339" s="770"/>
      <c r="LS339" s="770"/>
      <c r="LT339" s="770"/>
      <c r="LU339" s="770"/>
      <c r="LV339" s="770"/>
      <c r="LW339" s="770"/>
      <c r="LX339" s="769"/>
      <c r="LY339" s="766" t="str">
        <f t="shared" si="93"/>
        <v/>
      </c>
      <c r="LZ339" s="299"/>
      <c r="MA339" s="306"/>
      <c r="MB339" s="306"/>
      <c r="MC339" s="1679">
        <f>SUM(LZ339:MB339)</f>
        <v>0</v>
      </c>
      <c r="MD339" s="306"/>
      <c r="ME339" s="306"/>
      <c r="MF339" s="306"/>
      <c r="MG339" s="1680">
        <f>SUM(MD339:MF339)</f>
        <v>0</v>
      </c>
      <c r="MH339" s="770"/>
      <c r="MI339" s="302"/>
      <c r="MJ339" s="302"/>
      <c r="MK339" s="302"/>
      <c r="ML339" s="302"/>
      <c r="MM339" s="302"/>
      <c r="MN339" s="302"/>
      <c r="MO339" s="302"/>
      <c r="MP339" s="302"/>
      <c r="MQ339" s="302"/>
      <c r="MR339" s="302"/>
      <c r="MS339" s="302"/>
      <c r="MT339" s="302"/>
      <c r="MU339" s="302"/>
      <c r="MV339" s="302"/>
      <c r="MW339" s="302"/>
      <c r="MX339" s="302"/>
      <c r="MY339" s="1682">
        <f>IF(ISBLANK(MI339:MX339)=TRUE,"",SUM(MI339:MX339))</f>
        <v>0</v>
      </c>
      <c r="MZ339" s="770"/>
      <c r="NA339" s="770"/>
      <c r="NB339" s="770"/>
      <c r="NC339" s="770"/>
      <c r="ND339" s="770"/>
      <c r="NE339" s="770"/>
      <c r="NF339" s="770"/>
      <c r="NG339" s="770"/>
      <c r="NH339" s="770"/>
      <c r="NI339" s="770"/>
      <c r="NJ339" s="770"/>
      <c r="NK339" s="770"/>
      <c r="NL339" s="770"/>
      <c r="NM339" s="770"/>
      <c r="NN339" s="770"/>
      <c r="NO339" s="770"/>
      <c r="NP339" s="770"/>
      <c r="NQ339" s="770"/>
      <c r="NR339" s="770"/>
      <c r="NS339" s="770"/>
      <c r="NT339" s="770"/>
      <c r="NU339" s="770"/>
      <c r="NV339" s="770"/>
      <c r="NW339" s="770"/>
      <c r="NX339" s="770"/>
      <c r="NY339" s="770"/>
      <c r="NZ339" s="770"/>
      <c r="OA339" s="770"/>
      <c r="OB339" s="770"/>
      <c r="OC339" s="770"/>
      <c r="OD339" s="770"/>
      <c r="OE339" s="770"/>
      <c r="OF339" s="1828" t="s">
        <v>3650</v>
      </c>
      <c r="OG339" s="770"/>
      <c r="OH339" s="770"/>
      <c r="OI339" s="770"/>
      <c r="OJ339" s="770"/>
      <c r="OK339" s="770"/>
      <c r="OL339" s="770"/>
      <c r="OM339" s="770"/>
      <c r="ON339" s="770"/>
      <c r="OO339" s="770"/>
      <c r="OP339" s="770"/>
      <c r="OQ339" s="770"/>
      <c r="OR339" s="770"/>
      <c r="OS339" s="770"/>
      <c r="OT339" s="770"/>
      <c r="OU339" s="770"/>
      <c r="OV339" s="770"/>
      <c r="OW339" s="770"/>
      <c r="OX339" s="770"/>
      <c r="OY339" s="770"/>
      <c r="OZ339" s="770"/>
      <c r="PA339" s="770"/>
      <c r="PB339" s="770"/>
      <c r="PC339" s="770"/>
      <c r="PD339" s="770"/>
      <c r="PE339" s="770"/>
      <c r="PF339" s="770"/>
      <c r="PG339" s="770"/>
      <c r="PH339" s="770"/>
      <c r="PI339" s="770"/>
      <c r="PJ339" s="770"/>
      <c r="PK339" s="770"/>
      <c r="PL339" s="770"/>
      <c r="PM339" s="770"/>
      <c r="PN339" s="770"/>
      <c r="PO339" s="770"/>
      <c r="PP339" s="770"/>
      <c r="PQ339" s="770"/>
      <c r="PR339" s="770"/>
      <c r="PS339" s="770"/>
      <c r="PT339" s="770"/>
      <c r="PU339" s="770"/>
      <c r="PV339" s="770"/>
      <c r="PW339" s="770"/>
      <c r="PX339" s="770"/>
      <c r="PY339" s="770"/>
      <c r="PZ339" s="770"/>
      <c r="QA339" s="770"/>
      <c r="QB339" s="770"/>
      <c r="QC339" s="770"/>
      <c r="QD339" s="770"/>
      <c r="QE339" s="770"/>
      <c r="QF339" s="770"/>
      <c r="QG339" s="770"/>
      <c r="QH339" s="770"/>
      <c r="QI339" s="770"/>
      <c r="QJ339" s="770"/>
      <c r="QK339" s="770"/>
      <c r="QL339" s="770"/>
      <c r="QM339" s="770"/>
      <c r="QN339" s="770"/>
      <c r="QO339" s="770"/>
      <c r="QP339" s="770"/>
      <c r="QQ339" s="770"/>
      <c r="QR339" s="770"/>
      <c r="QS339" s="770"/>
      <c r="QT339" s="770"/>
      <c r="QU339" s="770"/>
      <c r="QV339" s="770"/>
      <c r="QW339" s="770"/>
      <c r="QX339" s="770"/>
      <c r="QY339" s="770"/>
      <c r="QZ339" s="770"/>
      <c r="RA339" s="770"/>
      <c r="RB339" s="770"/>
      <c r="RC339" s="770"/>
      <c r="RD339" s="770"/>
      <c r="RE339" s="770"/>
      <c r="RF339" s="304"/>
      <c r="RG339" s="770"/>
      <c r="RH339" s="302"/>
      <c r="RI339" s="770"/>
      <c r="RJ339" s="770" t="s">
        <v>13472</v>
      </c>
      <c r="RK339" s="770" t="s">
        <v>13401</v>
      </c>
      <c r="RL339" s="1710" t="s">
        <v>1604</v>
      </c>
      <c r="RM339" s="12"/>
      <c r="RN339" s="1711"/>
      <c r="RO339" s="140" t="s">
        <v>575</v>
      </c>
      <c r="RP339" s="11"/>
      <c r="RQ339" s="11"/>
      <c r="RR339" s="17"/>
      <c r="RS339" s="767"/>
      <c r="RT339" s="11"/>
      <c r="RU339" s="11"/>
      <c r="RV339" s="771" t="s">
        <v>7419</v>
      </c>
      <c r="RW339" s="11" t="s">
        <v>7641</v>
      </c>
      <c r="RX339" s="11" t="s">
        <v>571</v>
      </c>
      <c r="RY339" s="11"/>
      <c r="RZ339" s="11"/>
      <c r="SA339" s="771"/>
      <c r="SB339" s="11"/>
      <c r="SC339" s="11"/>
    </row>
    <row r="340" spans="1:497" ht="12.75" hidden="1" customHeight="1">
      <c r="A340" s="154" t="s">
        <v>7419</v>
      </c>
      <c r="B340" s="292" t="s">
        <v>7982</v>
      </c>
      <c r="C340" s="140" t="s">
        <v>581</v>
      </c>
      <c r="D340" s="770" t="s">
        <v>5546</v>
      </c>
      <c r="E340" s="770" t="s">
        <v>582</v>
      </c>
      <c r="F340" s="770" t="s">
        <v>28</v>
      </c>
      <c r="G340" s="770" t="s">
        <v>18</v>
      </c>
      <c r="H340" s="770"/>
      <c r="I340" s="295" t="s">
        <v>5547</v>
      </c>
      <c r="J340" s="94" t="s">
        <v>583</v>
      </c>
      <c r="K340" s="770"/>
      <c r="L340" s="770"/>
      <c r="M340" s="770"/>
      <c r="N340" s="770"/>
      <c r="O340" s="770"/>
      <c r="P340" s="770" t="s">
        <v>1039</v>
      </c>
      <c r="Q340" s="1088"/>
      <c r="R340" s="297">
        <v>55</v>
      </c>
      <c r="S340" s="770" t="s">
        <v>10</v>
      </c>
      <c r="T340" s="770"/>
      <c r="U340" s="298"/>
      <c r="V340" s="770" t="s">
        <v>783</v>
      </c>
      <c r="W340" s="770"/>
      <c r="X340" s="296"/>
      <c r="Y340" s="770"/>
      <c r="Z340" s="770" t="s">
        <v>708</v>
      </c>
      <c r="AA340" s="770" t="s">
        <v>709</v>
      </c>
      <c r="AB340" s="770" t="s">
        <v>710</v>
      </c>
      <c r="AC340" s="770" t="s">
        <v>724</v>
      </c>
      <c r="AD340" s="770"/>
      <c r="AE340" s="770"/>
      <c r="AF340" s="770"/>
      <c r="AG340" s="766" t="s">
        <v>1095</v>
      </c>
      <c r="AH340" s="766" t="s">
        <v>1096</v>
      </c>
      <c r="AI340" s="770" t="s">
        <v>1180</v>
      </c>
      <c r="AJ340" s="770"/>
      <c r="AK340" s="766" t="s">
        <v>1097</v>
      </c>
      <c r="AL340" s="299">
        <v>37.909999999999997</v>
      </c>
      <c r="AM340" s="300">
        <v>3.64</v>
      </c>
      <c r="AN340" s="301">
        <v>9.6000000000000002E-2</v>
      </c>
      <c r="AO340" s="766" t="s">
        <v>1098</v>
      </c>
      <c r="AP340" s="766"/>
      <c r="AQ340" s="766"/>
      <c r="AR340" s="766"/>
      <c r="AS340" s="770" t="s">
        <v>1207</v>
      </c>
      <c r="AT340" s="770" t="s">
        <v>1208</v>
      </c>
      <c r="AU340" s="770"/>
      <c r="AV340" s="770"/>
      <c r="AW340" s="770"/>
      <c r="AX340" s="770"/>
      <c r="AY340" s="770"/>
      <c r="AZ340" s="770"/>
      <c r="BA340" s="770"/>
      <c r="BB340" s="770"/>
      <c r="BC340" s="770" t="s">
        <v>796</v>
      </c>
      <c r="BD340" s="770" t="s">
        <v>1217</v>
      </c>
      <c r="BE340" s="770" t="s">
        <v>1214</v>
      </c>
      <c r="BF340" s="302"/>
      <c r="BG340" s="302"/>
      <c r="BH340" s="770"/>
      <c r="BI340" s="770"/>
      <c r="BJ340" s="770"/>
      <c r="BK340" s="770" t="s">
        <v>1095</v>
      </c>
      <c r="BL340" s="770" t="s">
        <v>1380</v>
      </c>
      <c r="BM340" s="766" t="s">
        <v>1096</v>
      </c>
      <c r="BN340" s="770" t="s">
        <v>1230</v>
      </c>
      <c r="BO340" s="766" t="s">
        <v>1239</v>
      </c>
      <c r="BP340" s="780">
        <v>75.819999999999993</v>
      </c>
      <c r="BQ340" s="772">
        <v>7.28</v>
      </c>
      <c r="BR340" s="774">
        <f>BQ340/BP340</f>
        <v>9.601688208915854E-2</v>
      </c>
      <c r="BS340" s="766" t="s">
        <v>1242</v>
      </c>
      <c r="BT340" s="766" t="s">
        <v>2040</v>
      </c>
      <c r="BU340" s="770" t="s">
        <v>1249</v>
      </c>
      <c r="BV340" s="770" t="s">
        <v>1247</v>
      </c>
      <c r="BW340" s="770">
        <v>1996</v>
      </c>
      <c r="BX340" s="302"/>
      <c r="BY340" s="303"/>
      <c r="BZ340" s="770"/>
      <c r="CA340" s="302"/>
      <c r="CB340" s="302" t="s">
        <v>1207</v>
      </c>
      <c r="CC340" s="770" t="s">
        <v>5548</v>
      </c>
      <c r="CD340" s="770"/>
      <c r="CE340" s="770"/>
      <c r="CF340" s="304">
        <v>2.1</v>
      </c>
      <c r="CG340" s="321">
        <v>8.5</v>
      </c>
      <c r="CH340" s="770" t="s">
        <v>5549</v>
      </c>
      <c r="CI340" s="770"/>
      <c r="CJ340" s="770"/>
      <c r="CK340" s="770">
        <v>2</v>
      </c>
      <c r="CL340" s="770" t="s">
        <v>5550</v>
      </c>
      <c r="CM340" s="770"/>
      <c r="CN340" s="770"/>
      <c r="CO340" s="770" t="s">
        <v>1257</v>
      </c>
      <c r="CP340" s="770"/>
      <c r="CQ340" s="770"/>
      <c r="CR340" s="770"/>
      <c r="CS340" s="302"/>
      <c r="CT340" s="770"/>
      <c r="CU340" s="305"/>
      <c r="CV340" s="770"/>
      <c r="CW340" s="770"/>
      <c r="CX340" s="770"/>
      <c r="CY340" s="770"/>
      <c r="CZ340" s="770"/>
      <c r="DA340" s="306"/>
      <c r="DB340" s="770"/>
      <c r="DC340" s="770"/>
      <c r="DD340" s="770"/>
      <c r="DE340" s="300"/>
      <c r="DF340" s="770"/>
      <c r="DG340" s="770"/>
      <c r="DH340" s="770"/>
      <c r="DI340" s="770"/>
      <c r="DJ340" s="770"/>
      <c r="DK340" s="770"/>
      <c r="DL340" s="770"/>
      <c r="DM340" s="770"/>
      <c r="DN340" s="322"/>
      <c r="DO340" s="770"/>
      <c r="DP340" s="770"/>
      <c r="DQ340" s="770"/>
      <c r="DR340" s="770"/>
      <c r="DS340" s="307"/>
      <c r="DT340" s="770"/>
      <c r="DU340" s="770"/>
      <c r="DV340" s="770"/>
      <c r="DW340" s="306"/>
      <c r="DX340" s="306"/>
      <c r="DY340" s="770"/>
      <c r="DZ340" s="770"/>
      <c r="EA340" s="770"/>
      <c r="EB340" s="770"/>
      <c r="EC340" s="770"/>
      <c r="ED340" s="770"/>
      <c r="EE340" s="770"/>
      <c r="EF340" s="770"/>
      <c r="EG340" s="770"/>
      <c r="EH340" s="770"/>
      <c r="EI340" s="770"/>
      <c r="EJ340" s="770"/>
      <c r="EK340" s="770"/>
      <c r="EL340" s="770"/>
      <c r="EM340" s="770"/>
      <c r="EN340" s="770"/>
      <c r="EO340" s="770"/>
      <c r="EP340" s="94"/>
      <c r="EQ340" s="770"/>
      <c r="ER340" s="770"/>
      <c r="ES340" s="770"/>
      <c r="ET340" s="770"/>
      <c r="EU340" s="770"/>
      <c r="EV340" s="770"/>
      <c r="EW340" s="770"/>
      <c r="EX340" s="770"/>
      <c r="EY340" s="770"/>
      <c r="EZ340" s="770" t="s">
        <v>5551</v>
      </c>
      <c r="FA340" s="770" t="s">
        <v>5552</v>
      </c>
      <c r="FB340" s="770" t="s">
        <v>1257</v>
      </c>
      <c r="FC340" s="770"/>
      <c r="FD340" s="302"/>
      <c r="FE340" s="770" t="s">
        <v>1543</v>
      </c>
      <c r="FF340" s="770" t="s">
        <v>1544</v>
      </c>
      <c r="FG340" s="770"/>
      <c r="FH340" s="770" t="s">
        <v>1305</v>
      </c>
      <c r="FI340" s="770">
        <v>2</v>
      </c>
      <c r="FJ340" s="770"/>
      <c r="FK340" s="770"/>
      <c r="FL340" s="770"/>
      <c r="FM340" s="302"/>
      <c r="FN340" s="302"/>
      <c r="FO340" s="302"/>
      <c r="FP340" s="770"/>
      <c r="FQ340" s="770"/>
      <c r="FR340" s="770" t="s">
        <v>1207</v>
      </c>
      <c r="FS340" s="770" t="s">
        <v>1208</v>
      </c>
      <c r="FT340" s="770"/>
      <c r="FU340" s="770"/>
      <c r="FV340" s="770"/>
      <c r="FW340" s="770"/>
      <c r="FX340" s="770"/>
      <c r="FY340" s="770"/>
      <c r="FZ340" s="770"/>
      <c r="GA340" s="770"/>
      <c r="GB340" s="770" t="s">
        <v>796</v>
      </c>
      <c r="GC340" s="308"/>
      <c r="GD340" s="297"/>
      <c r="GE340" s="770"/>
      <c r="GF340" s="302"/>
      <c r="GG340" s="302"/>
      <c r="GH340" s="770"/>
      <c r="GI340" s="770"/>
      <c r="GJ340" s="770"/>
      <c r="GK340" s="770"/>
      <c r="GL340" s="770"/>
      <c r="GM340" s="770"/>
      <c r="GN340" s="309"/>
      <c r="GO340" s="770"/>
      <c r="GP340" s="770"/>
      <c r="GQ340" s="770"/>
      <c r="GR340" s="770"/>
      <c r="GS340" s="770"/>
      <c r="GT340" s="770"/>
      <c r="GU340" s="770"/>
      <c r="GV340" s="770"/>
      <c r="GW340" s="770"/>
      <c r="GX340" s="770"/>
      <c r="GY340" s="770"/>
      <c r="GZ340" s="770"/>
      <c r="HA340" s="770"/>
      <c r="HB340" s="770"/>
      <c r="HC340" s="770"/>
      <c r="HD340" s="770"/>
      <c r="HE340" s="770"/>
      <c r="HF340" s="770"/>
      <c r="HG340" s="770"/>
      <c r="HH340" s="770"/>
      <c r="HI340" s="770"/>
      <c r="HJ340" s="770"/>
      <c r="HK340" s="770"/>
      <c r="HL340" s="770"/>
      <c r="HM340" s="770"/>
      <c r="HN340" s="770"/>
      <c r="HO340" s="770"/>
      <c r="HP340" s="770"/>
      <c r="HQ340" s="770"/>
      <c r="HR340" s="770"/>
      <c r="HS340" s="770"/>
      <c r="HT340" s="770"/>
      <c r="HU340" s="770"/>
      <c r="HV340" s="770"/>
      <c r="HW340" s="770"/>
      <c r="HX340" s="770"/>
      <c r="HY340" s="770"/>
      <c r="HZ340" s="770"/>
      <c r="IA340" s="770"/>
      <c r="IB340" s="14" t="e">
        <f>IF(#REF!&gt;0,IF(#REF!&lt;=10000,"Y",""),"")</f>
        <v>#REF!</v>
      </c>
      <c r="IC340" s="770"/>
      <c r="ID340" s="770"/>
      <c r="IE340" s="770">
        <v>1</v>
      </c>
      <c r="IF340" s="770"/>
      <c r="IG340" s="770"/>
      <c r="IH340" s="770"/>
      <c r="II340" s="770"/>
      <c r="IJ340" s="770"/>
      <c r="IK340" s="770"/>
      <c r="IL340" s="770"/>
      <c r="IM340" s="770"/>
      <c r="IN340" s="770"/>
      <c r="IO340" s="296"/>
      <c r="IP340" s="770"/>
      <c r="IQ340" s="770"/>
      <c r="IR340" s="770"/>
      <c r="IS340" s="770"/>
      <c r="IT340" s="770"/>
      <c r="IU340" s="770"/>
      <c r="IV340" s="770"/>
      <c r="IW340" s="770"/>
      <c r="IX340" s="770"/>
      <c r="IY340" s="770"/>
      <c r="IZ340" s="770"/>
      <c r="JA340" s="770"/>
      <c r="JB340" s="770"/>
      <c r="JC340" s="770"/>
      <c r="JD340" s="302"/>
      <c r="JE340" s="770"/>
      <c r="JF340" s="770"/>
      <c r="JG340" s="770"/>
      <c r="JH340" s="770"/>
      <c r="JI340" s="770"/>
      <c r="JJ340" s="770">
        <v>3</v>
      </c>
      <c r="JK340" s="770" t="s">
        <v>2118</v>
      </c>
      <c r="JL340" s="770">
        <v>1</v>
      </c>
      <c r="JM340" s="770"/>
      <c r="JN340" s="770">
        <v>1</v>
      </c>
      <c r="JO340" s="770">
        <v>1</v>
      </c>
      <c r="JP340" s="770"/>
      <c r="JQ340" s="770"/>
      <c r="JR340" s="770"/>
      <c r="JS340" s="770"/>
      <c r="JT340" s="766">
        <f>SUM(JP340,JN340,JL340,JR340)</f>
        <v>2</v>
      </c>
      <c r="JU340" s="766">
        <f>SUM(JQ340,JO340,JM340,JS340)</f>
        <v>1</v>
      </c>
      <c r="JV340" s="766"/>
      <c r="JW340" s="766"/>
      <c r="JX340" s="770"/>
      <c r="JY340" s="770"/>
      <c r="JZ340" s="770">
        <v>1</v>
      </c>
      <c r="KA340" s="770"/>
      <c r="KB340" s="770"/>
      <c r="KC340" s="770"/>
      <c r="KD340" s="770">
        <v>1</v>
      </c>
      <c r="KE340" s="770">
        <v>1</v>
      </c>
      <c r="KF340" s="770"/>
      <c r="KG340" s="770"/>
      <c r="KH340" s="770"/>
      <c r="KI340" s="770"/>
      <c r="KJ340" s="770">
        <f>SUM(KF340,KD340,KB340,JZ340,JX340,KH340)</f>
        <v>2</v>
      </c>
      <c r="KK340" s="770">
        <f>SUM(KG340,KE340,KC340,KA340,JY340,KI340)</f>
        <v>1</v>
      </c>
      <c r="KL340" s="770"/>
      <c r="KM340" s="770"/>
      <c r="KN340" s="770" t="s">
        <v>783</v>
      </c>
      <c r="KO340" s="770"/>
      <c r="KP340" s="770"/>
      <c r="KQ340" s="770"/>
      <c r="KR340" s="770"/>
      <c r="KS340" s="770"/>
      <c r="KT340" s="770">
        <v>2</v>
      </c>
      <c r="KU340" s="770"/>
      <c r="KV340" s="770"/>
      <c r="KW340" s="770"/>
      <c r="KX340" s="770"/>
      <c r="KY340" s="770"/>
      <c r="KZ340" s="770"/>
      <c r="LA340" s="770"/>
      <c r="LB340" s="770"/>
      <c r="LC340" s="770">
        <v>1</v>
      </c>
      <c r="LD340" s="770"/>
      <c r="LE340" s="770"/>
      <c r="LF340" s="770"/>
      <c r="LG340" s="770"/>
      <c r="LH340" s="770"/>
      <c r="LI340" s="770"/>
      <c r="LJ340" s="770"/>
      <c r="LK340" s="770"/>
      <c r="LL340" s="770"/>
      <c r="LM340" s="770"/>
      <c r="LN340" s="766">
        <f>SUM(KP340,KR340,KT340,KV340,KX340,KZ340,LB340,LD340,LF340,LH340,LJ340,LL340)</f>
        <v>2</v>
      </c>
      <c r="LO340" s="766">
        <f>SUM(KQ340,KS340,KU340,KW340,KY340,LA340,LC340,LE340,LG340,LI340,LK340,LM340)</f>
        <v>1</v>
      </c>
      <c r="LP340" s="770">
        <v>1</v>
      </c>
      <c r="LQ340" s="770"/>
      <c r="LR340" s="770"/>
      <c r="LS340" s="770" t="s">
        <v>1208</v>
      </c>
      <c r="LT340" s="770"/>
      <c r="LU340" s="770"/>
      <c r="LV340" s="770"/>
      <c r="LW340" s="770">
        <v>1</v>
      </c>
      <c r="LX340" s="769"/>
      <c r="LY340" s="766" t="str">
        <f t="shared" si="93"/>
        <v/>
      </c>
      <c r="LZ340" s="299"/>
      <c r="MA340" s="306"/>
      <c r="MB340" s="306"/>
      <c r="MC340" s="1679">
        <f t="shared" si="91"/>
        <v>0</v>
      </c>
      <c r="MD340" s="306"/>
      <c r="ME340" s="306"/>
      <c r="MF340" s="306" t="s">
        <v>1208</v>
      </c>
      <c r="MG340" s="1680">
        <f t="shared" si="97"/>
        <v>0</v>
      </c>
      <c r="MH340" s="770"/>
      <c r="MI340" s="302">
        <v>6000</v>
      </c>
      <c r="MJ340" s="302"/>
      <c r="MK340" s="302"/>
      <c r="ML340" s="302">
        <v>2500</v>
      </c>
      <c r="MM340" s="302">
        <v>140</v>
      </c>
      <c r="MN340" s="302"/>
      <c r="MO340" s="302">
        <v>300</v>
      </c>
      <c r="MP340" s="302">
        <v>700</v>
      </c>
      <c r="MQ340" s="302">
        <v>150</v>
      </c>
      <c r="MR340" s="302"/>
      <c r="MS340" s="302"/>
      <c r="MT340" s="302"/>
      <c r="MU340" s="302"/>
      <c r="MV340" s="302"/>
      <c r="MW340" s="302"/>
      <c r="MX340" s="302"/>
      <c r="MY340" s="1682">
        <f t="shared" si="98"/>
        <v>9790</v>
      </c>
      <c r="MZ340" s="770" t="s">
        <v>13370</v>
      </c>
      <c r="NA340" s="770" t="s">
        <v>13230</v>
      </c>
      <c r="NB340" s="770" t="s">
        <v>13371</v>
      </c>
      <c r="NC340" s="770" t="s">
        <v>13026</v>
      </c>
      <c r="ND340" s="770">
        <v>0</v>
      </c>
      <c r="NE340" s="770">
        <v>0</v>
      </c>
      <c r="NF340" s="770">
        <v>1</v>
      </c>
      <c r="NG340" s="770">
        <v>3</v>
      </c>
      <c r="NH340" s="770">
        <v>1</v>
      </c>
      <c r="NI340" s="770">
        <v>1</v>
      </c>
      <c r="NJ340" s="770">
        <v>1</v>
      </c>
      <c r="NK340" s="770">
        <v>0</v>
      </c>
      <c r="NL340" s="770">
        <v>0</v>
      </c>
      <c r="NM340" s="770">
        <v>0</v>
      </c>
      <c r="NN340" s="770">
        <v>0</v>
      </c>
      <c r="NO340" s="770">
        <v>0</v>
      </c>
      <c r="NP340" s="770">
        <v>0</v>
      </c>
      <c r="NQ340" s="770">
        <v>0</v>
      </c>
      <c r="NR340" s="770">
        <v>0</v>
      </c>
      <c r="NS340" s="770">
        <v>0</v>
      </c>
      <c r="NT340" s="770">
        <v>0</v>
      </c>
      <c r="NU340" s="770">
        <v>0</v>
      </c>
      <c r="NV340" s="770">
        <v>0</v>
      </c>
      <c r="NW340" s="770">
        <v>0</v>
      </c>
      <c r="NX340" s="770">
        <v>0</v>
      </c>
      <c r="NY340" s="770"/>
      <c r="NZ340" s="770"/>
      <c r="OA340" s="770"/>
      <c r="OB340" s="770"/>
      <c r="OC340" s="770"/>
      <c r="OD340" s="770"/>
      <c r="OE340" s="770"/>
      <c r="OF340" s="770"/>
      <c r="OG340" s="770"/>
      <c r="OH340" s="770"/>
      <c r="OI340" s="770"/>
      <c r="OJ340" s="770"/>
      <c r="OK340" s="770"/>
      <c r="OL340" s="770"/>
      <c r="OM340" s="770"/>
      <c r="ON340" s="770"/>
      <c r="OO340" s="770"/>
      <c r="OP340" s="770"/>
      <c r="OQ340" s="770"/>
      <c r="OR340" s="770"/>
      <c r="OS340" s="770"/>
      <c r="OT340" s="770"/>
      <c r="OU340" s="770"/>
      <c r="OV340" s="770"/>
      <c r="OW340" s="770"/>
      <c r="OX340" s="770"/>
      <c r="OY340" s="770"/>
      <c r="OZ340" s="770"/>
      <c r="PA340" s="770"/>
      <c r="PB340" s="770"/>
      <c r="PC340" s="770"/>
      <c r="PD340" s="770"/>
      <c r="PE340" s="770"/>
      <c r="PF340" s="770"/>
      <c r="PG340" s="770"/>
      <c r="PH340" s="770"/>
      <c r="PI340" s="770"/>
      <c r="PJ340" s="770"/>
      <c r="PK340" s="770" t="s">
        <v>1208</v>
      </c>
      <c r="PL340" s="770"/>
      <c r="PM340" s="770"/>
      <c r="PN340" s="770"/>
      <c r="PO340" s="770"/>
      <c r="PP340" s="770"/>
      <c r="PQ340" s="770"/>
      <c r="PR340" s="770"/>
      <c r="PS340" s="770"/>
      <c r="PT340" s="770"/>
      <c r="PU340" s="770"/>
      <c r="PV340" s="770"/>
      <c r="PW340" s="770"/>
      <c r="PX340" s="770"/>
      <c r="PY340" s="770"/>
      <c r="PZ340" s="770"/>
      <c r="QA340" s="770"/>
      <c r="QB340" s="770"/>
      <c r="QC340" s="770"/>
      <c r="QD340" s="770"/>
      <c r="QE340" s="770"/>
      <c r="QF340" s="770"/>
      <c r="QG340" s="770"/>
      <c r="QH340" s="770"/>
      <c r="QI340" s="770"/>
      <c r="QJ340" s="770"/>
      <c r="QK340" s="770"/>
      <c r="QL340" s="770"/>
      <c r="QM340" s="770"/>
      <c r="QN340" s="770"/>
      <c r="QO340" s="770"/>
      <c r="QP340" s="770"/>
      <c r="QQ340" s="770"/>
      <c r="QR340" s="770"/>
      <c r="QS340" s="770"/>
      <c r="QT340" s="770"/>
      <c r="QU340" s="770"/>
      <c r="QV340" s="770"/>
      <c r="QW340" s="770"/>
      <c r="QX340" s="770"/>
      <c r="QY340" s="770"/>
      <c r="QZ340" s="770"/>
      <c r="RA340" s="770"/>
      <c r="RB340" s="770" t="s">
        <v>1207</v>
      </c>
      <c r="RC340" s="770">
        <v>2009</v>
      </c>
      <c r="RD340" s="770" t="s">
        <v>13036</v>
      </c>
      <c r="RE340" s="770" t="s">
        <v>12999</v>
      </c>
      <c r="RF340" s="304">
        <f>CONVERT(1.5,"ft","m")</f>
        <v>0.4572</v>
      </c>
      <c r="RG340" s="770" t="s">
        <v>13474</v>
      </c>
      <c r="RH340" s="302">
        <v>0</v>
      </c>
      <c r="RI340" s="770">
        <v>48</v>
      </c>
      <c r="RJ340" s="770" t="s">
        <v>13475</v>
      </c>
      <c r="RK340" s="770" t="s">
        <v>13401</v>
      </c>
      <c r="RL340" s="1710" t="s">
        <v>1604</v>
      </c>
      <c r="RM340" s="12"/>
      <c r="RN340" s="1711"/>
      <c r="RO340" s="140" t="s">
        <v>581</v>
      </c>
      <c r="RP340" s="11"/>
      <c r="RQ340" s="11"/>
      <c r="RR340" s="771"/>
      <c r="RS340" s="767"/>
      <c r="RT340" s="11"/>
      <c r="RU340" s="11"/>
      <c r="RV340" s="771" t="s">
        <v>7419</v>
      </c>
      <c r="RW340" s="11" t="s">
        <v>13476</v>
      </c>
      <c r="RX340" s="11" t="s">
        <v>7973</v>
      </c>
      <c r="RY340" s="11"/>
      <c r="RZ340" s="11" t="s">
        <v>2209</v>
      </c>
      <c r="SA340" s="771"/>
      <c r="SB340" s="11"/>
      <c r="SC340" s="11"/>
    </row>
    <row r="341" spans="1:497" s="16" customFormat="1" ht="12.75" hidden="1" customHeight="1">
      <c r="A341" s="154" t="s">
        <v>14173</v>
      </c>
      <c r="B341" s="292" t="s">
        <v>7983</v>
      </c>
      <c r="C341" s="140" t="s">
        <v>581</v>
      </c>
      <c r="D341" s="770"/>
      <c r="E341" s="770" t="s">
        <v>582</v>
      </c>
      <c r="F341" s="770"/>
      <c r="G341" s="770"/>
      <c r="H341" s="770"/>
      <c r="I341" s="295"/>
      <c r="J341" s="94"/>
      <c r="K341" s="770"/>
      <c r="L341" s="770"/>
      <c r="M341" s="770"/>
      <c r="N341" s="770"/>
      <c r="O341" s="770"/>
      <c r="P341" s="770"/>
      <c r="Q341" s="1088"/>
      <c r="R341" s="12"/>
      <c r="S341" s="297"/>
      <c r="T341" s="770"/>
      <c r="U341" s="298"/>
      <c r="V341" s="770"/>
      <c r="W341" s="770"/>
      <c r="X341" s="296"/>
      <c r="Y341" s="770"/>
      <c r="Z341" s="770"/>
      <c r="AA341" s="770"/>
      <c r="AB341" s="770"/>
      <c r="AC341" s="770"/>
      <c r="AD341" s="770"/>
      <c r="AE341" s="770"/>
      <c r="AF341" s="770"/>
      <c r="AG341" s="770"/>
      <c r="AH341" s="770"/>
      <c r="AI341" s="770"/>
      <c r="AJ341" s="770"/>
      <c r="AK341" s="770" t="s">
        <v>5454</v>
      </c>
      <c r="AL341" s="299"/>
      <c r="AM341" s="300"/>
      <c r="AN341" s="301"/>
      <c r="AO341" s="766"/>
      <c r="AP341" s="766"/>
      <c r="AQ341" s="766"/>
      <c r="AR341" s="766"/>
      <c r="AS341" s="770"/>
      <c r="AT341" s="770"/>
      <c r="AU341" s="770"/>
      <c r="AV341" s="770"/>
      <c r="AW341" s="770"/>
      <c r="AX341" s="770"/>
      <c r="AY341" s="770"/>
      <c r="AZ341" s="770"/>
      <c r="BA341" s="770"/>
      <c r="BB341" s="770"/>
      <c r="BC341" s="770"/>
      <c r="BD341" s="770"/>
      <c r="BE341" s="770"/>
      <c r="BF341" s="302"/>
      <c r="BG341" s="302"/>
      <c r="BH341" s="770"/>
      <c r="BI341" s="770"/>
      <c r="BJ341" s="770"/>
      <c r="BK341" s="770"/>
      <c r="BL341" s="770"/>
      <c r="BM341" s="770"/>
      <c r="BN341" s="770"/>
      <c r="BO341" s="770"/>
      <c r="BP341" s="780"/>
      <c r="BQ341" s="772"/>
      <c r="BR341" s="774"/>
      <c r="BS341" s="766"/>
      <c r="BT341" s="766"/>
      <c r="BU341" s="770"/>
      <c r="BV341" s="770"/>
      <c r="BW341" s="770"/>
      <c r="BX341" s="302"/>
      <c r="BY341" s="303"/>
      <c r="BZ341" s="770"/>
      <c r="CA341" s="302"/>
      <c r="CB341" s="302" t="s">
        <v>1207</v>
      </c>
      <c r="CC341" s="770" t="s">
        <v>5548</v>
      </c>
      <c r="CD341" s="770"/>
      <c r="CE341" s="770"/>
      <c r="CF341" s="304">
        <v>2.1</v>
      </c>
      <c r="CG341" s="321">
        <v>8.5</v>
      </c>
      <c r="CH341" s="770" t="s">
        <v>5549</v>
      </c>
      <c r="CI341" s="770"/>
      <c r="CJ341" s="770"/>
      <c r="CK341" s="770">
        <v>2</v>
      </c>
      <c r="CL341" s="770" t="s">
        <v>5550</v>
      </c>
      <c r="CM341" s="770"/>
      <c r="CN341" s="770"/>
      <c r="CO341" s="770" t="s">
        <v>1257</v>
      </c>
      <c r="CP341" s="770"/>
      <c r="CQ341" s="770"/>
      <c r="CR341" s="770"/>
      <c r="CS341" s="302"/>
      <c r="CT341" s="770"/>
      <c r="CU341" s="305"/>
      <c r="CV341" s="770"/>
      <c r="CW341" s="770"/>
      <c r="CX341" s="770"/>
      <c r="CY341" s="770"/>
      <c r="CZ341" s="770"/>
      <c r="DA341" s="306"/>
      <c r="DB341" s="770"/>
      <c r="DC341" s="770"/>
      <c r="DD341" s="770"/>
      <c r="DE341" s="300"/>
      <c r="DF341" s="770"/>
      <c r="DG341" s="770"/>
      <c r="DH341" s="770"/>
      <c r="DI341" s="770"/>
      <c r="DJ341" s="770"/>
      <c r="DK341" s="770"/>
      <c r="DL341" s="770"/>
      <c r="DM341" s="770"/>
      <c r="DN341" s="322"/>
      <c r="DO341" s="770"/>
      <c r="DP341" s="770"/>
      <c r="DQ341" s="770"/>
      <c r="DR341" s="770"/>
      <c r="DS341" s="307"/>
      <c r="DT341" s="770"/>
      <c r="DU341" s="770"/>
      <c r="DV341" s="770"/>
      <c r="DW341" s="306"/>
      <c r="DX341" s="306"/>
      <c r="DY341" s="770"/>
      <c r="DZ341" s="770"/>
      <c r="EA341" s="770"/>
      <c r="EB341" s="770"/>
      <c r="EC341" s="770"/>
      <c r="ED341" s="770"/>
      <c r="EE341" s="770"/>
      <c r="EF341" s="770"/>
      <c r="EG341" s="770"/>
      <c r="EH341" s="770"/>
      <c r="EI341" s="770"/>
      <c r="EJ341" s="770"/>
      <c r="EK341" s="770"/>
      <c r="EL341" s="770"/>
      <c r="EM341" s="770"/>
      <c r="EN341" s="770"/>
      <c r="EO341" s="770"/>
      <c r="EP341" s="94"/>
      <c r="EQ341" s="770"/>
      <c r="ER341" s="770"/>
      <c r="ES341" s="770"/>
      <c r="ET341" s="770"/>
      <c r="EU341" s="770"/>
      <c r="EV341" s="770"/>
      <c r="EW341" s="770"/>
      <c r="EX341" s="770"/>
      <c r="EY341" s="770"/>
      <c r="EZ341" s="770"/>
      <c r="FA341" s="770"/>
      <c r="FB341" s="770"/>
      <c r="FC341" s="770"/>
      <c r="FD341" s="302"/>
      <c r="FE341" s="770"/>
      <c r="FF341" s="770"/>
      <c r="FG341" s="770"/>
      <c r="FH341" s="770"/>
      <c r="FI341" s="770"/>
      <c r="FJ341" s="770"/>
      <c r="FK341" s="770"/>
      <c r="FL341" s="770"/>
      <c r="FM341" s="302"/>
      <c r="FN341" s="302"/>
      <c r="FO341" s="302"/>
      <c r="FP341" s="770"/>
      <c r="FQ341" s="770"/>
      <c r="FR341" s="770"/>
      <c r="FS341" s="770"/>
      <c r="FT341" s="770"/>
      <c r="FU341" s="770"/>
      <c r="FV341" s="770"/>
      <c r="FW341" s="770"/>
      <c r="FX341" s="770"/>
      <c r="FY341" s="770"/>
      <c r="FZ341" s="770"/>
      <c r="GA341" s="770"/>
      <c r="GB341" s="770"/>
      <c r="GC341" s="308"/>
      <c r="GD341" s="297"/>
      <c r="GE341" s="770"/>
      <c r="GF341" s="302"/>
      <c r="GG341" s="302"/>
      <c r="GH341" s="770"/>
      <c r="GI341" s="770"/>
      <c r="GJ341" s="770"/>
      <c r="GK341" s="770"/>
      <c r="GL341" s="770"/>
      <c r="GM341" s="770"/>
      <c r="GN341" s="309"/>
      <c r="GO341" s="770"/>
      <c r="GP341" s="770"/>
      <c r="GQ341" s="770"/>
      <c r="GR341" s="770"/>
      <c r="GS341" s="770"/>
      <c r="GT341" s="770"/>
      <c r="GU341" s="770"/>
      <c r="GV341" s="770"/>
      <c r="GW341" s="770"/>
      <c r="GX341" s="770"/>
      <c r="GY341" s="770"/>
      <c r="GZ341" s="770"/>
      <c r="HA341" s="770"/>
      <c r="HB341" s="770"/>
      <c r="HC341" s="770"/>
      <c r="HD341" s="770"/>
      <c r="HE341" s="770"/>
      <c r="HF341" s="770"/>
      <c r="HG341" s="770"/>
      <c r="HH341" s="770"/>
      <c r="HI341" s="770"/>
      <c r="HJ341" s="770"/>
      <c r="HK341" s="770"/>
      <c r="HL341" s="770"/>
      <c r="HM341" s="770"/>
      <c r="HN341" s="770"/>
      <c r="HO341" s="770"/>
      <c r="HP341" s="770"/>
      <c r="HQ341" s="770"/>
      <c r="HR341" s="770"/>
      <c r="HS341" s="770"/>
      <c r="HT341" s="770"/>
      <c r="HU341" s="770"/>
      <c r="HV341" s="770"/>
      <c r="HW341" s="770"/>
      <c r="HX341" s="770"/>
      <c r="HY341" s="770"/>
      <c r="HZ341" s="770"/>
      <c r="IA341" s="770"/>
      <c r="IB341" s="14" t="e">
        <f>IF(#REF!&gt;0,IF(#REF!&lt;=10000,"Y",""),"")</f>
        <v>#REF!</v>
      </c>
      <c r="IC341" s="770"/>
      <c r="ID341" s="770"/>
      <c r="IE341" s="770"/>
      <c r="IF341" s="770"/>
      <c r="IG341" s="770"/>
      <c r="IH341" s="770"/>
      <c r="II341" s="770"/>
      <c r="IJ341" s="770"/>
      <c r="IK341" s="766"/>
      <c r="IL341" s="770"/>
      <c r="IM341" s="770"/>
      <c r="IN341" s="770"/>
      <c r="IO341" s="296"/>
      <c r="IP341" s="770"/>
      <c r="IQ341" s="770"/>
      <c r="IR341" s="770"/>
      <c r="IS341" s="770"/>
      <c r="IT341" s="770"/>
      <c r="IU341" s="770"/>
      <c r="IV341" s="770"/>
      <c r="IW341" s="770"/>
      <c r="IX341" s="770"/>
      <c r="IY341" s="770"/>
      <c r="IZ341" s="770"/>
      <c r="JA341" s="770"/>
      <c r="JB341" s="770"/>
      <c r="JC341" s="770"/>
      <c r="JD341" s="302"/>
      <c r="JE341" s="770"/>
      <c r="JF341" s="770"/>
      <c r="JG341" s="770"/>
      <c r="JH341" s="770"/>
      <c r="JI341" s="770"/>
      <c r="JJ341" s="770"/>
      <c r="JK341" s="770"/>
      <c r="JL341" s="770"/>
      <c r="JM341" s="770"/>
      <c r="JN341" s="770"/>
      <c r="JO341" s="770"/>
      <c r="JP341" s="770"/>
      <c r="JQ341" s="770"/>
      <c r="JR341" s="770"/>
      <c r="JS341" s="770"/>
      <c r="JT341" s="766"/>
      <c r="JU341" s="766"/>
      <c r="JV341" s="766"/>
      <c r="JW341" s="766"/>
      <c r="JX341" s="770"/>
      <c r="JY341" s="770"/>
      <c r="JZ341" s="770"/>
      <c r="KA341" s="770"/>
      <c r="KB341" s="770"/>
      <c r="KC341" s="770"/>
      <c r="KD341" s="770"/>
      <c r="KE341" s="770"/>
      <c r="KF341" s="770"/>
      <c r="KG341" s="770"/>
      <c r="KH341" s="770"/>
      <c r="KI341" s="770"/>
      <c r="KJ341" s="770"/>
      <c r="KK341" s="770"/>
      <c r="KL341" s="770"/>
      <c r="KM341" s="770"/>
      <c r="KN341" s="770"/>
      <c r="KO341" s="770"/>
      <c r="KP341" s="770"/>
      <c r="KQ341" s="770"/>
      <c r="KR341" s="770"/>
      <c r="KS341" s="770"/>
      <c r="KT341" s="770"/>
      <c r="KU341" s="770"/>
      <c r="KV341" s="770"/>
      <c r="KW341" s="770"/>
      <c r="KX341" s="770"/>
      <c r="KY341" s="770"/>
      <c r="KZ341" s="770"/>
      <c r="LA341" s="770"/>
      <c r="LB341" s="770"/>
      <c r="LC341" s="770"/>
      <c r="LD341" s="770"/>
      <c r="LE341" s="770"/>
      <c r="LF341" s="770"/>
      <c r="LG341" s="770"/>
      <c r="LH341" s="770"/>
      <c r="LI341" s="770"/>
      <c r="LJ341" s="770"/>
      <c r="LK341" s="770"/>
      <c r="LL341" s="770"/>
      <c r="LM341" s="770"/>
      <c r="LN341" s="766"/>
      <c r="LO341" s="766"/>
      <c r="LP341" s="770"/>
      <c r="LQ341" s="770"/>
      <c r="LR341" s="770"/>
      <c r="LS341" s="770"/>
      <c r="LT341" s="770"/>
      <c r="LU341" s="770"/>
      <c r="LV341" s="770"/>
      <c r="LW341" s="770"/>
      <c r="LX341" s="769"/>
      <c r="LY341" s="766" t="str">
        <f t="shared" si="93"/>
        <v/>
      </c>
      <c r="LZ341" s="299"/>
      <c r="MA341" s="306"/>
      <c r="MB341" s="306"/>
      <c r="MC341" s="1679">
        <f t="shared" si="91"/>
        <v>0</v>
      </c>
      <c r="MD341" s="306"/>
      <c r="ME341" s="306"/>
      <c r="MF341" s="306"/>
      <c r="MG341" s="1680">
        <f t="shared" si="97"/>
        <v>0</v>
      </c>
      <c r="MH341" s="770"/>
      <c r="MI341" s="302"/>
      <c r="MJ341" s="302"/>
      <c r="MK341" s="302"/>
      <c r="ML341" s="302"/>
      <c r="MM341" s="302"/>
      <c r="MN341" s="302"/>
      <c r="MO341" s="302"/>
      <c r="MP341" s="302"/>
      <c r="MQ341" s="302"/>
      <c r="MR341" s="302"/>
      <c r="MS341" s="302"/>
      <c r="MT341" s="302"/>
      <c r="MU341" s="302"/>
      <c r="MV341" s="302"/>
      <c r="MW341" s="302"/>
      <c r="MX341" s="302"/>
      <c r="MY341" s="1682">
        <f t="shared" si="98"/>
        <v>0</v>
      </c>
      <c r="MZ341" s="770"/>
      <c r="NA341" s="770"/>
      <c r="NB341" s="770"/>
      <c r="NC341" s="770"/>
      <c r="ND341" s="770"/>
      <c r="NE341" s="770"/>
      <c r="NF341" s="770"/>
      <c r="NG341" s="770"/>
      <c r="NH341" s="770"/>
      <c r="NI341" s="770"/>
      <c r="NJ341" s="770"/>
      <c r="NK341" s="770"/>
      <c r="NL341" s="770"/>
      <c r="NM341" s="770"/>
      <c r="NN341" s="770"/>
      <c r="NO341" s="770"/>
      <c r="NP341" s="770"/>
      <c r="NQ341" s="770"/>
      <c r="NR341" s="770"/>
      <c r="NS341" s="770"/>
      <c r="NT341" s="770"/>
      <c r="NU341" s="770"/>
      <c r="NV341" s="770"/>
      <c r="NW341" s="770"/>
      <c r="NX341" s="770"/>
      <c r="NY341" s="770"/>
      <c r="NZ341" s="770"/>
      <c r="OA341" s="770"/>
      <c r="OB341" s="770"/>
      <c r="OC341" s="770"/>
      <c r="OD341" s="770"/>
      <c r="OE341" s="770"/>
      <c r="OF341" s="770"/>
      <c r="OG341" s="770"/>
      <c r="OH341" s="770"/>
      <c r="OI341" s="770"/>
      <c r="OJ341" s="770"/>
      <c r="OK341" s="770"/>
      <c r="OL341" s="770"/>
      <c r="OM341" s="770"/>
      <c r="ON341" s="770"/>
      <c r="OO341" s="770"/>
      <c r="OP341" s="770"/>
      <c r="OQ341" s="770"/>
      <c r="OR341" s="770"/>
      <c r="OS341" s="770"/>
      <c r="OT341" s="770"/>
      <c r="OU341" s="770"/>
      <c r="OV341" s="770"/>
      <c r="OW341" s="770"/>
      <c r="OX341" s="770"/>
      <c r="OY341" s="770"/>
      <c r="OZ341" s="770"/>
      <c r="PA341" s="770"/>
      <c r="PB341" s="770"/>
      <c r="PC341" s="770"/>
      <c r="PD341" s="770"/>
      <c r="PE341" s="770"/>
      <c r="PF341" s="770"/>
      <c r="PG341" s="770"/>
      <c r="PH341" s="770"/>
      <c r="PI341" s="770"/>
      <c r="PJ341" s="770"/>
      <c r="PK341" s="770"/>
      <c r="PL341" s="770"/>
      <c r="PM341" s="770"/>
      <c r="PN341" s="770"/>
      <c r="PO341" s="770"/>
      <c r="PP341" s="770"/>
      <c r="PQ341" s="770"/>
      <c r="PR341" s="770"/>
      <c r="PS341" s="770"/>
      <c r="PT341" s="770"/>
      <c r="PU341" s="770"/>
      <c r="PV341" s="770"/>
      <c r="PW341" s="770"/>
      <c r="PX341" s="770"/>
      <c r="PY341" s="770"/>
      <c r="PZ341" s="770"/>
      <c r="QA341" s="770"/>
      <c r="QB341" s="770"/>
      <c r="QC341" s="770"/>
      <c r="QD341" s="770"/>
      <c r="QE341" s="770"/>
      <c r="QF341" s="770"/>
      <c r="QG341" s="770"/>
      <c r="QH341" s="770"/>
      <c r="QI341" s="770"/>
      <c r="QJ341" s="770"/>
      <c r="QK341" s="770"/>
      <c r="QL341" s="770"/>
      <c r="QM341" s="770"/>
      <c r="QN341" s="770"/>
      <c r="QO341" s="770"/>
      <c r="QP341" s="770"/>
      <c r="QQ341" s="770"/>
      <c r="QR341" s="770"/>
      <c r="QS341" s="770"/>
      <c r="QT341" s="770"/>
      <c r="QU341" s="770"/>
      <c r="QV341" s="770"/>
      <c r="QW341" s="770"/>
      <c r="QX341" s="770"/>
      <c r="QY341" s="770"/>
      <c r="QZ341" s="770"/>
      <c r="RA341" s="770"/>
      <c r="RB341" s="770"/>
      <c r="RC341" s="770"/>
      <c r="RD341" s="770"/>
      <c r="RE341" s="770"/>
      <c r="RF341" s="304"/>
      <c r="RG341" s="770"/>
      <c r="RH341" s="302"/>
      <c r="RI341" s="770"/>
      <c r="RJ341" s="770"/>
      <c r="RK341" s="770"/>
      <c r="RL341" s="1710"/>
      <c r="RM341" s="12"/>
      <c r="RN341" s="1711"/>
      <c r="RO341" s="140" t="s">
        <v>581</v>
      </c>
      <c r="RR341" s="771"/>
      <c r="RS341" s="87"/>
      <c r="RV341" s="158" t="s">
        <v>8088</v>
      </c>
      <c r="RW341" s="16" t="s">
        <v>13477</v>
      </c>
      <c r="RX341" s="16" t="s">
        <v>7973</v>
      </c>
      <c r="SA341" s="158"/>
    </row>
    <row r="342" spans="1:497" ht="12.75" hidden="1" customHeight="1">
      <c r="A342" s="154" t="s">
        <v>14139</v>
      </c>
      <c r="B342" s="292" t="s">
        <v>5554</v>
      </c>
      <c r="C342" s="140" t="s">
        <v>584</v>
      </c>
      <c r="D342" s="770" t="s">
        <v>5555</v>
      </c>
      <c r="E342" s="770" t="s">
        <v>586</v>
      </c>
      <c r="F342" s="770" t="s">
        <v>28</v>
      </c>
      <c r="G342" s="770" t="s">
        <v>18</v>
      </c>
      <c r="H342" s="770"/>
      <c r="I342" s="295"/>
      <c r="J342" s="770"/>
      <c r="K342" s="770"/>
      <c r="L342" s="770"/>
      <c r="M342" s="770"/>
      <c r="N342" s="770"/>
      <c r="O342" s="770"/>
      <c r="P342" s="770" t="s">
        <v>5555</v>
      </c>
      <c r="Q342" s="1821"/>
      <c r="R342" s="297"/>
      <c r="S342" s="766" t="s">
        <v>18</v>
      </c>
      <c r="T342" s="13"/>
      <c r="U342" s="1822"/>
      <c r="V342" s="13"/>
      <c r="W342" s="13"/>
      <c r="X342" s="1823"/>
      <c r="Y342" s="13"/>
      <c r="Z342" s="13"/>
      <c r="AA342" s="13"/>
      <c r="AB342" s="13"/>
      <c r="AC342" s="13"/>
      <c r="AD342" s="13"/>
      <c r="AE342" s="13"/>
      <c r="AF342" s="13"/>
      <c r="AG342" s="770"/>
      <c r="AH342" s="770"/>
      <c r="AI342" s="770"/>
      <c r="AJ342" s="770"/>
      <c r="AK342" s="770" t="s">
        <v>5454</v>
      </c>
      <c r="AL342" s="299">
        <v>48.814999999999998</v>
      </c>
      <c r="AM342" s="300">
        <v>16.68</v>
      </c>
      <c r="AN342" s="301">
        <v>0.3417</v>
      </c>
      <c r="AO342" s="766" t="s">
        <v>1149</v>
      </c>
      <c r="AP342" s="766"/>
      <c r="AQ342" s="766"/>
      <c r="AR342" s="766"/>
      <c r="AS342" s="770"/>
      <c r="AT342" s="770"/>
      <c r="AU342" s="770"/>
      <c r="AV342" s="770"/>
      <c r="AW342" s="770"/>
      <c r="AX342" s="770"/>
      <c r="AY342" s="770"/>
      <c r="AZ342" s="770"/>
      <c r="BA342" s="770"/>
      <c r="BB342" s="770"/>
      <c r="BC342" s="770"/>
      <c r="BD342" s="770"/>
      <c r="BE342" s="770"/>
      <c r="BF342" s="302"/>
      <c r="BG342" s="302"/>
      <c r="BH342" s="770"/>
      <c r="BI342" s="770"/>
      <c r="BJ342" s="770"/>
      <c r="BK342" s="770" t="s">
        <v>1095</v>
      </c>
      <c r="BL342" s="770" t="s">
        <v>11864</v>
      </c>
      <c r="BM342" s="766" t="s">
        <v>1096</v>
      </c>
      <c r="BN342" s="766" t="s">
        <v>1230</v>
      </c>
      <c r="BO342" s="766" t="s">
        <v>1246</v>
      </c>
      <c r="BP342" s="780">
        <v>48.814999999999998</v>
      </c>
      <c r="BQ342" s="772">
        <v>16.68</v>
      </c>
      <c r="BR342" s="774">
        <f>BQ342/BP342</f>
        <v>0.34169824848919389</v>
      </c>
      <c r="BS342" s="6" t="s">
        <v>1149</v>
      </c>
      <c r="BT342" s="766" t="s">
        <v>2040</v>
      </c>
      <c r="BU342" s="769"/>
      <c r="BV342" s="769"/>
      <c r="BW342" s="769"/>
      <c r="BX342" s="302"/>
      <c r="BY342" s="303"/>
      <c r="BZ342" s="770"/>
      <c r="CA342" s="302"/>
      <c r="CB342" s="302"/>
      <c r="CC342" s="770"/>
      <c r="CD342" s="770"/>
      <c r="CE342" s="770"/>
      <c r="CF342" s="770"/>
      <c r="CG342" s="770"/>
      <c r="CH342" s="770"/>
      <c r="CI342" s="770"/>
      <c r="CJ342" s="770"/>
      <c r="CK342" s="770"/>
      <c r="CL342" s="770"/>
      <c r="CM342" s="770"/>
      <c r="CN342" s="770"/>
      <c r="CO342" s="770"/>
      <c r="CP342" s="770"/>
      <c r="CQ342" s="770"/>
      <c r="CR342" s="770"/>
      <c r="CS342" s="302"/>
      <c r="CT342" s="770"/>
      <c r="CU342" s="305"/>
      <c r="CV342" s="770"/>
      <c r="CW342" s="770"/>
      <c r="CX342" s="770"/>
      <c r="CY342" s="770"/>
      <c r="CZ342" s="770"/>
      <c r="DA342" s="770"/>
      <c r="DB342" s="770"/>
      <c r="DC342" s="770"/>
      <c r="DD342" s="770"/>
      <c r="DE342" s="770"/>
      <c r="DF342" s="770"/>
      <c r="DG342" s="770"/>
      <c r="DH342" s="770"/>
      <c r="DI342" s="770"/>
      <c r="DJ342" s="770"/>
      <c r="DK342" s="770"/>
      <c r="DL342" s="770"/>
      <c r="DM342" s="770"/>
      <c r="DN342" s="770"/>
      <c r="DO342" s="770"/>
      <c r="DP342" s="770"/>
      <c r="DQ342" s="770"/>
      <c r="DR342" s="770"/>
      <c r="DS342" s="307"/>
      <c r="DT342" s="770"/>
      <c r="DU342" s="770"/>
      <c r="DV342" s="770"/>
      <c r="DW342" s="306"/>
      <c r="DX342" s="306"/>
      <c r="DY342" s="770"/>
      <c r="DZ342" s="770"/>
      <c r="EA342" s="770"/>
      <c r="EB342" s="770"/>
      <c r="EC342" s="770"/>
      <c r="ED342" s="770"/>
      <c r="EE342" s="770"/>
      <c r="EF342" s="770"/>
      <c r="EG342" s="770"/>
      <c r="EH342" s="770"/>
      <c r="EI342" s="770"/>
      <c r="EJ342" s="770"/>
      <c r="EK342" s="770"/>
      <c r="EL342" s="770"/>
      <c r="EM342" s="770"/>
      <c r="EN342" s="770"/>
      <c r="EO342" s="770"/>
      <c r="EP342" s="770"/>
      <c r="EQ342" s="770"/>
      <c r="ER342" s="770"/>
      <c r="ES342" s="770"/>
      <c r="ET342" s="770"/>
      <c r="EU342" s="770"/>
      <c r="EV342" s="770"/>
      <c r="EW342" s="770"/>
      <c r="EX342" s="770"/>
      <c r="EY342" s="770"/>
      <c r="EZ342" s="770"/>
      <c r="FA342" s="770"/>
      <c r="FB342" s="770"/>
      <c r="FC342" s="770"/>
      <c r="FD342" s="302"/>
      <c r="FE342" s="770"/>
      <c r="FF342" s="770"/>
      <c r="FG342" s="770"/>
      <c r="FH342" s="770" t="s">
        <v>478</v>
      </c>
      <c r="FI342" s="770">
        <v>3</v>
      </c>
      <c r="FJ342" s="770"/>
      <c r="FK342" s="770"/>
      <c r="FL342" s="770"/>
      <c r="FM342" s="302"/>
      <c r="FN342" s="302"/>
      <c r="FO342" s="302"/>
      <c r="FP342" s="770" t="s">
        <v>1600</v>
      </c>
      <c r="FQ342" s="770" t="s">
        <v>1642</v>
      </c>
      <c r="FR342" s="770" t="s">
        <v>1214</v>
      </c>
      <c r="FS342" s="770"/>
      <c r="FT342" s="770"/>
      <c r="FU342" s="770"/>
      <c r="FV342" s="770"/>
      <c r="FW342" s="770"/>
      <c r="FX342" s="770"/>
      <c r="FY342" s="770"/>
      <c r="FZ342" s="770"/>
      <c r="GA342" s="770"/>
      <c r="GB342" s="770"/>
      <c r="GC342" s="308"/>
      <c r="GD342" s="297"/>
      <c r="GE342" s="770"/>
      <c r="GF342" s="302"/>
      <c r="GG342" s="302"/>
      <c r="GH342" s="770"/>
      <c r="GI342" s="770"/>
      <c r="GJ342" s="770"/>
      <c r="GK342" s="770"/>
      <c r="GL342" s="770"/>
      <c r="GM342" s="770"/>
      <c r="GN342" s="309"/>
      <c r="GO342" s="770"/>
      <c r="GP342" s="770"/>
      <c r="GQ342" s="770"/>
      <c r="GR342" s="770"/>
      <c r="GS342" s="770"/>
      <c r="GT342" s="770"/>
      <c r="GU342" s="770"/>
      <c r="GV342" s="770"/>
      <c r="GW342" s="770"/>
      <c r="GX342" s="770"/>
      <c r="GY342" s="770"/>
      <c r="GZ342" s="770"/>
      <c r="HA342" s="770"/>
      <c r="HB342" s="770"/>
      <c r="HC342" s="770"/>
      <c r="HD342" s="770"/>
      <c r="HE342" s="770"/>
      <c r="HF342" s="770"/>
      <c r="HG342" s="770"/>
      <c r="HH342" s="770"/>
      <c r="HI342" s="770"/>
      <c r="HJ342" s="770"/>
      <c r="HK342" s="770"/>
      <c r="HL342" s="770"/>
      <c r="HM342" s="770"/>
      <c r="HN342" s="770"/>
      <c r="HO342" s="770"/>
      <c r="HP342" s="770"/>
      <c r="HQ342" s="770"/>
      <c r="HR342" s="770"/>
      <c r="HS342" s="770"/>
      <c r="HT342" s="770"/>
      <c r="HU342" s="770"/>
      <c r="HV342" s="770"/>
      <c r="HW342" s="770"/>
      <c r="HX342" s="770"/>
      <c r="HY342" s="770"/>
      <c r="HZ342" s="770"/>
      <c r="IA342" s="770"/>
      <c r="IB342" s="14" t="e">
        <f>IF(#REF!&gt;0,IF(#REF!&lt;=10000,"Y",""),"")</f>
        <v>#REF!</v>
      </c>
      <c r="IC342" s="770" t="s">
        <v>1207</v>
      </c>
      <c r="ID342" s="770"/>
      <c r="IE342" s="770"/>
      <c r="IF342" s="770"/>
      <c r="IG342" s="770"/>
      <c r="IH342" s="770"/>
      <c r="II342" s="770"/>
      <c r="IJ342" s="770"/>
      <c r="IK342" s="766"/>
      <c r="IL342" s="770"/>
      <c r="IM342" s="770"/>
      <c r="IN342" s="770"/>
      <c r="IO342" s="296"/>
      <c r="IP342" s="770"/>
      <c r="IQ342" s="770"/>
      <c r="IR342" s="766"/>
      <c r="IS342" s="770"/>
      <c r="IT342" s="770"/>
      <c r="IU342" s="770"/>
      <c r="IV342" s="770"/>
      <c r="IW342" s="770"/>
      <c r="IX342" s="770"/>
      <c r="IY342" s="770"/>
      <c r="IZ342" s="770"/>
      <c r="JA342" s="770"/>
      <c r="JB342" s="770"/>
      <c r="JC342" s="770"/>
      <c r="JD342" s="302"/>
      <c r="JE342" s="770"/>
      <c r="JF342" s="770"/>
      <c r="JG342" s="770"/>
      <c r="JH342" s="770"/>
      <c r="JI342" s="770"/>
      <c r="JJ342" s="770">
        <v>1</v>
      </c>
      <c r="JK342" s="770" t="s">
        <v>13478</v>
      </c>
      <c r="JL342" s="13"/>
      <c r="JM342" s="13"/>
      <c r="JN342" s="13"/>
      <c r="JO342" s="13"/>
      <c r="JP342" s="13"/>
      <c r="JQ342" s="13"/>
      <c r="JR342" s="13"/>
      <c r="JS342" s="13"/>
      <c r="JT342" s="766"/>
      <c r="JU342" s="766"/>
      <c r="JV342" s="766"/>
      <c r="JW342" s="766"/>
      <c r="JX342" s="13"/>
      <c r="JY342" s="13"/>
      <c r="JZ342" s="13"/>
      <c r="KA342" s="13"/>
      <c r="KB342" s="13"/>
      <c r="KC342" s="13"/>
      <c r="KD342" s="13"/>
      <c r="KE342" s="13"/>
      <c r="KF342" s="13"/>
      <c r="KG342" s="13"/>
      <c r="KH342" s="13"/>
      <c r="KI342" s="13"/>
      <c r="KJ342" s="770"/>
      <c r="KK342" s="770"/>
      <c r="KL342" s="770"/>
      <c r="KM342" s="770"/>
      <c r="KN342" s="770"/>
      <c r="KO342" s="770"/>
      <c r="KP342" s="770"/>
      <c r="KQ342" s="770"/>
      <c r="KR342" s="770"/>
      <c r="KS342" s="770"/>
      <c r="KT342" s="770"/>
      <c r="KU342" s="770"/>
      <c r="KV342" s="770"/>
      <c r="KW342" s="770"/>
      <c r="KX342" s="770"/>
      <c r="KY342" s="770"/>
      <c r="KZ342" s="770"/>
      <c r="LA342" s="770"/>
      <c r="LB342" s="770"/>
      <c r="LC342" s="770"/>
      <c r="LD342" s="770"/>
      <c r="LE342" s="770"/>
      <c r="LF342" s="770"/>
      <c r="LG342" s="770"/>
      <c r="LH342" s="770"/>
      <c r="LI342" s="770"/>
      <c r="LJ342" s="770"/>
      <c r="LK342" s="770"/>
      <c r="LL342" s="770"/>
      <c r="LM342" s="770"/>
      <c r="LN342" s="766"/>
      <c r="LO342" s="766"/>
      <c r="LP342" s="770"/>
      <c r="LQ342" s="770"/>
      <c r="LR342" s="770"/>
      <c r="LS342" s="770"/>
      <c r="LT342" s="770"/>
      <c r="LU342" s="770"/>
      <c r="LV342" s="770"/>
      <c r="LW342" s="770"/>
      <c r="LX342" s="769"/>
      <c r="LY342" s="766" t="str">
        <f t="shared" si="93"/>
        <v/>
      </c>
      <c r="LZ342" s="299"/>
      <c r="MA342" s="1709"/>
      <c r="MB342" s="1709"/>
      <c r="MC342" s="1679">
        <f t="shared" si="91"/>
        <v>0</v>
      </c>
      <c r="MD342" s="1709"/>
      <c r="ME342" s="1709"/>
      <c r="MF342" s="1709"/>
      <c r="MG342" s="1680">
        <f t="shared" si="97"/>
        <v>0</v>
      </c>
      <c r="MH342" s="770"/>
      <c r="MI342" s="302"/>
      <c r="MJ342" s="302"/>
      <c r="MK342" s="302"/>
      <c r="ML342" s="302"/>
      <c r="MM342" s="302"/>
      <c r="MN342" s="302"/>
      <c r="MO342" s="302"/>
      <c r="MP342" s="302"/>
      <c r="MQ342" s="302"/>
      <c r="MR342" s="302"/>
      <c r="MS342" s="302"/>
      <c r="MT342" s="302"/>
      <c r="MU342" s="302"/>
      <c r="MV342" s="302"/>
      <c r="MW342" s="302"/>
      <c r="MX342" s="302"/>
      <c r="MY342" s="1682">
        <f t="shared" si="98"/>
        <v>0</v>
      </c>
      <c r="MZ342" s="770"/>
      <c r="NA342" s="770"/>
      <c r="NB342" s="770"/>
      <c r="NC342" s="770"/>
      <c r="ND342" s="770"/>
      <c r="NE342" s="770"/>
      <c r="NF342" s="770"/>
      <c r="NG342" s="770"/>
      <c r="NH342" s="770"/>
      <c r="NI342" s="770"/>
      <c r="NJ342" s="770"/>
      <c r="NK342" s="770"/>
      <c r="NL342" s="770"/>
      <c r="NM342" s="770"/>
      <c r="NN342" s="770"/>
      <c r="NO342" s="770"/>
      <c r="NP342" s="770"/>
      <c r="NQ342" s="770"/>
      <c r="NR342" s="770"/>
      <c r="NS342" s="770"/>
      <c r="NT342" s="770"/>
      <c r="NU342" s="770"/>
      <c r="NV342" s="770"/>
      <c r="NW342" s="770"/>
      <c r="NX342" s="770"/>
      <c r="NY342" s="770"/>
      <c r="NZ342" s="770"/>
      <c r="OA342" s="770"/>
      <c r="OB342" s="770"/>
      <c r="OC342" s="770"/>
      <c r="OD342" s="770"/>
      <c r="OE342" s="770"/>
      <c r="OF342" s="770"/>
      <c r="OG342" s="770"/>
      <c r="OH342" s="770"/>
      <c r="OI342" s="770"/>
      <c r="OJ342" s="770"/>
      <c r="OK342" s="770"/>
      <c r="OL342" s="770"/>
      <c r="OM342" s="770"/>
      <c r="ON342" s="770"/>
      <c r="OO342" s="770"/>
      <c r="OP342" s="770"/>
      <c r="OQ342" s="770"/>
      <c r="OR342" s="770"/>
      <c r="OS342" s="770"/>
      <c r="OT342" s="770"/>
      <c r="OU342" s="770"/>
      <c r="OV342" s="770"/>
      <c r="OW342" s="770"/>
      <c r="OX342" s="770"/>
      <c r="OY342" s="770"/>
      <c r="OZ342" s="770"/>
      <c r="PA342" s="770"/>
      <c r="PB342" s="770"/>
      <c r="PC342" s="770"/>
      <c r="PD342" s="770"/>
      <c r="PE342" s="770"/>
      <c r="PF342" s="770"/>
      <c r="PG342" s="770"/>
      <c r="PH342" s="770"/>
      <c r="PI342" s="770"/>
      <c r="PJ342" s="770"/>
      <c r="PK342" s="770"/>
      <c r="PL342" s="770"/>
      <c r="PM342" s="770"/>
      <c r="PN342" s="770"/>
      <c r="PO342" s="770"/>
      <c r="PP342" s="770"/>
      <c r="PQ342" s="770"/>
      <c r="PR342" s="770"/>
      <c r="PS342" s="770"/>
      <c r="PT342" s="770"/>
      <c r="PU342" s="770"/>
      <c r="PV342" s="770"/>
      <c r="PW342" s="770"/>
      <c r="PX342" s="770"/>
      <c r="PY342" s="770"/>
      <c r="PZ342" s="770"/>
      <c r="QA342" s="770"/>
      <c r="QB342" s="770"/>
      <c r="QC342" s="770"/>
      <c r="QD342" s="770"/>
      <c r="QE342" s="770"/>
      <c r="QF342" s="770"/>
      <c r="QG342" s="770"/>
      <c r="QH342" s="770"/>
      <c r="QI342" s="770"/>
      <c r="QJ342" s="770"/>
      <c r="QK342" s="770"/>
      <c r="QL342" s="770"/>
      <c r="QM342" s="770"/>
      <c r="QN342" s="770"/>
      <c r="QO342" s="770"/>
      <c r="QP342" s="770"/>
      <c r="QQ342" s="770"/>
      <c r="QR342" s="770"/>
      <c r="QS342" s="770"/>
      <c r="QT342" s="770"/>
      <c r="QU342" s="770"/>
      <c r="QV342" s="770"/>
      <c r="QW342" s="770"/>
      <c r="QX342" s="770"/>
      <c r="QY342" s="770"/>
      <c r="QZ342" s="770"/>
      <c r="RA342" s="770"/>
      <c r="RB342" s="770"/>
      <c r="RC342" s="770"/>
      <c r="RD342" s="770"/>
      <c r="RE342" s="770"/>
      <c r="RF342" s="304"/>
      <c r="RG342" s="770"/>
      <c r="RH342" s="302"/>
      <c r="RI342" s="770"/>
      <c r="RJ342" s="770" t="s">
        <v>13479</v>
      </c>
      <c r="RK342" s="770" t="s">
        <v>13401</v>
      </c>
      <c r="RL342" s="1710">
        <v>42816</v>
      </c>
      <c r="RM342" s="12"/>
      <c r="RN342" s="1711"/>
      <c r="RO342" s="140" t="s">
        <v>584</v>
      </c>
      <c r="RP342" s="11"/>
      <c r="RQ342" s="11"/>
      <c r="RR342" s="771"/>
      <c r="RS342" s="767"/>
      <c r="RT342" s="11"/>
      <c r="RU342" s="11"/>
      <c r="RV342" s="771" t="s">
        <v>7419</v>
      </c>
      <c r="RW342" s="11" t="s">
        <v>7982</v>
      </c>
      <c r="RX342" s="11" t="s">
        <v>581</v>
      </c>
      <c r="RY342" s="11"/>
      <c r="RZ342" s="11" t="s">
        <v>2209</v>
      </c>
      <c r="SA342" s="771"/>
      <c r="SB342" s="11"/>
      <c r="SC342" s="11"/>
    </row>
    <row r="343" spans="1:497" ht="12.75" hidden="1" customHeight="1">
      <c r="A343" s="343" t="s">
        <v>7419</v>
      </c>
      <c r="B343" s="292" t="s">
        <v>7674</v>
      </c>
      <c r="C343" s="148" t="s">
        <v>589</v>
      </c>
      <c r="D343" s="770" t="s">
        <v>585</v>
      </c>
      <c r="E343" s="770" t="s">
        <v>586</v>
      </c>
      <c r="F343" s="770" t="s">
        <v>587</v>
      </c>
      <c r="G343" s="770" t="s">
        <v>18</v>
      </c>
      <c r="H343" s="770"/>
      <c r="I343" s="295" t="s">
        <v>588</v>
      </c>
      <c r="J343" s="770"/>
      <c r="K343" s="770"/>
      <c r="L343" s="770"/>
      <c r="M343" s="770"/>
      <c r="N343" s="770"/>
      <c r="O343" s="770"/>
      <c r="P343" s="770"/>
      <c r="Q343" s="1088"/>
      <c r="R343" s="297"/>
      <c r="S343" s="770"/>
      <c r="T343" s="770"/>
      <c r="U343" s="298"/>
      <c r="V343" s="770"/>
      <c r="W343" s="770"/>
      <c r="X343" s="296"/>
      <c r="Y343" s="770"/>
      <c r="Z343" s="770"/>
      <c r="AA343" s="770"/>
      <c r="AB343" s="770"/>
      <c r="AC343" s="770"/>
      <c r="AD343" s="770"/>
      <c r="AE343" s="770"/>
      <c r="AF343" s="770"/>
      <c r="AG343" s="766" t="s">
        <v>1095</v>
      </c>
      <c r="AH343" s="766" t="s">
        <v>1096</v>
      </c>
      <c r="AI343" s="770" t="s">
        <v>5553</v>
      </c>
      <c r="AJ343" s="770"/>
      <c r="AK343" s="766" t="s">
        <v>1097</v>
      </c>
      <c r="AL343" s="299">
        <v>31.92</v>
      </c>
      <c r="AM343" s="300">
        <v>18.239999999999998</v>
      </c>
      <c r="AN343" s="301">
        <v>0.57140000000000002</v>
      </c>
      <c r="AO343" s="766" t="s">
        <v>1105</v>
      </c>
      <c r="AP343" s="766"/>
      <c r="AQ343" s="766"/>
      <c r="AR343" s="766"/>
      <c r="AS343" s="770" t="s">
        <v>1207</v>
      </c>
      <c r="AT343" s="770" t="s">
        <v>1208</v>
      </c>
      <c r="AU343" s="770"/>
      <c r="AV343" s="770"/>
      <c r="AW343" s="770"/>
      <c r="AX343" s="770"/>
      <c r="AY343" s="770"/>
      <c r="AZ343" s="770"/>
      <c r="BA343" s="770"/>
      <c r="BB343" s="770"/>
      <c r="BC343" s="770"/>
      <c r="BD343" s="770"/>
      <c r="BE343" s="770"/>
      <c r="BF343" s="302"/>
      <c r="BG343" s="302"/>
      <c r="BH343" s="770"/>
      <c r="BI343" s="770"/>
      <c r="BJ343" s="770"/>
      <c r="BK343" s="770" t="s">
        <v>1095</v>
      </c>
      <c r="BL343" s="770" t="s">
        <v>5556</v>
      </c>
      <c r="BM343" s="766" t="s">
        <v>1096</v>
      </c>
      <c r="BN343" s="770" t="s">
        <v>1230</v>
      </c>
      <c r="BO343" s="766" t="s">
        <v>1246</v>
      </c>
      <c r="BP343" s="780">
        <v>31.92</v>
      </c>
      <c r="BQ343" s="772">
        <v>18.239999999999998</v>
      </c>
      <c r="BR343" s="774">
        <f>BQ343/BP343</f>
        <v>0.5714285714285714</v>
      </c>
      <c r="BS343" s="766" t="s">
        <v>1105</v>
      </c>
      <c r="BT343" s="766" t="s">
        <v>2040</v>
      </c>
      <c r="BU343" s="770" t="s">
        <v>1378</v>
      </c>
      <c r="BV343" s="770" t="s">
        <v>1247</v>
      </c>
      <c r="BW343" s="769"/>
      <c r="BX343" s="302"/>
      <c r="BY343" s="303"/>
      <c r="BZ343" s="770"/>
      <c r="CA343" s="302"/>
      <c r="CB343" s="302"/>
      <c r="CC343" s="770"/>
      <c r="CD343" s="770"/>
      <c r="CE343" s="770"/>
      <c r="CF343" s="770"/>
      <c r="CG343" s="770"/>
      <c r="CH343" s="770"/>
      <c r="CI343" s="770"/>
      <c r="CJ343" s="770"/>
      <c r="CK343" s="770"/>
      <c r="CL343" s="770"/>
      <c r="CM343" s="770"/>
      <c r="CN343" s="770"/>
      <c r="CO343" s="770"/>
      <c r="CP343" s="770"/>
      <c r="CQ343" s="770"/>
      <c r="CR343" s="770"/>
      <c r="CS343" s="302"/>
      <c r="CT343" s="770"/>
      <c r="CU343" s="305"/>
      <c r="CV343" s="770"/>
      <c r="CW343" s="770"/>
      <c r="CX343" s="770"/>
      <c r="CY343" s="770"/>
      <c r="CZ343" s="770"/>
      <c r="DA343" s="770"/>
      <c r="DB343" s="770"/>
      <c r="DC343" s="770"/>
      <c r="DD343" s="770"/>
      <c r="DE343" s="770"/>
      <c r="DF343" s="770"/>
      <c r="DG343" s="770"/>
      <c r="DH343" s="770"/>
      <c r="DI343" s="770"/>
      <c r="DJ343" s="770"/>
      <c r="DK343" s="770"/>
      <c r="DL343" s="770"/>
      <c r="DM343" s="770"/>
      <c r="DN343" s="770"/>
      <c r="DO343" s="770"/>
      <c r="DP343" s="770"/>
      <c r="DQ343" s="770"/>
      <c r="DR343" s="770"/>
      <c r="DS343" s="307"/>
      <c r="DT343" s="770"/>
      <c r="DU343" s="770"/>
      <c r="DV343" s="770"/>
      <c r="DW343" s="306"/>
      <c r="DX343" s="306"/>
      <c r="DY343" s="770"/>
      <c r="DZ343" s="770"/>
      <c r="EA343" s="770"/>
      <c r="EB343" s="770"/>
      <c r="EC343" s="770"/>
      <c r="ED343" s="770"/>
      <c r="EE343" s="770"/>
      <c r="EF343" s="770"/>
      <c r="EG343" s="770"/>
      <c r="EH343" s="770"/>
      <c r="EI343" s="770"/>
      <c r="EJ343" s="770"/>
      <c r="EK343" s="770"/>
      <c r="EL343" s="770"/>
      <c r="EM343" s="770"/>
      <c r="EN343" s="770"/>
      <c r="EO343" s="770"/>
      <c r="EP343" s="770"/>
      <c r="EQ343" s="770"/>
      <c r="ER343" s="770"/>
      <c r="ES343" s="770"/>
      <c r="ET343" s="770"/>
      <c r="EU343" s="770"/>
      <c r="EV343" s="770"/>
      <c r="EW343" s="770"/>
      <c r="EX343" s="770"/>
      <c r="EY343" s="770"/>
      <c r="EZ343" s="770"/>
      <c r="FA343" s="770"/>
      <c r="FB343" s="770"/>
      <c r="FC343" s="770"/>
      <c r="FD343" s="302"/>
      <c r="FE343" s="770"/>
      <c r="FF343" s="770"/>
      <c r="FG343" s="770"/>
      <c r="FH343" s="770" t="s">
        <v>478</v>
      </c>
      <c r="FI343" s="770"/>
      <c r="FJ343" s="770"/>
      <c r="FK343" s="770"/>
      <c r="FL343" s="770"/>
      <c r="FM343" s="302"/>
      <c r="FN343" s="302"/>
      <c r="FO343" s="302"/>
      <c r="FP343" s="770"/>
      <c r="FQ343" s="770"/>
      <c r="FR343" s="770" t="s">
        <v>1207</v>
      </c>
      <c r="FS343" s="770" t="s">
        <v>1208</v>
      </c>
      <c r="FT343" s="770" t="s">
        <v>1208</v>
      </c>
      <c r="FU343" s="770"/>
      <c r="FV343" s="770"/>
      <c r="FW343" s="770"/>
      <c r="FX343" s="770"/>
      <c r="FY343" s="770"/>
      <c r="FZ343" s="770"/>
      <c r="GA343" s="770"/>
      <c r="GB343" s="770" t="s">
        <v>853</v>
      </c>
      <c r="GC343" s="308" t="s">
        <v>1751</v>
      </c>
      <c r="GD343" s="297">
        <v>1990</v>
      </c>
      <c r="GE343" s="770" t="s">
        <v>1207</v>
      </c>
      <c r="GF343" s="302">
        <v>1500</v>
      </c>
      <c r="GG343" s="302">
        <f>GF343*12</f>
        <v>18000</v>
      </c>
      <c r="GH343" s="770"/>
      <c r="GI343" s="770"/>
      <c r="GJ343" s="770"/>
      <c r="GK343" s="770"/>
      <c r="GL343" s="770"/>
      <c r="GM343" s="770"/>
      <c r="GN343" s="309"/>
      <c r="GO343" s="770"/>
      <c r="GP343" s="770"/>
      <c r="GQ343" s="770"/>
      <c r="GR343" s="770"/>
      <c r="GS343" s="770"/>
      <c r="GT343" s="770"/>
      <c r="GU343" s="770"/>
      <c r="GV343" s="770"/>
      <c r="GW343" s="770"/>
      <c r="GX343" s="770"/>
      <c r="GY343" s="770"/>
      <c r="GZ343" s="770"/>
      <c r="HA343" s="770"/>
      <c r="HB343" s="770"/>
      <c r="HC343" s="770"/>
      <c r="HD343" s="770"/>
      <c r="HE343" s="770"/>
      <c r="HF343" s="770"/>
      <c r="HG343" s="770"/>
      <c r="HH343" s="770"/>
      <c r="HI343" s="770"/>
      <c r="HJ343" s="770"/>
      <c r="HK343" s="770"/>
      <c r="HL343" s="770"/>
      <c r="HM343" s="770"/>
      <c r="HN343" s="770"/>
      <c r="HO343" s="770"/>
      <c r="HP343" s="770"/>
      <c r="HQ343" s="770"/>
      <c r="HR343" s="770"/>
      <c r="HS343" s="770"/>
      <c r="HT343" s="770"/>
      <c r="HU343" s="770"/>
      <c r="HV343" s="770"/>
      <c r="HW343" s="770"/>
      <c r="HX343" s="770"/>
      <c r="HY343" s="770"/>
      <c r="HZ343" s="770"/>
      <c r="IA343" s="770"/>
      <c r="IB343" s="14" t="e">
        <f>IF(#REF!&gt;0,IF(#REF!&lt;=10000,"Y",""),"")</f>
        <v>#REF!</v>
      </c>
      <c r="IC343" s="770"/>
      <c r="ID343" s="770"/>
      <c r="IE343" s="770"/>
      <c r="IF343" s="770" t="s">
        <v>585</v>
      </c>
      <c r="IG343" s="770"/>
      <c r="IH343" s="770"/>
      <c r="II343" s="770"/>
      <c r="IJ343" s="770"/>
      <c r="IK343" s="766"/>
      <c r="IL343" s="770"/>
      <c r="IM343" s="770"/>
      <c r="IN343" s="770"/>
      <c r="IO343" s="296"/>
      <c r="IP343" s="770"/>
      <c r="IQ343" s="769" t="s">
        <v>5498</v>
      </c>
      <c r="IR343" s="766"/>
      <c r="IS343" s="770"/>
      <c r="IT343" s="770"/>
      <c r="IU343" s="770"/>
      <c r="IV343" s="770"/>
      <c r="IW343" s="770"/>
      <c r="IX343" s="770"/>
      <c r="IY343" s="770"/>
      <c r="IZ343" s="770"/>
      <c r="JA343" s="770"/>
      <c r="JB343" s="770"/>
      <c r="JC343" s="770"/>
      <c r="JD343" s="302"/>
      <c r="JE343" s="770"/>
      <c r="JF343" s="770"/>
      <c r="JG343" s="770"/>
      <c r="JH343" s="770"/>
      <c r="JI343" s="770"/>
      <c r="JJ343" s="770"/>
      <c r="JK343" s="770"/>
      <c r="JL343" s="13"/>
      <c r="JM343" s="13"/>
      <c r="JN343" s="13"/>
      <c r="JO343" s="13"/>
      <c r="JP343" s="13"/>
      <c r="JQ343" s="13"/>
      <c r="JR343" s="13"/>
      <c r="JS343" s="13"/>
      <c r="JT343" s="766"/>
      <c r="JU343" s="766"/>
      <c r="JV343" s="766"/>
      <c r="JW343" s="766"/>
      <c r="JX343" s="13"/>
      <c r="JY343" s="13"/>
      <c r="JZ343" s="13"/>
      <c r="KA343" s="13"/>
      <c r="KB343" s="13"/>
      <c r="KC343" s="13"/>
      <c r="KD343" s="13"/>
      <c r="KE343" s="13"/>
      <c r="KF343" s="13"/>
      <c r="KG343" s="13"/>
      <c r="KH343" s="13"/>
      <c r="KI343" s="13"/>
      <c r="KJ343" s="770"/>
      <c r="KK343" s="770"/>
      <c r="KL343" s="770"/>
      <c r="KM343" s="770"/>
      <c r="KN343" s="770"/>
      <c r="KO343" s="770"/>
      <c r="KP343" s="770"/>
      <c r="KQ343" s="770"/>
      <c r="KR343" s="770"/>
      <c r="KS343" s="770"/>
      <c r="KT343" s="770"/>
      <c r="KU343" s="770"/>
      <c r="KV343" s="770"/>
      <c r="KW343" s="770"/>
      <c r="KX343" s="770"/>
      <c r="KY343" s="770"/>
      <c r="KZ343" s="770"/>
      <c r="LA343" s="770"/>
      <c r="LB343" s="770"/>
      <c r="LC343" s="770"/>
      <c r="LD343" s="770"/>
      <c r="LE343" s="770"/>
      <c r="LF343" s="770"/>
      <c r="LG343" s="770"/>
      <c r="LH343" s="770"/>
      <c r="LI343" s="770"/>
      <c r="LJ343" s="770"/>
      <c r="LK343" s="770"/>
      <c r="LL343" s="770"/>
      <c r="LM343" s="770"/>
      <c r="LN343" s="766"/>
      <c r="LO343" s="766"/>
      <c r="LP343" s="770"/>
      <c r="LQ343" s="770"/>
      <c r="LR343" s="770"/>
      <c r="LS343" s="770"/>
      <c r="LT343" s="770"/>
      <c r="LU343" s="770"/>
      <c r="LV343" s="770"/>
      <c r="LW343" s="770"/>
      <c r="LX343" s="769"/>
      <c r="LY343" s="766" t="str">
        <f t="shared" si="93"/>
        <v/>
      </c>
      <c r="LZ343" s="299"/>
      <c r="MA343" s="1709"/>
      <c r="MB343" s="1709"/>
      <c r="MC343" s="1679">
        <f t="shared" si="91"/>
        <v>0</v>
      </c>
      <c r="MD343" s="1709"/>
      <c r="ME343" s="1709"/>
      <c r="MF343" s="1709"/>
      <c r="MG343" s="1680">
        <f t="shared" si="97"/>
        <v>0</v>
      </c>
      <c r="MH343" s="770"/>
      <c r="MI343" s="302"/>
      <c r="MJ343" s="302"/>
      <c r="MK343" s="302"/>
      <c r="ML343" s="302"/>
      <c r="MM343" s="302"/>
      <c r="MN343" s="302"/>
      <c r="MO343" s="302"/>
      <c r="MP343" s="302"/>
      <c r="MQ343" s="302"/>
      <c r="MR343" s="302"/>
      <c r="MS343" s="302"/>
      <c r="MT343" s="302"/>
      <c r="MU343" s="302"/>
      <c r="MV343" s="302"/>
      <c r="MW343" s="302"/>
      <c r="MX343" s="302"/>
      <c r="MY343" s="1682">
        <f t="shared" si="98"/>
        <v>0</v>
      </c>
      <c r="MZ343" s="770"/>
      <c r="NA343" s="770"/>
      <c r="NB343" s="770"/>
      <c r="NC343" s="770"/>
      <c r="ND343" s="770"/>
      <c r="NE343" s="770"/>
      <c r="NF343" s="770"/>
      <c r="NG343" s="770"/>
      <c r="NH343" s="770"/>
      <c r="NI343" s="770"/>
      <c r="NJ343" s="770"/>
      <c r="NK343" s="770"/>
      <c r="NL343" s="770"/>
      <c r="NM343" s="770"/>
      <c r="NN343" s="770"/>
      <c r="NO343" s="770"/>
      <c r="NP343" s="770"/>
      <c r="NQ343" s="770"/>
      <c r="NR343" s="770"/>
      <c r="NS343" s="770"/>
      <c r="NT343" s="770"/>
      <c r="NU343" s="770"/>
      <c r="NV343" s="770"/>
      <c r="NW343" s="770"/>
      <c r="NX343" s="770"/>
      <c r="NY343" s="770"/>
      <c r="NZ343" s="770"/>
      <c r="OA343" s="770"/>
      <c r="OB343" s="770"/>
      <c r="OC343" s="770"/>
      <c r="OD343" s="770"/>
      <c r="OE343" s="770"/>
      <c r="OF343" s="770"/>
      <c r="OG343" s="770"/>
      <c r="OH343" s="770"/>
      <c r="OI343" s="770"/>
      <c r="OJ343" s="770"/>
      <c r="OK343" s="770"/>
      <c r="OL343" s="770"/>
      <c r="OM343" s="770"/>
      <c r="ON343" s="770"/>
      <c r="OO343" s="770"/>
      <c r="OP343" s="770"/>
      <c r="OQ343" s="770"/>
      <c r="OR343" s="770"/>
      <c r="OS343" s="770"/>
      <c r="OT343" s="770"/>
      <c r="OU343" s="770"/>
      <c r="OV343" s="770"/>
      <c r="OW343" s="770"/>
      <c r="OX343" s="770"/>
      <c r="OY343" s="770"/>
      <c r="OZ343" s="770"/>
      <c r="PA343" s="770"/>
      <c r="PB343" s="770"/>
      <c r="PC343" s="770"/>
      <c r="PD343" s="770"/>
      <c r="PE343" s="770"/>
      <c r="PF343" s="770"/>
      <c r="PG343" s="770"/>
      <c r="PH343" s="770"/>
      <c r="PI343" s="770"/>
      <c r="PJ343" s="770"/>
      <c r="PK343" s="770"/>
      <c r="PL343" s="770"/>
      <c r="PM343" s="770"/>
      <c r="PN343" s="770"/>
      <c r="PO343" s="770"/>
      <c r="PP343" s="770"/>
      <c r="PQ343" s="770"/>
      <c r="PR343" s="770"/>
      <c r="PS343" s="770"/>
      <c r="PT343" s="770"/>
      <c r="PU343" s="770"/>
      <c r="PV343" s="770"/>
      <c r="PW343" s="770"/>
      <c r="PX343" s="770"/>
      <c r="PY343" s="770"/>
      <c r="PZ343" s="770"/>
      <c r="QA343" s="770"/>
      <c r="QB343" s="770"/>
      <c r="QC343" s="770"/>
      <c r="QD343" s="770"/>
      <c r="QE343" s="770"/>
      <c r="QF343" s="770"/>
      <c r="QG343" s="770"/>
      <c r="QH343" s="770"/>
      <c r="QI343" s="770"/>
      <c r="QJ343" s="770"/>
      <c r="QK343" s="770"/>
      <c r="QL343" s="770"/>
      <c r="QM343" s="770"/>
      <c r="QN343" s="770"/>
      <c r="QO343" s="770"/>
      <c r="QP343" s="770"/>
      <c r="QQ343" s="770"/>
      <c r="QR343" s="770"/>
      <c r="QS343" s="770"/>
      <c r="QT343" s="770"/>
      <c r="QU343" s="770"/>
      <c r="QV343" s="770"/>
      <c r="QW343" s="770"/>
      <c r="QX343" s="770"/>
      <c r="QY343" s="770"/>
      <c r="QZ343" s="770"/>
      <c r="RA343" s="770"/>
      <c r="RB343" s="770"/>
      <c r="RC343" s="770"/>
      <c r="RD343" s="770"/>
      <c r="RE343" s="770"/>
      <c r="RF343" s="304"/>
      <c r="RG343" s="770"/>
      <c r="RH343" s="302"/>
      <c r="RI343" s="770"/>
      <c r="RJ343" s="770" t="s">
        <v>13480</v>
      </c>
      <c r="RK343" s="770" t="s">
        <v>13401</v>
      </c>
      <c r="RL343" s="1710">
        <v>42816</v>
      </c>
      <c r="RM343" s="12"/>
      <c r="RN343" s="1711"/>
      <c r="RO343" s="148" t="s">
        <v>589</v>
      </c>
      <c r="RP343" s="11"/>
      <c r="RQ343" s="11"/>
      <c r="RR343" s="17"/>
      <c r="RS343" s="767"/>
      <c r="RT343" s="11"/>
      <c r="RU343" s="11"/>
      <c r="RV343" s="771" t="s">
        <v>8089</v>
      </c>
      <c r="RW343" s="11" t="s">
        <v>7983</v>
      </c>
      <c r="RX343" s="11" t="s">
        <v>581</v>
      </c>
      <c r="RY343" s="11"/>
      <c r="RZ343" s="11" t="s">
        <v>2209</v>
      </c>
      <c r="SA343" s="771"/>
      <c r="SB343" s="11"/>
      <c r="SC343" s="11"/>
    </row>
    <row r="344" spans="1:497" ht="12.75" hidden="1" customHeight="1">
      <c r="A344" s="154" t="s">
        <v>14174</v>
      </c>
      <c r="B344" s="292" t="s">
        <v>7544</v>
      </c>
      <c r="C344" s="148" t="s">
        <v>589</v>
      </c>
      <c r="D344" s="770" t="s">
        <v>590</v>
      </c>
      <c r="E344" s="770" t="s">
        <v>586</v>
      </c>
      <c r="F344" s="770" t="s">
        <v>20</v>
      </c>
      <c r="G344" s="770" t="s">
        <v>18</v>
      </c>
      <c r="H344" s="770"/>
      <c r="I344" s="295" t="s">
        <v>591</v>
      </c>
      <c r="J344" s="94" t="s">
        <v>592</v>
      </c>
      <c r="K344" s="770"/>
      <c r="L344" s="770"/>
      <c r="M344" s="770"/>
      <c r="N344" s="770"/>
      <c r="O344" s="770"/>
      <c r="P344" s="770"/>
      <c r="Q344" s="1088"/>
      <c r="R344" s="297"/>
      <c r="S344" s="770"/>
      <c r="T344" s="770"/>
      <c r="U344" s="298"/>
      <c r="V344" s="770"/>
      <c r="W344" s="770"/>
      <c r="X344" s="296"/>
      <c r="Y344" s="770"/>
      <c r="Z344" s="770"/>
      <c r="AA344" s="770"/>
      <c r="AB344" s="770"/>
      <c r="AC344" s="770"/>
      <c r="AD344" s="770"/>
      <c r="AE344" s="770"/>
      <c r="AF344" s="770"/>
      <c r="AG344" s="770"/>
      <c r="AH344" s="770"/>
      <c r="AI344" s="770"/>
      <c r="AJ344" s="770"/>
      <c r="AK344" s="770" t="s">
        <v>1899</v>
      </c>
      <c r="AL344" s="531"/>
      <c r="AM344" s="780"/>
      <c r="AN344" s="532"/>
      <c r="AO344" s="766"/>
      <c r="AP344" s="766"/>
      <c r="AQ344" s="766"/>
      <c r="AR344" s="766"/>
      <c r="AS344" s="770"/>
      <c r="AT344" s="770"/>
      <c r="AU344" s="770"/>
      <c r="AV344" s="770"/>
      <c r="AW344" s="770"/>
      <c r="AX344" s="770"/>
      <c r="AY344" s="770"/>
      <c r="AZ344" s="770"/>
      <c r="BA344" s="770"/>
      <c r="BB344" s="770"/>
      <c r="BC344" s="770"/>
      <c r="BD344" s="770"/>
      <c r="BE344" s="770"/>
      <c r="BF344" s="302"/>
      <c r="BG344" s="302"/>
      <c r="BH344" s="770"/>
      <c r="BI344" s="770"/>
      <c r="BJ344" s="770"/>
      <c r="BK344" s="770"/>
      <c r="BL344" s="770"/>
      <c r="BM344" s="770" t="s">
        <v>1238</v>
      </c>
      <c r="BN344" s="770" t="s">
        <v>1256</v>
      </c>
      <c r="BO344" s="770"/>
      <c r="BP344" s="780"/>
      <c r="BQ344" s="773"/>
      <c r="BR344" s="774"/>
      <c r="BS344" s="766" t="s">
        <v>1105</v>
      </c>
      <c r="BT344" s="770"/>
      <c r="BU344" s="770"/>
      <c r="BV344" s="770"/>
      <c r="BW344" s="770"/>
      <c r="BX344" s="302"/>
      <c r="BY344" s="303"/>
      <c r="BZ344" s="770"/>
      <c r="CA344" s="302"/>
      <c r="CB344" s="302" t="s">
        <v>1207</v>
      </c>
      <c r="CC344" s="770" t="s">
        <v>1545</v>
      </c>
      <c r="CD344" s="770"/>
      <c r="CE344" s="770"/>
      <c r="CF344" s="304">
        <v>1.6</v>
      </c>
      <c r="CG344" s="321">
        <v>5</v>
      </c>
      <c r="CH344" s="770" t="s">
        <v>1546</v>
      </c>
      <c r="CI344" s="770"/>
      <c r="CJ344" s="770"/>
      <c r="CK344" s="770"/>
      <c r="CL344" s="770"/>
      <c r="CM344" s="770"/>
      <c r="CN344" s="770"/>
      <c r="CO344" s="770"/>
      <c r="CP344" s="770"/>
      <c r="CQ344" s="770"/>
      <c r="CR344" s="770"/>
      <c r="CS344" s="302"/>
      <c r="CT344" s="770"/>
      <c r="CU344" s="305"/>
      <c r="CV344" s="770"/>
      <c r="CW344" s="770"/>
      <c r="CX344" s="770"/>
      <c r="CY344" s="770"/>
      <c r="CZ344" s="770"/>
      <c r="DA344" s="306"/>
      <c r="DB344" s="770"/>
      <c r="DC344" s="770"/>
      <c r="DD344" s="770"/>
      <c r="DE344" s="300"/>
      <c r="DF344" s="770"/>
      <c r="DG344" s="770"/>
      <c r="DH344" s="770"/>
      <c r="DI344" s="770"/>
      <c r="DJ344" s="770"/>
      <c r="DK344" s="770"/>
      <c r="DL344" s="770"/>
      <c r="DM344" s="770"/>
      <c r="DN344" s="322"/>
      <c r="DO344" s="770"/>
      <c r="DP344" s="770"/>
      <c r="DQ344" s="770"/>
      <c r="DR344" s="770"/>
      <c r="DS344" s="307"/>
      <c r="DT344" s="770"/>
      <c r="DU344" s="770"/>
      <c r="DV344" s="770"/>
      <c r="DW344" s="306"/>
      <c r="DX344" s="306"/>
      <c r="DY344" s="770"/>
      <c r="DZ344" s="770"/>
      <c r="EA344" s="770"/>
      <c r="EB344" s="770"/>
      <c r="EC344" s="770"/>
      <c r="ED344" s="770"/>
      <c r="EE344" s="770"/>
      <c r="EF344" s="770"/>
      <c r="EG344" s="770"/>
      <c r="EH344" s="770"/>
      <c r="EI344" s="770"/>
      <c r="EJ344" s="770"/>
      <c r="EK344" s="770"/>
      <c r="EL344" s="770"/>
      <c r="EM344" s="770"/>
      <c r="EN344" s="770"/>
      <c r="EO344" s="770"/>
      <c r="EP344" s="94"/>
      <c r="EQ344" s="770"/>
      <c r="ER344" s="770"/>
      <c r="ES344" s="770"/>
      <c r="ET344" s="770"/>
      <c r="EU344" s="770"/>
      <c r="EV344" s="770"/>
      <c r="EW344" s="770"/>
      <c r="EX344" s="770"/>
      <c r="EY344" s="770"/>
      <c r="EZ344" s="770"/>
      <c r="FA344" s="770"/>
      <c r="FB344" s="770" t="s">
        <v>1257</v>
      </c>
      <c r="FC344" s="770"/>
      <c r="FD344" s="302"/>
      <c r="FE344" s="770"/>
      <c r="FF344" s="770" t="s">
        <v>1547</v>
      </c>
      <c r="FG344" s="770"/>
      <c r="FH344" s="770" t="s">
        <v>1306</v>
      </c>
      <c r="FI344" s="770">
        <v>1</v>
      </c>
      <c r="FJ344" s="770" t="s">
        <v>1657</v>
      </c>
      <c r="FK344" s="770" t="s">
        <v>1658</v>
      </c>
      <c r="FL344" s="770" t="s">
        <v>1659</v>
      </c>
      <c r="FM344" s="147">
        <v>1500</v>
      </c>
      <c r="FN344" s="302">
        <v>400</v>
      </c>
      <c r="FO344" s="302">
        <v>0</v>
      </c>
      <c r="FP344" s="770" t="s">
        <v>1602</v>
      </c>
      <c r="FQ344" s="770" t="s">
        <v>1660</v>
      </c>
      <c r="FR344" s="770"/>
      <c r="FS344" s="770"/>
      <c r="FT344" s="770"/>
      <c r="FU344" s="770"/>
      <c r="FV344" s="770"/>
      <c r="FW344" s="770"/>
      <c r="FX344" s="770"/>
      <c r="FY344" s="770"/>
      <c r="FZ344" s="770"/>
      <c r="GA344" s="770"/>
      <c r="GB344" s="770"/>
      <c r="GC344" s="308"/>
      <c r="GD344" s="297"/>
      <c r="GE344" s="770"/>
      <c r="GF344" s="302"/>
      <c r="GG344" s="302"/>
      <c r="GH344" s="770"/>
      <c r="GI344" s="770"/>
      <c r="GJ344" s="770"/>
      <c r="GK344" s="770"/>
      <c r="GL344" s="770"/>
      <c r="GM344" s="770"/>
      <c r="GN344" s="309"/>
      <c r="GO344" s="770"/>
      <c r="GP344" s="770"/>
      <c r="GQ344" s="770"/>
      <c r="GR344" s="770"/>
      <c r="GS344" s="770"/>
      <c r="GT344" s="770"/>
      <c r="GU344" s="770"/>
      <c r="GV344" s="770"/>
      <c r="GW344" s="770"/>
      <c r="GX344" s="770"/>
      <c r="GY344" s="770"/>
      <c r="GZ344" s="770"/>
      <c r="HA344" s="770"/>
      <c r="HB344" s="770"/>
      <c r="HC344" s="770"/>
      <c r="HD344" s="770"/>
      <c r="HE344" s="770"/>
      <c r="HF344" s="770"/>
      <c r="HG344" s="770"/>
      <c r="HH344" s="770"/>
      <c r="HI344" s="770"/>
      <c r="HJ344" s="770"/>
      <c r="HK344" s="770"/>
      <c r="HL344" s="770"/>
      <c r="HM344" s="770"/>
      <c r="HN344" s="770"/>
      <c r="HO344" s="770"/>
      <c r="HP344" s="770"/>
      <c r="HQ344" s="770"/>
      <c r="HR344" s="770"/>
      <c r="HS344" s="770"/>
      <c r="HT344" s="770"/>
      <c r="HU344" s="770"/>
      <c r="HV344" s="770"/>
      <c r="HW344" s="770"/>
      <c r="HX344" s="770"/>
      <c r="HY344" s="770"/>
      <c r="HZ344" s="770"/>
      <c r="IA344" s="770"/>
      <c r="IB344" s="14" t="e">
        <f>IF(#REF!&gt;0,IF(#REF!&lt;=10000,"Y",""),"")</f>
        <v>#REF!</v>
      </c>
      <c r="IC344" s="770"/>
      <c r="ID344" s="770"/>
      <c r="IE344" s="770"/>
      <c r="IF344" s="770"/>
      <c r="IG344" s="770"/>
      <c r="IH344" s="770"/>
      <c r="II344" s="770"/>
      <c r="IJ344" s="770"/>
      <c r="IK344" s="770"/>
      <c r="IL344" s="770"/>
      <c r="IM344" s="770"/>
      <c r="IN344" s="770"/>
      <c r="IO344" s="296"/>
      <c r="IP344" s="770"/>
      <c r="IQ344" s="770"/>
      <c r="IR344" s="770"/>
      <c r="IS344" s="770"/>
      <c r="IT344" s="770"/>
      <c r="IU344" s="770"/>
      <c r="IV344" s="770"/>
      <c r="IW344" s="770"/>
      <c r="IX344" s="770"/>
      <c r="IY344" s="770"/>
      <c r="IZ344" s="770"/>
      <c r="JA344" s="770"/>
      <c r="JB344" s="770"/>
      <c r="JC344" s="770"/>
      <c r="JD344" s="302"/>
      <c r="JE344" s="770"/>
      <c r="JF344" s="770"/>
      <c r="JG344" s="770"/>
      <c r="JH344" s="770"/>
      <c r="JI344" s="770"/>
      <c r="JJ344" s="770"/>
      <c r="JK344" s="770"/>
      <c r="JL344" s="770"/>
      <c r="JM344" s="770"/>
      <c r="JN344" s="770"/>
      <c r="JO344" s="770"/>
      <c r="JP344" s="770"/>
      <c r="JQ344" s="770"/>
      <c r="JR344" s="770"/>
      <c r="JS344" s="770"/>
      <c r="JT344" s="766"/>
      <c r="JU344" s="766"/>
      <c r="JV344" s="766"/>
      <c r="JW344" s="766"/>
      <c r="JX344" s="770"/>
      <c r="JY344" s="770"/>
      <c r="JZ344" s="770"/>
      <c r="KA344" s="770"/>
      <c r="KB344" s="770"/>
      <c r="KC344" s="770"/>
      <c r="KD344" s="770"/>
      <c r="KE344" s="770"/>
      <c r="KF344" s="770"/>
      <c r="KG344" s="770"/>
      <c r="KH344" s="770"/>
      <c r="KI344" s="770"/>
      <c r="KJ344" s="770"/>
      <c r="KK344" s="770"/>
      <c r="KL344" s="770"/>
      <c r="KM344" s="770"/>
      <c r="KN344" s="770"/>
      <c r="KO344" s="770"/>
      <c r="KP344" s="770"/>
      <c r="KQ344" s="770"/>
      <c r="KR344" s="770"/>
      <c r="KS344" s="770"/>
      <c r="KT344" s="770"/>
      <c r="KU344" s="770"/>
      <c r="KV344" s="770"/>
      <c r="KW344" s="770"/>
      <c r="KX344" s="770"/>
      <c r="KY344" s="770"/>
      <c r="KZ344" s="770"/>
      <c r="LA344" s="770"/>
      <c r="LB344" s="770"/>
      <c r="LC344" s="770"/>
      <c r="LD344" s="770"/>
      <c r="LE344" s="770"/>
      <c r="LF344" s="770"/>
      <c r="LG344" s="770"/>
      <c r="LH344" s="770"/>
      <c r="LI344" s="770"/>
      <c r="LJ344" s="770"/>
      <c r="LK344" s="770"/>
      <c r="LL344" s="770"/>
      <c r="LM344" s="770"/>
      <c r="LN344" s="766"/>
      <c r="LO344" s="766"/>
      <c r="LP344" s="770"/>
      <c r="LQ344" s="770"/>
      <c r="LR344" s="770"/>
      <c r="LS344" s="770"/>
      <c r="LT344" s="770"/>
      <c r="LU344" s="770"/>
      <c r="LV344" s="770"/>
      <c r="LW344" s="770"/>
      <c r="LX344" s="769"/>
      <c r="LY344" s="766" t="str">
        <f t="shared" si="93"/>
        <v/>
      </c>
      <c r="LZ344" s="299"/>
      <c r="MA344" s="306"/>
      <c r="MB344" s="306"/>
      <c r="MC344" s="1679">
        <f t="shared" si="91"/>
        <v>0</v>
      </c>
      <c r="MD344" s="306"/>
      <c r="ME344" s="306"/>
      <c r="MF344" s="306"/>
      <c r="MG344" s="1680">
        <f t="shared" si="97"/>
        <v>0</v>
      </c>
      <c r="MH344" s="770"/>
      <c r="MI344" s="302"/>
      <c r="MJ344" s="302"/>
      <c r="MK344" s="302"/>
      <c r="ML344" s="302"/>
      <c r="MM344" s="302"/>
      <c r="MN344" s="302"/>
      <c r="MO344" s="302"/>
      <c r="MP344" s="302"/>
      <c r="MQ344" s="302"/>
      <c r="MR344" s="302"/>
      <c r="MS344" s="302"/>
      <c r="MT344" s="302"/>
      <c r="MU344" s="302"/>
      <c r="MV344" s="302"/>
      <c r="MW344" s="302"/>
      <c r="MX344" s="302"/>
      <c r="MY344" s="1682">
        <f t="shared" si="98"/>
        <v>0</v>
      </c>
      <c r="MZ344" s="770"/>
      <c r="NA344" s="770"/>
      <c r="NB344" s="770"/>
      <c r="NC344" s="770"/>
      <c r="ND344" s="770"/>
      <c r="NE344" s="770"/>
      <c r="NF344" s="770"/>
      <c r="NG344" s="770"/>
      <c r="NH344" s="770"/>
      <c r="NI344" s="770"/>
      <c r="NJ344" s="770"/>
      <c r="NK344" s="770"/>
      <c r="NL344" s="770"/>
      <c r="NM344" s="770"/>
      <c r="NN344" s="770"/>
      <c r="NO344" s="770"/>
      <c r="NP344" s="770"/>
      <c r="NQ344" s="770"/>
      <c r="NR344" s="770"/>
      <c r="NS344" s="770"/>
      <c r="NT344" s="770"/>
      <c r="NU344" s="770"/>
      <c r="NV344" s="770"/>
      <c r="NW344" s="770"/>
      <c r="NX344" s="770"/>
      <c r="NY344" s="770"/>
      <c r="NZ344" s="770"/>
      <c r="OA344" s="770"/>
      <c r="OB344" s="770"/>
      <c r="OC344" s="770"/>
      <c r="OD344" s="770"/>
      <c r="OE344" s="770"/>
      <c r="OF344" s="770"/>
      <c r="OG344" s="770"/>
      <c r="OH344" s="770"/>
      <c r="OI344" s="770"/>
      <c r="OJ344" s="770"/>
      <c r="OK344" s="770"/>
      <c r="OL344" s="770"/>
      <c r="OM344" s="770"/>
      <c r="ON344" s="770"/>
      <c r="OO344" s="770"/>
      <c r="OP344" s="770"/>
      <c r="OQ344" s="770"/>
      <c r="OR344" s="770"/>
      <c r="OS344" s="770"/>
      <c r="OT344" s="770"/>
      <c r="OU344" s="770"/>
      <c r="OV344" s="770"/>
      <c r="OW344" s="770"/>
      <c r="OX344" s="770"/>
      <c r="OY344" s="770"/>
      <c r="OZ344" s="770"/>
      <c r="PA344" s="770"/>
      <c r="PB344" s="770"/>
      <c r="PC344" s="770"/>
      <c r="PD344" s="770"/>
      <c r="PE344" s="770"/>
      <c r="PF344" s="770"/>
      <c r="PG344" s="770"/>
      <c r="PH344" s="770"/>
      <c r="PI344" s="770"/>
      <c r="PJ344" s="770"/>
      <c r="PK344" s="770"/>
      <c r="PL344" s="770"/>
      <c r="PM344" s="770"/>
      <c r="PN344" s="770"/>
      <c r="PO344" s="770"/>
      <c r="PP344" s="770"/>
      <c r="PQ344" s="770"/>
      <c r="PR344" s="770"/>
      <c r="PS344" s="770"/>
      <c r="PT344" s="770"/>
      <c r="PU344" s="770"/>
      <c r="PV344" s="770"/>
      <c r="PW344" s="770"/>
      <c r="PX344" s="770"/>
      <c r="PY344" s="770"/>
      <c r="PZ344" s="770"/>
      <c r="QA344" s="770"/>
      <c r="QB344" s="770"/>
      <c r="QC344" s="770"/>
      <c r="QD344" s="770"/>
      <c r="QE344" s="770"/>
      <c r="QF344" s="770"/>
      <c r="QG344" s="770"/>
      <c r="QH344" s="770"/>
      <c r="QI344" s="770"/>
      <c r="QJ344" s="770"/>
      <c r="QK344" s="770"/>
      <c r="QL344" s="770"/>
      <c r="QM344" s="770"/>
      <c r="QN344" s="770"/>
      <c r="QO344" s="770"/>
      <c r="QP344" s="770"/>
      <c r="QQ344" s="770"/>
      <c r="QR344" s="770"/>
      <c r="QS344" s="770"/>
      <c r="QT344" s="770"/>
      <c r="QU344" s="770"/>
      <c r="QV344" s="770"/>
      <c r="QW344" s="770"/>
      <c r="QX344" s="770"/>
      <c r="QY344" s="770"/>
      <c r="QZ344" s="770"/>
      <c r="RA344" s="770"/>
      <c r="RB344" s="770"/>
      <c r="RC344" s="770"/>
      <c r="RD344" s="770"/>
      <c r="RE344" s="770"/>
      <c r="RF344" s="304"/>
      <c r="RG344" s="770"/>
      <c r="RH344" s="302"/>
      <c r="RI344" s="770"/>
      <c r="RJ344" s="770" t="s">
        <v>13481</v>
      </c>
      <c r="RK344" s="770" t="s">
        <v>13401</v>
      </c>
      <c r="RL344" s="1710">
        <v>42816</v>
      </c>
      <c r="RM344" s="12"/>
      <c r="RN344" s="1711"/>
      <c r="RO344" s="148" t="s">
        <v>589</v>
      </c>
      <c r="RP344" s="11"/>
      <c r="RQ344" s="11"/>
      <c r="RR344" s="771"/>
      <c r="RS344" s="767"/>
      <c r="RT344" s="11"/>
      <c r="RU344" s="11"/>
      <c r="RV344" s="771" t="s">
        <v>8090</v>
      </c>
      <c r="RW344" s="11" t="s">
        <v>5554</v>
      </c>
      <c r="RX344" s="11" t="s">
        <v>584</v>
      </c>
      <c r="RY344" s="11"/>
      <c r="RZ344" s="11"/>
      <c r="SA344" s="771"/>
      <c r="SB344" s="11"/>
      <c r="SC344" s="11"/>
    </row>
    <row r="345" spans="1:497" ht="12.75" hidden="1" customHeight="1">
      <c r="A345" s="767" t="s">
        <v>7419</v>
      </c>
      <c r="B345" s="750" t="s">
        <v>7984</v>
      </c>
      <c r="C345" s="140" t="s">
        <v>593</v>
      </c>
      <c r="D345" s="770" t="s">
        <v>594</v>
      </c>
      <c r="E345" s="770" t="s">
        <v>595</v>
      </c>
      <c r="F345" s="770" t="s">
        <v>596</v>
      </c>
      <c r="G345" s="770" t="s">
        <v>10</v>
      </c>
      <c r="H345" s="770"/>
      <c r="I345" s="295"/>
      <c r="J345" s="94"/>
      <c r="K345" s="770"/>
      <c r="L345" s="770"/>
      <c r="M345" s="770"/>
      <c r="N345" s="770"/>
      <c r="O345" s="770"/>
      <c r="P345" s="770" t="s">
        <v>958</v>
      </c>
      <c r="Q345" s="1088"/>
      <c r="R345" s="297"/>
      <c r="S345" s="770"/>
      <c r="T345" s="770"/>
      <c r="U345" s="298"/>
      <c r="V345" s="770"/>
      <c r="W345" s="770"/>
      <c r="X345" s="296"/>
      <c r="Y345" s="770"/>
      <c r="Z345" s="770"/>
      <c r="AA345" s="770"/>
      <c r="AB345" s="770"/>
      <c r="AC345" s="770"/>
      <c r="AD345" s="770"/>
      <c r="AE345" s="770"/>
      <c r="AF345" s="770"/>
      <c r="AG345" s="766" t="s">
        <v>1095</v>
      </c>
      <c r="AH345" s="770" t="s">
        <v>1119</v>
      </c>
      <c r="AI345" s="770" t="s">
        <v>1181</v>
      </c>
      <c r="AJ345" s="770"/>
      <c r="AK345" s="766" t="s">
        <v>1097</v>
      </c>
      <c r="AL345" s="299">
        <v>105.6</v>
      </c>
      <c r="AM345" s="300">
        <v>105.6</v>
      </c>
      <c r="AN345" s="301">
        <v>1</v>
      </c>
      <c r="AO345" s="766" t="s">
        <v>1122</v>
      </c>
      <c r="AP345" s="766"/>
      <c r="AQ345" s="766"/>
      <c r="AR345" s="766"/>
      <c r="AS345" s="770"/>
      <c r="AT345" s="770"/>
      <c r="AU345" s="770"/>
      <c r="AV345" s="770"/>
      <c r="AW345" s="770"/>
      <c r="AX345" s="13"/>
      <c r="AY345" s="770"/>
      <c r="AZ345" s="770"/>
      <c r="BA345" s="770"/>
      <c r="BB345" s="770"/>
      <c r="BC345" s="770"/>
      <c r="BD345" s="770"/>
      <c r="BE345" s="770"/>
      <c r="BF345" s="302"/>
      <c r="BG345" s="302"/>
      <c r="BH345" s="770"/>
      <c r="BI345" s="770"/>
      <c r="BJ345" s="770"/>
      <c r="BK345" s="770"/>
      <c r="BL345" s="770"/>
      <c r="BM345" s="770"/>
      <c r="BN345" s="770"/>
      <c r="BO345" s="770"/>
      <c r="BP345" s="780"/>
      <c r="BQ345" s="772"/>
      <c r="BR345" s="774"/>
      <c r="BS345" s="766"/>
      <c r="BT345" s="766"/>
      <c r="BU345" s="770"/>
      <c r="BV345" s="770"/>
      <c r="BW345" s="770"/>
      <c r="BX345" s="302"/>
      <c r="BY345" s="303"/>
      <c r="BZ345" s="770"/>
      <c r="CA345" s="302"/>
      <c r="CB345" s="302" t="s">
        <v>1207</v>
      </c>
      <c r="CC345" s="770" t="s">
        <v>1181</v>
      </c>
      <c r="CD345" s="770"/>
      <c r="CE345" s="770"/>
      <c r="CF345" s="304">
        <v>5.5</v>
      </c>
      <c r="CG345" s="321">
        <v>40</v>
      </c>
      <c r="CH345" s="770" t="s">
        <v>1548</v>
      </c>
      <c r="CI345" s="770"/>
      <c r="CJ345" s="770"/>
      <c r="CK345" s="770">
        <v>14</v>
      </c>
      <c r="CL345" s="770" t="s">
        <v>1549</v>
      </c>
      <c r="CM345" s="770"/>
      <c r="CN345" s="770"/>
      <c r="CO345" s="770" t="s">
        <v>1257</v>
      </c>
      <c r="CP345" s="770"/>
      <c r="CQ345" s="770"/>
      <c r="CR345" s="770"/>
      <c r="CS345" s="302"/>
      <c r="CT345" s="770"/>
      <c r="CU345" s="305"/>
      <c r="CV345" s="770"/>
      <c r="CW345" s="770"/>
      <c r="CX345" s="770"/>
      <c r="CY345" s="770"/>
      <c r="CZ345" s="770"/>
      <c r="DA345" s="306"/>
      <c r="DB345" s="770"/>
      <c r="DC345" s="770"/>
      <c r="DD345" s="770"/>
      <c r="DE345" s="300"/>
      <c r="DF345" s="770"/>
      <c r="DG345" s="770"/>
      <c r="DH345" s="770"/>
      <c r="DI345" s="770"/>
      <c r="DJ345" s="770"/>
      <c r="DK345" s="770"/>
      <c r="DL345" s="770"/>
      <c r="DM345" s="770"/>
      <c r="DN345" s="322"/>
      <c r="DO345" s="770"/>
      <c r="DP345" s="770"/>
      <c r="DQ345" s="770"/>
      <c r="DR345" s="770"/>
      <c r="DS345" s="307"/>
      <c r="DT345" s="770"/>
      <c r="DU345" s="770"/>
      <c r="DV345" s="770"/>
      <c r="DW345" s="306"/>
      <c r="DX345" s="306"/>
      <c r="DY345" s="770"/>
      <c r="DZ345" s="770"/>
      <c r="EA345" s="770"/>
      <c r="EB345" s="770"/>
      <c r="EC345" s="770"/>
      <c r="ED345" s="770"/>
      <c r="EE345" s="770"/>
      <c r="EF345" s="770"/>
      <c r="EG345" s="770"/>
      <c r="EH345" s="770"/>
      <c r="EI345" s="770"/>
      <c r="EJ345" s="770"/>
      <c r="EK345" s="770"/>
      <c r="EL345" s="770"/>
      <c r="EM345" s="770"/>
      <c r="EN345" s="770"/>
      <c r="EO345" s="770"/>
      <c r="EP345" s="94"/>
      <c r="EQ345" s="770"/>
      <c r="ER345" s="770"/>
      <c r="ES345" s="770"/>
      <c r="ET345" s="770"/>
      <c r="EU345" s="770"/>
      <c r="EV345" s="770"/>
      <c r="EW345" s="770"/>
      <c r="EX345" s="770"/>
      <c r="EY345" s="770"/>
      <c r="EZ345" s="770"/>
      <c r="FA345" s="770"/>
      <c r="FB345" s="770"/>
      <c r="FC345" s="770"/>
      <c r="FD345" s="302"/>
      <c r="FE345" s="770"/>
      <c r="FF345" s="770"/>
      <c r="FG345" s="770"/>
      <c r="FH345" s="770"/>
      <c r="FI345" s="770"/>
      <c r="FJ345" s="770"/>
      <c r="FK345" s="770"/>
      <c r="FL345" s="770"/>
      <c r="FM345" s="302"/>
      <c r="FN345" s="302"/>
      <c r="FO345" s="302"/>
      <c r="FP345" s="770"/>
      <c r="FQ345" s="770"/>
      <c r="FR345" s="770"/>
      <c r="FS345" s="770"/>
      <c r="FT345" s="770"/>
      <c r="FU345" s="770"/>
      <c r="FV345" s="770"/>
      <c r="FW345" s="770"/>
      <c r="FX345" s="770"/>
      <c r="FY345" s="770"/>
      <c r="FZ345" s="770"/>
      <c r="GA345" s="770"/>
      <c r="GB345" s="770"/>
      <c r="GC345" s="308"/>
      <c r="GD345" s="297"/>
      <c r="GE345" s="770"/>
      <c r="GF345" s="302"/>
      <c r="GG345" s="302"/>
      <c r="GH345" s="770"/>
      <c r="GI345" s="770"/>
      <c r="GJ345" s="770"/>
      <c r="GK345" s="770"/>
      <c r="GL345" s="770"/>
      <c r="GM345" s="770"/>
      <c r="GN345" s="309"/>
      <c r="GO345" s="770"/>
      <c r="GP345" s="770"/>
      <c r="GQ345" s="770"/>
      <c r="GR345" s="770"/>
      <c r="GS345" s="770"/>
      <c r="GT345" s="770"/>
      <c r="GU345" s="770"/>
      <c r="GV345" s="770"/>
      <c r="GW345" s="770"/>
      <c r="GX345" s="770"/>
      <c r="GY345" s="770"/>
      <c r="GZ345" s="770"/>
      <c r="HA345" s="770"/>
      <c r="HB345" s="770"/>
      <c r="HC345" s="770"/>
      <c r="HD345" s="770"/>
      <c r="HE345" s="770"/>
      <c r="HF345" s="770"/>
      <c r="HG345" s="770"/>
      <c r="HH345" s="770"/>
      <c r="HI345" s="770"/>
      <c r="HJ345" s="770"/>
      <c r="HK345" s="770"/>
      <c r="HL345" s="770"/>
      <c r="HM345" s="770"/>
      <c r="HN345" s="770"/>
      <c r="HO345" s="770"/>
      <c r="HP345" s="770"/>
      <c r="HQ345" s="770"/>
      <c r="HR345" s="770"/>
      <c r="HS345" s="770"/>
      <c r="HT345" s="770"/>
      <c r="HU345" s="770"/>
      <c r="HV345" s="770"/>
      <c r="HW345" s="770"/>
      <c r="HX345" s="770"/>
      <c r="HY345" s="770"/>
      <c r="HZ345" s="770"/>
      <c r="IA345" s="770"/>
      <c r="IB345" s="14" t="e">
        <f>IF(#REF!&gt;0,IF(#REF!&lt;=10000,"Y",""),"")</f>
        <v>#REF!</v>
      </c>
      <c r="IC345" s="770"/>
      <c r="ID345" s="770"/>
      <c r="IE345" s="770"/>
      <c r="IF345" s="770"/>
      <c r="IG345" s="770"/>
      <c r="IH345" s="770"/>
      <c r="II345" s="770"/>
      <c r="IJ345" s="770" t="s">
        <v>5327</v>
      </c>
      <c r="IK345" s="770"/>
      <c r="IL345" s="770"/>
      <c r="IM345" s="770"/>
      <c r="IN345" s="770"/>
      <c r="IO345" s="296"/>
      <c r="IP345" s="770"/>
      <c r="IQ345" s="770"/>
      <c r="IR345" s="770"/>
      <c r="IS345" s="770"/>
      <c r="IT345" s="770"/>
      <c r="IU345" s="770"/>
      <c r="IV345" s="770"/>
      <c r="IW345" s="770"/>
      <c r="IX345" s="770"/>
      <c r="IY345" s="770"/>
      <c r="IZ345" s="770"/>
      <c r="JA345" s="770"/>
      <c r="JB345" s="770"/>
      <c r="JC345" s="770"/>
      <c r="JD345" s="302"/>
      <c r="JE345" s="770"/>
      <c r="JF345" s="770"/>
      <c r="JG345" s="770"/>
      <c r="JH345" s="770"/>
      <c r="JI345" s="770"/>
      <c r="JJ345" s="770"/>
      <c r="JK345" s="770"/>
      <c r="JL345" s="770"/>
      <c r="JM345" s="770"/>
      <c r="JN345" s="770"/>
      <c r="JO345" s="770"/>
      <c r="JP345" s="770"/>
      <c r="JQ345" s="770"/>
      <c r="JR345" s="770"/>
      <c r="JS345" s="770"/>
      <c r="JT345" s="766"/>
      <c r="JU345" s="766"/>
      <c r="JV345" s="766"/>
      <c r="JW345" s="766"/>
      <c r="JX345" s="770"/>
      <c r="JY345" s="770"/>
      <c r="JZ345" s="770"/>
      <c r="KA345" s="770"/>
      <c r="KB345" s="770"/>
      <c r="KC345" s="770"/>
      <c r="KD345" s="770"/>
      <c r="KE345" s="770"/>
      <c r="KF345" s="770"/>
      <c r="KG345" s="770"/>
      <c r="KH345" s="770"/>
      <c r="KI345" s="770"/>
      <c r="KJ345" s="770"/>
      <c r="KK345" s="770"/>
      <c r="KL345" s="770"/>
      <c r="KM345" s="770"/>
      <c r="KN345" s="770"/>
      <c r="KO345" s="770"/>
      <c r="KP345" s="770"/>
      <c r="KQ345" s="770"/>
      <c r="KR345" s="770"/>
      <c r="KS345" s="770"/>
      <c r="KT345" s="770"/>
      <c r="KU345" s="770"/>
      <c r="KV345" s="770"/>
      <c r="KW345" s="770"/>
      <c r="KX345" s="770"/>
      <c r="KY345" s="770"/>
      <c r="KZ345" s="770"/>
      <c r="LA345" s="770"/>
      <c r="LB345" s="770"/>
      <c r="LC345" s="770"/>
      <c r="LD345" s="770"/>
      <c r="LE345" s="770"/>
      <c r="LF345" s="770"/>
      <c r="LG345" s="770"/>
      <c r="LH345" s="770"/>
      <c r="LI345" s="770"/>
      <c r="LJ345" s="770"/>
      <c r="LK345" s="770"/>
      <c r="LL345" s="770"/>
      <c r="LM345" s="770"/>
      <c r="LN345" s="766"/>
      <c r="LO345" s="766"/>
      <c r="LP345" s="770"/>
      <c r="LQ345" s="770"/>
      <c r="LR345" s="770"/>
      <c r="LS345" s="770"/>
      <c r="LT345" s="770"/>
      <c r="LU345" s="770"/>
      <c r="LV345" s="770"/>
      <c r="LW345" s="770"/>
      <c r="LX345" s="769"/>
      <c r="LY345" s="766" t="str">
        <f t="shared" si="93"/>
        <v/>
      </c>
      <c r="LZ345" s="299"/>
      <c r="MA345" s="306"/>
      <c r="MB345" s="306"/>
      <c r="MC345" s="1679">
        <f t="shared" si="91"/>
        <v>0</v>
      </c>
      <c r="MD345" s="306"/>
      <c r="ME345" s="306"/>
      <c r="MF345" s="306"/>
      <c r="MG345" s="1680">
        <f t="shared" si="97"/>
        <v>0</v>
      </c>
      <c r="MH345" s="770"/>
      <c r="MI345" s="302"/>
      <c r="MJ345" s="302"/>
      <c r="MK345" s="302"/>
      <c r="ML345" s="302"/>
      <c r="MM345" s="302"/>
      <c r="MN345" s="302"/>
      <c r="MO345" s="302"/>
      <c r="MP345" s="302"/>
      <c r="MQ345" s="302"/>
      <c r="MR345" s="302"/>
      <c r="MS345" s="302"/>
      <c r="MT345" s="302"/>
      <c r="MU345" s="302"/>
      <c r="MV345" s="302"/>
      <c r="MW345" s="302"/>
      <c r="MX345" s="302"/>
      <c r="MY345" s="1682">
        <f t="shared" si="98"/>
        <v>0</v>
      </c>
      <c r="MZ345" s="770"/>
      <c r="NA345" s="770"/>
      <c r="NB345" s="770"/>
      <c r="NC345" s="770"/>
      <c r="ND345" s="770"/>
      <c r="NE345" s="770"/>
      <c r="NF345" s="770"/>
      <c r="NG345" s="770"/>
      <c r="NH345" s="770"/>
      <c r="NI345" s="770"/>
      <c r="NJ345" s="770"/>
      <c r="NK345" s="770"/>
      <c r="NL345" s="770"/>
      <c r="NM345" s="770"/>
      <c r="NN345" s="770"/>
      <c r="NO345" s="770"/>
      <c r="NP345" s="770"/>
      <c r="NQ345" s="770"/>
      <c r="NR345" s="770"/>
      <c r="NS345" s="770"/>
      <c r="NT345" s="770"/>
      <c r="NU345" s="770"/>
      <c r="NV345" s="770"/>
      <c r="NW345" s="770"/>
      <c r="NX345" s="770"/>
      <c r="NY345" s="770"/>
      <c r="NZ345" s="770"/>
      <c r="OA345" s="770"/>
      <c r="OB345" s="770"/>
      <c r="OC345" s="770"/>
      <c r="OD345" s="770"/>
      <c r="OE345" s="770"/>
      <c r="OF345" s="770"/>
      <c r="OG345" s="770"/>
      <c r="OH345" s="770"/>
      <c r="OI345" s="770"/>
      <c r="OJ345" s="770"/>
      <c r="OK345" s="770"/>
      <c r="OL345" s="770"/>
      <c r="OM345" s="770"/>
      <c r="ON345" s="770"/>
      <c r="OO345" s="770"/>
      <c r="OP345" s="770"/>
      <c r="OQ345" s="770"/>
      <c r="OR345" s="770"/>
      <c r="OS345" s="770"/>
      <c r="OT345" s="770"/>
      <c r="OU345" s="770"/>
      <c r="OV345" s="770"/>
      <c r="OW345" s="770"/>
      <c r="OX345" s="770"/>
      <c r="OY345" s="770"/>
      <c r="OZ345" s="770"/>
      <c r="PA345" s="770"/>
      <c r="PB345" s="770"/>
      <c r="PC345" s="770"/>
      <c r="PD345" s="770"/>
      <c r="PE345" s="770"/>
      <c r="PF345" s="770"/>
      <c r="PG345" s="770"/>
      <c r="PH345" s="770"/>
      <c r="PI345" s="770"/>
      <c r="PJ345" s="770"/>
      <c r="PK345" s="770"/>
      <c r="PL345" s="770"/>
      <c r="PM345" s="770"/>
      <c r="PN345" s="770"/>
      <c r="PO345" s="770"/>
      <c r="PP345" s="770"/>
      <c r="PQ345" s="770"/>
      <c r="PR345" s="770"/>
      <c r="PS345" s="770"/>
      <c r="PT345" s="770"/>
      <c r="PU345" s="770"/>
      <c r="PV345" s="770"/>
      <c r="PW345" s="770"/>
      <c r="PX345" s="770"/>
      <c r="PY345" s="770"/>
      <c r="PZ345" s="770"/>
      <c r="QA345" s="770"/>
      <c r="QB345" s="770"/>
      <c r="QC345" s="770"/>
      <c r="QD345" s="770"/>
      <c r="QE345" s="770"/>
      <c r="QF345" s="770"/>
      <c r="QG345" s="770"/>
      <c r="QH345" s="770"/>
      <c r="QI345" s="770"/>
      <c r="QJ345" s="770"/>
      <c r="QK345" s="770"/>
      <c r="QL345" s="770"/>
      <c r="QM345" s="770"/>
      <c r="QN345" s="770"/>
      <c r="QO345" s="770"/>
      <c r="QP345" s="770"/>
      <c r="QQ345" s="770"/>
      <c r="QR345" s="770"/>
      <c r="QS345" s="770"/>
      <c r="QT345" s="770"/>
      <c r="QU345" s="770"/>
      <c r="QV345" s="770"/>
      <c r="QW345" s="770"/>
      <c r="QX345" s="770"/>
      <c r="QY345" s="770"/>
      <c r="QZ345" s="770"/>
      <c r="RA345" s="770"/>
      <c r="RB345" s="770"/>
      <c r="RC345" s="770"/>
      <c r="RD345" s="770"/>
      <c r="RE345" s="770"/>
      <c r="RF345" s="304"/>
      <c r="RG345" s="770"/>
      <c r="RH345" s="302"/>
      <c r="RI345" s="770"/>
      <c r="RJ345" s="770"/>
      <c r="RK345" s="770"/>
      <c r="RL345" s="1710"/>
      <c r="RM345" s="12"/>
      <c r="RN345" s="1711"/>
      <c r="RO345" s="140" t="s">
        <v>593</v>
      </c>
      <c r="RP345" s="11"/>
      <c r="RQ345" s="11"/>
      <c r="RR345" s="771"/>
      <c r="RS345" s="767"/>
      <c r="RT345" s="11"/>
      <c r="RU345" s="11"/>
      <c r="RV345" s="771" t="s">
        <v>7419</v>
      </c>
      <c r="RW345" s="11" t="s">
        <v>7674</v>
      </c>
      <c r="RX345" s="11" t="s">
        <v>589</v>
      </c>
      <c r="RY345" s="11"/>
      <c r="RZ345" s="11" t="s">
        <v>2209</v>
      </c>
      <c r="SA345" s="771"/>
      <c r="SB345" s="11"/>
      <c r="SC345" s="11"/>
    </row>
    <row r="346" spans="1:497" ht="12.75" hidden="1" customHeight="1">
      <c r="A346" s="767" t="s">
        <v>7419</v>
      </c>
      <c r="B346" s="750" t="s">
        <v>7985</v>
      </c>
      <c r="C346" s="140" t="s">
        <v>597</v>
      </c>
      <c r="D346" s="770" t="s">
        <v>598</v>
      </c>
      <c r="E346" s="770" t="s">
        <v>599</v>
      </c>
      <c r="F346" s="770" t="s">
        <v>600</v>
      </c>
      <c r="G346" s="770"/>
      <c r="H346" s="770"/>
      <c r="I346" s="295" t="s">
        <v>601</v>
      </c>
      <c r="J346" s="94"/>
      <c r="K346" s="770"/>
      <c r="L346" s="770"/>
      <c r="M346" s="770"/>
      <c r="N346" s="770"/>
      <c r="O346" s="770"/>
      <c r="P346" s="770" t="s">
        <v>958</v>
      </c>
      <c r="Q346" s="1088"/>
      <c r="R346" s="297"/>
      <c r="S346" s="770"/>
      <c r="T346" s="770"/>
      <c r="U346" s="298"/>
      <c r="V346" s="770"/>
      <c r="W346" s="770"/>
      <c r="X346" s="296"/>
      <c r="Y346" s="770"/>
      <c r="Z346" s="770"/>
      <c r="AA346" s="770"/>
      <c r="AB346" s="770"/>
      <c r="AC346" s="770"/>
      <c r="AD346" s="770"/>
      <c r="AE346" s="770"/>
      <c r="AF346" s="770"/>
      <c r="AG346" s="766" t="s">
        <v>1095</v>
      </c>
      <c r="AH346" s="766" t="s">
        <v>1096</v>
      </c>
      <c r="AI346" s="770" t="s">
        <v>1182</v>
      </c>
      <c r="AJ346" s="770"/>
      <c r="AK346" s="766" t="s">
        <v>1097</v>
      </c>
      <c r="AL346" s="299">
        <v>135.9</v>
      </c>
      <c r="AM346" s="300">
        <v>135.9</v>
      </c>
      <c r="AN346" s="301">
        <v>1</v>
      </c>
      <c r="AO346" s="766" t="s">
        <v>1122</v>
      </c>
      <c r="AP346" s="766"/>
      <c r="AQ346" s="766"/>
      <c r="AR346" s="766"/>
      <c r="AS346" s="770"/>
      <c r="AT346" s="770"/>
      <c r="AU346" s="770"/>
      <c r="AV346" s="770"/>
      <c r="AW346" s="770"/>
      <c r="AX346" s="13"/>
      <c r="AY346" s="770"/>
      <c r="AZ346" s="770"/>
      <c r="BA346" s="770"/>
      <c r="BB346" s="770"/>
      <c r="BC346" s="770"/>
      <c r="BD346" s="770"/>
      <c r="BE346" s="770"/>
      <c r="BF346" s="302"/>
      <c r="BG346" s="302"/>
      <c r="BH346" s="770"/>
      <c r="BI346" s="770"/>
      <c r="BJ346" s="770"/>
      <c r="BK346" s="770"/>
      <c r="BL346" s="770"/>
      <c r="BM346" s="770"/>
      <c r="BN346" s="770"/>
      <c r="BO346" s="770"/>
      <c r="BP346" s="780"/>
      <c r="BQ346" s="772"/>
      <c r="BR346" s="774"/>
      <c r="BS346" s="766"/>
      <c r="BT346" s="766"/>
      <c r="BU346" s="770"/>
      <c r="BV346" s="770"/>
      <c r="BW346" s="770"/>
      <c r="BX346" s="302"/>
      <c r="BY346" s="303"/>
      <c r="BZ346" s="770"/>
      <c r="CA346" s="302"/>
      <c r="CB346" s="302" t="s">
        <v>1207</v>
      </c>
      <c r="CC346" s="770" t="s">
        <v>1182</v>
      </c>
      <c r="CD346" s="770"/>
      <c r="CE346" s="770"/>
      <c r="CF346" s="304">
        <v>1.6</v>
      </c>
      <c r="CG346" s="321">
        <v>100</v>
      </c>
      <c r="CH346" s="770" t="s">
        <v>1550</v>
      </c>
      <c r="CI346" s="770"/>
      <c r="CJ346" s="770"/>
      <c r="CK346" s="770">
        <v>18</v>
      </c>
      <c r="CL346" s="770" t="s">
        <v>1551</v>
      </c>
      <c r="CM346" s="770"/>
      <c r="CN346" s="770"/>
      <c r="CO346" s="770" t="s">
        <v>1257</v>
      </c>
      <c r="CP346" s="770"/>
      <c r="CQ346" s="770"/>
      <c r="CR346" s="770"/>
      <c r="CS346" s="302"/>
      <c r="CT346" s="770"/>
      <c r="CU346" s="305"/>
      <c r="CV346" s="770"/>
      <c r="CW346" s="770"/>
      <c r="CX346" s="770"/>
      <c r="CY346" s="770"/>
      <c r="CZ346" s="770"/>
      <c r="DA346" s="306"/>
      <c r="DB346" s="770"/>
      <c r="DC346" s="770"/>
      <c r="DD346" s="770"/>
      <c r="DE346" s="300"/>
      <c r="DF346" s="770"/>
      <c r="DG346" s="770"/>
      <c r="DH346" s="770"/>
      <c r="DI346" s="770"/>
      <c r="DJ346" s="770"/>
      <c r="DK346" s="770"/>
      <c r="DL346" s="770"/>
      <c r="DM346" s="770"/>
      <c r="DN346" s="322"/>
      <c r="DO346" s="770"/>
      <c r="DP346" s="770"/>
      <c r="DQ346" s="770"/>
      <c r="DR346" s="770"/>
      <c r="DS346" s="307"/>
      <c r="DT346" s="770"/>
      <c r="DU346" s="770"/>
      <c r="DV346" s="770"/>
      <c r="DW346" s="306"/>
      <c r="DX346" s="306"/>
      <c r="DY346" s="770"/>
      <c r="DZ346" s="770"/>
      <c r="EA346" s="770"/>
      <c r="EB346" s="770"/>
      <c r="EC346" s="770"/>
      <c r="ED346" s="770"/>
      <c r="EE346" s="770"/>
      <c r="EF346" s="770"/>
      <c r="EG346" s="770"/>
      <c r="EH346" s="770"/>
      <c r="EI346" s="770"/>
      <c r="EJ346" s="770"/>
      <c r="EK346" s="770"/>
      <c r="EL346" s="770"/>
      <c r="EM346" s="770"/>
      <c r="EN346" s="770"/>
      <c r="EO346" s="770"/>
      <c r="EP346" s="94"/>
      <c r="EQ346" s="770"/>
      <c r="ER346" s="770"/>
      <c r="ES346" s="770"/>
      <c r="ET346" s="770"/>
      <c r="EU346" s="770"/>
      <c r="EV346" s="770"/>
      <c r="EW346" s="770"/>
      <c r="EX346" s="770"/>
      <c r="EY346" s="770"/>
      <c r="EZ346" s="770"/>
      <c r="FA346" s="770"/>
      <c r="FB346" s="770"/>
      <c r="FC346" s="770"/>
      <c r="FD346" s="302"/>
      <c r="FE346" s="770"/>
      <c r="FF346" s="770"/>
      <c r="FG346" s="770"/>
      <c r="FH346" s="770"/>
      <c r="FI346" s="770"/>
      <c r="FJ346" s="770"/>
      <c r="FK346" s="770"/>
      <c r="FL346" s="770"/>
      <c r="FM346" s="302"/>
      <c r="FN346" s="302"/>
      <c r="FO346" s="302"/>
      <c r="FP346" s="770"/>
      <c r="FQ346" s="770"/>
      <c r="FR346" s="770"/>
      <c r="FS346" s="770"/>
      <c r="FT346" s="770"/>
      <c r="FU346" s="770"/>
      <c r="FV346" s="770"/>
      <c r="FW346" s="770"/>
      <c r="FX346" s="770"/>
      <c r="FY346" s="770"/>
      <c r="FZ346" s="770"/>
      <c r="GA346" s="770"/>
      <c r="GB346" s="770"/>
      <c r="GC346" s="308"/>
      <c r="GD346" s="297"/>
      <c r="GE346" s="770"/>
      <c r="GF346" s="302"/>
      <c r="GG346" s="302"/>
      <c r="GH346" s="770"/>
      <c r="GI346" s="770"/>
      <c r="GJ346" s="770"/>
      <c r="GK346" s="770"/>
      <c r="GL346" s="770"/>
      <c r="GM346" s="770"/>
      <c r="GN346" s="309"/>
      <c r="GO346" s="770"/>
      <c r="GP346" s="770"/>
      <c r="GQ346" s="770"/>
      <c r="GR346" s="770"/>
      <c r="GS346" s="770"/>
      <c r="GT346" s="770"/>
      <c r="GU346" s="770"/>
      <c r="GV346" s="770"/>
      <c r="GW346" s="770"/>
      <c r="GX346" s="770"/>
      <c r="GY346" s="770"/>
      <c r="GZ346" s="770"/>
      <c r="HA346" s="770"/>
      <c r="HB346" s="770"/>
      <c r="HC346" s="770"/>
      <c r="HD346" s="770"/>
      <c r="HE346" s="770"/>
      <c r="HF346" s="770"/>
      <c r="HG346" s="770"/>
      <c r="HH346" s="770"/>
      <c r="HI346" s="770"/>
      <c r="HJ346" s="770"/>
      <c r="HK346" s="770"/>
      <c r="HL346" s="770"/>
      <c r="HM346" s="770"/>
      <c r="HN346" s="770"/>
      <c r="HO346" s="770"/>
      <c r="HP346" s="770"/>
      <c r="HQ346" s="770"/>
      <c r="HR346" s="770"/>
      <c r="HS346" s="770"/>
      <c r="HT346" s="770"/>
      <c r="HU346" s="770"/>
      <c r="HV346" s="770"/>
      <c r="HW346" s="770"/>
      <c r="HX346" s="770"/>
      <c r="HY346" s="770"/>
      <c r="HZ346" s="770"/>
      <c r="IA346" s="770"/>
      <c r="IB346" s="14" t="e">
        <f>IF(#REF!&gt;0,IF(#REF!&lt;=10000,"Y",""),"")</f>
        <v>#REF!</v>
      </c>
      <c r="IC346" s="770"/>
      <c r="ID346" s="770"/>
      <c r="IE346" s="770"/>
      <c r="IF346" s="770"/>
      <c r="IG346" s="770"/>
      <c r="IH346" s="770"/>
      <c r="II346" s="770"/>
      <c r="IJ346" s="770"/>
      <c r="IK346" s="770"/>
      <c r="IL346" s="770"/>
      <c r="IM346" s="770"/>
      <c r="IN346" s="770"/>
      <c r="IO346" s="296"/>
      <c r="IP346" s="770"/>
      <c r="IQ346" s="770"/>
      <c r="IR346" s="770"/>
      <c r="IS346" s="770"/>
      <c r="IT346" s="770"/>
      <c r="IU346" s="770"/>
      <c r="IV346" s="770"/>
      <c r="IW346" s="770"/>
      <c r="IX346" s="770"/>
      <c r="IY346" s="770"/>
      <c r="IZ346" s="770"/>
      <c r="JA346" s="770"/>
      <c r="JB346" s="770"/>
      <c r="JC346" s="770"/>
      <c r="JD346" s="302"/>
      <c r="JE346" s="770"/>
      <c r="JF346" s="770"/>
      <c r="JG346" s="770"/>
      <c r="JH346" s="770"/>
      <c r="JI346" s="770"/>
      <c r="JJ346" s="770"/>
      <c r="JK346" s="770"/>
      <c r="JL346" s="770"/>
      <c r="JM346" s="770"/>
      <c r="JN346" s="770"/>
      <c r="JO346" s="770"/>
      <c r="JP346" s="770"/>
      <c r="JQ346" s="770"/>
      <c r="JR346" s="770"/>
      <c r="JS346" s="770"/>
      <c r="JT346" s="766"/>
      <c r="JU346" s="766"/>
      <c r="JV346" s="766"/>
      <c r="JW346" s="766"/>
      <c r="JX346" s="770"/>
      <c r="JY346" s="770"/>
      <c r="JZ346" s="770"/>
      <c r="KA346" s="770"/>
      <c r="KB346" s="770"/>
      <c r="KC346" s="770"/>
      <c r="KD346" s="770"/>
      <c r="KE346" s="770"/>
      <c r="KF346" s="770"/>
      <c r="KG346" s="770"/>
      <c r="KH346" s="770"/>
      <c r="KI346" s="770"/>
      <c r="KJ346" s="770"/>
      <c r="KK346" s="770"/>
      <c r="KL346" s="770"/>
      <c r="KM346" s="770"/>
      <c r="KN346" s="770"/>
      <c r="KO346" s="770"/>
      <c r="KP346" s="770"/>
      <c r="KQ346" s="770"/>
      <c r="KR346" s="770"/>
      <c r="KS346" s="770"/>
      <c r="KT346" s="770"/>
      <c r="KU346" s="770"/>
      <c r="KV346" s="770"/>
      <c r="KW346" s="770"/>
      <c r="KX346" s="770"/>
      <c r="KY346" s="770"/>
      <c r="KZ346" s="770"/>
      <c r="LA346" s="770"/>
      <c r="LB346" s="770"/>
      <c r="LC346" s="770"/>
      <c r="LD346" s="770"/>
      <c r="LE346" s="770"/>
      <c r="LF346" s="770"/>
      <c r="LG346" s="770"/>
      <c r="LH346" s="770"/>
      <c r="LI346" s="770"/>
      <c r="LJ346" s="770"/>
      <c r="LK346" s="770"/>
      <c r="LL346" s="770"/>
      <c r="LM346" s="770"/>
      <c r="LN346" s="766"/>
      <c r="LO346" s="766"/>
      <c r="LP346" s="770"/>
      <c r="LQ346" s="770"/>
      <c r="LR346" s="770"/>
      <c r="LS346" s="770"/>
      <c r="LT346" s="770"/>
      <c r="LU346" s="770"/>
      <c r="LV346" s="770"/>
      <c r="LW346" s="770"/>
      <c r="LX346" s="769"/>
      <c r="LY346" s="766" t="str">
        <f t="shared" si="93"/>
        <v/>
      </c>
      <c r="LZ346" s="299"/>
      <c r="MA346" s="306"/>
      <c r="MB346" s="306"/>
      <c r="MC346" s="1679">
        <f t="shared" si="91"/>
        <v>0</v>
      </c>
      <c r="MD346" s="306"/>
      <c r="ME346" s="306"/>
      <c r="MF346" s="306"/>
      <c r="MG346" s="1680">
        <f t="shared" si="97"/>
        <v>0</v>
      </c>
      <c r="MH346" s="770"/>
      <c r="MI346" s="302"/>
      <c r="MJ346" s="302"/>
      <c r="MK346" s="302"/>
      <c r="ML346" s="302"/>
      <c r="MM346" s="302"/>
      <c r="MN346" s="302"/>
      <c r="MO346" s="302"/>
      <c r="MP346" s="302"/>
      <c r="MQ346" s="302"/>
      <c r="MR346" s="302"/>
      <c r="MS346" s="302"/>
      <c r="MT346" s="302"/>
      <c r="MU346" s="302"/>
      <c r="MV346" s="302"/>
      <c r="MW346" s="302"/>
      <c r="MX346" s="302"/>
      <c r="MY346" s="1682">
        <f t="shared" si="98"/>
        <v>0</v>
      </c>
      <c r="MZ346" s="770"/>
      <c r="NA346" s="770"/>
      <c r="NB346" s="770"/>
      <c r="NC346" s="770"/>
      <c r="ND346" s="770"/>
      <c r="NE346" s="770"/>
      <c r="NF346" s="770"/>
      <c r="NG346" s="770"/>
      <c r="NH346" s="770"/>
      <c r="NI346" s="770"/>
      <c r="NJ346" s="770"/>
      <c r="NK346" s="770"/>
      <c r="NL346" s="770"/>
      <c r="NM346" s="770"/>
      <c r="NN346" s="770"/>
      <c r="NO346" s="770"/>
      <c r="NP346" s="770"/>
      <c r="NQ346" s="770"/>
      <c r="NR346" s="770"/>
      <c r="NS346" s="770"/>
      <c r="NT346" s="770"/>
      <c r="NU346" s="770"/>
      <c r="NV346" s="770"/>
      <c r="NW346" s="770"/>
      <c r="NX346" s="770"/>
      <c r="NY346" s="770"/>
      <c r="NZ346" s="770"/>
      <c r="OA346" s="770"/>
      <c r="OB346" s="770"/>
      <c r="OC346" s="770"/>
      <c r="OD346" s="770"/>
      <c r="OE346" s="770"/>
      <c r="OF346" s="770"/>
      <c r="OG346" s="770"/>
      <c r="OH346" s="770"/>
      <c r="OI346" s="770"/>
      <c r="OJ346" s="770"/>
      <c r="OK346" s="770"/>
      <c r="OL346" s="770"/>
      <c r="OM346" s="770"/>
      <c r="ON346" s="770"/>
      <c r="OO346" s="770"/>
      <c r="OP346" s="770"/>
      <c r="OQ346" s="770"/>
      <c r="OR346" s="770"/>
      <c r="OS346" s="770"/>
      <c r="OT346" s="770"/>
      <c r="OU346" s="770"/>
      <c r="OV346" s="770"/>
      <c r="OW346" s="770"/>
      <c r="OX346" s="770"/>
      <c r="OY346" s="770"/>
      <c r="OZ346" s="770"/>
      <c r="PA346" s="770"/>
      <c r="PB346" s="770"/>
      <c r="PC346" s="770"/>
      <c r="PD346" s="770"/>
      <c r="PE346" s="770"/>
      <c r="PF346" s="770"/>
      <c r="PG346" s="770"/>
      <c r="PH346" s="770"/>
      <c r="PI346" s="770"/>
      <c r="PJ346" s="770"/>
      <c r="PK346" s="770"/>
      <c r="PL346" s="770"/>
      <c r="PM346" s="770"/>
      <c r="PN346" s="770"/>
      <c r="PO346" s="770"/>
      <c r="PP346" s="770"/>
      <c r="PQ346" s="770"/>
      <c r="PR346" s="770"/>
      <c r="PS346" s="770"/>
      <c r="PT346" s="770"/>
      <c r="PU346" s="770"/>
      <c r="PV346" s="770"/>
      <c r="PW346" s="770"/>
      <c r="PX346" s="770"/>
      <c r="PY346" s="770"/>
      <c r="PZ346" s="770"/>
      <c r="QA346" s="770"/>
      <c r="QB346" s="770"/>
      <c r="QC346" s="770"/>
      <c r="QD346" s="770"/>
      <c r="QE346" s="770"/>
      <c r="QF346" s="770"/>
      <c r="QG346" s="770"/>
      <c r="QH346" s="770"/>
      <c r="QI346" s="770"/>
      <c r="QJ346" s="770"/>
      <c r="QK346" s="770"/>
      <c r="QL346" s="770"/>
      <c r="QM346" s="770"/>
      <c r="QN346" s="770"/>
      <c r="QO346" s="770"/>
      <c r="QP346" s="770"/>
      <c r="QQ346" s="770"/>
      <c r="QR346" s="770"/>
      <c r="QS346" s="770"/>
      <c r="QT346" s="770"/>
      <c r="QU346" s="770"/>
      <c r="QV346" s="770"/>
      <c r="QW346" s="770"/>
      <c r="QX346" s="770"/>
      <c r="QY346" s="770"/>
      <c r="QZ346" s="770"/>
      <c r="RA346" s="770"/>
      <c r="RB346" s="770"/>
      <c r="RC346" s="770"/>
      <c r="RD346" s="770"/>
      <c r="RE346" s="770"/>
      <c r="RF346" s="304"/>
      <c r="RG346" s="770"/>
      <c r="RH346" s="302"/>
      <c r="RI346" s="770"/>
      <c r="RJ346" s="770"/>
      <c r="RK346" s="770"/>
      <c r="RL346" s="1710"/>
      <c r="RM346" s="12"/>
      <c r="RN346" s="1711"/>
      <c r="RO346" s="140" t="s">
        <v>597</v>
      </c>
      <c r="RP346" s="11"/>
      <c r="RQ346" s="11"/>
      <c r="RR346" s="771"/>
      <c r="RS346" s="767"/>
      <c r="RT346" s="11"/>
      <c r="RU346" s="11"/>
      <c r="RV346" s="771" t="s">
        <v>8090</v>
      </c>
      <c r="RW346" s="11" t="s">
        <v>7544</v>
      </c>
      <c r="RX346" s="11" t="s">
        <v>589</v>
      </c>
      <c r="RY346" s="11"/>
      <c r="RZ346" s="11" t="s">
        <v>2209</v>
      </c>
      <c r="SA346" s="771"/>
      <c r="SB346" s="11"/>
      <c r="SC346" s="11"/>
    </row>
    <row r="347" spans="1:497" ht="12.75" hidden="1" customHeight="1">
      <c r="A347" s="154" t="s">
        <v>7419</v>
      </c>
      <c r="B347" s="292" t="s">
        <v>5557</v>
      </c>
      <c r="C347" s="140" t="s">
        <v>602</v>
      </c>
      <c r="D347" s="770" t="s">
        <v>603</v>
      </c>
      <c r="E347" s="766" t="s">
        <v>604</v>
      </c>
      <c r="F347" s="770"/>
      <c r="G347" s="770" t="s">
        <v>18</v>
      </c>
      <c r="H347" s="770"/>
      <c r="I347" s="295"/>
      <c r="J347" s="94"/>
      <c r="K347" s="770"/>
      <c r="L347" s="770"/>
      <c r="M347" s="770"/>
      <c r="N347" s="770"/>
      <c r="O347" s="770"/>
      <c r="P347" s="94" t="s">
        <v>1040</v>
      </c>
      <c r="Q347" s="1088">
        <v>14263</v>
      </c>
      <c r="R347" s="297">
        <v>78</v>
      </c>
      <c r="S347" s="766" t="s">
        <v>18</v>
      </c>
      <c r="T347" s="770"/>
      <c r="U347" s="298" t="s">
        <v>1041</v>
      </c>
      <c r="V347" s="770" t="s">
        <v>719</v>
      </c>
      <c r="W347" s="770"/>
      <c r="X347" s="296"/>
      <c r="Y347" s="770" t="s">
        <v>1042</v>
      </c>
      <c r="Z347" s="770"/>
      <c r="AA347" s="770" t="s">
        <v>709</v>
      </c>
      <c r="AB347" s="770" t="s">
        <v>710</v>
      </c>
      <c r="AC347" s="770"/>
      <c r="AD347" s="770"/>
      <c r="AE347" s="770"/>
      <c r="AF347" s="770" t="s">
        <v>712</v>
      </c>
      <c r="AG347" s="766" t="s">
        <v>1095</v>
      </c>
      <c r="AH347" s="766" t="s">
        <v>1096</v>
      </c>
      <c r="AI347" s="770" t="s">
        <v>1183</v>
      </c>
      <c r="AJ347" s="770"/>
      <c r="AK347" s="766" t="s">
        <v>1097</v>
      </c>
      <c r="AL347" s="299">
        <v>63.51</v>
      </c>
      <c r="AM347" s="300">
        <v>14.6</v>
      </c>
      <c r="AN347" s="301">
        <v>0.23</v>
      </c>
      <c r="AO347" s="766" t="s">
        <v>1149</v>
      </c>
      <c r="AP347" s="766"/>
      <c r="AQ347" s="766"/>
      <c r="AR347" s="766"/>
      <c r="AS347" s="770" t="s">
        <v>1207</v>
      </c>
      <c r="AT347" s="770" t="s">
        <v>1208</v>
      </c>
      <c r="AU347" s="770"/>
      <c r="AV347" s="770"/>
      <c r="AW347" s="770"/>
      <c r="AX347" s="770"/>
      <c r="AY347" s="770"/>
      <c r="AZ347" s="770"/>
      <c r="BA347" s="770"/>
      <c r="BB347" s="770"/>
      <c r="BC347" s="770" t="s">
        <v>853</v>
      </c>
      <c r="BD347" s="770" t="s">
        <v>1207</v>
      </c>
      <c r="BE347" s="770" t="s">
        <v>1207</v>
      </c>
      <c r="BF347" s="302">
        <v>2000</v>
      </c>
      <c r="BG347" s="302">
        <f>BF347*12</f>
        <v>24000</v>
      </c>
      <c r="BH347" s="770"/>
      <c r="BI347" s="770"/>
      <c r="BJ347" s="770"/>
      <c r="BK347" s="770" t="s">
        <v>1095</v>
      </c>
      <c r="BL347" s="770" t="s">
        <v>1183</v>
      </c>
      <c r="BM347" s="766" t="s">
        <v>1096</v>
      </c>
      <c r="BN347" s="770" t="s">
        <v>1230</v>
      </c>
      <c r="BO347" s="766" t="s">
        <v>1246</v>
      </c>
      <c r="BP347" s="780">
        <v>63.51</v>
      </c>
      <c r="BQ347" s="772">
        <v>14.6</v>
      </c>
      <c r="BR347" s="774">
        <f>BQ347/BP347</f>
        <v>0.22988505747126436</v>
      </c>
      <c r="BS347" s="6" t="s">
        <v>1149</v>
      </c>
      <c r="BT347" s="766" t="s">
        <v>2040</v>
      </c>
      <c r="BU347" s="766" t="s">
        <v>1288</v>
      </c>
      <c r="BV347" s="770" t="s">
        <v>1247</v>
      </c>
      <c r="BW347" s="769"/>
      <c r="BX347" s="302"/>
      <c r="BY347" s="303"/>
      <c r="BZ347" s="770"/>
      <c r="CA347" s="302"/>
      <c r="CB347" s="302" t="s">
        <v>1207</v>
      </c>
      <c r="CC347" s="770" t="s">
        <v>1183</v>
      </c>
      <c r="CD347" s="770"/>
      <c r="CE347" s="770"/>
      <c r="CF347" s="304">
        <v>2.5</v>
      </c>
      <c r="CG347" s="321">
        <v>12</v>
      </c>
      <c r="CH347" s="770" t="s">
        <v>1552</v>
      </c>
      <c r="CI347" s="770"/>
      <c r="CJ347" s="770" t="s">
        <v>1553</v>
      </c>
      <c r="CK347" s="770">
        <v>2</v>
      </c>
      <c r="CL347" s="770" t="s">
        <v>1554</v>
      </c>
      <c r="CM347" s="770"/>
      <c r="CN347" s="770"/>
      <c r="CO347" s="770" t="s">
        <v>1257</v>
      </c>
      <c r="CP347" s="770"/>
      <c r="CQ347" s="770"/>
      <c r="CR347" s="770"/>
      <c r="CS347" s="302"/>
      <c r="CT347" s="770"/>
      <c r="CU347" s="305"/>
      <c r="CV347" s="770"/>
      <c r="CW347" s="770"/>
      <c r="CX347" s="770"/>
      <c r="CY347" s="770"/>
      <c r="CZ347" s="770"/>
      <c r="DA347" s="306"/>
      <c r="DB347" s="770"/>
      <c r="DC347" s="770"/>
      <c r="DD347" s="770"/>
      <c r="DE347" s="300"/>
      <c r="DF347" s="770"/>
      <c r="DG347" s="770"/>
      <c r="DH347" s="770"/>
      <c r="DI347" s="770"/>
      <c r="DJ347" s="770"/>
      <c r="DK347" s="770"/>
      <c r="DL347" s="770"/>
      <c r="DM347" s="770"/>
      <c r="DN347" s="322"/>
      <c r="DO347" s="770"/>
      <c r="DP347" s="770"/>
      <c r="DQ347" s="770"/>
      <c r="DR347" s="770"/>
      <c r="DS347" s="307"/>
      <c r="DT347" s="770"/>
      <c r="DU347" s="770"/>
      <c r="DV347" s="770"/>
      <c r="DW347" s="306"/>
      <c r="DX347" s="306"/>
      <c r="DY347" s="770"/>
      <c r="DZ347" s="770"/>
      <c r="EA347" s="770"/>
      <c r="EB347" s="770"/>
      <c r="EC347" s="770"/>
      <c r="ED347" s="770"/>
      <c r="EE347" s="770"/>
      <c r="EF347" s="770"/>
      <c r="EG347" s="770"/>
      <c r="EH347" s="770"/>
      <c r="EI347" s="770"/>
      <c r="EJ347" s="770"/>
      <c r="EK347" s="770"/>
      <c r="EL347" s="770"/>
      <c r="EM347" s="770"/>
      <c r="EN347" s="770"/>
      <c r="EO347" s="770"/>
      <c r="EP347" s="94"/>
      <c r="EQ347" s="770"/>
      <c r="ER347" s="770"/>
      <c r="ES347" s="770"/>
      <c r="ET347" s="770"/>
      <c r="EU347" s="770"/>
      <c r="EV347" s="770"/>
      <c r="EW347" s="770"/>
      <c r="EX347" s="770"/>
      <c r="EY347" s="770"/>
      <c r="EZ347" s="770"/>
      <c r="FA347" s="770"/>
      <c r="FB347" s="770"/>
      <c r="FC347" s="770"/>
      <c r="FD347" s="302"/>
      <c r="FE347" s="770"/>
      <c r="FF347" s="770"/>
      <c r="FG347" s="770"/>
      <c r="FH347" s="770" t="s">
        <v>478</v>
      </c>
      <c r="FI347" s="770">
        <v>1</v>
      </c>
      <c r="FJ347" s="770"/>
      <c r="FK347" s="770"/>
      <c r="FL347" s="770"/>
      <c r="FM347" s="302"/>
      <c r="FN347" s="302"/>
      <c r="FO347" s="302"/>
      <c r="FP347" s="766" t="s">
        <v>1602</v>
      </c>
      <c r="FQ347" s="766" t="s">
        <v>1660</v>
      </c>
      <c r="FR347" s="770" t="s">
        <v>1207</v>
      </c>
      <c r="FS347" s="770" t="s">
        <v>1208</v>
      </c>
      <c r="FT347" s="770"/>
      <c r="FU347" s="770"/>
      <c r="FV347" s="770"/>
      <c r="FW347" s="770"/>
      <c r="FX347" s="770"/>
      <c r="FY347" s="770"/>
      <c r="FZ347" s="770"/>
      <c r="GA347" s="770"/>
      <c r="GB347" s="770" t="s">
        <v>853</v>
      </c>
      <c r="GC347" s="308" t="s">
        <v>1661</v>
      </c>
      <c r="GD347" s="297">
        <v>2004</v>
      </c>
      <c r="GE347" s="770" t="s">
        <v>1207</v>
      </c>
      <c r="GF347" s="302">
        <v>2000</v>
      </c>
      <c r="GG347" s="302">
        <f>GF347*12</f>
        <v>24000</v>
      </c>
      <c r="GH347" s="770"/>
      <c r="GI347" s="770"/>
      <c r="GJ347" s="770"/>
      <c r="GK347" s="770"/>
      <c r="GL347" s="770"/>
      <c r="GM347" s="770"/>
      <c r="GN347" s="309"/>
      <c r="GO347" s="770"/>
      <c r="GP347" s="770"/>
      <c r="GQ347" s="770"/>
      <c r="GR347" s="770"/>
      <c r="GS347" s="770"/>
      <c r="GT347" s="770"/>
      <c r="GU347" s="770"/>
      <c r="GV347" s="770"/>
      <c r="GW347" s="770"/>
      <c r="GX347" s="770"/>
      <c r="GY347" s="770"/>
      <c r="GZ347" s="770"/>
      <c r="HA347" s="770"/>
      <c r="HB347" s="770"/>
      <c r="HC347" s="770"/>
      <c r="HD347" s="770"/>
      <c r="HE347" s="770"/>
      <c r="HF347" s="770"/>
      <c r="HG347" s="770"/>
      <c r="HH347" s="770"/>
      <c r="HI347" s="770"/>
      <c r="HJ347" s="770"/>
      <c r="HK347" s="770"/>
      <c r="HL347" s="770"/>
      <c r="HM347" s="770"/>
      <c r="HN347" s="770"/>
      <c r="HO347" s="770"/>
      <c r="HP347" s="770"/>
      <c r="HQ347" s="770"/>
      <c r="HR347" s="770"/>
      <c r="HS347" s="770"/>
      <c r="HT347" s="770"/>
      <c r="HU347" s="770"/>
      <c r="HV347" s="770"/>
      <c r="HW347" s="770"/>
      <c r="HX347" s="770"/>
      <c r="HY347" s="770"/>
      <c r="HZ347" s="770"/>
      <c r="IA347" s="770"/>
      <c r="IB347" s="14" t="e">
        <f>IF(#REF!&gt;0,IF(#REF!&lt;=10000,"Y",""),"")</f>
        <v>#REF!</v>
      </c>
      <c r="IC347" s="770" t="s">
        <v>1207</v>
      </c>
      <c r="ID347" s="770" t="s">
        <v>1207</v>
      </c>
      <c r="IE347" s="770"/>
      <c r="IF347" s="1828" t="s">
        <v>2013</v>
      </c>
      <c r="IG347" s="770" t="s">
        <v>18</v>
      </c>
      <c r="IH347" s="770" t="s">
        <v>478</v>
      </c>
      <c r="II347" s="770"/>
      <c r="IJ347" s="770" t="s">
        <v>1604</v>
      </c>
      <c r="IK347" s="770"/>
      <c r="IL347" s="770" t="s">
        <v>2013</v>
      </c>
      <c r="IM347" s="770">
        <v>2002</v>
      </c>
      <c r="IN347" s="770" t="s">
        <v>2013</v>
      </c>
      <c r="IO347" s="296">
        <v>14263</v>
      </c>
      <c r="IP347" s="770" t="s">
        <v>478</v>
      </c>
      <c r="IQ347" s="769" t="s">
        <v>5499</v>
      </c>
      <c r="IR347" s="770" t="s">
        <v>2716</v>
      </c>
      <c r="IS347" s="770" t="s">
        <v>1883</v>
      </c>
      <c r="IT347" s="770"/>
      <c r="IU347" s="770" t="s">
        <v>1208</v>
      </c>
      <c r="IV347" s="770"/>
      <c r="IW347" s="770"/>
      <c r="IX347" s="770"/>
      <c r="IY347" s="770"/>
      <c r="IZ347" s="770"/>
      <c r="JA347" s="770"/>
      <c r="JB347" s="770"/>
      <c r="JC347" s="770"/>
      <c r="JD347" s="302">
        <v>2000</v>
      </c>
      <c r="JE347" s="770"/>
      <c r="JF347" s="770"/>
      <c r="JG347" s="770"/>
      <c r="JH347" s="770"/>
      <c r="JI347" s="712" t="str">
        <f>IF(SUM(JT347,JU347)=JJ347,"ok","review")</f>
        <v>ok</v>
      </c>
      <c r="JJ347" s="770">
        <v>5</v>
      </c>
      <c r="JK347" s="1139" t="s">
        <v>1183</v>
      </c>
      <c r="JL347" s="770">
        <v>1</v>
      </c>
      <c r="JM347" s="770">
        <v>1</v>
      </c>
      <c r="JN347" s="770">
        <v>1</v>
      </c>
      <c r="JO347" s="770">
        <v>2</v>
      </c>
      <c r="JP347" s="770"/>
      <c r="JQ347" s="770"/>
      <c r="JR347" s="770"/>
      <c r="JS347" s="770"/>
      <c r="JT347" s="766">
        <f>SUM(JP347,JN347,JL347,JR347)</f>
        <v>2</v>
      </c>
      <c r="JU347" s="766">
        <f>SUM(JQ347,JO347,JM347,JS347)</f>
        <v>3</v>
      </c>
      <c r="JV347" s="712" t="str">
        <f>IF(JT347=KJ347,"ok","male")</f>
        <v>ok</v>
      </c>
      <c r="JW347" s="712" t="str">
        <f>IF(JU347=KK347,"ok","female")</f>
        <v>ok</v>
      </c>
      <c r="JX347" s="770"/>
      <c r="JY347" s="770"/>
      <c r="JZ347" s="770">
        <v>1</v>
      </c>
      <c r="KA347" s="770">
        <v>1</v>
      </c>
      <c r="KB347" s="770"/>
      <c r="KC347" s="770"/>
      <c r="KD347" s="770">
        <v>1</v>
      </c>
      <c r="KE347" s="770">
        <v>1</v>
      </c>
      <c r="KF347" s="770"/>
      <c r="KG347" s="770">
        <v>1</v>
      </c>
      <c r="KH347" s="770"/>
      <c r="KI347" s="770"/>
      <c r="KJ347" s="770">
        <f>SUM(KF347,KD347,KB347,JZ347,JX347,KH347)</f>
        <v>2</v>
      </c>
      <c r="KK347" s="770">
        <f>SUM(KG347,KE347,KC347,KA347,JY347,KI347)</f>
        <v>3</v>
      </c>
      <c r="KL347" s="712" t="str">
        <f>IF(KJ347=LN347,"ok","male")</f>
        <v>ok</v>
      </c>
      <c r="KM347" s="712" t="str">
        <f>IF(KK347=LO347,"ok","female")</f>
        <v>ok</v>
      </c>
      <c r="KN347" s="770" t="s">
        <v>719</v>
      </c>
      <c r="KO347" s="770"/>
      <c r="KP347" s="770"/>
      <c r="KQ347" s="770"/>
      <c r="KR347" s="770"/>
      <c r="KS347" s="770"/>
      <c r="KT347" s="770">
        <v>1</v>
      </c>
      <c r="KU347" s="770">
        <v>1</v>
      </c>
      <c r="KV347" s="770"/>
      <c r="KW347" s="770"/>
      <c r="KX347" s="770"/>
      <c r="KY347" s="770">
        <v>1</v>
      </c>
      <c r="KZ347" s="770">
        <v>1</v>
      </c>
      <c r="LA347" s="770"/>
      <c r="LB347" s="770"/>
      <c r="LC347" s="770"/>
      <c r="LD347" s="770"/>
      <c r="LE347" s="770"/>
      <c r="LF347" s="770"/>
      <c r="LG347" s="770"/>
      <c r="LH347" s="770"/>
      <c r="LI347" s="770">
        <v>1</v>
      </c>
      <c r="LJ347" s="770"/>
      <c r="LK347" s="770"/>
      <c r="LL347" s="770"/>
      <c r="LM347" s="770"/>
      <c r="LN347" s="766">
        <f>SUM(KP347,KR347,KT347,KV347,KX347,KZ347,LB347,LD347,LF347,LH347,LJ347,LL347)</f>
        <v>2</v>
      </c>
      <c r="LO347" s="766">
        <f>SUM(KQ347,KS347,KU347,KW347,KY347,LA347,LC347,LE347,LG347,LI347,LK347,LM347)</f>
        <v>3</v>
      </c>
      <c r="LP347" s="770">
        <v>3</v>
      </c>
      <c r="LQ347" s="770">
        <v>2</v>
      </c>
      <c r="LR347" s="770"/>
      <c r="LS347" s="770">
        <v>1</v>
      </c>
      <c r="LT347" s="712" t="str">
        <f>IF(LQ347=SUM(LU347:LW347),"OK","REV")</f>
        <v>OK</v>
      </c>
      <c r="LU347" s="770"/>
      <c r="LV347" s="770">
        <v>2</v>
      </c>
      <c r="LW347" s="770"/>
      <c r="LX347" s="769">
        <v>2</v>
      </c>
      <c r="LY347" s="766" t="str">
        <f t="shared" si="93"/>
        <v>within the MUNICIPALITY</v>
      </c>
      <c r="LZ347" s="299">
        <v>960</v>
      </c>
      <c r="MA347" s="306"/>
      <c r="MB347" s="306"/>
      <c r="MC347" s="1679">
        <f t="shared" si="91"/>
        <v>960</v>
      </c>
      <c r="MD347" s="306">
        <v>13700</v>
      </c>
      <c r="ME347" s="306"/>
      <c r="MF347" s="306">
        <v>1000</v>
      </c>
      <c r="MG347" s="1680">
        <f>SUM(MD347:MF347)</f>
        <v>14700</v>
      </c>
      <c r="MH347" s="770" t="s">
        <v>13482</v>
      </c>
      <c r="MI347" s="302">
        <v>6000</v>
      </c>
      <c r="MJ347" s="302">
        <v>1200</v>
      </c>
      <c r="MK347" s="302">
        <v>3000</v>
      </c>
      <c r="ML347" s="302">
        <v>3300</v>
      </c>
      <c r="MM347" s="302">
        <v>1500</v>
      </c>
      <c r="MN347" s="302">
        <v>183</v>
      </c>
      <c r="MO347" s="302">
        <v>900</v>
      </c>
      <c r="MP347" s="302">
        <v>1200</v>
      </c>
      <c r="MQ347" s="302">
        <v>580</v>
      </c>
      <c r="MR347" s="302">
        <v>2500</v>
      </c>
      <c r="MS347" s="302">
        <v>3000</v>
      </c>
      <c r="MT347" s="302"/>
      <c r="MU347" s="302"/>
      <c r="MV347" s="302"/>
      <c r="MW347" s="302"/>
      <c r="MX347" s="302"/>
      <c r="MY347" s="1682">
        <f t="shared" si="98"/>
        <v>23363</v>
      </c>
      <c r="MZ347" s="770" t="s">
        <v>13370</v>
      </c>
      <c r="NA347" s="770" t="s">
        <v>13005</v>
      </c>
      <c r="NB347" s="770" t="s">
        <v>13371</v>
      </c>
      <c r="NC347" s="770" t="s">
        <v>13007</v>
      </c>
      <c r="ND347" s="770">
        <v>0</v>
      </c>
      <c r="NE347" s="770">
        <v>1</v>
      </c>
      <c r="NF347" s="770">
        <v>0</v>
      </c>
      <c r="NG347" s="770">
        <v>2</v>
      </c>
      <c r="NH347" s="770">
        <v>1</v>
      </c>
      <c r="NI347" s="770">
        <v>1</v>
      </c>
      <c r="NJ347" s="770">
        <v>0</v>
      </c>
      <c r="NK347" s="770">
        <v>0</v>
      </c>
      <c r="NL347" s="770">
        <v>1</v>
      </c>
      <c r="NM347" s="770">
        <v>1</v>
      </c>
      <c r="NN347" s="770">
        <v>0</v>
      </c>
      <c r="NO347" s="770">
        <v>0</v>
      </c>
      <c r="NP347" s="770">
        <v>0</v>
      </c>
      <c r="NQ347" s="770">
        <v>0</v>
      </c>
      <c r="NR347" s="770">
        <v>0</v>
      </c>
      <c r="NS347" s="770">
        <v>0</v>
      </c>
      <c r="NT347" s="770">
        <v>0</v>
      </c>
      <c r="NU347" s="770">
        <v>0</v>
      </c>
      <c r="NV347" s="770">
        <v>0</v>
      </c>
      <c r="NW347" s="770">
        <v>0</v>
      </c>
      <c r="NX347" s="770">
        <v>0</v>
      </c>
      <c r="NY347" s="770" t="s">
        <v>1208</v>
      </c>
      <c r="NZ347" s="770" t="s">
        <v>1208</v>
      </c>
      <c r="OA347" s="770" t="s">
        <v>1208</v>
      </c>
      <c r="OB347" s="770" t="s">
        <v>1208</v>
      </c>
      <c r="OC347" s="770" t="s">
        <v>1208</v>
      </c>
      <c r="OD347" s="770" t="s">
        <v>1208</v>
      </c>
      <c r="OE347" s="770"/>
      <c r="OF347" s="1828" t="s">
        <v>13277</v>
      </c>
      <c r="OG347" s="770"/>
      <c r="OH347" s="770"/>
      <c r="OI347" s="770"/>
      <c r="OJ347" s="770"/>
      <c r="OK347" s="770"/>
      <c r="OL347" s="770"/>
      <c r="OM347" s="770"/>
      <c r="ON347" s="770"/>
      <c r="OO347" s="770" t="s">
        <v>1207</v>
      </c>
      <c r="OP347" s="770" t="s">
        <v>13483</v>
      </c>
      <c r="OQ347" s="770" t="s">
        <v>1824</v>
      </c>
      <c r="OR347" s="770" t="s">
        <v>13430</v>
      </c>
      <c r="OS347" s="770"/>
      <c r="OT347" s="770"/>
      <c r="OU347" s="770"/>
      <c r="OV347" s="770"/>
      <c r="OW347" s="770"/>
      <c r="OX347" s="770"/>
      <c r="OY347" s="770"/>
      <c r="OZ347" s="770"/>
      <c r="PA347" s="770"/>
      <c r="PB347" s="770"/>
      <c r="PC347" s="770"/>
      <c r="PD347" s="770"/>
      <c r="PE347" s="770"/>
      <c r="PF347" s="770"/>
      <c r="PG347" s="770"/>
      <c r="PH347" s="770"/>
      <c r="PI347" s="770"/>
      <c r="PJ347" s="770"/>
      <c r="PK347" s="770"/>
      <c r="PL347" s="770"/>
      <c r="PM347" s="770"/>
      <c r="PN347" s="770"/>
      <c r="PO347" s="770"/>
      <c r="PP347" s="770"/>
      <c r="PQ347" s="770"/>
      <c r="PR347" s="770"/>
      <c r="PS347" s="770"/>
      <c r="PT347" s="770"/>
      <c r="PU347" s="770"/>
      <c r="PV347" s="770"/>
      <c r="PW347" s="770"/>
      <c r="PX347" s="770"/>
      <c r="PY347" s="770"/>
      <c r="PZ347" s="770"/>
      <c r="QA347" s="770"/>
      <c r="QB347" s="770"/>
      <c r="QC347" s="770"/>
      <c r="QD347" s="770"/>
      <c r="QE347" s="770"/>
      <c r="QF347" s="770"/>
      <c r="QG347" s="770"/>
      <c r="QH347" s="770"/>
      <c r="QI347" s="770"/>
      <c r="QJ347" s="770"/>
      <c r="QK347" s="770"/>
      <c r="QL347" s="770" t="s">
        <v>1208</v>
      </c>
      <c r="QM347" s="770"/>
      <c r="QN347" s="770" t="s">
        <v>1208</v>
      </c>
      <c r="QO347" s="770"/>
      <c r="QP347" s="770"/>
      <c r="QQ347" s="770"/>
      <c r="QR347" s="770"/>
      <c r="QS347" s="770"/>
      <c r="QT347" s="770"/>
      <c r="QU347" s="770"/>
      <c r="QV347" s="770"/>
      <c r="QW347" s="770"/>
      <c r="QX347" s="770"/>
      <c r="QY347" s="770"/>
      <c r="QZ347" s="770"/>
      <c r="RA347" s="770"/>
      <c r="RB347" s="770" t="s">
        <v>1214</v>
      </c>
      <c r="RC347" s="770"/>
      <c r="RD347" s="770"/>
      <c r="RE347" s="770"/>
      <c r="RF347" s="304"/>
      <c r="RG347" s="770"/>
      <c r="RH347" s="302"/>
      <c r="RI347" s="770"/>
      <c r="RJ347" s="770" t="s">
        <v>1661</v>
      </c>
      <c r="RK347" s="770" t="s">
        <v>13381</v>
      </c>
      <c r="RL347" s="1710"/>
      <c r="RM347" s="12"/>
      <c r="RN347" s="1711"/>
      <c r="RO347" s="140" t="s">
        <v>602</v>
      </c>
      <c r="RP347" s="11"/>
      <c r="RQ347" s="11"/>
      <c r="RR347" s="154" t="s">
        <v>7419</v>
      </c>
      <c r="RS347" s="1139" t="s">
        <v>12980</v>
      </c>
      <c r="RT347" s="11"/>
      <c r="RU347" s="11"/>
      <c r="RV347" s="771" t="s">
        <v>7419</v>
      </c>
      <c r="RW347" s="11" t="s">
        <v>7984</v>
      </c>
      <c r="RX347" s="11" t="s">
        <v>593</v>
      </c>
      <c r="RY347" s="11"/>
      <c r="RZ347" s="11" t="s">
        <v>2209</v>
      </c>
      <c r="SA347" s="771"/>
      <c r="SB347" s="11"/>
      <c r="SC347" s="11"/>
    </row>
    <row r="348" spans="1:497" s="12" customFormat="1" ht="12.75" hidden="1" customHeight="1">
      <c r="A348" s="769" t="s">
        <v>14175</v>
      </c>
      <c r="B348" s="288" t="s">
        <v>5558</v>
      </c>
      <c r="C348" s="140" t="s">
        <v>602</v>
      </c>
      <c r="D348" s="770" t="s">
        <v>5559</v>
      </c>
      <c r="E348" s="770" t="s">
        <v>604</v>
      </c>
      <c r="F348" s="770" t="s">
        <v>28</v>
      </c>
      <c r="G348" s="770" t="s">
        <v>18</v>
      </c>
      <c r="H348" s="770"/>
      <c r="I348" s="295"/>
      <c r="J348" s="770" t="s">
        <v>5559</v>
      </c>
      <c r="K348" s="770"/>
      <c r="L348" s="770"/>
      <c r="M348" s="770"/>
      <c r="N348" s="770" t="s">
        <v>5560</v>
      </c>
      <c r="O348" s="770"/>
      <c r="P348" s="770" t="s">
        <v>1043</v>
      </c>
      <c r="Q348" s="1088"/>
      <c r="R348" s="297"/>
      <c r="S348" s="770" t="s">
        <v>10</v>
      </c>
      <c r="T348" s="770"/>
      <c r="U348" s="298"/>
      <c r="V348" s="770" t="s">
        <v>722</v>
      </c>
      <c r="W348" s="770"/>
      <c r="X348" s="296"/>
      <c r="Y348" s="766"/>
      <c r="Z348" s="770"/>
      <c r="AA348" s="770"/>
      <c r="AB348" s="770"/>
      <c r="AC348" s="770"/>
      <c r="AD348" s="770"/>
      <c r="AE348" s="770"/>
      <c r="AF348" s="770"/>
      <c r="AG348" s="770"/>
      <c r="AH348" s="770"/>
      <c r="AI348" s="770"/>
      <c r="AJ348" s="770"/>
      <c r="AK348" s="766" t="s">
        <v>1899</v>
      </c>
      <c r="AL348" s="299"/>
      <c r="AM348" s="300"/>
      <c r="AN348" s="301"/>
      <c r="AO348" s="766"/>
      <c r="AP348" s="766"/>
      <c r="AQ348" s="766"/>
      <c r="AR348" s="766"/>
      <c r="AS348" s="770"/>
      <c r="AT348" s="770"/>
      <c r="AU348" s="770"/>
      <c r="AV348" s="770"/>
      <c r="AW348" s="770"/>
      <c r="AX348" s="770"/>
      <c r="AY348" s="770"/>
      <c r="AZ348" s="770"/>
      <c r="BA348" s="770"/>
      <c r="BB348" s="770"/>
      <c r="BC348" s="770"/>
      <c r="BD348" s="770"/>
      <c r="BE348" s="770"/>
      <c r="BF348" s="302"/>
      <c r="BG348" s="302"/>
      <c r="BH348" s="770"/>
      <c r="BI348" s="770"/>
      <c r="BJ348" s="770"/>
      <c r="BK348" s="770"/>
      <c r="BL348" s="770"/>
      <c r="BM348" s="770" t="s">
        <v>1238</v>
      </c>
      <c r="BN348" s="770" t="s">
        <v>1256</v>
      </c>
      <c r="BO348" s="770"/>
      <c r="BP348" s="780">
        <v>20</v>
      </c>
      <c r="BQ348" s="772">
        <v>6</v>
      </c>
      <c r="BR348" s="774">
        <f>BQ348/BP348</f>
        <v>0.3</v>
      </c>
      <c r="BS348" s="6" t="s">
        <v>1149</v>
      </c>
      <c r="BT348" s="766" t="s">
        <v>8133</v>
      </c>
      <c r="BU348" s="766" t="s">
        <v>1288</v>
      </c>
      <c r="BV348" s="766" t="s">
        <v>1247</v>
      </c>
      <c r="BW348" s="766"/>
      <c r="BX348" s="302"/>
      <c r="BY348" s="303"/>
      <c r="BZ348" s="770"/>
      <c r="CA348" s="302"/>
      <c r="CB348" s="302"/>
      <c r="CC348" s="770"/>
      <c r="CD348" s="770"/>
      <c r="CE348" s="770"/>
      <c r="CF348" s="770"/>
      <c r="CG348" s="770"/>
      <c r="CH348" s="770"/>
      <c r="CI348" s="770"/>
      <c r="CJ348" s="770"/>
      <c r="CK348" s="770"/>
      <c r="CL348" s="770"/>
      <c r="CM348" s="770"/>
      <c r="CN348" s="770"/>
      <c r="CO348" s="770"/>
      <c r="CP348" s="770"/>
      <c r="CQ348" s="770"/>
      <c r="CR348" s="770"/>
      <c r="CS348" s="302"/>
      <c r="CT348" s="770"/>
      <c r="CU348" s="305"/>
      <c r="CV348" s="770"/>
      <c r="CW348" s="770"/>
      <c r="CX348" s="770"/>
      <c r="CY348" s="770"/>
      <c r="CZ348" s="770"/>
      <c r="DA348" s="770"/>
      <c r="DB348" s="770"/>
      <c r="DC348" s="770"/>
      <c r="DD348" s="770"/>
      <c r="DE348" s="770"/>
      <c r="DF348" s="770"/>
      <c r="DG348" s="770"/>
      <c r="DH348" s="770"/>
      <c r="DI348" s="770"/>
      <c r="DJ348" s="770"/>
      <c r="DK348" s="770"/>
      <c r="DL348" s="770"/>
      <c r="DM348" s="770"/>
      <c r="DN348" s="770"/>
      <c r="DO348" s="770"/>
      <c r="DP348" s="770"/>
      <c r="DQ348" s="770"/>
      <c r="DR348" s="770"/>
      <c r="DS348" s="307"/>
      <c r="DT348" s="770"/>
      <c r="DU348" s="770"/>
      <c r="DV348" s="770"/>
      <c r="DW348" s="306"/>
      <c r="DX348" s="306"/>
      <c r="DY348" s="770"/>
      <c r="DZ348" s="770"/>
      <c r="EA348" s="770"/>
      <c r="EB348" s="770"/>
      <c r="EC348" s="770"/>
      <c r="ED348" s="770"/>
      <c r="EE348" s="770"/>
      <c r="EF348" s="770"/>
      <c r="EG348" s="770"/>
      <c r="EH348" s="770"/>
      <c r="EI348" s="770"/>
      <c r="EJ348" s="770"/>
      <c r="EK348" s="770"/>
      <c r="EL348" s="770"/>
      <c r="EM348" s="770"/>
      <c r="EN348" s="770"/>
      <c r="EO348" s="770"/>
      <c r="EP348" s="770"/>
      <c r="EQ348" s="770"/>
      <c r="ER348" s="770"/>
      <c r="ES348" s="770"/>
      <c r="ET348" s="770"/>
      <c r="EU348" s="770"/>
      <c r="EV348" s="770"/>
      <c r="EW348" s="770"/>
      <c r="EX348" s="770"/>
      <c r="EY348" s="770"/>
      <c r="EZ348" s="770"/>
      <c r="FA348" s="770"/>
      <c r="FB348" s="770"/>
      <c r="FC348" s="770"/>
      <c r="FD348" s="302"/>
      <c r="FE348" s="770"/>
      <c r="FF348" s="770"/>
      <c r="FG348" s="770"/>
      <c r="FH348" s="770" t="s">
        <v>1306</v>
      </c>
      <c r="FI348" s="770">
        <v>1</v>
      </c>
      <c r="FJ348" s="770" t="s">
        <v>1661</v>
      </c>
      <c r="FK348" s="770"/>
      <c r="FL348" s="770" t="s">
        <v>1662</v>
      </c>
      <c r="FM348" s="147">
        <v>2000</v>
      </c>
      <c r="FN348" s="302">
        <v>600</v>
      </c>
      <c r="FO348" s="302">
        <v>350</v>
      </c>
      <c r="FP348" s="770" t="s">
        <v>1602</v>
      </c>
      <c r="FQ348" s="770" t="s">
        <v>1660</v>
      </c>
      <c r="FR348" s="770"/>
      <c r="FS348" s="770"/>
      <c r="FT348" s="770"/>
      <c r="FU348" s="770"/>
      <c r="FV348" s="770"/>
      <c r="FW348" s="770"/>
      <c r="FX348" s="770"/>
      <c r="FY348" s="770"/>
      <c r="FZ348" s="770"/>
      <c r="GA348" s="770"/>
      <c r="GB348" s="770"/>
      <c r="GC348" s="308"/>
      <c r="GD348" s="297"/>
      <c r="GE348" s="770"/>
      <c r="GF348" s="302"/>
      <c r="GG348" s="302"/>
      <c r="GH348" s="770"/>
      <c r="GI348" s="770"/>
      <c r="GJ348" s="770"/>
      <c r="GK348" s="770"/>
      <c r="GL348" s="770"/>
      <c r="GM348" s="770"/>
      <c r="GN348" s="309"/>
      <c r="GO348" s="770"/>
      <c r="GP348" s="770"/>
      <c r="GQ348" s="770"/>
      <c r="GR348" s="770"/>
      <c r="GS348" s="770"/>
      <c r="GT348" s="770"/>
      <c r="GU348" s="770"/>
      <c r="GV348" s="770"/>
      <c r="GW348" s="770"/>
      <c r="GX348" s="770"/>
      <c r="GY348" s="770"/>
      <c r="GZ348" s="770"/>
      <c r="HA348" s="770"/>
      <c r="HB348" s="770"/>
      <c r="HC348" s="770"/>
      <c r="HD348" s="770"/>
      <c r="HE348" s="770"/>
      <c r="HF348" s="770"/>
      <c r="HG348" s="770"/>
      <c r="HH348" s="770"/>
      <c r="HI348" s="770"/>
      <c r="HJ348" s="770"/>
      <c r="HK348" s="770"/>
      <c r="HL348" s="770"/>
      <c r="HM348" s="770"/>
      <c r="HN348" s="770"/>
      <c r="HO348" s="770"/>
      <c r="HP348" s="770"/>
      <c r="HQ348" s="770"/>
      <c r="HR348" s="770"/>
      <c r="HS348" s="770"/>
      <c r="HT348" s="770"/>
      <c r="HU348" s="770"/>
      <c r="HV348" s="770"/>
      <c r="HW348" s="770"/>
      <c r="HX348" s="770"/>
      <c r="HY348" s="770"/>
      <c r="HZ348" s="770"/>
      <c r="IA348" s="770"/>
      <c r="IB348" s="14" t="e">
        <f>IF(#REF!&gt;0,IF(#REF!&lt;=10000,"Y",""),"")</f>
        <v>#REF!</v>
      </c>
      <c r="IC348" s="770"/>
      <c r="ID348" s="770"/>
      <c r="IE348" s="770">
        <v>1</v>
      </c>
      <c r="IF348" s="770"/>
      <c r="IG348" s="770"/>
      <c r="IH348" s="770"/>
      <c r="II348" s="770"/>
      <c r="IJ348" s="770"/>
      <c r="IK348" s="770"/>
      <c r="IL348" s="770"/>
      <c r="IM348" s="770"/>
      <c r="IN348" s="770"/>
      <c r="IO348" s="296"/>
      <c r="IP348" s="770"/>
      <c r="IQ348" s="770"/>
      <c r="IR348" s="766"/>
      <c r="IS348" s="770"/>
      <c r="IT348" s="770"/>
      <c r="IU348" s="770"/>
      <c r="IV348" s="770"/>
      <c r="IW348" s="770"/>
      <c r="IX348" s="770"/>
      <c r="IY348" s="770"/>
      <c r="IZ348" s="770"/>
      <c r="JA348" s="770"/>
      <c r="JB348" s="770"/>
      <c r="JC348" s="770"/>
      <c r="JD348" s="302"/>
      <c r="JE348" s="770"/>
      <c r="JF348" s="770"/>
      <c r="JG348" s="770"/>
      <c r="JH348" s="770"/>
      <c r="JI348" s="770"/>
      <c r="JJ348" s="770">
        <v>1</v>
      </c>
      <c r="JK348" s="770" t="s">
        <v>2119</v>
      </c>
      <c r="JL348" s="13"/>
      <c r="JM348" s="13"/>
      <c r="JN348" s="13"/>
      <c r="JO348" s="13"/>
      <c r="JP348" s="13"/>
      <c r="JQ348" s="13"/>
      <c r="JR348" s="13"/>
      <c r="JS348" s="13"/>
      <c r="JT348" s="766"/>
      <c r="JU348" s="766"/>
      <c r="JV348" s="766"/>
      <c r="JW348" s="766"/>
      <c r="JX348" s="13"/>
      <c r="JY348" s="13"/>
      <c r="JZ348" s="13"/>
      <c r="KA348" s="13"/>
      <c r="KB348" s="13"/>
      <c r="KC348" s="13"/>
      <c r="KD348" s="13"/>
      <c r="KE348" s="13"/>
      <c r="KF348" s="13"/>
      <c r="KG348" s="13"/>
      <c r="KH348" s="13"/>
      <c r="KI348" s="13"/>
      <c r="KJ348" s="770"/>
      <c r="KK348" s="770"/>
      <c r="KL348" s="770"/>
      <c r="KM348" s="770"/>
      <c r="KN348" s="770"/>
      <c r="KO348" s="770"/>
      <c r="KP348" s="770"/>
      <c r="KQ348" s="770"/>
      <c r="KR348" s="770"/>
      <c r="KS348" s="770"/>
      <c r="KT348" s="770"/>
      <c r="KU348" s="770"/>
      <c r="KV348" s="770"/>
      <c r="KW348" s="770"/>
      <c r="KX348" s="770"/>
      <c r="KY348" s="770"/>
      <c r="KZ348" s="770"/>
      <c r="LA348" s="770"/>
      <c r="LB348" s="770"/>
      <c r="LC348" s="770"/>
      <c r="LD348" s="770"/>
      <c r="LE348" s="770"/>
      <c r="LF348" s="770"/>
      <c r="LG348" s="770"/>
      <c r="LH348" s="770"/>
      <c r="LI348" s="770"/>
      <c r="LJ348" s="770"/>
      <c r="LK348" s="770"/>
      <c r="LL348" s="770"/>
      <c r="LM348" s="770"/>
      <c r="LN348" s="766"/>
      <c r="LO348" s="766"/>
      <c r="LP348" s="770"/>
      <c r="LQ348" s="770"/>
      <c r="LR348" s="770"/>
      <c r="LS348" s="770"/>
      <c r="LT348" s="770"/>
      <c r="LU348" s="770"/>
      <c r="LV348" s="770"/>
      <c r="LW348" s="770"/>
      <c r="LX348" s="769"/>
      <c r="LY348" s="766" t="str">
        <f t="shared" si="93"/>
        <v/>
      </c>
      <c r="LZ348" s="299"/>
      <c r="MA348" s="1709"/>
      <c r="MB348" s="1709"/>
      <c r="MC348" s="1679">
        <f t="shared" si="91"/>
        <v>0</v>
      </c>
      <c r="MD348" s="1709"/>
      <c r="ME348" s="1709"/>
      <c r="MF348" s="1709"/>
      <c r="MG348" s="1680">
        <f t="shared" si="97"/>
        <v>0</v>
      </c>
      <c r="MH348" s="770"/>
      <c r="MI348" s="302"/>
      <c r="MJ348" s="302"/>
      <c r="MK348" s="302"/>
      <c r="ML348" s="302"/>
      <c r="MM348" s="302"/>
      <c r="MN348" s="302"/>
      <c r="MO348" s="302"/>
      <c r="MP348" s="302"/>
      <c r="MQ348" s="302"/>
      <c r="MR348" s="302"/>
      <c r="MS348" s="302"/>
      <c r="MT348" s="302"/>
      <c r="MU348" s="302"/>
      <c r="MV348" s="302"/>
      <c r="MW348" s="302"/>
      <c r="MX348" s="302"/>
      <c r="MY348" s="1682">
        <f t="shared" si="98"/>
        <v>0</v>
      </c>
      <c r="MZ348" s="770"/>
      <c r="NA348" s="770"/>
      <c r="NB348" s="770"/>
      <c r="NC348" s="770"/>
      <c r="ND348" s="770"/>
      <c r="NE348" s="770"/>
      <c r="NF348" s="770"/>
      <c r="NG348" s="770"/>
      <c r="NH348" s="770"/>
      <c r="NI348" s="770"/>
      <c r="NJ348" s="770"/>
      <c r="NK348" s="770"/>
      <c r="NL348" s="770"/>
      <c r="NM348" s="770"/>
      <c r="NN348" s="770"/>
      <c r="NO348" s="770"/>
      <c r="NP348" s="770"/>
      <c r="NQ348" s="770"/>
      <c r="NR348" s="770"/>
      <c r="NS348" s="770"/>
      <c r="NT348" s="770"/>
      <c r="NU348" s="770"/>
      <c r="NV348" s="770"/>
      <c r="NW348" s="770"/>
      <c r="NX348" s="770"/>
      <c r="NY348" s="770"/>
      <c r="NZ348" s="770"/>
      <c r="OA348" s="770"/>
      <c r="OB348" s="770"/>
      <c r="OC348" s="770"/>
      <c r="OD348" s="770"/>
      <c r="OE348" s="770"/>
      <c r="OF348" s="770"/>
      <c r="OG348" s="770"/>
      <c r="OH348" s="770"/>
      <c r="OI348" s="770"/>
      <c r="OJ348" s="770"/>
      <c r="OK348" s="770"/>
      <c r="OL348" s="770"/>
      <c r="OM348" s="770"/>
      <c r="ON348" s="770"/>
      <c r="OO348" s="770"/>
      <c r="OP348" s="770"/>
      <c r="OQ348" s="770"/>
      <c r="OR348" s="770"/>
      <c r="OS348" s="770"/>
      <c r="OT348" s="770"/>
      <c r="OU348" s="770"/>
      <c r="OV348" s="770"/>
      <c r="OW348" s="770"/>
      <c r="OX348" s="770"/>
      <c r="OY348" s="770"/>
      <c r="OZ348" s="770"/>
      <c r="PA348" s="770"/>
      <c r="PB348" s="770"/>
      <c r="PC348" s="770"/>
      <c r="PD348" s="770"/>
      <c r="PE348" s="770"/>
      <c r="PF348" s="770"/>
      <c r="PG348" s="770"/>
      <c r="PH348" s="770"/>
      <c r="PI348" s="770"/>
      <c r="PJ348" s="770"/>
      <c r="PK348" s="770"/>
      <c r="PL348" s="770"/>
      <c r="PM348" s="770"/>
      <c r="PN348" s="770"/>
      <c r="PO348" s="770"/>
      <c r="PP348" s="770"/>
      <c r="PQ348" s="770"/>
      <c r="PR348" s="770"/>
      <c r="PS348" s="770"/>
      <c r="PT348" s="770"/>
      <c r="PU348" s="770"/>
      <c r="PV348" s="770"/>
      <c r="PW348" s="770"/>
      <c r="PX348" s="770"/>
      <c r="PY348" s="770"/>
      <c r="PZ348" s="770"/>
      <c r="QA348" s="770"/>
      <c r="QB348" s="770"/>
      <c r="QC348" s="770"/>
      <c r="QD348" s="770"/>
      <c r="QE348" s="770"/>
      <c r="QF348" s="770"/>
      <c r="QG348" s="770"/>
      <c r="QH348" s="770"/>
      <c r="QI348" s="770"/>
      <c r="QJ348" s="770"/>
      <c r="QK348" s="770"/>
      <c r="QL348" s="770"/>
      <c r="QM348" s="770"/>
      <c r="QN348" s="770"/>
      <c r="QO348" s="770"/>
      <c r="QP348" s="770"/>
      <c r="QQ348" s="770"/>
      <c r="QR348" s="770"/>
      <c r="QS348" s="770"/>
      <c r="QT348" s="770"/>
      <c r="QU348" s="770"/>
      <c r="QV348" s="770"/>
      <c r="QW348" s="770"/>
      <c r="QX348" s="770"/>
      <c r="QY348" s="770"/>
      <c r="QZ348" s="770"/>
      <c r="RA348" s="770"/>
      <c r="RB348" s="770"/>
      <c r="RC348" s="770"/>
      <c r="RD348" s="770"/>
      <c r="RE348" s="770"/>
      <c r="RF348" s="304"/>
      <c r="RG348" s="770"/>
      <c r="RH348" s="302"/>
      <c r="RI348" s="770"/>
      <c r="RJ348" s="770" t="s">
        <v>2119</v>
      </c>
      <c r="RK348" s="770" t="s">
        <v>13381</v>
      </c>
      <c r="RL348" s="1710" t="s">
        <v>1604</v>
      </c>
      <c r="RN348" s="1711"/>
      <c r="RO348" s="140" t="s">
        <v>602</v>
      </c>
      <c r="RR348" s="766"/>
      <c r="RS348" s="770"/>
      <c r="RV348" s="766" t="s">
        <v>7419</v>
      </c>
      <c r="RW348" s="12" t="s">
        <v>7985</v>
      </c>
      <c r="RX348" s="12" t="s">
        <v>597</v>
      </c>
      <c r="SA348" s="766"/>
    </row>
    <row r="349" spans="1:497" ht="12.75" hidden="1" customHeight="1">
      <c r="A349" s="769" t="s">
        <v>14176</v>
      </c>
      <c r="B349" s="292" t="s">
        <v>7643</v>
      </c>
      <c r="C349" s="140" t="s">
        <v>602</v>
      </c>
      <c r="D349" s="770" t="s">
        <v>603</v>
      </c>
      <c r="E349" s="770" t="s">
        <v>604</v>
      </c>
      <c r="F349" s="770"/>
      <c r="G349" s="770" t="s">
        <v>18</v>
      </c>
      <c r="H349" s="770"/>
      <c r="I349" s="295"/>
      <c r="J349" s="94"/>
      <c r="K349" s="770"/>
      <c r="L349" s="770"/>
      <c r="M349" s="770"/>
      <c r="N349" s="770"/>
      <c r="O349" s="770"/>
      <c r="P349" s="770"/>
      <c r="Q349" s="1088"/>
      <c r="R349" s="297"/>
      <c r="S349" s="770"/>
      <c r="T349" s="770"/>
      <c r="U349" s="298"/>
      <c r="V349" s="770"/>
      <c r="W349" s="770"/>
      <c r="X349" s="296"/>
      <c r="Y349" s="766"/>
      <c r="Z349" s="770"/>
      <c r="AA349" s="770"/>
      <c r="AB349" s="770"/>
      <c r="AC349" s="770"/>
      <c r="AD349" s="770"/>
      <c r="AE349" s="770"/>
      <c r="AF349" s="770"/>
      <c r="AG349" s="770"/>
      <c r="AH349" s="770"/>
      <c r="AI349" s="770"/>
      <c r="AJ349" s="770"/>
      <c r="AK349" s="770" t="s">
        <v>5454</v>
      </c>
      <c r="AL349" s="299"/>
      <c r="AM349" s="300"/>
      <c r="AN349" s="301"/>
      <c r="AO349" s="766"/>
      <c r="AP349" s="766"/>
      <c r="AQ349" s="766"/>
      <c r="AR349" s="766"/>
      <c r="AS349" s="770"/>
      <c r="AT349" s="770"/>
      <c r="AU349" s="770"/>
      <c r="AV349" s="770"/>
      <c r="AW349" s="770"/>
      <c r="AX349" s="13"/>
      <c r="AY349" s="770"/>
      <c r="AZ349" s="770"/>
      <c r="BA349" s="770"/>
      <c r="BB349" s="770"/>
      <c r="BC349" s="770"/>
      <c r="BD349" s="770"/>
      <c r="BE349" s="770"/>
      <c r="BF349" s="302"/>
      <c r="BG349" s="302"/>
      <c r="BH349" s="770"/>
      <c r="BI349" s="770"/>
      <c r="BJ349" s="770"/>
      <c r="BK349" s="770"/>
      <c r="BL349" s="770"/>
      <c r="BM349" s="770"/>
      <c r="BN349" s="770"/>
      <c r="BO349" s="770"/>
      <c r="BP349" s="773"/>
      <c r="BQ349" s="772"/>
      <c r="BR349" s="774"/>
      <c r="BS349" s="766"/>
      <c r="BT349" s="766"/>
      <c r="BU349" s="766"/>
      <c r="BV349" s="766"/>
      <c r="BW349" s="766"/>
      <c r="BX349" s="302"/>
      <c r="BY349" s="303"/>
      <c r="BZ349" s="770"/>
      <c r="CA349" s="302"/>
      <c r="CB349" s="302" t="s">
        <v>1207</v>
      </c>
      <c r="CC349" s="770" t="s">
        <v>1183</v>
      </c>
      <c r="CD349" s="770"/>
      <c r="CE349" s="770"/>
      <c r="CF349" s="304">
        <v>2.5</v>
      </c>
      <c r="CG349" s="321">
        <v>12</v>
      </c>
      <c r="CH349" s="770" t="s">
        <v>1552</v>
      </c>
      <c r="CI349" s="770"/>
      <c r="CJ349" s="770" t="s">
        <v>1553</v>
      </c>
      <c r="CK349" s="770">
        <v>2</v>
      </c>
      <c r="CL349" s="770" t="s">
        <v>1554</v>
      </c>
      <c r="CM349" s="770"/>
      <c r="CN349" s="770"/>
      <c r="CO349" s="770" t="s">
        <v>1257</v>
      </c>
      <c r="CP349" s="770"/>
      <c r="CQ349" s="770"/>
      <c r="CR349" s="770"/>
      <c r="CS349" s="302"/>
      <c r="CT349" s="770"/>
      <c r="CU349" s="305"/>
      <c r="CV349" s="770"/>
      <c r="CW349" s="770"/>
      <c r="CX349" s="770"/>
      <c r="CY349" s="770"/>
      <c r="CZ349" s="770"/>
      <c r="DA349" s="306"/>
      <c r="DB349" s="770"/>
      <c r="DC349" s="770"/>
      <c r="DD349" s="770"/>
      <c r="DE349" s="300"/>
      <c r="DF349" s="770"/>
      <c r="DG349" s="770"/>
      <c r="DH349" s="770"/>
      <c r="DI349" s="770"/>
      <c r="DJ349" s="770"/>
      <c r="DK349" s="770"/>
      <c r="DL349" s="770"/>
      <c r="DM349" s="770"/>
      <c r="DN349" s="322"/>
      <c r="DO349" s="770"/>
      <c r="DP349" s="770"/>
      <c r="DQ349" s="770"/>
      <c r="DR349" s="770"/>
      <c r="DS349" s="307"/>
      <c r="DT349" s="770"/>
      <c r="DU349" s="770"/>
      <c r="DV349" s="770"/>
      <c r="DW349" s="306"/>
      <c r="DX349" s="306"/>
      <c r="DY349" s="770"/>
      <c r="DZ349" s="770"/>
      <c r="EA349" s="770"/>
      <c r="EB349" s="770"/>
      <c r="EC349" s="770"/>
      <c r="ED349" s="770"/>
      <c r="EE349" s="770"/>
      <c r="EF349" s="770"/>
      <c r="EG349" s="770"/>
      <c r="EH349" s="770"/>
      <c r="EI349" s="770"/>
      <c r="EJ349" s="770"/>
      <c r="EK349" s="770"/>
      <c r="EL349" s="770"/>
      <c r="EM349" s="770"/>
      <c r="EN349" s="770"/>
      <c r="EO349" s="770"/>
      <c r="EP349" s="94"/>
      <c r="EQ349" s="770"/>
      <c r="ER349" s="770"/>
      <c r="ES349" s="770"/>
      <c r="ET349" s="770"/>
      <c r="EU349" s="770"/>
      <c r="EV349" s="770"/>
      <c r="EW349" s="770"/>
      <c r="EX349" s="770"/>
      <c r="EY349" s="770"/>
      <c r="EZ349" s="770"/>
      <c r="FA349" s="770"/>
      <c r="FB349" s="770"/>
      <c r="FC349" s="770"/>
      <c r="FD349" s="302"/>
      <c r="FE349" s="770"/>
      <c r="FF349" s="770"/>
      <c r="FG349" s="770"/>
      <c r="FH349" s="770"/>
      <c r="FI349" s="770"/>
      <c r="FJ349" s="770"/>
      <c r="FK349" s="770"/>
      <c r="FL349" s="770"/>
      <c r="FM349" s="302"/>
      <c r="FN349" s="302"/>
      <c r="FO349" s="302"/>
      <c r="FP349" s="770"/>
      <c r="FQ349" s="770"/>
      <c r="FR349" s="770"/>
      <c r="FS349" s="770"/>
      <c r="FT349" s="770"/>
      <c r="FU349" s="770"/>
      <c r="FV349" s="770"/>
      <c r="FW349" s="770"/>
      <c r="FX349" s="770"/>
      <c r="FY349" s="770"/>
      <c r="FZ349" s="770"/>
      <c r="GA349" s="770"/>
      <c r="GB349" s="770"/>
      <c r="GC349" s="308"/>
      <c r="GD349" s="297"/>
      <c r="GE349" s="770"/>
      <c r="GF349" s="302"/>
      <c r="GG349" s="302"/>
      <c r="GH349" s="770"/>
      <c r="GI349" s="770"/>
      <c r="GJ349" s="770"/>
      <c r="GK349" s="770"/>
      <c r="GL349" s="770"/>
      <c r="GM349" s="770"/>
      <c r="GN349" s="309"/>
      <c r="GO349" s="770"/>
      <c r="GP349" s="770"/>
      <c r="GQ349" s="770"/>
      <c r="GR349" s="770"/>
      <c r="GS349" s="770"/>
      <c r="GT349" s="770"/>
      <c r="GU349" s="770"/>
      <c r="GV349" s="770"/>
      <c r="GW349" s="770"/>
      <c r="GX349" s="770"/>
      <c r="GY349" s="770"/>
      <c r="GZ349" s="770"/>
      <c r="HA349" s="770"/>
      <c r="HB349" s="770"/>
      <c r="HC349" s="770"/>
      <c r="HD349" s="770"/>
      <c r="HE349" s="770"/>
      <c r="HF349" s="770"/>
      <c r="HG349" s="770"/>
      <c r="HH349" s="770"/>
      <c r="HI349" s="770"/>
      <c r="HJ349" s="770"/>
      <c r="HK349" s="770"/>
      <c r="HL349" s="770"/>
      <c r="HM349" s="770"/>
      <c r="HN349" s="770"/>
      <c r="HO349" s="770"/>
      <c r="HP349" s="770"/>
      <c r="HQ349" s="770"/>
      <c r="HR349" s="770"/>
      <c r="HS349" s="770"/>
      <c r="HT349" s="770"/>
      <c r="HU349" s="770"/>
      <c r="HV349" s="770"/>
      <c r="HW349" s="770"/>
      <c r="HX349" s="770"/>
      <c r="HY349" s="770"/>
      <c r="HZ349" s="770"/>
      <c r="IA349" s="770"/>
      <c r="IB349" s="14" t="e">
        <f>IF(#REF!&gt;0,IF(#REF!&lt;=10000,"Y",""),"")</f>
        <v>#REF!</v>
      </c>
      <c r="IC349" s="770"/>
      <c r="ID349" s="770"/>
      <c r="IE349" s="770"/>
      <c r="IF349" s="770"/>
      <c r="IG349" s="770"/>
      <c r="IH349" s="770"/>
      <c r="II349" s="770"/>
      <c r="IJ349" s="770"/>
      <c r="IK349" s="770"/>
      <c r="IL349" s="770"/>
      <c r="IM349" s="770"/>
      <c r="IN349" s="770"/>
      <c r="IO349" s="296"/>
      <c r="IP349" s="770"/>
      <c r="IQ349" s="770"/>
      <c r="IR349" s="770"/>
      <c r="IS349" s="770"/>
      <c r="IT349" s="770"/>
      <c r="IU349" s="770"/>
      <c r="IV349" s="770"/>
      <c r="IW349" s="770"/>
      <c r="IX349" s="770"/>
      <c r="IY349" s="770"/>
      <c r="IZ349" s="770"/>
      <c r="JA349" s="770"/>
      <c r="JB349" s="770"/>
      <c r="JC349" s="770"/>
      <c r="JD349" s="302"/>
      <c r="JE349" s="770"/>
      <c r="JF349" s="770"/>
      <c r="JG349" s="770"/>
      <c r="JH349" s="770"/>
      <c r="JI349" s="770"/>
      <c r="JJ349" s="770"/>
      <c r="JK349" s="770"/>
      <c r="JL349" s="770"/>
      <c r="JM349" s="770"/>
      <c r="JN349" s="770"/>
      <c r="JO349" s="770"/>
      <c r="JP349" s="770"/>
      <c r="JQ349" s="770"/>
      <c r="JR349" s="770"/>
      <c r="JS349" s="770"/>
      <c r="JT349" s="766"/>
      <c r="JU349" s="766"/>
      <c r="JV349" s="766"/>
      <c r="JW349" s="766"/>
      <c r="JX349" s="770"/>
      <c r="JY349" s="770"/>
      <c r="JZ349" s="770"/>
      <c r="KA349" s="770"/>
      <c r="KB349" s="770"/>
      <c r="KC349" s="770"/>
      <c r="KD349" s="770"/>
      <c r="KE349" s="770"/>
      <c r="KF349" s="770"/>
      <c r="KG349" s="770"/>
      <c r="KH349" s="770"/>
      <c r="KI349" s="770"/>
      <c r="KJ349" s="770"/>
      <c r="KK349" s="770"/>
      <c r="KL349" s="770"/>
      <c r="KM349" s="770"/>
      <c r="KN349" s="770"/>
      <c r="KO349" s="770"/>
      <c r="KP349" s="770"/>
      <c r="KQ349" s="770"/>
      <c r="KR349" s="770"/>
      <c r="KS349" s="770"/>
      <c r="KT349" s="770"/>
      <c r="KU349" s="770"/>
      <c r="KV349" s="770"/>
      <c r="KW349" s="770"/>
      <c r="KX349" s="770"/>
      <c r="KY349" s="770"/>
      <c r="KZ349" s="770"/>
      <c r="LA349" s="770"/>
      <c r="LB349" s="770"/>
      <c r="LC349" s="770"/>
      <c r="LD349" s="770"/>
      <c r="LE349" s="770"/>
      <c r="LF349" s="770"/>
      <c r="LG349" s="770"/>
      <c r="LH349" s="770"/>
      <c r="LI349" s="770"/>
      <c r="LJ349" s="770"/>
      <c r="LK349" s="770"/>
      <c r="LL349" s="770"/>
      <c r="LM349" s="770"/>
      <c r="LN349" s="766"/>
      <c r="LO349" s="766"/>
      <c r="LP349" s="770"/>
      <c r="LQ349" s="770"/>
      <c r="LR349" s="770"/>
      <c r="LS349" s="770"/>
      <c r="LT349" s="770"/>
      <c r="LU349" s="770"/>
      <c r="LV349" s="770"/>
      <c r="LW349" s="770"/>
      <c r="LX349" s="769"/>
      <c r="LY349" s="766" t="str">
        <f t="shared" si="93"/>
        <v/>
      </c>
      <c r="LZ349" s="299"/>
      <c r="MA349" s="306"/>
      <c r="MB349" s="306"/>
      <c r="MC349" s="1679">
        <f t="shared" si="91"/>
        <v>0</v>
      </c>
      <c r="MD349" s="306"/>
      <c r="ME349" s="306"/>
      <c r="MF349" s="306"/>
      <c r="MG349" s="1680">
        <f t="shared" si="97"/>
        <v>0</v>
      </c>
      <c r="MH349" s="770"/>
      <c r="MI349" s="302"/>
      <c r="MJ349" s="302"/>
      <c r="MK349" s="302"/>
      <c r="ML349" s="302"/>
      <c r="MM349" s="302"/>
      <c r="MN349" s="302"/>
      <c r="MO349" s="302"/>
      <c r="MP349" s="302"/>
      <c r="MQ349" s="302"/>
      <c r="MR349" s="302"/>
      <c r="MS349" s="302"/>
      <c r="MT349" s="302"/>
      <c r="MU349" s="302"/>
      <c r="MV349" s="302"/>
      <c r="MW349" s="302"/>
      <c r="MX349" s="302"/>
      <c r="MY349" s="1682">
        <f t="shared" si="98"/>
        <v>0</v>
      </c>
      <c r="MZ349" s="770"/>
      <c r="NA349" s="770"/>
      <c r="NB349" s="770"/>
      <c r="NC349" s="770"/>
      <c r="ND349" s="770"/>
      <c r="NE349" s="770"/>
      <c r="NF349" s="770"/>
      <c r="NG349" s="770"/>
      <c r="NH349" s="770"/>
      <c r="NI349" s="770"/>
      <c r="NJ349" s="770"/>
      <c r="NK349" s="770"/>
      <c r="NL349" s="770"/>
      <c r="NM349" s="770"/>
      <c r="NN349" s="770"/>
      <c r="NO349" s="770"/>
      <c r="NP349" s="770"/>
      <c r="NQ349" s="770"/>
      <c r="NR349" s="770"/>
      <c r="NS349" s="770"/>
      <c r="NT349" s="770"/>
      <c r="NU349" s="770"/>
      <c r="NV349" s="770"/>
      <c r="NW349" s="770"/>
      <c r="NX349" s="770"/>
      <c r="NY349" s="770"/>
      <c r="NZ349" s="770"/>
      <c r="OA349" s="770"/>
      <c r="OB349" s="770"/>
      <c r="OC349" s="770"/>
      <c r="OD349" s="770"/>
      <c r="OE349" s="770"/>
      <c r="OF349" s="770"/>
      <c r="OG349" s="770"/>
      <c r="OH349" s="770"/>
      <c r="OI349" s="770"/>
      <c r="OJ349" s="770"/>
      <c r="OK349" s="770"/>
      <c r="OL349" s="770"/>
      <c r="OM349" s="770"/>
      <c r="ON349" s="770"/>
      <c r="OO349" s="770"/>
      <c r="OP349" s="770"/>
      <c r="OQ349" s="770"/>
      <c r="OR349" s="770"/>
      <c r="OS349" s="770"/>
      <c r="OT349" s="770"/>
      <c r="OU349" s="770"/>
      <c r="OV349" s="770"/>
      <c r="OW349" s="770"/>
      <c r="OX349" s="770"/>
      <c r="OY349" s="770"/>
      <c r="OZ349" s="770"/>
      <c r="PA349" s="770"/>
      <c r="PB349" s="770"/>
      <c r="PC349" s="770"/>
      <c r="PD349" s="770"/>
      <c r="PE349" s="770"/>
      <c r="PF349" s="770"/>
      <c r="PG349" s="770"/>
      <c r="PH349" s="770"/>
      <c r="PI349" s="770"/>
      <c r="PJ349" s="770"/>
      <c r="PK349" s="770"/>
      <c r="PL349" s="770"/>
      <c r="PM349" s="770"/>
      <c r="PN349" s="770"/>
      <c r="PO349" s="770"/>
      <c r="PP349" s="770"/>
      <c r="PQ349" s="770"/>
      <c r="PR349" s="770"/>
      <c r="PS349" s="770"/>
      <c r="PT349" s="770"/>
      <c r="PU349" s="770"/>
      <c r="PV349" s="770"/>
      <c r="PW349" s="770"/>
      <c r="PX349" s="770"/>
      <c r="PY349" s="770"/>
      <c r="PZ349" s="770"/>
      <c r="QA349" s="770"/>
      <c r="QB349" s="770"/>
      <c r="QC349" s="770"/>
      <c r="QD349" s="770"/>
      <c r="QE349" s="770"/>
      <c r="QF349" s="770"/>
      <c r="QG349" s="770"/>
      <c r="QH349" s="770"/>
      <c r="QI349" s="770"/>
      <c r="QJ349" s="770"/>
      <c r="QK349" s="770"/>
      <c r="QL349" s="770"/>
      <c r="QM349" s="770"/>
      <c r="QN349" s="770"/>
      <c r="QO349" s="770"/>
      <c r="QP349" s="770"/>
      <c r="QQ349" s="770"/>
      <c r="QR349" s="770"/>
      <c r="QS349" s="770"/>
      <c r="QT349" s="770"/>
      <c r="QU349" s="770"/>
      <c r="QV349" s="770"/>
      <c r="QW349" s="770"/>
      <c r="QX349" s="770"/>
      <c r="QY349" s="770"/>
      <c r="QZ349" s="770"/>
      <c r="RA349" s="770"/>
      <c r="RB349" s="770"/>
      <c r="RC349" s="770"/>
      <c r="RD349" s="770"/>
      <c r="RE349" s="770"/>
      <c r="RF349" s="304"/>
      <c r="RG349" s="770"/>
      <c r="RH349" s="302"/>
      <c r="RI349" s="770"/>
      <c r="RJ349" s="770"/>
      <c r="RK349" s="770"/>
      <c r="RL349" s="1710"/>
      <c r="RM349" s="12"/>
      <c r="RN349" s="1711"/>
      <c r="RO349" s="140" t="s">
        <v>602</v>
      </c>
      <c r="RP349" s="11"/>
      <c r="RQ349" s="11"/>
      <c r="RR349" s="766"/>
      <c r="RS349" s="767"/>
      <c r="RT349" s="11"/>
      <c r="RU349" s="11"/>
      <c r="RV349" s="771" t="s">
        <v>7419</v>
      </c>
      <c r="RW349" s="11" t="s">
        <v>5557</v>
      </c>
      <c r="RX349" s="11" t="s">
        <v>602</v>
      </c>
      <c r="RY349" s="11"/>
      <c r="RZ349" s="11"/>
      <c r="SA349" s="771"/>
      <c r="SB349" s="11"/>
      <c r="SC349" s="11"/>
    </row>
    <row r="350" spans="1:497" ht="12.75" hidden="1" customHeight="1" thickBot="1">
      <c r="A350" s="343" t="s">
        <v>7419</v>
      </c>
      <c r="B350" s="762" t="s">
        <v>7986</v>
      </c>
      <c r="C350" s="140" t="s">
        <v>605</v>
      </c>
      <c r="D350" s="770" t="s">
        <v>603</v>
      </c>
      <c r="E350" s="770" t="s">
        <v>604</v>
      </c>
      <c r="F350" s="770" t="s">
        <v>606</v>
      </c>
      <c r="G350" s="770" t="s">
        <v>18</v>
      </c>
      <c r="H350" s="770"/>
      <c r="I350" s="295"/>
      <c r="J350" s="94"/>
      <c r="K350" s="770"/>
      <c r="L350" s="770"/>
      <c r="M350" s="770"/>
      <c r="N350" s="770"/>
      <c r="O350" s="770"/>
      <c r="P350" s="770" t="s">
        <v>1044</v>
      </c>
      <c r="Q350" s="1088"/>
      <c r="R350" s="297"/>
      <c r="S350" s="770"/>
      <c r="T350" s="770"/>
      <c r="U350" s="298"/>
      <c r="V350" s="770"/>
      <c r="W350" s="770"/>
      <c r="X350" s="296"/>
      <c r="Y350" s="766"/>
      <c r="Z350" s="770"/>
      <c r="AA350" s="770"/>
      <c r="AB350" s="770"/>
      <c r="AC350" s="770"/>
      <c r="AD350" s="770"/>
      <c r="AE350" s="770"/>
      <c r="AF350" s="770"/>
      <c r="AG350" s="766" t="s">
        <v>1095</v>
      </c>
      <c r="AH350" s="766" t="s">
        <v>1096</v>
      </c>
      <c r="AI350" s="770" t="s">
        <v>1184</v>
      </c>
      <c r="AJ350" s="770"/>
      <c r="AK350" s="766" t="s">
        <v>1097</v>
      </c>
      <c r="AL350" s="299">
        <v>20</v>
      </c>
      <c r="AM350" s="300">
        <v>20</v>
      </c>
      <c r="AN350" s="301">
        <v>1</v>
      </c>
      <c r="AO350" s="766" t="s">
        <v>1122</v>
      </c>
      <c r="AP350" s="766"/>
      <c r="AQ350" s="766"/>
      <c r="AR350" s="766"/>
      <c r="AS350" s="770" t="s">
        <v>1207</v>
      </c>
      <c r="AT350" s="770" t="s">
        <v>1208</v>
      </c>
      <c r="AU350" s="770"/>
      <c r="AV350" s="770"/>
      <c r="AW350" s="770"/>
      <c r="AX350" s="13"/>
      <c r="AY350" s="770"/>
      <c r="AZ350" s="770"/>
      <c r="BA350" s="770"/>
      <c r="BB350" s="770"/>
      <c r="BC350" s="770"/>
      <c r="BD350" s="770"/>
      <c r="BE350" s="770"/>
      <c r="BF350" s="302"/>
      <c r="BG350" s="302"/>
      <c r="BH350" s="770"/>
      <c r="BI350" s="770"/>
      <c r="BJ350" s="770"/>
      <c r="BK350" s="770"/>
      <c r="BL350" s="770"/>
      <c r="BM350" s="770"/>
      <c r="BN350" s="770"/>
      <c r="BO350" s="770"/>
      <c r="BP350" s="780"/>
      <c r="BQ350" s="772"/>
      <c r="BR350" s="774"/>
      <c r="BS350" s="766"/>
      <c r="BT350" s="766"/>
      <c r="BU350" s="770"/>
      <c r="BV350" s="770"/>
      <c r="BW350" s="770"/>
      <c r="BX350" s="302"/>
      <c r="BY350" s="303"/>
      <c r="BZ350" s="770"/>
      <c r="CA350" s="302"/>
      <c r="CB350" s="302" t="s">
        <v>1207</v>
      </c>
      <c r="CC350" s="770" t="s">
        <v>1184</v>
      </c>
      <c r="CD350" s="770"/>
      <c r="CE350" s="770"/>
      <c r="CF350" s="304">
        <v>1</v>
      </c>
      <c r="CG350" s="321">
        <v>10</v>
      </c>
      <c r="CH350" s="770" t="s">
        <v>1555</v>
      </c>
      <c r="CI350" s="770"/>
      <c r="CJ350" s="770"/>
      <c r="CK350" s="770">
        <v>4</v>
      </c>
      <c r="CL350" s="770" t="s">
        <v>1556</v>
      </c>
      <c r="CM350" s="770"/>
      <c r="CN350" s="770"/>
      <c r="CO350" s="770"/>
      <c r="CP350" s="770"/>
      <c r="CQ350" s="770"/>
      <c r="CR350" s="770"/>
      <c r="CS350" s="302"/>
      <c r="CT350" s="770"/>
      <c r="CU350" s="305"/>
      <c r="CV350" s="770"/>
      <c r="CW350" s="770"/>
      <c r="CX350" s="770"/>
      <c r="CY350" s="770"/>
      <c r="CZ350" s="770"/>
      <c r="DA350" s="306"/>
      <c r="DB350" s="770"/>
      <c r="DC350" s="770"/>
      <c r="DD350" s="770"/>
      <c r="DE350" s="300"/>
      <c r="DF350" s="770"/>
      <c r="DG350" s="770"/>
      <c r="DH350" s="770"/>
      <c r="DI350" s="770"/>
      <c r="DJ350" s="770"/>
      <c r="DK350" s="770"/>
      <c r="DL350" s="770"/>
      <c r="DM350" s="770"/>
      <c r="DN350" s="322"/>
      <c r="DO350" s="770"/>
      <c r="DP350" s="770"/>
      <c r="DQ350" s="770"/>
      <c r="DR350" s="770"/>
      <c r="DS350" s="307"/>
      <c r="DT350" s="770"/>
      <c r="DU350" s="770"/>
      <c r="DV350" s="770"/>
      <c r="DW350" s="306"/>
      <c r="DX350" s="306"/>
      <c r="DY350" s="770"/>
      <c r="DZ350" s="770"/>
      <c r="EA350" s="770"/>
      <c r="EB350" s="770"/>
      <c r="EC350" s="770"/>
      <c r="ED350" s="770"/>
      <c r="EE350" s="770"/>
      <c r="EF350" s="770"/>
      <c r="EG350" s="770"/>
      <c r="EH350" s="770"/>
      <c r="EI350" s="770"/>
      <c r="EJ350" s="770"/>
      <c r="EK350" s="770"/>
      <c r="EL350" s="770"/>
      <c r="EM350" s="770"/>
      <c r="EN350" s="770"/>
      <c r="EO350" s="770"/>
      <c r="EP350" s="94"/>
      <c r="EQ350" s="770"/>
      <c r="ER350" s="770"/>
      <c r="ES350" s="770"/>
      <c r="ET350" s="770"/>
      <c r="EU350" s="770"/>
      <c r="EV350" s="770"/>
      <c r="EW350" s="770"/>
      <c r="EX350" s="770"/>
      <c r="EY350" s="770"/>
      <c r="EZ350" s="770"/>
      <c r="FA350" s="770"/>
      <c r="FB350" s="770"/>
      <c r="FC350" s="770"/>
      <c r="FD350" s="302"/>
      <c r="FE350" s="770"/>
      <c r="FF350" s="770"/>
      <c r="FG350" s="770"/>
      <c r="FH350" s="770"/>
      <c r="FI350" s="770"/>
      <c r="FJ350" s="770"/>
      <c r="FK350" s="770"/>
      <c r="FL350" s="770"/>
      <c r="FM350" s="302"/>
      <c r="FN350" s="302"/>
      <c r="FO350" s="302"/>
      <c r="FP350" s="770"/>
      <c r="FQ350" s="770"/>
      <c r="FR350" s="770"/>
      <c r="FS350" s="770"/>
      <c r="FT350" s="770"/>
      <c r="FU350" s="770"/>
      <c r="FV350" s="770"/>
      <c r="FW350" s="770"/>
      <c r="FX350" s="770"/>
      <c r="FY350" s="770"/>
      <c r="FZ350" s="770"/>
      <c r="GA350" s="770"/>
      <c r="GB350" s="770"/>
      <c r="GC350" s="308"/>
      <c r="GD350" s="297"/>
      <c r="GE350" s="770"/>
      <c r="GF350" s="302"/>
      <c r="GG350" s="302"/>
      <c r="GH350" s="770"/>
      <c r="GI350" s="770"/>
      <c r="GJ350" s="770"/>
      <c r="GK350" s="770"/>
      <c r="GL350" s="770"/>
      <c r="GM350" s="770"/>
      <c r="GN350" s="309"/>
      <c r="GO350" s="770"/>
      <c r="GP350" s="770"/>
      <c r="GQ350" s="770"/>
      <c r="GR350" s="770"/>
      <c r="GS350" s="770"/>
      <c r="GT350" s="770"/>
      <c r="GU350" s="770"/>
      <c r="GV350" s="770"/>
      <c r="GW350" s="770"/>
      <c r="GX350" s="770"/>
      <c r="GY350" s="770"/>
      <c r="GZ350" s="770"/>
      <c r="HA350" s="770"/>
      <c r="HB350" s="770"/>
      <c r="HC350" s="770"/>
      <c r="HD350" s="770"/>
      <c r="HE350" s="770"/>
      <c r="HF350" s="770"/>
      <c r="HG350" s="770"/>
      <c r="HH350" s="770"/>
      <c r="HI350" s="770"/>
      <c r="HJ350" s="770"/>
      <c r="HK350" s="770"/>
      <c r="HL350" s="770"/>
      <c r="HM350" s="770"/>
      <c r="HN350" s="770"/>
      <c r="HO350" s="770"/>
      <c r="HP350" s="770"/>
      <c r="HQ350" s="770"/>
      <c r="HR350" s="770"/>
      <c r="HS350" s="770"/>
      <c r="HT350" s="770"/>
      <c r="HU350" s="770"/>
      <c r="HV350" s="770"/>
      <c r="HW350" s="770"/>
      <c r="HX350" s="770"/>
      <c r="HY350" s="770"/>
      <c r="HZ350" s="770"/>
      <c r="IA350" s="770"/>
      <c r="IB350" s="14" t="e">
        <f>IF(#REF!&gt;0,IF(#REF!&lt;=10000,"Y",""),"")</f>
        <v>#REF!</v>
      </c>
      <c r="IC350" s="770"/>
      <c r="ID350" s="770"/>
      <c r="IE350" s="770"/>
      <c r="IF350" s="770"/>
      <c r="IG350" s="770"/>
      <c r="IH350" s="770"/>
      <c r="II350" s="770"/>
      <c r="IJ350" s="770"/>
      <c r="IK350" s="770"/>
      <c r="IL350" s="770"/>
      <c r="IM350" s="770"/>
      <c r="IN350" s="770"/>
      <c r="IO350" s="296"/>
      <c r="IP350" s="770"/>
      <c r="IQ350" s="770"/>
      <c r="IR350" s="770"/>
      <c r="IS350" s="770"/>
      <c r="IT350" s="770"/>
      <c r="IU350" s="770"/>
      <c r="IV350" s="770"/>
      <c r="IW350" s="770"/>
      <c r="IX350" s="770"/>
      <c r="IY350" s="770"/>
      <c r="IZ350" s="770"/>
      <c r="JA350" s="770"/>
      <c r="JB350" s="770"/>
      <c r="JC350" s="770"/>
      <c r="JD350" s="302"/>
      <c r="JE350" s="770"/>
      <c r="JF350" s="770"/>
      <c r="JG350" s="770"/>
      <c r="JH350" s="770"/>
      <c r="JI350" s="770"/>
      <c r="JJ350" s="770"/>
      <c r="JK350" s="770"/>
      <c r="JL350" s="770"/>
      <c r="JM350" s="770"/>
      <c r="JN350" s="770"/>
      <c r="JO350" s="770"/>
      <c r="JP350" s="770"/>
      <c r="JQ350" s="770"/>
      <c r="JR350" s="770"/>
      <c r="JS350" s="770"/>
      <c r="JT350" s="766"/>
      <c r="JU350" s="766"/>
      <c r="JV350" s="766"/>
      <c r="JW350" s="766"/>
      <c r="JX350" s="770"/>
      <c r="JY350" s="770"/>
      <c r="JZ350" s="770"/>
      <c r="KA350" s="770"/>
      <c r="KB350" s="770"/>
      <c r="KC350" s="770"/>
      <c r="KD350" s="770"/>
      <c r="KE350" s="770"/>
      <c r="KF350" s="770"/>
      <c r="KG350" s="770"/>
      <c r="KH350" s="770"/>
      <c r="KI350" s="770"/>
      <c r="KJ350" s="770"/>
      <c r="KK350" s="770"/>
      <c r="KL350" s="770"/>
      <c r="KM350" s="770"/>
      <c r="KN350" s="770"/>
      <c r="KO350" s="770"/>
      <c r="KP350" s="770"/>
      <c r="KQ350" s="770"/>
      <c r="KR350" s="770"/>
      <c r="KS350" s="770"/>
      <c r="KT350" s="770"/>
      <c r="KU350" s="770"/>
      <c r="KV350" s="770"/>
      <c r="KW350" s="770"/>
      <c r="KX350" s="770"/>
      <c r="KY350" s="770"/>
      <c r="KZ350" s="770"/>
      <c r="LA350" s="770"/>
      <c r="LB350" s="770"/>
      <c r="LC350" s="770"/>
      <c r="LD350" s="770"/>
      <c r="LE350" s="770"/>
      <c r="LF350" s="770"/>
      <c r="LG350" s="770"/>
      <c r="LH350" s="770"/>
      <c r="LI350" s="770"/>
      <c r="LJ350" s="770"/>
      <c r="LK350" s="770"/>
      <c r="LL350" s="770"/>
      <c r="LM350" s="770"/>
      <c r="LN350" s="766"/>
      <c r="LO350" s="766"/>
      <c r="LP350" s="770"/>
      <c r="LQ350" s="770"/>
      <c r="LR350" s="770"/>
      <c r="LS350" s="770"/>
      <c r="LT350" s="770"/>
      <c r="LU350" s="770"/>
      <c r="LV350" s="770"/>
      <c r="LW350" s="770"/>
      <c r="LX350" s="769"/>
      <c r="LY350" s="766" t="str">
        <f t="shared" si="93"/>
        <v/>
      </c>
      <c r="LZ350" s="299"/>
      <c r="MA350" s="306"/>
      <c r="MB350" s="306"/>
      <c r="MC350" s="1679">
        <f t="shared" si="91"/>
        <v>0</v>
      </c>
      <c r="MD350" s="306"/>
      <c r="ME350" s="306"/>
      <c r="MF350" s="306"/>
      <c r="MG350" s="1680">
        <f t="shared" si="97"/>
        <v>0</v>
      </c>
      <c r="MH350" s="770"/>
      <c r="MI350" s="302"/>
      <c r="MJ350" s="302"/>
      <c r="MK350" s="302"/>
      <c r="ML350" s="302"/>
      <c r="MM350" s="302"/>
      <c r="MN350" s="302"/>
      <c r="MO350" s="302"/>
      <c r="MP350" s="302"/>
      <c r="MQ350" s="302"/>
      <c r="MR350" s="302"/>
      <c r="MS350" s="302"/>
      <c r="MT350" s="302"/>
      <c r="MU350" s="302"/>
      <c r="MV350" s="302"/>
      <c r="MW350" s="302"/>
      <c r="MX350" s="302"/>
      <c r="MY350" s="1682">
        <f t="shared" si="98"/>
        <v>0</v>
      </c>
      <c r="MZ350" s="770"/>
      <c r="NA350" s="770"/>
      <c r="NB350" s="770"/>
      <c r="NC350" s="770"/>
      <c r="ND350" s="770"/>
      <c r="NE350" s="770"/>
      <c r="NF350" s="770"/>
      <c r="NG350" s="770"/>
      <c r="NH350" s="770"/>
      <c r="NI350" s="770"/>
      <c r="NJ350" s="770"/>
      <c r="NK350" s="770"/>
      <c r="NL350" s="770"/>
      <c r="NM350" s="770"/>
      <c r="NN350" s="770"/>
      <c r="NO350" s="770"/>
      <c r="NP350" s="770"/>
      <c r="NQ350" s="770"/>
      <c r="NR350" s="770"/>
      <c r="NS350" s="770"/>
      <c r="NT350" s="770"/>
      <c r="NU350" s="770"/>
      <c r="NV350" s="770"/>
      <c r="NW350" s="770"/>
      <c r="NX350" s="770"/>
      <c r="NY350" s="770"/>
      <c r="NZ350" s="770"/>
      <c r="OA350" s="770"/>
      <c r="OB350" s="770"/>
      <c r="OC350" s="770"/>
      <c r="OD350" s="770"/>
      <c r="OE350" s="770"/>
      <c r="OF350" s="770"/>
      <c r="OG350" s="770"/>
      <c r="OH350" s="770"/>
      <c r="OI350" s="770"/>
      <c r="OJ350" s="770"/>
      <c r="OK350" s="770"/>
      <c r="OL350" s="770"/>
      <c r="OM350" s="770"/>
      <c r="ON350" s="770"/>
      <c r="OO350" s="770"/>
      <c r="OP350" s="770"/>
      <c r="OQ350" s="770"/>
      <c r="OR350" s="770"/>
      <c r="OS350" s="770"/>
      <c r="OT350" s="770"/>
      <c r="OU350" s="770"/>
      <c r="OV350" s="770"/>
      <c r="OW350" s="770"/>
      <c r="OX350" s="770"/>
      <c r="OY350" s="770"/>
      <c r="OZ350" s="770"/>
      <c r="PA350" s="770"/>
      <c r="PB350" s="770"/>
      <c r="PC350" s="770"/>
      <c r="PD350" s="770"/>
      <c r="PE350" s="770"/>
      <c r="PF350" s="770"/>
      <c r="PG350" s="770"/>
      <c r="PH350" s="770"/>
      <c r="PI350" s="770"/>
      <c r="PJ350" s="770"/>
      <c r="PK350" s="770"/>
      <c r="PL350" s="770"/>
      <c r="PM350" s="770"/>
      <c r="PN350" s="770"/>
      <c r="PO350" s="770"/>
      <c r="PP350" s="770"/>
      <c r="PQ350" s="770"/>
      <c r="PR350" s="770"/>
      <c r="PS350" s="770"/>
      <c r="PT350" s="770"/>
      <c r="PU350" s="770"/>
      <c r="PV350" s="770"/>
      <c r="PW350" s="770"/>
      <c r="PX350" s="770"/>
      <c r="PY350" s="770"/>
      <c r="PZ350" s="770"/>
      <c r="QA350" s="770"/>
      <c r="QB350" s="770"/>
      <c r="QC350" s="770"/>
      <c r="QD350" s="770"/>
      <c r="QE350" s="770"/>
      <c r="QF350" s="770"/>
      <c r="QG350" s="770"/>
      <c r="QH350" s="770"/>
      <c r="QI350" s="770"/>
      <c r="QJ350" s="770"/>
      <c r="QK350" s="770"/>
      <c r="QL350" s="770"/>
      <c r="QM350" s="770"/>
      <c r="QN350" s="770"/>
      <c r="QO350" s="770"/>
      <c r="QP350" s="770"/>
      <c r="QQ350" s="770"/>
      <c r="QR350" s="770"/>
      <c r="QS350" s="770"/>
      <c r="QT350" s="770"/>
      <c r="QU350" s="770"/>
      <c r="QV350" s="770"/>
      <c r="QW350" s="770"/>
      <c r="QX350" s="770"/>
      <c r="QY350" s="770"/>
      <c r="QZ350" s="770"/>
      <c r="RA350" s="770"/>
      <c r="RB350" s="770"/>
      <c r="RC350" s="770"/>
      <c r="RD350" s="770"/>
      <c r="RE350" s="770"/>
      <c r="RF350" s="304"/>
      <c r="RG350" s="770"/>
      <c r="RH350" s="302"/>
      <c r="RI350" s="770"/>
      <c r="RJ350" s="770"/>
      <c r="RK350" s="770"/>
      <c r="RL350" s="1710"/>
      <c r="RM350" s="12"/>
      <c r="RN350" s="1711"/>
      <c r="RO350" s="140" t="s">
        <v>605</v>
      </c>
      <c r="RP350" s="11"/>
      <c r="RQ350" s="11"/>
      <c r="RR350" s="17"/>
      <c r="RS350" s="767"/>
      <c r="RT350" s="11"/>
      <c r="RU350" s="11"/>
      <c r="RV350" s="771" t="s">
        <v>8091</v>
      </c>
      <c r="RW350" s="11" t="s">
        <v>5558</v>
      </c>
      <c r="RX350" s="11" t="s">
        <v>602</v>
      </c>
      <c r="RY350" s="11"/>
      <c r="RZ350" s="11" t="s">
        <v>2209</v>
      </c>
      <c r="SA350" s="771"/>
      <c r="SB350" s="11"/>
      <c r="SC350" s="11"/>
    </row>
    <row r="351" spans="1:497" ht="12.75" hidden="1" customHeight="1" thickBot="1">
      <c r="A351" s="154" t="s">
        <v>7419</v>
      </c>
      <c r="B351" s="288" t="s">
        <v>7644</v>
      </c>
      <c r="C351" s="140" t="s">
        <v>607</v>
      </c>
      <c r="D351" s="770" t="s">
        <v>5561</v>
      </c>
      <c r="E351" s="770" t="s">
        <v>609</v>
      </c>
      <c r="F351" s="770"/>
      <c r="G351" s="770"/>
      <c r="H351" s="770"/>
      <c r="I351" s="295"/>
      <c r="J351" s="94"/>
      <c r="K351" s="770"/>
      <c r="L351" s="770"/>
      <c r="M351" s="770"/>
      <c r="N351" s="770"/>
      <c r="O351" s="770"/>
      <c r="P351" s="770"/>
      <c r="Q351" s="1088"/>
      <c r="R351" s="297"/>
      <c r="S351" s="770"/>
      <c r="T351" s="770"/>
      <c r="U351" s="298"/>
      <c r="V351" s="770"/>
      <c r="W351" s="770"/>
      <c r="X351" s="296"/>
      <c r="Y351" s="766"/>
      <c r="Z351" s="770"/>
      <c r="AA351" s="770"/>
      <c r="AB351" s="770"/>
      <c r="AC351" s="770"/>
      <c r="AD351" s="770"/>
      <c r="AE351" s="770"/>
      <c r="AF351" s="770"/>
      <c r="AG351" s="766" t="s">
        <v>1095</v>
      </c>
      <c r="AH351" s="766" t="s">
        <v>1096</v>
      </c>
      <c r="AI351" s="770" t="s">
        <v>5564</v>
      </c>
      <c r="AJ351" s="770"/>
      <c r="AK351" s="766" t="s">
        <v>1097</v>
      </c>
      <c r="AL351" s="299">
        <v>41.25</v>
      </c>
      <c r="AM351" s="300">
        <v>1.65</v>
      </c>
      <c r="AN351" s="301">
        <v>0.04</v>
      </c>
      <c r="AO351" s="766" t="s">
        <v>1098</v>
      </c>
      <c r="AP351" s="766"/>
      <c r="AQ351" s="766"/>
      <c r="AR351" s="766"/>
      <c r="AS351" s="770" t="s">
        <v>1207</v>
      </c>
      <c r="AT351" s="770" t="s">
        <v>1208</v>
      </c>
      <c r="AU351" s="770"/>
      <c r="AV351" s="770"/>
      <c r="AW351" s="770"/>
      <c r="AX351" s="13"/>
      <c r="AY351" s="770"/>
      <c r="AZ351" s="770"/>
      <c r="BA351" s="770"/>
      <c r="BB351" s="770"/>
      <c r="BC351" s="770" t="s">
        <v>796</v>
      </c>
      <c r="BD351" s="770" t="s">
        <v>1207</v>
      </c>
      <c r="BE351" s="770" t="s">
        <v>1214</v>
      </c>
      <c r="BF351" s="302"/>
      <c r="BG351" s="302"/>
      <c r="BH351" s="770"/>
      <c r="BI351" s="770"/>
      <c r="BJ351" s="770"/>
      <c r="BK351" s="770" t="s">
        <v>1095</v>
      </c>
      <c r="BL351" s="770" t="s">
        <v>5564</v>
      </c>
      <c r="BM351" s="766" t="s">
        <v>1096</v>
      </c>
      <c r="BN351" s="770" t="s">
        <v>1230</v>
      </c>
      <c r="BO351" s="766" t="s">
        <v>1246</v>
      </c>
      <c r="BP351" s="1105">
        <v>41.25</v>
      </c>
      <c r="BQ351" s="1107">
        <v>1.65</v>
      </c>
      <c r="BR351" s="1106">
        <v>0.04</v>
      </c>
      <c r="BS351" s="766" t="s">
        <v>1242</v>
      </c>
      <c r="BT351" s="766" t="s">
        <v>2040</v>
      </c>
      <c r="BU351" s="769"/>
      <c r="BV351" s="770" t="s">
        <v>1381</v>
      </c>
      <c r="BW351" s="769"/>
      <c r="BX351" s="302"/>
      <c r="BY351" s="303"/>
      <c r="BZ351" s="770"/>
      <c r="CA351" s="302"/>
      <c r="CB351" s="302"/>
      <c r="CC351" s="770"/>
      <c r="CD351" s="770"/>
      <c r="CE351" s="770"/>
      <c r="CF351" s="304"/>
      <c r="CG351" s="321"/>
      <c r="CH351" s="770"/>
      <c r="CI351" s="770"/>
      <c r="CJ351" s="770"/>
      <c r="CK351" s="770"/>
      <c r="CL351" s="770"/>
      <c r="CM351" s="770"/>
      <c r="CN351" s="770"/>
      <c r="CO351" s="770"/>
      <c r="CP351" s="770"/>
      <c r="CQ351" s="770"/>
      <c r="CR351" s="770"/>
      <c r="CS351" s="302"/>
      <c r="CT351" s="770"/>
      <c r="CU351" s="305"/>
      <c r="CV351" s="770"/>
      <c r="CW351" s="770"/>
      <c r="CX351" s="770"/>
      <c r="CY351" s="770"/>
      <c r="CZ351" s="770"/>
      <c r="DA351" s="306"/>
      <c r="DB351" s="770"/>
      <c r="DC351" s="770"/>
      <c r="DD351" s="770"/>
      <c r="DE351" s="300"/>
      <c r="DF351" s="770"/>
      <c r="DG351" s="770"/>
      <c r="DH351" s="770"/>
      <c r="DI351" s="770"/>
      <c r="DJ351" s="770"/>
      <c r="DK351" s="770"/>
      <c r="DL351" s="770"/>
      <c r="DM351" s="770"/>
      <c r="DN351" s="322"/>
      <c r="DO351" s="770"/>
      <c r="DP351" s="770"/>
      <c r="DQ351" s="770"/>
      <c r="DR351" s="770"/>
      <c r="DS351" s="307"/>
      <c r="DT351" s="770"/>
      <c r="DU351" s="770"/>
      <c r="DV351" s="770"/>
      <c r="DW351" s="306"/>
      <c r="DX351" s="306"/>
      <c r="DY351" s="770"/>
      <c r="DZ351" s="770"/>
      <c r="EA351" s="770"/>
      <c r="EB351" s="770"/>
      <c r="EC351" s="770"/>
      <c r="ED351" s="770"/>
      <c r="EE351" s="770"/>
      <c r="EF351" s="770"/>
      <c r="EG351" s="770"/>
      <c r="EH351" s="770"/>
      <c r="EI351" s="770"/>
      <c r="EJ351" s="770"/>
      <c r="EK351" s="770"/>
      <c r="EL351" s="770"/>
      <c r="EM351" s="770"/>
      <c r="EN351" s="770"/>
      <c r="EO351" s="770"/>
      <c r="EP351" s="94"/>
      <c r="EQ351" s="770"/>
      <c r="ER351" s="770"/>
      <c r="ES351" s="770"/>
      <c r="ET351" s="770"/>
      <c r="EU351" s="770"/>
      <c r="EV351" s="770"/>
      <c r="EW351" s="770"/>
      <c r="EX351" s="770"/>
      <c r="EY351" s="770"/>
      <c r="EZ351" s="770"/>
      <c r="FA351" s="770"/>
      <c r="FB351" s="770"/>
      <c r="FC351" s="770"/>
      <c r="FD351" s="302"/>
      <c r="FE351" s="770"/>
      <c r="FF351" s="770"/>
      <c r="FG351" s="770"/>
      <c r="FH351" s="770"/>
      <c r="FI351" s="770"/>
      <c r="FJ351" s="770"/>
      <c r="FK351" s="770"/>
      <c r="FL351" s="770"/>
      <c r="FM351" s="12"/>
      <c r="FN351" s="12"/>
      <c r="FO351" s="12"/>
      <c r="FP351" s="770"/>
      <c r="FQ351" s="770"/>
      <c r="FR351" s="770" t="s">
        <v>1207</v>
      </c>
      <c r="FS351" s="770" t="s">
        <v>1208</v>
      </c>
      <c r="FT351" s="770" t="s">
        <v>1208</v>
      </c>
      <c r="FU351" s="770"/>
      <c r="FV351" s="770"/>
      <c r="FW351" s="770" t="s">
        <v>1208</v>
      </c>
      <c r="FX351" s="770" t="s">
        <v>1208</v>
      </c>
      <c r="FY351" s="770"/>
      <c r="FZ351" s="770"/>
      <c r="GA351" s="770"/>
      <c r="GB351" s="770" t="s">
        <v>796</v>
      </c>
      <c r="GC351" s="308"/>
      <c r="GD351" s="297"/>
      <c r="GE351" s="770" t="s">
        <v>1207</v>
      </c>
      <c r="GF351" s="302">
        <f>SUM(1500,2800)</f>
        <v>4300</v>
      </c>
      <c r="GG351" s="302">
        <f>GF351*12</f>
        <v>51600</v>
      </c>
      <c r="GH351" s="770"/>
      <c r="GI351" s="770"/>
      <c r="GJ351" s="770"/>
      <c r="GK351" s="770"/>
      <c r="GL351" s="770"/>
      <c r="GM351" s="770"/>
      <c r="GN351" s="309"/>
      <c r="GO351" s="770"/>
      <c r="GP351" s="770"/>
      <c r="GQ351" s="770"/>
      <c r="GR351" s="770"/>
      <c r="GS351" s="770"/>
      <c r="GT351" s="770"/>
      <c r="GU351" s="770"/>
      <c r="GV351" s="770"/>
      <c r="GW351" s="770"/>
      <c r="GX351" s="770"/>
      <c r="GY351" s="770"/>
      <c r="GZ351" s="770"/>
      <c r="HA351" s="770"/>
      <c r="HB351" s="770"/>
      <c r="HC351" s="770"/>
      <c r="HD351" s="770"/>
      <c r="HE351" s="770"/>
      <c r="HF351" s="770"/>
      <c r="HG351" s="770"/>
      <c r="HH351" s="770"/>
      <c r="HI351" s="770"/>
      <c r="HJ351" s="770"/>
      <c r="HK351" s="770"/>
      <c r="HL351" s="770"/>
      <c r="HM351" s="770"/>
      <c r="HN351" s="770"/>
      <c r="HO351" s="770"/>
      <c r="HP351" s="770"/>
      <c r="HQ351" s="770"/>
      <c r="HR351" s="770"/>
      <c r="HS351" s="770"/>
      <c r="HT351" s="770"/>
      <c r="HU351" s="770"/>
      <c r="HV351" s="770"/>
      <c r="HW351" s="770"/>
      <c r="HX351" s="770"/>
      <c r="HY351" s="770"/>
      <c r="HZ351" s="770"/>
      <c r="IA351" s="770"/>
      <c r="IB351" s="14" t="e">
        <f>IF(#REF!&gt;0,IF(#REF!&lt;=10000,"Y",""),"")</f>
        <v>#REF!</v>
      </c>
      <c r="IC351" s="770"/>
      <c r="ID351" s="770"/>
      <c r="IE351" s="770"/>
      <c r="IF351" s="770" t="s">
        <v>5561</v>
      </c>
      <c r="IG351" s="770" t="s">
        <v>18</v>
      </c>
      <c r="IH351" s="770"/>
      <c r="II351" s="770"/>
      <c r="IJ351" s="770" t="s">
        <v>1604</v>
      </c>
      <c r="IK351" s="766" t="s">
        <v>1888</v>
      </c>
      <c r="IL351" s="770" t="s">
        <v>5564</v>
      </c>
      <c r="IM351" s="770"/>
      <c r="IN351" s="770" t="s">
        <v>5564</v>
      </c>
      <c r="IO351" s="296">
        <v>25816</v>
      </c>
      <c r="IP351" s="770" t="s">
        <v>1263</v>
      </c>
      <c r="IQ351" s="769" t="s">
        <v>5498</v>
      </c>
      <c r="IR351" s="770" t="s">
        <v>2716</v>
      </c>
      <c r="IS351" s="770" t="s">
        <v>951</v>
      </c>
      <c r="IT351" s="770"/>
      <c r="IU351" s="770"/>
      <c r="IV351" s="770"/>
      <c r="IW351" s="770" t="s">
        <v>13484</v>
      </c>
      <c r="IX351" s="770"/>
      <c r="IY351" s="770" t="s">
        <v>1665</v>
      </c>
      <c r="IZ351" s="770"/>
      <c r="JA351" s="770"/>
      <c r="JB351" s="770"/>
      <c r="JC351" s="770"/>
      <c r="JD351" s="302">
        <f>SUM(1500,2800)</f>
        <v>4300</v>
      </c>
      <c r="JE351" s="770"/>
      <c r="JF351" s="770"/>
      <c r="JG351" s="770"/>
      <c r="JH351" s="770"/>
      <c r="JI351" s="770"/>
      <c r="JJ351" s="770"/>
      <c r="JK351" s="770"/>
      <c r="JL351" s="770"/>
      <c r="JM351" s="770"/>
      <c r="JN351" s="770"/>
      <c r="JO351" s="770"/>
      <c r="JP351" s="770"/>
      <c r="JQ351" s="770"/>
      <c r="JR351" s="770"/>
      <c r="JS351" s="770"/>
      <c r="JT351" s="766"/>
      <c r="JU351" s="766"/>
      <c r="JV351" s="766"/>
      <c r="JW351" s="766"/>
      <c r="JX351" s="770"/>
      <c r="JY351" s="770"/>
      <c r="JZ351" s="770"/>
      <c r="KA351" s="770"/>
      <c r="KB351" s="770"/>
      <c r="KC351" s="770"/>
      <c r="KD351" s="770"/>
      <c r="KE351" s="770"/>
      <c r="KF351" s="770"/>
      <c r="KG351" s="770"/>
      <c r="KH351" s="770"/>
      <c r="KI351" s="770"/>
      <c r="KJ351" s="770"/>
      <c r="KK351" s="770"/>
      <c r="KL351" s="770"/>
      <c r="KM351" s="770"/>
      <c r="KN351" s="770"/>
      <c r="KO351" s="770"/>
      <c r="KP351" s="770"/>
      <c r="KQ351" s="770"/>
      <c r="KR351" s="770"/>
      <c r="KS351" s="770"/>
      <c r="KT351" s="770"/>
      <c r="KU351" s="770"/>
      <c r="KV351" s="770"/>
      <c r="KW351" s="770"/>
      <c r="KX351" s="770"/>
      <c r="KY351" s="770"/>
      <c r="KZ351" s="770"/>
      <c r="LA351" s="770"/>
      <c r="LB351" s="770"/>
      <c r="LC351" s="770"/>
      <c r="LD351" s="770"/>
      <c r="LE351" s="770"/>
      <c r="LF351" s="770"/>
      <c r="LG351" s="770"/>
      <c r="LH351" s="770"/>
      <c r="LI351" s="770"/>
      <c r="LJ351" s="770"/>
      <c r="LK351" s="770"/>
      <c r="LL351" s="770"/>
      <c r="LM351" s="770"/>
      <c r="LN351" s="766"/>
      <c r="LO351" s="766"/>
      <c r="LP351" s="770"/>
      <c r="LQ351" s="770"/>
      <c r="LR351" s="770"/>
      <c r="LS351" s="770"/>
      <c r="LT351" s="770"/>
      <c r="LU351" s="770"/>
      <c r="LV351" s="770"/>
      <c r="LW351" s="770"/>
      <c r="LX351" s="769"/>
      <c r="LY351" s="766" t="str">
        <f t="shared" si="93"/>
        <v/>
      </c>
      <c r="LZ351" s="299"/>
      <c r="MA351" s="306"/>
      <c r="MB351" s="306"/>
      <c r="MC351" s="1679">
        <f t="shared" si="91"/>
        <v>0</v>
      </c>
      <c r="MD351" s="306"/>
      <c r="ME351" s="306"/>
      <c r="MF351" s="306"/>
      <c r="MG351" s="1680">
        <f t="shared" si="97"/>
        <v>0</v>
      </c>
      <c r="MH351" s="770"/>
      <c r="MI351" s="302"/>
      <c r="MJ351" s="302"/>
      <c r="MK351" s="302"/>
      <c r="ML351" s="302"/>
      <c r="MM351" s="302"/>
      <c r="MN351" s="302"/>
      <c r="MO351" s="302"/>
      <c r="MP351" s="302"/>
      <c r="MQ351" s="302"/>
      <c r="MR351" s="302"/>
      <c r="MS351" s="302"/>
      <c r="MT351" s="302"/>
      <c r="MU351" s="302"/>
      <c r="MV351" s="302"/>
      <c r="MW351" s="302"/>
      <c r="MX351" s="302"/>
      <c r="MY351" s="1682">
        <f t="shared" si="98"/>
        <v>0</v>
      </c>
      <c r="MZ351" s="770"/>
      <c r="NA351" s="770"/>
      <c r="NB351" s="770"/>
      <c r="NC351" s="770"/>
      <c r="ND351" s="770"/>
      <c r="NE351" s="770"/>
      <c r="NF351" s="770"/>
      <c r="NG351" s="770"/>
      <c r="NH351" s="770"/>
      <c r="NI351" s="770"/>
      <c r="NJ351" s="770"/>
      <c r="NK351" s="770"/>
      <c r="NL351" s="770"/>
      <c r="NM351" s="770"/>
      <c r="NN351" s="770"/>
      <c r="NO351" s="770"/>
      <c r="NP351" s="770"/>
      <c r="NQ351" s="770"/>
      <c r="NR351" s="770"/>
      <c r="NS351" s="770"/>
      <c r="NT351" s="770"/>
      <c r="NU351" s="770"/>
      <c r="NV351" s="770"/>
      <c r="NW351" s="770"/>
      <c r="NX351" s="770"/>
      <c r="NY351" s="770"/>
      <c r="NZ351" s="770"/>
      <c r="OA351" s="770"/>
      <c r="OB351" s="770"/>
      <c r="OC351" s="770"/>
      <c r="OD351" s="770"/>
      <c r="OE351" s="770"/>
      <c r="OF351" s="770"/>
      <c r="OG351" s="770"/>
      <c r="OH351" s="770"/>
      <c r="OI351" s="770"/>
      <c r="OJ351" s="770"/>
      <c r="OK351" s="770"/>
      <c r="OL351" s="770"/>
      <c r="OM351" s="770"/>
      <c r="ON351" s="770"/>
      <c r="OO351" s="770"/>
      <c r="OP351" s="770"/>
      <c r="OQ351" s="770"/>
      <c r="OR351" s="770"/>
      <c r="OS351" s="770"/>
      <c r="OT351" s="770"/>
      <c r="OU351" s="770"/>
      <c r="OV351" s="770"/>
      <c r="OW351" s="770"/>
      <c r="OX351" s="770"/>
      <c r="OY351" s="770"/>
      <c r="OZ351" s="770"/>
      <c r="PA351" s="770"/>
      <c r="PB351" s="770"/>
      <c r="PC351" s="770"/>
      <c r="PD351" s="770"/>
      <c r="PE351" s="770"/>
      <c r="PF351" s="770"/>
      <c r="PG351" s="770"/>
      <c r="PH351" s="770"/>
      <c r="PI351" s="770"/>
      <c r="PJ351" s="770"/>
      <c r="PK351" s="770"/>
      <c r="PL351" s="770"/>
      <c r="PM351" s="770"/>
      <c r="PN351" s="770"/>
      <c r="PO351" s="770"/>
      <c r="PP351" s="770"/>
      <c r="PQ351" s="770"/>
      <c r="PR351" s="770"/>
      <c r="PS351" s="770"/>
      <c r="PT351" s="770"/>
      <c r="PU351" s="770"/>
      <c r="PV351" s="770"/>
      <c r="PW351" s="770"/>
      <c r="PX351" s="770"/>
      <c r="PY351" s="770"/>
      <c r="PZ351" s="770"/>
      <c r="QA351" s="770"/>
      <c r="QB351" s="770"/>
      <c r="QC351" s="770"/>
      <c r="QD351" s="770"/>
      <c r="QE351" s="770"/>
      <c r="QF351" s="770"/>
      <c r="QG351" s="770"/>
      <c r="QH351" s="770"/>
      <c r="QI351" s="770"/>
      <c r="QJ351" s="770"/>
      <c r="QK351" s="770"/>
      <c r="QL351" s="770"/>
      <c r="QM351" s="770"/>
      <c r="QN351" s="770"/>
      <c r="QO351" s="770"/>
      <c r="QP351" s="770"/>
      <c r="QQ351" s="770"/>
      <c r="QR351" s="770"/>
      <c r="QS351" s="770"/>
      <c r="QT351" s="770"/>
      <c r="QU351" s="770"/>
      <c r="QV351" s="770"/>
      <c r="QW351" s="770"/>
      <c r="QX351" s="770"/>
      <c r="QY351" s="770"/>
      <c r="QZ351" s="770"/>
      <c r="RA351" s="770"/>
      <c r="RB351" s="770"/>
      <c r="RC351" s="770"/>
      <c r="RD351" s="770"/>
      <c r="RE351" s="770"/>
      <c r="RF351" s="304"/>
      <c r="RG351" s="770"/>
      <c r="RH351" s="302"/>
      <c r="RI351" s="770"/>
      <c r="RJ351" s="770"/>
      <c r="RK351" s="770"/>
      <c r="RL351" s="1710"/>
      <c r="RM351" s="12"/>
      <c r="RN351" s="1711"/>
      <c r="RO351" s="140" t="s">
        <v>607</v>
      </c>
      <c r="RP351" s="11"/>
      <c r="RQ351" s="11"/>
      <c r="RR351" s="771"/>
      <c r="RS351" s="767"/>
      <c r="RT351" s="11"/>
      <c r="RU351" s="11"/>
      <c r="RV351" s="771" t="s">
        <v>8091</v>
      </c>
      <c r="RW351" s="11" t="s">
        <v>7643</v>
      </c>
      <c r="RX351" s="11" t="s">
        <v>602</v>
      </c>
      <c r="RY351" s="11"/>
      <c r="RZ351" s="11" t="s">
        <v>2209</v>
      </c>
      <c r="SA351" s="771"/>
      <c r="SB351" s="11"/>
      <c r="SC351" s="11"/>
    </row>
    <row r="352" spans="1:497" ht="12.75" hidden="1" customHeight="1">
      <c r="A352" s="154" t="s">
        <v>14177</v>
      </c>
      <c r="B352" s="292" t="s">
        <v>7545</v>
      </c>
      <c r="C352" s="140" t="s">
        <v>607</v>
      </c>
      <c r="D352" s="770" t="s">
        <v>5562</v>
      </c>
      <c r="E352" s="770" t="s">
        <v>609</v>
      </c>
      <c r="F352" s="770" t="s">
        <v>20</v>
      </c>
      <c r="G352" s="770" t="s">
        <v>18</v>
      </c>
      <c r="H352" s="770"/>
      <c r="I352" s="295"/>
      <c r="J352" s="770"/>
      <c r="K352" s="770"/>
      <c r="L352" s="770"/>
      <c r="M352" s="770"/>
      <c r="N352" s="770"/>
      <c r="O352" s="770"/>
      <c r="P352" s="770"/>
      <c r="Q352" s="1088"/>
      <c r="R352" s="297"/>
      <c r="S352" s="770"/>
      <c r="T352" s="770"/>
      <c r="U352" s="298"/>
      <c r="V352" s="770"/>
      <c r="W352" s="770"/>
      <c r="X352" s="296"/>
      <c r="Y352" s="766"/>
      <c r="Z352" s="770"/>
      <c r="AA352" s="770"/>
      <c r="AB352" s="770"/>
      <c r="AC352" s="770"/>
      <c r="AD352" s="770"/>
      <c r="AE352" s="770"/>
      <c r="AF352" s="770"/>
      <c r="AG352" s="770"/>
      <c r="AH352" s="770"/>
      <c r="AI352" s="770"/>
      <c r="AJ352" s="770"/>
      <c r="AK352" s="770" t="s">
        <v>1899</v>
      </c>
      <c r="AL352" s="299"/>
      <c r="AM352" s="300"/>
      <c r="AN352" s="301"/>
      <c r="AO352" s="766"/>
      <c r="AP352" s="766"/>
      <c r="AQ352" s="766"/>
      <c r="AR352" s="766"/>
      <c r="AS352" s="770"/>
      <c r="AT352" s="770"/>
      <c r="AU352" s="770"/>
      <c r="AV352" s="770"/>
      <c r="AW352" s="770"/>
      <c r="AX352" s="770"/>
      <c r="AY352" s="770"/>
      <c r="AZ352" s="770"/>
      <c r="BA352" s="770"/>
      <c r="BB352" s="770"/>
      <c r="BC352" s="770"/>
      <c r="BD352" s="770"/>
      <c r="BE352" s="770"/>
      <c r="BF352" s="302"/>
      <c r="BG352" s="302"/>
      <c r="BH352" s="770"/>
      <c r="BI352" s="770"/>
      <c r="BJ352" s="770"/>
      <c r="BK352" s="770"/>
      <c r="BL352" s="770"/>
      <c r="BM352" s="770" t="s">
        <v>1238</v>
      </c>
      <c r="BN352" s="770" t="s">
        <v>1256</v>
      </c>
      <c r="BO352" s="770"/>
      <c r="BP352" s="780"/>
      <c r="BQ352" s="772"/>
      <c r="BR352" s="774"/>
      <c r="BS352" s="766" t="s">
        <v>1257</v>
      </c>
      <c r="BT352" s="766"/>
      <c r="BU352" s="770"/>
      <c r="BV352" s="770"/>
      <c r="BW352" s="770"/>
      <c r="BX352" s="302"/>
      <c r="BY352" s="303"/>
      <c r="BZ352" s="770"/>
      <c r="CA352" s="302"/>
      <c r="CB352" s="302"/>
      <c r="CC352" s="770"/>
      <c r="CD352" s="770"/>
      <c r="CE352" s="770"/>
      <c r="CF352" s="770"/>
      <c r="CG352" s="770"/>
      <c r="CH352" s="770"/>
      <c r="CI352" s="770"/>
      <c r="CJ352" s="770"/>
      <c r="CK352" s="770"/>
      <c r="CL352" s="770"/>
      <c r="CM352" s="770"/>
      <c r="CN352" s="770"/>
      <c r="CO352" s="770"/>
      <c r="CP352" s="770"/>
      <c r="CQ352" s="770"/>
      <c r="CR352" s="770"/>
      <c r="CS352" s="302"/>
      <c r="CT352" s="770"/>
      <c r="CU352" s="305"/>
      <c r="CV352" s="770"/>
      <c r="CW352" s="770"/>
      <c r="CX352" s="770"/>
      <c r="CY352" s="770"/>
      <c r="CZ352" s="770"/>
      <c r="DA352" s="770"/>
      <c r="DB352" s="770"/>
      <c r="DC352" s="770"/>
      <c r="DD352" s="770"/>
      <c r="DE352" s="770"/>
      <c r="DF352" s="770"/>
      <c r="DG352" s="770"/>
      <c r="DH352" s="770"/>
      <c r="DI352" s="770"/>
      <c r="DJ352" s="770"/>
      <c r="DK352" s="770"/>
      <c r="DL352" s="770"/>
      <c r="DM352" s="770"/>
      <c r="DN352" s="770"/>
      <c r="DO352" s="770"/>
      <c r="DP352" s="770"/>
      <c r="DQ352" s="770"/>
      <c r="DR352" s="770"/>
      <c r="DS352" s="307"/>
      <c r="DT352" s="770"/>
      <c r="DU352" s="770"/>
      <c r="DV352" s="770"/>
      <c r="DW352" s="306"/>
      <c r="DX352" s="306"/>
      <c r="DY352" s="770"/>
      <c r="DZ352" s="770"/>
      <c r="EA352" s="770"/>
      <c r="EB352" s="770"/>
      <c r="EC352" s="770"/>
      <c r="ED352" s="770"/>
      <c r="EE352" s="770"/>
      <c r="EF352" s="770"/>
      <c r="EG352" s="770"/>
      <c r="EH352" s="770"/>
      <c r="EI352" s="770"/>
      <c r="EJ352" s="770"/>
      <c r="EK352" s="770"/>
      <c r="EL352" s="770"/>
      <c r="EM352" s="770"/>
      <c r="EN352" s="770"/>
      <c r="EO352" s="770"/>
      <c r="EP352" s="770"/>
      <c r="EQ352" s="770"/>
      <c r="ER352" s="770"/>
      <c r="ES352" s="770"/>
      <c r="ET352" s="770"/>
      <c r="EU352" s="770"/>
      <c r="EV352" s="770"/>
      <c r="EW352" s="770"/>
      <c r="EX352" s="770"/>
      <c r="EY352" s="770"/>
      <c r="EZ352" s="770"/>
      <c r="FA352" s="770"/>
      <c r="FB352" s="770"/>
      <c r="FC352" s="770"/>
      <c r="FD352" s="302"/>
      <c r="FE352" s="770"/>
      <c r="FF352" s="770"/>
      <c r="FG352" s="770"/>
      <c r="FH352" s="770" t="s">
        <v>1306</v>
      </c>
      <c r="FI352" s="770">
        <v>1</v>
      </c>
      <c r="FJ352" s="770" t="s">
        <v>5565</v>
      </c>
      <c r="FK352" s="770" t="s">
        <v>1665</v>
      </c>
      <c r="FL352" s="770" t="s">
        <v>1664</v>
      </c>
      <c r="FM352" s="147">
        <v>2800</v>
      </c>
      <c r="FN352" s="302">
        <v>350</v>
      </c>
      <c r="FO352" s="302">
        <v>250</v>
      </c>
      <c r="FP352" s="770" t="s">
        <v>1602</v>
      </c>
      <c r="FQ352" s="770" t="s">
        <v>1660</v>
      </c>
      <c r="FR352" s="770"/>
      <c r="FS352" s="770"/>
      <c r="FT352" s="770"/>
      <c r="FU352" s="770"/>
      <c r="FV352" s="770"/>
      <c r="FW352" s="770"/>
      <c r="FX352" s="770"/>
      <c r="FY352" s="770"/>
      <c r="FZ352" s="770"/>
      <c r="GA352" s="770"/>
      <c r="GB352" s="770"/>
      <c r="GC352" s="308"/>
      <c r="GD352" s="297"/>
      <c r="GE352" s="770"/>
      <c r="GF352" s="302"/>
      <c r="GG352" s="302"/>
      <c r="GH352" s="770"/>
      <c r="GI352" s="770"/>
      <c r="GJ352" s="770"/>
      <c r="GK352" s="770"/>
      <c r="GL352" s="770"/>
      <c r="GM352" s="770"/>
      <c r="GN352" s="309"/>
      <c r="GO352" s="770"/>
      <c r="GP352" s="770"/>
      <c r="GQ352" s="770"/>
      <c r="GR352" s="770"/>
      <c r="GS352" s="770"/>
      <c r="GT352" s="770"/>
      <c r="GU352" s="770"/>
      <c r="GV352" s="770"/>
      <c r="GW352" s="770"/>
      <c r="GX352" s="770"/>
      <c r="GY352" s="770"/>
      <c r="GZ352" s="770"/>
      <c r="HA352" s="770"/>
      <c r="HB352" s="770"/>
      <c r="HC352" s="770"/>
      <c r="HD352" s="770"/>
      <c r="HE352" s="770"/>
      <c r="HF352" s="770"/>
      <c r="HG352" s="770"/>
      <c r="HH352" s="770"/>
      <c r="HI352" s="770"/>
      <c r="HJ352" s="770"/>
      <c r="HK352" s="770"/>
      <c r="HL352" s="770"/>
      <c r="HM352" s="770"/>
      <c r="HN352" s="770"/>
      <c r="HO352" s="770"/>
      <c r="HP352" s="770"/>
      <c r="HQ352" s="770"/>
      <c r="HR352" s="770"/>
      <c r="HS352" s="770"/>
      <c r="HT352" s="770"/>
      <c r="HU352" s="770"/>
      <c r="HV352" s="770"/>
      <c r="HW352" s="770"/>
      <c r="HX352" s="770"/>
      <c r="HY352" s="770"/>
      <c r="HZ352" s="770"/>
      <c r="IA352" s="770"/>
      <c r="IB352" s="14" t="e">
        <f>IF(#REF!&gt;0,IF(#REF!&lt;=10000,"Y",""),"")</f>
        <v>#REF!</v>
      </c>
      <c r="IC352" s="770" t="s">
        <v>1207</v>
      </c>
      <c r="ID352" s="770"/>
      <c r="IE352" s="770"/>
      <c r="IF352" s="770"/>
      <c r="IG352" s="770"/>
      <c r="IH352" s="770"/>
      <c r="II352" s="770"/>
      <c r="IJ352" s="770"/>
      <c r="IK352" s="770"/>
      <c r="IL352" s="770"/>
      <c r="IM352" s="770"/>
      <c r="IN352" s="770"/>
      <c r="IO352" s="296"/>
      <c r="IP352" s="770"/>
      <c r="IQ352" s="770"/>
      <c r="IR352" s="770"/>
      <c r="IS352" s="770"/>
      <c r="IT352" s="770"/>
      <c r="IU352" s="770"/>
      <c r="IV352" s="770"/>
      <c r="IW352" s="770"/>
      <c r="IX352" s="770"/>
      <c r="IY352" s="770"/>
      <c r="IZ352" s="770"/>
      <c r="JA352" s="770"/>
      <c r="JB352" s="770"/>
      <c r="JC352" s="770"/>
      <c r="JD352" s="302"/>
      <c r="JE352" s="770"/>
      <c r="JF352" s="770"/>
      <c r="JG352" s="770"/>
      <c r="JH352" s="770"/>
      <c r="JI352" s="770"/>
      <c r="JJ352" s="770"/>
      <c r="JK352" s="770"/>
      <c r="JL352" s="770"/>
      <c r="JM352" s="770"/>
      <c r="JN352" s="770"/>
      <c r="JO352" s="770"/>
      <c r="JP352" s="770"/>
      <c r="JQ352" s="770"/>
      <c r="JR352" s="770"/>
      <c r="JS352" s="770"/>
      <c r="JT352" s="766"/>
      <c r="JU352" s="766"/>
      <c r="JV352" s="766"/>
      <c r="JW352" s="766"/>
      <c r="JX352" s="770"/>
      <c r="JY352" s="770"/>
      <c r="JZ352" s="770"/>
      <c r="KA352" s="770"/>
      <c r="KB352" s="770"/>
      <c r="KC352" s="770"/>
      <c r="KD352" s="770"/>
      <c r="KE352" s="770"/>
      <c r="KF352" s="770"/>
      <c r="KG352" s="770"/>
      <c r="KH352" s="770"/>
      <c r="KI352" s="770"/>
      <c r="KJ352" s="770"/>
      <c r="KK352" s="770"/>
      <c r="KL352" s="770"/>
      <c r="KM352" s="770"/>
      <c r="KN352" s="770"/>
      <c r="KO352" s="770"/>
      <c r="KP352" s="770"/>
      <c r="KQ352" s="770"/>
      <c r="KR352" s="770"/>
      <c r="KS352" s="770"/>
      <c r="KT352" s="770"/>
      <c r="KU352" s="770"/>
      <c r="KV352" s="770"/>
      <c r="KW352" s="770"/>
      <c r="KX352" s="770"/>
      <c r="KY352" s="770"/>
      <c r="KZ352" s="770"/>
      <c r="LA352" s="770"/>
      <c r="LB352" s="770"/>
      <c r="LC352" s="770"/>
      <c r="LD352" s="770"/>
      <c r="LE352" s="770"/>
      <c r="LF352" s="770"/>
      <c r="LG352" s="770"/>
      <c r="LH352" s="770"/>
      <c r="LI352" s="770"/>
      <c r="LJ352" s="770"/>
      <c r="LK352" s="770"/>
      <c r="LL352" s="770"/>
      <c r="LM352" s="770"/>
      <c r="LN352" s="766"/>
      <c r="LO352" s="766"/>
      <c r="LP352" s="770"/>
      <c r="LQ352" s="770"/>
      <c r="LR352" s="770"/>
      <c r="LS352" s="770"/>
      <c r="LT352" s="770"/>
      <c r="LU352" s="770"/>
      <c r="LV352" s="770"/>
      <c r="LW352" s="770"/>
      <c r="LX352" s="769"/>
      <c r="LY352" s="766" t="str">
        <f t="shared" si="93"/>
        <v/>
      </c>
      <c r="LZ352" s="299"/>
      <c r="MA352" s="1709"/>
      <c r="MB352" s="1709"/>
      <c r="MC352" s="1679">
        <f t="shared" si="91"/>
        <v>0</v>
      </c>
      <c r="MD352" s="1709"/>
      <c r="ME352" s="1709"/>
      <c r="MF352" s="1709"/>
      <c r="MG352" s="1680">
        <f t="shared" si="97"/>
        <v>0</v>
      </c>
      <c r="MH352" s="770"/>
      <c r="MI352" s="302"/>
      <c r="MJ352" s="302"/>
      <c r="MK352" s="302"/>
      <c r="ML352" s="302"/>
      <c r="MM352" s="302"/>
      <c r="MN352" s="302"/>
      <c r="MO352" s="302"/>
      <c r="MP352" s="302"/>
      <c r="MQ352" s="302"/>
      <c r="MR352" s="302"/>
      <c r="MS352" s="302"/>
      <c r="MT352" s="302"/>
      <c r="MU352" s="302"/>
      <c r="MV352" s="302"/>
      <c r="MW352" s="302"/>
      <c r="MX352" s="302"/>
      <c r="MY352" s="1682">
        <f t="shared" si="98"/>
        <v>0</v>
      </c>
      <c r="MZ352" s="770"/>
      <c r="NA352" s="770"/>
      <c r="NB352" s="770"/>
      <c r="NC352" s="770"/>
      <c r="ND352" s="770"/>
      <c r="NE352" s="770"/>
      <c r="NF352" s="770"/>
      <c r="NG352" s="770"/>
      <c r="NH352" s="770"/>
      <c r="NI352" s="770"/>
      <c r="NJ352" s="770"/>
      <c r="NK352" s="770"/>
      <c r="NL352" s="770"/>
      <c r="NM352" s="770"/>
      <c r="NN352" s="770"/>
      <c r="NO352" s="770"/>
      <c r="NP352" s="770"/>
      <c r="NQ352" s="770"/>
      <c r="NR352" s="770"/>
      <c r="NS352" s="770"/>
      <c r="NT352" s="770"/>
      <c r="NU352" s="770"/>
      <c r="NV352" s="770"/>
      <c r="NW352" s="770"/>
      <c r="NX352" s="770"/>
      <c r="NY352" s="770"/>
      <c r="NZ352" s="770"/>
      <c r="OA352" s="770"/>
      <c r="OB352" s="770"/>
      <c r="OC352" s="770"/>
      <c r="OD352" s="770"/>
      <c r="OE352" s="770"/>
      <c r="OF352" s="770"/>
      <c r="OG352" s="770"/>
      <c r="OH352" s="770"/>
      <c r="OI352" s="770"/>
      <c r="OJ352" s="770"/>
      <c r="OK352" s="770"/>
      <c r="OL352" s="770"/>
      <c r="OM352" s="770"/>
      <c r="ON352" s="770"/>
      <c r="OO352" s="770"/>
      <c r="OP352" s="770"/>
      <c r="OQ352" s="770"/>
      <c r="OR352" s="770"/>
      <c r="OS352" s="770"/>
      <c r="OT352" s="770"/>
      <c r="OU352" s="770"/>
      <c r="OV352" s="770"/>
      <c r="OW352" s="770"/>
      <c r="OX352" s="770"/>
      <c r="OY352" s="770"/>
      <c r="OZ352" s="770"/>
      <c r="PA352" s="770"/>
      <c r="PB352" s="770"/>
      <c r="PC352" s="770"/>
      <c r="PD352" s="770"/>
      <c r="PE352" s="770"/>
      <c r="PF352" s="770"/>
      <c r="PG352" s="770"/>
      <c r="PH352" s="770"/>
      <c r="PI352" s="770"/>
      <c r="PJ352" s="770"/>
      <c r="PK352" s="770"/>
      <c r="PL352" s="770"/>
      <c r="PM352" s="770"/>
      <c r="PN352" s="770"/>
      <c r="PO352" s="770"/>
      <c r="PP352" s="770"/>
      <c r="PQ352" s="770"/>
      <c r="PR352" s="770"/>
      <c r="PS352" s="770"/>
      <c r="PT352" s="770"/>
      <c r="PU352" s="770"/>
      <c r="PV352" s="770"/>
      <c r="PW352" s="770"/>
      <c r="PX352" s="770"/>
      <c r="PY352" s="770"/>
      <c r="PZ352" s="770"/>
      <c r="QA352" s="770"/>
      <c r="QB352" s="770"/>
      <c r="QC352" s="770"/>
      <c r="QD352" s="770"/>
      <c r="QE352" s="770"/>
      <c r="QF352" s="770"/>
      <c r="QG352" s="770"/>
      <c r="QH352" s="770"/>
      <c r="QI352" s="770"/>
      <c r="QJ352" s="770"/>
      <c r="QK352" s="770"/>
      <c r="QL352" s="770"/>
      <c r="QM352" s="770"/>
      <c r="QN352" s="770"/>
      <c r="QO352" s="770"/>
      <c r="QP352" s="770"/>
      <c r="QQ352" s="770"/>
      <c r="QR352" s="770"/>
      <c r="QS352" s="770"/>
      <c r="QT352" s="770"/>
      <c r="QU352" s="770"/>
      <c r="QV352" s="770"/>
      <c r="QW352" s="770"/>
      <c r="QX352" s="770"/>
      <c r="QY352" s="770"/>
      <c r="QZ352" s="770"/>
      <c r="RA352" s="770"/>
      <c r="RB352" s="770"/>
      <c r="RC352" s="770"/>
      <c r="RD352" s="770"/>
      <c r="RE352" s="770"/>
      <c r="RF352" s="304"/>
      <c r="RG352" s="770"/>
      <c r="RH352" s="302"/>
      <c r="RI352" s="770"/>
      <c r="RJ352" s="770" t="s">
        <v>13485</v>
      </c>
      <c r="RK352" s="770" t="s">
        <v>13401</v>
      </c>
      <c r="RL352" s="1710" t="s">
        <v>1604</v>
      </c>
      <c r="RM352" s="12"/>
      <c r="RN352" s="1711"/>
      <c r="RO352" s="140" t="s">
        <v>607</v>
      </c>
      <c r="RP352" s="11"/>
      <c r="RQ352" s="11"/>
      <c r="RR352" s="771"/>
      <c r="RS352" s="767"/>
      <c r="RT352" s="11"/>
      <c r="RU352" s="11"/>
      <c r="RV352" s="771" t="s">
        <v>7419</v>
      </c>
      <c r="RW352" s="11" t="s">
        <v>7986</v>
      </c>
      <c r="RX352" s="11" t="s">
        <v>605</v>
      </c>
      <c r="RY352" s="11"/>
      <c r="RZ352" s="11"/>
      <c r="SA352" s="771"/>
      <c r="SB352" s="11"/>
      <c r="SC352" s="11"/>
    </row>
    <row r="353" spans="1:497" ht="12.75" hidden="1" customHeight="1" thickBot="1">
      <c r="A353" s="154" t="s">
        <v>14177</v>
      </c>
      <c r="B353" s="292" t="s">
        <v>7546</v>
      </c>
      <c r="C353" s="140" t="s">
        <v>607</v>
      </c>
      <c r="D353" s="94" t="s">
        <v>608</v>
      </c>
      <c r="E353" s="770" t="s">
        <v>609</v>
      </c>
      <c r="F353" s="770"/>
      <c r="G353" s="770"/>
      <c r="H353" s="770"/>
      <c r="I353" s="295"/>
      <c r="J353" s="94"/>
      <c r="K353" s="770"/>
      <c r="L353" s="770"/>
      <c r="M353" s="770"/>
      <c r="N353" s="770"/>
      <c r="O353" s="770"/>
      <c r="P353" s="770"/>
      <c r="Q353" s="1088"/>
      <c r="R353" s="297"/>
      <c r="S353" s="770"/>
      <c r="T353" s="770"/>
      <c r="U353" s="298"/>
      <c r="V353" s="770"/>
      <c r="W353" s="770"/>
      <c r="X353" s="296"/>
      <c r="Y353" s="766"/>
      <c r="Z353" s="770"/>
      <c r="AA353" s="770"/>
      <c r="AB353" s="770"/>
      <c r="AC353" s="770"/>
      <c r="AD353" s="770"/>
      <c r="AE353" s="770"/>
      <c r="AF353" s="770"/>
      <c r="AG353" s="770"/>
      <c r="AH353" s="770"/>
      <c r="AI353" s="770"/>
      <c r="AJ353" s="770"/>
      <c r="AK353" s="770" t="s">
        <v>1899</v>
      </c>
      <c r="AL353" s="299"/>
      <c r="AM353" s="300"/>
      <c r="AN353" s="301"/>
      <c r="AO353" s="766"/>
      <c r="AP353" s="766"/>
      <c r="AQ353" s="766"/>
      <c r="AR353" s="766"/>
      <c r="AS353" s="770"/>
      <c r="AT353" s="770"/>
      <c r="AU353" s="770"/>
      <c r="AV353" s="770"/>
      <c r="AW353" s="770"/>
      <c r="AX353" s="770"/>
      <c r="AY353" s="770"/>
      <c r="AZ353" s="770"/>
      <c r="BA353" s="770"/>
      <c r="BB353" s="770"/>
      <c r="BC353" s="770"/>
      <c r="BD353" s="770"/>
      <c r="BE353" s="770"/>
      <c r="BF353" s="302"/>
      <c r="BG353" s="302"/>
      <c r="BH353" s="770"/>
      <c r="BI353" s="770"/>
      <c r="BJ353" s="770"/>
      <c r="BK353" s="770"/>
      <c r="BL353" s="770"/>
      <c r="BM353" s="770" t="s">
        <v>1238</v>
      </c>
      <c r="BN353" s="770" t="s">
        <v>1256</v>
      </c>
      <c r="BO353" s="770"/>
      <c r="BP353" s="780"/>
      <c r="BQ353" s="772"/>
      <c r="BR353" s="774"/>
      <c r="BS353" s="766" t="s">
        <v>1257</v>
      </c>
      <c r="BT353" s="766"/>
      <c r="BU353" s="770"/>
      <c r="BV353" s="770"/>
      <c r="BW353" s="770"/>
      <c r="BX353" s="302"/>
      <c r="BY353" s="303"/>
      <c r="BZ353" s="770"/>
      <c r="CA353" s="302"/>
      <c r="CB353" s="302"/>
      <c r="CC353" s="770"/>
      <c r="CD353" s="770"/>
      <c r="CE353" s="770"/>
      <c r="CF353" s="304"/>
      <c r="CG353" s="321"/>
      <c r="CH353" s="770"/>
      <c r="CI353" s="770"/>
      <c r="CJ353" s="770"/>
      <c r="CK353" s="770"/>
      <c r="CL353" s="770"/>
      <c r="CM353" s="770"/>
      <c r="CN353" s="770"/>
      <c r="CO353" s="770"/>
      <c r="CP353" s="770"/>
      <c r="CQ353" s="770"/>
      <c r="CR353" s="770"/>
      <c r="CS353" s="302"/>
      <c r="CT353" s="770"/>
      <c r="CU353" s="305"/>
      <c r="CV353" s="770"/>
      <c r="CW353" s="770"/>
      <c r="CX353" s="770"/>
      <c r="CY353" s="770"/>
      <c r="CZ353" s="770"/>
      <c r="DA353" s="306"/>
      <c r="DB353" s="770"/>
      <c r="DC353" s="770"/>
      <c r="DD353" s="770"/>
      <c r="DE353" s="300"/>
      <c r="DF353" s="770"/>
      <c r="DG353" s="770"/>
      <c r="DH353" s="770"/>
      <c r="DI353" s="770"/>
      <c r="DJ353" s="770"/>
      <c r="DK353" s="770"/>
      <c r="DL353" s="770"/>
      <c r="DM353" s="770"/>
      <c r="DN353" s="322"/>
      <c r="DO353" s="770"/>
      <c r="DP353" s="770"/>
      <c r="DQ353" s="770"/>
      <c r="DR353" s="770"/>
      <c r="DS353" s="307"/>
      <c r="DT353" s="770"/>
      <c r="DU353" s="770"/>
      <c r="DV353" s="770"/>
      <c r="DW353" s="306"/>
      <c r="DX353" s="306"/>
      <c r="DY353" s="770"/>
      <c r="DZ353" s="770"/>
      <c r="EA353" s="770"/>
      <c r="EB353" s="770"/>
      <c r="EC353" s="770"/>
      <c r="ED353" s="770"/>
      <c r="EE353" s="770"/>
      <c r="EF353" s="770"/>
      <c r="EG353" s="770"/>
      <c r="EH353" s="770"/>
      <c r="EI353" s="770"/>
      <c r="EJ353" s="770"/>
      <c r="EK353" s="770"/>
      <c r="EL353" s="770"/>
      <c r="EM353" s="770"/>
      <c r="EN353" s="770"/>
      <c r="EO353" s="770"/>
      <c r="EP353" s="94"/>
      <c r="EQ353" s="770"/>
      <c r="ER353" s="770"/>
      <c r="ES353" s="770"/>
      <c r="ET353" s="770"/>
      <c r="EU353" s="770"/>
      <c r="EV353" s="770"/>
      <c r="EW353" s="770"/>
      <c r="EX353" s="770"/>
      <c r="EY353" s="770"/>
      <c r="EZ353" s="770"/>
      <c r="FA353" s="770"/>
      <c r="FB353" s="770"/>
      <c r="FC353" s="770"/>
      <c r="FD353" s="302"/>
      <c r="FE353" s="770"/>
      <c r="FF353" s="770"/>
      <c r="FG353" s="770"/>
      <c r="FH353" s="770" t="s">
        <v>1306</v>
      </c>
      <c r="FI353" s="770">
        <v>1</v>
      </c>
      <c r="FJ353" s="770" t="s">
        <v>1663</v>
      </c>
      <c r="FK353" s="770" t="s">
        <v>1665</v>
      </c>
      <c r="FL353" s="770" t="s">
        <v>1664</v>
      </c>
      <c r="FM353" s="147">
        <v>1500</v>
      </c>
      <c r="FN353" s="302">
        <v>250</v>
      </c>
      <c r="FO353" s="302">
        <v>120</v>
      </c>
      <c r="FP353" s="770" t="s">
        <v>1602</v>
      </c>
      <c r="FQ353" s="770" t="s">
        <v>1660</v>
      </c>
      <c r="FR353" s="770"/>
      <c r="FS353" s="770"/>
      <c r="FT353" s="770"/>
      <c r="FU353" s="770"/>
      <c r="FV353" s="770"/>
      <c r="FW353" s="770"/>
      <c r="FX353" s="770"/>
      <c r="FY353" s="770"/>
      <c r="FZ353" s="770"/>
      <c r="GA353" s="770"/>
      <c r="GB353" s="770"/>
      <c r="GC353" s="308"/>
      <c r="GD353" s="297"/>
      <c r="GE353" s="770"/>
      <c r="GF353" s="302"/>
      <c r="GG353" s="302"/>
      <c r="GH353" s="770"/>
      <c r="GI353" s="770"/>
      <c r="GJ353" s="770"/>
      <c r="GK353" s="770"/>
      <c r="GL353" s="770"/>
      <c r="GM353" s="770"/>
      <c r="GN353" s="309"/>
      <c r="GO353" s="770"/>
      <c r="GP353" s="770"/>
      <c r="GQ353" s="770"/>
      <c r="GR353" s="770"/>
      <c r="GS353" s="770"/>
      <c r="GT353" s="770"/>
      <c r="GU353" s="770"/>
      <c r="GV353" s="770"/>
      <c r="GW353" s="770"/>
      <c r="GX353" s="770"/>
      <c r="GY353" s="770"/>
      <c r="GZ353" s="770"/>
      <c r="HA353" s="770"/>
      <c r="HB353" s="770"/>
      <c r="HC353" s="770"/>
      <c r="HD353" s="770"/>
      <c r="HE353" s="770"/>
      <c r="HF353" s="770"/>
      <c r="HG353" s="770"/>
      <c r="HH353" s="770"/>
      <c r="HI353" s="770"/>
      <c r="HJ353" s="770"/>
      <c r="HK353" s="770"/>
      <c r="HL353" s="770"/>
      <c r="HM353" s="770"/>
      <c r="HN353" s="770"/>
      <c r="HO353" s="770"/>
      <c r="HP353" s="770"/>
      <c r="HQ353" s="770"/>
      <c r="HR353" s="770"/>
      <c r="HS353" s="770"/>
      <c r="HT353" s="770"/>
      <c r="HU353" s="770"/>
      <c r="HV353" s="770"/>
      <c r="HW353" s="770"/>
      <c r="HX353" s="770"/>
      <c r="HY353" s="770"/>
      <c r="HZ353" s="770"/>
      <c r="IA353" s="770"/>
      <c r="IB353" s="14" t="e">
        <f>IF(#REF!&gt;0,IF(#REF!&lt;=10000,"Y",""),"")</f>
        <v>#REF!</v>
      </c>
      <c r="IC353" s="770"/>
      <c r="ID353" s="770"/>
      <c r="IE353" s="770"/>
      <c r="IF353" s="770"/>
      <c r="IG353" s="770"/>
      <c r="IH353" s="770"/>
      <c r="II353" s="770"/>
      <c r="IJ353" s="770"/>
      <c r="IK353" s="770"/>
      <c r="IL353" s="770"/>
      <c r="IM353" s="770"/>
      <c r="IN353" s="770"/>
      <c r="IO353" s="296"/>
      <c r="IP353" s="770"/>
      <c r="IQ353" s="770"/>
      <c r="IR353" s="770"/>
      <c r="IS353" s="770"/>
      <c r="IT353" s="770"/>
      <c r="IU353" s="770"/>
      <c r="IV353" s="770"/>
      <c r="IW353" s="770"/>
      <c r="IX353" s="770"/>
      <c r="IY353" s="770"/>
      <c r="IZ353" s="770"/>
      <c r="JA353" s="770"/>
      <c r="JB353" s="770"/>
      <c r="JC353" s="770"/>
      <c r="JD353" s="302"/>
      <c r="JE353" s="770"/>
      <c r="JF353" s="770"/>
      <c r="JG353" s="770"/>
      <c r="JH353" s="770"/>
      <c r="JI353" s="770"/>
      <c r="JJ353" s="770"/>
      <c r="JK353" s="770"/>
      <c r="JL353" s="770"/>
      <c r="JM353" s="770"/>
      <c r="JN353" s="770"/>
      <c r="JO353" s="770"/>
      <c r="JP353" s="770"/>
      <c r="JQ353" s="770"/>
      <c r="JR353" s="770"/>
      <c r="JS353" s="770"/>
      <c r="JT353" s="766"/>
      <c r="JU353" s="766"/>
      <c r="JV353" s="766"/>
      <c r="JW353" s="766"/>
      <c r="JX353" s="770"/>
      <c r="JY353" s="770"/>
      <c r="JZ353" s="770"/>
      <c r="KA353" s="770"/>
      <c r="KB353" s="770"/>
      <c r="KC353" s="770"/>
      <c r="KD353" s="770"/>
      <c r="KE353" s="770"/>
      <c r="KF353" s="770"/>
      <c r="KG353" s="770"/>
      <c r="KH353" s="770"/>
      <c r="KI353" s="770"/>
      <c r="KJ353" s="770"/>
      <c r="KK353" s="770"/>
      <c r="KL353" s="770"/>
      <c r="KM353" s="770"/>
      <c r="KN353" s="770"/>
      <c r="KO353" s="770"/>
      <c r="KP353" s="770"/>
      <c r="KQ353" s="770"/>
      <c r="KR353" s="770"/>
      <c r="KS353" s="770"/>
      <c r="KT353" s="770"/>
      <c r="KU353" s="770"/>
      <c r="KV353" s="770"/>
      <c r="KW353" s="770"/>
      <c r="KX353" s="770"/>
      <c r="KY353" s="770"/>
      <c r="KZ353" s="770"/>
      <c r="LA353" s="770"/>
      <c r="LB353" s="770"/>
      <c r="LC353" s="770"/>
      <c r="LD353" s="770"/>
      <c r="LE353" s="770"/>
      <c r="LF353" s="770"/>
      <c r="LG353" s="770"/>
      <c r="LH353" s="770"/>
      <c r="LI353" s="770"/>
      <c r="LJ353" s="770"/>
      <c r="LK353" s="770"/>
      <c r="LL353" s="770"/>
      <c r="LM353" s="770"/>
      <c r="LN353" s="766"/>
      <c r="LO353" s="766"/>
      <c r="LP353" s="770"/>
      <c r="LQ353" s="770"/>
      <c r="LR353" s="770"/>
      <c r="LS353" s="770"/>
      <c r="LT353" s="770"/>
      <c r="LU353" s="770"/>
      <c r="LV353" s="770"/>
      <c r="LW353" s="770"/>
      <c r="LX353" s="769"/>
      <c r="LY353" s="766" t="str">
        <f t="shared" si="93"/>
        <v/>
      </c>
      <c r="LZ353" s="299"/>
      <c r="MA353" s="306"/>
      <c r="MB353" s="306"/>
      <c r="MC353" s="1679">
        <f t="shared" si="91"/>
        <v>0</v>
      </c>
      <c r="MD353" s="306"/>
      <c r="ME353" s="306"/>
      <c r="MF353" s="306"/>
      <c r="MG353" s="1680">
        <f t="shared" si="97"/>
        <v>0</v>
      </c>
      <c r="MH353" s="770"/>
      <c r="MI353" s="302"/>
      <c r="MJ353" s="302"/>
      <c r="MK353" s="302"/>
      <c r="ML353" s="302"/>
      <c r="MM353" s="302"/>
      <c r="MN353" s="302"/>
      <c r="MO353" s="302"/>
      <c r="MP353" s="302"/>
      <c r="MQ353" s="302"/>
      <c r="MR353" s="302"/>
      <c r="MS353" s="302"/>
      <c r="MT353" s="302"/>
      <c r="MU353" s="302"/>
      <c r="MV353" s="302"/>
      <c r="MW353" s="302"/>
      <c r="MX353" s="302"/>
      <c r="MY353" s="1682">
        <f t="shared" si="98"/>
        <v>0</v>
      </c>
      <c r="MZ353" s="770"/>
      <c r="NA353" s="770"/>
      <c r="NB353" s="770"/>
      <c r="NC353" s="770"/>
      <c r="ND353" s="770"/>
      <c r="NE353" s="770"/>
      <c r="NF353" s="770"/>
      <c r="NG353" s="770"/>
      <c r="NH353" s="770"/>
      <c r="NI353" s="770"/>
      <c r="NJ353" s="770"/>
      <c r="NK353" s="770"/>
      <c r="NL353" s="770"/>
      <c r="NM353" s="770"/>
      <c r="NN353" s="770"/>
      <c r="NO353" s="770"/>
      <c r="NP353" s="770"/>
      <c r="NQ353" s="770"/>
      <c r="NR353" s="770"/>
      <c r="NS353" s="770"/>
      <c r="NT353" s="770"/>
      <c r="NU353" s="770"/>
      <c r="NV353" s="770"/>
      <c r="NW353" s="770"/>
      <c r="NX353" s="770"/>
      <c r="NY353" s="770"/>
      <c r="NZ353" s="770"/>
      <c r="OA353" s="770"/>
      <c r="OB353" s="770"/>
      <c r="OC353" s="770"/>
      <c r="OD353" s="770"/>
      <c r="OE353" s="770"/>
      <c r="OF353" s="770"/>
      <c r="OG353" s="770"/>
      <c r="OH353" s="770"/>
      <c r="OI353" s="770"/>
      <c r="OJ353" s="770"/>
      <c r="OK353" s="770"/>
      <c r="OL353" s="770"/>
      <c r="OM353" s="770"/>
      <c r="ON353" s="770"/>
      <c r="OO353" s="770"/>
      <c r="OP353" s="770"/>
      <c r="OQ353" s="770"/>
      <c r="OR353" s="770"/>
      <c r="OS353" s="770"/>
      <c r="OT353" s="770"/>
      <c r="OU353" s="770"/>
      <c r="OV353" s="770"/>
      <c r="OW353" s="770"/>
      <c r="OX353" s="770"/>
      <c r="OY353" s="770"/>
      <c r="OZ353" s="770"/>
      <c r="PA353" s="770"/>
      <c r="PB353" s="770"/>
      <c r="PC353" s="770"/>
      <c r="PD353" s="770"/>
      <c r="PE353" s="770"/>
      <c r="PF353" s="770"/>
      <c r="PG353" s="770"/>
      <c r="PH353" s="770"/>
      <c r="PI353" s="770"/>
      <c r="PJ353" s="770"/>
      <c r="PK353" s="770"/>
      <c r="PL353" s="770"/>
      <c r="PM353" s="770"/>
      <c r="PN353" s="770"/>
      <c r="PO353" s="770"/>
      <c r="PP353" s="770"/>
      <c r="PQ353" s="770"/>
      <c r="PR353" s="770"/>
      <c r="PS353" s="770"/>
      <c r="PT353" s="770"/>
      <c r="PU353" s="770"/>
      <c r="PV353" s="770"/>
      <c r="PW353" s="770"/>
      <c r="PX353" s="770"/>
      <c r="PY353" s="770"/>
      <c r="PZ353" s="770"/>
      <c r="QA353" s="770"/>
      <c r="QB353" s="770"/>
      <c r="QC353" s="770"/>
      <c r="QD353" s="770"/>
      <c r="QE353" s="770"/>
      <c r="QF353" s="770"/>
      <c r="QG353" s="770"/>
      <c r="QH353" s="770"/>
      <c r="QI353" s="770"/>
      <c r="QJ353" s="770"/>
      <c r="QK353" s="770"/>
      <c r="QL353" s="770"/>
      <c r="QM353" s="770"/>
      <c r="QN353" s="770"/>
      <c r="QO353" s="770"/>
      <c r="QP353" s="770"/>
      <c r="QQ353" s="770"/>
      <c r="QR353" s="770"/>
      <c r="QS353" s="770"/>
      <c r="QT353" s="770"/>
      <c r="QU353" s="770"/>
      <c r="QV353" s="770"/>
      <c r="QW353" s="770"/>
      <c r="QX353" s="770"/>
      <c r="QY353" s="770"/>
      <c r="QZ353" s="770"/>
      <c r="RA353" s="770"/>
      <c r="RB353" s="770"/>
      <c r="RC353" s="770"/>
      <c r="RD353" s="770"/>
      <c r="RE353" s="770"/>
      <c r="RF353" s="304"/>
      <c r="RG353" s="770"/>
      <c r="RH353" s="302"/>
      <c r="RI353" s="770"/>
      <c r="RJ353" s="770" t="s">
        <v>2185</v>
      </c>
      <c r="RK353" s="770" t="s">
        <v>13401</v>
      </c>
      <c r="RL353" s="1710" t="s">
        <v>1604</v>
      </c>
      <c r="RM353" s="12"/>
      <c r="RN353" s="1711"/>
      <c r="RO353" s="140" t="s">
        <v>607</v>
      </c>
      <c r="RP353" s="11"/>
      <c r="RQ353" s="11"/>
      <c r="RR353" s="771"/>
      <c r="RS353" s="767"/>
      <c r="RT353" s="11"/>
      <c r="RU353" s="11"/>
      <c r="RV353" s="771" t="s">
        <v>7419</v>
      </c>
      <c r="RW353" s="11" t="s">
        <v>7644</v>
      </c>
      <c r="RX353" s="11" t="s">
        <v>607</v>
      </c>
      <c r="RY353" s="11"/>
      <c r="RZ353" s="11"/>
      <c r="SA353" s="771"/>
      <c r="SB353" s="11"/>
      <c r="SC353" s="11"/>
    </row>
    <row r="354" spans="1:497" ht="12.75" hidden="1" customHeight="1" thickBot="1">
      <c r="A354" s="154" t="s">
        <v>7419</v>
      </c>
      <c r="B354" s="288" t="s">
        <v>7645</v>
      </c>
      <c r="C354" s="140" t="s">
        <v>610</v>
      </c>
      <c r="D354" s="770" t="s">
        <v>5561</v>
      </c>
      <c r="E354" s="770" t="s">
        <v>609</v>
      </c>
      <c r="F354" s="770" t="s">
        <v>20</v>
      </c>
      <c r="G354" s="770" t="s">
        <v>18</v>
      </c>
      <c r="H354" s="770"/>
      <c r="I354" s="295"/>
      <c r="J354" s="770"/>
      <c r="K354" s="770"/>
      <c r="L354" s="770"/>
      <c r="M354" s="770"/>
      <c r="N354" s="770"/>
      <c r="O354" s="770"/>
      <c r="P354" s="770"/>
      <c r="Q354" s="1088"/>
      <c r="R354" s="297"/>
      <c r="S354" s="770"/>
      <c r="T354" s="770"/>
      <c r="U354" s="298"/>
      <c r="V354" s="770"/>
      <c r="W354" s="770"/>
      <c r="X354" s="296"/>
      <c r="Y354" s="766"/>
      <c r="Z354" s="770"/>
      <c r="AA354" s="770"/>
      <c r="AB354" s="770"/>
      <c r="AC354" s="770"/>
      <c r="AD354" s="770"/>
      <c r="AE354" s="770"/>
      <c r="AF354" s="770"/>
      <c r="AG354" s="770"/>
      <c r="AH354" s="770"/>
      <c r="AI354" s="770"/>
      <c r="AJ354" s="770"/>
      <c r="AK354" s="770" t="s">
        <v>1097</v>
      </c>
      <c r="AL354" s="299">
        <v>4</v>
      </c>
      <c r="AM354" s="300">
        <v>4</v>
      </c>
      <c r="AN354" s="301">
        <v>1</v>
      </c>
      <c r="AO354" s="766" t="s">
        <v>1122</v>
      </c>
      <c r="AP354" s="766"/>
      <c r="AQ354" s="766"/>
      <c r="AR354" s="766"/>
      <c r="AS354" s="770"/>
      <c r="AT354" s="770"/>
      <c r="AU354" s="770"/>
      <c r="AV354" s="770"/>
      <c r="AW354" s="770"/>
      <c r="AX354" s="13"/>
      <c r="AY354" s="770"/>
      <c r="AZ354" s="770"/>
      <c r="BA354" s="770"/>
      <c r="BB354" s="770"/>
      <c r="BC354" s="770" t="s">
        <v>796</v>
      </c>
      <c r="BD354" s="770" t="s">
        <v>1207</v>
      </c>
      <c r="BE354" s="770" t="s">
        <v>1214</v>
      </c>
      <c r="BF354" s="302"/>
      <c r="BG354" s="302"/>
      <c r="BH354" s="770"/>
      <c r="BI354" s="770"/>
      <c r="BJ354" s="770"/>
      <c r="BK354" s="770" t="s">
        <v>1095</v>
      </c>
      <c r="BL354" s="770" t="s">
        <v>5564</v>
      </c>
      <c r="BM354" s="766" t="s">
        <v>1096</v>
      </c>
      <c r="BN354" s="770" t="s">
        <v>1230</v>
      </c>
      <c r="BO354" s="766" t="s">
        <v>1239</v>
      </c>
      <c r="BP354" s="1105"/>
      <c r="BQ354" s="1107"/>
      <c r="BR354" s="1106"/>
      <c r="BS354" s="6"/>
      <c r="BT354" s="766" t="s">
        <v>2040</v>
      </c>
      <c r="BU354" s="770" t="s">
        <v>1241</v>
      </c>
      <c r="BV354" s="770" t="s">
        <v>1247</v>
      </c>
      <c r="BW354" s="769"/>
      <c r="BX354" s="302"/>
      <c r="BY354" s="303"/>
      <c r="BZ354" s="770"/>
      <c r="CA354" s="302"/>
      <c r="CB354" s="302"/>
      <c r="CC354" s="770"/>
      <c r="CD354" s="770"/>
      <c r="CE354" s="770"/>
      <c r="CF354" s="770"/>
      <c r="CG354" s="770"/>
      <c r="CH354" s="770"/>
      <c r="CI354" s="770"/>
      <c r="CJ354" s="770"/>
      <c r="CK354" s="770"/>
      <c r="CL354" s="770"/>
      <c r="CM354" s="770"/>
      <c r="CN354" s="770"/>
      <c r="CO354" s="770"/>
      <c r="CP354" s="770"/>
      <c r="CQ354" s="770"/>
      <c r="CR354" s="770"/>
      <c r="CS354" s="302"/>
      <c r="CT354" s="770"/>
      <c r="CU354" s="305"/>
      <c r="CV354" s="770"/>
      <c r="CW354" s="770"/>
      <c r="CX354" s="770"/>
      <c r="CY354" s="770"/>
      <c r="CZ354" s="770"/>
      <c r="DA354" s="770"/>
      <c r="DB354" s="770"/>
      <c r="DC354" s="770"/>
      <c r="DD354" s="770"/>
      <c r="DE354" s="770"/>
      <c r="DF354" s="770"/>
      <c r="DG354" s="770"/>
      <c r="DH354" s="770"/>
      <c r="DI354" s="770"/>
      <c r="DJ354" s="770"/>
      <c r="DK354" s="770"/>
      <c r="DL354" s="770"/>
      <c r="DM354" s="770"/>
      <c r="DN354" s="770"/>
      <c r="DO354" s="770"/>
      <c r="DP354" s="770"/>
      <c r="DQ354" s="770"/>
      <c r="DR354" s="770"/>
      <c r="DS354" s="307"/>
      <c r="DT354" s="770"/>
      <c r="DU354" s="770"/>
      <c r="DV354" s="770"/>
      <c r="DW354" s="306"/>
      <c r="DX354" s="306"/>
      <c r="DY354" s="770"/>
      <c r="DZ354" s="770"/>
      <c r="EA354" s="770"/>
      <c r="EB354" s="770"/>
      <c r="EC354" s="770"/>
      <c r="ED354" s="770"/>
      <c r="EE354" s="770"/>
      <c r="EF354" s="770"/>
      <c r="EG354" s="770"/>
      <c r="EH354" s="770"/>
      <c r="EI354" s="770"/>
      <c r="EJ354" s="770"/>
      <c r="EK354" s="770"/>
      <c r="EL354" s="770"/>
      <c r="EM354" s="770"/>
      <c r="EN354" s="770"/>
      <c r="EO354" s="770"/>
      <c r="EP354" s="770"/>
      <c r="EQ354" s="770"/>
      <c r="ER354" s="770"/>
      <c r="ES354" s="770"/>
      <c r="ET354" s="770"/>
      <c r="EU354" s="770"/>
      <c r="EV354" s="770"/>
      <c r="EW354" s="770"/>
      <c r="EX354" s="770"/>
      <c r="EY354" s="770"/>
      <c r="EZ354" s="770"/>
      <c r="FA354" s="770"/>
      <c r="FB354" s="770"/>
      <c r="FC354" s="770"/>
      <c r="FD354" s="302"/>
      <c r="FE354" s="770"/>
      <c r="FF354" s="770"/>
      <c r="FG354" s="770"/>
      <c r="FH354" s="770"/>
      <c r="FI354" s="770"/>
      <c r="FJ354" s="770"/>
      <c r="FK354" s="770"/>
      <c r="FL354" s="770"/>
      <c r="FM354" s="147"/>
      <c r="FN354" s="302"/>
      <c r="FO354" s="302"/>
      <c r="FP354" s="770"/>
      <c r="FQ354" s="770"/>
      <c r="FR354" s="770" t="s">
        <v>1207</v>
      </c>
      <c r="FS354" s="770" t="s">
        <v>1208</v>
      </c>
      <c r="FT354" s="770" t="s">
        <v>1208</v>
      </c>
      <c r="FU354" s="770"/>
      <c r="FV354" s="770"/>
      <c r="FW354" s="770" t="s">
        <v>1208</v>
      </c>
      <c r="FX354" s="770" t="s">
        <v>1208</v>
      </c>
      <c r="FY354" s="770"/>
      <c r="FZ354" s="770"/>
      <c r="GA354" s="770"/>
      <c r="GB354" s="770"/>
      <c r="GC354" s="308" t="s">
        <v>1663</v>
      </c>
      <c r="GD354" s="297"/>
      <c r="GE354" s="770" t="s">
        <v>1207</v>
      </c>
      <c r="GF354" s="302">
        <v>2600</v>
      </c>
      <c r="GG354" s="302">
        <f>GF354*12</f>
        <v>31200</v>
      </c>
      <c r="GH354" s="770"/>
      <c r="GI354" s="770"/>
      <c r="GJ354" s="770"/>
      <c r="GK354" s="770"/>
      <c r="GL354" s="770"/>
      <c r="GM354" s="770"/>
      <c r="GN354" s="309"/>
      <c r="GO354" s="770"/>
      <c r="GP354" s="770"/>
      <c r="GQ354" s="770"/>
      <c r="GR354" s="770"/>
      <c r="GS354" s="770"/>
      <c r="GT354" s="770"/>
      <c r="GU354" s="770"/>
      <c r="GV354" s="770"/>
      <c r="GW354" s="770"/>
      <c r="GX354" s="770"/>
      <c r="GY354" s="770"/>
      <c r="GZ354" s="770"/>
      <c r="HA354" s="770"/>
      <c r="HB354" s="770"/>
      <c r="HC354" s="770"/>
      <c r="HD354" s="770"/>
      <c r="HE354" s="770"/>
      <c r="HF354" s="770"/>
      <c r="HG354" s="770"/>
      <c r="HH354" s="770"/>
      <c r="HI354" s="770"/>
      <c r="HJ354" s="770"/>
      <c r="HK354" s="770"/>
      <c r="HL354" s="770"/>
      <c r="HM354" s="770"/>
      <c r="HN354" s="770"/>
      <c r="HO354" s="770"/>
      <c r="HP354" s="770"/>
      <c r="HQ354" s="770"/>
      <c r="HR354" s="770"/>
      <c r="HS354" s="770"/>
      <c r="HT354" s="770"/>
      <c r="HU354" s="770"/>
      <c r="HV354" s="770"/>
      <c r="HW354" s="770"/>
      <c r="HX354" s="770"/>
      <c r="HY354" s="770"/>
      <c r="HZ354" s="770"/>
      <c r="IA354" s="770"/>
      <c r="IB354" s="14" t="e">
        <f>IF(#REF!&gt;0,IF(#REF!&lt;=10000,"Y",""),"")</f>
        <v>#REF!</v>
      </c>
      <c r="IC354" s="770"/>
      <c r="ID354" s="770"/>
      <c r="IE354" s="770"/>
      <c r="IF354" s="770" t="s">
        <v>5561</v>
      </c>
      <c r="IG354" s="770" t="s">
        <v>18</v>
      </c>
      <c r="IH354" s="770"/>
      <c r="II354" s="770"/>
      <c r="IJ354" s="770"/>
      <c r="IK354" s="766" t="s">
        <v>1888</v>
      </c>
      <c r="IL354" s="770" t="s">
        <v>5564</v>
      </c>
      <c r="IM354" s="770"/>
      <c r="IN354" s="770" t="s">
        <v>5564</v>
      </c>
      <c r="IO354" s="296">
        <v>25816</v>
      </c>
      <c r="IP354" s="770" t="s">
        <v>1263</v>
      </c>
      <c r="IQ354" s="769" t="s">
        <v>5498</v>
      </c>
      <c r="IR354" s="770" t="s">
        <v>2716</v>
      </c>
      <c r="IS354" s="770" t="s">
        <v>951</v>
      </c>
      <c r="IT354" s="770"/>
      <c r="IU354" s="770"/>
      <c r="IV354" s="770"/>
      <c r="IW354" s="770" t="s">
        <v>13484</v>
      </c>
      <c r="IX354" s="770"/>
      <c r="IY354" s="770" t="s">
        <v>1665</v>
      </c>
      <c r="IZ354" s="770"/>
      <c r="JA354" s="770"/>
      <c r="JB354" s="770"/>
      <c r="JC354" s="770"/>
      <c r="JD354" s="302">
        <v>2600</v>
      </c>
      <c r="JE354" s="770"/>
      <c r="JF354" s="770"/>
      <c r="JG354" s="770"/>
      <c r="JH354" s="770"/>
      <c r="JI354" s="770"/>
      <c r="JJ354" s="770"/>
      <c r="JK354" s="770"/>
      <c r="JL354" s="770"/>
      <c r="JM354" s="770"/>
      <c r="JN354" s="770"/>
      <c r="JO354" s="770"/>
      <c r="JP354" s="770"/>
      <c r="JQ354" s="770"/>
      <c r="JR354" s="770"/>
      <c r="JS354" s="770"/>
      <c r="JT354" s="766"/>
      <c r="JU354" s="766"/>
      <c r="JV354" s="766"/>
      <c r="JW354" s="766"/>
      <c r="JX354" s="770"/>
      <c r="JY354" s="770"/>
      <c r="JZ354" s="770"/>
      <c r="KA354" s="770"/>
      <c r="KB354" s="770"/>
      <c r="KC354" s="770"/>
      <c r="KD354" s="770"/>
      <c r="KE354" s="770"/>
      <c r="KF354" s="770"/>
      <c r="KG354" s="770"/>
      <c r="KH354" s="770"/>
      <c r="KI354" s="770"/>
      <c r="KJ354" s="770"/>
      <c r="KK354" s="770"/>
      <c r="KL354" s="770"/>
      <c r="KM354" s="770"/>
      <c r="KN354" s="770"/>
      <c r="KO354" s="770"/>
      <c r="KP354" s="770"/>
      <c r="KQ354" s="770"/>
      <c r="KR354" s="770"/>
      <c r="KS354" s="770"/>
      <c r="KT354" s="770"/>
      <c r="KU354" s="770"/>
      <c r="KV354" s="770"/>
      <c r="KW354" s="770"/>
      <c r="KX354" s="770"/>
      <c r="KY354" s="770"/>
      <c r="KZ354" s="770"/>
      <c r="LA354" s="770"/>
      <c r="LB354" s="770"/>
      <c r="LC354" s="770"/>
      <c r="LD354" s="770"/>
      <c r="LE354" s="770"/>
      <c r="LF354" s="770"/>
      <c r="LG354" s="770"/>
      <c r="LH354" s="770"/>
      <c r="LI354" s="770"/>
      <c r="LJ354" s="770"/>
      <c r="LK354" s="770"/>
      <c r="LL354" s="770"/>
      <c r="LM354" s="770"/>
      <c r="LN354" s="766"/>
      <c r="LO354" s="766"/>
      <c r="LP354" s="770"/>
      <c r="LQ354" s="770"/>
      <c r="LR354" s="770"/>
      <c r="LS354" s="770"/>
      <c r="LT354" s="770"/>
      <c r="LU354" s="770"/>
      <c r="LV354" s="770"/>
      <c r="LW354" s="770"/>
      <c r="LX354" s="769"/>
      <c r="LY354" s="766" t="str">
        <f t="shared" si="93"/>
        <v/>
      </c>
      <c r="LZ354" s="299"/>
      <c r="MA354" s="1709"/>
      <c r="MB354" s="1709"/>
      <c r="MC354" s="1679">
        <f t="shared" si="91"/>
        <v>0</v>
      </c>
      <c r="MD354" s="1709"/>
      <c r="ME354" s="1709"/>
      <c r="MF354" s="1709"/>
      <c r="MG354" s="1680">
        <f t="shared" si="97"/>
        <v>0</v>
      </c>
      <c r="MH354" s="770"/>
      <c r="MI354" s="302"/>
      <c r="MJ354" s="302"/>
      <c r="MK354" s="302"/>
      <c r="ML354" s="302"/>
      <c r="MM354" s="302"/>
      <c r="MN354" s="302"/>
      <c r="MO354" s="302"/>
      <c r="MP354" s="302"/>
      <c r="MQ354" s="302"/>
      <c r="MR354" s="302"/>
      <c r="MS354" s="302"/>
      <c r="MT354" s="302"/>
      <c r="MU354" s="302"/>
      <c r="MV354" s="302"/>
      <c r="MW354" s="302"/>
      <c r="MX354" s="302"/>
      <c r="MY354" s="1682">
        <f t="shared" si="98"/>
        <v>0</v>
      </c>
      <c r="MZ354" s="770"/>
      <c r="NA354" s="770"/>
      <c r="NB354" s="770"/>
      <c r="NC354" s="770"/>
      <c r="ND354" s="770"/>
      <c r="NE354" s="770"/>
      <c r="NF354" s="770"/>
      <c r="NG354" s="770"/>
      <c r="NH354" s="770"/>
      <c r="NI354" s="770"/>
      <c r="NJ354" s="770"/>
      <c r="NK354" s="770"/>
      <c r="NL354" s="770"/>
      <c r="NM354" s="770"/>
      <c r="NN354" s="770"/>
      <c r="NO354" s="770"/>
      <c r="NP354" s="770"/>
      <c r="NQ354" s="770"/>
      <c r="NR354" s="770"/>
      <c r="NS354" s="770"/>
      <c r="NT354" s="770"/>
      <c r="NU354" s="770"/>
      <c r="NV354" s="770"/>
      <c r="NW354" s="770"/>
      <c r="NX354" s="770"/>
      <c r="NY354" s="770"/>
      <c r="NZ354" s="770"/>
      <c r="OA354" s="770"/>
      <c r="OB354" s="770"/>
      <c r="OC354" s="770"/>
      <c r="OD354" s="770"/>
      <c r="OE354" s="770"/>
      <c r="OF354" s="770"/>
      <c r="OG354" s="770"/>
      <c r="OH354" s="770"/>
      <c r="OI354" s="770"/>
      <c r="OJ354" s="770"/>
      <c r="OK354" s="770"/>
      <c r="OL354" s="770"/>
      <c r="OM354" s="770"/>
      <c r="ON354" s="770"/>
      <c r="OO354" s="770"/>
      <c r="OP354" s="770"/>
      <c r="OQ354" s="770"/>
      <c r="OR354" s="770"/>
      <c r="OS354" s="770"/>
      <c r="OT354" s="770"/>
      <c r="OU354" s="770"/>
      <c r="OV354" s="770"/>
      <c r="OW354" s="770"/>
      <c r="OX354" s="770"/>
      <c r="OY354" s="770"/>
      <c r="OZ354" s="770"/>
      <c r="PA354" s="770"/>
      <c r="PB354" s="770"/>
      <c r="PC354" s="770"/>
      <c r="PD354" s="770"/>
      <c r="PE354" s="770"/>
      <c r="PF354" s="770"/>
      <c r="PG354" s="770"/>
      <c r="PH354" s="770"/>
      <c r="PI354" s="770"/>
      <c r="PJ354" s="770"/>
      <c r="PK354" s="770"/>
      <c r="PL354" s="770"/>
      <c r="PM354" s="770"/>
      <c r="PN354" s="770"/>
      <c r="PO354" s="770"/>
      <c r="PP354" s="770"/>
      <c r="PQ354" s="770"/>
      <c r="PR354" s="770"/>
      <c r="PS354" s="770"/>
      <c r="PT354" s="770"/>
      <c r="PU354" s="770"/>
      <c r="PV354" s="770"/>
      <c r="PW354" s="770"/>
      <c r="PX354" s="770"/>
      <c r="PY354" s="770"/>
      <c r="PZ354" s="770"/>
      <c r="QA354" s="770"/>
      <c r="QB354" s="770"/>
      <c r="QC354" s="770"/>
      <c r="QD354" s="770"/>
      <c r="QE354" s="770"/>
      <c r="QF354" s="770"/>
      <c r="QG354" s="770"/>
      <c r="QH354" s="770"/>
      <c r="QI354" s="770"/>
      <c r="QJ354" s="770"/>
      <c r="QK354" s="770"/>
      <c r="QL354" s="770"/>
      <c r="QM354" s="770"/>
      <c r="QN354" s="770"/>
      <c r="QO354" s="770"/>
      <c r="QP354" s="770"/>
      <c r="QQ354" s="770"/>
      <c r="QR354" s="770"/>
      <c r="QS354" s="770"/>
      <c r="QT354" s="770"/>
      <c r="QU354" s="770"/>
      <c r="QV354" s="770"/>
      <c r="QW354" s="770"/>
      <c r="QX354" s="770"/>
      <c r="QY354" s="770"/>
      <c r="QZ354" s="770"/>
      <c r="RA354" s="770"/>
      <c r="RB354" s="770"/>
      <c r="RC354" s="770"/>
      <c r="RD354" s="770"/>
      <c r="RE354" s="770"/>
      <c r="RF354" s="304"/>
      <c r="RG354" s="770"/>
      <c r="RH354" s="302"/>
      <c r="RI354" s="770"/>
      <c r="RJ354" s="770"/>
      <c r="RK354" s="770"/>
      <c r="RL354" s="1710"/>
      <c r="RM354" s="12"/>
      <c r="RN354" s="1711"/>
      <c r="RO354" s="140" t="s">
        <v>610</v>
      </c>
      <c r="RP354" s="11"/>
      <c r="RQ354" s="11"/>
      <c r="RR354" s="771"/>
      <c r="RS354" s="767"/>
      <c r="RT354" s="11"/>
      <c r="RU354" s="11"/>
      <c r="RV354" s="771" t="s">
        <v>8092</v>
      </c>
      <c r="RW354" s="11" t="s">
        <v>7545</v>
      </c>
      <c r="RX354" s="11" t="s">
        <v>607</v>
      </c>
      <c r="RY354" s="11"/>
      <c r="RZ354" s="11" t="s">
        <v>2209</v>
      </c>
      <c r="SA354" s="771"/>
      <c r="SB354" s="11"/>
      <c r="SC354" s="11"/>
    </row>
    <row r="355" spans="1:497" ht="12.75" hidden="1" customHeight="1">
      <c r="A355" s="154" t="s">
        <v>14178</v>
      </c>
      <c r="B355" s="292" t="s">
        <v>7646</v>
      </c>
      <c r="C355" s="140" t="s">
        <v>610</v>
      </c>
      <c r="D355" s="770" t="s">
        <v>5561</v>
      </c>
      <c r="E355" s="770" t="s">
        <v>609</v>
      </c>
      <c r="F355" s="770"/>
      <c r="G355" s="770"/>
      <c r="H355" s="770"/>
      <c r="I355" s="295"/>
      <c r="J355" s="94"/>
      <c r="K355" s="770"/>
      <c r="L355" s="770"/>
      <c r="M355" s="770"/>
      <c r="N355" s="770"/>
      <c r="O355" s="770"/>
      <c r="P355" s="770"/>
      <c r="Q355" s="1088"/>
      <c r="R355" s="297"/>
      <c r="S355" s="770"/>
      <c r="T355" s="770"/>
      <c r="U355" s="298"/>
      <c r="V355" s="770"/>
      <c r="W355" s="770"/>
      <c r="X355" s="296"/>
      <c r="Y355" s="766"/>
      <c r="Z355" s="770"/>
      <c r="AA355" s="770"/>
      <c r="AB355" s="770"/>
      <c r="AC355" s="770"/>
      <c r="AD355" s="770"/>
      <c r="AE355" s="770"/>
      <c r="AF355" s="770"/>
      <c r="AG355" s="770"/>
      <c r="AH355" s="770"/>
      <c r="AI355" s="770"/>
      <c r="AJ355" s="770"/>
      <c r="AK355" s="770" t="s">
        <v>3214</v>
      </c>
      <c r="AL355" s="299"/>
      <c r="AM355" s="300"/>
      <c r="AN355" s="301"/>
      <c r="AO355" s="766"/>
      <c r="AP355" s="766"/>
      <c r="AQ355" s="766"/>
      <c r="AR355" s="766"/>
      <c r="AS355" s="770"/>
      <c r="AT355" s="770"/>
      <c r="AU355" s="770"/>
      <c r="AV355" s="770"/>
      <c r="AW355" s="770"/>
      <c r="AX355" s="770"/>
      <c r="AY355" s="770"/>
      <c r="AZ355" s="770"/>
      <c r="BA355" s="770"/>
      <c r="BB355" s="770"/>
      <c r="BC355" s="770"/>
      <c r="BD355" s="770"/>
      <c r="BE355" s="770"/>
      <c r="BF355" s="302"/>
      <c r="BG355" s="302"/>
      <c r="BH355" s="770"/>
      <c r="BI355" s="770"/>
      <c r="BJ355" s="770"/>
      <c r="BK355" s="770"/>
      <c r="BL355" s="770"/>
      <c r="BM355" s="770" t="s">
        <v>1238</v>
      </c>
      <c r="BN355" s="770" t="s">
        <v>1263</v>
      </c>
      <c r="BO355" s="770"/>
      <c r="BP355" s="780"/>
      <c r="BQ355" s="772"/>
      <c r="BR355" s="774"/>
      <c r="BS355" s="6" t="s">
        <v>1149</v>
      </c>
      <c r="BT355" s="766"/>
      <c r="BU355" s="770"/>
      <c r="BV355" s="770"/>
      <c r="BW355" s="770"/>
      <c r="BX355" s="302"/>
      <c r="BY355" s="303"/>
      <c r="BZ355" s="770"/>
      <c r="CA355" s="302"/>
      <c r="CB355" s="302"/>
      <c r="CC355" s="770"/>
      <c r="CD355" s="770"/>
      <c r="CE355" s="770"/>
      <c r="CF355" s="304"/>
      <c r="CG355" s="321"/>
      <c r="CH355" s="770"/>
      <c r="CI355" s="770"/>
      <c r="CJ355" s="770"/>
      <c r="CK355" s="770"/>
      <c r="CL355" s="770"/>
      <c r="CM355" s="770"/>
      <c r="CN355" s="770"/>
      <c r="CO355" s="770"/>
      <c r="CP355" s="770"/>
      <c r="CQ355" s="770"/>
      <c r="CR355" s="770"/>
      <c r="CS355" s="302"/>
      <c r="CT355" s="770"/>
      <c r="CU355" s="305"/>
      <c r="CV355" s="770"/>
      <c r="CW355" s="770"/>
      <c r="CX355" s="770"/>
      <c r="CY355" s="770"/>
      <c r="CZ355" s="770"/>
      <c r="DA355" s="306"/>
      <c r="DB355" s="770"/>
      <c r="DC355" s="770"/>
      <c r="DD355" s="770"/>
      <c r="DE355" s="300"/>
      <c r="DF355" s="770"/>
      <c r="DG355" s="770"/>
      <c r="DH355" s="770"/>
      <c r="DI355" s="770"/>
      <c r="DJ355" s="770"/>
      <c r="DK355" s="770"/>
      <c r="DL355" s="770"/>
      <c r="DM355" s="770"/>
      <c r="DN355" s="322"/>
      <c r="DO355" s="770"/>
      <c r="DP355" s="770"/>
      <c r="DQ355" s="770"/>
      <c r="DR355" s="770"/>
      <c r="DS355" s="307"/>
      <c r="DT355" s="770"/>
      <c r="DU355" s="770"/>
      <c r="DV355" s="770"/>
      <c r="DW355" s="306"/>
      <c r="DX355" s="306"/>
      <c r="DY355" s="770"/>
      <c r="DZ355" s="770"/>
      <c r="EA355" s="770"/>
      <c r="EB355" s="770"/>
      <c r="EC355" s="770"/>
      <c r="ED355" s="770"/>
      <c r="EE355" s="770"/>
      <c r="EF355" s="770"/>
      <c r="EG355" s="770"/>
      <c r="EH355" s="770"/>
      <c r="EI355" s="770"/>
      <c r="EJ355" s="770"/>
      <c r="EK355" s="770"/>
      <c r="EL355" s="770"/>
      <c r="EM355" s="770"/>
      <c r="EN355" s="770"/>
      <c r="EO355" s="770"/>
      <c r="EP355" s="94"/>
      <c r="EQ355" s="770"/>
      <c r="ER355" s="770"/>
      <c r="ES355" s="770"/>
      <c r="ET355" s="770"/>
      <c r="EU355" s="770"/>
      <c r="EV355" s="770"/>
      <c r="EW355" s="770"/>
      <c r="EX355" s="770"/>
      <c r="EY355" s="770"/>
      <c r="EZ355" s="770"/>
      <c r="FA355" s="770"/>
      <c r="FB355" s="770"/>
      <c r="FC355" s="770"/>
      <c r="FD355" s="302"/>
      <c r="FE355" s="770"/>
      <c r="FF355" s="770"/>
      <c r="FG355" s="770"/>
      <c r="FH355" s="770" t="s">
        <v>1263</v>
      </c>
      <c r="FI355" s="770">
        <v>1</v>
      </c>
      <c r="FJ355" s="770" t="s">
        <v>1663</v>
      </c>
      <c r="FK355" s="770" t="s">
        <v>1665</v>
      </c>
      <c r="FL355" s="770" t="s">
        <v>1666</v>
      </c>
      <c r="FM355" s="775"/>
      <c r="FN355" s="302">
        <v>90</v>
      </c>
      <c r="FO355" s="302">
        <v>100</v>
      </c>
      <c r="FP355" s="770"/>
      <c r="FQ355" s="770"/>
      <c r="FR355" s="770" t="s">
        <v>1207</v>
      </c>
      <c r="FS355" s="770" t="s">
        <v>1208</v>
      </c>
      <c r="FT355" s="770" t="s">
        <v>1208</v>
      </c>
      <c r="FU355" s="770"/>
      <c r="FV355" s="770"/>
      <c r="FW355" s="770" t="s">
        <v>1208</v>
      </c>
      <c r="FX355" s="770" t="s">
        <v>1208</v>
      </c>
      <c r="FY355" s="770"/>
      <c r="FZ355" s="770"/>
      <c r="GA355" s="770"/>
      <c r="GB355" s="770"/>
      <c r="GC355" s="308" t="s">
        <v>1663</v>
      </c>
      <c r="GD355" s="297"/>
      <c r="GE355" s="770" t="s">
        <v>1207</v>
      </c>
      <c r="GF355" s="302">
        <f>SUM(2800,2600,15500)</f>
        <v>20900</v>
      </c>
      <c r="GG355" s="302">
        <f>GF355*12</f>
        <v>250800</v>
      </c>
      <c r="GH355" s="770"/>
      <c r="GI355" s="770"/>
      <c r="GJ355" s="770"/>
      <c r="GK355" s="770"/>
      <c r="GL355" s="770"/>
      <c r="GM355" s="770"/>
      <c r="GN355" s="309"/>
      <c r="GO355" s="770"/>
      <c r="GP355" s="770"/>
      <c r="GQ355" s="770"/>
      <c r="GR355" s="770"/>
      <c r="GS355" s="770"/>
      <c r="GT355" s="770"/>
      <c r="GU355" s="770"/>
      <c r="GV355" s="770"/>
      <c r="GW355" s="770"/>
      <c r="GX355" s="770"/>
      <c r="GY355" s="770"/>
      <c r="GZ355" s="770"/>
      <c r="HA355" s="770"/>
      <c r="HB355" s="770"/>
      <c r="HC355" s="770"/>
      <c r="HD355" s="770"/>
      <c r="HE355" s="770"/>
      <c r="HF355" s="770"/>
      <c r="HG355" s="770"/>
      <c r="HH355" s="770"/>
      <c r="HI355" s="770"/>
      <c r="HJ355" s="770"/>
      <c r="HK355" s="770"/>
      <c r="HL355" s="770"/>
      <c r="HM355" s="770"/>
      <c r="HN355" s="770"/>
      <c r="HO355" s="770"/>
      <c r="HP355" s="770"/>
      <c r="HQ355" s="770"/>
      <c r="HR355" s="770"/>
      <c r="HS355" s="770"/>
      <c r="HT355" s="770"/>
      <c r="HU355" s="770"/>
      <c r="HV355" s="770"/>
      <c r="HW355" s="770"/>
      <c r="HX355" s="770"/>
      <c r="HY355" s="770"/>
      <c r="HZ355" s="770"/>
      <c r="IA355" s="770"/>
      <c r="IB355" s="14" t="e">
        <f>IF(#REF!&gt;0,IF(#REF!&lt;=10000,"Y",""),"")</f>
        <v>#REF!</v>
      </c>
      <c r="IC355" s="770" t="s">
        <v>1207</v>
      </c>
      <c r="ID355" s="770"/>
      <c r="IE355" s="770"/>
      <c r="IF355" s="770"/>
      <c r="IG355" s="770"/>
      <c r="IH355" s="770"/>
      <c r="II355" s="770"/>
      <c r="IJ355" s="770"/>
      <c r="IK355" s="766"/>
      <c r="IL355" s="770"/>
      <c r="IM355" s="770"/>
      <c r="IN355" s="770"/>
      <c r="IO355" s="296"/>
      <c r="IP355" s="770"/>
      <c r="IQ355" s="770"/>
      <c r="IR355" s="770"/>
      <c r="IS355" s="770"/>
      <c r="IT355" s="770"/>
      <c r="IU355" s="770"/>
      <c r="IV355" s="770"/>
      <c r="IW355" s="770"/>
      <c r="IX355" s="770"/>
      <c r="IY355" s="770"/>
      <c r="IZ355" s="770"/>
      <c r="JA355" s="770"/>
      <c r="JB355" s="770"/>
      <c r="JC355" s="770"/>
      <c r="JD355" s="302"/>
      <c r="JE355" s="770"/>
      <c r="JF355" s="770"/>
      <c r="JG355" s="770"/>
      <c r="JH355" s="770"/>
      <c r="JI355" s="770"/>
      <c r="JJ355" s="770"/>
      <c r="JK355" s="770"/>
      <c r="JL355" s="770"/>
      <c r="JM355" s="770"/>
      <c r="JN355" s="770"/>
      <c r="JO355" s="770"/>
      <c r="JP355" s="770"/>
      <c r="JQ355" s="770"/>
      <c r="JR355" s="770"/>
      <c r="JS355" s="770"/>
      <c r="JT355" s="766"/>
      <c r="JU355" s="766"/>
      <c r="JV355" s="766"/>
      <c r="JW355" s="766"/>
      <c r="JX355" s="770"/>
      <c r="JY355" s="770"/>
      <c r="JZ355" s="770"/>
      <c r="KA355" s="770"/>
      <c r="KB355" s="770"/>
      <c r="KC355" s="770"/>
      <c r="KD355" s="770"/>
      <c r="KE355" s="770"/>
      <c r="KF355" s="770"/>
      <c r="KG355" s="770"/>
      <c r="KH355" s="770"/>
      <c r="KI355" s="770"/>
      <c r="KJ355" s="770"/>
      <c r="KK355" s="770"/>
      <c r="KL355" s="770"/>
      <c r="KM355" s="770"/>
      <c r="KN355" s="770"/>
      <c r="KO355" s="770"/>
      <c r="KP355" s="770"/>
      <c r="KQ355" s="770"/>
      <c r="KR355" s="770"/>
      <c r="KS355" s="770"/>
      <c r="KT355" s="770"/>
      <c r="KU355" s="770"/>
      <c r="KV355" s="770"/>
      <c r="KW355" s="770"/>
      <c r="KX355" s="770"/>
      <c r="KY355" s="770"/>
      <c r="KZ355" s="770"/>
      <c r="LA355" s="770"/>
      <c r="LB355" s="770"/>
      <c r="LC355" s="770"/>
      <c r="LD355" s="770"/>
      <c r="LE355" s="770"/>
      <c r="LF355" s="770"/>
      <c r="LG355" s="770"/>
      <c r="LH355" s="770"/>
      <c r="LI355" s="770"/>
      <c r="LJ355" s="770"/>
      <c r="LK355" s="770"/>
      <c r="LL355" s="770"/>
      <c r="LM355" s="770"/>
      <c r="LN355" s="766"/>
      <c r="LO355" s="766"/>
      <c r="LP355" s="770"/>
      <c r="LQ355" s="770"/>
      <c r="LR355" s="770"/>
      <c r="LS355" s="770"/>
      <c r="LT355" s="770"/>
      <c r="LU355" s="770"/>
      <c r="LV355" s="770"/>
      <c r="LW355" s="770"/>
      <c r="LX355" s="769"/>
      <c r="LY355" s="766" t="str">
        <f t="shared" si="93"/>
        <v/>
      </c>
      <c r="LZ355" s="299"/>
      <c r="MA355" s="306"/>
      <c r="MB355" s="306"/>
      <c r="MC355" s="1679">
        <f t="shared" si="91"/>
        <v>0</v>
      </c>
      <c r="MD355" s="306"/>
      <c r="ME355" s="306"/>
      <c r="MF355" s="306"/>
      <c r="MG355" s="1680">
        <f t="shared" si="97"/>
        <v>0</v>
      </c>
      <c r="MH355" s="770"/>
      <c r="MI355" s="302"/>
      <c r="MJ355" s="302"/>
      <c r="MK355" s="302"/>
      <c r="ML355" s="302"/>
      <c r="MM355" s="302"/>
      <c r="MN355" s="302"/>
      <c r="MO355" s="302"/>
      <c r="MP355" s="302"/>
      <c r="MQ355" s="302"/>
      <c r="MR355" s="302"/>
      <c r="MS355" s="302"/>
      <c r="MT355" s="302"/>
      <c r="MU355" s="302"/>
      <c r="MV355" s="302"/>
      <c r="MW355" s="302"/>
      <c r="MX355" s="302"/>
      <c r="MY355" s="1682">
        <f t="shared" si="98"/>
        <v>0</v>
      </c>
      <c r="MZ355" s="770"/>
      <c r="NA355" s="770"/>
      <c r="NB355" s="770"/>
      <c r="NC355" s="770"/>
      <c r="ND355" s="770"/>
      <c r="NE355" s="770"/>
      <c r="NF355" s="770"/>
      <c r="NG355" s="770"/>
      <c r="NH355" s="770"/>
      <c r="NI355" s="770"/>
      <c r="NJ355" s="770"/>
      <c r="NK355" s="770"/>
      <c r="NL355" s="770"/>
      <c r="NM355" s="770"/>
      <c r="NN355" s="770"/>
      <c r="NO355" s="770"/>
      <c r="NP355" s="770"/>
      <c r="NQ355" s="770"/>
      <c r="NR355" s="770"/>
      <c r="NS355" s="770"/>
      <c r="NT355" s="770"/>
      <c r="NU355" s="770"/>
      <c r="NV355" s="770"/>
      <c r="NW355" s="770"/>
      <c r="NX355" s="770"/>
      <c r="NY355" s="770"/>
      <c r="NZ355" s="770"/>
      <c r="OA355" s="770"/>
      <c r="OB355" s="770"/>
      <c r="OC355" s="770"/>
      <c r="OD355" s="770"/>
      <c r="OE355" s="770"/>
      <c r="OF355" s="770"/>
      <c r="OG355" s="770"/>
      <c r="OH355" s="770"/>
      <c r="OI355" s="770"/>
      <c r="OJ355" s="770"/>
      <c r="OK355" s="770"/>
      <c r="OL355" s="770"/>
      <c r="OM355" s="770"/>
      <c r="ON355" s="770"/>
      <c r="OO355" s="770"/>
      <c r="OP355" s="770"/>
      <c r="OQ355" s="770"/>
      <c r="OR355" s="770"/>
      <c r="OS355" s="770"/>
      <c r="OT355" s="770"/>
      <c r="OU355" s="770"/>
      <c r="OV355" s="770"/>
      <c r="OW355" s="770"/>
      <c r="OX355" s="770"/>
      <c r="OY355" s="770"/>
      <c r="OZ355" s="770"/>
      <c r="PA355" s="770"/>
      <c r="PB355" s="770"/>
      <c r="PC355" s="770"/>
      <c r="PD355" s="770"/>
      <c r="PE355" s="770"/>
      <c r="PF355" s="770"/>
      <c r="PG355" s="770"/>
      <c r="PH355" s="770"/>
      <c r="PI355" s="770"/>
      <c r="PJ355" s="770"/>
      <c r="PK355" s="770"/>
      <c r="PL355" s="770"/>
      <c r="PM355" s="770"/>
      <c r="PN355" s="770"/>
      <c r="PO355" s="770"/>
      <c r="PP355" s="770"/>
      <c r="PQ355" s="770"/>
      <c r="PR355" s="770"/>
      <c r="PS355" s="770"/>
      <c r="PT355" s="770"/>
      <c r="PU355" s="770"/>
      <c r="PV355" s="770"/>
      <c r="PW355" s="770"/>
      <c r="PX355" s="770"/>
      <c r="PY355" s="770"/>
      <c r="PZ355" s="770"/>
      <c r="QA355" s="770"/>
      <c r="QB355" s="770"/>
      <c r="QC355" s="770"/>
      <c r="QD355" s="770"/>
      <c r="QE355" s="770"/>
      <c r="QF355" s="770"/>
      <c r="QG355" s="770"/>
      <c r="QH355" s="770"/>
      <c r="QI355" s="770"/>
      <c r="QJ355" s="770"/>
      <c r="QK355" s="770"/>
      <c r="QL355" s="770"/>
      <c r="QM355" s="770"/>
      <c r="QN355" s="770"/>
      <c r="QO355" s="770"/>
      <c r="QP355" s="770"/>
      <c r="QQ355" s="770"/>
      <c r="QR355" s="770"/>
      <c r="QS355" s="770"/>
      <c r="QT355" s="770"/>
      <c r="QU355" s="770"/>
      <c r="QV355" s="770"/>
      <c r="QW355" s="770"/>
      <c r="QX355" s="770"/>
      <c r="QY355" s="770"/>
      <c r="QZ355" s="770"/>
      <c r="RA355" s="770"/>
      <c r="RB355" s="770"/>
      <c r="RC355" s="770"/>
      <c r="RD355" s="770"/>
      <c r="RE355" s="770"/>
      <c r="RF355" s="304"/>
      <c r="RG355" s="770"/>
      <c r="RH355" s="302"/>
      <c r="RI355" s="770"/>
      <c r="RJ355" s="770" t="s">
        <v>13486</v>
      </c>
      <c r="RK355" s="770" t="s">
        <v>13401</v>
      </c>
      <c r="RL355" s="1710" t="s">
        <v>1604</v>
      </c>
      <c r="RM355" s="12"/>
      <c r="RN355" s="1711"/>
      <c r="RO355" s="140" t="s">
        <v>610</v>
      </c>
      <c r="RP355" s="11"/>
      <c r="RQ355" s="11"/>
      <c r="RR355" s="771"/>
      <c r="RS355" s="767"/>
      <c r="RT355" s="11"/>
      <c r="RU355" s="11"/>
      <c r="RV355" s="771" t="s">
        <v>8092</v>
      </c>
      <c r="RW355" s="11" t="s">
        <v>7546</v>
      </c>
      <c r="RX355" s="11" t="s">
        <v>607</v>
      </c>
      <c r="RY355" s="11"/>
      <c r="RZ355" s="11"/>
      <c r="SA355" s="771"/>
      <c r="SB355" s="11"/>
      <c r="SC355" s="11"/>
    </row>
    <row r="356" spans="1:497" ht="12.75" hidden="1" customHeight="1">
      <c r="A356" s="154" t="s">
        <v>14179</v>
      </c>
      <c r="B356" s="292" t="s">
        <v>7547</v>
      </c>
      <c r="C356" s="140" t="s">
        <v>610</v>
      </c>
      <c r="D356" s="770" t="s">
        <v>611</v>
      </c>
      <c r="E356" s="770" t="s">
        <v>609</v>
      </c>
      <c r="F356" s="770" t="s">
        <v>20</v>
      </c>
      <c r="G356" s="770" t="s">
        <v>18</v>
      </c>
      <c r="H356" s="770"/>
      <c r="I356" s="295"/>
      <c r="J356" s="94" t="s">
        <v>612</v>
      </c>
      <c r="K356" s="770"/>
      <c r="L356" s="770"/>
      <c r="M356" s="770"/>
      <c r="N356" s="770"/>
      <c r="O356" s="770"/>
      <c r="P356" s="770"/>
      <c r="Q356" s="1088"/>
      <c r="R356" s="297"/>
      <c r="S356" s="770"/>
      <c r="T356" s="770"/>
      <c r="U356" s="298"/>
      <c r="V356" s="770"/>
      <c r="W356" s="770"/>
      <c r="X356" s="296"/>
      <c r="Y356" s="766"/>
      <c r="Z356" s="770"/>
      <c r="AA356" s="770"/>
      <c r="AB356" s="770"/>
      <c r="AC356" s="770"/>
      <c r="AD356" s="770"/>
      <c r="AE356" s="770"/>
      <c r="AF356" s="770"/>
      <c r="AG356" s="770"/>
      <c r="AH356" s="770"/>
      <c r="AI356" s="770"/>
      <c r="AJ356" s="770"/>
      <c r="AK356" s="770" t="s">
        <v>1899</v>
      </c>
      <c r="AL356" s="531"/>
      <c r="AM356" s="780"/>
      <c r="AN356" s="532"/>
      <c r="AO356" s="766"/>
      <c r="AP356" s="766"/>
      <c r="AQ356" s="766"/>
      <c r="AR356" s="766"/>
      <c r="AS356" s="770"/>
      <c r="AT356" s="770"/>
      <c r="AU356" s="770"/>
      <c r="AV356" s="770"/>
      <c r="AW356" s="770"/>
      <c r="AX356" s="770"/>
      <c r="AY356" s="770"/>
      <c r="AZ356" s="770"/>
      <c r="BA356" s="770"/>
      <c r="BB356" s="770"/>
      <c r="BC356" s="770"/>
      <c r="BD356" s="770"/>
      <c r="BE356" s="770"/>
      <c r="BF356" s="302"/>
      <c r="BG356" s="302"/>
      <c r="BH356" s="770"/>
      <c r="BI356" s="770"/>
      <c r="BJ356" s="770"/>
      <c r="BK356" s="770"/>
      <c r="BL356" s="770"/>
      <c r="BM356" s="770" t="s">
        <v>1238</v>
      </c>
      <c r="BN356" s="770" t="s">
        <v>1256</v>
      </c>
      <c r="BO356" s="770"/>
      <c r="BP356" s="780"/>
      <c r="BQ356" s="772"/>
      <c r="BR356" s="774"/>
      <c r="BS356" s="6" t="s">
        <v>1149</v>
      </c>
      <c r="BT356" s="766"/>
      <c r="BU356" s="770"/>
      <c r="BV356" s="770"/>
      <c r="BW356" s="770"/>
      <c r="BX356" s="302"/>
      <c r="BY356" s="303"/>
      <c r="BZ356" s="770"/>
      <c r="CA356" s="302"/>
      <c r="CB356" s="302" t="s">
        <v>1207</v>
      </c>
      <c r="CC356" s="770" t="s">
        <v>1557</v>
      </c>
      <c r="CD356" s="770"/>
      <c r="CE356" s="770"/>
      <c r="CF356" s="304">
        <v>2.6</v>
      </c>
      <c r="CG356" s="321">
        <v>8.5</v>
      </c>
      <c r="CH356" s="770" t="s">
        <v>5543</v>
      </c>
      <c r="CI356" s="770" t="s">
        <v>1558</v>
      </c>
      <c r="CJ356" s="770"/>
      <c r="CK356" s="770">
        <v>2</v>
      </c>
      <c r="CL356" s="770" t="s">
        <v>5563</v>
      </c>
      <c r="CM356" s="770"/>
      <c r="CN356" s="770"/>
      <c r="CO356" s="770"/>
      <c r="CP356" s="770"/>
      <c r="CQ356" s="770"/>
      <c r="CR356" s="770"/>
      <c r="CS356" s="302" t="s">
        <v>1559</v>
      </c>
      <c r="CT356" s="770"/>
      <c r="CU356" s="305"/>
      <c r="CV356" s="770"/>
      <c r="CW356" s="770" t="s">
        <v>1560</v>
      </c>
      <c r="CX356" s="770"/>
      <c r="CY356" s="770"/>
      <c r="CZ356" s="770"/>
      <c r="DA356" s="306"/>
      <c r="DB356" s="770"/>
      <c r="DC356" s="770"/>
      <c r="DD356" s="770"/>
      <c r="DE356" s="300"/>
      <c r="DF356" s="770"/>
      <c r="DG356" s="770"/>
      <c r="DH356" s="770"/>
      <c r="DI356" s="770"/>
      <c r="DJ356" s="770"/>
      <c r="DK356" s="770"/>
      <c r="DL356" s="770"/>
      <c r="DM356" s="770"/>
      <c r="DN356" s="322"/>
      <c r="DO356" s="770"/>
      <c r="DP356" s="770"/>
      <c r="DQ356" s="770"/>
      <c r="DR356" s="770"/>
      <c r="DS356" s="307"/>
      <c r="DT356" s="770"/>
      <c r="DU356" s="770"/>
      <c r="DV356" s="770"/>
      <c r="DW356" s="306"/>
      <c r="DX356" s="306"/>
      <c r="DY356" s="770"/>
      <c r="DZ356" s="770"/>
      <c r="EA356" s="770"/>
      <c r="EB356" s="770"/>
      <c r="EC356" s="770"/>
      <c r="ED356" s="770"/>
      <c r="EE356" s="770"/>
      <c r="EF356" s="770"/>
      <c r="EG356" s="770"/>
      <c r="EH356" s="770"/>
      <c r="EI356" s="770"/>
      <c r="EJ356" s="770"/>
      <c r="EK356" s="770"/>
      <c r="EL356" s="770"/>
      <c r="EM356" s="770"/>
      <c r="EN356" s="770"/>
      <c r="EO356" s="770"/>
      <c r="EP356" s="94"/>
      <c r="EQ356" s="770"/>
      <c r="ER356" s="770"/>
      <c r="ES356" s="770"/>
      <c r="ET356" s="770"/>
      <c r="EU356" s="770"/>
      <c r="EV356" s="770"/>
      <c r="EW356" s="770"/>
      <c r="EX356" s="770"/>
      <c r="EY356" s="770"/>
      <c r="EZ356" s="770"/>
      <c r="FA356" s="770"/>
      <c r="FB356" s="770"/>
      <c r="FC356" s="770"/>
      <c r="FD356" s="302"/>
      <c r="FE356" s="770"/>
      <c r="FF356" s="770"/>
      <c r="FG356" s="770"/>
      <c r="FH356" s="770" t="s">
        <v>1306</v>
      </c>
      <c r="FI356" s="770">
        <v>1</v>
      </c>
      <c r="FJ356" s="770" t="s">
        <v>1663</v>
      </c>
      <c r="FK356" s="770" t="s">
        <v>1665</v>
      </c>
      <c r="FL356" s="770" t="s">
        <v>1664</v>
      </c>
      <c r="FM356" s="147">
        <v>2600</v>
      </c>
      <c r="FN356" s="302">
        <v>100</v>
      </c>
      <c r="FO356" s="302">
        <v>500</v>
      </c>
      <c r="FP356" s="770" t="s">
        <v>1602</v>
      </c>
      <c r="FQ356" s="770" t="s">
        <v>1660</v>
      </c>
      <c r="FR356" s="770"/>
      <c r="FS356" s="770"/>
      <c r="FT356" s="770"/>
      <c r="FU356" s="770"/>
      <c r="FV356" s="770"/>
      <c r="FW356" s="770"/>
      <c r="FX356" s="770"/>
      <c r="FY356" s="770"/>
      <c r="FZ356" s="770"/>
      <c r="GA356" s="770"/>
      <c r="GB356" s="770"/>
      <c r="GC356" s="308"/>
      <c r="GD356" s="297"/>
      <c r="GE356" s="770"/>
      <c r="GF356" s="302"/>
      <c r="GG356" s="302"/>
      <c r="GH356" s="770"/>
      <c r="GI356" s="770"/>
      <c r="GJ356" s="770"/>
      <c r="GK356" s="770"/>
      <c r="GL356" s="770"/>
      <c r="GM356" s="770"/>
      <c r="GN356" s="309"/>
      <c r="GO356" s="770"/>
      <c r="GP356" s="770"/>
      <c r="GQ356" s="770"/>
      <c r="GR356" s="770"/>
      <c r="GS356" s="770"/>
      <c r="GT356" s="770"/>
      <c r="GU356" s="770"/>
      <c r="GV356" s="770"/>
      <c r="GW356" s="770"/>
      <c r="GX356" s="770"/>
      <c r="GY356" s="770"/>
      <c r="GZ356" s="770"/>
      <c r="HA356" s="770"/>
      <c r="HB356" s="770"/>
      <c r="HC356" s="770"/>
      <c r="HD356" s="770"/>
      <c r="HE356" s="770"/>
      <c r="HF356" s="770"/>
      <c r="HG356" s="770"/>
      <c r="HH356" s="770"/>
      <c r="HI356" s="770"/>
      <c r="HJ356" s="770"/>
      <c r="HK356" s="770"/>
      <c r="HL356" s="770"/>
      <c r="HM356" s="770"/>
      <c r="HN356" s="770"/>
      <c r="HO356" s="770"/>
      <c r="HP356" s="770"/>
      <c r="HQ356" s="770"/>
      <c r="HR356" s="770"/>
      <c r="HS356" s="770"/>
      <c r="HT356" s="770"/>
      <c r="HU356" s="770"/>
      <c r="HV356" s="770"/>
      <c r="HW356" s="770"/>
      <c r="HX356" s="770"/>
      <c r="HY356" s="770"/>
      <c r="HZ356" s="770"/>
      <c r="IA356" s="770"/>
      <c r="IB356" s="14" t="e">
        <f>IF(#REF!&gt;0,IF(#REF!&lt;=10000,"Y",""),"")</f>
        <v>#REF!</v>
      </c>
      <c r="IC356" s="770"/>
      <c r="ID356" s="770"/>
      <c r="IE356" s="770"/>
      <c r="IF356" s="770"/>
      <c r="IG356" s="770"/>
      <c r="IH356" s="770"/>
      <c r="II356" s="770"/>
      <c r="IJ356" s="770"/>
      <c r="IK356" s="770"/>
      <c r="IL356" s="770"/>
      <c r="IM356" s="770"/>
      <c r="IN356" s="770"/>
      <c r="IO356" s="296"/>
      <c r="IP356" s="770"/>
      <c r="IQ356" s="770"/>
      <c r="IR356" s="770"/>
      <c r="IS356" s="770"/>
      <c r="IT356" s="770"/>
      <c r="IU356" s="770"/>
      <c r="IV356" s="770"/>
      <c r="IW356" s="770"/>
      <c r="IX356" s="770"/>
      <c r="IY356" s="770"/>
      <c r="IZ356" s="770"/>
      <c r="JA356" s="770"/>
      <c r="JB356" s="770"/>
      <c r="JC356" s="770"/>
      <c r="JD356" s="302"/>
      <c r="JE356" s="770"/>
      <c r="JF356" s="770"/>
      <c r="JG356" s="770"/>
      <c r="JH356" s="770"/>
      <c r="JI356" s="770"/>
      <c r="JJ356" s="770"/>
      <c r="JK356" s="770"/>
      <c r="JL356" s="770"/>
      <c r="JM356" s="770"/>
      <c r="JN356" s="770"/>
      <c r="JO356" s="770"/>
      <c r="JP356" s="770"/>
      <c r="JQ356" s="770"/>
      <c r="JR356" s="770"/>
      <c r="JS356" s="770"/>
      <c r="JT356" s="766"/>
      <c r="JU356" s="766"/>
      <c r="JV356" s="766"/>
      <c r="JW356" s="766"/>
      <c r="JX356" s="770"/>
      <c r="JY356" s="770"/>
      <c r="JZ356" s="770"/>
      <c r="KA356" s="770"/>
      <c r="KB356" s="770"/>
      <c r="KC356" s="770"/>
      <c r="KD356" s="770"/>
      <c r="KE356" s="770"/>
      <c r="KF356" s="770"/>
      <c r="KG356" s="770"/>
      <c r="KH356" s="770"/>
      <c r="KI356" s="770"/>
      <c r="KJ356" s="770"/>
      <c r="KK356" s="770"/>
      <c r="KL356" s="770"/>
      <c r="KM356" s="770"/>
      <c r="KN356" s="770"/>
      <c r="KO356" s="770"/>
      <c r="KP356" s="770"/>
      <c r="KQ356" s="770"/>
      <c r="KR356" s="770"/>
      <c r="KS356" s="770"/>
      <c r="KT356" s="770"/>
      <c r="KU356" s="770"/>
      <c r="KV356" s="770"/>
      <c r="KW356" s="770"/>
      <c r="KX356" s="770"/>
      <c r="KY356" s="770"/>
      <c r="KZ356" s="770"/>
      <c r="LA356" s="770"/>
      <c r="LB356" s="770"/>
      <c r="LC356" s="770"/>
      <c r="LD356" s="770"/>
      <c r="LE356" s="770"/>
      <c r="LF356" s="770"/>
      <c r="LG356" s="770"/>
      <c r="LH356" s="770"/>
      <c r="LI356" s="770"/>
      <c r="LJ356" s="770"/>
      <c r="LK356" s="770"/>
      <c r="LL356" s="770"/>
      <c r="LM356" s="770"/>
      <c r="LN356" s="766"/>
      <c r="LO356" s="766"/>
      <c r="LP356" s="770"/>
      <c r="LQ356" s="770"/>
      <c r="LR356" s="770"/>
      <c r="LS356" s="770"/>
      <c r="LT356" s="770"/>
      <c r="LU356" s="770"/>
      <c r="LV356" s="770"/>
      <c r="LW356" s="770"/>
      <c r="LX356" s="769"/>
      <c r="LY356" s="766" t="str">
        <f t="shared" si="93"/>
        <v/>
      </c>
      <c r="LZ356" s="299"/>
      <c r="MA356" s="306"/>
      <c r="MB356" s="306"/>
      <c r="MC356" s="1679">
        <f t="shared" si="91"/>
        <v>0</v>
      </c>
      <c r="MD356" s="306"/>
      <c r="ME356" s="306"/>
      <c r="MF356" s="306"/>
      <c r="MG356" s="1680">
        <f t="shared" si="97"/>
        <v>0</v>
      </c>
      <c r="MH356" s="770"/>
      <c r="MI356" s="302"/>
      <c r="MJ356" s="302"/>
      <c r="MK356" s="302"/>
      <c r="ML356" s="302"/>
      <c r="MM356" s="302"/>
      <c r="MN356" s="302"/>
      <c r="MO356" s="302"/>
      <c r="MP356" s="302"/>
      <c r="MQ356" s="302"/>
      <c r="MR356" s="302"/>
      <c r="MS356" s="302"/>
      <c r="MT356" s="302"/>
      <c r="MU356" s="302"/>
      <c r="MV356" s="302"/>
      <c r="MW356" s="302"/>
      <c r="MX356" s="302"/>
      <c r="MY356" s="1682">
        <f t="shared" si="98"/>
        <v>0</v>
      </c>
      <c r="MZ356" s="770"/>
      <c r="NA356" s="770"/>
      <c r="NB356" s="770"/>
      <c r="NC356" s="770"/>
      <c r="ND356" s="770"/>
      <c r="NE356" s="770"/>
      <c r="NF356" s="770"/>
      <c r="NG356" s="770"/>
      <c r="NH356" s="770"/>
      <c r="NI356" s="770"/>
      <c r="NJ356" s="770"/>
      <c r="NK356" s="770"/>
      <c r="NL356" s="770"/>
      <c r="NM356" s="770"/>
      <c r="NN356" s="770"/>
      <c r="NO356" s="770"/>
      <c r="NP356" s="770"/>
      <c r="NQ356" s="770"/>
      <c r="NR356" s="770"/>
      <c r="NS356" s="770"/>
      <c r="NT356" s="770"/>
      <c r="NU356" s="770"/>
      <c r="NV356" s="770"/>
      <c r="NW356" s="770"/>
      <c r="NX356" s="770"/>
      <c r="NY356" s="770"/>
      <c r="NZ356" s="770"/>
      <c r="OA356" s="770"/>
      <c r="OB356" s="770"/>
      <c r="OC356" s="770"/>
      <c r="OD356" s="770"/>
      <c r="OE356" s="770"/>
      <c r="OF356" s="770"/>
      <c r="OG356" s="770"/>
      <c r="OH356" s="770"/>
      <c r="OI356" s="770"/>
      <c r="OJ356" s="770"/>
      <c r="OK356" s="770"/>
      <c r="OL356" s="770"/>
      <c r="OM356" s="770"/>
      <c r="ON356" s="770"/>
      <c r="OO356" s="770"/>
      <c r="OP356" s="770"/>
      <c r="OQ356" s="770"/>
      <c r="OR356" s="770"/>
      <c r="OS356" s="770"/>
      <c r="OT356" s="770"/>
      <c r="OU356" s="770"/>
      <c r="OV356" s="770"/>
      <c r="OW356" s="770"/>
      <c r="OX356" s="770"/>
      <c r="OY356" s="770"/>
      <c r="OZ356" s="770"/>
      <c r="PA356" s="770"/>
      <c r="PB356" s="770"/>
      <c r="PC356" s="770"/>
      <c r="PD356" s="770"/>
      <c r="PE356" s="770"/>
      <c r="PF356" s="770"/>
      <c r="PG356" s="770"/>
      <c r="PH356" s="770"/>
      <c r="PI356" s="770"/>
      <c r="PJ356" s="770"/>
      <c r="PK356" s="770"/>
      <c r="PL356" s="770"/>
      <c r="PM356" s="770"/>
      <c r="PN356" s="770"/>
      <c r="PO356" s="770"/>
      <c r="PP356" s="770"/>
      <c r="PQ356" s="770"/>
      <c r="PR356" s="770"/>
      <c r="PS356" s="770"/>
      <c r="PT356" s="770"/>
      <c r="PU356" s="770"/>
      <c r="PV356" s="770"/>
      <c r="PW356" s="770"/>
      <c r="PX356" s="770"/>
      <c r="PY356" s="770"/>
      <c r="PZ356" s="770"/>
      <c r="QA356" s="770"/>
      <c r="QB356" s="770"/>
      <c r="QC356" s="770"/>
      <c r="QD356" s="770"/>
      <c r="QE356" s="770"/>
      <c r="QF356" s="770"/>
      <c r="QG356" s="770"/>
      <c r="QH356" s="770"/>
      <c r="QI356" s="770"/>
      <c r="QJ356" s="770"/>
      <c r="QK356" s="770"/>
      <c r="QL356" s="770"/>
      <c r="QM356" s="770"/>
      <c r="QN356" s="770"/>
      <c r="QO356" s="770"/>
      <c r="QP356" s="770"/>
      <c r="QQ356" s="770"/>
      <c r="QR356" s="770"/>
      <c r="QS356" s="770"/>
      <c r="QT356" s="770"/>
      <c r="QU356" s="770"/>
      <c r="QV356" s="770"/>
      <c r="QW356" s="770"/>
      <c r="QX356" s="770"/>
      <c r="QY356" s="770"/>
      <c r="QZ356" s="770"/>
      <c r="RA356" s="770"/>
      <c r="RB356" s="770"/>
      <c r="RC356" s="770"/>
      <c r="RD356" s="770"/>
      <c r="RE356" s="770"/>
      <c r="RF356" s="304"/>
      <c r="RG356" s="770"/>
      <c r="RH356" s="302"/>
      <c r="RI356" s="770"/>
      <c r="RJ356" s="770" t="s">
        <v>2186</v>
      </c>
      <c r="RK356" s="770" t="s">
        <v>13401</v>
      </c>
      <c r="RL356" s="1710" t="s">
        <v>1604</v>
      </c>
      <c r="RM356" s="12"/>
      <c r="RN356" s="1711"/>
      <c r="RO356" s="140" t="s">
        <v>610</v>
      </c>
      <c r="RP356" s="11"/>
      <c r="RQ356" s="11"/>
      <c r="RR356" s="771"/>
      <c r="RS356" s="767"/>
      <c r="RT356" s="11"/>
      <c r="RU356" s="11"/>
      <c r="RV356" s="771" t="s">
        <v>8092</v>
      </c>
      <c r="RW356" s="11" t="s">
        <v>7645</v>
      </c>
      <c r="RX356" s="11" t="s">
        <v>610</v>
      </c>
      <c r="RY356" s="11"/>
      <c r="RZ356" s="11"/>
      <c r="SA356" s="771"/>
      <c r="SB356" s="11"/>
      <c r="SC356" s="11"/>
    </row>
    <row r="357" spans="1:497" ht="12.75" hidden="1" customHeight="1">
      <c r="A357" s="19" t="s">
        <v>7419</v>
      </c>
      <c r="B357" s="292" t="s">
        <v>7987</v>
      </c>
      <c r="C357" s="140" t="s">
        <v>613</v>
      </c>
      <c r="D357" s="770" t="s">
        <v>614</v>
      </c>
      <c r="E357" s="766" t="s">
        <v>5816</v>
      </c>
      <c r="F357" s="770" t="s">
        <v>20</v>
      </c>
      <c r="G357" s="770" t="s">
        <v>18</v>
      </c>
      <c r="H357" s="770"/>
      <c r="I357" s="295"/>
      <c r="J357" s="94" t="s">
        <v>5566</v>
      </c>
      <c r="K357" s="770"/>
      <c r="L357" s="770"/>
      <c r="M357" s="770"/>
      <c r="N357" s="770"/>
      <c r="O357" s="770"/>
      <c r="P357" s="770"/>
      <c r="Q357" s="1088"/>
      <c r="R357" s="297"/>
      <c r="S357" s="770"/>
      <c r="T357" s="770"/>
      <c r="U357" s="298"/>
      <c r="V357" s="770"/>
      <c r="W357" s="770"/>
      <c r="X357" s="296"/>
      <c r="Y357" s="766"/>
      <c r="Z357" s="770"/>
      <c r="AA357" s="770"/>
      <c r="AB357" s="770"/>
      <c r="AC357" s="770"/>
      <c r="AD357" s="770"/>
      <c r="AE357" s="770"/>
      <c r="AF357" s="770"/>
      <c r="AG357" s="766" t="s">
        <v>1095</v>
      </c>
      <c r="AH357" s="766" t="s">
        <v>1096</v>
      </c>
      <c r="AI357" s="770" t="s">
        <v>1185</v>
      </c>
      <c r="AJ357" s="770"/>
      <c r="AK357" s="766" t="s">
        <v>1097</v>
      </c>
      <c r="AL357" s="299">
        <v>8</v>
      </c>
      <c r="AM357" s="300">
        <v>8</v>
      </c>
      <c r="AN357" s="301">
        <v>1</v>
      </c>
      <c r="AO357" s="766" t="s">
        <v>1122</v>
      </c>
      <c r="AP357" s="766"/>
      <c r="AQ357" s="766"/>
      <c r="AR357" s="766"/>
      <c r="AS357" s="770" t="s">
        <v>1207</v>
      </c>
      <c r="AT357" s="770" t="s">
        <v>1208</v>
      </c>
      <c r="AU357" s="770"/>
      <c r="AV357" s="770"/>
      <c r="AW357" s="770"/>
      <c r="AX357" s="13"/>
      <c r="AY357" s="770"/>
      <c r="AZ357" s="770"/>
      <c r="BA357" s="770"/>
      <c r="BB357" s="770"/>
      <c r="BC357" s="770" t="s">
        <v>853</v>
      </c>
      <c r="BD357" s="770" t="s">
        <v>1207</v>
      </c>
      <c r="BE357" s="770" t="s">
        <v>1214</v>
      </c>
      <c r="BF357" s="302"/>
      <c r="BG357" s="302"/>
      <c r="BH357" s="770"/>
      <c r="BI357" s="770"/>
      <c r="BJ357" s="770"/>
      <c r="BK357" s="770"/>
      <c r="BL357" s="770"/>
      <c r="BM357" s="770" t="s">
        <v>1238</v>
      </c>
      <c r="BN357" s="770" t="s">
        <v>1256</v>
      </c>
      <c r="BO357" s="770"/>
      <c r="BP357" s="780"/>
      <c r="BQ357" s="772"/>
      <c r="BR357" s="774"/>
      <c r="BS357" s="6" t="s">
        <v>1149</v>
      </c>
      <c r="BT357" s="766"/>
      <c r="BU357" s="770"/>
      <c r="BV357" s="770"/>
      <c r="BW357" s="770"/>
      <c r="BX357" s="302"/>
      <c r="BY357" s="303"/>
      <c r="BZ357" s="770"/>
      <c r="CA357" s="302"/>
      <c r="CB357" s="302" t="s">
        <v>1207</v>
      </c>
      <c r="CC357" s="770" t="s">
        <v>1561</v>
      </c>
      <c r="CD357" s="770"/>
      <c r="CE357" s="770"/>
      <c r="CF357" s="304">
        <v>1.3</v>
      </c>
      <c r="CG357" s="321">
        <v>3.6</v>
      </c>
      <c r="CH357" s="770" t="s">
        <v>1562</v>
      </c>
      <c r="CI357" s="770"/>
      <c r="CJ357" s="770"/>
      <c r="CK357" s="770"/>
      <c r="CL357" s="770"/>
      <c r="CM357" s="770"/>
      <c r="CN357" s="770"/>
      <c r="CO357" s="770"/>
      <c r="CP357" s="770"/>
      <c r="CQ357" s="770"/>
      <c r="CR357" s="770"/>
      <c r="CS357" s="302"/>
      <c r="CT357" s="770"/>
      <c r="CU357" s="305"/>
      <c r="CV357" s="770"/>
      <c r="CW357" s="770"/>
      <c r="CX357" s="770"/>
      <c r="CY357" s="770"/>
      <c r="CZ357" s="770"/>
      <c r="DA357" s="306"/>
      <c r="DB357" s="770"/>
      <c r="DC357" s="770"/>
      <c r="DD357" s="770"/>
      <c r="DE357" s="300"/>
      <c r="DF357" s="770"/>
      <c r="DG357" s="770"/>
      <c r="DH357" s="770"/>
      <c r="DI357" s="770"/>
      <c r="DJ357" s="770"/>
      <c r="DK357" s="770"/>
      <c r="DL357" s="770"/>
      <c r="DM357" s="770"/>
      <c r="DN357" s="322"/>
      <c r="DO357" s="770"/>
      <c r="DP357" s="770"/>
      <c r="DQ357" s="770"/>
      <c r="DR357" s="770"/>
      <c r="DS357" s="307"/>
      <c r="DT357" s="770"/>
      <c r="DU357" s="770"/>
      <c r="DV357" s="770"/>
      <c r="DW357" s="306"/>
      <c r="DX357" s="306"/>
      <c r="DY357" s="770"/>
      <c r="DZ357" s="770"/>
      <c r="EA357" s="770"/>
      <c r="EB357" s="770"/>
      <c r="EC357" s="770"/>
      <c r="ED357" s="770"/>
      <c r="EE357" s="770"/>
      <c r="EF357" s="770"/>
      <c r="EG357" s="770"/>
      <c r="EH357" s="770"/>
      <c r="EI357" s="770"/>
      <c r="EJ357" s="770"/>
      <c r="EK357" s="770"/>
      <c r="EL357" s="770"/>
      <c r="EM357" s="770"/>
      <c r="EN357" s="770"/>
      <c r="EO357" s="770"/>
      <c r="EP357" s="94"/>
      <c r="EQ357" s="770"/>
      <c r="ER357" s="770"/>
      <c r="ES357" s="770"/>
      <c r="ET357" s="770"/>
      <c r="EU357" s="770"/>
      <c r="EV357" s="770"/>
      <c r="EW357" s="770"/>
      <c r="EX357" s="770"/>
      <c r="EY357" s="770"/>
      <c r="EZ357" s="770"/>
      <c r="FA357" s="770"/>
      <c r="FB357" s="770"/>
      <c r="FC357" s="770"/>
      <c r="FD357" s="302"/>
      <c r="FE357" s="770"/>
      <c r="FF357" s="770" t="s">
        <v>1563</v>
      </c>
      <c r="FG357" s="770"/>
      <c r="FH357" s="770"/>
      <c r="FI357" s="770"/>
      <c r="FJ357" s="770"/>
      <c r="FK357" s="770"/>
      <c r="FL357" s="770"/>
      <c r="FM357" s="302"/>
      <c r="FN357" s="302"/>
      <c r="FO357" s="302"/>
      <c r="FP357" s="770"/>
      <c r="FQ357" s="770"/>
      <c r="FR357" s="770" t="s">
        <v>1207</v>
      </c>
      <c r="FS357" s="770" t="s">
        <v>1208</v>
      </c>
      <c r="FT357" s="770"/>
      <c r="FU357" s="770"/>
      <c r="FV357" s="770"/>
      <c r="FW357" s="770"/>
      <c r="FX357" s="770"/>
      <c r="FY357" s="770"/>
      <c r="FZ357" s="770"/>
      <c r="GA357" s="770"/>
      <c r="GB357" s="770" t="s">
        <v>853</v>
      </c>
      <c r="GC357" s="308"/>
      <c r="GD357" s="1757" t="s">
        <v>1752</v>
      </c>
      <c r="GE357" s="770" t="s">
        <v>1214</v>
      </c>
      <c r="GF357" s="302"/>
      <c r="GG357" s="302"/>
      <c r="GH357" s="770"/>
      <c r="GI357" s="770"/>
      <c r="GJ357" s="770"/>
      <c r="GK357" s="770"/>
      <c r="GL357" s="770"/>
      <c r="GM357" s="770"/>
      <c r="GN357" s="309"/>
      <c r="GO357" s="770"/>
      <c r="GP357" s="770"/>
      <c r="GQ357" s="770"/>
      <c r="GR357" s="770"/>
      <c r="GS357" s="770"/>
      <c r="GT357" s="770"/>
      <c r="GU357" s="770"/>
      <c r="GV357" s="770"/>
      <c r="GW357" s="770"/>
      <c r="GX357" s="770"/>
      <c r="GY357" s="770"/>
      <c r="GZ357" s="770"/>
      <c r="HA357" s="770"/>
      <c r="HB357" s="770"/>
      <c r="HC357" s="770"/>
      <c r="HD357" s="770"/>
      <c r="HE357" s="770"/>
      <c r="HF357" s="770"/>
      <c r="HG357" s="770"/>
      <c r="HH357" s="770"/>
      <c r="HI357" s="770"/>
      <c r="HJ357" s="770"/>
      <c r="HK357" s="770"/>
      <c r="HL357" s="770"/>
      <c r="HM357" s="770"/>
      <c r="HN357" s="770"/>
      <c r="HO357" s="770"/>
      <c r="HP357" s="770"/>
      <c r="HQ357" s="770"/>
      <c r="HR357" s="770"/>
      <c r="HS357" s="770"/>
      <c r="HT357" s="770"/>
      <c r="HU357" s="770"/>
      <c r="HV357" s="770"/>
      <c r="HW357" s="770"/>
      <c r="HX357" s="770"/>
      <c r="HY357" s="770"/>
      <c r="HZ357" s="770"/>
      <c r="IA357" s="770"/>
      <c r="IB357" s="14" t="e">
        <f>IF(#REF!&gt;0,IF(#REF!&lt;=10000,"Y",""),"")</f>
        <v>#REF!</v>
      </c>
      <c r="IC357" s="770" t="s">
        <v>1207</v>
      </c>
      <c r="ID357" s="770"/>
      <c r="IE357" s="770"/>
      <c r="IF357" s="770"/>
      <c r="IG357" s="770"/>
      <c r="IH357" s="770"/>
      <c r="II357" s="770"/>
      <c r="IJ357" s="770"/>
      <c r="IK357" s="770"/>
      <c r="IL357" s="770"/>
      <c r="IM357" s="770"/>
      <c r="IN357" s="770"/>
      <c r="IO357" s="296"/>
      <c r="IP357" s="770"/>
      <c r="IQ357" s="770"/>
      <c r="IR357" s="770"/>
      <c r="IS357" s="770"/>
      <c r="IT357" s="770"/>
      <c r="IU357" s="770"/>
      <c r="IV357" s="770"/>
      <c r="IW357" s="770"/>
      <c r="IX357" s="770"/>
      <c r="IY357" s="770"/>
      <c r="IZ357" s="770"/>
      <c r="JA357" s="770"/>
      <c r="JB357" s="770"/>
      <c r="JC357" s="770"/>
      <c r="JD357" s="302"/>
      <c r="JE357" s="770"/>
      <c r="JF357" s="770"/>
      <c r="JG357" s="770"/>
      <c r="JH357" s="770"/>
      <c r="JI357" s="770"/>
      <c r="JJ357" s="770"/>
      <c r="JK357" s="770"/>
      <c r="JL357" s="770"/>
      <c r="JM357" s="770"/>
      <c r="JN357" s="770"/>
      <c r="JO357" s="770"/>
      <c r="JP357" s="770"/>
      <c r="JQ357" s="770"/>
      <c r="JR357" s="770"/>
      <c r="JS357" s="770"/>
      <c r="JT357" s="766"/>
      <c r="JU357" s="766"/>
      <c r="JV357" s="766"/>
      <c r="JW357" s="766"/>
      <c r="JX357" s="770"/>
      <c r="JY357" s="770"/>
      <c r="JZ357" s="770"/>
      <c r="KA357" s="770"/>
      <c r="KB357" s="770"/>
      <c r="KC357" s="770"/>
      <c r="KD357" s="770"/>
      <c r="KE357" s="770"/>
      <c r="KF357" s="770"/>
      <c r="KG357" s="770"/>
      <c r="KH357" s="770"/>
      <c r="KI357" s="770"/>
      <c r="KJ357" s="770"/>
      <c r="KK357" s="770"/>
      <c r="KL357" s="770"/>
      <c r="KM357" s="770"/>
      <c r="KN357" s="770"/>
      <c r="KO357" s="770"/>
      <c r="KP357" s="770"/>
      <c r="KQ357" s="770"/>
      <c r="KR357" s="770"/>
      <c r="KS357" s="770"/>
      <c r="KT357" s="770"/>
      <c r="KU357" s="770"/>
      <c r="KV357" s="770"/>
      <c r="KW357" s="770"/>
      <c r="KX357" s="770"/>
      <c r="KY357" s="770"/>
      <c r="KZ357" s="770"/>
      <c r="LA357" s="770"/>
      <c r="LB357" s="770"/>
      <c r="LC357" s="770"/>
      <c r="LD357" s="770"/>
      <c r="LE357" s="770"/>
      <c r="LF357" s="770"/>
      <c r="LG357" s="770"/>
      <c r="LH357" s="770"/>
      <c r="LI357" s="770"/>
      <c r="LJ357" s="770"/>
      <c r="LK357" s="770"/>
      <c r="LL357" s="770"/>
      <c r="LM357" s="770"/>
      <c r="LN357" s="766"/>
      <c r="LO357" s="766"/>
      <c r="LP357" s="770"/>
      <c r="LQ357" s="770"/>
      <c r="LR357" s="770"/>
      <c r="LS357" s="770"/>
      <c r="LT357" s="770"/>
      <c r="LU357" s="770"/>
      <c r="LV357" s="770"/>
      <c r="LW357" s="770"/>
      <c r="LX357" s="769"/>
      <c r="LY357" s="766" t="str">
        <f t="shared" si="93"/>
        <v/>
      </c>
      <c r="LZ357" s="299"/>
      <c r="MA357" s="306"/>
      <c r="MB357" s="306"/>
      <c r="MC357" s="1679">
        <f t="shared" ref="MC357:MC420" si="99">SUM(LZ357:MB357)</f>
        <v>0</v>
      </c>
      <c r="MD357" s="306"/>
      <c r="ME357" s="306"/>
      <c r="MF357" s="306"/>
      <c r="MG357" s="1680">
        <f t="shared" si="97"/>
        <v>0</v>
      </c>
      <c r="MH357" s="770"/>
      <c r="MI357" s="302"/>
      <c r="MJ357" s="302"/>
      <c r="MK357" s="302"/>
      <c r="ML357" s="302"/>
      <c r="MM357" s="302"/>
      <c r="MN357" s="302"/>
      <c r="MO357" s="302"/>
      <c r="MP357" s="302"/>
      <c r="MQ357" s="302"/>
      <c r="MR357" s="302"/>
      <c r="MS357" s="302"/>
      <c r="MT357" s="302"/>
      <c r="MU357" s="302"/>
      <c r="MV357" s="302"/>
      <c r="MW357" s="302"/>
      <c r="MX357" s="302"/>
      <c r="MY357" s="1682">
        <f t="shared" si="98"/>
        <v>0</v>
      </c>
      <c r="MZ357" s="770"/>
      <c r="NA357" s="770"/>
      <c r="NB357" s="770"/>
      <c r="NC357" s="770"/>
      <c r="ND357" s="770"/>
      <c r="NE357" s="770"/>
      <c r="NF357" s="770"/>
      <c r="NG357" s="770"/>
      <c r="NH357" s="770"/>
      <c r="NI357" s="770"/>
      <c r="NJ357" s="770"/>
      <c r="NK357" s="770"/>
      <c r="NL357" s="770"/>
      <c r="NM357" s="770"/>
      <c r="NN357" s="770"/>
      <c r="NO357" s="770"/>
      <c r="NP357" s="770"/>
      <c r="NQ357" s="770"/>
      <c r="NR357" s="770"/>
      <c r="NS357" s="770"/>
      <c r="NT357" s="770"/>
      <c r="NU357" s="770"/>
      <c r="NV357" s="770"/>
      <c r="NW357" s="770"/>
      <c r="NX357" s="770"/>
      <c r="NY357" s="770"/>
      <c r="NZ357" s="770"/>
      <c r="OA357" s="770"/>
      <c r="OB357" s="770"/>
      <c r="OC357" s="770"/>
      <c r="OD357" s="770"/>
      <c r="OE357" s="770"/>
      <c r="OF357" s="770"/>
      <c r="OG357" s="770"/>
      <c r="OH357" s="770"/>
      <c r="OI357" s="770"/>
      <c r="OJ357" s="770"/>
      <c r="OK357" s="770"/>
      <c r="OL357" s="770"/>
      <c r="OM357" s="770"/>
      <c r="ON357" s="770"/>
      <c r="OO357" s="770"/>
      <c r="OP357" s="770"/>
      <c r="OQ357" s="770"/>
      <c r="OR357" s="770"/>
      <c r="OS357" s="770"/>
      <c r="OT357" s="770"/>
      <c r="OU357" s="770"/>
      <c r="OV357" s="770"/>
      <c r="OW357" s="770"/>
      <c r="OX357" s="770"/>
      <c r="OY357" s="770"/>
      <c r="OZ357" s="770"/>
      <c r="PA357" s="770"/>
      <c r="PB357" s="770"/>
      <c r="PC357" s="770"/>
      <c r="PD357" s="770"/>
      <c r="PE357" s="770"/>
      <c r="PF357" s="770"/>
      <c r="PG357" s="770"/>
      <c r="PH357" s="770"/>
      <c r="PI357" s="770"/>
      <c r="PJ357" s="770"/>
      <c r="PK357" s="770"/>
      <c r="PL357" s="770"/>
      <c r="PM357" s="770"/>
      <c r="PN357" s="770"/>
      <c r="PO357" s="770"/>
      <c r="PP357" s="770"/>
      <c r="PQ357" s="770"/>
      <c r="PR357" s="770"/>
      <c r="PS357" s="770"/>
      <c r="PT357" s="770"/>
      <c r="PU357" s="770"/>
      <c r="PV357" s="770"/>
      <c r="PW357" s="770"/>
      <c r="PX357" s="770"/>
      <c r="PY357" s="770"/>
      <c r="PZ357" s="770"/>
      <c r="QA357" s="770"/>
      <c r="QB357" s="770"/>
      <c r="QC357" s="770"/>
      <c r="QD357" s="770"/>
      <c r="QE357" s="770"/>
      <c r="QF357" s="770"/>
      <c r="QG357" s="770"/>
      <c r="QH357" s="770"/>
      <c r="QI357" s="770"/>
      <c r="QJ357" s="770"/>
      <c r="QK357" s="770"/>
      <c r="QL357" s="770"/>
      <c r="QM357" s="770"/>
      <c r="QN357" s="770"/>
      <c r="QO357" s="770"/>
      <c r="QP357" s="770"/>
      <c r="QQ357" s="770"/>
      <c r="QR357" s="770"/>
      <c r="QS357" s="770"/>
      <c r="QT357" s="770"/>
      <c r="QU357" s="770"/>
      <c r="QV357" s="770"/>
      <c r="QW357" s="770"/>
      <c r="QX357" s="770"/>
      <c r="QY357" s="770"/>
      <c r="QZ357" s="770"/>
      <c r="RA357" s="770"/>
      <c r="RB357" s="770"/>
      <c r="RC357" s="770"/>
      <c r="RD357" s="770"/>
      <c r="RE357" s="770"/>
      <c r="RF357" s="304"/>
      <c r="RG357" s="770"/>
      <c r="RH357" s="302"/>
      <c r="RI357" s="770"/>
      <c r="RJ357" s="770" t="s">
        <v>13487</v>
      </c>
      <c r="RK357" s="770" t="s">
        <v>13401</v>
      </c>
      <c r="RL357" s="1710" t="s">
        <v>1604</v>
      </c>
      <c r="RM357" s="12"/>
      <c r="RN357" s="1711"/>
      <c r="RO357" s="140" t="s">
        <v>613</v>
      </c>
      <c r="RP357" s="11"/>
      <c r="RQ357" s="11"/>
      <c r="RR357" s="17"/>
      <c r="RS357" s="767"/>
      <c r="RT357" s="11"/>
      <c r="RU357" s="11"/>
      <c r="RV357" s="771" t="s">
        <v>8092</v>
      </c>
      <c r="RW357" s="11" t="s">
        <v>7646</v>
      </c>
      <c r="RX357" s="11" t="s">
        <v>610</v>
      </c>
      <c r="RY357" s="11"/>
      <c r="RZ357" s="11" t="s">
        <v>2209</v>
      </c>
      <c r="SA357" s="771"/>
      <c r="SB357" s="11"/>
      <c r="SC357" s="11"/>
    </row>
    <row r="358" spans="1:497" s="16" customFormat="1" ht="12.75" hidden="1" customHeight="1">
      <c r="A358" s="769" t="s">
        <v>7419</v>
      </c>
      <c r="B358" s="1010" t="s">
        <v>11865</v>
      </c>
      <c r="C358" s="148" t="s">
        <v>615</v>
      </c>
      <c r="D358" s="770"/>
      <c r="E358" s="770" t="s">
        <v>617</v>
      </c>
      <c r="F358" s="770"/>
      <c r="G358" s="770"/>
      <c r="H358" s="770"/>
      <c r="I358" s="295"/>
      <c r="J358" s="94"/>
      <c r="K358" s="770"/>
      <c r="L358" s="770"/>
      <c r="M358" s="770"/>
      <c r="N358" s="770"/>
      <c r="O358" s="770"/>
      <c r="P358" s="770"/>
      <c r="Q358" s="1088"/>
      <c r="R358" s="297"/>
      <c r="S358" s="770"/>
      <c r="T358" s="770"/>
      <c r="U358" s="298"/>
      <c r="V358" s="770"/>
      <c r="W358" s="770"/>
      <c r="X358" s="296"/>
      <c r="Y358" s="766"/>
      <c r="Z358" s="770"/>
      <c r="AA358" s="770"/>
      <c r="AB358" s="770"/>
      <c r="AC358" s="770"/>
      <c r="AD358" s="770"/>
      <c r="AE358" s="770"/>
      <c r="AF358" s="770"/>
      <c r="AG358" s="766" t="s">
        <v>1095</v>
      </c>
      <c r="AH358" s="766" t="s">
        <v>1096</v>
      </c>
      <c r="AI358" s="770" t="s">
        <v>1186</v>
      </c>
      <c r="AJ358" s="770"/>
      <c r="AK358" s="766" t="s">
        <v>1097</v>
      </c>
      <c r="AL358" s="299">
        <v>151.19999999999999</v>
      </c>
      <c r="AM358" s="300">
        <v>31.5</v>
      </c>
      <c r="AN358" s="301">
        <v>0.20830000000000001</v>
      </c>
      <c r="AO358" s="766" t="s">
        <v>12753</v>
      </c>
      <c r="AP358" s="766"/>
      <c r="AQ358" s="766"/>
      <c r="AR358" s="766"/>
      <c r="AS358" s="770"/>
      <c r="AT358" s="770"/>
      <c r="AU358" s="770"/>
      <c r="AV358" s="770"/>
      <c r="AW358" s="770"/>
      <c r="AX358" s="13"/>
      <c r="AY358" s="770"/>
      <c r="AZ358" s="770"/>
      <c r="BA358" s="770"/>
      <c r="BB358" s="770"/>
      <c r="BC358" s="770"/>
      <c r="BD358" s="770"/>
      <c r="BE358" s="770"/>
      <c r="BF358" s="302"/>
      <c r="BG358" s="302"/>
      <c r="BH358" s="770"/>
      <c r="BI358" s="770"/>
      <c r="BJ358" s="770"/>
      <c r="BK358" s="770" t="s">
        <v>1095</v>
      </c>
      <c r="BL358" s="770" t="s">
        <v>1186</v>
      </c>
      <c r="BM358" s="766" t="s">
        <v>1096</v>
      </c>
      <c r="BN358" s="770" t="s">
        <v>1230</v>
      </c>
      <c r="BO358" s="766" t="s">
        <v>1246</v>
      </c>
      <c r="BP358" s="780">
        <v>151.19999999999999</v>
      </c>
      <c r="BQ358" s="772">
        <v>31.5</v>
      </c>
      <c r="BR358" s="774">
        <f>BQ358/BP358</f>
        <v>0.20833333333333334</v>
      </c>
      <c r="BS358" s="6" t="s">
        <v>1149</v>
      </c>
      <c r="BT358" s="766" t="s">
        <v>2040</v>
      </c>
      <c r="BU358" s="770" t="s">
        <v>1249</v>
      </c>
      <c r="BV358" s="770" t="s">
        <v>1247</v>
      </c>
      <c r="BW358" s="769"/>
      <c r="BX358" s="302"/>
      <c r="BY358" s="303"/>
      <c r="BZ358" s="770"/>
      <c r="CA358" s="302"/>
      <c r="CB358" s="302" t="s">
        <v>1207</v>
      </c>
      <c r="CC358" s="770"/>
      <c r="CD358" s="770"/>
      <c r="CE358" s="770"/>
      <c r="CF358" s="304">
        <v>3</v>
      </c>
      <c r="CG358" s="321">
        <v>3.7</v>
      </c>
      <c r="CH358" s="770" t="s">
        <v>1564</v>
      </c>
      <c r="CI358" s="770"/>
      <c r="CJ358" s="770"/>
      <c r="CK358" s="770"/>
      <c r="CL358" s="770"/>
      <c r="CM358" s="770"/>
      <c r="CN358" s="770"/>
      <c r="CO358" s="770"/>
      <c r="CP358" s="770"/>
      <c r="CQ358" s="770"/>
      <c r="CR358" s="770"/>
      <c r="CS358" s="302"/>
      <c r="CT358" s="770"/>
      <c r="CU358" s="305"/>
      <c r="CV358" s="770"/>
      <c r="CW358" s="770"/>
      <c r="CX358" s="770"/>
      <c r="CY358" s="770"/>
      <c r="CZ358" s="770"/>
      <c r="DA358" s="306"/>
      <c r="DB358" s="770"/>
      <c r="DC358" s="770"/>
      <c r="DD358" s="770"/>
      <c r="DE358" s="300"/>
      <c r="DF358" s="770"/>
      <c r="DG358" s="770"/>
      <c r="DH358" s="770"/>
      <c r="DI358" s="770"/>
      <c r="DJ358" s="770"/>
      <c r="DK358" s="770"/>
      <c r="DL358" s="770"/>
      <c r="DM358" s="770"/>
      <c r="DN358" s="322"/>
      <c r="DO358" s="770"/>
      <c r="DP358" s="770"/>
      <c r="DQ358" s="770"/>
      <c r="DR358" s="770"/>
      <c r="DS358" s="307"/>
      <c r="DT358" s="770"/>
      <c r="DU358" s="770"/>
      <c r="DV358" s="770"/>
      <c r="DW358" s="306"/>
      <c r="DX358" s="306"/>
      <c r="DY358" s="770"/>
      <c r="DZ358" s="770"/>
      <c r="EA358" s="770"/>
      <c r="EB358" s="770"/>
      <c r="EC358" s="770"/>
      <c r="ED358" s="770"/>
      <c r="EE358" s="770"/>
      <c r="EF358" s="770"/>
      <c r="EG358" s="770"/>
      <c r="EH358" s="770"/>
      <c r="EI358" s="770"/>
      <c r="EJ358" s="770"/>
      <c r="EK358" s="770"/>
      <c r="EL358" s="770"/>
      <c r="EM358" s="770"/>
      <c r="EN358" s="770"/>
      <c r="EO358" s="770"/>
      <c r="EP358" s="94"/>
      <c r="EQ358" s="770"/>
      <c r="ER358" s="770"/>
      <c r="ES358" s="770"/>
      <c r="ET358" s="770"/>
      <c r="EU358" s="770"/>
      <c r="EV358" s="770"/>
      <c r="EW358" s="770"/>
      <c r="EX358" s="770"/>
      <c r="EY358" s="770"/>
      <c r="EZ358" s="770"/>
      <c r="FA358" s="770"/>
      <c r="FB358" s="770"/>
      <c r="FC358" s="770"/>
      <c r="FD358" s="302"/>
      <c r="FE358" s="770"/>
      <c r="FF358" s="770"/>
      <c r="FG358" s="770"/>
      <c r="FH358" s="770"/>
      <c r="FI358" s="770"/>
      <c r="FJ358" s="770"/>
      <c r="FK358" s="770"/>
      <c r="FL358" s="770"/>
      <c r="FM358" s="302"/>
      <c r="FN358" s="302"/>
      <c r="FO358" s="302"/>
      <c r="FP358" s="770"/>
      <c r="FQ358" s="770"/>
      <c r="FR358" s="770"/>
      <c r="FS358" s="770"/>
      <c r="FT358" s="770"/>
      <c r="FU358" s="770"/>
      <c r="FV358" s="770"/>
      <c r="FW358" s="770"/>
      <c r="FX358" s="770"/>
      <c r="FY358" s="770"/>
      <c r="FZ358" s="770"/>
      <c r="GA358" s="770"/>
      <c r="GB358" s="770"/>
      <c r="GC358" s="308"/>
      <c r="GD358" s="1757"/>
      <c r="GE358" s="770"/>
      <c r="GF358" s="302"/>
      <c r="GG358" s="302"/>
      <c r="GH358" s="770"/>
      <c r="GI358" s="770"/>
      <c r="GJ358" s="770"/>
      <c r="GK358" s="770"/>
      <c r="GL358" s="770"/>
      <c r="GM358" s="770"/>
      <c r="GN358" s="309"/>
      <c r="GO358" s="770"/>
      <c r="GP358" s="770"/>
      <c r="GQ358" s="770"/>
      <c r="GR358" s="770"/>
      <c r="GS358" s="770"/>
      <c r="GT358" s="770"/>
      <c r="GU358" s="770"/>
      <c r="GV358" s="770"/>
      <c r="GW358" s="770"/>
      <c r="GX358" s="770"/>
      <c r="GY358" s="770"/>
      <c r="GZ358" s="770"/>
      <c r="HA358" s="770"/>
      <c r="HB358" s="770"/>
      <c r="HC358" s="770"/>
      <c r="HD358" s="770"/>
      <c r="HE358" s="770"/>
      <c r="HF358" s="770"/>
      <c r="HG358" s="770"/>
      <c r="HH358" s="770"/>
      <c r="HI358" s="770"/>
      <c r="HJ358" s="770"/>
      <c r="HK358" s="770"/>
      <c r="HL358" s="770"/>
      <c r="HM358" s="770"/>
      <c r="HN358" s="770"/>
      <c r="HO358" s="770"/>
      <c r="HP358" s="770"/>
      <c r="HQ358" s="770"/>
      <c r="HR358" s="770"/>
      <c r="HS358" s="770"/>
      <c r="HT358" s="770"/>
      <c r="HU358" s="770"/>
      <c r="HV358" s="770"/>
      <c r="HW358" s="770"/>
      <c r="HX358" s="770"/>
      <c r="HY358" s="770"/>
      <c r="HZ358" s="770"/>
      <c r="IA358" s="770"/>
      <c r="IB358" s="14" t="e">
        <f>IF(#REF!&gt;0,IF(#REF!&lt;=10000,"Y",""),"")</f>
        <v>#REF!</v>
      </c>
      <c r="IC358" s="770"/>
      <c r="ID358" s="770"/>
      <c r="IE358" s="770"/>
      <c r="IF358" s="770"/>
      <c r="IG358" s="770"/>
      <c r="IH358" s="770"/>
      <c r="II358" s="770"/>
      <c r="IJ358" s="770" t="s">
        <v>1604</v>
      </c>
      <c r="IK358" s="770"/>
      <c r="IL358" s="770" t="s">
        <v>1186</v>
      </c>
      <c r="IM358" s="770"/>
      <c r="IN358" s="770" t="s">
        <v>1186</v>
      </c>
      <c r="IO358" s="296"/>
      <c r="IP358" s="770"/>
      <c r="IQ358" s="769" t="s">
        <v>5498</v>
      </c>
      <c r="IR358" s="770"/>
      <c r="IS358" s="770"/>
      <c r="IT358" s="770"/>
      <c r="IU358" s="770"/>
      <c r="IV358" s="770"/>
      <c r="IW358" s="770"/>
      <c r="IX358" s="770"/>
      <c r="IY358" s="770"/>
      <c r="IZ358" s="770"/>
      <c r="JA358" s="770"/>
      <c r="JB358" s="770"/>
      <c r="JC358" s="770"/>
      <c r="JD358" s="302"/>
      <c r="JE358" s="770"/>
      <c r="JF358" s="770"/>
      <c r="JG358" s="770"/>
      <c r="JH358" s="770"/>
      <c r="JI358" s="770"/>
      <c r="JJ358" s="770"/>
      <c r="JK358" s="770"/>
      <c r="JL358" s="770"/>
      <c r="JM358" s="770"/>
      <c r="JN358" s="770"/>
      <c r="JO358" s="770"/>
      <c r="JP358" s="770"/>
      <c r="JQ358" s="770"/>
      <c r="JR358" s="770"/>
      <c r="JS358" s="770"/>
      <c r="JT358" s="766"/>
      <c r="JU358" s="766"/>
      <c r="JV358" s="766"/>
      <c r="JW358" s="766"/>
      <c r="JX358" s="770"/>
      <c r="JY358" s="770"/>
      <c r="JZ358" s="770"/>
      <c r="KA358" s="770"/>
      <c r="KB358" s="770"/>
      <c r="KC358" s="770"/>
      <c r="KD358" s="770"/>
      <c r="KE358" s="770"/>
      <c r="KF358" s="770"/>
      <c r="KG358" s="770"/>
      <c r="KH358" s="770"/>
      <c r="KI358" s="770"/>
      <c r="KJ358" s="770"/>
      <c r="KK358" s="770"/>
      <c r="KL358" s="770"/>
      <c r="KM358" s="770"/>
      <c r="KN358" s="770"/>
      <c r="KO358" s="770"/>
      <c r="KP358" s="770"/>
      <c r="KQ358" s="770"/>
      <c r="KR358" s="770"/>
      <c r="KS358" s="770"/>
      <c r="KT358" s="770"/>
      <c r="KU358" s="770"/>
      <c r="KV358" s="770"/>
      <c r="KW358" s="770"/>
      <c r="KX358" s="770"/>
      <c r="KY358" s="770"/>
      <c r="KZ358" s="770"/>
      <c r="LA358" s="770"/>
      <c r="LB358" s="770"/>
      <c r="LC358" s="770"/>
      <c r="LD358" s="770"/>
      <c r="LE358" s="770"/>
      <c r="LF358" s="770"/>
      <c r="LG358" s="770"/>
      <c r="LH358" s="770"/>
      <c r="LI358" s="770"/>
      <c r="LJ358" s="770"/>
      <c r="LK358" s="770"/>
      <c r="LL358" s="770"/>
      <c r="LM358" s="770"/>
      <c r="LN358" s="766"/>
      <c r="LO358" s="766"/>
      <c r="LP358" s="770"/>
      <c r="LQ358" s="770"/>
      <c r="LR358" s="770"/>
      <c r="LS358" s="770"/>
      <c r="LT358" s="770"/>
      <c r="LU358" s="770"/>
      <c r="LV358" s="770"/>
      <c r="LW358" s="770"/>
      <c r="LX358" s="769"/>
      <c r="LY358" s="766" t="str">
        <f t="shared" si="93"/>
        <v/>
      </c>
      <c r="LZ358" s="299"/>
      <c r="MA358" s="306"/>
      <c r="MB358" s="306"/>
      <c r="MC358" s="1679">
        <f t="shared" si="99"/>
        <v>0</v>
      </c>
      <c r="MD358" s="306"/>
      <c r="ME358" s="306"/>
      <c r="MF358" s="306"/>
      <c r="MG358" s="1680">
        <f t="shared" si="97"/>
        <v>0</v>
      </c>
      <c r="MH358" s="770"/>
      <c r="MI358" s="302"/>
      <c r="MJ358" s="302"/>
      <c r="MK358" s="302"/>
      <c r="ML358" s="302"/>
      <c r="MM358" s="302"/>
      <c r="MN358" s="302"/>
      <c r="MO358" s="302"/>
      <c r="MP358" s="302"/>
      <c r="MQ358" s="302"/>
      <c r="MR358" s="302"/>
      <c r="MS358" s="302"/>
      <c r="MT358" s="302"/>
      <c r="MU358" s="302"/>
      <c r="MV358" s="302"/>
      <c r="MW358" s="302"/>
      <c r="MX358" s="302"/>
      <c r="MY358" s="1682">
        <f t="shared" si="98"/>
        <v>0</v>
      </c>
      <c r="MZ358" s="770"/>
      <c r="NA358" s="770"/>
      <c r="NB358" s="770"/>
      <c r="NC358" s="770"/>
      <c r="ND358" s="770"/>
      <c r="NE358" s="770"/>
      <c r="NF358" s="770"/>
      <c r="NG358" s="770"/>
      <c r="NH358" s="770"/>
      <c r="NI358" s="770"/>
      <c r="NJ358" s="770"/>
      <c r="NK358" s="770"/>
      <c r="NL358" s="770"/>
      <c r="NM358" s="770"/>
      <c r="NN358" s="770"/>
      <c r="NO358" s="770"/>
      <c r="NP358" s="770"/>
      <c r="NQ358" s="770"/>
      <c r="NR358" s="770"/>
      <c r="NS358" s="770"/>
      <c r="NT358" s="770"/>
      <c r="NU358" s="770"/>
      <c r="NV358" s="770"/>
      <c r="NW358" s="770"/>
      <c r="NX358" s="770"/>
      <c r="NY358" s="770"/>
      <c r="NZ358" s="770"/>
      <c r="OA358" s="770"/>
      <c r="OB358" s="770"/>
      <c r="OC358" s="770"/>
      <c r="OD358" s="770"/>
      <c r="OE358" s="770"/>
      <c r="OF358" s="770"/>
      <c r="OG358" s="770"/>
      <c r="OH358" s="770"/>
      <c r="OI358" s="770"/>
      <c r="OJ358" s="770"/>
      <c r="OK358" s="770"/>
      <c r="OL358" s="770"/>
      <c r="OM358" s="770"/>
      <c r="ON358" s="770"/>
      <c r="OO358" s="770"/>
      <c r="OP358" s="770"/>
      <c r="OQ358" s="770"/>
      <c r="OR358" s="770"/>
      <c r="OS358" s="770"/>
      <c r="OT358" s="770"/>
      <c r="OU358" s="770"/>
      <c r="OV358" s="770"/>
      <c r="OW358" s="770"/>
      <c r="OX358" s="770"/>
      <c r="OY358" s="770"/>
      <c r="OZ358" s="770"/>
      <c r="PA358" s="770"/>
      <c r="PB358" s="770"/>
      <c r="PC358" s="770"/>
      <c r="PD358" s="770"/>
      <c r="PE358" s="770"/>
      <c r="PF358" s="770"/>
      <c r="PG358" s="770"/>
      <c r="PH358" s="770"/>
      <c r="PI358" s="770"/>
      <c r="PJ358" s="770"/>
      <c r="PK358" s="770"/>
      <c r="PL358" s="770"/>
      <c r="PM358" s="770"/>
      <c r="PN358" s="770"/>
      <c r="PO358" s="770"/>
      <c r="PP358" s="770"/>
      <c r="PQ358" s="770"/>
      <c r="PR358" s="770"/>
      <c r="PS358" s="770"/>
      <c r="PT358" s="770"/>
      <c r="PU358" s="770"/>
      <c r="PV358" s="770"/>
      <c r="PW358" s="770"/>
      <c r="PX358" s="770"/>
      <c r="PY358" s="770"/>
      <c r="PZ358" s="770"/>
      <c r="QA358" s="770"/>
      <c r="QB358" s="770"/>
      <c r="QC358" s="770"/>
      <c r="QD358" s="770"/>
      <c r="QE358" s="770"/>
      <c r="QF358" s="770"/>
      <c r="QG358" s="770"/>
      <c r="QH358" s="770"/>
      <c r="QI358" s="770"/>
      <c r="QJ358" s="770"/>
      <c r="QK358" s="770"/>
      <c r="QL358" s="770"/>
      <c r="QM358" s="770"/>
      <c r="QN358" s="770"/>
      <c r="QO358" s="770"/>
      <c r="QP358" s="770"/>
      <c r="QQ358" s="770"/>
      <c r="QR358" s="770"/>
      <c r="QS358" s="770"/>
      <c r="QT358" s="770"/>
      <c r="QU358" s="770"/>
      <c r="QV358" s="770"/>
      <c r="QW358" s="770"/>
      <c r="QX358" s="770"/>
      <c r="QY358" s="770"/>
      <c r="QZ358" s="770"/>
      <c r="RA358" s="770"/>
      <c r="RB358" s="770"/>
      <c r="RC358" s="770"/>
      <c r="RD358" s="770"/>
      <c r="RE358" s="770"/>
      <c r="RF358" s="304"/>
      <c r="RG358" s="770"/>
      <c r="RH358" s="302"/>
      <c r="RI358" s="770"/>
      <c r="RJ358" s="770"/>
      <c r="RK358" s="770"/>
      <c r="RL358" s="1710"/>
      <c r="RM358" s="12"/>
      <c r="RN358" s="1711"/>
      <c r="RO358" s="148" t="s">
        <v>615</v>
      </c>
      <c r="RR358" s="766"/>
      <c r="RS358" s="87"/>
      <c r="RV358" s="158" t="s">
        <v>8092</v>
      </c>
      <c r="RW358" s="16" t="s">
        <v>7547</v>
      </c>
      <c r="RX358" s="16" t="s">
        <v>610</v>
      </c>
      <c r="RZ358" s="16" t="s">
        <v>2209</v>
      </c>
      <c r="SA358" s="158"/>
    </row>
    <row r="359" spans="1:497" ht="12.75" hidden="1" customHeight="1">
      <c r="A359" s="343" t="s">
        <v>14180</v>
      </c>
      <c r="B359" s="292" t="s">
        <v>5567</v>
      </c>
      <c r="C359" s="148" t="s">
        <v>615</v>
      </c>
      <c r="D359" s="94" t="s">
        <v>616</v>
      </c>
      <c r="E359" s="770" t="s">
        <v>617</v>
      </c>
      <c r="F359" s="770" t="s">
        <v>618</v>
      </c>
      <c r="G359" s="770" t="s">
        <v>18</v>
      </c>
      <c r="H359" s="770"/>
      <c r="I359" s="295" t="s">
        <v>619</v>
      </c>
      <c r="J359" s="94" t="s">
        <v>11741</v>
      </c>
      <c r="K359" s="770"/>
      <c r="L359" s="770"/>
      <c r="M359" s="770"/>
      <c r="N359" s="770"/>
      <c r="O359" s="770"/>
      <c r="P359" s="94" t="s">
        <v>11742</v>
      </c>
      <c r="Q359" s="1088">
        <v>24389</v>
      </c>
      <c r="R359" s="297">
        <v>50</v>
      </c>
      <c r="S359" s="770" t="s">
        <v>18</v>
      </c>
      <c r="T359" s="770"/>
      <c r="U359" s="298" t="s">
        <v>11743</v>
      </c>
      <c r="V359" s="770" t="s">
        <v>768</v>
      </c>
      <c r="W359" s="770"/>
      <c r="X359" s="296"/>
      <c r="Y359" s="770" t="s">
        <v>617</v>
      </c>
      <c r="Z359" s="770" t="s">
        <v>1057</v>
      </c>
      <c r="AA359" s="770" t="s">
        <v>748</v>
      </c>
      <c r="AB359" s="770" t="s">
        <v>744</v>
      </c>
      <c r="AC359" s="770" t="s">
        <v>11744</v>
      </c>
      <c r="AD359" s="770"/>
      <c r="AE359" s="770"/>
      <c r="AF359" s="770"/>
      <c r="AG359" s="770"/>
      <c r="AH359" s="770"/>
      <c r="AI359" s="770"/>
      <c r="AJ359" s="770"/>
      <c r="AK359" s="770" t="s">
        <v>1899</v>
      </c>
      <c r="AL359" s="299"/>
      <c r="AM359" s="300"/>
      <c r="AN359" s="301"/>
      <c r="AO359" s="766"/>
      <c r="AP359" s="766"/>
      <c r="AQ359" s="766"/>
      <c r="AR359" s="766"/>
      <c r="AS359" s="770"/>
      <c r="AT359" s="770"/>
      <c r="AU359" s="770"/>
      <c r="AV359" s="770"/>
      <c r="AW359" s="770"/>
      <c r="AX359" s="770"/>
      <c r="AY359" s="770"/>
      <c r="AZ359" s="770"/>
      <c r="BA359" s="770"/>
      <c r="BB359" s="770"/>
      <c r="BC359" s="770"/>
      <c r="BD359" s="770"/>
      <c r="BE359" s="770"/>
      <c r="BF359" s="302"/>
      <c r="BG359" s="302"/>
      <c r="BH359" s="770"/>
      <c r="BI359" s="770"/>
      <c r="BJ359" s="770"/>
      <c r="BK359" s="770"/>
      <c r="BL359" s="770"/>
      <c r="BM359" s="770" t="s">
        <v>1238</v>
      </c>
      <c r="BN359" s="770" t="s">
        <v>1256</v>
      </c>
      <c r="BO359" s="770"/>
      <c r="BP359" s="780"/>
      <c r="BQ359" s="772"/>
      <c r="BR359" s="774"/>
      <c r="BS359" s="6" t="s">
        <v>1149</v>
      </c>
      <c r="BT359" s="766"/>
      <c r="BU359" s="770"/>
      <c r="BV359" s="770"/>
      <c r="BW359" s="770"/>
      <c r="BX359" s="302"/>
      <c r="BY359" s="303"/>
      <c r="BZ359" s="770"/>
      <c r="CA359" s="302"/>
      <c r="CB359" s="302"/>
      <c r="CC359" s="770"/>
      <c r="CD359" s="770"/>
      <c r="CE359" s="306"/>
      <c r="CF359" s="1753"/>
      <c r="CG359" s="1754"/>
      <c r="CH359" s="770"/>
      <c r="CI359" s="770"/>
      <c r="CJ359" s="770"/>
      <c r="CK359" s="770"/>
      <c r="CL359" s="770"/>
      <c r="CM359" s="770"/>
      <c r="CN359" s="770"/>
      <c r="CO359" s="770"/>
      <c r="CP359" s="770"/>
      <c r="CQ359" s="770"/>
      <c r="CR359" s="302"/>
      <c r="CS359" s="770"/>
      <c r="CT359" s="770"/>
      <c r="CU359" s="305"/>
      <c r="CV359" s="770"/>
      <c r="CW359" s="770"/>
      <c r="CX359" s="770"/>
      <c r="CY359" s="770"/>
      <c r="CZ359" s="770"/>
      <c r="DA359" s="306"/>
      <c r="DB359" s="770"/>
      <c r="DC359" s="770"/>
      <c r="DD359" s="770"/>
      <c r="DE359" s="300"/>
      <c r="DF359" s="770"/>
      <c r="DG359" s="770"/>
      <c r="DH359" s="770"/>
      <c r="DI359" s="770"/>
      <c r="DJ359" s="770"/>
      <c r="DK359" s="770"/>
      <c r="DL359" s="770"/>
      <c r="DM359" s="770"/>
      <c r="DN359" s="322"/>
      <c r="DO359" s="770"/>
      <c r="DP359" s="770"/>
      <c r="DQ359" s="770"/>
      <c r="DR359" s="770"/>
      <c r="DS359" s="307"/>
      <c r="DT359" s="770"/>
      <c r="DU359" s="770"/>
      <c r="DV359" s="770"/>
      <c r="DW359" s="306"/>
      <c r="DX359" s="306"/>
      <c r="DY359" s="1055"/>
      <c r="DZ359" s="770"/>
      <c r="EA359" s="770"/>
      <c r="EB359" s="770"/>
      <c r="EC359" s="770"/>
      <c r="ED359" s="770"/>
      <c r="EE359" s="770"/>
      <c r="EF359" s="770"/>
      <c r="EG359" s="770"/>
      <c r="EH359" s="770"/>
      <c r="EI359" s="770"/>
      <c r="EJ359" s="770"/>
      <c r="EK359" s="770"/>
      <c r="EL359" s="770"/>
      <c r="EM359" s="770"/>
      <c r="EN359" s="770"/>
      <c r="EO359" s="770"/>
      <c r="EP359" s="94"/>
      <c r="EQ359" s="770"/>
      <c r="ER359" s="770"/>
      <c r="ES359" s="770"/>
      <c r="ET359" s="770"/>
      <c r="EU359" s="770"/>
      <c r="EV359" s="770"/>
      <c r="EW359" s="770"/>
      <c r="EX359" s="770"/>
      <c r="EY359" s="770"/>
      <c r="EZ359" s="770"/>
      <c r="FA359" s="770"/>
      <c r="FB359" s="770"/>
      <c r="FC359" s="770"/>
      <c r="FD359" s="302"/>
      <c r="FE359" s="770"/>
      <c r="FF359" s="770"/>
      <c r="FG359" s="770"/>
      <c r="FH359" s="770" t="s">
        <v>1306</v>
      </c>
      <c r="FI359" s="770"/>
      <c r="FJ359" s="770"/>
      <c r="FK359" s="770"/>
      <c r="FL359" s="770"/>
      <c r="FM359" s="775"/>
      <c r="FN359" s="302"/>
      <c r="FO359" s="302"/>
      <c r="FP359" s="770"/>
      <c r="FQ359" s="770"/>
      <c r="FR359" s="770"/>
      <c r="FS359" s="770"/>
      <c r="FT359" s="770"/>
      <c r="FU359" s="770"/>
      <c r="FV359" s="770"/>
      <c r="FW359" s="770"/>
      <c r="FX359" s="770"/>
      <c r="FY359" s="770"/>
      <c r="FZ359" s="770"/>
      <c r="GA359" s="770"/>
      <c r="GB359" s="770"/>
      <c r="GC359" s="308"/>
      <c r="GD359" s="297"/>
      <c r="GE359" s="770"/>
      <c r="GF359" s="302"/>
      <c r="GG359" s="302"/>
      <c r="GH359" s="770"/>
      <c r="GI359" s="770"/>
      <c r="GJ359" s="770"/>
      <c r="GK359" s="770"/>
      <c r="GL359" s="770"/>
      <c r="GM359" s="770"/>
      <c r="GN359" s="309"/>
      <c r="GO359" s="770"/>
      <c r="GP359" s="770"/>
      <c r="GQ359" s="770"/>
      <c r="GR359" s="770"/>
      <c r="GS359" s="770"/>
      <c r="GT359" s="770"/>
      <c r="GU359" s="770"/>
      <c r="GV359" s="770"/>
      <c r="GW359" s="770"/>
      <c r="GX359" s="770"/>
      <c r="GY359" s="770"/>
      <c r="GZ359" s="770"/>
      <c r="HA359" s="770"/>
      <c r="HB359" s="770"/>
      <c r="HC359" s="770"/>
      <c r="HD359" s="770"/>
      <c r="HE359" s="770"/>
      <c r="HF359" s="770"/>
      <c r="HG359" s="770"/>
      <c r="HH359" s="770"/>
      <c r="HI359" s="770"/>
      <c r="HJ359" s="770"/>
      <c r="HK359" s="770"/>
      <c r="HL359" s="770"/>
      <c r="HM359" s="770"/>
      <c r="HN359" s="770"/>
      <c r="HO359" s="770"/>
      <c r="HP359" s="770"/>
      <c r="HQ359" s="770"/>
      <c r="HR359" s="770"/>
      <c r="HS359" s="770"/>
      <c r="HT359" s="770"/>
      <c r="HU359" s="770"/>
      <c r="HV359" s="770"/>
      <c r="HW359" s="770"/>
      <c r="HX359" s="770"/>
      <c r="HY359" s="770"/>
      <c r="HZ359" s="770"/>
      <c r="IA359" s="770"/>
      <c r="IB359" s="14" t="e">
        <f>IF(#REF!&gt;0,IF(#REF!&lt;=10000,"Y",""),"")</f>
        <v>#REF!</v>
      </c>
      <c r="IC359" s="770" t="s">
        <v>1207</v>
      </c>
      <c r="ID359" s="770"/>
      <c r="IE359" s="770"/>
      <c r="IF359" s="770"/>
      <c r="IG359" s="770"/>
      <c r="IH359" s="770"/>
      <c r="II359" s="770"/>
      <c r="IJ359" s="770"/>
      <c r="IK359" s="770"/>
      <c r="IL359" s="770"/>
      <c r="IM359" s="770"/>
      <c r="IN359" s="770"/>
      <c r="IO359" s="296"/>
      <c r="IP359" s="770"/>
      <c r="IQ359" s="770"/>
      <c r="IR359" s="770"/>
      <c r="IS359" s="770"/>
      <c r="IT359" s="770"/>
      <c r="IU359" s="770"/>
      <c r="IV359" s="770"/>
      <c r="IW359" s="770"/>
      <c r="IX359" s="770"/>
      <c r="IY359" s="770"/>
      <c r="IZ359" s="770"/>
      <c r="JA359" s="770"/>
      <c r="JB359" s="770"/>
      <c r="JC359" s="770"/>
      <c r="JD359" s="302"/>
      <c r="JE359" s="770"/>
      <c r="JF359" s="770"/>
      <c r="JG359" s="770"/>
      <c r="JH359" s="770"/>
      <c r="JI359" s="770"/>
      <c r="JJ359" s="770">
        <v>1</v>
      </c>
      <c r="JK359" s="770" t="s">
        <v>13488</v>
      </c>
      <c r="JL359" s="766"/>
      <c r="JM359" s="766"/>
      <c r="JN359" s="766"/>
      <c r="JO359" s="766">
        <v>1</v>
      </c>
      <c r="JP359" s="766"/>
      <c r="JQ359" s="766"/>
      <c r="JR359" s="766"/>
      <c r="JS359" s="766"/>
      <c r="JT359" s="766">
        <f>SUM(JP359,JN359,JL359,JR359)</f>
        <v>0</v>
      </c>
      <c r="JU359" s="766">
        <f>SUM(JQ359,JO359,JM359,JS359)</f>
        <v>1</v>
      </c>
      <c r="JV359" s="766"/>
      <c r="JW359" s="766"/>
      <c r="JX359" s="766"/>
      <c r="JY359" s="766"/>
      <c r="JZ359" s="766"/>
      <c r="KA359" s="766"/>
      <c r="KB359" s="766"/>
      <c r="KC359" s="766"/>
      <c r="KD359" s="766"/>
      <c r="KE359" s="766">
        <v>1</v>
      </c>
      <c r="KF359" s="766"/>
      <c r="KG359" s="766"/>
      <c r="KH359" s="766"/>
      <c r="KI359" s="766"/>
      <c r="KJ359" s="770">
        <f>SUM(KF359,KD359,KB359,JZ359,JX359,KH359)</f>
        <v>0</v>
      </c>
      <c r="KK359" s="770">
        <f>SUM(KG359,KE359,KC359,KA359,JY359,KI359)</f>
        <v>1</v>
      </c>
      <c r="KL359" s="770"/>
      <c r="KM359" s="770"/>
      <c r="KN359" s="770"/>
      <c r="KO359" s="770"/>
      <c r="KP359" s="770"/>
      <c r="KQ359" s="770"/>
      <c r="KR359" s="770"/>
      <c r="KS359" s="770"/>
      <c r="KT359" s="770"/>
      <c r="KU359" s="770"/>
      <c r="KV359" s="770"/>
      <c r="KW359" s="770"/>
      <c r="KX359" s="770"/>
      <c r="KY359" s="770"/>
      <c r="KZ359" s="770"/>
      <c r="LA359" s="770"/>
      <c r="LB359" s="770"/>
      <c r="LC359" s="770"/>
      <c r="LD359" s="770"/>
      <c r="LE359" s="770"/>
      <c r="LF359" s="770"/>
      <c r="LG359" s="770"/>
      <c r="LH359" s="770"/>
      <c r="LI359" s="770"/>
      <c r="LJ359" s="770"/>
      <c r="LK359" s="770"/>
      <c r="LL359" s="770"/>
      <c r="LM359" s="770"/>
      <c r="LN359" s="766"/>
      <c r="LO359" s="766"/>
      <c r="LP359" s="770"/>
      <c r="LQ359" s="770"/>
      <c r="LR359" s="770"/>
      <c r="LS359" s="770"/>
      <c r="LT359" s="770"/>
      <c r="LU359" s="770"/>
      <c r="LV359" s="770"/>
      <c r="LW359" s="770"/>
      <c r="LX359" s="769"/>
      <c r="LY359" s="766" t="str">
        <f t="shared" si="93"/>
        <v/>
      </c>
      <c r="LZ359" s="299"/>
      <c r="MA359" s="306"/>
      <c r="MB359" s="306"/>
      <c r="MC359" s="1679">
        <f t="shared" si="99"/>
        <v>0</v>
      </c>
      <c r="MD359" s="306"/>
      <c r="ME359" s="306"/>
      <c r="MF359" s="306"/>
      <c r="MG359" s="1680">
        <f t="shared" si="97"/>
        <v>0</v>
      </c>
      <c r="MH359" s="770"/>
      <c r="MI359" s="302"/>
      <c r="MJ359" s="302"/>
      <c r="MK359" s="302"/>
      <c r="ML359" s="302"/>
      <c r="MM359" s="302"/>
      <c r="MN359" s="302"/>
      <c r="MO359" s="302"/>
      <c r="MP359" s="302"/>
      <c r="MQ359" s="302"/>
      <c r="MR359" s="302"/>
      <c r="MS359" s="302"/>
      <c r="MT359" s="302"/>
      <c r="MU359" s="302"/>
      <c r="MV359" s="302"/>
      <c r="MW359" s="302"/>
      <c r="MX359" s="302"/>
      <c r="MY359" s="1682">
        <f t="shared" si="98"/>
        <v>0</v>
      </c>
      <c r="MZ359" s="770"/>
      <c r="NA359" s="770"/>
      <c r="NB359" s="770"/>
      <c r="NC359" s="770"/>
      <c r="ND359" s="770"/>
      <c r="NE359" s="770"/>
      <c r="NF359" s="770"/>
      <c r="NG359" s="770"/>
      <c r="NH359" s="770"/>
      <c r="NI359" s="770"/>
      <c r="NJ359" s="770"/>
      <c r="NK359" s="770"/>
      <c r="NL359" s="770"/>
      <c r="NM359" s="770"/>
      <c r="NN359" s="770"/>
      <c r="NO359" s="770"/>
      <c r="NP359" s="770"/>
      <c r="NQ359" s="770"/>
      <c r="NR359" s="770"/>
      <c r="NS359" s="770"/>
      <c r="NT359" s="770"/>
      <c r="NU359" s="770"/>
      <c r="NV359" s="770"/>
      <c r="NW359" s="770"/>
      <c r="NX359" s="770"/>
      <c r="NY359" s="770"/>
      <c r="NZ359" s="770"/>
      <c r="OA359" s="770"/>
      <c r="OB359" s="770"/>
      <c r="OC359" s="770"/>
      <c r="OD359" s="770"/>
      <c r="OE359" s="770"/>
      <c r="OF359" s="770"/>
      <c r="OG359" s="770"/>
      <c r="OH359" s="770"/>
      <c r="OI359" s="770"/>
      <c r="OJ359" s="770"/>
      <c r="OK359" s="770"/>
      <c r="OL359" s="770"/>
      <c r="OM359" s="770"/>
      <c r="ON359" s="770"/>
      <c r="OO359" s="770"/>
      <c r="OP359" s="770"/>
      <c r="OQ359" s="770"/>
      <c r="OR359" s="770"/>
      <c r="OS359" s="770"/>
      <c r="OT359" s="770"/>
      <c r="OU359" s="770"/>
      <c r="OV359" s="770"/>
      <c r="OW359" s="770"/>
      <c r="OX359" s="770"/>
      <c r="OY359" s="770"/>
      <c r="OZ359" s="770"/>
      <c r="PA359" s="770"/>
      <c r="PB359" s="770"/>
      <c r="PC359" s="770"/>
      <c r="PD359" s="770"/>
      <c r="PE359" s="770"/>
      <c r="PF359" s="770"/>
      <c r="PG359" s="770"/>
      <c r="PH359" s="770"/>
      <c r="PI359" s="770"/>
      <c r="PJ359" s="770"/>
      <c r="PK359" s="770"/>
      <c r="PL359" s="770"/>
      <c r="PM359" s="770"/>
      <c r="PN359" s="770"/>
      <c r="PO359" s="770"/>
      <c r="PP359" s="770"/>
      <c r="PQ359" s="770"/>
      <c r="PR359" s="770"/>
      <c r="PS359" s="770"/>
      <c r="PT359" s="770"/>
      <c r="PU359" s="770"/>
      <c r="PV359" s="770"/>
      <c r="PW359" s="770"/>
      <c r="PX359" s="770"/>
      <c r="PY359" s="770"/>
      <c r="PZ359" s="770"/>
      <c r="QA359" s="770"/>
      <c r="QB359" s="770"/>
      <c r="QC359" s="770"/>
      <c r="QD359" s="770"/>
      <c r="QE359" s="770"/>
      <c r="QF359" s="770"/>
      <c r="QG359" s="770"/>
      <c r="QH359" s="770"/>
      <c r="QI359" s="770"/>
      <c r="QJ359" s="770"/>
      <c r="QK359" s="770"/>
      <c r="QL359" s="770"/>
      <c r="QM359" s="770"/>
      <c r="QN359" s="770"/>
      <c r="QO359" s="770"/>
      <c r="QP359" s="770"/>
      <c r="QQ359" s="770"/>
      <c r="QR359" s="770"/>
      <c r="QS359" s="770"/>
      <c r="QT359" s="770"/>
      <c r="QU359" s="770"/>
      <c r="QV359" s="770"/>
      <c r="QW359" s="770"/>
      <c r="QX359" s="770"/>
      <c r="QY359" s="770"/>
      <c r="QZ359" s="770"/>
      <c r="RA359" s="770"/>
      <c r="RB359" s="770"/>
      <c r="RC359" s="770"/>
      <c r="RD359" s="770"/>
      <c r="RE359" s="770"/>
      <c r="RF359" s="304"/>
      <c r="RG359" s="770"/>
      <c r="RH359" s="302"/>
      <c r="RI359" s="770"/>
      <c r="RJ359" s="770" t="s">
        <v>2187</v>
      </c>
      <c r="RK359" s="770" t="s">
        <v>13461</v>
      </c>
      <c r="RL359" s="1710">
        <v>42817</v>
      </c>
      <c r="RM359" s="12"/>
      <c r="RN359" s="1711"/>
      <c r="RO359" s="148" t="s">
        <v>615</v>
      </c>
      <c r="RP359" s="11"/>
      <c r="RQ359" s="11"/>
      <c r="RR359" s="17"/>
      <c r="RS359" s="767"/>
      <c r="RT359" s="11"/>
      <c r="RU359" s="11"/>
      <c r="RV359" s="771" t="s">
        <v>7419</v>
      </c>
      <c r="RW359" s="11" t="s">
        <v>7987</v>
      </c>
      <c r="RX359" s="11" t="s">
        <v>613</v>
      </c>
      <c r="RY359" s="11"/>
      <c r="RZ359" s="11"/>
      <c r="SA359" s="771"/>
      <c r="SB359" s="11"/>
      <c r="SC359" s="11"/>
    </row>
    <row r="360" spans="1:497" ht="12.75" hidden="1" customHeight="1">
      <c r="A360" s="154" t="s">
        <v>7419</v>
      </c>
      <c r="B360" s="292" t="s">
        <v>7647</v>
      </c>
      <c r="C360" s="140" t="s">
        <v>620</v>
      </c>
      <c r="D360" s="94" t="s">
        <v>2014</v>
      </c>
      <c r="E360" s="770" t="s">
        <v>622</v>
      </c>
      <c r="F360" s="770" t="s">
        <v>3044</v>
      </c>
      <c r="G360" s="770" t="s">
        <v>10</v>
      </c>
      <c r="H360" s="770"/>
      <c r="I360" s="295"/>
      <c r="J360" s="94" t="s">
        <v>5659</v>
      </c>
      <c r="K360" s="770"/>
      <c r="L360" s="770"/>
      <c r="M360" s="770"/>
      <c r="N360" s="770"/>
      <c r="O360" s="770"/>
      <c r="P360" s="766" t="s">
        <v>11745</v>
      </c>
      <c r="Q360" s="1088">
        <v>26346</v>
      </c>
      <c r="R360" s="297">
        <v>45</v>
      </c>
      <c r="S360" s="770" t="s">
        <v>10</v>
      </c>
      <c r="T360" s="770"/>
      <c r="U360" s="298"/>
      <c r="V360" s="770" t="s">
        <v>707</v>
      </c>
      <c r="W360" s="770"/>
      <c r="X360" s="296"/>
      <c r="Y360" s="770" t="s">
        <v>622</v>
      </c>
      <c r="Z360" s="770" t="s">
        <v>708</v>
      </c>
      <c r="AA360" s="770" t="s">
        <v>709</v>
      </c>
      <c r="AB360" s="770" t="s">
        <v>744</v>
      </c>
      <c r="AC360" s="770" t="s">
        <v>11744</v>
      </c>
      <c r="AD360" s="770" t="s">
        <v>711</v>
      </c>
      <c r="AE360" s="770"/>
      <c r="AF360" s="770" t="s">
        <v>712</v>
      </c>
      <c r="AG360" s="766" t="s">
        <v>1095</v>
      </c>
      <c r="AH360" s="766" t="s">
        <v>1096</v>
      </c>
      <c r="AI360" s="770" t="s">
        <v>1754</v>
      </c>
      <c r="AJ360" s="770"/>
      <c r="AK360" s="766" t="s">
        <v>1097</v>
      </c>
      <c r="AL360" s="299">
        <v>119.7</v>
      </c>
      <c r="AM360" s="300">
        <v>14</v>
      </c>
      <c r="AN360" s="301">
        <v>0.11700000000000001</v>
      </c>
      <c r="AO360" s="766" t="s">
        <v>1109</v>
      </c>
      <c r="AP360" s="766"/>
      <c r="AQ360" s="766"/>
      <c r="AR360" s="766"/>
      <c r="AS360" s="770" t="s">
        <v>1207</v>
      </c>
      <c r="AT360" s="770" t="s">
        <v>1208</v>
      </c>
      <c r="AU360" s="770"/>
      <c r="AV360" s="770"/>
      <c r="AW360" s="770"/>
      <c r="AX360" s="770"/>
      <c r="AY360" s="770"/>
      <c r="AZ360" s="770"/>
      <c r="BA360" s="770"/>
      <c r="BB360" s="770"/>
      <c r="BC360" s="770" t="s">
        <v>796</v>
      </c>
      <c r="BD360" s="770" t="s">
        <v>1214</v>
      </c>
      <c r="BE360" s="770"/>
      <c r="BF360" s="302"/>
      <c r="BG360" s="302"/>
      <c r="BH360" s="770"/>
      <c r="BI360" s="770"/>
      <c r="BJ360" s="770"/>
      <c r="BK360" s="770" t="s">
        <v>1095</v>
      </c>
      <c r="BL360" s="766" t="s">
        <v>11745</v>
      </c>
      <c r="BM360" s="766" t="s">
        <v>1096</v>
      </c>
      <c r="BN360" s="770" t="s">
        <v>1230</v>
      </c>
      <c r="BO360" s="766" t="s">
        <v>1246</v>
      </c>
      <c r="BP360" s="780">
        <v>119.7</v>
      </c>
      <c r="BQ360" s="780">
        <v>14</v>
      </c>
      <c r="BR360" s="774">
        <v>0.11700000000000001</v>
      </c>
      <c r="BS360" s="766" t="s">
        <v>1242</v>
      </c>
      <c r="BT360" s="766" t="s">
        <v>2040</v>
      </c>
      <c r="BU360" s="770" t="s">
        <v>1249</v>
      </c>
      <c r="BV360" s="770" t="s">
        <v>1247</v>
      </c>
      <c r="BW360" s="769"/>
      <c r="BX360" s="302"/>
      <c r="BY360" s="303"/>
      <c r="BZ360" s="770"/>
      <c r="CA360" s="302"/>
      <c r="CB360" s="302" t="s">
        <v>1207</v>
      </c>
      <c r="CC360" s="770"/>
      <c r="CD360" s="770"/>
      <c r="CE360" s="770"/>
      <c r="CF360" s="304"/>
      <c r="CG360" s="321"/>
      <c r="CH360" s="770"/>
      <c r="CI360" s="770"/>
      <c r="CJ360" s="770"/>
      <c r="CK360" s="770"/>
      <c r="CL360" s="770"/>
      <c r="CM360" s="770"/>
      <c r="CN360" s="770"/>
      <c r="CO360" s="770"/>
      <c r="CP360" s="770"/>
      <c r="CQ360" s="770"/>
      <c r="CR360" s="770"/>
      <c r="CS360" s="302"/>
      <c r="CT360" s="770"/>
      <c r="CU360" s="305"/>
      <c r="CV360" s="770"/>
      <c r="CW360" s="770"/>
      <c r="CX360" s="770"/>
      <c r="CY360" s="770"/>
      <c r="CZ360" s="770"/>
      <c r="DA360" s="306"/>
      <c r="DB360" s="770"/>
      <c r="DC360" s="770"/>
      <c r="DD360" s="770"/>
      <c r="DE360" s="300"/>
      <c r="DF360" s="770"/>
      <c r="DG360" s="770"/>
      <c r="DH360" s="770"/>
      <c r="DI360" s="770"/>
      <c r="DJ360" s="770"/>
      <c r="DK360" s="770"/>
      <c r="DL360" s="770"/>
      <c r="DM360" s="770"/>
      <c r="DN360" s="322"/>
      <c r="DO360" s="770"/>
      <c r="DP360" s="770"/>
      <c r="DQ360" s="770"/>
      <c r="DR360" s="770"/>
      <c r="DS360" s="307"/>
      <c r="DT360" s="770"/>
      <c r="DU360" s="770"/>
      <c r="DV360" s="770"/>
      <c r="DW360" s="306"/>
      <c r="DX360" s="306"/>
      <c r="DY360" s="770"/>
      <c r="DZ360" s="770"/>
      <c r="EA360" s="770"/>
      <c r="EB360" s="770"/>
      <c r="EC360" s="770"/>
      <c r="ED360" s="770"/>
      <c r="EE360" s="770"/>
      <c r="EF360" s="770"/>
      <c r="EG360" s="770"/>
      <c r="EH360" s="770"/>
      <c r="EI360" s="770"/>
      <c r="EJ360" s="770"/>
      <c r="EK360" s="770"/>
      <c r="EL360" s="770"/>
      <c r="EM360" s="770"/>
      <c r="EN360" s="770"/>
      <c r="EO360" s="770"/>
      <c r="EP360" s="94"/>
      <c r="EQ360" s="770"/>
      <c r="ER360" s="770"/>
      <c r="ES360" s="770"/>
      <c r="ET360" s="770"/>
      <c r="EU360" s="770"/>
      <c r="EV360" s="770"/>
      <c r="EW360" s="770"/>
      <c r="EX360" s="770"/>
      <c r="EY360" s="770"/>
      <c r="EZ360" s="770" t="s">
        <v>1565</v>
      </c>
      <c r="FA360" s="770"/>
      <c r="FB360" s="770" t="s">
        <v>1257</v>
      </c>
      <c r="FC360" s="770"/>
      <c r="FD360" s="302" t="s">
        <v>1566</v>
      </c>
      <c r="FE360" s="770" t="s">
        <v>1567</v>
      </c>
      <c r="FF360" s="770" t="s">
        <v>1568</v>
      </c>
      <c r="FG360" s="770"/>
      <c r="FH360" s="770" t="s">
        <v>3044</v>
      </c>
      <c r="FI360" s="770">
        <v>2</v>
      </c>
      <c r="FJ360" s="770" t="s">
        <v>1754</v>
      </c>
      <c r="FK360" s="770"/>
      <c r="FL360" s="770"/>
      <c r="FM360" s="302"/>
      <c r="FN360" s="302"/>
      <c r="FO360" s="302"/>
      <c r="FP360" s="770"/>
      <c r="FQ360" s="770"/>
      <c r="FR360" s="770" t="s">
        <v>1207</v>
      </c>
      <c r="FS360" s="770" t="s">
        <v>1208</v>
      </c>
      <c r="FT360" s="770"/>
      <c r="FU360" s="770"/>
      <c r="FV360" s="770"/>
      <c r="FW360" s="770"/>
      <c r="FX360" s="770"/>
      <c r="FY360" s="770"/>
      <c r="FZ360" s="770"/>
      <c r="GA360" s="770"/>
      <c r="GB360" s="770" t="s">
        <v>1753</v>
      </c>
      <c r="GC360" s="308" t="s">
        <v>1754</v>
      </c>
      <c r="GD360" s="297"/>
      <c r="GE360" s="770" t="s">
        <v>1207</v>
      </c>
      <c r="GF360" s="302">
        <v>2000</v>
      </c>
      <c r="GG360" s="302">
        <f>GF360*12</f>
        <v>24000</v>
      </c>
      <c r="GH360" s="770"/>
      <c r="GI360" s="770"/>
      <c r="GJ360" s="770"/>
      <c r="GK360" s="770"/>
      <c r="GL360" s="770"/>
      <c r="GM360" s="770"/>
      <c r="GN360" s="309"/>
      <c r="GO360" s="770"/>
      <c r="GP360" s="770"/>
      <c r="GQ360" s="770"/>
      <c r="GR360" s="770"/>
      <c r="GS360" s="770"/>
      <c r="GT360" s="770"/>
      <c r="GU360" s="770"/>
      <c r="GV360" s="770"/>
      <c r="GW360" s="770"/>
      <c r="GX360" s="770"/>
      <c r="GY360" s="770"/>
      <c r="GZ360" s="770"/>
      <c r="HA360" s="770"/>
      <c r="HB360" s="770"/>
      <c r="HC360" s="770"/>
      <c r="HD360" s="770"/>
      <c r="HE360" s="770"/>
      <c r="HF360" s="770"/>
      <c r="HG360" s="770"/>
      <c r="HH360" s="770"/>
      <c r="HI360" s="770"/>
      <c r="HJ360" s="770"/>
      <c r="HK360" s="770"/>
      <c r="HL360" s="770"/>
      <c r="HM360" s="770"/>
      <c r="HN360" s="770"/>
      <c r="HO360" s="770"/>
      <c r="HP360" s="770"/>
      <c r="HQ360" s="770"/>
      <c r="HR360" s="770">
        <v>1</v>
      </c>
      <c r="HS360" s="770"/>
      <c r="HT360" s="770">
        <v>6</v>
      </c>
      <c r="HU360" s="770"/>
      <c r="HV360" s="770"/>
      <c r="HW360" s="770"/>
      <c r="HX360" s="770"/>
      <c r="HY360" s="770"/>
      <c r="HZ360" s="770"/>
      <c r="IA360" s="770"/>
      <c r="IB360" s="14" t="e">
        <f>IF(#REF!&gt;0,IF(#REF!&lt;=10000,"Y",""),"")</f>
        <v>#REF!</v>
      </c>
      <c r="IC360" s="770"/>
      <c r="ID360" s="770">
        <v>2</v>
      </c>
      <c r="IE360" s="770"/>
      <c r="IF360" s="770" t="s">
        <v>2014</v>
      </c>
      <c r="IG360" s="770" t="s">
        <v>10</v>
      </c>
      <c r="IH360" s="770" t="s">
        <v>2015</v>
      </c>
      <c r="II360" s="770" t="s">
        <v>1051</v>
      </c>
      <c r="IJ360" s="770" t="s">
        <v>1604</v>
      </c>
      <c r="IK360" s="766" t="s">
        <v>1888</v>
      </c>
      <c r="IL360" s="770" t="s">
        <v>643</v>
      </c>
      <c r="IM360" s="770">
        <v>2008</v>
      </c>
      <c r="IN360" s="770" t="s">
        <v>1754</v>
      </c>
      <c r="IO360" s="296">
        <v>21226</v>
      </c>
      <c r="IP360" s="770" t="s">
        <v>478</v>
      </c>
      <c r="IQ360" s="769" t="s">
        <v>5498</v>
      </c>
      <c r="IR360" s="770" t="s">
        <v>2716</v>
      </c>
      <c r="IS360" s="770" t="s">
        <v>1883</v>
      </c>
      <c r="IT360" s="770"/>
      <c r="IU360" s="770" t="s">
        <v>1208</v>
      </c>
      <c r="IV360" s="770"/>
      <c r="IW360" s="770"/>
      <c r="IX360" s="770"/>
      <c r="IY360" s="770"/>
      <c r="IZ360" s="770"/>
      <c r="JA360" s="770"/>
      <c r="JB360" s="770"/>
      <c r="JC360" s="770"/>
      <c r="JD360" s="302">
        <v>2000</v>
      </c>
      <c r="JE360" s="770"/>
      <c r="JF360" s="770"/>
      <c r="JG360" s="770"/>
      <c r="JH360" s="770"/>
      <c r="JI360" s="770"/>
      <c r="JJ360" s="770"/>
      <c r="JK360" s="770"/>
      <c r="JL360" s="770"/>
      <c r="JM360" s="770"/>
      <c r="JN360" s="770"/>
      <c r="JO360" s="770"/>
      <c r="JP360" s="770"/>
      <c r="JQ360" s="770"/>
      <c r="JR360" s="770"/>
      <c r="JS360" s="770"/>
      <c r="JT360" s="766"/>
      <c r="JU360" s="766"/>
      <c r="JV360" s="766"/>
      <c r="JW360" s="766"/>
      <c r="JX360" s="770"/>
      <c r="JY360" s="770"/>
      <c r="JZ360" s="770"/>
      <c r="KA360" s="770"/>
      <c r="KB360" s="770"/>
      <c r="KC360" s="770"/>
      <c r="KD360" s="770"/>
      <c r="KE360" s="770"/>
      <c r="KF360" s="770"/>
      <c r="KG360" s="770"/>
      <c r="KH360" s="770"/>
      <c r="KI360" s="770"/>
      <c r="KJ360" s="770"/>
      <c r="KK360" s="770"/>
      <c r="KL360" s="770"/>
      <c r="KM360" s="770"/>
      <c r="KN360" s="770"/>
      <c r="KO360" s="770"/>
      <c r="KP360" s="770"/>
      <c r="KQ360" s="770"/>
      <c r="KR360" s="770"/>
      <c r="KS360" s="770"/>
      <c r="KT360" s="770"/>
      <c r="KU360" s="770"/>
      <c r="KV360" s="770"/>
      <c r="KW360" s="770"/>
      <c r="KX360" s="770"/>
      <c r="KY360" s="770"/>
      <c r="KZ360" s="770"/>
      <c r="LA360" s="770"/>
      <c r="LB360" s="770"/>
      <c r="LC360" s="770"/>
      <c r="LD360" s="770"/>
      <c r="LE360" s="770"/>
      <c r="LF360" s="770"/>
      <c r="LG360" s="770"/>
      <c r="LH360" s="770"/>
      <c r="LI360" s="770"/>
      <c r="LJ360" s="770"/>
      <c r="LK360" s="770"/>
      <c r="LL360" s="770"/>
      <c r="LM360" s="770"/>
      <c r="LN360" s="766"/>
      <c r="LO360" s="766"/>
      <c r="LP360" s="770"/>
      <c r="LQ360" s="770"/>
      <c r="LR360" s="770"/>
      <c r="LS360" s="770"/>
      <c r="LT360" s="770"/>
      <c r="LU360" s="770"/>
      <c r="LV360" s="770"/>
      <c r="LW360" s="770"/>
      <c r="LX360" s="769"/>
      <c r="LY360" s="766" t="str">
        <f t="shared" si="93"/>
        <v/>
      </c>
      <c r="LZ360" s="299"/>
      <c r="MA360" s="306"/>
      <c r="MB360" s="306"/>
      <c r="MC360" s="1679">
        <f t="shared" si="99"/>
        <v>0</v>
      </c>
      <c r="MD360" s="306"/>
      <c r="ME360" s="306"/>
      <c r="MF360" s="306"/>
      <c r="MG360" s="1680">
        <f t="shared" si="97"/>
        <v>0</v>
      </c>
      <c r="MH360" s="770"/>
      <c r="MI360" s="302"/>
      <c r="MJ360" s="302"/>
      <c r="MK360" s="302"/>
      <c r="ML360" s="302"/>
      <c r="MM360" s="302"/>
      <c r="MN360" s="302"/>
      <c r="MO360" s="302"/>
      <c r="MP360" s="302"/>
      <c r="MQ360" s="302"/>
      <c r="MR360" s="302"/>
      <c r="MS360" s="302"/>
      <c r="MT360" s="302"/>
      <c r="MU360" s="302"/>
      <c r="MV360" s="302"/>
      <c r="MW360" s="302"/>
      <c r="MX360" s="302"/>
      <c r="MY360" s="1682">
        <f t="shared" si="98"/>
        <v>0</v>
      </c>
      <c r="MZ360" s="770"/>
      <c r="NA360" s="770"/>
      <c r="NB360" s="770"/>
      <c r="NC360" s="770"/>
      <c r="ND360" s="770"/>
      <c r="NE360" s="770"/>
      <c r="NF360" s="770"/>
      <c r="NG360" s="770"/>
      <c r="NH360" s="770"/>
      <c r="NI360" s="770"/>
      <c r="NJ360" s="770"/>
      <c r="NK360" s="770"/>
      <c r="NL360" s="770"/>
      <c r="NM360" s="770"/>
      <c r="NN360" s="770"/>
      <c r="NO360" s="770"/>
      <c r="NP360" s="770"/>
      <c r="NQ360" s="770"/>
      <c r="NR360" s="770"/>
      <c r="NS360" s="770"/>
      <c r="NT360" s="770"/>
      <c r="NU360" s="770"/>
      <c r="NV360" s="770"/>
      <c r="NW360" s="770"/>
      <c r="NX360" s="770"/>
      <c r="NY360" s="770"/>
      <c r="NZ360" s="770"/>
      <c r="OA360" s="770"/>
      <c r="OB360" s="770"/>
      <c r="OC360" s="770"/>
      <c r="OD360" s="770"/>
      <c r="OE360" s="770"/>
      <c r="OF360" s="770"/>
      <c r="OG360" s="770"/>
      <c r="OH360" s="770"/>
      <c r="OI360" s="770"/>
      <c r="OJ360" s="770"/>
      <c r="OK360" s="770"/>
      <c r="OL360" s="770"/>
      <c r="OM360" s="770"/>
      <c r="ON360" s="770"/>
      <c r="OO360" s="770"/>
      <c r="OP360" s="770"/>
      <c r="OQ360" s="770"/>
      <c r="OR360" s="770"/>
      <c r="OS360" s="770"/>
      <c r="OT360" s="770"/>
      <c r="OU360" s="770"/>
      <c r="OV360" s="770"/>
      <c r="OW360" s="770"/>
      <c r="OX360" s="770"/>
      <c r="OY360" s="770"/>
      <c r="OZ360" s="770"/>
      <c r="PA360" s="770"/>
      <c r="PB360" s="770"/>
      <c r="PC360" s="770"/>
      <c r="PD360" s="770"/>
      <c r="PE360" s="770"/>
      <c r="PF360" s="770"/>
      <c r="PG360" s="770"/>
      <c r="PH360" s="770"/>
      <c r="PI360" s="770"/>
      <c r="PJ360" s="770"/>
      <c r="PK360" s="770"/>
      <c r="PL360" s="770"/>
      <c r="PM360" s="770"/>
      <c r="PN360" s="770"/>
      <c r="PO360" s="770"/>
      <c r="PP360" s="770"/>
      <c r="PQ360" s="770"/>
      <c r="PR360" s="770"/>
      <c r="PS360" s="770"/>
      <c r="PT360" s="770"/>
      <c r="PU360" s="770"/>
      <c r="PV360" s="770"/>
      <c r="PW360" s="770"/>
      <c r="PX360" s="770"/>
      <c r="PY360" s="770"/>
      <c r="PZ360" s="770"/>
      <c r="QA360" s="770"/>
      <c r="QB360" s="770"/>
      <c r="QC360" s="770"/>
      <c r="QD360" s="770"/>
      <c r="QE360" s="770"/>
      <c r="QF360" s="770"/>
      <c r="QG360" s="770"/>
      <c r="QH360" s="770"/>
      <c r="QI360" s="770"/>
      <c r="QJ360" s="770"/>
      <c r="QK360" s="770"/>
      <c r="QL360" s="770"/>
      <c r="QM360" s="770"/>
      <c r="QN360" s="770"/>
      <c r="QO360" s="770"/>
      <c r="QP360" s="770"/>
      <c r="QQ360" s="770"/>
      <c r="QR360" s="770"/>
      <c r="QS360" s="770"/>
      <c r="QT360" s="770"/>
      <c r="QU360" s="770"/>
      <c r="QV360" s="770"/>
      <c r="QW360" s="770"/>
      <c r="QX360" s="770"/>
      <c r="QY360" s="770"/>
      <c r="QZ360" s="770"/>
      <c r="RA360" s="770"/>
      <c r="RB360" s="770"/>
      <c r="RC360" s="770"/>
      <c r="RD360" s="770"/>
      <c r="RE360" s="770"/>
      <c r="RF360" s="304"/>
      <c r="RG360" s="770"/>
      <c r="RH360" s="302"/>
      <c r="RI360" s="770"/>
      <c r="RJ360" s="770" t="s">
        <v>643</v>
      </c>
      <c r="RK360" s="770" t="s">
        <v>13401</v>
      </c>
      <c r="RL360" s="1710"/>
      <c r="RM360" s="12"/>
      <c r="RN360" s="1711"/>
      <c r="RO360" s="140" t="s">
        <v>620</v>
      </c>
      <c r="RP360" s="11"/>
      <c r="RQ360" s="11"/>
      <c r="RR360" s="771"/>
      <c r="RS360" s="767"/>
      <c r="RT360" s="11"/>
      <c r="RU360" s="11"/>
      <c r="RV360" s="771" t="s">
        <v>7419</v>
      </c>
      <c r="RW360" s="11" t="s">
        <v>11865</v>
      </c>
      <c r="RX360" s="11" t="s">
        <v>615</v>
      </c>
      <c r="RY360" s="11"/>
      <c r="RZ360" s="11" t="s">
        <v>2209</v>
      </c>
      <c r="SA360" s="771"/>
      <c r="SB360" s="11"/>
      <c r="SC360" s="11"/>
    </row>
    <row r="361" spans="1:497" ht="12.75" hidden="1" customHeight="1">
      <c r="A361" s="154" t="s">
        <v>14181</v>
      </c>
      <c r="B361" s="292" t="s">
        <v>7548</v>
      </c>
      <c r="C361" s="140" t="s">
        <v>620</v>
      </c>
      <c r="D361" s="94" t="s">
        <v>621</v>
      </c>
      <c r="E361" s="770" t="s">
        <v>622</v>
      </c>
      <c r="F361" s="770" t="s">
        <v>20</v>
      </c>
      <c r="G361" s="770" t="s">
        <v>18</v>
      </c>
      <c r="H361" s="770"/>
      <c r="I361" s="295"/>
      <c r="J361" s="94" t="s">
        <v>623</v>
      </c>
      <c r="K361" s="770"/>
      <c r="L361" s="770"/>
      <c r="M361" s="770"/>
      <c r="N361" s="770"/>
      <c r="O361" s="770"/>
      <c r="P361" s="766"/>
      <c r="Q361" s="1088"/>
      <c r="R361" s="297"/>
      <c r="S361" s="770"/>
      <c r="T361" s="770"/>
      <c r="U361" s="298"/>
      <c r="V361" s="770"/>
      <c r="W361" s="770"/>
      <c r="X361" s="296"/>
      <c r="Y361" s="766"/>
      <c r="Z361" s="770"/>
      <c r="AA361" s="770"/>
      <c r="AB361" s="770"/>
      <c r="AC361" s="770"/>
      <c r="AD361" s="770"/>
      <c r="AE361" s="770"/>
      <c r="AF361" s="770"/>
      <c r="AG361" s="770"/>
      <c r="AH361" s="770"/>
      <c r="AI361" s="770"/>
      <c r="AJ361" s="770"/>
      <c r="AK361" s="770" t="s">
        <v>1899</v>
      </c>
      <c r="AL361" s="299"/>
      <c r="AM361" s="300"/>
      <c r="AN361" s="301"/>
      <c r="AO361" s="766"/>
      <c r="AP361" s="766"/>
      <c r="AQ361" s="766"/>
      <c r="AR361" s="766"/>
      <c r="AS361" s="770"/>
      <c r="AT361" s="770"/>
      <c r="AU361" s="770"/>
      <c r="AV361" s="770"/>
      <c r="AW361" s="770"/>
      <c r="AX361" s="770"/>
      <c r="AY361" s="770"/>
      <c r="AZ361" s="770"/>
      <c r="BA361" s="770"/>
      <c r="BB361" s="770"/>
      <c r="BC361" s="770"/>
      <c r="BD361" s="770"/>
      <c r="BE361" s="770"/>
      <c r="BF361" s="302"/>
      <c r="BG361" s="302"/>
      <c r="BH361" s="770"/>
      <c r="BI361" s="770"/>
      <c r="BJ361" s="770"/>
      <c r="BK361" s="770"/>
      <c r="BL361" s="770"/>
      <c r="BM361" s="770" t="s">
        <v>1238</v>
      </c>
      <c r="BN361" s="770" t="s">
        <v>1256</v>
      </c>
      <c r="BO361" s="770"/>
      <c r="BP361" s="780"/>
      <c r="BQ361" s="772"/>
      <c r="BR361" s="774"/>
      <c r="BS361" s="766" t="s">
        <v>1257</v>
      </c>
      <c r="BT361" s="766"/>
      <c r="BU361" s="770"/>
      <c r="BV361" s="770"/>
      <c r="BW361" s="770"/>
      <c r="BX361" s="302"/>
      <c r="BY361" s="303"/>
      <c r="BZ361" s="770"/>
      <c r="CA361" s="302"/>
      <c r="CB361" s="302"/>
      <c r="CC361" s="770"/>
      <c r="CD361" s="770"/>
      <c r="CE361" s="770"/>
      <c r="CF361" s="770"/>
      <c r="CG361" s="770"/>
      <c r="CH361" s="770"/>
      <c r="CI361" s="770"/>
      <c r="CJ361" s="770"/>
      <c r="CK361" s="770"/>
      <c r="CL361" s="770"/>
      <c r="CM361" s="770"/>
      <c r="CN361" s="770"/>
      <c r="CO361" s="770"/>
      <c r="CP361" s="770"/>
      <c r="CQ361" s="770"/>
      <c r="CR361" s="770"/>
      <c r="CS361" s="302"/>
      <c r="CT361" s="770"/>
      <c r="CU361" s="305"/>
      <c r="CV361" s="770"/>
      <c r="CW361" s="770"/>
      <c r="CX361" s="770"/>
      <c r="CY361" s="770"/>
      <c r="CZ361" s="770"/>
      <c r="DA361" s="770"/>
      <c r="DB361" s="770"/>
      <c r="DC361" s="770"/>
      <c r="DD361" s="770"/>
      <c r="DE361" s="770"/>
      <c r="DF361" s="770"/>
      <c r="DG361" s="770"/>
      <c r="DH361" s="770"/>
      <c r="DI361" s="770"/>
      <c r="DJ361" s="770"/>
      <c r="DK361" s="770"/>
      <c r="DL361" s="770"/>
      <c r="DM361" s="770"/>
      <c r="DN361" s="770"/>
      <c r="DO361" s="770"/>
      <c r="DP361" s="770"/>
      <c r="DQ361" s="770"/>
      <c r="DR361" s="770"/>
      <c r="DS361" s="307"/>
      <c r="DT361" s="770"/>
      <c r="DU361" s="770"/>
      <c r="DV361" s="770"/>
      <c r="DW361" s="306"/>
      <c r="DX361" s="306"/>
      <c r="DY361" s="770"/>
      <c r="DZ361" s="770"/>
      <c r="EA361" s="770"/>
      <c r="EB361" s="770"/>
      <c r="EC361" s="770"/>
      <c r="ED361" s="770"/>
      <c r="EE361" s="770"/>
      <c r="EF361" s="770"/>
      <c r="EG361" s="770"/>
      <c r="EH361" s="770"/>
      <c r="EI361" s="770"/>
      <c r="EJ361" s="770"/>
      <c r="EK361" s="770"/>
      <c r="EL361" s="770"/>
      <c r="EM361" s="770"/>
      <c r="EN361" s="770"/>
      <c r="EO361" s="770"/>
      <c r="EP361" s="770"/>
      <c r="EQ361" s="770"/>
      <c r="ER361" s="770"/>
      <c r="ES361" s="770"/>
      <c r="ET361" s="770"/>
      <c r="EU361" s="770"/>
      <c r="EV361" s="770"/>
      <c r="EW361" s="770"/>
      <c r="EX361" s="770"/>
      <c r="EY361" s="770"/>
      <c r="EZ361" s="770"/>
      <c r="FA361" s="770"/>
      <c r="FB361" s="770"/>
      <c r="FC361" s="770"/>
      <c r="FD361" s="302"/>
      <c r="FE361" s="770"/>
      <c r="FF361" s="770"/>
      <c r="FG361" s="770"/>
      <c r="FH361" s="770" t="s">
        <v>1306</v>
      </c>
      <c r="FI361" s="770"/>
      <c r="FJ361" s="770" t="s">
        <v>1754</v>
      </c>
      <c r="FK361" s="770"/>
      <c r="FL361" s="770"/>
      <c r="FM361" s="147">
        <v>2000</v>
      </c>
      <c r="FN361" s="302">
        <v>150</v>
      </c>
      <c r="FO361" s="302">
        <v>250</v>
      </c>
      <c r="FP361" s="770"/>
      <c r="FQ361" s="770"/>
      <c r="FR361" s="770"/>
      <c r="FS361" s="770"/>
      <c r="FT361" s="770"/>
      <c r="FU361" s="770"/>
      <c r="FV361" s="770"/>
      <c r="FW361" s="770"/>
      <c r="FX361" s="770"/>
      <c r="FY361" s="770"/>
      <c r="FZ361" s="770"/>
      <c r="GA361" s="770"/>
      <c r="GB361" s="770"/>
      <c r="GC361" s="308"/>
      <c r="GD361" s="297"/>
      <c r="GE361" s="770"/>
      <c r="GF361" s="302"/>
      <c r="GG361" s="302"/>
      <c r="GH361" s="770"/>
      <c r="GI361" s="770"/>
      <c r="GJ361" s="770"/>
      <c r="GK361" s="770"/>
      <c r="GL361" s="770"/>
      <c r="GM361" s="770"/>
      <c r="GN361" s="309"/>
      <c r="GO361" s="770"/>
      <c r="GP361" s="770"/>
      <c r="GQ361" s="770"/>
      <c r="GR361" s="770"/>
      <c r="GS361" s="770"/>
      <c r="GT361" s="770"/>
      <c r="GU361" s="770"/>
      <c r="GV361" s="770"/>
      <c r="GW361" s="770"/>
      <c r="GX361" s="770"/>
      <c r="GY361" s="770"/>
      <c r="GZ361" s="770"/>
      <c r="HA361" s="770"/>
      <c r="HB361" s="770"/>
      <c r="HC361" s="770"/>
      <c r="HD361" s="770"/>
      <c r="HE361" s="770"/>
      <c r="HF361" s="770"/>
      <c r="HG361" s="770"/>
      <c r="HH361" s="770"/>
      <c r="HI361" s="770"/>
      <c r="HJ361" s="770"/>
      <c r="HK361" s="770"/>
      <c r="HL361" s="770"/>
      <c r="HM361" s="770"/>
      <c r="HN361" s="770"/>
      <c r="HO361" s="770"/>
      <c r="HP361" s="770"/>
      <c r="HQ361" s="770"/>
      <c r="HR361" s="770"/>
      <c r="HS361" s="770"/>
      <c r="HT361" s="770"/>
      <c r="HU361" s="770"/>
      <c r="HV361" s="770"/>
      <c r="HW361" s="770"/>
      <c r="HX361" s="770"/>
      <c r="HY361" s="770"/>
      <c r="HZ361" s="770"/>
      <c r="IA361" s="770"/>
      <c r="IB361" s="14" t="e">
        <f>IF(#REF!&gt;0,IF(#REF!&lt;=10000,"Y",""),"")</f>
        <v>#REF!</v>
      </c>
      <c r="IC361" s="770"/>
      <c r="ID361" s="770"/>
      <c r="IE361" s="770"/>
      <c r="IF361" s="770"/>
      <c r="IG361" s="770"/>
      <c r="IH361" s="770"/>
      <c r="II361" s="770"/>
      <c r="IJ361" s="770"/>
      <c r="IK361" s="766"/>
      <c r="IL361" s="770"/>
      <c r="IM361" s="770"/>
      <c r="IN361" s="770"/>
      <c r="IO361" s="296"/>
      <c r="IP361" s="770"/>
      <c r="IQ361" s="770"/>
      <c r="IR361" s="766"/>
      <c r="IS361" s="770"/>
      <c r="IT361" s="770"/>
      <c r="IU361" s="770"/>
      <c r="IV361" s="770"/>
      <c r="IW361" s="770"/>
      <c r="IX361" s="770"/>
      <c r="IY361" s="770"/>
      <c r="IZ361" s="770"/>
      <c r="JA361" s="770"/>
      <c r="JB361" s="770"/>
      <c r="JC361" s="770"/>
      <c r="JD361" s="302"/>
      <c r="JE361" s="770"/>
      <c r="JF361" s="770"/>
      <c r="JG361" s="770"/>
      <c r="JH361" s="770"/>
      <c r="JI361" s="770"/>
      <c r="JJ361" s="770"/>
      <c r="JK361" s="770"/>
      <c r="JL361" s="770"/>
      <c r="JM361" s="770"/>
      <c r="JN361" s="770"/>
      <c r="JO361" s="770"/>
      <c r="JP361" s="770"/>
      <c r="JQ361" s="770"/>
      <c r="JR361" s="770"/>
      <c r="JS361" s="770"/>
      <c r="JT361" s="766"/>
      <c r="JU361" s="766"/>
      <c r="JV361" s="766"/>
      <c r="JW361" s="766"/>
      <c r="JX361" s="770"/>
      <c r="JY361" s="770"/>
      <c r="JZ361" s="770"/>
      <c r="KA361" s="770"/>
      <c r="KB361" s="770"/>
      <c r="KC361" s="770"/>
      <c r="KD361" s="770"/>
      <c r="KE361" s="770"/>
      <c r="KF361" s="770"/>
      <c r="KG361" s="770"/>
      <c r="KH361" s="770"/>
      <c r="KI361" s="770"/>
      <c r="KJ361" s="770"/>
      <c r="KK361" s="770"/>
      <c r="KL361" s="770"/>
      <c r="KM361" s="770"/>
      <c r="KN361" s="770"/>
      <c r="KO361" s="770"/>
      <c r="KP361" s="770"/>
      <c r="KQ361" s="770"/>
      <c r="KR361" s="770"/>
      <c r="KS361" s="770"/>
      <c r="KT361" s="770"/>
      <c r="KU361" s="770"/>
      <c r="KV361" s="770"/>
      <c r="KW361" s="770"/>
      <c r="KX361" s="770"/>
      <c r="KY361" s="770"/>
      <c r="KZ361" s="770"/>
      <c r="LA361" s="770"/>
      <c r="LB361" s="770"/>
      <c r="LC361" s="770"/>
      <c r="LD361" s="770"/>
      <c r="LE361" s="770"/>
      <c r="LF361" s="770"/>
      <c r="LG361" s="770"/>
      <c r="LH361" s="770"/>
      <c r="LI361" s="770"/>
      <c r="LJ361" s="770"/>
      <c r="LK361" s="770"/>
      <c r="LL361" s="770"/>
      <c r="LM361" s="770"/>
      <c r="LN361" s="766"/>
      <c r="LO361" s="766"/>
      <c r="LP361" s="770"/>
      <c r="LQ361" s="770"/>
      <c r="LR361" s="770"/>
      <c r="LS361" s="770"/>
      <c r="LT361" s="770"/>
      <c r="LU361" s="770"/>
      <c r="LV361" s="770"/>
      <c r="LW361" s="770"/>
      <c r="LX361" s="769"/>
      <c r="LY361" s="766" t="str">
        <f t="shared" si="93"/>
        <v/>
      </c>
      <c r="LZ361" s="299"/>
      <c r="MA361" s="1709"/>
      <c r="MB361" s="1709"/>
      <c r="MC361" s="1679">
        <f t="shared" si="99"/>
        <v>0</v>
      </c>
      <c r="MD361" s="1709"/>
      <c r="ME361" s="1709"/>
      <c r="MF361" s="1709"/>
      <c r="MG361" s="1680">
        <f t="shared" si="97"/>
        <v>0</v>
      </c>
      <c r="MH361" s="770"/>
      <c r="MI361" s="302"/>
      <c r="MJ361" s="302"/>
      <c r="MK361" s="302"/>
      <c r="ML361" s="302"/>
      <c r="MM361" s="302"/>
      <c r="MN361" s="302"/>
      <c r="MO361" s="302"/>
      <c r="MP361" s="302"/>
      <c r="MQ361" s="302"/>
      <c r="MR361" s="302"/>
      <c r="MS361" s="302"/>
      <c r="MT361" s="302"/>
      <c r="MU361" s="302"/>
      <c r="MV361" s="302"/>
      <c r="MW361" s="302"/>
      <c r="MX361" s="302"/>
      <c r="MY361" s="1682">
        <f t="shared" si="98"/>
        <v>0</v>
      </c>
      <c r="MZ361" s="770"/>
      <c r="NA361" s="770"/>
      <c r="NB361" s="770"/>
      <c r="NC361" s="770"/>
      <c r="ND361" s="770"/>
      <c r="NE361" s="770"/>
      <c r="NF361" s="770"/>
      <c r="NG361" s="770"/>
      <c r="NH361" s="770"/>
      <c r="NI361" s="770"/>
      <c r="NJ361" s="770"/>
      <c r="NK361" s="770"/>
      <c r="NL361" s="770"/>
      <c r="NM361" s="770"/>
      <c r="NN361" s="770"/>
      <c r="NO361" s="770"/>
      <c r="NP361" s="770"/>
      <c r="NQ361" s="770"/>
      <c r="NR361" s="770"/>
      <c r="NS361" s="770"/>
      <c r="NT361" s="770"/>
      <c r="NU361" s="770"/>
      <c r="NV361" s="770"/>
      <c r="NW361" s="770"/>
      <c r="NX361" s="770"/>
      <c r="NY361" s="770"/>
      <c r="NZ361" s="770"/>
      <c r="OA361" s="770"/>
      <c r="OB361" s="770"/>
      <c r="OC361" s="770"/>
      <c r="OD361" s="770"/>
      <c r="OE361" s="770"/>
      <c r="OF361" s="770"/>
      <c r="OG361" s="770"/>
      <c r="OH361" s="770"/>
      <c r="OI361" s="770"/>
      <c r="OJ361" s="770"/>
      <c r="OK361" s="770"/>
      <c r="OL361" s="770"/>
      <c r="OM361" s="770"/>
      <c r="ON361" s="770"/>
      <c r="OO361" s="770"/>
      <c r="OP361" s="770"/>
      <c r="OQ361" s="770"/>
      <c r="OR361" s="770"/>
      <c r="OS361" s="770"/>
      <c r="OT361" s="770"/>
      <c r="OU361" s="770"/>
      <c r="OV361" s="770"/>
      <c r="OW361" s="770"/>
      <c r="OX361" s="770"/>
      <c r="OY361" s="770"/>
      <c r="OZ361" s="770"/>
      <c r="PA361" s="770"/>
      <c r="PB361" s="770"/>
      <c r="PC361" s="770"/>
      <c r="PD361" s="770"/>
      <c r="PE361" s="770"/>
      <c r="PF361" s="770"/>
      <c r="PG361" s="770"/>
      <c r="PH361" s="770"/>
      <c r="PI361" s="770"/>
      <c r="PJ361" s="770"/>
      <c r="PK361" s="770"/>
      <c r="PL361" s="770"/>
      <c r="PM361" s="770"/>
      <c r="PN361" s="770"/>
      <c r="PO361" s="770"/>
      <c r="PP361" s="770"/>
      <c r="PQ361" s="770"/>
      <c r="PR361" s="770"/>
      <c r="PS361" s="770"/>
      <c r="PT361" s="770"/>
      <c r="PU361" s="770"/>
      <c r="PV361" s="770"/>
      <c r="PW361" s="770"/>
      <c r="PX361" s="770"/>
      <c r="PY361" s="770"/>
      <c r="PZ361" s="770"/>
      <c r="QA361" s="770"/>
      <c r="QB361" s="770"/>
      <c r="QC361" s="770"/>
      <c r="QD361" s="770"/>
      <c r="QE361" s="770"/>
      <c r="QF361" s="770"/>
      <c r="QG361" s="770"/>
      <c r="QH361" s="770"/>
      <c r="QI361" s="770"/>
      <c r="QJ361" s="770"/>
      <c r="QK361" s="770"/>
      <c r="QL361" s="770"/>
      <c r="QM361" s="770"/>
      <c r="QN361" s="770"/>
      <c r="QO361" s="770"/>
      <c r="QP361" s="770"/>
      <c r="QQ361" s="770"/>
      <c r="QR361" s="770"/>
      <c r="QS361" s="770"/>
      <c r="QT361" s="770"/>
      <c r="QU361" s="770"/>
      <c r="QV361" s="770"/>
      <c r="QW361" s="770"/>
      <c r="QX361" s="770"/>
      <c r="QY361" s="770"/>
      <c r="QZ361" s="770"/>
      <c r="RA361" s="770"/>
      <c r="RB361" s="770"/>
      <c r="RC361" s="770"/>
      <c r="RD361" s="770"/>
      <c r="RE361" s="770"/>
      <c r="RF361" s="304"/>
      <c r="RG361" s="770"/>
      <c r="RH361" s="302"/>
      <c r="RI361" s="770"/>
      <c r="RJ361" s="770" t="s">
        <v>13489</v>
      </c>
      <c r="RK361" s="770" t="s">
        <v>13401</v>
      </c>
      <c r="RL361" s="1710"/>
      <c r="RM361" s="12"/>
      <c r="RN361" s="1711"/>
      <c r="RO361" s="140" t="s">
        <v>620</v>
      </c>
      <c r="RP361" s="11"/>
      <c r="RQ361" s="11"/>
      <c r="RR361" s="771"/>
      <c r="RS361" s="767"/>
      <c r="RT361" s="11"/>
      <c r="RU361" s="11"/>
      <c r="RV361" s="771" t="s">
        <v>8093</v>
      </c>
      <c r="RW361" s="11" t="s">
        <v>5567</v>
      </c>
      <c r="RX361" s="11" t="s">
        <v>615</v>
      </c>
      <c r="RY361" s="11"/>
      <c r="RZ361" s="11"/>
      <c r="SA361" s="771"/>
      <c r="SB361" s="11"/>
      <c r="SC361" s="11"/>
    </row>
    <row r="362" spans="1:497" ht="12.75" hidden="1" customHeight="1">
      <c r="A362" s="154" t="s">
        <v>7419</v>
      </c>
      <c r="B362" s="292" t="s">
        <v>7648</v>
      </c>
      <c r="C362" s="140" t="s">
        <v>624</v>
      </c>
      <c r="D362" s="770" t="s">
        <v>2014</v>
      </c>
      <c r="E362" s="770" t="s">
        <v>622</v>
      </c>
      <c r="F362" s="770" t="s">
        <v>28</v>
      </c>
      <c r="G362" s="770" t="s">
        <v>10</v>
      </c>
      <c r="H362" s="770"/>
      <c r="I362" s="295" t="s">
        <v>1667</v>
      </c>
      <c r="J362" s="770" t="s">
        <v>2014</v>
      </c>
      <c r="K362" s="770"/>
      <c r="L362" s="770"/>
      <c r="M362" s="770"/>
      <c r="N362" s="770"/>
      <c r="O362" s="770"/>
      <c r="P362" s="770" t="s">
        <v>11746</v>
      </c>
      <c r="Q362" s="1088">
        <v>18304</v>
      </c>
      <c r="R362" s="297">
        <v>67</v>
      </c>
      <c r="S362" s="770" t="s">
        <v>10</v>
      </c>
      <c r="T362" s="770"/>
      <c r="U362" s="298"/>
      <c r="V362" s="770" t="s">
        <v>707</v>
      </c>
      <c r="W362" s="770" t="s">
        <v>11747</v>
      </c>
      <c r="X362" s="296"/>
      <c r="Y362" s="770" t="s">
        <v>622</v>
      </c>
      <c r="Z362" s="770"/>
      <c r="AA362" s="770" t="s">
        <v>708</v>
      </c>
      <c r="AB362" s="770" t="s">
        <v>709</v>
      </c>
      <c r="AC362" s="770"/>
      <c r="AD362" s="770" t="s">
        <v>711</v>
      </c>
      <c r="AE362" s="770"/>
      <c r="AF362" s="770"/>
      <c r="AG362" s="766" t="s">
        <v>1095</v>
      </c>
      <c r="AH362" s="766" t="s">
        <v>1096</v>
      </c>
      <c r="AI362" s="770" t="s">
        <v>1187</v>
      </c>
      <c r="AJ362" s="770"/>
      <c r="AK362" s="766" t="s">
        <v>1097</v>
      </c>
      <c r="AL362" s="299">
        <v>47</v>
      </c>
      <c r="AM362" s="300">
        <v>36.549999999999997</v>
      </c>
      <c r="AN362" s="301">
        <v>0.77764999999999995</v>
      </c>
      <c r="AO362" s="766" t="s">
        <v>1105</v>
      </c>
      <c r="AP362" s="766"/>
      <c r="AQ362" s="766"/>
      <c r="AR362" s="766"/>
      <c r="AS362" s="770" t="s">
        <v>1207</v>
      </c>
      <c r="AT362" s="770" t="s">
        <v>1208</v>
      </c>
      <c r="AU362" s="770"/>
      <c r="AV362" s="770"/>
      <c r="AW362" s="770"/>
      <c r="AX362" s="13"/>
      <c r="AY362" s="770"/>
      <c r="AZ362" s="770"/>
      <c r="BA362" s="770"/>
      <c r="BB362" s="770"/>
      <c r="BC362" s="770" t="s">
        <v>853</v>
      </c>
      <c r="BD362" s="770" t="s">
        <v>1207</v>
      </c>
      <c r="BE362" s="770" t="s">
        <v>1214</v>
      </c>
      <c r="BF362" s="302"/>
      <c r="BG362" s="302"/>
      <c r="BH362" s="770"/>
      <c r="BI362" s="770"/>
      <c r="BJ362" s="770"/>
      <c r="BK362" s="770" t="s">
        <v>1095</v>
      </c>
      <c r="BL362" s="770" t="s">
        <v>1187</v>
      </c>
      <c r="BM362" s="770" t="s">
        <v>8108</v>
      </c>
      <c r="BN362" s="770" t="s">
        <v>1230</v>
      </c>
      <c r="BO362" s="766" t="s">
        <v>1239</v>
      </c>
      <c r="BP362" s="780">
        <v>47</v>
      </c>
      <c r="BQ362" s="772">
        <v>36.549999999999997</v>
      </c>
      <c r="BR362" s="774">
        <f>BQ362/BP362</f>
        <v>0.77765957446808509</v>
      </c>
      <c r="BS362" s="766" t="s">
        <v>1105</v>
      </c>
      <c r="BT362" s="766" t="s">
        <v>2040</v>
      </c>
      <c r="BU362" s="770" t="s">
        <v>1249</v>
      </c>
      <c r="BV362" s="770" t="s">
        <v>1247</v>
      </c>
      <c r="BW362" s="770">
        <v>2008</v>
      </c>
      <c r="BX362" s="302"/>
      <c r="BY362" s="303"/>
      <c r="BZ362" s="770"/>
      <c r="CA362" s="302"/>
      <c r="CB362" s="302" t="s">
        <v>1207</v>
      </c>
      <c r="CC362" s="770" t="s">
        <v>643</v>
      </c>
      <c r="CD362" s="770"/>
      <c r="CE362" s="770"/>
      <c r="CF362" s="304">
        <v>5.8</v>
      </c>
      <c r="CG362" s="321">
        <v>4</v>
      </c>
      <c r="CH362" s="770" t="s">
        <v>1569</v>
      </c>
      <c r="CI362" s="770" t="s">
        <v>1570</v>
      </c>
      <c r="CJ362" s="770" t="s">
        <v>1571</v>
      </c>
      <c r="CK362" s="770">
        <v>1</v>
      </c>
      <c r="CL362" s="770" t="s">
        <v>1572</v>
      </c>
      <c r="CM362" s="770"/>
      <c r="CN362" s="770"/>
      <c r="CO362" s="770"/>
      <c r="CP362" s="770"/>
      <c r="CQ362" s="770"/>
      <c r="CR362" s="770"/>
      <c r="CS362" s="302"/>
      <c r="CT362" s="770"/>
      <c r="CU362" s="305"/>
      <c r="CV362" s="770"/>
      <c r="CW362" s="770"/>
      <c r="CX362" s="770"/>
      <c r="CY362" s="770"/>
      <c r="CZ362" s="770"/>
      <c r="DA362" s="770"/>
      <c r="DB362" s="770"/>
      <c r="DC362" s="770"/>
      <c r="DD362" s="770"/>
      <c r="DE362" s="770"/>
      <c r="DF362" s="770"/>
      <c r="DG362" s="770"/>
      <c r="DH362" s="770"/>
      <c r="DI362" s="770"/>
      <c r="DJ362" s="770"/>
      <c r="DK362" s="770"/>
      <c r="DL362" s="770"/>
      <c r="DM362" s="770"/>
      <c r="DN362" s="770"/>
      <c r="DO362" s="770"/>
      <c r="DP362" s="770"/>
      <c r="DQ362" s="770"/>
      <c r="DR362" s="770"/>
      <c r="DS362" s="307"/>
      <c r="DT362" s="770"/>
      <c r="DU362" s="770"/>
      <c r="DV362" s="770"/>
      <c r="DW362" s="306"/>
      <c r="DX362" s="306"/>
      <c r="DY362" s="770"/>
      <c r="DZ362" s="770"/>
      <c r="EA362" s="770"/>
      <c r="EB362" s="770"/>
      <c r="EC362" s="770"/>
      <c r="ED362" s="770"/>
      <c r="EE362" s="770"/>
      <c r="EF362" s="770"/>
      <c r="EG362" s="770"/>
      <c r="EH362" s="770"/>
      <c r="EI362" s="770"/>
      <c r="EJ362" s="770"/>
      <c r="EK362" s="770"/>
      <c r="EL362" s="770"/>
      <c r="EM362" s="770"/>
      <c r="EN362" s="770"/>
      <c r="EO362" s="770"/>
      <c r="EP362" s="770"/>
      <c r="EQ362" s="770"/>
      <c r="ER362" s="770"/>
      <c r="ES362" s="770"/>
      <c r="ET362" s="770"/>
      <c r="EU362" s="770"/>
      <c r="EV362" s="770"/>
      <c r="EW362" s="770"/>
      <c r="EX362" s="770"/>
      <c r="EY362" s="770"/>
      <c r="EZ362" s="770"/>
      <c r="FA362" s="770"/>
      <c r="FB362" s="770"/>
      <c r="FC362" s="770"/>
      <c r="FD362" s="302"/>
      <c r="FE362" s="770"/>
      <c r="FF362" s="770"/>
      <c r="FG362" s="770"/>
      <c r="FH362" s="770" t="s">
        <v>478</v>
      </c>
      <c r="FI362" s="770"/>
      <c r="FJ362" s="770"/>
      <c r="FK362" s="770"/>
      <c r="FL362" s="770"/>
      <c r="FM362" s="302"/>
      <c r="FN362" s="302"/>
      <c r="FO362" s="302"/>
      <c r="FP362" s="770"/>
      <c r="FQ362" s="770"/>
      <c r="FR362" s="770" t="s">
        <v>1207</v>
      </c>
      <c r="FS362" s="770" t="s">
        <v>1208</v>
      </c>
      <c r="FT362" s="770" t="s">
        <v>1208</v>
      </c>
      <c r="FU362" s="770"/>
      <c r="FV362" s="770"/>
      <c r="FW362" s="770"/>
      <c r="FX362" s="770"/>
      <c r="FY362" s="770"/>
      <c r="FZ362" s="770"/>
      <c r="GA362" s="770"/>
      <c r="GB362" s="770" t="s">
        <v>1755</v>
      </c>
      <c r="GC362" s="308" t="s">
        <v>643</v>
      </c>
      <c r="GD362" s="297">
        <v>2012</v>
      </c>
      <c r="GE362" s="770"/>
      <c r="GF362" s="302"/>
      <c r="GG362" s="302"/>
      <c r="GH362" s="770"/>
      <c r="GI362" s="770"/>
      <c r="GJ362" s="770"/>
      <c r="GK362" s="770"/>
      <c r="GL362" s="770"/>
      <c r="GM362" s="770"/>
      <c r="GN362" s="309"/>
      <c r="GO362" s="770"/>
      <c r="GP362" s="770"/>
      <c r="GQ362" s="770"/>
      <c r="GR362" s="770"/>
      <c r="GS362" s="770"/>
      <c r="GT362" s="770"/>
      <c r="GU362" s="770"/>
      <c r="GV362" s="770"/>
      <c r="GW362" s="770"/>
      <c r="GX362" s="770"/>
      <c r="GY362" s="770"/>
      <c r="GZ362" s="770"/>
      <c r="HA362" s="770"/>
      <c r="HB362" s="770"/>
      <c r="HC362" s="770"/>
      <c r="HD362" s="770"/>
      <c r="HE362" s="770"/>
      <c r="HF362" s="770"/>
      <c r="HG362" s="770"/>
      <c r="HH362" s="770"/>
      <c r="HI362" s="770"/>
      <c r="HJ362" s="770"/>
      <c r="HK362" s="770"/>
      <c r="HL362" s="770"/>
      <c r="HM362" s="770"/>
      <c r="HN362" s="770"/>
      <c r="HO362" s="770"/>
      <c r="HP362" s="770"/>
      <c r="HQ362" s="770"/>
      <c r="HR362" s="770"/>
      <c r="HS362" s="770"/>
      <c r="HT362" s="770"/>
      <c r="HU362" s="770"/>
      <c r="HV362" s="770"/>
      <c r="HW362" s="770"/>
      <c r="HX362" s="770"/>
      <c r="HY362" s="770"/>
      <c r="HZ362" s="770"/>
      <c r="IA362" s="770"/>
      <c r="IB362" s="14" t="e">
        <f>IF(#REF!&gt;0,IF(#REF!&lt;=10000,"Y",""),"")</f>
        <v>#REF!</v>
      </c>
      <c r="IC362" s="770"/>
      <c r="ID362" s="770"/>
      <c r="IE362" s="770"/>
      <c r="IF362" s="770"/>
      <c r="IG362" s="770"/>
      <c r="IH362" s="770"/>
      <c r="II362" s="770"/>
      <c r="IJ362" s="770"/>
      <c r="IK362" s="766"/>
      <c r="IL362" s="770"/>
      <c r="IM362" s="770"/>
      <c r="IN362" s="770"/>
      <c r="IO362" s="296"/>
      <c r="IP362" s="770"/>
      <c r="IQ362" s="770"/>
      <c r="IR362" s="770"/>
      <c r="IS362" s="770"/>
      <c r="IT362" s="770"/>
      <c r="IU362" s="770"/>
      <c r="IV362" s="770"/>
      <c r="IW362" s="770"/>
      <c r="IX362" s="770"/>
      <c r="IY362" s="770"/>
      <c r="IZ362" s="770"/>
      <c r="JA362" s="770"/>
      <c r="JB362" s="770"/>
      <c r="JC362" s="770"/>
      <c r="JD362" s="302"/>
      <c r="JE362" s="770"/>
      <c r="JF362" s="770"/>
      <c r="JG362" s="770"/>
      <c r="JH362" s="770"/>
      <c r="JI362" s="770"/>
      <c r="JJ362" s="770"/>
      <c r="JK362" s="770"/>
      <c r="JL362" s="770"/>
      <c r="JM362" s="770"/>
      <c r="JN362" s="770"/>
      <c r="JO362" s="770"/>
      <c r="JP362" s="770"/>
      <c r="JQ362" s="770"/>
      <c r="JR362" s="770"/>
      <c r="JS362" s="770"/>
      <c r="JT362" s="766"/>
      <c r="JU362" s="766"/>
      <c r="JV362" s="766"/>
      <c r="JW362" s="766"/>
      <c r="JX362" s="770"/>
      <c r="JY362" s="770"/>
      <c r="JZ362" s="770"/>
      <c r="KA362" s="770"/>
      <c r="KB362" s="770"/>
      <c r="KC362" s="770"/>
      <c r="KD362" s="770"/>
      <c r="KE362" s="770"/>
      <c r="KF362" s="770"/>
      <c r="KG362" s="770"/>
      <c r="KH362" s="770"/>
      <c r="KI362" s="770"/>
      <c r="KJ362" s="770"/>
      <c r="KK362" s="770"/>
      <c r="KL362" s="770"/>
      <c r="KM362" s="770"/>
      <c r="KN362" s="770"/>
      <c r="KO362" s="770"/>
      <c r="KP362" s="770"/>
      <c r="KQ362" s="770"/>
      <c r="KR362" s="770"/>
      <c r="KS362" s="770"/>
      <c r="KT362" s="770"/>
      <c r="KU362" s="770"/>
      <c r="KV362" s="770"/>
      <c r="KW362" s="770"/>
      <c r="KX362" s="770"/>
      <c r="KY362" s="770"/>
      <c r="KZ362" s="770"/>
      <c r="LA362" s="770"/>
      <c r="LB362" s="770"/>
      <c r="LC362" s="770"/>
      <c r="LD362" s="770"/>
      <c r="LE362" s="770"/>
      <c r="LF362" s="770"/>
      <c r="LG362" s="770"/>
      <c r="LH362" s="770"/>
      <c r="LI362" s="770"/>
      <c r="LJ362" s="770"/>
      <c r="LK362" s="770"/>
      <c r="LL362" s="770"/>
      <c r="LM362" s="770"/>
      <c r="LN362" s="766"/>
      <c r="LO362" s="766"/>
      <c r="LP362" s="770"/>
      <c r="LQ362" s="770"/>
      <c r="LR362" s="770"/>
      <c r="LS362" s="770"/>
      <c r="LT362" s="770"/>
      <c r="LU362" s="770"/>
      <c r="LV362" s="770"/>
      <c r="LW362" s="770"/>
      <c r="LX362" s="769"/>
      <c r="LY362" s="766" t="str">
        <f t="shared" si="93"/>
        <v/>
      </c>
      <c r="LZ362" s="299"/>
      <c r="MA362" s="1709"/>
      <c r="MB362" s="1709"/>
      <c r="MC362" s="1679">
        <f t="shared" si="99"/>
        <v>0</v>
      </c>
      <c r="MD362" s="1709"/>
      <c r="ME362" s="1709"/>
      <c r="MF362" s="1709"/>
      <c r="MG362" s="1680">
        <f t="shared" si="97"/>
        <v>0</v>
      </c>
      <c r="MH362" s="770"/>
      <c r="MI362" s="302"/>
      <c r="MJ362" s="302"/>
      <c r="MK362" s="302"/>
      <c r="ML362" s="302"/>
      <c r="MM362" s="302"/>
      <c r="MN362" s="302"/>
      <c r="MO362" s="302"/>
      <c r="MP362" s="302"/>
      <c r="MQ362" s="302"/>
      <c r="MR362" s="302"/>
      <c r="MS362" s="302"/>
      <c r="MT362" s="302"/>
      <c r="MU362" s="302"/>
      <c r="MV362" s="302"/>
      <c r="MW362" s="302"/>
      <c r="MX362" s="302"/>
      <c r="MY362" s="1682">
        <f t="shared" si="98"/>
        <v>0</v>
      </c>
      <c r="MZ362" s="770"/>
      <c r="NA362" s="770"/>
      <c r="NB362" s="770"/>
      <c r="NC362" s="770"/>
      <c r="ND362" s="770"/>
      <c r="NE362" s="770"/>
      <c r="NF362" s="770"/>
      <c r="NG362" s="770"/>
      <c r="NH362" s="770"/>
      <c r="NI362" s="770"/>
      <c r="NJ362" s="770"/>
      <c r="NK362" s="770"/>
      <c r="NL362" s="770"/>
      <c r="NM362" s="770"/>
      <c r="NN362" s="770"/>
      <c r="NO362" s="770"/>
      <c r="NP362" s="770"/>
      <c r="NQ362" s="770"/>
      <c r="NR362" s="770"/>
      <c r="NS362" s="770"/>
      <c r="NT362" s="770"/>
      <c r="NU362" s="770"/>
      <c r="NV362" s="770"/>
      <c r="NW362" s="770"/>
      <c r="NX362" s="770"/>
      <c r="NY362" s="770"/>
      <c r="NZ362" s="770"/>
      <c r="OA362" s="770"/>
      <c r="OB362" s="770"/>
      <c r="OC362" s="770"/>
      <c r="OD362" s="770"/>
      <c r="OE362" s="770"/>
      <c r="OF362" s="770"/>
      <c r="OG362" s="770"/>
      <c r="OH362" s="770"/>
      <c r="OI362" s="770"/>
      <c r="OJ362" s="770"/>
      <c r="OK362" s="770"/>
      <c r="OL362" s="770"/>
      <c r="OM362" s="770"/>
      <c r="ON362" s="770"/>
      <c r="OO362" s="770"/>
      <c r="OP362" s="770"/>
      <c r="OQ362" s="770"/>
      <c r="OR362" s="770"/>
      <c r="OS362" s="770"/>
      <c r="OT362" s="770"/>
      <c r="OU362" s="770"/>
      <c r="OV362" s="770"/>
      <c r="OW362" s="770"/>
      <c r="OX362" s="770"/>
      <c r="OY362" s="770"/>
      <c r="OZ362" s="770"/>
      <c r="PA362" s="770"/>
      <c r="PB362" s="770"/>
      <c r="PC362" s="770"/>
      <c r="PD362" s="770"/>
      <c r="PE362" s="770"/>
      <c r="PF362" s="770"/>
      <c r="PG362" s="770"/>
      <c r="PH362" s="770"/>
      <c r="PI362" s="770"/>
      <c r="PJ362" s="770"/>
      <c r="PK362" s="770"/>
      <c r="PL362" s="770"/>
      <c r="PM362" s="770"/>
      <c r="PN362" s="770"/>
      <c r="PO362" s="770"/>
      <c r="PP362" s="770"/>
      <c r="PQ362" s="770"/>
      <c r="PR362" s="770"/>
      <c r="PS362" s="770"/>
      <c r="PT362" s="770"/>
      <c r="PU362" s="770"/>
      <c r="PV362" s="770"/>
      <c r="PW362" s="770"/>
      <c r="PX362" s="770"/>
      <c r="PY362" s="770"/>
      <c r="PZ362" s="770"/>
      <c r="QA362" s="770"/>
      <c r="QB362" s="770"/>
      <c r="QC362" s="770"/>
      <c r="QD362" s="770"/>
      <c r="QE362" s="770"/>
      <c r="QF362" s="770"/>
      <c r="QG362" s="770"/>
      <c r="QH362" s="770"/>
      <c r="QI362" s="770"/>
      <c r="QJ362" s="770"/>
      <c r="QK362" s="770"/>
      <c r="QL362" s="770"/>
      <c r="QM362" s="770"/>
      <c r="QN362" s="770"/>
      <c r="QO362" s="770"/>
      <c r="QP362" s="770"/>
      <c r="QQ362" s="770"/>
      <c r="QR362" s="770"/>
      <c r="QS362" s="770"/>
      <c r="QT362" s="770"/>
      <c r="QU362" s="770"/>
      <c r="QV362" s="770"/>
      <c r="QW362" s="770"/>
      <c r="QX362" s="770"/>
      <c r="QY362" s="770"/>
      <c r="QZ362" s="770"/>
      <c r="RA362" s="770"/>
      <c r="RB362" s="770"/>
      <c r="RC362" s="770"/>
      <c r="RD362" s="770"/>
      <c r="RE362" s="770"/>
      <c r="RF362" s="304"/>
      <c r="RG362" s="770"/>
      <c r="RH362" s="302"/>
      <c r="RI362" s="770"/>
      <c r="RJ362" s="770" t="s">
        <v>643</v>
      </c>
      <c r="RK362" s="770" t="s">
        <v>13401</v>
      </c>
      <c r="RL362" s="1710"/>
      <c r="RM362" s="12"/>
      <c r="RN362" s="1711"/>
      <c r="RO362" s="140" t="s">
        <v>624</v>
      </c>
      <c r="RP362" s="11"/>
      <c r="RQ362" s="11"/>
      <c r="RR362" s="771"/>
      <c r="RS362" s="767"/>
      <c r="RT362" s="11"/>
      <c r="RU362" s="11"/>
      <c r="RV362" s="771" t="s">
        <v>7419</v>
      </c>
      <c r="RW362" s="11" t="s">
        <v>7647</v>
      </c>
      <c r="RX362" s="11" t="s">
        <v>620</v>
      </c>
      <c r="RY362" s="11"/>
      <c r="RZ362" s="11" t="s">
        <v>2209</v>
      </c>
      <c r="SA362" s="771"/>
      <c r="SB362" s="11"/>
      <c r="SC362" s="11"/>
    </row>
    <row r="363" spans="1:497" ht="12.75" hidden="1" customHeight="1">
      <c r="A363" s="154" t="s">
        <v>14182</v>
      </c>
      <c r="B363" s="292" t="s">
        <v>7649</v>
      </c>
      <c r="C363" s="140" t="s">
        <v>624</v>
      </c>
      <c r="D363" s="770" t="s">
        <v>625</v>
      </c>
      <c r="E363" s="766" t="s">
        <v>622</v>
      </c>
      <c r="F363" s="770" t="s">
        <v>28</v>
      </c>
      <c r="G363" s="770" t="s">
        <v>10</v>
      </c>
      <c r="H363" s="770"/>
      <c r="I363" s="295"/>
      <c r="J363" s="94"/>
      <c r="K363" s="770"/>
      <c r="L363" s="770"/>
      <c r="M363" s="770"/>
      <c r="N363" s="770"/>
      <c r="O363" s="770"/>
      <c r="P363" s="94" t="s">
        <v>1045</v>
      </c>
      <c r="Q363" s="1088"/>
      <c r="R363" s="297">
        <v>33</v>
      </c>
      <c r="S363" s="770" t="s">
        <v>10</v>
      </c>
      <c r="T363" s="770"/>
      <c r="U363" s="298"/>
      <c r="V363" s="770" t="s">
        <v>707</v>
      </c>
      <c r="W363" s="770"/>
      <c r="X363" s="296"/>
      <c r="Y363" s="766"/>
      <c r="Z363" s="770" t="s">
        <v>708</v>
      </c>
      <c r="AA363" s="770" t="s">
        <v>709</v>
      </c>
      <c r="AB363" s="770" t="s">
        <v>710</v>
      </c>
      <c r="AC363" s="770"/>
      <c r="AD363" s="770" t="s">
        <v>711</v>
      </c>
      <c r="AE363" s="770"/>
      <c r="AF363" s="770" t="s">
        <v>712</v>
      </c>
      <c r="AG363" s="770"/>
      <c r="AH363" s="770"/>
      <c r="AI363" s="770"/>
      <c r="AJ363" s="770"/>
      <c r="AK363" s="770" t="s">
        <v>5454</v>
      </c>
      <c r="AL363" s="299"/>
      <c r="AM363" s="300"/>
      <c r="AN363" s="301"/>
      <c r="AO363" s="766"/>
      <c r="AP363" s="766"/>
      <c r="AQ363" s="766"/>
      <c r="AR363" s="766"/>
      <c r="AS363" s="770"/>
      <c r="AT363" s="770"/>
      <c r="AU363" s="770"/>
      <c r="AV363" s="770"/>
      <c r="AW363" s="770"/>
      <c r="AX363" s="770"/>
      <c r="AY363" s="770"/>
      <c r="AZ363" s="770"/>
      <c r="BA363" s="770"/>
      <c r="BB363" s="770"/>
      <c r="BC363" s="770"/>
      <c r="BD363" s="770"/>
      <c r="BE363" s="770"/>
      <c r="BF363" s="302"/>
      <c r="BG363" s="302"/>
      <c r="BH363" s="770"/>
      <c r="BI363" s="770"/>
      <c r="BJ363" s="770"/>
      <c r="BK363" s="770"/>
      <c r="BL363" s="770"/>
      <c r="BM363" s="770" t="s">
        <v>1238</v>
      </c>
      <c r="BN363" s="770" t="s">
        <v>1299</v>
      </c>
      <c r="BO363" s="770"/>
      <c r="BP363" s="780"/>
      <c r="BQ363" s="772"/>
      <c r="BR363" s="774"/>
      <c r="BS363" s="766" t="s">
        <v>1105</v>
      </c>
      <c r="BT363" s="766"/>
      <c r="BU363" s="770"/>
      <c r="BV363" s="770"/>
      <c r="BW363" s="770"/>
      <c r="BX363" s="302"/>
      <c r="BY363" s="303"/>
      <c r="BZ363" s="770"/>
      <c r="CA363" s="12"/>
      <c r="CB363" s="12"/>
      <c r="CC363" s="12"/>
      <c r="CD363" s="12"/>
      <c r="CE363" s="12"/>
      <c r="CF363" s="12"/>
      <c r="CG363" s="12"/>
      <c r="CH363" s="12"/>
      <c r="CI363" s="12"/>
      <c r="CJ363" s="12"/>
      <c r="CK363" s="12"/>
      <c r="CL363" s="12"/>
      <c r="CM363" s="12"/>
      <c r="CN363" s="770"/>
      <c r="CO363" s="770"/>
      <c r="CP363" s="770"/>
      <c r="CQ363" s="770"/>
      <c r="CR363" s="770"/>
      <c r="CS363" s="302"/>
      <c r="CT363" s="770"/>
      <c r="CU363" s="305"/>
      <c r="CV363" s="770"/>
      <c r="CW363" s="770"/>
      <c r="CX363" s="770"/>
      <c r="CY363" s="770"/>
      <c r="CZ363" s="770"/>
      <c r="DA363" s="306"/>
      <c r="DB363" s="770"/>
      <c r="DC363" s="770"/>
      <c r="DD363" s="770"/>
      <c r="DE363" s="300"/>
      <c r="DF363" s="770"/>
      <c r="DG363" s="770"/>
      <c r="DH363" s="770"/>
      <c r="DI363" s="770"/>
      <c r="DJ363" s="770"/>
      <c r="DK363" s="770"/>
      <c r="DL363" s="770"/>
      <c r="DM363" s="770"/>
      <c r="DN363" s="322"/>
      <c r="DO363" s="770"/>
      <c r="DP363" s="770"/>
      <c r="DQ363" s="770"/>
      <c r="DR363" s="770"/>
      <c r="DS363" s="307"/>
      <c r="DT363" s="770"/>
      <c r="DU363" s="770"/>
      <c r="DV363" s="770"/>
      <c r="DW363" s="306"/>
      <c r="DX363" s="306"/>
      <c r="DY363" s="770"/>
      <c r="DZ363" s="770"/>
      <c r="EA363" s="770"/>
      <c r="EB363" s="770"/>
      <c r="EC363" s="770"/>
      <c r="ED363" s="770"/>
      <c r="EE363" s="770"/>
      <c r="EF363" s="770"/>
      <c r="EG363" s="770"/>
      <c r="EH363" s="770"/>
      <c r="EI363" s="770"/>
      <c r="EJ363" s="770"/>
      <c r="EK363" s="770"/>
      <c r="EL363" s="770"/>
      <c r="EM363" s="770"/>
      <c r="EN363" s="770"/>
      <c r="EO363" s="770"/>
      <c r="EP363" s="94"/>
      <c r="EQ363" s="770"/>
      <c r="ER363" s="770"/>
      <c r="ES363" s="770"/>
      <c r="ET363" s="770"/>
      <c r="EU363" s="770"/>
      <c r="EV363" s="770"/>
      <c r="EW363" s="770"/>
      <c r="EX363" s="770"/>
      <c r="EY363" s="770"/>
      <c r="EZ363" s="770"/>
      <c r="FA363" s="770"/>
      <c r="FB363" s="770"/>
      <c r="FC363" s="770"/>
      <c r="FD363" s="302"/>
      <c r="FE363" s="770"/>
      <c r="FF363" s="770"/>
      <c r="FG363" s="770"/>
      <c r="FH363" s="770" t="s">
        <v>1299</v>
      </c>
      <c r="FI363" s="770">
        <v>1</v>
      </c>
      <c r="FJ363" s="770" t="s">
        <v>643</v>
      </c>
      <c r="FK363" s="770" t="s">
        <v>1667</v>
      </c>
      <c r="FL363" s="770"/>
      <c r="FM363" s="302"/>
      <c r="FN363" s="302"/>
      <c r="FO363" s="302"/>
      <c r="FP363" s="766" t="s">
        <v>1602</v>
      </c>
      <c r="FQ363" s="766" t="s">
        <v>1660</v>
      </c>
      <c r="FR363" s="770" t="s">
        <v>1207</v>
      </c>
      <c r="FS363" s="770" t="s">
        <v>1208</v>
      </c>
      <c r="FT363" s="770"/>
      <c r="FU363" s="770"/>
      <c r="FV363" s="770"/>
      <c r="FW363" s="770"/>
      <c r="FX363" s="770"/>
      <c r="FY363" s="770"/>
      <c r="FZ363" s="770"/>
      <c r="GA363" s="770"/>
      <c r="GB363" s="770" t="s">
        <v>853</v>
      </c>
      <c r="GC363" s="308" t="s">
        <v>643</v>
      </c>
      <c r="GD363" s="297"/>
      <c r="GE363" s="770"/>
      <c r="GF363" s="302"/>
      <c r="GG363" s="302"/>
      <c r="GH363" s="770"/>
      <c r="GI363" s="770"/>
      <c r="GJ363" s="770"/>
      <c r="GK363" s="770"/>
      <c r="GL363" s="770"/>
      <c r="GM363" s="770"/>
      <c r="GN363" s="309"/>
      <c r="GO363" s="770"/>
      <c r="GP363" s="770"/>
      <c r="GQ363" s="770"/>
      <c r="GR363" s="770"/>
      <c r="GS363" s="770"/>
      <c r="GT363" s="770"/>
      <c r="GU363" s="770"/>
      <c r="GV363" s="770"/>
      <c r="GW363" s="770"/>
      <c r="GX363" s="770"/>
      <c r="GY363" s="770"/>
      <c r="GZ363" s="770"/>
      <c r="HA363" s="770"/>
      <c r="HB363" s="770"/>
      <c r="HC363" s="770"/>
      <c r="HD363" s="770"/>
      <c r="HE363" s="770"/>
      <c r="HF363" s="770"/>
      <c r="HG363" s="770"/>
      <c r="HH363" s="770"/>
      <c r="HI363" s="770"/>
      <c r="HJ363" s="770"/>
      <c r="HK363" s="770"/>
      <c r="HL363" s="770"/>
      <c r="HM363" s="770"/>
      <c r="HN363" s="770"/>
      <c r="HO363" s="770"/>
      <c r="HP363" s="770"/>
      <c r="HQ363" s="770"/>
      <c r="HR363" s="770"/>
      <c r="HS363" s="770"/>
      <c r="HT363" s="770"/>
      <c r="HU363" s="770"/>
      <c r="HV363" s="770"/>
      <c r="HW363" s="770"/>
      <c r="HX363" s="770"/>
      <c r="HY363" s="770"/>
      <c r="HZ363" s="770"/>
      <c r="IA363" s="770"/>
      <c r="IB363" s="14" t="e">
        <f>IF(#REF!&gt;0,IF(#REF!&lt;=10000,"Y",""),"")</f>
        <v>#REF!</v>
      </c>
      <c r="IC363" s="770"/>
      <c r="ID363" s="770"/>
      <c r="IE363" s="770">
        <v>1</v>
      </c>
      <c r="IF363" s="770" t="s">
        <v>625</v>
      </c>
      <c r="IG363" s="770" t="s">
        <v>10</v>
      </c>
      <c r="IH363" s="770"/>
      <c r="II363" s="770" t="s">
        <v>2016</v>
      </c>
      <c r="IJ363" s="770" t="s">
        <v>1835</v>
      </c>
      <c r="IK363" s="766" t="s">
        <v>1888</v>
      </c>
      <c r="IL363" s="770" t="s">
        <v>643</v>
      </c>
      <c r="IM363" s="770">
        <v>1970</v>
      </c>
      <c r="IN363" s="770" t="s">
        <v>1582</v>
      </c>
      <c r="IO363" s="296"/>
      <c r="IP363" s="770" t="s">
        <v>853</v>
      </c>
      <c r="IQ363" s="769" t="s">
        <v>1975</v>
      </c>
      <c r="IR363" s="770" t="s">
        <v>1964</v>
      </c>
      <c r="IS363" s="770" t="s">
        <v>1883</v>
      </c>
      <c r="IT363" s="770"/>
      <c r="IU363" s="770" t="s">
        <v>1208</v>
      </c>
      <c r="IV363" s="770"/>
      <c r="IW363" s="770"/>
      <c r="IX363" s="770"/>
      <c r="IY363" s="770"/>
      <c r="IZ363" s="770"/>
      <c r="JA363" s="770"/>
      <c r="JB363" s="770" t="s">
        <v>12781</v>
      </c>
      <c r="JC363" s="770"/>
      <c r="JD363" s="302"/>
      <c r="JE363" s="770"/>
      <c r="JF363" s="770"/>
      <c r="JG363" s="770"/>
      <c r="JH363" s="770"/>
      <c r="JI363" s="712" t="str">
        <f>IF(SUM(JT363,JU363)=JJ363,"ok","review")</f>
        <v>ok</v>
      </c>
      <c r="JJ363" s="770">
        <v>4</v>
      </c>
      <c r="JK363" s="1139" t="s">
        <v>1582</v>
      </c>
      <c r="JL363" s="770">
        <v>1</v>
      </c>
      <c r="JM363" s="770">
        <v>1</v>
      </c>
      <c r="JN363" s="770">
        <v>1</v>
      </c>
      <c r="JO363" s="770">
        <v>1</v>
      </c>
      <c r="JP363" s="770"/>
      <c r="JQ363" s="770"/>
      <c r="JR363" s="770"/>
      <c r="JS363" s="770"/>
      <c r="JT363" s="766">
        <f>SUM(JP363,JN363,JL363,JR363)</f>
        <v>2</v>
      </c>
      <c r="JU363" s="766">
        <f>SUM(JQ363,JO363,JM363,JS363)</f>
        <v>2</v>
      </c>
      <c r="JV363" s="712" t="str">
        <f>IF(JT363=KJ363,"ok","male")</f>
        <v>ok</v>
      </c>
      <c r="JW363" s="712" t="str">
        <f>IF(JU363=KK363,"ok","female")</f>
        <v>ok</v>
      </c>
      <c r="JX363" s="770"/>
      <c r="JY363" s="770"/>
      <c r="JZ363" s="770">
        <v>1</v>
      </c>
      <c r="KA363" s="770">
        <v>1</v>
      </c>
      <c r="KB363" s="770"/>
      <c r="KC363" s="770"/>
      <c r="KD363" s="770">
        <v>1</v>
      </c>
      <c r="KE363" s="770">
        <v>1</v>
      </c>
      <c r="KF363" s="770"/>
      <c r="KG363" s="770"/>
      <c r="KH363" s="770"/>
      <c r="KI363" s="770"/>
      <c r="KJ363" s="770">
        <f>SUM(KF363,KD363,KB363,JZ363,JX363,KH363)</f>
        <v>2</v>
      </c>
      <c r="KK363" s="770">
        <f>SUM(KG363,KE363,KC363,KA363,JY363,KI363)</f>
        <v>2</v>
      </c>
      <c r="KL363" s="712" t="str">
        <f>IF(KJ363=LN363,"ok","male")</f>
        <v>ok</v>
      </c>
      <c r="KM363" s="712" t="str">
        <f>IF(KK363=LO363,"ok","female")</f>
        <v>ok</v>
      </c>
      <c r="KN363" s="770" t="s">
        <v>707</v>
      </c>
      <c r="KO363" s="770"/>
      <c r="KP363" s="770"/>
      <c r="KQ363" s="770"/>
      <c r="KR363" s="770"/>
      <c r="KS363" s="770"/>
      <c r="KT363" s="770">
        <v>2</v>
      </c>
      <c r="KU363" s="770">
        <v>2</v>
      </c>
      <c r="KV363" s="770"/>
      <c r="KW363" s="770"/>
      <c r="KX363" s="770"/>
      <c r="KY363" s="770"/>
      <c r="KZ363" s="770"/>
      <c r="LA363" s="770"/>
      <c r="LB363" s="770"/>
      <c r="LC363" s="770"/>
      <c r="LD363" s="770"/>
      <c r="LE363" s="770"/>
      <c r="LF363" s="770"/>
      <c r="LG363" s="770"/>
      <c r="LH363" s="770"/>
      <c r="LI363" s="770"/>
      <c r="LJ363" s="770"/>
      <c r="LK363" s="770"/>
      <c r="LL363" s="770"/>
      <c r="LM363" s="770"/>
      <c r="LN363" s="766">
        <f>SUM(KP363,KR363,KT363,KV363,KX363,KZ363,LB363,LD363,LF363,LH363,LJ363,LL363)</f>
        <v>2</v>
      </c>
      <c r="LO363" s="766">
        <f>SUM(KQ363,KS363,KU363,KW363,KY363,LA363,LC363,LE363,LG363,LI363,LK363,LM363)</f>
        <v>2</v>
      </c>
      <c r="LP363" s="770">
        <v>1</v>
      </c>
      <c r="LQ363" s="770"/>
      <c r="LR363" s="770"/>
      <c r="LS363" s="770">
        <v>1</v>
      </c>
      <c r="LT363" s="712" t="str">
        <f>IF(LQ363=SUM(LU363:LW363),"OK","REV")</f>
        <v>OK</v>
      </c>
      <c r="LU363" s="770"/>
      <c r="LV363" s="770"/>
      <c r="LW363" s="770"/>
      <c r="LX363" s="769">
        <v>1</v>
      </c>
      <c r="LY363" s="766" t="str">
        <f t="shared" ref="LY363:LY426" si="100">IF(ISBLANK(LX363)=TRUE,"",LOOKUP(LX363,RT:RU))</f>
        <v>within the BRGY</v>
      </c>
      <c r="LZ363" s="299"/>
      <c r="MA363" s="306"/>
      <c r="MB363" s="306"/>
      <c r="MC363" s="1679">
        <f t="shared" si="99"/>
        <v>0</v>
      </c>
      <c r="MD363" s="306"/>
      <c r="ME363" s="306"/>
      <c r="MF363" s="306">
        <v>8000</v>
      </c>
      <c r="MG363" s="1680">
        <f>SUM(MD363:MF363)</f>
        <v>8000</v>
      </c>
      <c r="MH363" s="770" t="s">
        <v>1909</v>
      </c>
      <c r="MI363" s="302">
        <v>8000</v>
      </c>
      <c r="MJ363" s="302">
        <v>640</v>
      </c>
      <c r="MK363" s="302">
        <v>400</v>
      </c>
      <c r="ML363" s="302">
        <v>500</v>
      </c>
      <c r="MM363" s="302">
        <v>800</v>
      </c>
      <c r="MN363" s="302"/>
      <c r="MO363" s="302">
        <v>20</v>
      </c>
      <c r="MP363" s="302">
        <v>5500</v>
      </c>
      <c r="MQ363" s="302">
        <v>300</v>
      </c>
      <c r="MR363" s="302">
        <v>500</v>
      </c>
      <c r="MS363" s="302"/>
      <c r="MT363" s="302"/>
      <c r="MU363" s="302"/>
      <c r="MV363" s="302"/>
      <c r="MW363" s="302"/>
      <c r="MX363" s="302"/>
      <c r="MY363" s="1682">
        <f t="shared" si="98"/>
        <v>16660</v>
      </c>
      <c r="MZ363" s="770" t="s">
        <v>13370</v>
      </c>
      <c r="NA363" s="770" t="s">
        <v>13005</v>
      </c>
      <c r="NB363" s="770" t="s">
        <v>13371</v>
      </c>
      <c r="NC363" s="770" t="s">
        <v>13007</v>
      </c>
      <c r="ND363" s="770">
        <v>0</v>
      </c>
      <c r="NE363" s="770">
        <v>0</v>
      </c>
      <c r="NF363" s="770">
        <v>1</v>
      </c>
      <c r="NG363" s="770">
        <v>1</v>
      </c>
      <c r="NH363" s="770">
        <v>1</v>
      </c>
      <c r="NI363" s="770">
        <v>0</v>
      </c>
      <c r="NJ363" s="770">
        <v>1</v>
      </c>
      <c r="NK363" s="770">
        <v>0</v>
      </c>
      <c r="NL363" s="770">
        <v>1</v>
      </c>
      <c r="NM363" s="770">
        <v>1</v>
      </c>
      <c r="NN363" s="770">
        <v>0</v>
      </c>
      <c r="NO363" s="770">
        <v>0</v>
      </c>
      <c r="NP363" s="770">
        <v>0</v>
      </c>
      <c r="NQ363" s="770">
        <v>0</v>
      </c>
      <c r="NR363" s="770">
        <v>0</v>
      </c>
      <c r="NS363" s="770">
        <v>0</v>
      </c>
      <c r="NT363" s="770">
        <v>0</v>
      </c>
      <c r="NU363" s="770">
        <v>0</v>
      </c>
      <c r="NV363" s="770">
        <v>0</v>
      </c>
      <c r="NW363" s="770">
        <v>0</v>
      </c>
      <c r="NX363" s="770">
        <v>0</v>
      </c>
      <c r="NY363" s="770" t="s">
        <v>1208</v>
      </c>
      <c r="NZ363" s="770" t="s">
        <v>1208</v>
      </c>
      <c r="OA363" s="770" t="s">
        <v>1208</v>
      </c>
      <c r="OB363" s="770" t="s">
        <v>1208</v>
      </c>
      <c r="OC363" s="770" t="s">
        <v>1208</v>
      </c>
      <c r="OD363" s="770" t="s">
        <v>1208</v>
      </c>
      <c r="OE363" s="770"/>
      <c r="OF363" s="770" t="s">
        <v>2142</v>
      </c>
      <c r="OG363" s="770"/>
      <c r="OH363" s="770"/>
      <c r="OI363" s="770"/>
      <c r="OJ363" s="770"/>
      <c r="OK363" s="770" t="s">
        <v>1208</v>
      </c>
      <c r="OL363" s="770"/>
      <c r="OM363" s="770"/>
      <c r="ON363" s="770"/>
      <c r="OO363" s="770"/>
      <c r="OP363" s="770"/>
      <c r="OQ363" s="770"/>
      <c r="OR363" s="770"/>
      <c r="OS363" s="770"/>
      <c r="OT363" s="770"/>
      <c r="OU363" s="770"/>
      <c r="OV363" s="770"/>
      <c r="OW363" s="770"/>
      <c r="OX363" s="770"/>
      <c r="OY363" s="770"/>
      <c r="OZ363" s="770"/>
      <c r="PA363" s="770"/>
      <c r="PB363" s="770"/>
      <c r="PC363" s="770"/>
      <c r="PD363" s="770"/>
      <c r="PE363" s="770"/>
      <c r="PF363" s="770"/>
      <c r="PG363" s="770" t="s">
        <v>1208</v>
      </c>
      <c r="PH363" s="770"/>
      <c r="PI363" s="770"/>
      <c r="PJ363" s="770"/>
      <c r="PK363" s="770" t="s">
        <v>1208</v>
      </c>
      <c r="PL363" s="770"/>
      <c r="PM363" s="770"/>
      <c r="PN363" s="770"/>
      <c r="PO363" s="770"/>
      <c r="PP363" s="770"/>
      <c r="PQ363" s="770"/>
      <c r="PR363" s="770"/>
      <c r="PS363" s="770"/>
      <c r="PT363" s="770"/>
      <c r="PU363" s="770"/>
      <c r="PV363" s="770"/>
      <c r="PW363" s="770"/>
      <c r="PX363" s="770"/>
      <c r="PY363" s="770"/>
      <c r="PZ363" s="770"/>
      <c r="QA363" s="770"/>
      <c r="QB363" s="770"/>
      <c r="QC363" s="770"/>
      <c r="QD363" s="770"/>
      <c r="QE363" s="770" t="s">
        <v>1208</v>
      </c>
      <c r="QF363" s="770"/>
      <c r="QG363" s="770"/>
      <c r="QH363" s="770"/>
      <c r="QI363" s="770"/>
      <c r="QJ363" s="770"/>
      <c r="QK363" s="770"/>
      <c r="QL363" s="770"/>
      <c r="QM363" s="770"/>
      <c r="QN363" s="770"/>
      <c r="QO363" s="770"/>
      <c r="QP363" s="770"/>
      <c r="QQ363" s="770"/>
      <c r="QR363" s="770"/>
      <c r="QS363" s="770"/>
      <c r="QT363" s="770"/>
      <c r="QU363" s="770"/>
      <c r="QV363" s="770"/>
      <c r="QW363" s="770"/>
      <c r="QX363" s="770"/>
      <c r="QY363" s="770"/>
      <c r="QZ363" s="770"/>
      <c r="RA363" s="770"/>
      <c r="RB363" s="770" t="s">
        <v>1214</v>
      </c>
      <c r="RC363" s="770"/>
      <c r="RD363" s="770"/>
      <c r="RE363" s="770"/>
      <c r="RF363" s="304"/>
      <c r="RG363" s="770"/>
      <c r="RH363" s="302"/>
      <c r="RI363" s="770"/>
      <c r="RJ363" s="770" t="s">
        <v>1582</v>
      </c>
      <c r="RK363" s="770" t="s">
        <v>13401</v>
      </c>
      <c r="RL363" s="1710"/>
      <c r="RM363" s="12"/>
      <c r="RN363" s="1711"/>
      <c r="RO363" s="140" t="s">
        <v>624</v>
      </c>
      <c r="RP363" s="11"/>
      <c r="RQ363" s="11"/>
      <c r="RR363" s="154" t="s">
        <v>12460</v>
      </c>
      <c r="RS363" s="1139" t="s">
        <v>12980</v>
      </c>
      <c r="RT363" s="11"/>
      <c r="RU363" s="11"/>
      <c r="RV363" s="771" t="s">
        <v>8094</v>
      </c>
      <c r="RW363" s="11" t="s">
        <v>7548</v>
      </c>
      <c r="RX363" s="11" t="s">
        <v>620</v>
      </c>
      <c r="RY363" s="11"/>
      <c r="RZ363" s="11"/>
      <c r="SA363" s="771"/>
      <c r="SB363" s="11"/>
      <c r="SC363" s="11"/>
    </row>
    <row r="364" spans="1:497" ht="12.75" hidden="1" customHeight="1">
      <c r="A364" s="154" t="s">
        <v>7419</v>
      </c>
      <c r="B364" s="292" t="s">
        <v>7650</v>
      </c>
      <c r="C364" s="140" t="s">
        <v>626</v>
      </c>
      <c r="D364" s="770" t="s">
        <v>631</v>
      </c>
      <c r="E364" s="770" t="s">
        <v>628</v>
      </c>
      <c r="F364" s="770" t="s">
        <v>28</v>
      </c>
      <c r="G364" s="770" t="s">
        <v>18</v>
      </c>
      <c r="H364" s="770"/>
      <c r="I364" s="295" t="s">
        <v>5660</v>
      </c>
      <c r="J364" s="770" t="s">
        <v>631</v>
      </c>
      <c r="K364" s="770"/>
      <c r="L364" s="770"/>
      <c r="M364" s="770"/>
      <c r="N364" s="770"/>
      <c r="O364" s="770"/>
      <c r="P364" s="770" t="s">
        <v>631</v>
      </c>
      <c r="Q364" s="1088">
        <v>22473</v>
      </c>
      <c r="R364" s="297">
        <v>55</v>
      </c>
      <c r="S364" s="766" t="s">
        <v>18</v>
      </c>
      <c r="T364" s="770"/>
      <c r="U364" s="298" t="s">
        <v>1046</v>
      </c>
      <c r="V364" s="770" t="s">
        <v>707</v>
      </c>
      <c r="W364" s="770"/>
      <c r="X364" s="296"/>
      <c r="Y364" s="766"/>
      <c r="Z364" s="770" t="s">
        <v>708</v>
      </c>
      <c r="AA364" s="770" t="s">
        <v>709</v>
      </c>
      <c r="AB364" s="770" t="s">
        <v>710</v>
      </c>
      <c r="AC364" s="770"/>
      <c r="AD364" s="770" t="s">
        <v>716</v>
      </c>
      <c r="AE364" s="770"/>
      <c r="AF364" s="770" t="s">
        <v>1047</v>
      </c>
      <c r="AG364" s="766" t="s">
        <v>1095</v>
      </c>
      <c r="AH364" s="766" t="s">
        <v>1096</v>
      </c>
      <c r="AI364" s="770" t="s">
        <v>1188</v>
      </c>
      <c r="AJ364" s="770"/>
      <c r="AK364" s="766" t="s">
        <v>1097</v>
      </c>
      <c r="AL364" s="299">
        <v>21.6</v>
      </c>
      <c r="AM364" s="300">
        <v>13.32</v>
      </c>
      <c r="AN364" s="301">
        <v>0.61670000000000003</v>
      </c>
      <c r="AO364" s="766" t="s">
        <v>1105</v>
      </c>
      <c r="AP364" s="766"/>
      <c r="AQ364" s="766"/>
      <c r="AR364" s="766"/>
      <c r="AS364" s="770" t="s">
        <v>1207</v>
      </c>
      <c r="AT364" s="770" t="s">
        <v>1208</v>
      </c>
      <c r="AU364" s="770"/>
      <c r="AV364" s="770"/>
      <c r="AW364" s="770"/>
      <c r="AX364" s="770"/>
      <c r="AY364" s="770"/>
      <c r="AZ364" s="770"/>
      <c r="BA364" s="770"/>
      <c r="BB364" s="770"/>
      <c r="BC364" s="770" t="s">
        <v>796</v>
      </c>
      <c r="BD364" s="770" t="s">
        <v>1207</v>
      </c>
      <c r="BE364" s="770" t="s">
        <v>1214</v>
      </c>
      <c r="BF364" s="302"/>
      <c r="BG364" s="302"/>
      <c r="BH364" s="770"/>
      <c r="BI364" s="770"/>
      <c r="BJ364" s="770"/>
      <c r="BK364" s="770" t="s">
        <v>1095</v>
      </c>
      <c r="BL364" s="770" t="s">
        <v>1188</v>
      </c>
      <c r="BM364" s="766" t="s">
        <v>1096</v>
      </c>
      <c r="BN364" s="770" t="s">
        <v>1230</v>
      </c>
      <c r="BO364" s="766" t="s">
        <v>1246</v>
      </c>
      <c r="BP364" s="780">
        <v>21.6</v>
      </c>
      <c r="BQ364" s="772">
        <v>13.32</v>
      </c>
      <c r="BR364" s="774">
        <f>BQ364/BP364</f>
        <v>0.61666666666666659</v>
      </c>
      <c r="BS364" s="766" t="s">
        <v>1105</v>
      </c>
      <c r="BT364" s="766" t="s">
        <v>2040</v>
      </c>
      <c r="BU364" s="770" t="s">
        <v>1378</v>
      </c>
      <c r="BV364" s="770" t="s">
        <v>1247</v>
      </c>
      <c r="BW364" s="769"/>
      <c r="BX364" s="302">
        <v>87000</v>
      </c>
      <c r="BY364" s="303"/>
      <c r="BZ364" s="770"/>
      <c r="CA364" s="302"/>
      <c r="CB364" s="302"/>
      <c r="CC364" s="770"/>
      <c r="CD364" s="770"/>
      <c r="CE364" s="770"/>
      <c r="CF364" s="304"/>
      <c r="CG364" s="321"/>
      <c r="CH364" s="770"/>
      <c r="CI364" s="770"/>
      <c r="CJ364" s="770"/>
      <c r="CK364" s="770"/>
      <c r="CL364" s="770"/>
      <c r="CM364" s="770"/>
      <c r="CN364" s="770"/>
      <c r="CO364" s="770"/>
      <c r="CP364" s="770"/>
      <c r="CQ364" s="770"/>
      <c r="CR364" s="770"/>
      <c r="CS364" s="302"/>
      <c r="CT364" s="770"/>
      <c r="CU364" s="305"/>
      <c r="CV364" s="770"/>
      <c r="CW364" s="770"/>
      <c r="CX364" s="770"/>
      <c r="CY364" s="770"/>
      <c r="CZ364" s="770"/>
      <c r="DA364" s="306"/>
      <c r="DB364" s="770"/>
      <c r="DC364" s="770"/>
      <c r="DD364" s="770"/>
      <c r="DE364" s="300"/>
      <c r="DF364" s="770"/>
      <c r="DG364" s="770"/>
      <c r="DH364" s="770"/>
      <c r="DI364" s="770"/>
      <c r="DJ364" s="770"/>
      <c r="DK364" s="770"/>
      <c r="DL364" s="770"/>
      <c r="DM364" s="770"/>
      <c r="DN364" s="322"/>
      <c r="DO364" s="770"/>
      <c r="DP364" s="770"/>
      <c r="DQ364" s="770"/>
      <c r="DR364" s="770"/>
      <c r="DS364" s="307"/>
      <c r="DT364" s="770"/>
      <c r="DU364" s="770"/>
      <c r="DV364" s="770"/>
      <c r="DW364" s="306"/>
      <c r="DX364" s="306"/>
      <c r="DY364" s="770"/>
      <c r="DZ364" s="770"/>
      <c r="EA364" s="770"/>
      <c r="EB364" s="770"/>
      <c r="EC364" s="770"/>
      <c r="ED364" s="770"/>
      <c r="EE364" s="770"/>
      <c r="EF364" s="770"/>
      <c r="EG364" s="770"/>
      <c r="EH364" s="770"/>
      <c r="EI364" s="770"/>
      <c r="EJ364" s="770"/>
      <c r="EK364" s="770"/>
      <c r="EL364" s="770"/>
      <c r="EM364" s="770"/>
      <c r="EN364" s="770"/>
      <c r="EO364" s="770"/>
      <c r="EP364" s="94"/>
      <c r="EQ364" s="770"/>
      <c r="ER364" s="770"/>
      <c r="ES364" s="770"/>
      <c r="ET364" s="770"/>
      <c r="EU364" s="770"/>
      <c r="EV364" s="770"/>
      <c r="EW364" s="770"/>
      <c r="EX364" s="770"/>
      <c r="EY364" s="770"/>
      <c r="EZ364" s="770"/>
      <c r="FA364" s="770"/>
      <c r="FB364" s="770"/>
      <c r="FC364" s="770"/>
      <c r="FD364" s="302"/>
      <c r="FE364" s="770"/>
      <c r="FF364" s="770"/>
      <c r="FG364" s="770"/>
      <c r="FH364" s="770" t="s">
        <v>478</v>
      </c>
      <c r="FI364" s="770">
        <v>1</v>
      </c>
      <c r="FJ364" s="770"/>
      <c r="FK364" s="770"/>
      <c r="FL364" s="770"/>
      <c r="FM364" s="302"/>
      <c r="FN364" s="302"/>
      <c r="FO364" s="302"/>
      <c r="FP364" s="770"/>
      <c r="FQ364" s="770"/>
      <c r="FR364" s="770" t="s">
        <v>1207</v>
      </c>
      <c r="FS364" s="770" t="s">
        <v>1208</v>
      </c>
      <c r="FT364" s="770"/>
      <c r="FU364" s="770"/>
      <c r="FV364" s="770"/>
      <c r="FW364" s="770"/>
      <c r="FX364" s="770"/>
      <c r="FY364" s="770"/>
      <c r="FZ364" s="770"/>
      <c r="GA364" s="770"/>
      <c r="GB364" s="770" t="s">
        <v>1756</v>
      </c>
      <c r="GC364" s="308" t="s">
        <v>1757</v>
      </c>
      <c r="GD364" s="297"/>
      <c r="GE364" s="770" t="s">
        <v>1214</v>
      </c>
      <c r="GF364" s="302"/>
      <c r="GG364" s="302"/>
      <c r="GH364" s="770"/>
      <c r="GI364" s="770"/>
      <c r="GJ364" s="770"/>
      <c r="GK364" s="770"/>
      <c r="GL364" s="770"/>
      <c r="GM364" s="770"/>
      <c r="GN364" s="309"/>
      <c r="GO364" s="770"/>
      <c r="GP364" s="770"/>
      <c r="GQ364" s="770"/>
      <c r="GR364" s="770"/>
      <c r="GS364" s="770"/>
      <c r="GT364" s="770"/>
      <c r="GU364" s="770"/>
      <c r="GV364" s="770"/>
      <c r="GW364" s="770"/>
      <c r="GX364" s="770"/>
      <c r="GY364" s="770"/>
      <c r="GZ364" s="770"/>
      <c r="HA364" s="770"/>
      <c r="HB364" s="770"/>
      <c r="HC364" s="770"/>
      <c r="HD364" s="770"/>
      <c r="HE364" s="770"/>
      <c r="HF364" s="770"/>
      <c r="HG364" s="770"/>
      <c r="HH364" s="770"/>
      <c r="HI364" s="770"/>
      <c r="HJ364" s="770"/>
      <c r="HK364" s="770"/>
      <c r="HL364" s="770"/>
      <c r="HM364" s="770"/>
      <c r="HN364" s="770"/>
      <c r="HO364" s="770"/>
      <c r="HP364" s="770"/>
      <c r="HQ364" s="770"/>
      <c r="HR364" s="770"/>
      <c r="HS364" s="770"/>
      <c r="HT364" s="770"/>
      <c r="HU364" s="770"/>
      <c r="HV364" s="770"/>
      <c r="HW364" s="770"/>
      <c r="HX364" s="770"/>
      <c r="HY364" s="770"/>
      <c r="HZ364" s="770"/>
      <c r="IA364" s="770"/>
      <c r="IB364" s="14" t="e">
        <f>IF(#REF!&gt;0,IF(#REF!&lt;=10000,"Y",""),"")</f>
        <v>#REF!</v>
      </c>
      <c r="IC364" s="770" t="s">
        <v>1207</v>
      </c>
      <c r="ID364" s="770"/>
      <c r="IE364" s="770"/>
      <c r="IF364" s="770" t="s">
        <v>631</v>
      </c>
      <c r="IG364" s="770" t="s">
        <v>18</v>
      </c>
      <c r="IH364" s="770" t="s">
        <v>478</v>
      </c>
      <c r="II364" s="770"/>
      <c r="IJ364" s="770" t="s">
        <v>2017</v>
      </c>
      <c r="IK364" s="766" t="s">
        <v>1888</v>
      </c>
      <c r="IL364" s="770" t="s">
        <v>1188</v>
      </c>
      <c r="IM364" s="770">
        <v>1980</v>
      </c>
      <c r="IN364" s="770"/>
      <c r="IO364" s="296">
        <v>22473</v>
      </c>
      <c r="IP364" s="770" t="s">
        <v>478</v>
      </c>
      <c r="IQ364" s="769" t="s">
        <v>5498</v>
      </c>
      <c r="IR364" s="770" t="s">
        <v>2716</v>
      </c>
      <c r="IS364" s="770" t="s">
        <v>1883</v>
      </c>
      <c r="IT364" s="770"/>
      <c r="IU364" s="770" t="s">
        <v>1208</v>
      </c>
      <c r="IV364" s="770"/>
      <c r="IW364" s="770"/>
      <c r="IX364" s="770"/>
      <c r="IY364" s="770"/>
      <c r="IZ364" s="770"/>
      <c r="JA364" s="770"/>
      <c r="JB364" s="770" t="s">
        <v>12781</v>
      </c>
      <c r="JC364" s="770"/>
      <c r="JD364" s="302"/>
      <c r="JE364" s="770"/>
      <c r="JF364" s="770"/>
      <c r="JG364" s="770"/>
      <c r="JH364" s="770"/>
      <c r="JI364" s="770"/>
      <c r="JJ364" s="770">
        <v>2</v>
      </c>
      <c r="JK364" s="770" t="s">
        <v>1188</v>
      </c>
      <c r="JL364" s="770"/>
      <c r="JM364" s="770"/>
      <c r="JN364" s="770">
        <v>1</v>
      </c>
      <c r="JO364" s="770">
        <v>1</v>
      </c>
      <c r="JP364" s="770"/>
      <c r="JQ364" s="770"/>
      <c r="JR364" s="770"/>
      <c r="JS364" s="770"/>
      <c r="JT364" s="766">
        <f>SUM(JP364,JN364,JL364,JR364)</f>
        <v>1</v>
      </c>
      <c r="JU364" s="766">
        <f>SUM(JQ364,JO364,JM364,JS364)</f>
        <v>1</v>
      </c>
      <c r="JV364" s="766"/>
      <c r="JW364" s="766"/>
      <c r="JX364" s="770"/>
      <c r="JY364" s="770"/>
      <c r="JZ364" s="770"/>
      <c r="KA364" s="770"/>
      <c r="KB364" s="770"/>
      <c r="KC364" s="770"/>
      <c r="KD364" s="770">
        <v>1</v>
      </c>
      <c r="KE364" s="770">
        <v>1</v>
      </c>
      <c r="KF364" s="770"/>
      <c r="KG364" s="770"/>
      <c r="KH364" s="770"/>
      <c r="KI364" s="770"/>
      <c r="KJ364" s="770">
        <f>SUM(KF364,KD364,KB364,JZ364,JX364,KH364)</f>
        <v>1</v>
      </c>
      <c r="KK364" s="770">
        <f>SUM(KG364,KE364,KC364,KA364,JY364,KI364)</f>
        <v>1</v>
      </c>
      <c r="KL364" s="770"/>
      <c r="KM364" s="770"/>
      <c r="KN364" s="770" t="s">
        <v>707</v>
      </c>
      <c r="KO364" s="770"/>
      <c r="KP364" s="770"/>
      <c r="KQ364" s="770"/>
      <c r="KR364" s="770"/>
      <c r="KS364" s="770"/>
      <c r="KT364" s="770"/>
      <c r="KU364" s="770"/>
      <c r="KV364" s="770"/>
      <c r="KW364" s="770"/>
      <c r="KX364" s="770"/>
      <c r="KY364" s="770"/>
      <c r="KZ364" s="770"/>
      <c r="LA364" s="770">
        <v>1</v>
      </c>
      <c r="LB364" s="770">
        <v>1</v>
      </c>
      <c r="LC364" s="770"/>
      <c r="LD364" s="770"/>
      <c r="LE364" s="770"/>
      <c r="LF364" s="770"/>
      <c r="LG364" s="770"/>
      <c r="LH364" s="770"/>
      <c r="LI364" s="770"/>
      <c r="LJ364" s="770"/>
      <c r="LK364" s="770"/>
      <c r="LL364" s="770"/>
      <c r="LM364" s="770"/>
      <c r="LN364" s="766">
        <f>SUM(KP364,KR364,KT364,KV364,KX364,KZ364,LB364,LD364,LF364,LH364,LJ364,LL364)</f>
        <v>1</v>
      </c>
      <c r="LO364" s="766">
        <f>SUM(KQ364,KS364,KU364,KW364,KY364,LA364,LC364,LE364,LG364,LI364,LK364,LM364)</f>
        <v>1</v>
      </c>
      <c r="LP364" s="770">
        <v>1</v>
      </c>
      <c r="LQ364" s="770"/>
      <c r="LR364" s="770"/>
      <c r="LS364" s="770">
        <v>1</v>
      </c>
      <c r="LT364" s="770"/>
      <c r="LU364" s="770"/>
      <c r="LV364" s="770"/>
      <c r="LW364" s="770"/>
      <c r="LX364" s="769">
        <v>1</v>
      </c>
      <c r="LY364" s="766" t="str">
        <f t="shared" si="100"/>
        <v>within the BRGY</v>
      </c>
      <c r="LZ364" s="299"/>
      <c r="MA364" s="306"/>
      <c r="MB364" s="306"/>
      <c r="MC364" s="1679">
        <f t="shared" si="99"/>
        <v>0</v>
      </c>
      <c r="MD364" s="306"/>
      <c r="ME364" s="306"/>
      <c r="MF364" s="306">
        <v>2500</v>
      </c>
      <c r="MG364" s="1680">
        <f t="shared" si="97"/>
        <v>2500</v>
      </c>
      <c r="MH364" s="770" t="s">
        <v>3703</v>
      </c>
      <c r="MI364" s="302"/>
      <c r="MJ364" s="302"/>
      <c r="MK364" s="302"/>
      <c r="ML364" s="302"/>
      <c r="MM364" s="302"/>
      <c r="MN364" s="302"/>
      <c r="MO364" s="302"/>
      <c r="MP364" s="302"/>
      <c r="MQ364" s="302"/>
      <c r="MR364" s="302"/>
      <c r="MS364" s="302"/>
      <c r="MT364" s="302"/>
      <c r="MU364" s="302"/>
      <c r="MV364" s="302"/>
      <c r="MW364" s="302"/>
      <c r="MX364" s="302"/>
      <c r="MY364" s="1682">
        <f t="shared" si="98"/>
        <v>0</v>
      </c>
      <c r="MZ364" s="770"/>
      <c r="NA364" s="770"/>
      <c r="NB364" s="770"/>
      <c r="NC364" s="770"/>
      <c r="ND364" s="770"/>
      <c r="NE364" s="770"/>
      <c r="NF364" s="770"/>
      <c r="NG364" s="770"/>
      <c r="NH364" s="770"/>
      <c r="NI364" s="770"/>
      <c r="NJ364" s="770"/>
      <c r="NK364" s="770"/>
      <c r="NL364" s="770"/>
      <c r="NM364" s="770"/>
      <c r="NN364" s="770"/>
      <c r="NO364" s="770"/>
      <c r="NP364" s="770"/>
      <c r="NQ364" s="770"/>
      <c r="NR364" s="770"/>
      <c r="NS364" s="770"/>
      <c r="NT364" s="770"/>
      <c r="NU364" s="770"/>
      <c r="NV364" s="770"/>
      <c r="NW364" s="770"/>
      <c r="NX364" s="770"/>
      <c r="NY364" s="770"/>
      <c r="NZ364" s="770"/>
      <c r="OA364" s="770"/>
      <c r="OB364" s="770"/>
      <c r="OC364" s="770"/>
      <c r="OD364" s="770"/>
      <c r="OE364" s="770"/>
      <c r="OF364" s="1834" t="s">
        <v>13034</v>
      </c>
      <c r="OG364" s="770"/>
      <c r="OH364" s="770"/>
      <c r="OI364" s="770"/>
      <c r="OJ364" s="770"/>
      <c r="OK364" s="770" t="s">
        <v>1208</v>
      </c>
      <c r="OL364" s="770"/>
      <c r="OM364" s="770"/>
      <c r="ON364" s="770"/>
      <c r="OO364" s="770"/>
      <c r="OP364" s="770"/>
      <c r="OQ364" s="770"/>
      <c r="OR364" s="770"/>
      <c r="OS364" s="770"/>
      <c r="OT364" s="770"/>
      <c r="OU364" s="770"/>
      <c r="OV364" s="770"/>
      <c r="OW364" s="770"/>
      <c r="OX364" s="770"/>
      <c r="OY364" s="770"/>
      <c r="OZ364" s="770"/>
      <c r="PA364" s="770"/>
      <c r="PB364" s="770"/>
      <c r="PC364" s="770"/>
      <c r="PD364" s="770"/>
      <c r="PE364" s="770"/>
      <c r="PF364" s="770"/>
      <c r="PG364" s="770"/>
      <c r="PH364" s="770"/>
      <c r="PI364" s="770"/>
      <c r="PJ364" s="770"/>
      <c r="PK364" s="770"/>
      <c r="PL364" s="770"/>
      <c r="PM364" s="770"/>
      <c r="PN364" s="770"/>
      <c r="PO364" s="770"/>
      <c r="PP364" s="770"/>
      <c r="PQ364" s="770"/>
      <c r="PR364" s="770"/>
      <c r="PS364" s="770"/>
      <c r="PT364" s="770"/>
      <c r="PU364" s="770"/>
      <c r="PV364" s="770"/>
      <c r="PW364" s="770"/>
      <c r="PX364" s="770"/>
      <c r="PY364" s="770"/>
      <c r="PZ364" s="770"/>
      <c r="QA364" s="770"/>
      <c r="QB364" s="770"/>
      <c r="QC364" s="770"/>
      <c r="QD364" s="770"/>
      <c r="QE364" s="770"/>
      <c r="QF364" s="770"/>
      <c r="QG364" s="770"/>
      <c r="QH364" s="770"/>
      <c r="QI364" s="770"/>
      <c r="QJ364" s="770"/>
      <c r="QK364" s="770"/>
      <c r="QL364" s="770"/>
      <c r="QM364" s="770"/>
      <c r="QN364" s="770"/>
      <c r="QO364" s="770"/>
      <c r="QP364" s="770"/>
      <c r="QQ364" s="770"/>
      <c r="QR364" s="770"/>
      <c r="QS364" s="770"/>
      <c r="QT364" s="770"/>
      <c r="QU364" s="770"/>
      <c r="QV364" s="770"/>
      <c r="QW364" s="770"/>
      <c r="QX364" s="770"/>
      <c r="QY364" s="770"/>
      <c r="QZ364" s="770"/>
      <c r="RA364" s="770"/>
      <c r="RB364" s="770"/>
      <c r="RC364" s="770"/>
      <c r="RD364" s="770"/>
      <c r="RE364" s="770"/>
      <c r="RF364" s="304"/>
      <c r="RG364" s="770"/>
      <c r="RH364" s="302"/>
      <c r="RI364" s="770"/>
      <c r="RJ364" s="770" t="s">
        <v>1188</v>
      </c>
      <c r="RK364" s="770" t="s">
        <v>13401</v>
      </c>
      <c r="RL364" s="1710"/>
      <c r="RM364" s="12"/>
      <c r="RN364" s="1711"/>
      <c r="RO364" s="140" t="s">
        <v>626</v>
      </c>
      <c r="RP364" s="11"/>
      <c r="RQ364" s="11"/>
      <c r="RR364" s="771"/>
      <c r="RS364" s="767"/>
      <c r="RT364" s="11"/>
      <c r="RU364" s="11"/>
      <c r="RV364" s="771" t="s">
        <v>7419</v>
      </c>
      <c r="RW364" s="11" t="s">
        <v>7648</v>
      </c>
      <c r="RX364" s="11" t="s">
        <v>624</v>
      </c>
      <c r="RY364" s="11"/>
      <c r="RZ364" s="11" t="s">
        <v>2209</v>
      </c>
      <c r="SA364" s="771"/>
      <c r="SB364" s="11"/>
      <c r="SC364" s="11"/>
    </row>
    <row r="365" spans="1:497" ht="12.75" hidden="1" customHeight="1">
      <c r="A365" s="154" t="s">
        <v>14183</v>
      </c>
      <c r="B365" s="292" t="s">
        <v>7651</v>
      </c>
      <c r="C365" s="140" t="s">
        <v>626</v>
      </c>
      <c r="D365" s="94" t="s">
        <v>627</v>
      </c>
      <c r="E365" s="770" t="s">
        <v>628</v>
      </c>
      <c r="F365" s="770" t="s">
        <v>20</v>
      </c>
      <c r="G365" s="770" t="s">
        <v>18</v>
      </c>
      <c r="H365" s="770"/>
      <c r="I365" s="295"/>
      <c r="J365" s="94" t="s">
        <v>5661</v>
      </c>
      <c r="K365" s="770"/>
      <c r="L365" s="770"/>
      <c r="M365" s="770"/>
      <c r="N365" s="770"/>
      <c r="O365" s="770"/>
      <c r="P365" s="94" t="s">
        <v>5661</v>
      </c>
      <c r="Q365" s="1088"/>
      <c r="R365" s="297"/>
      <c r="S365" s="770" t="s">
        <v>10</v>
      </c>
      <c r="T365" s="770"/>
      <c r="U365" s="298"/>
      <c r="V365" s="770"/>
      <c r="W365" s="770"/>
      <c r="X365" s="296"/>
      <c r="Y365" s="766"/>
      <c r="Z365" s="770"/>
      <c r="AA365" s="770"/>
      <c r="AB365" s="770"/>
      <c r="AC365" s="770"/>
      <c r="AD365" s="770"/>
      <c r="AE365" s="770"/>
      <c r="AF365" s="770"/>
      <c r="AG365" s="770"/>
      <c r="AH365" s="770"/>
      <c r="AI365" s="770"/>
      <c r="AJ365" s="770"/>
      <c r="AK365" s="770" t="s">
        <v>5454</v>
      </c>
      <c r="AL365" s="299"/>
      <c r="AM365" s="300"/>
      <c r="AN365" s="301"/>
      <c r="AO365" s="766"/>
      <c r="AP365" s="766"/>
      <c r="AQ365" s="766"/>
      <c r="AR365" s="766"/>
      <c r="AS365" s="770"/>
      <c r="AT365" s="770"/>
      <c r="AU365" s="770"/>
      <c r="AV365" s="770"/>
      <c r="AW365" s="770"/>
      <c r="AX365" s="770"/>
      <c r="AY365" s="770"/>
      <c r="AZ365" s="770"/>
      <c r="BA365" s="770"/>
      <c r="BB365" s="770"/>
      <c r="BC365" s="770"/>
      <c r="BD365" s="770"/>
      <c r="BE365" s="770"/>
      <c r="BF365" s="302"/>
      <c r="BG365" s="302"/>
      <c r="BH365" s="770"/>
      <c r="BI365" s="770"/>
      <c r="BJ365" s="770"/>
      <c r="BK365" s="770"/>
      <c r="BL365" s="770"/>
      <c r="BM365" s="770" t="s">
        <v>1238</v>
      </c>
      <c r="BN365" s="770" t="s">
        <v>1263</v>
      </c>
      <c r="BO365" s="770"/>
      <c r="BP365" s="780"/>
      <c r="BQ365" s="772"/>
      <c r="BR365" s="774"/>
      <c r="BS365" s="766" t="s">
        <v>1105</v>
      </c>
      <c r="BT365" s="766"/>
      <c r="BU365" s="770"/>
      <c r="BV365" s="770"/>
      <c r="BW365" s="770"/>
      <c r="BX365" s="302"/>
      <c r="BY365" s="303"/>
      <c r="BZ365" s="770"/>
      <c r="CA365" s="302"/>
      <c r="CB365" s="302"/>
      <c r="CC365" s="770"/>
      <c r="CD365" s="770"/>
      <c r="CE365" s="770"/>
      <c r="CF365" s="304"/>
      <c r="CG365" s="321"/>
      <c r="CH365" s="770"/>
      <c r="CI365" s="770"/>
      <c r="CJ365" s="770"/>
      <c r="CK365" s="770"/>
      <c r="CL365" s="770"/>
      <c r="CM365" s="770"/>
      <c r="CN365" s="770"/>
      <c r="CO365" s="770"/>
      <c r="CP365" s="770"/>
      <c r="CQ365" s="770"/>
      <c r="CR365" s="770"/>
      <c r="CS365" s="302"/>
      <c r="CT365" s="770"/>
      <c r="CU365" s="305"/>
      <c r="CV365" s="770"/>
      <c r="CW365" s="770"/>
      <c r="CX365" s="770"/>
      <c r="CY365" s="770"/>
      <c r="CZ365" s="770"/>
      <c r="DA365" s="306"/>
      <c r="DB365" s="770"/>
      <c r="DC365" s="770"/>
      <c r="DD365" s="770"/>
      <c r="DE365" s="300"/>
      <c r="DF365" s="770"/>
      <c r="DG365" s="770"/>
      <c r="DH365" s="770"/>
      <c r="DI365" s="770"/>
      <c r="DJ365" s="770"/>
      <c r="DK365" s="770"/>
      <c r="DL365" s="770"/>
      <c r="DM365" s="770"/>
      <c r="DN365" s="322"/>
      <c r="DO365" s="770"/>
      <c r="DP365" s="770"/>
      <c r="DQ365" s="770"/>
      <c r="DR365" s="770"/>
      <c r="DS365" s="307"/>
      <c r="DT365" s="770"/>
      <c r="DU365" s="770"/>
      <c r="DV365" s="770"/>
      <c r="DW365" s="306"/>
      <c r="DX365" s="306"/>
      <c r="DY365" s="770"/>
      <c r="DZ365" s="770"/>
      <c r="EA365" s="770"/>
      <c r="EB365" s="770"/>
      <c r="EC365" s="770"/>
      <c r="ED365" s="770"/>
      <c r="EE365" s="770"/>
      <c r="EF365" s="770"/>
      <c r="EG365" s="770"/>
      <c r="EH365" s="770"/>
      <c r="EI365" s="770"/>
      <c r="EJ365" s="770"/>
      <c r="EK365" s="770"/>
      <c r="EL365" s="770"/>
      <c r="EM365" s="770"/>
      <c r="EN365" s="770"/>
      <c r="EO365" s="770"/>
      <c r="EP365" s="94"/>
      <c r="EQ365" s="770"/>
      <c r="ER365" s="770"/>
      <c r="ES365" s="770"/>
      <c r="ET365" s="770"/>
      <c r="EU365" s="770"/>
      <c r="EV365" s="770"/>
      <c r="EW365" s="770"/>
      <c r="EX365" s="770"/>
      <c r="EY365" s="770"/>
      <c r="EZ365" s="770"/>
      <c r="FA365" s="770"/>
      <c r="FB365" s="770"/>
      <c r="FC365" s="770"/>
      <c r="FD365" s="302"/>
      <c r="FE365" s="770"/>
      <c r="FF365" s="770"/>
      <c r="FG365" s="770"/>
      <c r="FH365" s="770" t="s">
        <v>1263</v>
      </c>
      <c r="FI365" s="770">
        <v>1</v>
      </c>
      <c r="FJ365" s="770" t="s">
        <v>1188</v>
      </c>
      <c r="FK365" s="770" t="s">
        <v>5660</v>
      </c>
      <c r="FL365" s="770"/>
      <c r="FM365" s="775"/>
      <c r="FN365" s="302">
        <v>500</v>
      </c>
      <c r="FO365" s="302">
        <v>200</v>
      </c>
      <c r="FP365" s="770" t="s">
        <v>1602</v>
      </c>
      <c r="FQ365" s="770" t="s">
        <v>1660</v>
      </c>
      <c r="FR365" s="770"/>
      <c r="FS365" s="770"/>
      <c r="FT365" s="770"/>
      <c r="FU365" s="770"/>
      <c r="FV365" s="770"/>
      <c r="FW365" s="770"/>
      <c r="FX365" s="770"/>
      <c r="FY365" s="770"/>
      <c r="FZ365" s="770"/>
      <c r="GA365" s="770"/>
      <c r="GB365" s="770"/>
      <c r="GC365" s="308"/>
      <c r="GD365" s="297"/>
      <c r="GE365" s="770"/>
      <c r="GF365" s="302"/>
      <c r="GG365" s="302"/>
      <c r="GH365" s="770"/>
      <c r="GI365" s="770"/>
      <c r="GJ365" s="770"/>
      <c r="GK365" s="770"/>
      <c r="GL365" s="770"/>
      <c r="GM365" s="770"/>
      <c r="GN365" s="309"/>
      <c r="GO365" s="770"/>
      <c r="GP365" s="770"/>
      <c r="GQ365" s="770"/>
      <c r="GR365" s="770"/>
      <c r="GS365" s="770"/>
      <c r="GT365" s="770"/>
      <c r="GU365" s="770"/>
      <c r="GV365" s="770"/>
      <c r="GW365" s="770"/>
      <c r="GX365" s="770"/>
      <c r="GY365" s="770"/>
      <c r="GZ365" s="770"/>
      <c r="HA365" s="770"/>
      <c r="HB365" s="770"/>
      <c r="HC365" s="770"/>
      <c r="HD365" s="770"/>
      <c r="HE365" s="770"/>
      <c r="HF365" s="770"/>
      <c r="HG365" s="770"/>
      <c r="HH365" s="770"/>
      <c r="HI365" s="770"/>
      <c r="HJ365" s="770"/>
      <c r="HK365" s="770"/>
      <c r="HL365" s="770"/>
      <c r="HM365" s="770"/>
      <c r="HN365" s="770"/>
      <c r="HO365" s="770"/>
      <c r="HP365" s="770"/>
      <c r="HQ365" s="770"/>
      <c r="HR365" s="770"/>
      <c r="HS365" s="770"/>
      <c r="HT365" s="770"/>
      <c r="HU365" s="770"/>
      <c r="HV365" s="770"/>
      <c r="HW365" s="770"/>
      <c r="HX365" s="770"/>
      <c r="HY365" s="770"/>
      <c r="HZ365" s="770"/>
      <c r="IA365" s="770"/>
      <c r="IB365" s="14" t="e">
        <f>IF(#REF!&gt;0,IF(#REF!&lt;=10000,"Y",""),"")</f>
        <v>#REF!</v>
      </c>
      <c r="IC365" s="770"/>
      <c r="ID365" s="770"/>
      <c r="IE365" s="770"/>
      <c r="IF365" s="770"/>
      <c r="IG365" s="770"/>
      <c r="IH365" s="770"/>
      <c r="II365" s="770"/>
      <c r="IJ365" s="770"/>
      <c r="IK365" s="770"/>
      <c r="IL365" s="770"/>
      <c r="IM365" s="770"/>
      <c r="IN365" s="770"/>
      <c r="IO365" s="296"/>
      <c r="IP365" s="770"/>
      <c r="IQ365" s="770"/>
      <c r="IR365" s="770"/>
      <c r="IS365" s="770"/>
      <c r="IT365" s="770"/>
      <c r="IU365" s="770"/>
      <c r="IV365" s="770"/>
      <c r="IW365" s="770"/>
      <c r="IX365" s="770"/>
      <c r="IY365" s="770"/>
      <c r="IZ365" s="770"/>
      <c r="JA365" s="770"/>
      <c r="JB365" s="770"/>
      <c r="JC365" s="770"/>
      <c r="JD365" s="302"/>
      <c r="JE365" s="770"/>
      <c r="JF365" s="770"/>
      <c r="JG365" s="770"/>
      <c r="JH365" s="770"/>
      <c r="JI365" s="770"/>
      <c r="JJ365" s="770"/>
      <c r="JK365" s="770"/>
      <c r="JL365" s="770"/>
      <c r="JM365" s="770"/>
      <c r="JN365" s="770"/>
      <c r="JO365" s="770"/>
      <c r="JP365" s="770"/>
      <c r="JQ365" s="770"/>
      <c r="JR365" s="770"/>
      <c r="JS365" s="770"/>
      <c r="JT365" s="766"/>
      <c r="JU365" s="766"/>
      <c r="JV365" s="766"/>
      <c r="JW365" s="766"/>
      <c r="JX365" s="770"/>
      <c r="JY365" s="770"/>
      <c r="JZ365" s="770"/>
      <c r="KA365" s="770"/>
      <c r="KB365" s="770"/>
      <c r="KC365" s="770"/>
      <c r="KD365" s="770"/>
      <c r="KE365" s="770"/>
      <c r="KF365" s="770"/>
      <c r="KG365" s="770"/>
      <c r="KH365" s="770"/>
      <c r="KI365" s="770"/>
      <c r="KJ365" s="770"/>
      <c r="KK365" s="770"/>
      <c r="KL365" s="770"/>
      <c r="KM365" s="770"/>
      <c r="KN365" s="770"/>
      <c r="KO365" s="770"/>
      <c r="KP365" s="770"/>
      <c r="KQ365" s="770"/>
      <c r="KR365" s="770"/>
      <c r="KS365" s="770"/>
      <c r="KT365" s="770"/>
      <c r="KU365" s="770"/>
      <c r="KV365" s="770"/>
      <c r="KW365" s="770"/>
      <c r="KX365" s="770"/>
      <c r="KY365" s="770"/>
      <c r="KZ365" s="770"/>
      <c r="LA365" s="770"/>
      <c r="LB365" s="770"/>
      <c r="LC365" s="770"/>
      <c r="LD365" s="770"/>
      <c r="LE365" s="770"/>
      <c r="LF365" s="770"/>
      <c r="LG365" s="770"/>
      <c r="LH365" s="770"/>
      <c r="LI365" s="770"/>
      <c r="LJ365" s="770"/>
      <c r="LK365" s="770"/>
      <c r="LL365" s="770"/>
      <c r="LM365" s="770"/>
      <c r="LN365" s="766"/>
      <c r="LO365" s="766"/>
      <c r="LP365" s="770"/>
      <c r="LQ365" s="770"/>
      <c r="LR365" s="770"/>
      <c r="LS365" s="770"/>
      <c r="LT365" s="770"/>
      <c r="LU365" s="770"/>
      <c r="LV365" s="770"/>
      <c r="LW365" s="770"/>
      <c r="LX365" s="769"/>
      <c r="LY365" s="766" t="str">
        <f t="shared" si="100"/>
        <v/>
      </c>
      <c r="LZ365" s="299"/>
      <c r="MA365" s="306"/>
      <c r="MB365" s="306"/>
      <c r="MC365" s="1679">
        <f t="shared" si="99"/>
        <v>0</v>
      </c>
      <c r="MD365" s="306"/>
      <c r="ME365" s="306"/>
      <c r="MF365" s="306"/>
      <c r="MG365" s="1680">
        <f t="shared" si="97"/>
        <v>0</v>
      </c>
      <c r="MH365" s="770"/>
      <c r="MI365" s="302"/>
      <c r="MJ365" s="302"/>
      <c r="MK365" s="302"/>
      <c r="ML365" s="302"/>
      <c r="MM365" s="302"/>
      <c r="MN365" s="302"/>
      <c r="MO365" s="302"/>
      <c r="MP365" s="302"/>
      <c r="MQ365" s="302"/>
      <c r="MR365" s="302"/>
      <c r="MS365" s="302"/>
      <c r="MT365" s="302"/>
      <c r="MU365" s="302"/>
      <c r="MV365" s="302"/>
      <c r="MW365" s="302"/>
      <c r="MX365" s="302"/>
      <c r="MY365" s="1682">
        <f t="shared" si="98"/>
        <v>0</v>
      </c>
      <c r="MZ365" s="770"/>
      <c r="NA365" s="770"/>
      <c r="NB365" s="770"/>
      <c r="NC365" s="770"/>
      <c r="ND365" s="770"/>
      <c r="NE365" s="770"/>
      <c r="NF365" s="770"/>
      <c r="NG365" s="770"/>
      <c r="NH365" s="770"/>
      <c r="NI365" s="770"/>
      <c r="NJ365" s="770"/>
      <c r="NK365" s="770"/>
      <c r="NL365" s="770"/>
      <c r="NM365" s="770"/>
      <c r="NN365" s="770"/>
      <c r="NO365" s="770"/>
      <c r="NP365" s="770"/>
      <c r="NQ365" s="770"/>
      <c r="NR365" s="770"/>
      <c r="NS365" s="770"/>
      <c r="NT365" s="770"/>
      <c r="NU365" s="770"/>
      <c r="NV365" s="770"/>
      <c r="NW365" s="770"/>
      <c r="NX365" s="770"/>
      <c r="NY365" s="770"/>
      <c r="NZ365" s="770"/>
      <c r="OA365" s="770"/>
      <c r="OB365" s="770"/>
      <c r="OC365" s="770"/>
      <c r="OD365" s="770"/>
      <c r="OE365" s="770"/>
      <c r="OF365" s="770"/>
      <c r="OG365" s="770"/>
      <c r="OH365" s="770"/>
      <c r="OI365" s="770"/>
      <c r="OJ365" s="770"/>
      <c r="OK365" s="770"/>
      <c r="OL365" s="770"/>
      <c r="OM365" s="770"/>
      <c r="ON365" s="770"/>
      <c r="OO365" s="770"/>
      <c r="OP365" s="770"/>
      <c r="OQ365" s="770"/>
      <c r="OR365" s="770"/>
      <c r="OS365" s="770"/>
      <c r="OT365" s="770"/>
      <c r="OU365" s="770"/>
      <c r="OV365" s="770"/>
      <c r="OW365" s="770"/>
      <c r="OX365" s="770"/>
      <c r="OY365" s="770"/>
      <c r="OZ365" s="770"/>
      <c r="PA365" s="770"/>
      <c r="PB365" s="770"/>
      <c r="PC365" s="770"/>
      <c r="PD365" s="770"/>
      <c r="PE365" s="770"/>
      <c r="PF365" s="770"/>
      <c r="PG365" s="770"/>
      <c r="PH365" s="770"/>
      <c r="PI365" s="770"/>
      <c r="PJ365" s="770"/>
      <c r="PK365" s="770"/>
      <c r="PL365" s="770"/>
      <c r="PM365" s="770"/>
      <c r="PN365" s="770"/>
      <c r="PO365" s="770"/>
      <c r="PP365" s="770"/>
      <c r="PQ365" s="770"/>
      <c r="PR365" s="770"/>
      <c r="PS365" s="770"/>
      <c r="PT365" s="770"/>
      <c r="PU365" s="770"/>
      <c r="PV365" s="770"/>
      <c r="PW365" s="770"/>
      <c r="PX365" s="770"/>
      <c r="PY365" s="770"/>
      <c r="PZ365" s="770"/>
      <c r="QA365" s="770"/>
      <c r="QB365" s="770"/>
      <c r="QC365" s="770"/>
      <c r="QD365" s="770"/>
      <c r="QE365" s="770"/>
      <c r="QF365" s="770"/>
      <c r="QG365" s="770"/>
      <c r="QH365" s="770"/>
      <c r="QI365" s="770"/>
      <c r="QJ365" s="770"/>
      <c r="QK365" s="770"/>
      <c r="QL365" s="770"/>
      <c r="QM365" s="770"/>
      <c r="QN365" s="770"/>
      <c r="QO365" s="770"/>
      <c r="QP365" s="770"/>
      <c r="QQ365" s="770"/>
      <c r="QR365" s="770"/>
      <c r="QS365" s="770"/>
      <c r="QT365" s="770"/>
      <c r="QU365" s="770"/>
      <c r="QV365" s="770"/>
      <c r="QW365" s="770"/>
      <c r="QX365" s="770"/>
      <c r="QY365" s="770"/>
      <c r="QZ365" s="770"/>
      <c r="RA365" s="770"/>
      <c r="RB365" s="770"/>
      <c r="RC365" s="770"/>
      <c r="RD365" s="770"/>
      <c r="RE365" s="770"/>
      <c r="RF365" s="304"/>
      <c r="RG365" s="770"/>
      <c r="RH365" s="302"/>
      <c r="RI365" s="770"/>
      <c r="RJ365" s="770" t="s">
        <v>13490</v>
      </c>
      <c r="RK365" s="770" t="s">
        <v>13401</v>
      </c>
      <c r="RL365" s="1710"/>
      <c r="RM365" s="12"/>
      <c r="RN365" s="1711"/>
      <c r="RO365" s="140" t="s">
        <v>626</v>
      </c>
      <c r="RP365" s="11"/>
      <c r="RQ365" s="11"/>
      <c r="RR365" s="771"/>
      <c r="RS365" s="767"/>
      <c r="RT365" s="11"/>
      <c r="RU365" s="11"/>
      <c r="RV365" s="771" t="s">
        <v>12460</v>
      </c>
      <c r="RW365" s="11" t="s">
        <v>7649</v>
      </c>
      <c r="RX365" s="11" t="s">
        <v>624</v>
      </c>
      <c r="RY365" s="11"/>
      <c r="RZ365" s="11"/>
      <c r="SA365" s="771"/>
      <c r="SB365" s="11"/>
      <c r="SC365" s="11"/>
    </row>
    <row r="366" spans="1:497" ht="12.75" hidden="1" customHeight="1">
      <c r="A366" s="154" t="s">
        <v>14184</v>
      </c>
      <c r="B366" s="292" t="s">
        <v>7652</v>
      </c>
      <c r="C366" s="140" t="s">
        <v>626</v>
      </c>
      <c r="D366" s="770" t="s">
        <v>631</v>
      </c>
      <c r="E366" s="770" t="s">
        <v>628</v>
      </c>
      <c r="F366" s="770" t="s">
        <v>28</v>
      </c>
      <c r="G366" s="770" t="s">
        <v>18</v>
      </c>
      <c r="H366" s="770"/>
      <c r="I366" s="295" t="s">
        <v>5660</v>
      </c>
      <c r="J366" s="770" t="s">
        <v>631</v>
      </c>
      <c r="K366" s="770"/>
      <c r="L366" s="770"/>
      <c r="M366" s="770"/>
      <c r="N366" s="770"/>
      <c r="O366" s="770"/>
      <c r="P366" s="770" t="s">
        <v>2247</v>
      </c>
      <c r="Q366" s="1088"/>
      <c r="R366" s="297"/>
      <c r="S366" s="770" t="s">
        <v>18</v>
      </c>
      <c r="T366" s="770"/>
      <c r="U366" s="298"/>
      <c r="V366" s="770"/>
      <c r="W366" s="770"/>
      <c r="X366" s="296"/>
      <c r="Y366" s="766"/>
      <c r="Z366" s="770"/>
      <c r="AA366" s="770"/>
      <c r="AB366" s="770"/>
      <c r="AC366" s="770"/>
      <c r="AD366" s="770"/>
      <c r="AE366" s="770"/>
      <c r="AF366" s="770"/>
      <c r="AG366" s="770"/>
      <c r="AH366" s="770"/>
      <c r="AI366" s="770"/>
      <c r="AJ366" s="770"/>
      <c r="AK366" s="770" t="s">
        <v>1899</v>
      </c>
      <c r="AL366" s="299"/>
      <c r="AM366" s="300"/>
      <c r="AN366" s="301"/>
      <c r="AO366" s="766"/>
      <c r="AP366" s="766"/>
      <c r="AQ366" s="766"/>
      <c r="AR366" s="766"/>
      <c r="AS366" s="770"/>
      <c r="AT366" s="770"/>
      <c r="AU366" s="770"/>
      <c r="AV366" s="770"/>
      <c r="AW366" s="770"/>
      <c r="AX366" s="770"/>
      <c r="AY366" s="770"/>
      <c r="AZ366" s="770"/>
      <c r="BA366" s="770"/>
      <c r="BB366" s="770"/>
      <c r="BC366" s="770"/>
      <c r="BD366" s="770"/>
      <c r="BE366" s="770"/>
      <c r="BF366" s="302"/>
      <c r="BG366" s="302"/>
      <c r="BH366" s="770"/>
      <c r="BI366" s="770"/>
      <c r="BJ366" s="770"/>
      <c r="BK366" s="770"/>
      <c r="BL366" s="770"/>
      <c r="BM366" s="770" t="s">
        <v>1238</v>
      </c>
      <c r="BN366" s="770" t="s">
        <v>1256</v>
      </c>
      <c r="BO366" s="770"/>
      <c r="BP366" s="780"/>
      <c r="BQ366" s="772"/>
      <c r="BR366" s="774"/>
      <c r="BS366" s="766" t="s">
        <v>1105</v>
      </c>
      <c r="BT366" s="766"/>
      <c r="BU366" s="770"/>
      <c r="BV366" s="770"/>
      <c r="BW366" s="770"/>
      <c r="BX366" s="302"/>
      <c r="BY366" s="303"/>
      <c r="BZ366" s="770"/>
      <c r="CA366" s="302"/>
      <c r="CB366" s="302"/>
      <c r="CC366" s="770"/>
      <c r="CD366" s="770"/>
      <c r="CE366" s="770"/>
      <c r="CF366" s="770"/>
      <c r="CG366" s="770"/>
      <c r="CH366" s="770"/>
      <c r="CI366" s="770"/>
      <c r="CJ366" s="770"/>
      <c r="CK366" s="770"/>
      <c r="CL366" s="770"/>
      <c r="CM366" s="770"/>
      <c r="CN366" s="770"/>
      <c r="CO366" s="770"/>
      <c r="CP366" s="770"/>
      <c r="CQ366" s="770"/>
      <c r="CR366" s="770"/>
      <c r="CS366" s="302"/>
      <c r="CT366" s="770"/>
      <c r="CU366" s="305"/>
      <c r="CV366" s="770"/>
      <c r="CW366" s="770"/>
      <c r="CX366" s="770"/>
      <c r="CY366" s="770"/>
      <c r="CZ366" s="770"/>
      <c r="DA366" s="770"/>
      <c r="DB366" s="770"/>
      <c r="DC366" s="770"/>
      <c r="DD366" s="770"/>
      <c r="DE366" s="770"/>
      <c r="DF366" s="770"/>
      <c r="DG366" s="770"/>
      <c r="DH366" s="770"/>
      <c r="DI366" s="770"/>
      <c r="DJ366" s="770"/>
      <c r="DK366" s="770"/>
      <c r="DL366" s="770"/>
      <c r="DM366" s="770"/>
      <c r="DN366" s="770"/>
      <c r="DO366" s="770"/>
      <c r="DP366" s="770"/>
      <c r="DQ366" s="770"/>
      <c r="DR366" s="770"/>
      <c r="DS366" s="307"/>
      <c r="DT366" s="770"/>
      <c r="DU366" s="770"/>
      <c r="DV366" s="770"/>
      <c r="DW366" s="306"/>
      <c r="DX366" s="306"/>
      <c r="DY366" s="770"/>
      <c r="DZ366" s="770"/>
      <c r="EA366" s="770"/>
      <c r="EB366" s="770"/>
      <c r="EC366" s="770"/>
      <c r="ED366" s="770"/>
      <c r="EE366" s="770"/>
      <c r="EF366" s="770"/>
      <c r="EG366" s="770"/>
      <c r="EH366" s="770"/>
      <c r="EI366" s="770"/>
      <c r="EJ366" s="770"/>
      <c r="EK366" s="770"/>
      <c r="EL366" s="770"/>
      <c r="EM366" s="770"/>
      <c r="EN366" s="770"/>
      <c r="EO366" s="770"/>
      <c r="EP366" s="770"/>
      <c r="EQ366" s="770"/>
      <c r="ER366" s="770"/>
      <c r="ES366" s="770"/>
      <c r="ET366" s="770"/>
      <c r="EU366" s="770"/>
      <c r="EV366" s="770"/>
      <c r="EW366" s="770"/>
      <c r="EX366" s="770"/>
      <c r="EY366" s="770"/>
      <c r="EZ366" s="770"/>
      <c r="FA366" s="770"/>
      <c r="FB366" s="770"/>
      <c r="FC366" s="770"/>
      <c r="FD366" s="302"/>
      <c r="FE366" s="770"/>
      <c r="FF366" s="770"/>
      <c r="FG366" s="770"/>
      <c r="FH366" s="770" t="s">
        <v>1306</v>
      </c>
      <c r="FI366" s="770">
        <v>1</v>
      </c>
      <c r="FJ366" s="770" t="s">
        <v>1188</v>
      </c>
      <c r="FK366" s="770" t="s">
        <v>5660</v>
      </c>
      <c r="FL366" s="770"/>
      <c r="FM366" s="147">
        <v>2500</v>
      </c>
      <c r="FN366" s="302">
        <v>500</v>
      </c>
      <c r="FO366" s="302">
        <v>300</v>
      </c>
      <c r="FP366" s="770"/>
      <c r="FQ366" s="770"/>
      <c r="FR366" s="770"/>
      <c r="FS366" s="770"/>
      <c r="FT366" s="770"/>
      <c r="FU366" s="770"/>
      <c r="FV366" s="770"/>
      <c r="FW366" s="770"/>
      <c r="FX366" s="770"/>
      <c r="FY366" s="770"/>
      <c r="FZ366" s="770"/>
      <c r="GA366" s="770"/>
      <c r="GB366" s="770"/>
      <c r="GC366" s="308"/>
      <c r="GD366" s="297"/>
      <c r="GE366" s="770"/>
      <c r="GF366" s="302"/>
      <c r="GG366" s="302"/>
      <c r="GH366" s="770"/>
      <c r="GI366" s="770"/>
      <c r="GJ366" s="770"/>
      <c r="GK366" s="770"/>
      <c r="GL366" s="770"/>
      <c r="GM366" s="770"/>
      <c r="GN366" s="309"/>
      <c r="GO366" s="770"/>
      <c r="GP366" s="770"/>
      <c r="GQ366" s="770"/>
      <c r="GR366" s="770"/>
      <c r="GS366" s="770"/>
      <c r="GT366" s="770"/>
      <c r="GU366" s="770"/>
      <c r="GV366" s="770"/>
      <c r="GW366" s="770"/>
      <c r="GX366" s="770"/>
      <c r="GY366" s="770"/>
      <c r="GZ366" s="770"/>
      <c r="HA366" s="770"/>
      <c r="HB366" s="770"/>
      <c r="HC366" s="770"/>
      <c r="HD366" s="770"/>
      <c r="HE366" s="770"/>
      <c r="HF366" s="770"/>
      <c r="HG366" s="770"/>
      <c r="HH366" s="770"/>
      <c r="HI366" s="770"/>
      <c r="HJ366" s="770"/>
      <c r="HK366" s="770"/>
      <c r="HL366" s="770"/>
      <c r="HM366" s="770"/>
      <c r="HN366" s="770"/>
      <c r="HO366" s="770"/>
      <c r="HP366" s="770"/>
      <c r="HQ366" s="770"/>
      <c r="HR366" s="770"/>
      <c r="HS366" s="770"/>
      <c r="HT366" s="770"/>
      <c r="HU366" s="770"/>
      <c r="HV366" s="770"/>
      <c r="HW366" s="770"/>
      <c r="HX366" s="770"/>
      <c r="HY366" s="770"/>
      <c r="HZ366" s="770"/>
      <c r="IA366" s="770"/>
      <c r="IB366" s="14" t="e">
        <f>IF(#REF!&gt;0,IF(#REF!&lt;=10000,"Y",""),"")</f>
        <v>#REF!</v>
      </c>
      <c r="IC366" s="770"/>
      <c r="ID366" s="770"/>
      <c r="IE366" s="770"/>
      <c r="IF366" s="770"/>
      <c r="IG366" s="770"/>
      <c r="IH366" s="770"/>
      <c r="II366" s="770"/>
      <c r="IJ366" s="770"/>
      <c r="IK366" s="770"/>
      <c r="IL366" s="770"/>
      <c r="IM366" s="770"/>
      <c r="IN366" s="770"/>
      <c r="IO366" s="296"/>
      <c r="IP366" s="770"/>
      <c r="IQ366" s="770"/>
      <c r="IR366" s="770"/>
      <c r="IS366" s="770"/>
      <c r="IT366" s="770"/>
      <c r="IU366" s="770"/>
      <c r="IV366" s="770"/>
      <c r="IW366" s="770"/>
      <c r="IX366" s="770"/>
      <c r="IY366" s="770"/>
      <c r="IZ366" s="770"/>
      <c r="JA366" s="770"/>
      <c r="JB366" s="770"/>
      <c r="JC366" s="770"/>
      <c r="JD366" s="302"/>
      <c r="JE366" s="770"/>
      <c r="JF366" s="770"/>
      <c r="JG366" s="770"/>
      <c r="JH366" s="770"/>
      <c r="JI366" s="770"/>
      <c r="JJ366" s="770"/>
      <c r="JK366" s="770"/>
      <c r="JL366" s="770"/>
      <c r="JM366" s="770"/>
      <c r="JN366" s="770"/>
      <c r="JO366" s="770"/>
      <c r="JP366" s="770"/>
      <c r="JQ366" s="770"/>
      <c r="JR366" s="770"/>
      <c r="JS366" s="770"/>
      <c r="JT366" s="766"/>
      <c r="JU366" s="766"/>
      <c r="JV366" s="766"/>
      <c r="JW366" s="766"/>
      <c r="JX366" s="770"/>
      <c r="JY366" s="770"/>
      <c r="JZ366" s="770"/>
      <c r="KA366" s="770"/>
      <c r="KB366" s="770"/>
      <c r="KC366" s="770"/>
      <c r="KD366" s="770"/>
      <c r="KE366" s="770"/>
      <c r="KF366" s="770"/>
      <c r="KG366" s="770"/>
      <c r="KH366" s="770"/>
      <c r="KI366" s="770"/>
      <c r="KJ366" s="770"/>
      <c r="KK366" s="770"/>
      <c r="KL366" s="770"/>
      <c r="KM366" s="770"/>
      <c r="KN366" s="770"/>
      <c r="KO366" s="770"/>
      <c r="KP366" s="770"/>
      <c r="KQ366" s="770"/>
      <c r="KR366" s="770"/>
      <c r="KS366" s="770"/>
      <c r="KT366" s="770"/>
      <c r="KU366" s="770"/>
      <c r="KV366" s="770"/>
      <c r="KW366" s="770"/>
      <c r="KX366" s="770"/>
      <c r="KY366" s="770"/>
      <c r="KZ366" s="770"/>
      <c r="LA366" s="770"/>
      <c r="LB366" s="770"/>
      <c r="LC366" s="770"/>
      <c r="LD366" s="770"/>
      <c r="LE366" s="770"/>
      <c r="LF366" s="770"/>
      <c r="LG366" s="770"/>
      <c r="LH366" s="770"/>
      <c r="LI366" s="770"/>
      <c r="LJ366" s="770"/>
      <c r="LK366" s="770"/>
      <c r="LL366" s="770"/>
      <c r="LM366" s="770"/>
      <c r="LN366" s="766"/>
      <c r="LO366" s="766"/>
      <c r="LP366" s="770"/>
      <c r="LQ366" s="770"/>
      <c r="LR366" s="770"/>
      <c r="LS366" s="770"/>
      <c r="LT366" s="770"/>
      <c r="LU366" s="770"/>
      <c r="LV366" s="770"/>
      <c r="LW366" s="770"/>
      <c r="LX366" s="769"/>
      <c r="LY366" s="766" t="str">
        <f t="shared" si="100"/>
        <v/>
      </c>
      <c r="LZ366" s="299"/>
      <c r="MA366" s="1709"/>
      <c r="MB366" s="1709"/>
      <c r="MC366" s="1679">
        <f t="shared" si="99"/>
        <v>0</v>
      </c>
      <c r="MD366" s="1709"/>
      <c r="ME366" s="1709"/>
      <c r="MF366" s="1709"/>
      <c r="MG366" s="1680">
        <f t="shared" si="97"/>
        <v>0</v>
      </c>
      <c r="MH366" s="770"/>
      <c r="MI366" s="302"/>
      <c r="MJ366" s="302"/>
      <c r="MK366" s="302"/>
      <c r="ML366" s="302"/>
      <c r="MM366" s="302"/>
      <c r="MN366" s="302"/>
      <c r="MO366" s="302"/>
      <c r="MP366" s="302"/>
      <c r="MQ366" s="302"/>
      <c r="MR366" s="302"/>
      <c r="MS366" s="302"/>
      <c r="MT366" s="302"/>
      <c r="MU366" s="302"/>
      <c r="MV366" s="302"/>
      <c r="MW366" s="302"/>
      <c r="MX366" s="302"/>
      <c r="MY366" s="1682">
        <f t="shared" si="98"/>
        <v>0</v>
      </c>
      <c r="MZ366" s="770"/>
      <c r="NA366" s="770"/>
      <c r="NB366" s="770"/>
      <c r="NC366" s="770"/>
      <c r="ND366" s="770"/>
      <c r="NE366" s="770"/>
      <c r="NF366" s="770"/>
      <c r="NG366" s="770"/>
      <c r="NH366" s="770"/>
      <c r="NI366" s="770"/>
      <c r="NJ366" s="770"/>
      <c r="NK366" s="770"/>
      <c r="NL366" s="770"/>
      <c r="NM366" s="770"/>
      <c r="NN366" s="770"/>
      <c r="NO366" s="770"/>
      <c r="NP366" s="770"/>
      <c r="NQ366" s="770"/>
      <c r="NR366" s="770"/>
      <c r="NS366" s="770"/>
      <c r="NT366" s="770"/>
      <c r="NU366" s="770"/>
      <c r="NV366" s="770"/>
      <c r="NW366" s="770"/>
      <c r="NX366" s="770"/>
      <c r="NY366" s="770"/>
      <c r="NZ366" s="770"/>
      <c r="OA366" s="770"/>
      <c r="OB366" s="770"/>
      <c r="OC366" s="770"/>
      <c r="OD366" s="770"/>
      <c r="OE366" s="770"/>
      <c r="OF366" s="770"/>
      <c r="OG366" s="770"/>
      <c r="OH366" s="770"/>
      <c r="OI366" s="770"/>
      <c r="OJ366" s="770"/>
      <c r="OK366" s="770"/>
      <c r="OL366" s="770"/>
      <c r="OM366" s="770"/>
      <c r="ON366" s="770"/>
      <c r="OO366" s="770"/>
      <c r="OP366" s="770"/>
      <c r="OQ366" s="770"/>
      <c r="OR366" s="770"/>
      <c r="OS366" s="770"/>
      <c r="OT366" s="770"/>
      <c r="OU366" s="770"/>
      <c r="OV366" s="770"/>
      <c r="OW366" s="770"/>
      <c r="OX366" s="770"/>
      <c r="OY366" s="770"/>
      <c r="OZ366" s="770"/>
      <c r="PA366" s="770"/>
      <c r="PB366" s="770"/>
      <c r="PC366" s="770"/>
      <c r="PD366" s="770"/>
      <c r="PE366" s="770"/>
      <c r="PF366" s="770"/>
      <c r="PG366" s="770"/>
      <c r="PH366" s="770"/>
      <c r="PI366" s="770"/>
      <c r="PJ366" s="770"/>
      <c r="PK366" s="770"/>
      <c r="PL366" s="770"/>
      <c r="PM366" s="770"/>
      <c r="PN366" s="770"/>
      <c r="PO366" s="770"/>
      <c r="PP366" s="770"/>
      <c r="PQ366" s="770"/>
      <c r="PR366" s="770"/>
      <c r="PS366" s="770"/>
      <c r="PT366" s="770"/>
      <c r="PU366" s="770"/>
      <c r="PV366" s="770"/>
      <c r="PW366" s="770"/>
      <c r="PX366" s="770"/>
      <c r="PY366" s="770"/>
      <c r="PZ366" s="770"/>
      <c r="QA366" s="770"/>
      <c r="QB366" s="770"/>
      <c r="QC366" s="770"/>
      <c r="QD366" s="770"/>
      <c r="QE366" s="770"/>
      <c r="QF366" s="770"/>
      <c r="QG366" s="770"/>
      <c r="QH366" s="770"/>
      <c r="QI366" s="770"/>
      <c r="QJ366" s="770"/>
      <c r="QK366" s="770"/>
      <c r="QL366" s="770"/>
      <c r="QM366" s="770"/>
      <c r="QN366" s="770"/>
      <c r="QO366" s="770"/>
      <c r="QP366" s="770"/>
      <c r="QQ366" s="770"/>
      <c r="QR366" s="770"/>
      <c r="QS366" s="770"/>
      <c r="QT366" s="770"/>
      <c r="QU366" s="770"/>
      <c r="QV366" s="770"/>
      <c r="QW366" s="770"/>
      <c r="QX366" s="770"/>
      <c r="QY366" s="770"/>
      <c r="QZ366" s="770"/>
      <c r="RA366" s="770"/>
      <c r="RB366" s="770"/>
      <c r="RC366" s="770"/>
      <c r="RD366" s="770"/>
      <c r="RE366" s="770"/>
      <c r="RF366" s="304"/>
      <c r="RG366" s="770"/>
      <c r="RH366" s="302"/>
      <c r="RI366" s="770"/>
      <c r="RJ366" s="770" t="s">
        <v>1188</v>
      </c>
      <c r="RK366" s="770" t="s">
        <v>13401</v>
      </c>
      <c r="RL366" s="1710"/>
      <c r="RM366" s="12"/>
      <c r="RN366" s="1711"/>
      <c r="RO366" s="140" t="s">
        <v>626</v>
      </c>
      <c r="RP366" s="11"/>
      <c r="RQ366" s="11"/>
      <c r="RR366" s="771"/>
      <c r="RS366" s="767"/>
      <c r="RT366" s="11"/>
      <c r="RU366" s="11"/>
      <c r="RV366" s="771" t="s">
        <v>7419</v>
      </c>
      <c r="RW366" s="11" t="s">
        <v>7650</v>
      </c>
      <c r="RX366" s="11" t="s">
        <v>626</v>
      </c>
      <c r="RY366" s="11"/>
      <c r="RZ366" s="11"/>
      <c r="SA366" s="771"/>
      <c r="SB366" s="11"/>
      <c r="SC366" s="11"/>
    </row>
    <row r="367" spans="1:497" ht="12.75" hidden="1" customHeight="1" thickBot="1">
      <c r="A367" s="154" t="s">
        <v>7419</v>
      </c>
      <c r="B367" s="292" t="s">
        <v>7653</v>
      </c>
      <c r="C367" s="140" t="s">
        <v>629</v>
      </c>
      <c r="D367" s="94" t="s">
        <v>630</v>
      </c>
      <c r="E367" s="766" t="s">
        <v>628</v>
      </c>
      <c r="F367" s="770" t="s">
        <v>42</v>
      </c>
      <c r="G367" s="770" t="s">
        <v>10</v>
      </c>
      <c r="H367" s="770"/>
      <c r="I367" s="295"/>
      <c r="J367" s="94" t="s">
        <v>631</v>
      </c>
      <c r="K367" s="770"/>
      <c r="L367" s="770"/>
      <c r="M367" s="770"/>
      <c r="N367" s="770"/>
      <c r="O367" s="770"/>
      <c r="P367" s="94" t="s">
        <v>1048</v>
      </c>
      <c r="Q367" s="1088">
        <v>22473</v>
      </c>
      <c r="R367" s="297">
        <v>55</v>
      </c>
      <c r="S367" s="770" t="s">
        <v>18</v>
      </c>
      <c r="T367" s="770"/>
      <c r="U367" s="298"/>
      <c r="V367" s="770" t="s">
        <v>719</v>
      </c>
      <c r="W367" s="770"/>
      <c r="X367" s="296"/>
      <c r="Y367" s="766"/>
      <c r="Z367" s="770" t="s">
        <v>708</v>
      </c>
      <c r="AA367" s="770" t="s">
        <v>709</v>
      </c>
      <c r="AB367" s="770" t="s">
        <v>710</v>
      </c>
      <c r="AC367" s="770"/>
      <c r="AD367" s="770" t="s">
        <v>716</v>
      </c>
      <c r="AE367" s="770"/>
      <c r="AF367" s="770"/>
      <c r="AG367" s="766" t="s">
        <v>1095</v>
      </c>
      <c r="AH367" s="766" t="s">
        <v>1096</v>
      </c>
      <c r="AI367" s="770" t="s">
        <v>1188</v>
      </c>
      <c r="AJ367" s="770"/>
      <c r="AK367" s="766" t="s">
        <v>1097</v>
      </c>
      <c r="AL367" s="299">
        <v>36.04</v>
      </c>
      <c r="AM367" s="300">
        <v>21.08</v>
      </c>
      <c r="AN367" s="301">
        <v>0.58489999999999998</v>
      </c>
      <c r="AO367" s="766" t="s">
        <v>1105</v>
      </c>
      <c r="AP367" s="766"/>
      <c r="AQ367" s="766"/>
      <c r="AR367" s="766"/>
      <c r="AS367" s="770" t="s">
        <v>1207</v>
      </c>
      <c r="AT367" s="770" t="s">
        <v>1208</v>
      </c>
      <c r="AU367" s="770"/>
      <c r="AV367" s="770"/>
      <c r="AW367" s="770"/>
      <c r="AX367" s="770"/>
      <c r="AY367" s="770"/>
      <c r="AZ367" s="770"/>
      <c r="BA367" s="770"/>
      <c r="BB367" s="770"/>
      <c r="BC367" s="770" t="s">
        <v>1218</v>
      </c>
      <c r="BD367" s="770" t="s">
        <v>1207</v>
      </c>
      <c r="BE367" s="770" t="s">
        <v>1207</v>
      </c>
      <c r="BF367" s="302"/>
      <c r="BG367" s="302"/>
      <c r="BH367" s="770"/>
      <c r="BI367" s="770"/>
      <c r="BJ367" s="770"/>
      <c r="BK367" s="770" t="s">
        <v>1095</v>
      </c>
      <c r="BL367" s="770" t="s">
        <v>1188</v>
      </c>
      <c r="BM367" s="766" t="s">
        <v>1096</v>
      </c>
      <c r="BN367" s="770" t="s">
        <v>1230</v>
      </c>
      <c r="BO367" s="766" t="s">
        <v>1239</v>
      </c>
      <c r="BP367" s="780">
        <v>36.04</v>
      </c>
      <c r="BQ367" s="772">
        <v>21.08</v>
      </c>
      <c r="BR367" s="774">
        <f>BQ367/BP367</f>
        <v>0.58490566037735847</v>
      </c>
      <c r="BS367" s="766" t="s">
        <v>1105</v>
      </c>
      <c r="BT367" s="766" t="s">
        <v>2040</v>
      </c>
      <c r="BU367" s="770" t="s">
        <v>1249</v>
      </c>
      <c r="BV367" s="770" t="s">
        <v>1247</v>
      </c>
      <c r="BW367" s="769"/>
      <c r="BX367" s="302"/>
      <c r="BY367" s="303"/>
      <c r="BZ367" s="770"/>
      <c r="CA367" s="302"/>
      <c r="CB367" s="302"/>
      <c r="CC367" s="770"/>
      <c r="CD367" s="770"/>
      <c r="CE367" s="770"/>
      <c r="CF367" s="304"/>
      <c r="CG367" s="321"/>
      <c r="CH367" s="770"/>
      <c r="CI367" s="770"/>
      <c r="CJ367" s="770"/>
      <c r="CK367" s="770"/>
      <c r="CL367" s="770"/>
      <c r="CM367" s="770"/>
      <c r="CN367" s="770"/>
      <c r="CO367" s="770"/>
      <c r="CP367" s="770"/>
      <c r="CQ367" s="770"/>
      <c r="CR367" s="770"/>
      <c r="CS367" s="302"/>
      <c r="CT367" s="770"/>
      <c r="CU367" s="305"/>
      <c r="CV367" s="770"/>
      <c r="CW367" s="770"/>
      <c r="CX367" s="770"/>
      <c r="CY367" s="770"/>
      <c r="CZ367" s="770"/>
      <c r="DA367" s="306"/>
      <c r="DB367" s="770"/>
      <c r="DC367" s="770"/>
      <c r="DD367" s="770"/>
      <c r="DE367" s="300"/>
      <c r="DF367" s="770"/>
      <c r="DG367" s="770"/>
      <c r="DH367" s="770"/>
      <c r="DI367" s="770"/>
      <c r="DJ367" s="770"/>
      <c r="DK367" s="770"/>
      <c r="DL367" s="770"/>
      <c r="DM367" s="770"/>
      <c r="DN367" s="322"/>
      <c r="DO367" s="770"/>
      <c r="DP367" s="770"/>
      <c r="DQ367" s="770"/>
      <c r="DR367" s="770"/>
      <c r="DS367" s="307"/>
      <c r="DT367" s="770"/>
      <c r="DU367" s="770"/>
      <c r="DV367" s="770"/>
      <c r="DW367" s="306"/>
      <c r="DX367" s="306"/>
      <c r="DY367" s="770"/>
      <c r="DZ367" s="770"/>
      <c r="EA367" s="770"/>
      <c r="EB367" s="770"/>
      <c r="EC367" s="770"/>
      <c r="ED367" s="770"/>
      <c r="EE367" s="770"/>
      <c r="EF367" s="770"/>
      <c r="EG367" s="770"/>
      <c r="EH367" s="770"/>
      <c r="EI367" s="770"/>
      <c r="EJ367" s="770"/>
      <c r="EK367" s="770"/>
      <c r="EL367" s="770"/>
      <c r="EM367" s="770"/>
      <c r="EN367" s="770"/>
      <c r="EO367" s="770"/>
      <c r="EP367" s="94"/>
      <c r="EQ367" s="770"/>
      <c r="ER367" s="770"/>
      <c r="ES367" s="770"/>
      <c r="ET367" s="770"/>
      <c r="EU367" s="770"/>
      <c r="EV367" s="770"/>
      <c r="EW367" s="770"/>
      <c r="EX367" s="770"/>
      <c r="EY367" s="770"/>
      <c r="EZ367" s="770"/>
      <c r="FA367" s="770"/>
      <c r="FB367" s="770"/>
      <c r="FC367" s="770"/>
      <c r="FD367" s="302"/>
      <c r="FE367" s="770"/>
      <c r="FF367" s="770"/>
      <c r="FG367" s="770"/>
      <c r="FH367" s="770" t="s">
        <v>478</v>
      </c>
      <c r="FI367" s="770">
        <v>1</v>
      </c>
      <c r="FJ367" s="770"/>
      <c r="FK367" s="770"/>
      <c r="FL367" s="770"/>
      <c r="FM367" s="302"/>
      <c r="FN367" s="302"/>
      <c r="FO367" s="302"/>
      <c r="FP367" s="766" t="s">
        <v>1602</v>
      </c>
      <c r="FQ367" s="766" t="s">
        <v>1660</v>
      </c>
      <c r="FR367" s="770"/>
      <c r="FS367" s="770"/>
      <c r="FT367" s="770"/>
      <c r="FU367" s="770"/>
      <c r="FV367" s="770"/>
      <c r="FW367" s="770"/>
      <c r="FX367" s="770"/>
      <c r="FY367" s="770"/>
      <c r="FZ367" s="770"/>
      <c r="GA367" s="770"/>
      <c r="GB367" s="770"/>
      <c r="GC367" s="308"/>
      <c r="GD367" s="297"/>
      <c r="GE367" s="770"/>
      <c r="GF367" s="302"/>
      <c r="GG367" s="302"/>
      <c r="GH367" s="770"/>
      <c r="GI367" s="770"/>
      <c r="GJ367" s="770"/>
      <c r="GK367" s="770"/>
      <c r="GL367" s="770"/>
      <c r="GM367" s="770"/>
      <c r="GN367" s="309"/>
      <c r="GO367" s="770"/>
      <c r="GP367" s="770"/>
      <c r="GQ367" s="770"/>
      <c r="GR367" s="770"/>
      <c r="GS367" s="770"/>
      <c r="GT367" s="770"/>
      <c r="GU367" s="770"/>
      <c r="GV367" s="770"/>
      <c r="GW367" s="770"/>
      <c r="GX367" s="770"/>
      <c r="GY367" s="770"/>
      <c r="GZ367" s="770"/>
      <c r="HA367" s="770"/>
      <c r="HB367" s="770"/>
      <c r="HC367" s="770"/>
      <c r="HD367" s="770"/>
      <c r="HE367" s="770"/>
      <c r="HF367" s="770"/>
      <c r="HG367" s="770"/>
      <c r="HH367" s="770"/>
      <c r="HI367" s="770"/>
      <c r="HJ367" s="770"/>
      <c r="HK367" s="770"/>
      <c r="HL367" s="770"/>
      <c r="HM367" s="770"/>
      <c r="HN367" s="770"/>
      <c r="HO367" s="770"/>
      <c r="HP367" s="770"/>
      <c r="HQ367" s="770"/>
      <c r="HR367" s="770"/>
      <c r="HS367" s="770"/>
      <c r="HT367" s="770"/>
      <c r="HU367" s="770"/>
      <c r="HV367" s="770"/>
      <c r="HW367" s="770"/>
      <c r="HX367" s="770"/>
      <c r="HY367" s="770"/>
      <c r="HZ367" s="770"/>
      <c r="IA367" s="770"/>
      <c r="IB367" s="14" t="e">
        <f>IF(#REF!&gt;0,IF(#REF!&lt;=10000,"Y",""),"")</f>
        <v>#REF!</v>
      </c>
      <c r="IC367" s="770" t="s">
        <v>1207</v>
      </c>
      <c r="ID367" s="770"/>
      <c r="IE367" s="770"/>
      <c r="IF367" s="770"/>
      <c r="IG367" s="770"/>
      <c r="IH367" s="770"/>
      <c r="II367" s="770"/>
      <c r="IJ367" s="770"/>
      <c r="IK367" s="770"/>
      <c r="IL367" s="770"/>
      <c r="IM367" s="770"/>
      <c r="IN367" s="770"/>
      <c r="IO367" s="296"/>
      <c r="IP367" s="770"/>
      <c r="IQ367" s="770"/>
      <c r="IR367" s="770"/>
      <c r="IS367" s="770"/>
      <c r="IT367" s="770"/>
      <c r="IU367" s="770"/>
      <c r="IV367" s="770"/>
      <c r="IW367" s="770"/>
      <c r="IX367" s="770"/>
      <c r="IY367" s="770"/>
      <c r="IZ367" s="770"/>
      <c r="JA367" s="770"/>
      <c r="JB367" s="770"/>
      <c r="JC367" s="770"/>
      <c r="JD367" s="302"/>
      <c r="JE367" s="770"/>
      <c r="JF367" s="770"/>
      <c r="JG367" s="770"/>
      <c r="JH367" s="770"/>
      <c r="JI367" s="712" t="str">
        <f>IF(SUM(JT367,JU367)=JJ367,"ok","review")</f>
        <v>ok</v>
      </c>
      <c r="JJ367" s="770">
        <v>7</v>
      </c>
      <c r="JK367" s="1139" t="s">
        <v>1188</v>
      </c>
      <c r="JL367" s="770"/>
      <c r="JM367" s="770"/>
      <c r="JN367" s="770">
        <v>4</v>
      </c>
      <c r="JO367" s="770">
        <v>3</v>
      </c>
      <c r="JP367" s="770"/>
      <c r="JQ367" s="770"/>
      <c r="JR367" s="770"/>
      <c r="JS367" s="770"/>
      <c r="JT367" s="766">
        <f>SUM(JP367,JN367,JL367,JR367)</f>
        <v>4</v>
      </c>
      <c r="JU367" s="766">
        <f>SUM(JQ367,JO367,JM367,JS367)</f>
        <v>3</v>
      </c>
      <c r="JV367" s="712" t="str">
        <f>IF(JT367=KJ367,"ok","male")</f>
        <v>ok</v>
      </c>
      <c r="JW367" s="712" t="str">
        <f>IF(JU367=KK367,"ok","female")</f>
        <v>ok</v>
      </c>
      <c r="JX367" s="770"/>
      <c r="JY367" s="770"/>
      <c r="JZ367" s="770"/>
      <c r="KA367" s="770"/>
      <c r="KB367" s="770"/>
      <c r="KC367" s="770">
        <v>1</v>
      </c>
      <c r="KD367" s="770">
        <v>4</v>
      </c>
      <c r="KE367" s="770">
        <v>2</v>
      </c>
      <c r="KF367" s="770"/>
      <c r="KG367" s="770"/>
      <c r="KH367" s="770"/>
      <c r="KI367" s="770"/>
      <c r="KJ367" s="770">
        <f>SUM(KF367,KD367,KB367,JZ367,JX367,KH367)</f>
        <v>4</v>
      </c>
      <c r="KK367" s="770">
        <f>SUM(KG367,KE367,KC367,KA367,JY367,KI367)</f>
        <v>3</v>
      </c>
      <c r="KL367" s="712" t="str">
        <f>IF(KJ367=LN367,"ok","male")</f>
        <v>ok</v>
      </c>
      <c r="KM367" s="712" t="str">
        <f>IF(KK367=LO367,"ok","female")</f>
        <v>ok</v>
      </c>
      <c r="KN367" s="770" t="s">
        <v>719</v>
      </c>
      <c r="KO367" s="770"/>
      <c r="KP367" s="770"/>
      <c r="KQ367" s="770"/>
      <c r="KR367" s="770"/>
      <c r="KS367" s="770"/>
      <c r="KT367" s="770"/>
      <c r="KU367" s="770"/>
      <c r="KV367" s="770">
        <v>3</v>
      </c>
      <c r="KW367" s="770">
        <v>1</v>
      </c>
      <c r="KX367" s="770"/>
      <c r="KY367" s="770"/>
      <c r="KZ367" s="770"/>
      <c r="LA367" s="770"/>
      <c r="LB367" s="770">
        <v>1</v>
      </c>
      <c r="LC367" s="770">
        <v>2</v>
      </c>
      <c r="LD367" s="770"/>
      <c r="LE367" s="770"/>
      <c r="LF367" s="770"/>
      <c r="LG367" s="770"/>
      <c r="LH367" s="770"/>
      <c r="LI367" s="770"/>
      <c r="LJ367" s="770"/>
      <c r="LK367" s="770"/>
      <c r="LL367" s="770"/>
      <c r="LM367" s="770"/>
      <c r="LN367" s="766">
        <f>SUM(KP367,KR367,KT367,KV367,KX367,KZ367,LB367,LD367,LF367,LH367,LJ367,LL367)</f>
        <v>4</v>
      </c>
      <c r="LO367" s="766">
        <f>SUM(KQ367,KS367,KU367,KW367,KY367,LA367,LC367,LE367,LG367,LI367,LK367,LM367)</f>
        <v>3</v>
      </c>
      <c r="LP367" s="770">
        <v>1</v>
      </c>
      <c r="LQ367" s="770"/>
      <c r="LR367" s="770"/>
      <c r="LS367" s="770">
        <v>1</v>
      </c>
      <c r="LT367" s="712" t="str">
        <f>IF(LQ367=SUM(LU367:LW367),"OK","REV")</f>
        <v>OK</v>
      </c>
      <c r="LU367" s="770"/>
      <c r="LV367" s="770"/>
      <c r="LW367" s="770"/>
      <c r="LX367" s="769">
        <v>1</v>
      </c>
      <c r="LY367" s="766" t="str">
        <f t="shared" si="100"/>
        <v>within the BRGY</v>
      </c>
      <c r="LZ367" s="299"/>
      <c r="MA367" s="306"/>
      <c r="MB367" s="306"/>
      <c r="MC367" s="1679">
        <f t="shared" si="99"/>
        <v>0</v>
      </c>
      <c r="MD367" s="306"/>
      <c r="ME367" s="306"/>
      <c r="MF367" s="306">
        <v>10000</v>
      </c>
      <c r="MG367" s="1680">
        <f>SUM(MD367:MF367)</f>
        <v>10000</v>
      </c>
      <c r="MH367" s="770" t="s">
        <v>3703</v>
      </c>
      <c r="MI367" s="302">
        <v>4500</v>
      </c>
      <c r="MJ367" s="302"/>
      <c r="MK367" s="302">
        <v>90</v>
      </c>
      <c r="ML367" s="302">
        <v>1500</v>
      </c>
      <c r="MM367" s="302"/>
      <c r="MN367" s="302"/>
      <c r="MO367" s="302">
        <v>150</v>
      </c>
      <c r="MP367" s="302">
        <v>1100</v>
      </c>
      <c r="MQ367" s="302">
        <v>300</v>
      </c>
      <c r="MR367" s="302">
        <v>3500</v>
      </c>
      <c r="MS367" s="302"/>
      <c r="MT367" s="302"/>
      <c r="MU367" s="302"/>
      <c r="MV367" s="302"/>
      <c r="MW367" s="302"/>
      <c r="MX367" s="302"/>
      <c r="MY367" s="1682">
        <f t="shared" si="98"/>
        <v>11140</v>
      </c>
      <c r="MZ367" s="770" t="s">
        <v>13370</v>
      </c>
      <c r="NA367" s="770" t="s">
        <v>13005</v>
      </c>
      <c r="NB367" s="770" t="s">
        <v>13371</v>
      </c>
      <c r="NC367" s="770" t="s">
        <v>13007</v>
      </c>
      <c r="ND367" s="770">
        <v>0</v>
      </c>
      <c r="NE367" s="770">
        <v>0</v>
      </c>
      <c r="NF367" s="770">
        <v>0</v>
      </c>
      <c r="NG367" s="770">
        <v>1</v>
      </c>
      <c r="NH367" s="770">
        <v>1</v>
      </c>
      <c r="NI367" s="770">
        <v>0</v>
      </c>
      <c r="NJ367" s="770">
        <v>0</v>
      </c>
      <c r="NK367" s="770">
        <v>0</v>
      </c>
      <c r="NL367" s="770">
        <v>1</v>
      </c>
      <c r="NM367" s="770">
        <v>1</v>
      </c>
      <c r="NN367" s="770">
        <v>0</v>
      </c>
      <c r="NO367" s="770">
        <v>0</v>
      </c>
      <c r="NP367" s="770">
        <v>0</v>
      </c>
      <c r="NQ367" s="770">
        <v>0</v>
      </c>
      <c r="NR367" s="770">
        <v>0</v>
      </c>
      <c r="NS367" s="770">
        <v>0</v>
      </c>
      <c r="NT367" s="770">
        <v>0</v>
      </c>
      <c r="NU367" s="770">
        <v>0</v>
      </c>
      <c r="NV367" s="770">
        <v>0</v>
      </c>
      <c r="NW367" s="770">
        <v>0</v>
      </c>
      <c r="NX367" s="770">
        <v>0</v>
      </c>
      <c r="NY367" s="770" t="s">
        <v>1208</v>
      </c>
      <c r="NZ367" s="770" t="s">
        <v>1208</v>
      </c>
      <c r="OA367" s="770" t="s">
        <v>1208</v>
      </c>
      <c r="OB367" s="770" t="s">
        <v>1208</v>
      </c>
      <c r="OC367" s="770" t="s">
        <v>1208</v>
      </c>
      <c r="OD367" s="770" t="s">
        <v>1208</v>
      </c>
      <c r="OE367" s="770"/>
      <c r="OF367" s="770"/>
      <c r="OG367" s="770"/>
      <c r="OH367" s="770"/>
      <c r="OI367" s="770"/>
      <c r="OJ367" s="770"/>
      <c r="OK367" s="770"/>
      <c r="OL367" s="770"/>
      <c r="OM367" s="770"/>
      <c r="ON367" s="770"/>
      <c r="OO367" s="770"/>
      <c r="OP367" s="770"/>
      <c r="OQ367" s="770"/>
      <c r="OR367" s="770"/>
      <c r="OS367" s="770"/>
      <c r="OT367" s="770"/>
      <c r="OU367" s="770"/>
      <c r="OV367" s="770"/>
      <c r="OW367" s="770"/>
      <c r="OX367" s="770"/>
      <c r="OY367" s="770"/>
      <c r="OZ367" s="770"/>
      <c r="PA367" s="770"/>
      <c r="PB367" s="770"/>
      <c r="PC367" s="770"/>
      <c r="PD367" s="770"/>
      <c r="PE367" s="770"/>
      <c r="PF367" s="770"/>
      <c r="PG367" s="770"/>
      <c r="PH367" s="770"/>
      <c r="PI367" s="770"/>
      <c r="PJ367" s="770"/>
      <c r="PK367" s="770" t="s">
        <v>1208</v>
      </c>
      <c r="PL367" s="770"/>
      <c r="PM367" s="770"/>
      <c r="PN367" s="770"/>
      <c r="PO367" s="770"/>
      <c r="PP367" s="770"/>
      <c r="PQ367" s="770"/>
      <c r="PR367" s="770"/>
      <c r="PS367" s="770"/>
      <c r="PT367" s="770"/>
      <c r="PU367" s="770"/>
      <c r="PV367" s="770" t="s">
        <v>1208</v>
      </c>
      <c r="PW367" s="770"/>
      <c r="PX367" s="770"/>
      <c r="PY367" s="770"/>
      <c r="PZ367" s="770"/>
      <c r="QA367" s="770"/>
      <c r="QB367" s="770"/>
      <c r="QC367" s="770"/>
      <c r="QD367" s="770"/>
      <c r="QE367" s="770"/>
      <c r="QF367" s="770"/>
      <c r="QG367" s="770"/>
      <c r="QH367" s="770"/>
      <c r="QI367" s="770"/>
      <c r="QJ367" s="770"/>
      <c r="QK367" s="770"/>
      <c r="QL367" s="770"/>
      <c r="QM367" s="770"/>
      <c r="QN367" s="770"/>
      <c r="QO367" s="770"/>
      <c r="QP367" s="770"/>
      <c r="QQ367" s="770"/>
      <c r="QR367" s="770"/>
      <c r="QS367" s="770"/>
      <c r="QT367" s="770"/>
      <c r="QU367" s="770"/>
      <c r="QV367" s="770"/>
      <c r="QW367" s="770"/>
      <c r="QX367" s="770"/>
      <c r="QY367" s="770"/>
      <c r="QZ367" s="770"/>
      <c r="RA367" s="770"/>
      <c r="RB367" s="770" t="s">
        <v>1214</v>
      </c>
      <c r="RC367" s="770"/>
      <c r="RD367" s="770"/>
      <c r="RE367" s="770"/>
      <c r="RF367" s="304"/>
      <c r="RG367" s="770"/>
      <c r="RH367" s="302"/>
      <c r="RI367" s="770"/>
      <c r="RJ367" s="770" t="s">
        <v>13491</v>
      </c>
      <c r="RK367" s="770" t="s">
        <v>13401</v>
      </c>
      <c r="RL367" s="1710"/>
      <c r="RM367" s="12"/>
      <c r="RN367" s="1711"/>
      <c r="RO367" s="140" t="s">
        <v>629</v>
      </c>
      <c r="RP367" s="11"/>
      <c r="RQ367" s="11"/>
      <c r="RR367" s="154" t="s">
        <v>7419</v>
      </c>
      <c r="RS367" s="1139" t="s">
        <v>12980</v>
      </c>
      <c r="RT367" s="11"/>
      <c r="RU367" s="11"/>
      <c r="RV367" s="771" t="s">
        <v>8095</v>
      </c>
      <c r="RW367" s="11" t="s">
        <v>7651</v>
      </c>
      <c r="RX367" s="11" t="s">
        <v>626</v>
      </c>
      <c r="RY367" s="11"/>
      <c r="RZ367" s="11" t="s">
        <v>2209</v>
      </c>
      <c r="SA367" s="771"/>
      <c r="SB367" s="11"/>
      <c r="SC367" s="11"/>
    </row>
    <row r="368" spans="1:497" ht="12.75" hidden="1" customHeight="1" thickBot="1">
      <c r="A368" s="154" t="s">
        <v>7419</v>
      </c>
      <c r="B368" s="292" t="s">
        <v>7654</v>
      </c>
      <c r="C368" s="140" t="s">
        <v>632</v>
      </c>
      <c r="D368" s="770" t="s">
        <v>2018</v>
      </c>
      <c r="E368" s="770" t="s">
        <v>633</v>
      </c>
      <c r="F368" s="770" t="s">
        <v>20</v>
      </c>
      <c r="G368" s="770" t="s">
        <v>18</v>
      </c>
      <c r="H368" s="770"/>
      <c r="I368" s="770"/>
      <c r="J368" s="770" t="s">
        <v>5662</v>
      </c>
      <c r="K368" s="770"/>
      <c r="L368" s="770"/>
      <c r="M368" s="770"/>
      <c r="N368" s="770"/>
      <c r="O368" s="770"/>
      <c r="P368" s="770"/>
      <c r="Q368" s="1088"/>
      <c r="R368" s="297"/>
      <c r="S368" s="770"/>
      <c r="T368" s="770"/>
      <c r="U368" s="298"/>
      <c r="V368" s="770"/>
      <c r="W368" s="770"/>
      <c r="X368" s="296"/>
      <c r="Y368" s="766"/>
      <c r="Z368" s="770"/>
      <c r="AA368" s="770"/>
      <c r="AB368" s="770"/>
      <c r="AC368" s="770"/>
      <c r="AD368" s="770"/>
      <c r="AE368" s="770"/>
      <c r="AF368" s="770"/>
      <c r="AG368" s="766" t="s">
        <v>1095</v>
      </c>
      <c r="AH368" s="766" t="s">
        <v>1096</v>
      </c>
      <c r="AI368" s="770" t="s">
        <v>7976</v>
      </c>
      <c r="AJ368" s="770"/>
      <c r="AK368" s="766" t="s">
        <v>1097</v>
      </c>
      <c r="AL368" s="299">
        <v>81.77</v>
      </c>
      <c r="AM368" s="300">
        <v>33.97</v>
      </c>
      <c r="AN368" s="301">
        <v>0.41539999999999999</v>
      </c>
      <c r="AO368" s="766" t="s">
        <v>1149</v>
      </c>
      <c r="AP368" s="766"/>
      <c r="AQ368" s="766"/>
      <c r="AR368" s="766"/>
      <c r="AS368" s="770" t="s">
        <v>1207</v>
      </c>
      <c r="AT368" s="770" t="s">
        <v>1208</v>
      </c>
      <c r="AU368" s="770"/>
      <c r="AV368" s="770"/>
      <c r="AW368" s="770"/>
      <c r="AX368" s="770"/>
      <c r="AY368" s="770"/>
      <c r="AZ368" s="770"/>
      <c r="BA368" s="770"/>
      <c r="BB368" s="770"/>
      <c r="BC368" s="770" t="s">
        <v>853</v>
      </c>
      <c r="BD368" s="770" t="s">
        <v>1207</v>
      </c>
      <c r="BE368" s="770" t="s">
        <v>1207</v>
      </c>
      <c r="BF368" s="302">
        <v>4300</v>
      </c>
      <c r="BG368" s="302">
        <f>BF368*12</f>
        <v>51600</v>
      </c>
      <c r="BH368" s="770"/>
      <c r="BI368" s="770"/>
      <c r="BJ368" s="770"/>
      <c r="BK368" s="770" t="s">
        <v>1095</v>
      </c>
      <c r="BL368" s="770" t="s">
        <v>1189</v>
      </c>
      <c r="BM368" s="766" t="s">
        <v>1096</v>
      </c>
      <c r="BN368" s="770" t="s">
        <v>1230</v>
      </c>
      <c r="BO368" s="766" t="s">
        <v>1246</v>
      </c>
      <c r="BP368" s="1105">
        <v>81.77</v>
      </c>
      <c r="BQ368" s="1107">
        <v>33.97</v>
      </c>
      <c r="BR368" s="1106">
        <v>0.41539999999999999</v>
      </c>
      <c r="BS368" s="6" t="s">
        <v>1149</v>
      </c>
      <c r="BT368" s="766" t="s">
        <v>2040</v>
      </c>
      <c r="BU368" s="770" t="s">
        <v>1249</v>
      </c>
      <c r="BV368" s="770" t="s">
        <v>1247</v>
      </c>
      <c r="BW368" s="769"/>
      <c r="BX368" s="302"/>
      <c r="BY368" s="303"/>
      <c r="BZ368" s="770"/>
      <c r="CA368" s="302"/>
      <c r="CB368" s="302" t="s">
        <v>1207</v>
      </c>
      <c r="CC368" s="770"/>
      <c r="CD368" s="770"/>
      <c r="CE368" s="770"/>
      <c r="CF368" s="304"/>
      <c r="CG368" s="321"/>
      <c r="CH368" s="770"/>
      <c r="CI368" s="770" t="s">
        <v>5663</v>
      </c>
      <c r="CJ368" s="770" t="s">
        <v>2563</v>
      </c>
      <c r="CK368" s="770"/>
      <c r="CL368" s="770"/>
      <c r="CM368" s="770"/>
      <c r="CN368" s="770"/>
      <c r="CO368" s="770"/>
      <c r="CP368" s="770"/>
      <c r="CQ368" s="770"/>
      <c r="CR368" s="770"/>
      <c r="CS368" s="302"/>
      <c r="CT368" s="770"/>
      <c r="CU368" s="305"/>
      <c r="CV368" s="770"/>
      <c r="CW368" s="770"/>
      <c r="CX368" s="770"/>
      <c r="CY368" s="770"/>
      <c r="CZ368" s="770"/>
      <c r="DA368" s="306"/>
      <c r="DB368" s="770"/>
      <c r="DC368" s="770"/>
      <c r="DD368" s="770"/>
      <c r="DE368" s="300"/>
      <c r="DF368" s="770"/>
      <c r="DG368" s="770"/>
      <c r="DH368" s="770"/>
      <c r="DI368" s="770"/>
      <c r="DJ368" s="770"/>
      <c r="DK368" s="770"/>
      <c r="DL368" s="770"/>
      <c r="DM368" s="770"/>
      <c r="DN368" s="322"/>
      <c r="DO368" s="770"/>
      <c r="DP368" s="770"/>
      <c r="DQ368" s="770"/>
      <c r="DR368" s="770"/>
      <c r="DS368" s="307"/>
      <c r="DT368" s="770"/>
      <c r="DU368" s="770"/>
      <c r="DV368" s="770"/>
      <c r="DW368" s="306"/>
      <c r="DX368" s="306"/>
      <c r="DY368" s="770"/>
      <c r="DZ368" s="770"/>
      <c r="EA368" s="770"/>
      <c r="EB368" s="770"/>
      <c r="EC368" s="770"/>
      <c r="ED368" s="770"/>
      <c r="EE368" s="770"/>
      <c r="EF368" s="770"/>
      <c r="EG368" s="770"/>
      <c r="EH368" s="770"/>
      <c r="EI368" s="770"/>
      <c r="EJ368" s="770"/>
      <c r="EK368" s="770"/>
      <c r="EL368" s="770"/>
      <c r="EM368" s="770"/>
      <c r="EN368" s="770"/>
      <c r="EO368" s="770"/>
      <c r="EP368" s="94"/>
      <c r="EQ368" s="770"/>
      <c r="ER368" s="770"/>
      <c r="ES368" s="770"/>
      <c r="ET368" s="770"/>
      <c r="EU368" s="770"/>
      <c r="EV368" s="770"/>
      <c r="EW368" s="770"/>
      <c r="EX368" s="770"/>
      <c r="EY368" s="770"/>
      <c r="EZ368" s="770"/>
      <c r="FA368" s="770"/>
      <c r="FB368" s="770"/>
      <c r="FC368" s="770"/>
      <c r="FD368" s="302"/>
      <c r="FE368" s="770"/>
      <c r="FF368" s="770"/>
      <c r="FG368" s="770"/>
      <c r="FH368" s="770" t="s">
        <v>478</v>
      </c>
      <c r="FI368" s="770">
        <v>1</v>
      </c>
      <c r="FJ368" s="770"/>
      <c r="FK368" s="770"/>
      <c r="FL368" s="770"/>
      <c r="FM368" s="302"/>
      <c r="FN368" s="302"/>
      <c r="FO368" s="302"/>
      <c r="FP368" s="770"/>
      <c r="FQ368" s="770"/>
      <c r="FR368" s="770" t="s">
        <v>1207</v>
      </c>
      <c r="FS368" s="770" t="s">
        <v>1208</v>
      </c>
      <c r="FT368" s="770" t="s">
        <v>1208</v>
      </c>
      <c r="FU368" s="770"/>
      <c r="FV368" s="770"/>
      <c r="FW368" s="770"/>
      <c r="FX368" s="770"/>
      <c r="FY368" s="770"/>
      <c r="FZ368" s="770"/>
      <c r="GA368" s="770"/>
      <c r="GB368" s="770" t="s">
        <v>853</v>
      </c>
      <c r="GC368" s="308" t="s">
        <v>1758</v>
      </c>
      <c r="GD368" s="297"/>
      <c r="GE368" s="770" t="s">
        <v>1207</v>
      </c>
      <c r="GF368" s="302">
        <v>4300</v>
      </c>
      <c r="GG368" s="302">
        <f>GF368*12</f>
        <v>51600</v>
      </c>
      <c r="GH368" s="770"/>
      <c r="GI368" s="770"/>
      <c r="GJ368" s="770"/>
      <c r="GK368" s="770"/>
      <c r="GL368" s="770"/>
      <c r="GM368" s="770"/>
      <c r="GN368" s="309"/>
      <c r="GO368" s="770"/>
      <c r="GP368" s="770"/>
      <c r="GQ368" s="770"/>
      <c r="GR368" s="770"/>
      <c r="GS368" s="770"/>
      <c r="GT368" s="770"/>
      <c r="GU368" s="770"/>
      <c r="GV368" s="770"/>
      <c r="GW368" s="770"/>
      <c r="GX368" s="770"/>
      <c r="GY368" s="770"/>
      <c r="GZ368" s="770"/>
      <c r="HA368" s="770"/>
      <c r="HB368" s="770"/>
      <c r="HC368" s="770"/>
      <c r="HD368" s="770"/>
      <c r="HE368" s="770"/>
      <c r="HF368" s="770"/>
      <c r="HG368" s="770"/>
      <c r="HH368" s="770"/>
      <c r="HI368" s="770"/>
      <c r="HJ368" s="770"/>
      <c r="HK368" s="770"/>
      <c r="HL368" s="770"/>
      <c r="HM368" s="770"/>
      <c r="HN368" s="770"/>
      <c r="HO368" s="770"/>
      <c r="HP368" s="770"/>
      <c r="HQ368" s="770"/>
      <c r="HR368" s="770"/>
      <c r="HS368" s="770"/>
      <c r="HT368" s="770"/>
      <c r="HU368" s="770"/>
      <c r="HV368" s="770"/>
      <c r="HW368" s="770"/>
      <c r="HX368" s="770"/>
      <c r="HY368" s="770"/>
      <c r="HZ368" s="770"/>
      <c r="IA368" s="770"/>
      <c r="IB368" s="14" t="e">
        <f>IF(#REF!&gt;0,IF(#REF!&lt;=10000,"Y",""),"")</f>
        <v>#REF!</v>
      </c>
      <c r="IC368" s="770" t="s">
        <v>1207</v>
      </c>
      <c r="ID368" s="770">
        <v>2</v>
      </c>
      <c r="IE368" s="770"/>
      <c r="IF368" s="1828" t="s">
        <v>2018</v>
      </c>
      <c r="IG368" s="770" t="s">
        <v>18</v>
      </c>
      <c r="IH368" s="770" t="s">
        <v>478</v>
      </c>
      <c r="II368" s="770" t="s">
        <v>2019</v>
      </c>
      <c r="IJ368" s="766" t="s">
        <v>1604</v>
      </c>
      <c r="IK368" s="766" t="s">
        <v>1888</v>
      </c>
      <c r="IL368" s="770" t="s">
        <v>5664</v>
      </c>
      <c r="IM368" s="770">
        <v>2002</v>
      </c>
      <c r="IN368" s="770" t="s">
        <v>5664</v>
      </c>
      <c r="IO368" s="296"/>
      <c r="IP368" s="770" t="s">
        <v>478</v>
      </c>
      <c r="IQ368" s="769" t="s">
        <v>5498</v>
      </c>
      <c r="IR368" s="770" t="s">
        <v>2716</v>
      </c>
      <c r="IS368" s="770" t="s">
        <v>1883</v>
      </c>
      <c r="IT368" s="770" t="s">
        <v>1208</v>
      </c>
      <c r="IU368" s="770"/>
      <c r="IV368" s="770" t="s">
        <v>5666</v>
      </c>
      <c r="IW368" s="770"/>
      <c r="IX368" s="770" t="s">
        <v>12786</v>
      </c>
      <c r="IY368" s="770"/>
      <c r="IZ368" s="770"/>
      <c r="JA368" s="770"/>
      <c r="JB368" s="770"/>
      <c r="JC368" s="770"/>
      <c r="JD368" s="302">
        <v>4300</v>
      </c>
      <c r="JE368" s="770"/>
      <c r="JF368" s="770"/>
      <c r="JG368" s="770"/>
      <c r="JH368" s="770"/>
      <c r="JI368" s="770"/>
      <c r="JJ368" s="770">
        <v>2</v>
      </c>
      <c r="JK368" s="770" t="s">
        <v>13492</v>
      </c>
      <c r="JL368" s="770"/>
      <c r="JM368" s="770"/>
      <c r="JN368" s="770"/>
      <c r="JO368" s="770"/>
      <c r="JP368" s="770">
        <v>1</v>
      </c>
      <c r="JQ368" s="770">
        <v>1</v>
      </c>
      <c r="JR368" s="770"/>
      <c r="JS368" s="770"/>
      <c r="JT368" s="766">
        <f>SUM(JP368,JN368,JL368,JR368)</f>
        <v>1</v>
      </c>
      <c r="JU368" s="766">
        <f>SUM(JQ368,JO368,JM368,JS368)</f>
        <v>1</v>
      </c>
      <c r="JV368" s="766"/>
      <c r="JW368" s="766"/>
      <c r="JX368" s="770"/>
      <c r="JY368" s="770"/>
      <c r="JZ368" s="770"/>
      <c r="KA368" s="770"/>
      <c r="KB368" s="770"/>
      <c r="KC368" s="770"/>
      <c r="KD368" s="770"/>
      <c r="KE368" s="770"/>
      <c r="KF368" s="770">
        <v>1</v>
      </c>
      <c r="KG368" s="770">
        <v>1</v>
      </c>
      <c r="KH368" s="770"/>
      <c r="KI368" s="770"/>
      <c r="KJ368" s="770">
        <f>SUM(KF368,KD368,KB368,JZ368,JX368,KH368)</f>
        <v>1</v>
      </c>
      <c r="KK368" s="770">
        <f>SUM(KG368,KE368,KC368,KA368,JY368,KI368)</f>
        <v>1</v>
      </c>
      <c r="KL368" s="770"/>
      <c r="KM368" s="770"/>
      <c r="KN368" s="770" t="s">
        <v>707</v>
      </c>
      <c r="KO368" s="770"/>
      <c r="KP368" s="770"/>
      <c r="KQ368" s="770"/>
      <c r="KR368" s="770"/>
      <c r="KS368" s="770"/>
      <c r="KT368" s="770"/>
      <c r="KU368" s="770"/>
      <c r="KV368" s="770"/>
      <c r="KW368" s="770"/>
      <c r="KX368" s="770"/>
      <c r="KY368" s="770"/>
      <c r="KZ368" s="770"/>
      <c r="LA368" s="770"/>
      <c r="LB368" s="770"/>
      <c r="LC368" s="770"/>
      <c r="LD368" s="770"/>
      <c r="LE368" s="770"/>
      <c r="LF368" s="770"/>
      <c r="LG368" s="770"/>
      <c r="LH368" s="770"/>
      <c r="LI368" s="770"/>
      <c r="LJ368" s="770"/>
      <c r="LK368" s="770"/>
      <c r="LL368" s="770"/>
      <c r="LM368" s="770"/>
      <c r="LN368" s="766"/>
      <c r="LO368" s="766"/>
      <c r="LP368" s="770"/>
      <c r="LQ368" s="770"/>
      <c r="LR368" s="770"/>
      <c r="LS368" s="770"/>
      <c r="LT368" s="770"/>
      <c r="LU368" s="770"/>
      <c r="LV368" s="770"/>
      <c r="LW368" s="770"/>
      <c r="LX368" s="769">
        <v>1</v>
      </c>
      <c r="LY368" s="766" t="str">
        <f t="shared" si="100"/>
        <v>within the BRGY</v>
      </c>
      <c r="LZ368" s="299"/>
      <c r="MA368" s="306"/>
      <c r="MB368" s="306"/>
      <c r="MC368" s="1679">
        <f t="shared" si="99"/>
        <v>0</v>
      </c>
      <c r="MD368" s="306"/>
      <c r="ME368" s="306"/>
      <c r="MF368" s="306">
        <v>4300</v>
      </c>
      <c r="MG368" s="1680">
        <f t="shared" si="97"/>
        <v>4300</v>
      </c>
      <c r="MH368" s="770" t="s">
        <v>3703</v>
      </c>
      <c r="MI368" s="302"/>
      <c r="MJ368" s="302"/>
      <c r="MK368" s="302"/>
      <c r="ML368" s="302"/>
      <c r="MM368" s="302"/>
      <c r="MN368" s="302"/>
      <c r="MO368" s="302"/>
      <c r="MP368" s="302"/>
      <c r="MQ368" s="302"/>
      <c r="MR368" s="302"/>
      <c r="MS368" s="302"/>
      <c r="MT368" s="302"/>
      <c r="MU368" s="302"/>
      <c r="MV368" s="302"/>
      <c r="MW368" s="302"/>
      <c r="MX368" s="302"/>
      <c r="MY368" s="1682">
        <f t="shared" si="98"/>
        <v>0</v>
      </c>
      <c r="MZ368" s="770"/>
      <c r="NA368" s="770"/>
      <c r="NB368" s="770"/>
      <c r="NC368" s="770"/>
      <c r="ND368" s="770"/>
      <c r="NE368" s="770"/>
      <c r="NF368" s="770"/>
      <c r="NG368" s="770"/>
      <c r="NH368" s="770"/>
      <c r="NI368" s="770"/>
      <c r="NJ368" s="770"/>
      <c r="NK368" s="770"/>
      <c r="NL368" s="770"/>
      <c r="NM368" s="770"/>
      <c r="NN368" s="770"/>
      <c r="NO368" s="770"/>
      <c r="NP368" s="770"/>
      <c r="NQ368" s="770"/>
      <c r="NR368" s="770"/>
      <c r="NS368" s="770"/>
      <c r="NT368" s="770"/>
      <c r="NU368" s="770"/>
      <c r="NV368" s="770"/>
      <c r="NW368" s="770"/>
      <c r="NX368" s="770"/>
      <c r="NY368" s="770"/>
      <c r="NZ368" s="770"/>
      <c r="OA368" s="770"/>
      <c r="OB368" s="770"/>
      <c r="OC368" s="770"/>
      <c r="OD368" s="770"/>
      <c r="OE368" s="770"/>
      <c r="OF368" s="1834" t="s">
        <v>13034</v>
      </c>
      <c r="OG368" s="770"/>
      <c r="OH368" s="770"/>
      <c r="OI368" s="770"/>
      <c r="OJ368" s="770"/>
      <c r="OK368" s="770"/>
      <c r="OL368" s="770"/>
      <c r="OM368" s="770"/>
      <c r="ON368" s="770"/>
      <c r="OO368" s="770"/>
      <c r="OP368" s="770"/>
      <c r="OQ368" s="770"/>
      <c r="OR368" s="770"/>
      <c r="OS368" s="770"/>
      <c r="OT368" s="770"/>
      <c r="OU368" s="770"/>
      <c r="OV368" s="770"/>
      <c r="OW368" s="770"/>
      <c r="OX368" s="770"/>
      <c r="OY368" s="770"/>
      <c r="OZ368" s="770"/>
      <c r="PA368" s="770"/>
      <c r="PB368" s="770"/>
      <c r="PC368" s="770"/>
      <c r="PD368" s="770"/>
      <c r="PE368" s="770"/>
      <c r="PF368" s="770"/>
      <c r="PG368" s="770"/>
      <c r="PH368" s="770"/>
      <c r="PI368" s="770"/>
      <c r="PJ368" s="770"/>
      <c r="PK368" s="770"/>
      <c r="PL368" s="770"/>
      <c r="PM368" s="770"/>
      <c r="PN368" s="770"/>
      <c r="PO368" s="770"/>
      <c r="PP368" s="770"/>
      <c r="PQ368" s="770"/>
      <c r="PR368" s="770"/>
      <c r="PS368" s="770"/>
      <c r="PT368" s="770"/>
      <c r="PU368" s="770"/>
      <c r="PV368" s="770"/>
      <c r="PW368" s="770"/>
      <c r="PX368" s="770"/>
      <c r="PY368" s="770"/>
      <c r="PZ368" s="770"/>
      <c r="QA368" s="770"/>
      <c r="QB368" s="770"/>
      <c r="QC368" s="770"/>
      <c r="QD368" s="770"/>
      <c r="QE368" s="770"/>
      <c r="QF368" s="770"/>
      <c r="QG368" s="770"/>
      <c r="QH368" s="770"/>
      <c r="QI368" s="770"/>
      <c r="QJ368" s="770"/>
      <c r="QK368" s="770"/>
      <c r="QL368" s="770"/>
      <c r="QM368" s="770"/>
      <c r="QN368" s="770"/>
      <c r="QO368" s="770"/>
      <c r="QP368" s="770"/>
      <c r="QQ368" s="770"/>
      <c r="QR368" s="770"/>
      <c r="QS368" s="770"/>
      <c r="QT368" s="770"/>
      <c r="QU368" s="770"/>
      <c r="QV368" s="770"/>
      <c r="QW368" s="770"/>
      <c r="QX368" s="770"/>
      <c r="QY368" s="770"/>
      <c r="QZ368" s="770"/>
      <c r="RA368" s="770"/>
      <c r="RB368" s="770"/>
      <c r="RC368" s="770"/>
      <c r="RD368" s="770"/>
      <c r="RE368" s="770"/>
      <c r="RF368" s="304"/>
      <c r="RG368" s="770"/>
      <c r="RH368" s="302"/>
      <c r="RI368" s="770"/>
      <c r="RJ368" s="770" t="s">
        <v>13493</v>
      </c>
      <c r="RK368" s="770" t="s">
        <v>13381</v>
      </c>
      <c r="RL368" s="1710"/>
      <c r="RM368" s="12"/>
      <c r="RN368" s="1711"/>
      <c r="RO368" s="140" t="s">
        <v>632</v>
      </c>
      <c r="RP368" s="11"/>
      <c r="RQ368" s="11"/>
      <c r="RR368" s="771"/>
      <c r="RS368" s="767"/>
      <c r="RT368" s="11"/>
      <c r="RU368" s="11"/>
      <c r="RV368" s="771" t="s">
        <v>8095</v>
      </c>
      <c r="RW368" s="11" t="s">
        <v>7652</v>
      </c>
      <c r="RX368" s="11" t="s">
        <v>626</v>
      </c>
      <c r="RY368" s="11"/>
      <c r="RZ368" s="11" t="s">
        <v>2209</v>
      </c>
      <c r="SA368" s="771"/>
      <c r="SB368" s="11"/>
      <c r="SC368" s="11"/>
    </row>
    <row r="369" spans="1:497" ht="12.75" hidden="1" customHeight="1">
      <c r="A369" s="343" t="s">
        <v>14185</v>
      </c>
      <c r="B369" s="292" t="s">
        <v>7655</v>
      </c>
      <c r="C369" s="140" t="s">
        <v>632</v>
      </c>
      <c r="D369" s="770" t="s">
        <v>11748</v>
      </c>
      <c r="E369" s="770" t="s">
        <v>633</v>
      </c>
      <c r="F369" s="770" t="s">
        <v>20</v>
      </c>
      <c r="G369" s="770" t="s">
        <v>18</v>
      </c>
      <c r="H369" s="770"/>
      <c r="I369" s="295"/>
      <c r="J369" s="94" t="s">
        <v>634</v>
      </c>
      <c r="K369" s="770"/>
      <c r="L369" s="770"/>
      <c r="M369" s="770"/>
      <c r="N369" s="770"/>
      <c r="O369" s="770"/>
      <c r="P369" s="770" t="s">
        <v>5665</v>
      </c>
      <c r="Q369" s="1088"/>
      <c r="R369" s="297"/>
      <c r="S369" s="770" t="s">
        <v>10</v>
      </c>
      <c r="T369" s="770"/>
      <c r="U369" s="298"/>
      <c r="V369" s="770"/>
      <c r="W369" s="770"/>
      <c r="X369" s="296"/>
      <c r="Y369" s="766"/>
      <c r="Z369" s="770"/>
      <c r="AA369" s="770"/>
      <c r="AB369" s="770"/>
      <c r="AC369" s="770"/>
      <c r="AD369" s="770"/>
      <c r="AE369" s="770"/>
      <c r="AF369" s="770"/>
      <c r="AG369" s="770"/>
      <c r="AH369" s="770"/>
      <c r="AI369" s="770"/>
      <c r="AJ369" s="770"/>
      <c r="AK369" s="770" t="s">
        <v>1899</v>
      </c>
      <c r="AL369" s="299"/>
      <c r="AM369" s="300"/>
      <c r="AN369" s="301"/>
      <c r="AO369" s="766"/>
      <c r="AP369" s="766"/>
      <c r="AQ369" s="766"/>
      <c r="AR369" s="766"/>
      <c r="AS369" s="770"/>
      <c r="AT369" s="770"/>
      <c r="AU369" s="770"/>
      <c r="AV369" s="770"/>
      <c r="AW369" s="770"/>
      <c r="AX369" s="770"/>
      <c r="AY369" s="770"/>
      <c r="AZ369" s="770"/>
      <c r="BA369" s="770"/>
      <c r="BB369" s="770"/>
      <c r="BC369" s="770"/>
      <c r="BD369" s="770"/>
      <c r="BE369" s="770"/>
      <c r="BF369" s="302"/>
      <c r="BG369" s="302"/>
      <c r="BH369" s="770"/>
      <c r="BI369" s="770"/>
      <c r="BJ369" s="770"/>
      <c r="BK369" s="770"/>
      <c r="BL369" s="770"/>
      <c r="BM369" s="770" t="s">
        <v>1238</v>
      </c>
      <c r="BN369" s="770" t="s">
        <v>1256</v>
      </c>
      <c r="BO369" s="770"/>
      <c r="BP369" s="780"/>
      <c r="BQ369" s="772"/>
      <c r="BR369" s="774"/>
      <c r="BS369" s="6" t="s">
        <v>1149</v>
      </c>
      <c r="BT369" s="766"/>
      <c r="BU369" s="770"/>
      <c r="BV369" s="770"/>
      <c r="BW369" s="770"/>
      <c r="BX369" s="302"/>
      <c r="BY369" s="303"/>
      <c r="BZ369" s="770"/>
      <c r="CA369" s="302"/>
      <c r="CB369" s="302"/>
      <c r="CC369" s="770"/>
      <c r="CD369" s="770"/>
      <c r="CE369" s="770"/>
      <c r="CF369" s="770"/>
      <c r="CG369" s="770"/>
      <c r="CH369" s="770"/>
      <c r="CI369" s="770"/>
      <c r="CJ369" s="770"/>
      <c r="CK369" s="770"/>
      <c r="CL369" s="770"/>
      <c r="CM369" s="770"/>
      <c r="CN369" s="770"/>
      <c r="CO369" s="770"/>
      <c r="CP369" s="770"/>
      <c r="CQ369" s="770"/>
      <c r="CR369" s="770"/>
      <c r="CS369" s="302"/>
      <c r="CT369" s="770"/>
      <c r="CU369" s="305"/>
      <c r="CV369" s="770"/>
      <c r="CW369" s="770"/>
      <c r="CX369" s="770"/>
      <c r="CY369" s="770"/>
      <c r="CZ369" s="770"/>
      <c r="DA369" s="770"/>
      <c r="DB369" s="770"/>
      <c r="DC369" s="770"/>
      <c r="DD369" s="770"/>
      <c r="DE369" s="770"/>
      <c r="DF369" s="770"/>
      <c r="DG369" s="770"/>
      <c r="DH369" s="770"/>
      <c r="DI369" s="770"/>
      <c r="DJ369" s="770"/>
      <c r="DK369" s="770"/>
      <c r="DL369" s="770"/>
      <c r="DM369" s="770"/>
      <c r="DN369" s="770"/>
      <c r="DO369" s="770"/>
      <c r="DP369" s="770"/>
      <c r="DQ369" s="770"/>
      <c r="DR369" s="770"/>
      <c r="DS369" s="307"/>
      <c r="DT369" s="770"/>
      <c r="DU369" s="770"/>
      <c r="DV369" s="770"/>
      <c r="DW369" s="306"/>
      <c r="DX369" s="306"/>
      <c r="DY369" s="770"/>
      <c r="DZ369" s="770"/>
      <c r="EA369" s="770"/>
      <c r="EB369" s="770"/>
      <c r="EC369" s="770"/>
      <c r="ED369" s="770"/>
      <c r="EE369" s="770"/>
      <c r="EF369" s="770"/>
      <c r="EG369" s="770"/>
      <c r="EH369" s="770"/>
      <c r="EI369" s="770"/>
      <c r="EJ369" s="770"/>
      <c r="EK369" s="770"/>
      <c r="EL369" s="770"/>
      <c r="EM369" s="770"/>
      <c r="EN369" s="770"/>
      <c r="EO369" s="770"/>
      <c r="EP369" s="770"/>
      <c r="EQ369" s="770"/>
      <c r="ER369" s="770"/>
      <c r="ES369" s="770"/>
      <c r="ET369" s="770"/>
      <c r="EU369" s="770"/>
      <c r="EV369" s="770"/>
      <c r="EW369" s="770"/>
      <c r="EX369" s="770"/>
      <c r="EY369" s="770"/>
      <c r="EZ369" s="770"/>
      <c r="FA369" s="770"/>
      <c r="FB369" s="770"/>
      <c r="FC369" s="770"/>
      <c r="FD369" s="302"/>
      <c r="FE369" s="770"/>
      <c r="FF369" s="770"/>
      <c r="FG369" s="770"/>
      <c r="FH369" s="770" t="s">
        <v>1306</v>
      </c>
      <c r="FI369" s="770">
        <v>1</v>
      </c>
      <c r="FJ369" s="770" t="s">
        <v>1668</v>
      </c>
      <c r="FK369" s="770"/>
      <c r="FL369" s="770"/>
      <c r="FM369" s="147">
        <v>1600</v>
      </c>
      <c r="FN369" s="302">
        <v>800</v>
      </c>
      <c r="FO369" s="302">
        <v>300</v>
      </c>
      <c r="FP369" s="770" t="s">
        <v>1602</v>
      </c>
      <c r="FQ369" s="770" t="s">
        <v>1660</v>
      </c>
      <c r="FR369" s="770"/>
      <c r="FS369" s="770"/>
      <c r="FT369" s="770"/>
      <c r="FU369" s="770"/>
      <c r="FV369" s="770"/>
      <c r="FW369" s="770"/>
      <c r="FX369" s="770"/>
      <c r="FY369" s="770"/>
      <c r="FZ369" s="770"/>
      <c r="GA369" s="770"/>
      <c r="GB369" s="770"/>
      <c r="GC369" s="308"/>
      <c r="GD369" s="297"/>
      <c r="GE369" s="770"/>
      <c r="GF369" s="302"/>
      <c r="GG369" s="302"/>
      <c r="GH369" s="770"/>
      <c r="GI369" s="770"/>
      <c r="GJ369" s="770"/>
      <c r="GK369" s="770"/>
      <c r="GL369" s="770"/>
      <c r="GM369" s="770"/>
      <c r="GN369" s="309"/>
      <c r="GO369" s="770"/>
      <c r="GP369" s="770"/>
      <c r="GQ369" s="770"/>
      <c r="GR369" s="770"/>
      <c r="GS369" s="770"/>
      <c r="GT369" s="770"/>
      <c r="GU369" s="770"/>
      <c r="GV369" s="770"/>
      <c r="GW369" s="770"/>
      <c r="GX369" s="770"/>
      <c r="GY369" s="770"/>
      <c r="GZ369" s="770"/>
      <c r="HA369" s="770"/>
      <c r="HB369" s="770"/>
      <c r="HC369" s="770"/>
      <c r="HD369" s="770"/>
      <c r="HE369" s="770"/>
      <c r="HF369" s="770"/>
      <c r="HG369" s="770"/>
      <c r="HH369" s="770"/>
      <c r="HI369" s="770"/>
      <c r="HJ369" s="770"/>
      <c r="HK369" s="770"/>
      <c r="HL369" s="770"/>
      <c r="HM369" s="770"/>
      <c r="HN369" s="770"/>
      <c r="HO369" s="770"/>
      <c r="HP369" s="770"/>
      <c r="HQ369" s="770"/>
      <c r="HR369" s="770"/>
      <c r="HS369" s="770"/>
      <c r="HT369" s="770"/>
      <c r="HU369" s="770"/>
      <c r="HV369" s="770"/>
      <c r="HW369" s="770"/>
      <c r="HX369" s="770"/>
      <c r="HY369" s="770"/>
      <c r="HZ369" s="770"/>
      <c r="IA369" s="770"/>
      <c r="IB369" s="14" t="e">
        <f>IF(#REF!&gt;0,IF(#REF!&lt;=10000,"Y",""),"")</f>
        <v>#REF!</v>
      </c>
      <c r="IC369" s="770"/>
      <c r="ID369" s="770"/>
      <c r="IE369" s="770"/>
      <c r="IF369" s="770"/>
      <c r="IG369" s="770"/>
      <c r="IH369" s="770"/>
      <c r="II369" s="770"/>
      <c r="IJ369" s="770"/>
      <c r="IK369" s="770"/>
      <c r="IL369" s="770"/>
      <c r="IM369" s="770"/>
      <c r="IN369" s="770"/>
      <c r="IO369" s="296"/>
      <c r="IP369" s="770"/>
      <c r="IQ369" s="766"/>
      <c r="IR369" s="770"/>
      <c r="IS369" s="770"/>
      <c r="IT369" s="770"/>
      <c r="IU369" s="770"/>
      <c r="IV369" s="770"/>
      <c r="IW369" s="770"/>
      <c r="IX369" s="770"/>
      <c r="IY369" s="770"/>
      <c r="IZ369" s="770"/>
      <c r="JA369" s="770"/>
      <c r="JB369" s="770"/>
      <c r="JC369" s="770"/>
      <c r="JD369" s="302"/>
      <c r="JE369" s="770"/>
      <c r="JF369" s="770"/>
      <c r="JG369" s="770"/>
      <c r="JH369" s="770"/>
      <c r="JI369" s="770"/>
      <c r="JJ369" s="770"/>
      <c r="JK369" s="770"/>
      <c r="JL369" s="770"/>
      <c r="JM369" s="770"/>
      <c r="JN369" s="770"/>
      <c r="JO369" s="770"/>
      <c r="JP369" s="770"/>
      <c r="JQ369" s="770"/>
      <c r="JR369" s="770"/>
      <c r="JS369" s="770"/>
      <c r="JT369" s="766"/>
      <c r="JU369" s="766"/>
      <c r="JV369" s="766"/>
      <c r="JW369" s="766"/>
      <c r="JX369" s="770"/>
      <c r="JY369" s="770"/>
      <c r="JZ369" s="770"/>
      <c r="KA369" s="770"/>
      <c r="KB369" s="770"/>
      <c r="KC369" s="770"/>
      <c r="KD369" s="770"/>
      <c r="KE369" s="770"/>
      <c r="KF369" s="770"/>
      <c r="KG369" s="770"/>
      <c r="KH369" s="770"/>
      <c r="KI369" s="770"/>
      <c r="KJ369" s="770"/>
      <c r="KK369" s="770"/>
      <c r="KL369" s="770"/>
      <c r="KM369" s="770"/>
      <c r="KN369" s="770"/>
      <c r="KO369" s="770"/>
      <c r="KP369" s="770"/>
      <c r="KQ369" s="770"/>
      <c r="KR369" s="770"/>
      <c r="KS369" s="770"/>
      <c r="KT369" s="770"/>
      <c r="KU369" s="770"/>
      <c r="KV369" s="770"/>
      <c r="KW369" s="770"/>
      <c r="KX369" s="770"/>
      <c r="KY369" s="770"/>
      <c r="KZ369" s="770"/>
      <c r="LA369" s="770"/>
      <c r="LB369" s="770"/>
      <c r="LC369" s="770"/>
      <c r="LD369" s="770"/>
      <c r="LE369" s="770"/>
      <c r="LF369" s="770"/>
      <c r="LG369" s="770"/>
      <c r="LH369" s="770"/>
      <c r="LI369" s="770"/>
      <c r="LJ369" s="770"/>
      <c r="LK369" s="770"/>
      <c r="LL369" s="770"/>
      <c r="LM369" s="770"/>
      <c r="LN369" s="766"/>
      <c r="LO369" s="766"/>
      <c r="LP369" s="770"/>
      <c r="LQ369" s="770"/>
      <c r="LR369" s="770"/>
      <c r="LS369" s="770"/>
      <c r="LT369" s="770"/>
      <c r="LU369" s="770"/>
      <c r="LV369" s="770"/>
      <c r="LW369" s="770"/>
      <c r="LX369" s="769"/>
      <c r="LY369" s="766" t="str">
        <f t="shared" si="100"/>
        <v/>
      </c>
      <c r="LZ369" s="299"/>
      <c r="MA369" s="1709"/>
      <c r="MB369" s="1709"/>
      <c r="MC369" s="1679">
        <f t="shared" si="99"/>
        <v>0</v>
      </c>
      <c r="MD369" s="1709"/>
      <c r="ME369" s="1709"/>
      <c r="MF369" s="1709"/>
      <c r="MG369" s="1680">
        <f t="shared" si="97"/>
        <v>0</v>
      </c>
      <c r="MH369" s="770"/>
      <c r="MI369" s="302"/>
      <c r="MJ369" s="302"/>
      <c r="MK369" s="302"/>
      <c r="ML369" s="302"/>
      <c r="MM369" s="302"/>
      <c r="MN369" s="302"/>
      <c r="MO369" s="302"/>
      <c r="MP369" s="302"/>
      <c r="MQ369" s="302"/>
      <c r="MR369" s="302"/>
      <c r="MS369" s="302"/>
      <c r="MT369" s="302"/>
      <c r="MU369" s="302"/>
      <c r="MV369" s="302"/>
      <c r="MW369" s="302"/>
      <c r="MX369" s="302"/>
      <c r="MY369" s="1682">
        <f t="shared" si="98"/>
        <v>0</v>
      </c>
      <c r="MZ369" s="770"/>
      <c r="NA369" s="770"/>
      <c r="NB369" s="770"/>
      <c r="NC369" s="770"/>
      <c r="ND369" s="770"/>
      <c r="NE369" s="770"/>
      <c r="NF369" s="770"/>
      <c r="NG369" s="770"/>
      <c r="NH369" s="770"/>
      <c r="NI369" s="770"/>
      <c r="NJ369" s="770"/>
      <c r="NK369" s="770"/>
      <c r="NL369" s="770"/>
      <c r="NM369" s="770"/>
      <c r="NN369" s="770"/>
      <c r="NO369" s="770"/>
      <c r="NP369" s="770"/>
      <c r="NQ369" s="770"/>
      <c r="NR369" s="770"/>
      <c r="NS369" s="770"/>
      <c r="NT369" s="770"/>
      <c r="NU369" s="770"/>
      <c r="NV369" s="770"/>
      <c r="NW369" s="770"/>
      <c r="NX369" s="770"/>
      <c r="NY369" s="770"/>
      <c r="NZ369" s="770"/>
      <c r="OA369" s="770"/>
      <c r="OB369" s="770"/>
      <c r="OC369" s="770"/>
      <c r="OD369" s="770"/>
      <c r="OE369" s="770"/>
      <c r="OF369" s="770"/>
      <c r="OG369" s="770"/>
      <c r="OH369" s="770"/>
      <c r="OI369" s="770"/>
      <c r="OJ369" s="770"/>
      <c r="OK369" s="770"/>
      <c r="OL369" s="770"/>
      <c r="OM369" s="770"/>
      <c r="ON369" s="770"/>
      <c r="OO369" s="770"/>
      <c r="OP369" s="770"/>
      <c r="OQ369" s="770"/>
      <c r="OR369" s="770"/>
      <c r="OS369" s="770"/>
      <c r="OT369" s="770"/>
      <c r="OU369" s="770"/>
      <c r="OV369" s="770"/>
      <c r="OW369" s="770"/>
      <c r="OX369" s="770"/>
      <c r="OY369" s="770"/>
      <c r="OZ369" s="770"/>
      <c r="PA369" s="770"/>
      <c r="PB369" s="770"/>
      <c r="PC369" s="770"/>
      <c r="PD369" s="770"/>
      <c r="PE369" s="770"/>
      <c r="PF369" s="770"/>
      <c r="PG369" s="770"/>
      <c r="PH369" s="770"/>
      <c r="PI369" s="770"/>
      <c r="PJ369" s="770"/>
      <c r="PK369" s="770"/>
      <c r="PL369" s="770"/>
      <c r="PM369" s="770"/>
      <c r="PN369" s="770"/>
      <c r="PO369" s="770"/>
      <c r="PP369" s="770"/>
      <c r="PQ369" s="770"/>
      <c r="PR369" s="770"/>
      <c r="PS369" s="770"/>
      <c r="PT369" s="770"/>
      <c r="PU369" s="770"/>
      <c r="PV369" s="770"/>
      <c r="PW369" s="770"/>
      <c r="PX369" s="770"/>
      <c r="PY369" s="770"/>
      <c r="PZ369" s="770"/>
      <c r="QA369" s="770"/>
      <c r="QB369" s="770"/>
      <c r="QC369" s="770"/>
      <c r="QD369" s="770"/>
      <c r="QE369" s="770"/>
      <c r="QF369" s="770"/>
      <c r="QG369" s="770"/>
      <c r="QH369" s="770"/>
      <c r="QI369" s="770"/>
      <c r="QJ369" s="770"/>
      <c r="QK369" s="770"/>
      <c r="QL369" s="770"/>
      <c r="QM369" s="770"/>
      <c r="QN369" s="770"/>
      <c r="QO369" s="770"/>
      <c r="QP369" s="770"/>
      <c r="QQ369" s="770"/>
      <c r="QR369" s="770"/>
      <c r="QS369" s="770"/>
      <c r="QT369" s="770"/>
      <c r="QU369" s="770"/>
      <c r="QV369" s="770"/>
      <c r="QW369" s="770"/>
      <c r="QX369" s="770"/>
      <c r="QY369" s="770"/>
      <c r="QZ369" s="770"/>
      <c r="RA369" s="770"/>
      <c r="RB369" s="770"/>
      <c r="RC369" s="770"/>
      <c r="RD369" s="770"/>
      <c r="RE369" s="770"/>
      <c r="RF369" s="304"/>
      <c r="RG369" s="770"/>
      <c r="RH369" s="302"/>
      <c r="RI369" s="770"/>
      <c r="RJ369" s="770" t="s">
        <v>13494</v>
      </c>
      <c r="RK369" s="770" t="s">
        <v>13381</v>
      </c>
      <c r="RL369" s="1710"/>
      <c r="RM369" s="12"/>
      <c r="RN369" s="1711"/>
      <c r="RO369" s="140" t="s">
        <v>632</v>
      </c>
      <c r="RP369" s="11"/>
      <c r="RQ369" s="11"/>
      <c r="RR369" s="17"/>
      <c r="RS369" s="767"/>
      <c r="RT369" s="11"/>
      <c r="RU369" s="11"/>
      <c r="RV369" s="771" t="s">
        <v>12459</v>
      </c>
      <c r="RW369" s="11" t="s">
        <v>7653</v>
      </c>
      <c r="RX369" s="11" t="s">
        <v>629</v>
      </c>
      <c r="RY369" s="11"/>
      <c r="RZ369" s="11"/>
      <c r="SA369" s="771"/>
      <c r="SB369" s="11"/>
      <c r="SC369" s="11"/>
    </row>
    <row r="370" spans="1:497" ht="12.75" hidden="1" customHeight="1">
      <c r="A370" s="343" t="s">
        <v>14185</v>
      </c>
      <c r="B370" s="292" t="s">
        <v>7656</v>
      </c>
      <c r="C370" s="140" t="s">
        <v>632</v>
      </c>
      <c r="D370" s="770" t="s">
        <v>5667</v>
      </c>
      <c r="E370" s="770" t="s">
        <v>633</v>
      </c>
      <c r="F370" s="770" t="s">
        <v>28</v>
      </c>
      <c r="G370" s="770" t="s">
        <v>18</v>
      </c>
      <c r="H370" s="770"/>
      <c r="I370" s="295"/>
      <c r="J370" s="770" t="s">
        <v>5667</v>
      </c>
      <c r="K370" s="770"/>
      <c r="L370" s="770"/>
      <c r="M370" s="770"/>
      <c r="N370" s="770"/>
      <c r="O370" s="770"/>
      <c r="P370" s="770" t="s">
        <v>5668</v>
      </c>
      <c r="Q370" s="1088"/>
      <c r="R370" s="297"/>
      <c r="S370" s="770" t="s">
        <v>18</v>
      </c>
      <c r="T370" s="770"/>
      <c r="U370" s="298"/>
      <c r="V370" s="770"/>
      <c r="W370" s="770"/>
      <c r="X370" s="296"/>
      <c r="Y370" s="766"/>
      <c r="Z370" s="770"/>
      <c r="AA370" s="770"/>
      <c r="AB370" s="770"/>
      <c r="AC370" s="770"/>
      <c r="AD370" s="770"/>
      <c r="AE370" s="770"/>
      <c r="AF370" s="770"/>
      <c r="AG370" s="770"/>
      <c r="AH370" s="770"/>
      <c r="AI370" s="770"/>
      <c r="AJ370" s="770"/>
      <c r="AK370" s="770" t="s">
        <v>1899</v>
      </c>
      <c r="AL370" s="299"/>
      <c r="AM370" s="300"/>
      <c r="AN370" s="301"/>
      <c r="AO370" s="766"/>
      <c r="AP370" s="766"/>
      <c r="AQ370" s="766"/>
      <c r="AR370" s="766"/>
      <c r="AS370" s="770"/>
      <c r="AT370" s="770"/>
      <c r="AU370" s="770"/>
      <c r="AV370" s="770"/>
      <c r="AW370" s="770"/>
      <c r="AX370" s="770"/>
      <c r="AY370" s="770"/>
      <c r="AZ370" s="770"/>
      <c r="BA370" s="770"/>
      <c r="BB370" s="770"/>
      <c r="BC370" s="770"/>
      <c r="BD370" s="770"/>
      <c r="BE370" s="770"/>
      <c r="BF370" s="302"/>
      <c r="BG370" s="302"/>
      <c r="BH370" s="770"/>
      <c r="BI370" s="770"/>
      <c r="BJ370" s="770"/>
      <c r="BK370" s="770"/>
      <c r="BL370" s="770"/>
      <c r="BM370" s="770" t="s">
        <v>1238</v>
      </c>
      <c r="BN370" s="770" t="s">
        <v>1256</v>
      </c>
      <c r="BO370" s="770"/>
      <c r="BP370" s="780"/>
      <c r="BQ370" s="772"/>
      <c r="BR370" s="774"/>
      <c r="BS370" s="6" t="s">
        <v>1149</v>
      </c>
      <c r="BT370" s="766"/>
      <c r="BU370" s="770"/>
      <c r="BV370" s="770"/>
      <c r="BW370" s="770"/>
      <c r="BX370" s="302"/>
      <c r="BY370" s="303"/>
      <c r="BZ370" s="770"/>
      <c r="CA370" s="302"/>
      <c r="CB370" s="302"/>
      <c r="CC370" s="770"/>
      <c r="CD370" s="770"/>
      <c r="CE370" s="770"/>
      <c r="CF370" s="770"/>
      <c r="CG370" s="770"/>
      <c r="CH370" s="770"/>
      <c r="CI370" s="770"/>
      <c r="CJ370" s="770"/>
      <c r="CK370" s="770"/>
      <c r="CL370" s="770"/>
      <c r="CM370" s="770"/>
      <c r="CN370" s="770"/>
      <c r="CO370" s="770"/>
      <c r="CP370" s="770"/>
      <c r="CQ370" s="770"/>
      <c r="CR370" s="770"/>
      <c r="CS370" s="302"/>
      <c r="CT370" s="770"/>
      <c r="CU370" s="305"/>
      <c r="CV370" s="770"/>
      <c r="CW370" s="770"/>
      <c r="CX370" s="770"/>
      <c r="CY370" s="770"/>
      <c r="CZ370" s="770"/>
      <c r="DA370" s="770"/>
      <c r="DB370" s="770"/>
      <c r="DC370" s="770"/>
      <c r="DD370" s="770"/>
      <c r="DE370" s="770"/>
      <c r="DF370" s="770"/>
      <c r="DG370" s="770"/>
      <c r="DH370" s="770"/>
      <c r="DI370" s="770"/>
      <c r="DJ370" s="770"/>
      <c r="DK370" s="770"/>
      <c r="DL370" s="770"/>
      <c r="DM370" s="770"/>
      <c r="DN370" s="770"/>
      <c r="DO370" s="770"/>
      <c r="DP370" s="770"/>
      <c r="DQ370" s="770"/>
      <c r="DR370" s="770"/>
      <c r="DS370" s="307"/>
      <c r="DT370" s="770"/>
      <c r="DU370" s="770"/>
      <c r="DV370" s="770"/>
      <c r="DW370" s="306"/>
      <c r="DX370" s="306"/>
      <c r="DY370" s="770"/>
      <c r="DZ370" s="770"/>
      <c r="EA370" s="770"/>
      <c r="EB370" s="770"/>
      <c r="EC370" s="770"/>
      <c r="ED370" s="770"/>
      <c r="EE370" s="770"/>
      <c r="EF370" s="770"/>
      <c r="EG370" s="770"/>
      <c r="EH370" s="770"/>
      <c r="EI370" s="770"/>
      <c r="EJ370" s="770"/>
      <c r="EK370" s="770"/>
      <c r="EL370" s="770"/>
      <c r="EM370" s="770"/>
      <c r="EN370" s="770"/>
      <c r="EO370" s="770"/>
      <c r="EP370" s="770"/>
      <c r="EQ370" s="770"/>
      <c r="ER370" s="770"/>
      <c r="ES370" s="770"/>
      <c r="ET370" s="770"/>
      <c r="EU370" s="770"/>
      <c r="EV370" s="770"/>
      <c r="EW370" s="770"/>
      <c r="EX370" s="770"/>
      <c r="EY370" s="770"/>
      <c r="EZ370" s="770"/>
      <c r="FA370" s="770"/>
      <c r="FB370" s="770"/>
      <c r="FC370" s="770"/>
      <c r="FD370" s="302"/>
      <c r="FE370" s="770"/>
      <c r="FF370" s="770"/>
      <c r="FG370" s="770"/>
      <c r="FH370" s="770" t="s">
        <v>1306</v>
      </c>
      <c r="FI370" s="770">
        <v>1</v>
      </c>
      <c r="FJ370" s="770" t="s">
        <v>1668</v>
      </c>
      <c r="FK370" s="770"/>
      <c r="FL370" s="770"/>
      <c r="FM370" s="147">
        <v>1600</v>
      </c>
      <c r="FN370" s="302"/>
      <c r="FO370" s="302"/>
      <c r="FP370" s="770" t="s">
        <v>1602</v>
      </c>
      <c r="FQ370" s="770" t="s">
        <v>1660</v>
      </c>
      <c r="FR370" s="770"/>
      <c r="FS370" s="770"/>
      <c r="FT370" s="770"/>
      <c r="FU370" s="770"/>
      <c r="FV370" s="770"/>
      <c r="FW370" s="770"/>
      <c r="FX370" s="770"/>
      <c r="FY370" s="770"/>
      <c r="FZ370" s="770"/>
      <c r="GA370" s="770"/>
      <c r="GB370" s="770"/>
      <c r="GC370" s="308"/>
      <c r="GD370" s="297"/>
      <c r="GE370" s="770"/>
      <c r="GF370" s="302"/>
      <c r="GG370" s="302"/>
      <c r="GH370" s="770"/>
      <c r="GI370" s="770"/>
      <c r="GJ370" s="770"/>
      <c r="GK370" s="770"/>
      <c r="GL370" s="770"/>
      <c r="GM370" s="770"/>
      <c r="GN370" s="309"/>
      <c r="GO370" s="770"/>
      <c r="GP370" s="770"/>
      <c r="GQ370" s="770"/>
      <c r="GR370" s="770"/>
      <c r="GS370" s="770"/>
      <c r="GT370" s="770"/>
      <c r="GU370" s="770"/>
      <c r="GV370" s="770"/>
      <c r="GW370" s="770"/>
      <c r="GX370" s="770"/>
      <c r="GY370" s="770"/>
      <c r="GZ370" s="770"/>
      <c r="HA370" s="770"/>
      <c r="HB370" s="770"/>
      <c r="HC370" s="770"/>
      <c r="HD370" s="770"/>
      <c r="HE370" s="770"/>
      <c r="HF370" s="770"/>
      <c r="HG370" s="770"/>
      <c r="HH370" s="770"/>
      <c r="HI370" s="770"/>
      <c r="HJ370" s="770"/>
      <c r="HK370" s="770"/>
      <c r="HL370" s="770"/>
      <c r="HM370" s="770"/>
      <c r="HN370" s="770"/>
      <c r="HO370" s="770"/>
      <c r="HP370" s="770"/>
      <c r="HQ370" s="770"/>
      <c r="HR370" s="770"/>
      <c r="HS370" s="770"/>
      <c r="HT370" s="770"/>
      <c r="HU370" s="770"/>
      <c r="HV370" s="770"/>
      <c r="HW370" s="770"/>
      <c r="HX370" s="770"/>
      <c r="HY370" s="770"/>
      <c r="HZ370" s="770"/>
      <c r="IA370" s="770"/>
      <c r="IB370" s="14" t="e">
        <f>IF(#REF!&gt;0,IF(#REF!&lt;=10000,"Y",""),"")</f>
        <v>#REF!</v>
      </c>
      <c r="IC370" s="770" t="s">
        <v>1207</v>
      </c>
      <c r="ID370" s="770"/>
      <c r="IE370" s="770"/>
      <c r="IF370" s="770"/>
      <c r="IG370" s="770"/>
      <c r="IH370" s="770"/>
      <c r="II370" s="770"/>
      <c r="IJ370" s="770"/>
      <c r="IK370" s="770"/>
      <c r="IL370" s="770"/>
      <c r="IM370" s="770"/>
      <c r="IN370" s="770"/>
      <c r="IO370" s="296"/>
      <c r="IP370" s="770"/>
      <c r="IQ370" s="766"/>
      <c r="IR370" s="770"/>
      <c r="IS370" s="770"/>
      <c r="IT370" s="770"/>
      <c r="IU370" s="770"/>
      <c r="IV370" s="770"/>
      <c r="IW370" s="770"/>
      <c r="IX370" s="770"/>
      <c r="IY370" s="770"/>
      <c r="IZ370" s="770"/>
      <c r="JA370" s="770"/>
      <c r="JB370" s="770"/>
      <c r="JC370" s="770"/>
      <c r="JD370" s="302"/>
      <c r="JE370" s="770"/>
      <c r="JF370" s="770"/>
      <c r="JG370" s="770"/>
      <c r="JH370" s="770"/>
      <c r="JI370" s="770"/>
      <c r="JJ370" s="770">
        <v>1</v>
      </c>
      <c r="JK370" s="770" t="s">
        <v>13495</v>
      </c>
      <c r="JL370" s="13"/>
      <c r="JM370" s="13"/>
      <c r="JN370" s="13"/>
      <c r="JO370" s="13"/>
      <c r="JP370" s="13"/>
      <c r="JQ370" s="13"/>
      <c r="JR370" s="13"/>
      <c r="JS370" s="13"/>
      <c r="JT370" s="766"/>
      <c r="JU370" s="766"/>
      <c r="JV370" s="766"/>
      <c r="JW370" s="766"/>
      <c r="JX370" s="13"/>
      <c r="JY370" s="13"/>
      <c r="JZ370" s="13"/>
      <c r="KA370" s="13"/>
      <c r="KB370" s="13"/>
      <c r="KC370" s="13"/>
      <c r="KD370" s="13"/>
      <c r="KE370" s="13"/>
      <c r="KF370" s="13"/>
      <c r="KG370" s="13"/>
      <c r="KH370" s="13"/>
      <c r="KI370" s="13"/>
      <c r="KJ370" s="770"/>
      <c r="KK370" s="770"/>
      <c r="KL370" s="770"/>
      <c r="KM370" s="770"/>
      <c r="KN370" s="770"/>
      <c r="KO370" s="770"/>
      <c r="KP370" s="770"/>
      <c r="KQ370" s="770"/>
      <c r="KR370" s="770"/>
      <c r="KS370" s="770"/>
      <c r="KT370" s="770"/>
      <c r="KU370" s="770"/>
      <c r="KV370" s="770"/>
      <c r="KW370" s="770"/>
      <c r="KX370" s="770"/>
      <c r="KY370" s="770"/>
      <c r="KZ370" s="770"/>
      <c r="LA370" s="770"/>
      <c r="LB370" s="770"/>
      <c r="LC370" s="770"/>
      <c r="LD370" s="770"/>
      <c r="LE370" s="770"/>
      <c r="LF370" s="770"/>
      <c r="LG370" s="770"/>
      <c r="LH370" s="770"/>
      <c r="LI370" s="770"/>
      <c r="LJ370" s="770"/>
      <c r="LK370" s="770"/>
      <c r="LL370" s="770"/>
      <c r="LM370" s="770"/>
      <c r="LN370" s="766"/>
      <c r="LO370" s="766"/>
      <c r="LP370" s="770"/>
      <c r="LQ370" s="770"/>
      <c r="LR370" s="770"/>
      <c r="LS370" s="770"/>
      <c r="LT370" s="770"/>
      <c r="LU370" s="770"/>
      <c r="LV370" s="770"/>
      <c r="LW370" s="770"/>
      <c r="LX370" s="769"/>
      <c r="LY370" s="766" t="str">
        <f t="shared" si="100"/>
        <v/>
      </c>
      <c r="LZ370" s="299"/>
      <c r="MA370" s="1709"/>
      <c r="MB370" s="1709"/>
      <c r="MC370" s="1679">
        <f t="shared" si="99"/>
        <v>0</v>
      </c>
      <c r="MD370" s="1709"/>
      <c r="ME370" s="1709"/>
      <c r="MF370" s="1709"/>
      <c r="MG370" s="1680">
        <f t="shared" si="97"/>
        <v>0</v>
      </c>
      <c r="MH370" s="770"/>
      <c r="MI370" s="302"/>
      <c r="MJ370" s="302"/>
      <c r="MK370" s="302"/>
      <c r="ML370" s="302"/>
      <c r="MM370" s="302"/>
      <c r="MN370" s="302"/>
      <c r="MO370" s="302"/>
      <c r="MP370" s="302"/>
      <c r="MQ370" s="302"/>
      <c r="MR370" s="302"/>
      <c r="MS370" s="302"/>
      <c r="MT370" s="302"/>
      <c r="MU370" s="302"/>
      <c r="MV370" s="302"/>
      <c r="MW370" s="302"/>
      <c r="MX370" s="302"/>
      <c r="MY370" s="1682">
        <f t="shared" si="98"/>
        <v>0</v>
      </c>
      <c r="MZ370" s="770"/>
      <c r="NA370" s="770"/>
      <c r="NB370" s="770"/>
      <c r="NC370" s="770"/>
      <c r="ND370" s="770"/>
      <c r="NE370" s="770"/>
      <c r="NF370" s="770"/>
      <c r="NG370" s="770"/>
      <c r="NH370" s="770"/>
      <c r="NI370" s="770"/>
      <c r="NJ370" s="770"/>
      <c r="NK370" s="770"/>
      <c r="NL370" s="770"/>
      <c r="NM370" s="770"/>
      <c r="NN370" s="770"/>
      <c r="NO370" s="770"/>
      <c r="NP370" s="770"/>
      <c r="NQ370" s="770"/>
      <c r="NR370" s="770"/>
      <c r="NS370" s="770"/>
      <c r="NT370" s="770"/>
      <c r="NU370" s="770"/>
      <c r="NV370" s="770"/>
      <c r="NW370" s="770"/>
      <c r="NX370" s="770"/>
      <c r="NY370" s="770"/>
      <c r="NZ370" s="770"/>
      <c r="OA370" s="770"/>
      <c r="OB370" s="770"/>
      <c r="OC370" s="770"/>
      <c r="OD370" s="770"/>
      <c r="OE370" s="770"/>
      <c r="OF370" s="770"/>
      <c r="OG370" s="770"/>
      <c r="OH370" s="770"/>
      <c r="OI370" s="770"/>
      <c r="OJ370" s="770"/>
      <c r="OK370" s="770"/>
      <c r="OL370" s="770"/>
      <c r="OM370" s="770"/>
      <c r="ON370" s="770"/>
      <c r="OO370" s="770"/>
      <c r="OP370" s="770"/>
      <c r="OQ370" s="770"/>
      <c r="OR370" s="770"/>
      <c r="OS370" s="770"/>
      <c r="OT370" s="770"/>
      <c r="OU370" s="770"/>
      <c r="OV370" s="770"/>
      <c r="OW370" s="770"/>
      <c r="OX370" s="770"/>
      <c r="OY370" s="770"/>
      <c r="OZ370" s="770"/>
      <c r="PA370" s="770"/>
      <c r="PB370" s="770"/>
      <c r="PC370" s="770"/>
      <c r="PD370" s="770"/>
      <c r="PE370" s="770"/>
      <c r="PF370" s="770"/>
      <c r="PG370" s="770"/>
      <c r="PH370" s="770"/>
      <c r="PI370" s="770"/>
      <c r="PJ370" s="770"/>
      <c r="PK370" s="770"/>
      <c r="PL370" s="770"/>
      <c r="PM370" s="770"/>
      <c r="PN370" s="770"/>
      <c r="PO370" s="770"/>
      <c r="PP370" s="770"/>
      <c r="PQ370" s="770"/>
      <c r="PR370" s="770"/>
      <c r="PS370" s="770"/>
      <c r="PT370" s="770"/>
      <c r="PU370" s="770"/>
      <c r="PV370" s="770"/>
      <c r="PW370" s="770"/>
      <c r="PX370" s="770"/>
      <c r="PY370" s="770"/>
      <c r="PZ370" s="770"/>
      <c r="QA370" s="770"/>
      <c r="QB370" s="770"/>
      <c r="QC370" s="770"/>
      <c r="QD370" s="770"/>
      <c r="QE370" s="770"/>
      <c r="QF370" s="770"/>
      <c r="QG370" s="770"/>
      <c r="QH370" s="770"/>
      <c r="QI370" s="770"/>
      <c r="QJ370" s="770"/>
      <c r="QK370" s="770"/>
      <c r="QL370" s="770"/>
      <c r="QM370" s="770"/>
      <c r="QN370" s="770"/>
      <c r="QO370" s="770"/>
      <c r="QP370" s="770"/>
      <c r="QQ370" s="770"/>
      <c r="QR370" s="770"/>
      <c r="QS370" s="770"/>
      <c r="QT370" s="770"/>
      <c r="QU370" s="770"/>
      <c r="QV370" s="770"/>
      <c r="QW370" s="770"/>
      <c r="QX370" s="770"/>
      <c r="QY370" s="770"/>
      <c r="QZ370" s="770"/>
      <c r="RA370" s="770"/>
      <c r="RB370" s="770"/>
      <c r="RC370" s="770"/>
      <c r="RD370" s="770"/>
      <c r="RE370" s="770"/>
      <c r="RF370" s="304"/>
      <c r="RG370" s="770"/>
      <c r="RH370" s="302"/>
      <c r="RI370" s="770"/>
      <c r="RJ370" s="770" t="s">
        <v>13495</v>
      </c>
      <c r="RK370" s="770" t="s">
        <v>13381</v>
      </c>
      <c r="RL370" s="1710">
        <v>42816</v>
      </c>
      <c r="RM370" s="12"/>
      <c r="RN370" s="1711"/>
      <c r="RO370" s="140" t="s">
        <v>632</v>
      </c>
      <c r="RP370" s="11"/>
      <c r="RQ370" s="11"/>
      <c r="RR370" s="17"/>
      <c r="RS370" s="767"/>
      <c r="RT370" s="11"/>
      <c r="RU370" s="11"/>
      <c r="RV370" s="771" t="s">
        <v>7419</v>
      </c>
      <c r="RW370" s="11" t="s">
        <v>7654</v>
      </c>
      <c r="RX370" s="11" t="s">
        <v>632</v>
      </c>
      <c r="RY370" s="11"/>
      <c r="RZ370" s="11"/>
      <c r="SA370" s="771"/>
      <c r="SB370" s="11"/>
      <c r="SC370" s="11"/>
    </row>
    <row r="371" spans="1:497" ht="12.75" hidden="1" customHeight="1">
      <c r="A371" s="343" t="s">
        <v>14185</v>
      </c>
      <c r="B371" s="292" t="s">
        <v>7657</v>
      </c>
      <c r="C371" s="140" t="s">
        <v>632</v>
      </c>
      <c r="D371" s="770" t="s">
        <v>5669</v>
      </c>
      <c r="E371" s="770" t="s">
        <v>5670</v>
      </c>
      <c r="F371" s="770"/>
      <c r="G371" s="770"/>
      <c r="H371" s="770"/>
      <c r="I371" s="295"/>
      <c r="J371" s="770"/>
      <c r="K371" s="770"/>
      <c r="L371" s="770"/>
      <c r="M371" s="770"/>
      <c r="N371" s="770"/>
      <c r="O371" s="770"/>
      <c r="P371" s="770"/>
      <c r="Q371" s="1088"/>
      <c r="R371" s="297"/>
      <c r="S371" s="770"/>
      <c r="T371" s="770"/>
      <c r="U371" s="298"/>
      <c r="V371" s="770"/>
      <c r="W371" s="770"/>
      <c r="X371" s="296"/>
      <c r="Y371" s="766"/>
      <c r="Z371" s="770"/>
      <c r="AA371" s="770"/>
      <c r="AB371" s="770"/>
      <c r="AC371" s="770"/>
      <c r="AD371" s="770"/>
      <c r="AE371" s="770"/>
      <c r="AF371" s="770"/>
      <c r="AG371" s="770"/>
      <c r="AH371" s="770"/>
      <c r="AI371" s="770"/>
      <c r="AJ371" s="770"/>
      <c r="AK371" s="770" t="s">
        <v>1899</v>
      </c>
      <c r="AL371" s="299"/>
      <c r="AM371" s="300"/>
      <c r="AN371" s="301"/>
      <c r="AO371" s="766"/>
      <c r="AP371" s="766"/>
      <c r="AQ371" s="766"/>
      <c r="AR371" s="766"/>
      <c r="AS371" s="770"/>
      <c r="AT371" s="770"/>
      <c r="AU371" s="770"/>
      <c r="AV371" s="770"/>
      <c r="AW371" s="770"/>
      <c r="AX371" s="770"/>
      <c r="AY371" s="770"/>
      <c r="AZ371" s="770"/>
      <c r="BA371" s="770"/>
      <c r="BB371" s="770"/>
      <c r="BC371" s="770"/>
      <c r="BD371" s="770"/>
      <c r="BE371" s="770"/>
      <c r="BF371" s="302"/>
      <c r="BG371" s="302"/>
      <c r="BH371" s="770"/>
      <c r="BI371" s="770"/>
      <c r="BJ371" s="770"/>
      <c r="BK371" s="770"/>
      <c r="BL371" s="770"/>
      <c r="BM371" s="770" t="s">
        <v>1238</v>
      </c>
      <c r="BN371" s="770" t="s">
        <v>1256</v>
      </c>
      <c r="BO371" s="770"/>
      <c r="BP371" s="780"/>
      <c r="BQ371" s="772"/>
      <c r="BR371" s="774"/>
      <c r="BS371" s="6" t="s">
        <v>1149</v>
      </c>
      <c r="BT371" s="766"/>
      <c r="BU371" s="770"/>
      <c r="BV371" s="770"/>
      <c r="BW371" s="770"/>
      <c r="BX371" s="302"/>
      <c r="BY371" s="303"/>
      <c r="BZ371" s="770"/>
      <c r="CA371" s="302"/>
      <c r="CB371" s="302"/>
      <c r="CC371" s="770"/>
      <c r="CD371" s="770"/>
      <c r="CE371" s="770"/>
      <c r="CF371" s="770"/>
      <c r="CG371" s="770"/>
      <c r="CH371" s="770"/>
      <c r="CI371" s="770"/>
      <c r="CJ371" s="770"/>
      <c r="CK371" s="770"/>
      <c r="CL371" s="770"/>
      <c r="CM371" s="770"/>
      <c r="CN371" s="770"/>
      <c r="CO371" s="770"/>
      <c r="CP371" s="770"/>
      <c r="CQ371" s="770"/>
      <c r="CR371" s="770"/>
      <c r="CS371" s="302"/>
      <c r="CT371" s="770"/>
      <c r="CU371" s="305"/>
      <c r="CV371" s="770"/>
      <c r="CW371" s="770"/>
      <c r="CX371" s="770"/>
      <c r="CY371" s="770"/>
      <c r="CZ371" s="770"/>
      <c r="DA371" s="770"/>
      <c r="DB371" s="770"/>
      <c r="DC371" s="770"/>
      <c r="DD371" s="770"/>
      <c r="DE371" s="770"/>
      <c r="DF371" s="770"/>
      <c r="DG371" s="770"/>
      <c r="DH371" s="770"/>
      <c r="DI371" s="770"/>
      <c r="DJ371" s="770"/>
      <c r="DK371" s="770"/>
      <c r="DL371" s="770"/>
      <c r="DM371" s="770"/>
      <c r="DN371" s="770"/>
      <c r="DO371" s="770"/>
      <c r="DP371" s="770"/>
      <c r="DQ371" s="770"/>
      <c r="DR371" s="770"/>
      <c r="DS371" s="307"/>
      <c r="DT371" s="770"/>
      <c r="DU371" s="770"/>
      <c r="DV371" s="770"/>
      <c r="DW371" s="306"/>
      <c r="DX371" s="306"/>
      <c r="DY371" s="770"/>
      <c r="DZ371" s="770"/>
      <c r="EA371" s="770"/>
      <c r="EB371" s="770"/>
      <c r="EC371" s="770"/>
      <c r="ED371" s="770"/>
      <c r="EE371" s="770"/>
      <c r="EF371" s="770"/>
      <c r="EG371" s="770"/>
      <c r="EH371" s="770"/>
      <c r="EI371" s="770"/>
      <c r="EJ371" s="770"/>
      <c r="EK371" s="770"/>
      <c r="EL371" s="770"/>
      <c r="EM371" s="770"/>
      <c r="EN371" s="770"/>
      <c r="EO371" s="770"/>
      <c r="EP371" s="770"/>
      <c r="EQ371" s="770"/>
      <c r="ER371" s="770"/>
      <c r="ES371" s="770"/>
      <c r="ET371" s="770"/>
      <c r="EU371" s="770"/>
      <c r="EV371" s="770"/>
      <c r="EW371" s="770"/>
      <c r="EX371" s="770"/>
      <c r="EY371" s="770"/>
      <c r="EZ371" s="770"/>
      <c r="FA371" s="770"/>
      <c r="FB371" s="770"/>
      <c r="FC371" s="770"/>
      <c r="FD371" s="302"/>
      <c r="FE371" s="770"/>
      <c r="FF371" s="770"/>
      <c r="FG371" s="770"/>
      <c r="FH371" s="770" t="s">
        <v>1306</v>
      </c>
      <c r="FI371" s="770">
        <v>1</v>
      </c>
      <c r="FJ371" s="770" t="s">
        <v>1668</v>
      </c>
      <c r="FK371" s="770"/>
      <c r="FL371" s="770"/>
      <c r="FM371" s="147">
        <v>1700</v>
      </c>
      <c r="FN371" s="302">
        <v>600</v>
      </c>
      <c r="FO371" s="302">
        <v>600</v>
      </c>
      <c r="FP371" s="770" t="s">
        <v>1600</v>
      </c>
      <c r="FQ371" s="770" t="s">
        <v>1642</v>
      </c>
      <c r="FR371" s="770"/>
      <c r="FS371" s="770"/>
      <c r="FT371" s="770"/>
      <c r="FU371" s="770"/>
      <c r="FV371" s="770"/>
      <c r="FW371" s="770"/>
      <c r="FX371" s="770"/>
      <c r="FY371" s="770"/>
      <c r="FZ371" s="770"/>
      <c r="GA371" s="770"/>
      <c r="GB371" s="770"/>
      <c r="GC371" s="308"/>
      <c r="GD371" s="297"/>
      <c r="GE371" s="770"/>
      <c r="GF371" s="302"/>
      <c r="GG371" s="302"/>
      <c r="GH371" s="770"/>
      <c r="GI371" s="770"/>
      <c r="GJ371" s="770"/>
      <c r="GK371" s="770"/>
      <c r="GL371" s="770"/>
      <c r="GM371" s="770"/>
      <c r="GN371" s="309"/>
      <c r="GO371" s="770"/>
      <c r="GP371" s="770"/>
      <c r="GQ371" s="770"/>
      <c r="GR371" s="770"/>
      <c r="GS371" s="770"/>
      <c r="GT371" s="770"/>
      <c r="GU371" s="770"/>
      <c r="GV371" s="770"/>
      <c r="GW371" s="770"/>
      <c r="GX371" s="770"/>
      <c r="GY371" s="770"/>
      <c r="GZ371" s="770"/>
      <c r="HA371" s="770"/>
      <c r="HB371" s="770"/>
      <c r="HC371" s="770"/>
      <c r="HD371" s="770"/>
      <c r="HE371" s="770"/>
      <c r="HF371" s="770"/>
      <c r="HG371" s="770"/>
      <c r="HH371" s="770"/>
      <c r="HI371" s="770"/>
      <c r="HJ371" s="770"/>
      <c r="HK371" s="770"/>
      <c r="HL371" s="770"/>
      <c r="HM371" s="770"/>
      <c r="HN371" s="770"/>
      <c r="HO371" s="770"/>
      <c r="HP371" s="770"/>
      <c r="HQ371" s="770"/>
      <c r="HR371" s="770"/>
      <c r="HS371" s="770"/>
      <c r="HT371" s="770"/>
      <c r="HU371" s="770"/>
      <c r="HV371" s="770"/>
      <c r="HW371" s="770"/>
      <c r="HX371" s="770"/>
      <c r="HY371" s="770"/>
      <c r="HZ371" s="770"/>
      <c r="IA371" s="770"/>
      <c r="IB371" s="14" t="e">
        <f>IF(#REF!&gt;0,IF(#REF!&lt;=10000,"Y",""),"")</f>
        <v>#REF!</v>
      </c>
      <c r="IC371" s="770"/>
      <c r="ID371" s="770"/>
      <c r="IE371" s="770"/>
      <c r="IF371" s="770"/>
      <c r="IG371" s="770"/>
      <c r="IH371" s="770"/>
      <c r="II371" s="770"/>
      <c r="IJ371" s="770"/>
      <c r="IK371" s="770"/>
      <c r="IL371" s="770"/>
      <c r="IM371" s="770"/>
      <c r="IN371" s="770"/>
      <c r="IO371" s="296"/>
      <c r="IP371" s="770"/>
      <c r="IQ371" s="766"/>
      <c r="IR371" s="770"/>
      <c r="IS371" s="770"/>
      <c r="IT371" s="770"/>
      <c r="IU371" s="770"/>
      <c r="IV371" s="770"/>
      <c r="IW371" s="770"/>
      <c r="IX371" s="770"/>
      <c r="IY371" s="770"/>
      <c r="IZ371" s="770"/>
      <c r="JA371" s="770"/>
      <c r="JB371" s="770"/>
      <c r="JC371" s="770"/>
      <c r="JD371" s="302"/>
      <c r="JE371" s="770"/>
      <c r="JF371" s="770"/>
      <c r="JG371" s="770"/>
      <c r="JH371" s="770"/>
      <c r="JI371" s="770"/>
      <c r="JJ371" s="770"/>
      <c r="JK371" s="770"/>
      <c r="JL371" s="770"/>
      <c r="JM371" s="770"/>
      <c r="JN371" s="770"/>
      <c r="JO371" s="770"/>
      <c r="JP371" s="770"/>
      <c r="JQ371" s="770"/>
      <c r="JR371" s="770"/>
      <c r="JS371" s="770"/>
      <c r="JT371" s="766"/>
      <c r="JU371" s="766"/>
      <c r="JV371" s="766"/>
      <c r="JW371" s="766"/>
      <c r="JX371" s="770"/>
      <c r="JY371" s="770"/>
      <c r="JZ371" s="770"/>
      <c r="KA371" s="770"/>
      <c r="KB371" s="770"/>
      <c r="KC371" s="770"/>
      <c r="KD371" s="770"/>
      <c r="KE371" s="770"/>
      <c r="KF371" s="770"/>
      <c r="KG371" s="770"/>
      <c r="KH371" s="770"/>
      <c r="KI371" s="770"/>
      <c r="KJ371" s="770"/>
      <c r="KK371" s="770"/>
      <c r="KL371" s="770"/>
      <c r="KM371" s="770"/>
      <c r="KN371" s="770"/>
      <c r="KO371" s="770"/>
      <c r="KP371" s="770"/>
      <c r="KQ371" s="770"/>
      <c r="KR371" s="770"/>
      <c r="KS371" s="770"/>
      <c r="KT371" s="770"/>
      <c r="KU371" s="770"/>
      <c r="KV371" s="770"/>
      <c r="KW371" s="770"/>
      <c r="KX371" s="770"/>
      <c r="KY371" s="770"/>
      <c r="KZ371" s="770"/>
      <c r="LA371" s="770"/>
      <c r="LB371" s="770"/>
      <c r="LC371" s="770"/>
      <c r="LD371" s="770"/>
      <c r="LE371" s="770"/>
      <c r="LF371" s="770"/>
      <c r="LG371" s="770"/>
      <c r="LH371" s="770"/>
      <c r="LI371" s="770"/>
      <c r="LJ371" s="770"/>
      <c r="LK371" s="770"/>
      <c r="LL371" s="770"/>
      <c r="LM371" s="770"/>
      <c r="LN371" s="766"/>
      <c r="LO371" s="766"/>
      <c r="LP371" s="770"/>
      <c r="LQ371" s="770"/>
      <c r="LR371" s="770"/>
      <c r="LS371" s="770"/>
      <c r="LT371" s="770"/>
      <c r="LU371" s="770"/>
      <c r="LV371" s="770"/>
      <c r="LW371" s="770"/>
      <c r="LX371" s="769"/>
      <c r="LY371" s="766" t="str">
        <f t="shared" si="100"/>
        <v/>
      </c>
      <c r="LZ371" s="299"/>
      <c r="MA371" s="1709"/>
      <c r="MB371" s="1709"/>
      <c r="MC371" s="1679">
        <f t="shared" si="99"/>
        <v>0</v>
      </c>
      <c r="MD371" s="1709"/>
      <c r="ME371" s="1709"/>
      <c r="MF371" s="1709"/>
      <c r="MG371" s="1680">
        <f t="shared" si="97"/>
        <v>0</v>
      </c>
      <c r="MH371" s="770"/>
      <c r="MI371" s="302"/>
      <c r="MJ371" s="302"/>
      <c r="MK371" s="302"/>
      <c r="ML371" s="302"/>
      <c r="MM371" s="302"/>
      <c r="MN371" s="302"/>
      <c r="MO371" s="302"/>
      <c r="MP371" s="302"/>
      <c r="MQ371" s="302"/>
      <c r="MR371" s="302"/>
      <c r="MS371" s="302"/>
      <c r="MT371" s="302"/>
      <c r="MU371" s="302"/>
      <c r="MV371" s="302"/>
      <c r="MW371" s="302"/>
      <c r="MX371" s="302"/>
      <c r="MY371" s="1682">
        <f t="shared" si="98"/>
        <v>0</v>
      </c>
      <c r="MZ371" s="770"/>
      <c r="NA371" s="770"/>
      <c r="NB371" s="770"/>
      <c r="NC371" s="770"/>
      <c r="ND371" s="770"/>
      <c r="NE371" s="770"/>
      <c r="NF371" s="770"/>
      <c r="NG371" s="770"/>
      <c r="NH371" s="770"/>
      <c r="NI371" s="770"/>
      <c r="NJ371" s="770"/>
      <c r="NK371" s="770"/>
      <c r="NL371" s="770"/>
      <c r="NM371" s="770"/>
      <c r="NN371" s="770"/>
      <c r="NO371" s="770"/>
      <c r="NP371" s="770"/>
      <c r="NQ371" s="770"/>
      <c r="NR371" s="770"/>
      <c r="NS371" s="770"/>
      <c r="NT371" s="770"/>
      <c r="NU371" s="770"/>
      <c r="NV371" s="770"/>
      <c r="NW371" s="770"/>
      <c r="NX371" s="770"/>
      <c r="NY371" s="770"/>
      <c r="NZ371" s="770"/>
      <c r="OA371" s="770"/>
      <c r="OB371" s="770"/>
      <c r="OC371" s="770"/>
      <c r="OD371" s="770"/>
      <c r="OE371" s="770"/>
      <c r="OF371" s="770"/>
      <c r="OG371" s="770"/>
      <c r="OH371" s="770"/>
      <c r="OI371" s="770"/>
      <c r="OJ371" s="770"/>
      <c r="OK371" s="770"/>
      <c r="OL371" s="770"/>
      <c r="OM371" s="770"/>
      <c r="ON371" s="770"/>
      <c r="OO371" s="770"/>
      <c r="OP371" s="770"/>
      <c r="OQ371" s="770"/>
      <c r="OR371" s="770"/>
      <c r="OS371" s="770"/>
      <c r="OT371" s="770"/>
      <c r="OU371" s="770"/>
      <c r="OV371" s="770"/>
      <c r="OW371" s="770"/>
      <c r="OX371" s="770"/>
      <c r="OY371" s="770"/>
      <c r="OZ371" s="770"/>
      <c r="PA371" s="770"/>
      <c r="PB371" s="770"/>
      <c r="PC371" s="770"/>
      <c r="PD371" s="770"/>
      <c r="PE371" s="770"/>
      <c r="PF371" s="770"/>
      <c r="PG371" s="770"/>
      <c r="PH371" s="770"/>
      <c r="PI371" s="770"/>
      <c r="PJ371" s="770"/>
      <c r="PK371" s="770"/>
      <c r="PL371" s="770"/>
      <c r="PM371" s="770"/>
      <c r="PN371" s="770"/>
      <c r="PO371" s="770"/>
      <c r="PP371" s="770"/>
      <c r="PQ371" s="770"/>
      <c r="PR371" s="770"/>
      <c r="PS371" s="770"/>
      <c r="PT371" s="770"/>
      <c r="PU371" s="770"/>
      <c r="PV371" s="770"/>
      <c r="PW371" s="770"/>
      <c r="PX371" s="770"/>
      <c r="PY371" s="770"/>
      <c r="PZ371" s="770"/>
      <c r="QA371" s="770"/>
      <c r="QB371" s="770"/>
      <c r="QC371" s="770"/>
      <c r="QD371" s="770"/>
      <c r="QE371" s="770"/>
      <c r="QF371" s="770"/>
      <c r="QG371" s="770"/>
      <c r="QH371" s="770"/>
      <c r="QI371" s="770"/>
      <c r="QJ371" s="770"/>
      <c r="QK371" s="770"/>
      <c r="QL371" s="770"/>
      <c r="QM371" s="770"/>
      <c r="QN371" s="770"/>
      <c r="QO371" s="770"/>
      <c r="QP371" s="770"/>
      <c r="QQ371" s="770"/>
      <c r="QR371" s="770"/>
      <c r="QS371" s="770"/>
      <c r="QT371" s="770"/>
      <c r="QU371" s="770"/>
      <c r="QV371" s="770"/>
      <c r="QW371" s="770"/>
      <c r="QX371" s="770"/>
      <c r="QY371" s="770"/>
      <c r="QZ371" s="770"/>
      <c r="RA371" s="770"/>
      <c r="RB371" s="770"/>
      <c r="RC371" s="770"/>
      <c r="RD371" s="770"/>
      <c r="RE371" s="770"/>
      <c r="RF371" s="304"/>
      <c r="RG371" s="770"/>
      <c r="RH371" s="302"/>
      <c r="RI371" s="770"/>
      <c r="RJ371" s="770" t="s">
        <v>13496</v>
      </c>
      <c r="RK371" s="770" t="s">
        <v>13381</v>
      </c>
      <c r="RL371" s="1710">
        <v>42816</v>
      </c>
      <c r="RM371" s="12"/>
      <c r="RN371" s="1711"/>
      <c r="RO371" s="140" t="s">
        <v>632</v>
      </c>
      <c r="RP371" s="11"/>
      <c r="RQ371" s="11"/>
      <c r="RR371" s="17"/>
      <c r="RS371" s="767"/>
      <c r="RT371" s="11"/>
      <c r="RU371" s="11"/>
      <c r="RV371" s="771" t="s">
        <v>8096</v>
      </c>
      <c r="RW371" s="11" t="s">
        <v>7655</v>
      </c>
      <c r="RX371" s="11" t="s">
        <v>632</v>
      </c>
      <c r="RY371" s="11"/>
      <c r="RZ371" s="11"/>
      <c r="SA371" s="771"/>
      <c r="SB371" s="11"/>
      <c r="SC371" s="11"/>
    </row>
    <row r="372" spans="1:497" ht="12.75" hidden="1" customHeight="1">
      <c r="A372" s="154" t="s">
        <v>7419</v>
      </c>
      <c r="B372" s="292" t="s">
        <v>7658</v>
      </c>
      <c r="C372" s="148" t="s">
        <v>635</v>
      </c>
      <c r="D372" s="94" t="s">
        <v>2014</v>
      </c>
      <c r="E372" s="770" t="s">
        <v>622</v>
      </c>
      <c r="F372" s="770" t="s">
        <v>28</v>
      </c>
      <c r="G372" s="770" t="s">
        <v>10</v>
      </c>
      <c r="H372" s="770"/>
      <c r="I372" s="295" t="s">
        <v>1667</v>
      </c>
      <c r="J372" s="94" t="s">
        <v>2014</v>
      </c>
      <c r="K372" s="770"/>
      <c r="L372" s="770"/>
      <c r="M372" s="770"/>
      <c r="N372" s="770"/>
      <c r="O372" s="770"/>
      <c r="P372" s="766"/>
      <c r="Q372" s="1088"/>
      <c r="R372" s="297"/>
      <c r="S372" s="770"/>
      <c r="T372" s="770"/>
      <c r="U372" s="298"/>
      <c r="V372" s="770"/>
      <c r="W372" s="770"/>
      <c r="X372" s="296"/>
      <c r="Y372" s="766"/>
      <c r="Z372" s="770"/>
      <c r="AA372" s="770"/>
      <c r="AB372" s="770"/>
      <c r="AC372" s="770"/>
      <c r="AD372" s="770"/>
      <c r="AE372" s="770"/>
      <c r="AF372" s="770"/>
      <c r="AG372" s="766" t="s">
        <v>1095</v>
      </c>
      <c r="AH372" s="766" t="s">
        <v>1096</v>
      </c>
      <c r="AI372" s="770" t="s">
        <v>643</v>
      </c>
      <c r="AJ372" s="770"/>
      <c r="AK372" s="766" t="s">
        <v>1097</v>
      </c>
      <c r="AL372" s="299">
        <v>18.72</v>
      </c>
      <c r="AM372" s="300">
        <v>18.72</v>
      </c>
      <c r="AN372" s="301">
        <v>1</v>
      </c>
      <c r="AO372" s="766" t="s">
        <v>1122</v>
      </c>
      <c r="AP372" s="766"/>
      <c r="AQ372" s="766"/>
      <c r="AR372" s="766"/>
      <c r="AS372" s="770" t="s">
        <v>1207</v>
      </c>
      <c r="AT372" s="770" t="s">
        <v>1208</v>
      </c>
      <c r="AU372" s="770"/>
      <c r="AV372" s="770"/>
      <c r="AW372" s="770"/>
      <c r="AX372" s="770"/>
      <c r="AY372" s="770"/>
      <c r="AZ372" s="770"/>
      <c r="BA372" s="770"/>
      <c r="BB372" s="770"/>
      <c r="BC372" s="770" t="s">
        <v>796</v>
      </c>
      <c r="BD372" s="770" t="s">
        <v>1207</v>
      </c>
      <c r="BE372" s="770"/>
      <c r="BF372" s="302"/>
      <c r="BG372" s="302"/>
      <c r="BH372" s="770"/>
      <c r="BI372" s="770"/>
      <c r="BJ372" s="770"/>
      <c r="BK372" s="770" t="s">
        <v>1095</v>
      </c>
      <c r="BL372" s="770" t="s">
        <v>643</v>
      </c>
      <c r="BM372" s="766" t="s">
        <v>1096</v>
      </c>
      <c r="BN372" s="770" t="s">
        <v>1230</v>
      </c>
      <c r="BO372" s="766" t="s">
        <v>1246</v>
      </c>
      <c r="BP372" s="780">
        <v>18.72</v>
      </c>
      <c r="BQ372" s="780">
        <v>18.72</v>
      </c>
      <c r="BR372" s="774">
        <f>BQ372/BP372</f>
        <v>1</v>
      </c>
      <c r="BS372" s="766" t="s">
        <v>1257</v>
      </c>
      <c r="BT372" s="766" t="s">
        <v>2040</v>
      </c>
      <c r="BU372" s="770" t="s">
        <v>1378</v>
      </c>
      <c r="BV372" s="770" t="s">
        <v>1247</v>
      </c>
      <c r="BW372" s="769"/>
      <c r="BX372" s="302"/>
      <c r="BY372" s="303"/>
      <c r="BZ372" s="770"/>
      <c r="CA372" s="302"/>
      <c r="CB372" s="302"/>
      <c r="CC372" s="770"/>
      <c r="CD372" s="770"/>
      <c r="CE372" s="770"/>
      <c r="CF372" s="770"/>
      <c r="CG372" s="770"/>
      <c r="CH372" s="770"/>
      <c r="CI372" s="770"/>
      <c r="CJ372" s="770"/>
      <c r="CK372" s="770"/>
      <c r="CL372" s="770"/>
      <c r="CM372" s="770"/>
      <c r="CN372" s="770"/>
      <c r="CO372" s="770"/>
      <c r="CP372" s="770"/>
      <c r="CQ372" s="770"/>
      <c r="CR372" s="770"/>
      <c r="CS372" s="302"/>
      <c r="CT372" s="770"/>
      <c r="CU372" s="305"/>
      <c r="CV372" s="770"/>
      <c r="CW372" s="770"/>
      <c r="CX372" s="770"/>
      <c r="CY372" s="770"/>
      <c r="CZ372" s="770"/>
      <c r="DA372" s="770"/>
      <c r="DB372" s="770"/>
      <c r="DC372" s="770"/>
      <c r="DD372" s="770"/>
      <c r="DE372" s="770"/>
      <c r="DF372" s="770"/>
      <c r="DG372" s="770"/>
      <c r="DH372" s="770"/>
      <c r="DI372" s="770"/>
      <c r="DJ372" s="770"/>
      <c r="DK372" s="770"/>
      <c r="DL372" s="770"/>
      <c r="DM372" s="770"/>
      <c r="DN372" s="770"/>
      <c r="DO372" s="770"/>
      <c r="DP372" s="770"/>
      <c r="DQ372" s="770"/>
      <c r="DR372" s="770"/>
      <c r="DS372" s="307"/>
      <c r="DT372" s="770"/>
      <c r="DU372" s="770"/>
      <c r="DV372" s="770"/>
      <c r="DW372" s="306"/>
      <c r="DX372" s="306"/>
      <c r="DY372" s="770"/>
      <c r="DZ372" s="770"/>
      <c r="EA372" s="770"/>
      <c r="EB372" s="770"/>
      <c r="EC372" s="770"/>
      <c r="ED372" s="770"/>
      <c r="EE372" s="770"/>
      <c r="EF372" s="770"/>
      <c r="EG372" s="770"/>
      <c r="EH372" s="770"/>
      <c r="EI372" s="770"/>
      <c r="EJ372" s="770"/>
      <c r="EK372" s="770"/>
      <c r="EL372" s="770"/>
      <c r="EM372" s="770"/>
      <c r="EN372" s="770"/>
      <c r="EO372" s="770"/>
      <c r="EP372" s="770"/>
      <c r="EQ372" s="770"/>
      <c r="ER372" s="770"/>
      <c r="ES372" s="770"/>
      <c r="ET372" s="770"/>
      <c r="EU372" s="770"/>
      <c r="EV372" s="770"/>
      <c r="EW372" s="770"/>
      <c r="EX372" s="770"/>
      <c r="EY372" s="770"/>
      <c r="EZ372" s="770"/>
      <c r="FA372" s="770"/>
      <c r="FB372" s="770"/>
      <c r="FC372" s="770"/>
      <c r="FD372" s="302"/>
      <c r="FE372" s="770"/>
      <c r="FF372" s="770"/>
      <c r="FG372" s="770"/>
      <c r="FH372" s="770" t="s">
        <v>478</v>
      </c>
      <c r="FI372" s="770">
        <v>1</v>
      </c>
      <c r="FJ372" s="770"/>
      <c r="FK372" s="770"/>
      <c r="FL372" s="770"/>
      <c r="FM372" s="302"/>
      <c r="FN372" s="302"/>
      <c r="FO372" s="302"/>
      <c r="FP372" s="770"/>
      <c r="FQ372" s="770"/>
      <c r="FR372" s="770" t="s">
        <v>1207</v>
      </c>
      <c r="FS372" s="770" t="s">
        <v>1208</v>
      </c>
      <c r="FT372" s="770" t="s">
        <v>1208</v>
      </c>
      <c r="FU372" s="770"/>
      <c r="FV372" s="770"/>
      <c r="FW372" s="770"/>
      <c r="FX372" s="770"/>
      <c r="FY372" s="770"/>
      <c r="FZ372" s="770"/>
      <c r="GA372" s="770"/>
      <c r="GB372" s="770" t="s">
        <v>1753</v>
      </c>
      <c r="GC372" s="308" t="s">
        <v>643</v>
      </c>
      <c r="GD372" s="297"/>
      <c r="GE372" s="770"/>
      <c r="GF372" s="302"/>
      <c r="GG372" s="302"/>
      <c r="GH372" s="770"/>
      <c r="GI372" s="770"/>
      <c r="GJ372" s="770"/>
      <c r="GK372" s="770"/>
      <c r="GL372" s="770"/>
      <c r="GM372" s="770"/>
      <c r="GN372" s="309"/>
      <c r="GO372" s="770"/>
      <c r="GP372" s="770"/>
      <c r="GQ372" s="770"/>
      <c r="GR372" s="770"/>
      <c r="GS372" s="770"/>
      <c r="GT372" s="770"/>
      <c r="GU372" s="770"/>
      <c r="GV372" s="770"/>
      <c r="GW372" s="770"/>
      <c r="GX372" s="770"/>
      <c r="GY372" s="770"/>
      <c r="GZ372" s="770"/>
      <c r="HA372" s="770"/>
      <c r="HB372" s="770"/>
      <c r="HC372" s="770"/>
      <c r="HD372" s="770"/>
      <c r="HE372" s="770"/>
      <c r="HF372" s="770"/>
      <c r="HG372" s="770"/>
      <c r="HH372" s="770"/>
      <c r="HI372" s="770"/>
      <c r="HJ372" s="770"/>
      <c r="HK372" s="770"/>
      <c r="HL372" s="770"/>
      <c r="HM372" s="770"/>
      <c r="HN372" s="770"/>
      <c r="HO372" s="770"/>
      <c r="HP372" s="770"/>
      <c r="HQ372" s="770"/>
      <c r="HR372" s="770"/>
      <c r="HS372" s="770"/>
      <c r="HT372" s="770"/>
      <c r="HU372" s="770"/>
      <c r="HV372" s="770"/>
      <c r="HW372" s="770"/>
      <c r="HX372" s="770"/>
      <c r="HY372" s="770"/>
      <c r="HZ372" s="770"/>
      <c r="IA372" s="770"/>
      <c r="IB372" s="14" t="e">
        <f>IF(#REF!&gt;0,IF(#REF!&lt;=10000,"Y",""),"")</f>
        <v>#REF!</v>
      </c>
      <c r="IC372" s="770"/>
      <c r="ID372" s="770"/>
      <c r="IE372" s="770"/>
      <c r="IF372" s="770" t="s">
        <v>2014</v>
      </c>
      <c r="IG372" s="770" t="s">
        <v>10</v>
      </c>
      <c r="IH372" s="770" t="s">
        <v>478</v>
      </c>
      <c r="II372" s="770" t="s">
        <v>5672</v>
      </c>
      <c r="IJ372" s="766" t="s">
        <v>1604</v>
      </c>
      <c r="IK372" s="766" t="s">
        <v>1888</v>
      </c>
      <c r="IL372" s="770" t="s">
        <v>643</v>
      </c>
      <c r="IM372" s="770">
        <v>2014</v>
      </c>
      <c r="IN372" s="770" t="s">
        <v>643</v>
      </c>
      <c r="IO372" s="296">
        <v>21226</v>
      </c>
      <c r="IP372" s="770"/>
      <c r="IQ372" s="769" t="s">
        <v>5498</v>
      </c>
      <c r="IR372" s="770" t="s">
        <v>2716</v>
      </c>
      <c r="IS372" s="770" t="s">
        <v>1917</v>
      </c>
      <c r="IT372" s="770" t="s">
        <v>1208</v>
      </c>
      <c r="IU372" s="770"/>
      <c r="IV372" s="770"/>
      <c r="IW372" s="770"/>
      <c r="IX372" s="770"/>
      <c r="IY372" s="770"/>
      <c r="IZ372" s="770"/>
      <c r="JA372" s="770"/>
      <c r="JB372" s="770"/>
      <c r="JC372" s="770"/>
      <c r="JD372" s="302">
        <v>2500</v>
      </c>
      <c r="JE372" s="770"/>
      <c r="JF372" s="770"/>
      <c r="JG372" s="770"/>
      <c r="JH372" s="770"/>
      <c r="JI372" s="770"/>
      <c r="JJ372" s="770"/>
      <c r="JK372" s="770"/>
      <c r="JL372" s="770"/>
      <c r="JM372" s="770"/>
      <c r="JN372" s="770"/>
      <c r="JO372" s="770"/>
      <c r="JP372" s="770"/>
      <c r="JQ372" s="770"/>
      <c r="JR372" s="770"/>
      <c r="JS372" s="770"/>
      <c r="JT372" s="766"/>
      <c r="JU372" s="766"/>
      <c r="JV372" s="766"/>
      <c r="JW372" s="766"/>
      <c r="JX372" s="770"/>
      <c r="JY372" s="770"/>
      <c r="JZ372" s="770"/>
      <c r="KA372" s="770"/>
      <c r="KB372" s="770"/>
      <c r="KC372" s="770"/>
      <c r="KD372" s="770"/>
      <c r="KE372" s="770"/>
      <c r="KF372" s="770"/>
      <c r="KG372" s="770"/>
      <c r="KH372" s="770"/>
      <c r="KI372" s="770"/>
      <c r="KJ372" s="770"/>
      <c r="KK372" s="770"/>
      <c r="KL372" s="770"/>
      <c r="KM372" s="770"/>
      <c r="KN372" s="770"/>
      <c r="KO372" s="770"/>
      <c r="KP372" s="770"/>
      <c r="KQ372" s="770"/>
      <c r="KR372" s="770"/>
      <c r="KS372" s="770"/>
      <c r="KT372" s="770"/>
      <c r="KU372" s="770"/>
      <c r="KV372" s="770"/>
      <c r="KW372" s="770"/>
      <c r="KX372" s="770"/>
      <c r="KY372" s="770"/>
      <c r="KZ372" s="770"/>
      <c r="LA372" s="770"/>
      <c r="LB372" s="770"/>
      <c r="LC372" s="770"/>
      <c r="LD372" s="770"/>
      <c r="LE372" s="770"/>
      <c r="LF372" s="770"/>
      <c r="LG372" s="770"/>
      <c r="LH372" s="770"/>
      <c r="LI372" s="770"/>
      <c r="LJ372" s="770"/>
      <c r="LK372" s="770"/>
      <c r="LL372" s="770"/>
      <c r="LM372" s="770"/>
      <c r="LN372" s="766"/>
      <c r="LO372" s="766"/>
      <c r="LP372" s="770"/>
      <c r="LQ372" s="770"/>
      <c r="LR372" s="770"/>
      <c r="LS372" s="770"/>
      <c r="LT372" s="770"/>
      <c r="LU372" s="770"/>
      <c r="LV372" s="770"/>
      <c r="LW372" s="770"/>
      <c r="LX372" s="769"/>
      <c r="LY372" s="766" t="str">
        <f t="shared" si="100"/>
        <v/>
      </c>
      <c r="LZ372" s="299"/>
      <c r="MA372" s="1709"/>
      <c r="MB372" s="1709"/>
      <c r="MC372" s="1679">
        <f t="shared" si="99"/>
        <v>0</v>
      </c>
      <c r="MD372" s="1709"/>
      <c r="ME372" s="1709"/>
      <c r="MF372" s="1709"/>
      <c r="MG372" s="1680">
        <f t="shared" si="97"/>
        <v>0</v>
      </c>
      <c r="MH372" s="770"/>
      <c r="MI372" s="302"/>
      <c r="MJ372" s="302"/>
      <c r="MK372" s="302"/>
      <c r="ML372" s="302"/>
      <c r="MM372" s="302"/>
      <c r="MN372" s="302"/>
      <c r="MO372" s="302"/>
      <c r="MP372" s="302"/>
      <c r="MQ372" s="302"/>
      <c r="MR372" s="302"/>
      <c r="MS372" s="302"/>
      <c r="MT372" s="302"/>
      <c r="MU372" s="302"/>
      <c r="MV372" s="302"/>
      <c r="MW372" s="302"/>
      <c r="MX372" s="302"/>
      <c r="MY372" s="1682">
        <f t="shared" si="98"/>
        <v>0</v>
      </c>
      <c r="MZ372" s="770"/>
      <c r="NA372" s="770"/>
      <c r="NB372" s="770"/>
      <c r="NC372" s="770"/>
      <c r="ND372" s="770"/>
      <c r="NE372" s="770"/>
      <c r="NF372" s="770"/>
      <c r="NG372" s="770"/>
      <c r="NH372" s="770"/>
      <c r="NI372" s="770"/>
      <c r="NJ372" s="770"/>
      <c r="NK372" s="770"/>
      <c r="NL372" s="770"/>
      <c r="NM372" s="770"/>
      <c r="NN372" s="770"/>
      <c r="NO372" s="770"/>
      <c r="NP372" s="770"/>
      <c r="NQ372" s="770"/>
      <c r="NR372" s="770"/>
      <c r="NS372" s="770"/>
      <c r="NT372" s="770"/>
      <c r="NU372" s="770"/>
      <c r="NV372" s="770"/>
      <c r="NW372" s="770"/>
      <c r="NX372" s="770"/>
      <c r="NY372" s="770"/>
      <c r="NZ372" s="770"/>
      <c r="OA372" s="770"/>
      <c r="OB372" s="770"/>
      <c r="OC372" s="770"/>
      <c r="OD372" s="770"/>
      <c r="OE372" s="770"/>
      <c r="OF372" s="770"/>
      <c r="OG372" s="770"/>
      <c r="OH372" s="770"/>
      <c r="OI372" s="770"/>
      <c r="OJ372" s="770"/>
      <c r="OK372" s="770"/>
      <c r="OL372" s="770"/>
      <c r="OM372" s="770"/>
      <c r="ON372" s="770"/>
      <c r="OO372" s="770"/>
      <c r="OP372" s="770"/>
      <c r="OQ372" s="770"/>
      <c r="OR372" s="770"/>
      <c r="OS372" s="770"/>
      <c r="OT372" s="770"/>
      <c r="OU372" s="770"/>
      <c r="OV372" s="770"/>
      <c r="OW372" s="770"/>
      <c r="OX372" s="770"/>
      <c r="OY372" s="770"/>
      <c r="OZ372" s="770"/>
      <c r="PA372" s="770"/>
      <c r="PB372" s="770"/>
      <c r="PC372" s="770"/>
      <c r="PD372" s="770"/>
      <c r="PE372" s="770"/>
      <c r="PF372" s="770"/>
      <c r="PG372" s="770"/>
      <c r="PH372" s="770"/>
      <c r="PI372" s="770"/>
      <c r="PJ372" s="770"/>
      <c r="PK372" s="770"/>
      <c r="PL372" s="770"/>
      <c r="PM372" s="770"/>
      <c r="PN372" s="770"/>
      <c r="PO372" s="770"/>
      <c r="PP372" s="770"/>
      <c r="PQ372" s="770"/>
      <c r="PR372" s="770"/>
      <c r="PS372" s="770"/>
      <c r="PT372" s="770"/>
      <c r="PU372" s="770"/>
      <c r="PV372" s="770"/>
      <c r="PW372" s="770"/>
      <c r="PX372" s="770"/>
      <c r="PY372" s="770"/>
      <c r="PZ372" s="770"/>
      <c r="QA372" s="770"/>
      <c r="QB372" s="770"/>
      <c r="QC372" s="770"/>
      <c r="QD372" s="770"/>
      <c r="QE372" s="770"/>
      <c r="QF372" s="770"/>
      <c r="QG372" s="770"/>
      <c r="QH372" s="770"/>
      <c r="QI372" s="770"/>
      <c r="QJ372" s="770"/>
      <c r="QK372" s="770"/>
      <c r="QL372" s="770"/>
      <c r="QM372" s="770"/>
      <c r="QN372" s="770"/>
      <c r="QO372" s="770"/>
      <c r="QP372" s="770"/>
      <c r="QQ372" s="770"/>
      <c r="QR372" s="770"/>
      <c r="QS372" s="770"/>
      <c r="QT372" s="770"/>
      <c r="QU372" s="770"/>
      <c r="QV372" s="770"/>
      <c r="QW372" s="770"/>
      <c r="QX372" s="770"/>
      <c r="QY372" s="770"/>
      <c r="QZ372" s="770"/>
      <c r="RA372" s="770"/>
      <c r="RB372" s="770"/>
      <c r="RC372" s="770"/>
      <c r="RD372" s="770"/>
      <c r="RE372" s="770"/>
      <c r="RF372" s="304"/>
      <c r="RG372" s="770"/>
      <c r="RH372" s="302"/>
      <c r="RI372" s="770"/>
      <c r="RJ372" s="770" t="s">
        <v>643</v>
      </c>
      <c r="RK372" s="770" t="s">
        <v>13381</v>
      </c>
      <c r="RL372" s="1710" t="s">
        <v>1604</v>
      </c>
      <c r="RM372" s="12"/>
      <c r="RN372" s="1711"/>
      <c r="RO372" s="148" t="s">
        <v>635</v>
      </c>
      <c r="RP372" s="11"/>
      <c r="RQ372" s="11"/>
      <c r="RR372" s="771"/>
      <c r="RS372" s="767"/>
      <c r="RT372" s="11"/>
      <c r="RU372" s="11"/>
      <c r="RV372" s="771" t="s">
        <v>8096</v>
      </c>
      <c r="RW372" s="11" t="s">
        <v>7656</v>
      </c>
      <c r="RX372" s="11" t="s">
        <v>632</v>
      </c>
      <c r="RY372" s="11"/>
      <c r="RZ372" s="11" t="s">
        <v>2209</v>
      </c>
      <c r="SA372" s="771"/>
      <c r="SB372" s="11"/>
      <c r="SC372" s="11"/>
    </row>
    <row r="373" spans="1:497" ht="12.75" hidden="1" customHeight="1">
      <c r="A373" s="154" t="s">
        <v>14186</v>
      </c>
      <c r="B373" s="292" t="s">
        <v>5671</v>
      </c>
      <c r="C373" s="148" t="s">
        <v>635</v>
      </c>
      <c r="D373" s="770" t="s">
        <v>5673</v>
      </c>
      <c r="E373" s="766" t="s">
        <v>622</v>
      </c>
      <c r="F373" s="770" t="s">
        <v>20</v>
      </c>
      <c r="G373" s="770" t="s">
        <v>18</v>
      </c>
      <c r="H373" s="770"/>
      <c r="I373" s="295"/>
      <c r="J373" s="94" t="s">
        <v>5674</v>
      </c>
      <c r="K373" s="770"/>
      <c r="L373" s="770"/>
      <c r="M373" s="770"/>
      <c r="N373" s="770"/>
      <c r="O373" s="770"/>
      <c r="P373" s="94" t="s">
        <v>1049</v>
      </c>
      <c r="Q373" s="1088">
        <v>33652</v>
      </c>
      <c r="R373" s="297">
        <v>24</v>
      </c>
      <c r="S373" s="770" t="s">
        <v>10</v>
      </c>
      <c r="T373" s="770"/>
      <c r="U373" s="298" t="s">
        <v>1050</v>
      </c>
      <c r="V373" s="770" t="s">
        <v>722</v>
      </c>
      <c r="W373" s="770"/>
      <c r="X373" s="296"/>
      <c r="Y373" s="770" t="s">
        <v>1051</v>
      </c>
      <c r="Z373" s="770" t="s">
        <v>708</v>
      </c>
      <c r="AA373" s="770" t="s">
        <v>1052</v>
      </c>
      <c r="AB373" s="766" t="s">
        <v>7274</v>
      </c>
      <c r="AC373" s="770" t="s">
        <v>724</v>
      </c>
      <c r="AD373" s="770"/>
      <c r="AE373" s="770"/>
      <c r="AF373" s="770" t="s">
        <v>1053</v>
      </c>
      <c r="AG373" s="770"/>
      <c r="AH373" s="770"/>
      <c r="AI373" s="770"/>
      <c r="AJ373" s="770"/>
      <c r="AK373" s="770" t="s">
        <v>1899</v>
      </c>
      <c r="AL373" s="299"/>
      <c r="AM373" s="300"/>
      <c r="AN373" s="301"/>
      <c r="AO373" s="766"/>
      <c r="AP373" s="766"/>
      <c r="AQ373" s="766"/>
      <c r="AR373" s="766"/>
      <c r="AS373" s="770"/>
      <c r="AT373" s="770"/>
      <c r="AU373" s="770"/>
      <c r="AV373" s="770"/>
      <c r="AW373" s="770"/>
      <c r="AX373" s="770"/>
      <c r="AY373" s="770"/>
      <c r="AZ373" s="770"/>
      <c r="BA373" s="770"/>
      <c r="BB373" s="770"/>
      <c r="BC373" s="770"/>
      <c r="BD373" s="770"/>
      <c r="BE373" s="770"/>
      <c r="BF373" s="302"/>
      <c r="BG373" s="302"/>
      <c r="BH373" s="770"/>
      <c r="BI373" s="770"/>
      <c r="BJ373" s="770"/>
      <c r="BK373" s="770"/>
      <c r="BL373" s="770"/>
      <c r="BM373" s="770" t="s">
        <v>1238</v>
      </c>
      <c r="BN373" s="770" t="s">
        <v>1256</v>
      </c>
      <c r="BO373" s="770"/>
      <c r="BP373" s="780"/>
      <c r="BQ373" s="772"/>
      <c r="BR373" s="774"/>
      <c r="BS373" s="766" t="s">
        <v>1257</v>
      </c>
      <c r="BT373" s="766"/>
      <c r="BU373" s="770"/>
      <c r="BV373" s="770"/>
      <c r="BW373" s="770"/>
      <c r="BX373" s="302"/>
      <c r="BY373" s="303"/>
      <c r="BZ373" s="770"/>
      <c r="CA373" s="302"/>
      <c r="CB373" s="302"/>
      <c r="CC373" s="770"/>
      <c r="CD373" s="770"/>
      <c r="CE373" s="770"/>
      <c r="CF373" s="304"/>
      <c r="CG373" s="321"/>
      <c r="CH373" s="770"/>
      <c r="CI373" s="770"/>
      <c r="CJ373" s="770"/>
      <c r="CK373" s="770"/>
      <c r="CL373" s="770"/>
      <c r="CM373" s="770"/>
      <c r="CN373" s="770"/>
      <c r="CO373" s="770"/>
      <c r="CP373" s="770"/>
      <c r="CQ373" s="770"/>
      <c r="CR373" s="770"/>
      <c r="CS373" s="302"/>
      <c r="CT373" s="770"/>
      <c r="CU373" s="305"/>
      <c r="CV373" s="770"/>
      <c r="CW373" s="770"/>
      <c r="CX373" s="770"/>
      <c r="CY373" s="770"/>
      <c r="CZ373" s="770"/>
      <c r="DA373" s="306"/>
      <c r="DB373" s="770"/>
      <c r="DC373" s="770"/>
      <c r="DD373" s="770"/>
      <c r="DE373" s="300"/>
      <c r="DF373" s="770"/>
      <c r="DG373" s="770"/>
      <c r="DH373" s="770"/>
      <c r="DI373" s="770"/>
      <c r="DJ373" s="770"/>
      <c r="DK373" s="770"/>
      <c r="DL373" s="770"/>
      <c r="DM373" s="770"/>
      <c r="DN373" s="322"/>
      <c r="DO373" s="770"/>
      <c r="DP373" s="770"/>
      <c r="DQ373" s="770"/>
      <c r="DR373" s="770"/>
      <c r="DS373" s="307"/>
      <c r="DT373" s="770"/>
      <c r="DU373" s="770"/>
      <c r="DV373" s="770"/>
      <c r="DW373" s="306"/>
      <c r="DX373" s="306"/>
      <c r="DY373" s="770"/>
      <c r="DZ373" s="770"/>
      <c r="EA373" s="770"/>
      <c r="EB373" s="770"/>
      <c r="EC373" s="770"/>
      <c r="ED373" s="770"/>
      <c r="EE373" s="770"/>
      <c r="EF373" s="770"/>
      <c r="EG373" s="770"/>
      <c r="EH373" s="770"/>
      <c r="EI373" s="770"/>
      <c r="EJ373" s="770"/>
      <c r="EK373" s="770"/>
      <c r="EL373" s="770"/>
      <c r="EM373" s="770"/>
      <c r="EN373" s="770"/>
      <c r="EO373" s="770"/>
      <c r="EP373" s="94"/>
      <c r="EQ373" s="770"/>
      <c r="ER373" s="770"/>
      <c r="ES373" s="770"/>
      <c r="ET373" s="770"/>
      <c r="EU373" s="770"/>
      <c r="EV373" s="770"/>
      <c r="EW373" s="770"/>
      <c r="EX373" s="770"/>
      <c r="EY373" s="770"/>
      <c r="EZ373" s="770"/>
      <c r="FA373" s="770"/>
      <c r="FB373" s="770"/>
      <c r="FC373" s="770"/>
      <c r="FD373" s="302"/>
      <c r="FE373" s="770"/>
      <c r="FF373" s="770"/>
      <c r="FG373" s="770"/>
      <c r="FH373" s="770" t="s">
        <v>1306</v>
      </c>
      <c r="FI373" s="770">
        <v>1</v>
      </c>
      <c r="FJ373" s="770" t="s">
        <v>643</v>
      </c>
      <c r="FK373" s="770" t="s">
        <v>1667</v>
      </c>
      <c r="FL373" s="770"/>
      <c r="FM373" s="147">
        <v>2500</v>
      </c>
      <c r="FN373" s="302">
        <v>300</v>
      </c>
      <c r="FO373" s="302">
        <v>160</v>
      </c>
      <c r="FP373" s="766" t="s">
        <v>1602</v>
      </c>
      <c r="FQ373" s="766" t="s">
        <v>1660</v>
      </c>
      <c r="FR373" s="770"/>
      <c r="FS373" s="770"/>
      <c r="FT373" s="770"/>
      <c r="FU373" s="770"/>
      <c r="FV373" s="770"/>
      <c r="FW373" s="770"/>
      <c r="FX373" s="770"/>
      <c r="FY373" s="770"/>
      <c r="FZ373" s="770"/>
      <c r="GA373" s="770"/>
      <c r="GB373" s="770"/>
      <c r="GC373" s="308"/>
      <c r="GD373" s="297"/>
      <c r="GE373" s="770"/>
      <c r="GF373" s="302"/>
      <c r="GG373" s="302"/>
      <c r="GH373" s="770"/>
      <c r="GI373" s="770"/>
      <c r="GJ373" s="770"/>
      <c r="GK373" s="770"/>
      <c r="GL373" s="770"/>
      <c r="GM373" s="770"/>
      <c r="GN373" s="309"/>
      <c r="GO373" s="770"/>
      <c r="GP373" s="770"/>
      <c r="GQ373" s="770"/>
      <c r="GR373" s="770"/>
      <c r="GS373" s="770"/>
      <c r="GT373" s="770"/>
      <c r="GU373" s="770"/>
      <c r="GV373" s="770"/>
      <c r="GW373" s="770"/>
      <c r="GX373" s="770"/>
      <c r="GY373" s="770"/>
      <c r="GZ373" s="770"/>
      <c r="HA373" s="770"/>
      <c r="HB373" s="770"/>
      <c r="HC373" s="770"/>
      <c r="HD373" s="770"/>
      <c r="HE373" s="770"/>
      <c r="HF373" s="770"/>
      <c r="HG373" s="770"/>
      <c r="HH373" s="770"/>
      <c r="HI373" s="770"/>
      <c r="HJ373" s="770"/>
      <c r="HK373" s="770"/>
      <c r="HL373" s="770"/>
      <c r="HM373" s="770"/>
      <c r="HN373" s="770"/>
      <c r="HO373" s="770"/>
      <c r="HP373" s="770"/>
      <c r="HQ373" s="770"/>
      <c r="HR373" s="770"/>
      <c r="HS373" s="770"/>
      <c r="HT373" s="770"/>
      <c r="HU373" s="770"/>
      <c r="HV373" s="770"/>
      <c r="HW373" s="770"/>
      <c r="HX373" s="770"/>
      <c r="HY373" s="770"/>
      <c r="HZ373" s="770"/>
      <c r="IA373" s="770"/>
      <c r="IB373" s="14" t="e">
        <f>IF(#REF!&gt;0,IF(#REF!&lt;=10000,"Y",""),"")</f>
        <v>#REF!</v>
      </c>
      <c r="IC373" s="770"/>
      <c r="ID373" s="770"/>
      <c r="IE373" s="770"/>
      <c r="IF373" s="770"/>
      <c r="IG373" s="770"/>
      <c r="IH373" s="770"/>
      <c r="II373" s="770"/>
      <c r="IJ373" s="770"/>
      <c r="IK373" s="770"/>
      <c r="IL373" s="770"/>
      <c r="IM373" s="770"/>
      <c r="IN373" s="770"/>
      <c r="IO373" s="296"/>
      <c r="IP373" s="770"/>
      <c r="IQ373" s="766"/>
      <c r="IR373" s="770"/>
      <c r="IS373" s="770"/>
      <c r="IT373" s="770"/>
      <c r="IU373" s="770"/>
      <c r="IV373" s="770"/>
      <c r="IW373" s="770"/>
      <c r="IX373" s="770"/>
      <c r="IY373" s="770"/>
      <c r="IZ373" s="770"/>
      <c r="JA373" s="770"/>
      <c r="JB373" s="770"/>
      <c r="JC373" s="770"/>
      <c r="JD373" s="302"/>
      <c r="JE373" s="770"/>
      <c r="JF373" s="770"/>
      <c r="JG373" s="770"/>
      <c r="JH373" s="770"/>
      <c r="JI373" s="712" t="str">
        <f>IF(SUM(JT373,JU373)=JJ373,"ok","review")</f>
        <v>ok</v>
      </c>
      <c r="JJ373" s="770">
        <v>3</v>
      </c>
      <c r="JK373" s="1139" t="s">
        <v>2120</v>
      </c>
      <c r="JL373" s="770"/>
      <c r="JM373" s="770">
        <v>1</v>
      </c>
      <c r="JN373" s="770">
        <v>1</v>
      </c>
      <c r="JO373" s="770">
        <v>1</v>
      </c>
      <c r="JP373" s="770"/>
      <c r="JQ373" s="770"/>
      <c r="JR373" s="770"/>
      <c r="JS373" s="770"/>
      <c r="JT373" s="766">
        <f>SUM(JP373,JN373,JL373,JR373)</f>
        <v>1</v>
      </c>
      <c r="JU373" s="766">
        <f>SUM(JQ373,JO373,JM373,JS373)</f>
        <v>2</v>
      </c>
      <c r="JV373" s="712" t="str">
        <f>IF(JT373=KJ373,"ok","male")</f>
        <v>ok</v>
      </c>
      <c r="JW373" s="712" t="str">
        <f>IF(JU373=KK373,"ok","female")</f>
        <v>ok</v>
      </c>
      <c r="JX373" s="770"/>
      <c r="JY373" s="770">
        <v>1</v>
      </c>
      <c r="JZ373" s="770"/>
      <c r="KA373" s="770"/>
      <c r="KB373" s="770">
        <v>1</v>
      </c>
      <c r="KC373" s="770">
        <v>1</v>
      </c>
      <c r="KD373" s="770"/>
      <c r="KE373" s="770"/>
      <c r="KF373" s="770"/>
      <c r="KG373" s="770"/>
      <c r="KH373" s="770"/>
      <c r="KI373" s="770"/>
      <c r="KJ373" s="770">
        <f>SUM(KF373,KD373,KB373,JZ373,JX373,KH373)</f>
        <v>1</v>
      </c>
      <c r="KK373" s="770">
        <f>SUM(KG373,KE373,KC373,KA373,JY373,KI373)</f>
        <v>2</v>
      </c>
      <c r="KL373" s="712" t="str">
        <f>IF(KJ373=LN373,"ok","male")</f>
        <v>ok</v>
      </c>
      <c r="KM373" s="712" t="str">
        <f>IF(KK373=LO373,"ok","female")</f>
        <v>ok</v>
      </c>
      <c r="KN373" s="770" t="s">
        <v>722</v>
      </c>
      <c r="KO373" s="770"/>
      <c r="KP373" s="770"/>
      <c r="KQ373" s="770"/>
      <c r="KR373" s="770"/>
      <c r="KS373" s="770"/>
      <c r="KT373" s="770"/>
      <c r="KU373" s="770"/>
      <c r="KV373" s="770"/>
      <c r="KW373" s="770"/>
      <c r="KX373" s="770"/>
      <c r="KY373" s="770"/>
      <c r="KZ373" s="770"/>
      <c r="LA373" s="770">
        <v>1</v>
      </c>
      <c r="LB373" s="770"/>
      <c r="LC373" s="770"/>
      <c r="LD373" s="770"/>
      <c r="LE373" s="770"/>
      <c r="LF373" s="770"/>
      <c r="LG373" s="770"/>
      <c r="LH373" s="770">
        <v>1</v>
      </c>
      <c r="LI373" s="770"/>
      <c r="LJ373" s="770"/>
      <c r="LK373" s="770">
        <v>1</v>
      </c>
      <c r="LL373" s="770"/>
      <c r="LM373" s="770"/>
      <c r="LN373" s="766">
        <f>SUM(KP373,KR373,KT373,KV373,KX373,KZ373,LB373,LD373,LF373,LH373,LJ373,LL373)</f>
        <v>1</v>
      </c>
      <c r="LO373" s="766">
        <f>SUM(KQ373,KS373,KU373,KW373,KY373,LA373,LC373,LE373,LG373,LI373,LK373,LM373)</f>
        <v>2</v>
      </c>
      <c r="LP373" s="770">
        <v>1</v>
      </c>
      <c r="LQ373" s="770">
        <v>1</v>
      </c>
      <c r="LR373" s="770"/>
      <c r="LS373" s="770"/>
      <c r="LT373" s="712" t="str">
        <f>IF(LQ373=SUM(LU373:LW373),"OK","REV")</f>
        <v>OK</v>
      </c>
      <c r="LU373" s="770"/>
      <c r="LV373" s="770">
        <v>1</v>
      </c>
      <c r="LW373" s="770"/>
      <c r="LX373" s="769">
        <v>1</v>
      </c>
      <c r="LY373" s="766" t="str">
        <f t="shared" si="100"/>
        <v>within the BRGY</v>
      </c>
      <c r="LZ373" s="299"/>
      <c r="MA373" s="306"/>
      <c r="MB373" s="306"/>
      <c r="MC373" s="1679">
        <f t="shared" si="99"/>
        <v>0</v>
      </c>
      <c r="MD373" s="306">
        <v>12000</v>
      </c>
      <c r="ME373" s="306"/>
      <c r="MF373" s="306"/>
      <c r="MG373" s="1680">
        <f>SUM(MD373:MF373)</f>
        <v>12000</v>
      </c>
      <c r="MH373" s="770" t="s">
        <v>2246</v>
      </c>
      <c r="MI373" s="302">
        <v>6000</v>
      </c>
      <c r="MJ373" s="302">
        <v>656</v>
      </c>
      <c r="MK373" s="302">
        <v>333</v>
      </c>
      <c r="ML373" s="302">
        <v>1000</v>
      </c>
      <c r="MM373" s="302"/>
      <c r="MN373" s="302">
        <v>2500</v>
      </c>
      <c r="MO373" s="302">
        <v>200</v>
      </c>
      <c r="MP373" s="302">
        <v>160</v>
      </c>
      <c r="MQ373" s="302">
        <v>150</v>
      </c>
      <c r="MR373" s="302">
        <v>300</v>
      </c>
      <c r="MS373" s="302">
        <v>700</v>
      </c>
      <c r="MT373" s="302"/>
      <c r="MU373" s="302"/>
      <c r="MV373" s="302"/>
      <c r="MW373" s="302"/>
      <c r="MX373" s="302"/>
      <c r="MY373" s="1682">
        <f t="shared" si="98"/>
        <v>11999</v>
      </c>
      <c r="MZ373" s="770" t="s">
        <v>13370</v>
      </c>
      <c r="NA373" s="770" t="s">
        <v>13005</v>
      </c>
      <c r="NB373" s="770" t="s">
        <v>13164</v>
      </c>
      <c r="NC373" s="770" t="s">
        <v>13007</v>
      </c>
      <c r="ND373" s="770">
        <v>0</v>
      </c>
      <c r="NE373" s="770">
        <v>0</v>
      </c>
      <c r="NF373" s="770">
        <v>0</v>
      </c>
      <c r="NG373" s="770">
        <v>1</v>
      </c>
      <c r="NH373" s="770">
        <v>1</v>
      </c>
      <c r="NI373" s="770">
        <v>0</v>
      </c>
      <c r="NJ373" s="770">
        <v>0</v>
      </c>
      <c r="NK373" s="770">
        <v>0</v>
      </c>
      <c r="NL373" s="770">
        <v>0</v>
      </c>
      <c r="NM373" s="770">
        <v>0</v>
      </c>
      <c r="NN373" s="770">
        <v>1</v>
      </c>
      <c r="NO373" s="770">
        <v>0</v>
      </c>
      <c r="NP373" s="770">
        <v>0</v>
      </c>
      <c r="NQ373" s="770">
        <v>0</v>
      </c>
      <c r="NR373" s="770">
        <v>0</v>
      </c>
      <c r="NS373" s="770">
        <v>0</v>
      </c>
      <c r="NT373" s="770">
        <v>0</v>
      </c>
      <c r="NU373" s="770">
        <v>0</v>
      </c>
      <c r="NV373" s="770">
        <v>0</v>
      </c>
      <c r="NW373" s="770">
        <v>0</v>
      </c>
      <c r="NX373" s="770">
        <v>0</v>
      </c>
      <c r="NY373" s="770" t="s">
        <v>1208</v>
      </c>
      <c r="NZ373" s="770"/>
      <c r="OA373" s="770" t="s">
        <v>1208</v>
      </c>
      <c r="OB373" s="770" t="s">
        <v>1208</v>
      </c>
      <c r="OC373" s="770" t="s">
        <v>1208</v>
      </c>
      <c r="OD373" s="770"/>
      <c r="OE373" s="770"/>
      <c r="OF373" s="770"/>
      <c r="OG373" s="770"/>
      <c r="OH373" s="770"/>
      <c r="OI373" s="770"/>
      <c r="OJ373" s="770"/>
      <c r="OK373" s="770"/>
      <c r="OL373" s="770"/>
      <c r="OM373" s="770"/>
      <c r="ON373" s="770"/>
      <c r="OO373" s="770"/>
      <c r="OP373" s="770"/>
      <c r="OQ373" s="770"/>
      <c r="OR373" s="770"/>
      <c r="OS373" s="770"/>
      <c r="OT373" s="770"/>
      <c r="OU373" s="770"/>
      <c r="OV373" s="770"/>
      <c r="OW373" s="770"/>
      <c r="OX373" s="770"/>
      <c r="OY373" s="770"/>
      <c r="OZ373" s="770"/>
      <c r="PA373" s="770"/>
      <c r="PB373" s="770"/>
      <c r="PC373" s="770"/>
      <c r="PD373" s="770"/>
      <c r="PE373" s="770"/>
      <c r="PF373" s="770"/>
      <c r="PG373" s="770"/>
      <c r="PH373" s="770"/>
      <c r="PI373" s="770"/>
      <c r="PJ373" s="770"/>
      <c r="PK373" s="770" t="s">
        <v>1208</v>
      </c>
      <c r="PL373" s="770"/>
      <c r="PM373" s="770"/>
      <c r="PN373" s="770"/>
      <c r="PO373" s="770"/>
      <c r="PP373" s="770"/>
      <c r="PQ373" s="770"/>
      <c r="PR373" s="770" t="s">
        <v>1208</v>
      </c>
      <c r="PS373" s="770"/>
      <c r="PT373" s="770"/>
      <c r="PU373" s="770"/>
      <c r="PV373" s="770"/>
      <c r="PW373" s="770"/>
      <c r="PX373" s="770"/>
      <c r="PY373" s="770"/>
      <c r="PZ373" s="770"/>
      <c r="QA373" s="770"/>
      <c r="QB373" s="770"/>
      <c r="QC373" s="770"/>
      <c r="QD373" s="770"/>
      <c r="QE373" s="770"/>
      <c r="QF373" s="770"/>
      <c r="QG373" s="770"/>
      <c r="QH373" s="770"/>
      <c r="QI373" s="770"/>
      <c r="QJ373" s="770"/>
      <c r="QK373" s="770"/>
      <c r="QL373" s="770"/>
      <c r="QM373" s="770"/>
      <c r="QN373" s="770"/>
      <c r="QO373" s="770"/>
      <c r="QP373" s="770"/>
      <c r="QQ373" s="770"/>
      <c r="QR373" s="770"/>
      <c r="QS373" s="770"/>
      <c r="QT373" s="770"/>
      <c r="QU373" s="770"/>
      <c r="QV373" s="770"/>
      <c r="QW373" s="770"/>
      <c r="QX373" s="770"/>
      <c r="QY373" s="770"/>
      <c r="QZ373" s="770"/>
      <c r="RA373" s="770"/>
      <c r="RB373" s="770" t="s">
        <v>1214</v>
      </c>
      <c r="RC373" s="770"/>
      <c r="RD373" s="770"/>
      <c r="RE373" s="770"/>
      <c r="RF373" s="304"/>
      <c r="RG373" s="770"/>
      <c r="RH373" s="302"/>
      <c r="RI373" s="770"/>
      <c r="RJ373" s="770" t="s">
        <v>13497</v>
      </c>
      <c r="RK373" s="770" t="s">
        <v>13381</v>
      </c>
      <c r="RL373" s="1710"/>
      <c r="RM373" s="12"/>
      <c r="RN373" s="1711"/>
      <c r="RO373" s="148" t="s">
        <v>635</v>
      </c>
      <c r="RP373" s="11"/>
      <c r="RQ373" s="11"/>
      <c r="RR373" s="154" t="s">
        <v>12458</v>
      </c>
      <c r="RS373" s="1139" t="s">
        <v>12980</v>
      </c>
      <c r="RT373" s="11"/>
      <c r="RU373" s="11"/>
      <c r="RV373" s="771" t="s">
        <v>8096</v>
      </c>
      <c r="RW373" s="11" t="s">
        <v>7657</v>
      </c>
      <c r="RX373" s="11" t="s">
        <v>632</v>
      </c>
      <c r="RY373" s="11"/>
      <c r="RZ373" s="11"/>
      <c r="SA373" s="771"/>
      <c r="SB373" s="11"/>
      <c r="SC373" s="11"/>
    </row>
    <row r="374" spans="1:497" s="12" customFormat="1" ht="12.75" hidden="1" customHeight="1">
      <c r="A374" s="769" t="s">
        <v>7419</v>
      </c>
      <c r="B374" s="288" t="s">
        <v>7988</v>
      </c>
      <c r="C374" s="148" t="s">
        <v>636</v>
      </c>
      <c r="D374" s="94" t="s">
        <v>637</v>
      </c>
      <c r="E374" s="770" t="s">
        <v>638</v>
      </c>
      <c r="F374" s="770" t="s">
        <v>20</v>
      </c>
      <c r="G374" s="770" t="s">
        <v>18</v>
      </c>
      <c r="H374" s="770"/>
      <c r="I374" s="295"/>
      <c r="J374" s="94" t="s">
        <v>639</v>
      </c>
      <c r="K374" s="770"/>
      <c r="L374" s="770"/>
      <c r="M374" s="770"/>
      <c r="N374" s="770"/>
      <c r="O374" s="770"/>
      <c r="P374" s="770" t="s">
        <v>1054</v>
      </c>
      <c r="Q374" s="1088">
        <v>25725</v>
      </c>
      <c r="R374" s="297"/>
      <c r="S374" s="770"/>
      <c r="T374" s="770"/>
      <c r="U374" s="298" t="s">
        <v>1055</v>
      </c>
      <c r="V374" s="770"/>
      <c r="W374" s="770"/>
      <c r="X374" s="296"/>
      <c r="Y374" s="770"/>
      <c r="Z374" s="770"/>
      <c r="AA374" s="770"/>
      <c r="AB374" s="770"/>
      <c r="AC374" s="770"/>
      <c r="AD374" s="770"/>
      <c r="AE374" s="770"/>
      <c r="AF374" s="770"/>
      <c r="AG374" s="766" t="s">
        <v>1095</v>
      </c>
      <c r="AH374" s="766" t="s">
        <v>1096</v>
      </c>
      <c r="AI374" s="770" t="s">
        <v>637</v>
      </c>
      <c r="AJ374" s="770"/>
      <c r="AK374" s="766" t="s">
        <v>1097</v>
      </c>
      <c r="AL374" s="299">
        <v>3.23</v>
      </c>
      <c r="AM374" s="300">
        <v>3.23</v>
      </c>
      <c r="AN374" s="301">
        <v>1</v>
      </c>
      <c r="AO374" s="766" t="s">
        <v>1122</v>
      </c>
      <c r="AP374" s="766"/>
      <c r="AQ374" s="766"/>
      <c r="AR374" s="766"/>
      <c r="AS374" s="770" t="s">
        <v>1207</v>
      </c>
      <c r="AT374" s="770" t="s">
        <v>1208</v>
      </c>
      <c r="AU374" s="770"/>
      <c r="AV374" s="770"/>
      <c r="AW374" s="770"/>
      <c r="AX374" s="13"/>
      <c r="AY374" s="770"/>
      <c r="AZ374" s="770"/>
      <c r="BA374" s="770"/>
      <c r="BB374" s="770"/>
      <c r="BC374" s="770" t="s">
        <v>853</v>
      </c>
      <c r="BD374" s="770" t="s">
        <v>1207</v>
      </c>
      <c r="BE374" s="770"/>
      <c r="BF374" s="302"/>
      <c r="BG374" s="302"/>
      <c r="BH374" s="770"/>
      <c r="BI374" s="770"/>
      <c r="BJ374" s="770"/>
      <c r="BK374" s="770" t="s">
        <v>1095</v>
      </c>
      <c r="BL374" s="770" t="s">
        <v>637</v>
      </c>
      <c r="BM374" s="766" t="s">
        <v>1096</v>
      </c>
      <c r="BN374" s="770" t="s">
        <v>1230</v>
      </c>
      <c r="BO374" s="766" t="s">
        <v>1246</v>
      </c>
      <c r="BP374" s="773">
        <v>3.23</v>
      </c>
      <c r="BQ374" s="773">
        <v>3.23</v>
      </c>
      <c r="BR374" s="774">
        <f>BQ374/BP374</f>
        <v>1</v>
      </c>
      <c r="BS374" s="766" t="s">
        <v>1257</v>
      </c>
      <c r="BT374" s="766" t="s">
        <v>2040</v>
      </c>
      <c r="BU374" s="770" t="s">
        <v>1249</v>
      </c>
      <c r="BV374" s="770" t="s">
        <v>1247</v>
      </c>
      <c r="BW374" s="769"/>
      <c r="BX374" s="302"/>
      <c r="BY374" s="303"/>
      <c r="BZ374" s="770"/>
      <c r="CA374" s="302"/>
      <c r="CB374" s="302" t="s">
        <v>1207</v>
      </c>
      <c r="CC374" s="770" t="s">
        <v>1573</v>
      </c>
      <c r="CD374" s="770"/>
      <c r="CE374" s="770"/>
      <c r="CF374" s="304" t="s">
        <v>1574</v>
      </c>
      <c r="CG374" s="321" t="s">
        <v>5649</v>
      </c>
      <c r="CH374" s="770" t="s">
        <v>1575</v>
      </c>
      <c r="CI374" s="770" t="s">
        <v>5675</v>
      </c>
      <c r="CJ374" s="770" t="s">
        <v>3684</v>
      </c>
      <c r="CK374" s="770"/>
      <c r="CL374" s="770"/>
      <c r="CM374" s="770"/>
      <c r="CN374" s="770"/>
      <c r="CO374" s="770" t="s">
        <v>1257</v>
      </c>
      <c r="CP374" s="770"/>
      <c r="CQ374" s="770"/>
      <c r="CR374" s="770"/>
      <c r="CS374" s="302"/>
      <c r="CT374" s="770"/>
      <c r="CU374" s="305"/>
      <c r="CV374" s="770"/>
      <c r="CW374" s="770"/>
      <c r="CX374" s="770"/>
      <c r="CY374" s="770"/>
      <c r="CZ374" s="770"/>
      <c r="DA374" s="306"/>
      <c r="DB374" s="770"/>
      <c r="DC374" s="770"/>
      <c r="DD374" s="770"/>
      <c r="DE374" s="300"/>
      <c r="DF374" s="770"/>
      <c r="DG374" s="770"/>
      <c r="DH374" s="770"/>
      <c r="DI374" s="770"/>
      <c r="DJ374" s="770"/>
      <c r="DK374" s="770"/>
      <c r="DL374" s="770"/>
      <c r="DM374" s="770"/>
      <c r="DN374" s="322"/>
      <c r="DO374" s="770"/>
      <c r="DP374" s="770"/>
      <c r="DQ374" s="770"/>
      <c r="DR374" s="770"/>
      <c r="DS374" s="307"/>
      <c r="DT374" s="770"/>
      <c r="DU374" s="770"/>
      <c r="DV374" s="770"/>
      <c r="DW374" s="306"/>
      <c r="DX374" s="306"/>
      <c r="DY374" s="770"/>
      <c r="DZ374" s="770"/>
      <c r="EA374" s="770"/>
      <c r="EB374" s="770"/>
      <c r="EC374" s="770"/>
      <c r="ED374" s="770"/>
      <c r="EE374" s="770"/>
      <c r="EF374" s="770"/>
      <c r="EG374" s="770"/>
      <c r="EH374" s="770"/>
      <c r="EI374" s="770"/>
      <c r="EJ374" s="770"/>
      <c r="EK374" s="770"/>
      <c r="EL374" s="770"/>
      <c r="EM374" s="770"/>
      <c r="EN374" s="770"/>
      <c r="EO374" s="770"/>
      <c r="EP374" s="94"/>
      <c r="EQ374" s="770"/>
      <c r="ER374" s="770"/>
      <c r="ES374" s="770"/>
      <c r="ET374" s="770"/>
      <c r="EU374" s="770"/>
      <c r="EV374" s="770"/>
      <c r="EW374" s="770"/>
      <c r="EX374" s="770"/>
      <c r="EY374" s="770"/>
      <c r="EZ374" s="770" t="s">
        <v>637</v>
      </c>
      <c r="FA374" s="770" t="s">
        <v>3099</v>
      </c>
      <c r="FB374" s="770" t="s">
        <v>1257</v>
      </c>
      <c r="FC374" s="770"/>
      <c r="FD374" s="302"/>
      <c r="FE374" s="770" t="s">
        <v>5676</v>
      </c>
      <c r="FF374" s="770" t="s">
        <v>5677</v>
      </c>
      <c r="FG374" s="770"/>
      <c r="FH374" s="770" t="s">
        <v>478</v>
      </c>
      <c r="FI374" s="770">
        <v>4</v>
      </c>
      <c r="FJ374" s="770"/>
      <c r="FK374" s="770"/>
      <c r="FL374" s="770"/>
      <c r="FM374" s="302"/>
      <c r="FN374" s="302"/>
      <c r="FO374" s="302"/>
      <c r="FP374" s="770"/>
      <c r="FQ374" s="770"/>
      <c r="FR374" s="770" t="s">
        <v>1207</v>
      </c>
      <c r="FS374" s="770" t="s">
        <v>1208</v>
      </c>
      <c r="FT374" s="770"/>
      <c r="FU374" s="770"/>
      <c r="FV374" s="770"/>
      <c r="FW374" s="770"/>
      <c r="FX374" s="770"/>
      <c r="FY374" s="770"/>
      <c r="FZ374" s="770"/>
      <c r="GA374" s="770"/>
      <c r="GB374" s="770" t="s">
        <v>853</v>
      </c>
      <c r="GC374" s="308"/>
      <c r="GD374" s="297"/>
      <c r="GE374" s="770"/>
      <c r="GF374" s="302"/>
      <c r="GG374" s="302"/>
      <c r="GH374" s="770"/>
      <c r="GI374" s="770"/>
      <c r="GJ374" s="770"/>
      <c r="GK374" s="770"/>
      <c r="GL374" s="770"/>
      <c r="GM374" s="770"/>
      <c r="GN374" s="309"/>
      <c r="GO374" s="770"/>
      <c r="GP374" s="770"/>
      <c r="GQ374" s="770"/>
      <c r="GR374" s="770"/>
      <c r="GS374" s="770"/>
      <c r="GT374" s="770"/>
      <c r="GU374" s="770"/>
      <c r="GV374" s="770"/>
      <c r="GW374" s="770"/>
      <c r="GX374" s="770"/>
      <c r="GY374" s="770"/>
      <c r="GZ374" s="770"/>
      <c r="HA374" s="770"/>
      <c r="HB374" s="770"/>
      <c r="HC374" s="770"/>
      <c r="HD374" s="770"/>
      <c r="HE374" s="770"/>
      <c r="HF374" s="770"/>
      <c r="HG374" s="770"/>
      <c r="HH374" s="770"/>
      <c r="HI374" s="770"/>
      <c r="HJ374" s="770"/>
      <c r="HK374" s="770"/>
      <c r="HL374" s="770"/>
      <c r="HM374" s="770"/>
      <c r="HN374" s="770"/>
      <c r="HO374" s="770"/>
      <c r="HP374" s="770"/>
      <c r="HQ374" s="770"/>
      <c r="HR374" s="770"/>
      <c r="HS374" s="770"/>
      <c r="HT374" s="770"/>
      <c r="HU374" s="770"/>
      <c r="HV374" s="770"/>
      <c r="HW374" s="770"/>
      <c r="HX374" s="770"/>
      <c r="HY374" s="770"/>
      <c r="HZ374" s="770"/>
      <c r="IA374" s="770"/>
      <c r="IB374" s="14" t="e">
        <f>IF(#REF!&gt;0,IF(#REF!&lt;=10000,"Y",""),"")</f>
        <v>#REF!</v>
      </c>
      <c r="IC374" s="770" t="s">
        <v>1207</v>
      </c>
      <c r="ID374" s="770"/>
      <c r="IE374" s="770"/>
      <c r="IF374" s="770"/>
      <c r="IG374" s="770"/>
      <c r="IH374" s="770"/>
      <c r="II374" s="770"/>
      <c r="IJ374" s="770"/>
      <c r="IK374" s="770"/>
      <c r="IL374" s="770"/>
      <c r="IM374" s="770"/>
      <c r="IN374" s="770"/>
      <c r="IO374" s="296"/>
      <c r="IP374" s="770"/>
      <c r="IQ374" s="770"/>
      <c r="IR374" s="770"/>
      <c r="IS374" s="770"/>
      <c r="IT374" s="770"/>
      <c r="IU374" s="770"/>
      <c r="IV374" s="770"/>
      <c r="IW374" s="770"/>
      <c r="IX374" s="770"/>
      <c r="IY374" s="770"/>
      <c r="IZ374" s="770"/>
      <c r="JA374" s="770"/>
      <c r="JB374" s="770"/>
      <c r="JC374" s="770"/>
      <c r="JD374" s="302"/>
      <c r="JE374" s="770"/>
      <c r="JF374" s="770"/>
      <c r="JG374" s="770"/>
      <c r="JH374" s="770"/>
      <c r="JI374" s="770"/>
      <c r="JJ374" s="770"/>
      <c r="JK374" s="770"/>
      <c r="JL374" s="770"/>
      <c r="JM374" s="770"/>
      <c r="JN374" s="770"/>
      <c r="JO374" s="770"/>
      <c r="JP374" s="770"/>
      <c r="JQ374" s="770"/>
      <c r="JR374" s="770"/>
      <c r="JS374" s="770"/>
      <c r="JT374" s="766"/>
      <c r="JU374" s="766"/>
      <c r="JV374" s="766"/>
      <c r="JW374" s="766"/>
      <c r="JX374" s="770"/>
      <c r="JY374" s="770"/>
      <c r="JZ374" s="770"/>
      <c r="KA374" s="770"/>
      <c r="KB374" s="770"/>
      <c r="KC374" s="770"/>
      <c r="KD374" s="770"/>
      <c r="KE374" s="770"/>
      <c r="KF374" s="770"/>
      <c r="KG374" s="770"/>
      <c r="KH374" s="770"/>
      <c r="KI374" s="770"/>
      <c r="KJ374" s="770"/>
      <c r="KK374" s="770"/>
      <c r="KL374" s="770"/>
      <c r="KM374" s="770"/>
      <c r="KN374" s="770"/>
      <c r="KO374" s="770"/>
      <c r="KP374" s="770"/>
      <c r="KQ374" s="770"/>
      <c r="KR374" s="770"/>
      <c r="KS374" s="770"/>
      <c r="KT374" s="770"/>
      <c r="KU374" s="770"/>
      <c r="KV374" s="770"/>
      <c r="KW374" s="770"/>
      <c r="KX374" s="770"/>
      <c r="KY374" s="770"/>
      <c r="KZ374" s="770"/>
      <c r="LA374" s="770"/>
      <c r="LB374" s="770"/>
      <c r="LC374" s="770"/>
      <c r="LD374" s="770"/>
      <c r="LE374" s="770"/>
      <c r="LF374" s="770"/>
      <c r="LG374" s="770"/>
      <c r="LH374" s="770"/>
      <c r="LI374" s="770"/>
      <c r="LJ374" s="770"/>
      <c r="LK374" s="770"/>
      <c r="LL374" s="770"/>
      <c r="LM374" s="770"/>
      <c r="LN374" s="766"/>
      <c r="LO374" s="766"/>
      <c r="LP374" s="770"/>
      <c r="LQ374" s="770"/>
      <c r="LR374" s="770"/>
      <c r="LS374" s="770"/>
      <c r="LT374" s="770"/>
      <c r="LU374" s="770"/>
      <c r="LV374" s="770"/>
      <c r="LW374" s="770"/>
      <c r="LX374" s="769"/>
      <c r="LY374" s="766" t="str">
        <f t="shared" si="100"/>
        <v/>
      </c>
      <c r="LZ374" s="299"/>
      <c r="MA374" s="306"/>
      <c r="MB374" s="306"/>
      <c r="MC374" s="1679">
        <f t="shared" si="99"/>
        <v>0</v>
      </c>
      <c r="MD374" s="306"/>
      <c r="ME374" s="306"/>
      <c r="MF374" s="306"/>
      <c r="MG374" s="1680">
        <f t="shared" si="97"/>
        <v>0</v>
      </c>
      <c r="MH374" s="770"/>
      <c r="MI374" s="302"/>
      <c r="MJ374" s="302"/>
      <c r="MK374" s="302"/>
      <c r="ML374" s="302"/>
      <c r="MM374" s="302"/>
      <c r="MN374" s="302"/>
      <c r="MO374" s="302"/>
      <c r="MP374" s="302"/>
      <c r="MQ374" s="302"/>
      <c r="MR374" s="302"/>
      <c r="MS374" s="302"/>
      <c r="MT374" s="302"/>
      <c r="MU374" s="302"/>
      <c r="MV374" s="302"/>
      <c r="MW374" s="302"/>
      <c r="MX374" s="302"/>
      <c r="MY374" s="1682">
        <f t="shared" si="98"/>
        <v>0</v>
      </c>
      <c r="MZ374" s="770"/>
      <c r="NA374" s="770"/>
      <c r="NB374" s="770"/>
      <c r="NC374" s="770"/>
      <c r="ND374" s="770"/>
      <c r="NE374" s="770"/>
      <c r="NF374" s="770"/>
      <c r="NG374" s="770"/>
      <c r="NH374" s="770"/>
      <c r="NI374" s="770"/>
      <c r="NJ374" s="770"/>
      <c r="NK374" s="770"/>
      <c r="NL374" s="770"/>
      <c r="NM374" s="770"/>
      <c r="NN374" s="770"/>
      <c r="NO374" s="770"/>
      <c r="NP374" s="770"/>
      <c r="NQ374" s="770"/>
      <c r="NR374" s="770"/>
      <c r="NS374" s="770"/>
      <c r="NT374" s="770"/>
      <c r="NU374" s="770"/>
      <c r="NV374" s="770"/>
      <c r="NW374" s="770"/>
      <c r="NX374" s="770"/>
      <c r="NY374" s="770"/>
      <c r="NZ374" s="770"/>
      <c r="OA374" s="770"/>
      <c r="OB374" s="770"/>
      <c r="OC374" s="770"/>
      <c r="OD374" s="770"/>
      <c r="OE374" s="770"/>
      <c r="OF374" s="770"/>
      <c r="OG374" s="770"/>
      <c r="OH374" s="770"/>
      <c r="OI374" s="770"/>
      <c r="OJ374" s="770"/>
      <c r="OK374" s="770"/>
      <c r="OL374" s="770"/>
      <c r="OM374" s="770"/>
      <c r="ON374" s="770"/>
      <c r="OO374" s="770"/>
      <c r="OP374" s="770"/>
      <c r="OQ374" s="770"/>
      <c r="OR374" s="770"/>
      <c r="OS374" s="770"/>
      <c r="OT374" s="770"/>
      <c r="OU374" s="770"/>
      <c r="OV374" s="770"/>
      <c r="OW374" s="770"/>
      <c r="OX374" s="770"/>
      <c r="OY374" s="770"/>
      <c r="OZ374" s="770"/>
      <c r="PA374" s="770"/>
      <c r="PB374" s="770"/>
      <c r="PC374" s="770"/>
      <c r="PD374" s="770"/>
      <c r="PE374" s="770"/>
      <c r="PF374" s="770"/>
      <c r="PG374" s="770"/>
      <c r="PH374" s="770"/>
      <c r="PI374" s="770"/>
      <c r="PJ374" s="770"/>
      <c r="PK374" s="770"/>
      <c r="PL374" s="770"/>
      <c r="PM374" s="770"/>
      <c r="PN374" s="770"/>
      <c r="PO374" s="770"/>
      <c r="PP374" s="770"/>
      <c r="PQ374" s="770"/>
      <c r="PR374" s="770"/>
      <c r="PS374" s="770"/>
      <c r="PT374" s="770"/>
      <c r="PU374" s="770"/>
      <c r="PV374" s="770"/>
      <c r="PW374" s="770"/>
      <c r="PX374" s="770"/>
      <c r="PY374" s="770"/>
      <c r="PZ374" s="770"/>
      <c r="QA374" s="770"/>
      <c r="QB374" s="770"/>
      <c r="QC374" s="770"/>
      <c r="QD374" s="770"/>
      <c r="QE374" s="770"/>
      <c r="QF374" s="770"/>
      <c r="QG374" s="770"/>
      <c r="QH374" s="770"/>
      <c r="QI374" s="770"/>
      <c r="QJ374" s="770"/>
      <c r="QK374" s="770"/>
      <c r="QL374" s="770"/>
      <c r="QM374" s="770"/>
      <c r="QN374" s="770"/>
      <c r="QO374" s="770"/>
      <c r="QP374" s="770"/>
      <c r="QQ374" s="770"/>
      <c r="QR374" s="770"/>
      <c r="QS374" s="770"/>
      <c r="QT374" s="770"/>
      <c r="QU374" s="770"/>
      <c r="QV374" s="770"/>
      <c r="QW374" s="770"/>
      <c r="QX374" s="770"/>
      <c r="QY374" s="770"/>
      <c r="QZ374" s="770"/>
      <c r="RA374" s="770"/>
      <c r="RB374" s="770"/>
      <c r="RC374" s="770"/>
      <c r="RD374" s="770"/>
      <c r="RE374" s="770"/>
      <c r="RF374" s="304"/>
      <c r="RG374" s="770"/>
      <c r="RH374" s="302"/>
      <c r="RI374" s="770"/>
      <c r="RJ374" s="770" t="s">
        <v>13498</v>
      </c>
      <c r="RK374" s="770" t="s">
        <v>13401</v>
      </c>
      <c r="RL374" s="1710" t="s">
        <v>1604</v>
      </c>
      <c r="RN374" s="1711"/>
      <c r="RO374" s="148" t="s">
        <v>636</v>
      </c>
      <c r="RR374" s="766"/>
      <c r="RS374" s="770"/>
      <c r="RV374" s="766" t="s">
        <v>7419</v>
      </c>
      <c r="RW374" s="12" t="s">
        <v>7658</v>
      </c>
      <c r="RX374" s="12" t="s">
        <v>635</v>
      </c>
      <c r="RZ374" s="12" t="s">
        <v>2209</v>
      </c>
      <c r="SA374" s="766"/>
    </row>
    <row r="375" spans="1:497" ht="12.75" hidden="1" customHeight="1">
      <c r="A375" s="154" t="s">
        <v>7419</v>
      </c>
      <c r="B375" s="292" t="s">
        <v>7549</v>
      </c>
      <c r="C375" s="140" t="s">
        <v>640</v>
      </c>
      <c r="D375" s="94" t="s">
        <v>2014</v>
      </c>
      <c r="E375" s="770" t="s">
        <v>638</v>
      </c>
      <c r="F375" s="770" t="s">
        <v>28</v>
      </c>
      <c r="G375" s="770" t="s">
        <v>10</v>
      </c>
      <c r="H375" s="94"/>
      <c r="I375" s="295" t="s">
        <v>1667</v>
      </c>
      <c r="J375" s="94" t="s">
        <v>2014</v>
      </c>
      <c r="K375" s="770"/>
      <c r="L375" s="770"/>
      <c r="M375" s="770"/>
      <c r="N375" s="770"/>
      <c r="O375" s="770"/>
      <c r="P375" s="770"/>
      <c r="Q375" s="1088"/>
      <c r="R375" s="297"/>
      <c r="S375" s="770"/>
      <c r="T375" s="770"/>
      <c r="U375" s="298"/>
      <c r="V375" s="770"/>
      <c r="W375" s="770"/>
      <c r="X375" s="296"/>
      <c r="Y375" s="770"/>
      <c r="Z375" s="770"/>
      <c r="AA375" s="770"/>
      <c r="AB375" s="770"/>
      <c r="AC375" s="770"/>
      <c r="AD375" s="770"/>
      <c r="AE375" s="770"/>
      <c r="AF375" s="770"/>
      <c r="AG375" s="766" t="s">
        <v>1095</v>
      </c>
      <c r="AH375" s="766" t="s">
        <v>1096</v>
      </c>
      <c r="AI375" s="770" t="s">
        <v>643</v>
      </c>
      <c r="AJ375" s="770"/>
      <c r="AK375" s="766" t="s">
        <v>1097</v>
      </c>
      <c r="AL375" s="299">
        <v>17.414999999999999</v>
      </c>
      <c r="AM375" s="300">
        <v>17.414999999999999</v>
      </c>
      <c r="AN375" s="301">
        <v>1</v>
      </c>
      <c r="AO375" s="766" t="s">
        <v>1122</v>
      </c>
      <c r="AP375" s="766"/>
      <c r="AQ375" s="766"/>
      <c r="AR375" s="766"/>
      <c r="AS375" s="770" t="s">
        <v>1207</v>
      </c>
      <c r="AT375" s="770"/>
      <c r="AU375" s="770"/>
      <c r="AV375" s="770" t="s">
        <v>1208</v>
      </c>
      <c r="AW375" s="770"/>
      <c r="AX375" s="770"/>
      <c r="AY375" s="770"/>
      <c r="AZ375" s="770"/>
      <c r="BA375" s="770"/>
      <c r="BB375" s="770"/>
      <c r="BC375" s="770" t="s">
        <v>796</v>
      </c>
      <c r="BD375" s="770" t="s">
        <v>1207</v>
      </c>
      <c r="BE375" s="770"/>
      <c r="BF375" s="302"/>
      <c r="BG375" s="302"/>
      <c r="BH375" s="770"/>
      <c r="BI375" s="770"/>
      <c r="BJ375" s="770"/>
      <c r="BK375" s="770" t="s">
        <v>1095</v>
      </c>
      <c r="BL375" s="770" t="s">
        <v>643</v>
      </c>
      <c r="BM375" s="766" t="s">
        <v>1096</v>
      </c>
      <c r="BN375" s="770" t="s">
        <v>1230</v>
      </c>
      <c r="BO375" s="766" t="s">
        <v>1246</v>
      </c>
      <c r="BP375" s="780">
        <v>17.414999999999999</v>
      </c>
      <c r="BQ375" s="780">
        <v>17.414999999999999</v>
      </c>
      <c r="BR375" s="774">
        <f>BQ375/BP375</f>
        <v>1</v>
      </c>
      <c r="BS375" s="766" t="s">
        <v>1257</v>
      </c>
      <c r="BT375" s="766" t="s">
        <v>2040</v>
      </c>
      <c r="BU375" s="766" t="s">
        <v>1267</v>
      </c>
      <c r="BV375" s="770" t="s">
        <v>1247</v>
      </c>
      <c r="BW375" s="769"/>
      <c r="BX375" s="302"/>
      <c r="BY375" s="303"/>
      <c r="BZ375" s="770"/>
      <c r="CA375" s="302"/>
      <c r="CB375" s="302" t="s">
        <v>1207</v>
      </c>
      <c r="CC375" s="770" t="s">
        <v>643</v>
      </c>
      <c r="CD375" s="770"/>
      <c r="CE375" s="770"/>
      <c r="CF375" s="304">
        <v>1.65</v>
      </c>
      <c r="CG375" s="321">
        <v>8.5</v>
      </c>
      <c r="CH375" s="770" t="s">
        <v>1576</v>
      </c>
      <c r="CI375" s="770"/>
      <c r="CJ375" s="770" t="s">
        <v>1577</v>
      </c>
      <c r="CK375" s="770">
        <v>2</v>
      </c>
      <c r="CL375" s="770" t="s">
        <v>1240</v>
      </c>
      <c r="CM375" s="770" t="s">
        <v>5679</v>
      </c>
      <c r="CN375" s="770"/>
      <c r="CO375" s="770"/>
      <c r="CP375" s="770"/>
      <c r="CQ375" s="770"/>
      <c r="CR375" s="770"/>
      <c r="CS375" s="302" t="s">
        <v>1578</v>
      </c>
      <c r="CT375" s="770"/>
      <c r="CU375" s="305">
        <v>2</v>
      </c>
      <c r="CV375" s="770">
        <v>4</v>
      </c>
      <c r="CW375" s="770" t="s">
        <v>1579</v>
      </c>
      <c r="CX375" s="770"/>
      <c r="CY375" s="770"/>
      <c r="CZ375" s="770"/>
      <c r="DA375" s="306"/>
      <c r="DB375" s="770"/>
      <c r="DC375" s="770"/>
      <c r="DD375" s="770"/>
      <c r="DE375" s="300"/>
      <c r="DF375" s="770"/>
      <c r="DG375" s="770"/>
      <c r="DH375" s="770"/>
      <c r="DI375" s="770"/>
      <c r="DJ375" s="770"/>
      <c r="DK375" s="770"/>
      <c r="DL375" s="770"/>
      <c r="DM375" s="770"/>
      <c r="DN375" s="322"/>
      <c r="DO375" s="770"/>
      <c r="DP375" s="770"/>
      <c r="DQ375" s="770"/>
      <c r="DR375" s="770"/>
      <c r="DS375" s="307"/>
      <c r="DT375" s="770"/>
      <c r="DU375" s="770"/>
      <c r="DV375" s="770"/>
      <c r="DW375" s="306"/>
      <c r="DX375" s="306"/>
      <c r="DY375" s="770"/>
      <c r="DZ375" s="770"/>
      <c r="EA375" s="770"/>
      <c r="EB375" s="770"/>
      <c r="EC375" s="770"/>
      <c r="ED375" s="770"/>
      <c r="EE375" s="770"/>
      <c r="EF375" s="770"/>
      <c r="EG375" s="770"/>
      <c r="EH375" s="770"/>
      <c r="EI375" s="770"/>
      <c r="EJ375" s="770"/>
      <c r="EK375" s="770"/>
      <c r="EL375" s="770"/>
      <c r="EM375" s="770"/>
      <c r="EN375" s="770"/>
      <c r="EO375" s="770"/>
      <c r="EP375" s="94"/>
      <c r="EQ375" s="770"/>
      <c r="ER375" s="770"/>
      <c r="ES375" s="770"/>
      <c r="ET375" s="770"/>
      <c r="EU375" s="770"/>
      <c r="EV375" s="770"/>
      <c r="EW375" s="770"/>
      <c r="EX375" s="770"/>
      <c r="EY375" s="770"/>
      <c r="EZ375" s="770" t="s">
        <v>643</v>
      </c>
      <c r="FA375" s="770"/>
      <c r="FB375" s="770" t="s">
        <v>1257</v>
      </c>
      <c r="FC375" s="770"/>
      <c r="FD375" s="302" t="s">
        <v>1580</v>
      </c>
      <c r="FE375" s="770" t="s">
        <v>1581</v>
      </c>
      <c r="FF375" s="770"/>
      <c r="FG375" s="770"/>
      <c r="FH375" s="770" t="s">
        <v>478</v>
      </c>
      <c r="FI375" s="770">
        <v>1</v>
      </c>
      <c r="FJ375" s="770"/>
      <c r="FK375" s="770"/>
      <c r="FL375" s="770"/>
      <c r="FM375" s="775"/>
      <c r="FN375" s="302"/>
      <c r="FO375" s="302"/>
      <c r="FP375" s="770"/>
      <c r="FQ375" s="770"/>
      <c r="FR375" s="770"/>
      <c r="FS375" s="770"/>
      <c r="FT375" s="770"/>
      <c r="FU375" s="770"/>
      <c r="FV375" s="770"/>
      <c r="FW375" s="770"/>
      <c r="FX375" s="770"/>
      <c r="FY375" s="770"/>
      <c r="FZ375" s="770"/>
      <c r="GA375" s="770"/>
      <c r="GB375" s="770"/>
      <c r="GC375" s="308"/>
      <c r="GD375" s="297"/>
      <c r="GE375" s="770"/>
      <c r="GF375" s="302"/>
      <c r="GG375" s="302"/>
      <c r="GH375" s="770"/>
      <c r="GI375" s="770"/>
      <c r="GJ375" s="770"/>
      <c r="GK375" s="770"/>
      <c r="GL375" s="770"/>
      <c r="GM375" s="770"/>
      <c r="GN375" s="309"/>
      <c r="GO375" s="770"/>
      <c r="GP375" s="770"/>
      <c r="GQ375" s="770"/>
      <c r="GR375" s="770"/>
      <c r="GS375" s="770"/>
      <c r="GT375" s="770"/>
      <c r="GU375" s="770"/>
      <c r="GV375" s="770"/>
      <c r="GW375" s="770"/>
      <c r="GX375" s="770"/>
      <c r="GY375" s="770"/>
      <c r="GZ375" s="770"/>
      <c r="HA375" s="770"/>
      <c r="HB375" s="770"/>
      <c r="HC375" s="770"/>
      <c r="HD375" s="770"/>
      <c r="HE375" s="770"/>
      <c r="HF375" s="770"/>
      <c r="HG375" s="770"/>
      <c r="HH375" s="770"/>
      <c r="HI375" s="770"/>
      <c r="HJ375" s="770"/>
      <c r="HK375" s="770"/>
      <c r="HL375" s="770"/>
      <c r="HM375" s="770"/>
      <c r="HN375" s="770"/>
      <c r="HO375" s="770"/>
      <c r="HP375" s="770"/>
      <c r="HQ375" s="770"/>
      <c r="HR375" s="770"/>
      <c r="HS375" s="770"/>
      <c r="HT375" s="770"/>
      <c r="HU375" s="770"/>
      <c r="HV375" s="770"/>
      <c r="HW375" s="770"/>
      <c r="HX375" s="770"/>
      <c r="HY375" s="770"/>
      <c r="HZ375" s="770"/>
      <c r="IA375" s="770"/>
      <c r="IB375" s="14" t="e">
        <f>IF(#REF!&gt;0,IF(#REF!&lt;=10000,"Y",""),"")</f>
        <v>#REF!</v>
      </c>
      <c r="IC375" s="770"/>
      <c r="ID375" s="770"/>
      <c r="IE375" s="770"/>
      <c r="IF375" s="770" t="s">
        <v>2014</v>
      </c>
      <c r="IG375" s="770" t="s">
        <v>10</v>
      </c>
      <c r="IH375" s="770" t="s">
        <v>478</v>
      </c>
      <c r="II375" s="770" t="s">
        <v>5672</v>
      </c>
      <c r="IJ375" s="766" t="s">
        <v>1604</v>
      </c>
      <c r="IK375" s="766" t="s">
        <v>1888</v>
      </c>
      <c r="IL375" s="770" t="s">
        <v>643</v>
      </c>
      <c r="IM375" s="770">
        <v>2014</v>
      </c>
      <c r="IN375" s="770" t="s">
        <v>643</v>
      </c>
      <c r="IO375" s="296">
        <v>21226</v>
      </c>
      <c r="IP375" s="770"/>
      <c r="IQ375" s="769" t="s">
        <v>5498</v>
      </c>
      <c r="IR375" s="770" t="s">
        <v>2716</v>
      </c>
      <c r="IS375" s="770" t="s">
        <v>1917</v>
      </c>
      <c r="IT375" s="770" t="s">
        <v>1208</v>
      </c>
      <c r="IU375" s="770"/>
      <c r="IV375" s="770"/>
      <c r="IW375" s="770"/>
      <c r="IX375" s="770"/>
      <c r="IY375" s="770"/>
      <c r="IZ375" s="770"/>
      <c r="JA375" s="770"/>
      <c r="JB375" s="770"/>
      <c r="JC375" s="770"/>
      <c r="JD375" s="302">
        <v>1500</v>
      </c>
      <c r="JE375" s="770"/>
      <c r="JF375" s="770"/>
      <c r="JG375" s="770"/>
      <c r="JH375" s="770"/>
      <c r="JI375" s="770"/>
      <c r="JJ375" s="770"/>
      <c r="JK375" s="770"/>
      <c r="JL375" s="770"/>
      <c r="JM375" s="770"/>
      <c r="JN375" s="770"/>
      <c r="JO375" s="770"/>
      <c r="JP375" s="770"/>
      <c r="JQ375" s="770"/>
      <c r="JR375" s="770"/>
      <c r="JS375" s="770"/>
      <c r="JT375" s="766"/>
      <c r="JU375" s="766"/>
      <c r="JV375" s="766"/>
      <c r="JW375" s="766"/>
      <c r="JX375" s="770"/>
      <c r="JY375" s="770"/>
      <c r="JZ375" s="770"/>
      <c r="KA375" s="770"/>
      <c r="KB375" s="770"/>
      <c r="KC375" s="770"/>
      <c r="KD375" s="770"/>
      <c r="KE375" s="770"/>
      <c r="KF375" s="770"/>
      <c r="KG375" s="770"/>
      <c r="KH375" s="770"/>
      <c r="KI375" s="770"/>
      <c r="KJ375" s="770"/>
      <c r="KK375" s="770"/>
      <c r="KL375" s="770"/>
      <c r="KM375" s="770"/>
      <c r="KN375" s="770"/>
      <c r="KO375" s="770"/>
      <c r="KP375" s="770"/>
      <c r="KQ375" s="770"/>
      <c r="KR375" s="770"/>
      <c r="KS375" s="770"/>
      <c r="KT375" s="770"/>
      <c r="KU375" s="770"/>
      <c r="KV375" s="770"/>
      <c r="KW375" s="770"/>
      <c r="KX375" s="770"/>
      <c r="KY375" s="770"/>
      <c r="KZ375" s="770"/>
      <c r="LA375" s="770"/>
      <c r="LB375" s="770"/>
      <c r="LC375" s="770"/>
      <c r="LD375" s="770"/>
      <c r="LE375" s="770"/>
      <c r="LF375" s="770"/>
      <c r="LG375" s="770"/>
      <c r="LH375" s="770"/>
      <c r="LI375" s="770"/>
      <c r="LJ375" s="770"/>
      <c r="LK375" s="770"/>
      <c r="LL375" s="770"/>
      <c r="LM375" s="770"/>
      <c r="LN375" s="766"/>
      <c r="LO375" s="766"/>
      <c r="LP375" s="770"/>
      <c r="LQ375" s="770"/>
      <c r="LR375" s="770"/>
      <c r="LS375" s="770"/>
      <c r="LT375" s="770"/>
      <c r="LU375" s="770"/>
      <c r="LV375" s="770"/>
      <c r="LW375" s="770"/>
      <c r="LX375" s="769"/>
      <c r="LY375" s="766" t="str">
        <f t="shared" si="100"/>
        <v/>
      </c>
      <c r="LZ375" s="299"/>
      <c r="MA375" s="306"/>
      <c r="MB375" s="306"/>
      <c r="MC375" s="1679">
        <f t="shared" si="99"/>
        <v>0</v>
      </c>
      <c r="MD375" s="306"/>
      <c r="ME375" s="306"/>
      <c r="MF375" s="306"/>
      <c r="MG375" s="1680">
        <f t="shared" si="97"/>
        <v>0</v>
      </c>
      <c r="MH375" s="770"/>
      <c r="MI375" s="302"/>
      <c r="MJ375" s="302"/>
      <c r="MK375" s="302"/>
      <c r="ML375" s="302"/>
      <c r="MM375" s="302"/>
      <c r="MN375" s="302"/>
      <c r="MO375" s="302"/>
      <c r="MP375" s="302"/>
      <c r="MQ375" s="302"/>
      <c r="MR375" s="302"/>
      <c r="MS375" s="302"/>
      <c r="MT375" s="302"/>
      <c r="MU375" s="302"/>
      <c r="MV375" s="302"/>
      <c r="MW375" s="302"/>
      <c r="MX375" s="302"/>
      <c r="MY375" s="1682">
        <f t="shared" si="98"/>
        <v>0</v>
      </c>
      <c r="MZ375" s="770"/>
      <c r="NA375" s="770"/>
      <c r="NB375" s="770"/>
      <c r="NC375" s="770"/>
      <c r="ND375" s="770"/>
      <c r="NE375" s="770"/>
      <c r="NF375" s="770"/>
      <c r="NG375" s="770"/>
      <c r="NH375" s="770"/>
      <c r="NI375" s="770"/>
      <c r="NJ375" s="770"/>
      <c r="NK375" s="770"/>
      <c r="NL375" s="770"/>
      <c r="NM375" s="770"/>
      <c r="NN375" s="770"/>
      <c r="NO375" s="770"/>
      <c r="NP375" s="770"/>
      <c r="NQ375" s="770"/>
      <c r="NR375" s="770"/>
      <c r="NS375" s="770"/>
      <c r="NT375" s="770"/>
      <c r="NU375" s="770"/>
      <c r="NV375" s="770"/>
      <c r="NW375" s="770"/>
      <c r="NX375" s="770"/>
      <c r="NY375" s="770"/>
      <c r="NZ375" s="770"/>
      <c r="OA375" s="770"/>
      <c r="OB375" s="770"/>
      <c r="OC375" s="770"/>
      <c r="OD375" s="770"/>
      <c r="OE375" s="770"/>
      <c r="OF375" s="770"/>
      <c r="OG375" s="770"/>
      <c r="OH375" s="770"/>
      <c r="OI375" s="770"/>
      <c r="OJ375" s="770"/>
      <c r="OK375" s="770"/>
      <c r="OL375" s="770"/>
      <c r="OM375" s="770"/>
      <c r="ON375" s="770"/>
      <c r="OO375" s="770"/>
      <c r="OP375" s="770"/>
      <c r="OQ375" s="770"/>
      <c r="OR375" s="770"/>
      <c r="OS375" s="770"/>
      <c r="OT375" s="770"/>
      <c r="OU375" s="770"/>
      <c r="OV375" s="770"/>
      <c r="OW375" s="770"/>
      <c r="OX375" s="770"/>
      <c r="OY375" s="770"/>
      <c r="OZ375" s="770"/>
      <c r="PA375" s="770"/>
      <c r="PB375" s="770"/>
      <c r="PC375" s="770"/>
      <c r="PD375" s="770"/>
      <c r="PE375" s="770"/>
      <c r="PF375" s="770"/>
      <c r="PG375" s="770"/>
      <c r="PH375" s="770"/>
      <c r="PI375" s="770"/>
      <c r="PJ375" s="770"/>
      <c r="PK375" s="770"/>
      <c r="PL375" s="770"/>
      <c r="PM375" s="770"/>
      <c r="PN375" s="770"/>
      <c r="PO375" s="770"/>
      <c r="PP375" s="770"/>
      <c r="PQ375" s="770"/>
      <c r="PR375" s="770"/>
      <c r="PS375" s="770"/>
      <c r="PT375" s="770"/>
      <c r="PU375" s="770"/>
      <c r="PV375" s="770"/>
      <c r="PW375" s="770"/>
      <c r="PX375" s="770"/>
      <c r="PY375" s="770"/>
      <c r="PZ375" s="770"/>
      <c r="QA375" s="770"/>
      <c r="QB375" s="770"/>
      <c r="QC375" s="770"/>
      <c r="QD375" s="770"/>
      <c r="QE375" s="770"/>
      <c r="QF375" s="770"/>
      <c r="QG375" s="770"/>
      <c r="QH375" s="770"/>
      <c r="QI375" s="770"/>
      <c r="QJ375" s="770"/>
      <c r="QK375" s="770"/>
      <c r="QL375" s="770"/>
      <c r="QM375" s="770"/>
      <c r="QN375" s="770"/>
      <c r="QO375" s="770"/>
      <c r="QP375" s="770"/>
      <c r="QQ375" s="770"/>
      <c r="QR375" s="770"/>
      <c r="QS375" s="770"/>
      <c r="QT375" s="770"/>
      <c r="QU375" s="770"/>
      <c r="QV375" s="770"/>
      <c r="QW375" s="770"/>
      <c r="QX375" s="770"/>
      <c r="QY375" s="770"/>
      <c r="QZ375" s="770"/>
      <c r="RA375" s="770"/>
      <c r="RB375" s="770"/>
      <c r="RC375" s="770"/>
      <c r="RD375" s="770"/>
      <c r="RE375" s="770"/>
      <c r="RF375" s="304"/>
      <c r="RG375" s="770"/>
      <c r="RH375" s="302"/>
      <c r="RI375" s="770"/>
      <c r="RJ375" s="770" t="s">
        <v>643</v>
      </c>
      <c r="RK375" s="770" t="s">
        <v>13401</v>
      </c>
      <c r="RL375" s="1710"/>
      <c r="RM375" s="12"/>
      <c r="RN375" s="1711"/>
      <c r="RO375" s="140" t="s">
        <v>640</v>
      </c>
      <c r="RP375" s="11"/>
      <c r="RQ375" s="11"/>
      <c r="RR375" s="771"/>
      <c r="RS375" s="767"/>
      <c r="RT375" s="11"/>
      <c r="RU375" s="11"/>
      <c r="RV375" s="771" t="s">
        <v>12458</v>
      </c>
      <c r="RW375" s="11" t="s">
        <v>5671</v>
      </c>
      <c r="RX375" s="11" t="s">
        <v>635</v>
      </c>
      <c r="RY375" s="11"/>
      <c r="RZ375" s="11" t="s">
        <v>2209</v>
      </c>
      <c r="SA375" s="771"/>
      <c r="SB375" s="11"/>
      <c r="SC375" s="11"/>
    </row>
    <row r="376" spans="1:497" ht="12.75" hidden="1" customHeight="1" thickBot="1">
      <c r="A376" s="154" t="s">
        <v>14187</v>
      </c>
      <c r="B376" s="292" t="s">
        <v>5678</v>
      </c>
      <c r="C376" s="140" t="s">
        <v>640</v>
      </c>
      <c r="D376" s="94" t="s">
        <v>641</v>
      </c>
      <c r="E376" s="766" t="s">
        <v>622</v>
      </c>
      <c r="F376" s="770" t="s">
        <v>28</v>
      </c>
      <c r="G376" s="770" t="s">
        <v>10</v>
      </c>
      <c r="H376" s="770"/>
      <c r="I376" s="295" t="s">
        <v>5680</v>
      </c>
      <c r="J376" s="94" t="s">
        <v>641</v>
      </c>
      <c r="K376" s="770"/>
      <c r="L376" s="770"/>
      <c r="M376" s="770"/>
      <c r="N376" s="770"/>
      <c r="O376" s="770"/>
      <c r="P376" s="94" t="s">
        <v>1056</v>
      </c>
      <c r="Q376" s="1088">
        <v>24950</v>
      </c>
      <c r="R376" s="297">
        <v>48</v>
      </c>
      <c r="S376" s="770" t="s">
        <v>10</v>
      </c>
      <c r="T376" s="770"/>
      <c r="U376" s="295" t="s">
        <v>5680</v>
      </c>
      <c r="V376" s="770" t="s">
        <v>722</v>
      </c>
      <c r="W376" s="770"/>
      <c r="X376" s="296"/>
      <c r="Y376" s="770" t="s">
        <v>622</v>
      </c>
      <c r="Z376" s="770" t="s">
        <v>1057</v>
      </c>
      <c r="AA376" s="770" t="s">
        <v>1058</v>
      </c>
      <c r="AB376" s="770" t="s">
        <v>7275</v>
      </c>
      <c r="AC376" s="770" t="s">
        <v>724</v>
      </c>
      <c r="AD376" s="770"/>
      <c r="AE376" s="770"/>
      <c r="AF376" s="770"/>
      <c r="AG376" s="770"/>
      <c r="AH376" s="770"/>
      <c r="AI376" s="770"/>
      <c r="AJ376" s="770"/>
      <c r="AK376" s="770" t="s">
        <v>1899</v>
      </c>
      <c r="AL376" s="299"/>
      <c r="AM376" s="300"/>
      <c r="AN376" s="301"/>
      <c r="AO376" s="766"/>
      <c r="AP376" s="766"/>
      <c r="AQ376" s="766"/>
      <c r="AR376" s="766"/>
      <c r="AS376" s="770"/>
      <c r="AT376" s="770"/>
      <c r="AU376" s="770"/>
      <c r="AV376" s="770"/>
      <c r="AW376" s="770"/>
      <c r="AX376" s="770"/>
      <c r="AY376" s="770"/>
      <c r="AZ376" s="770"/>
      <c r="BA376" s="770"/>
      <c r="BB376" s="770"/>
      <c r="BC376" s="770"/>
      <c r="BD376" s="770"/>
      <c r="BE376" s="770"/>
      <c r="BF376" s="302"/>
      <c r="BG376" s="302"/>
      <c r="BH376" s="770"/>
      <c r="BI376" s="770"/>
      <c r="BJ376" s="770"/>
      <c r="BK376" s="770"/>
      <c r="BL376" s="770"/>
      <c r="BM376" s="770" t="s">
        <v>1238</v>
      </c>
      <c r="BN376" s="770" t="s">
        <v>1256</v>
      </c>
      <c r="BO376" s="770"/>
      <c r="BP376" s="780"/>
      <c r="BQ376" s="772"/>
      <c r="BR376" s="774"/>
      <c r="BS376" s="766" t="s">
        <v>1257</v>
      </c>
      <c r="BT376" s="766"/>
      <c r="BU376" s="770"/>
      <c r="BV376" s="770"/>
      <c r="BW376" s="770"/>
      <c r="BX376" s="302"/>
      <c r="BY376" s="303"/>
      <c r="BZ376" s="770"/>
      <c r="CA376" s="302"/>
      <c r="CB376" s="302"/>
      <c r="CC376" s="770"/>
      <c r="CD376" s="770"/>
      <c r="CE376" s="770"/>
      <c r="CF376" s="770"/>
      <c r="CG376" s="770"/>
      <c r="CH376" s="770"/>
      <c r="CI376" s="770"/>
      <c r="CJ376" s="770"/>
      <c r="CK376" s="770"/>
      <c r="CL376" s="770"/>
      <c r="CM376" s="770"/>
      <c r="CN376" s="770"/>
      <c r="CO376" s="770"/>
      <c r="CP376" s="770"/>
      <c r="CQ376" s="770"/>
      <c r="CR376" s="770"/>
      <c r="CS376" s="302"/>
      <c r="CT376" s="770"/>
      <c r="CU376" s="305"/>
      <c r="CV376" s="770"/>
      <c r="CW376" s="770"/>
      <c r="CX376" s="770"/>
      <c r="CY376" s="770"/>
      <c r="CZ376" s="770"/>
      <c r="DA376" s="770"/>
      <c r="DB376" s="770"/>
      <c r="DC376" s="770"/>
      <c r="DD376" s="770"/>
      <c r="DE376" s="770"/>
      <c r="DF376" s="770"/>
      <c r="DG376" s="770"/>
      <c r="DH376" s="770"/>
      <c r="DI376" s="770"/>
      <c r="DJ376" s="770"/>
      <c r="DK376" s="770"/>
      <c r="DL376" s="770"/>
      <c r="DM376" s="770"/>
      <c r="DN376" s="770"/>
      <c r="DO376" s="770"/>
      <c r="DP376" s="770"/>
      <c r="DQ376" s="770"/>
      <c r="DR376" s="770"/>
      <c r="DS376" s="307"/>
      <c r="DT376" s="770"/>
      <c r="DU376" s="770"/>
      <c r="DV376" s="770"/>
      <c r="DW376" s="306"/>
      <c r="DX376" s="306"/>
      <c r="DY376" s="770"/>
      <c r="DZ376" s="770"/>
      <c r="EA376" s="770"/>
      <c r="EB376" s="770"/>
      <c r="EC376" s="770"/>
      <c r="ED376" s="770"/>
      <c r="EE376" s="770"/>
      <c r="EF376" s="770"/>
      <c r="EG376" s="770"/>
      <c r="EH376" s="770"/>
      <c r="EI376" s="770"/>
      <c r="EJ376" s="770"/>
      <c r="EK376" s="770"/>
      <c r="EL376" s="770"/>
      <c r="EM376" s="770"/>
      <c r="EN376" s="770"/>
      <c r="EO376" s="770"/>
      <c r="EP376" s="770"/>
      <c r="EQ376" s="770"/>
      <c r="ER376" s="770"/>
      <c r="ES376" s="770"/>
      <c r="ET376" s="770"/>
      <c r="EU376" s="770"/>
      <c r="EV376" s="770"/>
      <c r="EW376" s="770"/>
      <c r="EX376" s="770"/>
      <c r="EY376" s="770"/>
      <c r="EZ376" s="770"/>
      <c r="FA376" s="770"/>
      <c r="FB376" s="770"/>
      <c r="FC376" s="770"/>
      <c r="FD376" s="302"/>
      <c r="FE376" s="770"/>
      <c r="FF376" s="770"/>
      <c r="FG376" s="770"/>
      <c r="FH376" s="770" t="s">
        <v>1306</v>
      </c>
      <c r="FI376" s="770">
        <v>1</v>
      </c>
      <c r="FJ376" s="770" t="s">
        <v>643</v>
      </c>
      <c r="FK376" s="770" t="s">
        <v>1667</v>
      </c>
      <c r="FL376" s="770"/>
      <c r="FM376" s="147">
        <v>1500</v>
      </c>
      <c r="FN376" s="302">
        <v>400</v>
      </c>
      <c r="FO376" s="302">
        <v>700</v>
      </c>
      <c r="FP376" s="766" t="s">
        <v>1602</v>
      </c>
      <c r="FQ376" s="766" t="s">
        <v>1660</v>
      </c>
      <c r="FR376" s="770"/>
      <c r="FS376" s="770"/>
      <c r="FT376" s="770"/>
      <c r="FU376" s="770"/>
      <c r="FV376" s="770"/>
      <c r="FW376" s="770"/>
      <c r="FX376" s="770"/>
      <c r="FY376" s="770"/>
      <c r="FZ376" s="770"/>
      <c r="GA376" s="770"/>
      <c r="GB376" s="770"/>
      <c r="GC376" s="308"/>
      <c r="GD376" s="297"/>
      <c r="GE376" s="770"/>
      <c r="GF376" s="302"/>
      <c r="GG376" s="302"/>
      <c r="GH376" s="770"/>
      <c r="GI376" s="770"/>
      <c r="GJ376" s="770"/>
      <c r="GK376" s="770"/>
      <c r="GL376" s="770"/>
      <c r="GM376" s="770"/>
      <c r="GN376" s="309"/>
      <c r="GO376" s="770"/>
      <c r="GP376" s="770"/>
      <c r="GQ376" s="770"/>
      <c r="GR376" s="770"/>
      <c r="GS376" s="770"/>
      <c r="GT376" s="770"/>
      <c r="GU376" s="770"/>
      <c r="GV376" s="770"/>
      <c r="GW376" s="770"/>
      <c r="GX376" s="770"/>
      <c r="GY376" s="770"/>
      <c r="GZ376" s="770"/>
      <c r="HA376" s="770"/>
      <c r="HB376" s="770"/>
      <c r="HC376" s="770"/>
      <c r="HD376" s="770"/>
      <c r="HE376" s="770"/>
      <c r="HF376" s="770"/>
      <c r="HG376" s="770"/>
      <c r="HH376" s="770"/>
      <c r="HI376" s="770"/>
      <c r="HJ376" s="770"/>
      <c r="HK376" s="770"/>
      <c r="HL376" s="770"/>
      <c r="HM376" s="770"/>
      <c r="HN376" s="770"/>
      <c r="HO376" s="770"/>
      <c r="HP376" s="770"/>
      <c r="HQ376" s="770"/>
      <c r="HR376" s="770"/>
      <c r="HS376" s="770"/>
      <c r="HT376" s="770"/>
      <c r="HU376" s="770"/>
      <c r="HV376" s="770"/>
      <c r="HW376" s="770"/>
      <c r="HX376" s="770"/>
      <c r="HY376" s="770"/>
      <c r="HZ376" s="770"/>
      <c r="IA376" s="770"/>
      <c r="IB376" s="14" t="e">
        <f>IF(#REF!&gt;0,IF(#REF!&lt;=10000,"Y",""),"")</f>
        <v>#REF!</v>
      </c>
      <c r="IC376" s="770"/>
      <c r="ID376" s="770"/>
      <c r="IE376" s="770"/>
      <c r="IF376" s="770"/>
      <c r="IG376" s="770"/>
      <c r="IH376" s="770"/>
      <c r="II376" s="770"/>
      <c r="IJ376" s="770"/>
      <c r="IK376" s="770"/>
      <c r="IL376" s="770"/>
      <c r="IM376" s="770"/>
      <c r="IN376" s="770"/>
      <c r="IO376" s="296"/>
      <c r="IP376" s="770"/>
      <c r="IQ376" s="770"/>
      <c r="IR376" s="770"/>
      <c r="IS376" s="770"/>
      <c r="IT376" s="770"/>
      <c r="IU376" s="770"/>
      <c r="IV376" s="770"/>
      <c r="IW376" s="770"/>
      <c r="IX376" s="770"/>
      <c r="IY376" s="770"/>
      <c r="IZ376" s="770"/>
      <c r="JA376" s="770"/>
      <c r="JB376" s="770"/>
      <c r="JC376" s="770"/>
      <c r="JD376" s="302"/>
      <c r="JE376" s="770"/>
      <c r="JF376" s="770"/>
      <c r="JG376" s="770"/>
      <c r="JH376" s="770"/>
      <c r="JI376" s="712" t="str">
        <f>IF(SUM(JT376,JU376)=JJ376,"ok","review")</f>
        <v>ok</v>
      </c>
      <c r="JJ376" s="770">
        <v>4</v>
      </c>
      <c r="JK376" s="1139" t="s">
        <v>2121</v>
      </c>
      <c r="JL376" s="770">
        <v>1</v>
      </c>
      <c r="JM376" s="770">
        <v>1</v>
      </c>
      <c r="JN376" s="770">
        <v>1</v>
      </c>
      <c r="JO376" s="770">
        <v>1</v>
      </c>
      <c r="JP376" s="770"/>
      <c r="JQ376" s="770"/>
      <c r="JR376" s="770"/>
      <c r="JS376" s="770"/>
      <c r="JT376" s="766">
        <f>SUM(JP376,JN376,JL376,JR376)</f>
        <v>2</v>
      </c>
      <c r="JU376" s="766">
        <f>SUM(JQ376,JO376,JM376,JS376)</f>
        <v>2</v>
      </c>
      <c r="JV376" s="712" t="str">
        <f>IF(JT376=KJ376,"ok","male")</f>
        <v>ok</v>
      </c>
      <c r="JW376" s="712" t="str">
        <f>IF(JU376=KK376,"ok","female")</f>
        <v>ok</v>
      </c>
      <c r="JX376" s="770"/>
      <c r="JY376" s="770"/>
      <c r="JZ376" s="770">
        <v>1</v>
      </c>
      <c r="KA376" s="770">
        <v>1</v>
      </c>
      <c r="KB376" s="770"/>
      <c r="KC376" s="770"/>
      <c r="KD376" s="770">
        <v>1</v>
      </c>
      <c r="KE376" s="770">
        <v>1</v>
      </c>
      <c r="KF376" s="770"/>
      <c r="KG376" s="770"/>
      <c r="KH376" s="770"/>
      <c r="KI376" s="770"/>
      <c r="KJ376" s="770">
        <f>SUM(KF376,KD376,KB376,JZ376,JX376,KH376)</f>
        <v>2</v>
      </c>
      <c r="KK376" s="770">
        <f>SUM(KG376,KE376,KC376,KA376,JY376,KI376)</f>
        <v>2</v>
      </c>
      <c r="KL376" s="712" t="str">
        <f>IF(KJ376=LN376,"ok","male")</f>
        <v>ok</v>
      </c>
      <c r="KM376" s="712" t="str">
        <f>IF(KK376=LO376,"ok","female")</f>
        <v>ok</v>
      </c>
      <c r="KN376" s="770" t="s">
        <v>722</v>
      </c>
      <c r="KO376" s="770"/>
      <c r="KP376" s="770"/>
      <c r="KQ376" s="770"/>
      <c r="KR376" s="770"/>
      <c r="KS376" s="770"/>
      <c r="KT376" s="770">
        <v>1</v>
      </c>
      <c r="KU376" s="770">
        <v>1</v>
      </c>
      <c r="KV376" s="770"/>
      <c r="KW376" s="770"/>
      <c r="KX376" s="770"/>
      <c r="KY376" s="770"/>
      <c r="KZ376" s="770"/>
      <c r="LA376" s="770"/>
      <c r="LB376" s="770">
        <v>1</v>
      </c>
      <c r="LC376" s="770">
        <v>1</v>
      </c>
      <c r="LD376" s="770"/>
      <c r="LE376" s="770"/>
      <c r="LF376" s="770"/>
      <c r="LG376" s="770"/>
      <c r="LH376" s="770"/>
      <c r="LI376" s="770"/>
      <c r="LJ376" s="770"/>
      <c r="LK376" s="770"/>
      <c r="LL376" s="770"/>
      <c r="LM376" s="770"/>
      <c r="LN376" s="766">
        <f>SUM(KP376,KR376,KT376,KV376,KX376,KZ376,LB376,LD376,LF376,LH376,LJ376,LL376)</f>
        <v>2</v>
      </c>
      <c r="LO376" s="766">
        <f>SUM(KQ376,KS376,KU376,KW376,KY376,LA376,LC376,LE376,LG376,LI376,LK376,LM376)</f>
        <v>2</v>
      </c>
      <c r="LP376" s="770">
        <v>1</v>
      </c>
      <c r="LQ376" s="770">
        <v>1</v>
      </c>
      <c r="LR376" s="770"/>
      <c r="LS376" s="770"/>
      <c r="LT376" s="712" t="str">
        <f>IF(LQ376=SUM(LU376:LW376),"OK","REV")</f>
        <v>OK</v>
      </c>
      <c r="LU376" s="770">
        <v>1</v>
      </c>
      <c r="LV376" s="770"/>
      <c r="LW376" s="770"/>
      <c r="LX376" s="769">
        <v>2</v>
      </c>
      <c r="LY376" s="766" t="str">
        <f t="shared" si="100"/>
        <v>within the MUNICIPALITY</v>
      </c>
      <c r="LZ376" s="299">
        <f>50*20</f>
        <v>1000</v>
      </c>
      <c r="MA376" s="1709"/>
      <c r="MB376" s="1709"/>
      <c r="MC376" s="1679">
        <f t="shared" si="99"/>
        <v>1000</v>
      </c>
      <c r="MD376" s="1709">
        <f>SUM(10000,2000)</f>
        <v>12000</v>
      </c>
      <c r="ME376" s="1709"/>
      <c r="MF376" s="1709"/>
      <c r="MG376" s="1680">
        <f>SUM(MD376:MF376)</f>
        <v>12000</v>
      </c>
      <c r="MH376" s="770" t="s">
        <v>2224</v>
      </c>
      <c r="MI376" s="302">
        <v>6000</v>
      </c>
      <c r="MJ376" s="302">
        <v>1000</v>
      </c>
      <c r="MK376" s="302">
        <v>160</v>
      </c>
      <c r="ML376" s="302">
        <v>1000</v>
      </c>
      <c r="MM376" s="302">
        <v>1200</v>
      </c>
      <c r="MN376" s="302">
        <v>1500</v>
      </c>
      <c r="MO376" s="302">
        <v>50</v>
      </c>
      <c r="MP376" s="302">
        <v>700</v>
      </c>
      <c r="MQ376" s="302">
        <v>90</v>
      </c>
      <c r="MR376" s="302">
        <v>400</v>
      </c>
      <c r="MS376" s="302">
        <v>300</v>
      </c>
      <c r="MT376" s="302"/>
      <c r="MU376" s="302"/>
      <c r="MV376" s="302"/>
      <c r="MW376" s="302"/>
      <c r="MX376" s="302"/>
      <c r="MY376" s="1682">
        <f t="shared" si="98"/>
        <v>12400</v>
      </c>
      <c r="MZ376" s="770" t="s">
        <v>13370</v>
      </c>
      <c r="NA376" s="770" t="s">
        <v>13005</v>
      </c>
      <c r="NB376" s="770" t="s">
        <v>13164</v>
      </c>
      <c r="NC376" s="770" t="s">
        <v>13026</v>
      </c>
      <c r="ND376" s="770">
        <v>0</v>
      </c>
      <c r="NE376" s="770">
        <v>0</v>
      </c>
      <c r="NF376" s="770">
        <v>1</v>
      </c>
      <c r="NG376" s="770">
        <v>2</v>
      </c>
      <c r="NH376" s="770">
        <v>1</v>
      </c>
      <c r="NI376" s="770">
        <v>1</v>
      </c>
      <c r="NJ376" s="770">
        <v>1</v>
      </c>
      <c r="NK376" s="770">
        <v>0</v>
      </c>
      <c r="NL376" s="770">
        <v>1</v>
      </c>
      <c r="NM376" s="770">
        <v>1</v>
      </c>
      <c r="NN376" s="770">
        <v>0</v>
      </c>
      <c r="NO376" s="770">
        <v>0</v>
      </c>
      <c r="NP376" s="770">
        <v>0</v>
      </c>
      <c r="NQ376" s="770">
        <v>0</v>
      </c>
      <c r="NR376" s="770">
        <v>0</v>
      </c>
      <c r="NS376" s="770">
        <v>0</v>
      </c>
      <c r="NT376" s="770">
        <v>0</v>
      </c>
      <c r="NU376" s="770">
        <v>0</v>
      </c>
      <c r="NV376" s="770">
        <v>0</v>
      </c>
      <c r="NW376" s="770">
        <v>0</v>
      </c>
      <c r="NX376" s="770">
        <v>0</v>
      </c>
      <c r="NY376" s="770" t="s">
        <v>1208</v>
      </c>
      <c r="NZ376" s="770" t="s">
        <v>1208</v>
      </c>
      <c r="OA376" s="770" t="s">
        <v>1208</v>
      </c>
      <c r="OB376" s="770" t="s">
        <v>1208</v>
      </c>
      <c r="OC376" s="770" t="s">
        <v>1208</v>
      </c>
      <c r="OD376" s="770" t="s">
        <v>1208</v>
      </c>
      <c r="OE376" s="770"/>
      <c r="OF376" s="770"/>
      <c r="OG376" s="770"/>
      <c r="OH376" s="770"/>
      <c r="OI376" s="770"/>
      <c r="OJ376" s="770"/>
      <c r="OK376" s="770"/>
      <c r="OL376" s="770"/>
      <c r="OM376" s="770"/>
      <c r="ON376" s="770"/>
      <c r="OO376" s="770"/>
      <c r="OP376" s="770"/>
      <c r="OQ376" s="770"/>
      <c r="OR376" s="770"/>
      <c r="OS376" s="770"/>
      <c r="OT376" s="770"/>
      <c r="OU376" s="770"/>
      <c r="OV376" s="770"/>
      <c r="OW376" s="770"/>
      <c r="OX376" s="770"/>
      <c r="OY376" s="770"/>
      <c r="OZ376" s="770"/>
      <c r="PA376" s="770"/>
      <c r="PB376" s="770"/>
      <c r="PC376" s="770"/>
      <c r="PD376" s="770"/>
      <c r="PE376" s="770"/>
      <c r="PF376" s="770"/>
      <c r="PG376" s="770"/>
      <c r="PH376" s="770"/>
      <c r="PI376" s="770"/>
      <c r="PJ376" s="770"/>
      <c r="PK376" s="770" t="s">
        <v>1208</v>
      </c>
      <c r="PL376" s="770"/>
      <c r="PM376" s="770"/>
      <c r="PN376" s="770"/>
      <c r="PO376" s="770"/>
      <c r="PP376" s="770"/>
      <c r="PQ376" s="770"/>
      <c r="PR376" s="770"/>
      <c r="PS376" s="770"/>
      <c r="PT376" s="770"/>
      <c r="PU376" s="770"/>
      <c r="PV376" s="770" t="s">
        <v>1208</v>
      </c>
      <c r="PW376" s="770"/>
      <c r="PX376" s="770"/>
      <c r="PY376" s="770"/>
      <c r="PZ376" s="770"/>
      <c r="QA376" s="770"/>
      <c r="QB376" s="770"/>
      <c r="QC376" s="770"/>
      <c r="QD376" s="770"/>
      <c r="QE376" s="770"/>
      <c r="QF376" s="770"/>
      <c r="QG376" s="770"/>
      <c r="QH376" s="770"/>
      <c r="QI376" s="770"/>
      <c r="QJ376" s="770"/>
      <c r="QK376" s="770"/>
      <c r="QL376" s="770"/>
      <c r="QM376" s="770"/>
      <c r="QN376" s="770"/>
      <c r="QO376" s="770"/>
      <c r="QP376" s="770"/>
      <c r="QQ376" s="770"/>
      <c r="QR376" s="770"/>
      <c r="QS376" s="770"/>
      <c r="QT376" s="770"/>
      <c r="QU376" s="770"/>
      <c r="QV376" s="770"/>
      <c r="QW376" s="770"/>
      <c r="QX376" s="770"/>
      <c r="QY376" s="770"/>
      <c r="QZ376" s="770"/>
      <c r="RA376" s="770"/>
      <c r="RB376" s="770"/>
      <c r="RC376" s="770"/>
      <c r="RD376" s="770"/>
      <c r="RE376" s="770"/>
      <c r="RF376" s="304"/>
      <c r="RG376" s="770"/>
      <c r="RH376" s="302"/>
      <c r="RI376" s="770"/>
      <c r="RJ376" s="770" t="s">
        <v>2188</v>
      </c>
      <c r="RK376" s="770" t="s">
        <v>13401</v>
      </c>
      <c r="RL376" s="1710"/>
      <c r="RM376" s="12"/>
      <c r="RN376" s="1711"/>
      <c r="RO376" s="140" t="s">
        <v>640</v>
      </c>
      <c r="RP376" s="11"/>
      <c r="RQ376" s="11"/>
      <c r="RR376" s="154" t="s">
        <v>12458</v>
      </c>
      <c r="RS376" s="1139" t="s">
        <v>12980</v>
      </c>
      <c r="RT376" s="11"/>
      <c r="RU376" s="11"/>
      <c r="RV376" s="771" t="s">
        <v>7419</v>
      </c>
      <c r="RW376" s="11" t="s">
        <v>7988</v>
      </c>
      <c r="RX376" s="11" t="s">
        <v>636</v>
      </c>
      <c r="RY376" s="11"/>
      <c r="RZ376" s="11"/>
      <c r="SA376" s="771"/>
      <c r="SB376" s="11"/>
      <c r="SC376" s="11"/>
    </row>
    <row r="377" spans="1:497" ht="12.75" hidden="1" customHeight="1" thickBot="1">
      <c r="A377" s="154" t="s">
        <v>7419</v>
      </c>
      <c r="B377" s="292" t="s">
        <v>7972</v>
      </c>
      <c r="C377" s="140" t="s">
        <v>642</v>
      </c>
      <c r="D377" s="770" t="s">
        <v>2014</v>
      </c>
      <c r="E377" s="770" t="s">
        <v>622</v>
      </c>
      <c r="F377" s="770" t="s">
        <v>28</v>
      </c>
      <c r="G377" s="770" t="s">
        <v>10</v>
      </c>
      <c r="H377" s="770"/>
      <c r="I377" s="295" t="s">
        <v>1667</v>
      </c>
      <c r="J377" s="94" t="s">
        <v>643</v>
      </c>
      <c r="K377" s="770"/>
      <c r="L377" s="770"/>
      <c r="M377" s="770"/>
      <c r="N377" s="770"/>
      <c r="O377" s="770"/>
      <c r="P377" s="770"/>
      <c r="Q377" s="1088"/>
      <c r="R377" s="297"/>
      <c r="S377" s="770"/>
      <c r="T377" s="770"/>
      <c r="U377" s="298"/>
      <c r="V377" s="770"/>
      <c r="W377" s="770"/>
      <c r="X377" s="296"/>
      <c r="Y377" s="770"/>
      <c r="Z377" s="770"/>
      <c r="AA377" s="770"/>
      <c r="AB377" s="770"/>
      <c r="AC377" s="770"/>
      <c r="AD377" s="770"/>
      <c r="AE377" s="770"/>
      <c r="AF377" s="770"/>
      <c r="AG377" s="770"/>
      <c r="AH377" s="770"/>
      <c r="AI377" s="770"/>
      <c r="AJ377" s="770"/>
      <c r="AK377" s="770" t="s">
        <v>1097</v>
      </c>
      <c r="AL377" s="121">
        <v>34.603999999999999</v>
      </c>
      <c r="AM377" s="772">
        <v>34.603999999999999</v>
      </c>
      <c r="AN377" s="774">
        <v>1</v>
      </c>
      <c r="AO377" s="766" t="s">
        <v>1122</v>
      </c>
      <c r="AP377" s="766"/>
      <c r="AQ377" s="766"/>
      <c r="AR377" s="766"/>
      <c r="AS377" s="770"/>
      <c r="AT377" s="770"/>
      <c r="AU377" s="770"/>
      <c r="AV377" s="770"/>
      <c r="AW377" s="770"/>
      <c r="AX377" s="770"/>
      <c r="AY377" s="770"/>
      <c r="AZ377" s="770"/>
      <c r="BA377" s="770"/>
      <c r="BB377" s="770"/>
      <c r="BC377" s="770"/>
      <c r="BD377" s="770"/>
      <c r="BE377" s="770"/>
      <c r="BF377" s="302"/>
      <c r="BG377" s="302"/>
      <c r="BH377" s="770"/>
      <c r="BI377" s="770"/>
      <c r="BJ377" s="770"/>
      <c r="BK377" s="766" t="s">
        <v>1095</v>
      </c>
      <c r="BL377" s="766" t="s">
        <v>643</v>
      </c>
      <c r="BM377" s="766" t="s">
        <v>1096</v>
      </c>
      <c r="BN377" s="766" t="s">
        <v>1230</v>
      </c>
      <c r="BO377" s="766" t="s">
        <v>1246</v>
      </c>
      <c r="BP377" s="1758">
        <v>34.603999999999999</v>
      </c>
      <c r="BQ377" s="1107">
        <v>34.6</v>
      </c>
      <c r="BR377" s="1106">
        <v>1</v>
      </c>
      <c r="BS377" s="6" t="s">
        <v>1257</v>
      </c>
      <c r="BT377" s="766" t="s">
        <v>2040</v>
      </c>
      <c r="BU377" s="770" t="s">
        <v>1249</v>
      </c>
      <c r="BV377" s="770" t="s">
        <v>1247</v>
      </c>
      <c r="BW377" s="769"/>
      <c r="BX377" s="302"/>
      <c r="BY377" s="303"/>
      <c r="BZ377" s="770"/>
      <c r="CA377" s="302"/>
      <c r="CB377" s="302"/>
      <c r="CC377" s="770"/>
      <c r="CD377" s="770"/>
      <c r="CE377" s="770"/>
      <c r="CF377" s="304"/>
      <c r="CG377" s="321"/>
      <c r="CH377" s="770"/>
      <c r="CI377" s="770"/>
      <c r="CJ377" s="770"/>
      <c r="CK377" s="770"/>
      <c r="CL377" s="770"/>
      <c r="CM377" s="770"/>
      <c r="CN377" s="770"/>
      <c r="CO377" s="770"/>
      <c r="CP377" s="770"/>
      <c r="CQ377" s="770"/>
      <c r="CR377" s="770"/>
      <c r="CS377" s="302"/>
      <c r="CT377" s="770"/>
      <c r="CU377" s="305"/>
      <c r="CV377" s="770"/>
      <c r="CW377" s="770"/>
      <c r="CX377" s="770"/>
      <c r="CY377" s="770"/>
      <c r="CZ377" s="770"/>
      <c r="DA377" s="306"/>
      <c r="DB377" s="770"/>
      <c r="DC377" s="770"/>
      <c r="DD377" s="770"/>
      <c r="DE377" s="770"/>
      <c r="DF377" s="300"/>
      <c r="DG377" s="770"/>
      <c r="DH377" s="770"/>
      <c r="DI377" s="770"/>
      <c r="DJ377" s="770"/>
      <c r="DK377" s="770"/>
      <c r="DL377" s="770"/>
      <c r="DM377" s="770"/>
      <c r="DN377" s="322"/>
      <c r="DO377" s="770"/>
      <c r="DP377" s="770"/>
      <c r="DQ377" s="770"/>
      <c r="DR377" s="770"/>
      <c r="DS377" s="307"/>
      <c r="DT377" s="770"/>
      <c r="DU377" s="770"/>
      <c r="DV377" s="770"/>
      <c r="DW377" s="306"/>
      <c r="DX377" s="306"/>
      <c r="DY377" s="770"/>
      <c r="DZ377" s="770"/>
      <c r="EA377" s="770"/>
      <c r="EB377" s="770"/>
      <c r="EC377" s="770"/>
      <c r="ED377" s="770"/>
      <c r="EE377" s="770"/>
      <c r="EF377" s="770"/>
      <c r="EG377" s="770"/>
      <c r="EH377" s="770"/>
      <c r="EI377" s="770"/>
      <c r="EJ377" s="770"/>
      <c r="EK377" s="770"/>
      <c r="EL377" s="770"/>
      <c r="EM377" s="770"/>
      <c r="EN377" s="770"/>
      <c r="EO377" s="770"/>
      <c r="EP377" s="94"/>
      <c r="EQ377" s="770"/>
      <c r="ER377" s="770"/>
      <c r="ES377" s="770"/>
      <c r="ET377" s="770"/>
      <c r="EU377" s="770"/>
      <c r="EV377" s="770"/>
      <c r="EW377" s="770"/>
      <c r="EX377" s="770"/>
      <c r="EY377" s="770"/>
      <c r="EZ377" s="770"/>
      <c r="FA377" s="770"/>
      <c r="FB377" s="770"/>
      <c r="FC377" s="770"/>
      <c r="FD377" s="302"/>
      <c r="FE377" s="770"/>
      <c r="FF377" s="770"/>
      <c r="FG377" s="770"/>
      <c r="FH377" s="770" t="s">
        <v>478</v>
      </c>
      <c r="FI377" s="770">
        <v>3</v>
      </c>
      <c r="FJ377" s="770"/>
      <c r="FK377" s="770"/>
      <c r="FL377" s="770"/>
      <c r="FM377" s="302"/>
      <c r="FN377" s="302"/>
      <c r="FO377" s="302"/>
      <c r="FP377" s="770"/>
      <c r="FQ377" s="770"/>
      <c r="FR377" s="770"/>
      <c r="FS377" s="770"/>
      <c r="FT377" s="770"/>
      <c r="FU377" s="770"/>
      <c r="FV377" s="770"/>
      <c r="FW377" s="770"/>
      <c r="FX377" s="770"/>
      <c r="FY377" s="770"/>
      <c r="FZ377" s="770"/>
      <c r="GA377" s="770"/>
      <c r="GB377" s="770"/>
      <c r="GC377" s="308"/>
      <c r="GD377" s="297"/>
      <c r="GE377" s="770"/>
      <c r="GF377" s="302"/>
      <c r="GG377" s="302"/>
      <c r="GH377" s="770"/>
      <c r="GI377" s="770"/>
      <c r="GJ377" s="770"/>
      <c r="GK377" s="770"/>
      <c r="GL377" s="770"/>
      <c r="GM377" s="770"/>
      <c r="GN377" s="309"/>
      <c r="GO377" s="770"/>
      <c r="GP377" s="770"/>
      <c r="GQ377" s="770"/>
      <c r="GR377" s="770"/>
      <c r="GS377" s="770"/>
      <c r="GT377" s="770"/>
      <c r="GU377" s="770"/>
      <c r="GV377" s="770"/>
      <c r="GW377" s="770"/>
      <c r="GX377" s="770"/>
      <c r="GY377" s="770"/>
      <c r="GZ377" s="770"/>
      <c r="HA377" s="770"/>
      <c r="HB377" s="770"/>
      <c r="HC377" s="770"/>
      <c r="HD377" s="770"/>
      <c r="HE377" s="770"/>
      <c r="HF377" s="770"/>
      <c r="HG377" s="770"/>
      <c r="HH377" s="770"/>
      <c r="HI377" s="770"/>
      <c r="HJ377" s="770"/>
      <c r="HK377" s="770"/>
      <c r="HL377" s="770"/>
      <c r="HM377" s="770"/>
      <c r="HN377" s="770"/>
      <c r="HO377" s="770"/>
      <c r="HP377" s="770"/>
      <c r="HQ377" s="770"/>
      <c r="HR377" s="770"/>
      <c r="HS377" s="770"/>
      <c r="HT377" s="770"/>
      <c r="HU377" s="770"/>
      <c r="HV377" s="770"/>
      <c r="HW377" s="770"/>
      <c r="HX377" s="770"/>
      <c r="HY377" s="770"/>
      <c r="HZ377" s="770"/>
      <c r="IA377" s="770"/>
      <c r="IB377" s="14" t="e">
        <f>IF(#REF!&gt;0,IF(#REF!&lt;=10000,"Y",""),"")</f>
        <v>#REF!</v>
      </c>
      <c r="IC377" s="770"/>
      <c r="ID377" s="770"/>
      <c r="IE377" s="770"/>
      <c r="IF377" s="770" t="s">
        <v>2014</v>
      </c>
      <c r="IG377" s="770" t="s">
        <v>10</v>
      </c>
      <c r="IH377" s="770" t="s">
        <v>478</v>
      </c>
      <c r="II377" s="770" t="s">
        <v>5672</v>
      </c>
      <c r="IJ377" s="770" t="s">
        <v>1604</v>
      </c>
      <c r="IK377" s="766" t="s">
        <v>1888</v>
      </c>
      <c r="IL377" s="770" t="s">
        <v>643</v>
      </c>
      <c r="IM377" s="770">
        <v>2014</v>
      </c>
      <c r="IN377" s="770" t="s">
        <v>643</v>
      </c>
      <c r="IO377" s="296">
        <v>21226</v>
      </c>
      <c r="IP377" s="770"/>
      <c r="IQ377" s="769" t="s">
        <v>5498</v>
      </c>
      <c r="IR377" s="770" t="s">
        <v>2716</v>
      </c>
      <c r="IS377" s="770" t="s">
        <v>1917</v>
      </c>
      <c r="IT377" s="770" t="s">
        <v>1208</v>
      </c>
      <c r="IU377" s="770"/>
      <c r="IV377" s="770"/>
      <c r="IW377" s="770"/>
      <c r="IX377" s="770"/>
      <c r="IY377" s="770"/>
      <c r="IZ377" s="770"/>
      <c r="JA377" s="770"/>
      <c r="JB377" s="770"/>
      <c r="JC377" s="770"/>
      <c r="JD377" s="302">
        <v>1500</v>
      </c>
      <c r="JE377" s="770"/>
      <c r="JF377" s="770"/>
      <c r="JG377" s="770"/>
      <c r="JH377" s="770"/>
      <c r="JI377" s="770"/>
      <c r="JJ377" s="770"/>
      <c r="JK377" s="770"/>
      <c r="JL377" s="770"/>
      <c r="JM377" s="770"/>
      <c r="JN377" s="770"/>
      <c r="JO377" s="770"/>
      <c r="JP377" s="770"/>
      <c r="JQ377" s="770"/>
      <c r="JR377" s="770"/>
      <c r="JS377" s="770"/>
      <c r="JT377" s="766"/>
      <c r="JU377" s="766"/>
      <c r="JV377" s="766"/>
      <c r="JW377" s="766"/>
      <c r="JX377" s="770"/>
      <c r="JY377" s="770"/>
      <c r="JZ377" s="770"/>
      <c r="KA377" s="770"/>
      <c r="KB377" s="770"/>
      <c r="KC377" s="770"/>
      <c r="KD377" s="770"/>
      <c r="KE377" s="770"/>
      <c r="KF377" s="770"/>
      <c r="KG377" s="770"/>
      <c r="KH377" s="770"/>
      <c r="KI377" s="770"/>
      <c r="KJ377" s="770"/>
      <c r="KK377" s="770"/>
      <c r="KL377" s="770"/>
      <c r="KM377" s="770"/>
      <c r="KN377" s="770"/>
      <c r="KO377" s="770"/>
      <c r="KP377" s="770"/>
      <c r="KQ377" s="770"/>
      <c r="KR377" s="770"/>
      <c r="KS377" s="770"/>
      <c r="KT377" s="770"/>
      <c r="KU377" s="770"/>
      <c r="KV377" s="770"/>
      <c r="KW377" s="770"/>
      <c r="KX377" s="770"/>
      <c r="KY377" s="770"/>
      <c r="KZ377" s="770"/>
      <c r="LA377" s="770"/>
      <c r="LB377" s="770"/>
      <c r="LC377" s="770"/>
      <c r="LD377" s="770"/>
      <c r="LE377" s="770"/>
      <c r="LF377" s="770"/>
      <c r="LG377" s="770"/>
      <c r="LH377" s="770"/>
      <c r="LI377" s="770"/>
      <c r="LJ377" s="770"/>
      <c r="LK377" s="770"/>
      <c r="LL377" s="770"/>
      <c r="LM377" s="770"/>
      <c r="LN377" s="766"/>
      <c r="LO377" s="766"/>
      <c r="LP377" s="770"/>
      <c r="LQ377" s="770"/>
      <c r="LR377" s="770"/>
      <c r="LS377" s="770"/>
      <c r="LT377" s="770"/>
      <c r="LU377" s="770"/>
      <c r="LV377" s="770"/>
      <c r="LW377" s="770"/>
      <c r="LX377" s="769"/>
      <c r="LY377" s="766" t="str">
        <f t="shared" si="100"/>
        <v/>
      </c>
      <c r="LZ377" s="299"/>
      <c r="MA377" s="306"/>
      <c r="MB377" s="306"/>
      <c r="MC377" s="1679">
        <f t="shared" si="99"/>
        <v>0</v>
      </c>
      <c r="MD377" s="306"/>
      <c r="ME377" s="306"/>
      <c r="MF377" s="306"/>
      <c r="MG377" s="1680">
        <f t="shared" si="97"/>
        <v>0</v>
      </c>
      <c r="MH377" s="770"/>
      <c r="MI377" s="302"/>
      <c r="MJ377" s="302"/>
      <c r="MK377" s="302"/>
      <c r="ML377" s="302"/>
      <c r="MM377" s="302"/>
      <c r="MN377" s="302"/>
      <c r="MO377" s="302"/>
      <c r="MP377" s="302"/>
      <c r="MQ377" s="302"/>
      <c r="MR377" s="302"/>
      <c r="MS377" s="302"/>
      <c r="MT377" s="302"/>
      <c r="MU377" s="302"/>
      <c r="MV377" s="302"/>
      <c r="MW377" s="302"/>
      <c r="MX377" s="302"/>
      <c r="MY377" s="1682">
        <f t="shared" si="98"/>
        <v>0</v>
      </c>
      <c r="MZ377" s="770"/>
      <c r="NA377" s="770"/>
      <c r="NB377" s="770"/>
      <c r="NC377" s="770"/>
      <c r="ND377" s="770"/>
      <c r="NE377" s="770"/>
      <c r="NF377" s="770"/>
      <c r="NG377" s="770"/>
      <c r="NH377" s="770"/>
      <c r="NI377" s="770"/>
      <c r="NJ377" s="770"/>
      <c r="NK377" s="770"/>
      <c r="NL377" s="770"/>
      <c r="NM377" s="770"/>
      <c r="NN377" s="770"/>
      <c r="NO377" s="770"/>
      <c r="NP377" s="770"/>
      <c r="NQ377" s="770"/>
      <c r="NR377" s="770"/>
      <c r="NS377" s="770"/>
      <c r="NT377" s="770"/>
      <c r="NU377" s="770"/>
      <c r="NV377" s="770"/>
      <c r="NW377" s="770"/>
      <c r="NX377" s="770"/>
      <c r="NY377" s="770"/>
      <c r="NZ377" s="770"/>
      <c r="OA377" s="770"/>
      <c r="OB377" s="770"/>
      <c r="OC377" s="770"/>
      <c r="OD377" s="770"/>
      <c r="OE377" s="770"/>
      <c r="OF377" s="770"/>
      <c r="OG377" s="770"/>
      <c r="OH377" s="770"/>
      <c r="OI377" s="770"/>
      <c r="OJ377" s="770"/>
      <c r="OK377" s="770"/>
      <c r="OL377" s="770"/>
      <c r="OM377" s="770"/>
      <c r="ON377" s="770"/>
      <c r="OO377" s="770"/>
      <c r="OP377" s="770"/>
      <c r="OQ377" s="770"/>
      <c r="OR377" s="770"/>
      <c r="OS377" s="770"/>
      <c r="OT377" s="770"/>
      <c r="OU377" s="770"/>
      <c r="OV377" s="770"/>
      <c r="OW377" s="770"/>
      <c r="OX377" s="770"/>
      <c r="OY377" s="770"/>
      <c r="OZ377" s="770"/>
      <c r="PA377" s="770"/>
      <c r="PB377" s="770"/>
      <c r="PC377" s="770"/>
      <c r="PD377" s="770"/>
      <c r="PE377" s="770"/>
      <c r="PF377" s="770"/>
      <c r="PG377" s="770"/>
      <c r="PH377" s="770"/>
      <c r="PI377" s="770"/>
      <c r="PJ377" s="770"/>
      <c r="PK377" s="770"/>
      <c r="PL377" s="770"/>
      <c r="PM377" s="770"/>
      <c r="PN377" s="770"/>
      <c r="PO377" s="770"/>
      <c r="PP377" s="770"/>
      <c r="PQ377" s="770"/>
      <c r="PR377" s="770"/>
      <c r="PS377" s="770"/>
      <c r="PT377" s="770"/>
      <c r="PU377" s="770"/>
      <c r="PV377" s="770"/>
      <c r="PW377" s="770"/>
      <c r="PX377" s="770"/>
      <c r="PY377" s="770"/>
      <c r="PZ377" s="770"/>
      <c r="QA377" s="770"/>
      <c r="QB377" s="770"/>
      <c r="QC377" s="770"/>
      <c r="QD377" s="770"/>
      <c r="QE377" s="770"/>
      <c r="QF377" s="770"/>
      <c r="QG377" s="770"/>
      <c r="QH377" s="770"/>
      <c r="QI377" s="770"/>
      <c r="QJ377" s="770"/>
      <c r="QK377" s="770"/>
      <c r="QL377" s="770"/>
      <c r="QM377" s="770"/>
      <c r="QN377" s="770"/>
      <c r="QO377" s="770"/>
      <c r="QP377" s="770"/>
      <c r="QQ377" s="770"/>
      <c r="QR377" s="770"/>
      <c r="QS377" s="770"/>
      <c r="QT377" s="770"/>
      <c r="QU377" s="770"/>
      <c r="QV377" s="770"/>
      <c r="QW377" s="770"/>
      <c r="QX377" s="770"/>
      <c r="QY377" s="770"/>
      <c r="QZ377" s="770"/>
      <c r="RA377" s="770"/>
      <c r="RB377" s="770"/>
      <c r="RC377" s="770"/>
      <c r="RD377" s="770"/>
      <c r="RE377" s="770"/>
      <c r="RF377" s="304"/>
      <c r="RG377" s="770"/>
      <c r="RH377" s="302"/>
      <c r="RI377" s="770"/>
      <c r="RJ377" s="770" t="s">
        <v>643</v>
      </c>
      <c r="RK377" s="770" t="s">
        <v>13401</v>
      </c>
      <c r="RL377" s="1710"/>
      <c r="RM377" s="12"/>
      <c r="RN377" s="1711"/>
      <c r="RO377" s="140" t="s">
        <v>642</v>
      </c>
      <c r="RP377" s="11"/>
      <c r="RQ377" s="11"/>
      <c r="RR377" s="771"/>
      <c r="RS377" s="767"/>
      <c r="RT377" s="11"/>
      <c r="RU377" s="11"/>
      <c r="RV377" s="771" t="s">
        <v>7419</v>
      </c>
      <c r="RW377" s="11" t="s">
        <v>7549</v>
      </c>
      <c r="RX377" s="11" t="s">
        <v>640</v>
      </c>
      <c r="RY377" s="11"/>
      <c r="RZ377" s="11" t="s">
        <v>2209</v>
      </c>
      <c r="SA377" s="771"/>
      <c r="SB377" s="11"/>
      <c r="SC377" s="11"/>
    </row>
    <row r="378" spans="1:497" ht="12.75" hidden="1" customHeight="1">
      <c r="A378" s="154" t="s">
        <v>14188</v>
      </c>
      <c r="B378" s="292" t="s">
        <v>5681</v>
      </c>
      <c r="C378" s="140" t="s">
        <v>642</v>
      </c>
      <c r="D378" s="770" t="s">
        <v>5682</v>
      </c>
      <c r="E378" s="770" t="s">
        <v>622</v>
      </c>
      <c r="F378" s="770" t="s">
        <v>5683</v>
      </c>
      <c r="G378" s="770" t="s">
        <v>18</v>
      </c>
      <c r="H378" s="770"/>
      <c r="I378" s="295"/>
      <c r="J378" s="770" t="s">
        <v>5684</v>
      </c>
      <c r="K378" s="770"/>
      <c r="L378" s="770"/>
      <c r="M378" s="770"/>
      <c r="N378" s="770"/>
      <c r="O378" s="770"/>
      <c r="P378" s="770" t="s">
        <v>1059</v>
      </c>
      <c r="Q378" s="1088">
        <v>32842</v>
      </c>
      <c r="R378" s="297">
        <v>28</v>
      </c>
      <c r="S378" s="770" t="s">
        <v>10</v>
      </c>
      <c r="T378" s="770"/>
      <c r="U378" s="770" t="s">
        <v>1060</v>
      </c>
      <c r="V378" s="770" t="s">
        <v>707</v>
      </c>
      <c r="W378" s="770" t="s">
        <v>11740</v>
      </c>
      <c r="X378" s="296"/>
      <c r="Y378" s="770" t="s">
        <v>622</v>
      </c>
      <c r="Z378" s="770" t="s">
        <v>708</v>
      </c>
      <c r="AA378" s="770" t="s">
        <v>748</v>
      </c>
      <c r="AB378" s="770" t="s">
        <v>7273</v>
      </c>
      <c r="AC378" s="770"/>
      <c r="AD378" s="770" t="s">
        <v>711</v>
      </c>
      <c r="AE378" s="770"/>
      <c r="AF378" s="770" t="s">
        <v>712</v>
      </c>
      <c r="AG378" s="770"/>
      <c r="AH378" s="770"/>
      <c r="AI378" s="770"/>
      <c r="AJ378" s="770"/>
      <c r="AK378" s="770" t="s">
        <v>1899</v>
      </c>
      <c r="AL378" s="299"/>
      <c r="AM378" s="300"/>
      <c r="AN378" s="301"/>
      <c r="AO378" s="766"/>
      <c r="AP378" s="766"/>
      <c r="AQ378" s="766"/>
      <c r="AR378" s="766"/>
      <c r="AS378" s="770"/>
      <c r="AT378" s="770"/>
      <c r="AU378" s="770"/>
      <c r="AV378" s="770"/>
      <c r="AW378" s="770"/>
      <c r="AX378" s="770"/>
      <c r="AY378" s="770"/>
      <c r="AZ378" s="770"/>
      <c r="BA378" s="770"/>
      <c r="BB378" s="770"/>
      <c r="BC378" s="770"/>
      <c r="BD378" s="770"/>
      <c r="BE378" s="770"/>
      <c r="BF378" s="302"/>
      <c r="BG378" s="302"/>
      <c r="BH378" s="770"/>
      <c r="BI378" s="770"/>
      <c r="BJ378" s="770"/>
      <c r="BK378" s="770"/>
      <c r="BL378" s="770"/>
      <c r="BM378" s="770" t="s">
        <v>1238</v>
      </c>
      <c r="BN378" s="770" t="s">
        <v>1256</v>
      </c>
      <c r="BO378" s="770"/>
      <c r="BP378" s="780"/>
      <c r="BQ378" s="772"/>
      <c r="BR378" s="774"/>
      <c r="BS378" s="6" t="s">
        <v>1149</v>
      </c>
      <c r="BT378" s="766"/>
      <c r="BU378" s="770"/>
      <c r="BV378" s="770"/>
      <c r="BW378" s="770"/>
      <c r="BX378" s="302"/>
      <c r="BY378" s="303"/>
      <c r="BZ378" s="770"/>
      <c r="CA378" s="302"/>
      <c r="CB378" s="302"/>
      <c r="CC378" s="770"/>
      <c r="CD378" s="770"/>
      <c r="CE378" s="770"/>
      <c r="CF378" s="770"/>
      <c r="CG378" s="770"/>
      <c r="CH378" s="770"/>
      <c r="CI378" s="770"/>
      <c r="CJ378" s="770"/>
      <c r="CK378" s="770"/>
      <c r="CL378" s="770"/>
      <c r="CM378" s="770"/>
      <c r="CN378" s="770"/>
      <c r="CO378" s="770"/>
      <c r="CP378" s="770"/>
      <c r="CQ378" s="770"/>
      <c r="CR378" s="770"/>
      <c r="CS378" s="302"/>
      <c r="CT378" s="770"/>
      <c r="CU378" s="305"/>
      <c r="CV378" s="770"/>
      <c r="CW378" s="770"/>
      <c r="CX378" s="770"/>
      <c r="CY378" s="770"/>
      <c r="CZ378" s="770"/>
      <c r="DA378" s="770"/>
      <c r="DB378" s="770"/>
      <c r="DC378" s="770"/>
      <c r="DD378" s="770"/>
      <c r="DE378" s="770"/>
      <c r="DF378" s="770"/>
      <c r="DG378" s="770"/>
      <c r="DH378" s="770"/>
      <c r="DI378" s="770"/>
      <c r="DJ378" s="770"/>
      <c r="DK378" s="770"/>
      <c r="DL378" s="770"/>
      <c r="DM378" s="770"/>
      <c r="DN378" s="770"/>
      <c r="DO378" s="770"/>
      <c r="DP378" s="770"/>
      <c r="DQ378" s="770"/>
      <c r="DR378" s="770"/>
      <c r="DS378" s="307"/>
      <c r="DT378" s="770"/>
      <c r="DU378" s="770"/>
      <c r="DV378" s="770"/>
      <c r="DW378" s="306"/>
      <c r="DX378" s="306"/>
      <c r="DY378" s="770"/>
      <c r="DZ378" s="770"/>
      <c r="EA378" s="770"/>
      <c r="EB378" s="770"/>
      <c r="EC378" s="770"/>
      <c r="ED378" s="770"/>
      <c r="EE378" s="770"/>
      <c r="EF378" s="770"/>
      <c r="EG378" s="770"/>
      <c r="EH378" s="770"/>
      <c r="EI378" s="770"/>
      <c r="EJ378" s="770"/>
      <c r="EK378" s="770"/>
      <c r="EL378" s="770"/>
      <c r="EM378" s="770"/>
      <c r="EN378" s="770"/>
      <c r="EO378" s="770"/>
      <c r="EP378" s="770"/>
      <c r="EQ378" s="770"/>
      <c r="ER378" s="770"/>
      <c r="ES378" s="770"/>
      <c r="ET378" s="770"/>
      <c r="EU378" s="770"/>
      <c r="EV378" s="770"/>
      <c r="EW378" s="770"/>
      <c r="EX378" s="770"/>
      <c r="EY378" s="770"/>
      <c r="EZ378" s="770"/>
      <c r="FA378" s="770"/>
      <c r="FB378" s="770"/>
      <c r="FC378" s="770"/>
      <c r="FD378" s="302"/>
      <c r="FE378" s="770"/>
      <c r="FF378" s="770"/>
      <c r="FG378" s="770"/>
      <c r="FH378" s="770" t="s">
        <v>1306</v>
      </c>
      <c r="FI378" s="770">
        <v>1</v>
      </c>
      <c r="FJ378" s="770" t="s">
        <v>643</v>
      </c>
      <c r="FK378" s="770" t="s">
        <v>1667</v>
      </c>
      <c r="FL378" s="770"/>
      <c r="FM378" s="147">
        <v>3000</v>
      </c>
      <c r="FN378" s="302">
        <v>250</v>
      </c>
      <c r="FO378" s="302">
        <v>1200</v>
      </c>
      <c r="FP378" s="770" t="s">
        <v>1602</v>
      </c>
      <c r="FQ378" s="770" t="s">
        <v>1660</v>
      </c>
      <c r="FR378" s="770"/>
      <c r="FS378" s="770"/>
      <c r="FT378" s="770"/>
      <c r="FU378" s="770"/>
      <c r="FV378" s="770"/>
      <c r="FW378" s="770"/>
      <c r="FX378" s="770"/>
      <c r="FY378" s="770"/>
      <c r="FZ378" s="770"/>
      <c r="GA378" s="770"/>
      <c r="GB378" s="770"/>
      <c r="GC378" s="308"/>
      <c r="GD378" s="297"/>
      <c r="GE378" s="770"/>
      <c r="GF378" s="302"/>
      <c r="GG378" s="302"/>
      <c r="GH378" s="770"/>
      <c r="GI378" s="770"/>
      <c r="GJ378" s="770"/>
      <c r="GK378" s="770"/>
      <c r="GL378" s="770"/>
      <c r="GM378" s="770"/>
      <c r="GN378" s="309"/>
      <c r="GO378" s="770"/>
      <c r="GP378" s="770"/>
      <c r="GQ378" s="770"/>
      <c r="GR378" s="770"/>
      <c r="GS378" s="770"/>
      <c r="GT378" s="770"/>
      <c r="GU378" s="770"/>
      <c r="GV378" s="770"/>
      <c r="GW378" s="770"/>
      <c r="GX378" s="770"/>
      <c r="GY378" s="770"/>
      <c r="GZ378" s="770"/>
      <c r="HA378" s="770"/>
      <c r="HB378" s="770"/>
      <c r="HC378" s="770"/>
      <c r="HD378" s="770"/>
      <c r="HE378" s="770"/>
      <c r="HF378" s="770"/>
      <c r="HG378" s="770"/>
      <c r="HH378" s="770"/>
      <c r="HI378" s="770"/>
      <c r="HJ378" s="770"/>
      <c r="HK378" s="770"/>
      <c r="HL378" s="770"/>
      <c r="HM378" s="770"/>
      <c r="HN378" s="770"/>
      <c r="HO378" s="770"/>
      <c r="HP378" s="770"/>
      <c r="HQ378" s="770"/>
      <c r="HR378" s="770"/>
      <c r="HS378" s="770"/>
      <c r="HT378" s="770"/>
      <c r="HU378" s="770"/>
      <c r="HV378" s="770"/>
      <c r="HW378" s="770"/>
      <c r="HX378" s="770"/>
      <c r="HY378" s="770"/>
      <c r="HZ378" s="770"/>
      <c r="IA378" s="770"/>
      <c r="IB378" s="14" t="e">
        <f>IF(#REF!&gt;0,IF(#REF!&lt;=10000,"Y",""),"")</f>
        <v>#REF!</v>
      </c>
      <c r="IC378" s="770"/>
      <c r="ID378" s="770"/>
      <c r="IE378" s="770"/>
      <c r="IF378" s="770"/>
      <c r="IG378" s="770"/>
      <c r="IH378" s="770"/>
      <c r="II378" s="770"/>
      <c r="IJ378" s="770"/>
      <c r="IK378" s="770"/>
      <c r="IL378" s="770"/>
      <c r="IM378" s="770"/>
      <c r="IN378" s="770"/>
      <c r="IO378" s="296"/>
      <c r="IP378" s="770"/>
      <c r="IQ378" s="770"/>
      <c r="IR378" s="770"/>
      <c r="IS378" s="770"/>
      <c r="IT378" s="770"/>
      <c r="IU378" s="770"/>
      <c r="IV378" s="770"/>
      <c r="IW378" s="770"/>
      <c r="IX378" s="770"/>
      <c r="IY378" s="770"/>
      <c r="IZ378" s="770"/>
      <c r="JA378" s="770"/>
      <c r="JB378" s="770"/>
      <c r="JC378" s="770"/>
      <c r="JD378" s="302"/>
      <c r="JE378" s="770"/>
      <c r="JF378" s="770"/>
      <c r="JG378" s="770"/>
      <c r="JH378" s="770"/>
      <c r="JI378" s="770"/>
      <c r="JJ378" s="770">
        <v>3</v>
      </c>
      <c r="JK378" s="770" t="s">
        <v>13499</v>
      </c>
      <c r="JL378" s="770"/>
      <c r="JM378" s="770"/>
      <c r="JN378" s="770"/>
      <c r="JO378" s="770"/>
      <c r="JP378" s="770"/>
      <c r="JQ378" s="770"/>
      <c r="JR378" s="770"/>
      <c r="JS378" s="770"/>
      <c r="JT378" s="766"/>
      <c r="JU378" s="766"/>
      <c r="JV378" s="766"/>
      <c r="JW378" s="766"/>
      <c r="JX378" s="770"/>
      <c r="JY378" s="770"/>
      <c r="JZ378" s="770"/>
      <c r="KA378" s="770"/>
      <c r="KB378" s="770"/>
      <c r="KC378" s="770"/>
      <c r="KD378" s="770"/>
      <c r="KE378" s="770"/>
      <c r="KF378" s="770"/>
      <c r="KG378" s="770"/>
      <c r="KH378" s="770"/>
      <c r="KI378" s="770"/>
      <c r="KJ378" s="770"/>
      <c r="KK378" s="770"/>
      <c r="KL378" s="770"/>
      <c r="KM378" s="770"/>
      <c r="KN378" s="770"/>
      <c r="KO378" s="770"/>
      <c r="KP378" s="770"/>
      <c r="KQ378" s="770"/>
      <c r="KR378" s="770"/>
      <c r="KS378" s="770"/>
      <c r="KT378" s="770"/>
      <c r="KU378" s="770"/>
      <c r="KV378" s="770"/>
      <c r="KW378" s="770"/>
      <c r="KX378" s="770"/>
      <c r="KY378" s="770"/>
      <c r="KZ378" s="770"/>
      <c r="LA378" s="770"/>
      <c r="LB378" s="770"/>
      <c r="LC378" s="770"/>
      <c r="LD378" s="770"/>
      <c r="LE378" s="770"/>
      <c r="LF378" s="770"/>
      <c r="LG378" s="770"/>
      <c r="LH378" s="770"/>
      <c r="LI378" s="770"/>
      <c r="LJ378" s="770"/>
      <c r="LK378" s="770"/>
      <c r="LL378" s="770"/>
      <c r="LM378" s="770"/>
      <c r="LN378" s="766"/>
      <c r="LO378" s="766"/>
      <c r="LP378" s="770"/>
      <c r="LQ378" s="770"/>
      <c r="LR378" s="770"/>
      <c r="LS378" s="770"/>
      <c r="LT378" s="770"/>
      <c r="LU378" s="770"/>
      <c r="LV378" s="770"/>
      <c r="LW378" s="770"/>
      <c r="LX378" s="769"/>
      <c r="LY378" s="766" t="str">
        <f t="shared" si="100"/>
        <v/>
      </c>
      <c r="LZ378" s="299"/>
      <c r="MA378" s="1709"/>
      <c r="MB378" s="1709"/>
      <c r="MC378" s="1679">
        <f t="shared" si="99"/>
        <v>0</v>
      </c>
      <c r="MD378" s="1709"/>
      <c r="ME378" s="1709"/>
      <c r="MF378" s="1709"/>
      <c r="MG378" s="1680">
        <f t="shared" si="97"/>
        <v>0</v>
      </c>
      <c r="MH378" s="770"/>
      <c r="MI378" s="302"/>
      <c r="MJ378" s="302"/>
      <c r="MK378" s="302"/>
      <c r="ML378" s="302"/>
      <c r="MM378" s="302"/>
      <c r="MN378" s="302"/>
      <c r="MO378" s="302"/>
      <c r="MP378" s="302"/>
      <c r="MQ378" s="302"/>
      <c r="MR378" s="302"/>
      <c r="MS378" s="302"/>
      <c r="MT378" s="302"/>
      <c r="MU378" s="302"/>
      <c r="MV378" s="302"/>
      <c r="MW378" s="302"/>
      <c r="MX378" s="302"/>
      <c r="MY378" s="1682">
        <f t="shared" si="98"/>
        <v>0</v>
      </c>
      <c r="MZ378" s="770"/>
      <c r="NA378" s="770"/>
      <c r="NB378" s="770"/>
      <c r="NC378" s="770"/>
      <c r="ND378" s="770"/>
      <c r="NE378" s="770"/>
      <c r="NF378" s="770"/>
      <c r="NG378" s="770"/>
      <c r="NH378" s="770"/>
      <c r="NI378" s="770"/>
      <c r="NJ378" s="770"/>
      <c r="NK378" s="770"/>
      <c r="NL378" s="770"/>
      <c r="NM378" s="770"/>
      <c r="NN378" s="770"/>
      <c r="NO378" s="770"/>
      <c r="NP378" s="770"/>
      <c r="NQ378" s="770"/>
      <c r="NR378" s="770"/>
      <c r="NS378" s="770"/>
      <c r="NT378" s="770"/>
      <c r="NU378" s="770"/>
      <c r="NV378" s="770"/>
      <c r="NW378" s="770"/>
      <c r="NX378" s="770"/>
      <c r="NY378" s="770"/>
      <c r="NZ378" s="770"/>
      <c r="OA378" s="770"/>
      <c r="OB378" s="770"/>
      <c r="OC378" s="770"/>
      <c r="OD378" s="770"/>
      <c r="OE378" s="770"/>
      <c r="OF378" s="770"/>
      <c r="OG378" s="770"/>
      <c r="OH378" s="770"/>
      <c r="OI378" s="770"/>
      <c r="OJ378" s="770"/>
      <c r="OK378" s="770"/>
      <c r="OL378" s="770"/>
      <c r="OM378" s="770"/>
      <c r="ON378" s="770"/>
      <c r="OO378" s="770"/>
      <c r="OP378" s="770"/>
      <c r="OQ378" s="770"/>
      <c r="OR378" s="770"/>
      <c r="OS378" s="770"/>
      <c r="OT378" s="770"/>
      <c r="OU378" s="770"/>
      <c r="OV378" s="770"/>
      <c r="OW378" s="770"/>
      <c r="OX378" s="770"/>
      <c r="OY378" s="770"/>
      <c r="OZ378" s="770"/>
      <c r="PA378" s="770"/>
      <c r="PB378" s="770"/>
      <c r="PC378" s="770"/>
      <c r="PD378" s="770"/>
      <c r="PE378" s="770"/>
      <c r="PF378" s="770"/>
      <c r="PG378" s="770"/>
      <c r="PH378" s="770"/>
      <c r="PI378" s="770"/>
      <c r="PJ378" s="770"/>
      <c r="PK378" s="770"/>
      <c r="PL378" s="770"/>
      <c r="PM378" s="770"/>
      <c r="PN378" s="770"/>
      <c r="PO378" s="770"/>
      <c r="PP378" s="770"/>
      <c r="PQ378" s="770"/>
      <c r="PR378" s="770"/>
      <c r="PS378" s="770"/>
      <c r="PT378" s="770"/>
      <c r="PU378" s="770"/>
      <c r="PV378" s="770"/>
      <c r="PW378" s="770"/>
      <c r="PX378" s="770"/>
      <c r="PY378" s="770"/>
      <c r="PZ378" s="770"/>
      <c r="QA378" s="770"/>
      <c r="QB378" s="770"/>
      <c r="QC378" s="770"/>
      <c r="QD378" s="770"/>
      <c r="QE378" s="770"/>
      <c r="QF378" s="770"/>
      <c r="QG378" s="770"/>
      <c r="QH378" s="770"/>
      <c r="QI378" s="770"/>
      <c r="QJ378" s="770"/>
      <c r="QK378" s="770"/>
      <c r="QL378" s="770"/>
      <c r="QM378" s="770"/>
      <c r="QN378" s="770"/>
      <c r="QO378" s="770"/>
      <c r="QP378" s="770"/>
      <c r="QQ378" s="770"/>
      <c r="QR378" s="770"/>
      <c r="QS378" s="770"/>
      <c r="QT378" s="770"/>
      <c r="QU378" s="770"/>
      <c r="QV378" s="770"/>
      <c r="QW378" s="770"/>
      <c r="QX378" s="770"/>
      <c r="QY378" s="770"/>
      <c r="QZ378" s="770"/>
      <c r="RA378" s="770"/>
      <c r="RB378" s="770"/>
      <c r="RC378" s="770"/>
      <c r="RD378" s="770"/>
      <c r="RE378" s="770"/>
      <c r="RF378" s="304"/>
      <c r="RG378" s="770"/>
      <c r="RH378" s="302"/>
      <c r="RI378" s="770"/>
      <c r="RJ378" s="770" t="s">
        <v>2189</v>
      </c>
      <c r="RK378" s="770" t="s">
        <v>13401</v>
      </c>
      <c r="RL378" s="1710"/>
      <c r="RM378" s="12"/>
      <c r="RN378" s="1711"/>
      <c r="RO378" s="140" t="s">
        <v>642</v>
      </c>
      <c r="RP378" s="11"/>
      <c r="RQ378" s="11"/>
      <c r="RR378" s="771"/>
      <c r="RS378" s="767"/>
      <c r="RT378" s="11"/>
      <c r="RU378" s="11"/>
      <c r="RV378" s="771" t="s">
        <v>12458</v>
      </c>
      <c r="RW378" s="11" t="s">
        <v>5678</v>
      </c>
      <c r="RX378" s="11" t="s">
        <v>640</v>
      </c>
      <c r="RY378" s="11"/>
      <c r="RZ378" s="11"/>
      <c r="SA378" s="771"/>
      <c r="SB378" s="11"/>
      <c r="SC378" s="11"/>
    </row>
    <row r="379" spans="1:497" ht="12.75" hidden="1" customHeight="1">
      <c r="A379" s="154" t="s">
        <v>14188</v>
      </c>
      <c r="B379" s="292" t="s">
        <v>7550</v>
      </c>
      <c r="C379" s="140" t="s">
        <v>642</v>
      </c>
      <c r="D379" s="770" t="s">
        <v>5685</v>
      </c>
      <c r="E379" s="770" t="s">
        <v>622</v>
      </c>
      <c r="F379" s="770" t="s">
        <v>28</v>
      </c>
      <c r="G379" s="770" t="s">
        <v>10</v>
      </c>
      <c r="H379" s="770"/>
      <c r="I379" s="295"/>
      <c r="J379" s="770" t="s">
        <v>5685</v>
      </c>
      <c r="K379" s="770"/>
      <c r="L379" s="770"/>
      <c r="M379" s="770"/>
      <c r="N379" s="770"/>
      <c r="O379" s="770"/>
      <c r="P379" s="770" t="s">
        <v>5685</v>
      </c>
      <c r="Q379" s="1088">
        <v>25316</v>
      </c>
      <c r="R379" s="297">
        <v>48</v>
      </c>
      <c r="S379" s="770" t="s">
        <v>10</v>
      </c>
      <c r="T379" s="770"/>
      <c r="U379" s="298"/>
      <c r="V379" s="770" t="s">
        <v>707</v>
      </c>
      <c r="W379" s="770"/>
      <c r="X379" s="296"/>
      <c r="Y379" s="770" t="s">
        <v>622</v>
      </c>
      <c r="Z379" s="770" t="s">
        <v>708</v>
      </c>
      <c r="AA379" s="770" t="s">
        <v>709</v>
      </c>
      <c r="AB379" s="770" t="s">
        <v>710</v>
      </c>
      <c r="AC379" s="770"/>
      <c r="AD379" s="770"/>
      <c r="AE379" s="770"/>
      <c r="AF379" s="770" t="s">
        <v>712</v>
      </c>
      <c r="AG379" s="770"/>
      <c r="AH379" s="770"/>
      <c r="AI379" s="770"/>
      <c r="AJ379" s="770"/>
      <c r="AK379" s="770" t="s">
        <v>1899</v>
      </c>
      <c r="AL379" s="299"/>
      <c r="AM379" s="300"/>
      <c r="AN379" s="301"/>
      <c r="AO379" s="766"/>
      <c r="AP379" s="766"/>
      <c r="AQ379" s="766"/>
      <c r="AR379" s="766"/>
      <c r="AS379" s="770"/>
      <c r="AT379" s="770"/>
      <c r="AU379" s="770"/>
      <c r="AV379" s="770"/>
      <c r="AW379" s="770"/>
      <c r="AX379" s="770"/>
      <c r="AY379" s="770"/>
      <c r="AZ379" s="770"/>
      <c r="BA379" s="770"/>
      <c r="BB379" s="770"/>
      <c r="BC379" s="770"/>
      <c r="BD379" s="770"/>
      <c r="BE379" s="770"/>
      <c r="BF379" s="302"/>
      <c r="BG379" s="302"/>
      <c r="BH379" s="770"/>
      <c r="BI379" s="770"/>
      <c r="BJ379" s="770"/>
      <c r="BK379" s="770"/>
      <c r="BL379" s="770"/>
      <c r="BM379" s="770" t="s">
        <v>1238</v>
      </c>
      <c r="BN379" s="770" t="s">
        <v>1256</v>
      </c>
      <c r="BO379" s="770"/>
      <c r="BP379" s="780"/>
      <c r="BQ379" s="772"/>
      <c r="BR379" s="774"/>
      <c r="BS379" s="6" t="s">
        <v>1149</v>
      </c>
      <c r="BT379" s="766"/>
      <c r="BU379" s="770"/>
      <c r="BV379" s="770"/>
      <c r="BW379" s="770"/>
      <c r="BX379" s="302"/>
      <c r="BY379" s="303"/>
      <c r="BZ379" s="770"/>
      <c r="CA379" s="302"/>
      <c r="CB379" s="302"/>
      <c r="CC379" s="770"/>
      <c r="CD379" s="770"/>
      <c r="CE379" s="770"/>
      <c r="CF379" s="770"/>
      <c r="CG379" s="770"/>
      <c r="CH379" s="770"/>
      <c r="CI379" s="770"/>
      <c r="CJ379" s="770"/>
      <c r="CK379" s="770"/>
      <c r="CL379" s="770"/>
      <c r="CM379" s="770"/>
      <c r="CN379" s="770"/>
      <c r="CO379" s="770"/>
      <c r="CP379" s="770"/>
      <c r="CQ379" s="770"/>
      <c r="CR379" s="770"/>
      <c r="CS379" s="302"/>
      <c r="CT379" s="770"/>
      <c r="CU379" s="305"/>
      <c r="CV379" s="770"/>
      <c r="CW379" s="770"/>
      <c r="CX379" s="770"/>
      <c r="CY379" s="770"/>
      <c r="CZ379" s="770"/>
      <c r="DA379" s="770"/>
      <c r="DB379" s="770"/>
      <c r="DC379" s="770"/>
      <c r="DD379" s="770"/>
      <c r="DE379" s="770"/>
      <c r="DF379" s="770"/>
      <c r="DG379" s="770"/>
      <c r="DH379" s="770"/>
      <c r="DI379" s="770"/>
      <c r="DJ379" s="770"/>
      <c r="DK379" s="770"/>
      <c r="DL379" s="770"/>
      <c r="DM379" s="770"/>
      <c r="DN379" s="770"/>
      <c r="DO379" s="770"/>
      <c r="DP379" s="770"/>
      <c r="DQ379" s="770"/>
      <c r="DR379" s="770"/>
      <c r="DS379" s="307"/>
      <c r="DT379" s="770"/>
      <c r="DU379" s="770"/>
      <c r="DV379" s="770"/>
      <c r="DW379" s="306"/>
      <c r="DX379" s="306"/>
      <c r="DY379" s="770"/>
      <c r="DZ379" s="770"/>
      <c r="EA379" s="770"/>
      <c r="EB379" s="770"/>
      <c r="EC379" s="770"/>
      <c r="ED379" s="770"/>
      <c r="EE379" s="770"/>
      <c r="EF379" s="770"/>
      <c r="EG379" s="770"/>
      <c r="EH379" s="770"/>
      <c r="EI379" s="770"/>
      <c r="EJ379" s="770"/>
      <c r="EK379" s="770"/>
      <c r="EL379" s="770"/>
      <c r="EM379" s="770"/>
      <c r="EN379" s="770"/>
      <c r="EO379" s="770"/>
      <c r="EP379" s="770"/>
      <c r="EQ379" s="770"/>
      <c r="ER379" s="770"/>
      <c r="ES379" s="770"/>
      <c r="ET379" s="770"/>
      <c r="EU379" s="770"/>
      <c r="EV379" s="770"/>
      <c r="EW379" s="770"/>
      <c r="EX379" s="770"/>
      <c r="EY379" s="770"/>
      <c r="EZ379" s="770"/>
      <c r="FA379" s="770"/>
      <c r="FB379" s="770"/>
      <c r="FC379" s="770"/>
      <c r="FD379" s="302"/>
      <c r="FE379" s="770"/>
      <c r="FF379" s="770"/>
      <c r="FG379" s="770"/>
      <c r="FH379" s="770"/>
      <c r="FI379" s="770"/>
      <c r="FJ379" s="770"/>
      <c r="FK379" s="770"/>
      <c r="FL379" s="770"/>
      <c r="FM379" s="302"/>
      <c r="FN379" s="302"/>
      <c r="FO379" s="302"/>
      <c r="FP379" s="770"/>
      <c r="FQ379" s="770"/>
      <c r="FR379" s="770"/>
      <c r="FS379" s="770"/>
      <c r="FT379" s="770"/>
      <c r="FU379" s="770"/>
      <c r="FV379" s="770"/>
      <c r="FW379" s="770"/>
      <c r="FX379" s="770"/>
      <c r="FY379" s="770"/>
      <c r="FZ379" s="770"/>
      <c r="GA379" s="770"/>
      <c r="GB379" s="770"/>
      <c r="GC379" s="308"/>
      <c r="GD379" s="297"/>
      <c r="GE379" s="770"/>
      <c r="GF379" s="302"/>
      <c r="GG379" s="302"/>
      <c r="GH379" s="770"/>
      <c r="GI379" s="770"/>
      <c r="GJ379" s="770"/>
      <c r="GK379" s="770"/>
      <c r="GL379" s="770"/>
      <c r="GM379" s="770"/>
      <c r="GN379" s="309"/>
      <c r="GO379" s="770"/>
      <c r="GP379" s="770"/>
      <c r="GQ379" s="770"/>
      <c r="GR379" s="770"/>
      <c r="GS379" s="770"/>
      <c r="GT379" s="770"/>
      <c r="GU379" s="770"/>
      <c r="GV379" s="770"/>
      <c r="GW379" s="770"/>
      <c r="GX379" s="770"/>
      <c r="GY379" s="770"/>
      <c r="GZ379" s="770"/>
      <c r="HA379" s="770"/>
      <c r="HB379" s="770"/>
      <c r="HC379" s="770"/>
      <c r="HD379" s="770"/>
      <c r="HE379" s="770"/>
      <c r="HF379" s="770"/>
      <c r="HG379" s="770"/>
      <c r="HH379" s="770"/>
      <c r="HI379" s="770"/>
      <c r="HJ379" s="770"/>
      <c r="HK379" s="770"/>
      <c r="HL379" s="770"/>
      <c r="HM379" s="770"/>
      <c r="HN379" s="770"/>
      <c r="HO379" s="770"/>
      <c r="HP379" s="770"/>
      <c r="HQ379" s="770"/>
      <c r="HR379" s="770"/>
      <c r="HS379" s="770"/>
      <c r="HT379" s="770"/>
      <c r="HU379" s="770"/>
      <c r="HV379" s="770"/>
      <c r="HW379" s="770"/>
      <c r="HX379" s="770"/>
      <c r="HY379" s="770"/>
      <c r="HZ379" s="770"/>
      <c r="IA379" s="770"/>
      <c r="IB379" s="14" t="e">
        <f>IF(#REF!&gt;0,IF(#REF!&lt;=10000,"Y",""),"")</f>
        <v>#REF!</v>
      </c>
      <c r="IC379" s="770"/>
      <c r="ID379" s="770"/>
      <c r="IE379" s="770"/>
      <c r="IF379" s="770"/>
      <c r="IG379" s="770"/>
      <c r="IH379" s="770"/>
      <c r="II379" s="770"/>
      <c r="IJ379" s="770"/>
      <c r="IK379" s="770"/>
      <c r="IL379" s="770"/>
      <c r="IM379" s="770"/>
      <c r="IN379" s="770"/>
      <c r="IO379" s="296"/>
      <c r="IP379" s="770"/>
      <c r="IQ379" s="770"/>
      <c r="IR379" s="770"/>
      <c r="IS379" s="770"/>
      <c r="IT379" s="770"/>
      <c r="IU379" s="770"/>
      <c r="IV379" s="770"/>
      <c r="IW379" s="770"/>
      <c r="IX379" s="770"/>
      <c r="IY379" s="770"/>
      <c r="IZ379" s="770"/>
      <c r="JA379" s="770"/>
      <c r="JB379" s="770"/>
      <c r="JC379" s="770"/>
      <c r="JD379" s="302"/>
      <c r="JE379" s="770"/>
      <c r="JF379" s="770"/>
      <c r="JG379" s="770"/>
      <c r="JH379" s="770"/>
      <c r="JI379" s="770"/>
      <c r="JJ379" s="770"/>
      <c r="JK379" s="770" t="s">
        <v>13500</v>
      </c>
      <c r="JL379" s="770"/>
      <c r="JM379" s="770"/>
      <c r="JN379" s="770"/>
      <c r="JO379" s="770"/>
      <c r="JP379" s="770"/>
      <c r="JQ379" s="770"/>
      <c r="JR379" s="770"/>
      <c r="JS379" s="770"/>
      <c r="JT379" s="766"/>
      <c r="JU379" s="766"/>
      <c r="JV379" s="766"/>
      <c r="JW379" s="766"/>
      <c r="JX379" s="770"/>
      <c r="JY379" s="770"/>
      <c r="JZ379" s="770"/>
      <c r="KA379" s="770"/>
      <c r="KB379" s="770"/>
      <c r="KC379" s="770"/>
      <c r="KD379" s="770"/>
      <c r="KE379" s="770"/>
      <c r="KF379" s="770"/>
      <c r="KG379" s="770"/>
      <c r="KH379" s="770"/>
      <c r="KI379" s="770"/>
      <c r="KJ379" s="770"/>
      <c r="KK379" s="770"/>
      <c r="KL379" s="770"/>
      <c r="KM379" s="770"/>
      <c r="KN379" s="770"/>
      <c r="KO379" s="770"/>
      <c r="KP379" s="770"/>
      <c r="KQ379" s="770"/>
      <c r="KR379" s="770"/>
      <c r="KS379" s="770"/>
      <c r="KT379" s="770"/>
      <c r="KU379" s="770"/>
      <c r="KV379" s="770"/>
      <c r="KW379" s="770"/>
      <c r="KX379" s="770"/>
      <c r="KY379" s="770"/>
      <c r="KZ379" s="770"/>
      <c r="LA379" s="770"/>
      <c r="LB379" s="770"/>
      <c r="LC379" s="770"/>
      <c r="LD379" s="770"/>
      <c r="LE379" s="770"/>
      <c r="LF379" s="770"/>
      <c r="LG379" s="770"/>
      <c r="LH379" s="770"/>
      <c r="LI379" s="770"/>
      <c r="LJ379" s="770"/>
      <c r="LK379" s="770"/>
      <c r="LL379" s="770"/>
      <c r="LM379" s="770"/>
      <c r="LN379" s="766"/>
      <c r="LO379" s="766"/>
      <c r="LP379" s="770"/>
      <c r="LQ379" s="770"/>
      <c r="LR379" s="770"/>
      <c r="LS379" s="770"/>
      <c r="LT379" s="770"/>
      <c r="LU379" s="770"/>
      <c r="LV379" s="770"/>
      <c r="LW379" s="770"/>
      <c r="LX379" s="769"/>
      <c r="LY379" s="766" t="str">
        <f t="shared" si="100"/>
        <v/>
      </c>
      <c r="LZ379" s="299"/>
      <c r="MA379" s="1709"/>
      <c r="MB379" s="1709"/>
      <c r="MC379" s="1679">
        <f t="shared" si="99"/>
        <v>0</v>
      </c>
      <c r="MD379" s="1709"/>
      <c r="ME379" s="1709"/>
      <c r="MF379" s="1709"/>
      <c r="MG379" s="1680">
        <f t="shared" si="97"/>
        <v>0</v>
      </c>
      <c r="MH379" s="770"/>
      <c r="MI379" s="302"/>
      <c r="MJ379" s="302"/>
      <c r="MK379" s="302"/>
      <c r="ML379" s="302"/>
      <c r="MM379" s="302"/>
      <c r="MN379" s="302"/>
      <c r="MO379" s="302"/>
      <c r="MP379" s="302"/>
      <c r="MQ379" s="302"/>
      <c r="MR379" s="302"/>
      <c r="MS379" s="302"/>
      <c r="MT379" s="302"/>
      <c r="MU379" s="302"/>
      <c r="MV379" s="302"/>
      <c r="MW379" s="302"/>
      <c r="MX379" s="302"/>
      <c r="MY379" s="1682">
        <f t="shared" si="98"/>
        <v>0</v>
      </c>
      <c r="MZ379" s="770"/>
      <c r="NA379" s="770"/>
      <c r="NB379" s="770"/>
      <c r="NC379" s="770"/>
      <c r="ND379" s="770"/>
      <c r="NE379" s="770"/>
      <c r="NF379" s="770"/>
      <c r="NG379" s="770"/>
      <c r="NH379" s="770"/>
      <c r="NI379" s="770"/>
      <c r="NJ379" s="770"/>
      <c r="NK379" s="770"/>
      <c r="NL379" s="770"/>
      <c r="NM379" s="770"/>
      <c r="NN379" s="770"/>
      <c r="NO379" s="770"/>
      <c r="NP379" s="770"/>
      <c r="NQ379" s="770"/>
      <c r="NR379" s="770"/>
      <c r="NS379" s="770"/>
      <c r="NT379" s="770"/>
      <c r="NU379" s="770"/>
      <c r="NV379" s="770"/>
      <c r="NW379" s="770"/>
      <c r="NX379" s="770"/>
      <c r="NY379" s="770"/>
      <c r="NZ379" s="770"/>
      <c r="OA379" s="770"/>
      <c r="OB379" s="770"/>
      <c r="OC379" s="770"/>
      <c r="OD379" s="770"/>
      <c r="OE379" s="770"/>
      <c r="OF379" s="770"/>
      <c r="OG379" s="770"/>
      <c r="OH379" s="770"/>
      <c r="OI379" s="770"/>
      <c r="OJ379" s="770"/>
      <c r="OK379" s="770"/>
      <c r="OL379" s="770"/>
      <c r="OM379" s="770"/>
      <c r="ON379" s="770"/>
      <c r="OO379" s="770"/>
      <c r="OP379" s="770"/>
      <c r="OQ379" s="770"/>
      <c r="OR379" s="770"/>
      <c r="OS379" s="770"/>
      <c r="OT379" s="770"/>
      <c r="OU379" s="770"/>
      <c r="OV379" s="770"/>
      <c r="OW379" s="770"/>
      <c r="OX379" s="770"/>
      <c r="OY379" s="770"/>
      <c r="OZ379" s="770"/>
      <c r="PA379" s="770"/>
      <c r="PB379" s="770"/>
      <c r="PC379" s="770"/>
      <c r="PD379" s="770"/>
      <c r="PE379" s="770"/>
      <c r="PF379" s="770"/>
      <c r="PG379" s="770"/>
      <c r="PH379" s="770"/>
      <c r="PI379" s="770"/>
      <c r="PJ379" s="770"/>
      <c r="PK379" s="770"/>
      <c r="PL379" s="770"/>
      <c r="PM379" s="770"/>
      <c r="PN379" s="770"/>
      <c r="PO379" s="770"/>
      <c r="PP379" s="770"/>
      <c r="PQ379" s="770"/>
      <c r="PR379" s="770"/>
      <c r="PS379" s="770"/>
      <c r="PT379" s="770"/>
      <c r="PU379" s="770"/>
      <c r="PV379" s="770"/>
      <c r="PW379" s="770"/>
      <c r="PX379" s="770"/>
      <c r="PY379" s="770"/>
      <c r="PZ379" s="770"/>
      <c r="QA379" s="770"/>
      <c r="QB379" s="770"/>
      <c r="QC379" s="770"/>
      <c r="QD379" s="770"/>
      <c r="QE379" s="770"/>
      <c r="QF379" s="770"/>
      <c r="QG379" s="770"/>
      <c r="QH379" s="770"/>
      <c r="QI379" s="770"/>
      <c r="QJ379" s="770"/>
      <c r="QK379" s="770"/>
      <c r="QL379" s="770"/>
      <c r="QM379" s="770"/>
      <c r="QN379" s="770"/>
      <c r="QO379" s="770"/>
      <c r="QP379" s="770"/>
      <c r="QQ379" s="770"/>
      <c r="QR379" s="770"/>
      <c r="QS379" s="770"/>
      <c r="QT379" s="770"/>
      <c r="QU379" s="770"/>
      <c r="QV379" s="770"/>
      <c r="QW379" s="770"/>
      <c r="QX379" s="770"/>
      <c r="QY379" s="770"/>
      <c r="QZ379" s="770"/>
      <c r="RA379" s="770"/>
      <c r="RB379" s="770"/>
      <c r="RC379" s="770"/>
      <c r="RD379" s="770"/>
      <c r="RE379" s="770"/>
      <c r="RF379" s="304"/>
      <c r="RG379" s="770"/>
      <c r="RH379" s="302"/>
      <c r="RI379" s="770"/>
      <c r="RJ379" s="770"/>
      <c r="RK379" s="770"/>
      <c r="RL379" s="1710"/>
      <c r="RM379" s="12"/>
      <c r="RN379" s="1711"/>
      <c r="RO379" s="140" t="s">
        <v>642</v>
      </c>
      <c r="RP379" s="11"/>
      <c r="RQ379" s="11"/>
      <c r="RR379" s="771"/>
      <c r="RS379" s="767"/>
      <c r="RT379" s="11"/>
      <c r="RU379" s="11"/>
      <c r="RV379" s="771" t="s">
        <v>8097</v>
      </c>
      <c r="RW379" s="11" t="s">
        <v>7972</v>
      </c>
      <c r="RX379" s="11" t="s">
        <v>642</v>
      </c>
      <c r="RY379" s="11"/>
      <c r="RZ379" s="11"/>
      <c r="SA379" s="771"/>
      <c r="SB379" s="11"/>
      <c r="SC379" s="11"/>
    </row>
    <row r="380" spans="1:497" ht="12.75" hidden="1" customHeight="1" thickBot="1">
      <c r="A380" s="154" t="s">
        <v>14188</v>
      </c>
      <c r="B380" s="292" t="s">
        <v>7989</v>
      </c>
      <c r="C380" s="140" t="s">
        <v>5686</v>
      </c>
      <c r="D380" s="770" t="s">
        <v>625</v>
      </c>
      <c r="E380" s="770" t="s">
        <v>622</v>
      </c>
      <c r="F380" s="770" t="s">
        <v>28</v>
      </c>
      <c r="G380" s="770" t="s">
        <v>10</v>
      </c>
      <c r="H380" s="770"/>
      <c r="I380" s="295"/>
      <c r="J380" s="770" t="s">
        <v>625</v>
      </c>
      <c r="K380" s="770"/>
      <c r="L380" s="770"/>
      <c r="M380" s="770"/>
      <c r="N380" s="770"/>
      <c r="O380" s="770"/>
      <c r="P380" s="770" t="s">
        <v>11749</v>
      </c>
      <c r="Q380" s="1088">
        <v>30748</v>
      </c>
      <c r="R380" s="297">
        <v>32</v>
      </c>
      <c r="S380" s="770" t="s">
        <v>10</v>
      </c>
      <c r="T380" s="770" t="s">
        <v>11750</v>
      </c>
      <c r="U380" s="298"/>
      <c r="V380" s="770" t="s">
        <v>707</v>
      </c>
      <c r="W380" s="770"/>
      <c r="X380" s="296"/>
      <c r="Y380" s="770" t="s">
        <v>622</v>
      </c>
      <c r="Z380" s="770" t="s">
        <v>708</v>
      </c>
      <c r="AA380" s="770" t="s">
        <v>709</v>
      </c>
      <c r="AB380" s="770" t="s">
        <v>7274</v>
      </c>
      <c r="AC380" s="770"/>
      <c r="AD380" s="770"/>
      <c r="AE380" s="770"/>
      <c r="AF380" s="770"/>
      <c r="AG380" s="770"/>
      <c r="AH380" s="770"/>
      <c r="AI380" s="770"/>
      <c r="AJ380" s="770"/>
      <c r="AK380" s="770" t="s">
        <v>5454</v>
      </c>
      <c r="AL380" s="299"/>
      <c r="AM380" s="300"/>
      <c r="AN380" s="301"/>
      <c r="AO380" s="766"/>
      <c r="AP380" s="766"/>
      <c r="AQ380" s="766"/>
      <c r="AR380" s="766"/>
      <c r="AS380" s="770"/>
      <c r="AT380" s="770"/>
      <c r="AU380" s="770"/>
      <c r="AV380" s="770"/>
      <c r="AW380" s="770"/>
      <c r="AX380" s="770"/>
      <c r="AY380" s="770"/>
      <c r="AZ380" s="770"/>
      <c r="BA380" s="770"/>
      <c r="BB380" s="770"/>
      <c r="BC380" s="770"/>
      <c r="BD380" s="770"/>
      <c r="BE380" s="770"/>
      <c r="BF380" s="302"/>
      <c r="BG380" s="302"/>
      <c r="BH380" s="770"/>
      <c r="BI380" s="770"/>
      <c r="BJ380" s="770"/>
      <c r="BK380" s="770"/>
      <c r="BL380" s="770"/>
      <c r="BM380" s="770"/>
      <c r="BN380" s="770"/>
      <c r="BO380" s="770"/>
      <c r="BP380" s="780"/>
      <c r="BQ380" s="772"/>
      <c r="BR380" s="774"/>
      <c r="BS380" s="766"/>
      <c r="BT380" s="766"/>
      <c r="BU380" s="770"/>
      <c r="BV380" s="770"/>
      <c r="BW380" s="770"/>
      <c r="BX380" s="302"/>
      <c r="BY380" s="303"/>
      <c r="BZ380" s="770"/>
      <c r="CA380" s="302"/>
      <c r="CB380" s="302" t="s">
        <v>1207</v>
      </c>
      <c r="CC380" s="770"/>
      <c r="CD380" s="770"/>
      <c r="CE380" s="770"/>
      <c r="CF380" s="304"/>
      <c r="CG380" s="321"/>
      <c r="CH380" s="770"/>
      <c r="CI380" s="770"/>
      <c r="CJ380" s="770"/>
      <c r="CK380" s="770"/>
      <c r="CL380" s="770"/>
      <c r="CM380" s="770"/>
      <c r="CN380" s="770"/>
      <c r="CO380" s="770"/>
      <c r="CP380" s="770"/>
      <c r="CQ380" s="770"/>
      <c r="CR380" s="770"/>
      <c r="CS380" s="302"/>
      <c r="CT380" s="770"/>
      <c r="CU380" s="305"/>
      <c r="CV380" s="770"/>
      <c r="CW380" s="770"/>
      <c r="CX380" s="770"/>
      <c r="CY380" s="770" t="s">
        <v>1582</v>
      </c>
      <c r="CZ380" s="770"/>
      <c r="DA380" s="306"/>
      <c r="DB380" s="770"/>
      <c r="DC380" s="770" t="s">
        <v>1583</v>
      </c>
      <c r="DD380" s="770" t="s">
        <v>1584</v>
      </c>
      <c r="DE380" s="770" t="s">
        <v>1585</v>
      </c>
      <c r="DF380" s="300">
        <v>2</v>
      </c>
      <c r="DG380" s="770"/>
      <c r="DH380" s="770"/>
      <c r="DI380" s="770"/>
      <c r="DJ380" s="770"/>
      <c r="DK380" s="770"/>
      <c r="DL380" s="770"/>
      <c r="DM380" s="770"/>
      <c r="DN380" s="322"/>
      <c r="DO380" s="770"/>
      <c r="DP380" s="770"/>
      <c r="DQ380" s="770"/>
      <c r="DR380" s="770"/>
      <c r="DS380" s="307"/>
      <c r="DT380" s="770"/>
      <c r="DU380" s="770"/>
      <c r="DV380" s="770"/>
      <c r="DW380" s="306"/>
      <c r="DX380" s="306"/>
      <c r="DY380" s="770"/>
      <c r="DZ380" s="770"/>
      <c r="EA380" s="770"/>
      <c r="EB380" s="770"/>
      <c r="EC380" s="770"/>
      <c r="ED380" s="770"/>
      <c r="EE380" s="770"/>
      <c r="EF380" s="770"/>
      <c r="EG380" s="770"/>
      <c r="EH380" s="770"/>
      <c r="EI380" s="770"/>
      <c r="EJ380" s="770"/>
      <c r="EK380" s="770"/>
      <c r="EL380" s="770"/>
      <c r="EM380" s="770"/>
      <c r="EN380" s="770"/>
      <c r="EO380" s="770"/>
      <c r="EP380" s="94"/>
      <c r="EQ380" s="770"/>
      <c r="ER380" s="770"/>
      <c r="ES380" s="770"/>
      <c r="ET380" s="770"/>
      <c r="EU380" s="770"/>
      <c r="EV380" s="770"/>
      <c r="EW380" s="770"/>
      <c r="EX380" s="770"/>
      <c r="EY380" s="770"/>
      <c r="EZ380" s="770"/>
      <c r="FA380" s="770"/>
      <c r="FB380" s="770"/>
      <c r="FC380" s="770"/>
      <c r="FD380" s="302"/>
      <c r="FE380" s="770"/>
      <c r="FF380" s="770"/>
      <c r="FG380" s="770"/>
      <c r="FH380" s="770"/>
      <c r="FI380" s="770"/>
      <c r="FJ380" s="770"/>
      <c r="FK380" s="770"/>
      <c r="FL380" s="770"/>
      <c r="FM380" s="302"/>
      <c r="FN380" s="302"/>
      <c r="FO380" s="302"/>
      <c r="FP380" s="770"/>
      <c r="FQ380" s="770"/>
      <c r="FR380" s="770"/>
      <c r="FS380" s="770"/>
      <c r="FT380" s="770"/>
      <c r="FU380" s="770"/>
      <c r="FV380" s="770"/>
      <c r="FW380" s="770"/>
      <c r="FX380" s="770"/>
      <c r="FY380" s="770"/>
      <c r="FZ380" s="770"/>
      <c r="GA380" s="770"/>
      <c r="GB380" s="770"/>
      <c r="GC380" s="308"/>
      <c r="GD380" s="297"/>
      <c r="GE380" s="770"/>
      <c r="GF380" s="302"/>
      <c r="GG380" s="302"/>
      <c r="GH380" s="770"/>
      <c r="GI380" s="770"/>
      <c r="GJ380" s="770"/>
      <c r="GK380" s="770"/>
      <c r="GL380" s="770"/>
      <c r="GM380" s="770"/>
      <c r="GN380" s="309"/>
      <c r="GO380" s="770"/>
      <c r="GP380" s="770"/>
      <c r="GQ380" s="770"/>
      <c r="GR380" s="770"/>
      <c r="GS380" s="770"/>
      <c r="GT380" s="770"/>
      <c r="GU380" s="770"/>
      <c r="GV380" s="770"/>
      <c r="GW380" s="770"/>
      <c r="GX380" s="770"/>
      <c r="GY380" s="770"/>
      <c r="GZ380" s="770"/>
      <c r="HA380" s="770"/>
      <c r="HB380" s="770"/>
      <c r="HC380" s="770"/>
      <c r="HD380" s="770"/>
      <c r="HE380" s="770"/>
      <c r="HF380" s="770"/>
      <c r="HG380" s="770"/>
      <c r="HH380" s="770"/>
      <c r="HI380" s="770"/>
      <c r="HJ380" s="770"/>
      <c r="HK380" s="770"/>
      <c r="HL380" s="770"/>
      <c r="HM380" s="770"/>
      <c r="HN380" s="770"/>
      <c r="HO380" s="770"/>
      <c r="HP380" s="770"/>
      <c r="HQ380" s="770"/>
      <c r="HR380" s="770"/>
      <c r="HS380" s="770"/>
      <c r="HT380" s="770"/>
      <c r="HU380" s="770"/>
      <c r="HV380" s="770"/>
      <c r="HW380" s="770"/>
      <c r="HX380" s="770"/>
      <c r="HY380" s="770"/>
      <c r="HZ380" s="770"/>
      <c r="IA380" s="770"/>
      <c r="IB380" s="14" t="e">
        <f>IF(#REF!&gt;0,IF(#REF!&lt;=10000,"Y",""),"")</f>
        <v>#REF!</v>
      </c>
      <c r="IC380" s="770"/>
      <c r="ID380" s="770"/>
      <c r="IE380" s="770"/>
      <c r="IF380" s="770"/>
      <c r="IG380" s="770"/>
      <c r="IH380" s="770"/>
      <c r="II380" s="770"/>
      <c r="IJ380" s="770"/>
      <c r="IK380" s="766"/>
      <c r="IL380" s="770"/>
      <c r="IM380" s="770"/>
      <c r="IN380" s="770"/>
      <c r="IO380" s="296"/>
      <c r="IP380" s="770"/>
      <c r="IQ380" s="770"/>
      <c r="IR380" s="770"/>
      <c r="IS380" s="770"/>
      <c r="IT380" s="770"/>
      <c r="IU380" s="770"/>
      <c r="IV380" s="770"/>
      <c r="IW380" s="770"/>
      <c r="IX380" s="770"/>
      <c r="IY380" s="770"/>
      <c r="IZ380" s="770"/>
      <c r="JA380" s="770"/>
      <c r="JB380" s="770"/>
      <c r="JC380" s="770"/>
      <c r="JD380" s="302"/>
      <c r="JE380" s="770"/>
      <c r="JF380" s="770"/>
      <c r="JG380" s="770"/>
      <c r="JH380" s="770"/>
      <c r="JI380" s="770"/>
      <c r="JJ380" s="770"/>
      <c r="JK380" s="770"/>
      <c r="JL380" s="770"/>
      <c r="JM380" s="770"/>
      <c r="JN380" s="770"/>
      <c r="JO380" s="770"/>
      <c r="JP380" s="770"/>
      <c r="JQ380" s="770"/>
      <c r="JR380" s="770"/>
      <c r="JS380" s="770"/>
      <c r="JT380" s="766"/>
      <c r="JU380" s="766"/>
      <c r="JV380" s="766"/>
      <c r="JW380" s="766"/>
      <c r="JX380" s="770"/>
      <c r="JY380" s="770"/>
      <c r="JZ380" s="770"/>
      <c r="KA380" s="770"/>
      <c r="KB380" s="770"/>
      <c r="KC380" s="770"/>
      <c r="KD380" s="770"/>
      <c r="KE380" s="770"/>
      <c r="KF380" s="770"/>
      <c r="KG380" s="770"/>
      <c r="KH380" s="770"/>
      <c r="KI380" s="770"/>
      <c r="KJ380" s="770"/>
      <c r="KK380" s="770"/>
      <c r="KL380" s="770"/>
      <c r="KM380" s="770"/>
      <c r="KN380" s="770"/>
      <c r="KO380" s="770"/>
      <c r="KP380" s="770"/>
      <c r="KQ380" s="770"/>
      <c r="KR380" s="770"/>
      <c r="KS380" s="770"/>
      <c r="KT380" s="770"/>
      <c r="KU380" s="770"/>
      <c r="KV380" s="770"/>
      <c r="KW380" s="770"/>
      <c r="KX380" s="770"/>
      <c r="KY380" s="770"/>
      <c r="KZ380" s="770"/>
      <c r="LA380" s="770"/>
      <c r="LB380" s="770"/>
      <c r="LC380" s="770"/>
      <c r="LD380" s="770"/>
      <c r="LE380" s="770"/>
      <c r="LF380" s="770"/>
      <c r="LG380" s="770"/>
      <c r="LH380" s="770"/>
      <c r="LI380" s="770"/>
      <c r="LJ380" s="770"/>
      <c r="LK380" s="770"/>
      <c r="LL380" s="770"/>
      <c r="LM380" s="770"/>
      <c r="LN380" s="766"/>
      <c r="LO380" s="766"/>
      <c r="LP380" s="770"/>
      <c r="LQ380" s="770"/>
      <c r="LR380" s="770"/>
      <c r="LS380" s="770"/>
      <c r="LT380" s="770"/>
      <c r="LU380" s="770"/>
      <c r="LV380" s="770"/>
      <c r="LW380" s="770"/>
      <c r="LX380" s="769"/>
      <c r="LY380" s="766" t="str">
        <f t="shared" si="100"/>
        <v/>
      </c>
      <c r="LZ380" s="299"/>
      <c r="MA380" s="306"/>
      <c r="MB380" s="306"/>
      <c r="MC380" s="1679">
        <f t="shared" si="99"/>
        <v>0</v>
      </c>
      <c r="MD380" s="306"/>
      <c r="ME380" s="306"/>
      <c r="MF380" s="306"/>
      <c r="MG380" s="1680">
        <f t="shared" si="97"/>
        <v>0</v>
      </c>
      <c r="MH380" s="770"/>
      <c r="MI380" s="302"/>
      <c r="MJ380" s="302"/>
      <c r="MK380" s="302"/>
      <c r="ML380" s="302"/>
      <c r="MM380" s="302"/>
      <c r="MN380" s="302"/>
      <c r="MO380" s="302"/>
      <c r="MP380" s="302"/>
      <c r="MQ380" s="302"/>
      <c r="MR380" s="302"/>
      <c r="MS380" s="302"/>
      <c r="MT380" s="302"/>
      <c r="MU380" s="302"/>
      <c r="MV380" s="302"/>
      <c r="MW380" s="302"/>
      <c r="MX380" s="302"/>
      <c r="MY380" s="1682">
        <f t="shared" si="98"/>
        <v>0</v>
      </c>
      <c r="MZ380" s="770"/>
      <c r="NA380" s="770"/>
      <c r="NB380" s="770"/>
      <c r="NC380" s="770"/>
      <c r="ND380" s="770"/>
      <c r="NE380" s="770"/>
      <c r="NF380" s="770"/>
      <c r="NG380" s="770"/>
      <c r="NH380" s="770"/>
      <c r="NI380" s="770"/>
      <c r="NJ380" s="770"/>
      <c r="NK380" s="770"/>
      <c r="NL380" s="770"/>
      <c r="NM380" s="770"/>
      <c r="NN380" s="770"/>
      <c r="NO380" s="770"/>
      <c r="NP380" s="770"/>
      <c r="NQ380" s="770"/>
      <c r="NR380" s="770"/>
      <c r="NS380" s="770"/>
      <c r="NT380" s="770"/>
      <c r="NU380" s="770"/>
      <c r="NV380" s="770"/>
      <c r="NW380" s="770"/>
      <c r="NX380" s="770"/>
      <c r="NY380" s="770"/>
      <c r="NZ380" s="770"/>
      <c r="OA380" s="770"/>
      <c r="OB380" s="770"/>
      <c r="OC380" s="770"/>
      <c r="OD380" s="770"/>
      <c r="OE380" s="770"/>
      <c r="OF380" s="770"/>
      <c r="OG380" s="770"/>
      <c r="OH380" s="770"/>
      <c r="OI380" s="770"/>
      <c r="OJ380" s="770"/>
      <c r="OK380" s="770"/>
      <c r="OL380" s="770"/>
      <c r="OM380" s="770"/>
      <c r="ON380" s="770"/>
      <c r="OO380" s="770"/>
      <c r="OP380" s="770"/>
      <c r="OQ380" s="770"/>
      <c r="OR380" s="770"/>
      <c r="OS380" s="770"/>
      <c r="OT380" s="770"/>
      <c r="OU380" s="770"/>
      <c r="OV380" s="770"/>
      <c r="OW380" s="770"/>
      <c r="OX380" s="770"/>
      <c r="OY380" s="770"/>
      <c r="OZ380" s="770"/>
      <c r="PA380" s="770"/>
      <c r="PB380" s="770"/>
      <c r="PC380" s="770"/>
      <c r="PD380" s="770"/>
      <c r="PE380" s="770"/>
      <c r="PF380" s="770"/>
      <c r="PG380" s="770"/>
      <c r="PH380" s="770"/>
      <c r="PI380" s="770"/>
      <c r="PJ380" s="770"/>
      <c r="PK380" s="770"/>
      <c r="PL380" s="770"/>
      <c r="PM380" s="770"/>
      <c r="PN380" s="770"/>
      <c r="PO380" s="770"/>
      <c r="PP380" s="770"/>
      <c r="PQ380" s="770"/>
      <c r="PR380" s="770"/>
      <c r="PS380" s="770"/>
      <c r="PT380" s="770"/>
      <c r="PU380" s="770"/>
      <c r="PV380" s="770"/>
      <c r="PW380" s="770"/>
      <c r="PX380" s="770"/>
      <c r="PY380" s="770"/>
      <c r="PZ380" s="770"/>
      <c r="QA380" s="770"/>
      <c r="QB380" s="770"/>
      <c r="QC380" s="770"/>
      <c r="QD380" s="770"/>
      <c r="QE380" s="770"/>
      <c r="QF380" s="770"/>
      <c r="QG380" s="770"/>
      <c r="QH380" s="770"/>
      <c r="QI380" s="770"/>
      <c r="QJ380" s="770"/>
      <c r="QK380" s="770"/>
      <c r="QL380" s="770"/>
      <c r="QM380" s="770"/>
      <c r="QN380" s="770"/>
      <c r="QO380" s="770"/>
      <c r="QP380" s="770"/>
      <c r="QQ380" s="770"/>
      <c r="QR380" s="770"/>
      <c r="QS380" s="770"/>
      <c r="QT380" s="770"/>
      <c r="QU380" s="770"/>
      <c r="QV380" s="770"/>
      <c r="QW380" s="770"/>
      <c r="QX380" s="770"/>
      <c r="QY380" s="770"/>
      <c r="QZ380" s="770"/>
      <c r="RA380" s="770"/>
      <c r="RB380" s="770"/>
      <c r="RC380" s="770"/>
      <c r="RD380" s="770"/>
      <c r="RE380" s="770"/>
      <c r="RF380" s="304"/>
      <c r="RG380" s="770"/>
      <c r="RH380" s="302"/>
      <c r="RI380" s="770"/>
      <c r="RJ380" s="770" t="s">
        <v>1582</v>
      </c>
      <c r="RK380" s="770" t="s">
        <v>13401</v>
      </c>
      <c r="RL380" s="1710" t="s">
        <v>1604</v>
      </c>
      <c r="RM380" s="12"/>
      <c r="RN380" s="1711"/>
      <c r="RO380" s="140" t="s">
        <v>5686</v>
      </c>
      <c r="RP380" s="11"/>
      <c r="RQ380" s="11"/>
      <c r="RR380" s="771"/>
      <c r="RS380" s="767"/>
      <c r="RT380" s="11"/>
      <c r="RU380" s="11"/>
      <c r="RV380" s="771" t="s">
        <v>8097</v>
      </c>
      <c r="RW380" s="11" t="s">
        <v>5681</v>
      </c>
      <c r="RX380" s="11" t="s">
        <v>642</v>
      </c>
      <c r="RY380" s="11"/>
      <c r="RZ380" s="11"/>
      <c r="SA380" s="771"/>
      <c r="SB380" s="11"/>
      <c r="SC380" s="11"/>
    </row>
    <row r="381" spans="1:497" ht="12.75" hidden="1" customHeight="1" thickBot="1">
      <c r="A381" s="343" t="s">
        <v>7419</v>
      </c>
      <c r="B381" s="292" t="s">
        <v>7990</v>
      </c>
      <c r="C381" s="140" t="s">
        <v>644</v>
      </c>
      <c r="D381" s="770" t="s">
        <v>2014</v>
      </c>
      <c r="E381" s="770" t="s">
        <v>622</v>
      </c>
      <c r="F381" s="770" t="s">
        <v>28</v>
      </c>
      <c r="G381" s="770" t="s">
        <v>10</v>
      </c>
      <c r="H381" s="770"/>
      <c r="I381" s="295" t="s">
        <v>1667</v>
      </c>
      <c r="J381" s="770" t="s">
        <v>2014</v>
      </c>
      <c r="K381" s="770"/>
      <c r="L381" s="770"/>
      <c r="M381" s="770"/>
      <c r="N381" s="770"/>
      <c r="O381" s="770"/>
      <c r="P381" s="770"/>
      <c r="Q381" s="1088"/>
      <c r="R381" s="297"/>
      <c r="S381" s="770"/>
      <c r="T381" s="770"/>
      <c r="U381" s="298"/>
      <c r="V381" s="770"/>
      <c r="W381" s="770"/>
      <c r="X381" s="296"/>
      <c r="Y381" s="770"/>
      <c r="Z381" s="770"/>
      <c r="AA381" s="770"/>
      <c r="AB381" s="770"/>
      <c r="AC381" s="770"/>
      <c r="AD381" s="770"/>
      <c r="AE381" s="770"/>
      <c r="AF381" s="770"/>
      <c r="AG381" s="766" t="s">
        <v>1095</v>
      </c>
      <c r="AH381" s="766" t="s">
        <v>1096</v>
      </c>
      <c r="AI381" s="770" t="s">
        <v>643</v>
      </c>
      <c r="AJ381" s="770"/>
      <c r="AK381" s="766" t="s">
        <v>1097</v>
      </c>
      <c r="AL381" s="299">
        <v>44</v>
      </c>
      <c r="AM381" s="300">
        <v>24</v>
      </c>
      <c r="AN381" s="301">
        <v>0.54549999999999998</v>
      </c>
      <c r="AO381" s="766" t="s">
        <v>1105</v>
      </c>
      <c r="AP381" s="766"/>
      <c r="AQ381" s="766"/>
      <c r="AR381" s="766"/>
      <c r="AS381" s="770" t="s">
        <v>1207</v>
      </c>
      <c r="AT381" s="770"/>
      <c r="AU381" s="770"/>
      <c r="AV381" s="770" t="s">
        <v>1208</v>
      </c>
      <c r="AW381" s="770"/>
      <c r="AX381" s="770"/>
      <c r="AY381" s="770"/>
      <c r="AZ381" s="770"/>
      <c r="BA381" s="770"/>
      <c r="BB381" s="770" t="s">
        <v>5687</v>
      </c>
      <c r="BC381" s="770" t="s">
        <v>796</v>
      </c>
      <c r="BD381" s="770" t="s">
        <v>1207</v>
      </c>
      <c r="BE381" s="770"/>
      <c r="BF381" s="302"/>
      <c r="BG381" s="302"/>
      <c r="BH381" s="770"/>
      <c r="BI381" s="770"/>
      <c r="BJ381" s="770"/>
      <c r="BK381" s="770" t="s">
        <v>1095</v>
      </c>
      <c r="BL381" s="770" t="s">
        <v>643</v>
      </c>
      <c r="BM381" s="766" t="s">
        <v>1096</v>
      </c>
      <c r="BN381" s="770" t="s">
        <v>1230</v>
      </c>
      <c r="BO381" s="766" t="s">
        <v>1239</v>
      </c>
      <c r="BP381" s="1105">
        <v>88</v>
      </c>
      <c r="BQ381" s="1107">
        <v>48</v>
      </c>
      <c r="BR381" s="1106">
        <f>BQ381/BP381</f>
        <v>0.54545454545454541</v>
      </c>
      <c r="BS381" s="6" t="s">
        <v>1105</v>
      </c>
      <c r="BT381" s="766" t="s">
        <v>2040</v>
      </c>
      <c r="BU381" s="770" t="s">
        <v>1249</v>
      </c>
      <c r="BV381" s="770" t="s">
        <v>1247</v>
      </c>
      <c r="BW381" s="769"/>
      <c r="BX381" s="302"/>
      <c r="BY381" s="303"/>
      <c r="BZ381" s="770"/>
      <c r="CA381" s="302"/>
      <c r="CB381" s="302"/>
      <c r="CC381" s="770"/>
      <c r="CD381" s="770"/>
      <c r="CE381" s="770"/>
      <c r="CF381" s="304"/>
      <c r="CG381" s="321"/>
      <c r="CH381" s="770"/>
      <c r="CI381" s="770"/>
      <c r="CJ381" s="770"/>
      <c r="CK381" s="770"/>
      <c r="CL381" s="770"/>
      <c r="CM381" s="770"/>
      <c r="CN381" s="770"/>
      <c r="CO381" s="770"/>
      <c r="CP381" s="770"/>
      <c r="CQ381" s="770"/>
      <c r="CR381" s="770"/>
      <c r="CS381" s="302"/>
      <c r="CT381" s="770"/>
      <c r="CU381" s="305"/>
      <c r="CV381" s="770"/>
      <c r="CW381" s="770"/>
      <c r="CX381" s="770"/>
      <c r="CY381" s="770"/>
      <c r="CZ381" s="770"/>
      <c r="DA381" s="306"/>
      <c r="DB381" s="770"/>
      <c r="DC381" s="770"/>
      <c r="DD381" s="770"/>
      <c r="DE381" s="300"/>
      <c r="DF381" s="770"/>
      <c r="DG381" s="770"/>
      <c r="DH381" s="770"/>
      <c r="DI381" s="770"/>
      <c r="DJ381" s="770"/>
      <c r="DK381" s="770"/>
      <c r="DL381" s="770"/>
      <c r="DM381" s="770"/>
      <c r="DN381" s="322"/>
      <c r="DO381" s="770"/>
      <c r="DP381" s="770"/>
      <c r="DQ381" s="770"/>
      <c r="DR381" s="770"/>
      <c r="DS381" s="307"/>
      <c r="DT381" s="770"/>
      <c r="DU381" s="770"/>
      <c r="DV381" s="770"/>
      <c r="DW381" s="306"/>
      <c r="DX381" s="306"/>
      <c r="DY381" s="770"/>
      <c r="DZ381" s="770"/>
      <c r="EA381" s="770"/>
      <c r="EB381" s="770"/>
      <c r="EC381" s="770"/>
      <c r="ED381" s="770"/>
      <c r="EE381" s="770"/>
      <c r="EF381" s="770"/>
      <c r="EG381" s="770"/>
      <c r="EH381" s="770"/>
      <c r="EI381" s="770"/>
      <c r="EJ381" s="770"/>
      <c r="EK381" s="770"/>
      <c r="EL381" s="770"/>
      <c r="EM381" s="770"/>
      <c r="EN381" s="770"/>
      <c r="EO381" s="770"/>
      <c r="EP381" s="94"/>
      <c r="EQ381" s="770"/>
      <c r="ER381" s="770"/>
      <c r="ES381" s="770"/>
      <c r="ET381" s="770"/>
      <c r="EU381" s="770"/>
      <c r="EV381" s="770"/>
      <c r="EW381" s="770"/>
      <c r="EX381" s="770"/>
      <c r="EY381" s="770"/>
      <c r="EZ381" s="770"/>
      <c r="FA381" s="770"/>
      <c r="FB381" s="770"/>
      <c r="FC381" s="770"/>
      <c r="FD381" s="302"/>
      <c r="FE381" s="770"/>
      <c r="FF381" s="770"/>
      <c r="FG381" s="770"/>
      <c r="FH381" s="770" t="s">
        <v>478</v>
      </c>
      <c r="FI381" s="770">
        <v>3</v>
      </c>
      <c r="FJ381" s="770"/>
      <c r="FK381" s="770"/>
      <c r="FL381" s="770"/>
      <c r="FM381" s="302"/>
      <c r="FN381" s="302"/>
      <c r="FO381" s="302"/>
      <c r="FP381" s="770"/>
      <c r="FQ381" s="770"/>
      <c r="FR381" s="770" t="s">
        <v>1207</v>
      </c>
      <c r="FS381" s="770" t="s">
        <v>1208</v>
      </c>
      <c r="FT381" s="770" t="s">
        <v>1208</v>
      </c>
      <c r="FU381" s="770"/>
      <c r="FV381" s="770"/>
      <c r="FW381" s="770"/>
      <c r="FX381" s="770"/>
      <c r="FY381" s="770"/>
      <c r="FZ381" s="770"/>
      <c r="GA381" s="770"/>
      <c r="GB381" s="770"/>
      <c r="GC381" s="308" t="s">
        <v>643</v>
      </c>
      <c r="GD381" s="297"/>
      <c r="GE381" s="770"/>
      <c r="GF381" s="302"/>
      <c r="GG381" s="302"/>
      <c r="GH381" s="770"/>
      <c r="GI381" s="770"/>
      <c r="GJ381" s="770"/>
      <c r="GK381" s="770"/>
      <c r="GL381" s="770"/>
      <c r="GM381" s="770"/>
      <c r="GN381" s="309"/>
      <c r="GO381" s="770"/>
      <c r="GP381" s="770"/>
      <c r="GQ381" s="770"/>
      <c r="GR381" s="770"/>
      <c r="GS381" s="770"/>
      <c r="GT381" s="770"/>
      <c r="GU381" s="770"/>
      <c r="GV381" s="770"/>
      <c r="GW381" s="770"/>
      <c r="GX381" s="770"/>
      <c r="GY381" s="770"/>
      <c r="GZ381" s="770"/>
      <c r="HA381" s="770"/>
      <c r="HB381" s="770"/>
      <c r="HC381" s="770"/>
      <c r="HD381" s="770"/>
      <c r="HE381" s="770"/>
      <c r="HF381" s="770"/>
      <c r="HG381" s="770"/>
      <c r="HH381" s="770"/>
      <c r="HI381" s="770"/>
      <c r="HJ381" s="770"/>
      <c r="HK381" s="770"/>
      <c r="HL381" s="770"/>
      <c r="HM381" s="770"/>
      <c r="HN381" s="770"/>
      <c r="HO381" s="770"/>
      <c r="HP381" s="770"/>
      <c r="HQ381" s="770"/>
      <c r="HR381" s="770"/>
      <c r="HS381" s="770"/>
      <c r="HT381" s="770"/>
      <c r="HU381" s="770"/>
      <c r="HV381" s="770"/>
      <c r="HW381" s="770"/>
      <c r="HX381" s="770"/>
      <c r="HY381" s="770"/>
      <c r="HZ381" s="770"/>
      <c r="IA381" s="770"/>
      <c r="IB381" s="14" t="e">
        <f>IF(#REF!&gt;0,IF(#REF!&lt;=10000,"Y",""),"")</f>
        <v>#REF!</v>
      </c>
      <c r="IC381" s="770"/>
      <c r="ID381" s="770"/>
      <c r="IE381" s="770"/>
      <c r="IF381" s="770"/>
      <c r="IG381" s="770"/>
      <c r="IH381" s="770"/>
      <c r="II381" s="770"/>
      <c r="IJ381" s="766" t="s">
        <v>1604</v>
      </c>
      <c r="IK381" s="770"/>
      <c r="IL381" s="770"/>
      <c r="IM381" s="770">
        <v>2011</v>
      </c>
      <c r="IN381" s="770"/>
      <c r="IO381" s="296"/>
      <c r="IP381" s="770"/>
      <c r="IQ381" s="769" t="s">
        <v>5498</v>
      </c>
      <c r="IR381" s="770" t="s">
        <v>2716</v>
      </c>
      <c r="IS381" s="770" t="s">
        <v>1879</v>
      </c>
      <c r="IT381" s="770"/>
      <c r="IU381" s="770" t="s">
        <v>1208</v>
      </c>
      <c r="IV381" s="770"/>
      <c r="IW381" s="770"/>
      <c r="IX381" s="770"/>
      <c r="IY381" s="770"/>
      <c r="IZ381" s="770"/>
      <c r="JA381" s="770"/>
      <c r="JB381" s="770"/>
      <c r="JC381" s="770"/>
      <c r="JD381" s="302">
        <v>7500</v>
      </c>
      <c r="JE381" s="770"/>
      <c r="JF381" s="770"/>
      <c r="JG381" s="770"/>
      <c r="JH381" s="770"/>
      <c r="JI381" s="770"/>
      <c r="JJ381" s="770"/>
      <c r="JK381" s="770"/>
      <c r="JL381" s="770"/>
      <c r="JM381" s="770"/>
      <c r="JN381" s="770"/>
      <c r="JO381" s="770"/>
      <c r="JP381" s="770"/>
      <c r="JQ381" s="770"/>
      <c r="JR381" s="770"/>
      <c r="JS381" s="770"/>
      <c r="JT381" s="766"/>
      <c r="JU381" s="766"/>
      <c r="JV381" s="766"/>
      <c r="JW381" s="766"/>
      <c r="JX381" s="770"/>
      <c r="JY381" s="770"/>
      <c r="JZ381" s="770"/>
      <c r="KA381" s="770"/>
      <c r="KB381" s="770"/>
      <c r="KC381" s="770"/>
      <c r="KD381" s="770"/>
      <c r="KE381" s="770"/>
      <c r="KF381" s="770"/>
      <c r="KG381" s="770"/>
      <c r="KH381" s="770"/>
      <c r="KI381" s="770"/>
      <c r="KJ381" s="770"/>
      <c r="KK381" s="770"/>
      <c r="KL381" s="770"/>
      <c r="KM381" s="770"/>
      <c r="KN381" s="770"/>
      <c r="KO381" s="770"/>
      <c r="KP381" s="770"/>
      <c r="KQ381" s="770"/>
      <c r="KR381" s="770"/>
      <c r="KS381" s="770"/>
      <c r="KT381" s="770"/>
      <c r="KU381" s="770"/>
      <c r="KV381" s="770"/>
      <c r="KW381" s="770"/>
      <c r="KX381" s="770"/>
      <c r="KY381" s="770"/>
      <c r="KZ381" s="770"/>
      <c r="LA381" s="770"/>
      <c r="LB381" s="770"/>
      <c r="LC381" s="770"/>
      <c r="LD381" s="770"/>
      <c r="LE381" s="770"/>
      <c r="LF381" s="770"/>
      <c r="LG381" s="770"/>
      <c r="LH381" s="770"/>
      <c r="LI381" s="770"/>
      <c r="LJ381" s="770"/>
      <c r="LK381" s="770"/>
      <c r="LL381" s="770"/>
      <c r="LM381" s="770"/>
      <c r="LN381" s="766"/>
      <c r="LO381" s="766"/>
      <c r="LP381" s="770"/>
      <c r="LQ381" s="770"/>
      <c r="LR381" s="770"/>
      <c r="LS381" s="770"/>
      <c r="LT381" s="770"/>
      <c r="LU381" s="770"/>
      <c r="LV381" s="770"/>
      <c r="LW381" s="770"/>
      <c r="LX381" s="769"/>
      <c r="LY381" s="766" t="str">
        <f t="shared" si="100"/>
        <v/>
      </c>
      <c r="LZ381" s="299"/>
      <c r="MA381" s="1709"/>
      <c r="MB381" s="1709"/>
      <c r="MC381" s="1679">
        <f t="shared" si="99"/>
        <v>0</v>
      </c>
      <c r="MD381" s="1709"/>
      <c r="ME381" s="1709"/>
      <c r="MF381" s="1709"/>
      <c r="MG381" s="1680">
        <f t="shared" si="97"/>
        <v>0</v>
      </c>
      <c r="MH381" s="770"/>
      <c r="MI381" s="302"/>
      <c r="MJ381" s="302"/>
      <c r="MK381" s="302"/>
      <c r="ML381" s="302"/>
      <c r="MM381" s="302"/>
      <c r="MN381" s="302"/>
      <c r="MO381" s="302"/>
      <c r="MP381" s="302"/>
      <c r="MQ381" s="302"/>
      <c r="MR381" s="302"/>
      <c r="MS381" s="302"/>
      <c r="MT381" s="302"/>
      <c r="MU381" s="302"/>
      <c r="MV381" s="302"/>
      <c r="MW381" s="302"/>
      <c r="MX381" s="302"/>
      <c r="MY381" s="1682">
        <f t="shared" si="98"/>
        <v>0</v>
      </c>
      <c r="MZ381" s="770"/>
      <c r="NA381" s="770"/>
      <c r="NB381" s="770"/>
      <c r="NC381" s="770"/>
      <c r="ND381" s="770"/>
      <c r="NE381" s="770"/>
      <c r="NF381" s="770"/>
      <c r="NG381" s="770"/>
      <c r="NH381" s="770"/>
      <c r="NI381" s="770"/>
      <c r="NJ381" s="770"/>
      <c r="NK381" s="770"/>
      <c r="NL381" s="770"/>
      <c r="NM381" s="770"/>
      <c r="NN381" s="770"/>
      <c r="NO381" s="770"/>
      <c r="NP381" s="770"/>
      <c r="NQ381" s="770"/>
      <c r="NR381" s="770"/>
      <c r="NS381" s="770"/>
      <c r="NT381" s="770"/>
      <c r="NU381" s="770"/>
      <c r="NV381" s="770"/>
      <c r="NW381" s="770"/>
      <c r="NX381" s="770"/>
      <c r="NY381" s="770"/>
      <c r="NZ381" s="770"/>
      <c r="OA381" s="770"/>
      <c r="OB381" s="770"/>
      <c r="OC381" s="770"/>
      <c r="OD381" s="770"/>
      <c r="OE381" s="770"/>
      <c r="OF381" s="770"/>
      <c r="OG381" s="770"/>
      <c r="OH381" s="770"/>
      <c r="OI381" s="770"/>
      <c r="OJ381" s="770"/>
      <c r="OK381" s="770"/>
      <c r="OL381" s="770"/>
      <c r="OM381" s="770"/>
      <c r="ON381" s="770"/>
      <c r="OO381" s="770"/>
      <c r="OP381" s="770"/>
      <c r="OQ381" s="770"/>
      <c r="OR381" s="770"/>
      <c r="OS381" s="770"/>
      <c r="OT381" s="770"/>
      <c r="OU381" s="770"/>
      <c r="OV381" s="770"/>
      <c r="OW381" s="770"/>
      <c r="OX381" s="770"/>
      <c r="OY381" s="770"/>
      <c r="OZ381" s="770"/>
      <c r="PA381" s="770"/>
      <c r="PB381" s="770"/>
      <c r="PC381" s="770"/>
      <c r="PD381" s="770"/>
      <c r="PE381" s="770"/>
      <c r="PF381" s="770"/>
      <c r="PG381" s="770"/>
      <c r="PH381" s="770"/>
      <c r="PI381" s="770"/>
      <c r="PJ381" s="770"/>
      <c r="PK381" s="770"/>
      <c r="PL381" s="770"/>
      <c r="PM381" s="770"/>
      <c r="PN381" s="770"/>
      <c r="PO381" s="770"/>
      <c r="PP381" s="770"/>
      <c r="PQ381" s="770"/>
      <c r="PR381" s="770"/>
      <c r="PS381" s="770"/>
      <c r="PT381" s="770"/>
      <c r="PU381" s="770"/>
      <c r="PV381" s="770"/>
      <c r="PW381" s="770"/>
      <c r="PX381" s="770"/>
      <c r="PY381" s="770"/>
      <c r="PZ381" s="770"/>
      <c r="QA381" s="770"/>
      <c r="QB381" s="770"/>
      <c r="QC381" s="770"/>
      <c r="QD381" s="770"/>
      <c r="QE381" s="770"/>
      <c r="QF381" s="770"/>
      <c r="QG381" s="770"/>
      <c r="QH381" s="770"/>
      <c r="QI381" s="770"/>
      <c r="QJ381" s="770"/>
      <c r="QK381" s="770"/>
      <c r="QL381" s="770"/>
      <c r="QM381" s="770"/>
      <c r="QN381" s="770"/>
      <c r="QO381" s="770"/>
      <c r="QP381" s="770"/>
      <c r="QQ381" s="770"/>
      <c r="QR381" s="770"/>
      <c r="QS381" s="770"/>
      <c r="QT381" s="770"/>
      <c r="QU381" s="770"/>
      <c r="QV381" s="770"/>
      <c r="QW381" s="770"/>
      <c r="QX381" s="770"/>
      <c r="QY381" s="770"/>
      <c r="QZ381" s="770"/>
      <c r="RA381" s="770"/>
      <c r="RB381" s="770"/>
      <c r="RC381" s="770"/>
      <c r="RD381" s="770"/>
      <c r="RE381" s="770"/>
      <c r="RF381" s="304"/>
      <c r="RG381" s="770"/>
      <c r="RH381" s="302"/>
      <c r="RI381" s="770"/>
      <c r="RJ381" s="770" t="s">
        <v>643</v>
      </c>
      <c r="RK381" s="770" t="s">
        <v>13461</v>
      </c>
      <c r="RL381" s="1710"/>
      <c r="RM381" s="12"/>
      <c r="RN381" s="1711"/>
      <c r="RO381" s="140" t="s">
        <v>644</v>
      </c>
      <c r="RP381" s="11"/>
      <c r="RQ381" s="11"/>
      <c r="RR381" s="17"/>
      <c r="RS381" s="767"/>
      <c r="RT381" s="11"/>
      <c r="RU381" s="11"/>
      <c r="RV381" s="771" t="s">
        <v>8097</v>
      </c>
      <c r="RW381" s="11" t="s">
        <v>7550</v>
      </c>
      <c r="RX381" s="11" t="s">
        <v>642</v>
      </c>
      <c r="RY381" s="11"/>
      <c r="RZ381" s="11" t="s">
        <v>2209</v>
      </c>
      <c r="SA381" s="771"/>
      <c r="SB381" s="11"/>
      <c r="SC381" s="11"/>
    </row>
    <row r="382" spans="1:497" ht="12.75" hidden="1" customHeight="1">
      <c r="A382" s="343" t="s">
        <v>14189</v>
      </c>
      <c r="B382" s="292" t="s">
        <v>5690</v>
      </c>
      <c r="C382" s="140" t="s">
        <v>644</v>
      </c>
      <c r="D382" s="770" t="s">
        <v>5688</v>
      </c>
      <c r="E382" s="770" t="s">
        <v>622</v>
      </c>
      <c r="F382" s="770" t="s">
        <v>4950</v>
      </c>
      <c r="G382" s="770" t="s">
        <v>18</v>
      </c>
      <c r="H382" s="770"/>
      <c r="I382" s="295" t="s">
        <v>5691</v>
      </c>
      <c r="J382" s="770" t="s">
        <v>5689</v>
      </c>
      <c r="K382" s="770"/>
      <c r="L382" s="770"/>
      <c r="M382" s="770"/>
      <c r="N382" s="770"/>
      <c r="O382" s="770"/>
      <c r="P382" s="766" t="s">
        <v>11751</v>
      </c>
      <c r="Q382" s="1088">
        <v>31577</v>
      </c>
      <c r="R382" s="297">
        <v>28</v>
      </c>
      <c r="S382" s="770" t="s">
        <v>18</v>
      </c>
      <c r="T382" s="770"/>
      <c r="U382" s="298" t="s">
        <v>11752</v>
      </c>
      <c r="V382" s="770" t="s">
        <v>707</v>
      </c>
      <c r="W382" s="770"/>
      <c r="X382" s="296"/>
      <c r="Y382" s="770" t="s">
        <v>622</v>
      </c>
      <c r="Z382" s="770" t="s">
        <v>708</v>
      </c>
      <c r="AA382" s="770" t="s">
        <v>709</v>
      </c>
      <c r="AB382" s="770" t="s">
        <v>7273</v>
      </c>
      <c r="AC382" s="770" t="s">
        <v>724</v>
      </c>
      <c r="AD382" s="770"/>
      <c r="AE382" s="770"/>
      <c r="AF382" s="770" t="s">
        <v>798</v>
      </c>
      <c r="AG382" s="770"/>
      <c r="AH382" s="770"/>
      <c r="AI382" s="770"/>
      <c r="AJ382" s="770"/>
      <c r="AK382" s="770" t="s">
        <v>1899</v>
      </c>
      <c r="AL382" s="299"/>
      <c r="AM382" s="300"/>
      <c r="AN382" s="301"/>
      <c r="AO382" s="766"/>
      <c r="AP382" s="766"/>
      <c r="AQ382" s="766"/>
      <c r="AR382" s="766"/>
      <c r="AS382" s="770"/>
      <c r="AT382" s="770"/>
      <c r="AU382" s="770"/>
      <c r="AV382" s="770"/>
      <c r="AW382" s="770"/>
      <c r="AX382" s="770"/>
      <c r="AY382" s="770"/>
      <c r="AZ382" s="770"/>
      <c r="BA382" s="770"/>
      <c r="BB382" s="770"/>
      <c r="BC382" s="770"/>
      <c r="BD382" s="770"/>
      <c r="BE382" s="770"/>
      <c r="BF382" s="302"/>
      <c r="BG382" s="302"/>
      <c r="BH382" s="770"/>
      <c r="BI382" s="770"/>
      <c r="BJ382" s="770"/>
      <c r="BK382" s="770"/>
      <c r="BL382" s="770"/>
      <c r="BM382" s="770" t="s">
        <v>1238</v>
      </c>
      <c r="BN382" s="770" t="s">
        <v>1256</v>
      </c>
      <c r="BO382" s="770"/>
      <c r="BP382" s="780"/>
      <c r="BQ382" s="772"/>
      <c r="BR382" s="774"/>
      <c r="BS382" s="6" t="s">
        <v>1149</v>
      </c>
      <c r="BT382" s="766"/>
      <c r="BU382" s="770"/>
      <c r="BV382" s="770"/>
      <c r="BW382" s="770"/>
      <c r="BX382" s="302"/>
      <c r="BY382" s="303"/>
      <c r="BZ382" s="770"/>
      <c r="CA382" s="302"/>
      <c r="CB382" s="302"/>
      <c r="CC382" s="770"/>
      <c r="CD382" s="770"/>
      <c r="CE382" s="770"/>
      <c r="CF382" s="770"/>
      <c r="CG382" s="770"/>
      <c r="CH382" s="770"/>
      <c r="CI382" s="770"/>
      <c r="CJ382" s="770"/>
      <c r="CK382" s="770"/>
      <c r="CL382" s="770"/>
      <c r="CM382" s="770"/>
      <c r="CN382" s="770"/>
      <c r="CO382" s="770"/>
      <c r="CP382" s="770"/>
      <c r="CQ382" s="770"/>
      <c r="CR382" s="770"/>
      <c r="CS382" s="302"/>
      <c r="CT382" s="770"/>
      <c r="CU382" s="305"/>
      <c r="CV382" s="770"/>
      <c r="CW382" s="770"/>
      <c r="CX382" s="770"/>
      <c r="CY382" s="770"/>
      <c r="CZ382" s="770"/>
      <c r="DA382" s="770"/>
      <c r="DB382" s="770"/>
      <c r="DC382" s="770"/>
      <c r="DD382" s="770"/>
      <c r="DE382" s="770"/>
      <c r="DF382" s="770"/>
      <c r="DG382" s="770"/>
      <c r="DH382" s="770"/>
      <c r="DI382" s="770"/>
      <c r="DJ382" s="770"/>
      <c r="DK382" s="770"/>
      <c r="DL382" s="770"/>
      <c r="DM382" s="770"/>
      <c r="DN382" s="770"/>
      <c r="DO382" s="770"/>
      <c r="DP382" s="770"/>
      <c r="DQ382" s="770"/>
      <c r="DR382" s="770"/>
      <c r="DS382" s="307"/>
      <c r="DT382" s="770"/>
      <c r="DU382" s="770"/>
      <c r="DV382" s="770"/>
      <c r="DW382" s="306"/>
      <c r="DX382" s="306"/>
      <c r="DY382" s="770"/>
      <c r="DZ382" s="770"/>
      <c r="EA382" s="770"/>
      <c r="EB382" s="770"/>
      <c r="EC382" s="770"/>
      <c r="ED382" s="770"/>
      <c r="EE382" s="770"/>
      <c r="EF382" s="770"/>
      <c r="EG382" s="770"/>
      <c r="EH382" s="770"/>
      <c r="EI382" s="770"/>
      <c r="EJ382" s="770"/>
      <c r="EK382" s="770"/>
      <c r="EL382" s="770"/>
      <c r="EM382" s="770"/>
      <c r="EN382" s="770"/>
      <c r="EO382" s="770"/>
      <c r="EP382" s="770"/>
      <c r="EQ382" s="770"/>
      <c r="ER382" s="770"/>
      <c r="ES382" s="770"/>
      <c r="ET382" s="770"/>
      <c r="EU382" s="770"/>
      <c r="EV382" s="770"/>
      <c r="EW382" s="770"/>
      <c r="EX382" s="770"/>
      <c r="EY382" s="770"/>
      <c r="EZ382" s="770"/>
      <c r="FA382" s="770"/>
      <c r="FB382" s="770"/>
      <c r="FC382" s="770"/>
      <c r="FD382" s="302"/>
      <c r="FE382" s="770"/>
      <c r="FF382" s="770"/>
      <c r="FG382" s="770"/>
      <c r="FH382" s="770" t="s">
        <v>1306</v>
      </c>
      <c r="FI382" s="770">
        <v>1</v>
      </c>
      <c r="FJ382" s="770" t="s">
        <v>643</v>
      </c>
      <c r="FK382" s="770" t="s">
        <v>1667</v>
      </c>
      <c r="FL382" s="770"/>
      <c r="FM382" s="147">
        <v>2500</v>
      </c>
      <c r="FN382" s="302">
        <v>400</v>
      </c>
      <c r="FO382" s="302">
        <v>300</v>
      </c>
      <c r="FP382" s="770" t="s">
        <v>1602</v>
      </c>
      <c r="FQ382" s="770" t="s">
        <v>1660</v>
      </c>
      <c r="FR382" s="12"/>
      <c r="FS382" s="12"/>
      <c r="FT382" s="12"/>
      <c r="FU382" s="12"/>
      <c r="FV382" s="12"/>
      <c r="FW382" s="12"/>
      <c r="FX382" s="12"/>
      <c r="FY382" s="12"/>
      <c r="FZ382" s="12"/>
      <c r="GA382" s="12"/>
      <c r="GB382" s="12"/>
      <c r="GC382" s="12"/>
      <c r="GD382" s="12"/>
      <c r="GE382" s="770"/>
      <c r="GF382" s="302"/>
      <c r="GG382" s="302"/>
      <c r="GH382" s="770"/>
      <c r="GI382" s="770"/>
      <c r="GJ382" s="770"/>
      <c r="GK382" s="770"/>
      <c r="GL382" s="770"/>
      <c r="GM382" s="770"/>
      <c r="GN382" s="309"/>
      <c r="GO382" s="770"/>
      <c r="GP382" s="770"/>
      <c r="GQ382" s="770"/>
      <c r="GR382" s="770"/>
      <c r="GS382" s="770"/>
      <c r="GT382" s="770"/>
      <c r="GU382" s="770"/>
      <c r="GV382" s="770"/>
      <c r="GW382" s="770"/>
      <c r="GX382" s="770"/>
      <c r="GY382" s="770"/>
      <c r="GZ382" s="770"/>
      <c r="HA382" s="770"/>
      <c r="HB382" s="770"/>
      <c r="HC382" s="770"/>
      <c r="HD382" s="770"/>
      <c r="HE382" s="770"/>
      <c r="HF382" s="770"/>
      <c r="HG382" s="770"/>
      <c r="HH382" s="770"/>
      <c r="HI382" s="770"/>
      <c r="HJ382" s="770"/>
      <c r="HK382" s="770"/>
      <c r="HL382" s="770"/>
      <c r="HM382" s="770"/>
      <c r="HN382" s="770"/>
      <c r="HO382" s="770"/>
      <c r="HP382" s="770"/>
      <c r="HQ382" s="770"/>
      <c r="HR382" s="770"/>
      <c r="HS382" s="770"/>
      <c r="HT382" s="770"/>
      <c r="HU382" s="770"/>
      <c r="HV382" s="770"/>
      <c r="HW382" s="770"/>
      <c r="HX382" s="770"/>
      <c r="HY382" s="770"/>
      <c r="HZ382" s="770"/>
      <c r="IA382" s="770"/>
      <c r="IB382" s="14" t="e">
        <f>IF(#REF!&gt;0,IF(#REF!&lt;=10000,"Y",""),"")</f>
        <v>#REF!</v>
      </c>
      <c r="IC382" s="770"/>
      <c r="ID382" s="770"/>
      <c r="IE382" s="770"/>
      <c r="IF382" s="770"/>
      <c r="IG382" s="770"/>
      <c r="IH382" s="770"/>
      <c r="II382" s="770"/>
      <c r="IJ382" s="770"/>
      <c r="IK382" s="770"/>
      <c r="IL382" s="770"/>
      <c r="IM382" s="770"/>
      <c r="IN382" s="770"/>
      <c r="IO382" s="296"/>
      <c r="IP382" s="770"/>
      <c r="IQ382" s="770"/>
      <c r="IR382" s="770"/>
      <c r="IS382" s="770"/>
      <c r="IT382" s="770"/>
      <c r="IU382" s="770"/>
      <c r="IV382" s="770"/>
      <c r="IW382" s="770"/>
      <c r="IX382" s="770"/>
      <c r="IY382" s="770"/>
      <c r="IZ382" s="770"/>
      <c r="JA382" s="770"/>
      <c r="JB382" s="770"/>
      <c r="JC382" s="770"/>
      <c r="JD382" s="302"/>
      <c r="JE382" s="770"/>
      <c r="JF382" s="12"/>
      <c r="JG382" s="12"/>
      <c r="JH382" s="12"/>
      <c r="JI382" s="12"/>
      <c r="JJ382" s="770"/>
      <c r="JK382" s="770"/>
      <c r="JL382" s="770"/>
      <c r="JM382" s="770"/>
      <c r="JN382" s="770"/>
      <c r="JO382" s="770"/>
      <c r="JP382" s="770"/>
      <c r="JQ382" s="770"/>
      <c r="JR382" s="770"/>
      <c r="JS382" s="770"/>
      <c r="JT382" s="766"/>
      <c r="JU382" s="766"/>
      <c r="JV382" s="766"/>
      <c r="JW382" s="766"/>
      <c r="JX382" s="770"/>
      <c r="JY382" s="770"/>
      <c r="JZ382" s="770"/>
      <c r="KA382" s="770"/>
      <c r="KB382" s="770"/>
      <c r="KC382" s="770"/>
      <c r="KD382" s="770"/>
      <c r="KE382" s="770"/>
      <c r="KF382" s="770"/>
      <c r="KG382" s="770"/>
      <c r="KH382" s="770"/>
      <c r="KI382" s="770"/>
      <c r="KJ382" s="770"/>
      <c r="KK382" s="770"/>
      <c r="KL382" s="770"/>
      <c r="KM382" s="770"/>
      <c r="KN382" s="770"/>
      <c r="KO382" s="770"/>
      <c r="KP382" s="770"/>
      <c r="KQ382" s="770"/>
      <c r="KR382" s="770"/>
      <c r="KS382" s="770"/>
      <c r="KT382" s="770"/>
      <c r="KU382" s="770"/>
      <c r="KV382" s="770"/>
      <c r="KW382" s="770"/>
      <c r="KX382" s="770"/>
      <c r="KY382" s="770"/>
      <c r="KZ382" s="770"/>
      <c r="LA382" s="770"/>
      <c r="LB382" s="770"/>
      <c r="LC382" s="770"/>
      <c r="LD382" s="770"/>
      <c r="LE382" s="770"/>
      <c r="LF382" s="770"/>
      <c r="LG382" s="770"/>
      <c r="LH382" s="770"/>
      <c r="LI382" s="770"/>
      <c r="LJ382" s="770"/>
      <c r="LK382" s="770"/>
      <c r="LL382" s="770"/>
      <c r="LM382" s="770"/>
      <c r="LN382" s="766"/>
      <c r="LO382" s="766"/>
      <c r="LP382" s="770"/>
      <c r="LQ382" s="770"/>
      <c r="LR382" s="770"/>
      <c r="LS382" s="770"/>
      <c r="LT382" s="770"/>
      <c r="LU382" s="770"/>
      <c r="LV382" s="770"/>
      <c r="LW382" s="770"/>
      <c r="LX382" s="769"/>
      <c r="LY382" s="766" t="str">
        <f t="shared" si="100"/>
        <v/>
      </c>
      <c r="LZ382" s="299"/>
      <c r="MA382" s="1709"/>
      <c r="MB382" s="1709"/>
      <c r="MC382" s="1679">
        <f t="shared" si="99"/>
        <v>0</v>
      </c>
      <c r="MD382" s="1709"/>
      <c r="ME382" s="1709"/>
      <c r="MF382" s="1709"/>
      <c r="MG382" s="1680">
        <f t="shared" si="97"/>
        <v>0</v>
      </c>
      <c r="MH382" s="770"/>
      <c r="MI382" s="302"/>
      <c r="MJ382" s="302"/>
      <c r="MK382" s="302"/>
      <c r="ML382" s="302"/>
      <c r="MM382" s="302"/>
      <c r="MN382" s="302"/>
      <c r="MO382" s="302"/>
      <c r="MP382" s="302"/>
      <c r="MQ382" s="302"/>
      <c r="MR382" s="302"/>
      <c r="MS382" s="302"/>
      <c r="MT382" s="302"/>
      <c r="MU382" s="302"/>
      <c r="MV382" s="302"/>
      <c r="MW382" s="302"/>
      <c r="MX382" s="302"/>
      <c r="MY382" s="1682">
        <f t="shared" si="98"/>
        <v>0</v>
      </c>
      <c r="MZ382" s="770"/>
      <c r="NA382" s="770"/>
      <c r="NB382" s="770"/>
      <c r="NC382" s="770"/>
      <c r="ND382" s="770"/>
      <c r="NE382" s="770"/>
      <c r="NF382" s="770"/>
      <c r="NG382" s="770"/>
      <c r="NH382" s="770"/>
      <c r="NI382" s="770"/>
      <c r="NJ382" s="770"/>
      <c r="NK382" s="770"/>
      <c r="NL382" s="770"/>
      <c r="NM382" s="770"/>
      <c r="NN382" s="770"/>
      <c r="NO382" s="770"/>
      <c r="NP382" s="770"/>
      <c r="NQ382" s="770"/>
      <c r="NR382" s="770"/>
      <c r="NS382" s="770"/>
      <c r="NT382" s="770"/>
      <c r="NU382" s="770"/>
      <c r="NV382" s="770"/>
      <c r="NW382" s="770"/>
      <c r="NX382" s="770"/>
      <c r="NY382" s="770"/>
      <c r="NZ382" s="770"/>
      <c r="OA382" s="770"/>
      <c r="OB382" s="770"/>
      <c r="OC382" s="770"/>
      <c r="OD382" s="770"/>
      <c r="OE382" s="770"/>
      <c r="OF382" s="770"/>
      <c r="OG382" s="770"/>
      <c r="OH382" s="770"/>
      <c r="OI382" s="770"/>
      <c r="OJ382" s="770"/>
      <c r="OK382" s="770"/>
      <c r="OL382" s="770"/>
      <c r="OM382" s="770"/>
      <c r="ON382" s="770"/>
      <c r="OO382" s="770"/>
      <c r="OP382" s="770"/>
      <c r="OQ382" s="770"/>
      <c r="OR382" s="770"/>
      <c r="OS382" s="770"/>
      <c r="OT382" s="770"/>
      <c r="OU382" s="770"/>
      <c r="OV382" s="770"/>
      <c r="OW382" s="770"/>
      <c r="OX382" s="770"/>
      <c r="OY382" s="770"/>
      <c r="OZ382" s="770"/>
      <c r="PA382" s="770"/>
      <c r="PB382" s="770"/>
      <c r="PC382" s="770"/>
      <c r="PD382" s="770"/>
      <c r="PE382" s="770"/>
      <c r="PF382" s="770"/>
      <c r="PG382" s="770"/>
      <c r="PH382" s="770"/>
      <c r="PI382" s="770"/>
      <c r="PJ382" s="770"/>
      <c r="PK382" s="770"/>
      <c r="PL382" s="770"/>
      <c r="PM382" s="770"/>
      <c r="PN382" s="770"/>
      <c r="PO382" s="770"/>
      <c r="PP382" s="770"/>
      <c r="PQ382" s="770"/>
      <c r="PR382" s="770"/>
      <c r="PS382" s="770"/>
      <c r="PT382" s="770"/>
      <c r="PU382" s="770"/>
      <c r="PV382" s="770"/>
      <c r="PW382" s="770"/>
      <c r="PX382" s="770"/>
      <c r="PY382" s="770"/>
      <c r="PZ382" s="770"/>
      <c r="QA382" s="770"/>
      <c r="QB382" s="770"/>
      <c r="QC382" s="770"/>
      <c r="QD382" s="770"/>
      <c r="QE382" s="770"/>
      <c r="QF382" s="770"/>
      <c r="QG382" s="770"/>
      <c r="QH382" s="770"/>
      <c r="QI382" s="770"/>
      <c r="QJ382" s="770"/>
      <c r="QK382" s="770"/>
      <c r="QL382" s="770"/>
      <c r="QM382" s="770"/>
      <c r="QN382" s="770"/>
      <c r="QO382" s="770"/>
      <c r="QP382" s="770"/>
      <c r="QQ382" s="770"/>
      <c r="QR382" s="770"/>
      <c r="QS382" s="770"/>
      <c r="QT382" s="770"/>
      <c r="QU382" s="770"/>
      <c r="QV382" s="770"/>
      <c r="QW382" s="770"/>
      <c r="QX382" s="770"/>
      <c r="QY382" s="770"/>
      <c r="QZ382" s="770"/>
      <c r="RA382" s="770"/>
      <c r="RB382" s="770"/>
      <c r="RC382" s="770"/>
      <c r="RD382" s="770"/>
      <c r="RE382" s="770"/>
      <c r="RF382" s="304"/>
      <c r="RG382" s="770"/>
      <c r="RH382" s="302"/>
      <c r="RI382" s="770"/>
      <c r="RJ382" s="770" t="s">
        <v>13501</v>
      </c>
      <c r="RK382" s="770" t="s">
        <v>13401</v>
      </c>
      <c r="RL382" s="1733"/>
      <c r="RM382" s="12"/>
      <c r="RN382" s="1711"/>
      <c r="RO382" s="140" t="s">
        <v>644</v>
      </c>
      <c r="RP382" s="11"/>
      <c r="RQ382" s="11"/>
      <c r="RR382" s="17"/>
      <c r="RS382" s="767"/>
      <c r="RT382" s="11"/>
      <c r="RU382" s="11"/>
      <c r="RV382" s="771" t="s">
        <v>8097</v>
      </c>
      <c r="RW382" s="11" t="s">
        <v>7989</v>
      </c>
      <c r="RX382" s="11" t="s">
        <v>5686</v>
      </c>
      <c r="RY382" s="11"/>
      <c r="RZ382" s="11"/>
      <c r="SA382" s="771"/>
      <c r="SB382" s="11"/>
      <c r="SC382" s="11"/>
    </row>
    <row r="383" spans="1:497" ht="12.75" hidden="1" customHeight="1">
      <c r="A383" s="343" t="s">
        <v>14189</v>
      </c>
      <c r="B383" s="292" t="s">
        <v>5692</v>
      </c>
      <c r="C383" s="140" t="s">
        <v>644</v>
      </c>
      <c r="D383" s="770" t="s">
        <v>11753</v>
      </c>
      <c r="E383" s="766" t="s">
        <v>622</v>
      </c>
      <c r="F383" s="770" t="s">
        <v>20</v>
      </c>
      <c r="G383" s="770" t="s">
        <v>18</v>
      </c>
      <c r="H383" s="770"/>
      <c r="I383" s="295" t="s">
        <v>5693</v>
      </c>
      <c r="J383" s="770" t="s">
        <v>1061</v>
      </c>
      <c r="K383" s="770"/>
      <c r="L383" s="770"/>
      <c r="M383" s="770"/>
      <c r="N383" s="770"/>
      <c r="O383" s="770"/>
      <c r="P383" s="94" t="s">
        <v>11754</v>
      </c>
      <c r="Q383" s="1088">
        <v>31041</v>
      </c>
      <c r="R383" s="297">
        <v>32</v>
      </c>
      <c r="S383" s="770" t="s">
        <v>10</v>
      </c>
      <c r="T383" s="770"/>
      <c r="U383" s="298" t="s">
        <v>5693</v>
      </c>
      <c r="V383" s="770" t="s">
        <v>722</v>
      </c>
      <c r="W383" s="770" t="s">
        <v>11753</v>
      </c>
      <c r="X383" s="296"/>
      <c r="Y383" s="770" t="s">
        <v>622</v>
      </c>
      <c r="Z383" s="770" t="s">
        <v>708</v>
      </c>
      <c r="AA383" s="770" t="s">
        <v>748</v>
      </c>
      <c r="AB383" s="770"/>
      <c r="AC383" s="770" t="s">
        <v>724</v>
      </c>
      <c r="AD383" s="770"/>
      <c r="AE383" s="770"/>
      <c r="AF383" s="770"/>
      <c r="AG383" s="770"/>
      <c r="AH383" s="770"/>
      <c r="AI383" s="770"/>
      <c r="AJ383" s="770"/>
      <c r="AK383" s="770" t="s">
        <v>1899</v>
      </c>
      <c r="AL383" s="299"/>
      <c r="AM383" s="300"/>
      <c r="AN383" s="301"/>
      <c r="AO383" s="766"/>
      <c r="AP383" s="766"/>
      <c r="AQ383" s="766"/>
      <c r="AR383" s="766"/>
      <c r="AS383" s="770"/>
      <c r="AT383" s="770"/>
      <c r="AU383" s="770"/>
      <c r="AV383" s="770"/>
      <c r="AW383" s="770"/>
      <c r="AX383" s="770"/>
      <c r="AY383" s="770"/>
      <c r="AZ383" s="770"/>
      <c r="BA383" s="770"/>
      <c r="BB383" s="770"/>
      <c r="BC383" s="770"/>
      <c r="BD383" s="770"/>
      <c r="BE383" s="770"/>
      <c r="BF383" s="302"/>
      <c r="BG383" s="302"/>
      <c r="BH383" s="770"/>
      <c r="BI383" s="770"/>
      <c r="BJ383" s="770"/>
      <c r="BK383" s="770"/>
      <c r="BL383" s="770"/>
      <c r="BM383" s="770" t="s">
        <v>1238</v>
      </c>
      <c r="BN383" s="770" t="s">
        <v>1256</v>
      </c>
      <c r="BO383" s="770"/>
      <c r="BP383" s="780"/>
      <c r="BQ383" s="772"/>
      <c r="BR383" s="774"/>
      <c r="BS383" s="6" t="s">
        <v>1149</v>
      </c>
      <c r="BT383" s="766"/>
      <c r="BU383" s="770"/>
      <c r="BV383" s="770"/>
      <c r="BW383" s="770"/>
      <c r="BX383" s="302"/>
      <c r="BY383" s="303"/>
      <c r="BZ383" s="770"/>
      <c r="CA383" s="302"/>
      <c r="CB383" s="302"/>
      <c r="CC383" s="770"/>
      <c r="CD383" s="770"/>
      <c r="CE383" s="770"/>
      <c r="CF383" s="770"/>
      <c r="CG383" s="770"/>
      <c r="CH383" s="770"/>
      <c r="CI383" s="770"/>
      <c r="CJ383" s="770"/>
      <c r="CK383" s="770"/>
      <c r="CL383" s="770"/>
      <c r="CM383" s="770"/>
      <c r="CN383" s="770"/>
      <c r="CO383" s="770"/>
      <c r="CP383" s="770"/>
      <c r="CQ383" s="770"/>
      <c r="CR383" s="770"/>
      <c r="CS383" s="302"/>
      <c r="CT383" s="770"/>
      <c r="CU383" s="305"/>
      <c r="CV383" s="770"/>
      <c r="CW383" s="770"/>
      <c r="CX383" s="770"/>
      <c r="CY383" s="770"/>
      <c r="CZ383" s="770"/>
      <c r="DA383" s="770"/>
      <c r="DB383" s="770"/>
      <c r="DC383" s="770"/>
      <c r="DD383" s="770"/>
      <c r="DE383" s="770"/>
      <c r="DF383" s="770"/>
      <c r="DG383" s="770"/>
      <c r="DH383" s="770"/>
      <c r="DI383" s="770"/>
      <c r="DJ383" s="770"/>
      <c r="DK383" s="770"/>
      <c r="DL383" s="770"/>
      <c r="DM383" s="770"/>
      <c r="DN383" s="770"/>
      <c r="DO383" s="770"/>
      <c r="DP383" s="770"/>
      <c r="DQ383" s="770"/>
      <c r="DR383" s="770"/>
      <c r="DS383" s="307"/>
      <c r="DT383" s="770"/>
      <c r="DU383" s="770"/>
      <c r="DV383" s="770"/>
      <c r="DW383" s="306"/>
      <c r="DX383" s="306"/>
      <c r="DY383" s="770"/>
      <c r="DZ383" s="770"/>
      <c r="EA383" s="770"/>
      <c r="EB383" s="770"/>
      <c r="EC383" s="770"/>
      <c r="ED383" s="770"/>
      <c r="EE383" s="770"/>
      <c r="EF383" s="770"/>
      <c r="EG383" s="770"/>
      <c r="EH383" s="770"/>
      <c r="EI383" s="770"/>
      <c r="EJ383" s="770"/>
      <c r="EK383" s="770"/>
      <c r="EL383" s="770"/>
      <c r="EM383" s="770"/>
      <c r="EN383" s="770"/>
      <c r="EO383" s="770"/>
      <c r="EP383" s="770"/>
      <c r="EQ383" s="770"/>
      <c r="ER383" s="770"/>
      <c r="ES383" s="770"/>
      <c r="ET383" s="770"/>
      <c r="EU383" s="770"/>
      <c r="EV383" s="770"/>
      <c r="EW383" s="770"/>
      <c r="EX383" s="770"/>
      <c r="EY383" s="770"/>
      <c r="EZ383" s="770"/>
      <c r="FA383" s="770"/>
      <c r="FB383" s="770"/>
      <c r="FC383" s="770"/>
      <c r="FD383" s="302"/>
      <c r="FE383" s="770"/>
      <c r="FF383" s="770"/>
      <c r="FG383" s="770"/>
      <c r="FH383" s="770" t="s">
        <v>1306</v>
      </c>
      <c r="FI383" s="770">
        <v>1</v>
      </c>
      <c r="FJ383" s="770" t="s">
        <v>643</v>
      </c>
      <c r="FK383" s="770" t="s">
        <v>1667</v>
      </c>
      <c r="FL383" s="770"/>
      <c r="FM383" s="147">
        <v>2300</v>
      </c>
      <c r="FN383" s="302">
        <v>400</v>
      </c>
      <c r="FO383" s="302">
        <v>300</v>
      </c>
      <c r="FP383" s="766" t="s">
        <v>1602</v>
      </c>
      <c r="FQ383" s="766" t="s">
        <v>1660</v>
      </c>
      <c r="FR383" s="770"/>
      <c r="FS383" s="770"/>
      <c r="FT383" s="770"/>
      <c r="FU383" s="770"/>
      <c r="FV383" s="770"/>
      <c r="FW383" s="770"/>
      <c r="FX383" s="770"/>
      <c r="FY383" s="770"/>
      <c r="FZ383" s="770"/>
      <c r="GA383" s="770"/>
      <c r="GB383" s="770"/>
      <c r="GC383" s="308"/>
      <c r="GD383" s="297"/>
      <c r="GE383" s="770"/>
      <c r="GF383" s="302"/>
      <c r="GG383" s="302"/>
      <c r="GH383" s="770"/>
      <c r="GI383" s="770"/>
      <c r="GJ383" s="770"/>
      <c r="GK383" s="770"/>
      <c r="GL383" s="770"/>
      <c r="GM383" s="770"/>
      <c r="GN383" s="309"/>
      <c r="GO383" s="770"/>
      <c r="GP383" s="770"/>
      <c r="GQ383" s="770"/>
      <c r="GR383" s="770"/>
      <c r="GS383" s="770"/>
      <c r="GT383" s="770"/>
      <c r="GU383" s="770"/>
      <c r="GV383" s="770"/>
      <c r="GW383" s="770"/>
      <c r="GX383" s="770"/>
      <c r="GY383" s="770"/>
      <c r="GZ383" s="770"/>
      <c r="HA383" s="770"/>
      <c r="HB383" s="770"/>
      <c r="HC383" s="770"/>
      <c r="HD383" s="770"/>
      <c r="HE383" s="770"/>
      <c r="HF383" s="770"/>
      <c r="HG383" s="770"/>
      <c r="HH383" s="770"/>
      <c r="HI383" s="770"/>
      <c r="HJ383" s="770"/>
      <c r="HK383" s="770"/>
      <c r="HL383" s="770"/>
      <c r="HM383" s="770"/>
      <c r="HN383" s="770"/>
      <c r="HO383" s="770"/>
      <c r="HP383" s="770"/>
      <c r="HQ383" s="770"/>
      <c r="HR383" s="770"/>
      <c r="HS383" s="770"/>
      <c r="HT383" s="770"/>
      <c r="HU383" s="770"/>
      <c r="HV383" s="770"/>
      <c r="HW383" s="770"/>
      <c r="HX383" s="770"/>
      <c r="HY383" s="770"/>
      <c r="HZ383" s="770"/>
      <c r="IA383" s="770"/>
      <c r="IB383" s="14" t="e">
        <f>IF(#REF!&gt;0,IF(#REF!&lt;=10000,"Y",""),"")</f>
        <v>#REF!</v>
      </c>
      <c r="IC383" s="770"/>
      <c r="ID383" s="770"/>
      <c r="IE383" s="770"/>
      <c r="IF383" s="770"/>
      <c r="IG383" s="770"/>
      <c r="IH383" s="770"/>
      <c r="II383" s="770"/>
      <c r="IJ383" s="770"/>
      <c r="IK383" s="770"/>
      <c r="IL383" s="770"/>
      <c r="IM383" s="770"/>
      <c r="IN383" s="770"/>
      <c r="IO383" s="296"/>
      <c r="IP383" s="770"/>
      <c r="IQ383" s="770"/>
      <c r="IR383" s="770"/>
      <c r="IS383" s="770"/>
      <c r="IT383" s="770"/>
      <c r="IU383" s="770"/>
      <c r="IV383" s="770"/>
      <c r="IW383" s="770"/>
      <c r="IX383" s="770"/>
      <c r="IY383" s="770"/>
      <c r="IZ383" s="770"/>
      <c r="JA383" s="770"/>
      <c r="JB383" s="770"/>
      <c r="JC383" s="770"/>
      <c r="JD383" s="302"/>
      <c r="JE383" s="770"/>
      <c r="JF383" s="770"/>
      <c r="JG383" s="770"/>
      <c r="JH383" s="770"/>
      <c r="JI383" s="712" t="str">
        <f>IF(SUM(JT383,JU383)=JJ383,"ok","review")</f>
        <v>ok</v>
      </c>
      <c r="JJ383" s="770">
        <v>3</v>
      </c>
      <c r="JK383" s="1139" t="s">
        <v>2123</v>
      </c>
      <c r="JL383" s="766"/>
      <c r="JM383" s="766">
        <v>1</v>
      </c>
      <c r="JN383" s="766">
        <v>1</v>
      </c>
      <c r="JO383" s="766">
        <v>1</v>
      </c>
      <c r="JP383" s="766"/>
      <c r="JQ383" s="766"/>
      <c r="JR383" s="766"/>
      <c r="JS383" s="766"/>
      <c r="JT383" s="766">
        <f>SUM(JP383,JN383,JL383,JR383)</f>
        <v>1</v>
      </c>
      <c r="JU383" s="766">
        <f>SUM(JQ383,JO383,JM383,JS383)</f>
        <v>2</v>
      </c>
      <c r="JV383" s="712" t="str">
        <f>IF(JT383=KJ383,"ok","male")</f>
        <v>ok</v>
      </c>
      <c r="JW383" s="712" t="str">
        <f>IF(JU383=KK383,"ok","female")</f>
        <v>ok</v>
      </c>
      <c r="JX383" s="766"/>
      <c r="JY383" s="766">
        <v>1</v>
      </c>
      <c r="JZ383" s="766"/>
      <c r="KA383" s="766"/>
      <c r="KB383" s="766"/>
      <c r="KC383" s="766">
        <v>1</v>
      </c>
      <c r="KD383" s="766">
        <v>1</v>
      </c>
      <c r="KE383" s="766"/>
      <c r="KF383" s="766"/>
      <c r="KG383" s="766"/>
      <c r="KH383" s="766"/>
      <c r="KI383" s="766"/>
      <c r="KJ383" s="770">
        <f>SUM(KF383,KD383,KB383,JZ383,JX383,KH383)</f>
        <v>1</v>
      </c>
      <c r="KK383" s="770">
        <f>SUM(KG383,KE383,KC383,KA383,JY383,KI383)</f>
        <v>2</v>
      </c>
      <c r="KL383" s="712" t="str">
        <f>IF(KJ383=LN383,"ok","male")</f>
        <v>ok</v>
      </c>
      <c r="KM383" s="712" t="str">
        <f>IF(KK383=LO383,"ok","female")</f>
        <v>ok</v>
      </c>
      <c r="KN383" s="770" t="s">
        <v>722</v>
      </c>
      <c r="KO383" s="770"/>
      <c r="KP383" s="770"/>
      <c r="KQ383" s="770"/>
      <c r="KR383" s="770"/>
      <c r="KS383" s="770"/>
      <c r="KT383" s="770"/>
      <c r="KU383" s="770"/>
      <c r="KV383" s="770"/>
      <c r="KW383" s="770"/>
      <c r="KX383" s="770">
        <v>1</v>
      </c>
      <c r="KY383" s="770">
        <v>1</v>
      </c>
      <c r="KZ383" s="770"/>
      <c r="LA383" s="770"/>
      <c r="LB383" s="770"/>
      <c r="LC383" s="770"/>
      <c r="LD383" s="770"/>
      <c r="LE383" s="770"/>
      <c r="LF383" s="770"/>
      <c r="LG383" s="770"/>
      <c r="LH383" s="770"/>
      <c r="LI383" s="770"/>
      <c r="LJ383" s="770"/>
      <c r="LK383" s="770">
        <v>1</v>
      </c>
      <c r="LL383" s="770"/>
      <c r="LM383" s="770"/>
      <c r="LN383" s="766">
        <f>SUM(KP383,KR383,KT383,KV383,KX383,KZ383,LB383,LD383,LF383,LH383,LJ383,LL383)</f>
        <v>1</v>
      </c>
      <c r="LO383" s="766">
        <f>SUM(KQ383,KS383,KU383,KW383,KY383,LA383,LC383,LE383,LG383,LI383,LK383,LM383)</f>
        <v>2</v>
      </c>
      <c r="LP383" s="770">
        <v>1</v>
      </c>
      <c r="LQ383" s="770">
        <v>1</v>
      </c>
      <c r="LR383" s="770"/>
      <c r="LS383" s="770"/>
      <c r="LT383" s="712" t="str">
        <f>IF(LQ383=SUM(LU383:LW383),"OK","REV")</f>
        <v>OK</v>
      </c>
      <c r="LU383" s="770">
        <v>1</v>
      </c>
      <c r="LV383" s="770"/>
      <c r="LW383" s="770"/>
      <c r="LX383" s="769">
        <v>2</v>
      </c>
      <c r="LY383" s="766" t="str">
        <f t="shared" si="100"/>
        <v>within the MUNICIPALITY</v>
      </c>
      <c r="LZ383" s="299"/>
      <c r="MA383" s="1709"/>
      <c r="MB383" s="1709"/>
      <c r="MC383" s="1679">
        <f t="shared" si="99"/>
        <v>0</v>
      </c>
      <c r="MD383" s="1709">
        <v>11500</v>
      </c>
      <c r="ME383" s="1709"/>
      <c r="MF383" s="1709"/>
      <c r="MG383" s="1680">
        <f>SUM(MD383:MF383)</f>
        <v>11500</v>
      </c>
      <c r="MH383" s="770"/>
      <c r="MI383" s="302">
        <v>4500</v>
      </c>
      <c r="MJ383" s="302"/>
      <c r="MK383" s="302">
        <v>125</v>
      </c>
      <c r="ML383" s="302"/>
      <c r="MM383" s="302"/>
      <c r="MN383" s="302">
        <v>2300</v>
      </c>
      <c r="MO383" s="302">
        <v>50</v>
      </c>
      <c r="MP383" s="302">
        <v>300</v>
      </c>
      <c r="MQ383" s="302">
        <v>350</v>
      </c>
      <c r="MR383" s="302">
        <v>400</v>
      </c>
      <c r="MS383" s="302"/>
      <c r="MT383" s="302"/>
      <c r="MU383" s="302"/>
      <c r="MV383" s="302"/>
      <c r="MW383" s="302"/>
      <c r="MX383" s="302"/>
      <c r="MY383" s="1682">
        <f t="shared" si="98"/>
        <v>8025</v>
      </c>
      <c r="MZ383" s="770" t="s">
        <v>13370</v>
      </c>
      <c r="NA383" s="770" t="s">
        <v>13005</v>
      </c>
      <c r="NB383" s="770" t="s">
        <v>13164</v>
      </c>
      <c r="NC383" s="770" t="s">
        <v>13026</v>
      </c>
      <c r="ND383" s="770">
        <v>0</v>
      </c>
      <c r="NE383" s="770">
        <v>0</v>
      </c>
      <c r="NF383" s="770">
        <v>0</v>
      </c>
      <c r="NG383" s="770">
        <v>1</v>
      </c>
      <c r="NH383" s="770">
        <v>1</v>
      </c>
      <c r="NI383" s="770">
        <v>0</v>
      </c>
      <c r="NJ383" s="770">
        <v>0</v>
      </c>
      <c r="NK383" s="770">
        <v>0</v>
      </c>
      <c r="NL383" s="770">
        <v>1</v>
      </c>
      <c r="NM383" s="770">
        <v>1</v>
      </c>
      <c r="NN383" s="770">
        <v>0</v>
      </c>
      <c r="NO383" s="770">
        <v>0</v>
      </c>
      <c r="NP383" s="770">
        <v>0</v>
      </c>
      <c r="NQ383" s="770">
        <v>0</v>
      </c>
      <c r="NR383" s="770">
        <v>0</v>
      </c>
      <c r="NS383" s="770">
        <v>0</v>
      </c>
      <c r="NT383" s="770">
        <v>0</v>
      </c>
      <c r="NU383" s="770">
        <v>0</v>
      </c>
      <c r="NV383" s="770">
        <v>0</v>
      </c>
      <c r="NW383" s="770">
        <v>0</v>
      </c>
      <c r="NX383" s="770">
        <v>0</v>
      </c>
      <c r="NY383" s="770" t="s">
        <v>1208</v>
      </c>
      <c r="NZ383" s="770"/>
      <c r="OA383" s="770" t="s">
        <v>1208</v>
      </c>
      <c r="OB383" s="770" t="s">
        <v>1208</v>
      </c>
      <c r="OC383" s="770" t="s">
        <v>1208</v>
      </c>
      <c r="OD383" s="770" t="s">
        <v>1208</v>
      </c>
      <c r="OE383" s="770"/>
      <c r="OF383" s="770"/>
      <c r="OG383" s="770"/>
      <c r="OH383" s="770"/>
      <c r="OI383" s="770"/>
      <c r="OJ383" s="770"/>
      <c r="OK383" s="770"/>
      <c r="OL383" s="770"/>
      <c r="OM383" s="770"/>
      <c r="ON383" s="770"/>
      <c r="OO383" s="770"/>
      <c r="OP383" s="770"/>
      <c r="OQ383" s="770"/>
      <c r="OR383" s="770"/>
      <c r="OS383" s="770"/>
      <c r="OT383" s="770"/>
      <c r="OU383" s="770"/>
      <c r="OV383" s="770"/>
      <c r="OW383" s="770"/>
      <c r="OX383" s="770"/>
      <c r="OY383" s="770"/>
      <c r="OZ383" s="770"/>
      <c r="PA383" s="770"/>
      <c r="PB383" s="770"/>
      <c r="PC383" s="770"/>
      <c r="PD383" s="770"/>
      <c r="PE383" s="770"/>
      <c r="PF383" s="770" t="s">
        <v>1208</v>
      </c>
      <c r="PG383" s="770"/>
      <c r="PH383" s="770"/>
      <c r="PI383" s="770"/>
      <c r="PJ383" s="770"/>
      <c r="PK383" s="770" t="s">
        <v>1208</v>
      </c>
      <c r="PL383" s="770"/>
      <c r="PM383" s="770"/>
      <c r="PN383" s="770"/>
      <c r="PO383" s="770"/>
      <c r="PP383" s="770"/>
      <c r="PQ383" s="770"/>
      <c r="PR383" s="770"/>
      <c r="PS383" s="770"/>
      <c r="PT383" s="770"/>
      <c r="PU383" s="770"/>
      <c r="PV383" s="770"/>
      <c r="PW383" s="770"/>
      <c r="PX383" s="770"/>
      <c r="PY383" s="770"/>
      <c r="PZ383" s="770"/>
      <c r="QA383" s="770"/>
      <c r="QB383" s="770"/>
      <c r="QC383" s="770"/>
      <c r="QD383" s="770"/>
      <c r="QE383" s="770"/>
      <c r="QF383" s="770"/>
      <c r="QG383" s="770"/>
      <c r="QH383" s="770"/>
      <c r="QI383" s="770"/>
      <c r="QJ383" s="770"/>
      <c r="QK383" s="770"/>
      <c r="QL383" s="770"/>
      <c r="QM383" s="770"/>
      <c r="QN383" s="770"/>
      <c r="QO383" s="770"/>
      <c r="QP383" s="770"/>
      <c r="QQ383" s="770"/>
      <c r="QR383" s="770"/>
      <c r="QS383" s="770"/>
      <c r="QT383" s="770"/>
      <c r="QU383" s="770"/>
      <c r="QV383" s="770"/>
      <c r="QW383" s="770"/>
      <c r="QX383" s="770"/>
      <c r="QY383" s="770"/>
      <c r="QZ383" s="770"/>
      <c r="RA383" s="770"/>
      <c r="RB383" s="770" t="s">
        <v>1214</v>
      </c>
      <c r="RC383" s="770"/>
      <c r="RD383" s="770"/>
      <c r="RE383" s="770"/>
      <c r="RF383" s="304"/>
      <c r="RG383" s="770"/>
      <c r="RH383" s="302"/>
      <c r="RI383" s="770"/>
      <c r="RJ383" s="770" t="s">
        <v>2190</v>
      </c>
      <c r="RK383" s="770" t="s">
        <v>13401</v>
      </c>
      <c r="RL383" s="1710"/>
      <c r="RM383" s="12"/>
      <c r="RN383" s="1711"/>
      <c r="RO383" s="140" t="s">
        <v>644</v>
      </c>
      <c r="RP383" s="11"/>
      <c r="RQ383" s="11"/>
      <c r="RR383" s="343" t="s">
        <v>12458</v>
      </c>
      <c r="RS383" s="1139" t="s">
        <v>12980</v>
      </c>
      <c r="RT383" s="11"/>
      <c r="RU383" s="11"/>
      <c r="RV383" s="771" t="s">
        <v>7419</v>
      </c>
      <c r="RW383" s="11" t="s">
        <v>7990</v>
      </c>
      <c r="RX383" s="11" t="s">
        <v>644</v>
      </c>
      <c r="RY383" s="11"/>
      <c r="RZ383" s="11"/>
      <c r="SA383" s="771"/>
      <c r="SB383" s="11"/>
      <c r="SC383" s="11"/>
    </row>
    <row r="384" spans="1:497" ht="12.75" hidden="1" customHeight="1">
      <c r="A384" s="343" t="s">
        <v>14189</v>
      </c>
      <c r="B384" s="750" t="s">
        <v>7659</v>
      </c>
      <c r="C384" s="140" t="s">
        <v>644</v>
      </c>
      <c r="D384" s="770" t="s">
        <v>488</v>
      </c>
      <c r="E384" s="770" t="s">
        <v>622</v>
      </c>
      <c r="F384" s="770"/>
      <c r="G384" s="770"/>
      <c r="H384" s="770"/>
      <c r="I384" s="295"/>
      <c r="J384" s="770"/>
      <c r="K384" s="770"/>
      <c r="L384" s="770"/>
      <c r="M384" s="770"/>
      <c r="N384" s="770"/>
      <c r="O384" s="770"/>
      <c r="P384" s="94"/>
      <c r="Q384" s="1088"/>
      <c r="R384" s="297"/>
      <c r="S384" s="770"/>
      <c r="T384" s="770"/>
      <c r="U384" s="298"/>
      <c r="V384" s="770"/>
      <c r="W384" s="770"/>
      <c r="X384" s="296"/>
      <c r="Y384" s="770"/>
      <c r="Z384" s="770"/>
      <c r="AA384" s="770"/>
      <c r="AB384" s="770"/>
      <c r="AC384" s="770"/>
      <c r="AD384" s="770"/>
      <c r="AE384" s="770"/>
      <c r="AF384" s="770"/>
      <c r="AG384" s="770"/>
      <c r="AH384" s="770"/>
      <c r="AI384" s="770"/>
      <c r="AJ384" s="770"/>
      <c r="AK384" s="770" t="s">
        <v>1899</v>
      </c>
      <c r="AL384" s="299"/>
      <c r="AM384" s="300"/>
      <c r="AN384" s="301"/>
      <c r="AO384" s="766"/>
      <c r="AP384" s="766"/>
      <c r="AQ384" s="766"/>
      <c r="AR384" s="766"/>
      <c r="AS384" s="770"/>
      <c r="AT384" s="770"/>
      <c r="AU384" s="770"/>
      <c r="AV384" s="770"/>
      <c r="AW384" s="770"/>
      <c r="AX384" s="770"/>
      <c r="AY384" s="770"/>
      <c r="AZ384" s="770"/>
      <c r="BA384" s="770"/>
      <c r="BB384" s="770"/>
      <c r="BC384" s="770"/>
      <c r="BD384" s="770"/>
      <c r="BE384" s="770"/>
      <c r="BF384" s="302"/>
      <c r="BG384" s="302"/>
      <c r="BH384" s="770"/>
      <c r="BI384" s="770"/>
      <c r="BJ384" s="770"/>
      <c r="BK384" s="770"/>
      <c r="BL384" s="770"/>
      <c r="BM384" s="770" t="s">
        <v>1238</v>
      </c>
      <c r="BN384" s="770" t="s">
        <v>1256</v>
      </c>
      <c r="BO384" s="770"/>
      <c r="BP384" s="780"/>
      <c r="BQ384" s="772"/>
      <c r="BR384" s="774"/>
      <c r="BS384" s="6" t="s">
        <v>1149</v>
      </c>
      <c r="BT384" s="766"/>
      <c r="BU384" s="770"/>
      <c r="BV384" s="770"/>
      <c r="BW384" s="770"/>
      <c r="BX384" s="302"/>
      <c r="BY384" s="303"/>
      <c r="BZ384" s="770"/>
      <c r="CA384" s="302"/>
      <c r="CB384" s="302"/>
      <c r="CC384" s="770"/>
      <c r="CD384" s="770"/>
      <c r="CE384" s="770"/>
      <c r="CF384" s="770"/>
      <c r="CG384" s="770"/>
      <c r="CH384" s="770"/>
      <c r="CI384" s="770"/>
      <c r="CJ384" s="770"/>
      <c r="CK384" s="770"/>
      <c r="CL384" s="770"/>
      <c r="CM384" s="770"/>
      <c r="CN384" s="770"/>
      <c r="CO384" s="770"/>
      <c r="CP384" s="770"/>
      <c r="CQ384" s="770"/>
      <c r="CR384" s="770"/>
      <c r="CS384" s="302"/>
      <c r="CT384" s="770"/>
      <c r="CU384" s="305"/>
      <c r="CV384" s="770"/>
      <c r="CW384" s="770"/>
      <c r="CX384" s="770"/>
      <c r="CY384" s="770"/>
      <c r="CZ384" s="770"/>
      <c r="DA384" s="770"/>
      <c r="DB384" s="770"/>
      <c r="DC384" s="770"/>
      <c r="DD384" s="770"/>
      <c r="DE384" s="770"/>
      <c r="DF384" s="770"/>
      <c r="DG384" s="770"/>
      <c r="DH384" s="770"/>
      <c r="DI384" s="770"/>
      <c r="DJ384" s="770"/>
      <c r="DK384" s="770"/>
      <c r="DL384" s="770"/>
      <c r="DM384" s="770"/>
      <c r="DN384" s="770"/>
      <c r="DO384" s="770"/>
      <c r="DP384" s="770"/>
      <c r="DQ384" s="770"/>
      <c r="DR384" s="770"/>
      <c r="DS384" s="307"/>
      <c r="DT384" s="770"/>
      <c r="DU384" s="770"/>
      <c r="DV384" s="770"/>
      <c r="DW384" s="306"/>
      <c r="DX384" s="306"/>
      <c r="DY384" s="770"/>
      <c r="DZ384" s="770"/>
      <c r="EA384" s="770"/>
      <c r="EB384" s="770"/>
      <c r="EC384" s="770"/>
      <c r="ED384" s="770"/>
      <c r="EE384" s="770"/>
      <c r="EF384" s="770"/>
      <c r="EG384" s="770"/>
      <c r="EH384" s="770"/>
      <c r="EI384" s="770"/>
      <c r="EJ384" s="770"/>
      <c r="EK384" s="770"/>
      <c r="EL384" s="770"/>
      <c r="EM384" s="770"/>
      <c r="EN384" s="770"/>
      <c r="EO384" s="770"/>
      <c r="EP384" s="770"/>
      <c r="EQ384" s="770"/>
      <c r="ER384" s="770"/>
      <c r="ES384" s="770"/>
      <c r="ET384" s="770"/>
      <c r="EU384" s="770"/>
      <c r="EV384" s="770"/>
      <c r="EW384" s="770"/>
      <c r="EX384" s="770"/>
      <c r="EY384" s="770"/>
      <c r="EZ384" s="770"/>
      <c r="FA384" s="770"/>
      <c r="FB384" s="770"/>
      <c r="FC384" s="770"/>
      <c r="FD384" s="302"/>
      <c r="FE384" s="770"/>
      <c r="FF384" s="770"/>
      <c r="FG384" s="770"/>
      <c r="FH384" s="770" t="s">
        <v>1306</v>
      </c>
      <c r="FI384" s="770">
        <v>1</v>
      </c>
      <c r="FJ384" s="770" t="s">
        <v>643</v>
      </c>
      <c r="FK384" s="770" t="s">
        <v>1667</v>
      </c>
      <c r="FL384" s="770"/>
      <c r="FM384" s="147">
        <v>2700</v>
      </c>
      <c r="FN384" s="302">
        <v>400</v>
      </c>
      <c r="FO384" s="302">
        <v>300</v>
      </c>
      <c r="FP384" s="770"/>
      <c r="FQ384" s="770"/>
      <c r="FR384" s="770"/>
      <c r="FS384" s="770"/>
      <c r="FT384" s="770"/>
      <c r="FU384" s="770"/>
      <c r="FV384" s="770"/>
      <c r="FW384" s="770"/>
      <c r="FX384" s="770"/>
      <c r="FY384" s="770"/>
      <c r="FZ384" s="770"/>
      <c r="GA384" s="770"/>
      <c r="GB384" s="770"/>
      <c r="GC384" s="308"/>
      <c r="GD384" s="297"/>
      <c r="GE384" s="770"/>
      <c r="GF384" s="302"/>
      <c r="GG384" s="302"/>
      <c r="GH384" s="770"/>
      <c r="GI384" s="770"/>
      <c r="GJ384" s="770"/>
      <c r="GK384" s="770"/>
      <c r="GL384" s="770"/>
      <c r="GM384" s="770"/>
      <c r="GN384" s="309"/>
      <c r="GO384" s="770"/>
      <c r="GP384" s="770"/>
      <c r="GQ384" s="770"/>
      <c r="GR384" s="770"/>
      <c r="GS384" s="770"/>
      <c r="GT384" s="770"/>
      <c r="GU384" s="770"/>
      <c r="GV384" s="770"/>
      <c r="GW384" s="770"/>
      <c r="GX384" s="770"/>
      <c r="GY384" s="770"/>
      <c r="GZ384" s="770"/>
      <c r="HA384" s="770"/>
      <c r="HB384" s="770"/>
      <c r="HC384" s="770"/>
      <c r="HD384" s="770"/>
      <c r="HE384" s="770"/>
      <c r="HF384" s="770"/>
      <c r="HG384" s="770"/>
      <c r="HH384" s="770"/>
      <c r="HI384" s="770"/>
      <c r="HJ384" s="770"/>
      <c r="HK384" s="770"/>
      <c r="HL384" s="770"/>
      <c r="HM384" s="770"/>
      <c r="HN384" s="770"/>
      <c r="HO384" s="770"/>
      <c r="HP384" s="770"/>
      <c r="HQ384" s="770"/>
      <c r="HR384" s="770"/>
      <c r="HS384" s="770"/>
      <c r="HT384" s="770"/>
      <c r="HU384" s="770"/>
      <c r="HV384" s="770"/>
      <c r="HW384" s="770"/>
      <c r="HX384" s="770"/>
      <c r="HY384" s="770"/>
      <c r="HZ384" s="770"/>
      <c r="IA384" s="770"/>
      <c r="IB384" s="14" t="e">
        <f>IF(#REF!&gt;0,IF(#REF!&lt;=10000,"Y",""),"")</f>
        <v>#REF!</v>
      </c>
      <c r="IC384" s="770"/>
      <c r="ID384" s="770"/>
      <c r="IE384" s="770"/>
      <c r="IF384" s="770"/>
      <c r="IG384" s="770"/>
      <c r="IH384" s="770"/>
      <c r="II384" s="770"/>
      <c r="IJ384" s="770"/>
      <c r="IK384" s="770"/>
      <c r="IL384" s="770"/>
      <c r="IM384" s="770"/>
      <c r="IN384" s="770"/>
      <c r="IO384" s="296"/>
      <c r="IP384" s="770"/>
      <c r="IQ384" s="770"/>
      <c r="IR384" s="770"/>
      <c r="IS384" s="770"/>
      <c r="IT384" s="770"/>
      <c r="IU384" s="770"/>
      <c r="IV384" s="770"/>
      <c r="IW384" s="770"/>
      <c r="IX384" s="770"/>
      <c r="IY384" s="770"/>
      <c r="IZ384" s="770"/>
      <c r="JA384" s="770"/>
      <c r="JB384" s="770"/>
      <c r="JC384" s="770"/>
      <c r="JD384" s="302"/>
      <c r="JE384" s="770"/>
      <c r="JF384" s="770"/>
      <c r="JG384" s="770"/>
      <c r="JH384" s="770"/>
      <c r="JI384" s="770"/>
      <c r="JJ384" s="770"/>
      <c r="JK384" s="770"/>
      <c r="JL384" s="770"/>
      <c r="JM384" s="770"/>
      <c r="JN384" s="770"/>
      <c r="JO384" s="770"/>
      <c r="JP384" s="770"/>
      <c r="JQ384" s="770"/>
      <c r="JR384" s="770"/>
      <c r="JS384" s="770"/>
      <c r="JT384" s="766"/>
      <c r="JU384" s="766"/>
      <c r="JV384" s="766"/>
      <c r="JW384" s="766"/>
      <c r="JX384" s="770"/>
      <c r="JY384" s="770"/>
      <c r="JZ384" s="770"/>
      <c r="KA384" s="770"/>
      <c r="KB384" s="770"/>
      <c r="KC384" s="770"/>
      <c r="KD384" s="770"/>
      <c r="KE384" s="770"/>
      <c r="KF384" s="770"/>
      <c r="KG384" s="770"/>
      <c r="KH384" s="770"/>
      <c r="KI384" s="770"/>
      <c r="KJ384" s="770"/>
      <c r="KK384" s="770"/>
      <c r="KL384" s="770"/>
      <c r="KM384" s="770"/>
      <c r="KN384" s="770"/>
      <c r="KO384" s="770"/>
      <c r="KP384" s="770"/>
      <c r="KQ384" s="770"/>
      <c r="KR384" s="770"/>
      <c r="KS384" s="770"/>
      <c r="KT384" s="770"/>
      <c r="KU384" s="770"/>
      <c r="KV384" s="770"/>
      <c r="KW384" s="770"/>
      <c r="KX384" s="770"/>
      <c r="KY384" s="770"/>
      <c r="KZ384" s="770"/>
      <c r="LA384" s="770"/>
      <c r="LB384" s="770"/>
      <c r="LC384" s="770"/>
      <c r="LD384" s="770"/>
      <c r="LE384" s="770"/>
      <c r="LF384" s="770"/>
      <c r="LG384" s="770"/>
      <c r="LH384" s="770"/>
      <c r="LI384" s="770"/>
      <c r="LJ384" s="770"/>
      <c r="LK384" s="770"/>
      <c r="LL384" s="770"/>
      <c r="LM384" s="770"/>
      <c r="LN384" s="766"/>
      <c r="LO384" s="766"/>
      <c r="LP384" s="770"/>
      <c r="LQ384" s="770"/>
      <c r="LR384" s="770"/>
      <c r="LS384" s="770"/>
      <c r="LT384" s="770"/>
      <c r="LU384" s="770"/>
      <c r="LV384" s="770"/>
      <c r="LW384" s="770"/>
      <c r="LX384" s="769"/>
      <c r="LY384" s="766" t="str">
        <f t="shared" si="100"/>
        <v/>
      </c>
      <c r="LZ384" s="299"/>
      <c r="MA384" s="1709"/>
      <c r="MB384" s="1709"/>
      <c r="MC384" s="1679">
        <f t="shared" si="99"/>
        <v>0</v>
      </c>
      <c r="MD384" s="1709"/>
      <c r="ME384" s="1709"/>
      <c r="MF384" s="1709"/>
      <c r="MG384" s="1680">
        <f t="shared" si="97"/>
        <v>0</v>
      </c>
      <c r="MH384" s="770"/>
      <c r="MI384" s="302"/>
      <c r="MJ384" s="302"/>
      <c r="MK384" s="302"/>
      <c r="ML384" s="302"/>
      <c r="MM384" s="302"/>
      <c r="MN384" s="302"/>
      <c r="MO384" s="302"/>
      <c r="MP384" s="302"/>
      <c r="MQ384" s="302"/>
      <c r="MR384" s="302"/>
      <c r="MS384" s="302"/>
      <c r="MT384" s="302"/>
      <c r="MU384" s="302"/>
      <c r="MV384" s="302"/>
      <c r="MW384" s="302"/>
      <c r="MX384" s="302"/>
      <c r="MY384" s="1682">
        <f t="shared" si="98"/>
        <v>0</v>
      </c>
      <c r="MZ384" s="770"/>
      <c r="NA384" s="770"/>
      <c r="NB384" s="770"/>
      <c r="NC384" s="770"/>
      <c r="ND384" s="770"/>
      <c r="NE384" s="770"/>
      <c r="NF384" s="770"/>
      <c r="NG384" s="770"/>
      <c r="NH384" s="770"/>
      <c r="NI384" s="770"/>
      <c r="NJ384" s="770"/>
      <c r="NK384" s="770"/>
      <c r="NL384" s="770"/>
      <c r="NM384" s="770"/>
      <c r="NN384" s="770"/>
      <c r="NO384" s="770"/>
      <c r="NP384" s="770"/>
      <c r="NQ384" s="770"/>
      <c r="NR384" s="770"/>
      <c r="NS384" s="770"/>
      <c r="NT384" s="770"/>
      <c r="NU384" s="770"/>
      <c r="NV384" s="770"/>
      <c r="NW384" s="770"/>
      <c r="NX384" s="770"/>
      <c r="NY384" s="770"/>
      <c r="NZ384" s="770"/>
      <c r="OA384" s="770"/>
      <c r="OB384" s="770"/>
      <c r="OC384" s="770"/>
      <c r="OD384" s="770"/>
      <c r="OE384" s="770"/>
      <c r="OF384" s="770"/>
      <c r="OG384" s="770"/>
      <c r="OH384" s="770"/>
      <c r="OI384" s="770"/>
      <c r="OJ384" s="770"/>
      <c r="OK384" s="770"/>
      <c r="OL384" s="770"/>
      <c r="OM384" s="770"/>
      <c r="ON384" s="770"/>
      <c r="OO384" s="770"/>
      <c r="OP384" s="770"/>
      <c r="OQ384" s="770"/>
      <c r="OR384" s="770"/>
      <c r="OS384" s="770"/>
      <c r="OT384" s="770"/>
      <c r="OU384" s="770"/>
      <c r="OV384" s="770"/>
      <c r="OW384" s="770"/>
      <c r="OX384" s="770"/>
      <c r="OY384" s="770"/>
      <c r="OZ384" s="770"/>
      <c r="PA384" s="770"/>
      <c r="PB384" s="770"/>
      <c r="PC384" s="770"/>
      <c r="PD384" s="770"/>
      <c r="PE384" s="770"/>
      <c r="PF384" s="770"/>
      <c r="PG384" s="770"/>
      <c r="PH384" s="770"/>
      <c r="PI384" s="770"/>
      <c r="PJ384" s="770"/>
      <c r="PK384" s="770"/>
      <c r="PL384" s="770"/>
      <c r="PM384" s="770"/>
      <c r="PN384" s="770"/>
      <c r="PO384" s="770"/>
      <c r="PP384" s="770"/>
      <c r="PQ384" s="770"/>
      <c r="PR384" s="770"/>
      <c r="PS384" s="770"/>
      <c r="PT384" s="770"/>
      <c r="PU384" s="770"/>
      <c r="PV384" s="770"/>
      <c r="PW384" s="770"/>
      <c r="PX384" s="770"/>
      <c r="PY384" s="770"/>
      <c r="PZ384" s="770"/>
      <c r="QA384" s="770"/>
      <c r="QB384" s="770"/>
      <c r="QC384" s="770"/>
      <c r="QD384" s="770"/>
      <c r="QE384" s="770"/>
      <c r="QF384" s="770"/>
      <c r="QG384" s="770"/>
      <c r="QH384" s="770"/>
      <c r="QI384" s="770"/>
      <c r="QJ384" s="770"/>
      <c r="QK384" s="770"/>
      <c r="QL384" s="770"/>
      <c r="QM384" s="770"/>
      <c r="QN384" s="770"/>
      <c r="QO384" s="770"/>
      <c r="QP384" s="770"/>
      <c r="QQ384" s="770"/>
      <c r="QR384" s="770"/>
      <c r="QS384" s="770"/>
      <c r="QT384" s="770"/>
      <c r="QU384" s="770"/>
      <c r="QV384" s="770"/>
      <c r="QW384" s="770"/>
      <c r="QX384" s="770"/>
      <c r="QY384" s="770"/>
      <c r="QZ384" s="770"/>
      <c r="RA384" s="770"/>
      <c r="RB384" s="770"/>
      <c r="RC384" s="770"/>
      <c r="RD384" s="770"/>
      <c r="RE384" s="770"/>
      <c r="RF384" s="304"/>
      <c r="RG384" s="770"/>
      <c r="RH384" s="302"/>
      <c r="RI384" s="770"/>
      <c r="RJ384" s="770"/>
      <c r="RK384" s="770"/>
      <c r="RL384" s="1710"/>
      <c r="RM384" s="12"/>
      <c r="RN384" s="1711"/>
      <c r="RO384" s="140" t="s">
        <v>644</v>
      </c>
      <c r="RP384" s="11"/>
      <c r="RQ384" s="11"/>
      <c r="RR384" s="17"/>
      <c r="RS384" s="767"/>
      <c r="RT384" s="11"/>
      <c r="RU384" s="11"/>
      <c r="RV384" s="771" t="s">
        <v>8098</v>
      </c>
      <c r="RW384" s="11" t="s">
        <v>5690</v>
      </c>
      <c r="RX384" s="11" t="s">
        <v>644</v>
      </c>
      <c r="RY384" s="11"/>
      <c r="RZ384" s="11"/>
      <c r="SA384" s="771"/>
      <c r="SB384" s="11"/>
      <c r="SC384" s="11"/>
    </row>
    <row r="385" spans="1:497" ht="12.75" hidden="1" customHeight="1">
      <c r="A385" s="154" t="s">
        <v>7419</v>
      </c>
      <c r="B385" s="292" t="s">
        <v>7660</v>
      </c>
      <c r="C385" s="140" t="s">
        <v>645</v>
      </c>
      <c r="D385" s="770" t="s">
        <v>2014</v>
      </c>
      <c r="E385" s="770" t="s">
        <v>622</v>
      </c>
      <c r="F385" s="770" t="s">
        <v>28</v>
      </c>
      <c r="G385" s="770" t="s">
        <v>10</v>
      </c>
      <c r="H385" s="770"/>
      <c r="I385" s="295" t="s">
        <v>1667</v>
      </c>
      <c r="J385" s="94" t="s">
        <v>643</v>
      </c>
      <c r="K385" s="770"/>
      <c r="L385" s="770"/>
      <c r="M385" s="770"/>
      <c r="N385" s="770"/>
      <c r="O385" s="770"/>
      <c r="P385" s="770"/>
      <c r="Q385" s="1088"/>
      <c r="R385" s="297"/>
      <c r="S385" s="770"/>
      <c r="T385" s="770"/>
      <c r="U385" s="298"/>
      <c r="V385" s="770"/>
      <c r="W385" s="770"/>
      <c r="X385" s="296"/>
      <c r="Y385" s="770"/>
      <c r="Z385" s="770"/>
      <c r="AA385" s="770"/>
      <c r="AB385" s="770"/>
      <c r="AC385" s="770"/>
      <c r="AD385" s="770"/>
      <c r="AE385" s="770"/>
      <c r="AF385" s="770"/>
      <c r="AG385" s="766" t="s">
        <v>1095</v>
      </c>
      <c r="AH385" s="766" t="s">
        <v>1096</v>
      </c>
      <c r="AI385" s="770" t="s">
        <v>643</v>
      </c>
      <c r="AJ385" s="770"/>
      <c r="AK385" s="766" t="s">
        <v>1097</v>
      </c>
      <c r="AL385" s="299">
        <v>43.604999999999997</v>
      </c>
      <c r="AM385" s="300">
        <v>43.604999999999997</v>
      </c>
      <c r="AN385" s="301">
        <v>1</v>
      </c>
      <c r="AO385" s="766" t="s">
        <v>1122</v>
      </c>
      <c r="AP385" s="766"/>
      <c r="AQ385" s="766"/>
      <c r="AR385" s="766"/>
      <c r="AS385" s="770" t="s">
        <v>1207</v>
      </c>
      <c r="AT385" s="770"/>
      <c r="AU385" s="770"/>
      <c r="AV385" s="770" t="s">
        <v>1208</v>
      </c>
      <c r="AW385" s="770"/>
      <c r="AX385" s="770"/>
      <c r="AY385" s="770"/>
      <c r="AZ385" s="770"/>
      <c r="BA385" s="770"/>
      <c r="BB385" s="770"/>
      <c r="BC385" s="770"/>
      <c r="BD385" s="770"/>
      <c r="BE385" s="770"/>
      <c r="BF385" s="302"/>
      <c r="BG385" s="302"/>
      <c r="BH385" s="770"/>
      <c r="BI385" s="770"/>
      <c r="BJ385" s="770"/>
      <c r="BK385" s="770" t="s">
        <v>1095</v>
      </c>
      <c r="BL385" s="770" t="s">
        <v>643</v>
      </c>
      <c r="BM385" s="766" t="s">
        <v>8108</v>
      </c>
      <c r="BN385" s="770" t="s">
        <v>1230</v>
      </c>
      <c r="BO385" s="766" t="s">
        <v>1246</v>
      </c>
      <c r="BP385" s="780">
        <v>43.604999999999997</v>
      </c>
      <c r="BQ385" s="780">
        <v>43.604999999999997</v>
      </c>
      <c r="BR385" s="774">
        <f>BQ385/BP385</f>
        <v>1</v>
      </c>
      <c r="BS385" s="766" t="s">
        <v>1257</v>
      </c>
      <c r="BT385" s="766" t="s">
        <v>2040</v>
      </c>
      <c r="BU385" s="770" t="s">
        <v>1249</v>
      </c>
      <c r="BV385" s="770" t="s">
        <v>1247</v>
      </c>
      <c r="BW385" s="769"/>
      <c r="BX385" s="302"/>
      <c r="BY385" s="303"/>
      <c r="BZ385" s="770"/>
      <c r="CA385" s="302"/>
      <c r="CB385" s="302"/>
      <c r="CC385" s="770"/>
      <c r="CD385" s="770"/>
      <c r="CE385" s="770"/>
      <c r="CF385" s="770"/>
      <c r="CG385" s="770"/>
      <c r="CH385" s="770"/>
      <c r="CI385" s="770"/>
      <c r="CJ385" s="770"/>
      <c r="CK385" s="770"/>
      <c r="CL385" s="770"/>
      <c r="CM385" s="770"/>
      <c r="CN385" s="770"/>
      <c r="CO385" s="770"/>
      <c r="CP385" s="770"/>
      <c r="CQ385" s="770"/>
      <c r="CR385" s="770"/>
      <c r="CS385" s="302"/>
      <c r="CT385" s="770"/>
      <c r="CU385" s="305"/>
      <c r="CV385" s="770"/>
      <c r="CW385" s="770"/>
      <c r="CX385" s="770"/>
      <c r="CY385" s="770"/>
      <c r="CZ385" s="770"/>
      <c r="DA385" s="770"/>
      <c r="DB385" s="770"/>
      <c r="DC385" s="770"/>
      <c r="DD385" s="770"/>
      <c r="DE385" s="770"/>
      <c r="DF385" s="770"/>
      <c r="DG385" s="770"/>
      <c r="DH385" s="770"/>
      <c r="DI385" s="770"/>
      <c r="DJ385" s="770"/>
      <c r="DK385" s="770"/>
      <c r="DL385" s="770"/>
      <c r="DM385" s="770"/>
      <c r="DN385" s="770"/>
      <c r="DO385" s="770"/>
      <c r="DP385" s="770"/>
      <c r="DQ385" s="770"/>
      <c r="DR385" s="770"/>
      <c r="DS385" s="307"/>
      <c r="DT385" s="770"/>
      <c r="DU385" s="770"/>
      <c r="DV385" s="770"/>
      <c r="DW385" s="306"/>
      <c r="DX385" s="306"/>
      <c r="DY385" s="770"/>
      <c r="DZ385" s="770"/>
      <c r="EA385" s="770"/>
      <c r="EB385" s="770"/>
      <c r="EC385" s="770"/>
      <c r="ED385" s="770"/>
      <c r="EE385" s="770"/>
      <c r="EF385" s="770"/>
      <c r="EG385" s="770"/>
      <c r="EH385" s="770"/>
      <c r="EI385" s="770"/>
      <c r="EJ385" s="770"/>
      <c r="EK385" s="770"/>
      <c r="EL385" s="770"/>
      <c r="EM385" s="770"/>
      <c r="EN385" s="770"/>
      <c r="EO385" s="770"/>
      <c r="EP385" s="770"/>
      <c r="EQ385" s="770"/>
      <c r="ER385" s="770"/>
      <c r="ES385" s="770"/>
      <c r="ET385" s="770"/>
      <c r="EU385" s="770"/>
      <c r="EV385" s="770"/>
      <c r="EW385" s="770"/>
      <c r="EX385" s="770"/>
      <c r="EY385" s="770"/>
      <c r="EZ385" s="770"/>
      <c r="FA385" s="770"/>
      <c r="FB385" s="770"/>
      <c r="FC385" s="770"/>
      <c r="FD385" s="302"/>
      <c r="FE385" s="770"/>
      <c r="FF385" s="770"/>
      <c r="FG385" s="770"/>
      <c r="FH385" s="770" t="s">
        <v>478</v>
      </c>
      <c r="FI385" s="770">
        <v>3</v>
      </c>
      <c r="FJ385" s="770"/>
      <c r="FK385" s="770"/>
      <c r="FL385" s="770"/>
      <c r="FM385" s="302"/>
      <c r="FN385" s="302"/>
      <c r="FO385" s="302"/>
      <c r="FP385" s="770"/>
      <c r="FQ385" s="770"/>
      <c r="FR385" s="770"/>
      <c r="FS385" s="770"/>
      <c r="FT385" s="770"/>
      <c r="FU385" s="770"/>
      <c r="FV385" s="770"/>
      <c r="FW385" s="770"/>
      <c r="FX385" s="770"/>
      <c r="FY385" s="770"/>
      <c r="FZ385" s="770"/>
      <c r="GA385" s="770"/>
      <c r="GB385" s="770"/>
      <c r="GC385" s="308"/>
      <c r="GD385" s="297"/>
      <c r="GE385" s="770"/>
      <c r="GF385" s="302"/>
      <c r="GG385" s="302"/>
      <c r="GH385" s="770"/>
      <c r="GI385" s="770"/>
      <c r="GJ385" s="770"/>
      <c r="GK385" s="770"/>
      <c r="GL385" s="770"/>
      <c r="GM385" s="770"/>
      <c r="GN385" s="309"/>
      <c r="GO385" s="770"/>
      <c r="GP385" s="770"/>
      <c r="GQ385" s="770"/>
      <c r="GR385" s="770"/>
      <c r="GS385" s="770"/>
      <c r="GT385" s="770"/>
      <c r="GU385" s="770"/>
      <c r="GV385" s="770"/>
      <c r="GW385" s="770"/>
      <c r="GX385" s="770"/>
      <c r="GY385" s="770"/>
      <c r="GZ385" s="770"/>
      <c r="HA385" s="770"/>
      <c r="HB385" s="770"/>
      <c r="HC385" s="770"/>
      <c r="HD385" s="770"/>
      <c r="HE385" s="770"/>
      <c r="HF385" s="770"/>
      <c r="HG385" s="770"/>
      <c r="HH385" s="770"/>
      <c r="HI385" s="770"/>
      <c r="HJ385" s="770"/>
      <c r="HK385" s="770"/>
      <c r="HL385" s="770"/>
      <c r="HM385" s="770"/>
      <c r="HN385" s="770"/>
      <c r="HO385" s="770"/>
      <c r="HP385" s="770"/>
      <c r="HQ385" s="770"/>
      <c r="HR385" s="770"/>
      <c r="HS385" s="770"/>
      <c r="HT385" s="770"/>
      <c r="HU385" s="770"/>
      <c r="HV385" s="770"/>
      <c r="HW385" s="770"/>
      <c r="HX385" s="770"/>
      <c r="HY385" s="770"/>
      <c r="HZ385" s="770"/>
      <c r="IA385" s="770"/>
      <c r="IB385" s="14" t="e">
        <f>IF(#REF!&gt;0,IF(#REF!&lt;=10000,"Y",""),"")</f>
        <v>#REF!</v>
      </c>
      <c r="IC385" s="770"/>
      <c r="ID385" s="770"/>
      <c r="IE385" s="770"/>
      <c r="IF385" s="770" t="s">
        <v>2014</v>
      </c>
      <c r="IG385" s="770" t="s">
        <v>10</v>
      </c>
      <c r="IH385" s="770" t="s">
        <v>478</v>
      </c>
      <c r="II385" s="770" t="s">
        <v>5672</v>
      </c>
      <c r="IJ385" s="766" t="s">
        <v>1604</v>
      </c>
      <c r="IK385" s="766" t="s">
        <v>1888</v>
      </c>
      <c r="IL385" s="770" t="s">
        <v>643</v>
      </c>
      <c r="IM385" s="770">
        <v>2014</v>
      </c>
      <c r="IN385" s="770" t="s">
        <v>643</v>
      </c>
      <c r="IO385" s="296">
        <v>21226</v>
      </c>
      <c r="IP385" s="770"/>
      <c r="IQ385" s="769" t="s">
        <v>5498</v>
      </c>
      <c r="IR385" s="770" t="s">
        <v>2716</v>
      </c>
      <c r="IS385" s="770" t="s">
        <v>1917</v>
      </c>
      <c r="IT385" s="770" t="s">
        <v>1208</v>
      </c>
      <c r="IU385" s="770"/>
      <c r="IV385" s="770"/>
      <c r="IW385" s="770"/>
      <c r="IX385" s="770"/>
      <c r="IY385" s="770"/>
      <c r="IZ385" s="770"/>
      <c r="JA385" s="770"/>
      <c r="JB385" s="770"/>
      <c r="JC385" s="770"/>
      <c r="JD385" s="302">
        <v>4500</v>
      </c>
      <c r="JE385" s="770"/>
      <c r="JF385" s="770"/>
      <c r="JG385" s="770"/>
      <c r="JH385" s="770"/>
      <c r="JI385" s="770"/>
      <c r="JJ385" s="770"/>
      <c r="JK385" s="770"/>
      <c r="JL385" s="770"/>
      <c r="JM385" s="770"/>
      <c r="JN385" s="770"/>
      <c r="JO385" s="770"/>
      <c r="JP385" s="770"/>
      <c r="JQ385" s="770"/>
      <c r="JR385" s="770"/>
      <c r="JS385" s="770"/>
      <c r="JT385" s="766"/>
      <c r="JU385" s="766"/>
      <c r="JV385" s="766"/>
      <c r="JW385" s="766"/>
      <c r="JX385" s="770"/>
      <c r="JY385" s="770"/>
      <c r="JZ385" s="770"/>
      <c r="KA385" s="770"/>
      <c r="KB385" s="770"/>
      <c r="KC385" s="770"/>
      <c r="KD385" s="770"/>
      <c r="KE385" s="770"/>
      <c r="KF385" s="770"/>
      <c r="KG385" s="770"/>
      <c r="KH385" s="770"/>
      <c r="KI385" s="770"/>
      <c r="KJ385" s="770"/>
      <c r="KK385" s="770"/>
      <c r="KL385" s="770"/>
      <c r="KM385" s="770"/>
      <c r="KN385" s="770"/>
      <c r="KO385" s="770"/>
      <c r="KP385" s="770"/>
      <c r="KQ385" s="770"/>
      <c r="KR385" s="770"/>
      <c r="KS385" s="770"/>
      <c r="KT385" s="770"/>
      <c r="KU385" s="770"/>
      <c r="KV385" s="770"/>
      <c r="KW385" s="770"/>
      <c r="KX385" s="770"/>
      <c r="KY385" s="770"/>
      <c r="KZ385" s="770"/>
      <c r="LA385" s="770"/>
      <c r="LB385" s="770"/>
      <c r="LC385" s="770"/>
      <c r="LD385" s="770"/>
      <c r="LE385" s="770"/>
      <c r="LF385" s="770"/>
      <c r="LG385" s="770"/>
      <c r="LH385" s="770"/>
      <c r="LI385" s="770"/>
      <c r="LJ385" s="770"/>
      <c r="LK385" s="770"/>
      <c r="LL385" s="770"/>
      <c r="LM385" s="770"/>
      <c r="LN385" s="766"/>
      <c r="LO385" s="766"/>
      <c r="LP385" s="770"/>
      <c r="LQ385" s="770"/>
      <c r="LR385" s="770"/>
      <c r="LS385" s="770"/>
      <c r="LT385" s="770"/>
      <c r="LU385" s="770"/>
      <c r="LV385" s="770"/>
      <c r="LW385" s="770"/>
      <c r="LX385" s="769"/>
      <c r="LY385" s="766" t="str">
        <f t="shared" si="100"/>
        <v/>
      </c>
      <c r="LZ385" s="299"/>
      <c r="MA385" s="1709"/>
      <c r="MB385" s="1709"/>
      <c r="MC385" s="1679">
        <f t="shared" si="99"/>
        <v>0</v>
      </c>
      <c r="MD385" s="1709"/>
      <c r="ME385" s="1709"/>
      <c r="MF385" s="1709"/>
      <c r="MG385" s="1680">
        <f t="shared" si="97"/>
        <v>0</v>
      </c>
      <c r="MH385" s="770"/>
      <c r="MI385" s="302"/>
      <c r="MJ385" s="302"/>
      <c r="MK385" s="302"/>
      <c r="ML385" s="302"/>
      <c r="MM385" s="302"/>
      <c r="MN385" s="302"/>
      <c r="MO385" s="302"/>
      <c r="MP385" s="302"/>
      <c r="MQ385" s="302"/>
      <c r="MR385" s="302"/>
      <c r="MS385" s="302"/>
      <c r="MT385" s="302"/>
      <c r="MU385" s="302"/>
      <c r="MV385" s="302"/>
      <c r="MW385" s="302"/>
      <c r="MX385" s="302"/>
      <c r="MY385" s="1682">
        <f t="shared" si="98"/>
        <v>0</v>
      </c>
      <c r="MZ385" s="770"/>
      <c r="NA385" s="770"/>
      <c r="NB385" s="770"/>
      <c r="NC385" s="770"/>
      <c r="ND385" s="770"/>
      <c r="NE385" s="770"/>
      <c r="NF385" s="770"/>
      <c r="NG385" s="770"/>
      <c r="NH385" s="770"/>
      <c r="NI385" s="770"/>
      <c r="NJ385" s="770"/>
      <c r="NK385" s="770"/>
      <c r="NL385" s="770"/>
      <c r="NM385" s="770"/>
      <c r="NN385" s="770"/>
      <c r="NO385" s="770"/>
      <c r="NP385" s="770"/>
      <c r="NQ385" s="770"/>
      <c r="NR385" s="770"/>
      <c r="NS385" s="770"/>
      <c r="NT385" s="770"/>
      <c r="NU385" s="770"/>
      <c r="NV385" s="770"/>
      <c r="NW385" s="770"/>
      <c r="NX385" s="770"/>
      <c r="NY385" s="770"/>
      <c r="NZ385" s="770"/>
      <c r="OA385" s="770"/>
      <c r="OB385" s="770"/>
      <c r="OC385" s="770"/>
      <c r="OD385" s="770"/>
      <c r="OE385" s="770"/>
      <c r="OF385" s="770"/>
      <c r="OG385" s="770"/>
      <c r="OH385" s="770"/>
      <c r="OI385" s="770"/>
      <c r="OJ385" s="770"/>
      <c r="OK385" s="770"/>
      <c r="OL385" s="770"/>
      <c r="OM385" s="770"/>
      <c r="ON385" s="770"/>
      <c r="OO385" s="770"/>
      <c r="OP385" s="770"/>
      <c r="OQ385" s="770"/>
      <c r="OR385" s="770"/>
      <c r="OS385" s="770"/>
      <c r="OT385" s="770"/>
      <c r="OU385" s="770"/>
      <c r="OV385" s="770"/>
      <c r="OW385" s="770"/>
      <c r="OX385" s="770"/>
      <c r="OY385" s="770"/>
      <c r="OZ385" s="770"/>
      <c r="PA385" s="770"/>
      <c r="PB385" s="770"/>
      <c r="PC385" s="770"/>
      <c r="PD385" s="770"/>
      <c r="PE385" s="770"/>
      <c r="PF385" s="770"/>
      <c r="PG385" s="770"/>
      <c r="PH385" s="770"/>
      <c r="PI385" s="770"/>
      <c r="PJ385" s="770"/>
      <c r="PK385" s="770"/>
      <c r="PL385" s="770"/>
      <c r="PM385" s="770"/>
      <c r="PN385" s="770"/>
      <c r="PO385" s="770"/>
      <c r="PP385" s="770"/>
      <c r="PQ385" s="770"/>
      <c r="PR385" s="770"/>
      <c r="PS385" s="770"/>
      <c r="PT385" s="770"/>
      <c r="PU385" s="770"/>
      <c r="PV385" s="770"/>
      <c r="PW385" s="770"/>
      <c r="PX385" s="770"/>
      <c r="PY385" s="770"/>
      <c r="PZ385" s="770"/>
      <c r="QA385" s="770"/>
      <c r="QB385" s="770"/>
      <c r="QC385" s="770"/>
      <c r="QD385" s="770"/>
      <c r="QE385" s="770"/>
      <c r="QF385" s="770"/>
      <c r="QG385" s="770"/>
      <c r="QH385" s="770"/>
      <c r="QI385" s="770"/>
      <c r="QJ385" s="770"/>
      <c r="QK385" s="770"/>
      <c r="QL385" s="770"/>
      <c r="QM385" s="770"/>
      <c r="QN385" s="770"/>
      <c r="QO385" s="770"/>
      <c r="QP385" s="770"/>
      <c r="QQ385" s="770"/>
      <c r="QR385" s="770"/>
      <c r="QS385" s="770"/>
      <c r="QT385" s="770"/>
      <c r="QU385" s="770"/>
      <c r="QV385" s="770"/>
      <c r="QW385" s="770"/>
      <c r="QX385" s="770"/>
      <c r="QY385" s="770"/>
      <c r="QZ385" s="770"/>
      <c r="RA385" s="770"/>
      <c r="RB385" s="770"/>
      <c r="RC385" s="770"/>
      <c r="RD385" s="770"/>
      <c r="RE385" s="770"/>
      <c r="RF385" s="304"/>
      <c r="RG385" s="770"/>
      <c r="RH385" s="302"/>
      <c r="RI385" s="770"/>
      <c r="RJ385" s="770" t="s">
        <v>643</v>
      </c>
      <c r="RK385" s="770" t="s">
        <v>13401</v>
      </c>
      <c r="RL385" s="1710"/>
      <c r="RM385" s="12"/>
      <c r="RN385" s="1711"/>
      <c r="RO385" s="140" t="s">
        <v>645</v>
      </c>
      <c r="RP385" s="11"/>
      <c r="RQ385" s="11"/>
      <c r="RR385" s="771"/>
      <c r="RS385" s="767"/>
      <c r="RT385" s="11"/>
      <c r="RU385" s="11"/>
      <c r="RV385" s="771" t="s">
        <v>12458</v>
      </c>
      <c r="RW385" s="11" t="s">
        <v>5692</v>
      </c>
      <c r="RX385" s="11" t="s">
        <v>644</v>
      </c>
      <c r="RY385" s="11"/>
      <c r="RZ385" s="11" t="s">
        <v>2209</v>
      </c>
      <c r="SA385" s="771"/>
      <c r="SB385" s="11"/>
      <c r="SC385" s="11"/>
    </row>
    <row r="386" spans="1:497" ht="12.75" hidden="1" customHeight="1">
      <c r="A386" s="154" t="s">
        <v>14190</v>
      </c>
      <c r="B386" s="292" t="s">
        <v>7661</v>
      </c>
      <c r="C386" s="140" t="s">
        <v>645</v>
      </c>
      <c r="D386" s="770" t="s">
        <v>2020</v>
      </c>
      <c r="E386" s="770" t="s">
        <v>622</v>
      </c>
      <c r="F386" s="770" t="s">
        <v>28</v>
      </c>
      <c r="G386" s="770" t="s">
        <v>10</v>
      </c>
      <c r="H386" s="770"/>
      <c r="I386" s="295" t="s">
        <v>5694</v>
      </c>
      <c r="J386" s="770" t="s">
        <v>2020</v>
      </c>
      <c r="K386" s="770"/>
      <c r="L386" s="770"/>
      <c r="M386" s="770"/>
      <c r="N386" s="770"/>
      <c r="O386" s="770"/>
      <c r="P386" s="770" t="s">
        <v>5695</v>
      </c>
      <c r="Q386" s="1088"/>
      <c r="R386" s="297"/>
      <c r="S386" s="770" t="s">
        <v>10</v>
      </c>
      <c r="T386" s="770"/>
      <c r="U386" s="295" t="s">
        <v>5694</v>
      </c>
      <c r="V386" s="770"/>
      <c r="W386" s="770"/>
      <c r="X386" s="296"/>
      <c r="Y386" s="770" t="s">
        <v>622</v>
      </c>
      <c r="Z386" s="770"/>
      <c r="AA386" s="770"/>
      <c r="AB386" s="770"/>
      <c r="AC386" s="12"/>
      <c r="AD386" s="770"/>
      <c r="AE386" s="770"/>
      <c r="AF386" s="770"/>
      <c r="AG386" s="770"/>
      <c r="AH386" s="770"/>
      <c r="AI386" s="770"/>
      <c r="AJ386" s="770"/>
      <c r="AK386" s="770" t="s">
        <v>5454</v>
      </c>
      <c r="AL386" s="299"/>
      <c r="AM386" s="300"/>
      <c r="AN386" s="301"/>
      <c r="AO386" s="766"/>
      <c r="AP386" s="766"/>
      <c r="AQ386" s="766"/>
      <c r="AR386" s="766"/>
      <c r="AS386" s="770"/>
      <c r="AT386" s="770"/>
      <c r="AU386" s="770"/>
      <c r="AV386" s="770"/>
      <c r="AW386" s="770"/>
      <c r="AX386" s="770"/>
      <c r="AY386" s="770"/>
      <c r="AZ386" s="770"/>
      <c r="BA386" s="770"/>
      <c r="BB386" s="770"/>
      <c r="BC386" s="770"/>
      <c r="BD386" s="770"/>
      <c r="BE386" s="770"/>
      <c r="BF386" s="302"/>
      <c r="BG386" s="302"/>
      <c r="BH386" s="770"/>
      <c r="BI386" s="770"/>
      <c r="BJ386" s="770"/>
      <c r="BK386" s="770"/>
      <c r="BL386" s="770"/>
      <c r="BM386" s="770" t="s">
        <v>1238</v>
      </c>
      <c r="BN386" s="770" t="s">
        <v>1299</v>
      </c>
      <c r="BO386" s="770"/>
      <c r="BP386" s="780"/>
      <c r="BQ386" s="772"/>
      <c r="BR386" s="774"/>
      <c r="BS386" s="766" t="s">
        <v>1257</v>
      </c>
      <c r="BT386" s="766"/>
      <c r="BU386" s="770"/>
      <c r="BV386" s="770"/>
      <c r="BW386" s="770"/>
      <c r="BX386" s="302"/>
      <c r="BY386" s="303"/>
      <c r="BZ386" s="770"/>
      <c r="CA386" s="302"/>
      <c r="CB386" s="302"/>
      <c r="CC386" s="770"/>
      <c r="CD386" s="770"/>
      <c r="CE386" s="770"/>
      <c r="CF386" s="770"/>
      <c r="CG386" s="770"/>
      <c r="CH386" s="770"/>
      <c r="CI386" s="770"/>
      <c r="CJ386" s="770"/>
      <c r="CK386" s="770"/>
      <c r="CL386" s="770"/>
      <c r="CM386" s="770"/>
      <c r="CN386" s="770"/>
      <c r="CO386" s="770"/>
      <c r="CP386" s="770"/>
      <c r="CQ386" s="770"/>
      <c r="CR386" s="770"/>
      <c r="CS386" s="302"/>
      <c r="CT386" s="770"/>
      <c r="CU386" s="305"/>
      <c r="CV386" s="770"/>
      <c r="CW386" s="770"/>
      <c r="CX386" s="770"/>
      <c r="CY386" s="770"/>
      <c r="CZ386" s="770"/>
      <c r="DA386" s="770"/>
      <c r="DB386" s="770"/>
      <c r="DC386" s="770"/>
      <c r="DD386" s="770"/>
      <c r="DE386" s="770"/>
      <c r="DF386" s="770"/>
      <c r="DG386" s="770"/>
      <c r="DH386" s="770"/>
      <c r="DI386" s="770"/>
      <c r="DJ386" s="770"/>
      <c r="DK386" s="770"/>
      <c r="DL386" s="770"/>
      <c r="DM386" s="770"/>
      <c r="DN386" s="770"/>
      <c r="DO386" s="770"/>
      <c r="DP386" s="770"/>
      <c r="DQ386" s="770"/>
      <c r="DR386" s="770"/>
      <c r="DS386" s="307"/>
      <c r="DT386" s="770"/>
      <c r="DU386" s="770"/>
      <c r="DV386" s="770"/>
      <c r="DW386" s="306"/>
      <c r="DX386" s="306"/>
      <c r="DY386" s="770"/>
      <c r="DZ386" s="770"/>
      <c r="EA386" s="770"/>
      <c r="EB386" s="770"/>
      <c r="EC386" s="770"/>
      <c r="ED386" s="770"/>
      <c r="EE386" s="770"/>
      <c r="EF386" s="770"/>
      <c r="EG386" s="770"/>
      <c r="EH386" s="770"/>
      <c r="EI386" s="770"/>
      <c r="EJ386" s="770"/>
      <c r="EK386" s="770"/>
      <c r="EL386" s="770"/>
      <c r="EM386" s="770"/>
      <c r="EN386" s="770"/>
      <c r="EO386" s="770"/>
      <c r="EP386" s="770"/>
      <c r="EQ386" s="770"/>
      <c r="ER386" s="770"/>
      <c r="ES386" s="770"/>
      <c r="ET386" s="770"/>
      <c r="EU386" s="770"/>
      <c r="EV386" s="770"/>
      <c r="EW386" s="770"/>
      <c r="EX386" s="770"/>
      <c r="EY386" s="770"/>
      <c r="EZ386" s="770"/>
      <c r="FA386" s="770"/>
      <c r="FB386" s="770"/>
      <c r="FC386" s="770"/>
      <c r="FD386" s="302"/>
      <c r="FE386" s="770"/>
      <c r="FF386" s="770"/>
      <c r="FG386" s="770"/>
      <c r="FH386" s="770" t="s">
        <v>1299</v>
      </c>
      <c r="FI386" s="770">
        <v>1</v>
      </c>
      <c r="FJ386" s="770" t="s">
        <v>643</v>
      </c>
      <c r="FK386" s="770" t="s">
        <v>1667</v>
      </c>
      <c r="FL386" s="770"/>
      <c r="FM386" s="302"/>
      <c r="FN386" s="302"/>
      <c r="FO386" s="302"/>
      <c r="FP386" s="770" t="s">
        <v>1602</v>
      </c>
      <c r="FQ386" s="770" t="s">
        <v>1660</v>
      </c>
      <c r="FR386" s="770"/>
      <c r="FS386" s="770"/>
      <c r="FT386" s="770"/>
      <c r="FU386" s="770"/>
      <c r="FV386" s="770"/>
      <c r="FW386" s="770"/>
      <c r="FX386" s="770"/>
      <c r="FY386" s="770"/>
      <c r="FZ386" s="770"/>
      <c r="GA386" s="770"/>
      <c r="GB386" s="770"/>
      <c r="GC386" s="308"/>
      <c r="GD386" s="297"/>
      <c r="GE386" s="770"/>
      <c r="GF386" s="302"/>
      <c r="GG386" s="302"/>
      <c r="GH386" s="770"/>
      <c r="GI386" s="770"/>
      <c r="GJ386" s="770"/>
      <c r="GK386" s="770"/>
      <c r="GL386" s="770"/>
      <c r="GM386" s="770"/>
      <c r="GN386" s="309"/>
      <c r="GO386" s="770"/>
      <c r="GP386" s="770"/>
      <c r="GQ386" s="770"/>
      <c r="GR386" s="770"/>
      <c r="GS386" s="770"/>
      <c r="GT386" s="770"/>
      <c r="GU386" s="770"/>
      <c r="GV386" s="770"/>
      <c r="GW386" s="770"/>
      <c r="GX386" s="770"/>
      <c r="GY386" s="770"/>
      <c r="GZ386" s="770"/>
      <c r="HA386" s="770"/>
      <c r="HB386" s="770"/>
      <c r="HC386" s="770"/>
      <c r="HD386" s="770"/>
      <c r="HE386" s="770"/>
      <c r="HF386" s="770"/>
      <c r="HG386" s="770"/>
      <c r="HH386" s="770"/>
      <c r="HI386" s="770"/>
      <c r="HJ386" s="770"/>
      <c r="HK386" s="770"/>
      <c r="HL386" s="770"/>
      <c r="HM386" s="770"/>
      <c r="HN386" s="770"/>
      <c r="HO386" s="770"/>
      <c r="HP386" s="770"/>
      <c r="HQ386" s="770"/>
      <c r="HR386" s="770"/>
      <c r="HS386" s="770"/>
      <c r="HT386" s="770"/>
      <c r="HU386" s="770"/>
      <c r="HV386" s="770"/>
      <c r="HW386" s="770"/>
      <c r="HX386" s="770"/>
      <c r="HY386" s="770"/>
      <c r="HZ386" s="770"/>
      <c r="IA386" s="770"/>
      <c r="IB386" s="14" t="e">
        <f>IF(#REF!&gt;0,IF(#REF!&lt;=10000,"Y",""),"")</f>
        <v>#REF!</v>
      </c>
      <c r="IC386" s="770"/>
      <c r="ID386" s="770"/>
      <c r="IE386" s="770"/>
      <c r="IF386" s="770" t="s">
        <v>2020</v>
      </c>
      <c r="IG386" s="770" t="s">
        <v>10</v>
      </c>
      <c r="IH386" s="770" t="s">
        <v>478</v>
      </c>
      <c r="II386" s="770"/>
      <c r="IJ386" s="770" t="s">
        <v>5853</v>
      </c>
      <c r="IK386" s="766" t="s">
        <v>1888</v>
      </c>
      <c r="IL386" s="770" t="s">
        <v>2021</v>
      </c>
      <c r="IM386" s="770">
        <v>200</v>
      </c>
      <c r="IN386" s="770"/>
      <c r="IO386" s="296"/>
      <c r="IP386" s="770" t="s">
        <v>478</v>
      </c>
      <c r="IQ386" s="769" t="s">
        <v>1975</v>
      </c>
      <c r="IR386" s="770" t="s">
        <v>1964</v>
      </c>
      <c r="IS386" s="770" t="s">
        <v>1883</v>
      </c>
      <c r="IT386" s="770"/>
      <c r="IU386" s="770" t="s">
        <v>1208</v>
      </c>
      <c r="IV386" s="770"/>
      <c r="IW386" s="770"/>
      <c r="IX386" s="770"/>
      <c r="IY386" s="770"/>
      <c r="IZ386" s="770"/>
      <c r="JA386" s="770"/>
      <c r="JB386" s="770" t="s">
        <v>12781</v>
      </c>
      <c r="JC386" s="770"/>
      <c r="JD386" s="302"/>
      <c r="JE386" s="770"/>
      <c r="JF386" s="770"/>
      <c r="JG386" s="770"/>
      <c r="JH386" s="770"/>
      <c r="JI386" s="770"/>
      <c r="JJ386" s="770"/>
      <c r="JK386" s="770"/>
      <c r="JL386" s="770"/>
      <c r="JM386" s="770"/>
      <c r="JN386" s="770"/>
      <c r="JO386" s="770"/>
      <c r="JP386" s="770"/>
      <c r="JQ386" s="770"/>
      <c r="JR386" s="770"/>
      <c r="JS386" s="770"/>
      <c r="JT386" s="766"/>
      <c r="JU386" s="766"/>
      <c r="JV386" s="766"/>
      <c r="JW386" s="766"/>
      <c r="JX386" s="770"/>
      <c r="JY386" s="770"/>
      <c r="JZ386" s="770"/>
      <c r="KA386" s="770"/>
      <c r="KB386" s="770"/>
      <c r="KC386" s="770"/>
      <c r="KD386" s="770"/>
      <c r="KE386" s="770"/>
      <c r="KF386" s="770"/>
      <c r="KG386" s="770"/>
      <c r="KH386" s="770"/>
      <c r="KI386" s="770"/>
      <c r="KJ386" s="770"/>
      <c r="KK386" s="770"/>
      <c r="KL386" s="770"/>
      <c r="KM386" s="770"/>
      <c r="KN386" s="770"/>
      <c r="KO386" s="770"/>
      <c r="KP386" s="770"/>
      <c r="KQ386" s="770"/>
      <c r="KR386" s="770"/>
      <c r="KS386" s="770"/>
      <c r="KT386" s="770"/>
      <c r="KU386" s="770"/>
      <c r="KV386" s="770"/>
      <c r="KW386" s="770"/>
      <c r="KX386" s="770"/>
      <c r="KY386" s="770"/>
      <c r="KZ386" s="770"/>
      <c r="LA386" s="770"/>
      <c r="LB386" s="770"/>
      <c r="LC386" s="770"/>
      <c r="LD386" s="770"/>
      <c r="LE386" s="770"/>
      <c r="LF386" s="770"/>
      <c r="LG386" s="770"/>
      <c r="LH386" s="770"/>
      <c r="LI386" s="770"/>
      <c r="LJ386" s="770"/>
      <c r="LK386" s="770"/>
      <c r="LL386" s="770"/>
      <c r="LM386" s="770"/>
      <c r="LN386" s="766"/>
      <c r="LO386" s="766"/>
      <c r="LP386" s="770"/>
      <c r="LQ386" s="770"/>
      <c r="LR386" s="770"/>
      <c r="LS386" s="770"/>
      <c r="LT386" s="770"/>
      <c r="LU386" s="770"/>
      <c r="LV386" s="770"/>
      <c r="LW386" s="770"/>
      <c r="LX386" s="769"/>
      <c r="LY386" s="766" t="str">
        <f t="shared" si="100"/>
        <v/>
      </c>
      <c r="LZ386" s="299"/>
      <c r="MA386" s="1709"/>
      <c r="MB386" s="1709"/>
      <c r="MC386" s="1679">
        <f t="shared" si="99"/>
        <v>0</v>
      </c>
      <c r="MD386" s="1709"/>
      <c r="ME386" s="1709"/>
      <c r="MF386" s="1709"/>
      <c r="MG386" s="1680">
        <f t="shared" ref="MG386:MG424" si="101">SUM(MD386:MF386)</f>
        <v>0</v>
      </c>
      <c r="MH386" s="770"/>
      <c r="MI386" s="302"/>
      <c r="MJ386" s="302"/>
      <c r="MK386" s="302"/>
      <c r="ML386" s="302"/>
      <c r="MM386" s="302"/>
      <c r="MN386" s="302"/>
      <c r="MO386" s="302"/>
      <c r="MP386" s="302"/>
      <c r="MQ386" s="302"/>
      <c r="MR386" s="302"/>
      <c r="MS386" s="302"/>
      <c r="MT386" s="302"/>
      <c r="MU386" s="302"/>
      <c r="MV386" s="302"/>
      <c r="MW386" s="302"/>
      <c r="MX386" s="302"/>
      <c r="MY386" s="1682">
        <f t="shared" si="98"/>
        <v>0</v>
      </c>
      <c r="MZ386" s="770"/>
      <c r="NA386" s="770"/>
      <c r="NB386" s="770"/>
      <c r="NC386" s="770"/>
      <c r="ND386" s="770"/>
      <c r="NE386" s="770"/>
      <c r="NF386" s="770"/>
      <c r="NG386" s="770"/>
      <c r="NH386" s="770"/>
      <c r="NI386" s="770"/>
      <c r="NJ386" s="770"/>
      <c r="NK386" s="770"/>
      <c r="NL386" s="770"/>
      <c r="NM386" s="770"/>
      <c r="NN386" s="770"/>
      <c r="NO386" s="770"/>
      <c r="NP386" s="770"/>
      <c r="NQ386" s="770"/>
      <c r="NR386" s="770"/>
      <c r="NS386" s="770"/>
      <c r="NT386" s="770"/>
      <c r="NU386" s="770"/>
      <c r="NV386" s="770"/>
      <c r="NW386" s="770"/>
      <c r="NX386" s="770"/>
      <c r="NY386" s="770"/>
      <c r="NZ386" s="770"/>
      <c r="OA386" s="770"/>
      <c r="OB386" s="770"/>
      <c r="OC386" s="770"/>
      <c r="OD386" s="770"/>
      <c r="OE386" s="770"/>
      <c r="OF386" s="770"/>
      <c r="OG386" s="770"/>
      <c r="OH386" s="770"/>
      <c r="OI386" s="770"/>
      <c r="OJ386" s="770"/>
      <c r="OK386" s="770"/>
      <c r="OL386" s="770"/>
      <c r="OM386" s="770"/>
      <c r="ON386" s="770"/>
      <c r="OO386" s="770"/>
      <c r="OP386" s="770"/>
      <c r="OQ386" s="770"/>
      <c r="OR386" s="770"/>
      <c r="OS386" s="770"/>
      <c r="OT386" s="770"/>
      <c r="OU386" s="770"/>
      <c r="OV386" s="770"/>
      <c r="OW386" s="770"/>
      <c r="OX386" s="770"/>
      <c r="OY386" s="770"/>
      <c r="OZ386" s="770"/>
      <c r="PA386" s="770"/>
      <c r="PB386" s="770"/>
      <c r="PC386" s="770"/>
      <c r="PD386" s="770"/>
      <c r="PE386" s="770"/>
      <c r="PF386" s="770"/>
      <c r="PG386" s="770"/>
      <c r="PH386" s="770"/>
      <c r="PI386" s="770"/>
      <c r="PJ386" s="770"/>
      <c r="PK386" s="770"/>
      <c r="PL386" s="770"/>
      <c r="PM386" s="770"/>
      <c r="PN386" s="770"/>
      <c r="PO386" s="770"/>
      <c r="PP386" s="770"/>
      <c r="PQ386" s="770"/>
      <c r="PR386" s="770"/>
      <c r="PS386" s="770"/>
      <c r="PT386" s="770"/>
      <c r="PU386" s="770"/>
      <c r="PV386" s="770"/>
      <c r="PW386" s="770"/>
      <c r="PX386" s="770"/>
      <c r="PY386" s="770"/>
      <c r="PZ386" s="770"/>
      <c r="QA386" s="770"/>
      <c r="QB386" s="770"/>
      <c r="QC386" s="770"/>
      <c r="QD386" s="770"/>
      <c r="QE386" s="770"/>
      <c r="QF386" s="770"/>
      <c r="QG386" s="770"/>
      <c r="QH386" s="770"/>
      <c r="QI386" s="770"/>
      <c r="QJ386" s="770"/>
      <c r="QK386" s="770"/>
      <c r="QL386" s="770"/>
      <c r="QM386" s="770"/>
      <c r="QN386" s="770"/>
      <c r="QO386" s="770"/>
      <c r="QP386" s="770"/>
      <c r="QQ386" s="770"/>
      <c r="QR386" s="770"/>
      <c r="QS386" s="770"/>
      <c r="QT386" s="770"/>
      <c r="QU386" s="770"/>
      <c r="QV386" s="770"/>
      <c r="QW386" s="770"/>
      <c r="QX386" s="770"/>
      <c r="QY386" s="770"/>
      <c r="QZ386" s="770"/>
      <c r="RA386" s="770"/>
      <c r="RB386" s="770"/>
      <c r="RC386" s="770"/>
      <c r="RD386" s="770"/>
      <c r="RE386" s="770"/>
      <c r="RF386" s="304"/>
      <c r="RG386" s="770"/>
      <c r="RH386" s="302"/>
      <c r="RI386" s="770"/>
      <c r="RJ386" s="770" t="s">
        <v>2021</v>
      </c>
      <c r="RK386" s="770" t="s">
        <v>13401</v>
      </c>
      <c r="RL386" s="1710"/>
      <c r="RM386" s="12"/>
      <c r="RN386" s="1711"/>
      <c r="RO386" s="140" t="s">
        <v>645</v>
      </c>
      <c r="RP386" s="11"/>
      <c r="RQ386" s="11"/>
      <c r="RR386" s="771"/>
      <c r="RS386" s="767"/>
      <c r="RT386" s="11"/>
      <c r="RU386" s="11"/>
      <c r="RV386" s="771" t="s">
        <v>8098</v>
      </c>
      <c r="RW386" s="11" t="s">
        <v>7659</v>
      </c>
      <c r="RX386" s="11" t="s">
        <v>644</v>
      </c>
      <c r="RY386" s="11"/>
      <c r="RZ386" s="11"/>
      <c r="SA386" s="771"/>
      <c r="SB386" s="11"/>
      <c r="SC386" s="11"/>
    </row>
    <row r="387" spans="1:497" ht="12.75" hidden="1" customHeight="1">
      <c r="A387" s="154" t="s">
        <v>14191</v>
      </c>
      <c r="B387" s="292" t="s">
        <v>7551</v>
      </c>
      <c r="C387" s="140" t="s">
        <v>645</v>
      </c>
      <c r="D387" s="770" t="s">
        <v>2191</v>
      </c>
      <c r="E387" s="770" t="s">
        <v>622</v>
      </c>
      <c r="F387" s="770" t="s">
        <v>20</v>
      </c>
      <c r="G387" s="770" t="s">
        <v>18</v>
      </c>
      <c r="H387" s="770"/>
      <c r="I387" s="295"/>
      <c r="J387" s="770" t="s">
        <v>5696</v>
      </c>
      <c r="K387" s="770"/>
      <c r="L387" s="770"/>
      <c r="M387" s="770"/>
      <c r="N387" s="770"/>
      <c r="O387" s="770"/>
      <c r="P387" s="770"/>
      <c r="Q387" s="1088"/>
      <c r="R387" s="297"/>
      <c r="S387" s="770"/>
      <c r="T387" s="770"/>
      <c r="U387" s="298"/>
      <c r="V387" s="770"/>
      <c r="W387" s="770"/>
      <c r="X387" s="296"/>
      <c r="Y387" s="770"/>
      <c r="Z387" s="770"/>
      <c r="AA387" s="770"/>
      <c r="AB387" s="770"/>
      <c r="AC387" s="770"/>
      <c r="AD387" s="770"/>
      <c r="AE387" s="770"/>
      <c r="AF387" s="770"/>
      <c r="AG387" s="770"/>
      <c r="AH387" s="770"/>
      <c r="AI387" s="770"/>
      <c r="AJ387" s="770"/>
      <c r="AK387" s="770" t="s">
        <v>1899</v>
      </c>
      <c r="AL387" s="299"/>
      <c r="AM387" s="300"/>
      <c r="AN387" s="301"/>
      <c r="AO387" s="766"/>
      <c r="AP387" s="766"/>
      <c r="AQ387" s="766"/>
      <c r="AR387" s="766"/>
      <c r="AS387" s="770"/>
      <c r="AT387" s="770"/>
      <c r="AU387" s="770"/>
      <c r="AV387" s="770"/>
      <c r="AW387" s="770"/>
      <c r="AX387" s="770"/>
      <c r="AY387" s="770"/>
      <c r="AZ387" s="770"/>
      <c r="BA387" s="770"/>
      <c r="BB387" s="770"/>
      <c r="BC387" s="770"/>
      <c r="BD387" s="770"/>
      <c r="BE387" s="770"/>
      <c r="BF387" s="302"/>
      <c r="BG387" s="302"/>
      <c r="BH387" s="770"/>
      <c r="BI387" s="770"/>
      <c r="BJ387" s="770"/>
      <c r="BK387" s="770"/>
      <c r="BL387" s="770"/>
      <c r="BM387" s="770" t="s">
        <v>1238</v>
      </c>
      <c r="BN387" s="770" t="s">
        <v>1256</v>
      </c>
      <c r="BO387" s="770"/>
      <c r="BP387" s="780"/>
      <c r="BQ387" s="772"/>
      <c r="BR387" s="774"/>
      <c r="BS387" s="766" t="s">
        <v>1257</v>
      </c>
      <c r="BT387" s="766"/>
      <c r="BU387" s="770"/>
      <c r="BV387" s="770"/>
      <c r="BW387" s="770"/>
      <c r="BX387" s="302"/>
      <c r="BY387" s="303"/>
      <c r="BZ387" s="770"/>
      <c r="CA387" s="302"/>
      <c r="CB387" s="302"/>
      <c r="CC387" s="770"/>
      <c r="CD387" s="770"/>
      <c r="CE387" s="770"/>
      <c r="CF387" s="770"/>
      <c r="CG387" s="770"/>
      <c r="CH387" s="770"/>
      <c r="CI387" s="770"/>
      <c r="CJ387" s="770"/>
      <c r="CK387" s="770"/>
      <c r="CL387" s="770"/>
      <c r="CM387" s="770"/>
      <c r="CN387" s="770"/>
      <c r="CO387" s="770"/>
      <c r="CP387" s="770"/>
      <c r="CQ387" s="770"/>
      <c r="CR387" s="770"/>
      <c r="CS387" s="302"/>
      <c r="CT387" s="770"/>
      <c r="CU387" s="305"/>
      <c r="CV387" s="770"/>
      <c r="CW387" s="770"/>
      <c r="CX387" s="770"/>
      <c r="CY387" s="770"/>
      <c r="CZ387" s="770"/>
      <c r="DA387" s="770"/>
      <c r="DB387" s="770"/>
      <c r="DC387" s="770"/>
      <c r="DD387" s="770"/>
      <c r="DE387" s="770"/>
      <c r="DF387" s="770"/>
      <c r="DG387" s="770"/>
      <c r="DH387" s="770"/>
      <c r="DI387" s="770"/>
      <c r="DJ387" s="770"/>
      <c r="DK387" s="770"/>
      <c r="DL387" s="770"/>
      <c r="DM387" s="770"/>
      <c r="DN387" s="770"/>
      <c r="DO387" s="770"/>
      <c r="DP387" s="770"/>
      <c r="DQ387" s="770"/>
      <c r="DR387" s="770"/>
      <c r="DS387" s="307"/>
      <c r="DT387" s="770"/>
      <c r="DU387" s="770"/>
      <c r="DV387" s="770"/>
      <c r="DW387" s="306"/>
      <c r="DX387" s="306"/>
      <c r="DY387" s="770"/>
      <c r="DZ387" s="770"/>
      <c r="EA387" s="770"/>
      <c r="EB387" s="770"/>
      <c r="EC387" s="770"/>
      <c r="ED387" s="770"/>
      <c r="EE387" s="770"/>
      <c r="EF387" s="770"/>
      <c r="EG387" s="770"/>
      <c r="EH387" s="770"/>
      <c r="EI387" s="770"/>
      <c r="EJ387" s="770"/>
      <c r="EK387" s="770"/>
      <c r="EL387" s="770"/>
      <c r="EM387" s="770"/>
      <c r="EN387" s="770"/>
      <c r="EO387" s="770"/>
      <c r="EP387" s="770"/>
      <c r="EQ387" s="770"/>
      <c r="ER387" s="770"/>
      <c r="ES387" s="770"/>
      <c r="ET387" s="770"/>
      <c r="EU387" s="770"/>
      <c r="EV387" s="770"/>
      <c r="EW387" s="770"/>
      <c r="EX387" s="770"/>
      <c r="EY387" s="770"/>
      <c r="EZ387" s="770"/>
      <c r="FA387" s="770"/>
      <c r="FB387" s="770"/>
      <c r="FC387" s="770"/>
      <c r="FD387" s="302"/>
      <c r="FE387" s="770"/>
      <c r="FF387" s="770"/>
      <c r="FG387" s="770"/>
      <c r="FH387" s="770" t="s">
        <v>1306</v>
      </c>
      <c r="FI387" s="770">
        <v>1</v>
      </c>
      <c r="FJ387" s="770" t="s">
        <v>643</v>
      </c>
      <c r="FK387" s="770" t="s">
        <v>1667</v>
      </c>
      <c r="FL387" s="770"/>
      <c r="FM387" s="147">
        <v>2500</v>
      </c>
      <c r="FN387" s="302">
        <v>200</v>
      </c>
      <c r="FO387" s="302">
        <v>400</v>
      </c>
      <c r="FP387" s="770" t="s">
        <v>1602</v>
      </c>
      <c r="FQ387" s="770" t="s">
        <v>1660</v>
      </c>
      <c r="FR387" s="770"/>
      <c r="FS387" s="770"/>
      <c r="FT387" s="770"/>
      <c r="FU387" s="770"/>
      <c r="FV387" s="770"/>
      <c r="FW387" s="770"/>
      <c r="FX387" s="770"/>
      <c r="FY387" s="770"/>
      <c r="FZ387" s="770"/>
      <c r="GA387" s="770"/>
      <c r="GB387" s="770"/>
      <c r="GC387" s="308"/>
      <c r="GD387" s="297"/>
      <c r="GE387" s="770"/>
      <c r="GF387" s="302"/>
      <c r="GG387" s="302"/>
      <c r="GH387" s="770"/>
      <c r="GI387" s="770"/>
      <c r="GJ387" s="770"/>
      <c r="GK387" s="770"/>
      <c r="GL387" s="770"/>
      <c r="GM387" s="770"/>
      <c r="GN387" s="309"/>
      <c r="GO387" s="770"/>
      <c r="GP387" s="770"/>
      <c r="GQ387" s="770"/>
      <c r="GR387" s="770"/>
      <c r="GS387" s="770"/>
      <c r="GT387" s="770"/>
      <c r="GU387" s="770"/>
      <c r="GV387" s="770"/>
      <c r="GW387" s="770"/>
      <c r="GX387" s="770"/>
      <c r="GY387" s="770"/>
      <c r="GZ387" s="770"/>
      <c r="HA387" s="770"/>
      <c r="HB387" s="770"/>
      <c r="HC387" s="770"/>
      <c r="HD387" s="770"/>
      <c r="HE387" s="770"/>
      <c r="HF387" s="770"/>
      <c r="HG387" s="770"/>
      <c r="HH387" s="770"/>
      <c r="HI387" s="770"/>
      <c r="HJ387" s="770"/>
      <c r="HK387" s="770"/>
      <c r="HL387" s="770"/>
      <c r="HM387" s="770"/>
      <c r="HN387" s="770"/>
      <c r="HO387" s="770"/>
      <c r="HP387" s="770"/>
      <c r="HQ387" s="770"/>
      <c r="HR387" s="770"/>
      <c r="HS387" s="770"/>
      <c r="HT387" s="770"/>
      <c r="HU387" s="770"/>
      <c r="HV387" s="770"/>
      <c r="HW387" s="770"/>
      <c r="HX387" s="770"/>
      <c r="HY387" s="770"/>
      <c r="HZ387" s="770"/>
      <c r="IA387" s="770"/>
      <c r="IB387" s="14" t="e">
        <f>IF(#REF!&gt;0,IF(#REF!&lt;=10000,"Y",""),"")</f>
        <v>#REF!</v>
      </c>
      <c r="IC387" s="770"/>
      <c r="ID387" s="770"/>
      <c r="IE387" s="770"/>
      <c r="IF387" s="770"/>
      <c r="IG387" s="770"/>
      <c r="IH387" s="770"/>
      <c r="II387" s="770"/>
      <c r="IJ387" s="770"/>
      <c r="IK387" s="770"/>
      <c r="IL387" s="770"/>
      <c r="IM387" s="770"/>
      <c r="IN387" s="770"/>
      <c r="IO387" s="296"/>
      <c r="IP387" s="770"/>
      <c r="IQ387" s="770"/>
      <c r="IR387" s="770"/>
      <c r="IS387" s="770"/>
      <c r="IT387" s="770"/>
      <c r="IU387" s="770"/>
      <c r="IV387" s="770"/>
      <c r="IW387" s="770"/>
      <c r="IX387" s="770"/>
      <c r="IY387" s="770"/>
      <c r="IZ387" s="770"/>
      <c r="JA387" s="770"/>
      <c r="JB387" s="770"/>
      <c r="JC387" s="770"/>
      <c r="JD387" s="302"/>
      <c r="JE387" s="770"/>
      <c r="JF387" s="770"/>
      <c r="JG387" s="770"/>
      <c r="JH387" s="770"/>
      <c r="JI387" s="770"/>
      <c r="JJ387" s="770"/>
      <c r="JK387" s="770" t="s">
        <v>13502</v>
      </c>
      <c r="JL387" s="770"/>
      <c r="JM387" s="770"/>
      <c r="JN387" s="770"/>
      <c r="JO387" s="770"/>
      <c r="JP387" s="770"/>
      <c r="JQ387" s="770"/>
      <c r="JR387" s="770"/>
      <c r="JS387" s="770"/>
      <c r="JT387" s="766"/>
      <c r="JU387" s="766"/>
      <c r="JV387" s="766"/>
      <c r="JW387" s="766"/>
      <c r="JX387" s="770"/>
      <c r="JY387" s="770"/>
      <c r="JZ387" s="770"/>
      <c r="KA387" s="770"/>
      <c r="KB387" s="770"/>
      <c r="KC387" s="770"/>
      <c r="KD387" s="770"/>
      <c r="KE387" s="770"/>
      <c r="KF387" s="770"/>
      <c r="KG387" s="770"/>
      <c r="KH387" s="770"/>
      <c r="KI387" s="770"/>
      <c r="KJ387" s="770"/>
      <c r="KK387" s="770"/>
      <c r="KL387" s="770"/>
      <c r="KM387" s="770"/>
      <c r="KN387" s="770"/>
      <c r="KO387" s="770"/>
      <c r="KP387" s="770"/>
      <c r="KQ387" s="770"/>
      <c r="KR387" s="770"/>
      <c r="KS387" s="770"/>
      <c r="KT387" s="770"/>
      <c r="KU387" s="770"/>
      <c r="KV387" s="770"/>
      <c r="KW387" s="770"/>
      <c r="KX387" s="770"/>
      <c r="KY387" s="770"/>
      <c r="KZ387" s="770"/>
      <c r="LA387" s="770"/>
      <c r="LB387" s="770"/>
      <c r="LC387" s="770"/>
      <c r="LD387" s="770"/>
      <c r="LE387" s="770"/>
      <c r="LF387" s="770"/>
      <c r="LG387" s="770"/>
      <c r="LH387" s="770"/>
      <c r="LI387" s="770"/>
      <c r="LJ387" s="770"/>
      <c r="LK387" s="770"/>
      <c r="LL387" s="770"/>
      <c r="LM387" s="770"/>
      <c r="LN387" s="766"/>
      <c r="LO387" s="766"/>
      <c r="LP387" s="770"/>
      <c r="LQ387" s="770"/>
      <c r="LR387" s="770"/>
      <c r="LS387" s="770"/>
      <c r="LT387" s="770"/>
      <c r="LU387" s="770"/>
      <c r="LV387" s="770"/>
      <c r="LW387" s="770"/>
      <c r="LX387" s="769"/>
      <c r="LY387" s="766" t="str">
        <f t="shared" si="100"/>
        <v/>
      </c>
      <c r="LZ387" s="299"/>
      <c r="MA387" s="1709"/>
      <c r="MB387" s="1709"/>
      <c r="MC387" s="1679">
        <f t="shared" si="99"/>
        <v>0</v>
      </c>
      <c r="MD387" s="1709"/>
      <c r="ME387" s="1709"/>
      <c r="MF387" s="1709"/>
      <c r="MG387" s="1680">
        <f t="shared" si="101"/>
        <v>0</v>
      </c>
      <c r="MH387" s="770"/>
      <c r="MI387" s="302"/>
      <c r="MJ387" s="302"/>
      <c r="MK387" s="302"/>
      <c r="ML387" s="302"/>
      <c r="MM387" s="302"/>
      <c r="MN387" s="302"/>
      <c r="MO387" s="302"/>
      <c r="MP387" s="302"/>
      <c r="MQ387" s="302"/>
      <c r="MR387" s="302"/>
      <c r="MS387" s="302"/>
      <c r="MT387" s="302"/>
      <c r="MU387" s="302"/>
      <c r="MV387" s="302"/>
      <c r="MW387" s="302"/>
      <c r="MX387" s="302"/>
      <c r="MY387" s="1682">
        <f t="shared" ref="MY387:MY449" si="102">IF(ISBLANK(MI387:MX387)=TRUE,"",SUM(MI387:MX387))</f>
        <v>0</v>
      </c>
      <c r="MZ387" s="770"/>
      <c r="NA387" s="770"/>
      <c r="NB387" s="770"/>
      <c r="NC387" s="770"/>
      <c r="ND387" s="770"/>
      <c r="NE387" s="770"/>
      <c r="NF387" s="770"/>
      <c r="NG387" s="770"/>
      <c r="NH387" s="770"/>
      <c r="NI387" s="770"/>
      <c r="NJ387" s="770"/>
      <c r="NK387" s="770"/>
      <c r="NL387" s="770"/>
      <c r="NM387" s="770"/>
      <c r="NN387" s="770"/>
      <c r="NO387" s="770"/>
      <c r="NP387" s="770"/>
      <c r="NQ387" s="770"/>
      <c r="NR387" s="770"/>
      <c r="NS387" s="770"/>
      <c r="NT387" s="770"/>
      <c r="NU387" s="770"/>
      <c r="NV387" s="770"/>
      <c r="NW387" s="770"/>
      <c r="NX387" s="770"/>
      <c r="NY387" s="770"/>
      <c r="NZ387" s="770"/>
      <c r="OA387" s="770"/>
      <c r="OB387" s="770"/>
      <c r="OC387" s="770"/>
      <c r="OD387" s="770"/>
      <c r="OE387" s="770"/>
      <c r="OF387" s="770"/>
      <c r="OG387" s="770"/>
      <c r="OH387" s="770"/>
      <c r="OI387" s="770"/>
      <c r="OJ387" s="770"/>
      <c r="OK387" s="770"/>
      <c r="OL387" s="770"/>
      <c r="OM387" s="770"/>
      <c r="ON387" s="770"/>
      <c r="OO387" s="770"/>
      <c r="OP387" s="770"/>
      <c r="OQ387" s="770"/>
      <c r="OR387" s="770"/>
      <c r="OS387" s="770"/>
      <c r="OT387" s="770"/>
      <c r="OU387" s="770"/>
      <c r="OV387" s="770"/>
      <c r="OW387" s="770"/>
      <c r="OX387" s="770"/>
      <c r="OY387" s="770"/>
      <c r="OZ387" s="770"/>
      <c r="PA387" s="770"/>
      <c r="PB387" s="770"/>
      <c r="PC387" s="770"/>
      <c r="PD387" s="770"/>
      <c r="PE387" s="770"/>
      <c r="PF387" s="770"/>
      <c r="PG387" s="770"/>
      <c r="PH387" s="770"/>
      <c r="PI387" s="770"/>
      <c r="PJ387" s="770"/>
      <c r="PK387" s="770"/>
      <c r="PL387" s="770"/>
      <c r="PM387" s="770"/>
      <c r="PN387" s="770"/>
      <c r="PO387" s="770"/>
      <c r="PP387" s="770"/>
      <c r="PQ387" s="770"/>
      <c r="PR387" s="770"/>
      <c r="PS387" s="770"/>
      <c r="PT387" s="770"/>
      <c r="PU387" s="770"/>
      <c r="PV387" s="770"/>
      <c r="PW387" s="770"/>
      <c r="PX387" s="770"/>
      <c r="PY387" s="770"/>
      <c r="PZ387" s="770"/>
      <c r="QA387" s="770"/>
      <c r="QB387" s="770"/>
      <c r="QC387" s="770"/>
      <c r="QD387" s="770"/>
      <c r="QE387" s="770"/>
      <c r="QF387" s="770"/>
      <c r="QG387" s="770"/>
      <c r="QH387" s="770"/>
      <c r="QI387" s="770"/>
      <c r="QJ387" s="770"/>
      <c r="QK387" s="770"/>
      <c r="QL387" s="770"/>
      <c r="QM387" s="770"/>
      <c r="QN387" s="770"/>
      <c r="QO387" s="770"/>
      <c r="QP387" s="770"/>
      <c r="QQ387" s="770"/>
      <c r="QR387" s="770"/>
      <c r="QS387" s="770"/>
      <c r="QT387" s="770"/>
      <c r="QU387" s="770"/>
      <c r="QV387" s="770"/>
      <c r="QW387" s="770"/>
      <c r="QX387" s="770"/>
      <c r="QY387" s="770"/>
      <c r="QZ387" s="770"/>
      <c r="RA387" s="770"/>
      <c r="RB387" s="770"/>
      <c r="RC387" s="770"/>
      <c r="RD387" s="770"/>
      <c r="RE387" s="770"/>
      <c r="RF387" s="304"/>
      <c r="RG387" s="770"/>
      <c r="RH387" s="302"/>
      <c r="RI387" s="770"/>
      <c r="RJ387" s="770" t="s">
        <v>2191</v>
      </c>
      <c r="RK387" s="770" t="s">
        <v>13401</v>
      </c>
      <c r="RL387" s="1710"/>
      <c r="RM387" s="12"/>
      <c r="RN387" s="1711"/>
      <c r="RO387" s="140" t="s">
        <v>645</v>
      </c>
      <c r="RP387" s="11"/>
      <c r="RQ387" s="11"/>
      <c r="RR387" s="771"/>
      <c r="RS387" s="767"/>
      <c r="RT387" s="11"/>
      <c r="RU387" s="11"/>
      <c r="RV387" s="771" t="s">
        <v>7419</v>
      </c>
      <c r="RW387" s="11" t="s">
        <v>7660</v>
      </c>
      <c r="RX387" s="11" t="s">
        <v>645</v>
      </c>
      <c r="RY387" s="11"/>
      <c r="RZ387" s="11"/>
      <c r="SA387" s="771"/>
      <c r="SB387" s="11"/>
      <c r="SC387" s="11"/>
    </row>
    <row r="388" spans="1:497" ht="12.75" hidden="1" customHeight="1">
      <c r="A388" s="154" t="s">
        <v>14191</v>
      </c>
      <c r="B388" s="292" t="s">
        <v>7552</v>
      </c>
      <c r="C388" s="140" t="s">
        <v>645</v>
      </c>
      <c r="D388" s="770" t="s">
        <v>11755</v>
      </c>
      <c r="E388" s="770" t="s">
        <v>622</v>
      </c>
      <c r="F388" s="770" t="s">
        <v>28</v>
      </c>
      <c r="G388" s="770" t="s">
        <v>10</v>
      </c>
      <c r="H388" s="770"/>
      <c r="I388" s="295"/>
      <c r="J388" s="770" t="s">
        <v>11756</v>
      </c>
      <c r="K388" s="770"/>
      <c r="L388" s="770"/>
      <c r="M388" s="770"/>
      <c r="N388" s="770"/>
      <c r="O388" s="770"/>
      <c r="P388" s="770" t="s">
        <v>11756</v>
      </c>
      <c r="Q388" s="1088">
        <v>28148</v>
      </c>
      <c r="R388" s="297">
        <v>40</v>
      </c>
      <c r="S388" s="770" t="s">
        <v>10</v>
      </c>
      <c r="T388" s="770"/>
      <c r="U388" s="298" t="s">
        <v>11757</v>
      </c>
      <c r="V388" s="770" t="s">
        <v>707</v>
      </c>
      <c r="W388" s="770" t="s">
        <v>11758</v>
      </c>
      <c r="X388" s="296">
        <v>27148</v>
      </c>
      <c r="Y388" s="770" t="s">
        <v>622</v>
      </c>
      <c r="Z388" s="770" t="s">
        <v>708</v>
      </c>
      <c r="AA388" s="770" t="s">
        <v>748</v>
      </c>
      <c r="AB388" s="770" t="s">
        <v>7275</v>
      </c>
      <c r="AC388" s="770" t="s">
        <v>724</v>
      </c>
      <c r="AD388" s="770"/>
      <c r="AE388" s="770"/>
      <c r="AF388" s="770"/>
      <c r="AG388" s="770"/>
      <c r="AH388" s="770"/>
      <c r="AI388" s="770"/>
      <c r="AJ388" s="770"/>
      <c r="AK388" s="770" t="s">
        <v>1899</v>
      </c>
      <c r="AL388" s="299"/>
      <c r="AM388" s="300"/>
      <c r="AN388" s="301"/>
      <c r="AO388" s="766"/>
      <c r="AP388" s="766"/>
      <c r="AQ388" s="766"/>
      <c r="AR388" s="766"/>
      <c r="AS388" s="770"/>
      <c r="AT388" s="770"/>
      <c r="AU388" s="770"/>
      <c r="AV388" s="770"/>
      <c r="AW388" s="770"/>
      <c r="AX388" s="770"/>
      <c r="AY388" s="770"/>
      <c r="AZ388" s="770"/>
      <c r="BA388" s="770"/>
      <c r="BB388" s="770"/>
      <c r="BC388" s="770"/>
      <c r="BD388" s="770"/>
      <c r="BE388" s="770"/>
      <c r="BF388" s="302"/>
      <c r="BG388" s="302"/>
      <c r="BH388" s="770"/>
      <c r="BI388" s="770"/>
      <c r="BJ388" s="770"/>
      <c r="BK388" s="770"/>
      <c r="BL388" s="770"/>
      <c r="BM388" s="770" t="s">
        <v>1238</v>
      </c>
      <c r="BN388" s="770" t="s">
        <v>1256</v>
      </c>
      <c r="BO388" s="770"/>
      <c r="BP388" s="780"/>
      <c r="BQ388" s="772"/>
      <c r="BR388" s="774"/>
      <c r="BS388" s="766" t="s">
        <v>1257</v>
      </c>
      <c r="BT388" s="766"/>
      <c r="BU388" s="770"/>
      <c r="BV388" s="770"/>
      <c r="BW388" s="770"/>
      <c r="BX388" s="302"/>
      <c r="BY388" s="303"/>
      <c r="BZ388" s="770"/>
      <c r="CA388" s="302"/>
      <c r="CB388" s="302"/>
      <c r="CC388" s="770"/>
      <c r="CD388" s="770"/>
      <c r="CE388" s="770"/>
      <c r="CF388" s="770"/>
      <c r="CG388" s="770"/>
      <c r="CH388" s="770"/>
      <c r="CI388" s="770"/>
      <c r="CJ388" s="770"/>
      <c r="CK388" s="770"/>
      <c r="CL388" s="770"/>
      <c r="CM388" s="770"/>
      <c r="CN388" s="770"/>
      <c r="CO388" s="770"/>
      <c r="CP388" s="770"/>
      <c r="CQ388" s="770"/>
      <c r="CR388" s="770"/>
      <c r="CS388" s="302"/>
      <c r="CT388" s="770"/>
      <c r="CU388" s="305"/>
      <c r="CV388" s="770"/>
      <c r="CW388" s="770"/>
      <c r="CX388" s="770"/>
      <c r="CY388" s="770"/>
      <c r="CZ388" s="770"/>
      <c r="DA388" s="770"/>
      <c r="DB388" s="770"/>
      <c r="DC388" s="770"/>
      <c r="DD388" s="770"/>
      <c r="DE388" s="770"/>
      <c r="DF388" s="770"/>
      <c r="DG388" s="770"/>
      <c r="DH388" s="770"/>
      <c r="DI388" s="770"/>
      <c r="DJ388" s="770"/>
      <c r="DK388" s="770"/>
      <c r="DL388" s="770"/>
      <c r="DM388" s="770"/>
      <c r="DN388" s="770"/>
      <c r="DO388" s="770"/>
      <c r="DP388" s="770"/>
      <c r="DQ388" s="770"/>
      <c r="DR388" s="770"/>
      <c r="DS388" s="307"/>
      <c r="DT388" s="770"/>
      <c r="DU388" s="770"/>
      <c r="DV388" s="770"/>
      <c r="DW388" s="306"/>
      <c r="DX388" s="306"/>
      <c r="DY388" s="770"/>
      <c r="DZ388" s="770"/>
      <c r="EA388" s="770"/>
      <c r="EB388" s="770"/>
      <c r="EC388" s="770"/>
      <c r="ED388" s="770"/>
      <c r="EE388" s="770"/>
      <c r="EF388" s="770"/>
      <c r="EG388" s="770"/>
      <c r="EH388" s="770"/>
      <c r="EI388" s="770"/>
      <c r="EJ388" s="770"/>
      <c r="EK388" s="770"/>
      <c r="EL388" s="770"/>
      <c r="EM388" s="770"/>
      <c r="EN388" s="770"/>
      <c r="EO388" s="770"/>
      <c r="EP388" s="770"/>
      <c r="EQ388" s="770"/>
      <c r="ER388" s="770"/>
      <c r="ES388" s="770"/>
      <c r="ET388" s="770"/>
      <c r="EU388" s="770"/>
      <c r="EV388" s="770"/>
      <c r="EW388" s="770"/>
      <c r="EX388" s="770"/>
      <c r="EY388" s="770"/>
      <c r="EZ388" s="770"/>
      <c r="FA388" s="770"/>
      <c r="FB388" s="770"/>
      <c r="FC388" s="770"/>
      <c r="FD388" s="302"/>
      <c r="FE388" s="770"/>
      <c r="FF388" s="770"/>
      <c r="FG388" s="770"/>
      <c r="FH388" s="770" t="s">
        <v>1306</v>
      </c>
      <c r="FI388" s="770">
        <v>1</v>
      </c>
      <c r="FJ388" s="770" t="s">
        <v>643</v>
      </c>
      <c r="FK388" s="770" t="s">
        <v>1667</v>
      </c>
      <c r="FL388" s="770"/>
      <c r="FM388" s="147">
        <v>2000</v>
      </c>
      <c r="FN388" s="302">
        <v>200</v>
      </c>
      <c r="FO388" s="302">
        <v>300</v>
      </c>
      <c r="FP388" s="770" t="s">
        <v>1602</v>
      </c>
      <c r="FQ388" s="770" t="s">
        <v>1660</v>
      </c>
      <c r="FR388" s="770"/>
      <c r="FS388" s="770"/>
      <c r="FT388" s="770"/>
      <c r="FU388" s="770"/>
      <c r="FV388" s="770"/>
      <c r="FW388" s="770"/>
      <c r="FX388" s="770"/>
      <c r="FY388" s="770"/>
      <c r="FZ388" s="770"/>
      <c r="GA388" s="770"/>
      <c r="GB388" s="770"/>
      <c r="GC388" s="308"/>
      <c r="GD388" s="297"/>
      <c r="GE388" s="770"/>
      <c r="GF388" s="302"/>
      <c r="GG388" s="302"/>
      <c r="GH388" s="770"/>
      <c r="GI388" s="770"/>
      <c r="GJ388" s="770"/>
      <c r="GK388" s="770"/>
      <c r="GL388" s="770"/>
      <c r="GM388" s="770"/>
      <c r="GN388" s="309"/>
      <c r="GO388" s="770"/>
      <c r="GP388" s="770"/>
      <c r="GQ388" s="770"/>
      <c r="GR388" s="770"/>
      <c r="GS388" s="770"/>
      <c r="GT388" s="770"/>
      <c r="GU388" s="770"/>
      <c r="GV388" s="770"/>
      <c r="GW388" s="770"/>
      <c r="GX388" s="770"/>
      <c r="GY388" s="770"/>
      <c r="GZ388" s="770"/>
      <c r="HA388" s="770"/>
      <c r="HB388" s="770"/>
      <c r="HC388" s="770"/>
      <c r="HD388" s="770"/>
      <c r="HE388" s="770"/>
      <c r="HF388" s="770"/>
      <c r="HG388" s="770"/>
      <c r="HH388" s="770"/>
      <c r="HI388" s="770"/>
      <c r="HJ388" s="770"/>
      <c r="HK388" s="770"/>
      <c r="HL388" s="770"/>
      <c r="HM388" s="770"/>
      <c r="HN388" s="770"/>
      <c r="HO388" s="770"/>
      <c r="HP388" s="770"/>
      <c r="HQ388" s="770"/>
      <c r="HR388" s="770"/>
      <c r="HS388" s="770"/>
      <c r="HT388" s="770"/>
      <c r="HU388" s="770"/>
      <c r="HV388" s="770"/>
      <c r="HW388" s="770"/>
      <c r="HX388" s="770"/>
      <c r="HY388" s="770"/>
      <c r="HZ388" s="770"/>
      <c r="IA388" s="770"/>
      <c r="IB388" s="14" t="e">
        <f>IF(#REF!&gt;0,IF(#REF!&lt;=10000,"Y",""),"")</f>
        <v>#REF!</v>
      </c>
      <c r="IC388" s="770"/>
      <c r="ID388" s="770"/>
      <c r="IE388" s="770"/>
      <c r="IF388" s="770"/>
      <c r="IG388" s="770"/>
      <c r="IH388" s="770"/>
      <c r="II388" s="770"/>
      <c r="IJ388" s="770"/>
      <c r="IK388" s="770"/>
      <c r="IL388" s="770"/>
      <c r="IM388" s="770"/>
      <c r="IN388" s="770"/>
      <c r="IO388" s="296"/>
      <c r="IP388" s="770"/>
      <c r="IQ388" s="770"/>
      <c r="IR388" s="770"/>
      <c r="IS388" s="770"/>
      <c r="IT388" s="770"/>
      <c r="IU388" s="770"/>
      <c r="IV388" s="770"/>
      <c r="IW388" s="770"/>
      <c r="IX388" s="770"/>
      <c r="IY388" s="770"/>
      <c r="IZ388" s="770"/>
      <c r="JA388" s="770"/>
      <c r="JB388" s="770"/>
      <c r="JC388" s="770"/>
      <c r="JD388" s="302"/>
      <c r="JE388" s="770"/>
      <c r="JF388" s="770"/>
      <c r="JG388" s="770"/>
      <c r="JH388" s="770"/>
      <c r="JI388" s="770"/>
      <c r="JJ388" s="770"/>
      <c r="JK388" s="770" t="s">
        <v>13503</v>
      </c>
      <c r="JL388" s="770"/>
      <c r="JM388" s="770"/>
      <c r="JN388" s="770"/>
      <c r="JO388" s="770"/>
      <c r="JP388" s="770"/>
      <c r="JQ388" s="770"/>
      <c r="JR388" s="770"/>
      <c r="JS388" s="770"/>
      <c r="JT388" s="766"/>
      <c r="JU388" s="766"/>
      <c r="JV388" s="766"/>
      <c r="JW388" s="766"/>
      <c r="JX388" s="770"/>
      <c r="JY388" s="770"/>
      <c r="JZ388" s="770"/>
      <c r="KA388" s="770"/>
      <c r="KB388" s="770"/>
      <c r="KC388" s="770"/>
      <c r="KD388" s="770"/>
      <c r="KE388" s="770"/>
      <c r="KF388" s="770"/>
      <c r="KG388" s="770"/>
      <c r="KH388" s="770"/>
      <c r="KI388" s="770"/>
      <c r="KJ388" s="770"/>
      <c r="KK388" s="770"/>
      <c r="KL388" s="770"/>
      <c r="KM388" s="770"/>
      <c r="KN388" s="770"/>
      <c r="KO388" s="770"/>
      <c r="KP388" s="770"/>
      <c r="KQ388" s="770"/>
      <c r="KR388" s="770"/>
      <c r="KS388" s="770"/>
      <c r="KT388" s="770"/>
      <c r="KU388" s="770"/>
      <c r="KV388" s="770"/>
      <c r="KW388" s="770"/>
      <c r="KX388" s="770"/>
      <c r="KY388" s="770"/>
      <c r="KZ388" s="770"/>
      <c r="LA388" s="770"/>
      <c r="LB388" s="770"/>
      <c r="LC388" s="770"/>
      <c r="LD388" s="770"/>
      <c r="LE388" s="770"/>
      <c r="LF388" s="770"/>
      <c r="LG388" s="770"/>
      <c r="LH388" s="770"/>
      <c r="LI388" s="770"/>
      <c r="LJ388" s="770"/>
      <c r="LK388" s="770"/>
      <c r="LL388" s="770"/>
      <c r="LM388" s="770"/>
      <c r="LN388" s="766"/>
      <c r="LO388" s="766"/>
      <c r="LP388" s="770"/>
      <c r="LQ388" s="770"/>
      <c r="LR388" s="770"/>
      <c r="LS388" s="770"/>
      <c r="LT388" s="770"/>
      <c r="LU388" s="770"/>
      <c r="LV388" s="770"/>
      <c r="LW388" s="770"/>
      <c r="LX388" s="769"/>
      <c r="LY388" s="766" t="str">
        <f t="shared" si="100"/>
        <v/>
      </c>
      <c r="LZ388" s="299"/>
      <c r="MA388" s="1709"/>
      <c r="MB388" s="1709"/>
      <c r="MC388" s="1679">
        <f t="shared" si="99"/>
        <v>0</v>
      </c>
      <c r="MD388" s="1709"/>
      <c r="ME388" s="1709"/>
      <c r="MF388" s="1709"/>
      <c r="MG388" s="1680">
        <f t="shared" si="101"/>
        <v>0</v>
      </c>
      <c r="MH388" s="770"/>
      <c r="MI388" s="302"/>
      <c r="MJ388" s="302"/>
      <c r="MK388" s="302"/>
      <c r="ML388" s="302"/>
      <c r="MM388" s="302"/>
      <c r="MN388" s="302"/>
      <c r="MO388" s="302"/>
      <c r="MP388" s="302"/>
      <c r="MQ388" s="302"/>
      <c r="MR388" s="302"/>
      <c r="MS388" s="302"/>
      <c r="MT388" s="302"/>
      <c r="MU388" s="302"/>
      <c r="MV388" s="302"/>
      <c r="MW388" s="302"/>
      <c r="MX388" s="302"/>
      <c r="MY388" s="1682">
        <f t="shared" si="102"/>
        <v>0</v>
      </c>
      <c r="MZ388" s="770"/>
      <c r="NA388" s="770"/>
      <c r="NB388" s="770"/>
      <c r="NC388" s="770"/>
      <c r="ND388" s="770"/>
      <c r="NE388" s="770"/>
      <c r="NF388" s="770"/>
      <c r="NG388" s="770"/>
      <c r="NH388" s="770"/>
      <c r="NI388" s="770"/>
      <c r="NJ388" s="770"/>
      <c r="NK388" s="770"/>
      <c r="NL388" s="770"/>
      <c r="NM388" s="770"/>
      <c r="NN388" s="770"/>
      <c r="NO388" s="770"/>
      <c r="NP388" s="770"/>
      <c r="NQ388" s="770"/>
      <c r="NR388" s="770"/>
      <c r="NS388" s="770"/>
      <c r="NT388" s="770"/>
      <c r="NU388" s="770"/>
      <c r="NV388" s="770"/>
      <c r="NW388" s="770"/>
      <c r="NX388" s="770"/>
      <c r="NY388" s="770"/>
      <c r="NZ388" s="770"/>
      <c r="OA388" s="770"/>
      <c r="OB388" s="770"/>
      <c r="OC388" s="770"/>
      <c r="OD388" s="770"/>
      <c r="OE388" s="770"/>
      <c r="OF388" s="770"/>
      <c r="OG388" s="770"/>
      <c r="OH388" s="770"/>
      <c r="OI388" s="770"/>
      <c r="OJ388" s="770"/>
      <c r="OK388" s="770"/>
      <c r="OL388" s="770"/>
      <c r="OM388" s="770"/>
      <c r="ON388" s="770"/>
      <c r="OO388" s="770"/>
      <c r="OP388" s="770"/>
      <c r="OQ388" s="770"/>
      <c r="OR388" s="770"/>
      <c r="OS388" s="770"/>
      <c r="OT388" s="770"/>
      <c r="OU388" s="770"/>
      <c r="OV388" s="770"/>
      <c r="OW388" s="770"/>
      <c r="OX388" s="770"/>
      <c r="OY388" s="770"/>
      <c r="OZ388" s="770"/>
      <c r="PA388" s="770"/>
      <c r="PB388" s="770"/>
      <c r="PC388" s="770"/>
      <c r="PD388" s="770"/>
      <c r="PE388" s="770"/>
      <c r="PF388" s="770"/>
      <c r="PG388" s="770"/>
      <c r="PH388" s="770"/>
      <c r="PI388" s="770"/>
      <c r="PJ388" s="770"/>
      <c r="PK388" s="770"/>
      <c r="PL388" s="770"/>
      <c r="PM388" s="770"/>
      <c r="PN388" s="770"/>
      <c r="PO388" s="770"/>
      <c r="PP388" s="770"/>
      <c r="PQ388" s="770"/>
      <c r="PR388" s="770"/>
      <c r="PS388" s="770"/>
      <c r="PT388" s="770"/>
      <c r="PU388" s="770"/>
      <c r="PV388" s="770"/>
      <c r="PW388" s="770"/>
      <c r="PX388" s="770"/>
      <c r="PY388" s="770"/>
      <c r="PZ388" s="770"/>
      <c r="QA388" s="770"/>
      <c r="QB388" s="770"/>
      <c r="QC388" s="770"/>
      <c r="QD388" s="770"/>
      <c r="QE388" s="770"/>
      <c r="QF388" s="770"/>
      <c r="QG388" s="770"/>
      <c r="QH388" s="770"/>
      <c r="QI388" s="770"/>
      <c r="QJ388" s="770"/>
      <c r="QK388" s="770"/>
      <c r="QL388" s="770"/>
      <c r="QM388" s="770"/>
      <c r="QN388" s="770"/>
      <c r="QO388" s="770"/>
      <c r="QP388" s="770"/>
      <c r="QQ388" s="770"/>
      <c r="QR388" s="770"/>
      <c r="QS388" s="770"/>
      <c r="QT388" s="770"/>
      <c r="QU388" s="770"/>
      <c r="QV388" s="770"/>
      <c r="QW388" s="770"/>
      <c r="QX388" s="770"/>
      <c r="QY388" s="770"/>
      <c r="QZ388" s="770"/>
      <c r="RA388" s="770"/>
      <c r="RB388" s="770"/>
      <c r="RC388" s="770"/>
      <c r="RD388" s="770"/>
      <c r="RE388" s="770"/>
      <c r="RF388" s="304"/>
      <c r="RG388" s="770"/>
      <c r="RH388" s="302"/>
      <c r="RI388" s="770"/>
      <c r="RJ388" s="770" t="s">
        <v>13504</v>
      </c>
      <c r="RK388" s="770"/>
      <c r="RL388" s="1710"/>
      <c r="RM388" s="12"/>
      <c r="RN388" s="1711"/>
      <c r="RO388" s="140" t="s">
        <v>645</v>
      </c>
      <c r="RP388" s="11"/>
      <c r="RQ388" s="11"/>
      <c r="RR388" s="771"/>
      <c r="RS388" s="767"/>
      <c r="RT388" s="11"/>
      <c r="RU388" s="11"/>
      <c r="RV388" s="771" t="s">
        <v>8099</v>
      </c>
      <c r="RW388" s="11" t="s">
        <v>7661</v>
      </c>
      <c r="RX388" s="11" t="s">
        <v>645</v>
      </c>
      <c r="RY388" s="11"/>
      <c r="RZ388" s="11"/>
      <c r="SA388" s="771"/>
      <c r="SB388" s="11"/>
      <c r="SC388" s="11"/>
    </row>
    <row r="389" spans="1:497" ht="12.75" hidden="1" customHeight="1">
      <c r="A389" s="154" t="s">
        <v>7419</v>
      </c>
      <c r="B389" s="292" t="s">
        <v>7662</v>
      </c>
      <c r="C389" s="140" t="s">
        <v>646</v>
      </c>
      <c r="D389" s="770" t="s">
        <v>2014</v>
      </c>
      <c r="E389" s="770" t="s">
        <v>622</v>
      </c>
      <c r="F389" s="770" t="s">
        <v>28</v>
      </c>
      <c r="G389" s="770" t="s">
        <v>10</v>
      </c>
      <c r="H389" s="770"/>
      <c r="I389" s="295" t="s">
        <v>1667</v>
      </c>
      <c r="J389" s="770" t="s">
        <v>2014</v>
      </c>
      <c r="K389" s="770"/>
      <c r="L389" s="770"/>
      <c r="M389" s="770"/>
      <c r="N389" s="770"/>
      <c r="O389" s="770"/>
      <c r="P389" s="770"/>
      <c r="Q389" s="1088"/>
      <c r="R389" s="297"/>
      <c r="S389" s="770"/>
      <c r="T389" s="770"/>
      <c r="U389" s="298"/>
      <c r="V389" s="770"/>
      <c r="W389" s="770"/>
      <c r="X389" s="296"/>
      <c r="Y389" s="770"/>
      <c r="Z389" s="770"/>
      <c r="AA389" s="770"/>
      <c r="AB389" s="770"/>
      <c r="AC389" s="770"/>
      <c r="AD389" s="770"/>
      <c r="AE389" s="770"/>
      <c r="AF389" s="770"/>
      <c r="AG389" s="766" t="s">
        <v>1095</v>
      </c>
      <c r="AH389" s="766" t="s">
        <v>1096</v>
      </c>
      <c r="AI389" s="770" t="s">
        <v>643</v>
      </c>
      <c r="AJ389" s="770"/>
      <c r="AK389" s="766" t="s">
        <v>1097</v>
      </c>
      <c r="AL389" s="299">
        <v>43.604999999999997</v>
      </c>
      <c r="AM389" s="300">
        <v>43.604999999999997</v>
      </c>
      <c r="AN389" s="301">
        <v>1</v>
      </c>
      <c r="AO389" s="766" t="s">
        <v>1122</v>
      </c>
      <c r="AP389" s="766"/>
      <c r="AQ389" s="766"/>
      <c r="AR389" s="766"/>
      <c r="AS389" s="770" t="s">
        <v>1207</v>
      </c>
      <c r="AT389" s="770" t="s">
        <v>1208</v>
      </c>
      <c r="AU389" s="770" t="s">
        <v>1208</v>
      </c>
      <c r="AV389" s="770" t="s">
        <v>1208</v>
      </c>
      <c r="AW389" s="770"/>
      <c r="AX389" s="770"/>
      <c r="AY389" s="770"/>
      <c r="AZ389" s="770"/>
      <c r="BA389" s="770"/>
      <c r="BB389" s="770"/>
      <c r="BC389" s="770" t="s">
        <v>796</v>
      </c>
      <c r="BD389" s="770" t="s">
        <v>1207</v>
      </c>
      <c r="BE389" s="770"/>
      <c r="BF389" s="302"/>
      <c r="BG389" s="302"/>
      <c r="BH389" s="770"/>
      <c r="BI389" s="770"/>
      <c r="BJ389" s="770"/>
      <c r="BK389" s="770" t="s">
        <v>1095</v>
      </c>
      <c r="BL389" s="770" t="s">
        <v>643</v>
      </c>
      <c r="BM389" s="766" t="s">
        <v>1096</v>
      </c>
      <c r="BN389" s="770" t="s">
        <v>1230</v>
      </c>
      <c r="BO389" s="766" t="s">
        <v>1246</v>
      </c>
      <c r="BP389" s="780">
        <v>43.604999999999997</v>
      </c>
      <c r="BQ389" s="772">
        <v>43.604999999999997</v>
      </c>
      <c r="BR389" s="774">
        <v>1</v>
      </c>
      <c r="BS389" s="766" t="s">
        <v>1257</v>
      </c>
      <c r="BT389" s="766" t="s">
        <v>2040</v>
      </c>
      <c r="BU389" s="770" t="s">
        <v>1249</v>
      </c>
      <c r="BV389" s="770" t="s">
        <v>1247</v>
      </c>
      <c r="BW389" s="769"/>
      <c r="BX389" s="302"/>
      <c r="BY389" s="303"/>
      <c r="BZ389" s="770"/>
      <c r="CA389" s="302"/>
      <c r="CB389" s="302"/>
      <c r="CC389" s="770"/>
      <c r="CD389" s="770"/>
      <c r="CE389" s="770"/>
      <c r="CF389" s="304"/>
      <c r="CG389" s="321"/>
      <c r="CH389" s="770"/>
      <c r="CI389" s="770"/>
      <c r="CJ389" s="770"/>
      <c r="CK389" s="770"/>
      <c r="CL389" s="770"/>
      <c r="CM389" s="770"/>
      <c r="CN389" s="770"/>
      <c r="CO389" s="770"/>
      <c r="CP389" s="770"/>
      <c r="CQ389" s="770"/>
      <c r="CR389" s="770"/>
      <c r="CS389" s="302"/>
      <c r="CT389" s="770"/>
      <c r="CU389" s="305"/>
      <c r="CV389" s="770"/>
      <c r="CW389" s="770"/>
      <c r="CX389" s="770"/>
      <c r="CY389" s="770"/>
      <c r="CZ389" s="770"/>
      <c r="DA389" s="306"/>
      <c r="DB389" s="770"/>
      <c r="DC389" s="770"/>
      <c r="DD389" s="770"/>
      <c r="DE389" s="300"/>
      <c r="DF389" s="770"/>
      <c r="DG389" s="770"/>
      <c r="DH389" s="770"/>
      <c r="DI389" s="770"/>
      <c r="DJ389" s="770"/>
      <c r="DK389" s="770"/>
      <c r="DL389" s="770"/>
      <c r="DM389" s="770"/>
      <c r="DN389" s="322"/>
      <c r="DO389" s="770"/>
      <c r="DP389" s="770"/>
      <c r="DQ389" s="770"/>
      <c r="DR389" s="770"/>
      <c r="DS389" s="307"/>
      <c r="DT389" s="770"/>
      <c r="DU389" s="770"/>
      <c r="DV389" s="770"/>
      <c r="DW389" s="306"/>
      <c r="DX389" s="306"/>
      <c r="DY389" s="770"/>
      <c r="DZ389" s="770"/>
      <c r="EA389" s="770"/>
      <c r="EB389" s="770"/>
      <c r="EC389" s="770"/>
      <c r="ED389" s="770"/>
      <c r="EE389" s="770"/>
      <c r="EF389" s="770"/>
      <c r="EG389" s="770"/>
      <c r="EH389" s="770"/>
      <c r="EI389" s="770"/>
      <c r="EJ389" s="770"/>
      <c r="EK389" s="770"/>
      <c r="EL389" s="770"/>
      <c r="EM389" s="770"/>
      <c r="EN389" s="770"/>
      <c r="EO389" s="770"/>
      <c r="EP389" s="94"/>
      <c r="EQ389" s="770"/>
      <c r="ER389" s="770"/>
      <c r="ES389" s="770"/>
      <c r="ET389" s="770"/>
      <c r="EU389" s="770"/>
      <c r="EV389" s="770"/>
      <c r="EW389" s="770"/>
      <c r="EX389" s="770"/>
      <c r="EY389" s="770"/>
      <c r="EZ389" s="770" t="s">
        <v>8120</v>
      </c>
      <c r="FA389" s="770"/>
      <c r="FB389" s="770"/>
      <c r="FC389" s="770"/>
      <c r="FD389" s="302" t="s">
        <v>1532</v>
      </c>
      <c r="FE389" s="770" t="s">
        <v>1586</v>
      </c>
      <c r="FF389" s="770"/>
      <c r="FG389" s="770"/>
      <c r="FH389" s="770" t="s">
        <v>478</v>
      </c>
      <c r="FI389" s="770">
        <v>3</v>
      </c>
      <c r="FJ389" s="770"/>
      <c r="FK389" s="770"/>
      <c r="FL389" s="770"/>
      <c r="FM389" s="302"/>
      <c r="FN389" s="302"/>
      <c r="FO389" s="302"/>
      <c r="FP389" s="770" t="s">
        <v>1602</v>
      </c>
      <c r="FQ389" s="770" t="s">
        <v>1660</v>
      </c>
      <c r="FR389" s="770" t="s">
        <v>1207</v>
      </c>
      <c r="FS389" s="770" t="s">
        <v>1208</v>
      </c>
      <c r="FT389" s="770" t="s">
        <v>1208</v>
      </c>
      <c r="FU389" s="770"/>
      <c r="FV389" s="770"/>
      <c r="FW389" s="770"/>
      <c r="FX389" s="770"/>
      <c r="FY389" s="770"/>
      <c r="FZ389" s="770"/>
      <c r="GA389" s="770"/>
      <c r="GB389" s="770" t="s">
        <v>796</v>
      </c>
      <c r="GC389" s="308" t="s">
        <v>643</v>
      </c>
      <c r="GD389" s="297" t="s">
        <v>1217</v>
      </c>
      <c r="GE389" s="770" t="s">
        <v>1207</v>
      </c>
      <c r="GF389" s="302">
        <f>SUM(1600,2000,2700)</f>
        <v>6300</v>
      </c>
      <c r="GG389" s="302">
        <f>GF389*12</f>
        <v>75600</v>
      </c>
      <c r="GH389" s="770"/>
      <c r="GI389" s="770"/>
      <c r="GJ389" s="770"/>
      <c r="GK389" s="770"/>
      <c r="GL389" s="770"/>
      <c r="GM389" s="770"/>
      <c r="GN389" s="309"/>
      <c r="GO389" s="770"/>
      <c r="GP389" s="770"/>
      <c r="GQ389" s="770"/>
      <c r="GR389" s="770"/>
      <c r="GS389" s="770"/>
      <c r="GT389" s="770"/>
      <c r="GU389" s="770"/>
      <c r="GV389" s="770"/>
      <c r="GW389" s="770"/>
      <c r="GX389" s="770"/>
      <c r="GY389" s="770"/>
      <c r="GZ389" s="770"/>
      <c r="HA389" s="770"/>
      <c r="HB389" s="770"/>
      <c r="HC389" s="770"/>
      <c r="HD389" s="770"/>
      <c r="HE389" s="770"/>
      <c r="HF389" s="770"/>
      <c r="HG389" s="770"/>
      <c r="HH389" s="770"/>
      <c r="HI389" s="770"/>
      <c r="HJ389" s="770"/>
      <c r="HK389" s="770"/>
      <c r="HL389" s="770"/>
      <c r="HM389" s="770"/>
      <c r="HN389" s="770"/>
      <c r="HO389" s="770"/>
      <c r="HP389" s="770"/>
      <c r="HQ389" s="770"/>
      <c r="HR389" s="770"/>
      <c r="HS389" s="770"/>
      <c r="HT389" s="770"/>
      <c r="HU389" s="770"/>
      <c r="HV389" s="770"/>
      <c r="HW389" s="770"/>
      <c r="HX389" s="770"/>
      <c r="HY389" s="770"/>
      <c r="HZ389" s="770"/>
      <c r="IA389" s="770"/>
      <c r="IB389" s="14" t="e">
        <f>IF(#REF!&gt;0,IF(#REF!&lt;=10000,"Y",""),"")</f>
        <v>#REF!</v>
      </c>
      <c r="IC389" s="770"/>
      <c r="ID389" s="770"/>
      <c r="IE389" s="770"/>
      <c r="IF389" s="770" t="s">
        <v>2014</v>
      </c>
      <c r="IG389" s="770" t="s">
        <v>10</v>
      </c>
      <c r="IH389" s="770" t="s">
        <v>478</v>
      </c>
      <c r="II389" s="770" t="s">
        <v>5672</v>
      </c>
      <c r="IJ389" s="766" t="s">
        <v>1604</v>
      </c>
      <c r="IK389" s="766" t="s">
        <v>1888</v>
      </c>
      <c r="IL389" s="770" t="s">
        <v>643</v>
      </c>
      <c r="IM389" s="770">
        <v>2014</v>
      </c>
      <c r="IN389" s="770" t="s">
        <v>643</v>
      </c>
      <c r="IO389" s="296">
        <v>21226</v>
      </c>
      <c r="IP389" s="770"/>
      <c r="IQ389" s="769" t="s">
        <v>5498</v>
      </c>
      <c r="IR389" s="770" t="s">
        <v>2716</v>
      </c>
      <c r="IS389" s="770" t="s">
        <v>1917</v>
      </c>
      <c r="IT389" s="770" t="s">
        <v>1208</v>
      </c>
      <c r="IU389" s="770"/>
      <c r="IV389" s="770"/>
      <c r="IW389" s="770"/>
      <c r="IX389" s="770"/>
      <c r="IY389" s="770"/>
      <c r="IZ389" s="770"/>
      <c r="JA389" s="770"/>
      <c r="JB389" s="770"/>
      <c r="JC389" s="770"/>
      <c r="JD389" s="302">
        <v>6300</v>
      </c>
      <c r="JE389" s="770"/>
      <c r="JF389" s="770"/>
      <c r="JG389" s="770"/>
      <c r="JH389" s="770"/>
      <c r="JI389" s="770"/>
      <c r="JJ389" s="770"/>
      <c r="JK389" s="770"/>
      <c r="JL389" s="770"/>
      <c r="JM389" s="770"/>
      <c r="JN389" s="770"/>
      <c r="JO389" s="770"/>
      <c r="JP389" s="770"/>
      <c r="JQ389" s="770"/>
      <c r="JR389" s="770"/>
      <c r="JS389" s="770"/>
      <c r="JT389" s="766"/>
      <c r="JU389" s="766"/>
      <c r="JV389" s="766"/>
      <c r="JW389" s="766"/>
      <c r="JX389" s="770"/>
      <c r="JY389" s="770"/>
      <c r="JZ389" s="770"/>
      <c r="KA389" s="770"/>
      <c r="KB389" s="770"/>
      <c r="KC389" s="770"/>
      <c r="KD389" s="770"/>
      <c r="KE389" s="770"/>
      <c r="KF389" s="770"/>
      <c r="KG389" s="770"/>
      <c r="KH389" s="770"/>
      <c r="KI389" s="770"/>
      <c r="KJ389" s="770"/>
      <c r="KK389" s="770"/>
      <c r="KL389" s="770"/>
      <c r="KM389" s="770"/>
      <c r="KN389" s="770"/>
      <c r="KO389" s="770"/>
      <c r="KP389" s="770"/>
      <c r="KQ389" s="770"/>
      <c r="KR389" s="770"/>
      <c r="KS389" s="770"/>
      <c r="KT389" s="770"/>
      <c r="KU389" s="770"/>
      <c r="KV389" s="770"/>
      <c r="KW389" s="770"/>
      <c r="KX389" s="770"/>
      <c r="KY389" s="770"/>
      <c r="KZ389" s="770"/>
      <c r="LA389" s="770"/>
      <c r="LB389" s="770"/>
      <c r="LC389" s="770"/>
      <c r="LD389" s="770"/>
      <c r="LE389" s="770"/>
      <c r="LF389" s="770"/>
      <c r="LG389" s="770"/>
      <c r="LH389" s="770"/>
      <c r="LI389" s="770"/>
      <c r="LJ389" s="770"/>
      <c r="LK389" s="770"/>
      <c r="LL389" s="770"/>
      <c r="LM389" s="770"/>
      <c r="LN389" s="766"/>
      <c r="LO389" s="766"/>
      <c r="LP389" s="770"/>
      <c r="LQ389" s="770"/>
      <c r="LR389" s="770"/>
      <c r="LS389" s="770"/>
      <c r="LT389" s="770"/>
      <c r="LU389" s="770"/>
      <c r="LV389" s="770"/>
      <c r="LW389" s="770"/>
      <c r="LX389" s="769"/>
      <c r="LY389" s="766" t="str">
        <f t="shared" si="100"/>
        <v/>
      </c>
      <c r="LZ389" s="299"/>
      <c r="MA389" s="306"/>
      <c r="MB389" s="306"/>
      <c r="MC389" s="1679">
        <f t="shared" si="99"/>
        <v>0</v>
      </c>
      <c r="MD389" s="306"/>
      <c r="ME389" s="306"/>
      <c r="MF389" s="306"/>
      <c r="MG389" s="1680">
        <f t="shared" si="101"/>
        <v>0</v>
      </c>
      <c r="MH389" s="770"/>
      <c r="MI389" s="302"/>
      <c r="MJ389" s="302"/>
      <c r="MK389" s="302"/>
      <c r="ML389" s="302"/>
      <c r="MM389" s="302"/>
      <c r="MN389" s="302"/>
      <c r="MO389" s="302"/>
      <c r="MP389" s="302"/>
      <c r="MQ389" s="302"/>
      <c r="MR389" s="302"/>
      <c r="MS389" s="302"/>
      <c r="MT389" s="302"/>
      <c r="MU389" s="302"/>
      <c r="MV389" s="302"/>
      <c r="MW389" s="302"/>
      <c r="MX389" s="302"/>
      <c r="MY389" s="1682">
        <f t="shared" si="102"/>
        <v>0</v>
      </c>
      <c r="MZ389" s="770"/>
      <c r="NA389" s="770"/>
      <c r="NB389" s="770"/>
      <c r="NC389" s="770"/>
      <c r="ND389" s="770"/>
      <c r="NE389" s="770"/>
      <c r="NF389" s="770"/>
      <c r="NG389" s="770"/>
      <c r="NH389" s="770"/>
      <c r="NI389" s="770"/>
      <c r="NJ389" s="770"/>
      <c r="NK389" s="770"/>
      <c r="NL389" s="770"/>
      <c r="NM389" s="770"/>
      <c r="NN389" s="770"/>
      <c r="NO389" s="770"/>
      <c r="NP389" s="770"/>
      <c r="NQ389" s="770"/>
      <c r="NR389" s="770"/>
      <c r="NS389" s="770"/>
      <c r="NT389" s="770"/>
      <c r="NU389" s="770"/>
      <c r="NV389" s="770"/>
      <c r="NW389" s="770"/>
      <c r="NX389" s="770"/>
      <c r="NY389" s="770"/>
      <c r="NZ389" s="770"/>
      <c r="OA389" s="770"/>
      <c r="OB389" s="770"/>
      <c r="OC389" s="770"/>
      <c r="OD389" s="770"/>
      <c r="OE389" s="770"/>
      <c r="OF389" s="770"/>
      <c r="OG389" s="770"/>
      <c r="OH389" s="770"/>
      <c r="OI389" s="770"/>
      <c r="OJ389" s="770"/>
      <c r="OK389" s="770"/>
      <c r="OL389" s="770"/>
      <c r="OM389" s="770"/>
      <c r="ON389" s="770"/>
      <c r="OO389" s="770"/>
      <c r="OP389" s="770"/>
      <c r="OQ389" s="770"/>
      <c r="OR389" s="770"/>
      <c r="OS389" s="770"/>
      <c r="OT389" s="770"/>
      <c r="OU389" s="770"/>
      <c r="OV389" s="770"/>
      <c r="OW389" s="770"/>
      <c r="OX389" s="770"/>
      <c r="OY389" s="770"/>
      <c r="OZ389" s="770"/>
      <c r="PA389" s="770"/>
      <c r="PB389" s="770"/>
      <c r="PC389" s="770"/>
      <c r="PD389" s="770"/>
      <c r="PE389" s="770"/>
      <c r="PF389" s="770"/>
      <c r="PG389" s="770"/>
      <c r="PH389" s="770"/>
      <c r="PI389" s="770"/>
      <c r="PJ389" s="770"/>
      <c r="PK389" s="770"/>
      <c r="PL389" s="770"/>
      <c r="PM389" s="770"/>
      <c r="PN389" s="770"/>
      <c r="PO389" s="770"/>
      <c r="PP389" s="770"/>
      <c r="PQ389" s="770"/>
      <c r="PR389" s="770"/>
      <c r="PS389" s="770"/>
      <c r="PT389" s="770"/>
      <c r="PU389" s="770"/>
      <c r="PV389" s="770"/>
      <c r="PW389" s="770"/>
      <c r="PX389" s="770"/>
      <c r="PY389" s="770"/>
      <c r="PZ389" s="770"/>
      <c r="QA389" s="770"/>
      <c r="QB389" s="770"/>
      <c r="QC389" s="770"/>
      <c r="QD389" s="770"/>
      <c r="QE389" s="770"/>
      <c r="QF389" s="770"/>
      <c r="QG389" s="770"/>
      <c r="QH389" s="770"/>
      <c r="QI389" s="770"/>
      <c r="QJ389" s="770"/>
      <c r="QK389" s="770"/>
      <c r="QL389" s="770"/>
      <c r="QM389" s="770"/>
      <c r="QN389" s="770"/>
      <c r="QO389" s="770"/>
      <c r="QP389" s="770"/>
      <c r="QQ389" s="770"/>
      <c r="QR389" s="770"/>
      <c r="QS389" s="770"/>
      <c r="QT389" s="770"/>
      <c r="QU389" s="770"/>
      <c r="QV389" s="770"/>
      <c r="QW389" s="770"/>
      <c r="QX389" s="770"/>
      <c r="QY389" s="770"/>
      <c r="QZ389" s="770"/>
      <c r="RA389" s="770"/>
      <c r="RB389" s="770"/>
      <c r="RC389" s="770"/>
      <c r="RD389" s="770"/>
      <c r="RE389" s="770"/>
      <c r="RF389" s="304"/>
      <c r="RG389" s="770"/>
      <c r="RH389" s="302"/>
      <c r="RI389" s="770"/>
      <c r="RJ389" s="770" t="s">
        <v>643</v>
      </c>
      <c r="RK389" s="770" t="s">
        <v>13381</v>
      </c>
      <c r="RL389" s="1710"/>
      <c r="RM389" s="12"/>
      <c r="RN389" s="1711"/>
      <c r="RO389" s="140" t="s">
        <v>646</v>
      </c>
      <c r="RP389" s="11"/>
      <c r="RQ389" s="11"/>
      <c r="RR389" s="771"/>
      <c r="RS389" s="767"/>
      <c r="RT389" s="11"/>
      <c r="RU389" s="11"/>
      <c r="RV389" s="771" t="s">
        <v>8099</v>
      </c>
      <c r="RW389" s="11" t="s">
        <v>7551</v>
      </c>
      <c r="RX389" s="11" t="s">
        <v>645</v>
      </c>
      <c r="RY389" s="11"/>
      <c r="RZ389" s="11" t="s">
        <v>2209</v>
      </c>
      <c r="SA389" s="771"/>
      <c r="SB389" s="11"/>
      <c r="SC389" s="11"/>
    </row>
    <row r="390" spans="1:497" ht="12.75" hidden="1" customHeight="1">
      <c r="A390" s="343" t="s">
        <v>14192</v>
      </c>
      <c r="B390" s="292" t="s">
        <v>5697</v>
      </c>
      <c r="C390" s="140" t="s">
        <v>646</v>
      </c>
      <c r="D390" s="770" t="s">
        <v>5698</v>
      </c>
      <c r="E390" s="770" t="s">
        <v>622</v>
      </c>
      <c r="F390" s="770" t="s">
        <v>20</v>
      </c>
      <c r="G390" s="770" t="s">
        <v>18</v>
      </c>
      <c r="H390" s="770"/>
      <c r="I390" s="295" t="s">
        <v>5699</v>
      </c>
      <c r="J390" s="770" t="s">
        <v>5700</v>
      </c>
      <c r="K390" s="770"/>
      <c r="L390" s="770"/>
      <c r="M390" s="770"/>
      <c r="N390" s="770"/>
      <c r="O390" s="770"/>
      <c r="P390" s="770" t="s">
        <v>5700</v>
      </c>
      <c r="Q390" s="1088">
        <v>29103</v>
      </c>
      <c r="R390" s="297">
        <v>37</v>
      </c>
      <c r="S390" s="770" t="s">
        <v>10</v>
      </c>
      <c r="T390" s="770"/>
      <c r="U390" s="298" t="s">
        <v>5699</v>
      </c>
      <c r="V390" s="770" t="s">
        <v>722</v>
      </c>
      <c r="W390" s="770" t="s">
        <v>5698</v>
      </c>
      <c r="X390" s="296"/>
      <c r="Y390" s="770" t="s">
        <v>622</v>
      </c>
      <c r="Z390" s="770" t="s">
        <v>708</v>
      </c>
      <c r="AA390" s="770" t="s">
        <v>748</v>
      </c>
      <c r="AB390" s="770" t="s">
        <v>7275</v>
      </c>
      <c r="AC390" s="770" t="s">
        <v>724</v>
      </c>
      <c r="AD390" s="770"/>
      <c r="AE390" s="770"/>
      <c r="AF390" s="770"/>
      <c r="AG390" s="770"/>
      <c r="AH390" s="770"/>
      <c r="AI390" s="770"/>
      <c r="AJ390" s="770"/>
      <c r="AK390" s="770" t="s">
        <v>1899</v>
      </c>
      <c r="AL390" s="299"/>
      <c r="AM390" s="300"/>
      <c r="AN390" s="301"/>
      <c r="AO390" s="766"/>
      <c r="AP390" s="766"/>
      <c r="AQ390" s="766"/>
      <c r="AR390" s="766"/>
      <c r="AS390" s="770"/>
      <c r="AT390" s="770"/>
      <c r="AU390" s="770"/>
      <c r="AV390" s="770"/>
      <c r="AW390" s="770"/>
      <c r="AX390" s="770"/>
      <c r="AY390" s="770"/>
      <c r="AZ390" s="770"/>
      <c r="BA390" s="770"/>
      <c r="BB390" s="770"/>
      <c r="BC390" s="770"/>
      <c r="BD390" s="770"/>
      <c r="BE390" s="770"/>
      <c r="BF390" s="302"/>
      <c r="BG390" s="302"/>
      <c r="BH390" s="770"/>
      <c r="BI390" s="770"/>
      <c r="BJ390" s="770"/>
      <c r="BK390" s="770"/>
      <c r="BL390" s="770"/>
      <c r="BM390" s="770" t="s">
        <v>1238</v>
      </c>
      <c r="BN390" s="770" t="s">
        <v>1256</v>
      </c>
      <c r="BO390" s="770"/>
      <c r="BP390" s="780"/>
      <c r="BQ390" s="772"/>
      <c r="BR390" s="774"/>
      <c r="BS390" s="766" t="s">
        <v>1105</v>
      </c>
      <c r="BT390" s="766"/>
      <c r="BU390" s="770"/>
      <c r="BV390" s="770"/>
      <c r="BW390" s="770"/>
      <c r="BX390" s="302"/>
      <c r="BY390" s="303"/>
      <c r="BZ390" s="770"/>
      <c r="CA390" s="302"/>
      <c r="CB390" s="302"/>
      <c r="CC390" s="770"/>
      <c r="CD390" s="770"/>
      <c r="CE390" s="770"/>
      <c r="CF390" s="770"/>
      <c r="CG390" s="770"/>
      <c r="CH390" s="770"/>
      <c r="CI390" s="770"/>
      <c r="CJ390" s="770"/>
      <c r="CK390" s="770"/>
      <c r="CL390" s="770"/>
      <c r="CM390" s="770"/>
      <c r="CN390" s="770"/>
      <c r="CO390" s="770"/>
      <c r="CP390" s="770"/>
      <c r="CQ390" s="770"/>
      <c r="CR390" s="770"/>
      <c r="CS390" s="302"/>
      <c r="CT390" s="770"/>
      <c r="CU390" s="305"/>
      <c r="CV390" s="770"/>
      <c r="CW390" s="770"/>
      <c r="CX390" s="770"/>
      <c r="CY390" s="770"/>
      <c r="CZ390" s="770"/>
      <c r="DA390" s="770"/>
      <c r="DB390" s="770"/>
      <c r="DC390" s="770"/>
      <c r="DD390" s="770"/>
      <c r="DE390" s="770"/>
      <c r="DF390" s="770"/>
      <c r="DG390" s="770"/>
      <c r="DH390" s="770"/>
      <c r="DI390" s="770"/>
      <c r="DJ390" s="770"/>
      <c r="DK390" s="770"/>
      <c r="DL390" s="770"/>
      <c r="DM390" s="770"/>
      <c r="DN390" s="770"/>
      <c r="DO390" s="770"/>
      <c r="DP390" s="770"/>
      <c r="DQ390" s="770"/>
      <c r="DR390" s="770"/>
      <c r="DS390" s="307"/>
      <c r="DT390" s="770"/>
      <c r="DU390" s="770"/>
      <c r="DV390" s="770"/>
      <c r="DW390" s="306"/>
      <c r="DX390" s="306"/>
      <c r="DY390" s="770"/>
      <c r="DZ390" s="770"/>
      <c r="EA390" s="770"/>
      <c r="EB390" s="770"/>
      <c r="EC390" s="770"/>
      <c r="ED390" s="770"/>
      <c r="EE390" s="770"/>
      <c r="EF390" s="770"/>
      <c r="EG390" s="770"/>
      <c r="EH390" s="770"/>
      <c r="EI390" s="770"/>
      <c r="EJ390" s="770"/>
      <c r="EK390" s="770"/>
      <c r="EL390" s="770"/>
      <c r="EM390" s="770"/>
      <c r="EN390" s="770"/>
      <c r="EO390" s="770"/>
      <c r="EP390" s="770"/>
      <c r="EQ390" s="770"/>
      <c r="ER390" s="770"/>
      <c r="ES390" s="770"/>
      <c r="ET390" s="770"/>
      <c r="EU390" s="770"/>
      <c r="EV390" s="770"/>
      <c r="EW390" s="770"/>
      <c r="EX390" s="770"/>
      <c r="EY390" s="770"/>
      <c r="EZ390" s="770"/>
      <c r="FA390" s="770"/>
      <c r="FB390" s="770"/>
      <c r="FC390" s="770"/>
      <c r="FD390" s="302"/>
      <c r="FE390" s="770"/>
      <c r="FF390" s="770"/>
      <c r="FG390" s="770"/>
      <c r="FH390" s="770" t="s">
        <v>1306</v>
      </c>
      <c r="FI390" s="770">
        <v>1</v>
      </c>
      <c r="FJ390" s="770" t="s">
        <v>643</v>
      </c>
      <c r="FK390" s="770" t="s">
        <v>1667</v>
      </c>
      <c r="FL390" s="770"/>
      <c r="FM390" s="147">
        <v>1600</v>
      </c>
      <c r="FN390" s="302">
        <v>500</v>
      </c>
      <c r="FO390" s="302">
        <v>500</v>
      </c>
      <c r="FP390" s="770" t="s">
        <v>1602</v>
      </c>
      <c r="FQ390" s="770" t="s">
        <v>1660</v>
      </c>
      <c r="FR390" s="770"/>
      <c r="FS390" s="770"/>
      <c r="FT390" s="770"/>
      <c r="FU390" s="770"/>
      <c r="FV390" s="770"/>
      <c r="FW390" s="770"/>
      <c r="FX390" s="770"/>
      <c r="FY390" s="770"/>
      <c r="FZ390" s="770"/>
      <c r="GA390" s="770"/>
      <c r="GB390" s="770"/>
      <c r="GC390" s="308"/>
      <c r="GD390" s="297"/>
      <c r="GE390" s="770"/>
      <c r="GF390" s="302"/>
      <c r="GG390" s="302"/>
      <c r="GH390" s="770"/>
      <c r="GI390" s="770"/>
      <c r="GJ390" s="770"/>
      <c r="GK390" s="770"/>
      <c r="GL390" s="770"/>
      <c r="GM390" s="770"/>
      <c r="GN390" s="309"/>
      <c r="GO390" s="770"/>
      <c r="GP390" s="770"/>
      <c r="GQ390" s="770"/>
      <c r="GR390" s="770"/>
      <c r="GS390" s="770"/>
      <c r="GT390" s="770"/>
      <c r="GU390" s="770"/>
      <c r="GV390" s="770"/>
      <c r="GW390" s="770"/>
      <c r="GX390" s="770"/>
      <c r="GY390" s="770"/>
      <c r="GZ390" s="770"/>
      <c r="HA390" s="770"/>
      <c r="HB390" s="770"/>
      <c r="HC390" s="770"/>
      <c r="HD390" s="770"/>
      <c r="HE390" s="770"/>
      <c r="HF390" s="770"/>
      <c r="HG390" s="770"/>
      <c r="HH390" s="770"/>
      <c r="HI390" s="770"/>
      <c r="HJ390" s="770"/>
      <c r="HK390" s="770"/>
      <c r="HL390" s="770"/>
      <c r="HM390" s="770"/>
      <c r="HN390" s="770"/>
      <c r="HO390" s="770"/>
      <c r="HP390" s="770"/>
      <c r="HQ390" s="770"/>
      <c r="HR390" s="770"/>
      <c r="HS390" s="770"/>
      <c r="HT390" s="770"/>
      <c r="HU390" s="770"/>
      <c r="HV390" s="770"/>
      <c r="HW390" s="770"/>
      <c r="HX390" s="770"/>
      <c r="HY390" s="770"/>
      <c r="HZ390" s="770"/>
      <c r="IA390" s="770"/>
      <c r="IB390" s="14" t="e">
        <f>IF(#REF!&gt;0,IF(#REF!&lt;=10000,"Y",""),"")</f>
        <v>#REF!</v>
      </c>
      <c r="IC390" s="770"/>
      <c r="ID390" s="770"/>
      <c r="IE390" s="770"/>
      <c r="IF390" s="770"/>
      <c r="IG390" s="770"/>
      <c r="IH390" s="770"/>
      <c r="II390" s="770"/>
      <c r="IJ390" s="770"/>
      <c r="IK390" s="770"/>
      <c r="IL390" s="770"/>
      <c r="IM390" s="770"/>
      <c r="IN390" s="770"/>
      <c r="IO390" s="296"/>
      <c r="IP390" s="770"/>
      <c r="IQ390" s="770"/>
      <c r="IR390" s="770"/>
      <c r="IS390" s="770"/>
      <c r="IT390" s="770"/>
      <c r="IU390" s="770"/>
      <c r="IV390" s="770"/>
      <c r="IW390" s="770"/>
      <c r="IX390" s="770"/>
      <c r="IY390" s="770"/>
      <c r="IZ390" s="770"/>
      <c r="JA390" s="770"/>
      <c r="JB390" s="770"/>
      <c r="JC390" s="770"/>
      <c r="JD390" s="302"/>
      <c r="JE390" s="770"/>
      <c r="JF390" s="770"/>
      <c r="JG390" s="770"/>
      <c r="JH390" s="770"/>
      <c r="JI390" s="770"/>
      <c r="JJ390" s="770"/>
      <c r="JK390" s="770" t="s">
        <v>13505</v>
      </c>
      <c r="JL390" s="770"/>
      <c r="JM390" s="770"/>
      <c r="JN390" s="770"/>
      <c r="JO390" s="770"/>
      <c r="JP390" s="770"/>
      <c r="JQ390" s="770"/>
      <c r="JR390" s="770"/>
      <c r="JS390" s="770"/>
      <c r="JT390" s="766"/>
      <c r="JU390" s="766"/>
      <c r="JV390" s="766"/>
      <c r="JW390" s="766"/>
      <c r="JX390" s="770"/>
      <c r="JY390" s="770"/>
      <c r="JZ390" s="770"/>
      <c r="KA390" s="770"/>
      <c r="KB390" s="770"/>
      <c r="KC390" s="770"/>
      <c r="KD390" s="770"/>
      <c r="KE390" s="770"/>
      <c r="KF390" s="770"/>
      <c r="KG390" s="770"/>
      <c r="KH390" s="770"/>
      <c r="KI390" s="770"/>
      <c r="KJ390" s="770"/>
      <c r="KK390" s="770"/>
      <c r="KL390" s="770"/>
      <c r="KM390" s="770"/>
      <c r="KN390" s="770"/>
      <c r="KO390" s="770"/>
      <c r="KP390" s="770"/>
      <c r="KQ390" s="770"/>
      <c r="KR390" s="770"/>
      <c r="KS390" s="770"/>
      <c r="KT390" s="770"/>
      <c r="KU390" s="770"/>
      <c r="KV390" s="770"/>
      <c r="KW390" s="770"/>
      <c r="KX390" s="770"/>
      <c r="KY390" s="770"/>
      <c r="KZ390" s="770"/>
      <c r="LA390" s="770"/>
      <c r="LB390" s="770"/>
      <c r="LC390" s="770"/>
      <c r="LD390" s="770"/>
      <c r="LE390" s="770"/>
      <c r="LF390" s="770"/>
      <c r="LG390" s="770"/>
      <c r="LH390" s="770"/>
      <c r="LI390" s="770"/>
      <c r="LJ390" s="770"/>
      <c r="LK390" s="770"/>
      <c r="LL390" s="770"/>
      <c r="LM390" s="770"/>
      <c r="LN390" s="766"/>
      <c r="LO390" s="766"/>
      <c r="LP390" s="770"/>
      <c r="LQ390" s="770"/>
      <c r="LR390" s="770"/>
      <c r="LS390" s="770"/>
      <c r="LT390" s="770"/>
      <c r="LU390" s="770"/>
      <c r="LV390" s="770"/>
      <c r="LW390" s="770"/>
      <c r="LX390" s="769"/>
      <c r="LY390" s="766" t="str">
        <f t="shared" si="100"/>
        <v/>
      </c>
      <c r="LZ390" s="299"/>
      <c r="MA390" s="1709"/>
      <c r="MB390" s="1709"/>
      <c r="MC390" s="1679">
        <f t="shared" si="99"/>
        <v>0</v>
      </c>
      <c r="MD390" s="1709"/>
      <c r="ME390" s="1709"/>
      <c r="MF390" s="1709"/>
      <c r="MG390" s="1680">
        <f t="shared" si="101"/>
        <v>0</v>
      </c>
      <c r="MH390" s="770"/>
      <c r="MI390" s="302"/>
      <c r="MJ390" s="302"/>
      <c r="MK390" s="302"/>
      <c r="ML390" s="302"/>
      <c r="MM390" s="302"/>
      <c r="MN390" s="302"/>
      <c r="MO390" s="302"/>
      <c r="MP390" s="302"/>
      <c r="MQ390" s="302"/>
      <c r="MR390" s="302"/>
      <c r="MS390" s="302"/>
      <c r="MT390" s="302"/>
      <c r="MU390" s="302"/>
      <c r="MV390" s="302"/>
      <c r="MW390" s="302"/>
      <c r="MX390" s="302"/>
      <c r="MY390" s="1682">
        <f t="shared" si="102"/>
        <v>0</v>
      </c>
      <c r="MZ390" s="770"/>
      <c r="NA390" s="770"/>
      <c r="NB390" s="770"/>
      <c r="NC390" s="770"/>
      <c r="ND390" s="770"/>
      <c r="NE390" s="770"/>
      <c r="NF390" s="770"/>
      <c r="NG390" s="770"/>
      <c r="NH390" s="770"/>
      <c r="NI390" s="770"/>
      <c r="NJ390" s="770"/>
      <c r="NK390" s="770"/>
      <c r="NL390" s="770"/>
      <c r="NM390" s="770"/>
      <c r="NN390" s="770"/>
      <c r="NO390" s="770"/>
      <c r="NP390" s="770"/>
      <c r="NQ390" s="770"/>
      <c r="NR390" s="770"/>
      <c r="NS390" s="770"/>
      <c r="NT390" s="770"/>
      <c r="NU390" s="770"/>
      <c r="NV390" s="770"/>
      <c r="NW390" s="770"/>
      <c r="NX390" s="770"/>
      <c r="NY390" s="770"/>
      <c r="NZ390" s="770"/>
      <c r="OA390" s="770"/>
      <c r="OB390" s="770"/>
      <c r="OC390" s="770"/>
      <c r="OD390" s="770"/>
      <c r="OE390" s="770"/>
      <c r="OF390" s="770"/>
      <c r="OG390" s="770"/>
      <c r="OH390" s="770"/>
      <c r="OI390" s="770"/>
      <c r="OJ390" s="770"/>
      <c r="OK390" s="770"/>
      <c r="OL390" s="770"/>
      <c r="OM390" s="770"/>
      <c r="ON390" s="770"/>
      <c r="OO390" s="770"/>
      <c r="OP390" s="770"/>
      <c r="OQ390" s="770"/>
      <c r="OR390" s="770"/>
      <c r="OS390" s="770"/>
      <c r="OT390" s="770"/>
      <c r="OU390" s="770"/>
      <c r="OV390" s="770"/>
      <c r="OW390" s="770"/>
      <c r="OX390" s="770"/>
      <c r="OY390" s="770"/>
      <c r="OZ390" s="770"/>
      <c r="PA390" s="770"/>
      <c r="PB390" s="770"/>
      <c r="PC390" s="770"/>
      <c r="PD390" s="770"/>
      <c r="PE390" s="770"/>
      <c r="PF390" s="770"/>
      <c r="PG390" s="770"/>
      <c r="PH390" s="770"/>
      <c r="PI390" s="770"/>
      <c r="PJ390" s="770"/>
      <c r="PK390" s="770"/>
      <c r="PL390" s="770"/>
      <c r="PM390" s="770"/>
      <c r="PN390" s="770"/>
      <c r="PO390" s="770"/>
      <c r="PP390" s="770"/>
      <c r="PQ390" s="770"/>
      <c r="PR390" s="770"/>
      <c r="PS390" s="770"/>
      <c r="PT390" s="770"/>
      <c r="PU390" s="770"/>
      <c r="PV390" s="770"/>
      <c r="PW390" s="770"/>
      <c r="PX390" s="770"/>
      <c r="PY390" s="770"/>
      <c r="PZ390" s="770"/>
      <c r="QA390" s="770"/>
      <c r="QB390" s="770"/>
      <c r="QC390" s="770"/>
      <c r="QD390" s="770"/>
      <c r="QE390" s="770"/>
      <c r="QF390" s="770"/>
      <c r="QG390" s="770"/>
      <c r="QH390" s="770"/>
      <c r="QI390" s="770"/>
      <c r="QJ390" s="770"/>
      <c r="QK390" s="770"/>
      <c r="QL390" s="770"/>
      <c r="QM390" s="770"/>
      <c r="QN390" s="770"/>
      <c r="QO390" s="770"/>
      <c r="QP390" s="770"/>
      <c r="QQ390" s="770"/>
      <c r="QR390" s="770"/>
      <c r="QS390" s="770"/>
      <c r="QT390" s="770"/>
      <c r="QU390" s="770"/>
      <c r="QV390" s="770"/>
      <c r="QW390" s="770"/>
      <c r="QX390" s="770"/>
      <c r="QY390" s="770"/>
      <c r="QZ390" s="770"/>
      <c r="RA390" s="770"/>
      <c r="RB390" s="770"/>
      <c r="RC390" s="770"/>
      <c r="RD390" s="770"/>
      <c r="RE390" s="770"/>
      <c r="RF390" s="304"/>
      <c r="RG390" s="770"/>
      <c r="RH390" s="302"/>
      <c r="RI390" s="770"/>
      <c r="RJ390" s="770" t="s">
        <v>13506</v>
      </c>
      <c r="RK390" s="770" t="s">
        <v>13381</v>
      </c>
      <c r="RL390" s="1710"/>
      <c r="RM390" s="12"/>
      <c r="RN390" s="1711"/>
      <c r="RO390" s="140" t="s">
        <v>646</v>
      </c>
      <c r="RP390" s="11"/>
      <c r="RQ390" s="11"/>
      <c r="RR390" s="17"/>
      <c r="RS390" s="767"/>
      <c r="RT390" s="11"/>
      <c r="RU390" s="11"/>
      <c r="RV390" s="771" t="s">
        <v>8099</v>
      </c>
      <c r="RW390" s="11" t="s">
        <v>7552</v>
      </c>
      <c r="RX390" s="11" t="s">
        <v>645</v>
      </c>
      <c r="RY390" s="11"/>
      <c r="RZ390" s="11"/>
      <c r="SA390" s="771"/>
      <c r="SB390" s="11"/>
      <c r="SC390" s="11"/>
    </row>
    <row r="391" spans="1:497" ht="12.75" hidden="1" customHeight="1">
      <c r="A391" s="343" t="s">
        <v>14192</v>
      </c>
      <c r="B391" s="292" t="s">
        <v>5701</v>
      </c>
      <c r="C391" s="140" t="s">
        <v>646</v>
      </c>
      <c r="D391" s="770" t="s">
        <v>5702</v>
      </c>
      <c r="E391" s="770" t="s">
        <v>622</v>
      </c>
      <c r="F391" s="770" t="s">
        <v>20</v>
      </c>
      <c r="G391" s="770" t="s">
        <v>18</v>
      </c>
      <c r="H391" s="770"/>
      <c r="I391" s="295" t="s">
        <v>5703</v>
      </c>
      <c r="J391" s="770" t="s">
        <v>5704</v>
      </c>
      <c r="K391" s="770" t="s">
        <v>3017</v>
      </c>
      <c r="L391" s="770" t="s">
        <v>3018</v>
      </c>
      <c r="M391" s="770"/>
      <c r="N391" s="770"/>
      <c r="O391" s="770"/>
      <c r="P391" s="770" t="s">
        <v>11759</v>
      </c>
      <c r="Q391" s="1088">
        <v>32961</v>
      </c>
      <c r="R391" s="297">
        <v>27</v>
      </c>
      <c r="S391" s="770" t="s">
        <v>10</v>
      </c>
      <c r="T391" s="770"/>
      <c r="U391" s="298" t="s">
        <v>5703</v>
      </c>
      <c r="V391" s="770" t="s">
        <v>722</v>
      </c>
      <c r="W391" s="770" t="s">
        <v>5702</v>
      </c>
      <c r="X391" s="296">
        <v>33876</v>
      </c>
      <c r="Y391" s="770" t="s">
        <v>622</v>
      </c>
      <c r="Z391" s="770" t="s">
        <v>708</v>
      </c>
      <c r="AA391" s="770" t="s">
        <v>14119</v>
      </c>
      <c r="AB391" s="770" t="s">
        <v>7274</v>
      </c>
      <c r="AC391" s="770"/>
      <c r="AD391" s="770"/>
      <c r="AE391" s="770"/>
      <c r="AF391" s="770"/>
      <c r="AG391" s="770"/>
      <c r="AH391" s="770"/>
      <c r="AI391" s="770"/>
      <c r="AJ391" s="770"/>
      <c r="AK391" s="770" t="s">
        <v>1899</v>
      </c>
      <c r="AL391" s="299"/>
      <c r="AM391" s="300"/>
      <c r="AN391" s="301"/>
      <c r="AO391" s="766"/>
      <c r="AP391" s="766"/>
      <c r="AQ391" s="766"/>
      <c r="AR391" s="766"/>
      <c r="AS391" s="770"/>
      <c r="AT391" s="770"/>
      <c r="AU391" s="770"/>
      <c r="AV391" s="770"/>
      <c r="AW391" s="770"/>
      <c r="AX391" s="770"/>
      <c r="AY391" s="770"/>
      <c r="AZ391" s="770"/>
      <c r="BA391" s="770"/>
      <c r="BB391" s="770"/>
      <c r="BC391" s="770"/>
      <c r="BD391" s="770"/>
      <c r="BE391" s="770"/>
      <c r="BF391" s="302"/>
      <c r="BG391" s="302"/>
      <c r="BH391" s="770"/>
      <c r="BI391" s="770"/>
      <c r="BJ391" s="770"/>
      <c r="BK391" s="770"/>
      <c r="BL391" s="770"/>
      <c r="BM391" s="770" t="s">
        <v>1238</v>
      </c>
      <c r="BN391" s="770" t="s">
        <v>1256</v>
      </c>
      <c r="BO391" s="770"/>
      <c r="BP391" s="780"/>
      <c r="BQ391" s="772"/>
      <c r="BR391" s="774"/>
      <c r="BS391" s="766" t="s">
        <v>1105</v>
      </c>
      <c r="BT391" s="766"/>
      <c r="BU391" s="770"/>
      <c r="BV391" s="770"/>
      <c r="BW391" s="770"/>
      <c r="BX391" s="302"/>
      <c r="BY391" s="303"/>
      <c r="BZ391" s="770"/>
      <c r="CA391" s="302"/>
      <c r="CB391" s="302"/>
      <c r="CC391" s="770"/>
      <c r="CD391" s="770"/>
      <c r="CE391" s="770"/>
      <c r="CF391" s="770"/>
      <c r="CG391" s="770"/>
      <c r="CH391" s="770"/>
      <c r="CI391" s="770"/>
      <c r="CJ391" s="770"/>
      <c r="CK391" s="770"/>
      <c r="CL391" s="770"/>
      <c r="CM391" s="770"/>
      <c r="CN391" s="770"/>
      <c r="CO391" s="770"/>
      <c r="CP391" s="770"/>
      <c r="CQ391" s="770"/>
      <c r="CR391" s="770"/>
      <c r="CS391" s="302"/>
      <c r="CT391" s="770"/>
      <c r="CU391" s="305"/>
      <c r="CV391" s="770"/>
      <c r="CW391" s="770"/>
      <c r="CX391" s="770"/>
      <c r="CY391" s="770"/>
      <c r="CZ391" s="770"/>
      <c r="DA391" s="770"/>
      <c r="DB391" s="770"/>
      <c r="DC391" s="770"/>
      <c r="DD391" s="770"/>
      <c r="DE391" s="770"/>
      <c r="DF391" s="770"/>
      <c r="DG391" s="770"/>
      <c r="DH391" s="770"/>
      <c r="DI391" s="770"/>
      <c r="DJ391" s="770"/>
      <c r="DK391" s="770"/>
      <c r="DL391" s="770"/>
      <c r="DM391" s="770"/>
      <c r="DN391" s="770"/>
      <c r="DO391" s="770"/>
      <c r="DP391" s="770"/>
      <c r="DQ391" s="770"/>
      <c r="DR391" s="770"/>
      <c r="DS391" s="307"/>
      <c r="DT391" s="770"/>
      <c r="DU391" s="770"/>
      <c r="DV391" s="770"/>
      <c r="DW391" s="306"/>
      <c r="DX391" s="306"/>
      <c r="DY391" s="770"/>
      <c r="DZ391" s="770"/>
      <c r="EA391" s="770"/>
      <c r="EB391" s="770"/>
      <c r="EC391" s="770"/>
      <c r="ED391" s="770"/>
      <c r="EE391" s="770"/>
      <c r="EF391" s="770"/>
      <c r="EG391" s="770"/>
      <c r="EH391" s="770"/>
      <c r="EI391" s="770"/>
      <c r="EJ391" s="770"/>
      <c r="EK391" s="770"/>
      <c r="EL391" s="770"/>
      <c r="EM391" s="770"/>
      <c r="EN391" s="770"/>
      <c r="EO391" s="770"/>
      <c r="EP391" s="770"/>
      <c r="EQ391" s="770"/>
      <c r="ER391" s="770"/>
      <c r="ES391" s="770"/>
      <c r="ET391" s="770"/>
      <c r="EU391" s="770"/>
      <c r="EV391" s="770"/>
      <c r="EW391" s="770"/>
      <c r="EX391" s="770"/>
      <c r="EY391" s="770"/>
      <c r="EZ391" s="770"/>
      <c r="FA391" s="770"/>
      <c r="FB391" s="770"/>
      <c r="FC391" s="770"/>
      <c r="FD391" s="302"/>
      <c r="FE391" s="770"/>
      <c r="FF391" s="770"/>
      <c r="FG391" s="770"/>
      <c r="FH391" s="770" t="s">
        <v>1306</v>
      </c>
      <c r="FI391" s="770">
        <v>1</v>
      </c>
      <c r="FJ391" s="770" t="s">
        <v>643</v>
      </c>
      <c r="FK391" s="770" t="s">
        <v>1667</v>
      </c>
      <c r="FL391" s="770"/>
      <c r="FM391" s="147">
        <v>2000</v>
      </c>
      <c r="FN391" s="302">
        <v>400</v>
      </c>
      <c r="FO391" s="302">
        <v>200</v>
      </c>
      <c r="FP391" s="770" t="s">
        <v>1602</v>
      </c>
      <c r="FQ391" s="770" t="s">
        <v>1660</v>
      </c>
      <c r="FR391" s="770"/>
      <c r="FS391" s="770"/>
      <c r="FT391" s="770"/>
      <c r="FU391" s="770"/>
      <c r="FV391" s="770"/>
      <c r="FW391" s="770"/>
      <c r="FX391" s="770"/>
      <c r="FY391" s="770"/>
      <c r="FZ391" s="770"/>
      <c r="GA391" s="770"/>
      <c r="GB391" s="770"/>
      <c r="GC391" s="308"/>
      <c r="GD391" s="297"/>
      <c r="GE391" s="770"/>
      <c r="GF391" s="302"/>
      <c r="GG391" s="302"/>
      <c r="GH391" s="770"/>
      <c r="GI391" s="770"/>
      <c r="GJ391" s="770"/>
      <c r="GK391" s="770"/>
      <c r="GL391" s="770"/>
      <c r="GM391" s="770"/>
      <c r="GN391" s="309"/>
      <c r="GO391" s="770"/>
      <c r="GP391" s="770"/>
      <c r="GQ391" s="770"/>
      <c r="GR391" s="770"/>
      <c r="GS391" s="770"/>
      <c r="GT391" s="770"/>
      <c r="GU391" s="770"/>
      <c r="GV391" s="770"/>
      <c r="GW391" s="770"/>
      <c r="GX391" s="770"/>
      <c r="GY391" s="770"/>
      <c r="GZ391" s="770"/>
      <c r="HA391" s="770"/>
      <c r="HB391" s="770"/>
      <c r="HC391" s="770"/>
      <c r="HD391" s="770"/>
      <c r="HE391" s="770"/>
      <c r="HF391" s="770"/>
      <c r="HG391" s="770"/>
      <c r="HH391" s="770"/>
      <c r="HI391" s="770"/>
      <c r="HJ391" s="770"/>
      <c r="HK391" s="770"/>
      <c r="HL391" s="770"/>
      <c r="HM391" s="770"/>
      <c r="HN391" s="770"/>
      <c r="HO391" s="770"/>
      <c r="HP391" s="770"/>
      <c r="HQ391" s="770"/>
      <c r="HR391" s="770"/>
      <c r="HS391" s="770"/>
      <c r="HT391" s="770"/>
      <c r="HU391" s="770"/>
      <c r="HV391" s="770"/>
      <c r="HW391" s="770"/>
      <c r="HX391" s="770"/>
      <c r="HY391" s="770"/>
      <c r="HZ391" s="770"/>
      <c r="IA391" s="770"/>
      <c r="IB391" s="14" t="e">
        <f>IF(#REF!&gt;0,IF(#REF!&lt;=10000,"Y",""),"")</f>
        <v>#REF!</v>
      </c>
      <c r="IC391" s="770"/>
      <c r="ID391" s="770"/>
      <c r="IE391" s="770"/>
      <c r="IF391" s="770"/>
      <c r="IG391" s="770"/>
      <c r="IH391" s="770"/>
      <c r="II391" s="770"/>
      <c r="IJ391" s="770"/>
      <c r="IK391" s="770"/>
      <c r="IL391" s="770"/>
      <c r="IM391" s="770"/>
      <c r="IN391" s="770"/>
      <c r="IO391" s="296"/>
      <c r="IP391" s="770"/>
      <c r="IQ391" s="770"/>
      <c r="IR391" s="770"/>
      <c r="IS391" s="770"/>
      <c r="IT391" s="770"/>
      <c r="IU391" s="770"/>
      <c r="IV391" s="770"/>
      <c r="IW391" s="770"/>
      <c r="IX391" s="770"/>
      <c r="IY391" s="770"/>
      <c r="IZ391" s="770"/>
      <c r="JA391" s="770"/>
      <c r="JB391" s="770"/>
      <c r="JC391" s="770"/>
      <c r="JD391" s="302"/>
      <c r="JE391" s="770"/>
      <c r="JF391" s="770"/>
      <c r="JG391" s="770"/>
      <c r="JH391" s="770"/>
      <c r="JI391" s="770"/>
      <c r="JJ391" s="770"/>
      <c r="JK391" s="770" t="s">
        <v>13507</v>
      </c>
      <c r="JL391" s="770"/>
      <c r="JM391" s="770"/>
      <c r="JN391" s="770"/>
      <c r="JO391" s="770"/>
      <c r="JP391" s="770"/>
      <c r="JQ391" s="770"/>
      <c r="JR391" s="770"/>
      <c r="JS391" s="770"/>
      <c r="JT391" s="766"/>
      <c r="JU391" s="766"/>
      <c r="JV391" s="766"/>
      <c r="JW391" s="766"/>
      <c r="JX391" s="770"/>
      <c r="JY391" s="770"/>
      <c r="JZ391" s="770"/>
      <c r="KA391" s="770"/>
      <c r="KB391" s="770"/>
      <c r="KC391" s="770"/>
      <c r="KD391" s="770"/>
      <c r="KE391" s="770"/>
      <c r="KF391" s="770"/>
      <c r="KG391" s="770"/>
      <c r="KH391" s="770"/>
      <c r="KI391" s="770"/>
      <c r="KJ391" s="770"/>
      <c r="KK391" s="770"/>
      <c r="KL391" s="770"/>
      <c r="KM391" s="770"/>
      <c r="KN391" s="770"/>
      <c r="KO391" s="770"/>
      <c r="KP391" s="770"/>
      <c r="KQ391" s="770"/>
      <c r="KR391" s="770"/>
      <c r="KS391" s="770"/>
      <c r="KT391" s="770"/>
      <c r="KU391" s="770"/>
      <c r="KV391" s="770"/>
      <c r="KW391" s="770"/>
      <c r="KX391" s="770"/>
      <c r="KY391" s="770"/>
      <c r="KZ391" s="770"/>
      <c r="LA391" s="770"/>
      <c r="LB391" s="770"/>
      <c r="LC391" s="770"/>
      <c r="LD391" s="770"/>
      <c r="LE391" s="770"/>
      <c r="LF391" s="770"/>
      <c r="LG391" s="770"/>
      <c r="LH391" s="770"/>
      <c r="LI391" s="770"/>
      <c r="LJ391" s="770"/>
      <c r="LK391" s="770"/>
      <c r="LL391" s="770"/>
      <c r="LM391" s="770"/>
      <c r="LN391" s="766"/>
      <c r="LO391" s="766"/>
      <c r="LP391" s="770"/>
      <c r="LQ391" s="770"/>
      <c r="LR391" s="770"/>
      <c r="LS391" s="770"/>
      <c r="LT391" s="770"/>
      <c r="LU391" s="770"/>
      <c r="LV391" s="770"/>
      <c r="LW391" s="770"/>
      <c r="LX391" s="769"/>
      <c r="LY391" s="766" t="str">
        <f t="shared" si="100"/>
        <v/>
      </c>
      <c r="LZ391" s="299"/>
      <c r="MA391" s="1709"/>
      <c r="MB391" s="1709"/>
      <c r="MC391" s="1679">
        <f t="shared" si="99"/>
        <v>0</v>
      </c>
      <c r="MD391" s="1709"/>
      <c r="ME391" s="1709"/>
      <c r="MF391" s="1709"/>
      <c r="MG391" s="1680">
        <f t="shared" si="101"/>
        <v>0</v>
      </c>
      <c r="MH391" s="770"/>
      <c r="MI391" s="302"/>
      <c r="MJ391" s="302"/>
      <c r="MK391" s="302"/>
      <c r="ML391" s="302"/>
      <c r="MM391" s="302"/>
      <c r="MN391" s="302"/>
      <c r="MO391" s="302"/>
      <c r="MP391" s="302"/>
      <c r="MQ391" s="302"/>
      <c r="MR391" s="302"/>
      <c r="MS391" s="302"/>
      <c r="MT391" s="302"/>
      <c r="MU391" s="302"/>
      <c r="MV391" s="302"/>
      <c r="MW391" s="302"/>
      <c r="MX391" s="302"/>
      <c r="MY391" s="1682">
        <f t="shared" si="102"/>
        <v>0</v>
      </c>
      <c r="MZ391" s="770"/>
      <c r="NA391" s="770"/>
      <c r="NB391" s="770"/>
      <c r="NC391" s="770"/>
      <c r="ND391" s="770"/>
      <c r="NE391" s="770"/>
      <c r="NF391" s="770"/>
      <c r="NG391" s="770"/>
      <c r="NH391" s="770"/>
      <c r="NI391" s="770"/>
      <c r="NJ391" s="770"/>
      <c r="NK391" s="770"/>
      <c r="NL391" s="770"/>
      <c r="NM391" s="770"/>
      <c r="NN391" s="770"/>
      <c r="NO391" s="770"/>
      <c r="NP391" s="770"/>
      <c r="NQ391" s="770"/>
      <c r="NR391" s="770"/>
      <c r="NS391" s="770"/>
      <c r="NT391" s="770"/>
      <c r="NU391" s="770"/>
      <c r="NV391" s="770"/>
      <c r="NW391" s="770"/>
      <c r="NX391" s="770"/>
      <c r="NY391" s="770"/>
      <c r="NZ391" s="770"/>
      <c r="OA391" s="770"/>
      <c r="OB391" s="770"/>
      <c r="OC391" s="770"/>
      <c r="OD391" s="770"/>
      <c r="OE391" s="770"/>
      <c r="OF391" s="770"/>
      <c r="OG391" s="770"/>
      <c r="OH391" s="770"/>
      <c r="OI391" s="770"/>
      <c r="OJ391" s="770"/>
      <c r="OK391" s="770"/>
      <c r="OL391" s="770"/>
      <c r="OM391" s="770"/>
      <c r="ON391" s="770"/>
      <c r="OO391" s="770"/>
      <c r="OP391" s="770"/>
      <c r="OQ391" s="770"/>
      <c r="OR391" s="770"/>
      <c r="OS391" s="770"/>
      <c r="OT391" s="770"/>
      <c r="OU391" s="770"/>
      <c r="OV391" s="770"/>
      <c r="OW391" s="770"/>
      <c r="OX391" s="770"/>
      <c r="OY391" s="770"/>
      <c r="OZ391" s="770"/>
      <c r="PA391" s="770"/>
      <c r="PB391" s="770"/>
      <c r="PC391" s="770"/>
      <c r="PD391" s="770"/>
      <c r="PE391" s="770"/>
      <c r="PF391" s="770"/>
      <c r="PG391" s="770"/>
      <c r="PH391" s="770"/>
      <c r="PI391" s="770"/>
      <c r="PJ391" s="770"/>
      <c r="PK391" s="770"/>
      <c r="PL391" s="770"/>
      <c r="PM391" s="770"/>
      <c r="PN391" s="770"/>
      <c r="PO391" s="770"/>
      <c r="PP391" s="770"/>
      <c r="PQ391" s="770"/>
      <c r="PR391" s="770"/>
      <c r="PS391" s="770"/>
      <c r="PT391" s="770"/>
      <c r="PU391" s="770"/>
      <c r="PV391" s="770"/>
      <c r="PW391" s="770"/>
      <c r="PX391" s="770"/>
      <c r="PY391" s="770"/>
      <c r="PZ391" s="770"/>
      <c r="QA391" s="770"/>
      <c r="QB391" s="770"/>
      <c r="QC391" s="770"/>
      <c r="QD391" s="770"/>
      <c r="QE391" s="770"/>
      <c r="QF391" s="770"/>
      <c r="QG391" s="770"/>
      <c r="QH391" s="770"/>
      <c r="QI391" s="770"/>
      <c r="QJ391" s="770"/>
      <c r="QK391" s="770"/>
      <c r="QL391" s="770"/>
      <c r="QM391" s="770"/>
      <c r="QN391" s="770"/>
      <c r="QO391" s="770"/>
      <c r="QP391" s="770"/>
      <c r="QQ391" s="770"/>
      <c r="QR391" s="770"/>
      <c r="QS391" s="770"/>
      <c r="QT391" s="770"/>
      <c r="QU391" s="770"/>
      <c r="QV391" s="770"/>
      <c r="QW391" s="770"/>
      <c r="QX391" s="770"/>
      <c r="QY391" s="770"/>
      <c r="QZ391" s="770"/>
      <c r="RA391" s="770"/>
      <c r="RB391" s="770"/>
      <c r="RC391" s="770"/>
      <c r="RD391" s="770"/>
      <c r="RE391" s="770"/>
      <c r="RF391" s="304"/>
      <c r="RG391" s="770"/>
      <c r="RH391" s="302"/>
      <c r="RI391" s="770"/>
      <c r="RJ391" s="770" t="s">
        <v>13508</v>
      </c>
      <c r="RK391" s="770" t="s">
        <v>13381</v>
      </c>
      <c r="RL391" s="1710"/>
      <c r="RM391" s="12"/>
      <c r="RN391" s="1711"/>
      <c r="RO391" s="140" t="s">
        <v>646</v>
      </c>
      <c r="RP391" s="11"/>
      <c r="RQ391" s="11"/>
      <c r="RR391" s="17"/>
      <c r="RS391" s="767"/>
      <c r="RT391" s="11"/>
      <c r="RU391" s="11"/>
      <c r="RV391" s="771" t="s">
        <v>7419</v>
      </c>
      <c r="RW391" s="11" t="s">
        <v>7662</v>
      </c>
      <c r="RX391" s="11" t="s">
        <v>646</v>
      </c>
      <c r="RY391" s="11"/>
      <c r="RZ391" s="11"/>
      <c r="SA391" s="771"/>
      <c r="SB391" s="11"/>
      <c r="SC391" s="11"/>
    </row>
    <row r="392" spans="1:497" ht="12.75" hidden="1" customHeight="1">
      <c r="A392" s="343" t="s">
        <v>14192</v>
      </c>
      <c r="B392" s="292" t="s">
        <v>5705</v>
      </c>
      <c r="C392" s="140" t="s">
        <v>646</v>
      </c>
      <c r="D392" s="770" t="s">
        <v>5706</v>
      </c>
      <c r="E392" s="770" t="s">
        <v>622</v>
      </c>
      <c r="F392" s="770" t="s">
        <v>20</v>
      </c>
      <c r="G392" s="770" t="s">
        <v>18</v>
      </c>
      <c r="H392" s="770"/>
      <c r="I392" s="295"/>
      <c r="J392" s="770" t="s">
        <v>5707</v>
      </c>
      <c r="K392" s="770"/>
      <c r="L392" s="770"/>
      <c r="M392" s="770"/>
      <c r="N392" s="770"/>
      <c r="O392" s="770"/>
      <c r="P392" s="770" t="s">
        <v>11760</v>
      </c>
      <c r="Q392" s="1088">
        <v>30005</v>
      </c>
      <c r="R392" s="297">
        <v>34</v>
      </c>
      <c r="S392" s="770" t="s">
        <v>10</v>
      </c>
      <c r="T392" s="770"/>
      <c r="U392" s="298" t="s">
        <v>11761</v>
      </c>
      <c r="V392" s="770" t="s">
        <v>707</v>
      </c>
      <c r="W392" s="770" t="s">
        <v>11762</v>
      </c>
      <c r="X392" s="296">
        <v>28774</v>
      </c>
      <c r="Y392" s="770" t="s">
        <v>622</v>
      </c>
      <c r="Z392" s="770" t="s">
        <v>708</v>
      </c>
      <c r="AA392" s="770" t="s">
        <v>709</v>
      </c>
      <c r="AB392" s="770" t="s">
        <v>744</v>
      </c>
      <c r="AC392" s="770" t="s">
        <v>724</v>
      </c>
      <c r="AD392" s="770"/>
      <c r="AE392" s="770"/>
      <c r="AF392" s="770"/>
      <c r="AG392" s="770"/>
      <c r="AH392" s="770"/>
      <c r="AI392" s="770"/>
      <c r="AJ392" s="770"/>
      <c r="AK392" s="770" t="s">
        <v>1899</v>
      </c>
      <c r="AL392" s="299"/>
      <c r="AM392" s="300"/>
      <c r="AN392" s="301"/>
      <c r="AO392" s="766"/>
      <c r="AP392" s="766"/>
      <c r="AQ392" s="766"/>
      <c r="AR392" s="766"/>
      <c r="AS392" s="770"/>
      <c r="AT392" s="770"/>
      <c r="AU392" s="770"/>
      <c r="AV392" s="770"/>
      <c r="AW392" s="770"/>
      <c r="AX392" s="770"/>
      <c r="AY392" s="770"/>
      <c r="AZ392" s="770"/>
      <c r="BA392" s="770"/>
      <c r="BB392" s="770"/>
      <c r="BC392" s="770"/>
      <c r="BD392" s="770"/>
      <c r="BE392" s="770"/>
      <c r="BF392" s="302"/>
      <c r="BG392" s="302"/>
      <c r="BH392" s="770"/>
      <c r="BI392" s="770"/>
      <c r="BJ392" s="770"/>
      <c r="BK392" s="770"/>
      <c r="BL392" s="770"/>
      <c r="BM392" s="770" t="s">
        <v>1238</v>
      </c>
      <c r="BN392" s="770" t="s">
        <v>1256</v>
      </c>
      <c r="BO392" s="770"/>
      <c r="BP392" s="780"/>
      <c r="BQ392" s="772"/>
      <c r="BR392" s="774"/>
      <c r="BS392" s="766" t="s">
        <v>1105</v>
      </c>
      <c r="BT392" s="766"/>
      <c r="BU392" s="770"/>
      <c r="BV392" s="770"/>
      <c r="BW392" s="770"/>
      <c r="BX392" s="302"/>
      <c r="BY392" s="303"/>
      <c r="BZ392" s="770"/>
      <c r="CA392" s="302"/>
      <c r="CB392" s="302"/>
      <c r="CC392" s="770"/>
      <c r="CD392" s="770"/>
      <c r="CE392" s="770"/>
      <c r="CF392" s="770"/>
      <c r="CG392" s="770"/>
      <c r="CH392" s="770"/>
      <c r="CI392" s="770"/>
      <c r="CJ392" s="770"/>
      <c r="CK392" s="770"/>
      <c r="CL392" s="770"/>
      <c r="CM392" s="770"/>
      <c r="CN392" s="770"/>
      <c r="CO392" s="770"/>
      <c r="CP392" s="770"/>
      <c r="CQ392" s="770"/>
      <c r="CR392" s="770"/>
      <c r="CS392" s="302"/>
      <c r="CT392" s="770"/>
      <c r="CU392" s="305"/>
      <c r="CV392" s="770"/>
      <c r="CW392" s="770"/>
      <c r="CX392" s="770"/>
      <c r="CY392" s="770"/>
      <c r="CZ392" s="770"/>
      <c r="DA392" s="770"/>
      <c r="DB392" s="770"/>
      <c r="DC392" s="770"/>
      <c r="DD392" s="770"/>
      <c r="DE392" s="770"/>
      <c r="DF392" s="770"/>
      <c r="DG392" s="770"/>
      <c r="DH392" s="770"/>
      <c r="DI392" s="770"/>
      <c r="DJ392" s="770"/>
      <c r="DK392" s="770"/>
      <c r="DL392" s="770"/>
      <c r="DM392" s="770"/>
      <c r="DN392" s="770"/>
      <c r="DO392" s="770"/>
      <c r="DP392" s="770"/>
      <c r="DQ392" s="770"/>
      <c r="DR392" s="770"/>
      <c r="DS392" s="307"/>
      <c r="DT392" s="770"/>
      <c r="DU392" s="770"/>
      <c r="DV392" s="770"/>
      <c r="DW392" s="306"/>
      <c r="DX392" s="306"/>
      <c r="DY392" s="770"/>
      <c r="DZ392" s="770"/>
      <c r="EA392" s="770"/>
      <c r="EB392" s="770"/>
      <c r="EC392" s="770"/>
      <c r="ED392" s="770"/>
      <c r="EE392" s="770"/>
      <c r="EF392" s="770"/>
      <c r="EG392" s="770"/>
      <c r="EH392" s="770"/>
      <c r="EI392" s="770"/>
      <c r="EJ392" s="770"/>
      <c r="EK392" s="770"/>
      <c r="EL392" s="770"/>
      <c r="EM392" s="770"/>
      <c r="EN392" s="770"/>
      <c r="EO392" s="770"/>
      <c r="EP392" s="770"/>
      <c r="EQ392" s="770"/>
      <c r="ER392" s="770"/>
      <c r="ES392" s="770"/>
      <c r="ET392" s="770"/>
      <c r="EU392" s="770"/>
      <c r="EV392" s="770"/>
      <c r="EW392" s="770"/>
      <c r="EX392" s="770"/>
      <c r="EY392" s="770"/>
      <c r="EZ392" s="770"/>
      <c r="FA392" s="770"/>
      <c r="FB392" s="770"/>
      <c r="FC392" s="770"/>
      <c r="FD392" s="302"/>
      <c r="FE392" s="770"/>
      <c r="FF392" s="770"/>
      <c r="FG392" s="770"/>
      <c r="FH392" s="770" t="s">
        <v>1306</v>
      </c>
      <c r="FI392" s="770">
        <v>1</v>
      </c>
      <c r="FJ392" s="770" t="s">
        <v>643</v>
      </c>
      <c r="FK392" s="770" t="s">
        <v>1667</v>
      </c>
      <c r="FL392" s="770"/>
      <c r="FM392" s="147">
        <v>2700</v>
      </c>
      <c r="FN392" s="302">
        <v>500</v>
      </c>
      <c r="FO392" s="302">
        <v>1200</v>
      </c>
      <c r="FP392" s="770" t="s">
        <v>1602</v>
      </c>
      <c r="FQ392" s="770" t="s">
        <v>1660</v>
      </c>
      <c r="FR392" s="770"/>
      <c r="FS392" s="770"/>
      <c r="FT392" s="770"/>
      <c r="FU392" s="770"/>
      <c r="FV392" s="770"/>
      <c r="FW392" s="770"/>
      <c r="FX392" s="770"/>
      <c r="FY392" s="770"/>
      <c r="FZ392" s="770"/>
      <c r="GA392" s="770"/>
      <c r="GB392" s="770"/>
      <c r="GC392" s="308"/>
      <c r="GD392" s="297"/>
      <c r="GE392" s="770"/>
      <c r="GF392" s="302"/>
      <c r="GG392" s="302"/>
      <c r="GH392" s="770"/>
      <c r="GI392" s="770"/>
      <c r="GJ392" s="770"/>
      <c r="GK392" s="770"/>
      <c r="GL392" s="770"/>
      <c r="GM392" s="770"/>
      <c r="GN392" s="309"/>
      <c r="GO392" s="770"/>
      <c r="GP392" s="770"/>
      <c r="GQ392" s="770"/>
      <c r="GR392" s="770"/>
      <c r="GS392" s="770"/>
      <c r="GT392" s="770"/>
      <c r="GU392" s="770"/>
      <c r="GV392" s="770"/>
      <c r="GW392" s="770"/>
      <c r="GX392" s="770"/>
      <c r="GY392" s="770"/>
      <c r="GZ392" s="770"/>
      <c r="HA392" s="770"/>
      <c r="HB392" s="770"/>
      <c r="HC392" s="770"/>
      <c r="HD392" s="770"/>
      <c r="HE392" s="770"/>
      <c r="HF392" s="770"/>
      <c r="HG392" s="770"/>
      <c r="HH392" s="770"/>
      <c r="HI392" s="770"/>
      <c r="HJ392" s="770"/>
      <c r="HK392" s="770"/>
      <c r="HL392" s="770"/>
      <c r="HM392" s="770"/>
      <c r="HN392" s="770"/>
      <c r="HO392" s="770"/>
      <c r="HP392" s="770"/>
      <c r="HQ392" s="770"/>
      <c r="HR392" s="770"/>
      <c r="HS392" s="770"/>
      <c r="HT392" s="770"/>
      <c r="HU392" s="770"/>
      <c r="HV392" s="770"/>
      <c r="HW392" s="770"/>
      <c r="HX392" s="770"/>
      <c r="HY392" s="770"/>
      <c r="HZ392" s="770"/>
      <c r="IA392" s="770"/>
      <c r="IB392" s="14" t="e">
        <f>IF(#REF!&gt;0,IF(#REF!&lt;=10000,"Y",""),"")</f>
        <v>#REF!</v>
      </c>
      <c r="IC392" s="770"/>
      <c r="ID392" s="770"/>
      <c r="IE392" s="770"/>
      <c r="IF392" s="770"/>
      <c r="IG392" s="770"/>
      <c r="IH392" s="770"/>
      <c r="II392" s="770"/>
      <c r="IJ392" s="770"/>
      <c r="IK392" s="770"/>
      <c r="IL392" s="770"/>
      <c r="IM392" s="770"/>
      <c r="IN392" s="770"/>
      <c r="IO392" s="296"/>
      <c r="IP392" s="770"/>
      <c r="IQ392" s="770"/>
      <c r="IR392" s="770"/>
      <c r="IS392" s="770"/>
      <c r="IT392" s="770"/>
      <c r="IU392" s="770"/>
      <c r="IV392" s="770"/>
      <c r="IW392" s="770"/>
      <c r="IX392" s="770"/>
      <c r="IY392" s="770"/>
      <c r="IZ392" s="770"/>
      <c r="JA392" s="770"/>
      <c r="JB392" s="770"/>
      <c r="JC392" s="770"/>
      <c r="JD392" s="302"/>
      <c r="JE392" s="770"/>
      <c r="JF392" s="770"/>
      <c r="JG392" s="770"/>
      <c r="JH392" s="770"/>
      <c r="JI392" s="770"/>
      <c r="JJ392" s="770"/>
      <c r="JK392" s="770"/>
      <c r="JL392" s="770"/>
      <c r="JM392" s="770"/>
      <c r="JN392" s="770"/>
      <c r="JO392" s="770"/>
      <c r="JP392" s="770"/>
      <c r="JQ392" s="770"/>
      <c r="JR392" s="770"/>
      <c r="JS392" s="770"/>
      <c r="JT392" s="766"/>
      <c r="JU392" s="766"/>
      <c r="JV392" s="766"/>
      <c r="JW392" s="766"/>
      <c r="JX392" s="770"/>
      <c r="JY392" s="770"/>
      <c r="JZ392" s="770"/>
      <c r="KA392" s="770"/>
      <c r="KB392" s="770"/>
      <c r="KC392" s="770"/>
      <c r="KD392" s="770"/>
      <c r="KE392" s="770"/>
      <c r="KF392" s="770"/>
      <c r="KG392" s="770"/>
      <c r="KH392" s="770"/>
      <c r="KI392" s="770"/>
      <c r="KJ392" s="770"/>
      <c r="KK392" s="770"/>
      <c r="KL392" s="770"/>
      <c r="KM392" s="770"/>
      <c r="KN392" s="770"/>
      <c r="KO392" s="770"/>
      <c r="KP392" s="770"/>
      <c r="KQ392" s="770"/>
      <c r="KR392" s="770"/>
      <c r="KS392" s="770"/>
      <c r="KT392" s="770"/>
      <c r="KU392" s="770"/>
      <c r="KV392" s="770"/>
      <c r="KW392" s="770"/>
      <c r="KX392" s="770"/>
      <c r="KY392" s="770"/>
      <c r="KZ392" s="770"/>
      <c r="LA392" s="770"/>
      <c r="LB392" s="770"/>
      <c r="LC392" s="770"/>
      <c r="LD392" s="770"/>
      <c r="LE392" s="770"/>
      <c r="LF392" s="770"/>
      <c r="LG392" s="770"/>
      <c r="LH392" s="770"/>
      <c r="LI392" s="770"/>
      <c r="LJ392" s="770"/>
      <c r="LK392" s="770"/>
      <c r="LL392" s="770"/>
      <c r="LM392" s="770"/>
      <c r="LN392" s="766"/>
      <c r="LO392" s="766"/>
      <c r="LP392" s="770"/>
      <c r="LQ392" s="770"/>
      <c r="LR392" s="770"/>
      <c r="LS392" s="770"/>
      <c r="LT392" s="770"/>
      <c r="LU392" s="770"/>
      <c r="LV392" s="770"/>
      <c r="LW392" s="770"/>
      <c r="LX392" s="769"/>
      <c r="LY392" s="766" t="str">
        <f t="shared" si="100"/>
        <v/>
      </c>
      <c r="LZ392" s="299"/>
      <c r="MA392" s="1709"/>
      <c r="MB392" s="1709"/>
      <c r="MC392" s="1679">
        <f t="shared" si="99"/>
        <v>0</v>
      </c>
      <c r="MD392" s="1709"/>
      <c r="ME392" s="1709"/>
      <c r="MF392" s="1709"/>
      <c r="MG392" s="1680">
        <f t="shared" si="101"/>
        <v>0</v>
      </c>
      <c r="MH392" s="770"/>
      <c r="MI392" s="302"/>
      <c r="MJ392" s="302"/>
      <c r="MK392" s="302"/>
      <c r="ML392" s="302"/>
      <c r="MM392" s="302"/>
      <c r="MN392" s="302"/>
      <c r="MO392" s="302"/>
      <c r="MP392" s="302"/>
      <c r="MQ392" s="302"/>
      <c r="MR392" s="302"/>
      <c r="MS392" s="302"/>
      <c r="MT392" s="302"/>
      <c r="MU392" s="302"/>
      <c r="MV392" s="302"/>
      <c r="MW392" s="302"/>
      <c r="MX392" s="302"/>
      <c r="MY392" s="1682">
        <f t="shared" si="102"/>
        <v>0</v>
      </c>
      <c r="MZ392" s="770"/>
      <c r="NA392" s="770"/>
      <c r="NB392" s="770"/>
      <c r="NC392" s="770"/>
      <c r="ND392" s="770"/>
      <c r="NE392" s="770"/>
      <c r="NF392" s="770"/>
      <c r="NG392" s="770"/>
      <c r="NH392" s="770"/>
      <c r="NI392" s="770"/>
      <c r="NJ392" s="770"/>
      <c r="NK392" s="770"/>
      <c r="NL392" s="770"/>
      <c r="NM392" s="770"/>
      <c r="NN392" s="770"/>
      <c r="NO392" s="770"/>
      <c r="NP392" s="770"/>
      <c r="NQ392" s="770"/>
      <c r="NR392" s="770"/>
      <c r="NS392" s="770"/>
      <c r="NT392" s="770"/>
      <c r="NU392" s="770"/>
      <c r="NV392" s="770"/>
      <c r="NW392" s="770"/>
      <c r="NX392" s="770"/>
      <c r="NY392" s="770"/>
      <c r="NZ392" s="770"/>
      <c r="OA392" s="770"/>
      <c r="OB392" s="770"/>
      <c r="OC392" s="770"/>
      <c r="OD392" s="770"/>
      <c r="OE392" s="770"/>
      <c r="OF392" s="770"/>
      <c r="OG392" s="770"/>
      <c r="OH392" s="770"/>
      <c r="OI392" s="770"/>
      <c r="OJ392" s="770"/>
      <c r="OK392" s="770"/>
      <c r="OL392" s="770"/>
      <c r="OM392" s="770"/>
      <c r="ON392" s="770"/>
      <c r="OO392" s="770"/>
      <c r="OP392" s="770"/>
      <c r="OQ392" s="770"/>
      <c r="OR392" s="770"/>
      <c r="OS392" s="770"/>
      <c r="OT392" s="770"/>
      <c r="OU392" s="770"/>
      <c r="OV392" s="770"/>
      <c r="OW392" s="770"/>
      <c r="OX392" s="770"/>
      <c r="OY392" s="770"/>
      <c r="OZ392" s="770"/>
      <c r="PA392" s="770"/>
      <c r="PB392" s="770"/>
      <c r="PC392" s="770"/>
      <c r="PD392" s="770"/>
      <c r="PE392" s="770"/>
      <c r="PF392" s="770"/>
      <c r="PG392" s="770"/>
      <c r="PH392" s="770"/>
      <c r="PI392" s="770"/>
      <c r="PJ392" s="770"/>
      <c r="PK392" s="770"/>
      <c r="PL392" s="770"/>
      <c r="PM392" s="770"/>
      <c r="PN392" s="770"/>
      <c r="PO392" s="770"/>
      <c r="PP392" s="770"/>
      <c r="PQ392" s="770"/>
      <c r="PR392" s="770"/>
      <c r="PS392" s="770"/>
      <c r="PT392" s="770"/>
      <c r="PU392" s="770"/>
      <c r="PV392" s="770"/>
      <c r="PW392" s="770"/>
      <c r="PX392" s="770"/>
      <c r="PY392" s="770"/>
      <c r="PZ392" s="770"/>
      <c r="QA392" s="770"/>
      <c r="QB392" s="770"/>
      <c r="QC392" s="770"/>
      <c r="QD392" s="770"/>
      <c r="QE392" s="770"/>
      <c r="QF392" s="770"/>
      <c r="QG392" s="770"/>
      <c r="QH392" s="770"/>
      <c r="QI392" s="770"/>
      <c r="QJ392" s="770"/>
      <c r="QK392" s="770"/>
      <c r="QL392" s="770"/>
      <c r="QM392" s="770"/>
      <c r="QN392" s="770"/>
      <c r="QO392" s="770"/>
      <c r="QP392" s="770"/>
      <c r="QQ392" s="770"/>
      <c r="QR392" s="770"/>
      <c r="QS392" s="770"/>
      <c r="QT392" s="770"/>
      <c r="QU392" s="770"/>
      <c r="QV392" s="770"/>
      <c r="QW392" s="770"/>
      <c r="QX392" s="770"/>
      <c r="QY392" s="770"/>
      <c r="QZ392" s="770"/>
      <c r="RA392" s="770"/>
      <c r="RB392" s="770"/>
      <c r="RC392" s="770"/>
      <c r="RD392" s="770"/>
      <c r="RE392" s="770"/>
      <c r="RF392" s="304"/>
      <c r="RG392" s="770"/>
      <c r="RH392" s="302"/>
      <c r="RI392" s="770"/>
      <c r="RJ392" s="770" t="s">
        <v>13509</v>
      </c>
      <c r="RK392" s="770" t="s">
        <v>13381</v>
      </c>
      <c r="RL392" s="1710"/>
      <c r="RM392" s="12"/>
      <c r="RN392" s="1711"/>
      <c r="RO392" s="140" t="s">
        <v>646</v>
      </c>
      <c r="RP392" s="11"/>
      <c r="RQ392" s="11"/>
      <c r="RR392" s="17"/>
      <c r="RS392" s="767"/>
      <c r="RT392" s="11"/>
      <c r="RU392" s="11"/>
      <c r="RV392" s="771" t="s">
        <v>8100</v>
      </c>
      <c r="RW392" s="11" t="s">
        <v>5697</v>
      </c>
      <c r="RX392" s="11" t="s">
        <v>646</v>
      </c>
      <c r="RY392" s="11"/>
      <c r="RZ392" s="11"/>
      <c r="SA392" s="771"/>
      <c r="SB392" s="11"/>
      <c r="SC392" s="11"/>
    </row>
    <row r="393" spans="1:497" ht="12.75" hidden="1" customHeight="1">
      <c r="A393" s="343" t="s">
        <v>7419</v>
      </c>
      <c r="B393" s="292" t="s">
        <v>7663</v>
      </c>
      <c r="C393" s="140" t="s">
        <v>647</v>
      </c>
      <c r="D393" s="770" t="s">
        <v>648</v>
      </c>
      <c r="E393" s="770" t="s">
        <v>649</v>
      </c>
      <c r="F393" s="770" t="s">
        <v>20</v>
      </c>
      <c r="G393" s="770" t="s">
        <v>18</v>
      </c>
      <c r="H393" s="770"/>
      <c r="I393" s="295" t="s">
        <v>5708</v>
      </c>
      <c r="J393" s="94" t="s">
        <v>650</v>
      </c>
      <c r="K393" s="770"/>
      <c r="L393" s="770"/>
      <c r="M393" s="770"/>
      <c r="N393" s="770"/>
      <c r="O393" s="770"/>
      <c r="P393" s="770" t="s">
        <v>5709</v>
      </c>
      <c r="Q393" s="1088"/>
      <c r="R393" s="297"/>
      <c r="S393" s="770" t="s">
        <v>10</v>
      </c>
      <c r="T393" s="770"/>
      <c r="U393" s="298" t="s">
        <v>5710</v>
      </c>
      <c r="V393" s="770"/>
      <c r="W393" s="770"/>
      <c r="X393" s="296"/>
      <c r="Y393" s="770"/>
      <c r="Z393" s="770"/>
      <c r="AA393" s="770"/>
      <c r="AB393" s="770"/>
      <c r="AC393" s="770"/>
      <c r="AD393" s="770"/>
      <c r="AE393" s="770"/>
      <c r="AF393" s="770"/>
      <c r="AG393" s="770" t="s">
        <v>1095</v>
      </c>
      <c r="AH393" s="766" t="s">
        <v>1096</v>
      </c>
      <c r="AI393" s="770" t="s">
        <v>1190</v>
      </c>
      <c r="AJ393" s="770"/>
      <c r="AK393" s="766" t="s">
        <v>1097</v>
      </c>
      <c r="AL393" s="299">
        <v>34.79</v>
      </c>
      <c r="AM393" s="300">
        <v>8.6999999999999993</v>
      </c>
      <c r="AN393" s="301">
        <v>0.25</v>
      </c>
      <c r="AO393" s="766" t="s">
        <v>1149</v>
      </c>
      <c r="AP393" s="766"/>
      <c r="AQ393" s="766"/>
      <c r="AR393" s="766"/>
      <c r="AS393" s="770" t="s">
        <v>1207</v>
      </c>
      <c r="AT393" s="770" t="s">
        <v>1208</v>
      </c>
      <c r="AU393" s="770"/>
      <c r="AV393" s="770"/>
      <c r="AW393" s="770"/>
      <c r="AX393" s="770"/>
      <c r="AY393" s="770"/>
      <c r="AZ393" s="770"/>
      <c r="BA393" s="770"/>
      <c r="BB393" s="770"/>
      <c r="BC393" s="770" t="s">
        <v>796</v>
      </c>
      <c r="BD393" s="770" t="s">
        <v>1207</v>
      </c>
      <c r="BE393" s="770" t="s">
        <v>1214</v>
      </c>
      <c r="BF393" s="302"/>
      <c r="BG393" s="302"/>
      <c r="BH393" s="770"/>
      <c r="BI393" s="770"/>
      <c r="BJ393" s="770"/>
      <c r="BK393" s="770" t="s">
        <v>1095</v>
      </c>
      <c r="BL393" s="770" t="s">
        <v>1190</v>
      </c>
      <c r="BM393" s="766" t="s">
        <v>1096</v>
      </c>
      <c r="BN393" s="770" t="s">
        <v>1230</v>
      </c>
      <c r="BO393" s="766" t="s">
        <v>1246</v>
      </c>
      <c r="BP393" s="780">
        <v>66.98</v>
      </c>
      <c r="BQ393" s="772">
        <v>10.26</v>
      </c>
      <c r="BR393" s="774">
        <v>0.1532</v>
      </c>
      <c r="BS393" s="6" t="s">
        <v>1242</v>
      </c>
      <c r="BT393" s="766" t="s">
        <v>2040</v>
      </c>
      <c r="BU393" s="770" t="s">
        <v>1378</v>
      </c>
      <c r="BV393" s="770" t="s">
        <v>1247</v>
      </c>
      <c r="BW393" s="769"/>
      <c r="BX393" s="302"/>
      <c r="BY393" s="303"/>
      <c r="BZ393" s="770"/>
      <c r="CA393" s="302"/>
      <c r="CB393" s="302"/>
      <c r="CC393" s="770"/>
      <c r="CD393" s="770"/>
      <c r="CE393" s="770"/>
      <c r="CF393" s="304"/>
      <c r="CG393" s="321"/>
      <c r="CH393" s="770"/>
      <c r="CI393" s="770"/>
      <c r="CJ393" s="770"/>
      <c r="CK393" s="770"/>
      <c r="CL393" s="770"/>
      <c r="CM393" s="770"/>
      <c r="CN393" s="770"/>
      <c r="CO393" s="770"/>
      <c r="CP393" s="770"/>
      <c r="CQ393" s="770"/>
      <c r="CR393" s="770"/>
      <c r="CS393" s="302"/>
      <c r="CT393" s="770"/>
      <c r="CU393" s="305"/>
      <c r="CV393" s="770"/>
      <c r="CW393" s="770"/>
      <c r="CX393" s="770"/>
      <c r="CY393" s="770"/>
      <c r="CZ393" s="770"/>
      <c r="DA393" s="306"/>
      <c r="DB393" s="770"/>
      <c r="DC393" s="770"/>
      <c r="DD393" s="770"/>
      <c r="DE393" s="300"/>
      <c r="DF393" s="770"/>
      <c r="DG393" s="770"/>
      <c r="DH393" s="770"/>
      <c r="DI393" s="770"/>
      <c r="DJ393" s="770"/>
      <c r="DK393" s="770"/>
      <c r="DL393" s="770"/>
      <c r="DM393" s="770"/>
      <c r="DN393" s="322"/>
      <c r="DO393" s="770"/>
      <c r="DP393" s="770"/>
      <c r="DQ393" s="770"/>
      <c r="DR393" s="770"/>
      <c r="DS393" s="307"/>
      <c r="DT393" s="770"/>
      <c r="DU393" s="770"/>
      <c r="DV393" s="770"/>
      <c r="DW393" s="306"/>
      <c r="DX393" s="306"/>
      <c r="DY393" s="770"/>
      <c r="DZ393" s="770"/>
      <c r="EA393" s="770"/>
      <c r="EB393" s="770"/>
      <c r="EC393" s="770"/>
      <c r="ED393" s="770"/>
      <c r="EE393" s="770"/>
      <c r="EF393" s="770"/>
      <c r="EG393" s="770"/>
      <c r="EH393" s="770"/>
      <c r="EI393" s="770"/>
      <c r="EJ393" s="770"/>
      <c r="EK393" s="770"/>
      <c r="EL393" s="770"/>
      <c r="EM393" s="770"/>
      <c r="EN393" s="770"/>
      <c r="EO393" s="770"/>
      <c r="EP393" s="94"/>
      <c r="EQ393" s="770"/>
      <c r="ER393" s="770"/>
      <c r="ES393" s="770"/>
      <c r="ET393" s="770"/>
      <c r="EU393" s="770"/>
      <c r="EV393" s="770"/>
      <c r="EW393" s="770"/>
      <c r="EX393" s="770"/>
      <c r="EY393" s="770"/>
      <c r="EZ393" s="770"/>
      <c r="FA393" s="770"/>
      <c r="FB393" s="770"/>
      <c r="FC393" s="770"/>
      <c r="FD393" s="302"/>
      <c r="FE393" s="770"/>
      <c r="FF393" s="770"/>
      <c r="FG393" s="770"/>
      <c r="FH393" s="770" t="s">
        <v>478</v>
      </c>
      <c r="FI393" s="770">
        <v>1</v>
      </c>
      <c r="FJ393" s="770"/>
      <c r="FK393" s="770"/>
      <c r="FL393" s="770"/>
      <c r="FM393" s="302"/>
      <c r="FN393" s="302"/>
      <c r="FO393" s="302"/>
      <c r="FP393" s="770" t="s">
        <v>1600</v>
      </c>
      <c r="FQ393" s="770" t="s">
        <v>1642</v>
      </c>
      <c r="FR393" s="770" t="s">
        <v>1207</v>
      </c>
      <c r="FS393" s="770" t="s">
        <v>1208</v>
      </c>
      <c r="FT393" s="770"/>
      <c r="FU393" s="770"/>
      <c r="FV393" s="770"/>
      <c r="FW393" s="770"/>
      <c r="FX393" s="770"/>
      <c r="FY393" s="770"/>
      <c r="FZ393" s="770"/>
      <c r="GA393" s="770"/>
      <c r="GB393" s="770" t="s">
        <v>1734</v>
      </c>
      <c r="GC393" s="308" t="s">
        <v>1759</v>
      </c>
      <c r="GD393" s="297"/>
      <c r="GE393" s="770"/>
      <c r="GF393" s="302"/>
      <c r="GG393" s="302"/>
      <c r="GH393" s="770"/>
      <c r="GI393" s="770"/>
      <c r="GJ393" s="770"/>
      <c r="GK393" s="770"/>
      <c r="GL393" s="770"/>
      <c r="GM393" s="770"/>
      <c r="GN393" s="309"/>
      <c r="GO393" s="770"/>
      <c r="GP393" s="770"/>
      <c r="GQ393" s="770"/>
      <c r="GR393" s="770"/>
      <c r="GS393" s="770"/>
      <c r="GT393" s="770"/>
      <c r="GU393" s="770"/>
      <c r="GV393" s="770"/>
      <c r="GW393" s="770"/>
      <c r="GX393" s="770"/>
      <c r="GY393" s="770"/>
      <c r="GZ393" s="770"/>
      <c r="HA393" s="770"/>
      <c r="HB393" s="770"/>
      <c r="HC393" s="770"/>
      <c r="HD393" s="770"/>
      <c r="HE393" s="770"/>
      <c r="HF393" s="770"/>
      <c r="HG393" s="770"/>
      <c r="HH393" s="770"/>
      <c r="HI393" s="770"/>
      <c r="HJ393" s="770"/>
      <c r="HK393" s="770"/>
      <c r="HL393" s="770"/>
      <c r="HM393" s="770"/>
      <c r="HN393" s="770"/>
      <c r="HO393" s="770"/>
      <c r="HP393" s="770"/>
      <c r="HQ393" s="770"/>
      <c r="HR393" s="770"/>
      <c r="HS393" s="770"/>
      <c r="HT393" s="770">
        <v>1</v>
      </c>
      <c r="HU393" s="770"/>
      <c r="HV393" s="770"/>
      <c r="HW393" s="770"/>
      <c r="HX393" s="770"/>
      <c r="HY393" s="770"/>
      <c r="HZ393" s="770"/>
      <c r="IA393" s="770"/>
      <c r="IB393" s="14" t="e">
        <f>IF(#REF!&gt;0,IF(#REF!&lt;=10000,"Y",""),"")</f>
        <v>#REF!</v>
      </c>
      <c r="IC393" s="770"/>
      <c r="ID393" s="770"/>
      <c r="IE393" s="770">
        <v>1</v>
      </c>
      <c r="IF393" s="770"/>
      <c r="IG393" s="770"/>
      <c r="IH393" s="770"/>
      <c r="II393" s="770"/>
      <c r="IJ393" s="770"/>
      <c r="IK393" s="770"/>
      <c r="IL393" s="770"/>
      <c r="IM393" s="770"/>
      <c r="IN393" s="770"/>
      <c r="IO393" s="296"/>
      <c r="IP393" s="770"/>
      <c r="IQ393" s="770"/>
      <c r="IR393" s="770"/>
      <c r="IS393" s="770"/>
      <c r="IT393" s="770"/>
      <c r="IU393" s="770"/>
      <c r="IV393" s="770"/>
      <c r="IW393" s="770"/>
      <c r="IX393" s="770"/>
      <c r="IY393" s="770"/>
      <c r="IZ393" s="770"/>
      <c r="JA393" s="770"/>
      <c r="JB393" s="770"/>
      <c r="JC393" s="770"/>
      <c r="JD393" s="302"/>
      <c r="JE393" s="770"/>
      <c r="JF393" s="770"/>
      <c r="JG393" s="770"/>
      <c r="JH393" s="770"/>
      <c r="JI393" s="770"/>
      <c r="JJ393" s="770">
        <v>3</v>
      </c>
      <c r="JK393" s="6" t="s">
        <v>2192</v>
      </c>
      <c r="JL393" s="13"/>
      <c r="JM393" s="13"/>
      <c r="JN393" s="13"/>
      <c r="JO393" s="13"/>
      <c r="JP393" s="13"/>
      <c r="JQ393" s="13"/>
      <c r="JR393" s="13"/>
      <c r="JS393" s="13"/>
      <c r="JT393" s="766"/>
      <c r="JU393" s="766"/>
      <c r="JV393" s="766"/>
      <c r="JW393" s="766"/>
      <c r="JX393" s="13"/>
      <c r="JY393" s="13"/>
      <c r="JZ393" s="13"/>
      <c r="KA393" s="13"/>
      <c r="KB393" s="13"/>
      <c r="KC393" s="13"/>
      <c r="KD393" s="13"/>
      <c r="KE393" s="13"/>
      <c r="KF393" s="13"/>
      <c r="KG393" s="13"/>
      <c r="KH393" s="13"/>
      <c r="KI393" s="13"/>
      <c r="KJ393" s="770"/>
      <c r="KK393" s="770"/>
      <c r="KL393" s="770"/>
      <c r="KM393" s="770"/>
      <c r="KN393" s="770"/>
      <c r="KO393" s="770"/>
      <c r="KP393" s="770"/>
      <c r="KQ393" s="770"/>
      <c r="KR393" s="770"/>
      <c r="KS393" s="770"/>
      <c r="KT393" s="770"/>
      <c r="KU393" s="770"/>
      <c r="KV393" s="770"/>
      <c r="KW393" s="770"/>
      <c r="KX393" s="770"/>
      <c r="KY393" s="770"/>
      <c r="KZ393" s="770"/>
      <c r="LA393" s="770"/>
      <c r="LB393" s="770"/>
      <c r="LC393" s="770"/>
      <c r="LD393" s="770"/>
      <c r="LE393" s="770"/>
      <c r="LF393" s="770"/>
      <c r="LG393" s="770"/>
      <c r="LH393" s="770"/>
      <c r="LI393" s="770"/>
      <c r="LJ393" s="770"/>
      <c r="LK393" s="770"/>
      <c r="LL393" s="770"/>
      <c r="LM393" s="770"/>
      <c r="LN393" s="766"/>
      <c r="LO393" s="766"/>
      <c r="LP393" s="770"/>
      <c r="LQ393" s="770"/>
      <c r="LR393" s="770"/>
      <c r="LS393" s="770"/>
      <c r="LT393" s="770"/>
      <c r="LU393" s="770"/>
      <c r="LV393" s="770"/>
      <c r="LW393" s="770"/>
      <c r="LX393" s="769"/>
      <c r="LY393" s="766" t="str">
        <f t="shared" si="100"/>
        <v/>
      </c>
      <c r="LZ393" s="299"/>
      <c r="MA393" s="306"/>
      <c r="MB393" s="306"/>
      <c r="MC393" s="1679">
        <f t="shared" si="99"/>
        <v>0</v>
      </c>
      <c r="MD393" s="306"/>
      <c r="ME393" s="306"/>
      <c r="MF393" s="306"/>
      <c r="MG393" s="1680">
        <f t="shared" si="101"/>
        <v>0</v>
      </c>
      <c r="MH393" s="770"/>
      <c r="MI393" s="302"/>
      <c r="MJ393" s="302"/>
      <c r="MK393" s="302"/>
      <c r="ML393" s="302"/>
      <c r="MM393" s="302"/>
      <c r="MN393" s="302"/>
      <c r="MO393" s="302"/>
      <c r="MP393" s="302"/>
      <c r="MQ393" s="302"/>
      <c r="MR393" s="302"/>
      <c r="MS393" s="302"/>
      <c r="MT393" s="302"/>
      <c r="MU393" s="302"/>
      <c r="MV393" s="302"/>
      <c r="MW393" s="302"/>
      <c r="MX393" s="302"/>
      <c r="MY393" s="1682">
        <f t="shared" si="102"/>
        <v>0</v>
      </c>
      <c r="MZ393" s="770"/>
      <c r="NA393" s="770"/>
      <c r="NB393" s="770"/>
      <c r="NC393" s="770"/>
      <c r="ND393" s="770"/>
      <c r="NE393" s="770"/>
      <c r="NF393" s="770"/>
      <c r="NG393" s="770"/>
      <c r="NH393" s="770"/>
      <c r="NI393" s="770"/>
      <c r="NJ393" s="770"/>
      <c r="NK393" s="770"/>
      <c r="NL393" s="770"/>
      <c r="NM393" s="770"/>
      <c r="NN393" s="770"/>
      <c r="NO393" s="770"/>
      <c r="NP393" s="770"/>
      <c r="NQ393" s="770"/>
      <c r="NR393" s="770"/>
      <c r="NS393" s="770"/>
      <c r="NT393" s="770"/>
      <c r="NU393" s="770"/>
      <c r="NV393" s="770"/>
      <c r="NW393" s="770"/>
      <c r="NX393" s="770"/>
      <c r="NY393" s="770"/>
      <c r="NZ393" s="770"/>
      <c r="OA393" s="770"/>
      <c r="OB393" s="770"/>
      <c r="OC393" s="770"/>
      <c r="OD393" s="770"/>
      <c r="OE393" s="770"/>
      <c r="OF393" s="770"/>
      <c r="OG393" s="770"/>
      <c r="OH393" s="770"/>
      <c r="OI393" s="770"/>
      <c r="OJ393" s="770"/>
      <c r="OK393" s="770"/>
      <c r="OL393" s="770"/>
      <c r="OM393" s="770"/>
      <c r="ON393" s="770"/>
      <c r="OO393" s="770"/>
      <c r="OP393" s="770"/>
      <c r="OQ393" s="770"/>
      <c r="OR393" s="770"/>
      <c r="OS393" s="770"/>
      <c r="OT393" s="770"/>
      <c r="OU393" s="770"/>
      <c r="OV393" s="770"/>
      <c r="OW393" s="770"/>
      <c r="OX393" s="770"/>
      <c r="OY393" s="770"/>
      <c r="OZ393" s="770"/>
      <c r="PA393" s="770"/>
      <c r="PB393" s="770"/>
      <c r="PC393" s="770"/>
      <c r="PD393" s="770"/>
      <c r="PE393" s="770"/>
      <c r="PF393" s="770"/>
      <c r="PG393" s="770"/>
      <c r="PH393" s="770"/>
      <c r="PI393" s="770"/>
      <c r="PJ393" s="770"/>
      <c r="PK393" s="770"/>
      <c r="PL393" s="770"/>
      <c r="PM393" s="770"/>
      <c r="PN393" s="770"/>
      <c r="PO393" s="770"/>
      <c r="PP393" s="770"/>
      <c r="PQ393" s="770"/>
      <c r="PR393" s="770"/>
      <c r="PS393" s="770"/>
      <c r="PT393" s="770"/>
      <c r="PU393" s="770"/>
      <c r="PV393" s="770"/>
      <c r="PW393" s="770"/>
      <c r="PX393" s="770"/>
      <c r="PY393" s="770"/>
      <c r="PZ393" s="770"/>
      <c r="QA393" s="770"/>
      <c r="QB393" s="770"/>
      <c r="QC393" s="770"/>
      <c r="QD393" s="770"/>
      <c r="QE393" s="770"/>
      <c r="QF393" s="770"/>
      <c r="QG393" s="770"/>
      <c r="QH393" s="770"/>
      <c r="QI393" s="770"/>
      <c r="QJ393" s="770"/>
      <c r="QK393" s="770"/>
      <c r="QL393" s="770"/>
      <c r="QM393" s="770"/>
      <c r="QN393" s="770"/>
      <c r="QO393" s="770"/>
      <c r="QP393" s="770"/>
      <c r="QQ393" s="770"/>
      <c r="QR393" s="770"/>
      <c r="QS393" s="770"/>
      <c r="QT393" s="770"/>
      <c r="QU393" s="770"/>
      <c r="QV393" s="770"/>
      <c r="QW393" s="770"/>
      <c r="QX393" s="770"/>
      <c r="QY393" s="770"/>
      <c r="QZ393" s="770"/>
      <c r="RA393" s="770"/>
      <c r="RB393" s="770"/>
      <c r="RC393" s="770"/>
      <c r="RD393" s="770"/>
      <c r="RE393" s="770"/>
      <c r="RF393" s="304"/>
      <c r="RG393" s="770"/>
      <c r="RH393" s="302"/>
      <c r="RI393" s="770"/>
      <c r="RJ393" s="770" t="s">
        <v>2192</v>
      </c>
      <c r="RK393" s="770" t="s">
        <v>13401</v>
      </c>
      <c r="RL393" s="1710">
        <v>42817</v>
      </c>
      <c r="RM393" s="12"/>
      <c r="RN393" s="1711"/>
      <c r="RO393" s="140" t="s">
        <v>647</v>
      </c>
      <c r="RP393" s="11"/>
      <c r="RQ393" s="11"/>
      <c r="RR393" s="17"/>
      <c r="RS393" s="93"/>
      <c r="RT393" s="11"/>
      <c r="RU393" s="11"/>
      <c r="RV393" s="93" t="s">
        <v>8100</v>
      </c>
      <c r="RW393" s="11" t="s">
        <v>5701</v>
      </c>
      <c r="RX393" s="11" t="s">
        <v>646</v>
      </c>
      <c r="RY393" s="11"/>
      <c r="RZ393" s="11" t="s">
        <v>2209</v>
      </c>
      <c r="SA393" s="93"/>
      <c r="SB393" s="11"/>
      <c r="SC393" s="11"/>
    </row>
    <row r="394" spans="1:497" ht="12.75" hidden="1" customHeight="1" thickBot="1">
      <c r="A394" s="19" t="s">
        <v>7419</v>
      </c>
      <c r="B394" s="292" t="s">
        <v>7664</v>
      </c>
      <c r="C394" s="140" t="s">
        <v>651</v>
      </c>
      <c r="D394" s="770" t="s">
        <v>652</v>
      </c>
      <c r="E394" s="770" t="s">
        <v>653</v>
      </c>
      <c r="F394" s="770" t="s">
        <v>20</v>
      </c>
      <c r="G394" s="770" t="s">
        <v>18</v>
      </c>
      <c r="H394" s="770"/>
      <c r="I394" s="295" t="s">
        <v>5712</v>
      </c>
      <c r="J394" s="94" t="s">
        <v>654</v>
      </c>
      <c r="K394" s="770"/>
      <c r="L394" s="770"/>
      <c r="M394" s="770"/>
      <c r="N394" s="770"/>
      <c r="O394" s="770"/>
      <c r="P394" s="770" t="s">
        <v>1062</v>
      </c>
      <c r="Q394" s="1088"/>
      <c r="R394" s="297">
        <v>60</v>
      </c>
      <c r="S394" s="770" t="s">
        <v>10</v>
      </c>
      <c r="T394" s="770"/>
      <c r="U394" s="298"/>
      <c r="V394" s="770"/>
      <c r="W394" s="770"/>
      <c r="X394" s="296"/>
      <c r="Y394" s="770"/>
      <c r="Z394" s="770"/>
      <c r="AA394" s="770"/>
      <c r="AB394" s="770"/>
      <c r="AC394" s="770"/>
      <c r="AD394" s="770"/>
      <c r="AE394" s="770"/>
      <c r="AF394" s="770"/>
      <c r="AG394" s="766" t="s">
        <v>1095</v>
      </c>
      <c r="AH394" s="766" t="s">
        <v>1096</v>
      </c>
      <c r="AI394" s="770" t="s">
        <v>1191</v>
      </c>
      <c r="AJ394" s="770"/>
      <c r="AK394" s="766" t="s">
        <v>1097</v>
      </c>
      <c r="AL394" s="299">
        <v>60.28</v>
      </c>
      <c r="AM394" s="300">
        <v>10.119999999999999</v>
      </c>
      <c r="AN394" s="301">
        <v>0.16789999999999999</v>
      </c>
      <c r="AO394" s="766" t="s">
        <v>1109</v>
      </c>
      <c r="AP394" s="766"/>
      <c r="AQ394" s="766"/>
      <c r="AR394" s="766"/>
      <c r="AS394" s="770" t="s">
        <v>1207</v>
      </c>
      <c r="AT394" s="770" t="s">
        <v>1208</v>
      </c>
      <c r="AU394" s="770"/>
      <c r="AV394" s="770"/>
      <c r="AW394" s="770"/>
      <c r="AX394" s="770"/>
      <c r="AY394" s="770"/>
      <c r="AZ394" s="770"/>
      <c r="BA394" s="770"/>
      <c r="BB394" s="770"/>
      <c r="BC394" s="770" t="s">
        <v>796</v>
      </c>
      <c r="BD394" s="770" t="s">
        <v>1207</v>
      </c>
      <c r="BE394" s="770" t="s">
        <v>1214</v>
      </c>
      <c r="BF394" s="302"/>
      <c r="BG394" s="302"/>
      <c r="BH394" s="770"/>
      <c r="BI394" s="770"/>
      <c r="BJ394" s="770"/>
      <c r="BK394" s="770"/>
      <c r="BL394" s="770"/>
      <c r="BM394" s="770"/>
      <c r="BN394" s="770"/>
      <c r="BO394" s="770"/>
      <c r="BP394" s="780"/>
      <c r="BQ394" s="772"/>
      <c r="BR394" s="774"/>
      <c r="BS394" s="766"/>
      <c r="BT394" s="766"/>
      <c r="BU394" s="770"/>
      <c r="BV394" s="770"/>
      <c r="BW394" s="770"/>
      <c r="BX394" s="302"/>
      <c r="BY394" s="303"/>
      <c r="BZ394" s="770"/>
      <c r="CA394" s="302"/>
      <c r="CB394" s="302"/>
      <c r="CC394" s="770"/>
      <c r="CD394" s="770"/>
      <c r="CE394" s="770"/>
      <c r="CF394" s="304"/>
      <c r="CG394" s="321"/>
      <c r="CH394" s="770"/>
      <c r="CI394" s="770"/>
      <c r="CJ394" s="770"/>
      <c r="CK394" s="770"/>
      <c r="CL394" s="770"/>
      <c r="CM394" s="770"/>
      <c r="CN394" s="770"/>
      <c r="CO394" s="770"/>
      <c r="CP394" s="770"/>
      <c r="CQ394" s="770"/>
      <c r="CR394" s="770"/>
      <c r="CS394" s="302"/>
      <c r="CT394" s="770"/>
      <c r="CU394" s="305"/>
      <c r="CV394" s="770"/>
      <c r="CW394" s="770"/>
      <c r="CX394" s="770"/>
      <c r="CY394" s="770"/>
      <c r="CZ394" s="770"/>
      <c r="DA394" s="306"/>
      <c r="DB394" s="770"/>
      <c r="DC394" s="770"/>
      <c r="DD394" s="770"/>
      <c r="DE394" s="300"/>
      <c r="DF394" s="770"/>
      <c r="DG394" s="770"/>
      <c r="DH394" s="770"/>
      <c r="DI394" s="770"/>
      <c r="DJ394" s="770"/>
      <c r="DK394" s="770"/>
      <c r="DL394" s="770"/>
      <c r="DM394" s="770"/>
      <c r="DN394" s="322"/>
      <c r="DO394" s="770"/>
      <c r="DP394" s="770"/>
      <c r="DQ394" s="770"/>
      <c r="DR394" s="770"/>
      <c r="DS394" s="307"/>
      <c r="DT394" s="770"/>
      <c r="DU394" s="770"/>
      <c r="DV394" s="770"/>
      <c r="DW394" s="306"/>
      <c r="DX394" s="306"/>
      <c r="DY394" s="770"/>
      <c r="DZ394" s="770"/>
      <c r="EA394" s="770"/>
      <c r="EB394" s="770"/>
      <c r="EC394" s="770"/>
      <c r="ED394" s="770"/>
      <c r="EE394" s="770"/>
      <c r="EF394" s="770"/>
      <c r="EG394" s="770"/>
      <c r="EH394" s="770"/>
      <c r="EI394" s="770"/>
      <c r="EJ394" s="770"/>
      <c r="EK394" s="770"/>
      <c r="EL394" s="770"/>
      <c r="EM394" s="770"/>
      <c r="EN394" s="770"/>
      <c r="EO394" s="770"/>
      <c r="EP394" s="94"/>
      <c r="EQ394" s="770"/>
      <c r="ER394" s="770"/>
      <c r="ES394" s="770"/>
      <c r="ET394" s="770"/>
      <c r="EU394" s="770"/>
      <c r="EV394" s="770"/>
      <c r="EW394" s="770"/>
      <c r="EX394" s="770"/>
      <c r="EY394" s="770"/>
      <c r="EZ394" s="770"/>
      <c r="FA394" s="770"/>
      <c r="FB394" s="770"/>
      <c r="FC394" s="770"/>
      <c r="FD394" s="302"/>
      <c r="FE394" s="770"/>
      <c r="FF394" s="770"/>
      <c r="FG394" s="770"/>
      <c r="FH394" s="770"/>
      <c r="FI394" s="770"/>
      <c r="FJ394" s="770"/>
      <c r="FK394" s="770"/>
      <c r="FL394" s="770"/>
      <c r="FM394" s="302"/>
      <c r="FN394" s="302"/>
      <c r="FO394" s="302"/>
      <c r="FP394" s="770"/>
      <c r="FQ394" s="770"/>
      <c r="FR394" s="770"/>
      <c r="FS394" s="770"/>
      <c r="FT394" s="770"/>
      <c r="FU394" s="770"/>
      <c r="FV394" s="770"/>
      <c r="FW394" s="770"/>
      <c r="FX394" s="770"/>
      <c r="FY394" s="770"/>
      <c r="FZ394" s="770"/>
      <c r="GA394" s="770"/>
      <c r="GB394" s="770"/>
      <c r="GC394" s="308"/>
      <c r="GD394" s="297"/>
      <c r="GE394" s="770"/>
      <c r="GF394" s="302"/>
      <c r="GG394" s="302"/>
      <c r="GH394" s="770"/>
      <c r="GI394" s="770"/>
      <c r="GJ394" s="770"/>
      <c r="GK394" s="770"/>
      <c r="GL394" s="770"/>
      <c r="GM394" s="770"/>
      <c r="GN394" s="309"/>
      <c r="GO394" s="770"/>
      <c r="GP394" s="770"/>
      <c r="GQ394" s="770"/>
      <c r="GR394" s="770"/>
      <c r="GS394" s="770"/>
      <c r="GT394" s="770"/>
      <c r="GU394" s="770"/>
      <c r="GV394" s="770"/>
      <c r="GW394" s="770"/>
      <c r="GX394" s="770"/>
      <c r="GY394" s="770"/>
      <c r="GZ394" s="770"/>
      <c r="HA394" s="770"/>
      <c r="HB394" s="770"/>
      <c r="HC394" s="770"/>
      <c r="HD394" s="770"/>
      <c r="HE394" s="770"/>
      <c r="HF394" s="770"/>
      <c r="HG394" s="770"/>
      <c r="HH394" s="770"/>
      <c r="HI394" s="770"/>
      <c r="HJ394" s="770"/>
      <c r="HK394" s="770"/>
      <c r="HL394" s="770"/>
      <c r="HM394" s="770"/>
      <c r="HN394" s="770"/>
      <c r="HO394" s="770"/>
      <c r="HP394" s="770"/>
      <c r="HQ394" s="770"/>
      <c r="HR394" s="770"/>
      <c r="HS394" s="770"/>
      <c r="HT394" s="770"/>
      <c r="HU394" s="770"/>
      <c r="HV394" s="770"/>
      <c r="HW394" s="770"/>
      <c r="HX394" s="770"/>
      <c r="HY394" s="770"/>
      <c r="HZ394" s="770"/>
      <c r="IA394" s="770"/>
      <c r="IB394" s="14" t="e">
        <f>IF(#REF!&gt;0,IF(#REF!&lt;=10000,"Y",""),"")</f>
        <v>#REF!</v>
      </c>
      <c r="IC394" s="770"/>
      <c r="ID394" s="770" t="s">
        <v>1207</v>
      </c>
      <c r="IE394" s="770"/>
      <c r="IF394" s="770"/>
      <c r="IG394" s="770"/>
      <c r="IH394" s="770"/>
      <c r="II394" s="770"/>
      <c r="IJ394" s="770"/>
      <c r="IK394" s="770"/>
      <c r="IL394" s="770"/>
      <c r="IM394" s="770"/>
      <c r="IN394" s="770"/>
      <c r="IO394" s="296"/>
      <c r="IP394" s="770"/>
      <c r="IQ394" s="770"/>
      <c r="IR394" s="770"/>
      <c r="IS394" s="770"/>
      <c r="IT394" s="770"/>
      <c r="IU394" s="770"/>
      <c r="IV394" s="770"/>
      <c r="IW394" s="770"/>
      <c r="IX394" s="770"/>
      <c r="IY394" s="770"/>
      <c r="IZ394" s="770"/>
      <c r="JA394" s="770"/>
      <c r="JB394" s="770"/>
      <c r="JC394" s="770"/>
      <c r="JD394" s="302"/>
      <c r="JE394" s="770"/>
      <c r="JF394" s="770"/>
      <c r="JG394" s="770"/>
      <c r="JH394" s="770"/>
      <c r="JI394" s="770"/>
      <c r="JJ394" s="770"/>
      <c r="JK394" s="770"/>
      <c r="JL394" s="770"/>
      <c r="JM394" s="770"/>
      <c r="JN394" s="770"/>
      <c r="JO394" s="770"/>
      <c r="JP394" s="770"/>
      <c r="JQ394" s="770"/>
      <c r="JR394" s="770"/>
      <c r="JS394" s="770"/>
      <c r="JT394" s="766"/>
      <c r="JU394" s="766"/>
      <c r="JV394" s="766"/>
      <c r="JW394" s="766"/>
      <c r="JX394" s="770"/>
      <c r="JY394" s="770"/>
      <c r="JZ394" s="770"/>
      <c r="KA394" s="770"/>
      <c r="KB394" s="770"/>
      <c r="KC394" s="770"/>
      <c r="KD394" s="770"/>
      <c r="KE394" s="770"/>
      <c r="KF394" s="770"/>
      <c r="KG394" s="770"/>
      <c r="KH394" s="770"/>
      <c r="KI394" s="770"/>
      <c r="KJ394" s="770"/>
      <c r="KK394" s="770"/>
      <c r="KL394" s="770"/>
      <c r="KM394" s="770"/>
      <c r="KN394" s="770"/>
      <c r="KO394" s="770"/>
      <c r="KP394" s="770"/>
      <c r="KQ394" s="770"/>
      <c r="KR394" s="770"/>
      <c r="KS394" s="770"/>
      <c r="KT394" s="770"/>
      <c r="KU394" s="770"/>
      <c r="KV394" s="770"/>
      <c r="KW394" s="770"/>
      <c r="KX394" s="770"/>
      <c r="KY394" s="770"/>
      <c r="KZ394" s="770"/>
      <c r="LA394" s="770"/>
      <c r="LB394" s="770"/>
      <c r="LC394" s="770"/>
      <c r="LD394" s="770"/>
      <c r="LE394" s="770"/>
      <c r="LF394" s="770"/>
      <c r="LG394" s="770"/>
      <c r="LH394" s="770"/>
      <c r="LI394" s="770"/>
      <c r="LJ394" s="770"/>
      <c r="LK394" s="770"/>
      <c r="LL394" s="770"/>
      <c r="LM394" s="770"/>
      <c r="LN394" s="766"/>
      <c r="LO394" s="766"/>
      <c r="LP394" s="770"/>
      <c r="LQ394" s="770"/>
      <c r="LR394" s="770"/>
      <c r="LS394" s="770"/>
      <c r="LT394" s="770"/>
      <c r="LU394" s="770"/>
      <c r="LV394" s="770"/>
      <c r="LW394" s="770"/>
      <c r="LX394" s="769"/>
      <c r="LY394" s="766" t="str">
        <f t="shared" si="100"/>
        <v/>
      </c>
      <c r="LZ394" s="299"/>
      <c r="MA394" s="306"/>
      <c r="MB394" s="306"/>
      <c r="MC394" s="1679">
        <f t="shared" si="99"/>
        <v>0</v>
      </c>
      <c r="MD394" s="306"/>
      <c r="ME394" s="306"/>
      <c r="MF394" s="306"/>
      <c r="MG394" s="1680">
        <f t="shared" si="101"/>
        <v>0</v>
      </c>
      <c r="MH394" s="770"/>
      <c r="MI394" s="302"/>
      <c r="MJ394" s="302"/>
      <c r="MK394" s="302"/>
      <c r="ML394" s="302"/>
      <c r="MM394" s="302"/>
      <c r="MN394" s="302"/>
      <c r="MO394" s="302"/>
      <c r="MP394" s="302"/>
      <c r="MQ394" s="302"/>
      <c r="MR394" s="302"/>
      <c r="MS394" s="302"/>
      <c r="MT394" s="302"/>
      <c r="MU394" s="302"/>
      <c r="MV394" s="302"/>
      <c r="MW394" s="302"/>
      <c r="MX394" s="302"/>
      <c r="MY394" s="1682">
        <f t="shared" si="102"/>
        <v>0</v>
      </c>
      <c r="MZ394" s="770"/>
      <c r="NA394" s="770"/>
      <c r="NB394" s="770"/>
      <c r="NC394" s="770"/>
      <c r="ND394" s="770"/>
      <c r="NE394" s="770"/>
      <c r="NF394" s="770"/>
      <c r="NG394" s="770"/>
      <c r="NH394" s="770"/>
      <c r="NI394" s="770"/>
      <c r="NJ394" s="770"/>
      <c r="NK394" s="770"/>
      <c r="NL394" s="770"/>
      <c r="NM394" s="770"/>
      <c r="NN394" s="770"/>
      <c r="NO394" s="770"/>
      <c r="NP394" s="770"/>
      <c r="NQ394" s="770"/>
      <c r="NR394" s="770"/>
      <c r="NS394" s="770"/>
      <c r="NT394" s="770"/>
      <c r="NU394" s="770"/>
      <c r="NV394" s="770"/>
      <c r="NW394" s="770"/>
      <c r="NX394" s="770"/>
      <c r="NY394" s="770"/>
      <c r="NZ394" s="770"/>
      <c r="OA394" s="770"/>
      <c r="OB394" s="770"/>
      <c r="OC394" s="770"/>
      <c r="OD394" s="770"/>
      <c r="OE394" s="770"/>
      <c r="OF394" s="770"/>
      <c r="OG394" s="770"/>
      <c r="OH394" s="770"/>
      <c r="OI394" s="770"/>
      <c r="OJ394" s="770"/>
      <c r="OK394" s="770"/>
      <c r="OL394" s="770"/>
      <c r="OM394" s="770"/>
      <c r="ON394" s="770"/>
      <c r="OO394" s="770"/>
      <c r="OP394" s="770"/>
      <c r="OQ394" s="770"/>
      <c r="OR394" s="770"/>
      <c r="OS394" s="770"/>
      <c r="OT394" s="770"/>
      <c r="OU394" s="770"/>
      <c r="OV394" s="770"/>
      <c r="OW394" s="770"/>
      <c r="OX394" s="770"/>
      <c r="OY394" s="770"/>
      <c r="OZ394" s="770"/>
      <c r="PA394" s="770"/>
      <c r="PB394" s="770"/>
      <c r="PC394" s="770"/>
      <c r="PD394" s="770"/>
      <c r="PE394" s="770"/>
      <c r="PF394" s="770"/>
      <c r="PG394" s="770"/>
      <c r="PH394" s="770"/>
      <c r="PI394" s="770"/>
      <c r="PJ394" s="770"/>
      <c r="PK394" s="770"/>
      <c r="PL394" s="770"/>
      <c r="PM394" s="770"/>
      <c r="PN394" s="770"/>
      <c r="PO394" s="770"/>
      <c r="PP394" s="770"/>
      <c r="PQ394" s="770"/>
      <c r="PR394" s="770"/>
      <c r="PS394" s="770"/>
      <c r="PT394" s="770"/>
      <c r="PU394" s="770"/>
      <c r="PV394" s="770"/>
      <c r="PW394" s="770"/>
      <c r="PX394" s="770"/>
      <c r="PY394" s="770"/>
      <c r="PZ394" s="770"/>
      <c r="QA394" s="770"/>
      <c r="QB394" s="770"/>
      <c r="QC394" s="770"/>
      <c r="QD394" s="770"/>
      <c r="QE394" s="770"/>
      <c r="QF394" s="770"/>
      <c r="QG394" s="770"/>
      <c r="QH394" s="770"/>
      <c r="QI394" s="770"/>
      <c r="QJ394" s="770"/>
      <c r="QK394" s="770"/>
      <c r="QL394" s="770"/>
      <c r="QM394" s="770"/>
      <c r="QN394" s="770"/>
      <c r="QO394" s="770"/>
      <c r="QP394" s="770"/>
      <c r="QQ394" s="770"/>
      <c r="QR394" s="770"/>
      <c r="QS394" s="770"/>
      <c r="QT394" s="770"/>
      <c r="QU394" s="770"/>
      <c r="QV394" s="770"/>
      <c r="QW394" s="770"/>
      <c r="QX394" s="770"/>
      <c r="QY394" s="770"/>
      <c r="QZ394" s="770"/>
      <c r="RA394" s="770"/>
      <c r="RB394" s="770"/>
      <c r="RC394" s="770"/>
      <c r="RD394" s="770"/>
      <c r="RE394" s="770"/>
      <c r="RF394" s="304"/>
      <c r="RG394" s="770"/>
      <c r="RH394" s="302"/>
      <c r="RI394" s="770"/>
      <c r="RJ394" s="770" t="s">
        <v>2193</v>
      </c>
      <c r="RK394" s="770" t="s">
        <v>13401</v>
      </c>
      <c r="RL394" s="1710"/>
      <c r="RM394" s="12"/>
      <c r="RN394" s="1711"/>
      <c r="RO394" s="140" t="s">
        <v>651</v>
      </c>
      <c r="RP394" s="11"/>
      <c r="RQ394" s="11"/>
      <c r="RR394" s="17"/>
      <c r="RS394" s="767"/>
      <c r="RT394" s="11"/>
      <c r="RU394" s="11"/>
      <c r="RV394" s="771" t="s">
        <v>8100</v>
      </c>
      <c r="RW394" s="11" t="s">
        <v>5705</v>
      </c>
      <c r="RX394" s="11" t="s">
        <v>646</v>
      </c>
      <c r="RY394" s="11"/>
      <c r="RZ394" s="11"/>
      <c r="SA394" s="771"/>
      <c r="SB394" s="11"/>
      <c r="SC394" s="11"/>
    </row>
    <row r="395" spans="1:497" ht="12.75" hidden="1" customHeight="1" thickBot="1">
      <c r="A395" s="154" t="s">
        <v>14193</v>
      </c>
      <c r="B395" s="292" t="s">
        <v>5711</v>
      </c>
      <c r="C395" s="140" t="s">
        <v>651</v>
      </c>
      <c r="D395" s="770" t="s">
        <v>652</v>
      </c>
      <c r="E395" s="766" t="s">
        <v>653</v>
      </c>
      <c r="F395" s="770" t="s">
        <v>20</v>
      </c>
      <c r="G395" s="770" t="s">
        <v>18</v>
      </c>
      <c r="H395" s="770"/>
      <c r="I395" s="295" t="s">
        <v>5712</v>
      </c>
      <c r="J395" s="94" t="s">
        <v>654</v>
      </c>
      <c r="K395" s="770"/>
      <c r="L395" s="770"/>
      <c r="M395" s="770"/>
      <c r="N395" s="770"/>
      <c r="O395" s="770"/>
      <c r="P395" s="94" t="s">
        <v>1063</v>
      </c>
      <c r="Q395" s="1088">
        <v>32530</v>
      </c>
      <c r="R395" s="297">
        <v>28</v>
      </c>
      <c r="S395" s="766" t="s">
        <v>18</v>
      </c>
      <c r="T395" s="770"/>
      <c r="U395" s="298" t="s">
        <v>1064</v>
      </c>
      <c r="V395" s="770" t="s">
        <v>707</v>
      </c>
      <c r="W395" s="770"/>
      <c r="X395" s="296"/>
      <c r="Y395" s="770"/>
      <c r="Z395" s="770" t="s">
        <v>708</v>
      </c>
      <c r="AA395" s="770" t="s">
        <v>709</v>
      </c>
      <c r="AB395" s="770" t="s">
        <v>710</v>
      </c>
      <c r="AC395" s="770"/>
      <c r="AD395" s="770" t="s">
        <v>711</v>
      </c>
      <c r="AE395" s="770"/>
      <c r="AF395" s="770" t="s">
        <v>712</v>
      </c>
      <c r="AG395" s="770"/>
      <c r="AH395" s="770"/>
      <c r="AI395" s="770"/>
      <c r="AJ395" s="770"/>
      <c r="AK395" s="770" t="s">
        <v>5454</v>
      </c>
      <c r="AL395" s="299"/>
      <c r="AM395" s="300"/>
      <c r="AN395" s="301"/>
      <c r="AO395" s="766"/>
      <c r="AP395" s="766"/>
      <c r="AQ395" s="766"/>
      <c r="AR395" s="766"/>
      <c r="AS395" s="770"/>
      <c r="AT395" s="770"/>
      <c r="AU395" s="770"/>
      <c r="AV395" s="770"/>
      <c r="AW395" s="770"/>
      <c r="AX395" s="770"/>
      <c r="AY395" s="770"/>
      <c r="AZ395" s="770"/>
      <c r="BA395" s="770"/>
      <c r="BB395" s="770"/>
      <c r="BC395" s="770"/>
      <c r="BD395" s="770"/>
      <c r="BE395" s="770"/>
      <c r="BF395" s="302"/>
      <c r="BG395" s="302"/>
      <c r="BH395" s="770"/>
      <c r="BI395" s="770"/>
      <c r="BJ395" s="770"/>
      <c r="BK395" s="770" t="s">
        <v>1095</v>
      </c>
      <c r="BL395" s="770" t="s">
        <v>1382</v>
      </c>
      <c r="BM395" s="766" t="s">
        <v>1096</v>
      </c>
      <c r="BN395" s="770" t="s">
        <v>1230</v>
      </c>
      <c r="BO395" s="766" t="s">
        <v>1239</v>
      </c>
      <c r="BP395" s="1105">
        <v>120.56</v>
      </c>
      <c r="BQ395" s="1107">
        <v>20.239999999999998</v>
      </c>
      <c r="BR395" s="1106">
        <f>BQ395/BP395</f>
        <v>0.16788321167883211</v>
      </c>
      <c r="BS395" s="6" t="s">
        <v>1242</v>
      </c>
      <c r="BT395" s="766" t="s">
        <v>2040</v>
      </c>
      <c r="BU395" s="770" t="s">
        <v>1249</v>
      </c>
      <c r="BV395" s="770" t="s">
        <v>1247</v>
      </c>
      <c r="BW395" s="770"/>
      <c r="BX395" s="302"/>
      <c r="BY395" s="303"/>
      <c r="BZ395" s="770"/>
      <c r="CA395" s="302"/>
      <c r="CB395" s="302"/>
      <c r="CC395" s="770"/>
      <c r="CD395" s="770"/>
      <c r="CE395" s="770"/>
      <c r="CF395" s="770"/>
      <c r="CG395" s="770"/>
      <c r="CH395" s="770"/>
      <c r="CI395" s="770"/>
      <c r="CJ395" s="770"/>
      <c r="CK395" s="770"/>
      <c r="CL395" s="770"/>
      <c r="CM395" s="770"/>
      <c r="CN395" s="770"/>
      <c r="CO395" s="770"/>
      <c r="CP395" s="770"/>
      <c r="CQ395" s="770"/>
      <c r="CR395" s="770"/>
      <c r="CS395" s="302"/>
      <c r="CT395" s="770"/>
      <c r="CU395" s="305"/>
      <c r="CV395" s="770"/>
      <c r="CW395" s="770"/>
      <c r="CX395" s="770"/>
      <c r="CY395" s="770"/>
      <c r="CZ395" s="770"/>
      <c r="DA395" s="770"/>
      <c r="DB395" s="770"/>
      <c r="DC395" s="770"/>
      <c r="DD395" s="770"/>
      <c r="DE395" s="770"/>
      <c r="DF395" s="770"/>
      <c r="DG395" s="770"/>
      <c r="DH395" s="770"/>
      <c r="DI395" s="770"/>
      <c r="DJ395" s="770"/>
      <c r="DK395" s="770"/>
      <c r="DL395" s="770"/>
      <c r="DM395" s="770"/>
      <c r="DN395" s="770"/>
      <c r="DO395" s="770"/>
      <c r="DP395" s="770"/>
      <c r="DQ395" s="770"/>
      <c r="DR395" s="770"/>
      <c r="DS395" s="307"/>
      <c r="DT395" s="770"/>
      <c r="DU395" s="770"/>
      <c r="DV395" s="770"/>
      <c r="DW395" s="306"/>
      <c r="DX395" s="306"/>
      <c r="DY395" s="770"/>
      <c r="DZ395" s="770"/>
      <c r="EA395" s="770"/>
      <c r="EB395" s="770"/>
      <c r="EC395" s="770"/>
      <c r="ED395" s="770"/>
      <c r="EE395" s="770"/>
      <c r="EF395" s="770"/>
      <c r="EG395" s="770"/>
      <c r="EH395" s="770"/>
      <c r="EI395" s="770"/>
      <c r="EJ395" s="770"/>
      <c r="EK395" s="770"/>
      <c r="EL395" s="770"/>
      <c r="EM395" s="770"/>
      <c r="EN395" s="770"/>
      <c r="EO395" s="770"/>
      <c r="EP395" s="770"/>
      <c r="EQ395" s="770"/>
      <c r="ER395" s="770"/>
      <c r="ES395" s="770"/>
      <c r="ET395" s="770"/>
      <c r="EU395" s="770"/>
      <c r="EV395" s="770"/>
      <c r="EW395" s="770"/>
      <c r="EX395" s="770"/>
      <c r="EY395" s="770"/>
      <c r="EZ395" s="770"/>
      <c r="FA395" s="770"/>
      <c r="FB395" s="770"/>
      <c r="FC395" s="770"/>
      <c r="FD395" s="302"/>
      <c r="FE395" s="770"/>
      <c r="FF395" s="770"/>
      <c r="FG395" s="770"/>
      <c r="FH395" s="770" t="s">
        <v>478</v>
      </c>
      <c r="FI395" s="770">
        <v>1</v>
      </c>
      <c r="FJ395" s="770"/>
      <c r="FK395" s="770"/>
      <c r="FL395" s="770"/>
      <c r="FM395" s="302"/>
      <c r="FN395" s="302"/>
      <c r="FO395" s="302"/>
      <c r="FP395" s="766" t="s">
        <v>1602</v>
      </c>
      <c r="FQ395" s="766" t="s">
        <v>1660</v>
      </c>
      <c r="FR395" s="770" t="s">
        <v>1207</v>
      </c>
      <c r="FS395" s="770" t="s">
        <v>1208</v>
      </c>
      <c r="FT395" s="770"/>
      <c r="FU395" s="770"/>
      <c r="FV395" s="770"/>
      <c r="FW395" s="770"/>
      <c r="FX395" s="770"/>
      <c r="FY395" s="770"/>
      <c r="FZ395" s="770"/>
      <c r="GA395" s="770"/>
      <c r="GB395" s="770" t="s">
        <v>853</v>
      </c>
      <c r="GC395" s="308" t="s">
        <v>1760</v>
      </c>
      <c r="GD395" s="297">
        <v>2012</v>
      </c>
      <c r="GE395" s="770" t="s">
        <v>1214</v>
      </c>
      <c r="GF395" s="302"/>
      <c r="GG395" s="302"/>
      <c r="GH395" s="770"/>
      <c r="GI395" s="770"/>
      <c r="GJ395" s="770"/>
      <c r="GK395" s="770"/>
      <c r="GL395" s="770"/>
      <c r="GM395" s="770"/>
      <c r="GN395" s="309"/>
      <c r="GO395" s="770"/>
      <c r="GP395" s="770"/>
      <c r="GQ395" s="770"/>
      <c r="GR395" s="770"/>
      <c r="GS395" s="770"/>
      <c r="GT395" s="770"/>
      <c r="GU395" s="770"/>
      <c r="GV395" s="770"/>
      <c r="GW395" s="770"/>
      <c r="GX395" s="770"/>
      <c r="GY395" s="770"/>
      <c r="GZ395" s="770"/>
      <c r="HA395" s="770"/>
      <c r="HB395" s="770"/>
      <c r="HC395" s="770"/>
      <c r="HD395" s="770"/>
      <c r="HE395" s="770"/>
      <c r="HF395" s="770"/>
      <c r="HG395" s="770"/>
      <c r="HH395" s="770"/>
      <c r="HI395" s="770"/>
      <c r="HJ395" s="770"/>
      <c r="HK395" s="770"/>
      <c r="HL395" s="770"/>
      <c r="HM395" s="770"/>
      <c r="HN395" s="770"/>
      <c r="HO395" s="770"/>
      <c r="HP395" s="770"/>
      <c r="HQ395" s="770"/>
      <c r="HR395" s="770"/>
      <c r="HS395" s="770"/>
      <c r="HT395" s="770"/>
      <c r="HU395" s="770"/>
      <c r="HV395" s="770"/>
      <c r="HW395" s="770"/>
      <c r="HX395" s="770"/>
      <c r="HY395" s="770"/>
      <c r="HZ395" s="770"/>
      <c r="IA395" s="770"/>
      <c r="IB395" s="14" t="e">
        <f>IF(#REF!&gt;0,IF(#REF!&lt;=10000,"Y",""),"")</f>
        <v>#REF!</v>
      </c>
      <c r="IC395" s="770" t="s">
        <v>1207</v>
      </c>
      <c r="ID395" s="770"/>
      <c r="IE395" s="770"/>
      <c r="IF395" s="770"/>
      <c r="IG395" s="770"/>
      <c r="IH395" s="770"/>
      <c r="II395" s="770"/>
      <c r="IJ395" s="770"/>
      <c r="IK395" s="770"/>
      <c r="IL395" s="770"/>
      <c r="IM395" s="770"/>
      <c r="IN395" s="770"/>
      <c r="IO395" s="296"/>
      <c r="IP395" s="770"/>
      <c r="IQ395" s="770"/>
      <c r="IR395" s="770"/>
      <c r="IS395" s="770"/>
      <c r="IT395" s="770"/>
      <c r="IU395" s="770"/>
      <c r="IV395" s="770"/>
      <c r="IW395" s="770"/>
      <c r="IX395" s="770"/>
      <c r="IY395" s="770"/>
      <c r="IZ395" s="770"/>
      <c r="JA395" s="770"/>
      <c r="JB395" s="770"/>
      <c r="JC395" s="770"/>
      <c r="JD395" s="302"/>
      <c r="JE395" s="770"/>
      <c r="JF395" s="770"/>
      <c r="JG395" s="770"/>
      <c r="JH395" s="770"/>
      <c r="JI395" s="712" t="str">
        <f>IF(SUM(JT395,JU395)=JJ395,"ok","review")</f>
        <v>ok</v>
      </c>
      <c r="JJ395" s="770">
        <v>4</v>
      </c>
      <c r="JK395" s="1139" t="s">
        <v>2124</v>
      </c>
      <c r="JL395" s="770">
        <v>1</v>
      </c>
      <c r="JM395" s="770">
        <v>1</v>
      </c>
      <c r="JN395" s="770">
        <v>1</v>
      </c>
      <c r="JO395" s="770">
        <v>1</v>
      </c>
      <c r="JP395" s="770"/>
      <c r="JQ395" s="770"/>
      <c r="JR395" s="770"/>
      <c r="JS395" s="770"/>
      <c r="JT395" s="766">
        <f>SUM(JP395,JN395,JL395,JR395)</f>
        <v>2</v>
      </c>
      <c r="JU395" s="766">
        <f>SUM(JQ395,JO395,JM395,JS395)</f>
        <v>2</v>
      </c>
      <c r="JV395" s="712" t="str">
        <f>IF(JT395=KJ395,"ok","male")</f>
        <v>ok</v>
      </c>
      <c r="JW395" s="712" t="str">
        <f>IF(JU395=KK395,"ok","female")</f>
        <v>ok</v>
      </c>
      <c r="JX395" s="770"/>
      <c r="JY395" s="770">
        <v>1</v>
      </c>
      <c r="JZ395" s="770">
        <v>1</v>
      </c>
      <c r="KA395" s="770"/>
      <c r="KB395" s="770"/>
      <c r="KC395" s="770">
        <v>1</v>
      </c>
      <c r="KD395" s="770"/>
      <c r="KE395" s="770"/>
      <c r="KF395" s="770">
        <v>1</v>
      </c>
      <c r="KG395" s="770"/>
      <c r="KH395" s="770"/>
      <c r="KI395" s="770"/>
      <c r="KJ395" s="770">
        <f>SUM(KF395,KD395,KB395,JZ395,JX395,KH395)</f>
        <v>2</v>
      </c>
      <c r="KK395" s="770">
        <f>SUM(KG395,KE395,KC395,KA395,JY395,KI395)</f>
        <v>2</v>
      </c>
      <c r="KL395" s="712" t="str">
        <f>IF(KJ395=LN395,"ok","male")</f>
        <v>ok</v>
      </c>
      <c r="KM395" s="712" t="str">
        <f>IF(KK395=LO395,"ok","female")</f>
        <v>ok</v>
      </c>
      <c r="KN395" s="770" t="s">
        <v>707</v>
      </c>
      <c r="KO395" s="770"/>
      <c r="KP395" s="770"/>
      <c r="KQ395" s="770"/>
      <c r="KR395" s="770"/>
      <c r="KS395" s="770"/>
      <c r="KT395" s="770">
        <v>1</v>
      </c>
      <c r="KU395" s="770"/>
      <c r="KV395" s="770"/>
      <c r="KW395" s="770"/>
      <c r="KX395" s="770"/>
      <c r="KY395" s="770"/>
      <c r="KZ395" s="770">
        <v>1</v>
      </c>
      <c r="LA395" s="770">
        <v>1</v>
      </c>
      <c r="LB395" s="770"/>
      <c r="LC395" s="770"/>
      <c r="LD395" s="770"/>
      <c r="LE395" s="770"/>
      <c r="LF395" s="770"/>
      <c r="LG395" s="770"/>
      <c r="LH395" s="770"/>
      <c r="LI395" s="770"/>
      <c r="LJ395" s="770"/>
      <c r="LK395" s="770">
        <v>1</v>
      </c>
      <c r="LL395" s="770"/>
      <c r="LM395" s="770"/>
      <c r="LN395" s="766">
        <f>SUM(KP395,KR395,KT395,KV395,KX395,KZ395,LB395,LD395,LF395,LH395,LJ395,LL395)</f>
        <v>2</v>
      </c>
      <c r="LO395" s="766">
        <f>SUM(KQ395,KS395,KU395,KW395,KY395,LA395,LC395,LE395,LG395,LI395,LK395,LM395)</f>
        <v>2</v>
      </c>
      <c r="LP395" s="770">
        <v>1</v>
      </c>
      <c r="LQ395" s="770"/>
      <c r="LR395" s="770"/>
      <c r="LS395" s="770">
        <v>1</v>
      </c>
      <c r="LT395" s="712" t="str">
        <f>IF(LQ395=SUM(LU395:LW395),"OK","REV")</f>
        <v>OK</v>
      </c>
      <c r="LU395" s="770"/>
      <c r="LV395" s="770"/>
      <c r="LW395" s="770"/>
      <c r="LX395" s="769">
        <v>1</v>
      </c>
      <c r="LY395" s="766" t="str">
        <f t="shared" si="100"/>
        <v>within the BRGY</v>
      </c>
      <c r="LZ395" s="299"/>
      <c r="MA395" s="1709"/>
      <c r="MB395" s="1709"/>
      <c r="MC395" s="1679">
        <f t="shared" si="99"/>
        <v>0</v>
      </c>
      <c r="MD395" s="1709"/>
      <c r="ME395" s="1709"/>
      <c r="MF395" s="1709">
        <v>13000</v>
      </c>
      <c r="MG395" s="1680">
        <f>SUM(MD395:MF395)</f>
        <v>13000</v>
      </c>
      <c r="MH395" s="770" t="s">
        <v>13510</v>
      </c>
      <c r="MI395" s="302">
        <v>6000</v>
      </c>
      <c r="MJ395" s="302">
        <v>100</v>
      </c>
      <c r="MK395" s="302">
        <v>400</v>
      </c>
      <c r="ML395" s="302"/>
      <c r="MM395" s="302">
        <v>550</v>
      </c>
      <c r="MN395" s="302"/>
      <c r="MO395" s="302">
        <v>280</v>
      </c>
      <c r="MP395" s="302">
        <v>400</v>
      </c>
      <c r="MQ395" s="302">
        <v>200</v>
      </c>
      <c r="MR395" s="302">
        <v>120</v>
      </c>
      <c r="MS395" s="302"/>
      <c r="MT395" s="302"/>
      <c r="MU395" s="302"/>
      <c r="MV395" s="302"/>
      <c r="MW395" s="302"/>
      <c r="MX395" s="302"/>
      <c r="MY395" s="1682">
        <f t="shared" si="102"/>
        <v>8050</v>
      </c>
      <c r="MZ395" s="770" t="s">
        <v>13370</v>
      </c>
      <c r="NA395" s="770" t="s">
        <v>13005</v>
      </c>
      <c r="NB395" s="770" t="s">
        <v>13371</v>
      </c>
      <c r="NC395" s="770" t="s">
        <v>13007</v>
      </c>
      <c r="ND395" s="770">
        <v>1</v>
      </c>
      <c r="NE395" s="770">
        <v>0</v>
      </c>
      <c r="NF395" s="770">
        <v>0</v>
      </c>
      <c r="NG395" s="770">
        <v>1</v>
      </c>
      <c r="NH395" s="770">
        <v>1</v>
      </c>
      <c r="NI395" s="770">
        <v>0</v>
      </c>
      <c r="NJ395" s="770">
        <v>1</v>
      </c>
      <c r="NK395" s="770">
        <v>0</v>
      </c>
      <c r="NL395" s="770">
        <v>1</v>
      </c>
      <c r="NM395" s="770">
        <v>0</v>
      </c>
      <c r="NN395" s="770">
        <v>0</v>
      </c>
      <c r="NO395" s="770">
        <v>0</v>
      </c>
      <c r="NP395" s="770">
        <v>0</v>
      </c>
      <c r="NQ395" s="770">
        <v>0</v>
      </c>
      <c r="NR395" s="770">
        <v>0</v>
      </c>
      <c r="NS395" s="770">
        <v>0</v>
      </c>
      <c r="NT395" s="770">
        <v>0</v>
      </c>
      <c r="NU395" s="770">
        <v>0</v>
      </c>
      <c r="NV395" s="770">
        <v>0</v>
      </c>
      <c r="NW395" s="770">
        <v>0</v>
      </c>
      <c r="NX395" s="770">
        <v>0</v>
      </c>
      <c r="NY395" s="770" t="s">
        <v>1208</v>
      </c>
      <c r="NZ395" s="770" t="s">
        <v>1208</v>
      </c>
      <c r="OA395" s="770" t="s">
        <v>1208</v>
      </c>
      <c r="OB395" s="770" t="s">
        <v>1208</v>
      </c>
      <c r="OC395" s="770" t="s">
        <v>1208</v>
      </c>
      <c r="OD395" s="770" t="s">
        <v>1208</v>
      </c>
      <c r="OE395" s="770"/>
      <c r="OF395" s="770"/>
      <c r="OG395" s="770"/>
      <c r="OH395" s="770"/>
      <c r="OI395" s="770"/>
      <c r="OJ395" s="770"/>
      <c r="OK395" s="770"/>
      <c r="OL395" s="770"/>
      <c r="OM395" s="770"/>
      <c r="ON395" s="770"/>
      <c r="OO395" s="770"/>
      <c r="OP395" s="770"/>
      <c r="OQ395" s="770"/>
      <c r="OR395" s="770"/>
      <c r="OS395" s="770"/>
      <c r="OT395" s="770"/>
      <c r="OU395" s="770"/>
      <c r="OV395" s="770"/>
      <c r="OW395" s="770"/>
      <c r="OX395" s="770"/>
      <c r="OY395" s="770"/>
      <c r="OZ395" s="770"/>
      <c r="PA395" s="770"/>
      <c r="PB395" s="770"/>
      <c r="PC395" s="770"/>
      <c r="PD395" s="770"/>
      <c r="PE395" s="770"/>
      <c r="PF395" s="770"/>
      <c r="PG395" s="770"/>
      <c r="PH395" s="770" t="s">
        <v>1208</v>
      </c>
      <c r="PI395" s="770"/>
      <c r="PJ395" s="770"/>
      <c r="PK395" s="770" t="s">
        <v>1208</v>
      </c>
      <c r="PL395" s="770"/>
      <c r="PM395" s="770"/>
      <c r="PN395" s="770"/>
      <c r="PO395" s="770"/>
      <c r="PP395" s="770"/>
      <c r="PQ395" s="770"/>
      <c r="PR395" s="770"/>
      <c r="PS395" s="770"/>
      <c r="PT395" s="770"/>
      <c r="PU395" s="770"/>
      <c r="PV395" s="770"/>
      <c r="PW395" s="770"/>
      <c r="PX395" s="770"/>
      <c r="PY395" s="770"/>
      <c r="PZ395" s="770"/>
      <c r="QA395" s="770"/>
      <c r="QB395" s="770"/>
      <c r="QC395" s="770"/>
      <c r="QD395" s="770"/>
      <c r="QE395" s="770"/>
      <c r="QF395" s="770"/>
      <c r="QG395" s="770"/>
      <c r="QH395" s="770"/>
      <c r="QI395" s="770"/>
      <c r="QJ395" s="770"/>
      <c r="QK395" s="770"/>
      <c r="QL395" s="770"/>
      <c r="QM395" s="770"/>
      <c r="QN395" s="770"/>
      <c r="QO395" s="770"/>
      <c r="QP395" s="770"/>
      <c r="QQ395" s="770"/>
      <c r="QR395" s="770"/>
      <c r="QS395" s="770"/>
      <c r="QT395" s="770"/>
      <c r="QU395" s="770"/>
      <c r="QV395" s="770"/>
      <c r="QW395" s="770"/>
      <c r="QX395" s="770"/>
      <c r="QY395" s="770"/>
      <c r="QZ395" s="770"/>
      <c r="RA395" s="770"/>
      <c r="RB395" s="770" t="s">
        <v>1214</v>
      </c>
      <c r="RC395" s="770"/>
      <c r="RD395" s="770"/>
      <c r="RE395" s="770"/>
      <c r="RF395" s="304"/>
      <c r="RG395" s="770"/>
      <c r="RH395" s="302"/>
      <c r="RI395" s="770"/>
      <c r="RJ395" s="770" t="s">
        <v>2193</v>
      </c>
      <c r="RK395" s="770" t="s">
        <v>13401</v>
      </c>
      <c r="RL395" s="1710"/>
      <c r="RM395" s="12"/>
      <c r="RN395" s="1711"/>
      <c r="RO395" s="140" t="s">
        <v>651</v>
      </c>
      <c r="RP395" s="11"/>
      <c r="RQ395" s="11"/>
      <c r="RR395" s="154" t="s">
        <v>7419</v>
      </c>
      <c r="RS395" s="1139" t="s">
        <v>12980</v>
      </c>
      <c r="RT395" s="11"/>
      <c r="RU395" s="11"/>
      <c r="RV395" s="771" t="s">
        <v>7419</v>
      </c>
      <c r="RW395" s="11" t="s">
        <v>7663</v>
      </c>
      <c r="RX395" s="11" t="s">
        <v>647</v>
      </c>
      <c r="RY395" s="11"/>
      <c r="RZ395" s="11" t="s">
        <v>2209</v>
      </c>
      <c r="SA395" s="771"/>
      <c r="SB395" s="11"/>
      <c r="SC395" s="11"/>
    </row>
    <row r="396" spans="1:497" ht="12.75" hidden="1" customHeight="1" thickBot="1">
      <c r="A396" s="154" t="s">
        <v>7419</v>
      </c>
      <c r="B396" s="292" t="s">
        <v>5713</v>
      </c>
      <c r="C396" s="140" t="s">
        <v>655</v>
      </c>
      <c r="D396" s="770" t="s">
        <v>656</v>
      </c>
      <c r="E396" s="766" t="s">
        <v>622</v>
      </c>
      <c r="F396" s="770" t="s">
        <v>458</v>
      </c>
      <c r="G396" s="770" t="s">
        <v>18</v>
      </c>
      <c r="H396" s="770"/>
      <c r="I396" s="295" t="s">
        <v>657</v>
      </c>
      <c r="J396" s="94" t="s">
        <v>658</v>
      </c>
      <c r="K396" s="770"/>
      <c r="L396" s="770"/>
      <c r="M396" s="770"/>
      <c r="N396" s="770"/>
      <c r="O396" s="770"/>
      <c r="P396" s="94" t="s">
        <v>1065</v>
      </c>
      <c r="Q396" s="1088">
        <v>21234</v>
      </c>
      <c r="R396" s="297">
        <v>59</v>
      </c>
      <c r="S396" s="766" t="s">
        <v>18</v>
      </c>
      <c r="T396" s="770"/>
      <c r="U396" s="298" t="s">
        <v>657</v>
      </c>
      <c r="V396" s="770" t="s">
        <v>768</v>
      </c>
      <c r="W396" s="770"/>
      <c r="X396" s="296"/>
      <c r="Y396" s="770" t="s">
        <v>622</v>
      </c>
      <c r="Z396" s="770" t="s">
        <v>708</v>
      </c>
      <c r="AA396" s="770" t="s">
        <v>1036</v>
      </c>
      <c r="AB396" s="770" t="s">
        <v>710</v>
      </c>
      <c r="AC396" s="770" t="s">
        <v>1066</v>
      </c>
      <c r="AD396" s="770"/>
      <c r="AE396" s="770"/>
      <c r="AF396" s="770"/>
      <c r="AG396" s="766" t="s">
        <v>1095</v>
      </c>
      <c r="AH396" s="766" t="s">
        <v>1096</v>
      </c>
      <c r="AI396" s="770" t="s">
        <v>1192</v>
      </c>
      <c r="AJ396" s="770"/>
      <c r="AK396" s="766" t="s">
        <v>1097</v>
      </c>
      <c r="AL396" s="299">
        <v>75.66</v>
      </c>
      <c r="AM396" s="300">
        <v>10.92</v>
      </c>
      <c r="AN396" s="301">
        <v>0.14430000000000001</v>
      </c>
      <c r="AO396" s="766" t="s">
        <v>1109</v>
      </c>
      <c r="AP396" s="766"/>
      <c r="AQ396" s="766"/>
      <c r="AR396" s="766"/>
      <c r="AS396" s="770" t="s">
        <v>1207</v>
      </c>
      <c r="AT396" s="770" t="s">
        <v>1208</v>
      </c>
      <c r="AU396" s="770"/>
      <c r="AV396" s="770"/>
      <c r="AW396" s="770"/>
      <c r="AX396" s="770"/>
      <c r="AY396" s="770"/>
      <c r="AZ396" s="770"/>
      <c r="BA396" s="770"/>
      <c r="BB396" s="770"/>
      <c r="BC396" s="770" t="s">
        <v>796</v>
      </c>
      <c r="BD396" s="770" t="s">
        <v>1207</v>
      </c>
      <c r="BE396" s="770" t="s">
        <v>1214</v>
      </c>
      <c r="BF396" s="302"/>
      <c r="BG396" s="302"/>
      <c r="BH396" s="770"/>
      <c r="BI396" s="770"/>
      <c r="BJ396" s="770"/>
      <c r="BK396" s="770" t="s">
        <v>1095</v>
      </c>
      <c r="BL396" s="770" t="s">
        <v>1192</v>
      </c>
      <c r="BM396" s="770" t="s">
        <v>8108</v>
      </c>
      <c r="BN396" s="770" t="s">
        <v>1230</v>
      </c>
      <c r="BO396" s="766" t="s">
        <v>1246</v>
      </c>
      <c r="BP396" s="780">
        <v>75.66</v>
      </c>
      <c r="BQ396" s="772">
        <v>10.92</v>
      </c>
      <c r="BR396" s="774">
        <v>0.14430000000000001</v>
      </c>
      <c r="BS396" s="766" t="s">
        <v>1242</v>
      </c>
      <c r="BT396" s="766" t="s">
        <v>2040</v>
      </c>
      <c r="BU396" s="770" t="s">
        <v>1378</v>
      </c>
      <c r="BV396" s="770" t="s">
        <v>1247</v>
      </c>
      <c r="BW396" s="770"/>
      <c r="BX396" s="302"/>
      <c r="BY396" s="303"/>
      <c r="BZ396" s="770"/>
      <c r="CA396" s="302"/>
      <c r="CB396" s="302"/>
      <c r="CC396" s="770"/>
      <c r="CD396" s="770"/>
      <c r="CE396" s="770"/>
      <c r="CF396" s="304"/>
      <c r="CG396" s="321"/>
      <c r="CH396" s="770"/>
      <c r="CI396" s="770"/>
      <c r="CJ396" s="770"/>
      <c r="CK396" s="770"/>
      <c r="CL396" s="770"/>
      <c r="CM396" s="770"/>
      <c r="CN396" s="770"/>
      <c r="CO396" s="770"/>
      <c r="CP396" s="770"/>
      <c r="CQ396" s="770"/>
      <c r="CR396" s="770"/>
      <c r="CS396" s="302"/>
      <c r="CT396" s="770"/>
      <c r="CU396" s="305"/>
      <c r="CV396" s="770"/>
      <c r="CW396" s="770"/>
      <c r="CX396" s="770"/>
      <c r="CY396" s="770"/>
      <c r="CZ396" s="770"/>
      <c r="DA396" s="306"/>
      <c r="DB396" s="770"/>
      <c r="DC396" s="770"/>
      <c r="DD396" s="770"/>
      <c r="DE396" s="300"/>
      <c r="DF396" s="770"/>
      <c r="DG396" s="770"/>
      <c r="DH396" s="770"/>
      <c r="DI396" s="770"/>
      <c r="DJ396" s="770"/>
      <c r="DK396" s="770"/>
      <c r="DL396" s="770"/>
      <c r="DM396" s="770"/>
      <c r="DN396" s="322"/>
      <c r="DO396" s="770"/>
      <c r="DP396" s="770"/>
      <c r="DQ396" s="770"/>
      <c r="DR396" s="770"/>
      <c r="DS396" s="307"/>
      <c r="DT396" s="770"/>
      <c r="DU396" s="770"/>
      <c r="DV396" s="770"/>
      <c r="DW396" s="306"/>
      <c r="DX396" s="306"/>
      <c r="DY396" s="770"/>
      <c r="DZ396" s="770"/>
      <c r="EA396" s="770"/>
      <c r="EB396" s="770"/>
      <c r="EC396" s="770"/>
      <c r="ED396" s="770"/>
      <c r="EE396" s="770"/>
      <c r="EF396" s="770"/>
      <c r="EG396" s="770"/>
      <c r="EH396" s="770"/>
      <c r="EI396" s="770"/>
      <c r="EJ396" s="770"/>
      <c r="EK396" s="770"/>
      <c r="EL396" s="770"/>
      <c r="EM396" s="770"/>
      <c r="EN396" s="770"/>
      <c r="EO396" s="770"/>
      <c r="EP396" s="94"/>
      <c r="EQ396" s="770"/>
      <c r="ER396" s="770"/>
      <c r="ES396" s="770"/>
      <c r="ET396" s="770"/>
      <c r="EU396" s="770"/>
      <c r="EV396" s="770"/>
      <c r="EW396" s="770"/>
      <c r="EX396" s="770"/>
      <c r="EY396" s="770"/>
      <c r="EZ396" s="770"/>
      <c r="FA396" s="770"/>
      <c r="FB396" s="770"/>
      <c r="FC396" s="770"/>
      <c r="FD396" s="302"/>
      <c r="FE396" s="770"/>
      <c r="FF396" s="770"/>
      <c r="FG396" s="770"/>
      <c r="FH396" s="770" t="s">
        <v>478</v>
      </c>
      <c r="FI396" s="770">
        <v>2</v>
      </c>
      <c r="FJ396" s="770"/>
      <c r="FK396" s="770"/>
      <c r="FL396" s="770"/>
      <c r="FM396" s="302"/>
      <c r="FN396" s="302"/>
      <c r="FO396" s="302"/>
      <c r="FP396" s="766" t="s">
        <v>1600</v>
      </c>
      <c r="FQ396" s="766" t="s">
        <v>1642</v>
      </c>
      <c r="FR396" s="770" t="s">
        <v>1207</v>
      </c>
      <c r="FS396" s="770" t="s">
        <v>1208</v>
      </c>
      <c r="FT396" s="770" t="s">
        <v>1208</v>
      </c>
      <c r="FU396" s="770"/>
      <c r="FV396" s="770"/>
      <c r="FW396" s="770"/>
      <c r="FX396" s="770"/>
      <c r="FY396" s="770"/>
      <c r="FZ396" s="770"/>
      <c r="GA396" s="770"/>
      <c r="GB396" s="770" t="s">
        <v>796</v>
      </c>
      <c r="GC396" s="308" t="s">
        <v>1761</v>
      </c>
      <c r="GD396" s="1757" t="s">
        <v>1762</v>
      </c>
      <c r="GE396" s="770" t="s">
        <v>1214</v>
      </c>
      <c r="GF396" s="302"/>
      <c r="GG396" s="302"/>
      <c r="GH396" s="770"/>
      <c r="GI396" s="770"/>
      <c r="GJ396" s="770"/>
      <c r="GK396" s="770"/>
      <c r="GL396" s="770"/>
      <c r="GM396" s="770"/>
      <c r="GN396" s="309"/>
      <c r="GO396" s="770"/>
      <c r="GP396" s="770"/>
      <c r="GQ396" s="770"/>
      <c r="GR396" s="770"/>
      <c r="GS396" s="770"/>
      <c r="GT396" s="770"/>
      <c r="GU396" s="770"/>
      <c r="GV396" s="770"/>
      <c r="GW396" s="770"/>
      <c r="GX396" s="770"/>
      <c r="GY396" s="770"/>
      <c r="GZ396" s="770"/>
      <c r="HA396" s="770"/>
      <c r="HB396" s="770"/>
      <c r="HC396" s="770"/>
      <c r="HD396" s="770"/>
      <c r="HE396" s="770"/>
      <c r="HF396" s="770"/>
      <c r="HG396" s="770"/>
      <c r="HH396" s="770"/>
      <c r="HI396" s="770"/>
      <c r="HJ396" s="770"/>
      <c r="HK396" s="770"/>
      <c r="HL396" s="770"/>
      <c r="HM396" s="770"/>
      <c r="HN396" s="770"/>
      <c r="HO396" s="770"/>
      <c r="HP396" s="770"/>
      <c r="HQ396" s="770"/>
      <c r="HR396" s="770"/>
      <c r="HS396" s="770"/>
      <c r="HT396" s="770"/>
      <c r="HU396" s="770"/>
      <c r="HV396" s="770"/>
      <c r="HW396" s="770"/>
      <c r="HX396" s="770"/>
      <c r="HY396" s="770"/>
      <c r="HZ396" s="770"/>
      <c r="IA396" s="770"/>
      <c r="IB396" s="14" t="e">
        <f>IF(#REF!&gt;0,IF(#REF!&lt;=10000,"Y",""),"")</f>
        <v>#REF!</v>
      </c>
      <c r="IC396" s="770" t="s">
        <v>1207</v>
      </c>
      <c r="ID396" s="770"/>
      <c r="IE396" s="770"/>
      <c r="IF396" s="770" t="s">
        <v>2022</v>
      </c>
      <c r="IG396" s="770" t="s">
        <v>18</v>
      </c>
      <c r="IH396" s="770" t="s">
        <v>478</v>
      </c>
      <c r="II396" s="770" t="s">
        <v>622</v>
      </c>
      <c r="IJ396" s="770" t="s">
        <v>1909</v>
      </c>
      <c r="IK396" s="766" t="s">
        <v>1888</v>
      </c>
      <c r="IL396" s="770" t="s">
        <v>2023</v>
      </c>
      <c r="IM396" s="770">
        <v>2015</v>
      </c>
      <c r="IN396" s="770" t="s">
        <v>2023</v>
      </c>
      <c r="IO396" s="296"/>
      <c r="IP396" s="770" t="s">
        <v>478</v>
      </c>
      <c r="IQ396" s="769" t="s">
        <v>1975</v>
      </c>
      <c r="IR396" s="770" t="s">
        <v>1964</v>
      </c>
      <c r="IS396" s="770" t="s">
        <v>2024</v>
      </c>
      <c r="IT396" s="770"/>
      <c r="IU396" s="770" t="s">
        <v>1208</v>
      </c>
      <c r="IV396" s="770"/>
      <c r="IW396" s="770" t="s">
        <v>1065</v>
      </c>
      <c r="IX396" s="770"/>
      <c r="IY396" s="295" t="s">
        <v>657</v>
      </c>
      <c r="IZ396" s="770"/>
      <c r="JA396" s="770"/>
      <c r="JB396" s="770" t="s">
        <v>12779</v>
      </c>
      <c r="JC396" s="770"/>
      <c r="JD396" s="302">
        <v>10000</v>
      </c>
      <c r="JE396" s="770"/>
      <c r="JF396" s="770"/>
      <c r="JG396" s="770"/>
      <c r="JH396" s="770"/>
      <c r="JI396" s="712" t="str">
        <f>IF(SUM(JT396,JU396)=JJ396,"ok","review")</f>
        <v>ok</v>
      </c>
      <c r="JJ396" s="770">
        <v>4</v>
      </c>
      <c r="JK396" s="1139" t="s">
        <v>1192</v>
      </c>
      <c r="JL396" s="770"/>
      <c r="JM396" s="770"/>
      <c r="JN396" s="770">
        <v>1</v>
      </c>
      <c r="JO396" s="770">
        <v>3</v>
      </c>
      <c r="JP396" s="770"/>
      <c r="JQ396" s="770"/>
      <c r="JR396" s="770"/>
      <c r="JS396" s="770"/>
      <c r="JT396" s="766">
        <f>SUM(JP396,JN396,JL396,JR396)</f>
        <v>1</v>
      </c>
      <c r="JU396" s="766">
        <f>SUM(JQ396,JO396,JM396,JS396)</f>
        <v>3</v>
      </c>
      <c r="JV396" s="712" t="str">
        <f>IF(JT396=KJ396,"ok","male")</f>
        <v>ok</v>
      </c>
      <c r="JW396" s="712" t="str">
        <f>IF(JU396=KK396,"ok","female")</f>
        <v>ok</v>
      </c>
      <c r="JX396" s="770"/>
      <c r="JY396" s="770"/>
      <c r="JZ396" s="770"/>
      <c r="KA396" s="770"/>
      <c r="KB396" s="770"/>
      <c r="KC396" s="770"/>
      <c r="KD396" s="770">
        <v>1</v>
      </c>
      <c r="KE396" s="770">
        <v>3</v>
      </c>
      <c r="KF396" s="770"/>
      <c r="KG396" s="770"/>
      <c r="KH396" s="770"/>
      <c r="KI396" s="770"/>
      <c r="KJ396" s="770">
        <f>SUM(KF396,KD396,KB396,JZ396,JX396,KH396)</f>
        <v>1</v>
      </c>
      <c r="KK396" s="770">
        <f>SUM(KG396,KE396,KC396,KA396,JY396,KI396)</f>
        <v>3</v>
      </c>
      <c r="KL396" s="712" t="str">
        <f>IF(KJ396=LN396,"ok","male")</f>
        <v>ok</v>
      </c>
      <c r="KM396" s="712" t="str">
        <f>IF(KK396=LO396,"ok","female")</f>
        <v>ok</v>
      </c>
      <c r="KN396" s="770" t="s">
        <v>768</v>
      </c>
      <c r="KO396" s="770"/>
      <c r="KP396" s="770"/>
      <c r="KQ396" s="770"/>
      <c r="KR396" s="770"/>
      <c r="KS396" s="770"/>
      <c r="KT396" s="770"/>
      <c r="KU396" s="770"/>
      <c r="KV396" s="770"/>
      <c r="KW396" s="770"/>
      <c r="KX396" s="770"/>
      <c r="KY396" s="770"/>
      <c r="KZ396" s="770"/>
      <c r="LA396" s="770">
        <v>1</v>
      </c>
      <c r="LB396" s="770"/>
      <c r="LC396" s="770"/>
      <c r="LD396" s="770"/>
      <c r="LE396" s="770"/>
      <c r="LF396" s="770"/>
      <c r="LG396" s="770"/>
      <c r="LH396" s="770">
        <v>1</v>
      </c>
      <c r="LI396" s="770">
        <v>2</v>
      </c>
      <c r="LJ396" s="770"/>
      <c r="LK396" s="770"/>
      <c r="LL396" s="770"/>
      <c r="LM396" s="770"/>
      <c r="LN396" s="766">
        <f>SUM(KP396,KR396,KT396,KV396,KX396,KZ396,LB396,LD396,LF396,LH396,LJ396,LL396)</f>
        <v>1</v>
      </c>
      <c r="LO396" s="766">
        <f>SUM(KQ396,KS396,KU396,KW396,KY396,LA396,LC396,LE396,LG396,LI396,LK396,LM396)</f>
        <v>3</v>
      </c>
      <c r="LP396" s="770">
        <v>3</v>
      </c>
      <c r="LQ396" s="770">
        <v>2</v>
      </c>
      <c r="LR396" s="770"/>
      <c r="LS396" s="770">
        <v>1</v>
      </c>
      <c r="LT396" s="712" t="str">
        <f>IF(LQ396=SUM(LU396:LW396),"OK","REV")</f>
        <v>OK</v>
      </c>
      <c r="LU396" s="770">
        <v>1</v>
      </c>
      <c r="LV396" s="770">
        <v>1</v>
      </c>
      <c r="LW396" s="770"/>
      <c r="LX396" s="769">
        <v>2</v>
      </c>
      <c r="LY396" s="766" t="str">
        <f t="shared" si="100"/>
        <v>within the MUNICIPALITY</v>
      </c>
      <c r="LZ396" s="299">
        <f>30*20</f>
        <v>600</v>
      </c>
      <c r="MA396" s="306"/>
      <c r="MB396" s="306"/>
      <c r="MC396" s="1679">
        <f t="shared" si="99"/>
        <v>600</v>
      </c>
      <c r="MD396" s="1110">
        <f>SUM(10000,15000)</f>
        <v>25000</v>
      </c>
      <c r="ME396" s="1110"/>
      <c r="MF396" s="1110"/>
      <c r="MG396" s="1680">
        <f>SUM(MD396:MF396)</f>
        <v>25000</v>
      </c>
      <c r="MH396" s="770" t="s">
        <v>1985</v>
      </c>
      <c r="MI396" s="302">
        <v>6000</v>
      </c>
      <c r="MJ396" s="302">
        <v>400</v>
      </c>
      <c r="MK396" s="302">
        <v>250</v>
      </c>
      <c r="ML396" s="302">
        <v>4000</v>
      </c>
      <c r="MM396" s="302">
        <v>700</v>
      </c>
      <c r="MN396" s="302"/>
      <c r="MO396" s="302">
        <v>50</v>
      </c>
      <c r="MP396" s="302">
        <v>1500</v>
      </c>
      <c r="MQ396" s="302">
        <v>350</v>
      </c>
      <c r="MR396" s="302">
        <v>400</v>
      </c>
      <c r="MS396" s="302"/>
      <c r="MT396" s="302"/>
      <c r="MU396" s="302"/>
      <c r="MV396" s="302"/>
      <c r="MW396" s="302"/>
      <c r="MX396" s="302"/>
      <c r="MY396" s="1682">
        <f t="shared" si="102"/>
        <v>13650</v>
      </c>
      <c r="MZ396" s="770" t="s">
        <v>13370</v>
      </c>
      <c r="NA396" s="770" t="s">
        <v>13005</v>
      </c>
      <c r="NB396" s="770" t="s">
        <v>13371</v>
      </c>
      <c r="NC396" s="770" t="s">
        <v>13007</v>
      </c>
      <c r="ND396" s="770">
        <v>0</v>
      </c>
      <c r="NE396" s="770">
        <v>1</v>
      </c>
      <c r="NF396" s="770">
        <v>0</v>
      </c>
      <c r="NG396" s="770">
        <v>2</v>
      </c>
      <c r="NH396" s="770">
        <v>1</v>
      </c>
      <c r="NI396" s="770">
        <v>1</v>
      </c>
      <c r="NJ396" s="770">
        <v>1</v>
      </c>
      <c r="NK396" s="770">
        <v>0</v>
      </c>
      <c r="NL396" s="770">
        <v>1</v>
      </c>
      <c r="NM396" s="770">
        <v>1</v>
      </c>
      <c r="NN396" s="770">
        <v>0</v>
      </c>
      <c r="NO396" s="770">
        <v>0</v>
      </c>
      <c r="NP396" s="770">
        <v>0</v>
      </c>
      <c r="NQ396" s="770">
        <v>0</v>
      </c>
      <c r="NR396" s="770">
        <v>0</v>
      </c>
      <c r="NS396" s="770">
        <v>0</v>
      </c>
      <c r="NT396" s="770">
        <v>0</v>
      </c>
      <c r="NU396" s="770">
        <v>0</v>
      </c>
      <c r="NV396" s="770">
        <v>0</v>
      </c>
      <c r="NW396" s="770">
        <v>0</v>
      </c>
      <c r="NX396" s="770">
        <v>0</v>
      </c>
      <c r="NY396" s="770" t="s">
        <v>1208</v>
      </c>
      <c r="NZ396" s="770" t="s">
        <v>1208</v>
      </c>
      <c r="OA396" s="770" t="s">
        <v>1208</v>
      </c>
      <c r="OB396" s="770"/>
      <c r="OC396" s="770" t="s">
        <v>1208</v>
      </c>
      <c r="OD396" s="770"/>
      <c r="OE396" s="770"/>
      <c r="OF396" s="770" t="s">
        <v>2142</v>
      </c>
      <c r="OG396" s="770"/>
      <c r="OH396" s="770"/>
      <c r="OI396" s="770"/>
      <c r="OJ396" s="770"/>
      <c r="OK396" s="770" t="s">
        <v>1208</v>
      </c>
      <c r="OL396" s="770"/>
      <c r="OM396" s="770"/>
      <c r="ON396" s="770"/>
      <c r="OO396" s="770"/>
      <c r="OP396" s="770"/>
      <c r="OQ396" s="770"/>
      <c r="OR396" s="770"/>
      <c r="OS396" s="770"/>
      <c r="OT396" s="770"/>
      <c r="OU396" s="770"/>
      <c r="OV396" s="770"/>
      <c r="OW396" s="770"/>
      <c r="OX396" s="770"/>
      <c r="OY396" s="770"/>
      <c r="OZ396" s="770"/>
      <c r="PA396" s="770"/>
      <c r="PB396" s="770"/>
      <c r="PC396" s="770"/>
      <c r="PD396" s="770"/>
      <c r="PE396" s="770"/>
      <c r="PF396" s="770"/>
      <c r="PG396" s="770"/>
      <c r="PH396" s="770"/>
      <c r="PI396" s="770"/>
      <c r="PJ396" s="770"/>
      <c r="PK396" s="770" t="s">
        <v>1208</v>
      </c>
      <c r="PL396" s="770"/>
      <c r="PM396" s="770"/>
      <c r="PN396" s="770"/>
      <c r="PO396" s="770"/>
      <c r="PP396" s="770"/>
      <c r="PQ396" s="770"/>
      <c r="PR396" s="770"/>
      <c r="PS396" s="770"/>
      <c r="PT396" s="770"/>
      <c r="PU396" s="770"/>
      <c r="PV396" s="770"/>
      <c r="PW396" s="770"/>
      <c r="PX396" s="770"/>
      <c r="PY396" s="770"/>
      <c r="PZ396" s="770"/>
      <c r="QA396" s="770"/>
      <c r="QB396" s="770"/>
      <c r="QC396" s="770" t="s">
        <v>1208</v>
      </c>
      <c r="QD396" s="770"/>
      <c r="QE396" s="770"/>
      <c r="QF396" s="770"/>
      <c r="QG396" s="770"/>
      <c r="QH396" s="770"/>
      <c r="QI396" s="770"/>
      <c r="QJ396" s="770"/>
      <c r="QK396" s="770"/>
      <c r="QL396" s="770"/>
      <c r="QM396" s="770"/>
      <c r="QN396" s="770"/>
      <c r="QO396" s="770"/>
      <c r="QP396" s="770"/>
      <c r="QQ396" s="770"/>
      <c r="QR396" s="770"/>
      <c r="QS396" s="770"/>
      <c r="QT396" s="770"/>
      <c r="QU396" s="770"/>
      <c r="QV396" s="770"/>
      <c r="QW396" s="770"/>
      <c r="QX396" s="770"/>
      <c r="QY396" s="770"/>
      <c r="QZ396" s="770"/>
      <c r="RA396" s="770"/>
      <c r="RB396" s="770" t="s">
        <v>1214</v>
      </c>
      <c r="RC396" s="770"/>
      <c r="RD396" s="770"/>
      <c r="RE396" s="770"/>
      <c r="RF396" s="304"/>
      <c r="RG396" s="770"/>
      <c r="RH396" s="302"/>
      <c r="RI396" s="770"/>
      <c r="RJ396" s="770" t="s">
        <v>13511</v>
      </c>
      <c r="RK396" s="770" t="s">
        <v>13401</v>
      </c>
      <c r="RL396" s="1710"/>
      <c r="RM396" s="12"/>
      <c r="RN396" s="1711"/>
      <c r="RO396" s="140" t="s">
        <v>655</v>
      </c>
      <c r="RP396" s="11"/>
      <c r="RQ396" s="11"/>
      <c r="RR396" s="154" t="s">
        <v>7419</v>
      </c>
      <c r="RS396" s="1139" t="s">
        <v>12980</v>
      </c>
      <c r="RT396" s="11"/>
      <c r="RU396" s="11"/>
      <c r="RV396" s="771" t="s">
        <v>7419</v>
      </c>
      <c r="RW396" s="11" t="s">
        <v>7664</v>
      </c>
      <c r="RX396" s="11" t="s">
        <v>651</v>
      </c>
      <c r="RY396" s="11"/>
      <c r="RZ396" s="11" t="s">
        <v>2209</v>
      </c>
      <c r="SA396" s="771"/>
      <c r="SB396" s="11"/>
      <c r="SC396" s="11"/>
    </row>
    <row r="397" spans="1:497" ht="12.75" hidden="1" customHeight="1" thickBot="1">
      <c r="A397" s="154" t="s">
        <v>7419</v>
      </c>
      <c r="B397" s="292" t="s">
        <v>5714</v>
      </c>
      <c r="C397" s="140" t="s">
        <v>659</v>
      </c>
      <c r="D397" s="770" t="s">
        <v>660</v>
      </c>
      <c r="E397" s="770" t="s">
        <v>661</v>
      </c>
      <c r="F397" s="770" t="s">
        <v>20</v>
      </c>
      <c r="G397" s="770" t="s">
        <v>18</v>
      </c>
      <c r="H397" s="770"/>
      <c r="I397" s="295" t="s">
        <v>662</v>
      </c>
      <c r="J397" s="94" t="s">
        <v>663</v>
      </c>
      <c r="K397" s="770"/>
      <c r="L397" s="770"/>
      <c r="M397" s="770"/>
      <c r="N397" s="770"/>
      <c r="O397" s="770"/>
      <c r="P397" s="766" t="s">
        <v>5715</v>
      </c>
      <c r="Q397" s="1088">
        <v>20947</v>
      </c>
      <c r="R397" s="297">
        <v>60</v>
      </c>
      <c r="S397" s="770" t="s">
        <v>18</v>
      </c>
      <c r="T397" s="770"/>
      <c r="U397" s="295" t="s">
        <v>662</v>
      </c>
      <c r="V397" s="770" t="s">
        <v>719</v>
      </c>
      <c r="W397" s="770" t="s">
        <v>660</v>
      </c>
      <c r="X397" s="296"/>
      <c r="Y397" s="770" t="s">
        <v>661</v>
      </c>
      <c r="Z397" s="770" t="s">
        <v>708</v>
      </c>
      <c r="AA397" s="770" t="s">
        <v>709</v>
      </c>
      <c r="AB397" s="770" t="s">
        <v>710</v>
      </c>
      <c r="AC397" s="770" t="s">
        <v>1066</v>
      </c>
      <c r="AD397" s="770" t="s">
        <v>711</v>
      </c>
      <c r="AE397" s="770" t="s">
        <v>1073</v>
      </c>
      <c r="AF397" s="770" t="s">
        <v>712</v>
      </c>
      <c r="AG397" s="766" t="s">
        <v>1095</v>
      </c>
      <c r="AH397" s="766" t="s">
        <v>1096</v>
      </c>
      <c r="AI397" s="770" t="s">
        <v>1193</v>
      </c>
      <c r="AJ397" s="770"/>
      <c r="AK397" s="766" t="s">
        <v>1097</v>
      </c>
      <c r="AL397" s="299">
        <v>48</v>
      </c>
      <c r="AM397" s="300">
        <v>10</v>
      </c>
      <c r="AN397" s="301">
        <v>0.20830000000000001</v>
      </c>
      <c r="AO397" s="766" t="s">
        <v>1149</v>
      </c>
      <c r="AP397" s="766"/>
      <c r="AQ397" s="766"/>
      <c r="AR397" s="766"/>
      <c r="AS397" s="770" t="s">
        <v>1207</v>
      </c>
      <c r="AT397" s="770" t="s">
        <v>1208</v>
      </c>
      <c r="AU397" s="770"/>
      <c r="AV397" s="770" t="s">
        <v>1208</v>
      </c>
      <c r="AW397" s="770"/>
      <c r="AX397" s="13"/>
      <c r="AY397" s="770"/>
      <c r="AZ397" s="770"/>
      <c r="BA397" s="770"/>
      <c r="BB397" s="770"/>
      <c r="BC397" s="770" t="s">
        <v>796</v>
      </c>
      <c r="BD397" s="770" t="s">
        <v>1207</v>
      </c>
      <c r="BE397" s="770" t="s">
        <v>1214</v>
      </c>
      <c r="BF397" s="302"/>
      <c r="BG397" s="302"/>
      <c r="BH397" s="770"/>
      <c r="BI397" s="770"/>
      <c r="BJ397" s="770"/>
      <c r="BK397" s="770" t="s">
        <v>1095</v>
      </c>
      <c r="BL397" s="770" t="s">
        <v>1193</v>
      </c>
      <c r="BM397" s="766" t="s">
        <v>1096</v>
      </c>
      <c r="BN397" s="770" t="s">
        <v>1230</v>
      </c>
      <c r="BO397" s="766" t="s">
        <v>1239</v>
      </c>
      <c r="BP397" s="1105">
        <v>96</v>
      </c>
      <c r="BQ397" s="1107">
        <v>20</v>
      </c>
      <c r="BR397" s="1106">
        <f>BQ397/BP397</f>
        <v>0.20833333333333334</v>
      </c>
      <c r="BS397" s="6" t="s">
        <v>1149</v>
      </c>
      <c r="BT397" s="766" t="s">
        <v>2040</v>
      </c>
      <c r="BU397" s="769"/>
      <c r="BV397" s="770" t="s">
        <v>1383</v>
      </c>
      <c r="BW397" s="769"/>
      <c r="BX397" s="302"/>
      <c r="BY397" s="303"/>
      <c r="BZ397" s="770"/>
      <c r="CA397" s="302"/>
      <c r="CB397" s="302" t="s">
        <v>1207</v>
      </c>
      <c r="CC397" s="770"/>
      <c r="CD397" s="770"/>
      <c r="CE397" s="770"/>
      <c r="CF397" s="304">
        <v>3</v>
      </c>
      <c r="CG397" s="321">
        <v>3</v>
      </c>
      <c r="CH397" s="770" t="s">
        <v>1587</v>
      </c>
      <c r="CI397" s="770"/>
      <c r="CJ397" s="770"/>
      <c r="CK397" s="770"/>
      <c r="CL397" s="770"/>
      <c r="CM397" s="770"/>
      <c r="CN397" s="770"/>
      <c r="CO397" s="770"/>
      <c r="CP397" s="770"/>
      <c r="CQ397" s="770"/>
      <c r="CR397" s="770"/>
      <c r="CS397" s="302"/>
      <c r="CT397" s="770"/>
      <c r="CU397" s="305"/>
      <c r="CV397" s="770"/>
      <c r="CW397" s="770"/>
      <c r="CX397" s="770"/>
      <c r="CY397" s="770"/>
      <c r="CZ397" s="770"/>
      <c r="DA397" s="306"/>
      <c r="DB397" s="770"/>
      <c r="DC397" s="770"/>
      <c r="DD397" s="770"/>
      <c r="DE397" s="300"/>
      <c r="DF397" s="770"/>
      <c r="DG397" s="770"/>
      <c r="DH397" s="770"/>
      <c r="DI397" s="770"/>
      <c r="DJ397" s="770"/>
      <c r="DK397" s="770"/>
      <c r="DL397" s="770"/>
      <c r="DM397" s="770"/>
      <c r="DN397" s="322"/>
      <c r="DO397" s="770"/>
      <c r="DP397" s="770"/>
      <c r="DQ397" s="770"/>
      <c r="DR397" s="770"/>
      <c r="DS397" s="307"/>
      <c r="DT397" s="770"/>
      <c r="DU397" s="770"/>
      <c r="DV397" s="770"/>
      <c r="DW397" s="306"/>
      <c r="DX397" s="306"/>
      <c r="DY397" s="770"/>
      <c r="DZ397" s="770"/>
      <c r="EA397" s="770"/>
      <c r="EB397" s="770"/>
      <c r="EC397" s="770"/>
      <c r="ED397" s="770"/>
      <c r="EE397" s="770"/>
      <c r="EF397" s="770"/>
      <c r="EG397" s="770"/>
      <c r="EH397" s="770"/>
      <c r="EI397" s="770"/>
      <c r="EJ397" s="770"/>
      <c r="EK397" s="770"/>
      <c r="EL397" s="770"/>
      <c r="EM397" s="770"/>
      <c r="EN397" s="770"/>
      <c r="EO397" s="770"/>
      <c r="EP397" s="94"/>
      <c r="EQ397" s="770"/>
      <c r="ER397" s="770"/>
      <c r="ES397" s="770"/>
      <c r="ET397" s="770"/>
      <c r="EU397" s="770"/>
      <c r="EV397" s="770"/>
      <c r="EW397" s="770"/>
      <c r="EX397" s="770"/>
      <c r="EY397" s="770"/>
      <c r="EZ397" s="770"/>
      <c r="FA397" s="770"/>
      <c r="FB397" s="770"/>
      <c r="FC397" s="770"/>
      <c r="FD397" s="302"/>
      <c r="FE397" s="770"/>
      <c r="FF397" s="770" t="s">
        <v>1588</v>
      </c>
      <c r="FG397" s="770"/>
      <c r="FH397" s="770" t="s">
        <v>478</v>
      </c>
      <c r="FI397" s="770">
        <v>2</v>
      </c>
      <c r="FJ397" s="770"/>
      <c r="FK397" s="770"/>
      <c r="FL397" s="770"/>
      <c r="FM397" s="302"/>
      <c r="FN397" s="302"/>
      <c r="FO397" s="302"/>
      <c r="FP397" s="770"/>
      <c r="FQ397" s="770"/>
      <c r="FR397" s="770" t="s">
        <v>1207</v>
      </c>
      <c r="FS397" s="770" t="s">
        <v>1208</v>
      </c>
      <c r="FT397" s="770"/>
      <c r="FU397" s="770"/>
      <c r="FV397" s="770"/>
      <c r="FW397" s="770" t="s">
        <v>1208</v>
      </c>
      <c r="FX397" s="770" t="s">
        <v>1208</v>
      </c>
      <c r="FY397" s="770"/>
      <c r="FZ397" s="770"/>
      <c r="GA397" s="770"/>
      <c r="GB397" s="770" t="s">
        <v>796</v>
      </c>
      <c r="GC397" s="308" t="s">
        <v>1763</v>
      </c>
      <c r="GD397" s="297">
        <v>1996</v>
      </c>
      <c r="GE397" s="770" t="s">
        <v>1207</v>
      </c>
      <c r="GF397" s="302"/>
      <c r="GG397" s="302"/>
      <c r="GH397" s="770"/>
      <c r="GI397" s="770"/>
      <c r="GJ397" s="770"/>
      <c r="GK397" s="770"/>
      <c r="GL397" s="770"/>
      <c r="GM397" s="770"/>
      <c r="GN397" s="309"/>
      <c r="GO397" s="770"/>
      <c r="GP397" s="770"/>
      <c r="GQ397" s="770"/>
      <c r="GR397" s="770"/>
      <c r="GS397" s="770"/>
      <c r="GT397" s="770"/>
      <c r="GU397" s="770"/>
      <c r="GV397" s="770"/>
      <c r="GW397" s="770"/>
      <c r="GX397" s="770"/>
      <c r="GY397" s="770"/>
      <c r="GZ397" s="770"/>
      <c r="HA397" s="770"/>
      <c r="HB397" s="770"/>
      <c r="HC397" s="770"/>
      <c r="HD397" s="770"/>
      <c r="HE397" s="770"/>
      <c r="HF397" s="770"/>
      <c r="HG397" s="770"/>
      <c r="HH397" s="770"/>
      <c r="HI397" s="770"/>
      <c r="HJ397" s="770"/>
      <c r="HK397" s="770"/>
      <c r="HL397" s="770"/>
      <c r="HM397" s="770"/>
      <c r="HN397" s="770"/>
      <c r="HO397" s="770"/>
      <c r="HP397" s="770"/>
      <c r="HQ397" s="770"/>
      <c r="HR397" s="770"/>
      <c r="HS397" s="770"/>
      <c r="HT397" s="770"/>
      <c r="HU397" s="770"/>
      <c r="HV397" s="770"/>
      <c r="HW397" s="770"/>
      <c r="HX397" s="770"/>
      <c r="HY397" s="770"/>
      <c r="HZ397" s="770"/>
      <c r="IA397" s="770"/>
      <c r="IB397" s="14" t="e">
        <f>IF(#REF!&gt;0,IF(#REF!&lt;=10000,"Y",""),"")</f>
        <v>#REF!</v>
      </c>
      <c r="IC397" s="770" t="s">
        <v>1207</v>
      </c>
      <c r="ID397" s="770"/>
      <c r="IE397" s="770"/>
      <c r="IF397" s="770" t="s">
        <v>2025</v>
      </c>
      <c r="IG397" s="770" t="s">
        <v>18</v>
      </c>
      <c r="IH397" s="770" t="s">
        <v>478</v>
      </c>
      <c r="II397" s="770" t="s">
        <v>1670</v>
      </c>
      <c r="IJ397" s="766" t="s">
        <v>1604</v>
      </c>
      <c r="IK397" s="766" t="s">
        <v>1888</v>
      </c>
      <c r="IL397" s="770" t="s">
        <v>1669</v>
      </c>
      <c r="IM397" s="770">
        <v>1993</v>
      </c>
      <c r="IN397" s="770" t="s">
        <v>1669</v>
      </c>
      <c r="IO397" s="296"/>
      <c r="IP397" s="770" t="s">
        <v>478</v>
      </c>
      <c r="IQ397" s="769" t="s">
        <v>5498</v>
      </c>
      <c r="IR397" s="770" t="s">
        <v>2716</v>
      </c>
      <c r="IS397" s="770" t="s">
        <v>1883</v>
      </c>
      <c r="IT397" s="770"/>
      <c r="IU397" s="770" t="s">
        <v>1208</v>
      </c>
      <c r="IV397" s="770"/>
      <c r="IW397" s="770" t="s">
        <v>13512</v>
      </c>
      <c r="IX397" s="770"/>
      <c r="IY397" s="770" t="s">
        <v>12787</v>
      </c>
      <c r="IZ397" s="770"/>
      <c r="JA397" s="770"/>
      <c r="JB397" s="770"/>
      <c r="JC397" s="770"/>
      <c r="JD397" s="302">
        <v>10000</v>
      </c>
      <c r="JE397" s="770"/>
      <c r="JF397" s="770"/>
      <c r="JG397" s="770"/>
      <c r="JH397" s="770"/>
      <c r="JI397" s="770"/>
      <c r="JJ397" s="770"/>
      <c r="JK397" s="770"/>
      <c r="JL397" s="770"/>
      <c r="JM397" s="770"/>
      <c r="JN397" s="770"/>
      <c r="JO397" s="770"/>
      <c r="JP397" s="770"/>
      <c r="JQ397" s="770"/>
      <c r="JR397" s="770"/>
      <c r="JS397" s="770"/>
      <c r="JT397" s="766"/>
      <c r="JU397" s="766"/>
      <c r="JV397" s="766"/>
      <c r="JW397" s="766"/>
      <c r="JX397" s="770"/>
      <c r="JY397" s="770"/>
      <c r="JZ397" s="770"/>
      <c r="KA397" s="770"/>
      <c r="KB397" s="770"/>
      <c r="KC397" s="770"/>
      <c r="KD397" s="770"/>
      <c r="KE397" s="770"/>
      <c r="KF397" s="770"/>
      <c r="KG397" s="770"/>
      <c r="KH397" s="770"/>
      <c r="KI397" s="770"/>
      <c r="KJ397" s="770"/>
      <c r="KK397" s="770"/>
      <c r="KL397" s="770"/>
      <c r="KM397" s="770"/>
      <c r="KN397" s="770"/>
      <c r="KO397" s="770"/>
      <c r="KP397" s="770"/>
      <c r="KQ397" s="770"/>
      <c r="KR397" s="770"/>
      <c r="KS397" s="770"/>
      <c r="KT397" s="770"/>
      <c r="KU397" s="770"/>
      <c r="KV397" s="770"/>
      <c r="KW397" s="770"/>
      <c r="KX397" s="770"/>
      <c r="KY397" s="770"/>
      <c r="KZ397" s="770"/>
      <c r="LA397" s="770"/>
      <c r="LB397" s="770"/>
      <c r="LC397" s="770"/>
      <c r="LD397" s="770"/>
      <c r="LE397" s="770"/>
      <c r="LF397" s="770"/>
      <c r="LG397" s="770"/>
      <c r="LH397" s="770"/>
      <c r="LI397" s="770"/>
      <c r="LJ397" s="770"/>
      <c r="LK397" s="770"/>
      <c r="LL397" s="770"/>
      <c r="LM397" s="770"/>
      <c r="LN397" s="766"/>
      <c r="LO397" s="766"/>
      <c r="LP397" s="770"/>
      <c r="LQ397" s="770"/>
      <c r="LR397" s="770"/>
      <c r="LS397" s="770"/>
      <c r="LT397" s="770"/>
      <c r="LU397" s="770"/>
      <c r="LV397" s="770"/>
      <c r="LW397" s="770"/>
      <c r="LX397" s="769"/>
      <c r="LY397" s="766" t="str">
        <f t="shared" si="100"/>
        <v/>
      </c>
      <c r="LZ397" s="299"/>
      <c r="MA397" s="306"/>
      <c r="MB397" s="306"/>
      <c r="MC397" s="1679">
        <f t="shared" si="99"/>
        <v>0</v>
      </c>
      <c r="MD397" s="306"/>
      <c r="ME397" s="306"/>
      <c r="MF397" s="306"/>
      <c r="MG397" s="1680">
        <f t="shared" si="101"/>
        <v>0</v>
      </c>
      <c r="MH397" s="770"/>
      <c r="MI397" s="302"/>
      <c r="MJ397" s="302"/>
      <c r="MK397" s="302"/>
      <c r="ML397" s="302"/>
      <c r="MM397" s="302"/>
      <c r="MN397" s="302"/>
      <c r="MO397" s="302"/>
      <c r="MP397" s="302"/>
      <c r="MQ397" s="302"/>
      <c r="MR397" s="302"/>
      <c r="MS397" s="302"/>
      <c r="MT397" s="302"/>
      <c r="MU397" s="302"/>
      <c r="MV397" s="302"/>
      <c r="MW397" s="302"/>
      <c r="MX397" s="302"/>
      <c r="MY397" s="1682">
        <f t="shared" si="102"/>
        <v>0</v>
      </c>
      <c r="MZ397" s="770"/>
      <c r="NA397" s="770"/>
      <c r="NB397" s="770"/>
      <c r="NC397" s="770"/>
      <c r="ND397" s="770"/>
      <c r="NE397" s="770"/>
      <c r="NF397" s="770"/>
      <c r="NG397" s="770"/>
      <c r="NH397" s="770"/>
      <c r="NI397" s="770"/>
      <c r="NJ397" s="770"/>
      <c r="NK397" s="770"/>
      <c r="NL397" s="770"/>
      <c r="NM397" s="770"/>
      <c r="NN397" s="770"/>
      <c r="NO397" s="770"/>
      <c r="NP397" s="770"/>
      <c r="NQ397" s="770"/>
      <c r="NR397" s="770"/>
      <c r="NS397" s="770"/>
      <c r="NT397" s="770"/>
      <c r="NU397" s="770"/>
      <c r="NV397" s="770"/>
      <c r="NW397" s="770"/>
      <c r="NX397" s="770"/>
      <c r="NY397" s="770"/>
      <c r="NZ397" s="770"/>
      <c r="OA397" s="770"/>
      <c r="OB397" s="770"/>
      <c r="OC397" s="770"/>
      <c r="OD397" s="770"/>
      <c r="OE397" s="770"/>
      <c r="OF397" s="1834" t="s">
        <v>13034</v>
      </c>
      <c r="OG397" s="770"/>
      <c r="OH397" s="770"/>
      <c r="OI397" s="770"/>
      <c r="OJ397" s="770"/>
      <c r="OK397" s="770"/>
      <c r="OL397" s="770"/>
      <c r="OM397" s="770"/>
      <c r="ON397" s="770"/>
      <c r="OO397" s="770"/>
      <c r="OP397" s="770"/>
      <c r="OQ397" s="770"/>
      <c r="OR397" s="770"/>
      <c r="OS397" s="770"/>
      <c r="OT397" s="770"/>
      <c r="OU397" s="770"/>
      <c r="OV397" s="770"/>
      <c r="OW397" s="770"/>
      <c r="OX397" s="770"/>
      <c r="OY397" s="770"/>
      <c r="OZ397" s="770"/>
      <c r="PA397" s="770"/>
      <c r="PB397" s="770"/>
      <c r="PC397" s="770"/>
      <c r="PD397" s="770"/>
      <c r="PE397" s="770"/>
      <c r="PF397" s="770"/>
      <c r="PG397" s="770"/>
      <c r="PH397" s="770"/>
      <c r="PI397" s="770"/>
      <c r="PJ397" s="770"/>
      <c r="PK397" s="770"/>
      <c r="PL397" s="770"/>
      <c r="PM397" s="770"/>
      <c r="PN397" s="770"/>
      <c r="PO397" s="770"/>
      <c r="PP397" s="770"/>
      <c r="PQ397" s="770"/>
      <c r="PR397" s="770"/>
      <c r="PS397" s="770"/>
      <c r="PT397" s="770"/>
      <c r="PU397" s="770"/>
      <c r="PV397" s="770"/>
      <c r="PW397" s="770"/>
      <c r="PX397" s="770"/>
      <c r="PY397" s="770"/>
      <c r="PZ397" s="770"/>
      <c r="QA397" s="770"/>
      <c r="QB397" s="770"/>
      <c r="QC397" s="770"/>
      <c r="QD397" s="770"/>
      <c r="QE397" s="770"/>
      <c r="QF397" s="770"/>
      <c r="QG397" s="770"/>
      <c r="QH397" s="770"/>
      <c r="QI397" s="770"/>
      <c r="QJ397" s="770"/>
      <c r="QK397" s="770"/>
      <c r="QL397" s="770"/>
      <c r="QM397" s="770"/>
      <c r="QN397" s="770"/>
      <c r="QO397" s="770"/>
      <c r="QP397" s="770"/>
      <c r="QQ397" s="770"/>
      <c r="QR397" s="770"/>
      <c r="QS397" s="770"/>
      <c r="QT397" s="770"/>
      <c r="QU397" s="770"/>
      <c r="QV397" s="770"/>
      <c r="QW397" s="770"/>
      <c r="QX397" s="770"/>
      <c r="QY397" s="770"/>
      <c r="QZ397" s="770"/>
      <c r="RA397" s="770"/>
      <c r="RB397" s="770"/>
      <c r="RC397" s="770"/>
      <c r="RD397" s="770"/>
      <c r="RE397" s="770"/>
      <c r="RF397" s="304"/>
      <c r="RG397" s="770"/>
      <c r="RH397" s="302"/>
      <c r="RI397" s="770"/>
      <c r="RJ397" s="770" t="s">
        <v>13513</v>
      </c>
      <c r="RK397" s="770" t="s">
        <v>13401</v>
      </c>
      <c r="RL397" s="1710"/>
      <c r="RM397" s="12"/>
      <c r="RN397" s="1711"/>
      <c r="RO397" s="140" t="s">
        <v>659</v>
      </c>
      <c r="RP397" s="11"/>
      <c r="RQ397" s="11"/>
      <c r="RR397" s="771"/>
      <c r="RS397" s="767"/>
      <c r="RT397" s="11"/>
      <c r="RU397" s="11"/>
      <c r="RV397" s="771" t="s">
        <v>7419</v>
      </c>
      <c r="RW397" s="11" t="s">
        <v>5711</v>
      </c>
      <c r="RX397" s="11" t="s">
        <v>651</v>
      </c>
      <c r="RY397" s="11"/>
      <c r="RZ397" s="11" t="s">
        <v>2209</v>
      </c>
      <c r="SA397" s="771"/>
      <c r="SB397" s="11"/>
      <c r="SC397" s="11"/>
    </row>
    <row r="398" spans="1:497" ht="12.75" hidden="1" customHeight="1">
      <c r="A398" s="154" t="s">
        <v>14194</v>
      </c>
      <c r="B398" s="292" t="s">
        <v>5719</v>
      </c>
      <c r="C398" s="140" t="s">
        <v>659</v>
      </c>
      <c r="D398" s="770" t="s">
        <v>5716</v>
      </c>
      <c r="E398" s="770" t="s">
        <v>661</v>
      </c>
      <c r="F398" s="770" t="s">
        <v>20</v>
      </c>
      <c r="G398" s="770" t="s">
        <v>18</v>
      </c>
      <c r="H398" s="770"/>
      <c r="I398" s="295"/>
      <c r="J398" s="770" t="s">
        <v>5717</v>
      </c>
      <c r="K398" s="770"/>
      <c r="L398" s="770"/>
      <c r="M398" s="770"/>
      <c r="N398" s="770"/>
      <c r="O398" s="770"/>
      <c r="P398" s="766" t="s">
        <v>5718</v>
      </c>
      <c r="Q398" s="1088">
        <v>30681</v>
      </c>
      <c r="R398" s="297">
        <v>33</v>
      </c>
      <c r="S398" s="770" t="s">
        <v>10</v>
      </c>
      <c r="T398" s="770"/>
      <c r="U398" s="298" t="s">
        <v>11763</v>
      </c>
      <c r="V398" s="770" t="s">
        <v>707</v>
      </c>
      <c r="W398" s="770" t="s">
        <v>11764</v>
      </c>
      <c r="X398" s="296"/>
      <c r="Y398" s="770" t="s">
        <v>661</v>
      </c>
      <c r="Z398" s="770" t="s">
        <v>708</v>
      </c>
      <c r="AA398" s="770" t="s">
        <v>709</v>
      </c>
      <c r="AB398" s="770" t="s">
        <v>7274</v>
      </c>
      <c r="AC398" s="770"/>
      <c r="AD398" s="770"/>
      <c r="AE398" s="770" t="s">
        <v>11765</v>
      </c>
      <c r="AF398" s="770" t="s">
        <v>712</v>
      </c>
      <c r="AG398" s="770"/>
      <c r="AH398" s="770"/>
      <c r="AI398" s="770"/>
      <c r="AJ398" s="770"/>
      <c r="AK398" s="770" t="s">
        <v>1899</v>
      </c>
      <c r="AL398" s="299"/>
      <c r="AM398" s="300"/>
      <c r="AN398" s="301"/>
      <c r="AO398" s="766"/>
      <c r="AP398" s="766"/>
      <c r="AQ398" s="766"/>
      <c r="AR398" s="766"/>
      <c r="AS398" s="770"/>
      <c r="AT398" s="770"/>
      <c r="AU398" s="770"/>
      <c r="AV398" s="770"/>
      <c r="AW398" s="770"/>
      <c r="AX398" s="770"/>
      <c r="AY398" s="770"/>
      <c r="AZ398" s="770"/>
      <c r="BA398" s="770"/>
      <c r="BB398" s="770"/>
      <c r="BC398" s="770"/>
      <c r="BD398" s="770"/>
      <c r="BE398" s="770"/>
      <c r="BF398" s="302"/>
      <c r="BG398" s="302"/>
      <c r="BH398" s="770"/>
      <c r="BI398" s="770"/>
      <c r="BJ398" s="770"/>
      <c r="BK398" s="770"/>
      <c r="BL398" s="770"/>
      <c r="BM398" s="770" t="s">
        <v>1238</v>
      </c>
      <c r="BN398" s="770" t="s">
        <v>1256</v>
      </c>
      <c r="BO398" s="770"/>
      <c r="BP398" s="780"/>
      <c r="BQ398" s="772"/>
      <c r="BR398" s="774"/>
      <c r="BS398" s="6" t="s">
        <v>1149</v>
      </c>
      <c r="BT398" s="766"/>
      <c r="BU398" s="770"/>
      <c r="BV398" s="770"/>
      <c r="BW398" s="770"/>
      <c r="BX398" s="302"/>
      <c r="BY398" s="303"/>
      <c r="BZ398" s="770"/>
      <c r="CA398" s="302"/>
      <c r="CB398" s="302"/>
      <c r="CC398" s="770"/>
      <c r="CD398" s="770"/>
      <c r="CE398" s="770"/>
      <c r="CF398" s="770"/>
      <c r="CG398" s="770"/>
      <c r="CH398" s="770"/>
      <c r="CI398" s="770"/>
      <c r="CJ398" s="770"/>
      <c r="CK398" s="770"/>
      <c r="CL398" s="770"/>
      <c r="CM398" s="770"/>
      <c r="CN398" s="770"/>
      <c r="CO398" s="770"/>
      <c r="CP398" s="770"/>
      <c r="CQ398" s="770"/>
      <c r="CR398" s="770"/>
      <c r="CS398" s="302"/>
      <c r="CT398" s="770"/>
      <c r="CU398" s="305"/>
      <c r="CV398" s="770"/>
      <c r="CW398" s="770"/>
      <c r="CX398" s="770"/>
      <c r="CY398" s="770"/>
      <c r="CZ398" s="770"/>
      <c r="DA398" s="770"/>
      <c r="DB398" s="770"/>
      <c r="DC398" s="770"/>
      <c r="DD398" s="770"/>
      <c r="DE398" s="770"/>
      <c r="DF398" s="770"/>
      <c r="DG398" s="770"/>
      <c r="DH398" s="770"/>
      <c r="DI398" s="770"/>
      <c r="DJ398" s="770"/>
      <c r="DK398" s="770"/>
      <c r="DL398" s="770"/>
      <c r="DM398" s="770"/>
      <c r="DN398" s="770"/>
      <c r="DO398" s="770"/>
      <c r="DP398" s="770"/>
      <c r="DQ398" s="770"/>
      <c r="DR398" s="770"/>
      <c r="DS398" s="307"/>
      <c r="DT398" s="770"/>
      <c r="DU398" s="770"/>
      <c r="DV398" s="770"/>
      <c r="DW398" s="306"/>
      <c r="DX398" s="306"/>
      <c r="DY398" s="770"/>
      <c r="DZ398" s="770"/>
      <c r="EA398" s="770"/>
      <c r="EB398" s="770"/>
      <c r="EC398" s="770"/>
      <c r="ED398" s="770"/>
      <c r="EE398" s="770"/>
      <c r="EF398" s="770"/>
      <c r="EG398" s="770"/>
      <c r="EH398" s="770"/>
      <c r="EI398" s="770"/>
      <c r="EJ398" s="770"/>
      <c r="EK398" s="770"/>
      <c r="EL398" s="770"/>
      <c r="EM398" s="770"/>
      <c r="EN398" s="770"/>
      <c r="EO398" s="770"/>
      <c r="EP398" s="770"/>
      <c r="EQ398" s="770"/>
      <c r="ER398" s="770"/>
      <c r="ES398" s="770"/>
      <c r="ET398" s="770"/>
      <c r="EU398" s="770"/>
      <c r="EV398" s="770"/>
      <c r="EW398" s="770"/>
      <c r="EX398" s="770"/>
      <c r="EY398" s="770"/>
      <c r="EZ398" s="770"/>
      <c r="FA398" s="770"/>
      <c r="FB398" s="770"/>
      <c r="FC398" s="770"/>
      <c r="FD398" s="302"/>
      <c r="FE398" s="770"/>
      <c r="FF398" s="770"/>
      <c r="FG398" s="770"/>
      <c r="FH398" s="770" t="s">
        <v>1306</v>
      </c>
      <c r="FI398" s="770">
        <v>1</v>
      </c>
      <c r="FJ398" s="770" t="s">
        <v>1669</v>
      </c>
      <c r="FK398" s="770"/>
      <c r="FL398" s="770" t="s">
        <v>1670</v>
      </c>
      <c r="FM398" s="147">
        <v>2500</v>
      </c>
      <c r="FN398" s="302">
        <v>300</v>
      </c>
      <c r="FO398" s="302">
        <v>700</v>
      </c>
      <c r="FP398" s="770" t="s">
        <v>1602</v>
      </c>
      <c r="FQ398" s="770" t="s">
        <v>1660</v>
      </c>
      <c r="FR398" s="770"/>
      <c r="FS398" s="770"/>
      <c r="FT398" s="770"/>
      <c r="FU398" s="770"/>
      <c r="FV398" s="770"/>
      <c r="FW398" s="770"/>
      <c r="FX398" s="770"/>
      <c r="FY398" s="770"/>
      <c r="FZ398" s="770"/>
      <c r="GA398" s="770"/>
      <c r="GB398" s="770"/>
      <c r="GC398" s="308"/>
      <c r="GD398" s="297"/>
      <c r="GE398" s="770"/>
      <c r="GF398" s="302"/>
      <c r="GG398" s="302"/>
      <c r="GH398" s="13"/>
      <c r="GI398" s="770"/>
      <c r="GJ398" s="770"/>
      <c r="GK398" s="770"/>
      <c r="GL398" s="770"/>
      <c r="GM398" s="770"/>
      <c r="GN398" s="309"/>
      <c r="GO398" s="770"/>
      <c r="GP398" s="770"/>
      <c r="GQ398" s="770"/>
      <c r="GR398" s="770"/>
      <c r="GS398" s="770"/>
      <c r="GT398" s="770"/>
      <c r="GU398" s="770"/>
      <c r="GV398" s="770"/>
      <c r="GW398" s="770"/>
      <c r="GX398" s="770"/>
      <c r="GY398" s="770"/>
      <c r="GZ398" s="770"/>
      <c r="HA398" s="770"/>
      <c r="HB398" s="770"/>
      <c r="HC398" s="770"/>
      <c r="HD398" s="770"/>
      <c r="HE398" s="770"/>
      <c r="HF398" s="770"/>
      <c r="HG398" s="770"/>
      <c r="HH398" s="770"/>
      <c r="HI398" s="770"/>
      <c r="HJ398" s="770"/>
      <c r="HK398" s="770"/>
      <c r="HL398" s="770"/>
      <c r="HM398" s="770"/>
      <c r="HN398" s="770"/>
      <c r="HO398" s="770"/>
      <c r="HP398" s="770"/>
      <c r="HQ398" s="770"/>
      <c r="HR398" s="770"/>
      <c r="HS398" s="770"/>
      <c r="HT398" s="770"/>
      <c r="HU398" s="770"/>
      <c r="HV398" s="770"/>
      <c r="HW398" s="770"/>
      <c r="HX398" s="770"/>
      <c r="HY398" s="770"/>
      <c r="HZ398" s="770"/>
      <c r="IA398" s="770"/>
      <c r="IB398" s="14" t="e">
        <f>IF(#REF!&gt;0,IF(#REF!&lt;=10000,"Y",""),"")</f>
        <v>#REF!</v>
      </c>
      <c r="IC398" s="770"/>
      <c r="ID398" s="770"/>
      <c r="IE398" s="770"/>
      <c r="IF398" s="770"/>
      <c r="IG398" s="770"/>
      <c r="IH398" s="770"/>
      <c r="II398" s="770"/>
      <c r="IJ398" s="770"/>
      <c r="IK398" s="770"/>
      <c r="IL398" s="770"/>
      <c r="IM398" s="770"/>
      <c r="IN398" s="770"/>
      <c r="IO398" s="296"/>
      <c r="IP398" s="770"/>
      <c r="IQ398" s="770"/>
      <c r="IR398" s="770"/>
      <c r="IS398" s="770"/>
      <c r="IT398" s="770"/>
      <c r="IU398" s="770"/>
      <c r="IV398" s="770"/>
      <c r="IW398" s="770"/>
      <c r="IX398" s="770"/>
      <c r="IY398" s="770"/>
      <c r="IZ398" s="770"/>
      <c r="JA398" s="770"/>
      <c r="JB398" s="770"/>
      <c r="JC398" s="770"/>
      <c r="JD398" s="302"/>
      <c r="JE398" s="770"/>
      <c r="JF398" s="770"/>
      <c r="JG398" s="770"/>
      <c r="JH398" s="770"/>
      <c r="JI398" s="770"/>
      <c r="JJ398" s="770">
        <v>2</v>
      </c>
      <c r="JK398" s="770" t="s">
        <v>2125</v>
      </c>
      <c r="JL398" s="770"/>
      <c r="JM398" s="770"/>
      <c r="JN398" s="770"/>
      <c r="JO398" s="770"/>
      <c r="JP398" s="770"/>
      <c r="JQ398" s="770"/>
      <c r="JR398" s="770"/>
      <c r="JS398" s="770"/>
      <c r="JT398" s="766"/>
      <c r="JU398" s="766"/>
      <c r="JV398" s="766"/>
      <c r="JW398" s="766"/>
      <c r="JX398" s="770"/>
      <c r="JY398" s="770"/>
      <c r="JZ398" s="770"/>
      <c r="KA398" s="770"/>
      <c r="KB398" s="770"/>
      <c r="KC398" s="770"/>
      <c r="KD398" s="770"/>
      <c r="KE398" s="770"/>
      <c r="KF398" s="770"/>
      <c r="KG398" s="770"/>
      <c r="KH398" s="770"/>
      <c r="KI398" s="770"/>
      <c r="KJ398" s="770"/>
      <c r="KK398" s="770"/>
      <c r="KL398" s="770"/>
      <c r="KM398" s="770"/>
      <c r="KN398" s="770"/>
      <c r="KO398" s="770"/>
      <c r="KP398" s="770"/>
      <c r="KQ398" s="770"/>
      <c r="KR398" s="770"/>
      <c r="KS398" s="770"/>
      <c r="KT398" s="770"/>
      <c r="KU398" s="770"/>
      <c r="KV398" s="770"/>
      <c r="KW398" s="770"/>
      <c r="KX398" s="770"/>
      <c r="KY398" s="770"/>
      <c r="KZ398" s="770"/>
      <c r="LA398" s="770"/>
      <c r="LB398" s="770"/>
      <c r="LC398" s="770"/>
      <c r="LD398" s="770"/>
      <c r="LE398" s="770"/>
      <c r="LF398" s="770"/>
      <c r="LG398" s="770"/>
      <c r="LH398" s="770"/>
      <c r="LI398" s="770"/>
      <c r="LJ398" s="770"/>
      <c r="LK398" s="770"/>
      <c r="LL398" s="770"/>
      <c r="LM398" s="770"/>
      <c r="LN398" s="766"/>
      <c r="LO398" s="766"/>
      <c r="LP398" s="770"/>
      <c r="LQ398" s="770"/>
      <c r="LR398" s="770"/>
      <c r="LS398" s="770"/>
      <c r="LT398" s="770"/>
      <c r="LU398" s="770"/>
      <c r="LV398" s="770"/>
      <c r="LW398" s="770"/>
      <c r="LX398" s="769"/>
      <c r="LY398" s="766" t="str">
        <f t="shared" si="100"/>
        <v/>
      </c>
      <c r="LZ398" s="299"/>
      <c r="MA398" s="1709"/>
      <c r="MB398" s="1709"/>
      <c r="MC398" s="1679">
        <f t="shared" si="99"/>
        <v>0</v>
      </c>
      <c r="MD398" s="1709"/>
      <c r="ME398" s="1709"/>
      <c r="MF398" s="1709"/>
      <c r="MG398" s="1680">
        <f t="shared" si="101"/>
        <v>0</v>
      </c>
      <c r="MH398" s="770"/>
      <c r="MI398" s="302"/>
      <c r="MJ398" s="302"/>
      <c r="MK398" s="302"/>
      <c r="ML398" s="302"/>
      <c r="MM398" s="302"/>
      <c r="MN398" s="302"/>
      <c r="MO398" s="302"/>
      <c r="MP398" s="302"/>
      <c r="MQ398" s="302"/>
      <c r="MR398" s="302"/>
      <c r="MS398" s="302"/>
      <c r="MT398" s="302"/>
      <c r="MU398" s="302"/>
      <c r="MV398" s="302"/>
      <c r="MW398" s="302"/>
      <c r="MX398" s="302"/>
      <c r="MY398" s="1682">
        <f t="shared" si="102"/>
        <v>0</v>
      </c>
      <c r="MZ398" s="770"/>
      <c r="NA398" s="770"/>
      <c r="NB398" s="770"/>
      <c r="NC398" s="770"/>
      <c r="ND398" s="770"/>
      <c r="NE398" s="770"/>
      <c r="NF398" s="770"/>
      <c r="NG398" s="770"/>
      <c r="NH398" s="770"/>
      <c r="NI398" s="770"/>
      <c r="NJ398" s="770"/>
      <c r="NK398" s="770"/>
      <c r="NL398" s="770"/>
      <c r="NM398" s="770"/>
      <c r="NN398" s="770"/>
      <c r="NO398" s="770"/>
      <c r="NP398" s="770"/>
      <c r="NQ398" s="770"/>
      <c r="NR398" s="770"/>
      <c r="NS398" s="770"/>
      <c r="NT398" s="770"/>
      <c r="NU398" s="770"/>
      <c r="NV398" s="770"/>
      <c r="NW398" s="770"/>
      <c r="NX398" s="770"/>
      <c r="NY398" s="770"/>
      <c r="NZ398" s="770"/>
      <c r="OA398" s="770"/>
      <c r="OB398" s="770"/>
      <c r="OC398" s="770"/>
      <c r="OD398" s="770"/>
      <c r="OE398" s="770"/>
      <c r="OF398" s="770"/>
      <c r="OG398" s="770"/>
      <c r="OH398" s="770"/>
      <c r="OI398" s="770"/>
      <c r="OJ398" s="770"/>
      <c r="OK398" s="770"/>
      <c r="OL398" s="770"/>
      <c r="OM398" s="770"/>
      <c r="ON398" s="770"/>
      <c r="OO398" s="770"/>
      <c r="OP398" s="770"/>
      <c r="OQ398" s="770"/>
      <c r="OR398" s="770"/>
      <c r="OS398" s="770"/>
      <c r="OT398" s="770"/>
      <c r="OU398" s="770"/>
      <c r="OV398" s="770"/>
      <c r="OW398" s="770"/>
      <c r="OX398" s="770"/>
      <c r="OY398" s="770"/>
      <c r="OZ398" s="770"/>
      <c r="PA398" s="770"/>
      <c r="PB398" s="770"/>
      <c r="PC398" s="770"/>
      <c r="PD398" s="770"/>
      <c r="PE398" s="770"/>
      <c r="PF398" s="770"/>
      <c r="PG398" s="770"/>
      <c r="PH398" s="770"/>
      <c r="PI398" s="770"/>
      <c r="PJ398" s="770"/>
      <c r="PK398" s="770"/>
      <c r="PL398" s="770"/>
      <c r="PM398" s="770"/>
      <c r="PN398" s="770"/>
      <c r="PO398" s="770"/>
      <c r="PP398" s="770"/>
      <c r="PQ398" s="770"/>
      <c r="PR398" s="770"/>
      <c r="PS398" s="770"/>
      <c r="PT398" s="770"/>
      <c r="PU398" s="770"/>
      <c r="PV398" s="770"/>
      <c r="PW398" s="770"/>
      <c r="PX398" s="770"/>
      <c r="PY398" s="770"/>
      <c r="PZ398" s="770"/>
      <c r="QA398" s="770"/>
      <c r="QB398" s="770"/>
      <c r="QC398" s="770"/>
      <c r="QD398" s="770"/>
      <c r="QE398" s="770"/>
      <c r="QF398" s="770"/>
      <c r="QG398" s="770"/>
      <c r="QH398" s="770"/>
      <c r="QI398" s="770"/>
      <c r="QJ398" s="770"/>
      <c r="QK398" s="770"/>
      <c r="QL398" s="770"/>
      <c r="QM398" s="770"/>
      <c r="QN398" s="770"/>
      <c r="QO398" s="770"/>
      <c r="QP398" s="770"/>
      <c r="QQ398" s="770"/>
      <c r="QR398" s="770"/>
      <c r="QS398" s="770"/>
      <c r="QT398" s="770"/>
      <c r="QU398" s="770"/>
      <c r="QV398" s="770"/>
      <c r="QW398" s="770"/>
      <c r="QX398" s="770"/>
      <c r="QY398" s="770"/>
      <c r="QZ398" s="770"/>
      <c r="RA398" s="770"/>
      <c r="RB398" s="770"/>
      <c r="RC398" s="770"/>
      <c r="RD398" s="770"/>
      <c r="RE398" s="770"/>
      <c r="RF398" s="304"/>
      <c r="RG398" s="770"/>
      <c r="RH398" s="302"/>
      <c r="RI398" s="770"/>
      <c r="RJ398" s="770" t="s">
        <v>2125</v>
      </c>
      <c r="RK398" s="770" t="s">
        <v>13461</v>
      </c>
      <c r="RL398" s="1710">
        <v>42817</v>
      </c>
      <c r="RM398" s="12"/>
      <c r="RN398" s="1711"/>
      <c r="RO398" s="140" t="s">
        <v>659</v>
      </c>
      <c r="RP398" s="11"/>
      <c r="RQ398" s="11"/>
      <c r="RR398" s="771"/>
      <c r="RS398" s="767"/>
      <c r="RT398" s="11"/>
      <c r="RU398" s="11"/>
      <c r="RV398" s="771" t="s">
        <v>7419</v>
      </c>
      <c r="RW398" s="11" t="s">
        <v>5713</v>
      </c>
      <c r="RX398" s="11" t="s">
        <v>655</v>
      </c>
      <c r="RY398" s="11"/>
      <c r="RZ398" s="11"/>
      <c r="SA398" s="771"/>
      <c r="SB398" s="11"/>
      <c r="SC398" s="11"/>
    </row>
    <row r="399" spans="1:497" ht="12.75" hidden="1" customHeight="1">
      <c r="A399" s="154" t="s">
        <v>14195</v>
      </c>
      <c r="B399" s="292" t="s">
        <v>7665</v>
      </c>
      <c r="C399" s="140" t="s">
        <v>659</v>
      </c>
      <c r="D399" s="770" t="s">
        <v>660</v>
      </c>
      <c r="E399" s="770" t="s">
        <v>661</v>
      </c>
      <c r="F399" s="770" t="s">
        <v>20</v>
      </c>
      <c r="G399" s="770" t="s">
        <v>18</v>
      </c>
      <c r="H399" s="770"/>
      <c r="I399" s="295" t="s">
        <v>662</v>
      </c>
      <c r="J399" s="94" t="s">
        <v>663</v>
      </c>
      <c r="K399" s="770"/>
      <c r="L399" s="770"/>
      <c r="M399" s="770"/>
      <c r="N399" s="770"/>
      <c r="O399" s="770"/>
      <c r="P399" s="766"/>
      <c r="Q399" s="1088"/>
      <c r="R399" s="297"/>
      <c r="S399" s="770"/>
      <c r="T399" s="770"/>
      <c r="U399" s="298"/>
      <c r="V399" s="770"/>
      <c r="W399" s="770"/>
      <c r="X399" s="296"/>
      <c r="Y399" s="766"/>
      <c r="Z399" s="770"/>
      <c r="AA399" s="770"/>
      <c r="AB399" s="770"/>
      <c r="AC399" s="770"/>
      <c r="AD399" s="770"/>
      <c r="AE399" s="770"/>
      <c r="AF399" s="770"/>
      <c r="AG399" s="770"/>
      <c r="AH399" s="770"/>
      <c r="AI399" s="770"/>
      <c r="AJ399" s="770"/>
      <c r="AK399" s="770" t="s">
        <v>5454</v>
      </c>
      <c r="AL399" s="299"/>
      <c r="AM399" s="300"/>
      <c r="AN399" s="301"/>
      <c r="AO399" s="766"/>
      <c r="AP399" s="766"/>
      <c r="AQ399" s="766"/>
      <c r="AR399" s="766"/>
      <c r="AS399" s="770"/>
      <c r="AT399" s="770"/>
      <c r="AU399" s="770"/>
      <c r="AV399" s="770"/>
      <c r="AW399" s="770"/>
      <c r="AX399" s="770"/>
      <c r="AY399" s="770"/>
      <c r="AZ399" s="770"/>
      <c r="BA399" s="770"/>
      <c r="BB399" s="770"/>
      <c r="BC399" s="770"/>
      <c r="BD399" s="770"/>
      <c r="BE399" s="770"/>
      <c r="BF399" s="302"/>
      <c r="BG399" s="302"/>
      <c r="BH399" s="770"/>
      <c r="BI399" s="770"/>
      <c r="BJ399" s="770"/>
      <c r="BK399" s="770"/>
      <c r="BL399" s="770"/>
      <c r="BM399" s="770" t="s">
        <v>1238</v>
      </c>
      <c r="BN399" s="770" t="s">
        <v>1299</v>
      </c>
      <c r="BO399" s="770"/>
      <c r="BP399" s="780"/>
      <c r="BQ399" s="772"/>
      <c r="BR399" s="774"/>
      <c r="BS399" s="6" t="s">
        <v>1149</v>
      </c>
      <c r="BT399" s="766"/>
      <c r="BU399" s="770"/>
      <c r="BV399" s="770"/>
      <c r="BW399" s="770"/>
      <c r="BX399" s="302"/>
      <c r="BY399" s="303"/>
      <c r="BZ399" s="770"/>
      <c r="CA399" s="302"/>
      <c r="CB399" s="302"/>
      <c r="CC399" s="770"/>
      <c r="CD399" s="770"/>
      <c r="CE399" s="770"/>
      <c r="CF399" s="770"/>
      <c r="CG399" s="770"/>
      <c r="CH399" s="770"/>
      <c r="CI399" s="770"/>
      <c r="CJ399" s="770"/>
      <c r="CK399" s="770"/>
      <c r="CL399" s="770"/>
      <c r="CM399" s="770"/>
      <c r="CN399" s="770"/>
      <c r="CO399" s="770"/>
      <c r="CP399" s="770"/>
      <c r="CQ399" s="770"/>
      <c r="CR399" s="770"/>
      <c r="CS399" s="302"/>
      <c r="CT399" s="770"/>
      <c r="CU399" s="305"/>
      <c r="CV399" s="770"/>
      <c r="CW399" s="770"/>
      <c r="CX399" s="770"/>
      <c r="CY399" s="770"/>
      <c r="CZ399" s="770"/>
      <c r="DA399" s="770"/>
      <c r="DB399" s="770"/>
      <c r="DC399" s="770"/>
      <c r="DD399" s="770"/>
      <c r="DE399" s="770"/>
      <c r="DF399" s="770"/>
      <c r="DG399" s="770"/>
      <c r="DH399" s="770"/>
      <c r="DI399" s="770"/>
      <c r="DJ399" s="770"/>
      <c r="DK399" s="770"/>
      <c r="DL399" s="770"/>
      <c r="DM399" s="770"/>
      <c r="DN399" s="770"/>
      <c r="DO399" s="770"/>
      <c r="DP399" s="770"/>
      <c r="DQ399" s="770"/>
      <c r="DR399" s="770"/>
      <c r="DS399" s="307"/>
      <c r="DT399" s="770"/>
      <c r="DU399" s="770"/>
      <c r="DV399" s="770"/>
      <c r="DW399" s="306"/>
      <c r="DX399" s="306"/>
      <c r="DY399" s="770"/>
      <c r="DZ399" s="770"/>
      <c r="EA399" s="770"/>
      <c r="EB399" s="770"/>
      <c r="EC399" s="770"/>
      <c r="ED399" s="770"/>
      <c r="EE399" s="770"/>
      <c r="EF399" s="770"/>
      <c r="EG399" s="770"/>
      <c r="EH399" s="770"/>
      <c r="EI399" s="770"/>
      <c r="EJ399" s="770"/>
      <c r="EK399" s="770"/>
      <c r="EL399" s="770"/>
      <c r="EM399" s="770"/>
      <c r="EN399" s="770"/>
      <c r="EO399" s="770"/>
      <c r="EP399" s="770"/>
      <c r="EQ399" s="770"/>
      <c r="ER399" s="770"/>
      <c r="ES399" s="770"/>
      <c r="ET399" s="770"/>
      <c r="EU399" s="770"/>
      <c r="EV399" s="770"/>
      <c r="EW399" s="770"/>
      <c r="EX399" s="770"/>
      <c r="EY399" s="770"/>
      <c r="EZ399" s="770"/>
      <c r="FA399" s="770"/>
      <c r="FB399" s="770"/>
      <c r="FC399" s="770"/>
      <c r="FD399" s="302"/>
      <c r="FE399" s="770"/>
      <c r="FF399" s="770"/>
      <c r="FG399" s="770"/>
      <c r="FH399" s="770" t="s">
        <v>1299</v>
      </c>
      <c r="FI399" s="770">
        <v>1</v>
      </c>
      <c r="FJ399" s="770" t="s">
        <v>1669</v>
      </c>
      <c r="FK399" s="770"/>
      <c r="FL399" s="770" t="s">
        <v>1670</v>
      </c>
      <c r="FM399" s="775"/>
      <c r="FN399" s="302"/>
      <c r="FO399" s="302"/>
      <c r="FP399" s="770" t="s">
        <v>1600</v>
      </c>
      <c r="FQ399" s="770" t="s">
        <v>1642</v>
      </c>
      <c r="FR399" s="770" t="s">
        <v>1214</v>
      </c>
      <c r="FS399" s="770"/>
      <c r="FT399" s="770"/>
      <c r="FU399" s="770"/>
      <c r="FV399" s="770"/>
      <c r="FW399" s="770"/>
      <c r="FX399" s="770"/>
      <c r="FY399" s="770"/>
      <c r="FZ399" s="770"/>
      <c r="GA399" s="770"/>
      <c r="GB399" s="770"/>
      <c r="GC399" s="308"/>
      <c r="GD399" s="297"/>
      <c r="GE399" s="770" t="s">
        <v>1214</v>
      </c>
      <c r="GF399" s="302"/>
      <c r="GG399" s="302"/>
      <c r="GH399" s="770"/>
      <c r="GI399" s="770"/>
      <c r="GJ399" s="770"/>
      <c r="GK399" s="770"/>
      <c r="GL399" s="770"/>
      <c r="GM399" s="770"/>
      <c r="GN399" s="309"/>
      <c r="GO399" s="770"/>
      <c r="GP399" s="770"/>
      <c r="GQ399" s="770"/>
      <c r="GR399" s="770"/>
      <c r="GS399" s="770"/>
      <c r="GT399" s="770"/>
      <c r="GU399" s="770"/>
      <c r="GV399" s="770"/>
      <c r="GW399" s="770"/>
      <c r="GX399" s="770"/>
      <c r="GY399" s="770"/>
      <c r="GZ399" s="770"/>
      <c r="HA399" s="770"/>
      <c r="HB399" s="770"/>
      <c r="HC399" s="770"/>
      <c r="HD399" s="770"/>
      <c r="HE399" s="770"/>
      <c r="HF399" s="770"/>
      <c r="HG399" s="770"/>
      <c r="HH399" s="770"/>
      <c r="HI399" s="770"/>
      <c r="HJ399" s="770"/>
      <c r="HK399" s="770"/>
      <c r="HL399" s="770"/>
      <c r="HM399" s="770"/>
      <c r="HN399" s="770"/>
      <c r="HO399" s="770"/>
      <c r="HP399" s="770"/>
      <c r="HQ399" s="770"/>
      <c r="HR399" s="770"/>
      <c r="HS399" s="770"/>
      <c r="HT399" s="770"/>
      <c r="HU399" s="770"/>
      <c r="HV399" s="770"/>
      <c r="HW399" s="770"/>
      <c r="HX399" s="770"/>
      <c r="HY399" s="770"/>
      <c r="HZ399" s="770"/>
      <c r="IA399" s="770"/>
      <c r="IB399" s="14" t="e">
        <f>IF(#REF!&gt;0,IF(#REF!&lt;=10000,"Y",""),"")</f>
        <v>#REF!</v>
      </c>
      <c r="IC399" s="770"/>
      <c r="ID399" s="770">
        <v>2</v>
      </c>
      <c r="IE399" s="770">
        <v>1</v>
      </c>
      <c r="IF399" s="770"/>
      <c r="IG399" s="770"/>
      <c r="IH399" s="770"/>
      <c r="II399" s="770"/>
      <c r="IJ399" s="770"/>
      <c r="IK399" s="770"/>
      <c r="IL399" s="770"/>
      <c r="IM399" s="770"/>
      <c r="IN399" s="770"/>
      <c r="IO399" s="296"/>
      <c r="IP399" s="770"/>
      <c r="IQ399" s="770"/>
      <c r="IR399" s="770"/>
      <c r="IS399" s="770"/>
      <c r="IT399" s="770"/>
      <c r="IU399" s="770"/>
      <c r="IV399" s="770"/>
      <c r="IW399" s="770"/>
      <c r="IX399" s="770"/>
      <c r="IY399" s="770"/>
      <c r="IZ399" s="770"/>
      <c r="JA399" s="770"/>
      <c r="JB399" s="770"/>
      <c r="JC399" s="770"/>
      <c r="JD399" s="302"/>
      <c r="JE399" s="770"/>
      <c r="JF399" s="770"/>
      <c r="JG399" s="770"/>
      <c r="JH399" s="770"/>
      <c r="JI399" s="770"/>
      <c r="JJ399" s="770">
        <v>3</v>
      </c>
      <c r="JK399" s="770" t="s">
        <v>5720</v>
      </c>
      <c r="JL399" s="770"/>
      <c r="JM399" s="770"/>
      <c r="JN399" s="770"/>
      <c r="JO399" s="770"/>
      <c r="JP399" s="770"/>
      <c r="JQ399" s="770"/>
      <c r="JR399" s="770"/>
      <c r="JS399" s="770"/>
      <c r="JT399" s="766"/>
      <c r="JU399" s="766"/>
      <c r="JV399" s="766"/>
      <c r="JW399" s="766"/>
      <c r="JX399" s="770"/>
      <c r="JY399" s="770"/>
      <c r="JZ399" s="770"/>
      <c r="KA399" s="770"/>
      <c r="KB399" s="770"/>
      <c r="KC399" s="770"/>
      <c r="KD399" s="770"/>
      <c r="KE399" s="770"/>
      <c r="KF399" s="770"/>
      <c r="KG399" s="770"/>
      <c r="KH399" s="770"/>
      <c r="KI399" s="770"/>
      <c r="KJ399" s="770"/>
      <c r="KK399" s="770"/>
      <c r="KL399" s="770"/>
      <c r="KM399" s="770"/>
      <c r="KN399" s="770"/>
      <c r="KO399" s="770"/>
      <c r="KP399" s="770"/>
      <c r="KQ399" s="770"/>
      <c r="KR399" s="770"/>
      <c r="KS399" s="770"/>
      <c r="KT399" s="770"/>
      <c r="KU399" s="770"/>
      <c r="KV399" s="770"/>
      <c r="KW399" s="770"/>
      <c r="KX399" s="770"/>
      <c r="KY399" s="770"/>
      <c r="KZ399" s="770"/>
      <c r="LA399" s="770"/>
      <c r="LB399" s="770"/>
      <c r="LC399" s="770"/>
      <c r="LD399" s="770"/>
      <c r="LE399" s="770"/>
      <c r="LF399" s="770"/>
      <c r="LG399" s="770"/>
      <c r="LH399" s="770"/>
      <c r="LI399" s="770"/>
      <c r="LJ399" s="770"/>
      <c r="LK399" s="770"/>
      <c r="LL399" s="770"/>
      <c r="LM399" s="770"/>
      <c r="LN399" s="766"/>
      <c r="LO399" s="766"/>
      <c r="LP399" s="770"/>
      <c r="LQ399" s="770"/>
      <c r="LR399" s="770"/>
      <c r="LS399" s="770"/>
      <c r="LT399" s="770"/>
      <c r="LU399" s="770"/>
      <c r="LV399" s="770"/>
      <c r="LW399" s="770"/>
      <c r="LX399" s="769"/>
      <c r="LY399" s="766" t="str">
        <f t="shared" si="100"/>
        <v/>
      </c>
      <c r="LZ399" s="299"/>
      <c r="MA399" s="1709"/>
      <c r="MB399" s="1709"/>
      <c r="MC399" s="1679">
        <f t="shared" si="99"/>
        <v>0</v>
      </c>
      <c r="MD399" s="1709"/>
      <c r="ME399" s="1709"/>
      <c r="MF399" s="1709"/>
      <c r="MG399" s="1680">
        <f t="shared" si="101"/>
        <v>0</v>
      </c>
      <c r="MH399" s="770"/>
      <c r="MI399" s="302"/>
      <c r="MJ399" s="302"/>
      <c r="MK399" s="302"/>
      <c r="ML399" s="302"/>
      <c r="MM399" s="302"/>
      <c r="MN399" s="302"/>
      <c r="MO399" s="302"/>
      <c r="MP399" s="302"/>
      <c r="MQ399" s="302"/>
      <c r="MR399" s="302"/>
      <c r="MS399" s="302"/>
      <c r="MT399" s="302"/>
      <c r="MU399" s="302"/>
      <c r="MV399" s="302"/>
      <c r="MW399" s="302"/>
      <c r="MX399" s="302"/>
      <c r="MY399" s="1682">
        <f t="shared" si="102"/>
        <v>0</v>
      </c>
      <c r="MZ399" s="770"/>
      <c r="NA399" s="770"/>
      <c r="NB399" s="770"/>
      <c r="NC399" s="770"/>
      <c r="ND399" s="770"/>
      <c r="NE399" s="770"/>
      <c r="NF399" s="770"/>
      <c r="NG399" s="770"/>
      <c r="NH399" s="770"/>
      <c r="NI399" s="770"/>
      <c r="NJ399" s="770"/>
      <c r="NK399" s="770"/>
      <c r="NL399" s="770"/>
      <c r="NM399" s="770"/>
      <c r="NN399" s="770"/>
      <c r="NO399" s="770"/>
      <c r="NP399" s="770"/>
      <c r="NQ399" s="770"/>
      <c r="NR399" s="770"/>
      <c r="NS399" s="770"/>
      <c r="NT399" s="770"/>
      <c r="NU399" s="770"/>
      <c r="NV399" s="770"/>
      <c r="NW399" s="770"/>
      <c r="NX399" s="770"/>
      <c r="NY399" s="770"/>
      <c r="NZ399" s="770"/>
      <c r="OA399" s="770"/>
      <c r="OB399" s="770"/>
      <c r="OC399" s="770"/>
      <c r="OD399" s="770"/>
      <c r="OE399" s="770"/>
      <c r="OF399" s="770"/>
      <c r="OG399" s="770"/>
      <c r="OH399" s="770"/>
      <c r="OI399" s="770"/>
      <c r="OJ399" s="770"/>
      <c r="OK399" s="770"/>
      <c r="OL399" s="770"/>
      <c r="OM399" s="770"/>
      <c r="ON399" s="770"/>
      <c r="OO399" s="770"/>
      <c r="OP399" s="770"/>
      <c r="OQ399" s="770"/>
      <c r="OR399" s="770"/>
      <c r="OS399" s="770"/>
      <c r="OT399" s="770"/>
      <c r="OU399" s="770"/>
      <c r="OV399" s="770"/>
      <c r="OW399" s="770"/>
      <c r="OX399" s="770"/>
      <c r="OY399" s="770"/>
      <c r="OZ399" s="770"/>
      <c r="PA399" s="770"/>
      <c r="PB399" s="770"/>
      <c r="PC399" s="770"/>
      <c r="PD399" s="770"/>
      <c r="PE399" s="770"/>
      <c r="PF399" s="770"/>
      <c r="PG399" s="770"/>
      <c r="PH399" s="770"/>
      <c r="PI399" s="770"/>
      <c r="PJ399" s="770"/>
      <c r="PK399" s="770"/>
      <c r="PL399" s="770"/>
      <c r="PM399" s="770"/>
      <c r="PN399" s="770"/>
      <c r="PO399" s="770"/>
      <c r="PP399" s="770"/>
      <c r="PQ399" s="770"/>
      <c r="PR399" s="770"/>
      <c r="PS399" s="770"/>
      <c r="PT399" s="770"/>
      <c r="PU399" s="770"/>
      <c r="PV399" s="770"/>
      <c r="PW399" s="770"/>
      <c r="PX399" s="770"/>
      <c r="PY399" s="770"/>
      <c r="PZ399" s="770"/>
      <c r="QA399" s="770"/>
      <c r="QB399" s="770"/>
      <c r="QC399" s="770"/>
      <c r="QD399" s="770"/>
      <c r="QE399" s="770"/>
      <c r="QF399" s="770"/>
      <c r="QG399" s="770"/>
      <c r="QH399" s="770"/>
      <c r="QI399" s="770"/>
      <c r="QJ399" s="770"/>
      <c r="QK399" s="770"/>
      <c r="QL399" s="770"/>
      <c r="QM399" s="770"/>
      <c r="QN399" s="770"/>
      <c r="QO399" s="770"/>
      <c r="QP399" s="770"/>
      <c r="QQ399" s="770"/>
      <c r="QR399" s="770"/>
      <c r="QS399" s="770"/>
      <c r="QT399" s="770"/>
      <c r="QU399" s="770"/>
      <c r="QV399" s="770"/>
      <c r="QW399" s="770"/>
      <c r="QX399" s="770"/>
      <c r="QY399" s="770"/>
      <c r="QZ399" s="770"/>
      <c r="RA399" s="770"/>
      <c r="RB399" s="770"/>
      <c r="RC399" s="770"/>
      <c r="RD399" s="770"/>
      <c r="RE399" s="770"/>
      <c r="RF399" s="304"/>
      <c r="RG399" s="770"/>
      <c r="RH399" s="302"/>
      <c r="RI399" s="770"/>
      <c r="RJ399" s="770" t="s">
        <v>13513</v>
      </c>
      <c r="RK399" s="770" t="s">
        <v>13401</v>
      </c>
      <c r="RL399" s="1710"/>
      <c r="RM399" s="12"/>
      <c r="RN399" s="1711"/>
      <c r="RO399" s="140" t="s">
        <v>659</v>
      </c>
      <c r="RP399" s="11"/>
      <c r="RQ399" s="11"/>
      <c r="RR399" s="771"/>
      <c r="RS399" s="767"/>
      <c r="RT399" s="11"/>
      <c r="RU399" s="11"/>
      <c r="RV399" s="771" t="s">
        <v>7419</v>
      </c>
      <c r="RW399" s="11" t="s">
        <v>5714</v>
      </c>
      <c r="RX399" s="11" t="s">
        <v>659</v>
      </c>
      <c r="RY399" s="11"/>
      <c r="RZ399" s="11"/>
      <c r="SA399" s="771"/>
      <c r="SB399" s="11"/>
      <c r="SC399" s="11"/>
    </row>
    <row r="400" spans="1:497" ht="12.75" hidden="1" customHeight="1">
      <c r="A400" s="154" t="s">
        <v>7419</v>
      </c>
      <c r="B400" s="292" t="s">
        <v>7666</v>
      </c>
      <c r="C400" s="140" t="s">
        <v>664</v>
      </c>
      <c r="D400" s="770" t="s">
        <v>2026</v>
      </c>
      <c r="E400" s="770" t="s">
        <v>661</v>
      </c>
      <c r="F400" s="770" t="s">
        <v>28</v>
      </c>
      <c r="G400" s="770" t="s">
        <v>10</v>
      </c>
      <c r="H400" s="770"/>
      <c r="I400" s="295" t="s">
        <v>5721</v>
      </c>
      <c r="J400" s="770" t="s">
        <v>2026</v>
      </c>
      <c r="K400" s="770"/>
      <c r="L400" s="770"/>
      <c r="M400" s="770"/>
      <c r="N400" s="770"/>
      <c r="O400" s="770"/>
      <c r="P400" s="770" t="s">
        <v>958</v>
      </c>
      <c r="Q400" s="1088"/>
      <c r="R400" s="297"/>
      <c r="S400" s="770"/>
      <c r="T400" s="770"/>
      <c r="U400" s="298"/>
      <c r="V400" s="770"/>
      <c r="W400" s="770"/>
      <c r="X400" s="296"/>
      <c r="Y400" s="766"/>
      <c r="Z400" s="770"/>
      <c r="AA400" s="770"/>
      <c r="AB400" s="770"/>
      <c r="AC400" s="770"/>
      <c r="AD400" s="770"/>
      <c r="AE400" s="770"/>
      <c r="AF400" s="770"/>
      <c r="AG400" s="766" t="s">
        <v>1095</v>
      </c>
      <c r="AH400" s="766" t="s">
        <v>1096</v>
      </c>
      <c r="AI400" s="770" t="s">
        <v>1194</v>
      </c>
      <c r="AJ400" s="770"/>
      <c r="AK400" s="766" t="s">
        <v>1097</v>
      </c>
      <c r="AL400" s="299">
        <v>170.78</v>
      </c>
      <c r="AM400" s="300">
        <v>35.375999999999998</v>
      </c>
      <c r="AN400" s="301">
        <v>0.21</v>
      </c>
      <c r="AO400" s="766" t="s">
        <v>1149</v>
      </c>
      <c r="AP400" s="766"/>
      <c r="AQ400" s="766"/>
      <c r="AR400" s="766"/>
      <c r="AS400" s="770" t="s">
        <v>1207</v>
      </c>
      <c r="AT400" s="770" t="s">
        <v>1208</v>
      </c>
      <c r="AU400" s="770"/>
      <c r="AV400" s="770"/>
      <c r="AW400" s="770"/>
      <c r="AX400" s="770"/>
      <c r="AY400" s="770"/>
      <c r="AZ400" s="770"/>
      <c r="BA400" s="770"/>
      <c r="BB400" s="770"/>
      <c r="BC400" s="770" t="s">
        <v>796</v>
      </c>
      <c r="BD400" s="770" t="s">
        <v>1207</v>
      </c>
      <c r="BE400" s="770"/>
      <c r="BF400" s="302"/>
      <c r="BG400" s="302"/>
      <c r="BH400" s="770"/>
      <c r="BI400" s="770"/>
      <c r="BJ400" s="770"/>
      <c r="BK400" s="770" t="s">
        <v>1095</v>
      </c>
      <c r="BL400" s="770" t="s">
        <v>1194</v>
      </c>
      <c r="BM400" s="766" t="s">
        <v>1096</v>
      </c>
      <c r="BN400" s="770" t="s">
        <v>1230</v>
      </c>
      <c r="BO400" s="770" t="s">
        <v>1275</v>
      </c>
      <c r="BP400" s="780">
        <v>512.33000000000004</v>
      </c>
      <c r="BQ400" s="772">
        <v>106.128</v>
      </c>
      <c r="BR400" s="774">
        <v>0.18459999999999999</v>
      </c>
      <c r="BS400" s="6" t="s">
        <v>1242</v>
      </c>
      <c r="BT400" s="766" t="s">
        <v>2040</v>
      </c>
      <c r="BU400" s="769"/>
      <c r="BV400" s="770" t="s">
        <v>1383</v>
      </c>
      <c r="BW400" s="769"/>
      <c r="BX400" s="302"/>
      <c r="BY400" s="303"/>
      <c r="BZ400" s="770"/>
      <c r="CA400" s="302"/>
      <c r="CB400" s="302"/>
      <c r="CC400" s="770"/>
      <c r="CD400" s="770"/>
      <c r="CE400" s="770"/>
      <c r="CF400" s="770"/>
      <c r="CG400" s="770"/>
      <c r="CH400" s="770"/>
      <c r="CI400" s="770"/>
      <c r="CJ400" s="770"/>
      <c r="CK400" s="770"/>
      <c r="CL400" s="770"/>
      <c r="CM400" s="770"/>
      <c r="CN400" s="770"/>
      <c r="CO400" s="770"/>
      <c r="CP400" s="770"/>
      <c r="CQ400" s="770"/>
      <c r="CR400" s="770"/>
      <c r="CS400" s="302"/>
      <c r="CT400" s="770"/>
      <c r="CU400" s="305"/>
      <c r="CV400" s="770"/>
      <c r="CW400" s="770"/>
      <c r="CX400" s="770"/>
      <c r="CY400" s="770"/>
      <c r="CZ400" s="770"/>
      <c r="DA400" s="770"/>
      <c r="DB400" s="770"/>
      <c r="DC400" s="770"/>
      <c r="DD400" s="770"/>
      <c r="DE400" s="770"/>
      <c r="DF400" s="770"/>
      <c r="DG400" s="770"/>
      <c r="DH400" s="770"/>
      <c r="DI400" s="770"/>
      <c r="DJ400" s="770"/>
      <c r="DK400" s="770"/>
      <c r="DL400" s="770"/>
      <c r="DM400" s="770"/>
      <c r="DN400" s="770"/>
      <c r="DO400" s="770"/>
      <c r="DP400" s="770"/>
      <c r="DQ400" s="770"/>
      <c r="DR400" s="770"/>
      <c r="DS400" s="307"/>
      <c r="DT400" s="770"/>
      <c r="DU400" s="770"/>
      <c r="DV400" s="770"/>
      <c r="DW400" s="306"/>
      <c r="DX400" s="306"/>
      <c r="DY400" s="770"/>
      <c r="DZ400" s="770"/>
      <c r="EA400" s="770"/>
      <c r="EB400" s="770"/>
      <c r="EC400" s="770"/>
      <c r="ED400" s="770"/>
      <c r="EE400" s="770"/>
      <c r="EF400" s="770"/>
      <c r="EG400" s="770"/>
      <c r="EH400" s="770"/>
      <c r="EI400" s="770"/>
      <c r="EJ400" s="770"/>
      <c r="EK400" s="770"/>
      <c r="EL400" s="770"/>
      <c r="EM400" s="770"/>
      <c r="EN400" s="770"/>
      <c r="EO400" s="770"/>
      <c r="EP400" s="770"/>
      <c r="EQ400" s="770"/>
      <c r="ER400" s="770"/>
      <c r="ES400" s="770"/>
      <c r="ET400" s="770"/>
      <c r="EU400" s="770"/>
      <c r="EV400" s="770"/>
      <c r="EW400" s="770"/>
      <c r="EX400" s="770"/>
      <c r="EY400" s="770"/>
      <c r="EZ400" s="770"/>
      <c r="FA400" s="770"/>
      <c r="FB400" s="770"/>
      <c r="FC400" s="770"/>
      <c r="FD400" s="302"/>
      <c r="FE400" s="770"/>
      <c r="FF400" s="770"/>
      <c r="FG400" s="770"/>
      <c r="FH400" s="770" t="s">
        <v>478</v>
      </c>
      <c r="FI400" s="770">
        <v>3</v>
      </c>
      <c r="FJ400" s="770"/>
      <c r="FK400" s="770"/>
      <c r="FL400" s="770"/>
      <c r="FM400" s="302"/>
      <c r="FN400" s="302"/>
      <c r="FO400" s="302"/>
      <c r="FP400" s="770"/>
      <c r="FQ400" s="770"/>
      <c r="FR400" s="770"/>
      <c r="FS400" s="770"/>
      <c r="FT400" s="770"/>
      <c r="FU400" s="770"/>
      <c r="FV400" s="770"/>
      <c r="FW400" s="770"/>
      <c r="FX400" s="770"/>
      <c r="FY400" s="770"/>
      <c r="FZ400" s="770"/>
      <c r="GA400" s="770"/>
      <c r="GB400" s="770"/>
      <c r="GC400" s="308"/>
      <c r="GD400" s="297"/>
      <c r="GE400" s="770"/>
      <c r="GF400" s="302"/>
      <c r="GG400" s="302"/>
      <c r="GH400" s="770"/>
      <c r="GI400" s="770"/>
      <c r="GJ400" s="770"/>
      <c r="GK400" s="770"/>
      <c r="GL400" s="770"/>
      <c r="GM400" s="770"/>
      <c r="GN400" s="309"/>
      <c r="GO400" s="770"/>
      <c r="GP400" s="770"/>
      <c r="GQ400" s="770"/>
      <c r="GR400" s="770"/>
      <c r="GS400" s="770"/>
      <c r="GT400" s="770"/>
      <c r="GU400" s="770"/>
      <c r="GV400" s="770"/>
      <c r="GW400" s="770"/>
      <c r="GX400" s="770"/>
      <c r="GY400" s="770"/>
      <c r="GZ400" s="770"/>
      <c r="HA400" s="770"/>
      <c r="HB400" s="770"/>
      <c r="HC400" s="770"/>
      <c r="HD400" s="770"/>
      <c r="HE400" s="770"/>
      <c r="HF400" s="770"/>
      <c r="HG400" s="770"/>
      <c r="HH400" s="770"/>
      <c r="HI400" s="770"/>
      <c r="HJ400" s="770"/>
      <c r="HK400" s="770"/>
      <c r="HL400" s="770"/>
      <c r="HM400" s="770"/>
      <c r="HN400" s="770"/>
      <c r="HO400" s="770"/>
      <c r="HP400" s="770"/>
      <c r="HQ400" s="770"/>
      <c r="HR400" s="770"/>
      <c r="HS400" s="770"/>
      <c r="HT400" s="770"/>
      <c r="HU400" s="770"/>
      <c r="HV400" s="770"/>
      <c r="HW400" s="770"/>
      <c r="HX400" s="770"/>
      <c r="HY400" s="770"/>
      <c r="HZ400" s="770"/>
      <c r="IA400" s="770"/>
      <c r="IB400" s="14" t="e">
        <f>IF(#REF!&gt;0,IF(#REF!&lt;=10000,"Y",""),"")</f>
        <v>#REF!</v>
      </c>
      <c r="IC400" s="770"/>
      <c r="ID400" s="770"/>
      <c r="IE400" s="770"/>
      <c r="IF400" s="770"/>
      <c r="IG400" s="770"/>
      <c r="IH400" s="770"/>
      <c r="II400" s="770"/>
      <c r="IJ400" s="770"/>
      <c r="IK400" s="770"/>
      <c r="IL400" s="770"/>
      <c r="IM400" s="770"/>
      <c r="IN400" s="770"/>
      <c r="IO400" s="296"/>
      <c r="IP400" s="770"/>
      <c r="IQ400" s="770"/>
      <c r="IR400" s="770"/>
      <c r="IS400" s="770"/>
      <c r="IT400" s="770"/>
      <c r="IU400" s="770"/>
      <c r="IV400" s="770"/>
      <c r="IW400" s="770"/>
      <c r="IX400" s="770"/>
      <c r="IY400" s="770"/>
      <c r="IZ400" s="770"/>
      <c r="JA400" s="770"/>
      <c r="JB400" s="770"/>
      <c r="JC400" s="770"/>
      <c r="JD400" s="302"/>
      <c r="JE400" s="770"/>
      <c r="JF400" s="770"/>
      <c r="JG400" s="770"/>
      <c r="JH400" s="770"/>
      <c r="JI400" s="770"/>
      <c r="JJ400" s="770"/>
      <c r="JK400" s="770"/>
      <c r="JL400" s="770"/>
      <c r="JM400" s="770"/>
      <c r="JN400" s="770"/>
      <c r="JO400" s="770"/>
      <c r="JP400" s="770"/>
      <c r="JQ400" s="770"/>
      <c r="JR400" s="770"/>
      <c r="JS400" s="770"/>
      <c r="JT400" s="766"/>
      <c r="JU400" s="766"/>
      <c r="JV400" s="766"/>
      <c r="JW400" s="766"/>
      <c r="JX400" s="770"/>
      <c r="JY400" s="770"/>
      <c r="JZ400" s="770"/>
      <c r="KA400" s="770"/>
      <c r="KB400" s="770"/>
      <c r="KC400" s="770"/>
      <c r="KD400" s="770"/>
      <c r="KE400" s="770"/>
      <c r="KF400" s="770"/>
      <c r="KG400" s="770"/>
      <c r="KH400" s="770"/>
      <c r="KI400" s="770"/>
      <c r="KJ400" s="770"/>
      <c r="KK400" s="770"/>
      <c r="KL400" s="770"/>
      <c r="KM400" s="770"/>
      <c r="KN400" s="770"/>
      <c r="KO400" s="770"/>
      <c r="KP400" s="770"/>
      <c r="KQ400" s="770"/>
      <c r="KR400" s="770"/>
      <c r="KS400" s="770"/>
      <c r="KT400" s="770"/>
      <c r="KU400" s="770"/>
      <c r="KV400" s="770"/>
      <c r="KW400" s="770"/>
      <c r="KX400" s="770"/>
      <c r="KY400" s="770"/>
      <c r="KZ400" s="770"/>
      <c r="LA400" s="770"/>
      <c r="LB400" s="770"/>
      <c r="LC400" s="770"/>
      <c r="LD400" s="770"/>
      <c r="LE400" s="770"/>
      <c r="LF400" s="770"/>
      <c r="LG400" s="770"/>
      <c r="LH400" s="770"/>
      <c r="LI400" s="770"/>
      <c r="LJ400" s="770"/>
      <c r="LK400" s="770"/>
      <c r="LL400" s="770"/>
      <c r="LM400" s="770"/>
      <c r="LN400" s="766"/>
      <c r="LO400" s="766"/>
      <c r="LP400" s="770"/>
      <c r="LQ400" s="770"/>
      <c r="LR400" s="770"/>
      <c r="LS400" s="770"/>
      <c r="LT400" s="770"/>
      <c r="LU400" s="770"/>
      <c r="LV400" s="770"/>
      <c r="LW400" s="770"/>
      <c r="LX400" s="769"/>
      <c r="LY400" s="766" t="str">
        <f t="shared" si="100"/>
        <v/>
      </c>
      <c r="LZ400" s="299"/>
      <c r="MA400" s="1709"/>
      <c r="MB400" s="1709"/>
      <c r="MC400" s="1679">
        <f t="shared" si="99"/>
        <v>0</v>
      </c>
      <c r="MD400" s="1709"/>
      <c r="ME400" s="1709"/>
      <c r="MF400" s="1709"/>
      <c r="MG400" s="1680">
        <f t="shared" si="101"/>
        <v>0</v>
      </c>
      <c r="MH400" s="770"/>
      <c r="MI400" s="302"/>
      <c r="MJ400" s="302"/>
      <c r="MK400" s="302"/>
      <c r="ML400" s="302"/>
      <c r="MM400" s="302"/>
      <c r="MN400" s="302"/>
      <c r="MO400" s="302"/>
      <c r="MP400" s="302"/>
      <c r="MQ400" s="302"/>
      <c r="MR400" s="302"/>
      <c r="MS400" s="302"/>
      <c r="MT400" s="302"/>
      <c r="MU400" s="302"/>
      <c r="MV400" s="302"/>
      <c r="MW400" s="302"/>
      <c r="MX400" s="302"/>
      <c r="MY400" s="1682">
        <f t="shared" si="102"/>
        <v>0</v>
      </c>
      <c r="MZ400" s="770"/>
      <c r="NA400" s="770"/>
      <c r="NB400" s="770"/>
      <c r="NC400" s="770"/>
      <c r="ND400" s="770"/>
      <c r="NE400" s="770"/>
      <c r="NF400" s="770"/>
      <c r="NG400" s="770"/>
      <c r="NH400" s="770"/>
      <c r="NI400" s="770"/>
      <c r="NJ400" s="770"/>
      <c r="NK400" s="770"/>
      <c r="NL400" s="770"/>
      <c r="NM400" s="770"/>
      <c r="NN400" s="770"/>
      <c r="NO400" s="770"/>
      <c r="NP400" s="770"/>
      <c r="NQ400" s="770"/>
      <c r="NR400" s="770"/>
      <c r="NS400" s="770"/>
      <c r="NT400" s="770"/>
      <c r="NU400" s="770"/>
      <c r="NV400" s="770"/>
      <c r="NW400" s="770"/>
      <c r="NX400" s="770"/>
      <c r="NY400" s="770"/>
      <c r="NZ400" s="770"/>
      <c r="OA400" s="770"/>
      <c r="OB400" s="770"/>
      <c r="OC400" s="770"/>
      <c r="OD400" s="770"/>
      <c r="OE400" s="770"/>
      <c r="OF400" s="770"/>
      <c r="OG400" s="770"/>
      <c r="OH400" s="770"/>
      <c r="OI400" s="770"/>
      <c r="OJ400" s="770"/>
      <c r="OK400" s="770"/>
      <c r="OL400" s="770"/>
      <c r="OM400" s="770"/>
      <c r="ON400" s="770"/>
      <c r="OO400" s="770"/>
      <c r="OP400" s="770"/>
      <c r="OQ400" s="770"/>
      <c r="OR400" s="770"/>
      <c r="OS400" s="770"/>
      <c r="OT400" s="770"/>
      <c r="OU400" s="770"/>
      <c r="OV400" s="770"/>
      <c r="OW400" s="770"/>
      <c r="OX400" s="770"/>
      <c r="OY400" s="770"/>
      <c r="OZ400" s="770"/>
      <c r="PA400" s="770"/>
      <c r="PB400" s="770"/>
      <c r="PC400" s="770"/>
      <c r="PD400" s="770"/>
      <c r="PE400" s="770"/>
      <c r="PF400" s="770"/>
      <c r="PG400" s="770"/>
      <c r="PH400" s="770"/>
      <c r="PI400" s="770"/>
      <c r="PJ400" s="770"/>
      <c r="PK400" s="770"/>
      <c r="PL400" s="770"/>
      <c r="PM400" s="770"/>
      <c r="PN400" s="770"/>
      <c r="PO400" s="770"/>
      <c r="PP400" s="770"/>
      <c r="PQ400" s="770"/>
      <c r="PR400" s="770"/>
      <c r="PS400" s="770"/>
      <c r="PT400" s="770"/>
      <c r="PU400" s="770"/>
      <c r="PV400" s="770"/>
      <c r="PW400" s="770"/>
      <c r="PX400" s="770"/>
      <c r="PY400" s="770"/>
      <c r="PZ400" s="770"/>
      <c r="QA400" s="770"/>
      <c r="QB400" s="770"/>
      <c r="QC400" s="770"/>
      <c r="QD400" s="770"/>
      <c r="QE400" s="770"/>
      <c r="QF400" s="770"/>
      <c r="QG400" s="770"/>
      <c r="QH400" s="770"/>
      <c r="QI400" s="770"/>
      <c r="QJ400" s="770"/>
      <c r="QK400" s="770"/>
      <c r="QL400" s="770"/>
      <c r="QM400" s="770"/>
      <c r="QN400" s="770"/>
      <c r="QO400" s="770"/>
      <c r="QP400" s="770"/>
      <c r="QQ400" s="770"/>
      <c r="QR400" s="770"/>
      <c r="QS400" s="770"/>
      <c r="QT400" s="770"/>
      <c r="QU400" s="770"/>
      <c r="QV400" s="770"/>
      <c r="QW400" s="770"/>
      <c r="QX400" s="770"/>
      <c r="QY400" s="770"/>
      <c r="QZ400" s="770"/>
      <c r="RA400" s="770"/>
      <c r="RB400" s="770"/>
      <c r="RC400" s="770"/>
      <c r="RD400" s="770"/>
      <c r="RE400" s="770"/>
      <c r="RF400" s="304"/>
      <c r="RG400" s="770"/>
      <c r="RH400" s="302"/>
      <c r="RI400" s="770"/>
      <c r="RJ400" s="770"/>
      <c r="RK400" s="770"/>
      <c r="RL400" s="1710"/>
      <c r="RM400" s="12"/>
      <c r="RN400" s="1711"/>
      <c r="RO400" s="140" t="s">
        <v>664</v>
      </c>
      <c r="RP400" s="11"/>
      <c r="RQ400" s="11"/>
      <c r="RR400" s="771"/>
      <c r="RS400" s="767"/>
      <c r="RT400" s="11"/>
      <c r="RU400" s="11"/>
      <c r="RV400" s="771" t="s">
        <v>8101</v>
      </c>
      <c r="RW400" s="11" t="s">
        <v>5719</v>
      </c>
      <c r="RX400" s="11" t="s">
        <v>659</v>
      </c>
      <c r="RY400" s="11"/>
      <c r="RZ400" s="11" t="s">
        <v>2209</v>
      </c>
      <c r="SA400" s="771"/>
      <c r="SB400" s="11"/>
      <c r="SC400" s="11"/>
    </row>
    <row r="401" spans="1:497" ht="12.75" hidden="1" customHeight="1">
      <c r="A401" s="154" t="s">
        <v>14196</v>
      </c>
      <c r="B401" s="292" t="s">
        <v>5730</v>
      </c>
      <c r="C401" s="140" t="s">
        <v>664</v>
      </c>
      <c r="D401" s="770" t="s">
        <v>2026</v>
      </c>
      <c r="E401" s="770" t="s">
        <v>661</v>
      </c>
      <c r="F401" s="770" t="s">
        <v>28</v>
      </c>
      <c r="G401" s="770" t="s">
        <v>10</v>
      </c>
      <c r="H401" s="770"/>
      <c r="I401" s="295" t="s">
        <v>5721</v>
      </c>
      <c r="J401" s="770" t="s">
        <v>2026</v>
      </c>
      <c r="K401" s="770"/>
      <c r="L401" s="770"/>
      <c r="M401" s="770"/>
      <c r="N401" s="770"/>
      <c r="O401" s="770"/>
      <c r="P401" s="770" t="s">
        <v>2026</v>
      </c>
      <c r="Q401" s="1088">
        <v>21238</v>
      </c>
      <c r="R401" s="297">
        <v>59</v>
      </c>
      <c r="S401" s="770" t="s">
        <v>10</v>
      </c>
      <c r="T401" s="770"/>
      <c r="U401" s="295" t="s">
        <v>5721</v>
      </c>
      <c r="V401" s="770" t="s">
        <v>722</v>
      </c>
      <c r="W401" s="770" t="s">
        <v>11766</v>
      </c>
      <c r="X401" s="296">
        <v>23845</v>
      </c>
      <c r="Y401" s="770" t="s">
        <v>661</v>
      </c>
      <c r="Z401" s="770"/>
      <c r="AA401" s="770"/>
      <c r="AB401" s="770"/>
      <c r="AC401" s="770"/>
      <c r="AD401" s="770"/>
      <c r="AE401" s="770"/>
      <c r="AF401" s="770"/>
      <c r="AG401" s="770"/>
      <c r="AH401" s="770"/>
      <c r="AI401" s="770"/>
      <c r="AJ401" s="770"/>
      <c r="AK401" s="770" t="s">
        <v>1899</v>
      </c>
      <c r="AL401" s="12"/>
      <c r="AM401" s="12"/>
      <c r="AN401" s="12"/>
      <c r="AO401" s="12"/>
      <c r="AP401" s="12"/>
      <c r="AQ401" s="766"/>
      <c r="AR401" s="766"/>
      <c r="AS401" s="770"/>
      <c r="AT401" s="770"/>
      <c r="AU401" s="770"/>
      <c r="AV401" s="770"/>
      <c r="AW401" s="770"/>
      <c r="AX401" s="770"/>
      <c r="AY401" s="770"/>
      <c r="AZ401" s="770"/>
      <c r="BA401" s="770"/>
      <c r="BB401" s="770"/>
      <c r="BC401" s="770"/>
      <c r="BD401" s="770"/>
      <c r="BE401" s="770"/>
      <c r="BF401" s="302"/>
      <c r="BG401" s="302"/>
      <c r="BH401" s="770"/>
      <c r="BI401" s="770"/>
      <c r="BJ401" s="770"/>
      <c r="BK401" s="770"/>
      <c r="BL401" s="770"/>
      <c r="BM401" s="770" t="s">
        <v>1238</v>
      </c>
      <c r="BN401" s="770" t="s">
        <v>1256</v>
      </c>
      <c r="BO401" s="770"/>
      <c r="BP401" s="780"/>
      <c r="BQ401" s="772"/>
      <c r="BR401" s="774"/>
      <c r="BS401" s="6" t="s">
        <v>1149</v>
      </c>
      <c r="BT401" s="766"/>
      <c r="BU401" s="770"/>
      <c r="BV401" s="770"/>
      <c r="BW401" s="770"/>
      <c r="BX401" s="302"/>
      <c r="BY401" s="303"/>
      <c r="BZ401" s="770"/>
      <c r="CA401" s="302"/>
      <c r="CB401" s="302" t="s">
        <v>1207</v>
      </c>
      <c r="CC401" s="770"/>
      <c r="CD401" s="770"/>
      <c r="CE401" s="770"/>
      <c r="CF401" s="304"/>
      <c r="CG401" s="321"/>
      <c r="CH401" s="770"/>
      <c r="CI401" s="770" t="s">
        <v>5651</v>
      </c>
      <c r="CJ401" s="770" t="s">
        <v>5652</v>
      </c>
      <c r="CK401" s="770"/>
      <c r="CL401" s="770"/>
      <c r="CM401" s="770"/>
      <c r="CN401" s="770"/>
      <c r="CO401" s="770"/>
      <c r="CP401" s="770"/>
      <c r="CQ401" s="770"/>
      <c r="CR401" s="770"/>
      <c r="CS401" s="302"/>
      <c r="CT401" s="770"/>
      <c r="CU401" s="305"/>
      <c r="CV401" s="770"/>
      <c r="CW401" s="770"/>
      <c r="CX401" s="770"/>
      <c r="CY401" s="770"/>
      <c r="CZ401" s="770"/>
      <c r="DA401" s="306"/>
      <c r="DB401" s="770"/>
      <c r="DC401" s="770"/>
      <c r="DD401" s="770"/>
      <c r="DE401" s="300"/>
      <c r="DF401" s="770"/>
      <c r="DG401" s="770"/>
      <c r="DH401" s="770"/>
      <c r="DI401" s="770"/>
      <c r="DJ401" s="770"/>
      <c r="DK401" s="770"/>
      <c r="DL401" s="770"/>
      <c r="DM401" s="770"/>
      <c r="DN401" s="322"/>
      <c r="DO401" s="770"/>
      <c r="DP401" s="770"/>
      <c r="DQ401" s="770"/>
      <c r="DR401" s="770"/>
      <c r="DS401" s="307"/>
      <c r="DT401" s="770"/>
      <c r="DU401" s="770"/>
      <c r="DV401" s="770"/>
      <c r="DW401" s="306"/>
      <c r="DX401" s="306"/>
      <c r="DY401" s="770"/>
      <c r="DZ401" s="770"/>
      <c r="EA401" s="770"/>
      <c r="EB401" s="770"/>
      <c r="EC401" s="770"/>
      <c r="ED401" s="770"/>
      <c r="EE401" s="770"/>
      <c r="EF401" s="770"/>
      <c r="EG401" s="770"/>
      <c r="EH401" s="770"/>
      <c r="EI401" s="770"/>
      <c r="EJ401" s="770"/>
      <c r="EK401" s="770"/>
      <c r="EL401" s="770"/>
      <c r="EM401" s="770"/>
      <c r="EN401" s="770"/>
      <c r="EO401" s="770"/>
      <c r="EP401" s="94"/>
      <c r="EQ401" s="770"/>
      <c r="ER401" s="770"/>
      <c r="ES401" s="770"/>
      <c r="ET401" s="770"/>
      <c r="EU401" s="770"/>
      <c r="EV401" s="770"/>
      <c r="EW401" s="770"/>
      <c r="EX401" s="770"/>
      <c r="EY401" s="770"/>
      <c r="EZ401" s="770"/>
      <c r="FA401" s="770"/>
      <c r="FB401" s="770"/>
      <c r="FC401" s="770"/>
      <c r="FD401" s="302"/>
      <c r="FE401" s="770"/>
      <c r="FF401" s="770" t="s">
        <v>1589</v>
      </c>
      <c r="FG401" s="770"/>
      <c r="FH401" s="770" t="s">
        <v>1306</v>
      </c>
      <c r="FI401" s="770">
        <v>1</v>
      </c>
      <c r="FJ401" s="770" t="s">
        <v>1672</v>
      </c>
      <c r="FK401" s="770" t="s">
        <v>1673</v>
      </c>
      <c r="FL401" s="770" t="s">
        <v>1674</v>
      </c>
      <c r="FM401" s="147">
        <v>3000</v>
      </c>
      <c r="FN401" s="302">
        <v>300</v>
      </c>
      <c r="FO401" s="302">
        <v>800</v>
      </c>
      <c r="FP401" s="770" t="s">
        <v>1602</v>
      </c>
      <c r="FQ401" s="770" t="s">
        <v>1660</v>
      </c>
      <c r="FR401" s="770"/>
      <c r="FS401" s="770"/>
      <c r="FT401" s="770"/>
      <c r="FU401" s="770"/>
      <c r="FV401" s="770"/>
      <c r="FW401" s="770"/>
      <c r="FX401" s="770"/>
      <c r="FY401" s="770"/>
      <c r="FZ401" s="770"/>
      <c r="GA401" s="770"/>
      <c r="GB401" s="770"/>
      <c r="GC401" s="308"/>
      <c r="GD401" s="297"/>
      <c r="GE401" s="770"/>
      <c r="GF401" s="302"/>
      <c r="GG401" s="302"/>
      <c r="GH401" s="770"/>
      <c r="GI401" s="770"/>
      <c r="GJ401" s="770"/>
      <c r="GK401" s="770"/>
      <c r="GL401" s="770"/>
      <c r="GM401" s="770"/>
      <c r="GN401" s="309"/>
      <c r="GO401" s="770"/>
      <c r="GP401" s="770"/>
      <c r="GQ401" s="770"/>
      <c r="GR401" s="770"/>
      <c r="GS401" s="770"/>
      <c r="GT401" s="770"/>
      <c r="GU401" s="770"/>
      <c r="GV401" s="770"/>
      <c r="GW401" s="770"/>
      <c r="GX401" s="770"/>
      <c r="GY401" s="770"/>
      <c r="GZ401" s="770"/>
      <c r="HA401" s="770"/>
      <c r="HB401" s="770"/>
      <c r="HC401" s="770"/>
      <c r="HD401" s="770"/>
      <c r="HE401" s="770"/>
      <c r="HF401" s="770"/>
      <c r="HG401" s="770"/>
      <c r="HH401" s="770"/>
      <c r="HI401" s="770"/>
      <c r="HJ401" s="770"/>
      <c r="HK401" s="770"/>
      <c r="HL401" s="770"/>
      <c r="HM401" s="770"/>
      <c r="HN401" s="770"/>
      <c r="HO401" s="770"/>
      <c r="HP401" s="770"/>
      <c r="HQ401" s="770"/>
      <c r="HR401" s="770"/>
      <c r="HS401" s="770"/>
      <c r="HT401" s="770"/>
      <c r="HU401" s="770"/>
      <c r="HV401" s="770"/>
      <c r="HW401" s="770"/>
      <c r="HX401" s="770"/>
      <c r="HY401" s="770"/>
      <c r="HZ401" s="770"/>
      <c r="IA401" s="770"/>
      <c r="IB401" s="14" t="e">
        <f>IF(#REF!&gt;0,IF(#REF!&lt;=10000,"Y",""),"")</f>
        <v>#REF!</v>
      </c>
      <c r="IC401" s="770"/>
      <c r="ID401" s="770"/>
      <c r="IE401" s="770"/>
      <c r="IF401" s="770" t="s">
        <v>2026</v>
      </c>
      <c r="IG401" s="770" t="s">
        <v>10</v>
      </c>
      <c r="IH401" s="770" t="s">
        <v>478</v>
      </c>
      <c r="II401" s="770" t="s">
        <v>1670</v>
      </c>
      <c r="IJ401" s="770" t="s">
        <v>1604</v>
      </c>
      <c r="IK401" s="766" t="s">
        <v>1888</v>
      </c>
      <c r="IL401" s="770" t="s">
        <v>1671</v>
      </c>
      <c r="IM401" s="770">
        <v>1998</v>
      </c>
      <c r="IN401" s="770" t="s">
        <v>2027</v>
      </c>
      <c r="IO401" s="296">
        <v>21238</v>
      </c>
      <c r="IP401" s="770" t="s">
        <v>1306</v>
      </c>
      <c r="IQ401" s="769" t="s">
        <v>5498</v>
      </c>
      <c r="IR401" s="770" t="s">
        <v>1964</v>
      </c>
      <c r="IS401" s="770" t="s">
        <v>2028</v>
      </c>
      <c r="IT401" s="770"/>
      <c r="IU401" s="770"/>
      <c r="IV401" s="770"/>
      <c r="IW401" s="770" t="s">
        <v>13514</v>
      </c>
      <c r="IX401" s="770"/>
      <c r="IY401" s="770"/>
      <c r="IZ401" s="770"/>
      <c r="JA401" s="770"/>
      <c r="JB401" s="770"/>
      <c r="JC401" s="770"/>
      <c r="JD401" s="302">
        <v>9000</v>
      </c>
      <c r="JE401" s="770"/>
      <c r="JF401" s="770"/>
      <c r="JG401" s="770"/>
      <c r="JH401" s="770"/>
      <c r="JI401" s="770"/>
      <c r="JJ401" s="770"/>
      <c r="JK401" s="770"/>
      <c r="JL401" s="770"/>
      <c r="JM401" s="770"/>
      <c r="JN401" s="770"/>
      <c r="JO401" s="770"/>
      <c r="JP401" s="770"/>
      <c r="JQ401" s="770"/>
      <c r="JR401" s="770"/>
      <c r="JS401" s="770"/>
      <c r="JT401" s="766"/>
      <c r="JU401" s="766"/>
      <c r="JV401" s="766"/>
      <c r="JW401" s="766"/>
      <c r="JX401" s="770"/>
      <c r="JY401" s="770"/>
      <c r="JZ401" s="770"/>
      <c r="KA401" s="770"/>
      <c r="KB401" s="770"/>
      <c r="KC401" s="770"/>
      <c r="KD401" s="770"/>
      <c r="KE401" s="770"/>
      <c r="KF401" s="770"/>
      <c r="KG401" s="770"/>
      <c r="KH401" s="770"/>
      <c r="KI401" s="770"/>
      <c r="KJ401" s="770"/>
      <c r="KK401" s="770"/>
      <c r="KL401" s="770"/>
      <c r="KM401" s="770"/>
      <c r="KN401" s="770"/>
      <c r="KO401" s="770"/>
      <c r="KP401" s="770"/>
      <c r="KQ401" s="770"/>
      <c r="KR401" s="770"/>
      <c r="KS401" s="770"/>
      <c r="KT401" s="770"/>
      <c r="KU401" s="770"/>
      <c r="KV401" s="770"/>
      <c r="KW401" s="770"/>
      <c r="KX401" s="770"/>
      <c r="KY401" s="770"/>
      <c r="KZ401" s="770"/>
      <c r="LA401" s="770"/>
      <c r="LB401" s="770"/>
      <c r="LC401" s="770"/>
      <c r="LD401" s="770"/>
      <c r="LE401" s="770"/>
      <c r="LF401" s="770"/>
      <c r="LG401" s="770"/>
      <c r="LH401" s="770"/>
      <c r="LI401" s="770"/>
      <c r="LJ401" s="770"/>
      <c r="LK401" s="770"/>
      <c r="LL401" s="770"/>
      <c r="LM401" s="770"/>
      <c r="LN401" s="766"/>
      <c r="LO401" s="766"/>
      <c r="LP401" s="770"/>
      <c r="LQ401" s="770"/>
      <c r="LR401" s="770"/>
      <c r="LS401" s="770"/>
      <c r="LT401" s="770"/>
      <c r="LU401" s="770"/>
      <c r="LV401" s="770"/>
      <c r="LW401" s="770"/>
      <c r="LX401" s="769"/>
      <c r="LY401" s="766" t="str">
        <f t="shared" si="100"/>
        <v/>
      </c>
      <c r="LZ401" s="299"/>
      <c r="MA401" s="306"/>
      <c r="MB401" s="306"/>
      <c r="MC401" s="1679">
        <f t="shared" si="99"/>
        <v>0</v>
      </c>
      <c r="MD401" s="306"/>
      <c r="ME401" s="306"/>
      <c r="MF401" s="306"/>
      <c r="MG401" s="1680">
        <f t="shared" si="101"/>
        <v>0</v>
      </c>
      <c r="MH401" s="770"/>
      <c r="MI401" s="302"/>
      <c r="MJ401" s="302"/>
      <c r="MK401" s="302"/>
      <c r="ML401" s="302"/>
      <c r="MM401" s="302"/>
      <c r="MN401" s="302"/>
      <c r="MO401" s="302"/>
      <c r="MP401" s="302"/>
      <c r="MQ401" s="302"/>
      <c r="MR401" s="302"/>
      <c r="MS401" s="302"/>
      <c r="MT401" s="302"/>
      <c r="MU401" s="302"/>
      <c r="MV401" s="302"/>
      <c r="MW401" s="302"/>
      <c r="MX401" s="302"/>
      <c r="MY401" s="1682">
        <f t="shared" si="102"/>
        <v>0</v>
      </c>
      <c r="MZ401" s="770"/>
      <c r="NA401" s="770"/>
      <c r="NB401" s="770"/>
      <c r="NC401" s="770"/>
      <c r="ND401" s="770"/>
      <c r="NE401" s="770"/>
      <c r="NF401" s="770"/>
      <c r="NG401" s="770"/>
      <c r="NH401" s="770"/>
      <c r="NI401" s="770"/>
      <c r="NJ401" s="770"/>
      <c r="NK401" s="770"/>
      <c r="NL401" s="770"/>
      <c r="NM401" s="770"/>
      <c r="NN401" s="770"/>
      <c r="NO401" s="770"/>
      <c r="NP401" s="770"/>
      <c r="NQ401" s="770"/>
      <c r="NR401" s="770"/>
      <c r="NS401" s="770"/>
      <c r="NT401" s="770"/>
      <c r="NU401" s="770"/>
      <c r="NV401" s="770"/>
      <c r="NW401" s="770"/>
      <c r="NX401" s="770"/>
      <c r="NY401" s="770"/>
      <c r="NZ401" s="770"/>
      <c r="OA401" s="770"/>
      <c r="OB401" s="770"/>
      <c r="OC401" s="770"/>
      <c r="OD401" s="770"/>
      <c r="OE401" s="770"/>
      <c r="OF401" s="770"/>
      <c r="OG401" s="770"/>
      <c r="OH401" s="770"/>
      <c r="OI401" s="770"/>
      <c r="OJ401" s="770"/>
      <c r="OK401" s="770"/>
      <c r="OL401" s="770"/>
      <c r="OM401" s="770"/>
      <c r="ON401" s="770"/>
      <c r="OO401" s="770"/>
      <c r="OP401" s="770"/>
      <c r="OQ401" s="770"/>
      <c r="OR401" s="770"/>
      <c r="OS401" s="770"/>
      <c r="OT401" s="770"/>
      <c r="OU401" s="770"/>
      <c r="OV401" s="770"/>
      <c r="OW401" s="770"/>
      <c r="OX401" s="770"/>
      <c r="OY401" s="770"/>
      <c r="OZ401" s="770"/>
      <c r="PA401" s="770"/>
      <c r="PB401" s="770"/>
      <c r="PC401" s="770"/>
      <c r="PD401" s="770"/>
      <c r="PE401" s="770"/>
      <c r="PF401" s="770"/>
      <c r="PG401" s="770"/>
      <c r="PH401" s="770"/>
      <c r="PI401" s="770"/>
      <c r="PJ401" s="770"/>
      <c r="PK401" s="770"/>
      <c r="PL401" s="770"/>
      <c r="PM401" s="770"/>
      <c r="PN401" s="770"/>
      <c r="PO401" s="770"/>
      <c r="PP401" s="770"/>
      <c r="PQ401" s="770"/>
      <c r="PR401" s="770"/>
      <c r="PS401" s="770"/>
      <c r="PT401" s="770"/>
      <c r="PU401" s="770"/>
      <c r="PV401" s="770"/>
      <c r="PW401" s="770"/>
      <c r="PX401" s="770"/>
      <c r="PY401" s="770"/>
      <c r="PZ401" s="770"/>
      <c r="QA401" s="770"/>
      <c r="QB401" s="770"/>
      <c r="QC401" s="770"/>
      <c r="QD401" s="770"/>
      <c r="QE401" s="770"/>
      <c r="QF401" s="770"/>
      <c r="QG401" s="770"/>
      <c r="QH401" s="770"/>
      <c r="QI401" s="770"/>
      <c r="QJ401" s="770"/>
      <c r="QK401" s="770"/>
      <c r="QL401" s="770"/>
      <c r="QM401" s="770"/>
      <c r="QN401" s="770"/>
      <c r="QO401" s="770"/>
      <c r="QP401" s="770"/>
      <c r="QQ401" s="770"/>
      <c r="QR401" s="770"/>
      <c r="QS401" s="770"/>
      <c r="QT401" s="770"/>
      <c r="QU401" s="770"/>
      <c r="QV401" s="770"/>
      <c r="QW401" s="770"/>
      <c r="QX401" s="770"/>
      <c r="QY401" s="770"/>
      <c r="QZ401" s="770"/>
      <c r="RA401" s="770"/>
      <c r="RB401" s="770"/>
      <c r="RC401" s="770"/>
      <c r="RD401" s="770"/>
      <c r="RE401" s="770"/>
      <c r="RF401" s="304"/>
      <c r="RG401" s="770"/>
      <c r="RH401" s="302"/>
      <c r="RI401" s="770"/>
      <c r="RJ401" s="770" t="s">
        <v>13515</v>
      </c>
      <c r="RK401" s="770" t="s">
        <v>13461</v>
      </c>
      <c r="RL401" s="1710"/>
      <c r="RM401" s="12"/>
      <c r="RN401" s="1711"/>
      <c r="RO401" s="140" t="s">
        <v>664</v>
      </c>
      <c r="RP401" s="11"/>
      <c r="RQ401" s="11"/>
      <c r="RR401" s="771"/>
      <c r="RS401" s="767"/>
      <c r="RT401" s="11"/>
      <c r="RU401" s="11"/>
      <c r="RV401" s="771" t="s">
        <v>8101</v>
      </c>
      <c r="RW401" s="11" t="s">
        <v>7665</v>
      </c>
      <c r="RX401" s="11" t="s">
        <v>659</v>
      </c>
      <c r="RY401" s="11"/>
      <c r="RZ401" s="11"/>
      <c r="SA401" s="771"/>
      <c r="SB401" s="11"/>
      <c r="SC401" s="11"/>
    </row>
    <row r="402" spans="1:497" ht="12.75" hidden="1" customHeight="1">
      <c r="A402" s="154" t="s">
        <v>14196</v>
      </c>
      <c r="B402" s="292" t="s">
        <v>5722</v>
      </c>
      <c r="C402" s="140" t="s">
        <v>664</v>
      </c>
      <c r="D402" s="770" t="s">
        <v>5723</v>
      </c>
      <c r="E402" s="770" t="s">
        <v>661</v>
      </c>
      <c r="F402" s="770" t="s">
        <v>20</v>
      </c>
      <c r="G402" s="770" t="s">
        <v>18</v>
      </c>
      <c r="H402" s="770"/>
      <c r="I402" s="295"/>
      <c r="J402" s="770" t="s">
        <v>5724</v>
      </c>
      <c r="K402" s="770"/>
      <c r="L402" s="770"/>
      <c r="M402" s="770"/>
      <c r="N402" s="770"/>
      <c r="O402" s="770"/>
      <c r="P402" s="770" t="s">
        <v>5724</v>
      </c>
      <c r="Q402" s="1088">
        <v>31070</v>
      </c>
      <c r="R402" s="297">
        <v>32</v>
      </c>
      <c r="S402" s="770" t="s">
        <v>10</v>
      </c>
      <c r="T402" s="770"/>
      <c r="U402" s="298"/>
      <c r="V402" s="770" t="s">
        <v>707</v>
      </c>
      <c r="W402" s="770"/>
      <c r="X402" s="296"/>
      <c r="Y402" s="770" t="s">
        <v>661</v>
      </c>
      <c r="Z402" s="770"/>
      <c r="AA402" s="770"/>
      <c r="AB402" s="770"/>
      <c r="AC402" s="770"/>
      <c r="AD402" s="770"/>
      <c r="AE402" s="770"/>
      <c r="AF402" s="770"/>
      <c r="AG402" s="770"/>
      <c r="AH402" s="770"/>
      <c r="AI402" s="770"/>
      <c r="AJ402" s="770"/>
      <c r="AK402" s="770" t="s">
        <v>1899</v>
      </c>
      <c r="AL402" s="299"/>
      <c r="AM402" s="300"/>
      <c r="AN402" s="301"/>
      <c r="AO402" s="766"/>
      <c r="AP402" s="766"/>
      <c r="AQ402" s="766"/>
      <c r="AR402" s="766"/>
      <c r="AS402" s="770"/>
      <c r="AT402" s="770"/>
      <c r="AU402" s="770"/>
      <c r="AV402" s="770"/>
      <c r="AW402" s="770"/>
      <c r="AX402" s="770"/>
      <c r="AY402" s="770"/>
      <c r="AZ402" s="770"/>
      <c r="BA402" s="770"/>
      <c r="BB402" s="770"/>
      <c r="BC402" s="770"/>
      <c r="BD402" s="770"/>
      <c r="BE402" s="770"/>
      <c r="BF402" s="302"/>
      <c r="BG402" s="302"/>
      <c r="BH402" s="770"/>
      <c r="BI402" s="770"/>
      <c r="BJ402" s="770"/>
      <c r="BK402" s="770"/>
      <c r="BL402" s="770"/>
      <c r="BM402" s="770" t="s">
        <v>1238</v>
      </c>
      <c r="BN402" s="770" t="s">
        <v>1256</v>
      </c>
      <c r="BO402" s="770"/>
      <c r="BP402" s="780"/>
      <c r="BQ402" s="772"/>
      <c r="BR402" s="774"/>
      <c r="BS402" s="6" t="s">
        <v>1149</v>
      </c>
      <c r="BT402" s="766"/>
      <c r="BU402" s="770"/>
      <c r="BV402" s="770"/>
      <c r="BW402" s="770"/>
      <c r="BX402" s="302"/>
      <c r="BY402" s="303"/>
      <c r="BZ402" s="770"/>
      <c r="CA402" s="302"/>
      <c r="CB402" s="302"/>
      <c r="CC402" s="770"/>
      <c r="CD402" s="770"/>
      <c r="CE402" s="770"/>
      <c r="CF402" s="770"/>
      <c r="CG402" s="770"/>
      <c r="CH402" s="770"/>
      <c r="CI402" s="770"/>
      <c r="CJ402" s="770"/>
      <c r="CK402" s="770"/>
      <c r="CL402" s="770"/>
      <c r="CM402" s="770"/>
      <c r="CN402" s="770"/>
      <c r="CO402" s="770"/>
      <c r="CP402" s="770"/>
      <c r="CQ402" s="770"/>
      <c r="CR402" s="770"/>
      <c r="CS402" s="302"/>
      <c r="CT402" s="770"/>
      <c r="CU402" s="305"/>
      <c r="CV402" s="770"/>
      <c r="CW402" s="770"/>
      <c r="CX402" s="770"/>
      <c r="CY402" s="770"/>
      <c r="CZ402" s="770"/>
      <c r="DA402" s="770"/>
      <c r="DB402" s="770"/>
      <c r="DC402" s="770"/>
      <c r="DD402" s="770"/>
      <c r="DE402" s="770"/>
      <c r="DF402" s="770"/>
      <c r="DG402" s="770"/>
      <c r="DH402" s="770"/>
      <c r="DI402" s="770"/>
      <c r="DJ402" s="770"/>
      <c r="DK402" s="770"/>
      <c r="DL402" s="770"/>
      <c r="DM402" s="770"/>
      <c r="DN402" s="770"/>
      <c r="DO402" s="770"/>
      <c r="DP402" s="770"/>
      <c r="DQ402" s="770"/>
      <c r="DR402" s="770"/>
      <c r="DS402" s="307"/>
      <c r="DT402" s="770"/>
      <c r="DU402" s="770"/>
      <c r="DV402" s="770"/>
      <c r="DW402" s="306"/>
      <c r="DX402" s="306"/>
      <c r="DY402" s="770"/>
      <c r="DZ402" s="770"/>
      <c r="EA402" s="770"/>
      <c r="EB402" s="770"/>
      <c r="EC402" s="770"/>
      <c r="ED402" s="770"/>
      <c r="EE402" s="770"/>
      <c r="EF402" s="770"/>
      <c r="EG402" s="770"/>
      <c r="EH402" s="770"/>
      <c r="EI402" s="770"/>
      <c r="EJ402" s="770"/>
      <c r="EK402" s="770"/>
      <c r="EL402" s="770"/>
      <c r="EM402" s="770"/>
      <c r="EN402" s="770"/>
      <c r="EO402" s="770"/>
      <c r="EP402" s="770"/>
      <c r="EQ402" s="770"/>
      <c r="ER402" s="770"/>
      <c r="ES402" s="770"/>
      <c r="ET402" s="770"/>
      <c r="EU402" s="770"/>
      <c r="EV402" s="770"/>
      <c r="EW402" s="770"/>
      <c r="EX402" s="770"/>
      <c r="EY402" s="770"/>
      <c r="EZ402" s="770"/>
      <c r="FA402" s="770"/>
      <c r="FB402" s="770"/>
      <c r="FC402" s="770"/>
      <c r="FD402" s="302"/>
      <c r="FE402" s="770"/>
      <c r="FF402" s="770"/>
      <c r="FG402" s="770"/>
      <c r="FH402" s="770" t="s">
        <v>1306</v>
      </c>
      <c r="FI402" s="770">
        <v>1</v>
      </c>
      <c r="FJ402" s="770" t="s">
        <v>1672</v>
      </c>
      <c r="FK402" s="770" t="s">
        <v>1673</v>
      </c>
      <c r="FL402" s="770" t="s">
        <v>1674</v>
      </c>
      <c r="FM402" s="147">
        <v>3000</v>
      </c>
      <c r="FN402" s="302">
        <v>250</v>
      </c>
      <c r="FO402" s="302">
        <v>500</v>
      </c>
      <c r="FP402" s="770" t="s">
        <v>1602</v>
      </c>
      <c r="FQ402" s="770" t="s">
        <v>1660</v>
      </c>
      <c r="FR402" s="770"/>
      <c r="FS402" s="770"/>
      <c r="FT402" s="770"/>
      <c r="FU402" s="770"/>
      <c r="FV402" s="770"/>
      <c r="FW402" s="770"/>
      <c r="FX402" s="770"/>
      <c r="FY402" s="770"/>
      <c r="FZ402" s="770"/>
      <c r="GA402" s="770"/>
      <c r="GB402" s="770"/>
      <c r="GC402" s="308"/>
      <c r="GD402" s="297"/>
      <c r="GE402" s="770"/>
      <c r="GF402" s="302"/>
      <c r="GG402" s="302"/>
      <c r="GH402" s="13"/>
      <c r="GI402" s="770"/>
      <c r="GJ402" s="770"/>
      <c r="GK402" s="770"/>
      <c r="GL402" s="770"/>
      <c r="GM402" s="770"/>
      <c r="GN402" s="309"/>
      <c r="GO402" s="770"/>
      <c r="GP402" s="770"/>
      <c r="GQ402" s="770"/>
      <c r="GR402" s="770"/>
      <c r="GS402" s="770"/>
      <c r="GT402" s="770"/>
      <c r="GU402" s="770"/>
      <c r="GV402" s="770"/>
      <c r="GW402" s="770"/>
      <c r="GX402" s="770"/>
      <c r="GY402" s="770"/>
      <c r="GZ402" s="770"/>
      <c r="HA402" s="770"/>
      <c r="HB402" s="770"/>
      <c r="HC402" s="770"/>
      <c r="HD402" s="770"/>
      <c r="HE402" s="770"/>
      <c r="HF402" s="770"/>
      <c r="HG402" s="770"/>
      <c r="HH402" s="770"/>
      <c r="HI402" s="770"/>
      <c r="HJ402" s="770"/>
      <c r="HK402" s="770"/>
      <c r="HL402" s="770"/>
      <c r="HM402" s="770"/>
      <c r="HN402" s="770"/>
      <c r="HO402" s="770"/>
      <c r="HP402" s="770"/>
      <c r="HQ402" s="770"/>
      <c r="HR402" s="770"/>
      <c r="HS402" s="770"/>
      <c r="HT402" s="770"/>
      <c r="HU402" s="770"/>
      <c r="HV402" s="770"/>
      <c r="HW402" s="770"/>
      <c r="HX402" s="770"/>
      <c r="HY402" s="770"/>
      <c r="HZ402" s="770"/>
      <c r="IA402" s="770"/>
      <c r="IB402" s="14" t="e">
        <f>IF(#REF!&gt;0,IF(#REF!&lt;=10000,"Y",""),"")</f>
        <v>#REF!</v>
      </c>
      <c r="IC402" s="770"/>
      <c r="ID402" s="770"/>
      <c r="IE402" s="770"/>
      <c r="IF402" s="770"/>
      <c r="IG402" s="770"/>
      <c r="IH402" s="770"/>
      <c r="II402" s="770"/>
      <c r="IJ402" s="770"/>
      <c r="IK402" s="770"/>
      <c r="IL402" s="770"/>
      <c r="IM402" s="770"/>
      <c r="IN402" s="770"/>
      <c r="IO402" s="296"/>
      <c r="IP402" s="770"/>
      <c r="IQ402" s="770"/>
      <c r="IR402" s="770"/>
      <c r="IS402" s="770"/>
      <c r="IT402" s="770"/>
      <c r="IU402" s="770"/>
      <c r="IV402" s="770"/>
      <c r="IW402" s="770"/>
      <c r="IX402" s="770"/>
      <c r="IY402" s="770"/>
      <c r="IZ402" s="770"/>
      <c r="JA402" s="770"/>
      <c r="JB402" s="770"/>
      <c r="JC402" s="770"/>
      <c r="JD402" s="302"/>
      <c r="JE402" s="770"/>
      <c r="JF402" s="770"/>
      <c r="JG402" s="770"/>
      <c r="JH402" s="770"/>
      <c r="JI402" s="770"/>
      <c r="JJ402" s="770">
        <v>2</v>
      </c>
      <c r="JK402" s="6" t="s">
        <v>13516</v>
      </c>
      <c r="JL402" s="770"/>
      <c r="JM402" s="770"/>
      <c r="JN402" s="770">
        <v>1</v>
      </c>
      <c r="JO402" s="770">
        <v>1</v>
      </c>
      <c r="JP402" s="770"/>
      <c r="JQ402" s="770"/>
      <c r="JR402" s="770"/>
      <c r="JS402" s="770"/>
      <c r="JT402" s="766">
        <f>SUM(JP402,JN402,JL402,JR402)</f>
        <v>1</v>
      </c>
      <c r="JU402" s="766">
        <f>SUM(JQ402,JO402,JM402,JS402)</f>
        <v>1</v>
      </c>
      <c r="JV402" s="766"/>
      <c r="JW402" s="766"/>
      <c r="JX402" s="770"/>
      <c r="JY402" s="770"/>
      <c r="JZ402" s="770"/>
      <c r="KA402" s="770"/>
      <c r="KB402" s="770"/>
      <c r="KC402" s="770"/>
      <c r="KD402" s="770">
        <v>1</v>
      </c>
      <c r="KE402" s="770">
        <v>1</v>
      </c>
      <c r="KF402" s="770"/>
      <c r="KG402" s="770"/>
      <c r="KH402" s="770"/>
      <c r="KI402" s="770"/>
      <c r="KJ402" s="770">
        <f t="shared" ref="KJ402:KK458" si="103">SUM(KF402,KD402,KB402,JZ402,JX402,KH402)</f>
        <v>1</v>
      </c>
      <c r="KK402" s="770">
        <f t="shared" si="103"/>
        <v>1</v>
      </c>
      <c r="KL402" s="770"/>
      <c r="KM402" s="770"/>
      <c r="KN402" s="770"/>
      <c r="KO402" s="770"/>
      <c r="KP402" s="770"/>
      <c r="KQ402" s="770"/>
      <c r="KR402" s="770"/>
      <c r="KS402" s="770"/>
      <c r="KT402" s="770"/>
      <c r="KU402" s="770"/>
      <c r="KV402" s="770"/>
      <c r="KW402" s="770"/>
      <c r="KX402" s="770"/>
      <c r="KY402" s="770"/>
      <c r="KZ402" s="770"/>
      <c r="LA402" s="770"/>
      <c r="LB402" s="770"/>
      <c r="LC402" s="770"/>
      <c r="LD402" s="770"/>
      <c r="LE402" s="770"/>
      <c r="LF402" s="770"/>
      <c r="LG402" s="770"/>
      <c r="LH402" s="770"/>
      <c r="LI402" s="770"/>
      <c r="LJ402" s="770"/>
      <c r="LK402" s="770"/>
      <c r="LL402" s="770"/>
      <c r="LM402" s="770"/>
      <c r="LN402" s="766"/>
      <c r="LO402" s="766"/>
      <c r="LP402" s="770"/>
      <c r="LQ402" s="770"/>
      <c r="LR402" s="770"/>
      <c r="LS402" s="770"/>
      <c r="LT402" s="770"/>
      <c r="LU402" s="770"/>
      <c r="LV402" s="770"/>
      <c r="LW402" s="770"/>
      <c r="LX402" s="769"/>
      <c r="LY402" s="766" t="str">
        <f t="shared" si="100"/>
        <v/>
      </c>
      <c r="LZ402" s="299"/>
      <c r="MA402" s="1709"/>
      <c r="MB402" s="1709"/>
      <c r="MC402" s="1679">
        <f t="shared" si="99"/>
        <v>0</v>
      </c>
      <c r="MD402" s="1709"/>
      <c r="ME402" s="1709"/>
      <c r="MF402" s="1709"/>
      <c r="MG402" s="1680">
        <f t="shared" si="101"/>
        <v>0</v>
      </c>
      <c r="MH402" s="770"/>
      <c r="MI402" s="302"/>
      <c r="MJ402" s="302"/>
      <c r="MK402" s="302"/>
      <c r="ML402" s="302"/>
      <c r="MM402" s="302"/>
      <c r="MN402" s="302"/>
      <c r="MO402" s="302"/>
      <c r="MP402" s="302"/>
      <c r="MQ402" s="302"/>
      <c r="MR402" s="302"/>
      <c r="MS402" s="302"/>
      <c r="MT402" s="302"/>
      <c r="MU402" s="302"/>
      <c r="MV402" s="302"/>
      <c r="MW402" s="302"/>
      <c r="MX402" s="302"/>
      <c r="MY402" s="1682">
        <f t="shared" si="102"/>
        <v>0</v>
      </c>
      <c r="MZ402" s="770"/>
      <c r="NA402" s="770"/>
      <c r="NB402" s="770"/>
      <c r="NC402" s="770"/>
      <c r="ND402" s="770"/>
      <c r="NE402" s="770"/>
      <c r="NF402" s="770"/>
      <c r="NG402" s="770"/>
      <c r="NH402" s="770"/>
      <c r="NI402" s="770"/>
      <c r="NJ402" s="770"/>
      <c r="NK402" s="770"/>
      <c r="NL402" s="770"/>
      <c r="NM402" s="770"/>
      <c r="NN402" s="770"/>
      <c r="NO402" s="770"/>
      <c r="NP402" s="770"/>
      <c r="NQ402" s="770"/>
      <c r="NR402" s="770"/>
      <c r="NS402" s="770"/>
      <c r="NT402" s="770"/>
      <c r="NU402" s="770"/>
      <c r="NV402" s="770"/>
      <c r="NW402" s="770"/>
      <c r="NX402" s="770"/>
      <c r="NY402" s="770"/>
      <c r="NZ402" s="770"/>
      <c r="OA402" s="770"/>
      <c r="OB402" s="770"/>
      <c r="OC402" s="770"/>
      <c r="OD402" s="770"/>
      <c r="OE402" s="770"/>
      <c r="OF402" s="770"/>
      <c r="OG402" s="770"/>
      <c r="OH402" s="770"/>
      <c r="OI402" s="770"/>
      <c r="OJ402" s="770"/>
      <c r="OK402" s="770"/>
      <c r="OL402" s="770"/>
      <c r="OM402" s="770"/>
      <c r="ON402" s="770"/>
      <c r="OO402" s="770"/>
      <c r="OP402" s="770"/>
      <c r="OQ402" s="770"/>
      <c r="OR402" s="770"/>
      <c r="OS402" s="770"/>
      <c r="OT402" s="770"/>
      <c r="OU402" s="770"/>
      <c r="OV402" s="770"/>
      <c r="OW402" s="770"/>
      <c r="OX402" s="770"/>
      <c r="OY402" s="770"/>
      <c r="OZ402" s="770"/>
      <c r="PA402" s="770"/>
      <c r="PB402" s="770"/>
      <c r="PC402" s="770"/>
      <c r="PD402" s="770"/>
      <c r="PE402" s="770"/>
      <c r="PF402" s="770"/>
      <c r="PG402" s="770"/>
      <c r="PH402" s="770"/>
      <c r="PI402" s="770"/>
      <c r="PJ402" s="770"/>
      <c r="PK402" s="770"/>
      <c r="PL402" s="770"/>
      <c r="PM402" s="770"/>
      <c r="PN402" s="770"/>
      <c r="PO402" s="770"/>
      <c r="PP402" s="770"/>
      <c r="PQ402" s="770"/>
      <c r="PR402" s="770"/>
      <c r="PS402" s="770"/>
      <c r="PT402" s="770"/>
      <c r="PU402" s="770"/>
      <c r="PV402" s="770"/>
      <c r="PW402" s="770"/>
      <c r="PX402" s="770"/>
      <c r="PY402" s="770"/>
      <c r="PZ402" s="770"/>
      <c r="QA402" s="770"/>
      <c r="QB402" s="770"/>
      <c r="QC402" s="770"/>
      <c r="QD402" s="770"/>
      <c r="QE402" s="770"/>
      <c r="QF402" s="770"/>
      <c r="QG402" s="770"/>
      <c r="QH402" s="770"/>
      <c r="QI402" s="770"/>
      <c r="QJ402" s="770"/>
      <c r="QK402" s="770"/>
      <c r="QL402" s="770"/>
      <c r="QM402" s="770"/>
      <c r="QN402" s="770"/>
      <c r="QO402" s="770"/>
      <c r="QP402" s="770"/>
      <c r="QQ402" s="770"/>
      <c r="QR402" s="770"/>
      <c r="QS402" s="770"/>
      <c r="QT402" s="770"/>
      <c r="QU402" s="770"/>
      <c r="QV402" s="770"/>
      <c r="QW402" s="770"/>
      <c r="QX402" s="770"/>
      <c r="QY402" s="770"/>
      <c r="QZ402" s="770"/>
      <c r="RA402" s="770"/>
      <c r="RB402" s="770"/>
      <c r="RC402" s="770"/>
      <c r="RD402" s="770"/>
      <c r="RE402" s="770"/>
      <c r="RF402" s="304"/>
      <c r="RG402" s="770"/>
      <c r="RH402" s="302"/>
      <c r="RI402" s="770"/>
      <c r="RJ402" s="770" t="s">
        <v>13517</v>
      </c>
      <c r="RK402" s="770" t="s">
        <v>13461</v>
      </c>
      <c r="RL402" s="1710"/>
      <c r="RM402" s="12"/>
      <c r="RN402" s="1711"/>
      <c r="RO402" s="140" t="s">
        <v>664</v>
      </c>
      <c r="RP402" s="11"/>
      <c r="RQ402" s="11"/>
      <c r="RR402" s="771"/>
      <c r="RS402" s="93"/>
      <c r="RT402" s="11"/>
      <c r="RU402" s="11"/>
      <c r="RV402" s="93" t="s">
        <v>7419</v>
      </c>
      <c r="RW402" s="11" t="s">
        <v>7666</v>
      </c>
      <c r="RX402" s="11" t="s">
        <v>664</v>
      </c>
      <c r="RY402" s="11"/>
      <c r="RZ402" s="11"/>
      <c r="SA402" s="93"/>
      <c r="SB402" s="11"/>
      <c r="SC402" s="11"/>
    </row>
    <row r="403" spans="1:497" ht="12.75" hidden="1" customHeight="1">
      <c r="A403" s="154" t="s">
        <v>14196</v>
      </c>
      <c r="B403" s="292" t="s">
        <v>5725</v>
      </c>
      <c r="C403" s="140" t="s">
        <v>664</v>
      </c>
      <c r="D403" s="770" t="s">
        <v>5726</v>
      </c>
      <c r="E403" s="770" t="s">
        <v>661</v>
      </c>
      <c r="F403" s="770" t="s">
        <v>28</v>
      </c>
      <c r="G403" s="770" t="s">
        <v>10</v>
      </c>
      <c r="H403" s="770" t="s">
        <v>5727</v>
      </c>
      <c r="I403" s="295" t="s">
        <v>5728</v>
      </c>
      <c r="J403" s="770" t="s">
        <v>5726</v>
      </c>
      <c r="K403" s="770"/>
      <c r="L403" s="770"/>
      <c r="M403" s="770"/>
      <c r="N403" s="770"/>
      <c r="O403" s="770"/>
      <c r="P403" s="770" t="s">
        <v>5729</v>
      </c>
      <c r="Q403" s="1088"/>
      <c r="R403" s="297"/>
      <c r="S403" s="770" t="s">
        <v>10</v>
      </c>
      <c r="T403" s="770" t="s">
        <v>5727</v>
      </c>
      <c r="U403" s="295" t="s">
        <v>5728</v>
      </c>
      <c r="V403" s="770"/>
      <c r="W403" s="770"/>
      <c r="X403" s="296"/>
      <c r="Y403" s="770" t="s">
        <v>661</v>
      </c>
      <c r="Z403" s="770"/>
      <c r="AA403" s="770"/>
      <c r="AB403" s="770"/>
      <c r="AC403" s="770"/>
      <c r="AD403" s="770"/>
      <c r="AE403" s="770"/>
      <c r="AF403" s="770"/>
      <c r="AG403" s="770"/>
      <c r="AH403" s="770"/>
      <c r="AI403" s="770"/>
      <c r="AJ403" s="770"/>
      <c r="AK403" s="770" t="s">
        <v>1899</v>
      </c>
      <c r="AL403" s="299"/>
      <c r="AM403" s="300"/>
      <c r="AN403" s="301"/>
      <c r="AO403" s="766"/>
      <c r="AP403" s="766"/>
      <c r="AQ403" s="766"/>
      <c r="AR403" s="766"/>
      <c r="AS403" s="770"/>
      <c r="AT403" s="770"/>
      <c r="AU403" s="770"/>
      <c r="AV403" s="770"/>
      <c r="AW403" s="770"/>
      <c r="AX403" s="770"/>
      <c r="AY403" s="770"/>
      <c r="AZ403" s="770"/>
      <c r="BA403" s="770"/>
      <c r="BB403" s="770"/>
      <c r="BC403" s="770"/>
      <c r="BD403" s="770"/>
      <c r="BE403" s="770"/>
      <c r="BF403" s="302"/>
      <c r="BG403" s="302"/>
      <c r="BH403" s="770"/>
      <c r="BI403" s="770"/>
      <c r="BJ403" s="770"/>
      <c r="BK403" s="770"/>
      <c r="BL403" s="770"/>
      <c r="BM403" s="770" t="s">
        <v>1238</v>
      </c>
      <c r="BN403" s="770" t="s">
        <v>1256</v>
      </c>
      <c r="BO403" s="770"/>
      <c r="BP403" s="780"/>
      <c r="BQ403" s="772"/>
      <c r="BR403" s="774"/>
      <c r="BS403" s="6" t="s">
        <v>1149</v>
      </c>
      <c r="BT403" s="766"/>
      <c r="BU403" s="770"/>
      <c r="BV403" s="770"/>
      <c r="BW403" s="770"/>
      <c r="BX403" s="302"/>
      <c r="BY403" s="303"/>
      <c r="BZ403" s="770"/>
      <c r="CA403" s="302"/>
      <c r="CB403" s="302"/>
      <c r="CC403" s="770"/>
      <c r="CD403" s="770"/>
      <c r="CE403" s="770"/>
      <c r="CF403" s="770"/>
      <c r="CG403" s="770"/>
      <c r="CH403" s="770"/>
      <c r="CI403" s="770"/>
      <c r="CJ403" s="770"/>
      <c r="CK403" s="770"/>
      <c r="CL403" s="770"/>
      <c r="CM403" s="770"/>
      <c r="CN403" s="770"/>
      <c r="CO403" s="770"/>
      <c r="CP403" s="770"/>
      <c r="CQ403" s="770"/>
      <c r="CR403" s="770"/>
      <c r="CS403" s="302"/>
      <c r="CT403" s="770"/>
      <c r="CU403" s="305"/>
      <c r="CV403" s="770"/>
      <c r="CW403" s="770"/>
      <c r="CX403" s="770"/>
      <c r="CY403" s="770"/>
      <c r="CZ403" s="770"/>
      <c r="DA403" s="770"/>
      <c r="DB403" s="770"/>
      <c r="DC403" s="770"/>
      <c r="DD403" s="770"/>
      <c r="DE403" s="770"/>
      <c r="DF403" s="770"/>
      <c r="DG403" s="770"/>
      <c r="DH403" s="770"/>
      <c r="DI403" s="770"/>
      <c r="DJ403" s="770"/>
      <c r="DK403" s="770"/>
      <c r="DL403" s="770"/>
      <c r="DM403" s="770"/>
      <c r="DN403" s="770"/>
      <c r="DO403" s="770"/>
      <c r="DP403" s="770"/>
      <c r="DQ403" s="770"/>
      <c r="DR403" s="770"/>
      <c r="DS403" s="307"/>
      <c r="DT403" s="770"/>
      <c r="DU403" s="770"/>
      <c r="DV403" s="770"/>
      <c r="DW403" s="306"/>
      <c r="DX403" s="306"/>
      <c r="DY403" s="770"/>
      <c r="DZ403" s="770"/>
      <c r="EA403" s="770"/>
      <c r="EB403" s="770"/>
      <c r="EC403" s="770"/>
      <c r="ED403" s="770"/>
      <c r="EE403" s="770"/>
      <c r="EF403" s="770"/>
      <c r="EG403" s="770"/>
      <c r="EH403" s="770"/>
      <c r="EI403" s="770"/>
      <c r="EJ403" s="770"/>
      <c r="EK403" s="770"/>
      <c r="EL403" s="770"/>
      <c r="EM403" s="770"/>
      <c r="EN403" s="770"/>
      <c r="EO403" s="770"/>
      <c r="EP403" s="770"/>
      <c r="EQ403" s="770"/>
      <c r="ER403" s="770"/>
      <c r="ES403" s="770"/>
      <c r="ET403" s="770"/>
      <c r="EU403" s="770"/>
      <c r="EV403" s="770"/>
      <c r="EW403" s="770"/>
      <c r="EX403" s="770"/>
      <c r="EY403" s="770"/>
      <c r="EZ403" s="770"/>
      <c r="FA403" s="770"/>
      <c r="FB403" s="770"/>
      <c r="FC403" s="770"/>
      <c r="FD403" s="302"/>
      <c r="FE403" s="770"/>
      <c r="FF403" s="770"/>
      <c r="FG403" s="770"/>
      <c r="FH403" s="770" t="s">
        <v>1306</v>
      </c>
      <c r="FI403" s="770">
        <v>1</v>
      </c>
      <c r="FJ403" s="770" t="s">
        <v>1672</v>
      </c>
      <c r="FK403" s="770" t="s">
        <v>1673</v>
      </c>
      <c r="FL403" s="770" t="s">
        <v>1674</v>
      </c>
      <c r="FM403" s="147">
        <v>2500</v>
      </c>
      <c r="FN403" s="302">
        <v>300</v>
      </c>
      <c r="FO403" s="302">
        <v>1700</v>
      </c>
      <c r="FP403" s="770" t="s">
        <v>1602</v>
      </c>
      <c r="FQ403" s="770" t="s">
        <v>1660</v>
      </c>
      <c r="FR403" s="770"/>
      <c r="FS403" s="770"/>
      <c r="FT403" s="770"/>
      <c r="FU403" s="770"/>
      <c r="FV403" s="770"/>
      <c r="FW403" s="770"/>
      <c r="FX403" s="770"/>
      <c r="FY403" s="770"/>
      <c r="FZ403" s="770"/>
      <c r="GA403" s="770"/>
      <c r="GB403" s="770"/>
      <c r="GC403" s="308"/>
      <c r="GD403" s="297"/>
      <c r="GE403" s="770"/>
      <c r="GF403" s="302"/>
      <c r="GG403" s="302"/>
      <c r="GH403" s="770"/>
      <c r="GI403" s="770"/>
      <c r="GJ403" s="770"/>
      <c r="GK403" s="770"/>
      <c r="GL403" s="770"/>
      <c r="GM403" s="770"/>
      <c r="GN403" s="309"/>
      <c r="GO403" s="770"/>
      <c r="GP403" s="770"/>
      <c r="GQ403" s="770"/>
      <c r="GR403" s="770"/>
      <c r="GS403" s="770"/>
      <c r="GT403" s="770"/>
      <c r="GU403" s="770"/>
      <c r="GV403" s="770"/>
      <c r="GW403" s="770"/>
      <c r="GX403" s="770"/>
      <c r="GY403" s="770"/>
      <c r="GZ403" s="770"/>
      <c r="HA403" s="770"/>
      <c r="HB403" s="770"/>
      <c r="HC403" s="770"/>
      <c r="HD403" s="770"/>
      <c r="HE403" s="770"/>
      <c r="HF403" s="770"/>
      <c r="HG403" s="770"/>
      <c r="HH403" s="770"/>
      <c r="HI403" s="770"/>
      <c r="HJ403" s="770"/>
      <c r="HK403" s="770"/>
      <c r="HL403" s="770"/>
      <c r="HM403" s="770"/>
      <c r="HN403" s="770"/>
      <c r="HO403" s="770"/>
      <c r="HP403" s="770"/>
      <c r="HQ403" s="770"/>
      <c r="HR403" s="770"/>
      <c r="HS403" s="770"/>
      <c r="HT403" s="770"/>
      <c r="HU403" s="770"/>
      <c r="HV403" s="770"/>
      <c r="HW403" s="770"/>
      <c r="HX403" s="770"/>
      <c r="HY403" s="770"/>
      <c r="HZ403" s="770"/>
      <c r="IA403" s="770"/>
      <c r="IB403" s="14" t="e">
        <f>IF(#REF!&gt;0,IF(#REF!&lt;=10000,"Y",""),"")</f>
        <v>#REF!</v>
      </c>
      <c r="IC403" s="770"/>
      <c r="ID403" s="770"/>
      <c r="IE403" s="770"/>
      <c r="IF403" s="770"/>
      <c r="IG403" s="770"/>
      <c r="IH403" s="770"/>
      <c r="II403" s="770"/>
      <c r="IJ403" s="770"/>
      <c r="IK403" s="770"/>
      <c r="IL403" s="770"/>
      <c r="IM403" s="770"/>
      <c r="IN403" s="770"/>
      <c r="IO403" s="296"/>
      <c r="IP403" s="770"/>
      <c r="IQ403" s="770"/>
      <c r="IR403" s="770"/>
      <c r="IS403" s="770"/>
      <c r="IT403" s="770"/>
      <c r="IU403" s="770"/>
      <c r="IV403" s="770"/>
      <c r="IW403" s="770"/>
      <c r="IX403" s="770"/>
      <c r="IY403" s="770"/>
      <c r="IZ403" s="770"/>
      <c r="JA403" s="770"/>
      <c r="JB403" s="770"/>
      <c r="JC403" s="770"/>
      <c r="JD403" s="302"/>
      <c r="JE403" s="770"/>
      <c r="JF403" s="770"/>
      <c r="JG403" s="770"/>
      <c r="JH403" s="770"/>
      <c r="JI403" s="770"/>
      <c r="JJ403" s="770"/>
      <c r="JK403" s="770"/>
      <c r="JL403" s="770"/>
      <c r="JM403" s="770"/>
      <c r="JN403" s="770"/>
      <c r="JO403" s="770"/>
      <c r="JP403" s="770"/>
      <c r="JQ403" s="770"/>
      <c r="JR403" s="770"/>
      <c r="JS403" s="770"/>
      <c r="JT403" s="766"/>
      <c r="JU403" s="766"/>
      <c r="JV403" s="766"/>
      <c r="JW403" s="766"/>
      <c r="JX403" s="770"/>
      <c r="JY403" s="770"/>
      <c r="JZ403" s="770"/>
      <c r="KA403" s="770"/>
      <c r="KB403" s="770"/>
      <c r="KC403" s="770"/>
      <c r="KD403" s="770"/>
      <c r="KE403" s="770"/>
      <c r="KF403" s="770"/>
      <c r="KG403" s="770"/>
      <c r="KH403" s="770"/>
      <c r="KI403" s="770"/>
      <c r="KJ403" s="770"/>
      <c r="KK403" s="770"/>
      <c r="KL403" s="770"/>
      <c r="KM403" s="770"/>
      <c r="KN403" s="770"/>
      <c r="KO403" s="770"/>
      <c r="KP403" s="770"/>
      <c r="KQ403" s="770"/>
      <c r="KR403" s="770"/>
      <c r="KS403" s="770"/>
      <c r="KT403" s="770"/>
      <c r="KU403" s="770"/>
      <c r="KV403" s="770"/>
      <c r="KW403" s="770"/>
      <c r="KX403" s="770"/>
      <c r="KY403" s="770"/>
      <c r="KZ403" s="770"/>
      <c r="LA403" s="770"/>
      <c r="LB403" s="770"/>
      <c r="LC403" s="770"/>
      <c r="LD403" s="770"/>
      <c r="LE403" s="770"/>
      <c r="LF403" s="770"/>
      <c r="LG403" s="770"/>
      <c r="LH403" s="770"/>
      <c r="LI403" s="770"/>
      <c r="LJ403" s="770"/>
      <c r="LK403" s="770"/>
      <c r="LL403" s="770"/>
      <c r="LM403" s="770"/>
      <c r="LN403" s="766"/>
      <c r="LO403" s="766"/>
      <c r="LP403" s="770"/>
      <c r="LQ403" s="770"/>
      <c r="LR403" s="770"/>
      <c r="LS403" s="770"/>
      <c r="LT403" s="770"/>
      <c r="LU403" s="770"/>
      <c r="LV403" s="770"/>
      <c r="LW403" s="770"/>
      <c r="LX403" s="769"/>
      <c r="LY403" s="766" t="str">
        <f t="shared" si="100"/>
        <v/>
      </c>
      <c r="LZ403" s="299"/>
      <c r="MA403" s="1709"/>
      <c r="MB403" s="1709"/>
      <c r="MC403" s="1679">
        <f t="shared" si="99"/>
        <v>0</v>
      </c>
      <c r="MD403" s="1709"/>
      <c r="ME403" s="1709"/>
      <c r="MF403" s="1709"/>
      <c r="MG403" s="1680">
        <f t="shared" si="101"/>
        <v>0</v>
      </c>
      <c r="MH403" s="770"/>
      <c r="MI403" s="302"/>
      <c r="MJ403" s="302"/>
      <c r="MK403" s="302"/>
      <c r="ML403" s="302"/>
      <c r="MM403" s="302"/>
      <c r="MN403" s="302"/>
      <c r="MO403" s="302"/>
      <c r="MP403" s="302"/>
      <c r="MQ403" s="302"/>
      <c r="MR403" s="302"/>
      <c r="MS403" s="302"/>
      <c r="MT403" s="302"/>
      <c r="MU403" s="302"/>
      <c r="MV403" s="302"/>
      <c r="MW403" s="302"/>
      <c r="MX403" s="302"/>
      <c r="MY403" s="1682">
        <f t="shared" si="102"/>
        <v>0</v>
      </c>
      <c r="MZ403" s="770"/>
      <c r="NA403" s="770"/>
      <c r="NB403" s="770"/>
      <c r="NC403" s="770"/>
      <c r="ND403" s="770"/>
      <c r="NE403" s="770"/>
      <c r="NF403" s="770"/>
      <c r="NG403" s="770"/>
      <c r="NH403" s="770"/>
      <c r="NI403" s="770"/>
      <c r="NJ403" s="770"/>
      <c r="NK403" s="770"/>
      <c r="NL403" s="770"/>
      <c r="NM403" s="770"/>
      <c r="NN403" s="770"/>
      <c r="NO403" s="770"/>
      <c r="NP403" s="770"/>
      <c r="NQ403" s="770"/>
      <c r="NR403" s="770"/>
      <c r="NS403" s="770"/>
      <c r="NT403" s="770"/>
      <c r="NU403" s="770"/>
      <c r="NV403" s="770"/>
      <c r="NW403" s="770"/>
      <c r="NX403" s="770"/>
      <c r="NY403" s="770"/>
      <c r="NZ403" s="770"/>
      <c r="OA403" s="770"/>
      <c r="OB403" s="770"/>
      <c r="OC403" s="770"/>
      <c r="OD403" s="770"/>
      <c r="OE403" s="770"/>
      <c r="OF403" s="770"/>
      <c r="OG403" s="770"/>
      <c r="OH403" s="770"/>
      <c r="OI403" s="770"/>
      <c r="OJ403" s="770"/>
      <c r="OK403" s="770"/>
      <c r="OL403" s="770"/>
      <c r="OM403" s="770"/>
      <c r="ON403" s="770"/>
      <c r="OO403" s="770"/>
      <c r="OP403" s="770"/>
      <c r="OQ403" s="770"/>
      <c r="OR403" s="770"/>
      <c r="OS403" s="770"/>
      <c r="OT403" s="770"/>
      <c r="OU403" s="770"/>
      <c r="OV403" s="770"/>
      <c r="OW403" s="770"/>
      <c r="OX403" s="770"/>
      <c r="OY403" s="770"/>
      <c r="OZ403" s="770"/>
      <c r="PA403" s="770"/>
      <c r="PB403" s="770"/>
      <c r="PC403" s="770"/>
      <c r="PD403" s="770"/>
      <c r="PE403" s="770"/>
      <c r="PF403" s="770"/>
      <c r="PG403" s="770"/>
      <c r="PH403" s="770"/>
      <c r="PI403" s="770"/>
      <c r="PJ403" s="770"/>
      <c r="PK403" s="770"/>
      <c r="PL403" s="770"/>
      <c r="PM403" s="770"/>
      <c r="PN403" s="770"/>
      <c r="PO403" s="770"/>
      <c r="PP403" s="770"/>
      <c r="PQ403" s="770"/>
      <c r="PR403" s="770"/>
      <c r="PS403" s="770"/>
      <c r="PT403" s="770"/>
      <c r="PU403" s="770"/>
      <c r="PV403" s="770"/>
      <c r="PW403" s="770"/>
      <c r="PX403" s="770"/>
      <c r="PY403" s="770"/>
      <c r="PZ403" s="770"/>
      <c r="QA403" s="770"/>
      <c r="QB403" s="770"/>
      <c r="QC403" s="770"/>
      <c r="QD403" s="770"/>
      <c r="QE403" s="770"/>
      <c r="QF403" s="770"/>
      <c r="QG403" s="770"/>
      <c r="QH403" s="770"/>
      <c r="QI403" s="770"/>
      <c r="QJ403" s="770"/>
      <c r="QK403" s="770"/>
      <c r="QL403" s="770"/>
      <c r="QM403" s="770"/>
      <c r="QN403" s="770"/>
      <c r="QO403" s="770"/>
      <c r="QP403" s="770"/>
      <c r="QQ403" s="770"/>
      <c r="QR403" s="770"/>
      <c r="QS403" s="770"/>
      <c r="QT403" s="770"/>
      <c r="QU403" s="770"/>
      <c r="QV403" s="770"/>
      <c r="QW403" s="770"/>
      <c r="QX403" s="770"/>
      <c r="QY403" s="770"/>
      <c r="QZ403" s="770"/>
      <c r="RA403" s="770"/>
      <c r="RB403" s="770"/>
      <c r="RC403" s="770"/>
      <c r="RD403" s="770"/>
      <c r="RE403" s="770"/>
      <c r="RF403" s="304"/>
      <c r="RG403" s="770"/>
      <c r="RH403" s="302"/>
      <c r="RI403" s="770"/>
      <c r="RJ403" s="770" t="s">
        <v>13518</v>
      </c>
      <c r="RK403" s="770" t="s">
        <v>13461</v>
      </c>
      <c r="RL403" s="1710">
        <v>42817</v>
      </c>
      <c r="RM403" s="12"/>
      <c r="RN403" s="1711"/>
      <c r="RO403" s="140" t="s">
        <v>664</v>
      </c>
      <c r="RP403" s="11"/>
      <c r="RQ403" s="11"/>
      <c r="RR403" s="771"/>
      <c r="RS403" s="767"/>
      <c r="RT403" s="11"/>
      <c r="RU403" s="11"/>
      <c r="RV403" s="771" t="s">
        <v>8102</v>
      </c>
      <c r="RW403" s="11" t="s">
        <v>5730</v>
      </c>
      <c r="RX403" s="11" t="s">
        <v>664</v>
      </c>
      <c r="RY403" s="11"/>
      <c r="RZ403" s="11"/>
      <c r="SA403" s="771"/>
      <c r="SB403" s="11"/>
      <c r="SC403" s="11"/>
    </row>
    <row r="404" spans="1:497" ht="12.75" hidden="1" customHeight="1">
      <c r="A404" s="154" t="s">
        <v>7419</v>
      </c>
      <c r="B404" s="1010" t="s">
        <v>11866</v>
      </c>
      <c r="C404" s="140" t="s">
        <v>665</v>
      </c>
      <c r="D404" s="770" t="s">
        <v>666</v>
      </c>
      <c r="E404" s="770" t="s">
        <v>622</v>
      </c>
      <c r="F404" s="770" t="s">
        <v>618</v>
      </c>
      <c r="G404" s="770" t="s">
        <v>10</v>
      </c>
      <c r="H404" s="770"/>
      <c r="I404" s="295" t="s">
        <v>1667</v>
      </c>
      <c r="J404" s="770" t="s">
        <v>2014</v>
      </c>
      <c r="K404" s="770"/>
      <c r="L404" s="770"/>
      <c r="M404" s="770"/>
      <c r="N404" s="770"/>
      <c r="O404" s="770"/>
      <c r="P404" s="770" t="s">
        <v>958</v>
      </c>
      <c r="Q404" s="1088"/>
      <c r="R404" s="297"/>
      <c r="S404" s="770"/>
      <c r="T404" s="770"/>
      <c r="U404" s="298"/>
      <c r="V404" s="770"/>
      <c r="W404" s="770"/>
      <c r="X404" s="296"/>
      <c r="Y404" s="766"/>
      <c r="Z404" s="770"/>
      <c r="AA404" s="770"/>
      <c r="AB404" s="770"/>
      <c r="AC404" s="770"/>
      <c r="AD404" s="770"/>
      <c r="AE404" s="770"/>
      <c r="AF404" s="770"/>
      <c r="AG404" s="766" t="s">
        <v>1095</v>
      </c>
      <c r="AH404" s="766" t="s">
        <v>1096</v>
      </c>
      <c r="AI404" s="770" t="s">
        <v>1195</v>
      </c>
      <c r="AJ404" s="770"/>
      <c r="AK404" s="770" t="s">
        <v>1097</v>
      </c>
      <c r="AL404" s="299">
        <v>220</v>
      </c>
      <c r="AM404" s="300">
        <v>90</v>
      </c>
      <c r="AN404" s="301">
        <f>AM404/AL404</f>
        <v>0.40909090909090912</v>
      </c>
      <c r="AO404" s="766" t="s">
        <v>1149</v>
      </c>
      <c r="AP404" s="766"/>
      <c r="AQ404" s="766"/>
      <c r="AR404" s="766"/>
      <c r="AS404" s="770"/>
      <c r="AT404" s="770"/>
      <c r="AU404" s="770"/>
      <c r="AV404" s="770"/>
      <c r="AW404" s="770"/>
      <c r="AX404" s="770"/>
      <c r="AY404" s="770"/>
      <c r="AZ404" s="770"/>
      <c r="BA404" s="770"/>
      <c r="BB404" s="770"/>
      <c r="BC404" s="770"/>
      <c r="BD404" s="770"/>
      <c r="BE404" s="770"/>
      <c r="BF404" s="302"/>
      <c r="BG404" s="302"/>
      <c r="BH404" s="770"/>
      <c r="BI404" s="770"/>
      <c r="BJ404" s="770"/>
      <c r="BK404" s="770"/>
      <c r="BL404" s="770"/>
      <c r="BM404" s="770"/>
      <c r="BN404" s="770"/>
      <c r="BO404" s="770"/>
      <c r="BP404" s="780"/>
      <c r="BQ404" s="772"/>
      <c r="BR404" s="774"/>
      <c r="BS404" s="6" t="s">
        <v>1149</v>
      </c>
      <c r="BT404" s="766"/>
      <c r="BU404" s="770"/>
      <c r="BV404" s="770"/>
      <c r="BW404" s="770"/>
      <c r="BX404" s="302"/>
      <c r="BY404" s="303"/>
      <c r="BZ404" s="770"/>
      <c r="CA404" s="302"/>
      <c r="CB404" s="302"/>
      <c r="CC404" s="770"/>
      <c r="CD404" s="770"/>
      <c r="CE404" s="770"/>
      <c r="CF404" s="304"/>
      <c r="CG404" s="321"/>
      <c r="CH404" s="770"/>
      <c r="CI404" s="770"/>
      <c r="CJ404" s="770"/>
      <c r="CK404" s="770"/>
      <c r="CL404" s="770"/>
      <c r="CM404" s="770"/>
      <c r="CN404" s="770"/>
      <c r="CO404" s="770"/>
      <c r="CP404" s="770"/>
      <c r="CQ404" s="770"/>
      <c r="CR404" s="770"/>
      <c r="CS404" s="302"/>
      <c r="CT404" s="770"/>
      <c r="CU404" s="305"/>
      <c r="CV404" s="770"/>
      <c r="CW404" s="770"/>
      <c r="CX404" s="770"/>
      <c r="CY404" s="770"/>
      <c r="CZ404" s="770"/>
      <c r="DA404" s="306"/>
      <c r="DB404" s="770"/>
      <c r="DC404" s="770"/>
      <c r="DD404" s="770"/>
      <c r="DE404" s="300"/>
      <c r="DF404" s="770"/>
      <c r="DG404" s="770"/>
      <c r="DH404" s="770"/>
      <c r="DI404" s="770"/>
      <c r="DJ404" s="770"/>
      <c r="DK404" s="770"/>
      <c r="DL404" s="770"/>
      <c r="DM404" s="770"/>
      <c r="DN404" s="322"/>
      <c r="DO404" s="770"/>
      <c r="DP404" s="770"/>
      <c r="DQ404" s="770"/>
      <c r="DR404" s="770"/>
      <c r="DS404" s="307"/>
      <c r="DT404" s="770"/>
      <c r="DU404" s="770"/>
      <c r="DV404" s="770"/>
      <c r="DW404" s="306"/>
      <c r="DX404" s="306"/>
      <c r="DY404" s="770"/>
      <c r="DZ404" s="770"/>
      <c r="EA404" s="770"/>
      <c r="EB404" s="770"/>
      <c r="EC404" s="770"/>
      <c r="ED404" s="770"/>
      <c r="EE404" s="770"/>
      <c r="EF404" s="770"/>
      <c r="EG404" s="770"/>
      <c r="EH404" s="770"/>
      <c r="EI404" s="770"/>
      <c r="EJ404" s="770"/>
      <c r="EK404" s="770"/>
      <c r="EL404" s="770"/>
      <c r="EM404" s="770"/>
      <c r="EN404" s="770"/>
      <c r="EO404" s="770"/>
      <c r="EP404" s="94"/>
      <c r="EQ404" s="770"/>
      <c r="ER404" s="770"/>
      <c r="ES404" s="770"/>
      <c r="ET404" s="770"/>
      <c r="EU404" s="770"/>
      <c r="EV404" s="770"/>
      <c r="EW404" s="770"/>
      <c r="EX404" s="770"/>
      <c r="EY404" s="770"/>
      <c r="EZ404" s="770"/>
      <c r="FA404" s="770"/>
      <c r="FB404" s="770"/>
      <c r="FC404" s="770"/>
      <c r="FD404" s="302"/>
      <c r="FE404" s="770"/>
      <c r="FF404" s="770"/>
      <c r="FG404" s="770"/>
      <c r="FH404" s="770"/>
      <c r="FI404" s="770"/>
      <c r="FJ404" s="770"/>
      <c r="FK404" s="770"/>
      <c r="FL404" s="770"/>
      <c r="FM404" s="302"/>
      <c r="FN404" s="302"/>
      <c r="FO404" s="302"/>
      <c r="FP404" s="770"/>
      <c r="FQ404" s="770"/>
      <c r="FR404" s="770"/>
      <c r="FS404" s="770"/>
      <c r="FT404" s="770"/>
      <c r="FU404" s="770"/>
      <c r="FV404" s="770"/>
      <c r="FW404" s="770"/>
      <c r="FX404" s="770"/>
      <c r="FY404" s="770"/>
      <c r="FZ404" s="770"/>
      <c r="GA404" s="770"/>
      <c r="GB404" s="770"/>
      <c r="GC404" s="308"/>
      <c r="GD404" s="297"/>
      <c r="GE404" s="770"/>
      <c r="GF404" s="302"/>
      <c r="GG404" s="302"/>
      <c r="GH404" s="770"/>
      <c r="GI404" s="770"/>
      <c r="GJ404" s="770"/>
      <c r="GK404" s="770"/>
      <c r="GL404" s="770"/>
      <c r="GM404" s="770"/>
      <c r="GN404" s="309"/>
      <c r="GO404" s="770"/>
      <c r="GP404" s="770"/>
      <c r="GQ404" s="770"/>
      <c r="GR404" s="770"/>
      <c r="GS404" s="770"/>
      <c r="GT404" s="770"/>
      <c r="GU404" s="770"/>
      <c r="GV404" s="770"/>
      <c r="GW404" s="770"/>
      <c r="GX404" s="770"/>
      <c r="GY404" s="770"/>
      <c r="GZ404" s="770"/>
      <c r="HA404" s="770"/>
      <c r="HB404" s="770"/>
      <c r="HC404" s="770"/>
      <c r="HD404" s="770"/>
      <c r="HE404" s="770"/>
      <c r="HF404" s="770"/>
      <c r="HG404" s="770"/>
      <c r="HH404" s="770"/>
      <c r="HI404" s="770"/>
      <c r="HJ404" s="770"/>
      <c r="HK404" s="770"/>
      <c r="HL404" s="770"/>
      <c r="HM404" s="770"/>
      <c r="HN404" s="770"/>
      <c r="HO404" s="770"/>
      <c r="HP404" s="770"/>
      <c r="HQ404" s="770"/>
      <c r="HR404" s="770"/>
      <c r="HS404" s="770"/>
      <c r="HT404" s="770"/>
      <c r="HU404" s="770"/>
      <c r="HV404" s="770"/>
      <c r="HW404" s="770"/>
      <c r="HX404" s="770"/>
      <c r="HY404" s="770"/>
      <c r="HZ404" s="770"/>
      <c r="IA404" s="770"/>
      <c r="IB404" s="14" t="e">
        <f>IF(#REF!&gt;0,IF(#REF!&lt;=10000,"Y",""),"")</f>
        <v>#REF!</v>
      </c>
      <c r="IC404" s="770"/>
      <c r="ID404" s="770"/>
      <c r="IE404" s="770"/>
      <c r="IF404" s="770"/>
      <c r="IG404" s="770"/>
      <c r="IH404" s="770"/>
      <c r="II404" s="770"/>
      <c r="IJ404" s="770"/>
      <c r="IK404" s="770"/>
      <c r="IL404" s="770"/>
      <c r="IM404" s="770"/>
      <c r="IN404" s="770"/>
      <c r="IO404" s="296"/>
      <c r="IP404" s="770"/>
      <c r="IQ404" s="770"/>
      <c r="IR404" s="770"/>
      <c r="IS404" s="770"/>
      <c r="IT404" s="770"/>
      <c r="IU404" s="770"/>
      <c r="IV404" s="770"/>
      <c r="IW404" s="770"/>
      <c r="IX404" s="770"/>
      <c r="IY404" s="770"/>
      <c r="IZ404" s="770"/>
      <c r="JA404" s="770"/>
      <c r="JB404" s="770"/>
      <c r="JC404" s="770"/>
      <c r="JD404" s="302"/>
      <c r="JE404" s="770"/>
      <c r="JF404" s="770"/>
      <c r="JG404" s="770"/>
      <c r="JH404" s="770"/>
      <c r="JI404" s="770"/>
      <c r="JJ404" s="770"/>
      <c r="JK404" s="770"/>
      <c r="JL404" s="770"/>
      <c r="JM404" s="770"/>
      <c r="JN404" s="770"/>
      <c r="JO404" s="770"/>
      <c r="JP404" s="770"/>
      <c r="JQ404" s="770"/>
      <c r="JR404" s="770"/>
      <c r="JS404" s="770"/>
      <c r="JT404" s="766"/>
      <c r="JU404" s="766"/>
      <c r="JV404" s="766"/>
      <c r="JW404" s="766"/>
      <c r="JX404" s="770"/>
      <c r="JY404" s="770"/>
      <c r="JZ404" s="770"/>
      <c r="KA404" s="770"/>
      <c r="KB404" s="770"/>
      <c r="KC404" s="770"/>
      <c r="KD404" s="770"/>
      <c r="KE404" s="770"/>
      <c r="KF404" s="770"/>
      <c r="KG404" s="770"/>
      <c r="KH404" s="770"/>
      <c r="KI404" s="770"/>
      <c r="KJ404" s="770"/>
      <c r="KK404" s="770"/>
      <c r="KL404" s="770"/>
      <c r="KM404" s="770"/>
      <c r="KN404" s="770"/>
      <c r="KO404" s="770"/>
      <c r="KP404" s="770"/>
      <c r="KQ404" s="770"/>
      <c r="KR404" s="770"/>
      <c r="KS404" s="770"/>
      <c r="KT404" s="770"/>
      <c r="KU404" s="770"/>
      <c r="KV404" s="770"/>
      <c r="KW404" s="770"/>
      <c r="KX404" s="770"/>
      <c r="KY404" s="770"/>
      <c r="KZ404" s="770"/>
      <c r="LA404" s="770"/>
      <c r="LB404" s="770"/>
      <c r="LC404" s="770"/>
      <c r="LD404" s="770"/>
      <c r="LE404" s="770"/>
      <c r="LF404" s="770"/>
      <c r="LG404" s="770"/>
      <c r="LH404" s="770"/>
      <c r="LI404" s="770"/>
      <c r="LJ404" s="770"/>
      <c r="LK404" s="770"/>
      <c r="LL404" s="770"/>
      <c r="LM404" s="770"/>
      <c r="LN404" s="766"/>
      <c r="LO404" s="766"/>
      <c r="LP404" s="770"/>
      <c r="LQ404" s="770"/>
      <c r="LR404" s="770"/>
      <c r="LS404" s="770"/>
      <c r="LT404" s="770"/>
      <c r="LU404" s="770"/>
      <c r="LV404" s="770"/>
      <c r="LW404" s="770"/>
      <c r="LX404" s="769"/>
      <c r="LY404" s="766" t="str">
        <f t="shared" si="100"/>
        <v/>
      </c>
      <c r="LZ404" s="299"/>
      <c r="MA404" s="306"/>
      <c r="MB404" s="306"/>
      <c r="MC404" s="1679">
        <f t="shared" si="99"/>
        <v>0</v>
      </c>
      <c r="MD404" s="306"/>
      <c r="ME404" s="306"/>
      <c r="MF404" s="306"/>
      <c r="MG404" s="1680">
        <f t="shared" si="101"/>
        <v>0</v>
      </c>
      <c r="MH404" s="770"/>
      <c r="MI404" s="302"/>
      <c r="MJ404" s="302"/>
      <c r="MK404" s="302"/>
      <c r="ML404" s="302"/>
      <c r="MM404" s="302"/>
      <c r="MN404" s="302"/>
      <c r="MO404" s="302"/>
      <c r="MP404" s="302"/>
      <c r="MQ404" s="302"/>
      <c r="MR404" s="302"/>
      <c r="MS404" s="302"/>
      <c r="MT404" s="302"/>
      <c r="MU404" s="302"/>
      <c r="MV404" s="302"/>
      <c r="MW404" s="302"/>
      <c r="MX404" s="302"/>
      <c r="MY404" s="1682">
        <f t="shared" si="102"/>
        <v>0</v>
      </c>
      <c r="MZ404" s="770"/>
      <c r="NA404" s="770"/>
      <c r="NB404" s="770"/>
      <c r="NC404" s="770"/>
      <c r="ND404" s="770"/>
      <c r="NE404" s="770"/>
      <c r="NF404" s="770"/>
      <c r="NG404" s="770"/>
      <c r="NH404" s="770"/>
      <c r="NI404" s="770"/>
      <c r="NJ404" s="770"/>
      <c r="NK404" s="770"/>
      <c r="NL404" s="770"/>
      <c r="NM404" s="770"/>
      <c r="NN404" s="770"/>
      <c r="NO404" s="770"/>
      <c r="NP404" s="770"/>
      <c r="NQ404" s="770"/>
      <c r="NR404" s="770"/>
      <c r="NS404" s="770"/>
      <c r="NT404" s="770"/>
      <c r="NU404" s="770"/>
      <c r="NV404" s="770"/>
      <c r="NW404" s="770"/>
      <c r="NX404" s="770"/>
      <c r="NY404" s="770"/>
      <c r="NZ404" s="770"/>
      <c r="OA404" s="770"/>
      <c r="OB404" s="770"/>
      <c r="OC404" s="770"/>
      <c r="OD404" s="770"/>
      <c r="OE404" s="770"/>
      <c r="OF404" s="770"/>
      <c r="OG404" s="770"/>
      <c r="OH404" s="770"/>
      <c r="OI404" s="770"/>
      <c r="OJ404" s="770"/>
      <c r="OK404" s="770"/>
      <c r="OL404" s="770"/>
      <c r="OM404" s="770"/>
      <c r="ON404" s="770"/>
      <c r="OO404" s="770"/>
      <c r="OP404" s="770"/>
      <c r="OQ404" s="770"/>
      <c r="OR404" s="770"/>
      <c r="OS404" s="770"/>
      <c r="OT404" s="770"/>
      <c r="OU404" s="770"/>
      <c r="OV404" s="770"/>
      <c r="OW404" s="770"/>
      <c r="OX404" s="770"/>
      <c r="OY404" s="770"/>
      <c r="OZ404" s="770"/>
      <c r="PA404" s="770"/>
      <c r="PB404" s="770"/>
      <c r="PC404" s="770"/>
      <c r="PD404" s="770"/>
      <c r="PE404" s="770"/>
      <c r="PF404" s="770"/>
      <c r="PG404" s="770"/>
      <c r="PH404" s="770"/>
      <c r="PI404" s="770"/>
      <c r="PJ404" s="770"/>
      <c r="PK404" s="770"/>
      <c r="PL404" s="770"/>
      <c r="PM404" s="770"/>
      <c r="PN404" s="770"/>
      <c r="PO404" s="770"/>
      <c r="PP404" s="770"/>
      <c r="PQ404" s="770"/>
      <c r="PR404" s="770"/>
      <c r="PS404" s="770"/>
      <c r="PT404" s="770"/>
      <c r="PU404" s="770"/>
      <c r="PV404" s="770"/>
      <c r="PW404" s="770"/>
      <c r="PX404" s="770"/>
      <c r="PY404" s="770"/>
      <c r="PZ404" s="770"/>
      <c r="QA404" s="770"/>
      <c r="QB404" s="770"/>
      <c r="QC404" s="770"/>
      <c r="QD404" s="770"/>
      <c r="QE404" s="770"/>
      <c r="QF404" s="770"/>
      <c r="QG404" s="770"/>
      <c r="QH404" s="770"/>
      <c r="QI404" s="770"/>
      <c r="QJ404" s="770"/>
      <c r="QK404" s="770"/>
      <c r="QL404" s="770"/>
      <c r="QM404" s="770"/>
      <c r="QN404" s="770"/>
      <c r="QO404" s="770"/>
      <c r="QP404" s="770"/>
      <c r="QQ404" s="770"/>
      <c r="QR404" s="770"/>
      <c r="QS404" s="770"/>
      <c r="QT404" s="770"/>
      <c r="QU404" s="770"/>
      <c r="QV404" s="770"/>
      <c r="QW404" s="770"/>
      <c r="QX404" s="770"/>
      <c r="QY404" s="770"/>
      <c r="QZ404" s="770"/>
      <c r="RA404" s="770"/>
      <c r="RB404" s="770"/>
      <c r="RC404" s="770"/>
      <c r="RD404" s="770"/>
      <c r="RE404" s="770"/>
      <c r="RF404" s="304"/>
      <c r="RG404" s="770"/>
      <c r="RH404" s="302"/>
      <c r="RI404" s="770"/>
      <c r="RJ404" s="770"/>
      <c r="RK404" s="770"/>
      <c r="RL404" s="1710"/>
      <c r="RM404" s="12"/>
      <c r="RN404" s="1711"/>
      <c r="RO404" s="140" t="s">
        <v>665</v>
      </c>
      <c r="RP404" s="11"/>
      <c r="RQ404" s="11"/>
      <c r="RR404" s="771"/>
      <c r="RS404" s="767"/>
      <c r="RT404" s="11"/>
      <c r="RU404" s="11"/>
      <c r="RV404" s="771" t="s">
        <v>8102</v>
      </c>
      <c r="RW404" s="11" t="s">
        <v>5722</v>
      </c>
      <c r="RX404" s="11" t="s">
        <v>664</v>
      </c>
      <c r="RY404" s="11"/>
      <c r="RZ404" s="11" t="s">
        <v>2209</v>
      </c>
      <c r="SA404" s="771"/>
      <c r="SB404" s="11"/>
      <c r="SC404" s="11"/>
    </row>
    <row r="405" spans="1:497" ht="12.75" hidden="1" customHeight="1">
      <c r="A405" s="154" t="s">
        <v>7419</v>
      </c>
      <c r="B405" s="292" t="s">
        <v>7667</v>
      </c>
      <c r="C405" s="140" t="s">
        <v>667</v>
      </c>
      <c r="D405" s="94" t="s">
        <v>668</v>
      </c>
      <c r="E405" s="766" t="s">
        <v>622</v>
      </c>
      <c r="F405" s="770" t="s">
        <v>28</v>
      </c>
      <c r="G405" s="770" t="s">
        <v>10</v>
      </c>
      <c r="H405" s="770"/>
      <c r="I405" s="295" t="s">
        <v>669</v>
      </c>
      <c r="J405" s="94" t="s">
        <v>668</v>
      </c>
      <c r="K405" s="770"/>
      <c r="L405" s="770"/>
      <c r="M405" s="770"/>
      <c r="N405" s="770"/>
      <c r="O405" s="770"/>
      <c r="P405" s="94" t="s">
        <v>668</v>
      </c>
      <c r="Q405" s="1088">
        <v>29811</v>
      </c>
      <c r="R405" s="297">
        <v>36</v>
      </c>
      <c r="S405" s="770" t="s">
        <v>10</v>
      </c>
      <c r="T405" s="770"/>
      <c r="U405" s="298" t="s">
        <v>669</v>
      </c>
      <c r="V405" s="770" t="s">
        <v>707</v>
      </c>
      <c r="W405" s="770"/>
      <c r="X405" s="296"/>
      <c r="Y405" s="770" t="s">
        <v>1067</v>
      </c>
      <c r="Z405" s="770" t="s">
        <v>708</v>
      </c>
      <c r="AA405" s="770" t="s">
        <v>732</v>
      </c>
      <c r="AB405" s="770" t="s">
        <v>7275</v>
      </c>
      <c r="AC405" s="770"/>
      <c r="AD405" s="770"/>
      <c r="AE405" s="770" t="s">
        <v>909</v>
      </c>
      <c r="AF405" s="770" t="s">
        <v>712</v>
      </c>
      <c r="AG405" s="766" t="s">
        <v>1095</v>
      </c>
      <c r="AH405" s="766" t="s">
        <v>1096</v>
      </c>
      <c r="AI405" s="770" t="s">
        <v>1196</v>
      </c>
      <c r="AJ405" s="770"/>
      <c r="AK405" s="770" t="s">
        <v>1101</v>
      </c>
      <c r="AL405" s="299">
        <v>23.585000000000001</v>
      </c>
      <c r="AM405" s="300">
        <v>23.585000000000001</v>
      </c>
      <c r="AN405" s="301">
        <v>1</v>
      </c>
      <c r="AO405" s="766" t="s">
        <v>1122</v>
      </c>
      <c r="AP405" s="766" t="s">
        <v>11905</v>
      </c>
      <c r="AQ405" s="766"/>
      <c r="AR405" s="766"/>
      <c r="AS405" s="770"/>
      <c r="AT405" s="770"/>
      <c r="AU405" s="770"/>
      <c r="AV405" s="770"/>
      <c r="AW405" s="770"/>
      <c r="AX405" s="770"/>
      <c r="AY405" s="770"/>
      <c r="AZ405" s="770"/>
      <c r="BA405" s="770"/>
      <c r="BB405" s="770"/>
      <c r="BC405" s="770"/>
      <c r="BD405" s="770"/>
      <c r="BE405" s="770"/>
      <c r="BF405" s="302"/>
      <c r="BG405" s="302"/>
      <c r="BH405" s="770"/>
      <c r="BI405" s="770"/>
      <c r="BJ405" s="770"/>
      <c r="BK405" s="770" t="s">
        <v>1095</v>
      </c>
      <c r="BL405" s="770" t="s">
        <v>1384</v>
      </c>
      <c r="BM405" s="766" t="s">
        <v>1096</v>
      </c>
      <c r="BN405" s="770" t="s">
        <v>1230</v>
      </c>
      <c r="BO405" s="766" t="s">
        <v>1246</v>
      </c>
      <c r="BP405" s="1111">
        <v>23.585000000000001</v>
      </c>
      <c r="BQ405" s="772">
        <v>23.585000000000001</v>
      </c>
      <c r="BR405" s="774">
        <f>BQ405/BP405</f>
        <v>1</v>
      </c>
      <c r="BS405" s="766" t="s">
        <v>1257</v>
      </c>
      <c r="BT405" s="766" t="s">
        <v>8133</v>
      </c>
      <c r="BU405" s="770" t="s">
        <v>1385</v>
      </c>
      <c r="BV405" s="770" t="s">
        <v>1247</v>
      </c>
      <c r="BW405" s="770">
        <v>2007</v>
      </c>
      <c r="BX405" s="302">
        <v>60000</v>
      </c>
      <c r="BY405" s="303"/>
      <c r="BZ405" s="770"/>
      <c r="CA405" s="302"/>
      <c r="CB405" s="302"/>
      <c r="CC405" s="770"/>
      <c r="CD405" s="770"/>
      <c r="CE405" s="770"/>
      <c r="CF405" s="304"/>
      <c r="CG405" s="321"/>
      <c r="CH405" s="770"/>
      <c r="CI405" s="770"/>
      <c r="CJ405" s="770"/>
      <c r="CK405" s="770"/>
      <c r="CL405" s="770"/>
      <c r="CM405" s="770"/>
      <c r="CN405" s="770"/>
      <c r="CO405" s="770"/>
      <c r="CP405" s="770"/>
      <c r="CQ405" s="770"/>
      <c r="CR405" s="770"/>
      <c r="CS405" s="302"/>
      <c r="CT405" s="770"/>
      <c r="CU405" s="305"/>
      <c r="CV405" s="770"/>
      <c r="CW405" s="770"/>
      <c r="CX405" s="770"/>
      <c r="CY405" s="770"/>
      <c r="CZ405" s="770"/>
      <c r="DA405" s="306"/>
      <c r="DB405" s="770"/>
      <c r="DC405" s="770"/>
      <c r="DD405" s="770"/>
      <c r="DE405" s="300"/>
      <c r="DF405" s="770"/>
      <c r="DG405" s="770"/>
      <c r="DH405" s="770"/>
      <c r="DI405" s="770"/>
      <c r="DJ405" s="770"/>
      <c r="DK405" s="770"/>
      <c r="DL405" s="770"/>
      <c r="DM405" s="770"/>
      <c r="DN405" s="322"/>
      <c r="DO405" s="770"/>
      <c r="DP405" s="770"/>
      <c r="DQ405" s="770"/>
      <c r="DR405" s="770"/>
      <c r="DS405" s="307"/>
      <c r="DT405" s="770"/>
      <c r="DU405" s="770"/>
      <c r="DV405" s="770"/>
      <c r="DW405" s="306"/>
      <c r="DX405" s="306"/>
      <c r="DY405" s="770"/>
      <c r="DZ405" s="770"/>
      <c r="EA405" s="770"/>
      <c r="EB405" s="770"/>
      <c r="EC405" s="770"/>
      <c r="ED405" s="770"/>
      <c r="EE405" s="770"/>
      <c r="EF405" s="770"/>
      <c r="EG405" s="770"/>
      <c r="EH405" s="770"/>
      <c r="EI405" s="770"/>
      <c r="EJ405" s="770"/>
      <c r="EK405" s="770"/>
      <c r="EL405" s="770"/>
      <c r="EM405" s="770"/>
      <c r="EN405" s="770"/>
      <c r="EO405" s="770"/>
      <c r="EP405" s="94"/>
      <c r="EQ405" s="770"/>
      <c r="ER405" s="770"/>
      <c r="ES405" s="770"/>
      <c r="ET405" s="770"/>
      <c r="EU405" s="770"/>
      <c r="EV405" s="770"/>
      <c r="EW405" s="770"/>
      <c r="EX405" s="770"/>
      <c r="EY405" s="770"/>
      <c r="EZ405" s="770"/>
      <c r="FA405" s="770"/>
      <c r="FB405" s="770"/>
      <c r="FC405" s="770"/>
      <c r="FD405" s="302"/>
      <c r="FE405" s="770"/>
      <c r="FF405" s="770"/>
      <c r="FG405" s="770"/>
      <c r="FH405" s="770" t="s">
        <v>478</v>
      </c>
      <c r="FI405" s="770">
        <v>1</v>
      </c>
      <c r="FJ405" s="770"/>
      <c r="FK405" s="770"/>
      <c r="FL405" s="770"/>
      <c r="FM405" s="302"/>
      <c r="FN405" s="302"/>
      <c r="FO405" s="302"/>
      <c r="FP405" s="766" t="s">
        <v>1602</v>
      </c>
      <c r="FQ405" s="766" t="s">
        <v>1660</v>
      </c>
      <c r="FR405" s="770"/>
      <c r="FS405" s="770"/>
      <c r="FT405" s="770"/>
      <c r="FU405" s="770"/>
      <c r="FV405" s="770"/>
      <c r="FW405" s="770"/>
      <c r="FX405" s="770"/>
      <c r="FY405" s="770"/>
      <c r="FZ405" s="770"/>
      <c r="GA405" s="770"/>
      <c r="GB405" s="770"/>
      <c r="GC405" s="308"/>
      <c r="GD405" s="297"/>
      <c r="GE405" s="770"/>
      <c r="GF405" s="302"/>
      <c r="GG405" s="302"/>
      <c r="GH405" s="770" t="s">
        <v>1791</v>
      </c>
      <c r="GI405" s="770"/>
      <c r="GJ405" s="770" t="s">
        <v>913</v>
      </c>
      <c r="GK405" s="770" t="s">
        <v>2345</v>
      </c>
      <c r="GL405" s="770" t="s">
        <v>1834</v>
      </c>
      <c r="GM405" s="770"/>
      <c r="GN405" s="309" t="s">
        <v>1217</v>
      </c>
      <c r="GO405" s="770"/>
      <c r="GP405" s="770" t="s">
        <v>1208</v>
      </c>
      <c r="GQ405" s="770"/>
      <c r="GR405" s="770"/>
      <c r="GS405" s="770"/>
      <c r="GT405" s="770"/>
      <c r="GU405" s="770"/>
      <c r="GV405" s="770"/>
      <c r="GW405" s="770"/>
      <c r="GX405" s="770"/>
      <c r="GY405" s="770"/>
      <c r="GZ405" s="770"/>
      <c r="HA405" s="770" t="s">
        <v>1208</v>
      </c>
      <c r="HB405" s="770"/>
      <c r="HC405" s="770"/>
      <c r="HD405" s="770"/>
      <c r="HE405" s="770"/>
      <c r="HF405" s="770"/>
      <c r="HG405" s="770"/>
      <c r="HH405" s="770"/>
      <c r="HI405" s="770" t="s">
        <v>1214</v>
      </c>
      <c r="HJ405" s="770"/>
      <c r="HK405" s="770"/>
      <c r="HL405" s="770"/>
      <c r="HM405" s="770"/>
      <c r="HN405" s="770"/>
      <c r="HO405" s="770"/>
      <c r="HP405" s="770"/>
      <c r="HQ405" s="770"/>
      <c r="HR405" s="770"/>
      <c r="HS405" s="770"/>
      <c r="HT405" s="770"/>
      <c r="HU405" s="770"/>
      <c r="HV405" s="770"/>
      <c r="HW405" s="770"/>
      <c r="HX405" s="770"/>
      <c r="HY405" s="770"/>
      <c r="HZ405" s="770"/>
      <c r="IA405" s="770"/>
      <c r="IB405" s="14" t="e">
        <f>IF(#REF!&gt;0,IF(#REF!&lt;=10000,"Y",""),"")</f>
        <v>#REF!</v>
      </c>
      <c r="IC405" s="770"/>
      <c r="ID405" s="770">
        <v>1</v>
      </c>
      <c r="IE405" s="770"/>
      <c r="IF405" s="770"/>
      <c r="IG405" s="770"/>
      <c r="IH405" s="770"/>
      <c r="II405" s="770"/>
      <c r="IJ405" s="770"/>
      <c r="IK405" s="770"/>
      <c r="IL405" s="770"/>
      <c r="IM405" s="770"/>
      <c r="IN405" s="770"/>
      <c r="IO405" s="296"/>
      <c r="IP405" s="770"/>
      <c r="IQ405" s="770"/>
      <c r="IR405" s="770"/>
      <c r="IS405" s="770"/>
      <c r="IT405" s="770"/>
      <c r="IU405" s="770"/>
      <c r="IV405" s="770"/>
      <c r="IW405" s="770"/>
      <c r="IX405" s="770"/>
      <c r="IY405" s="770"/>
      <c r="IZ405" s="770"/>
      <c r="JA405" s="770"/>
      <c r="JB405" s="770"/>
      <c r="JC405" s="770"/>
      <c r="JD405" s="302"/>
      <c r="JE405" s="770"/>
      <c r="JF405" s="770"/>
      <c r="JG405" s="770"/>
      <c r="JH405" s="770"/>
      <c r="JI405" s="712" t="str">
        <f>IF(SUM(JT405,JU405)=JJ405,"ok","review")</f>
        <v>ok</v>
      </c>
      <c r="JJ405" s="770">
        <v>6</v>
      </c>
      <c r="JK405" s="1139" t="s">
        <v>2126</v>
      </c>
      <c r="JL405" s="770">
        <v>1</v>
      </c>
      <c r="JM405" s="770">
        <v>1</v>
      </c>
      <c r="JN405" s="770">
        <v>2</v>
      </c>
      <c r="JO405" s="770">
        <v>1</v>
      </c>
      <c r="JP405" s="770"/>
      <c r="JQ405" s="770">
        <v>1</v>
      </c>
      <c r="JR405" s="770"/>
      <c r="JS405" s="770"/>
      <c r="JT405" s="766">
        <f t="shared" ref="JT405:JU407" si="104">SUM(JP405,JN405,JL405,JR405)</f>
        <v>3</v>
      </c>
      <c r="JU405" s="766">
        <f t="shared" si="104"/>
        <v>3</v>
      </c>
      <c r="JV405" s="712" t="str">
        <f>IF(JT405=KJ405,"ok","male")</f>
        <v>ok</v>
      </c>
      <c r="JW405" s="712" t="str">
        <f>IF(JU405=KK405,"ok","female")</f>
        <v>ok</v>
      </c>
      <c r="JX405" s="770">
        <v>1</v>
      </c>
      <c r="JY405" s="770"/>
      <c r="JZ405" s="770"/>
      <c r="KA405" s="770">
        <v>1</v>
      </c>
      <c r="KB405" s="770">
        <v>1</v>
      </c>
      <c r="KC405" s="770"/>
      <c r="KD405" s="770">
        <v>1</v>
      </c>
      <c r="KE405" s="770">
        <v>1</v>
      </c>
      <c r="KF405" s="770"/>
      <c r="KG405" s="770">
        <v>1</v>
      </c>
      <c r="KH405" s="770"/>
      <c r="KI405" s="770"/>
      <c r="KJ405" s="770">
        <f t="shared" si="103"/>
        <v>3</v>
      </c>
      <c r="KK405" s="770">
        <f t="shared" si="103"/>
        <v>3</v>
      </c>
      <c r="KL405" s="712" t="str">
        <f>IF(KJ405=LN405,"ok","male")</f>
        <v>ok</v>
      </c>
      <c r="KM405" s="712" t="str">
        <f>IF(KK405=LO405,"ok","female")</f>
        <v>ok</v>
      </c>
      <c r="KN405" s="770" t="s">
        <v>707</v>
      </c>
      <c r="KO405" s="770"/>
      <c r="KP405" s="770"/>
      <c r="KQ405" s="770"/>
      <c r="KR405" s="770"/>
      <c r="KS405" s="770"/>
      <c r="KT405" s="770"/>
      <c r="KU405" s="770">
        <v>1</v>
      </c>
      <c r="KV405" s="770"/>
      <c r="KW405" s="770"/>
      <c r="KX405" s="770"/>
      <c r="KY405" s="770"/>
      <c r="KZ405" s="770">
        <v>1</v>
      </c>
      <c r="LA405" s="770">
        <v>1</v>
      </c>
      <c r="LB405" s="770"/>
      <c r="LC405" s="770"/>
      <c r="LD405" s="770"/>
      <c r="LE405" s="770">
        <v>1</v>
      </c>
      <c r="LF405" s="770"/>
      <c r="LG405" s="770"/>
      <c r="LH405" s="770">
        <v>1</v>
      </c>
      <c r="LI405" s="770"/>
      <c r="LJ405" s="770">
        <v>1</v>
      </c>
      <c r="LK405" s="770"/>
      <c r="LL405" s="770"/>
      <c r="LM405" s="770"/>
      <c r="LN405" s="766">
        <f t="shared" ref="LN405:LO407" si="105">SUM(KP405,KR405,KT405,KV405,KX405,KZ405,LB405,LD405,LF405,LH405,LJ405,LL405)</f>
        <v>3</v>
      </c>
      <c r="LO405" s="766">
        <f t="shared" si="105"/>
        <v>3</v>
      </c>
      <c r="LP405" s="770">
        <v>2</v>
      </c>
      <c r="LQ405" s="770">
        <v>2</v>
      </c>
      <c r="LR405" s="770"/>
      <c r="LS405" s="770"/>
      <c r="LT405" s="712" t="str">
        <f>IF(LQ405=SUM(LU405:LW405),"OK","REV")</f>
        <v>OK</v>
      </c>
      <c r="LU405" s="770">
        <v>2</v>
      </c>
      <c r="LV405" s="770"/>
      <c r="LW405" s="770"/>
      <c r="LX405" s="769">
        <v>1</v>
      </c>
      <c r="LY405" s="766" t="str">
        <f t="shared" si="100"/>
        <v>within the BRGY</v>
      </c>
      <c r="LZ405" s="299">
        <v>300</v>
      </c>
      <c r="MA405" s="306"/>
      <c r="MB405" s="306"/>
      <c r="MC405" s="1679">
        <f t="shared" si="99"/>
        <v>300</v>
      </c>
      <c r="MD405" s="306">
        <f>SUM(11544,20000)</f>
        <v>31544</v>
      </c>
      <c r="ME405" s="306"/>
      <c r="MF405" s="306"/>
      <c r="MG405" s="1680">
        <f>SUM(MD405:MF405)</f>
        <v>31544</v>
      </c>
      <c r="MH405" s="770" t="s">
        <v>13519</v>
      </c>
      <c r="MI405" s="302">
        <v>6000</v>
      </c>
      <c r="MJ405" s="302">
        <v>180</v>
      </c>
      <c r="MK405" s="302">
        <v>1500</v>
      </c>
      <c r="ML405" s="302">
        <v>1000</v>
      </c>
      <c r="MM405" s="302">
        <v>1200</v>
      </c>
      <c r="MN405" s="302"/>
      <c r="MO405" s="302">
        <v>200</v>
      </c>
      <c r="MP405" s="302">
        <v>650</v>
      </c>
      <c r="MQ405" s="302">
        <v>500</v>
      </c>
      <c r="MR405" s="302">
        <v>600</v>
      </c>
      <c r="MS405" s="302">
        <v>1500</v>
      </c>
      <c r="MT405" s="302"/>
      <c r="MU405" s="302"/>
      <c r="MV405" s="302"/>
      <c r="MW405" s="302"/>
      <c r="MX405" s="302"/>
      <c r="MY405" s="1682">
        <f t="shared" si="102"/>
        <v>13330</v>
      </c>
      <c r="MZ405" s="770" t="s">
        <v>13370</v>
      </c>
      <c r="NA405" s="770" t="s">
        <v>13005</v>
      </c>
      <c r="NB405" s="770" t="s">
        <v>13164</v>
      </c>
      <c r="NC405" s="770" t="s">
        <v>13007</v>
      </c>
      <c r="ND405" s="770">
        <v>0</v>
      </c>
      <c r="NE405" s="770">
        <v>1</v>
      </c>
      <c r="NF405" s="770">
        <v>1</v>
      </c>
      <c r="NG405" s="770">
        <v>2</v>
      </c>
      <c r="NH405" s="770">
        <v>1</v>
      </c>
      <c r="NI405" s="770">
        <v>0</v>
      </c>
      <c r="NJ405" s="770">
        <v>1</v>
      </c>
      <c r="NK405" s="770">
        <v>0</v>
      </c>
      <c r="NL405" s="770">
        <v>1</v>
      </c>
      <c r="NM405" s="770">
        <v>0</v>
      </c>
      <c r="NN405" s="770">
        <v>0</v>
      </c>
      <c r="NO405" s="770">
        <v>0</v>
      </c>
      <c r="NP405" s="770">
        <v>0</v>
      </c>
      <c r="NQ405" s="770">
        <v>0</v>
      </c>
      <c r="NR405" s="770">
        <v>0</v>
      </c>
      <c r="NS405" s="770">
        <v>0</v>
      </c>
      <c r="NT405" s="770">
        <v>0</v>
      </c>
      <c r="NU405" s="770">
        <v>0</v>
      </c>
      <c r="NV405" s="770">
        <v>0</v>
      </c>
      <c r="NW405" s="770">
        <v>0</v>
      </c>
      <c r="NX405" s="770">
        <v>0</v>
      </c>
      <c r="NY405" s="770" t="s">
        <v>1208</v>
      </c>
      <c r="NZ405" s="770" t="s">
        <v>1208</v>
      </c>
      <c r="OA405" s="770" t="s">
        <v>1208</v>
      </c>
      <c r="OB405" s="770" t="s">
        <v>1208</v>
      </c>
      <c r="OC405" s="770" t="s">
        <v>1208</v>
      </c>
      <c r="OD405" s="770" t="s">
        <v>1208</v>
      </c>
      <c r="OE405" s="770"/>
      <c r="OF405" s="770"/>
      <c r="OG405" s="770"/>
      <c r="OH405" s="770"/>
      <c r="OI405" s="770"/>
      <c r="OJ405" s="770"/>
      <c r="OK405" s="770"/>
      <c r="OL405" s="770"/>
      <c r="OM405" s="770"/>
      <c r="ON405" s="770"/>
      <c r="OO405" s="770"/>
      <c r="OP405" s="770"/>
      <c r="OQ405" s="770"/>
      <c r="OR405" s="770"/>
      <c r="OS405" s="770"/>
      <c r="OT405" s="770"/>
      <c r="OU405" s="770"/>
      <c r="OV405" s="770"/>
      <c r="OW405" s="770"/>
      <c r="OX405" s="770"/>
      <c r="OY405" s="770"/>
      <c r="OZ405" s="770"/>
      <c r="PA405" s="770"/>
      <c r="PB405" s="770"/>
      <c r="PC405" s="770"/>
      <c r="PD405" s="770"/>
      <c r="PE405" s="770"/>
      <c r="PF405" s="770"/>
      <c r="PG405" s="770"/>
      <c r="PH405" s="770"/>
      <c r="PI405" s="770"/>
      <c r="PJ405" s="770"/>
      <c r="PK405" s="770"/>
      <c r="PL405" s="770"/>
      <c r="PM405" s="770"/>
      <c r="PN405" s="770"/>
      <c r="PO405" s="770"/>
      <c r="PP405" s="770"/>
      <c r="PQ405" s="770"/>
      <c r="PR405" s="770" t="s">
        <v>1208</v>
      </c>
      <c r="PS405" s="770" t="s">
        <v>1208</v>
      </c>
      <c r="PT405" s="770" t="s">
        <v>1208</v>
      </c>
      <c r="PU405" s="770"/>
      <c r="PV405" s="770"/>
      <c r="PW405" s="770"/>
      <c r="PX405" s="770"/>
      <c r="PY405" s="770"/>
      <c r="PZ405" s="770"/>
      <c r="QA405" s="770"/>
      <c r="QB405" s="770"/>
      <c r="QC405" s="770"/>
      <c r="QD405" s="770"/>
      <c r="QE405" s="770"/>
      <c r="QF405" s="770"/>
      <c r="QG405" s="770"/>
      <c r="QH405" s="770"/>
      <c r="QI405" s="770"/>
      <c r="QJ405" s="770"/>
      <c r="QK405" s="770"/>
      <c r="QL405" s="770"/>
      <c r="QM405" s="770"/>
      <c r="QN405" s="770"/>
      <c r="QO405" s="770"/>
      <c r="QP405" s="770"/>
      <c r="QQ405" s="770"/>
      <c r="QR405" s="770"/>
      <c r="QS405" s="770"/>
      <c r="QT405" s="770"/>
      <c r="QU405" s="770"/>
      <c r="QV405" s="770"/>
      <c r="QW405" s="770"/>
      <c r="QX405" s="770"/>
      <c r="QY405" s="770"/>
      <c r="QZ405" s="770"/>
      <c r="RA405" s="770"/>
      <c r="RB405" s="770" t="s">
        <v>1207</v>
      </c>
      <c r="RC405" s="770">
        <v>2016</v>
      </c>
      <c r="RD405" s="770" t="s">
        <v>13046</v>
      </c>
      <c r="RE405" s="770" t="s">
        <v>12999</v>
      </c>
      <c r="RF405" s="304">
        <v>2</v>
      </c>
      <c r="RG405" s="770" t="s">
        <v>13017</v>
      </c>
      <c r="RH405" s="302">
        <v>2000</v>
      </c>
      <c r="RI405" s="770">
        <v>1</v>
      </c>
      <c r="RJ405" s="770" t="s">
        <v>2126</v>
      </c>
      <c r="RK405" s="770" t="s">
        <v>13381</v>
      </c>
      <c r="RL405" s="1710"/>
      <c r="RM405" s="12"/>
      <c r="RN405" s="1711"/>
      <c r="RO405" s="140" t="s">
        <v>667</v>
      </c>
      <c r="RP405" s="11"/>
      <c r="RQ405" s="11"/>
      <c r="RR405" s="154" t="s">
        <v>7419</v>
      </c>
      <c r="RS405" s="1139" t="s">
        <v>12980</v>
      </c>
      <c r="RT405" s="11"/>
      <c r="RU405" s="11"/>
      <c r="RV405" s="771" t="s">
        <v>8102</v>
      </c>
      <c r="RW405" s="11" t="s">
        <v>5725</v>
      </c>
      <c r="RX405" s="11" t="s">
        <v>664</v>
      </c>
      <c r="RY405" s="11"/>
      <c r="RZ405" s="11" t="s">
        <v>2209</v>
      </c>
      <c r="SA405" s="771"/>
      <c r="SB405" s="11"/>
      <c r="SC405" s="11"/>
    </row>
    <row r="406" spans="1:497" ht="12.75" hidden="1" customHeight="1">
      <c r="A406" s="154" t="s">
        <v>7419</v>
      </c>
      <c r="B406" s="292" t="s">
        <v>11623</v>
      </c>
      <c r="C406" s="140" t="s">
        <v>670</v>
      </c>
      <c r="D406" s="770" t="s">
        <v>5731</v>
      </c>
      <c r="E406" s="766" t="s">
        <v>609</v>
      </c>
      <c r="F406" s="770" t="s">
        <v>20</v>
      </c>
      <c r="G406" s="770" t="s">
        <v>18</v>
      </c>
      <c r="H406" s="770"/>
      <c r="I406" s="295" t="s">
        <v>5732</v>
      </c>
      <c r="J406" s="770" t="s">
        <v>5733</v>
      </c>
      <c r="K406" s="770"/>
      <c r="L406" s="770"/>
      <c r="M406" s="770"/>
      <c r="N406" s="770"/>
      <c r="O406" s="770"/>
      <c r="P406" s="94" t="s">
        <v>5734</v>
      </c>
      <c r="Q406" s="1088">
        <v>27415</v>
      </c>
      <c r="R406" s="297">
        <v>42</v>
      </c>
      <c r="S406" s="770" t="s">
        <v>10</v>
      </c>
      <c r="T406" s="770"/>
      <c r="U406" s="295" t="s">
        <v>5732</v>
      </c>
      <c r="V406" s="770"/>
      <c r="W406" s="770"/>
      <c r="X406" s="296"/>
      <c r="Y406" s="770" t="s">
        <v>609</v>
      </c>
      <c r="Z406" s="770" t="s">
        <v>708</v>
      </c>
      <c r="AA406" s="770" t="s">
        <v>748</v>
      </c>
      <c r="AB406" s="770" t="s">
        <v>4652</v>
      </c>
      <c r="AC406" s="770"/>
      <c r="AD406" s="770"/>
      <c r="AE406" s="770" t="s">
        <v>5735</v>
      </c>
      <c r="AF406" s="770" t="s">
        <v>712</v>
      </c>
      <c r="AG406" s="770" t="s">
        <v>1132</v>
      </c>
      <c r="AH406" s="766" t="s">
        <v>1096</v>
      </c>
      <c r="AI406" s="770"/>
      <c r="AJ406" s="770" t="s">
        <v>1137</v>
      </c>
      <c r="AK406" s="770" t="s">
        <v>1101</v>
      </c>
      <c r="AL406" s="299">
        <v>20.9</v>
      </c>
      <c r="AM406" s="300">
        <v>11</v>
      </c>
      <c r="AN406" s="301">
        <v>0.52629999999999999</v>
      </c>
      <c r="AO406" s="766" t="s">
        <v>1105</v>
      </c>
      <c r="AP406" s="766"/>
      <c r="AQ406" s="766"/>
      <c r="AR406" s="766"/>
      <c r="AS406" s="770"/>
      <c r="AT406" s="770"/>
      <c r="AU406" s="770"/>
      <c r="AV406" s="770"/>
      <c r="AW406" s="770"/>
      <c r="AX406" s="770"/>
      <c r="AY406" s="770"/>
      <c r="AZ406" s="770"/>
      <c r="BA406" s="770"/>
      <c r="BB406" s="770"/>
      <c r="BC406" s="770"/>
      <c r="BD406" s="770"/>
      <c r="BE406" s="770"/>
      <c r="BF406" s="302"/>
      <c r="BG406" s="302"/>
      <c r="BH406" s="770"/>
      <c r="BI406" s="770"/>
      <c r="BJ406" s="770"/>
      <c r="BK406" s="770" t="s">
        <v>1095</v>
      </c>
      <c r="BL406" s="770" t="s">
        <v>8121</v>
      </c>
      <c r="BM406" s="766" t="s">
        <v>1096</v>
      </c>
      <c r="BN406" s="770" t="s">
        <v>1230</v>
      </c>
      <c r="BO406" s="766" t="s">
        <v>1246</v>
      </c>
      <c r="BP406" s="1111">
        <v>20.9</v>
      </c>
      <c r="BQ406" s="772">
        <v>11</v>
      </c>
      <c r="BR406" s="774">
        <f>BQ406/BP406</f>
        <v>0.52631578947368429</v>
      </c>
      <c r="BS406" s="6" t="s">
        <v>1105</v>
      </c>
      <c r="BT406" s="766" t="s">
        <v>8133</v>
      </c>
      <c r="BU406" s="770" t="s">
        <v>1378</v>
      </c>
      <c r="BV406" s="770" t="s">
        <v>1247</v>
      </c>
      <c r="BW406" s="769"/>
      <c r="BX406" s="302"/>
      <c r="BY406" s="303"/>
      <c r="BZ406" s="770"/>
      <c r="CA406" s="302"/>
      <c r="CB406" s="302"/>
      <c r="CC406" s="770"/>
      <c r="CD406" s="770"/>
      <c r="CE406" s="770"/>
      <c r="CF406" s="304"/>
      <c r="CG406" s="321"/>
      <c r="CH406" s="770"/>
      <c r="CI406" s="770"/>
      <c r="CJ406" s="770"/>
      <c r="CK406" s="770"/>
      <c r="CL406" s="770"/>
      <c r="CM406" s="770"/>
      <c r="CN406" s="770"/>
      <c r="CO406" s="770"/>
      <c r="CP406" s="770"/>
      <c r="CQ406" s="770"/>
      <c r="CR406" s="770"/>
      <c r="CS406" s="302"/>
      <c r="CT406" s="770"/>
      <c r="CU406" s="305"/>
      <c r="CV406" s="770"/>
      <c r="CW406" s="770"/>
      <c r="CX406" s="770"/>
      <c r="CY406" s="770"/>
      <c r="CZ406" s="770"/>
      <c r="DA406" s="306"/>
      <c r="DB406" s="770"/>
      <c r="DC406" s="770"/>
      <c r="DD406" s="770"/>
      <c r="DE406" s="300"/>
      <c r="DF406" s="770"/>
      <c r="DG406" s="770"/>
      <c r="DH406" s="770"/>
      <c r="DI406" s="770"/>
      <c r="DJ406" s="770"/>
      <c r="DK406" s="770"/>
      <c r="DL406" s="770"/>
      <c r="DM406" s="770"/>
      <c r="DN406" s="322"/>
      <c r="DO406" s="770"/>
      <c r="DP406" s="770"/>
      <c r="DQ406" s="770"/>
      <c r="DR406" s="770"/>
      <c r="DS406" s="307"/>
      <c r="DT406" s="770"/>
      <c r="DU406" s="770"/>
      <c r="DV406" s="770"/>
      <c r="DW406" s="306"/>
      <c r="DX406" s="306"/>
      <c r="DY406" s="770"/>
      <c r="DZ406" s="770"/>
      <c r="EA406" s="770"/>
      <c r="EB406" s="770"/>
      <c r="EC406" s="770"/>
      <c r="ED406" s="770"/>
      <c r="EE406" s="770"/>
      <c r="EF406" s="770"/>
      <c r="EG406" s="770"/>
      <c r="EH406" s="770"/>
      <c r="EI406" s="770"/>
      <c r="EJ406" s="770"/>
      <c r="EK406" s="770"/>
      <c r="EL406" s="770"/>
      <c r="EM406" s="770"/>
      <c r="EN406" s="770"/>
      <c r="EO406" s="770"/>
      <c r="EP406" s="94"/>
      <c r="EQ406" s="770"/>
      <c r="ER406" s="770"/>
      <c r="ES406" s="770"/>
      <c r="ET406" s="770"/>
      <c r="EU406" s="770"/>
      <c r="EV406" s="770"/>
      <c r="EW406" s="770"/>
      <c r="EX406" s="770"/>
      <c r="EY406" s="770"/>
      <c r="EZ406" s="770"/>
      <c r="FA406" s="770"/>
      <c r="FB406" s="770"/>
      <c r="FC406" s="770"/>
      <c r="FD406" s="302"/>
      <c r="FE406" s="770"/>
      <c r="FF406" s="770"/>
      <c r="FG406" s="770"/>
      <c r="FH406" s="770" t="s">
        <v>1306</v>
      </c>
      <c r="FI406" s="770">
        <v>1</v>
      </c>
      <c r="FJ406" s="770" t="s">
        <v>2029</v>
      </c>
      <c r="FK406" s="770" t="s">
        <v>1068</v>
      </c>
      <c r="FL406" s="770" t="s">
        <v>609</v>
      </c>
      <c r="FM406" s="147">
        <v>2000</v>
      </c>
      <c r="FN406" s="302">
        <v>400</v>
      </c>
      <c r="FO406" s="302">
        <v>400</v>
      </c>
      <c r="FP406" s="766" t="s">
        <v>1602</v>
      </c>
      <c r="FQ406" s="766" t="s">
        <v>1660</v>
      </c>
      <c r="FR406" s="770"/>
      <c r="FS406" s="770"/>
      <c r="FT406" s="770"/>
      <c r="FU406" s="770"/>
      <c r="FV406" s="770"/>
      <c r="FW406" s="770"/>
      <c r="FX406" s="770"/>
      <c r="FY406" s="770"/>
      <c r="FZ406" s="770"/>
      <c r="GA406" s="770"/>
      <c r="GB406" s="770"/>
      <c r="GC406" s="308"/>
      <c r="GD406" s="1757"/>
      <c r="GE406" s="770"/>
      <c r="GF406" s="302"/>
      <c r="GG406" s="302"/>
      <c r="GH406" s="770" t="s">
        <v>1791</v>
      </c>
      <c r="GI406" s="770" t="s">
        <v>2352</v>
      </c>
      <c r="GJ406" s="770" t="s">
        <v>3209</v>
      </c>
      <c r="GK406" s="770" t="s">
        <v>2345</v>
      </c>
      <c r="GL406" s="770"/>
      <c r="GM406" s="770"/>
      <c r="GN406" s="309">
        <v>50</v>
      </c>
      <c r="GO406" s="770" t="s">
        <v>2760</v>
      </c>
      <c r="GP406" s="770"/>
      <c r="GQ406" s="770" t="s">
        <v>1208</v>
      </c>
      <c r="GR406" s="770"/>
      <c r="GS406" s="770" t="s">
        <v>1208</v>
      </c>
      <c r="GT406" s="770" t="s">
        <v>1208</v>
      </c>
      <c r="GU406" s="770"/>
      <c r="GV406" s="770"/>
      <c r="GW406" s="770" t="s">
        <v>1207</v>
      </c>
      <c r="GX406" s="770"/>
      <c r="GY406" s="770" t="s">
        <v>1208</v>
      </c>
      <c r="GZ406" s="770"/>
      <c r="HA406" s="770" t="s">
        <v>1208</v>
      </c>
      <c r="HB406" s="770" t="s">
        <v>1208</v>
      </c>
      <c r="HC406" s="770" t="s">
        <v>1208</v>
      </c>
      <c r="HD406" s="770" t="s">
        <v>1208</v>
      </c>
      <c r="HE406" s="770" t="s">
        <v>1208</v>
      </c>
      <c r="HF406" s="770"/>
      <c r="HG406" s="770"/>
      <c r="HH406" s="770"/>
      <c r="HI406" s="770" t="s">
        <v>1214</v>
      </c>
      <c r="HJ406" s="770"/>
      <c r="HK406" s="770"/>
      <c r="HL406" s="770"/>
      <c r="HM406" s="770"/>
      <c r="HN406" s="770"/>
      <c r="HO406" s="770"/>
      <c r="HP406" s="770"/>
      <c r="HQ406" s="770"/>
      <c r="HR406" s="770"/>
      <c r="HS406" s="770"/>
      <c r="HT406" s="770"/>
      <c r="HU406" s="770"/>
      <c r="HV406" s="770"/>
      <c r="HW406" s="770"/>
      <c r="HX406" s="770"/>
      <c r="HY406" s="770"/>
      <c r="HZ406" s="770"/>
      <c r="IA406" s="770"/>
      <c r="IB406" s="14" t="e">
        <f>IF(#REF!&gt;0,IF(#REF!&lt;=10000,"Y",""),"")</f>
        <v>#REF!</v>
      </c>
      <c r="IC406" s="770"/>
      <c r="ID406" s="770"/>
      <c r="IE406" s="770"/>
      <c r="IF406" s="770"/>
      <c r="IG406" s="770"/>
      <c r="IH406" s="770"/>
      <c r="II406" s="770"/>
      <c r="IJ406" s="770"/>
      <c r="IK406" s="766"/>
      <c r="IL406" s="770"/>
      <c r="IM406" s="770"/>
      <c r="IN406" s="770"/>
      <c r="IO406" s="296"/>
      <c r="IP406" s="770"/>
      <c r="IQ406" s="770"/>
      <c r="IR406" s="770"/>
      <c r="IS406" s="770"/>
      <c r="IT406" s="770"/>
      <c r="IU406" s="770"/>
      <c r="IV406" s="770"/>
      <c r="IW406" s="770"/>
      <c r="IX406" s="770"/>
      <c r="IY406" s="770"/>
      <c r="IZ406" s="770"/>
      <c r="JA406" s="770"/>
      <c r="JB406" s="770"/>
      <c r="JC406" s="770"/>
      <c r="JD406" s="302"/>
      <c r="JE406" s="770"/>
      <c r="JF406" s="770"/>
      <c r="JG406" s="770"/>
      <c r="JH406" s="770"/>
      <c r="JI406" s="712" t="str">
        <f>IF(SUM(JT406,JU406)=JJ406,"ok","review")</f>
        <v>ok</v>
      </c>
      <c r="JJ406" s="770">
        <v>5</v>
      </c>
      <c r="JK406" s="1139" t="s">
        <v>5736</v>
      </c>
      <c r="JL406" s="770">
        <v>1</v>
      </c>
      <c r="JM406" s="770">
        <v>2</v>
      </c>
      <c r="JN406" s="770">
        <v>1</v>
      </c>
      <c r="JO406" s="770">
        <v>1</v>
      </c>
      <c r="JP406" s="770"/>
      <c r="JQ406" s="770"/>
      <c r="JR406" s="770"/>
      <c r="JS406" s="770"/>
      <c r="JT406" s="766">
        <f t="shared" si="104"/>
        <v>2</v>
      </c>
      <c r="JU406" s="766">
        <f t="shared" si="104"/>
        <v>3</v>
      </c>
      <c r="JV406" s="712" t="str">
        <f>IF(JT406=KJ406,"ok","male")</f>
        <v>ok</v>
      </c>
      <c r="JW406" s="712" t="str">
        <f>IF(JU406=KK406,"ok","female")</f>
        <v>ok</v>
      </c>
      <c r="JX406" s="770"/>
      <c r="JY406" s="770">
        <v>1</v>
      </c>
      <c r="JZ406" s="770">
        <v>1</v>
      </c>
      <c r="KA406" s="770">
        <v>1</v>
      </c>
      <c r="KB406" s="770"/>
      <c r="KC406" s="770"/>
      <c r="KD406" s="770">
        <v>1</v>
      </c>
      <c r="KE406" s="770">
        <v>1</v>
      </c>
      <c r="KF406" s="770"/>
      <c r="KG406" s="770"/>
      <c r="KH406" s="770"/>
      <c r="KI406" s="770"/>
      <c r="KJ406" s="770">
        <f t="shared" si="103"/>
        <v>2</v>
      </c>
      <c r="KK406" s="770">
        <f t="shared" si="103"/>
        <v>3</v>
      </c>
      <c r="KL406" s="712" t="str">
        <f>IF(KJ406=LN406,"ok","male")</f>
        <v>ok</v>
      </c>
      <c r="KM406" s="712" t="str">
        <f>IF(KK406=LO406,"ok","female")</f>
        <v>ok</v>
      </c>
      <c r="KN406" s="770" t="s">
        <v>707</v>
      </c>
      <c r="KO406" s="770"/>
      <c r="KP406" s="770"/>
      <c r="KQ406" s="770"/>
      <c r="KR406" s="770"/>
      <c r="KS406" s="770">
        <v>1</v>
      </c>
      <c r="KT406" s="770">
        <v>1</v>
      </c>
      <c r="KU406" s="770"/>
      <c r="KV406" s="770">
        <v>1</v>
      </c>
      <c r="KW406" s="770"/>
      <c r="KX406" s="770"/>
      <c r="KY406" s="770">
        <v>2</v>
      </c>
      <c r="KZ406" s="770"/>
      <c r="LA406" s="770"/>
      <c r="LB406" s="770"/>
      <c r="LC406" s="770"/>
      <c r="LD406" s="770"/>
      <c r="LE406" s="770"/>
      <c r="LF406" s="770"/>
      <c r="LG406" s="770"/>
      <c r="LH406" s="770"/>
      <c r="LI406" s="770"/>
      <c r="LJ406" s="770"/>
      <c r="LK406" s="770"/>
      <c r="LL406" s="770"/>
      <c r="LM406" s="770"/>
      <c r="LN406" s="766">
        <f t="shared" si="105"/>
        <v>2</v>
      </c>
      <c r="LO406" s="766">
        <f t="shared" si="105"/>
        <v>3</v>
      </c>
      <c r="LP406" s="770">
        <v>1</v>
      </c>
      <c r="LQ406" s="770">
        <v>1</v>
      </c>
      <c r="LR406" s="770"/>
      <c r="LS406" s="770"/>
      <c r="LT406" s="712" t="str">
        <f>IF(LQ406=SUM(LU406:LW406),"OK","REV")</f>
        <v>OK</v>
      </c>
      <c r="LU406" s="770"/>
      <c r="LV406" s="770">
        <v>1</v>
      </c>
      <c r="LW406" s="770"/>
      <c r="LX406" s="769">
        <v>1</v>
      </c>
      <c r="LY406" s="766" t="str">
        <f t="shared" si="100"/>
        <v>within the BRGY</v>
      </c>
      <c r="LZ406" s="299">
        <v>1200</v>
      </c>
      <c r="MA406" s="306"/>
      <c r="MB406" s="306"/>
      <c r="MC406" s="1679">
        <f t="shared" si="99"/>
        <v>1200</v>
      </c>
      <c r="MD406" s="306">
        <v>8000</v>
      </c>
      <c r="ME406" s="306"/>
      <c r="MF406" s="306"/>
      <c r="MG406" s="1680">
        <f>SUM(MD406:MF406)</f>
        <v>8000</v>
      </c>
      <c r="MH406" s="770" t="s">
        <v>2966</v>
      </c>
      <c r="MI406" s="302">
        <v>3000</v>
      </c>
      <c r="MJ406" s="302">
        <v>1200</v>
      </c>
      <c r="MK406" s="302">
        <v>84</v>
      </c>
      <c r="ML406" s="302">
        <v>300</v>
      </c>
      <c r="MM406" s="302">
        <v>2000</v>
      </c>
      <c r="MN406" s="302">
        <v>2000</v>
      </c>
      <c r="MO406" s="302">
        <v>120</v>
      </c>
      <c r="MP406" s="302">
        <v>400</v>
      </c>
      <c r="MQ406" s="302">
        <v>300</v>
      </c>
      <c r="MR406" s="302">
        <v>400</v>
      </c>
      <c r="MS406" s="302"/>
      <c r="MT406" s="302"/>
      <c r="MU406" s="302"/>
      <c r="MV406" s="302"/>
      <c r="MW406" s="302"/>
      <c r="MX406" s="302"/>
      <c r="MY406" s="1682">
        <f t="shared" si="102"/>
        <v>9804</v>
      </c>
      <c r="MZ406" s="770" t="s">
        <v>13164</v>
      </c>
      <c r="NA406" s="770" t="s">
        <v>13005</v>
      </c>
      <c r="NB406" s="770" t="s">
        <v>13164</v>
      </c>
      <c r="NC406" s="770" t="s">
        <v>13007</v>
      </c>
      <c r="ND406" s="770">
        <v>0</v>
      </c>
      <c r="NE406" s="770">
        <v>0</v>
      </c>
      <c r="NF406" s="770">
        <v>0</v>
      </c>
      <c r="NG406" s="770">
        <v>1</v>
      </c>
      <c r="NH406" s="770">
        <v>1</v>
      </c>
      <c r="NI406" s="770">
        <v>0</v>
      </c>
      <c r="NJ406" s="770">
        <v>1</v>
      </c>
      <c r="NK406" s="770">
        <v>0</v>
      </c>
      <c r="NL406" s="770">
        <v>0</v>
      </c>
      <c r="NM406" s="770">
        <v>0</v>
      </c>
      <c r="NN406" s="770">
        <v>0</v>
      </c>
      <c r="NO406" s="770">
        <v>0</v>
      </c>
      <c r="NP406" s="770">
        <v>0</v>
      </c>
      <c r="NQ406" s="770">
        <v>0</v>
      </c>
      <c r="NR406" s="770">
        <v>0</v>
      </c>
      <c r="NS406" s="770">
        <v>0</v>
      </c>
      <c r="NT406" s="770">
        <v>0</v>
      </c>
      <c r="NU406" s="770">
        <v>0</v>
      </c>
      <c r="NV406" s="770">
        <v>0</v>
      </c>
      <c r="NW406" s="770">
        <v>0</v>
      </c>
      <c r="NX406" s="770">
        <v>0</v>
      </c>
      <c r="NY406" s="770" t="s">
        <v>1208</v>
      </c>
      <c r="NZ406" s="770" t="s">
        <v>1208</v>
      </c>
      <c r="OA406" s="770" t="s">
        <v>1208</v>
      </c>
      <c r="OB406" s="770" t="s">
        <v>1208</v>
      </c>
      <c r="OC406" s="770" t="s">
        <v>1208</v>
      </c>
      <c r="OD406" s="770" t="s">
        <v>1208</v>
      </c>
      <c r="OE406" s="770"/>
      <c r="OF406" s="770"/>
      <c r="OG406" s="770"/>
      <c r="OH406" s="770"/>
      <c r="OI406" s="770"/>
      <c r="OJ406" s="770"/>
      <c r="OK406" s="770"/>
      <c r="OL406" s="770"/>
      <c r="OM406" s="770"/>
      <c r="ON406" s="770"/>
      <c r="OO406" s="770"/>
      <c r="OP406" s="770"/>
      <c r="OQ406" s="770"/>
      <c r="OR406" s="770"/>
      <c r="OS406" s="770"/>
      <c r="OT406" s="770"/>
      <c r="OU406" s="770"/>
      <c r="OV406" s="770"/>
      <c r="OW406" s="770"/>
      <c r="OX406" s="770"/>
      <c r="OY406" s="770"/>
      <c r="OZ406" s="770"/>
      <c r="PA406" s="770"/>
      <c r="PB406" s="770"/>
      <c r="PC406" s="770"/>
      <c r="PD406" s="770"/>
      <c r="PE406" s="770"/>
      <c r="PF406" s="770"/>
      <c r="PG406" s="770"/>
      <c r="PH406" s="770"/>
      <c r="PI406" s="770"/>
      <c r="PJ406" s="770"/>
      <c r="PK406" s="770"/>
      <c r="PL406" s="770"/>
      <c r="PM406" s="770"/>
      <c r="PN406" s="770"/>
      <c r="PO406" s="770"/>
      <c r="PP406" s="770"/>
      <c r="PQ406" s="770"/>
      <c r="PR406" s="770" t="s">
        <v>1208</v>
      </c>
      <c r="PS406" s="770" t="s">
        <v>1208</v>
      </c>
      <c r="PT406" s="770" t="s">
        <v>1208</v>
      </c>
      <c r="PU406" s="770"/>
      <c r="PV406" s="770"/>
      <c r="PW406" s="770"/>
      <c r="PX406" s="770"/>
      <c r="PY406" s="770"/>
      <c r="PZ406" s="770"/>
      <c r="QA406" s="770"/>
      <c r="QB406" s="770"/>
      <c r="QC406" s="770"/>
      <c r="QD406" s="770"/>
      <c r="QE406" s="770"/>
      <c r="QF406" s="770"/>
      <c r="QG406" s="770"/>
      <c r="QH406" s="770"/>
      <c r="QI406" s="770"/>
      <c r="QJ406" s="770"/>
      <c r="QK406" s="770"/>
      <c r="QL406" s="770"/>
      <c r="QM406" s="770"/>
      <c r="QN406" s="770"/>
      <c r="QO406" s="770"/>
      <c r="QP406" s="770"/>
      <c r="QQ406" s="770"/>
      <c r="QR406" s="770"/>
      <c r="QS406" s="770"/>
      <c r="QT406" s="770"/>
      <c r="QU406" s="770"/>
      <c r="QV406" s="770"/>
      <c r="QW406" s="770"/>
      <c r="QX406" s="770"/>
      <c r="QY406" s="770"/>
      <c r="QZ406" s="770"/>
      <c r="RA406" s="770"/>
      <c r="RB406" s="770" t="s">
        <v>1207</v>
      </c>
      <c r="RC406" s="770">
        <v>2012</v>
      </c>
      <c r="RD406" s="770" t="s">
        <v>13046</v>
      </c>
      <c r="RE406" s="770" t="s">
        <v>12990</v>
      </c>
      <c r="RF406" s="304">
        <v>1</v>
      </c>
      <c r="RG406" s="770" t="s">
        <v>13267</v>
      </c>
      <c r="RH406" s="302">
        <v>1500</v>
      </c>
      <c r="RI406" s="770">
        <v>1</v>
      </c>
      <c r="RJ406" s="770" t="s">
        <v>13520</v>
      </c>
      <c r="RK406" s="770" t="s">
        <v>13381</v>
      </c>
      <c r="RL406" s="1710"/>
      <c r="RM406" s="12"/>
      <c r="RN406" s="1711"/>
      <c r="RO406" s="140" t="s">
        <v>670</v>
      </c>
      <c r="RP406" s="11"/>
      <c r="RQ406" s="11"/>
      <c r="RR406" s="154" t="s">
        <v>7419</v>
      </c>
      <c r="RS406" s="1139" t="s">
        <v>12980</v>
      </c>
      <c r="RT406" s="11"/>
      <c r="RU406" s="11"/>
      <c r="RV406" s="771" t="s">
        <v>7419</v>
      </c>
      <c r="RW406" s="11" t="s">
        <v>11866</v>
      </c>
      <c r="RX406" s="11" t="s">
        <v>665</v>
      </c>
      <c r="RY406" s="11"/>
      <c r="RZ406" s="11" t="s">
        <v>2209</v>
      </c>
      <c r="SA406" s="771"/>
      <c r="SB406" s="11"/>
      <c r="SC406" s="11"/>
    </row>
    <row r="407" spans="1:497" ht="12.75" hidden="1" customHeight="1">
      <c r="A407" s="154" t="s">
        <v>7419</v>
      </c>
      <c r="B407" s="292" t="s">
        <v>7668</v>
      </c>
      <c r="C407" s="140" t="s">
        <v>672</v>
      </c>
      <c r="D407" s="770" t="s">
        <v>673</v>
      </c>
      <c r="E407" s="766" t="s">
        <v>674</v>
      </c>
      <c r="F407" s="770" t="s">
        <v>28</v>
      </c>
      <c r="G407" s="770" t="s">
        <v>18</v>
      </c>
      <c r="H407" s="770"/>
      <c r="I407" s="295" t="s">
        <v>5738</v>
      </c>
      <c r="J407" s="770" t="s">
        <v>673</v>
      </c>
      <c r="K407" s="770"/>
      <c r="L407" s="770"/>
      <c r="M407" s="770"/>
      <c r="N407" s="770"/>
      <c r="O407" s="770"/>
      <c r="P407" s="94" t="s">
        <v>11626</v>
      </c>
      <c r="Q407" s="1088">
        <v>29343</v>
      </c>
      <c r="R407" s="297">
        <v>67</v>
      </c>
      <c r="S407" s="770" t="s">
        <v>10</v>
      </c>
      <c r="T407" s="770"/>
      <c r="U407" s="295" t="s">
        <v>5738</v>
      </c>
      <c r="V407" s="770" t="s">
        <v>707</v>
      </c>
      <c r="W407" s="770" t="s">
        <v>11627</v>
      </c>
      <c r="X407" s="296"/>
      <c r="Y407" s="770" t="s">
        <v>674</v>
      </c>
      <c r="Z407" s="770" t="s">
        <v>708</v>
      </c>
      <c r="AA407" s="770" t="s">
        <v>709</v>
      </c>
      <c r="AB407" s="766" t="s">
        <v>710</v>
      </c>
      <c r="AC407" s="770"/>
      <c r="AD407" s="770"/>
      <c r="AE407" s="770"/>
      <c r="AF407" s="770" t="s">
        <v>712</v>
      </c>
      <c r="AG407" s="766" t="s">
        <v>1095</v>
      </c>
      <c r="AH407" s="766" t="s">
        <v>1096</v>
      </c>
      <c r="AI407" s="770" t="s">
        <v>11628</v>
      </c>
      <c r="AJ407" s="770"/>
      <c r="AK407" s="770" t="s">
        <v>1101</v>
      </c>
      <c r="AL407" s="299">
        <v>10.64</v>
      </c>
      <c r="AM407" s="300">
        <v>7.6</v>
      </c>
      <c r="AN407" s="301">
        <v>0.71430000000000005</v>
      </c>
      <c r="AO407" s="766" t="s">
        <v>1105</v>
      </c>
      <c r="AP407" s="766"/>
      <c r="AQ407" s="766"/>
      <c r="AR407" s="766"/>
      <c r="AS407" s="770"/>
      <c r="AT407" s="770"/>
      <c r="AU407" s="770"/>
      <c r="AV407" s="770"/>
      <c r="AW407" s="770"/>
      <c r="AX407" s="770"/>
      <c r="AY407" s="770"/>
      <c r="AZ407" s="770"/>
      <c r="BA407" s="770"/>
      <c r="BB407" s="770"/>
      <c r="BC407" s="770"/>
      <c r="BD407" s="770"/>
      <c r="BE407" s="770"/>
      <c r="BF407" s="302"/>
      <c r="BG407" s="302"/>
      <c r="BH407" s="770"/>
      <c r="BI407" s="770"/>
      <c r="BJ407" s="770"/>
      <c r="BK407" s="770" t="s">
        <v>1095</v>
      </c>
      <c r="BL407" s="766" t="s">
        <v>8122</v>
      </c>
      <c r="BM407" s="766" t="s">
        <v>1096</v>
      </c>
      <c r="BN407" s="770" t="s">
        <v>1230</v>
      </c>
      <c r="BO407" s="766" t="s">
        <v>1246</v>
      </c>
      <c r="BP407" s="780">
        <v>10.64</v>
      </c>
      <c r="BQ407" s="772">
        <v>7.6</v>
      </c>
      <c r="BR407" s="774">
        <v>0.71430000000000005</v>
      </c>
      <c r="BS407" s="766" t="s">
        <v>1105</v>
      </c>
      <c r="BT407" s="766" t="s">
        <v>8133</v>
      </c>
      <c r="BU407" s="770" t="s">
        <v>1378</v>
      </c>
      <c r="BV407" s="766" t="s">
        <v>1349</v>
      </c>
      <c r="BW407" s="769"/>
      <c r="BX407" s="302"/>
      <c r="BY407" s="303"/>
      <c r="BZ407" s="770"/>
      <c r="CA407" s="302"/>
      <c r="CB407" s="302"/>
      <c r="CC407" s="770"/>
      <c r="CD407" s="770"/>
      <c r="CE407" s="770"/>
      <c r="CF407" s="770"/>
      <c r="CG407" s="770"/>
      <c r="CH407" s="770"/>
      <c r="CI407" s="770"/>
      <c r="CJ407" s="770"/>
      <c r="CK407" s="770"/>
      <c r="CL407" s="770"/>
      <c r="CM407" s="770"/>
      <c r="CN407" s="770"/>
      <c r="CO407" s="770"/>
      <c r="CP407" s="770"/>
      <c r="CQ407" s="770"/>
      <c r="CR407" s="770"/>
      <c r="CS407" s="302"/>
      <c r="CT407" s="770"/>
      <c r="CU407" s="305"/>
      <c r="CV407" s="770"/>
      <c r="CW407" s="770"/>
      <c r="CX407" s="770"/>
      <c r="CY407" s="770"/>
      <c r="CZ407" s="770"/>
      <c r="DA407" s="770"/>
      <c r="DB407" s="770"/>
      <c r="DC407" s="770"/>
      <c r="DD407" s="770"/>
      <c r="DE407" s="770"/>
      <c r="DF407" s="770"/>
      <c r="DG407" s="770"/>
      <c r="DH407" s="770"/>
      <c r="DI407" s="770"/>
      <c r="DJ407" s="770"/>
      <c r="DK407" s="770"/>
      <c r="DL407" s="770"/>
      <c r="DM407" s="770"/>
      <c r="DN407" s="770"/>
      <c r="DO407" s="770"/>
      <c r="DP407" s="770"/>
      <c r="DQ407" s="770"/>
      <c r="DR407" s="770"/>
      <c r="DS407" s="307"/>
      <c r="DT407" s="770"/>
      <c r="DU407" s="770"/>
      <c r="DV407" s="770"/>
      <c r="DW407" s="306"/>
      <c r="DX407" s="306"/>
      <c r="DY407" s="770"/>
      <c r="DZ407" s="770"/>
      <c r="EA407" s="770"/>
      <c r="EB407" s="770"/>
      <c r="EC407" s="770"/>
      <c r="ED407" s="770"/>
      <c r="EE407" s="770"/>
      <c r="EF407" s="770"/>
      <c r="EG407" s="770"/>
      <c r="EH407" s="770"/>
      <c r="EI407" s="770"/>
      <c r="EJ407" s="770"/>
      <c r="EK407" s="770"/>
      <c r="EL407" s="770"/>
      <c r="EM407" s="770"/>
      <c r="EN407" s="770"/>
      <c r="EO407" s="770"/>
      <c r="EP407" s="770"/>
      <c r="EQ407" s="770"/>
      <c r="ER407" s="770"/>
      <c r="ES407" s="770"/>
      <c r="ET407" s="770"/>
      <c r="EU407" s="770"/>
      <c r="EV407" s="770"/>
      <c r="EW407" s="770"/>
      <c r="EX407" s="770"/>
      <c r="EY407" s="770"/>
      <c r="EZ407" s="770"/>
      <c r="FA407" s="770"/>
      <c r="FB407" s="770"/>
      <c r="FC407" s="770"/>
      <c r="FD407" s="302"/>
      <c r="FE407" s="770"/>
      <c r="FF407" s="770"/>
      <c r="FG407" s="770"/>
      <c r="FH407" s="770" t="s">
        <v>1299</v>
      </c>
      <c r="FI407" s="770">
        <v>1</v>
      </c>
      <c r="FJ407" s="770" t="s">
        <v>2029</v>
      </c>
      <c r="FK407" s="770" t="s">
        <v>1068</v>
      </c>
      <c r="FL407" s="770" t="s">
        <v>609</v>
      </c>
      <c r="FM407" s="302"/>
      <c r="FN407" s="302"/>
      <c r="FO407" s="302"/>
      <c r="FP407" s="766" t="s">
        <v>1602</v>
      </c>
      <c r="FQ407" s="766" t="s">
        <v>1660</v>
      </c>
      <c r="FR407" s="770"/>
      <c r="FS407" s="770"/>
      <c r="FT407" s="770"/>
      <c r="FU407" s="770"/>
      <c r="FV407" s="770"/>
      <c r="FW407" s="770"/>
      <c r="FX407" s="770"/>
      <c r="FY407" s="770"/>
      <c r="FZ407" s="770"/>
      <c r="GA407" s="770"/>
      <c r="GB407" s="770"/>
      <c r="GC407" s="308"/>
      <c r="GD407" s="297"/>
      <c r="GE407" s="770"/>
      <c r="GF407" s="302"/>
      <c r="GG407" s="302"/>
      <c r="GH407" s="766" t="s">
        <v>14260</v>
      </c>
      <c r="GI407" s="770"/>
      <c r="GJ407" s="770"/>
      <c r="GK407" s="770"/>
      <c r="GL407" s="770"/>
      <c r="GM407" s="770"/>
      <c r="GN407" s="309"/>
      <c r="GO407" s="770"/>
      <c r="GP407" s="770"/>
      <c r="GQ407" s="770"/>
      <c r="GR407" s="770"/>
      <c r="GS407" s="770"/>
      <c r="GT407" s="770"/>
      <c r="GU407" s="770"/>
      <c r="GV407" s="770"/>
      <c r="GW407" s="770"/>
      <c r="GX407" s="770"/>
      <c r="GY407" s="770"/>
      <c r="GZ407" s="770"/>
      <c r="HA407" s="770"/>
      <c r="HB407" s="770"/>
      <c r="HC407" s="770"/>
      <c r="HD407" s="770"/>
      <c r="HE407" s="770"/>
      <c r="HF407" s="770"/>
      <c r="HG407" s="770"/>
      <c r="HH407" s="770"/>
      <c r="HI407" s="770" t="s">
        <v>1214</v>
      </c>
      <c r="HJ407" s="770"/>
      <c r="HK407" s="770"/>
      <c r="HL407" s="770"/>
      <c r="HM407" s="770"/>
      <c r="HN407" s="770"/>
      <c r="HO407" s="770"/>
      <c r="HP407" s="770"/>
      <c r="HQ407" s="770"/>
      <c r="HR407" s="770"/>
      <c r="HS407" s="770"/>
      <c r="HT407" s="770"/>
      <c r="HU407" s="770"/>
      <c r="HV407" s="770"/>
      <c r="HW407" s="770"/>
      <c r="HX407" s="770"/>
      <c r="HY407" s="770"/>
      <c r="HZ407" s="770"/>
      <c r="IA407" s="770"/>
      <c r="IB407" s="14" t="e">
        <f>IF(#REF!&gt;0,IF(#REF!&lt;=10000,"Y",""),"")</f>
        <v>#REF!</v>
      </c>
      <c r="IC407" s="770"/>
      <c r="ID407" s="770"/>
      <c r="IE407" s="770"/>
      <c r="IF407" s="770"/>
      <c r="IG407" s="770"/>
      <c r="IH407" s="770"/>
      <c r="II407" s="770"/>
      <c r="IJ407" s="770"/>
      <c r="IK407" s="770"/>
      <c r="IL407" s="770"/>
      <c r="IM407" s="770"/>
      <c r="IN407" s="770"/>
      <c r="IO407" s="296"/>
      <c r="IP407" s="770"/>
      <c r="IQ407" s="770"/>
      <c r="IR407" s="770"/>
      <c r="IS407" s="770"/>
      <c r="IT407" s="770"/>
      <c r="IU407" s="770"/>
      <c r="IV407" s="770"/>
      <c r="IW407" s="770"/>
      <c r="IX407" s="770"/>
      <c r="IY407" s="770"/>
      <c r="IZ407" s="770"/>
      <c r="JA407" s="770"/>
      <c r="JB407" s="770"/>
      <c r="JC407" s="770"/>
      <c r="JD407" s="302"/>
      <c r="JE407" s="770"/>
      <c r="JF407" s="770"/>
      <c r="JG407" s="770"/>
      <c r="JH407" s="770"/>
      <c r="JI407" s="712" t="str">
        <f>IF(SUM(JT407,JU407)=JJ407,"ok","review")</f>
        <v>ok</v>
      </c>
      <c r="JJ407" s="770">
        <v>3</v>
      </c>
      <c r="JK407" s="1139" t="s">
        <v>9395</v>
      </c>
      <c r="JL407" s="770"/>
      <c r="JM407" s="770"/>
      <c r="JN407" s="770">
        <v>1</v>
      </c>
      <c r="JO407" s="770"/>
      <c r="JP407" s="770">
        <v>1</v>
      </c>
      <c r="JQ407" s="770">
        <v>1</v>
      </c>
      <c r="JR407" s="770"/>
      <c r="JS407" s="770"/>
      <c r="JT407" s="766">
        <f t="shared" si="104"/>
        <v>2</v>
      </c>
      <c r="JU407" s="766">
        <f t="shared" si="104"/>
        <v>1</v>
      </c>
      <c r="JV407" s="712" t="str">
        <f>IF(JT407=KJ407,"ok","male")</f>
        <v>ok</v>
      </c>
      <c r="JW407" s="712" t="str">
        <f>IF(JU407=KK407,"ok","female")</f>
        <v>ok</v>
      </c>
      <c r="JX407" s="770"/>
      <c r="JY407" s="770"/>
      <c r="JZ407" s="770"/>
      <c r="KA407" s="770"/>
      <c r="KB407" s="770"/>
      <c r="KC407" s="770"/>
      <c r="KD407" s="770">
        <v>1</v>
      </c>
      <c r="KE407" s="770"/>
      <c r="KF407" s="770">
        <v>1</v>
      </c>
      <c r="KG407" s="770">
        <v>1</v>
      </c>
      <c r="KH407" s="770"/>
      <c r="KI407" s="770"/>
      <c r="KJ407" s="770">
        <f t="shared" si="103"/>
        <v>2</v>
      </c>
      <c r="KK407" s="770">
        <f t="shared" si="103"/>
        <v>1</v>
      </c>
      <c r="KL407" s="712" t="str">
        <f>IF(KJ407=LN407,"ok","male")</f>
        <v>ok</v>
      </c>
      <c r="KM407" s="712" t="str">
        <f>IF(KK407=LO407,"ok","female")</f>
        <v>ok</v>
      </c>
      <c r="KN407" s="770" t="s">
        <v>707</v>
      </c>
      <c r="KO407" s="770"/>
      <c r="KP407" s="770"/>
      <c r="KQ407" s="770"/>
      <c r="KR407" s="770"/>
      <c r="KS407" s="770"/>
      <c r="KT407" s="770"/>
      <c r="KU407" s="770">
        <v>1</v>
      </c>
      <c r="KV407" s="770"/>
      <c r="KW407" s="770"/>
      <c r="KX407" s="770">
        <v>1</v>
      </c>
      <c r="KY407" s="770"/>
      <c r="KZ407" s="770">
        <v>1</v>
      </c>
      <c r="LA407" s="770"/>
      <c r="LB407" s="770"/>
      <c r="LC407" s="770"/>
      <c r="LD407" s="770"/>
      <c r="LE407" s="770"/>
      <c r="LF407" s="770"/>
      <c r="LG407" s="770"/>
      <c r="LH407" s="770"/>
      <c r="LI407" s="770"/>
      <c r="LJ407" s="770"/>
      <c r="LK407" s="770"/>
      <c r="LL407" s="770"/>
      <c r="LM407" s="770"/>
      <c r="LN407" s="766">
        <f t="shared" si="105"/>
        <v>2</v>
      </c>
      <c r="LO407" s="766">
        <f t="shared" si="105"/>
        <v>1</v>
      </c>
      <c r="LP407" s="770">
        <v>2</v>
      </c>
      <c r="LQ407" s="770">
        <v>1</v>
      </c>
      <c r="LR407" s="770"/>
      <c r="LS407" s="770">
        <v>1</v>
      </c>
      <c r="LT407" s="712" t="str">
        <f>IF(LQ407=SUM(LU407:LW407),"OK","REV")</f>
        <v>OK</v>
      </c>
      <c r="LU407" s="770">
        <v>1</v>
      </c>
      <c r="LV407" s="770"/>
      <c r="LW407" s="770"/>
      <c r="LX407" s="769">
        <v>1</v>
      </c>
      <c r="LY407" s="766" t="str">
        <f t="shared" si="100"/>
        <v>within the BRGY</v>
      </c>
      <c r="LZ407" s="299"/>
      <c r="MA407" s="1709"/>
      <c r="MB407" s="1709"/>
      <c r="MC407" s="1679">
        <f t="shared" si="99"/>
        <v>0</v>
      </c>
      <c r="MD407" s="1709">
        <v>8400</v>
      </c>
      <c r="ME407" s="1709"/>
      <c r="MF407" s="1709">
        <v>2000</v>
      </c>
      <c r="MG407" s="1680">
        <f>SUM(MD407:MF407)</f>
        <v>10400</v>
      </c>
      <c r="MH407" s="770" t="s">
        <v>13521</v>
      </c>
      <c r="MI407" s="302">
        <v>9000</v>
      </c>
      <c r="MJ407" s="302"/>
      <c r="MK407" s="302">
        <v>167</v>
      </c>
      <c r="ML407" s="302">
        <v>1517</v>
      </c>
      <c r="MM407" s="302"/>
      <c r="MN407" s="302"/>
      <c r="MO407" s="302">
        <v>300</v>
      </c>
      <c r="MP407" s="302">
        <v>1000</v>
      </c>
      <c r="MQ407" s="302">
        <v>600</v>
      </c>
      <c r="MR407" s="302">
        <v>400</v>
      </c>
      <c r="MS407" s="302"/>
      <c r="MT407" s="302"/>
      <c r="MU407" s="302"/>
      <c r="MV407" s="302"/>
      <c r="MW407" s="302"/>
      <c r="MX407" s="302"/>
      <c r="MY407" s="1682">
        <f t="shared" si="102"/>
        <v>12984</v>
      </c>
      <c r="MZ407" s="766" t="s">
        <v>13164</v>
      </c>
      <c r="NA407" s="770" t="s">
        <v>13065</v>
      </c>
      <c r="NB407" s="770" t="s">
        <v>13164</v>
      </c>
      <c r="NC407" s="770" t="s">
        <v>13135</v>
      </c>
      <c r="ND407" s="770">
        <v>0</v>
      </c>
      <c r="NE407" s="770">
        <v>0</v>
      </c>
      <c r="NF407" s="770">
        <v>0</v>
      </c>
      <c r="NG407" s="770">
        <v>1</v>
      </c>
      <c r="NH407" s="770">
        <v>1</v>
      </c>
      <c r="NI407" s="770">
        <v>0</v>
      </c>
      <c r="NJ407" s="770">
        <v>0</v>
      </c>
      <c r="NK407" s="770">
        <v>0</v>
      </c>
      <c r="NL407" s="770">
        <v>0</v>
      </c>
      <c r="NM407" s="770">
        <v>0</v>
      </c>
      <c r="NN407" s="770">
        <v>0</v>
      </c>
      <c r="NO407" s="770">
        <v>0</v>
      </c>
      <c r="NP407" s="770">
        <v>0</v>
      </c>
      <c r="NQ407" s="770">
        <v>0</v>
      </c>
      <c r="NR407" s="770">
        <v>0</v>
      </c>
      <c r="NS407" s="770">
        <v>0</v>
      </c>
      <c r="NT407" s="770">
        <v>0</v>
      </c>
      <c r="NU407" s="770">
        <v>0</v>
      </c>
      <c r="NV407" s="770">
        <v>0</v>
      </c>
      <c r="NW407" s="770">
        <v>0</v>
      </c>
      <c r="NX407" s="770">
        <v>0</v>
      </c>
      <c r="NY407" s="770" t="s">
        <v>1208</v>
      </c>
      <c r="NZ407" s="770" t="s">
        <v>1208</v>
      </c>
      <c r="OA407" s="770" t="s">
        <v>1208</v>
      </c>
      <c r="OB407" s="770" t="s">
        <v>1208</v>
      </c>
      <c r="OC407" s="770" t="s">
        <v>1208</v>
      </c>
      <c r="OD407" s="770" t="s">
        <v>1208</v>
      </c>
      <c r="OE407" s="770"/>
      <c r="OF407" s="770"/>
      <c r="OG407" s="770"/>
      <c r="OH407" s="770"/>
      <c r="OI407" s="770"/>
      <c r="OJ407" s="770"/>
      <c r="OK407" s="770"/>
      <c r="OL407" s="770"/>
      <c r="OM407" s="770"/>
      <c r="ON407" s="770"/>
      <c r="OO407" s="770"/>
      <c r="OP407" s="770"/>
      <c r="OQ407" s="770"/>
      <c r="OR407" s="770"/>
      <c r="OS407" s="770"/>
      <c r="OT407" s="770"/>
      <c r="OU407" s="770"/>
      <c r="OV407" s="770"/>
      <c r="OW407" s="770"/>
      <c r="OX407" s="770"/>
      <c r="OY407" s="770"/>
      <c r="OZ407" s="770"/>
      <c r="PA407" s="770"/>
      <c r="PB407" s="770"/>
      <c r="PC407" s="770"/>
      <c r="PD407" s="770"/>
      <c r="PE407" s="770"/>
      <c r="PF407" s="770"/>
      <c r="PG407" s="770"/>
      <c r="PH407" s="770"/>
      <c r="PI407" s="770"/>
      <c r="PJ407" s="770"/>
      <c r="PK407" s="770"/>
      <c r="PL407" s="770"/>
      <c r="PM407" s="770"/>
      <c r="PN407" s="770"/>
      <c r="PO407" s="770"/>
      <c r="PP407" s="770"/>
      <c r="PQ407" s="770"/>
      <c r="PR407" s="770" t="s">
        <v>1208</v>
      </c>
      <c r="PS407" s="770"/>
      <c r="PT407" s="770"/>
      <c r="PU407" s="770"/>
      <c r="PV407" s="770"/>
      <c r="PW407" s="770"/>
      <c r="PX407" s="770"/>
      <c r="PY407" s="770"/>
      <c r="PZ407" s="770"/>
      <c r="QA407" s="770"/>
      <c r="QB407" s="770"/>
      <c r="QC407" s="770"/>
      <c r="QD407" s="770"/>
      <c r="QE407" s="770"/>
      <c r="QF407" s="770"/>
      <c r="QG407" s="770"/>
      <c r="QH407" s="770"/>
      <c r="QI407" s="770"/>
      <c r="QJ407" s="770"/>
      <c r="QK407" s="770"/>
      <c r="QL407" s="770"/>
      <c r="QM407" s="770"/>
      <c r="QN407" s="770"/>
      <c r="QO407" s="770"/>
      <c r="QP407" s="770"/>
      <c r="QQ407" s="770"/>
      <c r="QR407" s="770"/>
      <c r="QS407" s="770"/>
      <c r="QT407" s="770"/>
      <c r="QU407" s="770"/>
      <c r="QV407" s="770"/>
      <c r="QW407" s="770"/>
      <c r="QX407" s="770"/>
      <c r="QY407" s="770"/>
      <c r="QZ407" s="770"/>
      <c r="RA407" s="770"/>
      <c r="RB407" s="770" t="s">
        <v>1207</v>
      </c>
      <c r="RC407" s="770">
        <v>2012</v>
      </c>
      <c r="RD407" s="770" t="s">
        <v>13046</v>
      </c>
      <c r="RE407" s="770" t="s">
        <v>12990</v>
      </c>
      <c r="RF407" s="304">
        <v>2</v>
      </c>
      <c r="RG407" s="770" t="s">
        <v>13267</v>
      </c>
      <c r="RH407" s="302">
        <v>500</v>
      </c>
      <c r="RI407" s="770">
        <v>5</v>
      </c>
      <c r="RJ407" s="770" t="s">
        <v>13522</v>
      </c>
      <c r="RK407" s="770" t="s">
        <v>13381</v>
      </c>
      <c r="RL407" s="1710"/>
      <c r="RM407" s="12"/>
      <c r="RN407" s="1711"/>
      <c r="RO407" s="140" t="s">
        <v>672</v>
      </c>
      <c r="RP407" s="11"/>
      <c r="RQ407" s="11"/>
      <c r="RR407" s="154" t="s">
        <v>7419</v>
      </c>
      <c r="RS407" s="1139" t="s">
        <v>12980</v>
      </c>
      <c r="RT407" s="11"/>
      <c r="RU407" s="11"/>
      <c r="RV407" s="771" t="s">
        <v>7419</v>
      </c>
      <c r="RW407" s="11" t="s">
        <v>7667</v>
      </c>
      <c r="RX407" s="11" t="s">
        <v>667</v>
      </c>
      <c r="RY407" s="11"/>
      <c r="RZ407" s="11" t="s">
        <v>2209</v>
      </c>
      <c r="SA407" s="771"/>
      <c r="SB407" s="11"/>
      <c r="SC407" s="11"/>
    </row>
    <row r="408" spans="1:497" ht="12.75" hidden="1" customHeight="1">
      <c r="A408" s="154" t="s">
        <v>7419</v>
      </c>
      <c r="B408" s="1046" t="s">
        <v>12453</v>
      </c>
      <c r="C408" s="140" t="s">
        <v>11348</v>
      </c>
      <c r="D408" s="1824" t="s">
        <v>11349</v>
      </c>
      <c r="E408" s="766" t="s">
        <v>11350</v>
      </c>
      <c r="F408" s="770" t="s">
        <v>20</v>
      </c>
      <c r="G408" s="770" t="s">
        <v>18</v>
      </c>
      <c r="H408" s="770"/>
      <c r="I408" s="295" t="s">
        <v>11351</v>
      </c>
      <c r="J408" s="770" t="s">
        <v>11352</v>
      </c>
      <c r="K408" s="766" t="s">
        <v>11353</v>
      </c>
      <c r="L408" s="766" t="s">
        <v>11354</v>
      </c>
      <c r="M408" s="770"/>
      <c r="N408" s="770"/>
      <c r="O408" s="770"/>
      <c r="P408" s="770"/>
      <c r="Q408" s="1088"/>
      <c r="R408" s="297"/>
      <c r="S408" s="770"/>
      <c r="T408" s="770"/>
      <c r="U408" s="298"/>
      <c r="V408" s="770"/>
      <c r="W408" s="770"/>
      <c r="X408" s="296"/>
      <c r="Y408" s="770"/>
      <c r="Z408" s="770"/>
      <c r="AA408" s="770"/>
      <c r="AB408" s="766"/>
      <c r="AC408" s="770"/>
      <c r="AD408" s="770"/>
      <c r="AE408" s="770"/>
      <c r="AF408" s="770"/>
      <c r="AG408" s="766" t="s">
        <v>1132</v>
      </c>
      <c r="AH408" s="766" t="s">
        <v>1096</v>
      </c>
      <c r="AI408" s="770"/>
      <c r="AJ408" s="770" t="s">
        <v>1137</v>
      </c>
      <c r="AK408" s="770" t="s">
        <v>1101</v>
      </c>
      <c r="AL408" s="299"/>
      <c r="AM408" s="300"/>
      <c r="AN408" s="301"/>
      <c r="AO408" s="766"/>
      <c r="AP408" s="766"/>
      <c r="AQ408" s="766"/>
      <c r="AR408" s="766"/>
      <c r="AS408" s="770"/>
      <c r="AT408" s="770"/>
      <c r="AU408" s="770"/>
      <c r="AV408" s="770"/>
      <c r="AW408" s="770"/>
      <c r="AX408" s="770"/>
      <c r="AY408" s="770"/>
      <c r="AZ408" s="770"/>
      <c r="BA408" s="770"/>
      <c r="BB408" s="770"/>
      <c r="BC408" s="770"/>
      <c r="BD408" s="770"/>
      <c r="BE408" s="770"/>
      <c r="BF408" s="302"/>
      <c r="BG408" s="302"/>
      <c r="BH408" s="770"/>
      <c r="BI408" s="770"/>
      <c r="BJ408" s="770"/>
      <c r="BK408" s="770" t="s">
        <v>1095</v>
      </c>
      <c r="BL408" s="770"/>
      <c r="BM408" s="766"/>
      <c r="BN408" s="770"/>
      <c r="BO408" s="766"/>
      <c r="BP408" s="780"/>
      <c r="BQ408" s="772"/>
      <c r="BR408" s="774"/>
      <c r="BS408" s="766"/>
      <c r="BT408" s="766"/>
      <c r="BU408" s="770"/>
      <c r="BV408" s="766"/>
      <c r="BW408" s="769"/>
      <c r="BX408" s="302"/>
      <c r="BY408" s="303"/>
      <c r="BZ408" s="770"/>
      <c r="CA408" s="302"/>
      <c r="CB408" s="302" t="s">
        <v>1207</v>
      </c>
      <c r="CC408" s="770"/>
      <c r="CD408" s="770"/>
      <c r="CE408" s="770"/>
      <c r="CF408" s="770"/>
      <c r="CG408" s="770"/>
      <c r="CH408" s="770"/>
      <c r="CI408" s="770"/>
      <c r="CJ408" s="770"/>
      <c r="CK408" s="770">
        <v>4</v>
      </c>
      <c r="CL408" s="770"/>
      <c r="CM408" s="770" t="s">
        <v>3378</v>
      </c>
      <c r="CN408" s="770"/>
      <c r="CO408" s="770" t="s">
        <v>1149</v>
      </c>
      <c r="CP408" s="770"/>
      <c r="CQ408" s="770"/>
      <c r="CR408" s="770"/>
      <c r="CS408" s="302"/>
      <c r="CT408" s="770"/>
      <c r="CU408" s="305"/>
      <c r="CV408" s="770"/>
      <c r="CW408" s="770"/>
      <c r="CX408" s="770"/>
      <c r="CY408" s="770"/>
      <c r="CZ408" s="770"/>
      <c r="DA408" s="770"/>
      <c r="DB408" s="770"/>
      <c r="DC408" s="770"/>
      <c r="DD408" s="770"/>
      <c r="DE408" s="770"/>
      <c r="DF408" s="770"/>
      <c r="DG408" s="770"/>
      <c r="DH408" s="770"/>
      <c r="DI408" s="770"/>
      <c r="DJ408" s="770"/>
      <c r="DK408" s="770"/>
      <c r="DL408" s="770"/>
      <c r="DM408" s="770"/>
      <c r="DN408" s="770"/>
      <c r="DO408" s="770"/>
      <c r="DP408" s="770"/>
      <c r="DQ408" s="770"/>
      <c r="DR408" s="770"/>
      <c r="DS408" s="307"/>
      <c r="DT408" s="770"/>
      <c r="DU408" s="770"/>
      <c r="DV408" s="770"/>
      <c r="DW408" s="306"/>
      <c r="DX408" s="306"/>
      <c r="DY408" s="770"/>
      <c r="DZ408" s="770"/>
      <c r="EA408" s="770"/>
      <c r="EB408" s="770"/>
      <c r="EC408" s="770"/>
      <c r="ED408" s="770"/>
      <c r="EE408" s="770"/>
      <c r="EF408" s="770"/>
      <c r="EG408" s="770"/>
      <c r="EH408" s="770"/>
      <c r="EI408" s="770"/>
      <c r="EJ408" s="770"/>
      <c r="EK408" s="770"/>
      <c r="EL408" s="770"/>
      <c r="EM408" s="770"/>
      <c r="EN408" s="770"/>
      <c r="EO408" s="770"/>
      <c r="EP408" s="770"/>
      <c r="EQ408" s="770"/>
      <c r="ER408" s="770"/>
      <c r="ES408" s="770"/>
      <c r="ET408" s="770"/>
      <c r="EU408" s="770"/>
      <c r="EV408" s="770"/>
      <c r="EW408" s="770"/>
      <c r="EX408" s="770"/>
      <c r="EY408" s="770"/>
      <c r="EZ408" s="770" t="s">
        <v>11355</v>
      </c>
      <c r="FA408" s="770" t="s">
        <v>3092</v>
      </c>
      <c r="FB408" s="770" t="s">
        <v>11356</v>
      </c>
      <c r="FC408" s="770"/>
      <c r="FD408" s="302"/>
      <c r="FE408" s="770"/>
      <c r="FF408" s="770" t="s">
        <v>11357</v>
      </c>
      <c r="FG408" s="770"/>
      <c r="FH408" s="770"/>
      <c r="FI408" s="770"/>
      <c r="FJ408" s="770"/>
      <c r="FK408" s="770"/>
      <c r="FL408" s="770"/>
      <c r="FM408" s="302"/>
      <c r="FN408" s="302"/>
      <c r="FO408" s="302"/>
      <c r="FP408" s="770"/>
      <c r="FQ408" s="770"/>
      <c r="FR408" s="770"/>
      <c r="FS408" s="770"/>
      <c r="FT408" s="770"/>
      <c r="FU408" s="770"/>
      <c r="FV408" s="770"/>
      <c r="FW408" s="770"/>
      <c r="FX408" s="770"/>
      <c r="FY408" s="770"/>
      <c r="FZ408" s="770"/>
      <c r="GA408" s="770"/>
      <c r="GB408" s="770"/>
      <c r="GC408" s="308"/>
      <c r="GD408" s="297"/>
      <c r="GE408" s="770"/>
      <c r="GF408" s="302"/>
      <c r="GG408" s="302"/>
      <c r="GH408" s="13"/>
      <c r="GI408" s="770"/>
      <c r="GJ408" s="770"/>
      <c r="GK408" s="770"/>
      <c r="GL408" s="770"/>
      <c r="GM408" s="770"/>
      <c r="GN408" s="309"/>
      <c r="GO408" s="770"/>
      <c r="GP408" s="770"/>
      <c r="GQ408" s="770"/>
      <c r="GR408" s="770"/>
      <c r="GS408" s="770"/>
      <c r="GT408" s="770"/>
      <c r="GU408" s="770"/>
      <c r="GV408" s="770"/>
      <c r="GW408" s="770"/>
      <c r="GX408" s="770"/>
      <c r="GY408" s="770"/>
      <c r="GZ408" s="770"/>
      <c r="HA408" s="770"/>
      <c r="HB408" s="770"/>
      <c r="HC408" s="770"/>
      <c r="HD408" s="770"/>
      <c r="HE408" s="770"/>
      <c r="HF408" s="770"/>
      <c r="HG408" s="770"/>
      <c r="HH408" s="770"/>
      <c r="HI408" s="770"/>
      <c r="HJ408" s="770"/>
      <c r="HK408" s="770"/>
      <c r="HL408" s="770"/>
      <c r="HM408" s="770"/>
      <c r="HN408" s="770"/>
      <c r="HO408" s="770"/>
      <c r="HP408" s="770"/>
      <c r="HQ408" s="770"/>
      <c r="HR408" s="770"/>
      <c r="HS408" s="770"/>
      <c r="HT408" s="770"/>
      <c r="HU408" s="770"/>
      <c r="HV408" s="770"/>
      <c r="HW408" s="770"/>
      <c r="HX408" s="770"/>
      <c r="HY408" s="770"/>
      <c r="HZ408" s="770"/>
      <c r="IA408" s="770"/>
      <c r="IB408" s="14" t="e">
        <f>IF(#REF!&gt;0,IF(#REF!&lt;=10000,"Y",""),"")</f>
        <v>#REF!</v>
      </c>
      <c r="IC408" s="770"/>
      <c r="ID408" s="770"/>
      <c r="IE408" s="770"/>
      <c r="IF408" s="770"/>
      <c r="IG408" s="770"/>
      <c r="IH408" s="770"/>
      <c r="II408" s="770"/>
      <c r="IJ408" s="770"/>
      <c r="IK408" s="770"/>
      <c r="IL408" s="770"/>
      <c r="IM408" s="770"/>
      <c r="IN408" s="770"/>
      <c r="IO408" s="296"/>
      <c r="IP408" s="770"/>
      <c r="IQ408" s="770"/>
      <c r="IR408" s="770"/>
      <c r="IS408" s="770"/>
      <c r="IT408" s="770"/>
      <c r="IU408" s="770"/>
      <c r="IV408" s="770"/>
      <c r="IW408" s="770"/>
      <c r="IX408" s="770"/>
      <c r="IY408" s="770"/>
      <c r="IZ408" s="770"/>
      <c r="JA408" s="770"/>
      <c r="JB408" s="770"/>
      <c r="JC408" s="770"/>
      <c r="JD408" s="302"/>
      <c r="JE408" s="770"/>
      <c r="JF408" s="770"/>
      <c r="JG408" s="770"/>
      <c r="JH408" s="770"/>
      <c r="JI408" s="770"/>
      <c r="JJ408" s="770"/>
      <c r="JK408" s="770"/>
      <c r="JL408" s="770"/>
      <c r="JM408" s="770"/>
      <c r="JN408" s="770"/>
      <c r="JO408" s="770"/>
      <c r="JP408" s="770"/>
      <c r="JQ408" s="770"/>
      <c r="JR408" s="770"/>
      <c r="JS408" s="770"/>
      <c r="JT408" s="766"/>
      <c r="JU408" s="766"/>
      <c r="JV408" s="766"/>
      <c r="JW408" s="766"/>
      <c r="JX408" s="770"/>
      <c r="JY408" s="770"/>
      <c r="JZ408" s="770"/>
      <c r="KA408" s="770"/>
      <c r="KB408" s="770"/>
      <c r="KC408" s="770"/>
      <c r="KD408" s="770"/>
      <c r="KE408" s="770"/>
      <c r="KF408" s="770"/>
      <c r="KG408" s="770"/>
      <c r="KH408" s="770"/>
      <c r="KI408" s="770"/>
      <c r="KJ408" s="770"/>
      <c r="KK408" s="770"/>
      <c r="KL408" s="770"/>
      <c r="KM408" s="770"/>
      <c r="KN408" s="770"/>
      <c r="KO408" s="770"/>
      <c r="KP408" s="770"/>
      <c r="KQ408" s="770"/>
      <c r="KR408" s="770"/>
      <c r="KS408" s="770"/>
      <c r="KT408" s="770"/>
      <c r="KU408" s="770"/>
      <c r="KV408" s="770"/>
      <c r="KW408" s="770"/>
      <c r="KX408" s="770"/>
      <c r="KY408" s="770"/>
      <c r="KZ408" s="770"/>
      <c r="LA408" s="770"/>
      <c r="LB408" s="770"/>
      <c r="LC408" s="770"/>
      <c r="LD408" s="770"/>
      <c r="LE408" s="770"/>
      <c r="LF408" s="770"/>
      <c r="LG408" s="770"/>
      <c r="LH408" s="770"/>
      <c r="LI408" s="770"/>
      <c r="LJ408" s="770"/>
      <c r="LK408" s="770"/>
      <c r="LL408" s="770"/>
      <c r="LM408" s="770"/>
      <c r="LN408" s="766"/>
      <c r="LO408" s="766"/>
      <c r="LP408" s="770"/>
      <c r="LQ408" s="770"/>
      <c r="LR408" s="770"/>
      <c r="LS408" s="770"/>
      <c r="LT408" s="770"/>
      <c r="LU408" s="770"/>
      <c r="LV408" s="770"/>
      <c r="LW408" s="770"/>
      <c r="LX408" s="769"/>
      <c r="LY408" s="766" t="str">
        <f t="shared" si="100"/>
        <v/>
      </c>
      <c r="LZ408" s="299"/>
      <c r="MA408" s="1709"/>
      <c r="MB408" s="1709"/>
      <c r="MC408" s="1679">
        <f t="shared" si="99"/>
        <v>0</v>
      </c>
      <c r="MD408" s="1709"/>
      <c r="ME408" s="1709"/>
      <c r="MF408" s="1709"/>
      <c r="MG408" s="1680">
        <f t="shared" si="101"/>
        <v>0</v>
      </c>
      <c r="MH408" s="770"/>
      <c r="MI408" s="302"/>
      <c r="MJ408" s="302"/>
      <c r="MK408" s="302"/>
      <c r="ML408" s="302"/>
      <c r="MM408" s="302"/>
      <c r="MN408" s="302"/>
      <c r="MO408" s="302"/>
      <c r="MP408" s="302"/>
      <c r="MQ408" s="302"/>
      <c r="MR408" s="302"/>
      <c r="MS408" s="302"/>
      <c r="MT408" s="302"/>
      <c r="MU408" s="302"/>
      <c r="MV408" s="302"/>
      <c r="MW408" s="302"/>
      <c r="MX408" s="302"/>
      <c r="MY408" s="1682">
        <f t="shared" si="102"/>
        <v>0</v>
      </c>
      <c r="MZ408" s="766"/>
      <c r="NA408" s="770"/>
      <c r="NB408" s="770"/>
      <c r="NC408" s="770"/>
      <c r="ND408" s="770"/>
      <c r="NE408" s="770"/>
      <c r="NF408" s="770"/>
      <c r="NG408" s="770"/>
      <c r="NH408" s="770"/>
      <c r="NI408" s="770"/>
      <c r="NJ408" s="770"/>
      <c r="NK408" s="770"/>
      <c r="NL408" s="770"/>
      <c r="NM408" s="770"/>
      <c r="NN408" s="770"/>
      <c r="NO408" s="770"/>
      <c r="NP408" s="770"/>
      <c r="NQ408" s="770"/>
      <c r="NR408" s="770"/>
      <c r="NS408" s="770"/>
      <c r="NT408" s="770"/>
      <c r="NU408" s="770"/>
      <c r="NV408" s="770"/>
      <c r="NW408" s="770"/>
      <c r="NX408" s="770"/>
      <c r="NY408" s="770"/>
      <c r="NZ408" s="770"/>
      <c r="OA408" s="770"/>
      <c r="OB408" s="770"/>
      <c r="OC408" s="770"/>
      <c r="OD408" s="770"/>
      <c r="OE408" s="770"/>
      <c r="OF408" s="770"/>
      <c r="OG408" s="770"/>
      <c r="OH408" s="770"/>
      <c r="OI408" s="770"/>
      <c r="OJ408" s="770"/>
      <c r="OK408" s="770"/>
      <c r="OL408" s="770"/>
      <c r="OM408" s="770"/>
      <c r="ON408" s="770"/>
      <c r="OO408" s="770"/>
      <c r="OP408" s="770"/>
      <c r="OQ408" s="770"/>
      <c r="OR408" s="770"/>
      <c r="OS408" s="770"/>
      <c r="OT408" s="770"/>
      <c r="OU408" s="770"/>
      <c r="OV408" s="770"/>
      <c r="OW408" s="770"/>
      <c r="OX408" s="770"/>
      <c r="OY408" s="770"/>
      <c r="OZ408" s="770"/>
      <c r="PA408" s="770"/>
      <c r="PB408" s="770"/>
      <c r="PC408" s="770"/>
      <c r="PD408" s="770"/>
      <c r="PE408" s="770"/>
      <c r="PF408" s="770"/>
      <c r="PG408" s="770"/>
      <c r="PH408" s="770"/>
      <c r="PI408" s="770"/>
      <c r="PJ408" s="770"/>
      <c r="PK408" s="770"/>
      <c r="PL408" s="770"/>
      <c r="PM408" s="770"/>
      <c r="PN408" s="770"/>
      <c r="PO408" s="770"/>
      <c r="PP408" s="770"/>
      <c r="PQ408" s="770"/>
      <c r="PR408" s="770"/>
      <c r="PS408" s="770"/>
      <c r="PT408" s="770"/>
      <c r="PU408" s="770"/>
      <c r="PV408" s="770"/>
      <c r="PW408" s="770"/>
      <c r="PX408" s="770"/>
      <c r="PY408" s="770"/>
      <c r="PZ408" s="770"/>
      <c r="QA408" s="770"/>
      <c r="QB408" s="770"/>
      <c r="QC408" s="770"/>
      <c r="QD408" s="770"/>
      <c r="QE408" s="770"/>
      <c r="QF408" s="770"/>
      <c r="QG408" s="770"/>
      <c r="QH408" s="770"/>
      <c r="QI408" s="770"/>
      <c r="QJ408" s="770"/>
      <c r="QK408" s="770"/>
      <c r="QL408" s="770"/>
      <c r="QM408" s="770"/>
      <c r="QN408" s="770"/>
      <c r="QO408" s="770"/>
      <c r="QP408" s="770"/>
      <c r="QQ408" s="770"/>
      <c r="QR408" s="770"/>
      <c r="QS408" s="770"/>
      <c r="QT408" s="770"/>
      <c r="QU408" s="770"/>
      <c r="QV408" s="770"/>
      <c r="QW408" s="770"/>
      <c r="QX408" s="770"/>
      <c r="QY408" s="770"/>
      <c r="QZ408" s="770"/>
      <c r="RA408" s="770"/>
      <c r="RB408" s="770"/>
      <c r="RC408" s="770"/>
      <c r="RD408" s="770"/>
      <c r="RE408" s="770"/>
      <c r="RF408" s="304"/>
      <c r="RG408" s="770"/>
      <c r="RH408" s="302"/>
      <c r="RI408" s="770"/>
      <c r="RJ408" s="770"/>
      <c r="RK408" s="770"/>
      <c r="RL408" s="1710"/>
      <c r="RM408" s="12"/>
      <c r="RN408" s="1711"/>
      <c r="RO408" s="140" t="s">
        <v>11348</v>
      </c>
      <c r="RP408" s="11"/>
      <c r="RQ408" s="11"/>
      <c r="RR408" s="771"/>
      <c r="RS408" s="767"/>
      <c r="RT408" s="11"/>
      <c r="RU408" s="11"/>
      <c r="RV408" s="771" t="s">
        <v>7419</v>
      </c>
      <c r="RW408" s="11" t="s">
        <v>11623</v>
      </c>
      <c r="RX408" s="11" t="s">
        <v>670</v>
      </c>
      <c r="RY408" s="11"/>
      <c r="RZ408" s="11"/>
      <c r="SA408" s="771"/>
      <c r="SB408" s="11"/>
      <c r="SC408" s="11"/>
    </row>
    <row r="409" spans="1:497" ht="12.75" hidden="1" customHeight="1">
      <c r="A409" s="154" t="s">
        <v>7419</v>
      </c>
      <c r="B409" s="292" t="s">
        <v>7669</v>
      </c>
      <c r="C409" s="140" t="s">
        <v>676</v>
      </c>
      <c r="D409" s="770" t="s">
        <v>677</v>
      </c>
      <c r="E409" s="766" t="s">
        <v>678</v>
      </c>
      <c r="F409" s="770" t="s">
        <v>28</v>
      </c>
      <c r="G409" s="770" t="s">
        <v>10</v>
      </c>
      <c r="H409" s="770"/>
      <c r="I409" s="295" t="s">
        <v>679</v>
      </c>
      <c r="J409" s="770" t="s">
        <v>677</v>
      </c>
      <c r="K409" s="770"/>
      <c r="L409" s="770"/>
      <c r="M409" s="770"/>
      <c r="N409" s="770"/>
      <c r="O409" s="770"/>
      <c r="P409" s="94" t="s">
        <v>11634</v>
      </c>
      <c r="Q409" s="1088">
        <v>24066</v>
      </c>
      <c r="R409" s="297">
        <v>51</v>
      </c>
      <c r="S409" s="770" t="s">
        <v>10</v>
      </c>
      <c r="T409" s="770"/>
      <c r="U409" s="298" t="s">
        <v>679</v>
      </c>
      <c r="V409" s="770" t="s">
        <v>722</v>
      </c>
      <c r="W409" s="770"/>
      <c r="X409" s="296"/>
      <c r="Y409" s="770" t="s">
        <v>1072</v>
      </c>
      <c r="Z409" s="770" t="s">
        <v>708</v>
      </c>
      <c r="AA409" s="770" t="s">
        <v>1070</v>
      </c>
      <c r="AB409" s="6" t="s">
        <v>7273</v>
      </c>
      <c r="AC409" s="770" t="s">
        <v>1071</v>
      </c>
      <c r="AD409" s="770"/>
      <c r="AE409" s="770" t="s">
        <v>1073</v>
      </c>
      <c r="AF409" s="770" t="s">
        <v>1074</v>
      </c>
      <c r="AG409" s="766" t="s">
        <v>1095</v>
      </c>
      <c r="AH409" s="766" t="s">
        <v>1096</v>
      </c>
      <c r="AI409" s="770"/>
      <c r="AJ409" s="770"/>
      <c r="AK409" s="770" t="s">
        <v>1101</v>
      </c>
      <c r="AL409" s="299"/>
      <c r="AM409" s="300"/>
      <c r="AN409" s="301"/>
      <c r="AO409" s="766" t="s">
        <v>1122</v>
      </c>
      <c r="AP409" s="766"/>
      <c r="AQ409" s="766"/>
      <c r="AR409" s="766"/>
      <c r="AS409" s="770"/>
      <c r="AT409" s="770"/>
      <c r="AU409" s="770"/>
      <c r="AV409" s="770"/>
      <c r="AW409" s="770"/>
      <c r="AX409" s="770"/>
      <c r="AY409" s="770"/>
      <c r="AZ409" s="770"/>
      <c r="BA409" s="770"/>
      <c r="BB409" s="770"/>
      <c r="BC409" s="770"/>
      <c r="BD409" s="770"/>
      <c r="BE409" s="770"/>
      <c r="BF409" s="302"/>
      <c r="BG409" s="302"/>
      <c r="BH409" s="770"/>
      <c r="BI409" s="770"/>
      <c r="BJ409" s="770"/>
      <c r="BK409" s="770" t="s">
        <v>1095</v>
      </c>
      <c r="BL409" s="770" t="s">
        <v>1388</v>
      </c>
      <c r="BM409" s="766" t="s">
        <v>1096</v>
      </c>
      <c r="BN409" s="770" t="s">
        <v>1230</v>
      </c>
      <c r="BO409" s="766" t="s">
        <v>1246</v>
      </c>
      <c r="BP409" s="1111">
        <v>19.11</v>
      </c>
      <c r="BQ409" s="772">
        <v>9.8000000000000007</v>
      </c>
      <c r="BR409" s="774">
        <v>0.51280000000000003</v>
      </c>
      <c r="BS409" s="766" t="s">
        <v>1105</v>
      </c>
      <c r="BT409" s="766" t="s">
        <v>8133</v>
      </c>
      <c r="BU409" s="770" t="s">
        <v>1378</v>
      </c>
      <c r="BV409" s="770" t="s">
        <v>1247</v>
      </c>
      <c r="BW409" s="770">
        <v>2011</v>
      </c>
      <c r="BX409" s="302"/>
      <c r="BY409" s="303"/>
      <c r="BZ409" s="770"/>
      <c r="CA409" s="302"/>
      <c r="CB409" s="302"/>
      <c r="CC409" s="770"/>
      <c r="CD409" s="770"/>
      <c r="CE409" s="770"/>
      <c r="CF409" s="304"/>
      <c r="CG409" s="321"/>
      <c r="CH409" s="770"/>
      <c r="CI409" s="770"/>
      <c r="CJ409" s="770"/>
      <c r="CK409" s="770"/>
      <c r="CL409" s="770"/>
      <c r="CM409" s="770"/>
      <c r="CN409" s="770"/>
      <c r="CO409" s="770"/>
      <c r="CP409" s="770"/>
      <c r="CQ409" s="770"/>
      <c r="CR409" s="770"/>
      <c r="CS409" s="302"/>
      <c r="CT409" s="770"/>
      <c r="CU409" s="305"/>
      <c r="CV409" s="770"/>
      <c r="CW409" s="770"/>
      <c r="CX409" s="770"/>
      <c r="CY409" s="770"/>
      <c r="CZ409" s="770"/>
      <c r="DA409" s="306"/>
      <c r="DB409" s="770"/>
      <c r="DC409" s="770"/>
      <c r="DD409" s="770"/>
      <c r="DE409" s="300"/>
      <c r="DF409" s="770"/>
      <c r="DG409" s="770"/>
      <c r="DH409" s="770"/>
      <c r="DI409" s="770"/>
      <c r="DJ409" s="770"/>
      <c r="DK409" s="770"/>
      <c r="DL409" s="770"/>
      <c r="DM409" s="770"/>
      <c r="DN409" s="322"/>
      <c r="DO409" s="770"/>
      <c r="DP409" s="770"/>
      <c r="DQ409" s="770"/>
      <c r="DR409" s="770"/>
      <c r="DS409" s="307"/>
      <c r="DT409" s="770"/>
      <c r="DU409" s="770"/>
      <c r="DV409" s="770"/>
      <c r="DW409" s="306"/>
      <c r="DX409" s="306"/>
      <c r="DY409" s="770"/>
      <c r="DZ409" s="770"/>
      <c r="EA409" s="770"/>
      <c r="EB409" s="770"/>
      <c r="EC409" s="770"/>
      <c r="ED409" s="770"/>
      <c r="EE409" s="770"/>
      <c r="EF409" s="770"/>
      <c r="EG409" s="770"/>
      <c r="EH409" s="770"/>
      <c r="EI409" s="770"/>
      <c r="EJ409" s="770"/>
      <c r="EK409" s="770"/>
      <c r="EL409" s="770"/>
      <c r="EM409" s="770"/>
      <c r="EN409" s="770"/>
      <c r="EO409" s="770"/>
      <c r="EP409" s="94"/>
      <c r="EQ409" s="770"/>
      <c r="ER409" s="770"/>
      <c r="ES409" s="770"/>
      <c r="ET409" s="770"/>
      <c r="EU409" s="770"/>
      <c r="EV409" s="770"/>
      <c r="EW409" s="770"/>
      <c r="EX409" s="770"/>
      <c r="EY409" s="770"/>
      <c r="EZ409" s="770"/>
      <c r="FA409" s="770"/>
      <c r="FB409" s="770"/>
      <c r="FC409" s="770"/>
      <c r="FD409" s="302"/>
      <c r="FE409" s="770"/>
      <c r="FF409" s="770"/>
      <c r="FG409" s="770"/>
      <c r="FH409" s="770" t="s">
        <v>478</v>
      </c>
      <c r="FI409" s="770">
        <v>1</v>
      </c>
      <c r="FJ409" s="770"/>
      <c r="FK409" s="770"/>
      <c r="FL409" s="770"/>
      <c r="FM409" s="302"/>
      <c r="FN409" s="302"/>
      <c r="FO409" s="302"/>
      <c r="FP409" s="766" t="s">
        <v>1602</v>
      </c>
      <c r="FQ409" s="766" t="s">
        <v>1660</v>
      </c>
      <c r="FR409" s="770" t="s">
        <v>1214</v>
      </c>
      <c r="FS409" s="770"/>
      <c r="FT409" s="770"/>
      <c r="FU409" s="770"/>
      <c r="FV409" s="770"/>
      <c r="FW409" s="770"/>
      <c r="FX409" s="770"/>
      <c r="FY409" s="770"/>
      <c r="FZ409" s="770"/>
      <c r="GA409" s="770"/>
      <c r="GB409" s="770"/>
      <c r="GC409" s="308"/>
      <c r="GD409" s="297"/>
      <c r="GE409" s="770"/>
      <c r="GF409" s="302"/>
      <c r="GG409" s="302"/>
      <c r="GH409" s="770" t="s">
        <v>1791</v>
      </c>
      <c r="GI409" s="770"/>
      <c r="GJ409" s="770"/>
      <c r="GK409" s="770" t="s">
        <v>2345</v>
      </c>
      <c r="GL409" s="770" t="s">
        <v>1819</v>
      </c>
      <c r="GM409" s="770"/>
      <c r="GN409" s="309">
        <v>1500</v>
      </c>
      <c r="GO409" s="770"/>
      <c r="GP409" s="770" t="s">
        <v>1208</v>
      </c>
      <c r="GQ409" s="770"/>
      <c r="GR409" s="770"/>
      <c r="GS409" s="770"/>
      <c r="GT409" s="770"/>
      <c r="GU409" s="770"/>
      <c r="GV409" s="770"/>
      <c r="GW409" s="770" t="s">
        <v>1207</v>
      </c>
      <c r="GX409" s="770"/>
      <c r="GY409" s="770"/>
      <c r="GZ409" s="770"/>
      <c r="HA409" s="770" t="s">
        <v>1208</v>
      </c>
      <c r="HB409" s="770"/>
      <c r="HC409" s="770"/>
      <c r="HD409" s="770"/>
      <c r="HE409" s="770"/>
      <c r="HF409" s="770"/>
      <c r="HG409" s="770"/>
      <c r="HH409" s="770"/>
      <c r="HI409" s="770" t="s">
        <v>1214</v>
      </c>
      <c r="HJ409" s="770"/>
      <c r="HK409" s="770"/>
      <c r="HL409" s="770"/>
      <c r="HM409" s="770"/>
      <c r="HN409" s="770"/>
      <c r="HO409" s="770"/>
      <c r="HP409" s="770"/>
      <c r="HQ409" s="770"/>
      <c r="HR409" s="770"/>
      <c r="HS409" s="770"/>
      <c r="HT409" s="770"/>
      <c r="HU409" s="770"/>
      <c r="HV409" s="770"/>
      <c r="HW409" s="770"/>
      <c r="HX409" s="770"/>
      <c r="HY409" s="770"/>
      <c r="HZ409" s="770"/>
      <c r="IA409" s="770"/>
      <c r="IB409" s="14" t="e">
        <f>IF(#REF!&gt;0,IF(#REF!&lt;=10000,"Y",""),"")</f>
        <v>#REF!</v>
      </c>
      <c r="IC409" s="770"/>
      <c r="ID409" s="770"/>
      <c r="IE409" s="770"/>
      <c r="IF409" s="770"/>
      <c r="IG409" s="770"/>
      <c r="IH409" s="770"/>
      <c r="II409" s="770"/>
      <c r="IJ409" s="770"/>
      <c r="IK409" s="770"/>
      <c r="IL409" s="770"/>
      <c r="IM409" s="770"/>
      <c r="IN409" s="770"/>
      <c r="IO409" s="296"/>
      <c r="IP409" s="770"/>
      <c r="IQ409" s="770"/>
      <c r="IR409" s="770"/>
      <c r="IS409" s="770"/>
      <c r="IT409" s="770"/>
      <c r="IU409" s="770"/>
      <c r="IV409" s="770"/>
      <c r="IW409" s="770"/>
      <c r="IX409" s="770"/>
      <c r="IY409" s="770"/>
      <c r="IZ409" s="770"/>
      <c r="JA409" s="770"/>
      <c r="JB409" s="770"/>
      <c r="JC409" s="770"/>
      <c r="JD409" s="302"/>
      <c r="JE409" s="770"/>
      <c r="JF409" s="770"/>
      <c r="JG409" s="770"/>
      <c r="JH409" s="770"/>
      <c r="JI409" s="712" t="str">
        <f>IF(SUM(JT409,JU409)=JJ409,"ok","review")</f>
        <v>ok</v>
      </c>
      <c r="JJ409" s="770">
        <v>3</v>
      </c>
      <c r="JK409" s="1139" t="s">
        <v>2129</v>
      </c>
      <c r="JL409" s="770"/>
      <c r="JM409" s="770">
        <v>1</v>
      </c>
      <c r="JN409" s="770">
        <v>1</v>
      </c>
      <c r="JO409" s="770">
        <v>1</v>
      </c>
      <c r="JP409" s="770"/>
      <c r="JQ409" s="770"/>
      <c r="JR409" s="770"/>
      <c r="JS409" s="770"/>
      <c r="JT409" s="766">
        <f>SUM(JP409,JN409,JL409,JR409)</f>
        <v>1</v>
      </c>
      <c r="JU409" s="766">
        <f>SUM(JQ409,JO409,JM409,JS409)</f>
        <v>2</v>
      </c>
      <c r="JV409" s="712" t="str">
        <f>IF(JT409=KJ409,"ok","male")</f>
        <v>ok</v>
      </c>
      <c r="JW409" s="712" t="str">
        <f>IF(JU409=KK409,"ok","female")</f>
        <v>ok</v>
      </c>
      <c r="JX409" s="770"/>
      <c r="JY409" s="770">
        <v>1</v>
      </c>
      <c r="JZ409" s="770"/>
      <c r="KA409" s="770"/>
      <c r="KB409" s="770"/>
      <c r="KC409" s="770"/>
      <c r="KD409" s="770">
        <v>1</v>
      </c>
      <c r="KE409" s="770">
        <v>1</v>
      </c>
      <c r="KF409" s="770"/>
      <c r="KG409" s="770"/>
      <c r="KH409" s="770"/>
      <c r="KI409" s="770"/>
      <c r="KJ409" s="770">
        <f t="shared" si="103"/>
        <v>1</v>
      </c>
      <c r="KK409" s="770">
        <f t="shared" si="103"/>
        <v>2</v>
      </c>
      <c r="KL409" s="712" t="str">
        <f>IF(KJ409=LN409,"ok","male")</f>
        <v>ok</v>
      </c>
      <c r="KM409" s="712" t="str">
        <f>IF(KK409=LO409,"ok","female")</f>
        <v>ok</v>
      </c>
      <c r="KN409" s="770" t="s">
        <v>722</v>
      </c>
      <c r="KO409" s="770"/>
      <c r="KP409" s="770"/>
      <c r="KQ409" s="770"/>
      <c r="KR409" s="770"/>
      <c r="KS409" s="770">
        <v>1</v>
      </c>
      <c r="KT409" s="770"/>
      <c r="KU409" s="770"/>
      <c r="KV409" s="770"/>
      <c r="KW409" s="770"/>
      <c r="KX409" s="770"/>
      <c r="KY409" s="770"/>
      <c r="KZ409" s="770"/>
      <c r="LA409" s="770"/>
      <c r="LB409" s="770"/>
      <c r="LC409" s="770"/>
      <c r="LD409" s="770"/>
      <c r="LE409" s="770">
        <v>1</v>
      </c>
      <c r="LF409" s="770"/>
      <c r="LG409" s="770"/>
      <c r="LH409" s="770">
        <v>1</v>
      </c>
      <c r="LI409" s="770"/>
      <c r="LJ409" s="770"/>
      <c r="LK409" s="770"/>
      <c r="LL409" s="770"/>
      <c r="LM409" s="770"/>
      <c r="LN409" s="766">
        <f>SUM(KP409,KR409,KT409,KV409,KX409,KZ409,LB409,LD409,LF409,LH409,LJ409,LL409)</f>
        <v>1</v>
      </c>
      <c r="LO409" s="766">
        <f>SUM(KQ409,KS409,KU409,KW409,KY409,LA409,LC409,LE409,LG409,LI409,LK409,LM409)</f>
        <v>2</v>
      </c>
      <c r="LP409" s="770">
        <v>1</v>
      </c>
      <c r="LQ409" s="770"/>
      <c r="LR409" s="770"/>
      <c r="LS409" s="770">
        <v>1</v>
      </c>
      <c r="LT409" s="712" t="str">
        <f>IF(LQ409=SUM(LU409:LW409),"OK","REV")</f>
        <v>OK</v>
      </c>
      <c r="LU409" s="770"/>
      <c r="LV409" s="770"/>
      <c r="LW409" s="770"/>
      <c r="LX409" s="769">
        <v>1</v>
      </c>
      <c r="LY409" s="766" t="str">
        <f t="shared" si="100"/>
        <v>within the BRGY</v>
      </c>
      <c r="LZ409" s="299"/>
      <c r="MA409" s="306"/>
      <c r="MB409" s="306">
        <v>4500</v>
      </c>
      <c r="MC409" s="1679">
        <f t="shared" si="99"/>
        <v>4500</v>
      </c>
      <c r="MD409" s="306"/>
      <c r="ME409" s="306"/>
      <c r="MF409" s="306">
        <v>15000</v>
      </c>
      <c r="MG409" s="1680">
        <f>SUM(MD409:MF409)</f>
        <v>15000</v>
      </c>
      <c r="MH409" s="770" t="s">
        <v>13510</v>
      </c>
      <c r="MI409" s="302">
        <v>3000</v>
      </c>
      <c r="MJ409" s="302">
        <v>200</v>
      </c>
      <c r="MK409" s="302">
        <v>500</v>
      </c>
      <c r="ML409" s="302"/>
      <c r="MM409" s="302">
        <v>500</v>
      </c>
      <c r="MN409" s="302"/>
      <c r="MO409" s="302">
        <v>50</v>
      </c>
      <c r="MP409" s="302">
        <v>500</v>
      </c>
      <c r="MQ409" s="302">
        <v>500</v>
      </c>
      <c r="MR409" s="302">
        <v>300</v>
      </c>
      <c r="MS409" s="302">
        <v>300</v>
      </c>
      <c r="MT409" s="302"/>
      <c r="MU409" s="302"/>
      <c r="MV409" s="302"/>
      <c r="MW409" s="302"/>
      <c r="MX409" s="302"/>
      <c r="MY409" s="1682">
        <f t="shared" si="102"/>
        <v>5850</v>
      </c>
      <c r="MZ409" s="770" t="s">
        <v>13370</v>
      </c>
      <c r="NA409" s="770" t="s">
        <v>13005</v>
      </c>
      <c r="NB409" s="770" t="s">
        <v>13371</v>
      </c>
      <c r="NC409" s="766" t="s">
        <v>13523</v>
      </c>
      <c r="ND409" s="770">
        <v>1</v>
      </c>
      <c r="NE409" s="770">
        <v>0</v>
      </c>
      <c r="NF409" s="770">
        <v>0</v>
      </c>
      <c r="NG409" s="770">
        <v>2</v>
      </c>
      <c r="NH409" s="770">
        <v>1</v>
      </c>
      <c r="NI409" s="770">
        <v>1</v>
      </c>
      <c r="NJ409" s="770">
        <v>0</v>
      </c>
      <c r="NK409" s="770">
        <v>0</v>
      </c>
      <c r="NL409" s="770">
        <v>0</v>
      </c>
      <c r="NM409" s="770">
        <v>1</v>
      </c>
      <c r="NN409" s="770">
        <v>0</v>
      </c>
      <c r="NO409" s="770">
        <v>0</v>
      </c>
      <c r="NP409" s="770">
        <v>0</v>
      </c>
      <c r="NQ409" s="770">
        <v>0</v>
      </c>
      <c r="NR409" s="770">
        <v>0</v>
      </c>
      <c r="NS409" s="770">
        <v>0</v>
      </c>
      <c r="NT409" s="770">
        <v>0</v>
      </c>
      <c r="NU409" s="770">
        <v>0</v>
      </c>
      <c r="NV409" s="770">
        <v>0</v>
      </c>
      <c r="NW409" s="770">
        <v>0</v>
      </c>
      <c r="NX409" s="770">
        <v>0</v>
      </c>
      <c r="NY409" s="770" t="s">
        <v>1208</v>
      </c>
      <c r="NZ409" s="770" t="s">
        <v>1208</v>
      </c>
      <c r="OA409" s="770" t="s">
        <v>1208</v>
      </c>
      <c r="OB409" s="770" t="s">
        <v>1208</v>
      </c>
      <c r="OC409" s="770" t="s">
        <v>1208</v>
      </c>
      <c r="OD409" s="770" t="s">
        <v>1208</v>
      </c>
      <c r="OE409" s="770"/>
      <c r="OF409" s="770" t="s">
        <v>13277</v>
      </c>
      <c r="OG409" s="770" t="s">
        <v>1208</v>
      </c>
      <c r="OH409" s="770" t="s">
        <v>13524</v>
      </c>
      <c r="OI409" s="770" t="s">
        <v>13525</v>
      </c>
      <c r="OJ409" s="770" t="s">
        <v>13526</v>
      </c>
      <c r="OK409" s="770" t="s">
        <v>1208</v>
      </c>
      <c r="OL409" s="770" t="s">
        <v>13319</v>
      </c>
      <c r="OM409" s="770" t="s">
        <v>13527</v>
      </c>
      <c r="ON409" s="770" t="s">
        <v>13528</v>
      </c>
      <c r="OO409" s="770" t="s">
        <v>1207</v>
      </c>
      <c r="OP409" s="770"/>
      <c r="OQ409" s="770"/>
      <c r="OR409" s="770"/>
      <c r="OS409" s="770" t="s">
        <v>13529</v>
      </c>
      <c r="OT409" s="770" t="s">
        <v>13388</v>
      </c>
      <c r="OU409" s="770" t="s">
        <v>13387</v>
      </c>
      <c r="OV409" s="770" t="s">
        <v>1208</v>
      </c>
      <c r="OW409" s="770" t="s">
        <v>1208</v>
      </c>
      <c r="OX409" s="770" t="s">
        <v>1208</v>
      </c>
      <c r="OY409" s="770"/>
      <c r="OZ409" s="770"/>
      <c r="PA409" s="770" t="s">
        <v>1208</v>
      </c>
      <c r="PB409" s="770" t="s">
        <v>1208</v>
      </c>
      <c r="PC409" s="770"/>
      <c r="PD409" s="770"/>
      <c r="PE409" s="770"/>
      <c r="PF409" s="770"/>
      <c r="PG409" s="770"/>
      <c r="PH409" s="770"/>
      <c r="PI409" s="770"/>
      <c r="PJ409" s="770"/>
      <c r="PK409" s="770"/>
      <c r="PL409" s="770"/>
      <c r="PM409" s="770"/>
      <c r="PN409" s="770"/>
      <c r="PO409" s="770"/>
      <c r="PP409" s="770"/>
      <c r="PQ409" s="770"/>
      <c r="PR409" s="770" t="s">
        <v>1208</v>
      </c>
      <c r="PS409" s="770" t="s">
        <v>1208</v>
      </c>
      <c r="PT409" s="770" t="s">
        <v>1208</v>
      </c>
      <c r="PU409" s="770"/>
      <c r="PV409" s="770"/>
      <c r="PW409" s="770"/>
      <c r="PX409" s="770"/>
      <c r="PY409" s="770"/>
      <c r="PZ409" s="770"/>
      <c r="QA409" s="770"/>
      <c r="QB409" s="770"/>
      <c r="QC409" s="770"/>
      <c r="QD409" s="770"/>
      <c r="QE409" s="770"/>
      <c r="QF409" s="770"/>
      <c r="QG409" s="770"/>
      <c r="QH409" s="770"/>
      <c r="QI409" s="770"/>
      <c r="QJ409" s="770"/>
      <c r="QK409" s="770"/>
      <c r="QL409" s="770"/>
      <c r="QM409" s="770"/>
      <c r="QN409" s="770"/>
      <c r="QO409" s="770"/>
      <c r="QP409" s="770"/>
      <c r="QQ409" s="770"/>
      <c r="QR409" s="770"/>
      <c r="QS409" s="770"/>
      <c r="QT409" s="770"/>
      <c r="QU409" s="770"/>
      <c r="QV409" s="770"/>
      <c r="QW409" s="770"/>
      <c r="QX409" s="770"/>
      <c r="QY409" s="770"/>
      <c r="QZ409" s="770"/>
      <c r="RA409" s="770"/>
      <c r="RB409" s="770" t="s">
        <v>1214</v>
      </c>
      <c r="RC409" s="770"/>
      <c r="RD409" s="770"/>
      <c r="RE409" s="770"/>
      <c r="RF409" s="304"/>
      <c r="RG409" s="770"/>
      <c r="RH409" s="302"/>
      <c r="RI409" s="770"/>
      <c r="RJ409" s="770" t="s">
        <v>13530</v>
      </c>
      <c r="RK409" s="770" t="s">
        <v>13381</v>
      </c>
      <c r="RL409" s="1710"/>
      <c r="RM409" s="12"/>
      <c r="RN409" s="1711"/>
      <c r="RO409" s="140" t="s">
        <v>676</v>
      </c>
      <c r="RP409" s="11"/>
      <c r="RQ409" s="11"/>
      <c r="RR409" s="154" t="s">
        <v>7419</v>
      </c>
      <c r="RS409" s="1139" t="s">
        <v>12980</v>
      </c>
      <c r="RT409" s="11"/>
      <c r="RU409" s="11"/>
      <c r="RV409" s="771" t="s">
        <v>7419</v>
      </c>
      <c r="RW409" s="11" t="s">
        <v>7668</v>
      </c>
      <c r="RX409" s="11" t="s">
        <v>672</v>
      </c>
      <c r="RY409" s="11"/>
      <c r="RZ409" s="11" t="s">
        <v>2209</v>
      </c>
      <c r="SA409" s="771"/>
      <c r="SB409" s="11"/>
      <c r="SC409" s="11"/>
    </row>
    <row r="410" spans="1:497" ht="12.75" hidden="1" customHeight="1">
      <c r="A410" s="154" t="s">
        <v>7419</v>
      </c>
      <c r="B410" s="292" t="s">
        <v>12454</v>
      </c>
      <c r="C410" s="140" t="s">
        <v>11727</v>
      </c>
      <c r="D410" s="1824" t="s">
        <v>11729</v>
      </c>
      <c r="E410" s="766" t="s">
        <v>11730</v>
      </c>
      <c r="F410" s="770" t="s">
        <v>28</v>
      </c>
      <c r="G410" s="770" t="s">
        <v>10</v>
      </c>
      <c r="H410" s="770" t="s">
        <v>11731</v>
      </c>
      <c r="I410" s="295"/>
      <c r="J410" s="770" t="s">
        <v>11729</v>
      </c>
      <c r="K410" s="770"/>
      <c r="L410" s="770"/>
      <c r="M410" s="770"/>
      <c r="N410" s="770" t="s">
        <v>11732</v>
      </c>
      <c r="O410" s="770" t="s">
        <v>11733</v>
      </c>
      <c r="P410" s="94" t="s">
        <v>11734</v>
      </c>
      <c r="Q410" s="1088">
        <v>17345</v>
      </c>
      <c r="R410" s="297">
        <v>70</v>
      </c>
      <c r="S410" s="770" t="s">
        <v>10</v>
      </c>
      <c r="T410" s="770" t="s">
        <v>11731</v>
      </c>
      <c r="U410" s="298"/>
      <c r="V410" s="770" t="s">
        <v>707</v>
      </c>
      <c r="W410" s="770"/>
      <c r="X410" s="296"/>
      <c r="Y410" s="766" t="s">
        <v>11730</v>
      </c>
      <c r="Z410" s="770"/>
      <c r="AA410" s="770"/>
      <c r="AB410" s="770"/>
      <c r="AC410" s="770"/>
      <c r="AD410" s="770"/>
      <c r="AE410" s="770"/>
      <c r="AF410" s="770"/>
      <c r="AG410" s="766" t="s">
        <v>1132</v>
      </c>
      <c r="AH410" s="766" t="s">
        <v>1096</v>
      </c>
      <c r="AI410" s="770"/>
      <c r="AJ410" s="770" t="s">
        <v>1137</v>
      </c>
      <c r="AK410" s="770" t="s">
        <v>1101</v>
      </c>
      <c r="AL410" s="299"/>
      <c r="AM410" s="300"/>
      <c r="AN410" s="301"/>
      <c r="AO410" s="766"/>
      <c r="AP410" s="766"/>
      <c r="AQ410" s="766"/>
      <c r="AR410" s="766"/>
      <c r="AS410" s="770"/>
      <c r="AT410" s="770"/>
      <c r="AU410" s="770"/>
      <c r="AV410" s="770"/>
      <c r="AW410" s="770"/>
      <c r="AX410" s="770"/>
      <c r="AY410" s="770"/>
      <c r="AZ410" s="770"/>
      <c r="BA410" s="770"/>
      <c r="BB410" s="770"/>
      <c r="BC410" s="770"/>
      <c r="BD410" s="770"/>
      <c r="BE410" s="770"/>
      <c r="BF410" s="302"/>
      <c r="BG410" s="302"/>
      <c r="BH410" s="770"/>
      <c r="BI410" s="770"/>
      <c r="BJ410" s="770"/>
      <c r="BK410" s="770" t="s">
        <v>1095</v>
      </c>
      <c r="BL410" s="770"/>
      <c r="BM410" s="766" t="s">
        <v>1096</v>
      </c>
      <c r="BN410" s="770" t="s">
        <v>1230</v>
      </c>
      <c r="BO410" s="766" t="s">
        <v>1246</v>
      </c>
      <c r="BP410" s="780"/>
      <c r="BQ410" s="772"/>
      <c r="BR410" s="774"/>
      <c r="BS410" s="766" t="s">
        <v>1105</v>
      </c>
      <c r="BT410" s="766"/>
      <c r="BU410" s="770"/>
      <c r="BV410" s="770"/>
      <c r="BW410" s="770"/>
      <c r="BX410" s="302"/>
      <c r="BY410" s="303"/>
      <c r="BZ410" s="770"/>
      <c r="CA410" s="302"/>
      <c r="CB410" s="302"/>
      <c r="CC410" s="770"/>
      <c r="CD410" s="770"/>
      <c r="CE410" s="770"/>
      <c r="CF410" s="304"/>
      <c r="CG410" s="321"/>
      <c r="CH410" s="770"/>
      <c r="CI410" s="770"/>
      <c r="CJ410" s="770"/>
      <c r="CK410" s="770"/>
      <c r="CL410" s="770"/>
      <c r="CM410" s="770"/>
      <c r="CN410" s="770"/>
      <c r="CO410" s="770"/>
      <c r="CP410" s="770"/>
      <c r="CQ410" s="770"/>
      <c r="CR410" s="770"/>
      <c r="CS410" s="302"/>
      <c r="CT410" s="770"/>
      <c r="CU410" s="305"/>
      <c r="CV410" s="770"/>
      <c r="CW410" s="770"/>
      <c r="CX410" s="770"/>
      <c r="CY410" s="770"/>
      <c r="CZ410" s="770"/>
      <c r="DA410" s="306"/>
      <c r="DB410" s="770"/>
      <c r="DC410" s="770"/>
      <c r="DD410" s="770"/>
      <c r="DE410" s="300"/>
      <c r="DF410" s="770"/>
      <c r="DG410" s="770"/>
      <c r="DH410" s="770"/>
      <c r="DI410" s="770"/>
      <c r="DJ410" s="770"/>
      <c r="DK410" s="770"/>
      <c r="DL410" s="770"/>
      <c r="DM410" s="770"/>
      <c r="DN410" s="322"/>
      <c r="DO410" s="770"/>
      <c r="DP410" s="770"/>
      <c r="DQ410" s="770"/>
      <c r="DR410" s="770"/>
      <c r="DS410" s="307"/>
      <c r="DT410" s="770"/>
      <c r="DU410" s="770"/>
      <c r="DV410" s="770"/>
      <c r="DW410" s="306"/>
      <c r="DX410" s="306"/>
      <c r="DY410" s="770"/>
      <c r="DZ410" s="770"/>
      <c r="EA410" s="770"/>
      <c r="EB410" s="770"/>
      <c r="EC410" s="770"/>
      <c r="ED410" s="770"/>
      <c r="EE410" s="770"/>
      <c r="EF410" s="770"/>
      <c r="EG410" s="770"/>
      <c r="EH410" s="770"/>
      <c r="EI410" s="770"/>
      <c r="EJ410" s="770"/>
      <c r="EK410" s="770"/>
      <c r="EL410" s="770"/>
      <c r="EM410" s="770"/>
      <c r="EN410" s="770"/>
      <c r="EO410" s="770"/>
      <c r="EP410" s="94"/>
      <c r="EQ410" s="770"/>
      <c r="ER410" s="770"/>
      <c r="ES410" s="770"/>
      <c r="ET410" s="770"/>
      <c r="EU410" s="770"/>
      <c r="EV410" s="770"/>
      <c r="EW410" s="770"/>
      <c r="EX410" s="770"/>
      <c r="EY410" s="770"/>
      <c r="EZ410" s="770"/>
      <c r="FA410" s="770"/>
      <c r="FB410" s="770"/>
      <c r="FC410" s="770"/>
      <c r="FD410" s="302"/>
      <c r="FE410" s="770"/>
      <c r="FF410" s="770"/>
      <c r="FG410" s="770"/>
      <c r="FH410" s="770"/>
      <c r="FI410" s="770"/>
      <c r="FJ410" s="770"/>
      <c r="FK410" s="770"/>
      <c r="FL410" s="770"/>
      <c r="FM410" s="302"/>
      <c r="FN410" s="302"/>
      <c r="FO410" s="302"/>
      <c r="FP410" s="770"/>
      <c r="FQ410" s="770"/>
      <c r="FR410" s="770"/>
      <c r="FS410" s="770"/>
      <c r="FT410" s="770"/>
      <c r="FU410" s="770"/>
      <c r="FV410" s="770"/>
      <c r="FW410" s="770"/>
      <c r="FX410" s="770"/>
      <c r="FY410" s="770"/>
      <c r="FZ410" s="770"/>
      <c r="GA410" s="770"/>
      <c r="GB410" s="770"/>
      <c r="GC410" s="308"/>
      <c r="GD410" s="297"/>
      <c r="GE410" s="770"/>
      <c r="GF410" s="302"/>
      <c r="GG410" s="302"/>
      <c r="GH410" s="770"/>
      <c r="GI410" s="770"/>
      <c r="GJ410" s="770"/>
      <c r="GK410" s="770"/>
      <c r="GL410" s="770"/>
      <c r="GM410" s="770"/>
      <c r="GN410" s="309"/>
      <c r="GO410" s="770"/>
      <c r="GP410" s="770"/>
      <c r="GQ410" s="770"/>
      <c r="GR410" s="770"/>
      <c r="GS410" s="770"/>
      <c r="GT410" s="770"/>
      <c r="GU410" s="770"/>
      <c r="GV410" s="770"/>
      <c r="GW410" s="770"/>
      <c r="GX410" s="770"/>
      <c r="GY410" s="770"/>
      <c r="GZ410" s="770"/>
      <c r="HA410" s="770"/>
      <c r="HB410" s="770"/>
      <c r="HC410" s="770"/>
      <c r="HD410" s="770"/>
      <c r="HE410" s="770"/>
      <c r="HF410" s="770"/>
      <c r="HG410" s="770"/>
      <c r="HH410" s="770"/>
      <c r="HI410" s="770"/>
      <c r="HJ410" s="770"/>
      <c r="HK410" s="770"/>
      <c r="HL410" s="770"/>
      <c r="HM410" s="770"/>
      <c r="HN410" s="770"/>
      <c r="HO410" s="770"/>
      <c r="HP410" s="770"/>
      <c r="HQ410" s="770"/>
      <c r="HR410" s="770"/>
      <c r="HS410" s="770"/>
      <c r="HT410" s="770"/>
      <c r="HU410" s="770"/>
      <c r="HV410" s="770"/>
      <c r="HW410" s="770"/>
      <c r="HX410" s="770"/>
      <c r="HY410" s="770"/>
      <c r="HZ410" s="770"/>
      <c r="IA410" s="770"/>
      <c r="IB410" s="14" t="e">
        <f>IF(#REF!&gt;0,IF(#REF!&lt;=10000,"Y",""),"")</f>
        <v>#REF!</v>
      </c>
      <c r="IC410" s="770"/>
      <c r="ID410" s="770"/>
      <c r="IE410" s="770"/>
      <c r="IF410" s="770"/>
      <c r="IG410" s="770"/>
      <c r="IH410" s="770"/>
      <c r="II410" s="770"/>
      <c r="IJ410" s="770"/>
      <c r="IK410" s="770"/>
      <c r="IL410" s="770"/>
      <c r="IM410" s="770"/>
      <c r="IN410" s="770"/>
      <c r="IO410" s="296"/>
      <c r="IP410" s="770"/>
      <c r="IQ410" s="770"/>
      <c r="IR410" s="770"/>
      <c r="IS410" s="770"/>
      <c r="IT410" s="770"/>
      <c r="IU410" s="770"/>
      <c r="IV410" s="770"/>
      <c r="IW410" s="770"/>
      <c r="IX410" s="770"/>
      <c r="IY410" s="770"/>
      <c r="IZ410" s="770"/>
      <c r="JA410" s="770"/>
      <c r="JB410" s="770"/>
      <c r="JC410" s="770"/>
      <c r="JD410" s="302"/>
      <c r="JE410" s="770"/>
      <c r="JF410" s="770"/>
      <c r="JG410" s="770"/>
      <c r="JH410" s="770"/>
      <c r="JI410" s="770"/>
      <c r="JJ410" s="770"/>
      <c r="JK410" s="770"/>
      <c r="JL410" s="770"/>
      <c r="JM410" s="770"/>
      <c r="JN410" s="770"/>
      <c r="JO410" s="770"/>
      <c r="JP410" s="770"/>
      <c r="JQ410" s="770"/>
      <c r="JR410" s="770"/>
      <c r="JS410" s="770"/>
      <c r="JT410" s="766"/>
      <c r="JU410" s="766"/>
      <c r="JV410" s="766"/>
      <c r="JW410" s="766"/>
      <c r="JX410" s="770"/>
      <c r="JY410" s="770"/>
      <c r="JZ410" s="770"/>
      <c r="KA410" s="770"/>
      <c r="KB410" s="770"/>
      <c r="KC410" s="770"/>
      <c r="KD410" s="770"/>
      <c r="KE410" s="770"/>
      <c r="KF410" s="770"/>
      <c r="KG410" s="770"/>
      <c r="KH410" s="770"/>
      <c r="KI410" s="770"/>
      <c r="KJ410" s="770"/>
      <c r="KK410" s="770"/>
      <c r="KL410" s="770"/>
      <c r="KM410" s="770"/>
      <c r="KN410" s="770"/>
      <c r="KO410" s="770"/>
      <c r="KP410" s="770"/>
      <c r="KQ410" s="770"/>
      <c r="KR410" s="770"/>
      <c r="KS410" s="770"/>
      <c r="KT410" s="770"/>
      <c r="KU410" s="770"/>
      <c r="KV410" s="770"/>
      <c r="KW410" s="770"/>
      <c r="KX410" s="770"/>
      <c r="KY410" s="770"/>
      <c r="KZ410" s="770"/>
      <c r="LA410" s="770"/>
      <c r="LB410" s="770"/>
      <c r="LC410" s="770"/>
      <c r="LD410" s="770"/>
      <c r="LE410" s="770"/>
      <c r="LF410" s="770"/>
      <c r="LG410" s="770"/>
      <c r="LH410" s="770"/>
      <c r="LI410" s="770"/>
      <c r="LJ410" s="770"/>
      <c r="LK410" s="770"/>
      <c r="LL410" s="770"/>
      <c r="LM410" s="770"/>
      <c r="LN410" s="766"/>
      <c r="LO410" s="766"/>
      <c r="LP410" s="770"/>
      <c r="LQ410" s="770"/>
      <c r="LR410" s="770"/>
      <c r="LS410" s="770"/>
      <c r="LT410" s="770"/>
      <c r="LU410" s="770"/>
      <c r="LV410" s="770"/>
      <c r="LW410" s="770"/>
      <c r="LX410" s="769"/>
      <c r="LY410" s="766" t="str">
        <f t="shared" si="100"/>
        <v/>
      </c>
      <c r="LZ410" s="299"/>
      <c r="MA410" s="306"/>
      <c r="MB410" s="306"/>
      <c r="MC410" s="1679">
        <f t="shared" si="99"/>
        <v>0</v>
      </c>
      <c r="MD410" s="306"/>
      <c r="ME410" s="306"/>
      <c r="MF410" s="306"/>
      <c r="MG410" s="1680">
        <f t="shared" si="101"/>
        <v>0</v>
      </c>
      <c r="MH410" s="770"/>
      <c r="MI410" s="302"/>
      <c r="MJ410" s="302"/>
      <c r="MK410" s="302"/>
      <c r="ML410" s="302"/>
      <c r="MM410" s="302"/>
      <c r="MN410" s="302"/>
      <c r="MO410" s="302"/>
      <c r="MP410" s="302"/>
      <c r="MQ410" s="302"/>
      <c r="MR410" s="302"/>
      <c r="MS410" s="302"/>
      <c r="MT410" s="302"/>
      <c r="MU410" s="302"/>
      <c r="MV410" s="302"/>
      <c r="MW410" s="302"/>
      <c r="MX410" s="302"/>
      <c r="MY410" s="1682">
        <f t="shared" si="102"/>
        <v>0</v>
      </c>
      <c r="MZ410" s="770"/>
      <c r="NA410" s="770"/>
      <c r="NB410" s="770"/>
      <c r="NC410" s="766"/>
      <c r="ND410" s="770"/>
      <c r="NE410" s="770"/>
      <c r="NF410" s="770"/>
      <c r="NG410" s="770"/>
      <c r="NH410" s="770"/>
      <c r="NI410" s="770"/>
      <c r="NJ410" s="770"/>
      <c r="NK410" s="770"/>
      <c r="NL410" s="770"/>
      <c r="NM410" s="770"/>
      <c r="NN410" s="770"/>
      <c r="NO410" s="770"/>
      <c r="NP410" s="770"/>
      <c r="NQ410" s="770"/>
      <c r="NR410" s="770"/>
      <c r="NS410" s="770"/>
      <c r="NT410" s="770"/>
      <c r="NU410" s="770"/>
      <c r="NV410" s="770"/>
      <c r="NW410" s="770"/>
      <c r="NX410" s="770"/>
      <c r="NY410" s="770"/>
      <c r="NZ410" s="770"/>
      <c r="OA410" s="770"/>
      <c r="OB410" s="770"/>
      <c r="OC410" s="770"/>
      <c r="OD410" s="770"/>
      <c r="OE410" s="770"/>
      <c r="OF410" s="770"/>
      <c r="OG410" s="770"/>
      <c r="OH410" s="770"/>
      <c r="OI410" s="770"/>
      <c r="OJ410" s="770"/>
      <c r="OK410" s="770"/>
      <c r="OL410" s="770"/>
      <c r="OM410" s="770"/>
      <c r="ON410" s="770"/>
      <c r="OO410" s="770"/>
      <c r="OP410" s="770"/>
      <c r="OQ410" s="770"/>
      <c r="OR410" s="770"/>
      <c r="OS410" s="770"/>
      <c r="OT410" s="770"/>
      <c r="OU410" s="770"/>
      <c r="OV410" s="770"/>
      <c r="OW410" s="770"/>
      <c r="OX410" s="770"/>
      <c r="OY410" s="770"/>
      <c r="OZ410" s="770"/>
      <c r="PA410" s="770"/>
      <c r="PB410" s="770"/>
      <c r="PC410" s="770"/>
      <c r="PD410" s="770"/>
      <c r="PE410" s="770"/>
      <c r="PF410" s="770"/>
      <c r="PG410" s="770"/>
      <c r="PH410" s="770"/>
      <c r="PI410" s="770"/>
      <c r="PJ410" s="770"/>
      <c r="PK410" s="770"/>
      <c r="PL410" s="770"/>
      <c r="PM410" s="770"/>
      <c r="PN410" s="770"/>
      <c r="PO410" s="770"/>
      <c r="PP410" s="770"/>
      <c r="PQ410" s="770"/>
      <c r="PR410" s="770"/>
      <c r="PS410" s="770"/>
      <c r="PT410" s="770"/>
      <c r="PU410" s="770"/>
      <c r="PV410" s="770"/>
      <c r="PW410" s="770"/>
      <c r="PX410" s="770"/>
      <c r="PY410" s="770"/>
      <c r="PZ410" s="770"/>
      <c r="QA410" s="770"/>
      <c r="QB410" s="770"/>
      <c r="QC410" s="770"/>
      <c r="QD410" s="770"/>
      <c r="QE410" s="770"/>
      <c r="QF410" s="770"/>
      <c r="QG410" s="770"/>
      <c r="QH410" s="770"/>
      <c r="QI410" s="770"/>
      <c r="QJ410" s="770"/>
      <c r="QK410" s="770"/>
      <c r="QL410" s="770"/>
      <c r="QM410" s="770"/>
      <c r="QN410" s="770"/>
      <c r="QO410" s="770"/>
      <c r="QP410" s="770"/>
      <c r="QQ410" s="770"/>
      <c r="QR410" s="770"/>
      <c r="QS410" s="770"/>
      <c r="QT410" s="770"/>
      <c r="QU410" s="770"/>
      <c r="QV410" s="770"/>
      <c r="QW410" s="770"/>
      <c r="QX410" s="770"/>
      <c r="QY410" s="770"/>
      <c r="QZ410" s="770"/>
      <c r="RA410" s="770"/>
      <c r="RB410" s="770"/>
      <c r="RC410" s="770"/>
      <c r="RD410" s="770"/>
      <c r="RE410" s="770"/>
      <c r="RF410" s="304"/>
      <c r="RG410" s="770"/>
      <c r="RH410" s="302"/>
      <c r="RI410" s="770"/>
      <c r="RJ410" s="770"/>
      <c r="RK410" s="770"/>
      <c r="RL410" s="1710"/>
      <c r="RM410" s="12"/>
      <c r="RN410" s="1711"/>
      <c r="RO410" s="140" t="s">
        <v>11727</v>
      </c>
      <c r="RP410" s="11"/>
      <c r="RQ410" s="11"/>
      <c r="RR410" s="771"/>
      <c r="RS410" s="767"/>
      <c r="RT410" s="11"/>
      <c r="RU410" s="11"/>
      <c r="RV410" s="771"/>
      <c r="RW410" s="11" t="s">
        <v>12453</v>
      </c>
      <c r="RX410" s="11" t="s">
        <v>11348</v>
      </c>
      <c r="RY410" s="11"/>
      <c r="RZ410" s="11"/>
      <c r="SA410" s="771"/>
      <c r="SB410" s="11"/>
      <c r="SC410" s="11"/>
    </row>
    <row r="411" spans="1:497" s="767" customFormat="1" ht="12.75" hidden="1" customHeight="1">
      <c r="A411" s="154" t="s">
        <v>7419</v>
      </c>
      <c r="B411" s="288" t="s">
        <v>11630</v>
      </c>
      <c r="C411" s="140" t="s">
        <v>680</v>
      </c>
      <c r="D411" s="14" t="s">
        <v>11631</v>
      </c>
      <c r="E411" s="766" t="s">
        <v>681</v>
      </c>
      <c r="F411" s="766" t="s">
        <v>28</v>
      </c>
      <c r="G411" s="766" t="s">
        <v>10</v>
      </c>
      <c r="H411" s="766"/>
      <c r="I411" s="5" t="s">
        <v>11632</v>
      </c>
      <c r="J411" s="14" t="s">
        <v>11631</v>
      </c>
      <c r="K411" s="766"/>
      <c r="L411" s="766"/>
      <c r="M411" s="766"/>
      <c r="N411" s="766"/>
      <c r="O411" s="766"/>
      <c r="P411" s="14" t="s">
        <v>11633</v>
      </c>
      <c r="Q411" s="1085">
        <v>24241</v>
      </c>
      <c r="R411" s="766">
        <v>51</v>
      </c>
      <c r="S411" s="766" t="s">
        <v>10</v>
      </c>
      <c r="T411" s="766"/>
      <c r="U411" s="766" t="s">
        <v>11632</v>
      </c>
      <c r="V411" s="766" t="s">
        <v>707</v>
      </c>
      <c r="W411" s="766" t="s">
        <v>11635</v>
      </c>
      <c r="X411" s="24"/>
      <c r="Y411" s="766" t="s">
        <v>681</v>
      </c>
      <c r="Z411" s="766" t="s">
        <v>1057</v>
      </c>
      <c r="AA411" s="766" t="s">
        <v>748</v>
      </c>
      <c r="AB411" s="766" t="s">
        <v>4652</v>
      </c>
      <c r="AC411" s="766" t="s">
        <v>11636</v>
      </c>
      <c r="AD411" s="766"/>
      <c r="AE411" s="766"/>
      <c r="AF411" s="766" t="s">
        <v>798</v>
      </c>
      <c r="AG411" s="766" t="s">
        <v>1095</v>
      </c>
      <c r="AH411" s="766" t="s">
        <v>1096</v>
      </c>
      <c r="AI411" s="770" t="s">
        <v>11628</v>
      </c>
      <c r="AJ411" s="766"/>
      <c r="AK411" s="766" t="s">
        <v>1101</v>
      </c>
      <c r="AL411" s="306">
        <v>10.930999999999999</v>
      </c>
      <c r="AM411" s="231">
        <v>10.930999999999999</v>
      </c>
      <c r="AN411" s="774">
        <f>AM411/AL411</f>
        <v>1</v>
      </c>
      <c r="AO411" s="766" t="s">
        <v>1122</v>
      </c>
      <c r="AP411" s="766"/>
      <c r="AQ411" s="766"/>
      <c r="AR411" s="766"/>
      <c r="AS411" s="766"/>
      <c r="AT411" s="766"/>
      <c r="AU411" s="766"/>
      <c r="AV411" s="766"/>
      <c r="AW411" s="766"/>
      <c r="AX411" s="766"/>
      <c r="AY411" s="766"/>
      <c r="AZ411" s="766"/>
      <c r="BA411" s="766"/>
      <c r="BB411" s="766"/>
      <c r="BC411" s="766"/>
      <c r="BD411" s="766"/>
      <c r="BE411" s="766"/>
      <c r="BF411" s="775"/>
      <c r="BG411" s="775"/>
      <c r="BH411" s="766"/>
      <c r="BI411" s="766"/>
      <c r="BJ411" s="766"/>
      <c r="BK411" s="766" t="s">
        <v>1095</v>
      </c>
      <c r="BL411" s="14" t="s">
        <v>11631</v>
      </c>
      <c r="BM411" s="766" t="s">
        <v>1096</v>
      </c>
      <c r="BN411" s="770" t="s">
        <v>1230</v>
      </c>
      <c r="BO411" s="766" t="s">
        <v>1246</v>
      </c>
      <c r="BP411" s="1110">
        <v>10.930999999999999</v>
      </c>
      <c r="BQ411" s="66">
        <v>10.930999999999999</v>
      </c>
      <c r="BR411" s="774">
        <f>BQ411/BP411</f>
        <v>1</v>
      </c>
      <c r="BS411" s="766" t="s">
        <v>1257</v>
      </c>
      <c r="BT411" s="766" t="s">
        <v>8133</v>
      </c>
      <c r="BU411" s="766" t="s">
        <v>1264</v>
      </c>
      <c r="BV411" s="766" t="s">
        <v>1247</v>
      </c>
      <c r="BW411" s="769"/>
      <c r="BX411" s="775"/>
      <c r="BY411" s="779"/>
      <c r="BZ411" s="766"/>
      <c r="CA411" s="775"/>
      <c r="CB411" s="775"/>
      <c r="CC411" s="766"/>
      <c r="CD411" s="766"/>
      <c r="CE411" s="766"/>
      <c r="CF411" s="777"/>
      <c r="CG411" s="231"/>
      <c r="CH411" s="766"/>
      <c r="CI411" s="766"/>
      <c r="CJ411" s="766"/>
      <c r="CK411" s="766"/>
      <c r="CL411" s="766"/>
      <c r="CM411" s="766"/>
      <c r="CN411" s="766"/>
      <c r="CO411" s="766"/>
      <c r="CP411" s="766"/>
      <c r="CQ411" s="766"/>
      <c r="CR411" s="766"/>
      <c r="CS411" s="775"/>
      <c r="CT411" s="766"/>
      <c r="CU411" s="129"/>
      <c r="CV411" s="766"/>
      <c r="CW411" s="766"/>
      <c r="CX411" s="766"/>
      <c r="CY411" s="766"/>
      <c r="CZ411" s="766"/>
      <c r="DA411" s="66"/>
      <c r="DB411" s="766"/>
      <c r="DC411" s="766"/>
      <c r="DD411" s="766"/>
      <c r="DE411" s="231"/>
      <c r="DF411" s="766"/>
      <c r="DG411" s="766"/>
      <c r="DH411" s="766"/>
      <c r="DI411" s="766"/>
      <c r="DJ411" s="766"/>
      <c r="DK411" s="766"/>
      <c r="DL411" s="766"/>
      <c r="DM411" s="766"/>
      <c r="DN411" s="777"/>
      <c r="DO411" s="766"/>
      <c r="DP411" s="766"/>
      <c r="DQ411" s="766"/>
      <c r="DR411" s="766"/>
      <c r="DS411" s="59"/>
      <c r="DT411" s="766"/>
      <c r="DU411" s="766"/>
      <c r="DV411" s="766"/>
      <c r="DW411" s="66"/>
      <c r="DX411" s="66"/>
      <c r="DY411" s="766"/>
      <c r="DZ411" s="766"/>
      <c r="EA411" s="766"/>
      <c r="EB411" s="766"/>
      <c r="EC411" s="766"/>
      <c r="ED411" s="766"/>
      <c r="EE411" s="766"/>
      <c r="EF411" s="766"/>
      <c r="EG411" s="766"/>
      <c r="EH411" s="766"/>
      <c r="EI411" s="766"/>
      <c r="EJ411" s="766"/>
      <c r="EK411" s="766"/>
      <c r="EL411" s="766"/>
      <c r="EM411" s="766"/>
      <c r="EN411" s="766"/>
      <c r="EO411" s="766"/>
      <c r="EP411" s="14"/>
      <c r="EQ411" s="770"/>
      <c r="ER411" s="770"/>
      <c r="ES411" s="770"/>
      <c r="ET411" s="770"/>
      <c r="EU411" s="770"/>
      <c r="EV411" s="770"/>
      <c r="EW411" s="770"/>
      <c r="EX411" s="770"/>
      <c r="EY411" s="770"/>
      <c r="EZ411" s="766"/>
      <c r="FA411" s="766"/>
      <c r="FB411" s="766"/>
      <c r="FC411" s="766"/>
      <c r="FD411" s="775"/>
      <c r="FE411" s="766"/>
      <c r="FF411" s="766"/>
      <c r="FG411" s="766"/>
      <c r="FH411" s="766" t="s">
        <v>1306</v>
      </c>
      <c r="FI411" s="766">
        <v>1</v>
      </c>
      <c r="FJ411" s="766" t="s">
        <v>11637</v>
      </c>
      <c r="FK411" s="766"/>
      <c r="FL411" s="766"/>
      <c r="FM411" s="147">
        <v>1000</v>
      </c>
      <c r="FN411" s="59">
        <v>280</v>
      </c>
      <c r="FO411" s="775">
        <v>300</v>
      </c>
      <c r="FP411" s="766" t="s">
        <v>1602</v>
      </c>
      <c r="FQ411" s="766" t="s">
        <v>1660</v>
      </c>
      <c r="FR411" s="766"/>
      <c r="FS411" s="766"/>
      <c r="FT411" s="766"/>
      <c r="FU411" s="766"/>
      <c r="FV411" s="766"/>
      <c r="FW411" s="766"/>
      <c r="FX411" s="766"/>
      <c r="FY411" s="766"/>
      <c r="FZ411" s="766"/>
      <c r="GA411" s="766"/>
      <c r="GB411" s="766"/>
      <c r="GC411" s="766"/>
      <c r="GD411" s="25"/>
      <c r="GE411" s="766"/>
      <c r="GF411" s="766"/>
      <c r="GG411" s="766"/>
      <c r="GH411" s="766" t="s">
        <v>1791</v>
      </c>
      <c r="GI411" s="766" t="s">
        <v>1008</v>
      </c>
      <c r="GJ411" s="766" t="s">
        <v>11721</v>
      </c>
      <c r="GK411" s="766" t="s">
        <v>2345</v>
      </c>
      <c r="GL411" s="766"/>
      <c r="GM411" s="766" t="s">
        <v>1008</v>
      </c>
      <c r="GN411" s="778"/>
      <c r="GO411" s="766" t="s">
        <v>11722</v>
      </c>
      <c r="GP411" s="766" t="s">
        <v>1208</v>
      </c>
      <c r="GQ411" s="766" t="s">
        <v>1208</v>
      </c>
      <c r="GR411" s="766" t="s">
        <v>1208</v>
      </c>
      <c r="GS411" s="766" t="s">
        <v>1208</v>
      </c>
      <c r="GT411" s="766" t="s">
        <v>1208</v>
      </c>
      <c r="GU411" s="766"/>
      <c r="GV411" s="766"/>
      <c r="GW411" s="766" t="s">
        <v>1207</v>
      </c>
      <c r="GX411" s="766"/>
      <c r="GY411" s="766" t="s">
        <v>1208</v>
      </c>
      <c r="GZ411" s="766"/>
      <c r="HA411" s="766" t="s">
        <v>1208</v>
      </c>
      <c r="HB411" s="766" t="s">
        <v>1208</v>
      </c>
      <c r="HC411" s="766" t="s">
        <v>1208</v>
      </c>
      <c r="HD411" s="766" t="s">
        <v>1208</v>
      </c>
      <c r="HE411" s="766" t="s">
        <v>1208</v>
      </c>
      <c r="HF411" s="766"/>
      <c r="HG411" s="766"/>
      <c r="HH411" s="766"/>
      <c r="HI411" s="766" t="s">
        <v>1214</v>
      </c>
      <c r="HJ411" s="766"/>
      <c r="HK411" s="766"/>
      <c r="HL411" s="766" t="s">
        <v>1214</v>
      </c>
      <c r="HM411" s="766"/>
      <c r="HN411" s="766"/>
      <c r="HO411" s="766"/>
      <c r="HP411" s="766"/>
      <c r="HQ411" s="766"/>
      <c r="HR411" s="766"/>
      <c r="HS411" s="766"/>
      <c r="HT411" s="766"/>
      <c r="HU411" s="766"/>
      <c r="HV411" s="766"/>
      <c r="HW411" s="766"/>
      <c r="HX411" s="766"/>
      <c r="HY411" s="766"/>
      <c r="HZ411" s="766"/>
      <c r="IA411" s="766"/>
      <c r="IB411" s="14" t="e">
        <f>IF(#REF!&gt;0,IF(#REF!&lt;=10000,"Y",""),"")</f>
        <v>#REF!</v>
      </c>
      <c r="IC411" s="766"/>
      <c r="ID411" s="766"/>
      <c r="IE411" s="766"/>
      <c r="IF411" s="766"/>
      <c r="IG411" s="766"/>
      <c r="IH411" s="766"/>
      <c r="II411" s="766"/>
      <c r="IJ411" s="766" t="s">
        <v>1604</v>
      </c>
      <c r="IK411" s="766" t="s">
        <v>1888</v>
      </c>
      <c r="IL411" s="766"/>
      <c r="IM411" s="766" t="s">
        <v>11467</v>
      </c>
      <c r="IN411" s="766"/>
      <c r="IO411" s="24">
        <v>25475</v>
      </c>
      <c r="IP411" s="766" t="s">
        <v>1306</v>
      </c>
      <c r="IQ411" s="766"/>
      <c r="IR411" s="770" t="s">
        <v>2716</v>
      </c>
      <c r="IS411" s="766" t="s">
        <v>4652</v>
      </c>
      <c r="IT411" s="766"/>
      <c r="IU411" s="766"/>
      <c r="IV411" s="766"/>
      <c r="IW411" s="766"/>
      <c r="IX411" s="766"/>
      <c r="IY411" s="766"/>
      <c r="IZ411" s="766"/>
      <c r="JA411" s="766" t="s">
        <v>12788</v>
      </c>
      <c r="JB411" s="770" t="s">
        <v>1901</v>
      </c>
      <c r="JC411" s="766"/>
      <c r="JD411" s="66">
        <v>1500</v>
      </c>
      <c r="JE411" s="766"/>
      <c r="JF411" s="766"/>
      <c r="JG411" s="766"/>
      <c r="JH411" s="766"/>
      <c r="JI411" s="712" t="str">
        <f>IF(SUM(JT411,JU411)=JJ411,"ok","review")</f>
        <v>ok</v>
      </c>
      <c r="JJ411" s="766">
        <v>3</v>
      </c>
      <c r="JK411" s="1139" t="s">
        <v>11633</v>
      </c>
      <c r="JL411" s="766"/>
      <c r="JM411" s="766"/>
      <c r="JN411" s="766">
        <v>2</v>
      </c>
      <c r="JO411" s="766">
        <v>1</v>
      </c>
      <c r="JP411" s="766"/>
      <c r="JQ411" s="766"/>
      <c r="JR411" s="766"/>
      <c r="JS411" s="766"/>
      <c r="JT411" s="766">
        <f t="shared" ref="JT411:JU413" si="106">SUM(JP411,JN411,JL411,JR411)</f>
        <v>2</v>
      </c>
      <c r="JU411" s="766">
        <f t="shared" si="106"/>
        <v>1</v>
      </c>
      <c r="JV411" s="712" t="str">
        <f>IF(JT411=KJ411,"ok","male")</f>
        <v>ok</v>
      </c>
      <c r="JW411" s="712" t="str">
        <f>IF(JU411=KK411,"ok","female")</f>
        <v>ok</v>
      </c>
      <c r="JX411" s="766"/>
      <c r="JY411" s="766"/>
      <c r="JZ411" s="766"/>
      <c r="KA411" s="766"/>
      <c r="KB411" s="766">
        <v>1</v>
      </c>
      <c r="KC411" s="766"/>
      <c r="KD411" s="766">
        <v>1</v>
      </c>
      <c r="KE411" s="766">
        <v>1</v>
      </c>
      <c r="KF411" s="766"/>
      <c r="KG411" s="766"/>
      <c r="KH411" s="766"/>
      <c r="KI411" s="766"/>
      <c r="KJ411" s="770">
        <f t="shared" si="103"/>
        <v>2</v>
      </c>
      <c r="KK411" s="770">
        <f t="shared" si="103"/>
        <v>1</v>
      </c>
      <c r="KL411" s="712" t="str">
        <f>IF(KJ411=LN411,"ok","male")</f>
        <v>ok</v>
      </c>
      <c r="KM411" s="712" t="str">
        <f>IF(KK411=LO411,"ok","female")</f>
        <v>ok</v>
      </c>
      <c r="KN411" s="766" t="s">
        <v>707</v>
      </c>
      <c r="KO411" s="766"/>
      <c r="KP411" s="766"/>
      <c r="KQ411" s="766"/>
      <c r="KR411" s="766"/>
      <c r="KS411" s="766"/>
      <c r="KT411" s="766"/>
      <c r="KU411" s="766"/>
      <c r="KV411" s="766"/>
      <c r="KW411" s="766"/>
      <c r="KX411" s="766">
        <v>1</v>
      </c>
      <c r="KY411" s="766">
        <v>1</v>
      </c>
      <c r="KZ411" s="766">
        <v>1</v>
      </c>
      <c r="LA411" s="766"/>
      <c r="LB411" s="766"/>
      <c r="LC411" s="766"/>
      <c r="LD411" s="766"/>
      <c r="LE411" s="766"/>
      <c r="LF411" s="766"/>
      <c r="LG411" s="766"/>
      <c r="LH411" s="766"/>
      <c r="LI411" s="766"/>
      <c r="LJ411" s="766"/>
      <c r="LK411" s="766"/>
      <c r="LL411" s="766"/>
      <c r="LM411" s="766"/>
      <c r="LN411" s="766">
        <f t="shared" ref="LN411:LO413" si="107">SUM(KP411,KR411,KT411,KV411,KX411,KZ411,LB411,LD411,LF411,LH411,LJ411,LL411)</f>
        <v>2</v>
      </c>
      <c r="LO411" s="766">
        <f t="shared" si="107"/>
        <v>1</v>
      </c>
      <c r="LP411" s="766">
        <v>2</v>
      </c>
      <c r="LQ411" s="766">
        <v>1</v>
      </c>
      <c r="LR411" s="766">
        <v>1</v>
      </c>
      <c r="LS411" s="766"/>
      <c r="LT411" s="712" t="str">
        <f>IF(LQ411=SUM(LU411:LW411),"OK","REV")</f>
        <v>OK</v>
      </c>
      <c r="LU411" s="766"/>
      <c r="LV411" s="766"/>
      <c r="LW411" s="766">
        <v>1</v>
      </c>
      <c r="LX411" s="769">
        <v>1</v>
      </c>
      <c r="LY411" s="766" t="str">
        <f t="shared" si="100"/>
        <v>within the BRGY</v>
      </c>
      <c r="LZ411" s="66"/>
      <c r="MA411" s="66"/>
      <c r="MB411" s="66"/>
      <c r="MC411" s="1679">
        <f t="shared" si="99"/>
        <v>0</v>
      </c>
      <c r="MD411" s="66">
        <v>1000</v>
      </c>
      <c r="ME411" s="66">
        <v>1500</v>
      </c>
      <c r="MF411" s="66"/>
      <c r="MG411" s="1680">
        <f>SUM(MD411:MF411)</f>
        <v>2500</v>
      </c>
      <c r="MH411" s="766" t="s">
        <v>13531</v>
      </c>
      <c r="MI411" s="775">
        <v>2000</v>
      </c>
      <c r="MJ411" s="775">
        <v>3060</v>
      </c>
      <c r="MK411" s="775">
        <v>83</v>
      </c>
      <c r="ML411" s="775">
        <v>1500</v>
      </c>
      <c r="MM411" s="775">
        <v>2100</v>
      </c>
      <c r="MN411" s="775">
        <v>1000</v>
      </c>
      <c r="MO411" s="775">
        <v>200</v>
      </c>
      <c r="MP411" s="775">
        <v>300</v>
      </c>
      <c r="MQ411" s="775">
        <v>470</v>
      </c>
      <c r="MR411" s="775">
        <v>280</v>
      </c>
      <c r="MS411" s="775">
        <v>1200</v>
      </c>
      <c r="MT411" s="775"/>
      <c r="MU411" s="775"/>
      <c r="MV411" s="775"/>
      <c r="MW411" s="775"/>
      <c r="MX411" s="775"/>
      <c r="MY411" s="1682">
        <f t="shared" si="102"/>
        <v>12193</v>
      </c>
      <c r="MZ411" s="766" t="s">
        <v>13092</v>
      </c>
      <c r="NA411" s="766" t="s">
        <v>13005</v>
      </c>
      <c r="NB411" s="766" t="s">
        <v>13371</v>
      </c>
      <c r="NC411" s="766" t="s">
        <v>13523</v>
      </c>
      <c r="ND411" s="766">
        <v>0</v>
      </c>
      <c r="NE411" s="766">
        <v>0</v>
      </c>
      <c r="NF411" s="766">
        <v>0</v>
      </c>
      <c r="NG411" s="766">
        <v>1</v>
      </c>
      <c r="NH411" s="766">
        <v>0</v>
      </c>
      <c r="NI411" s="766">
        <v>1</v>
      </c>
      <c r="NJ411" s="766">
        <v>0</v>
      </c>
      <c r="NK411" s="766">
        <v>0</v>
      </c>
      <c r="NL411" s="766">
        <v>0</v>
      </c>
      <c r="NM411" s="766">
        <v>1</v>
      </c>
      <c r="NN411" s="766">
        <v>0</v>
      </c>
      <c r="NO411" s="766">
        <v>0</v>
      </c>
      <c r="NP411" s="766">
        <v>0</v>
      </c>
      <c r="NQ411" s="766">
        <v>0</v>
      </c>
      <c r="NR411" s="766">
        <v>1</v>
      </c>
      <c r="NS411" s="766">
        <v>0</v>
      </c>
      <c r="NT411" s="766">
        <v>0</v>
      </c>
      <c r="NU411" s="766">
        <v>0</v>
      </c>
      <c r="NV411" s="766">
        <v>0</v>
      </c>
      <c r="NW411" s="766">
        <v>0</v>
      </c>
      <c r="NX411" s="766">
        <v>0</v>
      </c>
      <c r="NY411" s="766" t="s">
        <v>1208</v>
      </c>
      <c r="NZ411" s="766" t="s">
        <v>1208</v>
      </c>
      <c r="OA411" s="766" t="s">
        <v>1208</v>
      </c>
      <c r="OB411" s="766" t="s">
        <v>1208</v>
      </c>
      <c r="OC411" s="766" t="s">
        <v>1208</v>
      </c>
      <c r="OD411" s="766" t="s">
        <v>1208</v>
      </c>
      <c r="OE411" s="766"/>
      <c r="OF411" s="770" t="s">
        <v>2142</v>
      </c>
      <c r="OG411" s="766"/>
      <c r="OH411" s="766"/>
      <c r="OI411" s="766"/>
      <c r="OJ411" s="766"/>
      <c r="OK411" s="766" t="s">
        <v>1208</v>
      </c>
      <c r="OL411" s="766"/>
      <c r="OM411" s="766"/>
      <c r="ON411" s="766"/>
      <c r="OO411" s="766" t="s">
        <v>1207</v>
      </c>
      <c r="OP411" s="766" t="s">
        <v>13532</v>
      </c>
      <c r="OQ411" s="766" t="s">
        <v>13153</v>
      </c>
      <c r="OR411" s="766"/>
      <c r="OS411" s="766" t="s">
        <v>12885</v>
      </c>
      <c r="OT411" s="766"/>
      <c r="OU411" s="766"/>
      <c r="OV411" s="766" t="s">
        <v>1208</v>
      </c>
      <c r="OW411" s="766"/>
      <c r="OX411" s="766"/>
      <c r="OY411" s="766"/>
      <c r="OZ411" s="766"/>
      <c r="PA411" s="766"/>
      <c r="PB411" s="766"/>
      <c r="PC411" s="766"/>
      <c r="PD411" s="766"/>
      <c r="PE411" s="766"/>
      <c r="PF411" s="766"/>
      <c r="PG411" s="766"/>
      <c r="PH411" s="766"/>
      <c r="PI411" s="766"/>
      <c r="PJ411" s="766"/>
      <c r="PK411" s="766" t="s">
        <v>1208</v>
      </c>
      <c r="PL411" s="766"/>
      <c r="PM411" s="766"/>
      <c r="PN411" s="766"/>
      <c r="PO411" s="766"/>
      <c r="PP411" s="766"/>
      <c r="PQ411" s="766"/>
      <c r="PR411" s="766"/>
      <c r="PS411" s="766" t="s">
        <v>1208</v>
      </c>
      <c r="PT411" s="766" t="s">
        <v>1208</v>
      </c>
      <c r="PU411" s="766"/>
      <c r="PV411" s="766"/>
      <c r="PW411" s="766"/>
      <c r="PX411" s="766"/>
      <c r="PY411" s="766"/>
      <c r="PZ411" s="766"/>
      <c r="QA411" s="766"/>
      <c r="QB411" s="766"/>
      <c r="QC411" s="766"/>
      <c r="QD411" s="766"/>
      <c r="QE411" s="766"/>
      <c r="QF411" s="766"/>
      <c r="QG411" s="766"/>
      <c r="QH411" s="766"/>
      <c r="QI411" s="766"/>
      <c r="QJ411" s="766"/>
      <c r="QK411" s="766"/>
      <c r="QL411" s="766"/>
      <c r="QM411" s="766"/>
      <c r="QN411" s="766"/>
      <c r="QO411" s="766"/>
      <c r="QP411" s="766"/>
      <c r="QQ411" s="766"/>
      <c r="QR411" s="766"/>
      <c r="QS411" s="766"/>
      <c r="QT411" s="766"/>
      <c r="QU411" s="766"/>
      <c r="QV411" s="766"/>
      <c r="QW411" s="766"/>
      <c r="QX411" s="766"/>
      <c r="QY411" s="766"/>
      <c r="QZ411" s="766"/>
      <c r="RA411" s="766"/>
      <c r="RB411" s="766" t="s">
        <v>1207</v>
      </c>
      <c r="RC411" s="766">
        <v>2015</v>
      </c>
      <c r="RD411" s="766" t="s">
        <v>13533</v>
      </c>
      <c r="RE411" s="766" t="s">
        <v>12999</v>
      </c>
      <c r="RF411" s="777">
        <v>0.5</v>
      </c>
      <c r="RG411" s="766" t="s">
        <v>13047</v>
      </c>
      <c r="RH411" s="66">
        <v>500</v>
      </c>
      <c r="RI411" s="766">
        <v>48</v>
      </c>
      <c r="RJ411" s="766" t="s">
        <v>11716</v>
      </c>
      <c r="RK411" s="766"/>
      <c r="RL411" s="1683"/>
      <c r="RM411" s="770"/>
      <c r="RN411" s="1710"/>
      <c r="RO411" s="140" t="s">
        <v>680</v>
      </c>
      <c r="RR411" s="154" t="s">
        <v>7419</v>
      </c>
      <c r="RS411" s="1139" t="s">
        <v>12980</v>
      </c>
      <c r="RV411" s="771" t="s">
        <v>7419</v>
      </c>
      <c r="RW411" s="767" t="s">
        <v>7669</v>
      </c>
      <c r="RX411" s="767" t="s">
        <v>676</v>
      </c>
      <c r="RZ411" s="1833" t="s">
        <v>2209</v>
      </c>
      <c r="SA411" s="771"/>
    </row>
    <row r="412" spans="1:497" ht="12.75" hidden="1" customHeight="1">
      <c r="A412" s="154" t="s">
        <v>7419</v>
      </c>
      <c r="B412" s="292" t="s">
        <v>7670</v>
      </c>
      <c r="C412" s="141" t="s">
        <v>682</v>
      </c>
      <c r="D412" s="14" t="s">
        <v>683</v>
      </c>
      <c r="E412" s="14" t="s">
        <v>684</v>
      </c>
      <c r="F412" s="14" t="s">
        <v>28</v>
      </c>
      <c r="G412" s="14" t="s">
        <v>10</v>
      </c>
      <c r="H412" s="14"/>
      <c r="I412" s="5" t="s">
        <v>5739</v>
      </c>
      <c r="J412" s="14" t="s">
        <v>683</v>
      </c>
      <c r="K412" s="14"/>
      <c r="L412" s="14"/>
      <c r="M412" s="14"/>
      <c r="N412" s="14"/>
      <c r="O412" s="14"/>
      <c r="P412" s="14" t="s">
        <v>683</v>
      </c>
      <c r="Q412" s="1085">
        <v>32613</v>
      </c>
      <c r="R412" s="27">
        <v>28</v>
      </c>
      <c r="S412" s="14" t="s">
        <v>10</v>
      </c>
      <c r="T412" s="14"/>
      <c r="U412" s="5" t="s">
        <v>5739</v>
      </c>
      <c r="V412" s="14" t="s">
        <v>722</v>
      </c>
      <c r="W412" s="14" t="s">
        <v>11767</v>
      </c>
      <c r="X412" s="1085"/>
      <c r="Y412" s="14" t="s">
        <v>684</v>
      </c>
      <c r="Z412" s="94" t="s">
        <v>708</v>
      </c>
      <c r="AA412" s="14" t="s">
        <v>1075</v>
      </c>
      <c r="AB412" s="14" t="s">
        <v>710</v>
      </c>
      <c r="AC412" s="14"/>
      <c r="AD412" s="14"/>
      <c r="AE412" s="14" t="s">
        <v>1033</v>
      </c>
      <c r="AF412" s="14"/>
      <c r="AG412" s="766" t="s">
        <v>1095</v>
      </c>
      <c r="AH412" s="766" t="s">
        <v>1096</v>
      </c>
      <c r="AI412" s="770" t="s">
        <v>11628</v>
      </c>
      <c r="AJ412" s="14"/>
      <c r="AK412" s="14" t="s">
        <v>1101</v>
      </c>
      <c r="AL412" s="123">
        <v>8.36</v>
      </c>
      <c r="AM412" s="1759">
        <v>7.6</v>
      </c>
      <c r="AN412" s="37">
        <v>0.90910000000000002</v>
      </c>
      <c r="AO412" s="14" t="s">
        <v>1105</v>
      </c>
      <c r="AP412" s="14"/>
      <c r="AQ412" s="14"/>
      <c r="AR412" s="14"/>
      <c r="AS412" s="14"/>
      <c r="AT412" s="14"/>
      <c r="AU412" s="14"/>
      <c r="AV412" s="14"/>
      <c r="AW412" s="14"/>
      <c r="AX412" s="14"/>
      <c r="AY412" s="14"/>
      <c r="AZ412" s="14"/>
      <c r="BA412" s="14"/>
      <c r="BB412" s="14"/>
      <c r="BC412" s="14"/>
      <c r="BD412" s="14"/>
      <c r="BE412" s="14"/>
      <c r="BF412" s="1760"/>
      <c r="BG412" s="1760"/>
      <c r="BH412" s="14"/>
      <c r="BI412" s="14"/>
      <c r="BJ412" s="14"/>
      <c r="BK412" s="14" t="s">
        <v>1095</v>
      </c>
      <c r="BL412" s="14" t="s">
        <v>1389</v>
      </c>
      <c r="BM412" s="14" t="s">
        <v>1096</v>
      </c>
      <c r="BN412" s="770" t="s">
        <v>1230</v>
      </c>
      <c r="BO412" s="766" t="s">
        <v>1246</v>
      </c>
      <c r="BP412" s="1113">
        <v>8.36</v>
      </c>
      <c r="BQ412" s="1759">
        <v>7.6</v>
      </c>
      <c r="BR412" s="37">
        <f>BQ412/BP412</f>
        <v>0.90909090909090906</v>
      </c>
      <c r="BS412" s="14" t="s">
        <v>1105</v>
      </c>
      <c r="BT412" s="766" t="s">
        <v>8133</v>
      </c>
      <c r="BU412" s="766" t="s">
        <v>1264</v>
      </c>
      <c r="BV412" s="14" t="s">
        <v>1247</v>
      </c>
      <c r="BW412" s="769"/>
      <c r="BX412" s="1760"/>
      <c r="BY412" s="1761"/>
      <c r="BZ412" s="14"/>
      <c r="CA412" s="1760"/>
      <c r="CB412" s="1760"/>
      <c r="CC412" s="14"/>
      <c r="CD412" s="14"/>
      <c r="CE412" s="14"/>
      <c r="CF412" s="777"/>
      <c r="CG412" s="1762"/>
      <c r="CH412" s="14"/>
      <c r="CI412" s="14"/>
      <c r="CJ412" s="14"/>
      <c r="CK412" s="14"/>
      <c r="CL412" s="14"/>
      <c r="CM412" s="14"/>
      <c r="CN412" s="14"/>
      <c r="CO412" s="14"/>
      <c r="CP412" s="14"/>
      <c r="CQ412" s="14"/>
      <c r="CR412" s="14"/>
      <c r="CS412" s="1760"/>
      <c r="CT412" s="14"/>
      <c r="CU412" s="1763"/>
      <c r="CV412" s="14"/>
      <c r="CW412" s="14"/>
      <c r="CX412" s="14"/>
      <c r="CY412" s="14"/>
      <c r="CZ412" s="14"/>
      <c r="DA412" s="1764"/>
      <c r="DB412" s="14"/>
      <c r="DC412" s="14"/>
      <c r="DD412" s="14"/>
      <c r="DE412" s="1759"/>
      <c r="DF412" s="14"/>
      <c r="DG412" s="14"/>
      <c r="DH412" s="14"/>
      <c r="DI412" s="14"/>
      <c r="DJ412" s="14"/>
      <c r="DK412" s="14"/>
      <c r="DL412" s="14"/>
      <c r="DM412" s="14"/>
      <c r="DN412" s="44"/>
      <c r="DO412" s="14"/>
      <c r="DP412" s="14"/>
      <c r="DQ412" s="14"/>
      <c r="DR412" s="14"/>
      <c r="DS412" s="1765"/>
      <c r="DT412" s="14"/>
      <c r="DU412" s="14"/>
      <c r="DV412" s="14"/>
      <c r="DW412" s="1764"/>
      <c r="DX412" s="1764"/>
      <c r="DY412" s="14"/>
      <c r="DZ412" s="14"/>
      <c r="EA412" s="14"/>
      <c r="EB412" s="14"/>
      <c r="EC412" s="14"/>
      <c r="ED412" s="14"/>
      <c r="EE412" s="14"/>
      <c r="EF412" s="14"/>
      <c r="EG412" s="14"/>
      <c r="EH412" s="14"/>
      <c r="EI412" s="14"/>
      <c r="EJ412" s="14"/>
      <c r="EK412" s="14"/>
      <c r="EL412" s="14"/>
      <c r="EM412" s="14"/>
      <c r="EN412" s="14"/>
      <c r="EO412" s="14"/>
      <c r="EP412" s="14"/>
      <c r="EQ412" s="770"/>
      <c r="ER412" s="770"/>
      <c r="ES412" s="770"/>
      <c r="ET412" s="770"/>
      <c r="EU412" s="770"/>
      <c r="EV412" s="770"/>
      <c r="EW412" s="770"/>
      <c r="EX412" s="770"/>
      <c r="EY412" s="770"/>
      <c r="EZ412" s="14"/>
      <c r="FA412" s="14"/>
      <c r="FB412" s="14"/>
      <c r="FC412" s="14"/>
      <c r="FD412" s="1760"/>
      <c r="FE412" s="14"/>
      <c r="FF412" s="14"/>
      <c r="FG412" s="14"/>
      <c r="FH412" s="14" t="s">
        <v>478</v>
      </c>
      <c r="FI412" s="14">
        <v>1</v>
      </c>
      <c r="FJ412" s="14"/>
      <c r="FK412" s="14"/>
      <c r="FL412" s="14"/>
      <c r="FM412" s="1760"/>
      <c r="FN412" s="14"/>
      <c r="FO412" s="14"/>
      <c r="FP412" s="766" t="s">
        <v>1602</v>
      </c>
      <c r="FQ412" s="766" t="s">
        <v>1660</v>
      </c>
      <c r="FR412" s="14" t="s">
        <v>1214</v>
      </c>
      <c r="FS412" s="14"/>
      <c r="FT412" s="14"/>
      <c r="FU412" s="14"/>
      <c r="FV412" s="14"/>
      <c r="FW412" s="14"/>
      <c r="FX412" s="14"/>
      <c r="FY412" s="14"/>
      <c r="FZ412" s="14"/>
      <c r="GA412" s="14"/>
      <c r="GB412" s="14" t="s">
        <v>853</v>
      </c>
      <c r="GC412" s="14"/>
      <c r="GD412" s="27"/>
      <c r="GE412" s="14"/>
      <c r="GF412" s="14"/>
      <c r="GG412" s="14"/>
      <c r="GH412" s="14" t="s">
        <v>1791</v>
      </c>
      <c r="GI412" s="14"/>
      <c r="GJ412" s="14"/>
      <c r="GK412" s="770" t="s">
        <v>2345</v>
      </c>
      <c r="GL412" s="14"/>
      <c r="GM412" s="14"/>
      <c r="GN412" s="1766">
        <v>40</v>
      </c>
      <c r="GO412" s="14"/>
      <c r="GP412" s="14"/>
      <c r="GQ412" s="14" t="s">
        <v>1208</v>
      </c>
      <c r="GR412" s="14"/>
      <c r="GS412" s="14"/>
      <c r="GT412" s="14"/>
      <c r="GU412" s="14"/>
      <c r="GV412" s="14"/>
      <c r="GW412" s="14" t="s">
        <v>1207</v>
      </c>
      <c r="GX412" s="14"/>
      <c r="GY412" s="14" t="s">
        <v>1208</v>
      </c>
      <c r="GZ412" s="14" t="s">
        <v>1208</v>
      </c>
      <c r="HA412" s="14" t="s">
        <v>1208</v>
      </c>
      <c r="HB412" s="14" t="s">
        <v>1208</v>
      </c>
      <c r="HC412" s="14" t="s">
        <v>1208</v>
      </c>
      <c r="HD412" s="14"/>
      <c r="HE412" s="14"/>
      <c r="HF412" s="14"/>
      <c r="HG412" s="14"/>
      <c r="HH412" s="14"/>
      <c r="HI412" s="14" t="s">
        <v>1214</v>
      </c>
      <c r="HJ412" s="14"/>
      <c r="HK412" s="14"/>
      <c r="HL412" s="14"/>
      <c r="HM412" s="14"/>
      <c r="HN412" s="14"/>
      <c r="HO412" s="14"/>
      <c r="HP412" s="14"/>
      <c r="HQ412" s="14"/>
      <c r="HR412" s="14"/>
      <c r="HS412" s="14"/>
      <c r="HT412" s="14"/>
      <c r="HU412" s="14"/>
      <c r="HV412" s="14"/>
      <c r="HW412" s="14"/>
      <c r="HX412" s="14"/>
      <c r="HY412" s="14"/>
      <c r="HZ412" s="14"/>
      <c r="IA412" s="14"/>
      <c r="IB412" s="14" t="e">
        <f>IF(#REF!&gt;0,IF(#REF!&lt;=10000,"Y",""),"")</f>
        <v>#REF!</v>
      </c>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712" t="str">
        <f>IF(SUM(JT412,JU412)=JJ412,"ok","review")</f>
        <v>ok</v>
      </c>
      <c r="JJ412" s="14">
        <v>4</v>
      </c>
      <c r="JK412" s="1767" t="s">
        <v>2130</v>
      </c>
      <c r="JL412" s="14">
        <v>1</v>
      </c>
      <c r="JM412" s="14"/>
      <c r="JN412" s="14">
        <v>1</v>
      </c>
      <c r="JO412" s="14">
        <v>2</v>
      </c>
      <c r="JP412" s="14"/>
      <c r="JQ412" s="14"/>
      <c r="JR412" s="14"/>
      <c r="JS412" s="14"/>
      <c r="JT412" s="766">
        <f t="shared" si="106"/>
        <v>2</v>
      </c>
      <c r="JU412" s="766">
        <f t="shared" si="106"/>
        <v>2</v>
      </c>
      <c r="JV412" s="712" t="str">
        <f>IF(JT412=KJ412,"ok","male")</f>
        <v>ok</v>
      </c>
      <c r="JW412" s="712" t="str">
        <f>IF(JU412=KK412,"ok","female")</f>
        <v>ok</v>
      </c>
      <c r="JX412" s="770">
        <v>1</v>
      </c>
      <c r="JY412" s="770"/>
      <c r="JZ412" s="770"/>
      <c r="KA412" s="770"/>
      <c r="KB412" s="770">
        <v>1</v>
      </c>
      <c r="KC412" s="770">
        <v>1</v>
      </c>
      <c r="KD412" s="770"/>
      <c r="KE412" s="770">
        <v>1</v>
      </c>
      <c r="KF412" s="770"/>
      <c r="KG412" s="770"/>
      <c r="KH412" s="770"/>
      <c r="KI412" s="770"/>
      <c r="KJ412" s="770">
        <f t="shared" si="103"/>
        <v>2</v>
      </c>
      <c r="KK412" s="770">
        <f t="shared" si="103"/>
        <v>2</v>
      </c>
      <c r="KL412" s="712" t="str">
        <f>IF(KJ412=LN412,"ok","male")</f>
        <v>ok</v>
      </c>
      <c r="KM412" s="712" t="str">
        <f>IF(KK412=LO412,"ok","female")</f>
        <v>ok</v>
      </c>
      <c r="KN412" s="14" t="s">
        <v>13534</v>
      </c>
      <c r="KO412" s="14"/>
      <c r="KP412" s="14"/>
      <c r="KQ412" s="14"/>
      <c r="KR412" s="14"/>
      <c r="KS412" s="14"/>
      <c r="KT412" s="14"/>
      <c r="KU412" s="14">
        <v>1</v>
      </c>
      <c r="KV412" s="14"/>
      <c r="KW412" s="14"/>
      <c r="KX412" s="14"/>
      <c r="KY412" s="14"/>
      <c r="KZ412" s="14">
        <v>1</v>
      </c>
      <c r="LA412" s="14">
        <v>1</v>
      </c>
      <c r="LB412" s="14"/>
      <c r="LC412" s="14"/>
      <c r="LD412" s="14"/>
      <c r="LE412" s="14"/>
      <c r="LF412" s="14"/>
      <c r="LG412" s="14"/>
      <c r="LH412" s="14"/>
      <c r="LI412" s="14"/>
      <c r="LJ412" s="14">
        <v>1</v>
      </c>
      <c r="LK412" s="14"/>
      <c r="LL412" s="14"/>
      <c r="LM412" s="14"/>
      <c r="LN412" s="766">
        <f t="shared" si="107"/>
        <v>2</v>
      </c>
      <c r="LO412" s="766">
        <f t="shared" si="107"/>
        <v>2</v>
      </c>
      <c r="LP412" s="14">
        <v>1</v>
      </c>
      <c r="LQ412" s="14">
        <v>1</v>
      </c>
      <c r="LR412" s="14"/>
      <c r="LS412" s="14"/>
      <c r="LT412" s="712" t="str">
        <f>IF(LQ412=SUM(LU412:LW412),"OK","REV")</f>
        <v>OK</v>
      </c>
      <c r="LU412" s="14"/>
      <c r="LV412" s="14">
        <v>1</v>
      </c>
      <c r="LW412" s="14"/>
      <c r="LX412" s="327">
        <v>2</v>
      </c>
      <c r="LY412" s="766" t="str">
        <f t="shared" si="100"/>
        <v>within the MUNICIPALITY</v>
      </c>
      <c r="LZ412" s="123">
        <v>56</v>
      </c>
      <c r="MA412" s="1764"/>
      <c r="MB412" s="1764"/>
      <c r="MC412" s="1679">
        <f t="shared" si="99"/>
        <v>56</v>
      </c>
      <c r="MD412" s="1764">
        <v>11000</v>
      </c>
      <c r="ME412" s="1764"/>
      <c r="MF412" s="1764"/>
      <c r="MG412" s="1680">
        <f>SUM(MD412:MF412)</f>
        <v>11000</v>
      </c>
      <c r="MH412" s="14" t="s">
        <v>13535</v>
      </c>
      <c r="MI412" s="1760">
        <v>5000</v>
      </c>
      <c r="MJ412" s="1760">
        <v>700</v>
      </c>
      <c r="MK412" s="1760">
        <v>150</v>
      </c>
      <c r="ML412" s="1760">
        <v>300</v>
      </c>
      <c r="MM412" s="1760"/>
      <c r="MN412" s="1760"/>
      <c r="MO412" s="1760">
        <v>400</v>
      </c>
      <c r="MP412" s="1760">
        <v>350</v>
      </c>
      <c r="MQ412" s="1760">
        <v>350</v>
      </c>
      <c r="MR412" s="1760">
        <v>1000</v>
      </c>
      <c r="MS412" s="1760"/>
      <c r="MT412" s="1760"/>
      <c r="MU412" s="1760"/>
      <c r="MV412" s="1760"/>
      <c r="MW412" s="1760"/>
      <c r="MX412" s="1760">
        <v>500</v>
      </c>
      <c r="MY412" s="1682">
        <f t="shared" si="102"/>
        <v>8750</v>
      </c>
      <c r="MZ412" s="770" t="s">
        <v>13370</v>
      </c>
      <c r="NA412" s="770" t="s">
        <v>13005</v>
      </c>
      <c r="NB412" s="770" t="s">
        <v>13371</v>
      </c>
      <c r="NC412" s="766" t="s">
        <v>13523</v>
      </c>
      <c r="ND412" s="14">
        <v>0</v>
      </c>
      <c r="NE412" s="14">
        <v>0</v>
      </c>
      <c r="NF412" s="14">
        <v>0</v>
      </c>
      <c r="NG412" s="14">
        <v>2</v>
      </c>
      <c r="NH412" s="14">
        <v>1</v>
      </c>
      <c r="NI412" s="14">
        <v>0</v>
      </c>
      <c r="NJ412" s="14">
        <v>1</v>
      </c>
      <c r="NK412" s="14">
        <v>0</v>
      </c>
      <c r="NL412" s="14">
        <v>0</v>
      </c>
      <c r="NM412" s="14">
        <v>1</v>
      </c>
      <c r="NN412" s="14">
        <v>0</v>
      </c>
      <c r="NO412" s="14">
        <v>0</v>
      </c>
      <c r="NP412" s="14">
        <v>0</v>
      </c>
      <c r="NQ412" s="14">
        <v>0</v>
      </c>
      <c r="NR412" s="14">
        <v>0</v>
      </c>
      <c r="NS412" s="14">
        <v>0</v>
      </c>
      <c r="NT412" s="14">
        <v>0</v>
      </c>
      <c r="NU412" s="14">
        <v>0</v>
      </c>
      <c r="NV412" s="14">
        <v>0</v>
      </c>
      <c r="NW412" s="14">
        <v>0</v>
      </c>
      <c r="NX412" s="14">
        <v>0</v>
      </c>
      <c r="NY412" s="14" t="s">
        <v>1208</v>
      </c>
      <c r="NZ412" s="14" t="s">
        <v>1208</v>
      </c>
      <c r="OA412" s="14" t="s">
        <v>1208</v>
      </c>
      <c r="OB412" s="14" t="s">
        <v>1208</v>
      </c>
      <c r="OC412" s="14" t="s">
        <v>1208</v>
      </c>
      <c r="OD412" s="14" t="s">
        <v>1208</v>
      </c>
      <c r="OE412" s="14"/>
      <c r="OF412" s="14" t="s">
        <v>1214</v>
      </c>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777"/>
      <c r="RG412" s="14"/>
      <c r="RH412" s="14"/>
      <c r="RI412" s="14"/>
      <c r="RJ412" s="14" t="s">
        <v>2194</v>
      </c>
      <c r="RK412" s="770" t="s">
        <v>13401</v>
      </c>
      <c r="RL412" s="1768"/>
      <c r="RM412" s="12"/>
      <c r="RN412" s="1711"/>
      <c r="RO412" s="141" t="s">
        <v>682</v>
      </c>
      <c r="RP412" s="11"/>
      <c r="RQ412" s="11"/>
      <c r="RR412" s="154" t="s">
        <v>7419</v>
      </c>
      <c r="RS412" s="1139" t="s">
        <v>12980</v>
      </c>
      <c r="RT412" s="11"/>
      <c r="RU412" s="11"/>
      <c r="RV412" s="17"/>
      <c r="RW412" s="11" t="s">
        <v>12454</v>
      </c>
      <c r="RX412" s="11" t="s">
        <v>11727</v>
      </c>
      <c r="RY412" s="11"/>
      <c r="RZ412" s="11" t="s">
        <v>2209</v>
      </c>
      <c r="SA412" s="17"/>
      <c r="SB412" s="11"/>
      <c r="SC412" s="11"/>
    </row>
    <row r="413" spans="1:497" ht="12.75" hidden="1" customHeight="1">
      <c r="A413" s="343" t="s">
        <v>7419</v>
      </c>
      <c r="B413" s="292" t="s">
        <v>7671</v>
      </c>
      <c r="C413" s="141" t="s">
        <v>686</v>
      </c>
      <c r="D413" s="14" t="s">
        <v>687</v>
      </c>
      <c r="E413" s="14" t="s">
        <v>684</v>
      </c>
      <c r="F413" s="14" t="s">
        <v>28</v>
      </c>
      <c r="G413" s="14" t="s">
        <v>18</v>
      </c>
      <c r="H413" s="14"/>
      <c r="I413" s="14" t="s">
        <v>1076</v>
      </c>
      <c r="J413" s="14" t="s">
        <v>687</v>
      </c>
      <c r="K413" s="14"/>
      <c r="L413" s="14"/>
      <c r="M413" s="14"/>
      <c r="N413" s="14"/>
      <c r="O413" s="14"/>
      <c r="P413" s="14" t="s">
        <v>687</v>
      </c>
      <c r="Q413" s="1085">
        <v>19368</v>
      </c>
      <c r="R413" s="27">
        <v>64</v>
      </c>
      <c r="S413" s="14" t="s">
        <v>18</v>
      </c>
      <c r="T413" s="14"/>
      <c r="U413" s="14" t="s">
        <v>1076</v>
      </c>
      <c r="V413" s="14" t="s">
        <v>719</v>
      </c>
      <c r="W413" s="14"/>
      <c r="X413" s="1085"/>
      <c r="Y413" s="14" t="s">
        <v>684</v>
      </c>
      <c r="Z413" s="14" t="s">
        <v>708</v>
      </c>
      <c r="AA413" s="14" t="s">
        <v>1077</v>
      </c>
      <c r="AB413" s="14" t="s">
        <v>710</v>
      </c>
      <c r="AC413" s="14"/>
      <c r="AD413" s="14" t="s">
        <v>711</v>
      </c>
      <c r="AE413" s="14"/>
      <c r="AF413" s="14" t="s">
        <v>1078</v>
      </c>
      <c r="AG413" s="766" t="s">
        <v>1095</v>
      </c>
      <c r="AH413" s="766" t="s">
        <v>1096</v>
      </c>
      <c r="AI413" s="770" t="s">
        <v>11628</v>
      </c>
      <c r="AJ413" s="14"/>
      <c r="AK413" s="14" t="s">
        <v>1101</v>
      </c>
      <c r="AL413" s="123">
        <v>52.54</v>
      </c>
      <c r="AM413" s="1759">
        <v>14.91</v>
      </c>
      <c r="AN413" s="37">
        <v>0.28389999999999999</v>
      </c>
      <c r="AO413" s="14" t="s">
        <v>1149</v>
      </c>
      <c r="AP413" s="14"/>
      <c r="AQ413" s="14"/>
      <c r="AR413" s="14"/>
      <c r="AS413" s="14"/>
      <c r="AT413" s="14"/>
      <c r="AU413" s="14"/>
      <c r="AV413" s="14"/>
      <c r="AW413" s="14"/>
      <c r="AX413" s="14"/>
      <c r="AY413" s="14"/>
      <c r="AZ413" s="14"/>
      <c r="BA413" s="14"/>
      <c r="BB413" s="14"/>
      <c r="BC413" s="14"/>
      <c r="BD413" s="14"/>
      <c r="BE413" s="14"/>
      <c r="BF413" s="1760"/>
      <c r="BG413" s="1760"/>
      <c r="BH413" s="14"/>
      <c r="BI413" s="14"/>
      <c r="BJ413" s="14"/>
      <c r="BK413" s="14" t="s">
        <v>1095</v>
      </c>
      <c r="BL413" s="14" t="s">
        <v>1390</v>
      </c>
      <c r="BM413" s="770" t="s">
        <v>8108</v>
      </c>
      <c r="BN413" s="770" t="s">
        <v>1230</v>
      </c>
      <c r="BO413" s="766" t="s">
        <v>1246</v>
      </c>
      <c r="BP413" s="1113">
        <v>52.54</v>
      </c>
      <c r="BQ413" s="1759">
        <v>14.91</v>
      </c>
      <c r="BR413" s="37">
        <v>0.28389999999999999</v>
      </c>
      <c r="BS413" s="6" t="s">
        <v>1149</v>
      </c>
      <c r="BT413" s="766" t="s">
        <v>8133</v>
      </c>
      <c r="BU413" s="770" t="s">
        <v>1378</v>
      </c>
      <c r="BV413" s="14" t="s">
        <v>1247</v>
      </c>
      <c r="BW413" s="769"/>
      <c r="BX413" s="1760"/>
      <c r="BY413" s="1761"/>
      <c r="BZ413" s="14"/>
      <c r="CA413" s="1760"/>
      <c r="CB413" s="1760"/>
      <c r="CC413" s="14"/>
      <c r="CD413" s="14"/>
      <c r="CE413" s="14"/>
      <c r="CF413" s="777"/>
      <c r="CG413" s="1762"/>
      <c r="CH413" s="14"/>
      <c r="CI413" s="14"/>
      <c r="CJ413" s="14"/>
      <c r="CK413" s="14"/>
      <c r="CL413" s="14"/>
      <c r="CM413" s="14"/>
      <c r="CN413" s="14"/>
      <c r="CO413" s="14"/>
      <c r="CP413" s="14"/>
      <c r="CQ413" s="14"/>
      <c r="CR413" s="14"/>
      <c r="CS413" s="1760"/>
      <c r="CT413" s="14"/>
      <c r="CU413" s="1763"/>
      <c r="CV413" s="14"/>
      <c r="CW413" s="14"/>
      <c r="CX413" s="14"/>
      <c r="CY413" s="14"/>
      <c r="CZ413" s="14"/>
      <c r="DA413" s="1764"/>
      <c r="DB413" s="14"/>
      <c r="DC413" s="14"/>
      <c r="DD413" s="14"/>
      <c r="DE413" s="1759"/>
      <c r="DF413" s="14"/>
      <c r="DG413" s="14"/>
      <c r="DH413" s="14"/>
      <c r="DI413" s="14"/>
      <c r="DJ413" s="14"/>
      <c r="DK413" s="14"/>
      <c r="DL413" s="14"/>
      <c r="DM413" s="14"/>
      <c r="DN413" s="44"/>
      <c r="DO413" s="14"/>
      <c r="DP413" s="14"/>
      <c r="DQ413" s="14"/>
      <c r="DR413" s="14"/>
      <c r="DS413" s="1765"/>
      <c r="DT413" s="14"/>
      <c r="DU413" s="14"/>
      <c r="DV413" s="14"/>
      <c r="DW413" s="1764"/>
      <c r="DX413" s="176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760"/>
      <c r="FE413" s="14"/>
      <c r="FF413" s="14"/>
      <c r="FG413" s="14"/>
      <c r="FH413" s="14" t="s">
        <v>478</v>
      </c>
      <c r="FI413" s="14">
        <v>1</v>
      </c>
      <c r="FJ413" s="14"/>
      <c r="FK413" s="14"/>
      <c r="FL413" s="14"/>
      <c r="FM413" s="1760"/>
      <c r="FN413" s="14"/>
      <c r="FO413" s="14"/>
      <c r="FP413" s="766" t="s">
        <v>1602</v>
      </c>
      <c r="FQ413" s="766" t="s">
        <v>1660</v>
      </c>
      <c r="FR413" s="14" t="s">
        <v>1214</v>
      </c>
      <c r="FS413" s="14"/>
      <c r="FT413" s="14"/>
      <c r="FU413" s="14"/>
      <c r="FV413" s="14"/>
      <c r="FW413" s="14"/>
      <c r="FX413" s="14"/>
      <c r="FY413" s="14"/>
      <c r="FZ413" s="14"/>
      <c r="GA413" s="14"/>
      <c r="GB413" s="14"/>
      <c r="GC413" s="14"/>
      <c r="GD413" s="27"/>
      <c r="GE413" s="14"/>
      <c r="GF413" s="14"/>
      <c r="GG413" s="14"/>
      <c r="GH413" s="1836" t="s">
        <v>1791</v>
      </c>
      <c r="GI413" s="766"/>
      <c r="GJ413" s="14"/>
      <c r="GK413" s="14"/>
      <c r="GL413" s="14"/>
      <c r="GM413" s="14"/>
      <c r="GN413" s="1769"/>
      <c r="GO413" s="14"/>
      <c r="GP413" s="14"/>
      <c r="GQ413" s="14"/>
      <c r="GR413" s="14"/>
      <c r="GS413" s="14"/>
      <c r="GT413" s="14"/>
      <c r="GU413" s="14"/>
      <c r="GV413" s="14"/>
      <c r="GW413" s="14"/>
      <c r="GX413" s="14"/>
      <c r="GY413" s="14"/>
      <c r="GZ413" s="14"/>
      <c r="HA413" s="14"/>
      <c r="HB413" s="14"/>
      <c r="HC413" s="14"/>
      <c r="HD413" s="14"/>
      <c r="HE413" s="14"/>
      <c r="HF413" s="14"/>
      <c r="HG413" s="14"/>
      <c r="HH413" s="14"/>
      <c r="HI413" s="14" t="s">
        <v>1214</v>
      </c>
      <c r="HJ413" s="14"/>
      <c r="HK413" s="14"/>
      <c r="HL413" s="14"/>
      <c r="HM413" s="14"/>
      <c r="HN413" s="14"/>
      <c r="HO413" s="14"/>
      <c r="HP413" s="14"/>
      <c r="HQ413" s="14"/>
      <c r="HR413" s="14"/>
      <c r="HS413" s="14"/>
      <c r="HT413" s="14"/>
      <c r="HU413" s="14"/>
      <c r="HV413" s="14"/>
      <c r="HW413" s="14"/>
      <c r="HX413" s="14"/>
      <c r="HY413" s="14"/>
      <c r="HZ413" s="14"/>
      <c r="IA413" s="14"/>
      <c r="IB413" s="14" t="e">
        <f>IF(#REF!&gt;0,IF(#REF!&lt;=10000,"Y",""),"")</f>
        <v>#REF!</v>
      </c>
      <c r="IC413" s="14"/>
      <c r="ID413" s="14"/>
      <c r="IE413" s="14"/>
      <c r="IF413" s="14"/>
      <c r="IG413" s="14"/>
      <c r="IH413" s="14"/>
      <c r="II413" s="14"/>
      <c r="IJ413" s="14"/>
      <c r="IK413" s="14"/>
      <c r="IL413" s="14"/>
      <c r="IM413" s="14"/>
      <c r="IN413" s="14"/>
      <c r="IO413" s="14"/>
      <c r="IP413" s="14"/>
      <c r="IQ413" s="14"/>
      <c r="IR413" s="770"/>
      <c r="IS413" s="14"/>
      <c r="IT413" s="14"/>
      <c r="IU413" s="14"/>
      <c r="IV413" s="14"/>
      <c r="IW413" s="14"/>
      <c r="IX413" s="14"/>
      <c r="IY413" s="14"/>
      <c r="IZ413" s="14"/>
      <c r="JA413" s="14"/>
      <c r="JB413" s="770"/>
      <c r="JC413" s="14"/>
      <c r="JD413" s="14"/>
      <c r="JE413" s="14"/>
      <c r="JF413" s="14"/>
      <c r="JG413" s="14"/>
      <c r="JH413" s="14"/>
      <c r="JI413" s="712" t="str">
        <f>IF(SUM(JT413,JU413)=JJ413,"ok","review")</f>
        <v>ok</v>
      </c>
      <c r="JJ413" s="14">
        <v>2</v>
      </c>
      <c r="JK413" s="1767" t="s">
        <v>2030</v>
      </c>
      <c r="JL413" s="14"/>
      <c r="JM413" s="14"/>
      <c r="JN413" s="14"/>
      <c r="JO413" s="14">
        <v>2</v>
      </c>
      <c r="JP413" s="14"/>
      <c r="JQ413" s="14"/>
      <c r="JR413" s="14"/>
      <c r="JS413" s="14"/>
      <c r="JT413" s="766">
        <f t="shared" si="106"/>
        <v>0</v>
      </c>
      <c r="JU413" s="766">
        <f t="shared" si="106"/>
        <v>2</v>
      </c>
      <c r="JV413" s="712" t="str">
        <f>IF(JT413=KJ413,"ok","male")</f>
        <v>ok</v>
      </c>
      <c r="JW413" s="712" t="str">
        <f>IF(JU413=KK413,"ok","female")</f>
        <v>ok</v>
      </c>
      <c r="JX413" s="94"/>
      <c r="JY413" s="94"/>
      <c r="JZ413" s="94"/>
      <c r="KA413" s="94"/>
      <c r="KB413" s="94"/>
      <c r="KC413" s="94"/>
      <c r="KD413" s="94"/>
      <c r="KE413" s="94">
        <v>1</v>
      </c>
      <c r="KF413" s="94"/>
      <c r="KG413" s="94">
        <v>1</v>
      </c>
      <c r="KH413" s="94"/>
      <c r="KI413" s="94"/>
      <c r="KJ413" s="770">
        <f t="shared" si="103"/>
        <v>0</v>
      </c>
      <c r="KK413" s="770">
        <f t="shared" si="103"/>
        <v>2</v>
      </c>
      <c r="KL413" s="712" t="str">
        <f>IF(KJ413=LN413,"ok","male")</f>
        <v>ok</v>
      </c>
      <c r="KM413" s="712" t="str">
        <f>IF(KK413=LO413,"ok","female")</f>
        <v>ok</v>
      </c>
      <c r="KN413" s="14" t="s">
        <v>719</v>
      </c>
      <c r="KO413" s="14"/>
      <c r="KP413" s="14"/>
      <c r="KQ413" s="14"/>
      <c r="KR413" s="14"/>
      <c r="KS413" s="14"/>
      <c r="KT413" s="14"/>
      <c r="KU413" s="14">
        <v>1</v>
      </c>
      <c r="KV413" s="14"/>
      <c r="KW413" s="14"/>
      <c r="KX413" s="14"/>
      <c r="KY413" s="14"/>
      <c r="KZ413" s="14"/>
      <c r="LA413" s="14">
        <v>1</v>
      </c>
      <c r="LB413" s="14"/>
      <c r="LC413" s="14"/>
      <c r="LD413" s="14"/>
      <c r="LE413" s="14"/>
      <c r="LF413" s="14"/>
      <c r="LG413" s="14"/>
      <c r="LH413" s="14"/>
      <c r="LI413" s="14"/>
      <c r="LJ413" s="14"/>
      <c r="LK413" s="14"/>
      <c r="LL413" s="14"/>
      <c r="LM413" s="14"/>
      <c r="LN413" s="766">
        <f t="shared" si="107"/>
        <v>0</v>
      </c>
      <c r="LO413" s="766">
        <f t="shared" si="107"/>
        <v>2</v>
      </c>
      <c r="LP413" s="14">
        <v>1</v>
      </c>
      <c r="LQ413" s="14"/>
      <c r="LR413" s="14">
        <v>1</v>
      </c>
      <c r="LS413" s="14"/>
      <c r="LT413" s="712" t="str">
        <f>IF(LQ413=SUM(LU413:LW413),"OK","REV")</f>
        <v>OK</v>
      </c>
      <c r="LU413" s="14"/>
      <c r="LV413" s="14"/>
      <c r="LW413" s="14"/>
      <c r="LX413" s="327"/>
      <c r="LY413" s="766" t="str">
        <f t="shared" si="100"/>
        <v/>
      </c>
      <c r="LZ413" s="123"/>
      <c r="MA413" s="1764"/>
      <c r="MB413" s="1764"/>
      <c r="MC413" s="1679">
        <f t="shared" si="99"/>
        <v>0</v>
      </c>
      <c r="MD413" s="1764"/>
      <c r="ME413" s="1764">
        <v>11000</v>
      </c>
      <c r="MF413" s="1764"/>
      <c r="MG413" s="1680">
        <f>SUM(MD413:MF413)</f>
        <v>11000</v>
      </c>
      <c r="MH413" s="14" t="s">
        <v>1928</v>
      </c>
      <c r="MI413" s="1760">
        <v>4500</v>
      </c>
      <c r="MJ413" s="1760"/>
      <c r="MK413" s="1760">
        <v>3000</v>
      </c>
      <c r="ML413" s="1760">
        <v>350</v>
      </c>
      <c r="MM413" s="1760"/>
      <c r="MN413" s="1760"/>
      <c r="MO413" s="1760">
        <v>50</v>
      </c>
      <c r="MP413" s="1760">
        <v>850</v>
      </c>
      <c r="MQ413" s="1760">
        <v>400</v>
      </c>
      <c r="MR413" s="1760">
        <v>300</v>
      </c>
      <c r="MS413" s="1760"/>
      <c r="MT413" s="1760"/>
      <c r="MU413" s="1760"/>
      <c r="MV413" s="1760"/>
      <c r="MW413" s="1760"/>
      <c r="MX413" s="1760"/>
      <c r="MY413" s="1682">
        <f t="shared" si="102"/>
        <v>9450</v>
      </c>
      <c r="MZ413" s="770" t="s">
        <v>13370</v>
      </c>
      <c r="NA413" s="770" t="s">
        <v>13536</v>
      </c>
      <c r="NB413" s="770" t="s">
        <v>13371</v>
      </c>
      <c r="NC413" s="766" t="s">
        <v>13523</v>
      </c>
      <c r="ND413" s="14">
        <v>0</v>
      </c>
      <c r="NE413" s="14">
        <v>0</v>
      </c>
      <c r="NF413" s="14">
        <v>0</v>
      </c>
      <c r="NG413" s="14">
        <v>3</v>
      </c>
      <c r="NH413" s="14">
        <v>2</v>
      </c>
      <c r="NI413" s="14">
        <v>1</v>
      </c>
      <c r="NJ413" s="14">
        <v>0</v>
      </c>
      <c r="NK413" s="14">
        <v>0</v>
      </c>
      <c r="NL413" s="14">
        <v>1</v>
      </c>
      <c r="NM413" s="14">
        <v>1</v>
      </c>
      <c r="NN413" s="14">
        <v>0</v>
      </c>
      <c r="NO413" s="14">
        <v>0</v>
      </c>
      <c r="NP413" s="14">
        <v>0</v>
      </c>
      <c r="NQ413" s="14">
        <v>0</v>
      </c>
      <c r="NR413" s="14">
        <v>0</v>
      </c>
      <c r="NS413" s="14">
        <v>0</v>
      </c>
      <c r="NT413" s="14">
        <v>0</v>
      </c>
      <c r="NU413" s="14">
        <v>0</v>
      </c>
      <c r="NV413" s="14">
        <v>0</v>
      </c>
      <c r="NW413" s="14">
        <v>0</v>
      </c>
      <c r="NX413" s="14">
        <v>0</v>
      </c>
      <c r="NY413" s="14" t="s">
        <v>1208</v>
      </c>
      <c r="NZ413" s="14"/>
      <c r="OA413" s="14" t="s">
        <v>1208</v>
      </c>
      <c r="OB413" s="14" t="s">
        <v>1208</v>
      </c>
      <c r="OC413" s="14" t="s">
        <v>1208</v>
      </c>
      <c r="OD413" s="14" t="s">
        <v>1208</v>
      </c>
      <c r="OE413" s="14"/>
      <c r="OF413" s="770" t="s">
        <v>2143</v>
      </c>
      <c r="OG413" s="14"/>
      <c r="OH413" s="14"/>
      <c r="OI413" s="14"/>
      <c r="OJ413" s="14"/>
      <c r="OK413" s="14" t="s">
        <v>1208</v>
      </c>
      <c r="OL413" s="14"/>
      <c r="OM413" s="14"/>
      <c r="ON413" s="14"/>
      <c r="OO413" s="14" t="s">
        <v>1214</v>
      </c>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t="s">
        <v>1208</v>
      </c>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777"/>
      <c r="RG413" s="14"/>
      <c r="RH413" s="14"/>
      <c r="RI413" s="14"/>
      <c r="RJ413" s="14" t="s">
        <v>2030</v>
      </c>
      <c r="RK413" s="14" t="s">
        <v>13401</v>
      </c>
      <c r="RL413" s="1768"/>
      <c r="RM413" s="12"/>
      <c r="RN413" s="1711"/>
      <c r="RO413" s="141" t="s">
        <v>686</v>
      </c>
      <c r="RP413" s="11"/>
      <c r="RQ413" s="11"/>
      <c r="RR413" s="343" t="s">
        <v>7419</v>
      </c>
      <c r="RS413" s="1139" t="s">
        <v>12980</v>
      </c>
      <c r="RT413" s="11"/>
      <c r="RU413" s="11"/>
      <c r="RV413" s="17" t="s">
        <v>7419</v>
      </c>
      <c r="RW413" s="11" t="s">
        <v>11630</v>
      </c>
      <c r="RX413" s="11" t="s">
        <v>680</v>
      </c>
      <c r="RY413" s="11"/>
      <c r="RZ413" s="11" t="s">
        <v>2209</v>
      </c>
      <c r="SA413" s="17"/>
      <c r="SB413" s="11"/>
      <c r="SC413" s="11"/>
    </row>
    <row r="414" spans="1:497" ht="12.75" hidden="1" customHeight="1">
      <c r="A414" s="19" t="s">
        <v>7419</v>
      </c>
      <c r="B414" s="750" t="s">
        <v>7672</v>
      </c>
      <c r="C414" s="140" t="s">
        <v>688</v>
      </c>
      <c r="D414" s="770" t="s">
        <v>689</v>
      </c>
      <c r="E414" s="770" t="s">
        <v>5815</v>
      </c>
      <c r="F414" s="770"/>
      <c r="G414" s="770"/>
      <c r="H414" s="770"/>
      <c r="I414" s="295"/>
      <c r="J414" s="94"/>
      <c r="K414" s="770" t="s">
        <v>3017</v>
      </c>
      <c r="L414" s="770" t="s">
        <v>3018</v>
      </c>
      <c r="M414" s="770"/>
      <c r="N414" s="770" t="s">
        <v>5740</v>
      </c>
      <c r="O414" s="770" t="s">
        <v>5741</v>
      </c>
      <c r="P414" s="770" t="s">
        <v>958</v>
      </c>
      <c r="Q414" s="1088"/>
      <c r="R414" s="297"/>
      <c r="S414" s="770"/>
      <c r="T414" s="770"/>
      <c r="U414" s="298"/>
      <c r="V414" s="770"/>
      <c r="W414" s="770"/>
      <c r="X414" s="296"/>
      <c r="Y414" s="770"/>
      <c r="Z414" s="770"/>
      <c r="AA414" s="770"/>
      <c r="AB414" s="770"/>
      <c r="AC414" s="770"/>
      <c r="AD414" s="770"/>
      <c r="AE414" s="770"/>
      <c r="AF414" s="770"/>
      <c r="AG414" s="766" t="s">
        <v>1095</v>
      </c>
      <c r="AH414" s="770" t="s">
        <v>1119</v>
      </c>
      <c r="AI414" s="770" t="s">
        <v>689</v>
      </c>
      <c r="AJ414" s="770"/>
      <c r="AK414" s="770" t="s">
        <v>1097</v>
      </c>
      <c r="AL414" s="299">
        <v>73.459999999999994</v>
      </c>
      <c r="AM414" s="300">
        <v>73.459999999999994</v>
      </c>
      <c r="AN414" s="301">
        <v>1</v>
      </c>
      <c r="AO414" s="766" t="s">
        <v>1122</v>
      </c>
      <c r="AP414" s="766"/>
      <c r="AQ414" s="766"/>
      <c r="AR414" s="766"/>
      <c r="AS414" s="770"/>
      <c r="AT414" s="770"/>
      <c r="AU414" s="770"/>
      <c r="AV414" s="770"/>
      <c r="AW414" s="770"/>
      <c r="AX414" s="770"/>
      <c r="AY414" s="770"/>
      <c r="AZ414" s="770"/>
      <c r="BA414" s="770"/>
      <c r="BB414" s="770"/>
      <c r="BC414" s="770"/>
      <c r="BD414" s="770"/>
      <c r="BE414" s="770"/>
      <c r="BF414" s="302"/>
      <c r="BG414" s="302"/>
      <c r="BH414" s="770"/>
      <c r="BI414" s="770"/>
      <c r="BJ414" s="770"/>
      <c r="BK414" s="14"/>
      <c r="BL414" s="770"/>
      <c r="BM414" s="770"/>
      <c r="BN414" s="770"/>
      <c r="BO414" s="770"/>
      <c r="BP414" s="780"/>
      <c r="BQ414" s="772"/>
      <c r="BR414" s="774"/>
      <c r="BS414" s="766"/>
      <c r="BT414" s="766"/>
      <c r="BU414" s="770"/>
      <c r="BV414" s="770"/>
      <c r="BW414" s="770"/>
      <c r="BX414" s="302"/>
      <c r="BY414" s="303"/>
      <c r="BZ414" s="770"/>
      <c r="CA414" s="302"/>
      <c r="CB414" s="302" t="s">
        <v>1207</v>
      </c>
      <c r="CC414" s="770" t="s">
        <v>689</v>
      </c>
      <c r="CD414" s="770"/>
      <c r="CE414" s="770"/>
      <c r="CF414" s="304">
        <v>3.18</v>
      </c>
      <c r="CG414" s="321">
        <v>126.3</v>
      </c>
      <c r="CH414" s="770" t="s">
        <v>5745</v>
      </c>
      <c r="CI414" s="770"/>
      <c r="CJ414" s="770"/>
      <c r="CK414" s="770">
        <v>22</v>
      </c>
      <c r="CL414" s="770" t="s">
        <v>1240</v>
      </c>
      <c r="CM414" s="770" t="s">
        <v>5650</v>
      </c>
      <c r="CN414" s="770"/>
      <c r="CO414" s="770" t="s">
        <v>1257</v>
      </c>
      <c r="CP414" s="770"/>
      <c r="CQ414" s="770"/>
      <c r="CR414" s="770"/>
      <c r="CS414" s="302"/>
      <c r="CT414" s="770"/>
      <c r="CU414" s="305"/>
      <c r="CV414" s="770"/>
      <c r="CW414" s="770"/>
      <c r="CX414" s="770"/>
      <c r="CY414" s="770"/>
      <c r="CZ414" s="770"/>
      <c r="DA414" s="306"/>
      <c r="DB414" s="770"/>
      <c r="DC414" s="770"/>
      <c r="DD414" s="770"/>
      <c r="DE414" s="300"/>
      <c r="DF414" s="770"/>
      <c r="DG414" s="770"/>
      <c r="DH414" s="770"/>
      <c r="DI414" s="770"/>
      <c r="DJ414" s="770"/>
      <c r="DK414" s="770"/>
      <c r="DL414" s="770"/>
      <c r="DM414" s="770"/>
      <c r="DN414" s="322"/>
      <c r="DO414" s="770"/>
      <c r="DP414" s="770"/>
      <c r="DQ414" s="770"/>
      <c r="DR414" s="770"/>
      <c r="DS414" s="307"/>
      <c r="DT414" s="770"/>
      <c r="DU414" s="770"/>
      <c r="DV414" s="770"/>
      <c r="DW414" s="306"/>
      <c r="DX414" s="306"/>
      <c r="DY414" s="770"/>
      <c r="DZ414" s="770"/>
      <c r="EA414" s="770"/>
      <c r="EB414" s="770"/>
      <c r="EC414" s="770"/>
      <c r="ED414" s="770"/>
      <c r="EE414" s="770"/>
      <c r="EF414" s="770"/>
      <c r="EG414" s="770"/>
      <c r="EH414" s="770"/>
      <c r="EI414" s="770"/>
      <c r="EJ414" s="770"/>
      <c r="EK414" s="770"/>
      <c r="EL414" s="770"/>
      <c r="EM414" s="770"/>
      <c r="EN414" s="770"/>
      <c r="EO414" s="770"/>
      <c r="EP414" s="94"/>
      <c r="EQ414" s="770"/>
      <c r="ER414" s="770"/>
      <c r="ES414" s="770"/>
      <c r="ET414" s="770"/>
      <c r="EU414" s="770"/>
      <c r="EV414" s="770"/>
      <c r="EW414" s="770"/>
      <c r="EX414" s="770"/>
      <c r="EY414" s="770"/>
      <c r="EZ414" s="770"/>
      <c r="FA414" s="770"/>
      <c r="FB414" s="770"/>
      <c r="FC414" s="770"/>
      <c r="FD414" s="302"/>
      <c r="FE414" s="770"/>
      <c r="FF414" s="770" t="s">
        <v>1590</v>
      </c>
      <c r="FG414" s="770"/>
      <c r="FH414" s="770"/>
      <c r="FI414" s="770"/>
      <c r="FJ414" s="770"/>
      <c r="FK414" s="770"/>
      <c r="FL414" s="770"/>
      <c r="FM414" s="302"/>
      <c r="FN414" s="302"/>
      <c r="FO414" s="302"/>
      <c r="FP414" s="770"/>
      <c r="FQ414" s="770"/>
      <c r="FR414" s="770"/>
      <c r="FS414" s="770"/>
      <c r="FT414" s="770"/>
      <c r="FU414" s="770"/>
      <c r="FV414" s="770"/>
      <c r="FW414" s="770"/>
      <c r="FX414" s="770"/>
      <c r="FY414" s="770"/>
      <c r="FZ414" s="770"/>
      <c r="GA414" s="770"/>
      <c r="GB414" s="770"/>
      <c r="GC414" s="308"/>
      <c r="GD414" s="297"/>
      <c r="GE414" s="770"/>
      <c r="GF414" s="302"/>
      <c r="GG414" s="302"/>
      <c r="GH414" s="770"/>
      <c r="GI414" s="770"/>
      <c r="GJ414" s="770"/>
      <c r="GK414" s="770"/>
      <c r="GL414" s="770"/>
      <c r="GM414" s="770"/>
      <c r="GN414" s="309"/>
      <c r="GO414" s="770"/>
      <c r="GP414" s="770"/>
      <c r="GQ414" s="770"/>
      <c r="GR414" s="770"/>
      <c r="GS414" s="770"/>
      <c r="GT414" s="770"/>
      <c r="GU414" s="770"/>
      <c r="GV414" s="770"/>
      <c r="GW414" s="770"/>
      <c r="GX414" s="770"/>
      <c r="GY414" s="770"/>
      <c r="GZ414" s="770"/>
      <c r="HA414" s="770"/>
      <c r="HB414" s="770"/>
      <c r="HC414" s="770"/>
      <c r="HD414" s="770"/>
      <c r="HE414" s="770"/>
      <c r="HF414" s="770"/>
      <c r="HG414" s="770"/>
      <c r="HH414" s="770"/>
      <c r="HI414" s="770"/>
      <c r="HJ414" s="770"/>
      <c r="HK414" s="770"/>
      <c r="HL414" s="770"/>
      <c r="HM414" s="770"/>
      <c r="HN414" s="770"/>
      <c r="HO414" s="770"/>
      <c r="HP414" s="770"/>
      <c r="HQ414" s="770"/>
      <c r="HR414" s="770"/>
      <c r="HS414" s="770"/>
      <c r="HT414" s="770"/>
      <c r="HU414" s="770"/>
      <c r="HV414" s="770"/>
      <c r="HW414" s="770"/>
      <c r="HX414" s="770"/>
      <c r="HY414" s="770"/>
      <c r="HZ414" s="770"/>
      <c r="IA414" s="770"/>
      <c r="IB414" s="14" t="e">
        <f>IF(#REF!&gt;0,IF(#REF!&lt;=10000,"Y",""),"")</f>
        <v>#REF!</v>
      </c>
      <c r="IC414" s="770"/>
      <c r="ID414" s="770"/>
      <c r="IE414" s="770"/>
      <c r="IF414" s="770"/>
      <c r="IG414" s="770"/>
      <c r="IH414" s="770"/>
      <c r="II414" s="770"/>
      <c r="IJ414" s="770"/>
      <c r="IK414" s="770"/>
      <c r="IL414" s="770"/>
      <c r="IM414" s="770"/>
      <c r="IN414" s="770"/>
      <c r="IO414" s="296"/>
      <c r="IP414" s="770"/>
      <c r="IQ414" s="770"/>
      <c r="IR414" s="770"/>
      <c r="IS414" s="770"/>
      <c r="IT414" s="770"/>
      <c r="IU414" s="770"/>
      <c r="IV414" s="770"/>
      <c r="IW414" s="770"/>
      <c r="IX414" s="770"/>
      <c r="IY414" s="770"/>
      <c r="IZ414" s="770"/>
      <c r="JA414" s="770"/>
      <c r="JB414" s="770"/>
      <c r="JC414" s="770"/>
      <c r="JD414" s="302"/>
      <c r="JE414" s="770"/>
      <c r="JF414" s="770"/>
      <c r="JG414" s="770"/>
      <c r="JH414" s="770"/>
      <c r="JI414" s="770"/>
      <c r="JJ414" s="770"/>
      <c r="JK414" s="770"/>
      <c r="JL414" s="770"/>
      <c r="JM414" s="770"/>
      <c r="JN414" s="770"/>
      <c r="JO414" s="770"/>
      <c r="JP414" s="770"/>
      <c r="JQ414" s="770"/>
      <c r="JR414" s="770"/>
      <c r="JS414" s="770"/>
      <c r="JT414" s="766"/>
      <c r="JU414" s="766"/>
      <c r="JV414" s="766"/>
      <c r="JW414" s="766"/>
      <c r="JX414" s="770"/>
      <c r="JY414" s="770"/>
      <c r="JZ414" s="770"/>
      <c r="KA414" s="770"/>
      <c r="KB414" s="770"/>
      <c r="KC414" s="770"/>
      <c r="KD414" s="770"/>
      <c r="KE414" s="770"/>
      <c r="KF414" s="770"/>
      <c r="KG414" s="770"/>
      <c r="KH414" s="770"/>
      <c r="KI414" s="770"/>
      <c r="KJ414" s="770"/>
      <c r="KK414" s="770"/>
      <c r="KL414" s="770"/>
      <c r="KM414" s="770"/>
      <c r="KN414" s="770"/>
      <c r="KO414" s="770"/>
      <c r="KP414" s="770"/>
      <c r="KQ414" s="770"/>
      <c r="KR414" s="770"/>
      <c r="KS414" s="770"/>
      <c r="KT414" s="770"/>
      <c r="KU414" s="770"/>
      <c r="KV414" s="770"/>
      <c r="KW414" s="770"/>
      <c r="KX414" s="770"/>
      <c r="KY414" s="770"/>
      <c r="KZ414" s="770"/>
      <c r="LA414" s="770"/>
      <c r="LB414" s="770"/>
      <c r="LC414" s="770"/>
      <c r="LD414" s="770"/>
      <c r="LE414" s="770"/>
      <c r="LF414" s="770"/>
      <c r="LG414" s="770"/>
      <c r="LH414" s="770"/>
      <c r="LI414" s="770"/>
      <c r="LJ414" s="770"/>
      <c r="LK414" s="770"/>
      <c r="LL414" s="770"/>
      <c r="LM414" s="770"/>
      <c r="LN414" s="766"/>
      <c r="LO414" s="766"/>
      <c r="LP414" s="770"/>
      <c r="LQ414" s="770"/>
      <c r="LR414" s="770"/>
      <c r="LS414" s="770"/>
      <c r="LT414" s="770"/>
      <c r="LU414" s="770"/>
      <c r="LV414" s="770"/>
      <c r="LW414" s="770"/>
      <c r="LX414" s="769"/>
      <c r="LY414" s="766" t="str">
        <f t="shared" si="100"/>
        <v/>
      </c>
      <c r="LZ414" s="299"/>
      <c r="MA414" s="306"/>
      <c r="MB414" s="306"/>
      <c r="MC414" s="1679">
        <f t="shared" si="99"/>
        <v>0</v>
      </c>
      <c r="MD414" s="306"/>
      <c r="ME414" s="306"/>
      <c r="MF414" s="306"/>
      <c r="MG414" s="1680">
        <f t="shared" si="101"/>
        <v>0</v>
      </c>
      <c r="MH414" s="770"/>
      <c r="MI414" s="302"/>
      <c r="MJ414" s="302"/>
      <c r="MK414" s="302"/>
      <c r="ML414" s="302"/>
      <c r="MM414" s="302"/>
      <c r="MN414" s="302"/>
      <c r="MO414" s="302"/>
      <c r="MP414" s="302"/>
      <c r="MQ414" s="302"/>
      <c r="MR414" s="302"/>
      <c r="MS414" s="302"/>
      <c r="MT414" s="302"/>
      <c r="MU414" s="302"/>
      <c r="MV414" s="302"/>
      <c r="MW414" s="302"/>
      <c r="MX414" s="302"/>
      <c r="MY414" s="1682">
        <f t="shared" si="102"/>
        <v>0</v>
      </c>
      <c r="MZ414" s="770"/>
      <c r="NA414" s="770"/>
      <c r="NB414" s="770"/>
      <c r="NC414" s="770"/>
      <c r="ND414" s="770"/>
      <c r="NE414" s="770"/>
      <c r="NF414" s="770"/>
      <c r="NG414" s="770"/>
      <c r="NH414" s="770"/>
      <c r="NI414" s="770"/>
      <c r="NJ414" s="770"/>
      <c r="NK414" s="770"/>
      <c r="NL414" s="770"/>
      <c r="NM414" s="770"/>
      <c r="NN414" s="770"/>
      <c r="NO414" s="770"/>
      <c r="NP414" s="770"/>
      <c r="NQ414" s="770"/>
      <c r="NR414" s="770"/>
      <c r="NS414" s="770"/>
      <c r="NT414" s="770"/>
      <c r="NU414" s="770"/>
      <c r="NV414" s="770"/>
      <c r="NW414" s="770"/>
      <c r="NX414" s="770"/>
      <c r="NY414" s="770"/>
      <c r="NZ414" s="770"/>
      <c r="OA414" s="770"/>
      <c r="OB414" s="770"/>
      <c r="OC414" s="770"/>
      <c r="OD414" s="770"/>
      <c r="OE414" s="770"/>
      <c r="OF414" s="770"/>
      <c r="OG414" s="770"/>
      <c r="OH414" s="770"/>
      <c r="OI414" s="770"/>
      <c r="OJ414" s="770"/>
      <c r="OK414" s="770"/>
      <c r="OL414" s="770"/>
      <c r="OM414" s="770"/>
      <c r="ON414" s="770"/>
      <c r="OO414" s="770"/>
      <c r="OP414" s="770"/>
      <c r="OQ414" s="770"/>
      <c r="OR414" s="770"/>
      <c r="OS414" s="770"/>
      <c r="OT414" s="770"/>
      <c r="OU414" s="770"/>
      <c r="OV414" s="770"/>
      <c r="OW414" s="770"/>
      <c r="OX414" s="770"/>
      <c r="OY414" s="770"/>
      <c r="OZ414" s="770"/>
      <c r="PA414" s="770"/>
      <c r="PB414" s="770"/>
      <c r="PC414" s="770"/>
      <c r="PD414" s="770"/>
      <c r="PE414" s="770"/>
      <c r="PF414" s="770"/>
      <c r="PG414" s="770"/>
      <c r="PH414" s="770"/>
      <c r="PI414" s="770"/>
      <c r="PJ414" s="770"/>
      <c r="PK414" s="770"/>
      <c r="PL414" s="770"/>
      <c r="PM414" s="770"/>
      <c r="PN414" s="770"/>
      <c r="PO414" s="770"/>
      <c r="PP414" s="770"/>
      <c r="PQ414" s="770"/>
      <c r="PR414" s="770"/>
      <c r="PS414" s="770"/>
      <c r="PT414" s="770"/>
      <c r="PU414" s="770"/>
      <c r="PV414" s="770"/>
      <c r="PW414" s="770"/>
      <c r="PX414" s="770"/>
      <c r="PY414" s="770"/>
      <c r="PZ414" s="770"/>
      <c r="QA414" s="770"/>
      <c r="QB414" s="770"/>
      <c r="QC414" s="770"/>
      <c r="QD414" s="770"/>
      <c r="QE414" s="770"/>
      <c r="QF414" s="770"/>
      <c r="QG414" s="770"/>
      <c r="QH414" s="770"/>
      <c r="QI414" s="770"/>
      <c r="QJ414" s="770"/>
      <c r="QK414" s="770"/>
      <c r="QL414" s="770"/>
      <c r="QM414" s="770"/>
      <c r="QN414" s="770"/>
      <c r="QO414" s="770"/>
      <c r="QP414" s="770"/>
      <c r="QQ414" s="770"/>
      <c r="QR414" s="770"/>
      <c r="QS414" s="770"/>
      <c r="QT414" s="770"/>
      <c r="QU414" s="770"/>
      <c r="QV414" s="770"/>
      <c r="QW414" s="770"/>
      <c r="QX414" s="770"/>
      <c r="QY414" s="770"/>
      <c r="QZ414" s="770"/>
      <c r="RA414" s="770"/>
      <c r="RB414" s="770"/>
      <c r="RC414" s="770"/>
      <c r="RD414" s="770"/>
      <c r="RE414" s="770"/>
      <c r="RF414" s="304"/>
      <c r="RG414" s="770"/>
      <c r="RH414" s="302"/>
      <c r="RI414" s="770"/>
      <c r="RJ414" s="770"/>
      <c r="RK414" s="770"/>
      <c r="RL414" s="1710"/>
      <c r="RM414" s="12"/>
      <c r="RN414" s="1711"/>
      <c r="RO414" s="140" t="s">
        <v>688</v>
      </c>
      <c r="RP414" s="11"/>
      <c r="RQ414" s="11"/>
      <c r="RR414" s="17"/>
      <c r="RS414" s="767"/>
      <c r="RT414" s="11"/>
      <c r="RU414" s="11"/>
      <c r="RV414" s="771" t="s">
        <v>7419</v>
      </c>
      <c r="RW414" s="11" t="s">
        <v>7670</v>
      </c>
      <c r="RX414" s="11" t="s">
        <v>682</v>
      </c>
      <c r="RY414" s="11"/>
      <c r="RZ414" s="11" t="s">
        <v>2209</v>
      </c>
      <c r="SA414" s="771"/>
      <c r="SB414" s="11"/>
      <c r="SC414" s="11"/>
    </row>
    <row r="415" spans="1:497" ht="12.75" hidden="1" customHeight="1">
      <c r="A415" s="343" t="s">
        <v>14197</v>
      </c>
      <c r="B415" s="750" t="s">
        <v>7673</v>
      </c>
      <c r="C415" s="140" t="s">
        <v>688</v>
      </c>
      <c r="D415" s="770" t="s">
        <v>689</v>
      </c>
      <c r="E415" s="770" t="s">
        <v>5815</v>
      </c>
      <c r="F415" s="770"/>
      <c r="G415" s="770"/>
      <c r="H415" s="770"/>
      <c r="I415" s="295"/>
      <c r="J415" s="94"/>
      <c r="K415" s="770"/>
      <c r="L415" s="770"/>
      <c r="M415" s="770"/>
      <c r="N415" s="770" t="s">
        <v>5741</v>
      </c>
      <c r="O415" s="770" t="s">
        <v>5743</v>
      </c>
      <c r="P415" s="770"/>
      <c r="Q415" s="1088"/>
      <c r="R415" s="297"/>
      <c r="S415" s="770"/>
      <c r="T415" s="770"/>
      <c r="U415" s="298"/>
      <c r="V415" s="770"/>
      <c r="W415" s="770"/>
      <c r="X415" s="296"/>
      <c r="Y415" s="770"/>
      <c r="Z415" s="770"/>
      <c r="AA415" s="770"/>
      <c r="AB415" s="770"/>
      <c r="AC415" s="770"/>
      <c r="AD415" s="770"/>
      <c r="AE415" s="770"/>
      <c r="AF415" s="770"/>
      <c r="AG415" s="770"/>
      <c r="AH415" s="770"/>
      <c r="AI415" s="770"/>
      <c r="AJ415" s="770"/>
      <c r="AK415" s="770" t="s">
        <v>1097</v>
      </c>
      <c r="AL415" s="299"/>
      <c r="AM415" s="300"/>
      <c r="AN415" s="301"/>
      <c r="AO415" s="766"/>
      <c r="AP415" s="766"/>
      <c r="AQ415" s="766"/>
      <c r="AR415" s="766"/>
      <c r="AS415" s="770"/>
      <c r="AT415" s="770"/>
      <c r="AU415" s="770"/>
      <c r="AV415" s="770"/>
      <c r="AW415" s="770"/>
      <c r="AX415" s="770"/>
      <c r="AY415" s="770"/>
      <c r="AZ415" s="770"/>
      <c r="BA415" s="770"/>
      <c r="BB415" s="770"/>
      <c r="BC415" s="770"/>
      <c r="BD415" s="770"/>
      <c r="BE415" s="770"/>
      <c r="BF415" s="302"/>
      <c r="BG415" s="302"/>
      <c r="BH415" s="770"/>
      <c r="BI415" s="770"/>
      <c r="BJ415" s="770"/>
      <c r="BK415" s="14"/>
      <c r="BL415" s="770"/>
      <c r="BM415" s="770"/>
      <c r="BN415" s="770"/>
      <c r="BO415" s="770"/>
      <c r="BP415" s="780"/>
      <c r="BQ415" s="772"/>
      <c r="BR415" s="774"/>
      <c r="BS415" s="766"/>
      <c r="BT415" s="766"/>
      <c r="BU415" s="770"/>
      <c r="BV415" s="770"/>
      <c r="BW415" s="770"/>
      <c r="BX415" s="302"/>
      <c r="BY415" s="303"/>
      <c r="BZ415" s="770"/>
      <c r="CA415" s="302"/>
      <c r="CB415" s="302" t="s">
        <v>1207</v>
      </c>
      <c r="CC415" s="770" t="s">
        <v>689</v>
      </c>
      <c r="CD415" s="770"/>
      <c r="CE415" s="770"/>
      <c r="CF415" s="304">
        <v>2.512</v>
      </c>
      <c r="CG415" s="321">
        <v>220</v>
      </c>
      <c r="CH415" s="770" t="s">
        <v>5747</v>
      </c>
      <c r="CI415" s="770"/>
      <c r="CJ415" s="770"/>
      <c r="CK415" s="770"/>
      <c r="CL415" s="770" t="s">
        <v>1240</v>
      </c>
      <c r="CM415" s="770" t="s">
        <v>5650</v>
      </c>
      <c r="CN415" s="770"/>
      <c r="CO415" s="770"/>
      <c r="CP415" s="770"/>
      <c r="CQ415" s="770"/>
      <c r="CR415" s="770"/>
      <c r="CS415" s="302"/>
      <c r="CT415" s="770"/>
      <c r="CU415" s="305"/>
      <c r="CV415" s="770"/>
      <c r="CW415" s="770"/>
      <c r="CX415" s="770"/>
      <c r="CY415" s="770"/>
      <c r="CZ415" s="770"/>
      <c r="DA415" s="306"/>
      <c r="DB415" s="770"/>
      <c r="DC415" s="770"/>
      <c r="DD415" s="770"/>
      <c r="DE415" s="300"/>
      <c r="DF415" s="770"/>
      <c r="DG415" s="770"/>
      <c r="DH415" s="770"/>
      <c r="DI415" s="770"/>
      <c r="DJ415" s="770"/>
      <c r="DK415" s="770"/>
      <c r="DL415" s="770"/>
      <c r="DM415" s="770"/>
      <c r="DN415" s="322"/>
      <c r="DO415" s="770"/>
      <c r="DP415" s="770"/>
      <c r="DQ415" s="770"/>
      <c r="DR415" s="770"/>
      <c r="DS415" s="307"/>
      <c r="DT415" s="770"/>
      <c r="DU415" s="770"/>
      <c r="DV415" s="770"/>
      <c r="DW415" s="306"/>
      <c r="DX415" s="306"/>
      <c r="DY415" s="770"/>
      <c r="DZ415" s="770"/>
      <c r="EA415" s="770"/>
      <c r="EB415" s="770"/>
      <c r="EC415" s="770"/>
      <c r="ED415" s="770"/>
      <c r="EE415" s="770"/>
      <c r="EF415" s="770"/>
      <c r="EG415" s="770"/>
      <c r="EH415" s="770"/>
      <c r="EI415" s="770"/>
      <c r="EJ415" s="770"/>
      <c r="EK415" s="770"/>
      <c r="EL415" s="770"/>
      <c r="EM415" s="770"/>
      <c r="EN415" s="770"/>
      <c r="EO415" s="770"/>
      <c r="EP415" s="94"/>
      <c r="EQ415" s="770"/>
      <c r="ER415" s="770"/>
      <c r="ES415" s="770"/>
      <c r="ET415" s="770"/>
      <c r="EU415" s="770"/>
      <c r="EV415" s="770"/>
      <c r="EW415" s="770"/>
      <c r="EX415" s="770"/>
      <c r="EY415" s="770"/>
      <c r="EZ415" s="770"/>
      <c r="FA415" s="770"/>
      <c r="FB415" s="770"/>
      <c r="FC415" s="770"/>
      <c r="FD415" s="302"/>
      <c r="FE415" s="770"/>
      <c r="FF415" s="770"/>
      <c r="FG415" s="770"/>
      <c r="FH415" s="770"/>
      <c r="FI415" s="770"/>
      <c r="FJ415" s="770"/>
      <c r="FK415" s="770"/>
      <c r="FL415" s="770"/>
      <c r="FM415" s="302"/>
      <c r="FN415" s="302"/>
      <c r="FO415" s="302"/>
      <c r="FP415" s="770"/>
      <c r="FQ415" s="770"/>
      <c r="FR415" s="770"/>
      <c r="FS415" s="770"/>
      <c r="FT415" s="770"/>
      <c r="FU415" s="770"/>
      <c r="FV415" s="770"/>
      <c r="FW415" s="770"/>
      <c r="FX415" s="770"/>
      <c r="FY415" s="770"/>
      <c r="FZ415" s="770"/>
      <c r="GA415" s="770"/>
      <c r="GB415" s="770"/>
      <c r="GC415" s="308"/>
      <c r="GD415" s="297"/>
      <c r="GE415" s="770"/>
      <c r="GF415" s="302"/>
      <c r="GG415" s="302"/>
      <c r="GH415" s="770"/>
      <c r="GI415" s="770"/>
      <c r="GJ415" s="770"/>
      <c r="GK415" s="770"/>
      <c r="GL415" s="770"/>
      <c r="GM415" s="770"/>
      <c r="GN415" s="309"/>
      <c r="GO415" s="770"/>
      <c r="GP415" s="770"/>
      <c r="GQ415" s="770"/>
      <c r="GR415" s="770"/>
      <c r="GS415" s="770"/>
      <c r="GT415" s="770"/>
      <c r="GU415" s="770"/>
      <c r="GV415" s="770"/>
      <c r="GW415" s="770"/>
      <c r="GX415" s="770"/>
      <c r="GY415" s="770"/>
      <c r="GZ415" s="770"/>
      <c r="HA415" s="770"/>
      <c r="HB415" s="770"/>
      <c r="HC415" s="770"/>
      <c r="HD415" s="770"/>
      <c r="HE415" s="770"/>
      <c r="HF415" s="770"/>
      <c r="HG415" s="770"/>
      <c r="HH415" s="770"/>
      <c r="HI415" s="770"/>
      <c r="HJ415" s="770"/>
      <c r="HK415" s="770"/>
      <c r="HL415" s="770"/>
      <c r="HM415" s="770"/>
      <c r="HN415" s="770"/>
      <c r="HO415" s="770"/>
      <c r="HP415" s="770"/>
      <c r="HQ415" s="770"/>
      <c r="HR415" s="770"/>
      <c r="HS415" s="770"/>
      <c r="HT415" s="770"/>
      <c r="HU415" s="770"/>
      <c r="HV415" s="770"/>
      <c r="HW415" s="770"/>
      <c r="HX415" s="770"/>
      <c r="HY415" s="770"/>
      <c r="HZ415" s="770"/>
      <c r="IA415" s="770"/>
      <c r="IB415" s="14" t="e">
        <f>IF(#REF!&gt;0,IF(#REF!&lt;=10000,"Y",""),"")</f>
        <v>#REF!</v>
      </c>
      <c r="IC415" s="770"/>
      <c r="ID415" s="770"/>
      <c r="IE415" s="770"/>
      <c r="IF415" s="770"/>
      <c r="IG415" s="770"/>
      <c r="IH415" s="770"/>
      <c r="II415" s="770"/>
      <c r="IJ415" s="770"/>
      <c r="IK415" s="770"/>
      <c r="IL415" s="770"/>
      <c r="IM415" s="770"/>
      <c r="IN415" s="770"/>
      <c r="IO415" s="296"/>
      <c r="IP415" s="770"/>
      <c r="IQ415" s="770"/>
      <c r="IR415" s="770"/>
      <c r="IS415" s="770"/>
      <c r="IT415" s="770"/>
      <c r="IU415" s="770"/>
      <c r="IV415" s="770"/>
      <c r="IW415" s="770"/>
      <c r="IX415" s="770"/>
      <c r="IY415" s="770"/>
      <c r="IZ415" s="770"/>
      <c r="JA415" s="770"/>
      <c r="JB415" s="770"/>
      <c r="JC415" s="770"/>
      <c r="JD415" s="302"/>
      <c r="JE415" s="770"/>
      <c r="JF415" s="770"/>
      <c r="JG415" s="770"/>
      <c r="JH415" s="770"/>
      <c r="JI415" s="770"/>
      <c r="JJ415" s="770"/>
      <c r="JK415" s="770"/>
      <c r="JL415" s="770"/>
      <c r="JM415" s="770"/>
      <c r="JN415" s="770"/>
      <c r="JO415" s="770"/>
      <c r="JP415" s="770"/>
      <c r="JQ415" s="770"/>
      <c r="JR415" s="770"/>
      <c r="JS415" s="770"/>
      <c r="JT415" s="766"/>
      <c r="JU415" s="766"/>
      <c r="JV415" s="766"/>
      <c r="JW415" s="766"/>
      <c r="JX415" s="770"/>
      <c r="JY415" s="770"/>
      <c r="JZ415" s="770"/>
      <c r="KA415" s="770"/>
      <c r="KB415" s="770"/>
      <c r="KC415" s="770"/>
      <c r="KD415" s="770"/>
      <c r="KE415" s="770"/>
      <c r="KF415" s="770"/>
      <c r="KG415" s="770"/>
      <c r="KH415" s="770"/>
      <c r="KI415" s="770"/>
      <c r="KJ415" s="770"/>
      <c r="KK415" s="770"/>
      <c r="KL415" s="770"/>
      <c r="KM415" s="770"/>
      <c r="KN415" s="770"/>
      <c r="KO415" s="770"/>
      <c r="KP415" s="770"/>
      <c r="KQ415" s="770"/>
      <c r="KR415" s="770"/>
      <c r="KS415" s="770"/>
      <c r="KT415" s="770"/>
      <c r="KU415" s="770"/>
      <c r="KV415" s="770"/>
      <c r="KW415" s="770"/>
      <c r="KX415" s="770"/>
      <c r="KY415" s="770"/>
      <c r="KZ415" s="770"/>
      <c r="LA415" s="770"/>
      <c r="LB415" s="770"/>
      <c r="LC415" s="770"/>
      <c r="LD415" s="770"/>
      <c r="LE415" s="770"/>
      <c r="LF415" s="770"/>
      <c r="LG415" s="770"/>
      <c r="LH415" s="770"/>
      <c r="LI415" s="770"/>
      <c r="LJ415" s="770"/>
      <c r="LK415" s="770"/>
      <c r="LL415" s="770"/>
      <c r="LM415" s="770"/>
      <c r="LN415" s="766"/>
      <c r="LO415" s="766"/>
      <c r="LP415" s="770"/>
      <c r="LQ415" s="770"/>
      <c r="LR415" s="770"/>
      <c r="LS415" s="770"/>
      <c r="LT415" s="770"/>
      <c r="LU415" s="770"/>
      <c r="LV415" s="770"/>
      <c r="LW415" s="770"/>
      <c r="LX415" s="769"/>
      <c r="LY415" s="766" t="str">
        <f t="shared" si="100"/>
        <v/>
      </c>
      <c r="LZ415" s="299"/>
      <c r="MA415" s="306"/>
      <c r="MB415" s="306"/>
      <c r="MC415" s="1679">
        <f t="shared" si="99"/>
        <v>0</v>
      </c>
      <c r="MD415" s="306"/>
      <c r="ME415" s="306"/>
      <c r="MF415" s="306"/>
      <c r="MG415" s="1680">
        <f t="shared" si="101"/>
        <v>0</v>
      </c>
      <c r="MH415" s="770"/>
      <c r="MI415" s="302"/>
      <c r="MJ415" s="302"/>
      <c r="MK415" s="302"/>
      <c r="ML415" s="302"/>
      <c r="MM415" s="302"/>
      <c r="MN415" s="302"/>
      <c r="MO415" s="302"/>
      <c r="MP415" s="302"/>
      <c r="MQ415" s="302"/>
      <c r="MR415" s="302"/>
      <c r="MS415" s="302"/>
      <c r="MT415" s="302"/>
      <c r="MU415" s="302"/>
      <c r="MV415" s="302"/>
      <c r="MW415" s="302"/>
      <c r="MX415" s="302"/>
      <c r="MY415" s="1682">
        <f t="shared" si="102"/>
        <v>0</v>
      </c>
      <c r="MZ415" s="770"/>
      <c r="NA415" s="770"/>
      <c r="NB415" s="770"/>
      <c r="NC415" s="770"/>
      <c r="ND415" s="770"/>
      <c r="NE415" s="770"/>
      <c r="NF415" s="770"/>
      <c r="NG415" s="770"/>
      <c r="NH415" s="770"/>
      <c r="NI415" s="770"/>
      <c r="NJ415" s="770"/>
      <c r="NK415" s="770"/>
      <c r="NL415" s="770"/>
      <c r="NM415" s="770"/>
      <c r="NN415" s="770"/>
      <c r="NO415" s="770"/>
      <c r="NP415" s="770"/>
      <c r="NQ415" s="770"/>
      <c r="NR415" s="770"/>
      <c r="NS415" s="770"/>
      <c r="NT415" s="770"/>
      <c r="NU415" s="770"/>
      <c r="NV415" s="770"/>
      <c r="NW415" s="770"/>
      <c r="NX415" s="770"/>
      <c r="NY415" s="770"/>
      <c r="NZ415" s="770"/>
      <c r="OA415" s="770"/>
      <c r="OB415" s="770"/>
      <c r="OC415" s="770"/>
      <c r="OD415" s="770"/>
      <c r="OE415" s="770"/>
      <c r="OF415" s="770"/>
      <c r="OG415" s="770"/>
      <c r="OH415" s="770"/>
      <c r="OI415" s="770"/>
      <c r="OJ415" s="770"/>
      <c r="OK415" s="770"/>
      <c r="OL415" s="770"/>
      <c r="OM415" s="770"/>
      <c r="ON415" s="770"/>
      <c r="OO415" s="770"/>
      <c r="OP415" s="770"/>
      <c r="OQ415" s="770"/>
      <c r="OR415" s="770"/>
      <c r="OS415" s="770"/>
      <c r="OT415" s="770"/>
      <c r="OU415" s="770"/>
      <c r="OV415" s="770"/>
      <c r="OW415" s="770"/>
      <c r="OX415" s="770"/>
      <c r="OY415" s="770"/>
      <c r="OZ415" s="770"/>
      <c r="PA415" s="770"/>
      <c r="PB415" s="770"/>
      <c r="PC415" s="770"/>
      <c r="PD415" s="770"/>
      <c r="PE415" s="770"/>
      <c r="PF415" s="770"/>
      <c r="PG415" s="770"/>
      <c r="PH415" s="770"/>
      <c r="PI415" s="770"/>
      <c r="PJ415" s="770"/>
      <c r="PK415" s="770"/>
      <c r="PL415" s="770"/>
      <c r="PM415" s="770"/>
      <c r="PN415" s="770"/>
      <c r="PO415" s="770"/>
      <c r="PP415" s="770"/>
      <c r="PQ415" s="770"/>
      <c r="PR415" s="770"/>
      <c r="PS415" s="770"/>
      <c r="PT415" s="770"/>
      <c r="PU415" s="770"/>
      <c r="PV415" s="770"/>
      <c r="PW415" s="770"/>
      <c r="PX415" s="770"/>
      <c r="PY415" s="770"/>
      <c r="PZ415" s="770"/>
      <c r="QA415" s="770"/>
      <c r="QB415" s="770"/>
      <c r="QC415" s="770"/>
      <c r="QD415" s="770"/>
      <c r="QE415" s="770"/>
      <c r="QF415" s="770"/>
      <c r="QG415" s="770"/>
      <c r="QH415" s="770"/>
      <c r="QI415" s="770"/>
      <c r="QJ415" s="770"/>
      <c r="QK415" s="770"/>
      <c r="QL415" s="770"/>
      <c r="QM415" s="770"/>
      <c r="QN415" s="770"/>
      <c r="QO415" s="770"/>
      <c r="QP415" s="770"/>
      <c r="QQ415" s="770"/>
      <c r="QR415" s="770"/>
      <c r="QS415" s="770"/>
      <c r="QT415" s="770"/>
      <c r="QU415" s="770"/>
      <c r="QV415" s="770"/>
      <c r="QW415" s="770"/>
      <c r="QX415" s="770"/>
      <c r="QY415" s="770"/>
      <c r="QZ415" s="770"/>
      <c r="RA415" s="770"/>
      <c r="RB415" s="770"/>
      <c r="RC415" s="770"/>
      <c r="RD415" s="770"/>
      <c r="RE415" s="770"/>
      <c r="RF415" s="304"/>
      <c r="RG415" s="770"/>
      <c r="RH415" s="302"/>
      <c r="RI415" s="770"/>
      <c r="RJ415" s="770"/>
      <c r="RK415" s="770"/>
      <c r="RL415" s="1710"/>
      <c r="RM415" s="12"/>
      <c r="RN415" s="1711"/>
      <c r="RO415" s="140" t="s">
        <v>688</v>
      </c>
      <c r="RP415" s="11"/>
      <c r="RQ415" s="11"/>
      <c r="RR415" s="17"/>
      <c r="RS415" s="767"/>
      <c r="RT415" s="11"/>
      <c r="RU415" s="11"/>
      <c r="RV415" s="771" t="s">
        <v>7419</v>
      </c>
      <c r="RW415" s="11" t="s">
        <v>7671</v>
      </c>
      <c r="RX415" s="11" t="s">
        <v>686</v>
      </c>
      <c r="RY415" s="11"/>
      <c r="RZ415" s="11"/>
      <c r="SA415" s="771"/>
      <c r="SB415" s="11"/>
      <c r="SC415" s="11"/>
    </row>
    <row r="416" spans="1:497" ht="12.75" hidden="1" customHeight="1">
      <c r="A416" s="343" t="s">
        <v>14197</v>
      </c>
      <c r="B416" s="750" t="s">
        <v>7673</v>
      </c>
      <c r="C416" s="140" t="s">
        <v>688</v>
      </c>
      <c r="D416" s="770" t="s">
        <v>689</v>
      </c>
      <c r="E416" s="770" t="s">
        <v>5815</v>
      </c>
      <c r="F416" s="770"/>
      <c r="G416" s="770"/>
      <c r="H416" s="770"/>
      <c r="I416" s="295"/>
      <c r="J416" s="94"/>
      <c r="K416" s="770"/>
      <c r="L416" s="770"/>
      <c r="M416" s="770"/>
      <c r="N416" s="770" t="s">
        <v>5742</v>
      </c>
      <c r="O416" s="770" t="s">
        <v>5744</v>
      </c>
      <c r="P416" s="770"/>
      <c r="Q416" s="1088"/>
      <c r="R416" s="297"/>
      <c r="S416" s="770"/>
      <c r="T416" s="770"/>
      <c r="U416" s="298"/>
      <c r="V416" s="770"/>
      <c r="W416" s="770"/>
      <c r="X416" s="296"/>
      <c r="Y416" s="770"/>
      <c r="Z416" s="770"/>
      <c r="AA416" s="770"/>
      <c r="AB416" s="770"/>
      <c r="AC416" s="770"/>
      <c r="AD416" s="770"/>
      <c r="AE416" s="770"/>
      <c r="AF416" s="770"/>
      <c r="AG416" s="770"/>
      <c r="AH416" s="770"/>
      <c r="AI416" s="770"/>
      <c r="AJ416" s="770"/>
      <c r="AK416" s="770" t="s">
        <v>1097</v>
      </c>
      <c r="AL416" s="299"/>
      <c r="AM416" s="300"/>
      <c r="AN416" s="301"/>
      <c r="AO416" s="766"/>
      <c r="AP416" s="766"/>
      <c r="AQ416" s="766"/>
      <c r="AR416" s="766"/>
      <c r="AS416" s="770"/>
      <c r="AT416" s="770"/>
      <c r="AU416" s="770"/>
      <c r="AV416" s="770"/>
      <c r="AW416" s="770"/>
      <c r="AX416" s="770"/>
      <c r="AY416" s="770"/>
      <c r="AZ416" s="770"/>
      <c r="BA416" s="770"/>
      <c r="BB416" s="770"/>
      <c r="BC416" s="770"/>
      <c r="BD416" s="770"/>
      <c r="BE416" s="770"/>
      <c r="BF416" s="302"/>
      <c r="BG416" s="302"/>
      <c r="BH416" s="770"/>
      <c r="BI416" s="770"/>
      <c r="BJ416" s="770"/>
      <c r="BK416" s="14"/>
      <c r="BL416" s="770"/>
      <c r="BM416" s="770"/>
      <c r="BN416" s="770"/>
      <c r="BO416" s="770"/>
      <c r="BP416" s="780"/>
      <c r="BQ416" s="772"/>
      <c r="BR416" s="774"/>
      <c r="BS416" s="766"/>
      <c r="BT416" s="766"/>
      <c r="BU416" s="770"/>
      <c r="BV416" s="770"/>
      <c r="BW416" s="770"/>
      <c r="BX416" s="302"/>
      <c r="BY416" s="303"/>
      <c r="BZ416" s="770"/>
      <c r="CA416" s="302"/>
      <c r="CB416" s="302" t="s">
        <v>1207</v>
      </c>
      <c r="CC416" s="770" t="s">
        <v>689</v>
      </c>
      <c r="CD416" s="770"/>
      <c r="CE416" s="770"/>
      <c r="CF416" s="304">
        <v>3.5</v>
      </c>
      <c r="CG416" s="321">
        <v>80</v>
      </c>
      <c r="CH416" s="770" t="s">
        <v>5746</v>
      </c>
      <c r="CI416" s="770"/>
      <c r="CJ416" s="770"/>
      <c r="CK416" s="770"/>
      <c r="CL416" s="770" t="s">
        <v>1240</v>
      </c>
      <c r="CM416" s="770" t="s">
        <v>5650</v>
      </c>
      <c r="CN416" s="770"/>
      <c r="CO416" s="770"/>
      <c r="CP416" s="770"/>
      <c r="CQ416" s="770"/>
      <c r="CR416" s="770"/>
      <c r="CS416" s="302"/>
      <c r="CT416" s="770"/>
      <c r="CU416" s="305"/>
      <c r="CV416" s="770"/>
      <c r="CW416" s="770"/>
      <c r="CX416" s="770"/>
      <c r="CY416" s="770"/>
      <c r="CZ416" s="770"/>
      <c r="DA416" s="306"/>
      <c r="DB416" s="770"/>
      <c r="DC416" s="770"/>
      <c r="DD416" s="770"/>
      <c r="DE416" s="300"/>
      <c r="DF416" s="770"/>
      <c r="DG416" s="770"/>
      <c r="DH416" s="770"/>
      <c r="DI416" s="770"/>
      <c r="DJ416" s="770"/>
      <c r="DK416" s="770"/>
      <c r="DL416" s="770"/>
      <c r="DM416" s="770"/>
      <c r="DN416" s="322"/>
      <c r="DO416" s="770"/>
      <c r="DP416" s="770"/>
      <c r="DQ416" s="770"/>
      <c r="DR416" s="770"/>
      <c r="DS416" s="307"/>
      <c r="DT416" s="770"/>
      <c r="DU416" s="770"/>
      <c r="DV416" s="770"/>
      <c r="DW416" s="306"/>
      <c r="DX416" s="306"/>
      <c r="DY416" s="770"/>
      <c r="DZ416" s="770"/>
      <c r="EA416" s="770"/>
      <c r="EB416" s="770"/>
      <c r="EC416" s="770"/>
      <c r="ED416" s="770"/>
      <c r="EE416" s="770"/>
      <c r="EF416" s="770"/>
      <c r="EG416" s="770"/>
      <c r="EH416" s="770"/>
      <c r="EI416" s="770"/>
      <c r="EJ416" s="770"/>
      <c r="EK416" s="770"/>
      <c r="EL416" s="770"/>
      <c r="EM416" s="770"/>
      <c r="EN416" s="770"/>
      <c r="EO416" s="770"/>
      <c r="EP416" s="94"/>
      <c r="EQ416" s="770"/>
      <c r="ER416" s="770"/>
      <c r="ES416" s="770"/>
      <c r="ET416" s="770"/>
      <c r="EU416" s="770"/>
      <c r="EV416" s="770"/>
      <c r="EW416" s="770"/>
      <c r="EX416" s="770"/>
      <c r="EY416" s="770"/>
      <c r="EZ416" s="770"/>
      <c r="FA416" s="770"/>
      <c r="FB416" s="770"/>
      <c r="FC416" s="770"/>
      <c r="FD416" s="302"/>
      <c r="FE416" s="770"/>
      <c r="FF416" s="770"/>
      <c r="FG416" s="770"/>
      <c r="FH416" s="770"/>
      <c r="FI416" s="770"/>
      <c r="FJ416" s="770"/>
      <c r="FK416" s="770"/>
      <c r="FL416" s="770"/>
      <c r="FM416" s="302"/>
      <c r="FN416" s="302"/>
      <c r="FO416" s="302"/>
      <c r="FP416" s="770"/>
      <c r="FQ416" s="770"/>
      <c r="FR416" s="770"/>
      <c r="FS416" s="770"/>
      <c r="FT416" s="770"/>
      <c r="FU416" s="770"/>
      <c r="FV416" s="770"/>
      <c r="FW416" s="770"/>
      <c r="FX416" s="770"/>
      <c r="FY416" s="770"/>
      <c r="FZ416" s="770"/>
      <c r="GA416" s="770"/>
      <c r="GB416" s="770"/>
      <c r="GC416" s="308"/>
      <c r="GD416" s="297"/>
      <c r="GE416" s="770"/>
      <c r="GF416" s="302"/>
      <c r="GG416" s="302"/>
      <c r="GH416" s="770"/>
      <c r="GI416" s="770"/>
      <c r="GJ416" s="770"/>
      <c r="GK416" s="770"/>
      <c r="GL416" s="770"/>
      <c r="GM416" s="770"/>
      <c r="GN416" s="309"/>
      <c r="GO416" s="770"/>
      <c r="GP416" s="770"/>
      <c r="GQ416" s="770"/>
      <c r="GR416" s="770"/>
      <c r="GS416" s="770"/>
      <c r="GT416" s="770"/>
      <c r="GU416" s="770"/>
      <c r="GV416" s="770"/>
      <c r="GW416" s="770"/>
      <c r="GX416" s="770"/>
      <c r="GY416" s="770"/>
      <c r="GZ416" s="770"/>
      <c r="HA416" s="770"/>
      <c r="HB416" s="770"/>
      <c r="HC416" s="770"/>
      <c r="HD416" s="770"/>
      <c r="HE416" s="770"/>
      <c r="HF416" s="770"/>
      <c r="HG416" s="770"/>
      <c r="HH416" s="770"/>
      <c r="HI416" s="770"/>
      <c r="HJ416" s="770"/>
      <c r="HK416" s="770"/>
      <c r="HL416" s="770"/>
      <c r="HM416" s="770"/>
      <c r="HN416" s="770"/>
      <c r="HO416" s="770"/>
      <c r="HP416" s="770"/>
      <c r="HQ416" s="770"/>
      <c r="HR416" s="770"/>
      <c r="HS416" s="770"/>
      <c r="HT416" s="770"/>
      <c r="HU416" s="770"/>
      <c r="HV416" s="770"/>
      <c r="HW416" s="770"/>
      <c r="HX416" s="770"/>
      <c r="HY416" s="770"/>
      <c r="HZ416" s="770"/>
      <c r="IA416" s="770"/>
      <c r="IB416" s="14" t="e">
        <f>IF(#REF!&gt;0,IF(#REF!&lt;=10000,"Y",""),"")</f>
        <v>#REF!</v>
      </c>
      <c r="IC416" s="770"/>
      <c r="ID416" s="770"/>
      <c r="IE416" s="770"/>
      <c r="IF416" s="770"/>
      <c r="IG416" s="770"/>
      <c r="IH416" s="770"/>
      <c r="II416" s="770"/>
      <c r="IJ416" s="770"/>
      <c r="IK416" s="770"/>
      <c r="IL416" s="770"/>
      <c r="IM416" s="770"/>
      <c r="IN416" s="770"/>
      <c r="IO416" s="296"/>
      <c r="IP416" s="770"/>
      <c r="IQ416" s="770"/>
      <c r="IR416" s="770"/>
      <c r="IS416" s="770"/>
      <c r="IT416" s="770"/>
      <c r="IU416" s="770"/>
      <c r="IV416" s="770"/>
      <c r="IW416" s="770"/>
      <c r="IX416" s="770"/>
      <c r="IY416" s="770"/>
      <c r="IZ416" s="770"/>
      <c r="JA416" s="770"/>
      <c r="JB416" s="770"/>
      <c r="JC416" s="770"/>
      <c r="JD416" s="302"/>
      <c r="JE416" s="770"/>
      <c r="JF416" s="770"/>
      <c r="JG416" s="770"/>
      <c r="JH416" s="770"/>
      <c r="JI416" s="770"/>
      <c r="JJ416" s="770"/>
      <c r="JK416" s="770"/>
      <c r="JL416" s="770"/>
      <c r="JM416" s="770"/>
      <c r="JN416" s="770"/>
      <c r="JO416" s="770"/>
      <c r="JP416" s="770"/>
      <c r="JQ416" s="770"/>
      <c r="JR416" s="770"/>
      <c r="JS416" s="770"/>
      <c r="JT416" s="766"/>
      <c r="JU416" s="766"/>
      <c r="JV416" s="766"/>
      <c r="JW416" s="766"/>
      <c r="JX416" s="770"/>
      <c r="JY416" s="770"/>
      <c r="JZ416" s="770"/>
      <c r="KA416" s="770"/>
      <c r="KB416" s="770"/>
      <c r="KC416" s="770"/>
      <c r="KD416" s="770"/>
      <c r="KE416" s="770"/>
      <c r="KF416" s="770"/>
      <c r="KG416" s="770"/>
      <c r="KH416" s="770"/>
      <c r="KI416" s="770"/>
      <c r="KJ416" s="770"/>
      <c r="KK416" s="770"/>
      <c r="KL416" s="770"/>
      <c r="KM416" s="770"/>
      <c r="KN416" s="770"/>
      <c r="KO416" s="770"/>
      <c r="KP416" s="770"/>
      <c r="KQ416" s="770"/>
      <c r="KR416" s="770"/>
      <c r="KS416" s="770"/>
      <c r="KT416" s="770"/>
      <c r="KU416" s="770"/>
      <c r="KV416" s="770"/>
      <c r="KW416" s="770"/>
      <c r="KX416" s="770"/>
      <c r="KY416" s="770"/>
      <c r="KZ416" s="770"/>
      <c r="LA416" s="770"/>
      <c r="LB416" s="770"/>
      <c r="LC416" s="770"/>
      <c r="LD416" s="770"/>
      <c r="LE416" s="770"/>
      <c r="LF416" s="770"/>
      <c r="LG416" s="770"/>
      <c r="LH416" s="770"/>
      <c r="LI416" s="770"/>
      <c r="LJ416" s="770"/>
      <c r="LK416" s="770"/>
      <c r="LL416" s="770"/>
      <c r="LM416" s="770"/>
      <c r="LN416" s="766"/>
      <c r="LO416" s="766"/>
      <c r="LP416" s="770"/>
      <c r="LQ416" s="770"/>
      <c r="LR416" s="770"/>
      <c r="LS416" s="770"/>
      <c r="LT416" s="770"/>
      <c r="LU416" s="770"/>
      <c r="LV416" s="770"/>
      <c r="LW416" s="770"/>
      <c r="LX416" s="769"/>
      <c r="LY416" s="766" t="str">
        <f t="shared" si="100"/>
        <v/>
      </c>
      <c r="LZ416" s="299"/>
      <c r="MA416" s="306"/>
      <c r="MB416" s="306"/>
      <c r="MC416" s="1679">
        <f t="shared" si="99"/>
        <v>0</v>
      </c>
      <c r="MD416" s="306"/>
      <c r="ME416" s="306"/>
      <c r="MF416" s="306"/>
      <c r="MG416" s="1680">
        <f t="shared" si="101"/>
        <v>0</v>
      </c>
      <c r="MH416" s="770"/>
      <c r="MI416" s="302"/>
      <c r="MJ416" s="302"/>
      <c r="MK416" s="302"/>
      <c r="ML416" s="302"/>
      <c r="MM416" s="302"/>
      <c r="MN416" s="302"/>
      <c r="MO416" s="302"/>
      <c r="MP416" s="302"/>
      <c r="MQ416" s="302"/>
      <c r="MR416" s="302"/>
      <c r="MS416" s="302"/>
      <c r="MT416" s="302"/>
      <c r="MU416" s="302"/>
      <c r="MV416" s="302"/>
      <c r="MW416" s="302"/>
      <c r="MX416" s="302"/>
      <c r="MY416" s="1682">
        <f t="shared" si="102"/>
        <v>0</v>
      </c>
      <c r="MZ416" s="770"/>
      <c r="NA416" s="770"/>
      <c r="NB416" s="770"/>
      <c r="NC416" s="770"/>
      <c r="ND416" s="770"/>
      <c r="NE416" s="770"/>
      <c r="NF416" s="770"/>
      <c r="NG416" s="770"/>
      <c r="NH416" s="770"/>
      <c r="NI416" s="770"/>
      <c r="NJ416" s="770"/>
      <c r="NK416" s="770"/>
      <c r="NL416" s="770"/>
      <c r="NM416" s="770"/>
      <c r="NN416" s="770"/>
      <c r="NO416" s="770"/>
      <c r="NP416" s="770"/>
      <c r="NQ416" s="770"/>
      <c r="NR416" s="770"/>
      <c r="NS416" s="770"/>
      <c r="NT416" s="770"/>
      <c r="NU416" s="770"/>
      <c r="NV416" s="770"/>
      <c r="NW416" s="770"/>
      <c r="NX416" s="770"/>
      <c r="NY416" s="770"/>
      <c r="NZ416" s="770"/>
      <c r="OA416" s="770"/>
      <c r="OB416" s="770"/>
      <c r="OC416" s="770"/>
      <c r="OD416" s="770"/>
      <c r="OE416" s="770"/>
      <c r="OF416" s="770"/>
      <c r="OG416" s="770"/>
      <c r="OH416" s="770"/>
      <c r="OI416" s="770"/>
      <c r="OJ416" s="770"/>
      <c r="OK416" s="770"/>
      <c r="OL416" s="770"/>
      <c r="OM416" s="770"/>
      <c r="ON416" s="770"/>
      <c r="OO416" s="770"/>
      <c r="OP416" s="770"/>
      <c r="OQ416" s="770"/>
      <c r="OR416" s="770"/>
      <c r="OS416" s="770"/>
      <c r="OT416" s="770"/>
      <c r="OU416" s="770"/>
      <c r="OV416" s="770"/>
      <c r="OW416" s="770"/>
      <c r="OX416" s="770"/>
      <c r="OY416" s="770"/>
      <c r="OZ416" s="770"/>
      <c r="PA416" s="770"/>
      <c r="PB416" s="770"/>
      <c r="PC416" s="770"/>
      <c r="PD416" s="770"/>
      <c r="PE416" s="770"/>
      <c r="PF416" s="770"/>
      <c r="PG416" s="770"/>
      <c r="PH416" s="770"/>
      <c r="PI416" s="770"/>
      <c r="PJ416" s="770"/>
      <c r="PK416" s="770"/>
      <c r="PL416" s="770"/>
      <c r="PM416" s="770"/>
      <c r="PN416" s="770"/>
      <c r="PO416" s="770"/>
      <c r="PP416" s="770"/>
      <c r="PQ416" s="770"/>
      <c r="PR416" s="770"/>
      <c r="PS416" s="770"/>
      <c r="PT416" s="770"/>
      <c r="PU416" s="770"/>
      <c r="PV416" s="770"/>
      <c r="PW416" s="770"/>
      <c r="PX416" s="770"/>
      <c r="PY416" s="770"/>
      <c r="PZ416" s="770"/>
      <c r="QA416" s="770"/>
      <c r="QB416" s="770"/>
      <c r="QC416" s="770"/>
      <c r="QD416" s="770"/>
      <c r="QE416" s="770"/>
      <c r="QF416" s="770"/>
      <c r="QG416" s="770"/>
      <c r="QH416" s="770"/>
      <c r="QI416" s="770"/>
      <c r="QJ416" s="770"/>
      <c r="QK416" s="770"/>
      <c r="QL416" s="770"/>
      <c r="QM416" s="770"/>
      <c r="QN416" s="770"/>
      <c r="QO416" s="770"/>
      <c r="QP416" s="770"/>
      <c r="QQ416" s="770"/>
      <c r="QR416" s="770"/>
      <c r="QS416" s="770"/>
      <c r="QT416" s="770"/>
      <c r="QU416" s="770"/>
      <c r="QV416" s="770"/>
      <c r="QW416" s="770"/>
      <c r="QX416" s="770"/>
      <c r="QY416" s="770"/>
      <c r="QZ416" s="770"/>
      <c r="RA416" s="770"/>
      <c r="RB416" s="770"/>
      <c r="RC416" s="770"/>
      <c r="RD416" s="770"/>
      <c r="RE416" s="770"/>
      <c r="RF416" s="304"/>
      <c r="RG416" s="770"/>
      <c r="RH416" s="302"/>
      <c r="RI416" s="770"/>
      <c r="RJ416" s="770"/>
      <c r="RK416" s="770"/>
      <c r="RL416" s="1710"/>
      <c r="RM416" s="12"/>
      <c r="RN416" s="1711"/>
      <c r="RO416" s="140" t="s">
        <v>688</v>
      </c>
      <c r="RP416" s="11"/>
      <c r="RQ416" s="11"/>
      <c r="RR416" s="17"/>
      <c r="RS416" s="767"/>
      <c r="RT416" s="11"/>
      <c r="RU416" s="11"/>
      <c r="RV416" s="771" t="s">
        <v>7419</v>
      </c>
      <c r="RW416" s="11" t="s">
        <v>7672</v>
      </c>
      <c r="RX416" s="11" t="s">
        <v>688</v>
      </c>
      <c r="RY416" s="11"/>
      <c r="RZ416" s="11"/>
      <c r="SA416" s="771"/>
      <c r="SB416" s="11"/>
      <c r="SC416" s="11"/>
    </row>
    <row r="417" spans="1:497" ht="12.75" hidden="1" customHeight="1">
      <c r="A417" s="343" t="s">
        <v>14197</v>
      </c>
      <c r="B417" s="750" t="s">
        <v>7673</v>
      </c>
      <c r="C417" s="140" t="s">
        <v>688</v>
      </c>
      <c r="D417" s="770" t="s">
        <v>689</v>
      </c>
      <c r="E417" s="770" t="s">
        <v>5815</v>
      </c>
      <c r="F417" s="770"/>
      <c r="G417" s="770"/>
      <c r="H417" s="770"/>
      <c r="I417" s="295"/>
      <c r="J417" s="94"/>
      <c r="K417" s="770"/>
      <c r="L417" s="770"/>
      <c r="M417" s="770"/>
      <c r="N417" s="770" t="s">
        <v>5744</v>
      </c>
      <c r="O417" s="770"/>
      <c r="P417" s="770"/>
      <c r="Q417" s="1088"/>
      <c r="R417" s="297"/>
      <c r="S417" s="770"/>
      <c r="T417" s="770"/>
      <c r="U417" s="298"/>
      <c r="V417" s="770"/>
      <c r="W417" s="770"/>
      <c r="X417" s="296"/>
      <c r="Y417" s="770"/>
      <c r="Z417" s="770"/>
      <c r="AA417" s="770"/>
      <c r="AB417" s="770"/>
      <c r="AC417" s="770"/>
      <c r="AD417" s="770"/>
      <c r="AE417" s="770"/>
      <c r="AF417" s="770"/>
      <c r="AG417" s="770"/>
      <c r="AH417" s="770"/>
      <c r="AI417" s="770"/>
      <c r="AJ417" s="770"/>
      <c r="AK417" s="770" t="s">
        <v>1097</v>
      </c>
      <c r="AL417" s="299"/>
      <c r="AM417" s="300"/>
      <c r="AN417" s="301"/>
      <c r="AO417" s="766"/>
      <c r="AP417" s="766"/>
      <c r="AQ417" s="766"/>
      <c r="AR417" s="766"/>
      <c r="AS417" s="770"/>
      <c r="AT417" s="770"/>
      <c r="AU417" s="770"/>
      <c r="AV417" s="770"/>
      <c r="AW417" s="770"/>
      <c r="AX417" s="770"/>
      <c r="AY417" s="770"/>
      <c r="AZ417" s="770"/>
      <c r="BA417" s="770"/>
      <c r="BB417" s="770"/>
      <c r="BC417" s="770"/>
      <c r="BD417" s="770"/>
      <c r="BE417" s="770"/>
      <c r="BF417" s="302"/>
      <c r="BG417" s="302"/>
      <c r="BH417" s="770"/>
      <c r="BI417" s="770"/>
      <c r="BJ417" s="770"/>
      <c r="BK417" s="14"/>
      <c r="BL417" s="770"/>
      <c r="BM417" s="770"/>
      <c r="BN417" s="770"/>
      <c r="BO417" s="770"/>
      <c r="BP417" s="780"/>
      <c r="BQ417" s="772"/>
      <c r="BR417" s="774"/>
      <c r="BS417" s="766"/>
      <c r="BT417" s="766"/>
      <c r="BU417" s="770"/>
      <c r="BV417" s="770"/>
      <c r="BW417" s="770"/>
      <c r="BX417" s="302"/>
      <c r="BY417" s="303"/>
      <c r="BZ417" s="770"/>
      <c r="CA417" s="302"/>
      <c r="CB417" s="302" t="s">
        <v>1207</v>
      </c>
      <c r="CC417" s="770" t="s">
        <v>689</v>
      </c>
      <c r="CD417" s="770"/>
      <c r="CE417" s="770"/>
      <c r="CF417" s="304">
        <v>1</v>
      </c>
      <c r="CG417" s="321">
        <v>13</v>
      </c>
      <c r="CH417" s="770" t="s">
        <v>5748</v>
      </c>
      <c r="CI417" s="770"/>
      <c r="CJ417" s="770"/>
      <c r="CK417" s="770"/>
      <c r="CL417" s="770" t="s">
        <v>1240</v>
      </c>
      <c r="CM417" s="770" t="s">
        <v>5650</v>
      </c>
      <c r="CN417" s="770"/>
      <c r="CO417" s="770"/>
      <c r="CP417" s="770"/>
      <c r="CQ417" s="770"/>
      <c r="CR417" s="770"/>
      <c r="CS417" s="302"/>
      <c r="CT417" s="770"/>
      <c r="CU417" s="305"/>
      <c r="CV417" s="770"/>
      <c r="CW417" s="770"/>
      <c r="CX417" s="770"/>
      <c r="CY417" s="770"/>
      <c r="CZ417" s="770"/>
      <c r="DA417" s="306"/>
      <c r="DB417" s="770"/>
      <c r="DC417" s="770"/>
      <c r="DD417" s="770"/>
      <c r="DE417" s="300"/>
      <c r="DF417" s="770"/>
      <c r="DG417" s="770"/>
      <c r="DH417" s="770"/>
      <c r="DI417" s="770"/>
      <c r="DJ417" s="770"/>
      <c r="DK417" s="770"/>
      <c r="DL417" s="770"/>
      <c r="DM417" s="770"/>
      <c r="DN417" s="322"/>
      <c r="DO417" s="770"/>
      <c r="DP417" s="770"/>
      <c r="DQ417" s="770"/>
      <c r="DR417" s="770"/>
      <c r="DS417" s="307"/>
      <c r="DT417" s="770"/>
      <c r="DU417" s="770"/>
      <c r="DV417" s="770"/>
      <c r="DW417" s="306"/>
      <c r="DX417" s="306"/>
      <c r="DY417" s="770"/>
      <c r="DZ417" s="770"/>
      <c r="EA417" s="770"/>
      <c r="EB417" s="770"/>
      <c r="EC417" s="770"/>
      <c r="ED417" s="770"/>
      <c r="EE417" s="770"/>
      <c r="EF417" s="770"/>
      <c r="EG417" s="770"/>
      <c r="EH417" s="770"/>
      <c r="EI417" s="770"/>
      <c r="EJ417" s="770"/>
      <c r="EK417" s="770"/>
      <c r="EL417" s="770"/>
      <c r="EM417" s="770"/>
      <c r="EN417" s="770"/>
      <c r="EO417" s="770"/>
      <c r="EP417" s="94"/>
      <c r="EQ417" s="770"/>
      <c r="ER417" s="770"/>
      <c r="ES417" s="770"/>
      <c r="ET417" s="770"/>
      <c r="EU417" s="770"/>
      <c r="EV417" s="770"/>
      <c r="EW417" s="770"/>
      <c r="EX417" s="770"/>
      <c r="EY417" s="770"/>
      <c r="EZ417" s="770"/>
      <c r="FA417" s="770"/>
      <c r="FB417" s="770"/>
      <c r="FC417" s="770"/>
      <c r="FD417" s="302"/>
      <c r="FE417" s="770"/>
      <c r="FF417" s="770"/>
      <c r="FG417" s="770"/>
      <c r="FH417" s="770"/>
      <c r="FI417" s="770"/>
      <c r="FJ417" s="770"/>
      <c r="FK417" s="770"/>
      <c r="FL417" s="770"/>
      <c r="FM417" s="302"/>
      <c r="FN417" s="302"/>
      <c r="FO417" s="302"/>
      <c r="FP417" s="770"/>
      <c r="FQ417" s="770"/>
      <c r="FR417" s="770"/>
      <c r="FS417" s="770"/>
      <c r="FT417" s="770"/>
      <c r="FU417" s="770"/>
      <c r="FV417" s="770"/>
      <c r="FW417" s="770"/>
      <c r="FX417" s="770"/>
      <c r="FY417" s="770"/>
      <c r="FZ417" s="770"/>
      <c r="GA417" s="770"/>
      <c r="GB417" s="770"/>
      <c r="GC417" s="308"/>
      <c r="GD417" s="297"/>
      <c r="GE417" s="770"/>
      <c r="GF417" s="302"/>
      <c r="GG417" s="302"/>
      <c r="GH417" s="770"/>
      <c r="GI417" s="770"/>
      <c r="GJ417" s="770"/>
      <c r="GK417" s="770"/>
      <c r="GL417" s="770"/>
      <c r="GM417" s="770"/>
      <c r="GN417" s="309"/>
      <c r="GO417" s="770"/>
      <c r="GP417" s="770"/>
      <c r="GQ417" s="770"/>
      <c r="GR417" s="770"/>
      <c r="GS417" s="770"/>
      <c r="GT417" s="770"/>
      <c r="GU417" s="770"/>
      <c r="GV417" s="770"/>
      <c r="GW417" s="770"/>
      <c r="GX417" s="770"/>
      <c r="GY417" s="770"/>
      <c r="GZ417" s="770"/>
      <c r="HA417" s="770"/>
      <c r="HB417" s="770"/>
      <c r="HC417" s="770"/>
      <c r="HD417" s="770"/>
      <c r="HE417" s="770"/>
      <c r="HF417" s="770"/>
      <c r="HG417" s="770"/>
      <c r="HH417" s="770"/>
      <c r="HI417" s="770"/>
      <c r="HJ417" s="770"/>
      <c r="HK417" s="770"/>
      <c r="HL417" s="770"/>
      <c r="HM417" s="770"/>
      <c r="HN417" s="770"/>
      <c r="HO417" s="770"/>
      <c r="HP417" s="770"/>
      <c r="HQ417" s="770"/>
      <c r="HR417" s="770"/>
      <c r="HS417" s="770"/>
      <c r="HT417" s="770"/>
      <c r="HU417" s="770"/>
      <c r="HV417" s="770"/>
      <c r="HW417" s="770"/>
      <c r="HX417" s="770"/>
      <c r="HY417" s="770"/>
      <c r="HZ417" s="770"/>
      <c r="IA417" s="770"/>
      <c r="IB417" s="14" t="e">
        <f>IF(#REF!&gt;0,IF(#REF!&lt;=10000,"Y",""),"")</f>
        <v>#REF!</v>
      </c>
      <c r="IC417" s="770"/>
      <c r="ID417" s="770"/>
      <c r="IE417" s="770"/>
      <c r="IF417" s="770"/>
      <c r="IG417" s="770"/>
      <c r="IH417" s="770"/>
      <c r="II417" s="770"/>
      <c r="IJ417" s="770"/>
      <c r="IK417" s="770"/>
      <c r="IL417" s="770"/>
      <c r="IM417" s="770"/>
      <c r="IN417" s="770"/>
      <c r="IO417" s="296"/>
      <c r="IP417" s="770"/>
      <c r="IQ417" s="770"/>
      <c r="IR417" s="770"/>
      <c r="IS417" s="770"/>
      <c r="IT417" s="770"/>
      <c r="IU417" s="770"/>
      <c r="IV417" s="770"/>
      <c r="IW417" s="770"/>
      <c r="IX417" s="770"/>
      <c r="IY417" s="770"/>
      <c r="IZ417" s="770"/>
      <c r="JA417" s="770"/>
      <c r="JB417" s="770"/>
      <c r="JC417" s="770"/>
      <c r="JD417" s="302"/>
      <c r="JE417" s="770"/>
      <c r="JF417" s="770"/>
      <c r="JG417" s="770"/>
      <c r="JH417" s="770"/>
      <c r="JI417" s="770"/>
      <c r="JJ417" s="770"/>
      <c r="JK417" s="770"/>
      <c r="JL417" s="770"/>
      <c r="JM417" s="770"/>
      <c r="JN417" s="770"/>
      <c r="JO417" s="770"/>
      <c r="JP417" s="770"/>
      <c r="JQ417" s="770"/>
      <c r="JR417" s="770"/>
      <c r="JS417" s="770"/>
      <c r="JT417" s="766"/>
      <c r="JU417" s="766"/>
      <c r="JV417" s="766"/>
      <c r="JW417" s="766"/>
      <c r="JX417" s="770"/>
      <c r="JY417" s="770"/>
      <c r="JZ417" s="770"/>
      <c r="KA417" s="770"/>
      <c r="KB417" s="770"/>
      <c r="KC417" s="770"/>
      <c r="KD417" s="770"/>
      <c r="KE417" s="770"/>
      <c r="KF417" s="770"/>
      <c r="KG417" s="770"/>
      <c r="KH417" s="770"/>
      <c r="KI417" s="770"/>
      <c r="KJ417" s="770"/>
      <c r="KK417" s="770"/>
      <c r="KL417" s="770"/>
      <c r="KM417" s="770"/>
      <c r="KN417" s="770"/>
      <c r="KO417" s="770"/>
      <c r="KP417" s="770"/>
      <c r="KQ417" s="770"/>
      <c r="KR417" s="770"/>
      <c r="KS417" s="770"/>
      <c r="KT417" s="770"/>
      <c r="KU417" s="770"/>
      <c r="KV417" s="770"/>
      <c r="KW417" s="770"/>
      <c r="KX417" s="770"/>
      <c r="KY417" s="770"/>
      <c r="KZ417" s="770"/>
      <c r="LA417" s="770"/>
      <c r="LB417" s="770"/>
      <c r="LC417" s="770"/>
      <c r="LD417" s="770"/>
      <c r="LE417" s="770"/>
      <c r="LF417" s="770"/>
      <c r="LG417" s="770"/>
      <c r="LH417" s="770"/>
      <c r="LI417" s="770"/>
      <c r="LJ417" s="770"/>
      <c r="LK417" s="770"/>
      <c r="LL417" s="770"/>
      <c r="LM417" s="770"/>
      <c r="LN417" s="766"/>
      <c r="LO417" s="766"/>
      <c r="LP417" s="770"/>
      <c r="LQ417" s="770"/>
      <c r="LR417" s="770"/>
      <c r="LS417" s="770"/>
      <c r="LT417" s="770"/>
      <c r="LU417" s="770"/>
      <c r="LV417" s="770"/>
      <c r="LW417" s="770"/>
      <c r="LX417" s="769"/>
      <c r="LY417" s="766" t="str">
        <f t="shared" si="100"/>
        <v/>
      </c>
      <c r="LZ417" s="299"/>
      <c r="MA417" s="306"/>
      <c r="MB417" s="306"/>
      <c r="MC417" s="1679">
        <f t="shared" si="99"/>
        <v>0</v>
      </c>
      <c r="MD417" s="306"/>
      <c r="ME417" s="306"/>
      <c r="MF417" s="306"/>
      <c r="MG417" s="1680">
        <f t="shared" si="101"/>
        <v>0</v>
      </c>
      <c r="MH417" s="770"/>
      <c r="MI417" s="302"/>
      <c r="MJ417" s="302"/>
      <c r="MK417" s="302"/>
      <c r="ML417" s="302"/>
      <c r="MM417" s="302"/>
      <c r="MN417" s="302"/>
      <c r="MO417" s="302"/>
      <c r="MP417" s="302"/>
      <c r="MQ417" s="302"/>
      <c r="MR417" s="302"/>
      <c r="MS417" s="302"/>
      <c r="MT417" s="302"/>
      <c r="MU417" s="302"/>
      <c r="MV417" s="302"/>
      <c r="MW417" s="302"/>
      <c r="MX417" s="302"/>
      <c r="MY417" s="1682">
        <f t="shared" si="102"/>
        <v>0</v>
      </c>
      <c r="MZ417" s="770"/>
      <c r="NA417" s="770"/>
      <c r="NB417" s="770"/>
      <c r="NC417" s="770"/>
      <c r="ND417" s="770"/>
      <c r="NE417" s="770"/>
      <c r="NF417" s="770"/>
      <c r="NG417" s="770"/>
      <c r="NH417" s="770"/>
      <c r="NI417" s="770"/>
      <c r="NJ417" s="770"/>
      <c r="NK417" s="770"/>
      <c r="NL417" s="770"/>
      <c r="NM417" s="770"/>
      <c r="NN417" s="770"/>
      <c r="NO417" s="770"/>
      <c r="NP417" s="770"/>
      <c r="NQ417" s="770"/>
      <c r="NR417" s="770"/>
      <c r="NS417" s="770"/>
      <c r="NT417" s="770"/>
      <c r="NU417" s="770"/>
      <c r="NV417" s="770"/>
      <c r="NW417" s="770"/>
      <c r="NX417" s="770"/>
      <c r="NY417" s="770"/>
      <c r="NZ417" s="770"/>
      <c r="OA417" s="770"/>
      <c r="OB417" s="770"/>
      <c r="OC417" s="770"/>
      <c r="OD417" s="770"/>
      <c r="OE417" s="770"/>
      <c r="OF417" s="770"/>
      <c r="OG417" s="770"/>
      <c r="OH417" s="770"/>
      <c r="OI417" s="770"/>
      <c r="OJ417" s="770"/>
      <c r="OK417" s="770"/>
      <c r="OL417" s="770"/>
      <c r="OM417" s="770"/>
      <c r="ON417" s="770"/>
      <c r="OO417" s="770"/>
      <c r="OP417" s="770"/>
      <c r="OQ417" s="770"/>
      <c r="OR417" s="770"/>
      <c r="OS417" s="770"/>
      <c r="OT417" s="770"/>
      <c r="OU417" s="770"/>
      <c r="OV417" s="770"/>
      <c r="OW417" s="770"/>
      <c r="OX417" s="770"/>
      <c r="OY417" s="770"/>
      <c r="OZ417" s="770"/>
      <c r="PA417" s="770"/>
      <c r="PB417" s="770"/>
      <c r="PC417" s="770"/>
      <c r="PD417" s="770"/>
      <c r="PE417" s="770"/>
      <c r="PF417" s="770"/>
      <c r="PG417" s="770"/>
      <c r="PH417" s="770"/>
      <c r="PI417" s="770"/>
      <c r="PJ417" s="770"/>
      <c r="PK417" s="770"/>
      <c r="PL417" s="770"/>
      <c r="PM417" s="770"/>
      <c r="PN417" s="770"/>
      <c r="PO417" s="770"/>
      <c r="PP417" s="770"/>
      <c r="PQ417" s="770"/>
      <c r="PR417" s="770"/>
      <c r="PS417" s="770"/>
      <c r="PT417" s="770"/>
      <c r="PU417" s="770"/>
      <c r="PV417" s="770"/>
      <c r="PW417" s="770"/>
      <c r="PX417" s="770"/>
      <c r="PY417" s="770"/>
      <c r="PZ417" s="770"/>
      <c r="QA417" s="770"/>
      <c r="QB417" s="770"/>
      <c r="QC417" s="770"/>
      <c r="QD417" s="770"/>
      <c r="QE417" s="770"/>
      <c r="QF417" s="770"/>
      <c r="QG417" s="770"/>
      <c r="QH417" s="770"/>
      <c r="QI417" s="770"/>
      <c r="QJ417" s="770"/>
      <c r="QK417" s="770"/>
      <c r="QL417" s="770"/>
      <c r="QM417" s="770"/>
      <c r="QN417" s="770"/>
      <c r="QO417" s="770"/>
      <c r="QP417" s="770"/>
      <c r="QQ417" s="770"/>
      <c r="QR417" s="770"/>
      <c r="QS417" s="770"/>
      <c r="QT417" s="770"/>
      <c r="QU417" s="770"/>
      <c r="QV417" s="770"/>
      <c r="QW417" s="770"/>
      <c r="QX417" s="770"/>
      <c r="QY417" s="770"/>
      <c r="QZ417" s="770"/>
      <c r="RA417" s="770"/>
      <c r="RB417" s="770"/>
      <c r="RC417" s="770"/>
      <c r="RD417" s="770"/>
      <c r="RE417" s="770"/>
      <c r="RF417" s="304"/>
      <c r="RG417" s="770"/>
      <c r="RH417" s="302"/>
      <c r="RI417" s="770"/>
      <c r="RJ417" s="770"/>
      <c r="RK417" s="770"/>
      <c r="RL417" s="1710"/>
      <c r="RM417" s="12"/>
      <c r="RN417" s="1711"/>
      <c r="RO417" s="140" t="s">
        <v>688</v>
      </c>
      <c r="RP417" s="11"/>
      <c r="RQ417" s="11"/>
      <c r="RR417" s="17"/>
      <c r="RS417" s="767"/>
      <c r="RT417" s="11"/>
      <c r="RU417" s="11"/>
      <c r="RV417" s="771" t="s">
        <v>8103</v>
      </c>
      <c r="RW417" s="11" t="s">
        <v>7673</v>
      </c>
      <c r="RX417" s="11" t="s">
        <v>688</v>
      </c>
      <c r="RY417" s="11"/>
      <c r="RZ417" s="11"/>
      <c r="SA417" s="771"/>
      <c r="SB417" s="11"/>
      <c r="SC417" s="11"/>
    </row>
    <row r="418" spans="1:497" ht="12.75" hidden="1" customHeight="1">
      <c r="A418" s="19" t="s">
        <v>7419</v>
      </c>
      <c r="B418" s="874" t="s">
        <v>7675</v>
      </c>
      <c r="C418" s="514" t="s">
        <v>2250</v>
      </c>
      <c r="D418" s="1714" t="s">
        <v>2251</v>
      </c>
      <c r="E418" s="6" t="s">
        <v>11910</v>
      </c>
      <c r="F418" s="1019"/>
      <c r="G418" s="1019"/>
      <c r="H418" s="1019"/>
      <c r="I418" s="1812"/>
      <c r="J418" s="1714"/>
      <c r="K418" s="6" t="s">
        <v>2252</v>
      </c>
      <c r="L418" s="6" t="s">
        <v>2253</v>
      </c>
      <c r="M418" s="1019" t="s">
        <v>1238</v>
      </c>
      <c r="N418" s="1019" t="s">
        <v>11638</v>
      </c>
      <c r="O418" s="1019" t="s">
        <v>11639</v>
      </c>
      <c r="P418" s="1019"/>
      <c r="Q418" s="1805"/>
      <c r="R418" s="1718"/>
      <c r="S418" s="1019"/>
      <c r="T418" s="1019"/>
      <c r="U418" s="1825"/>
      <c r="V418" s="1019"/>
      <c r="W418" s="1825"/>
      <c r="X418" s="1805"/>
      <c r="Y418" s="1019"/>
      <c r="Z418" s="1019"/>
      <c r="AA418" s="1019"/>
      <c r="AB418" s="1019"/>
      <c r="AC418" s="1019"/>
      <c r="AD418" s="1019"/>
      <c r="AE418" s="1019"/>
      <c r="AF418" s="1019"/>
      <c r="AG418" s="1019" t="s">
        <v>1132</v>
      </c>
      <c r="AH418" s="766" t="s">
        <v>1120</v>
      </c>
      <c r="AI418" s="1019"/>
      <c r="AJ418" s="1019" t="s">
        <v>1137</v>
      </c>
      <c r="AK418" s="1019" t="s">
        <v>1097</v>
      </c>
      <c r="AL418" s="1770">
        <v>12987</v>
      </c>
      <c r="AM418" s="1108">
        <v>814.37</v>
      </c>
      <c r="AN418" s="1078">
        <f t="shared" ref="AN418:AN423" si="108">AM418/AL418</f>
        <v>6.2706552706552704E-2</v>
      </c>
      <c r="AO418" s="6" t="s">
        <v>1098</v>
      </c>
      <c r="AP418" s="6" t="s">
        <v>1137</v>
      </c>
      <c r="AQ418" s="6"/>
      <c r="AR418" s="6"/>
      <c r="AS418" s="1019"/>
      <c r="AT418" s="1019"/>
      <c r="AU418" s="1019"/>
      <c r="AV418" s="1019"/>
      <c r="AW418" s="1019"/>
      <c r="AX418" s="1019"/>
      <c r="AY418" s="1019"/>
      <c r="AZ418" s="1019"/>
      <c r="BA418" s="1019"/>
      <c r="BB418" s="1019"/>
      <c r="BC418" s="1019"/>
      <c r="BD418" s="1019"/>
      <c r="BE418" s="1019"/>
      <c r="BF418" s="1027"/>
      <c r="BG418" s="1027"/>
      <c r="BH418" s="1019"/>
      <c r="BI418" s="1019"/>
      <c r="BJ418" s="1019"/>
      <c r="BK418" s="1019" t="s">
        <v>1099</v>
      </c>
      <c r="BL418" s="1019" t="s">
        <v>1137</v>
      </c>
      <c r="BM418" s="1019" t="s">
        <v>1119</v>
      </c>
      <c r="BN418" s="1019" t="s">
        <v>1230</v>
      </c>
      <c r="BO418" s="1019" t="s">
        <v>1246</v>
      </c>
      <c r="BP418" s="1033">
        <v>12987</v>
      </c>
      <c r="BQ418" s="46">
        <v>814.37</v>
      </c>
      <c r="BR418" s="47">
        <f t="shared" ref="BR418:BR423" si="109">BQ418/BP418</f>
        <v>6.2706552706552704E-2</v>
      </c>
      <c r="BS418" s="6" t="s">
        <v>1242</v>
      </c>
      <c r="BT418" s="6" t="s">
        <v>2254</v>
      </c>
      <c r="BU418" s="1019" t="s">
        <v>1241</v>
      </c>
      <c r="BV418" s="1019" t="s">
        <v>11640</v>
      </c>
      <c r="BW418" s="1019"/>
      <c r="BX418" s="1027"/>
      <c r="BY418" s="1019"/>
      <c r="BZ418" s="1027"/>
      <c r="CA418" s="1019"/>
      <c r="CB418" s="770"/>
      <c r="CC418" s="770"/>
      <c r="CD418" s="770"/>
      <c r="CE418" s="770"/>
      <c r="CF418" s="1753"/>
      <c r="CG418" s="1754"/>
      <c r="CH418" s="770"/>
      <c r="CI418" s="770"/>
      <c r="CJ418" s="770"/>
      <c r="CK418" s="770"/>
      <c r="CL418" s="770"/>
      <c r="CM418" s="770"/>
      <c r="CN418" s="770"/>
      <c r="CO418" s="770"/>
      <c r="CP418" s="770"/>
      <c r="CQ418" s="770"/>
      <c r="CR418" s="302"/>
      <c r="CS418" s="770"/>
      <c r="CT418" s="770"/>
      <c r="CU418" s="305"/>
      <c r="CV418" s="770"/>
      <c r="CW418" s="770"/>
      <c r="CX418" s="770"/>
      <c r="CY418" s="770"/>
      <c r="CZ418" s="770"/>
      <c r="DA418" s="306"/>
      <c r="DB418" s="770"/>
      <c r="DC418" s="770"/>
      <c r="DD418" s="770"/>
      <c r="DE418" s="300"/>
      <c r="DF418" s="770"/>
      <c r="DG418" s="770"/>
      <c r="DH418" s="770"/>
      <c r="DI418" s="770"/>
      <c r="DJ418" s="770"/>
      <c r="DK418" s="770"/>
      <c r="DL418" s="770"/>
      <c r="DM418" s="770"/>
      <c r="DN418" s="322"/>
      <c r="DO418" s="770"/>
      <c r="DP418" s="770"/>
      <c r="DQ418" s="770"/>
      <c r="DR418" s="770"/>
      <c r="DS418" s="307"/>
      <c r="DT418" s="770"/>
      <c r="DU418" s="770"/>
      <c r="DV418" s="770"/>
      <c r="DW418" s="306"/>
      <c r="DX418" s="306"/>
      <c r="DY418" s="770"/>
      <c r="DZ418" s="770"/>
      <c r="EA418" s="770"/>
      <c r="EB418" s="770"/>
      <c r="EC418" s="770"/>
      <c r="ED418" s="770"/>
      <c r="EE418" s="770"/>
      <c r="EF418" s="770"/>
      <c r="EG418" s="770"/>
      <c r="EH418" s="770"/>
      <c r="EI418" s="770"/>
      <c r="EJ418" s="770"/>
      <c r="EK418" s="770"/>
      <c r="EL418" s="770"/>
      <c r="EM418" s="770"/>
      <c r="EN418" s="770"/>
      <c r="EO418" s="770"/>
      <c r="EP418" s="94"/>
      <c r="EQ418" s="770"/>
      <c r="ER418" s="770"/>
      <c r="ES418" s="770"/>
      <c r="ET418" s="770"/>
      <c r="EU418" s="770"/>
      <c r="EV418" s="770"/>
      <c r="EW418" s="770"/>
      <c r="EX418" s="770"/>
      <c r="EY418" s="770"/>
      <c r="EZ418" s="770"/>
      <c r="FA418" s="770"/>
      <c r="FB418" s="770"/>
      <c r="FC418" s="770"/>
      <c r="FD418" s="302"/>
      <c r="FE418" s="770"/>
      <c r="FF418" s="770"/>
      <c r="FG418" s="770"/>
      <c r="FH418" s="770"/>
      <c r="FI418" s="770"/>
      <c r="FJ418" s="770"/>
      <c r="FK418" s="770"/>
      <c r="FL418" s="770"/>
      <c r="FM418" s="302"/>
      <c r="FN418" s="302"/>
      <c r="FO418" s="302"/>
      <c r="FP418" s="770" t="s">
        <v>1600</v>
      </c>
      <c r="FQ418" s="770" t="s">
        <v>1635</v>
      </c>
      <c r="FR418" s="770" t="s">
        <v>1207</v>
      </c>
      <c r="FS418" s="770"/>
      <c r="FT418" s="770"/>
      <c r="FU418" s="770"/>
      <c r="FV418" s="770"/>
      <c r="FW418" s="770"/>
      <c r="FX418" s="770" t="s">
        <v>1208</v>
      </c>
      <c r="FY418" s="770"/>
      <c r="FZ418" s="770"/>
      <c r="GA418" s="770"/>
      <c r="GB418" s="770"/>
      <c r="GC418" s="308" t="s">
        <v>1137</v>
      </c>
      <c r="GD418" s="297"/>
      <c r="GE418" s="770" t="s">
        <v>1214</v>
      </c>
      <c r="GF418" s="302"/>
      <c r="GG418" s="302"/>
      <c r="GH418" s="770"/>
      <c r="GI418" s="770"/>
      <c r="GJ418" s="770"/>
      <c r="GK418" s="770"/>
      <c r="GL418" s="770"/>
      <c r="GM418" s="770"/>
      <c r="GN418" s="299"/>
      <c r="GO418" s="770"/>
      <c r="GP418" s="770"/>
      <c r="GQ418" s="770"/>
      <c r="GR418" s="770"/>
      <c r="GS418" s="770"/>
      <c r="GT418" s="770"/>
      <c r="GU418" s="770"/>
      <c r="GV418" s="770"/>
      <c r="GW418" s="770"/>
      <c r="GX418" s="770"/>
      <c r="GY418" s="770"/>
      <c r="GZ418" s="770"/>
      <c r="HA418" s="770"/>
      <c r="HB418" s="770"/>
      <c r="HC418" s="770"/>
      <c r="HD418" s="770"/>
      <c r="HE418" s="770"/>
      <c r="HF418" s="770"/>
      <c r="HG418" s="770"/>
      <c r="HH418" s="770"/>
      <c r="HI418" s="770"/>
      <c r="HJ418" s="770"/>
      <c r="HK418" s="770"/>
      <c r="HL418" s="770"/>
      <c r="HM418" s="770"/>
      <c r="HN418" s="770"/>
      <c r="HO418" s="770"/>
      <c r="HP418" s="770"/>
      <c r="HQ418" s="770"/>
      <c r="HR418" s="770"/>
      <c r="HS418" s="770"/>
      <c r="HT418" s="770"/>
      <c r="HU418" s="770"/>
      <c r="HV418" s="770"/>
      <c r="HW418" s="770"/>
      <c r="HX418" s="770"/>
      <c r="HY418" s="770"/>
      <c r="HZ418" s="770"/>
      <c r="IA418" s="770"/>
      <c r="IB418" s="770"/>
      <c r="IC418" s="770"/>
      <c r="ID418" s="770"/>
      <c r="IE418" s="770"/>
      <c r="IF418" s="770" t="s">
        <v>2251</v>
      </c>
      <c r="IG418" s="770" t="s">
        <v>10</v>
      </c>
      <c r="IH418" s="770" t="s">
        <v>2266</v>
      </c>
      <c r="II418" s="770" t="s">
        <v>2259</v>
      </c>
      <c r="IJ418" s="770" t="s">
        <v>2258</v>
      </c>
      <c r="IK418" s="770" t="s">
        <v>1948</v>
      </c>
      <c r="IL418" s="770" t="s">
        <v>1137</v>
      </c>
      <c r="IM418" s="770"/>
      <c r="IN418" s="770" t="s">
        <v>1137</v>
      </c>
      <c r="IO418" s="296"/>
      <c r="IP418" s="770" t="s">
        <v>478</v>
      </c>
      <c r="IQ418" s="769" t="s">
        <v>2260</v>
      </c>
      <c r="IR418" s="770" t="s">
        <v>1977</v>
      </c>
      <c r="IS418" s="770" t="s">
        <v>2261</v>
      </c>
      <c r="IT418" s="770" t="s">
        <v>1208</v>
      </c>
      <c r="IU418" s="770"/>
      <c r="IV418" s="770"/>
      <c r="IW418" s="770"/>
      <c r="IX418" s="770"/>
      <c r="IY418" s="770"/>
      <c r="IZ418" s="770"/>
      <c r="JA418" s="770"/>
      <c r="JB418" s="770"/>
      <c r="JC418" s="770"/>
      <c r="JD418" s="302"/>
      <c r="JE418" s="770"/>
      <c r="JF418" s="770"/>
      <c r="JG418" s="770"/>
      <c r="JH418" s="307"/>
      <c r="JI418" s="307"/>
      <c r="JJ418" s="770"/>
      <c r="JK418" s="770"/>
      <c r="JL418" s="770"/>
      <c r="JM418" s="770"/>
      <c r="JN418" s="770"/>
      <c r="JO418" s="770"/>
      <c r="JP418" s="770"/>
      <c r="JQ418" s="770"/>
      <c r="JR418" s="770"/>
      <c r="JS418" s="770"/>
      <c r="JT418" s="766"/>
      <c r="JU418" s="766"/>
      <c r="JV418" s="766"/>
      <c r="JW418" s="766"/>
      <c r="JX418" s="770"/>
      <c r="JY418" s="770"/>
      <c r="JZ418" s="770"/>
      <c r="KA418" s="770"/>
      <c r="KB418" s="770"/>
      <c r="KC418" s="770"/>
      <c r="KD418" s="770"/>
      <c r="KE418" s="770"/>
      <c r="KF418" s="770"/>
      <c r="KG418" s="770"/>
      <c r="KH418" s="770"/>
      <c r="KI418" s="770"/>
      <c r="KJ418" s="770"/>
      <c r="KK418" s="770"/>
      <c r="KL418" s="770"/>
      <c r="KM418" s="770"/>
      <c r="KN418" s="770"/>
      <c r="KO418" s="770"/>
      <c r="KP418" s="770"/>
      <c r="KQ418" s="770"/>
      <c r="KR418" s="770"/>
      <c r="KS418" s="770"/>
      <c r="KT418" s="770"/>
      <c r="KU418" s="770"/>
      <c r="KV418" s="770"/>
      <c r="KW418" s="770"/>
      <c r="KX418" s="770"/>
      <c r="KY418" s="770"/>
      <c r="KZ418" s="770"/>
      <c r="LA418" s="770"/>
      <c r="LB418" s="770"/>
      <c r="LC418" s="770"/>
      <c r="LD418" s="770"/>
      <c r="LE418" s="770"/>
      <c r="LF418" s="770"/>
      <c r="LG418" s="770"/>
      <c r="LH418" s="770"/>
      <c r="LI418" s="770"/>
      <c r="LJ418" s="770"/>
      <c r="LK418" s="770"/>
      <c r="LL418" s="770"/>
      <c r="LM418" s="770"/>
      <c r="LN418" s="766"/>
      <c r="LO418" s="766"/>
      <c r="LP418" s="770"/>
      <c r="LQ418" s="770"/>
      <c r="LR418" s="770"/>
      <c r="LS418" s="770"/>
      <c r="LT418" s="770"/>
      <c r="LU418" s="770"/>
      <c r="LV418" s="770"/>
      <c r="LW418" s="770"/>
      <c r="LX418" s="769"/>
      <c r="LY418" s="766" t="str">
        <f t="shared" si="100"/>
        <v/>
      </c>
      <c r="LZ418" s="1709"/>
      <c r="MA418" s="1709"/>
      <c r="MB418" s="1709"/>
      <c r="MC418" s="1679">
        <f t="shared" si="99"/>
        <v>0</v>
      </c>
      <c r="MD418" s="1709"/>
      <c r="ME418" s="1709"/>
      <c r="MF418" s="1709"/>
      <c r="MG418" s="1680">
        <f t="shared" si="101"/>
        <v>0</v>
      </c>
      <c r="MH418" s="770"/>
      <c r="MI418" s="302"/>
      <c r="MJ418" s="302"/>
      <c r="MK418" s="302"/>
      <c r="ML418" s="302"/>
      <c r="MM418" s="302"/>
      <c r="MN418" s="302"/>
      <c r="MO418" s="302"/>
      <c r="MP418" s="302"/>
      <c r="MQ418" s="302"/>
      <c r="MR418" s="302"/>
      <c r="MS418" s="302"/>
      <c r="MT418" s="302"/>
      <c r="MU418" s="302"/>
      <c r="MV418" s="302"/>
      <c r="MW418" s="302"/>
      <c r="MX418" s="302"/>
      <c r="MY418" s="1682">
        <f t="shared" si="102"/>
        <v>0</v>
      </c>
      <c r="MZ418" s="770"/>
      <c r="NA418" s="770"/>
      <c r="NB418" s="770"/>
      <c r="NC418" s="770"/>
      <c r="ND418" s="770"/>
      <c r="NE418" s="770"/>
      <c r="NF418" s="770"/>
      <c r="NG418" s="770"/>
      <c r="NH418" s="770"/>
      <c r="NI418" s="770"/>
      <c r="NJ418" s="770"/>
      <c r="NK418" s="770"/>
      <c r="NL418" s="770"/>
      <c r="NM418" s="770"/>
      <c r="NN418" s="770"/>
      <c r="NO418" s="770"/>
      <c r="NP418" s="770"/>
      <c r="NQ418" s="770"/>
      <c r="NR418" s="770"/>
      <c r="NS418" s="770"/>
      <c r="NT418" s="770"/>
      <c r="NU418" s="770"/>
      <c r="NV418" s="770"/>
      <c r="NW418" s="770"/>
      <c r="NX418" s="770"/>
      <c r="NY418" s="770"/>
      <c r="NZ418" s="770"/>
      <c r="OA418" s="770"/>
      <c r="OB418" s="770"/>
      <c r="OC418" s="770"/>
      <c r="OD418" s="770"/>
      <c r="OE418" s="770"/>
      <c r="OF418" s="770"/>
      <c r="OG418" s="770"/>
      <c r="OH418" s="770"/>
      <c r="OI418" s="770"/>
      <c r="OJ418" s="770"/>
      <c r="OK418" s="770"/>
      <c r="OL418" s="770"/>
      <c r="OM418" s="770"/>
      <c r="ON418" s="770"/>
      <c r="OO418" s="770"/>
      <c r="OP418" s="770"/>
      <c r="OQ418" s="770"/>
      <c r="OR418" s="770"/>
      <c r="OS418" s="770"/>
      <c r="OT418" s="770"/>
      <c r="OU418" s="770"/>
      <c r="OV418" s="770"/>
      <c r="OW418" s="770"/>
      <c r="OX418" s="770"/>
      <c r="OY418" s="770"/>
      <c r="OZ418" s="770"/>
      <c r="PA418" s="770"/>
      <c r="PB418" s="770"/>
      <c r="PC418" s="770"/>
      <c r="PD418" s="770"/>
      <c r="PE418" s="770"/>
      <c r="PF418" s="770"/>
      <c r="PG418" s="770"/>
      <c r="PH418" s="770"/>
      <c r="PI418" s="770"/>
      <c r="PJ418" s="770"/>
      <c r="PK418" s="770"/>
      <c r="PL418" s="770"/>
      <c r="PM418" s="770"/>
      <c r="PN418" s="770"/>
      <c r="PO418" s="770"/>
      <c r="PP418" s="770"/>
      <c r="PQ418" s="770"/>
      <c r="PR418" s="770"/>
      <c r="PS418" s="770"/>
      <c r="PT418" s="770"/>
      <c r="PU418" s="770"/>
      <c r="PV418" s="770"/>
      <c r="PW418" s="770"/>
      <c r="PX418" s="770"/>
      <c r="PY418" s="770"/>
      <c r="PZ418" s="770"/>
      <c r="QA418" s="770"/>
      <c r="QB418" s="770"/>
      <c r="QC418" s="770"/>
      <c r="QD418" s="770"/>
      <c r="QE418" s="770"/>
      <c r="QF418" s="770"/>
      <c r="QG418" s="770"/>
      <c r="QH418" s="770"/>
      <c r="QI418" s="770"/>
      <c r="QJ418" s="770"/>
      <c r="QK418" s="770"/>
      <c r="QL418" s="770"/>
      <c r="QM418" s="770"/>
      <c r="QN418" s="770"/>
      <c r="QO418" s="770"/>
      <c r="QP418" s="770"/>
      <c r="QQ418" s="770"/>
      <c r="QR418" s="770"/>
      <c r="QS418" s="770"/>
      <c r="QT418" s="770"/>
      <c r="QU418" s="770"/>
      <c r="QV418" s="770"/>
      <c r="QW418" s="770"/>
      <c r="QX418" s="770"/>
      <c r="QY418" s="770"/>
      <c r="QZ418" s="770"/>
      <c r="RA418" s="770"/>
      <c r="RB418" s="770"/>
      <c r="RC418" s="770"/>
      <c r="RD418" s="770"/>
      <c r="RE418" s="770"/>
      <c r="RF418" s="304"/>
      <c r="RG418" s="770"/>
      <c r="RH418" s="302"/>
      <c r="RI418" s="770"/>
      <c r="RJ418" s="770" t="s">
        <v>13537</v>
      </c>
      <c r="RK418" s="770" t="s">
        <v>13538</v>
      </c>
      <c r="RL418" s="1710"/>
      <c r="RM418" s="12"/>
      <c r="RN418" s="1711"/>
      <c r="RO418" s="514" t="s">
        <v>2250</v>
      </c>
      <c r="RP418" s="11"/>
      <c r="RQ418" s="11"/>
      <c r="RR418" s="17"/>
      <c r="RS418" s="767"/>
      <c r="RT418" s="11"/>
      <c r="RU418" s="11"/>
      <c r="RV418" s="771" t="s">
        <v>8103</v>
      </c>
      <c r="RW418" s="11" t="s">
        <v>7673</v>
      </c>
      <c r="RX418" s="11" t="s">
        <v>688</v>
      </c>
      <c r="RY418" s="11"/>
      <c r="RZ418" s="11" t="s">
        <v>2209</v>
      </c>
      <c r="SA418" s="771"/>
      <c r="SB418" s="11"/>
      <c r="SC418" s="11"/>
    </row>
    <row r="419" spans="1:497" ht="12.75" hidden="1" customHeight="1">
      <c r="A419" s="19" t="s">
        <v>7419</v>
      </c>
      <c r="B419" s="874" t="s">
        <v>7735</v>
      </c>
      <c r="C419" s="514" t="s">
        <v>2262</v>
      </c>
      <c r="D419" s="1714" t="s">
        <v>2251</v>
      </c>
      <c r="E419" s="6" t="s">
        <v>11910</v>
      </c>
      <c r="F419" s="1019"/>
      <c r="G419" s="1019"/>
      <c r="H419" s="1019"/>
      <c r="I419" s="1812"/>
      <c r="J419" s="1714"/>
      <c r="K419" s="6" t="s">
        <v>2275</v>
      </c>
      <c r="L419" s="6" t="s">
        <v>2263</v>
      </c>
      <c r="M419" s="1019" t="s">
        <v>1238</v>
      </c>
      <c r="N419" s="1019" t="s">
        <v>11638</v>
      </c>
      <c r="O419" s="1019" t="s">
        <v>11639</v>
      </c>
      <c r="P419" s="1019"/>
      <c r="Q419" s="1805"/>
      <c r="R419" s="1718"/>
      <c r="S419" s="1019"/>
      <c r="T419" s="1019"/>
      <c r="U419" s="1825"/>
      <c r="V419" s="1019"/>
      <c r="W419" s="1825"/>
      <c r="X419" s="1805"/>
      <c r="Y419" s="1019"/>
      <c r="Z419" s="1019"/>
      <c r="AA419" s="1019"/>
      <c r="AB419" s="1019"/>
      <c r="AC419" s="1019"/>
      <c r="AD419" s="1019"/>
      <c r="AE419" s="1019"/>
      <c r="AF419" s="1019"/>
      <c r="AG419" s="1019" t="s">
        <v>1132</v>
      </c>
      <c r="AH419" s="766" t="s">
        <v>1120</v>
      </c>
      <c r="AI419" s="1019"/>
      <c r="AJ419" s="1019" t="s">
        <v>1137</v>
      </c>
      <c r="AK419" s="1019" t="s">
        <v>1097</v>
      </c>
      <c r="AL419" s="1770">
        <v>214.5</v>
      </c>
      <c r="AM419" s="1108">
        <v>164</v>
      </c>
      <c r="AN419" s="1078">
        <f t="shared" si="108"/>
        <v>0.76456876456876455</v>
      </c>
      <c r="AO419" s="6" t="s">
        <v>1105</v>
      </c>
      <c r="AP419" s="6" t="s">
        <v>1137</v>
      </c>
      <c r="AQ419" s="6"/>
      <c r="AR419" s="6"/>
      <c r="AS419" s="1019"/>
      <c r="AT419" s="1019"/>
      <c r="AU419" s="1019"/>
      <c r="AV419" s="1019"/>
      <c r="AW419" s="1019"/>
      <c r="AX419" s="1019"/>
      <c r="AY419" s="1019"/>
      <c r="AZ419" s="1019"/>
      <c r="BA419" s="1019"/>
      <c r="BB419" s="1019"/>
      <c r="BC419" s="1019"/>
      <c r="BD419" s="1019"/>
      <c r="BE419" s="1019"/>
      <c r="BF419" s="1027"/>
      <c r="BG419" s="1027"/>
      <c r="BH419" s="1019"/>
      <c r="BI419" s="1019"/>
      <c r="BJ419" s="1019"/>
      <c r="BK419" s="1019" t="s">
        <v>1099</v>
      </c>
      <c r="BL419" s="1019" t="s">
        <v>1137</v>
      </c>
      <c r="BM419" s="1019" t="s">
        <v>1119</v>
      </c>
      <c r="BN419" s="1019" t="s">
        <v>1230</v>
      </c>
      <c r="BO419" s="766" t="s">
        <v>1246</v>
      </c>
      <c r="BP419" s="1033">
        <v>214.5</v>
      </c>
      <c r="BQ419" s="1108">
        <v>164</v>
      </c>
      <c r="BR419" s="1771">
        <f t="shared" si="109"/>
        <v>0.76456876456876455</v>
      </c>
      <c r="BS419" s="6" t="s">
        <v>1105</v>
      </c>
      <c r="BT419" s="6" t="s">
        <v>1240</v>
      </c>
      <c r="BU419" s="1019" t="s">
        <v>2265</v>
      </c>
      <c r="BV419" s="1019" t="s">
        <v>2264</v>
      </c>
      <c r="BW419" s="1019"/>
      <c r="BX419" s="1027"/>
      <c r="BY419" s="1019"/>
      <c r="BZ419" s="1027"/>
      <c r="CA419" s="1019"/>
      <c r="CB419" s="770"/>
      <c r="CC419" s="770"/>
      <c r="CD419" s="770"/>
      <c r="CE419" s="770"/>
      <c r="CF419" s="1753"/>
      <c r="CG419" s="1754"/>
      <c r="CH419" s="770"/>
      <c r="CI419" s="770"/>
      <c r="CJ419" s="770"/>
      <c r="CK419" s="770"/>
      <c r="CL419" s="770"/>
      <c r="CM419" s="770"/>
      <c r="CN419" s="770"/>
      <c r="CO419" s="770"/>
      <c r="CP419" s="770"/>
      <c r="CQ419" s="770"/>
      <c r="CR419" s="302"/>
      <c r="CS419" s="770"/>
      <c r="CT419" s="770"/>
      <c r="CU419" s="305"/>
      <c r="CV419" s="770"/>
      <c r="CW419" s="770"/>
      <c r="CX419" s="770"/>
      <c r="CY419" s="770"/>
      <c r="CZ419" s="770"/>
      <c r="DA419" s="306"/>
      <c r="DB419" s="770"/>
      <c r="DC419" s="770"/>
      <c r="DD419" s="770"/>
      <c r="DE419" s="300"/>
      <c r="DF419" s="770"/>
      <c r="DG419" s="770"/>
      <c r="DH419" s="770"/>
      <c r="DI419" s="770"/>
      <c r="DJ419" s="770"/>
      <c r="DK419" s="770"/>
      <c r="DL419" s="770"/>
      <c r="DM419" s="770"/>
      <c r="DN419" s="322"/>
      <c r="DO419" s="770"/>
      <c r="DP419" s="770"/>
      <c r="DQ419" s="770"/>
      <c r="DR419" s="770"/>
      <c r="DS419" s="307"/>
      <c r="DT419" s="770"/>
      <c r="DU419" s="770"/>
      <c r="DV419" s="770"/>
      <c r="DW419" s="306"/>
      <c r="DX419" s="306"/>
      <c r="DY419" s="770"/>
      <c r="DZ419" s="770"/>
      <c r="EA419" s="770"/>
      <c r="EB419" s="770"/>
      <c r="EC419" s="770"/>
      <c r="ED419" s="770"/>
      <c r="EE419" s="770"/>
      <c r="EF419" s="770"/>
      <c r="EG419" s="770"/>
      <c r="EH419" s="770"/>
      <c r="EI419" s="770"/>
      <c r="EJ419" s="770"/>
      <c r="EK419" s="770"/>
      <c r="EL419" s="770"/>
      <c r="EM419" s="770"/>
      <c r="EN419" s="770"/>
      <c r="EO419" s="770"/>
      <c r="EP419" s="94"/>
      <c r="EQ419" s="770"/>
      <c r="ER419" s="770"/>
      <c r="ES419" s="770"/>
      <c r="ET419" s="770"/>
      <c r="EU419" s="770"/>
      <c r="EV419" s="770"/>
      <c r="EW419" s="770"/>
      <c r="EX419" s="770"/>
      <c r="EY419" s="770"/>
      <c r="EZ419" s="770"/>
      <c r="FA419" s="770"/>
      <c r="FB419" s="770"/>
      <c r="FC419" s="770"/>
      <c r="FD419" s="302"/>
      <c r="FE419" s="770"/>
      <c r="FF419" s="770"/>
      <c r="FG419" s="770"/>
      <c r="FH419" s="770"/>
      <c r="FI419" s="770"/>
      <c r="FJ419" s="770"/>
      <c r="FK419" s="770"/>
      <c r="FL419" s="770"/>
      <c r="FM419" s="302"/>
      <c r="FN419" s="302"/>
      <c r="FO419" s="302"/>
      <c r="FP419" s="770"/>
      <c r="FQ419" s="770"/>
      <c r="FR419" s="770" t="s">
        <v>1207</v>
      </c>
      <c r="FS419" s="770"/>
      <c r="FT419" s="770"/>
      <c r="FU419" s="770"/>
      <c r="FV419" s="770"/>
      <c r="FW419" s="770"/>
      <c r="FX419" s="770" t="s">
        <v>1208</v>
      </c>
      <c r="FY419" s="770"/>
      <c r="FZ419" s="770"/>
      <c r="GA419" s="770"/>
      <c r="GB419" s="770"/>
      <c r="GC419" s="308" t="s">
        <v>1137</v>
      </c>
      <c r="GD419" s="297"/>
      <c r="GE419" s="770"/>
      <c r="GF419" s="302"/>
      <c r="GG419" s="302"/>
      <c r="GH419" s="766"/>
      <c r="GI419" s="770"/>
      <c r="GJ419" s="770"/>
      <c r="GK419" s="770"/>
      <c r="GL419" s="770"/>
      <c r="GM419" s="770"/>
      <c r="GN419" s="299"/>
      <c r="GO419" s="770"/>
      <c r="GP419" s="770"/>
      <c r="GQ419" s="770"/>
      <c r="GR419" s="770"/>
      <c r="GS419" s="770"/>
      <c r="GT419" s="770"/>
      <c r="GU419" s="770"/>
      <c r="GV419" s="770"/>
      <c r="GW419" s="770"/>
      <c r="GX419" s="770"/>
      <c r="GY419" s="770"/>
      <c r="GZ419" s="770"/>
      <c r="HA419" s="770"/>
      <c r="HB419" s="770"/>
      <c r="HC419" s="770"/>
      <c r="HD419" s="770"/>
      <c r="HE419" s="770"/>
      <c r="HF419" s="770"/>
      <c r="HG419" s="770"/>
      <c r="HH419" s="770"/>
      <c r="HI419" s="770"/>
      <c r="HJ419" s="770"/>
      <c r="HK419" s="770"/>
      <c r="HL419" s="770"/>
      <c r="HM419" s="770"/>
      <c r="HN419" s="770"/>
      <c r="HO419" s="770"/>
      <c r="HP419" s="770"/>
      <c r="HQ419" s="770"/>
      <c r="HR419" s="770">
        <v>6</v>
      </c>
      <c r="HS419" s="770"/>
      <c r="HT419" s="770"/>
      <c r="HU419" s="770"/>
      <c r="HV419" s="770"/>
      <c r="HW419" s="770"/>
      <c r="HX419" s="770"/>
      <c r="HY419" s="770"/>
      <c r="HZ419" s="770"/>
      <c r="IA419" s="770"/>
      <c r="IB419" s="770"/>
      <c r="IC419" s="770"/>
      <c r="ID419" s="770"/>
      <c r="IE419" s="770"/>
      <c r="IF419" s="770" t="s">
        <v>2251</v>
      </c>
      <c r="IG419" s="770" t="s">
        <v>10</v>
      </c>
      <c r="IH419" s="770" t="s">
        <v>2266</v>
      </c>
      <c r="II419" s="770" t="s">
        <v>2259</v>
      </c>
      <c r="IJ419" s="770" t="s">
        <v>2267</v>
      </c>
      <c r="IK419" s="770" t="s">
        <v>1948</v>
      </c>
      <c r="IL419" s="770" t="s">
        <v>1137</v>
      </c>
      <c r="IM419" s="770"/>
      <c r="IN419" s="770" t="s">
        <v>1137</v>
      </c>
      <c r="IO419" s="296"/>
      <c r="IP419" s="770"/>
      <c r="IQ419" s="770"/>
      <c r="IR419" s="770"/>
      <c r="IS419" s="770"/>
      <c r="IT419" s="770"/>
      <c r="IU419" s="770"/>
      <c r="IV419" s="770"/>
      <c r="IW419" s="770"/>
      <c r="IX419" s="770"/>
      <c r="IY419" s="770"/>
      <c r="IZ419" s="770"/>
      <c r="JA419" s="770"/>
      <c r="JB419" s="770"/>
      <c r="JC419" s="770"/>
      <c r="JD419" s="302"/>
      <c r="JE419" s="770"/>
      <c r="JF419" s="770"/>
      <c r="JG419" s="770"/>
      <c r="JH419" s="307"/>
      <c r="JI419" s="307"/>
      <c r="JJ419" s="770"/>
      <c r="JK419" s="770"/>
      <c r="JL419" s="770"/>
      <c r="JM419" s="770"/>
      <c r="JN419" s="770"/>
      <c r="JO419" s="770"/>
      <c r="JP419" s="770"/>
      <c r="JQ419" s="770"/>
      <c r="JR419" s="770"/>
      <c r="JS419" s="770"/>
      <c r="JT419" s="766"/>
      <c r="JU419" s="766"/>
      <c r="JV419" s="766"/>
      <c r="JW419" s="766"/>
      <c r="JX419" s="770"/>
      <c r="JY419" s="770"/>
      <c r="JZ419" s="770"/>
      <c r="KA419" s="770"/>
      <c r="KB419" s="770"/>
      <c r="KC419" s="770"/>
      <c r="KD419" s="770"/>
      <c r="KE419" s="770"/>
      <c r="KF419" s="770"/>
      <c r="KG419" s="770"/>
      <c r="KH419" s="770"/>
      <c r="KI419" s="770"/>
      <c r="KJ419" s="770"/>
      <c r="KK419" s="770"/>
      <c r="KL419" s="770"/>
      <c r="KM419" s="770"/>
      <c r="KN419" s="770"/>
      <c r="KO419" s="770"/>
      <c r="KP419" s="770"/>
      <c r="KQ419" s="770"/>
      <c r="KR419" s="770"/>
      <c r="KS419" s="770"/>
      <c r="KT419" s="770"/>
      <c r="KU419" s="770"/>
      <c r="KV419" s="770"/>
      <c r="KW419" s="770"/>
      <c r="KX419" s="770"/>
      <c r="KY419" s="770"/>
      <c r="KZ419" s="770"/>
      <c r="LA419" s="770"/>
      <c r="LB419" s="770"/>
      <c r="LC419" s="770"/>
      <c r="LD419" s="770"/>
      <c r="LE419" s="770"/>
      <c r="LF419" s="770"/>
      <c r="LG419" s="770"/>
      <c r="LH419" s="770"/>
      <c r="LI419" s="770"/>
      <c r="LJ419" s="770"/>
      <c r="LK419" s="770"/>
      <c r="LL419" s="770"/>
      <c r="LM419" s="770"/>
      <c r="LN419" s="766"/>
      <c r="LO419" s="766"/>
      <c r="LP419" s="770"/>
      <c r="LQ419" s="770"/>
      <c r="LR419" s="770"/>
      <c r="LS419" s="770"/>
      <c r="LT419" s="770"/>
      <c r="LU419" s="770"/>
      <c r="LV419" s="770"/>
      <c r="LW419" s="770"/>
      <c r="LX419" s="769"/>
      <c r="LY419" s="766" t="str">
        <f t="shared" si="100"/>
        <v/>
      </c>
      <c r="LZ419" s="1709"/>
      <c r="MA419" s="1709"/>
      <c r="MB419" s="1709"/>
      <c r="MC419" s="1679">
        <f t="shared" si="99"/>
        <v>0</v>
      </c>
      <c r="MD419" s="1709"/>
      <c r="ME419" s="1709"/>
      <c r="MF419" s="1709"/>
      <c r="MG419" s="1680">
        <f t="shared" si="101"/>
        <v>0</v>
      </c>
      <c r="MH419" s="770"/>
      <c r="MI419" s="302"/>
      <c r="MJ419" s="302"/>
      <c r="MK419" s="302"/>
      <c r="ML419" s="302"/>
      <c r="MM419" s="302"/>
      <c r="MN419" s="302"/>
      <c r="MO419" s="302"/>
      <c r="MP419" s="302"/>
      <c r="MQ419" s="302"/>
      <c r="MR419" s="302"/>
      <c r="MS419" s="302"/>
      <c r="MT419" s="302"/>
      <c r="MU419" s="302"/>
      <c r="MV419" s="302"/>
      <c r="MW419" s="302"/>
      <c r="MX419" s="302"/>
      <c r="MY419" s="1682">
        <f t="shared" si="102"/>
        <v>0</v>
      </c>
      <c r="MZ419" s="770"/>
      <c r="NA419" s="770"/>
      <c r="NB419" s="770"/>
      <c r="NC419" s="770"/>
      <c r="ND419" s="770"/>
      <c r="NE419" s="770"/>
      <c r="NF419" s="770"/>
      <c r="NG419" s="770"/>
      <c r="NH419" s="770"/>
      <c r="NI419" s="770"/>
      <c r="NJ419" s="770"/>
      <c r="NK419" s="770"/>
      <c r="NL419" s="770"/>
      <c r="NM419" s="770"/>
      <c r="NN419" s="770"/>
      <c r="NO419" s="770"/>
      <c r="NP419" s="770"/>
      <c r="NQ419" s="770"/>
      <c r="NR419" s="770"/>
      <c r="NS419" s="770"/>
      <c r="NT419" s="770"/>
      <c r="NU419" s="770"/>
      <c r="NV419" s="770"/>
      <c r="NW419" s="770"/>
      <c r="NX419" s="770"/>
      <c r="NY419" s="770"/>
      <c r="NZ419" s="770"/>
      <c r="OA419" s="770"/>
      <c r="OB419" s="770"/>
      <c r="OC419" s="770"/>
      <c r="OD419" s="770"/>
      <c r="OE419" s="770"/>
      <c r="OF419" s="770"/>
      <c r="OG419" s="770"/>
      <c r="OH419" s="770"/>
      <c r="OI419" s="770"/>
      <c r="OJ419" s="770"/>
      <c r="OK419" s="770"/>
      <c r="OL419" s="770"/>
      <c r="OM419" s="770"/>
      <c r="ON419" s="770"/>
      <c r="OO419" s="770"/>
      <c r="OP419" s="770"/>
      <c r="OQ419" s="770"/>
      <c r="OR419" s="770"/>
      <c r="OS419" s="770"/>
      <c r="OT419" s="770"/>
      <c r="OU419" s="770"/>
      <c r="OV419" s="770"/>
      <c r="OW419" s="770"/>
      <c r="OX419" s="770"/>
      <c r="OY419" s="770"/>
      <c r="OZ419" s="770"/>
      <c r="PA419" s="770"/>
      <c r="PB419" s="770"/>
      <c r="PC419" s="770"/>
      <c r="PD419" s="770"/>
      <c r="PE419" s="770"/>
      <c r="PF419" s="770"/>
      <c r="PG419" s="770"/>
      <c r="PH419" s="770"/>
      <c r="PI419" s="770"/>
      <c r="PJ419" s="770"/>
      <c r="PK419" s="770"/>
      <c r="PL419" s="770"/>
      <c r="PM419" s="770"/>
      <c r="PN419" s="770"/>
      <c r="PO419" s="770"/>
      <c r="PP419" s="770"/>
      <c r="PQ419" s="770"/>
      <c r="PR419" s="770"/>
      <c r="PS419" s="770"/>
      <c r="PT419" s="770"/>
      <c r="PU419" s="770"/>
      <c r="PV419" s="770"/>
      <c r="PW419" s="770"/>
      <c r="PX419" s="770"/>
      <c r="PY419" s="770"/>
      <c r="PZ419" s="770"/>
      <c r="QA419" s="770"/>
      <c r="QB419" s="770"/>
      <c r="QC419" s="770"/>
      <c r="QD419" s="770"/>
      <c r="QE419" s="770"/>
      <c r="QF419" s="770"/>
      <c r="QG419" s="770"/>
      <c r="QH419" s="770"/>
      <c r="QI419" s="770"/>
      <c r="QJ419" s="770"/>
      <c r="QK419" s="770"/>
      <c r="QL419" s="770"/>
      <c r="QM419" s="770"/>
      <c r="QN419" s="770"/>
      <c r="QO419" s="770"/>
      <c r="QP419" s="770"/>
      <c r="QQ419" s="770"/>
      <c r="QR419" s="770"/>
      <c r="QS419" s="770"/>
      <c r="QT419" s="770"/>
      <c r="QU419" s="770"/>
      <c r="QV419" s="770"/>
      <c r="QW419" s="770"/>
      <c r="QX419" s="770"/>
      <c r="QY419" s="770"/>
      <c r="QZ419" s="770"/>
      <c r="RA419" s="770"/>
      <c r="RB419" s="770"/>
      <c r="RC419" s="770"/>
      <c r="RD419" s="770"/>
      <c r="RE419" s="770"/>
      <c r="RF419" s="304"/>
      <c r="RG419" s="770"/>
      <c r="RH419" s="302"/>
      <c r="RI419" s="770"/>
      <c r="RJ419" s="770" t="s">
        <v>13537</v>
      </c>
      <c r="RK419" s="770" t="s">
        <v>13538</v>
      </c>
      <c r="RL419" s="1710"/>
      <c r="RM419" s="12"/>
      <c r="RN419" s="1711"/>
      <c r="RO419" s="514" t="s">
        <v>2262</v>
      </c>
      <c r="RP419" s="11"/>
      <c r="RQ419" s="11"/>
      <c r="RR419" s="17"/>
      <c r="RS419" s="767"/>
      <c r="RT419" s="11"/>
      <c r="RU419" s="11"/>
      <c r="RV419" s="771" t="s">
        <v>8103</v>
      </c>
      <c r="RW419" s="11" t="s">
        <v>7673</v>
      </c>
      <c r="RX419" s="11" t="s">
        <v>688</v>
      </c>
      <c r="RY419" s="11"/>
      <c r="RZ419" s="11" t="s">
        <v>2209</v>
      </c>
      <c r="SA419" s="771"/>
      <c r="SB419" s="11"/>
      <c r="SC419" s="11"/>
    </row>
    <row r="420" spans="1:497" ht="12.75" hidden="1" customHeight="1">
      <c r="A420" s="19" t="s">
        <v>7419</v>
      </c>
      <c r="B420" s="874" t="s">
        <v>11641</v>
      </c>
      <c r="C420" s="533" t="s">
        <v>2268</v>
      </c>
      <c r="D420" s="1714" t="s">
        <v>11642</v>
      </c>
      <c r="E420" s="6" t="s">
        <v>11910</v>
      </c>
      <c r="F420" s="1019"/>
      <c r="G420" s="1019"/>
      <c r="H420" s="1019"/>
      <c r="I420" s="1812"/>
      <c r="J420" s="1714"/>
      <c r="K420" s="6" t="s">
        <v>2274</v>
      </c>
      <c r="L420" s="6" t="s">
        <v>2269</v>
      </c>
      <c r="M420" s="1019" t="s">
        <v>1238</v>
      </c>
      <c r="N420" s="1019" t="s">
        <v>11638</v>
      </c>
      <c r="O420" s="1019" t="s">
        <v>11639</v>
      </c>
      <c r="P420" s="1019"/>
      <c r="Q420" s="1805"/>
      <c r="R420" s="1718"/>
      <c r="S420" s="1019"/>
      <c r="T420" s="1019"/>
      <c r="U420" s="1825"/>
      <c r="V420" s="1019"/>
      <c r="W420" s="1825"/>
      <c r="X420" s="1805"/>
      <c r="Y420" s="1019"/>
      <c r="Z420" s="1019"/>
      <c r="AA420" s="1019"/>
      <c r="AB420" s="1019"/>
      <c r="AC420" s="1019"/>
      <c r="AD420" s="1019"/>
      <c r="AE420" s="1019"/>
      <c r="AF420" s="1019"/>
      <c r="AG420" s="1019" t="s">
        <v>1132</v>
      </c>
      <c r="AH420" s="766" t="s">
        <v>1120</v>
      </c>
      <c r="AI420" s="1019"/>
      <c r="AJ420" s="1019" t="s">
        <v>1137</v>
      </c>
      <c r="AK420" s="1019" t="s">
        <v>1097</v>
      </c>
      <c r="AL420" s="1770">
        <v>65.36</v>
      </c>
      <c r="AM420" s="1108">
        <v>65.36</v>
      </c>
      <c r="AN420" s="1078">
        <f t="shared" si="108"/>
        <v>1</v>
      </c>
      <c r="AO420" s="6" t="s">
        <v>1122</v>
      </c>
      <c r="AP420" s="6" t="s">
        <v>1137</v>
      </c>
      <c r="AQ420" s="6"/>
      <c r="AR420" s="6"/>
      <c r="AS420" s="1019"/>
      <c r="AT420" s="1019"/>
      <c r="AU420" s="1019"/>
      <c r="AV420" s="1019"/>
      <c r="AW420" s="1019"/>
      <c r="AX420" s="1019"/>
      <c r="AY420" s="1019"/>
      <c r="AZ420" s="1019"/>
      <c r="BA420" s="1019"/>
      <c r="BB420" s="1019"/>
      <c r="BC420" s="1019"/>
      <c r="BD420" s="1019"/>
      <c r="BE420" s="1019"/>
      <c r="BF420" s="1027"/>
      <c r="BG420" s="1027"/>
      <c r="BH420" s="1019"/>
      <c r="BI420" s="1019"/>
      <c r="BJ420" s="1019"/>
      <c r="BK420" s="1019" t="s">
        <v>1099</v>
      </c>
      <c r="BL420" s="1019" t="s">
        <v>2270</v>
      </c>
      <c r="BM420" s="766" t="s">
        <v>1120</v>
      </c>
      <c r="BN420" s="1019" t="s">
        <v>1230</v>
      </c>
      <c r="BO420" s="766" t="s">
        <v>1246</v>
      </c>
      <c r="BP420" s="1033">
        <v>65.36</v>
      </c>
      <c r="BQ420" s="1108">
        <v>65.36</v>
      </c>
      <c r="BR420" s="47">
        <f t="shared" si="109"/>
        <v>1</v>
      </c>
      <c r="BS420" s="6" t="s">
        <v>1257</v>
      </c>
      <c r="BT420" s="1019" t="s">
        <v>1240</v>
      </c>
      <c r="BU420" s="1019" t="s">
        <v>1249</v>
      </c>
      <c r="BV420" s="1019" t="s">
        <v>11640</v>
      </c>
      <c r="BW420" s="1019"/>
      <c r="BX420" s="1027"/>
      <c r="BY420" s="1019"/>
      <c r="BZ420" s="1027"/>
      <c r="CA420" s="1019"/>
      <c r="CB420" s="770" t="s">
        <v>1207</v>
      </c>
      <c r="CC420" s="770"/>
      <c r="CD420" s="770"/>
      <c r="CE420" s="770"/>
      <c r="CF420" s="1753"/>
      <c r="CG420" s="1754"/>
      <c r="CH420" s="770"/>
      <c r="CI420" s="770"/>
      <c r="CJ420" s="770"/>
      <c r="CK420" s="770"/>
      <c r="CL420" s="770"/>
      <c r="CM420" s="770"/>
      <c r="CN420" s="770"/>
      <c r="CO420" s="770"/>
      <c r="CP420" s="770"/>
      <c r="CQ420" s="770"/>
      <c r="CR420" s="302"/>
      <c r="CS420" s="770"/>
      <c r="CT420" s="770"/>
      <c r="CU420" s="305"/>
      <c r="CV420" s="770"/>
      <c r="CW420" s="770"/>
      <c r="CX420" s="770"/>
      <c r="CY420" s="770"/>
      <c r="CZ420" s="770"/>
      <c r="DA420" s="306"/>
      <c r="DB420" s="770"/>
      <c r="DC420" s="770"/>
      <c r="DD420" s="770"/>
      <c r="DE420" s="300"/>
      <c r="DF420" s="770"/>
      <c r="DG420" s="770"/>
      <c r="DH420" s="770"/>
      <c r="DI420" s="770"/>
      <c r="DJ420" s="770"/>
      <c r="DK420" s="770"/>
      <c r="DL420" s="770"/>
      <c r="DM420" s="770"/>
      <c r="DN420" s="322"/>
      <c r="DO420" s="770"/>
      <c r="DP420" s="770"/>
      <c r="DQ420" s="770"/>
      <c r="DR420" s="770"/>
      <c r="DS420" s="307"/>
      <c r="DT420" s="770"/>
      <c r="DU420" s="770"/>
      <c r="DV420" s="770"/>
      <c r="DW420" s="306"/>
      <c r="DX420" s="306"/>
      <c r="DY420" s="770"/>
      <c r="DZ420" s="770"/>
      <c r="EA420" s="770"/>
      <c r="EB420" s="770"/>
      <c r="EC420" s="770"/>
      <c r="ED420" s="770"/>
      <c r="EE420" s="770"/>
      <c r="EF420" s="770"/>
      <c r="EG420" s="770"/>
      <c r="EH420" s="770"/>
      <c r="EI420" s="770"/>
      <c r="EJ420" s="770"/>
      <c r="EK420" s="770"/>
      <c r="EL420" s="770"/>
      <c r="EM420" s="770"/>
      <c r="EN420" s="770"/>
      <c r="EO420" s="770"/>
      <c r="EP420" s="94"/>
      <c r="EQ420" s="770"/>
      <c r="ER420" s="770"/>
      <c r="ES420" s="770"/>
      <c r="ET420" s="770"/>
      <c r="EU420" s="770"/>
      <c r="EV420" s="770"/>
      <c r="EW420" s="770"/>
      <c r="EX420" s="770"/>
      <c r="EY420" s="770"/>
      <c r="EZ420" s="770" t="s">
        <v>2270</v>
      </c>
      <c r="FA420" s="770" t="s">
        <v>2271</v>
      </c>
      <c r="FB420" s="770"/>
      <c r="FC420" s="770"/>
      <c r="FD420" s="302"/>
      <c r="FE420" s="770"/>
      <c r="FF420" s="770"/>
      <c r="FG420" s="770"/>
      <c r="FH420" s="770"/>
      <c r="FI420" s="770"/>
      <c r="FJ420" s="770"/>
      <c r="FK420" s="770"/>
      <c r="FL420" s="770"/>
      <c r="FM420" s="302"/>
      <c r="FN420" s="302"/>
      <c r="FO420" s="302"/>
      <c r="FP420" s="770" t="s">
        <v>1602</v>
      </c>
      <c r="FQ420" s="770" t="s">
        <v>1660</v>
      </c>
      <c r="FR420" s="770" t="s">
        <v>1207</v>
      </c>
      <c r="FS420" s="770"/>
      <c r="FT420" s="770"/>
      <c r="FU420" s="770"/>
      <c r="FV420" s="770"/>
      <c r="FW420" s="770"/>
      <c r="FX420" s="770"/>
      <c r="FY420" s="770"/>
      <c r="FZ420" s="770"/>
      <c r="GA420" s="770"/>
      <c r="GB420" s="770"/>
      <c r="GC420" s="308"/>
      <c r="GD420" s="297"/>
      <c r="GE420" s="770"/>
      <c r="GF420" s="302"/>
      <c r="GG420" s="302"/>
      <c r="GH420" s="766"/>
      <c r="GI420" s="770"/>
      <c r="GJ420" s="770"/>
      <c r="GK420" s="770"/>
      <c r="GL420" s="770"/>
      <c r="GM420" s="770"/>
      <c r="GN420" s="299"/>
      <c r="GO420" s="770"/>
      <c r="GP420" s="770"/>
      <c r="GQ420" s="770"/>
      <c r="GR420" s="770"/>
      <c r="GS420" s="770"/>
      <c r="GT420" s="770"/>
      <c r="GU420" s="770"/>
      <c r="GV420" s="770"/>
      <c r="GW420" s="770"/>
      <c r="GX420" s="770"/>
      <c r="GY420" s="770"/>
      <c r="GZ420" s="770"/>
      <c r="HA420" s="770"/>
      <c r="HB420" s="770"/>
      <c r="HC420" s="770"/>
      <c r="HD420" s="770"/>
      <c r="HE420" s="770"/>
      <c r="HF420" s="770"/>
      <c r="HG420" s="770"/>
      <c r="HH420" s="770"/>
      <c r="HI420" s="770"/>
      <c r="HJ420" s="770"/>
      <c r="HK420" s="770"/>
      <c r="HL420" s="770"/>
      <c r="HM420" s="770"/>
      <c r="HN420" s="770"/>
      <c r="HO420" s="770"/>
      <c r="HP420" s="770"/>
      <c r="HQ420" s="770"/>
      <c r="HR420" s="770"/>
      <c r="HS420" s="770">
        <v>1</v>
      </c>
      <c r="HT420" s="770"/>
      <c r="HU420" s="770"/>
      <c r="HV420" s="770"/>
      <c r="HW420" s="770"/>
      <c r="HX420" s="770"/>
      <c r="HY420" s="770"/>
      <c r="HZ420" s="770"/>
      <c r="IA420" s="770"/>
      <c r="IB420" s="770"/>
      <c r="IC420" s="770"/>
      <c r="ID420" s="770"/>
      <c r="IE420" s="770"/>
      <c r="IF420" s="770" t="s">
        <v>2251</v>
      </c>
      <c r="IG420" s="770" t="s">
        <v>10</v>
      </c>
      <c r="IH420" s="770" t="s">
        <v>2266</v>
      </c>
      <c r="II420" s="770" t="s">
        <v>2259</v>
      </c>
      <c r="IJ420" s="770"/>
      <c r="IK420" s="770"/>
      <c r="IL420" s="770"/>
      <c r="IM420" s="770"/>
      <c r="IN420" s="770"/>
      <c r="IO420" s="296"/>
      <c r="IP420" s="770" t="s">
        <v>8112</v>
      </c>
      <c r="IQ420" s="769" t="s">
        <v>8140</v>
      </c>
      <c r="IR420" s="770"/>
      <c r="IS420" s="770"/>
      <c r="IT420" s="770"/>
      <c r="IU420" s="770"/>
      <c r="IV420" s="770"/>
      <c r="IW420" s="770"/>
      <c r="IX420" s="770"/>
      <c r="IY420" s="770"/>
      <c r="IZ420" s="770"/>
      <c r="JA420" s="770"/>
      <c r="JB420" s="770"/>
      <c r="JC420" s="770"/>
      <c r="JD420" s="302"/>
      <c r="JE420" s="770"/>
      <c r="JF420" s="770"/>
      <c r="JG420" s="770"/>
      <c r="JH420" s="307"/>
      <c r="JI420" s="307"/>
      <c r="JJ420" s="770"/>
      <c r="JK420" s="770"/>
      <c r="JL420" s="770"/>
      <c r="JM420" s="770"/>
      <c r="JN420" s="770"/>
      <c r="JO420" s="770"/>
      <c r="JP420" s="770"/>
      <c r="JQ420" s="770"/>
      <c r="JR420" s="770"/>
      <c r="JS420" s="770"/>
      <c r="JT420" s="766"/>
      <c r="JU420" s="766"/>
      <c r="JV420" s="766"/>
      <c r="JW420" s="766"/>
      <c r="JX420" s="770"/>
      <c r="JY420" s="770"/>
      <c r="JZ420" s="770"/>
      <c r="KA420" s="770"/>
      <c r="KB420" s="770"/>
      <c r="KC420" s="770"/>
      <c r="KD420" s="770"/>
      <c r="KE420" s="770"/>
      <c r="KF420" s="770"/>
      <c r="KG420" s="770"/>
      <c r="KH420" s="770"/>
      <c r="KI420" s="770"/>
      <c r="KJ420" s="770"/>
      <c r="KK420" s="770"/>
      <c r="KL420" s="770"/>
      <c r="KM420" s="770"/>
      <c r="KN420" s="770"/>
      <c r="KO420" s="770"/>
      <c r="KP420" s="770"/>
      <c r="KQ420" s="770"/>
      <c r="KR420" s="770"/>
      <c r="KS420" s="770"/>
      <c r="KT420" s="770"/>
      <c r="KU420" s="770"/>
      <c r="KV420" s="770"/>
      <c r="KW420" s="770"/>
      <c r="KX420" s="770"/>
      <c r="KY420" s="770"/>
      <c r="KZ420" s="770"/>
      <c r="LA420" s="770"/>
      <c r="LB420" s="770"/>
      <c r="LC420" s="770"/>
      <c r="LD420" s="770"/>
      <c r="LE420" s="770"/>
      <c r="LF420" s="770"/>
      <c r="LG420" s="770"/>
      <c r="LH420" s="770"/>
      <c r="LI420" s="770"/>
      <c r="LJ420" s="770"/>
      <c r="LK420" s="770"/>
      <c r="LL420" s="770"/>
      <c r="LM420" s="770"/>
      <c r="LN420" s="766"/>
      <c r="LO420" s="766"/>
      <c r="LP420" s="770"/>
      <c r="LQ420" s="770"/>
      <c r="LR420" s="770"/>
      <c r="LS420" s="770"/>
      <c r="LT420" s="770"/>
      <c r="LU420" s="770"/>
      <c r="LV420" s="770"/>
      <c r="LW420" s="770"/>
      <c r="LX420" s="769"/>
      <c r="LY420" s="766" t="str">
        <f t="shared" si="100"/>
        <v/>
      </c>
      <c r="LZ420" s="1709"/>
      <c r="MA420" s="1709"/>
      <c r="MB420" s="1709"/>
      <c r="MC420" s="1679">
        <f t="shared" si="99"/>
        <v>0</v>
      </c>
      <c r="MD420" s="1709"/>
      <c r="ME420" s="1709"/>
      <c r="MF420" s="1709"/>
      <c r="MG420" s="1680">
        <f t="shared" si="101"/>
        <v>0</v>
      </c>
      <c r="MH420" s="770"/>
      <c r="MI420" s="302"/>
      <c r="MJ420" s="302"/>
      <c r="MK420" s="302"/>
      <c r="ML420" s="302"/>
      <c r="MM420" s="302"/>
      <c r="MN420" s="302"/>
      <c r="MO420" s="302"/>
      <c r="MP420" s="302"/>
      <c r="MQ420" s="302"/>
      <c r="MR420" s="302"/>
      <c r="MS420" s="302"/>
      <c r="MT420" s="302"/>
      <c r="MU420" s="302"/>
      <c r="MV420" s="302"/>
      <c r="MW420" s="302"/>
      <c r="MX420" s="302"/>
      <c r="MY420" s="1682">
        <f t="shared" si="102"/>
        <v>0</v>
      </c>
      <c r="MZ420" s="770"/>
      <c r="NA420" s="770"/>
      <c r="NB420" s="770"/>
      <c r="NC420" s="770"/>
      <c r="ND420" s="770"/>
      <c r="NE420" s="770"/>
      <c r="NF420" s="770"/>
      <c r="NG420" s="770"/>
      <c r="NH420" s="770"/>
      <c r="NI420" s="770"/>
      <c r="NJ420" s="770"/>
      <c r="NK420" s="770"/>
      <c r="NL420" s="770"/>
      <c r="NM420" s="770"/>
      <c r="NN420" s="770"/>
      <c r="NO420" s="770"/>
      <c r="NP420" s="770"/>
      <c r="NQ420" s="770"/>
      <c r="NR420" s="770"/>
      <c r="NS420" s="770"/>
      <c r="NT420" s="770"/>
      <c r="NU420" s="770"/>
      <c r="NV420" s="770"/>
      <c r="NW420" s="770"/>
      <c r="NX420" s="770"/>
      <c r="NY420" s="770"/>
      <c r="NZ420" s="770"/>
      <c r="OA420" s="770"/>
      <c r="OB420" s="770"/>
      <c r="OC420" s="770"/>
      <c r="OD420" s="770"/>
      <c r="OE420" s="770"/>
      <c r="OF420" s="770"/>
      <c r="OG420" s="770"/>
      <c r="OH420" s="770"/>
      <c r="OI420" s="770"/>
      <c r="OJ420" s="770"/>
      <c r="OK420" s="770"/>
      <c r="OL420" s="770"/>
      <c r="OM420" s="770"/>
      <c r="ON420" s="770"/>
      <c r="OO420" s="770"/>
      <c r="OP420" s="770"/>
      <c r="OQ420" s="770"/>
      <c r="OR420" s="770"/>
      <c r="OS420" s="770"/>
      <c r="OT420" s="770"/>
      <c r="OU420" s="770"/>
      <c r="OV420" s="770"/>
      <c r="OW420" s="770"/>
      <c r="OX420" s="770"/>
      <c r="OY420" s="770"/>
      <c r="OZ420" s="770"/>
      <c r="PA420" s="770"/>
      <c r="PB420" s="770"/>
      <c r="PC420" s="770"/>
      <c r="PD420" s="770"/>
      <c r="PE420" s="770"/>
      <c r="PF420" s="770"/>
      <c r="PG420" s="770"/>
      <c r="PH420" s="770"/>
      <c r="PI420" s="770"/>
      <c r="PJ420" s="770"/>
      <c r="PK420" s="770"/>
      <c r="PL420" s="770"/>
      <c r="PM420" s="770"/>
      <c r="PN420" s="770"/>
      <c r="PO420" s="770"/>
      <c r="PP420" s="770"/>
      <c r="PQ420" s="770"/>
      <c r="PR420" s="770"/>
      <c r="PS420" s="770"/>
      <c r="PT420" s="770"/>
      <c r="PU420" s="770"/>
      <c r="PV420" s="770"/>
      <c r="PW420" s="770"/>
      <c r="PX420" s="770"/>
      <c r="PY420" s="770"/>
      <c r="PZ420" s="770"/>
      <c r="QA420" s="770"/>
      <c r="QB420" s="770"/>
      <c r="QC420" s="770"/>
      <c r="QD420" s="770"/>
      <c r="QE420" s="770"/>
      <c r="QF420" s="770"/>
      <c r="QG420" s="770"/>
      <c r="QH420" s="770"/>
      <c r="QI420" s="770"/>
      <c r="QJ420" s="770"/>
      <c r="QK420" s="770"/>
      <c r="QL420" s="770"/>
      <c r="QM420" s="770"/>
      <c r="QN420" s="770"/>
      <c r="QO420" s="770"/>
      <c r="QP420" s="770"/>
      <c r="QQ420" s="770"/>
      <c r="QR420" s="770"/>
      <c r="QS420" s="770"/>
      <c r="QT420" s="770"/>
      <c r="QU420" s="770"/>
      <c r="QV420" s="770"/>
      <c r="QW420" s="770"/>
      <c r="QX420" s="770"/>
      <c r="QY420" s="770"/>
      <c r="QZ420" s="770"/>
      <c r="RA420" s="770"/>
      <c r="RB420" s="770"/>
      <c r="RC420" s="770"/>
      <c r="RD420" s="770"/>
      <c r="RE420" s="770"/>
      <c r="RF420" s="304"/>
      <c r="RG420" s="770"/>
      <c r="RH420" s="302"/>
      <c r="RI420" s="770"/>
      <c r="RJ420" s="770" t="s">
        <v>13537</v>
      </c>
      <c r="RK420" s="770" t="s">
        <v>13538</v>
      </c>
      <c r="RL420" s="1710"/>
      <c r="RM420" s="12"/>
      <c r="RN420" s="1711"/>
      <c r="RO420" s="533" t="s">
        <v>2268</v>
      </c>
      <c r="RP420" s="11"/>
      <c r="RQ420" s="11"/>
      <c r="RR420" s="17"/>
      <c r="RS420" s="767"/>
      <c r="RT420" s="11"/>
      <c r="RU420" s="11"/>
      <c r="RV420" s="771" t="s">
        <v>7419</v>
      </c>
      <c r="RW420" s="11" t="s">
        <v>7675</v>
      </c>
      <c r="RX420" s="11" t="s">
        <v>2250</v>
      </c>
      <c r="RY420" s="11"/>
      <c r="RZ420" s="11" t="s">
        <v>2209</v>
      </c>
      <c r="SA420" s="771"/>
      <c r="SB420" s="11"/>
      <c r="SC420" s="11"/>
    </row>
    <row r="421" spans="1:497" ht="12.75" hidden="1" customHeight="1">
      <c r="A421" s="19" t="s">
        <v>7419</v>
      </c>
      <c r="B421" s="874" t="s">
        <v>7736</v>
      </c>
      <c r="C421" s="514" t="s">
        <v>2272</v>
      </c>
      <c r="D421" s="1714" t="s">
        <v>2251</v>
      </c>
      <c r="E421" s="6" t="s">
        <v>11910</v>
      </c>
      <c r="F421" s="1019"/>
      <c r="G421" s="1019"/>
      <c r="H421" s="1019"/>
      <c r="I421" s="1812"/>
      <c r="J421" s="1714"/>
      <c r="K421" s="6" t="s">
        <v>2273</v>
      </c>
      <c r="L421" s="6" t="s">
        <v>2276</v>
      </c>
      <c r="M421" s="1019" t="s">
        <v>1238</v>
      </c>
      <c r="N421" s="1019" t="s">
        <v>11644</v>
      </c>
      <c r="O421" s="1019" t="s">
        <v>11645</v>
      </c>
      <c r="P421" s="1019"/>
      <c r="Q421" s="1805"/>
      <c r="R421" s="1718"/>
      <c r="S421" s="1019"/>
      <c r="T421" s="1019"/>
      <c r="U421" s="1825"/>
      <c r="V421" s="1019"/>
      <c r="W421" s="1825"/>
      <c r="X421" s="1805"/>
      <c r="Y421" s="1019"/>
      <c r="Z421" s="1019"/>
      <c r="AA421" s="1019"/>
      <c r="AB421" s="1019"/>
      <c r="AC421" s="1019"/>
      <c r="AD421" s="1019"/>
      <c r="AE421" s="1019"/>
      <c r="AF421" s="1019"/>
      <c r="AG421" s="1019" t="s">
        <v>1132</v>
      </c>
      <c r="AH421" s="766" t="s">
        <v>1120</v>
      </c>
      <c r="AI421" s="1019"/>
      <c r="AJ421" s="1019" t="s">
        <v>1137</v>
      </c>
      <c r="AK421" s="1019" t="s">
        <v>1097</v>
      </c>
      <c r="AL421" s="1770">
        <v>4</v>
      </c>
      <c r="AM421" s="1108">
        <v>4</v>
      </c>
      <c r="AN421" s="1078">
        <f t="shared" si="108"/>
        <v>1</v>
      </c>
      <c r="AO421" s="6" t="s">
        <v>1122</v>
      </c>
      <c r="AP421" s="6" t="s">
        <v>1137</v>
      </c>
      <c r="AQ421" s="6"/>
      <c r="AR421" s="6"/>
      <c r="AS421" s="1019"/>
      <c r="AT421" s="1019"/>
      <c r="AU421" s="1019"/>
      <c r="AV421" s="1019"/>
      <c r="AW421" s="1019"/>
      <c r="AX421" s="1019"/>
      <c r="AY421" s="1019"/>
      <c r="AZ421" s="1019"/>
      <c r="BA421" s="1019"/>
      <c r="BB421" s="1019"/>
      <c r="BC421" s="1019"/>
      <c r="BD421" s="1019"/>
      <c r="BE421" s="1019"/>
      <c r="BF421" s="1027"/>
      <c r="BG421" s="1027"/>
      <c r="BH421" s="1019"/>
      <c r="BI421" s="1019"/>
      <c r="BJ421" s="1019"/>
      <c r="BK421" s="1019" t="s">
        <v>1099</v>
      </c>
      <c r="BL421" s="1019" t="s">
        <v>1137</v>
      </c>
      <c r="BM421" s="766" t="s">
        <v>14275</v>
      </c>
      <c r="BN421" s="1019" t="s">
        <v>1230</v>
      </c>
      <c r="BO421" s="766"/>
      <c r="BP421" s="1033"/>
      <c r="BQ421" s="46"/>
      <c r="BR421" s="47"/>
      <c r="BS421" s="6"/>
      <c r="BT421" s="6"/>
      <c r="BU421" s="1019"/>
      <c r="BV421" s="1019"/>
      <c r="BW421" s="1019"/>
      <c r="BX421" s="1027"/>
      <c r="BY421" s="1019"/>
      <c r="BZ421" s="1027"/>
      <c r="CA421" s="1019"/>
      <c r="CB421" s="770" t="s">
        <v>1207</v>
      </c>
      <c r="CC421" s="770" t="s">
        <v>1137</v>
      </c>
      <c r="CD421" s="770"/>
      <c r="CE421" s="770"/>
      <c r="CF421" s="1753">
        <v>3.5</v>
      </c>
      <c r="CG421" s="1754"/>
      <c r="CH421" s="770" t="s">
        <v>2278</v>
      </c>
      <c r="CI421" s="770"/>
      <c r="CJ421" s="770"/>
      <c r="CK421" s="770"/>
      <c r="CL421" s="770" t="s">
        <v>2279</v>
      </c>
      <c r="CM421" s="770"/>
      <c r="CN421" s="770"/>
      <c r="CO421" s="770"/>
      <c r="CP421" s="770"/>
      <c r="CQ421" s="770"/>
      <c r="CR421" s="302"/>
      <c r="CS421" s="770"/>
      <c r="CT421" s="770"/>
      <c r="CU421" s="305"/>
      <c r="CV421" s="770"/>
      <c r="CW421" s="770"/>
      <c r="CX421" s="770"/>
      <c r="CY421" s="770"/>
      <c r="CZ421" s="770"/>
      <c r="DA421" s="306"/>
      <c r="DB421" s="770"/>
      <c r="DC421" s="770"/>
      <c r="DD421" s="770"/>
      <c r="DE421" s="300"/>
      <c r="DF421" s="770"/>
      <c r="DG421" s="770"/>
      <c r="DH421" s="770"/>
      <c r="DI421" s="770"/>
      <c r="DJ421" s="770"/>
      <c r="DK421" s="770"/>
      <c r="DL421" s="770"/>
      <c r="DM421" s="770"/>
      <c r="DN421" s="322"/>
      <c r="DO421" s="770"/>
      <c r="DP421" s="770"/>
      <c r="DQ421" s="770"/>
      <c r="DR421" s="770"/>
      <c r="DS421" s="307"/>
      <c r="DT421" s="770"/>
      <c r="DU421" s="770"/>
      <c r="DV421" s="770"/>
      <c r="DW421" s="306"/>
      <c r="DX421" s="306"/>
      <c r="DY421" s="770"/>
      <c r="DZ421" s="770"/>
      <c r="EA421" s="770"/>
      <c r="EB421" s="770"/>
      <c r="EC421" s="770"/>
      <c r="ED421" s="770"/>
      <c r="EE421" s="770"/>
      <c r="EF421" s="770"/>
      <c r="EG421" s="770"/>
      <c r="EH421" s="770"/>
      <c r="EI421" s="770"/>
      <c r="EJ421" s="770"/>
      <c r="EK421" s="770"/>
      <c r="EL421" s="770"/>
      <c r="EM421" s="770"/>
      <c r="EN421" s="770"/>
      <c r="EO421" s="770"/>
      <c r="EP421" s="94"/>
      <c r="EQ421" s="770"/>
      <c r="ER421" s="770"/>
      <c r="ES421" s="770"/>
      <c r="ET421" s="770"/>
      <c r="EU421" s="770"/>
      <c r="EV421" s="770"/>
      <c r="EW421" s="770"/>
      <c r="EX421" s="770"/>
      <c r="EY421" s="770"/>
      <c r="EZ421" s="770" t="s">
        <v>1137</v>
      </c>
      <c r="FA421" s="770" t="s">
        <v>2280</v>
      </c>
      <c r="FB421" s="770"/>
      <c r="FC421" s="770"/>
      <c r="FD421" s="302"/>
      <c r="FE421" s="770"/>
      <c r="FF421" s="770"/>
      <c r="FG421" s="770" t="s">
        <v>2281</v>
      </c>
      <c r="FH421" s="770"/>
      <c r="FI421" s="770"/>
      <c r="FJ421" s="770"/>
      <c r="FK421" s="770"/>
      <c r="FL421" s="770"/>
      <c r="FM421" s="302"/>
      <c r="FN421" s="302"/>
      <c r="FO421" s="302"/>
      <c r="FP421" s="770" t="s">
        <v>1602</v>
      </c>
      <c r="FQ421" s="770" t="s">
        <v>1660</v>
      </c>
      <c r="FR421" s="770"/>
      <c r="FS421" s="770"/>
      <c r="FT421" s="770"/>
      <c r="FU421" s="770"/>
      <c r="FV421" s="770"/>
      <c r="FW421" s="770"/>
      <c r="FX421" s="770"/>
      <c r="FY421" s="770"/>
      <c r="FZ421" s="770"/>
      <c r="GA421" s="770"/>
      <c r="GB421" s="770"/>
      <c r="GC421" s="308"/>
      <c r="GD421" s="297"/>
      <c r="GE421" s="770"/>
      <c r="GF421" s="302"/>
      <c r="GG421" s="302"/>
      <c r="GH421" s="766"/>
      <c r="GI421" s="770"/>
      <c r="GJ421" s="770"/>
      <c r="GK421" s="770"/>
      <c r="GL421" s="770"/>
      <c r="GM421" s="770"/>
      <c r="GN421" s="299"/>
      <c r="GO421" s="770"/>
      <c r="GP421" s="770"/>
      <c r="GQ421" s="770"/>
      <c r="GR421" s="770"/>
      <c r="GS421" s="770"/>
      <c r="GT421" s="770"/>
      <c r="GU421" s="770"/>
      <c r="GV421" s="770"/>
      <c r="GW421" s="770"/>
      <c r="GX421" s="770"/>
      <c r="GY421" s="770"/>
      <c r="GZ421" s="770"/>
      <c r="HA421" s="770"/>
      <c r="HB421" s="770"/>
      <c r="HC421" s="770"/>
      <c r="HD421" s="770"/>
      <c r="HE421" s="770"/>
      <c r="HF421" s="770"/>
      <c r="HG421" s="770"/>
      <c r="HH421" s="770"/>
      <c r="HI421" s="770"/>
      <c r="HJ421" s="770"/>
      <c r="HK421" s="770"/>
      <c r="HL421" s="770"/>
      <c r="HM421" s="770"/>
      <c r="HN421" s="770"/>
      <c r="HO421" s="770"/>
      <c r="HP421" s="770"/>
      <c r="HQ421" s="770"/>
      <c r="HR421" s="770"/>
      <c r="HS421" s="770"/>
      <c r="HT421" s="770"/>
      <c r="HU421" s="770"/>
      <c r="HV421" s="770"/>
      <c r="HW421" s="770"/>
      <c r="HX421" s="770"/>
      <c r="HY421" s="770"/>
      <c r="HZ421" s="770"/>
      <c r="IA421" s="770"/>
      <c r="IB421" s="770"/>
      <c r="IC421" s="770"/>
      <c r="ID421" s="770"/>
      <c r="IE421" s="770"/>
      <c r="IF421" s="770" t="s">
        <v>2251</v>
      </c>
      <c r="IG421" s="770" t="s">
        <v>10</v>
      </c>
      <c r="IH421" s="770" t="s">
        <v>2266</v>
      </c>
      <c r="II421" s="770" t="s">
        <v>2259</v>
      </c>
      <c r="IJ421" s="770" t="s">
        <v>2282</v>
      </c>
      <c r="IK421" s="770" t="s">
        <v>1948</v>
      </c>
      <c r="IL421" s="770" t="s">
        <v>1137</v>
      </c>
      <c r="IM421" s="770"/>
      <c r="IN421" s="770" t="s">
        <v>1137</v>
      </c>
      <c r="IO421" s="296"/>
      <c r="IP421" s="770"/>
      <c r="IQ421" s="13"/>
      <c r="IR421" s="770"/>
      <c r="IS421" s="770"/>
      <c r="IT421" s="770"/>
      <c r="IU421" s="770"/>
      <c r="IV421" s="770"/>
      <c r="IW421" s="770"/>
      <c r="IX421" s="770"/>
      <c r="IY421" s="770"/>
      <c r="IZ421" s="770"/>
      <c r="JA421" s="770"/>
      <c r="JB421" s="770"/>
      <c r="JC421" s="770"/>
      <c r="JD421" s="302"/>
      <c r="JE421" s="770"/>
      <c r="JF421" s="770"/>
      <c r="JG421" s="770"/>
      <c r="JH421" s="307"/>
      <c r="JI421" s="307"/>
      <c r="JJ421" s="770"/>
      <c r="JK421" s="770"/>
      <c r="JL421" s="770"/>
      <c r="JM421" s="770"/>
      <c r="JN421" s="770"/>
      <c r="JO421" s="770"/>
      <c r="JP421" s="770"/>
      <c r="JQ421" s="770"/>
      <c r="JR421" s="770"/>
      <c r="JS421" s="770"/>
      <c r="JT421" s="766"/>
      <c r="JU421" s="766"/>
      <c r="JV421" s="766"/>
      <c r="JW421" s="766"/>
      <c r="JX421" s="770"/>
      <c r="JY421" s="770"/>
      <c r="JZ421" s="770"/>
      <c r="KA421" s="770"/>
      <c r="KB421" s="770"/>
      <c r="KC421" s="770"/>
      <c r="KD421" s="770"/>
      <c r="KE421" s="770"/>
      <c r="KF421" s="770"/>
      <c r="KG421" s="770"/>
      <c r="KH421" s="770"/>
      <c r="KI421" s="770"/>
      <c r="KJ421" s="770"/>
      <c r="KK421" s="770"/>
      <c r="KL421" s="770"/>
      <c r="KM421" s="770"/>
      <c r="KN421" s="770"/>
      <c r="KO421" s="770"/>
      <c r="KP421" s="770"/>
      <c r="KQ421" s="770"/>
      <c r="KR421" s="770"/>
      <c r="KS421" s="770"/>
      <c r="KT421" s="770"/>
      <c r="KU421" s="770"/>
      <c r="KV421" s="770"/>
      <c r="KW421" s="770"/>
      <c r="KX421" s="770"/>
      <c r="KY421" s="770"/>
      <c r="KZ421" s="770"/>
      <c r="LA421" s="770"/>
      <c r="LB421" s="770"/>
      <c r="LC421" s="770"/>
      <c r="LD421" s="770"/>
      <c r="LE421" s="770"/>
      <c r="LF421" s="770"/>
      <c r="LG421" s="770"/>
      <c r="LH421" s="770"/>
      <c r="LI421" s="770"/>
      <c r="LJ421" s="770"/>
      <c r="LK421" s="770"/>
      <c r="LL421" s="770"/>
      <c r="LM421" s="770"/>
      <c r="LN421" s="766"/>
      <c r="LO421" s="766"/>
      <c r="LP421" s="770"/>
      <c r="LQ421" s="770"/>
      <c r="LR421" s="770"/>
      <c r="LS421" s="770"/>
      <c r="LT421" s="770"/>
      <c r="LU421" s="770"/>
      <c r="LV421" s="770"/>
      <c r="LW421" s="770"/>
      <c r="LX421" s="769"/>
      <c r="LY421" s="766" t="str">
        <f t="shared" si="100"/>
        <v/>
      </c>
      <c r="LZ421" s="1709"/>
      <c r="MA421" s="1709"/>
      <c r="MB421" s="1709"/>
      <c r="MC421" s="1679">
        <f t="shared" ref="MC421:MC484" si="110">SUM(LZ421:MB421)</f>
        <v>0</v>
      </c>
      <c r="MD421" s="1709"/>
      <c r="ME421" s="1709"/>
      <c r="MF421" s="1709"/>
      <c r="MG421" s="1680">
        <f t="shared" si="101"/>
        <v>0</v>
      </c>
      <c r="MH421" s="770"/>
      <c r="MI421" s="302"/>
      <c r="MJ421" s="302"/>
      <c r="MK421" s="302"/>
      <c r="ML421" s="302"/>
      <c r="MM421" s="302"/>
      <c r="MN421" s="302"/>
      <c r="MO421" s="302"/>
      <c r="MP421" s="302"/>
      <c r="MQ421" s="302"/>
      <c r="MR421" s="302"/>
      <c r="MS421" s="302"/>
      <c r="MT421" s="302"/>
      <c r="MU421" s="302"/>
      <c r="MV421" s="302"/>
      <c r="MW421" s="302"/>
      <c r="MX421" s="302"/>
      <c r="MY421" s="1682">
        <f t="shared" si="102"/>
        <v>0</v>
      </c>
      <c r="MZ421" s="770"/>
      <c r="NA421" s="770"/>
      <c r="NB421" s="770"/>
      <c r="NC421" s="770"/>
      <c r="ND421" s="770"/>
      <c r="NE421" s="770"/>
      <c r="NF421" s="770"/>
      <c r="NG421" s="770"/>
      <c r="NH421" s="770"/>
      <c r="NI421" s="770"/>
      <c r="NJ421" s="770"/>
      <c r="NK421" s="770"/>
      <c r="NL421" s="770"/>
      <c r="NM421" s="770"/>
      <c r="NN421" s="770"/>
      <c r="NO421" s="770"/>
      <c r="NP421" s="770"/>
      <c r="NQ421" s="770"/>
      <c r="NR421" s="770"/>
      <c r="NS421" s="770"/>
      <c r="NT421" s="770"/>
      <c r="NU421" s="770"/>
      <c r="NV421" s="770"/>
      <c r="NW421" s="770"/>
      <c r="NX421" s="770"/>
      <c r="NY421" s="770"/>
      <c r="NZ421" s="770"/>
      <c r="OA421" s="770"/>
      <c r="OB421" s="770"/>
      <c r="OC421" s="770"/>
      <c r="OD421" s="770"/>
      <c r="OE421" s="770"/>
      <c r="OF421" s="770"/>
      <c r="OG421" s="770"/>
      <c r="OH421" s="770"/>
      <c r="OI421" s="770"/>
      <c r="OJ421" s="770"/>
      <c r="OK421" s="770"/>
      <c r="OL421" s="770"/>
      <c r="OM421" s="770"/>
      <c r="ON421" s="770"/>
      <c r="OO421" s="770"/>
      <c r="OP421" s="770"/>
      <c r="OQ421" s="770"/>
      <c r="OR421" s="770"/>
      <c r="OS421" s="770"/>
      <c r="OT421" s="770"/>
      <c r="OU421" s="770"/>
      <c r="OV421" s="770"/>
      <c r="OW421" s="770"/>
      <c r="OX421" s="770"/>
      <c r="OY421" s="770"/>
      <c r="OZ421" s="770"/>
      <c r="PA421" s="770"/>
      <c r="PB421" s="770"/>
      <c r="PC421" s="770"/>
      <c r="PD421" s="770"/>
      <c r="PE421" s="770"/>
      <c r="PF421" s="770"/>
      <c r="PG421" s="770"/>
      <c r="PH421" s="770"/>
      <c r="PI421" s="770"/>
      <c r="PJ421" s="770"/>
      <c r="PK421" s="770"/>
      <c r="PL421" s="770"/>
      <c r="PM421" s="770"/>
      <c r="PN421" s="770"/>
      <c r="PO421" s="770"/>
      <c r="PP421" s="770"/>
      <c r="PQ421" s="770"/>
      <c r="PR421" s="770"/>
      <c r="PS421" s="770"/>
      <c r="PT421" s="770"/>
      <c r="PU421" s="770"/>
      <c r="PV421" s="770"/>
      <c r="PW421" s="770"/>
      <c r="PX421" s="770"/>
      <c r="PY421" s="770"/>
      <c r="PZ421" s="770"/>
      <c r="QA421" s="770"/>
      <c r="QB421" s="770"/>
      <c r="QC421" s="770"/>
      <c r="QD421" s="770"/>
      <c r="QE421" s="770"/>
      <c r="QF421" s="770"/>
      <c r="QG421" s="770"/>
      <c r="QH421" s="770"/>
      <c r="QI421" s="770"/>
      <c r="QJ421" s="770"/>
      <c r="QK421" s="770"/>
      <c r="QL421" s="770"/>
      <c r="QM421" s="770"/>
      <c r="QN421" s="770"/>
      <c r="QO421" s="770"/>
      <c r="QP421" s="770"/>
      <c r="QQ421" s="770"/>
      <c r="QR421" s="770"/>
      <c r="QS421" s="770"/>
      <c r="QT421" s="770"/>
      <c r="QU421" s="770"/>
      <c r="QV421" s="770"/>
      <c r="QW421" s="770"/>
      <c r="QX421" s="770"/>
      <c r="QY421" s="770"/>
      <c r="QZ421" s="770"/>
      <c r="RA421" s="770"/>
      <c r="RB421" s="770"/>
      <c r="RC421" s="770"/>
      <c r="RD421" s="770"/>
      <c r="RE421" s="770"/>
      <c r="RF421" s="304"/>
      <c r="RG421" s="770"/>
      <c r="RH421" s="302"/>
      <c r="RI421" s="770"/>
      <c r="RJ421" s="770" t="s">
        <v>13539</v>
      </c>
      <c r="RK421" s="770"/>
      <c r="RL421" s="1710"/>
      <c r="RM421" s="12"/>
      <c r="RN421" s="1711"/>
      <c r="RO421" s="514" t="s">
        <v>2272</v>
      </c>
      <c r="RP421" s="11"/>
      <c r="RQ421" s="11"/>
      <c r="RR421" s="17"/>
      <c r="RS421" s="767"/>
      <c r="RT421" s="11"/>
      <c r="RU421" s="11"/>
      <c r="RV421" s="771" t="s">
        <v>7419</v>
      </c>
      <c r="RW421" s="11" t="s">
        <v>7735</v>
      </c>
      <c r="RX421" s="11" t="s">
        <v>2262</v>
      </c>
      <c r="RY421" s="11"/>
      <c r="RZ421" s="11" t="s">
        <v>2209</v>
      </c>
      <c r="SA421" s="771"/>
      <c r="SB421" s="11"/>
      <c r="SC421" s="11"/>
    </row>
    <row r="422" spans="1:497" ht="12.75" hidden="1" customHeight="1">
      <c r="A422" s="19" t="s">
        <v>7419</v>
      </c>
      <c r="B422" s="752" t="s">
        <v>7993</v>
      </c>
      <c r="C422" s="133" t="s">
        <v>2283</v>
      </c>
      <c r="D422" s="94" t="s">
        <v>2296</v>
      </c>
      <c r="E422" s="770" t="s">
        <v>5845</v>
      </c>
      <c r="F422" s="770"/>
      <c r="G422" s="770" t="s">
        <v>18</v>
      </c>
      <c r="H422" s="770"/>
      <c r="I422" s="295" t="s">
        <v>2284</v>
      </c>
      <c r="J422" s="94"/>
      <c r="K422" s="766" t="s">
        <v>2285</v>
      </c>
      <c r="L422" s="766" t="s">
        <v>2286</v>
      </c>
      <c r="M422" s="770" t="s">
        <v>1238</v>
      </c>
      <c r="N422" s="770"/>
      <c r="O422" s="770" t="s">
        <v>2277</v>
      </c>
      <c r="P422" s="770"/>
      <c r="Q422" s="1088"/>
      <c r="R422" s="297"/>
      <c r="S422" s="770"/>
      <c r="T422" s="770"/>
      <c r="U422" s="298"/>
      <c r="V422" s="770"/>
      <c r="W422" s="770"/>
      <c r="X422" s="770"/>
      <c r="Y422" s="770"/>
      <c r="Z422" s="770"/>
      <c r="AA422" s="770"/>
      <c r="AB422" s="770"/>
      <c r="AC422" s="770"/>
      <c r="AD422" s="770"/>
      <c r="AE422" s="770"/>
      <c r="AF422" s="770"/>
      <c r="AG422" s="766" t="s">
        <v>1165</v>
      </c>
      <c r="AH422" s="766" t="s">
        <v>1120</v>
      </c>
      <c r="AI422" s="770"/>
      <c r="AJ422" s="770" t="s">
        <v>1138</v>
      </c>
      <c r="AK422" s="770" t="s">
        <v>1097</v>
      </c>
      <c r="AL422" s="531">
        <v>600</v>
      </c>
      <c r="AM422" s="780">
        <v>64</v>
      </c>
      <c r="AN422" s="532">
        <f t="shared" si="108"/>
        <v>0.10666666666666667</v>
      </c>
      <c r="AO422" s="766" t="s">
        <v>1098</v>
      </c>
      <c r="AP422" s="766" t="s">
        <v>1137</v>
      </c>
      <c r="AQ422" s="766"/>
      <c r="AR422" s="766"/>
      <c r="AS422" s="770" t="s">
        <v>1207</v>
      </c>
      <c r="AT422" s="770" t="s">
        <v>1208</v>
      </c>
      <c r="AU422" s="770"/>
      <c r="AV422" s="770"/>
      <c r="AW422" s="770"/>
      <c r="AX422" s="770"/>
      <c r="AY422" s="770"/>
      <c r="AZ422" s="770"/>
      <c r="BA422" s="770"/>
      <c r="BB422" s="770"/>
      <c r="BC422" s="770"/>
      <c r="BD422" s="770"/>
      <c r="BE422" s="770"/>
      <c r="BF422" s="302"/>
      <c r="BG422" s="302"/>
      <c r="BH422" s="770"/>
      <c r="BI422" s="770"/>
      <c r="BJ422" s="770"/>
      <c r="BK422" s="770" t="s">
        <v>1099</v>
      </c>
      <c r="BL422" s="770" t="s">
        <v>2287</v>
      </c>
      <c r="BM422" s="766" t="s">
        <v>1120</v>
      </c>
      <c r="BN422" s="770" t="s">
        <v>1272</v>
      </c>
      <c r="BO422" s="766" t="s">
        <v>1239</v>
      </c>
      <c r="BP422" s="765">
        <v>600</v>
      </c>
      <c r="BQ422" s="780">
        <v>143.19999999999999</v>
      </c>
      <c r="BR422" s="774">
        <f t="shared" si="109"/>
        <v>0.23866666666666664</v>
      </c>
      <c r="BS422" s="6" t="s">
        <v>1149</v>
      </c>
      <c r="BT422" s="766" t="s">
        <v>2040</v>
      </c>
      <c r="BU422" s="770" t="s">
        <v>1249</v>
      </c>
      <c r="BV422" s="766" t="s">
        <v>1243</v>
      </c>
      <c r="BW422" s="770">
        <v>2013</v>
      </c>
      <c r="BX422" s="302"/>
      <c r="BY422" s="770" t="s">
        <v>1207</v>
      </c>
      <c r="BZ422" s="302"/>
      <c r="CA422" s="770"/>
      <c r="CB422" s="770"/>
      <c r="CC422" s="770"/>
      <c r="CD422" s="770"/>
      <c r="CE422" s="770"/>
      <c r="CF422" s="1753"/>
      <c r="CG422" s="1754"/>
      <c r="CH422" s="770"/>
      <c r="CI422" s="770"/>
      <c r="CJ422" s="770"/>
      <c r="CK422" s="770"/>
      <c r="CL422" s="770"/>
      <c r="CM422" s="770"/>
      <c r="CN422" s="770"/>
      <c r="CO422" s="770"/>
      <c r="CP422" s="770"/>
      <c r="CQ422" s="770"/>
      <c r="CR422" s="302"/>
      <c r="CS422" s="770"/>
      <c r="CT422" s="770"/>
      <c r="CU422" s="305"/>
      <c r="CV422" s="770"/>
      <c r="CW422" s="770"/>
      <c r="CX422" s="770"/>
      <c r="CY422" s="770"/>
      <c r="CZ422" s="770"/>
      <c r="DA422" s="306"/>
      <c r="DB422" s="770"/>
      <c r="DC422" s="770"/>
      <c r="DD422" s="770"/>
      <c r="DE422" s="300"/>
      <c r="DF422" s="770"/>
      <c r="DG422" s="770"/>
      <c r="DH422" s="770"/>
      <c r="DI422" s="770"/>
      <c r="DJ422" s="770"/>
      <c r="DK422" s="770"/>
      <c r="DL422" s="770"/>
      <c r="DM422" s="770"/>
      <c r="DN422" s="322"/>
      <c r="DO422" s="770"/>
      <c r="DP422" s="770"/>
      <c r="DQ422" s="770"/>
      <c r="DR422" s="770"/>
      <c r="DS422" s="307"/>
      <c r="DT422" s="770"/>
      <c r="DU422" s="770"/>
      <c r="DV422" s="770"/>
      <c r="DW422" s="306"/>
      <c r="DX422" s="306"/>
      <c r="DY422" s="770"/>
      <c r="DZ422" s="770"/>
      <c r="EA422" s="770"/>
      <c r="EB422" s="770"/>
      <c r="EC422" s="770"/>
      <c r="ED422" s="770"/>
      <c r="EE422" s="770"/>
      <c r="EF422" s="770"/>
      <c r="EG422" s="770"/>
      <c r="EH422" s="770"/>
      <c r="EI422" s="770"/>
      <c r="EJ422" s="770"/>
      <c r="EK422" s="770"/>
      <c r="EL422" s="770"/>
      <c r="EM422" s="770"/>
      <c r="EN422" s="770"/>
      <c r="EO422" s="770"/>
      <c r="EP422" s="94"/>
      <c r="EQ422" s="770"/>
      <c r="ER422" s="770"/>
      <c r="ES422" s="770"/>
      <c r="ET422" s="770"/>
      <c r="EU422" s="770"/>
      <c r="EV422" s="770"/>
      <c r="EW422" s="770"/>
      <c r="EX422" s="770"/>
      <c r="EY422" s="770"/>
      <c r="EZ422" s="770"/>
      <c r="FA422" s="770"/>
      <c r="FB422" s="770"/>
      <c r="FC422" s="770"/>
      <c r="FD422" s="302"/>
      <c r="FE422" s="770"/>
      <c r="FF422" s="770"/>
      <c r="FG422" s="770"/>
      <c r="FH422" s="770"/>
      <c r="FI422" s="770"/>
      <c r="FJ422" s="770"/>
      <c r="FK422" s="770"/>
      <c r="FL422" s="770"/>
      <c r="FM422" s="302"/>
      <c r="FN422" s="302"/>
      <c r="FO422" s="302"/>
      <c r="FP422" s="770" t="s">
        <v>1600</v>
      </c>
      <c r="FQ422" s="770" t="s">
        <v>1635</v>
      </c>
      <c r="FR422" s="770" t="s">
        <v>1207</v>
      </c>
      <c r="FS422" s="770" t="s">
        <v>1208</v>
      </c>
      <c r="FT422" s="770"/>
      <c r="FU422" s="770"/>
      <c r="FV422" s="770"/>
      <c r="FW422" s="770" t="s">
        <v>1208</v>
      </c>
      <c r="FX422" s="770" t="s">
        <v>1208</v>
      </c>
      <c r="FY422" s="770"/>
      <c r="FZ422" s="770"/>
      <c r="GA422" s="770"/>
      <c r="GB422" s="770" t="s">
        <v>1215</v>
      </c>
      <c r="GC422" s="308" t="s">
        <v>2288</v>
      </c>
      <c r="GD422" s="297">
        <v>2013</v>
      </c>
      <c r="GE422" s="770" t="s">
        <v>1214</v>
      </c>
      <c r="GF422" s="302"/>
      <c r="GG422" s="302"/>
      <c r="GH422" s="766"/>
      <c r="GI422" s="770"/>
      <c r="GJ422" s="770"/>
      <c r="GK422" s="770"/>
      <c r="GL422" s="770"/>
      <c r="GM422" s="770"/>
      <c r="GN422" s="299"/>
      <c r="GO422" s="770"/>
      <c r="GP422" s="770"/>
      <c r="GQ422" s="770"/>
      <c r="GR422" s="770"/>
      <c r="GS422" s="770"/>
      <c r="GT422" s="770"/>
      <c r="GU422" s="770"/>
      <c r="GV422" s="770"/>
      <c r="GW422" s="770"/>
      <c r="GX422" s="770"/>
      <c r="GY422" s="770"/>
      <c r="GZ422" s="770"/>
      <c r="HA422" s="770"/>
      <c r="HB422" s="770"/>
      <c r="HC422" s="770"/>
      <c r="HD422" s="770"/>
      <c r="HE422" s="770"/>
      <c r="HF422" s="770"/>
      <c r="HG422" s="770"/>
      <c r="HH422" s="770"/>
      <c r="HI422" s="770"/>
      <c r="HJ422" s="770"/>
      <c r="HK422" s="770"/>
      <c r="HL422" s="770"/>
      <c r="HM422" s="770"/>
      <c r="HN422" s="770"/>
      <c r="HO422" s="770"/>
      <c r="HP422" s="770"/>
      <c r="HQ422" s="770"/>
      <c r="HR422" s="770"/>
      <c r="HS422" s="770"/>
      <c r="HT422" s="770"/>
      <c r="HU422" s="770"/>
      <c r="HV422" s="770"/>
      <c r="HW422" s="770"/>
      <c r="HX422" s="770"/>
      <c r="HY422" s="770"/>
      <c r="HZ422" s="770"/>
      <c r="IA422" s="770"/>
      <c r="IB422" s="770"/>
      <c r="IC422" s="770"/>
      <c r="ID422" s="770"/>
      <c r="IE422" s="770"/>
      <c r="IF422" s="770" t="s">
        <v>2289</v>
      </c>
      <c r="IG422" s="770" t="s">
        <v>18</v>
      </c>
      <c r="IH422" s="770" t="s">
        <v>2290</v>
      </c>
      <c r="II422" s="770" t="s">
        <v>2291</v>
      </c>
      <c r="IJ422" s="770" t="s">
        <v>2292</v>
      </c>
      <c r="IK422" s="770"/>
      <c r="IL422" s="770" t="s">
        <v>2293</v>
      </c>
      <c r="IM422" s="770">
        <v>2013</v>
      </c>
      <c r="IN422" s="770"/>
      <c r="IO422" s="296"/>
      <c r="IP422" s="770" t="s">
        <v>8112</v>
      </c>
      <c r="IQ422" s="769" t="s">
        <v>8141</v>
      </c>
      <c r="IR422" s="770"/>
      <c r="IS422" s="770"/>
      <c r="IT422" s="770"/>
      <c r="IU422" s="770"/>
      <c r="IV422" s="770"/>
      <c r="IW422" s="770"/>
      <c r="IX422" s="770"/>
      <c r="IY422" s="770"/>
      <c r="IZ422" s="770"/>
      <c r="JA422" s="770"/>
      <c r="JB422" s="770"/>
      <c r="JC422" s="770"/>
      <c r="JD422" s="302"/>
      <c r="JE422" s="770"/>
      <c r="JF422" s="770"/>
      <c r="JG422" s="770"/>
      <c r="JH422" s="307"/>
      <c r="JI422" s="307"/>
      <c r="JJ422" s="770"/>
      <c r="JK422" s="770"/>
      <c r="JL422" s="770"/>
      <c r="JM422" s="770"/>
      <c r="JN422" s="770"/>
      <c r="JO422" s="770"/>
      <c r="JP422" s="770"/>
      <c r="JQ422" s="770"/>
      <c r="JR422" s="770"/>
      <c r="JS422" s="770"/>
      <c r="JT422" s="766"/>
      <c r="JU422" s="766"/>
      <c r="JV422" s="766"/>
      <c r="JW422" s="766"/>
      <c r="JX422" s="770"/>
      <c r="JY422" s="770"/>
      <c r="JZ422" s="770"/>
      <c r="KA422" s="770"/>
      <c r="KB422" s="770"/>
      <c r="KC422" s="770"/>
      <c r="KD422" s="770"/>
      <c r="KE422" s="770"/>
      <c r="KF422" s="770"/>
      <c r="KG422" s="770"/>
      <c r="KH422" s="770"/>
      <c r="KI422" s="770"/>
      <c r="KJ422" s="770"/>
      <c r="KK422" s="770"/>
      <c r="KL422" s="770"/>
      <c r="KM422" s="770"/>
      <c r="KN422" s="770"/>
      <c r="KO422" s="770"/>
      <c r="KP422" s="770"/>
      <c r="KQ422" s="770"/>
      <c r="KR422" s="770"/>
      <c r="KS422" s="770"/>
      <c r="KT422" s="770"/>
      <c r="KU422" s="770"/>
      <c r="KV422" s="770"/>
      <c r="KW422" s="770"/>
      <c r="KX422" s="770"/>
      <c r="KY422" s="770"/>
      <c r="KZ422" s="770"/>
      <c r="LA422" s="770"/>
      <c r="LB422" s="770"/>
      <c r="LC422" s="770"/>
      <c r="LD422" s="770"/>
      <c r="LE422" s="770"/>
      <c r="LF422" s="770"/>
      <c r="LG422" s="770"/>
      <c r="LH422" s="770"/>
      <c r="LI422" s="770"/>
      <c r="LJ422" s="770"/>
      <c r="LK422" s="770"/>
      <c r="LL422" s="770"/>
      <c r="LM422" s="770"/>
      <c r="LN422" s="766"/>
      <c r="LO422" s="766"/>
      <c r="LP422" s="770"/>
      <c r="LQ422" s="770"/>
      <c r="LR422" s="770"/>
      <c r="LS422" s="770"/>
      <c r="LT422" s="770"/>
      <c r="LU422" s="770"/>
      <c r="LV422" s="770"/>
      <c r="LW422" s="770"/>
      <c r="LX422" s="769"/>
      <c r="LY422" s="766" t="str">
        <f t="shared" si="100"/>
        <v/>
      </c>
      <c r="LZ422" s="1709"/>
      <c r="MA422" s="1709"/>
      <c r="MB422" s="1709"/>
      <c r="MC422" s="1679">
        <f t="shared" si="110"/>
        <v>0</v>
      </c>
      <c r="MD422" s="1709"/>
      <c r="ME422" s="1709"/>
      <c r="MF422" s="1709"/>
      <c r="MG422" s="1680">
        <f t="shared" si="101"/>
        <v>0</v>
      </c>
      <c r="MH422" s="770"/>
      <c r="MI422" s="302"/>
      <c r="MJ422" s="302"/>
      <c r="MK422" s="302"/>
      <c r="ML422" s="302"/>
      <c r="MM422" s="302"/>
      <c r="MN422" s="302"/>
      <c r="MO422" s="302"/>
      <c r="MP422" s="302"/>
      <c r="MQ422" s="302"/>
      <c r="MR422" s="302"/>
      <c r="MS422" s="302"/>
      <c r="MT422" s="302"/>
      <c r="MU422" s="302"/>
      <c r="MV422" s="302"/>
      <c r="MW422" s="302"/>
      <c r="MX422" s="302"/>
      <c r="MY422" s="1682">
        <f t="shared" si="102"/>
        <v>0</v>
      </c>
      <c r="MZ422" s="770"/>
      <c r="NA422" s="770"/>
      <c r="NB422" s="770"/>
      <c r="NC422" s="770"/>
      <c r="ND422" s="770"/>
      <c r="NE422" s="770"/>
      <c r="NF422" s="770"/>
      <c r="NG422" s="770"/>
      <c r="NH422" s="770"/>
      <c r="NI422" s="770"/>
      <c r="NJ422" s="770"/>
      <c r="NK422" s="770"/>
      <c r="NL422" s="770"/>
      <c r="NM422" s="770"/>
      <c r="NN422" s="770"/>
      <c r="NO422" s="770"/>
      <c r="NP422" s="770"/>
      <c r="NQ422" s="770"/>
      <c r="NR422" s="770"/>
      <c r="NS422" s="770"/>
      <c r="NT422" s="770"/>
      <c r="NU422" s="770"/>
      <c r="NV422" s="770"/>
      <c r="NW422" s="770"/>
      <c r="NX422" s="770"/>
      <c r="NY422" s="770"/>
      <c r="NZ422" s="770"/>
      <c r="OA422" s="770"/>
      <c r="OB422" s="770"/>
      <c r="OC422" s="770"/>
      <c r="OD422" s="770"/>
      <c r="OE422" s="770"/>
      <c r="OF422" s="770"/>
      <c r="OG422" s="770"/>
      <c r="OH422" s="770"/>
      <c r="OI422" s="770"/>
      <c r="OJ422" s="770"/>
      <c r="OK422" s="770"/>
      <c r="OL422" s="770"/>
      <c r="OM422" s="770"/>
      <c r="ON422" s="770"/>
      <c r="OO422" s="770"/>
      <c r="OP422" s="770"/>
      <c r="OQ422" s="770"/>
      <c r="OR422" s="770"/>
      <c r="OS422" s="770"/>
      <c r="OT422" s="770"/>
      <c r="OU422" s="770"/>
      <c r="OV422" s="770"/>
      <c r="OW422" s="770"/>
      <c r="OX422" s="770"/>
      <c r="OY422" s="770"/>
      <c r="OZ422" s="770"/>
      <c r="PA422" s="770"/>
      <c r="PB422" s="770"/>
      <c r="PC422" s="770"/>
      <c r="PD422" s="770"/>
      <c r="PE422" s="770"/>
      <c r="PF422" s="770"/>
      <c r="PG422" s="770"/>
      <c r="PH422" s="770"/>
      <c r="PI422" s="770"/>
      <c r="PJ422" s="770"/>
      <c r="PK422" s="770"/>
      <c r="PL422" s="770"/>
      <c r="PM422" s="770"/>
      <c r="PN422" s="770"/>
      <c r="PO422" s="770"/>
      <c r="PP422" s="770"/>
      <c r="PQ422" s="770"/>
      <c r="PR422" s="770"/>
      <c r="PS422" s="770"/>
      <c r="PT422" s="770"/>
      <c r="PU422" s="770"/>
      <c r="PV422" s="770"/>
      <c r="PW422" s="770"/>
      <c r="PX422" s="770"/>
      <c r="PY422" s="770"/>
      <c r="PZ422" s="770"/>
      <c r="QA422" s="770"/>
      <c r="QB422" s="770"/>
      <c r="QC422" s="770"/>
      <c r="QD422" s="770"/>
      <c r="QE422" s="770"/>
      <c r="QF422" s="770"/>
      <c r="QG422" s="770"/>
      <c r="QH422" s="770"/>
      <c r="QI422" s="770"/>
      <c r="QJ422" s="770"/>
      <c r="QK422" s="770"/>
      <c r="QL422" s="770"/>
      <c r="QM422" s="770"/>
      <c r="QN422" s="770"/>
      <c r="QO422" s="770"/>
      <c r="QP422" s="770"/>
      <c r="QQ422" s="770"/>
      <c r="QR422" s="770"/>
      <c r="QS422" s="770"/>
      <c r="QT422" s="770"/>
      <c r="QU422" s="770"/>
      <c r="QV422" s="770"/>
      <c r="QW422" s="770"/>
      <c r="QX422" s="770"/>
      <c r="QY422" s="770"/>
      <c r="QZ422" s="770"/>
      <c r="RA422" s="770"/>
      <c r="RB422" s="770"/>
      <c r="RC422" s="770"/>
      <c r="RD422" s="770"/>
      <c r="RE422" s="770"/>
      <c r="RF422" s="304"/>
      <c r="RG422" s="770"/>
      <c r="RH422" s="302"/>
      <c r="RI422" s="770"/>
      <c r="RJ422" s="770" t="s">
        <v>13540</v>
      </c>
      <c r="RK422" s="770" t="s">
        <v>13538</v>
      </c>
      <c r="RL422" s="1710"/>
      <c r="RM422" s="12"/>
      <c r="RN422" s="1711"/>
      <c r="RO422" s="133" t="s">
        <v>2283</v>
      </c>
      <c r="RP422" s="11"/>
      <c r="RQ422" s="11"/>
      <c r="RR422" s="17"/>
      <c r="RS422" s="767"/>
      <c r="RT422" s="11"/>
      <c r="RU422" s="11"/>
      <c r="RV422" s="771" t="s">
        <v>7419</v>
      </c>
      <c r="RW422" s="11" t="s">
        <v>11641</v>
      </c>
      <c r="RX422" s="11" t="s">
        <v>2268</v>
      </c>
      <c r="RY422" s="11"/>
      <c r="RZ422" s="11" t="s">
        <v>2209</v>
      </c>
      <c r="SA422" s="771"/>
      <c r="SB422" s="11"/>
      <c r="SC422" s="11"/>
    </row>
    <row r="423" spans="1:497" ht="12.75" customHeight="1">
      <c r="A423" s="19" t="s">
        <v>7421</v>
      </c>
      <c r="B423" s="1007" t="s">
        <v>7737</v>
      </c>
      <c r="C423" s="133" t="s">
        <v>2294</v>
      </c>
      <c r="D423" s="94" t="s">
        <v>2295</v>
      </c>
      <c r="E423" s="770" t="s">
        <v>5844</v>
      </c>
      <c r="F423" s="770" t="s">
        <v>28</v>
      </c>
      <c r="G423" s="770" t="s">
        <v>10</v>
      </c>
      <c r="H423" s="770"/>
      <c r="I423" s="295"/>
      <c r="J423" s="94" t="s">
        <v>2295</v>
      </c>
      <c r="K423" s="766" t="s">
        <v>2298</v>
      </c>
      <c r="L423" s="766" t="s">
        <v>2299</v>
      </c>
      <c r="M423" s="770" t="s">
        <v>1238</v>
      </c>
      <c r="N423" s="770"/>
      <c r="O423" s="770" t="s">
        <v>2277</v>
      </c>
      <c r="P423" s="94" t="s">
        <v>2300</v>
      </c>
      <c r="Q423" s="1088">
        <v>22225</v>
      </c>
      <c r="R423" s="297">
        <v>57</v>
      </c>
      <c r="S423" s="770" t="s">
        <v>10</v>
      </c>
      <c r="T423" s="770"/>
      <c r="U423" s="298"/>
      <c r="V423" s="770" t="s">
        <v>768</v>
      </c>
      <c r="W423" s="770"/>
      <c r="X423" s="770"/>
      <c r="Y423" s="770" t="s">
        <v>2297</v>
      </c>
      <c r="Z423" s="770" t="s">
        <v>708</v>
      </c>
      <c r="AA423" s="770" t="s">
        <v>709</v>
      </c>
      <c r="AB423" s="770" t="s">
        <v>710</v>
      </c>
      <c r="AC423" s="770" t="s">
        <v>724</v>
      </c>
      <c r="AD423" s="770" t="s">
        <v>711</v>
      </c>
      <c r="AE423" s="770"/>
      <c r="AF423" s="770" t="s">
        <v>712</v>
      </c>
      <c r="AG423" s="766" t="s">
        <v>1132</v>
      </c>
      <c r="AH423" s="766" t="s">
        <v>1100</v>
      </c>
      <c r="AI423" s="770"/>
      <c r="AJ423" s="770" t="s">
        <v>1137</v>
      </c>
      <c r="AK423" s="770" t="s">
        <v>1101</v>
      </c>
      <c r="AL423" s="531">
        <v>19.14</v>
      </c>
      <c r="AM423" s="780">
        <v>19.14</v>
      </c>
      <c r="AN423" s="532">
        <f t="shared" si="108"/>
        <v>1</v>
      </c>
      <c r="AO423" s="766" t="s">
        <v>1122</v>
      </c>
      <c r="AP423" s="766"/>
      <c r="AQ423" s="766"/>
      <c r="AR423" s="766"/>
      <c r="AS423" s="770"/>
      <c r="AT423" s="770"/>
      <c r="AU423" s="770"/>
      <c r="AV423" s="770"/>
      <c r="AW423" s="770"/>
      <c r="AX423" s="770"/>
      <c r="AY423" s="770"/>
      <c r="AZ423" s="770"/>
      <c r="BA423" s="770"/>
      <c r="BB423" s="770"/>
      <c r="BC423" s="770"/>
      <c r="BD423" s="770"/>
      <c r="BE423" s="770"/>
      <c r="BF423" s="302"/>
      <c r="BG423" s="302"/>
      <c r="BH423" s="770"/>
      <c r="BI423" s="770"/>
      <c r="BJ423" s="770"/>
      <c r="BK423" s="770" t="s">
        <v>1099</v>
      </c>
      <c r="BL423" s="770" t="s">
        <v>2301</v>
      </c>
      <c r="BM423" s="770" t="s">
        <v>8108</v>
      </c>
      <c r="BN423" s="770" t="s">
        <v>1230</v>
      </c>
      <c r="BO423" s="766" t="s">
        <v>1246</v>
      </c>
      <c r="BP423" s="1109">
        <v>19.14</v>
      </c>
      <c r="BQ423" s="773">
        <v>19.14</v>
      </c>
      <c r="BR423" s="774">
        <f t="shared" si="109"/>
        <v>1</v>
      </c>
      <c r="BS423" s="766" t="s">
        <v>1257</v>
      </c>
      <c r="BT423" s="770" t="s">
        <v>8133</v>
      </c>
      <c r="BU423" s="770" t="s">
        <v>1249</v>
      </c>
      <c r="BV423" s="770" t="s">
        <v>1247</v>
      </c>
      <c r="BW423" s="769"/>
      <c r="BX423" s="302"/>
      <c r="BY423" s="770"/>
      <c r="BZ423" s="302"/>
      <c r="CA423" s="770"/>
      <c r="CB423" s="770"/>
      <c r="CC423" s="770"/>
      <c r="CD423" s="770"/>
      <c r="CE423" s="770"/>
      <c r="CF423" s="1753"/>
      <c r="CG423" s="1754"/>
      <c r="CH423" s="770"/>
      <c r="CI423" s="770"/>
      <c r="CJ423" s="770"/>
      <c r="CK423" s="770"/>
      <c r="CL423" s="770"/>
      <c r="CM423" s="770"/>
      <c r="CN423" s="770"/>
      <c r="CO423" s="770"/>
      <c r="CP423" s="770"/>
      <c r="CQ423" s="770"/>
      <c r="CR423" s="302"/>
      <c r="CS423" s="770"/>
      <c r="CT423" s="770"/>
      <c r="CU423" s="305"/>
      <c r="CV423" s="770"/>
      <c r="CW423" s="770"/>
      <c r="CX423" s="770"/>
      <c r="CY423" s="770"/>
      <c r="CZ423" s="770"/>
      <c r="DA423" s="306"/>
      <c r="DB423" s="770"/>
      <c r="DC423" s="770"/>
      <c r="DD423" s="770"/>
      <c r="DE423" s="300"/>
      <c r="DF423" s="770"/>
      <c r="DG423" s="770"/>
      <c r="DH423" s="770"/>
      <c r="DI423" s="770"/>
      <c r="DJ423" s="770"/>
      <c r="DK423" s="770"/>
      <c r="DL423" s="770"/>
      <c r="DM423" s="770"/>
      <c r="DN423" s="322"/>
      <c r="DO423" s="770"/>
      <c r="DP423" s="770"/>
      <c r="DQ423" s="770"/>
      <c r="DR423" s="770"/>
      <c r="DS423" s="307"/>
      <c r="DT423" s="770"/>
      <c r="DU423" s="770"/>
      <c r="DV423" s="770"/>
      <c r="DW423" s="306"/>
      <c r="DX423" s="306"/>
      <c r="DY423" s="770"/>
      <c r="DZ423" s="770"/>
      <c r="EA423" s="770"/>
      <c r="EB423" s="770"/>
      <c r="EC423" s="770"/>
      <c r="ED423" s="770"/>
      <c r="EE423" s="770"/>
      <c r="EF423" s="770"/>
      <c r="EG423" s="770"/>
      <c r="EH423" s="770"/>
      <c r="EI423" s="770"/>
      <c r="EJ423" s="770"/>
      <c r="EK423" s="770"/>
      <c r="EL423" s="770"/>
      <c r="EM423" s="770"/>
      <c r="EN423" s="770"/>
      <c r="EO423" s="770"/>
      <c r="EP423" s="94"/>
      <c r="EQ423" s="770"/>
      <c r="ER423" s="770"/>
      <c r="ES423" s="770"/>
      <c r="ET423" s="770"/>
      <c r="EU423" s="770"/>
      <c r="EV423" s="770"/>
      <c r="EW423" s="770"/>
      <c r="EX423" s="770"/>
      <c r="EY423" s="770"/>
      <c r="EZ423" s="770"/>
      <c r="FA423" s="770"/>
      <c r="FB423" s="770"/>
      <c r="FC423" s="770"/>
      <c r="FD423" s="302"/>
      <c r="FE423" s="770"/>
      <c r="FF423" s="770"/>
      <c r="FG423" s="770"/>
      <c r="FH423" s="770" t="s">
        <v>478</v>
      </c>
      <c r="FI423" s="770">
        <v>1</v>
      </c>
      <c r="FJ423" s="770"/>
      <c r="FK423" s="770"/>
      <c r="FL423" s="770"/>
      <c r="FM423" s="302"/>
      <c r="FN423" s="302"/>
      <c r="FO423" s="302"/>
      <c r="FP423" s="766" t="s">
        <v>1602</v>
      </c>
      <c r="FQ423" s="766" t="s">
        <v>1660</v>
      </c>
      <c r="FR423" s="770" t="s">
        <v>1214</v>
      </c>
      <c r="FS423" s="770"/>
      <c r="FT423" s="770"/>
      <c r="FU423" s="770"/>
      <c r="FV423" s="770"/>
      <c r="FW423" s="770"/>
      <c r="FX423" s="770"/>
      <c r="FY423" s="770"/>
      <c r="FZ423" s="770"/>
      <c r="GA423" s="770"/>
      <c r="GB423" s="770"/>
      <c r="GC423" s="308"/>
      <c r="GD423" s="297"/>
      <c r="GE423" s="770"/>
      <c r="GF423" s="302"/>
      <c r="GG423" s="302"/>
      <c r="GH423" s="712" t="s">
        <v>14260</v>
      </c>
      <c r="GI423" s="770"/>
      <c r="GJ423" s="770" t="s">
        <v>2302</v>
      </c>
      <c r="GK423" s="770"/>
      <c r="GL423" s="770"/>
      <c r="GM423" s="770"/>
      <c r="GN423" s="299"/>
      <c r="GO423" s="770"/>
      <c r="GP423" s="770"/>
      <c r="GQ423" s="770"/>
      <c r="GR423" s="770"/>
      <c r="GS423" s="770"/>
      <c r="GT423" s="770"/>
      <c r="GU423" s="770"/>
      <c r="GV423" s="770"/>
      <c r="GW423" s="770"/>
      <c r="GX423" s="770"/>
      <c r="GY423" s="770"/>
      <c r="GZ423" s="770"/>
      <c r="HA423" s="770"/>
      <c r="HB423" s="770"/>
      <c r="HC423" s="770"/>
      <c r="HD423" s="770"/>
      <c r="HE423" s="770"/>
      <c r="HF423" s="770"/>
      <c r="HG423" s="770"/>
      <c r="HH423" s="770"/>
      <c r="HI423" s="770" t="s">
        <v>1207</v>
      </c>
      <c r="HJ423" s="770" t="s">
        <v>2303</v>
      </c>
      <c r="HK423" s="770" t="s">
        <v>2304</v>
      </c>
      <c r="HL423" s="770" t="s">
        <v>1214</v>
      </c>
      <c r="HM423" s="770"/>
      <c r="HN423" s="770"/>
      <c r="HO423" s="770" t="s">
        <v>1207</v>
      </c>
      <c r="HP423" s="770" t="s">
        <v>2305</v>
      </c>
      <c r="HQ423" s="770" t="s">
        <v>1096</v>
      </c>
      <c r="HR423" s="770"/>
      <c r="HS423" s="770"/>
      <c r="HT423" s="770"/>
      <c r="HU423" s="770"/>
      <c r="HV423" s="770"/>
      <c r="HW423" s="770"/>
      <c r="HX423" s="770"/>
      <c r="HY423" s="770"/>
      <c r="HZ423" s="770"/>
      <c r="IA423" s="770"/>
      <c r="IB423" s="14" t="e">
        <f>IF(#REF!&gt;0,IF(#REF!&lt;=10000,"Y",""),"")</f>
        <v>#REF!</v>
      </c>
      <c r="IC423" s="770"/>
      <c r="ID423" s="770"/>
      <c r="IE423" s="770"/>
      <c r="IF423" s="770" t="s">
        <v>2295</v>
      </c>
      <c r="IG423" s="770" t="s">
        <v>10</v>
      </c>
      <c r="IH423" s="770" t="s">
        <v>478</v>
      </c>
      <c r="II423" s="770" t="s">
        <v>2312</v>
      </c>
      <c r="IJ423" s="770" t="s">
        <v>2313</v>
      </c>
      <c r="IK423" s="766" t="s">
        <v>1888</v>
      </c>
      <c r="IL423" s="770" t="s">
        <v>2314</v>
      </c>
      <c r="IM423" s="770">
        <v>1978</v>
      </c>
      <c r="IN423" s="770" t="s">
        <v>2314</v>
      </c>
      <c r="IO423" s="296">
        <v>22235</v>
      </c>
      <c r="IP423" s="770" t="s">
        <v>478</v>
      </c>
      <c r="IQ423" s="13" t="s">
        <v>2727</v>
      </c>
      <c r="IR423" s="770" t="s">
        <v>2716</v>
      </c>
      <c r="IS423" s="770" t="s">
        <v>1883</v>
      </c>
      <c r="IT423" s="770"/>
      <c r="IU423" s="770" t="s">
        <v>1208</v>
      </c>
      <c r="IV423" s="770"/>
      <c r="IW423" s="770" t="s">
        <v>13541</v>
      </c>
      <c r="IX423" s="770"/>
      <c r="IY423" s="770"/>
      <c r="IZ423" s="770"/>
      <c r="JA423" s="770"/>
      <c r="JB423" s="770"/>
      <c r="JC423" s="770"/>
      <c r="JD423" s="302">
        <v>7000</v>
      </c>
      <c r="JE423" s="770"/>
      <c r="JF423" s="770"/>
      <c r="JG423" s="770"/>
      <c r="JH423" s="307"/>
      <c r="JI423" s="307"/>
      <c r="JJ423" s="770">
        <v>4</v>
      </c>
      <c r="JK423" s="1139" t="s">
        <v>2314</v>
      </c>
      <c r="JL423" s="770">
        <v>1</v>
      </c>
      <c r="JM423" s="770"/>
      <c r="JN423" s="770">
        <v>1</v>
      </c>
      <c r="JO423" s="770">
        <v>2</v>
      </c>
      <c r="JP423" s="770"/>
      <c r="JQ423" s="770"/>
      <c r="JR423" s="770"/>
      <c r="JS423" s="770"/>
      <c r="JT423" s="766">
        <f>SUM(JP423,JN423,JL423,JR423)</f>
        <v>2</v>
      </c>
      <c r="JU423" s="766">
        <f>SUM(JQ423,JO423,JM423,JS423)</f>
        <v>2</v>
      </c>
      <c r="JV423" s="712" t="str">
        <f>IF(JT423=KJ423,"ok","male")</f>
        <v>ok</v>
      </c>
      <c r="JW423" s="712" t="str">
        <f>IF(JU423=KK423,"ok","female")</f>
        <v>ok</v>
      </c>
      <c r="JX423" s="766"/>
      <c r="JY423" s="766"/>
      <c r="JZ423" s="766">
        <v>1</v>
      </c>
      <c r="KA423" s="766"/>
      <c r="KB423" s="766"/>
      <c r="KC423" s="766">
        <v>1</v>
      </c>
      <c r="KD423" s="766">
        <v>1</v>
      </c>
      <c r="KE423" s="766">
        <v>1</v>
      </c>
      <c r="KF423" s="766"/>
      <c r="KG423" s="766"/>
      <c r="KH423" s="766"/>
      <c r="KI423" s="766"/>
      <c r="KJ423" s="770">
        <f t="shared" si="103"/>
        <v>2</v>
      </c>
      <c r="KK423" s="770">
        <f t="shared" si="103"/>
        <v>2</v>
      </c>
      <c r="KL423" s="712" t="str">
        <f>IF(KJ423=LN423,"ok","male")</f>
        <v>ok</v>
      </c>
      <c r="KM423" s="712" t="str">
        <f>IF(KK423=LO423,"ok","female")</f>
        <v>ok</v>
      </c>
      <c r="KN423" s="770" t="s">
        <v>768</v>
      </c>
      <c r="KO423" s="770"/>
      <c r="KP423" s="770"/>
      <c r="KQ423" s="770"/>
      <c r="KR423" s="770"/>
      <c r="KS423" s="770"/>
      <c r="KT423" s="770">
        <v>1</v>
      </c>
      <c r="KU423" s="770"/>
      <c r="KV423" s="770"/>
      <c r="KW423" s="770"/>
      <c r="KX423" s="770"/>
      <c r="KY423" s="770"/>
      <c r="KZ423" s="770"/>
      <c r="LA423" s="770"/>
      <c r="LB423" s="770">
        <v>1</v>
      </c>
      <c r="LC423" s="770">
        <v>1</v>
      </c>
      <c r="LD423" s="770"/>
      <c r="LE423" s="770">
        <v>1</v>
      </c>
      <c r="LF423" s="770"/>
      <c r="LG423" s="770"/>
      <c r="LH423" s="770"/>
      <c r="LI423" s="770"/>
      <c r="LJ423" s="770"/>
      <c r="LK423" s="770"/>
      <c r="LL423" s="770"/>
      <c r="LM423" s="770"/>
      <c r="LN423" s="766">
        <f t="shared" ref="LN423:LO486" si="111">SUM(KP423,KR423,KT423,KV423,KX423,KZ423,LB423,LD423,LF423,LH423,LJ423,LL423)</f>
        <v>2</v>
      </c>
      <c r="LO423" s="766">
        <f t="shared" si="111"/>
        <v>2</v>
      </c>
      <c r="LP423" s="770">
        <v>1</v>
      </c>
      <c r="LQ423" s="770"/>
      <c r="LR423" s="770"/>
      <c r="LS423" s="770">
        <v>1</v>
      </c>
      <c r="LT423" s="712" t="str">
        <f>IF(LQ423=SUM(LU423:LW423),"OK","REV")</f>
        <v>OK</v>
      </c>
      <c r="LU423" s="770"/>
      <c r="LV423" s="770"/>
      <c r="LW423" s="770"/>
      <c r="LX423" s="769">
        <v>1</v>
      </c>
      <c r="LY423" s="766" t="str">
        <f t="shared" si="100"/>
        <v>within the BRGY</v>
      </c>
      <c r="LZ423" s="1709"/>
      <c r="MA423" s="1709"/>
      <c r="MB423" s="1709"/>
      <c r="MC423" s="1679">
        <f t="shared" si="110"/>
        <v>0</v>
      </c>
      <c r="MD423" s="1709"/>
      <c r="ME423" s="1709"/>
      <c r="MF423" s="1709">
        <f>7000+7000</f>
        <v>14000</v>
      </c>
      <c r="MG423" s="1680">
        <f>SUM(MD423:MF423)</f>
        <v>14000</v>
      </c>
      <c r="MH423" s="770" t="s">
        <v>13542</v>
      </c>
      <c r="MI423" s="302">
        <v>3000</v>
      </c>
      <c r="MJ423" s="302"/>
      <c r="MK423" s="302">
        <v>3000</v>
      </c>
      <c r="ML423" s="302">
        <v>4000</v>
      </c>
      <c r="MM423" s="302">
        <v>12000</v>
      </c>
      <c r="MN423" s="302"/>
      <c r="MO423" s="302">
        <v>500</v>
      </c>
      <c r="MP423" s="302">
        <v>3000</v>
      </c>
      <c r="MQ423" s="302">
        <v>720</v>
      </c>
      <c r="MR423" s="302">
        <v>250</v>
      </c>
      <c r="MS423" s="302">
        <v>6000</v>
      </c>
      <c r="MT423" s="302"/>
      <c r="MU423" s="302"/>
      <c r="MV423" s="302"/>
      <c r="MW423" s="302"/>
      <c r="MX423" s="302"/>
      <c r="MY423" s="1682">
        <f t="shared" si="102"/>
        <v>32470</v>
      </c>
      <c r="MZ423" s="770" t="s">
        <v>13370</v>
      </c>
      <c r="NA423" s="770" t="s">
        <v>13005</v>
      </c>
      <c r="NB423" s="766" t="s">
        <v>13371</v>
      </c>
      <c r="NC423" s="766" t="s">
        <v>13523</v>
      </c>
      <c r="ND423" s="770">
        <v>0</v>
      </c>
      <c r="NE423" s="770">
        <v>0</v>
      </c>
      <c r="NF423" s="770">
        <v>0</v>
      </c>
      <c r="NG423" s="770">
        <v>1</v>
      </c>
      <c r="NH423" s="770">
        <v>1</v>
      </c>
      <c r="NI423" s="770">
        <v>0</v>
      </c>
      <c r="NJ423" s="770">
        <v>0</v>
      </c>
      <c r="NK423" s="770">
        <v>0</v>
      </c>
      <c r="NL423" s="770">
        <v>0</v>
      </c>
      <c r="NM423" s="770">
        <v>1</v>
      </c>
      <c r="NN423" s="770">
        <v>0</v>
      </c>
      <c r="NO423" s="770">
        <v>0</v>
      </c>
      <c r="NP423" s="770">
        <v>0</v>
      </c>
      <c r="NQ423" s="770">
        <v>0</v>
      </c>
      <c r="NR423" s="770">
        <v>0</v>
      </c>
      <c r="NS423" s="770">
        <v>0</v>
      </c>
      <c r="NT423" s="770">
        <v>0</v>
      </c>
      <c r="NU423" s="770">
        <v>0</v>
      </c>
      <c r="NV423" s="770">
        <v>0</v>
      </c>
      <c r="NW423" s="770">
        <v>0</v>
      </c>
      <c r="NX423" s="770">
        <v>0</v>
      </c>
      <c r="NY423" s="770"/>
      <c r="NZ423" s="770"/>
      <c r="OA423" s="770"/>
      <c r="OB423" s="770"/>
      <c r="OC423" s="770" t="s">
        <v>1208</v>
      </c>
      <c r="OD423" s="770"/>
      <c r="OE423" s="770"/>
      <c r="OF423" s="770"/>
      <c r="OG423" s="770"/>
      <c r="OH423" s="770"/>
      <c r="OI423" s="770"/>
      <c r="OJ423" s="770"/>
      <c r="OK423" s="770"/>
      <c r="OL423" s="770"/>
      <c r="OM423" s="770"/>
      <c r="ON423" s="770"/>
      <c r="OO423" s="770"/>
      <c r="OP423" s="770"/>
      <c r="OQ423" s="770"/>
      <c r="OR423" s="770"/>
      <c r="OS423" s="770"/>
      <c r="OT423" s="770"/>
      <c r="OU423" s="770"/>
      <c r="OV423" s="770"/>
      <c r="OW423" s="770"/>
      <c r="OX423" s="770"/>
      <c r="OY423" s="770"/>
      <c r="OZ423" s="770"/>
      <c r="PA423" s="770"/>
      <c r="PB423" s="770"/>
      <c r="PC423" s="770"/>
      <c r="PD423" s="770"/>
      <c r="PE423" s="770"/>
      <c r="PF423" s="770"/>
      <c r="PG423" s="770"/>
      <c r="PH423" s="770"/>
      <c r="PI423" s="770"/>
      <c r="PJ423" s="770"/>
      <c r="PK423" s="770" t="s">
        <v>1208</v>
      </c>
      <c r="PL423" s="770"/>
      <c r="PM423" s="770"/>
      <c r="PN423" s="770"/>
      <c r="PO423" s="770"/>
      <c r="PP423" s="770"/>
      <c r="PQ423" s="770"/>
      <c r="PR423" s="770"/>
      <c r="PS423" s="770"/>
      <c r="PT423" s="770"/>
      <c r="PU423" s="770" t="s">
        <v>1208</v>
      </c>
      <c r="PV423" s="770"/>
      <c r="PW423" s="770"/>
      <c r="PX423" s="770"/>
      <c r="PY423" s="770" t="s">
        <v>1208</v>
      </c>
      <c r="PZ423" s="770"/>
      <c r="QA423" s="770" t="s">
        <v>1208</v>
      </c>
      <c r="QB423" s="770"/>
      <c r="QC423" s="770"/>
      <c r="QD423" s="770"/>
      <c r="QE423" s="770"/>
      <c r="QF423" s="770"/>
      <c r="QG423" s="770"/>
      <c r="QH423" s="770"/>
      <c r="QI423" s="770"/>
      <c r="QJ423" s="770"/>
      <c r="QK423" s="770"/>
      <c r="QL423" s="770"/>
      <c r="QM423" s="770"/>
      <c r="QN423" s="770"/>
      <c r="QO423" s="770"/>
      <c r="QP423" s="770"/>
      <c r="QQ423" s="770"/>
      <c r="QR423" s="770"/>
      <c r="QS423" s="770"/>
      <c r="QT423" s="770"/>
      <c r="QU423" s="770"/>
      <c r="QV423" s="770"/>
      <c r="QW423" s="770"/>
      <c r="QX423" s="770"/>
      <c r="QY423" s="770"/>
      <c r="QZ423" s="770"/>
      <c r="RA423" s="770"/>
      <c r="RB423" s="770" t="s">
        <v>1214</v>
      </c>
      <c r="RC423" s="770"/>
      <c r="RD423" s="770"/>
      <c r="RE423" s="770"/>
      <c r="RF423" s="304"/>
      <c r="RG423" s="770"/>
      <c r="RH423" s="302"/>
      <c r="RI423" s="770"/>
      <c r="RJ423" s="770" t="s">
        <v>13543</v>
      </c>
      <c r="RK423" s="770" t="s">
        <v>13544</v>
      </c>
      <c r="RL423" s="1710"/>
      <c r="RM423" s="12"/>
      <c r="RN423" s="1711"/>
      <c r="RO423" s="133" t="s">
        <v>2294</v>
      </c>
      <c r="RP423" s="11"/>
      <c r="RQ423" s="11"/>
      <c r="RR423" s="19" t="s">
        <v>7421</v>
      </c>
      <c r="RS423" s="1139" t="s">
        <v>12980</v>
      </c>
      <c r="RT423" s="11"/>
      <c r="RU423" s="11"/>
      <c r="RV423" s="771" t="s">
        <v>7419</v>
      </c>
      <c r="RW423" s="11" t="s">
        <v>7736</v>
      </c>
      <c r="RX423" s="11" t="s">
        <v>2272</v>
      </c>
      <c r="RY423" s="11"/>
      <c r="RZ423" s="11" t="s">
        <v>1101</v>
      </c>
      <c r="SA423" s="771"/>
      <c r="SB423" s="11"/>
      <c r="SC423" s="11"/>
    </row>
    <row r="424" spans="1:497" ht="12.75" customHeight="1">
      <c r="A424" s="311" t="s">
        <v>14198</v>
      </c>
      <c r="B424" s="752" t="s">
        <v>7738</v>
      </c>
      <c r="C424" s="133" t="s">
        <v>2294</v>
      </c>
      <c r="D424" s="94" t="s">
        <v>2315</v>
      </c>
      <c r="E424" s="766" t="s">
        <v>5844</v>
      </c>
      <c r="F424" s="770" t="s">
        <v>28</v>
      </c>
      <c r="G424" s="770"/>
      <c r="H424" s="770"/>
      <c r="I424" s="295"/>
      <c r="J424" s="94" t="s">
        <v>2315</v>
      </c>
      <c r="K424" s="770"/>
      <c r="L424" s="770"/>
      <c r="M424" s="770"/>
      <c r="N424" s="770"/>
      <c r="O424" s="770"/>
      <c r="P424" s="770"/>
      <c r="Q424" s="1088"/>
      <c r="R424" s="297"/>
      <c r="S424" s="770"/>
      <c r="T424" s="770"/>
      <c r="U424" s="298"/>
      <c r="V424" s="770"/>
      <c r="W424" s="770"/>
      <c r="X424" s="770"/>
      <c r="Y424" s="770"/>
      <c r="Z424" s="770"/>
      <c r="AA424" s="770"/>
      <c r="AB424" s="770"/>
      <c r="AC424" s="770"/>
      <c r="AD424" s="770"/>
      <c r="AE424" s="770"/>
      <c r="AF424" s="770"/>
      <c r="AG424" s="770"/>
      <c r="AH424" s="770"/>
      <c r="AI424" s="770"/>
      <c r="AJ424" s="770"/>
      <c r="AK424" s="770" t="s">
        <v>1101</v>
      </c>
      <c r="AL424" s="531"/>
      <c r="AM424" s="780"/>
      <c r="AN424" s="532"/>
      <c r="AO424" s="766"/>
      <c r="AP424" s="766"/>
      <c r="AQ424" s="766"/>
      <c r="AR424" s="766"/>
      <c r="AS424" s="770"/>
      <c r="AT424" s="770"/>
      <c r="AU424" s="770"/>
      <c r="AV424" s="770"/>
      <c r="AW424" s="770"/>
      <c r="AX424" s="770"/>
      <c r="AY424" s="770"/>
      <c r="AZ424" s="770"/>
      <c r="BA424" s="770"/>
      <c r="BB424" s="770"/>
      <c r="BC424" s="770"/>
      <c r="BD424" s="770"/>
      <c r="BE424" s="770"/>
      <c r="BF424" s="302"/>
      <c r="BG424" s="302"/>
      <c r="BH424" s="770"/>
      <c r="BI424" s="770"/>
      <c r="BJ424" s="770"/>
      <c r="BK424" s="770"/>
      <c r="BL424" s="770"/>
      <c r="BM424" s="770" t="s">
        <v>12385</v>
      </c>
      <c r="BN424" s="770" t="s">
        <v>1260</v>
      </c>
      <c r="BO424" s="770"/>
      <c r="BP424" s="765"/>
      <c r="BQ424" s="773"/>
      <c r="BR424" s="774"/>
      <c r="BS424" s="766" t="s">
        <v>1257</v>
      </c>
      <c r="BT424" s="766"/>
      <c r="BU424" s="770"/>
      <c r="BV424" s="770"/>
      <c r="BW424" s="770"/>
      <c r="BX424" s="302"/>
      <c r="BY424" s="770"/>
      <c r="BZ424" s="302"/>
      <c r="CA424" s="770"/>
      <c r="CB424" s="770"/>
      <c r="CC424" s="770"/>
      <c r="CD424" s="770"/>
      <c r="CE424" s="770"/>
      <c r="CF424" s="1753"/>
      <c r="CG424" s="1754"/>
      <c r="CH424" s="770"/>
      <c r="CI424" s="770"/>
      <c r="CJ424" s="770"/>
      <c r="CK424" s="770"/>
      <c r="CL424" s="770"/>
      <c r="CM424" s="770"/>
      <c r="CN424" s="770"/>
      <c r="CO424" s="770"/>
      <c r="CP424" s="770"/>
      <c r="CQ424" s="770"/>
      <c r="CR424" s="302"/>
      <c r="CS424" s="770"/>
      <c r="CT424" s="770"/>
      <c r="CU424" s="305"/>
      <c r="CV424" s="770"/>
      <c r="CW424" s="770"/>
      <c r="CX424" s="770"/>
      <c r="CY424" s="770"/>
      <c r="CZ424" s="770"/>
      <c r="DA424" s="306"/>
      <c r="DB424" s="770"/>
      <c r="DC424" s="770"/>
      <c r="DD424" s="770"/>
      <c r="DE424" s="300"/>
      <c r="DF424" s="770"/>
      <c r="DG424" s="770"/>
      <c r="DH424" s="770"/>
      <c r="DI424" s="770"/>
      <c r="DJ424" s="770"/>
      <c r="DK424" s="770"/>
      <c r="DL424" s="770"/>
      <c r="DM424" s="770"/>
      <c r="DN424" s="322"/>
      <c r="DO424" s="770"/>
      <c r="DP424" s="770"/>
      <c r="DQ424" s="770"/>
      <c r="DR424" s="770"/>
      <c r="DS424" s="307"/>
      <c r="DT424" s="770"/>
      <c r="DU424" s="770"/>
      <c r="DV424" s="770"/>
      <c r="DW424" s="306"/>
      <c r="DX424" s="306"/>
      <c r="DY424" s="770"/>
      <c r="DZ424" s="770"/>
      <c r="EA424" s="770"/>
      <c r="EB424" s="770"/>
      <c r="EC424" s="770"/>
      <c r="ED424" s="770"/>
      <c r="EE424" s="770"/>
      <c r="EF424" s="770"/>
      <c r="EG424" s="770"/>
      <c r="EH424" s="770"/>
      <c r="EI424" s="770"/>
      <c r="EJ424" s="770"/>
      <c r="EK424" s="770"/>
      <c r="EL424" s="770"/>
      <c r="EM424" s="770"/>
      <c r="EN424" s="770"/>
      <c r="EO424" s="770"/>
      <c r="EP424" s="94"/>
      <c r="EQ424" s="770"/>
      <c r="ER424" s="770"/>
      <c r="ES424" s="770"/>
      <c r="ET424" s="770"/>
      <c r="EU424" s="770"/>
      <c r="EV424" s="770"/>
      <c r="EW424" s="770"/>
      <c r="EX424" s="770"/>
      <c r="EY424" s="770"/>
      <c r="EZ424" s="770"/>
      <c r="FA424" s="770"/>
      <c r="FB424" s="770"/>
      <c r="FC424" s="770"/>
      <c r="FD424" s="302"/>
      <c r="FE424" s="770"/>
      <c r="FF424" s="770"/>
      <c r="FG424" s="770"/>
      <c r="FH424" s="770" t="s">
        <v>1306</v>
      </c>
      <c r="FI424" s="770">
        <v>1</v>
      </c>
      <c r="FJ424" s="770" t="s">
        <v>2314</v>
      </c>
      <c r="FK424" s="770"/>
      <c r="FL424" s="770" t="s">
        <v>2297</v>
      </c>
      <c r="FM424" s="302"/>
      <c r="FN424" s="302"/>
      <c r="FO424" s="302"/>
      <c r="FP424" s="770" t="s">
        <v>1602</v>
      </c>
      <c r="FQ424" s="770" t="s">
        <v>1660</v>
      </c>
      <c r="FR424" s="770"/>
      <c r="FS424" s="770"/>
      <c r="FT424" s="770"/>
      <c r="FU424" s="770"/>
      <c r="FV424" s="770"/>
      <c r="FW424" s="770"/>
      <c r="FX424" s="770"/>
      <c r="FY424" s="770"/>
      <c r="FZ424" s="770"/>
      <c r="GA424" s="770"/>
      <c r="GB424" s="770"/>
      <c r="GC424" s="308"/>
      <c r="GD424" s="297"/>
      <c r="GE424" s="770"/>
      <c r="GF424" s="302"/>
      <c r="GG424" s="302"/>
      <c r="GH424" s="770"/>
      <c r="GI424" s="770"/>
      <c r="GJ424" s="770"/>
      <c r="GK424" s="770"/>
      <c r="GL424" s="770"/>
      <c r="GM424" s="770"/>
      <c r="GN424" s="299"/>
      <c r="GO424" s="770"/>
      <c r="GP424" s="770"/>
      <c r="GQ424" s="770"/>
      <c r="GR424" s="770"/>
      <c r="GS424" s="770"/>
      <c r="GT424" s="770"/>
      <c r="GU424" s="770"/>
      <c r="GV424" s="770"/>
      <c r="GW424" s="770"/>
      <c r="GX424" s="770"/>
      <c r="GY424" s="770"/>
      <c r="GZ424" s="770"/>
      <c r="HA424" s="770"/>
      <c r="HB424" s="770"/>
      <c r="HC424" s="770"/>
      <c r="HD424" s="770"/>
      <c r="HE424" s="770"/>
      <c r="HF424" s="770"/>
      <c r="HG424" s="770"/>
      <c r="HH424" s="770"/>
      <c r="HI424" s="770"/>
      <c r="HJ424" s="770"/>
      <c r="HK424" s="770"/>
      <c r="HL424" s="770"/>
      <c r="HM424" s="770"/>
      <c r="HN424" s="770"/>
      <c r="HO424" s="770"/>
      <c r="HP424" s="770"/>
      <c r="HQ424" s="770"/>
      <c r="HR424" s="770"/>
      <c r="HS424" s="770"/>
      <c r="HT424" s="770"/>
      <c r="HU424" s="770"/>
      <c r="HV424" s="770"/>
      <c r="HW424" s="770"/>
      <c r="HX424" s="770"/>
      <c r="HY424" s="770"/>
      <c r="HZ424" s="770"/>
      <c r="IA424" s="770"/>
      <c r="IB424" s="770"/>
      <c r="IC424" s="770"/>
      <c r="ID424" s="770"/>
      <c r="IE424" s="770"/>
      <c r="IF424" s="770"/>
      <c r="IG424" s="770"/>
      <c r="IH424" s="770"/>
      <c r="II424" s="770"/>
      <c r="IJ424" s="770" t="s">
        <v>2316</v>
      </c>
      <c r="IK424" s="766" t="s">
        <v>1888</v>
      </c>
      <c r="IL424" s="770" t="s">
        <v>2317</v>
      </c>
      <c r="IM424" s="770">
        <v>206</v>
      </c>
      <c r="IN424" s="770" t="s">
        <v>2317</v>
      </c>
      <c r="IO424" s="296"/>
      <c r="IP424" s="770"/>
      <c r="IQ424" s="766"/>
      <c r="IR424" s="770"/>
      <c r="IS424" s="770"/>
      <c r="IT424" s="770"/>
      <c r="IU424" s="770"/>
      <c r="IV424" s="770"/>
      <c r="IW424" s="770"/>
      <c r="IX424" s="770"/>
      <c r="IY424" s="770"/>
      <c r="IZ424" s="770"/>
      <c r="JA424" s="770"/>
      <c r="JB424" s="770"/>
      <c r="JC424" s="1772"/>
      <c r="JD424" s="302"/>
      <c r="JE424" s="770"/>
      <c r="JF424" s="770"/>
      <c r="JG424" s="770"/>
      <c r="JH424" s="307"/>
      <c r="JI424" s="307"/>
      <c r="JJ424" s="770"/>
      <c r="JK424" s="770"/>
      <c r="JL424" s="770"/>
      <c r="JM424" s="770"/>
      <c r="JN424" s="770"/>
      <c r="JO424" s="770"/>
      <c r="JP424" s="770"/>
      <c r="JQ424" s="770"/>
      <c r="JR424" s="770"/>
      <c r="JS424" s="770"/>
      <c r="JT424" s="766"/>
      <c r="JU424" s="766"/>
      <c r="JV424" s="766"/>
      <c r="JW424" s="766"/>
      <c r="JX424" s="770"/>
      <c r="JY424" s="770"/>
      <c r="JZ424" s="770"/>
      <c r="KA424" s="770"/>
      <c r="KB424" s="770"/>
      <c r="KC424" s="770"/>
      <c r="KD424" s="770"/>
      <c r="KE424" s="770"/>
      <c r="KF424" s="770"/>
      <c r="KG424" s="770"/>
      <c r="KH424" s="770"/>
      <c r="KI424" s="770"/>
      <c r="KJ424" s="770"/>
      <c r="KK424" s="770"/>
      <c r="KL424" s="770"/>
      <c r="KM424" s="770"/>
      <c r="KN424" s="770"/>
      <c r="KO424" s="770"/>
      <c r="KP424" s="770"/>
      <c r="KQ424" s="770"/>
      <c r="KR424" s="770"/>
      <c r="KS424" s="770"/>
      <c r="KT424" s="770"/>
      <c r="KU424" s="770"/>
      <c r="KV424" s="770"/>
      <c r="KW424" s="770"/>
      <c r="KX424" s="770"/>
      <c r="KY424" s="770"/>
      <c r="KZ424" s="770"/>
      <c r="LA424" s="770"/>
      <c r="LB424" s="770"/>
      <c r="LC424" s="770"/>
      <c r="LD424" s="770"/>
      <c r="LE424" s="770"/>
      <c r="LF424" s="770"/>
      <c r="LG424" s="770"/>
      <c r="LH424" s="770"/>
      <c r="LI424" s="770"/>
      <c r="LJ424" s="770"/>
      <c r="LK424" s="770"/>
      <c r="LL424" s="770"/>
      <c r="LM424" s="770"/>
      <c r="LN424" s="766"/>
      <c r="LO424" s="766"/>
      <c r="LP424" s="770"/>
      <c r="LQ424" s="770"/>
      <c r="LR424" s="770"/>
      <c r="LS424" s="770"/>
      <c r="LT424" s="770"/>
      <c r="LU424" s="770"/>
      <c r="LV424" s="770"/>
      <c r="LW424" s="770"/>
      <c r="LX424" s="769"/>
      <c r="LY424" s="766" t="str">
        <f t="shared" si="100"/>
        <v/>
      </c>
      <c r="LZ424" s="1709"/>
      <c r="MA424" s="1709"/>
      <c r="MB424" s="1709"/>
      <c r="MC424" s="1679">
        <f t="shared" si="110"/>
        <v>0</v>
      </c>
      <c r="MD424" s="1709"/>
      <c r="ME424" s="1709"/>
      <c r="MF424" s="1709"/>
      <c r="MG424" s="1680">
        <f t="shared" si="101"/>
        <v>0</v>
      </c>
      <c r="MH424" s="770"/>
      <c r="MI424" s="302"/>
      <c r="MJ424" s="302"/>
      <c r="MK424" s="302"/>
      <c r="ML424" s="302"/>
      <c r="MM424" s="302"/>
      <c r="MN424" s="302"/>
      <c r="MO424" s="302"/>
      <c r="MP424" s="302"/>
      <c r="MQ424" s="302"/>
      <c r="MR424" s="302"/>
      <c r="MS424" s="302"/>
      <c r="MT424" s="302"/>
      <c r="MU424" s="302"/>
      <c r="MV424" s="302"/>
      <c r="MW424" s="302"/>
      <c r="MX424" s="302"/>
      <c r="MY424" s="1682">
        <f t="shared" si="102"/>
        <v>0</v>
      </c>
      <c r="MZ424" s="770"/>
      <c r="NA424" s="770"/>
      <c r="NB424" s="770"/>
      <c r="NC424" s="770"/>
      <c r="ND424" s="770"/>
      <c r="NE424" s="770"/>
      <c r="NF424" s="770"/>
      <c r="NG424" s="770"/>
      <c r="NH424" s="770"/>
      <c r="NI424" s="770"/>
      <c r="NJ424" s="770"/>
      <c r="NK424" s="770"/>
      <c r="NL424" s="770"/>
      <c r="NM424" s="770"/>
      <c r="NN424" s="770"/>
      <c r="NO424" s="770"/>
      <c r="NP424" s="770"/>
      <c r="NQ424" s="770"/>
      <c r="NR424" s="770"/>
      <c r="NS424" s="770"/>
      <c r="NT424" s="770"/>
      <c r="NU424" s="770"/>
      <c r="NV424" s="770"/>
      <c r="NW424" s="770"/>
      <c r="NX424" s="770"/>
      <c r="NY424" s="770"/>
      <c r="NZ424" s="770"/>
      <c r="OA424" s="770"/>
      <c r="OB424" s="770"/>
      <c r="OC424" s="770"/>
      <c r="OD424" s="770"/>
      <c r="OE424" s="770"/>
      <c r="OF424" s="770"/>
      <c r="OG424" s="770"/>
      <c r="OH424" s="770"/>
      <c r="OI424" s="770"/>
      <c r="OJ424" s="770"/>
      <c r="OK424" s="770"/>
      <c r="OL424" s="770"/>
      <c r="OM424" s="770"/>
      <c r="ON424" s="770"/>
      <c r="OO424" s="770"/>
      <c r="OP424" s="770"/>
      <c r="OQ424" s="770"/>
      <c r="OR424" s="770"/>
      <c r="OS424" s="770"/>
      <c r="OT424" s="770"/>
      <c r="OU424" s="770"/>
      <c r="OV424" s="770"/>
      <c r="OW424" s="770"/>
      <c r="OX424" s="770"/>
      <c r="OY424" s="770"/>
      <c r="OZ424" s="770"/>
      <c r="PA424" s="770"/>
      <c r="PB424" s="770"/>
      <c r="PC424" s="770"/>
      <c r="PD424" s="770"/>
      <c r="PE424" s="770"/>
      <c r="PF424" s="770"/>
      <c r="PG424" s="770"/>
      <c r="PH424" s="770"/>
      <c r="PI424" s="770"/>
      <c r="PJ424" s="770"/>
      <c r="PK424" s="770"/>
      <c r="PL424" s="770"/>
      <c r="PM424" s="770"/>
      <c r="PN424" s="770"/>
      <c r="PO424" s="770"/>
      <c r="PP424" s="770"/>
      <c r="PQ424" s="770"/>
      <c r="PR424" s="770"/>
      <c r="PS424" s="770"/>
      <c r="PT424" s="770"/>
      <c r="PU424" s="770"/>
      <c r="PV424" s="770"/>
      <c r="PW424" s="770"/>
      <c r="PX424" s="770"/>
      <c r="PY424" s="770"/>
      <c r="PZ424" s="770"/>
      <c r="QA424" s="770"/>
      <c r="QB424" s="770"/>
      <c r="QC424" s="770"/>
      <c r="QD424" s="770"/>
      <c r="QE424" s="770"/>
      <c r="QF424" s="770"/>
      <c r="QG424" s="770"/>
      <c r="QH424" s="770"/>
      <c r="QI424" s="770"/>
      <c r="QJ424" s="770"/>
      <c r="QK424" s="770"/>
      <c r="QL424" s="770"/>
      <c r="QM424" s="770"/>
      <c r="QN424" s="770"/>
      <c r="QO424" s="770"/>
      <c r="QP424" s="770"/>
      <c r="QQ424" s="770"/>
      <c r="QR424" s="770"/>
      <c r="QS424" s="770"/>
      <c r="QT424" s="770"/>
      <c r="QU424" s="770"/>
      <c r="QV424" s="770"/>
      <c r="QW424" s="770"/>
      <c r="QX424" s="770"/>
      <c r="QY424" s="770"/>
      <c r="QZ424" s="770"/>
      <c r="RA424" s="770"/>
      <c r="RB424" s="770"/>
      <c r="RC424" s="770"/>
      <c r="RD424" s="770"/>
      <c r="RE424" s="770"/>
      <c r="RF424" s="304"/>
      <c r="RG424" s="770"/>
      <c r="RH424" s="302"/>
      <c r="RI424" s="770"/>
      <c r="RJ424" s="770" t="s">
        <v>13545</v>
      </c>
      <c r="RK424" s="770" t="s">
        <v>13544</v>
      </c>
      <c r="RL424" s="1710"/>
      <c r="RM424" s="12"/>
      <c r="RN424" s="1711"/>
      <c r="RO424" s="133" t="s">
        <v>2294</v>
      </c>
      <c r="RP424" s="11"/>
      <c r="RQ424" s="11"/>
      <c r="RR424" s="17"/>
      <c r="RS424" s="767"/>
      <c r="RT424" s="11"/>
      <c r="RU424" s="11"/>
      <c r="RV424" s="771" t="s">
        <v>7419</v>
      </c>
      <c r="RW424" s="11" t="s">
        <v>7993</v>
      </c>
      <c r="RX424" s="11" t="s">
        <v>2283</v>
      </c>
      <c r="RY424" s="11"/>
      <c r="RZ424" s="11"/>
      <c r="SA424" s="771"/>
      <c r="SB424" s="11"/>
      <c r="SC424" s="11"/>
    </row>
    <row r="425" spans="1:497" ht="12.75" customHeight="1">
      <c r="A425" s="19" t="s">
        <v>7421</v>
      </c>
      <c r="B425" s="753" t="s">
        <v>7676</v>
      </c>
      <c r="C425" s="132" t="s">
        <v>2318</v>
      </c>
      <c r="D425" s="94" t="s">
        <v>488</v>
      </c>
      <c r="E425" s="766" t="s">
        <v>11646</v>
      </c>
      <c r="F425" s="770"/>
      <c r="G425" s="770"/>
      <c r="H425" s="295"/>
      <c r="I425" s="295"/>
      <c r="J425" s="94"/>
      <c r="K425" s="766" t="s">
        <v>2322</v>
      </c>
      <c r="L425" s="766" t="s">
        <v>2323</v>
      </c>
      <c r="M425" s="770" t="s">
        <v>1238</v>
      </c>
      <c r="N425" s="770"/>
      <c r="O425" s="770" t="s">
        <v>2277</v>
      </c>
      <c r="P425" s="94"/>
      <c r="Q425" s="1088"/>
      <c r="R425" s="297"/>
      <c r="S425" s="770"/>
      <c r="T425" s="770"/>
      <c r="U425" s="298"/>
      <c r="V425" s="770"/>
      <c r="W425" s="770"/>
      <c r="X425" s="770"/>
      <c r="Y425" s="770"/>
      <c r="Z425" s="770"/>
      <c r="AA425" s="770"/>
      <c r="AB425" s="770"/>
      <c r="AC425" s="770"/>
      <c r="AD425" s="770"/>
      <c r="AE425" s="770"/>
      <c r="AF425" s="770"/>
      <c r="AG425" s="766" t="s">
        <v>1132</v>
      </c>
      <c r="AH425" s="766" t="s">
        <v>1096</v>
      </c>
      <c r="AI425" s="770"/>
      <c r="AJ425" s="770" t="s">
        <v>1137</v>
      </c>
      <c r="AK425" s="770" t="s">
        <v>1101</v>
      </c>
      <c r="AL425" s="531">
        <v>38.07</v>
      </c>
      <c r="AM425" s="780">
        <v>28.5</v>
      </c>
      <c r="AN425" s="532">
        <f>AM425/AL425</f>
        <v>0.7486209613869188</v>
      </c>
      <c r="AO425" s="766" t="s">
        <v>1105</v>
      </c>
      <c r="AP425" s="766"/>
      <c r="AQ425" s="1773"/>
      <c r="AR425" s="766"/>
      <c r="AS425" s="770"/>
      <c r="AT425" s="770"/>
      <c r="AU425" s="770"/>
      <c r="AV425" s="770"/>
      <c r="AW425" s="770"/>
      <c r="AX425" s="770"/>
      <c r="AY425" s="770"/>
      <c r="AZ425" s="770"/>
      <c r="BA425" s="770"/>
      <c r="BB425" s="770"/>
      <c r="BC425" s="770"/>
      <c r="BD425" s="770"/>
      <c r="BE425" s="770"/>
      <c r="BF425" s="302"/>
      <c r="BG425" s="302"/>
      <c r="BH425" s="770"/>
      <c r="BI425" s="770"/>
      <c r="BJ425" s="770"/>
      <c r="BK425" s="770" t="s">
        <v>1095</v>
      </c>
      <c r="BL425" s="770" t="s">
        <v>2326</v>
      </c>
      <c r="BM425" s="766" t="s">
        <v>1096</v>
      </c>
      <c r="BN425" s="770" t="s">
        <v>1230</v>
      </c>
      <c r="BO425" s="766" t="s">
        <v>1239</v>
      </c>
      <c r="BP425" s="1109">
        <v>38.07</v>
      </c>
      <c r="BQ425" s="773">
        <v>21.567</v>
      </c>
      <c r="BR425" s="774">
        <f>BQ425/BP425</f>
        <v>0.56650906225374309</v>
      </c>
      <c r="BS425" s="766" t="s">
        <v>1105</v>
      </c>
      <c r="BT425" s="770" t="s">
        <v>8133</v>
      </c>
      <c r="BU425" s="770" t="s">
        <v>1249</v>
      </c>
      <c r="BV425" s="770" t="s">
        <v>1247</v>
      </c>
      <c r="BW425" s="769"/>
      <c r="BX425" s="302"/>
      <c r="BY425" s="770"/>
      <c r="BZ425" s="302"/>
      <c r="CA425" s="770"/>
      <c r="CB425" s="770"/>
      <c r="CC425" s="770"/>
      <c r="CD425" s="770"/>
      <c r="CE425" s="770"/>
      <c r="CF425" s="1753"/>
      <c r="CG425" s="1754"/>
      <c r="CH425" s="770"/>
      <c r="CI425" s="770"/>
      <c r="CJ425" s="770"/>
      <c r="CK425" s="770"/>
      <c r="CL425" s="770"/>
      <c r="CM425" s="770"/>
      <c r="CN425" s="770"/>
      <c r="CO425" s="770"/>
      <c r="CP425" s="770"/>
      <c r="CQ425" s="770"/>
      <c r="CR425" s="302"/>
      <c r="CS425" s="770"/>
      <c r="CT425" s="770"/>
      <c r="CU425" s="305"/>
      <c r="CV425" s="770"/>
      <c r="CW425" s="770"/>
      <c r="CX425" s="770"/>
      <c r="CY425" s="770"/>
      <c r="CZ425" s="770"/>
      <c r="DA425" s="306"/>
      <c r="DB425" s="770"/>
      <c r="DC425" s="770"/>
      <c r="DD425" s="770"/>
      <c r="DE425" s="300"/>
      <c r="DF425" s="770"/>
      <c r="DG425" s="770"/>
      <c r="DH425" s="770"/>
      <c r="DI425" s="770"/>
      <c r="DJ425" s="770"/>
      <c r="DK425" s="770"/>
      <c r="DL425" s="770"/>
      <c r="DM425" s="770"/>
      <c r="DN425" s="322"/>
      <c r="DO425" s="770"/>
      <c r="DP425" s="770"/>
      <c r="DQ425" s="770"/>
      <c r="DR425" s="770"/>
      <c r="DS425" s="307"/>
      <c r="DT425" s="770"/>
      <c r="DU425" s="770"/>
      <c r="DV425" s="770"/>
      <c r="DW425" s="306"/>
      <c r="DX425" s="306"/>
      <c r="DY425" s="770"/>
      <c r="DZ425" s="770"/>
      <c r="EA425" s="770"/>
      <c r="EB425" s="770"/>
      <c r="EC425" s="770"/>
      <c r="ED425" s="770"/>
      <c r="EE425" s="770"/>
      <c r="EF425" s="770"/>
      <c r="EG425" s="770"/>
      <c r="EH425" s="770"/>
      <c r="EI425" s="770"/>
      <c r="EJ425" s="770"/>
      <c r="EK425" s="770"/>
      <c r="EL425" s="770"/>
      <c r="EM425" s="770"/>
      <c r="EN425" s="770"/>
      <c r="EO425" s="770"/>
      <c r="EP425" s="94"/>
      <c r="EQ425" s="770"/>
      <c r="ER425" s="770"/>
      <c r="ES425" s="770"/>
      <c r="ET425" s="770"/>
      <c r="EU425" s="770"/>
      <c r="EV425" s="770"/>
      <c r="EW425" s="770"/>
      <c r="EX425" s="770"/>
      <c r="EY425" s="770"/>
      <c r="EZ425" s="770"/>
      <c r="FA425" s="770"/>
      <c r="FB425" s="770"/>
      <c r="FC425" s="770"/>
      <c r="FD425" s="302"/>
      <c r="FE425" s="770"/>
      <c r="FF425" s="770"/>
      <c r="FG425" s="770"/>
      <c r="FH425" s="770"/>
      <c r="FI425" s="770"/>
      <c r="FJ425" s="770"/>
      <c r="FK425" s="770"/>
      <c r="FL425" s="770"/>
      <c r="FM425" s="302"/>
      <c r="FN425" s="302"/>
      <c r="FO425" s="302"/>
      <c r="FP425" s="766" t="s">
        <v>1602</v>
      </c>
      <c r="FQ425" s="766" t="s">
        <v>1660</v>
      </c>
      <c r="FR425" s="770"/>
      <c r="FS425" s="770"/>
      <c r="FT425" s="770"/>
      <c r="FU425" s="770"/>
      <c r="FV425" s="770"/>
      <c r="FW425" s="770"/>
      <c r="FX425" s="770"/>
      <c r="FY425" s="770"/>
      <c r="FZ425" s="770"/>
      <c r="GA425" s="770"/>
      <c r="GB425" s="770"/>
      <c r="GC425" s="308"/>
      <c r="GD425" s="297"/>
      <c r="GE425" s="770"/>
      <c r="GF425" s="302"/>
      <c r="GG425" s="302"/>
      <c r="GH425" s="712" t="s">
        <v>3650</v>
      </c>
      <c r="GI425" s="770"/>
      <c r="GJ425" s="770"/>
      <c r="GK425" s="770"/>
      <c r="GL425" s="770"/>
      <c r="GM425" s="770"/>
      <c r="GN425" s="299"/>
      <c r="GO425" s="770"/>
      <c r="GP425" s="770"/>
      <c r="GQ425" s="770"/>
      <c r="GR425" s="770"/>
      <c r="GS425" s="770"/>
      <c r="GT425" s="770"/>
      <c r="GU425" s="770"/>
      <c r="GV425" s="770"/>
      <c r="GW425" s="770"/>
      <c r="GX425" s="770"/>
      <c r="GY425" s="770"/>
      <c r="GZ425" s="770"/>
      <c r="HA425" s="770"/>
      <c r="HB425" s="770"/>
      <c r="HC425" s="770"/>
      <c r="HD425" s="770"/>
      <c r="HE425" s="770"/>
      <c r="HF425" s="770"/>
      <c r="HG425" s="770"/>
      <c r="HH425" s="770"/>
      <c r="HI425" s="770"/>
      <c r="HJ425" s="770"/>
      <c r="HK425" s="770"/>
      <c r="HL425" s="770"/>
      <c r="HM425" s="770"/>
      <c r="HN425" s="770"/>
      <c r="HO425" s="770"/>
      <c r="HP425" s="770"/>
      <c r="HQ425" s="770"/>
      <c r="HR425" s="770"/>
      <c r="HS425" s="770"/>
      <c r="HT425" s="770"/>
      <c r="HU425" s="770"/>
      <c r="HV425" s="770"/>
      <c r="HW425" s="770"/>
      <c r="HX425" s="770"/>
      <c r="HY425" s="770"/>
      <c r="HZ425" s="770"/>
      <c r="IA425" s="770"/>
      <c r="IB425" s="14" t="e">
        <f>IF(#REF!&gt;0,IF(#REF!&lt;=10000,"Y",""),"")</f>
        <v>#REF!</v>
      </c>
      <c r="IC425" s="770"/>
      <c r="ID425" s="770"/>
      <c r="IE425" s="770"/>
      <c r="IF425" s="770"/>
      <c r="IG425" s="770"/>
      <c r="IH425" s="770"/>
      <c r="II425" s="770"/>
      <c r="IJ425" s="770"/>
      <c r="IK425" s="770"/>
      <c r="IL425" s="770"/>
      <c r="IM425" s="770"/>
      <c r="IN425" s="770"/>
      <c r="IO425" s="296"/>
      <c r="IP425" s="770"/>
      <c r="IQ425" s="770"/>
      <c r="IR425" s="770"/>
      <c r="IS425" s="770"/>
      <c r="IT425" s="770"/>
      <c r="IU425" s="770"/>
      <c r="IV425" s="770"/>
      <c r="IW425" s="770"/>
      <c r="IX425" s="770"/>
      <c r="IY425" s="770"/>
      <c r="IZ425" s="770"/>
      <c r="JA425" s="770"/>
      <c r="JB425" s="770"/>
      <c r="JC425" s="770"/>
      <c r="JD425" s="302"/>
      <c r="JE425" s="770"/>
      <c r="JF425" s="770"/>
      <c r="JG425" s="770"/>
      <c r="JH425" s="307"/>
      <c r="JI425" s="307"/>
      <c r="JJ425" s="94"/>
      <c r="JK425" s="1047" t="s">
        <v>13546</v>
      </c>
      <c r="JL425" s="770"/>
      <c r="JM425" s="770"/>
      <c r="JN425" s="770"/>
      <c r="JO425" s="770"/>
      <c r="JP425" s="770"/>
      <c r="JQ425" s="770"/>
      <c r="JR425" s="770"/>
      <c r="JS425" s="770"/>
      <c r="JT425" s="766"/>
      <c r="JU425" s="766"/>
      <c r="JV425" s="712" t="str">
        <f t="shared" ref="JV425:JV447" si="112">IF(JT425=KJ425,"ok","male")</f>
        <v>ok</v>
      </c>
      <c r="JW425" s="712" t="str">
        <f t="shared" ref="JW425:JW447" si="113">IF(JU425=KK425,"ok","female")</f>
        <v>ok</v>
      </c>
      <c r="JX425" s="770"/>
      <c r="JY425" s="770"/>
      <c r="JZ425" s="770"/>
      <c r="KA425" s="770"/>
      <c r="KB425" s="770"/>
      <c r="KC425" s="770"/>
      <c r="KD425" s="770"/>
      <c r="KE425" s="770"/>
      <c r="KF425" s="770"/>
      <c r="KG425" s="770"/>
      <c r="KH425" s="770"/>
      <c r="KI425" s="770"/>
      <c r="KJ425" s="770"/>
      <c r="KK425" s="770"/>
      <c r="KL425" s="712" t="str">
        <f t="shared" ref="KL425:KL447" si="114">IF(KJ425=LN425,"ok","male")</f>
        <v>ok</v>
      </c>
      <c r="KM425" s="712" t="str">
        <f t="shared" ref="KM425:KM447" si="115">IF(KK425=LO425,"ok","female")</f>
        <v>ok</v>
      </c>
      <c r="KN425" s="770"/>
      <c r="KO425" s="770"/>
      <c r="KP425" s="770"/>
      <c r="KQ425" s="770"/>
      <c r="KR425" s="770"/>
      <c r="KS425" s="770"/>
      <c r="KT425" s="770"/>
      <c r="KU425" s="770"/>
      <c r="KV425" s="770"/>
      <c r="KW425" s="770"/>
      <c r="KX425" s="770"/>
      <c r="KY425" s="770"/>
      <c r="KZ425" s="770"/>
      <c r="LA425" s="770"/>
      <c r="LB425" s="770"/>
      <c r="LC425" s="770"/>
      <c r="LD425" s="770"/>
      <c r="LE425" s="770"/>
      <c r="LF425" s="770"/>
      <c r="LG425" s="770"/>
      <c r="LH425" s="770"/>
      <c r="LI425" s="770"/>
      <c r="LJ425" s="770"/>
      <c r="LK425" s="770"/>
      <c r="LL425" s="770"/>
      <c r="LM425" s="770"/>
      <c r="LN425" s="766"/>
      <c r="LO425" s="766"/>
      <c r="LP425" s="770"/>
      <c r="LQ425" s="770"/>
      <c r="LR425" s="770"/>
      <c r="LS425" s="770"/>
      <c r="LT425" s="712" t="str">
        <f t="shared" ref="LT425:LT447" si="116">IF(LQ425=SUM(LU425:LW425),"OK","REV")</f>
        <v>OK</v>
      </c>
      <c r="LU425" s="770"/>
      <c r="LV425" s="770"/>
      <c r="LW425" s="770"/>
      <c r="LX425" s="769"/>
      <c r="LY425" s="766" t="str">
        <f t="shared" si="100"/>
        <v/>
      </c>
      <c r="LZ425" s="1709"/>
      <c r="MA425" s="1709"/>
      <c r="MB425" s="1709"/>
      <c r="MC425" s="1679">
        <f t="shared" si="110"/>
        <v>0</v>
      </c>
      <c r="MD425" s="1709"/>
      <c r="ME425" s="1709"/>
      <c r="MF425" s="1709"/>
      <c r="MG425" s="1680">
        <v>0</v>
      </c>
      <c r="MH425" s="770"/>
      <c r="MI425" s="302"/>
      <c r="MJ425" s="302"/>
      <c r="MK425" s="302"/>
      <c r="ML425" s="302"/>
      <c r="MM425" s="302"/>
      <c r="MN425" s="302"/>
      <c r="MO425" s="302"/>
      <c r="MP425" s="302"/>
      <c r="MQ425" s="302"/>
      <c r="MR425" s="302"/>
      <c r="MS425" s="302"/>
      <c r="MT425" s="302"/>
      <c r="MU425" s="302"/>
      <c r="MV425" s="302"/>
      <c r="MW425" s="302"/>
      <c r="MX425" s="302"/>
      <c r="MY425" s="1682"/>
      <c r="MZ425" s="770"/>
      <c r="NA425" s="770"/>
      <c r="NB425" s="770"/>
      <c r="NC425" s="770"/>
      <c r="ND425" s="770"/>
      <c r="NE425" s="770"/>
      <c r="NF425" s="770"/>
      <c r="NG425" s="770"/>
      <c r="NH425" s="770"/>
      <c r="NI425" s="770"/>
      <c r="NJ425" s="770"/>
      <c r="NK425" s="770"/>
      <c r="NL425" s="770"/>
      <c r="NM425" s="770"/>
      <c r="NN425" s="770"/>
      <c r="NO425" s="770"/>
      <c r="NP425" s="770"/>
      <c r="NQ425" s="770"/>
      <c r="NR425" s="770"/>
      <c r="NS425" s="770"/>
      <c r="NT425" s="770"/>
      <c r="NU425" s="770"/>
      <c r="NV425" s="770"/>
      <c r="NW425" s="770"/>
      <c r="NX425" s="770"/>
      <c r="NY425" s="770"/>
      <c r="NZ425" s="770"/>
      <c r="OA425" s="770"/>
      <c r="OB425" s="770"/>
      <c r="OC425" s="770"/>
      <c r="OD425" s="770"/>
      <c r="OE425" s="770"/>
      <c r="OF425" s="770"/>
      <c r="OG425" s="770"/>
      <c r="OH425" s="770"/>
      <c r="OI425" s="770"/>
      <c r="OJ425" s="770"/>
      <c r="OK425" s="770"/>
      <c r="OL425" s="770"/>
      <c r="OM425" s="770"/>
      <c r="ON425" s="770"/>
      <c r="OO425" s="770"/>
      <c r="OP425" s="770"/>
      <c r="OQ425" s="770"/>
      <c r="OR425" s="770"/>
      <c r="OS425" s="770"/>
      <c r="OT425" s="770"/>
      <c r="OU425" s="770"/>
      <c r="OV425" s="770"/>
      <c r="OW425" s="770"/>
      <c r="OX425" s="770"/>
      <c r="OY425" s="770"/>
      <c r="OZ425" s="770"/>
      <c r="PA425" s="770"/>
      <c r="PB425" s="770"/>
      <c r="PC425" s="770"/>
      <c r="PD425" s="770"/>
      <c r="PE425" s="770"/>
      <c r="PF425" s="770"/>
      <c r="PG425" s="770"/>
      <c r="PH425" s="770"/>
      <c r="PI425" s="770"/>
      <c r="PJ425" s="770"/>
      <c r="PK425" s="770"/>
      <c r="PL425" s="770"/>
      <c r="PM425" s="770"/>
      <c r="PN425" s="770"/>
      <c r="PO425" s="770"/>
      <c r="PP425" s="770"/>
      <c r="PQ425" s="770"/>
      <c r="PR425" s="770"/>
      <c r="PS425" s="770"/>
      <c r="PT425" s="770"/>
      <c r="PU425" s="770"/>
      <c r="PV425" s="770"/>
      <c r="PW425" s="770"/>
      <c r="PX425" s="770"/>
      <c r="PY425" s="770"/>
      <c r="PZ425" s="770"/>
      <c r="QA425" s="770"/>
      <c r="QB425" s="770"/>
      <c r="QC425" s="770"/>
      <c r="QD425" s="770"/>
      <c r="QE425" s="770"/>
      <c r="QF425" s="770"/>
      <c r="QG425" s="770"/>
      <c r="QH425" s="770"/>
      <c r="QI425" s="770"/>
      <c r="QJ425" s="770"/>
      <c r="QK425" s="770"/>
      <c r="QL425" s="770"/>
      <c r="QM425" s="770"/>
      <c r="QN425" s="770"/>
      <c r="QO425" s="770"/>
      <c r="QP425" s="770"/>
      <c r="QQ425" s="770"/>
      <c r="QR425" s="770"/>
      <c r="QS425" s="770"/>
      <c r="QT425" s="770"/>
      <c r="QU425" s="770"/>
      <c r="QV425" s="770"/>
      <c r="QW425" s="770"/>
      <c r="QX425" s="770"/>
      <c r="QY425" s="770"/>
      <c r="QZ425" s="770"/>
      <c r="RA425" s="770"/>
      <c r="RB425" s="770"/>
      <c r="RC425" s="770"/>
      <c r="RD425" s="770"/>
      <c r="RE425" s="770"/>
      <c r="RF425" s="304"/>
      <c r="RG425" s="770"/>
      <c r="RH425" s="302"/>
      <c r="RI425" s="770"/>
      <c r="RJ425" s="770"/>
      <c r="RK425" s="770"/>
      <c r="RL425" s="1710"/>
      <c r="RM425" s="12"/>
      <c r="RN425" s="1711"/>
      <c r="RO425" s="132" t="s">
        <v>2318</v>
      </c>
      <c r="RP425" s="11"/>
      <c r="RQ425" s="11"/>
      <c r="RR425" s="19" t="s">
        <v>7421</v>
      </c>
      <c r="RS425" s="1139" t="s">
        <v>12980</v>
      </c>
      <c r="RT425" s="11"/>
      <c r="RU425" s="11"/>
      <c r="RV425" s="6" t="s">
        <v>7421</v>
      </c>
      <c r="RW425" s="11" t="s">
        <v>7737</v>
      </c>
      <c r="RX425" s="11" t="s">
        <v>2294</v>
      </c>
      <c r="RY425" s="11"/>
      <c r="RZ425" s="11" t="s">
        <v>1101</v>
      </c>
      <c r="SA425" s="6"/>
      <c r="SB425" s="11"/>
      <c r="SC425" s="11"/>
    </row>
    <row r="426" spans="1:497" ht="12.75" customHeight="1">
      <c r="A426" s="311" t="s">
        <v>14199</v>
      </c>
      <c r="B426" s="1007" t="s">
        <v>5833</v>
      </c>
      <c r="C426" s="132" t="s">
        <v>2318</v>
      </c>
      <c r="D426" s="94" t="s">
        <v>2319</v>
      </c>
      <c r="E426" s="770" t="s">
        <v>3479</v>
      </c>
      <c r="F426" s="770" t="s">
        <v>28</v>
      </c>
      <c r="G426" s="770" t="s">
        <v>18</v>
      </c>
      <c r="H426" s="5" t="s">
        <v>2321</v>
      </c>
      <c r="I426" s="295"/>
      <c r="J426" s="94" t="s">
        <v>2319</v>
      </c>
      <c r="K426" s="766" t="s">
        <v>2322</v>
      </c>
      <c r="L426" s="766" t="s">
        <v>2323</v>
      </c>
      <c r="M426" s="770"/>
      <c r="N426" s="770"/>
      <c r="O426" s="770"/>
      <c r="P426" s="94" t="s">
        <v>2324</v>
      </c>
      <c r="Q426" s="1088">
        <v>27331</v>
      </c>
      <c r="R426" s="297">
        <v>42</v>
      </c>
      <c r="S426" s="770" t="s">
        <v>18</v>
      </c>
      <c r="T426" s="298" t="s">
        <v>2321</v>
      </c>
      <c r="U426" s="298"/>
      <c r="V426" s="770" t="s">
        <v>768</v>
      </c>
      <c r="W426" s="770"/>
      <c r="X426" s="770"/>
      <c r="Y426" s="770" t="s">
        <v>2320</v>
      </c>
      <c r="Z426" s="770" t="s">
        <v>708</v>
      </c>
      <c r="AA426" s="770" t="s">
        <v>3019</v>
      </c>
      <c r="AB426" s="770" t="s">
        <v>710</v>
      </c>
      <c r="AC426" s="770" t="s">
        <v>724</v>
      </c>
      <c r="AD426" s="770"/>
      <c r="AE426" s="770"/>
      <c r="AF426" s="770" t="s">
        <v>2325</v>
      </c>
      <c r="AG426" s="770"/>
      <c r="AH426" s="770"/>
      <c r="AI426" s="770"/>
      <c r="AJ426" s="770"/>
      <c r="AK426" s="770" t="s">
        <v>1101</v>
      </c>
      <c r="AL426" s="531"/>
      <c r="AM426" s="780"/>
      <c r="AN426" s="532"/>
      <c r="AO426" s="766"/>
      <c r="AP426" s="766"/>
      <c r="AQ426" s="1773"/>
      <c r="AR426" s="766"/>
      <c r="AS426" s="770"/>
      <c r="AT426" s="770"/>
      <c r="AU426" s="770"/>
      <c r="AV426" s="770"/>
      <c r="AW426" s="770"/>
      <c r="AX426" s="770"/>
      <c r="AY426" s="770"/>
      <c r="AZ426" s="770"/>
      <c r="BA426" s="770"/>
      <c r="BB426" s="770"/>
      <c r="BC426" s="770"/>
      <c r="BD426" s="770"/>
      <c r="BE426" s="770"/>
      <c r="BF426" s="302"/>
      <c r="BG426" s="302"/>
      <c r="BH426" s="770"/>
      <c r="BI426" s="770"/>
      <c r="BJ426" s="770"/>
      <c r="BK426" s="770"/>
      <c r="BL426" s="770"/>
      <c r="BM426" s="770" t="s">
        <v>1238</v>
      </c>
      <c r="BN426" s="770" t="s">
        <v>1256</v>
      </c>
      <c r="BO426" s="770"/>
      <c r="BP426" s="765"/>
      <c r="BQ426" s="773"/>
      <c r="BR426" s="774"/>
      <c r="BS426" s="766" t="s">
        <v>1105</v>
      </c>
      <c r="BT426" s="766"/>
      <c r="BU426" s="770"/>
      <c r="BV426" s="770"/>
      <c r="BW426" s="770"/>
      <c r="BX426" s="302"/>
      <c r="BY426" s="770"/>
      <c r="BZ426" s="302"/>
      <c r="CA426" s="770"/>
      <c r="CB426" s="770"/>
      <c r="CC426" s="770"/>
      <c r="CD426" s="770"/>
      <c r="CE426" s="770"/>
      <c r="CF426" s="1753"/>
      <c r="CG426" s="1754"/>
      <c r="CH426" s="770"/>
      <c r="CI426" s="770"/>
      <c r="CJ426" s="770"/>
      <c r="CK426" s="770"/>
      <c r="CL426" s="770"/>
      <c r="CM426" s="770"/>
      <c r="CN426" s="770"/>
      <c r="CO426" s="770"/>
      <c r="CP426" s="770"/>
      <c r="CQ426" s="770"/>
      <c r="CR426" s="302"/>
      <c r="CS426" s="770"/>
      <c r="CT426" s="770"/>
      <c r="CU426" s="305"/>
      <c r="CV426" s="770"/>
      <c r="CW426" s="770"/>
      <c r="CX426" s="770"/>
      <c r="CY426" s="770"/>
      <c r="CZ426" s="770"/>
      <c r="DA426" s="306"/>
      <c r="DB426" s="770"/>
      <c r="DC426" s="770"/>
      <c r="DD426" s="770"/>
      <c r="DE426" s="300"/>
      <c r="DF426" s="770"/>
      <c r="DG426" s="770"/>
      <c r="DH426" s="770"/>
      <c r="DI426" s="770"/>
      <c r="DJ426" s="770"/>
      <c r="DK426" s="770"/>
      <c r="DL426" s="770"/>
      <c r="DM426" s="770"/>
      <c r="DN426" s="322"/>
      <c r="DO426" s="770"/>
      <c r="DP426" s="770"/>
      <c r="DQ426" s="770"/>
      <c r="DR426" s="770"/>
      <c r="DS426" s="307"/>
      <c r="DT426" s="770"/>
      <c r="DU426" s="770"/>
      <c r="DV426" s="770"/>
      <c r="DW426" s="306"/>
      <c r="DX426" s="306"/>
      <c r="DY426" s="770"/>
      <c r="DZ426" s="770"/>
      <c r="EA426" s="770"/>
      <c r="EB426" s="770"/>
      <c r="EC426" s="770"/>
      <c r="ED426" s="770"/>
      <c r="EE426" s="770"/>
      <c r="EF426" s="770"/>
      <c r="EG426" s="770"/>
      <c r="EH426" s="770"/>
      <c r="EI426" s="770"/>
      <c r="EJ426" s="770"/>
      <c r="EK426" s="770"/>
      <c r="EL426" s="770"/>
      <c r="EM426" s="770"/>
      <c r="EN426" s="770"/>
      <c r="EO426" s="770"/>
      <c r="EP426" s="94"/>
      <c r="EQ426" s="770"/>
      <c r="ER426" s="770"/>
      <c r="ES426" s="770"/>
      <c r="ET426" s="770"/>
      <c r="EU426" s="770"/>
      <c r="EV426" s="770"/>
      <c r="EW426" s="770"/>
      <c r="EX426" s="770"/>
      <c r="EY426" s="770"/>
      <c r="EZ426" s="770"/>
      <c r="FA426" s="770"/>
      <c r="FB426" s="770"/>
      <c r="FC426" s="770"/>
      <c r="FD426" s="302"/>
      <c r="FE426" s="770"/>
      <c r="FF426" s="770"/>
      <c r="FG426" s="770"/>
      <c r="FH426" s="770" t="s">
        <v>1306</v>
      </c>
      <c r="FI426" s="770">
        <v>2</v>
      </c>
      <c r="FJ426" s="770" t="s">
        <v>2326</v>
      </c>
      <c r="FK426" s="770"/>
      <c r="FL426" s="770" t="s">
        <v>2327</v>
      </c>
      <c r="FM426" s="147">
        <v>5000</v>
      </c>
      <c r="FN426" s="302">
        <v>600</v>
      </c>
      <c r="FO426" s="302">
        <v>800</v>
      </c>
      <c r="FP426" s="766" t="s">
        <v>1602</v>
      </c>
      <c r="FQ426" s="766" t="s">
        <v>1660</v>
      </c>
      <c r="FR426" s="770"/>
      <c r="FS426" s="770"/>
      <c r="FT426" s="770"/>
      <c r="FU426" s="770"/>
      <c r="FV426" s="770"/>
      <c r="FW426" s="770"/>
      <c r="FX426" s="770"/>
      <c r="FY426" s="770"/>
      <c r="FZ426" s="770"/>
      <c r="GA426" s="770"/>
      <c r="GB426" s="770"/>
      <c r="GC426" s="308"/>
      <c r="GD426" s="297"/>
      <c r="GE426" s="770"/>
      <c r="GF426" s="302"/>
      <c r="GG426" s="302"/>
      <c r="GH426" s="1774"/>
      <c r="GI426" s="770"/>
      <c r="GJ426" s="770"/>
      <c r="GK426" s="770"/>
      <c r="GL426" s="770"/>
      <c r="GM426" s="770"/>
      <c r="GN426" s="299"/>
      <c r="GO426" s="770"/>
      <c r="GP426" s="770"/>
      <c r="GQ426" s="770"/>
      <c r="GR426" s="770"/>
      <c r="GS426" s="770"/>
      <c r="GT426" s="770"/>
      <c r="GU426" s="770"/>
      <c r="GV426" s="770"/>
      <c r="GW426" s="770"/>
      <c r="GX426" s="770"/>
      <c r="GY426" s="770"/>
      <c r="GZ426" s="770"/>
      <c r="HA426" s="770"/>
      <c r="HB426" s="770"/>
      <c r="HC426" s="770"/>
      <c r="HD426" s="770"/>
      <c r="HE426" s="770"/>
      <c r="HF426" s="770"/>
      <c r="HG426" s="770"/>
      <c r="HH426" s="770"/>
      <c r="HI426" s="770"/>
      <c r="HJ426" s="770"/>
      <c r="HK426" s="770"/>
      <c r="HL426" s="770"/>
      <c r="HM426" s="770"/>
      <c r="HN426" s="770"/>
      <c r="HO426" s="770"/>
      <c r="HP426" s="770"/>
      <c r="HQ426" s="770"/>
      <c r="HR426" s="770"/>
      <c r="HS426" s="770"/>
      <c r="HT426" s="770"/>
      <c r="HU426" s="770"/>
      <c r="HV426" s="770"/>
      <c r="HW426" s="770"/>
      <c r="HX426" s="770"/>
      <c r="HY426" s="770"/>
      <c r="HZ426" s="770"/>
      <c r="IA426" s="770"/>
      <c r="IB426" s="14" t="e">
        <f>IF(#REF!&gt;0,IF(#REF!&lt;=10000,"Y",""),"")</f>
        <v>#REF!</v>
      </c>
      <c r="IC426" s="770" t="s">
        <v>1207</v>
      </c>
      <c r="ID426" s="770"/>
      <c r="IE426" s="770"/>
      <c r="IF426" s="770"/>
      <c r="IG426" s="770"/>
      <c r="IH426" s="770"/>
      <c r="II426" s="770"/>
      <c r="IJ426" s="770"/>
      <c r="IK426" s="770"/>
      <c r="IL426" s="770"/>
      <c r="IM426" s="770"/>
      <c r="IN426" s="770"/>
      <c r="IO426" s="296"/>
      <c r="IP426" s="770"/>
      <c r="IQ426" s="770"/>
      <c r="IR426" s="770"/>
      <c r="IS426" s="770"/>
      <c r="IT426" s="770"/>
      <c r="IU426" s="770"/>
      <c r="IV426" s="770"/>
      <c r="IW426" s="770"/>
      <c r="IX426" s="770"/>
      <c r="IY426" s="770"/>
      <c r="IZ426" s="770"/>
      <c r="JA426" s="770"/>
      <c r="JB426" s="770"/>
      <c r="JC426" s="770"/>
      <c r="JD426" s="302"/>
      <c r="JE426" s="770"/>
      <c r="JF426" s="770"/>
      <c r="JG426" s="770"/>
      <c r="JH426" s="307"/>
      <c r="JI426" s="307"/>
      <c r="JJ426" s="770">
        <v>2</v>
      </c>
      <c r="JK426" s="1139" t="s">
        <v>3480</v>
      </c>
      <c r="JL426" s="770"/>
      <c r="JM426" s="770"/>
      <c r="JN426" s="770"/>
      <c r="JO426" s="770">
        <v>2</v>
      </c>
      <c r="JP426" s="770"/>
      <c r="JQ426" s="770"/>
      <c r="JR426" s="770"/>
      <c r="JS426" s="770"/>
      <c r="JT426" s="766">
        <f t="shared" ref="JT426:JU438" si="117">SUM(JP426,JN426,JL426,JR426)</f>
        <v>0</v>
      </c>
      <c r="JU426" s="766">
        <f t="shared" si="117"/>
        <v>2</v>
      </c>
      <c r="JV426" s="712" t="str">
        <f t="shared" si="112"/>
        <v>ok</v>
      </c>
      <c r="JW426" s="712" t="str">
        <f t="shared" si="113"/>
        <v>ok</v>
      </c>
      <c r="JX426" s="766"/>
      <c r="JY426" s="766"/>
      <c r="JZ426" s="766"/>
      <c r="KA426" s="766"/>
      <c r="KB426" s="766"/>
      <c r="KC426" s="766">
        <v>1</v>
      </c>
      <c r="KD426" s="766"/>
      <c r="KE426" s="766">
        <v>1</v>
      </c>
      <c r="KF426" s="766"/>
      <c r="KG426" s="766"/>
      <c r="KH426" s="766"/>
      <c r="KI426" s="766"/>
      <c r="KJ426" s="770">
        <f t="shared" si="103"/>
        <v>0</v>
      </c>
      <c r="KK426" s="770">
        <f t="shared" si="103"/>
        <v>2</v>
      </c>
      <c r="KL426" s="712" t="str">
        <f t="shared" si="114"/>
        <v>ok</v>
      </c>
      <c r="KM426" s="712" t="str">
        <f t="shared" si="115"/>
        <v>ok</v>
      </c>
      <c r="KN426" s="770" t="s">
        <v>768</v>
      </c>
      <c r="KO426" s="770"/>
      <c r="KP426" s="770"/>
      <c r="KQ426" s="770"/>
      <c r="KR426" s="770"/>
      <c r="KS426" s="770"/>
      <c r="KT426" s="770"/>
      <c r="KU426" s="770">
        <v>1</v>
      </c>
      <c r="KV426" s="770"/>
      <c r="KW426" s="770"/>
      <c r="KX426" s="770"/>
      <c r="KY426" s="770"/>
      <c r="KZ426" s="770"/>
      <c r="LA426" s="770"/>
      <c r="LB426" s="770"/>
      <c r="LC426" s="770"/>
      <c r="LD426" s="770"/>
      <c r="LE426" s="770">
        <v>1</v>
      </c>
      <c r="LF426" s="770"/>
      <c r="LG426" s="770"/>
      <c r="LH426" s="770"/>
      <c r="LI426" s="770"/>
      <c r="LJ426" s="770"/>
      <c r="LK426" s="770"/>
      <c r="LL426" s="770"/>
      <c r="LM426" s="770"/>
      <c r="LN426" s="766">
        <f t="shared" si="111"/>
        <v>0</v>
      </c>
      <c r="LO426" s="766">
        <f t="shared" si="111"/>
        <v>2</v>
      </c>
      <c r="LP426" s="770">
        <v>1</v>
      </c>
      <c r="LQ426" s="770"/>
      <c r="LR426" s="770"/>
      <c r="LS426" s="770">
        <v>1</v>
      </c>
      <c r="LT426" s="712" t="str">
        <f t="shared" si="116"/>
        <v>OK</v>
      </c>
      <c r="LU426" s="770"/>
      <c r="LV426" s="770"/>
      <c r="LW426" s="770"/>
      <c r="LX426" s="769">
        <v>1</v>
      </c>
      <c r="LY426" s="766" t="str">
        <f t="shared" si="100"/>
        <v>within the BRGY</v>
      </c>
      <c r="LZ426" s="1709"/>
      <c r="MA426" s="1709"/>
      <c r="MB426" s="1709"/>
      <c r="MC426" s="1679">
        <f t="shared" si="110"/>
        <v>0</v>
      </c>
      <c r="MD426" s="1709"/>
      <c r="ME426" s="1709"/>
      <c r="MF426" s="1709">
        <v>6000</v>
      </c>
      <c r="MG426" s="1680">
        <f t="shared" ref="MG426:MG447" si="118">SUM(MD426:MF426)</f>
        <v>6000</v>
      </c>
      <c r="MH426" s="770" t="s">
        <v>2968</v>
      </c>
      <c r="MI426" s="302">
        <v>12000</v>
      </c>
      <c r="MJ426" s="302"/>
      <c r="MK426" s="302">
        <f>200/12</f>
        <v>16.666666666666668</v>
      </c>
      <c r="ML426" s="302"/>
      <c r="MM426" s="302">
        <v>1500</v>
      </c>
      <c r="MN426" s="302">
        <v>5000</v>
      </c>
      <c r="MO426" s="302"/>
      <c r="MP426" s="302">
        <v>8000</v>
      </c>
      <c r="MQ426" s="302">
        <v>1540</v>
      </c>
      <c r="MR426" s="302">
        <v>600</v>
      </c>
      <c r="MS426" s="302"/>
      <c r="MT426" s="302"/>
      <c r="MU426" s="302"/>
      <c r="MV426" s="302"/>
      <c r="MW426" s="302"/>
      <c r="MX426" s="302"/>
      <c r="MY426" s="1682">
        <f t="shared" si="102"/>
        <v>28656.666666666664</v>
      </c>
      <c r="MZ426" s="770" t="s">
        <v>13370</v>
      </c>
      <c r="NA426" s="770" t="s">
        <v>13005</v>
      </c>
      <c r="NB426" s="766" t="s">
        <v>13371</v>
      </c>
      <c r="NC426" s="766" t="s">
        <v>13523</v>
      </c>
      <c r="ND426" s="770">
        <v>0</v>
      </c>
      <c r="NE426" s="770">
        <v>0</v>
      </c>
      <c r="NF426" s="770">
        <v>0</v>
      </c>
      <c r="NG426" s="770">
        <v>2</v>
      </c>
      <c r="NH426" s="770">
        <v>1</v>
      </c>
      <c r="NI426" s="770">
        <v>0</v>
      </c>
      <c r="NJ426" s="770">
        <v>0</v>
      </c>
      <c r="NK426" s="770">
        <v>0</v>
      </c>
      <c r="NL426" s="770">
        <v>0</v>
      </c>
      <c r="NM426" s="770">
        <v>1</v>
      </c>
      <c r="NN426" s="770">
        <v>0</v>
      </c>
      <c r="NO426" s="770">
        <v>0</v>
      </c>
      <c r="NP426" s="770">
        <v>0</v>
      </c>
      <c r="NQ426" s="770">
        <v>0</v>
      </c>
      <c r="NR426" s="770">
        <v>0</v>
      </c>
      <c r="NS426" s="770">
        <v>0</v>
      </c>
      <c r="NT426" s="770">
        <v>0</v>
      </c>
      <c r="NU426" s="770">
        <v>0</v>
      </c>
      <c r="NV426" s="770">
        <v>0</v>
      </c>
      <c r="NW426" s="770">
        <v>0</v>
      </c>
      <c r="NX426" s="770">
        <v>0</v>
      </c>
      <c r="NY426" s="770" t="s">
        <v>1208</v>
      </c>
      <c r="NZ426" s="770"/>
      <c r="OA426" s="770"/>
      <c r="OB426" s="770"/>
      <c r="OC426" s="770" t="s">
        <v>1208</v>
      </c>
      <c r="OD426" s="770"/>
      <c r="OE426" s="770"/>
      <c r="OF426" s="770" t="s">
        <v>2143</v>
      </c>
      <c r="OG426" s="770"/>
      <c r="OH426" s="770"/>
      <c r="OI426" s="770"/>
      <c r="OJ426" s="770"/>
      <c r="OK426" s="770" t="s">
        <v>1208</v>
      </c>
      <c r="OL426" s="770" t="s">
        <v>3481</v>
      </c>
      <c r="OM426" s="770" t="s">
        <v>13547</v>
      </c>
      <c r="ON426" s="770"/>
      <c r="OO426" s="770" t="s">
        <v>1207</v>
      </c>
      <c r="OP426" s="770" t="s">
        <v>13532</v>
      </c>
      <c r="OQ426" s="770"/>
      <c r="OR426" s="770"/>
      <c r="OS426" s="770" t="s">
        <v>13548</v>
      </c>
      <c r="OT426" s="770"/>
      <c r="OU426" s="770"/>
      <c r="OV426" s="770" t="s">
        <v>1208</v>
      </c>
      <c r="OW426" s="770"/>
      <c r="OX426" s="770"/>
      <c r="OY426" s="770"/>
      <c r="OZ426" s="770"/>
      <c r="PA426" s="770" t="s">
        <v>1208</v>
      </c>
      <c r="PB426" s="770"/>
      <c r="PC426" s="770"/>
      <c r="PD426" s="770"/>
      <c r="PE426" s="770"/>
      <c r="PF426" s="770"/>
      <c r="PG426" s="770"/>
      <c r="PH426" s="770"/>
      <c r="PI426" s="770"/>
      <c r="PJ426" s="770"/>
      <c r="PK426" s="770"/>
      <c r="PL426" s="770"/>
      <c r="PM426" s="770" t="s">
        <v>1208</v>
      </c>
      <c r="PN426" s="770"/>
      <c r="PO426" s="770"/>
      <c r="PP426" s="770"/>
      <c r="PQ426" s="770"/>
      <c r="PR426" s="770"/>
      <c r="PS426" s="770"/>
      <c r="PT426" s="770"/>
      <c r="PU426" s="770"/>
      <c r="PV426" s="770" t="s">
        <v>1208</v>
      </c>
      <c r="PW426" s="770"/>
      <c r="PX426" s="770"/>
      <c r="PY426" s="770"/>
      <c r="PZ426" s="770"/>
      <c r="QA426" s="770"/>
      <c r="QB426" s="770"/>
      <c r="QC426" s="770"/>
      <c r="QD426" s="770"/>
      <c r="QE426" s="770"/>
      <c r="QF426" s="770"/>
      <c r="QG426" s="770"/>
      <c r="QH426" s="770"/>
      <c r="QI426" s="770"/>
      <c r="QJ426" s="770"/>
      <c r="QK426" s="770"/>
      <c r="QL426" s="770"/>
      <c r="QM426" s="770"/>
      <c r="QN426" s="770"/>
      <c r="QO426" s="770"/>
      <c r="QP426" s="770"/>
      <c r="QQ426" s="770"/>
      <c r="QR426" s="770"/>
      <c r="QS426" s="770"/>
      <c r="QT426" s="770"/>
      <c r="QU426" s="770"/>
      <c r="QV426" s="770"/>
      <c r="QW426" s="770"/>
      <c r="QX426" s="770"/>
      <c r="QY426" s="770"/>
      <c r="QZ426" s="770"/>
      <c r="RA426" s="770"/>
      <c r="RB426" s="770" t="s">
        <v>1214</v>
      </c>
      <c r="RC426" s="770"/>
      <c r="RD426" s="770"/>
      <c r="RE426" s="770"/>
      <c r="RF426" s="304"/>
      <c r="RG426" s="770"/>
      <c r="RH426" s="302"/>
      <c r="RI426" s="770"/>
      <c r="RJ426" s="770" t="s">
        <v>13549</v>
      </c>
      <c r="RK426" s="770" t="s">
        <v>13550</v>
      </c>
      <c r="RL426" s="1710"/>
      <c r="RM426" s="12"/>
      <c r="RN426" s="1711"/>
      <c r="RO426" s="132" t="s">
        <v>2318</v>
      </c>
      <c r="RP426" s="11"/>
      <c r="RQ426" s="11"/>
      <c r="RR426" s="311" t="s">
        <v>12452</v>
      </c>
      <c r="RS426" s="1139" t="s">
        <v>12980</v>
      </c>
      <c r="RT426" s="11"/>
      <c r="RU426" s="11"/>
      <c r="RV426" s="771" t="s">
        <v>8104</v>
      </c>
      <c r="RW426" s="11" t="s">
        <v>7738</v>
      </c>
      <c r="RX426" s="11" t="s">
        <v>2294</v>
      </c>
      <c r="RY426" s="11"/>
      <c r="RZ426" s="11"/>
      <c r="SA426" s="771"/>
      <c r="SB426" s="11"/>
      <c r="SC426" s="11"/>
    </row>
    <row r="427" spans="1:497" ht="12.75" customHeight="1">
      <c r="A427" s="19" t="s">
        <v>7421</v>
      </c>
      <c r="B427" s="752" t="s">
        <v>7677</v>
      </c>
      <c r="C427" s="132" t="s">
        <v>2328</v>
      </c>
      <c r="D427" s="94" t="s">
        <v>2329</v>
      </c>
      <c r="E427" s="770" t="s">
        <v>2330</v>
      </c>
      <c r="F427" s="770" t="s">
        <v>28</v>
      </c>
      <c r="G427" s="770" t="s">
        <v>10</v>
      </c>
      <c r="H427" s="295"/>
      <c r="I427" s="295"/>
      <c r="J427" s="94" t="s">
        <v>2329</v>
      </c>
      <c r="K427" s="766" t="s">
        <v>2285</v>
      </c>
      <c r="L427" s="766" t="s">
        <v>2331</v>
      </c>
      <c r="M427" s="770" t="s">
        <v>1238</v>
      </c>
      <c r="N427" s="770"/>
      <c r="O427" s="770" t="s">
        <v>2277</v>
      </c>
      <c r="P427" s="94" t="s">
        <v>2332</v>
      </c>
      <c r="Q427" s="1088">
        <v>35442</v>
      </c>
      <c r="R427" s="297">
        <v>20</v>
      </c>
      <c r="S427" s="770" t="s">
        <v>10</v>
      </c>
      <c r="T427" s="770"/>
      <c r="U427" s="298"/>
      <c r="V427" s="770" t="s">
        <v>707</v>
      </c>
      <c r="W427" s="770"/>
      <c r="X427" s="770"/>
      <c r="Y427" s="770" t="s">
        <v>2330</v>
      </c>
      <c r="Z427" s="770" t="s">
        <v>708</v>
      </c>
      <c r="AA427" s="770" t="s">
        <v>709</v>
      </c>
      <c r="AB427" s="770" t="s">
        <v>710</v>
      </c>
      <c r="AC427" s="770" t="s">
        <v>724</v>
      </c>
      <c r="AD427" s="770"/>
      <c r="AE427" s="770"/>
      <c r="AF427" s="770" t="s">
        <v>798</v>
      </c>
      <c r="AG427" s="766" t="s">
        <v>1132</v>
      </c>
      <c r="AH427" s="766" t="s">
        <v>1096</v>
      </c>
      <c r="AI427" s="770"/>
      <c r="AJ427" s="770" t="s">
        <v>1137</v>
      </c>
      <c r="AK427" s="770" t="s">
        <v>1101</v>
      </c>
      <c r="AL427" s="531">
        <v>5.22</v>
      </c>
      <c r="AM427" s="780">
        <v>5.22</v>
      </c>
      <c r="AN427" s="532">
        <f>AM427/AL427</f>
        <v>1</v>
      </c>
      <c r="AO427" s="766" t="s">
        <v>1122</v>
      </c>
      <c r="AP427" s="766"/>
      <c r="AQ427" s="1773"/>
      <c r="AR427" s="766"/>
      <c r="AS427" s="770"/>
      <c r="AT427" s="770"/>
      <c r="AU427" s="770"/>
      <c r="AV427" s="770"/>
      <c r="AW427" s="770"/>
      <c r="AX427" s="770"/>
      <c r="AY427" s="770"/>
      <c r="AZ427" s="770"/>
      <c r="BA427" s="770"/>
      <c r="BB427" s="770"/>
      <c r="BC427" s="770"/>
      <c r="BD427" s="770"/>
      <c r="BE427" s="770"/>
      <c r="BF427" s="302"/>
      <c r="BG427" s="302"/>
      <c r="BH427" s="770"/>
      <c r="BI427" s="770"/>
      <c r="BJ427" s="770"/>
      <c r="BK427" s="770" t="s">
        <v>1095</v>
      </c>
      <c r="BL427" s="770" t="s">
        <v>2333</v>
      </c>
      <c r="BM427" s="766" t="s">
        <v>1096</v>
      </c>
      <c r="BN427" s="770" t="s">
        <v>1230</v>
      </c>
      <c r="BO427" s="766" t="s">
        <v>1246</v>
      </c>
      <c r="BP427" s="1109">
        <v>5.22</v>
      </c>
      <c r="BQ427" s="773">
        <v>5.22</v>
      </c>
      <c r="BR427" s="774">
        <f>BQ427/BP427</f>
        <v>1</v>
      </c>
      <c r="BS427" s="766" t="s">
        <v>1257</v>
      </c>
      <c r="BT427" s="766" t="s">
        <v>1326</v>
      </c>
      <c r="BU427" s="766" t="s">
        <v>1264</v>
      </c>
      <c r="BV427" s="769"/>
      <c r="BW427" s="769"/>
      <c r="BX427" s="302"/>
      <c r="BY427" s="770"/>
      <c r="BZ427" s="302"/>
      <c r="CA427" s="770"/>
      <c r="CB427" s="770"/>
      <c r="CC427" s="770"/>
      <c r="CD427" s="770"/>
      <c r="CE427" s="770"/>
      <c r="CF427" s="1753"/>
      <c r="CG427" s="1754"/>
      <c r="CH427" s="770"/>
      <c r="CI427" s="770"/>
      <c r="CJ427" s="770"/>
      <c r="CK427" s="770"/>
      <c r="CL427" s="770"/>
      <c r="CM427" s="770"/>
      <c r="CN427" s="770"/>
      <c r="CO427" s="770"/>
      <c r="CP427" s="770"/>
      <c r="CQ427" s="770"/>
      <c r="CR427" s="302"/>
      <c r="CS427" s="770"/>
      <c r="CT427" s="770"/>
      <c r="CU427" s="305"/>
      <c r="CV427" s="770"/>
      <c r="CW427" s="770"/>
      <c r="CX427" s="770"/>
      <c r="CY427" s="770"/>
      <c r="CZ427" s="770"/>
      <c r="DA427" s="306"/>
      <c r="DB427" s="770"/>
      <c r="DC427" s="770"/>
      <c r="DD427" s="770"/>
      <c r="DE427" s="300"/>
      <c r="DF427" s="770"/>
      <c r="DG427" s="770"/>
      <c r="DH427" s="770"/>
      <c r="DI427" s="770"/>
      <c r="DJ427" s="770"/>
      <c r="DK427" s="770"/>
      <c r="DL427" s="770"/>
      <c r="DM427" s="770"/>
      <c r="DN427" s="322"/>
      <c r="DO427" s="770"/>
      <c r="DP427" s="770"/>
      <c r="DQ427" s="770"/>
      <c r="DR427" s="770"/>
      <c r="DS427" s="307"/>
      <c r="DT427" s="770"/>
      <c r="DU427" s="770"/>
      <c r="DV427" s="770"/>
      <c r="DW427" s="306"/>
      <c r="DX427" s="306"/>
      <c r="DY427" s="770"/>
      <c r="DZ427" s="770"/>
      <c r="EA427" s="770"/>
      <c r="EB427" s="770"/>
      <c r="EC427" s="770"/>
      <c r="ED427" s="770"/>
      <c r="EE427" s="770"/>
      <c r="EF427" s="770"/>
      <c r="EG427" s="770"/>
      <c r="EH427" s="770"/>
      <c r="EI427" s="770"/>
      <c r="EJ427" s="770"/>
      <c r="EK427" s="770"/>
      <c r="EL427" s="770"/>
      <c r="EM427" s="770"/>
      <c r="EN427" s="770"/>
      <c r="EO427" s="770"/>
      <c r="EP427" s="94"/>
      <c r="EQ427" s="770"/>
      <c r="ER427" s="770"/>
      <c r="ES427" s="770"/>
      <c r="ET427" s="770"/>
      <c r="EU427" s="770"/>
      <c r="EV427" s="770"/>
      <c r="EW427" s="770"/>
      <c r="EX427" s="770"/>
      <c r="EY427" s="770"/>
      <c r="EZ427" s="770"/>
      <c r="FA427" s="770"/>
      <c r="FB427" s="770"/>
      <c r="FC427" s="770"/>
      <c r="FD427" s="302"/>
      <c r="FE427" s="770"/>
      <c r="FF427" s="770"/>
      <c r="FG427" s="770"/>
      <c r="FH427" s="770" t="s">
        <v>478</v>
      </c>
      <c r="FI427" s="770">
        <v>1</v>
      </c>
      <c r="FJ427" s="770"/>
      <c r="FK427" s="770"/>
      <c r="FL427" s="770"/>
      <c r="FM427" s="302"/>
      <c r="FN427" s="302"/>
      <c r="FO427" s="302"/>
      <c r="FP427" s="766" t="s">
        <v>1602</v>
      </c>
      <c r="FQ427" s="766" t="s">
        <v>1660</v>
      </c>
      <c r="FR427" s="770" t="s">
        <v>1214</v>
      </c>
      <c r="FS427" s="770"/>
      <c r="FT427" s="770"/>
      <c r="FU427" s="770"/>
      <c r="FV427" s="770"/>
      <c r="FW427" s="770"/>
      <c r="FX427" s="770"/>
      <c r="FY427" s="770"/>
      <c r="FZ427" s="770"/>
      <c r="GA427" s="770"/>
      <c r="GB427" s="770" t="s">
        <v>1211</v>
      </c>
      <c r="GC427" s="308"/>
      <c r="GD427" s="297"/>
      <c r="GE427" s="770" t="s">
        <v>1214</v>
      </c>
      <c r="GF427" s="302"/>
      <c r="GG427" s="302"/>
      <c r="GH427" s="712" t="s">
        <v>1791</v>
      </c>
      <c r="GI427" s="770" t="s">
        <v>1008</v>
      </c>
      <c r="GJ427" s="770" t="s">
        <v>1831</v>
      </c>
      <c r="GK427" s="770" t="s">
        <v>2335</v>
      </c>
      <c r="GL427" s="770"/>
      <c r="GM427" s="770"/>
      <c r="GN427" s="299">
        <v>350</v>
      </c>
      <c r="GO427" s="770"/>
      <c r="GP427" s="770"/>
      <c r="GQ427" s="770"/>
      <c r="GR427" s="770"/>
      <c r="GS427" s="770"/>
      <c r="GT427" s="770"/>
      <c r="GU427" s="770"/>
      <c r="GV427" s="770" t="s">
        <v>1831</v>
      </c>
      <c r="GW427" s="770" t="s">
        <v>1207</v>
      </c>
      <c r="GX427" s="770"/>
      <c r="GY427" s="770" t="s">
        <v>1208</v>
      </c>
      <c r="GZ427" s="770" t="s">
        <v>1208</v>
      </c>
      <c r="HA427" s="770" t="s">
        <v>1208</v>
      </c>
      <c r="HB427" s="770" t="s">
        <v>1208</v>
      </c>
      <c r="HC427" s="770"/>
      <c r="HD427" s="770" t="s">
        <v>1208</v>
      </c>
      <c r="HE427" s="770" t="s">
        <v>1208</v>
      </c>
      <c r="HF427" s="770"/>
      <c r="HG427" s="770"/>
      <c r="HH427" s="770"/>
      <c r="HI427" s="770"/>
      <c r="HJ427" s="770"/>
      <c r="HK427" s="770"/>
      <c r="HL427" s="770"/>
      <c r="HM427" s="770"/>
      <c r="HN427" s="770"/>
      <c r="HO427" s="770"/>
      <c r="HP427" s="770"/>
      <c r="HQ427" s="770"/>
      <c r="HR427" s="770"/>
      <c r="HS427" s="770"/>
      <c r="HT427" s="770"/>
      <c r="HU427" s="770"/>
      <c r="HV427" s="770"/>
      <c r="HW427" s="770"/>
      <c r="HX427" s="770"/>
      <c r="HY427" s="770"/>
      <c r="HZ427" s="770"/>
      <c r="IA427" s="770"/>
      <c r="IB427" s="14" t="e">
        <f>IF(#REF!&gt;0,IF(#REF!&lt;=10000,"Y",""),"")</f>
        <v>#REF!</v>
      </c>
      <c r="IC427" s="770"/>
      <c r="ID427" s="770"/>
      <c r="IE427" s="770"/>
      <c r="IF427" s="770"/>
      <c r="IG427" s="770"/>
      <c r="IH427" s="770"/>
      <c r="II427" s="770"/>
      <c r="IJ427" s="770"/>
      <c r="IK427" s="770"/>
      <c r="IL427" s="770"/>
      <c r="IM427" s="770"/>
      <c r="IN427" s="770"/>
      <c r="IO427" s="296"/>
      <c r="IP427" s="770"/>
      <c r="IQ427" s="770"/>
      <c r="IR427" s="770"/>
      <c r="IS427" s="770"/>
      <c r="IT427" s="770"/>
      <c r="IU427" s="770"/>
      <c r="IV427" s="770"/>
      <c r="IW427" s="770"/>
      <c r="IX427" s="770"/>
      <c r="IY427" s="770"/>
      <c r="IZ427" s="770"/>
      <c r="JA427" s="770"/>
      <c r="JB427" s="770"/>
      <c r="JC427" s="770"/>
      <c r="JD427" s="302"/>
      <c r="JE427" s="770"/>
      <c r="JF427" s="770"/>
      <c r="JG427" s="770"/>
      <c r="JH427" s="307"/>
      <c r="JI427" s="307"/>
      <c r="JJ427" s="770">
        <v>6</v>
      </c>
      <c r="JK427" s="1139" t="s">
        <v>2333</v>
      </c>
      <c r="JL427" s="770"/>
      <c r="JM427" s="770">
        <v>1</v>
      </c>
      <c r="JN427" s="770">
        <v>3</v>
      </c>
      <c r="JO427" s="770">
        <v>2</v>
      </c>
      <c r="JP427" s="770"/>
      <c r="JQ427" s="770"/>
      <c r="JR427" s="770"/>
      <c r="JS427" s="770"/>
      <c r="JT427" s="766">
        <f t="shared" si="117"/>
        <v>3</v>
      </c>
      <c r="JU427" s="766">
        <f t="shared" si="117"/>
        <v>3</v>
      </c>
      <c r="JV427" s="712" t="str">
        <f t="shared" si="112"/>
        <v>ok</v>
      </c>
      <c r="JW427" s="712" t="str">
        <f t="shared" si="113"/>
        <v>ok</v>
      </c>
      <c r="JX427" s="766"/>
      <c r="JY427" s="766"/>
      <c r="JZ427" s="766"/>
      <c r="KA427" s="766">
        <v>1</v>
      </c>
      <c r="KB427" s="766">
        <v>2</v>
      </c>
      <c r="KC427" s="766">
        <v>1</v>
      </c>
      <c r="KD427" s="766">
        <v>1</v>
      </c>
      <c r="KE427" s="766">
        <v>1</v>
      </c>
      <c r="KF427" s="766"/>
      <c r="KG427" s="766"/>
      <c r="KH427" s="766"/>
      <c r="KI427" s="766"/>
      <c r="KJ427" s="770">
        <f t="shared" si="103"/>
        <v>3</v>
      </c>
      <c r="KK427" s="770">
        <f t="shared" si="103"/>
        <v>3</v>
      </c>
      <c r="KL427" s="712" t="str">
        <f t="shared" si="114"/>
        <v>ok</v>
      </c>
      <c r="KM427" s="712" t="str">
        <f t="shared" si="115"/>
        <v>ok</v>
      </c>
      <c r="KN427" s="770" t="s">
        <v>707</v>
      </c>
      <c r="KO427" s="770"/>
      <c r="KP427" s="770"/>
      <c r="KQ427" s="770"/>
      <c r="KR427" s="770"/>
      <c r="KS427" s="770"/>
      <c r="KT427" s="770">
        <v>3</v>
      </c>
      <c r="KU427" s="770">
        <v>3</v>
      </c>
      <c r="KV427" s="770"/>
      <c r="KW427" s="770"/>
      <c r="KX427" s="770"/>
      <c r="KY427" s="770"/>
      <c r="KZ427" s="770"/>
      <c r="LA427" s="770"/>
      <c r="LB427" s="770"/>
      <c r="LC427" s="770"/>
      <c r="LD427" s="770"/>
      <c r="LE427" s="770"/>
      <c r="LF427" s="770"/>
      <c r="LG427" s="770"/>
      <c r="LH427" s="770"/>
      <c r="LI427" s="770"/>
      <c r="LJ427" s="770"/>
      <c r="LK427" s="770"/>
      <c r="LL427" s="770"/>
      <c r="LM427" s="770"/>
      <c r="LN427" s="766">
        <f t="shared" si="111"/>
        <v>3</v>
      </c>
      <c r="LO427" s="766">
        <f t="shared" si="111"/>
        <v>3</v>
      </c>
      <c r="LP427" s="770">
        <v>1</v>
      </c>
      <c r="LQ427" s="770"/>
      <c r="LR427" s="770"/>
      <c r="LS427" s="770">
        <v>1</v>
      </c>
      <c r="LT427" s="712" t="str">
        <f t="shared" si="116"/>
        <v>OK</v>
      </c>
      <c r="LU427" s="770"/>
      <c r="LV427" s="770"/>
      <c r="LW427" s="770"/>
      <c r="LX427" s="769">
        <v>1</v>
      </c>
      <c r="LY427" s="766" t="str">
        <f t="shared" ref="LY427:LY490" si="119">IF(ISBLANK(LX427)=TRUE,"",LOOKUP(LX427,RT:RU))</f>
        <v>within the BRGY</v>
      </c>
      <c r="LZ427" s="1709"/>
      <c r="MA427" s="1709"/>
      <c r="MB427" s="1709"/>
      <c r="MC427" s="1679">
        <f t="shared" si="110"/>
        <v>0</v>
      </c>
      <c r="MD427" s="1709"/>
      <c r="ME427" s="1709"/>
      <c r="MF427" s="1709">
        <v>6000</v>
      </c>
      <c r="MG427" s="1680">
        <f t="shared" si="118"/>
        <v>6000</v>
      </c>
      <c r="MH427" s="13"/>
      <c r="MI427" s="302">
        <v>6000</v>
      </c>
      <c r="MJ427" s="302"/>
      <c r="MK427" s="302"/>
      <c r="ML427" s="302">
        <v>600</v>
      </c>
      <c r="MM427" s="302"/>
      <c r="MN427" s="302"/>
      <c r="MO427" s="302">
        <v>690</v>
      </c>
      <c r="MP427" s="302">
        <v>900</v>
      </c>
      <c r="MQ427" s="302">
        <v>300</v>
      </c>
      <c r="MR427" s="302">
        <v>600</v>
      </c>
      <c r="MS427" s="302"/>
      <c r="MT427" s="302"/>
      <c r="MU427" s="302"/>
      <c r="MV427" s="302"/>
      <c r="MW427" s="302"/>
      <c r="MX427" s="302"/>
      <c r="MY427" s="1682">
        <f t="shared" si="102"/>
        <v>9090</v>
      </c>
      <c r="MZ427" s="770" t="s">
        <v>13395</v>
      </c>
      <c r="NA427" s="770" t="s">
        <v>13230</v>
      </c>
      <c r="NB427" s="770" t="s">
        <v>13171</v>
      </c>
      <c r="NC427" s="770" t="s">
        <v>13551</v>
      </c>
      <c r="ND427" s="770">
        <v>0</v>
      </c>
      <c r="NE427" s="770">
        <v>0</v>
      </c>
      <c r="NF427" s="770">
        <v>0</v>
      </c>
      <c r="NG427" s="770">
        <v>1</v>
      </c>
      <c r="NH427" s="770">
        <v>1</v>
      </c>
      <c r="NI427" s="770">
        <v>1</v>
      </c>
      <c r="NJ427" s="770">
        <v>0</v>
      </c>
      <c r="NK427" s="770">
        <v>0</v>
      </c>
      <c r="NL427" s="770">
        <v>0</v>
      </c>
      <c r="NM427" s="770">
        <v>1</v>
      </c>
      <c r="NN427" s="770">
        <v>0</v>
      </c>
      <c r="NO427" s="770">
        <v>0</v>
      </c>
      <c r="NP427" s="770">
        <v>0</v>
      </c>
      <c r="NQ427" s="770">
        <v>0</v>
      </c>
      <c r="NR427" s="770">
        <v>0</v>
      </c>
      <c r="NS427" s="770">
        <v>0</v>
      </c>
      <c r="NT427" s="770">
        <v>0</v>
      </c>
      <c r="NU427" s="770">
        <v>0</v>
      </c>
      <c r="NV427" s="770">
        <v>0</v>
      </c>
      <c r="NW427" s="770">
        <v>0</v>
      </c>
      <c r="NX427" s="770">
        <v>0</v>
      </c>
      <c r="NY427" s="770" t="s">
        <v>1208</v>
      </c>
      <c r="NZ427" s="770"/>
      <c r="OA427" s="770" t="s">
        <v>1208</v>
      </c>
      <c r="OB427" s="770" t="s">
        <v>1208</v>
      </c>
      <c r="OC427" s="770" t="s">
        <v>1208</v>
      </c>
      <c r="OD427" s="770"/>
      <c r="OE427" s="770"/>
      <c r="OF427" s="770" t="s">
        <v>2143</v>
      </c>
      <c r="OG427" s="770"/>
      <c r="OH427" s="770"/>
      <c r="OI427" s="770"/>
      <c r="OJ427" s="770"/>
      <c r="OK427" s="770"/>
      <c r="OL427" s="770"/>
      <c r="OM427" s="770"/>
      <c r="ON427" s="770"/>
      <c r="OO427" s="770"/>
      <c r="OP427" s="770"/>
      <c r="OQ427" s="770"/>
      <c r="OR427" s="770"/>
      <c r="OS427" s="770"/>
      <c r="OT427" s="770"/>
      <c r="OU427" s="770"/>
      <c r="OV427" s="770"/>
      <c r="OW427" s="770"/>
      <c r="OX427" s="770"/>
      <c r="OY427" s="770"/>
      <c r="OZ427" s="770"/>
      <c r="PA427" s="770"/>
      <c r="PB427" s="770"/>
      <c r="PC427" s="770"/>
      <c r="PD427" s="770"/>
      <c r="PE427" s="770"/>
      <c r="PF427" s="770" t="s">
        <v>1208</v>
      </c>
      <c r="PG427" s="770"/>
      <c r="PH427" s="770"/>
      <c r="PI427" s="770"/>
      <c r="PJ427" s="770"/>
      <c r="PK427" s="770" t="s">
        <v>1208</v>
      </c>
      <c r="PL427" s="770"/>
      <c r="PM427" s="770"/>
      <c r="PN427" s="770"/>
      <c r="PO427" s="770"/>
      <c r="PP427" s="770"/>
      <c r="PQ427" s="770"/>
      <c r="PR427" s="770"/>
      <c r="PS427" s="770"/>
      <c r="PT427" s="770"/>
      <c r="PU427" s="770"/>
      <c r="PV427" s="770"/>
      <c r="PW427" s="770"/>
      <c r="PX427" s="770"/>
      <c r="PY427" s="770"/>
      <c r="PZ427" s="770"/>
      <c r="QA427" s="770"/>
      <c r="QB427" s="770"/>
      <c r="QC427" s="770"/>
      <c r="QD427" s="770"/>
      <c r="QE427" s="770"/>
      <c r="QF427" s="770"/>
      <c r="QG427" s="770"/>
      <c r="QH427" s="770"/>
      <c r="QI427" s="770"/>
      <c r="QJ427" s="770"/>
      <c r="QK427" s="770"/>
      <c r="QL427" s="770"/>
      <c r="QM427" s="770"/>
      <c r="QN427" s="770"/>
      <c r="QO427" s="770"/>
      <c r="QP427" s="770"/>
      <c r="QQ427" s="770"/>
      <c r="QR427" s="770"/>
      <c r="QS427" s="770"/>
      <c r="QT427" s="770"/>
      <c r="QU427" s="770"/>
      <c r="QV427" s="770"/>
      <c r="QW427" s="770"/>
      <c r="QX427" s="770"/>
      <c r="QY427" s="770"/>
      <c r="QZ427" s="770"/>
      <c r="RA427" s="770"/>
      <c r="RB427" s="770" t="s">
        <v>1207</v>
      </c>
      <c r="RC427" s="770"/>
      <c r="RD427" s="770" t="s">
        <v>13036</v>
      </c>
      <c r="RE427" s="770"/>
      <c r="RF427" s="304"/>
      <c r="RG427" s="770"/>
      <c r="RH427" s="302"/>
      <c r="RI427" s="770"/>
      <c r="RJ427" s="770" t="s">
        <v>2333</v>
      </c>
      <c r="RK427" s="770" t="s">
        <v>13552</v>
      </c>
      <c r="RL427" s="1710"/>
      <c r="RM427" s="12"/>
      <c r="RN427" s="1711"/>
      <c r="RO427" s="132" t="s">
        <v>2328</v>
      </c>
      <c r="RP427" s="11"/>
      <c r="RQ427" s="11"/>
      <c r="RR427" s="19" t="s">
        <v>7421</v>
      </c>
      <c r="RS427" s="1139" t="s">
        <v>12980</v>
      </c>
      <c r="RT427" s="11"/>
      <c r="RU427" s="11"/>
      <c r="RV427" s="771" t="s">
        <v>7421</v>
      </c>
      <c r="RW427" s="11" t="s">
        <v>7676</v>
      </c>
      <c r="RX427" s="11" t="s">
        <v>2318</v>
      </c>
      <c r="RY427" s="11"/>
      <c r="RZ427" s="11" t="s">
        <v>1101</v>
      </c>
      <c r="SA427" s="771"/>
      <c r="SB427" s="11"/>
      <c r="SC427" s="11"/>
    </row>
    <row r="428" spans="1:497" ht="12.75" customHeight="1">
      <c r="A428" s="19" t="s">
        <v>7421</v>
      </c>
      <c r="B428" s="752" t="s">
        <v>7678</v>
      </c>
      <c r="C428" s="132" t="s">
        <v>2336</v>
      </c>
      <c r="D428" s="94" t="s">
        <v>2338</v>
      </c>
      <c r="E428" s="770" t="s">
        <v>2339</v>
      </c>
      <c r="F428" s="770" t="s">
        <v>28</v>
      </c>
      <c r="G428" s="770" t="s">
        <v>10</v>
      </c>
      <c r="H428" s="770"/>
      <c r="I428" s="295"/>
      <c r="J428" s="94" t="s">
        <v>2338</v>
      </c>
      <c r="K428" s="766" t="s">
        <v>2340</v>
      </c>
      <c r="L428" s="766" t="s">
        <v>2276</v>
      </c>
      <c r="M428" s="770" t="s">
        <v>1238</v>
      </c>
      <c r="N428" s="770"/>
      <c r="O428" s="770" t="s">
        <v>2277</v>
      </c>
      <c r="P428" s="94" t="s">
        <v>2341</v>
      </c>
      <c r="Q428" s="1088">
        <v>32883</v>
      </c>
      <c r="R428" s="297">
        <v>27</v>
      </c>
      <c r="S428" s="770" t="s">
        <v>10</v>
      </c>
      <c r="T428" s="770"/>
      <c r="U428" s="298"/>
      <c r="V428" s="770" t="s">
        <v>707</v>
      </c>
      <c r="W428" s="770"/>
      <c r="X428" s="770"/>
      <c r="Y428" s="770" t="s">
        <v>2339</v>
      </c>
      <c r="Z428" s="770" t="s">
        <v>708</v>
      </c>
      <c r="AA428" s="770" t="s">
        <v>709</v>
      </c>
      <c r="AB428" s="770" t="s">
        <v>710</v>
      </c>
      <c r="AC428" s="770"/>
      <c r="AD428" s="770" t="s">
        <v>711</v>
      </c>
      <c r="AE428" s="770"/>
      <c r="AF428" s="770" t="s">
        <v>712</v>
      </c>
      <c r="AG428" s="766" t="s">
        <v>1132</v>
      </c>
      <c r="AH428" s="766" t="s">
        <v>1096</v>
      </c>
      <c r="AI428" s="770"/>
      <c r="AJ428" s="770" t="s">
        <v>1137</v>
      </c>
      <c r="AK428" s="770" t="s">
        <v>1101</v>
      </c>
      <c r="AL428" s="531">
        <v>30.45</v>
      </c>
      <c r="AM428" s="780">
        <v>28.309000000000001</v>
      </c>
      <c r="AN428" s="532">
        <f>AM428/AL428</f>
        <v>0.92968801313628902</v>
      </c>
      <c r="AO428" s="766" t="s">
        <v>1105</v>
      </c>
      <c r="AP428" s="766"/>
      <c r="AQ428" s="1773"/>
      <c r="AR428" s="766"/>
      <c r="AS428" s="770"/>
      <c r="AT428" s="770"/>
      <c r="AU428" s="770"/>
      <c r="AV428" s="770"/>
      <c r="AW428" s="770"/>
      <c r="AX428" s="770"/>
      <c r="AY428" s="770"/>
      <c r="AZ428" s="770"/>
      <c r="BA428" s="770"/>
      <c r="BB428" s="770"/>
      <c r="BC428" s="770"/>
      <c r="BD428" s="770"/>
      <c r="BE428" s="770"/>
      <c r="BF428" s="302"/>
      <c r="BG428" s="302"/>
      <c r="BH428" s="770"/>
      <c r="BI428" s="770"/>
      <c r="BJ428" s="770"/>
      <c r="BK428" s="770" t="s">
        <v>1095</v>
      </c>
      <c r="BL428" s="770" t="s">
        <v>2342</v>
      </c>
      <c r="BM428" s="766" t="s">
        <v>1096</v>
      </c>
      <c r="BN428" s="770" t="s">
        <v>1230</v>
      </c>
      <c r="BO428" s="766" t="s">
        <v>1239</v>
      </c>
      <c r="BP428" s="1109">
        <v>30.48</v>
      </c>
      <c r="BQ428" s="773">
        <v>28.31</v>
      </c>
      <c r="BR428" s="774">
        <f>BQ428/BP428</f>
        <v>0.9288057742782152</v>
      </c>
      <c r="BS428" s="766" t="s">
        <v>1105</v>
      </c>
      <c r="BT428" s="770" t="s">
        <v>8133</v>
      </c>
      <c r="BU428" s="770" t="s">
        <v>1249</v>
      </c>
      <c r="BV428" s="770" t="s">
        <v>1247</v>
      </c>
      <c r="BW428" s="769"/>
      <c r="BX428" s="302"/>
      <c r="BY428" s="770"/>
      <c r="BZ428" s="302"/>
      <c r="CA428" s="770"/>
      <c r="CB428" s="770"/>
      <c r="CC428" s="770"/>
      <c r="CD428" s="770"/>
      <c r="CE428" s="770"/>
      <c r="CF428" s="1753"/>
      <c r="CG428" s="1754"/>
      <c r="CH428" s="770"/>
      <c r="CI428" s="770"/>
      <c r="CJ428" s="770"/>
      <c r="CK428" s="770"/>
      <c r="CL428" s="770"/>
      <c r="CM428" s="770"/>
      <c r="CN428" s="770"/>
      <c r="CO428" s="770"/>
      <c r="CP428" s="770"/>
      <c r="CQ428" s="770"/>
      <c r="CR428" s="302"/>
      <c r="CS428" s="770"/>
      <c r="CT428" s="770"/>
      <c r="CU428" s="305"/>
      <c r="CV428" s="770"/>
      <c r="CW428" s="770"/>
      <c r="CX428" s="770"/>
      <c r="CY428" s="770"/>
      <c r="CZ428" s="770"/>
      <c r="DA428" s="306"/>
      <c r="DB428" s="770"/>
      <c r="DC428" s="770"/>
      <c r="DD428" s="770"/>
      <c r="DE428" s="300"/>
      <c r="DF428" s="770"/>
      <c r="DG428" s="770"/>
      <c r="DH428" s="770"/>
      <c r="DI428" s="770"/>
      <c r="DJ428" s="770"/>
      <c r="DK428" s="770"/>
      <c r="DL428" s="770"/>
      <c r="DM428" s="770"/>
      <c r="DN428" s="322"/>
      <c r="DO428" s="770"/>
      <c r="DP428" s="770"/>
      <c r="DQ428" s="770"/>
      <c r="DR428" s="770"/>
      <c r="DS428" s="307"/>
      <c r="DT428" s="770"/>
      <c r="DU428" s="770"/>
      <c r="DV428" s="770"/>
      <c r="DW428" s="306"/>
      <c r="DX428" s="306"/>
      <c r="DY428" s="770"/>
      <c r="DZ428" s="770"/>
      <c r="EA428" s="770"/>
      <c r="EB428" s="770"/>
      <c r="EC428" s="770"/>
      <c r="ED428" s="770"/>
      <c r="EE428" s="770"/>
      <c r="EF428" s="770"/>
      <c r="EG428" s="770"/>
      <c r="EH428" s="770"/>
      <c r="EI428" s="770"/>
      <c r="EJ428" s="770"/>
      <c r="EK428" s="770"/>
      <c r="EL428" s="770"/>
      <c r="EM428" s="770"/>
      <c r="EN428" s="770"/>
      <c r="EO428" s="770"/>
      <c r="EP428" s="94"/>
      <c r="EQ428" s="770"/>
      <c r="ER428" s="770"/>
      <c r="ES428" s="770"/>
      <c r="ET428" s="770"/>
      <c r="EU428" s="770"/>
      <c r="EV428" s="770"/>
      <c r="EW428" s="770"/>
      <c r="EX428" s="770"/>
      <c r="EY428" s="770"/>
      <c r="EZ428" s="770"/>
      <c r="FA428" s="770"/>
      <c r="FB428" s="770"/>
      <c r="FC428" s="770"/>
      <c r="FD428" s="302"/>
      <c r="FE428" s="770"/>
      <c r="FF428" s="770"/>
      <c r="FG428" s="770"/>
      <c r="FH428" s="770" t="s">
        <v>478</v>
      </c>
      <c r="FI428" s="770">
        <v>2</v>
      </c>
      <c r="FJ428" s="770"/>
      <c r="FK428" s="770"/>
      <c r="FL428" s="770"/>
      <c r="FM428" s="302"/>
      <c r="FN428" s="302"/>
      <c r="FO428" s="302"/>
      <c r="FP428" s="766" t="s">
        <v>1602</v>
      </c>
      <c r="FQ428" s="766" t="s">
        <v>1660</v>
      </c>
      <c r="FR428" s="770" t="s">
        <v>1214</v>
      </c>
      <c r="FS428" s="770"/>
      <c r="FT428" s="770"/>
      <c r="FU428" s="770"/>
      <c r="FV428" s="770"/>
      <c r="FW428" s="770"/>
      <c r="FX428" s="770"/>
      <c r="FY428" s="770"/>
      <c r="FZ428" s="770"/>
      <c r="GA428" s="770"/>
      <c r="GB428" s="770" t="s">
        <v>853</v>
      </c>
      <c r="GC428" s="308" t="s">
        <v>2343</v>
      </c>
      <c r="GD428" s="297">
        <v>2013</v>
      </c>
      <c r="GE428" s="770" t="s">
        <v>1214</v>
      </c>
      <c r="GF428" s="302"/>
      <c r="GG428" s="302"/>
      <c r="GH428" s="712" t="s">
        <v>1791</v>
      </c>
      <c r="GI428" s="770" t="s">
        <v>2352</v>
      </c>
      <c r="GJ428" s="770" t="s">
        <v>2344</v>
      </c>
      <c r="GK428" s="770" t="s">
        <v>2345</v>
      </c>
      <c r="GL428" s="770"/>
      <c r="GM428" s="770"/>
      <c r="GN428" s="299"/>
      <c r="GO428" s="770"/>
      <c r="GP428" s="770"/>
      <c r="GQ428" s="770" t="s">
        <v>1208</v>
      </c>
      <c r="GR428" s="770" t="s">
        <v>1208</v>
      </c>
      <c r="GS428" s="770" t="s">
        <v>1208</v>
      </c>
      <c r="GT428" s="770" t="s">
        <v>1208</v>
      </c>
      <c r="GU428" s="770"/>
      <c r="GV428" s="770"/>
      <c r="GW428" s="770" t="s">
        <v>1207</v>
      </c>
      <c r="GX428" s="770" t="s">
        <v>2346</v>
      </c>
      <c r="GY428" s="770" t="s">
        <v>1208</v>
      </c>
      <c r="GZ428" s="770" t="s">
        <v>1208</v>
      </c>
      <c r="HA428" s="770"/>
      <c r="HB428" s="770" t="s">
        <v>1208</v>
      </c>
      <c r="HC428" s="770" t="s">
        <v>1208</v>
      </c>
      <c r="HD428" s="770" t="s">
        <v>1208</v>
      </c>
      <c r="HE428" s="770" t="s">
        <v>1208</v>
      </c>
      <c r="HF428" s="770"/>
      <c r="HG428" s="770"/>
      <c r="HH428" s="770"/>
      <c r="HI428" s="770" t="s">
        <v>1214</v>
      </c>
      <c r="HJ428" s="770"/>
      <c r="HK428" s="770"/>
      <c r="HL428" s="770"/>
      <c r="HM428" s="770"/>
      <c r="HN428" s="770"/>
      <c r="HO428" s="770"/>
      <c r="HP428" s="770"/>
      <c r="HQ428" s="770"/>
      <c r="HR428" s="770"/>
      <c r="HS428" s="770"/>
      <c r="HT428" s="770"/>
      <c r="HU428" s="770"/>
      <c r="HV428" s="770"/>
      <c r="HW428" s="770"/>
      <c r="HX428" s="770"/>
      <c r="HY428" s="770"/>
      <c r="HZ428" s="770"/>
      <c r="IA428" s="770"/>
      <c r="IB428" s="14" t="e">
        <f>IF(#REF!&gt;0,IF(#REF!&lt;=10000,"Y",""),"")</f>
        <v>#REF!</v>
      </c>
      <c r="IC428" s="770" t="s">
        <v>1207</v>
      </c>
      <c r="ID428" s="770"/>
      <c r="IE428" s="770"/>
      <c r="IF428" s="770"/>
      <c r="IG428" s="770"/>
      <c r="IH428" s="770"/>
      <c r="II428" s="770"/>
      <c r="IJ428" s="770"/>
      <c r="IK428" s="770"/>
      <c r="IL428" s="770"/>
      <c r="IM428" s="770"/>
      <c r="IN428" s="770"/>
      <c r="IO428" s="296"/>
      <c r="IP428" s="770"/>
      <c r="IQ428" s="770"/>
      <c r="IR428" s="770"/>
      <c r="IS428" s="770"/>
      <c r="IT428" s="770"/>
      <c r="IU428" s="770"/>
      <c r="IV428" s="770"/>
      <c r="IW428" s="770"/>
      <c r="IX428" s="770"/>
      <c r="IY428" s="770"/>
      <c r="IZ428" s="770"/>
      <c r="JA428" s="770"/>
      <c r="JB428" s="770"/>
      <c r="JC428" s="770"/>
      <c r="JD428" s="302"/>
      <c r="JE428" s="770"/>
      <c r="JF428" s="770"/>
      <c r="JG428" s="770"/>
      <c r="JH428" s="307"/>
      <c r="JI428" s="307"/>
      <c r="JJ428" s="770">
        <v>5</v>
      </c>
      <c r="JK428" s="1139" t="s">
        <v>3492</v>
      </c>
      <c r="JL428" s="770">
        <v>2</v>
      </c>
      <c r="JM428" s="770">
        <v>1</v>
      </c>
      <c r="JN428" s="770">
        <v>1</v>
      </c>
      <c r="JO428" s="770">
        <v>1</v>
      </c>
      <c r="JP428" s="770"/>
      <c r="JQ428" s="770"/>
      <c r="JR428" s="770"/>
      <c r="JS428" s="770"/>
      <c r="JT428" s="766">
        <f t="shared" si="117"/>
        <v>3</v>
      </c>
      <c r="JU428" s="766">
        <f t="shared" si="117"/>
        <v>2</v>
      </c>
      <c r="JV428" s="712" t="str">
        <f t="shared" si="112"/>
        <v>ok</v>
      </c>
      <c r="JW428" s="712" t="str">
        <f t="shared" si="113"/>
        <v>ok</v>
      </c>
      <c r="JX428" s="766">
        <v>2</v>
      </c>
      <c r="JY428" s="766">
        <v>1</v>
      </c>
      <c r="JZ428" s="766"/>
      <c r="KA428" s="766"/>
      <c r="KB428" s="766">
        <v>1</v>
      </c>
      <c r="KC428" s="766">
        <v>1</v>
      </c>
      <c r="KD428" s="766"/>
      <c r="KE428" s="766"/>
      <c r="KF428" s="766"/>
      <c r="KG428" s="766"/>
      <c r="KH428" s="766"/>
      <c r="KI428" s="766"/>
      <c r="KJ428" s="770">
        <f t="shared" si="103"/>
        <v>3</v>
      </c>
      <c r="KK428" s="770">
        <f t="shared" si="103"/>
        <v>2</v>
      </c>
      <c r="KL428" s="712" t="str">
        <f t="shared" si="114"/>
        <v>ok</v>
      </c>
      <c r="KM428" s="712" t="str">
        <f t="shared" si="115"/>
        <v>ok</v>
      </c>
      <c r="KN428" s="770" t="s">
        <v>707</v>
      </c>
      <c r="KO428" s="770"/>
      <c r="KP428" s="770"/>
      <c r="KQ428" s="770"/>
      <c r="KR428" s="770">
        <v>1</v>
      </c>
      <c r="KS428" s="770"/>
      <c r="KT428" s="770"/>
      <c r="KU428" s="770"/>
      <c r="KV428" s="770"/>
      <c r="KW428" s="770"/>
      <c r="KX428" s="770"/>
      <c r="KY428" s="770"/>
      <c r="KZ428" s="770">
        <v>1</v>
      </c>
      <c r="LA428" s="770">
        <v>1</v>
      </c>
      <c r="LB428" s="770"/>
      <c r="LC428" s="770"/>
      <c r="LD428" s="770"/>
      <c r="LE428" s="770"/>
      <c r="LF428" s="770"/>
      <c r="LG428" s="770"/>
      <c r="LH428" s="770"/>
      <c r="LI428" s="770"/>
      <c r="LJ428" s="770">
        <v>1</v>
      </c>
      <c r="LK428" s="770">
        <v>1</v>
      </c>
      <c r="LL428" s="770"/>
      <c r="LM428" s="770"/>
      <c r="LN428" s="766">
        <f t="shared" si="111"/>
        <v>3</v>
      </c>
      <c r="LO428" s="766">
        <f t="shared" si="111"/>
        <v>2</v>
      </c>
      <c r="LP428" s="770">
        <v>1</v>
      </c>
      <c r="LQ428" s="770">
        <v>1</v>
      </c>
      <c r="LR428" s="770"/>
      <c r="LS428" s="770"/>
      <c r="LT428" s="712" t="str">
        <f t="shared" si="116"/>
        <v>OK</v>
      </c>
      <c r="LU428" s="770"/>
      <c r="LV428" s="770">
        <v>1</v>
      </c>
      <c r="LW428" s="770"/>
      <c r="LX428" s="769">
        <v>3</v>
      </c>
      <c r="LY428" s="766" t="str">
        <f t="shared" si="119"/>
        <v>within the PROVINCE</v>
      </c>
      <c r="LZ428" s="1709">
        <v>1980</v>
      </c>
      <c r="MA428" s="1709"/>
      <c r="MB428" s="1709"/>
      <c r="MC428" s="1679">
        <f t="shared" si="110"/>
        <v>1980</v>
      </c>
      <c r="MD428" s="1709">
        <v>11480</v>
      </c>
      <c r="ME428" s="1709"/>
      <c r="MF428" s="1709"/>
      <c r="MG428" s="1680">
        <f t="shared" si="118"/>
        <v>11480</v>
      </c>
      <c r="MH428" s="770" t="s">
        <v>1985</v>
      </c>
      <c r="MI428" s="302">
        <v>6000</v>
      </c>
      <c r="MJ428" s="302">
        <v>1980</v>
      </c>
      <c r="MK428" s="302">
        <v>125</v>
      </c>
      <c r="ML428" s="302"/>
      <c r="MM428" s="302"/>
      <c r="MN428" s="302"/>
      <c r="MO428" s="302">
        <v>360</v>
      </c>
      <c r="MP428" s="302">
        <v>500</v>
      </c>
      <c r="MQ428" s="302">
        <v>300</v>
      </c>
      <c r="MR428" s="302">
        <v>200</v>
      </c>
      <c r="MS428" s="302"/>
      <c r="MT428" s="302"/>
      <c r="MU428" s="302"/>
      <c r="MV428" s="302"/>
      <c r="MW428" s="302"/>
      <c r="MX428" s="302"/>
      <c r="MY428" s="1682">
        <f t="shared" si="102"/>
        <v>9465</v>
      </c>
      <c r="MZ428" s="770" t="s">
        <v>13370</v>
      </c>
      <c r="NA428" s="770" t="s">
        <v>13005</v>
      </c>
      <c r="NB428" s="766" t="s">
        <v>13371</v>
      </c>
      <c r="NC428" s="766" t="s">
        <v>13523</v>
      </c>
      <c r="ND428" s="770">
        <v>0</v>
      </c>
      <c r="NE428" s="770">
        <v>0</v>
      </c>
      <c r="NF428" s="770">
        <v>0</v>
      </c>
      <c r="NG428" s="770">
        <v>1</v>
      </c>
      <c r="NH428" s="770">
        <v>1</v>
      </c>
      <c r="NI428" s="770">
        <v>0</v>
      </c>
      <c r="NJ428" s="770">
        <v>0</v>
      </c>
      <c r="NK428" s="770">
        <v>0</v>
      </c>
      <c r="NL428" s="770">
        <v>0</v>
      </c>
      <c r="NM428" s="770">
        <v>1</v>
      </c>
      <c r="NN428" s="770">
        <v>0</v>
      </c>
      <c r="NO428" s="770">
        <v>0</v>
      </c>
      <c r="NP428" s="770">
        <v>0</v>
      </c>
      <c r="NQ428" s="770">
        <v>0</v>
      </c>
      <c r="NR428" s="770">
        <v>0</v>
      </c>
      <c r="NS428" s="770">
        <v>0</v>
      </c>
      <c r="NT428" s="770">
        <v>0</v>
      </c>
      <c r="NU428" s="770">
        <v>0</v>
      </c>
      <c r="NV428" s="770">
        <v>0</v>
      </c>
      <c r="NW428" s="770">
        <v>0</v>
      </c>
      <c r="NX428" s="770">
        <v>0</v>
      </c>
      <c r="NY428" s="770" t="s">
        <v>1208</v>
      </c>
      <c r="NZ428" s="770" t="s">
        <v>1208</v>
      </c>
      <c r="OA428" s="770" t="s">
        <v>1208</v>
      </c>
      <c r="OB428" s="770" t="s">
        <v>1208</v>
      </c>
      <c r="OC428" s="770" t="s">
        <v>1208</v>
      </c>
      <c r="OD428" s="770"/>
      <c r="OE428" s="770"/>
      <c r="OF428" s="770" t="s">
        <v>2143</v>
      </c>
      <c r="OG428" s="770"/>
      <c r="OH428" s="770"/>
      <c r="OI428" s="770"/>
      <c r="OJ428" s="770"/>
      <c r="OK428" s="770" t="s">
        <v>1208</v>
      </c>
      <c r="OL428" s="770" t="s">
        <v>13553</v>
      </c>
      <c r="OM428" s="770" t="s">
        <v>3493</v>
      </c>
      <c r="ON428" s="770"/>
      <c r="OO428" s="770" t="s">
        <v>1207</v>
      </c>
      <c r="OP428" s="770" t="s">
        <v>13548</v>
      </c>
      <c r="OQ428" s="770" t="s">
        <v>13532</v>
      </c>
      <c r="OR428" s="770"/>
      <c r="OS428" s="770" t="s">
        <v>13554</v>
      </c>
      <c r="OT428" s="770" t="s">
        <v>13355</v>
      </c>
      <c r="OU428" s="770"/>
      <c r="OV428" s="770" t="s">
        <v>1208</v>
      </c>
      <c r="OW428" s="770"/>
      <c r="OX428" s="770" t="s">
        <v>1208</v>
      </c>
      <c r="OY428" s="770"/>
      <c r="OZ428" s="770"/>
      <c r="PA428" s="770" t="s">
        <v>1208</v>
      </c>
      <c r="PB428" s="770" t="s">
        <v>1208</v>
      </c>
      <c r="PC428" s="770"/>
      <c r="PD428" s="770"/>
      <c r="PE428" s="770"/>
      <c r="PF428" s="770"/>
      <c r="PG428" s="770"/>
      <c r="PH428" s="770"/>
      <c r="PI428" s="770"/>
      <c r="PJ428" s="770"/>
      <c r="PK428" s="770" t="s">
        <v>1208</v>
      </c>
      <c r="PL428" s="770"/>
      <c r="PM428" s="770"/>
      <c r="PN428" s="770"/>
      <c r="PO428" s="770"/>
      <c r="PP428" s="770"/>
      <c r="PQ428" s="770"/>
      <c r="PR428" s="770"/>
      <c r="PS428" s="770"/>
      <c r="PT428" s="770"/>
      <c r="PU428" s="770"/>
      <c r="PV428" s="770"/>
      <c r="PW428" s="770"/>
      <c r="PX428" s="770"/>
      <c r="PY428" s="770" t="s">
        <v>1208</v>
      </c>
      <c r="PZ428" s="770"/>
      <c r="QA428" s="770"/>
      <c r="QB428" s="770"/>
      <c r="QC428" s="770"/>
      <c r="QD428" s="770"/>
      <c r="QE428" s="770"/>
      <c r="QF428" s="770"/>
      <c r="QG428" s="770"/>
      <c r="QH428" s="770"/>
      <c r="QI428" s="770"/>
      <c r="QJ428" s="770"/>
      <c r="QK428" s="770"/>
      <c r="QL428" s="770"/>
      <c r="QM428" s="770"/>
      <c r="QN428" s="770"/>
      <c r="QO428" s="770"/>
      <c r="QP428" s="770"/>
      <c r="QQ428" s="770"/>
      <c r="QR428" s="770"/>
      <c r="QS428" s="770"/>
      <c r="QT428" s="770"/>
      <c r="QU428" s="770"/>
      <c r="QV428" s="770"/>
      <c r="QW428" s="770"/>
      <c r="QX428" s="770"/>
      <c r="QY428" s="770"/>
      <c r="QZ428" s="770"/>
      <c r="RA428" s="770"/>
      <c r="RB428" s="770" t="s">
        <v>1207</v>
      </c>
      <c r="RC428" s="770"/>
      <c r="RD428" s="770"/>
      <c r="RE428" s="770"/>
      <c r="RF428" s="304">
        <v>2</v>
      </c>
      <c r="RG428" s="770" t="s">
        <v>13047</v>
      </c>
      <c r="RH428" s="302">
        <v>0</v>
      </c>
      <c r="RI428" s="770">
        <v>24</v>
      </c>
      <c r="RJ428" s="770" t="s">
        <v>2342</v>
      </c>
      <c r="RK428" s="770" t="s">
        <v>13544</v>
      </c>
      <c r="RL428" s="1710"/>
      <c r="RM428" s="12"/>
      <c r="RN428" s="1711"/>
      <c r="RO428" s="132" t="s">
        <v>2336</v>
      </c>
      <c r="RP428" s="11"/>
      <c r="RQ428" s="11"/>
      <c r="RR428" s="19" t="s">
        <v>7421</v>
      </c>
      <c r="RS428" s="1139" t="s">
        <v>12980</v>
      </c>
      <c r="RT428" s="11"/>
      <c r="RU428" s="11"/>
      <c r="RV428" s="771" t="s">
        <v>12452</v>
      </c>
      <c r="RW428" s="11" t="s">
        <v>5833</v>
      </c>
      <c r="RX428" s="11" t="s">
        <v>2318</v>
      </c>
      <c r="RY428" s="11"/>
      <c r="RZ428" s="11" t="s">
        <v>1101</v>
      </c>
      <c r="SA428" s="771"/>
      <c r="SB428" s="11"/>
      <c r="SC428" s="11"/>
    </row>
    <row r="429" spans="1:497" ht="12.75" customHeight="1">
      <c r="A429" s="311" t="s">
        <v>14200</v>
      </c>
      <c r="B429" s="752" t="s">
        <v>7395</v>
      </c>
      <c r="C429" s="132" t="s">
        <v>2336</v>
      </c>
      <c r="D429" s="94" t="s">
        <v>2347</v>
      </c>
      <c r="E429" s="766" t="s">
        <v>2365</v>
      </c>
      <c r="F429" s="770" t="s">
        <v>28</v>
      </c>
      <c r="G429" s="770" t="s">
        <v>18</v>
      </c>
      <c r="H429" s="770"/>
      <c r="I429" s="295" t="s">
        <v>2349</v>
      </c>
      <c r="J429" s="94" t="s">
        <v>2347</v>
      </c>
      <c r="K429" s="766"/>
      <c r="L429" s="766"/>
      <c r="M429" s="770"/>
      <c r="N429" s="770"/>
      <c r="O429" s="770"/>
      <c r="P429" s="94" t="s">
        <v>2348</v>
      </c>
      <c r="Q429" s="1088">
        <v>33774</v>
      </c>
      <c r="R429" s="297">
        <v>24</v>
      </c>
      <c r="S429" s="770" t="s">
        <v>18</v>
      </c>
      <c r="T429" s="770"/>
      <c r="U429" s="295" t="s">
        <v>2349</v>
      </c>
      <c r="V429" s="770" t="s">
        <v>707</v>
      </c>
      <c r="W429" s="770"/>
      <c r="X429" s="770"/>
      <c r="Y429" s="770" t="s">
        <v>2339</v>
      </c>
      <c r="Z429" s="770" t="s">
        <v>708</v>
      </c>
      <c r="AA429" s="770" t="s">
        <v>709</v>
      </c>
      <c r="AB429" s="770" t="s">
        <v>710</v>
      </c>
      <c r="AC429" s="770" t="s">
        <v>724</v>
      </c>
      <c r="AD429" s="770" t="s">
        <v>711</v>
      </c>
      <c r="AE429" s="770"/>
      <c r="AF429" s="770" t="s">
        <v>712</v>
      </c>
      <c r="AG429" s="770"/>
      <c r="AH429" s="770"/>
      <c r="AI429" s="770"/>
      <c r="AJ429" s="770"/>
      <c r="AK429" s="770" t="s">
        <v>1101</v>
      </c>
      <c r="AL429" s="531"/>
      <c r="AM429" s="780"/>
      <c r="AN429" s="532"/>
      <c r="AO429" s="766"/>
      <c r="AP429" s="766"/>
      <c r="AQ429" s="770"/>
      <c r="AR429" s="766"/>
      <c r="AS429" s="770"/>
      <c r="AT429" s="770"/>
      <c r="AU429" s="770"/>
      <c r="AV429" s="770"/>
      <c r="AW429" s="770"/>
      <c r="AX429" s="770"/>
      <c r="AY429" s="770"/>
      <c r="AZ429" s="770"/>
      <c r="BA429" s="770"/>
      <c r="BB429" s="770"/>
      <c r="BC429" s="770"/>
      <c r="BD429" s="770"/>
      <c r="BE429" s="770"/>
      <c r="BF429" s="302"/>
      <c r="BG429" s="302"/>
      <c r="BH429" s="770"/>
      <c r="BI429" s="770"/>
      <c r="BJ429" s="770"/>
      <c r="BK429" s="770"/>
      <c r="BL429" s="770"/>
      <c r="BM429" s="770" t="s">
        <v>1238</v>
      </c>
      <c r="BN429" s="770" t="s">
        <v>1299</v>
      </c>
      <c r="BO429" s="770"/>
      <c r="BP429" s="765"/>
      <c r="BQ429" s="773"/>
      <c r="BR429" s="774"/>
      <c r="BS429" s="766" t="s">
        <v>1105</v>
      </c>
      <c r="BT429" s="766"/>
      <c r="BU429" s="770"/>
      <c r="BV429" s="770"/>
      <c r="BW429" s="770"/>
      <c r="BX429" s="302"/>
      <c r="BY429" s="770"/>
      <c r="BZ429" s="302"/>
      <c r="CA429" s="770"/>
      <c r="CB429" s="770"/>
      <c r="CC429" s="770"/>
      <c r="CD429" s="770"/>
      <c r="CE429" s="770"/>
      <c r="CF429" s="1753"/>
      <c r="CG429" s="1754"/>
      <c r="CH429" s="770"/>
      <c r="CI429" s="770"/>
      <c r="CJ429" s="770"/>
      <c r="CK429" s="770"/>
      <c r="CL429" s="770"/>
      <c r="CM429" s="770"/>
      <c r="CN429" s="770"/>
      <c r="CO429" s="770"/>
      <c r="CP429" s="770"/>
      <c r="CQ429" s="770"/>
      <c r="CR429" s="302"/>
      <c r="CS429" s="770"/>
      <c r="CT429" s="770"/>
      <c r="CU429" s="305"/>
      <c r="CV429" s="770"/>
      <c r="CW429" s="770"/>
      <c r="CX429" s="770"/>
      <c r="CY429" s="770"/>
      <c r="CZ429" s="770"/>
      <c r="DA429" s="306"/>
      <c r="DB429" s="770"/>
      <c r="DC429" s="770"/>
      <c r="DD429" s="770"/>
      <c r="DE429" s="300"/>
      <c r="DF429" s="770"/>
      <c r="DG429" s="770"/>
      <c r="DH429" s="770"/>
      <c r="DI429" s="770"/>
      <c r="DJ429" s="770"/>
      <c r="DK429" s="770"/>
      <c r="DL429" s="770"/>
      <c r="DM429" s="770"/>
      <c r="DN429" s="322"/>
      <c r="DO429" s="770"/>
      <c r="DP429" s="770"/>
      <c r="DQ429" s="770"/>
      <c r="DR429" s="770"/>
      <c r="DS429" s="307"/>
      <c r="DT429" s="770"/>
      <c r="DU429" s="770"/>
      <c r="DV429" s="770"/>
      <c r="DW429" s="306"/>
      <c r="DX429" s="306"/>
      <c r="DY429" s="770"/>
      <c r="DZ429" s="770"/>
      <c r="EA429" s="770"/>
      <c r="EB429" s="770"/>
      <c r="EC429" s="770"/>
      <c r="ED429" s="770"/>
      <c r="EE429" s="770"/>
      <c r="EF429" s="770"/>
      <c r="EG429" s="770"/>
      <c r="EH429" s="770"/>
      <c r="EI429" s="770"/>
      <c r="EJ429" s="770"/>
      <c r="EK429" s="770"/>
      <c r="EL429" s="770"/>
      <c r="EM429" s="770"/>
      <c r="EN429" s="770"/>
      <c r="EO429" s="770"/>
      <c r="EP429" s="94"/>
      <c r="EQ429" s="770"/>
      <c r="ER429" s="770"/>
      <c r="ES429" s="770"/>
      <c r="ET429" s="770"/>
      <c r="EU429" s="770"/>
      <c r="EV429" s="770"/>
      <c r="EW429" s="770"/>
      <c r="EX429" s="770"/>
      <c r="EY429" s="770"/>
      <c r="EZ429" s="770"/>
      <c r="FA429" s="770"/>
      <c r="FB429" s="770"/>
      <c r="FC429" s="770"/>
      <c r="FD429" s="302"/>
      <c r="FE429" s="770"/>
      <c r="FF429" s="770"/>
      <c r="FG429" s="770"/>
      <c r="FH429" s="770" t="s">
        <v>1299</v>
      </c>
      <c r="FI429" s="770">
        <v>2</v>
      </c>
      <c r="FJ429" s="770" t="s">
        <v>2342</v>
      </c>
      <c r="FK429" s="770"/>
      <c r="FL429" s="770"/>
      <c r="FM429" s="302"/>
      <c r="FN429" s="302">
        <v>0</v>
      </c>
      <c r="FO429" s="302">
        <v>900</v>
      </c>
      <c r="FP429" s="766" t="s">
        <v>1602</v>
      </c>
      <c r="FQ429" s="766" t="s">
        <v>1660</v>
      </c>
      <c r="FR429" s="770" t="s">
        <v>1214</v>
      </c>
      <c r="FS429" s="770"/>
      <c r="FT429" s="770"/>
      <c r="FU429" s="770"/>
      <c r="FV429" s="770"/>
      <c r="FW429" s="770"/>
      <c r="FX429" s="770"/>
      <c r="FY429" s="770"/>
      <c r="FZ429" s="770"/>
      <c r="GA429" s="770"/>
      <c r="GB429" s="770"/>
      <c r="GC429" s="308"/>
      <c r="GD429" s="297"/>
      <c r="GE429" s="770"/>
      <c r="GF429" s="302"/>
      <c r="GG429" s="302"/>
      <c r="GH429" s="770" t="s">
        <v>1791</v>
      </c>
      <c r="GI429" s="770" t="s">
        <v>2352</v>
      </c>
      <c r="GJ429" s="770" t="s">
        <v>2354</v>
      </c>
      <c r="GK429" s="770" t="s">
        <v>2345</v>
      </c>
      <c r="GL429" s="770"/>
      <c r="GM429" s="770"/>
      <c r="GN429" s="299">
        <f>1500/30</f>
        <v>50</v>
      </c>
      <c r="GO429" s="770"/>
      <c r="GP429" s="770"/>
      <c r="GQ429" s="770" t="s">
        <v>1208</v>
      </c>
      <c r="GR429" s="770"/>
      <c r="GS429" s="770"/>
      <c r="GT429" s="770"/>
      <c r="GU429" s="770"/>
      <c r="GV429" s="770"/>
      <c r="GW429" s="770" t="s">
        <v>1207</v>
      </c>
      <c r="GX429" s="770"/>
      <c r="GY429" s="770" t="s">
        <v>1208</v>
      </c>
      <c r="GZ429" s="770"/>
      <c r="HA429" s="770"/>
      <c r="HB429" s="770" t="s">
        <v>1208</v>
      </c>
      <c r="HC429" s="770"/>
      <c r="HD429" s="770" t="s">
        <v>1208</v>
      </c>
      <c r="HE429" s="770"/>
      <c r="HF429" s="770"/>
      <c r="HG429" s="770"/>
      <c r="HH429" s="770"/>
      <c r="HI429" s="770" t="s">
        <v>1214</v>
      </c>
      <c r="HJ429" s="770"/>
      <c r="HK429" s="770"/>
      <c r="HL429" s="770"/>
      <c r="HM429" s="770"/>
      <c r="HN429" s="770"/>
      <c r="HO429" s="770"/>
      <c r="HP429" s="770"/>
      <c r="HQ429" s="770"/>
      <c r="HR429" s="770"/>
      <c r="HS429" s="770"/>
      <c r="HT429" s="770"/>
      <c r="HU429" s="770"/>
      <c r="HV429" s="770"/>
      <c r="HW429" s="770"/>
      <c r="HX429" s="770"/>
      <c r="HY429" s="770"/>
      <c r="HZ429" s="770"/>
      <c r="IA429" s="770"/>
      <c r="IB429" s="14" t="e">
        <f>IF(#REF!&gt;0,IF(#REF!&lt;=10000,"Y",""),"")</f>
        <v>#REF!</v>
      </c>
      <c r="IC429" s="770" t="s">
        <v>1207</v>
      </c>
      <c r="ID429" s="770"/>
      <c r="IE429" s="770"/>
      <c r="IF429" s="770"/>
      <c r="IG429" s="770"/>
      <c r="IH429" s="770"/>
      <c r="II429" s="770"/>
      <c r="IJ429" s="770"/>
      <c r="IK429" s="770"/>
      <c r="IL429" s="770"/>
      <c r="IM429" s="770"/>
      <c r="IN429" s="770"/>
      <c r="IO429" s="296"/>
      <c r="IP429" s="770"/>
      <c r="IQ429" s="770"/>
      <c r="IR429" s="770"/>
      <c r="IS429" s="770"/>
      <c r="IT429" s="770"/>
      <c r="IU429" s="770"/>
      <c r="IV429" s="770"/>
      <c r="IW429" s="770"/>
      <c r="IX429" s="770"/>
      <c r="IY429" s="770"/>
      <c r="IZ429" s="770"/>
      <c r="JA429" s="770"/>
      <c r="JB429" s="770"/>
      <c r="JC429" s="770"/>
      <c r="JD429" s="302"/>
      <c r="JE429" s="770"/>
      <c r="JF429" s="770"/>
      <c r="JG429" s="770"/>
      <c r="JH429" s="307"/>
      <c r="JI429" s="712" t="str">
        <f>IF(SUM(JT429,JU429)=JJ429,"ok","review")</f>
        <v>ok</v>
      </c>
      <c r="JJ429" s="770">
        <v>3</v>
      </c>
      <c r="JK429" s="1139" t="s">
        <v>2965</v>
      </c>
      <c r="JL429" s="770"/>
      <c r="JM429" s="770">
        <v>1</v>
      </c>
      <c r="JN429" s="770">
        <v>1</v>
      </c>
      <c r="JO429" s="770">
        <v>1</v>
      </c>
      <c r="JP429" s="770"/>
      <c r="JQ429" s="770"/>
      <c r="JR429" s="770"/>
      <c r="JS429" s="770"/>
      <c r="JT429" s="766">
        <f t="shared" si="117"/>
        <v>1</v>
      </c>
      <c r="JU429" s="766">
        <f t="shared" si="117"/>
        <v>2</v>
      </c>
      <c r="JV429" s="712" t="str">
        <f t="shared" si="112"/>
        <v>ok</v>
      </c>
      <c r="JW429" s="712" t="str">
        <f t="shared" si="113"/>
        <v>ok</v>
      </c>
      <c r="JX429" s="766"/>
      <c r="JY429" s="766">
        <v>1</v>
      </c>
      <c r="JZ429" s="766"/>
      <c r="KA429" s="766"/>
      <c r="KB429" s="766">
        <v>1</v>
      </c>
      <c r="KC429" s="766">
        <v>1</v>
      </c>
      <c r="KD429" s="766"/>
      <c r="KE429" s="766"/>
      <c r="KF429" s="766"/>
      <c r="KG429" s="766"/>
      <c r="KH429" s="766"/>
      <c r="KI429" s="766"/>
      <c r="KJ429" s="770">
        <f t="shared" si="103"/>
        <v>1</v>
      </c>
      <c r="KK429" s="770">
        <f t="shared" si="103"/>
        <v>2</v>
      </c>
      <c r="KL429" s="712" t="str">
        <f t="shared" si="114"/>
        <v>ok</v>
      </c>
      <c r="KM429" s="712" t="str">
        <f t="shared" si="115"/>
        <v>ok</v>
      </c>
      <c r="KN429" s="770" t="s">
        <v>707</v>
      </c>
      <c r="KO429" s="770"/>
      <c r="KP429" s="770"/>
      <c r="KQ429" s="770"/>
      <c r="KR429" s="770"/>
      <c r="KS429" s="770"/>
      <c r="KT429" s="770"/>
      <c r="KU429" s="770"/>
      <c r="KV429" s="770"/>
      <c r="KW429" s="770"/>
      <c r="KX429" s="770"/>
      <c r="KY429" s="770"/>
      <c r="KZ429" s="770">
        <v>1</v>
      </c>
      <c r="LA429" s="770"/>
      <c r="LB429" s="770"/>
      <c r="LC429" s="770">
        <v>1</v>
      </c>
      <c r="LD429" s="770"/>
      <c r="LE429" s="770"/>
      <c r="LF429" s="770"/>
      <c r="LG429" s="770"/>
      <c r="LH429" s="770"/>
      <c r="LI429" s="770"/>
      <c r="LJ429" s="770"/>
      <c r="LK429" s="770">
        <v>1</v>
      </c>
      <c r="LL429" s="770"/>
      <c r="LM429" s="770"/>
      <c r="LN429" s="766">
        <f t="shared" si="111"/>
        <v>1</v>
      </c>
      <c r="LO429" s="766">
        <f t="shared" si="111"/>
        <v>2</v>
      </c>
      <c r="LP429" s="770">
        <v>1</v>
      </c>
      <c r="LQ429" s="770">
        <v>1</v>
      </c>
      <c r="LR429" s="770"/>
      <c r="LS429" s="770"/>
      <c r="LT429" s="712" t="str">
        <f t="shared" si="116"/>
        <v>OK</v>
      </c>
      <c r="LU429" s="770"/>
      <c r="LV429" s="770">
        <v>1</v>
      </c>
      <c r="LW429" s="770"/>
      <c r="LX429" s="769">
        <v>3</v>
      </c>
      <c r="LY429" s="766" t="str">
        <f t="shared" si="119"/>
        <v>within the PROVINCE</v>
      </c>
      <c r="LZ429" s="1709">
        <v>2400</v>
      </c>
      <c r="MA429" s="1709"/>
      <c r="MB429" s="1709"/>
      <c r="MC429" s="1679">
        <f t="shared" si="110"/>
        <v>2400</v>
      </c>
      <c r="MD429" s="1709">
        <v>9000</v>
      </c>
      <c r="ME429" s="1709"/>
      <c r="MF429" s="1709"/>
      <c r="MG429" s="1680">
        <f t="shared" si="118"/>
        <v>9000</v>
      </c>
      <c r="MH429" s="770" t="s">
        <v>2966</v>
      </c>
      <c r="MI429" s="302">
        <v>5000</v>
      </c>
      <c r="MJ429" s="302">
        <v>2500</v>
      </c>
      <c r="MK429" s="302">
        <v>250</v>
      </c>
      <c r="ML429" s="302">
        <v>500</v>
      </c>
      <c r="MM429" s="302"/>
      <c r="MN429" s="302"/>
      <c r="MO429" s="302">
        <v>200</v>
      </c>
      <c r="MP429" s="302">
        <v>900</v>
      </c>
      <c r="MQ429" s="302">
        <v>200</v>
      </c>
      <c r="MR429" s="302"/>
      <c r="MS429" s="302"/>
      <c r="MT429" s="302"/>
      <c r="MU429" s="302"/>
      <c r="MV429" s="302"/>
      <c r="MW429" s="302"/>
      <c r="MX429" s="302"/>
      <c r="MY429" s="1682">
        <f t="shared" si="102"/>
        <v>9550</v>
      </c>
      <c r="MZ429" s="770" t="s">
        <v>13370</v>
      </c>
      <c r="NA429" s="770" t="s">
        <v>13005</v>
      </c>
      <c r="NB429" s="770" t="s">
        <v>13092</v>
      </c>
      <c r="NC429" s="766" t="s">
        <v>13523</v>
      </c>
      <c r="ND429" s="770">
        <v>0</v>
      </c>
      <c r="NE429" s="770">
        <v>0</v>
      </c>
      <c r="NF429" s="770">
        <v>0</v>
      </c>
      <c r="NG429" s="770">
        <v>1</v>
      </c>
      <c r="NH429" s="770">
        <v>1</v>
      </c>
      <c r="NI429" s="770">
        <v>0</v>
      </c>
      <c r="NJ429" s="770">
        <v>0</v>
      </c>
      <c r="NK429" s="770">
        <v>0</v>
      </c>
      <c r="NL429" s="770">
        <v>1</v>
      </c>
      <c r="NM429" s="770">
        <v>1</v>
      </c>
      <c r="NN429" s="770">
        <v>0</v>
      </c>
      <c r="NO429" s="770">
        <v>0</v>
      </c>
      <c r="NP429" s="770">
        <v>0</v>
      </c>
      <c r="NQ429" s="770">
        <v>0</v>
      </c>
      <c r="NR429" s="770">
        <v>0</v>
      </c>
      <c r="NS429" s="770">
        <v>0</v>
      </c>
      <c r="NT429" s="770">
        <v>0</v>
      </c>
      <c r="NU429" s="770">
        <v>0</v>
      </c>
      <c r="NV429" s="770">
        <v>0</v>
      </c>
      <c r="NW429" s="770">
        <v>0</v>
      </c>
      <c r="NX429" s="770">
        <v>0</v>
      </c>
      <c r="NY429" s="770" t="s">
        <v>1208</v>
      </c>
      <c r="NZ429" s="770" t="s">
        <v>1208</v>
      </c>
      <c r="OA429" s="770" t="s">
        <v>1208</v>
      </c>
      <c r="OB429" s="770" t="s">
        <v>1208</v>
      </c>
      <c r="OC429" s="770" t="s">
        <v>1208</v>
      </c>
      <c r="OD429" s="770" t="s">
        <v>1208</v>
      </c>
      <c r="OE429" s="770"/>
      <c r="OF429" s="770"/>
      <c r="OG429" s="770"/>
      <c r="OH429" s="770"/>
      <c r="OI429" s="770"/>
      <c r="OJ429" s="770"/>
      <c r="OK429" s="770"/>
      <c r="OL429" s="770"/>
      <c r="OM429" s="770"/>
      <c r="ON429" s="770"/>
      <c r="OO429" s="770"/>
      <c r="OP429" s="770"/>
      <c r="OQ429" s="770"/>
      <c r="OR429" s="770"/>
      <c r="OS429" s="770"/>
      <c r="OT429" s="770"/>
      <c r="OU429" s="770"/>
      <c r="OV429" s="770"/>
      <c r="OW429" s="770"/>
      <c r="OX429" s="770"/>
      <c r="OY429" s="770"/>
      <c r="OZ429" s="770"/>
      <c r="PA429" s="770"/>
      <c r="PB429" s="770"/>
      <c r="PC429" s="770"/>
      <c r="PD429" s="770"/>
      <c r="PE429" s="770"/>
      <c r="PF429" s="770"/>
      <c r="PG429" s="770"/>
      <c r="PH429" s="770"/>
      <c r="PI429" s="770"/>
      <c r="PJ429" s="770"/>
      <c r="PK429" s="770" t="s">
        <v>1208</v>
      </c>
      <c r="PL429" s="770"/>
      <c r="PM429" s="770"/>
      <c r="PN429" s="770"/>
      <c r="PO429" s="770"/>
      <c r="PP429" s="770"/>
      <c r="PQ429" s="770"/>
      <c r="PR429" s="770"/>
      <c r="PS429" s="770"/>
      <c r="PT429" s="770"/>
      <c r="PU429" s="770"/>
      <c r="PV429" s="770"/>
      <c r="PW429" s="770"/>
      <c r="PX429" s="770"/>
      <c r="PY429" s="770"/>
      <c r="PZ429" s="770"/>
      <c r="QA429" s="770"/>
      <c r="QB429" s="770"/>
      <c r="QC429" s="770"/>
      <c r="QD429" s="770"/>
      <c r="QE429" s="770"/>
      <c r="QF429" s="770"/>
      <c r="QG429" s="770"/>
      <c r="QH429" s="770"/>
      <c r="QI429" s="770"/>
      <c r="QJ429" s="770"/>
      <c r="QK429" s="770"/>
      <c r="QL429" s="770"/>
      <c r="QM429" s="770"/>
      <c r="QN429" s="770"/>
      <c r="QO429" s="770"/>
      <c r="QP429" s="770"/>
      <c r="QQ429" s="770"/>
      <c r="QR429" s="770"/>
      <c r="QS429" s="770"/>
      <c r="QT429" s="770"/>
      <c r="QU429" s="770"/>
      <c r="QV429" s="770"/>
      <c r="QW429" s="770"/>
      <c r="QX429" s="770"/>
      <c r="QY429" s="770"/>
      <c r="QZ429" s="770"/>
      <c r="RA429" s="770"/>
      <c r="RB429" s="770" t="s">
        <v>1214</v>
      </c>
      <c r="RC429" s="770"/>
      <c r="RD429" s="770"/>
      <c r="RE429" s="770"/>
      <c r="RF429" s="304"/>
      <c r="RG429" s="770"/>
      <c r="RH429" s="302"/>
      <c r="RI429" s="770"/>
      <c r="RJ429" s="770" t="s">
        <v>13555</v>
      </c>
      <c r="RK429" s="770" t="s">
        <v>13556</v>
      </c>
      <c r="RL429" s="1710"/>
      <c r="RM429" s="12"/>
      <c r="RN429" s="1711"/>
      <c r="RO429" s="132" t="s">
        <v>2336</v>
      </c>
      <c r="RP429" s="11"/>
      <c r="RQ429" s="11"/>
      <c r="RR429" s="311" t="s">
        <v>12355</v>
      </c>
      <c r="RS429" s="1139" t="s">
        <v>12980</v>
      </c>
      <c r="RT429" s="11"/>
      <c r="RU429" s="11"/>
      <c r="RV429" s="771" t="s">
        <v>7421</v>
      </c>
      <c r="RW429" s="11" t="s">
        <v>7677</v>
      </c>
      <c r="RX429" s="11" t="s">
        <v>2328</v>
      </c>
      <c r="RY429" s="11"/>
      <c r="RZ429" s="11"/>
      <c r="SA429" s="771"/>
      <c r="SB429" s="11"/>
      <c r="SC429" s="11"/>
    </row>
    <row r="430" spans="1:497" ht="12.75" customHeight="1">
      <c r="A430" s="19" t="s">
        <v>7421</v>
      </c>
      <c r="B430" s="752" t="s">
        <v>7679</v>
      </c>
      <c r="C430" s="133" t="s">
        <v>2353</v>
      </c>
      <c r="D430" s="94" t="s">
        <v>2355</v>
      </c>
      <c r="E430" s="766" t="s">
        <v>5823</v>
      </c>
      <c r="F430" s="770" t="s">
        <v>28</v>
      </c>
      <c r="G430" s="770" t="s">
        <v>10</v>
      </c>
      <c r="H430" s="770"/>
      <c r="I430" s="295"/>
      <c r="J430" s="94" t="s">
        <v>2355</v>
      </c>
      <c r="K430" s="766" t="s">
        <v>2357</v>
      </c>
      <c r="L430" s="766" t="s">
        <v>2276</v>
      </c>
      <c r="M430" s="770" t="s">
        <v>1238</v>
      </c>
      <c r="N430" s="770"/>
      <c r="O430" s="770" t="s">
        <v>2358</v>
      </c>
      <c r="P430" s="94" t="s">
        <v>2359</v>
      </c>
      <c r="Q430" s="1088">
        <v>25943</v>
      </c>
      <c r="R430" s="297">
        <v>46</v>
      </c>
      <c r="S430" s="770" t="s">
        <v>10</v>
      </c>
      <c r="T430" s="770"/>
      <c r="U430" s="298"/>
      <c r="V430" s="770" t="s">
        <v>707</v>
      </c>
      <c r="W430" s="770"/>
      <c r="X430" s="770"/>
      <c r="Y430" s="770" t="s">
        <v>2356</v>
      </c>
      <c r="Z430" s="770" t="s">
        <v>708</v>
      </c>
      <c r="AA430" s="770" t="s">
        <v>781</v>
      </c>
      <c r="AB430" s="770" t="s">
        <v>7275</v>
      </c>
      <c r="AC430" s="770" t="s">
        <v>724</v>
      </c>
      <c r="AD430" s="770"/>
      <c r="AE430" s="770" t="s">
        <v>1073</v>
      </c>
      <c r="AF430" s="770" t="s">
        <v>798</v>
      </c>
      <c r="AG430" s="766" t="s">
        <v>1132</v>
      </c>
      <c r="AH430" s="766" t="s">
        <v>1096</v>
      </c>
      <c r="AI430" s="770"/>
      <c r="AJ430" s="770" t="s">
        <v>1137</v>
      </c>
      <c r="AK430" s="770" t="s">
        <v>1101</v>
      </c>
      <c r="AL430" s="531">
        <v>76.38</v>
      </c>
      <c r="AM430" s="780">
        <v>55.631999999999998</v>
      </c>
      <c r="AN430" s="532">
        <f>AM430/AL430</f>
        <v>0.72835820895522385</v>
      </c>
      <c r="AO430" s="766" t="s">
        <v>1105</v>
      </c>
      <c r="AP430" s="766"/>
      <c r="AQ430" s="766"/>
      <c r="AR430" s="766"/>
      <c r="AS430" s="770"/>
      <c r="AT430" s="770"/>
      <c r="AU430" s="770"/>
      <c r="AV430" s="770"/>
      <c r="AW430" s="770"/>
      <c r="AX430" s="770"/>
      <c r="AY430" s="770"/>
      <c r="AZ430" s="770"/>
      <c r="BA430" s="770"/>
      <c r="BB430" s="770"/>
      <c r="BC430" s="770"/>
      <c r="BD430" s="770"/>
      <c r="BE430" s="770"/>
      <c r="BF430" s="302"/>
      <c r="BG430" s="302"/>
      <c r="BH430" s="770"/>
      <c r="BI430" s="770"/>
      <c r="BJ430" s="770"/>
      <c r="BK430" s="770" t="s">
        <v>1095</v>
      </c>
      <c r="BL430" s="770" t="s">
        <v>2360</v>
      </c>
      <c r="BM430" s="766" t="s">
        <v>1096</v>
      </c>
      <c r="BN430" s="770" t="s">
        <v>1230</v>
      </c>
      <c r="BO430" s="766" t="s">
        <v>1239</v>
      </c>
      <c r="BP430" s="1114">
        <v>76.38</v>
      </c>
      <c r="BQ430" s="780">
        <v>55.631999999999998</v>
      </c>
      <c r="BR430" s="774">
        <f>BQ430/BP430</f>
        <v>0.72835820895522385</v>
      </c>
      <c r="BS430" s="766" t="s">
        <v>1105</v>
      </c>
      <c r="BT430" s="766" t="s">
        <v>8133</v>
      </c>
      <c r="BU430" s="770" t="s">
        <v>1249</v>
      </c>
      <c r="BV430" s="770" t="s">
        <v>1247</v>
      </c>
      <c r="BW430" s="769"/>
      <c r="BX430" s="302"/>
      <c r="BY430" s="770" t="s">
        <v>1214</v>
      </c>
      <c r="BZ430" s="302"/>
      <c r="CA430" s="770" t="s">
        <v>745</v>
      </c>
      <c r="CB430" s="770"/>
      <c r="CC430" s="770"/>
      <c r="CD430" s="770"/>
      <c r="CE430" s="770"/>
      <c r="CF430" s="1753"/>
      <c r="CG430" s="1754"/>
      <c r="CH430" s="770"/>
      <c r="CI430" s="770"/>
      <c r="CJ430" s="770"/>
      <c r="CK430" s="770"/>
      <c r="CL430" s="770"/>
      <c r="CM430" s="770"/>
      <c r="CN430" s="770"/>
      <c r="CO430" s="770"/>
      <c r="CP430" s="770"/>
      <c r="CQ430" s="770"/>
      <c r="CR430" s="302"/>
      <c r="CS430" s="770"/>
      <c r="CT430" s="770"/>
      <c r="CU430" s="305"/>
      <c r="CV430" s="770"/>
      <c r="CW430" s="770"/>
      <c r="CX430" s="770"/>
      <c r="CY430" s="770"/>
      <c r="CZ430" s="770"/>
      <c r="DA430" s="306"/>
      <c r="DB430" s="770"/>
      <c r="DC430" s="770"/>
      <c r="DD430" s="770"/>
      <c r="DE430" s="300"/>
      <c r="DF430" s="770"/>
      <c r="DG430" s="770"/>
      <c r="DH430" s="770"/>
      <c r="DI430" s="770"/>
      <c r="DJ430" s="770"/>
      <c r="DK430" s="770"/>
      <c r="DL430" s="770"/>
      <c r="DM430" s="770"/>
      <c r="DN430" s="322"/>
      <c r="DO430" s="770"/>
      <c r="DP430" s="770"/>
      <c r="DQ430" s="770"/>
      <c r="DR430" s="770"/>
      <c r="DS430" s="307"/>
      <c r="DT430" s="770"/>
      <c r="DU430" s="770"/>
      <c r="DV430" s="770"/>
      <c r="DW430" s="306"/>
      <c r="DX430" s="306"/>
      <c r="DY430" s="770"/>
      <c r="DZ430" s="770"/>
      <c r="EA430" s="770"/>
      <c r="EB430" s="770"/>
      <c r="EC430" s="770"/>
      <c r="ED430" s="770"/>
      <c r="EE430" s="770"/>
      <c r="EF430" s="770"/>
      <c r="EG430" s="770"/>
      <c r="EH430" s="770"/>
      <c r="EI430" s="770"/>
      <c r="EJ430" s="770"/>
      <c r="EK430" s="770"/>
      <c r="EL430" s="770"/>
      <c r="EM430" s="770"/>
      <c r="EN430" s="770"/>
      <c r="EO430" s="770"/>
      <c r="EP430" s="94"/>
      <c r="EQ430" s="770"/>
      <c r="ER430" s="770"/>
      <c r="ES430" s="770"/>
      <c r="ET430" s="770"/>
      <c r="EU430" s="770"/>
      <c r="EV430" s="770"/>
      <c r="EW430" s="770"/>
      <c r="EX430" s="770"/>
      <c r="EY430" s="770"/>
      <c r="EZ430" s="770"/>
      <c r="FA430" s="770"/>
      <c r="FB430" s="770"/>
      <c r="FC430" s="770"/>
      <c r="FD430" s="302"/>
      <c r="FE430" s="770"/>
      <c r="FF430" s="770"/>
      <c r="FG430" s="770"/>
      <c r="FH430" s="770" t="s">
        <v>478</v>
      </c>
      <c r="FI430" s="770">
        <v>5</v>
      </c>
      <c r="FJ430" s="770"/>
      <c r="FK430" s="770"/>
      <c r="FL430" s="770"/>
      <c r="FM430" s="302"/>
      <c r="FN430" s="302"/>
      <c r="FO430" s="302"/>
      <c r="FP430" s="766" t="s">
        <v>1602</v>
      </c>
      <c r="FQ430" s="766" t="s">
        <v>1660</v>
      </c>
      <c r="FR430" s="770" t="s">
        <v>1207</v>
      </c>
      <c r="FS430" s="770"/>
      <c r="FT430" s="770"/>
      <c r="FU430" s="770" t="s">
        <v>1208</v>
      </c>
      <c r="FV430" s="770"/>
      <c r="FW430" s="770"/>
      <c r="FX430" s="770"/>
      <c r="FY430" s="770"/>
      <c r="FZ430" s="770"/>
      <c r="GA430" s="770"/>
      <c r="GB430" s="770" t="s">
        <v>2361</v>
      </c>
      <c r="GC430" s="308" t="s">
        <v>2360</v>
      </c>
      <c r="GD430" s="297">
        <v>2004</v>
      </c>
      <c r="GE430" s="770">
        <v>4</v>
      </c>
      <c r="GF430" s="302">
        <v>500</v>
      </c>
      <c r="GG430" s="302">
        <f>GF430*12</f>
        <v>6000</v>
      </c>
      <c r="GH430" s="712" t="s">
        <v>14260</v>
      </c>
      <c r="GI430" s="770"/>
      <c r="GJ430" s="770" t="s">
        <v>2362</v>
      </c>
      <c r="GK430" s="770"/>
      <c r="GL430" s="770"/>
      <c r="GM430" s="770"/>
      <c r="GN430" s="299"/>
      <c r="GO430" s="770"/>
      <c r="GP430" s="770"/>
      <c r="GQ430" s="770"/>
      <c r="GR430" s="770"/>
      <c r="GS430" s="770"/>
      <c r="GT430" s="770"/>
      <c r="GU430" s="770"/>
      <c r="GV430" s="770"/>
      <c r="GW430" s="770"/>
      <c r="GX430" s="770"/>
      <c r="GY430" s="770"/>
      <c r="GZ430" s="770"/>
      <c r="HA430" s="770"/>
      <c r="HB430" s="770"/>
      <c r="HC430" s="770"/>
      <c r="HD430" s="770"/>
      <c r="HE430" s="770"/>
      <c r="HF430" s="770"/>
      <c r="HG430" s="770"/>
      <c r="HH430" s="770"/>
      <c r="HI430" s="770" t="s">
        <v>1214</v>
      </c>
      <c r="HJ430" s="770"/>
      <c r="HK430" s="770"/>
      <c r="HL430" s="770" t="s">
        <v>1214</v>
      </c>
      <c r="HM430" s="770"/>
      <c r="HN430" s="770"/>
      <c r="HO430" s="770"/>
      <c r="HP430" s="770"/>
      <c r="HQ430" s="770"/>
      <c r="HR430" s="770"/>
      <c r="HS430" s="770"/>
      <c r="HT430" s="770"/>
      <c r="HU430" s="770"/>
      <c r="HV430" s="770"/>
      <c r="HW430" s="770"/>
      <c r="HX430" s="770"/>
      <c r="HY430" s="770"/>
      <c r="HZ430" s="770"/>
      <c r="IA430" s="770"/>
      <c r="IB430" s="14" t="e">
        <f>IF(#REF!&gt;0,IF(#REF!&lt;=10000,"Y",""),"")</f>
        <v>#REF!</v>
      </c>
      <c r="IC430" s="770"/>
      <c r="ID430" s="770"/>
      <c r="IE430" s="766" t="s">
        <v>2363</v>
      </c>
      <c r="IF430" s="770" t="s">
        <v>2355</v>
      </c>
      <c r="IG430" s="770" t="s">
        <v>10</v>
      </c>
      <c r="IH430" s="770" t="s">
        <v>478</v>
      </c>
      <c r="II430" s="770" t="s">
        <v>2356</v>
      </c>
      <c r="IJ430" s="770" t="s">
        <v>1835</v>
      </c>
      <c r="IK430" s="766" t="s">
        <v>1888</v>
      </c>
      <c r="IL430" s="770" t="s">
        <v>2363</v>
      </c>
      <c r="IM430" s="770"/>
      <c r="IN430" s="770" t="s">
        <v>2363</v>
      </c>
      <c r="IO430" s="296">
        <v>25943</v>
      </c>
      <c r="IP430" s="770" t="s">
        <v>478</v>
      </c>
      <c r="IQ430" s="13" t="s">
        <v>1882</v>
      </c>
      <c r="IR430" s="770" t="s">
        <v>2716</v>
      </c>
      <c r="IS430" s="770" t="s">
        <v>1883</v>
      </c>
      <c r="IT430" s="770"/>
      <c r="IU430" s="770" t="s">
        <v>1208</v>
      </c>
      <c r="IV430" s="770"/>
      <c r="IW430" s="770" t="s">
        <v>13557</v>
      </c>
      <c r="IX430" s="770"/>
      <c r="IY430" s="770"/>
      <c r="IZ430" s="770"/>
      <c r="JA430" s="770" t="s">
        <v>1880</v>
      </c>
      <c r="JB430" s="770" t="s">
        <v>1918</v>
      </c>
      <c r="JC430" s="770"/>
      <c r="JD430" s="302">
        <v>2000</v>
      </c>
      <c r="JE430" s="770"/>
      <c r="JF430" s="770"/>
      <c r="JG430" s="770"/>
      <c r="JH430" s="307"/>
      <c r="JI430" s="712" t="str">
        <f>IF(SUM(JT430,JU430)=JJ430,"ok","review")</f>
        <v>ok</v>
      </c>
      <c r="JJ430" s="770">
        <v>1</v>
      </c>
      <c r="JK430" s="1139" t="s">
        <v>7854</v>
      </c>
      <c r="JL430" s="770">
        <v>1</v>
      </c>
      <c r="JM430" s="770"/>
      <c r="JN430" s="770"/>
      <c r="JO430" s="770"/>
      <c r="JP430" s="770"/>
      <c r="JQ430" s="770"/>
      <c r="JR430" s="770"/>
      <c r="JS430" s="770"/>
      <c r="JT430" s="766">
        <f t="shared" si="117"/>
        <v>1</v>
      </c>
      <c r="JU430" s="766">
        <f t="shared" si="117"/>
        <v>0</v>
      </c>
      <c r="JV430" s="712" t="str">
        <f t="shared" si="112"/>
        <v>ok</v>
      </c>
      <c r="JW430" s="712" t="str">
        <f t="shared" si="113"/>
        <v>ok</v>
      </c>
      <c r="JX430" s="770"/>
      <c r="JY430" s="770"/>
      <c r="JZ430" s="770"/>
      <c r="KA430" s="770"/>
      <c r="KB430" s="770"/>
      <c r="KC430" s="770"/>
      <c r="KD430" s="770">
        <v>1</v>
      </c>
      <c r="KE430" s="770"/>
      <c r="KF430" s="770"/>
      <c r="KG430" s="770"/>
      <c r="KH430" s="770"/>
      <c r="KI430" s="770"/>
      <c r="KJ430" s="770">
        <f t="shared" si="103"/>
        <v>1</v>
      </c>
      <c r="KK430" s="770">
        <f t="shared" si="103"/>
        <v>0</v>
      </c>
      <c r="KL430" s="712" t="str">
        <f t="shared" si="114"/>
        <v>ok</v>
      </c>
      <c r="KM430" s="712" t="str">
        <f t="shared" si="115"/>
        <v>ok</v>
      </c>
      <c r="KN430" s="770" t="s">
        <v>768</v>
      </c>
      <c r="KO430" s="770"/>
      <c r="KP430" s="770"/>
      <c r="KQ430" s="770"/>
      <c r="KR430" s="770"/>
      <c r="KS430" s="770"/>
      <c r="KT430" s="770">
        <v>1</v>
      </c>
      <c r="KU430" s="770"/>
      <c r="KV430" s="770"/>
      <c r="KW430" s="770"/>
      <c r="KX430" s="770"/>
      <c r="KY430" s="770"/>
      <c r="KZ430" s="770"/>
      <c r="LA430" s="770"/>
      <c r="LB430" s="770"/>
      <c r="LC430" s="770"/>
      <c r="LD430" s="770"/>
      <c r="LE430" s="770"/>
      <c r="LF430" s="770"/>
      <c r="LG430" s="770"/>
      <c r="LH430" s="770"/>
      <c r="LI430" s="770"/>
      <c r="LJ430" s="770"/>
      <c r="LK430" s="770"/>
      <c r="LL430" s="770"/>
      <c r="LM430" s="770"/>
      <c r="LN430" s="766">
        <f t="shared" si="111"/>
        <v>1</v>
      </c>
      <c r="LO430" s="766">
        <f t="shared" si="111"/>
        <v>0</v>
      </c>
      <c r="LP430" s="770">
        <v>1</v>
      </c>
      <c r="LQ430" s="770"/>
      <c r="LR430" s="770"/>
      <c r="LS430" s="770">
        <v>1</v>
      </c>
      <c r="LT430" s="712" t="str">
        <f t="shared" si="116"/>
        <v>OK</v>
      </c>
      <c r="LU430" s="770"/>
      <c r="LV430" s="770"/>
      <c r="LW430" s="770"/>
      <c r="LX430" s="769"/>
      <c r="LY430" s="766" t="str">
        <f t="shared" si="119"/>
        <v/>
      </c>
      <c r="LZ430" s="1709"/>
      <c r="MA430" s="1709"/>
      <c r="MB430" s="1709">
        <v>0</v>
      </c>
      <c r="MC430" s="1679">
        <f t="shared" si="110"/>
        <v>0</v>
      </c>
      <c r="MD430" s="1709"/>
      <c r="ME430" s="1709"/>
      <c r="MF430" s="1709">
        <v>12000</v>
      </c>
      <c r="MG430" s="1680">
        <f t="shared" si="118"/>
        <v>12000</v>
      </c>
      <c r="MH430" s="770" t="s">
        <v>2205</v>
      </c>
      <c r="MI430" s="302">
        <v>15000</v>
      </c>
      <c r="MJ430" s="302">
        <v>12000</v>
      </c>
      <c r="MK430" s="302">
        <v>416</v>
      </c>
      <c r="ML430" s="302">
        <v>204</v>
      </c>
      <c r="MM430" s="302"/>
      <c r="MN430" s="302"/>
      <c r="MO430" s="302">
        <v>100</v>
      </c>
      <c r="MP430" s="302">
        <v>1800</v>
      </c>
      <c r="MQ430" s="302">
        <v>630</v>
      </c>
      <c r="MR430" s="302"/>
      <c r="MS430" s="302">
        <v>5000</v>
      </c>
      <c r="MT430" s="302"/>
      <c r="MU430" s="302"/>
      <c r="MV430" s="302"/>
      <c r="MW430" s="302"/>
      <c r="MX430" s="302"/>
      <c r="MY430" s="1682">
        <f t="shared" si="102"/>
        <v>35150</v>
      </c>
      <c r="MZ430" s="770" t="s">
        <v>13370</v>
      </c>
      <c r="NA430" s="770" t="s">
        <v>13558</v>
      </c>
      <c r="NB430" s="770" t="s">
        <v>13092</v>
      </c>
      <c r="NC430" s="770" t="s">
        <v>13523</v>
      </c>
      <c r="ND430" s="770">
        <v>0</v>
      </c>
      <c r="NE430" s="770">
        <v>0</v>
      </c>
      <c r="NF430" s="770">
        <v>0</v>
      </c>
      <c r="NG430" s="770">
        <v>1</v>
      </c>
      <c r="NH430" s="770">
        <v>1</v>
      </c>
      <c r="NI430" s="770">
        <v>1</v>
      </c>
      <c r="NJ430" s="770">
        <v>1</v>
      </c>
      <c r="NK430" s="770">
        <v>0</v>
      </c>
      <c r="NL430" s="770">
        <v>0</v>
      </c>
      <c r="NM430" s="770">
        <v>1</v>
      </c>
      <c r="NN430" s="770">
        <v>0</v>
      </c>
      <c r="NO430" s="770">
        <v>0</v>
      </c>
      <c r="NP430" s="770">
        <v>0</v>
      </c>
      <c r="NQ430" s="770">
        <v>0</v>
      </c>
      <c r="NR430" s="770">
        <v>0</v>
      </c>
      <c r="NS430" s="770">
        <v>0</v>
      </c>
      <c r="NT430" s="770">
        <v>0</v>
      </c>
      <c r="NU430" s="770">
        <v>0</v>
      </c>
      <c r="NV430" s="770">
        <v>0</v>
      </c>
      <c r="NW430" s="770">
        <v>0</v>
      </c>
      <c r="NX430" s="770">
        <v>0</v>
      </c>
      <c r="NY430" s="770"/>
      <c r="NZ430" s="770"/>
      <c r="OA430" s="770"/>
      <c r="OB430" s="770"/>
      <c r="OC430" s="770"/>
      <c r="OD430" s="770"/>
      <c r="OE430" s="770"/>
      <c r="OF430" s="770" t="s">
        <v>2143</v>
      </c>
      <c r="OG430" s="770"/>
      <c r="OH430" s="770"/>
      <c r="OI430" s="770"/>
      <c r="OJ430" s="770"/>
      <c r="OK430" s="770"/>
      <c r="OL430" s="770"/>
      <c r="OM430" s="770"/>
      <c r="ON430" s="770"/>
      <c r="OO430" s="770"/>
      <c r="OP430" s="770"/>
      <c r="OQ430" s="770"/>
      <c r="OR430" s="770"/>
      <c r="OS430" s="770"/>
      <c r="OT430" s="770"/>
      <c r="OU430" s="770"/>
      <c r="OV430" s="770"/>
      <c r="OW430" s="770"/>
      <c r="OX430" s="770"/>
      <c r="OY430" s="770"/>
      <c r="OZ430" s="770"/>
      <c r="PA430" s="770"/>
      <c r="PB430" s="770"/>
      <c r="PC430" s="770"/>
      <c r="PD430" s="770"/>
      <c r="PE430" s="770"/>
      <c r="PF430" s="770"/>
      <c r="PG430" s="770"/>
      <c r="PH430" s="770"/>
      <c r="PI430" s="770"/>
      <c r="PJ430" s="770"/>
      <c r="PK430" s="770"/>
      <c r="PL430" s="770"/>
      <c r="PM430" s="770"/>
      <c r="PN430" s="770"/>
      <c r="PO430" s="770"/>
      <c r="PP430" s="770"/>
      <c r="PQ430" s="770"/>
      <c r="PR430" s="770"/>
      <c r="PS430" s="770"/>
      <c r="PT430" s="770"/>
      <c r="PU430" s="770"/>
      <c r="PV430" s="770"/>
      <c r="PW430" s="770"/>
      <c r="PX430" s="770"/>
      <c r="PY430" s="770"/>
      <c r="PZ430" s="770"/>
      <c r="QA430" s="770"/>
      <c r="QB430" s="770"/>
      <c r="QC430" s="770"/>
      <c r="QD430" s="770"/>
      <c r="QE430" s="770"/>
      <c r="QF430" s="770"/>
      <c r="QG430" s="770"/>
      <c r="QH430" s="770"/>
      <c r="QI430" s="770"/>
      <c r="QJ430" s="770"/>
      <c r="QK430" s="770"/>
      <c r="QL430" s="770"/>
      <c r="QM430" s="770"/>
      <c r="QN430" s="770"/>
      <c r="QO430" s="770"/>
      <c r="QP430" s="770"/>
      <c r="QQ430" s="770"/>
      <c r="QR430" s="770"/>
      <c r="QS430" s="770"/>
      <c r="QT430" s="770"/>
      <c r="QU430" s="770"/>
      <c r="QV430" s="770"/>
      <c r="QW430" s="770"/>
      <c r="QX430" s="770"/>
      <c r="QY430" s="770"/>
      <c r="QZ430" s="770"/>
      <c r="RA430" s="770"/>
      <c r="RB430" s="770" t="s">
        <v>1214</v>
      </c>
      <c r="RC430" s="770"/>
      <c r="RD430" s="770"/>
      <c r="RE430" s="770"/>
      <c r="RF430" s="304"/>
      <c r="RG430" s="770"/>
      <c r="RH430" s="302"/>
      <c r="RI430" s="770"/>
      <c r="RJ430" s="770" t="s">
        <v>2360</v>
      </c>
      <c r="RK430" s="770" t="s">
        <v>13556</v>
      </c>
      <c r="RL430" s="1710"/>
      <c r="RM430" s="12"/>
      <c r="RN430" s="1711"/>
      <c r="RO430" s="133" t="s">
        <v>2353</v>
      </c>
      <c r="RP430" s="11"/>
      <c r="RQ430" s="11"/>
      <c r="RR430" s="19" t="s">
        <v>7421</v>
      </c>
      <c r="RS430" s="1139" t="s">
        <v>12980</v>
      </c>
      <c r="RT430" s="11"/>
      <c r="RU430" s="11"/>
      <c r="RV430" s="771" t="s">
        <v>7421</v>
      </c>
      <c r="RW430" s="11" t="s">
        <v>7678</v>
      </c>
      <c r="RX430" s="11" t="s">
        <v>2336</v>
      </c>
      <c r="RY430" s="11"/>
      <c r="RZ430" s="11" t="s">
        <v>1101</v>
      </c>
      <c r="SA430" s="771"/>
      <c r="SB430" s="11"/>
      <c r="SC430" s="11"/>
    </row>
    <row r="431" spans="1:497" ht="12.75" customHeight="1">
      <c r="A431" s="311" t="s">
        <v>14201</v>
      </c>
      <c r="B431" s="752" t="s">
        <v>7680</v>
      </c>
      <c r="C431" s="133" t="s">
        <v>2353</v>
      </c>
      <c r="D431" s="94" t="s">
        <v>2364</v>
      </c>
      <c r="E431" s="770" t="s">
        <v>2365</v>
      </c>
      <c r="F431" s="770" t="s">
        <v>2366</v>
      </c>
      <c r="G431" s="770" t="s">
        <v>10</v>
      </c>
      <c r="H431" s="770"/>
      <c r="I431" s="295" t="s">
        <v>2367</v>
      </c>
      <c r="J431" s="94" t="s">
        <v>2355</v>
      </c>
      <c r="K431" s="770"/>
      <c r="L431" s="770"/>
      <c r="M431" s="770"/>
      <c r="N431" s="770"/>
      <c r="O431" s="770"/>
      <c r="P431" s="94" t="s">
        <v>2368</v>
      </c>
      <c r="Q431" s="1088">
        <v>24551</v>
      </c>
      <c r="R431" s="297">
        <v>50</v>
      </c>
      <c r="S431" s="770" t="s">
        <v>10</v>
      </c>
      <c r="T431" s="770"/>
      <c r="U431" s="295" t="s">
        <v>2367</v>
      </c>
      <c r="V431" s="770" t="s">
        <v>783</v>
      </c>
      <c r="W431" s="770"/>
      <c r="X431" s="770"/>
      <c r="Y431" s="770" t="s">
        <v>2365</v>
      </c>
      <c r="Z431" s="770" t="s">
        <v>708</v>
      </c>
      <c r="AA431" s="770" t="s">
        <v>739</v>
      </c>
      <c r="AB431" s="766" t="s">
        <v>7274</v>
      </c>
      <c r="AC431" s="770" t="s">
        <v>724</v>
      </c>
      <c r="AD431" s="770" t="s">
        <v>711</v>
      </c>
      <c r="AE431" s="770" t="s">
        <v>909</v>
      </c>
      <c r="AF431" s="770" t="s">
        <v>798</v>
      </c>
      <c r="AG431" s="770"/>
      <c r="AH431" s="770"/>
      <c r="AI431" s="770"/>
      <c r="AJ431" s="770"/>
      <c r="AK431" s="770" t="s">
        <v>1101</v>
      </c>
      <c r="AL431" s="531"/>
      <c r="AM431" s="780"/>
      <c r="AN431" s="532"/>
      <c r="AO431" s="766"/>
      <c r="AP431" s="766"/>
      <c r="AQ431" s="766"/>
      <c r="AR431" s="766"/>
      <c r="AS431" s="770"/>
      <c r="AT431" s="770"/>
      <c r="AU431" s="770"/>
      <c r="AV431" s="770"/>
      <c r="AW431" s="770"/>
      <c r="AX431" s="770"/>
      <c r="AY431" s="770"/>
      <c r="AZ431" s="770"/>
      <c r="BA431" s="770"/>
      <c r="BB431" s="770"/>
      <c r="BC431" s="770"/>
      <c r="BD431" s="770"/>
      <c r="BE431" s="770"/>
      <c r="BF431" s="302"/>
      <c r="BG431" s="302"/>
      <c r="BH431" s="770"/>
      <c r="BI431" s="770"/>
      <c r="BJ431" s="770"/>
      <c r="BK431" s="770"/>
      <c r="BL431" s="770"/>
      <c r="BM431" s="770" t="s">
        <v>1238</v>
      </c>
      <c r="BN431" s="770" t="s">
        <v>1256</v>
      </c>
      <c r="BO431" s="770"/>
      <c r="BP431" s="765"/>
      <c r="BQ431" s="773"/>
      <c r="BR431" s="774"/>
      <c r="BS431" s="766" t="s">
        <v>1105</v>
      </c>
      <c r="BT431" s="766"/>
      <c r="BU431" s="770"/>
      <c r="BV431" s="770"/>
      <c r="BW431" s="770"/>
      <c r="BX431" s="302"/>
      <c r="BY431" s="770"/>
      <c r="BZ431" s="302"/>
      <c r="CA431" s="770"/>
      <c r="CB431" s="770"/>
      <c r="CC431" s="770"/>
      <c r="CD431" s="770"/>
      <c r="CE431" s="770"/>
      <c r="CF431" s="1753"/>
      <c r="CG431" s="1754"/>
      <c r="CH431" s="770"/>
      <c r="CI431" s="770"/>
      <c r="CJ431" s="770"/>
      <c r="CK431" s="770"/>
      <c r="CL431" s="770"/>
      <c r="CM431" s="770"/>
      <c r="CN431" s="770"/>
      <c r="CO431" s="770"/>
      <c r="CP431" s="770"/>
      <c r="CQ431" s="770"/>
      <c r="CR431" s="302"/>
      <c r="CS431" s="770"/>
      <c r="CT431" s="770"/>
      <c r="CU431" s="305"/>
      <c r="CV431" s="770"/>
      <c r="CW431" s="770"/>
      <c r="CX431" s="770"/>
      <c r="CY431" s="770"/>
      <c r="CZ431" s="770"/>
      <c r="DA431" s="306"/>
      <c r="DB431" s="770"/>
      <c r="DC431" s="770"/>
      <c r="DD431" s="770"/>
      <c r="DE431" s="300"/>
      <c r="DF431" s="770"/>
      <c r="DG431" s="770"/>
      <c r="DH431" s="770"/>
      <c r="DI431" s="770"/>
      <c r="DJ431" s="770"/>
      <c r="DK431" s="770"/>
      <c r="DL431" s="770"/>
      <c r="DM431" s="770"/>
      <c r="DN431" s="322"/>
      <c r="DO431" s="770"/>
      <c r="DP431" s="770"/>
      <c r="DQ431" s="770"/>
      <c r="DR431" s="770"/>
      <c r="DS431" s="307"/>
      <c r="DT431" s="770"/>
      <c r="DU431" s="770"/>
      <c r="DV431" s="770"/>
      <c r="DW431" s="306"/>
      <c r="DX431" s="306"/>
      <c r="DY431" s="770"/>
      <c r="DZ431" s="770"/>
      <c r="EA431" s="770"/>
      <c r="EB431" s="770"/>
      <c r="EC431" s="770"/>
      <c r="ED431" s="770"/>
      <c r="EE431" s="770"/>
      <c r="EF431" s="770"/>
      <c r="EG431" s="770"/>
      <c r="EH431" s="770"/>
      <c r="EI431" s="770"/>
      <c r="EJ431" s="770"/>
      <c r="EK431" s="770"/>
      <c r="EL431" s="770"/>
      <c r="EM431" s="770"/>
      <c r="EN431" s="770"/>
      <c r="EO431" s="770"/>
      <c r="EP431" s="94"/>
      <c r="EQ431" s="770"/>
      <c r="ER431" s="770"/>
      <c r="ES431" s="770"/>
      <c r="ET431" s="770"/>
      <c r="EU431" s="770"/>
      <c r="EV431" s="770"/>
      <c r="EW431" s="770"/>
      <c r="EX431" s="770"/>
      <c r="EY431" s="770"/>
      <c r="EZ431" s="770"/>
      <c r="FA431" s="770"/>
      <c r="FB431" s="770"/>
      <c r="FC431" s="770"/>
      <c r="FD431" s="302"/>
      <c r="FE431" s="770"/>
      <c r="FF431" s="770"/>
      <c r="FG431" s="770"/>
      <c r="FH431" s="770" t="s">
        <v>1306</v>
      </c>
      <c r="FI431" s="770"/>
      <c r="FJ431" s="770" t="s">
        <v>2363</v>
      </c>
      <c r="FK431" s="770"/>
      <c r="FL431" s="770" t="s">
        <v>2365</v>
      </c>
      <c r="FM431" s="147">
        <v>500</v>
      </c>
      <c r="FN431" s="302"/>
      <c r="FO431" s="302"/>
      <c r="FP431" s="766" t="s">
        <v>1602</v>
      </c>
      <c r="FQ431" s="766" t="s">
        <v>1660</v>
      </c>
      <c r="FR431" s="770"/>
      <c r="FS431" s="770"/>
      <c r="FT431" s="770"/>
      <c r="FU431" s="770"/>
      <c r="FV431" s="770"/>
      <c r="FW431" s="770"/>
      <c r="FX431" s="770"/>
      <c r="FY431" s="770"/>
      <c r="FZ431" s="770"/>
      <c r="GA431" s="770"/>
      <c r="GB431" s="770"/>
      <c r="GC431" s="308"/>
      <c r="GD431" s="297"/>
      <c r="GE431" s="770"/>
      <c r="GF431" s="302"/>
      <c r="GG431" s="302"/>
      <c r="GH431" s="770"/>
      <c r="GI431" s="770"/>
      <c r="GJ431" s="770"/>
      <c r="GK431" s="770"/>
      <c r="GL431" s="770"/>
      <c r="GM431" s="770"/>
      <c r="GN431" s="299"/>
      <c r="GO431" s="770"/>
      <c r="GP431" s="770"/>
      <c r="GQ431" s="770"/>
      <c r="GR431" s="770"/>
      <c r="GS431" s="770"/>
      <c r="GT431" s="770"/>
      <c r="GU431" s="770"/>
      <c r="GV431" s="770"/>
      <c r="GW431" s="770"/>
      <c r="GX431" s="770"/>
      <c r="GY431" s="770"/>
      <c r="GZ431" s="770"/>
      <c r="HA431" s="770"/>
      <c r="HB431" s="770"/>
      <c r="HC431" s="770"/>
      <c r="HD431" s="770"/>
      <c r="HE431" s="770"/>
      <c r="HF431" s="770"/>
      <c r="HG431" s="770"/>
      <c r="HH431" s="770"/>
      <c r="HI431" s="770"/>
      <c r="HJ431" s="770"/>
      <c r="HK431" s="770"/>
      <c r="HL431" s="770"/>
      <c r="HM431" s="770"/>
      <c r="HN431" s="770"/>
      <c r="HO431" s="770"/>
      <c r="HP431" s="770"/>
      <c r="HQ431" s="770"/>
      <c r="HR431" s="770"/>
      <c r="HS431" s="770"/>
      <c r="HT431" s="770"/>
      <c r="HU431" s="770"/>
      <c r="HV431" s="770"/>
      <c r="HW431" s="770"/>
      <c r="HX431" s="770"/>
      <c r="HY431" s="770"/>
      <c r="HZ431" s="770"/>
      <c r="IA431" s="770"/>
      <c r="IB431" s="14" t="e">
        <f>IF(#REF!&gt;0,IF(#REF!&lt;=10000,"Y",""),"")</f>
        <v>#REF!</v>
      </c>
      <c r="IC431" s="770"/>
      <c r="ID431" s="770"/>
      <c r="IE431" s="766"/>
      <c r="IF431" s="770"/>
      <c r="IG431" s="770"/>
      <c r="IH431" s="770"/>
      <c r="II431" s="770"/>
      <c r="IJ431" s="770"/>
      <c r="IK431" s="766"/>
      <c r="IL431" s="770"/>
      <c r="IM431" s="770"/>
      <c r="IN431" s="770"/>
      <c r="IO431" s="296"/>
      <c r="IP431" s="770"/>
      <c r="IQ431" s="766"/>
      <c r="IR431" s="770"/>
      <c r="IS431" s="770"/>
      <c r="IT431" s="770"/>
      <c r="IU431" s="770"/>
      <c r="IV431" s="770"/>
      <c r="IW431" s="770"/>
      <c r="IX431" s="770"/>
      <c r="IY431" s="770"/>
      <c r="IZ431" s="770"/>
      <c r="JA431" s="770"/>
      <c r="JB431" s="770"/>
      <c r="JC431" s="1772"/>
      <c r="JD431" s="302"/>
      <c r="JE431" s="766"/>
      <c r="JF431" s="770"/>
      <c r="JG431" s="770"/>
      <c r="JH431" s="307"/>
      <c r="JI431" s="712" t="str">
        <f>IF(SUM(JT431,JU431)=JJ431,"ok","review")</f>
        <v>ok</v>
      </c>
      <c r="JJ431" s="770">
        <v>1</v>
      </c>
      <c r="JK431" s="1047" t="s">
        <v>13559</v>
      </c>
      <c r="JL431" s="766"/>
      <c r="JM431" s="766"/>
      <c r="JN431" s="766">
        <v>1</v>
      </c>
      <c r="JO431" s="766"/>
      <c r="JP431" s="766"/>
      <c r="JQ431" s="766"/>
      <c r="JR431" s="770"/>
      <c r="JS431" s="770"/>
      <c r="JT431" s="766">
        <f t="shared" si="117"/>
        <v>1</v>
      </c>
      <c r="JU431" s="766">
        <f t="shared" si="117"/>
        <v>0</v>
      </c>
      <c r="JV431" s="712" t="str">
        <f t="shared" si="112"/>
        <v>ok</v>
      </c>
      <c r="JW431" s="712" t="str">
        <f t="shared" si="113"/>
        <v>ok</v>
      </c>
      <c r="JX431" s="770"/>
      <c r="JY431" s="770"/>
      <c r="JZ431" s="770"/>
      <c r="KA431" s="770"/>
      <c r="KB431" s="770"/>
      <c r="KC431" s="770"/>
      <c r="KD431" s="770">
        <v>1</v>
      </c>
      <c r="KE431" s="770"/>
      <c r="KF431" s="770"/>
      <c r="KG431" s="770"/>
      <c r="KH431" s="770"/>
      <c r="KI431" s="770"/>
      <c r="KJ431" s="770">
        <f t="shared" si="103"/>
        <v>1</v>
      </c>
      <c r="KK431" s="770">
        <f t="shared" si="103"/>
        <v>0</v>
      </c>
      <c r="KL431" s="712" t="str">
        <f t="shared" si="114"/>
        <v>ok</v>
      </c>
      <c r="KM431" s="712" t="str">
        <f t="shared" si="115"/>
        <v>ok</v>
      </c>
      <c r="KN431" s="770" t="s">
        <v>783</v>
      </c>
      <c r="KO431" s="770"/>
      <c r="KP431" s="770"/>
      <c r="KQ431" s="770"/>
      <c r="KR431" s="770"/>
      <c r="KS431" s="770"/>
      <c r="KT431" s="770"/>
      <c r="KU431" s="770"/>
      <c r="KV431" s="770"/>
      <c r="KW431" s="770"/>
      <c r="KX431" s="770"/>
      <c r="KY431" s="770"/>
      <c r="KZ431" s="770"/>
      <c r="LA431" s="770"/>
      <c r="LB431" s="770"/>
      <c r="LC431" s="770"/>
      <c r="LD431" s="770"/>
      <c r="LE431" s="770"/>
      <c r="LF431" s="770"/>
      <c r="LG431" s="770"/>
      <c r="LH431" s="770"/>
      <c r="LI431" s="770"/>
      <c r="LJ431" s="770"/>
      <c r="LK431" s="770"/>
      <c r="LL431" s="770">
        <v>1</v>
      </c>
      <c r="LM431" s="770"/>
      <c r="LN431" s="766">
        <f t="shared" si="111"/>
        <v>1</v>
      </c>
      <c r="LO431" s="766">
        <f t="shared" si="111"/>
        <v>0</v>
      </c>
      <c r="LP431" s="770"/>
      <c r="LQ431" s="770"/>
      <c r="LR431" s="770"/>
      <c r="LS431" s="770"/>
      <c r="LT431" s="712" t="str">
        <f t="shared" si="116"/>
        <v>OK</v>
      </c>
      <c r="LU431" s="770"/>
      <c r="LV431" s="770"/>
      <c r="LW431" s="770"/>
      <c r="LX431" s="769"/>
      <c r="LY431" s="766" t="str">
        <f t="shared" si="119"/>
        <v/>
      </c>
      <c r="LZ431" s="1709"/>
      <c r="MA431" s="1709"/>
      <c r="MB431" s="1709"/>
      <c r="MC431" s="1679">
        <f t="shared" si="110"/>
        <v>0</v>
      </c>
      <c r="MD431" s="1709"/>
      <c r="ME431" s="1709"/>
      <c r="MF431" s="1709"/>
      <c r="MG431" s="1680">
        <v>0</v>
      </c>
      <c r="MH431" s="770"/>
      <c r="MI431" s="302"/>
      <c r="MJ431" s="302"/>
      <c r="MK431" s="302"/>
      <c r="ML431" s="302"/>
      <c r="MM431" s="302"/>
      <c r="MN431" s="302"/>
      <c r="MO431" s="302"/>
      <c r="MP431" s="302"/>
      <c r="MQ431" s="302"/>
      <c r="MR431" s="302"/>
      <c r="MS431" s="302"/>
      <c r="MT431" s="302"/>
      <c r="MU431" s="302"/>
      <c r="MV431" s="302"/>
      <c r="MW431" s="302"/>
      <c r="MX431" s="302"/>
      <c r="MY431" s="1682"/>
      <c r="MZ431" s="770"/>
      <c r="NA431" s="770"/>
      <c r="NB431" s="770"/>
      <c r="NC431" s="770"/>
      <c r="ND431" s="770"/>
      <c r="NE431" s="770"/>
      <c r="NF431" s="770"/>
      <c r="NG431" s="770"/>
      <c r="NH431" s="770"/>
      <c r="NI431" s="770"/>
      <c r="NJ431" s="770"/>
      <c r="NK431" s="770"/>
      <c r="NL431" s="770"/>
      <c r="NM431" s="770"/>
      <c r="NN431" s="770"/>
      <c r="NO431" s="770"/>
      <c r="NP431" s="770"/>
      <c r="NQ431" s="770"/>
      <c r="NR431" s="770"/>
      <c r="NS431" s="770"/>
      <c r="NT431" s="770"/>
      <c r="NU431" s="770"/>
      <c r="NV431" s="770"/>
      <c r="NW431" s="770"/>
      <c r="NX431" s="770"/>
      <c r="NY431" s="770"/>
      <c r="NZ431" s="770"/>
      <c r="OA431" s="770"/>
      <c r="OB431" s="770"/>
      <c r="OC431" s="770"/>
      <c r="OD431" s="770"/>
      <c r="OE431" s="770"/>
      <c r="OF431" s="770"/>
      <c r="OG431" s="770"/>
      <c r="OH431" s="770"/>
      <c r="OI431" s="770"/>
      <c r="OJ431" s="770"/>
      <c r="OK431" s="770"/>
      <c r="OL431" s="770"/>
      <c r="OM431" s="770"/>
      <c r="ON431" s="770"/>
      <c r="OO431" s="770"/>
      <c r="OP431" s="770"/>
      <c r="OQ431" s="770"/>
      <c r="OR431" s="770"/>
      <c r="OS431" s="770"/>
      <c r="OT431" s="770"/>
      <c r="OU431" s="770"/>
      <c r="OV431" s="770"/>
      <c r="OW431" s="770"/>
      <c r="OX431" s="770"/>
      <c r="OY431" s="770"/>
      <c r="OZ431" s="770"/>
      <c r="PA431" s="770"/>
      <c r="PB431" s="770"/>
      <c r="PC431" s="770"/>
      <c r="PD431" s="770"/>
      <c r="PE431" s="770"/>
      <c r="PF431" s="770"/>
      <c r="PG431" s="770"/>
      <c r="PH431" s="770"/>
      <c r="PI431" s="770"/>
      <c r="PJ431" s="770"/>
      <c r="PK431" s="770"/>
      <c r="PL431" s="770"/>
      <c r="PM431" s="770"/>
      <c r="PN431" s="770"/>
      <c r="PO431" s="770"/>
      <c r="PP431" s="770"/>
      <c r="PQ431" s="770"/>
      <c r="PR431" s="770"/>
      <c r="PS431" s="770"/>
      <c r="PT431" s="770"/>
      <c r="PU431" s="770"/>
      <c r="PV431" s="770"/>
      <c r="PW431" s="770"/>
      <c r="PX431" s="770"/>
      <c r="PY431" s="770"/>
      <c r="PZ431" s="770"/>
      <c r="QA431" s="770"/>
      <c r="QB431" s="770"/>
      <c r="QC431" s="770"/>
      <c r="QD431" s="770"/>
      <c r="QE431" s="770"/>
      <c r="QF431" s="770"/>
      <c r="QG431" s="770"/>
      <c r="QH431" s="770"/>
      <c r="QI431" s="770"/>
      <c r="QJ431" s="770"/>
      <c r="QK431" s="770"/>
      <c r="QL431" s="770"/>
      <c r="QM431" s="770"/>
      <c r="QN431" s="770"/>
      <c r="QO431" s="770"/>
      <c r="QP431" s="770"/>
      <c r="QQ431" s="770"/>
      <c r="QR431" s="770"/>
      <c r="QS431" s="770"/>
      <c r="QT431" s="770"/>
      <c r="QU431" s="770"/>
      <c r="QV431" s="770"/>
      <c r="QW431" s="770"/>
      <c r="QX431" s="770"/>
      <c r="QY431" s="770"/>
      <c r="QZ431" s="770"/>
      <c r="RA431" s="770"/>
      <c r="RB431" s="770"/>
      <c r="RC431" s="770"/>
      <c r="RD431" s="770"/>
      <c r="RE431" s="770"/>
      <c r="RF431" s="304"/>
      <c r="RG431" s="770"/>
      <c r="RH431" s="302"/>
      <c r="RI431" s="770"/>
      <c r="RJ431" s="770" t="s">
        <v>13560</v>
      </c>
      <c r="RK431" s="770" t="s">
        <v>13552</v>
      </c>
      <c r="RL431" s="1710"/>
      <c r="RM431" s="12"/>
      <c r="RN431" s="1711"/>
      <c r="RO431" s="133" t="s">
        <v>2353</v>
      </c>
      <c r="RP431" s="11"/>
      <c r="RQ431" s="11"/>
      <c r="RR431" s="311" t="s">
        <v>12452</v>
      </c>
      <c r="RS431" s="1139" t="s">
        <v>12980</v>
      </c>
      <c r="RT431" s="11"/>
      <c r="RU431" s="11"/>
      <c r="RV431" s="6" t="s">
        <v>12355</v>
      </c>
      <c r="RW431" s="11" t="s">
        <v>7395</v>
      </c>
      <c r="RX431" s="11" t="s">
        <v>2336</v>
      </c>
      <c r="RY431" s="11"/>
      <c r="RZ431" s="11"/>
      <c r="SA431" s="6"/>
      <c r="SB431" s="11"/>
      <c r="SC431" s="11"/>
    </row>
    <row r="432" spans="1:497" ht="12.75" customHeight="1">
      <c r="A432" s="311" t="s">
        <v>14201</v>
      </c>
      <c r="B432" s="752" t="s">
        <v>7681</v>
      </c>
      <c r="C432" s="133" t="s">
        <v>2353</v>
      </c>
      <c r="D432" s="94" t="s">
        <v>2370</v>
      </c>
      <c r="E432" s="770" t="s">
        <v>2365</v>
      </c>
      <c r="F432" s="770" t="s">
        <v>2371</v>
      </c>
      <c r="G432" s="770" t="s">
        <v>18</v>
      </c>
      <c r="H432" s="770"/>
      <c r="I432" s="295"/>
      <c r="J432" s="94" t="s">
        <v>2355</v>
      </c>
      <c r="K432" s="766" t="s">
        <v>2357</v>
      </c>
      <c r="L432" s="766" t="s">
        <v>2276</v>
      </c>
      <c r="M432" s="770"/>
      <c r="N432" s="770"/>
      <c r="O432" s="770"/>
      <c r="P432" s="94" t="s">
        <v>2372</v>
      </c>
      <c r="Q432" s="1088">
        <v>21869</v>
      </c>
      <c r="R432" s="297">
        <v>58</v>
      </c>
      <c r="S432" s="770" t="s">
        <v>18</v>
      </c>
      <c r="T432" s="770"/>
      <c r="U432" s="298"/>
      <c r="V432" s="770" t="s">
        <v>783</v>
      </c>
      <c r="W432" s="770"/>
      <c r="X432" s="770"/>
      <c r="Y432" s="770" t="s">
        <v>2365</v>
      </c>
      <c r="Z432" s="770" t="s">
        <v>708</v>
      </c>
      <c r="AA432" s="770" t="s">
        <v>739</v>
      </c>
      <c r="AB432" s="770" t="s">
        <v>710</v>
      </c>
      <c r="AC432" s="770" t="s">
        <v>724</v>
      </c>
      <c r="AD432" s="770" t="s">
        <v>711</v>
      </c>
      <c r="AE432" s="770" t="s">
        <v>909</v>
      </c>
      <c r="AF432" s="770" t="s">
        <v>798</v>
      </c>
      <c r="AG432" s="770"/>
      <c r="AH432" s="770"/>
      <c r="AI432" s="770"/>
      <c r="AJ432" s="770"/>
      <c r="AK432" s="770" t="s">
        <v>1101</v>
      </c>
      <c r="AL432" s="531"/>
      <c r="AM432" s="780"/>
      <c r="AN432" s="532"/>
      <c r="AO432" s="766"/>
      <c r="AP432" s="1773"/>
      <c r="AQ432" s="1775"/>
      <c r="AR432" s="1775"/>
      <c r="AS432" s="770"/>
      <c r="AT432" s="770"/>
      <c r="AU432" s="770"/>
      <c r="AV432" s="770"/>
      <c r="AW432" s="770"/>
      <c r="AX432" s="770"/>
      <c r="AY432" s="770"/>
      <c r="AZ432" s="770"/>
      <c r="BA432" s="770"/>
      <c r="BB432" s="770"/>
      <c r="BC432" s="770"/>
      <c r="BD432" s="770"/>
      <c r="BE432" s="770"/>
      <c r="BF432" s="302"/>
      <c r="BG432" s="302"/>
      <c r="BH432" s="770"/>
      <c r="BI432" s="770"/>
      <c r="BJ432" s="770"/>
      <c r="BK432" s="770"/>
      <c r="BL432" s="770"/>
      <c r="BM432" s="770" t="s">
        <v>1238</v>
      </c>
      <c r="BN432" s="770" t="s">
        <v>1256</v>
      </c>
      <c r="BO432" s="770"/>
      <c r="BP432" s="765"/>
      <c r="BQ432" s="773"/>
      <c r="BR432" s="774"/>
      <c r="BS432" s="766" t="s">
        <v>1105</v>
      </c>
      <c r="BT432" s="766"/>
      <c r="BU432" s="770"/>
      <c r="BV432" s="770"/>
      <c r="BW432" s="770"/>
      <c r="BX432" s="302"/>
      <c r="BY432" s="770"/>
      <c r="BZ432" s="302"/>
      <c r="CA432" s="770"/>
      <c r="CB432" s="770"/>
      <c r="CC432" s="770"/>
      <c r="CD432" s="770"/>
      <c r="CE432" s="770"/>
      <c r="CF432" s="1753"/>
      <c r="CG432" s="1754"/>
      <c r="CH432" s="770"/>
      <c r="CI432" s="770"/>
      <c r="CJ432" s="770"/>
      <c r="CK432" s="770"/>
      <c r="CL432" s="770"/>
      <c r="CM432" s="770"/>
      <c r="CN432" s="770"/>
      <c r="CO432" s="770"/>
      <c r="CP432" s="770"/>
      <c r="CQ432" s="770"/>
      <c r="CR432" s="302"/>
      <c r="CS432" s="770"/>
      <c r="CT432" s="770"/>
      <c r="CU432" s="305"/>
      <c r="CV432" s="770"/>
      <c r="CW432" s="770"/>
      <c r="CX432" s="770"/>
      <c r="CY432" s="770"/>
      <c r="CZ432" s="770"/>
      <c r="DA432" s="306"/>
      <c r="DB432" s="770"/>
      <c r="DC432" s="770"/>
      <c r="DD432" s="770"/>
      <c r="DE432" s="300"/>
      <c r="DF432" s="770"/>
      <c r="DG432" s="770"/>
      <c r="DH432" s="770"/>
      <c r="DI432" s="770"/>
      <c r="DJ432" s="770"/>
      <c r="DK432" s="770"/>
      <c r="DL432" s="770"/>
      <c r="DM432" s="770"/>
      <c r="DN432" s="322"/>
      <c r="DO432" s="770"/>
      <c r="DP432" s="770"/>
      <c r="DQ432" s="770"/>
      <c r="DR432" s="770"/>
      <c r="DS432" s="307"/>
      <c r="DT432" s="770"/>
      <c r="DU432" s="770"/>
      <c r="DV432" s="770"/>
      <c r="DW432" s="306"/>
      <c r="DX432" s="306"/>
      <c r="DY432" s="770"/>
      <c r="DZ432" s="770"/>
      <c r="EA432" s="770"/>
      <c r="EB432" s="770"/>
      <c r="EC432" s="770"/>
      <c r="ED432" s="770"/>
      <c r="EE432" s="770"/>
      <c r="EF432" s="770"/>
      <c r="EG432" s="770"/>
      <c r="EH432" s="770"/>
      <c r="EI432" s="770"/>
      <c r="EJ432" s="770"/>
      <c r="EK432" s="770"/>
      <c r="EL432" s="770"/>
      <c r="EM432" s="770"/>
      <c r="EN432" s="770"/>
      <c r="EO432" s="770"/>
      <c r="EP432" s="94"/>
      <c r="EQ432" s="770"/>
      <c r="ER432" s="770"/>
      <c r="ES432" s="770"/>
      <c r="ET432" s="770"/>
      <c r="EU432" s="770"/>
      <c r="EV432" s="770"/>
      <c r="EW432" s="770"/>
      <c r="EX432" s="770"/>
      <c r="EY432" s="770"/>
      <c r="EZ432" s="770"/>
      <c r="FA432" s="770"/>
      <c r="FB432" s="770"/>
      <c r="FC432" s="770"/>
      <c r="FD432" s="302"/>
      <c r="FE432" s="770"/>
      <c r="FF432" s="770"/>
      <c r="FG432" s="770"/>
      <c r="FH432" s="770" t="s">
        <v>1306</v>
      </c>
      <c r="FI432" s="770">
        <v>1</v>
      </c>
      <c r="FJ432" s="770" t="s">
        <v>2363</v>
      </c>
      <c r="FK432" s="770"/>
      <c r="FL432" s="770" t="s">
        <v>2365</v>
      </c>
      <c r="FM432" s="147">
        <v>500</v>
      </c>
      <c r="FN432" s="302"/>
      <c r="FO432" s="302"/>
      <c r="FP432" s="766" t="s">
        <v>1602</v>
      </c>
      <c r="FQ432" s="766" t="s">
        <v>1660</v>
      </c>
      <c r="FR432" s="770"/>
      <c r="FS432" s="770"/>
      <c r="FT432" s="770"/>
      <c r="FU432" s="770"/>
      <c r="FV432" s="770"/>
      <c r="FW432" s="770"/>
      <c r="FX432" s="770"/>
      <c r="FY432" s="770"/>
      <c r="FZ432" s="770"/>
      <c r="GA432" s="770"/>
      <c r="GB432" s="770"/>
      <c r="GC432" s="308"/>
      <c r="GD432" s="297"/>
      <c r="GE432" s="770"/>
      <c r="GF432" s="302"/>
      <c r="GG432" s="302"/>
      <c r="GH432" s="770" t="s">
        <v>1791</v>
      </c>
      <c r="GI432" s="770" t="s">
        <v>1008</v>
      </c>
      <c r="GJ432" s="770"/>
      <c r="GK432" s="770" t="s">
        <v>2345</v>
      </c>
      <c r="GL432" s="770"/>
      <c r="GM432" s="770"/>
      <c r="GN432" s="299"/>
      <c r="GO432" s="770"/>
      <c r="GP432" s="770"/>
      <c r="GQ432" s="770"/>
      <c r="GR432" s="770"/>
      <c r="GS432" s="770"/>
      <c r="GT432" s="770"/>
      <c r="GU432" s="770"/>
      <c r="GV432" s="770"/>
      <c r="GW432" s="770" t="s">
        <v>1207</v>
      </c>
      <c r="GX432" s="770"/>
      <c r="GY432" s="770" t="s">
        <v>1208</v>
      </c>
      <c r="GZ432" s="770" t="s">
        <v>1208</v>
      </c>
      <c r="HA432" s="770" t="s">
        <v>1208</v>
      </c>
      <c r="HB432" s="770" t="s">
        <v>1208</v>
      </c>
      <c r="HC432" s="770" t="s">
        <v>1208</v>
      </c>
      <c r="HD432" s="770" t="s">
        <v>1208</v>
      </c>
      <c r="HE432" s="770" t="s">
        <v>1208</v>
      </c>
      <c r="HF432" s="770"/>
      <c r="HG432" s="770"/>
      <c r="HH432" s="770"/>
      <c r="HI432" s="770"/>
      <c r="HJ432" s="770"/>
      <c r="HK432" s="770"/>
      <c r="HL432" s="770"/>
      <c r="HM432" s="770"/>
      <c r="HN432" s="770"/>
      <c r="HO432" s="770"/>
      <c r="HP432" s="770"/>
      <c r="HQ432" s="770"/>
      <c r="HR432" s="770"/>
      <c r="HS432" s="770"/>
      <c r="HT432" s="770"/>
      <c r="HU432" s="770"/>
      <c r="HV432" s="770"/>
      <c r="HW432" s="770"/>
      <c r="HX432" s="770"/>
      <c r="HY432" s="770"/>
      <c r="HZ432" s="770"/>
      <c r="IA432" s="770"/>
      <c r="IB432" s="14" t="e">
        <f>IF(#REF!&gt;0,IF(#REF!&lt;=10000,"Y",""),"")</f>
        <v>#REF!</v>
      </c>
      <c r="IC432" s="770"/>
      <c r="ID432" s="770"/>
      <c r="IE432" s="766"/>
      <c r="IF432" s="770"/>
      <c r="IG432" s="770"/>
      <c r="IH432" s="770"/>
      <c r="II432" s="770"/>
      <c r="IJ432" s="770"/>
      <c r="IK432" s="766"/>
      <c r="IL432" s="770"/>
      <c r="IM432" s="770"/>
      <c r="IN432" s="770"/>
      <c r="IO432" s="296"/>
      <c r="IP432" s="770"/>
      <c r="IQ432" s="770"/>
      <c r="IR432" s="770"/>
      <c r="IS432" s="770"/>
      <c r="IT432" s="770"/>
      <c r="IU432" s="770"/>
      <c r="IV432" s="770"/>
      <c r="IW432" s="770"/>
      <c r="IX432" s="770"/>
      <c r="IY432" s="770"/>
      <c r="IZ432" s="770"/>
      <c r="JA432" s="770"/>
      <c r="JB432" s="770"/>
      <c r="JC432" s="1772"/>
      <c r="JD432" s="302"/>
      <c r="JE432" s="766"/>
      <c r="JF432" s="770"/>
      <c r="JG432" s="770"/>
      <c r="JH432" s="307"/>
      <c r="JI432" s="307"/>
      <c r="JJ432" s="770">
        <v>1</v>
      </c>
      <c r="JK432" s="1047" t="s">
        <v>13561</v>
      </c>
      <c r="JL432" s="766"/>
      <c r="JM432" s="766"/>
      <c r="JN432" s="766"/>
      <c r="JO432" s="766">
        <v>1</v>
      </c>
      <c r="JP432" s="766"/>
      <c r="JQ432" s="766"/>
      <c r="JR432" s="770"/>
      <c r="JS432" s="770"/>
      <c r="JT432" s="766">
        <f t="shared" si="117"/>
        <v>0</v>
      </c>
      <c r="JU432" s="766">
        <f t="shared" si="117"/>
        <v>1</v>
      </c>
      <c r="JV432" s="712" t="str">
        <f t="shared" si="112"/>
        <v>ok</v>
      </c>
      <c r="JW432" s="712" t="str">
        <f t="shared" si="113"/>
        <v>ok</v>
      </c>
      <c r="JX432" s="770"/>
      <c r="JY432" s="770"/>
      <c r="JZ432" s="770"/>
      <c r="KA432" s="770"/>
      <c r="KB432" s="770"/>
      <c r="KC432" s="770"/>
      <c r="KD432" s="770"/>
      <c r="KE432" s="770">
        <v>1</v>
      </c>
      <c r="KF432" s="770"/>
      <c r="KG432" s="770"/>
      <c r="KH432" s="770"/>
      <c r="KI432" s="770"/>
      <c r="KJ432" s="770">
        <f t="shared" si="103"/>
        <v>0</v>
      </c>
      <c r="KK432" s="770">
        <f t="shared" si="103"/>
        <v>1</v>
      </c>
      <c r="KL432" s="712" t="str">
        <f t="shared" si="114"/>
        <v>ok</v>
      </c>
      <c r="KM432" s="712" t="str">
        <f t="shared" si="115"/>
        <v>ok</v>
      </c>
      <c r="KN432" s="770" t="s">
        <v>783</v>
      </c>
      <c r="KO432" s="770"/>
      <c r="KP432" s="770"/>
      <c r="KQ432" s="770"/>
      <c r="KR432" s="770"/>
      <c r="KS432" s="770"/>
      <c r="KT432" s="770"/>
      <c r="KU432" s="770"/>
      <c r="KV432" s="770"/>
      <c r="KW432" s="770"/>
      <c r="KX432" s="770"/>
      <c r="KY432" s="770"/>
      <c r="KZ432" s="770"/>
      <c r="LA432" s="770"/>
      <c r="LB432" s="770"/>
      <c r="LC432" s="770"/>
      <c r="LD432" s="770"/>
      <c r="LE432" s="770"/>
      <c r="LF432" s="770"/>
      <c r="LG432" s="770"/>
      <c r="LH432" s="770"/>
      <c r="LI432" s="770"/>
      <c r="LJ432" s="770"/>
      <c r="LK432" s="770"/>
      <c r="LL432" s="770"/>
      <c r="LM432" s="770">
        <v>1</v>
      </c>
      <c r="LN432" s="766">
        <f t="shared" si="111"/>
        <v>0</v>
      </c>
      <c r="LO432" s="766">
        <f t="shared" si="111"/>
        <v>1</v>
      </c>
      <c r="LP432" s="770"/>
      <c r="LQ432" s="770"/>
      <c r="LR432" s="770"/>
      <c r="LS432" s="770"/>
      <c r="LT432" s="712" t="str">
        <f t="shared" si="116"/>
        <v>OK</v>
      </c>
      <c r="LU432" s="770"/>
      <c r="LV432" s="770"/>
      <c r="LW432" s="770"/>
      <c r="LX432" s="769"/>
      <c r="LY432" s="766" t="str">
        <f t="shared" si="119"/>
        <v/>
      </c>
      <c r="LZ432" s="1709"/>
      <c r="MA432" s="1709"/>
      <c r="MB432" s="1709"/>
      <c r="MC432" s="1679">
        <f t="shared" si="110"/>
        <v>0</v>
      </c>
      <c r="MD432" s="1709"/>
      <c r="ME432" s="1709"/>
      <c r="MF432" s="1709"/>
      <c r="MG432" s="1680">
        <v>0</v>
      </c>
      <c r="MH432" s="770"/>
      <c r="MI432" s="302"/>
      <c r="MJ432" s="302"/>
      <c r="MK432" s="302"/>
      <c r="ML432" s="302"/>
      <c r="MM432" s="302"/>
      <c r="MN432" s="302"/>
      <c r="MO432" s="302"/>
      <c r="MP432" s="302"/>
      <c r="MQ432" s="302"/>
      <c r="MR432" s="302"/>
      <c r="MS432" s="302"/>
      <c r="MT432" s="302"/>
      <c r="MU432" s="302"/>
      <c r="MV432" s="302"/>
      <c r="MW432" s="302"/>
      <c r="MX432" s="302"/>
      <c r="MY432" s="1682"/>
      <c r="MZ432" s="770"/>
      <c r="NA432" s="770"/>
      <c r="NB432" s="770"/>
      <c r="NC432" s="770"/>
      <c r="ND432" s="770"/>
      <c r="NE432" s="770"/>
      <c r="NF432" s="770"/>
      <c r="NG432" s="770"/>
      <c r="NH432" s="770"/>
      <c r="NI432" s="770"/>
      <c r="NJ432" s="770"/>
      <c r="NK432" s="770"/>
      <c r="NL432" s="770"/>
      <c r="NM432" s="770"/>
      <c r="NN432" s="770"/>
      <c r="NO432" s="770"/>
      <c r="NP432" s="770"/>
      <c r="NQ432" s="770"/>
      <c r="NR432" s="770"/>
      <c r="NS432" s="770"/>
      <c r="NT432" s="770"/>
      <c r="NU432" s="770"/>
      <c r="NV432" s="770"/>
      <c r="NW432" s="770"/>
      <c r="NX432" s="770"/>
      <c r="NY432" s="770"/>
      <c r="NZ432" s="770"/>
      <c r="OA432" s="770"/>
      <c r="OB432" s="770"/>
      <c r="OC432" s="770"/>
      <c r="OD432" s="770"/>
      <c r="OE432" s="770"/>
      <c r="OF432" s="770"/>
      <c r="OG432" s="770"/>
      <c r="OH432" s="770"/>
      <c r="OI432" s="770"/>
      <c r="OJ432" s="770"/>
      <c r="OK432" s="770"/>
      <c r="OL432" s="770"/>
      <c r="OM432" s="770"/>
      <c r="ON432" s="770"/>
      <c r="OO432" s="770"/>
      <c r="OP432" s="770"/>
      <c r="OQ432" s="770"/>
      <c r="OR432" s="770"/>
      <c r="OS432" s="770"/>
      <c r="OT432" s="770"/>
      <c r="OU432" s="770"/>
      <c r="OV432" s="770"/>
      <c r="OW432" s="770"/>
      <c r="OX432" s="770"/>
      <c r="OY432" s="770"/>
      <c r="OZ432" s="770"/>
      <c r="PA432" s="770"/>
      <c r="PB432" s="770"/>
      <c r="PC432" s="770"/>
      <c r="PD432" s="770"/>
      <c r="PE432" s="770"/>
      <c r="PF432" s="770"/>
      <c r="PG432" s="770"/>
      <c r="PH432" s="770"/>
      <c r="PI432" s="770"/>
      <c r="PJ432" s="770"/>
      <c r="PK432" s="770"/>
      <c r="PL432" s="770"/>
      <c r="PM432" s="770"/>
      <c r="PN432" s="770"/>
      <c r="PO432" s="770"/>
      <c r="PP432" s="770"/>
      <c r="PQ432" s="770"/>
      <c r="PR432" s="770"/>
      <c r="PS432" s="770"/>
      <c r="PT432" s="770"/>
      <c r="PU432" s="770"/>
      <c r="PV432" s="770"/>
      <c r="PW432" s="770"/>
      <c r="PX432" s="770"/>
      <c r="PY432" s="770"/>
      <c r="PZ432" s="770"/>
      <c r="QA432" s="770"/>
      <c r="QB432" s="770"/>
      <c r="QC432" s="770"/>
      <c r="QD432" s="770"/>
      <c r="QE432" s="770"/>
      <c r="QF432" s="770"/>
      <c r="QG432" s="770"/>
      <c r="QH432" s="770"/>
      <c r="QI432" s="770"/>
      <c r="QJ432" s="770"/>
      <c r="QK432" s="770"/>
      <c r="QL432" s="770"/>
      <c r="QM432" s="770"/>
      <c r="QN432" s="770"/>
      <c r="QO432" s="770"/>
      <c r="QP432" s="770"/>
      <c r="QQ432" s="770"/>
      <c r="QR432" s="770"/>
      <c r="QS432" s="770"/>
      <c r="QT432" s="770"/>
      <c r="QU432" s="770"/>
      <c r="QV432" s="770"/>
      <c r="QW432" s="770"/>
      <c r="QX432" s="770"/>
      <c r="QY432" s="770"/>
      <c r="QZ432" s="770"/>
      <c r="RA432" s="770"/>
      <c r="RB432" s="770"/>
      <c r="RC432" s="770"/>
      <c r="RD432" s="770"/>
      <c r="RE432" s="770"/>
      <c r="RF432" s="304"/>
      <c r="RG432" s="770"/>
      <c r="RH432" s="302"/>
      <c r="RI432" s="770"/>
      <c r="RJ432" s="770" t="s">
        <v>13561</v>
      </c>
      <c r="RK432" s="770" t="s">
        <v>13552</v>
      </c>
      <c r="RL432" s="1710"/>
      <c r="RM432" s="12"/>
      <c r="RN432" s="1711"/>
      <c r="RO432" s="133" t="s">
        <v>2353</v>
      </c>
      <c r="RP432" s="11"/>
      <c r="RQ432" s="11"/>
      <c r="RR432" s="311" t="s">
        <v>12452</v>
      </c>
      <c r="RS432" s="1139" t="s">
        <v>12980</v>
      </c>
      <c r="RT432" s="11"/>
      <c r="RU432" s="11"/>
      <c r="RV432" s="6" t="s">
        <v>7421</v>
      </c>
      <c r="RW432" s="11" t="s">
        <v>7679</v>
      </c>
      <c r="RX432" s="11" t="s">
        <v>2353</v>
      </c>
      <c r="RY432" s="11"/>
      <c r="RZ432" s="11"/>
      <c r="SA432" s="6"/>
      <c r="SB432" s="11"/>
      <c r="SC432" s="11"/>
    </row>
    <row r="433" spans="1:497" ht="12.75" customHeight="1">
      <c r="A433" s="311" t="s">
        <v>14201</v>
      </c>
      <c r="B433" s="752" t="s">
        <v>5568</v>
      </c>
      <c r="C433" s="133" t="s">
        <v>2353</v>
      </c>
      <c r="D433" s="94" t="s">
        <v>2374</v>
      </c>
      <c r="E433" s="770" t="s">
        <v>2365</v>
      </c>
      <c r="F433" s="770" t="s">
        <v>2371</v>
      </c>
      <c r="G433" s="770" t="s">
        <v>18</v>
      </c>
      <c r="H433" s="770"/>
      <c r="I433" s="295"/>
      <c r="J433" s="94" t="s">
        <v>2355</v>
      </c>
      <c r="K433" s="770"/>
      <c r="L433" s="770"/>
      <c r="M433" s="770"/>
      <c r="N433" s="770"/>
      <c r="O433" s="770"/>
      <c r="P433" s="94" t="s">
        <v>2359</v>
      </c>
      <c r="Q433" s="1088">
        <v>25943</v>
      </c>
      <c r="R433" s="297">
        <v>46</v>
      </c>
      <c r="S433" s="770" t="s">
        <v>10</v>
      </c>
      <c r="T433" s="770"/>
      <c r="U433" s="298"/>
      <c r="V433" s="770" t="s">
        <v>768</v>
      </c>
      <c r="W433" s="770"/>
      <c r="X433" s="770"/>
      <c r="Y433" s="770" t="s">
        <v>2365</v>
      </c>
      <c r="Z433" s="770" t="s">
        <v>708</v>
      </c>
      <c r="AA433" s="770" t="s">
        <v>781</v>
      </c>
      <c r="AB433" s="770" t="s">
        <v>7275</v>
      </c>
      <c r="AC433" s="770" t="s">
        <v>724</v>
      </c>
      <c r="AD433" s="770"/>
      <c r="AE433" s="770"/>
      <c r="AF433" s="770" t="s">
        <v>798</v>
      </c>
      <c r="AG433" s="770"/>
      <c r="AH433" s="770"/>
      <c r="AI433" s="770"/>
      <c r="AJ433" s="770"/>
      <c r="AK433" s="770" t="s">
        <v>1101</v>
      </c>
      <c r="AL433" s="531"/>
      <c r="AM433" s="780"/>
      <c r="AN433" s="532"/>
      <c r="AO433" s="766"/>
      <c r="AP433" s="1773"/>
      <c r="AQ433" s="766"/>
      <c r="AR433" s="766"/>
      <c r="AS433" s="770"/>
      <c r="AT433" s="770"/>
      <c r="AU433" s="770"/>
      <c r="AV433" s="770"/>
      <c r="AW433" s="770"/>
      <c r="AX433" s="770"/>
      <c r="AY433" s="770"/>
      <c r="AZ433" s="770"/>
      <c r="BA433" s="770"/>
      <c r="BB433" s="770"/>
      <c r="BC433" s="770"/>
      <c r="BD433" s="770"/>
      <c r="BE433" s="770"/>
      <c r="BF433" s="302"/>
      <c r="BG433" s="302"/>
      <c r="BH433" s="770"/>
      <c r="BI433" s="770"/>
      <c r="BJ433" s="770"/>
      <c r="BK433" s="770"/>
      <c r="BL433" s="770"/>
      <c r="BM433" s="770" t="s">
        <v>1238</v>
      </c>
      <c r="BN433" s="770" t="s">
        <v>1256</v>
      </c>
      <c r="BO433" s="770"/>
      <c r="BP433" s="765"/>
      <c r="BQ433" s="773"/>
      <c r="BR433" s="774"/>
      <c r="BS433" s="766" t="s">
        <v>1105</v>
      </c>
      <c r="BT433" s="770"/>
      <c r="BU433" s="770"/>
      <c r="BV433" s="770"/>
      <c r="BW433" s="770"/>
      <c r="BX433" s="302"/>
      <c r="BY433" s="770"/>
      <c r="BZ433" s="302"/>
      <c r="CA433" s="770"/>
      <c r="CB433" s="770"/>
      <c r="CC433" s="770"/>
      <c r="CD433" s="770"/>
      <c r="CE433" s="770"/>
      <c r="CF433" s="1753"/>
      <c r="CG433" s="1754"/>
      <c r="CH433" s="770"/>
      <c r="CI433" s="770"/>
      <c r="CJ433" s="770"/>
      <c r="CK433" s="770"/>
      <c r="CL433" s="770"/>
      <c r="CM433" s="770"/>
      <c r="CN433" s="770"/>
      <c r="CO433" s="770"/>
      <c r="CP433" s="770"/>
      <c r="CQ433" s="770"/>
      <c r="CR433" s="302"/>
      <c r="CS433" s="770"/>
      <c r="CT433" s="770"/>
      <c r="CU433" s="305"/>
      <c r="CV433" s="770"/>
      <c r="CW433" s="770"/>
      <c r="CX433" s="770"/>
      <c r="CY433" s="770"/>
      <c r="CZ433" s="770"/>
      <c r="DA433" s="306"/>
      <c r="DB433" s="770"/>
      <c r="DC433" s="770"/>
      <c r="DD433" s="770"/>
      <c r="DE433" s="300"/>
      <c r="DF433" s="770"/>
      <c r="DG433" s="770"/>
      <c r="DH433" s="770"/>
      <c r="DI433" s="770"/>
      <c r="DJ433" s="770"/>
      <c r="DK433" s="770"/>
      <c r="DL433" s="770"/>
      <c r="DM433" s="770"/>
      <c r="DN433" s="322"/>
      <c r="DO433" s="770"/>
      <c r="DP433" s="770"/>
      <c r="DQ433" s="770"/>
      <c r="DR433" s="770"/>
      <c r="DS433" s="307"/>
      <c r="DT433" s="770"/>
      <c r="DU433" s="770"/>
      <c r="DV433" s="770"/>
      <c r="DW433" s="306"/>
      <c r="DX433" s="306"/>
      <c r="DY433" s="770"/>
      <c r="DZ433" s="770"/>
      <c r="EA433" s="770"/>
      <c r="EB433" s="770"/>
      <c r="EC433" s="770"/>
      <c r="ED433" s="770"/>
      <c r="EE433" s="770"/>
      <c r="EF433" s="770"/>
      <c r="EG433" s="770"/>
      <c r="EH433" s="770"/>
      <c r="EI433" s="770"/>
      <c r="EJ433" s="770"/>
      <c r="EK433" s="770"/>
      <c r="EL433" s="770"/>
      <c r="EM433" s="770"/>
      <c r="EN433" s="770"/>
      <c r="EO433" s="770"/>
      <c r="EP433" s="94"/>
      <c r="EQ433" s="770"/>
      <c r="ER433" s="770"/>
      <c r="ES433" s="770"/>
      <c r="ET433" s="770"/>
      <c r="EU433" s="770"/>
      <c r="EV433" s="770"/>
      <c r="EW433" s="770"/>
      <c r="EX433" s="770"/>
      <c r="EY433" s="770"/>
      <c r="EZ433" s="770"/>
      <c r="FA433" s="770"/>
      <c r="FB433" s="770"/>
      <c r="FC433" s="770"/>
      <c r="FD433" s="302"/>
      <c r="FE433" s="770"/>
      <c r="FF433" s="770"/>
      <c r="FG433" s="770"/>
      <c r="FH433" s="770" t="s">
        <v>1306</v>
      </c>
      <c r="FI433" s="770"/>
      <c r="FJ433" s="770" t="s">
        <v>2363</v>
      </c>
      <c r="FK433" s="770"/>
      <c r="FL433" s="770" t="s">
        <v>2365</v>
      </c>
      <c r="FM433" s="147">
        <v>500</v>
      </c>
      <c r="FN433" s="302"/>
      <c r="FO433" s="302"/>
      <c r="FP433" s="766" t="s">
        <v>1602</v>
      </c>
      <c r="FQ433" s="766" t="s">
        <v>1660</v>
      </c>
      <c r="FR433" s="770"/>
      <c r="FS433" s="770"/>
      <c r="FT433" s="770"/>
      <c r="FU433" s="770"/>
      <c r="FV433" s="770"/>
      <c r="FW433" s="770"/>
      <c r="FX433" s="770"/>
      <c r="FY433" s="770"/>
      <c r="FZ433" s="770"/>
      <c r="GA433" s="770"/>
      <c r="GB433" s="770"/>
      <c r="GC433" s="308"/>
      <c r="GD433" s="297"/>
      <c r="GE433" s="770"/>
      <c r="GF433" s="302"/>
      <c r="GG433" s="302"/>
      <c r="GH433" s="770"/>
      <c r="GI433" s="770"/>
      <c r="GJ433" s="770"/>
      <c r="GK433" s="770"/>
      <c r="GL433" s="770"/>
      <c r="GM433" s="770"/>
      <c r="GN433" s="299"/>
      <c r="GO433" s="770"/>
      <c r="GP433" s="770"/>
      <c r="GQ433" s="770"/>
      <c r="GR433" s="770"/>
      <c r="GS433" s="770"/>
      <c r="GT433" s="770"/>
      <c r="GU433" s="770"/>
      <c r="GV433" s="770"/>
      <c r="GW433" s="770"/>
      <c r="GX433" s="770"/>
      <c r="GY433" s="770"/>
      <c r="GZ433" s="770"/>
      <c r="HA433" s="770"/>
      <c r="HB433" s="770"/>
      <c r="HC433" s="770"/>
      <c r="HD433" s="770"/>
      <c r="HE433" s="770"/>
      <c r="HF433" s="770"/>
      <c r="HG433" s="770"/>
      <c r="HH433" s="770"/>
      <c r="HI433" s="770"/>
      <c r="HJ433" s="770"/>
      <c r="HK433" s="770"/>
      <c r="HL433" s="770"/>
      <c r="HM433" s="770"/>
      <c r="HN433" s="770"/>
      <c r="HO433" s="770"/>
      <c r="HP433" s="770"/>
      <c r="HQ433" s="770"/>
      <c r="HR433" s="770"/>
      <c r="HS433" s="770"/>
      <c r="HT433" s="770"/>
      <c r="HU433" s="770"/>
      <c r="HV433" s="770"/>
      <c r="HW433" s="770"/>
      <c r="HX433" s="770"/>
      <c r="HY433" s="770"/>
      <c r="HZ433" s="770"/>
      <c r="IA433" s="770"/>
      <c r="IB433" s="14" t="e">
        <f>IF(#REF!&gt;0,IF(#REF!&lt;=10000,"Y",""),"")</f>
        <v>#REF!</v>
      </c>
      <c r="IC433" s="770"/>
      <c r="ID433" s="770"/>
      <c r="IE433" s="770"/>
      <c r="IF433" s="770"/>
      <c r="IG433" s="770"/>
      <c r="IH433" s="770"/>
      <c r="II433" s="770"/>
      <c r="IJ433" s="770"/>
      <c r="IK433" s="770"/>
      <c r="IL433" s="770"/>
      <c r="IM433" s="770"/>
      <c r="IN433" s="770"/>
      <c r="IO433" s="296"/>
      <c r="IP433" s="770"/>
      <c r="IQ433" s="770"/>
      <c r="IR433" s="770"/>
      <c r="IS433" s="770"/>
      <c r="IT433" s="770"/>
      <c r="IU433" s="770"/>
      <c r="IV433" s="770"/>
      <c r="IW433" s="770"/>
      <c r="IX433" s="770"/>
      <c r="IY433" s="770"/>
      <c r="IZ433" s="770"/>
      <c r="JA433" s="770"/>
      <c r="JB433" s="770"/>
      <c r="JC433" s="770"/>
      <c r="JD433" s="302"/>
      <c r="JE433" s="770"/>
      <c r="JF433" s="770"/>
      <c r="JG433" s="770"/>
      <c r="JH433" s="307"/>
      <c r="JI433" s="307"/>
      <c r="JJ433" s="770">
        <v>1</v>
      </c>
      <c r="JK433" s="1047" t="s">
        <v>13562</v>
      </c>
      <c r="JL433" s="766"/>
      <c r="JM433" s="766"/>
      <c r="JN433" s="766"/>
      <c r="JO433" s="766">
        <v>1</v>
      </c>
      <c r="JP433" s="766"/>
      <c r="JQ433" s="766"/>
      <c r="JR433" s="770"/>
      <c r="JS433" s="770"/>
      <c r="JT433" s="766">
        <f t="shared" si="117"/>
        <v>0</v>
      </c>
      <c r="JU433" s="766">
        <f t="shared" si="117"/>
        <v>1</v>
      </c>
      <c r="JV433" s="712" t="str">
        <f t="shared" si="112"/>
        <v>ok</v>
      </c>
      <c r="JW433" s="712" t="str">
        <f t="shared" si="113"/>
        <v>ok</v>
      </c>
      <c r="JX433" s="770"/>
      <c r="JY433" s="770"/>
      <c r="JZ433" s="770"/>
      <c r="KA433" s="770"/>
      <c r="KB433" s="770"/>
      <c r="KC433" s="770"/>
      <c r="KD433" s="770"/>
      <c r="KE433" s="770">
        <v>1</v>
      </c>
      <c r="KF433" s="770"/>
      <c r="KG433" s="770"/>
      <c r="KH433" s="770"/>
      <c r="KI433" s="770"/>
      <c r="KJ433" s="770">
        <f t="shared" si="103"/>
        <v>0</v>
      </c>
      <c r="KK433" s="770">
        <f t="shared" si="103"/>
        <v>1</v>
      </c>
      <c r="KL433" s="712" t="str">
        <f t="shared" si="114"/>
        <v>ok</v>
      </c>
      <c r="KM433" s="712" t="str">
        <f t="shared" si="115"/>
        <v>ok</v>
      </c>
      <c r="KN433" s="770" t="s">
        <v>768</v>
      </c>
      <c r="KO433" s="770"/>
      <c r="KP433" s="770"/>
      <c r="KQ433" s="770"/>
      <c r="KR433" s="770"/>
      <c r="KS433" s="770"/>
      <c r="KT433" s="770"/>
      <c r="KU433" s="770"/>
      <c r="KV433" s="770"/>
      <c r="KW433" s="770"/>
      <c r="KX433" s="770"/>
      <c r="KY433" s="770"/>
      <c r="KZ433" s="770"/>
      <c r="LA433" s="770"/>
      <c r="LB433" s="770"/>
      <c r="LC433" s="770"/>
      <c r="LD433" s="770"/>
      <c r="LE433" s="770"/>
      <c r="LF433" s="770"/>
      <c r="LG433" s="770"/>
      <c r="LH433" s="770"/>
      <c r="LI433" s="770"/>
      <c r="LJ433" s="770"/>
      <c r="LK433" s="770"/>
      <c r="LL433" s="770"/>
      <c r="LM433" s="770">
        <v>1</v>
      </c>
      <c r="LN433" s="766">
        <f t="shared" si="111"/>
        <v>0</v>
      </c>
      <c r="LO433" s="766">
        <f t="shared" si="111"/>
        <v>1</v>
      </c>
      <c r="LP433" s="770"/>
      <c r="LQ433" s="770"/>
      <c r="LR433" s="770"/>
      <c r="LS433" s="770"/>
      <c r="LT433" s="712" t="str">
        <f t="shared" si="116"/>
        <v>OK</v>
      </c>
      <c r="LU433" s="770"/>
      <c r="LV433" s="770"/>
      <c r="LW433" s="770"/>
      <c r="LX433" s="769"/>
      <c r="LY433" s="766" t="str">
        <f t="shared" si="119"/>
        <v/>
      </c>
      <c r="LZ433" s="1709"/>
      <c r="MA433" s="1709"/>
      <c r="MB433" s="1709"/>
      <c r="MC433" s="1679">
        <f t="shared" si="110"/>
        <v>0</v>
      </c>
      <c r="MD433" s="1709"/>
      <c r="ME433" s="1709"/>
      <c r="MF433" s="1709"/>
      <c r="MG433" s="1680">
        <v>0</v>
      </c>
      <c r="MH433" s="770"/>
      <c r="MI433" s="302"/>
      <c r="MJ433" s="302"/>
      <c r="MK433" s="302"/>
      <c r="ML433" s="302"/>
      <c r="MM433" s="302"/>
      <c r="MN433" s="302"/>
      <c r="MO433" s="302"/>
      <c r="MP433" s="302"/>
      <c r="MQ433" s="302"/>
      <c r="MR433" s="302"/>
      <c r="MS433" s="302"/>
      <c r="MT433" s="302"/>
      <c r="MU433" s="302"/>
      <c r="MV433" s="302"/>
      <c r="MW433" s="302"/>
      <c r="MX433" s="302"/>
      <c r="MY433" s="1682"/>
      <c r="MZ433" s="770"/>
      <c r="NA433" s="770"/>
      <c r="NB433" s="770"/>
      <c r="NC433" s="770"/>
      <c r="ND433" s="770"/>
      <c r="NE433" s="770"/>
      <c r="NF433" s="770"/>
      <c r="NG433" s="770"/>
      <c r="NH433" s="770"/>
      <c r="NI433" s="770"/>
      <c r="NJ433" s="770"/>
      <c r="NK433" s="770"/>
      <c r="NL433" s="770"/>
      <c r="NM433" s="770"/>
      <c r="NN433" s="770"/>
      <c r="NO433" s="770"/>
      <c r="NP433" s="770"/>
      <c r="NQ433" s="770"/>
      <c r="NR433" s="770"/>
      <c r="NS433" s="770"/>
      <c r="NT433" s="770"/>
      <c r="NU433" s="770"/>
      <c r="NV433" s="770"/>
      <c r="NW433" s="770"/>
      <c r="NX433" s="770"/>
      <c r="NY433" s="770"/>
      <c r="NZ433" s="770"/>
      <c r="OA433" s="770"/>
      <c r="OB433" s="770"/>
      <c r="OC433" s="770"/>
      <c r="OD433" s="770"/>
      <c r="OE433" s="770"/>
      <c r="OF433" s="770"/>
      <c r="OG433" s="770"/>
      <c r="OH433" s="770"/>
      <c r="OI433" s="770"/>
      <c r="OJ433" s="770"/>
      <c r="OK433" s="770"/>
      <c r="OL433" s="770"/>
      <c r="OM433" s="770"/>
      <c r="ON433" s="770"/>
      <c r="OO433" s="770"/>
      <c r="OP433" s="770"/>
      <c r="OQ433" s="770"/>
      <c r="OR433" s="770"/>
      <c r="OS433" s="770"/>
      <c r="OT433" s="770"/>
      <c r="OU433" s="770"/>
      <c r="OV433" s="770"/>
      <c r="OW433" s="770"/>
      <c r="OX433" s="770"/>
      <c r="OY433" s="770"/>
      <c r="OZ433" s="770"/>
      <c r="PA433" s="770"/>
      <c r="PB433" s="770"/>
      <c r="PC433" s="770"/>
      <c r="PD433" s="770"/>
      <c r="PE433" s="770"/>
      <c r="PF433" s="770"/>
      <c r="PG433" s="770"/>
      <c r="PH433" s="770"/>
      <c r="PI433" s="770"/>
      <c r="PJ433" s="770"/>
      <c r="PK433" s="770"/>
      <c r="PL433" s="770"/>
      <c r="PM433" s="770"/>
      <c r="PN433" s="770"/>
      <c r="PO433" s="770"/>
      <c r="PP433" s="770"/>
      <c r="PQ433" s="770"/>
      <c r="PR433" s="770"/>
      <c r="PS433" s="770"/>
      <c r="PT433" s="770"/>
      <c r="PU433" s="770"/>
      <c r="PV433" s="770"/>
      <c r="PW433" s="770"/>
      <c r="PX433" s="770"/>
      <c r="PY433" s="770"/>
      <c r="PZ433" s="770"/>
      <c r="QA433" s="770"/>
      <c r="QB433" s="770"/>
      <c r="QC433" s="770"/>
      <c r="QD433" s="770"/>
      <c r="QE433" s="770"/>
      <c r="QF433" s="770"/>
      <c r="QG433" s="770"/>
      <c r="QH433" s="770"/>
      <c r="QI433" s="770"/>
      <c r="QJ433" s="770"/>
      <c r="QK433" s="770"/>
      <c r="QL433" s="770"/>
      <c r="QM433" s="770"/>
      <c r="QN433" s="770"/>
      <c r="QO433" s="770"/>
      <c r="QP433" s="770"/>
      <c r="QQ433" s="770"/>
      <c r="QR433" s="770"/>
      <c r="QS433" s="770"/>
      <c r="QT433" s="770"/>
      <c r="QU433" s="770"/>
      <c r="QV433" s="770"/>
      <c r="QW433" s="770"/>
      <c r="QX433" s="770"/>
      <c r="QY433" s="770"/>
      <c r="QZ433" s="770"/>
      <c r="RA433" s="770"/>
      <c r="RB433" s="770"/>
      <c r="RC433" s="770"/>
      <c r="RD433" s="770"/>
      <c r="RE433" s="770"/>
      <c r="RF433" s="304"/>
      <c r="RG433" s="770"/>
      <c r="RH433" s="302"/>
      <c r="RI433" s="770"/>
      <c r="RJ433" s="770" t="s">
        <v>2360</v>
      </c>
      <c r="RK433" s="770" t="s">
        <v>13556</v>
      </c>
      <c r="RL433" s="1710"/>
      <c r="RM433" s="12"/>
      <c r="RN433" s="1711"/>
      <c r="RO433" s="133" t="s">
        <v>2353</v>
      </c>
      <c r="RP433" s="11"/>
      <c r="RQ433" s="11"/>
      <c r="RR433" s="311" t="s">
        <v>12452</v>
      </c>
      <c r="RS433" s="1139" t="s">
        <v>12980</v>
      </c>
      <c r="RT433" s="11"/>
      <c r="RU433" s="11"/>
      <c r="RV433" s="6" t="s">
        <v>12452</v>
      </c>
      <c r="RW433" s="11" t="s">
        <v>7680</v>
      </c>
      <c r="RX433" s="11" t="s">
        <v>2353</v>
      </c>
      <c r="RY433" s="11"/>
      <c r="RZ433" s="11"/>
      <c r="SA433" s="6"/>
      <c r="SB433" s="11"/>
      <c r="SC433" s="11"/>
    </row>
    <row r="434" spans="1:497" ht="12.75" customHeight="1">
      <c r="A434" s="311" t="s">
        <v>14201</v>
      </c>
      <c r="B434" s="752" t="s">
        <v>5569</v>
      </c>
      <c r="C434" s="133" t="s">
        <v>2353</v>
      </c>
      <c r="D434" s="94" t="s">
        <v>2337</v>
      </c>
      <c r="E434" s="770" t="s">
        <v>2365</v>
      </c>
      <c r="F434" s="770" t="s">
        <v>28</v>
      </c>
      <c r="G434" s="770" t="s">
        <v>10</v>
      </c>
      <c r="H434" s="770"/>
      <c r="I434" s="295" t="s">
        <v>2376</v>
      </c>
      <c r="J434" s="94" t="s">
        <v>2337</v>
      </c>
      <c r="K434" s="770"/>
      <c r="L434" s="770"/>
      <c r="M434" s="770"/>
      <c r="N434" s="770"/>
      <c r="O434" s="770"/>
      <c r="P434" s="94" t="s">
        <v>2375</v>
      </c>
      <c r="Q434" s="1088">
        <v>26823</v>
      </c>
      <c r="R434" s="297">
        <v>44</v>
      </c>
      <c r="S434" s="770" t="s">
        <v>10</v>
      </c>
      <c r="T434" s="770"/>
      <c r="U434" s="298" t="s">
        <v>2376</v>
      </c>
      <c r="V434" s="770" t="s">
        <v>707</v>
      </c>
      <c r="W434" s="770"/>
      <c r="X434" s="770"/>
      <c r="Y434" s="770" t="s">
        <v>2365</v>
      </c>
      <c r="Z434" s="770" t="s">
        <v>708</v>
      </c>
      <c r="AA434" s="770" t="s">
        <v>781</v>
      </c>
      <c r="AB434" s="770" t="s">
        <v>710</v>
      </c>
      <c r="AC434" s="770" t="s">
        <v>724</v>
      </c>
      <c r="AD434" s="770" t="s">
        <v>711</v>
      </c>
      <c r="AE434" s="770"/>
      <c r="AF434" s="770"/>
      <c r="AG434" s="770"/>
      <c r="AH434" s="770"/>
      <c r="AI434" s="770"/>
      <c r="AJ434" s="770"/>
      <c r="AK434" s="770" t="s">
        <v>1101</v>
      </c>
      <c r="AL434" s="531"/>
      <c r="AM434" s="780"/>
      <c r="AN434" s="532"/>
      <c r="AO434" s="766"/>
      <c r="AP434" s="1773"/>
      <c r="AQ434" s="766"/>
      <c r="AR434" s="766"/>
      <c r="AS434" s="770"/>
      <c r="AT434" s="770"/>
      <c r="AU434" s="770"/>
      <c r="AV434" s="770"/>
      <c r="AW434" s="770"/>
      <c r="AX434" s="770"/>
      <c r="AY434" s="770"/>
      <c r="AZ434" s="770"/>
      <c r="BA434" s="770"/>
      <c r="BB434" s="770"/>
      <c r="BC434" s="770"/>
      <c r="BD434" s="770"/>
      <c r="BE434" s="770"/>
      <c r="BF434" s="302"/>
      <c r="BG434" s="302"/>
      <c r="BH434" s="770"/>
      <c r="BI434" s="770"/>
      <c r="BJ434" s="770"/>
      <c r="BK434" s="770"/>
      <c r="BL434" s="770"/>
      <c r="BM434" s="770" t="s">
        <v>1238</v>
      </c>
      <c r="BN434" s="770" t="s">
        <v>1256</v>
      </c>
      <c r="BO434" s="770"/>
      <c r="BP434" s="765"/>
      <c r="BQ434" s="773"/>
      <c r="BR434" s="774"/>
      <c r="BS434" s="766" t="s">
        <v>1105</v>
      </c>
      <c r="BT434" s="766"/>
      <c r="BU434" s="770"/>
      <c r="BV434" s="770"/>
      <c r="BW434" s="770"/>
      <c r="BX434" s="302"/>
      <c r="BY434" s="770"/>
      <c r="BZ434" s="302"/>
      <c r="CA434" s="770"/>
      <c r="CB434" s="770"/>
      <c r="CC434" s="770"/>
      <c r="CD434" s="770"/>
      <c r="CE434" s="770"/>
      <c r="CF434" s="1753"/>
      <c r="CG434" s="1754"/>
      <c r="CH434" s="770"/>
      <c r="CI434" s="770"/>
      <c r="CJ434" s="770"/>
      <c r="CK434" s="770"/>
      <c r="CL434" s="770"/>
      <c r="CM434" s="770"/>
      <c r="CN434" s="770"/>
      <c r="CO434" s="770"/>
      <c r="CP434" s="770"/>
      <c r="CQ434" s="770"/>
      <c r="CR434" s="302"/>
      <c r="CS434" s="770"/>
      <c r="CT434" s="770"/>
      <c r="CU434" s="305"/>
      <c r="CV434" s="770"/>
      <c r="CW434" s="770"/>
      <c r="CX434" s="770"/>
      <c r="CY434" s="770"/>
      <c r="CZ434" s="770"/>
      <c r="DA434" s="306"/>
      <c r="DB434" s="770"/>
      <c r="DC434" s="770"/>
      <c r="DD434" s="770"/>
      <c r="DE434" s="300"/>
      <c r="DF434" s="770"/>
      <c r="DG434" s="770"/>
      <c r="DH434" s="770"/>
      <c r="DI434" s="770"/>
      <c r="DJ434" s="770"/>
      <c r="DK434" s="770"/>
      <c r="DL434" s="770"/>
      <c r="DM434" s="770"/>
      <c r="DN434" s="322"/>
      <c r="DO434" s="770"/>
      <c r="DP434" s="770"/>
      <c r="DQ434" s="770"/>
      <c r="DR434" s="770"/>
      <c r="DS434" s="307"/>
      <c r="DT434" s="770"/>
      <c r="DU434" s="770"/>
      <c r="DV434" s="770"/>
      <c r="DW434" s="306"/>
      <c r="DX434" s="306"/>
      <c r="DY434" s="770"/>
      <c r="DZ434" s="770"/>
      <c r="EA434" s="770"/>
      <c r="EB434" s="770"/>
      <c r="EC434" s="770"/>
      <c r="ED434" s="770"/>
      <c r="EE434" s="770"/>
      <c r="EF434" s="770"/>
      <c r="EG434" s="770"/>
      <c r="EH434" s="770"/>
      <c r="EI434" s="770"/>
      <c r="EJ434" s="770"/>
      <c r="EK434" s="770"/>
      <c r="EL434" s="770"/>
      <c r="EM434" s="770"/>
      <c r="EN434" s="770"/>
      <c r="EO434" s="770"/>
      <c r="EP434" s="94"/>
      <c r="EQ434" s="770"/>
      <c r="ER434" s="770"/>
      <c r="ES434" s="770"/>
      <c r="ET434" s="770"/>
      <c r="EU434" s="770"/>
      <c r="EV434" s="770"/>
      <c r="EW434" s="770"/>
      <c r="EX434" s="770"/>
      <c r="EY434" s="770"/>
      <c r="EZ434" s="770"/>
      <c r="FA434" s="770"/>
      <c r="FB434" s="770"/>
      <c r="FC434" s="770"/>
      <c r="FD434" s="302"/>
      <c r="FE434" s="770"/>
      <c r="FF434" s="770"/>
      <c r="FG434" s="770"/>
      <c r="FH434" s="770" t="s">
        <v>1306</v>
      </c>
      <c r="FI434" s="770"/>
      <c r="FJ434" s="770" t="s">
        <v>2363</v>
      </c>
      <c r="FK434" s="770"/>
      <c r="FL434" s="770"/>
      <c r="FM434" s="147">
        <v>500</v>
      </c>
      <c r="FN434" s="302"/>
      <c r="FO434" s="302"/>
      <c r="FP434" s="766" t="s">
        <v>1602</v>
      </c>
      <c r="FQ434" s="766" t="s">
        <v>1660</v>
      </c>
      <c r="FR434" s="770"/>
      <c r="FS434" s="770"/>
      <c r="FT434" s="770"/>
      <c r="FU434" s="770"/>
      <c r="FV434" s="770"/>
      <c r="FW434" s="770"/>
      <c r="FX434" s="770"/>
      <c r="FY434" s="770"/>
      <c r="FZ434" s="770"/>
      <c r="GA434" s="770"/>
      <c r="GB434" s="770"/>
      <c r="GC434" s="308"/>
      <c r="GD434" s="297"/>
      <c r="GE434" s="770"/>
      <c r="GF434" s="302"/>
      <c r="GG434" s="302"/>
      <c r="GH434" s="770"/>
      <c r="GI434" s="770"/>
      <c r="GJ434" s="770"/>
      <c r="GK434" s="770"/>
      <c r="GL434" s="770"/>
      <c r="GM434" s="770"/>
      <c r="GN434" s="299"/>
      <c r="GO434" s="770"/>
      <c r="GP434" s="770"/>
      <c r="GQ434" s="770"/>
      <c r="GR434" s="770"/>
      <c r="GS434" s="770"/>
      <c r="GT434" s="770"/>
      <c r="GU434" s="770"/>
      <c r="GV434" s="770"/>
      <c r="GW434" s="770"/>
      <c r="GX434" s="770"/>
      <c r="GY434" s="770"/>
      <c r="GZ434" s="770"/>
      <c r="HA434" s="770"/>
      <c r="HB434" s="770"/>
      <c r="HC434" s="770"/>
      <c r="HD434" s="770"/>
      <c r="HE434" s="770"/>
      <c r="HF434" s="770"/>
      <c r="HG434" s="770"/>
      <c r="HH434" s="770"/>
      <c r="HI434" s="770"/>
      <c r="HJ434" s="770"/>
      <c r="HK434" s="770"/>
      <c r="HL434" s="770"/>
      <c r="HM434" s="770"/>
      <c r="HN434" s="770"/>
      <c r="HO434" s="770"/>
      <c r="HP434" s="770"/>
      <c r="HQ434" s="770"/>
      <c r="HR434" s="770"/>
      <c r="HS434" s="770"/>
      <c r="HT434" s="770"/>
      <c r="HU434" s="770"/>
      <c r="HV434" s="770"/>
      <c r="HW434" s="770"/>
      <c r="HX434" s="770"/>
      <c r="HY434" s="770"/>
      <c r="HZ434" s="770"/>
      <c r="IA434" s="770"/>
      <c r="IB434" s="14" t="e">
        <f>IF(#REF!&gt;0,IF(#REF!&lt;=10000,"Y",""),"")</f>
        <v>#REF!</v>
      </c>
      <c r="IC434" s="770"/>
      <c r="ID434" s="770"/>
      <c r="IE434" s="770"/>
      <c r="IF434" s="770"/>
      <c r="IG434" s="770"/>
      <c r="IH434" s="770"/>
      <c r="II434" s="770"/>
      <c r="IJ434" s="770"/>
      <c r="IK434" s="770"/>
      <c r="IL434" s="770"/>
      <c r="IM434" s="770"/>
      <c r="IN434" s="770"/>
      <c r="IO434" s="296"/>
      <c r="IP434" s="770"/>
      <c r="IQ434" s="770"/>
      <c r="IR434" s="770"/>
      <c r="IS434" s="770"/>
      <c r="IT434" s="770"/>
      <c r="IU434" s="770"/>
      <c r="IV434" s="770"/>
      <c r="IW434" s="770"/>
      <c r="IX434" s="770"/>
      <c r="IY434" s="770"/>
      <c r="IZ434" s="770"/>
      <c r="JA434" s="770"/>
      <c r="JB434" s="770"/>
      <c r="JC434" s="770"/>
      <c r="JD434" s="302"/>
      <c r="JE434" s="770"/>
      <c r="JF434" s="770"/>
      <c r="JG434" s="770"/>
      <c r="JH434" s="307"/>
      <c r="JI434" s="712" t="str">
        <f>IF(SUM(JT434,JU434)=JJ434,"ok","review")</f>
        <v>ok</v>
      </c>
      <c r="JJ434" s="770">
        <v>1</v>
      </c>
      <c r="JK434" s="1047" t="s">
        <v>9469</v>
      </c>
      <c r="JL434" s="766"/>
      <c r="JM434" s="766"/>
      <c r="JN434" s="766">
        <v>1</v>
      </c>
      <c r="JO434" s="766"/>
      <c r="JP434" s="766"/>
      <c r="JQ434" s="766"/>
      <c r="JR434" s="770"/>
      <c r="JS434" s="770"/>
      <c r="JT434" s="766">
        <f t="shared" si="117"/>
        <v>1</v>
      </c>
      <c r="JU434" s="766">
        <f t="shared" si="117"/>
        <v>0</v>
      </c>
      <c r="JV434" s="712" t="str">
        <f t="shared" si="112"/>
        <v>ok</v>
      </c>
      <c r="JW434" s="712" t="str">
        <f t="shared" si="113"/>
        <v>ok</v>
      </c>
      <c r="JX434" s="770"/>
      <c r="JY434" s="770"/>
      <c r="JZ434" s="770"/>
      <c r="KA434" s="770"/>
      <c r="KB434" s="770"/>
      <c r="KC434" s="770"/>
      <c r="KD434" s="770">
        <v>1</v>
      </c>
      <c r="KE434" s="770"/>
      <c r="KF434" s="770"/>
      <c r="KG434" s="770"/>
      <c r="KH434" s="770"/>
      <c r="KI434" s="770"/>
      <c r="KJ434" s="770">
        <f t="shared" si="103"/>
        <v>1</v>
      </c>
      <c r="KK434" s="770">
        <f t="shared" si="103"/>
        <v>0</v>
      </c>
      <c r="KL434" s="712" t="str">
        <f t="shared" si="114"/>
        <v>ok</v>
      </c>
      <c r="KM434" s="712" t="str">
        <f t="shared" si="115"/>
        <v>ok</v>
      </c>
      <c r="KN434" s="770" t="s">
        <v>707</v>
      </c>
      <c r="KO434" s="770"/>
      <c r="KP434" s="770"/>
      <c r="KQ434" s="770"/>
      <c r="KR434" s="770"/>
      <c r="KS434" s="770"/>
      <c r="KT434" s="770"/>
      <c r="KU434" s="770"/>
      <c r="KV434" s="770"/>
      <c r="KW434" s="770"/>
      <c r="KX434" s="770"/>
      <c r="KY434" s="770"/>
      <c r="KZ434" s="770"/>
      <c r="LA434" s="770"/>
      <c r="LB434" s="770"/>
      <c r="LC434" s="770"/>
      <c r="LD434" s="770"/>
      <c r="LE434" s="770"/>
      <c r="LF434" s="770"/>
      <c r="LG434" s="770"/>
      <c r="LH434" s="770"/>
      <c r="LI434" s="770"/>
      <c r="LJ434" s="770"/>
      <c r="LK434" s="770"/>
      <c r="LL434" s="770">
        <v>1</v>
      </c>
      <c r="LM434" s="770"/>
      <c r="LN434" s="766">
        <f t="shared" si="111"/>
        <v>1</v>
      </c>
      <c r="LO434" s="766">
        <f t="shared" si="111"/>
        <v>0</v>
      </c>
      <c r="LP434" s="770"/>
      <c r="LQ434" s="770"/>
      <c r="LR434" s="770"/>
      <c r="LS434" s="770"/>
      <c r="LT434" s="712" t="str">
        <f t="shared" si="116"/>
        <v>OK</v>
      </c>
      <c r="LU434" s="770"/>
      <c r="LV434" s="770"/>
      <c r="LW434" s="770"/>
      <c r="LX434" s="769"/>
      <c r="LY434" s="766" t="str">
        <f t="shared" si="119"/>
        <v/>
      </c>
      <c r="LZ434" s="1709"/>
      <c r="MA434" s="1709"/>
      <c r="MB434" s="1709"/>
      <c r="MC434" s="1679">
        <f t="shared" si="110"/>
        <v>0</v>
      </c>
      <c r="MD434" s="1709"/>
      <c r="ME434" s="1709"/>
      <c r="MF434" s="1709"/>
      <c r="MG434" s="1680">
        <v>0</v>
      </c>
      <c r="MH434" s="770"/>
      <c r="MI434" s="302"/>
      <c r="MJ434" s="302"/>
      <c r="MK434" s="302"/>
      <c r="ML434" s="302"/>
      <c r="MM434" s="302"/>
      <c r="MN434" s="302"/>
      <c r="MO434" s="302"/>
      <c r="MP434" s="302"/>
      <c r="MQ434" s="302"/>
      <c r="MR434" s="302"/>
      <c r="MS434" s="302"/>
      <c r="MT434" s="302"/>
      <c r="MU434" s="302"/>
      <c r="MV434" s="302"/>
      <c r="MW434" s="302"/>
      <c r="MX434" s="302"/>
      <c r="MY434" s="1682"/>
      <c r="MZ434" s="770"/>
      <c r="NA434" s="770"/>
      <c r="NB434" s="770"/>
      <c r="NC434" s="770"/>
      <c r="ND434" s="770"/>
      <c r="NE434" s="770"/>
      <c r="NF434" s="770"/>
      <c r="NG434" s="770"/>
      <c r="NH434" s="770"/>
      <c r="NI434" s="770"/>
      <c r="NJ434" s="770"/>
      <c r="NK434" s="770"/>
      <c r="NL434" s="770"/>
      <c r="NM434" s="770"/>
      <c r="NN434" s="770"/>
      <c r="NO434" s="770"/>
      <c r="NP434" s="770"/>
      <c r="NQ434" s="770"/>
      <c r="NR434" s="770"/>
      <c r="NS434" s="770"/>
      <c r="NT434" s="770"/>
      <c r="NU434" s="770"/>
      <c r="NV434" s="770"/>
      <c r="NW434" s="770"/>
      <c r="NX434" s="770"/>
      <c r="NY434" s="770"/>
      <c r="NZ434" s="770"/>
      <c r="OA434" s="770"/>
      <c r="OB434" s="770"/>
      <c r="OC434" s="770"/>
      <c r="OD434" s="770"/>
      <c r="OE434" s="770"/>
      <c r="OF434" s="770"/>
      <c r="OG434" s="770"/>
      <c r="OH434" s="770"/>
      <c r="OI434" s="770"/>
      <c r="OJ434" s="770"/>
      <c r="OK434" s="770"/>
      <c r="OL434" s="770"/>
      <c r="OM434" s="770"/>
      <c r="ON434" s="770"/>
      <c r="OO434" s="770"/>
      <c r="OP434" s="770"/>
      <c r="OQ434" s="770"/>
      <c r="OR434" s="770"/>
      <c r="OS434" s="770"/>
      <c r="OT434" s="770"/>
      <c r="OU434" s="770"/>
      <c r="OV434" s="770"/>
      <c r="OW434" s="770"/>
      <c r="OX434" s="770"/>
      <c r="OY434" s="770"/>
      <c r="OZ434" s="770"/>
      <c r="PA434" s="770"/>
      <c r="PB434" s="770"/>
      <c r="PC434" s="770"/>
      <c r="PD434" s="770"/>
      <c r="PE434" s="770"/>
      <c r="PF434" s="770"/>
      <c r="PG434" s="770"/>
      <c r="PH434" s="770"/>
      <c r="PI434" s="770"/>
      <c r="PJ434" s="770"/>
      <c r="PK434" s="770"/>
      <c r="PL434" s="770"/>
      <c r="PM434" s="770"/>
      <c r="PN434" s="770"/>
      <c r="PO434" s="770"/>
      <c r="PP434" s="770"/>
      <c r="PQ434" s="770"/>
      <c r="PR434" s="770"/>
      <c r="PS434" s="770"/>
      <c r="PT434" s="770"/>
      <c r="PU434" s="770"/>
      <c r="PV434" s="770"/>
      <c r="PW434" s="770"/>
      <c r="PX434" s="770"/>
      <c r="PY434" s="770"/>
      <c r="PZ434" s="770"/>
      <c r="QA434" s="770"/>
      <c r="QB434" s="770"/>
      <c r="QC434" s="770"/>
      <c r="QD434" s="770"/>
      <c r="QE434" s="770"/>
      <c r="QF434" s="770"/>
      <c r="QG434" s="770"/>
      <c r="QH434" s="770"/>
      <c r="QI434" s="770"/>
      <c r="QJ434" s="770"/>
      <c r="QK434" s="770"/>
      <c r="QL434" s="770"/>
      <c r="QM434" s="770"/>
      <c r="QN434" s="770"/>
      <c r="QO434" s="770"/>
      <c r="QP434" s="770"/>
      <c r="QQ434" s="770"/>
      <c r="QR434" s="770"/>
      <c r="QS434" s="770"/>
      <c r="QT434" s="770"/>
      <c r="QU434" s="770"/>
      <c r="QV434" s="770"/>
      <c r="QW434" s="770"/>
      <c r="QX434" s="770"/>
      <c r="QY434" s="770"/>
      <c r="QZ434" s="770"/>
      <c r="RA434" s="770"/>
      <c r="RB434" s="770"/>
      <c r="RC434" s="770"/>
      <c r="RD434" s="770"/>
      <c r="RE434" s="770"/>
      <c r="RF434" s="304"/>
      <c r="RG434" s="770"/>
      <c r="RH434" s="302"/>
      <c r="RI434" s="770"/>
      <c r="RJ434" s="770" t="s">
        <v>13559</v>
      </c>
      <c r="RK434" s="770" t="s">
        <v>13552</v>
      </c>
      <c r="RL434" s="1710"/>
      <c r="RM434" s="12"/>
      <c r="RN434" s="1711"/>
      <c r="RO434" s="133" t="s">
        <v>2353</v>
      </c>
      <c r="RP434" s="11"/>
      <c r="RQ434" s="11"/>
      <c r="RR434" s="311" t="s">
        <v>12452</v>
      </c>
      <c r="RS434" s="1139" t="s">
        <v>12980</v>
      </c>
      <c r="RT434" s="11"/>
      <c r="RU434" s="11"/>
      <c r="RV434" s="6" t="s">
        <v>12452</v>
      </c>
      <c r="RW434" s="11" t="s">
        <v>7681</v>
      </c>
      <c r="RX434" s="11" t="s">
        <v>2353</v>
      </c>
      <c r="RY434" s="11"/>
      <c r="RZ434" s="11"/>
      <c r="SA434" s="6"/>
      <c r="SB434" s="11"/>
      <c r="SC434" s="11"/>
    </row>
    <row r="435" spans="1:497" ht="12.75" customHeight="1">
      <c r="A435" s="19" t="s">
        <v>7421</v>
      </c>
      <c r="B435" s="1007" t="s">
        <v>7739</v>
      </c>
      <c r="C435" s="133" t="s">
        <v>2377</v>
      </c>
      <c r="D435" s="94" t="s">
        <v>2386</v>
      </c>
      <c r="E435" s="770" t="s">
        <v>7925</v>
      </c>
      <c r="F435" s="770" t="s">
        <v>28</v>
      </c>
      <c r="G435" s="770" t="s">
        <v>18</v>
      </c>
      <c r="H435" s="770"/>
      <c r="I435" s="295" t="s">
        <v>2379</v>
      </c>
      <c r="J435" s="94" t="s">
        <v>2386</v>
      </c>
      <c r="K435" s="766" t="s">
        <v>2357</v>
      </c>
      <c r="L435" s="766" t="s">
        <v>2276</v>
      </c>
      <c r="M435" s="770" t="s">
        <v>1238</v>
      </c>
      <c r="N435" s="770"/>
      <c r="O435" s="770" t="s">
        <v>2358</v>
      </c>
      <c r="P435" s="94" t="s">
        <v>2380</v>
      </c>
      <c r="Q435" s="1088">
        <v>26391</v>
      </c>
      <c r="R435" s="297">
        <v>46</v>
      </c>
      <c r="S435" s="770" t="s">
        <v>10</v>
      </c>
      <c r="T435" s="770"/>
      <c r="U435" s="295" t="s">
        <v>2379</v>
      </c>
      <c r="V435" s="770" t="s">
        <v>722</v>
      </c>
      <c r="W435" s="770"/>
      <c r="X435" s="770"/>
      <c r="Y435" s="770" t="s">
        <v>2378</v>
      </c>
      <c r="Z435" s="770" t="s">
        <v>708</v>
      </c>
      <c r="AA435" s="770" t="s">
        <v>739</v>
      </c>
      <c r="AB435" s="770" t="s">
        <v>710</v>
      </c>
      <c r="AC435" s="770" t="s">
        <v>724</v>
      </c>
      <c r="AD435" s="770"/>
      <c r="AE435" s="770"/>
      <c r="AF435" s="770" t="s">
        <v>798</v>
      </c>
      <c r="AG435" s="766" t="s">
        <v>1132</v>
      </c>
      <c r="AH435" s="766" t="s">
        <v>1096</v>
      </c>
      <c r="AI435" s="770"/>
      <c r="AJ435" s="770" t="s">
        <v>1137</v>
      </c>
      <c r="AK435" s="770" t="s">
        <v>1101</v>
      </c>
      <c r="AL435" s="531">
        <v>99.18</v>
      </c>
      <c r="AM435" s="780">
        <v>61.77</v>
      </c>
      <c r="AN435" s="532">
        <f>AM435/AL435</f>
        <v>0.62280701754385959</v>
      </c>
      <c r="AO435" s="766" t="s">
        <v>1105</v>
      </c>
      <c r="AP435" s="1773"/>
      <c r="AQ435" s="766"/>
      <c r="AR435" s="766"/>
      <c r="AS435" s="770"/>
      <c r="AT435" s="770"/>
      <c r="AU435" s="770"/>
      <c r="AV435" s="770"/>
      <c r="AW435" s="770"/>
      <c r="AX435" s="770"/>
      <c r="AY435" s="770"/>
      <c r="AZ435" s="770"/>
      <c r="BA435" s="770"/>
      <c r="BB435" s="770"/>
      <c r="BC435" s="770"/>
      <c r="BD435" s="770"/>
      <c r="BE435" s="770"/>
      <c r="BF435" s="302"/>
      <c r="BG435" s="302"/>
      <c r="BH435" s="770"/>
      <c r="BI435" s="770"/>
      <c r="BJ435" s="770"/>
      <c r="BK435" s="770" t="s">
        <v>1095</v>
      </c>
      <c r="BL435" s="770" t="s">
        <v>2381</v>
      </c>
      <c r="BM435" s="770" t="s">
        <v>8108</v>
      </c>
      <c r="BN435" s="770" t="s">
        <v>1230</v>
      </c>
      <c r="BO435" s="766" t="s">
        <v>1239</v>
      </c>
      <c r="BP435" s="1109">
        <v>99.18</v>
      </c>
      <c r="BQ435" s="780">
        <v>61.77</v>
      </c>
      <c r="BR435" s="774">
        <f>BQ435/BP435</f>
        <v>0.62280701754385959</v>
      </c>
      <c r="BS435" s="766" t="s">
        <v>1105</v>
      </c>
      <c r="BT435" s="766" t="s">
        <v>8133</v>
      </c>
      <c r="BU435" s="770" t="s">
        <v>1249</v>
      </c>
      <c r="BV435" s="770" t="s">
        <v>1247</v>
      </c>
      <c r="BW435" s="769"/>
      <c r="BX435" s="302"/>
      <c r="BY435" s="770"/>
      <c r="BZ435" s="302"/>
      <c r="CA435" s="770"/>
      <c r="CB435" s="770"/>
      <c r="CC435" s="770"/>
      <c r="CD435" s="770"/>
      <c r="CE435" s="770"/>
      <c r="CF435" s="1753"/>
      <c r="CG435" s="1754"/>
      <c r="CH435" s="770"/>
      <c r="CI435" s="770"/>
      <c r="CJ435" s="770"/>
      <c r="CK435" s="770"/>
      <c r="CL435" s="770"/>
      <c r="CM435" s="770"/>
      <c r="CN435" s="770"/>
      <c r="CO435" s="770"/>
      <c r="CP435" s="770"/>
      <c r="CQ435" s="770"/>
      <c r="CR435" s="302"/>
      <c r="CS435" s="770"/>
      <c r="CT435" s="770"/>
      <c r="CU435" s="305"/>
      <c r="CV435" s="770"/>
      <c r="CW435" s="770"/>
      <c r="CX435" s="770"/>
      <c r="CY435" s="770"/>
      <c r="CZ435" s="770"/>
      <c r="DA435" s="306"/>
      <c r="DB435" s="770"/>
      <c r="DC435" s="770"/>
      <c r="DD435" s="770"/>
      <c r="DE435" s="300"/>
      <c r="DF435" s="770"/>
      <c r="DG435" s="770"/>
      <c r="DH435" s="770"/>
      <c r="DI435" s="770"/>
      <c r="DJ435" s="770"/>
      <c r="DK435" s="770"/>
      <c r="DL435" s="770"/>
      <c r="DM435" s="770"/>
      <c r="DN435" s="322"/>
      <c r="DO435" s="770"/>
      <c r="DP435" s="770"/>
      <c r="DQ435" s="770"/>
      <c r="DR435" s="770"/>
      <c r="DS435" s="307"/>
      <c r="DT435" s="770"/>
      <c r="DU435" s="770"/>
      <c r="DV435" s="770"/>
      <c r="DW435" s="306"/>
      <c r="DX435" s="306"/>
      <c r="DY435" s="770"/>
      <c r="DZ435" s="770"/>
      <c r="EA435" s="770"/>
      <c r="EB435" s="770"/>
      <c r="EC435" s="770"/>
      <c r="ED435" s="770"/>
      <c r="EE435" s="770"/>
      <c r="EF435" s="770"/>
      <c r="EG435" s="770"/>
      <c r="EH435" s="770"/>
      <c r="EI435" s="770"/>
      <c r="EJ435" s="770"/>
      <c r="EK435" s="770"/>
      <c r="EL435" s="770"/>
      <c r="EM435" s="770"/>
      <c r="EN435" s="770"/>
      <c r="EO435" s="770"/>
      <c r="EP435" s="94"/>
      <c r="EQ435" s="770"/>
      <c r="ER435" s="770"/>
      <c r="ES435" s="770"/>
      <c r="ET435" s="770"/>
      <c r="EU435" s="770"/>
      <c r="EV435" s="770"/>
      <c r="EW435" s="770"/>
      <c r="EX435" s="770"/>
      <c r="EY435" s="770"/>
      <c r="EZ435" s="770"/>
      <c r="FA435" s="770"/>
      <c r="FB435" s="770"/>
      <c r="FC435" s="770"/>
      <c r="FD435" s="302"/>
      <c r="FE435" s="770"/>
      <c r="FF435" s="770"/>
      <c r="FG435" s="770"/>
      <c r="FH435" s="770" t="s">
        <v>478</v>
      </c>
      <c r="FI435" s="770">
        <v>2</v>
      </c>
      <c r="FJ435" s="770"/>
      <c r="FK435" s="770"/>
      <c r="FL435" s="770"/>
      <c r="FM435" s="302"/>
      <c r="FN435" s="302"/>
      <c r="FO435" s="302"/>
      <c r="FP435" s="766" t="s">
        <v>1602</v>
      </c>
      <c r="FQ435" s="766" t="s">
        <v>1660</v>
      </c>
      <c r="FR435" s="770" t="s">
        <v>1214</v>
      </c>
      <c r="FS435" s="770"/>
      <c r="FT435" s="770"/>
      <c r="FU435" s="770"/>
      <c r="FV435" s="770"/>
      <c r="FW435" s="770"/>
      <c r="FX435" s="770"/>
      <c r="FY435" s="770"/>
      <c r="FZ435" s="770"/>
      <c r="GA435" s="770"/>
      <c r="GB435" s="770" t="s">
        <v>796</v>
      </c>
      <c r="GC435" s="308" t="s">
        <v>2382</v>
      </c>
      <c r="GD435" s="297"/>
      <c r="GE435" s="770" t="s">
        <v>1214</v>
      </c>
      <c r="GF435" s="302"/>
      <c r="GG435" s="302"/>
      <c r="GH435" s="712" t="s">
        <v>1791</v>
      </c>
      <c r="GI435" s="770" t="s">
        <v>2352</v>
      </c>
      <c r="GJ435" s="770" t="s">
        <v>2383</v>
      </c>
      <c r="GK435" s="770" t="s">
        <v>2345</v>
      </c>
      <c r="GL435" s="770"/>
      <c r="GM435" s="770" t="s">
        <v>2384</v>
      </c>
      <c r="GN435" s="299">
        <v>2100</v>
      </c>
      <c r="GO435" s="770" t="s">
        <v>2385</v>
      </c>
      <c r="GP435" s="770"/>
      <c r="GQ435" s="770"/>
      <c r="GR435" s="770" t="s">
        <v>1208</v>
      </c>
      <c r="GS435" s="770"/>
      <c r="GT435" s="770"/>
      <c r="GU435" s="770"/>
      <c r="GV435" s="770"/>
      <c r="GW435" s="770" t="s">
        <v>1207</v>
      </c>
      <c r="GX435" s="770"/>
      <c r="GY435" s="770" t="s">
        <v>1208</v>
      </c>
      <c r="GZ435" s="770" t="s">
        <v>1208</v>
      </c>
      <c r="HA435" s="770" t="s">
        <v>1208</v>
      </c>
      <c r="HB435" s="770" t="s">
        <v>1208</v>
      </c>
      <c r="HC435" s="770" t="s">
        <v>1208</v>
      </c>
      <c r="HD435" s="770"/>
      <c r="HE435" s="770" t="s">
        <v>1208</v>
      </c>
      <c r="HF435" s="770"/>
      <c r="HG435" s="770"/>
      <c r="HH435" s="770"/>
      <c r="HI435" s="770" t="s">
        <v>1214</v>
      </c>
      <c r="HJ435" s="770"/>
      <c r="HK435" s="770"/>
      <c r="HL435" s="770" t="s">
        <v>1214</v>
      </c>
      <c r="HM435" s="770"/>
      <c r="HN435" s="770"/>
      <c r="HO435" s="770"/>
      <c r="HP435" s="770"/>
      <c r="HQ435" s="770"/>
      <c r="HR435" s="770"/>
      <c r="HS435" s="770"/>
      <c r="HT435" s="770"/>
      <c r="HU435" s="770"/>
      <c r="HV435" s="770"/>
      <c r="HW435" s="770"/>
      <c r="HX435" s="770"/>
      <c r="HY435" s="770"/>
      <c r="HZ435" s="770"/>
      <c r="IA435" s="770"/>
      <c r="IB435" s="14" t="e">
        <f>IF(#REF!&gt;0,IF(#REF!&lt;=10000,"Y",""),"")</f>
        <v>#REF!</v>
      </c>
      <c r="IC435" s="770" t="s">
        <v>1207</v>
      </c>
      <c r="ID435" s="770"/>
      <c r="IE435" s="770">
        <v>1</v>
      </c>
      <c r="IF435" s="770"/>
      <c r="IG435" s="770"/>
      <c r="IH435" s="770"/>
      <c r="II435" s="770"/>
      <c r="IJ435" s="770"/>
      <c r="IK435" s="766"/>
      <c r="IL435" s="766"/>
      <c r="IM435" s="770"/>
      <c r="IN435" s="770"/>
      <c r="IO435" s="296"/>
      <c r="IP435" s="770"/>
      <c r="IQ435" s="770"/>
      <c r="IR435" s="770"/>
      <c r="IS435" s="770"/>
      <c r="IT435" s="770"/>
      <c r="IU435" s="770"/>
      <c r="IV435" s="770"/>
      <c r="IW435" s="770"/>
      <c r="IX435" s="770"/>
      <c r="IY435" s="770"/>
      <c r="IZ435" s="770"/>
      <c r="JA435" s="770"/>
      <c r="JB435" s="770"/>
      <c r="JC435" s="770"/>
      <c r="JD435" s="302"/>
      <c r="JE435" s="770"/>
      <c r="JF435" s="770"/>
      <c r="JG435" s="770"/>
      <c r="JH435" s="307"/>
      <c r="JI435" s="307"/>
      <c r="JJ435" s="770">
        <v>6</v>
      </c>
      <c r="JK435" s="1139" t="s">
        <v>2387</v>
      </c>
      <c r="JL435" s="770"/>
      <c r="JM435" s="770"/>
      <c r="JN435" s="770">
        <v>3</v>
      </c>
      <c r="JO435" s="770">
        <v>3</v>
      </c>
      <c r="JP435" s="770"/>
      <c r="JQ435" s="770"/>
      <c r="JR435" s="770"/>
      <c r="JS435" s="770"/>
      <c r="JT435" s="766">
        <f t="shared" si="117"/>
        <v>3</v>
      </c>
      <c r="JU435" s="766">
        <f t="shared" si="117"/>
        <v>3</v>
      </c>
      <c r="JV435" s="712" t="str">
        <f t="shared" si="112"/>
        <v>ok</v>
      </c>
      <c r="JW435" s="712" t="str">
        <f t="shared" si="113"/>
        <v>ok</v>
      </c>
      <c r="JX435" s="766"/>
      <c r="JY435" s="766"/>
      <c r="JZ435" s="766"/>
      <c r="KA435" s="766"/>
      <c r="KB435" s="766">
        <v>2</v>
      </c>
      <c r="KC435" s="766">
        <v>2</v>
      </c>
      <c r="KD435" s="766">
        <v>1</v>
      </c>
      <c r="KE435" s="766">
        <v>1</v>
      </c>
      <c r="KF435" s="766"/>
      <c r="KG435" s="766"/>
      <c r="KH435" s="766"/>
      <c r="KI435" s="766"/>
      <c r="KJ435" s="770">
        <f t="shared" si="103"/>
        <v>3</v>
      </c>
      <c r="KK435" s="770">
        <f t="shared" si="103"/>
        <v>3</v>
      </c>
      <c r="KL435" s="712" t="str">
        <f t="shared" si="114"/>
        <v>ok</v>
      </c>
      <c r="KM435" s="712" t="str">
        <f t="shared" si="115"/>
        <v>ok</v>
      </c>
      <c r="KN435" s="770" t="s">
        <v>707</v>
      </c>
      <c r="KO435" s="770"/>
      <c r="KP435" s="766"/>
      <c r="KQ435" s="766"/>
      <c r="KR435" s="766"/>
      <c r="KS435" s="766"/>
      <c r="KT435" s="766">
        <v>1</v>
      </c>
      <c r="KU435" s="766">
        <v>1</v>
      </c>
      <c r="KV435" s="766"/>
      <c r="KW435" s="766"/>
      <c r="KX435" s="766">
        <v>1</v>
      </c>
      <c r="KY435" s="766"/>
      <c r="KZ435" s="766">
        <v>1</v>
      </c>
      <c r="LA435" s="766"/>
      <c r="LB435" s="766"/>
      <c r="LC435" s="766">
        <v>2</v>
      </c>
      <c r="LD435" s="766"/>
      <c r="LE435" s="766"/>
      <c r="LF435" s="766"/>
      <c r="LG435" s="766"/>
      <c r="LH435" s="766"/>
      <c r="LI435" s="766"/>
      <c r="LJ435" s="766"/>
      <c r="LK435" s="766"/>
      <c r="LL435" s="766"/>
      <c r="LM435" s="766"/>
      <c r="LN435" s="766">
        <f t="shared" si="111"/>
        <v>3</v>
      </c>
      <c r="LO435" s="766">
        <f t="shared" si="111"/>
        <v>3</v>
      </c>
      <c r="LP435" s="770">
        <v>1</v>
      </c>
      <c r="LQ435" s="770"/>
      <c r="LR435" s="770"/>
      <c r="LS435" s="770">
        <v>1</v>
      </c>
      <c r="LT435" s="712" t="str">
        <f t="shared" si="116"/>
        <v>OK</v>
      </c>
      <c r="LU435" s="770"/>
      <c r="LV435" s="770"/>
      <c r="LW435" s="770"/>
      <c r="LX435" s="769">
        <v>1</v>
      </c>
      <c r="LY435" s="766" t="str">
        <f t="shared" si="119"/>
        <v>within the BRGY</v>
      </c>
      <c r="LZ435" s="1709"/>
      <c r="MA435" s="1709"/>
      <c r="MB435" s="1709">
        <v>1000</v>
      </c>
      <c r="MC435" s="1679">
        <f t="shared" si="110"/>
        <v>1000</v>
      </c>
      <c r="MD435" s="1709"/>
      <c r="ME435" s="1709"/>
      <c r="MF435" s="1709">
        <v>30000</v>
      </c>
      <c r="MG435" s="1680">
        <f t="shared" si="118"/>
        <v>30000</v>
      </c>
      <c r="MH435" s="770" t="s">
        <v>3490</v>
      </c>
      <c r="MI435" s="302">
        <v>4500</v>
      </c>
      <c r="MJ435" s="302">
        <v>9000</v>
      </c>
      <c r="MK435" s="302">
        <v>1200</v>
      </c>
      <c r="ML435" s="302">
        <v>4000</v>
      </c>
      <c r="MM435" s="302">
        <v>100000</v>
      </c>
      <c r="MN435" s="302"/>
      <c r="MO435" s="302">
        <v>1600</v>
      </c>
      <c r="MP435" s="302">
        <v>2000</v>
      </c>
      <c r="MQ435" s="302">
        <v>600</v>
      </c>
      <c r="MR435" s="302">
        <v>600</v>
      </c>
      <c r="MS435" s="302">
        <v>40000</v>
      </c>
      <c r="MT435" s="302"/>
      <c r="MU435" s="302"/>
      <c r="MV435" s="302"/>
      <c r="MW435" s="302"/>
      <c r="MX435" s="302"/>
      <c r="MY435" s="1682">
        <f t="shared" si="102"/>
        <v>163500</v>
      </c>
      <c r="MZ435" s="770" t="s">
        <v>13370</v>
      </c>
      <c r="NA435" s="770" t="s">
        <v>13005</v>
      </c>
      <c r="NB435" s="766" t="s">
        <v>13371</v>
      </c>
      <c r="NC435" s="766" t="s">
        <v>13523</v>
      </c>
      <c r="ND435" s="770">
        <v>0</v>
      </c>
      <c r="NE435" s="770">
        <v>0</v>
      </c>
      <c r="NF435" s="770">
        <v>0</v>
      </c>
      <c r="NG435" s="770">
        <v>1</v>
      </c>
      <c r="NH435" s="770">
        <v>1</v>
      </c>
      <c r="NI435" s="770">
        <v>1</v>
      </c>
      <c r="NJ435" s="770">
        <v>0</v>
      </c>
      <c r="NK435" s="770">
        <v>0</v>
      </c>
      <c r="NL435" s="770">
        <v>1</v>
      </c>
      <c r="NM435" s="770">
        <v>1</v>
      </c>
      <c r="NN435" s="770">
        <v>0</v>
      </c>
      <c r="NO435" s="770">
        <v>0</v>
      </c>
      <c r="NP435" s="770">
        <v>0</v>
      </c>
      <c r="NQ435" s="770">
        <v>0</v>
      </c>
      <c r="NR435" s="770">
        <v>0</v>
      </c>
      <c r="NS435" s="770">
        <v>0</v>
      </c>
      <c r="NT435" s="770">
        <v>0</v>
      </c>
      <c r="NU435" s="770">
        <v>0</v>
      </c>
      <c r="NV435" s="770">
        <v>0</v>
      </c>
      <c r="NW435" s="770">
        <v>0</v>
      </c>
      <c r="NX435" s="770">
        <v>0</v>
      </c>
      <c r="NY435" s="770"/>
      <c r="NZ435" s="770"/>
      <c r="OA435" s="770"/>
      <c r="OB435" s="770"/>
      <c r="OC435" s="770" t="s">
        <v>1208</v>
      </c>
      <c r="OD435" s="770"/>
      <c r="OE435" s="770"/>
      <c r="OF435" s="770"/>
      <c r="OG435" s="770"/>
      <c r="OH435" s="770"/>
      <c r="OI435" s="770"/>
      <c r="OJ435" s="770"/>
      <c r="OK435" s="770" t="s">
        <v>1208</v>
      </c>
      <c r="OL435" s="770" t="s">
        <v>13429</v>
      </c>
      <c r="OM435" s="770" t="s">
        <v>13414</v>
      </c>
      <c r="ON435" s="770"/>
      <c r="OO435" s="770" t="s">
        <v>1207</v>
      </c>
      <c r="OP435" s="770" t="s">
        <v>13532</v>
      </c>
      <c r="OQ435" s="770" t="s">
        <v>13548</v>
      </c>
      <c r="OR435" s="770"/>
      <c r="OS435" s="770" t="s">
        <v>13548</v>
      </c>
      <c r="OT435" s="770" t="s">
        <v>13563</v>
      </c>
      <c r="OU435" s="770"/>
      <c r="OV435" s="770" t="s">
        <v>1208</v>
      </c>
      <c r="OW435" s="770"/>
      <c r="OX435" s="770" t="s">
        <v>1208</v>
      </c>
      <c r="OY435" s="770"/>
      <c r="OZ435" s="770"/>
      <c r="PA435" s="770" t="s">
        <v>1208</v>
      </c>
      <c r="PB435" s="770"/>
      <c r="PC435" s="770"/>
      <c r="PD435" s="770"/>
      <c r="PE435" s="770"/>
      <c r="PF435" s="770"/>
      <c r="PG435" s="770"/>
      <c r="PH435" s="770" t="s">
        <v>1208</v>
      </c>
      <c r="PI435" s="770" t="s">
        <v>1208</v>
      </c>
      <c r="PJ435" s="770"/>
      <c r="PK435" s="770" t="s">
        <v>1208</v>
      </c>
      <c r="PL435" s="770"/>
      <c r="PM435" s="770"/>
      <c r="PN435" s="770"/>
      <c r="PO435" s="770"/>
      <c r="PP435" s="770"/>
      <c r="PQ435" s="770"/>
      <c r="PR435" s="770"/>
      <c r="PS435" s="770"/>
      <c r="PT435" s="770"/>
      <c r="PU435" s="770"/>
      <c r="PV435" s="770"/>
      <c r="PW435" s="770"/>
      <c r="PX435" s="770"/>
      <c r="PY435" s="770"/>
      <c r="PZ435" s="770"/>
      <c r="QA435" s="770"/>
      <c r="QB435" s="770"/>
      <c r="QC435" s="770"/>
      <c r="QD435" s="770"/>
      <c r="QE435" s="770"/>
      <c r="QF435" s="770"/>
      <c r="QG435" s="770"/>
      <c r="QH435" s="770"/>
      <c r="QI435" s="770"/>
      <c r="QJ435" s="770"/>
      <c r="QK435" s="770"/>
      <c r="QL435" s="770"/>
      <c r="QM435" s="770"/>
      <c r="QN435" s="770"/>
      <c r="QO435" s="770"/>
      <c r="QP435" s="770"/>
      <c r="QQ435" s="770"/>
      <c r="QR435" s="770"/>
      <c r="QS435" s="770"/>
      <c r="QT435" s="770"/>
      <c r="QU435" s="770"/>
      <c r="QV435" s="770"/>
      <c r="QW435" s="770"/>
      <c r="QX435" s="770"/>
      <c r="QY435" s="770"/>
      <c r="QZ435" s="770"/>
      <c r="RA435" s="770"/>
      <c r="RB435" s="770" t="s">
        <v>1214</v>
      </c>
      <c r="RC435" s="770"/>
      <c r="RD435" s="770"/>
      <c r="RE435" s="770"/>
      <c r="RF435" s="304"/>
      <c r="RG435" s="770"/>
      <c r="RH435" s="302"/>
      <c r="RI435" s="770"/>
      <c r="RJ435" s="770" t="s">
        <v>2387</v>
      </c>
      <c r="RK435" s="770" t="s">
        <v>13544</v>
      </c>
      <c r="RL435" s="1710"/>
      <c r="RM435" s="12"/>
      <c r="RN435" s="1711"/>
      <c r="RO435" s="133" t="s">
        <v>2377</v>
      </c>
      <c r="RP435" s="11"/>
      <c r="RQ435" s="11"/>
      <c r="RR435" s="19" t="s">
        <v>7421</v>
      </c>
      <c r="RS435" s="1139" t="s">
        <v>12980</v>
      </c>
      <c r="RT435" s="11"/>
      <c r="RU435" s="11"/>
      <c r="RV435" s="771" t="s">
        <v>12452</v>
      </c>
      <c r="RW435" s="11" t="s">
        <v>5568</v>
      </c>
      <c r="RX435" s="11" t="s">
        <v>2353</v>
      </c>
      <c r="RY435" s="11"/>
      <c r="RZ435" s="11" t="s">
        <v>1101</v>
      </c>
      <c r="SA435" s="771"/>
      <c r="SB435" s="11"/>
      <c r="SC435" s="11"/>
    </row>
    <row r="436" spans="1:497" ht="12.75" customHeight="1">
      <c r="A436" s="311" t="s">
        <v>14202</v>
      </c>
      <c r="B436" s="752" t="s">
        <v>7682</v>
      </c>
      <c r="C436" s="133" t="s">
        <v>2377</v>
      </c>
      <c r="D436" s="94" t="s">
        <v>2388</v>
      </c>
      <c r="E436" s="770" t="s">
        <v>7925</v>
      </c>
      <c r="F436" s="770" t="s">
        <v>28</v>
      </c>
      <c r="G436" s="770" t="s">
        <v>18</v>
      </c>
      <c r="H436" s="770"/>
      <c r="I436" s="295" t="s">
        <v>2379</v>
      </c>
      <c r="J436" s="94" t="s">
        <v>2388</v>
      </c>
      <c r="K436" s="770"/>
      <c r="L436" s="770"/>
      <c r="M436" s="770"/>
      <c r="N436" s="770"/>
      <c r="O436" s="770"/>
      <c r="P436" s="94" t="s">
        <v>2389</v>
      </c>
      <c r="Q436" s="1088">
        <v>32483</v>
      </c>
      <c r="R436" s="297">
        <v>28</v>
      </c>
      <c r="S436" s="770" t="s">
        <v>18</v>
      </c>
      <c r="T436" s="770"/>
      <c r="U436" s="295" t="s">
        <v>2379</v>
      </c>
      <c r="V436" s="770"/>
      <c r="W436" s="770"/>
      <c r="X436" s="770"/>
      <c r="Y436" s="770" t="s">
        <v>2378</v>
      </c>
      <c r="Z436" s="770" t="s">
        <v>708</v>
      </c>
      <c r="AA436" s="770" t="s">
        <v>709</v>
      </c>
      <c r="AB436" s="770" t="s">
        <v>710</v>
      </c>
      <c r="AC436" s="770" t="s">
        <v>724</v>
      </c>
      <c r="AD436" s="770" t="s">
        <v>711</v>
      </c>
      <c r="AE436" s="770"/>
      <c r="AF436" s="770" t="s">
        <v>712</v>
      </c>
      <c r="AG436" s="770"/>
      <c r="AH436" s="770"/>
      <c r="AI436" s="770"/>
      <c r="AJ436" s="770"/>
      <c r="AK436" s="770" t="s">
        <v>1101</v>
      </c>
      <c r="AL436" s="531"/>
      <c r="AM436" s="780"/>
      <c r="AN436" s="532"/>
      <c r="AO436" s="766"/>
      <c r="AP436" s="1773"/>
      <c r="AQ436" s="766"/>
      <c r="AR436" s="766"/>
      <c r="AS436" s="770"/>
      <c r="AT436" s="770"/>
      <c r="AU436" s="770"/>
      <c r="AV436" s="770"/>
      <c r="AW436" s="770"/>
      <c r="AX436" s="770"/>
      <c r="AY436" s="770"/>
      <c r="AZ436" s="770"/>
      <c r="BA436" s="770"/>
      <c r="BB436" s="770"/>
      <c r="BC436" s="770"/>
      <c r="BD436" s="770"/>
      <c r="BE436" s="770"/>
      <c r="BF436" s="302"/>
      <c r="BG436" s="302"/>
      <c r="BH436" s="770"/>
      <c r="BI436" s="770"/>
      <c r="BJ436" s="770"/>
      <c r="BK436" s="770"/>
      <c r="BL436" s="770"/>
      <c r="BM436" s="770" t="s">
        <v>12423</v>
      </c>
      <c r="BN436" s="770" t="s">
        <v>1299</v>
      </c>
      <c r="BO436" s="770"/>
      <c r="BP436" s="765"/>
      <c r="BQ436" s="773"/>
      <c r="BR436" s="774"/>
      <c r="BS436" s="766" t="s">
        <v>1105</v>
      </c>
      <c r="BT436" s="766"/>
      <c r="BU436" s="770"/>
      <c r="BV436" s="770"/>
      <c r="BW436" s="770"/>
      <c r="BX436" s="302"/>
      <c r="BY436" s="770"/>
      <c r="BZ436" s="302"/>
      <c r="CA436" s="770"/>
      <c r="CB436" s="770"/>
      <c r="CC436" s="770"/>
      <c r="CD436" s="770"/>
      <c r="CE436" s="770"/>
      <c r="CF436" s="1753"/>
      <c r="CG436" s="1754"/>
      <c r="CH436" s="770"/>
      <c r="CI436" s="770"/>
      <c r="CJ436" s="770"/>
      <c r="CK436" s="770"/>
      <c r="CL436" s="770"/>
      <c r="CM436" s="770"/>
      <c r="CN436" s="770"/>
      <c r="CO436" s="770"/>
      <c r="CP436" s="770"/>
      <c r="CQ436" s="770"/>
      <c r="CR436" s="302"/>
      <c r="CS436" s="770"/>
      <c r="CT436" s="770"/>
      <c r="CU436" s="305"/>
      <c r="CV436" s="770"/>
      <c r="CW436" s="770"/>
      <c r="CX436" s="770"/>
      <c r="CY436" s="770"/>
      <c r="CZ436" s="770"/>
      <c r="DA436" s="306"/>
      <c r="DB436" s="770"/>
      <c r="DC436" s="770"/>
      <c r="DD436" s="770"/>
      <c r="DE436" s="300"/>
      <c r="DF436" s="770"/>
      <c r="DG436" s="770"/>
      <c r="DH436" s="770"/>
      <c r="DI436" s="770"/>
      <c r="DJ436" s="770"/>
      <c r="DK436" s="770"/>
      <c r="DL436" s="770"/>
      <c r="DM436" s="770"/>
      <c r="DN436" s="322"/>
      <c r="DO436" s="770"/>
      <c r="DP436" s="770"/>
      <c r="DQ436" s="770"/>
      <c r="DR436" s="770"/>
      <c r="DS436" s="307"/>
      <c r="DT436" s="770"/>
      <c r="DU436" s="770"/>
      <c r="DV436" s="770"/>
      <c r="DW436" s="306"/>
      <c r="DX436" s="306"/>
      <c r="DY436" s="770"/>
      <c r="DZ436" s="770"/>
      <c r="EA436" s="770"/>
      <c r="EB436" s="770"/>
      <c r="EC436" s="770"/>
      <c r="ED436" s="770"/>
      <c r="EE436" s="770"/>
      <c r="EF436" s="770"/>
      <c r="EG436" s="770"/>
      <c r="EH436" s="770"/>
      <c r="EI436" s="770"/>
      <c r="EJ436" s="770"/>
      <c r="EK436" s="770"/>
      <c r="EL436" s="770"/>
      <c r="EM436" s="770"/>
      <c r="EN436" s="770"/>
      <c r="EO436" s="770"/>
      <c r="EP436" s="94"/>
      <c r="EQ436" s="770"/>
      <c r="ER436" s="770"/>
      <c r="ES436" s="770"/>
      <c r="ET436" s="770"/>
      <c r="EU436" s="770"/>
      <c r="EV436" s="770"/>
      <c r="EW436" s="770"/>
      <c r="EX436" s="770"/>
      <c r="EY436" s="770"/>
      <c r="EZ436" s="770"/>
      <c r="FA436" s="770"/>
      <c r="FB436" s="770"/>
      <c r="FC436" s="770"/>
      <c r="FD436" s="302"/>
      <c r="FE436" s="770"/>
      <c r="FF436" s="770"/>
      <c r="FG436" s="770"/>
      <c r="FH436" s="770" t="s">
        <v>1299</v>
      </c>
      <c r="FI436" s="770">
        <v>1</v>
      </c>
      <c r="FJ436" s="770" t="s">
        <v>2390</v>
      </c>
      <c r="FK436" s="770" t="s">
        <v>2379</v>
      </c>
      <c r="FL436" s="770" t="s">
        <v>2967</v>
      </c>
      <c r="FM436" s="302"/>
      <c r="FN436" s="302" t="s">
        <v>2140</v>
      </c>
      <c r="FO436" s="302">
        <v>4500</v>
      </c>
      <c r="FP436" s="766" t="s">
        <v>1602</v>
      </c>
      <c r="FQ436" s="766" t="s">
        <v>1660</v>
      </c>
      <c r="FR436" s="770"/>
      <c r="FS436" s="770"/>
      <c r="FT436" s="770"/>
      <c r="FU436" s="770"/>
      <c r="FV436" s="770"/>
      <c r="FW436" s="770"/>
      <c r="FX436" s="770"/>
      <c r="FY436" s="770"/>
      <c r="FZ436" s="770"/>
      <c r="GA436" s="770"/>
      <c r="GB436" s="770"/>
      <c r="GC436" s="308"/>
      <c r="GD436" s="297"/>
      <c r="GE436" s="770"/>
      <c r="GF436" s="302"/>
      <c r="GG436" s="302"/>
      <c r="GH436" s="770" t="s">
        <v>1791</v>
      </c>
      <c r="GI436" s="770" t="s">
        <v>2352</v>
      </c>
      <c r="GJ436" s="770"/>
      <c r="GK436" s="770"/>
      <c r="GL436" s="770"/>
      <c r="GM436" s="770" t="s">
        <v>2384</v>
      </c>
      <c r="GN436" s="299">
        <f>3000/30</f>
        <v>100</v>
      </c>
      <c r="GO436" s="770" t="s">
        <v>2496</v>
      </c>
      <c r="GP436" s="770"/>
      <c r="GQ436" s="770"/>
      <c r="GR436" s="770" t="s">
        <v>1208</v>
      </c>
      <c r="GS436" s="770" t="s">
        <v>1208</v>
      </c>
      <c r="GT436" s="770" t="s">
        <v>1208</v>
      </c>
      <c r="GU436" s="770"/>
      <c r="GV436" s="770"/>
      <c r="GW436" s="770" t="s">
        <v>1207</v>
      </c>
      <c r="GX436" s="770"/>
      <c r="GY436" s="770"/>
      <c r="GZ436" s="770"/>
      <c r="HA436" s="770"/>
      <c r="HB436" s="770"/>
      <c r="HC436" s="770"/>
      <c r="HD436" s="770" t="s">
        <v>1208</v>
      </c>
      <c r="HE436" s="770"/>
      <c r="HF436" s="770"/>
      <c r="HG436" s="770"/>
      <c r="HH436" s="770"/>
      <c r="HI436" s="770"/>
      <c r="HJ436" s="770"/>
      <c r="HK436" s="770"/>
      <c r="HL436" s="770" t="s">
        <v>1214</v>
      </c>
      <c r="HM436" s="770"/>
      <c r="HN436" s="770"/>
      <c r="HO436" s="770" t="s">
        <v>1214</v>
      </c>
      <c r="HP436" s="770"/>
      <c r="HQ436" s="770"/>
      <c r="HR436" s="770"/>
      <c r="HS436" s="770"/>
      <c r="HT436" s="770"/>
      <c r="HU436" s="770"/>
      <c r="HV436" s="770"/>
      <c r="HW436" s="770"/>
      <c r="HX436" s="770"/>
      <c r="HY436" s="770"/>
      <c r="HZ436" s="770"/>
      <c r="IA436" s="770"/>
      <c r="IB436" s="14" t="e">
        <f>IF(#REF!&gt;0,IF(#REF!&lt;=10000,"Y",""),"")</f>
        <v>#REF!</v>
      </c>
      <c r="IC436" s="770" t="s">
        <v>1207</v>
      </c>
      <c r="ID436" s="770"/>
      <c r="IE436" s="770"/>
      <c r="IF436" s="770" t="s">
        <v>2388</v>
      </c>
      <c r="IG436" s="770" t="s">
        <v>18</v>
      </c>
      <c r="IH436" s="770" t="s">
        <v>478</v>
      </c>
      <c r="II436" s="770" t="s">
        <v>2378</v>
      </c>
      <c r="IJ436" s="770" t="s">
        <v>1835</v>
      </c>
      <c r="IK436" s="766" t="s">
        <v>1888</v>
      </c>
      <c r="IL436" s="770" t="s">
        <v>2387</v>
      </c>
      <c r="IM436" s="770">
        <v>1976</v>
      </c>
      <c r="IN436" s="770" t="s">
        <v>2390</v>
      </c>
      <c r="IO436" s="296">
        <v>32483</v>
      </c>
      <c r="IP436" s="770" t="s">
        <v>1299</v>
      </c>
      <c r="IQ436" s="13" t="s">
        <v>1909</v>
      </c>
      <c r="IR436" s="770" t="s">
        <v>1964</v>
      </c>
      <c r="IS436" s="770" t="s">
        <v>1883</v>
      </c>
      <c r="IT436" s="770"/>
      <c r="IU436" s="770" t="s">
        <v>1208</v>
      </c>
      <c r="IV436" s="770"/>
      <c r="IW436" s="770" t="s">
        <v>13564</v>
      </c>
      <c r="IX436" s="770"/>
      <c r="IY436" s="770" t="s">
        <v>2379</v>
      </c>
      <c r="IZ436" s="770"/>
      <c r="JA436" s="770"/>
      <c r="JB436" s="770"/>
      <c r="JC436" s="770"/>
      <c r="JD436" s="302">
        <v>12000</v>
      </c>
      <c r="JE436" s="770"/>
      <c r="JF436" s="770"/>
      <c r="JG436" s="770"/>
      <c r="JH436" s="307"/>
      <c r="JI436" s="307"/>
      <c r="JJ436" s="770">
        <v>1</v>
      </c>
      <c r="JK436" s="1139" t="s">
        <v>2390</v>
      </c>
      <c r="JL436" s="770"/>
      <c r="JM436" s="770"/>
      <c r="JN436" s="770"/>
      <c r="JO436" s="770">
        <v>1</v>
      </c>
      <c r="JP436" s="770"/>
      <c r="JQ436" s="770"/>
      <c r="JR436" s="770"/>
      <c r="JS436" s="770"/>
      <c r="JT436" s="766">
        <f t="shared" si="117"/>
        <v>0</v>
      </c>
      <c r="JU436" s="766">
        <f t="shared" si="117"/>
        <v>1</v>
      </c>
      <c r="JV436" s="712" t="str">
        <f t="shared" si="112"/>
        <v>ok</v>
      </c>
      <c r="JW436" s="712" t="str">
        <f t="shared" si="113"/>
        <v>ok</v>
      </c>
      <c r="JX436" s="766"/>
      <c r="JY436" s="766"/>
      <c r="JZ436" s="766"/>
      <c r="KA436" s="766"/>
      <c r="KB436" s="766"/>
      <c r="KC436" s="766">
        <v>1</v>
      </c>
      <c r="KD436" s="766"/>
      <c r="KE436" s="766"/>
      <c r="KF436" s="766"/>
      <c r="KG436" s="766"/>
      <c r="KH436" s="766"/>
      <c r="KI436" s="766"/>
      <c r="KJ436" s="770">
        <f t="shared" si="103"/>
        <v>0</v>
      </c>
      <c r="KK436" s="770">
        <f t="shared" si="103"/>
        <v>1</v>
      </c>
      <c r="KL436" s="712" t="str">
        <f t="shared" si="114"/>
        <v>ok</v>
      </c>
      <c r="KM436" s="712" t="str">
        <f t="shared" si="115"/>
        <v>ok</v>
      </c>
      <c r="KN436" s="770" t="s">
        <v>768</v>
      </c>
      <c r="KO436" s="770"/>
      <c r="KP436" s="770"/>
      <c r="KQ436" s="770"/>
      <c r="KR436" s="770"/>
      <c r="KS436" s="770"/>
      <c r="KT436" s="770"/>
      <c r="KU436" s="770"/>
      <c r="KV436" s="770"/>
      <c r="KW436" s="770"/>
      <c r="KX436" s="770"/>
      <c r="KY436" s="770"/>
      <c r="KZ436" s="770"/>
      <c r="LA436" s="770"/>
      <c r="LB436" s="770"/>
      <c r="LC436" s="770"/>
      <c r="LD436" s="770"/>
      <c r="LE436" s="770"/>
      <c r="LF436" s="770"/>
      <c r="LG436" s="770"/>
      <c r="LH436" s="770"/>
      <c r="LI436" s="770">
        <v>1</v>
      </c>
      <c r="LJ436" s="770"/>
      <c r="LK436" s="770"/>
      <c r="LL436" s="770"/>
      <c r="LM436" s="770"/>
      <c r="LN436" s="766">
        <f t="shared" si="111"/>
        <v>0</v>
      </c>
      <c r="LO436" s="766">
        <f t="shared" si="111"/>
        <v>1</v>
      </c>
      <c r="LP436" s="770">
        <v>1</v>
      </c>
      <c r="LQ436" s="770"/>
      <c r="LR436" s="770"/>
      <c r="LS436" s="770">
        <v>1</v>
      </c>
      <c r="LT436" s="712" t="str">
        <f t="shared" si="116"/>
        <v>OK</v>
      </c>
      <c r="LU436" s="770"/>
      <c r="LV436" s="770"/>
      <c r="LW436" s="770"/>
      <c r="LX436" s="769">
        <v>1</v>
      </c>
      <c r="LY436" s="766" t="str">
        <f t="shared" si="119"/>
        <v>within the BRGY</v>
      </c>
      <c r="LZ436" s="1709"/>
      <c r="MA436" s="1709"/>
      <c r="MB436" s="1709"/>
      <c r="MC436" s="1679">
        <f t="shared" si="110"/>
        <v>0</v>
      </c>
      <c r="MD436" s="1709"/>
      <c r="ME436" s="1709"/>
      <c r="MF436" s="1709">
        <v>12000</v>
      </c>
      <c r="MG436" s="1680">
        <f t="shared" si="118"/>
        <v>12000</v>
      </c>
      <c r="MH436" s="770" t="s">
        <v>2968</v>
      </c>
      <c r="MI436" s="302">
        <v>3500</v>
      </c>
      <c r="MJ436" s="302">
        <v>3500</v>
      </c>
      <c r="MK436" s="302">
        <v>416</v>
      </c>
      <c r="ML436" s="302"/>
      <c r="MM436" s="302">
        <v>2000</v>
      </c>
      <c r="MN436" s="302"/>
      <c r="MO436" s="302"/>
      <c r="MP436" s="302">
        <v>4500</v>
      </c>
      <c r="MQ436" s="302">
        <v>250</v>
      </c>
      <c r="MR436" s="302"/>
      <c r="MS436" s="302">
        <v>20.832999999999998</v>
      </c>
      <c r="MT436" s="302">
        <v>4500</v>
      </c>
      <c r="MU436" s="302"/>
      <c r="MV436" s="302"/>
      <c r="MW436" s="302"/>
      <c r="MX436" s="302"/>
      <c r="MY436" s="1682">
        <f t="shared" si="102"/>
        <v>18686.832999999999</v>
      </c>
      <c r="MZ436" s="770" t="s">
        <v>13370</v>
      </c>
      <c r="NA436" s="770" t="s">
        <v>13005</v>
      </c>
      <c r="NB436" s="770" t="s">
        <v>13033</v>
      </c>
      <c r="NC436" s="766" t="s">
        <v>13523</v>
      </c>
      <c r="ND436" s="770">
        <v>0</v>
      </c>
      <c r="NE436" s="770">
        <v>0</v>
      </c>
      <c r="NF436" s="770">
        <v>1</v>
      </c>
      <c r="NG436" s="770">
        <v>5</v>
      </c>
      <c r="NH436" s="770">
        <v>1</v>
      </c>
      <c r="NI436" s="770">
        <v>1</v>
      </c>
      <c r="NJ436" s="770">
        <v>0</v>
      </c>
      <c r="NK436" s="770">
        <v>0</v>
      </c>
      <c r="NL436" s="770">
        <v>1</v>
      </c>
      <c r="NM436" s="770">
        <v>1</v>
      </c>
      <c r="NN436" s="770">
        <v>0</v>
      </c>
      <c r="NO436" s="770">
        <v>0</v>
      </c>
      <c r="NP436" s="770">
        <v>0</v>
      </c>
      <c r="NQ436" s="770">
        <v>0</v>
      </c>
      <c r="NR436" s="770">
        <v>0</v>
      </c>
      <c r="NS436" s="770">
        <v>0</v>
      </c>
      <c r="NT436" s="770">
        <v>0</v>
      </c>
      <c r="NU436" s="770">
        <v>0</v>
      </c>
      <c r="NV436" s="770">
        <v>0</v>
      </c>
      <c r="NW436" s="770">
        <v>0</v>
      </c>
      <c r="NX436" s="770">
        <v>0</v>
      </c>
      <c r="NY436" s="770" t="s">
        <v>1208</v>
      </c>
      <c r="NZ436" s="770"/>
      <c r="OA436" s="770"/>
      <c r="OB436" s="770" t="s">
        <v>1208</v>
      </c>
      <c r="OC436" s="770" t="s">
        <v>1208</v>
      </c>
      <c r="OD436" s="770"/>
      <c r="OE436" s="770"/>
      <c r="OF436" s="770" t="s">
        <v>13565</v>
      </c>
      <c r="OG436" s="770"/>
      <c r="OH436" s="770"/>
      <c r="OI436" s="770"/>
      <c r="OJ436" s="770"/>
      <c r="OK436" s="770" t="s">
        <v>1208</v>
      </c>
      <c r="OL436" s="770" t="s">
        <v>13414</v>
      </c>
      <c r="OM436" s="770" t="s">
        <v>13532</v>
      </c>
      <c r="ON436" s="770"/>
      <c r="OO436" s="770" t="s">
        <v>1207</v>
      </c>
      <c r="OP436" s="770" t="s">
        <v>2139</v>
      </c>
      <c r="OQ436" s="770" t="s">
        <v>13532</v>
      </c>
      <c r="OR436" s="770"/>
      <c r="OS436" s="770" t="s">
        <v>13548</v>
      </c>
      <c r="OT436" s="770" t="s">
        <v>13563</v>
      </c>
      <c r="OU436" s="770"/>
      <c r="OV436" s="770" t="s">
        <v>1208</v>
      </c>
      <c r="OW436" s="770"/>
      <c r="OX436" s="770"/>
      <c r="OY436" s="770"/>
      <c r="OZ436" s="770"/>
      <c r="PA436" s="770"/>
      <c r="PB436" s="770"/>
      <c r="PC436" s="770"/>
      <c r="PD436" s="770"/>
      <c r="PE436" s="770"/>
      <c r="PF436" s="770"/>
      <c r="PG436" s="770"/>
      <c r="PH436" s="770"/>
      <c r="PI436" s="770"/>
      <c r="PJ436" s="770"/>
      <c r="PK436" s="770"/>
      <c r="PL436" s="770"/>
      <c r="PM436" s="770"/>
      <c r="PN436" s="770"/>
      <c r="PO436" s="770"/>
      <c r="PP436" s="770"/>
      <c r="PQ436" s="770"/>
      <c r="PR436" s="770"/>
      <c r="PS436" s="770"/>
      <c r="PT436" s="770"/>
      <c r="PU436" s="770"/>
      <c r="PV436" s="770" t="s">
        <v>1208</v>
      </c>
      <c r="PW436" s="770"/>
      <c r="PX436" s="770"/>
      <c r="PY436" s="770"/>
      <c r="PZ436" s="770"/>
      <c r="QA436" s="770"/>
      <c r="QB436" s="770"/>
      <c r="QC436" s="770"/>
      <c r="QD436" s="770"/>
      <c r="QE436" s="770"/>
      <c r="QF436" s="770"/>
      <c r="QG436" s="770"/>
      <c r="QH436" s="770"/>
      <c r="QI436" s="770"/>
      <c r="QJ436" s="770"/>
      <c r="QK436" s="770"/>
      <c r="QL436" s="770"/>
      <c r="QM436" s="770"/>
      <c r="QN436" s="770"/>
      <c r="QO436" s="770"/>
      <c r="QP436" s="770"/>
      <c r="QQ436" s="770"/>
      <c r="QR436" s="770"/>
      <c r="QS436" s="770"/>
      <c r="QT436" s="770"/>
      <c r="QU436" s="770"/>
      <c r="QV436" s="770"/>
      <c r="QW436" s="770"/>
      <c r="QX436" s="770"/>
      <c r="QY436" s="770"/>
      <c r="QZ436" s="770"/>
      <c r="RA436" s="770"/>
      <c r="RB436" s="770" t="s">
        <v>1214</v>
      </c>
      <c r="RC436" s="770"/>
      <c r="RD436" s="770"/>
      <c r="RE436" s="770"/>
      <c r="RF436" s="304"/>
      <c r="RG436" s="770"/>
      <c r="RH436" s="302"/>
      <c r="RI436" s="770"/>
      <c r="RJ436" s="770" t="s">
        <v>13566</v>
      </c>
      <c r="RK436" s="770" t="s">
        <v>13550</v>
      </c>
      <c r="RL436" s="1710"/>
      <c r="RM436" s="12"/>
      <c r="RN436" s="1711"/>
      <c r="RO436" s="133" t="s">
        <v>2377</v>
      </c>
      <c r="RP436" s="11"/>
      <c r="RQ436" s="11"/>
      <c r="RR436" s="311" t="s">
        <v>12355</v>
      </c>
      <c r="RS436" s="1139" t="s">
        <v>12980</v>
      </c>
      <c r="RT436" s="11"/>
      <c r="RU436" s="11"/>
      <c r="RV436" s="771" t="s">
        <v>12452</v>
      </c>
      <c r="RW436" s="11" t="s">
        <v>5569</v>
      </c>
      <c r="RX436" s="11" t="s">
        <v>2353</v>
      </c>
      <c r="RY436" s="11"/>
      <c r="RZ436" s="11"/>
      <c r="SA436" s="771"/>
      <c r="SB436" s="11"/>
      <c r="SC436" s="11"/>
    </row>
    <row r="437" spans="1:497" ht="12.75" customHeight="1">
      <c r="A437" s="19" t="s">
        <v>7421</v>
      </c>
      <c r="B437" s="1007" t="s">
        <v>7740</v>
      </c>
      <c r="C437" s="133" t="s">
        <v>2391</v>
      </c>
      <c r="D437" s="94" t="s">
        <v>2392</v>
      </c>
      <c r="E437" s="770" t="s">
        <v>7926</v>
      </c>
      <c r="F437" s="770" t="s">
        <v>28</v>
      </c>
      <c r="G437" s="770" t="s">
        <v>10</v>
      </c>
      <c r="H437" s="770"/>
      <c r="I437" s="295" t="s">
        <v>2394</v>
      </c>
      <c r="J437" s="94" t="s">
        <v>2392</v>
      </c>
      <c r="K437" s="766" t="s">
        <v>2395</v>
      </c>
      <c r="L437" s="766" t="s">
        <v>2276</v>
      </c>
      <c r="M437" s="770" t="s">
        <v>1238</v>
      </c>
      <c r="N437" s="770"/>
      <c r="O437" s="770" t="s">
        <v>2358</v>
      </c>
      <c r="P437" s="94" t="s">
        <v>2396</v>
      </c>
      <c r="Q437" s="1088">
        <v>21158</v>
      </c>
      <c r="R437" s="297">
        <v>59</v>
      </c>
      <c r="S437" s="770" t="s">
        <v>10</v>
      </c>
      <c r="T437" s="770"/>
      <c r="U437" s="295" t="s">
        <v>2394</v>
      </c>
      <c r="V437" s="770" t="s">
        <v>707</v>
      </c>
      <c r="W437" s="770"/>
      <c r="X437" s="770"/>
      <c r="Y437" s="770" t="s">
        <v>2393</v>
      </c>
      <c r="Z437" s="770" t="s">
        <v>708</v>
      </c>
      <c r="AA437" s="770" t="s">
        <v>709</v>
      </c>
      <c r="AB437" s="770" t="s">
        <v>710</v>
      </c>
      <c r="AC437" s="770" t="s">
        <v>724</v>
      </c>
      <c r="AD437" s="770" t="s">
        <v>711</v>
      </c>
      <c r="AE437" s="770"/>
      <c r="AF437" s="770" t="s">
        <v>798</v>
      </c>
      <c r="AG437" s="766" t="s">
        <v>1132</v>
      </c>
      <c r="AH437" s="766" t="s">
        <v>1096</v>
      </c>
      <c r="AI437" s="770"/>
      <c r="AJ437" s="770" t="s">
        <v>1137</v>
      </c>
      <c r="AK437" s="770" t="s">
        <v>1101</v>
      </c>
      <c r="AL437" s="531">
        <v>77.61</v>
      </c>
      <c r="AM437" s="780">
        <v>64.094999999999999</v>
      </c>
      <c r="AN437" s="532">
        <f>AM437/AL437</f>
        <v>0.82586006957866254</v>
      </c>
      <c r="AO437" s="766" t="s">
        <v>1105</v>
      </c>
      <c r="AP437" s="1773"/>
      <c r="AQ437" s="766"/>
      <c r="AR437" s="766"/>
      <c r="AS437" s="770"/>
      <c r="AT437" s="770"/>
      <c r="AU437" s="770"/>
      <c r="AV437" s="770"/>
      <c r="AW437" s="770"/>
      <c r="AX437" s="770"/>
      <c r="AY437" s="770"/>
      <c r="AZ437" s="770"/>
      <c r="BA437" s="770"/>
      <c r="BB437" s="770"/>
      <c r="BC437" s="770"/>
      <c r="BD437" s="770"/>
      <c r="BE437" s="770"/>
      <c r="BF437" s="302"/>
      <c r="BG437" s="302"/>
      <c r="BH437" s="770"/>
      <c r="BI437" s="770"/>
      <c r="BJ437" s="770"/>
      <c r="BK437" s="770" t="s">
        <v>1095</v>
      </c>
      <c r="BL437" s="770" t="s">
        <v>2397</v>
      </c>
      <c r="BM437" s="770" t="s">
        <v>8108</v>
      </c>
      <c r="BN437" s="770" t="s">
        <v>1230</v>
      </c>
      <c r="BO437" s="770" t="s">
        <v>1275</v>
      </c>
      <c r="BP437" s="1114">
        <v>77.61</v>
      </c>
      <c r="BQ437" s="780">
        <v>64.094999999999999</v>
      </c>
      <c r="BR437" s="774">
        <f>BQ437/BP437</f>
        <v>0.82586006957866254</v>
      </c>
      <c r="BS437" s="766" t="s">
        <v>1105</v>
      </c>
      <c r="BT437" s="766" t="s">
        <v>8133</v>
      </c>
      <c r="BU437" s="770" t="s">
        <v>1249</v>
      </c>
      <c r="BV437" s="770" t="s">
        <v>1247</v>
      </c>
      <c r="BW437" s="770">
        <v>1980</v>
      </c>
      <c r="BX437" s="302"/>
      <c r="BY437" s="770"/>
      <c r="BZ437" s="302"/>
      <c r="CA437" s="770"/>
      <c r="CB437" s="770"/>
      <c r="CC437" s="770"/>
      <c r="CD437" s="770"/>
      <c r="CE437" s="770"/>
      <c r="CF437" s="1753"/>
      <c r="CG437" s="1754"/>
      <c r="CH437" s="770"/>
      <c r="CI437" s="770"/>
      <c r="CJ437" s="770"/>
      <c r="CK437" s="770"/>
      <c r="CL437" s="770"/>
      <c r="CM437" s="770"/>
      <c r="CN437" s="770"/>
      <c r="CO437" s="770"/>
      <c r="CP437" s="770"/>
      <c r="CQ437" s="770"/>
      <c r="CR437" s="302"/>
      <c r="CS437" s="770"/>
      <c r="CT437" s="770"/>
      <c r="CU437" s="305"/>
      <c r="CV437" s="770"/>
      <c r="CW437" s="770"/>
      <c r="CX437" s="770"/>
      <c r="CY437" s="770"/>
      <c r="CZ437" s="770"/>
      <c r="DA437" s="306"/>
      <c r="DB437" s="770"/>
      <c r="DC437" s="770"/>
      <c r="DD437" s="770"/>
      <c r="DE437" s="300"/>
      <c r="DF437" s="770"/>
      <c r="DG437" s="770"/>
      <c r="DH437" s="770"/>
      <c r="DI437" s="770"/>
      <c r="DJ437" s="770"/>
      <c r="DK437" s="770"/>
      <c r="DL437" s="770"/>
      <c r="DM437" s="770"/>
      <c r="DN437" s="322"/>
      <c r="DO437" s="770"/>
      <c r="DP437" s="770"/>
      <c r="DQ437" s="770"/>
      <c r="DR437" s="770"/>
      <c r="DS437" s="307"/>
      <c r="DT437" s="770"/>
      <c r="DU437" s="770"/>
      <c r="DV437" s="770"/>
      <c r="DW437" s="306"/>
      <c r="DX437" s="306"/>
      <c r="DY437" s="770"/>
      <c r="DZ437" s="770"/>
      <c r="EA437" s="770"/>
      <c r="EB437" s="770"/>
      <c r="EC437" s="770"/>
      <c r="ED437" s="770"/>
      <c r="EE437" s="770"/>
      <c r="EF437" s="770"/>
      <c r="EG437" s="770"/>
      <c r="EH437" s="770"/>
      <c r="EI437" s="770"/>
      <c r="EJ437" s="770"/>
      <c r="EK437" s="770"/>
      <c r="EL437" s="770"/>
      <c r="EM437" s="770"/>
      <c r="EN437" s="770"/>
      <c r="EO437" s="770"/>
      <c r="EP437" s="94"/>
      <c r="EQ437" s="770"/>
      <c r="ER437" s="770"/>
      <c r="ES437" s="770"/>
      <c r="ET437" s="770"/>
      <c r="EU437" s="770"/>
      <c r="EV437" s="770"/>
      <c r="EW437" s="770"/>
      <c r="EX437" s="770"/>
      <c r="EY437" s="770"/>
      <c r="EZ437" s="770"/>
      <c r="FA437" s="770"/>
      <c r="FB437" s="770"/>
      <c r="FC437" s="770"/>
      <c r="FD437" s="302"/>
      <c r="FE437" s="770"/>
      <c r="FF437" s="770"/>
      <c r="FG437" s="770"/>
      <c r="FH437" s="770" t="s">
        <v>478</v>
      </c>
      <c r="FI437" s="770">
        <v>1</v>
      </c>
      <c r="FJ437" s="770"/>
      <c r="FK437" s="770"/>
      <c r="FL437" s="770"/>
      <c r="FM437" s="302"/>
      <c r="FN437" s="302"/>
      <c r="FO437" s="302"/>
      <c r="FP437" s="766" t="s">
        <v>1602</v>
      </c>
      <c r="FQ437" s="766" t="s">
        <v>1660</v>
      </c>
      <c r="FR437" s="770" t="s">
        <v>1214</v>
      </c>
      <c r="FS437" s="770"/>
      <c r="FT437" s="770"/>
      <c r="FU437" s="770"/>
      <c r="FV437" s="770"/>
      <c r="FW437" s="770"/>
      <c r="FX437" s="770"/>
      <c r="FY437" s="770"/>
      <c r="FZ437" s="770"/>
      <c r="GA437" s="770"/>
      <c r="GB437" s="770" t="s">
        <v>1734</v>
      </c>
      <c r="GC437" s="308"/>
      <c r="GD437" s="297">
        <v>1982</v>
      </c>
      <c r="GE437" s="770" t="s">
        <v>1214</v>
      </c>
      <c r="GF437" s="302"/>
      <c r="GG437" s="302"/>
      <c r="GH437" s="712" t="s">
        <v>14260</v>
      </c>
      <c r="GI437" s="770"/>
      <c r="GJ437" s="770"/>
      <c r="GK437" s="770"/>
      <c r="GL437" s="770"/>
      <c r="GM437" s="770"/>
      <c r="GN437" s="299"/>
      <c r="GO437" s="770"/>
      <c r="GP437" s="770"/>
      <c r="GQ437" s="770"/>
      <c r="GR437" s="770"/>
      <c r="GS437" s="770"/>
      <c r="GT437" s="770"/>
      <c r="GU437" s="770"/>
      <c r="GV437" s="770"/>
      <c r="GW437" s="770"/>
      <c r="GX437" s="770"/>
      <c r="GY437" s="770"/>
      <c r="GZ437" s="770"/>
      <c r="HA437" s="770"/>
      <c r="HB437" s="770"/>
      <c r="HC437" s="770"/>
      <c r="HD437" s="770"/>
      <c r="HE437" s="770"/>
      <c r="HF437" s="770"/>
      <c r="HG437" s="770"/>
      <c r="HH437" s="770"/>
      <c r="HI437" s="770" t="s">
        <v>1214</v>
      </c>
      <c r="HJ437" s="770"/>
      <c r="HK437" s="770"/>
      <c r="HL437" s="770" t="s">
        <v>1214</v>
      </c>
      <c r="HM437" s="770"/>
      <c r="HN437" s="770"/>
      <c r="HO437" s="770"/>
      <c r="HP437" s="770"/>
      <c r="HQ437" s="770"/>
      <c r="HR437" s="770"/>
      <c r="HS437" s="770"/>
      <c r="HT437" s="770"/>
      <c r="HU437" s="770"/>
      <c r="HV437" s="770"/>
      <c r="HW437" s="770"/>
      <c r="HX437" s="770"/>
      <c r="HY437" s="770"/>
      <c r="HZ437" s="770"/>
      <c r="IA437" s="770"/>
      <c r="IB437" s="14" t="e">
        <f>IF(#REF!&gt;0,IF(#REF!&lt;=10000,"Y",""),"")</f>
        <v>#REF!</v>
      </c>
      <c r="IC437" s="770"/>
      <c r="ID437" s="770"/>
      <c r="IE437" s="770"/>
      <c r="IF437" s="770"/>
      <c r="IG437" s="770"/>
      <c r="IH437" s="770"/>
      <c r="II437" s="770"/>
      <c r="IJ437" s="770"/>
      <c r="IK437" s="766"/>
      <c r="IL437" s="770"/>
      <c r="IM437" s="770"/>
      <c r="IN437" s="770"/>
      <c r="IO437" s="296"/>
      <c r="IP437" s="770"/>
      <c r="IQ437" s="770"/>
      <c r="IR437" s="770"/>
      <c r="IS437" s="770"/>
      <c r="IT437" s="770"/>
      <c r="IU437" s="770"/>
      <c r="IV437" s="770"/>
      <c r="IW437" s="770"/>
      <c r="IX437" s="770"/>
      <c r="IY437" s="770"/>
      <c r="IZ437" s="770"/>
      <c r="JA437" s="770"/>
      <c r="JB437" s="770"/>
      <c r="JC437" s="770"/>
      <c r="JD437" s="302"/>
      <c r="JE437" s="770"/>
      <c r="JF437" s="770"/>
      <c r="JG437" s="770"/>
      <c r="JH437" s="307"/>
      <c r="JI437" s="307"/>
      <c r="JJ437" s="770">
        <v>11</v>
      </c>
      <c r="JK437" s="1139" t="s">
        <v>2397</v>
      </c>
      <c r="JL437" s="770">
        <v>3</v>
      </c>
      <c r="JM437" s="770"/>
      <c r="JN437" s="770">
        <v>5</v>
      </c>
      <c r="JO437" s="770">
        <v>3</v>
      </c>
      <c r="JP437" s="770"/>
      <c r="JQ437" s="770"/>
      <c r="JR437" s="770"/>
      <c r="JS437" s="770"/>
      <c r="JT437" s="766">
        <f t="shared" si="117"/>
        <v>8</v>
      </c>
      <c r="JU437" s="766">
        <f t="shared" si="117"/>
        <v>3</v>
      </c>
      <c r="JV437" s="712" t="str">
        <f t="shared" si="112"/>
        <v>ok</v>
      </c>
      <c r="JW437" s="712" t="str">
        <f t="shared" si="113"/>
        <v>ok</v>
      </c>
      <c r="JX437" s="766"/>
      <c r="JY437" s="766"/>
      <c r="JZ437" s="766">
        <v>3</v>
      </c>
      <c r="KA437" s="766"/>
      <c r="KB437" s="766">
        <v>2</v>
      </c>
      <c r="KC437" s="766"/>
      <c r="KD437" s="766">
        <v>3</v>
      </c>
      <c r="KE437" s="766">
        <v>3</v>
      </c>
      <c r="KF437" s="766"/>
      <c r="KG437" s="766"/>
      <c r="KH437" s="766"/>
      <c r="KI437" s="766"/>
      <c r="KJ437" s="770">
        <f t="shared" si="103"/>
        <v>8</v>
      </c>
      <c r="KK437" s="770">
        <f t="shared" si="103"/>
        <v>3</v>
      </c>
      <c r="KL437" s="712" t="str">
        <f t="shared" si="114"/>
        <v>ok</v>
      </c>
      <c r="KM437" s="712" t="str">
        <f t="shared" si="115"/>
        <v>ok</v>
      </c>
      <c r="KN437" s="770" t="s">
        <v>707</v>
      </c>
      <c r="KO437" s="770"/>
      <c r="KP437" s="770"/>
      <c r="KQ437" s="770"/>
      <c r="KR437" s="770"/>
      <c r="KS437" s="770"/>
      <c r="KT437" s="770">
        <v>2</v>
      </c>
      <c r="KU437" s="770"/>
      <c r="KV437" s="770">
        <v>1</v>
      </c>
      <c r="KW437" s="770"/>
      <c r="KX437" s="770">
        <v>3</v>
      </c>
      <c r="KY437" s="770">
        <v>2</v>
      </c>
      <c r="KZ437" s="770"/>
      <c r="LA437" s="770"/>
      <c r="LB437" s="770">
        <v>2</v>
      </c>
      <c r="LC437" s="770">
        <v>1</v>
      </c>
      <c r="LD437" s="770"/>
      <c r="LE437" s="770"/>
      <c r="LF437" s="770"/>
      <c r="LG437" s="770"/>
      <c r="LH437" s="770"/>
      <c r="LI437" s="770"/>
      <c r="LJ437" s="770"/>
      <c r="LK437" s="770"/>
      <c r="LL437" s="770"/>
      <c r="LM437" s="770"/>
      <c r="LN437" s="766">
        <f t="shared" si="111"/>
        <v>8</v>
      </c>
      <c r="LO437" s="766">
        <f t="shared" si="111"/>
        <v>3</v>
      </c>
      <c r="LP437" s="770">
        <v>3</v>
      </c>
      <c r="LQ437" s="770">
        <v>1</v>
      </c>
      <c r="LR437" s="770"/>
      <c r="LS437" s="770">
        <v>2</v>
      </c>
      <c r="LT437" s="712" t="str">
        <f t="shared" si="116"/>
        <v>OK</v>
      </c>
      <c r="LU437" s="770"/>
      <c r="LV437" s="770">
        <v>1</v>
      </c>
      <c r="LW437" s="770"/>
      <c r="LX437" s="769">
        <v>1</v>
      </c>
      <c r="LY437" s="766" t="str">
        <f t="shared" si="119"/>
        <v>within the BRGY</v>
      </c>
      <c r="LZ437" s="1709"/>
      <c r="MA437" s="1709"/>
      <c r="MB437" s="1709"/>
      <c r="MC437" s="1679">
        <f t="shared" si="110"/>
        <v>0</v>
      </c>
      <c r="MD437" s="1709">
        <v>75000</v>
      </c>
      <c r="ME437" s="1709"/>
      <c r="MF437" s="1709">
        <f>SUM(33000,36000,9000)</f>
        <v>78000</v>
      </c>
      <c r="MG437" s="1680">
        <f t="shared" si="118"/>
        <v>153000</v>
      </c>
      <c r="MH437" s="770" t="s">
        <v>2968</v>
      </c>
      <c r="MI437" s="302">
        <v>15000</v>
      </c>
      <c r="MJ437" s="302">
        <v>2850</v>
      </c>
      <c r="MK437" s="302">
        <v>2292</v>
      </c>
      <c r="ML437" s="302">
        <v>3360</v>
      </c>
      <c r="MM437" s="302">
        <v>567</v>
      </c>
      <c r="MN437" s="302"/>
      <c r="MO437" s="302">
        <v>6000</v>
      </c>
      <c r="MP437" s="302">
        <v>10000</v>
      </c>
      <c r="MQ437" s="302">
        <v>1100</v>
      </c>
      <c r="MR437" s="302">
        <v>800</v>
      </c>
      <c r="MS437" s="302"/>
      <c r="MT437" s="302"/>
      <c r="MU437" s="302"/>
      <c r="MV437" s="302"/>
      <c r="MW437" s="302"/>
      <c r="MX437" s="302"/>
      <c r="MY437" s="1682">
        <f t="shared" si="102"/>
        <v>41969</v>
      </c>
      <c r="MZ437" s="770" t="s">
        <v>13370</v>
      </c>
      <c r="NA437" s="770" t="s">
        <v>13005</v>
      </c>
      <c r="NB437" s="766" t="s">
        <v>13371</v>
      </c>
      <c r="NC437" s="766" t="s">
        <v>13523</v>
      </c>
      <c r="ND437" s="770">
        <v>1</v>
      </c>
      <c r="NE437" s="770">
        <v>0</v>
      </c>
      <c r="NF437" s="770">
        <v>1</v>
      </c>
      <c r="NG437" s="770">
        <v>6</v>
      </c>
      <c r="NH437" s="770">
        <v>3</v>
      </c>
      <c r="NI437" s="770">
        <v>2</v>
      </c>
      <c r="NJ437" s="770">
        <v>0</v>
      </c>
      <c r="NK437" s="770">
        <v>0</v>
      </c>
      <c r="NL437" s="770">
        <v>2</v>
      </c>
      <c r="NM437" s="770">
        <v>2</v>
      </c>
      <c r="NN437" s="770">
        <v>0</v>
      </c>
      <c r="NO437" s="770">
        <v>0</v>
      </c>
      <c r="NP437" s="770">
        <v>0</v>
      </c>
      <c r="NQ437" s="770">
        <v>0</v>
      </c>
      <c r="NR437" s="770">
        <v>0</v>
      </c>
      <c r="NS437" s="770">
        <v>0</v>
      </c>
      <c r="NT437" s="770">
        <v>0</v>
      </c>
      <c r="NU437" s="770">
        <v>0</v>
      </c>
      <c r="NV437" s="770">
        <v>0</v>
      </c>
      <c r="NW437" s="770">
        <v>0</v>
      </c>
      <c r="NX437" s="770">
        <v>0</v>
      </c>
      <c r="NY437" s="770"/>
      <c r="NZ437" s="770"/>
      <c r="OA437" s="770"/>
      <c r="OB437" s="770"/>
      <c r="OC437" s="770" t="s">
        <v>1208</v>
      </c>
      <c r="OD437" s="770"/>
      <c r="OE437" s="770"/>
      <c r="OF437" s="770" t="s">
        <v>2143</v>
      </c>
      <c r="OG437" s="770"/>
      <c r="OH437" s="770"/>
      <c r="OI437" s="770"/>
      <c r="OJ437" s="770"/>
      <c r="OK437" s="770"/>
      <c r="OL437" s="770"/>
      <c r="OM437" s="770"/>
      <c r="ON437" s="770"/>
      <c r="OO437" s="770"/>
      <c r="OP437" s="770"/>
      <c r="OQ437" s="770"/>
      <c r="OR437" s="770"/>
      <c r="OS437" s="770"/>
      <c r="OT437" s="770"/>
      <c r="OU437" s="770"/>
      <c r="OV437" s="770"/>
      <c r="OW437" s="770"/>
      <c r="OX437" s="770"/>
      <c r="OY437" s="770"/>
      <c r="OZ437" s="770"/>
      <c r="PA437" s="770"/>
      <c r="PB437" s="770"/>
      <c r="PC437" s="770"/>
      <c r="PD437" s="770"/>
      <c r="PE437" s="770"/>
      <c r="PF437" s="770"/>
      <c r="PG437" s="770"/>
      <c r="PH437" s="770"/>
      <c r="PI437" s="770"/>
      <c r="PJ437" s="770"/>
      <c r="PK437" s="770"/>
      <c r="PL437" s="770"/>
      <c r="PM437" s="770"/>
      <c r="PN437" s="770" t="s">
        <v>1208</v>
      </c>
      <c r="PO437" s="770"/>
      <c r="PP437" s="770"/>
      <c r="PQ437" s="770"/>
      <c r="PR437" s="770"/>
      <c r="PS437" s="770"/>
      <c r="PT437" s="770"/>
      <c r="PU437" s="770"/>
      <c r="PV437" s="770"/>
      <c r="PW437" s="770"/>
      <c r="PX437" s="770"/>
      <c r="PY437" s="770"/>
      <c r="PZ437" s="770"/>
      <c r="QA437" s="770"/>
      <c r="QB437" s="770"/>
      <c r="QC437" s="770"/>
      <c r="QD437" s="770"/>
      <c r="QE437" s="770"/>
      <c r="QF437" s="770"/>
      <c r="QG437" s="770"/>
      <c r="QH437" s="770"/>
      <c r="QI437" s="770"/>
      <c r="QJ437" s="770"/>
      <c r="QK437" s="770"/>
      <c r="QL437" s="770"/>
      <c r="QM437" s="770"/>
      <c r="QN437" s="770"/>
      <c r="QO437" s="770"/>
      <c r="QP437" s="770"/>
      <c r="QQ437" s="770"/>
      <c r="QR437" s="770"/>
      <c r="QS437" s="770"/>
      <c r="QT437" s="770"/>
      <c r="QU437" s="770"/>
      <c r="QV437" s="770"/>
      <c r="QW437" s="770"/>
      <c r="QX437" s="770"/>
      <c r="QY437" s="770"/>
      <c r="QZ437" s="770"/>
      <c r="RA437" s="770"/>
      <c r="RB437" s="770" t="s">
        <v>1214</v>
      </c>
      <c r="RC437" s="770"/>
      <c r="RD437" s="770"/>
      <c r="RE437" s="770"/>
      <c r="RF437" s="304"/>
      <c r="RG437" s="770"/>
      <c r="RH437" s="302"/>
      <c r="RI437" s="770"/>
      <c r="RJ437" s="770" t="s">
        <v>13567</v>
      </c>
      <c r="RK437" s="770" t="s">
        <v>13550</v>
      </c>
      <c r="RL437" s="1710"/>
      <c r="RM437" s="12"/>
      <c r="RN437" s="1711"/>
      <c r="RO437" s="133" t="s">
        <v>2391</v>
      </c>
      <c r="RP437" s="11"/>
      <c r="RQ437" s="11"/>
      <c r="RR437" s="19" t="s">
        <v>7421</v>
      </c>
      <c r="RS437" s="1139" t="s">
        <v>12980</v>
      </c>
      <c r="RT437" s="11"/>
      <c r="RU437" s="11"/>
      <c r="RV437" s="771" t="s">
        <v>7421</v>
      </c>
      <c r="RW437" s="11" t="s">
        <v>7739</v>
      </c>
      <c r="RX437" s="11" t="s">
        <v>2377</v>
      </c>
      <c r="RY437" s="11"/>
      <c r="RZ437" s="11" t="s">
        <v>1101</v>
      </c>
      <c r="SA437" s="771"/>
      <c r="SB437" s="11"/>
      <c r="SC437" s="11"/>
    </row>
    <row r="438" spans="1:497">
      <c r="A438" s="19" t="s">
        <v>7421</v>
      </c>
      <c r="B438" s="1007" t="s">
        <v>7741</v>
      </c>
      <c r="C438" s="133" t="s">
        <v>2398</v>
      </c>
      <c r="D438" s="94" t="s">
        <v>2399</v>
      </c>
      <c r="E438" s="770" t="s">
        <v>7927</v>
      </c>
      <c r="F438" s="770" t="s">
        <v>28</v>
      </c>
      <c r="G438" s="770" t="s">
        <v>18</v>
      </c>
      <c r="H438" s="770"/>
      <c r="I438" s="298" t="s">
        <v>2405</v>
      </c>
      <c r="J438" s="94" t="s">
        <v>2399</v>
      </c>
      <c r="K438" s="766" t="s">
        <v>2395</v>
      </c>
      <c r="L438" s="766" t="s">
        <v>2401</v>
      </c>
      <c r="M438" s="770" t="s">
        <v>2402</v>
      </c>
      <c r="N438" s="770"/>
      <c r="O438" s="770" t="s">
        <v>2403</v>
      </c>
      <c r="P438" s="94" t="s">
        <v>2404</v>
      </c>
      <c r="Q438" s="1088">
        <v>20718</v>
      </c>
      <c r="R438" s="297">
        <v>60</v>
      </c>
      <c r="S438" s="770" t="s">
        <v>18</v>
      </c>
      <c r="T438" s="770"/>
      <c r="U438" s="298" t="s">
        <v>2405</v>
      </c>
      <c r="V438" s="770" t="s">
        <v>719</v>
      </c>
      <c r="W438" s="770"/>
      <c r="X438" s="770"/>
      <c r="Y438" s="770" t="s">
        <v>2400</v>
      </c>
      <c r="Z438" s="770" t="s">
        <v>708</v>
      </c>
      <c r="AA438" s="770" t="s">
        <v>709</v>
      </c>
      <c r="AB438" s="770" t="s">
        <v>710</v>
      </c>
      <c r="AC438" s="770"/>
      <c r="AD438" s="770" t="s">
        <v>711</v>
      </c>
      <c r="AE438" s="770"/>
      <c r="AF438" s="770" t="s">
        <v>798</v>
      </c>
      <c r="AG438" s="766" t="s">
        <v>1132</v>
      </c>
      <c r="AH438" s="766" t="s">
        <v>1096</v>
      </c>
      <c r="AI438" s="770"/>
      <c r="AJ438" s="770" t="s">
        <v>1137</v>
      </c>
      <c r="AK438" s="770" t="s">
        <v>1101</v>
      </c>
      <c r="AL438" s="531">
        <v>21.46</v>
      </c>
      <c r="AM438" s="780">
        <v>16.2</v>
      </c>
      <c r="AN438" s="532">
        <f>AM438/AL438</f>
        <v>0.754892823858341</v>
      </c>
      <c r="AO438" s="766" t="s">
        <v>1105</v>
      </c>
      <c r="AP438" s="1773"/>
      <c r="AQ438" s="766"/>
      <c r="AR438" s="766"/>
      <c r="AS438" s="770"/>
      <c r="AT438" s="770"/>
      <c r="AU438" s="770"/>
      <c r="AV438" s="770"/>
      <c r="AW438" s="770"/>
      <c r="AX438" s="770"/>
      <c r="AY438" s="770"/>
      <c r="AZ438" s="770"/>
      <c r="BA438" s="770"/>
      <c r="BB438" s="770"/>
      <c r="BC438" s="770"/>
      <c r="BD438" s="770"/>
      <c r="BE438" s="770"/>
      <c r="BF438" s="302"/>
      <c r="BG438" s="302"/>
      <c r="BH438" s="770"/>
      <c r="BI438" s="770"/>
      <c r="BJ438" s="770"/>
      <c r="BK438" s="770" t="s">
        <v>1095</v>
      </c>
      <c r="BL438" s="770" t="s">
        <v>2406</v>
      </c>
      <c r="BM438" s="766" t="s">
        <v>1096</v>
      </c>
      <c r="BN438" s="770" t="s">
        <v>1230</v>
      </c>
      <c r="BO438" s="766" t="s">
        <v>1239</v>
      </c>
      <c r="BP438" s="1114">
        <v>21.46</v>
      </c>
      <c r="BQ438" s="780">
        <v>16.2</v>
      </c>
      <c r="BR438" s="774">
        <f>BQ438/BP438</f>
        <v>0.754892823858341</v>
      </c>
      <c r="BS438" s="766" t="s">
        <v>1105</v>
      </c>
      <c r="BT438" s="766" t="s">
        <v>8133</v>
      </c>
      <c r="BU438" s="770" t="s">
        <v>1249</v>
      </c>
      <c r="BV438" s="770" t="s">
        <v>1247</v>
      </c>
      <c r="BW438" s="769"/>
      <c r="BX438" s="302"/>
      <c r="BY438" s="770"/>
      <c r="BZ438" s="302"/>
      <c r="CA438" s="770"/>
      <c r="CB438" s="770"/>
      <c r="CC438" s="770"/>
      <c r="CD438" s="770"/>
      <c r="CE438" s="770"/>
      <c r="CF438" s="1753"/>
      <c r="CG438" s="1754"/>
      <c r="CH438" s="770"/>
      <c r="CI438" s="770"/>
      <c r="CJ438" s="770"/>
      <c r="CK438" s="770"/>
      <c r="CL438" s="770"/>
      <c r="CM438" s="770"/>
      <c r="CN438" s="770"/>
      <c r="CO438" s="770"/>
      <c r="CP438" s="770"/>
      <c r="CQ438" s="770"/>
      <c r="CR438" s="302"/>
      <c r="CS438" s="770"/>
      <c r="CT438" s="770"/>
      <c r="CU438" s="305"/>
      <c r="CV438" s="770"/>
      <c r="CW438" s="770"/>
      <c r="CX438" s="770"/>
      <c r="CY438" s="770"/>
      <c r="CZ438" s="770"/>
      <c r="DA438" s="306"/>
      <c r="DB438" s="770"/>
      <c r="DC438" s="770"/>
      <c r="DD438" s="770"/>
      <c r="DE438" s="300"/>
      <c r="DF438" s="770"/>
      <c r="DG438" s="770"/>
      <c r="DH438" s="770"/>
      <c r="DI438" s="770"/>
      <c r="DJ438" s="770"/>
      <c r="DK438" s="770"/>
      <c r="DL438" s="770"/>
      <c r="DM438" s="770"/>
      <c r="DN438" s="322"/>
      <c r="DO438" s="770"/>
      <c r="DP438" s="770"/>
      <c r="DQ438" s="770"/>
      <c r="DR438" s="770"/>
      <c r="DS438" s="307"/>
      <c r="DT438" s="770"/>
      <c r="DU438" s="770"/>
      <c r="DV438" s="770"/>
      <c r="DW438" s="306"/>
      <c r="DX438" s="306"/>
      <c r="DY438" s="770"/>
      <c r="DZ438" s="770"/>
      <c r="EA438" s="770"/>
      <c r="EB438" s="770"/>
      <c r="EC438" s="770"/>
      <c r="ED438" s="770"/>
      <c r="EE438" s="770"/>
      <c r="EF438" s="770"/>
      <c r="EG438" s="770"/>
      <c r="EH438" s="770"/>
      <c r="EI438" s="770"/>
      <c r="EJ438" s="770"/>
      <c r="EK438" s="770"/>
      <c r="EL438" s="770"/>
      <c r="EM438" s="770"/>
      <c r="EN438" s="770"/>
      <c r="EO438" s="770"/>
      <c r="EP438" s="94"/>
      <c r="EQ438" s="770"/>
      <c r="ER438" s="770"/>
      <c r="ES438" s="770"/>
      <c r="ET438" s="770"/>
      <c r="EU438" s="770"/>
      <c r="EV438" s="770"/>
      <c r="EW438" s="770"/>
      <c r="EX438" s="770"/>
      <c r="EY438" s="770"/>
      <c r="EZ438" s="770"/>
      <c r="FA438" s="770"/>
      <c r="FB438" s="770"/>
      <c r="FC438" s="770"/>
      <c r="FD438" s="302"/>
      <c r="FE438" s="770"/>
      <c r="FF438" s="770"/>
      <c r="FG438" s="770"/>
      <c r="FH438" s="770" t="s">
        <v>478</v>
      </c>
      <c r="FI438" s="770">
        <v>1</v>
      </c>
      <c r="FJ438" s="770"/>
      <c r="FK438" s="770"/>
      <c r="FL438" s="770"/>
      <c r="FM438" s="302"/>
      <c r="FN438" s="302"/>
      <c r="FO438" s="302"/>
      <c r="FP438" s="766" t="s">
        <v>1602</v>
      </c>
      <c r="FQ438" s="766" t="s">
        <v>1660</v>
      </c>
      <c r="FR438" s="770"/>
      <c r="FS438" s="770"/>
      <c r="FT438" s="770"/>
      <c r="FU438" s="770"/>
      <c r="FV438" s="770"/>
      <c r="FW438" s="770"/>
      <c r="FX438" s="770"/>
      <c r="FY438" s="770"/>
      <c r="FZ438" s="770"/>
      <c r="GA438" s="770"/>
      <c r="GB438" s="770" t="s">
        <v>1734</v>
      </c>
      <c r="GC438" s="308"/>
      <c r="GD438" s="297">
        <v>1987</v>
      </c>
      <c r="GE438" s="770"/>
      <c r="GF438" s="302"/>
      <c r="GG438" s="302"/>
      <c r="GH438" s="712" t="s">
        <v>1791</v>
      </c>
      <c r="GI438" s="770" t="s">
        <v>2407</v>
      </c>
      <c r="GJ438" s="770" t="s">
        <v>2408</v>
      </c>
      <c r="GK438" s="770" t="s">
        <v>2407</v>
      </c>
      <c r="GL438" s="770"/>
      <c r="GM438" s="770"/>
      <c r="GN438" s="299"/>
      <c r="GO438" s="770"/>
      <c r="GP438" s="770"/>
      <c r="GQ438" s="770" t="s">
        <v>1208</v>
      </c>
      <c r="GR438" s="770" t="s">
        <v>1208</v>
      </c>
      <c r="GS438" s="770" t="s">
        <v>1208</v>
      </c>
      <c r="GT438" s="770" t="s">
        <v>1208</v>
      </c>
      <c r="GU438" s="770"/>
      <c r="GV438" s="770"/>
      <c r="GW438" s="770" t="s">
        <v>1207</v>
      </c>
      <c r="GX438" s="770"/>
      <c r="GY438" s="770" t="s">
        <v>1208</v>
      </c>
      <c r="GZ438" s="770" t="s">
        <v>1208</v>
      </c>
      <c r="HA438" s="770" t="s">
        <v>1208</v>
      </c>
      <c r="HB438" s="770" t="s">
        <v>1208</v>
      </c>
      <c r="HC438" s="770" t="s">
        <v>1208</v>
      </c>
      <c r="HD438" s="770" t="s">
        <v>1208</v>
      </c>
      <c r="HE438" s="770" t="s">
        <v>1208</v>
      </c>
      <c r="HF438" s="770"/>
      <c r="HG438" s="770"/>
      <c r="HH438" s="770"/>
      <c r="HI438" s="770" t="s">
        <v>1214</v>
      </c>
      <c r="HJ438" s="770"/>
      <c r="HK438" s="770"/>
      <c r="HL438" s="770"/>
      <c r="HM438" s="770"/>
      <c r="HN438" s="770"/>
      <c r="HO438" s="770"/>
      <c r="HP438" s="770"/>
      <c r="HQ438" s="770"/>
      <c r="HR438" s="770">
        <v>2</v>
      </c>
      <c r="HS438" s="770">
        <v>1</v>
      </c>
      <c r="HT438" s="770"/>
      <c r="HU438" s="770"/>
      <c r="HV438" s="770"/>
      <c r="HW438" s="770"/>
      <c r="HX438" s="770"/>
      <c r="HY438" s="770"/>
      <c r="HZ438" s="770"/>
      <c r="IA438" s="770"/>
      <c r="IB438" s="14" t="e">
        <f>IF(#REF!&gt;0,IF(#REF!&lt;=10000,"Y",""),"")</f>
        <v>#REF!</v>
      </c>
      <c r="IC438" s="770" t="s">
        <v>1207</v>
      </c>
      <c r="ID438" s="770"/>
      <c r="IE438" s="770"/>
      <c r="IF438" s="770" t="s">
        <v>2409</v>
      </c>
      <c r="IG438" s="770" t="s">
        <v>18</v>
      </c>
      <c r="IH438" s="770" t="s">
        <v>478</v>
      </c>
      <c r="II438" s="770" t="s">
        <v>2410</v>
      </c>
      <c r="IJ438" s="770" t="s">
        <v>1835</v>
      </c>
      <c r="IK438" s="766" t="s">
        <v>1888</v>
      </c>
      <c r="IL438" s="770" t="s">
        <v>2406</v>
      </c>
      <c r="IM438" s="770">
        <v>1987</v>
      </c>
      <c r="IN438" s="770" t="s">
        <v>2406</v>
      </c>
      <c r="IO438" s="296"/>
      <c r="IP438" s="770" t="s">
        <v>478</v>
      </c>
      <c r="IQ438" s="13" t="s">
        <v>1882</v>
      </c>
      <c r="IR438" s="770" t="s">
        <v>2716</v>
      </c>
      <c r="IS438" s="770" t="s">
        <v>1883</v>
      </c>
      <c r="IT438" s="770"/>
      <c r="IU438" s="770" t="s">
        <v>1208</v>
      </c>
      <c r="IV438" s="770"/>
      <c r="IW438" s="770"/>
      <c r="IX438" s="770"/>
      <c r="IY438" s="770" t="s">
        <v>12789</v>
      </c>
      <c r="IZ438" s="770"/>
      <c r="JA438" s="770" t="s">
        <v>1880</v>
      </c>
      <c r="JB438" s="770" t="s">
        <v>1901</v>
      </c>
      <c r="JC438" s="770"/>
      <c r="JD438" s="302">
        <v>5000</v>
      </c>
      <c r="JE438" s="770"/>
      <c r="JF438" s="770"/>
      <c r="JG438" s="770"/>
      <c r="JH438" s="307"/>
      <c r="JI438" s="712" t="str">
        <f>IF(SUM(JT438,JU438)=JJ438,"ok","review")</f>
        <v>ok</v>
      </c>
      <c r="JJ438" s="770">
        <v>2</v>
      </c>
      <c r="JK438" s="1139" t="s">
        <v>2411</v>
      </c>
      <c r="JL438" s="766"/>
      <c r="JM438" s="766"/>
      <c r="JN438" s="766"/>
      <c r="JO438" s="766">
        <v>1</v>
      </c>
      <c r="JP438" s="766"/>
      <c r="JQ438" s="766"/>
      <c r="JR438" s="766">
        <v>1</v>
      </c>
      <c r="JS438" s="766"/>
      <c r="JT438" s="766">
        <f t="shared" si="117"/>
        <v>1</v>
      </c>
      <c r="JU438" s="766">
        <f t="shared" si="117"/>
        <v>1</v>
      </c>
      <c r="JV438" s="712" t="str">
        <f t="shared" si="112"/>
        <v>ok</v>
      </c>
      <c r="JW438" s="712" t="str">
        <f t="shared" si="113"/>
        <v>ok</v>
      </c>
      <c r="JX438" s="766"/>
      <c r="JY438" s="766"/>
      <c r="JZ438" s="766"/>
      <c r="KA438" s="766"/>
      <c r="KB438" s="766"/>
      <c r="KC438" s="766"/>
      <c r="KD438" s="766"/>
      <c r="KE438" s="766"/>
      <c r="KF438" s="766"/>
      <c r="KG438" s="766">
        <v>1</v>
      </c>
      <c r="KH438" s="766">
        <v>1</v>
      </c>
      <c r="KI438" s="766"/>
      <c r="KJ438" s="770">
        <f t="shared" si="103"/>
        <v>1</v>
      </c>
      <c r="KK438" s="770">
        <f t="shared" si="103"/>
        <v>1</v>
      </c>
      <c r="KL438" s="712" t="str">
        <f t="shared" si="114"/>
        <v>ok</v>
      </c>
      <c r="KM438" s="712" t="str">
        <f t="shared" si="115"/>
        <v>ok</v>
      </c>
      <c r="KN438" s="770" t="s">
        <v>768</v>
      </c>
      <c r="KO438" s="770"/>
      <c r="KP438" s="770"/>
      <c r="KQ438" s="770"/>
      <c r="KR438" s="770"/>
      <c r="KS438" s="770"/>
      <c r="KT438" s="770"/>
      <c r="KU438" s="770"/>
      <c r="KV438" s="770"/>
      <c r="KW438" s="770"/>
      <c r="KX438" s="770">
        <v>1</v>
      </c>
      <c r="KY438" s="770"/>
      <c r="KZ438" s="770"/>
      <c r="LA438" s="770">
        <v>1</v>
      </c>
      <c r="LB438" s="770"/>
      <c r="LC438" s="770"/>
      <c r="LD438" s="770"/>
      <c r="LE438" s="770"/>
      <c r="LF438" s="770"/>
      <c r="LG438" s="770"/>
      <c r="LH438" s="770"/>
      <c r="LI438" s="770"/>
      <c r="LJ438" s="770"/>
      <c r="LK438" s="770"/>
      <c r="LL438" s="770"/>
      <c r="LM438" s="770"/>
      <c r="LN438" s="766">
        <f t="shared" si="111"/>
        <v>1</v>
      </c>
      <c r="LO438" s="766">
        <f t="shared" si="111"/>
        <v>1</v>
      </c>
      <c r="LP438" s="770">
        <v>2</v>
      </c>
      <c r="LQ438" s="770">
        <v>2</v>
      </c>
      <c r="LR438" s="770"/>
      <c r="LS438" s="770">
        <v>1</v>
      </c>
      <c r="LT438" s="712" t="str">
        <f t="shared" si="116"/>
        <v>OK</v>
      </c>
      <c r="LU438" s="770">
        <v>1</v>
      </c>
      <c r="LV438" s="770"/>
      <c r="LW438" s="770">
        <v>1</v>
      </c>
      <c r="LX438" s="769">
        <v>1</v>
      </c>
      <c r="LY438" s="766" t="str">
        <f t="shared" si="119"/>
        <v>within the BRGY</v>
      </c>
      <c r="LZ438" s="1709"/>
      <c r="MA438" s="1709"/>
      <c r="MB438" s="1709"/>
      <c r="MC438" s="1679">
        <f t="shared" si="110"/>
        <v>0</v>
      </c>
      <c r="MD438" s="1709">
        <f>SUM(15000,9000)</f>
        <v>24000</v>
      </c>
      <c r="ME438" s="1709"/>
      <c r="MF438" s="1709">
        <v>5000</v>
      </c>
      <c r="MG438" s="1680">
        <f t="shared" si="118"/>
        <v>29000</v>
      </c>
      <c r="MH438" s="770" t="s">
        <v>2968</v>
      </c>
      <c r="MI438" s="302">
        <v>12000</v>
      </c>
      <c r="MJ438" s="302">
        <v>50</v>
      </c>
      <c r="MK438" s="302">
        <v>40</v>
      </c>
      <c r="ML438" s="302">
        <v>324</v>
      </c>
      <c r="MM438" s="302">
        <v>150</v>
      </c>
      <c r="MN438" s="302"/>
      <c r="MO438" s="302">
        <v>30</v>
      </c>
      <c r="MP438" s="302"/>
      <c r="MQ438" s="302">
        <v>3000</v>
      </c>
      <c r="MR438" s="302"/>
      <c r="MS438" s="302">
        <v>2400</v>
      </c>
      <c r="MT438" s="302"/>
      <c r="MU438" s="302"/>
      <c r="MV438" s="302"/>
      <c r="MW438" s="302"/>
      <c r="MX438" s="302"/>
      <c r="MY438" s="1682">
        <f t="shared" si="102"/>
        <v>17994</v>
      </c>
      <c r="MZ438" s="770" t="s">
        <v>13395</v>
      </c>
      <c r="NA438" s="770" t="s">
        <v>13230</v>
      </c>
      <c r="NB438" s="770" t="s">
        <v>13092</v>
      </c>
      <c r="NC438" s="766" t="s">
        <v>13523</v>
      </c>
      <c r="ND438" s="770">
        <v>0</v>
      </c>
      <c r="NE438" s="770">
        <v>0</v>
      </c>
      <c r="NF438" s="770">
        <v>0</v>
      </c>
      <c r="NG438" s="770">
        <v>3</v>
      </c>
      <c r="NH438" s="770">
        <v>1</v>
      </c>
      <c r="NI438" s="770">
        <v>1</v>
      </c>
      <c r="NJ438" s="770">
        <v>1</v>
      </c>
      <c r="NK438" s="770">
        <v>0</v>
      </c>
      <c r="NL438" s="770">
        <v>0</v>
      </c>
      <c r="NM438" s="770">
        <v>1</v>
      </c>
      <c r="NN438" s="770">
        <v>0</v>
      </c>
      <c r="NO438" s="770">
        <v>0</v>
      </c>
      <c r="NP438" s="770">
        <v>0</v>
      </c>
      <c r="NQ438" s="770">
        <v>0</v>
      </c>
      <c r="NR438" s="770">
        <v>0</v>
      </c>
      <c r="NS438" s="770">
        <v>0</v>
      </c>
      <c r="NT438" s="770">
        <v>0</v>
      </c>
      <c r="NU438" s="770">
        <v>0</v>
      </c>
      <c r="NV438" s="770">
        <v>0</v>
      </c>
      <c r="NW438" s="770">
        <v>0</v>
      </c>
      <c r="NX438" s="770">
        <v>0</v>
      </c>
      <c r="NY438" s="770" t="s">
        <v>1208</v>
      </c>
      <c r="NZ438" s="770" t="s">
        <v>1208</v>
      </c>
      <c r="OA438" s="770" t="s">
        <v>1208</v>
      </c>
      <c r="OB438" s="770" t="s">
        <v>1208</v>
      </c>
      <c r="OC438" s="770" t="s">
        <v>1208</v>
      </c>
      <c r="OD438" s="770"/>
      <c r="OE438" s="770"/>
      <c r="OF438" s="1828" t="s">
        <v>13565</v>
      </c>
      <c r="OG438" s="770"/>
      <c r="OH438" s="770"/>
      <c r="OI438" s="770"/>
      <c r="OJ438" s="770"/>
      <c r="OK438" s="770" t="s">
        <v>1208</v>
      </c>
      <c r="OL438" s="770" t="s">
        <v>13569</v>
      </c>
      <c r="OM438" s="770"/>
      <c r="ON438" s="770"/>
      <c r="OO438" s="770" t="s">
        <v>1207</v>
      </c>
      <c r="OP438" s="770" t="s">
        <v>13570</v>
      </c>
      <c r="OQ438" s="770" t="s">
        <v>12888</v>
      </c>
      <c r="OR438" s="770" t="s">
        <v>2139</v>
      </c>
      <c r="OS438" s="770" t="s">
        <v>12885</v>
      </c>
      <c r="OT438" s="770" t="s">
        <v>13571</v>
      </c>
      <c r="OU438" s="770"/>
      <c r="OV438" s="770" t="s">
        <v>1208</v>
      </c>
      <c r="OW438" s="770"/>
      <c r="OX438" s="770" t="s">
        <v>1208</v>
      </c>
      <c r="OY438" s="770" t="s">
        <v>1208</v>
      </c>
      <c r="OZ438" s="770" t="s">
        <v>1208</v>
      </c>
      <c r="PA438" s="770" t="s">
        <v>1208</v>
      </c>
      <c r="PB438" s="770" t="s">
        <v>1208</v>
      </c>
      <c r="PC438" s="770"/>
      <c r="PD438" s="770"/>
      <c r="PE438" s="770"/>
      <c r="PF438" s="770"/>
      <c r="PG438" s="770"/>
      <c r="PH438" s="770"/>
      <c r="PI438" s="770" t="s">
        <v>1208</v>
      </c>
      <c r="PJ438" s="770"/>
      <c r="PK438" s="770"/>
      <c r="PL438" s="770"/>
      <c r="PM438" s="770"/>
      <c r="PN438" s="770"/>
      <c r="PO438" s="770"/>
      <c r="PP438" s="770"/>
      <c r="PQ438" s="770"/>
      <c r="PR438" s="770"/>
      <c r="PS438" s="770"/>
      <c r="PT438" s="770"/>
      <c r="PU438" s="770"/>
      <c r="PV438" s="770"/>
      <c r="PW438" s="770"/>
      <c r="PX438" s="770"/>
      <c r="PY438" s="770"/>
      <c r="PZ438" s="770"/>
      <c r="QA438" s="770"/>
      <c r="QB438" s="770"/>
      <c r="QC438" s="770"/>
      <c r="QD438" s="770"/>
      <c r="QE438" s="770"/>
      <c r="QF438" s="770"/>
      <c r="QG438" s="770"/>
      <c r="QH438" s="770"/>
      <c r="QI438" s="770"/>
      <c r="QJ438" s="770"/>
      <c r="QK438" s="770"/>
      <c r="QL438" s="770"/>
      <c r="QM438" s="770"/>
      <c r="QN438" s="770" t="s">
        <v>1208</v>
      </c>
      <c r="QO438" s="770"/>
      <c r="QP438" s="770"/>
      <c r="QQ438" s="770"/>
      <c r="QR438" s="770"/>
      <c r="QS438" s="770"/>
      <c r="QT438" s="770"/>
      <c r="QU438" s="770"/>
      <c r="QV438" s="770"/>
      <c r="QW438" s="770"/>
      <c r="QX438" s="770"/>
      <c r="QY438" s="770"/>
      <c r="QZ438" s="770"/>
      <c r="RA438" s="770"/>
      <c r="RB438" s="770" t="s">
        <v>1214</v>
      </c>
      <c r="RC438" s="770"/>
      <c r="RD438" s="770"/>
      <c r="RE438" s="770"/>
      <c r="RF438" s="304"/>
      <c r="RG438" s="770"/>
      <c r="RH438" s="302"/>
      <c r="RI438" s="770"/>
      <c r="RJ438" s="770" t="s">
        <v>2411</v>
      </c>
      <c r="RK438" s="770" t="s">
        <v>13544</v>
      </c>
      <c r="RL438" s="1710"/>
      <c r="RM438" s="12"/>
      <c r="RN438" s="1711"/>
      <c r="RO438" s="133" t="s">
        <v>2398</v>
      </c>
      <c r="RP438" s="11"/>
      <c r="RQ438" s="11"/>
      <c r="RR438" s="19" t="s">
        <v>7421</v>
      </c>
      <c r="RS438" s="1139" t="s">
        <v>12980</v>
      </c>
      <c r="RT438" s="11"/>
      <c r="RU438" s="11"/>
      <c r="RV438" s="771" t="s">
        <v>12355</v>
      </c>
      <c r="RW438" s="11" t="s">
        <v>7682</v>
      </c>
      <c r="RX438" s="11" t="s">
        <v>2377</v>
      </c>
      <c r="RY438" s="11"/>
      <c r="RZ438" s="11" t="s">
        <v>1101</v>
      </c>
      <c r="SA438" s="771"/>
      <c r="SB438" s="11"/>
      <c r="SC438" s="11"/>
    </row>
    <row r="439" spans="1:497" ht="12.75" customHeight="1">
      <c r="A439" s="311" t="s">
        <v>14203</v>
      </c>
      <c r="B439" s="752" t="s">
        <v>7500</v>
      </c>
      <c r="C439" s="133" t="s">
        <v>2398</v>
      </c>
      <c r="D439" s="94" t="s">
        <v>2412</v>
      </c>
      <c r="E439" s="770" t="s">
        <v>7927</v>
      </c>
      <c r="F439" s="770" t="s">
        <v>28</v>
      </c>
      <c r="G439" s="770" t="s">
        <v>10</v>
      </c>
      <c r="H439" s="770"/>
      <c r="I439" s="295" t="s">
        <v>2413</v>
      </c>
      <c r="J439" s="94" t="s">
        <v>2412</v>
      </c>
      <c r="K439" s="770"/>
      <c r="L439" s="770"/>
      <c r="M439" s="770"/>
      <c r="N439" s="770"/>
      <c r="O439" s="770"/>
      <c r="P439" s="94" t="s">
        <v>2414</v>
      </c>
      <c r="Q439" s="1088">
        <v>31742</v>
      </c>
      <c r="R439" s="297">
        <v>30</v>
      </c>
      <c r="S439" s="770" t="s">
        <v>10</v>
      </c>
      <c r="T439" s="770"/>
      <c r="U439" s="295" t="s">
        <v>2413</v>
      </c>
      <c r="V439" s="770" t="s">
        <v>707</v>
      </c>
      <c r="W439" s="770"/>
      <c r="X439" s="770"/>
      <c r="Y439" s="770" t="s">
        <v>2400</v>
      </c>
      <c r="Z439" s="770"/>
      <c r="AA439" s="770" t="s">
        <v>709</v>
      </c>
      <c r="AB439" s="770" t="s">
        <v>7273</v>
      </c>
      <c r="AC439" s="770" t="s">
        <v>724</v>
      </c>
      <c r="AD439" s="770"/>
      <c r="AE439" s="770"/>
      <c r="AF439" s="770" t="s">
        <v>712</v>
      </c>
      <c r="AG439" s="770"/>
      <c r="AH439" s="770"/>
      <c r="AI439" s="770"/>
      <c r="AJ439" s="770"/>
      <c r="AK439" s="770" t="s">
        <v>1101</v>
      </c>
      <c r="AL439" s="531"/>
      <c r="AM439" s="780"/>
      <c r="AN439" s="532"/>
      <c r="AO439" s="766"/>
      <c r="AP439" s="1773"/>
      <c r="AQ439" s="766"/>
      <c r="AR439" s="766"/>
      <c r="AS439" s="770"/>
      <c r="AT439" s="770"/>
      <c r="AU439" s="770"/>
      <c r="AV439" s="770"/>
      <c r="AW439" s="770"/>
      <c r="AX439" s="770"/>
      <c r="AY439" s="770"/>
      <c r="AZ439" s="770"/>
      <c r="BA439" s="770"/>
      <c r="BB439" s="770"/>
      <c r="BC439" s="770"/>
      <c r="BD439" s="770"/>
      <c r="BE439" s="770"/>
      <c r="BF439" s="302"/>
      <c r="BG439" s="302"/>
      <c r="BH439" s="770"/>
      <c r="BI439" s="770"/>
      <c r="BJ439" s="770"/>
      <c r="BK439" s="770"/>
      <c r="BL439" s="770"/>
      <c r="BM439" s="770" t="s">
        <v>1238</v>
      </c>
      <c r="BN439" s="770" t="s">
        <v>1256</v>
      </c>
      <c r="BO439" s="770"/>
      <c r="BP439" s="781"/>
      <c r="BQ439" s="780"/>
      <c r="BR439" s="774"/>
      <c r="BS439" s="766" t="s">
        <v>1105</v>
      </c>
      <c r="BT439" s="766"/>
      <c r="BU439" s="770"/>
      <c r="BV439" s="770"/>
      <c r="BW439" s="770"/>
      <c r="BX439" s="302"/>
      <c r="BY439" s="770"/>
      <c r="BZ439" s="302"/>
      <c r="CA439" s="770"/>
      <c r="CB439" s="770"/>
      <c r="CC439" s="770"/>
      <c r="CD439" s="770"/>
      <c r="CE439" s="770"/>
      <c r="CF439" s="1753"/>
      <c r="CG439" s="1754"/>
      <c r="CH439" s="770"/>
      <c r="CI439" s="770"/>
      <c r="CJ439" s="770"/>
      <c r="CK439" s="770"/>
      <c r="CL439" s="770"/>
      <c r="CM439" s="770"/>
      <c r="CN439" s="770"/>
      <c r="CO439" s="770"/>
      <c r="CP439" s="770"/>
      <c r="CQ439" s="770"/>
      <c r="CR439" s="302"/>
      <c r="CS439" s="770"/>
      <c r="CT439" s="770"/>
      <c r="CU439" s="305"/>
      <c r="CV439" s="770"/>
      <c r="CW439" s="770"/>
      <c r="CX439" s="770"/>
      <c r="CY439" s="770"/>
      <c r="CZ439" s="770"/>
      <c r="DA439" s="306"/>
      <c r="DB439" s="770"/>
      <c r="DC439" s="770"/>
      <c r="DD439" s="770"/>
      <c r="DE439" s="300"/>
      <c r="DF439" s="770"/>
      <c r="DG439" s="770"/>
      <c r="DH439" s="770"/>
      <c r="DI439" s="770"/>
      <c r="DJ439" s="770"/>
      <c r="DK439" s="770"/>
      <c r="DL439" s="770"/>
      <c r="DM439" s="770"/>
      <c r="DN439" s="322"/>
      <c r="DO439" s="770"/>
      <c r="DP439" s="770"/>
      <c r="DQ439" s="770"/>
      <c r="DR439" s="770"/>
      <c r="DS439" s="307"/>
      <c r="DT439" s="770"/>
      <c r="DU439" s="770"/>
      <c r="DV439" s="770"/>
      <c r="DW439" s="306"/>
      <c r="DX439" s="306"/>
      <c r="DY439" s="770"/>
      <c r="DZ439" s="770"/>
      <c r="EA439" s="770"/>
      <c r="EB439" s="770"/>
      <c r="EC439" s="770"/>
      <c r="ED439" s="770"/>
      <c r="EE439" s="770"/>
      <c r="EF439" s="770"/>
      <c r="EG439" s="770"/>
      <c r="EH439" s="770"/>
      <c r="EI439" s="770"/>
      <c r="EJ439" s="770"/>
      <c r="EK439" s="770"/>
      <c r="EL439" s="770"/>
      <c r="EM439" s="770"/>
      <c r="EN439" s="770"/>
      <c r="EO439" s="770"/>
      <c r="EP439" s="94"/>
      <c r="EQ439" s="770"/>
      <c r="ER439" s="770"/>
      <c r="ES439" s="770"/>
      <c r="ET439" s="770"/>
      <c r="EU439" s="770"/>
      <c r="EV439" s="770"/>
      <c r="EW439" s="770"/>
      <c r="EX439" s="770"/>
      <c r="EY439" s="770"/>
      <c r="EZ439" s="770"/>
      <c r="FA439" s="770"/>
      <c r="FB439" s="770"/>
      <c r="FC439" s="770"/>
      <c r="FD439" s="302"/>
      <c r="FE439" s="770"/>
      <c r="FF439" s="770"/>
      <c r="FG439" s="770"/>
      <c r="FH439" s="770" t="s">
        <v>1306</v>
      </c>
      <c r="FI439" s="770"/>
      <c r="FJ439" s="770" t="s">
        <v>2411</v>
      </c>
      <c r="FK439" s="770" t="s">
        <v>2405</v>
      </c>
      <c r="FL439" s="770" t="s">
        <v>2415</v>
      </c>
      <c r="FM439" s="147">
        <v>1200</v>
      </c>
      <c r="FN439" s="302">
        <v>100</v>
      </c>
      <c r="FO439" s="302">
        <v>300</v>
      </c>
      <c r="FP439" s="766" t="s">
        <v>1602</v>
      </c>
      <c r="FQ439" s="766" t="s">
        <v>1660</v>
      </c>
      <c r="FR439" s="770"/>
      <c r="FS439" s="770"/>
      <c r="FT439" s="770"/>
      <c r="FU439" s="770"/>
      <c r="FV439" s="770"/>
      <c r="FW439" s="770"/>
      <c r="FX439" s="770"/>
      <c r="FY439" s="770"/>
      <c r="FZ439" s="770"/>
      <c r="GA439" s="770"/>
      <c r="GB439" s="770"/>
      <c r="GC439" s="308"/>
      <c r="GD439" s="297"/>
      <c r="GE439" s="770"/>
      <c r="GF439" s="302"/>
      <c r="GG439" s="302"/>
      <c r="GH439" s="1774"/>
      <c r="GI439" s="770"/>
      <c r="GJ439" s="770"/>
      <c r="GK439" s="770"/>
      <c r="GL439" s="770"/>
      <c r="GM439" s="770"/>
      <c r="GN439" s="299"/>
      <c r="GO439" s="770"/>
      <c r="GP439" s="770"/>
      <c r="GQ439" s="770"/>
      <c r="GR439" s="770"/>
      <c r="GS439" s="770"/>
      <c r="GT439" s="770"/>
      <c r="GU439" s="770"/>
      <c r="GV439" s="770"/>
      <c r="GW439" s="770"/>
      <c r="GX439" s="770"/>
      <c r="GY439" s="770"/>
      <c r="GZ439" s="770"/>
      <c r="HA439" s="770"/>
      <c r="HB439" s="770"/>
      <c r="HC439" s="770"/>
      <c r="HD439" s="770"/>
      <c r="HE439" s="770"/>
      <c r="HF439" s="770"/>
      <c r="HG439" s="770"/>
      <c r="HH439" s="770"/>
      <c r="HI439" s="770"/>
      <c r="HJ439" s="770"/>
      <c r="HK439" s="770"/>
      <c r="HL439" s="770"/>
      <c r="HM439" s="770"/>
      <c r="HN439" s="770"/>
      <c r="HO439" s="770"/>
      <c r="HP439" s="770"/>
      <c r="HQ439" s="770"/>
      <c r="HR439" s="770"/>
      <c r="HS439" s="770"/>
      <c r="HT439" s="770"/>
      <c r="HU439" s="770"/>
      <c r="HV439" s="770"/>
      <c r="HW439" s="770"/>
      <c r="HX439" s="770"/>
      <c r="HY439" s="770"/>
      <c r="HZ439" s="770"/>
      <c r="IA439" s="770"/>
      <c r="IB439" s="14" t="e">
        <f>IF(#REF!&gt;0,IF(#REF!&lt;=10000,"Y",""),"")</f>
        <v>#REF!</v>
      </c>
      <c r="IC439" s="770"/>
      <c r="ID439" s="770"/>
      <c r="IE439" s="770"/>
      <c r="IF439" s="770"/>
      <c r="IG439" s="770"/>
      <c r="IH439" s="770"/>
      <c r="II439" s="770"/>
      <c r="IJ439" s="770"/>
      <c r="IK439" s="770"/>
      <c r="IL439" s="770"/>
      <c r="IM439" s="770"/>
      <c r="IN439" s="770"/>
      <c r="IO439" s="296"/>
      <c r="IP439" s="770"/>
      <c r="IQ439" s="770"/>
      <c r="IR439" s="770"/>
      <c r="IS439" s="770"/>
      <c r="IT439" s="770"/>
      <c r="IU439" s="770"/>
      <c r="IV439" s="770"/>
      <c r="IW439" s="770"/>
      <c r="IX439" s="770"/>
      <c r="IY439" s="770"/>
      <c r="IZ439" s="770"/>
      <c r="JA439" s="770"/>
      <c r="JB439" s="770"/>
      <c r="JC439" s="770"/>
      <c r="JD439" s="302"/>
      <c r="JE439" s="770"/>
      <c r="JF439" s="770"/>
      <c r="JG439" s="770"/>
      <c r="JH439" s="307"/>
      <c r="JI439" s="307"/>
      <c r="JJ439" s="94"/>
      <c r="JK439" s="1047" t="s">
        <v>13572</v>
      </c>
      <c r="JL439" s="770"/>
      <c r="JM439" s="770"/>
      <c r="JN439" s="770"/>
      <c r="JO439" s="770"/>
      <c r="JP439" s="770"/>
      <c r="JQ439" s="770"/>
      <c r="JR439" s="770"/>
      <c r="JS439" s="770"/>
      <c r="JT439" s="766"/>
      <c r="JU439" s="766"/>
      <c r="JV439" s="712" t="str">
        <f t="shared" si="112"/>
        <v>ok</v>
      </c>
      <c r="JW439" s="712" t="str">
        <f t="shared" si="113"/>
        <v>ok</v>
      </c>
      <c r="JX439" s="770"/>
      <c r="JY439" s="770"/>
      <c r="JZ439" s="770"/>
      <c r="KA439" s="770"/>
      <c r="KB439" s="770"/>
      <c r="KC439" s="770"/>
      <c r="KD439" s="770"/>
      <c r="KE439" s="770"/>
      <c r="KF439" s="770"/>
      <c r="KG439" s="770"/>
      <c r="KH439" s="770"/>
      <c r="KI439" s="770"/>
      <c r="KJ439" s="770"/>
      <c r="KK439" s="770"/>
      <c r="KL439" s="712" t="str">
        <f t="shared" si="114"/>
        <v>ok</v>
      </c>
      <c r="KM439" s="712" t="str">
        <f t="shared" si="115"/>
        <v>ok</v>
      </c>
      <c r="KN439" s="770"/>
      <c r="KO439" s="770"/>
      <c r="KP439" s="770"/>
      <c r="KQ439" s="770"/>
      <c r="KR439" s="770"/>
      <c r="KS439" s="770"/>
      <c r="KT439" s="770"/>
      <c r="KU439" s="770"/>
      <c r="KV439" s="770"/>
      <c r="KW439" s="770"/>
      <c r="KX439" s="770"/>
      <c r="KY439" s="770"/>
      <c r="KZ439" s="770"/>
      <c r="LA439" s="770"/>
      <c r="LB439" s="770"/>
      <c r="LC439" s="770"/>
      <c r="LD439" s="770"/>
      <c r="LE439" s="770"/>
      <c r="LF439" s="770"/>
      <c r="LG439" s="770"/>
      <c r="LH439" s="770"/>
      <c r="LI439" s="770"/>
      <c r="LJ439" s="770"/>
      <c r="LK439" s="770"/>
      <c r="LL439" s="770"/>
      <c r="LM439" s="770"/>
      <c r="LN439" s="766"/>
      <c r="LO439" s="766"/>
      <c r="LP439" s="770"/>
      <c r="LQ439" s="770"/>
      <c r="LR439" s="770"/>
      <c r="LS439" s="770"/>
      <c r="LT439" s="712" t="str">
        <f t="shared" si="116"/>
        <v>OK</v>
      </c>
      <c r="LU439" s="770"/>
      <c r="LV439" s="770"/>
      <c r="LW439" s="770"/>
      <c r="LX439" s="769"/>
      <c r="LY439" s="766" t="str">
        <f t="shared" si="119"/>
        <v/>
      </c>
      <c r="LZ439" s="1709"/>
      <c r="MA439" s="1709"/>
      <c r="MB439" s="1709"/>
      <c r="MC439" s="1679">
        <f t="shared" si="110"/>
        <v>0</v>
      </c>
      <c r="MD439" s="1709"/>
      <c r="ME439" s="1709"/>
      <c r="MF439" s="1709"/>
      <c r="MG439" s="1680">
        <v>0</v>
      </c>
      <c r="MH439" s="770"/>
      <c r="MI439" s="302"/>
      <c r="MJ439" s="302"/>
      <c r="MK439" s="302"/>
      <c r="ML439" s="302"/>
      <c r="MM439" s="302"/>
      <c r="MN439" s="302"/>
      <c r="MO439" s="302"/>
      <c r="MP439" s="302"/>
      <c r="MQ439" s="302"/>
      <c r="MR439" s="302"/>
      <c r="MS439" s="302"/>
      <c r="MT439" s="302"/>
      <c r="MU439" s="302"/>
      <c r="MV439" s="302"/>
      <c r="MW439" s="302"/>
      <c r="MX439" s="302"/>
      <c r="MY439" s="1682"/>
      <c r="MZ439" s="770"/>
      <c r="NA439" s="770"/>
      <c r="NB439" s="770"/>
      <c r="NC439" s="770"/>
      <c r="ND439" s="770"/>
      <c r="NE439" s="770"/>
      <c r="NF439" s="770"/>
      <c r="NG439" s="770"/>
      <c r="NH439" s="770"/>
      <c r="NI439" s="770"/>
      <c r="NJ439" s="770"/>
      <c r="NK439" s="770"/>
      <c r="NL439" s="770"/>
      <c r="NM439" s="770"/>
      <c r="NN439" s="770"/>
      <c r="NO439" s="770"/>
      <c r="NP439" s="770"/>
      <c r="NQ439" s="770"/>
      <c r="NR439" s="770"/>
      <c r="NS439" s="770"/>
      <c r="NT439" s="770"/>
      <c r="NU439" s="770"/>
      <c r="NV439" s="770"/>
      <c r="NW439" s="770"/>
      <c r="NX439" s="770"/>
      <c r="NY439" s="770"/>
      <c r="NZ439" s="770"/>
      <c r="OA439" s="770"/>
      <c r="OB439" s="770"/>
      <c r="OC439" s="770"/>
      <c r="OD439" s="770"/>
      <c r="OE439" s="770"/>
      <c r="OF439" s="770"/>
      <c r="OG439" s="770"/>
      <c r="OH439" s="770"/>
      <c r="OI439" s="770"/>
      <c r="OJ439" s="770"/>
      <c r="OK439" s="770"/>
      <c r="OL439" s="770"/>
      <c r="OM439" s="770"/>
      <c r="ON439" s="770"/>
      <c r="OO439" s="770"/>
      <c r="OP439" s="770"/>
      <c r="OQ439" s="770"/>
      <c r="OR439" s="770"/>
      <c r="OS439" s="770"/>
      <c r="OT439" s="770"/>
      <c r="OU439" s="770"/>
      <c r="OV439" s="770"/>
      <c r="OW439" s="770"/>
      <c r="OX439" s="770"/>
      <c r="OY439" s="770"/>
      <c r="OZ439" s="770"/>
      <c r="PA439" s="770"/>
      <c r="PB439" s="770"/>
      <c r="PC439" s="770"/>
      <c r="PD439" s="770"/>
      <c r="PE439" s="770"/>
      <c r="PF439" s="770"/>
      <c r="PG439" s="770"/>
      <c r="PH439" s="770"/>
      <c r="PI439" s="770"/>
      <c r="PJ439" s="770"/>
      <c r="PK439" s="770"/>
      <c r="PL439" s="770"/>
      <c r="PM439" s="770"/>
      <c r="PN439" s="770"/>
      <c r="PO439" s="770"/>
      <c r="PP439" s="770"/>
      <c r="PQ439" s="770"/>
      <c r="PR439" s="770"/>
      <c r="PS439" s="770"/>
      <c r="PT439" s="770"/>
      <c r="PU439" s="770"/>
      <c r="PV439" s="770"/>
      <c r="PW439" s="770"/>
      <c r="PX439" s="770"/>
      <c r="PY439" s="770"/>
      <c r="PZ439" s="770"/>
      <c r="QA439" s="770"/>
      <c r="QB439" s="770"/>
      <c r="QC439" s="770"/>
      <c r="QD439" s="770"/>
      <c r="QE439" s="770"/>
      <c r="QF439" s="770"/>
      <c r="QG439" s="770"/>
      <c r="QH439" s="770"/>
      <c r="QI439" s="770"/>
      <c r="QJ439" s="770"/>
      <c r="QK439" s="770"/>
      <c r="QL439" s="770"/>
      <c r="QM439" s="770"/>
      <c r="QN439" s="770"/>
      <c r="QO439" s="770"/>
      <c r="QP439" s="770"/>
      <c r="QQ439" s="770"/>
      <c r="QR439" s="770"/>
      <c r="QS439" s="770"/>
      <c r="QT439" s="770"/>
      <c r="QU439" s="770"/>
      <c r="QV439" s="770"/>
      <c r="QW439" s="770"/>
      <c r="QX439" s="770"/>
      <c r="QY439" s="770"/>
      <c r="QZ439" s="770"/>
      <c r="RA439" s="770"/>
      <c r="RB439" s="770"/>
      <c r="RC439" s="770"/>
      <c r="RD439" s="770"/>
      <c r="RE439" s="770"/>
      <c r="RF439" s="304"/>
      <c r="RG439" s="770"/>
      <c r="RH439" s="302"/>
      <c r="RI439" s="770"/>
      <c r="RJ439" s="770" t="s">
        <v>13572</v>
      </c>
      <c r="RK439" s="770" t="s">
        <v>13556</v>
      </c>
      <c r="RL439" s="1710"/>
      <c r="RM439" s="12"/>
      <c r="RN439" s="1711"/>
      <c r="RO439" s="133" t="s">
        <v>2398</v>
      </c>
      <c r="RP439" s="11"/>
      <c r="RQ439" s="11"/>
      <c r="RR439" s="311" t="s">
        <v>12452</v>
      </c>
      <c r="RS439" s="1139" t="s">
        <v>12980</v>
      </c>
      <c r="RT439" s="11"/>
      <c r="RU439" s="11"/>
      <c r="RV439" s="6" t="s">
        <v>7421</v>
      </c>
      <c r="RW439" s="11" t="s">
        <v>7740</v>
      </c>
      <c r="RX439" s="11" t="s">
        <v>2391</v>
      </c>
      <c r="RY439" s="11"/>
      <c r="RZ439" s="11"/>
      <c r="SA439" s="6"/>
      <c r="SB439" s="11"/>
      <c r="SC439" s="11"/>
    </row>
    <row r="440" spans="1:497" ht="12.75" customHeight="1">
      <c r="A440" s="19" t="s">
        <v>7421</v>
      </c>
      <c r="B440" s="1007" t="s">
        <v>14261</v>
      </c>
      <c r="C440" s="133" t="s">
        <v>2416</v>
      </c>
      <c r="D440" s="94" t="s">
        <v>2417</v>
      </c>
      <c r="E440" s="770" t="s">
        <v>2418</v>
      </c>
      <c r="F440" s="770" t="s">
        <v>42</v>
      </c>
      <c r="G440" s="770" t="s">
        <v>10</v>
      </c>
      <c r="H440" s="770"/>
      <c r="I440" s="295" t="s">
        <v>2419</v>
      </c>
      <c r="J440" s="94" t="s">
        <v>2420</v>
      </c>
      <c r="K440" s="766" t="s">
        <v>2421</v>
      </c>
      <c r="L440" s="766" t="s">
        <v>2401</v>
      </c>
      <c r="M440" s="770" t="s">
        <v>2402</v>
      </c>
      <c r="N440" s="770"/>
      <c r="O440" s="770" t="s">
        <v>2403</v>
      </c>
      <c r="P440" s="94" t="s">
        <v>2422</v>
      </c>
      <c r="Q440" s="1088">
        <v>32032</v>
      </c>
      <c r="R440" s="297">
        <v>29</v>
      </c>
      <c r="S440" s="770" t="s">
        <v>10</v>
      </c>
      <c r="T440" s="770"/>
      <c r="U440" s="295" t="s">
        <v>2419</v>
      </c>
      <c r="V440" s="770" t="s">
        <v>768</v>
      </c>
      <c r="W440" s="770"/>
      <c r="X440" s="770"/>
      <c r="Y440" s="770" t="s">
        <v>2418</v>
      </c>
      <c r="Z440" s="770" t="s">
        <v>708</v>
      </c>
      <c r="AA440" s="770" t="s">
        <v>709</v>
      </c>
      <c r="AB440" s="770" t="s">
        <v>710</v>
      </c>
      <c r="AC440" s="770"/>
      <c r="AD440" s="770" t="s">
        <v>711</v>
      </c>
      <c r="AE440" s="770"/>
      <c r="AF440" s="770" t="s">
        <v>798</v>
      </c>
      <c r="AG440" s="766" t="s">
        <v>1132</v>
      </c>
      <c r="AH440" s="766" t="s">
        <v>1096</v>
      </c>
      <c r="AI440" s="770"/>
      <c r="AJ440" s="770" t="s">
        <v>1137</v>
      </c>
      <c r="AK440" s="770" t="s">
        <v>1101</v>
      </c>
      <c r="AL440" s="531">
        <v>53.69</v>
      </c>
      <c r="AM440" s="780">
        <v>26.61</v>
      </c>
      <c r="AN440" s="532">
        <f>AM440/AL440</f>
        <v>0.49562302104674988</v>
      </c>
      <c r="AO440" s="766" t="s">
        <v>1149</v>
      </c>
      <c r="AP440" s="1773"/>
      <c r="AQ440" s="766"/>
      <c r="AR440" s="766"/>
      <c r="AS440" s="770"/>
      <c r="AT440" s="770"/>
      <c r="AU440" s="770"/>
      <c r="AV440" s="770"/>
      <c r="AW440" s="770"/>
      <c r="AX440" s="770"/>
      <c r="AY440" s="770"/>
      <c r="AZ440" s="770"/>
      <c r="BA440" s="770"/>
      <c r="BB440" s="770"/>
      <c r="BC440" s="770"/>
      <c r="BD440" s="770"/>
      <c r="BE440" s="770"/>
      <c r="BF440" s="302"/>
      <c r="BG440" s="302"/>
      <c r="BH440" s="770"/>
      <c r="BI440" s="770"/>
      <c r="BJ440" s="770"/>
      <c r="BK440" s="770" t="s">
        <v>1095</v>
      </c>
      <c r="BL440" s="770" t="s">
        <v>2423</v>
      </c>
      <c r="BM440" s="766" t="s">
        <v>1096</v>
      </c>
      <c r="BN440" s="770" t="s">
        <v>1230</v>
      </c>
      <c r="BO440" s="766" t="s">
        <v>1246</v>
      </c>
      <c r="BP440" s="1109">
        <v>33.17</v>
      </c>
      <c r="BQ440" s="780">
        <v>26.61</v>
      </c>
      <c r="BR440" s="774">
        <f>BQ440/BP440</f>
        <v>0.80223093156466685</v>
      </c>
      <c r="BS440" s="766" t="s">
        <v>1105</v>
      </c>
      <c r="BT440" s="766" t="s">
        <v>8133</v>
      </c>
      <c r="BU440" s="770" t="s">
        <v>1249</v>
      </c>
      <c r="BV440" s="770" t="s">
        <v>1247</v>
      </c>
      <c r="BW440" s="769"/>
      <c r="BX440" s="302"/>
      <c r="BY440" s="770"/>
      <c r="BZ440" s="302"/>
      <c r="CA440" s="770"/>
      <c r="CB440" s="770"/>
      <c r="CC440" s="770"/>
      <c r="CD440" s="770"/>
      <c r="CE440" s="770"/>
      <c r="CF440" s="1753"/>
      <c r="CG440" s="1754"/>
      <c r="CH440" s="770"/>
      <c r="CI440" s="770"/>
      <c r="CJ440" s="770"/>
      <c r="CK440" s="770"/>
      <c r="CL440" s="770"/>
      <c r="CM440" s="770"/>
      <c r="CN440" s="770"/>
      <c r="CO440" s="770"/>
      <c r="CP440" s="770"/>
      <c r="CQ440" s="770"/>
      <c r="CR440" s="302"/>
      <c r="CS440" s="770"/>
      <c r="CT440" s="770"/>
      <c r="CU440" s="305"/>
      <c r="CV440" s="770"/>
      <c r="CW440" s="770"/>
      <c r="CX440" s="770"/>
      <c r="CY440" s="770"/>
      <c r="CZ440" s="770"/>
      <c r="DA440" s="306"/>
      <c r="DB440" s="770"/>
      <c r="DC440" s="770"/>
      <c r="DD440" s="770"/>
      <c r="DE440" s="300"/>
      <c r="DF440" s="770"/>
      <c r="DG440" s="770"/>
      <c r="DH440" s="770"/>
      <c r="DI440" s="770"/>
      <c r="DJ440" s="770"/>
      <c r="DK440" s="770"/>
      <c r="DL440" s="770"/>
      <c r="DM440" s="770"/>
      <c r="DN440" s="322"/>
      <c r="DO440" s="770"/>
      <c r="DP440" s="770"/>
      <c r="DQ440" s="770"/>
      <c r="DR440" s="770"/>
      <c r="DS440" s="307"/>
      <c r="DT440" s="770"/>
      <c r="DU440" s="770"/>
      <c r="DV440" s="770"/>
      <c r="DW440" s="306"/>
      <c r="DX440" s="306"/>
      <c r="DY440" s="770"/>
      <c r="DZ440" s="770"/>
      <c r="EA440" s="770"/>
      <c r="EB440" s="770"/>
      <c r="EC440" s="770"/>
      <c r="ED440" s="770"/>
      <c r="EE440" s="770"/>
      <c r="EF440" s="770"/>
      <c r="EG440" s="770"/>
      <c r="EH440" s="770"/>
      <c r="EI440" s="770"/>
      <c r="EJ440" s="770"/>
      <c r="EK440" s="770"/>
      <c r="EL440" s="770"/>
      <c r="EM440" s="770"/>
      <c r="EN440" s="770"/>
      <c r="EO440" s="770"/>
      <c r="EP440" s="94"/>
      <c r="EQ440" s="770"/>
      <c r="ER440" s="770"/>
      <c r="ES440" s="770"/>
      <c r="ET440" s="770"/>
      <c r="EU440" s="770"/>
      <c r="EV440" s="770"/>
      <c r="EW440" s="770"/>
      <c r="EX440" s="770"/>
      <c r="EY440" s="770"/>
      <c r="EZ440" s="770"/>
      <c r="FA440" s="770"/>
      <c r="FB440" s="770"/>
      <c r="FC440" s="770"/>
      <c r="FD440" s="302"/>
      <c r="FE440" s="770"/>
      <c r="FF440" s="770"/>
      <c r="FG440" s="770"/>
      <c r="FH440" s="770"/>
      <c r="FI440" s="770"/>
      <c r="FJ440" s="770"/>
      <c r="FK440" s="770"/>
      <c r="FL440" s="770"/>
      <c r="FM440" s="302"/>
      <c r="FN440" s="302"/>
      <c r="FO440" s="302"/>
      <c r="FP440" s="766" t="s">
        <v>1602</v>
      </c>
      <c r="FQ440" s="766" t="s">
        <v>1660</v>
      </c>
      <c r="FR440" s="770" t="s">
        <v>1214</v>
      </c>
      <c r="FS440" s="770"/>
      <c r="FT440" s="770"/>
      <c r="FU440" s="770"/>
      <c r="FV440" s="770"/>
      <c r="FW440" s="770"/>
      <c r="FX440" s="770"/>
      <c r="FY440" s="770"/>
      <c r="FZ440" s="770"/>
      <c r="GA440" s="770"/>
      <c r="GB440" s="770"/>
      <c r="GC440" s="308"/>
      <c r="GD440" s="297"/>
      <c r="GE440" s="770"/>
      <c r="GF440" s="302"/>
      <c r="GG440" s="302"/>
      <c r="GH440" s="766"/>
      <c r="GI440" s="770"/>
      <c r="GJ440" s="770"/>
      <c r="GK440" s="770"/>
      <c r="GL440" s="770"/>
      <c r="GM440" s="770"/>
      <c r="GN440" s="299"/>
      <c r="GO440" s="770"/>
      <c r="GP440" s="770"/>
      <c r="GQ440" s="770"/>
      <c r="GR440" s="770"/>
      <c r="GS440" s="770"/>
      <c r="GT440" s="770"/>
      <c r="GU440" s="770"/>
      <c r="GV440" s="770"/>
      <c r="GW440" s="770"/>
      <c r="GX440" s="770"/>
      <c r="GY440" s="770"/>
      <c r="GZ440" s="770"/>
      <c r="HA440" s="770"/>
      <c r="HB440" s="770"/>
      <c r="HC440" s="770"/>
      <c r="HD440" s="770"/>
      <c r="HE440" s="770"/>
      <c r="HF440" s="770"/>
      <c r="HG440" s="770"/>
      <c r="HH440" s="770"/>
      <c r="HI440" s="770"/>
      <c r="HJ440" s="770"/>
      <c r="HK440" s="770"/>
      <c r="HL440" s="770"/>
      <c r="HM440" s="770"/>
      <c r="HN440" s="770"/>
      <c r="HO440" s="770"/>
      <c r="HP440" s="770"/>
      <c r="HQ440" s="770"/>
      <c r="HR440" s="770">
        <v>1</v>
      </c>
      <c r="HS440" s="770"/>
      <c r="HT440" s="770">
        <v>1</v>
      </c>
      <c r="HU440" s="770"/>
      <c r="HV440" s="770"/>
      <c r="HW440" s="770"/>
      <c r="HX440" s="770"/>
      <c r="HY440" s="770"/>
      <c r="HZ440" s="770"/>
      <c r="IA440" s="770"/>
      <c r="IB440" s="14" t="e">
        <f>IF(#REF!&gt;0,IF(#REF!&lt;=10000,"Y",""),"")</f>
        <v>#REF!</v>
      </c>
      <c r="IC440" s="770"/>
      <c r="ID440" s="770"/>
      <c r="IE440" s="770"/>
      <c r="IF440" s="770"/>
      <c r="IG440" s="770"/>
      <c r="IH440" s="770"/>
      <c r="II440" s="770"/>
      <c r="IJ440" s="770"/>
      <c r="IK440" s="766"/>
      <c r="IL440" s="770"/>
      <c r="IM440" s="770"/>
      <c r="IN440" s="770"/>
      <c r="IO440" s="296"/>
      <c r="IP440" s="770"/>
      <c r="IQ440" s="770"/>
      <c r="IR440" s="770"/>
      <c r="IS440" s="770"/>
      <c r="IT440" s="770"/>
      <c r="IU440" s="770"/>
      <c r="IV440" s="770"/>
      <c r="IW440" s="770"/>
      <c r="IX440" s="770"/>
      <c r="IY440" s="770"/>
      <c r="IZ440" s="770"/>
      <c r="JA440" s="770"/>
      <c r="JB440" s="770"/>
      <c r="JC440" s="770"/>
      <c r="JD440" s="302"/>
      <c r="JE440" s="770"/>
      <c r="JF440" s="770"/>
      <c r="JG440" s="770"/>
      <c r="JH440" s="307"/>
      <c r="JI440" s="712" t="str">
        <f>IF(SUM(JT440,JU440)=JJ440,"ok","review")</f>
        <v>ok</v>
      </c>
      <c r="JJ440" s="770">
        <v>1</v>
      </c>
      <c r="JK440" s="1139" t="s">
        <v>3482</v>
      </c>
      <c r="JL440" s="770"/>
      <c r="JM440" s="770"/>
      <c r="JN440" s="770">
        <v>1</v>
      </c>
      <c r="JO440" s="770"/>
      <c r="JP440" s="770"/>
      <c r="JQ440" s="770"/>
      <c r="JR440" s="770"/>
      <c r="JS440" s="770"/>
      <c r="JT440" s="766">
        <f t="shared" ref="JT440:JU448" si="120">SUM(JP440,JN440,JL440,JR440)</f>
        <v>1</v>
      </c>
      <c r="JU440" s="766">
        <f t="shared" si="120"/>
        <v>0</v>
      </c>
      <c r="JV440" s="712" t="str">
        <f t="shared" si="112"/>
        <v>ok</v>
      </c>
      <c r="JW440" s="712" t="str">
        <f t="shared" si="113"/>
        <v>ok</v>
      </c>
      <c r="JX440" s="766"/>
      <c r="JY440" s="766"/>
      <c r="JZ440" s="766"/>
      <c r="KA440" s="766"/>
      <c r="KB440" s="766">
        <v>1</v>
      </c>
      <c r="KC440" s="766"/>
      <c r="KD440" s="766"/>
      <c r="KE440" s="766"/>
      <c r="KF440" s="766"/>
      <c r="KG440" s="766"/>
      <c r="KH440" s="766"/>
      <c r="KI440" s="766"/>
      <c r="KJ440" s="770">
        <f t="shared" si="103"/>
        <v>1</v>
      </c>
      <c r="KK440" s="770">
        <f t="shared" si="103"/>
        <v>0</v>
      </c>
      <c r="KL440" s="712" t="str">
        <f t="shared" si="114"/>
        <v>ok</v>
      </c>
      <c r="KM440" s="712" t="str">
        <f t="shared" si="115"/>
        <v>ok</v>
      </c>
      <c r="KN440" s="770"/>
      <c r="KO440" s="770"/>
      <c r="KP440" s="770"/>
      <c r="KQ440" s="770"/>
      <c r="KR440" s="770"/>
      <c r="KS440" s="770"/>
      <c r="KT440" s="770"/>
      <c r="KU440" s="770"/>
      <c r="KV440" s="770"/>
      <c r="KW440" s="770"/>
      <c r="KX440" s="770"/>
      <c r="KY440" s="770"/>
      <c r="KZ440" s="770">
        <v>1</v>
      </c>
      <c r="LA440" s="770"/>
      <c r="LB440" s="770"/>
      <c r="LC440" s="770"/>
      <c r="LD440" s="770"/>
      <c r="LE440" s="770"/>
      <c r="LF440" s="770"/>
      <c r="LG440" s="770"/>
      <c r="LH440" s="770"/>
      <c r="LI440" s="770"/>
      <c r="LJ440" s="770"/>
      <c r="LK440" s="770"/>
      <c r="LL440" s="770"/>
      <c r="LM440" s="770"/>
      <c r="LN440" s="766">
        <f t="shared" si="111"/>
        <v>1</v>
      </c>
      <c r="LO440" s="766">
        <f t="shared" si="111"/>
        <v>0</v>
      </c>
      <c r="LP440" s="770">
        <v>1</v>
      </c>
      <c r="LQ440" s="770">
        <v>1</v>
      </c>
      <c r="LR440" s="770"/>
      <c r="LS440" s="770"/>
      <c r="LT440" s="712" t="str">
        <f t="shared" si="116"/>
        <v>OK</v>
      </c>
      <c r="LU440" s="770"/>
      <c r="LV440" s="770"/>
      <c r="LW440" s="770">
        <v>1</v>
      </c>
      <c r="LX440" s="769">
        <v>2</v>
      </c>
      <c r="LY440" s="766" t="str">
        <f t="shared" si="119"/>
        <v>within the MUNICIPALITY</v>
      </c>
      <c r="LZ440" s="1709">
        <v>4800</v>
      </c>
      <c r="MA440" s="1709"/>
      <c r="MB440" s="1709"/>
      <c r="MC440" s="1679">
        <f t="shared" si="110"/>
        <v>4800</v>
      </c>
      <c r="MD440" s="1709">
        <v>15000</v>
      </c>
      <c r="ME440" s="1709"/>
      <c r="MF440" s="1709"/>
      <c r="MG440" s="1680">
        <f t="shared" si="118"/>
        <v>15000</v>
      </c>
      <c r="MH440" s="770" t="s">
        <v>13573</v>
      </c>
      <c r="MI440" s="302">
        <v>9000</v>
      </c>
      <c r="MJ440" s="302">
        <v>4800</v>
      </c>
      <c r="MK440" s="302">
        <v>83</v>
      </c>
      <c r="ML440" s="302"/>
      <c r="MM440" s="302">
        <v>2000</v>
      </c>
      <c r="MN440" s="302"/>
      <c r="MO440" s="302">
        <v>280</v>
      </c>
      <c r="MP440" s="302">
        <v>500</v>
      </c>
      <c r="MQ440" s="302"/>
      <c r="MR440" s="302"/>
      <c r="MS440" s="302"/>
      <c r="MT440" s="302"/>
      <c r="MU440" s="302"/>
      <c r="MV440" s="302"/>
      <c r="MW440" s="302"/>
      <c r="MX440" s="302"/>
      <c r="MY440" s="1682">
        <f t="shared" si="102"/>
        <v>16663</v>
      </c>
      <c r="MZ440" s="770" t="s">
        <v>13395</v>
      </c>
      <c r="NA440" s="770"/>
      <c r="NB440" s="770" t="s">
        <v>13033</v>
      </c>
      <c r="NC440" s="766" t="s">
        <v>13523</v>
      </c>
      <c r="ND440" s="770">
        <v>0</v>
      </c>
      <c r="NE440" s="770">
        <v>0</v>
      </c>
      <c r="NF440" s="770">
        <v>0</v>
      </c>
      <c r="NG440" s="770">
        <v>1</v>
      </c>
      <c r="NH440" s="770">
        <v>1</v>
      </c>
      <c r="NI440" s="770">
        <v>0</v>
      </c>
      <c r="NJ440" s="770">
        <v>0</v>
      </c>
      <c r="NK440" s="770">
        <v>0</v>
      </c>
      <c r="NL440" s="770">
        <v>0</v>
      </c>
      <c r="NM440" s="770">
        <v>0</v>
      </c>
      <c r="NN440" s="770">
        <v>0</v>
      </c>
      <c r="NO440" s="770">
        <v>0</v>
      </c>
      <c r="NP440" s="770">
        <v>0</v>
      </c>
      <c r="NQ440" s="770">
        <v>0</v>
      </c>
      <c r="NR440" s="770">
        <v>0</v>
      </c>
      <c r="NS440" s="770">
        <v>0</v>
      </c>
      <c r="NT440" s="770">
        <v>0</v>
      </c>
      <c r="NU440" s="770">
        <v>0</v>
      </c>
      <c r="NV440" s="770">
        <v>0</v>
      </c>
      <c r="NW440" s="770">
        <v>0</v>
      </c>
      <c r="NX440" s="770">
        <v>0</v>
      </c>
      <c r="NY440" s="770"/>
      <c r="NZ440" s="770"/>
      <c r="OA440" s="770"/>
      <c r="OB440" s="770"/>
      <c r="OC440" s="770"/>
      <c r="OD440" s="770"/>
      <c r="OE440" s="770"/>
      <c r="OF440" s="770" t="s">
        <v>2143</v>
      </c>
      <c r="OG440" s="770"/>
      <c r="OH440" s="770"/>
      <c r="OI440" s="770"/>
      <c r="OJ440" s="770"/>
      <c r="OK440" s="770"/>
      <c r="OL440" s="770"/>
      <c r="OM440" s="770"/>
      <c r="ON440" s="770"/>
      <c r="OO440" s="770"/>
      <c r="OP440" s="770"/>
      <c r="OQ440" s="770"/>
      <c r="OR440" s="770"/>
      <c r="OS440" s="770"/>
      <c r="OT440" s="770"/>
      <c r="OU440" s="770"/>
      <c r="OV440" s="770"/>
      <c r="OW440" s="770"/>
      <c r="OX440" s="770"/>
      <c r="OY440" s="770"/>
      <c r="OZ440" s="770"/>
      <c r="PA440" s="770"/>
      <c r="PB440" s="770"/>
      <c r="PC440" s="770"/>
      <c r="PD440" s="770"/>
      <c r="PE440" s="770"/>
      <c r="PF440" s="770"/>
      <c r="PG440" s="770"/>
      <c r="PH440" s="770"/>
      <c r="PI440" s="770"/>
      <c r="PJ440" s="770"/>
      <c r="PK440" s="770"/>
      <c r="PL440" s="770"/>
      <c r="PM440" s="770"/>
      <c r="PN440" s="770"/>
      <c r="PO440" s="770"/>
      <c r="PP440" s="770"/>
      <c r="PQ440" s="770"/>
      <c r="PR440" s="770"/>
      <c r="PS440" s="770"/>
      <c r="PT440" s="770"/>
      <c r="PU440" s="770"/>
      <c r="PV440" s="770"/>
      <c r="PW440" s="770"/>
      <c r="PX440" s="770"/>
      <c r="PY440" s="770"/>
      <c r="PZ440" s="770"/>
      <c r="QA440" s="770"/>
      <c r="QB440" s="770"/>
      <c r="QC440" s="770"/>
      <c r="QD440" s="770"/>
      <c r="QE440" s="770"/>
      <c r="QF440" s="770"/>
      <c r="QG440" s="770"/>
      <c r="QH440" s="770"/>
      <c r="QI440" s="770"/>
      <c r="QJ440" s="770"/>
      <c r="QK440" s="770"/>
      <c r="QL440" s="770"/>
      <c r="QM440" s="770"/>
      <c r="QN440" s="770"/>
      <c r="QO440" s="770"/>
      <c r="QP440" s="770"/>
      <c r="QQ440" s="770"/>
      <c r="QR440" s="770"/>
      <c r="QS440" s="770"/>
      <c r="QT440" s="770"/>
      <c r="QU440" s="770"/>
      <c r="QV440" s="770"/>
      <c r="QW440" s="770"/>
      <c r="QX440" s="770"/>
      <c r="QY440" s="770"/>
      <c r="QZ440" s="770"/>
      <c r="RA440" s="770"/>
      <c r="RB440" s="770" t="s">
        <v>1214</v>
      </c>
      <c r="RC440" s="770"/>
      <c r="RD440" s="770"/>
      <c r="RE440" s="770"/>
      <c r="RF440" s="304"/>
      <c r="RG440" s="770"/>
      <c r="RH440" s="302"/>
      <c r="RI440" s="770"/>
      <c r="RJ440" s="770" t="s">
        <v>13574</v>
      </c>
      <c r="RK440" s="770" t="s">
        <v>13550</v>
      </c>
      <c r="RL440" s="1710"/>
      <c r="RM440" s="12"/>
      <c r="RN440" s="1711"/>
      <c r="RO440" s="133" t="s">
        <v>2416</v>
      </c>
      <c r="RP440" s="11"/>
      <c r="RQ440" s="11"/>
      <c r="RR440" s="19" t="s">
        <v>7421</v>
      </c>
      <c r="RS440" s="1139" t="s">
        <v>12980</v>
      </c>
      <c r="RT440" s="11"/>
      <c r="RU440" s="11"/>
      <c r="RV440" s="771" t="s">
        <v>7421</v>
      </c>
      <c r="RW440" s="11" t="s">
        <v>7741</v>
      </c>
      <c r="RX440" s="11" t="s">
        <v>2398</v>
      </c>
      <c r="RY440" s="11"/>
      <c r="RZ440" s="11" t="s">
        <v>1101</v>
      </c>
      <c r="SA440" s="771"/>
      <c r="SB440" s="11"/>
      <c r="SC440" s="11"/>
    </row>
    <row r="441" spans="1:497" ht="12.75" customHeight="1">
      <c r="A441" s="19" t="s">
        <v>7421</v>
      </c>
      <c r="B441" s="1007" t="s">
        <v>7683</v>
      </c>
      <c r="C441" s="132" t="s">
        <v>2424</v>
      </c>
      <c r="D441" s="94" t="s">
        <v>2425</v>
      </c>
      <c r="E441" s="770" t="s">
        <v>2426</v>
      </c>
      <c r="F441" s="770" t="s">
        <v>28</v>
      </c>
      <c r="G441" s="770" t="s">
        <v>18</v>
      </c>
      <c r="H441" s="770"/>
      <c r="I441" s="295" t="s">
        <v>2427</v>
      </c>
      <c r="J441" s="94" t="s">
        <v>2425</v>
      </c>
      <c r="K441" s="766" t="s">
        <v>2428</v>
      </c>
      <c r="L441" s="766" t="s">
        <v>2429</v>
      </c>
      <c r="M441" s="770" t="s">
        <v>2402</v>
      </c>
      <c r="N441" s="770"/>
      <c r="O441" s="770" t="s">
        <v>2403</v>
      </c>
      <c r="P441" s="94" t="s">
        <v>2430</v>
      </c>
      <c r="Q441" s="1088">
        <v>22599</v>
      </c>
      <c r="R441" s="297">
        <v>56</v>
      </c>
      <c r="S441" s="770" t="s">
        <v>18</v>
      </c>
      <c r="T441" s="770"/>
      <c r="U441" s="295" t="s">
        <v>2427</v>
      </c>
      <c r="V441" s="770" t="s">
        <v>719</v>
      </c>
      <c r="W441" s="770"/>
      <c r="X441" s="770"/>
      <c r="Y441" s="770" t="s">
        <v>2426</v>
      </c>
      <c r="Z441" s="770" t="s">
        <v>708</v>
      </c>
      <c r="AA441" s="770" t="s">
        <v>739</v>
      </c>
      <c r="AB441" s="770" t="s">
        <v>710</v>
      </c>
      <c r="AC441" s="770" t="s">
        <v>724</v>
      </c>
      <c r="AD441" s="770" t="s">
        <v>711</v>
      </c>
      <c r="AE441" s="770"/>
      <c r="AF441" s="770" t="s">
        <v>798</v>
      </c>
      <c r="AG441" s="766" t="s">
        <v>1132</v>
      </c>
      <c r="AH441" s="766" t="s">
        <v>1096</v>
      </c>
      <c r="AI441" s="770"/>
      <c r="AJ441" s="770" t="s">
        <v>1137</v>
      </c>
      <c r="AK441" s="770" t="s">
        <v>1101</v>
      </c>
      <c r="AL441" s="531">
        <v>6.2060000000000004</v>
      </c>
      <c r="AM441" s="780">
        <v>3.7</v>
      </c>
      <c r="AN441" s="532">
        <f>AM441/AL441</f>
        <v>0.59619722848855949</v>
      </c>
      <c r="AO441" s="766" t="s">
        <v>1105</v>
      </c>
      <c r="AP441" s="1773"/>
      <c r="AQ441" s="766"/>
      <c r="AR441" s="766"/>
      <c r="AS441" s="770"/>
      <c r="AT441" s="770"/>
      <c r="AU441" s="770"/>
      <c r="AV441" s="770"/>
      <c r="AW441" s="770"/>
      <c r="AX441" s="770"/>
      <c r="AY441" s="770"/>
      <c r="AZ441" s="770"/>
      <c r="BA441" s="770"/>
      <c r="BB441" s="770"/>
      <c r="BC441" s="770"/>
      <c r="BD441" s="770"/>
      <c r="BE441" s="770"/>
      <c r="BF441" s="302"/>
      <c r="BG441" s="302"/>
      <c r="BH441" s="770"/>
      <c r="BI441" s="770"/>
      <c r="BJ441" s="770"/>
      <c r="BK441" s="770" t="s">
        <v>1095</v>
      </c>
      <c r="BL441" s="770" t="s">
        <v>2431</v>
      </c>
      <c r="BM441" s="766" t="s">
        <v>1096</v>
      </c>
      <c r="BN441" s="770" t="s">
        <v>1230</v>
      </c>
      <c r="BO441" s="766" t="s">
        <v>1246</v>
      </c>
      <c r="BP441" s="1109">
        <v>6.2060000000000004</v>
      </c>
      <c r="BQ441" s="780">
        <v>3.7</v>
      </c>
      <c r="BR441" s="774">
        <f>BQ441/BP441</f>
        <v>0.59619722848855949</v>
      </c>
      <c r="BS441" s="766" t="s">
        <v>1105</v>
      </c>
      <c r="BT441" s="766" t="s">
        <v>1326</v>
      </c>
      <c r="BU441" s="769"/>
      <c r="BV441" s="769"/>
      <c r="BW441" s="769"/>
      <c r="BX441" s="302"/>
      <c r="BY441" s="770"/>
      <c r="BZ441" s="302"/>
      <c r="CA441" s="770"/>
      <c r="CB441" s="770"/>
      <c r="CC441" s="770"/>
      <c r="CD441" s="770"/>
      <c r="CE441" s="770"/>
      <c r="CF441" s="1753"/>
      <c r="CG441" s="1754"/>
      <c r="CH441" s="770"/>
      <c r="CI441" s="770"/>
      <c r="CJ441" s="770"/>
      <c r="CK441" s="770"/>
      <c r="CL441" s="770"/>
      <c r="CM441" s="770"/>
      <c r="CN441" s="770"/>
      <c r="CO441" s="770"/>
      <c r="CP441" s="770"/>
      <c r="CQ441" s="770"/>
      <c r="CR441" s="302"/>
      <c r="CS441" s="770"/>
      <c r="CT441" s="770"/>
      <c r="CU441" s="305"/>
      <c r="CV441" s="770"/>
      <c r="CW441" s="770"/>
      <c r="CX441" s="770"/>
      <c r="CY441" s="770"/>
      <c r="CZ441" s="770"/>
      <c r="DA441" s="306"/>
      <c r="DB441" s="770"/>
      <c r="DC441" s="770"/>
      <c r="DD441" s="770"/>
      <c r="DE441" s="300"/>
      <c r="DF441" s="770"/>
      <c r="DG441" s="770"/>
      <c r="DH441" s="770"/>
      <c r="DI441" s="770"/>
      <c r="DJ441" s="770"/>
      <c r="DK441" s="770"/>
      <c r="DL441" s="770"/>
      <c r="DM441" s="770"/>
      <c r="DN441" s="322"/>
      <c r="DO441" s="770"/>
      <c r="DP441" s="770"/>
      <c r="DQ441" s="770"/>
      <c r="DR441" s="770"/>
      <c r="DS441" s="307"/>
      <c r="DT441" s="770"/>
      <c r="DU441" s="770"/>
      <c r="DV441" s="770"/>
      <c r="DW441" s="306"/>
      <c r="DX441" s="306"/>
      <c r="DY441" s="770"/>
      <c r="DZ441" s="770"/>
      <c r="EA441" s="770"/>
      <c r="EB441" s="770"/>
      <c r="EC441" s="770"/>
      <c r="ED441" s="770"/>
      <c r="EE441" s="770"/>
      <c r="EF441" s="770"/>
      <c r="EG441" s="770"/>
      <c r="EH441" s="770"/>
      <c r="EI441" s="770"/>
      <c r="EJ441" s="770"/>
      <c r="EK441" s="770"/>
      <c r="EL441" s="770"/>
      <c r="EM441" s="770"/>
      <c r="EN441" s="770"/>
      <c r="EO441" s="770"/>
      <c r="EP441" s="94"/>
      <c r="EQ441" s="770"/>
      <c r="ER441" s="770"/>
      <c r="ES441" s="770"/>
      <c r="ET441" s="770"/>
      <c r="EU441" s="770"/>
      <c r="EV441" s="770"/>
      <c r="EW441" s="770"/>
      <c r="EX441" s="770"/>
      <c r="EY441" s="770"/>
      <c r="EZ441" s="770"/>
      <c r="FA441" s="770"/>
      <c r="FB441" s="770"/>
      <c r="FC441" s="770"/>
      <c r="FD441" s="302"/>
      <c r="FE441" s="770"/>
      <c r="FF441" s="770"/>
      <c r="FG441" s="770"/>
      <c r="FH441" s="770" t="s">
        <v>478</v>
      </c>
      <c r="FI441" s="770">
        <v>1</v>
      </c>
      <c r="FJ441" s="770"/>
      <c r="FK441" s="770"/>
      <c r="FL441" s="770"/>
      <c r="FM441" s="302"/>
      <c r="FN441" s="302"/>
      <c r="FO441" s="302"/>
      <c r="FP441" s="766" t="s">
        <v>1602</v>
      </c>
      <c r="FQ441" s="766" t="s">
        <v>1660</v>
      </c>
      <c r="FR441" s="770"/>
      <c r="FS441" s="770"/>
      <c r="FT441" s="770"/>
      <c r="FU441" s="770"/>
      <c r="FV441" s="770"/>
      <c r="FW441" s="770"/>
      <c r="FX441" s="770"/>
      <c r="FY441" s="770"/>
      <c r="FZ441" s="770"/>
      <c r="GA441" s="770"/>
      <c r="GB441" s="770"/>
      <c r="GC441" s="308"/>
      <c r="GD441" s="297"/>
      <c r="GE441" s="770"/>
      <c r="GF441" s="302"/>
      <c r="GG441" s="302"/>
      <c r="GH441" s="712" t="s">
        <v>1791</v>
      </c>
      <c r="GI441" s="770"/>
      <c r="GJ441" s="770" t="s">
        <v>711</v>
      </c>
      <c r="GK441" s="770" t="s">
        <v>2345</v>
      </c>
      <c r="GL441" s="770"/>
      <c r="GM441" s="770"/>
      <c r="GN441" s="299">
        <v>100</v>
      </c>
      <c r="GO441" s="770" t="s">
        <v>618</v>
      </c>
      <c r="GP441" s="770" t="s">
        <v>1208</v>
      </c>
      <c r="GQ441" s="770"/>
      <c r="GR441" s="770"/>
      <c r="GS441" s="770"/>
      <c r="GT441" s="770"/>
      <c r="GU441" s="770"/>
      <c r="GV441" s="770"/>
      <c r="GW441" s="770" t="s">
        <v>1207</v>
      </c>
      <c r="GX441" s="770"/>
      <c r="GY441" s="770" t="s">
        <v>1208</v>
      </c>
      <c r="GZ441" s="770" t="s">
        <v>1208</v>
      </c>
      <c r="HA441" s="770" t="s">
        <v>1208</v>
      </c>
      <c r="HB441" s="770" t="s">
        <v>1208</v>
      </c>
      <c r="HC441" s="770"/>
      <c r="HD441" s="770"/>
      <c r="HE441" s="770" t="s">
        <v>1208</v>
      </c>
      <c r="HF441" s="770"/>
      <c r="HG441" s="770"/>
      <c r="HH441" s="770"/>
      <c r="HI441" s="770" t="s">
        <v>1207</v>
      </c>
      <c r="HJ441" s="770" t="s">
        <v>2384</v>
      </c>
      <c r="HK441" s="770" t="s">
        <v>2433</v>
      </c>
      <c r="HL441" s="770" t="s">
        <v>1214</v>
      </c>
      <c r="HM441" s="770"/>
      <c r="HN441" s="770"/>
      <c r="HO441" s="770"/>
      <c r="HP441" s="770"/>
      <c r="HQ441" s="770"/>
      <c r="HR441" s="770"/>
      <c r="HS441" s="770"/>
      <c r="HT441" s="770"/>
      <c r="HU441" s="770"/>
      <c r="HV441" s="770"/>
      <c r="HW441" s="770"/>
      <c r="HX441" s="770"/>
      <c r="HY441" s="770"/>
      <c r="HZ441" s="770"/>
      <c r="IA441" s="770"/>
      <c r="IB441" s="14" t="e">
        <f>IF(#REF!&gt;0,IF(#REF!&lt;=10000,"Y",""),"")</f>
        <v>#REF!</v>
      </c>
      <c r="IC441" s="770" t="s">
        <v>1207</v>
      </c>
      <c r="ID441" s="770"/>
      <c r="IE441" s="770">
        <v>1</v>
      </c>
      <c r="IF441" s="770"/>
      <c r="IG441" s="770"/>
      <c r="IH441" s="770"/>
      <c r="II441" s="770"/>
      <c r="IJ441" s="770"/>
      <c r="IK441" s="770"/>
      <c r="IL441" s="770"/>
      <c r="IM441" s="770"/>
      <c r="IN441" s="770"/>
      <c r="IO441" s="296"/>
      <c r="IP441" s="770"/>
      <c r="IQ441" s="770"/>
      <c r="IR441" s="770"/>
      <c r="IS441" s="770"/>
      <c r="IT441" s="770"/>
      <c r="IU441" s="770"/>
      <c r="IV441" s="770"/>
      <c r="IW441" s="770"/>
      <c r="IX441" s="770"/>
      <c r="IY441" s="770"/>
      <c r="IZ441" s="770"/>
      <c r="JA441" s="770"/>
      <c r="JB441" s="770"/>
      <c r="JC441" s="770"/>
      <c r="JD441" s="302"/>
      <c r="JE441" s="770"/>
      <c r="JF441" s="770"/>
      <c r="JG441" s="770"/>
      <c r="JH441" s="307"/>
      <c r="JI441" s="307"/>
      <c r="JJ441" s="770">
        <v>10</v>
      </c>
      <c r="JK441" s="1139" t="s">
        <v>3494</v>
      </c>
      <c r="JL441" s="766">
        <v>1</v>
      </c>
      <c r="JM441" s="766">
        <v>1</v>
      </c>
      <c r="JN441" s="766">
        <v>4</v>
      </c>
      <c r="JO441" s="766">
        <v>4</v>
      </c>
      <c r="JP441" s="766"/>
      <c r="JQ441" s="766"/>
      <c r="JR441" s="766"/>
      <c r="JS441" s="766"/>
      <c r="JT441" s="766">
        <f t="shared" si="120"/>
        <v>5</v>
      </c>
      <c r="JU441" s="766">
        <f t="shared" si="120"/>
        <v>5</v>
      </c>
      <c r="JV441" s="712" t="str">
        <f t="shared" si="112"/>
        <v>ok</v>
      </c>
      <c r="JW441" s="712" t="str">
        <f t="shared" si="113"/>
        <v>ok</v>
      </c>
      <c r="JX441" s="766">
        <v>1</v>
      </c>
      <c r="JY441" s="766">
        <v>1</v>
      </c>
      <c r="JZ441" s="766"/>
      <c r="KA441" s="766"/>
      <c r="KB441" s="766">
        <v>3</v>
      </c>
      <c r="KC441" s="766">
        <v>3</v>
      </c>
      <c r="KD441" s="766">
        <v>1</v>
      </c>
      <c r="KE441" s="766">
        <v>1</v>
      </c>
      <c r="KF441" s="766"/>
      <c r="KG441" s="766"/>
      <c r="KH441" s="766"/>
      <c r="KI441" s="766"/>
      <c r="KJ441" s="770">
        <f t="shared" si="103"/>
        <v>5</v>
      </c>
      <c r="KK441" s="770">
        <f t="shared" si="103"/>
        <v>5</v>
      </c>
      <c r="KL441" s="712" t="str">
        <f t="shared" si="114"/>
        <v>ok</v>
      </c>
      <c r="KM441" s="712" t="str">
        <f t="shared" si="115"/>
        <v>ok</v>
      </c>
      <c r="KN441" s="766" t="s">
        <v>719</v>
      </c>
      <c r="KO441" s="766"/>
      <c r="KP441" s="766"/>
      <c r="KQ441" s="766"/>
      <c r="KR441" s="766"/>
      <c r="KS441" s="766">
        <v>1</v>
      </c>
      <c r="KT441" s="766"/>
      <c r="KU441" s="766">
        <v>1</v>
      </c>
      <c r="KV441" s="766"/>
      <c r="KW441" s="766">
        <v>1</v>
      </c>
      <c r="KX441" s="766">
        <v>4</v>
      </c>
      <c r="KY441" s="766">
        <v>1</v>
      </c>
      <c r="KZ441" s="766"/>
      <c r="LA441" s="766">
        <v>1</v>
      </c>
      <c r="LB441" s="766"/>
      <c r="LC441" s="766"/>
      <c r="LD441" s="766"/>
      <c r="LE441" s="766"/>
      <c r="LF441" s="766"/>
      <c r="LG441" s="766"/>
      <c r="LH441" s="766"/>
      <c r="LI441" s="766"/>
      <c r="LJ441" s="766">
        <v>1</v>
      </c>
      <c r="LK441" s="766"/>
      <c r="LL441" s="766"/>
      <c r="LM441" s="766"/>
      <c r="LN441" s="766">
        <f t="shared" si="111"/>
        <v>5</v>
      </c>
      <c r="LO441" s="766">
        <f t="shared" si="111"/>
        <v>5</v>
      </c>
      <c r="LP441" s="770">
        <v>5</v>
      </c>
      <c r="LQ441" s="770">
        <v>2</v>
      </c>
      <c r="LR441" s="770"/>
      <c r="LS441" s="770">
        <v>3</v>
      </c>
      <c r="LT441" s="712" t="str">
        <f t="shared" si="116"/>
        <v>OK</v>
      </c>
      <c r="LU441" s="770"/>
      <c r="LV441" s="770">
        <v>1</v>
      </c>
      <c r="LW441" s="770">
        <v>1</v>
      </c>
      <c r="LX441" s="769">
        <v>2</v>
      </c>
      <c r="LY441" s="766" t="str">
        <f t="shared" si="119"/>
        <v>within the MUNICIPALITY</v>
      </c>
      <c r="LZ441" s="1709">
        <f>1200+600</f>
        <v>1800</v>
      </c>
      <c r="MA441" s="1709"/>
      <c r="MB441" s="1709">
        <v>100</v>
      </c>
      <c r="MC441" s="1679">
        <f t="shared" si="110"/>
        <v>1900</v>
      </c>
      <c r="MD441" s="1709">
        <f>16000+3000</f>
        <v>19000</v>
      </c>
      <c r="ME441" s="1709"/>
      <c r="MF441" s="1709">
        <f>SUM(8000,9000,3000)</f>
        <v>20000</v>
      </c>
      <c r="MG441" s="1680">
        <f t="shared" si="118"/>
        <v>39000</v>
      </c>
      <c r="MH441" s="770" t="s">
        <v>2972</v>
      </c>
      <c r="MI441" s="302">
        <v>9000</v>
      </c>
      <c r="MJ441" s="302">
        <v>10000</v>
      </c>
      <c r="MK441" s="302">
        <v>250</v>
      </c>
      <c r="ML441" s="302">
        <v>5000</v>
      </c>
      <c r="MM441" s="302">
        <v>3000</v>
      </c>
      <c r="MN441" s="302"/>
      <c r="MO441" s="302">
        <v>600</v>
      </c>
      <c r="MP441" s="302">
        <v>500</v>
      </c>
      <c r="MQ441" s="302">
        <v>600</v>
      </c>
      <c r="MR441" s="302">
        <v>200</v>
      </c>
      <c r="MS441" s="302"/>
      <c r="MT441" s="302"/>
      <c r="MU441" s="302"/>
      <c r="MV441" s="302"/>
      <c r="MW441" s="302"/>
      <c r="MX441" s="302"/>
      <c r="MY441" s="1682">
        <f t="shared" si="102"/>
        <v>29150</v>
      </c>
      <c r="MZ441" s="770" t="s">
        <v>13370</v>
      </c>
      <c r="NA441" s="770" t="s">
        <v>13575</v>
      </c>
      <c r="NB441" s="770" t="s">
        <v>13092</v>
      </c>
      <c r="NC441" s="770" t="s">
        <v>13135</v>
      </c>
      <c r="ND441" s="770">
        <v>0</v>
      </c>
      <c r="NE441" s="770">
        <v>0</v>
      </c>
      <c r="NF441" s="770">
        <v>0</v>
      </c>
      <c r="NG441" s="770">
        <v>1</v>
      </c>
      <c r="NH441" s="770">
        <v>1</v>
      </c>
      <c r="NI441" s="770">
        <v>0</v>
      </c>
      <c r="NJ441" s="770">
        <v>0</v>
      </c>
      <c r="NK441" s="770">
        <v>0</v>
      </c>
      <c r="NL441" s="770">
        <v>0</v>
      </c>
      <c r="NM441" s="770">
        <v>0</v>
      </c>
      <c r="NN441" s="770">
        <v>0</v>
      </c>
      <c r="NO441" s="770">
        <v>0</v>
      </c>
      <c r="NP441" s="770">
        <v>0</v>
      </c>
      <c r="NQ441" s="770">
        <v>0</v>
      </c>
      <c r="NR441" s="770">
        <v>0</v>
      </c>
      <c r="NS441" s="770">
        <v>0</v>
      </c>
      <c r="NT441" s="770">
        <v>0</v>
      </c>
      <c r="NU441" s="770">
        <v>0</v>
      </c>
      <c r="NV441" s="770">
        <v>0</v>
      </c>
      <c r="NW441" s="770">
        <v>0</v>
      </c>
      <c r="NX441" s="770">
        <v>0</v>
      </c>
      <c r="NY441" s="770" t="s">
        <v>1208</v>
      </c>
      <c r="NZ441" s="770" t="s">
        <v>1208</v>
      </c>
      <c r="OA441" s="770"/>
      <c r="OB441" s="770"/>
      <c r="OC441" s="770"/>
      <c r="OD441" s="770"/>
      <c r="OE441" s="770"/>
      <c r="OF441" s="770"/>
      <c r="OG441" s="770"/>
      <c r="OH441" s="770"/>
      <c r="OI441" s="770"/>
      <c r="OJ441" s="770"/>
      <c r="OK441" s="770"/>
      <c r="OL441" s="770"/>
      <c r="OM441" s="770"/>
      <c r="ON441" s="770"/>
      <c r="OO441" s="770"/>
      <c r="OP441" s="770"/>
      <c r="OQ441" s="770"/>
      <c r="OR441" s="770"/>
      <c r="OS441" s="770"/>
      <c r="OT441" s="770"/>
      <c r="OU441" s="770"/>
      <c r="OV441" s="770"/>
      <c r="OW441" s="770"/>
      <c r="OX441" s="770"/>
      <c r="OY441" s="770"/>
      <c r="OZ441" s="770"/>
      <c r="PA441" s="770"/>
      <c r="PB441" s="770"/>
      <c r="PC441" s="770"/>
      <c r="PD441" s="770"/>
      <c r="PE441" s="770"/>
      <c r="PF441" s="770"/>
      <c r="PG441" s="770" t="s">
        <v>1208</v>
      </c>
      <c r="PH441" s="770" t="s">
        <v>1208</v>
      </c>
      <c r="PI441" s="770" t="s">
        <v>1208</v>
      </c>
      <c r="PJ441" s="770" t="s">
        <v>1208</v>
      </c>
      <c r="PK441" s="770" t="s">
        <v>1208</v>
      </c>
      <c r="PL441" s="770"/>
      <c r="PM441" s="770"/>
      <c r="PN441" s="770"/>
      <c r="PO441" s="770"/>
      <c r="PP441" s="770"/>
      <c r="PQ441" s="770"/>
      <c r="PR441" s="770"/>
      <c r="PS441" s="770"/>
      <c r="PT441" s="770"/>
      <c r="PU441" s="770"/>
      <c r="PV441" s="770"/>
      <c r="PW441" s="770"/>
      <c r="PX441" s="770"/>
      <c r="PY441" s="770"/>
      <c r="PZ441" s="770"/>
      <c r="QA441" s="770"/>
      <c r="QB441" s="770"/>
      <c r="QC441" s="770"/>
      <c r="QD441" s="770"/>
      <c r="QE441" s="770"/>
      <c r="QF441" s="770"/>
      <c r="QG441" s="770"/>
      <c r="QH441" s="770"/>
      <c r="QI441" s="770"/>
      <c r="QJ441" s="770"/>
      <c r="QK441" s="770"/>
      <c r="QL441" s="770"/>
      <c r="QM441" s="770"/>
      <c r="QN441" s="770"/>
      <c r="QO441" s="770"/>
      <c r="QP441" s="770"/>
      <c r="QQ441" s="770"/>
      <c r="QR441" s="770"/>
      <c r="QS441" s="770"/>
      <c r="QT441" s="770"/>
      <c r="QU441" s="770"/>
      <c r="QV441" s="770"/>
      <c r="QW441" s="770"/>
      <c r="QX441" s="770"/>
      <c r="QY441" s="770"/>
      <c r="QZ441" s="770"/>
      <c r="RA441" s="770"/>
      <c r="RB441" s="770" t="s">
        <v>1214</v>
      </c>
      <c r="RC441" s="770"/>
      <c r="RD441" s="770"/>
      <c r="RE441" s="770"/>
      <c r="RF441" s="304"/>
      <c r="RG441" s="770"/>
      <c r="RH441" s="302"/>
      <c r="RI441" s="770"/>
      <c r="RJ441" s="770" t="s">
        <v>13576</v>
      </c>
      <c r="RK441" s="770" t="s">
        <v>13556</v>
      </c>
      <c r="RL441" s="1710"/>
      <c r="RM441" s="12"/>
      <c r="RN441" s="1711"/>
      <c r="RO441" s="132" t="s">
        <v>2424</v>
      </c>
      <c r="RP441" s="11"/>
      <c r="RQ441" s="11"/>
      <c r="RR441" s="19" t="s">
        <v>7421</v>
      </c>
      <c r="RS441" s="1139" t="s">
        <v>12980</v>
      </c>
      <c r="RT441" s="11"/>
      <c r="RU441" s="11"/>
      <c r="RV441" s="771" t="s">
        <v>12452</v>
      </c>
      <c r="RW441" s="11" t="s">
        <v>7500</v>
      </c>
      <c r="RX441" s="11" t="s">
        <v>2398</v>
      </c>
      <c r="RY441" s="11"/>
      <c r="RZ441" s="11" t="s">
        <v>1101</v>
      </c>
      <c r="SA441" s="771"/>
      <c r="SB441" s="11"/>
      <c r="SC441" s="11"/>
    </row>
    <row r="442" spans="1:497" ht="12.75" customHeight="1">
      <c r="A442" s="19" t="s">
        <v>7421</v>
      </c>
      <c r="B442" s="1007" t="s">
        <v>7684</v>
      </c>
      <c r="C442" s="133" t="s">
        <v>2434</v>
      </c>
      <c r="D442" s="94" t="s">
        <v>2435</v>
      </c>
      <c r="E442" s="770" t="s">
        <v>7928</v>
      </c>
      <c r="F442" s="770" t="s">
        <v>28</v>
      </c>
      <c r="G442" s="770" t="s">
        <v>10</v>
      </c>
      <c r="H442" s="770"/>
      <c r="I442" s="295" t="s">
        <v>2437</v>
      </c>
      <c r="J442" s="94" t="s">
        <v>2435</v>
      </c>
      <c r="K442" s="766" t="s">
        <v>2428</v>
      </c>
      <c r="L442" s="766" t="s">
        <v>2331</v>
      </c>
      <c r="M442" s="770"/>
      <c r="N442" s="770"/>
      <c r="O442" s="770"/>
      <c r="P442" s="94" t="s">
        <v>2438</v>
      </c>
      <c r="Q442" s="1088">
        <v>16857</v>
      </c>
      <c r="R442" s="297">
        <v>71</v>
      </c>
      <c r="S442" s="770" t="s">
        <v>10</v>
      </c>
      <c r="T442" s="770"/>
      <c r="U442" s="295" t="s">
        <v>2437</v>
      </c>
      <c r="V442" s="770" t="s">
        <v>707</v>
      </c>
      <c r="W442" s="770"/>
      <c r="X442" s="770"/>
      <c r="Y442" s="770" t="s">
        <v>2436</v>
      </c>
      <c r="Z442" s="770" t="s">
        <v>708</v>
      </c>
      <c r="AA442" s="770" t="s">
        <v>759</v>
      </c>
      <c r="AB442" s="770" t="s">
        <v>710</v>
      </c>
      <c r="AC442" s="770" t="s">
        <v>724</v>
      </c>
      <c r="AD442" s="770" t="s">
        <v>711</v>
      </c>
      <c r="AE442" s="770"/>
      <c r="AF442" s="770" t="s">
        <v>712</v>
      </c>
      <c r="AG442" s="766" t="s">
        <v>1132</v>
      </c>
      <c r="AH442" s="766" t="s">
        <v>1096</v>
      </c>
      <c r="AI442" s="770"/>
      <c r="AJ442" s="770" t="s">
        <v>1137</v>
      </c>
      <c r="AK442" s="770" t="s">
        <v>1101</v>
      </c>
      <c r="AL442" s="531">
        <v>19.125</v>
      </c>
      <c r="AM442" s="780">
        <v>12.154999999999999</v>
      </c>
      <c r="AN442" s="532">
        <f>AM442/AL442</f>
        <v>0.63555555555555554</v>
      </c>
      <c r="AO442" s="766" t="s">
        <v>1105</v>
      </c>
      <c r="AP442" s="1773"/>
      <c r="AQ442" s="766"/>
      <c r="AR442" s="766"/>
      <c r="AS442" s="770"/>
      <c r="AT442" s="770"/>
      <c r="AU442" s="770"/>
      <c r="AV442" s="770"/>
      <c r="AW442" s="770"/>
      <c r="AX442" s="770"/>
      <c r="AY442" s="770"/>
      <c r="AZ442" s="770"/>
      <c r="BA442" s="770"/>
      <c r="BB442" s="770"/>
      <c r="BC442" s="770"/>
      <c r="BD442" s="770"/>
      <c r="BE442" s="770"/>
      <c r="BF442" s="302"/>
      <c r="BG442" s="302"/>
      <c r="BH442" s="770"/>
      <c r="BI442" s="770"/>
      <c r="BJ442" s="770"/>
      <c r="BK442" s="770" t="s">
        <v>1095</v>
      </c>
      <c r="BL442" s="770" t="s">
        <v>2439</v>
      </c>
      <c r="BM442" s="766" t="s">
        <v>1096</v>
      </c>
      <c r="BN442" s="770" t="s">
        <v>1230</v>
      </c>
      <c r="BO442" s="766" t="s">
        <v>1246</v>
      </c>
      <c r="BP442" s="1114">
        <v>19.125</v>
      </c>
      <c r="BQ442" s="773">
        <v>12.154999999999999</v>
      </c>
      <c r="BR442" s="774">
        <f>BQ442/BP442</f>
        <v>0.63555555555555554</v>
      </c>
      <c r="BS442" s="766" t="s">
        <v>1105</v>
      </c>
      <c r="BT442" s="766" t="s">
        <v>1326</v>
      </c>
      <c r="BU442" s="766" t="s">
        <v>1264</v>
      </c>
      <c r="BV442" s="770" t="s">
        <v>2432</v>
      </c>
      <c r="BW442" s="770">
        <v>1980</v>
      </c>
      <c r="BX442" s="302"/>
      <c r="BY442" s="770"/>
      <c r="BZ442" s="302"/>
      <c r="CA442" s="770"/>
      <c r="CB442" s="770"/>
      <c r="CC442" s="770"/>
      <c r="CD442" s="770"/>
      <c r="CE442" s="770"/>
      <c r="CF442" s="1753"/>
      <c r="CG442" s="1754"/>
      <c r="CH442" s="770"/>
      <c r="CI442" s="770"/>
      <c r="CJ442" s="770"/>
      <c r="CK442" s="770"/>
      <c r="CL442" s="770"/>
      <c r="CM442" s="770"/>
      <c r="CN442" s="770"/>
      <c r="CO442" s="770"/>
      <c r="CP442" s="770"/>
      <c r="CQ442" s="770"/>
      <c r="CR442" s="302"/>
      <c r="CS442" s="770"/>
      <c r="CT442" s="770"/>
      <c r="CU442" s="305"/>
      <c r="CV442" s="770"/>
      <c r="CW442" s="770"/>
      <c r="CX442" s="770"/>
      <c r="CY442" s="770"/>
      <c r="CZ442" s="770"/>
      <c r="DA442" s="306"/>
      <c r="DB442" s="770"/>
      <c r="DC442" s="770"/>
      <c r="DD442" s="770"/>
      <c r="DE442" s="300"/>
      <c r="DF442" s="770"/>
      <c r="DG442" s="770"/>
      <c r="DH442" s="770"/>
      <c r="DI442" s="770"/>
      <c r="DJ442" s="770"/>
      <c r="DK442" s="770"/>
      <c r="DL442" s="770"/>
      <c r="DM442" s="770"/>
      <c r="DN442" s="322"/>
      <c r="DO442" s="770"/>
      <c r="DP442" s="770"/>
      <c r="DQ442" s="770"/>
      <c r="DR442" s="770"/>
      <c r="DS442" s="307"/>
      <c r="DT442" s="770"/>
      <c r="DU442" s="770"/>
      <c r="DV442" s="770"/>
      <c r="DW442" s="306"/>
      <c r="DX442" s="306"/>
      <c r="DY442" s="770"/>
      <c r="DZ442" s="770"/>
      <c r="EA442" s="770"/>
      <c r="EB442" s="770"/>
      <c r="EC442" s="770"/>
      <c r="ED442" s="770"/>
      <c r="EE442" s="770"/>
      <c r="EF442" s="770"/>
      <c r="EG442" s="770"/>
      <c r="EH442" s="770"/>
      <c r="EI442" s="770"/>
      <c r="EJ442" s="770"/>
      <c r="EK442" s="770"/>
      <c r="EL442" s="770"/>
      <c r="EM442" s="770"/>
      <c r="EN442" s="770"/>
      <c r="EO442" s="770"/>
      <c r="EP442" s="94"/>
      <c r="EQ442" s="770"/>
      <c r="ER442" s="770"/>
      <c r="ES442" s="770"/>
      <c r="ET442" s="770"/>
      <c r="EU442" s="770"/>
      <c r="EV442" s="770"/>
      <c r="EW442" s="770"/>
      <c r="EX442" s="770"/>
      <c r="EY442" s="770"/>
      <c r="EZ442" s="770"/>
      <c r="FA442" s="770"/>
      <c r="FB442" s="770"/>
      <c r="FC442" s="770"/>
      <c r="FD442" s="302"/>
      <c r="FE442" s="770"/>
      <c r="FF442" s="770"/>
      <c r="FG442" s="770"/>
      <c r="FH442" s="770" t="s">
        <v>478</v>
      </c>
      <c r="FI442" s="770">
        <v>1</v>
      </c>
      <c r="FJ442" s="770"/>
      <c r="FK442" s="770"/>
      <c r="FL442" s="770"/>
      <c r="FM442" s="302"/>
      <c r="FN442" s="302"/>
      <c r="FO442" s="302"/>
      <c r="FP442" s="766" t="s">
        <v>1602</v>
      </c>
      <c r="FQ442" s="766" t="s">
        <v>1660</v>
      </c>
      <c r="FR442" s="770" t="s">
        <v>1214</v>
      </c>
      <c r="FS442" s="770"/>
      <c r="FT442" s="770"/>
      <c r="FU442" s="770"/>
      <c r="FV442" s="770"/>
      <c r="FW442" s="770"/>
      <c r="FX442" s="770"/>
      <c r="FY442" s="770"/>
      <c r="FZ442" s="770"/>
      <c r="GA442" s="770"/>
      <c r="GB442" s="770" t="s">
        <v>1734</v>
      </c>
      <c r="GC442" s="308"/>
      <c r="GD442" s="297">
        <v>1980</v>
      </c>
      <c r="GE442" s="770" t="s">
        <v>1214</v>
      </c>
      <c r="GF442" s="302"/>
      <c r="GG442" s="302"/>
      <c r="GH442" s="712" t="s">
        <v>14260</v>
      </c>
      <c r="GI442" s="770"/>
      <c r="GJ442" s="770"/>
      <c r="GK442" s="770"/>
      <c r="GL442" s="770"/>
      <c r="GM442" s="770"/>
      <c r="GN442" s="299"/>
      <c r="GO442" s="770"/>
      <c r="GP442" s="770"/>
      <c r="GQ442" s="770"/>
      <c r="GR442" s="770"/>
      <c r="GS442" s="770"/>
      <c r="GT442" s="770"/>
      <c r="GU442" s="770"/>
      <c r="GV442" s="770"/>
      <c r="GW442" s="770"/>
      <c r="GX442" s="770"/>
      <c r="GY442" s="770"/>
      <c r="GZ442" s="770"/>
      <c r="HA442" s="770"/>
      <c r="HB442" s="770"/>
      <c r="HC442" s="770"/>
      <c r="HD442" s="770"/>
      <c r="HE442" s="770"/>
      <c r="HF442" s="770"/>
      <c r="HG442" s="770"/>
      <c r="HH442" s="770"/>
      <c r="HI442" s="770" t="s">
        <v>1207</v>
      </c>
      <c r="HJ442" s="770" t="s">
        <v>2384</v>
      </c>
      <c r="HK442" s="770" t="s">
        <v>2440</v>
      </c>
      <c r="HL442" s="770" t="s">
        <v>1214</v>
      </c>
      <c r="HM442" s="770"/>
      <c r="HN442" s="770"/>
      <c r="HO442" s="770"/>
      <c r="HP442" s="770"/>
      <c r="HQ442" s="770"/>
      <c r="HR442" s="770">
        <v>1</v>
      </c>
      <c r="HS442" s="770"/>
      <c r="HT442" s="770"/>
      <c r="HU442" s="770"/>
      <c r="HV442" s="770"/>
      <c r="HW442" s="770"/>
      <c r="HX442" s="770"/>
      <c r="HY442" s="770"/>
      <c r="HZ442" s="770"/>
      <c r="IA442" s="770"/>
      <c r="IB442" s="14" t="e">
        <f>IF(#REF!&gt;0,IF(#REF!&lt;=10000,"Y",""),"")</f>
        <v>#REF!</v>
      </c>
      <c r="IC442" s="770"/>
      <c r="ID442" s="770">
        <v>2</v>
      </c>
      <c r="IE442" s="770"/>
      <c r="IF442" s="770"/>
      <c r="IG442" s="770"/>
      <c r="IH442" s="770"/>
      <c r="II442" s="770"/>
      <c r="IJ442" s="770"/>
      <c r="IK442" s="766"/>
      <c r="IL442" s="770"/>
      <c r="IM442" s="770"/>
      <c r="IN442" s="770"/>
      <c r="IO442" s="296"/>
      <c r="IP442" s="770"/>
      <c r="IQ442" s="766"/>
      <c r="IR442" s="770"/>
      <c r="IS442" s="770"/>
      <c r="IT442" s="770"/>
      <c r="IU442" s="770"/>
      <c r="IV442" s="770"/>
      <c r="IW442" s="770"/>
      <c r="IX442" s="770"/>
      <c r="IY442" s="770"/>
      <c r="IZ442" s="770"/>
      <c r="JA442" s="770"/>
      <c r="JB442" s="770"/>
      <c r="JC442" s="770"/>
      <c r="JD442" s="302"/>
      <c r="JE442" s="770"/>
      <c r="JF442" s="770"/>
      <c r="JG442" s="770"/>
      <c r="JH442" s="307"/>
      <c r="JI442" s="307"/>
      <c r="JJ442" s="770">
        <v>4</v>
      </c>
      <c r="JK442" s="1047" t="s">
        <v>13577</v>
      </c>
      <c r="JL442" s="770"/>
      <c r="JM442" s="770"/>
      <c r="JN442" s="770">
        <v>1</v>
      </c>
      <c r="JO442" s="770">
        <v>1</v>
      </c>
      <c r="JP442" s="770">
        <v>1</v>
      </c>
      <c r="JQ442" s="770">
        <v>1</v>
      </c>
      <c r="JR442" s="770"/>
      <c r="JS442" s="770"/>
      <c r="JT442" s="766">
        <f t="shared" si="120"/>
        <v>2</v>
      </c>
      <c r="JU442" s="766">
        <f t="shared" si="120"/>
        <v>2</v>
      </c>
      <c r="JV442" s="712" t="str">
        <f t="shared" si="112"/>
        <v>ok</v>
      </c>
      <c r="JW442" s="712" t="str">
        <f t="shared" si="113"/>
        <v>ok</v>
      </c>
      <c r="JX442" s="766"/>
      <c r="JY442" s="766"/>
      <c r="JZ442" s="766"/>
      <c r="KA442" s="766"/>
      <c r="KB442" s="766"/>
      <c r="KC442" s="766"/>
      <c r="KD442" s="766">
        <v>1</v>
      </c>
      <c r="KE442" s="766">
        <v>1</v>
      </c>
      <c r="KF442" s="766">
        <v>1</v>
      </c>
      <c r="KG442" s="766">
        <v>1</v>
      </c>
      <c r="KH442" s="766"/>
      <c r="KI442" s="766"/>
      <c r="KJ442" s="770">
        <f t="shared" si="103"/>
        <v>2</v>
      </c>
      <c r="KK442" s="770">
        <f t="shared" si="103"/>
        <v>2</v>
      </c>
      <c r="KL442" s="712" t="str">
        <f t="shared" si="114"/>
        <v>ok</v>
      </c>
      <c r="KM442" s="712" t="str">
        <f t="shared" si="115"/>
        <v>ok</v>
      </c>
      <c r="KN442" s="770" t="s">
        <v>707</v>
      </c>
      <c r="KO442" s="770"/>
      <c r="KP442" s="770"/>
      <c r="KQ442" s="770"/>
      <c r="KR442" s="770"/>
      <c r="KS442" s="770"/>
      <c r="KT442" s="770"/>
      <c r="KU442" s="770"/>
      <c r="KV442" s="770"/>
      <c r="KW442" s="770"/>
      <c r="KX442" s="770"/>
      <c r="KY442" s="770"/>
      <c r="KZ442" s="770"/>
      <c r="LA442" s="770">
        <v>1</v>
      </c>
      <c r="LB442" s="770"/>
      <c r="LC442" s="770"/>
      <c r="LD442" s="770">
        <v>2</v>
      </c>
      <c r="LE442" s="770">
        <v>1</v>
      </c>
      <c r="LF442" s="770"/>
      <c r="LG442" s="770"/>
      <c r="LH442" s="770"/>
      <c r="LI442" s="770"/>
      <c r="LJ442" s="770"/>
      <c r="LK442" s="770"/>
      <c r="LL442" s="770"/>
      <c r="LM442" s="770"/>
      <c r="LN442" s="766">
        <f t="shared" si="111"/>
        <v>2</v>
      </c>
      <c r="LO442" s="766">
        <f t="shared" si="111"/>
        <v>2</v>
      </c>
      <c r="LP442" s="770">
        <v>2</v>
      </c>
      <c r="LQ442" s="770">
        <v>1</v>
      </c>
      <c r="LR442" s="770"/>
      <c r="LS442" s="770">
        <v>1</v>
      </c>
      <c r="LT442" s="712" t="str">
        <f t="shared" si="116"/>
        <v>OK</v>
      </c>
      <c r="LU442" s="770"/>
      <c r="LV442" s="770">
        <v>1</v>
      </c>
      <c r="LW442" s="770"/>
      <c r="LX442" s="769">
        <v>2</v>
      </c>
      <c r="LY442" s="766" t="str">
        <f t="shared" si="119"/>
        <v>within the MUNICIPALITY</v>
      </c>
      <c r="LZ442" s="1709">
        <v>900</v>
      </c>
      <c r="MA442" s="1709"/>
      <c r="MB442" s="1709"/>
      <c r="MC442" s="1679">
        <f t="shared" si="110"/>
        <v>900</v>
      </c>
      <c r="MD442" s="1709">
        <v>9000</v>
      </c>
      <c r="ME442" s="1709"/>
      <c r="MF442" s="1709">
        <v>12000</v>
      </c>
      <c r="MG442" s="1680">
        <f t="shared" si="118"/>
        <v>21000</v>
      </c>
      <c r="MH442" s="770" t="s">
        <v>2968</v>
      </c>
      <c r="MI442" s="302">
        <v>9000</v>
      </c>
      <c r="MJ442" s="302">
        <v>2400</v>
      </c>
      <c r="MK442" s="302">
        <v>250</v>
      </c>
      <c r="ML442" s="302">
        <v>6800</v>
      </c>
      <c r="MM442" s="302"/>
      <c r="MN442" s="302"/>
      <c r="MO442" s="302">
        <v>150</v>
      </c>
      <c r="MP442" s="302">
        <v>500</v>
      </c>
      <c r="MQ442" s="302">
        <v>300</v>
      </c>
      <c r="MR442" s="302">
        <v>300</v>
      </c>
      <c r="MS442" s="302"/>
      <c r="MT442" s="302"/>
      <c r="MU442" s="302"/>
      <c r="MV442" s="302"/>
      <c r="MW442" s="302"/>
      <c r="MX442" s="302"/>
      <c r="MY442" s="1682">
        <f t="shared" si="102"/>
        <v>19700</v>
      </c>
      <c r="MZ442" s="770" t="s">
        <v>13370</v>
      </c>
      <c r="NA442" s="770" t="s">
        <v>13005</v>
      </c>
      <c r="NB442" s="766" t="s">
        <v>13371</v>
      </c>
      <c r="NC442" s="766" t="s">
        <v>13523</v>
      </c>
      <c r="ND442" s="770">
        <v>0</v>
      </c>
      <c r="NE442" s="770">
        <v>1</v>
      </c>
      <c r="NF442" s="770">
        <v>0</v>
      </c>
      <c r="NG442" s="770">
        <v>2</v>
      </c>
      <c r="NH442" s="770">
        <v>1</v>
      </c>
      <c r="NI442" s="770">
        <v>1</v>
      </c>
      <c r="NJ442" s="770">
        <v>0</v>
      </c>
      <c r="NK442" s="770">
        <v>0</v>
      </c>
      <c r="NL442" s="770">
        <v>0</v>
      </c>
      <c r="NM442" s="770">
        <v>1</v>
      </c>
      <c r="NN442" s="770">
        <v>0</v>
      </c>
      <c r="NO442" s="770">
        <v>0</v>
      </c>
      <c r="NP442" s="770">
        <v>0</v>
      </c>
      <c r="NQ442" s="770">
        <v>0</v>
      </c>
      <c r="NR442" s="770">
        <v>0</v>
      </c>
      <c r="NS442" s="770">
        <v>0</v>
      </c>
      <c r="NT442" s="770">
        <v>0</v>
      </c>
      <c r="NU442" s="770">
        <v>0</v>
      </c>
      <c r="NV442" s="770">
        <v>0</v>
      </c>
      <c r="NW442" s="770">
        <v>0</v>
      </c>
      <c r="NX442" s="770">
        <v>0</v>
      </c>
      <c r="NY442" s="770"/>
      <c r="NZ442" s="770"/>
      <c r="OA442" s="770"/>
      <c r="OB442" s="770"/>
      <c r="OC442" s="770" t="s">
        <v>1208</v>
      </c>
      <c r="OD442" s="770"/>
      <c r="OE442" s="770"/>
      <c r="OF442" s="770" t="s">
        <v>2143</v>
      </c>
      <c r="OG442" s="770"/>
      <c r="OH442" s="770"/>
      <c r="OI442" s="770"/>
      <c r="OJ442" s="770"/>
      <c r="OK442" s="770"/>
      <c r="OL442" s="770"/>
      <c r="OM442" s="770"/>
      <c r="ON442" s="770"/>
      <c r="OO442" s="770"/>
      <c r="OP442" s="770"/>
      <c r="OQ442" s="770"/>
      <c r="OR442" s="770"/>
      <c r="OS442" s="770"/>
      <c r="OT442" s="770"/>
      <c r="OU442" s="770"/>
      <c r="OV442" s="770"/>
      <c r="OW442" s="770"/>
      <c r="OX442" s="770"/>
      <c r="OY442" s="770"/>
      <c r="OZ442" s="770"/>
      <c r="PA442" s="770"/>
      <c r="PB442" s="770"/>
      <c r="PC442" s="770"/>
      <c r="PD442" s="770"/>
      <c r="PE442" s="770"/>
      <c r="PF442" s="770"/>
      <c r="PG442" s="770"/>
      <c r="PH442" s="770"/>
      <c r="PI442" s="770"/>
      <c r="PJ442" s="770"/>
      <c r="PK442" s="770"/>
      <c r="PL442" s="770"/>
      <c r="PM442" s="770" t="s">
        <v>1208</v>
      </c>
      <c r="PN442" s="770"/>
      <c r="PO442" s="770"/>
      <c r="PP442" s="770"/>
      <c r="PQ442" s="770"/>
      <c r="PR442" s="770"/>
      <c r="PS442" s="770"/>
      <c r="PT442" s="770"/>
      <c r="PU442" s="770"/>
      <c r="PV442" s="770"/>
      <c r="PW442" s="770"/>
      <c r="PX442" s="770"/>
      <c r="PY442" s="770" t="s">
        <v>1208</v>
      </c>
      <c r="PZ442" s="770"/>
      <c r="QA442" s="770"/>
      <c r="QB442" s="770"/>
      <c r="QC442" s="770"/>
      <c r="QD442" s="770"/>
      <c r="QE442" s="770"/>
      <c r="QF442" s="770"/>
      <c r="QG442" s="770" t="s">
        <v>1208</v>
      </c>
      <c r="QH442" s="770"/>
      <c r="QI442" s="770"/>
      <c r="QJ442" s="770"/>
      <c r="QK442" s="770"/>
      <c r="QL442" s="770"/>
      <c r="QM442" s="770"/>
      <c r="QN442" s="770"/>
      <c r="QO442" s="770"/>
      <c r="QP442" s="770"/>
      <c r="QQ442" s="770"/>
      <c r="QR442" s="770"/>
      <c r="QS442" s="770"/>
      <c r="QT442" s="770"/>
      <c r="QU442" s="770"/>
      <c r="QV442" s="770"/>
      <c r="QW442" s="770"/>
      <c r="QX442" s="770"/>
      <c r="QY442" s="770"/>
      <c r="QZ442" s="770"/>
      <c r="RA442" s="770"/>
      <c r="RB442" s="770" t="s">
        <v>1214</v>
      </c>
      <c r="RC442" s="770"/>
      <c r="RD442" s="770"/>
      <c r="RE442" s="770"/>
      <c r="RF442" s="304"/>
      <c r="RG442" s="770"/>
      <c r="RH442" s="302"/>
      <c r="RI442" s="770"/>
      <c r="RJ442" s="770" t="s">
        <v>2441</v>
      </c>
      <c r="RK442" s="770" t="s">
        <v>13550</v>
      </c>
      <c r="RL442" s="1710"/>
      <c r="RM442" s="12"/>
      <c r="RN442" s="1711"/>
      <c r="RO442" s="133" t="s">
        <v>2434</v>
      </c>
      <c r="RP442" s="11"/>
      <c r="RQ442" s="11"/>
      <c r="RR442" s="19" t="s">
        <v>7421</v>
      </c>
      <c r="RS442" s="1139" t="s">
        <v>12980</v>
      </c>
      <c r="RT442" s="11"/>
      <c r="RU442" s="11"/>
      <c r="RV442" s="6" t="s">
        <v>7421</v>
      </c>
      <c r="RW442" s="11" t="s">
        <v>7742</v>
      </c>
      <c r="RX442" s="11" t="s">
        <v>2416</v>
      </c>
      <c r="RY442" s="11"/>
      <c r="RZ442" s="11" t="s">
        <v>1101</v>
      </c>
      <c r="SA442" s="6"/>
      <c r="SB442" s="11"/>
      <c r="SC442" s="11"/>
    </row>
    <row r="443" spans="1:497" ht="12.75" customHeight="1">
      <c r="A443" s="19" t="s">
        <v>7421</v>
      </c>
      <c r="B443" s="1007" t="s">
        <v>7847</v>
      </c>
      <c r="C443" s="132" t="s">
        <v>2442</v>
      </c>
      <c r="D443" s="94" t="s">
        <v>3495</v>
      </c>
      <c r="E443" s="770" t="s">
        <v>7929</v>
      </c>
      <c r="F443" s="770" t="s">
        <v>20</v>
      </c>
      <c r="G443" s="770" t="s">
        <v>18</v>
      </c>
      <c r="H443" s="770"/>
      <c r="I443" s="1826" t="s">
        <v>2445</v>
      </c>
      <c r="J443" s="94" t="s">
        <v>2443</v>
      </c>
      <c r="K443" s="766" t="s">
        <v>2446</v>
      </c>
      <c r="L443" s="766" t="s">
        <v>2331</v>
      </c>
      <c r="M443" s="770" t="s">
        <v>2402</v>
      </c>
      <c r="N443" s="770"/>
      <c r="O443" s="770" t="s">
        <v>2403</v>
      </c>
      <c r="P443" s="94" t="s">
        <v>2447</v>
      </c>
      <c r="Q443" s="1088">
        <v>25486</v>
      </c>
      <c r="R443" s="297">
        <v>48</v>
      </c>
      <c r="S443" s="770" t="s">
        <v>10</v>
      </c>
      <c r="T443" s="770"/>
      <c r="U443" s="1826" t="s">
        <v>2445</v>
      </c>
      <c r="V443" s="770" t="s">
        <v>707</v>
      </c>
      <c r="W443" s="770"/>
      <c r="X443" s="770"/>
      <c r="Y443" s="770" t="s">
        <v>2444</v>
      </c>
      <c r="Z443" s="770" t="s">
        <v>708</v>
      </c>
      <c r="AA443" s="770" t="s">
        <v>709</v>
      </c>
      <c r="AB443" s="770" t="s">
        <v>710</v>
      </c>
      <c r="AC443" s="770"/>
      <c r="AD443" s="770" t="s">
        <v>711</v>
      </c>
      <c r="AE443" s="770"/>
      <c r="AF443" s="770" t="s">
        <v>2448</v>
      </c>
      <c r="AG443" s="766" t="s">
        <v>1132</v>
      </c>
      <c r="AH443" s="766" t="s">
        <v>1096</v>
      </c>
      <c r="AI443" s="770"/>
      <c r="AJ443" s="770" t="s">
        <v>1137</v>
      </c>
      <c r="AK443" s="770" t="s">
        <v>1101</v>
      </c>
      <c r="AL443" s="531">
        <v>2.0539999999999998</v>
      </c>
      <c r="AM443" s="780">
        <v>0.78</v>
      </c>
      <c r="AN443" s="532">
        <f>AM443/AL443</f>
        <v>0.379746835443038</v>
      </c>
      <c r="AO443" s="766" t="s">
        <v>1149</v>
      </c>
      <c r="AP443" s="1773"/>
      <c r="AQ443" s="766"/>
      <c r="AR443" s="766"/>
      <c r="AS443" s="770"/>
      <c r="AT443" s="770"/>
      <c r="AU443" s="770"/>
      <c r="AV443" s="770"/>
      <c r="AW443" s="770"/>
      <c r="AX443" s="770"/>
      <c r="AY443" s="770"/>
      <c r="AZ443" s="770"/>
      <c r="BA443" s="770"/>
      <c r="BB443" s="770"/>
      <c r="BC443" s="770"/>
      <c r="BD443" s="770"/>
      <c r="BE443" s="770"/>
      <c r="BF443" s="302"/>
      <c r="BG443" s="302"/>
      <c r="BH443" s="770"/>
      <c r="BI443" s="770"/>
      <c r="BJ443" s="770"/>
      <c r="BK443" s="770" t="s">
        <v>1095</v>
      </c>
      <c r="BL443" s="770" t="s">
        <v>2449</v>
      </c>
      <c r="BM443" s="766" t="s">
        <v>1096</v>
      </c>
      <c r="BN443" s="770" t="s">
        <v>1230</v>
      </c>
      <c r="BO443" s="766" t="s">
        <v>1246</v>
      </c>
      <c r="BP443" s="1109">
        <v>4.9249999999999998</v>
      </c>
      <c r="BQ443" s="773">
        <v>0.78</v>
      </c>
      <c r="BR443" s="774">
        <f>BQ443/BP443</f>
        <v>0.15837563451776651</v>
      </c>
      <c r="BS443" s="766" t="s">
        <v>1242</v>
      </c>
      <c r="BT443" s="766" t="s">
        <v>1326</v>
      </c>
      <c r="BU443" s="766" t="s">
        <v>1264</v>
      </c>
      <c r="BV443" s="770" t="s">
        <v>2450</v>
      </c>
      <c r="BW443" s="770">
        <f>2017-20</f>
        <v>1997</v>
      </c>
      <c r="BX443" s="302"/>
      <c r="BY443" s="770"/>
      <c r="BZ443" s="302"/>
      <c r="CA443" s="770"/>
      <c r="CB443" s="770" t="s">
        <v>1207</v>
      </c>
      <c r="CC443" s="770"/>
      <c r="CD443" s="770"/>
      <c r="CE443" s="770"/>
      <c r="CF443" s="1753"/>
      <c r="CG443" s="1754"/>
      <c r="CH443" s="770"/>
      <c r="CI443" s="770"/>
      <c r="CJ443" s="770"/>
      <c r="CK443" s="770">
        <v>1</v>
      </c>
      <c r="CL443" s="770"/>
      <c r="CM443" s="770"/>
      <c r="CN443" s="770"/>
      <c r="CO443" s="770"/>
      <c r="CP443" s="770"/>
      <c r="CQ443" s="770"/>
      <c r="CR443" s="302"/>
      <c r="CS443" s="770"/>
      <c r="CT443" s="770"/>
      <c r="CU443" s="305"/>
      <c r="CV443" s="770"/>
      <c r="CW443" s="770"/>
      <c r="CX443" s="770"/>
      <c r="CY443" s="770"/>
      <c r="CZ443" s="770"/>
      <c r="DA443" s="306"/>
      <c r="DB443" s="770"/>
      <c r="DC443" s="770"/>
      <c r="DD443" s="770"/>
      <c r="DE443" s="300"/>
      <c r="DF443" s="770"/>
      <c r="DG443" s="770"/>
      <c r="DH443" s="770"/>
      <c r="DI443" s="770"/>
      <c r="DJ443" s="770"/>
      <c r="DK443" s="770"/>
      <c r="DL443" s="770"/>
      <c r="DM443" s="770"/>
      <c r="DN443" s="322"/>
      <c r="DO443" s="770"/>
      <c r="DP443" s="770"/>
      <c r="DQ443" s="770"/>
      <c r="DR443" s="770"/>
      <c r="DS443" s="307"/>
      <c r="DT443" s="770"/>
      <c r="DU443" s="770"/>
      <c r="DV443" s="770"/>
      <c r="DW443" s="306"/>
      <c r="DX443" s="306"/>
      <c r="DY443" s="770"/>
      <c r="DZ443" s="770"/>
      <c r="EA443" s="770"/>
      <c r="EB443" s="770"/>
      <c r="EC443" s="770"/>
      <c r="ED443" s="770"/>
      <c r="EE443" s="770"/>
      <c r="EF443" s="770"/>
      <c r="EG443" s="770"/>
      <c r="EH443" s="770"/>
      <c r="EI443" s="770"/>
      <c r="EJ443" s="770"/>
      <c r="EK443" s="770"/>
      <c r="EL443" s="770"/>
      <c r="EM443" s="770"/>
      <c r="EN443" s="770"/>
      <c r="EO443" s="770"/>
      <c r="EP443" s="94"/>
      <c r="EQ443" s="770"/>
      <c r="ER443" s="770"/>
      <c r="ES443" s="770"/>
      <c r="ET443" s="770"/>
      <c r="EU443" s="770"/>
      <c r="EV443" s="770"/>
      <c r="EW443" s="770"/>
      <c r="EX443" s="770"/>
      <c r="EY443" s="770"/>
      <c r="EZ443" s="770" t="s">
        <v>2451</v>
      </c>
      <c r="FA443" s="770" t="s">
        <v>3099</v>
      </c>
      <c r="FB443" s="301" t="s">
        <v>1149</v>
      </c>
      <c r="FC443" s="770"/>
      <c r="FD443" s="302"/>
      <c r="FE443" s="770" t="s">
        <v>3496</v>
      </c>
      <c r="FF443" s="770" t="s">
        <v>2452</v>
      </c>
      <c r="FG443" s="770"/>
      <c r="FH443" s="770" t="s">
        <v>478</v>
      </c>
      <c r="FI443" s="770">
        <v>1</v>
      </c>
      <c r="FJ443" s="770"/>
      <c r="FK443" s="770"/>
      <c r="FL443" s="770"/>
      <c r="FM443" s="302"/>
      <c r="FN443" s="302"/>
      <c r="FO443" s="302"/>
      <c r="FP443" s="766" t="s">
        <v>1600</v>
      </c>
      <c r="FQ443" s="766" t="s">
        <v>1642</v>
      </c>
      <c r="FR443" s="770" t="s">
        <v>1214</v>
      </c>
      <c r="FS443" s="770"/>
      <c r="FT443" s="770"/>
      <c r="FU443" s="770"/>
      <c r="FV443" s="770"/>
      <c r="FW443" s="770"/>
      <c r="FX443" s="770"/>
      <c r="FY443" s="770"/>
      <c r="FZ443" s="770"/>
      <c r="GA443" s="770"/>
      <c r="GB443" s="770"/>
      <c r="GC443" s="308"/>
      <c r="GD443" s="297"/>
      <c r="GE443" s="770"/>
      <c r="GF443" s="302"/>
      <c r="GG443" s="302"/>
      <c r="GH443" s="766" t="s">
        <v>14260</v>
      </c>
      <c r="GI443" s="770"/>
      <c r="GJ443" s="770" t="s">
        <v>2453</v>
      </c>
      <c r="GK443" s="770"/>
      <c r="GL443" s="770"/>
      <c r="GM443" s="770"/>
      <c r="GN443" s="299"/>
      <c r="GO443" s="770"/>
      <c r="GP443" s="770"/>
      <c r="GQ443" s="770"/>
      <c r="GR443" s="770"/>
      <c r="GS443" s="770"/>
      <c r="GT443" s="770"/>
      <c r="GU443" s="770"/>
      <c r="GV443" s="770"/>
      <c r="GW443" s="770"/>
      <c r="GX443" s="770"/>
      <c r="GY443" s="770"/>
      <c r="GZ443" s="770"/>
      <c r="HA443" s="770"/>
      <c r="HB443" s="770"/>
      <c r="HC443" s="770"/>
      <c r="HD443" s="770"/>
      <c r="HE443" s="770"/>
      <c r="HF443" s="770"/>
      <c r="HG443" s="770"/>
      <c r="HH443" s="770"/>
      <c r="HI443" s="770" t="s">
        <v>1207</v>
      </c>
      <c r="HJ443" s="770" t="s">
        <v>2384</v>
      </c>
      <c r="HK443" s="770" t="s">
        <v>2454</v>
      </c>
      <c r="HL443" s="770" t="s">
        <v>1214</v>
      </c>
      <c r="HM443" s="770"/>
      <c r="HN443" s="770"/>
      <c r="HO443" s="770"/>
      <c r="HP443" s="770"/>
      <c r="HQ443" s="770"/>
      <c r="HR443" s="770">
        <v>1</v>
      </c>
      <c r="HS443" s="770"/>
      <c r="HT443" s="770"/>
      <c r="HU443" s="770"/>
      <c r="HV443" s="770"/>
      <c r="HW443" s="770"/>
      <c r="HX443" s="770"/>
      <c r="HY443" s="770"/>
      <c r="HZ443" s="770"/>
      <c r="IA443" s="770"/>
      <c r="IB443" s="14" t="e">
        <f>IF(#REF!&gt;0,IF(#REF!&lt;=10000,"Y",""),"")</f>
        <v>#REF!</v>
      </c>
      <c r="IC443" s="770"/>
      <c r="ID443" s="770"/>
      <c r="IE443" s="766">
        <v>1</v>
      </c>
      <c r="IF443" s="770"/>
      <c r="IG443" s="770"/>
      <c r="IH443" s="770"/>
      <c r="II443" s="770"/>
      <c r="IJ443" s="770"/>
      <c r="IK443" s="770"/>
      <c r="IL443" s="770"/>
      <c r="IM443" s="770"/>
      <c r="IN443" s="770"/>
      <c r="IO443" s="296"/>
      <c r="IP443" s="770"/>
      <c r="IQ443" s="766"/>
      <c r="IR443" s="770"/>
      <c r="IS443" s="770"/>
      <c r="IT443" s="770"/>
      <c r="IU443" s="770"/>
      <c r="IV443" s="770"/>
      <c r="IW443" s="770"/>
      <c r="IX443" s="770"/>
      <c r="IY443" s="770"/>
      <c r="IZ443" s="770"/>
      <c r="JA443" s="770"/>
      <c r="JB443" s="770"/>
      <c r="JC443" s="770"/>
      <c r="JD443" s="302"/>
      <c r="JE443" s="770"/>
      <c r="JF443" s="770"/>
      <c r="JG443" s="770"/>
      <c r="JH443" s="307"/>
      <c r="JI443" s="307"/>
      <c r="JJ443" s="770">
        <v>9</v>
      </c>
      <c r="JK443" s="1047" t="s">
        <v>2451</v>
      </c>
      <c r="JL443" s="770">
        <v>1</v>
      </c>
      <c r="JM443" s="770">
        <v>2</v>
      </c>
      <c r="JN443" s="770">
        <v>2</v>
      </c>
      <c r="JO443" s="770">
        <v>4</v>
      </c>
      <c r="JP443" s="770"/>
      <c r="JQ443" s="770"/>
      <c r="JR443" s="770"/>
      <c r="JS443" s="770"/>
      <c r="JT443" s="766">
        <f t="shared" si="120"/>
        <v>3</v>
      </c>
      <c r="JU443" s="766">
        <f t="shared" si="120"/>
        <v>6</v>
      </c>
      <c r="JV443" s="712" t="str">
        <f t="shared" si="112"/>
        <v>ok</v>
      </c>
      <c r="JW443" s="712" t="str">
        <f t="shared" si="113"/>
        <v>ok</v>
      </c>
      <c r="JX443" s="766">
        <v>1</v>
      </c>
      <c r="JY443" s="766">
        <v>1</v>
      </c>
      <c r="JZ443" s="766"/>
      <c r="KA443" s="766">
        <v>1</v>
      </c>
      <c r="KB443" s="766">
        <v>1</v>
      </c>
      <c r="KC443" s="766">
        <v>3</v>
      </c>
      <c r="KD443" s="766">
        <v>1</v>
      </c>
      <c r="KE443" s="766">
        <v>1</v>
      </c>
      <c r="KF443" s="766"/>
      <c r="KG443" s="766"/>
      <c r="KH443" s="766"/>
      <c r="KI443" s="766"/>
      <c r="KJ443" s="770">
        <f t="shared" si="103"/>
        <v>3</v>
      </c>
      <c r="KK443" s="770">
        <f t="shared" si="103"/>
        <v>6</v>
      </c>
      <c r="KL443" s="712" t="str">
        <f t="shared" si="114"/>
        <v>ok</v>
      </c>
      <c r="KM443" s="712" t="str">
        <f t="shared" si="115"/>
        <v>ok</v>
      </c>
      <c r="KN443" s="770" t="s">
        <v>707</v>
      </c>
      <c r="KO443" s="770"/>
      <c r="KP443" s="770"/>
      <c r="KQ443" s="770"/>
      <c r="KR443" s="770"/>
      <c r="KS443" s="770"/>
      <c r="KT443" s="770"/>
      <c r="KU443" s="770">
        <v>1</v>
      </c>
      <c r="KV443" s="770"/>
      <c r="KW443" s="770">
        <v>1</v>
      </c>
      <c r="KX443" s="770"/>
      <c r="KY443" s="770"/>
      <c r="KZ443" s="770">
        <v>2</v>
      </c>
      <c r="LA443" s="770">
        <v>3</v>
      </c>
      <c r="LB443" s="770"/>
      <c r="LC443" s="770"/>
      <c r="LD443" s="770"/>
      <c r="LE443" s="770"/>
      <c r="LF443" s="770"/>
      <c r="LG443" s="770"/>
      <c r="LH443" s="770"/>
      <c r="LI443" s="770"/>
      <c r="LJ443" s="770">
        <v>1</v>
      </c>
      <c r="LK443" s="770">
        <v>1</v>
      </c>
      <c r="LL443" s="770"/>
      <c r="LM443" s="770"/>
      <c r="LN443" s="766">
        <f t="shared" si="111"/>
        <v>3</v>
      </c>
      <c r="LO443" s="766">
        <f t="shared" si="111"/>
        <v>6</v>
      </c>
      <c r="LP443" s="770">
        <v>2</v>
      </c>
      <c r="LQ443" s="770">
        <v>1</v>
      </c>
      <c r="LR443" s="770"/>
      <c r="LS443" s="770">
        <v>1</v>
      </c>
      <c r="LT443" s="712" t="str">
        <f t="shared" si="116"/>
        <v>OK</v>
      </c>
      <c r="LU443" s="770"/>
      <c r="LV443" s="770">
        <v>1</v>
      </c>
      <c r="LW443" s="770"/>
      <c r="LX443" s="769">
        <v>1</v>
      </c>
      <c r="LY443" s="766" t="str">
        <f t="shared" si="119"/>
        <v>within the BRGY</v>
      </c>
      <c r="LZ443" s="1709">
        <v>2400</v>
      </c>
      <c r="MA443" s="1709"/>
      <c r="MB443" s="1709">
        <v>900</v>
      </c>
      <c r="MC443" s="1679">
        <f t="shared" si="110"/>
        <v>3300</v>
      </c>
      <c r="MD443" s="1709">
        <v>5600</v>
      </c>
      <c r="ME443" s="1709"/>
      <c r="MF443" s="1709">
        <v>1500</v>
      </c>
      <c r="MG443" s="1680">
        <f t="shared" si="118"/>
        <v>7100</v>
      </c>
      <c r="MH443" s="770" t="s">
        <v>2205</v>
      </c>
      <c r="MI443" s="302">
        <v>6000</v>
      </c>
      <c r="MJ443" s="302">
        <v>150</v>
      </c>
      <c r="MK443" s="302">
        <v>2000</v>
      </c>
      <c r="ML443" s="302">
        <v>400</v>
      </c>
      <c r="MM443" s="302">
        <v>1800</v>
      </c>
      <c r="MN443" s="302"/>
      <c r="MO443" s="302"/>
      <c r="MP443" s="302">
        <v>600</v>
      </c>
      <c r="MQ443" s="302">
        <v>350</v>
      </c>
      <c r="MR443" s="302">
        <v>300</v>
      </c>
      <c r="MS443" s="302">
        <v>1000</v>
      </c>
      <c r="MT443" s="302"/>
      <c r="MU443" s="302"/>
      <c r="MV443" s="302"/>
      <c r="MW443" s="302"/>
      <c r="MX443" s="302"/>
      <c r="MY443" s="1682">
        <f t="shared" si="102"/>
        <v>12600</v>
      </c>
      <c r="MZ443" s="770" t="s">
        <v>13370</v>
      </c>
      <c r="NA443" s="770" t="s">
        <v>13005</v>
      </c>
      <c r="NB443" s="766" t="s">
        <v>13371</v>
      </c>
      <c r="NC443" s="766" t="s">
        <v>13523</v>
      </c>
      <c r="ND443" s="770">
        <v>0</v>
      </c>
      <c r="NE443" s="770">
        <v>0</v>
      </c>
      <c r="NF443" s="770">
        <v>0</v>
      </c>
      <c r="NG443" s="770">
        <v>2</v>
      </c>
      <c r="NH443" s="770">
        <v>1</v>
      </c>
      <c r="NI443" s="770">
        <v>1</v>
      </c>
      <c r="NJ443" s="770">
        <v>1</v>
      </c>
      <c r="NK443" s="770">
        <v>0</v>
      </c>
      <c r="NL443" s="770">
        <v>0</v>
      </c>
      <c r="NM443" s="770">
        <v>1</v>
      </c>
      <c r="NN443" s="770">
        <v>0</v>
      </c>
      <c r="NO443" s="770">
        <v>0</v>
      </c>
      <c r="NP443" s="770">
        <v>0</v>
      </c>
      <c r="NQ443" s="770">
        <v>0</v>
      </c>
      <c r="NR443" s="770">
        <v>0</v>
      </c>
      <c r="NS443" s="770">
        <v>0</v>
      </c>
      <c r="NT443" s="770">
        <v>0</v>
      </c>
      <c r="NU443" s="770">
        <v>0</v>
      </c>
      <c r="NV443" s="770">
        <v>0</v>
      </c>
      <c r="NW443" s="770">
        <v>0</v>
      </c>
      <c r="NX443" s="770">
        <v>0</v>
      </c>
      <c r="NY443" s="770" t="s">
        <v>1208</v>
      </c>
      <c r="NZ443" s="770" t="s">
        <v>1208</v>
      </c>
      <c r="OA443" s="770" t="s">
        <v>1208</v>
      </c>
      <c r="OB443" s="770" t="s">
        <v>1208</v>
      </c>
      <c r="OC443" s="770" t="s">
        <v>1208</v>
      </c>
      <c r="OD443" s="770"/>
      <c r="OE443" s="770"/>
      <c r="OF443" s="770" t="s">
        <v>2143</v>
      </c>
      <c r="OG443" s="770"/>
      <c r="OH443" s="770"/>
      <c r="OI443" s="770"/>
      <c r="OJ443" s="770"/>
      <c r="OK443" s="770" t="s">
        <v>1208</v>
      </c>
      <c r="OL443" s="770" t="s">
        <v>3493</v>
      </c>
      <c r="OM443" s="770" t="s">
        <v>13553</v>
      </c>
      <c r="ON443" s="770"/>
      <c r="OO443" s="770" t="s">
        <v>1207</v>
      </c>
      <c r="OP443" s="770" t="s">
        <v>13578</v>
      </c>
      <c r="OQ443" s="770" t="s">
        <v>13548</v>
      </c>
      <c r="OR443" s="770" t="s">
        <v>13579</v>
      </c>
      <c r="OS443" s="770" t="s">
        <v>13580</v>
      </c>
      <c r="OT443" s="770" t="s">
        <v>13548</v>
      </c>
      <c r="OU443" s="770" t="s">
        <v>711</v>
      </c>
      <c r="OV443" s="770" t="s">
        <v>1208</v>
      </c>
      <c r="OW443" s="770"/>
      <c r="OX443" s="770" t="s">
        <v>1208</v>
      </c>
      <c r="OY443" s="770" t="s">
        <v>1208</v>
      </c>
      <c r="OZ443" s="770"/>
      <c r="PA443" s="770" t="s">
        <v>1208</v>
      </c>
      <c r="PB443" s="770" t="s">
        <v>1208</v>
      </c>
      <c r="PC443" s="770"/>
      <c r="PD443" s="770"/>
      <c r="PE443" s="770"/>
      <c r="PF443" s="770"/>
      <c r="PG443" s="770" t="s">
        <v>1208</v>
      </c>
      <c r="PH443" s="770"/>
      <c r="PI443" s="770"/>
      <c r="PJ443" s="770"/>
      <c r="PK443" s="770"/>
      <c r="PL443" s="770"/>
      <c r="PM443" s="770"/>
      <c r="PN443" s="770"/>
      <c r="PO443" s="770"/>
      <c r="PP443" s="770"/>
      <c r="PQ443" s="770"/>
      <c r="PR443" s="770"/>
      <c r="PS443" s="770"/>
      <c r="PT443" s="770"/>
      <c r="PU443" s="770"/>
      <c r="PV443" s="770"/>
      <c r="PW443" s="770"/>
      <c r="PX443" s="770"/>
      <c r="PY443" s="770"/>
      <c r="PZ443" s="770"/>
      <c r="QA443" s="770"/>
      <c r="QB443" s="770"/>
      <c r="QC443" s="770"/>
      <c r="QD443" s="770"/>
      <c r="QE443" s="770"/>
      <c r="QF443" s="770"/>
      <c r="QG443" s="770"/>
      <c r="QH443" s="770"/>
      <c r="QI443" s="770"/>
      <c r="QJ443" s="770"/>
      <c r="QK443" s="770"/>
      <c r="QL443" s="770"/>
      <c r="QM443" s="770"/>
      <c r="QN443" s="770"/>
      <c r="QO443" s="770"/>
      <c r="QP443" s="770"/>
      <c r="QQ443" s="770"/>
      <c r="QR443" s="770"/>
      <c r="QS443" s="770"/>
      <c r="QT443" s="770"/>
      <c r="QU443" s="770"/>
      <c r="QV443" s="770"/>
      <c r="QW443" s="770"/>
      <c r="QX443" s="770"/>
      <c r="QY443" s="770"/>
      <c r="QZ443" s="770"/>
      <c r="RA443" s="770"/>
      <c r="RB443" s="770" t="s">
        <v>1207</v>
      </c>
      <c r="RC443" s="770">
        <v>2016</v>
      </c>
      <c r="RD443" s="770" t="s">
        <v>13581</v>
      </c>
      <c r="RE443" s="770" t="s">
        <v>13008</v>
      </c>
      <c r="RF443" s="304">
        <v>2</v>
      </c>
      <c r="RG443" s="770" t="s">
        <v>13047</v>
      </c>
      <c r="RH443" s="302">
        <v>0</v>
      </c>
      <c r="RI443" s="770">
        <v>1</v>
      </c>
      <c r="RJ443" s="770" t="s">
        <v>2455</v>
      </c>
      <c r="RK443" s="770" t="s">
        <v>13544</v>
      </c>
      <c r="RL443" s="1710"/>
      <c r="RM443" s="12"/>
      <c r="RN443" s="1711"/>
      <c r="RO443" s="132" t="s">
        <v>2442</v>
      </c>
      <c r="RP443" s="11"/>
      <c r="RQ443" s="11"/>
      <c r="RR443" s="19" t="s">
        <v>7421</v>
      </c>
      <c r="RS443" s="1139" t="s">
        <v>12980</v>
      </c>
      <c r="RT443" s="11"/>
      <c r="RU443" s="11"/>
      <c r="RV443" s="6" t="s">
        <v>7421</v>
      </c>
      <c r="RW443" s="11" t="s">
        <v>7683</v>
      </c>
      <c r="RX443" s="11" t="s">
        <v>2424</v>
      </c>
      <c r="RY443" s="11"/>
      <c r="RZ443" s="11" t="s">
        <v>1101</v>
      </c>
      <c r="SA443" s="6"/>
      <c r="SB443" s="11"/>
      <c r="SC443" s="11"/>
    </row>
    <row r="444" spans="1:497" ht="12.75" customHeight="1">
      <c r="A444" s="19" t="s">
        <v>7421</v>
      </c>
      <c r="B444" s="752" t="s">
        <v>7685</v>
      </c>
      <c r="C444" s="133" t="s">
        <v>2456</v>
      </c>
      <c r="D444" s="94" t="s">
        <v>2457</v>
      </c>
      <c r="E444" s="770" t="s">
        <v>2468</v>
      </c>
      <c r="F444" s="770" t="s">
        <v>28</v>
      </c>
      <c r="G444" s="770" t="s">
        <v>10</v>
      </c>
      <c r="H444" s="770"/>
      <c r="I444" s="295" t="s">
        <v>2459</v>
      </c>
      <c r="J444" s="94" t="s">
        <v>2457</v>
      </c>
      <c r="K444" s="766" t="s">
        <v>2460</v>
      </c>
      <c r="L444" s="766" t="s">
        <v>2461</v>
      </c>
      <c r="M444" s="770" t="s">
        <v>2402</v>
      </c>
      <c r="N444" s="770"/>
      <c r="O444" s="770" t="s">
        <v>2403</v>
      </c>
      <c r="P444" s="94" t="s">
        <v>2462</v>
      </c>
      <c r="Q444" s="1088">
        <v>20077</v>
      </c>
      <c r="R444" s="297">
        <v>67</v>
      </c>
      <c r="S444" s="770" t="s">
        <v>10</v>
      </c>
      <c r="T444" s="770"/>
      <c r="U444" s="295" t="s">
        <v>2459</v>
      </c>
      <c r="V444" s="770" t="s">
        <v>707</v>
      </c>
      <c r="W444" s="770"/>
      <c r="X444" s="770"/>
      <c r="Y444" s="770" t="s">
        <v>2458</v>
      </c>
      <c r="Z444" s="770" t="s">
        <v>708</v>
      </c>
      <c r="AA444" s="770" t="s">
        <v>2463</v>
      </c>
      <c r="AB444" s="770" t="s">
        <v>710</v>
      </c>
      <c r="AC444" s="770" t="s">
        <v>724</v>
      </c>
      <c r="AD444" s="770" t="s">
        <v>711</v>
      </c>
      <c r="AE444" s="770"/>
      <c r="AF444" s="770" t="s">
        <v>712</v>
      </c>
      <c r="AG444" s="766" t="s">
        <v>1132</v>
      </c>
      <c r="AH444" s="766" t="s">
        <v>1096</v>
      </c>
      <c r="AI444" s="770"/>
      <c r="AJ444" s="770" t="s">
        <v>1137</v>
      </c>
      <c r="AK444" s="770" t="s">
        <v>1101</v>
      </c>
      <c r="AL444" s="531">
        <v>2.0539999999999998</v>
      </c>
      <c r="AM444" s="780">
        <v>0.78</v>
      </c>
      <c r="AN444" s="532">
        <f>AM444/AL444</f>
        <v>0.379746835443038</v>
      </c>
      <c r="AO444" s="766" t="s">
        <v>1149</v>
      </c>
      <c r="AP444" s="1773"/>
      <c r="AQ444" s="766"/>
      <c r="AR444" s="766"/>
      <c r="AS444" s="770"/>
      <c r="AT444" s="770"/>
      <c r="AU444" s="770"/>
      <c r="AV444" s="770"/>
      <c r="AW444" s="770"/>
      <c r="AX444" s="770"/>
      <c r="AY444" s="770"/>
      <c r="AZ444" s="770"/>
      <c r="BA444" s="770"/>
      <c r="BB444" s="770"/>
      <c r="BC444" s="770"/>
      <c r="BD444" s="770"/>
      <c r="BE444" s="770"/>
      <c r="BF444" s="302"/>
      <c r="BG444" s="302"/>
      <c r="BH444" s="770"/>
      <c r="BI444" s="770"/>
      <c r="BJ444" s="770"/>
      <c r="BK444" s="770" t="s">
        <v>1095</v>
      </c>
      <c r="BL444" s="770" t="s">
        <v>2464</v>
      </c>
      <c r="BM444" s="766" t="s">
        <v>1096</v>
      </c>
      <c r="BN444" s="770" t="s">
        <v>1230</v>
      </c>
      <c r="BO444" s="766" t="s">
        <v>1239</v>
      </c>
      <c r="BP444" s="1109">
        <v>51.37</v>
      </c>
      <c r="BQ444" s="773">
        <v>16.875</v>
      </c>
      <c r="BR444" s="42">
        <f>BQ444/BP444</f>
        <v>0.328499124002336</v>
      </c>
      <c r="BS444" s="766" t="s">
        <v>1105</v>
      </c>
      <c r="BT444" s="766" t="s">
        <v>8133</v>
      </c>
      <c r="BU444" s="770" t="s">
        <v>1249</v>
      </c>
      <c r="BV444" s="770" t="s">
        <v>1247</v>
      </c>
      <c r="BW444" s="770">
        <v>1985</v>
      </c>
      <c r="BX444" s="302"/>
      <c r="BY444" s="770"/>
      <c r="BZ444" s="302"/>
      <c r="CA444" s="770"/>
      <c r="CB444" s="770"/>
      <c r="CC444" s="770"/>
      <c r="CD444" s="770"/>
      <c r="CE444" s="770"/>
      <c r="CF444" s="1753"/>
      <c r="CG444" s="1754"/>
      <c r="CH444" s="770"/>
      <c r="CI444" s="770"/>
      <c r="CJ444" s="770"/>
      <c r="CK444" s="770"/>
      <c r="CL444" s="770"/>
      <c r="CM444" s="770"/>
      <c r="CN444" s="770"/>
      <c r="CO444" s="770"/>
      <c r="CP444" s="770"/>
      <c r="CQ444" s="770"/>
      <c r="CR444" s="302"/>
      <c r="CS444" s="770"/>
      <c r="CT444" s="770"/>
      <c r="CU444" s="305"/>
      <c r="CV444" s="770"/>
      <c r="CW444" s="770"/>
      <c r="CX444" s="770"/>
      <c r="CY444" s="770"/>
      <c r="CZ444" s="770"/>
      <c r="DA444" s="306"/>
      <c r="DB444" s="770"/>
      <c r="DC444" s="770"/>
      <c r="DD444" s="770"/>
      <c r="DE444" s="300"/>
      <c r="DF444" s="770"/>
      <c r="DG444" s="770"/>
      <c r="DH444" s="770"/>
      <c r="DI444" s="770"/>
      <c r="DJ444" s="770"/>
      <c r="DK444" s="770"/>
      <c r="DL444" s="770"/>
      <c r="DM444" s="770"/>
      <c r="DN444" s="322"/>
      <c r="DO444" s="770"/>
      <c r="DP444" s="770"/>
      <c r="DQ444" s="770"/>
      <c r="DR444" s="770"/>
      <c r="DS444" s="307"/>
      <c r="DT444" s="770"/>
      <c r="DU444" s="770"/>
      <c r="DV444" s="770"/>
      <c r="DW444" s="306"/>
      <c r="DX444" s="306"/>
      <c r="DY444" s="770"/>
      <c r="DZ444" s="770"/>
      <c r="EA444" s="770"/>
      <c r="EB444" s="770"/>
      <c r="EC444" s="770"/>
      <c r="ED444" s="770"/>
      <c r="EE444" s="770"/>
      <c r="EF444" s="770"/>
      <c r="EG444" s="770"/>
      <c r="EH444" s="770"/>
      <c r="EI444" s="770"/>
      <c r="EJ444" s="770"/>
      <c r="EK444" s="770"/>
      <c r="EL444" s="770"/>
      <c r="EM444" s="770"/>
      <c r="EN444" s="770"/>
      <c r="EO444" s="770"/>
      <c r="EP444" s="94"/>
      <c r="EQ444" s="770"/>
      <c r="ER444" s="770"/>
      <c r="ES444" s="770"/>
      <c r="ET444" s="770"/>
      <c r="EU444" s="770"/>
      <c r="EV444" s="770"/>
      <c r="EW444" s="770"/>
      <c r="EX444" s="770"/>
      <c r="EY444" s="770"/>
      <c r="EZ444" s="770"/>
      <c r="FA444" s="770"/>
      <c r="FB444" s="770"/>
      <c r="FC444" s="770"/>
      <c r="FD444" s="302"/>
      <c r="FE444" s="770"/>
      <c r="FF444" s="770"/>
      <c r="FG444" s="770"/>
      <c r="FH444" s="770" t="s">
        <v>478</v>
      </c>
      <c r="FI444" s="770">
        <v>2</v>
      </c>
      <c r="FJ444" s="770"/>
      <c r="FK444" s="770"/>
      <c r="FL444" s="770"/>
      <c r="FM444" s="302"/>
      <c r="FN444" s="302"/>
      <c r="FO444" s="302"/>
      <c r="FP444" s="766" t="s">
        <v>1602</v>
      </c>
      <c r="FQ444" s="766" t="s">
        <v>1660</v>
      </c>
      <c r="FR444" s="770" t="s">
        <v>1214</v>
      </c>
      <c r="FS444" s="770"/>
      <c r="FT444" s="770"/>
      <c r="FU444" s="770"/>
      <c r="FV444" s="770"/>
      <c r="FW444" s="770"/>
      <c r="FX444" s="770"/>
      <c r="FY444" s="770"/>
      <c r="FZ444" s="770"/>
      <c r="GA444" s="770"/>
      <c r="GB444" s="770"/>
      <c r="GC444" s="308"/>
      <c r="GD444" s="297"/>
      <c r="GE444" s="770"/>
      <c r="GF444" s="302"/>
      <c r="GG444" s="302"/>
      <c r="GH444" s="712" t="s">
        <v>14260</v>
      </c>
      <c r="GI444" s="770"/>
      <c r="GJ444" s="770"/>
      <c r="GK444" s="770"/>
      <c r="GL444" s="770"/>
      <c r="GM444" s="770"/>
      <c r="GN444" s="299"/>
      <c r="GO444" s="770"/>
      <c r="GP444" s="770"/>
      <c r="GQ444" s="770"/>
      <c r="GR444" s="770"/>
      <c r="GS444" s="770"/>
      <c r="GT444" s="770"/>
      <c r="GU444" s="770"/>
      <c r="GV444" s="770"/>
      <c r="GW444" s="770"/>
      <c r="GX444" s="770"/>
      <c r="GY444" s="770"/>
      <c r="GZ444" s="770"/>
      <c r="HA444" s="770"/>
      <c r="HB444" s="770"/>
      <c r="HC444" s="770"/>
      <c r="HD444" s="770"/>
      <c r="HE444" s="770"/>
      <c r="HF444" s="770"/>
      <c r="HG444" s="770"/>
      <c r="HH444" s="770"/>
      <c r="HI444" s="770" t="s">
        <v>1214</v>
      </c>
      <c r="HJ444" s="770"/>
      <c r="HK444" s="770"/>
      <c r="HL444" s="770" t="s">
        <v>1214</v>
      </c>
      <c r="HM444" s="770"/>
      <c r="HN444" s="770"/>
      <c r="HO444" s="770"/>
      <c r="HP444" s="770"/>
      <c r="HQ444" s="770"/>
      <c r="HR444" s="770"/>
      <c r="HS444" s="770"/>
      <c r="HT444" s="770"/>
      <c r="HU444" s="770"/>
      <c r="HV444" s="770"/>
      <c r="HW444" s="770"/>
      <c r="HX444" s="770"/>
      <c r="HY444" s="770"/>
      <c r="HZ444" s="770"/>
      <c r="IA444" s="770"/>
      <c r="IB444" s="14" t="e">
        <f>IF(#REF!&gt;0,IF(#REF!&lt;=10000,"Y",""),"")</f>
        <v>#REF!</v>
      </c>
      <c r="IC444" s="770"/>
      <c r="ID444" s="770">
        <v>2</v>
      </c>
      <c r="IE444" s="770"/>
      <c r="IF444" s="770"/>
      <c r="IG444" s="770"/>
      <c r="IH444" s="770"/>
      <c r="II444" s="770"/>
      <c r="IJ444" s="770"/>
      <c r="IK444" s="766"/>
      <c r="IL444" s="770"/>
      <c r="IM444" s="770"/>
      <c r="IN444" s="770"/>
      <c r="IO444" s="296"/>
      <c r="IP444" s="770"/>
      <c r="IQ444" s="766"/>
      <c r="IR444" s="770"/>
      <c r="IS444" s="770"/>
      <c r="IT444" s="770"/>
      <c r="IU444" s="770"/>
      <c r="IV444" s="770"/>
      <c r="IW444" s="770"/>
      <c r="IX444" s="770"/>
      <c r="IY444" s="770"/>
      <c r="IZ444" s="770"/>
      <c r="JA444" s="770"/>
      <c r="JB444" s="770"/>
      <c r="JC444" s="770"/>
      <c r="JD444" s="302"/>
      <c r="JE444" s="770"/>
      <c r="JF444" s="770"/>
      <c r="JG444" s="770"/>
      <c r="JH444" s="307"/>
      <c r="JI444" s="712" t="str">
        <f>IF(SUM(JT444,JU444)=JJ444,"ok","review")</f>
        <v>ok</v>
      </c>
      <c r="JJ444" s="770">
        <v>2</v>
      </c>
      <c r="JK444" s="1047" t="s">
        <v>2464</v>
      </c>
      <c r="JL444" s="770"/>
      <c r="JM444" s="770"/>
      <c r="JN444" s="770">
        <v>1</v>
      </c>
      <c r="JO444" s="770"/>
      <c r="JP444" s="770"/>
      <c r="JQ444" s="770">
        <v>1</v>
      </c>
      <c r="JR444" s="770"/>
      <c r="JS444" s="770"/>
      <c r="JT444" s="766">
        <f t="shared" si="120"/>
        <v>1</v>
      </c>
      <c r="JU444" s="766">
        <f t="shared" si="120"/>
        <v>1</v>
      </c>
      <c r="JV444" s="712" t="str">
        <f t="shared" si="112"/>
        <v>ok</v>
      </c>
      <c r="JW444" s="712" t="str">
        <f t="shared" si="113"/>
        <v>ok</v>
      </c>
      <c r="JX444" s="766"/>
      <c r="JY444" s="766"/>
      <c r="JZ444" s="766"/>
      <c r="KA444" s="766"/>
      <c r="KB444" s="766"/>
      <c r="KC444" s="766"/>
      <c r="KD444" s="766"/>
      <c r="KE444" s="766"/>
      <c r="KF444" s="766">
        <v>1</v>
      </c>
      <c r="KG444" s="766">
        <v>1</v>
      </c>
      <c r="KH444" s="766"/>
      <c r="KI444" s="766"/>
      <c r="KJ444" s="770">
        <f t="shared" si="103"/>
        <v>1</v>
      </c>
      <c r="KK444" s="770">
        <f t="shared" si="103"/>
        <v>1</v>
      </c>
      <c r="KL444" s="712" t="str">
        <f t="shared" si="114"/>
        <v>ok</v>
      </c>
      <c r="KM444" s="712" t="str">
        <f t="shared" si="115"/>
        <v>ok</v>
      </c>
      <c r="KN444" s="770" t="s">
        <v>707</v>
      </c>
      <c r="KO444" s="770"/>
      <c r="KP444" s="770"/>
      <c r="KQ444" s="770"/>
      <c r="KR444" s="770"/>
      <c r="KS444" s="770"/>
      <c r="KT444" s="770"/>
      <c r="KU444" s="770"/>
      <c r="KV444" s="770">
        <v>1</v>
      </c>
      <c r="KW444" s="770">
        <v>1</v>
      </c>
      <c r="KX444" s="770"/>
      <c r="KY444" s="770"/>
      <c r="KZ444" s="770"/>
      <c r="LA444" s="770"/>
      <c r="LB444" s="770"/>
      <c r="LC444" s="770"/>
      <c r="LD444" s="770"/>
      <c r="LE444" s="770"/>
      <c r="LF444" s="770"/>
      <c r="LG444" s="770"/>
      <c r="LH444" s="770"/>
      <c r="LI444" s="770"/>
      <c r="LJ444" s="770"/>
      <c r="LK444" s="770"/>
      <c r="LL444" s="770"/>
      <c r="LM444" s="770"/>
      <c r="LN444" s="766">
        <f t="shared" si="111"/>
        <v>1</v>
      </c>
      <c r="LO444" s="766">
        <f t="shared" si="111"/>
        <v>1</v>
      </c>
      <c r="LP444" s="770">
        <v>1</v>
      </c>
      <c r="LQ444" s="770"/>
      <c r="LR444" s="770"/>
      <c r="LS444" s="770">
        <v>1</v>
      </c>
      <c r="LT444" s="712" t="str">
        <f t="shared" si="116"/>
        <v>OK</v>
      </c>
      <c r="LU444" s="770"/>
      <c r="LV444" s="770"/>
      <c r="LW444" s="770"/>
      <c r="LX444" s="769">
        <v>1</v>
      </c>
      <c r="LY444" s="766" t="str">
        <f t="shared" si="119"/>
        <v>within the BRGY</v>
      </c>
      <c r="LZ444" s="1709"/>
      <c r="MA444" s="1709"/>
      <c r="MB444" s="1709"/>
      <c r="MC444" s="1679">
        <f t="shared" si="110"/>
        <v>0</v>
      </c>
      <c r="MD444" s="1709"/>
      <c r="ME444" s="1709"/>
      <c r="MF444" s="1709">
        <v>12000</v>
      </c>
      <c r="MG444" s="1680">
        <f t="shared" si="118"/>
        <v>12000</v>
      </c>
      <c r="MH444" s="770" t="s">
        <v>1928</v>
      </c>
      <c r="MI444" s="302">
        <v>9000</v>
      </c>
      <c r="MJ444" s="302">
        <v>3000</v>
      </c>
      <c r="MK444" s="302">
        <v>600</v>
      </c>
      <c r="ML444" s="302">
        <v>1500</v>
      </c>
      <c r="MM444" s="302"/>
      <c r="MN444" s="302"/>
      <c r="MO444" s="302">
        <v>900</v>
      </c>
      <c r="MP444" s="302">
        <v>1300</v>
      </c>
      <c r="MQ444" s="302">
        <v>600</v>
      </c>
      <c r="MR444" s="302">
        <v>300</v>
      </c>
      <c r="MS444" s="302">
        <v>3000</v>
      </c>
      <c r="MT444" s="302"/>
      <c r="MU444" s="302"/>
      <c r="MV444" s="302"/>
      <c r="MW444" s="302"/>
      <c r="MX444" s="302"/>
      <c r="MY444" s="1682">
        <f t="shared" si="102"/>
        <v>20200</v>
      </c>
      <c r="MZ444" s="770" t="s">
        <v>13370</v>
      </c>
      <c r="NA444" s="770" t="s">
        <v>13005</v>
      </c>
      <c r="NB444" s="766" t="s">
        <v>13371</v>
      </c>
      <c r="NC444" s="766" t="s">
        <v>13523</v>
      </c>
      <c r="ND444" s="770">
        <v>1</v>
      </c>
      <c r="NE444" s="770">
        <v>0</v>
      </c>
      <c r="NF444" s="770">
        <v>0</v>
      </c>
      <c r="NG444" s="770">
        <v>3</v>
      </c>
      <c r="NH444" s="770">
        <v>1</v>
      </c>
      <c r="NI444" s="770">
        <v>1</v>
      </c>
      <c r="NJ444" s="770">
        <v>0</v>
      </c>
      <c r="NK444" s="770">
        <v>0</v>
      </c>
      <c r="NL444" s="770">
        <v>0</v>
      </c>
      <c r="NM444" s="770">
        <v>1</v>
      </c>
      <c r="NN444" s="770">
        <v>0</v>
      </c>
      <c r="NO444" s="770">
        <v>0</v>
      </c>
      <c r="NP444" s="770">
        <v>0</v>
      </c>
      <c r="NQ444" s="770">
        <v>0</v>
      </c>
      <c r="NR444" s="770">
        <v>0</v>
      </c>
      <c r="NS444" s="770">
        <v>0</v>
      </c>
      <c r="NT444" s="770">
        <v>0</v>
      </c>
      <c r="NU444" s="770">
        <v>0</v>
      </c>
      <c r="NV444" s="770">
        <v>0</v>
      </c>
      <c r="NW444" s="770">
        <v>0</v>
      </c>
      <c r="NX444" s="770">
        <v>0</v>
      </c>
      <c r="NY444" s="770"/>
      <c r="NZ444" s="770"/>
      <c r="OA444" s="770"/>
      <c r="OB444" s="770"/>
      <c r="OC444" s="770" t="s">
        <v>1208</v>
      </c>
      <c r="OD444" s="770"/>
      <c r="OE444" s="770"/>
      <c r="OF444" s="770" t="s">
        <v>2143</v>
      </c>
      <c r="OG444" s="770"/>
      <c r="OH444" s="770"/>
      <c r="OI444" s="770"/>
      <c r="OJ444" s="770"/>
      <c r="OK444" s="770"/>
      <c r="OL444" s="770"/>
      <c r="OM444" s="770"/>
      <c r="ON444" s="770"/>
      <c r="OO444" s="770"/>
      <c r="OP444" s="770"/>
      <c r="OQ444" s="770"/>
      <c r="OR444" s="770"/>
      <c r="OS444" s="770"/>
      <c r="OT444" s="770"/>
      <c r="OU444" s="770"/>
      <c r="OV444" s="770"/>
      <c r="OW444" s="770"/>
      <c r="OX444" s="770"/>
      <c r="OY444" s="770"/>
      <c r="OZ444" s="770"/>
      <c r="PA444" s="770"/>
      <c r="PB444" s="770"/>
      <c r="PC444" s="770"/>
      <c r="PD444" s="770"/>
      <c r="PE444" s="770"/>
      <c r="PF444" s="770"/>
      <c r="PG444" s="770"/>
      <c r="PH444" s="770"/>
      <c r="PI444" s="770"/>
      <c r="PJ444" s="770"/>
      <c r="PK444" s="770"/>
      <c r="PL444" s="770"/>
      <c r="PM444" s="770"/>
      <c r="PN444" s="770"/>
      <c r="PO444" s="770"/>
      <c r="PP444" s="770"/>
      <c r="PQ444" s="770"/>
      <c r="PR444" s="770"/>
      <c r="PS444" s="770"/>
      <c r="PT444" s="770"/>
      <c r="PU444" s="770"/>
      <c r="PV444" s="770"/>
      <c r="PW444" s="770"/>
      <c r="PX444" s="770"/>
      <c r="PY444" s="770"/>
      <c r="PZ444" s="770"/>
      <c r="QA444" s="770"/>
      <c r="QB444" s="770"/>
      <c r="QC444" s="770"/>
      <c r="QD444" s="770"/>
      <c r="QE444" s="770"/>
      <c r="QF444" s="770"/>
      <c r="QG444" s="770"/>
      <c r="QH444" s="770"/>
      <c r="QI444" s="770"/>
      <c r="QJ444" s="770"/>
      <c r="QK444" s="770"/>
      <c r="QL444" s="770"/>
      <c r="QM444" s="770"/>
      <c r="QN444" s="770"/>
      <c r="QO444" s="770"/>
      <c r="QP444" s="770"/>
      <c r="QQ444" s="770"/>
      <c r="QR444" s="770"/>
      <c r="QS444" s="770"/>
      <c r="QT444" s="770"/>
      <c r="QU444" s="770"/>
      <c r="QV444" s="770"/>
      <c r="QW444" s="770"/>
      <c r="QX444" s="770"/>
      <c r="QY444" s="770"/>
      <c r="QZ444" s="770"/>
      <c r="RA444" s="770"/>
      <c r="RB444" s="770" t="s">
        <v>1207</v>
      </c>
      <c r="RC444" s="770">
        <v>2016</v>
      </c>
      <c r="RD444" s="770" t="s">
        <v>13582</v>
      </c>
      <c r="RE444" s="770" t="s">
        <v>12999</v>
      </c>
      <c r="RF444" s="304">
        <v>0.5</v>
      </c>
      <c r="RG444" s="770" t="s">
        <v>13047</v>
      </c>
      <c r="RH444" s="302">
        <v>30000</v>
      </c>
      <c r="RI444" s="770">
        <v>0.5</v>
      </c>
      <c r="RJ444" s="770" t="s">
        <v>2464</v>
      </c>
      <c r="RK444" s="770" t="s">
        <v>13550</v>
      </c>
      <c r="RL444" s="1710"/>
      <c r="RM444" s="12"/>
      <c r="RN444" s="1711"/>
      <c r="RO444" s="133" t="s">
        <v>2456</v>
      </c>
      <c r="RP444" s="11"/>
      <c r="RQ444" s="11"/>
      <c r="RR444" s="19" t="s">
        <v>7421</v>
      </c>
      <c r="RS444" s="1139" t="s">
        <v>12980</v>
      </c>
      <c r="RT444" s="11"/>
      <c r="RU444" s="11"/>
      <c r="RV444" s="6" t="s">
        <v>7421</v>
      </c>
      <c r="RW444" s="11" t="s">
        <v>7684</v>
      </c>
      <c r="RX444" s="11" t="s">
        <v>2434</v>
      </c>
      <c r="RY444" s="11"/>
      <c r="RZ444" s="11" t="s">
        <v>1101</v>
      </c>
      <c r="SA444" s="6"/>
      <c r="SB444" s="11"/>
      <c r="SC444" s="11"/>
    </row>
    <row r="445" spans="1:497" ht="12.75" customHeight="1">
      <c r="A445" s="311" t="s">
        <v>14204</v>
      </c>
      <c r="B445" s="752" t="s">
        <v>7686</v>
      </c>
      <c r="C445" s="133" t="s">
        <v>2456</v>
      </c>
      <c r="D445" s="94" t="s">
        <v>5785</v>
      </c>
      <c r="E445" s="766" t="s">
        <v>2468</v>
      </c>
      <c r="F445" s="770" t="s">
        <v>722</v>
      </c>
      <c r="G445" s="770" t="s">
        <v>18</v>
      </c>
      <c r="H445" s="770"/>
      <c r="I445" s="295"/>
      <c r="J445" s="94" t="s">
        <v>2467</v>
      </c>
      <c r="K445" s="770"/>
      <c r="L445" s="770"/>
      <c r="M445" s="770"/>
      <c r="N445" s="770"/>
      <c r="O445" s="770"/>
      <c r="P445" s="94" t="s">
        <v>2467</v>
      </c>
      <c r="Q445" s="1088">
        <v>31974</v>
      </c>
      <c r="R445" s="297">
        <v>28</v>
      </c>
      <c r="S445" s="770" t="s">
        <v>10</v>
      </c>
      <c r="T445" s="770"/>
      <c r="U445" s="298"/>
      <c r="V445" s="770" t="s">
        <v>722</v>
      </c>
      <c r="W445" s="770"/>
      <c r="X445" s="770"/>
      <c r="Y445" s="770" t="s">
        <v>2468</v>
      </c>
      <c r="Z445" s="770" t="s">
        <v>708</v>
      </c>
      <c r="AA445" s="770" t="s">
        <v>709</v>
      </c>
      <c r="AB445" s="770" t="s">
        <v>7275</v>
      </c>
      <c r="AC445" s="770" t="s">
        <v>724</v>
      </c>
      <c r="AD445" s="770" t="s">
        <v>711</v>
      </c>
      <c r="AE445" s="770"/>
      <c r="AF445" s="770" t="s">
        <v>798</v>
      </c>
      <c r="AG445" s="770"/>
      <c r="AH445" s="770"/>
      <c r="AI445" s="770"/>
      <c r="AJ445" s="770"/>
      <c r="AK445" s="770" t="s">
        <v>1101</v>
      </c>
      <c r="AL445" s="531"/>
      <c r="AM445" s="780"/>
      <c r="AN445" s="532"/>
      <c r="AO445" s="766"/>
      <c r="AP445" s="766"/>
      <c r="AQ445" s="766"/>
      <c r="AR445" s="766"/>
      <c r="AS445" s="770"/>
      <c r="AT445" s="770"/>
      <c r="AU445" s="770"/>
      <c r="AV445" s="770"/>
      <c r="AW445" s="770"/>
      <c r="AX445" s="770"/>
      <c r="AY445" s="770"/>
      <c r="AZ445" s="770"/>
      <c r="BA445" s="770"/>
      <c r="BB445" s="770"/>
      <c r="BC445" s="770"/>
      <c r="BD445" s="770"/>
      <c r="BE445" s="770"/>
      <c r="BF445" s="302"/>
      <c r="BG445" s="302"/>
      <c r="BH445" s="770"/>
      <c r="BI445" s="770"/>
      <c r="BJ445" s="770"/>
      <c r="BK445" s="770"/>
      <c r="BL445" s="770"/>
      <c r="BM445" s="770" t="s">
        <v>1238</v>
      </c>
      <c r="BN445" s="770" t="s">
        <v>3230</v>
      </c>
      <c r="BO445" s="770"/>
      <c r="BP445" s="765"/>
      <c r="BQ445" s="773"/>
      <c r="BR445" s="774"/>
      <c r="BS445" s="766" t="s">
        <v>1105</v>
      </c>
      <c r="BT445" s="770"/>
      <c r="BU445" s="770"/>
      <c r="BV445" s="770"/>
      <c r="BW445" s="770"/>
      <c r="BX445" s="302"/>
      <c r="BY445" s="770" t="s">
        <v>1207</v>
      </c>
      <c r="BZ445" s="302"/>
      <c r="CA445" s="770"/>
      <c r="CB445" s="770"/>
      <c r="CC445" s="770"/>
      <c r="CD445" s="770"/>
      <c r="CE445" s="770"/>
      <c r="CF445" s="1753"/>
      <c r="CG445" s="1754"/>
      <c r="CH445" s="770"/>
      <c r="CI445" s="770"/>
      <c r="CJ445" s="770"/>
      <c r="CK445" s="770"/>
      <c r="CL445" s="770"/>
      <c r="CM445" s="770"/>
      <c r="CN445" s="770"/>
      <c r="CO445" s="770"/>
      <c r="CP445" s="770"/>
      <c r="CQ445" s="770"/>
      <c r="CR445" s="302"/>
      <c r="CS445" s="770"/>
      <c r="CT445" s="770"/>
      <c r="CU445" s="305"/>
      <c r="CV445" s="770"/>
      <c r="CW445" s="770"/>
      <c r="CX445" s="770"/>
      <c r="CY445" s="770"/>
      <c r="CZ445" s="770"/>
      <c r="DA445" s="306"/>
      <c r="DB445" s="770"/>
      <c r="DC445" s="770"/>
      <c r="DD445" s="770"/>
      <c r="DE445" s="300"/>
      <c r="DF445" s="770"/>
      <c r="DG445" s="770"/>
      <c r="DH445" s="770"/>
      <c r="DI445" s="770"/>
      <c r="DJ445" s="770"/>
      <c r="DK445" s="770"/>
      <c r="DL445" s="770"/>
      <c r="DM445" s="770"/>
      <c r="DN445" s="322"/>
      <c r="DO445" s="770"/>
      <c r="DP445" s="770"/>
      <c r="DQ445" s="770"/>
      <c r="DR445" s="770"/>
      <c r="DS445" s="307"/>
      <c r="DT445" s="770"/>
      <c r="DU445" s="770"/>
      <c r="DV445" s="770"/>
      <c r="DW445" s="306"/>
      <c r="DX445" s="306"/>
      <c r="DY445" s="770"/>
      <c r="DZ445" s="770"/>
      <c r="EA445" s="770"/>
      <c r="EB445" s="770"/>
      <c r="EC445" s="770"/>
      <c r="ED445" s="770"/>
      <c r="EE445" s="770"/>
      <c r="EF445" s="770"/>
      <c r="EG445" s="770"/>
      <c r="EH445" s="770"/>
      <c r="EI445" s="770"/>
      <c r="EJ445" s="770"/>
      <c r="EK445" s="770"/>
      <c r="EL445" s="770"/>
      <c r="EM445" s="770"/>
      <c r="EN445" s="770"/>
      <c r="EO445" s="770"/>
      <c r="EP445" s="94"/>
      <c r="EQ445" s="770"/>
      <c r="ER445" s="770"/>
      <c r="ES445" s="770"/>
      <c r="ET445" s="770"/>
      <c r="EU445" s="770"/>
      <c r="EV445" s="770"/>
      <c r="EW445" s="770"/>
      <c r="EX445" s="770"/>
      <c r="EY445" s="770"/>
      <c r="EZ445" s="770"/>
      <c r="FA445" s="770"/>
      <c r="FB445" s="770"/>
      <c r="FC445" s="770"/>
      <c r="FD445" s="302"/>
      <c r="FE445" s="770"/>
      <c r="FF445" s="770"/>
      <c r="FG445" s="770"/>
      <c r="FH445" s="770" t="s">
        <v>1305</v>
      </c>
      <c r="FI445" s="770"/>
      <c r="FJ445" s="770"/>
      <c r="FK445" s="770"/>
      <c r="FL445" s="770"/>
      <c r="FM445" s="302"/>
      <c r="FN445" s="302">
        <v>800</v>
      </c>
      <c r="FO445" s="302">
        <v>1000</v>
      </c>
      <c r="FP445" s="766" t="s">
        <v>1602</v>
      </c>
      <c r="FQ445" s="766" t="s">
        <v>1660</v>
      </c>
      <c r="FR445" s="770"/>
      <c r="FS445" s="770"/>
      <c r="FT445" s="770"/>
      <c r="FU445" s="770"/>
      <c r="FV445" s="770"/>
      <c r="FW445" s="770"/>
      <c r="FX445" s="770"/>
      <c r="FY445" s="770"/>
      <c r="FZ445" s="770"/>
      <c r="GA445" s="770"/>
      <c r="GB445" s="770"/>
      <c r="GC445" s="308"/>
      <c r="GD445" s="297"/>
      <c r="GE445" s="770"/>
      <c r="GF445" s="302"/>
      <c r="GG445" s="302"/>
      <c r="GH445" s="770" t="s">
        <v>1791</v>
      </c>
      <c r="GI445" s="770" t="s">
        <v>1008</v>
      </c>
      <c r="GJ445" s="770"/>
      <c r="GK445" s="770" t="s">
        <v>2345</v>
      </c>
      <c r="GL445" s="770"/>
      <c r="GM445" s="770"/>
      <c r="GN445" s="299">
        <v>300</v>
      </c>
      <c r="GO445" s="770"/>
      <c r="GP445" s="770"/>
      <c r="GQ445" s="770" t="s">
        <v>1208</v>
      </c>
      <c r="GR445" s="770" t="s">
        <v>1208</v>
      </c>
      <c r="GS445" s="770" t="s">
        <v>1208</v>
      </c>
      <c r="GT445" s="770" t="s">
        <v>1208</v>
      </c>
      <c r="GU445" s="770"/>
      <c r="GV445" s="770"/>
      <c r="GW445" s="770" t="s">
        <v>1207</v>
      </c>
      <c r="GX445" s="770"/>
      <c r="GY445" s="770" t="s">
        <v>1208</v>
      </c>
      <c r="GZ445" s="770" t="s">
        <v>1208</v>
      </c>
      <c r="HA445" s="770" t="s">
        <v>1208</v>
      </c>
      <c r="HB445" s="770" t="s">
        <v>1208</v>
      </c>
      <c r="HC445" s="770" t="s">
        <v>1208</v>
      </c>
      <c r="HD445" s="770" t="s">
        <v>1208</v>
      </c>
      <c r="HE445" s="770" t="s">
        <v>1208</v>
      </c>
      <c r="HF445" s="770"/>
      <c r="HG445" s="770"/>
      <c r="HH445" s="770"/>
      <c r="HI445" s="770" t="s">
        <v>1214</v>
      </c>
      <c r="HJ445" s="770"/>
      <c r="HK445" s="770"/>
      <c r="HL445" s="770"/>
      <c r="HM445" s="770"/>
      <c r="HN445" s="770"/>
      <c r="HO445" s="770"/>
      <c r="HP445" s="770"/>
      <c r="HQ445" s="770"/>
      <c r="HR445" s="770"/>
      <c r="HS445" s="770"/>
      <c r="HT445" s="770"/>
      <c r="HU445" s="770"/>
      <c r="HV445" s="770"/>
      <c r="HW445" s="770"/>
      <c r="HX445" s="770"/>
      <c r="HY445" s="770"/>
      <c r="HZ445" s="770"/>
      <c r="IA445" s="770"/>
      <c r="IB445" s="14" t="e">
        <f>IF(#REF!&gt;0,IF(#REF!&lt;=10000,"Y",""),"")</f>
        <v>#REF!</v>
      </c>
      <c r="IC445" s="770"/>
      <c r="ID445" s="770"/>
      <c r="IE445" s="770"/>
      <c r="IF445" s="770"/>
      <c r="IG445" s="770"/>
      <c r="IH445" s="770"/>
      <c r="II445" s="770"/>
      <c r="IJ445" s="770"/>
      <c r="IK445" s="770"/>
      <c r="IL445" s="770"/>
      <c r="IM445" s="770"/>
      <c r="IN445" s="770"/>
      <c r="IO445" s="296"/>
      <c r="IP445" s="770"/>
      <c r="IQ445" s="766"/>
      <c r="IR445" s="770"/>
      <c r="IS445" s="770"/>
      <c r="IT445" s="770"/>
      <c r="IU445" s="770"/>
      <c r="IV445" s="770"/>
      <c r="IW445" s="770"/>
      <c r="IX445" s="770"/>
      <c r="IY445" s="770"/>
      <c r="IZ445" s="770"/>
      <c r="JA445" s="770"/>
      <c r="JB445" s="770"/>
      <c r="JC445" s="770"/>
      <c r="JD445" s="302"/>
      <c r="JE445" s="770"/>
      <c r="JF445" s="770"/>
      <c r="JG445" s="770"/>
      <c r="JH445" s="307"/>
      <c r="JI445" s="712" t="str">
        <f>IF(SUM(JT445,JU445)=JJ445,"ok","review")</f>
        <v>ok</v>
      </c>
      <c r="JJ445" s="770">
        <v>2</v>
      </c>
      <c r="JK445" s="1139" t="s">
        <v>2969</v>
      </c>
      <c r="JL445" s="770"/>
      <c r="JM445" s="770"/>
      <c r="JN445" s="770">
        <v>1</v>
      </c>
      <c r="JO445" s="770">
        <v>1</v>
      </c>
      <c r="JP445" s="770"/>
      <c r="JQ445" s="770"/>
      <c r="JR445" s="770"/>
      <c r="JS445" s="770"/>
      <c r="JT445" s="766">
        <f t="shared" si="120"/>
        <v>1</v>
      </c>
      <c r="JU445" s="766">
        <f t="shared" si="120"/>
        <v>1</v>
      </c>
      <c r="JV445" s="712" t="str">
        <f t="shared" si="112"/>
        <v>ok</v>
      </c>
      <c r="JW445" s="712" t="str">
        <f t="shared" si="113"/>
        <v>ok</v>
      </c>
      <c r="JX445" s="766"/>
      <c r="JY445" s="766"/>
      <c r="JZ445" s="766"/>
      <c r="KA445" s="766"/>
      <c r="KB445" s="766">
        <v>1</v>
      </c>
      <c r="KC445" s="766">
        <v>1</v>
      </c>
      <c r="KD445" s="766"/>
      <c r="KE445" s="766"/>
      <c r="KF445" s="766"/>
      <c r="KG445" s="766"/>
      <c r="KH445" s="766"/>
      <c r="KI445" s="766"/>
      <c r="KJ445" s="770">
        <f t="shared" si="103"/>
        <v>1</v>
      </c>
      <c r="KK445" s="770">
        <f t="shared" si="103"/>
        <v>1</v>
      </c>
      <c r="KL445" s="712" t="str">
        <f t="shared" si="114"/>
        <v>ok</v>
      </c>
      <c r="KM445" s="712" t="str">
        <f t="shared" si="115"/>
        <v>ok</v>
      </c>
      <c r="KN445" s="770" t="s">
        <v>722</v>
      </c>
      <c r="KO445" s="770"/>
      <c r="KP445" s="770"/>
      <c r="KQ445" s="770">
        <v>1</v>
      </c>
      <c r="KR445" s="770"/>
      <c r="KS445" s="770"/>
      <c r="KT445" s="770"/>
      <c r="KU445" s="770"/>
      <c r="KV445" s="770"/>
      <c r="KW445" s="770"/>
      <c r="KX445" s="770"/>
      <c r="KY445" s="770"/>
      <c r="KZ445" s="770">
        <v>1</v>
      </c>
      <c r="LA445" s="770"/>
      <c r="LB445" s="770"/>
      <c r="LC445" s="770"/>
      <c r="LD445" s="770"/>
      <c r="LE445" s="770"/>
      <c r="LF445" s="770"/>
      <c r="LG445" s="770"/>
      <c r="LH445" s="770"/>
      <c r="LI445" s="770"/>
      <c r="LJ445" s="770"/>
      <c r="LK445" s="770"/>
      <c r="LL445" s="770"/>
      <c r="LM445" s="770"/>
      <c r="LN445" s="766">
        <f t="shared" si="111"/>
        <v>1</v>
      </c>
      <c r="LO445" s="766">
        <f t="shared" si="111"/>
        <v>1</v>
      </c>
      <c r="LP445" s="770">
        <v>1</v>
      </c>
      <c r="LQ445" s="770"/>
      <c r="LR445" s="770">
        <v>1</v>
      </c>
      <c r="LS445" s="770"/>
      <c r="LT445" s="712" t="str">
        <f t="shared" si="116"/>
        <v>OK</v>
      </c>
      <c r="LU445" s="770"/>
      <c r="LV445" s="770"/>
      <c r="LW445" s="770"/>
      <c r="LX445" s="769">
        <v>1</v>
      </c>
      <c r="LY445" s="766" t="str">
        <f t="shared" si="119"/>
        <v>within the BRGY</v>
      </c>
      <c r="LZ445" s="1709"/>
      <c r="MA445" s="1709"/>
      <c r="MB445" s="1709"/>
      <c r="MC445" s="1679">
        <f t="shared" si="110"/>
        <v>0</v>
      </c>
      <c r="MD445" s="1709"/>
      <c r="ME445" s="1709">
        <v>6000</v>
      </c>
      <c r="MF445" s="1709"/>
      <c r="MG445" s="1680">
        <f t="shared" si="118"/>
        <v>6000</v>
      </c>
      <c r="MH445" s="770" t="s">
        <v>13510</v>
      </c>
      <c r="MI445" s="302">
        <v>15000</v>
      </c>
      <c r="MJ445" s="302">
        <v>15000</v>
      </c>
      <c r="MK445" s="302">
        <v>1000</v>
      </c>
      <c r="ML445" s="302">
        <v>2000</v>
      </c>
      <c r="MM445" s="302">
        <v>1500</v>
      </c>
      <c r="MN445" s="302"/>
      <c r="MO445" s="302">
        <v>900</v>
      </c>
      <c r="MP445" s="302">
        <v>1000</v>
      </c>
      <c r="MQ445" s="302">
        <v>750</v>
      </c>
      <c r="MR445" s="302">
        <v>500</v>
      </c>
      <c r="MS445" s="302">
        <v>2000</v>
      </c>
      <c r="MT445" s="302"/>
      <c r="MU445" s="302"/>
      <c r="MV445" s="302"/>
      <c r="MW445" s="302"/>
      <c r="MX445" s="302"/>
      <c r="MY445" s="1682">
        <f t="shared" si="102"/>
        <v>39650</v>
      </c>
      <c r="MZ445" s="770" t="s">
        <v>13370</v>
      </c>
      <c r="NA445" s="770" t="s">
        <v>13005</v>
      </c>
      <c r="NB445" s="770" t="s">
        <v>13583</v>
      </c>
      <c r="NC445" s="766" t="s">
        <v>13523</v>
      </c>
      <c r="ND445" s="770">
        <v>1</v>
      </c>
      <c r="NE445" s="770">
        <v>0</v>
      </c>
      <c r="NF445" s="770">
        <v>1</v>
      </c>
      <c r="NG445" s="770">
        <v>1</v>
      </c>
      <c r="NH445" s="770">
        <v>1</v>
      </c>
      <c r="NI445" s="770">
        <v>1</v>
      </c>
      <c r="NJ445" s="770">
        <v>1</v>
      </c>
      <c r="NK445" s="770">
        <v>0</v>
      </c>
      <c r="NL445" s="770">
        <v>0</v>
      </c>
      <c r="NM445" s="770">
        <v>1</v>
      </c>
      <c r="NN445" s="770">
        <v>0</v>
      </c>
      <c r="NO445" s="770">
        <v>0</v>
      </c>
      <c r="NP445" s="770">
        <v>0</v>
      </c>
      <c r="NQ445" s="770">
        <v>0</v>
      </c>
      <c r="NR445" s="770">
        <v>0</v>
      </c>
      <c r="NS445" s="770">
        <v>0</v>
      </c>
      <c r="NT445" s="770">
        <v>0</v>
      </c>
      <c r="NU445" s="770">
        <v>0</v>
      </c>
      <c r="NV445" s="770">
        <v>0</v>
      </c>
      <c r="NW445" s="770">
        <v>0</v>
      </c>
      <c r="NX445" s="770">
        <v>0</v>
      </c>
      <c r="NY445" s="770" t="s">
        <v>1208</v>
      </c>
      <c r="NZ445" s="770" t="s">
        <v>1208</v>
      </c>
      <c r="OA445" s="770" t="s">
        <v>1208</v>
      </c>
      <c r="OB445" s="770" t="s">
        <v>1208</v>
      </c>
      <c r="OC445" s="770" t="s">
        <v>1208</v>
      </c>
      <c r="OD445" s="770" t="s">
        <v>1208</v>
      </c>
      <c r="OE445" s="770"/>
      <c r="OF445" s="770"/>
      <c r="OG445" s="770"/>
      <c r="OH445" s="770"/>
      <c r="OI445" s="770"/>
      <c r="OJ445" s="770"/>
      <c r="OK445" s="770"/>
      <c r="OL445" s="770"/>
      <c r="OM445" s="770"/>
      <c r="ON445" s="770"/>
      <c r="OO445" s="770"/>
      <c r="OP445" s="770"/>
      <c r="OQ445" s="770"/>
      <c r="OR445" s="770"/>
      <c r="OS445" s="770"/>
      <c r="OT445" s="770"/>
      <c r="OU445" s="770"/>
      <c r="OV445" s="770"/>
      <c r="OW445" s="770"/>
      <c r="OX445" s="770"/>
      <c r="OY445" s="770"/>
      <c r="OZ445" s="770"/>
      <c r="PA445" s="770"/>
      <c r="PB445" s="770"/>
      <c r="PC445" s="770"/>
      <c r="PD445" s="770"/>
      <c r="PE445" s="770"/>
      <c r="PF445" s="770"/>
      <c r="PG445" s="770"/>
      <c r="PH445" s="770"/>
      <c r="PI445" s="770"/>
      <c r="PJ445" s="770"/>
      <c r="PK445" s="770" t="s">
        <v>1208</v>
      </c>
      <c r="PL445" s="770"/>
      <c r="PM445" s="770"/>
      <c r="PN445" s="770"/>
      <c r="PO445" s="770"/>
      <c r="PP445" s="770"/>
      <c r="PQ445" s="770"/>
      <c r="PR445" s="770"/>
      <c r="PS445" s="770"/>
      <c r="PT445" s="770"/>
      <c r="PU445" s="770"/>
      <c r="PV445" s="770"/>
      <c r="PW445" s="770"/>
      <c r="PX445" s="770"/>
      <c r="PY445" s="770"/>
      <c r="PZ445" s="770"/>
      <c r="QA445" s="770"/>
      <c r="QB445" s="770"/>
      <c r="QC445" s="770"/>
      <c r="QD445" s="770"/>
      <c r="QE445" s="770"/>
      <c r="QF445" s="770"/>
      <c r="QG445" s="770"/>
      <c r="QH445" s="770"/>
      <c r="QI445" s="770"/>
      <c r="QJ445" s="770"/>
      <c r="QK445" s="770"/>
      <c r="QL445" s="770"/>
      <c r="QM445" s="770"/>
      <c r="QN445" s="770"/>
      <c r="QO445" s="770"/>
      <c r="QP445" s="770"/>
      <c r="QQ445" s="770"/>
      <c r="QR445" s="770"/>
      <c r="QS445" s="770"/>
      <c r="QT445" s="770"/>
      <c r="QU445" s="770"/>
      <c r="QV445" s="770"/>
      <c r="QW445" s="770"/>
      <c r="QX445" s="770"/>
      <c r="QY445" s="770"/>
      <c r="QZ445" s="770"/>
      <c r="RA445" s="770"/>
      <c r="RB445" s="770" t="s">
        <v>1207</v>
      </c>
      <c r="RC445" s="770">
        <v>2016</v>
      </c>
      <c r="RD445" s="770" t="s">
        <v>13582</v>
      </c>
      <c r="RE445" s="770" t="s">
        <v>12999</v>
      </c>
      <c r="RF445" s="304"/>
      <c r="RG445" s="770"/>
      <c r="RH445" s="302"/>
      <c r="RI445" s="770">
        <v>1</v>
      </c>
      <c r="RJ445" s="770" t="s">
        <v>2470</v>
      </c>
      <c r="RK445" s="770" t="s">
        <v>13552</v>
      </c>
      <c r="RL445" s="1710"/>
      <c r="RM445" s="12"/>
      <c r="RN445" s="1711"/>
      <c r="RO445" s="133" t="s">
        <v>2456</v>
      </c>
      <c r="RP445" s="11"/>
      <c r="RQ445" s="11"/>
      <c r="RR445" s="311" t="s">
        <v>12353</v>
      </c>
      <c r="RS445" s="1139" t="s">
        <v>12980</v>
      </c>
      <c r="RT445" s="11"/>
      <c r="RU445" s="11"/>
      <c r="RV445" s="771" t="s">
        <v>7421</v>
      </c>
      <c r="RW445" s="11" t="s">
        <v>7847</v>
      </c>
      <c r="RX445" s="11" t="s">
        <v>2442</v>
      </c>
      <c r="RY445" s="11"/>
      <c r="RZ445" s="11"/>
      <c r="SA445" s="771"/>
      <c r="SB445" s="11"/>
      <c r="SC445" s="11"/>
    </row>
    <row r="446" spans="1:497" ht="12.75" customHeight="1">
      <c r="A446" s="343" t="s">
        <v>12452</v>
      </c>
      <c r="B446" s="752" t="s">
        <v>7743</v>
      </c>
      <c r="C446" s="132" t="s">
        <v>2471</v>
      </c>
      <c r="D446" s="94" t="s">
        <v>7358</v>
      </c>
      <c r="E446" s="770" t="s">
        <v>2473</v>
      </c>
      <c r="F446" s="770" t="s">
        <v>28</v>
      </c>
      <c r="G446" s="770" t="s">
        <v>10</v>
      </c>
      <c r="H446" s="770"/>
      <c r="I446" s="295"/>
      <c r="J446" s="94" t="s">
        <v>7358</v>
      </c>
      <c r="K446" s="766" t="s">
        <v>7855</v>
      </c>
      <c r="L446" s="766" t="s">
        <v>3254</v>
      </c>
      <c r="M446" s="770" t="s">
        <v>2402</v>
      </c>
      <c r="N446" s="770"/>
      <c r="O446" s="770" t="s">
        <v>2403</v>
      </c>
      <c r="P446" s="94" t="s">
        <v>2482</v>
      </c>
      <c r="Q446" s="1088">
        <v>23094</v>
      </c>
      <c r="R446" s="297">
        <v>53</v>
      </c>
      <c r="S446" s="770" t="s">
        <v>10</v>
      </c>
      <c r="T446" s="770"/>
      <c r="U446" s="298"/>
      <c r="V446" s="770" t="s">
        <v>707</v>
      </c>
      <c r="W446" s="770"/>
      <c r="X446" s="770"/>
      <c r="Y446" s="770" t="s">
        <v>2483</v>
      </c>
      <c r="Z446" s="770" t="s">
        <v>708</v>
      </c>
      <c r="AA446" s="770" t="s">
        <v>709</v>
      </c>
      <c r="AB446" s="770" t="s">
        <v>814</v>
      </c>
      <c r="AC446" s="770" t="s">
        <v>1071</v>
      </c>
      <c r="AD446" s="770"/>
      <c r="AE446" s="770"/>
      <c r="AF446" s="770" t="s">
        <v>712</v>
      </c>
      <c r="AG446" s="766" t="s">
        <v>1132</v>
      </c>
      <c r="AH446" s="766" t="s">
        <v>1096</v>
      </c>
      <c r="AI446" s="770"/>
      <c r="AJ446" s="770" t="s">
        <v>1137</v>
      </c>
      <c r="AK446" s="770" t="s">
        <v>1101</v>
      </c>
      <c r="AL446" s="12"/>
      <c r="AM446" s="12"/>
      <c r="AN446" s="12"/>
      <c r="AO446" s="12"/>
      <c r="AP446" s="12"/>
      <c r="AQ446" s="766"/>
      <c r="AR446" s="766"/>
      <c r="AS446" s="770"/>
      <c r="AT446" s="770"/>
      <c r="AU446" s="770"/>
      <c r="AV446" s="770"/>
      <c r="AW446" s="770"/>
      <c r="AX446" s="770"/>
      <c r="AY446" s="770"/>
      <c r="AZ446" s="770"/>
      <c r="BA446" s="770"/>
      <c r="BB446" s="770"/>
      <c r="BC446" s="770"/>
      <c r="BD446" s="770"/>
      <c r="BE446" s="770"/>
      <c r="BF446" s="302"/>
      <c r="BG446" s="302"/>
      <c r="BH446" s="770"/>
      <c r="BI446" s="770"/>
      <c r="BJ446" s="770"/>
      <c r="BK446" s="770" t="s">
        <v>1095</v>
      </c>
      <c r="BL446" s="770" t="s">
        <v>2484</v>
      </c>
      <c r="BM446" s="766" t="s">
        <v>1096</v>
      </c>
      <c r="BN446" s="770" t="s">
        <v>1256</v>
      </c>
      <c r="BO446" s="766" t="s">
        <v>1246</v>
      </c>
      <c r="BP446" s="1109">
        <v>22.44</v>
      </c>
      <c r="BQ446" s="773">
        <v>22.44</v>
      </c>
      <c r="BR446" s="774">
        <f>BQ446/BP446</f>
        <v>1</v>
      </c>
      <c r="BS446" s="766" t="s">
        <v>1149</v>
      </c>
      <c r="BT446" s="766" t="s">
        <v>8133</v>
      </c>
      <c r="BU446" s="770" t="s">
        <v>1249</v>
      </c>
      <c r="BV446" s="770" t="s">
        <v>1247</v>
      </c>
      <c r="BW446" s="335"/>
      <c r="BX446" s="302"/>
      <c r="BY446" s="770" t="s">
        <v>1207</v>
      </c>
      <c r="BZ446" s="302"/>
      <c r="CA446" s="770"/>
      <c r="CB446" s="770"/>
      <c r="CC446" s="770"/>
      <c r="CD446" s="770"/>
      <c r="CE446" s="770"/>
      <c r="CF446" s="1753"/>
      <c r="CG446" s="1754"/>
      <c r="CH446" s="770"/>
      <c r="CI446" s="770"/>
      <c r="CJ446" s="770"/>
      <c r="CK446" s="770"/>
      <c r="CL446" s="770"/>
      <c r="CM446" s="770"/>
      <c r="CN446" s="770"/>
      <c r="CO446" s="770"/>
      <c r="CP446" s="770"/>
      <c r="CQ446" s="770"/>
      <c r="CR446" s="302"/>
      <c r="CS446" s="770"/>
      <c r="CT446" s="770"/>
      <c r="CU446" s="305"/>
      <c r="CV446" s="770"/>
      <c r="CW446" s="770"/>
      <c r="CX446" s="770"/>
      <c r="CY446" s="770"/>
      <c r="CZ446" s="770"/>
      <c r="DA446" s="306"/>
      <c r="DB446" s="770"/>
      <c r="DC446" s="770"/>
      <c r="DD446" s="770"/>
      <c r="DE446" s="300"/>
      <c r="DF446" s="770"/>
      <c r="DG446" s="770"/>
      <c r="DH446" s="770"/>
      <c r="DI446" s="770"/>
      <c r="DJ446" s="770"/>
      <c r="DK446" s="770"/>
      <c r="DL446" s="770"/>
      <c r="DM446" s="770"/>
      <c r="DN446" s="322"/>
      <c r="DO446" s="770"/>
      <c r="DP446" s="770"/>
      <c r="DQ446" s="770"/>
      <c r="DR446" s="770"/>
      <c r="DS446" s="307"/>
      <c r="DT446" s="770"/>
      <c r="DU446" s="770"/>
      <c r="DV446" s="770"/>
      <c r="DW446" s="306"/>
      <c r="DX446" s="306"/>
      <c r="DY446" s="770"/>
      <c r="DZ446" s="770"/>
      <c r="EA446" s="770"/>
      <c r="EB446" s="770"/>
      <c r="EC446" s="770"/>
      <c r="ED446" s="770"/>
      <c r="EE446" s="770"/>
      <c r="EF446" s="770"/>
      <c r="EG446" s="770"/>
      <c r="EH446" s="770"/>
      <c r="EI446" s="770"/>
      <c r="EJ446" s="770"/>
      <c r="EK446" s="770"/>
      <c r="EL446" s="770"/>
      <c r="EM446" s="770"/>
      <c r="EN446" s="770"/>
      <c r="EO446" s="770"/>
      <c r="EP446" s="94"/>
      <c r="EQ446" s="770"/>
      <c r="ER446" s="770"/>
      <c r="ES446" s="770"/>
      <c r="ET446" s="770"/>
      <c r="EU446" s="770"/>
      <c r="EV446" s="770"/>
      <c r="EW446" s="770"/>
      <c r="EX446" s="770"/>
      <c r="EY446" s="770"/>
      <c r="EZ446" s="770"/>
      <c r="FA446" s="770"/>
      <c r="FB446" s="770"/>
      <c r="FC446" s="770"/>
      <c r="FD446" s="302"/>
      <c r="FE446" s="770"/>
      <c r="FF446" s="770"/>
      <c r="FG446" s="770"/>
      <c r="FH446" s="770" t="s">
        <v>1306</v>
      </c>
      <c r="FI446" s="770">
        <v>1</v>
      </c>
      <c r="FJ446" s="770" t="s">
        <v>7412</v>
      </c>
      <c r="FK446" s="770" t="s">
        <v>2476</v>
      </c>
      <c r="FL446" s="770" t="s">
        <v>2485</v>
      </c>
      <c r="FM446" s="147">
        <v>2500</v>
      </c>
      <c r="FN446" s="302"/>
      <c r="FO446" s="302"/>
      <c r="FP446" s="766" t="s">
        <v>1602</v>
      </c>
      <c r="FQ446" s="766" t="s">
        <v>1660</v>
      </c>
      <c r="FR446" s="770"/>
      <c r="FS446" s="770"/>
      <c r="FT446" s="770"/>
      <c r="FU446" s="770"/>
      <c r="FV446" s="770"/>
      <c r="FW446" s="770"/>
      <c r="FX446" s="770"/>
      <c r="FY446" s="770"/>
      <c r="FZ446" s="770"/>
      <c r="GA446" s="770"/>
      <c r="GB446" s="770"/>
      <c r="GC446" s="308"/>
      <c r="GD446" s="297"/>
      <c r="GE446" s="770"/>
      <c r="GF446" s="302"/>
      <c r="GG446" s="302"/>
      <c r="GH446" s="712" t="s">
        <v>14260</v>
      </c>
      <c r="GI446" s="770"/>
      <c r="GJ446" s="770"/>
      <c r="GK446" s="770"/>
      <c r="GL446" s="770"/>
      <c r="GM446" s="770"/>
      <c r="GN446" s="299"/>
      <c r="GO446" s="770"/>
      <c r="GP446" s="770"/>
      <c r="GQ446" s="770"/>
      <c r="GR446" s="770"/>
      <c r="GS446" s="770"/>
      <c r="GT446" s="770"/>
      <c r="GU446" s="770"/>
      <c r="GV446" s="770"/>
      <c r="GW446" s="770"/>
      <c r="GX446" s="770"/>
      <c r="GY446" s="770"/>
      <c r="GZ446" s="770"/>
      <c r="HA446" s="770"/>
      <c r="HB446" s="770"/>
      <c r="HC446" s="770"/>
      <c r="HD446" s="770"/>
      <c r="HE446" s="770"/>
      <c r="HF446" s="770"/>
      <c r="HG446" s="770"/>
      <c r="HH446" s="770"/>
      <c r="HI446" s="770" t="s">
        <v>1207</v>
      </c>
      <c r="HJ446" s="770" t="s">
        <v>2384</v>
      </c>
      <c r="HK446" s="770" t="s">
        <v>7359</v>
      </c>
      <c r="HL446" s="770" t="s">
        <v>1214</v>
      </c>
      <c r="HM446" s="770" t="s">
        <v>962</v>
      </c>
      <c r="HN446" s="770" t="s">
        <v>7360</v>
      </c>
      <c r="HO446" s="770"/>
      <c r="HP446" s="770"/>
      <c r="HQ446" s="770"/>
      <c r="HR446" s="770"/>
      <c r="HS446" s="770"/>
      <c r="HT446" s="770"/>
      <c r="HU446" s="770"/>
      <c r="HV446" s="770"/>
      <c r="HW446" s="770"/>
      <c r="HX446" s="770"/>
      <c r="HY446" s="770"/>
      <c r="HZ446" s="770"/>
      <c r="IA446" s="770"/>
      <c r="IB446" s="14" t="e">
        <f>IF(#REF!&gt;0,IF(#REF!&lt;=10000,"Y",""),"")</f>
        <v>#REF!</v>
      </c>
      <c r="IC446" s="770"/>
      <c r="ID446" s="770"/>
      <c r="IE446" s="770"/>
      <c r="IF446" s="770"/>
      <c r="IG446" s="770"/>
      <c r="IH446" s="770"/>
      <c r="II446" s="770"/>
      <c r="IJ446" s="770"/>
      <c r="IK446" s="770"/>
      <c r="IL446" s="770"/>
      <c r="IM446" s="770"/>
      <c r="IN446" s="770"/>
      <c r="IO446" s="296"/>
      <c r="IP446" s="770"/>
      <c r="IQ446" s="770"/>
      <c r="IR446" s="770"/>
      <c r="IS446" s="770"/>
      <c r="IT446" s="770"/>
      <c r="IU446" s="770"/>
      <c r="IV446" s="770"/>
      <c r="IW446" s="770"/>
      <c r="IX446" s="770"/>
      <c r="IY446" s="770"/>
      <c r="IZ446" s="770"/>
      <c r="JA446" s="770"/>
      <c r="JB446" s="770"/>
      <c r="JC446" s="770"/>
      <c r="JD446" s="302"/>
      <c r="JE446" s="770"/>
      <c r="JF446" s="770"/>
      <c r="JG446" s="770"/>
      <c r="JH446" s="307"/>
      <c r="JI446" s="307"/>
      <c r="JJ446" s="770">
        <v>13</v>
      </c>
      <c r="JK446" s="1139" t="s">
        <v>2484</v>
      </c>
      <c r="JL446" s="770">
        <v>1</v>
      </c>
      <c r="JM446" s="770">
        <v>2</v>
      </c>
      <c r="JN446" s="770">
        <v>5</v>
      </c>
      <c r="JO446" s="770">
        <v>5</v>
      </c>
      <c r="JP446" s="770"/>
      <c r="JQ446" s="770"/>
      <c r="JR446" s="770"/>
      <c r="JS446" s="770"/>
      <c r="JT446" s="766">
        <f t="shared" si="120"/>
        <v>6</v>
      </c>
      <c r="JU446" s="766">
        <f t="shared" si="120"/>
        <v>7</v>
      </c>
      <c r="JV446" s="712" t="str">
        <f t="shared" si="112"/>
        <v>ok</v>
      </c>
      <c r="JW446" s="712" t="str">
        <f t="shared" si="113"/>
        <v>ok</v>
      </c>
      <c r="JX446" s="770">
        <v>1</v>
      </c>
      <c r="JY446" s="770">
        <v>2</v>
      </c>
      <c r="JZ446" s="770">
        <v>1</v>
      </c>
      <c r="KA446" s="770"/>
      <c r="KB446" s="770">
        <v>2</v>
      </c>
      <c r="KC446" s="770">
        <v>4</v>
      </c>
      <c r="KD446" s="770">
        <v>2</v>
      </c>
      <c r="KE446" s="770">
        <v>1</v>
      </c>
      <c r="KF446" s="770"/>
      <c r="KG446" s="770"/>
      <c r="KH446" s="770"/>
      <c r="KI446" s="770"/>
      <c r="KJ446" s="770">
        <f t="shared" si="103"/>
        <v>6</v>
      </c>
      <c r="KK446" s="770">
        <f t="shared" si="103"/>
        <v>7</v>
      </c>
      <c r="KL446" s="712" t="str">
        <f t="shared" si="114"/>
        <v>ok</v>
      </c>
      <c r="KM446" s="712" t="str">
        <f t="shared" si="115"/>
        <v>ok</v>
      </c>
      <c r="KN446" s="770" t="s">
        <v>707</v>
      </c>
      <c r="KO446" s="770"/>
      <c r="KP446" s="770"/>
      <c r="KQ446" s="770"/>
      <c r="KR446" s="770"/>
      <c r="KS446" s="770"/>
      <c r="KT446" s="770">
        <v>3</v>
      </c>
      <c r="KU446" s="770">
        <v>1</v>
      </c>
      <c r="KV446" s="770"/>
      <c r="KW446" s="770"/>
      <c r="KX446" s="770">
        <v>2</v>
      </c>
      <c r="KY446" s="770">
        <v>3</v>
      </c>
      <c r="KZ446" s="770">
        <v>1</v>
      </c>
      <c r="LA446" s="770">
        <v>1</v>
      </c>
      <c r="LB446" s="770"/>
      <c r="LC446" s="770"/>
      <c r="LD446" s="770"/>
      <c r="LE446" s="770"/>
      <c r="LF446" s="770"/>
      <c r="LG446" s="770"/>
      <c r="LH446" s="770"/>
      <c r="LI446" s="770"/>
      <c r="LJ446" s="770"/>
      <c r="LK446" s="770">
        <v>2</v>
      </c>
      <c r="LL446" s="770"/>
      <c r="LM446" s="770"/>
      <c r="LN446" s="766">
        <f t="shared" si="111"/>
        <v>6</v>
      </c>
      <c r="LO446" s="766">
        <f t="shared" si="111"/>
        <v>7</v>
      </c>
      <c r="LP446" s="770">
        <v>5</v>
      </c>
      <c r="LQ446" s="770">
        <v>1</v>
      </c>
      <c r="LR446" s="770"/>
      <c r="LS446" s="770">
        <v>4</v>
      </c>
      <c r="LT446" s="712" t="str">
        <f t="shared" si="116"/>
        <v>OK</v>
      </c>
      <c r="LU446" s="770"/>
      <c r="LV446" s="770">
        <v>1</v>
      </c>
      <c r="LW446" s="770"/>
      <c r="LX446" s="769">
        <v>1</v>
      </c>
      <c r="LY446" s="766" t="str">
        <f t="shared" si="119"/>
        <v>within the BRGY</v>
      </c>
      <c r="LZ446" s="1709">
        <v>960</v>
      </c>
      <c r="MA446" s="1709"/>
      <c r="MB446" s="1709"/>
      <c r="MC446" s="1679">
        <f t="shared" si="110"/>
        <v>960</v>
      </c>
      <c r="MD446" s="1709">
        <v>11250</v>
      </c>
      <c r="ME446" s="1709"/>
      <c r="MF446" s="1709">
        <f>SUM(2400,4000,4200,12000)</f>
        <v>22600</v>
      </c>
      <c r="MG446" s="1680">
        <f t="shared" si="118"/>
        <v>33850</v>
      </c>
      <c r="MH446" s="770" t="s">
        <v>13584</v>
      </c>
      <c r="MI446" s="302">
        <v>9000</v>
      </c>
      <c r="MJ446" s="302">
        <v>960</v>
      </c>
      <c r="MK446" s="302">
        <f>300*4</f>
        <v>1200</v>
      </c>
      <c r="ML446" s="302"/>
      <c r="MM446" s="302">
        <v>1500</v>
      </c>
      <c r="MN446" s="302">
        <v>2500</v>
      </c>
      <c r="MO446" s="302">
        <v>200</v>
      </c>
      <c r="MP446" s="302"/>
      <c r="MQ446" s="302"/>
      <c r="MR446" s="302"/>
      <c r="MS446" s="302"/>
      <c r="MT446" s="302"/>
      <c r="MU446" s="302"/>
      <c r="MV446" s="302"/>
      <c r="MW446" s="302"/>
      <c r="MX446" s="302"/>
      <c r="MY446" s="1682">
        <f t="shared" si="102"/>
        <v>15360</v>
      </c>
      <c r="MZ446" s="770" t="s">
        <v>13398</v>
      </c>
      <c r="NA446" s="770" t="s">
        <v>13585</v>
      </c>
      <c r="NB446" s="770" t="s">
        <v>13033</v>
      </c>
      <c r="NC446" s="766" t="s">
        <v>13523</v>
      </c>
      <c r="ND446" s="770">
        <v>0</v>
      </c>
      <c r="NE446" s="770">
        <v>0</v>
      </c>
      <c r="NF446" s="770">
        <v>0</v>
      </c>
      <c r="NG446" s="770">
        <v>3</v>
      </c>
      <c r="NH446" s="770">
        <v>1</v>
      </c>
      <c r="NI446" s="770">
        <v>0</v>
      </c>
      <c r="NJ446" s="770">
        <v>0</v>
      </c>
      <c r="NK446" s="770">
        <v>0</v>
      </c>
      <c r="NL446" s="770">
        <v>0</v>
      </c>
      <c r="NM446" s="770">
        <v>0</v>
      </c>
      <c r="NN446" s="770">
        <v>0</v>
      </c>
      <c r="NO446" s="770">
        <v>0</v>
      </c>
      <c r="NP446" s="770">
        <v>0</v>
      </c>
      <c r="NQ446" s="770">
        <v>0</v>
      </c>
      <c r="NR446" s="770">
        <v>0</v>
      </c>
      <c r="NS446" s="770">
        <v>0</v>
      </c>
      <c r="NT446" s="770">
        <v>0</v>
      </c>
      <c r="NU446" s="770">
        <v>0</v>
      </c>
      <c r="NV446" s="770">
        <v>0</v>
      </c>
      <c r="NW446" s="770">
        <v>0</v>
      </c>
      <c r="NX446" s="770">
        <v>0</v>
      </c>
      <c r="NY446" s="770"/>
      <c r="NZ446" s="770"/>
      <c r="OA446" s="770"/>
      <c r="OB446" s="770"/>
      <c r="OC446" s="770"/>
      <c r="OD446" s="770"/>
      <c r="OE446" s="770"/>
      <c r="OF446" s="770"/>
      <c r="OG446" s="770"/>
      <c r="OH446" s="770"/>
      <c r="OI446" s="770"/>
      <c r="OJ446" s="770"/>
      <c r="OK446" s="770"/>
      <c r="OL446" s="770"/>
      <c r="OM446" s="770"/>
      <c r="ON446" s="770"/>
      <c r="OO446" s="770"/>
      <c r="OP446" s="770"/>
      <c r="OQ446" s="770"/>
      <c r="OR446" s="770"/>
      <c r="OS446" s="770"/>
      <c r="OT446" s="770"/>
      <c r="OU446" s="770"/>
      <c r="OV446" s="770"/>
      <c r="OW446" s="770"/>
      <c r="OX446" s="770"/>
      <c r="OY446" s="770"/>
      <c r="OZ446" s="770"/>
      <c r="PA446" s="770"/>
      <c r="PB446" s="770"/>
      <c r="PC446" s="770"/>
      <c r="PD446" s="770"/>
      <c r="PE446" s="770"/>
      <c r="PF446" s="770"/>
      <c r="PG446" s="770"/>
      <c r="PH446" s="770"/>
      <c r="PI446" s="770"/>
      <c r="PJ446" s="770"/>
      <c r="PK446" s="770"/>
      <c r="PL446" s="770"/>
      <c r="PM446" s="770"/>
      <c r="PN446" s="770"/>
      <c r="PO446" s="770"/>
      <c r="PP446" s="770"/>
      <c r="PQ446" s="770"/>
      <c r="PR446" s="770"/>
      <c r="PS446" s="770"/>
      <c r="PT446" s="770"/>
      <c r="PU446" s="770"/>
      <c r="PV446" s="770"/>
      <c r="PW446" s="770"/>
      <c r="PX446" s="770"/>
      <c r="PY446" s="770"/>
      <c r="PZ446" s="770"/>
      <c r="QA446" s="770"/>
      <c r="QB446" s="770"/>
      <c r="QC446" s="770"/>
      <c r="QD446" s="770"/>
      <c r="QE446" s="770"/>
      <c r="QF446" s="770"/>
      <c r="QG446" s="770"/>
      <c r="QH446" s="770"/>
      <c r="QI446" s="770"/>
      <c r="QJ446" s="770"/>
      <c r="QK446" s="770"/>
      <c r="QL446" s="770"/>
      <c r="QM446" s="770"/>
      <c r="QN446" s="770"/>
      <c r="QO446" s="770"/>
      <c r="QP446" s="770"/>
      <c r="QQ446" s="770"/>
      <c r="QR446" s="770"/>
      <c r="QS446" s="770"/>
      <c r="QT446" s="770"/>
      <c r="QU446" s="770"/>
      <c r="QV446" s="770"/>
      <c r="QW446" s="770"/>
      <c r="QX446" s="770"/>
      <c r="QY446" s="770"/>
      <c r="QZ446" s="770"/>
      <c r="RA446" s="770"/>
      <c r="RB446" s="770"/>
      <c r="RC446" s="770"/>
      <c r="RD446" s="770"/>
      <c r="RE446" s="770"/>
      <c r="RF446" s="304"/>
      <c r="RG446" s="770"/>
      <c r="RH446" s="302"/>
      <c r="RI446" s="770"/>
      <c r="RJ446" s="770" t="s">
        <v>2484</v>
      </c>
      <c r="RK446" s="770" t="s">
        <v>13550</v>
      </c>
      <c r="RL446" s="1710">
        <v>42825</v>
      </c>
      <c r="RM446" s="12"/>
      <c r="RN446" s="1711"/>
      <c r="RO446" s="132" t="s">
        <v>2471</v>
      </c>
      <c r="RP446" s="11"/>
      <c r="RQ446" s="11"/>
      <c r="RR446" s="343" t="s">
        <v>7421</v>
      </c>
      <c r="RS446" s="1139" t="s">
        <v>12980</v>
      </c>
      <c r="RT446" s="11"/>
      <c r="RU446" s="11"/>
      <c r="RV446" s="771" t="s">
        <v>7421</v>
      </c>
      <c r="RW446" s="11" t="s">
        <v>7685</v>
      </c>
      <c r="RX446" s="11" t="s">
        <v>2456</v>
      </c>
      <c r="RY446" s="11"/>
      <c r="RZ446" s="11" t="s">
        <v>1101</v>
      </c>
      <c r="SA446" s="771"/>
      <c r="SB446" s="11"/>
      <c r="SC446" s="11"/>
    </row>
    <row r="447" spans="1:497" ht="12.75" customHeight="1">
      <c r="A447" s="19" t="s">
        <v>7421</v>
      </c>
      <c r="B447" s="752" t="s">
        <v>7687</v>
      </c>
      <c r="C447" s="132" t="s">
        <v>2486</v>
      </c>
      <c r="D447" s="94" t="s">
        <v>2487</v>
      </c>
      <c r="E447" s="770" t="s">
        <v>2488</v>
      </c>
      <c r="F447" s="770" t="s">
        <v>20</v>
      </c>
      <c r="G447" s="770" t="s">
        <v>18</v>
      </c>
      <c r="H447" s="770"/>
      <c r="I447" s="1827" t="s">
        <v>7856</v>
      </c>
      <c r="J447" s="94" t="s">
        <v>2489</v>
      </c>
      <c r="K447" s="766" t="s">
        <v>2490</v>
      </c>
      <c r="L447" s="766" t="s">
        <v>2491</v>
      </c>
      <c r="M447" s="770" t="s">
        <v>1238</v>
      </c>
      <c r="N447" s="770"/>
      <c r="O447" s="770" t="s">
        <v>2403</v>
      </c>
      <c r="P447" s="94" t="s">
        <v>2492</v>
      </c>
      <c r="Q447" s="1088">
        <v>30408</v>
      </c>
      <c r="R447" s="297">
        <v>34</v>
      </c>
      <c r="S447" s="770" t="s">
        <v>10</v>
      </c>
      <c r="T447" s="770"/>
      <c r="U447" s="298"/>
      <c r="V447" s="770" t="s">
        <v>707</v>
      </c>
      <c r="W447" s="770"/>
      <c r="X447" s="770"/>
      <c r="Y447" s="770" t="s">
        <v>2488</v>
      </c>
      <c r="Z447" s="770" t="s">
        <v>708</v>
      </c>
      <c r="AA447" s="770" t="s">
        <v>787</v>
      </c>
      <c r="AB447" s="770" t="s">
        <v>7275</v>
      </c>
      <c r="AC447" s="770"/>
      <c r="AD447" s="770" t="s">
        <v>711</v>
      </c>
      <c r="AE447" s="770"/>
      <c r="AF447" s="770" t="s">
        <v>712</v>
      </c>
      <c r="AG447" s="766" t="s">
        <v>1132</v>
      </c>
      <c r="AH447" s="766" t="s">
        <v>1096</v>
      </c>
      <c r="AI447" s="770"/>
      <c r="AJ447" s="770" t="s">
        <v>1137</v>
      </c>
      <c r="AK447" s="770" t="s">
        <v>1101</v>
      </c>
      <c r="AL447" s="531">
        <v>73.055000000000007</v>
      </c>
      <c r="AM447" s="780">
        <v>58.44</v>
      </c>
      <c r="AN447" s="532">
        <f>AM447/AL447</f>
        <v>0.79994524673191425</v>
      </c>
      <c r="AO447" s="766" t="s">
        <v>1105</v>
      </c>
      <c r="AP447" s="766"/>
      <c r="AQ447" s="766"/>
      <c r="AR447" s="766"/>
      <c r="AS447" s="770"/>
      <c r="AT447" s="770"/>
      <c r="AU447" s="770"/>
      <c r="AV447" s="770"/>
      <c r="AW447" s="770"/>
      <c r="AX447" s="770"/>
      <c r="AY447" s="770"/>
      <c r="AZ447" s="770"/>
      <c r="BA447" s="770"/>
      <c r="BB447" s="770"/>
      <c r="BC447" s="770"/>
      <c r="BD447" s="770"/>
      <c r="BE447" s="770"/>
      <c r="BF447" s="302"/>
      <c r="BG447" s="302"/>
      <c r="BH447" s="770"/>
      <c r="BI447" s="770"/>
      <c r="BJ447" s="770"/>
      <c r="BK447" s="770" t="s">
        <v>1095</v>
      </c>
      <c r="BL447" s="770" t="s">
        <v>2493</v>
      </c>
      <c r="BM447" s="766" t="s">
        <v>1096</v>
      </c>
      <c r="BN447" s="770" t="s">
        <v>1230</v>
      </c>
      <c r="BO447" s="766" t="s">
        <v>1239</v>
      </c>
      <c r="BP447" s="1109">
        <v>93.06</v>
      </c>
      <c r="BQ447" s="773">
        <v>58.44</v>
      </c>
      <c r="BR447" s="774">
        <f>BQ447/BP447</f>
        <v>0.62798194713088329</v>
      </c>
      <c r="BS447" s="766" t="s">
        <v>1105</v>
      </c>
      <c r="BT447" s="770" t="s">
        <v>8133</v>
      </c>
      <c r="BU447" s="770" t="s">
        <v>1249</v>
      </c>
      <c r="BV447" s="770" t="s">
        <v>1247</v>
      </c>
      <c r="BW447" s="769"/>
      <c r="BX447" s="302"/>
      <c r="BY447" s="770"/>
      <c r="BZ447" s="302"/>
      <c r="CA447" s="770"/>
      <c r="CB447" s="770"/>
      <c r="CC447" s="770"/>
      <c r="CD447" s="770"/>
      <c r="CE447" s="770"/>
      <c r="CF447" s="1753"/>
      <c r="CG447" s="1754"/>
      <c r="CH447" s="770"/>
      <c r="CI447" s="770"/>
      <c r="CJ447" s="770"/>
      <c r="CK447" s="770"/>
      <c r="CL447" s="770"/>
      <c r="CM447" s="770"/>
      <c r="CN447" s="770"/>
      <c r="CO447" s="770"/>
      <c r="CP447" s="770"/>
      <c r="CQ447" s="770"/>
      <c r="CR447" s="302"/>
      <c r="CS447" s="770"/>
      <c r="CT447" s="770"/>
      <c r="CU447" s="305"/>
      <c r="CV447" s="770"/>
      <c r="CW447" s="770"/>
      <c r="CX447" s="770"/>
      <c r="CY447" s="770"/>
      <c r="CZ447" s="770"/>
      <c r="DA447" s="306"/>
      <c r="DB447" s="770"/>
      <c r="DC447" s="770"/>
      <c r="DD447" s="770"/>
      <c r="DE447" s="300"/>
      <c r="DF447" s="770"/>
      <c r="DG447" s="770"/>
      <c r="DH447" s="770"/>
      <c r="DI447" s="770"/>
      <c r="DJ447" s="770"/>
      <c r="DK447" s="770"/>
      <c r="DL447" s="770"/>
      <c r="DM447" s="770"/>
      <c r="DN447" s="322"/>
      <c r="DO447" s="770"/>
      <c r="DP447" s="770"/>
      <c r="DQ447" s="770"/>
      <c r="DR447" s="770"/>
      <c r="DS447" s="307"/>
      <c r="DT447" s="770"/>
      <c r="DU447" s="770"/>
      <c r="DV447" s="770"/>
      <c r="DW447" s="306"/>
      <c r="DX447" s="306"/>
      <c r="DY447" s="770"/>
      <c r="DZ447" s="770"/>
      <c r="EA447" s="770"/>
      <c r="EB447" s="770"/>
      <c r="EC447" s="770"/>
      <c r="ED447" s="770"/>
      <c r="EE447" s="770"/>
      <c r="EF447" s="770"/>
      <c r="EG447" s="770"/>
      <c r="EH447" s="770"/>
      <c r="EI447" s="770"/>
      <c r="EJ447" s="770"/>
      <c r="EK447" s="770"/>
      <c r="EL447" s="770"/>
      <c r="EM447" s="770"/>
      <c r="EN447" s="770"/>
      <c r="EO447" s="770"/>
      <c r="EP447" s="94"/>
      <c r="EQ447" s="770"/>
      <c r="ER447" s="770"/>
      <c r="ES447" s="770"/>
      <c r="ET447" s="770"/>
      <c r="EU447" s="770"/>
      <c r="EV447" s="770"/>
      <c r="EW447" s="770"/>
      <c r="EX447" s="770"/>
      <c r="EY447" s="770"/>
      <c r="EZ447" s="770"/>
      <c r="FA447" s="770"/>
      <c r="FB447" s="770"/>
      <c r="FC447" s="770"/>
      <c r="FD447" s="302"/>
      <c r="FE447" s="770"/>
      <c r="FF447" s="770"/>
      <c r="FG447" s="770"/>
      <c r="FH447" s="770" t="s">
        <v>478</v>
      </c>
      <c r="FI447" s="770">
        <v>1</v>
      </c>
      <c r="FJ447" s="770"/>
      <c r="FK447" s="770"/>
      <c r="FL447" s="770"/>
      <c r="FM447" s="302"/>
      <c r="FN447" s="302"/>
      <c r="FO447" s="302"/>
      <c r="FP447" s="766" t="s">
        <v>1602</v>
      </c>
      <c r="FQ447" s="766" t="s">
        <v>1660</v>
      </c>
      <c r="FR447" s="770" t="s">
        <v>1214</v>
      </c>
      <c r="FS447" s="770"/>
      <c r="FT447" s="770"/>
      <c r="FU447" s="770"/>
      <c r="FV447" s="770"/>
      <c r="FW447" s="770"/>
      <c r="FX447" s="770"/>
      <c r="FY447" s="770"/>
      <c r="FZ447" s="770"/>
      <c r="GA447" s="770"/>
      <c r="GB447" s="770"/>
      <c r="GC447" s="308"/>
      <c r="GD447" s="297"/>
      <c r="GE447" s="770"/>
      <c r="GF447" s="302"/>
      <c r="GG447" s="302"/>
      <c r="GH447" s="712" t="s">
        <v>1791</v>
      </c>
      <c r="GI447" s="770" t="s">
        <v>2352</v>
      </c>
      <c r="GJ447" s="770"/>
      <c r="GK447" s="770" t="s">
        <v>2407</v>
      </c>
      <c r="GL447" s="770" t="s">
        <v>2494</v>
      </c>
      <c r="GM447" s="770"/>
      <c r="GN447" s="299"/>
      <c r="GO447" s="770" t="s">
        <v>2495</v>
      </c>
      <c r="GP447" s="770"/>
      <c r="GQ447" s="770"/>
      <c r="GR447" s="770" t="s">
        <v>1208</v>
      </c>
      <c r="GS447" s="770"/>
      <c r="GT447" s="770"/>
      <c r="GU447" s="770"/>
      <c r="GV447" s="770"/>
      <c r="GW447" s="770" t="s">
        <v>1207</v>
      </c>
      <c r="GX447" s="770"/>
      <c r="GY447" s="770" t="s">
        <v>1208</v>
      </c>
      <c r="GZ447" s="770" t="s">
        <v>1208</v>
      </c>
      <c r="HA447" s="770"/>
      <c r="HB447" s="770"/>
      <c r="HC447" s="770" t="s">
        <v>1208</v>
      </c>
      <c r="HD447" s="770"/>
      <c r="HE447" s="770" t="s">
        <v>1208</v>
      </c>
      <c r="HF447" s="770"/>
      <c r="HG447" s="770"/>
      <c r="HH447" s="770"/>
      <c r="HI447" s="770" t="s">
        <v>1214</v>
      </c>
      <c r="HJ447" s="770"/>
      <c r="HK447" s="770"/>
      <c r="HL447" s="770" t="s">
        <v>1214</v>
      </c>
      <c r="HM447" s="770"/>
      <c r="HN447" s="770"/>
      <c r="HO447" s="770"/>
      <c r="HP447" s="770"/>
      <c r="HQ447" s="770"/>
      <c r="HR447" s="770"/>
      <c r="HS447" s="770"/>
      <c r="HT447" s="770">
        <v>2</v>
      </c>
      <c r="HU447" s="770"/>
      <c r="HV447" s="770"/>
      <c r="HW447" s="770"/>
      <c r="HX447" s="770"/>
      <c r="HY447" s="770"/>
      <c r="HZ447" s="770"/>
      <c r="IA447" s="770"/>
      <c r="IB447" s="14" t="e">
        <f>IF(#REF!&gt;0,IF(#REF!&lt;=10000,"Y",""),"")</f>
        <v>#REF!</v>
      </c>
      <c r="IC447" s="770"/>
      <c r="ID447" s="770"/>
      <c r="IE447" s="770"/>
      <c r="IF447" s="770"/>
      <c r="IG447" s="770"/>
      <c r="IH447" s="770"/>
      <c r="II447" s="770"/>
      <c r="IJ447" s="770"/>
      <c r="IK447" s="770"/>
      <c r="IL447" s="770"/>
      <c r="IM447" s="770"/>
      <c r="IN447" s="770"/>
      <c r="IO447" s="296"/>
      <c r="IP447" s="770"/>
      <c r="IQ447" s="770"/>
      <c r="IR447" s="770"/>
      <c r="IS447" s="770"/>
      <c r="IT447" s="770"/>
      <c r="IU447" s="770"/>
      <c r="IV447" s="770"/>
      <c r="IW447" s="770"/>
      <c r="IX447" s="770"/>
      <c r="IY447" s="770"/>
      <c r="IZ447" s="770"/>
      <c r="JA447" s="770"/>
      <c r="JB447" s="770"/>
      <c r="JC447" s="770"/>
      <c r="JD447" s="302"/>
      <c r="JE447" s="770"/>
      <c r="JF447" s="770"/>
      <c r="JG447" s="770"/>
      <c r="JH447" s="307"/>
      <c r="JI447" s="307"/>
      <c r="JJ447" s="770">
        <v>7</v>
      </c>
      <c r="JK447" s="1139" t="s">
        <v>3745</v>
      </c>
      <c r="JL447" s="770">
        <v>2</v>
      </c>
      <c r="JM447" s="770">
        <v>1</v>
      </c>
      <c r="JN447" s="770">
        <v>2</v>
      </c>
      <c r="JO447" s="770">
        <v>2</v>
      </c>
      <c r="JP447" s="770"/>
      <c r="JQ447" s="770"/>
      <c r="JR447" s="770"/>
      <c r="JS447" s="770"/>
      <c r="JT447" s="766">
        <f t="shared" si="120"/>
        <v>4</v>
      </c>
      <c r="JU447" s="766">
        <f t="shared" si="120"/>
        <v>3</v>
      </c>
      <c r="JV447" s="712" t="str">
        <f t="shared" si="112"/>
        <v>ok</v>
      </c>
      <c r="JW447" s="712" t="str">
        <f t="shared" si="113"/>
        <v>ok</v>
      </c>
      <c r="JX447" s="766">
        <v>1</v>
      </c>
      <c r="JY447" s="766"/>
      <c r="JZ447" s="766">
        <v>1</v>
      </c>
      <c r="KA447" s="766">
        <v>1</v>
      </c>
      <c r="KB447" s="766">
        <v>1</v>
      </c>
      <c r="KC447" s="766"/>
      <c r="KD447" s="766">
        <v>1</v>
      </c>
      <c r="KE447" s="766">
        <v>2</v>
      </c>
      <c r="KF447" s="766"/>
      <c r="KG447" s="766"/>
      <c r="KH447" s="766"/>
      <c r="KI447" s="766"/>
      <c r="KJ447" s="770">
        <f t="shared" si="103"/>
        <v>4</v>
      </c>
      <c r="KK447" s="770">
        <f t="shared" si="103"/>
        <v>3</v>
      </c>
      <c r="KL447" s="712" t="str">
        <f t="shared" si="114"/>
        <v>ok</v>
      </c>
      <c r="KM447" s="712" t="str">
        <f t="shared" si="115"/>
        <v>ok</v>
      </c>
      <c r="KN447" s="770" t="s">
        <v>707</v>
      </c>
      <c r="KO447" s="770"/>
      <c r="KP447" s="770"/>
      <c r="KQ447" s="770"/>
      <c r="KR447" s="770"/>
      <c r="KS447" s="770"/>
      <c r="KT447" s="770">
        <v>2</v>
      </c>
      <c r="KU447" s="770"/>
      <c r="KV447" s="770"/>
      <c r="KW447" s="770"/>
      <c r="KX447" s="770"/>
      <c r="KY447" s="770">
        <v>1</v>
      </c>
      <c r="KZ447" s="770"/>
      <c r="LA447" s="770"/>
      <c r="LB447" s="770">
        <v>1</v>
      </c>
      <c r="LC447" s="770"/>
      <c r="LD447" s="770"/>
      <c r="LE447" s="770">
        <v>2</v>
      </c>
      <c r="LF447" s="770">
        <v>1</v>
      </c>
      <c r="LG447" s="770"/>
      <c r="LH447" s="770"/>
      <c r="LI447" s="770"/>
      <c r="LJ447" s="770"/>
      <c r="LK447" s="770"/>
      <c r="LL447" s="770"/>
      <c r="LM447" s="770"/>
      <c r="LN447" s="766">
        <f t="shared" si="111"/>
        <v>4</v>
      </c>
      <c r="LO447" s="766">
        <f t="shared" si="111"/>
        <v>3</v>
      </c>
      <c r="LP447" s="770">
        <v>3</v>
      </c>
      <c r="LQ447" s="770">
        <v>3</v>
      </c>
      <c r="LR447" s="770"/>
      <c r="LS447" s="770"/>
      <c r="LT447" s="712" t="str">
        <f t="shared" si="116"/>
        <v>OK</v>
      </c>
      <c r="LU447" s="770"/>
      <c r="LV447" s="770">
        <v>3</v>
      </c>
      <c r="LW447" s="770"/>
      <c r="LX447" s="769">
        <v>3</v>
      </c>
      <c r="LY447" s="766" t="str">
        <f t="shared" si="119"/>
        <v>within the PROVINCE</v>
      </c>
      <c r="LZ447" s="1709">
        <f>SUM(1440,3540,2400)</f>
        <v>7380</v>
      </c>
      <c r="MA447" s="1709"/>
      <c r="MB447" s="1709"/>
      <c r="MC447" s="1679">
        <f t="shared" si="110"/>
        <v>7380</v>
      </c>
      <c r="MD447" s="1709">
        <f>SUM(1458,14580,14580)</f>
        <v>30618</v>
      </c>
      <c r="ME447" s="1709"/>
      <c r="MF447" s="1709"/>
      <c r="MG447" s="1680">
        <f t="shared" si="118"/>
        <v>30618</v>
      </c>
      <c r="MH447" s="770" t="s">
        <v>1985</v>
      </c>
      <c r="MI447" s="302">
        <v>18000</v>
      </c>
      <c r="MJ447" s="302">
        <v>7380</v>
      </c>
      <c r="MK447" s="302">
        <v>292</v>
      </c>
      <c r="ML447" s="302">
        <v>3000</v>
      </c>
      <c r="MM447" s="302">
        <v>3000</v>
      </c>
      <c r="MN447" s="302"/>
      <c r="MO447" s="302">
        <v>600</v>
      </c>
      <c r="MP447" s="302">
        <v>300</v>
      </c>
      <c r="MQ447" s="302"/>
      <c r="MR447" s="302">
        <v>500</v>
      </c>
      <c r="MS447" s="302">
        <v>3000</v>
      </c>
      <c r="MT447" s="302"/>
      <c r="MU447" s="302"/>
      <c r="MV447" s="302"/>
      <c r="MW447" s="302"/>
      <c r="MX447" s="302"/>
      <c r="MY447" s="1682">
        <f t="shared" si="102"/>
        <v>36072</v>
      </c>
      <c r="MZ447" s="770" t="s">
        <v>13395</v>
      </c>
      <c r="NA447" s="770" t="s">
        <v>13585</v>
      </c>
      <c r="NB447" s="770" t="s">
        <v>13583</v>
      </c>
      <c r="NC447" s="766" t="s">
        <v>13523</v>
      </c>
      <c r="ND447" s="770">
        <v>0</v>
      </c>
      <c r="NE447" s="770">
        <v>0</v>
      </c>
      <c r="NF447" s="770">
        <v>0</v>
      </c>
      <c r="NG447" s="770">
        <v>4</v>
      </c>
      <c r="NH447" s="770">
        <v>1</v>
      </c>
      <c r="NI447" s="770">
        <v>1</v>
      </c>
      <c r="NJ447" s="770">
        <v>1</v>
      </c>
      <c r="NK447" s="770">
        <v>0</v>
      </c>
      <c r="NL447" s="770">
        <v>1</v>
      </c>
      <c r="NM447" s="770">
        <v>1</v>
      </c>
      <c r="NN447" s="770">
        <v>0</v>
      </c>
      <c r="NO447" s="770">
        <v>0</v>
      </c>
      <c r="NP447" s="770">
        <v>0</v>
      </c>
      <c r="NQ447" s="770">
        <v>0</v>
      </c>
      <c r="NR447" s="770">
        <v>0</v>
      </c>
      <c r="NS447" s="770">
        <v>0</v>
      </c>
      <c r="NT447" s="770">
        <v>0</v>
      </c>
      <c r="NU447" s="770">
        <v>0</v>
      </c>
      <c r="NV447" s="770">
        <v>0</v>
      </c>
      <c r="NW447" s="770">
        <v>0</v>
      </c>
      <c r="NX447" s="770">
        <v>0</v>
      </c>
      <c r="NY447" s="770" t="s">
        <v>1208</v>
      </c>
      <c r="NZ447" s="770" t="s">
        <v>1208</v>
      </c>
      <c r="OA447" s="770" t="s">
        <v>1208</v>
      </c>
      <c r="OB447" s="770" t="s">
        <v>1208</v>
      </c>
      <c r="OC447" s="770" t="s">
        <v>1208</v>
      </c>
      <c r="OD447" s="770" t="s">
        <v>1208</v>
      </c>
      <c r="OE447" s="770"/>
      <c r="OF447" s="770"/>
      <c r="OG447" s="770" t="s">
        <v>1208</v>
      </c>
      <c r="OH447" s="770"/>
      <c r="OI447" s="770"/>
      <c r="OJ447" s="770"/>
      <c r="OK447" s="770"/>
      <c r="OL447" s="770"/>
      <c r="OM447" s="770"/>
      <c r="ON447" s="770"/>
      <c r="OO447" s="770" t="s">
        <v>1207</v>
      </c>
      <c r="OP447" s="770" t="s">
        <v>13586</v>
      </c>
      <c r="OQ447" s="770" t="s">
        <v>13587</v>
      </c>
      <c r="OR447" s="770" t="s">
        <v>13570</v>
      </c>
      <c r="OS447" s="770" t="s">
        <v>12885</v>
      </c>
      <c r="OT447" s="770" t="s">
        <v>12888</v>
      </c>
      <c r="OU447" s="770" t="s">
        <v>13588</v>
      </c>
      <c r="OV447" s="770" t="s">
        <v>1208</v>
      </c>
      <c r="OW447" s="770"/>
      <c r="OX447" s="770" t="s">
        <v>1208</v>
      </c>
      <c r="OY447" s="770" t="s">
        <v>1208</v>
      </c>
      <c r="OZ447" s="770" t="s">
        <v>1208</v>
      </c>
      <c r="PA447" s="770" t="s">
        <v>1208</v>
      </c>
      <c r="PB447" s="770" t="s">
        <v>1208</v>
      </c>
      <c r="PC447" s="770"/>
      <c r="PD447" s="770"/>
      <c r="PE447" s="770"/>
      <c r="PF447" s="770"/>
      <c r="PG447" s="770"/>
      <c r="PH447" s="770" t="s">
        <v>1208</v>
      </c>
      <c r="PI447" s="770"/>
      <c r="PJ447" s="770"/>
      <c r="PK447" s="770" t="s">
        <v>1208</v>
      </c>
      <c r="PL447" s="770"/>
      <c r="PM447" s="770"/>
      <c r="PN447" s="770"/>
      <c r="PO447" s="770"/>
      <c r="PP447" s="770"/>
      <c r="PQ447" s="770" t="s">
        <v>1208</v>
      </c>
      <c r="PR447" s="770"/>
      <c r="PS447" s="770"/>
      <c r="PT447" s="770"/>
      <c r="PU447" s="770"/>
      <c r="PV447" s="770"/>
      <c r="PW447" s="770"/>
      <c r="PX447" s="770"/>
      <c r="PY447" s="770"/>
      <c r="PZ447" s="770"/>
      <c r="QA447" s="770"/>
      <c r="QB447" s="770"/>
      <c r="QC447" s="770"/>
      <c r="QD447" s="770"/>
      <c r="QE447" s="770"/>
      <c r="QF447" s="770"/>
      <c r="QG447" s="770" t="s">
        <v>1208</v>
      </c>
      <c r="QH447" s="770"/>
      <c r="QI447" s="770"/>
      <c r="QJ447" s="770"/>
      <c r="QK447" s="770"/>
      <c r="QL447" s="770"/>
      <c r="QM447" s="770"/>
      <c r="QN447" s="770"/>
      <c r="QO447" s="770"/>
      <c r="QP447" s="770"/>
      <c r="QQ447" s="770"/>
      <c r="QR447" s="770"/>
      <c r="QS447" s="770"/>
      <c r="QT447" s="770"/>
      <c r="QU447" s="770"/>
      <c r="QV447" s="770"/>
      <c r="QW447" s="770"/>
      <c r="QX447" s="770"/>
      <c r="QY447" s="770"/>
      <c r="QZ447" s="770"/>
      <c r="RA447" s="770"/>
      <c r="RB447" s="770" t="s">
        <v>1207</v>
      </c>
      <c r="RC447" s="770">
        <v>2017</v>
      </c>
      <c r="RD447" s="770" t="s">
        <v>13589</v>
      </c>
      <c r="RE447" s="770" t="s">
        <v>12999</v>
      </c>
      <c r="RF447" s="304">
        <v>1</v>
      </c>
      <c r="RG447" s="770" t="s">
        <v>13047</v>
      </c>
      <c r="RH447" s="302">
        <v>0</v>
      </c>
      <c r="RI447" s="770" t="s">
        <v>13590</v>
      </c>
      <c r="RJ447" s="770" t="s">
        <v>13591</v>
      </c>
      <c r="RK447" s="770" t="s">
        <v>13544</v>
      </c>
      <c r="RL447" s="1710"/>
      <c r="RM447" s="12"/>
      <c r="RN447" s="1711"/>
      <c r="RO447" s="132" t="s">
        <v>2486</v>
      </c>
      <c r="RP447" s="11"/>
      <c r="RQ447" s="11"/>
      <c r="RR447" s="19" t="s">
        <v>7421</v>
      </c>
      <c r="RS447" s="1139" t="s">
        <v>12980</v>
      </c>
      <c r="RT447" s="11"/>
      <c r="RU447" s="11"/>
      <c r="RV447" s="771" t="s">
        <v>12353</v>
      </c>
      <c r="RW447" s="11" t="s">
        <v>7686</v>
      </c>
      <c r="RX447" s="11" t="s">
        <v>2456</v>
      </c>
      <c r="RY447" s="11"/>
      <c r="RZ447" s="11" t="s">
        <v>1101</v>
      </c>
      <c r="SA447" s="771"/>
      <c r="SB447" s="11"/>
      <c r="SC447" s="11"/>
    </row>
    <row r="448" spans="1:497" ht="12.75" customHeight="1">
      <c r="A448" s="343" t="s">
        <v>7421</v>
      </c>
      <c r="B448" s="752" t="s">
        <v>14262</v>
      </c>
      <c r="C448" s="132" t="s">
        <v>2497</v>
      </c>
      <c r="D448" s="94" t="s">
        <v>2457</v>
      </c>
      <c r="E448" s="766" t="s">
        <v>2468</v>
      </c>
      <c r="F448" s="770"/>
      <c r="G448" s="770"/>
      <c r="H448" s="770"/>
      <c r="I448" s="1827"/>
      <c r="J448" s="94"/>
      <c r="K448" s="766" t="s">
        <v>2460</v>
      </c>
      <c r="L448" s="766" t="s">
        <v>2461</v>
      </c>
      <c r="M448" s="770" t="s">
        <v>1238</v>
      </c>
      <c r="N448" s="770"/>
      <c r="O448" s="770" t="s">
        <v>2403</v>
      </c>
      <c r="P448" s="770" t="s">
        <v>2464</v>
      </c>
      <c r="Q448" s="1088">
        <v>20077</v>
      </c>
      <c r="R448" s="297">
        <v>62</v>
      </c>
      <c r="S448" s="770" t="s">
        <v>10</v>
      </c>
      <c r="T448" s="770"/>
      <c r="U448" s="298"/>
      <c r="V448" s="770"/>
      <c r="W448" s="770" t="s">
        <v>12365</v>
      </c>
      <c r="X448" s="296">
        <v>17777</v>
      </c>
      <c r="Y448" s="766" t="s">
        <v>2468</v>
      </c>
      <c r="Z448" s="770" t="s">
        <v>708</v>
      </c>
      <c r="AA448" s="770" t="s">
        <v>709</v>
      </c>
      <c r="AB448" s="770" t="s">
        <v>710</v>
      </c>
      <c r="AC448" s="770" t="s">
        <v>991</v>
      </c>
      <c r="AD448" s="770" t="s">
        <v>711</v>
      </c>
      <c r="AE448" s="770"/>
      <c r="AF448" s="770" t="s">
        <v>798</v>
      </c>
      <c r="AG448" s="766" t="s">
        <v>1132</v>
      </c>
      <c r="AH448" s="766" t="s">
        <v>1096</v>
      </c>
      <c r="AI448" s="770"/>
      <c r="AJ448" s="770" t="s">
        <v>1137</v>
      </c>
      <c r="AK448" s="770" t="s">
        <v>1101</v>
      </c>
      <c r="AL448" s="531">
        <v>2.625</v>
      </c>
      <c r="AM448" s="531">
        <v>2.625</v>
      </c>
      <c r="AN448" s="532">
        <f>AM448/AL448</f>
        <v>1</v>
      </c>
      <c r="AO448" s="766" t="s">
        <v>1122</v>
      </c>
      <c r="AP448" s="766"/>
      <c r="AQ448" s="766"/>
      <c r="AR448" s="766"/>
      <c r="AS448" s="770"/>
      <c r="AT448" s="770"/>
      <c r="AU448" s="770"/>
      <c r="AV448" s="770"/>
      <c r="AW448" s="770"/>
      <c r="AX448" s="770"/>
      <c r="AY448" s="770"/>
      <c r="AZ448" s="770"/>
      <c r="BA448" s="770"/>
      <c r="BB448" s="770"/>
      <c r="BC448" s="770"/>
      <c r="BD448" s="770"/>
      <c r="BE448" s="770"/>
      <c r="BF448" s="302"/>
      <c r="BG448" s="302"/>
      <c r="BH448" s="770"/>
      <c r="BI448" s="770"/>
      <c r="BJ448" s="770"/>
      <c r="BK448" s="770" t="s">
        <v>1095</v>
      </c>
      <c r="BL448" s="770" t="s">
        <v>2500</v>
      </c>
      <c r="BM448" s="770" t="s">
        <v>1100</v>
      </c>
      <c r="BN448" s="770" t="s">
        <v>1230</v>
      </c>
      <c r="BO448" s="766" t="s">
        <v>1246</v>
      </c>
      <c r="BP448" s="1109">
        <v>2.625</v>
      </c>
      <c r="BQ448" s="773">
        <v>2.625</v>
      </c>
      <c r="BR448" s="774">
        <f>BQ448/BP448</f>
        <v>1</v>
      </c>
      <c r="BS448" s="769" t="s">
        <v>1257</v>
      </c>
      <c r="BT448" s="770" t="s">
        <v>8133</v>
      </c>
      <c r="BU448" s="335"/>
      <c r="BV448" s="335"/>
      <c r="BW448" s="335"/>
      <c r="BX448" s="302"/>
      <c r="BY448" s="770"/>
      <c r="BZ448" s="302"/>
      <c r="CA448" s="770"/>
      <c r="CB448" s="770"/>
      <c r="CC448" s="770"/>
      <c r="CD448" s="770"/>
      <c r="CE448" s="770"/>
      <c r="CF448" s="1753"/>
      <c r="CG448" s="1754"/>
      <c r="CH448" s="770"/>
      <c r="CI448" s="770"/>
      <c r="CJ448" s="770"/>
      <c r="CK448" s="770"/>
      <c r="CL448" s="770"/>
      <c r="CM448" s="770"/>
      <c r="CN448" s="770"/>
      <c r="CO448" s="770"/>
      <c r="CP448" s="770"/>
      <c r="CQ448" s="770"/>
      <c r="CR448" s="302"/>
      <c r="CS448" s="770"/>
      <c r="CT448" s="770"/>
      <c r="CU448" s="305"/>
      <c r="CV448" s="770"/>
      <c r="CW448" s="770"/>
      <c r="CX448" s="770"/>
      <c r="CY448" s="770"/>
      <c r="CZ448" s="770"/>
      <c r="DA448" s="306"/>
      <c r="DB448" s="770"/>
      <c r="DC448" s="770"/>
      <c r="DD448" s="770"/>
      <c r="DE448" s="300"/>
      <c r="DF448" s="770"/>
      <c r="DG448" s="770"/>
      <c r="DH448" s="770"/>
      <c r="DI448" s="770"/>
      <c r="DJ448" s="770"/>
      <c r="DK448" s="770"/>
      <c r="DL448" s="770"/>
      <c r="DM448" s="770"/>
      <c r="DN448" s="322"/>
      <c r="DO448" s="770"/>
      <c r="DP448" s="770"/>
      <c r="DQ448" s="770"/>
      <c r="DR448" s="770"/>
      <c r="DS448" s="307"/>
      <c r="DT448" s="770"/>
      <c r="DU448" s="770"/>
      <c r="DV448" s="770"/>
      <c r="DW448" s="306"/>
      <c r="DX448" s="306"/>
      <c r="DY448" s="770"/>
      <c r="DZ448" s="770"/>
      <c r="EA448" s="770"/>
      <c r="EB448" s="770"/>
      <c r="EC448" s="770"/>
      <c r="ED448" s="770"/>
      <c r="EE448" s="770"/>
      <c r="EF448" s="770"/>
      <c r="EG448" s="770"/>
      <c r="EH448" s="770"/>
      <c r="EI448" s="770"/>
      <c r="EJ448" s="770"/>
      <c r="EK448" s="770"/>
      <c r="EL448" s="770"/>
      <c r="EM448" s="770"/>
      <c r="EN448" s="770"/>
      <c r="EO448" s="770"/>
      <c r="EP448" s="94"/>
      <c r="EQ448" s="770"/>
      <c r="ER448" s="770"/>
      <c r="ES448" s="770"/>
      <c r="ET448" s="770"/>
      <c r="EU448" s="770"/>
      <c r="EV448" s="770"/>
      <c r="EW448" s="770"/>
      <c r="EX448" s="770"/>
      <c r="EY448" s="770"/>
      <c r="EZ448" s="770"/>
      <c r="FA448" s="770"/>
      <c r="FB448" s="770"/>
      <c r="FC448" s="770"/>
      <c r="FD448" s="302"/>
      <c r="FE448" s="770"/>
      <c r="FF448" s="770"/>
      <c r="FG448" s="770"/>
      <c r="FH448" s="770"/>
      <c r="FI448" s="770"/>
      <c r="FJ448" s="770"/>
      <c r="FK448" s="770"/>
      <c r="FL448" s="770"/>
      <c r="FM448" s="302"/>
      <c r="FN448" s="302"/>
      <c r="FO448" s="302"/>
      <c r="FP448" s="770"/>
      <c r="FQ448" s="770"/>
      <c r="FR448" s="770"/>
      <c r="FS448" s="770"/>
      <c r="FT448" s="770"/>
      <c r="FU448" s="770"/>
      <c r="FV448" s="770"/>
      <c r="FW448" s="770"/>
      <c r="FX448" s="770"/>
      <c r="FY448" s="770"/>
      <c r="FZ448" s="770"/>
      <c r="GA448" s="770"/>
      <c r="GB448" s="770"/>
      <c r="GC448" s="308"/>
      <c r="GD448" s="297"/>
      <c r="GE448" s="770"/>
      <c r="GF448" s="302"/>
      <c r="GG448" s="302"/>
      <c r="GH448" s="1774"/>
      <c r="GI448" s="770"/>
      <c r="GJ448" s="770"/>
      <c r="GK448" s="770"/>
      <c r="GL448" s="770"/>
      <c r="GM448" s="770"/>
      <c r="GN448" s="299"/>
      <c r="GO448" s="770"/>
      <c r="GP448" s="770"/>
      <c r="GQ448" s="770"/>
      <c r="GR448" s="770"/>
      <c r="GS448" s="770"/>
      <c r="GT448" s="770"/>
      <c r="GU448" s="770"/>
      <c r="GV448" s="770"/>
      <c r="GW448" s="770"/>
      <c r="GX448" s="770"/>
      <c r="GY448" s="770"/>
      <c r="GZ448" s="770"/>
      <c r="HA448" s="770"/>
      <c r="HB448" s="770"/>
      <c r="HC448" s="770"/>
      <c r="HD448" s="770"/>
      <c r="HE448" s="770"/>
      <c r="HF448" s="770"/>
      <c r="HG448" s="770"/>
      <c r="HH448" s="770"/>
      <c r="HI448" s="770"/>
      <c r="HJ448" s="770"/>
      <c r="HK448" s="770"/>
      <c r="HL448" s="770"/>
      <c r="HM448" s="770"/>
      <c r="HN448" s="770"/>
      <c r="HO448" s="770"/>
      <c r="HP448" s="770"/>
      <c r="HQ448" s="770"/>
      <c r="HR448" s="770"/>
      <c r="HS448" s="770"/>
      <c r="HT448" s="770"/>
      <c r="HU448" s="770"/>
      <c r="HV448" s="770"/>
      <c r="HW448" s="770"/>
      <c r="HX448" s="770"/>
      <c r="HY448" s="770"/>
      <c r="HZ448" s="770"/>
      <c r="IA448" s="770"/>
      <c r="IB448" s="770"/>
      <c r="IC448" s="770"/>
      <c r="ID448" s="770"/>
      <c r="IE448" s="770"/>
      <c r="IF448" s="769" t="s">
        <v>2457</v>
      </c>
      <c r="IG448" s="769" t="s">
        <v>10</v>
      </c>
      <c r="IH448" s="769" t="s">
        <v>478</v>
      </c>
      <c r="II448" s="769" t="s">
        <v>2465</v>
      </c>
      <c r="IJ448" s="769" t="s">
        <v>1835</v>
      </c>
      <c r="IK448" s="769" t="s">
        <v>1888</v>
      </c>
      <c r="IL448" s="769" t="s">
        <v>2464</v>
      </c>
      <c r="IM448" s="769">
        <v>2016</v>
      </c>
      <c r="IN448" s="769" t="s">
        <v>2464</v>
      </c>
      <c r="IO448" s="329">
        <v>20077</v>
      </c>
      <c r="IP448" s="769" t="s">
        <v>7748</v>
      </c>
      <c r="IQ448" s="13" t="s">
        <v>8143</v>
      </c>
      <c r="IR448" s="769" t="s">
        <v>2716</v>
      </c>
      <c r="IS448" s="769" t="s">
        <v>1966</v>
      </c>
      <c r="IT448" s="769"/>
      <c r="IU448" s="769" t="s">
        <v>1208</v>
      </c>
      <c r="IV448" s="769"/>
      <c r="IW448" s="769" t="s">
        <v>2466</v>
      </c>
      <c r="IX448" s="769"/>
      <c r="IY448" s="769" t="s">
        <v>2459</v>
      </c>
      <c r="IZ448" s="770"/>
      <c r="JA448" s="770"/>
      <c r="JB448" s="770"/>
      <c r="JC448" s="770"/>
      <c r="JD448" s="302"/>
      <c r="JE448" s="770"/>
      <c r="JF448" s="770"/>
      <c r="JG448" s="770"/>
      <c r="JH448" s="307"/>
      <c r="JI448" s="307"/>
      <c r="JJ448" s="770">
        <v>6</v>
      </c>
      <c r="JK448" s="770" t="s">
        <v>2464</v>
      </c>
      <c r="JL448" s="770">
        <v>1</v>
      </c>
      <c r="JM448" s="770">
        <v>1</v>
      </c>
      <c r="JN448" s="770">
        <v>2</v>
      </c>
      <c r="JO448" s="770">
        <v>2</v>
      </c>
      <c r="JP448" s="770"/>
      <c r="JQ448" s="770"/>
      <c r="JR448" s="770"/>
      <c r="JS448" s="770"/>
      <c r="JT448" s="766">
        <f t="shared" si="120"/>
        <v>3</v>
      </c>
      <c r="JU448" s="766">
        <f t="shared" si="120"/>
        <v>3</v>
      </c>
      <c r="JV448" s="766"/>
      <c r="JW448" s="766"/>
      <c r="JX448" s="766"/>
      <c r="JY448" s="766"/>
      <c r="JZ448" s="766">
        <v>1</v>
      </c>
      <c r="KA448" s="766">
        <v>1</v>
      </c>
      <c r="KB448" s="766">
        <v>1</v>
      </c>
      <c r="KC448" s="766">
        <v>1</v>
      </c>
      <c r="KD448" s="766"/>
      <c r="KE448" s="766"/>
      <c r="KF448" s="766">
        <v>1</v>
      </c>
      <c r="KG448" s="766">
        <v>1</v>
      </c>
      <c r="KH448" s="766"/>
      <c r="KI448" s="766"/>
      <c r="KJ448" s="770">
        <f t="shared" si="103"/>
        <v>3</v>
      </c>
      <c r="KK448" s="770">
        <f t="shared" si="103"/>
        <v>3</v>
      </c>
      <c r="KL448" s="770"/>
      <c r="KM448" s="770"/>
      <c r="KN448" s="770" t="s">
        <v>707</v>
      </c>
      <c r="KO448" s="770"/>
      <c r="KP448" s="770"/>
      <c r="KQ448" s="770"/>
      <c r="KR448" s="770"/>
      <c r="KS448" s="770">
        <v>1</v>
      </c>
      <c r="KT448" s="770">
        <v>1</v>
      </c>
      <c r="KU448" s="770"/>
      <c r="KV448" s="770">
        <v>1</v>
      </c>
      <c r="KW448" s="770">
        <v>1</v>
      </c>
      <c r="KX448" s="770">
        <v>1</v>
      </c>
      <c r="KY448" s="770"/>
      <c r="KZ448" s="770"/>
      <c r="LA448" s="770">
        <v>1</v>
      </c>
      <c r="LB448" s="770"/>
      <c r="LC448" s="770"/>
      <c r="LD448" s="770"/>
      <c r="LE448" s="770"/>
      <c r="LF448" s="770"/>
      <c r="LG448" s="770"/>
      <c r="LH448" s="770"/>
      <c r="LI448" s="770"/>
      <c r="LJ448" s="770"/>
      <c r="LK448" s="770"/>
      <c r="LL448" s="770"/>
      <c r="LM448" s="770"/>
      <c r="LN448" s="766">
        <f t="shared" si="111"/>
        <v>3</v>
      </c>
      <c r="LO448" s="766">
        <f t="shared" si="111"/>
        <v>3</v>
      </c>
      <c r="LP448" s="770">
        <v>2</v>
      </c>
      <c r="LQ448" s="770"/>
      <c r="LR448" s="770"/>
      <c r="LS448" s="770">
        <v>2</v>
      </c>
      <c r="LT448" s="770"/>
      <c r="LU448" s="770"/>
      <c r="LV448" s="770"/>
      <c r="LW448" s="770"/>
      <c r="LX448" s="769">
        <v>1</v>
      </c>
      <c r="LY448" s="766" t="str">
        <f t="shared" si="119"/>
        <v>within the BRGY</v>
      </c>
      <c r="LZ448" s="299"/>
      <c r="MA448" s="1709"/>
      <c r="MB448" s="1709"/>
      <c r="MC448" s="1679">
        <f t="shared" si="110"/>
        <v>0</v>
      </c>
      <c r="MD448" s="1709"/>
      <c r="ME448" s="1709"/>
      <c r="MF448" s="1709">
        <f>12000+6000</f>
        <v>18000</v>
      </c>
      <c r="MG448" s="1680">
        <f>SUM(ME448:MF448)</f>
        <v>18000</v>
      </c>
      <c r="MH448" s="770" t="s">
        <v>13592</v>
      </c>
      <c r="MI448" s="302">
        <v>4000</v>
      </c>
      <c r="MJ448" s="302">
        <v>3000</v>
      </c>
      <c r="MK448" s="302">
        <v>3000</v>
      </c>
      <c r="ML448" s="302">
        <v>10000</v>
      </c>
      <c r="MM448" s="302"/>
      <c r="MN448" s="302"/>
      <c r="MO448" s="302">
        <v>900</v>
      </c>
      <c r="MP448" s="302">
        <v>1300</v>
      </c>
      <c r="MQ448" s="302">
        <v>600</v>
      </c>
      <c r="MR448" s="302">
        <v>500</v>
      </c>
      <c r="MS448" s="302">
        <f>20000/12</f>
        <v>1666.6666666666667</v>
      </c>
      <c r="MT448" s="302"/>
      <c r="MU448" s="302"/>
      <c r="MV448" s="302"/>
      <c r="MW448" s="302"/>
      <c r="MX448" s="302"/>
      <c r="MY448" s="1682">
        <f t="shared" si="102"/>
        <v>24966.666666666668</v>
      </c>
      <c r="MZ448" s="770" t="s">
        <v>13370</v>
      </c>
      <c r="NA448" s="770" t="s">
        <v>13005</v>
      </c>
      <c r="NB448" s="770" t="s">
        <v>13583</v>
      </c>
      <c r="NC448" s="766" t="s">
        <v>13523</v>
      </c>
      <c r="ND448" s="770">
        <v>1</v>
      </c>
      <c r="NE448" s="770">
        <v>0</v>
      </c>
      <c r="NF448" s="770">
        <v>1</v>
      </c>
      <c r="NG448" s="770">
        <v>4</v>
      </c>
      <c r="NH448" s="770">
        <v>2</v>
      </c>
      <c r="NI448" s="770">
        <v>1</v>
      </c>
      <c r="NJ448" s="770">
        <v>1</v>
      </c>
      <c r="NK448" s="770">
        <v>0</v>
      </c>
      <c r="NL448" s="770">
        <v>0</v>
      </c>
      <c r="NM448" s="770">
        <v>1</v>
      </c>
      <c r="NN448" s="770">
        <v>0</v>
      </c>
      <c r="NO448" s="770">
        <v>0</v>
      </c>
      <c r="NP448" s="770">
        <v>0</v>
      </c>
      <c r="NQ448" s="770">
        <v>0</v>
      </c>
      <c r="NR448" s="770">
        <v>0</v>
      </c>
      <c r="NS448" s="770">
        <v>0</v>
      </c>
      <c r="NT448" s="770">
        <v>0</v>
      </c>
      <c r="NU448" s="770">
        <v>0</v>
      </c>
      <c r="NV448" s="770">
        <v>0</v>
      </c>
      <c r="NW448" s="770">
        <v>0</v>
      </c>
      <c r="NX448" s="770">
        <v>0</v>
      </c>
      <c r="NY448" s="770" t="s">
        <v>1208</v>
      </c>
      <c r="NZ448" s="770"/>
      <c r="OA448" s="770"/>
      <c r="OB448" s="770" t="s">
        <v>1208</v>
      </c>
      <c r="OC448" s="770" t="s">
        <v>1208</v>
      </c>
      <c r="OD448" s="770"/>
      <c r="OE448" s="770"/>
      <c r="OF448" s="770"/>
      <c r="OG448" s="770"/>
      <c r="OH448" s="770"/>
      <c r="OI448" s="770"/>
      <c r="OJ448" s="770"/>
      <c r="OK448" s="770"/>
      <c r="OL448" s="770"/>
      <c r="OM448" s="770"/>
      <c r="ON448" s="770"/>
      <c r="OO448" s="770"/>
      <c r="OP448" s="770"/>
      <c r="OQ448" s="770"/>
      <c r="OR448" s="770"/>
      <c r="OS448" s="770"/>
      <c r="OT448" s="770"/>
      <c r="OU448" s="770"/>
      <c r="OV448" s="770"/>
      <c r="OW448" s="770"/>
      <c r="OX448" s="770"/>
      <c r="OY448" s="770"/>
      <c r="OZ448" s="770"/>
      <c r="PA448" s="770"/>
      <c r="PB448" s="770"/>
      <c r="PC448" s="770"/>
      <c r="PD448" s="770"/>
      <c r="PE448" s="770"/>
      <c r="PF448" s="770"/>
      <c r="PG448" s="770"/>
      <c r="PH448" s="770"/>
      <c r="PI448" s="770"/>
      <c r="PJ448" s="770"/>
      <c r="PK448" s="770"/>
      <c r="PL448" s="770"/>
      <c r="PM448" s="770"/>
      <c r="PN448" s="770"/>
      <c r="PO448" s="770"/>
      <c r="PP448" s="770"/>
      <c r="PQ448" s="770"/>
      <c r="PR448" s="770"/>
      <c r="PS448" s="770"/>
      <c r="PT448" s="770"/>
      <c r="PU448" s="770"/>
      <c r="PV448" s="770"/>
      <c r="PW448" s="770"/>
      <c r="PX448" s="770"/>
      <c r="PY448" s="770"/>
      <c r="PZ448" s="770"/>
      <c r="QA448" s="770"/>
      <c r="QB448" s="770"/>
      <c r="QC448" s="770"/>
      <c r="QD448" s="770"/>
      <c r="QE448" s="770"/>
      <c r="QF448" s="770"/>
      <c r="QG448" s="770"/>
      <c r="QH448" s="770"/>
      <c r="QI448" s="770"/>
      <c r="QJ448" s="770"/>
      <c r="QK448" s="770"/>
      <c r="QL448" s="770"/>
      <c r="QM448" s="770"/>
      <c r="QN448" s="770"/>
      <c r="QO448" s="770"/>
      <c r="QP448" s="770"/>
      <c r="QQ448" s="770"/>
      <c r="QR448" s="770"/>
      <c r="QS448" s="770"/>
      <c r="QT448" s="770"/>
      <c r="QU448" s="770"/>
      <c r="QV448" s="770"/>
      <c r="QW448" s="770"/>
      <c r="QX448" s="770"/>
      <c r="QY448" s="770"/>
      <c r="QZ448" s="770"/>
      <c r="RA448" s="770"/>
      <c r="RB448" s="770"/>
      <c r="RC448" s="770"/>
      <c r="RD448" s="770"/>
      <c r="RE448" s="770"/>
      <c r="RF448" s="304"/>
      <c r="RG448" s="770"/>
      <c r="RH448" s="302"/>
      <c r="RI448" s="770"/>
      <c r="RJ448" s="770"/>
      <c r="RK448" s="770"/>
      <c r="RL448" s="1710"/>
      <c r="RM448" s="12"/>
      <c r="RN448" s="1711"/>
      <c r="RO448" s="132" t="s">
        <v>2497</v>
      </c>
      <c r="RP448" s="11"/>
      <c r="RQ448" s="11"/>
      <c r="RR448" s="17"/>
      <c r="RS448" s="767"/>
      <c r="RT448" s="11"/>
      <c r="RU448" s="11"/>
      <c r="RV448" s="771" t="s">
        <v>7421</v>
      </c>
      <c r="RW448" s="11" t="s">
        <v>7743</v>
      </c>
      <c r="RX448" s="11" t="s">
        <v>2471</v>
      </c>
      <c r="RY448" s="11"/>
      <c r="RZ448" s="11" t="s">
        <v>1101</v>
      </c>
      <c r="SA448" s="771"/>
      <c r="SB448" s="11"/>
      <c r="SC448" s="11"/>
    </row>
    <row r="449" spans="1:497" ht="12.75" customHeight="1">
      <c r="A449" s="19" t="s">
        <v>14205</v>
      </c>
      <c r="B449" s="752" t="s">
        <v>7688</v>
      </c>
      <c r="C449" s="132" t="s">
        <v>2497</v>
      </c>
      <c r="D449" s="94" t="s">
        <v>2501</v>
      </c>
      <c r="E449" s="766" t="s">
        <v>7930</v>
      </c>
      <c r="F449" s="770" t="s">
        <v>28</v>
      </c>
      <c r="G449" s="770" t="s">
        <v>10</v>
      </c>
      <c r="H449" s="770"/>
      <c r="I449" s="295" t="s">
        <v>2502</v>
      </c>
      <c r="J449" s="94" t="s">
        <v>2501</v>
      </c>
      <c r="K449" s="766"/>
      <c r="L449" s="766"/>
      <c r="M449" s="770"/>
      <c r="N449" s="770"/>
      <c r="O449" s="770"/>
      <c r="P449" s="770" t="s">
        <v>2503</v>
      </c>
      <c r="Q449" s="1088"/>
      <c r="R449" s="297"/>
      <c r="S449" s="770" t="s">
        <v>10</v>
      </c>
      <c r="T449" s="770"/>
      <c r="U449" s="298"/>
      <c r="V449" s="770"/>
      <c r="W449" s="770"/>
      <c r="X449" s="770"/>
      <c r="Y449" s="770"/>
      <c r="Z449" s="770"/>
      <c r="AA449" s="770"/>
      <c r="AB449" s="770"/>
      <c r="AC449" s="770"/>
      <c r="AD449" s="770"/>
      <c r="AE449" s="770"/>
      <c r="AF449" s="770"/>
      <c r="AG449" s="770"/>
      <c r="AH449" s="770"/>
      <c r="AI449" s="770"/>
      <c r="AJ449" s="770"/>
      <c r="AK449" s="770" t="s">
        <v>1101</v>
      </c>
      <c r="AL449" s="531"/>
      <c r="AM449" s="780"/>
      <c r="AN449" s="532"/>
      <c r="AO449" s="766"/>
      <c r="AP449" s="766"/>
      <c r="AQ449" s="766"/>
      <c r="AR449" s="766"/>
      <c r="AS449" s="770"/>
      <c r="AT449" s="770"/>
      <c r="AU449" s="770"/>
      <c r="AV449" s="770"/>
      <c r="AW449" s="770"/>
      <c r="AX449" s="770"/>
      <c r="AY449" s="770"/>
      <c r="AZ449" s="770"/>
      <c r="BA449" s="770"/>
      <c r="BB449" s="770"/>
      <c r="BC449" s="770"/>
      <c r="BD449" s="770"/>
      <c r="BE449" s="770"/>
      <c r="BF449" s="302"/>
      <c r="BG449" s="302"/>
      <c r="BH449" s="770"/>
      <c r="BI449" s="770"/>
      <c r="BJ449" s="770"/>
      <c r="BK449" s="770"/>
      <c r="BL449" s="770"/>
      <c r="BM449" s="770" t="s">
        <v>12385</v>
      </c>
      <c r="BN449" s="770" t="s">
        <v>1260</v>
      </c>
      <c r="BO449" s="770"/>
      <c r="BP449" s="765"/>
      <c r="BQ449" s="773"/>
      <c r="BR449" s="774"/>
      <c r="BS449" s="769" t="s">
        <v>1257</v>
      </c>
      <c r="BT449" s="770"/>
      <c r="BU449" s="770"/>
      <c r="BV449" s="770"/>
      <c r="BW449" s="770"/>
      <c r="BX449" s="302"/>
      <c r="BY449" s="770"/>
      <c r="BZ449" s="302"/>
      <c r="CA449" s="770"/>
      <c r="CB449" s="770"/>
      <c r="CC449" s="770"/>
      <c r="CD449" s="770"/>
      <c r="CE449" s="770"/>
      <c r="CF449" s="1753"/>
      <c r="CG449" s="1754"/>
      <c r="CH449" s="770"/>
      <c r="CI449" s="770"/>
      <c r="CJ449" s="770"/>
      <c r="CK449" s="770"/>
      <c r="CL449" s="770"/>
      <c r="CM449" s="770"/>
      <c r="CN449" s="770"/>
      <c r="CO449" s="770"/>
      <c r="CP449" s="770"/>
      <c r="CQ449" s="770"/>
      <c r="CR449" s="302"/>
      <c r="CS449" s="770"/>
      <c r="CT449" s="770"/>
      <c r="CU449" s="305"/>
      <c r="CV449" s="770"/>
      <c r="CW449" s="770"/>
      <c r="CX449" s="770"/>
      <c r="CY449" s="770"/>
      <c r="CZ449" s="770"/>
      <c r="DA449" s="306"/>
      <c r="DB449" s="770"/>
      <c r="DC449" s="770"/>
      <c r="DD449" s="770"/>
      <c r="DE449" s="300"/>
      <c r="DF449" s="770"/>
      <c r="DG449" s="770"/>
      <c r="DH449" s="770"/>
      <c r="DI449" s="770"/>
      <c r="DJ449" s="770"/>
      <c r="DK449" s="770"/>
      <c r="DL449" s="770"/>
      <c r="DM449" s="770"/>
      <c r="DN449" s="322"/>
      <c r="DO449" s="770"/>
      <c r="DP449" s="770"/>
      <c r="DQ449" s="770"/>
      <c r="DR449" s="770"/>
      <c r="DS449" s="307"/>
      <c r="DT449" s="770"/>
      <c r="DU449" s="770"/>
      <c r="DV449" s="770"/>
      <c r="DW449" s="306"/>
      <c r="DX449" s="306"/>
      <c r="DY449" s="770"/>
      <c r="DZ449" s="770"/>
      <c r="EA449" s="770"/>
      <c r="EB449" s="770"/>
      <c r="EC449" s="770"/>
      <c r="ED449" s="770"/>
      <c r="EE449" s="770"/>
      <c r="EF449" s="770"/>
      <c r="EG449" s="770"/>
      <c r="EH449" s="770"/>
      <c r="EI449" s="770"/>
      <c r="EJ449" s="770"/>
      <c r="EK449" s="770"/>
      <c r="EL449" s="770"/>
      <c r="EM449" s="770"/>
      <c r="EN449" s="770"/>
      <c r="EO449" s="770"/>
      <c r="EP449" s="94"/>
      <c r="EQ449" s="770"/>
      <c r="ER449" s="770"/>
      <c r="ES449" s="770"/>
      <c r="ET449" s="770"/>
      <c r="EU449" s="770"/>
      <c r="EV449" s="770"/>
      <c r="EW449" s="770"/>
      <c r="EX449" s="770"/>
      <c r="EY449" s="770"/>
      <c r="EZ449" s="770"/>
      <c r="FA449" s="770"/>
      <c r="FB449" s="770"/>
      <c r="FC449" s="770"/>
      <c r="FD449" s="302"/>
      <c r="FE449" s="770"/>
      <c r="FF449" s="770"/>
      <c r="FG449" s="770"/>
      <c r="FH449" s="770" t="s">
        <v>1306</v>
      </c>
      <c r="FI449" s="770">
        <v>1</v>
      </c>
      <c r="FJ449" s="770" t="s">
        <v>2500</v>
      </c>
      <c r="FK449" s="770"/>
      <c r="FL449" s="770" t="s">
        <v>3483</v>
      </c>
      <c r="FM449" s="147">
        <v>3000</v>
      </c>
      <c r="FN449" s="302"/>
      <c r="FO449" s="302"/>
      <c r="FP449" s="770" t="s">
        <v>1602</v>
      </c>
      <c r="FQ449" s="770" t="s">
        <v>1660</v>
      </c>
      <c r="FR449" s="770"/>
      <c r="FS449" s="770"/>
      <c r="FT449" s="770"/>
      <c r="FU449" s="770"/>
      <c r="FV449" s="770"/>
      <c r="FW449" s="770"/>
      <c r="FX449" s="770"/>
      <c r="FY449" s="770"/>
      <c r="FZ449" s="770"/>
      <c r="GA449" s="770"/>
      <c r="GB449" s="770"/>
      <c r="GC449" s="308"/>
      <c r="GD449" s="297"/>
      <c r="GE449" s="770"/>
      <c r="GF449" s="302"/>
      <c r="GG449" s="302"/>
      <c r="GH449" s="770"/>
      <c r="GI449" s="770"/>
      <c r="GJ449" s="770"/>
      <c r="GK449" s="770"/>
      <c r="GL449" s="770"/>
      <c r="GM449" s="770"/>
      <c r="GN449" s="299"/>
      <c r="GO449" s="770"/>
      <c r="GP449" s="770"/>
      <c r="GQ449" s="770"/>
      <c r="GR449" s="770"/>
      <c r="GS449" s="770"/>
      <c r="GT449" s="770"/>
      <c r="GU449" s="770"/>
      <c r="GV449" s="770"/>
      <c r="GW449" s="770"/>
      <c r="GX449" s="770"/>
      <c r="GY449" s="770"/>
      <c r="GZ449" s="770"/>
      <c r="HA449" s="770"/>
      <c r="HB449" s="770"/>
      <c r="HC449" s="770"/>
      <c r="HD449" s="770"/>
      <c r="HE449" s="770"/>
      <c r="HF449" s="770"/>
      <c r="HG449" s="770"/>
      <c r="HH449" s="770"/>
      <c r="HI449" s="770"/>
      <c r="HJ449" s="770"/>
      <c r="HK449" s="770"/>
      <c r="HL449" s="770"/>
      <c r="HM449" s="770"/>
      <c r="HN449" s="770"/>
      <c r="HO449" s="770"/>
      <c r="HP449" s="770"/>
      <c r="HQ449" s="770"/>
      <c r="HR449" s="770"/>
      <c r="HS449" s="770"/>
      <c r="HT449" s="770"/>
      <c r="HU449" s="770"/>
      <c r="HV449" s="770"/>
      <c r="HW449" s="770"/>
      <c r="HX449" s="770"/>
      <c r="HY449" s="770"/>
      <c r="HZ449" s="770"/>
      <c r="IA449" s="770"/>
      <c r="IB449" s="770" t="s">
        <v>1207</v>
      </c>
      <c r="IC449" s="770"/>
      <c r="ID449" s="770">
        <v>1</v>
      </c>
      <c r="IE449" s="770">
        <v>1</v>
      </c>
      <c r="IF449" s="770"/>
      <c r="IG449" s="770"/>
      <c r="IH449" s="770"/>
      <c r="II449" s="766"/>
      <c r="IJ449" s="770"/>
      <c r="IK449" s="770"/>
      <c r="IL449" s="770"/>
      <c r="IM449" s="770"/>
      <c r="IN449" s="770"/>
      <c r="IO449" s="296"/>
      <c r="IP449" s="770"/>
      <c r="IQ449" s="766"/>
      <c r="IR449" s="766"/>
      <c r="IS449" s="770"/>
      <c r="IT449" s="770"/>
      <c r="IU449" s="770"/>
      <c r="IV449" s="770"/>
      <c r="IW449" s="770"/>
      <c r="IX449" s="770"/>
      <c r="IY449" s="770"/>
      <c r="IZ449" s="770"/>
      <c r="JA449" s="770"/>
      <c r="JB449" s="770"/>
      <c r="JC449" s="770"/>
      <c r="JD449" s="302"/>
      <c r="JE449" s="770"/>
      <c r="JF449" s="770"/>
      <c r="JG449" s="770"/>
      <c r="JH449" s="307"/>
      <c r="JI449" s="307"/>
      <c r="JJ449" s="770"/>
      <c r="JK449" s="770"/>
      <c r="JL449" s="770"/>
      <c r="JM449" s="770"/>
      <c r="JN449" s="770"/>
      <c r="JO449" s="770"/>
      <c r="JP449" s="770"/>
      <c r="JQ449" s="770"/>
      <c r="JR449" s="770"/>
      <c r="JS449" s="770"/>
      <c r="JT449" s="766"/>
      <c r="JU449" s="766"/>
      <c r="JV449" s="766"/>
      <c r="JW449" s="766"/>
      <c r="JX449" s="770"/>
      <c r="JY449" s="770"/>
      <c r="JZ449" s="770"/>
      <c r="KA449" s="770"/>
      <c r="KB449" s="770"/>
      <c r="KC449" s="770"/>
      <c r="KD449" s="770"/>
      <c r="KE449" s="770"/>
      <c r="KF449" s="770"/>
      <c r="KG449" s="770"/>
      <c r="KH449" s="770"/>
      <c r="KI449" s="770"/>
      <c r="KJ449" s="770"/>
      <c r="KK449" s="770"/>
      <c r="KL449" s="770"/>
      <c r="KM449" s="770"/>
      <c r="KN449" s="770"/>
      <c r="KO449" s="770"/>
      <c r="KP449" s="770"/>
      <c r="KQ449" s="770"/>
      <c r="KR449" s="770"/>
      <c r="KS449" s="770"/>
      <c r="KT449" s="770"/>
      <c r="KU449" s="770"/>
      <c r="KV449" s="770"/>
      <c r="KW449" s="770"/>
      <c r="KX449" s="770"/>
      <c r="KY449" s="770"/>
      <c r="KZ449" s="770"/>
      <c r="LA449" s="770"/>
      <c r="LB449" s="770"/>
      <c r="LC449" s="770"/>
      <c r="LD449" s="770"/>
      <c r="LE449" s="770"/>
      <c r="LF449" s="770"/>
      <c r="LG449" s="770"/>
      <c r="LH449" s="770"/>
      <c r="LI449" s="770"/>
      <c r="LJ449" s="770"/>
      <c r="LK449" s="770"/>
      <c r="LL449" s="770"/>
      <c r="LM449" s="770"/>
      <c r="LN449" s="766"/>
      <c r="LO449" s="766"/>
      <c r="LP449" s="770"/>
      <c r="LQ449" s="770"/>
      <c r="LR449" s="770"/>
      <c r="LS449" s="770"/>
      <c r="LT449" s="770"/>
      <c r="LU449" s="770"/>
      <c r="LV449" s="770"/>
      <c r="LW449" s="770"/>
      <c r="LX449" s="769"/>
      <c r="LY449" s="766" t="str">
        <f t="shared" si="119"/>
        <v/>
      </c>
      <c r="LZ449" s="1709"/>
      <c r="MA449" s="1709"/>
      <c r="MB449" s="1709"/>
      <c r="MC449" s="1679">
        <f t="shared" si="110"/>
        <v>0</v>
      </c>
      <c r="MD449" s="1709"/>
      <c r="ME449" s="1709"/>
      <c r="MF449" s="1709"/>
      <c r="MG449" s="1680">
        <f t="shared" ref="MG449:MG498" si="121">SUM(MD449:MF449)</f>
        <v>0</v>
      </c>
      <c r="MH449" s="770"/>
      <c r="MI449" s="302"/>
      <c r="MJ449" s="302"/>
      <c r="MK449" s="302"/>
      <c r="ML449" s="302"/>
      <c r="MM449" s="302"/>
      <c r="MN449" s="302"/>
      <c r="MO449" s="302"/>
      <c r="MP449" s="302"/>
      <c r="MQ449" s="302"/>
      <c r="MR449" s="302"/>
      <c r="MS449" s="302"/>
      <c r="MT449" s="302"/>
      <c r="MU449" s="302"/>
      <c r="MV449" s="302"/>
      <c r="MW449" s="302"/>
      <c r="MX449" s="302"/>
      <c r="MY449" s="1682">
        <f t="shared" si="102"/>
        <v>0</v>
      </c>
      <c r="MZ449" s="770"/>
      <c r="NA449" s="770"/>
      <c r="NB449" s="770"/>
      <c r="NC449" s="770"/>
      <c r="ND449" s="770"/>
      <c r="NE449" s="770"/>
      <c r="NF449" s="770"/>
      <c r="NG449" s="770"/>
      <c r="NH449" s="770"/>
      <c r="NI449" s="770"/>
      <c r="NJ449" s="770"/>
      <c r="NK449" s="770"/>
      <c r="NL449" s="770"/>
      <c r="NM449" s="770"/>
      <c r="NN449" s="770"/>
      <c r="NO449" s="770"/>
      <c r="NP449" s="770"/>
      <c r="NQ449" s="770"/>
      <c r="NR449" s="770"/>
      <c r="NS449" s="770"/>
      <c r="NT449" s="770"/>
      <c r="NU449" s="770"/>
      <c r="NV449" s="770"/>
      <c r="NW449" s="770"/>
      <c r="NX449" s="770"/>
      <c r="NY449" s="770"/>
      <c r="NZ449" s="770"/>
      <c r="OA449" s="770"/>
      <c r="OB449" s="770"/>
      <c r="OC449" s="770"/>
      <c r="OD449" s="770"/>
      <c r="OE449" s="770"/>
      <c r="OF449" s="770"/>
      <c r="OG449" s="770"/>
      <c r="OH449" s="770"/>
      <c r="OI449" s="770"/>
      <c r="OJ449" s="770"/>
      <c r="OK449" s="770"/>
      <c r="OL449" s="770"/>
      <c r="OM449" s="770"/>
      <c r="ON449" s="770"/>
      <c r="OO449" s="770"/>
      <c r="OP449" s="770"/>
      <c r="OQ449" s="770"/>
      <c r="OR449" s="770"/>
      <c r="OS449" s="770"/>
      <c r="OT449" s="770"/>
      <c r="OU449" s="770"/>
      <c r="OV449" s="770"/>
      <c r="OW449" s="770"/>
      <c r="OX449" s="770"/>
      <c r="OY449" s="770"/>
      <c r="OZ449" s="770"/>
      <c r="PA449" s="770"/>
      <c r="PB449" s="770"/>
      <c r="PC449" s="770"/>
      <c r="PD449" s="770"/>
      <c r="PE449" s="770"/>
      <c r="PF449" s="770"/>
      <c r="PG449" s="770"/>
      <c r="PH449" s="770"/>
      <c r="PI449" s="770"/>
      <c r="PJ449" s="770"/>
      <c r="PK449" s="770"/>
      <c r="PL449" s="770"/>
      <c r="PM449" s="770"/>
      <c r="PN449" s="770"/>
      <c r="PO449" s="770"/>
      <c r="PP449" s="770"/>
      <c r="PQ449" s="770"/>
      <c r="PR449" s="770"/>
      <c r="PS449" s="770"/>
      <c r="PT449" s="770"/>
      <c r="PU449" s="770"/>
      <c r="PV449" s="770"/>
      <c r="PW449" s="770"/>
      <c r="PX449" s="770"/>
      <c r="PY449" s="770"/>
      <c r="PZ449" s="770"/>
      <c r="QA449" s="770"/>
      <c r="QB449" s="770"/>
      <c r="QC449" s="770"/>
      <c r="QD449" s="770"/>
      <c r="QE449" s="770"/>
      <c r="QF449" s="770"/>
      <c r="QG449" s="770"/>
      <c r="QH449" s="770"/>
      <c r="QI449" s="770"/>
      <c r="QJ449" s="770"/>
      <c r="QK449" s="770"/>
      <c r="QL449" s="770"/>
      <c r="QM449" s="770"/>
      <c r="QN449" s="770"/>
      <c r="QO449" s="770"/>
      <c r="QP449" s="770"/>
      <c r="QQ449" s="770"/>
      <c r="QR449" s="770"/>
      <c r="QS449" s="770"/>
      <c r="QT449" s="770"/>
      <c r="QU449" s="770"/>
      <c r="QV449" s="770"/>
      <c r="QW449" s="770"/>
      <c r="QX449" s="770"/>
      <c r="QY449" s="770"/>
      <c r="QZ449" s="770"/>
      <c r="RA449" s="770"/>
      <c r="RB449" s="770"/>
      <c r="RC449" s="770"/>
      <c r="RD449" s="770"/>
      <c r="RE449" s="770"/>
      <c r="RF449" s="304"/>
      <c r="RG449" s="770"/>
      <c r="RH449" s="302"/>
      <c r="RI449" s="770"/>
      <c r="RJ449" s="770" t="s">
        <v>13593</v>
      </c>
      <c r="RK449" s="770" t="s">
        <v>13556</v>
      </c>
      <c r="RL449" s="1710"/>
      <c r="RM449" s="12"/>
      <c r="RN449" s="1711"/>
      <c r="RO449" s="132" t="s">
        <v>2497</v>
      </c>
      <c r="RP449" s="11"/>
      <c r="RQ449" s="11"/>
      <c r="RR449" s="17"/>
      <c r="RS449" s="767"/>
      <c r="RT449" s="11"/>
      <c r="RU449" s="11"/>
      <c r="RV449" s="771" t="s">
        <v>7421</v>
      </c>
      <c r="RW449" s="11" t="s">
        <v>7687</v>
      </c>
      <c r="RX449" s="11" t="s">
        <v>2486</v>
      </c>
      <c r="RY449" s="11"/>
      <c r="RZ449" s="11"/>
      <c r="SA449" s="771"/>
      <c r="SB449" s="11"/>
      <c r="SC449" s="11"/>
    </row>
    <row r="450" spans="1:497" ht="12.75" customHeight="1">
      <c r="A450" s="343" t="s">
        <v>7421</v>
      </c>
      <c r="B450" s="1007" t="s">
        <v>8105</v>
      </c>
      <c r="C450" s="132" t="s">
        <v>2504</v>
      </c>
      <c r="D450" s="94" t="s">
        <v>2505</v>
      </c>
      <c r="E450" s="766" t="s">
        <v>2488</v>
      </c>
      <c r="F450" s="770" t="s">
        <v>28</v>
      </c>
      <c r="G450" s="770" t="s">
        <v>10</v>
      </c>
      <c r="H450" s="770"/>
      <c r="I450" s="295" t="s">
        <v>2506</v>
      </c>
      <c r="J450" s="94" t="s">
        <v>2505</v>
      </c>
      <c r="K450" s="766" t="s">
        <v>2507</v>
      </c>
      <c r="L450" s="323" t="s">
        <v>2518</v>
      </c>
      <c r="M450" s="770" t="s">
        <v>1238</v>
      </c>
      <c r="N450" s="770"/>
      <c r="O450" s="770" t="s">
        <v>2508</v>
      </c>
      <c r="P450" s="770" t="s">
        <v>2509</v>
      </c>
      <c r="Q450" s="1088">
        <v>29136</v>
      </c>
      <c r="R450" s="297">
        <v>37</v>
      </c>
      <c r="S450" s="770" t="s">
        <v>10</v>
      </c>
      <c r="T450" s="770"/>
      <c r="U450" s="298" t="s">
        <v>2506</v>
      </c>
      <c r="V450" s="770" t="s">
        <v>707</v>
      </c>
      <c r="W450" s="770"/>
      <c r="X450" s="770"/>
      <c r="Y450" s="770" t="s">
        <v>2488</v>
      </c>
      <c r="Z450" s="770" t="s">
        <v>708</v>
      </c>
      <c r="AA450" s="770" t="s">
        <v>709</v>
      </c>
      <c r="AB450" s="770" t="s">
        <v>710</v>
      </c>
      <c r="AC450" s="770" t="s">
        <v>724</v>
      </c>
      <c r="AD450" s="770" t="s">
        <v>711</v>
      </c>
      <c r="AE450" s="770"/>
      <c r="AF450" s="770" t="s">
        <v>712</v>
      </c>
      <c r="AG450" s="766" t="s">
        <v>1132</v>
      </c>
      <c r="AH450" s="766" t="s">
        <v>1096</v>
      </c>
      <c r="AI450" s="770" t="s">
        <v>2510</v>
      </c>
      <c r="AJ450" s="770"/>
      <c r="AK450" s="770" t="s">
        <v>1101</v>
      </c>
      <c r="AL450" s="531">
        <v>12</v>
      </c>
      <c r="AM450" s="780">
        <v>0.6</v>
      </c>
      <c r="AN450" s="532">
        <f>AM450/AL450</f>
        <v>4.9999999999999996E-2</v>
      </c>
      <c r="AO450" s="766" t="s">
        <v>1098</v>
      </c>
      <c r="AP450" s="766" t="s">
        <v>11906</v>
      </c>
      <c r="AQ450" s="766"/>
      <c r="AR450" s="766"/>
      <c r="AS450" s="770" t="s">
        <v>1207</v>
      </c>
      <c r="AT450" s="770" t="s">
        <v>1208</v>
      </c>
      <c r="AU450" s="770" t="s">
        <v>1208</v>
      </c>
      <c r="AV450" s="770"/>
      <c r="AW450" s="770"/>
      <c r="AX450" s="13"/>
      <c r="AY450" s="770"/>
      <c r="AZ450" s="770"/>
      <c r="BA450" s="770"/>
      <c r="BB450" s="770"/>
      <c r="BC450" s="770" t="s">
        <v>853</v>
      </c>
      <c r="BD450" s="770" t="s">
        <v>1207</v>
      </c>
      <c r="BE450" s="770" t="s">
        <v>1214</v>
      </c>
      <c r="BF450" s="302"/>
      <c r="BG450" s="302"/>
      <c r="BH450" s="770"/>
      <c r="BI450" s="770"/>
      <c r="BJ450" s="770"/>
      <c r="BK450" s="770" t="s">
        <v>1095</v>
      </c>
      <c r="BL450" s="770" t="s">
        <v>2511</v>
      </c>
      <c r="BM450" s="766" t="s">
        <v>1096</v>
      </c>
      <c r="BN450" s="770" t="s">
        <v>1230</v>
      </c>
      <c r="BO450" s="770" t="s">
        <v>1275</v>
      </c>
      <c r="BP450" s="776">
        <v>12</v>
      </c>
      <c r="BQ450" s="773">
        <v>0.6</v>
      </c>
      <c r="BR450" s="774">
        <f>BQ450/BP450</f>
        <v>4.9999999999999996E-2</v>
      </c>
      <c r="BS450" s="766" t="s">
        <v>1242</v>
      </c>
      <c r="BT450" s="766" t="s">
        <v>8133</v>
      </c>
      <c r="BU450" s="769"/>
      <c r="BV450" s="769"/>
      <c r="BW450" s="769"/>
      <c r="BX450" s="302"/>
      <c r="BY450" s="770"/>
      <c r="BZ450" s="302"/>
      <c r="CA450" s="770"/>
      <c r="CB450" s="770" t="s">
        <v>1207</v>
      </c>
      <c r="CC450" s="770"/>
      <c r="CD450" s="770"/>
      <c r="CE450" s="770"/>
      <c r="CF450" s="1753"/>
      <c r="CG450" s="1754"/>
      <c r="CH450" s="770"/>
      <c r="CI450" s="770"/>
      <c r="CJ450" s="770"/>
      <c r="CK450" s="770"/>
      <c r="CL450" s="770"/>
      <c r="CM450" s="770"/>
      <c r="CN450" s="770"/>
      <c r="CO450" s="770"/>
      <c r="CP450" s="770"/>
      <c r="CQ450" s="770"/>
      <c r="CR450" s="302"/>
      <c r="CS450" s="770"/>
      <c r="CT450" s="770"/>
      <c r="CU450" s="305"/>
      <c r="CV450" s="770"/>
      <c r="CW450" s="770"/>
      <c r="CX450" s="770"/>
      <c r="CY450" s="770"/>
      <c r="CZ450" s="770"/>
      <c r="DA450" s="306"/>
      <c r="DB450" s="770"/>
      <c r="DC450" s="770"/>
      <c r="DD450" s="770"/>
      <c r="DE450" s="300"/>
      <c r="DF450" s="770"/>
      <c r="DG450" s="770"/>
      <c r="DH450" s="770"/>
      <c r="DI450" s="770"/>
      <c r="DJ450" s="770"/>
      <c r="DK450" s="770"/>
      <c r="DL450" s="770"/>
      <c r="DM450" s="770"/>
      <c r="DN450" s="322"/>
      <c r="DO450" s="770"/>
      <c r="DP450" s="770"/>
      <c r="DQ450" s="770"/>
      <c r="DR450" s="770"/>
      <c r="DS450" s="307"/>
      <c r="DT450" s="770"/>
      <c r="DU450" s="770"/>
      <c r="DV450" s="770"/>
      <c r="DW450" s="306"/>
      <c r="DX450" s="306"/>
      <c r="DY450" s="770"/>
      <c r="DZ450" s="770"/>
      <c r="EA450" s="770"/>
      <c r="EB450" s="770"/>
      <c r="EC450" s="770"/>
      <c r="ED450" s="770"/>
      <c r="EE450" s="770"/>
      <c r="EF450" s="770"/>
      <c r="EG450" s="770"/>
      <c r="EH450" s="770"/>
      <c r="EI450" s="770"/>
      <c r="EJ450" s="770"/>
      <c r="EK450" s="770"/>
      <c r="EL450" s="770"/>
      <c r="EM450" s="770"/>
      <c r="EN450" s="770"/>
      <c r="EO450" s="770"/>
      <c r="EP450" s="94"/>
      <c r="EQ450" s="770"/>
      <c r="ER450" s="770"/>
      <c r="ES450" s="770"/>
      <c r="ET450" s="770"/>
      <c r="EU450" s="770"/>
      <c r="EV450" s="770"/>
      <c r="EW450" s="770"/>
      <c r="EX450" s="770"/>
      <c r="EY450" s="770"/>
      <c r="EZ450" s="770" t="s">
        <v>2512</v>
      </c>
      <c r="FA450" s="770"/>
      <c r="FB450" s="1776" t="s">
        <v>1257</v>
      </c>
      <c r="FC450" s="770"/>
      <c r="FD450" s="302"/>
      <c r="FE450" s="770"/>
      <c r="FF450" s="770" t="s">
        <v>2513</v>
      </c>
      <c r="FG450" s="770"/>
      <c r="FH450" s="770" t="s">
        <v>478</v>
      </c>
      <c r="FI450" s="770">
        <v>1</v>
      </c>
      <c r="FJ450" s="770"/>
      <c r="FK450" s="770"/>
      <c r="FL450" s="770"/>
      <c r="FM450" s="302"/>
      <c r="FN450" s="302"/>
      <c r="FO450" s="302"/>
      <c r="FP450" s="770" t="s">
        <v>1600</v>
      </c>
      <c r="FQ450" s="770" t="s">
        <v>1642</v>
      </c>
      <c r="FR450" s="770" t="s">
        <v>1207</v>
      </c>
      <c r="FS450" s="770" t="s">
        <v>1208</v>
      </c>
      <c r="FT450" s="770" t="s">
        <v>1208</v>
      </c>
      <c r="FU450" s="770"/>
      <c r="FV450" s="770"/>
      <c r="FW450" s="770"/>
      <c r="FX450" s="770" t="s">
        <v>1208</v>
      </c>
      <c r="FY450" s="770"/>
      <c r="FZ450" s="770"/>
      <c r="GA450" s="770"/>
      <c r="GB450" s="770" t="s">
        <v>853</v>
      </c>
      <c r="GC450" s="308" t="s">
        <v>2514</v>
      </c>
      <c r="GD450" s="297">
        <v>2016</v>
      </c>
      <c r="GE450" s="770" t="s">
        <v>1214</v>
      </c>
      <c r="GF450" s="302"/>
      <c r="GG450" s="302"/>
      <c r="GH450" s="770"/>
      <c r="GI450" s="770"/>
      <c r="GJ450" s="770"/>
      <c r="GK450" s="770"/>
      <c r="GL450" s="770"/>
      <c r="GM450" s="770"/>
      <c r="GN450" s="299"/>
      <c r="GO450" s="770"/>
      <c r="GP450" s="770"/>
      <c r="GQ450" s="770"/>
      <c r="GR450" s="770"/>
      <c r="GS450" s="770"/>
      <c r="GT450" s="770"/>
      <c r="GU450" s="770"/>
      <c r="GV450" s="770"/>
      <c r="GW450" s="770"/>
      <c r="GX450" s="770"/>
      <c r="GY450" s="770"/>
      <c r="GZ450" s="770"/>
      <c r="HA450" s="770"/>
      <c r="HB450" s="770"/>
      <c r="HC450" s="770"/>
      <c r="HD450" s="770"/>
      <c r="HE450" s="770"/>
      <c r="HF450" s="770"/>
      <c r="HG450" s="770"/>
      <c r="HH450" s="770"/>
      <c r="HI450" s="770"/>
      <c r="HJ450" s="770"/>
      <c r="HK450" s="770"/>
      <c r="HL450" s="770"/>
      <c r="HM450" s="770"/>
      <c r="HN450" s="770"/>
      <c r="HO450" s="770"/>
      <c r="HP450" s="770"/>
      <c r="HQ450" s="770"/>
      <c r="HR450" s="770">
        <v>4</v>
      </c>
      <c r="HS450" s="770">
        <v>1</v>
      </c>
      <c r="HT450" s="770"/>
      <c r="HU450" s="770"/>
      <c r="HV450" s="770"/>
      <c r="HW450" s="770"/>
      <c r="HX450" s="770"/>
      <c r="HY450" s="770"/>
      <c r="HZ450" s="770"/>
      <c r="IA450" s="770"/>
      <c r="IB450" s="770"/>
      <c r="IC450" s="770"/>
      <c r="ID450" s="770">
        <v>1</v>
      </c>
      <c r="IE450" s="770"/>
      <c r="IF450" s="770"/>
      <c r="IG450" s="770"/>
      <c r="IH450" s="770"/>
      <c r="II450" s="770"/>
      <c r="IJ450" s="770"/>
      <c r="IK450" s="770"/>
      <c r="IL450" s="770"/>
      <c r="IM450" s="770"/>
      <c r="IN450" s="770"/>
      <c r="IO450" s="296"/>
      <c r="IP450" s="770"/>
      <c r="IQ450" s="770"/>
      <c r="IR450" s="770"/>
      <c r="IS450" s="770"/>
      <c r="IT450" s="770"/>
      <c r="IU450" s="770"/>
      <c r="IV450" s="770"/>
      <c r="IW450" s="770"/>
      <c r="IX450" s="770"/>
      <c r="IY450" s="770"/>
      <c r="IZ450" s="770"/>
      <c r="JA450" s="770"/>
      <c r="JB450" s="770"/>
      <c r="JC450" s="770"/>
      <c r="JD450" s="302"/>
      <c r="JE450" s="770"/>
      <c r="JF450" s="770"/>
      <c r="JG450" s="770"/>
      <c r="JH450" s="307"/>
      <c r="JI450" s="307"/>
      <c r="JJ450" s="770"/>
      <c r="JK450" s="770"/>
      <c r="JL450" s="770"/>
      <c r="JM450" s="770"/>
      <c r="JN450" s="770"/>
      <c r="JO450" s="770"/>
      <c r="JP450" s="770"/>
      <c r="JQ450" s="770"/>
      <c r="JR450" s="770"/>
      <c r="JS450" s="770"/>
      <c r="JT450" s="766"/>
      <c r="JU450" s="766"/>
      <c r="JV450" s="766"/>
      <c r="JW450" s="766"/>
      <c r="JX450" s="770"/>
      <c r="JY450" s="770"/>
      <c r="JZ450" s="770"/>
      <c r="KA450" s="770"/>
      <c r="KB450" s="770"/>
      <c r="KC450" s="770"/>
      <c r="KD450" s="770"/>
      <c r="KE450" s="770"/>
      <c r="KF450" s="770"/>
      <c r="KG450" s="770"/>
      <c r="KH450" s="770"/>
      <c r="KI450" s="770"/>
      <c r="KJ450" s="770"/>
      <c r="KK450" s="770"/>
      <c r="KL450" s="770"/>
      <c r="KM450" s="770"/>
      <c r="KN450" s="770"/>
      <c r="KO450" s="770"/>
      <c r="KP450" s="770"/>
      <c r="KQ450" s="770"/>
      <c r="KR450" s="770"/>
      <c r="KS450" s="770"/>
      <c r="KT450" s="770"/>
      <c r="KU450" s="770"/>
      <c r="KV450" s="770"/>
      <c r="KW450" s="770"/>
      <c r="KX450" s="770"/>
      <c r="KY450" s="770"/>
      <c r="KZ450" s="770"/>
      <c r="LA450" s="770"/>
      <c r="LB450" s="770"/>
      <c r="LC450" s="770"/>
      <c r="LD450" s="770"/>
      <c r="LE450" s="770"/>
      <c r="LF450" s="770"/>
      <c r="LG450" s="770"/>
      <c r="LH450" s="770"/>
      <c r="LI450" s="770"/>
      <c r="LJ450" s="770"/>
      <c r="LK450" s="770"/>
      <c r="LL450" s="770"/>
      <c r="LM450" s="770"/>
      <c r="LN450" s="766"/>
      <c r="LO450" s="766"/>
      <c r="LP450" s="770"/>
      <c r="LQ450" s="770"/>
      <c r="LR450" s="770"/>
      <c r="LS450" s="770"/>
      <c r="LT450" s="770"/>
      <c r="LU450" s="770"/>
      <c r="LV450" s="770"/>
      <c r="LW450" s="770"/>
      <c r="LX450" s="769"/>
      <c r="LY450" s="766" t="str">
        <f t="shared" si="119"/>
        <v/>
      </c>
      <c r="LZ450" s="1709"/>
      <c r="MA450" s="1709"/>
      <c r="MB450" s="1709"/>
      <c r="MC450" s="1679">
        <f t="shared" si="110"/>
        <v>0</v>
      </c>
      <c r="MD450" s="1709"/>
      <c r="ME450" s="1709"/>
      <c r="MF450" s="1709"/>
      <c r="MG450" s="1680">
        <f t="shared" si="121"/>
        <v>0</v>
      </c>
      <c r="MH450" s="770"/>
      <c r="MI450" s="302"/>
      <c r="MJ450" s="302"/>
      <c r="MK450" s="302"/>
      <c r="ML450" s="302"/>
      <c r="MM450" s="302"/>
      <c r="MN450" s="302"/>
      <c r="MO450" s="302"/>
      <c r="MP450" s="302"/>
      <c r="MQ450" s="302"/>
      <c r="MR450" s="302"/>
      <c r="MS450" s="302"/>
      <c r="MT450" s="302"/>
      <c r="MU450" s="302"/>
      <c r="MV450" s="302"/>
      <c r="MW450" s="302"/>
      <c r="MX450" s="302"/>
      <c r="MY450" s="1682">
        <f t="shared" ref="MY450:MY513" si="122">IF(ISBLANK(MI450:MX450)=TRUE,"",SUM(MI450:MX450))</f>
        <v>0</v>
      </c>
      <c r="MZ450" s="770"/>
      <c r="NA450" s="770"/>
      <c r="NB450" s="770"/>
      <c r="NC450" s="770"/>
      <c r="ND450" s="770"/>
      <c r="NE450" s="770"/>
      <c r="NF450" s="770"/>
      <c r="NG450" s="770"/>
      <c r="NH450" s="770"/>
      <c r="NI450" s="770"/>
      <c r="NJ450" s="770"/>
      <c r="NK450" s="770"/>
      <c r="NL450" s="770"/>
      <c r="NM450" s="770"/>
      <c r="NN450" s="770"/>
      <c r="NO450" s="770"/>
      <c r="NP450" s="770"/>
      <c r="NQ450" s="770"/>
      <c r="NR450" s="770"/>
      <c r="NS450" s="770"/>
      <c r="NT450" s="770"/>
      <c r="NU450" s="770"/>
      <c r="NV450" s="770"/>
      <c r="NW450" s="770"/>
      <c r="NX450" s="770"/>
      <c r="NY450" s="770"/>
      <c r="NZ450" s="770"/>
      <c r="OA450" s="770"/>
      <c r="OB450" s="770"/>
      <c r="OC450" s="770"/>
      <c r="OD450" s="770"/>
      <c r="OE450" s="770"/>
      <c r="OF450" s="770"/>
      <c r="OG450" s="770"/>
      <c r="OH450" s="770"/>
      <c r="OI450" s="770"/>
      <c r="OJ450" s="770"/>
      <c r="OK450" s="770"/>
      <c r="OL450" s="770"/>
      <c r="OM450" s="770"/>
      <c r="ON450" s="770"/>
      <c r="OO450" s="770"/>
      <c r="OP450" s="770"/>
      <c r="OQ450" s="770"/>
      <c r="OR450" s="770"/>
      <c r="OS450" s="770"/>
      <c r="OT450" s="770"/>
      <c r="OU450" s="770"/>
      <c r="OV450" s="770"/>
      <c r="OW450" s="770"/>
      <c r="OX450" s="770"/>
      <c r="OY450" s="770"/>
      <c r="OZ450" s="770"/>
      <c r="PA450" s="770"/>
      <c r="PB450" s="770"/>
      <c r="PC450" s="770"/>
      <c r="PD450" s="770"/>
      <c r="PE450" s="770"/>
      <c r="PF450" s="770"/>
      <c r="PG450" s="770"/>
      <c r="PH450" s="770"/>
      <c r="PI450" s="770"/>
      <c r="PJ450" s="770"/>
      <c r="PK450" s="770"/>
      <c r="PL450" s="770"/>
      <c r="PM450" s="770"/>
      <c r="PN450" s="770"/>
      <c r="PO450" s="770"/>
      <c r="PP450" s="770"/>
      <c r="PQ450" s="770"/>
      <c r="PR450" s="770"/>
      <c r="PS450" s="770"/>
      <c r="PT450" s="770"/>
      <c r="PU450" s="770"/>
      <c r="PV450" s="770"/>
      <c r="PW450" s="770"/>
      <c r="PX450" s="770"/>
      <c r="PY450" s="770"/>
      <c r="PZ450" s="770"/>
      <c r="QA450" s="770"/>
      <c r="QB450" s="770"/>
      <c r="QC450" s="770"/>
      <c r="QD450" s="770"/>
      <c r="QE450" s="770"/>
      <c r="QF450" s="770"/>
      <c r="QG450" s="770"/>
      <c r="QH450" s="770"/>
      <c r="QI450" s="770"/>
      <c r="QJ450" s="770"/>
      <c r="QK450" s="770"/>
      <c r="QL450" s="770"/>
      <c r="QM450" s="770"/>
      <c r="QN450" s="770"/>
      <c r="QO450" s="770"/>
      <c r="QP450" s="770"/>
      <c r="QQ450" s="770"/>
      <c r="QR450" s="770"/>
      <c r="QS450" s="770"/>
      <c r="QT450" s="770"/>
      <c r="QU450" s="770"/>
      <c r="QV450" s="770"/>
      <c r="QW450" s="770"/>
      <c r="QX450" s="770"/>
      <c r="QY450" s="770"/>
      <c r="QZ450" s="770"/>
      <c r="RA450" s="770"/>
      <c r="RB450" s="770"/>
      <c r="RC450" s="770"/>
      <c r="RD450" s="770"/>
      <c r="RE450" s="770"/>
      <c r="RF450" s="304"/>
      <c r="RG450" s="770"/>
      <c r="RH450" s="302"/>
      <c r="RI450" s="770"/>
      <c r="RJ450" s="770" t="s">
        <v>2511</v>
      </c>
      <c r="RK450" s="770" t="s">
        <v>13556</v>
      </c>
      <c r="RL450" s="1710"/>
      <c r="RM450" s="12"/>
      <c r="RN450" s="1711"/>
      <c r="RO450" s="132" t="s">
        <v>2504</v>
      </c>
      <c r="RP450" s="11"/>
      <c r="RQ450" s="11"/>
      <c r="RR450" s="17"/>
      <c r="RS450" s="767"/>
      <c r="RT450" s="11"/>
      <c r="RU450" s="11"/>
      <c r="RV450" s="771" t="s">
        <v>7421</v>
      </c>
      <c r="RW450" s="11" t="s">
        <v>7744</v>
      </c>
      <c r="RX450" s="11" t="s">
        <v>2497</v>
      </c>
      <c r="RY450" s="11"/>
      <c r="RZ450" s="11" t="s">
        <v>2209</v>
      </c>
      <c r="SA450" s="771"/>
      <c r="SB450" s="11"/>
      <c r="SC450" s="11"/>
    </row>
    <row r="451" spans="1:497" ht="12.75" customHeight="1">
      <c r="A451" s="19" t="s">
        <v>7421</v>
      </c>
      <c r="B451" s="752" t="s">
        <v>7745</v>
      </c>
      <c r="C451" s="132" t="s">
        <v>2519</v>
      </c>
      <c r="D451" s="94" t="s">
        <v>2515</v>
      </c>
      <c r="E451" s="766" t="s">
        <v>5838</v>
      </c>
      <c r="F451" s="770" t="s">
        <v>28</v>
      </c>
      <c r="G451" s="770" t="s">
        <v>10</v>
      </c>
      <c r="H451" s="770"/>
      <c r="I451" s="295"/>
      <c r="J451" s="94" t="s">
        <v>2515</v>
      </c>
      <c r="K451" s="766" t="s">
        <v>2516</v>
      </c>
      <c r="L451" s="323" t="s">
        <v>2517</v>
      </c>
      <c r="M451" s="770" t="s">
        <v>2402</v>
      </c>
      <c r="N451" s="770"/>
      <c r="O451" s="770" t="s">
        <v>2508</v>
      </c>
      <c r="P451" s="770" t="s">
        <v>2515</v>
      </c>
      <c r="Q451" s="1088"/>
      <c r="R451" s="297">
        <v>66</v>
      </c>
      <c r="S451" s="770" t="s">
        <v>10</v>
      </c>
      <c r="T451" s="770"/>
      <c r="U451" s="298"/>
      <c r="V451" s="770" t="s">
        <v>707</v>
      </c>
      <c r="W451" s="770"/>
      <c r="X451" s="770"/>
      <c r="Y451" s="770" t="s">
        <v>7849</v>
      </c>
      <c r="Z451" s="770" t="s">
        <v>708</v>
      </c>
      <c r="AA451" s="770" t="s">
        <v>709</v>
      </c>
      <c r="AB451" s="770" t="s">
        <v>710</v>
      </c>
      <c r="AC451" s="770"/>
      <c r="AD451" s="770"/>
      <c r="AE451" s="770"/>
      <c r="AF451" s="770" t="s">
        <v>712</v>
      </c>
      <c r="AG451" s="766" t="s">
        <v>1132</v>
      </c>
      <c r="AH451" s="766" t="s">
        <v>1096</v>
      </c>
      <c r="AI451" s="770"/>
      <c r="AJ451" s="770" t="s">
        <v>1137</v>
      </c>
      <c r="AK451" s="770" t="s">
        <v>1101</v>
      </c>
      <c r="AL451" s="531">
        <v>24.5</v>
      </c>
      <c r="AM451" s="780">
        <v>12.17</v>
      </c>
      <c r="AN451" s="532">
        <f>AM451/AL451</f>
        <v>0.49673469387755104</v>
      </c>
      <c r="AO451" s="766" t="s">
        <v>1149</v>
      </c>
      <c r="AP451" s="766"/>
      <c r="AQ451" s="766"/>
      <c r="AR451" s="766"/>
      <c r="AS451" s="770"/>
      <c r="AT451" s="770"/>
      <c r="AU451" s="770"/>
      <c r="AV451" s="770"/>
      <c r="AW451" s="770"/>
      <c r="AX451" s="770"/>
      <c r="AY451" s="770"/>
      <c r="AZ451" s="770"/>
      <c r="BA451" s="770"/>
      <c r="BB451" s="770"/>
      <c r="BC451" s="770"/>
      <c r="BD451" s="770"/>
      <c r="BE451" s="770"/>
      <c r="BF451" s="302"/>
      <c r="BG451" s="302"/>
      <c r="BH451" s="770"/>
      <c r="BI451" s="770"/>
      <c r="BJ451" s="770"/>
      <c r="BK451" s="770"/>
      <c r="BL451" s="770"/>
      <c r="BM451" s="766"/>
      <c r="BN451" s="770"/>
      <c r="BO451" s="770"/>
      <c r="BP451" s="1109"/>
      <c r="BQ451" s="773"/>
      <c r="BR451" s="774"/>
      <c r="BS451" s="766"/>
      <c r="BT451" s="770"/>
      <c r="BU451" s="770"/>
      <c r="BV451" s="770"/>
      <c r="BW451" s="770"/>
      <c r="BX451" s="302"/>
      <c r="BY451" s="770"/>
      <c r="BZ451" s="302"/>
      <c r="CA451" s="770"/>
      <c r="CB451" s="770" t="s">
        <v>1207</v>
      </c>
      <c r="CC451" s="770" t="s">
        <v>7413</v>
      </c>
      <c r="CD451" s="770"/>
      <c r="CE451" s="770"/>
      <c r="CF451" s="1753">
        <v>1.2</v>
      </c>
      <c r="CG451" s="1754">
        <v>4.8</v>
      </c>
      <c r="CH451" s="770" t="s">
        <v>3684</v>
      </c>
      <c r="CI451" s="770"/>
      <c r="CJ451" s="770"/>
      <c r="CK451" s="770">
        <v>4</v>
      </c>
      <c r="CL451" s="770" t="s">
        <v>1249</v>
      </c>
      <c r="CM451" s="770" t="s">
        <v>3378</v>
      </c>
      <c r="CN451" s="770"/>
      <c r="CO451" s="770" t="s">
        <v>1257</v>
      </c>
      <c r="CP451" s="770"/>
      <c r="CQ451" s="770"/>
      <c r="CR451" s="302"/>
      <c r="CS451" s="770"/>
      <c r="CT451" s="770"/>
      <c r="CU451" s="305"/>
      <c r="CV451" s="770"/>
      <c r="CW451" s="770"/>
      <c r="CX451" s="770"/>
      <c r="CY451" s="770" t="s">
        <v>7414</v>
      </c>
      <c r="CZ451" s="770"/>
      <c r="DA451" s="306"/>
      <c r="DB451" s="770"/>
      <c r="DC451" s="770" t="s">
        <v>7415</v>
      </c>
      <c r="DD451" s="770"/>
      <c r="DE451" s="300">
        <f>3.9*3.3</f>
        <v>12.87</v>
      </c>
      <c r="DF451" s="770">
        <v>3</v>
      </c>
      <c r="DG451" s="770" t="s">
        <v>1257</v>
      </c>
      <c r="DH451" s="770"/>
      <c r="DI451" s="770"/>
      <c r="DJ451" s="770"/>
      <c r="DK451" s="770"/>
      <c r="DL451" s="770"/>
      <c r="DM451" s="770"/>
      <c r="DN451" s="322"/>
      <c r="DO451" s="770"/>
      <c r="DP451" s="770"/>
      <c r="DQ451" s="770"/>
      <c r="DR451" s="770"/>
      <c r="DS451" s="307"/>
      <c r="DT451" s="770"/>
      <c r="DU451" s="770"/>
      <c r="DV451" s="770"/>
      <c r="DW451" s="306"/>
      <c r="DX451" s="306"/>
      <c r="DY451" s="770"/>
      <c r="DZ451" s="770"/>
      <c r="EA451" s="770"/>
      <c r="EB451" s="770"/>
      <c r="EC451" s="770"/>
      <c r="ED451" s="770"/>
      <c r="EE451" s="770"/>
      <c r="EF451" s="770"/>
      <c r="EG451" s="770"/>
      <c r="EH451" s="770"/>
      <c r="EI451" s="770"/>
      <c r="EJ451" s="770"/>
      <c r="EK451" s="770"/>
      <c r="EL451" s="770"/>
      <c r="EM451" s="770"/>
      <c r="EN451" s="770"/>
      <c r="EO451" s="770"/>
      <c r="EP451" s="94"/>
      <c r="EQ451" s="770"/>
      <c r="ER451" s="770"/>
      <c r="ES451" s="770"/>
      <c r="ET451" s="770"/>
      <c r="EU451" s="770"/>
      <c r="EV451" s="770"/>
      <c r="EW451" s="770"/>
      <c r="EX451" s="770"/>
      <c r="EY451" s="770"/>
      <c r="EZ451" s="770"/>
      <c r="FA451" s="770"/>
      <c r="FB451" s="770"/>
      <c r="FC451" s="770"/>
      <c r="FD451" s="302"/>
      <c r="FE451" s="770"/>
      <c r="FF451" s="770"/>
      <c r="FG451" s="770"/>
      <c r="FH451" s="770"/>
      <c r="FI451" s="770"/>
      <c r="FJ451" s="770"/>
      <c r="FK451" s="770"/>
      <c r="FL451" s="770"/>
      <c r="FM451" s="302"/>
      <c r="FN451" s="302"/>
      <c r="FO451" s="302"/>
      <c r="FP451" s="770"/>
      <c r="FQ451" s="770"/>
      <c r="FR451" s="770"/>
      <c r="FS451" s="770"/>
      <c r="FT451" s="770"/>
      <c r="FU451" s="770"/>
      <c r="FV451" s="770"/>
      <c r="FW451" s="770"/>
      <c r="FX451" s="770"/>
      <c r="FY451" s="770"/>
      <c r="FZ451" s="770"/>
      <c r="GA451" s="770"/>
      <c r="GB451" s="770"/>
      <c r="GC451" s="308"/>
      <c r="GD451" s="297"/>
      <c r="GE451" s="770"/>
      <c r="GF451" s="302"/>
      <c r="GG451" s="302"/>
      <c r="GH451" s="770"/>
      <c r="GI451" s="770"/>
      <c r="GJ451" s="770"/>
      <c r="GK451" s="770"/>
      <c r="GL451" s="770"/>
      <c r="GM451" s="770"/>
      <c r="GN451" s="299"/>
      <c r="GO451" s="770"/>
      <c r="GP451" s="770"/>
      <c r="GQ451" s="770"/>
      <c r="GR451" s="770"/>
      <c r="GS451" s="770"/>
      <c r="GT451" s="770"/>
      <c r="GU451" s="770"/>
      <c r="GV451" s="770"/>
      <c r="GW451" s="770"/>
      <c r="GX451" s="770"/>
      <c r="GY451" s="770"/>
      <c r="GZ451" s="770"/>
      <c r="HA451" s="770"/>
      <c r="HB451" s="770"/>
      <c r="HC451" s="770"/>
      <c r="HD451" s="770"/>
      <c r="HE451" s="770"/>
      <c r="HF451" s="770"/>
      <c r="HG451" s="770"/>
      <c r="HH451" s="770"/>
      <c r="HI451" s="770"/>
      <c r="HJ451" s="770"/>
      <c r="HK451" s="770"/>
      <c r="HL451" s="770"/>
      <c r="HM451" s="770"/>
      <c r="HN451" s="770"/>
      <c r="HO451" s="770"/>
      <c r="HP451" s="770"/>
      <c r="HQ451" s="770"/>
      <c r="HR451" s="770"/>
      <c r="HS451" s="770">
        <v>1</v>
      </c>
      <c r="HT451" s="770">
        <v>3</v>
      </c>
      <c r="HU451" s="770"/>
      <c r="HV451" s="770"/>
      <c r="HW451" s="770"/>
      <c r="HX451" s="770"/>
      <c r="HY451" s="770"/>
      <c r="HZ451" s="770"/>
      <c r="IA451" s="770"/>
      <c r="IB451" s="770"/>
      <c r="IC451" s="770"/>
      <c r="ID451" s="770"/>
      <c r="IE451" s="770"/>
      <c r="IF451" s="770"/>
      <c r="IG451" s="770"/>
      <c r="IH451" s="770"/>
      <c r="II451" s="770"/>
      <c r="IJ451" s="770"/>
      <c r="IK451" s="770"/>
      <c r="IL451" s="770"/>
      <c r="IM451" s="770"/>
      <c r="IN451" s="770"/>
      <c r="IO451" s="296"/>
      <c r="IP451" s="770"/>
      <c r="IQ451" s="770"/>
      <c r="IR451" s="770"/>
      <c r="IS451" s="770"/>
      <c r="IT451" s="770"/>
      <c r="IU451" s="770"/>
      <c r="IV451" s="770"/>
      <c r="IW451" s="770"/>
      <c r="IX451" s="770"/>
      <c r="IY451" s="770"/>
      <c r="IZ451" s="770"/>
      <c r="JA451" s="770"/>
      <c r="JB451" s="770"/>
      <c r="JC451" s="770"/>
      <c r="JD451" s="302"/>
      <c r="JE451" s="770"/>
      <c r="JF451" s="770"/>
      <c r="JG451" s="770"/>
      <c r="JH451" s="307"/>
      <c r="JI451" s="307"/>
      <c r="JJ451" s="770">
        <v>10</v>
      </c>
      <c r="JK451" s="770" t="s">
        <v>3746</v>
      </c>
      <c r="JL451" s="766"/>
      <c r="JM451" s="766"/>
      <c r="JN451" s="766">
        <v>4</v>
      </c>
      <c r="JO451" s="766">
        <v>5</v>
      </c>
      <c r="JP451" s="766">
        <v>1</v>
      </c>
      <c r="JQ451" s="766"/>
      <c r="JR451" s="766"/>
      <c r="JS451" s="766"/>
      <c r="JT451" s="766">
        <f t="shared" ref="JT451:JU453" si="123">SUM(JP451,JN451,JL451,JR451)</f>
        <v>5</v>
      </c>
      <c r="JU451" s="766">
        <f t="shared" si="123"/>
        <v>5</v>
      </c>
      <c r="JV451" s="766"/>
      <c r="JW451" s="766"/>
      <c r="JX451" s="323"/>
      <c r="JY451" s="323"/>
      <c r="JZ451" s="323"/>
      <c r="KA451" s="323"/>
      <c r="KB451" s="323"/>
      <c r="KC451" s="323">
        <v>4</v>
      </c>
      <c r="KD451" s="323">
        <v>4</v>
      </c>
      <c r="KE451" s="323">
        <v>1</v>
      </c>
      <c r="KF451" s="323">
        <v>1</v>
      </c>
      <c r="KG451" s="323"/>
      <c r="KH451" s="323"/>
      <c r="KI451" s="323"/>
      <c r="KJ451" s="770">
        <f t="shared" si="103"/>
        <v>5</v>
      </c>
      <c r="KK451" s="770">
        <f t="shared" si="103"/>
        <v>5</v>
      </c>
      <c r="KL451" s="770"/>
      <c r="KM451" s="770"/>
      <c r="KN451" s="770"/>
      <c r="KO451" s="770"/>
      <c r="KP451" s="770"/>
      <c r="KQ451" s="770"/>
      <c r="KR451" s="770"/>
      <c r="KS451" s="770"/>
      <c r="KT451" s="770"/>
      <c r="KU451" s="770"/>
      <c r="KV451" s="770"/>
      <c r="KW451" s="770"/>
      <c r="KX451" s="770"/>
      <c r="KY451" s="770"/>
      <c r="KZ451" s="770"/>
      <c r="LA451" s="770"/>
      <c r="LB451" s="770"/>
      <c r="LC451" s="770"/>
      <c r="LD451" s="770"/>
      <c r="LE451" s="770"/>
      <c r="LF451" s="770"/>
      <c r="LG451" s="770"/>
      <c r="LH451" s="770"/>
      <c r="LI451" s="770"/>
      <c r="LJ451" s="770"/>
      <c r="LK451" s="770"/>
      <c r="LL451" s="770"/>
      <c r="LM451" s="770"/>
      <c r="LN451" s="766"/>
      <c r="LO451" s="766"/>
      <c r="LP451" s="770">
        <v>5</v>
      </c>
      <c r="LQ451" s="770">
        <v>4</v>
      </c>
      <c r="LR451" s="770"/>
      <c r="LS451" s="770">
        <v>1</v>
      </c>
      <c r="LT451" s="770"/>
      <c r="LU451" s="770">
        <v>1</v>
      </c>
      <c r="LV451" s="770">
        <v>3</v>
      </c>
      <c r="LW451" s="770"/>
      <c r="LX451" s="769">
        <v>1</v>
      </c>
      <c r="LY451" s="766" t="str">
        <f t="shared" si="119"/>
        <v>within the BRGY</v>
      </c>
      <c r="LZ451" s="1709">
        <f>SUM(2380,1680)</f>
        <v>4060</v>
      </c>
      <c r="MA451" s="1709"/>
      <c r="MB451" s="1709"/>
      <c r="MC451" s="1679">
        <f t="shared" si="110"/>
        <v>4060</v>
      </c>
      <c r="MD451" s="1709">
        <f>SUM(15000,15630*3)</f>
        <v>61890</v>
      </c>
      <c r="ME451" s="1709"/>
      <c r="MF451" s="1709">
        <v>8000</v>
      </c>
      <c r="MG451" s="1680">
        <f t="shared" si="121"/>
        <v>69890</v>
      </c>
      <c r="MH451" s="770" t="s">
        <v>2222</v>
      </c>
      <c r="MI451" s="302">
        <v>15000</v>
      </c>
      <c r="MJ451" s="302"/>
      <c r="MK451" s="302">
        <v>1500</v>
      </c>
      <c r="ML451" s="302">
        <v>150</v>
      </c>
      <c r="MM451" s="302"/>
      <c r="MN451" s="302"/>
      <c r="MO451" s="302">
        <v>120</v>
      </c>
      <c r="MP451" s="302">
        <v>4000</v>
      </c>
      <c r="MQ451" s="302">
        <v>600</v>
      </c>
      <c r="MR451" s="302">
        <v>2000</v>
      </c>
      <c r="MS451" s="302"/>
      <c r="MT451" s="302"/>
      <c r="MU451" s="302"/>
      <c r="MV451" s="302"/>
      <c r="MW451" s="302"/>
      <c r="MX451" s="302"/>
      <c r="MY451" s="1682">
        <f t="shared" si="122"/>
        <v>23370</v>
      </c>
      <c r="MZ451" s="770" t="s">
        <v>13370</v>
      </c>
      <c r="NA451" s="770" t="s">
        <v>13005</v>
      </c>
      <c r="NB451" s="770" t="s">
        <v>13583</v>
      </c>
      <c r="NC451" s="766" t="s">
        <v>13523</v>
      </c>
      <c r="ND451" s="770">
        <v>0</v>
      </c>
      <c r="NE451" s="770">
        <v>3</v>
      </c>
      <c r="NF451" s="770">
        <v>0</v>
      </c>
      <c r="NG451" s="770">
        <v>6</v>
      </c>
      <c r="NH451" s="770">
        <v>3</v>
      </c>
      <c r="NI451" s="770">
        <v>2</v>
      </c>
      <c r="NJ451" s="770">
        <v>0</v>
      </c>
      <c r="NK451" s="770">
        <v>0</v>
      </c>
      <c r="NL451" s="770">
        <v>3</v>
      </c>
      <c r="NM451" s="770">
        <v>3</v>
      </c>
      <c r="NN451" s="770">
        <v>0</v>
      </c>
      <c r="NO451" s="770">
        <v>0</v>
      </c>
      <c r="NP451" s="770">
        <v>0</v>
      </c>
      <c r="NQ451" s="770">
        <v>0</v>
      </c>
      <c r="NR451" s="770">
        <v>0</v>
      </c>
      <c r="NS451" s="770">
        <v>0</v>
      </c>
      <c r="NT451" s="770">
        <v>0</v>
      </c>
      <c r="NU451" s="770">
        <v>0</v>
      </c>
      <c r="NV451" s="770">
        <v>0</v>
      </c>
      <c r="NW451" s="770">
        <v>2</v>
      </c>
      <c r="NX451" s="770">
        <v>0</v>
      </c>
      <c r="NY451" s="770" t="s">
        <v>1208</v>
      </c>
      <c r="NZ451" s="770"/>
      <c r="OA451" s="770"/>
      <c r="OB451" s="770"/>
      <c r="OC451" s="770" t="s">
        <v>1208</v>
      </c>
      <c r="OD451" s="770"/>
      <c r="OE451" s="770"/>
      <c r="OF451" s="770"/>
      <c r="OG451" s="770"/>
      <c r="OH451" s="770"/>
      <c r="OI451" s="770"/>
      <c r="OJ451" s="770"/>
      <c r="OK451" s="770"/>
      <c r="OL451" s="770"/>
      <c r="OM451" s="770"/>
      <c r="ON451" s="770"/>
      <c r="OO451" s="770"/>
      <c r="OP451" s="770"/>
      <c r="OQ451" s="770"/>
      <c r="OR451" s="770"/>
      <c r="OS451" s="770"/>
      <c r="OT451" s="770"/>
      <c r="OU451" s="770"/>
      <c r="OV451" s="770"/>
      <c r="OW451" s="770"/>
      <c r="OX451" s="770"/>
      <c r="OY451" s="770"/>
      <c r="OZ451" s="770"/>
      <c r="PA451" s="770"/>
      <c r="PB451" s="770"/>
      <c r="PC451" s="770"/>
      <c r="PD451" s="770"/>
      <c r="PE451" s="770"/>
      <c r="PF451" s="770"/>
      <c r="PG451" s="770"/>
      <c r="PH451" s="770"/>
      <c r="PI451" s="770"/>
      <c r="PJ451" s="770"/>
      <c r="PK451" s="770"/>
      <c r="PL451" s="770"/>
      <c r="PM451" s="770"/>
      <c r="PN451" s="770"/>
      <c r="PO451" s="770"/>
      <c r="PP451" s="770"/>
      <c r="PQ451" s="770"/>
      <c r="PR451" s="770"/>
      <c r="PS451" s="770"/>
      <c r="PT451" s="770"/>
      <c r="PU451" s="770"/>
      <c r="PV451" s="770"/>
      <c r="PW451" s="770"/>
      <c r="PX451" s="770"/>
      <c r="PY451" s="770"/>
      <c r="PZ451" s="770"/>
      <c r="QA451" s="770"/>
      <c r="QB451" s="770"/>
      <c r="QC451" s="770"/>
      <c r="QD451" s="770"/>
      <c r="QE451" s="770"/>
      <c r="QF451" s="770"/>
      <c r="QG451" s="770"/>
      <c r="QH451" s="770"/>
      <c r="QI451" s="770"/>
      <c r="QJ451" s="770"/>
      <c r="QK451" s="770"/>
      <c r="QL451" s="770"/>
      <c r="QM451" s="770"/>
      <c r="QN451" s="770"/>
      <c r="QO451" s="770"/>
      <c r="QP451" s="770"/>
      <c r="QQ451" s="770"/>
      <c r="QR451" s="770"/>
      <c r="QS451" s="770"/>
      <c r="QT451" s="770"/>
      <c r="QU451" s="770"/>
      <c r="QV451" s="770"/>
      <c r="QW451" s="770"/>
      <c r="QX451" s="770"/>
      <c r="QY451" s="770"/>
      <c r="QZ451" s="770"/>
      <c r="RA451" s="770"/>
      <c r="RB451" s="770" t="s">
        <v>1207</v>
      </c>
      <c r="RC451" s="770">
        <v>2016</v>
      </c>
      <c r="RD451" s="770" t="s">
        <v>13594</v>
      </c>
      <c r="RE451" s="770" t="s">
        <v>12999</v>
      </c>
      <c r="RF451" s="304">
        <v>0.25</v>
      </c>
      <c r="RG451" s="770" t="s">
        <v>13047</v>
      </c>
      <c r="RH451" s="302">
        <v>0</v>
      </c>
      <c r="RI451" s="770">
        <v>0.5</v>
      </c>
      <c r="RJ451" s="770" t="s">
        <v>13595</v>
      </c>
      <c r="RK451" s="770" t="s">
        <v>13550</v>
      </c>
      <c r="RL451" s="1710">
        <v>42826</v>
      </c>
      <c r="RM451" s="12"/>
      <c r="RN451" s="1711"/>
      <c r="RO451" s="132" t="s">
        <v>2519</v>
      </c>
      <c r="RP451" s="11"/>
      <c r="RQ451" s="11"/>
      <c r="RR451" s="17"/>
      <c r="RS451" s="767"/>
      <c r="RT451" s="11"/>
      <c r="RU451" s="11"/>
      <c r="RV451" s="771" t="s">
        <v>7421</v>
      </c>
      <c r="RW451" s="11" t="s">
        <v>7688</v>
      </c>
      <c r="RX451" s="11" t="s">
        <v>2497</v>
      </c>
      <c r="RY451" s="11"/>
      <c r="RZ451" s="11" t="s">
        <v>1101</v>
      </c>
      <c r="SA451" s="771"/>
      <c r="SB451" s="11"/>
      <c r="SC451" s="11"/>
    </row>
    <row r="452" spans="1:497" ht="12.75" customHeight="1">
      <c r="A452" s="19" t="s">
        <v>7421</v>
      </c>
      <c r="B452" s="752" t="s">
        <v>7746</v>
      </c>
      <c r="C452" s="132" t="s">
        <v>2520</v>
      </c>
      <c r="D452" s="94" t="s">
        <v>2522</v>
      </c>
      <c r="E452" s="766" t="s">
        <v>5839</v>
      </c>
      <c r="F452" s="770" t="s">
        <v>28</v>
      </c>
      <c r="G452" s="770" t="s">
        <v>18</v>
      </c>
      <c r="H452" s="770"/>
      <c r="I452" s="295" t="s">
        <v>2524</v>
      </c>
      <c r="J452" s="94" t="s">
        <v>2522</v>
      </c>
      <c r="K452" s="766" t="s">
        <v>2525</v>
      </c>
      <c r="L452" s="766" t="s">
        <v>2526</v>
      </c>
      <c r="M452" s="770" t="s">
        <v>2402</v>
      </c>
      <c r="N452" s="770"/>
      <c r="O452" s="770" t="s">
        <v>2403</v>
      </c>
      <c r="P452" s="770" t="s">
        <v>2521</v>
      </c>
      <c r="Q452" s="1088">
        <v>22408</v>
      </c>
      <c r="R452" s="297">
        <v>56</v>
      </c>
      <c r="S452" s="770" t="s">
        <v>18</v>
      </c>
      <c r="T452" s="770"/>
      <c r="U452" s="295" t="s">
        <v>2524</v>
      </c>
      <c r="V452" s="770" t="s">
        <v>707</v>
      </c>
      <c r="W452" s="770"/>
      <c r="X452" s="770"/>
      <c r="Y452" s="770" t="s">
        <v>2523</v>
      </c>
      <c r="Z452" s="770" t="s">
        <v>708</v>
      </c>
      <c r="AA452" s="770" t="s">
        <v>748</v>
      </c>
      <c r="AB452" s="770" t="s">
        <v>710</v>
      </c>
      <c r="AC452" s="770" t="s">
        <v>724</v>
      </c>
      <c r="AD452" s="770" t="s">
        <v>790</v>
      </c>
      <c r="AE452" s="770"/>
      <c r="AF452" s="770" t="s">
        <v>798</v>
      </c>
      <c r="AG452" s="766" t="s">
        <v>1132</v>
      </c>
      <c r="AH452" s="766" t="s">
        <v>1096</v>
      </c>
      <c r="AI452" s="770"/>
      <c r="AJ452" s="770" t="s">
        <v>1137</v>
      </c>
      <c r="AK452" s="770" t="s">
        <v>1101</v>
      </c>
      <c r="AL452" s="531">
        <v>35</v>
      </c>
      <c r="AM452" s="780">
        <v>21</v>
      </c>
      <c r="AN452" s="532">
        <f>AM452/AL452</f>
        <v>0.6</v>
      </c>
      <c r="AO452" s="766" t="s">
        <v>1105</v>
      </c>
      <c r="AP452" s="766"/>
      <c r="AQ452" s="766"/>
      <c r="AR452" s="766"/>
      <c r="AS452" s="770"/>
      <c r="AT452" s="770"/>
      <c r="AU452" s="770"/>
      <c r="AV452" s="770"/>
      <c r="AW452" s="770"/>
      <c r="AX452" s="770"/>
      <c r="AY452" s="770"/>
      <c r="AZ452" s="770"/>
      <c r="BA452" s="770"/>
      <c r="BB452" s="770"/>
      <c r="BC452" s="770"/>
      <c r="BD452" s="770"/>
      <c r="BE452" s="770"/>
      <c r="BF452" s="302"/>
      <c r="BG452" s="302"/>
      <c r="BH452" s="770"/>
      <c r="BI452" s="770"/>
      <c r="BJ452" s="770"/>
      <c r="BK452" s="770"/>
      <c r="BL452" s="770"/>
      <c r="BM452" s="766"/>
      <c r="BN452" s="770"/>
      <c r="BO452" s="770"/>
      <c r="BP452" s="1109"/>
      <c r="BQ452" s="773"/>
      <c r="BR452" s="774"/>
      <c r="BS452" s="766"/>
      <c r="BT452" s="770"/>
      <c r="BU452" s="770"/>
      <c r="BV452" s="770"/>
      <c r="BW452" s="770"/>
      <c r="BX452" s="302"/>
      <c r="BY452" s="770"/>
      <c r="BZ452" s="302"/>
      <c r="CA452" s="770"/>
      <c r="CB452" s="770" t="s">
        <v>1207</v>
      </c>
      <c r="CC452" s="770" t="s">
        <v>7416</v>
      </c>
      <c r="CD452" s="770"/>
      <c r="CE452" s="770"/>
      <c r="CF452" s="1753">
        <v>1.2</v>
      </c>
      <c r="CG452" s="1754">
        <v>5</v>
      </c>
      <c r="CH452" s="770" t="s">
        <v>3684</v>
      </c>
      <c r="CI452" s="770"/>
      <c r="CJ452" s="770"/>
      <c r="CK452" s="770">
        <v>4</v>
      </c>
      <c r="CL452" s="770" t="s">
        <v>1249</v>
      </c>
      <c r="CM452" s="770" t="s">
        <v>3399</v>
      </c>
      <c r="CN452" s="770"/>
      <c r="CO452" s="770" t="s">
        <v>1257</v>
      </c>
      <c r="CP452" s="770"/>
      <c r="CQ452" s="770"/>
      <c r="CR452" s="302"/>
      <c r="CS452" s="770"/>
      <c r="CT452" s="770"/>
      <c r="CU452" s="305"/>
      <c r="CV452" s="770"/>
      <c r="CW452" s="770"/>
      <c r="CX452" s="770"/>
      <c r="CY452" s="770"/>
      <c r="CZ452" s="770"/>
      <c r="DA452" s="306"/>
      <c r="DB452" s="770"/>
      <c r="DC452" s="770"/>
      <c r="DD452" s="770"/>
      <c r="DE452" s="300"/>
      <c r="DF452" s="770"/>
      <c r="DG452" s="770"/>
      <c r="DH452" s="770"/>
      <c r="DI452" s="770"/>
      <c r="DJ452" s="770"/>
      <c r="DK452" s="770"/>
      <c r="DL452" s="770"/>
      <c r="DM452" s="770"/>
      <c r="DN452" s="322"/>
      <c r="DO452" s="770"/>
      <c r="DP452" s="770"/>
      <c r="DQ452" s="770"/>
      <c r="DR452" s="770"/>
      <c r="DS452" s="307"/>
      <c r="DT452" s="770"/>
      <c r="DU452" s="770"/>
      <c r="DV452" s="770"/>
      <c r="DW452" s="306"/>
      <c r="DX452" s="306"/>
      <c r="DY452" s="770"/>
      <c r="DZ452" s="770"/>
      <c r="EA452" s="770"/>
      <c r="EB452" s="770"/>
      <c r="EC452" s="770"/>
      <c r="ED452" s="770"/>
      <c r="EE452" s="770"/>
      <c r="EF452" s="770"/>
      <c r="EG452" s="770"/>
      <c r="EH452" s="770"/>
      <c r="EI452" s="770"/>
      <c r="EJ452" s="770"/>
      <c r="EK452" s="770"/>
      <c r="EL452" s="770"/>
      <c r="EM452" s="770"/>
      <c r="EN452" s="770"/>
      <c r="EO452" s="770"/>
      <c r="EP452" s="94"/>
      <c r="EQ452" s="770"/>
      <c r="ER452" s="770"/>
      <c r="ES452" s="770"/>
      <c r="ET452" s="770"/>
      <c r="EU452" s="770"/>
      <c r="EV452" s="770"/>
      <c r="EW452" s="770"/>
      <c r="EX452" s="770"/>
      <c r="EY452" s="770"/>
      <c r="EZ452" s="770"/>
      <c r="FA452" s="770"/>
      <c r="FB452" s="770"/>
      <c r="FC452" s="770"/>
      <c r="FD452" s="302"/>
      <c r="FE452" s="770"/>
      <c r="FF452" s="770"/>
      <c r="FG452" s="770"/>
      <c r="FH452" s="770"/>
      <c r="FI452" s="770"/>
      <c r="FJ452" s="770"/>
      <c r="FK452" s="770"/>
      <c r="FL452" s="770"/>
      <c r="FM452" s="302"/>
      <c r="FN452" s="302"/>
      <c r="FO452" s="302"/>
      <c r="FP452" s="770"/>
      <c r="FQ452" s="770"/>
      <c r="FR452" s="770"/>
      <c r="FS452" s="770"/>
      <c r="FT452" s="770"/>
      <c r="FU452" s="770"/>
      <c r="FV452" s="770"/>
      <c r="FW452" s="770"/>
      <c r="FX452" s="770"/>
      <c r="FY452" s="770"/>
      <c r="FZ452" s="770"/>
      <c r="GA452" s="770"/>
      <c r="GB452" s="770"/>
      <c r="GC452" s="308"/>
      <c r="GD452" s="297"/>
      <c r="GE452" s="770"/>
      <c r="GF452" s="302"/>
      <c r="GG452" s="302"/>
      <c r="GH452" s="770"/>
      <c r="GI452" s="770"/>
      <c r="GJ452" s="770"/>
      <c r="GK452" s="770"/>
      <c r="GL452" s="770"/>
      <c r="GM452" s="770"/>
      <c r="GN452" s="299"/>
      <c r="GO452" s="770"/>
      <c r="GP452" s="770"/>
      <c r="GQ452" s="770"/>
      <c r="GR452" s="770"/>
      <c r="GS452" s="770"/>
      <c r="GT452" s="770"/>
      <c r="GU452" s="770"/>
      <c r="GV452" s="770"/>
      <c r="GW452" s="770"/>
      <c r="GX452" s="770"/>
      <c r="GY452" s="770"/>
      <c r="GZ452" s="770"/>
      <c r="HA452" s="770"/>
      <c r="HB452" s="770"/>
      <c r="HC452" s="770"/>
      <c r="HD452" s="770"/>
      <c r="HE452" s="770"/>
      <c r="HF452" s="770"/>
      <c r="HG452" s="770"/>
      <c r="HH452" s="770"/>
      <c r="HI452" s="770"/>
      <c r="HJ452" s="770"/>
      <c r="HK452" s="770"/>
      <c r="HL452" s="770"/>
      <c r="HM452" s="770"/>
      <c r="HN452" s="770"/>
      <c r="HO452" s="770"/>
      <c r="HP452" s="770"/>
      <c r="HQ452" s="770"/>
      <c r="HR452" s="770"/>
      <c r="HS452" s="770">
        <v>2</v>
      </c>
      <c r="HT452" s="770">
        <v>1</v>
      </c>
      <c r="HU452" s="770"/>
      <c r="HV452" s="770"/>
      <c r="HW452" s="770"/>
      <c r="HX452" s="770"/>
      <c r="HY452" s="770"/>
      <c r="HZ452" s="770"/>
      <c r="IA452" s="770"/>
      <c r="IB452" s="770" t="s">
        <v>1207</v>
      </c>
      <c r="IC452" s="770" t="s">
        <v>1207</v>
      </c>
      <c r="ID452" s="770"/>
      <c r="IE452" s="770"/>
      <c r="IF452" s="770"/>
      <c r="IG452" s="770"/>
      <c r="IH452" s="770"/>
      <c r="II452" s="770"/>
      <c r="IJ452" s="770"/>
      <c r="IK452" s="770"/>
      <c r="IL452" s="770"/>
      <c r="IM452" s="770"/>
      <c r="IN452" s="770"/>
      <c r="IO452" s="296"/>
      <c r="IP452" s="770"/>
      <c r="IQ452" s="770"/>
      <c r="IR452" s="770"/>
      <c r="IS452" s="770"/>
      <c r="IT452" s="770"/>
      <c r="IU452" s="770"/>
      <c r="IV452" s="770"/>
      <c r="IW452" s="770"/>
      <c r="IX452" s="770"/>
      <c r="IY452" s="770"/>
      <c r="IZ452" s="770"/>
      <c r="JA452" s="770"/>
      <c r="JB452" s="770"/>
      <c r="JC452" s="770"/>
      <c r="JD452" s="302"/>
      <c r="JE452" s="770"/>
      <c r="JF452" s="770"/>
      <c r="JG452" s="770"/>
      <c r="JH452" s="307"/>
      <c r="JI452" s="307"/>
      <c r="JJ452" s="770">
        <v>9</v>
      </c>
      <c r="JK452" s="770" t="s">
        <v>3747</v>
      </c>
      <c r="JL452" s="13"/>
      <c r="JM452" s="13">
        <v>2</v>
      </c>
      <c r="JN452" s="13">
        <v>3</v>
      </c>
      <c r="JO452" s="13">
        <v>3</v>
      </c>
      <c r="JP452" s="13"/>
      <c r="JQ452" s="13"/>
      <c r="JR452" s="13" t="s">
        <v>13596</v>
      </c>
      <c r="JS452" s="13"/>
      <c r="JT452" s="766">
        <f t="shared" si="123"/>
        <v>3</v>
      </c>
      <c r="JU452" s="766">
        <f t="shared" si="123"/>
        <v>5</v>
      </c>
      <c r="JV452" s="766"/>
      <c r="JW452" s="766"/>
      <c r="JX452" s="13"/>
      <c r="JY452" s="13"/>
      <c r="JZ452" s="13"/>
      <c r="KA452" s="13">
        <v>2</v>
      </c>
      <c r="KB452" s="13">
        <v>1</v>
      </c>
      <c r="KC452" s="13">
        <v>2</v>
      </c>
      <c r="KD452" s="13">
        <v>2</v>
      </c>
      <c r="KE452" s="13">
        <v>1</v>
      </c>
      <c r="KF452" s="13"/>
      <c r="KG452" s="13"/>
      <c r="KH452" s="13"/>
      <c r="KI452" s="13"/>
      <c r="KJ452" s="770">
        <f t="shared" si="103"/>
        <v>3</v>
      </c>
      <c r="KK452" s="770">
        <f t="shared" si="103"/>
        <v>5</v>
      </c>
      <c r="KL452" s="770"/>
      <c r="KM452" s="770"/>
      <c r="KN452" s="770" t="s">
        <v>707</v>
      </c>
      <c r="KO452" s="770"/>
      <c r="KP452" s="770"/>
      <c r="KQ452" s="770"/>
      <c r="KR452" s="770"/>
      <c r="KS452" s="770"/>
      <c r="KT452" s="770"/>
      <c r="KU452" s="770"/>
      <c r="KV452" s="770">
        <v>2</v>
      </c>
      <c r="KW452" s="770"/>
      <c r="KX452" s="770"/>
      <c r="KY452" s="770">
        <v>1</v>
      </c>
      <c r="KZ452" s="770">
        <v>1</v>
      </c>
      <c r="LA452" s="770">
        <v>3</v>
      </c>
      <c r="LB452" s="770"/>
      <c r="LC452" s="770">
        <v>1</v>
      </c>
      <c r="LD452" s="770"/>
      <c r="LE452" s="770">
        <v>1</v>
      </c>
      <c r="LF452" s="770"/>
      <c r="LG452" s="770"/>
      <c r="LH452" s="770"/>
      <c r="LI452" s="770"/>
      <c r="LJ452" s="770"/>
      <c r="LK452" s="770"/>
      <c r="LL452" s="770"/>
      <c r="LM452" s="770"/>
      <c r="LN452" s="766">
        <f t="shared" si="111"/>
        <v>3</v>
      </c>
      <c r="LO452" s="766">
        <f t="shared" si="111"/>
        <v>6</v>
      </c>
      <c r="LP452" s="770">
        <v>3</v>
      </c>
      <c r="LQ452" s="770">
        <v>3</v>
      </c>
      <c r="LR452" s="770"/>
      <c r="LS452" s="770"/>
      <c r="LT452" s="770"/>
      <c r="LU452" s="770">
        <v>3</v>
      </c>
      <c r="LV452" s="770"/>
      <c r="LW452" s="770"/>
      <c r="LX452" s="769"/>
      <c r="LY452" s="766" t="str">
        <f t="shared" si="119"/>
        <v/>
      </c>
      <c r="LZ452" s="1709">
        <v>200</v>
      </c>
      <c r="MA452" s="1709"/>
      <c r="MB452" s="1709"/>
      <c r="MC452" s="1679">
        <f t="shared" si="110"/>
        <v>200</v>
      </c>
      <c r="MD452" s="1709">
        <v>16000</v>
      </c>
      <c r="ME452" s="1709"/>
      <c r="MF452" s="1709"/>
      <c r="MG452" s="1680">
        <f t="shared" si="121"/>
        <v>16000</v>
      </c>
      <c r="MH452" s="770" t="s">
        <v>1835</v>
      </c>
      <c r="MI452" s="302">
        <v>9000</v>
      </c>
      <c r="MJ452" s="302">
        <v>6000</v>
      </c>
      <c r="MK452" s="302">
        <v>50</v>
      </c>
      <c r="ML452" s="302">
        <v>2000</v>
      </c>
      <c r="MM452" s="302">
        <v>2000</v>
      </c>
      <c r="MN452" s="302"/>
      <c r="MO452" s="302">
        <v>750</v>
      </c>
      <c r="MP452" s="302">
        <v>3000</v>
      </c>
      <c r="MQ452" s="302">
        <v>520</v>
      </c>
      <c r="MR452" s="302">
        <v>1500</v>
      </c>
      <c r="MS452" s="302">
        <v>10000</v>
      </c>
      <c r="MT452" s="302"/>
      <c r="MU452" s="302"/>
      <c r="MV452" s="302"/>
      <c r="MW452" s="302"/>
      <c r="MX452" s="302">
        <v>80</v>
      </c>
      <c r="MY452" s="1682">
        <f t="shared" si="122"/>
        <v>34900</v>
      </c>
      <c r="MZ452" s="770" t="s">
        <v>13370</v>
      </c>
      <c r="NA452" s="770" t="s">
        <v>13005</v>
      </c>
      <c r="NB452" s="770" t="s">
        <v>13583</v>
      </c>
      <c r="NC452" s="766" t="s">
        <v>13523</v>
      </c>
      <c r="ND452" s="770">
        <v>0</v>
      </c>
      <c r="NE452" s="770">
        <v>1</v>
      </c>
      <c r="NF452" s="770">
        <v>0</v>
      </c>
      <c r="NG452" s="770">
        <v>5</v>
      </c>
      <c r="NH452" s="770">
        <v>2</v>
      </c>
      <c r="NI452" s="770">
        <v>1</v>
      </c>
      <c r="NJ452" s="770">
        <v>0</v>
      </c>
      <c r="NK452" s="770">
        <v>0</v>
      </c>
      <c r="NL452" s="770">
        <v>1</v>
      </c>
      <c r="NM452" s="770">
        <v>1</v>
      </c>
      <c r="NN452" s="770">
        <v>0</v>
      </c>
      <c r="NO452" s="770">
        <v>0</v>
      </c>
      <c r="NP452" s="770">
        <v>0</v>
      </c>
      <c r="NQ452" s="770">
        <v>0</v>
      </c>
      <c r="NR452" s="770">
        <v>0</v>
      </c>
      <c r="NS452" s="770">
        <v>0</v>
      </c>
      <c r="NT452" s="770">
        <v>0</v>
      </c>
      <c r="NU452" s="770">
        <v>0</v>
      </c>
      <c r="NV452" s="770">
        <v>0</v>
      </c>
      <c r="NW452" s="770">
        <v>0</v>
      </c>
      <c r="NX452" s="770">
        <v>0</v>
      </c>
      <c r="NY452" s="770" t="s">
        <v>1208</v>
      </c>
      <c r="NZ452" s="770"/>
      <c r="OA452" s="770" t="s">
        <v>1208</v>
      </c>
      <c r="OB452" s="770"/>
      <c r="OC452" s="770" t="s">
        <v>1208</v>
      </c>
      <c r="OD452" s="770"/>
      <c r="OE452" s="770"/>
      <c r="OF452" s="770"/>
      <c r="OG452" s="770"/>
      <c r="OH452" s="770"/>
      <c r="OI452" s="770"/>
      <c r="OJ452" s="770"/>
      <c r="OK452" s="770"/>
      <c r="OL452" s="770"/>
      <c r="OM452" s="770"/>
      <c r="ON452" s="770"/>
      <c r="OO452" s="770"/>
      <c r="OP452" s="770"/>
      <c r="OQ452" s="770"/>
      <c r="OR452" s="770"/>
      <c r="OS452" s="770"/>
      <c r="OT452" s="770"/>
      <c r="OU452" s="770"/>
      <c r="OV452" s="770"/>
      <c r="OW452" s="770"/>
      <c r="OX452" s="770"/>
      <c r="OY452" s="770"/>
      <c r="OZ452" s="770"/>
      <c r="PA452" s="770"/>
      <c r="PB452" s="770"/>
      <c r="PC452" s="770"/>
      <c r="PD452" s="770"/>
      <c r="PE452" s="770"/>
      <c r="PF452" s="770" t="s">
        <v>1208</v>
      </c>
      <c r="PG452" s="770" t="s">
        <v>1208</v>
      </c>
      <c r="PH452" s="770" t="s">
        <v>1208</v>
      </c>
      <c r="PI452" s="770"/>
      <c r="PJ452" s="770"/>
      <c r="PK452" s="770" t="s">
        <v>1208</v>
      </c>
      <c r="PL452" s="770"/>
      <c r="PM452" s="770"/>
      <c r="PN452" s="770"/>
      <c r="PO452" s="770"/>
      <c r="PP452" s="770"/>
      <c r="PQ452" s="770"/>
      <c r="PR452" s="770"/>
      <c r="PS452" s="770"/>
      <c r="PT452" s="770"/>
      <c r="PU452" s="770"/>
      <c r="PV452" s="770"/>
      <c r="PW452" s="770"/>
      <c r="PX452" s="770"/>
      <c r="PY452" s="770"/>
      <c r="PZ452" s="770"/>
      <c r="QA452" s="770"/>
      <c r="QB452" s="770"/>
      <c r="QC452" s="770"/>
      <c r="QD452" s="770"/>
      <c r="QE452" s="770"/>
      <c r="QF452" s="770"/>
      <c r="QG452" s="770"/>
      <c r="QH452" s="770"/>
      <c r="QI452" s="770"/>
      <c r="QJ452" s="770"/>
      <c r="QK452" s="770"/>
      <c r="QL452" s="770"/>
      <c r="QM452" s="770"/>
      <c r="QN452" s="770"/>
      <c r="QO452" s="770"/>
      <c r="QP452" s="770"/>
      <c r="QQ452" s="770"/>
      <c r="QR452" s="770"/>
      <c r="QS452" s="770"/>
      <c r="QT452" s="770"/>
      <c r="QU452" s="770"/>
      <c r="QV452" s="770"/>
      <c r="QW452" s="770"/>
      <c r="QX452" s="770"/>
      <c r="QY452" s="770"/>
      <c r="QZ452" s="770"/>
      <c r="RA452" s="770"/>
      <c r="RB452" s="770" t="s">
        <v>1207</v>
      </c>
      <c r="RC452" s="770">
        <v>2016</v>
      </c>
      <c r="RD452" s="770" t="s">
        <v>13589</v>
      </c>
      <c r="RE452" s="770" t="s">
        <v>12999</v>
      </c>
      <c r="RF452" s="304">
        <v>4</v>
      </c>
      <c r="RG452" s="770" t="s">
        <v>13047</v>
      </c>
      <c r="RH452" s="302">
        <v>0</v>
      </c>
      <c r="RI452" s="770">
        <v>1</v>
      </c>
      <c r="RJ452" s="770" t="s">
        <v>13597</v>
      </c>
      <c r="RK452" s="770" t="s">
        <v>13544</v>
      </c>
      <c r="RL452" s="1710">
        <v>42826</v>
      </c>
      <c r="RM452" s="12"/>
      <c r="RN452" s="1711"/>
      <c r="RO452" s="132" t="s">
        <v>2520</v>
      </c>
      <c r="RP452" s="11"/>
      <c r="RQ452" s="11"/>
      <c r="RR452" s="17"/>
      <c r="RS452" s="767"/>
      <c r="RT452" s="11"/>
      <c r="RU452" s="11"/>
      <c r="RV452" s="771" t="s">
        <v>7419</v>
      </c>
      <c r="RW452" s="11" t="s">
        <v>8105</v>
      </c>
      <c r="RX452" s="11" t="s">
        <v>2504</v>
      </c>
      <c r="RY452" s="11"/>
      <c r="RZ452" s="11" t="s">
        <v>1101</v>
      </c>
      <c r="SA452" s="771"/>
      <c r="SB452" s="11"/>
      <c r="SC452" s="11"/>
    </row>
    <row r="453" spans="1:497" ht="12.75" customHeight="1">
      <c r="A453" s="19" t="s">
        <v>7421</v>
      </c>
      <c r="B453" s="752" t="s">
        <v>7747</v>
      </c>
      <c r="C453" s="132" t="s">
        <v>2527</v>
      </c>
      <c r="D453" s="94" t="s">
        <v>2528</v>
      </c>
      <c r="E453" s="766" t="s">
        <v>7850</v>
      </c>
      <c r="F453" s="770" t="s">
        <v>28</v>
      </c>
      <c r="G453" s="770" t="s">
        <v>10</v>
      </c>
      <c r="H453" s="770"/>
      <c r="I453" s="295"/>
      <c r="J453" s="94"/>
      <c r="K453" s="770"/>
      <c r="L453" s="770"/>
      <c r="M453" s="770" t="s">
        <v>2402</v>
      </c>
      <c r="N453" s="770"/>
      <c r="O453" s="770" t="s">
        <v>2403</v>
      </c>
      <c r="P453" s="770" t="s">
        <v>7851</v>
      </c>
      <c r="Q453" s="1088"/>
      <c r="R453" s="297"/>
      <c r="S453" s="770" t="s">
        <v>10</v>
      </c>
      <c r="T453" s="770"/>
      <c r="U453" s="298"/>
      <c r="V453" s="770" t="s">
        <v>707</v>
      </c>
      <c r="W453" s="770"/>
      <c r="X453" s="770"/>
      <c r="Y453" s="770" t="s">
        <v>7852</v>
      </c>
      <c r="Z453" s="770" t="s">
        <v>708</v>
      </c>
      <c r="AA453" s="770" t="s">
        <v>709</v>
      </c>
      <c r="AB453" s="770"/>
      <c r="AC453" s="770"/>
      <c r="AD453" s="770"/>
      <c r="AE453" s="770"/>
      <c r="AF453" s="770"/>
      <c r="AG453" s="766" t="s">
        <v>1132</v>
      </c>
      <c r="AH453" s="766" t="s">
        <v>1096</v>
      </c>
      <c r="AI453" s="770"/>
      <c r="AJ453" s="770" t="s">
        <v>1137</v>
      </c>
      <c r="AK453" s="770" t="s">
        <v>1101</v>
      </c>
      <c r="AL453" s="531">
        <v>16</v>
      </c>
      <c r="AM453" s="780">
        <v>16</v>
      </c>
      <c r="AN453" s="532">
        <f>AM453/AL453</f>
        <v>1</v>
      </c>
      <c r="AO453" s="766" t="s">
        <v>1122</v>
      </c>
      <c r="AP453" s="766"/>
      <c r="AQ453" s="766"/>
      <c r="AR453" s="766"/>
      <c r="AS453" s="770"/>
      <c r="AT453" s="770"/>
      <c r="AU453" s="770"/>
      <c r="AV453" s="770"/>
      <c r="AW453" s="770"/>
      <c r="AX453" s="770"/>
      <c r="AY453" s="770"/>
      <c r="AZ453" s="770"/>
      <c r="BA453" s="770"/>
      <c r="BB453" s="770"/>
      <c r="BC453" s="770"/>
      <c r="BD453" s="770"/>
      <c r="BE453" s="770"/>
      <c r="BF453" s="302"/>
      <c r="BG453" s="302"/>
      <c r="BH453" s="770"/>
      <c r="BI453" s="770"/>
      <c r="BJ453" s="770"/>
      <c r="BK453" s="770"/>
      <c r="BL453" s="770"/>
      <c r="BM453" s="766"/>
      <c r="BN453" s="770"/>
      <c r="BO453" s="770"/>
      <c r="BP453" s="1109"/>
      <c r="BQ453" s="773"/>
      <c r="BR453" s="774"/>
      <c r="BS453" s="766"/>
      <c r="BT453" s="770"/>
      <c r="BU453" s="770"/>
      <c r="BV453" s="770"/>
      <c r="BW453" s="770"/>
      <c r="BX453" s="302"/>
      <c r="BY453" s="770"/>
      <c r="BZ453" s="302"/>
      <c r="CA453" s="770"/>
      <c r="CB453" s="770" t="s">
        <v>1207</v>
      </c>
      <c r="CC453" s="770" t="s">
        <v>7417</v>
      </c>
      <c r="CD453" s="770"/>
      <c r="CE453" s="770"/>
      <c r="CF453" s="1753">
        <v>1</v>
      </c>
      <c r="CG453" s="1754">
        <v>0.5</v>
      </c>
      <c r="CH453" s="770" t="s">
        <v>3684</v>
      </c>
      <c r="CI453" s="770"/>
      <c r="CJ453" s="770"/>
      <c r="CK453" s="770">
        <v>4</v>
      </c>
      <c r="CL453" s="770" t="s">
        <v>1249</v>
      </c>
      <c r="CM453" s="770" t="s">
        <v>3399</v>
      </c>
      <c r="CN453" s="770"/>
      <c r="CO453" s="770" t="s">
        <v>1257</v>
      </c>
      <c r="CP453" s="770"/>
      <c r="CQ453" s="770"/>
      <c r="CR453" s="302"/>
      <c r="CS453" s="770"/>
      <c r="CT453" s="770"/>
      <c r="CU453" s="305"/>
      <c r="CV453" s="770"/>
      <c r="CW453" s="770"/>
      <c r="CX453" s="770"/>
      <c r="CY453" s="770"/>
      <c r="CZ453" s="770"/>
      <c r="DA453" s="306"/>
      <c r="DB453" s="770"/>
      <c r="DC453" s="770"/>
      <c r="DD453" s="770"/>
      <c r="DE453" s="300"/>
      <c r="DF453" s="770"/>
      <c r="DG453" s="770"/>
      <c r="DH453" s="770"/>
      <c r="DI453" s="770"/>
      <c r="DJ453" s="770"/>
      <c r="DK453" s="770"/>
      <c r="DL453" s="770"/>
      <c r="DM453" s="770"/>
      <c r="DN453" s="322"/>
      <c r="DO453" s="770"/>
      <c r="DP453" s="770"/>
      <c r="DQ453" s="770"/>
      <c r="DR453" s="770"/>
      <c r="DS453" s="307"/>
      <c r="DT453" s="770"/>
      <c r="DU453" s="770"/>
      <c r="DV453" s="770"/>
      <c r="DW453" s="306"/>
      <c r="DX453" s="306"/>
      <c r="DY453" s="770"/>
      <c r="DZ453" s="770"/>
      <c r="EA453" s="770"/>
      <c r="EB453" s="770"/>
      <c r="EC453" s="770"/>
      <c r="ED453" s="770"/>
      <c r="EE453" s="770"/>
      <c r="EF453" s="770"/>
      <c r="EG453" s="770"/>
      <c r="EH453" s="770"/>
      <c r="EI453" s="770"/>
      <c r="EJ453" s="770"/>
      <c r="EK453" s="770"/>
      <c r="EL453" s="770"/>
      <c r="EM453" s="770"/>
      <c r="EN453" s="770"/>
      <c r="EO453" s="770"/>
      <c r="EP453" s="94"/>
      <c r="EQ453" s="770"/>
      <c r="ER453" s="770"/>
      <c r="ES453" s="770"/>
      <c r="ET453" s="770"/>
      <c r="EU453" s="770"/>
      <c r="EV453" s="770"/>
      <c r="EW453" s="770"/>
      <c r="EX453" s="770"/>
      <c r="EY453" s="770"/>
      <c r="EZ453" s="770"/>
      <c r="FA453" s="770"/>
      <c r="FB453" s="770"/>
      <c r="FC453" s="770"/>
      <c r="FD453" s="302"/>
      <c r="FE453" s="770"/>
      <c r="FF453" s="770"/>
      <c r="FG453" s="770"/>
      <c r="FH453" s="770"/>
      <c r="FI453" s="770"/>
      <c r="FJ453" s="770"/>
      <c r="FK453" s="770"/>
      <c r="FL453" s="770"/>
      <c r="FM453" s="302"/>
      <c r="FN453" s="302"/>
      <c r="FO453" s="302"/>
      <c r="FP453" s="770"/>
      <c r="FQ453" s="770"/>
      <c r="FR453" s="770"/>
      <c r="FS453" s="770"/>
      <c r="FT453" s="770"/>
      <c r="FU453" s="770"/>
      <c r="FV453" s="770"/>
      <c r="FW453" s="770"/>
      <c r="FX453" s="770"/>
      <c r="FY453" s="770"/>
      <c r="FZ453" s="770"/>
      <c r="GA453" s="770"/>
      <c r="GB453" s="770"/>
      <c r="GC453" s="308"/>
      <c r="GD453" s="297"/>
      <c r="GE453" s="770"/>
      <c r="GF453" s="302"/>
      <c r="GG453" s="302"/>
      <c r="GH453" s="770"/>
      <c r="GI453" s="770"/>
      <c r="GJ453" s="770"/>
      <c r="GK453" s="770"/>
      <c r="GL453" s="770"/>
      <c r="GM453" s="770"/>
      <c r="GN453" s="299"/>
      <c r="GO453" s="770"/>
      <c r="GP453" s="770"/>
      <c r="GQ453" s="770"/>
      <c r="GR453" s="770"/>
      <c r="GS453" s="770"/>
      <c r="GT453" s="770"/>
      <c r="GU453" s="770"/>
      <c r="GV453" s="770"/>
      <c r="GW453" s="770"/>
      <c r="GX453" s="770"/>
      <c r="GY453" s="770"/>
      <c r="GZ453" s="770"/>
      <c r="HA453" s="770"/>
      <c r="HB453" s="770"/>
      <c r="HC453" s="770"/>
      <c r="HD453" s="770"/>
      <c r="HE453" s="770"/>
      <c r="HF453" s="770"/>
      <c r="HG453" s="770"/>
      <c r="HH453" s="770"/>
      <c r="HI453" s="770"/>
      <c r="HJ453" s="770"/>
      <c r="HK453" s="770"/>
      <c r="HL453" s="770"/>
      <c r="HM453" s="770"/>
      <c r="HN453" s="770"/>
      <c r="HO453" s="770"/>
      <c r="HP453" s="770"/>
      <c r="HQ453" s="770"/>
      <c r="HR453" s="770"/>
      <c r="HS453" s="770"/>
      <c r="HT453" s="770"/>
      <c r="HU453" s="770"/>
      <c r="HV453" s="770"/>
      <c r="HW453" s="770"/>
      <c r="HX453" s="770"/>
      <c r="HY453" s="770"/>
      <c r="HZ453" s="770"/>
      <c r="IA453" s="770"/>
      <c r="IB453" s="770"/>
      <c r="IC453" s="770"/>
      <c r="ID453" s="770"/>
      <c r="IE453" s="770"/>
      <c r="IF453" s="770"/>
      <c r="IG453" s="770"/>
      <c r="IH453" s="770"/>
      <c r="II453" s="770"/>
      <c r="IJ453" s="770"/>
      <c r="IK453" s="770"/>
      <c r="IL453" s="770"/>
      <c r="IM453" s="770"/>
      <c r="IN453" s="770"/>
      <c r="IO453" s="296"/>
      <c r="IP453" s="770"/>
      <c r="IQ453" s="770"/>
      <c r="IR453" s="770"/>
      <c r="IS453" s="770"/>
      <c r="IT453" s="770"/>
      <c r="IU453" s="770"/>
      <c r="IV453" s="770"/>
      <c r="IW453" s="770"/>
      <c r="IX453" s="770"/>
      <c r="IY453" s="770"/>
      <c r="IZ453" s="770"/>
      <c r="JA453" s="770"/>
      <c r="JB453" s="770"/>
      <c r="JC453" s="770"/>
      <c r="JD453" s="302"/>
      <c r="JE453" s="770"/>
      <c r="JF453" s="770"/>
      <c r="JG453" s="770"/>
      <c r="JH453" s="307"/>
      <c r="JI453" s="307"/>
      <c r="JJ453" s="770">
        <v>5</v>
      </c>
      <c r="JK453" s="770" t="s">
        <v>13598</v>
      </c>
      <c r="JL453" s="13"/>
      <c r="JM453" s="13">
        <v>4</v>
      </c>
      <c r="JN453" s="13">
        <v>1</v>
      </c>
      <c r="JO453" s="13"/>
      <c r="JP453" s="13"/>
      <c r="JQ453" s="13"/>
      <c r="JR453" s="13"/>
      <c r="JS453" s="13"/>
      <c r="JT453" s="766">
        <f t="shared" si="123"/>
        <v>1</v>
      </c>
      <c r="JU453" s="766">
        <f t="shared" si="123"/>
        <v>4</v>
      </c>
      <c r="JV453" s="766"/>
      <c r="JW453" s="766"/>
      <c r="JX453" s="13"/>
      <c r="JY453" s="13"/>
      <c r="JZ453" s="13"/>
      <c r="KA453" s="13"/>
      <c r="KB453" s="13"/>
      <c r="KC453" s="13"/>
      <c r="KD453" s="13"/>
      <c r="KE453" s="13"/>
      <c r="KF453" s="13"/>
      <c r="KG453" s="13"/>
      <c r="KH453" s="13"/>
      <c r="KI453" s="13"/>
      <c r="KJ453" s="770"/>
      <c r="KK453" s="770"/>
      <c r="KL453" s="770"/>
      <c r="KM453" s="770"/>
      <c r="KN453" s="770" t="s">
        <v>707</v>
      </c>
      <c r="KO453" s="770"/>
      <c r="KP453" s="770"/>
      <c r="KQ453" s="770"/>
      <c r="KR453" s="770"/>
      <c r="KS453" s="770"/>
      <c r="KT453" s="770"/>
      <c r="KU453" s="770"/>
      <c r="KV453" s="770"/>
      <c r="KW453" s="770"/>
      <c r="KX453" s="770">
        <v>1</v>
      </c>
      <c r="KY453" s="770"/>
      <c r="KZ453" s="770">
        <v>3</v>
      </c>
      <c r="LA453" s="770">
        <v>1</v>
      </c>
      <c r="LB453" s="770"/>
      <c r="LC453" s="770"/>
      <c r="LD453" s="770"/>
      <c r="LE453" s="770"/>
      <c r="LF453" s="770"/>
      <c r="LG453" s="770"/>
      <c r="LH453" s="770"/>
      <c r="LI453" s="770"/>
      <c r="LJ453" s="770"/>
      <c r="LK453" s="770"/>
      <c r="LL453" s="770"/>
      <c r="LM453" s="770"/>
      <c r="LN453" s="766">
        <f t="shared" si="111"/>
        <v>4</v>
      </c>
      <c r="LO453" s="766">
        <f t="shared" si="111"/>
        <v>1</v>
      </c>
      <c r="LP453" s="770">
        <v>2</v>
      </c>
      <c r="LQ453" s="770">
        <v>2</v>
      </c>
      <c r="LR453" s="770"/>
      <c r="LS453" s="770"/>
      <c r="LT453" s="770"/>
      <c r="LU453" s="770">
        <v>2</v>
      </c>
      <c r="LV453" s="770"/>
      <c r="LW453" s="770"/>
      <c r="LX453" s="769">
        <v>3</v>
      </c>
      <c r="LY453" s="766" t="str">
        <f t="shared" si="119"/>
        <v>within the PROVINCE</v>
      </c>
      <c r="LZ453" s="1709">
        <f>SUM(4500,1800)</f>
        <v>6300</v>
      </c>
      <c r="MA453" s="1709"/>
      <c r="MB453" s="1709"/>
      <c r="MC453" s="1679">
        <f t="shared" si="110"/>
        <v>6300</v>
      </c>
      <c r="MD453" s="1777"/>
      <c r="ME453" s="1777"/>
      <c r="MF453" s="1777"/>
      <c r="MG453" s="1680">
        <f t="shared" si="121"/>
        <v>0</v>
      </c>
      <c r="MH453" s="13"/>
      <c r="MI453" s="302">
        <v>14000</v>
      </c>
      <c r="MJ453" s="302">
        <v>9300</v>
      </c>
      <c r="MK453" s="302">
        <v>3000</v>
      </c>
      <c r="ML453" s="302">
        <v>300</v>
      </c>
      <c r="MM453" s="302">
        <v>2000</v>
      </c>
      <c r="MN453" s="302"/>
      <c r="MO453" s="302">
        <v>1000</v>
      </c>
      <c r="MP453" s="302">
        <v>1500</v>
      </c>
      <c r="MQ453" s="302">
        <v>1500</v>
      </c>
      <c r="MR453" s="302">
        <v>800</v>
      </c>
      <c r="MS453" s="302">
        <v>1000</v>
      </c>
      <c r="MT453" s="302"/>
      <c r="MU453" s="302"/>
      <c r="MV453" s="302"/>
      <c r="MW453" s="302"/>
      <c r="MX453" s="302"/>
      <c r="MY453" s="1682">
        <f t="shared" si="122"/>
        <v>34400</v>
      </c>
      <c r="MZ453" s="770" t="s">
        <v>13370</v>
      </c>
      <c r="NA453" s="770" t="s">
        <v>13005</v>
      </c>
      <c r="NB453" s="770" t="s">
        <v>13583</v>
      </c>
      <c r="NC453" s="766" t="s">
        <v>13523</v>
      </c>
      <c r="ND453" s="770">
        <v>0</v>
      </c>
      <c r="NE453" s="770">
        <v>1</v>
      </c>
      <c r="NF453" s="770">
        <v>1</v>
      </c>
      <c r="NG453" s="770">
        <v>1</v>
      </c>
      <c r="NH453" s="770">
        <v>1</v>
      </c>
      <c r="NI453" s="770">
        <v>1</v>
      </c>
      <c r="NJ453" s="770">
        <v>1</v>
      </c>
      <c r="NK453" s="770">
        <v>0</v>
      </c>
      <c r="NL453" s="770">
        <v>1</v>
      </c>
      <c r="NM453" s="770">
        <v>1</v>
      </c>
      <c r="NN453" s="770">
        <v>0</v>
      </c>
      <c r="NO453" s="770">
        <v>0</v>
      </c>
      <c r="NP453" s="770">
        <v>0</v>
      </c>
      <c r="NQ453" s="770">
        <v>0</v>
      </c>
      <c r="NR453" s="770">
        <v>0</v>
      </c>
      <c r="NS453" s="770">
        <v>0</v>
      </c>
      <c r="NT453" s="770">
        <v>0</v>
      </c>
      <c r="NU453" s="770">
        <v>0</v>
      </c>
      <c r="NV453" s="770">
        <v>0</v>
      </c>
      <c r="NW453" s="770">
        <v>0</v>
      </c>
      <c r="NX453" s="770">
        <v>0</v>
      </c>
      <c r="NY453" s="770" t="s">
        <v>1208</v>
      </c>
      <c r="NZ453" s="770" t="s">
        <v>1208</v>
      </c>
      <c r="OA453" s="770" t="s">
        <v>1208</v>
      </c>
      <c r="OB453" s="770" t="s">
        <v>1208</v>
      </c>
      <c r="OC453" s="770" t="s">
        <v>1208</v>
      </c>
      <c r="OD453" s="770" t="s">
        <v>1208</v>
      </c>
      <c r="OE453" s="770"/>
      <c r="OF453" s="770"/>
      <c r="OG453" s="770"/>
      <c r="OH453" s="770"/>
      <c r="OI453" s="770"/>
      <c r="OJ453" s="770"/>
      <c r="OK453" s="770"/>
      <c r="OL453" s="770"/>
      <c r="OM453" s="770"/>
      <c r="ON453" s="770"/>
      <c r="OO453" s="770"/>
      <c r="OP453" s="770"/>
      <c r="OQ453" s="770"/>
      <c r="OR453" s="770"/>
      <c r="OS453" s="770"/>
      <c r="OT453" s="770"/>
      <c r="OU453" s="770"/>
      <c r="OV453" s="770"/>
      <c r="OW453" s="770"/>
      <c r="OX453" s="770"/>
      <c r="OY453" s="770"/>
      <c r="OZ453" s="770"/>
      <c r="PA453" s="770"/>
      <c r="PB453" s="770"/>
      <c r="PC453" s="770"/>
      <c r="PD453" s="770"/>
      <c r="PE453" s="770"/>
      <c r="PF453" s="770"/>
      <c r="PG453" s="770"/>
      <c r="PH453" s="770"/>
      <c r="PI453" s="770"/>
      <c r="PJ453" s="770"/>
      <c r="PK453" s="770" t="s">
        <v>1208</v>
      </c>
      <c r="PL453" s="770"/>
      <c r="PM453" s="770"/>
      <c r="PN453" s="770"/>
      <c r="PO453" s="770"/>
      <c r="PP453" s="770"/>
      <c r="PQ453" s="770"/>
      <c r="PR453" s="770"/>
      <c r="PS453" s="770"/>
      <c r="PT453" s="770"/>
      <c r="PU453" s="770"/>
      <c r="PV453" s="770"/>
      <c r="PW453" s="770"/>
      <c r="PX453" s="770"/>
      <c r="PY453" s="770"/>
      <c r="PZ453" s="770"/>
      <c r="QA453" s="770"/>
      <c r="QB453" s="770"/>
      <c r="QC453" s="770"/>
      <c r="QD453" s="770"/>
      <c r="QE453" s="770"/>
      <c r="QF453" s="770"/>
      <c r="QG453" s="770"/>
      <c r="QH453" s="770"/>
      <c r="QI453" s="770"/>
      <c r="QJ453" s="770"/>
      <c r="QK453" s="770"/>
      <c r="QL453" s="770"/>
      <c r="QM453" s="770"/>
      <c r="QN453" s="770"/>
      <c r="QO453" s="770"/>
      <c r="QP453" s="770"/>
      <c r="QQ453" s="770"/>
      <c r="QR453" s="770"/>
      <c r="QS453" s="770"/>
      <c r="QT453" s="770"/>
      <c r="QU453" s="770"/>
      <c r="QV453" s="770"/>
      <c r="QW453" s="770"/>
      <c r="QX453" s="770"/>
      <c r="QY453" s="770"/>
      <c r="QZ453" s="770"/>
      <c r="RA453" s="770" t="s">
        <v>13599</v>
      </c>
      <c r="RB453" s="770" t="s">
        <v>1207</v>
      </c>
      <c r="RC453" s="770">
        <v>2016</v>
      </c>
      <c r="RD453" s="770"/>
      <c r="RE453" s="770" t="s">
        <v>12999</v>
      </c>
      <c r="RF453" s="304"/>
      <c r="RG453" s="770"/>
      <c r="RH453" s="302">
        <v>0</v>
      </c>
      <c r="RI453" s="770">
        <v>3</v>
      </c>
      <c r="RJ453" s="770" t="s">
        <v>13600</v>
      </c>
      <c r="RK453" s="770" t="s">
        <v>13552</v>
      </c>
      <c r="RL453" s="1710">
        <v>42826</v>
      </c>
      <c r="RM453" s="12"/>
      <c r="RN453" s="1711"/>
      <c r="RO453" s="132" t="s">
        <v>2527</v>
      </c>
      <c r="RP453" s="11"/>
      <c r="RQ453" s="11"/>
      <c r="RR453" s="17"/>
      <c r="RS453" s="767"/>
      <c r="RT453" s="11"/>
      <c r="RU453" s="11"/>
      <c r="RV453" s="771" t="s">
        <v>7421</v>
      </c>
      <c r="RW453" s="11" t="s">
        <v>7745</v>
      </c>
      <c r="RX453" s="11" t="s">
        <v>2519</v>
      </c>
      <c r="RY453" s="11"/>
      <c r="RZ453" s="11"/>
      <c r="SA453" s="771"/>
      <c r="SB453" s="11"/>
      <c r="SC453" s="11"/>
    </row>
    <row r="454" spans="1:497" ht="12.75" customHeight="1">
      <c r="A454" s="19" t="s">
        <v>7421</v>
      </c>
      <c r="B454" s="752" t="s">
        <v>7848</v>
      </c>
      <c r="C454" s="133" t="s">
        <v>2529</v>
      </c>
      <c r="D454" s="94" t="s">
        <v>2530</v>
      </c>
      <c r="E454" s="766" t="s">
        <v>7853</v>
      </c>
      <c r="F454" s="770" t="s">
        <v>28</v>
      </c>
      <c r="G454" s="770" t="s">
        <v>18</v>
      </c>
      <c r="H454" s="770"/>
      <c r="I454" s="295" t="s">
        <v>2536</v>
      </c>
      <c r="J454" s="94" t="s">
        <v>2530</v>
      </c>
      <c r="K454" s="766" t="s">
        <v>2421</v>
      </c>
      <c r="L454" s="766" t="s">
        <v>2461</v>
      </c>
      <c r="M454" s="770" t="s">
        <v>1238</v>
      </c>
      <c r="N454" s="770"/>
      <c r="O454" s="770" t="s">
        <v>2358</v>
      </c>
      <c r="P454" s="770" t="s">
        <v>3485</v>
      </c>
      <c r="Q454" s="1088">
        <v>33514</v>
      </c>
      <c r="R454" s="297">
        <v>25</v>
      </c>
      <c r="S454" s="770" t="s">
        <v>18</v>
      </c>
      <c r="T454" s="770"/>
      <c r="U454" s="298"/>
      <c r="V454" s="770" t="s">
        <v>722</v>
      </c>
      <c r="W454" s="770"/>
      <c r="X454" s="770"/>
      <c r="Y454" s="770" t="s">
        <v>2531</v>
      </c>
      <c r="Z454" s="770" t="s">
        <v>708</v>
      </c>
      <c r="AA454" s="770" t="s">
        <v>709</v>
      </c>
      <c r="AB454" s="770" t="s">
        <v>7273</v>
      </c>
      <c r="AC454" s="770" t="s">
        <v>724</v>
      </c>
      <c r="AD454" s="770"/>
      <c r="AE454" s="770"/>
      <c r="AF454" s="770" t="s">
        <v>798</v>
      </c>
      <c r="AG454" s="766" t="s">
        <v>1132</v>
      </c>
      <c r="AH454" s="766" t="s">
        <v>1100</v>
      </c>
      <c r="AI454" s="770"/>
      <c r="AJ454" s="770" t="s">
        <v>1137</v>
      </c>
      <c r="AK454" s="770" t="s">
        <v>1101</v>
      </c>
      <c r="AL454" s="531">
        <v>1.45</v>
      </c>
      <c r="AM454" s="780">
        <v>1.45</v>
      </c>
      <c r="AN454" s="532">
        <v>1</v>
      </c>
      <c r="AO454" s="766" t="s">
        <v>1122</v>
      </c>
      <c r="AP454" s="766"/>
      <c r="AQ454" s="766"/>
      <c r="AR454" s="766"/>
      <c r="AS454" s="770"/>
      <c r="AT454" s="770"/>
      <c r="AU454" s="770"/>
      <c r="AV454" s="770"/>
      <c r="AW454" s="770"/>
      <c r="AX454" s="770"/>
      <c r="AY454" s="770"/>
      <c r="AZ454" s="770"/>
      <c r="BA454" s="770"/>
      <c r="BB454" s="770"/>
      <c r="BC454" s="770"/>
      <c r="BD454" s="770"/>
      <c r="BE454" s="770"/>
      <c r="BF454" s="302"/>
      <c r="BG454" s="302"/>
      <c r="BH454" s="770"/>
      <c r="BI454" s="770"/>
      <c r="BJ454" s="770"/>
      <c r="BK454" s="770"/>
      <c r="BL454" s="770"/>
      <c r="BM454" s="766"/>
      <c r="BN454" s="770"/>
      <c r="BO454" s="770"/>
      <c r="BP454" s="1109"/>
      <c r="BQ454" s="773"/>
      <c r="BR454" s="774"/>
      <c r="BS454" s="766"/>
      <c r="BT454" s="770"/>
      <c r="BU454" s="770"/>
      <c r="BV454" s="770"/>
      <c r="BW454" s="770"/>
      <c r="BX454" s="302"/>
      <c r="BY454" s="770"/>
      <c r="BZ454" s="302"/>
      <c r="CA454" s="770"/>
      <c r="CB454" s="770" t="s">
        <v>1207</v>
      </c>
      <c r="CC454" s="770"/>
      <c r="CD454" s="770"/>
      <c r="CE454" s="770"/>
      <c r="CF454" s="1753"/>
      <c r="CG454" s="1754"/>
      <c r="CH454" s="770"/>
      <c r="CI454" s="770"/>
      <c r="CJ454" s="770"/>
      <c r="CK454" s="770"/>
      <c r="CL454" s="770"/>
      <c r="CM454" s="770"/>
      <c r="CN454" s="770"/>
      <c r="CO454" s="770"/>
      <c r="CP454" s="770"/>
      <c r="CQ454" s="770"/>
      <c r="CR454" s="302"/>
      <c r="CS454" s="770"/>
      <c r="CT454" s="770"/>
      <c r="CU454" s="305"/>
      <c r="CV454" s="770"/>
      <c r="CW454" s="770"/>
      <c r="CX454" s="770"/>
      <c r="CY454" s="770"/>
      <c r="CZ454" s="770"/>
      <c r="DA454" s="306"/>
      <c r="DB454" s="770"/>
      <c r="DC454" s="770"/>
      <c r="DD454" s="770"/>
      <c r="DE454" s="300"/>
      <c r="DF454" s="770"/>
      <c r="DG454" s="770"/>
      <c r="DH454" s="770"/>
      <c r="DI454" s="770"/>
      <c r="DJ454" s="770"/>
      <c r="DK454" s="770"/>
      <c r="DL454" s="770"/>
      <c r="DM454" s="770"/>
      <c r="DN454" s="322"/>
      <c r="DO454" s="770"/>
      <c r="DP454" s="770"/>
      <c r="DQ454" s="770"/>
      <c r="DR454" s="770"/>
      <c r="DS454" s="307"/>
      <c r="DT454" s="770"/>
      <c r="DU454" s="770"/>
      <c r="DV454" s="770"/>
      <c r="DW454" s="306"/>
      <c r="DX454" s="306"/>
      <c r="DY454" s="770"/>
      <c r="DZ454" s="770"/>
      <c r="EA454" s="770"/>
      <c r="EB454" s="770"/>
      <c r="EC454" s="770"/>
      <c r="ED454" s="770"/>
      <c r="EE454" s="770"/>
      <c r="EF454" s="770"/>
      <c r="EG454" s="770"/>
      <c r="EH454" s="770"/>
      <c r="EI454" s="770"/>
      <c r="EJ454" s="770"/>
      <c r="EK454" s="770"/>
      <c r="EL454" s="770"/>
      <c r="EM454" s="770"/>
      <c r="EN454" s="770"/>
      <c r="EO454" s="770"/>
      <c r="EP454" s="94"/>
      <c r="EQ454" s="770"/>
      <c r="ER454" s="770"/>
      <c r="ES454" s="770"/>
      <c r="ET454" s="770"/>
      <c r="EU454" s="770"/>
      <c r="EV454" s="770"/>
      <c r="EW454" s="770"/>
      <c r="EX454" s="770"/>
      <c r="EY454" s="770"/>
      <c r="EZ454" s="770" t="s">
        <v>3486</v>
      </c>
      <c r="FA454" s="770" t="s">
        <v>2204</v>
      </c>
      <c r="FB454" s="770" t="s">
        <v>1257</v>
      </c>
      <c r="FC454" s="770"/>
      <c r="FD454" s="302"/>
      <c r="FE454" s="770" t="s">
        <v>2204</v>
      </c>
      <c r="FF454" s="770" t="s">
        <v>2532</v>
      </c>
      <c r="FG454" s="770"/>
      <c r="FH454" s="770"/>
      <c r="FI454" s="770"/>
      <c r="FJ454" s="770"/>
      <c r="FK454" s="770"/>
      <c r="FL454" s="770"/>
      <c r="FM454" s="302"/>
      <c r="FN454" s="302"/>
      <c r="FO454" s="302"/>
      <c r="FP454" s="770"/>
      <c r="FQ454" s="770"/>
      <c r="FR454" s="770" t="s">
        <v>1214</v>
      </c>
      <c r="FS454" s="770"/>
      <c r="FT454" s="770"/>
      <c r="FU454" s="770"/>
      <c r="FV454" s="770"/>
      <c r="FW454" s="770"/>
      <c r="FX454" s="770"/>
      <c r="FY454" s="770"/>
      <c r="FZ454" s="770"/>
      <c r="GA454" s="770"/>
      <c r="GB454" s="770"/>
      <c r="GC454" s="308"/>
      <c r="GD454" s="297"/>
      <c r="GE454" s="770"/>
      <c r="GF454" s="302"/>
      <c r="GG454" s="302"/>
      <c r="GH454" s="770"/>
      <c r="GI454" s="770"/>
      <c r="GJ454" s="770"/>
      <c r="GK454" s="770"/>
      <c r="GL454" s="770"/>
      <c r="GM454" s="770"/>
      <c r="GN454" s="299"/>
      <c r="GO454" s="770"/>
      <c r="GP454" s="770"/>
      <c r="GQ454" s="770"/>
      <c r="GR454" s="770"/>
      <c r="GS454" s="770"/>
      <c r="GT454" s="770"/>
      <c r="GU454" s="770"/>
      <c r="GV454" s="770"/>
      <c r="GW454" s="770"/>
      <c r="GX454" s="770"/>
      <c r="GY454" s="770"/>
      <c r="GZ454" s="770"/>
      <c r="HA454" s="770"/>
      <c r="HB454" s="770"/>
      <c r="HC454" s="770"/>
      <c r="HD454" s="770"/>
      <c r="HE454" s="770"/>
      <c r="HF454" s="770"/>
      <c r="HG454" s="770"/>
      <c r="HH454" s="770"/>
      <c r="HI454" s="770"/>
      <c r="HJ454" s="770"/>
      <c r="HK454" s="770"/>
      <c r="HL454" s="770"/>
      <c r="HM454" s="770"/>
      <c r="HN454" s="770"/>
      <c r="HO454" s="770"/>
      <c r="HP454" s="770"/>
      <c r="HQ454" s="770"/>
      <c r="HR454" s="770"/>
      <c r="HS454" s="770"/>
      <c r="HT454" s="770"/>
      <c r="HU454" s="770"/>
      <c r="HV454" s="770"/>
      <c r="HW454" s="770"/>
      <c r="HX454" s="770"/>
      <c r="HY454" s="770"/>
      <c r="HZ454" s="770"/>
      <c r="IA454" s="770"/>
      <c r="IB454" s="770"/>
      <c r="IC454" s="770"/>
      <c r="ID454" s="770"/>
      <c r="IE454" s="770"/>
      <c r="IF454" s="770" t="s">
        <v>2530</v>
      </c>
      <c r="IG454" s="770" t="s">
        <v>18</v>
      </c>
      <c r="IH454" s="770" t="s">
        <v>478</v>
      </c>
      <c r="II454" s="770" t="s">
        <v>2533</v>
      </c>
      <c r="IJ454" s="770" t="s">
        <v>1835</v>
      </c>
      <c r="IK454" s="766" t="s">
        <v>1888</v>
      </c>
      <c r="IL454" s="770" t="s">
        <v>2534</v>
      </c>
      <c r="IM454" s="770">
        <v>2010</v>
      </c>
      <c r="IN454" s="770" t="s">
        <v>2534</v>
      </c>
      <c r="IO454" s="296"/>
      <c r="IP454" s="770" t="s">
        <v>2535</v>
      </c>
      <c r="IQ454" s="13" t="s">
        <v>8142</v>
      </c>
      <c r="IR454" s="770" t="s">
        <v>1964</v>
      </c>
      <c r="IS454" s="770" t="s">
        <v>1879</v>
      </c>
      <c r="IT454" s="770"/>
      <c r="IU454" s="770" t="s">
        <v>1208</v>
      </c>
      <c r="IV454" s="770"/>
      <c r="IW454" s="770" t="s">
        <v>13601</v>
      </c>
      <c r="IX454" s="770"/>
      <c r="IY454" s="770" t="s">
        <v>2536</v>
      </c>
      <c r="IZ454" s="770"/>
      <c r="JA454" s="770" t="s">
        <v>1880</v>
      </c>
      <c r="JB454" s="770" t="s">
        <v>1901</v>
      </c>
      <c r="JC454" s="770"/>
      <c r="JD454" s="302">
        <v>1500</v>
      </c>
      <c r="JE454" s="770"/>
      <c r="JF454" s="770"/>
      <c r="JG454" s="770"/>
      <c r="JH454" s="307"/>
      <c r="JI454" s="307"/>
      <c r="JJ454" s="770"/>
      <c r="JK454" s="770"/>
      <c r="JL454" s="770"/>
      <c r="JM454" s="770"/>
      <c r="JN454" s="770"/>
      <c r="JO454" s="770"/>
      <c r="JP454" s="770"/>
      <c r="JQ454" s="770"/>
      <c r="JR454" s="770"/>
      <c r="JS454" s="770"/>
      <c r="JT454" s="766"/>
      <c r="JU454" s="766"/>
      <c r="JV454" s="766"/>
      <c r="JW454" s="766"/>
      <c r="JX454" s="770"/>
      <c r="JY454" s="770"/>
      <c r="JZ454" s="770"/>
      <c r="KA454" s="770"/>
      <c r="KB454" s="770"/>
      <c r="KC454" s="770"/>
      <c r="KD454" s="770"/>
      <c r="KE454" s="770"/>
      <c r="KF454" s="770"/>
      <c r="KG454" s="770"/>
      <c r="KH454" s="770"/>
      <c r="KI454" s="770"/>
      <c r="KJ454" s="770"/>
      <c r="KK454" s="770"/>
      <c r="KL454" s="770"/>
      <c r="KM454" s="770"/>
      <c r="KN454" s="770"/>
      <c r="KO454" s="770"/>
      <c r="KP454" s="770"/>
      <c r="KQ454" s="770"/>
      <c r="KR454" s="770"/>
      <c r="KS454" s="770"/>
      <c r="KT454" s="770"/>
      <c r="KU454" s="770"/>
      <c r="KV454" s="770"/>
      <c r="KW454" s="770"/>
      <c r="KX454" s="770"/>
      <c r="KY454" s="770"/>
      <c r="KZ454" s="770"/>
      <c r="LA454" s="770"/>
      <c r="LB454" s="770"/>
      <c r="LC454" s="770"/>
      <c r="LD454" s="770"/>
      <c r="LE454" s="770"/>
      <c r="LF454" s="770"/>
      <c r="LG454" s="770"/>
      <c r="LH454" s="770"/>
      <c r="LI454" s="770"/>
      <c r="LJ454" s="770"/>
      <c r="LK454" s="770"/>
      <c r="LL454" s="770"/>
      <c r="LM454" s="770"/>
      <c r="LN454" s="766"/>
      <c r="LO454" s="766"/>
      <c r="LP454" s="770"/>
      <c r="LQ454" s="770"/>
      <c r="LR454" s="770"/>
      <c r="LS454" s="770"/>
      <c r="LT454" s="770"/>
      <c r="LU454" s="770"/>
      <c r="LV454" s="770"/>
      <c r="LW454" s="770"/>
      <c r="LX454" s="769"/>
      <c r="LY454" s="766" t="str">
        <f t="shared" si="119"/>
        <v/>
      </c>
      <c r="LZ454" s="1709"/>
      <c r="MA454" s="1709"/>
      <c r="MB454" s="1709"/>
      <c r="MC454" s="1679">
        <f t="shared" si="110"/>
        <v>0</v>
      </c>
      <c r="MD454" s="1709"/>
      <c r="ME454" s="1709"/>
      <c r="MF454" s="1709"/>
      <c r="MG454" s="1680">
        <f t="shared" si="121"/>
        <v>0</v>
      </c>
      <c r="MH454" s="770"/>
      <c r="MI454" s="302"/>
      <c r="MJ454" s="302"/>
      <c r="MK454" s="302"/>
      <c r="ML454" s="302"/>
      <c r="MM454" s="302"/>
      <c r="MN454" s="302"/>
      <c r="MO454" s="302"/>
      <c r="MP454" s="302"/>
      <c r="MQ454" s="302"/>
      <c r="MR454" s="302"/>
      <c r="MS454" s="302"/>
      <c r="MT454" s="302"/>
      <c r="MU454" s="302"/>
      <c r="MV454" s="302"/>
      <c r="MW454" s="302"/>
      <c r="MX454" s="302"/>
      <c r="MY454" s="1682">
        <f t="shared" si="122"/>
        <v>0</v>
      </c>
      <c r="MZ454" s="770"/>
      <c r="NA454" s="770"/>
      <c r="NB454" s="770"/>
      <c r="NC454" s="770"/>
      <c r="ND454" s="770"/>
      <c r="NE454" s="770"/>
      <c r="NF454" s="770"/>
      <c r="NG454" s="770"/>
      <c r="NH454" s="770"/>
      <c r="NI454" s="770"/>
      <c r="NJ454" s="770"/>
      <c r="NK454" s="770"/>
      <c r="NL454" s="770"/>
      <c r="NM454" s="770"/>
      <c r="NN454" s="770"/>
      <c r="NO454" s="770"/>
      <c r="NP454" s="770"/>
      <c r="NQ454" s="770"/>
      <c r="NR454" s="770"/>
      <c r="NS454" s="770"/>
      <c r="NT454" s="770"/>
      <c r="NU454" s="770"/>
      <c r="NV454" s="770"/>
      <c r="NW454" s="770"/>
      <c r="NX454" s="770"/>
      <c r="NY454" s="770"/>
      <c r="NZ454" s="770"/>
      <c r="OA454" s="770"/>
      <c r="OB454" s="770"/>
      <c r="OC454" s="770"/>
      <c r="OD454" s="770"/>
      <c r="OE454" s="770"/>
      <c r="OF454" s="770"/>
      <c r="OG454" s="770"/>
      <c r="OH454" s="770"/>
      <c r="OI454" s="770"/>
      <c r="OJ454" s="770"/>
      <c r="OK454" s="770"/>
      <c r="OL454" s="770"/>
      <c r="OM454" s="770"/>
      <c r="ON454" s="770"/>
      <c r="OO454" s="770"/>
      <c r="OP454" s="770"/>
      <c r="OQ454" s="770"/>
      <c r="OR454" s="770"/>
      <c r="OS454" s="770"/>
      <c r="OT454" s="770"/>
      <c r="OU454" s="770"/>
      <c r="OV454" s="770"/>
      <c r="OW454" s="770"/>
      <c r="OX454" s="770"/>
      <c r="OY454" s="770"/>
      <c r="OZ454" s="770"/>
      <c r="PA454" s="770"/>
      <c r="PB454" s="770"/>
      <c r="PC454" s="770"/>
      <c r="PD454" s="770"/>
      <c r="PE454" s="770"/>
      <c r="PF454" s="770"/>
      <c r="PG454" s="770"/>
      <c r="PH454" s="770"/>
      <c r="PI454" s="770"/>
      <c r="PJ454" s="770"/>
      <c r="PK454" s="770"/>
      <c r="PL454" s="770"/>
      <c r="PM454" s="770"/>
      <c r="PN454" s="770"/>
      <c r="PO454" s="770"/>
      <c r="PP454" s="770"/>
      <c r="PQ454" s="770"/>
      <c r="PR454" s="770"/>
      <c r="PS454" s="770"/>
      <c r="PT454" s="770"/>
      <c r="PU454" s="770"/>
      <c r="PV454" s="770"/>
      <c r="PW454" s="770"/>
      <c r="PX454" s="770"/>
      <c r="PY454" s="770"/>
      <c r="PZ454" s="770"/>
      <c r="QA454" s="770"/>
      <c r="QB454" s="770"/>
      <c r="QC454" s="770"/>
      <c r="QD454" s="770"/>
      <c r="QE454" s="770"/>
      <c r="QF454" s="770"/>
      <c r="QG454" s="770"/>
      <c r="QH454" s="770"/>
      <c r="QI454" s="770"/>
      <c r="QJ454" s="770"/>
      <c r="QK454" s="770"/>
      <c r="QL454" s="770"/>
      <c r="QM454" s="770"/>
      <c r="QN454" s="770"/>
      <c r="QO454" s="770"/>
      <c r="QP454" s="770"/>
      <c r="QQ454" s="770"/>
      <c r="QR454" s="770"/>
      <c r="QS454" s="770"/>
      <c r="QT454" s="770"/>
      <c r="QU454" s="770"/>
      <c r="QV454" s="770"/>
      <c r="QW454" s="770"/>
      <c r="QX454" s="770"/>
      <c r="QY454" s="770"/>
      <c r="QZ454" s="770"/>
      <c r="RA454" s="770"/>
      <c r="RB454" s="770"/>
      <c r="RC454" s="770"/>
      <c r="RD454" s="770"/>
      <c r="RE454" s="770"/>
      <c r="RF454" s="304"/>
      <c r="RG454" s="770"/>
      <c r="RH454" s="302"/>
      <c r="RI454" s="770"/>
      <c r="RJ454" s="770" t="s">
        <v>2534</v>
      </c>
      <c r="RK454" s="770" t="s">
        <v>13544</v>
      </c>
      <c r="RL454" s="1710"/>
      <c r="RM454" s="12"/>
      <c r="RN454" s="1711"/>
      <c r="RO454" s="133" t="s">
        <v>2529</v>
      </c>
      <c r="RP454" s="11"/>
      <c r="RQ454" s="11"/>
      <c r="RR454" s="17"/>
      <c r="RS454" s="767"/>
      <c r="RT454" s="11"/>
      <c r="RU454" s="11"/>
      <c r="RV454" s="771" t="s">
        <v>7421</v>
      </c>
      <c r="RW454" s="11" t="s">
        <v>7746</v>
      </c>
      <c r="RX454" s="11" t="s">
        <v>2520</v>
      </c>
      <c r="RY454" s="11"/>
      <c r="RZ454" s="11" t="s">
        <v>1101</v>
      </c>
      <c r="SA454" s="771"/>
      <c r="SB454" s="11"/>
      <c r="SC454" s="11"/>
    </row>
    <row r="455" spans="1:497" ht="12.75" customHeight="1">
      <c r="A455" s="19" t="s">
        <v>7421</v>
      </c>
      <c r="B455" s="752" t="s">
        <v>7749</v>
      </c>
      <c r="C455" s="132" t="s">
        <v>2537</v>
      </c>
      <c r="D455" s="94" t="s">
        <v>2538</v>
      </c>
      <c r="E455" s="766" t="s">
        <v>3488</v>
      </c>
      <c r="F455" s="770" t="s">
        <v>28</v>
      </c>
      <c r="G455" s="770" t="s">
        <v>10</v>
      </c>
      <c r="H455" s="14" t="s">
        <v>3489</v>
      </c>
      <c r="I455" s="295"/>
      <c r="J455" s="94" t="s">
        <v>2538</v>
      </c>
      <c r="K455" s="766" t="s">
        <v>2540</v>
      </c>
      <c r="L455" s="766" t="s">
        <v>2541</v>
      </c>
      <c r="M455" s="770" t="s">
        <v>1238</v>
      </c>
      <c r="N455" s="770"/>
      <c r="O455" s="770" t="s">
        <v>2542</v>
      </c>
      <c r="P455" s="770" t="s">
        <v>2543</v>
      </c>
      <c r="Q455" s="1088">
        <v>20194</v>
      </c>
      <c r="R455" s="297">
        <v>62</v>
      </c>
      <c r="S455" s="770" t="s">
        <v>10</v>
      </c>
      <c r="T455" s="94" t="s">
        <v>3489</v>
      </c>
      <c r="U455" s="298"/>
      <c r="V455" s="770" t="s">
        <v>707</v>
      </c>
      <c r="W455" s="770"/>
      <c r="X455" s="770"/>
      <c r="Y455" s="770" t="s">
        <v>2539</v>
      </c>
      <c r="Z455" s="770" t="s">
        <v>708</v>
      </c>
      <c r="AA455" s="770" t="s">
        <v>709</v>
      </c>
      <c r="AB455" s="770" t="s">
        <v>710</v>
      </c>
      <c r="AC455" s="770"/>
      <c r="AD455" s="770" t="s">
        <v>711</v>
      </c>
      <c r="AE455" s="770"/>
      <c r="AF455" s="770" t="s">
        <v>712</v>
      </c>
      <c r="AG455" s="766" t="s">
        <v>1132</v>
      </c>
      <c r="AH455" s="766" t="s">
        <v>1096</v>
      </c>
      <c r="AI455" s="770"/>
      <c r="AJ455" s="770" t="s">
        <v>1137</v>
      </c>
      <c r="AK455" s="770" t="s">
        <v>1101</v>
      </c>
      <c r="AL455" s="531">
        <v>16</v>
      </c>
      <c r="AM455" s="780">
        <v>16</v>
      </c>
      <c r="AN455" s="532">
        <f>AM455/AL455</f>
        <v>1</v>
      </c>
      <c r="AO455" s="766" t="s">
        <v>1122</v>
      </c>
      <c r="AP455" s="766"/>
      <c r="AQ455" s="766"/>
      <c r="AR455" s="766"/>
      <c r="AS455" s="770" t="s">
        <v>1207</v>
      </c>
      <c r="AT455" s="770" t="s">
        <v>1208</v>
      </c>
      <c r="AU455" s="770"/>
      <c r="AV455" s="770"/>
      <c r="AW455" s="770"/>
      <c r="AX455" s="13"/>
      <c r="AY455" s="770"/>
      <c r="AZ455" s="770"/>
      <c r="BA455" s="770"/>
      <c r="BB455" s="770"/>
      <c r="BC455" s="770"/>
      <c r="BD455" s="770"/>
      <c r="BE455" s="770"/>
      <c r="BF455" s="302"/>
      <c r="BG455" s="302"/>
      <c r="BH455" s="770"/>
      <c r="BI455" s="770"/>
      <c r="BJ455" s="770"/>
      <c r="BK455" s="770"/>
      <c r="BL455" s="770"/>
      <c r="BM455" s="766"/>
      <c r="BN455" s="770"/>
      <c r="BO455" s="770"/>
      <c r="BP455" s="1109"/>
      <c r="BQ455" s="773"/>
      <c r="BR455" s="774"/>
      <c r="BS455" s="766"/>
      <c r="BT455" s="770"/>
      <c r="BU455" s="770"/>
      <c r="BV455" s="770"/>
      <c r="BW455" s="770"/>
      <c r="BX455" s="302"/>
      <c r="BY455" s="770"/>
      <c r="BZ455" s="302"/>
      <c r="CA455" s="770"/>
      <c r="CB455" s="770" t="s">
        <v>1207</v>
      </c>
      <c r="CC455" s="770" t="s">
        <v>2544</v>
      </c>
      <c r="CD455" s="770">
        <v>2011</v>
      </c>
      <c r="CE455" s="770"/>
      <c r="CF455" s="1753">
        <v>0.7</v>
      </c>
      <c r="CG455" s="1754">
        <v>4.4000000000000004</v>
      </c>
      <c r="CH455" s="770" t="s">
        <v>2545</v>
      </c>
      <c r="CI455" s="770"/>
      <c r="CJ455" s="770"/>
      <c r="CK455" s="770">
        <v>8</v>
      </c>
      <c r="CL455" s="770" t="s">
        <v>1249</v>
      </c>
      <c r="CM455" s="770" t="s">
        <v>2546</v>
      </c>
      <c r="CN455" s="770"/>
      <c r="CO455" s="770" t="s">
        <v>1257</v>
      </c>
      <c r="CP455" s="770"/>
      <c r="CQ455" s="770"/>
      <c r="CR455" s="302"/>
      <c r="CS455" s="770"/>
      <c r="CT455" s="770"/>
      <c r="CU455" s="305"/>
      <c r="CV455" s="770"/>
      <c r="CW455" s="770"/>
      <c r="CX455" s="770"/>
      <c r="CY455" s="770"/>
      <c r="CZ455" s="770"/>
      <c r="DA455" s="306"/>
      <c r="DB455" s="770"/>
      <c r="DC455" s="770"/>
      <c r="DD455" s="770"/>
      <c r="DE455" s="300"/>
      <c r="DF455" s="770"/>
      <c r="DG455" s="770"/>
      <c r="DH455" s="770"/>
      <c r="DI455" s="770"/>
      <c r="DJ455" s="770"/>
      <c r="DK455" s="770"/>
      <c r="DL455" s="770"/>
      <c r="DM455" s="770"/>
      <c r="DN455" s="322"/>
      <c r="DO455" s="770"/>
      <c r="DP455" s="770"/>
      <c r="DQ455" s="770"/>
      <c r="DR455" s="770"/>
      <c r="DS455" s="307"/>
      <c r="DT455" s="770"/>
      <c r="DU455" s="770"/>
      <c r="DV455" s="770"/>
      <c r="DW455" s="306"/>
      <c r="DX455" s="306"/>
      <c r="DY455" s="770"/>
      <c r="DZ455" s="770"/>
      <c r="EA455" s="770"/>
      <c r="EB455" s="770"/>
      <c r="EC455" s="770"/>
      <c r="ED455" s="770"/>
      <c r="EE455" s="770"/>
      <c r="EF455" s="770"/>
      <c r="EG455" s="770"/>
      <c r="EH455" s="770"/>
      <c r="EI455" s="770"/>
      <c r="EJ455" s="770"/>
      <c r="EK455" s="770"/>
      <c r="EL455" s="770"/>
      <c r="EM455" s="770"/>
      <c r="EN455" s="770"/>
      <c r="EO455" s="770"/>
      <c r="EP455" s="94"/>
      <c r="EQ455" s="770"/>
      <c r="ER455" s="770"/>
      <c r="ES455" s="770"/>
      <c r="ET455" s="770"/>
      <c r="EU455" s="770"/>
      <c r="EV455" s="770"/>
      <c r="EW455" s="770"/>
      <c r="EX455" s="770"/>
      <c r="EY455" s="770"/>
      <c r="EZ455" s="770"/>
      <c r="FA455" s="770"/>
      <c r="FB455" s="770"/>
      <c r="FC455" s="770"/>
      <c r="FD455" s="302"/>
      <c r="FE455" s="770"/>
      <c r="FF455" s="770"/>
      <c r="FG455" s="770"/>
      <c r="FH455" s="770"/>
      <c r="FI455" s="770"/>
      <c r="FJ455" s="770"/>
      <c r="FK455" s="770"/>
      <c r="FL455" s="770"/>
      <c r="FM455" s="302"/>
      <c r="FN455" s="302"/>
      <c r="FO455" s="302"/>
      <c r="FP455" s="770"/>
      <c r="FQ455" s="770"/>
      <c r="FR455" s="770"/>
      <c r="FS455" s="770"/>
      <c r="FT455" s="770"/>
      <c r="FU455" s="770"/>
      <c r="FV455" s="770"/>
      <c r="FW455" s="770"/>
      <c r="FX455" s="770"/>
      <c r="FY455" s="770"/>
      <c r="FZ455" s="770"/>
      <c r="GA455" s="770"/>
      <c r="GB455" s="770"/>
      <c r="GC455" s="308"/>
      <c r="GD455" s="297"/>
      <c r="GE455" s="770"/>
      <c r="GF455" s="302"/>
      <c r="GG455" s="302"/>
      <c r="GH455" s="770"/>
      <c r="GI455" s="770"/>
      <c r="GJ455" s="770"/>
      <c r="GK455" s="770"/>
      <c r="GL455" s="770"/>
      <c r="GM455" s="770"/>
      <c r="GN455" s="299"/>
      <c r="GO455" s="770"/>
      <c r="GP455" s="770"/>
      <c r="GQ455" s="770"/>
      <c r="GR455" s="770"/>
      <c r="GS455" s="770"/>
      <c r="GT455" s="770"/>
      <c r="GU455" s="770"/>
      <c r="GV455" s="770"/>
      <c r="GW455" s="770"/>
      <c r="GX455" s="770"/>
      <c r="GY455" s="770"/>
      <c r="GZ455" s="770"/>
      <c r="HA455" s="770"/>
      <c r="HB455" s="770"/>
      <c r="HC455" s="770"/>
      <c r="HD455" s="770"/>
      <c r="HE455" s="770"/>
      <c r="HF455" s="770"/>
      <c r="HG455" s="770"/>
      <c r="HH455" s="770"/>
      <c r="HI455" s="770"/>
      <c r="HJ455" s="770"/>
      <c r="HK455" s="770"/>
      <c r="HL455" s="770"/>
      <c r="HM455" s="770"/>
      <c r="HN455" s="770"/>
      <c r="HO455" s="770"/>
      <c r="HP455" s="770"/>
      <c r="HQ455" s="770"/>
      <c r="HR455" s="770"/>
      <c r="HS455" s="770"/>
      <c r="HT455" s="770"/>
      <c r="HU455" s="770"/>
      <c r="HV455" s="770"/>
      <c r="HW455" s="770"/>
      <c r="HX455" s="770"/>
      <c r="HY455" s="770"/>
      <c r="HZ455" s="770"/>
      <c r="IA455" s="770"/>
      <c r="IB455" s="770" t="s">
        <v>1207</v>
      </c>
      <c r="IC455" s="770"/>
      <c r="ID455" s="770">
        <v>1</v>
      </c>
      <c r="IE455" s="770">
        <v>1</v>
      </c>
      <c r="IF455" s="770"/>
      <c r="IG455" s="770"/>
      <c r="IH455" s="770"/>
      <c r="II455" s="770"/>
      <c r="IJ455" s="770"/>
      <c r="IK455" s="770"/>
      <c r="IL455" s="770"/>
      <c r="IM455" s="770"/>
      <c r="IN455" s="770"/>
      <c r="IO455" s="296"/>
      <c r="IP455" s="770"/>
      <c r="IQ455" s="770"/>
      <c r="IR455" s="770"/>
      <c r="IS455" s="770"/>
      <c r="IT455" s="770"/>
      <c r="IU455" s="770"/>
      <c r="IV455" s="770"/>
      <c r="IW455" s="770"/>
      <c r="IX455" s="770"/>
      <c r="IY455" s="770"/>
      <c r="IZ455" s="770"/>
      <c r="JA455" s="770"/>
      <c r="JB455" s="770"/>
      <c r="JC455" s="770"/>
      <c r="JD455" s="302"/>
      <c r="JE455" s="770"/>
      <c r="JF455" s="770"/>
      <c r="JG455" s="770"/>
      <c r="JH455" s="307"/>
      <c r="JI455" s="307"/>
      <c r="JJ455" s="770">
        <v>6</v>
      </c>
      <c r="JK455" s="770" t="s">
        <v>2547</v>
      </c>
      <c r="JL455" s="770"/>
      <c r="JM455" s="770">
        <v>2</v>
      </c>
      <c r="JN455" s="770">
        <v>2</v>
      </c>
      <c r="JO455" s="770">
        <v>2</v>
      </c>
      <c r="JP455" s="770"/>
      <c r="JQ455" s="770"/>
      <c r="JR455" s="770"/>
      <c r="JS455" s="770"/>
      <c r="JT455" s="766">
        <f>SUM(JP455,JN455,JL455,JR455)</f>
        <v>2</v>
      </c>
      <c r="JU455" s="766">
        <f>SUM(JQ455,JO455,JM455,JS455)</f>
        <v>4</v>
      </c>
      <c r="JV455" s="766"/>
      <c r="JW455" s="766"/>
      <c r="JX455" s="770"/>
      <c r="JY455" s="770">
        <v>1</v>
      </c>
      <c r="JZ455" s="770"/>
      <c r="KA455" s="770">
        <v>1</v>
      </c>
      <c r="KB455" s="770"/>
      <c r="KC455" s="770">
        <v>1</v>
      </c>
      <c r="KD455" s="770">
        <v>1</v>
      </c>
      <c r="KE455" s="770">
        <v>1</v>
      </c>
      <c r="KF455" s="770">
        <v>1</v>
      </c>
      <c r="KG455" s="770"/>
      <c r="KH455" s="770"/>
      <c r="KI455" s="770"/>
      <c r="KJ455" s="770">
        <f t="shared" si="103"/>
        <v>2</v>
      </c>
      <c r="KK455" s="770">
        <f t="shared" si="103"/>
        <v>4</v>
      </c>
      <c r="KL455" s="770"/>
      <c r="KM455" s="770"/>
      <c r="KN455" s="770" t="s">
        <v>707</v>
      </c>
      <c r="KO455" s="770"/>
      <c r="KP455" s="770"/>
      <c r="KQ455" s="770"/>
      <c r="KR455" s="770"/>
      <c r="KS455" s="770">
        <v>1</v>
      </c>
      <c r="KT455" s="770"/>
      <c r="KU455" s="770">
        <v>1</v>
      </c>
      <c r="KV455" s="770"/>
      <c r="KW455" s="770"/>
      <c r="KX455" s="770"/>
      <c r="KY455" s="770"/>
      <c r="KZ455" s="770">
        <v>1</v>
      </c>
      <c r="LA455" s="770"/>
      <c r="LB455" s="770"/>
      <c r="LC455" s="770">
        <v>3</v>
      </c>
      <c r="LD455" s="770"/>
      <c r="LE455" s="770"/>
      <c r="LF455" s="770"/>
      <c r="LG455" s="770"/>
      <c r="LH455" s="770"/>
      <c r="LI455" s="770"/>
      <c r="LJ455" s="770"/>
      <c r="LK455" s="770"/>
      <c r="LL455" s="770"/>
      <c r="LM455" s="770"/>
      <c r="LN455" s="766">
        <f t="shared" si="111"/>
        <v>1</v>
      </c>
      <c r="LO455" s="766">
        <f t="shared" si="111"/>
        <v>5</v>
      </c>
      <c r="LP455" s="770">
        <v>2</v>
      </c>
      <c r="LQ455" s="770">
        <v>1</v>
      </c>
      <c r="LR455" s="770">
        <v>1</v>
      </c>
      <c r="LS455" s="770"/>
      <c r="LT455" s="770"/>
      <c r="LU455" s="770">
        <v>1</v>
      </c>
      <c r="LV455" s="770"/>
      <c r="LW455" s="770"/>
      <c r="LX455" s="769"/>
      <c r="LY455" s="766" t="str">
        <f t="shared" si="119"/>
        <v/>
      </c>
      <c r="LZ455" s="1709"/>
      <c r="MA455" s="1709"/>
      <c r="MB455" s="1709"/>
      <c r="MC455" s="1679">
        <f t="shared" si="110"/>
        <v>0</v>
      </c>
      <c r="MD455" s="1709">
        <v>20000</v>
      </c>
      <c r="ME455" s="1709">
        <v>10000</v>
      </c>
      <c r="MF455" s="1709"/>
      <c r="MG455" s="1680">
        <f t="shared" si="121"/>
        <v>30000</v>
      </c>
      <c r="MH455" s="770" t="s">
        <v>1835</v>
      </c>
      <c r="MI455" s="302">
        <f>500*30</f>
        <v>15000</v>
      </c>
      <c r="MJ455" s="302">
        <f>200*30</f>
        <v>6000</v>
      </c>
      <c r="MK455" s="302">
        <v>500</v>
      </c>
      <c r="ML455" s="302">
        <v>3000</v>
      </c>
      <c r="MM455" s="302">
        <v>10000</v>
      </c>
      <c r="MN455" s="302"/>
      <c r="MO455" s="302">
        <v>1000</v>
      </c>
      <c r="MP455" s="302">
        <v>2500</v>
      </c>
      <c r="MQ455" s="302">
        <v>570</v>
      </c>
      <c r="MR455" s="302">
        <v>2000</v>
      </c>
      <c r="MS455" s="302">
        <v>10000</v>
      </c>
      <c r="MT455" s="302"/>
      <c r="MU455" s="302"/>
      <c r="MV455" s="302"/>
      <c r="MW455" s="302"/>
      <c r="MX455" s="302">
        <f>700*4</f>
        <v>2800</v>
      </c>
      <c r="MY455" s="1682">
        <f t="shared" si="122"/>
        <v>53370</v>
      </c>
      <c r="MZ455" s="770" t="s">
        <v>13370</v>
      </c>
      <c r="NA455" s="770" t="s">
        <v>13005</v>
      </c>
      <c r="NB455" s="770" t="s">
        <v>13016</v>
      </c>
      <c r="NC455" s="770" t="s">
        <v>13602</v>
      </c>
      <c r="ND455" s="770">
        <v>0</v>
      </c>
      <c r="NE455" s="770">
        <v>0</v>
      </c>
      <c r="NF455" s="770">
        <v>0</v>
      </c>
      <c r="NG455" s="770">
        <v>6</v>
      </c>
      <c r="NH455" s="770">
        <v>3</v>
      </c>
      <c r="NI455" s="770">
        <v>1</v>
      </c>
      <c r="NJ455" s="770">
        <v>2</v>
      </c>
      <c r="NK455" s="770">
        <v>0</v>
      </c>
      <c r="NL455" s="770">
        <v>1</v>
      </c>
      <c r="NM455" s="770">
        <v>2</v>
      </c>
      <c r="NN455" s="770">
        <v>0</v>
      </c>
      <c r="NO455" s="770">
        <v>0</v>
      </c>
      <c r="NP455" s="770">
        <v>0</v>
      </c>
      <c r="NQ455" s="770">
        <v>0</v>
      </c>
      <c r="NR455" s="770">
        <v>0</v>
      </c>
      <c r="NS455" s="770">
        <v>0</v>
      </c>
      <c r="NT455" s="770">
        <v>0</v>
      </c>
      <c r="NU455" s="770">
        <v>0</v>
      </c>
      <c r="NV455" s="770">
        <v>0</v>
      </c>
      <c r="NW455" s="770">
        <v>0</v>
      </c>
      <c r="NX455" s="770">
        <v>0</v>
      </c>
      <c r="NY455" s="770" t="s">
        <v>1208</v>
      </c>
      <c r="NZ455" s="770" t="s">
        <v>1208</v>
      </c>
      <c r="OA455" s="770" t="s">
        <v>1208</v>
      </c>
      <c r="OB455" s="770" t="s">
        <v>1208</v>
      </c>
      <c r="OC455" s="770" t="s">
        <v>1208</v>
      </c>
      <c r="OD455" s="770"/>
      <c r="OE455" s="770"/>
      <c r="OF455" s="770"/>
      <c r="OG455" s="770"/>
      <c r="OH455" s="770"/>
      <c r="OI455" s="770"/>
      <c r="OJ455" s="770"/>
      <c r="OK455" s="770"/>
      <c r="OL455" s="770"/>
      <c r="OM455" s="770"/>
      <c r="ON455" s="770"/>
      <c r="OO455" s="770"/>
      <c r="OP455" s="770"/>
      <c r="OQ455" s="770"/>
      <c r="OR455" s="770"/>
      <c r="OS455" s="770"/>
      <c r="OT455" s="770"/>
      <c r="OU455" s="770"/>
      <c r="OV455" s="770"/>
      <c r="OW455" s="770"/>
      <c r="OX455" s="770"/>
      <c r="OY455" s="770"/>
      <c r="OZ455" s="770"/>
      <c r="PA455" s="770"/>
      <c r="PB455" s="770"/>
      <c r="PC455" s="770"/>
      <c r="PD455" s="770"/>
      <c r="PE455" s="770"/>
      <c r="PF455" s="770"/>
      <c r="PG455" s="770"/>
      <c r="PH455" s="770"/>
      <c r="PI455" s="770"/>
      <c r="PJ455" s="770"/>
      <c r="PK455" s="770" t="s">
        <v>1208</v>
      </c>
      <c r="PL455" s="770"/>
      <c r="PM455" s="770"/>
      <c r="PN455" s="770"/>
      <c r="PO455" s="770"/>
      <c r="PP455" s="770"/>
      <c r="PQ455" s="770"/>
      <c r="PR455" s="770"/>
      <c r="PS455" s="770" t="s">
        <v>1208</v>
      </c>
      <c r="PT455" s="770" t="s">
        <v>1208</v>
      </c>
      <c r="PU455" s="770"/>
      <c r="PV455" s="770"/>
      <c r="PW455" s="770"/>
      <c r="PX455" s="770"/>
      <c r="PY455" s="770"/>
      <c r="PZ455" s="770"/>
      <c r="QA455" s="770"/>
      <c r="QB455" s="770"/>
      <c r="QC455" s="770"/>
      <c r="QD455" s="770"/>
      <c r="QE455" s="770"/>
      <c r="QF455" s="770"/>
      <c r="QG455" s="770"/>
      <c r="QH455" s="770"/>
      <c r="QI455" s="770"/>
      <c r="QJ455" s="770"/>
      <c r="QK455" s="770"/>
      <c r="QL455" s="770"/>
      <c r="QM455" s="770"/>
      <c r="QN455" s="770"/>
      <c r="QO455" s="770"/>
      <c r="QP455" s="770"/>
      <c r="QQ455" s="770"/>
      <c r="QR455" s="770"/>
      <c r="QS455" s="770"/>
      <c r="QT455" s="770"/>
      <c r="QU455" s="770"/>
      <c r="QV455" s="770"/>
      <c r="QW455" s="770"/>
      <c r="QX455" s="770"/>
      <c r="QY455" s="770"/>
      <c r="QZ455" s="770"/>
      <c r="RA455" s="770"/>
      <c r="RB455" s="770" t="s">
        <v>1214</v>
      </c>
      <c r="RC455" s="770"/>
      <c r="RD455" s="770"/>
      <c r="RE455" s="770"/>
      <c r="RF455" s="304"/>
      <c r="RG455" s="770"/>
      <c r="RH455" s="302"/>
      <c r="RI455" s="770"/>
      <c r="RJ455" s="770" t="s">
        <v>2547</v>
      </c>
      <c r="RK455" s="770" t="s">
        <v>13544</v>
      </c>
      <c r="RL455" s="1710">
        <v>42826</v>
      </c>
      <c r="RM455" s="12"/>
      <c r="RN455" s="1711"/>
      <c r="RO455" s="132" t="s">
        <v>2537</v>
      </c>
      <c r="RP455" s="11"/>
      <c r="RQ455" s="11"/>
      <c r="RR455" s="17"/>
      <c r="RS455" s="767"/>
      <c r="RT455" s="11"/>
      <c r="RU455" s="11"/>
      <c r="RV455" s="771" t="s">
        <v>7421</v>
      </c>
      <c r="RW455" s="11" t="s">
        <v>7747</v>
      </c>
      <c r="RX455" s="11" t="s">
        <v>2527</v>
      </c>
      <c r="RY455" s="11"/>
      <c r="RZ455" s="11" t="s">
        <v>1101</v>
      </c>
      <c r="SA455" s="771"/>
      <c r="SB455" s="11"/>
      <c r="SC455" s="11"/>
    </row>
    <row r="456" spans="1:497" ht="12.75" customHeight="1">
      <c r="A456" s="19" t="s">
        <v>7421</v>
      </c>
      <c r="B456" s="752" t="s">
        <v>7750</v>
      </c>
      <c r="C456" s="132" t="s">
        <v>2548</v>
      </c>
      <c r="D456" s="94" t="s">
        <v>2549</v>
      </c>
      <c r="E456" s="766" t="s">
        <v>2550</v>
      </c>
      <c r="F456" s="770" t="s">
        <v>28</v>
      </c>
      <c r="G456" s="770" t="s">
        <v>10</v>
      </c>
      <c r="H456" s="770"/>
      <c r="I456" s="298" t="s">
        <v>2554</v>
      </c>
      <c r="J456" s="94"/>
      <c r="K456" s="766" t="s">
        <v>2551</v>
      </c>
      <c r="L456" s="766" t="s">
        <v>2552</v>
      </c>
      <c r="M456" s="770" t="s">
        <v>2402</v>
      </c>
      <c r="N456" s="770"/>
      <c r="O456" s="770" t="s">
        <v>2542</v>
      </c>
      <c r="P456" s="770" t="s">
        <v>2553</v>
      </c>
      <c r="Q456" s="1088">
        <v>25020</v>
      </c>
      <c r="R456" s="297">
        <v>48</v>
      </c>
      <c r="S456" s="770" t="s">
        <v>10</v>
      </c>
      <c r="T456" s="770"/>
      <c r="U456" s="298" t="s">
        <v>2554</v>
      </c>
      <c r="V456" s="770" t="s">
        <v>707</v>
      </c>
      <c r="W456" s="770"/>
      <c r="X456" s="770"/>
      <c r="Y456" s="770" t="s">
        <v>2550</v>
      </c>
      <c r="Z456" s="770" t="s">
        <v>708</v>
      </c>
      <c r="AA456" s="770" t="s">
        <v>709</v>
      </c>
      <c r="AB456" s="770" t="s">
        <v>710</v>
      </c>
      <c r="AC456" s="770" t="s">
        <v>724</v>
      </c>
      <c r="AD456" s="770" t="s">
        <v>711</v>
      </c>
      <c r="AE456" s="770"/>
      <c r="AF456" s="770" t="s">
        <v>712</v>
      </c>
      <c r="AG456" s="766" t="s">
        <v>1132</v>
      </c>
      <c r="AH456" s="766" t="s">
        <v>1096</v>
      </c>
      <c r="AI456" s="770"/>
      <c r="AJ456" s="770" t="s">
        <v>1137</v>
      </c>
      <c r="AK456" s="770" t="s">
        <v>1101</v>
      </c>
      <c r="AL456" s="531">
        <v>67.125</v>
      </c>
      <c r="AM456" s="780">
        <v>10.74</v>
      </c>
      <c r="AN456" s="532">
        <f>AM456/AL456</f>
        <v>0.16</v>
      </c>
      <c r="AO456" s="766" t="s">
        <v>1109</v>
      </c>
      <c r="AP456" s="766"/>
      <c r="AQ456" s="766"/>
      <c r="AR456" s="766"/>
      <c r="AS456" s="770" t="s">
        <v>1207</v>
      </c>
      <c r="AT456" s="770" t="s">
        <v>1208</v>
      </c>
      <c r="AU456" s="770"/>
      <c r="AV456" s="770"/>
      <c r="AW456" s="770"/>
      <c r="AX456" s="13"/>
      <c r="AY456" s="770"/>
      <c r="AZ456" s="770"/>
      <c r="BA456" s="770"/>
      <c r="BB456" s="770"/>
      <c r="BC456" s="770"/>
      <c r="BD456" s="770"/>
      <c r="BE456" s="770"/>
      <c r="BF456" s="302"/>
      <c r="BG456" s="302"/>
      <c r="BH456" s="770"/>
      <c r="BI456" s="770"/>
      <c r="BJ456" s="770"/>
      <c r="BK456" s="770"/>
      <c r="BL456" s="770"/>
      <c r="BM456" s="766"/>
      <c r="BN456" s="770"/>
      <c r="BO456" s="770"/>
      <c r="BP456" s="1109"/>
      <c r="BQ456" s="773"/>
      <c r="BR456" s="774"/>
      <c r="BS456" s="766"/>
      <c r="BT456" s="770"/>
      <c r="BU456" s="770"/>
      <c r="BV456" s="770"/>
      <c r="BW456" s="770"/>
      <c r="BX456" s="302"/>
      <c r="BY456" s="770"/>
      <c r="BZ456" s="302"/>
      <c r="CA456" s="770"/>
      <c r="CB456" s="770" t="s">
        <v>1207</v>
      </c>
      <c r="CC456" s="770" t="s">
        <v>2555</v>
      </c>
      <c r="CD456" s="770">
        <v>2016</v>
      </c>
      <c r="CE456" s="770"/>
      <c r="CF456" s="1753">
        <v>1.7</v>
      </c>
      <c r="CG456" s="1754">
        <v>23.95</v>
      </c>
      <c r="CH456" s="770" t="s">
        <v>2556</v>
      </c>
      <c r="CI456" s="770"/>
      <c r="CJ456" s="770" t="s">
        <v>2557</v>
      </c>
      <c r="CK456" s="770">
        <v>8</v>
      </c>
      <c r="CL456" s="770" t="s">
        <v>1249</v>
      </c>
      <c r="CM456" s="770" t="s">
        <v>2564</v>
      </c>
      <c r="CN456" s="770"/>
      <c r="CO456" s="770" t="s">
        <v>1257</v>
      </c>
      <c r="CP456" s="770"/>
      <c r="CQ456" s="770"/>
      <c r="CR456" s="302"/>
      <c r="CS456" s="770"/>
      <c r="CT456" s="770"/>
      <c r="CU456" s="305"/>
      <c r="CV456" s="770"/>
      <c r="CW456" s="770"/>
      <c r="CX456" s="770"/>
      <c r="CY456" s="770"/>
      <c r="CZ456" s="770"/>
      <c r="DA456" s="306"/>
      <c r="DB456" s="770"/>
      <c r="DC456" s="770"/>
      <c r="DD456" s="770"/>
      <c r="DE456" s="300"/>
      <c r="DF456" s="770"/>
      <c r="DG456" s="770"/>
      <c r="DH456" s="770"/>
      <c r="DI456" s="770"/>
      <c r="DJ456" s="770"/>
      <c r="DK456" s="770"/>
      <c r="DL456" s="770"/>
      <c r="DM456" s="770"/>
      <c r="DN456" s="322"/>
      <c r="DO456" s="770"/>
      <c r="DP456" s="770"/>
      <c r="DQ456" s="770"/>
      <c r="DR456" s="770"/>
      <c r="DS456" s="307"/>
      <c r="DT456" s="770"/>
      <c r="DU456" s="770"/>
      <c r="DV456" s="770"/>
      <c r="DW456" s="306"/>
      <c r="DX456" s="306"/>
      <c r="DY456" s="770"/>
      <c r="DZ456" s="770"/>
      <c r="EA456" s="770"/>
      <c r="EB456" s="770"/>
      <c r="EC456" s="770"/>
      <c r="ED456" s="770"/>
      <c r="EE456" s="770"/>
      <c r="EF456" s="770"/>
      <c r="EG456" s="770"/>
      <c r="EH456" s="770"/>
      <c r="EI456" s="770"/>
      <c r="EJ456" s="770"/>
      <c r="EK456" s="770"/>
      <c r="EL456" s="770"/>
      <c r="EM456" s="770"/>
      <c r="EN456" s="770"/>
      <c r="EO456" s="770"/>
      <c r="EP456" s="94"/>
      <c r="EQ456" s="770"/>
      <c r="ER456" s="770"/>
      <c r="ES456" s="770"/>
      <c r="ET456" s="770"/>
      <c r="EU456" s="770"/>
      <c r="EV456" s="770"/>
      <c r="EW456" s="770"/>
      <c r="EX456" s="770"/>
      <c r="EY456" s="770"/>
      <c r="EZ456" s="770"/>
      <c r="FA456" s="770"/>
      <c r="FB456" s="770"/>
      <c r="FC456" s="770"/>
      <c r="FD456" s="302"/>
      <c r="FE456" s="770"/>
      <c r="FF456" s="770"/>
      <c r="FG456" s="770"/>
      <c r="FH456" s="770"/>
      <c r="FI456" s="770"/>
      <c r="FJ456" s="770"/>
      <c r="FK456" s="770"/>
      <c r="FL456" s="770"/>
      <c r="FM456" s="302"/>
      <c r="FN456" s="302"/>
      <c r="FO456" s="302"/>
      <c r="FP456" s="770"/>
      <c r="FQ456" s="770"/>
      <c r="FR456" s="770"/>
      <c r="FS456" s="770"/>
      <c r="FT456" s="770"/>
      <c r="FU456" s="770"/>
      <c r="FV456" s="770"/>
      <c r="FW456" s="770"/>
      <c r="FX456" s="770"/>
      <c r="FY456" s="770"/>
      <c r="FZ456" s="770"/>
      <c r="GA456" s="770"/>
      <c r="GB456" s="770"/>
      <c r="GC456" s="308"/>
      <c r="GD456" s="297"/>
      <c r="GE456" s="770"/>
      <c r="GF456" s="302"/>
      <c r="GG456" s="302"/>
      <c r="GH456" s="770"/>
      <c r="GI456" s="770"/>
      <c r="GJ456" s="770"/>
      <c r="GK456" s="770"/>
      <c r="GL456" s="770"/>
      <c r="GM456" s="770"/>
      <c r="GN456" s="299"/>
      <c r="GO456" s="770"/>
      <c r="GP456" s="770"/>
      <c r="GQ456" s="770"/>
      <c r="GR456" s="770"/>
      <c r="GS456" s="770"/>
      <c r="GT456" s="770"/>
      <c r="GU456" s="770"/>
      <c r="GV456" s="770"/>
      <c r="GW456" s="770"/>
      <c r="GX456" s="770"/>
      <c r="GY456" s="770"/>
      <c r="GZ456" s="770"/>
      <c r="HA456" s="770"/>
      <c r="HB456" s="770"/>
      <c r="HC456" s="770"/>
      <c r="HD456" s="770"/>
      <c r="HE456" s="770"/>
      <c r="HF456" s="770"/>
      <c r="HG456" s="770"/>
      <c r="HH456" s="770"/>
      <c r="HI456" s="770"/>
      <c r="HJ456" s="770"/>
      <c r="HK456" s="770"/>
      <c r="HL456" s="770"/>
      <c r="HM456" s="770"/>
      <c r="HN456" s="770"/>
      <c r="HO456" s="770"/>
      <c r="HP456" s="770"/>
      <c r="HQ456" s="770"/>
      <c r="HR456" s="770"/>
      <c r="HS456" s="770"/>
      <c r="HT456" s="770"/>
      <c r="HU456" s="770"/>
      <c r="HV456" s="770"/>
      <c r="HW456" s="770"/>
      <c r="HX456" s="770"/>
      <c r="HY456" s="770"/>
      <c r="HZ456" s="770"/>
      <c r="IA456" s="770"/>
      <c r="IB456" s="770"/>
      <c r="IC456" s="770"/>
      <c r="ID456" s="770">
        <v>1</v>
      </c>
      <c r="IE456" s="770">
        <v>1</v>
      </c>
      <c r="IF456" s="770"/>
      <c r="IG456" s="770"/>
      <c r="IH456" s="770"/>
      <c r="II456" s="770"/>
      <c r="IJ456" s="770"/>
      <c r="IK456" s="770"/>
      <c r="IL456" s="770"/>
      <c r="IM456" s="770"/>
      <c r="IN456" s="770"/>
      <c r="IO456" s="296"/>
      <c r="IP456" s="770"/>
      <c r="IQ456" s="770"/>
      <c r="IR456" s="770"/>
      <c r="IS456" s="770"/>
      <c r="IT456" s="770"/>
      <c r="IU456" s="770"/>
      <c r="IV456" s="770"/>
      <c r="IW456" s="770"/>
      <c r="IX456" s="770"/>
      <c r="IY456" s="770"/>
      <c r="IZ456" s="770"/>
      <c r="JA456" s="770"/>
      <c r="JB456" s="770"/>
      <c r="JC456" s="770"/>
      <c r="JD456" s="302"/>
      <c r="JE456" s="770"/>
      <c r="JF456" s="770"/>
      <c r="JG456" s="770"/>
      <c r="JH456" s="307"/>
      <c r="JI456" s="307"/>
      <c r="JJ456" s="770"/>
      <c r="JK456" s="770"/>
      <c r="JL456" s="770"/>
      <c r="JM456" s="770"/>
      <c r="JN456" s="770"/>
      <c r="JO456" s="770"/>
      <c r="JP456" s="770"/>
      <c r="JQ456" s="770"/>
      <c r="JR456" s="770"/>
      <c r="JS456" s="770"/>
      <c r="JT456" s="766"/>
      <c r="JU456" s="766"/>
      <c r="JV456" s="766"/>
      <c r="JW456" s="766"/>
      <c r="JX456" s="770"/>
      <c r="JY456" s="770"/>
      <c r="JZ456" s="770"/>
      <c r="KA456" s="770"/>
      <c r="KB456" s="770"/>
      <c r="KC456" s="770"/>
      <c r="KD456" s="770"/>
      <c r="KE456" s="770"/>
      <c r="KF456" s="770"/>
      <c r="KG456" s="770"/>
      <c r="KH456" s="770"/>
      <c r="KI456" s="770"/>
      <c r="KJ456" s="770"/>
      <c r="KK456" s="770"/>
      <c r="KL456" s="770"/>
      <c r="KM456" s="770"/>
      <c r="KN456" s="770"/>
      <c r="KO456" s="770"/>
      <c r="KP456" s="770"/>
      <c r="KQ456" s="770"/>
      <c r="KR456" s="770"/>
      <c r="KS456" s="770"/>
      <c r="KT456" s="770"/>
      <c r="KU456" s="770"/>
      <c r="KV456" s="770"/>
      <c r="KW456" s="770"/>
      <c r="KX456" s="770"/>
      <c r="KY456" s="770"/>
      <c r="KZ456" s="770"/>
      <c r="LA456" s="770"/>
      <c r="LB456" s="770"/>
      <c r="LC456" s="770"/>
      <c r="LD456" s="770"/>
      <c r="LE456" s="770"/>
      <c r="LF456" s="770"/>
      <c r="LG456" s="770"/>
      <c r="LH456" s="770"/>
      <c r="LI456" s="770"/>
      <c r="LJ456" s="770"/>
      <c r="LK456" s="770"/>
      <c r="LL456" s="770"/>
      <c r="LM456" s="770"/>
      <c r="LN456" s="766"/>
      <c r="LO456" s="766"/>
      <c r="LP456" s="770"/>
      <c r="LQ456" s="770"/>
      <c r="LR456" s="770"/>
      <c r="LS456" s="770"/>
      <c r="LT456" s="770"/>
      <c r="LU456" s="770"/>
      <c r="LV456" s="770"/>
      <c r="LW456" s="770"/>
      <c r="LX456" s="769"/>
      <c r="LY456" s="766" t="str">
        <f t="shared" si="119"/>
        <v/>
      </c>
      <c r="LZ456" s="1709"/>
      <c r="MA456" s="1709"/>
      <c r="MB456" s="1709"/>
      <c r="MC456" s="1679">
        <f t="shared" si="110"/>
        <v>0</v>
      </c>
      <c r="MD456" s="1709"/>
      <c r="ME456" s="1709"/>
      <c r="MF456" s="1709"/>
      <c r="MG456" s="1680">
        <f t="shared" si="121"/>
        <v>0</v>
      </c>
      <c r="MH456" s="770"/>
      <c r="MI456" s="302"/>
      <c r="MJ456" s="302"/>
      <c r="MK456" s="302"/>
      <c r="ML456" s="302"/>
      <c r="MM456" s="302"/>
      <c r="MN456" s="302"/>
      <c r="MO456" s="302"/>
      <c r="MP456" s="302"/>
      <c r="MQ456" s="302"/>
      <c r="MR456" s="302"/>
      <c r="MS456" s="302"/>
      <c r="MT456" s="302"/>
      <c r="MU456" s="302"/>
      <c r="MV456" s="302"/>
      <c r="MW456" s="302"/>
      <c r="MX456" s="302"/>
      <c r="MY456" s="1682">
        <f t="shared" si="122"/>
        <v>0</v>
      </c>
      <c r="MZ456" s="770"/>
      <c r="NA456" s="770"/>
      <c r="NB456" s="770"/>
      <c r="NC456" s="770"/>
      <c r="ND456" s="770"/>
      <c r="NE456" s="770"/>
      <c r="NF456" s="770"/>
      <c r="NG456" s="770"/>
      <c r="NH456" s="770"/>
      <c r="NI456" s="770"/>
      <c r="NJ456" s="770"/>
      <c r="NK456" s="770"/>
      <c r="NL456" s="770"/>
      <c r="NM456" s="770"/>
      <c r="NN456" s="770"/>
      <c r="NO456" s="770"/>
      <c r="NP456" s="770"/>
      <c r="NQ456" s="770"/>
      <c r="NR456" s="770"/>
      <c r="NS456" s="770"/>
      <c r="NT456" s="770"/>
      <c r="NU456" s="770"/>
      <c r="NV456" s="770"/>
      <c r="NW456" s="770"/>
      <c r="NX456" s="770"/>
      <c r="NY456" s="770"/>
      <c r="NZ456" s="770"/>
      <c r="OA456" s="770"/>
      <c r="OB456" s="770"/>
      <c r="OC456" s="770"/>
      <c r="OD456" s="770"/>
      <c r="OE456" s="770"/>
      <c r="OF456" s="770"/>
      <c r="OG456" s="770"/>
      <c r="OH456" s="770"/>
      <c r="OI456" s="770"/>
      <c r="OJ456" s="770"/>
      <c r="OK456" s="770"/>
      <c r="OL456" s="770"/>
      <c r="OM456" s="770"/>
      <c r="ON456" s="770"/>
      <c r="OO456" s="770"/>
      <c r="OP456" s="770"/>
      <c r="OQ456" s="770"/>
      <c r="OR456" s="770"/>
      <c r="OS456" s="770"/>
      <c r="OT456" s="770"/>
      <c r="OU456" s="770"/>
      <c r="OV456" s="770"/>
      <c r="OW456" s="770"/>
      <c r="OX456" s="770"/>
      <c r="OY456" s="770"/>
      <c r="OZ456" s="770"/>
      <c r="PA456" s="770"/>
      <c r="PB456" s="770"/>
      <c r="PC456" s="770"/>
      <c r="PD456" s="770"/>
      <c r="PE456" s="770"/>
      <c r="PF456" s="770"/>
      <c r="PG456" s="770"/>
      <c r="PH456" s="770"/>
      <c r="PI456" s="770"/>
      <c r="PJ456" s="770"/>
      <c r="PK456" s="770"/>
      <c r="PL456" s="770"/>
      <c r="PM456" s="770"/>
      <c r="PN456" s="770"/>
      <c r="PO456" s="770"/>
      <c r="PP456" s="770"/>
      <c r="PQ456" s="770"/>
      <c r="PR456" s="770"/>
      <c r="PS456" s="770"/>
      <c r="PT456" s="770"/>
      <c r="PU456" s="770"/>
      <c r="PV456" s="770"/>
      <c r="PW456" s="770"/>
      <c r="PX456" s="770"/>
      <c r="PY456" s="770"/>
      <c r="PZ456" s="770"/>
      <c r="QA456" s="770"/>
      <c r="QB456" s="770"/>
      <c r="QC456" s="770"/>
      <c r="QD456" s="770"/>
      <c r="QE456" s="770"/>
      <c r="QF456" s="770"/>
      <c r="QG456" s="770"/>
      <c r="QH456" s="770"/>
      <c r="QI456" s="770"/>
      <c r="QJ456" s="770"/>
      <c r="QK456" s="770"/>
      <c r="QL456" s="770"/>
      <c r="QM456" s="770"/>
      <c r="QN456" s="770"/>
      <c r="QO456" s="770"/>
      <c r="QP456" s="770"/>
      <c r="QQ456" s="770"/>
      <c r="QR456" s="770"/>
      <c r="QS456" s="770"/>
      <c r="QT456" s="770"/>
      <c r="QU456" s="770"/>
      <c r="QV456" s="770"/>
      <c r="QW456" s="770"/>
      <c r="QX456" s="770"/>
      <c r="QY456" s="770"/>
      <c r="QZ456" s="770"/>
      <c r="RA456" s="770"/>
      <c r="RB456" s="770"/>
      <c r="RC456" s="770"/>
      <c r="RD456" s="770"/>
      <c r="RE456" s="770"/>
      <c r="RF456" s="304"/>
      <c r="RG456" s="770"/>
      <c r="RH456" s="302"/>
      <c r="RI456" s="770"/>
      <c r="RJ456" s="770" t="s">
        <v>13603</v>
      </c>
      <c r="RK456" s="770" t="s">
        <v>13556</v>
      </c>
      <c r="RL456" s="1710">
        <v>42826</v>
      </c>
      <c r="RM456" s="12"/>
      <c r="RN456" s="1711"/>
      <c r="RO456" s="132" t="s">
        <v>2548</v>
      </c>
      <c r="RP456" s="11"/>
      <c r="RQ456" s="11"/>
      <c r="RR456" s="17"/>
      <c r="RS456" s="767"/>
      <c r="RT456" s="11"/>
      <c r="RU456" s="11"/>
      <c r="RV456" s="771" t="s">
        <v>7421</v>
      </c>
      <c r="RW456" s="11" t="s">
        <v>7848</v>
      </c>
      <c r="RX456" s="11" t="s">
        <v>2529</v>
      </c>
      <c r="RY456" s="11"/>
      <c r="RZ456" s="11" t="s">
        <v>1101</v>
      </c>
      <c r="SA456" s="771"/>
      <c r="SB456" s="11"/>
      <c r="SC456" s="11"/>
    </row>
    <row r="457" spans="1:497" ht="12.75" customHeight="1">
      <c r="A457" s="19" t="s">
        <v>7421</v>
      </c>
      <c r="B457" s="752" t="s">
        <v>7751</v>
      </c>
      <c r="C457" s="132" t="s">
        <v>2558</v>
      </c>
      <c r="D457" s="94" t="s">
        <v>2559</v>
      </c>
      <c r="E457" s="766" t="s">
        <v>2560</v>
      </c>
      <c r="F457" s="770" t="s">
        <v>28</v>
      </c>
      <c r="G457" s="770" t="s">
        <v>10</v>
      </c>
      <c r="H457" s="766" t="s">
        <v>5318</v>
      </c>
      <c r="I457" s="295" t="s">
        <v>5321</v>
      </c>
      <c r="J457" s="94" t="s">
        <v>2559</v>
      </c>
      <c r="K457" s="770"/>
      <c r="L457" s="770"/>
      <c r="M457" s="770" t="s">
        <v>1238</v>
      </c>
      <c r="N457" s="770"/>
      <c r="O457" s="770" t="s">
        <v>2576</v>
      </c>
      <c r="P457" s="770" t="s">
        <v>2561</v>
      </c>
      <c r="Q457" s="1088">
        <v>21167</v>
      </c>
      <c r="R457" s="297">
        <v>59</v>
      </c>
      <c r="S457" s="770" t="s">
        <v>10</v>
      </c>
      <c r="T457" s="770"/>
      <c r="U457" s="295" t="s">
        <v>5321</v>
      </c>
      <c r="V457" s="770" t="s">
        <v>722</v>
      </c>
      <c r="W457" s="770"/>
      <c r="X457" s="770"/>
      <c r="Y457" s="770" t="s">
        <v>2560</v>
      </c>
      <c r="Z457" s="770" t="s">
        <v>708</v>
      </c>
      <c r="AA457" s="770" t="s">
        <v>2586</v>
      </c>
      <c r="AB457" s="770" t="s">
        <v>710</v>
      </c>
      <c r="AC457" s="770" t="s">
        <v>724</v>
      </c>
      <c r="AD457" s="770" t="s">
        <v>711</v>
      </c>
      <c r="AE457" s="770" t="s">
        <v>909</v>
      </c>
      <c r="AF457" s="770" t="s">
        <v>712</v>
      </c>
      <c r="AG457" s="766" t="s">
        <v>1132</v>
      </c>
      <c r="AH457" s="766" t="s">
        <v>1096</v>
      </c>
      <c r="AI457" s="770"/>
      <c r="AJ457" s="770" t="s">
        <v>1137</v>
      </c>
      <c r="AK457" s="770" t="s">
        <v>1101</v>
      </c>
      <c r="AL457" s="531">
        <v>16.89</v>
      </c>
      <c r="AM457" s="780">
        <v>16.89</v>
      </c>
      <c r="AN457" s="532">
        <f>AM457/AL457</f>
        <v>1</v>
      </c>
      <c r="AO457" s="766" t="s">
        <v>1122</v>
      </c>
      <c r="AP457" s="766"/>
      <c r="AQ457" s="766"/>
      <c r="AR457" s="766"/>
      <c r="AS457" s="770" t="s">
        <v>1207</v>
      </c>
      <c r="AT457" s="770" t="s">
        <v>1208</v>
      </c>
      <c r="AU457" s="770"/>
      <c r="AV457" s="770"/>
      <c r="AW457" s="770"/>
      <c r="AX457" s="13"/>
      <c r="AY457" s="770"/>
      <c r="AZ457" s="770"/>
      <c r="BA457" s="770"/>
      <c r="BB457" s="770"/>
      <c r="BC457" s="770"/>
      <c r="BD457" s="770"/>
      <c r="BE457" s="770"/>
      <c r="BF457" s="302"/>
      <c r="BG457" s="302"/>
      <c r="BH457" s="770"/>
      <c r="BI457" s="770"/>
      <c r="BJ457" s="770"/>
      <c r="BK457" s="770"/>
      <c r="BL457" s="770"/>
      <c r="BM457" s="766"/>
      <c r="BN457" s="770"/>
      <c r="BO457" s="770"/>
      <c r="BP457" s="1109"/>
      <c r="BQ457" s="773"/>
      <c r="BR457" s="774"/>
      <c r="BS457" s="766"/>
      <c r="BT457" s="770"/>
      <c r="BU457" s="770"/>
      <c r="BV457" s="770"/>
      <c r="BW457" s="770"/>
      <c r="BX457" s="302"/>
      <c r="BY457" s="770"/>
      <c r="BZ457" s="302"/>
      <c r="CA457" s="770"/>
      <c r="CB457" s="770" t="s">
        <v>1207</v>
      </c>
      <c r="CC457" s="770" t="s">
        <v>2562</v>
      </c>
      <c r="CD457" s="770">
        <v>2012</v>
      </c>
      <c r="CE457" s="770"/>
      <c r="CF457" s="1753">
        <v>0.6</v>
      </c>
      <c r="CG457" s="1754">
        <v>17.8</v>
      </c>
      <c r="CH457" s="770" t="s">
        <v>2563</v>
      </c>
      <c r="CI457" s="770"/>
      <c r="CJ457" s="770"/>
      <c r="CK457" s="770">
        <v>4</v>
      </c>
      <c r="CL457" s="770" t="s">
        <v>1249</v>
      </c>
      <c r="CM457" s="770" t="s">
        <v>2564</v>
      </c>
      <c r="CN457" s="770"/>
      <c r="CO457" s="770" t="s">
        <v>1257</v>
      </c>
      <c r="CP457" s="770"/>
      <c r="CQ457" s="770"/>
      <c r="CR457" s="302"/>
      <c r="CS457" s="770"/>
      <c r="CT457" s="770"/>
      <c r="CU457" s="305"/>
      <c r="CV457" s="770"/>
      <c r="CW457" s="770"/>
      <c r="CX457" s="770"/>
      <c r="CY457" s="770"/>
      <c r="CZ457" s="770"/>
      <c r="DA457" s="306"/>
      <c r="DB457" s="770"/>
      <c r="DC457" s="770"/>
      <c r="DD457" s="770"/>
      <c r="DE457" s="300"/>
      <c r="DF457" s="770"/>
      <c r="DG457" s="770"/>
      <c r="DH457" s="770"/>
      <c r="DI457" s="770"/>
      <c r="DJ457" s="770"/>
      <c r="DK457" s="770"/>
      <c r="DL457" s="770"/>
      <c r="DM457" s="770"/>
      <c r="DN457" s="322"/>
      <c r="DO457" s="770"/>
      <c r="DP457" s="770"/>
      <c r="DQ457" s="770"/>
      <c r="DR457" s="770"/>
      <c r="DS457" s="307"/>
      <c r="DT457" s="770"/>
      <c r="DU457" s="770"/>
      <c r="DV457" s="770"/>
      <c r="DW457" s="306"/>
      <c r="DX457" s="306"/>
      <c r="DY457" s="770"/>
      <c r="DZ457" s="770"/>
      <c r="EA457" s="770"/>
      <c r="EB457" s="770"/>
      <c r="EC457" s="770"/>
      <c r="ED457" s="770"/>
      <c r="EE457" s="770"/>
      <c r="EF457" s="770"/>
      <c r="EG457" s="770"/>
      <c r="EH457" s="770"/>
      <c r="EI457" s="770"/>
      <c r="EJ457" s="770"/>
      <c r="EK457" s="770"/>
      <c r="EL457" s="770"/>
      <c r="EM457" s="770"/>
      <c r="EN457" s="770"/>
      <c r="EO457" s="770"/>
      <c r="EP457" s="94"/>
      <c r="EQ457" s="770"/>
      <c r="ER457" s="770"/>
      <c r="ES457" s="770"/>
      <c r="ET457" s="770"/>
      <c r="EU457" s="770"/>
      <c r="EV457" s="770"/>
      <c r="EW457" s="770"/>
      <c r="EX457" s="770"/>
      <c r="EY457" s="770"/>
      <c r="EZ457" s="770"/>
      <c r="FA457" s="770"/>
      <c r="FB457" s="770"/>
      <c r="FC457" s="770"/>
      <c r="FD457" s="302"/>
      <c r="FE457" s="770"/>
      <c r="FF457" s="770"/>
      <c r="FG457" s="770"/>
      <c r="FH457" s="770"/>
      <c r="FI457" s="770"/>
      <c r="FJ457" s="770"/>
      <c r="FK457" s="770"/>
      <c r="FL457" s="770"/>
      <c r="FM457" s="302"/>
      <c r="FN457" s="302"/>
      <c r="FO457" s="302"/>
      <c r="FP457" s="770"/>
      <c r="FQ457" s="770"/>
      <c r="FR457" s="770" t="s">
        <v>1214</v>
      </c>
      <c r="FS457" s="770"/>
      <c r="FT457" s="770"/>
      <c r="FU457" s="770"/>
      <c r="FV457" s="770"/>
      <c r="FW457" s="770"/>
      <c r="FX457" s="770"/>
      <c r="FY457" s="770"/>
      <c r="FZ457" s="770"/>
      <c r="GA457" s="770"/>
      <c r="GB457" s="770"/>
      <c r="GC457" s="308"/>
      <c r="GD457" s="297"/>
      <c r="GE457" s="770"/>
      <c r="GF457" s="302"/>
      <c r="GG457" s="302"/>
      <c r="GH457" s="770"/>
      <c r="GI457" s="770"/>
      <c r="GJ457" s="770"/>
      <c r="GK457" s="770"/>
      <c r="GL457" s="770"/>
      <c r="GM457" s="770"/>
      <c r="GN457" s="299"/>
      <c r="GO457" s="770"/>
      <c r="GP457" s="770"/>
      <c r="GQ457" s="770"/>
      <c r="GR457" s="770"/>
      <c r="GS457" s="770"/>
      <c r="GT457" s="770"/>
      <c r="GU457" s="770"/>
      <c r="GV457" s="770"/>
      <c r="GW457" s="770"/>
      <c r="GX457" s="770"/>
      <c r="GY457" s="770"/>
      <c r="GZ457" s="770"/>
      <c r="HA457" s="770"/>
      <c r="HB457" s="770"/>
      <c r="HC457" s="770"/>
      <c r="HD457" s="770"/>
      <c r="HE457" s="770"/>
      <c r="HF457" s="770"/>
      <c r="HG457" s="770"/>
      <c r="HH457" s="770"/>
      <c r="HI457" s="770"/>
      <c r="HJ457" s="770"/>
      <c r="HK457" s="770"/>
      <c r="HL457" s="770"/>
      <c r="HM457" s="770"/>
      <c r="HN457" s="770"/>
      <c r="HO457" s="770"/>
      <c r="HP457" s="770"/>
      <c r="HQ457" s="770"/>
      <c r="HR457" s="770">
        <v>2</v>
      </c>
      <c r="HS457" s="770"/>
      <c r="HT457" s="770">
        <v>1</v>
      </c>
      <c r="HU457" s="770"/>
      <c r="HV457" s="770"/>
      <c r="HW457" s="770"/>
      <c r="HX457" s="770"/>
      <c r="HY457" s="770"/>
      <c r="HZ457" s="770"/>
      <c r="IA457" s="770"/>
      <c r="IB457" s="770" t="s">
        <v>1207</v>
      </c>
      <c r="IC457" s="770"/>
      <c r="ID457" s="770"/>
      <c r="IE457" s="770"/>
      <c r="IF457" s="770"/>
      <c r="IG457" s="770"/>
      <c r="IH457" s="770"/>
      <c r="II457" s="770"/>
      <c r="IJ457" s="770"/>
      <c r="IK457" s="770"/>
      <c r="IL457" s="770"/>
      <c r="IM457" s="770"/>
      <c r="IN457" s="770"/>
      <c r="IO457" s="296"/>
      <c r="IP457" s="770"/>
      <c r="IQ457" s="770"/>
      <c r="IR457" s="770"/>
      <c r="IS457" s="770"/>
      <c r="IT457" s="770"/>
      <c r="IU457" s="770"/>
      <c r="IV457" s="770"/>
      <c r="IW457" s="770"/>
      <c r="IX457" s="770"/>
      <c r="IY457" s="770"/>
      <c r="IZ457" s="770"/>
      <c r="JA457" s="770"/>
      <c r="JB457" s="770"/>
      <c r="JC457" s="770"/>
      <c r="JD457" s="302"/>
      <c r="JE457" s="770"/>
      <c r="JF457" s="770"/>
      <c r="JG457" s="770"/>
      <c r="JH457" s="307"/>
      <c r="JI457" s="307"/>
      <c r="JJ457" s="770">
        <v>3</v>
      </c>
      <c r="JK457" s="770" t="s">
        <v>3491</v>
      </c>
      <c r="JL457" s="770"/>
      <c r="JM457" s="770"/>
      <c r="JN457" s="770">
        <v>1</v>
      </c>
      <c r="JO457" s="770">
        <v>2</v>
      </c>
      <c r="JP457" s="770"/>
      <c r="JQ457" s="770"/>
      <c r="JR457" s="770"/>
      <c r="JS457" s="770"/>
      <c r="JT457" s="766">
        <f>SUM(JP457,JN457,JL457,JR457)</f>
        <v>1</v>
      </c>
      <c r="JU457" s="766">
        <f>SUM(JQ457,JO457,JM457,JS457)</f>
        <v>2</v>
      </c>
      <c r="JV457" s="766"/>
      <c r="JW457" s="766"/>
      <c r="JX457" s="770"/>
      <c r="JY457" s="770"/>
      <c r="JZ457" s="770"/>
      <c r="KA457" s="770"/>
      <c r="KB457" s="770"/>
      <c r="KC457" s="770">
        <v>1</v>
      </c>
      <c r="KD457" s="770">
        <v>1</v>
      </c>
      <c r="KE457" s="770">
        <v>1</v>
      </c>
      <c r="KF457" s="770"/>
      <c r="KG457" s="770"/>
      <c r="KH457" s="770"/>
      <c r="KI457" s="770"/>
      <c r="KJ457" s="770">
        <f t="shared" si="103"/>
        <v>1</v>
      </c>
      <c r="KK457" s="770">
        <f t="shared" si="103"/>
        <v>2</v>
      </c>
      <c r="KL457" s="770"/>
      <c r="KM457" s="770"/>
      <c r="KN457" s="770" t="s">
        <v>722</v>
      </c>
      <c r="KO457" s="770"/>
      <c r="KP457" s="770"/>
      <c r="KQ457" s="770"/>
      <c r="KR457" s="770"/>
      <c r="KS457" s="770"/>
      <c r="KT457" s="770"/>
      <c r="KU457" s="770"/>
      <c r="KV457" s="770"/>
      <c r="KW457" s="770"/>
      <c r="KX457" s="770"/>
      <c r="KY457" s="770"/>
      <c r="KZ457" s="770">
        <v>1</v>
      </c>
      <c r="LA457" s="770">
        <v>1</v>
      </c>
      <c r="LB457" s="770"/>
      <c r="LC457" s="770">
        <v>1</v>
      </c>
      <c r="LD457" s="770"/>
      <c r="LE457" s="770"/>
      <c r="LF457" s="770"/>
      <c r="LG457" s="770"/>
      <c r="LH457" s="770"/>
      <c r="LI457" s="770"/>
      <c r="LJ457" s="770"/>
      <c r="LK457" s="770"/>
      <c r="LL457" s="770"/>
      <c r="LM457" s="770"/>
      <c r="LN457" s="766">
        <f t="shared" si="111"/>
        <v>1</v>
      </c>
      <c r="LO457" s="766">
        <f t="shared" si="111"/>
        <v>2</v>
      </c>
      <c r="LP457" s="770">
        <v>1</v>
      </c>
      <c r="LQ457" s="770"/>
      <c r="LR457" s="770">
        <v>2</v>
      </c>
      <c r="LS457" s="770"/>
      <c r="LT457" s="770"/>
      <c r="LU457" s="770"/>
      <c r="LV457" s="770"/>
      <c r="LW457" s="770"/>
      <c r="LX457" s="769">
        <v>2</v>
      </c>
      <c r="LY457" s="766" t="str">
        <f t="shared" si="119"/>
        <v>within the MUNICIPALITY</v>
      </c>
      <c r="LZ457" s="1709"/>
      <c r="MA457" s="1709">
        <v>1000</v>
      </c>
      <c r="MB457" s="1709"/>
      <c r="MC457" s="1679">
        <f t="shared" si="110"/>
        <v>1000</v>
      </c>
      <c r="MD457" s="1709"/>
      <c r="ME457" s="1709">
        <f>600*26</f>
        <v>15600</v>
      </c>
      <c r="MF457" s="1709"/>
      <c r="MG457" s="1680">
        <f t="shared" si="121"/>
        <v>15600</v>
      </c>
      <c r="MH457" s="770" t="s">
        <v>2214</v>
      </c>
      <c r="MI457" s="302">
        <f>300*30</f>
        <v>9000</v>
      </c>
      <c r="MJ457" s="302">
        <v>500</v>
      </c>
      <c r="MK457" s="302">
        <v>2000</v>
      </c>
      <c r="ML457" s="302">
        <v>5000</v>
      </c>
      <c r="MM457" s="302"/>
      <c r="MN457" s="302"/>
      <c r="MO457" s="302">
        <v>200</v>
      </c>
      <c r="MP457" s="302">
        <v>2200</v>
      </c>
      <c r="MQ457" s="302">
        <v>300</v>
      </c>
      <c r="MR457" s="302">
        <v>400</v>
      </c>
      <c r="MS457" s="302"/>
      <c r="MT457" s="302"/>
      <c r="MU457" s="302"/>
      <c r="MV457" s="302"/>
      <c r="MW457" s="302"/>
      <c r="MX457" s="302"/>
      <c r="MY457" s="1682">
        <f t="shared" si="122"/>
        <v>19600</v>
      </c>
      <c r="MZ457" s="770"/>
      <c r="NA457" s="770"/>
      <c r="NB457" s="770"/>
      <c r="NC457" s="770"/>
      <c r="ND457" s="770">
        <v>0</v>
      </c>
      <c r="NE457" s="770">
        <v>0</v>
      </c>
      <c r="NF457" s="770">
        <v>0</v>
      </c>
      <c r="NG457" s="770">
        <v>1</v>
      </c>
      <c r="NH457" s="770">
        <v>1</v>
      </c>
      <c r="NI457" s="770">
        <v>1</v>
      </c>
      <c r="NJ457" s="770">
        <v>1</v>
      </c>
      <c r="NK457" s="770">
        <v>0</v>
      </c>
      <c r="NL457" s="770">
        <v>1</v>
      </c>
      <c r="NM457" s="770">
        <v>1</v>
      </c>
      <c r="NN457" s="770">
        <v>0</v>
      </c>
      <c r="NO457" s="770">
        <v>0</v>
      </c>
      <c r="NP457" s="770">
        <v>0</v>
      </c>
      <c r="NQ457" s="770">
        <v>0</v>
      </c>
      <c r="NR457" s="770">
        <v>0</v>
      </c>
      <c r="NS457" s="770">
        <v>0</v>
      </c>
      <c r="NT457" s="770">
        <v>0</v>
      </c>
      <c r="NU457" s="770">
        <v>0</v>
      </c>
      <c r="NV457" s="770">
        <v>0</v>
      </c>
      <c r="NW457" s="770">
        <v>0</v>
      </c>
      <c r="NX457" s="770">
        <v>0</v>
      </c>
      <c r="NY457" s="770" t="s">
        <v>1208</v>
      </c>
      <c r="NZ457" s="770"/>
      <c r="OA457" s="770" t="s">
        <v>1208</v>
      </c>
      <c r="OB457" s="770" t="s">
        <v>1208</v>
      </c>
      <c r="OC457" s="770" t="s">
        <v>1208</v>
      </c>
      <c r="OD457" s="770"/>
      <c r="OE457" s="770"/>
      <c r="OF457" s="770"/>
      <c r="OG457" s="770"/>
      <c r="OH457" s="770"/>
      <c r="OI457" s="770"/>
      <c r="OJ457" s="770"/>
      <c r="OK457" s="770"/>
      <c r="OL457" s="770"/>
      <c r="OM457" s="770"/>
      <c r="ON457" s="770"/>
      <c r="OO457" s="770"/>
      <c r="OP457" s="770"/>
      <c r="OQ457" s="770"/>
      <c r="OR457" s="770"/>
      <c r="OS457" s="770"/>
      <c r="OT457" s="770"/>
      <c r="OU457" s="770"/>
      <c r="OV457" s="770"/>
      <c r="OW457" s="770"/>
      <c r="OX457" s="770"/>
      <c r="OY457" s="770"/>
      <c r="OZ457" s="770"/>
      <c r="PA457" s="770"/>
      <c r="PB457" s="770"/>
      <c r="PC457" s="770"/>
      <c r="PD457" s="770"/>
      <c r="PE457" s="770"/>
      <c r="PF457" s="770"/>
      <c r="PG457" s="770"/>
      <c r="PH457" s="770"/>
      <c r="PI457" s="770"/>
      <c r="PJ457" s="770"/>
      <c r="PK457" s="770"/>
      <c r="PL457" s="770"/>
      <c r="PM457" s="770" t="s">
        <v>1208</v>
      </c>
      <c r="PN457" s="770"/>
      <c r="PO457" s="770"/>
      <c r="PP457" s="770"/>
      <c r="PQ457" s="770"/>
      <c r="PR457" s="770"/>
      <c r="PS457" s="770"/>
      <c r="PT457" s="770"/>
      <c r="PU457" s="770"/>
      <c r="PV457" s="770"/>
      <c r="PW457" s="770"/>
      <c r="PX457" s="770"/>
      <c r="PY457" s="770"/>
      <c r="PZ457" s="770"/>
      <c r="QA457" s="770"/>
      <c r="QB457" s="770"/>
      <c r="QC457" s="770"/>
      <c r="QD457" s="770"/>
      <c r="QE457" s="770"/>
      <c r="QF457" s="770"/>
      <c r="QG457" s="770" t="s">
        <v>1208</v>
      </c>
      <c r="QH457" s="770"/>
      <c r="QI457" s="770"/>
      <c r="QJ457" s="770"/>
      <c r="QK457" s="770"/>
      <c r="QL457" s="770"/>
      <c r="QM457" s="770"/>
      <c r="QN457" s="770"/>
      <c r="QO457" s="770"/>
      <c r="QP457" s="770"/>
      <c r="QQ457" s="770"/>
      <c r="QR457" s="770"/>
      <c r="QS457" s="770"/>
      <c r="QT457" s="770"/>
      <c r="QU457" s="770"/>
      <c r="QV457" s="770"/>
      <c r="QW457" s="770"/>
      <c r="QX457" s="770"/>
      <c r="QY457" s="770"/>
      <c r="QZ457" s="770"/>
      <c r="RA457" s="770"/>
      <c r="RB457" s="770" t="s">
        <v>1207</v>
      </c>
      <c r="RC457" s="770"/>
      <c r="RD457" s="770"/>
      <c r="RE457" s="770" t="s">
        <v>12999</v>
      </c>
      <c r="RF457" s="304"/>
      <c r="RG457" s="770"/>
      <c r="RH457" s="302">
        <v>3000</v>
      </c>
      <c r="RI457" s="770">
        <v>1</v>
      </c>
      <c r="RJ457" s="770" t="s">
        <v>13604</v>
      </c>
      <c r="RK457" s="770" t="s">
        <v>13552</v>
      </c>
      <c r="RL457" s="1710">
        <v>42826</v>
      </c>
      <c r="RM457" s="12"/>
      <c r="RN457" s="1711"/>
      <c r="RO457" s="132" t="s">
        <v>2558</v>
      </c>
      <c r="RP457" s="11"/>
      <c r="RQ457" s="11"/>
      <c r="RR457" s="17"/>
      <c r="RS457" s="767"/>
      <c r="RT457" s="11"/>
      <c r="RU457" s="11"/>
      <c r="RV457" s="771" t="s">
        <v>7421</v>
      </c>
      <c r="RW457" s="11" t="s">
        <v>7749</v>
      </c>
      <c r="RX457" s="11" t="s">
        <v>2537</v>
      </c>
      <c r="RY457" s="11"/>
      <c r="RZ457" s="11" t="s">
        <v>1101</v>
      </c>
      <c r="SA457" s="771"/>
      <c r="SB457" s="11"/>
      <c r="SC457" s="11"/>
    </row>
    <row r="458" spans="1:497" ht="12.75" customHeight="1">
      <c r="A458" s="19" t="s">
        <v>7421</v>
      </c>
      <c r="B458" s="752" t="s">
        <v>12369</v>
      </c>
      <c r="C458" s="132" t="s">
        <v>2565</v>
      </c>
      <c r="D458" s="94" t="s">
        <v>2570</v>
      </c>
      <c r="E458" s="766" t="s">
        <v>2566</v>
      </c>
      <c r="F458" s="770" t="s">
        <v>28</v>
      </c>
      <c r="G458" s="770" t="s">
        <v>10</v>
      </c>
      <c r="H458" s="770"/>
      <c r="I458" s="295"/>
      <c r="J458" s="94" t="s">
        <v>2570</v>
      </c>
      <c r="K458" s="766" t="s">
        <v>2567</v>
      </c>
      <c r="L458" s="766" t="s">
        <v>2568</v>
      </c>
      <c r="M458" s="770" t="s">
        <v>1238</v>
      </c>
      <c r="N458" s="770"/>
      <c r="O458" s="770" t="s">
        <v>2576</v>
      </c>
      <c r="P458" s="770" t="s">
        <v>2571</v>
      </c>
      <c r="Q458" s="1088">
        <v>16800</v>
      </c>
      <c r="R458" s="297">
        <v>72</v>
      </c>
      <c r="S458" s="770" t="s">
        <v>10</v>
      </c>
      <c r="T458" s="770"/>
      <c r="U458" s="298"/>
      <c r="V458" s="770" t="s">
        <v>707</v>
      </c>
      <c r="W458" s="770"/>
      <c r="X458" s="770"/>
      <c r="Y458" s="770" t="s">
        <v>2566</v>
      </c>
      <c r="Z458" s="770" t="s">
        <v>708</v>
      </c>
      <c r="AA458" s="770" t="s">
        <v>709</v>
      </c>
      <c r="AB458" s="770" t="s">
        <v>710</v>
      </c>
      <c r="AC458" s="770"/>
      <c r="AD458" s="770" t="s">
        <v>711</v>
      </c>
      <c r="AE458" s="770"/>
      <c r="AF458" s="770" t="s">
        <v>712</v>
      </c>
      <c r="AG458" s="766" t="s">
        <v>1132</v>
      </c>
      <c r="AH458" s="766" t="s">
        <v>1096</v>
      </c>
      <c r="AI458" s="770"/>
      <c r="AJ458" s="770" t="s">
        <v>1137</v>
      </c>
      <c r="AK458" s="770" t="s">
        <v>1101</v>
      </c>
      <c r="AL458" s="531">
        <v>40.200000000000003</v>
      </c>
      <c r="AM458" s="780">
        <v>40.200000000000003</v>
      </c>
      <c r="AN458" s="532">
        <f>AM458/AL458</f>
        <v>1</v>
      </c>
      <c r="AO458" s="766" t="s">
        <v>1122</v>
      </c>
      <c r="AP458" s="766"/>
      <c r="AQ458" s="766"/>
      <c r="AR458" s="766"/>
      <c r="AS458" s="770" t="s">
        <v>1207</v>
      </c>
      <c r="AT458" s="770" t="s">
        <v>1208</v>
      </c>
      <c r="AU458" s="770"/>
      <c r="AV458" s="770"/>
      <c r="AW458" s="770"/>
      <c r="AX458" s="13"/>
      <c r="AY458" s="770"/>
      <c r="AZ458" s="770"/>
      <c r="BA458" s="770"/>
      <c r="BB458" s="770"/>
      <c r="BC458" s="770"/>
      <c r="BD458" s="770"/>
      <c r="BE458" s="770"/>
      <c r="BF458" s="302"/>
      <c r="BG458" s="302"/>
      <c r="BH458" s="770"/>
      <c r="BI458" s="770"/>
      <c r="BJ458" s="770"/>
      <c r="BK458" s="770"/>
      <c r="BL458" s="770"/>
      <c r="BM458" s="766"/>
      <c r="BN458" s="770"/>
      <c r="BO458" s="770"/>
      <c r="BP458" s="1109"/>
      <c r="BQ458" s="773"/>
      <c r="BR458" s="774"/>
      <c r="BS458" s="766"/>
      <c r="BT458" s="770"/>
      <c r="BU458" s="770"/>
      <c r="BV458" s="770"/>
      <c r="BW458" s="770"/>
      <c r="BX458" s="302"/>
      <c r="BY458" s="770"/>
      <c r="BZ458" s="302"/>
      <c r="CA458" s="770"/>
      <c r="CB458" s="770" t="s">
        <v>1207</v>
      </c>
      <c r="CC458" s="770" t="s">
        <v>2569</v>
      </c>
      <c r="CD458" s="770">
        <v>2014</v>
      </c>
      <c r="CE458" s="770"/>
      <c r="CF458" s="1753">
        <v>1.2</v>
      </c>
      <c r="CG458" s="1754">
        <v>1.8120000000000001</v>
      </c>
      <c r="CH458" s="770" t="s">
        <v>2545</v>
      </c>
      <c r="CI458" s="770"/>
      <c r="CJ458" s="770"/>
      <c r="CK458" s="770">
        <v>15</v>
      </c>
      <c r="CL458" s="770" t="s">
        <v>1249</v>
      </c>
      <c r="CM458" s="770" t="s">
        <v>2564</v>
      </c>
      <c r="CN458" s="770"/>
      <c r="CO458" s="770" t="s">
        <v>1257</v>
      </c>
      <c r="CP458" s="770"/>
      <c r="CQ458" s="770"/>
      <c r="CR458" s="302"/>
      <c r="CS458" s="770"/>
      <c r="CT458" s="770"/>
      <c r="CU458" s="305"/>
      <c r="CV458" s="770"/>
      <c r="CW458" s="770"/>
      <c r="CX458" s="770"/>
      <c r="CY458" s="770"/>
      <c r="CZ458" s="770"/>
      <c r="DA458" s="306"/>
      <c r="DB458" s="770"/>
      <c r="DC458" s="770"/>
      <c r="DD458" s="770"/>
      <c r="DE458" s="300"/>
      <c r="DF458" s="770"/>
      <c r="DG458" s="770"/>
      <c r="DH458" s="770"/>
      <c r="DI458" s="770"/>
      <c r="DJ458" s="770"/>
      <c r="DK458" s="770"/>
      <c r="DL458" s="770"/>
      <c r="DM458" s="770"/>
      <c r="DN458" s="322"/>
      <c r="DO458" s="770"/>
      <c r="DP458" s="770"/>
      <c r="DQ458" s="770"/>
      <c r="DR458" s="770"/>
      <c r="DS458" s="307"/>
      <c r="DT458" s="770"/>
      <c r="DU458" s="770"/>
      <c r="DV458" s="770"/>
      <c r="DW458" s="306"/>
      <c r="DX458" s="306"/>
      <c r="DY458" s="770"/>
      <c r="DZ458" s="770"/>
      <c r="EA458" s="770"/>
      <c r="EB458" s="770"/>
      <c r="EC458" s="770"/>
      <c r="ED458" s="770"/>
      <c r="EE458" s="770"/>
      <c r="EF458" s="770"/>
      <c r="EG458" s="770"/>
      <c r="EH458" s="770"/>
      <c r="EI458" s="770"/>
      <c r="EJ458" s="770"/>
      <c r="EK458" s="770"/>
      <c r="EL458" s="770"/>
      <c r="EM458" s="770"/>
      <c r="EN458" s="770"/>
      <c r="EO458" s="770"/>
      <c r="EP458" s="94"/>
      <c r="EQ458" s="770"/>
      <c r="ER458" s="770"/>
      <c r="ES458" s="770"/>
      <c r="ET458" s="770"/>
      <c r="EU458" s="770"/>
      <c r="EV458" s="770"/>
      <c r="EW458" s="770"/>
      <c r="EX458" s="770"/>
      <c r="EY458" s="770"/>
      <c r="EZ458" s="770"/>
      <c r="FA458" s="770"/>
      <c r="FB458" s="770"/>
      <c r="FC458" s="770"/>
      <c r="FD458" s="302"/>
      <c r="FE458" s="770"/>
      <c r="FF458" s="770"/>
      <c r="FG458" s="770"/>
      <c r="FH458" s="770"/>
      <c r="FI458" s="770"/>
      <c r="FJ458" s="770"/>
      <c r="FK458" s="770"/>
      <c r="FL458" s="770"/>
      <c r="FM458" s="302"/>
      <c r="FN458" s="302"/>
      <c r="FO458" s="302"/>
      <c r="FP458" s="770"/>
      <c r="FQ458" s="770"/>
      <c r="FR458" s="770" t="s">
        <v>1214</v>
      </c>
      <c r="FS458" s="770"/>
      <c r="FT458" s="770"/>
      <c r="FU458" s="770"/>
      <c r="FV458" s="770"/>
      <c r="FW458" s="770"/>
      <c r="FX458" s="770"/>
      <c r="FY458" s="770"/>
      <c r="FZ458" s="770"/>
      <c r="GA458" s="770"/>
      <c r="GB458" s="770"/>
      <c r="GC458" s="308"/>
      <c r="GD458" s="297"/>
      <c r="GE458" s="770"/>
      <c r="GF458" s="302"/>
      <c r="GG458" s="302"/>
      <c r="GH458" s="770"/>
      <c r="GI458" s="770"/>
      <c r="GJ458" s="770"/>
      <c r="GK458" s="770"/>
      <c r="GL458" s="770"/>
      <c r="GM458" s="770"/>
      <c r="GN458" s="299"/>
      <c r="GO458" s="770"/>
      <c r="GP458" s="770"/>
      <c r="GQ458" s="770"/>
      <c r="GR458" s="770"/>
      <c r="GS458" s="770"/>
      <c r="GT458" s="770"/>
      <c r="GU458" s="770"/>
      <c r="GV458" s="770"/>
      <c r="GW458" s="770"/>
      <c r="GX458" s="770"/>
      <c r="GY458" s="770"/>
      <c r="GZ458" s="770"/>
      <c r="HA458" s="770"/>
      <c r="HB458" s="770"/>
      <c r="HC458" s="770"/>
      <c r="HD458" s="770"/>
      <c r="HE458" s="770"/>
      <c r="HF458" s="770"/>
      <c r="HG458" s="770"/>
      <c r="HH458" s="770"/>
      <c r="HI458" s="770"/>
      <c r="HJ458" s="770"/>
      <c r="HK458" s="770"/>
      <c r="HL458" s="770"/>
      <c r="HM458" s="770"/>
      <c r="HN458" s="770"/>
      <c r="HO458" s="770"/>
      <c r="HP458" s="770"/>
      <c r="HQ458" s="770"/>
      <c r="HR458" s="770">
        <v>3</v>
      </c>
      <c r="HS458" s="770"/>
      <c r="HT458" s="770">
        <v>1</v>
      </c>
      <c r="HU458" s="770"/>
      <c r="HV458" s="770"/>
      <c r="HW458" s="770"/>
      <c r="HX458" s="770"/>
      <c r="HY458" s="770"/>
      <c r="HZ458" s="770"/>
      <c r="IA458" s="770"/>
      <c r="IB458" s="770" t="s">
        <v>1207</v>
      </c>
      <c r="IC458" s="770"/>
      <c r="ID458" s="770">
        <v>2</v>
      </c>
      <c r="IE458" s="770">
        <v>1</v>
      </c>
      <c r="IF458" s="770"/>
      <c r="IG458" s="770"/>
      <c r="IH458" s="770"/>
      <c r="II458" s="770"/>
      <c r="IJ458" s="770"/>
      <c r="IK458" s="770"/>
      <c r="IL458" s="770"/>
      <c r="IM458" s="770"/>
      <c r="IN458" s="770"/>
      <c r="IO458" s="296"/>
      <c r="IP458" s="770"/>
      <c r="IQ458" s="770"/>
      <c r="IR458" s="770"/>
      <c r="IS458" s="770"/>
      <c r="IT458" s="770"/>
      <c r="IU458" s="770"/>
      <c r="IV458" s="770"/>
      <c r="IW458" s="770"/>
      <c r="IX458" s="770"/>
      <c r="IY458" s="770"/>
      <c r="IZ458" s="770"/>
      <c r="JA458" s="770"/>
      <c r="JB458" s="770"/>
      <c r="JC458" s="770"/>
      <c r="JD458" s="302"/>
      <c r="JE458" s="770"/>
      <c r="JF458" s="770"/>
      <c r="JG458" s="770"/>
      <c r="JH458" s="307"/>
      <c r="JI458" s="307"/>
      <c r="JJ458" s="770">
        <v>2</v>
      </c>
      <c r="JK458" s="770" t="s">
        <v>3954</v>
      </c>
      <c r="JL458" s="770"/>
      <c r="JM458" s="770"/>
      <c r="JN458" s="770"/>
      <c r="JO458" s="770">
        <v>1</v>
      </c>
      <c r="JP458" s="770">
        <v>1</v>
      </c>
      <c r="JQ458" s="770"/>
      <c r="JR458" s="770"/>
      <c r="JS458" s="770"/>
      <c r="JT458" s="766">
        <f>SUM(JP458,JN458,JL458,JR458)</f>
        <v>1</v>
      </c>
      <c r="JU458" s="766">
        <f>SUM(JQ458,JO458,JM458,JS458)</f>
        <v>1</v>
      </c>
      <c r="JV458" s="766"/>
      <c r="JW458" s="766"/>
      <c r="JX458" s="770"/>
      <c r="JY458" s="770"/>
      <c r="JZ458" s="770"/>
      <c r="KA458" s="770"/>
      <c r="KB458" s="770"/>
      <c r="KC458" s="770"/>
      <c r="KD458" s="770"/>
      <c r="KE458" s="770"/>
      <c r="KF458" s="770">
        <v>1</v>
      </c>
      <c r="KG458" s="770">
        <v>1</v>
      </c>
      <c r="KH458" s="770"/>
      <c r="KI458" s="770"/>
      <c r="KJ458" s="770">
        <f t="shared" si="103"/>
        <v>1</v>
      </c>
      <c r="KK458" s="770">
        <f t="shared" si="103"/>
        <v>1</v>
      </c>
      <c r="KL458" s="770"/>
      <c r="KM458" s="770"/>
      <c r="KN458" s="770" t="s">
        <v>707</v>
      </c>
      <c r="KO458" s="770"/>
      <c r="KP458" s="770"/>
      <c r="KQ458" s="770"/>
      <c r="KR458" s="770"/>
      <c r="KS458" s="770"/>
      <c r="KT458" s="770"/>
      <c r="KU458" s="770"/>
      <c r="KV458" s="770"/>
      <c r="KW458" s="770"/>
      <c r="KX458" s="770"/>
      <c r="KY458" s="770"/>
      <c r="KZ458" s="770">
        <v>1</v>
      </c>
      <c r="LA458" s="770"/>
      <c r="LB458" s="770"/>
      <c r="LC458" s="770"/>
      <c r="LD458" s="770"/>
      <c r="LE458" s="770">
        <v>1</v>
      </c>
      <c r="LF458" s="770"/>
      <c r="LG458" s="770"/>
      <c r="LH458" s="770"/>
      <c r="LI458" s="770"/>
      <c r="LJ458" s="770"/>
      <c r="LK458" s="770"/>
      <c r="LL458" s="770"/>
      <c r="LM458" s="770"/>
      <c r="LN458" s="766">
        <f t="shared" si="111"/>
        <v>1</v>
      </c>
      <c r="LO458" s="766">
        <f t="shared" si="111"/>
        <v>1</v>
      </c>
      <c r="LP458" s="770">
        <v>1</v>
      </c>
      <c r="LQ458" s="770">
        <v>1</v>
      </c>
      <c r="LR458" s="770"/>
      <c r="LS458" s="770"/>
      <c r="LT458" s="770"/>
      <c r="LU458" s="770">
        <v>1</v>
      </c>
      <c r="LV458" s="770"/>
      <c r="LW458" s="770"/>
      <c r="LX458" s="769">
        <v>4</v>
      </c>
      <c r="LY458" s="766" t="str">
        <f t="shared" si="119"/>
        <v>OTHER Province</v>
      </c>
      <c r="LZ458" s="1709">
        <v>521</v>
      </c>
      <c r="MA458" s="1709"/>
      <c r="MB458" s="1709"/>
      <c r="MC458" s="1679">
        <f t="shared" si="110"/>
        <v>521</v>
      </c>
      <c r="MD458" s="1709">
        <f>700*26</f>
        <v>18200</v>
      </c>
      <c r="ME458" s="1709"/>
      <c r="MF458" s="1709"/>
      <c r="MG458" s="1680">
        <f t="shared" si="121"/>
        <v>18200</v>
      </c>
      <c r="MH458" s="770" t="s">
        <v>1985</v>
      </c>
      <c r="MI458" s="302">
        <v>3000</v>
      </c>
      <c r="MJ458" s="302">
        <v>521</v>
      </c>
      <c r="MK458" s="302"/>
      <c r="ML458" s="302">
        <v>1000</v>
      </c>
      <c r="MM458" s="302"/>
      <c r="MN458" s="302"/>
      <c r="MO458" s="302"/>
      <c r="MP458" s="302">
        <v>1500</v>
      </c>
      <c r="MQ458" s="302">
        <v>540</v>
      </c>
      <c r="MR458" s="302">
        <v>200</v>
      </c>
      <c r="MS458" s="302">
        <v>2000</v>
      </c>
      <c r="MT458" s="302">
        <v>130</v>
      </c>
      <c r="MU458" s="302"/>
      <c r="MV458" s="302"/>
      <c r="MW458" s="302"/>
      <c r="MX458" s="302"/>
      <c r="MY458" s="1682">
        <f t="shared" si="122"/>
        <v>8891</v>
      </c>
      <c r="MZ458" s="770" t="s">
        <v>13370</v>
      </c>
      <c r="NA458" s="770" t="s">
        <v>13005</v>
      </c>
      <c r="NB458" s="770" t="s">
        <v>13016</v>
      </c>
      <c r="NC458" s="770" t="s">
        <v>13602</v>
      </c>
      <c r="ND458" s="770">
        <v>0</v>
      </c>
      <c r="NE458" s="770">
        <v>0</v>
      </c>
      <c r="NF458" s="770">
        <v>10</v>
      </c>
      <c r="NG458" s="770">
        <v>6</v>
      </c>
      <c r="NH458" s="770">
        <v>3</v>
      </c>
      <c r="NI458" s="770">
        <v>1</v>
      </c>
      <c r="NJ458" s="770">
        <v>2</v>
      </c>
      <c r="NK458" s="770">
        <v>0</v>
      </c>
      <c r="NL458" s="770">
        <v>2</v>
      </c>
      <c r="NM458" s="770">
        <v>6</v>
      </c>
      <c r="NN458" s="770">
        <v>0</v>
      </c>
      <c r="NO458" s="770">
        <v>0</v>
      </c>
      <c r="NP458" s="770">
        <v>0</v>
      </c>
      <c r="NQ458" s="770">
        <v>0</v>
      </c>
      <c r="NR458" s="770">
        <v>0</v>
      </c>
      <c r="NS458" s="770">
        <v>0</v>
      </c>
      <c r="NT458" s="770">
        <v>0</v>
      </c>
      <c r="NU458" s="770">
        <v>0</v>
      </c>
      <c r="NV458" s="770">
        <v>0</v>
      </c>
      <c r="NW458" s="770">
        <v>0</v>
      </c>
      <c r="NX458" s="770">
        <v>0</v>
      </c>
      <c r="NY458" s="770" t="s">
        <v>1208</v>
      </c>
      <c r="NZ458" s="770"/>
      <c r="OA458" s="770"/>
      <c r="OB458" s="770"/>
      <c r="OC458" s="770" t="s">
        <v>1208</v>
      </c>
      <c r="OD458" s="770"/>
      <c r="OE458" s="770"/>
      <c r="OF458" s="770"/>
      <c r="OG458" s="770"/>
      <c r="OH458" s="770"/>
      <c r="OI458" s="770"/>
      <c r="OJ458" s="770"/>
      <c r="OK458" s="770"/>
      <c r="OL458" s="770"/>
      <c r="OM458" s="770"/>
      <c r="ON458" s="770"/>
      <c r="OO458" s="770"/>
      <c r="OP458" s="770"/>
      <c r="OQ458" s="770"/>
      <c r="OR458" s="770"/>
      <c r="OS458" s="770"/>
      <c r="OT458" s="770"/>
      <c r="OU458" s="770"/>
      <c r="OV458" s="770"/>
      <c r="OW458" s="770"/>
      <c r="OX458" s="770"/>
      <c r="OY458" s="770"/>
      <c r="OZ458" s="770"/>
      <c r="PA458" s="770"/>
      <c r="PB458" s="770"/>
      <c r="PC458" s="770"/>
      <c r="PD458" s="770"/>
      <c r="PE458" s="770"/>
      <c r="PF458" s="770"/>
      <c r="PG458" s="770"/>
      <c r="PH458" s="770"/>
      <c r="PI458" s="770"/>
      <c r="PJ458" s="770"/>
      <c r="PK458" s="770" t="s">
        <v>1208</v>
      </c>
      <c r="PL458" s="770"/>
      <c r="PM458" s="770"/>
      <c r="PN458" s="770"/>
      <c r="PO458" s="770"/>
      <c r="PP458" s="770"/>
      <c r="PQ458" s="770"/>
      <c r="PR458" s="770"/>
      <c r="PS458" s="770"/>
      <c r="PT458" s="770"/>
      <c r="PU458" s="770"/>
      <c r="PV458" s="770"/>
      <c r="PW458" s="770"/>
      <c r="PX458" s="770"/>
      <c r="PY458" s="770"/>
      <c r="PZ458" s="770"/>
      <c r="QA458" s="770"/>
      <c r="QB458" s="770"/>
      <c r="QC458" s="770"/>
      <c r="QD458" s="770"/>
      <c r="QE458" s="770"/>
      <c r="QF458" s="770"/>
      <c r="QG458" s="770"/>
      <c r="QH458" s="770"/>
      <c r="QI458" s="770"/>
      <c r="QJ458" s="770"/>
      <c r="QK458" s="770"/>
      <c r="QL458" s="770"/>
      <c r="QM458" s="770"/>
      <c r="QN458" s="770"/>
      <c r="QO458" s="770"/>
      <c r="QP458" s="770"/>
      <c r="QQ458" s="770"/>
      <c r="QR458" s="770"/>
      <c r="QS458" s="770"/>
      <c r="QT458" s="770"/>
      <c r="QU458" s="770"/>
      <c r="QV458" s="770"/>
      <c r="QW458" s="770"/>
      <c r="QX458" s="770"/>
      <c r="QY458" s="770"/>
      <c r="QZ458" s="770"/>
      <c r="RA458" s="770"/>
      <c r="RB458" s="770" t="s">
        <v>1214</v>
      </c>
      <c r="RC458" s="770"/>
      <c r="RD458" s="770"/>
      <c r="RE458" s="770"/>
      <c r="RF458" s="304"/>
      <c r="RG458" s="770"/>
      <c r="RH458" s="302"/>
      <c r="RI458" s="770"/>
      <c r="RJ458" s="770" t="s">
        <v>13605</v>
      </c>
      <c r="RK458" s="770" t="s">
        <v>13544</v>
      </c>
      <c r="RL458" s="1710">
        <v>42826</v>
      </c>
      <c r="RM458" s="12"/>
      <c r="RN458" s="1711"/>
      <c r="RO458" s="132" t="s">
        <v>2565</v>
      </c>
      <c r="RP458" s="11"/>
      <c r="RQ458" s="11"/>
      <c r="RR458" s="17"/>
      <c r="RS458" s="767"/>
      <c r="RT458" s="11"/>
      <c r="RU458" s="11"/>
      <c r="RV458" s="771" t="s">
        <v>7421</v>
      </c>
      <c r="RW458" s="11" t="s">
        <v>7750</v>
      </c>
      <c r="RX458" s="11" t="s">
        <v>2548</v>
      </c>
      <c r="RY458" s="11"/>
      <c r="RZ458" s="11" t="s">
        <v>1101</v>
      </c>
      <c r="SA458" s="771"/>
      <c r="SB458" s="11"/>
      <c r="SC458" s="11"/>
    </row>
    <row r="459" spans="1:497" ht="12.75" customHeight="1">
      <c r="A459" s="19" t="s">
        <v>7421</v>
      </c>
      <c r="B459" s="752" t="s">
        <v>7752</v>
      </c>
      <c r="C459" s="132" t="s">
        <v>2572</v>
      </c>
      <c r="D459" s="94" t="s">
        <v>2573</v>
      </c>
      <c r="E459" s="766" t="s">
        <v>5838</v>
      </c>
      <c r="F459" s="770" t="s">
        <v>28</v>
      </c>
      <c r="G459" s="770" t="s">
        <v>10</v>
      </c>
      <c r="H459" s="770"/>
      <c r="I459" s="295"/>
      <c r="J459" s="94"/>
      <c r="K459" s="766" t="s">
        <v>2574</v>
      </c>
      <c r="L459" s="766" t="s">
        <v>2575</v>
      </c>
      <c r="M459" s="770" t="s">
        <v>1238</v>
      </c>
      <c r="N459" s="770"/>
      <c r="O459" s="770" t="s">
        <v>2576</v>
      </c>
      <c r="P459" s="770"/>
      <c r="Q459" s="1088"/>
      <c r="R459" s="297"/>
      <c r="S459" s="770"/>
      <c r="T459" s="770"/>
      <c r="U459" s="298"/>
      <c r="V459" s="770"/>
      <c r="W459" s="770"/>
      <c r="X459" s="770"/>
      <c r="Y459" s="770"/>
      <c r="Z459" s="770"/>
      <c r="AA459" s="770"/>
      <c r="AB459" s="770"/>
      <c r="AC459" s="770"/>
      <c r="AD459" s="770"/>
      <c r="AE459" s="770"/>
      <c r="AF459" s="770"/>
      <c r="AG459" s="766" t="s">
        <v>1132</v>
      </c>
      <c r="AH459" s="766" t="s">
        <v>1096</v>
      </c>
      <c r="AI459" s="770"/>
      <c r="AJ459" s="770" t="s">
        <v>1137</v>
      </c>
      <c r="AK459" s="770" t="s">
        <v>1101</v>
      </c>
      <c r="AL459" s="531"/>
      <c r="AM459" s="780"/>
      <c r="AN459" s="532"/>
      <c r="AO459" s="766"/>
      <c r="AP459" s="766"/>
      <c r="AQ459" s="766"/>
      <c r="AR459" s="766"/>
      <c r="AS459" s="770"/>
      <c r="AT459" s="770"/>
      <c r="AU459" s="770"/>
      <c r="AV459" s="770"/>
      <c r="AW459" s="770"/>
      <c r="AX459" s="770"/>
      <c r="AY459" s="770"/>
      <c r="AZ459" s="770"/>
      <c r="BA459" s="770"/>
      <c r="BB459" s="770"/>
      <c r="BC459" s="770"/>
      <c r="BD459" s="770"/>
      <c r="BE459" s="770"/>
      <c r="BF459" s="302"/>
      <c r="BG459" s="302"/>
      <c r="BH459" s="770"/>
      <c r="BI459" s="770"/>
      <c r="BJ459" s="770"/>
      <c r="BK459" s="770"/>
      <c r="BL459" s="770"/>
      <c r="BM459" s="165"/>
      <c r="BN459" s="770"/>
      <c r="BO459" s="770"/>
      <c r="BP459" s="1109"/>
      <c r="BQ459" s="773"/>
      <c r="BR459" s="774"/>
      <c r="BS459" s="766"/>
      <c r="BT459" s="770"/>
      <c r="BU459" s="770"/>
      <c r="BV459" s="770"/>
      <c r="BW459" s="770"/>
      <c r="BX459" s="302"/>
      <c r="BY459" s="770"/>
      <c r="BZ459" s="302"/>
      <c r="CA459" s="770"/>
      <c r="CB459" s="770" t="s">
        <v>1207</v>
      </c>
      <c r="CC459" s="769" t="s">
        <v>7857</v>
      </c>
      <c r="CD459" s="770" t="s">
        <v>7858</v>
      </c>
      <c r="CE459" s="770"/>
      <c r="CF459" s="1753">
        <v>1.3</v>
      </c>
      <c r="CG459" s="1754">
        <v>10</v>
      </c>
      <c r="CH459" s="770" t="s">
        <v>2450</v>
      </c>
      <c r="CI459" s="770"/>
      <c r="CJ459" s="770"/>
      <c r="CK459" s="770">
        <v>10</v>
      </c>
      <c r="CL459" s="770" t="s">
        <v>1249</v>
      </c>
      <c r="CM459" s="770" t="s">
        <v>2564</v>
      </c>
      <c r="CN459" s="770"/>
      <c r="CO459" s="770" t="s">
        <v>1257</v>
      </c>
      <c r="CP459" s="770"/>
      <c r="CQ459" s="770"/>
      <c r="CR459" s="302"/>
      <c r="CS459" s="770"/>
      <c r="CT459" s="770"/>
      <c r="CU459" s="305"/>
      <c r="CV459" s="770"/>
      <c r="CW459" s="770"/>
      <c r="CX459" s="770"/>
      <c r="CY459" s="770"/>
      <c r="CZ459" s="770"/>
      <c r="DA459" s="306"/>
      <c r="DB459" s="770"/>
      <c r="DC459" s="770"/>
      <c r="DD459" s="770"/>
      <c r="DE459" s="300"/>
      <c r="DF459" s="770"/>
      <c r="DG459" s="770"/>
      <c r="DH459" s="770"/>
      <c r="DI459" s="770"/>
      <c r="DJ459" s="770"/>
      <c r="DK459" s="770"/>
      <c r="DL459" s="770"/>
      <c r="DM459" s="770"/>
      <c r="DN459" s="322"/>
      <c r="DO459" s="770"/>
      <c r="DP459" s="770"/>
      <c r="DQ459" s="770"/>
      <c r="DR459" s="770"/>
      <c r="DS459" s="307"/>
      <c r="DT459" s="770"/>
      <c r="DU459" s="770"/>
      <c r="DV459" s="770"/>
      <c r="DW459" s="306"/>
      <c r="DX459" s="306"/>
      <c r="DY459" s="770"/>
      <c r="DZ459" s="770"/>
      <c r="EA459" s="770"/>
      <c r="EB459" s="770"/>
      <c r="EC459" s="770"/>
      <c r="ED459" s="770"/>
      <c r="EE459" s="770"/>
      <c r="EF459" s="770"/>
      <c r="EG459" s="770"/>
      <c r="EH459" s="770"/>
      <c r="EI459" s="770"/>
      <c r="EJ459" s="770"/>
      <c r="EK459" s="770"/>
      <c r="EL459" s="770"/>
      <c r="EM459" s="770"/>
      <c r="EN459" s="770"/>
      <c r="EO459" s="770"/>
      <c r="EP459" s="94"/>
      <c r="EQ459" s="770"/>
      <c r="ER459" s="770"/>
      <c r="ES459" s="770"/>
      <c r="ET459" s="770"/>
      <c r="EU459" s="770"/>
      <c r="EV459" s="770"/>
      <c r="EW459" s="770"/>
      <c r="EX459" s="770"/>
      <c r="EY459" s="770"/>
      <c r="EZ459" s="770"/>
      <c r="FA459" s="770"/>
      <c r="FB459" s="770"/>
      <c r="FC459" s="770"/>
      <c r="FD459" s="302"/>
      <c r="FE459" s="770"/>
      <c r="FF459" s="770"/>
      <c r="FG459" s="770"/>
      <c r="FH459" s="770"/>
      <c r="FI459" s="770"/>
      <c r="FJ459" s="770"/>
      <c r="FK459" s="770"/>
      <c r="FL459" s="770"/>
      <c r="FM459" s="302"/>
      <c r="FN459" s="302"/>
      <c r="FO459" s="302"/>
      <c r="FP459" s="770"/>
      <c r="FQ459" s="770"/>
      <c r="FR459" s="770"/>
      <c r="FS459" s="770"/>
      <c r="FT459" s="770"/>
      <c r="FU459" s="770"/>
      <c r="FV459" s="770"/>
      <c r="FW459" s="770"/>
      <c r="FX459" s="770"/>
      <c r="FY459" s="770"/>
      <c r="FZ459" s="770"/>
      <c r="GA459" s="770"/>
      <c r="GB459" s="770"/>
      <c r="GC459" s="308"/>
      <c r="GD459" s="297"/>
      <c r="GE459" s="770"/>
      <c r="GF459" s="302"/>
      <c r="GG459" s="302"/>
      <c r="GH459" s="770"/>
      <c r="GI459" s="770"/>
      <c r="GJ459" s="770"/>
      <c r="GK459" s="770"/>
      <c r="GL459" s="770"/>
      <c r="GM459" s="770"/>
      <c r="GN459" s="299"/>
      <c r="GO459" s="770"/>
      <c r="GP459" s="770"/>
      <c r="GQ459" s="770"/>
      <c r="GR459" s="770"/>
      <c r="GS459" s="770"/>
      <c r="GT459" s="770"/>
      <c r="GU459" s="770"/>
      <c r="GV459" s="770"/>
      <c r="GW459" s="770"/>
      <c r="GX459" s="770"/>
      <c r="GY459" s="770"/>
      <c r="GZ459" s="770"/>
      <c r="HA459" s="770"/>
      <c r="HB459" s="770"/>
      <c r="HC459" s="770"/>
      <c r="HD459" s="770"/>
      <c r="HE459" s="770"/>
      <c r="HF459" s="770"/>
      <c r="HG459" s="770"/>
      <c r="HH459" s="770"/>
      <c r="HI459" s="770"/>
      <c r="HJ459" s="770"/>
      <c r="HK459" s="770"/>
      <c r="HL459" s="770"/>
      <c r="HM459" s="770"/>
      <c r="HN459" s="770"/>
      <c r="HO459" s="770"/>
      <c r="HP459" s="770"/>
      <c r="HQ459" s="770"/>
      <c r="HR459" s="770">
        <v>2</v>
      </c>
      <c r="HS459" s="770"/>
      <c r="HT459" s="770">
        <v>1</v>
      </c>
      <c r="HU459" s="770"/>
      <c r="HV459" s="770"/>
      <c r="HW459" s="770"/>
      <c r="HX459" s="770"/>
      <c r="HY459" s="770"/>
      <c r="HZ459" s="770"/>
      <c r="IA459" s="770"/>
      <c r="IB459" s="770"/>
      <c r="IC459" s="770"/>
      <c r="ID459" s="770"/>
      <c r="IE459" s="770"/>
      <c r="IF459" s="770"/>
      <c r="IG459" s="770"/>
      <c r="IH459" s="770"/>
      <c r="II459" s="770"/>
      <c r="IJ459" s="770"/>
      <c r="IK459" s="770"/>
      <c r="IL459" s="770"/>
      <c r="IM459" s="770"/>
      <c r="IN459" s="770"/>
      <c r="IO459" s="296"/>
      <c r="IP459" s="770"/>
      <c r="IQ459" s="770"/>
      <c r="IR459" s="770"/>
      <c r="IS459" s="770"/>
      <c r="IT459" s="770"/>
      <c r="IU459" s="770"/>
      <c r="IV459" s="770"/>
      <c r="IW459" s="770"/>
      <c r="IX459" s="770"/>
      <c r="IY459" s="770"/>
      <c r="IZ459" s="770"/>
      <c r="JA459" s="770"/>
      <c r="JB459" s="770"/>
      <c r="JC459" s="770"/>
      <c r="JD459" s="302"/>
      <c r="JE459" s="770"/>
      <c r="JF459" s="770"/>
      <c r="JG459" s="770"/>
      <c r="JH459" s="307"/>
      <c r="JI459" s="307"/>
      <c r="JJ459" s="770"/>
      <c r="JK459" s="770"/>
      <c r="JL459" s="770"/>
      <c r="JM459" s="770"/>
      <c r="JN459" s="770"/>
      <c r="JO459" s="770"/>
      <c r="JP459" s="770"/>
      <c r="JQ459" s="770"/>
      <c r="JR459" s="770"/>
      <c r="JS459" s="770"/>
      <c r="JT459" s="766"/>
      <c r="JU459" s="766"/>
      <c r="JV459" s="766"/>
      <c r="JW459" s="766"/>
      <c r="JX459" s="770"/>
      <c r="JY459" s="770"/>
      <c r="JZ459" s="770"/>
      <c r="KA459" s="770"/>
      <c r="KB459" s="770"/>
      <c r="KC459" s="770"/>
      <c r="KD459" s="770"/>
      <c r="KE459" s="770"/>
      <c r="KF459" s="770"/>
      <c r="KG459" s="770"/>
      <c r="KH459" s="770"/>
      <c r="KI459" s="770"/>
      <c r="KJ459" s="770"/>
      <c r="KK459" s="770"/>
      <c r="KL459" s="770"/>
      <c r="KM459" s="770"/>
      <c r="KN459" s="770"/>
      <c r="KO459" s="770"/>
      <c r="KP459" s="770"/>
      <c r="KQ459" s="770"/>
      <c r="KR459" s="770"/>
      <c r="KS459" s="770"/>
      <c r="KT459" s="770"/>
      <c r="KU459" s="770"/>
      <c r="KV459" s="770"/>
      <c r="KW459" s="770"/>
      <c r="KX459" s="770"/>
      <c r="KY459" s="770"/>
      <c r="KZ459" s="770"/>
      <c r="LA459" s="770"/>
      <c r="LB459" s="770"/>
      <c r="LC459" s="770"/>
      <c r="LD459" s="770"/>
      <c r="LE459" s="770"/>
      <c r="LF459" s="770"/>
      <c r="LG459" s="770"/>
      <c r="LH459" s="770"/>
      <c r="LI459" s="770"/>
      <c r="LJ459" s="770"/>
      <c r="LK459" s="770"/>
      <c r="LL459" s="770"/>
      <c r="LM459" s="770"/>
      <c r="LN459" s="766"/>
      <c r="LO459" s="766"/>
      <c r="LP459" s="770"/>
      <c r="LQ459" s="770"/>
      <c r="LR459" s="770"/>
      <c r="LS459" s="770"/>
      <c r="LT459" s="770"/>
      <c r="LU459" s="770"/>
      <c r="LV459" s="770"/>
      <c r="LW459" s="770"/>
      <c r="LX459" s="769"/>
      <c r="LY459" s="766" t="str">
        <f t="shared" si="119"/>
        <v/>
      </c>
      <c r="LZ459" s="1709"/>
      <c r="MA459" s="1709"/>
      <c r="MB459" s="1709"/>
      <c r="MC459" s="1679">
        <f t="shared" si="110"/>
        <v>0</v>
      </c>
      <c r="MD459" s="1709"/>
      <c r="ME459" s="1709"/>
      <c r="MF459" s="1709"/>
      <c r="MG459" s="1680">
        <f t="shared" si="121"/>
        <v>0</v>
      </c>
      <c r="MH459" s="770"/>
      <c r="MI459" s="302"/>
      <c r="MJ459" s="302"/>
      <c r="MK459" s="302"/>
      <c r="ML459" s="302"/>
      <c r="MM459" s="302"/>
      <c r="MN459" s="302"/>
      <c r="MO459" s="302"/>
      <c r="MP459" s="302"/>
      <c r="MQ459" s="302"/>
      <c r="MR459" s="302"/>
      <c r="MS459" s="302"/>
      <c r="MT459" s="302"/>
      <c r="MU459" s="302"/>
      <c r="MV459" s="302"/>
      <c r="MW459" s="302"/>
      <c r="MX459" s="302"/>
      <c r="MY459" s="1682">
        <f t="shared" si="122"/>
        <v>0</v>
      </c>
      <c r="MZ459" s="770"/>
      <c r="NA459" s="770"/>
      <c r="NB459" s="770"/>
      <c r="NC459" s="770"/>
      <c r="ND459" s="770"/>
      <c r="NE459" s="770"/>
      <c r="NF459" s="770"/>
      <c r="NG459" s="770"/>
      <c r="NH459" s="770"/>
      <c r="NI459" s="770"/>
      <c r="NJ459" s="770"/>
      <c r="NK459" s="770"/>
      <c r="NL459" s="770"/>
      <c r="NM459" s="770"/>
      <c r="NN459" s="770"/>
      <c r="NO459" s="770"/>
      <c r="NP459" s="770"/>
      <c r="NQ459" s="770"/>
      <c r="NR459" s="770"/>
      <c r="NS459" s="770"/>
      <c r="NT459" s="770"/>
      <c r="NU459" s="770"/>
      <c r="NV459" s="770"/>
      <c r="NW459" s="770"/>
      <c r="NX459" s="770"/>
      <c r="NY459" s="770"/>
      <c r="NZ459" s="770"/>
      <c r="OA459" s="770"/>
      <c r="OB459" s="770"/>
      <c r="OC459" s="770"/>
      <c r="OD459" s="770"/>
      <c r="OE459" s="770"/>
      <c r="OF459" s="770"/>
      <c r="OG459" s="770"/>
      <c r="OH459" s="770"/>
      <c r="OI459" s="770"/>
      <c r="OJ459" s="770"/>
      <c r="OK459" s="770"/>
      <c r="OL459" s="770"/>
      <c r="OM459" s="770"/>
      <c r="ON459" s="770"/>
      <c r="OO459" s="770"/>
      <c r="OP459" s="770"/>
      <c r="OQ459" s="770"/>
      <c r="OR459" s="770"/>
      <c r="OS459" s="770"/>
      <c r="OT459" s="770"/>
      <c r="OU459" s="770"/>
      <c r="OV459" s="770"/>
      <c r="OW459" s="770"/>
      <c r="OX459" s="770"/>
      <c r="OY459" s="770"/>
      <c r="OZ459" s="770"/>
      <c r="PA459" s="770"/>
      <c r="PB459" s="770"/>
      <c r="PC459" s="770"/>
      <c r="PD459" s="770"/>
      <c r="PE459" s="770"/>
      <c r="PF459" s="770"/>
      <c r="PG459" s="770"/>
      <c r="PH459" s="770"/>
      <c r="PI459" s="770"/>
      <c r="PJ459" s="770"/>
      <c r="PK459" s="770"/>
      <c r="PL459" s="770"/>
      <c r="PM459" s="770"/>
      <c r="PN459" s="770"/>
      <c r="PO459" s="770"/>
      <c r="PP459" s="770"/>
      <c r="PQ459" s="770"/>
      <c r="PR459" s="770"/>
      <c r="PS459" s="770"/>
      <c r="PT459" s="770"/>
      <c r="PU459" s="770"/>
      <c r="PV459" s="770"/>
      <c r="PW459" s="770"/>
      <c r="PX459" s="770"/>
      <c r="PY459" s="770"/>
      <c r="PZ459" s="770"/>
      <c r="QA459" s="770"/>
      <c r="QB459" s="770"/>
      <c r="QC459" s="770"/>
      <c r="QD459" s="770"/>
      <c r="QE459" s="770"/>
      <c r="QF459" s="770"/>
      <c r="QG459" s="770"/>
      <c r="QH459" s="770"/>
      <c r="QI459" s="770"/>
      <c r="QJ459" s="770"/>
      <c r="QK459" s="770"/>
      <c r="QL459" s="770"/>
      <c r="QM459" s="770"/>
      <c r="QN459" s="770"/>
      <c r="QO459" s="770"/>
      <c r="QP459" s="770"/>
      <c r="QQ459" s="770"/>
      <c r="QR459" s="770"/>
      <c r="QS459" s="770"/>
      <c r="QT459" s="770"/>
      <c r="QU459" s="770"/>
      <c r="QV459" s="770"/>
      <c r="QW459" s="770"/>
      <c r="QX459" s="770"/>
      <c r="QY459" s="770"/>
      <c r="QZ459" s="770"/>
      <c r="RA459" s="770"/>
      <c r="RB459" s="770"/>
      <c r="RC459" s="770"/>
      <c r="RD459" s="770"/>
      <c r="RE459" s="770"/>
      <c r="RF459" s="304"/>
      <c r="RG459" s="770"/>
      <c r="RH459" s="302"/>
      <c r="RI459" s="770"/>
      <c r="RJ459" s="770" t="s">
        <v>13606</v>
      </c>
      <c r="RK459" s="770" t="s">
        <v>13550</v>
      </c>
      <c r="RL459" s="1710">
        <v>42826</v>
      </c>
      <c r="RM459" s="12"/>
      <c r="RN459" s="1711"/>
      <c r="RO459" s="132" t="s">
        <v>2572</v>
      </c>
      <c r="RP459" s="11"/>
      <c r="RQ459" s="11"/>
      <c r="RR459" s="17"/>
      <c r="RS459" s="767"/>
      <c r="RT459" s="11"/>
      <c r="RU459" s="11"/>
      <c r="RV459" s="771" t="s">
        <v>7421</v>
      </c>
      <c r="RW459" s="11" t="s">
        <v>7751</v>
      </c>
      <c r="RX459" s="11" t="s">
        <v>2558</v>
      </c>
      <c r="RY459" s="11"/>
      <c r="RZ459" s="11" t="s">
        <v>1101</v>
      </c>
      <c r="SA459" s="771"/>
      <c r="SB459" s="11"/>
      <c r="SC459" s="11"/>
    </row>
    <row r="460" spans="1:497" ht="12.75" customHeight="1">
      <c r="A460" s="19" t="s">
        <v>7421</v>
      </c>
      <c r="B460" s="752" t="s">
        <v>7753</v>
      </c>
      <c r="C460" s="132" t="s">
        <v>2577</v>
      </c>
      <c r="D460" s="94" t="s">
        <v>2590</v>
      </c>
      <c r="E460" s="766" t="s">
        <v>2591</v>
      </c>
      <c r="F460" s="770" t="s">
        <v>28</v>
      </c>
      <c r="G460" s="770" t="s">
        <v>18</v>
      </c>
      <c r="H460" s="770"/>
      <c r="I460" s="295"/>
      <c r="J460" s="94" t="s">
        <v>2590</v>
      </c>
      <c r="K460" s="766" t="s">
        <v>2910</v>
      </c>
      <c r="L460" s="766" t="s">
        <v>2681</v>
      </c>
      <c r="M460" s="770" t="s">
        <v>1238</v>
      </c>
      <c r="N460" s="770"/>
      <c r="O460" s="770" t="s">
        <v>2592</v>
      </c>
      <c r="P460" s="770" t="s">
        <v>7863</v>
      </c>
      <c r="Q460" s="1088"/>
      <c r="R460" s="297"/>
      <c r="S460" s="770" t="s">
        <v>18</v>
      </c>
      <c r="T460" s="770" t="s">
        <v>7864</v>
      </c>
      <c r="U460" s="298"/>
      <c r="V460" s="770" t="s">
        <v>7865</v>
      </c>
      <c r="W460" s="770"/>
      <c r="X460" s="770"/>
      <c r="Y460" s="770" t="s">
        <v>7866</v>
      </c>
      <c r="Z460" s="770" t="s">
        <v>708</v>
      </c>
      <c r="AA460" s="770" t="s">
        <v>709</v>
      </c>
      <c r="AB460" s="770"/>
      <c r="AC460" s="770"/>
      <c r="AD460" s="770"/>
      <c r="AE460" s="770"/>
      <c r="AF460" s="770"/>
      <c r="AG460" s="766" t="s">
        <v>1132</v>
      </c>
      <c r="AH460" s="766" t="s">
        <v>1096</v>
      </c>
      <c r="AI460" s="770"/>
      <c r="AJ460" s="770" t="s">
        <v>1137</v>
      </c>
      <c r="AK460" s="770" t="s">
        <v>1101</v>
      </c>
      <c r="AL460" s="531">
        <v>40</v>
      </c>
      <c r="AM460" s="780">
        <v>40</v>
      </c>
      <c r="AN460" s="532">
        <f t="shared" ref="AN460:AN478" si="124">AM460/AL460</f>
        <v>1</v>
      </c>
      <c r="AO460" s="766" t="s">
        <v>1122</v>
      </c>
      <c r="AP460" s="766"/>
      <c r="AQ460" s="766"/>
      <c r="AR460" s="766"/>
      <c r="AS460" s="770" t="s">
        <v>1207</v>
      </c>
      <c r="AT460" s="770" t="s">
        <v>1208</v>
      </c>
      <c r="AU460" s="770"/>
      <c r="AV460" s="770"/>
      <c r="AW460" s="770"/>
      <c r="AX460" s="770"/>
      <c r="AY460" s="770"/>
      <c r="AZ460" s="770"/>
      <c r="BA460" s="770"/>
      <c r="BB460" s="770"/>
      <c r="BC460" s="770"/>
      <c r="BD460" s="770"/>
      <c r="BE460" s="770"/>
      <c r="BF460" s="302"/>
      <c r="BG460" s="302"/>
      <c r="BH460" s="770"/>
      <c r="BI460" s="770"/>
      <c r="BJ460" s="770"/>
      <c r="BK460" s="770"/>
      <c r="BL460" s="770"/>
      <c r="BM460" s="770"/>
      <c r="BN460" s="770"/>
      <c r="BO460" s="770"/>
      <c r="BP460" s="1109"/>
      <c r="BQ460" s="773"/>
      <c r="BR460" s="774"/>
      <c r="BS460" s="766"/>
      <c r="BT460" s="770"/>
      <c r="BU460" s="770"/>
      <c r="BV460" s="770"/>
      <c r="BW460" s="770"/>
      <c r="BX460" s="302"/>
      <c r="BY460" s="770"/>
      <c r="BZ460" s="302"/>
      <c r="CA460" s="770"/>
      <c r="CB460" s="770" t="s">
        <v>1207</v>
      </c>
      <c r="CC460" s="770" t="s">
        <v>7863</v>
      </c>
      <c r="CD460" s="770"/>
      <c r="CE460" s="770"/>
      <c r="CF460" s="1753">
        <v>2</v>
      </c>
      <c r="CG460" s="1754">
        <v>20.9</v>
      </c>
      <c r="CH460" s="770" t="s">
        <v>2593</v>
      </c>
      <c r="CI460" s="770"/>
      <c r="CJ460" s="770"/>
      <c r="CK460" s="770">
        <v>10</v>
      </c>
      <c r="CL460" s="770"/>
      <c r="CM460" s="770"/>
      <c r="CN460" s="770"/>
      <c r="CO460" s="770" t="s">
        <v>1257</v>
      </c>
      <c r="CP460" s="770"/>
      <c r="CQ460" s="770"/>
      <c r="CR460" s="302"/>
      <c r="CS460" s="770"/>
      <c r="CT460" s="770"/>
      <c r="CU460" s="305"/>
      <c r="CV460" s="770"/>
      <c r="CW460" s="770"/>
      <c r="CX460" s="770"/>
      <c r="CY460" s="770"/>
      <c r="CZ460" s="770"/>
      <c r="DA460" s="306"/>
      <c r="DB460" s="770"/>
      <c r="DC460" s="770"/>
      <c r="DD460" s="770"/>
      <c r="DE460" s="300"/>
      <c r="DF460" s="770"/>
      <c r="DG460" s="770"/>
      <c r="DH460" s="770"/>
      <c r="DI460" s="770"/>
      <c r="DJ460" s="770"/>
      <c r="DK460" s="770"/>
      <c r="DL460" s="770"/>
      <c r="DM460" s="770"/>
      <c r="DN460" s="322"/>
      <c r="DO460" s="770"/>
      <c r="DP460" s="770"/>
      <c r="DQ460" s="770"/>
      <c r="DR460" s="770"/>
      <c r="DS460" s="307"/>
      <c r="DT460" s="770"/>
      <c r="DU460" s="770"/>
      <c r="DV460" s="770"/>
      <c r="DW460" s="306"/>
      <c r="DX460" s="306"/>
      <c r="DY460" s="770"/>
      <c r="DZ460" s="770"/>
      <c r="EA460" s="770"/>
      <c r="EB460" s="770"/>
      <c r="EC460" s="770"/>
      <c r="ED460" s="770"/>
      <c r="EE460" s="770"/>
      <c r="EF460" s="770"/>
      <c r="EG460" s="770"/>
      <c r="EH460" s="770"/>
      <c r="EI460" s="770"/>
      <c r="EJ460" s="770"/>
      <c r="EK460" s="770"/>
      <c r="EL460" s="770"/>
      <c r="EM460" s="770"/>
      <c r="EN460" s="770"/>
      <c r="EO460" s="770"/>
      <c r="EP460" s="94"/>
      <c r="EQ460" s="770"/>
      <c r="ER460" s="770"/>
      <c r="ES460" s="770"/>
      <c r="ET460" s="770"/>
      <c r="EU460" s="770"/>
      <c r="EV460" s="770"/>
      <c r="EW460" s="770"/>
      <c r="EX460" s="770"/>
      <c r="EY460" s="770"/>
      <c r="EZ460" s="770"/>
      <c r="FA460" s="770"/>
      <c r="FB460" s="770"/>
      <c r="FC460" s="770"/>
      <c r="FD460" s="302"/>
      <c r="FE460" s="770"/>
      <c r="FF460" s="770"/>
      <c r="FG460" s="770"/>
      <c r="FH460" s="770"/>
      <c r="FI460" s="770"/>
      <c r="FJ460" s="770"/>
      <c r="FK460" s="770"/>
      <c r="FL460" s="770"/>
      <c r="FM460" s="302"/>
      <c r="FN460" s="302"/>
      <c r="FO460" s="302"/>
      <c r="FP460" s="770"/>
      <c r="FQ460" s="770"/>
      <c r="FR460" s="770" t="s">
        <v>1214</v>
      </c>
      <c r="FS460" s="770"/>
      <c r="FT460" s="770"/>
      <c r="FU460" s="770"/>
      <c r="FV460" s="770"/>
      <c r="FW460" s="770"/>
      <c r="FX460" s="770"/>
      <c r="FY460" s="770"/>
      <c r="FZ460" s="770"/>
      <c r="GA460" s="770"/>
      <c r="GB460" s="770"/>
      <c r="GC460" s="308"/>
      <c r="GD460" s="297"/>
      <c r="GE460" s="770"/>
      <c r="GF460" s="302"/>
      <c r="GG460" s="302"/>
      <c r="GH460" s="770"/>
      <c r="GI460" s="770"/>
      <c r="GJ460" s="770"/>
      <c r="GK460" s="770"/>
      <c r="GL460" s="770"/>
      <c r="GM460" s="770"/>
      <c r="GN460" s="299"/>
      <c r="GO460" s="770"/>
      <c r="GP460" s="770"/>
      <c r="GQ460" s="770"/>
      <c r="GR460" s="770"/>
      <c r="GS460" s="770"/>
      <c r="GT460" s="770"/>
      <c r="GU460" s="770"/>
      <c r="GV460" s="770"/>
      <c r="GW460" s="770"/>
      <c r="GX460" s="770"/>
      <c r="GY460" s="770"/>
      <c r="GZ460" s="770"/>
      <c r="HA460" s="770"/>
      <c r="HB460" s="770"/>
      <c r="HC460" s="770"/>
      <c r="HD460" s="770"/>
      <c r="HE460" s="770"/>
      <c r="HF460" s="770"/>
      <c r="HG460" s="770"/>
      <c r="HH460" s="770"/>
      <c r="HI460" s="770"/>
      <c r="HJ460" s="770"/>
      <c r="HK460" s="770"/>
      <c r="HL460" s="770"/>
      <c r="HM460" s="770"/>
      <c r="HN460" s="770"/>
      <c r="HO460" s="770"/>
      <c r="HP460" s="770"/>
      <c r="HQ460" s="770"/>
      <c r="HR460" s="770">
        <v>2</v>
      </c>
      <c r="HS460" s="770">
        <v>1</v>
      </c>
      <c r="HT460" s="770">
        <v>7</v>
      </c>
      <c r="HU460" s="770"/>
      <c r="HV460" s="770"/>
      <c r="HW460" s="770"/>
      <c r="HX460" s="770"/>
      <c r="HY460" s="770"/>
      <c r="HZ460" s="770"/>
      <c r="IA460" s="770"/>
      <c r="IB460" s="770"/>
      <c r="IC460" s="770"/>
      <c r="ID460" s="770"/>
      <c r="IE460" s="770"/>
      <c r="IF460" s="770"/>
      <c r="IG460" s="770"/>
      <c r="IH460" s="770"/>
      <c r="II460" s="770"/>
      <c r="IJ460" s="770"/>
      <c r="IK460" s="770"/>
      <c r="IL460" s="770"/>
      <c r="IM460" s="770"/>
      <c r="IN460" s="770"/>
      <c r="IO460" s="296"/>
      <c r="IP460" s="770"/>
      <c r="IQ460" s="770"/>
      <c r="IR460" s="770"/>
      <c r="IS460" s="770"/>
      <c r="IT460" s="770"/>
      <c r="IU460" s="770"/>
      <c r="IV460" s="770"/>
      <c r="IW460" s="770"/>
      <c r="IX460" s="770"/>
      <c r="IY460" s="770"/>
      <c r="IZ460" s="770"/>
      <c r="JA460" s="770"/>
      <c r="JB460" s="770"/>
      <c r="JC460" s="770"/>
      <c r="JD460" s="302"/>
      <c r="JE460" s="770"/>
      <c r="JF460" s="770"/>
      <c r="JG460" s="770"/>
      <c r="JH460" s="307"/>
      <c r="JI460" s="307"/>
      <c r="JJ460" s="770"/>
      <c r="JK460" s="770"/>
      <c r="JL460" s="770"/>
      <c r="JM460" s="770"/>
      <c r="JN460" s="770"/>
      <c r="JO460" s="770"/>
      <c r="JP460" s="770"/>
      <c r="JQ460" s="770"/>
      <c r="JR460" s="770"/>
      <c r="JS460" s="770"/>
      <c r="JT460" s="766"/>
      <c r="JU460" s="766"/>
      <c r="JV460" s="766"/>
      <c r="JW460" s="766"/>
      <c r="JX460" s="770"/>
      <c r="JY460" s="770"/>
      <c r="JZ460" s="770"/>
      <c r="KA460" s="770"/>
      <c r="KB460" s="770"/>
      <c r="KC460" s="770"/>
      <c r="KD460" s="770"/>
      <c r="KE460" s="770"/>
      <c r="KF460" s="770"/>
      <c r="KG460" s="770"/>
      <c r="KH460" s="770"/>
      <c r="KI460" s="770"/>
      <c r="KJ460" s="770"/>
      <c r="KK460" s="770"/>
      <c r="KL460" s="770"/>
      <c r="KM460" s="770"/>
      <c r="KN460" s="770"/>
      <c r="KO460" s="770"/>
      <c r="KP460" s="770"/>
      <c r="KQ460" s="770"/>
      <c r="KR460" s="770"/>
      <c r="KS460" s="770"/>
      <c r="KT460" s="770"/>
      <c r="KU460" s="770"/>
      <c r="KV460" s="770"/>
      <c r="KW460" s="770"/>
      <c r="KX460" s="770"/>
      <c r="KY460" s="770"/>
      <c r="KZ460" s="770"/>
      <c r="LA460" s="770"/>
      <c r="LB460" s="770"/>
      <c r="LC460" s="770"/>
      <c r="LD460" s="770"/>
      <c r="LE460" s="770"/>
      <c r="LF460" s="770"/>
      <c r="LG460" s="770"/>
      <c r="LH460" s="770"/>
      <c r="LI460" s="770"/>
      <c r="LJ460" s="770"/>
      <c r="LK460" s="770"/>
      <c r="LL460" s="770"/>
      <c r="LM460" s="770"/>
      <c r="LN460" s="766"/>
      <c r="LO460" s="766"/>
      <c r="LP460" s="770"/>
      <c r="LQ460" s="770"/>
      <c r="LR460" s="770"/>
      <c r="LS460" s="770"/>
      <c r="LT460" s="770"/>
      <c r="LU460" s="770"/>
      <c r="LV460" s="770"/>
      <c r="LW460" s="770"/>
      <c r="LX460" s="769"/>
      <c r="LY460" s="766" t="str">
        <f t="shared" si="119"/>
        <v/>
      </c>
      <c r="LZ460" s="1709"/>
      <c r="MA460" s="1709"/>
      <c r="MB460" s="1709"/>
      <c r="MC460" s="1679">
        <f t="shared" si="110"/>
        <v>0</v>
      </c>
      <c r="MD460" s="1709"/>
      <c r="ME460" s="1709"/>
      <c r="MF460" s="1709"/>
      <c r="MG460" s="1680">
        <f t="shared" si="121"/>
        <v>0</v>
      </c>
      <c r="MH460" s="770"/>
      <c r="MI460" s="302"/>
      <c r="MJ460" s="302"/>
      <c r="MK460" s="302"/>
      <c r="ML460" s="302"/>
      <c r="MM460" s="302"/>
      <c r="MN460" s="302"/>
      <c r="MO460" s="302"/>
      <c r="MP460" s="302"/>
      <c r="MQ460" s="302"/>
      <c r="MR460" s="302"/>
      <c r="MS460" s="302"/>
      <c r="MT460" s="302"/>
      <c r="MU460" s="302"/>
      <c r="MV460" s="302"/>
      <c r="MW460" s="302"/>
      <c r="MX460" s="302"/>
      <c r="MY460" s="1682">
        <f t="shared" si="122"/>
        <v>0</v>
      </c>
      <c r="MZ460" s="770"/>
      <c r="NA460" s="770"/>
      <c r="NB460" s="770"/>
      <c r="NC460" s="770"/>
      <c r="ND460" s="770"/>
      <c r="NE460" s="770"/>
      <c r="NF460" s="770"/>
      <c r="NG460" s="770"/>
      <c r="NH460" s="770"/>
      <c r="NI460" s="770"/>
      <c r="NJ460" s="770"/>
      <c r="NK460" s="770"/>
      <c r="NL460" s="770"/>
      <c r="NM460" s="770"/>
      <c r="NN460" s="770"/>
      <c r="NO460" s="770"/>
      <c r="NP460" s="770"/>
      <c r="NQ460" s="770"/>
      <c r="NR460" s="770"/>
      <c r="NS460" s="770"/>
      <c r="NT460" s="770"/>
      <c r="NU460" s="770"/>
      <c r="NV460" s="770"/>
      <c r="NW460" s="770"/>
      <c r="NX460" s="770"/>
      <c r="NY460" s="770"/>
      <c r="NZ460" s="770"/>
      <c r="OA460" s="770"/>
      <c r="OB460" s="770"/>
      <c r="OC460" s="770"/>
      <c r="OD460" s="770"/>
      <c r="OE460" s="770"/>
      <c r="OF460" s="770"/>
      <c r="OG460" s="770"/>
      <c r="OH460" s="770"/>
      <c r="OI460" s="770"/>
      <c r="OJ460" s="770"/>
      <c r="OK460" s="770"/>
      <c r="OL460" s="770"/>
      <c r="OM460" s="770"/>
      <c r="ON460" s="770"/>
      <c r="OO460" s="770"/>
      <c r="OP460" s="770"/>
      <c r="OQ460" s="770"/>
      <c r="OR460" s="770"/>
      <c r="OS460" s="770"/>
      <c r="OT460" s="770"/>
      <c r="OU460" s="770"/>
      <c r="OV460" s="770"/>
      <c r="OW460" s="770"/>
      <c r="OX460" s="770"/>
      <c r="OY460" s="770"/>
      <c r="OZ460" s="770"/>
      <c r="PA460" s="770"/>
      <c r="PB460" s="770"/>
      <c r="PC460" s="770"/>
      <c r="PD460" s="770"/>
      <c r="PE460" s="770"/>
      <c r="PF460" s="770"/>
      <c r="PG460" s="770"/>
      <c r="PH460" s="770"/>
      <c r="PI460" s="770"/>
      <c r="PJ460" s="770"/>
      <c r="PK460" s="770"/>
      <c r="PL460" s="770"/>
      <c r="PM460" s="770"/>
      <c r="PN460" s="770"/>
      <c r="PO460" s="770"/>
      <c r="PP460" s="770"/>
      <c r="PQ460" s="770"/>
      <c r="PR460" s="770"/>
      <c r="PS460" s="770"/>
      <c r="PT460" s="770"/>
      <c r="PU460" s="770"/>
      <c r="PV460" s="770"/>
      <c r="PW460" s="770"/>
      <c r="PX460" s="770"/>
      <c r="PY460" s="770"/>
      <c r="PZ460" s="770"/>
      <c r="QA460" s="770"/>
      <c r="QB460" s="770"/>
      <c r="QC460" s="770"/>
      <c r="QD460" s="770"/>
      <c r="QE460" s="770"/>
      <c r="QF460" s="770"/>
      <c r="QG460" s="770"/>
      <c r="QH460" s="770"/>
      <c r="QI460" s="770"/>
      <c r="QJ460" s="770"/>
      <c r="QK460" s="770"/>
      <c r="QL460" s="770"/>
      <c r="QM460" s="770"/>
      <c r="QN460" s="770"/>
      <c r="QO460" s="770"/>
      <c r="QP460" s="770"/>
      <c r="QQ460" s="770"/>
      <c r="QR460" s="770"/>
      <c r="QS460" s="770"/>
      <c r="QT460" s="770"/>
      <c r="QU460" s="770"/>
      <c r="QV460" s="770"/>
      <c r="QW460" s="770"/>
      <c r="QX460" s="770"/>
      <c r="QY460" s="770"/>
      <c r="QZ460" s="770"/>
      <c r="RA460" s="770"/>
      <c r="RB460" s="770"/>
      <c r="RC460" s="770"/>
      <c r="RD460" s="770"/>
      <c r="RE460" s="770"/>
      <c r="RF460" s="304"/>
      <c r="RG460" s="770"/>
      <c r="RH460" s="302"/>
      <c r="RI460" s="770"/>
      <c r="RJ460" s="770" t="s">
        <v>13607</v>
      </c>
      <c r="RK460" s="770" t="s">
        <v>13556</v>
      </c>
      <c r="RL460" s="1710"/>
      <c r="RM460" s="12"/>
      <c r="RN460" s="1711"/>
      <c r="RO460" s="132" t="s">
        <v>2577</v>
      </c>
      <c r="RP460" s="11"/>
      <c r="RQ460" s="11"/>
      <c r="RR460" s="17"/>
      <c r="RS460" s="767"/>
      <c r="RT460" s="11"/>
      <c r="RU460" s="11"/>
      <c r="RV460" s="771" t="s">
        <v>7421</v>
      </c>
      <c r="RW460" s="11" t="s">
        <v>12369</v>
      </c>
      <c r="RX460" s="11" t="s">
        <v>2565</v>
      </c>
      <c r="RY460" s="11"/>
      <c r="RZ460" s="11" t="s">
        <v>1101</v>
      </c>
      <c r="SA460" s="771"/>
      <c r="SB460" s="11"/>
      <c r="SC460" s="11"/>
    </row>
    <row r="461" spans="1:497" ht="12.75" customHeight="1">
      <c r="A461" s="19" t="s">
        <v>7421</v>
      </c>
      <c r="B461" s="754" t="s">
        <v>7755</v>
      </c>
      <c r="C461" s="132" t="s">
        <v>2589</v>
      </c>
      <c r="D461" s="14" t="s">
        <v>7754</v>
      </c>
      <c r="E461" s="766" t="s">
        <v>3487</v>
      </c>
      <c r="F461" s="770"/>
      <c r="G461" s="770"/>
      <c r="H461" s="770"/>
      <c r="I461" s="295"/>
      <c r="J461" s="94" t="s">
        <v>7859</v>
      </c>
      <c r="K461" s="766" t="s">
        <v>7860</v>
      </c>
      <c r="L461" s="766" t="s">
        <v>4387</v>
      </c>
      <c r="M461" s="770" t="s">
        <v>1238</v>
      </c>
      <c r="N461" s="770"/>
      <c r="O461" s="770" t="s">
        <v>2592</v>
      </c>
      <c r="P461" s="770" t="s">
        <v>7867</v>
      </c>
      <c r="Q461" s="1088"/>
      <c r="R461" s="297"/>
      <c r="S461" s="770" t="s">
        <v>10</v>
      </c>
      <c r="T461" s="770"/>
      <c r="U461" s="298"/>
      <c r="V461" s="770"/>
      <c r="W461" s="770"/>
      <c r="X461" s="770"/>
      <c r="Y461" s="770"/>
      <c r="Z461" s="770"/>
      <c r="AA461" s="770"/>
      <c r="AB461" s="770"/>
      <c r="AC461" s="770"/>
      <c r="AD461" s="770"/>
      <c r="AE461" s="770"/>
      <c r="AF461" s="770"/>
      <c r="AG461" s="766" t="s">
        <v>1132</v>
      </c>
      <c r="AH461" s="766" t="s">
        <v>1096</v>
      </c>
      <c r="AI461" s="770"/>
      <c r="AJ461" s="770" t="s">
        <v>1137</v>
      </c>
      <c r="AK461" s="770" t="s">
        <v>1101</v>
      </c>
      <c r="AL461" s="531">
        <v>36.854999999999997</v>
      </c>
      <c r="AM461" s="780">
        <v>35.49</v>
      </c>
      <c r="AN461" s="532">
        <f t="shared" si="124"/>
        <v>0.96296296296296313</v>
      </c>
      <c r="AO461" s="766" t="s">
        <v>1105</v>
      </c>
      <c r="AP461" s="766"/>
      <c r="AQ461" s="766"/>
      <c r="AR461" s="766"/>
      <c r="AS461" s="770"/>
      <c r="AT461" s="770"/>
      <c r="AU461" s="770"/>
      <c r="AV461" s="770"/>
      <c r="AW461" s="770"/>
      <c r="AX461" s="770"/>
      <c r="AY461" s="770"/>
      <c r="AZ461" s="770"/>
      <c r="BA461" s="770"/>
      <c r="BB461" s="770"/>
      <c r="BC461" s="770"/>
      <c r="BD461" s="770"/>
      <c r="BE461" s="770"/>
      <c r="BF461" s="302"/>
      <c r="BG461" s="302"/>
      <c r="BH461" s="770"/>
      <c r="BI461" s="770"/>
      <c r="BJ461" s="770"/>
      <c r="BK461" s="770"/>
      <c r="BL461" s="770"/>
      <c r="BM461" s="770"/>
      <c r="BN461" s="770"/>
      <c r="BO461" s="770"/>
      <c r="BP461" s="1109"/>
      <c r="BQ461" s="773"/>
      <c r="BR461" s="774"/>
      <c r="BS461" s="766"/>
      <c r="BT461" s="770"/>
      <c r="BU461" s="770"/>
      <c r="BV461" s="770"/>
      <c r="BW461" s="770"/>
      <c r="BX461" s="302"/>
      <c r="BY461" s="770"/>
      <c r="BZ461" s="302"/>
      <c r="CA461" s="770"/>
      <c r="CB461" s="770"/>
      <c r="CC461" s="770"/>
      <c r="CD461" s="770"/>
      <c r="CE461" s="770"/>
      <c r="CF461" s="1753"/>
      <c r="CG461" s="1754"/>
      <c r="CH461" s="770"/>
      <c r="CI461" s="770"/>
      <c r="CJ461" s="770"/>
      <c r="CK461" s="770"/>
      <c r="CL461" s="770"/>
      <c r="CM461" s="770"/>
      <c r="CN461" s="770"/>
      <c r="CO461" s="770"/>
      <c r="CP461" s="770"/>
      <c r="CQ461" s="770"/>
      <c r="CR461" s="302"/>
      <c r="CS461" s="770"/>
      <c r="CT461" s="770"/>
      <c r="CU461" s="305"/>
      <c r="CV461" s="770"/>
      <c r="CW461" s="770"/>
      <c r="CX461" s="770"/>
      <c r="CY461" s="770"/>
      <c r="CZ461" s="770"/>
      <c r="DA461" s="306"/>
      <c r="DB461" s="770"/>
      <c r="DC461" s="770"/>
      <c r="DD461" s="770"/>
      <c r="DE461" s="300"/>
      <c r="DF461" s="770"/>
      <c r="DG461" s="770"/>
      <c r="DH461" s="770"/>
      <c r="DI461" s="770"/>
      <c r="DJ461" s="770"/>
      <c r="DK461" s="770"/>
      <c r="DL461" s="770"/>
      <c r="DM461" s="770"/>
      <c r="DN461" s="322"/>
      <c r="DO461" s="770"/>
      <c r="DP461" s="770"/>
      <c r="DQ461" s="770"/>
      <c r="DR461" s="770"/>
      <c r="DS461" s="307"/>
      <c r="DT461" s="770"/>
      <c r="DU461" s="770"/>
      <c r="DV461" s="770"/>
      <c r="DW461" s="306"/>
      <c r="DX461" s="306"/>
      <c r="DY461" s="770"/>
      <c r="DZ461" s="770"/>
      <c r="EA461" s="770"/>
      <c r="EB461" s="770"/>
      <c r="EC461" s="770"/>
      <c r="ED461" s="770"/>
      <c r="EE461" s="770"/>
      <c r="EF461" s="770"/>
      <c r="EG461" s="770"/>
      <c r="EH461" s="770"/>
      <c r="EI461" s="770"/>
      <c r="EJ461" s="770"/>
      <c r="EK461" s="770"/>
      <c r="EL461" s="770"/>
      <c r="EM461" s="770"/>
      <c r="EN461" s="770"/>
      <c r="EO461" s="770"/>
      <c r="EP461" s="94"/>
      <c r="EQ461" s="770"/>
      <c r="ER461" s="770"/>
      <c r="ES461" s="770"/>
      <c r="ET461" s="770"/>
      <c r="EU461" s="770"/>
      <c r="EV461" s="770"/>
      <c r="EW461" s="770"/>
      <c r="EX461" s="770"/>
      <c r="EY461" s="770"/>
      <c r="EZ461" s="770"/>
      <c r="FA461" s="770"/>
      <c r="FB461" s="770"/>
      <c r="FC461" s="770"/>
      <c r="FD461" s="302"/>
      <c r="FE461" s="770"/>
      <c r="FF461" s="770"/>
      <c r="FG461" s="770"/>
      <c r="FH461" s="770"/>
      <c r="FI461" s="770"/>
      <c r="FJ461" s="770"/>
      <c r="FK461" s="770"/>
      <c r="FL461" s="770"/>
      <c r="FM461" s="302"/>
      <c r="FN461" s="302"/>
      <c r="FO461" s="302"/>
      <c r="FP461" s="770"/>
      <c r="FQ461" s="770"/>
      <c r="FR461" s="770"/>
      <c r="FS461" s="770"/>
      <c r="FT461" s="770"/>
      <c r="FU461" s="770"/>
      <c r="FV461" s="770"/>
      <c r="FW461" s="770"/>
      <c r="FX461" s="770"/>
      <c r="FY461" s="770"/>
      <c r="FZ461" s="770"/>
      <c r="GA461" s="770"/>
      <c r="GB461" s="770"/>
      <c r="GC461" s="308"/>
      <c r="GD461" s="297"/>
      <c r="GE461" s="770"/>
      <c r="GF461" s="302"/>
      <c r="GG461" s="302"/>
      <c r="GH461" s="770"/>
      <c r="GI461" s="770"/>
      <c r="GJ461" s="770"/>
      <c r="GK461" s="770"/>
      <c r="GL461" s="770"/>
      <c r="GM461" s="770"/>
      <c r="GN461" s="299"/>
      <c r="GO461" s="770"/>
      <c r="GP461" s="770"/>
      <c r="GQ461" s="770"/>
      <c r="GR461" s="770"/>
      <c r="GS461" s="770"/>
      <c r="GT461" s="770"/>
      <c r="GU461" s="770"/>
      <c r="GV461" s="770"/>
      <c r="GW461" s="770"/>
      <c r="GX461" s="770"/>
      <c r="GY461" s="770"/>
      <c r="GZ461" s="770"/>
      <c r="HA461" s="770"/>
      <c r="HB461" s="770"/>
      <c r="HC461" s="770"/>
      <c r="HD461" s="770"/>
      <c r="HE461" s="770"/>
      <c r="HF461" s="770"/>
      <c r="HG461" s="770"/>
      <c r="HH461" s="770"/>
      <c r="HI461" s="770"/>
      <c r="HJ461" s="770"/>
      <c r="HK461" s="770"/>
      <c r="HL461" s="770"/>
      <c r="HM461" s="770"/>
      <c r="HN461" s="770"/>
      <c r="HO461" s="770"/>
      <c r="HP461" s="770"/>
      <c r="HQ461" s="770"/>
      <c r="HR461" s="770"/>
      <c r="HS461" s="770"/>
      <c r="HT461" s="770"/>
      <c r="HU461" s="770"/>
      <c r="HV461" s="770"/>
      <c r="HW461" s="770"/>
      <c r="HX461" s="770"/>
      <c r="HY461" s="770"/>
      <c r="HZ461" s="770"/>
      <c r="IA461" s="770"/>
      <c r="IB461" s="770"/>
      <c r="IC461" s="770"/>
      <c r="ID461" s="770"/>
      <c r="IE461" s="770"/>
      <c r="IF461" s="770"/>
      <c r="IG461" s="770"/>
      <c r="IH461" s="770"/>
      <c r="II461" s="770"/>
      <c r="IJ461" s="770"/>
      <c r="IK461" s="770"/>
      <c r="IL461" s="770"/>
      <c r="IM461" s="770"/>
      <c r="IN461" s="770"/>
      <c r="IO461" s="296"/>
      <c r="IP461" s="770"/>
      <c r="IQ461" s="770"/>
      <c r="IR461" s="770"/>
      <c r="IS461" s="770"/>
      <c r="IT461" s="770"/>
      <c r="IU461" s="770"/>
      <c r="IV461" s="770"/>
      <c r="IW461" s="770"/>
      <c r="IX461" s="770"/>
      <c r="IY461" s="770"/>
      <c r="IZ461" s="770"/>
      <c r="JA461" s="770"/>
      <c r="JB461" s="770"/>
      <c r="JC461" s="770"/>
      <c r="JD461" s="302"/>
      <c r="JE461" s="770"/>
      <c r="JF461" s="770"/>
      <c r="JG461" s="770"/>
      <c r="JH461" s="307"/>
      <c r="JI461" s="307"/>
      <c r="JJ461" s="770"/>
      <c r="JK461" s="770"/>
      <c r="JL461" s="770"/>
      <c r="JM461" s="770"/>
      <c r="JN461" s="770"/>
      <c r="JO461" s="770"/>
      <c r="JP461" s="770"/>
      <c r="JQ461" s="770"/>
      <c r="JR461" s="770"/>
      <c r="JS461" s="770"/>
      <c r="JT461" s="766"/>
      <c r="JU461" s="766"/>
      <c r="JV461" s="766"/>
      <c r="JW461" s="766"/>
      <c r="JX461" s="770"/>
      <c r="JY461" s="770"/>
      <c r="JZ461" s="770"/>
      <c r="KA461" s="770"/>
      <c r="KB461" s="770"/>
      <c r="KC461" s="770"/>
      <c r="KD461" s="770"/>
      <c r="KE461" s="770"/>
      <c r="KF461" s="770"/>
      <c r="KG461" s="770"/>
      <c r="KH461" s="770"/>
      <c r="KI461" s="770"/>
      <c r="KJ461" s="770"/>
      <c r="KK461" s="770"/>
      <c r="KL461" s="770"/>
      <c r="KM461" s="770"/>
      <c r="KN461" s="770"/>
      <c r="KO461" s="770"/>
      <c r="KP461" s="770"/>
      <c r="KQ461" s="770"/>
      <c r="KR461" s="770"/>
      <c r="KS461" s="770"/>
      <c r="KT461" s="770"/>
      <c r="KU461" s="770"/>
      <c r="KV461" s="770"/>
      <c r="KW461" s="770"/>
      <c r="KX461" s="770"/>
      <c r="KY461" s="770"/>
      <c r="KZ461" s="770"/>
      <c r="LA461" s="770"/>
      <c r="LB461" s="770"/>
      <c r="LC461" s="770"/>
      <c r="LD461" s="770"/>
      <c r="LE461" s="770"/>
      <c r="LF461" s="770"/>
      <c r="LG461" s="770"/>
      <c r="LH461" s="770"/>
      <c r="LI461" s="770"/>
      <c r="LJ461" s="770"/>
      <c r="LK461" s="770"/>
      <c r="LL461" s="770"/>
      <c r="LM461" s="770"/>
      <c r="LN461" s="766"/>
      <c r="LO461" s="766"/>
      <c r="LP461" s="770"/>
      <c r="LQ461" s="770"/>
      <c r="LR461" s="770"/>
      <c r="LS461" s="770"/>
      <c r="LT461" s="770"/>
      <c r="LU461" s="770"/>
      <c r="LV461" s="770"/>
      <c r="LW461" s="770"/>
      <c r="LX461" s="769"/>
      <c r="LY461" s="766" t="str">
        <f t="shared" si="119"/>
        <v/>
      </c>
      <c r="LZ461" s="1709"/>
      <c r="MA461" s="1709"/>
      <c r="MB461" s="1709"/>
      <c r="MC461" s="1679">
        <f t="shared" si="110"/>
        <v>0</v>
      </c>
      <c r="MD461" s="1709"/>
      <c r="ME461" s="1709"/>
      <c r="MF461" s="1709"/>
      <c r="MG461" s="1680">
        <f t="shared" si="121"/>
        <v>0</v>
      </c>
      <c r="MH461" s="770"/>
      <c r="MI461" s="302"/>
      <c r="MJ461" s="302"/>
      <c r="MK461" s="302"/>
      <c r="ML461" s="302"/>
      <c r="MM461" s="302"/>
      <c r="MN461" s="302"/>
      <c r="MO461" s="302"/>
      <c r="MP461" s="302"/>
      <c r="MQ461" s="302"/>
      <c r="MR461" s="302"/>
      <c r="MS461" s="302"/>
      <c r="MT461" s="302"/>
      <c r="MU461" s="302"/>
      <c r="MV461" s="302"/>
      <c r="MW461" s="302"/>
      <c r="MX461" s="302"/>
      <c r="MY461" s="1682">
        <f t="shared" si="122"/>
        <v>0</v>
      </c>
      <c r="MZ461" s="770"/>
      <c r="NA461" s="770"/>
      <c r="NB461" s="770"/>
      <c r="NC461" s="770"/>
      <c r="ND461" s="770"/>
      <c r="NE461" s="770"/>
      <c r="NF461" s="770"/>
      <c r="NG461" s="770"/>
      <c r="NH461" s="770"/>
      <c r="NI461" s="770"/>
      <c r="NJ461" s="770"/>
      <c r="NK461" s="770"/>
      <c r="NL461" s="770"/>
      <c r="NM461" s="770"/>
      <c r="NN461" s="770"/>
      <c r="NO461" s="770"/>
      <c r="NP461" s="770"/>
      <c r="NQ461" s="770"/>
      <c r="NR461" s="770"/>
      <c r="NS461" s="770"/>
      <c r="NT461" s="770"/>
      <c r="NU461" s="770"/>
      <c r="NV461" s="770"/>
      <c r="NW461" s="770"/>
      <c r="NX461" s="770"/>
      <c r="NY461" s="770"/>
      <c r="NZ461" s="770"/>
      <c r="OA461" s="770"/>
      <c r="OB461" s="770"/>
      <c r="OC461" s="770"/>
      <c r="OD461" s="770"/>
      <c r="OE461" s="770"/>
      <c r="OF461" s="770"/>
      <c r="OG461" s="770"/>
      <c r="OH461" s="770"/>
      <c r="OI461" s="770"/>
      <c r="OJ461" s="770"/>
      <c r="OK461" s="770"/>
      <c r="OL461" s="770"/>
      <c r="OM461" s="770"/>
      <c r="ON461" s="770"/>
      <c r="OO461" s="770"/>
      <c r="OP461" s="770"/>
      <c r="OQ461" s="770"/>
      <c r="OR461" s="770"/>
      <c r="OS461" s="770"/>
      <c r="OT461" s="770"/>
      <c r="OU461" s="770"/>
      <c r="OV461" s="770"/>
      <c r="OW461" s="770"/>
      <c r="OX461" s="770"/>
      <c r="OY461" s="770"/>
      <c r="OZ461" s="770"/>
      <c r="PA461" s="770"/>
      <c r="PB461" s="770"/>
      <c r="PC461" s="770"/>
      <c r="PD461" s="770"/>
      <c r="PE461" s="770"/>
      <c r="PF461" s="770"/>
      <c r="PG461" s="770"/>
      <c r="PH461" s="770"/>
      <c r="PI461" s="770"/>
      <c r="PJ461" s="770"/>
      <c r="PK461" s="770"/>
      <c r="PL461" s="770"/>
      <c r="PM461" s="770"/>
      <c r="PN461" s="770"/>
      <c r="PO461" s="770"/>
      <c r="PP461" s="770"/>
      <c r="PQ461" s="770"/>
      <c r="PR461" s="770"/>
      <c r="PS461" s="770"/>
      <c r="PT461" s="770"/>
      <c r="PU461" s="770"/>
      <c r="PV461" s="770"/>
      <c r="PW461" s="770"/>
      <c r="PX461" s="770"/>
      <c r="PY461" s="770"/>
      <c r="PZ461" s="770"/>
      <c r="QA461" s="770"/>
      <c r="QB461" s="770"/>
      <c r="QC461" s="770"/>
      <c r="QD461" s="770"/>
      <c r="QE461" s="770"/>
      <c r="QF461" s="770"/>
      <c r="QG461" s="770"/>
      <c r="QH461" s="770"/>
      <c r="QI461" s="770"/>
      <c r="QJ461" s="770"/>
      <c r="QK461" s="770"/>
      <c r="QL461" s="770"/>
      <c r="QM461" s="770"/>
      <c r="QN461" s="770"/>
      <c r="QO461" s="770"/>
      <c r="QP461" s="770"/>
      <c r="QQ461" s="770"/>
      <c r="QR461" s="770"/>
      <c r="QS461" s="770"/>
      <c r="QT461" s="770"/>
      <c r="QU461" s="770"/>
      <c r="QV461" s="770"/>
      <c r="QW461" s="770"/>
      <c r="QX461" s="770"/>
      <c r="QY461" s="770"/>
      <c r="QZ461" s="770"/>
      <c r="RA461" s="770"/>
      <c r="RB461" s="770"/>
      <c r="RC461" s="770"/>
      <c r="RD461" s="770"/>
      <c r="RE461" s="770"/>
      <c r="RF461" s="304"/>
      <c r="RG461" s="770"/>
      <c r="RH461" s="302"/>
      <c r="RI461" s="770"/>
      <c r="RJ461" s="770"/>
      <c r="RK461" s="770"/>
      <c r="RL461" s="1710"/>
      <c r="RM461" s="12"/>
      <c r="RN461" s="1711"/>
      <c r="RO461" s="132" t="s">
        <v>2589</v>
      </c>
      <c r="RP461" s="11"/>
      <c r="RQ461" s="11"/>
      <c r="RR461" s="17"/>
      <c r="RS461" s="767"/>
      <c r="RT461" s="11"/>
      <c r="RU461" s="11"/>
      <c r="RV461" s="771" t="s">
        <v>7421</v>
      </c>
      <c r="RW461" s="11" t="s">
        <v>7752</v>
      </c>
      <c r="RX461" s="11" t="s">
        <v>2572</v>
      </c>
      <c r="RY461" s="11"/>
      <c r="RZ461" s="11" t="s">
        <v>1101</v>
      </c>
      <c r="SA461" s="771"/>
      <c r="SB461" s="11"/>
      <c r="SC461" s="11"/>
    </row>
    <row r="462" spans="1:497" ht="12.75" customHeight="1">
      <c r="A462" s="19" t="s">
        <v>7421</v>
      </c>
      <c r="B462" s="753" t="s">
        <v>7756</v>
      </c>
      <c r="C462" s="132" t="s">
        <v>2594</v>
      </c>
      <c r="D462" s="14" t="s">
        <v>2597</v>
      </c>
      <c r="E462" s="766" t="s">
        <v>3487</v>
      </c>
      <c r="F462" s="770"/>
      <c r="G462" s="770"/>
      <c r="H462" s="770"/>
      <c r="I462" s="295"/>
      <c r="J462" s="94"/>
      <c r="K462" s="766" t="s">
        <v>7861</v>
      </c>
      <c r="L462" s="766" t="s">
        <v>2614</v>
      </c>
      <c r="M462" s="770" t="s">
        <v>1238</v>
      </c>
      <c r="N462" s="770"/>
      <c r="O462" s="770" t="s">
        <v>2592</v>
      </c>
      <c r="P462" s="770"/>
      <c r="Q462" s="1088"/>
      <c r="R462" s="297"/>
      <c r="S462" s="770"/>
      <c r="T462" s="770"/>
      <c r="U462" s="298"/>
      <c r="V462" s="770"/>
      <c r="W462" s="770"/>
      <c r="X462" s="770"/>
      <c r="Y462" s="770"/>
      <c r="Z462" s="770"/>
      <c r="AA462" s="770"/>
      <c r="AB462" s="770"/>
      <c r="AC462" s="770"/>
      <c r="AD462" s="770"/>
      <c r="AE462" s="770"/>
      <c r="AF462" s="770"/>
      <c r="AG462" s="766" t="s">
        <v>1132</v>
      </c>
      <c r="AH462" s="766" t="s">
        <v>1096</v>
      </c>
      <c r="AI462" s="770"/>
      <c r="AJ462" s="770" t="s">
        <v>1137</v>
      </c>
      <c r="AK462" s="770" t="s">
        <v>1101</v>
      </c>
      <c r="AL462" s="531">
        <v>51</v>
      </c>
      <c r="AM462" s="780">
        <v>40.619999999999997</v>
      </c>
      <c r="AN462" s="532">
        <f t="shared" si="124"/>
        <v>0.79647058823529404</v>
      </c>
      <c r="AO462" s="766" t="s">
        <v>1105</v>
      </c>
      <c r="AP462" s="766"/>
      <c r="AQ462" s="766"/>
      <c r="AR462" s="766"/>
      <c r="AS462" s="770"/>
      <c r="AT462" s="770"/>
      <c r="AU462" s="770"/>
      <c r="AV462" s="770"/>
      <c r="AW462" s="770"/>
      <c r="AX462" s="770"/>
      <c r="AY462" s="770"/>
      <c r="AZ462" s="770"/>
      <c r="BA462" s="770"/>
      <c r="BB462" s="770"/>
      <c r="BC462" s="770"/>
      <c r="BD462" s="770"/>
      <c r="BE462" s="770"/>
      <c r="BF462" s="302"/>
      <c r="BG462" s="302"/>
      <c r="BH462" s="770"/>
      <c r="BI462" s="770"/>
      <c r="BJ462" s="770"/>
      <c r="BK462" s="770"/>
      <c r="BL462" s="770"/>
      <c r="BM462" s="770"/>
      <c r="BN462" s="770"/>
      <c r="BO462" s="770"/>
      <c r="BP462" s="1109"/>
      <c r="BQ462" s="773"/>
      <c r="BR462" s="774"/>
      <c r="BS462" s="766"/>
      <c r="BT462" s="770"/>
      <c r="BU462" s="770"/>
      <c r="BV462" s="770"/>
      <c r="BW462" s="770"/>
      <c r="BX462" s="302"/>
      <c r="BY462" s="770"/>
      <c r="BZ462" s="302"/>
      <c r="CA462" s="770"/>
      <c r="CB462" s="770"/>
      <c r="CC462" s="770"/>
      <c r="CD462" s="770"/>
      <c r="CE462" s="770"/>
      <c r="CF462" s="1753"/>
      <c r="CG462" s="1754"/>
      <c r="CH462" s="770"/>
      <c r="CI462" s="770"/>
      <c r="CJ462" s="770"/>
      <c r="CK462" s="770"/>
      <c r="CL462" s="770"/>
      <c r="CM462" s="770"/>
      <c r="CN462" s="770"/>
      <c r="CO462" s="770"/>
      <c r="CP462" s="770"/>
      <c r="CQ462" s="770"/>
      <c r="CR462" s="302"/>
      <c r="CS462" s="770"/>
      <c r="CT462" s="770"/>
      <c r="CU462" s="305"/>
      <c r="CV462" s="770"/>
      <c r="CW462" s="770"/>
      <c r="CX462" s="770"/>
      <c r="CY462" s="770"/>
      <c r="CZ462" s="770"/>
      <c r="DA462" s="306"/>
      <c r="DB462" s="770"/>
      <c r="DC462" s="770"/>
      <c r="DD462" s="770"/>
      <c r="DE462" s="300"/>
      <c r="DF462" s="770"/>
      <c r="DG462" s="770"/>
      <c r="DH462" s="770"/>
      <c r="DI462" s="770"/>
      <c r="DJ462" s="770"/>
      <c r="DK462" s="770"/>
      <c r="DL462" s="770"/>
      <c r="DM462" s="770"/>
      <c r="DN462" s="322"/>
      <c r="DO462" s="770"/>
      <c r="DP462" s="770"/>
      <c r="DQ462" s="770"/>
      <c r="DR462" s="770"/>
      <c r="DS462" s="307"/>
      <c r="DT462" s="770"/>
      <c r="DU462" s="770"/>
      <c r="DV462" s="770"/>
      <c r="DW462" s="306"/>
      <c r="DX462" s="306"/>
      <c r="DY462" s="770"/>
      <c r="DZ462" s="770"/>
      <c r="EA462" s="770"/>
      <c r="EB462" s="770"/>
      <c r="EC462" s="770"/>
      <c r="ED462" s="770"/>
      <c r="EE462" s="770"/>
      <c r="EF462" s="770"/>
      <c r="EG462" s="770"/>
      <c r="EH462" s="770"/>
      <c r="EI462" s="770"/>
      <c r="EJ462" s="770"/>
      <c r="EK462" s="770"/>
      <c r="EL462" s="770"/>
      <c r="EM462" s="770"/>
      <c r="EN462" s="770"/>
      <c r="EO462" s="770"/>
      <c r="EP462" s="94"/>
      <c r="EQ462" s="770"/>
      <c r="ER462" s="770"/>
      <c r="ES462" s="770"/>
      <c r="ET462" s="770"/>
      <c r="EU462" s="770"/>
      <c r="EV462" s="770"/>
      <c r="EW462" s="770"/>
      <c r="EX462" s="770"/>
      <c r="EY462" s="770"/>
      <c r="EZ462" s="770"/>
      <c r="FA462" s="770"/>
      <c r="FB462" s="770"/>
      <c r="FC462" s="770"/>
      <c r="FD462" s="302"/>
      <c r="FE462" s="770"/>
      <c r="FF462" s="770"/>
      <c r="FG462" s="770"/>
      <c r="FH462" s="770"/>
      <c r="FI462" s="770"/>
      <c r="FJ462" s="770"/>
      <c r="FK462" s="770"/>
      <c r="FL462" s="770"/>
      <c r="FM462" s="302"/>
      <c r="FN462" s="302"/>
      <c r="FO462" s="302"/>
      <c r="FP462" s="770"/>
      <c r="FQ462" s="770"/>
      <c r="FR462" s="770"/>
      <c r="FS462" s="770"/>
      <c r="FT462" s="770"/>
      <c r="FU462" s="770"/>
      <c r="FV462" s="770"/>
      <c r="FW462" s="770"/>
      <c r="FX462" s="770"/>
      <c r="FY462" s="770"/>
      <c r="FZ462" s="770"/>
      <c r="GA462" s="770"/>
      <c r="GB462" s="770"/>
      <c r="GC462" s="308"/>
      <c r="GD462" s="297"/>
      <c r="GE462" s="770"/>
      <c r="GF462" s="302"/>
      <c r="GG462" s="302"/>
      <c r="GH462" s="770"/>
      <c r="GI462" s="770"/>
      <c r="GJ462" s="770"/>
      <c r="GK462" s="770"/>
      <c r="GL462" s="770"/>
      <c r="GM462" s="770"/>
      <c r="GN462" s="299"/>
      <c r="GO462" s="770"/>
      <c r="GP462" s="770"/>
      <c r="GQ462" s="770"/>
      <c r="GR462" s="770"/>
      <c r="GS462" s="770"/>
      <c r="GT462" s="770"/>
      <c r="GU462" s="770"/>
      <c r="GV462" s="770"/>
      <c r="GW462" s="770"/>
      <c r="GX462" s="770"/>
      <c r="GY462" s="770"/>
      <c r="GZ462" s="770"/>
      <c r="HA462" s="770"/>
      <c r="HB462" s="770"/>
      <c r="HC462" s="770"/>
      <c r="HD462" s="770"/>
      <c r="HE462" s="770"/>
      <c r="HF462" s="770"/>
      <c r="HG462" s="770"/>
      <c r="HH462" s="770"/>
      <c r="HI462" s="770"/>
      <c r="HJ462" s="770"/>
      <c r="HK462" s="770"/>
      <c r="HL462" s="770"/>
      <c r="HM462" s="770"/>
      <c r="HN462" s="770"/>
      <c r="HO462" s="770"/>
      <c r="HP462" s="770"/>
      <c r="HQ462" s="770"/>
      <c r="HR462" s="770"/>
      <c r="HS462" s="770"/>
      <c r="HT462" s="770"/>
      <c r="HU462" s="770"/>
      <c r="HV462" s="770"/>
      <c r="HW462" s="770"/>
      <c r="HX462" s="770"/>
      <c r="HY462" s="770"/>
      <c r="HZ462" s="770"/>
      <c r="IA462" s="770"/>
      <c r="IB462" s="770"/>
      <c r="IC462" s="770"/>
      <c r="ID462" s="770"/>
      <c r="IE462" s="770"/>
      <c r="IF462" s="770"/>
      <c r="IG462" s="770"/>
      <c r="IH462" s="770"/>
      <c r="II462" s="770"/>
      <c r="IJ462" s="770"/>
      <c r="IK462" s="770"/>
      <c r="IL462" s="770"/>
      <c r="IM462" s="770"/>
      <c r="IN462" s="770"/>
      <c r="IO462" s="296"/>
      <c r="IP462" s="770"/>
      <c r="IQ462" s="770"/>
      <c r="IR462" s="770"/>
      <c r="IS462" s="770"/>
      <c r="IT462" s="770"/>
      <c r="IU462" s="770"/>
      <c r="IV462" s="770"/>
      <c r="IW462" s="770"/>
      <c r="IX462" s="770"/>
      <c r="IY462" s="770"/>
      <c r="IZ462" s="770"/>
      <c r="JA462" s="770"/>
      <c r="JB462" s="770"/>
      <c r="JC462" s="770"/>
      <c r="JD462" s="302"/>
      <c r="JE462" s="770"/>
      <c r="JF462" s="770"/>
      <c r="JG462" s="770"/>
      <c r="JH462" s="307"/>
      <c r="JI462" s="307"/>
      <c r="JJ462" s="770"/>
      <c r="JK462" s="770"/>
      <c r="JL462" s="770"/>
      <c r="JM462" s="770"/>
      <c r="JN462" s="770"/>
      <c r="JO462" s="770"/>
      <c r="JP462" s="770"/>
      <c r="JQ462" s="770"/>
      <c r="JR462" s="770"/>
      <c r="JS462" s="770"/>
      <c r="JT462" s="766"/>
      <c r="JU462" s="766"/>
      <c r="JV462" s="766"/>
      <c r="JW462" s="766"/>
      <c r="JX462" s="770"/>
      <c r="JY462" s="770"/>
      <c r="JZ462" s="770"/>
      <c r="KA462" s="770"/>
      <c r="KB462" s="770"/>
      <c r="KC462" s="770"/>
      <c r="KD462" s="770"/>
      <c r="KE462" s="770"/>
      <c r="KF462" s="770"/>
      <c r="KG462" s="770"/>
      <c r="KH462" s="770"/>
      <c r="KI462" s="770"/>
      <c r="KJ462" s="770"/>
      <c r="KK462" s="770"/>
      <c r="KL462" s="770"/>
      <c r="KM462" s="770"/>
      <c r="KN462" s="770"/>
      <c r="KO462" s="770"/>
      <c r="KP462" s="770"/>
      <c r="KQ462" s="770"/>
      <c r="KR462" s="770"/>
      <c r="KS462" s="770"/>
      <c r="KT462" s="770"/>
      <c r="KU462" s="770"/>
      <c r="KV462" s="770"/>
      <c r="KW462" s="770"/>
      <c r="KX462" s="770"/>
      <c r="KY462" s="770"/>
      <c r="KZ462" s="770"/>
      <c r="LA462" s="770"/>
      <c r="LB462" s="770"/>
      <c r="LC462" s="770"/>
      <c r="LD462" s="770"/>
      <c r="LE462" s="770"/>
      <c r="LF462" s="770"/>
      <c r="LG462" s="770"/>
      <c r="LH462" s="770"/>
      <c r="LI462" s="770"/>
      <c r="LJ462" s="770"/>
      <c r="LK462" s="770"/>
      <c r="LL462" s="770"/>
      <c r="LM462" s="770"/>
      <c r="LN462" s="766"/>
      <c r="LO462" s="766"/>
      <c r="LP462" s="770"/>
      <c r="LQ462" s="770"/>
      <c r="LR462" s="770"/>
      <c r="LS462" s="770"/>
      <c r="LT462" s="770"/>
      <c r="LU462" s="770"/>
      <c r="LV462" s="770"/>
      <c r="LW462" s="770"/>
      <c r="LX462" s="769"/>
      <c r="LY462" s="766" t="str">
        <f t="shared" si="119"/>
        <v/>
      </c>
      <c r="LZ462" s="1709"/>
      <c r="MA462" s="1709"/>
      <c r="MB462" s="1709"/>
      <c r="MC462" s="1679">
        <f t="shared" si="110"/>
        <v>0</v>
      </c>
      <c r="MD462" s="1709"/>
      <c r="ME462" s="1709"/>
      <c r="MF462" s="1709"/>
      <c r="MG462" s="1680">
        <f t="shared" si="121"/>
        <v>0</v>
      </c>
      <c r="MH462" s="770"/>
      <c r="MI462" s="302"/>
      <c r="MJ462" s="302"/>
      <c r="MK462" s="302"/>
      <c r="ML462" s="302"/>
      <c r="MM462" s="302"/>
      <c r="MN462" s="302"/>
      <c r="MO462" s="302"/>
      <c r="MP462" s="302"/>
      <c r="MQ462" s="302"/>
      <c r="MR462" s="302"/>
      <c r="MS462" s="302"/>
      <c r="MT462" s="302"/>
      <c r="MU462" s="302"/>
      <c r="MV462" s="302"/>
      <c r="MW462" s="302"/>
      <c r="MX462" s="302"/>
      <c r="MY462" s="1682">
        <f t="shared" si="122"/>
        <v>0</v>
      </c>
      <c r="MZ462" s="770"/>
      <c r="NA462" s="770"/>
      <c r="NB462" s="770"/>
      <c r="NC462" s="770"/>
      <c r="ND462" s="770"/>
      <c r="NE462" s="770"/>
      <c r="NF462" s="770"/>
      <c r="NG462" s="770"/>
      <c r="NH462" s="770"/>
      <c r="NI462" s="770"/>
      <c r="NJ462" s="770"/>
      <c r="NK462" s="770"/>
      <c r="NL462" s="770"/>
      <c r="NM462" s="770"/>
      <c r="NN462" s="770"/>
      <c r="NO462" s="770"/>
      <c r="NP462" s="770"/>
      <c r="NQ462" s="770"/>
      <c r="NR462" s="770"/>
      <c r="NS462" s="770"/>
      <c r="NT462" s="770"/>
      <c r="NU462" s="770"/>
      <c r="NV462" s="770"/>
      <c r="NW462" s="770"/>
      <c r="NX462" s="770"/>
      <c r="NY462" s="770"/>
      <c r="NZ462" s="770"/>
      <c r="OA462" s="770"/>
      <c r="OB462" s="770"/>
      <c r="OC462" s="770"/>
      <c r="OD462" s="770"/>
      <c r="OE462" s="770"/>
      <c r="OF462" s="770"/>
      <c r="OG462" s="770"/>
      <c r="OH462" s="770"/>
      <c r="OI462" s="770"/>
      <c r="OJ462" s="770"/>
      <c r="OK462" s="770"/>
      <c r="OL462" s="770"/>
      <c r="OM462" s="770"/>
      <c r="ON462" s="770"/>
      <c r="OO462" s="770"/>
      <c r="OP462" s="770"/>
      <c r="OQ462" s="770"/>
      <c r="OR462" s="770"/>
      <c r="OS462" s="770"/>
      <c r="OT462" s="770"/>
      <c r="OU462" s="770"/>
      <c r="OV462" s="770"/>
      <c r="OW462" s="770"/>
      <c r="OX462" s="770"/>
      <c r="OY462" s="770"/>
      <c r="OZ462" s="770"/>
      <c r="PA462" s="770"/>
      <c r="PB462" s="770"/>
      <c r="PC462" s="770"/>
      <c r="PD462" s="770"/>
      <c r="PE462" s="770"/>
      <c r="PF462" s="770"/>
      <c r="PG462" s="770"/>
      <c r="PH462" s="770"/>
      <c r="PI462" s="770"/>
      <c r="PJ462" s="770"/>
      <c r="PK462" s="770"/>
      <c r="PL462" s="770"/>
      <c r="PM462" s="770"/>
      <c r="PN462" s="770"/>
      <c r="PO462" s="770"/>
      <c r="PP462" s="770"/>
      <c r="PQ462" s="770"/>
      <c r="PR462" s="770"/>
      <c r="PS462" s="770"/>
      <c r="PT462" s="770"/>
      <c r="PU462" s="770"/>
      <c r="PV462" s="770"/>
      <c r="PW462" s="770"/>
      <c r="PX462" s="770"/>
      <c r="PY462" s="770"/>
      <c r="PZ462" s="770"/>
      <c r="QA462" s="770"/>
      <c r="QB462" s="770"/>
      <c r="QC462" s="770"/>
      <c r="QD462" s="770"/>
      <c r="QE462" s="770"/>
      <c r="QF462" s="770"/>
      <c r="QG462" s="770"/>
      <c r="QH462" s="770"/>
      <c r="QI462" s="770"/>
      <c r="QJ462" s="770"/>
      <c r="QK462" s="770"/>
      <c r="QL462" s="770"/>
      <c r="QM462" s="770"/>
      <c r="QN462" s="770"/>
      <c r="QO462" s="770"/>
      <c r="QP462" s="770"/>
      <c r="QQ462" s="770"/>
      <c r="QR462" s="770"/>
      <c r="QS462" s="770"/>
      <c r="QT462" s="770"/>
      <c r="QU462" s="770"/>
      <c r="QV462" s="770"/>
      <c r="QW462" s="770"/>
      <c r="QX462" s="770"/>
      <c r="QY462" s="770"/>
      <c r="QZ462" s="770"/>
      <c r="RA462" s="770"/>
      <c r="RB462" s="770"/>
      <c r="RC462" s="770"/>
      <c r="RD462" s="770"/>
      <c r="RE462" s="770"/>
      <c r="RF462" s="304"/>
      <c r="RG462" s="770"/>
      <c r="RH462" s="302"/>
      <c r="RI462" s="770"/>
      <c r="RJ462" s="770"/>
      <c r="RK462" s="770"/>
      <c r="RL462" s="1710"/>
      <c r="RM462" s="12"/>
      <c r="RN462" s="1711"/>
      <c r="RO462" s="132" t="s">
        <v>2594</v>
      </c>
      <c r="RP462" s="11"/>
      <c r="RQ462" s="11"/>
      <c r="RR462" s="17"/>
      <c r="RS462" s="767"/>
      <c r="RT462" s="11"/>
      <c r="RU462" s="11"/>
      <c r="RV462" s="771" t="s">
        <v>7421</v>
      </c>
      <c r="RW462" s="11" t="s">
        <v>7753</v>
      </c>
      <c r="RX462" s="11" t="s">
        <v>2577</v>
      </c>
      <c r="RY462" s="11"/>
      <c r="RZ462" s="11" t="s">
        <v>1101</v>
      </c>
      <c r="SA462" s="771"/>
      <c r="SB462" s="11"/>
      <c r="SC462" s="11"/>
    </row>
    <row r="463" spans="1:497" ht="12.75" customHeight="1">
      <c r="A463" s="19" t="s">
        <v>7421</v>
      </c>
      <c r="B463" s="753" t="s">
        <v>7757</v>
      </c>
      <c r="C463" s="132" t="s">
        <v>2596</v>
      </c>
      <c r="D463" s="14" t="s">
        <v>2598</v>
      </c>
      <c r="E463" s="766" t="s">
        <v>3487</v>
      </c>
      <c r="F463" s="770"/>
      <c r="G463" s="770"/>
      <c r="H463" s="770"/>
      <c r="I463" s="295"/>
      <c r="J463" s="94"/>
      <c r="K463" s="766" t="s">
        <v>7862</v>
      </c>
      <c r="L463" s="766" t="s">
        <v>2614</v>
      </c>
      <c r="M463" s="770" t="s">
        <v>1238</v>
      </c>
      <c r="N463" s="770"/>
      <c r="O463" s="770" t="s">
        <v>2592</v>
      </c>
      <c r="P463" s="770"/>
      <c r="Q463" s="1088"/>
      <c r="R463" s="297"/>
      <c r="S463" s="770"/>
      <c r="T463" s="770"/>
      <c r="U463" s="298"/>
      <c r="V463" s="770"/>
      <c r="W463" s="770"/>
      <c r="X463" s="770"/>
      <c r="Y463" s="770"/>
      <c r="Z463" s="770"/>
      <c r="AA463" s="770"/>
      <c r="AB463" s="770"/>
      <c r="AC463" s="770"/>
      <c r="AD463" s="770"/>
      <c r="AE463" s="770"/>
      <c r="AF463" s="770"/>
      <c r="AG463" s="766" t="s">
        <v>1132</v>
      </c>
      <c r="AH463" s="766" t="s">
        <v>1096</v>
      </c>
      <c r="AI463" s="770"/>
      <c r="AJ463" s="770" t="s">
        <v>1137</v>
      </c>
      <c r="AK463" s="770" t="s">
        <v>1101</v>
      </c>
      <c r="AL463" s="531">
        <v>40</v>
      </c>
      <c r="AM463" s="780">
        <v>24</v>
      </c>
      <c r="AN463" s="532">
        <f t="shared" si="124"/>
        <v>0.6</v>
      </c>
      <c r="AO463" s="766" t="s">
        <v>1105</v>
      </c>
      <c r="AP463" s="766"/>
      <c r="AQ463" s="766"/>
      <c r="AR463" s="766"/>
      <c r="AS463" s="770"/>
      <c r="AT463" s="770"/>
      <c r="AU463" s="770"/>
      <c r="AV463" s="770"/>
      <c r="AW463" s="770"/>
      <c r="AX463" s="770"/>
      <c r="AY463" s="770"/>
      <c r="AZ463" s="770"/>
      <c r="BA463" s="770"/>
      <c r="BB463" s="770"/>
      <c r="BC463" s="770"/>
      <c r="BD463" s="770"/>
      <c r="BE463" s="770"/>
      <c r="BF463" s="302"/>
      <c r="BG463" s="302"/>
      <c r="BH463" s="770"/>
      <c r="BI463" s="770"/>
      <c r="BJ463" s="770"/>
      <c r="BK463" s="770"/>
      <c r="BL463" s="770"/>
      <c r="BM463" s="770"/>
      <c r="BN463" s="770"/>
      <c r="BO463" s="770"/>
      <c r="BP463" s="1109"/>
      <c r="BQ463" s="773"/>
      <c r="BR463" s="774"/>
      <c r="BS463" s="766"/>
      <c r="BT463" s="770"/>
      <c r="BU463" s="770"/>
      <c r="BV463" s="770"/>
      <c r="BW463" s="770"/>
      <c r="BX463" s="302"/>
      <c r="BY463" s="770"/>
      <c r="BZ463" s="302"/>
      <c r="CA463" s="770"/>
      <c r="CB463" s="770"/>
      <c r="CC463" s="770"/>
      <c r="CD463" s="770"/>
      <c r="CE463" s="770"/>
      <c r="CF463" s="1753"/>
      <c r="CG463" s="1754"/>
      <c r="CH463" s="770"/>
      <c r="CI463" s="770"/>
      <c r="CJ463" s="770"/>
      <c r="CK463" s="770"/>
      <c r="CL463" s="770"/>
      <c r="CM463" s="770"/>
      <c r="CN463" s="770"/>
      <c r="CO463" s="770"/>
      <c r="CP463" s="770"/>
      <c r="CQ463" s="770"/>
      <c r="CR463" s="302"/>
      <c r="CS463" s="770"/>
      <c r="CT463" s="770"/>
      <c r="CU463" s="305"/>
      <c r="CV463" s="770"/>
      <c r="CW463" s="770"/>
      <c r="CX463" s="770"/>
      <c r="CY463" s="770"/>
      <c r="CZ463" s="770"/>
      <c r="DA463" s="306"/>
      <c r="DB463" s="770"/>
      <c r="DC463" s="770"/>
      <c r="DD463" s="770"/>
      <c r="DE463" s="300"/>
      <c r="DF463" s="770"/>
      <c r="DG463" s="770"/>
      <c r="DH463" s="770"/>
      <c r="DI463" s="770"/>
      <c r="DJ463" s="770"/>
      <c r="DK463" s="770"/>
      <c r="DL463" s="770"/>
      <c r="DM463" s="770"/>
      <c r="DN463" s="322"/>
      <c r="DO463" s="770"/>
      <c r="DP463" s="770"/>
      <c r="DQ463" s="770"/>
      <c r="DR463" s="770"/>
      <c r="DS463" s="307"/>
      <c r="DT463" s="770"/>
      <c r="DU463" s="770"/>
      <c r="DV463" s="770"/>
      <c r="DW463" s="306"/>
      <c r="DX463" s="306"/>
      <c r="DY463" s="770"/>
      <c r="DZ463" s="770"/>
      <c r="EA463" s="770"/>
      <c r="EB463" s="770"/>
      <c r="EC463" s="770"/>
      <c r="ED463" s="770"/>
      <c r="EE463" s="770"/>
      <c r="EF463" s="770"/>
      <c r="EG463" s="770"/>
      <c r="EH463" s="770"/>
      <c r="EI463" s="770"/>
      <c r="EJ463" s="770"/>
      <c r="EK463" s="770"/>
      <c r="EL463" s="770"/>
      <c r="EM463" s="770"/>
      <c r="EN463" s="770"/>
      <c r="EO463" s="770"/>
      <c r="EP463" s="94"/>
      <c r="EQ463" s="770"/>
      <c r="ER463" s="770"/>
      <c r="ES463" s="770"/>
      <c r="ET463" s="770"/>
      <c r="EU463" s="770"/>
      <c r="EV463" s="770"/>
      <c r="EW463" s="770"/>
      <c r="EX463" s="770"/>
      <c r="EY463" s="770"/>
      <c r="EZ463" s="770"/>
      <c r="FA463" s="770"/>
      <c r="FB463" s="770"/>
      <c r="FC463" s="770"/>
      <c r="FD463" s="302"/>
      <c r="FE463" s="770"/>
      <c r="FF463" s="770"/>
      <c r="FG463" s="770"/>
      <c r="FH463" s="770"/>
      <c r="FI463" s="770"/>
      <c r="FJ463" s="770"/>
      <c r="FK463" s="770"/>
      <c r="FL463" s="770"/>
      <c r="FM463" s="302"/>
      <c r="FN463" s="302"/>
      <c r="FO463" s="302"/>
      <c r="FP463" s="770"/>
      <c r="FQ463" s="770"/>
      <c r="FR463" s="770"/>
      <c r="FS463" s="770"/>
      <c r="FT463" s="770"/>
      <c r="FU463" s="770"/>
      <c r="FV463" s="770"/>
      <c r="FW463" s="770"/>
      <c r="FX463" s="770"/>
      <c r="FY463" s="770"/>
      <c r="FZ463" s="770"/>
      <c r="GA463" s="770"/>
      <c r="GB463" s="770"/>
      <c r="GC463" s="308"/>
      <c r="GD463" s="297"/>
      <c r="GE463" s="770"/>
      <c r="GF463" s="302"/>
      <c r="GG463" s="302"/>
      <c r="GH463" s="770"/>
      <c r="GI463" s="770"/>
      <c r="GJ463" s="770"/>
      <c r="GK463" s="770"/>
      <c r="GL463" s="770"/>
      <c r="GM463" s="770"/>
      <c r="GN463" s="299"/>
      <c r="GO463" s="770"/>
      <c r="GP463" s="770"/>
      <c r="GQ463" s="770"/>
      <c r="GR463" s="770"/>
      <c r="GS463" s="770"/>
      <c r="GT463" s="770"/>
      <c r="GU463" s="770"/>
      <c r="GV463" s="770"/>
      <c r="GW463" s="770"/>
      <c r="GX463" s="770"/>
      <c r="GY463" s="770"/>
      <c r="GZ463" s="770"/>
      <c r="HA463" s="770"/>
      <c r="HB463" s="770"/>
      <c r="HC463" s="770"/>
      <c r="HD463" s="770"/>
      <c r="HE463" s="770"/>
      <c r="HF463" s="770"/>
      <c r="HG463" s="770"/>
      <c r="HH463" s="770"/>
      <c r="HI463" s="770"/>
      <c r="HJ463" s="770"/>
      <c r="HK463" s="770"/>
      <c r="HL463" s="770"/>
      <c r="HM463" s="770"/>
      <c r="HN463" s="770"/>
      <c r="HO463" s="770"/>
      <c r="HP463" s="770"/>
      <c r="HQ463" s="770"/>
      <c r="HR463" s="770"/>
      <c r="HS463" s="770"/>
      <c r="HT463" s="770"/>
      <c r="HU463" s="770"/>
      <c r="HV463" s="770"/>
      <c r="HW463" s="770"/>
      <c r="HX463" s="770"/>
      <c r="HY463" s="770"/>
      <c r="HZ463" s="770"/>
      <c r="IA463" s="770"/>
      <c r="IB463" s="770"/>
      <c r="IC463" s="770"/>
      <c r="ID463" s="770"/>
      <c r="IE463" s="770"/>
      <c r="IF463" s="770"/>
      <c r="IG463" s="770"/>
      <c r="IH463" s="770"/>
      <c r="II463" s="770"/>
      <c r="IJ463" s="770"/>
      <c r="IK463" s="770"/>
      <c r="IL463" s="770"/>
      <c r="IM463" s="770"/>
      <c r="IN463" s="770"/>
      <c r="IO463" s="296"/>
      <c r="IP463" s="770"/>
      <c r="IQ463" s="770"/>
      <c r="IR463" s="770"/>
      <c r="IS463" s="770"/>
      <c r="IT463" s="770"/>
      <c r="IU463" s="770"/>
      <c r="IV463" s="770"/>
      <c r="IW463" s="770"/>
      <c r="IX463" s="770"/>
      <c r="IY463" s="770"/>
      <c r="IZ463" s="770"/>
      <c r="JA463" s="770"/>
      <c r="JB463" s="770"/>
      <c r="JC463" s="770"/>
      <c r="JD463" s="302"/>
      <c r="JE463" s="770"/>
      <c r="JF463" s="770"/>
      <c r="JG463" s="770"/>
      <c r="JH463" s="307"/>
      <c r="JI463" s="307"/>
      <c r="JJ463" s="770"/>
      <c r="JK463" s="770"/>
      <c r="JL463" s="770"/>
      <c r="JM463" s="770"/>
      <c r="JN463" s="770"/>
      <c r="JO463" s="770"/>
      <c r="JP463" s="770"/>
      <c r="JQ463" s="770"/>
      <c r="JR463" s="770"/>
      <c r="JS463" s="770"/>
      <c r="JT463" s="766"/>
      <c r="JU463" s="766"/>
      <c r="JV463" s="766"/>
      <c r="JW463" s="766"/>
      <c r="JX463" s="770"/>
      <c r="JY463" s="770"/>
      <c r="JZ463" s="770"/>
      <c r="KA463" s="770"/>
      <c r="KB463" s="770"/>
      <c r="KC463" s="770"/>
      <c r="KD463" s="770"/>
      <c r="KE463" s="770"/>
      <c r="KF463" s="770"/>
      <c r="KG463" s="770"/>
      <c r="KH463" s="770"/>
      <c r="KI463" s="770"/>
      <c r="KJ463" s="770"/>
      <c r="KK463" s="770"/>
      <c r="KL463" s="770"/>
      <c r="KM463" s="770"/>
      <c r="KN463" s="770"/>
      <c r="KO463" s="770"/>
      <c r="KP463" s="770"/>
      <c r="KQ463" s="770"/>
      <c r="KR463" s="770"/>
      <c r="KS463" s="770"/>
      <c r="KT463" s="770"/>
      <c r="KU463" s="770"/>
      <c r="KV463" s="770"/>
      <c r="KW463" s="770"/>
      <c r="KX463" s="770"/>
      <c r="KY463" s="770"/>
      <c r="KZ463" s="770"/>
      <c r="LA463" s="770"/>
      <c r="LB463" s="770"/>
      <c r="LC463" s="770"/>
      <c r="LD463" s="770"/>
      <c r="LE463" s="770"/>
      <c r="LF463" s="770"/>
      <c r="LG463" s="770"/>
      <c r="LH463" s="770"/>
      <c r="LI463" s="770"/>
      <c r="LJ463" s="770"/>
      <c r="LK463" s="770"/>
      <c r="LL463" s="770"/>
      <c r="LM463" s="770"/>
      <c r="LN463" s="766"/>
      <c r="LO463" s="766"/>
      <c r="LP463" s="770"/>
      <c r="LQ463" s="770"/>
      <c r="LR463" s="770"/>
      <c r="LS463" s="770"/>
      <c r="LT463" s="770"/>
      <c r="LU463" s="770"/>
      <c r="LV463" s="770"/>
      <c r="LW463" s="770"/>
      <c r="LX463" s="769"/>
      <c r="LY463" s="766" t="str">
        <f t="shared" si="119"/>
        <v/>
      </c>
      <c r="LZ463" s="1709"/>
      <c r="MA463" s="1709"/>
      <c r="MB463" s="1709"/>
      <c r="MC463" s="1679">
        <f t="shared" si="110"/>
        <v>0</v>
      </c>
      <c r="MD463" s="1709"/>
      <c r="ME463" s="1709"/>
      <c r="MF463" s="1709"/>
      <c r="MG463" s="1680">
        <f t="shared" si="121"/>
        <v>0</v>
      </c>
      <c r="MH463" s="770"/>
      <c r="MI463" s="302"/>
      <c r="MJ463" s="302"/>
      <c r="MK463" s="302"/>
      <c r="ML463" s="302"/>
      <c r="MM463" s="302"/>
      <c r="MN463" s="302"/>
      <c r="MO463" s="302"/>
      <c r="MP463" s="302"/>
      <c r="MQ463" s="302"/>
      <c r="MR463" s="302"/>
      <c r="MS463" s="302"/>
      <c r="MT463" s="302"/>
      <c r="MU463" s="302"/>
      <c r="MV463" s="302"/>
      <c r="MW463" s="302"/>
      <c r="MX463" s="302"/>
      <c r="MY463" s="1682">
        <f t="shared" si="122"/>
        <v>0</v>
      </c>
      <c r="MZ463" s="770"/>
      <c r="NA463" s="770"/>
      <c r="NB463" s="770"/>
      <c r="NC463" s="770"/>
      <c r="ND463" s="770"/>
      <c r="NE463" s="770"/>
      <c r="NF463" s="770"/>
      <c r="NG463" s="770"/>
      <c r="NH463" s="770"/>
      <c r="NI463" s="770"/>
      <c r="NJ463" s="770"/>
      <c r="NK463" s="770"/>
      <c r="NL463" s="770"/>
      <c r="NM463" s="770"/>
      <c r="NN463" s="770"/>
      <c r="NO463" s="770"/>
      <c r="NP463" s="770"/>
      <c r="NQ463" s="770"/>
      <c r="NR463" s="770"/>
      <c r="NS463" s="770"/>
      <c r="NT463" s="770"/>
      <c r="NU463" s="770"/>
      <c r="NV463" s="770"/>
      <c r="NW463" s="770"/>
      <c r="NX463" s="770"/>
      <c r="NY463" s="770"/>
      <c r="NZ463" s="770"/>
      <c r="OA463" s="770"/>
      <c r="OB463" s="770"/>
      <c r="OC463" s="770"/>
      <c r="OD463" s="770"/>
      <c r="OE463" s="770"/>
      <c r="OF463" s="770"/>
      <c r="OG463" s="770"/>
      <c r="OH463" s="770"/>
      <c r="OI463" s="770"/>
      <c r="OJ463" s="770"/>
      <c r="OK463" s="770"/>
      <c r="OL463" s="770"/>
      <c r="OM463" s="770"/>
      <c r="ON463" s="770"/>
      <c r="OO463" s="770"/>
      <c r="OP463" s="770"/>
      <c r="OQ463" s="770"/>
      <c r="OR463" s="770"/>
      <c r="OS463" s="770"/>
      <c r="OT463" s="770"/>
      <c r="OU463" s="770"/>
      <c r="OV463" s="770"/>
      <c r="OW463" s="770"/>
      <c r="OX463" s="770"/>
      <c r="OY463" s="770"/>
      <c r="OZ463" s="770"/>
      <c r="PA463" s="770"/>
      <c r="PB463" s="770"/>
      <c r="PC463" s="770"/>
      <c r="PD463" s="770"/>
      <c r="PE463" s="770"/>
      <c r="PF463" s="770"/>
      <c r="PG463" s="770"/>
      <c r="PH463" s="770"/>
      <c r="PI463" s="770"/>
      <c r="PJ463" s="770"/>
      <c r="PK463" s="770"/>
      <c r="PL463" s="770"/>
      <c r="PM463" s="770"/>
      <c r="PN463" s="770"/>
      <c r="PO463" s="770"/>
      <c r="PP463" s="770"/>
      <c r="PQ463" s="770"/>
      <c r="PR463" s="770"/>
      <c r="PS463" s="770"/>
      <c r="PT463" s="770"/>
      <c r="PU463" s="770"/>
      <c r="PV463" s="770"/>
      <c r="PW463" s="770"/>
      <c r="PX463" s="770"/>
      <c r="PY463" s="770"/>
      <c r="PZ463" s="770"/>
      <c r="QA463" s="770"/>
      <c r="QB463" s="770"/>
      <c r="QC463" s="770"/>
      <c r="QD463" s="770"/>
      <c r="QE463" s="770"/>
      <c r="QF463" s="770"/>
      <c r="QG463" s="770"/>
      <c r="QH463" s="770"/>
      <c r="QI463" s="770"/>
      <c r="QJ463" s="770"/>
      <c r="QK463" s="770"/>
      <c r="QL463" s="770"/>
      <c r="QM463" s="770"/>
      <c r="QN463" s="770"/>
      <c r="QO463" s="770"/>
      <c r="QP463" s="770"/>
      <c r="QQ463" s="770"/>
      <c r="QR463" s="770"/>
      <c r="QS463" s="770"/>
      <c r="QT463" s="770"/>
      <c r="QU463" s="770"/>
      <c r="QV463" s="770"/>
      <c r="QW463" s="770"/>
      <c r="QX463" s="770"/>
      <c r="QY463" s="770"/>
      <c r="QZ463" s="770"/>
      <c r="RA463" s="770"/>
      <c r="RB463" s="770"/>
      <c r="RC463" s="770"/>
      <c r="RD463" s="770"/>
      <c r="RE463" s="770"/>
      <c r="RF463" s="304"/>
      <c r="RG463" s="770"/>
      <c r="RH463" s="302"/>
      <c r="RI463" s="770"/>
      <c r="RJ463" s="770" t="s">
        <v>13608</v>
      </c>
      <c r="RK463" s="770" t="s">
        <v>13550</v>
      </c>
      <c r="RL463" s="1710"/>
      <c r="RM463" s="12"/>
      <c r="RN463" s="1711"/>
      <c r="RO463" s="132" t="s">
        <v>2596</v>
      </c>
      <c r="RP463" s="11"/>
      <c r="RQ463" s="11"/>
      <c r="RR463" s="17"/>
      <c r="RS463" s="767"/>
      <c r="RT463" s="11"/>
      <c r="RU463" s="11"/>
      <c r="RV463" s="771" t="s">
        <v>7421</v>
      </c>
      <c r="RW463" s="11" t="s">
        <v>7755</v>
      </c>
      <c r="RX463" s="11" t="s">
        <v>2589</v>
      </c>
      <c r="RY463" s="11"/>
      <c r="RZ463" s="11" t="s">
        <v>1101</v>
      </c>
      <c r="SA463" s="771"/>
      <c r="SB463" s="11"/>
      <c r="SC463" s="11"/>
    </row>
    <row r="464" spans="1:497" ht="12.75" customHeight="1">
      <c r="A464" s="19" t="s">
        <v>7421</v>
      </c>
      <c r="B464" s="752" t="s">
        <v>7758</v>
      </c>
      <c r="C464" s="132" t="s">
        <v>2599</v>
      </c>
      <c r="D464" s="94" t="s">
        <v>2606</v>
      </c>
      <c r="E464" s="766" t="s">
        <v>2601</v>
      </c>
      <c r="F464" s="770" t="s">
        <v>28</v>
      </c>
      <c r="G464" s="770" t="s">
        <v>10</v>
      </c>
      <c r="H464" s="770"/>
      <c r="I464" s="298" t="s">
        <v>2607</v>
      </c>
      <c r="J464" s="94" t="s">
        <v>2600</v>
      </c>
      <c r="K464" s="766" t="s">
        <v>2602</v>
      </c>
      <c r="L464" s="766" t="s">
        <v>2603</v>
      </c>
      <c r="M464" s="770" t="s">
        <v>1238</v>
      </c>
      <c r="N464" s="770"/>
      <c r="O464" s="770" t="s">
        <v>2604</v>
      </c>
      <c r="P464" s="770" t="s">
        <v>2605</v>
      </c>
      <c r="Q464" s="1088">
        <v>18993</v>
      </c>
      <c r="R464" s="297">
        <v>65</v>
      </c>
      <c r="S464" s="770" t="s">
        <v>10</v>
      </c>
      <c r="T464" s="770" t="s">
        <v>5318</v>
      </c>
      <c r="U464" s="298" t="s">
        <v>2607</v>
      </c>
      <c r="V464" s="770" t="s">
        <v>707</v>
      </c>
      <c r="W464" s="770"/>
      <c r="X464" s="770"/>
      <c r="Y464" s="770" t="s">
        <v>2601</v>
      </c>
      <c r="Z464" s="770" t="s">
        <v>708</v>
      </c>
      <c r="AA464" s="770" t="s">
        <v>709</v>
      </c>
      <c r="AB464" s="770" t="s">
        <v>710</v>
      </c>
      <c r="AC464" s="770" t="s">
        <v>724</v>
      </c>
      <c r="AD464" s="770" t="s">
        <v>711</v>
      </c>
      <c r="AE464" s="770"/>
      <c r="AF464" s="770" t="s">
        <v>712</v>
      </c>
      <c r="AG464" s="766" t="s">
        <v>1132</v>
      </c>
      <c r="AH464" s="766" t="s">
        <v>1096</v>
      </c>
      <c r="AI464" s="770"/>
      <c r="AJ464" s="770" t="s">
        <v>1137</v>
      </c>
      <c r="AK464" s="770" t="s">
        <v>1101</v>
      </c>
      <c r="AL464" s="531">
        <v>13.125</v>
      </c>
      <c r="AM464" s="780">
        <v>3.5249999999999999</v>
      </c>
      <c r="AN464" s="532">
        <f t="shared" si="124"/>
        <v>0.26857142857142857</v>
      </c>
      <c r="AO464" s="766" t="s">
        <v>1149</v>
      </c>
      <c r="AP464" s="766"/>
      <c r="AQ464" s="766"/>
      <c r="AR464" s="766"/>
      <c r="AS464" s="770" t="s">
        <v>1207</v>
      </c>
      <c r="AT464" s="770" t="s">
        <v>1208</v>
      </c>
      <c r="AU464" s="770"/>
      <c r="AV464" s="770"/>
      <c r="AW464" s="770"/>
      <c r="AX464" s="13"/>
      <c r="AY464" s="770"/>
      <c r="AZ464" s="770"/>
      <c r="BA464" s="770"/>
      <c r="BB464" s="770"/>
      <c r="BC464" s="770" t="s">
        <v>796</v>
      </c>
      <c r="BD464" s="770" t="s">
        <v>1207</v>
      </c>
      <c r="BE464" s="770" t="s">
        <v>1214</v>
      </c>
      <c r="BF464" s="302"/>
      <c r="BG464" s="302"/>
      <c r="BH464" s="770"/>
      <c r="BI464" s="770"/>
      <c r="BJ464" s="770"/>
      <c r="BK464" s="770"/>
      <c r="BL464" s="770"/>
      <c r="BM464" s="770"/>
      <c r="BN464" s="770"/>
      <c r="BO464" s="770"/>
      <c r="BP464" s="1109"/>
      <c r="BQ464" s="773"/>
      <c r="BR464" s="774"/>
      <c r="BS464" s="766"/>
      <c r="BT464" s="770"/>
      <c r="BU464" s="770"/>
      <c r="BV464" s="770"/>
      <c r="BW464" s="770"/>
      <c r="BX464" s="302"/>
      <c r="BY464" s="770"/>
      <c r="BZ464" s="302"/>
      <c r="CA464" s="770"/>
      <c r="CB464" s="770" t="s">
        <v>1207</v>
      </c>
      <c r="CC464" s="770" t="s">
        <v>2605</v>
      </c>
      <c r="CD464" s="770"/>
      <c r="CE464" s="770"/>
      <c r="CF464" s="1753"/>
      <c r="CG464" s="1754"/>
      <c r="CH464" s="770"/>
      <c r="CI464" s="770"/>
      <c r="CJ464" s="770"/>
      <c r="CK464" s="770"/>
      <c r="CL464" s="770"/>
      <c r="CM464" s="770"/>
      <c r="CN464" s="770"/>
      <c r="CO464" s="770"/>
      <c r="CP464" s="770"/>
      <c r="CQ464" s="770"/>
      <c r="CR464" s="302"/>
      <c r="CS464" s="770"/>
      <c r="CT464" s="770"/>
      <c r="CU464" s="305"/>
      <c r="CV464" s="770"/>
      <c r="CW464" s="770"/>
      <c r="CX464" s="770"/>
      <c r="CY464" s="770"/>
      <c r="CZ464" s="770"/>
      <c r="DA464" s="306"/>
      <c r="DB464" s="770"/>
      <c r="DC464" s="770"/>
      <c r="DD464" s="770"/>
      <c r="DE464" s="300"/>
      <c r="DF464" s="770"/>
      <c r="DG464" s="770"/>
      <c r="DH464" s="770"/>
      <c r="DI464" s="770"/>
      <c r="DJ464" s="770"/>
      <c r="DK464" s="770"/>
      <c r="DL464" s="770"/>
      <c r="DM464" s="770"/>
      <c r="DN464" s="322"/>
      <c r="DO464" s="770"/>
      <c r="DP464" s="770"/>
      <c r="DQ464" s="770"/>
      <c r="DR464" s="770"/>
      <c r="DS464" s="307"/>
      <c r="DT464" s="770"/>
      <c r="DU464" s="770"/>
      <c r="DV464" s="770"/>
      <c r="DW464" s="306"/>
      <c r="DX464" s="306"/>
      <c r="DY464" s="770"/>
      <c r="DZ464" s="770"/>
      <c r="EA464" s="770"/>
      <c r="EB464" s="770"/>
      <c r="EC464" s="770"/>
      <c r="ED464" s="770"/>
      <c r="EE464" s="770"/>
      <c r="EF464" s="770"/>
      <c r="EG464" s="770"/>
      <c r="EH464" s="770"/>
      <c r="EI464" s="770"/>
      <c r="EJ464" s="770"/>
      <c r="EK464" s="770"/>
      <c r="EL464" s="770"/>
      <c r="EM464" s="770"/>
      <c r="EN464" s="770"/>
      <c r="EO464" s="770"/>
      <c r="EP464" s="94"/>
      <c r="EQ464" s="770"/>
      <c r="ER464" s="770"/>
      <c r="ES464" s="770"/>
      <c r="ET464" s="770"/>
      <c r="EU464" s="770"/>
      <c r="EV464" s="770"/>
      <c r="EW464" s="770"/>
      <c r="EX464" s="770"/>
      <c r="EY464" s="770"/>
      <c r="EZ464" s="770" t="s">
        <v>3098</v>
      </c>
      <c r="FA464" s="770" t="s">
        <v>3092</v>
      </c>
      <c r="FB464" s="770" t="s">
        <v>1149</v>
      </c>
      <c r="FC464" s="770"/>
      <c r="FD464" s="302"/>
      <c r="FE464" s="770"/>
      <c r="FF464" s="770" t="s">
        <v>2608</v>
      </c>
      <c r="FG464" s="770" t="s">
        <v>2609</v>
      </c>
      <c r="FH464" s="770" t="s">
        <v>478</v>
      </c>
      <c r="FI464" s="770">
        <v>1</v>
      </c>
      <c r="FJ464" s="770"/>
      <c r="FK464" s="770"/>
      <c r="FL464" s="770"/>
      <c r="FM464" s="302"/>
      <c r="FN464" s="302"/>
      <c r="FO464" s="302"/>
      <c r="FP464" s="770" t="s">
        <v>1600</v>
      </c>
      <c r="FQ464" s="770" t="s">
        <v>1635</v>
      </c>
      <c r="FR464" s="770" t="s">
        <v>1214</v>
      </c>
      <c r="FS464" s="770"/>
      <c r="FT464" s="770"/>
      <c r="FU464" s="770"/>
      <c r="FV464" s="770"/>
      <c r="FW464" s="770"/>
      <c r="FX464" s="770"/>
      <c r="FY464" s="770"/>
      <c r="FZ464" s="770"/>
      <c r="GA464" s="770"/>
      <c r="GB464" s="770"/>
      <c r="GC464" s="308"/>
      <c r="GD464" s="297"/>
      <c r="GE464" s="770"/>
      <c r="GF464" s="302"/>
      <c r="GG464" s="302"/>
      <c r="GH464" s="770"/>
      <c r="GI464" s="770"/>
      <c r="GJ464" s="770"/>
      <c r="GK464" s="770"/>
      <c r="GL464" s="770"/>
      <c r="GM464" s="770"/>
      <c r="GN464" s="299"/>
      <c r="GO464" s="770"/>
      <c r="GP464" s="770"/>
      <c r="GQ464" s="770"/>
      <c r="GR464" s="770"/>
      <c r="GS464" s="770"/>
      <c r="GT464" s="770"/>
      <c r="GU464" s="770"/>
      <c r="GV464" s="770"/>
      <c r="GW464" s="770"/>
      <c r="GX464" s="770"/>
      <c r="GY464" s="770"/>
      <c r="GZ464" s="770"/>
      <c r="HA464" s="770"/>
      <c r="HB464" s="770"/>
      <c r="HC464" s="770"/>
      <c r="HD464" s="770"/>
      <c r="HE464" s="770"/>
      <c r="HF464" s="770"/>
      <c r="HG464" s="770"/>
      <c r="HH464" s="770"/>
      <c r="HI464" s="770"/>
      <c r="HJ464" s="770"/>
      <c r="HK464" s="770"/>
      <c r="HL464" s="770"/>
      <c r="HM464" s="770"/>
      <c r="HN464" s="770"/>
      <c r="HO464" s="770"/>
      <c r="HP464" s="770"/>
      <c r="HQ464" s="770"/>
      <c r="HR464" s="770">
        <v>5</v>
      </c>
      <c r="HS464" s="770">
        <v>4</v>
      </c>
      <c r="HT464" s="770">
        <v>1</v>
      </c>
      <c r="HU464" s="770"/>
      <c r="HV464" s="770"/>
      <c r="HW464" s="770"/>
      <c r="HX464" s="770"/>
      <c r="HY464" s="770"/>
      <c r="HZ464" s="770"/>
      <c r="IA464" s="770"/>
      <c r="IB464" s="770"/>
      <c r="IC464" s="770"/>
      <c r="ID464" s="770">
        <v>2</v>
      </c>
      <c r="IE464" s="770"/>
      <c r="IF464" s="770"/>
      <c r="IG464" s="770"/>
      <c r="IH464" s="770"/>
      <c r="II464" s="770"/>
      <c r="IJ464" s="770"/>
      <c r="IK464" s="770"/>
      <c r="IL464" s="770"/>
      <c r="IM464" s="770"/>
      <c r="IN464" s="770"/>
      <c r="IO464" s="296"/>
      <c r="IP464" s="770"/>
      <c r="IQ464" s="770"/>
      <c r="IR464" s="770"/>
      <c r="IS464" s="770"/>
      <c r="IT464" s="770"/>
      <c r="IU464" s="770"/>
      <c r="IV464" s="770"/>
      <c r="IW464" s="770"/>
      <c r="IX464" s="770"/>
      <c r="IY464" s="770"/>
      <c r="IZ464" s="770"/>
      <c r="JA464" s="770"/>
      <c r="JB464" s="770"/>
      <c r="JC464" s="770"/>
      <c r="JD464" s="302"/>
      <c r="JE464" s="770"/>
      <c r="JF464" s="770"/>
      <c r="JG464" s="770"/>
      <c r="JH464" s="307"/>
      <c r="JI464" s="307"/>
      <c r="JJ464" s="770">
        <v>4</v>
      </c>
      <c r="JK464" s="770" t="s">
        <v>3098</v>
      </c>
      <c r="JL464" s="770"/>
      <c r="JM464" s="770">
        <v>1</v>
      </c>
      <c r="JN464" s="770"/>
      <c r="JO464" s="770">
        <v>2</v>
      </c>
      <c r="JP464" s="770">
        <v>1</v>
      </c>
      <c r="JQ464" s="770"/>
      <c r="JR464" s="770"/>
      <c r="JS464" s="770"/>
      <c r="JT464" s="766">
        <f t="shared" ref="JT464:JU468" si="125">SUM(JP464,JN464,JL464,JR464)</f>
        <v>1</v>
      </c>
      <c r="JU464" s="766">
        <f t="shared" si="125"/>
        <v>3</v>
      </c>
      <c r="JV464" s="766"/>
      <c r="JW464" s="766"/>
      <c r="JX464" s="770"/>
      <c r="JY464" s="770"/>
      <c r="JZ464" s="770"/>
      <c r="KA464" s="770">
        <v>1</v>
      </c>
      <c r="KB464" s="770"/>
      <c r="KC464" s="770"/>
      <c r="KD464" s="770"/>
      <c r="KE464" s="770">
        <v>1</v>
      </c>
      <c r="KF464" s="770">
        <v>1</v>
      </c>
      <c r="KG464" s="770">
        <v>1</v>
      </c>
      <c r="KH464" s="770"/>
      <c r="KI464" s="770"/>
      <c r="KJ464" s="770">
        <f t="shared" ref="KJ464:KK524" si="126">SUM(KF464,KD464,KB464,JZ464,JX464,KH464)</f>
        <v>1</v>
      </c>
      <c r="KK464" s="770">
        <f t="shared" si="126"/>
        <v>3</v>
      </c>
      <c r="KL464" s="770"/>
      <c r="KM464" s="770"/>
      <c r="KN464" s="770" t="s">
        <v>707</v>
      </c>
      <c r="KO464" s="770"/>
      <c r="KP464" s="770"/>
      <c r="KQ464" s="770"/>
      <c r="KR464" s="770"/>
      <c r="KS464" s="770"/>
      <c r="KT464" s="770"/>
      <c r="KU464" s="770">
        <v>1</v>
      </c>
      <c r="KV464" s="770"/>
      <c r="KW464" s="770"/>
      <c r="KX464" s="770"/>
      <c r="KY464" s="770"/>
      <c r="KZ464" s="770">
        <v>1</v>
      </c>
      <c r="LA464" s="770">
        <v>1</v>
      </c>
      <c r="LB464" s="770"/>
      <c r="LC464" s="770"/>
      <c r="LD464" s="770"/>
      <c r="LE464" s="770">
        <v>1</v>
      </c>
      <c r="LF464" s="770"/>
      <c r="LG464" s="770"/>
      <c r="LH464" s="770"/>
      <c r="LI464" s="770"/>
      <c r="LJ464" s="770"/>
      <c r="LK464" s="770"/>
      <c r="LL464" s="770"/>
      <c r="LM464" s="770"/>
      <c r="LN464" s="766">
        <f t="shared" si="111"/>
        <v>1</v>
      </c>
      <c r="LO464" s="766">
        <f t="shared" si="111"/>
        <v>3</v>
      </c>
      <c r="LP464" s="770">
        <v>1</v>
      </c>
      <c r="LQ464" s="770">
        <v>1</v>
      </c>
      <c r="LR464" s="770"/>
      <c r="LS464" s="770"/>
      <c r="LT464" s="770"/>
      <c r="LU464" s="770">
        <v>1</v>
      </c>
      <c r="LV464" s="770"/>
      <c r="LW464" s="770"/>
      <c r="LX464" s="769"/>
      <c r="LY464" s="766" t="str">
        <f t="shared" si="119"/>
        <v/>
      </c>
      <c r="LZ464" s="1709"/>
      <c r="MA464" s="1709"/>
      <c r="MB464" s="1709"/>
      <c r="MC464" s="1679">
        <f t="shared" si="110"/>
        <v>0</v>
      </c>
      <c r="MD464" s="1709">
        <v>21000</v>
      </c>
      <c r="ME464" s="1709"/>
      <c r="MF464" s="1709"/>
      <c r="MG464" s="1680">
        <f t="shared" si="121"/>
        <v>21000</v>
      </c>
      <c r="MH464" s="770" t="s">
        <v>13609</v>
      </c>
      <c r="MI464" s="302">
        <v>9000</v>
      </c>
      <c r="MJ464" s="302"/>
      <c r="MK464" s="302">
        <v>583</v>
      </c>
      <c r="ML464" s="302">
        <v>3630</v>
      </c>
      <c r="MM464" s="302">
        <v>3000</v>
      </c>
      <c r="MN464" s="302"/>
      <c r="MO464" s="302">
        <v>300</v>
      </c>
      <c r="MP464" s="302">
        <v>3000</v>
      </c>
      <c r="MQ464" s="302">
        <v>650</v>
      </c>
      <c r="MR464" s="302">
        <v>800</v>
      </c>
      <c r="MS464" s="302">
        <v>2000</v>
      </c>
      <c r="MT464" s="302"/>
      <c r="MU464" s="302"/>
      <c r="MV464" s="302"/>
      <c r="MW464" s="302"/>
      <c r="MX464" s="302"/>
      <c r="MY464" s="1682">
        <f t="shared" si="122"/>
        <v>22963</v>
      </c>
      <c r="MZ464" s="770" t="s">
        <v>13370</v>
      </c>
      <c r="NA464" s="770" t="s">
        <v>13005</v>
      </c>
      <c r="NB464" s="770" t="s">
        <v>13016</v>
      </c>
      <c r="NC464" s="770" t="s">
        <v>13602</v>
      </c>
      <c r="ND464" s="770">
        <v>0</v>
      </c>
      <c r="NE464" s="770">
        <v>0</v>
      </c>
      <c r="NF464" s="770">
        <v>0</v>
      </c>
      <c r="NG464" s="770">
        <v>4</v>
      </c>
      <c r="NH464" s="770">
        <v>3</v>
      </c>
      <c r="NI464" s="770">
        <v>0</v>
      </c>
      <c r="NJ464" s="770">
        <v>0</v>
      </c>
      <c r="NK464" s="770">
        <v>0</v>
      </c>
      <c r="NL464" s="770">
        <v>1</v>
      </c>
      <c r="NM464" s="770">
        <v>2</v>
      </c>
      <c r="NN464" s="770">
        <v>0</v>
      </c>
      <c r="NO464" s="770">
        <v>0</v>
      </c>
      <c r="NP464" s="770">
        <v>0</v>
      </c>
      <c r="NQ464" s="770">
        <v>0</v>
      </c>
      <c r="NR464" s="770">
        <v>0</v>
      </c>
      <c r="NS464" s="770">
        <v>0</v>
      </c>
      <c r="NT464" s="770">
        <v>0</v>
      </c>
      <c r="NU464" s="770">
        <v>0</v>
      </c>
      <c r="NV464" s="770">
        <v>0</v>
      </c>
      <c r="NW464" s="770">
        <v>0</v>
      </c>
      <c r="NX464" s="770">
        <v>0</v>
      </c>
      <c r="NY464" s="770" t="s">
        <v>1208</v>
      </c>
      <c r="NZ464" s="770"/>
      <c r="OA464" s="770"/>
      <c r="OB464" s="770"/>
      <c r="OC464" s="770" t="s">
        <v>1208</v>
      </c>
      <c r="OD464" s="770"/>
      <c r="OE464" s="770"/>
      <c r="OF464" s="770"/>
      <c r="OG464" s="770"/>
      <c r="OH464" s="770"/>
      <c r="OI464" s="770"/>
      <c r="OJ464" s="770"/>
      <c r="OK464" s="770"/>
      <c r="OL464" s="770"/>
      <c r="OM464" s="770"/>
      <c r="ON464" s="770"/>
      <c r="OO464" s="770"/>
      <c r="OP464" s="770"/>
      <c r="OQ464" s="770"/>
      <c r="OR464" s="770"/>
      <c r="OS464" s="770"/>
      <c r="OT464" s="770"/>
      <c r="OU464" s="770"/>
      <c r="OV464" s="770"/>
      <c r="OW464" s="770"/>
      <c r="OX464" s="770"/>
      <c r="OY464" s="770"/>
      <c r="OZ464" s="770"/>
      <c r="PA464" s="770"/>
      <c r="PB464" s="770"/>
      <c r="PC464" s="770"/>
      <c r="PD464" s="770"/>
      <c r="PE464" s="770"/>
      <c r="PF464" s="770"/>
      <c r="PG464" s="770"/>
      <c r="PH464" s="770"/>
      <c r="PI464" s="770"/>
      <c r="PJ464" s="770"/>
      <c r="PK464" s="770"/>
      <c r="PL464" s="770"/>
      <c r="PM464" s="770"/>
      <c r="PN464" s="770"/>
      <c r="PO464" s="770"/>
      <c r="PP464" s="770"/>
      <c r="PQ464" s="770"/>
      <c r="PR464" s="770"/>
      <c r="PS464" s="770"/>
      <c r="PT464" s="770"/>
      <c r="PU464" s="770"/>
      <c r="PV464" s="770"/>
      <c r="PW464" s="770"/>
      <c r="PX464" s="770"/>
      <c r="PY464" s="770"/>
      <c r="PZ464" s="770"/>
      <c r="QA464" s="770"/>
      <c r="QB464" s="770"/>
      <c r="QC464" s="770"/>
      <c r="QD464" s="770"/>
      <c r="QE464" s="770"/>
      <c r="QF464" s="770"/>
      <c r="QG464" s="770"/>
      <c r="QH464" s="770"/>
      <c r="QI464" s="770"/>
      <c r="QJ464" s="770"/>
      <c r="QK464" s="770"/>
      <c r="QL464" s="770"/>
      <c r="QM464" s="770"/>
      <c r="QN464" s="770"/>
      <c r="QO464" s="770"/>
      <c r="QP464" s="770"/>
      <c r="QQ464" s="770"/>
      <c r="QR464" s="770"/>
      <c r="QS464" s="770"/>
      <c r="QT464" s="770"/>
      <c r="QU464" s="770"/>
      <c r="QV464" s="770"/>
      <c r="QW464" s="770"/>
      <c r="QX464" s="770"/>
      <c r="QY464" s="770"/>
      <c r="QZ464" s="770"/>
      <c r="RA464" s="770"/>
      <c r="RB464" s="770" t="s">
        <v>1207</v>
      </c>
      <c r="RC464" s="770">
        <v>2016</v>
      </c>
      <c r="RD464" s="770" t="s">
        <v>13594</v>
      </c>
      <c r="RE464" s="770" t="s">
        <v>12999</v>
      </c>
      <c r="RF464" s="304">
        <v>0.35</v>
      </c>
      <c r="RG464" s="770" t="s">
        <v>13047</v>
      </c>
      <c r="RH464" s="302">
        <v>0</v>
      </c>
      <c r="RI464" s="770">
        <v>0.5</v>
      </c>
      <c r="RJ464" s="770" t="s">
        <v>13608</v>
      </c>
      <c r="RK464" s="770" t="s">
        <v>13550</v>
      </c>
      <c r="RL464" s="1710"/>
      <c r="RM464" s="12"/>
      <c r="RN464" s="1711"/>
      <c r="RO464" s="132" t="s">
        <v>2599</v>
      </c>
      <c r="RP464" s="11"/>
      <c r="RQ464" s="11"/>
      <c r="RR464" s="17"/>
      <c r="RS464" s="767"/>
      <c r="RT464" s="11"/>
      <c r="RU464" s="11"/>
      <c r="RV464" s="771" t="s">
        <v>7421</v>
      </c>
      <c r="RW464" s="11" t="s">
        <v>7756</v>
      </c>
      <c r="RX464" s="11" t="s">
        <v>2594</v>
      </c>
      <c r="RY464" s="11"/>
      <c r="RZ464" s="11" t="s">
        <v>1101</v>
      </c>
      <c r="SA464" s="771"/>
      <c r="SB464" s="11"/>
      <c r="SC464" s="11"/>
    </row>
    <row r="465" spans="1:497" ht="12.75" customHeight="1">
      <c r="A465" s="19" t="s">
        <v>7421</v>
      </c>
      <c r="B465" s="752" t="s">
        <v>7759</v>
      </c>
      <c r="C465" s="132" t="s">
        <v>2595</v>
      </c>
      <c r="D465" s="94" t="s">
        <v>2585</v>
      </c>
      <c r="E465" s="766" t="s">
        <v>2591</v>
      </c>
      <c r="F465" s="770" t="s">
        <v>28</v>
      </c>
      <c r="G465" s="770" t="s">
        <v>18</v>
      </c>
      <c r="H465" s="770"/>
      <c r="I465" s="295" t="s">
        <v>2580</v>
      </c>
      <c r="J465" s="94" t="s">
        <v>2578</v>
      </c>
      <c r="K465" s="766" t="s">
        <v>2581</v>
      </c>
      <c r="L465" s="766" t="s">
        <v>2582</v>
      </c>
      <c r="M465" s="770" t="s">
        <v>1238</v>
      </c>
      <c r="N465" s="770"/>
      <c r="O465" s="770" t="s">
        <v>2583</v>
      </c>
      <c r="P465" s="770" t="s">
        <v>2584</v>
      </c>
      <c r="Q465" s="1088">
        <v>24845</v>
      </c>
      <c r="R465" s="297">
        <v>49</v>
      </c>
      <c r="S465" s="770" t="s">
        <v>18</v>
      </c>
      <c r="T465" s="770"/>
      <c r="U465" s="295" t="s">
        <v>2580</v>
      </c>
      <c r="V465" s="770" t="s">
        <v>707</v>
      </c>
      <c r="W465" s="770"/>
      <c r="X465" s="770"/>
      <c r="Y465" s="770" t="s">
        <v>2579</v>
      </c>
      <c r="Z465" s="770" t="s">
        <v>708</v>
      </c>
      <c r="AA465" s="770" t="s">
        <v>2586</v>
      </c>
      <c r="AB465" s="770" t="s">
        <v>710</v>
      </c>
      <c r="AC465" s="770" t="s">
        <v>724</v>
      </c>
      <c r="AD465" s="770" t="s">
        <v>711</v>
      </c>
      <c r="AE465" s="770"/>
      <c r="AF465" s="770" t="s">
        <v>712</v>
      </c>
      <c r="AG465" s="766" t="s">
        <v>1132</v>
      </c>
      <c r="AH465" s="766" t="s">
        <v>1096</v>
      </c>
      <c r="AI465" s="770"/>
      <c r="AJ465" s="770" t="s">
        <v>1137</v>
      </c>
      <c r="AK465" s="770" t="s">
        <v>1101</v>
      </c>
      <c r="AL465" s="531">
        <v>6.27</v>
      </c>
      <c r="AM465" s="780">
        <v>1.9995000000000001</v>
      </c>
      <c r="AN465" s="532">
        <f t="shared" si="124"/>
        <v>0.31889952153110052</v>
      </c>
      <c r="AO465" s="766" t="s">
        <v>1149</v>
      </c>
      <c r="AP465" s="766"/>
      <c r="AQ465" s="766"/>
      <c r="AR465" s="766"/>
      <c r="AS465" s="770" t="s">
        <v>1207</v>
      </c>
      <c r="AT465" s="770" t="s">
        <v>1208</v>
      </c>
      <c r="AU465" s="770"/>
      <c r="AV465" s="770"/>
      <c r="AW465" s="770"/>
      <c r="AX465" s="770"/>
      <c r="AY465" s="770"/>
      <c r="AZ465" s="770"/>
      <c r="BA465" s="770"/>
      <c r="BB465" s="770"/>
      <c r="BC465" s="770"/>
      <c r="BD465" s="770"/>
      <c r="BE465" s="770"/>
      <c r="BF465" s="302"/>
      <c r="BG465" s="302"/>
      <c r="BH465" s="770"/>
      <c r="BI465" s="770"/>
      <c r="BJ465" s="770"/>
      <c r="BK465" s="770"/>
      <c r="BL465" s="770"/>
      <c r="BM465" s="770"/>
      <c r="BN465" s="770"/>
      <c r="BO465" s="770"/>
      <c r="BP465" s="1109"/>
      <c r="BQ465" s="773"/>
      <c r="BR465" s="774"/>
      <c r="BS465" s="766"/>
      <c r="BT465" s="770"/>
      <c r="BU465" s="770"/>
      <c r="BV465" s="770"/>
      <c r="BW465" s="770"/>
      <c r="BX465" s="302"/>
      <c r="BY465" s="770"/>
      <c r="BZ465" s="302"/>
      <c r="CA465" s="770"/>
      <c r="CB465" s="770" t="s">
        <v>1207</v>
      </c>
      <c r="CC465" s="770" t="s">
        <v>2584</v>
      </c>
      <c r="CD465" s="770"/>
      <c r="CE465" s="770"/>
      <c r="CF465" s="1753"/>
      <c r="CG465" s="1754"/>
      <c r="CH465" s="770"/>
      <c r="CI465" s="770"/>
      <c r="CJ465" s="770"/>
      <c r="CK465" s="770"/>
      <c r="CL465" s="770"/>
      <c r="CM465" s="770"/>
      <c r="CN465" s="770"/>
      <c r="CO465" s="770"/>
      <c r="CP465" s="770"/>
      <c r="CQ465" s="770"/>
      <c r="CR465" s="302"/>
      <c r="CS465" s="770"/>
      <c r="CT465" s="770"/>
      <c r="CU465" s="305"/>
      <c r="CV465" s="770"/>
      <c r="CW465" s="770"/>
      <c r="CX465" s="770"/>
      <c r="CY465" s="770"/>
      <c r="CZ465" s="770"/>
      <c r="DA465" s="306"/>
      <c r="DB465" s="770"/>
      <c r="DC465" s="770"/>
      <c r="DD465" s="770"/>
      <c r="DE465" s="300"/>
      <c r="DF465" s="770"/>
      <c r="DG465" s="770"/>
      <c r="DH465" s="770"/>
      <c r="DI465" s="770"/>
      <c r="DJ465" s="770"/>
      <c r="DK465" s="770"/>
      <c r="DL465" s="770"/>
      <c r="DM465" s="770"/>
      <c r="DN465" s="322"/>
      <c r="DO465" s="770"/>
      <c r="DP465" s="770"/>
      <c r="DQ465" s="770"/>
      <c r="DR465" s="770"/>
      <c r="DS465" s="307"/>
      <c r="DT465" s="770"/>
      <c r="DU465" s="770"/>
      <c r="DV465" s="770"/>
      <c r="DW465" s="306"/>
      <c r="DX465" s="306"/>
      <c r="DY465" s="770"/>
      <c r="DZ465" s="770"/>
      <c r="EA465" s="770"/>
      <c r="EB465" s="770"/>
      <c r="EC465" s="770"/>
      <c r="ED465" s="770"/>
      <c r="EE465" s="770"/>
      <c r="EF465" s="770"/>
      <c r="EG465" s="770"/>
      <c r="EH465" s="770"/>
      <c r="EI465" s="770"/>
      <c r="EJ465" s="770"/>
      <c r="EK465" s="770"/>
      <c r="EL465" s="770"/>
      <c r="EM465" s="770"/>
      <c r="EN465" s="770"/>
      <c r="EO465" s="770"/>
      <c r="EP465" s="94"/>
      <c r="EQ465" s="770"/>
      <c r="ER465" s="770"/>
      <c r="ES465" s="770"/>
      <c r="ET465" s="770"/>
      <c r="EU465" s="770"/>
      <c r="EV465" s="770"/>
      <c r="EW465" s="770"/>
      <c r="EX465" s="770"/>
      <c r="EY465" s="770"/>
      <c r="EZ465" s="770" t="s">
        <v>3097</v>
      </c>
      <c r="FA465" s="770" t="s">
        <v>3093</v>
      </c>
      <c r="FB465" s="770" t="s">
        <v>1149</v>
      </c>
      <c r="FC465" s="770"/>
      <c r="FD465" s="302"/>
      <c r="FE465" s="770"/>
      <c r="FF465" s="770" t="s">
        <v>2588</v>
      </c>
      <c r="FG465" s="770" t="s">
        <v>2587</v>
      </c>
      <c r="FH465" s="770"/>
      <c r="FI465" s="770"/>
      <c r="FJ465" s="770"/>
      <c r="FK465" s="770"/>
      <c r="FL465" s="770"/>
      <c r="FM465" s="302"/>
      <c r="FN465" s="302"/>
      <c r="FO465" s="302"/>
      <c r="FP465" s="770"/>
      <c r="FQ465" s="770"/>
      <c r="FR465" s="770"/>
      <c r="FS465" s="770"/>
      <c r="FT465" s="770"/>
      <c r="FU465" s="770"/>
      <c r="FV465" s="770"/>
      <c r="FW465" s="770"/>
      <c r="FX465" s="770"/>
      <c r="FY465" s="770"/>
      <c r="FZ465" s="770"/>
      <c r="GA465" s="770"/>
      <c r="GB465" s="770"/>
      <c r="GC465" s="308"/>
      <c r="GD465" s="297"/>
      <c r="GE465" s="770"/>
      <c r="GF465" s="302"/>
      <c r="GG465" s="302"/>
      <c r="GH465" s="770"/>
      <c r="GI465" s="770"/>
      <c r="GJ465" s="770"/>
      <c r="GK465" s="770"/>
      <c r="GL465" s="770"/>
      <c r="GM465" s="770"/>
      <c r="GN465" s="299"/>
      <c r="GO465" s="770"/>
      <c r="GP465" s="770"/>
      <c r="GQ465" s="770"/>
      <c r="GR465" s="770"/>
      <c r="GS465" s="770"/>
      <c r="GT465" s="770"/>
      <c r="GU465" s="770"/>
      <c r="GV465" s="770"/>
      <c r="GW465" s="770"/>
      <c r="GX465" s="770"/>
      <c r="GY465" s="770"/>
      <c r="GZ465" s="770"/>
      <c r="HA465" s="770"/>
      <c r="HB465" s="770"/>
      <c r="HC465" s="770"/>
      <c r="HD465" s="770"/>
      <c r="HE465" s="770"/>
      <c r="HF465" s="770"/>
      <c r="HG465" s="770"/>
      <c r="HH465" s="770"/>
      <c r="HI465" s="770"/>
      <c r="HJ465" s="770"/>
      <c r="HK465" s="770"/>
      <c r="HL465" s="770"/>
      <c r="HM465" s="770"/>
      <c r="HN465" s="770"/>
      <c r="HO465" s="770"/>
      <c r="HP465" s="770"/>
      <c r="HQ465" s="770"/>
      <c r="HR465" s="770"/>
      <c r="HS465" s="770"/>
      <c r="HT465" s="770"/>
      <c r="HU465" s="770"/>
      <c r="HV465" s="770"/>
      <c r="HW465" s="770"/>
      <c r="HX465" s="770"/>
      <c r="HY465" s="770"/>
      <c r="HZ465" s="770"/>
      <c r="IA465" s="770"/>
      <c r="IB465" s="770"/>
      <c r="IC465" s="770" t="s">
        <v>1207</v>
      </c>
      <c r="ID465" s="770"/>
      <c r="IE465" s="770"/>
      <c r="IF465" s="770"/>
      <c r="IG465" s="770"/>
      <c r="IH465" s="770"/>
      <c r="II465" s="770"/>
      <c r="IJ465" s="770"/>
      <c r="IK465" s="770"/>
      <c r="IL465" s="770"/>
      <c r="IM465" s="770"/>
      <c r="IN465" s="770"/>
      <c r="IO465" s="296"/>
      <c r="IP465" s="770"/>
      <c r="IQ465" s="770"/>
      <c r="IR465" s="770"/>
      <c r="IS465" s="770"/>
      <c r="IT465" s="770"/>
      <c r="IU465" s="770"/>
      <c r="IV465" s="770"/>
      <c r="IW465" s="770"/>
      <c r="IX465" s="770"/>
      <c r="IY465" s="770"/>
      <c r="IZ465" s="770"/>
      <c r="JA465" s="770"/>
      <c r="JB465" s="770"/>
      <c r="JC465" s="770"/>
      <c r="JD465" s="302"/>
      <c r="JE465" s="770"/>
      <c r="JF465" s="770"/>
      <c r="JG465" s="770"/>
      <c r="JH465" s="307"/>
      <c r="JI465" s="307"/>
      <c r="JJ465" s="770">
        <v>4</v>
      </c>
      <c r="JK465" s="770" t="s">
        <v>13610</v>
      </c>
      <c r="JL465" s="770"/>
      <c r="JM465" s="770"/>
      <c r="JN465" s="770">
        <v>3</v>
      </c>
      <c r="JO465" s="770">
        <v>1</v>
      </c>
      <c r="JP465" s="770"/>
      <c r="JQ465" s="770"/>
      <c r="JR465" s="770"/>
      <c r="JS465" s="770"/>
      <c r="JT465" s="766">
        <f t="shared" si="125"/>
        <v>3</v>
      </c>
      <c r="JU465" s="766">
        <f t="shared" si="125"/>
        <v>1</v>
      </c>
      <c r="JV465" s="766"/>
      <c r="JW465" s="766"/>
      <c r="JX465" s="770"/>
      <c r="JY465" s="770"/>
      <c r="JZ465" s="770"/>
      <c r="KA465" s="770"/>
      <c r="KB465" s="770">
        <v>2</v>
      </c>
      <c r="KC465" s="770"/>
      <c r="KD465" s="770">
        <v>1</v>
      </c>
      <c r="KE465" s="770">
        <v>1</v>
      </c>
      <c r="KF465" s="770"/>
      <c r="KG465" s="770"/>
      <c r="KH465" s="770"/>
      <c r="KI465" s="770"/>
      <c r="KJ465" s="770">
        <f t="shared" si="126"/>
        <v>3</v>
      </c>
      <c r="KK465" s="770">
        <f t="shared" si="126"/>
        <v>1</v>
      </c>
      <c r="KL465" s="770"/>
      <c r="KM465" s="770"/>
      <c r="KN465" s="770" t="s">
        <v>707</v>
      </c>
      <c r="KO465" s="770"/>
      <c r="KP465" s="770"/>
      <c r="KQ465" s="770"/>
      <c r="KR465" s="770"/>
      <c r="KS465" s="770"/>
      <c r="KT465" s="770"/>
      <c r="KU465" s="770"/>
      <c r="KV465" s="770"/>
      <c r="KW465" s="770"/>
      <c r="KX465" s="770"/>
      <c r="KY465" s="770"/>
      <c r="KZ465" s="770"/>
      <c r="LA465" s="770"/>
      <c r="LB465" s="770">
        <v>2</v>
      </c>
      <c r="LC465" s="770"/>
      <c r="LD465" s="770">
        <v>1</v>
      </c>
      <c r="LE465" s="770">
        <v>1</v>
      </c>
      <c r="LF465" s="770"/>
      <c r="LG465" s="770"/>
      <c r="LH465" s="770"/>
      <c r="LI465" s="770"/>
      <c r="LJ465" s="770"/>
      <c r="LK465" s="770"/>
      <c r="LL465" s="770"/>
      <c r="LM465" s="770"/>
      <c r="LN465" s="766">
        <f t="shared" si="111"/>
        <v>3</v>
      </c>
      <c r="LO465" s="766">
        <f t="shared" si="111"/>
        <v>1</v>
      </c>
      <c r="LP465" s="770">
        <v>2</v>
      </c>
      <c r="LQ465" s="770">
        <v>2</v>
      </c>
      <c r="LR465" s="770"/>
      <c r="LS465" s="770"/>
      <c r="LT465" s="770"/>
      <c r="LU465" s="770">
        <v>1</v>
      </c>
      <c r="LV465" s="770">
        <v>1</v>
      </c>
      <c r="LW465" s="770"/>
      <c r="LX465" s="769"/>
      <c r="LY465" s="766" t="str">
        <f t="shared" si="119"/>
        <v/>
      </c>
      <c r="LZ465" s="1709">
        <v>4300</v>
      </c>
      <c r="MA465" s="1709"/>
      <c r="MB465" s="1709"/>
      <c r="MC465" s="1679">
        <f t="shared" si="110"/>
        <v>4300</v>
      </c>
      <c r="MD465" s="1709">
        <v>71000</v>
      </c>
      <c r="ME465" s="1709"/>
      <c r="MF465" s="1709"/>
      <c r="MG465" s="1680">
        <f t="shared" si="121"/>
        <v>71000</v>
      </c>
      <c r="MH465" s="770" t="s">
        <v>2212</v>
      </c>
      <c r="MI465" s="302">
        <v>9000</v>
      </c>
      <c r="MJ465" s="302">
        <v>9000</v>
      </c>
      <c r="MK465" s="302">
        <v>5000</v>
      </c>
      <c r="ML465" s="302">
        <v>3000</v>
      </c>
      <c r="MM465" s="302">
        <v>180000</v>
      </c>
      <c r="MN465" s="302"/>
      <c r="MO465" s="302">
        <v>600</v>
      </c>
      <c r="MP465" s="302">
        <v>700</v>
      </c>
      <c r="MQ465" s="302">
        <v>160</v>
      </c>
      <c r="MR465" s="302">
        <v>115</v>
      </c>
      <c r="MS465" s="302">
        <v>15000</v>
      </c>
      <c r="MT465" s="302"/>
      <c r="MU465" s="302"/>
      <c r="MV465" s="302"/>
      <c r="MW465" s="302"/>
      <c r="MX465" s="302"/>
      <c r="MY465" s="1682">
        <f t="shared" si="122"/>
        <v>222575</v>
      </c>
      <c r="MZ465" s="770" t="s">
        <v>13370</v>
      </c>
      <c r="NA465" s="770" t="s">
        <v>13585</v>
      </c>
      <c r="NB465" s="770" t="s">
        <v>13611</v>
      </c>
      <c r="NC465" s="770" t="s">
        <v>13612</v>
      </c>
      <c r="ND465" s="770">
        <v>0</v>
      </c>
      <c r="NE465" s="770">
        <v>0</v>
      </c>
      <c r="NF465" s="770">
        <v>1</v>
      </c>
      <c r="NG465" s="770">
        <v>1</v>
      </c>
      <c r="NH465" s="770">
        <v>1</v>
      </c>
      <c r="NI465" s="770">
        <v>0</v>
      </c>
      <c r="NJ465" s="770">
        <v>1</v>
      </c>
      <c r="NK465" s="770">
        <v>0</v>
      </c>
      <c r="NL465" s="770">
        <v>1</v>
      </c>
      <c r="NM465" s="770">
        <v>0</v>
      </c>
      <c r="NN465" s="770"/>
      <c r="NO465" s="770"/>
      <c r="NP465" s="770"/>
      <c r="NQ465" s="770"/>
      <c r="NR465" s="770"/>
      <c r="NS465" s="770"/>
      <c r="NT465" s="770"/>
      <c r="NU465" s="770"/>
      <c r="NV465" s="770"/>
      <c r="NW465" s="770"/>
      <c r="NX465" s="770"/>
      <c r="NY465" s="770"/>
      <c r="NZ465" s="770"/>
      <c r="OA465" s="770"/>
      <c r="OB465" s="770"/>
      <c r="OC465" s="770" t="s">
        <v>1208</v>
      </c>
      <c r="OD465" s="770"/>
      <c r="OE465" s="770"/>
      <c r="OF465" s="770"/>
      <c r="OG465" s="770"/>
      <c r="OH465" s="770"/>
      <c r="OI465" s="770"/>
      <c r="OJ465" s="770"/>
      <c r="OK465" s="770"/>
      <c r="OL465" s="770"/>
      <c r="OM465" s="770"/>
      <c r="ON465" s="770"/>
      <c r="OO465" s="770"/>
      <c r="OP465" s="770"/>
      <c r="OQ465" s="770"/>
      <c r="OR465" s="770"/>
      <c r="OS465" s="770"/>
      <c r="OT465" s="770"/>
      <c r="OU465" s="770"/>
      <c r="OV465" s="770"/>
      <c r="OW465" s="770"/>
      <c r="OX465" s="770"/>
      <c r="OY465" s="770"/>
      <c r="OZ465" s="770"/>
      <c r="PA465" s="770"/>
      <c r="PB465" s="770"/>
      <c r="PC465" s="770"/>
      <c r="PD465" s="770"/>
      <c r="PE465" s="770"/>
      <c r="PF465" s="770"/>
      <c r="PG465" s="770"/>
      <c r="PH465" s="770"/>
      <c r="PI465" s="770"/>
      <c r="PJ465" s="770"/>
      <c r="PK465" s="770"/>
      <c r="PL465" s="770"/>
      <c r="PM465" s="770" t="s">
        <v>1208</v>
      </c>
      <c r="PN465" s="770"/>
      <c r="PO465" s="770"/>
      <c r="PP465" s="770"/>
      <c r="PQ465" s="770"/>
      <c r="PR465" s="770"/>
      <c r="PS465" s="770"/>
      <c r="PT465" s="770"/>
      <c r="PU465" s="770"/>
      <c r="PV465" s="770"/>
      <c r="PW465" s="770"/>
      <c r="PX465" s="770"/>
      <c r="PY465" s="770"/>
      <c r="PZ465" s="770"/>
      <c r="QA465" s="770"/>
      <c r="QB465" s="770"/>
      <c r="QC465" s="770"/>
      <c r="QD465" s="770"/>
      <c r="QE465" s="770"/>
      <c r="QF465" s="770"/>
      <c r="QG465" s="770"/>
      <c r="QH465" s="770"/>
      <c r="QI465" s="770"/>
      <c r="QJ465" s="770"/>
      <c r="QK465" s="770"/>
      <c r="QL465" s="770"/>
      <c r="QM465" s="770"/>
      <c r="QN465" s="770"/>
      <c r="QO465" s="770"/>
      <c r="QP465" s="770"/>
      <c r="QQ465" s="770"/>
      <c r="QR465" s="770"/>
      <c r="QS465" s="770"/>
      <c r="QT465" s="770"/>
      <c r="QU465" s="770"/>
      <c r="QV465" s="770"/>
      <c r="QW465" s="770"/>
      <c r="QX465" s="770"/>
      <c r="QY465" s="770"/>
      <c r="QZ465" s="770"/>
      <c r="RA465" s="770"/>
      <c r="RB465" s="770" t="s">
        <v>1207</v>
      </c>
      <c r="RC465" s="770">
        <v>2017</v>
      </c>
      <c r="RD465" s="770"/>
      <c r="RE465" s="770" t="s">
        <v>12999</v>
      </c>
      <c r="RF465" s="304">
        <v>0.5</v>
      </c>
      <c r="RG465" s="770" t="s">
        <v>13613</v>
      </c>
      <c r="RH465" s="302" t="s">
        <v>1604</v>
      </c>
      <c r="RI465" s="770">
        <v>3</v>
      </c>
      <c r="RJ465" s="770" t="s">
        <v>13614</v>
      </c>
      <c r="RK465" s="770" t="s">
        <v>13556</v>
      </c>
      <c r="RL465" s="1710">
        <v>42826</v>
      </c>
      <c r="RM465" s="12"/>
      <c r="RN465" s="1711"/>
      <c r="RO465" s="132" t="s">
        <v>2595</v>
      </c>
      <c r="RP465" s="11"/>
      <c r="RQ465" s="11"/>
      <c r="RR465" s="17"/>
      <c r="RS465" s="767"/>
      <c r="RT465" s="11"/>
      <c r="RU465" s="11"/>
      <c r="RV465" s="771" t="s">
        <v>7421</v>
      </c>
      <c r="RW465" s="11" t="s">
        <v>7757</v>
      </c>
      <c r="RX465" s="11" t="s">
        <v>2596</v>
      </c>
      <c r="RY465" s="11"/>
      <c r="RZ465" s="11" t="s">
        <v>1101</v>
      </c>
      <c r="SA465" s="771"/>
      <c r="SB465" s="11"/>
      <c r="SC465" s="11"/>
    </row>
    <row r="466" spans="1:497" ht="12.75" customHeight="1">
      <c r="A466" s="19" t="s">
        <v>7421</v>
      </c>
      <c r="B466" s="752" t="s">
        <v>7760</v>
      </c>
      <c r="C466" s="132" t="s">
        <v>2610</v>
      </c>
      <c r="D466" s="94" t="s">
        <v>2611</v>
      </c>
      <c r="E466" s="770" t="s">
        <v>2612</v>
      </c>
      <c r="F466" s="770" t="s">
        <v>28</v>
      </c>
      <c r="G466" s="770" t="s">
        <v>10</v>
      </c>
      <c r="H466" s="770"/>
      <c r="I466" s="295"/>
      <c r="J466" s="94" t="s">
        <v>2611</v>
      </c>
      <c r="K466" s="766" t="s">
        <v>2613</v>
      </c>
      <c r="L466" s="766" t="s">
        <v>2614</v>
      </c>
      <c r="M466" s="770" t="s">
        <v>1238</v>
      </c>
      <c r="N466" s="770"/>
      <c r="O466" s="770" t="s">
        <v>2583</v>
      </c>
      <c r="P466" s="770" t="s">
        <v>2611</v>
      </c>
      <c r="Q466" s="1088">
        <v>21896</v>
      </c>
      <c r="R466" s="297">
        <v>59</v>
      </c>
      <c r="S466" s="770" t="s">
        <v>10</v>
      </c>
      <c r="T466" s="770"/>
      <c r="U466" s="298"/>
      <c r="V466" s="770" t="s">
        <v>707</v>
      </c>
      <c r="W466" s="770"/>
      <c r="X466" s="770"/>
      <c r="Y466" s="770" t="s">
        <v>2612</v>
      </c>
      <c r="Z466" s="770" t="s">
        <v>708</v>
      </c>
      <c r="AA466" s="770" t="s">
        <v>709</v>
      </c>
      <c r="AB466" s="770" t="s">
        <v>710</v>
      </c>
      <c r="AC466" s="770" t="s">
        <v>937</v>
      </c>
      <c r="AD466" s="770"/>
      <c r="AE466" s="770"/>
      <c r="AF466" s="770" t="s">
        <v>712</v>
      </c>
      <c r="AG466" s="766" t="s">
        <v>1095</v>
      </c>
      <c r="AH466" s="766" t="s">
        <v>1096</v>
      </c>
      <c r="AI466" s="770"/>
      <c r="AJ466" s="770" t="s">
        <v>1137</v>
      </c>
      <c r="AK466" s="770" t="s">
        <v>1101</v>
      </c>
      <c r="AL466" s="531">
        <v>50.021999999999998</v>
      </c>
      <c r="AM466" s="780">
        <v>37.06</v>
      </c>
      <c r="AN466" s="532">
        <f t="shared" si="124"/>
        <v>0.74087401543320941</v>
      </c>
      <c r="AO466" s="766" t="s">
        <v>1105</v>
      </c>
      <c r="AP466" s="766"/>
      <c r="AQ466" s="766"/>
      <c r="AR466" s="766"/>
      <c r="AS466" s="770" t="s">
        <v>1207</v>
      </c>
      <c r="AT466" s="770" t="s">
        <v>1208</v>
      </c>
      <c r="AU466" s="770"/>
      <c r="AV466" s="770"/>
      <c r="AW466" s="770"/>
      <c r="AX466" s="770"/>
      <c r="AY466" s="770"/>
      <c r="AZ466" s="770"/>
      <c r="BA466" s="770"/>
      <c r="BB466" s="770"/>
      <c r="BC466" s="770"/>
      <c r="BD466" s="770"/>
      <c r="BE466" s="770"/>
      <c r="BF466" s="302"/>
      <c r="BG466" s="302"/>
      <c r="BH466" s="770"/>
      <c r="BI466" s="770"/>
      <c r="BJ466" s="770"/>
      <c r="BK466" s="770"/>
      <c r="BL466" s="770"/>
      <c r="BM466" s="770"/>
      <c r="BN466" s="770"/>
      <c r="BO466" s="770"/>
      <c r="BP466" s="1109"/>
      <c r="BQ466" s="773"/>
      <c r="BR466" s="774"/>
      <c r="BS466" s="766"/>
      <c r="BT466" s="770"/>
      <c r="BU466" s="770"/>
      <c r="BV466" s="770"/>
      <c r="BW466" s="770"/>
      <c r="BX466" s="302"/>
      <c r="BY466" s="770"/>
      <c r="BZ466" s="302"/>
      <c r="CA466" s="770"/>
      <c r="CB466" s="770" t="s">
        <v>1207</v>
      </c>
      <c r="CC466" s="770" t="s">
        <v>2611</v>
      </c>
      <c r="CD466" s="770"/>
      <c r="CE466" s="770"/>
      <c r="CF466" s="1753"/>
      <c r="CG466" s="1754"/>
      <c r="CH466" s="770"/>
      <c r="CI466" s="770"/>
      <c r="CJ466" s="770"/>
      <c r="CK466" s="770"/>
      <c r="CL466" s="770"/>
      <c r="CM466" s="770"/>
      <c r="CN466" s="770"/>
      <c r="CO466" s="770"/>
      <c r="CP466" s="770"/>
      <c r="CQ466" s="770"/>
      <c r="CR466" s="302"/>
      <c r="CS466" s="770"/>
      <c r="CT466" s="770"/>
      <c r="CU466" s="305"/>
      <c r="CV466" s="770"/>
      <c r="CW466" s="770"/>
      <c r="CX466" s="770"/>
      <c r="CY466" s="770"/>
      <c r="CZ466" s="770"/>
      <c r="DA466" s="306"/>
      <c r="DB466" s="770"/>
      <c r="DC466" s="770"/>
      <c r="DD466" s="770"/>
      <c r="DE466" s="300"/>
      <c r="DF466" s="770"/>
      <c r="DG466" s="770"/>
      <c r="DH466" s="770"/>
      <c r="DI466" s="770"/>
      <c r="DJ466" s="770"/>
      <c r="DK466" s="770"/>
      <c r="DL466" s="770"/>
      <c r="DM466" s="770"/>
      <c r="DN466" s="322"/>
      <c r="DO466" s="770"/>
      <c r="DP466" s="770"/>
      <c r="DQ466" s="770"/>
      <c r="DR466" s="770"/>
      <c r="DS466" s="307"/>
      <c r="DT466" s="770"/>
      <c r="DU466" s="770"/>
      <c r="DV466" s="770"/>
      <c r="DW466" s="306"/>
      <c r="DX466" s="306"/>
      <c r="DY466" s="770"/>
      <c r="DZ466" s="770"/>
      <c r="EA466" s="770"/>
      <c r="EB466" s="770"/>
      <c r="EC466" s="770"/>
      <c r="ED466" s="770"/>
      <c r="EE466" s="770"/>
      <c r="EF466" s="770"/>
      <c r="EG466" s="770"/>
      <c r="EH466" s="770"/>
      <c r="EI466" s="770"/>
      <c r="EJ466" s="770"/>
      <c r="EK466" s="770"/>
      <c r="EL466" s="770"/>
      <c r="EM466" s="770"/>
      <c r="EN466" s="770"/>
      <c r="EO466" s="770"/>
      <c r="EP466" s="94"/>
      <c r="EQ466" s="770"/>
      <c r="ER466" s="770"/>
      <c r="ES466" s="770"/>
      <c r="ET466" s="770"/>
      <c r="EU466" s="770"/>
      <c r="EV466" s="770"/>
      <c r="EW466" s="770"/>
      <c r="EX466" s="770"/>
      <c r="EY466" s="770"/>
      <c r="EZ466" s="770" t="s">
        <v>3096</v>
      </c>
      <c r="FA466" s="770" t="s">
        <v>3092</v>
      </c>
      <c r="FB466" s="770" t="s">
        <v>1149</v>
      </c>
      <c r="FC466" s="770"/>
      <c r="FD466" s="302"/>
      <c r="FE466" s="770"/>
      <c r="FF466" s="770" t="s">
        <v>2615</v>
      </c>
      <c r="FG466" s="770" t="s">
        <v>2616</v>
      </c>
      <c r="FH466" s="770"/>
      <c r="FI466" s="770"/>
      <c r="FJ466" s="770"/>
      <c r="FK466" s="770"/>
      <c r="FL466" s="770"/>
      <c r="FM466" s="302"/>
      <c r="FN466" s="302"/>
      <c r="FO466" s="302"/>
      <c r="FP466" s="770"/>
      <c r="FQ466" s="770"/>
      <c r="FR466" s="770" t="s">
        <v>1207</v>
      </c>
      <c r="FS466" s="770" t="s">
        <v>1208</v>
      </c>
      <c r="FT466" s="770"/>
      <c r="FU466" s="770"/>
      <c r="FV466" s="770"/>
      <c r="FW466" s="770"/>
      <c r="FX466" s="770"/>
      <c r="FY466" s="770"/>
      <c r="FZ466" s="770"/>
      <c r="GA466" s="770"/>
      <c r="GB466" s="770" t="s">
        <v>853</v>
      </c>
      <c r="GC466" s="308" t="s">
        <v>2617</v>
      </c>
      <c r="GD466" s="297" t="s">
        <v>2618</v>
      </c>
      <c r="GE466" s="770" t="s">
        <v>1214</v>
      </c>
      <c r="GF466" s="302"/>
      <c r="GG466" s="302"/>
      <c r="GH466" s="770"/>
      <c r="GI466" s="770"/>
      <c r="GJ466" s="770"/>
      <c r="GK466" s="770"/>
      <c r="GL466" s="770"/>
      <c r="GM466" s="770"/>
      <c r="GN466" s="299"/>
      <c r="GO466" s="770"/>
      <c r="GP466" s="770"/>
      <c r="GQ466" s="770"/>
      <c r="GR466" s="770"/>
      <c r="GS466" s="770"/>
      <c r="GT466" s="770"/>
      <c r="GU466" s="770"/>
      <c r="GV466" s="770"/>
      <c r="GW466" s="770"/>
      <c r="GX466" s="770"/>
      <c r="GY466" s="770"/>
      <c r="GZ466" s="770"/>
      <c r="HA466" s="770"/>
      <c r="HB466" s="770"/>
      <c r="HC466" s="770"/>
      <c r="HD466" s="770"/>
      <c r="HE466" s="770"/>
      <c r="HF466" s="770"/>
      <c r="HG466" s="770"/>
      <c r="HH466" s="770"/>
      <c r="HI466" s="770"/>
      <c r="HJ466" s="770"/>
      <c r="HK466" s="770"/>
      <c r="HL466" s="770"/>
      <c r="HM466" s="770"/>
      <c r="HN466" s="770"/>
      <c r="HO466" s="770"/>
      <c r="HP466" s="770"/>
      <c r="HQ466" s="770"/>
      <c r="HR466" s="770"/>
      <c r="HS466" s="770"/>
      <c r="HT466" s="770"/>
      <c r="HU466" s="770"/>
      <c r="HV466" s="770"/>
      <c r="HW466" s="770"/>
      <c r="HX466" s="770"/>
      <c r="HY466" s="770"/>
      <c r="HZ466" s="770"/>
      <c r="IA466" s="770"/>
      <c r="IB466" s="770" t="s">
        <v>1207</v>
      </c>
      <c r="IC466" s="770"/>
      <c r="ID466" s="770"/>
      <c r="IE466" s="770"/>
      <c r="IF466" s="770"/>
      <c r="IG466" s="770"/>
      <c r="IH466" s="770"/>
      <c r="II466" s="770"/>
      <c r="IJ466" s="770"/>
      <c r="IK466" s="770"/>
      <c r="IL466" s="770"/>
      <c r="IM466" s="770"/>
      <c r="IN466" s="770"/>
      <c r="IO466" s="296"/>
      <c r="IP466" s="770"/>
      <c r="IQ466" s="770"/>
      <c r="IR466" s="770"/>
      <c r="IS466" s="770"/>
      <c r="IT466" s="770"/>
      <c r="IU466" s="770"/>
      <c r="IV466" s="770"/>
      <c r="IW466" s="770"/>
      <c r="IX466" s="770"/>
      <c r="IY466" s="770"/>
      <c r="IZ466" s="770"/>
      <c r="JA466" s="770"/>
      <c r="JB466" s="770"/>
      <c r="JC466" s="770"/>
      <c r="JD466" s="302"/>
      <c r="JE466" s="770"/>
      <c r="JF466" s="770"/>
      <c r="JG466" s="770"/>
      <c r="JH466" s="307"/>
      <c r="JI466" s="307"/>
      <c r="JJ466" s="770">
        <v>7</v>
      </c>
      <c r="JK466" s="770" t="s">
        <v>3748</v>
      </c>
      <c r="JL466" s="770">
        <v>1</v>
      </c>
      <c r="JM466" s="770">
        <v>1</v>
      </c>
      <c r="JN466" s="770">
        <v>2</v>
      </c>
      <c r="JO466" s="770">
        <v>3</v>
      </c>
      <c r="JP466" s="770"/>
      <c r="JQ466" s="770"/>
      <c r="JR466" s="770"/>
      <c r="JS466" s="770"/>
      <c r="JT466" s="766">
        <f t="shared" si="125"/>
        <v>3</v>
      </c>
      <c r="JU466" s="766">
        <f t="shared" si="125"/>
        <v>4</v>
      </c>
      <c r="JV466" s="766"/>
      <c r="JW466" s="766"/>
      <c r="JX466" s="770">
        <v>1</v>
      </c>
      <c r="JY466" s="770">
        <v>1</v>
      </c>
      <c r="JZ466" s="770"/>
      <c r="KA466" s="770"/>
      <c r="KB466" s="770"/>
      <c r="KC466" s="770">
        <v>1</v>
      </c>
      <c r="KD466" s="770">
        <v>2</v>
      </c>
      <c r="KE466" s="770">
        <v>2</v>
      </c>
      <c r="KF466" s="770"/>
      <c r="KG466" s="770"/>
      <c r="KH466" s="770"/>
      <c r="KI466" s="770"/>
      <c r="KJ466" s="770">
        <f t="shared" si="126"/>
        <v>3</v>
      </c>
      <c r="KK466" s="770">
        <f t="shared" si="126"/>
        <v>4</v>
      </c>
      <c r="KL466" s="770"/>
      <c r="KM466" s="770"/>
      <c r="KN466" s="770" t="s">
        <v>707</v>
      </c>
      <c r="KO466" s="770"/>
      <c r="KP466" s="770"/>
      <c r="KQ466" s="770"/>
      <c r="KR466" s="770"/>
      <c r="KS466" s="770"/>
      <c r="KT466" s="770"/>
      <c r="KU466" s="770"/>
      <c r="KV466" s="770"/>
      <c r="KW466" s="770"/>
      <c r="KX466" s="770"/>
      <c r="KY466" s="770"/>
      <c r="KZ466" s="770"/>
      <c r="LA466" s="770"/>
      <c r="LB466" s="770">
        <v>1</v>
      </c>
      <c r="LC466" s="770">
        <v>1</v>
      </c>
      <c r="LD466" s="770">
        <v>1</v>
      </c>
      <c r="LE466" s="770">
        <v>2</v>
      </c>
      <c r="LF466" s="770"/>
      <c r="LG466" s="770"/>
      <c r="LH466" s="770"/>
      <c r="LI466" s="770"/>
      <c r="LJ466" s="770">
        <v>1</v>
      </c>
      <c r="LK466" s="770">
        <v>1</v>
      </c>
      <c r="LL466" s="770"/>
      <c r="LM466" s="770"/>
      <c r="LN466" s="766">
        <f t="shared" si="111"/>
        <v>3</v>
      </c>
      <c r="LO466" s="766">
        <f t="shared" si="111"/>
        <v>4</v>
      </c>
      <c r="LP466" s="770">
        <v>5</v>
      </c>
      <c r="LQ466" s="770">
        <v>4</v>
      </c>
      <c r="LR466" s="770"/>
      <c r="LS466" s="770">
        <v>1</v>
      </c>
      <c r="LT466" s="770"/>
      <c r="LU466" s="770">
        <v>4</v>
      </c>
      <c r="LV466" s="770"/>
      <c r="LW466" s="770"/>
      <c r="LX466" s="769">
        <v>3</v>
      </c>
      <c r="LY466" s="766" t="str">
        <f t="shared" si="119"/>
        <v>within the PROVINCE</v>
      </c>
      <c r="LZ466" s="1709">
        <f>SUM(60,50,60,60)</f>
        <v>230</v>
      </c>
      <c r="MA466" s="1709"/>
      <c r="MB466" s="1709"/>
      <c r="MC466" s="1679">
        <f t="shared" si="110"/>
        <v>230</v>
      </c>
      <c r="MD466" s="1709">
        <f>600*26</f>
        <v>15600</v>
      </c>
      <c r="ME466" s="1709"/>
      <c r="MF466" s="1709"/>
      <c r="MG466" s="1680">
        <f t="shared" si="121"/>
        <v>15600</v>
      </c>
      <c r="MH466" s="770" t="s">
        <v>3749</v>
      </c>
      <c r="MI466" s="302">
        <f>300*30</f>
        <v>9000</v>
      </c>
      <c r="MJ466" s="302">
        <f>230*30</f>
        <v>6900</v>
      </c>
      <c r="MK466" s="302">
        <f>5000/12</f>
        <v>416.66666666666669</v>
      </c>
      <c r="ML466" s="302">
        <v>7000</v>
      </c>
      <c r="MM466" s="302"/>
      <c r="MN466" s="302"/>
      <c r="MO466" s="302">
        <v>150</v>
      </c>
      <c r="MP466" s="302">
        <v>7000</v>
      </c>
      <c r="MQ466" s="302">
        <v>670</v>
      </c>
      <c r="MR466" s="302"/>
      <c r="MS466" s="302"/>
      <c r="MT466" s="302"/>
      <c r="MU466" s="302"/>
      <c r="MV466" s="302"/>
      <c r="MW466" s="302"/>
      <c r="MX466" s="302"/>
      <c r="MY466" s="1682">
        <f t="shared" si="122"/>
        <v>31136.666666666664</v>
      </c>
      <c r="MZ466" s="770" t="s">
        <v>13370</v>
      </c>
      <c r="NA466" s="770" t="s">
        <v>13005</v>
      </c>
      <c r="NB466" s="770" t="s">
        <v>13016</v>
      </c>
      <c r="NC466" s="770" t="s">
        <v>13602</v>
      </c>
      <c r="ND466" s="770">
        <v>0</v>
      </c>
      <c r="NE466" s="770">
        <v>0</v>
      </c>
      <c r="NF466" s="770">
        <v>3</v>
      </c>
      <c r="NG466" s="770">
        <v>5</v>
      </c>
      <c r="NH466" s="770">
        <v>3</v>
      </c>
      <c r="NI466" s="770">
        <v>1</v>
      </c>
      <c r="NJ466" s="770">
        <v>0</v>
      </c>
      <c r="NK466" s="770">
        <v>0</v>
      </c>
      <c r="NL466" s="770">
        <v>2</v>
      </c>
      <c r="NM466" s="770">
        <v>1</v>
      </c>
      <c r="NN466" s="770">
        <v>0</v>
      </c>
      <c r="NO466" s="770">
        <v>0</v>
      </c>
      <c r="NP466" s="770">
        <v>0</v>
      </c>
      <c r="NQ466" s="770">
        <v>0</v>
      </c>
      <c r="NR466" s="770">
        <v>0</v>
      </c>
      <c r="NS466" s="770">
        <v>0</v>
      </c>
      <c r="NT466" s="770">
        <v>0</v>
      </c>
      <c r="NU466" s="770">
        <v>0</v>
      </c>
      <c r="NV466" s="770">
        <v>0</v>
      </c>
      <c r="NW466" s="770">
        <v>0</v>
      </c>
      <c r="NX466" s="770">
        <v>0</v>
      </c>
      <c r="NY466" s="770" t="s">
        <v>1208</v>
      </c>
      <c r="NZ466" s="770" t="s">
        <v>1208</v>
      </c>
      <c r="OA466" s="770"/>
      <c r="OB466" s="770" t="s">
        <v>1208</v>
      </c>
      <c r="OC466" s="770" t="s">
        <v>1208</v>
      </c>
      <c r="OD466" s="770"/>
      <c r="OE466" s="770"/>
      <c r="OF466" s="770"/>
      <c r="OG466" s="770"/>
      <c r="OH466" s="770"/>
      <c r="OI466" s="770"/>
      <c r="OJ466" s="770"/>
      <c r="OK466" s="770"/>
      <c r="OL466" s="770"/>
      <c r="OM466" s="770"/>
      <c r="ON466" s="770"/>
      <c r="OO466" s="770"/>
      <c r="OP466" s="770"/>
      <c r="OQ466" s="770"/>
      <c r="OR466" s="770"/>
      <c r="OS466" s="770"/>
      <c r="OT466" s="770"/>
      <c r="OU466" s="770"/>
      <c r="OV466" s="770"/>
      <c r="OW466" s="770"/>
      <c r="OX466" s="770"/>
      <c r="OY466" s="770"/>
      <c r="OZ466" s="770"/>
      <c r="PA466" s="770"/>
      <c r="PB466" s="770"/>
      <c r="PC466" s="770"/>
      <c r="PD466" s="770"/>
      <c r="PE466" s="770"/>
      <c r="PF466" s="770"/>
      <c r="PG466" s="770"/>
      <c r="PH466" s="770"/>
      <c r="PI466" s="770"/>
      <c r="PJ466" s="770"/>
      <c r="PK466" s="770"/>
      <c r="PL466" s="770"/>
      <c r="PM466" s="770"/>
      <c r="PN466" s="770"/>
      <c r="PO466" s="770"/>
      <c r="PP466" s="770"/>
      <c r="PQ466" s="770"/>
      <c r="PR466" s="770"/>
      <c r="PS466" s="770" t="s">
        <v>1208</v>
      </c>
      <c r="PT466" s="770" t="s">
        <v>1208</v>
      </c>
      <c r="PU466" s="770"/>
      <c r="PV466" s="770"/>
      <c r="PW466" s="770"/>
      <c r="PX466" s="770"/>
      <c r="PY466" s="770"/>
      <c r="PZ466" s="770"/>
      <c r="QA466" s="770"/>
      <c r="QB466" s="770"/>
      <c r="QC466" s="770"/>
      <c r="QD466" s="770"/>
      <c r="QE466" s="770"/>
      <c r="QF466" s="770"/>
      <c r="QG466" s="770"/>
      <c r="QH466" s="770"/>
      <c r="QI466" s="770"/>
      <c r="QJ466" s="770"/>
      <c r="QK466" s="770"/>
      <c r="QL466" s="770"/>
      <c r="QM466" s="770"/>
      <c r="QN466" s="770"/>
      <c r="QO466" s="770"/>
      <c r="QP466" s="770"/>
      <c r="QQ466" s="770"/>
      <c r="QR466" s="770"/>
      <c r="QS466" s="770"/>
      <c r="QT466" s="770"/>
      <c r="QU466" s="770"/>
      <c r="QV466" s="770"/>
      <c r="QW466" s="770"/>
      <c r="QX466" s="770"/>
      <c r="QY466" s="770"/>
      <c r="QZ466" s="770"/>
      <c r="RA466" s="770"/>
      <c r="RB466" s="770" t="s">
        <v>1207</v>
      </c>
      <c r="RC466" s="770">
        <v>2016</v>
      </c>
      <c r="RD466" s="770" t="s">
        <v>13615</v>
      </c>
      <c r="RE466" s="770" t="s">
        <v>12999</v>
      </c>
      <c r="RF466" s="304">
        <v>0.5</v>
      </c>
      <c r="RG466" s="770" t="s">
        <v>13047</v>
      </c>
      <c r="RH466" s="302">
        <v>0</v>
      </c>
      <c r="RI466" s="770">
        <v>0.5</v>
      </c>
      <c r="RJ466" s="770" t="s">
        <v>13616</v>
      </c>
      <c r="RK466" s="770" t="s">
        <v>13544</v>
      </c>
      <c r="RL466" s="1710"/>
      <c r="RM466" s="12"/>
      <c r="RN466" s="1711"/>
      <c r="RO466" s="132" t="s">
        <v>2610</v>
      </c>
      <c r="RP466" s="11"/>
      <c r="RQ466" s="11"/>
      <c r="RR466" s="17"/>
      <c r="RS466" s="767"/>
      <c r="RT466" s="11"/>
      <c r="RU466" s="11"/>
      <c r="RV466" s="771" t="s">
        <v>7421</v>
      </c>
      <c r="RW466" s="11" t="s">
        <v>7758</v>
      </c>
      <c r="RX466" s="11" t="s">
        <v>2599</v>
      </c>
      <c r="RY466" s="11"/>
      <c r="RZ466" s="11" t="s">
        <v>1101</v>
      </c>
      <c r="SA466" s="771"/>
      <c r="SB466" s="11"/>
      <c r="SC466" s="11"/>
    </row>
    <row r="467" spans="1:497" ht="12.75" customHeight="1">
      <c r="A467" s="19" t="s">
        <v>7421</v>
      </c>
      <c r="B467" s="752" t="s">
        <v>7762</v>
      </c>
      <c r="C467" s="132" t="s">
        <v>2619</v>
      </c>
      <c r="D467" s="94" t="s">
        <v>2620</v>
      </c>
      <c r="E467" s="770" t="s">
        <v>2621</v>
      </c>
      <c r="F467" s="770" t="s">
        <v>28</v>
      </c>
      <c r="G467" s="770" t="s">
        <v>18</v>
      </c>
      <c r="H467" s="770"/>
      <c r="I467" s="295" t="s">
        <v>5323</v>
      </c>
      <c r="J467" s="94" t="s">
        <v>2620</v>
      </c>
      <c r="K467" s="766" t="s">
        <v>2622</v>
      </c>
      <c r="L467" s="766" t="s">
        <v>2623</v>
      </c>
      <c r="M467" s="770" t="s">
        <v>1238</v>
      </c>
      <c r="N467" s="770"/>
      <c r="O467" s="770" t="s">
        <v>2583</v>
      </c>
      <c r="P467" s="770" t="s">
        <v>2624</v>
      </c>
      <c r="Q467" s="1088">
        <v>18344</v>
      </c>
      <c r="R467" s="297">
        <v>67</v>
      </c>
      <c r="S467" s="770" t="s">
        <v>18</v>
      </c>
      <c r="T467" s="770"/>
      <c r="U467" s="298" t="s">
        <v>2625</v>
      </c>
      <c r="V467" s="770" t="s">
        <v>719</v>
      </c>
      <c r="W467" s="770"/>
      <c r="X467" s="770"/>
      <c r="Y467" s="770" t="s">
        <v>2621</v>
      </c>
      <c r="Z467" s="770" t="s">
        <v>708</v>
      </c>
      <c r="AA467" s="770" t="s">
        <v>709</v>
      </c>
      <c r="AB467" s="770" t="s">
        <v>710</v>
      </c>
      <c r="AC467" s="770" t="s">
        <v>724</v>
      </c>
      <c r="AD467" s="770" t="s">
        <v>711</v>
      </c>
      <c r="AE467" s="770"/>
      <c r="AF467" s="770" t="s">
        <v>712</v>
      </c>
      <c r="AG467" s="766" t="s">
        <v>1095</v>
      </c>
      <c r="AH467" s="766" t="s">
        <v>1096</v>
      </c>
      <c r="AI467" s="770"/>
      <c r="AJ467" s="770" t="s">
        <v>1137</v>
      </c>
      <c r="AK467" s="770" t="s">
        <v>1101</v>
      </c>
      <c r="AL467" s="531">
        <v>18.5</v>
      </c>
      <c r="AM467" s="780">
        <v>18.5</v>
      </c>
      <c r="AN467" s="532">
        <f t="shared" si="124"/>
        <v>1</v>
      </c>
      <c r="AO467" s="766" t="s">
        <v>1122</v>
      </c>
      <c r="AP467" s="766"/>
      <c r="AQ467" s="766"/>
      <c r="AR467" s="766"/>
      <c r="AS467" s="770" t="s">
        <v>1207</v>
      </c>
      <c r="AT467" s="770" t="s">
        <v>1208</v>
      </c>
      <c r="AU467" s="770"/>
      <c r="AV467" s="770"/>
      <c r="AW467" s="770"/>
      <c r="AX467" s="770"/>
      <c r="AY467" s="770"/>
      <c r="AZ467" s="770"/>
      <c r="BA467" s="770"/>
      <c r="BB467" s="770"/>
      <c r="BC467" s="770"/>
      <c r="BD467" s="770"/>
      <c r="BE467" s="770"/>
      <c r="BF467" s="302"/>
      <c r="BG467" s="302"/>
      <c r="BH467" s="770"/>
      <c r="BI467" s="770"/>
      <c r="BJ467" s="770"/>
      <c r="BK467" s="770"/>
      <c r="BL467" s="770"/>
      <c r="BM467" s="770"/>
      <c r="BN467" s="770"/>
      <c r="BO467" s="770"/>
      <c r="BP467" s="1109"/>
      <c r="BQ467" s="773"/>
      <c r="BR467" s="774"/>
      <c r="BS467" s="766"/>
      <c r="BT467" s="770"/>
      <c r="BU467" s="770"/>
      <c r="BV467" s="770"/>
      <c r="BW467" s="770"/>
      <c r="BX467" s="302"/>
      <c r="BY467" s="770"/>
      <c r="BZ467" s="302"/>
      <c r="CA467" s="770"/>
      <c r="CB467" s="770" t="s">
        <v>1207</v>
      </c>
      <c r="CC467" s="770" t="s">
        <v>2624</v>
      </c>
      <c r="CD467" s="770"/>
      <c r="CE467" s="770"/>
      <c r="CF467" s="1753">
        <v>0.9</v>
      </c>
      <c r="CG467" s="1754">
        <v>11.76</v>
      </c>
      <c r="CH467" s="770" t="s">
        <v>2563</v>
      </c>
      <c r="CI467" s="770"/>
      <c r="CJ467" s="770"/>
      <c r="CK467" s="770">
        <v>8</v>
      </c>
      <c r="CL467" s="770"/>
      <c r="CM467" s="770" t="s">
        <v>3399</v>
      </c>
      <c r="CN467" s="770"/>
      <c r="CO467" s="770" t="s">
        <v>1257</v>
      </c>
      <c r="CP467" s="770"/>
      <c r="CQ467" s="770"/>
      <c r="CR467" s="302"/>
      <c r="CS467" s="770"/>
      <c r="CT467" s="770"/>
      <c r="CU467" s="305"/>
      <c r="CV467" s="770"/>
      <c r="CW467" s="770"/>
      <c r="CX467" s="770"/>
      <c r="CY467" s="770"/>
      <c r="CZ467" s="770"/>
      <c r="DA467" s="306"/>
      <c r="DB467" s="770"/>
      <c r="DC467" s="770"/>
      <c r="DD467" s="770"/>
      <c r="DE467" s="300"/>
      <c r="DF467" s="770"/>
      <c r="DG467" s="770"/>
      <c r="DH467" s="770"/>
      <c r="DI467" s="770"/>
      <c r="DJ467" s="770"/>
      <c r="DK467" s="770"/>
      <c r="DL467" s="770"/>
      <c r="DM467" s="770"/>
      <c r="DN467" s="322"/>
      <c r="DO467" s="770"/>
      <c r="DP467" s="770"/>
      <c r="DQ467" s="770"/>
      <c r="DR467" s="770"/>
      <c r="DS467" s="307"/>
      <c r="DT467" s="770"/>
      <c r="DU467" s="770"/>
      <c r="DV467" s="770"/>
      <c r="DW467" s="306"/>
      <c r="DX467" s="306"/>
      <c r="DY467" s="770"/>
      <c r="DZ467" s="770"/>
      <c r="EA467" s="770"/>
      <c r="EB467" s="770"/>
      <c r="EC467" s="770"/>
      <c r="ED467" s="770"/>
      <c r="EE467" s="770"/>
      <c r="EF467" s="770"/>
      <c r="EG467" s="770"/>
      <c r="EH467" s="770"/>
      <c r="EI467" s="770"/>
      <c r="EJ467" s="770"/>
      <c r="EK467" s="770"/>
      <c r="EL467" s="770"/>
      <c r="EM467" s="770"/>
      <c r="EN467" s="770"/>
      <c r="EO467" s="770"/>
      <c r="EP467" s="94"/>
      <c r="EQ467" s="770"/>
      <c r="ER467" s="770"/>
      <c r="ES467" s="770"/>
      <c r="ET467" s="770"/>
      <c r="EU467" s="770"/>
      <c r="EV467" s="770"/>
      <c r="EW467" s="770"/>
      <c r="EX467" s="770"/>
      <c r="EY467" s="770"/>
      <c r="EZ467" s="770"/>
      <c r="FA467" s="770"/>
      <c r="FB467" s="770"/>
      <c r="FC467" s="770"/>
      <c r="FD467" s="302"/>
      <c r="FE467" s="770"/>
      <c r="FF467" s="770"/>
      <c r="FG467" s="770"/>
      <c r="FH467" s="770"/>
      <c r="FI467" s="770"/>
      <c r="FJ467" s="770"/>
      <c r="FK467" s="770"/>
      <c r="FL467" s="770"/>
      <c r="FM467" s="302"/>
      <c r="FN467" s="302"/>
      <c r="FO467" s="302"/>
      <c r="FP467" s="770"/>
      <c r="FQ467" s="770"/>
      <c r="FR467" s="770" t="s">
        <v>1214</v>
      </c>
      <c r="FS467" s="770"/>
      <c r="FT467" s="770"/>
      <c r="FU467" s="770"/>
      <c r="FV467" s="770"/>
      <c r="FW467" s="770"/>
      <c r="FX467" s="770"/>
      <c r="FY467" s="770"/>
      <c r="FZ467" s="770"/>
      <c r="GA467" s="770"/>
      <c r="GB467" s="770"/>
      <c r="GC467" s="308"/>
      <c r="GD467" s="297"/>
      <c r="GE467" s="770"/>
      <c r="GF467" s="302"/>
      <c r="GG467" s="302"/>
      <c r="GH467" s="770"/>
      <c r="GI467" s="770"/>
      <c r="GJ467" s="770"/>
      <c r="GK467" s="770"/>
      <c r="GL467" s="770"/>
      <c r="GM467" s="770"/>
      <c r="GN467" s="299"/>
      <c r="GO467" s="770"/>
      <c r="GP467" s="770"/>
      <c r="GQ467" s="770"/>
      <c r="GR467" s="770"/>
      <c r="GS467" s="770"/>
      <c r="GT467" s="770"/>
      <c r="GU467" s="770"/>
      <c r="GV467" s="770"/>
      <c r="GW467" s="770"/>
      <c r="GX467" s="770"/>
      <c r="GY467" s="770"/>
      <c r="GZ467" s="770"/>
      <c r="HA467" s="770"/>
      <c r="HB467" s="770"/>
      <c r="HC467" s="770"/>
      <c r="HD467" s="770"/>
      <c r="HE467" s="770"/>
      <c r="HF467" s="770"/>
      <c r="HG467" s="770"/>
      <c r="HH467" s="770"/>
      <c r="HI467" s="770"/>
      <c r="HJ467" s="770"/>
      <c r="HK467" s="770"/>
      <c r="HL467" s="770"/>
      <c r="HM467" s="770"/>
      <c r="HN467" s="770"/>
      <c r="HO467" s="770"/>
      <c r="HP467" s="770"/>
      <c r="HQ467" s="770"/>
      <c r="HR467" s="770"/>
      <c r="HS467" s="770"/>
      <c r="HT467" s="770"/>
      <c r="HU467" s="770"/>
      <c r="HV467" s="770"/>
      <c r="HW467" s="770"/>
      <c r="HX467" s="770"/>
      <c r="HY467" s="770"/>
      <c r="HZ467" s="770"/>
      <c r="IA467" s="770"/>
      <c r="IB467" s="770" t="s">
        <v>1207</v>
      </c>
      <c r="IC467" s="770" t="s">
        <v>1207</v>
      </c>
      <c r="ID467" s="770" t="s">
        <v>2626</v>
      </c>
      <c r="IE467" s="770" t="s">
        <v>2627</v>
      </c>
      <c r="IF467" s="770"/>
      <c r="IG467" s="770"/>
      <c r="IH467" s="770"/>
      <c r="II467" s="770"/>
      <c r="IJ467" s="770"/>
      <c r="IK467" s="770"/>
      <c r="IL467" s="770"/>
      <c r="IM467" s="770"/>
      <c r="IN467" s="770"/>
      <c r="IO467" s="296"/>
      <c r="IP467" s="770"/>
      <c r="IQ467" s="770"/>
      <c r="IR467" s="770"/>
      <c r="IS467" s="770"/>
      <c r="IT467" s="770"/>
      <c r="IU467" s="770"/>
      <c r="IV467" s="770"/>
      <c r="IW467" s="770"/>
      <c r="IX467" s="770"/>
      <c r="IY467" s="770"/>
      <c r="IZ467" s="770"/>
      <c r="JA467" s="770"/>
      <c r="JB467" s="770"/>
      <c r="JC467" s="770"/>
      <c r="JD467" s="302"/>
      <c r="JE467" s="770"/>
      <c r="JF467" s="770"/>
      <c r="JG467" s="770"/>
      <c r="JH467" s="307"/>
      <c r="JI467" s="307"/>
      <c r="JJ467" s="770">
        <v>4</v>
      </c>
      <c r="JK467" s="770" t="s">
        <v>2620</v>
      </c>
      <c r="JL467" s="770">
        <v>1</v>
      </c>
      <c r="JM467" s="770"/>
      <c r="JN467" s="770">
        <v>1</v>
      </c>
      <c r="JO467" s="770">
        <v>1</v>
      </c>
      <c r="JP467" s="770"/>
      <c r="JQ467" s="770">
        <v>1</v>
      </c>
      <c r="JR467" s="770"/>
      <c r="JS467" s="770"/>
      <c r="JT467" s="766">
        <f t="shared" si="125"/>
        <v>2</v>
      </c>
      <c r="JU467" s="766">
        <f t="shared" si="125"/>
        <v>2</v>
      </c>
      <c r="JV467" s="766"/>
      <c r="JW467" s="766"/>
      <c r="JX467" s="770">
        <v>1</v>
      </c>
      <c r="JY467" s="770"/>
      <c r="JZ467" s="770"/>
      <c r="KA467" s="770"/>
      <c r="KB467" s="770"/>
      <c r="KC467" s="770">
        <v>1</v>
      </c>
      <c r="KD467" s="770">
        <v>1</v>
      </c>
      <c r="KE467" s="770"/>
      <c r="KF467" s="770"/>
      <c r="KG467" s="770">
        <v>1</v>
      </c>
      <c r="KH467" s="770"/>
      <c r="KI467" s="770"/>
      <c r="KJ467" s="770">
        <f t="shared" si="126"/>
        <v>2</v>
      </c>
      <c r="KK467" s="770">
        <f t="shared" si="126"/>
        <v>2</v>
      </c>
      <c r="KL467" s="770"/>
      <c r="KM467" s="770"/>
      <c r="KN467" s="770" t="s">
        <v>783</v>
      </c>
      <c r="KO467" s="770"/>
      <c r="KP467" s="770"/>
      <c r="KQ467" s="770"/>
      <c r="KR467" s="770"/>
      <c r="KS467" s="770"/>
      <c r="KT467" s="770"/>
      <c r="KU467" s="770"/>
      <c r="KV467" s="770"/>
      <c r="KW467" s="770"/>
      <c r="KX467" s="770"/>
      <c r="KY467" s="770">
        <v>1</v>
      </c>
      <c r="KZ467" s="770">
        <v>1</v>
      </c>
      <c r="LA467" s="770"/>
      <c r="LB467" s="770"/>
      <c r="LC467" s="770">
        <v>1</v>
      </c>
      <c r="LD467" s="770"/>
      <c r="LE467" s="770"/>
      <c r="LF467" s="770"/>
      <c r="LG467" s="770"/>
      <c r="LH467" s="770"/>
      <c r="LI467" s="770"/>
      <c r="LJ467" s="770">
        <v>1</v>
      </c>
      <c r="LK467" s="770"/>
      <c r="LL467" s="770"/>
      <c r="LM467" s="770"/>
      <c r="LN467" s="766">
        <f t="shared" si="111"/>
        <v>2</v>
      </c>
      <c r="LO467" s="766">
        <f t="shared" si="111"/>
        <v>2</v>
      </c>
      <c r="LP467" s="770">
        <v>3</v>
      </c>
      <c r="LQ467" s="770">
        <v>1</v>
      </c>
      <c r="LR467" s="770"/>
      <c r="LS467" s="770">
        <v>2</v>
      </c>
      <c r="LT467" s="770"/>
      <c r="LU467" s="770">
        <v>1</v>
      </c>
      <c r="LV467" s="770"/>
      <c r="LW467" s="770"/>
      <c r="LX467" s="769">
        <v>0</v>
      </c>
      <c r="LY467" s="766">
        <f t="shared" si="119"/>
        <v>0</v>
      </c>
      <c r="LZ467" s="1709">
        <v>6000</v>
      </c>
      <c r="MA467" s="1709"/>
      <c r="MB467" s="1709">
        <f>200*26</f>
        <v>5200</v>
      </c>
      <c r="MC467" s="1679">
        <f t="shared" si="110"/>
        <v>11200</v>
      </c>
      <c r="MD467" s="1709">
        <v>6000</v>
      </c>
      <c r="ME467" s="1709"/>
      <c r="MF467" s="1709">
        <f>SUM(16000,2600)</f>
        <v>18600</v>
      </c>
      <c r="MG467" s="1680">
        <f t="shared" si="121"/>
        <v>24600</v>
      </c>
      <c r="MH467" s="770" t="s">
        <v>3387</v>
      </c>
      <c r="MI467" s="302">
        <v>6000</v>
      </c>
      <c r="MJ467" s="302">
        <v>6000</v>
      </c>
      <c r="MK467" s="302">
        <f>3000/12</f>
        <v>250</v>
      </c>
      <c r="ML467" s="302">
        <v>3000</v>
      </c>
      <c r="MM467" s="302"/>
      <c r="MN467" s="302"/>
      <c r="MO467" s="302">
        <v>500</v>
      </c>
      <c r="MP467" s="302">
        <v>600</v>
      </c>
      <c r="MQ467" s="302">
        <v>200</v>
      </c>
      <c r="MR467" s="302">
        <v>200</v>
      </c>
      <c r="MS467" s="302"/>
      <c r="MT467" s="302"/>
      <c r="MU467" s="302"/>
      <c r="MV467" s="302"/>
      <c r="MW467" s="302"/>
      <c r="MX467" s="302"/>
      <c r="MY467" s="1682">
        <f t="shared" si="122"/>
        <v>16750</v>
      </c>
      <c r="MZ467" s="770" t="s">
        <v>13370</v>
      </c>
      <c r="NA467" s="770" t="s">
        <v>13005</v>
      </c>
      <c r="NB467" s="770" t="s">
        <v>13016</v>
      </c>
      <c r="NC467" s="770" t="s">
        <v>13602</v>
      </c>
      <c r="ND467" s="770">
        <v>0</v>
      </c>
      <c r="NE467" s="770">
        <v>0</v>
      </c>
      <c r="NF467" s="770">
        <v>0</v>
      </c>
      <c r="NG467" s="770">
        <v>1</v>
      </c>
      <c r="NH467" s="770">
        <v>1</v>
      </c>
      <c r="NI467" s="770">
        <v>1</v>
      </c>
      <c r="NJ467" s="770">
        <v>0</v>
      </c>
      <c r="NK467" s="770">
        <v>0</v>
      </c>
      <c r="NL467" s="770">
        <v>0</v>
      </c>
      <c r="NM467" s="770">
        <v>0</v>
      </c>
      <c r="NN467" s="770">
        <v>0</v>
      </c>
      <c r="NO467" s="770">
        <v>0</v>
      </c>
      <c r="NP467" s="770">
        <v>0</v>
      </c>
      <c r="NQ467" s="770">
        <v>0</v>
      </c>
      <c r="NR467" s="770">
        <v>0</v>
      </c>
      <c r="NS467" s="770">
        <v>0</v>
      </c>
      <c r="NT467" s="770">
        <v>0</v>
      </c>
      <c r="NU467" s="770">
        <v>0</v>
      </c>
      <c r="NV467" s="770">
        <v>0</v>
      </c>
      <c r="NW467" s="770">
        <v>0</v>
      </c>
      <c r="NX467" s="770">
        <v>0</v>
      </c>
      <c r="NY467" s="770"/>
      <c r="NZ467" s="770"/>
      <c r="OA467" s="770"/>
      <c r="OB467" s="770"/>
      <c r="OC467" s="770" t="s">
        <v>1208</v>
      </c>
      <c r="OD467" s="770"/>
      <c r="OE467" s="770"/>
      <c r="OF467" s="770"/>
      <c r="OG467" s="770"/>
      <c r="OH467" s="770"/>
      <c r="OI467" s="770"/>
      <c r="OJ467" s="770"/>
      <c r="OK467" s="770"/>
      <c r="OL467" s="770"/>
      <c r="OM467" s="770"/>
      <c r="ON467" s="770"/>
      <c r="OO467" s="770"/>
      <c r="OP467" s="770"/>
      <c r="OQ467" s="770"/>
      <c r="OR467" s="770"/>
      <c r="OS467" s="770"/>
      <c r="OT467" s="770"/>
      <c r="OU467" s="770"/>
      <c r="OV467" s="770"/>
      <c r="OW467" s="770"/>
      <c r="OX467" s="770"/>
      <c r="OY467" s="770"/>
      <c r="OZ467" s="770"/>
      <c r="PA467" s="770"/>
      <c r="PB467" s="770"/>
      <c r="PC467" s="770"/>
      <c r="PD467" s="770"/>
      <c r="PE467" s="770"/>
      <c r="PF467" s="770"/>
      <c r="PG467" s="770"/>
      <c r="PH467" s="770" t="s">
        <v>1208</v>
      </c>
      <c r="PI467" s="770"/>
      <c r="PJ467" s="770" t="s">
        <v>1208</v>
      </c>
      <c r="PK467" s="770" t="s">
        <v>1208</v>
      </c>
      <c r="PL467" s="770"/>
      <c r="PM467" s="770" t="s">
        <v>1208</v>
      </c>
      <c r="PN467" s="770"/>
      <c r="PO467" s="770"/>
      <c r="PP467" s="770"/>
      <c r="PQ467" s="770"/>
      <c r="PR467" s="770"/>
      <c r="PS467" s="770"/>
      <c r="PT467" s="770"/>
      <c r="PU467" s="770"/>
      <c r="PV467" s="770"/>
      <c r="PW467" s="770"/>
      <c r="PX467" s="770"/>
      <c r="PY467" s="770"/>
      <c r="PZ467" s="770"/>
      <c r="QA467" s="770"/>
      <c r="QB467" s="770"/>
      <c r="QC467" s="770"/>
      <c r="QD467" s="770"/>
      <c r="QE467" s="770"/>
      <c r="QF467" s="770"/>
      <c r="QG467" s="770" t="s">
        <v>1208</v>
      </c>
      <c r="QH467" s="770"/>
      <c r="QI467" s="770"/>
      <c r="QJ467" s="770"/>
      <c r="QK467" s="770"/>
      <c r="QL467" s="770"/>
      <c r="QM467" s="770"/>
      <c r="QN467" s="770"/>
      <c r="QO467" s="770"/>
      <c r="QP467" s="770"/>
      <c r="QQ467" s="770"/>
      <c r="QR467" s="770"/>
      <c r="QS467" s="770"/>
      <c r="QT467" s="770"/>
      <c r="QU467" s="770"/>
      <c r="QV467" s="770"/>
      <c r="QW467" s="770"/>
      <c r="QX467" s="770"/>
      <c r="QY467" s="770"/>
      <c r="QZ467" s="770"/>
      <c r="RA467" s="770"/>
      <c r="RB467" s="770" t="s">
        <v>1207</v>
      </c>
      <c r="RC467" s="770">
        <v>2013</v>
      </c>
      <c r="RD467" s="770" t="s">
        <v>13594</v>
      </c>
      <c r="RE467" s="770" t="s">
        <v>12999</v>
      </c>
      <c r="RF467" s="304">
        <v>1.2</v>
      </c>
      <c r="RG467" s="770" t="s">
        <v>13617</v>
      </c>
      <c r="RH467" s="302">
        <v>4000</v>
      </c>
      <c r="RI467" s="770">
        <v>2</v>
      </c>
      <c r="RJ467" s="770" t="s">
        <v>13618</v>
      </c>
      <c r="RK467" s="770" t="s">
        <v>13556</v>
      </c>
      <c r="RL467" s="1710"/>
      <c r="RM467" s="12"/>
      <c r="RN467" s="1711"/>
      <c r="RO467" s="132" t="s">
        <v>2619</v>
      </c>
      <c r="RP467" s="11"/>
      <c r="RQ467" s="11"/>
      <c r="RR467" s="17"/>
      <c r="RS467" s="767"/>
      <c r="RT467" s="11"/>
      <c r="RU467" s="11"/>
      <c r="RV467" s="771" t="s">
        <v>7421</v>
      </c>
      <c r="RW467" s="11" t="s">
        <v>7759</v>
      </c>
      <c r="RX467" s="11" t="s">
        <v>2595</v>
      </c>
      <c r="RY467" s="11"/>
      <c r="RZ467" s="11" t="s">
        <v>1101</v>
      </c>
      <c r="SA467" s="771"/>
      <c r="SB467" s="11"/>
      <c r="SC467" s="11"/>
    </row>
    <row r="468" spans="1:497" ht="12.75" customHeight="1">
      <c r="A468" s="19" t="s">
        <v>7421</v>
      </c>
      <c r="B468" s="752" t="s">
        <v>7761</v>
      </c>
      <c r="C468" s="133" t="s">
        <v>2628</v>
      </c>
      <c r="D468" s="94" t="s">
        <v>2629</v>
      </c>
      <c r="E468" s="770" t="s">
        <v>2621</v>
      </c>
      <c r="F468" s="770" t="s">
        <v>28</v>
      </c>
      <c r="G468" s="770" t="s">
        <v>10</v>
      </c>
      <c r="H468" s="770"/>
      <c r="I468" s="295" t="s">
        <v>2630</v>
      </c>
      <c r="J468" s="94" t="s">
        <v>2629</v>
      </c>
      <c r="K468" s="766" t="s">
        <v>2910</v>
      </c>
      <c r="L468" s="766" t="s">
        <v>2681</v>
      </c>
      <c r="M468" s="770" t="s">
        <v>1238</v>
      </c>
      <c r="N468" s="770"/>
      <c r="O468" s="770" t="s">
        <v>2583</v>
      </c>
      <c r="P468" s="770" t="s">
        <v>2631</v>
      </c>
      <c r="Q468" s="1088">
        <v>23633</v>
      </c>
      <c r="R468" s="297">
        <v>53</v>
      </c>
      <c r="S468" s="770" t="s">
        <v>10</v>
      </c>
      <c r="T468" s="770"/>
      <c r="U468" s="295" t="s">
        <v>2630</v>
      </c>
      <c r="V468" s="770" t="s">
        <v>722</v>
      </c>
      <c r="W468" s="770"/>
      <c r="X468" s="770"/>
      <c r="Y468" s="770" t="s">
        <v>2621</v>
      </c>
      <c r="Z468" s="770" t="s">
        <v>708</v>
      </c>
      <c r="AA468" s="770" t="s">
        <v>709</v>
      </c>
      <c r="AB468" s="770" t="s">
        <v>710</v>
      </c>
      <c r="AC468" s="770" t="s">
        <v>724</v>
      </c>
      <c r="AD468" s="770" t="s">
        <v>711</v>
      </c>
      <c r="AE468" s="770" t="s">
        <v>909</v>
      </c>
      <c r="AF468" s="770" t="s">
        <v>712</v>
      </c>
      <c r="AG468" s="766" t="s">
        <v>1095</v>
      </c>
      <c r="AH468" s="766" t="s">
        <v>1096</v>
      </c>
      <c r="AI468" s="770"/>
      <c r="AJ468" s="770" t="s">
        <v>1137</v>
      </c>
      <c r="AK468" s="770" t="s">
        <v>1101</v>
      </c>
      <c r="AL468" s="531">
        <v>40</v>
      </c>
      <c r="AM468" s="780">
        <v>22.617000000000001</v>
      </c>
      <c r="AN468" s="532">
        <f t="shared" si="124"/>
        <v>0.56542500000000007</v>
      </c>
      <c r="AO468" s="766" t="s">
        <v>1105</v>
      </c>
      <c r="AP468" s="766"/>
      <c r="AQ468" s="766"/>
      <c r="AR468" s="766"/>
      <c r="AS468" s="770"/>
      <c r="AT468" s="770"/>
      <c r="AU468" s="770"/>
      <c r="AV468" s="770"/>
      <c r="AW468" s="770"/>
      <c r="AX468" s="770"/>
      <c r="AY468" s="770"/>
      <c r="AZ468" s="770"/>
      <c r="BA468" s="770"/>
      <c r="BB468" s="770"/>
      <c r="BC468" s="770"/>
      <c r="BD468" s="770"/>
      <c r="BE468" s="770"/>
      <c r="BF468" s="302"/>
      <c r="BG468" s="302"/>
      <c r="BH468" s="770"/>
      <c r="BI468" s="770"/>
      <c r="BJ468" s="770"/>
      <c r="BK468" s="770"/>
      <c r="BL468" s="770"/>
      <c r="BM468" s="770"/>
      <c r="BN468" s="770"/>
      <c r="BO468" s="770"/>
      <c r="BP468" s="1109"/>
      <c r="BQ468" s="773"/>
      <c r="BR468" s="774"/>
      <c r="BS468" s="766"/>
      <c r="BT468" s="770"/>
      <c r="BU468" s="770"/>
      <c r="BV468" s="770"/>
      <c r="BW468" s="770"/>
      <c r="BX468" s="302"/>
      <c r="BY468" s="770"/>
      <c r="BZ468" s="302"/>
      <c r="CA468" s="770"/>
      <c r="CB468" s="770" t="s">
        <v>1207</v>
      </c>
      <c r="CC468" s="770" t="s">
        <v>2631</v>
      </c>
      <c r="CD468" s="770"/>
      <c r="CE468" s="770"/>
      <c r="CF468" s="1753"/>
      <c r="CG468" s="1754"/>
      <c r="CH468" s="770"/>
      <c r="CI468" s="770"/>
      <c r="CJ468" s="770"/>
      <c r="CK468" s="770"/>
      <c r="CL468" s="770"/>
      <c r="CM468" s="770"/>
      <c r="CN468" s="770"/>
      <c r="CO468" s="770"/>
      <c r="CP468" s="770"/>
      <c r="CQ468" s="770"/>
      <c r="CR468" s="302"/>
      <c r="CS468" s="770"/>
      <c r="CT468" s="770"/>
      <c r="CU468" s="305"/>
      <c r="CV468" s="770"/>
      <c r="CW468" s="770"/>
      <c r="CX468" s="770"/>
      <c r="CY468" s="770"/>
      <c r="CZ468" s="770"/>
      <c r="DA468" s="306"/>
      <c r="DB468" s="770"/>
      <c r="DC468" s="770"/>
      <c r="DD468" s="770"/>
      <c r="DE468" s="300"/>
      <c r="DF468" s="770"/>
      <c r="DG468" s="770"/>
      <c r="DH468" s="770"/>
      <c r="DI468" s="770"/>
      <c r="DJ468" s="770"/>
      <c r="DK468" s="770"/>
      <c r="DL468" s="770"/>
      <c r="DM468" s="770"/>
      <c r="DN468" s="322"/>
      <c r="DO468" s="770"/>
      <c r="DP468" s="770"/>
      <c r="DQ468" s="770"/>
      <c r="DR468" s="770"/>
      <c r="DS468" s="307"/>
      <c r="DT468" s="770"/>
      <c r="DU468" s="770"/>
      <c r="DV468" s="770"/>
      <c r="DW468" s="306"/>
      <c r="DX468" s="306"/>
      <c r="DY468" s="770"/>
      <c r="DZ468" s="770"/>
      <c r="EA468" s="770"/>
      <c r="EB468" s="770"/>
      <c r="EC468" s="770"/>
      <c r="ED468" s="770"/>
      <c r="EE468" s="770"/>
      <c r="EF468" s="770"/>
      <c r="EG468" s="770"/>
      <c r="EH468" s="770"/>
      <c r="EI468" s="770"/>
      <c r="EJ468" s="770"/>
      <c r="EK468" s="770"/>
      <c r="EL468" s="770"/>
      <c r="EM468" s="770"/>
      <c r="EN468" s="770"/>
      <c r="EO468" s="770"/>
      <c r="EP468" s="94"/>
      <c r="EQ468" s="770"/>
      <c r="ER468" s="770"/>
      <c r="ES468" s="770"/>
      <c r="ET468" s="770"/>
      <c r="EU468" s="770"/>
      <c r="EV468" s="770"/>
      <c r="EW468" s="770"/>
      <c r="EX468" s="770"/>
      <c r="EY468" s="770"/>
      <c r="EZ468" s="770" t="s">
        <v>3095</v>
      </c>
      <c r="FA468" s="770" t="s">
        <v>3094</v>
      </c>
      <c r="FB468" s="770" t="s">
        <v>1105</v>
      </c>
      <c r="FC468" s="770"/>
      <c r="FD468" s="302"/>
      <c r="FE468" s="770"/>
      <c r="FF468" s="770" t="s">
        <v>2632</v>
      </c>
      <c r="FG468" s="770"/>
      <c r="FH468" s="770"/>
      <c r="FI468" s="770"/>
      <c r="FJ468" s="770"/>
      <c r="FK468" s="770"/>
      <c r="FL468" s="770"/>
      <c r="FM468" s="302"/>
      <c r="FN468" s="302"/>
      <c r="FO468" s="302"/>
      <c r="FP468" s="770"/>
      <c r="FQ468" s="770"/>
      <c r="FR468" s="770" t="s">
        <v>1214</v>
      </c>
      <c r="FS468" s="770"/>
      <c r="FT468" s="770"/>
      <c r="FU468" s="770"/>
      <c r="FV468" s="770"/>
      <c r="FW468" s="770"/>
      <c r="FX468" s="770"/>
      <c r="FY468" s="770"/>
      <c r="FZ468" s="770"/>
      <c r="GA468" s="770"/>
      <c r="GB468" s="770"/>
      <c r="GC468" s="308"/>
      <c r="GD468" s="297"/>
      <c r="GE468" s="770"/>
      <c r="GF468" s="302"/>
      <c r="GG468" s="302"/>
      <c r="GH468" s="770"/>
      <c r="GI468" s="770"/>
      <c r="GJ468" s="770"/>
      <c r="GK468" s="770"/>
      <c r="GL468" s="770"/>
      <c r="GM468" s="770"/>
      <c r="GN468" s="299"/>
      <c r="GO468" s="770"/>
      <c r="GP468" s="770"/>
      <c r="GQ468" s="770"/>
      <c r="GR468" s="770"/>
      <c r="GS468" s="770"/>
      <c r="GT468" s="770"/>
      <c r="GU468" s="770"/>
      <c r="GV468" s="770"/>
      <c r="GW468" s="770"/>
      <c r="GX468" s="770"/>
      <c r="GY468" s="770"/>
      <c r="GZ468" s="770"/>
      <c r="HA468" s="770"/>
      <c r="HB468" s="770"/>
      <c r="HC468" s="770"/>
      <c r="HD468" s="770"/>
      <c r="HE468" s="770"/>
      <c r="HF468" s="770"/>
      <c r="HG468" s="770"/>
      <c r="HH468" s="770"/>
      <c r="HI468" s="770"/>
      <c r="HJ468" s="770"/>
      <c r="HK468" s="770"/>
      <c r="HL468" s="770"/>
      <c r="HM468" s="770"/>
      <c r="HN468" s="770"/>
      <c r="HO468" s="770"/>
      <c r="HP468" s="770"/>
      <c r="HQ468" s="770"/>
      <c r="HR468" s="770"/>
      <c r="HS468" s="770"/>
      <c r="HT468" s="770"/>
      <c r="HU468" s="770"/>
      <c r="HV468" s="770"/>
      <c r="HW468" s="770"/>
      <c r="HX468" s="770"/>
      <c r="HY468" s="770"/>
      <c r="HZ468" s="770"/>
      <c r="IA468" s="770"/>
      <c r="IB468" s="770" t="s">
        <v>1207</v>
      </c>
      <c r="IC468" s="770" t="s">
        <v>1207</v>
      </c>
      <c r="ID468" s="13" t="s">
        <v>2633</v>
      </c>
      <c r="IE468" s="770"/>
      <c r="IF468" s="770"/>
      <c r="IG468" s="770"/>
      <c r="IH468" s="770"/>
      <c r="II468" s="770"/>
      <c r="IJ468" s="770"/>
      <c r="IK468" s="770"/>
      <c r="IL468" s="770"/>
      <c r="IM468" s="770"/>
      <c r="IN468" s="770"/>
      <c r="IO468" s="296"/>
      <c r="IP468" s="770"/>
      <c r="IQ468" s="770"/>
      <c r="IR468" s="770"/>
      <c r="IS468" s="770"/>
      <c r="IT468" s="770"/>
      <c r="IU468" s="770"/>
      <c r="IV468" s="770"/>
      <c r="IW468" s="770"/>
      <c r="IX468" s="770"/>
      <c r="IY468" s="770"/>
      <c r="IZ468" s="770"/>
      <c r="JA468" s="770"/>
      <c r="JB468" s="770"/>
      <c r="JC468" s="770"/>
      <c r="JD468" s="302"/>
      <c r="JE468" s="770"/>
      <c r="JF468" s="770"/>
      <c r="JG468" s="770"/>
      <c r="JH468" s="307"/>
      <c r="JI468" s="307"/>
      <c r="JJ468" s="770">
        <v>3</v>
      </c>
      <c r="JK468" s="770" t="s">
        <v>3750</v>
      </c>
      <c r="JL468" s="770"/>
      <c r="JM468" s="770"/>
      <c r="JN468" s="770">
        <v>2</v>
      </c>
      <c r="JO468" s="770">
        <v>1</v>
      </c>
      <c r="JP468" s="770"/>
      <c r="JQ468" s="770"/>
      <c r="JR468" s="770"/>
      <c r="JS468" s="770"/>
      <c r="JT468" s="766">
        <f t="shared" si="125"/>
        <v>2</v>
      </c>
      <c r="JU468" s="766">
        <f t="shared" si="125"/>
        <v>1</v>
      </c>
      <c r="JV468" s="766"/>
      <c r="JW468" s="766"/>
      <c r="JX468" s="770"/>
      <c r="JY468" s="770"/>
      <c r="JZ468" s="770"/>
      <c r="KA468" s="770"/>
      <c r="KB468" s="770">
        <v>1</v>
      </c>
      <c r="KC468" s="770"/>
      <c r="KD468" s="770">
        <v>1</v>
      </c>
      <c r="KE468" s="770">
        <v>1</v>
      </c>
      <c r="KF468" s="770"/>
      <c r="KG468" s="770"/>
      <c r="KH468" s="770"/>
      <c r="KI468" s="770"/>
      <c r="KJ468" s="770">
        <f t="shared" si="126"/>
        <v>2</v>
      </c>
      <c r="KK468" s="770">
        <f t="shared" si="126"/>
        <v>1</v>
      </c>
      <c r="KL468" s="770"/>
      <c r="KM468" s="770"/>
      <c r="KN468" s="770" t="s">
        <v>722</v>
      </c>
      <c r="KO468" s="770"/>
      <c r="KP468" s="770"/>
      <c r="KQ468" s="770"/>
      <c r="KR468" s="770"/>
      <c r="KS468" s="770"/>
      <c r="KT468" s="770"/>
      <c r="KU468" s="770"/>
      <c r="KV468" s="770"/>
      <c r="KW468" s="770"/>
      <c r="KX468" s="770"/>
      <c r="KY468" s="770"/>
      <c r="KZ468" s="770">
        <v>2</v>
      </c>
      <c r="LA468" s="770">
        <v>1</v>
      </c>
      <c r="LB468" s="770"/>
      <c r="LC468" s="770"/>
      <c r="LD468" s="770"/>
      <c r="LE468" s="770"/>
      <c r="LF468" s="770"/>
      <c r="LG468" s="770"/>
      <c r="LH468" s="770"/>
      <c r="LI468" s="770"/>
      <c r="LJ468" s="770"/>
      <c r="LK468" s="770"/>
      <c r="LL468" s="770"/>
      <c r="LM468" s="770"/>
      <c r="LN468" s="766">
        <f t="shared" si="111"/>
        <v>2</v>
      </c>
      <c r="LO468" s="766">
        <f t="shared" si="111"/>
        <v>1</v>
      </c>
      <c r="LP468" s="770">
        <v>2</v>
      </c>
      <c r="LQ468" s="770">
        <v>1</v>
      </c>
      <c r="LR468" s="770"/>
      <c r="LS468" s="770">
        <v>1</v>
      </c>
      <c r="LT468" s="770"/>
      <c r="LU468" s="770"/>
      <c r="LV468" s="770">
        <v>1</v>
      </c>
      <c r="LW468" s="770"/>
      <c r="LX468" s="769"/>
      <c r="LY468" s="766" t="str">
        <f t="shared" si="119"/>
        <v/>
      </c>
      <c r="LZ468" s="1709"/>
      <c r="MA468" s="1709"/>
      <c r="MB468" s="1709"/>
      <c r="MC468" s="1679">
        <f t="shared" si="110"/>
        <v>0</v>
      </c>
      <c r="MD468" s="1709">
        <f>250*26</f>
        <v>6500</v>
      </c>
      <c r="ME468" s="1709"/>
      <c r="MF468" s="1709">
        <v>60000</v>
      </c>
      <c r="MG468" s="1680">
        <f t="shared" si="121"/>
        <v>66500</v>
      </c>
      <c r="MH468" s="770" t="s">
        <v>2971</v>
      </c>
      <c r="MI468" s="302">
        <f>30*1000</f>
        <v>30000</v>
      </c>
      <c r="MJ468" s="302">
        <f>200*30</f>
        <v>6000</v>
      </c>
      <c r="MK468" s="302">
        <v>2000</v>
      </c>
      <c r="ML468" s="302">
        <v>6500</v>
      </c>
      <c r="MM468" s="302"/>
      <c r="MN468" s="302">
        <v>2000</v>
      </c>
      <c r="MO468" s="302">
        <v>250</v>
      </c>
      <c r="MP468" s="302">
        <v>2400</v>
      </c>
      <c r="MQ468" s="302">
        <f>30*300</f>
        <v>9000</v>
      </c>
      <c r="MR468" s="302">
        <v>1300</v>
      </c>
      <c r="MS468" s="302">
        <v>3000</v>
      </c>
      <c r="MT468" s="302"/>
      <c r="MU468" s="302"/>
      <c r="MV468" s="302"/>
      <c r="MW468" s="302"/>
      <c r="MX468" s="302"/>
      <c r="MY468" s="1682">
        <f t="shared" si="122"/>
        <v>62450</v>
      </c>
      <c r="MZ468" s="770"/>
      <c r="NA468" s="770"/>
      <c r="NB468" s="770"/>
      <c r="NC468" s="770"/>
      <c r="ND468" s="770">
        <v>0</v>
      </c>
      <c r="NE468" s="770">
        <v>0</v>
      </c>
      <c r="NF468" s="770">
        <v>0</v>
      </c>
      <c r="NG468" s="770">
        <v>1</v>
      </c>
      <c r="NH468" s="770">
        <v>1</v>
      </c>
      <c r="NI468" s="770">
        <v>0</v>
      </c>
      <c r="NJ468" s="770">
        <v>0</v>
      </c>
      <c r="NK468" s="770">
        <v>0</v>
      </c>
      <c r="NL468" s="770">
        <v>1</v>
      </c>
      <c r="NM468" s="770">
        <v>1</v>
      </c>
      <c r="NN468" s="770">
        <v>0</v>
      </c>
      <c r="NO468" s="770">
        <v>0</v>
      </c>
      <c r="NP468" s="770">
        <v>0</v>
      </c>
      <c r="NQ468" s="770">
        <v>0</v>
      </c>
      <c r="NR468" s="770">
        <v>0</v>
      </c>
      <c r="NS468" s="770">
        <v>0</v>
      </c>
      <c r="NT468" s="770">
        <v>0</v>
      </c>
      <c r="NU468" s="770">
        <v>0</v>
      </c>
      <c r="NV468" s="770">
        <v>0</v>
      </c>
      <c r="NW468" s="770">
        <v>0</v>
      </c>
      <c r="NX468" s="770">
        <v>0</v>
      </c>
      <c r="NY468" s="770" t="s">
        <v>1208</v>
      </c>
      <c r="NZ468" s="770"/>
      <c r="OA468" s="770" t="s">
        <v>1208</v>
      </c>
      <c r="OB468" s="770"/>
      <c r="OC468" s="770" t="s">
        <v>1208</v>
      </c>
      <c r="OD468" s="770"/>
      <c r="OE468" s="770"/>
      <c r="OF468" s="770" t="s">
        <v>2143</v>
      </c>
      <c r="OG468" s="770"/>
      <c r="OH468" s="770"/>
      <c r="OI468" s="770"/>
      <c r="OJ468" s="770"/>
      <c r="OK468" s="770"/>
      <c r="OL468" s="770"/>
      <c r="OM468" s="770"/>
      <c r="ON468" s="770"/>
      <c r="OO468" s="770"/>
      <c r="OP468" s="770"/>
      <c r="OQ468" s="770"/>
      <c r="OR468" s="770"/>
      <c r="OS468" s="770"/>
      <c r="OT468" s="770"/>
      <c r="OU468" s="770"/>
      <c r="OV468" s="770"/>
      <c r="OW468" s="770"/>
      <c r="OX468" s="770"/>
      <c r="OY468" s="770"/>
      <c r="OZ468" s="770"/>
      <c r="PA468" s="770"/>
      <c r="PB468" s="770"/>
      <c r="PC468" s="770"/>
      <c r="PD468" s="770"/>
      <c r="PE468" s="770"/>
      <c r="PF468" s="770"/>
      <c r="PG468" s="770"/>
      <c r="PH468" s="770"/>
      <c r="PI468" s="770"/>
      <c r="PJ468" s="770" t="s">
        <v>1208</v>
      </c>
      <c r="PK468" s="770"/>
      <c r="PL468" s="770"/>
      <c r="PM468" s="770"/>
      <c r="PN468" s="770"/>
      <c r="PO468" s="770"/>
      <c r="PP468" s="770"/>
      <c r="PQ468" s="770"/>
      <c r="PR468" s="770"/>
      <c r="PS468" s="770"/>
      <c r="PT468" s="770"/>
      <c r="PU468" s="770"/>
      <c r="PV468" s="770"/>
      <c r="PW468" s="770"/>
      <c r="PX468" s="770"/>
      <c r="PY468" s="770"/>
      <c r="PZ468" s="770"/>
      <c r="QA468" s="770"/>
      <c r="QB468" s="770"/>
      <c r="QC468" s="770"/>
      <c r="QD468" s="770"/>
      <c r="QE468" s="770"/>
      <c r="QF468" s="770"/>
      <c r="QG468" s="770" t="s">
        <v>1208</v>
      </c>
      <c r="QH468" s="770"/>
      <c r="QI468" s="770"/>
      <c r="QJ468" s="770"/>
      <c r="QK468" s="770"/>
      <c r="QL468" s="770"/>
      <c r="QM468" s="770"/>
      <c r="QN468" s="770"/>
      <c r="QO468" s="770"/>
      <c r="QP468" s="770"/>
      <c r="QQ468" s="770"/>
      <c r="QR468" s="770"/>
      <c r="QS468" s="770"/>
      <c r="QT468" s="770"/>
      <c r="QU468" s="770"/>
      <c r="QV468" s="770"/>
      <c r="QW468" s="770"/>
      <c r="QX468" s="770"/>
      <c r="QY468" s="770"/>
      <c r="QZ468" s="770"/>
      <c r="RA468" s="770"/>
      <c r="RB468" s="770" t="s">
        <v>1207</v>
      </c>
      <c r="RC468" s="770"/>
      <c r="RD468" s="770"/>
      <c r="RE468" s="770"/>
      <c r="RF468" s="304">
        <v>2.1</v>
      </c>
      <c r="RG468" s="770" t="s">
        <v>13267</v>
      </c>
      <c r="RH468" s="302">
        <v>3800</v>
      </c>
      <c r="RI468" s="770">
        <v>3</v>
      </c>
      <c r="RJ468" s="770" t="s">
        <v>2634</v>
      </c>
      <c r="RK468" s="770" t="s">
        <v>13552</v>
      </c>
      <c r="RL468" s="1710"/>
      <c r="RM468" s="12"/>
      <c r="RN468" s="1711"/>
      <c r="RO468" s="133" t="s">
        <v>2628</v>
      </c>
      <c r="RP468" s="11"/>
      <c r="RQ468" s="11"/>
      <c r="RR468" s="17"/>
      <c r="RS468" s="767"/>
      <c r="RT468" s="11"/>
      <c r="RU468" s="11"/>
      <c r="RV468" s="771" t="s">
        <v>7421</v>
      </c>
      <c r="RW468" s="11" t="s">
        <v>7760</v>
      </c>
      <c r="RX468" s="11" t="s">
        <v>2610</v>
      </c>
      <c r="RY468" s="11"/>
      <c r="RZ468" s="11" t="s">
        <v>1101</v>
      </c>
      <c r="SA468" s="771"/>
      <c r="SB468" s="11"/>
      <c r="SC468" s="11"/>
    </row>
    <row r="469" spans="1:497" ht="12.75" customHeight="1">
      <c r="A469" s="19" t="s">
        <v>7421</v>
      </c>
      <c r="B469" s="752" t="s">
        <v>7868</v>
      </c>
      <c r="C469" s="133" t="s">
        <v>2635</v>
      </c>
      <c r="D469" s="94" t="s">
        <v>2636</v>
      </c>
      <c r="E469" s="770" t="s">
        <v>2637</v>
      </c>
      <c r="F469" s="770" t="s">
        <v>28</v>
      </c>
      <c r="G469" s="770" t="s">
        <v>10</v>
      </c>
      <c r="H469" s="770"/>
      <c r="I469" s="295"/>
      <c r="J469" s="94"/>
      <c r="K469" s="766" t="s">
        <v>2574</v>
      </c>
      <c r="L469" s="766" t="s">
        <v>2638</v>
      </c>
      <c r="M469" s="770" t="s">
        <v>1238</v>
      </c>
      <c r="N469" s="770"/>
      <c r="O469" s="770" t="s">
        <v>2592</v>
      </c>
      <c r="P469" s="770" t="s">
        <v>2636</v>
      </c>
      <c r="Q469" s="1088"/>
      <c r="R469" s="297"/>
      <c r="S469" s="770" t="s">
        <v>10</v>
      </c>
      <c r="T469" s="770"/>
      <c r="U469" s="298"/>
      <c r="V469" s="770"/>
      <c r="W469" s="770"/>
      <c r="X469" s="770"/>
      <c r="Y469" s="770"/>
      <c r="Z469" s="770"/>
      <c r="AA469" s="770"/>
      <c r="AB469" s="770"/>
      <c r="AC469" s="770"/>
      <c r="AD469" s="770"/>
      <c r="AE469" s="770"/>
      <c r="AF469" s="770"/>
      <c r="AG469" s="766" t="s">
        <v>1132</v>
      </c>
      <c r="AH469" s="766" t="s">
        <v>1096</v>
      </c>
      <c r="AI469" s="770"/>
      <c r="AJ469" s="770" t="s">
        <v>1137</v>
      </c>
      <c r="AK469" s="770" t="s">
        <v>1101</v>
      </c>
      <c r="AL469" s="531">
        <v>35</v>
      </c>
      <c r="AM469" s="780">
        <v>35</v>
      </c>
      <c r="AN469" s="532">
        <f t="shared" si="124"/>
        <v>1</v>
      </c>
      <c r="AO469" s="766" t="s">
        <v>1122</v>
      </c>
      <c r="AP469" s="766"/>
      <c r="AQ469" s="766"/>
      <c r="AR469" s="766"/>
      <c r="AS469" s="770"/>
      <c r="AT469" s="770"/>
      <c r="AU469" s="770"/>
      <c r="AV469" s="770"/>
      <c r="AW469" s="770"/>
      <c r="AX469" s="770"/>
      <c r="AY469" s="770"/>
      <c r="AZ469" s="770"/>
      <c r="BA469" s="770"/>
      <c r="BB469" s="770"/>
      <c r="BC469" s="770"/>
      <c r="BD469" s="770"/>
      <c r="BE469" s="770"/>
      <c r="BF469" s="302"/>
      <c r="BG469" s="302"/>
      <c r="BH469" s="770"/>
      <c r="BI469" s="770"/>
      <c r="BJ469" s="770"/>
      <c r="BK469" s="770"/>
      <c r="BL469" s="770"/>
      <c r="BM469" s="770"/>
      <c r="BN469" s="770"/>
      <c r="BO469" s="770"/>
      <c r="BP469" s="1109"/>
      <c r="BQ469" s="773"/>
      <c r="BR469" s="774"/>
      <c r="BS469" s="766"/>
      <c r="BT469" s="770"/>
      <c r="BU469" s="770"/>
      <c r="BV469" s="770"/>
      <c r="BW469" s="770"/>
      <c r="BX469" s="302"/>
      <c r="BY469" s="770"/>
      <c r="BZ469" s="302"/>
      <c r="CA469" s="770"/>
      <c r="CB469" s="770"/>
      <c r="CC469" s="770"/>
      <c r="CD469" s="770"/>
      <c r="CE469" s="770"/>
      <c r="CF469" s="1753"/>
      <c r="CG469" s="1754"/>
      <c r="CH469" s="770"/>
      <c r="CI469" s="770"/>
      <c r="CJ469" s="770"/>
      <c r="CK469" s="770"/>
      <c r="CL469" s="770"/>
      <c r="CM469" s="770"/>
      <c r="CN469" s="770"/>
      <c r="CO469" s="770"/>
      <c r="CP469" s="770"/>
      <c r="CQ469" s="770"/>
      <c r="CR469" s="302"/>
      <c r="CS469" s="770"/>
      <c r="CT469" s="770"/>
      <c r="CU469" s="305"/>
      <c r="CV469" s="770"/>
      <c r="CW469" s="770"/>
      <c r="CX469" s="770"/>
      <c r="CY469" s="770"/>
      <c r="CZ469" s="770"/>
      <c r="DA469" s="306"/>
      <c r="DB469" s="770"/>
      <c r="DC469" s="770"/>
      <c r="DD469" s="770"/>
      <c r="DE469" s="300"/>
      <c r="DF469" s="770"/>
      <c r="DG469" s="770"/>
      <c r="DH469" s="770"/>
      <c r="DI469" s="770"/>
      <c r="DJ469" s="770"/>
      <c r="DK469" s="770"/>
      <c r="DL469" s="770"/>
      <c r="DM469" s="770"/>
      <c r="DN469" s="322"/>
      <c r="DO469" s="770"/>
      <c r="DP469" s="770"/>
      <c r="DQ469" s="770"/>
      <c r="DR469" s="770"/>
      <c r="DS469" s="307"/>
      <c r="DT469" s="770"/>
      <c r="DU469" s="770"/>
      <c r="DV469" s="770"/>
      <c r="DW469" s="306"/>
      <c r="DX469" s="306"/>
      <c r="DY469" s="770"/>
      <c r="DZ469" s="770"/>
      <c r="EA469" s="770"/>
      <c r="EB469" s="770"/>
      <c r="EC469" s="770"/>
      <c r="ED469" s="770"/>
      <c r="EE469" s="770"/>
      <c r="EF469" s="770"/>
      <c r="EG469" s="770"/>
      <c r="EH469" s="770"/>
      <c r="EI469" s="770"/>
      <c r="EJ469" s="770"/>
      <c r="EK469" s="770"/>
      <c r="EL469" s="770"/>
      <c r="EM469" s="770"/>
      <c r="EN469" s="770"/>
      <c r="EO469" s="770"/>
      <c r="EP469" s="94"/>
      <c r="EQ469" s="770"/>
      <c r="ER469" s="770"/>
      <c r="ES469" s="770"/>
      <c r="ET469" s="770"/>
      <c r="EU469" s="770"/>
      <c r="EV469" s="770"/>
      <c r="EW469" s="770"/>
      <c r="EX469" s="770"/>
      <c r="EY469" s="770"/>
      <c r="EZ469" s="770"/>
      <c r="FA469" s="770"/>
      <c r="FB469" s="770"/>
      <c r="FC469" s="770"/>
      <c r="FD469" s="302"/>
      <c r="FE469" s="770"/>
      <c r="FF469" s="770"/>
      <c r="FG469" s="770"/>
      <c r="FH469" s="770"/>
      <c r="FI469" s="770"/>
      <c r="FJ469" s="770"/>
      <c r="FK469" s="770"/>
      <c r="FL469" s="770"/>
      <c r="FM469" s="302"/>
      <c r="FN469" s="302"/>
      <c r="FO469" s="302"/>
      <c r="FP469" s="770"/>
      <c r="FQ469" s="770"/>
      <c r="FR469" s="770"/>
      <c r="FS469" s="770"/>
      <c r="FT469" s="770"/>
      <c r="FU469" s="770"/>
      <c r="FV469" s="770"/>
      <c r="FW469" s="770"/>
      <c r="FX469" s="770"/>
      <c r="FY469" s="770"/>
      <c r="FZ469" s="770"/>
      <c r="GA469" s="770"/>
      <c r="GB469" s="770"/>
      <c r="GC469" s="308"/>
      <c r="GD469" s="297"/>
      <c r="GE469" s="770"/>
      <c r="GF469" s="302"/>
      <c r="GG469" s="302"/>
      <c r="GH469" s="770"/>
      <c r="GI469" s="770"/>
      <c r="GJ469" s="770"/>
      <c r="GK469" s="770"/>
      <c r="GL469" s="770"/>
      <c r="GM469" s="770"/>
      <c r="GN469" s="299"/>
      <c r="GO469" s="770"/>
      <c r="GP469" s="770"/>
      <c r="GQ469" s="770"/>
      <c r="GR469" s="770"/>
      <c r="GS469" s="770"/>
      <c r="GT469" s="770"/>
      <c r="GU469" s="770"/>
      <c r="GV469" s="770"/>
      <c r="GW469" s="770"/>
      <c r="GX469" s="770"/>
      <c r="GY469" s="770"/>
      <c r="GZ469" s="770"/>
      <c r="HA469" s="770"/>
      <c r="HB469" s="770"/>
      <c r="HC469" s="770"/>
      <c r="HD469" s="770"/>
      <c r="HE469" s="770"/>
      <c r="HF469" s="770"/>
      <c r="HG469" s="770"/>
      <c r="HH469" s="770"/>
      <c r="HI469" s="770"/>
      <c r="HJ469" s="770"/>
      <c r="HK469" s="770"/>
      <c r="HL469" s="770"/>
      <c r="HM469" s="770"/>
      <c r="HN469" s="770"/>
      <c r="HO469" s="770"/>
      <c r="HP469" s="770"/>
      <c r="HQ469" s="770"/>
      <c r="HR469" s="770"/>
      <c r="HS469" s="770"/>
      <c r="HT469" s="770"/>
      <c r="HU469" s="770"/>
      <c r="HV469" s="770"/>
      <c r="HW469" s="770"/>
      <c r="HX469" s="770"/>
      <c r="HY469" s="770"/>
      <c r="HZ469" s="770"/>
      <c r="IA469" s="770"/>
      <c r="IB469" s="770"/>
      <c r="IC469" s="770"/>
      <c r="ID469" s="770"/>
      <c r="IE469" s="770"/>
      <c r="IF469" s="770"/>
      <c r="IG469" s="770"/>
      <c r="IH469" s="770"/>
      <c r="II469" s="770"/>
      <c r="IJ469" s="770"/>
      <c r="IK469" s="770"/>
      <c r="IL469" s="770"/>
      <c r="IM469" s="770"/>
      <c r="IN469" s="770"/>
      <c r="IO469" s="296"/>
      <c r="IP469" s="770"/>
      <c r="IQ469" s="770"/>
      <c r="IR469" s="770"/>
      <c r="IS469" s="770"/>
      <c r="IT469" s="770"/>
      <c r="IU469" s="770"/>
      <c r="IV469" s="770"/>
      <c r="IW469" s="770"/>
      <c r="IX469" s="770"/>
      <c r="IY469" s="770"/>
      <c r="IZ469" s="770"/>
      <c r="JA469" s="770"/>
      <c r="JB469" s="770"/>
      <c r="JC469" s="770"/>
      <c r="JD469" s="302"/>
      <c r="JE469" s="770"/>
      <c r="JF469" s="770"/>
      <c r="JG469" s="770"/>
      <c r="JH469" s="307"/>
      <c r="JI469" s="307"/>
      <c r="JJ469" s="770"/>
      <c r="JK469" s="770"/>
      <c r="JL469" s="770"/>
      <c r="JM469" s="770"/>
      <c r="JN469" s="770"/>
      <c r="JO469" s="770"/>
      <c r="JP469" s="770"/>
      <c r="JQ469" s="770"/>
      <c r="JR469" s="770"/>
      <c r="JS469" s="770"/>
      <c r="JT469" s="766"/>
      <c r="JU469" s="766"/>
      <c r="JV469" s="766"/>
      <c r="JW469" s="766"/>
      <c r="JX469" s="770"/>
      <c r="JY469" s="770"/>
      <c r="JZ469" s="770"/>
      <c r="KA469" s="770"/>
      <c r="KB469" s="770"/>
      <c r="KC469" s="770"/>
      <c r="KD469" s="770"/>
      <c r="KE469" s="770"/>
      <c r="KF469" s="770"/>
      <c r="KG469" s="770"/>
      <c r="KH469" s="770"/>
      <c r="KI469" s="770"/>
      <c r="KJ469" s="770"/>
      <c r="KK469" s="770"/>
      <c r="KL469" s="770"/>
      <c r="KM469" s="770"/>
      <c r="KN469" s="770"/>
      <c r="KO469" s="770"/>
      <c r="KP469" s="770"/>
      <c r="KQ469" s="770"/>
      <c r="KR469" s="770"/>
      <c r="KS469" s="770"/>
      <c r="KT469" s="770"/>
      <c r="KU469" s="770"/>
      <c r="KV469" s="770"/>
      <c r="KW469" s="770"/>
      <c r="KX469" s="770"/>
      <c r="KY469" s="770"/>
      <c r="KZ469" s="770"/>
      <c r="LA469" s="770"/>
      <c r="LB469" s="770"/>
      <c r="LC469" s="770"/>
      <c r="LD469" s="770"/>
      <c r="LE469" s="770"/>
      <c r="LF469" s="770"/>
      <c r="LG469" s="770"/>
      <c r="LH469" s="770"/>
      <c r="LI469" s="770"/>
      <c r="LJ469" s="770"/>
      <c r="LK469" s="770"/>
      <c r="LL469" s="770"/>
      <c r="LM469" s="770"/>
      <c r="LN469" s="766"/>
      <c r="LO469" s="766"/>
      <c r="LP469" s="770"/>
      <c r="LQ469" s="770"/>
      <c r="LR469" s="770"/>
      <c r="LS469" s="770"/>
      <c r="LT469" s="770"/>
      <c r="LU469" s="770"/>
      <c r="LV469" s="770"/>
      <c r="LW469" s="770"/>
      <c r="LX469" s="769"/>
      <c r="LY469" s="766" t="str">
        <f t="shared" si="119"/>
        <v/>
      </c>
      <c r="LZ469" s="1709"/>
      <c r="MA469" s="1709"/>
      <c r="MB469" s="1709"/>
      <c r="MC469" s="1679">
        <f t="shared" si="110"/>
        <v>0</v>
      </c>
      <c r="MD469" s="1709"/>
      <c r="ME469" s="1709"/>
      <c r="MF469" s="1709"/>
      <c r="MG469" s="1680">
        <f t="shared" si="121"/>
        <v>0</v>
      </c>
      <c r="MH469" s="770"/>
      <c r="MI469" s="302"/>
      <c r="MJ469" s="302"/>
      <c r="MK469" s="302"/>
      <c r="ML469" s="302"/>
      <c r="MM469" s="302"/>
      <c r="MN469" s="302"/>
      <c r="MO469" s="302"/>
      <c r="MP469" s="302"/>
      <c r="MQ469" s="302"/>
      <c r="MR469" s="302"/>
      <c r="MS469" s="302"/>
      <c r="MT469" s="302"/>
      <c r="MU469" s="302"/>
      <c r="MV469" s="302"/>
      <c r="MW469" s="302"/>
      <c r="MX469" s="302"/>
      <c r="MY469" s="1682">
        <f t="shared" si="122"/>
        <v>0</v>
      </c>
      <c r="MZ469" s="770"/>
      <c r="NA469" s="770"/>
      <c r="NB469" s="770"/>
      <c r="NC469" s="770"/>
      <c r="ND469" s="770"/>
      <c r="NE469" s="770"/>
      <c r="NF469" s="770"/>
      <c r="NG469" s="770"/>
      <c r="NH469" s="770"/>
      <c r="NI469" s="770"/>
      <c r="NJ469" s="770"/>
      <c r="NK469" s="770"/>
      <c r="NL469" s="770"/>
      <c r="NM469" s="770"/>
      <c r="NN469" s="770"/>
      <c r="NO469" s="770"/>
      <c r="NP469" s="770"/>
      <c r="NQ469" s="770"/>
      <c r="NR469" s="770"/>
      <c r="NS469" s="770"/>
      <c r="NT469" s="770"/>
      <c r="NU469" s="770"/>
      <c r="NV469" s="770"/>
      <c r="NW469" s="770"/>
      <c r="NX469" s="770"/>
      <c r="NY469" s="770"/>
      <c r="NZ469" s="770"/>
      <c r="OA469" s="770"/>
      <c r="OB469" s="770"/>
      <c r="OC469" s="770"/>
      <c r="OD469" s="770"/>
      <c r="OE469" s="770"/>
      <c r="OF469" s="770"/>
      <c r="OG469" s="770"/>
      <c r="OH469" s="770"/>
      <c r="OI469" s="770"/>
      <c r="OJ469" s="770"/>
      <c r="OK469" s="770"/>
      <c r="OL469" s="770"/>
      <c r="OM469" s="770"/>
      <c r="ON469" s="770"/>
      <c r="OO469" s="770"/>
      <c r="OP469" s="770"/>
      <c r="OQ469" s="770"/>
      <c r="OR469" s="770"/>
      <c r="OS469" s="770"/>
      <c r="OT469" s="770"/>
      <c r="OU469" s="770"/>
      <c r="OV469" s="770"/>
      <c r="OW469" s="770"/>
      <c r="OX469" s="770"/>
      <c r="OY469" s="770"/>
      <c r="OZ469" s="770"/>
      <c r="PA469" s="770"/>
      <c r="PB469" s="770"/>
      <c r="PC469" s="770"/>
      <c r="PD469" s="770"/>
      <c r="PE469" s="770"/>
      <c r="PF469" s="770"/>
      <c r="PG469" s="770"/>
      <c r="PH469" s="770"/>
      <c r="PI469" s="770"/>
      <c r="PJ469" s="770"/>
      <c r="PK469" s="770"/>
      <c r="PL469" s="770"/>
      <c r="PM469" s="770"/>
      <c r="PN469" s="770"/>
      <c r="PO469" s="770"/>
      <c r="PP469" s="770"/>
      <c r="PQ469" s="770"/>
      <c r="PR469" s="770"/>
      <c r="PS469" s="770"/>
      <c r="PT469" s="770"/>
      <c r="PU469" s="770"/>
      <c r="PV469" s="770"/>
      <c r="PW469" s="770"/>
      <c r="PX469" s="770"/>
      <c r="PY469" s="770"/>
      <c r="PZ469" s="770"/>
      <c r="QA469" s="770"/>
      <c r="QB469" s="770"/>
      <c r="QC469" s="770"/>
      <c r="QD469" s="770"/>
      <c r="QE469" s="770"/>
      <c r="QF469" s="770"/>
      <c r="QG469" s="770"/>
      <c r="QH469" s="770"/>
      <c r="QI469" s="770"/>
      <c r="QJ469" s="770"/>
      <c r="QK469" s="770"/>
      <c r="QL469" s="770"/>
      <c r="QM469" s="770"/>
      <c r="QN469" s="770"/>
      <c r="QO469" s="770"/>
      <c r="QP469" s="770"/>
      <c r="QQ469" s="770"/>
      <c r="QR469" s="770"/>
      <c r="QS469" s="770"/>
      <c r="QT469" s="770"/>
      <c r="QU469" s="770"/>
      <c r="QV469" s="770"/>
      <c r="QW469" s="770"/>
      <c r="QX469" s="770"/>
      <c r="QY469" s="770"/>
      <c r="QZ469" s="770"/>
      <c r="RA469" s="770"/>
      <c r="RB469" s="770"/>
      <c r="RC469" s="770"/>
      <c r="RD469" s="770"/>
      <c r="RE469" s="770"/>
      <c r="RF469" s="304"/>
      <c r="RG469" s="770"/>
      <c r="RH469" s="302"/>
      <c r="RI469" s="770"/>
      <c r="RJ469" s="770" t="s">
        <v>13619</v>
      </c>
      <c r="RK469" s="770" t="s">
        <v>13544</v>
      </c>
      <c r="RL469" s="1710"/>
      <c r="RM469" s="12"/>
      <c r="RN469" s="1711"/>
      <c r="RO469" s="133" t="s">
        <v>2635</v>
      </c>
      <c r="RP469" s="11"/>
      <c r="RQ469" s="11"/>
      <c r="RR469" s="17"/>
      <c r="RS469" s="767"/>
      <c r="RT469" s="11"/>
      <c r="RU469" s="11"/>
      <c r="RV469" s="771" t="s">
        <v>7421</v>
      </c>
      <c r="RW469" s="11" t="s">
        <v>7762</v>
      </c>
      <c r="RX469" s="11" t="s">
        <v>2619</v>
      </c>
      <c r="RY469" s="11"/>
      <c r="RZ469" s="11" t="s">
        <v>1101</v>
      </c>
      <c r="SA469" s="771"/>
      <c r="SB469" s="11"/>
      <c r="SC469" s="11"/>
    </row>
    <row r="470" spans="1:497" ht="12.75" customHeight="1">
      <c r="A470" s="755" t="s">
        <v>7421</v>
      </c>
      <c r="B470" s="752" t="s">
        <v>7765</v>
      </c>
      <c r="C470" s="132" t="s">
        <v>2640</v>
      </c>
      <c r="D470" s="94" t="s">
        <v>2641</v>
      </c>
      <c r="E470" s="770" t="s">
        <v>2621</v>
      </c>
      <c r="F470" s="770" t="s">
        <v>20</v>
      </c>
      <c r="G470" s="770" t="s">
        <v>18</v>
      </c>
      <c r="H470" s="770"/>
      <c r="I470" s="295" t="s">
        <v>2642</v>
      </c>
      <c r="J470" s="94" t="s">
        <v>2643</v>
      </c>
      <c r="K470" s="766" t="s">
        <v>2644</v>
      </c>
      <c r="L470" s="766" t="s">
        <v>2645</v>
      </c>
      <c r="M470" s="770" t="s">
        <v>1238</v>
      </c>
      <c r="N470" s="770"/>
      <c r="O470" s="770" t="s">
        <v>2604</v>
      </c>
      <c r="P470" s="94" t="s">
        <v>2646</v>
      </c>
      <c r="Q470" s="1088">
        <v>30167</v>
      </c>
      <c r="R470" s="297">
        <v>34</v>
      </c>
      <c r="S470" s="770" t="s">
        <v>10</v>
      </c>
      <c r="T470" s="770"/>
      <c r="U470" s="295" t="s">
        <v>2642</v>
      </c>
      <c r="V470" s="770"/>
      <c r="W470" s="770"/>
      <c r="X470" s="770"/>
      <c r="Y470" s="770" t="s">
        <v>2621</v>
      </c>
      <c r="Z470" s="770" t="s">
        <v>708</v>
      </c>
      <c r="AA470" s="770" t="s">
        <v>732</v>
      </c>
      <c r="AB470" s="770" t="s">
        <v>7275</v>
      </c>
      <c r="AC470" s="770" t="s">
        <v>724</v>
      </c>
      <c r="AD470" s="770"/>
      <c r="AE470" s="770"/>
      <c r="AF470" s="770"/>
      <c r="AG470" s="766" t="s">
        <v>1132</v>
      </c>
      <c r="AH470" s="766" t="s">
        <v>1096</v>
      </c>
      <c r="AI470" s="770"/>
      <c r="AJ470" s="770" t="s">
        <v>1137</v>
      </c>
      <c r="AK470" s="770" t="s">
        <v>1101</v>
      </c>
      <c r="AL470" s="531">
        <v>27.73</v>
      </c>
      <c r="AM470" s="780">
        <f>2.85*4.15</f>
        <v>11.827500000000001</v>
      </c>
      <c r="AN470" s="532">
        <f t="shared" si="124"/>
        <v>0.42652362062747928</v>
      </c>
      <c r="AO470" s="766" t="s">
        <v>1098</v>
      </c>
      <c r="AP470" s="766"/>
      <c r="AQ470" s="766"/>
      <c r="AR470" s="766"/>
      <c r="AS470" s="770"/>
      <c r="AT470" s="770"/>
      <c r="AU470" s="770"/>
      <c r="AV470" s="770"/>
      <c r="AW470" s="770"/>
      <c r="AX470" s="770"/>
      <c r="AY470" s="770"/>
      <c r="AZ470" s="770"/>
      <c r="BA470" s="770"/>
      <c r="BB470" s="770"/>
      <c r="BC470" s="770"/>
      <c r="BD470" s="770"/>
      <c r="BE470" s="770"/>
      <c r="BF470" s="302"/>
      <c r="BG470" s="302"/>
      <c r="BH470" s="770"/>
      <c r="BI470" s="770"/>
      <c r="BJ470" s="770"/>
      <c r="BK470" s="770" t="s">
        <v>1095</v>
      </c>
      <c r="BL470" s="770" t="s">
        <v>2647</v>
      </c>
      <c r="BM470" s="766" t="s">
        <v>1096</v>
      </c>
      <c r="BN470" s="770" t="s">
        <v>1230</v>
      </c>
      <c r="BO470" s="766" t="s">
        <v>1246</v>
      </c>
      <c r="BP470" s="1109">
        <v>61.73</v>
      </c>
      <c r="BQ470" s="780">
        <f>2.85*4.15</f>
        <v>11.827500000000001</v>
      </c>
      <c r="BR470" s="774">
        <f>BQ470/BP470</f>
        <v>0.19160051838652198</v>
      </c>
      <c r="BS470" s="766" t="s">
        <v>1242</v>
      </c>
      <c r="BT470" s="766" t="s">
        <v>1326</v>
      </c>
      <c r="BU470" s="769"/>
      <c r="BV470" s="769"/>
      <c r="BW470" s="769"/>
      <c r="BX470" s="302"/>
      <c r="BY470" s="770"/>
      <c r="BZ470" s="302"/>
      <c r="CA470" s="770"/>
      <c r="CB470" s="770" t="s">
        <v>1207</v>
      </c>
      <c r="CC470" s="770" t="s">
        <v>2647</v>
      </c>
      <c r="CD470" s="770">
        <v>2012</v>
      </c>
      <c r="CE470" s="770"/>
      <c r="CF470" s="1753">
        <v>2</v>
      </c>
      <c r="CG470" s="1754">
        <v>9.85</v>
      </c>
      <c r="CH470" s="770" t="s">
        <v>2563</v>
      </c>
      <c r="CI470" s="770"/>
      <c r="CJ470" s="770" t="s">
        <v>2563</v>
      </c>
      <c r="CK470" s="770">
        <v>5</v>
      </c>
      <c r="CL470" s="770"/>
      <c r="CM470" s="770" t="s">
        <v>3755</v>
      </c>
      <c r="CN470" s="770"/>
      <c r="CO470" s="770" t="s">
        <v>1257</v>
      </c>
      <c r="CP470" s="770"/>
      <c r="CQ470" s="770"/>
      <c r="CR470" s="302"/>
      <c r="CS470" s="770"/>
      <c r="CT470" s="770"/>
      <c r="CU470" s="305"/>
      <c r="CV470" s="770"/>
      <c r="CW470" s="770"/>
      <c r="CX470" s="770"/>
      <c r="CY470" s="770"/>
      <c r="CZ470" s="770"/>
      <c r="DA470" s="306"/>
      <c r="DB470" s="770"/>
      <c r="DC470" s="770"/>
      <c r="DD470" s="770"/>
      <c r="DE470" s="300"/>
      <c r="DF470" s="770"/>
      <c r="DG470" s="770"/>
      <c r="DH470" s="770"/>
      <c r="DI470" s="770"/>
      <c r="DJ470" s="770"/>
      <c r="DK470" s="770"/>
      <c r="DL470" s="770"/>
      <c r="DM470" s="770"/>
      <c r="DN470" s="322"/>
      <c r="DO470" s="770"/>
      <c r="DP470" s="770"/>
      <c r="DQ470" s="770"/>
      <c r="DR470" s="770"/>
      <c r="DS470" s="307"/>
      <c r="DT470" s="770"/>
      <c r="DU470" s="770"/>
      <c r="DV470" s="770"/>
      <c r="DW470" s="306"/>
      <c r="DX470" s="306"/>
      <c r="DY470" s="770"/>
      <c r="DZ470" s="770"/>
      <c r="EA470" s="770"/>
      <c r="EB470" s="770"/>
      <c r="EC470" s="770"/>
      <c r="ED470" s="770"/>
      <c r="EE470" s="770"/>
      <c r="EF470" s="770"/>
      <c r="EG470" s="770"/>
      <c r="EH470" s="770"/>
      <c r="EI470" s="770"/>
      <c r="EJ470" s="770"/>
      <c r="EK470" s="770"/>
      <c r="EL470" s="770"/>
      <c r="EM470" s="770"/>
      <c r="EN470" s="770"/>
      <c r="EO470" s="770"/>
      <c r="EP470" s="94"/>
      <c r="EQ470" s="770"/>
      <c r="ER470" s="770"/>
      <c r="ES470" s="770"/>
      <c r="ET470" s="770"/>
      <c r="EU470" s="770"/>
      <c r="EV470" s="770"/>
      <c r="EW470" s="770"/>
      <c r="EX470" s="770"/>
      <c r="EY470" s="770"/>
      <c r="EZ470" s="770"/>
      <c r="FA470" s="770"/>
      <c r="FB470" s="770"/>
      <c r="FC470" s="770"/>
      <c r="FD470" s="302"/>
      <c r="FE470" s="770"/>
      <c r="FF470" s="770"/>
      <c r="FG470" s="770"/>
      <c r="FH470" s="770"/>
      <c r="FI470" s="770"/>
      <c r="FJ470" s="770"/>
      <c r="FK470" s="770"/>
      <c r="FL470" s="770"/>
      <c r="FM470" s="302"/>
      <c r="FN470" s="302"/>
      <c r="FO470" s="302"/>
      <c r="FP470" s="766" t="s">
        <v>1600</v>
      </c>
      <c r="FQ470" s="766" t="s">
        <v>1642</v>
      </c>
      <c r="FR470" s="770" t="s">
        <v>1214</v>
      </c>
      <c r="FS470" s="770"/>
      <c r="FT470" s="770"/>
      <c r="FU470" s="770"/>
      <c r="FV470" s="770"/>
      <c r="FW470" s="770"/>
      <c r="FX470" s="770"/>
      <c r="FY470" s="770"/>
      <c r="FZ470" s="770"/>
      <c r="GA470" s="770"/>
      <c r="GB470" s="770"/>
      <c r="GC470" s="308"/>
      <c r="GD470" s="297"/>
      <c r="GE470" s="770"/>
      <c r="GF470" s="302"/>
      <c r="GG470" s="302"/>
      <c r="GH470" s="770"/>
      <c r="GI470" s="770"/>
      <c r="GJ470" s="770"/>
      <c r="GK470" s="770"/>
      <c r="GL470" s="770"/>
      <c r="GM470" s="770"/>
      <c r="GN470" s="299"/>
      <c r="GO470" s="770"/>
      <c r="GP470" s="770"/>
      <c r="GQ470" s="770"/>
      <c r="GR470" s="770"/>
      <c r="GS470" s="770"/>
      <c r="GT470" s="770"/>
      <c r="GU470" s="770"/>
      <c r="GV470" s="770"/>
      <c r="GW470" s="770"/>
      <c r="GX470" s="770"/>
      <c r="GY470" s="770"/>
      <c r="GZ470" s="770"/>
      <c r="HA470" s="770"/>
      <c r="HB470" s="770"/>
      <c r="HC470" s="770"/>
      <c r="HD470" s="770"/>
      <c r="HE470" s="770"/>
      <c r="HF470" s="770"/>
      <c r="HG470" s="770"/>
      <c r="HH470" s="770"/>
      <c r="HI470" s="770"/>
      <c r="HJ470" s="770"/>
      <c r="HK470" s="770"/>
      <c r="HL470" s="770"/>
      <c r="HM470" s="770"/>
      <c r="HN470" s="770"/>
      <c r="HO470" s="770"/>
      <c r="HP470" s="770"/>
      <c r="HQ470" s="770"/>
      <c r="HR470" s="770"/>
      <c r="HS470" s="770"/>
      <c r="HT470" s="770"/>
      <c r="HU470" s="770"/>
      <c r="HV470" s="770"/>
      <c r="HW470" s="770"/>
      <c r="HX470" s="770"/>
      <c r="HY470" s="770"/>
      <c r="HZ470" s="770"/>
      <c r="IA470" s="770"/>
      <c r="IB470" s="14" t="e">
        <f>IF(#REF!&gt;0,IF(#REF!&lt;=10000,"Y",""),"")</f>
        <v>#REF!</v>
      </c>
      <c r="IC470" s="770"/>
      <c r="ID470" s="770"/>
      <c r="IE470" s="770"/>
      <c r="IF470" s="770"/>
      <c r="IG470" s="770"/>
      <c r="IH470" s="770"/>
      <c r="II470" s="770"/>
      <c r="IJ470" s="770"/>
      <c r="IK470" s="770"/>
      <c r="IL470" s="770"/>
      <c r="IM470" s="770"/>
      <c r="IN470" s="770"/>
      <c r="IO470" s="296"/>
      <c r="IP470" s="770"/>
      <c r="IQ470" s="770"/>
      <c r="IR470" s="770"/>
      <c r="IS470" s="770"/>
      <c r="IT470" s="770"/>
      <c r="IU470" s="770"/>
      <c r="IV470" s="770"/>
      <c r="IW470" s="770"/>
      <c r="IX470" s="770"/>
      <c r="IY470" s="770"/>
      <c r="IZ470" s="770"/>
      <c r="JA470" s="770"/>
      <c r="JB470" s="770"/>
      <c r="JC470" s="770"/>
      <c r="JD470" s="302"/>
      <c r="JE470" s="770"/>
      <c r="JF470" s="770"/>
      <c r="JG470" s="770"/>
      <c r="JH470" s="307"/>
      <c r="JI470" s="307"/>
      <c r="JJ470" s="770">
        <v>12</v>
      </c>
      <c r="JK470" s="1139" t="s">
        <v>3751</v>
      </c>
      <c r="JL470" s="770">
        <v>1</v>
      </c>
      <c r="JM470" s="770">
        <v>4</v>
      </c>
      <c r="JN470" s="770">
        <v>5</v>
      </c>
      <c r="JO470" s="770">
        <v>2</v>
      </c>
      <c r="JP470" s="770"/>
      <c r="JQ470" s="770"/>
      <c r="JR470" s="770"/>
      <c r="JS470" s="770"/>
      <c r="JT470" s="766">
        <f>SUM(JP470,JN470,JL470,JR470)</f>
        <v>6</v>
      </c>
      <c r="JU470" s="766">
        <f>SUM(JQ470,JO470,JM470,JS470)</f>
        <v>6</v>
      </c>
      <c r="JV470" s="712" t="str">
        <f>IF(JT470=KJ470,"ok","male")</f>
        <v>ok</v>
      </c>
      <c r="JW470" s="712" t="str">
        <f>IF(JU470=KK470,"ok","female")</f>
        <v>ok</v>
      </c>
      <c r="JX470" s="770">
        <v>1</v>
      </c>
      <c r="JY470" s="770">
        <v>2</v>
      </c>
      <c r="JZ470" s="770"/>
      <c r="KA470" s="770">
        <v>2</v>
      </c>
      <c r="KB470" s="770">
        <v>2</v>
      </c>
      <c r="KC470" s="770">
        <v>1</v>
      </c>
      <c r="KD470" s="770">
        <v>3</v>
      </c>
      <c r="KE470" s="770">
        <v>1</v>
      </c>
      <c r="KF470" s="770"/>
      <c r="KG470" s="770"/>
      <c r="KH470" s="770"/>
      <c r="KI470" s="770"/>
      <c r="KJ470" s="770">
        <f t="shared" si="126"/>
        <v>6</v>
      </c>
      <c r="KK470" s="770">
        <f t="shared" si="126"/>
        <v>6</v>
      </c>
      <c r="KL470" s="712" t="str">
        <f>IF(KJ470=LN470,"ok","male")</f>
        <v>ok</v>
      </c>
      <c r="KM470" s="712" t="str">
        <f>IF(KK470=LO470,"ok","female")</f>
        <v>ok</v>
      </c>
      <c r="KN470" s="770" t="s">
        <v>707</v>
      </c>
      <c r="KO470" s="770"/>
      <c r="KP470" s="770"/>
      <c r="KQ470" s="770"/>
      <c r="KR470" s="770">
        <v>1</v>
      </c>
      <c r="KS470" s="770">
        <v>1</v>
      </c>
      <c r="KT470" s="770"/>
      <c r="KU470" s="770">
        <v>2</v>
      </c>
      <c r="KV470" s="770"/>
      <c r="KW470" s="770">
        <v>1</v>
      </c>
      <c r="KX470" s="770"/>
      <c r="KY470" s="770"/>
      <c r="KZ470" s="770">
        <v>5</v>
      </c>
      <c r="LA470" s="770">
        <v>1</v>
      </c>
      <c r="LB470" s="770"/>
      <c r="LC470" s="770"/>
      <c r="LD470" s="770"/>
      <c r="LE470" s="770"/>
      <c r="LF470" s="770"/>
      <c r="LG470" s="770"/>
      <c r="LH470" s="770"/>
      <c r="LI470" s="770"/>
      <c r="LJ470" s="770"/>
      <c r="LK470" s="770">
        <v>1</v>
      </c>
      <c r="LL470" s="770"/>
      <c r="LM470" s="770"/>
      <c r="LN470" s="766">
        <f t="shared" si="111"/>
        <v>6</v>
      </c>
      <c r="LO470" s="766">
        <f t="shared" si="111"/>
        <v>6</v>
      </c>
      <c r="LP470" s="770">
        <v>4</v>
      </c>
      <c r="LQ470" s="770"/>
      <c r="LR470" s="770">
        <v>1</v>
      </c>
      <c r="LS470" s="770">
        <v>3</v>
      </c>
      <c r="LT470" s="712" t="str">
        <f>IF(LQ470=SUM(LU470:LW470),"OK","REV")</f>
        <v>OK</v>
      </c>
      <c r="LU470" s="770"/>
      <c r="LV470" s="770"/>
      <c r="LW470" s="770"/>
      <c r="LX470" s="769">
        <v>2</v>
      </c>
      <c r="LY470" s="766" t="str">
        <f t="shared" si="119"/>
        <v>within the MUNICIPALITY</v>
      </c>
      <c r="LZ470" s="1709"/>
      <c r="MA470" s="1709">
        <v>900</v>
      </c>
      <c r="MB470" s="1709">
        <f>SUM(720,720,720)</f>
        <v>2160</v>
      </c>
      <c r="MC470" s="1679">
        <f t="shared" si="110"/>
        <v>3060</v>
      </c>
      <c r="MD470" s="1709"/>
      <c r="ME470" s="1709">
        <v>12000</v>
      </c>
      <c r="MF470" s="1709">
        <f>SUM(10500,10500,10500)</f>
        <v>31500</v>
      </c>
      <c r="MG470" s="1680">
        <f>SUM(MD470:MF470)</f>
        <v>43500</v>
      </c>
      <c r="MH470" s="770" t="s">
        <v>2968</v>
      </c>
      <c r="MI470" s="302">
        <v>1000</v>
      </c>
      <c r="MJ470" s="302">
        <v>900</v>
      </c>
      <c r="MK470" s="302">
        <v>333</v>
      </c>
      <c r="ML470" s="302">
        <v>1000</v>
      </c>
      <c r="MM470" s="302">
        <v>167</v>
      </c>
      <c r="MN470" s="302">
        <v>2500</v>
      </c>
      <c r="MO470" s="302">
        <v>9000</v>
      </c>
      <c r="MP470" s="302">
        <v>2400</v>
      </c>
      <c r="MQ470" s="302">
        <v>600</v>
      </c>
      <c r="MR470" s="302">
        <v>700</v>
      </c>
      <c r="MS470" s="302">
        <v>3000</v>
      </c>
      <c r="MT470" s="302"/>
      <c r="MU470" s="302"/>
      <c r="MV470" s="302"/>
      <c r="MW470" s="302"/>
      <c r="MX470" s="302"/>
      <c r="MY470" s="1682">
        <f t="shared" si="122"/>
        <v>21600</v>
      </c>
      <c r="MZ470" s="770" t="s">
        <v>13214</v>
      </c>
      <c r="NA470" s="770" t="s">
        <v>13005</v>
      </c>
      <c r="NB470" s="770" t="s">
        <v>13016</v>
      </c>
      <c r="NC470" s="770" t="s">
        <v>13602</v>
      </c>
      <c r="ND470" s="770">
        <v>0</v>
      </c>
      <c r="NE470" s="770">
        <v>0</v>
      </c>
      <c r="NF470" s="770">
        <v>0</v>
      </c>
      <c r="NG470" s="770">
        <v>1</v>
      </c>
      <c r="NH470" s="770">
        <v>1</v>
      </c>
      <c r="NI470" s="770">
        <v>0</v>
      </c>
      <c r="NJ470" s="770">
        <v>1</v>
      </c>
      <c r="NK470" s="770">
        <v>0</v>
      </c>
      <c r="NL470" s="770">
        <v>0</v>
      </c>
      <c r="NM470" s="770">
        <v>0</v>
      </c>
      <c r="NN470" s="770">
        <v>0</v>
      </c>
      <c r="NO470" s="770">
        <v>0</v>
      </c>
      <c r="NP470" s="770">
        <v>0</v>
      </c>
      <c r="NQ470" s="770">
        <v>0</v>
      </c>
      <c r="NR470" s="770">
        <v>0</v>
      </c>
      <c r="NS470" s="770">
        <v>0</v>
      </c>
      <c r="NT470" s="770">
        <v>0</v>
      </c>
      <c r="NU470" s="770">
        <v>0</v>
      </c>
      <c r="NV470" s="770">
        <v>0</v>
      </c>
      <c r="NW470" s="770">
        <v>0</v>
      </c>
      <c r="NX470" s="770">
        <v>0</v>
      </c>
      <c r="NY470" s="770" t="s">
        <v>1208</v>
      </c>
      <c r="NZ470" s="770" t="s">
        <v>1208</v>
      </c>
      <c r="OA470" s="770" t="s">
        <v>1208</v>
      </c>
      <c r="OB470" s="770"/>
      <c r="OC470" s="770" t="s">
        <v>1208</v>
      </c>
      <c r="OD470" s="770"/>
      <c r="OE470" s="770"/>
      <c r="OF470" s="770"/>
      <c r="OG470" s="770"/>
      <c r="OH470" s="770"/>
      <c r="OI470" s="770"/>
      <c r="OJ470" s="770"/>
      <c r="OK470" s="770"/>
      <c r="OL470" s="770"/>
      <c r="OM470" s="770"/>
      <c r="ON470" s="770"/>
      <c r="OO470" s="770"/>
      <c r="OP470" s="770"/>
      <c r="OQ470" s="770"/>
      <c r="OR470" s="770"/>
      <c r="OS470" s="770"/>
      <c r="OT470" s="770"/>
      <c r="OU470" s="770"/>
      <c r="OV470" s="770"/>
      <c r="OW470" s="770"/>
      <c r="OX470" s="770"/>
      <c r="OY470" s="770"/>
      <c r="OZ470" s="770"/>
      <c r="PA470" s="770"/>
      <c r="PB470" s="770"/>
      <c r="PC470" s="770"/>
      <c r="PD470" s="770"/>
      <c r="PE470" s="770"/>
      <c r="PF470" s="770"/>
      <c r="PG470" s="770"/>
      <c r="PH470" s="770" t="s">
        <v>1208</v>
      </c>
      <c r="PI470" s="770"/>
      <c r="PJ470" s="770"/>
      <c r="PK470" s="770" t="s">
        <v>1208</v>
      </c>
      <c r="PL470" s="770"/>
      <c r="PM470" s="770"/>
      <c r="PN470" s="770"/>
      <c r="PO470" s="770"/>
      <c r="PP470" s="770"/>
      <c r="PQ470" s="770"/>
      <c r="PR470" s="770"/>
      <c r="PS470" s="770"/>
      <c r="PT470" s="770" t="s">
        <v>1208</v>
      </c>
      <c r="PU470" s="770"/>
      <c r="PV470" s="770"/>
      <c r="PW470" s="770"/>
      <c r="PX470" s="770"/>
      <c r="PY470" s="770"/>
      <c r="PZ470" s="770"/>
      <c r="QA470" s="770"/>
      <c r="QB470" s="770"/>
      <c r="QC470" s="770"/>
      <c r="QD470" s="770"/>
      <c r="QE470" s="770"/>
      <c r="QF470" s="770"/>
      <c r="QG470" s="770"/>
      <c r="QH470" s="770"/>
      <c r="QI470" s="770"/>
      <c r="QJ470" s="770"/>
      <c r="QK470" s="770"/>
      <c r="QL470" s="770"/>
      <c r="QM470" s="770"/>
      <c r="QN470" s="770"/>
      <c r="QO470" s="770"/>
      <c r="QP470" s="770"/>
      <c r="QQ470" s="770"/>
      <c r="QR470" s="770"/>
      <c r="QS470" s="770"/>
      <c r="QT470" s="770"/>
      <c r="QU470" s="770"/>
      <c r="QV470" s="770"/>
      <c r="QW470" s="770"/>
      <c r="QX470" s="770"/>
      <c r="QY470" s="770"/>
      <c r="QZ470" s="770"/>
      <c r="RA470" s="770"/>
      <c r="RB470" s="770" t="s">
        <v>1207</v>
      </c>
      <c r="RC470" s="770">
        <v>2016</v>
      </c>
      <c r="RD470" s="770"/>
      <c r="RE470" s="770" t="s">
        <v>12999</v>
      </c>
      <c r="RF470" s="304">
        <v>0.5</v>
      </c>
      <c r="RG470" s="770"/>
      <c r="RH470" s="302">
        <v>150</v>
      </c>
      <c r="RI470" s="770">
        <v>3</v>
      </c>
      <c r="RJ470" s="770" t="s">
        <v>13620</v>
      </c>
      <c r="RK470" s="770" t="s">
        <v>13552</v>
      </c>
      <c r="RL470" s="1710"/>
      <c r="RM470" s="12"/>
      <c r="RN470" s="1711"/>
      <c r="RO470" s="132" t="s">
        <v>2640</v>
      </c>
      <c r="RP470" s="11"/>
      <c r="RQ470" s="11"/>
      <c r="RR470" s="755" t="s">
        <v>7421</v>
      </c>
      <c r="RS470" s="1139" t="s">
        <v>12980</v>
      </c>
      <c r="RT470" s="11"/>
      <c r="RU470" s="11"/>
      <c r="RV470" s="771" t="s">
        <v>7421</v>
      </c>
      <c r="RW470" s="11" t="s">
        <v>7761</v>
      </c>
      <c r="RX470" s="11" t="s">
        <v>2628</v>
      </c>
      <c r="RY470" s="11"/>
      <c r="RZ470" s="11" t="s">
        <v>1101</v>
      </c>
      <c r="SA470" s="771"/>
      <c r="SB470" s="11"/>
      <c r="SC470" s="11"/>
    </row>
    <row r="471" spans="1:497" ht="12.75" customHeight="1">
      <c r="A471" s="19" t="s">
        <v>7421</v>
      </c>
      <c r="B471" s="752" t="s">
        <v>7763</v>
      </c>
      <c r="C471" s="132" t="s">
        <v>2649</v>
      </c>
      <c r="D471" s="94" t="s">
        <v>2650</v>
      </c>
      <c r="E471" s="770" t="s">
        <v>2621</v>
      </c>
      <c r="F471" s="770" t="s">
        <v>28</v>
      </c>
      <c r="G471" s="770" t="s">
        <v>18</v>
      </c>
      <c r="H471" s="770"/>
      <c r="I471" s="295" t="s">
        <v>2651</v>
      </c>
      <c r="J471" s="94" t="s">
        <v>2650</v>
      </c>
      <c r="K471" s="766" t="s">
        <v>2652</v>
      </c>
      <c r="L471" s="766" t="s">
        <v>2623</v>
      </c>
      <c r="M471" s="770"/>
      <c r="N471" s="770"/>
      <c r="O471" s="770" t="s">
        <v>2604</v>
      </c>
      <c r="P471" s="94" t="s">
        <v>2653</v>
      </c>
      <c r="Q471" s="1088">
        <v>20480</v>
      </c>
      <c r="R471" s="297">
        <v>61</v>
      </c>
      <c r="S471" s="770" t="s">
        <v>18</v>
      </c>
      <c r="T471" s="770"/>
      <c r="U471" s="295" t="s">
        <v>2651</v>
      </c>
      <c r="V471" s="770" t="s">
        <v>719</v>
      </c>
      <c r="W471" s="770"/>
      <c r="X471" s="770"/>
      <c r="Y471" s="770" t="s">
        <v>2621</v>
      </c>
      <c r="Z471" s="770" t="s">
        <v>708</v>
      </c>
      <c r="AA471" s="770" t="s">
        <v>748</v>
      </c>
      <c r="AB471" s="295" t="s">
        <v>710</v>
      </c>
      <c r="AC471" s="770" t="s">
        <v>724</v>
      </c>
      <c r="AD471" s="770"/>
      <c r="AE471" s="770"/>
      <c r="AF471" s="770" t="s">
        <v>798</v>
      </c>
      <c r="AG471" s="766" t="s">
        <v>1132</v>
      </c>
      <c r="AH471" s="766" t="s">
        <v>1096</v>
      </c>
      <c r="AI471" s="770"/>
      <c r="AJ471" s="770" t="s">
        <v>1137</v>
      </c>
      <c r="AK471" s="770" t="s">
        <v>1101</v>
      </c>
      <c r="AL471" s="531">
        <v>13.01</v>
      </c>
      <c r="AM471" s="780">
        <v>13.01</v>
      </c>
      <c r="AN471" s="532">
        <f t="shared" si="124"/>
        <v>1</v>
      </c>
      <c r="AO471" s="766" t="s">
        <v>1122</v>
      </c>
      <c r="AP471" s="766"/>
      <c r="AQ471" s="766"/>
      <c r="AR471" s="766"/>
      <c r="AS471" s="770"/>
      <c r="AT471" s="770"/>
      <c r="AU471" s="770"/>
      <c r="AV471" s="770"/>
      <c r="AW471" s="770"/>
      <c r="AX471" s="770"/>
      <c r="AY471" s="770"/>
      <c r="AZ471" s="770"/>
      <c r="BA471" s="770"/>
      <c r="BB471" s="770"/>
      <c r="BC471" s="770"/>
      <c r="BD471" s="770"/>
      <c r="BE471" s="770"/>
      <c r="BF471" s="302"/>
      <c r="BG471" s="302"/>
      <c r="BH471" s="770"/>
      <c r="BI471" s="770"/>
      <c r="BJ471" s="770"/>
      <c r="BK471" s="770" t="s">
        <v>1095</v>
      </c>
      <c r="BL471" s="770" t="s">
        <v>2654</v>
      </c>
      <c r="BM471" s="766" t="s">
        <v>1096</v>
      </c>
      <c r="BN471" s="770" t="s">
        <v>1230</v>
      </c>
      <c r="BO471" s="766" t="s">
        <v>1246</v>
      </c>
      <c r="BP471" s="1109">
        <v>13.01</v>
      </c>
      <c r="BQ471" s="780">
        <v>13.01</v>
      </c>
      <c r="BR471" s="774">
        <f>BQ471/BP471</f>
        <v>1</v>
      </c>
      <c r="BS471" s="766" t="s">
        <v>1257</v>
      </c>
      <c r="BT471" s="766" t="s">
        <v>1326</v>
      </c>
      <c r="BU471" s="766" t="s">
        <v>1264</v>
      </c>
      <c r="BV471" s="770" t="s">
        <v>2432</v>
      </c>
      <c r="BW471" s="770">
        <v>2008</v>
      </c>
      <c r="BX471" s="302"/>
      <c r="BY471" s="770"/>
      <c r="BZ471" s="302"/>
      <c r="CA471" s="770"/>
      <c r="CB471" s="770"/>
      <c r="CC471" s="770"/>
      <c r="CD471" s="770"/>
      <c r="CE471" s="770"/>
      <c r="CF471" s="1753"/>
      <c r="CG471" s="1754"/>
      <c r="CH471" s="770"/>
      <c r="CI471" s="770"/>
      <c r="CJ471" s="770"/>
      <c r="CK471" s="770"/>
      <c r="CL471" s="770"/>
      <c r="CM471" s="770"/>
      <c r="CN471" s="770"/>
      <c r="CO471" s="770"/>
      <c r="CP471" s="770"/>
      <c r="CQ471" s="770"/>
      <c r="CR471" s="302"/>
      <c r="CS471" s="770"/>
      <c r="CT471" s="770"/>
      <c r="CU471" s="305"/>
      <c r="CV471" s="770"/>
      <c r="CW471" s="770"/>
      <c r="CX471" s="770"/>
      <c r="CY471" s="770"/>
      <c r="CZ471" s="770"/>
      <c r="DA471" s="306"/>
      <c r="DB471" s="770"/>
      <c r="DC471" s="770"/>
      <c r="DD471" s="770"/>
      <c r="DE471" s="300"/>
      <c r="DF471" s="770"/>
      <c r="DG471" s="770"/>
      <c r="DH471" s="770"/>
      <c r="DI471" s="770"/>
      <c r="DJ471" s="770"/>
      <c r="DK471" s="770"/>
      <c r="DL471" s="770"/>
      <c r="DM471" s="770"/>
      <c r="DN471" s="322"/>
      <c r="DO471" s="770"/>
      <c r="DP471" s="770"/>
      <c r="DQ471" s="770"/>
      <c r="DR471" s="770"/>
      <c r="DS471" s="307"/>
      <c r="DT471" s="770"/>
      <c r="DU471" s="770"/>
      <c r="DV471" s="770"/>
      <c r="DW471" s="306"/>
      <c r="DX471" s="306"/>
      <c r="DY471" s="770"/>
      <c r="DZ471" s="770"/>
      <c r="EA471" s="770"/>
      <c r="EB471" s="770"/>
      <c r="EC471" s="770"/>
      <c r="ED471" s="770"/>
      <c r="EE471" s="770"/>
      <c r="EF471" s="770"/>
      <c r="EG471" s="770"/>
      <c r="EH471" s="770"/>
      <c r="EI471" s="770"/>
      <c r="EJ471" s="770"/>
      <c r="EK471" s="770"/>
      <c r="EL471" s="770"/>
      <c r="EM471" s="770"/>
      <c r="EN471" s="770"/>
      <c r="EO471" s="770"/>
      <c r="EP471" s="94"/>
      <c r="EQ471" s="770"/>
      <c r="ER471" s="770"/>
      <c r="ES471" s="770"/>
      <c r="ET471" s="770"/>
      <c r="EU471" s="770"/>
      <c r="EV471" s="770"/>
      <c r="EW471" s="770"/>
      <c r="EX471" s="770"/>
      <c r="EY471" s="770"/>
      <c r="EZ471" s="770"/>
      <c r="FA471" s="770"/>
      <c r="FB471" s="770"/>
      <c r="FC471" s="770"/>
      <c r="FD471" s="302"/>
      <c r="FE471" s="770"/>
      <c r="FF471" s="770"/>
      <c r="FG471" s="770"/>
      <c r="FH471" s="770" t="s">
        <v>478</v>
      </c>
      <c r="FI471" s="770">
        <v>1</v>
      </c>
      <c r="FJ471" s="770"/>
      <c r="FK471" s="770"/>
      <c r="FL471" s="770"/>
      <c r="FM471" s="302"/>
      <c r="FN471" s="302"/>
      <c r="FO471" s="302"/>
      <c r="FP471" s="766" t="s">
        <v>1602</v>
      </c>
      <c r="FQ471" s="766" t="s">
        <v>1660</v>
      </c>
      <c r="FR471" s="770" t="s">
        <v>1214</v>
      </c>
      <c r="FS471" s="770"/>
      <c r="FT471" s="770"/>
      <c r="FU471" s="770"/>
      <c r="FV471" s="770"/>
      <c r="FW471" s="770"/>
      <c r="FX471" s="770"/>
      <c r="FY471" s="770"/>
      <c r="FZ471" s="770"/>
      <c r="GA471" s="770"/>
      <c r="GB471" s="770" t="s">
        <v>1734</v>
      </c>
      <c r="GC471" s="308"/>
      <c r="GD471" s="297">
        <v>2008</v>
      </c>
      <c r="GE471" s="770" t="s">
        <v>1214</v>
      </c>
      <c r="GF471" s="302"/>
      <c r="GG471" s="302"/>
      <c r="GH471" s="712" t="s">
        <v>14260</v>
      </c>
      <c r="GI471" s="770"/>
      <c r="GJ471" s="770"/>
      <c r="GK471" s="770"/>
      <c r="GL471" s="770"/>
      <c r="GM471" s="770"/>
      <c r="GN471" s="299"/>
      <c r="GO471" s="770"/>
      <c r="GP471" s="770"/>
      <c r="GQ471" s="770"/>
      <c r="GR471" s="770"/>
      <c r="GS471" s="770"/>
      <c r="GT471" s="770"/>
      <c r="GU471" s="770"/>
      <c r="GV471" s="770"/>
      <c r="GW471" s="770"/>
      <c r="GX471" s="770"/>
      <c r="GY471" s="770"/>
      <c r="GZ471" s="770"/>
      <c r="HA471" s="770"/>
      <c r="HB471" s="770"/>
      <c r="HC471" s="770"/>
      <c r="HD471" s="770"/>
      <c r="HE471" s="770"/>
      <c r="HF471" s="770"/>
      <c r="HG471" s="770"/>
      <c r="HH471" s="770"/>
      <c r="HI471" s="770" t="s">
        <v>1214</v>
      </c>
      <c r="HJ471" s="770"/>
      <c r="HK471" s="770"/>
      <c r="HL471" s="770"/>
      <c r="HM471" s="770"/>
      <c r="HN471" s="770"/>
      <c r="HO471" s="770"/>
      <c r="HP471" s="770"/>
      <c r="HQ471" s="770"/>
      <c r="HR471" s="770"/>
      <c r="HS471" s="770"/>
      <c r="HT471" s="770"/>
      <c r="HU471" s="770"/>
      <c r="HV471" s="770"/>
      <c r="HW471" s="770"/>
      <c r="HX471" s="770"/>
      <c r="HY471" s="770"/>
      <c r="HZ471" s="770"/>
      <c r="IA471" s="770"/>
      <c r="IB471" s="14" t="e">
        <f>IF(#REF!&gt;0,IF(#REF!&lt;=10000,"Y",""),"")</f>
        <v>#REF!</v>
      </c>
      <c r="IC471" s="770" t="s">
        <v>1207</v>
      </c>
      <c r="ID471" s="770">
        <v>1</v>
      </c>
      <c r="IE471" s="770"/>
      <c r="IF471" s="770"/>
      <c r="IG471" s="770"/>
      <c r="IH471" s="770"/>
      <c r="II471" s="770"/>
      <c r="IJ471" s="770"/>
      <c r="IK471" s="770"/>
      <c r="IL471" s="770"/>
      <c r="IM471" s="770"/>
      <c r="IN471" s="770"/>
      <c r="IO471" s="296"/>
      <c r="IP471" s="770"/>
      <c r="IQ471" s="770"/>
      <c r="IR471" s="770"/>
      <c r="IS471" s="770"/>
      <c r="IT471" s="770"/>
      <c r="IU471" s="770"/>
      <c r="IV471" s="770"/>
      <c r="IW471" s="770"/>
      <c r="IX471" s="770"/>
      <c r="IY471" s="770"/>
      <c r="IZ471" s="770"/>
      <c r="JA471" s="770"/>
      <c r="JB471" s="770"/>
      <c r="JC471" s="770"/>
      <c r="JD471" s="302"/>
      <c r="JE471" s="770"/>
      <c r="JF471" s="770"/>
      <c r="JG471" s="770"/>
      <c r="JH471" s="307"/>
      <c r="JI471" s="712" t="str">
        <f>IF(SUM(JT471,JU471)=JJ471,"ok","review")</f>
        <v>ok</v>
      </c>
      <c r="JJ471" s="770">
        <v>3</v>
      </c>
      <c r="JK471" s="1139" t="s">
        <v>2654</v>
      </c>
      <c r="JL471" s="770"/>
      <c r="JM471" s="770"/>
      <c r="JN471" s="770">
        <v>1</v>
      </c>
      <c r="JO471" s="770">
        <v>2</v>
      </c>
      <c r="JP471" s="770"/>
      <c r="JQ471" s="770"/>
      <c r="JR471" s="770"/>
      <c r="JS471" s="770"/>
      <c r="JT471" s="766">
        <f>SUM(JP471,JN471,JL471,JR471)</f>
        <v>1</v>
      </c>
      <c r="JU471" s="766">
        <f>SUM(JQ471,JO471,JM471,JS471)</f>
        <v>2</v>
      </c>
      <c r="JV471" s="712" t="str">
        <f>IF(JT471=KJ471,"ok","male")</f>
        <v>ok</v>
      </c>
      <c r="JW471" s="712" t="str">
        <f>IF(JU471=KK471,"ok","female")</f>
        <v>ok</v>
      </c>
      <c r="JX471" s="770"/>
      <c r="JY471" s="770"/>
      <c r="JZ471" s="770"/>
      <c r="KA471" s="770"/>
      <c r="KB471" s="770">
        <v>1</v>
      </c>
      <c r="KC471" s="770">
        <v>1</v>
      </c>
      <c r="KD471" s="770"/>
      <c r="KE471" s="770"/>
      <c r="KF471" s="770"/>
      <c r="KG471" s="770">
        <v>1</v>
      </c>
      <c r="KH471" s="770"/>
      <c r="KI471" s="770"/>
      <c r="KJ471" s="770">
        <f t="shared" si="126"/>
        <v>1</v>
      </c>
      <c r="KK471" s="770">
        <f t="shared" si="126"/>
        <v>2</v>
      </c>
      <c r="KL471" s="712" t="str">
        <f>IF(KJ471=LN471,"ok","male")</f>
        <v>ok</v>
      </c>
      <c r="KM471" s="712" t="str">
        <f>IF(KK471=LO471,"ok","female")</f>
        <v>ok</v>
      </c>
      <c r="KN471" s="770" t="s">
        <v>719</v>
      </c>
      <c r="KO471" s="770"/>
      <c r="KP471" s="770"/>
      <c r="KQ471" s="770"/>
      <c r="KR471" s="770"/>
      <c r="KS471" s="770"/>
      <c r="KT471" s="770"/>
      <c r="KU471" s="770">
        <v>2</v>
      </c>
      <c r="KV471" s="770"/>
      <c r="KW471" s="770"/>
      <c r="KX471" s="770">
        <v>1</v>
      </c>
      <c r="KY471" s="770"/>
      <c r="KZ471" s="770"/>
      <c r="LA471" s="770"/>
      <c r="LB471" s="770"/>
      <c r="LC471" s="770"/>
      <c r="LD471" s="770"/>
      <c r="LE471" s="770"/>
      <c r="LF471" s="770"/>
      <c r="LG471" s="770"/>
      <c r="LH471" s="770"/>
      <c r="LI471" s="770"/>
      <c r="LJ471" s="770"/>
      <c r="LK471" s="770"/>
      <c r="LL471" s="770"/>
      <c r="LM471" s="770"/>
      <c r="LN471" s="766">
        <f t="shared" si="111"/>
        <v>1</v>
      </c>
      <c r="LO471" s="766">
        <f t="shared" si="111"/>
        <v>2</v>
      </c>
      <c r="LP471" s="770">
        <v>1</v>
      </c>
      <c r="LQ471" s="770">
        <v>1</v>
      </c>
      <c r="LR471" s="770"/>
      <c r="LS471" s="770"/>
      <c r="LT471" s="712" t="str">
        <f>IF(LQ471=SUM(LU471:LW471),"OK","REV")</f>
        <v>OK</v>
      </c>
      <c r="LU471" s="770"/>
      <c r="LV471" s="770">
        <v>1</v>
      </c>
      <c r="LW471" s="770"/>
      <c r="LX471" s="769"/>
      <c r="LY471" s="766" t="str">
        <f t="shared" si="119"/>
        <v/>
      </c>
      <c r="LZ471" s="1709">
        <f>34*26</f>
        <v>884</v>
      </c>
      <c r="MA471" s="1709"/>
      <c r="MB471" s="1709"/>
      <c r="MC471" s="1679">
        <f t="shared" si="110"/>
        <v>884</v>
      </c>
      <c r="MD471" s="1709">
        <v>10500</v>
      </c>
      <c r="ME471" s="1709"/>
      <c r="MF471" s="1709"/>
      <c r="MG471" s="1680">
        <f>SUM(MD471:MF471)</f>
        <v>10500</v>
      </c>
      <c r="MH471" s="770" t="s">
        <v>1835</v>
      </c>
      <c r="MI471" s="302">
        <v>9000</v>
      </c>
      <c r="MJ471" s="302">
        <v>300</v>
      </c>
      <c r="MK471" s="302">
        <v>125</v>
      </c>
      <c r="ML471" s="302">
        <v>500</v>
      </c>
      <c r="MM471" s="302">
        <v>60</v>
      </c>
      <c r="MN471" s="302">
        <v>60</v>
      </c>
      <c r="MO471" s="302">
        <v>900</v>
      </c>
      <c r="MP471" s="302">
        <v>500</v>
      </c>
      <c r="MQ471" s="302">
        <v>300</v>
      </c>
      <c r="MR471" s="302">
        <v>300</v>
      </c>
      <c r="MS471" s="302">
        <v>125</v>
      </c>
      <c r="MT471" s="302"/>
      <c r="MU471" s="302"/>
      <c r="MV471" s="302"/>
      <c r="MW471" s="302"/>
      <c r="MX471" s="302"/>
      <c r="MY471" s="1682">
        <f t="shared" si="122"/>
        <v>12170</v>
      </c>
      <c r="MZ471" s="770" t="s">
        <v>13395</v>
      </c>
      <c r="NA471" s="770" t="s">
        <v>13230</v>
      </c>
      <c r="NB471" s="770" t="s">
        <v>13033</v>
      </c>
      <c r="NC471" s="770" t="s">
        <v>1835</v>
      </c>
      <c r="ND471" s="770">
        <v>0</v>
      </c>
      <c r="NE471" s="770">
        <v>0</v>
      </c>
      <c r="NF471" s="770">
        <v>0</v>
      </c>
      <c r="NG471" s="770">
        <v>1</v>
      </c>
      <c r="NH471" s="770">
        <v>0</v>
      </c>
      <c r="NI471" s="770">
        <v>0</v>
      </c>
      <c r="NJ471" s="770">
        <v>0</v>
      </c>
      <c r="NK471" s="770">
        <v>0</v>
      </c>
      <c r="NL471" s="770">
        <v>0</v>
      </c>
      <c r="NM471" s="770">
        <v>0</v>
      </c>
      <c r="NN471" s="770">
        <v>0</v>
      </c>
      <c r="NO471" s="770">
        <v>0</v>
      </c>
      <c r="NP471" s="770">
        <v>0</v>
      </c>
      <c r="NQ471" s="770">
        <v>0</v>
      </c>
      <c r="NR471" s="770">
        <v>0</v>
      </c>
      <c r="NS471" s="770">
        <v>0</v>
      </c>
      <c r="NT471" s="770">
        <v>0</v>
      </c>
      <c r="NU471" s="770">
        <v>0</v>
      </c>
      <c r="NV471" s="770">
        <v>0</v>
      </c>
      <c r="NW471" s="770">
        <v>0</v>
      </c>
      <c r="NX471" s="770">
        <v>0</v>
      </c>
      <c r="NY471" s="770" t="s">
        <v>1208</v>
      </c>
      <c r="NZ471" s="770" t="s">
        <v>1208</v>
      </c>
      <c r="OA471" s="770"/>
      <c r="OB471" s="770" t="s">
        <v>1208</v>
      </c>
      <c r="OC471" s="770" t="s">
        <v>1208</v>
      </c>
      <c r="OD471" s="770"/>
      <c r="OE471" s="770"/>
      <c r="OF471" s="770"/>
      <c r="OG471" s="770"/>
      <c r="OH471" s="770"/>
      <c r="OI471" s="770"/>
      <c r="OJ471" s="770"/>
      <c r="OK471" s="770"/>
      <c r="OL471" s="770"/>
      <c r="OM471" s="770"/>
      <c r="ON471" s="770"/>
      <c r="OO471" s="770"/>
      <c r="OP471" s="770"/>
      <c r="OQ471" s="770"/>
      <c r="OR471" s="770"/>
      <c r="OS471" s="770"/>
      <c r="OT471" s="770"/>
      <c r="OU471" s="770"/>
      <c r="OV471" s="770"/>
      <c r="OW471" s="770"/>
      <c r="OX471" s="770"/>
      <c r="OY471" s="770"/>
      <c r="OZ471" s="770"/>
      <c r="PA471" s="770"/>
      <c r="PB471" s="770"/>
      <c r="PC471" s="770"/>
      <c r="PD471" s="770"/>
      <c r="PE471" s="770"/>
      <c r="PF471" s="770"/>
      <c r="PG471" s="770"/>
      <c r="PH471" s="770" t="s">
        <v>1208</v>
      </c>
      <c r="PI471" s="770"/>
      <c r="PJ471" s="770" t="s">
        <v>1208</v>
      </c>
      <c r="PK471" s="770" t="s">
        <v>1208</v>
      </c>
      <c r="PL471" s="770"/>
      <c r="PM471" s="770"/>
      <c r="PN471" s="770"/>
      <c r="PO471" s="770"/>
      <c r="PP471" s="770"/>
      <c r="PQ471" s="770"/>
      <c r="PR471" s="770"/>
      <c r="PS471" s="770" t="s">
        <v>1208</v>
      </c>
      <c r="PT471" s="770" t="s">
        <v>1208</v>
      </c>
      <c r="PU471" s="770"/>
      <c r="PV471" s="770"/>
      <c r="PW471" s="770"/>
      <c r="PX471" s="770"/>
      <c r="PY471" s="770"/>
      <c r="PZ471" s="770"/>
      <c r="QA471" s="770"/>
      <c r="QB471" s="770"/>
      <c r="QC471" s="770"/>
      <c r="QD471" s="770"/>
      <c r="QE471" s="770"/>
      <c r="QF471" s="770"/>
      <c r="QG471" s="770"/>
      <c r="QH471" s="770"/>
      <c r="QI471" s="770"/>
      <c r="QJ471" s="770"/>
      <c r="QK471" s="770"/>
      <c r="QL471" s="770"/>
      <c r="QM471" s="770"/>
      <c r="QN471" s="770"/>
      <c r="QO471" s="770"/>
      <c r="QP471" s="770"/>
      <c r="QQ471" s="770"/>
      <c r="QR471" s="770"/>
      <c r="QS471" s="770"/>
      <c r="QT471" s="770"/>
      <c r="QU471" s="770"/>
      <c r="QV471" s="770"/>
      <c r="QW471" s="770"/>
      <c r="QX471" s="770"/>
      <c r="QY471" s="770"/>
      <c r="QZ471" s="770"/>
      <c r="RA471" s="770"/>
      <c r="RB471" s="770" t="s">
        <v>1207</v>
      </c>
      <c r="RC471" s="770">
        <v>2014</v>
      </c>
      <c r="RD471" s="770"/>
      <c r="RE471" s="770" t="s">
        <v>12999</v>
      </c>
      <c r="RF471" s="304">
        <v>2</v>
      </c>
      <c r="RG471" s="770" t="s">
        <v>13047</v>
      </c>
      <c r="RH471" s="302">
        <v>500</v>
      </c>
      <c r="RI471" s="770">
        <v>2</v>
      </c>
      <c r="RJ471" s="770" t="s">
        <v>2654</v>
      </c>
      <c r="RK471" s="770" t="s">
        <v>13552</v>
      </c>
      <c r="RL471" s="1710"/>
      <c r="RM471" s="12"/>
      <c r="RN471" s="1711"/>
      <c r="RO471" s="132" t="s">
        <v>2649</v>
      </c>
      <c r="RP471" s="11"/>
      <c r="RQ471" s="11"/>
      <c r="RR471" s="19" t="s">
        <v>7421</v>
      </c>
      <c r="RS471" s="1139" t="s">
        <v>12980</v>
      </c>
      <c r="RT471" s="11"/>
      <c r="RU471" s="11"/>
      <c r="RV471" s="771" t="s">
        <v>7421</v>
      </c>
      <c r="RW471" s="11" t="s">
        <v>7868</v>
      </c>
      <c r="RX471" s="11" t="s">
        <v>2635</v>
      </c>
      <c r="RY471" s="11"/>
      <c r="RZ471" s="11" t="s">
        <v>1101</v>
      </c>
      <c r="SA471" s="771"/>
      <c r="SB471" s="11"/>
      <c r="SC471" s="11"/>
    </row>
    <row r="472" spans="1:497" ht="12.75" customHeight="1">
      <c r="A472" s="19" t="s">
        <v>7421</v>
      </c>
      <c r="B472" s="752" t="s">
        <v>7764</v>
      </c>
      <c r="C472" s="133" t="s">
        <v>2655</v>
      </c>
      <c r="D472" s="94" t="s">
        <v>2656</v>
      </c>
      <c r="E472" s="770" t="s">
        <v>2621</v>
      </c>
      <c r="F472" s="770"/>
      <c r="G472" s="770" t="s">
        <v>18</v>
      </c>
      <c r="H472" s="770"/>
      <c r="I472" s="295"/>
      <c r="J472" s="94" t="s">
        <v>2629</v>
      </c>
      <c r="K472" s="766" t="s">
        <v>2657</v>
      </c>
      <c r="L472" s="766" t="s">
        <v>2658</v>
      </c>
      <c r="M472" s="770"/>
      <c r="N472" s="770"/>
      <c r="O472" s="770"/>
      <c r="P472" s="770"/>
      <c r="Q472" s="1088"/>
      <c r="R472" s="297"/>
      <c r="S472" s="770"/>
      <c r="T472" s="770"/>
      <c r="U472" s="298"/>
      <c r="V472" s="770"/>
      <c r="W472" s="770"/>
      <c r="X472" s="770"/>
      <c r="Y472" s="770"/>
      <c r="Z472" s="770"/>
      <c r="AA472" s="770"/>
      <c r="AB472" s="770"/>
      <c r="AC472" s="770"/>
      <c r="AD472" s="770"/>
      <c r="AE472" s="770"/>
      <c r="AF472" s="770"/>
      <c r="AG472" s="766" t="s">
        <v>1132</v>
      </c>
      <c r="AH472" s="766" t="s">
        <v>1100</v>
      </c>
      <c r="AI472" s="770"/>
      <c r="AJ472" s="770" t="s">
        <v>1137</v>
      </c>
      <c r="AK472" s="770" t="s">
        <v>1101</v>
      </c>
      <c r="AL472" s="531">
        <v>6</v>
      </c>
      <c r="AM472" s="780">
        <v>6</v>
      </c>
      <c r="AN472" s="532">
        <f t="shared" si="124"/>
        <v>1</v>
      </c>
      <c r="AO472" s="766" t="s">
        <v>1122</v>
      </c>
      <c r="AP472" s="766"/>
      <c r="AQ472" s="766"/>
      <c r="AR472" s="766"/>
      <c r="AS472" s="770"/>
      <c r="AT472" s="770"/>
      <c r="AU472" s="770"/>
      <c r="AV472" s="770"/>
      <c r="AW472" s="770"/>
      <c r="AX472" s="770"/>
      <c r="AY472" s="770"/>
      <c r="AZ472" s="770"/>
      <c r="BA472" s="770"/>
      <c r="BB472" s="770"/>
      <c r="BC472" s="770"/>
      <c r="BD472" s="770"/>
      <c r="BE472" s="770"/>
      <c r="BF472" s="302"/>
      <c r="BG472" s="302"/>
      <c r="BH472" s="770"/>
      <c r="BI472" s="770"/>
      <c r="BJ472" s="770"/>
      <c r="BK472" s="770"/>
      <c r="BL472" s="770"/>
      <c r="BM472" s="770"/>
      <c r="BN472" s="770"/>
      <c r="BO472" s="770"/>
      <c r="BP472" s="1109"/>
      <c r="BQ472" s="773"/>
      <c r="BR472" s="774"/>
      <c r="BS472" s="766"/>
      <c r="BT472" s="770"/>
      <c r="BU472" s="770"/>
      <c r="BV472" s="770"/>
      <c r="BW472" s="770"/>
      <c r="BX472" s="302"/>
      <c r="BY472" s="770"/>
      <c r="BZ472" s="302"/>
      <c r="CA472" s="770"/>
      <c r="CB472" s="770" t="s">
        <v>1207</v>
      </c>
      <c r="CC472" s="770"/>
      <c r="CD472" s="770"/>
      <c r="CE472" s="770"/>
      <c r="CF472" s="1753"/>
      <c r="CG472" s="1754"/>
      <c r="CH472" s="770"/>
      <c r="CI472" s="770"/>
      <c r="CJ472" s="770"/>
      <c r="CK472" s="770"/>
      <c r="CL472" s="770"/>
      <c r="CM472" s="770"/>
      <c r="CN472" s="770"/>
      <c r="CO472" s="770"/>
      <c r="CP472" s="770"/>
      <c r="CQ472" s="770"/>
      <c r="CR472" s="302"/>
      <c r="CS472" s="770"/>
      <c r="CT472" s="770"/>
      <c r="CU472" s="305"/>
      <c r="CV472" s="770"/>
      <c r="CW472" s="770"/>
      <c r="CX472" s="770"/>
      <c r="CY472" s="770"/>
      <c r="CZ472" s="770"/>
      <c r="DA472" s="306"/>
      <c r="DB472" s="770"/>
      <c r="DC472" s="770"/>
      <c r="DD472" s="770"/>
      <c r="DE472" s="300"/>
      <c r="DF472" s="770"/>
      <c r="DG472" s="770"/>
      <c r="DH472" s="770"/>
      <c r="DI472" s="770"/>
      <c r="DJ472" s="770"/>
      <c r="DK472" s="770"/>
      <c r="DL472" s="770"/>
      <c r="DM472" s="770"/>
      <c r="DN472" s="322"/>
      <c r="DO472" s="770"/>
      <c r="DP472" s="770"/>
      <c r="DQ472" s="770"/>
      <c r="DR472" s="770"/>
      <c r="DS472" s="307"/>
      <c r="DT472" s="770"/>
      <c r="DU472" s="770"/>
      <c r="DV472" s="770"/>
      <c r="DW472" s="306"/>
      <c r="DX472" s="306"/>
      <c r="DY472" s="770"/>
      <c r="DZ472" s="770"/>
      <c r="EA472" s="770"/>
      <c r="EB472" s="770"/>
      <c r="EC472" s="770"/>
      <c r="ED472" s="770"/>
      <c r="EE472" s="770"/>
      <c r="EF472" s="770"/>
      <c r="EG472" s="770"/>
      <c r="EH472" s="770"/>
      <c r="EI472" s="770"/>
      <c r="EJ472" s="770"/>
      <c r="EK472" s="770"/>
      <c r="EL472" s="770"/>
      <c r="EM472" s="770"/>
      <c r="EN472" s="770"/>
      <c r="EO472" s="770"/>
      <c r="EP472" s="94"/>
      <c r="EQ472" s="770"/>
      <c r="ER472" s="770"/>
      <c r="ES472" s="770"/>
      <c r="ET472" s="770"/>
      <c r="EU472" s="770"/>
      <c r="EV472" s="770"/>
      <c r="EW472" s="770"/>
      <c r="EX472" s="770"/>
      <c r="EY472" s="770"/>
      <c r="EZ472" s="770" t="s">
        <v>2659</v>
      </c>
      <c r="FA472" s="770"/>
      <c r="FB472" s="770" t="s">
        <v>1257</v>
      </c>
      <c r="FC472" s="770"/>
      <c r="FD472" s="302"/>
      <c r="FE472" s="770"/>
      <c r="FF472" s="770" t="s">
        <v>2660</v>
      </c>
      <c r="FG472" s="770"/>
      <c r="FH472" s="770"/>
      <c r="FI472" s="770"/>
      <c r="FJ472" s="770"/>
      <c r="FK472" s="770"/>
      <c r="FL472" s="770"/>
      <c r="FM472" s="302"/>
      <c r="FN472" s="302"/>
      <c r="FO472" s="302"/>
      <c r="FP472" s="770"/>
      <c r="FQ472" s="770"/>
      <c r="FR472" s="770" t="s">
        <v>1214</v>
      </c>
      <c r="FS472" s="770"/>
      <c r="FT472" s="770"/>
      <c r="FU472" s="770"/>
      <c r="FV472" s="770"/>
      <c r="FW472" s="770"/>
      <c r="FX472" s="770"/>
      <c r="FY472" s="770"/>
      <c r="FZ472" s="770"/>
      <c r="GA472" s="770"/>
      <c r="GB472" s="770"/>
      <c r="GC472" s="308"/>
      <c r="GD472" s="297"/>
      <c r="GE472" s="770"/>
      <c r="GF472" s="302"/>
      <c r="GG472" s="302"/>
      <c r="GH472" s="770"/>
      <c r="GI472" s="770"/>
      <c r="GJ472" s="770"/>
      <c r="GK472" s="770"/>
      <c r="GL472" s="770"/>
      <c r="GM472" s="770"/>
      <c r="GN472" s="299"/>
      <c r="GO472" s="770"/>
      <c r="GP472" s="770"/>
      <c r="GQ472" s="770"/>
      <c r="GR472" s="770"/>
      <c r="GS472" s="770"/>
      <c r="GT472" s="770"/>
      <c r="GU472" s="770"/>
      <c r="GV472" s="770"/>
      <c r="GW472" s="770"/>
      <c r="GX472" s="770"/>
      <c r="GY472" s="770"/>
      <c r="GZ472" s="770"/>
      <c r="HA472" s="770"/>
      <c r="HB472" s="770"/>
      <c r="HC472" s="770"/>
      <c r="HD472" s="770"/>
      <c r="HE472" s="770"/>
      <c r="HF472" s="770"/>
      <c r="HG472" s="770"/>
      <c r="HH472" s="770"/>
      <c r="HI472" s="770"/>
      <c r="HJ472" s="770"/>
      <c r="HK472" s="770"/>
      <c r="HL472" s="770"/>
      <c r="HM472" s="770"/>
      <c r="HN472" s="770"/>
      <c r="HO472" s="770"/>
      <c r="HP472" s="770"/>
      <c r="HQ472" s="770"/>
      <c r="HR472" s="770"/>
      <c r="HS472" s="770"/>
      <c r="HT472" s="770">
        <v>1</v>
      </c>
      <c r="HU472" s="770"/>
      <c r="HV472" s="770"/>
      <c r="HW472" s="770"/>
      <c r="HX472" s="770"/>
      <c r="HY472" s="770"/>
      <c r="HZ472" s="770"/>
      <c r="IA472" s="770"/>
      <c r="IB472" s="770"/>
      <c r="IC472" s="770"/>
      <c r="ID472" s="770"/>
      <c r="IE472" s="770"/>
      <c r="IF472" s="770"/>
      <c r="IG472" s="770"/>
      <c r="IH472" s="770"/>
      <c r="II472" s="770"/>
      <c r="IJ472" s="770"/>
      <c r="IK472" s="770"/>
      <c r="IL472" s="770"/>
      <c r="IM472" s="770"/>
      <c r="IN472" s="770"/>
      <c r="IO472" s="296"/>
      <c r="IP472" s="770"/>
      <c r="IQ472" s="770"/>
      <c r="IR472" s="770"/>
      <c r="IS472" s="770"/>
      <c r="IT472" s="770"/>
      <c r="IU472" s="770"/>
      <c r="IV472" s="770"/>
      <c r="IW472" s="770"/>
      <c r="IX472" s="770"/>
      <c r="IY472" s="770"/>
      <c r="IZ472" s="770"/>
      <c r="JA472" s="770"/>
      <c r="JB472" s="770"/>
      <c r="JC472" s="770"/>
      <c r="JD472" s="302"/>
      <c r="JE472" s="770"/>
      <c r="JF472" s="770"/>
      <c r="JG472" s="770"/>
      <c r="JH472" s="307"/>
      <c r="JI472" s="307"/>
      <c r="JJ472" s="770"/>
      <c r="JK472" s="770"/>
      <c r="JL472" s="770"/>
      <c r="JM472" s="770"/>
      <c r="JN472" s="770"/>
      <c r="JO472" s="770"/>
      <c r="JP472" s="770"/>
      <c r="JQ472" s="770"/>
      <c r="JR472" s="770"/>
      <c r="JS472" s="770"/>
      <c r="JT472" s="766"/>
      <c r="JU472" s="766"/>
      <c r="JV472" s="766"/>
      <c r="JW472" s="766"/>
      <c r="JX472" s="770"/>
      <c r="JY472" s="770"/>
      <c r="JZ472" s="770"/>
      <c r="KA472" s="770"/>
      <c r="KB472" s="770"/>
      <c r="KC472" s="770"/>
      <c r="KD472" s="770"/>
      <c r="KE472" s="770"/>
      <c r="KF472" s="770"/>
      <c r="KG472" s="770"/>
      <c r="KH472" s="770"/>
      <c r="KI472" s="770"/>
      <c r="KJ472" s="770"/>
      <c r="KK472" s="770"/>
      <c r="KL472" s="770"/>
      <c r="KM472" s="770"/>
      <c r="KN472" s="770"/>
      <c r="KO472" s="770"/>
      <c r="KP472" s="770"/>
      <c r="KQ472" s="770"/>
      <c r="KR472" s="770"/>
      <c r="KS472" s="770"/>
      <c r="KT472" s="770"/>
      <c r="KU472" s="770"/>
      <c r="KV472" s="770"/>
      <c r="KW472" s="770"/>
      <c r="KX472" s="770"/>
      <c r="KY472" s="770"/>
      <c r="KZ472" s="770"/>
      <c r="LA472" s="770"/>
      <c r="LB472" s="770"/>
      <c r="LC472" s="770"/>
      <c r="LD472" s="770"/>
      <c r="LE472" s="770"/>
      <c r="LF472" s="770"/>
      <c r="LG472" s="770"/>
      <c r="LH472" s="770"/>
      <c r="LI472" s="770"/>
      <c r="LJ472" s="770"/>
      <c r="LK472" s="770"/>
      <c r="LL472" s="770"/>
      <c r="LM472" s="770"/>
      <c r="LN472" s="766"/>
      <c r="LO472" s="766"/>
      <c r="LP472" s="770"/>
      <c r="LQ472" s="770"/>
      <c r="LR472" s="770"/>
      <c r="LS472" s="770"/>
      <c r="LT472" s="770"/>
      <c r="LU472" s="770"/>
      <c r="LV472" s="770"/>
      <c r="LW472" s="770"/>
      <c r="LX472" s="769"/>
      <c r="LY472" s="766" t="str">
        <f t="shared" si="119"/>
        <v/>
      </c>
      <c r="LZ472" s="1709"/>
      <c r="MA472" s="1709"/>
      <c r="MB472" s="1709"/>
      <c r="MC472" s="1679">
        <f t="shared" si="110"/>
        <v>0</v>
      </c>
      <c r="MD472" s="1709"/>
      <c r="ME472" s="1709"/>
      <c r="MF472" s="1709"/>
      <c r="MG472" s="1680">
        <f t="shared" si="121"/>
        <v>0</v>
      </c>
      <c r="MH472" s="770"/>
      <c r="MI472" s="302"/>
      <c r="MJ472" s="302"/>
      <c r="MK472" s="302"/>
      <c r="ML472" s="302"/>
      <c r="MM472" s="302"/>
      <c r="MN472" s="302"/>
      <c r="MO472" s="302"/>
      <c r="MP472" s="302"/>
      <c r="MQ472" s="302"/>
      <c r="MR472" s="302"/>
      <c r="MS472" s="302"/>
      <c r="MT472" s="302"/>
      <c r="MU472" s="302"/>
      <c r="MV472" s="302"/>
      <c r="MW472" s="302"/>
      <c r="MX472" s="302"/>
      <c r="MY472" s="1682">
        <f t="shared" si="122"/>
        <v>0</v>
      </c>
      <c r="MZ472" s="770"/>
      <c r="NA472" s="770"/>
      <c r="NB472" s="770"/>
      <c r="NC472" s="770"/>
      <c r="ND472" s="770"/>
      <c r="NE472" s="770"/>
      <c r="NF472" s="770"/>
      <c r="NG472" s="770"/>
      <c r="NH472" s="770"/>
      <c r="NI472" s="770"/>
      <c r="NJ472" s="770"/>
      <c r="NK472" s="770"/>
      <c r="NL472" s="770"/>
      <c r="NM472" s="770"/>
      <c r="NN472" s="770"/>
      <c r="NO472" s="770"/>
      <c r="NP472" s="770"/>
      <c r="NQ472" s="770"/>
      <c r="NR472" s="770"/>
      <c r="NS472" s="770"/>
      <c r="NT472" s="770"/>
      <c r="NU472" s="770"/>
      <c r="NV472" s="770"/>
      <c r="NW472" s="770"/>
      <c r="NX472" s="770"/>
      <c r="NY472" s="770"/>
      <c r="NZ472" s="770"/>
      <c r="OA472" s="770"/>
      <c r="OB472" s="770"/>
      <c r="OC472" s="770"/>
      <c r="OD472" s="770"/>
      <c r="OE472" s="770"/>
      <c r="OF472" s="770"/>
      <c r="OG472" s="770"/>
      <c r="OH472" s="770"/>
      <c r="OI472" s="770"/>
      <c r="OJ472" s="770"/>
      <c r="OK472" s="770"/>
      <c r="OL472" s="770"/>
      <c r="OM472" s="770"/>
      <c r="ON472" s="770"/>
      <c r="OO472" s="770"/>
      <c r="OP472" s="770"/>
      <c r="OQ472" s="770"/>
      <c r="OR472" s="770"/>
      <c r="OS472" s="770"/>
      <c r="OT472" s="770"/>
      <c r="OU472" s="770"/>
      <c r="OV472" s="770"/>
      <c r="OW472" s="770"/>
      <c r="OX472" s="770"/>
      <c r="OY472" s="770"/>
      <c r="OZ472" s="770"/>
      <c r="PA472" s="770"/>
      <c r="PB472" s="770"/>
      <c r="PC472" s="770"/>
      <c r="PD472" s="770"/>
      <c r="PE472" s="770"/>
      <c r="PF472" s="770"/>
      <c r="PG472" s="770"/>
      <c r="PH472" s="770"/>
      <c r="PI472" s="770"/>
      <c r="PJ472" s="770"/>
      <c r="PK472" s="770"/>
      <c r="PL472" s="770"/>
      <c r="PM472" s="770"/>
      <c r="PN472" s="770"/>
      <c r="PO472" s="770"/>
      <c r="PP472" s="770"/>
      <c r="PQ472" s="770"/>
      <c r="PR472" s="770"/>
      <c r="PS472" s="770"/>
      <c r="PT472" s="770"/>
      <c r="PU472" s="770"/>
      <c r="PV472" s="770"/>
      <c r="PW472" s="770"/>
      <c r="PX472" s="770"/>
      <c r="PY472" s="770"/>
      <c r="PZ472" s="770"/>
      <c r="QA472" s="770"/>
      <c r="QB472" s="770"/>
      <c r="QC472" s="770"/>
      <c r="QD472" s="770"/>
      <c r="QE472" s="770"/>
      <c r="QF472" s="770"/>
      <c r="QG472" s="770"/>
      <c r="QH472" s="770"/>
      <c r="QI472" s="770"/>
      <c r="QJ472" s="770"/>
      <c r="QK472" s="770"/>
      <c r="QL472" s="770"/>
      <c r="QM472" s="770"/>
      <c r="QN472" s="770"/>
      <c r="QO472" s="770"/>
      <c r="QP472" s="770"/>
      <c r="QQ472" s="770"/>
      <c r="QR472" s="770"/>
      <c r="QS472" s="770"/>
      <c r="QT472" s="770"/>
      <c r="QU472" s="770"/>
      <c r="QV472" s="770"/>
      <c r="QW472" s="770"/>
      <c r="QX472" s="770"/>
      <c r="QY472" s="770"/>
      <c r="QZ472" s="770"/>
      <c r="RA472" s="770"/>
      <c r="RB472" s="770"/>
      <c r="RC472" s="770"/>
      <c r="RD472" s="770"/>
      <c r="RE472" s="770"/>
      <c r="RF472" s="304"/>
      <c r="RG472" s="770"/>
      <c r="RH472" s="302"/>
      <c r="RI472" s="770"/>
      <c r="RJ472" s="770" t="s">
        <v>2634</v>
      </c>
      <c r="RK472" s="770" t="s">
        <v>13544</v>
      </c>
      <c r="RL472" s="1710"/>
      <c r="RM472" s="12"/>
      <c r="RN472" s="1711"/>
      <c r="RO472" s="133" t="s">
        <v>2655</v>
      </c>
      <c r="RP472" s="11"/>
      <c r="RQ472" s="11"/>
      <c r="RR472" s="17"/>
      <c r="RS472" s="767"/>
      <c r="RT472" s="11"/>
      <c r="RU472" s="11"/>
      <c r="RV472" s="771" t="s">
        <v>7421</v>
      </c>
      <c r="RW472" s="11" t="s">
        <v>7765</v>
      </c>
      <c r="RX472" s="11" t="s">
        <v>2640</v>
      </c>
      <c r="RY472" s="11"/>
      <c r="RZ472" s="11" t="s">
        <v>1101</v>
      </c>
      <c r="SA472" s="771"/>
      <c r="SB472" s="11"/>
      <c r="SC472" s="11"/>
    </row>
    <row r="473" spans="1:497" ht="12.75" customHeight="1">
      <c r="A473" s="19" t="s">
        <v>7421</v>
      </c>
      <c r="B473" s="752" t="s">
        <v>7689</v>
      </c>
      <c r="C473" s="132" t="s">
        <v>2661</v>
      </c>
      <c r="D473" s="94" t="s">
        <v>2662</v>
      </c>
      <c r="E473" s="770" t="s">
        <v>2621</v>
      </c>
      <c r="F473" s="770" t="s">
        <v>20</v>
      </c>
      <c r="G473" s="770" t="s">
        <v>18</v>
      </c>
      <c r="H473" s="770"/>
      <c r="I473" s="295" t="s">
        <v>2651</v>
      </c>
      <c r="J473" s="94" t="s">
        <v>3020</v>
      </c>
      <c r="K473" s="766" t="s">
        <v>2652</v>
      </c>
      <c r="L473" s="766" t="s">
        <v>2663</v>
      </c>
      <c r="M473" s="770"/>
      <c r="N473" s="770"/>
      <c r="O473" s="770" t="s">
        <v>2604</v>
      </c>
      <c r="P473" s="94" t="s">
        <v>3021</v>
      </c>
      <c r="Q473" s="1088">
        <v>31753</v>
      </c>
      <c r="R473" s="297">
        <v>30</v>
      </c>
      <c r="S473" s="770" t="s">
        <v>10</v>
      </c>
      <c r="T473" s="770"/>
      <c r="U473" s="295" t="s">
        <v>2651</v>
      </c>
      <c r="V473" s="770" t="s">
        <v>722</v>
      </c>
      <c r="W473" s="770"/>
      <c r="X473" s="770"/>
      <c r="Y473" s="770" t="s">
        <v>2621</v>
      </c>
      <c r="Z473" s="770" t="s">
        <v>708</v>
      </c>
      <c r="AA473" s="770" t="s">
        <v>709</v>
      </c>
      <c r="AB473" s="295" t="s">
        <v>710</v>
      </c>
      <c r="AC473" s="770"/>
      <c r="AD473" s="770" t="s">
        <v>711</v>
      </c>
      <c r="AE473" s="770"/>
      <c r="AF473" s="770" t="s">
        <v>798</v>
      </c>
      <c r="AG473" s="766" t="s">
        <v>1132</v>
      </c>
      <c r="AH473" s="766" t="s">
        <v>1096</v>
      </c>
      <c r="AI473" s="770"/>
      <c r="AJ473" s="770" t="s">
        <v>1137</v>
      </c>
      <c r="AK473" s="770" t="s">
        <v>1101</v>
      </c>
      <c r="AL473" s="531">
        <v>2.6269999999999998</v>
      </c>
      <c r="AM473" s="780">
        <v>2.6269999999999998</v>
      </c>
      <c r="AN473" s="532">
        <f t="shared" si="124"/>
        <v>1</v>
      </c>
      <c r="AO473" s="766" t="s">
        <v>1122</v>
      </c>
      <c r="AP473" s="766"/>
      <c r="AQ473" s="766"/>
      <c r="AR473" s="766"/>
      <c r="AS473" s="770"/>
      <c r="AT473" s="770"/>
      <c r="AU473" s="770"/>
      <c r="AV473" s="770"/>
      <c r="AW473" s="770"/>
      <c r="AX473" s="770"/>
      <c r="AY473" s="770"/>
      <c r="AZ473" s="770"/>
      <c r="BA473" s="770"/>
      <c r="BB473" s="770"/>
      <c r="BC473" s="770"/>
      <c r="BD473" s="770"/>
      <c r="BE473" s="770"/>
      <c r="BF473" s="302"/>
      <c r="BG473" s="302"/>
      <c r="BH473" s="770"/>
      <c r="BI473" s="770"/>
      <c r="BJ473" s="770"/>
      <c r="BK473" s="770" t="s">
        <v>1095</v>
      </c>
      <c r="BL473" s="770" t="s">
        <v>3022</v>
      </c>
      <c r="BM473" s="766" t="s">
        <v>1096</v>
      </c>
      <c r="BN473" s="770" t="s">
        <v>1230</v>
      </c>
      <c r="BO473" s="766" t="s">
        <v>1246</v>
      </c>
      <c r="BP473" s="1109">
        <v>2.6269999999999998</v>
      </c>
      <c r="BQ473" s="773">
        <v>2.6269999999999998</v>
      </c>
      <c r="BR473" s="774">
        <f t="shared" ref="BR473:BR482" si="127">BQ473/BP473</f>
        <v>1</v>
      </c>
      <c r="BS473" s="766" t="s">
        <v>1257</v>
      </c>
      <c r="BT473" s="766" t="s">
        <v>1326</v>
      </c>
      <c r="BU473" s="766" t="s">
        <v>1264</v>
      </c>
      <c r="BV473" s="770" t="s">
        <v>1291</v>
      </c>
      <c r="BW473" s="769"/>
      <c r="BX473" s="302"/>
      <c r="BY473" s="770"/>
      <c r="BZ473" s="302"/>
      <c r="CA473" s="770"/>
      <c r="CB473" s="770"/>
      <c r="CC473" s="770"/>
      <c r="CD473" s="770"/>
      <c r="CE473" s="770"/>
      <c r="CF473" s="1753"/>
      <c r="CG473" s="1754"/>
      <c r="CH473" s="770"/>
      <c r="CI473" s="770"/>
      <c r="CJ473" s="770"/>
      <c r="CK473" s="770"/>
      <c r="CL473" s="770"/>
      <c r="CM473" s="770"/>
      <c r="CN473" s="770"/>
      <c r="CO473" s="770"/>
      <c r="CP473" s="770"/>
      <c r="CQ473" s="770"/>
      <c r="CR473" s="302"/>
      <c r="CS473" s="770"/>
      <c r="CT473" s="770"/>
      <c r="CU473" s="305"/>
      <c r="CV473" s="770"/>
      <c r="CW473" s="770"/>
      <c r="CX473" s="770"/>
      <c r="CY473" s="770"/>
      <c r="CZ473" s="770"/>
      <c r="DA473" s="306"/>
      <c r="DB473" s="770"/>
      <c r="DC473" s="770"/>
      <c r="DD473" s="770"/>
      <c r="DE473" s="300"/>
      <c r="DF473" s="770"/>
      <c r="DG473" s="770"/>
      <c r="DH473" s="770"/>
      <c r="DI473" s="770"/>
      <c r="DJ473" s="770"/>
      <c r="DK473" s="770"/>
      <c r="DL473" s="770"/>
      <c r="DM473" s="770"/>
      <c r="DN473" s="322"/>
      <c r="DO473" s="770"/>
      <c r="DP473" s="770"/>
      <c r="DQ473" s="770"/>
      <c r="DR473" s="770"/>
      <c r="DS473" s="307"/>
      <c r="DT473" s="770"/>
      <c r="DU473" s="770"/>
      <c r="DV473" s="770"/>
      <c r="DW473" s="306"/>
      <c r="DX473" s="306"/>
      <c r="DY473" s="770"/>
      <c r="DZ473" s="770"/>
      <c r="EA473" s="770"/>
      <c r="EB473" s="770"/>
      <c r="EC473" s="770"/>
      <c r="ED473" s="770"/>
      <c r="EE473" s="770"/>
      <c r="EF473" s="770"/>
      <c r="EG473" s="770"/>
      <c r="EH473" s="770"/>
      <c r="EI473" s="770"/>
      <c r="EJ473" s="770"/>
      <c r="EK473" s="770"/>
      <c r="EL473" s="770"/>
      <c r="EM473" s="770"/>
      <c r="EN473" s="770"/>
      <c r="EO473" s="770"/>
      <c r="EP473" s="94"/>
      <c r="EQ473" s="770"/>
      <c r="ER473" s="770"/>
      <c r="ES473" s="770"/>
      <c r="ET473" s="770"/>
      <c r="EU473" s="770"/>
      <c r="EV473" s="770"/>
      <c r="EW473" s="770"/>
      <c r="EX473" s="770"/>
      <c r="EY473" s="770"/>
      <c r="EZ473" s="770"/>
      <c r="FA473" s="770"/>
      <c r="FB473" s="770"/>
      <c r="FC473" s="770"/>
      <c r="FD473" s="302"/>
      <c r="FE473" s="770"/>
      <c r="FF473" s="770"/>
      <c r="FG473" s="770"/>
      <c r="FH473" s="770" t="s">
        <v>478</v>
      </c>
      <c r="FI473" s="770">
        <v>1</v>
      </c>
      <c r="FJ473" s="770"/>
      <c r="FK473" s="770"/>
      <c r="FL473" s="770"/>
      <c r="FM473" s="302"/>
      <c r="FN473" s="302"/>
      <c r="FO473" s="302"/>
      <c r="FP473" s="766" t="s">
        <v>1602</v>
      </c>
      <c r="FQ473" s="766" t="s">
        <v>1660</v>
      </c>
      <c r="FR473" s="770" t="s">
        <v>1214</v>
      </c>
      <c r="FS473" s="770"/>
      <c r="FT473" s="770"/>
      <c r="FU473" s="770"/>
      <c r="FV473" s="770"/>
      <c r="FW473" s="770"/>
      <c r="FX473" s="770"/>
      <c r="FY473" s="770"/>
      <c r="FZ473" s="770"/>
      <c r="GA473" s="770"/>
      <c r="GB473" s="770"/>
      <c r="GC473" s="308"/>
      <c r="GD473" s="297"/>
      <c r="GE473" s="770"/>
      <c r="GF473" s="302"/>
      <c r="GG473" s="302"/>
      <c r="GH473" s="712" t="s">
        <v>1791</v>
      </c>
      <c r="GI473" s="770" t="s">
        <v>2352</v>
      </c>
      <c r="GJ473" s="770"/>
      <c r="GK473" s="770" t="s">
        <v>2345</v>
      </c>
      <c r="GL473" s="770"/>
      <c r="GM473" s="770"/>
      <c r="GN473" s="299">
        <v>300</v>
      </c>
      <c r="GO473" s="770" t="s">
        <v>2664</v>
      </c>
      <c r="GP473" s="770" t="s">
        <v>1208</v>
      </c>
      <c r="GQ473" s="770" t="s">
        <v>1208</v>
      </c>
      <c r="GR473" s="770" t="s">
        <v>1208</v>
      </c>
      <c r="GS473" s="770" t="s">
        <v>1208</v>
      </c>
      <c r="GT473" s="770" t="s">
        <v>1208</v>
      </c>
      <c r="GU473" s="770"/>
      <c r="GV473" s="770"/>
      <c r="GW473" s="770" t="s">
        <v>1207</v>
      </c>
      <c r="GX473" s="770"/>
      <c r="GY473" s="770" t="s">
        <v>1208</v>
      </c>
      <c r="GZ473" s="770" t="s">
        <v>1208</v>
      </c>
      <c r="HA473" s="770" t="s">
        <v>1208</v>
      </c>
      <c r="HB473" s="770" t="s">
        <v>1208</v>
      </c>
      <c r="HC473" s="770" t="s">
        <v>1208</v>
      </c>
      <c r="HD473" s="770" t="s">
        <v>1208</v>
      </c>
      <c r="HE473" s="770" t="s">
        <v>1208</v>
      </c>
      <c r="HF473" s="770"/>
      <c r="HG473" s="770"/>
      <c r="HH473" s="770"/>
      <c r="HI473" s="770" t="s">
        <v>1214</v>
      </c>
      <c r="HJ473" s="770"/>
      <c r="HK473" s="770"/>
      <c r="HL473" s="770"/>
      <c r="HM473" s="770"/>
      <c r="HN473" s="770"/>
      <c r="HO473" s="770"/>
      <c r="HP473" s="770"/>
      <c r="HQ473" s="770"/>
      <c r="HR473" s="770">
        <v>1</v>
      </c>
      <c r="HS473" s="770"/>
      <c r="HT473" s="770"/>
      <c r="HU473" s="770"/>
      <c r="HV473" s="770"/>
      <c r="HW473" s="770"/>
      <c r="HX473" s="770"/>
      <c r="HY473" s="770"/>
      <c r="HZ473" s="770"/>
      <c r="IA473" s="770"/>
      <c r="IB473" s="14" t="e">
        <f>IF(#REF!&gt;0,IF(#REF!&lt;=10000,"Y",""),"")</f>
        <v>#REF!</v>
      </c>
      <c r="IC473" s="770"/>
      <c r="ID473" s="770"/>
      <c r="IE473" s="770"/>
      <c r="IF473" s="770"/>
      <c r="IG473" s="770"/>
      <c r="IH473" s="770"/>
      <c r="II473" s="770"/>
      <c r="IJ473" s="770"/>
      <c r="IK473" s="770"/>
      <c r="IL473" s="770"/>
      <c r="IM473" s="770"/>
      <c r="IN473" s="770"/>
      <c r="IO473" s="296"/>
      <c r="IP473" s="770"/>
      <c r="IQ473" s="770"/>
      <c r="IR473" s="770"/>
      <c r="IS473" s="770"/>
      <c r="IT473" s="770"/>
      <c r="IU473" s="770"/>
      <c r="IV473" s="770"/>
      <c r="IW473" s="770"/>
      <c r="IX473" s="770"/>
      <c r="IY473" s="770"/>
      <c r="IZ473" s="770"/>
      <c r="JA473" s="770"/>
      <c r="JB473" s="770"/>
      <c r="JC473" s="770"/>
      <c r="JD473" s="302"/>
      <c r="JE473" s="770"/>
      <c r="JF473" s="770"/>
      <c r="JG473" s="770"/>
      <c r="JH473" s="307"/>
      <c r="JI473" s="712" t="str">
        <f>IF(SUM(JT473,JU473)=JJ473,"ok","review")</f>
        <v>ok</v>
      </c>
      <c r="JJ473" s="770">
        <v>4</v>
      </c>
      <c r="JK473" s="1139" t="s">
        <v>3022</v>
      </c>
      <c r="JL473" s="770"/>
      <c r="JM473" s="770">
        <v>2</v>
      </c>
      <c r="JN473" s="770">
        <v>1</v>
      </c>
      <c r="JO473" s="770">
        <v>1</v>
      </c>
      <c r="JP473" s="770"/>
      <c r="JQ473" s="770"/>
      <c r="JR473" s="770"/>
      <c r="JS473" s="770"/>
      <c r="JT473" s="766">
        <f t="shared" ref="JT473:JU477" si="128">SUM(JP473,JN473,JL473,JR473)</f>
        <v>1</v>
      </c>
      <c r="JU473" s="766">
        <f t="shared" si="128"/>
        <v>3</v>
      </c>
      <c r="JV473" s="712" t="str">
        <f>IF(JT473=KJ473,"ok","male")</f>
        <v>ok</v>
      </c>
      <c r="JW473" s="712" t="str">
        <f>IF(JU473=KK473,"ok","female")</f>
        <v>ok</v>
      </c>
      <c r="JX473" s="770"/>
      <c r="JY473" s="770">
        <v>2</v>
      </c>
      <c r="JZ473" s="770"/>
      <c r="KA473" s="770"/>
      <c r="KB473" s="770">
        <v>1</v>
      </c>
      <c r="KC473" s="770">
        <v>1</v>
      </c>
      <c r="KD473" s="770"/>
      <c r="KE473" s="770"/>
      <c r="KF473" s="770"/>
      <c r="KG473" s="770"/>
      <c r="KH473" s="770"/>
      <c r="KI473" s="770"/>
      <c r="KJ473" s="770">
        <f t="shared" si="126"/>
        <v>1</v>
      </c>
      <c r="KK473" s="770">
        <f t="shared" si="126"/>
        <v>3</v>
      </c>
      <c r="KL473" s="712" t="str">
        <f>IF(KJ473=LN473,"ok","male")</f>
        <v>ok</v>
      </c>
      <c r="KM473" s="712" t="str">
        <f>IF(KK473=LO473,"ok","female")</f>
        <v>ok</v>
      </c>
      <c r="KN473" s="770" t="s">
        <v>722</v>
      </c>
      <c r="KO473" s="770"/>
      <c r="KP473" s="770"/>
      <c r="KQ473" s="770"/>
      <c r="KR473" s="770"/>
      <c r="KS473" s="770"/>
      <c r="KT473" s="770"/>
      <c r="KU473" s="770"/>
      <c r="KV473" s="770"/>
      <c r="KW473" s="770">
        <v>1</v>
      </c>
      <c r="KX473" s="770"/>
      <c r="KY473" s="770"/>
      <c r="KZ473" s="770">
        <v>1</v>
      </c>
      <c r="LA473" s="770"/>
      <c r="LB473" s="770"/>
      <c r="LC473" s="770"/>
      <c r="LD473" s="770"/>
      <c r="LE473" s="770"/>
      <c r="LF473" s="770"/>
      <c r="LG473" s="770"/>
      <c r="LH473" s="770"/>
      <c r="LI473" s="770"/>
      <c r="LJ473" s="770"/>
      <c r="LK473" s="770">
        <v>2</v>
      </c>
      <c r="LL473" s="770"/>
      <c r="LM473" s="770"/>
      <c r="LN473" s="766">
        <f t="shared" si="111"/>
        <v>1</v>
      </c>
      <c r="LO473" s="766">
        <f t="shared" si="111"/>
        <v>3</v>
      </c>
      <c r="LP473" s="770">
        <v>1</v>
      </c>
      <c r="LQ473" s="770">
        <v>1</v>
      </c>
      <c r="LR473" s="770"/>
      <c r="LS473" s="770"/>
      <c r="LT473" s="712" t="str">
        <f>IF(LQ473=SUM(LU473:LW473),"OK","REV")</f>
        <v>OK</v>
      </c>
      <c r="LU473" s="770"/>
      <c r="LV473" s="770">
        <v>1</v>
      </c>
      <c r="LW473" s="770"/>
      <c r="LX473" s="769">
        <v>2</v>
      </c>
      <c r="LY473" s="766" t="str">
        <f t="shared" si="119"/>
        <v>within the MUNICIPALITY</v>
      </c>
      <c r="LZ473" s="1709">
        <f>32*26</f>
        <v>832</v>
      </c>
      <c r="MA473" s="1709"/>
      <c r="MB473" s="1709"/>
      <c r="MC473" s="1679">
        <f t="shared" si="110"/>
        <v>832</v>
      </c>
      <c r="MD473" s="1709">
        <f>350*26</f>
        <v>9100</v>
      </c>
      <c r="ME473" s="1709"/>
      <c r="MF473" s="1709"/>
      <c r="MG473" s="1680">
        <f>SUM(MD473:MF473)</f>
        <v>9100</v>
      </c>
      <c r="MH473" s="770" t="s">
        <v>1985</v>
      </c>
      <c r="MI473" s="302">
        <v>6000</v>
      </c>
      <c r="MJ473" s="302">
        <v>960</v>
      </c>
      <c r="MK473" s="302">
        <v>84</v>
      </c>
      <c r="ML473" s="302">
        <v>334</v>
      </c>
      <c r="MM473" s="302">
        <v>100</v>
      </c>
      <c r="MN473" s="302"/>
      <c r="MO473" s="302">
        <v>300</v>
      </c>
      <c r="MP473" s="302">
        <v>500</v>
      </c>
      <c r="MQ473" s="302"/>
      <c r="MR473" s="302">
        <v>600</v>
      </c>
      <c r="MS473" s="302">
        <v>84</v>
      </c>
      <c r="MT473" s="302"/>
      <c r="MU473" s="302"/>
      <c r="MV473" s="302"/>
      <c r="MW473" s="302"/>
      <c r="MX473" s="302"/>
      <c r="MY473" s="1682">
        <f t="shared" si="122"/>
        <v>8962</v>
      </c>
      <c r="MZ473" s="770" t="s">
        <v>13395</v>
      </c>
      <c r="NA473" s="770" t="s">
        <v>13065</v>
      </c>
      <c r="NB473" s="770" t="s">
        <v>13033</v>
      </c>
      <c r="NC473" s="770" t="s">
        <v>13621</v>
      </c>
      <c r="ND473" s="770">
        <v>0</v>
      </c>
      <c r="NE473" s="770">
        <v>1</v>
      </c>
      <c r="NF473" s="770">
        <v>0</v>
      </c>
      <c r="NG473" s="770">
        <v>2</v>
      </c>
      <c r="NH473" s="770">
        <v>0</v>
      </c>
      <c r="NI473" s="770">
        <v>0</v>
      </c>
      <c r="NJ473" s="770">
        <v>0</v>
      </c>
      <c r="NK473" s="770">
        <v>0</v>
      </c>
      <c r="NL473" s="770">
        <v>0</v>
      </c>
      <c r="NM473" s="770">
        <v>1</v>
      </c>
      <c r="NN473" s="770">
        <v>0</v>
      </c>
      <c r="NO473" s="770">
        <v>0</v>
      </c>
      <c r="NP473" s="770">
        <v>0</v>
      </c>
      <c r="NQ473" s="770">
        <v>0</v>
      </c>
      <c r="NR473" s="770">
        <v>0</v>
      </c>
      <c r="NS473" s="770">
        <v>0</v>
      </c>
      <c r="NT473" s="770">
        <v>0</v>
      </c>
      <c r="NU473" s="770">
        <v>0</v>
      </c>
      <c r="NV473" s="770">
        <v>0</v>
      </c>
      <c r="NW473" s="770">
        <v>0</v>
      </c>
      <c r="NX473" s="770">
        <v>0</v>
      </c>
      <c r="NY473" s="770" t="s">
        <v>1208</v>
      </c>
      <c r="NZ473" s="770" t="s">
        <v>1208</v>
      </c>
      <c r="OA473" s="770" t="s">
        <v>1208</v>
      </c>
      <c r="OB473" s="770" t="s">
        <v>1208</v>
      </c>
      <c r="OC473" s="770" t="s">
        <v>1208</v>
      </c>
      <c r="OD473" s="770"/>
      <c r="OE473" s="770"/>
      <c r="OF473" s="770" t="s">
        <v>2143</v>
      </c>
      <c r="OG473" s="770"/>
      <c r="OH473" s="770"/>
      <c r="OI473" s="770"/>
      <c r="OJ473" s="770"/>
      <c r="OK473" s="770" t="s">
        <v>1208</v>
      </c>
      <c r="OL473" s="770" t="s">
        <v>13548</v>
      </c>
      <c r="OM473" s="770" t="s">
        <v>13532</v>
      </c>
      <c r="ON473" s="770" t="s">
        <v>12888</v>
      </c>
      <c r="OO473" s="770" t="s">
        <v>1207</v>
      </c>
      <c r="OP473" s="770" t="s">
        <v>13548</v>
      </c>
      <c r="OQ473" s="770" t="s">
        <v>13532</v>
      </c>
      <c r="OR473" s="770" t="s">
        <v>12888</v>
      </c>
      <c r="OS473" s="770" t="s">
        <v>12885</v>
      </c>
      <c r="OT473" s="770" t="s">
        <v>12888</v>
      </c>
      <c r="OU473" s="770" t="s">
        <v>13622</v>
      </c>
      <c r="OV473" s="770" t="s">
        <v>1208</v>
      </c>
      <c r="OW473" s="770"/>
      <c r="OX473" s="770"/>
      <c r="OY473" s="770" t="s">
        <v>1208</v>
      </c>
      <c r="OZ473" s="770"/>
      <c r="PA473" s="770" t="s">
        <v>1208</v>
      </c>
      <c r="PB473" s="770" t="s">
        <v>1208</v>
      </c>
      <c r="PC473" s="770"/>
      <c r="PD473" s="770"/>
      <c r="PE473" s="770"/>
      <c r="PF473" s="770"/>
      <c r="PG473" s="770"/>
      <c r="PH473" s="770" t="s">
        <v>1208</v>
      </c>
      <c r="PI473" s="770"/>
      <c r="PJ473" s="770" t="s">
        <v>1208</v>
      </c>
      <c r="PK473" s="770" t="s">
        <v>1208</v>
      </c>
      <c r="PL473" s="770" t="s">
        <v>1208</v>
      </c>
      <c r="PM473" s="770"/>
      <c r="PN473" s="770"/>
      <c r="PO473" s="770"/>
      <c r="PP473" s="770"/>
      <c r="PQ473" s="770"/>
      <c r="PR473" s="770"/>
      <c r="PS473" s="770"/>
      <c r="PT473" s="770"/>
      <c r="PU473" s="770"/>
      <c r="PV473" s="770"/>
      <c r="PW473" s="770"/>
      <c r="PX473" s="770"/>
      <c r="PY473" s="770"/>
      <c r="PZ473" s="770"/>
      <c r="QA473" s="770"/>
      <c r="QB473" s="770"/>
      <c r="QC473" s="770"/>
      <c r="QD473" s="770"/>
      <c r="QE473" s="770"/>
      <c r="QF473" s="770"/>
      <c r="QG473" s="770"/>
      <c r="QH473" s="770"/>
      <c r="QI473" s="770"/>
      <c r="QJ473" s="770"/>
      <c r="QK473" s="770"/>
      <c r="QL473" s="770"/>
      <c r="QM473" s="770"/>
      <c r="QN473" s="770"/>
      <c r="QO473" s="770"/>
      <c r="QP473" s="770"/>
      <c r="QQ473" s="770"/>
      <c r="QR473" s="770"/>
      <c r="QS473" s="770"/>
      <c r="QT473" s="770"/>
      <c r="QU473" s="770"/>
      <c r="QV473" s="770"/>
      <c r="QW473" s="770"/>
      <c r="QX473" s="770"/>
      <c r="QY473" s="770"/>
      <c r="QZ473" s="770"/>
      <c r="RA473" s="770"/>
      <c r="RB473" s="770" t="s">
        <v>1207</v>
      </c>
      <c r="RC473" s="770">
        <v>2016</v>
      </c>
      <c r="RD473" s="770" t="s">
        <v>13589</v>
      </c>
      <c r="RE473" s="770" t="s">
        <v>12999</v>
      </c>
      <c r="RF473" s="304">
        <v>1</v>
      </c>
      <c r="RG473" s="770" t="s">
        <v>13047</v>
      </c>
      <c r="RH473" s="302">
        <v>450</v>
      </c>
      <c r="RI473" s="770">
        <v>24</v>
      </c>
      <c r="RJ473" s="770" t="s">
        <v>2665</v>
      </c>
      <c r="RK473" s="770" t="s">
        <v>13544</v>
      </c>
      <c r="RL473" s="1710"/>
      <c r="RM473" s="12"/>
      <c r="RN473" s="1711"/>
      <c r="RO473" s="132" t="s">
        <v>2661</v>
      </c>
      <c r="RP473" s="11"/>
      <c r="RQ473" s="11"/>
      <c r="RR473" s="19" t="s">
        <v>7421</v>
      </c>
      <c r="RS473" s="1139" t="s">
        <v>12980</v>
      </c>
      <c r="RT473" s="11"/>
      <c r="RU473" s="11"/>
      <c r="RV473" s="771" t="s">
        <v>7421</v>
      </c>
      <c r="RW473" s="11" t="s">
        <v>7763</v>
      </c>
      <c r="RX473" s="11" t="s">
        <v>2649</v>
      </c>
      <c r="RY473" s="11"/>
      <c r="RZ473" s="11" t="s">
        <v>1101</v>
      </c>
      <c r="SA473" s="771"/>
      <c r="SB473" s="11"/>
      <c r="SC473" s="11"/>
    </row>
    <row r="474" spans="1:497" ht="12.75" customHeight="1">
      <c r="A474" s="19" t="s">
        <v>7421</v>
      </c>
      <c r="B474" s="752" t="s">
        <v>7690</v>
      </c>
      <c r="C474" s="132" t="s">
        <v>2666</v>
      </c>
      <c r="D474" s="94" t="s">
        <v>2667</v>
      </c>
      <c r="E474" s="770" t="s">
        <v>2621</v>
      </c>
      <c r="F474" s="770" t="s">
        <v>20</v>
      </c>
      <c r="G474" s="770" t="s">
        <v>18</v>
      </c>
      <c r="H474" s="770"/>
      <c r="I474" s="295"/>
      <c r="J474" s="94" t="s">
        <v>2668</v>
      </c>
      <c r="K474" s="766" t="s">
        <v>2669</v>
      </c>
      <c r="L474" s="766" t="s">
        <v>2645</v>
      </c>
      <c r="M474" s="770" t="s">
        <v>1238</v>
      </c>
      <c r="N474" s="770"/>
      <c r="O474" s="770" t="s">
        <v>2604</v>
      </c>
      <c r="P474" s="94" t="s">
        <v>2668</v>
      </c>
      <c r="Q474" s="1088">
        <v>33709</v>
      </c>
      <c r="R474" s="297">
        <v>24</v>
      </c>
      <c r="S474" s="770" t="s">
        <v>10</v>
      </c>
      <c r="T474" s="770"/>
      <c r="U474" s="298"/>
      <c r="V474" s="770" t="s">
        <v>722</v>
      </c>
      <c r="W474" s="770"/>
      <c r="X474" s="770"/>
      <c r="Y474" s="770" t="s">
        <v>2621</v>
      </c>
      <c r="Z474" s="770" t="s">
        <v>708</v>
      </c>
      <c r="AA474" s="770" t="s">
        <v>709</v>
      </c>
      <c r="AB474" s="770" t="s">
        <v>710</v>
      </c>
      <c r="AC474" s="770"/>
      <c r="AD474" s="770" t="s">
        <v>711</v>
      </c>
      <c r="AE474" s="770"/>
      <c r="AF474" s="770" t="s">
        <v>798</v>
      </c>
      <c r="AG474" s="766" t="s">
        <v>1132</v>
      </c>
      <c r="AH474" s="766" t="s">
        <v>1096</v>
      </c>
      <c r="AI474" s="770"/>
      <c r="AJ474" s="770" t="s">
        <v>1137</v>
      </c>
      <c r="AK474" s="770" t="s">
        <v>1101</v>
      </c>
      <c r="AL474" s="531">
        <v>6.3</v>
      </c>
      <c r="AM474" s="780">
        <v>6.3</v>
      </c>
      <c r="AN474" s="532">
        <f t="shared" si="124"/>
        <v>1</v>
      </c>
      <c r="AO474" s="766" t="s">
        <v>1122</v>
      </c>
      <c r="AP474" s="766"/>
      <c r="AQ474" s="766"/>
      <c r="AR474" s="766"/>
      <c r="AS474" s="770"/>
      <c r="AT474" s="770"/>
      <c r="AU474" s="770"/>
      <c r="AV474" s="770"/>
      <c r="AW474" s="770"/>
      <c r="AX474" s="770"/>
      <c r="AY474" s="770"/>
      <c r="AZ474" s="770"/>
      <c r="BA474" s="770"/>
      <c r="BB474" s="770"/>
      <c r="BC474" s="770"/>
      <c r="BD474" s="770"/>
      <c r="BE474" s="770"/>
      <c r="BF474" s="302"/>
      <c r="BG474" s="302"/>
      <c r="BH474" s="770"/>
      <c r="BI474" s="770"/>
      <c r="BJ474" s="770"/>
      <c r="BK474" s="770" t="s">
        <v>1095</v>
      </c>
      <c r="BL474" s="770" t="s">
        <v>2670</v>
      </c>
      <c r="BM474" s="766" t="s">
        <v>1096</v>
      </c>
      <c r="BN474" s="770" t="s">
        <v>1230</v>
      </c>
      <c r="BO474" s="766" t="s">
        <v>1246</v>
      </c>
      <c r="BP474" s="1109">
        <v>6.3</v>
      </c>
      <c r="BQ474" s="773">
        <v>6.3</v>
      </c>
      <c r="BR474" s="774">
        <f t="shared" si="127"/>
        <v>1</v>
      </c>
      <c r="BS474" s="766" t="s">
        <v>1257</v>
      </c>
      <c r="BT474" s="766" t="s">
        <v>1326</v>
      </c>
      <c r="BU474" s="766" t="s">
        <v>1264</v>
      </c>
      <c r="BV474" s="770" t="s">
        <v>1291</v>
      </c>
      <c r="BW474" s="770">
        <v>2014</v>
      </c>
      <c r="BX474" s="302"/>
      <c r="BY474" s="770"/>
      <c r="BZ474" s="302"/>
      <c r="CA474" s="770"/>
      <c r="CB474" s="770"/>
      <c r="CC474" s="770"/>
      <c r="CD474" s="770"/>
      <c r="CE474" s="770"/>
      <c r="CF474" s="1753"/>
      <c r="CG474" s="1754"/>
      <c r="CH474" s="770"/>
      <c r="CI474" s="770"/>
      <c r="CJ474" s="770"/>
      <c r="CK474" s="770"/>
      <c r="CL474" s="770"/>
      <c r="CM474" s="770"/>
      <c r="CN474" s="770"/>
      <c r="CO474" s="770"/>
      <c r="CP474" s="770"/>
      <c r="CQ474" s="770"/>
      <c r="CR474" s="302"/>
      <c r="CS474" s="770"/>
      <c r="CT474" s="770"/>
      <c r="CU474" s="305"/>
      <c r="CV474" s="770"/>
      <c r="CW474" s="770"/>
      <c r="CX474" s="770"/>
      <c r="CY474" s="770"/>
      <c r="CZ474" s="770"/>
      <c r="DA474" s="306"/>
      <c r="DB474" s="770"/>
      <c r="DC474" s="770"/>
      <c r="DD474" s="770"/>
      <c r="DE474" s="300"/>
      <c r="DF474" s="770"/>
      <c r="DG474" s="770"/>
      <c r="DH474" s="770"/>
      <c r="DI474" s="770"/>
      <c r="DJ474" s="770"/>
      <c r="DK474" s="770"/>
      <c r="DL474" s="770"/>
      <c r="DM474" s="770"/>
      <c r="DN474" s="322"/>
      <c r="DO474" s="770"/>
      <c r="DP474" s="770"/>
      <c r="DQ474" s="770"/>
      <c r="DR474" s="770"/>
      <c r="DS474" s="307"/>
      <c r="DT474" s="770"/>
      <c r="DU474" s="770"/>
      <c r="DV474" s="770"/>
      <c r="DW474" s="306"/>
      <c r="DX474" s="306"/>
      <c r="DY474" s="770"/>
      <c r="DZ474" s="770"/>
      <c r="EA474" s="770"/>
      <c r="EB474" s="770"/>
      <c r="EC474" s="770"/>
      <c r="ED474" s="770"/>
      <c r="EE474" s="770"/>
      <c r="EF474" s="770"/>
      <c r="EG474" s="770"/>
      <c r="EH474" s="770"/>
      <c r="EI474" s="770"/>
      <c r="EJ474" s="770"/>
      <c r="EK474" s="770"/>
      <c r="EL474" s="770"/>
      <c r="EM474" s="770"/>
      <c r="EN474" s="770"/>
      <c r="EO474" s="770"/>
      <c r="EP474" s="94"/>
      <c r="EQ474" s="770"/>
      <c r="ER474" s="770"/>
      <c r="ES474" s="770"/>
      <c r="ET474" s="770"/>
      <c r="EU474" s="770"/>
      <c r="EV474" s="770"/>
      <c r="EW474" s="770"/>
      <c r="EX474" s="770"/>
      <c r="EY474" s="770"/>
      <c r="EZ474" s="770"/>
      <c r="FA474" s="770"/>
      <c r="FB474" s="770"/>
      <c r="FC474" s="770"/>
      <c r="FD474" s="302"/>
      <c r="FE474" s="770"/>
      <c r="FF474" s="770"/>
      <c r="FG474" s="770"/>
      <c r="FH474" s="770" t="s">
        <v>478</v>
      </c>
      <c r="FI474" s="770">
        <v>1</v>
      </c>
      <c r="FJ474" s="770"/>
      <c r="FK474" s="770"/>
      <c r="FL474" s="770"/>
      <c r="FM474" s="302"/>
      <c r="FN474" s="302"/>
      <c r="FO474" s="302"/>
      <c r="FP474" s="766" t="s">
        <v>1602</v>
      </c>
      <c r="FQ474" s="766" t="s">
        <v>1660</v>
      </c>
      <c r="FR474" s="770" t="s">
        <v>1214</v>
      </c>
      <c r="FS474" s="770"/>
      <c r="FT474" s="770"/>
      <c r="FU474" s="770"/>
      <c r="FV474" s="770"/>
      <c r="FW474" s="770"/>
      <c r="FX474" s="770"/>
      <c r="FY474" s="770"/>
      <c r="FZ474" s="770"/>
      <c r="GA474" s="770"/>
      <c r="GB474" s="770"/>
      <c r="GC474" s="308"/>
      <c r="GD474" s="297"/>
      <c r="GE474" s="770"/>
      <c r="GF474" s="302"/>
      <c r="GG474" s="302"/>
      <c r="GH474" s="712" t="s">
        <v>14260</v>
      </c>
      <c r="GI474" s="770"/>
      <c r="GJ474" s="770"/>
      <c r="GK474" s="770"/>
      <c r="GL474" s="770"/>
      <c r="GM474" s="770"/>
      <c r="GN474" s="299"/>
      <c r="GO474" s="770"/>
      <c r="GP474" s="770"/>
      <c r="GQ474" s="770"/>
      <c r="GR474" s="770"/>
      <c r="GS474" s="770"/>
      <c r="GT474" s="770"/>
      <c r="GU474" s="770"/>
      <c r="GV474" s="770"/>
      <c r="GW474" s="770"/>
      <c r="GX474" s="770"/>
      <c r="GY474" s="770"/>
      <c r="GZ474" s="770"/>
      <c r="HA474" s="770"/>
      <c r="HB474" s="770"/>
      <c r="HC474" s="770"/>
      <c r="HD474" s="770"/>
      <c r="HE474" s="770"/>
      <c r="HF474" s="770"/>
      <c r="HG474" s="770"/>
      <c r="HH474" s="770"/>
      <c r="HI474" s="770"/>
      <c r="HJ474" s="770"/>
      <c r="HK474" s="770"/>
      <c r="HL474" s="770"/>
      <c r="HM474" s="770"/>
      <c r="HN474" s="770"/>
      <c r="HO474" s="770"/>
      <c r="HP474" s="770"/>
      <c r="HQ474" s="770"/>
      <c r="HR474" s="770"/>
      <c r="HS474" s="770"/>
      <c r="HT474" s="770">
        <v>1</v>
      </c>
      <c r="HU474" s="770"/>
      <c r="HV474" s="770"/>
      <c r="HW474" s="770"/>
      <c r="HX474" s="770"/>
      <c r="HY474" s="770"/>
      <c r="HZ474" s="770"/>
      <c r="IA474" s="770"/>
      <c r="IB474" s="14" t="e">
        <f>IF(#REF!&gt;0,IF(#REF!&lt;=10000,"Y",""),"")</f>
        <v>#REF!</v>
      </c>
      <c r="IC474" s="770"/>
      <c r="ID474" s="13" t="s">
        <v>2671</v>
      </c>
      <c r="IE474" s="770"/>
      <c r="IF474" s="770"/>
      <c r="IG474" s="770"/>
      <c r="IH474" s="770"/>
      <c r="II474" s="770"/>
      <c r="IJ474" s="770"/>
      <c r="IK474" s="770"/>
      <c r="IL474" s="770"/>
      <c r="IM474" s="770"/>
      <c r="IN474" s="770"/>
      <c r="IO474" s="296"/>
      <c r="IP474" s="770"/>
      <c r="IQ474" s="770"/>
      <c r="IR474" s="770"/>
      <c r="IS474" s="770"/>
      <c r="IT474" s="770"/>
      <c r="IU474" s="770"/>
      <c r="IV474" s="770"/>
      <c r="IW474" s="770"/>
      <c r="IX474" s="770"/>
      <c r="IY474" s="770"/>
      <c r="IZ474" s="770"/>
      <c r="JA474" s="770"/>
      <c r="JB474" s="770"/>
      <c r="JC474" s="770"/>
      <c r="JD474" s="302"/>
      <c r="JE474" s="770"/>
      <c r="JF474" s="770"/>
      <c r="JG474" s="770"/>
      <c r="JH474" s="307"/>
      <c r="JI474" s="307"/>
      <c r="JJ474" s="770">
        <v>4</v>
      </c>
      <c r="JK474" s="1139" t="s">
        <v>2670</v>
      </c>
      <c r="JL474" s="770">
        <v>2</v>
      </c>
      <c r="JM474" s="770"/>
      <c r="JN474" s="770">
        <v>1</v>
      </c>
      <c r="JO474" s="770">
        <v>1</v>
      </c>
      <c r="JP474" s="770"/>
      <c r="JQ474" s="770"/>
      <c r="JR474" s="770"/>
      <c r="JS474" s="770"/>
      <c r="JT474" s="766">
        <f t="shared" si="128"/>
        <v>3</v>
      </c>
      <c r="JU474" s="766">
        <f t="shared" si="128"/>
        <v>1</v>
      </c>
      <c r="JV474" s="712" t="str">
        <f>IF(JT474=KJ474,"ok","male")</f>
        <v>ok</v>
      </c>
      <c r="JW474" s="712" t="str">
        <f>IF(JU474=KK474,"ok","female")</f>
        <v>ok</v>
      </c>
      <c r="JX474" s="770">
        <v>1</v>
      </c>
      <c r="JY474" s="770"/>
      <c r="JZ474" s="770">
        <v>1</v>
      </c>
      <c r="KA474" s="770"/>
      <c r="KB474" s="770">
        <v>1</v>
      </c>
      <c r="KC474" s="770">
        <v>1</v>
      </c>
      <c r="KD474" s="770"/>
      <c r="KE474" s="770"/>
      <c r="KF474" s="770"/>
      <c r="KG474" s="770"/>
      <c r="KH474" s="770"/>
      <c r="KI474" s="770"/>
      <c r="KJ474" s="770">
        <f t="shared" si="126"/>
        <v>3</v>
      </c>
      <c r="KK474" s="770">
        <f t="shared" si="126"/>
        <v>1</v>
      </c>
      <c r="KL474" s="712" t="str">
        <f>IF(KJ474=LN474,"ok","male")</f>
        <v>ok</v>
      </c>
      <c r="KM474" s="712" t="str">
        <f>IF(KK474=LO474,"ok","female")</f>
        <v>ok</v>
      </c>
      <c r="KN474" s="770" t="s">
        <v>722</v>
      </c>
      <c r="KO474" s="770"/>
      <c r="KP474" s="770"/>
      <c r="KQ474" s="770"/>
      <c r="KR474" s="770">
        <v>1</v>
      </c>
      <c r="KS474" s="770"/>
      <c r="KT474" s="770">
        <v>1</v>
      </c>
      <c r="KU474" s="770"/>
      <c r="KV474" s="770"/>
      <c r="KW474" s="770"/>
      <c r="KX474" s="770"/>
      <c r="KY474" s="770">
        <v>1</v>
      </c>
      <c r="KZ474" s="770"/>
      <c r="LA474" s="770"/>
      <c r="LB474" s="770"/>
      <c r="LC474" s="770"/>
      <c r="LD474" s="770"/>
      <c r="LE474" s="770"/>
      <c r="LF474" s="770"/>
      <c r="LG474" s="770"/>
      <c r="LH474" s="770"/>
      <c r="LI474" s="770"/>
      <c r="LJ474" s="770">
        <v>1</v>
      </c>
      <c r="LK474" s="770"/>
      <c r="LL474" s="770"/>
      <c r="LM474" s="770"/>
      <c r="LN474" s="766">
        <f t="shared" si="111"/>
        <v>3</v>
      </c>
      <c r="LO474" s="766">
        <f t="shared" si="111"/>
        <v>1</v>
      </c>
      <c r="LP474" s="770">
        <v>1</v>
      </c>
      <c r="LQ474" s="770"/>
      <c r="LR474" s="770"/>
      <c r="LS474" s="770">
        <v>1</v>
      </c>
      <c r="LT474" s="712" t="str">
        <f>IF(LQ474=SUM(LU474:LW474),"OK","REV")</f>
        <v>OK</v>
      </c>
      <c r="LU474" s="770"/>
      <c r="LV474" s="770"/>
      <c r="LW474" s="770"/>
      <c r="LX474" s="769"/>
      <c r="LY474" s="766" t="str">
        <f t="shared" si="119"/>
        <v/>
      </c>
      <c r="LZ474" s="1709"/>
      <c r="MA474" s="1709"/>
      <c r="MB474" s="1709"/>
      <c r="MC474" s="1679">
        <f t="shared" si="110"/>
        <v>0</v>
      </c>
      <c r="MD474" s="1709"/>
      <c r="ME474" s="1709"/>
      <c r="MF474" s="1709">
        <v>6000</v>
      </c>
      <c r="MG474" s="1680">
        <f>SUM(MD474:MF474)</f>
        <v>6000</v>
      </c>
      <c r="MH474" s="770" t="s">
        <v>3545</v>
      </c>
      <c r="MI474" s="302">
        <v>7500</v>
      </c>
      <c r="MJ474" s="302">
        <v>300</v>
      </c>
      <c r="MK474" s="302">
        <v>200</v>
      </c>
      <c r="ML474" s="302">
        <v>250</v>
      </c>
      <c r="MM474" s="302"/>
      <c r="MN474" s="302"/>
      <c r="MO474" s="302"/>
      <c r="MP474" s="302">
        <v>300</v>
      </c>
      <c r="MQ474" s="302">
        <v>3000</v>
      </c>
      <c r="MR474" s="302">
        <v>150</v>
      </c>
      <c r="MS474" s="302">
        <v>200</v>
      </c>
      <c r="MT474" s="302"/>
      <c r="MU474" s="302"/>
      <c r="MV474" s="302"/>
      <c r="MW474" s="302"/>
      <c r="MX474" s="302"/>
      <c r="MY474" s="1682">
        <f t="shared" si="122"/>
        <v>11900</v>
      </c>
      <c r="MZ474" s="770" t="s">
        <v>13395</v>
      </c>
      <c r="NA474" s="770" t="s">
        <v>13065</v>
      </c>
      <c r="NB474" s="770" t="s">
        <v>13092</v>
      </c>
      <c r="NC474" s="770" t="s">
        <v>13621</v>
      </c>
      <c r="ND474" s="770">
        <v>0</v>
      </c>
      <c r="NE474" s="770">
        <v>0</v>
      </c>
      <c r="NF474" s="770">
        <v>0</v>
      </c>
      <c r="NG474" s="770">
        <v>1</v>
      </c>
      <c r="NH474" s="770">
        <v>1</v>
      </c>
      <c r="NI474" s="770">
        <v>0</v>
      </c>
      <c r="NJ474" s="770">
        <v>0</v>
      </c>
      <c r="NK474" s="770">
        <v>0</v>
      </c>
      <c r="NL474" s="770">
        <v>0</v>
      </c>
      <c r="NM474" s="770">
        <v>0</v>
      </c>
      <c r="NN474" s="770">
        <v>0</v>
      </c>
      <c r="NO474" s="770">
        <v>0</v>
      </c>
      <c r="NP474" s="770">
        <v>0</v>
      </c>
      <c r="NQ474" s="770">
        <v>0</v>
      </c>
      <c r="NR474" s="770">
        <v>0</v>
      </c>
      <c r="NS474" s="770">
        <v>0</v>
      </c>
      <c r="NT474" s="770">
        <v>0</v>
      </c>
      <c r="NU474" s="770">
        <v>0</v>
      </c>
      <c r="NV474" s="770">
        <v>0</v>
      </c>
      <c r="NW474" s="770">
        <v>0</v>
      </c>
      <c r="NX474" s="770">
        <v>0</v>
      </c>
      <c r="NY474" s="770"/>
      <c r="NZ474" s="770"/>
      <c r="OA474" s="770"/>
      <c r="OB474" s="770"/>
      <c r="OC474" s="770"/>
      <c r="OD474" s="770"/>
      <c r="OE474" s="770"/>
      <c r="OF474" s="770"/>
      <c r="OG474" s="770"/>
      <c r="OH474" s="770"/>
      <c r="OI474" s="770"/>
      <c r="OJ474" s="770"/>
      <c r="OK474" s="770"/>
      <c r="OL474" s="770"/>
      <c r="OM474" s="770"/>
      <c r="ON474" s="770"/>
      <c r="OO474" s="770"/>
      <c r="OP474" s="770"/>
      <c r="OQ474" s="770"/>
      <c r="OR474" s="770"/>
      <c r="OS474" s="770"/>
      <c r="OT474" s="770"/>
      <c r="OU474" s="770"/>
      <c r="OV474" s="770"/>
      <c r="OW474" s="770"/>
      <c r="OX474" s="770"/>
      <c r="OY474" s="770"/>
      <c r="OZ474" s="770"/>
      <c r="PA474" s="770"/>
      <c r="PB474" s="770"/>
      <c r="PC474" s="770"/>
      <c r="PD474" s="770"/>
      <c r="PE474" s="770"/>
      <c r="PF474" s="770"/>
      <c r="PG474" s="770" t="s">
        <v>1208</v>
      </c>
      <c r="PH474" s="770" t="s">
        <v>1208</v>
      </c>
      <c r="PI474" s="770"/>
      <c r="PJ474" s="770"/>
      <c r="PK474" s="770" t="s">
        <v>1208</v>
      </c>
      <c r="PL474" s="770"/>
      <c r="PM474" s="770"/>
      <c r="PN474" s="770"/>
      <c r="PO474" s="770"/>
      <c r="PP474" s="770"/>
      <c r="PQ474" s="770"/>
      <c r="PR474" s="770"/>
      <c r="PS474" s="770" t="s">
        <v>1208</v>
      </c>
      <c r="PT474" s="770" t="s">
        <v>1208</v>
      </c>
      <c r="PU474" s="770"/>
      <c r="PV474" s="770"/>
      <c r="PW474" s="770"/>
      <c r="PX474" s="770"/>
      <c r="PY474" s="770"/>
      <c r="PZ474" s="770"/>
      <c r="QA474" s="770"/>
      <c r="QB474" s="770"/>
      <c r="QC474" s="770"/>
      <c r="QD474" s="770"/>
      <c r="QE474" s="770"/>
      <c r="QF474" s="770"/>
      <c r="QG474" s="770"/>
      <c r="QH474" s="770"/>
      <c r="QI474" s="770"/>
      <c r="QJ474" s="770"/>
      <c r="QK474" s="770"/>
      <c r="QL474" s="770"/>
      <c r="QM474" s="770"/>
      <c r="QN474" s="770"/>
      <c r="QO474" s="770"/>
      <c r="QP474" s="770"/>
      <c r="QQ474" s="770"/>
      <c r="QR474" s="770"/>
      <c r="QS474" s="770"/>
      <c r="QT474" s="770"/>
      <c r="QU474" s="770"/>
      <c r="QV474" s="770"/>
      <c r="QW474" s="770"/>
      <c r="QX474" s="770"/>
      <c r="QY474" s="770"/>
      <c r="QZ474" s="770"/>
      <c r="RA474" s="770"/>
      <c r="RB474" s="770" t="s">
        <v>1207</v>
      </c>
      <c r="RC474" s="770">
        <v>2013</v>
      </c>
      <c r="RD474" s="770"/>
      <c r="RE474" s="770" t="s">
        <v>12999</v>
      </c>
      <c r="RF474" s="304">
        <v>1</v>
      </c>
      <c r="RG474" s="770" t="s">
        <v>13047</v>
      </c>
      <c r="RH474" s="302">
        <v>300</v>
      </c>
      <c r="RI474" s="770">
        <v>1</v>
      </c>
      <c r="RJ474" s="770" t="s">
        <v>13623</v>
      </c>
      <c r="RK474" s="770" t="s">
        <v>13552</v>
      </c>
      <c r="RL474" s="1710"/>
      <c r="RM474" s="12"/>
      <c r="RN474" s="1711"/>
      <c r="RO474" s="132" t="s">
        <v>2666</v>
      </c>
      <c r="RP474" s="11"/>
      <c r="RQ474" s="11"/>
      <c r="RR474" s="19" t="s">
        <v>7421</v>
      </c>
      <c r="RS474" s="1139" t="s">
        <v>12980</v>
      </c>
      <c r="RT474" s="11"/>
      <c r="RU474" s="11"/>
      <c r="RV474" s="771" t="s">
        <v>7421</v>
      </c>
      <c r="RW474" s="11" t="s">
        <v>7764</v>
      </c>
      <c r="RX474" s="11" t="s">
        <v>2655</v>
      </c>
      <c r="RY474" s="11"/>
      <c r="RZ474" s="11" t="s">
        <v>1101</v>
      </c>
      <c r="SA474" s="771"/>
      <c r="SB474" s="11"/>
      <c r="SC474" s="11"/>
    </row>
    <row r="475" spans="1:497" ht="12.75" customHeight="1">
      <c r="A475" s="19" t="s">
        <v>7421</v>
      </c>
      <c r="B475" s="752" t="s">
        <v>7691</v>
      </c>
      <c r="C475" s="132" t="s">
        <v>2672</v>
      </c>
      <c r="D475" s="94" t="s">
        <v>2673</v>
      </c>
      <c r="E475" s="770" t="s">
        <v>2621</v>
      </c>
      <c r="F475" s="770" t="s">
        <v>20</v>
      </c>
      <c r="G475" s="770" t="s">
        <v>18</v>
      </c>
      <c r="H475" s="770"/>
      <c r="I475" s="295"/>
      <c r="J475" s="94" t="s">
        <v>2674</v>
      </c>
      <c r="K475" s="766" t="s">
        <v>2669</v>
      </c>
      <c r="L475" s="766" t="s">
        <v>2645</v>
      </c>
      <c r="M475" s="770"/>
      <c r="N475" s="770"/>
      <c r="O475" s="770" t="s">
        <v>2604</v>
      </c>
      <c r="P475" s="94" t="s">
        <v>2675</v>
      </c>
      <c r="Q475" s="1088">
        <v>24014</v>
      </c>
      <c r="R475" s="297">
        <v>52</v>
      </c>
      <c r="S475" s="770" t="s">
        <v>10</v>
      </c>
      <c r="T475" s="770"/>
      <c r="U475" s="298"/>
      <c r="V475" s="770" t="s">
        <v>722</v>
      </c>
      <c r="W475" s="770"/>
      <c r="X475" s="770"/>
      <c r="Y475" s="770" t="s">
        <v>2621</v>
      </c>
      <c r="Z475" s="770" t="s">
        <v>708</v>
      </c>
      <c r="AA475" s="770" t="s">
        <v>759</v>
      </c>
      <c r="AB475" s="770" t="s">
        <v>710</v>
      </c>
      <c r="AC475" s="770"/>
      <c r="AD475" s="770" t="s">
        <v>711</v>
      </c>
      <c r="AE475" s="770"/>
      <c r="AF475" s="770" t="s">
        <v>712</v>
      </c>
      <c r="AG475" s="766" t="s">
        <v>1132</v>
      </c>
      <c r="AH475" s="766" t="s">
        <v>1096</v>
      </c>
      <c r="AI475" s="770"/>
      <c r="AJ475" s="770" t="s">
        <v>1137</v>
      </c>
      <c r="AK475" s="770" t="s">
        <v>1101</v>
      </c>
      <c r="AL475" s="531">
        <v>5.58</v>
      </c>
      <c r="AM475" s="780">
        <v>4.68</v>
      </c>
      <c r="AN475" s="532">
        <f t="shared" si="124"/>
        <v>0.83870967741935476</v>
      </c>
      <c r="AO475" s="766" t="s">
        <v>1105</v>
      </c>
      <c r="AP475" s="766"/>
      <c r="AQ475" s="766"/>
      <c r="AR475" s="766"/>
      <c r="AS475" s="770"/>
      <c r="AT475" s="770"/>
      <c r="AU475" s="770"/>
      <c r="AV475" s="770"/>
      <c r="AW475" s="770"/>
      <c r="AX475" s="770"/>
      <c r="AY475" s="770"/>
      <c r="AZ475" s="770"/>
      <c r="BA475" s="770"/>
      <c r="BB475" s="770"/>
      <c r="BC475" s="770"/>
      <c r="BD475" s="770"/>
      <c r="BE475" s="770"/>
      <c r="BF475" s="302"/>
      <c r="BG475" s="302"/>
      <c r="BH475" s="770"/>
      <c r="BI475" s="770"/>
      <c r="BJ475" s="770"/>
      <c r="BK475" s="770" t="s">
        <v>1095</v>
      </c>
      <c r="BL475" s="770" t="s">
        <v>2676</v>
      </c>
      <c r="BM475" s="766" t="s">
        <v>1096</v>
      </c>
      <c r="BN475" s="770" t="s">
        <v>1230</v>
      </c>
      <c r="BO475" s="766" t="s">
        <v>1246</v>
      </c>
      <c r="BP475" s="1109">
        <v>5.68</v>
      </c>
      <c r="BQ475" s="773">
        <v>4.68</v>
      </c>
      <c r="BR475" s="774">
        <f t="shared" si="127"/>
        <v>0.823943661971831</v>
      </c>
      <c r="BS475" s="766" t="s">
        <v>1105</v>
      </c>
      <c r="BT475" s="766" t="s">
        <v>1326</v>
      </c>
      <c r="BU475" s="766" t="s">
        <v>1264</v>
      </c>
      <c r="BV475" s="770" t="s">
        <v>1291</v>
      </c>
      <c r="BW475" s="770">
        <v>2010</v>
      </c>
      <c r="BX475" s="302"/>
      <c r="BY475" s="770"/>
      <c r="BZ475" s="302"/>
      <c r="CA475" s="770"/>
      <c r="CB475" s="770"/>
      <c r="CC475" s="770"/>
      <c r="CD475" s="770"/>
      <c r="CE475" s="770"/>
      <c r="CF475" s="1753"/>
      <c r="CG475" s="1754"/>
      <c r="CH475" s="770"/>
      <c r="CI475" s="770"/>
      <c r="CJ475" s="770"/>
      <c r="CK475" s="770"/>
      <c r="CL475" s="770"/>
      <c r="CM475" s="770"/>
      <c r="CN475" s="770"/>
      <c r="CO475" s="770"/>
      <c r="CP475" s="770"/>
      <c r="CQ475" s="770"/>
      <c r="CR475" s="302"/>
      <c r="CS475" s="770"/>
      <c r="CT475" s="770"/>
      <c r="CU475" s="305"/>
      <c r="CV475" s="770"/>
      <c r="CW475" s="770"/>
      <c r="CX475" s="770"/>
      <c r="CY475" s="770"/>
      <c r="CZ475" s="770"/>
      <c r="DA475" s="306"/>
      <c r="DB475" s="770"/>
      <c r="DC475" s="770"/>
      <c r="DD475" s="770"/>
      <c r="DE475" s="300"/>
      <c r="DF475" s="770"/>
      <c r="DG475" s="770"/>
      <c r="DH475" s="770"/>
      <c r="DI475" s="770"/>
      <c r="DJ475" s="770"/>
      <c r="DK475" s="770"/>
      <c r="DL475" s="770"/>
      <c r="DM475" s="770"/>
      <c r="DN475" s="322"/>
      <c r="DO475" s="770"/>
      <c r="DP475" s="770"/>
      <c r="DQ475" s="770"/>
      <c r="DR475" s="770"/>
      <c r="DS475" s="307"/>
      <c r="DT475" s="770"/>
      <c r="DU475" s="770"/>
      <c r="DV475" s="770"/>
      <c r="DW475" s="306"/>
      <c r="DX475" s="306"/>
      <c r="DY475" s="770"/>
      <c r="DZ475" s="770"/>
      <c r="EA475" s="770"/>
      <c r="EB475" s="770"/>
      <c r="EC475" s="770"/>
      <c r="ED475" s="770"/>
      <c r="EE475" s="770"/>
      <c r="EF475" s="770"/>
      <c r="EG475" s="770"/>
      <c r="EH475" s="770"/>
      <c r="EI475" s="770"/>
      <c r="EJ475" s="770"/>
      <c r="EK475" s="770"/>
      <c r="EL475" s="770"/>
      <c r="EM475" s="770"/>
      <c r="EN475" s="770"/>
      <c r="EO475" s="770"/>
      <c r="EP475" s="94"/>
      <c r="EQ475" s="770"/>
      <c r="ER475" s="770"/>
      <c r="ES475" s="770"/>
      <c r="ET475" s="770"/>
      <c r="EU475" s="770"/>
      <c r="EV475" s="770"/>
      <c r="EW475" s="770"/>
      <c r="EX475" s="770"/>
      <c r="EY475" s="770"/>
      <c r="EZ475" s="770"/>
      <c r="FA475" s="770"/>
      <c r="FB475" s="770"/>
      <c r="FC475" s="770"/>
      <c r="FD475" s="302"/>
      <c r="FE475" s="770"/>
      <c r="FF475" s="770"/>
      <c r="FG475" s="770"/>
      <c r="FH475" s="770" t="s">
        <v>478</v>
      </c>
      <c r="FI475" s="770">
        <v>1</v>
      </c>
      <c r="FJ475" s="770"/>
      <c r="FK475" s="770"/>
      <c r="FL475" s="770"/>
      <c r="FM475" s="302"/>
      <c r="FN475" s="302"/>
      <c r="FO475" s="302"/>
      <c r="FP475" s="766" t="s">
        <v>1602</v>
      </c>
      <c r="FQ475" s="766" t="s">
        <v>1660</v>
      </c>
      <c r="FR475" s="770" t="s">
        <v>1214</v>
      </c>
      <c r="FS475" s="770"/>
      <c r="FT475" s="770"/>
      <c r="FU475" s="770"/>
      <c r="FV475" s="770"/>
      <c r="FW475" s="770"/>
      <c r="FX475" s="770"/>
      <c r="FY475" s="770"/>
      <c r="FZ475" s="770"/>
      <c r="GA475" s="770"/>
      <c r="GB475" s="770"/>
      <c r="GC475" s="308"/>
      <c r="GD475" s="297"/>
      <c r="GE475" s="770"/>
      <c r="GF475" s="302"/>
      <c r="GG475" s="302"/>
      <c r="GH475" s="712" t="s">
        <v>1791</v>
      </c>
      <c r="GI475" s="766" t="s">
        <v>2352</v>
      </c>
      <c r="GJ475" s="766"/>
      <c r="GK475" s="770" t="s">
        <v>2345</v>
      </c>
      <c r="GL475" s="766"/>
      <c r="GM475" s="766"/>
      <c r="GN475" s="121">
        <v>300</v>
      </c>
      <c r="GO475" s="766" t="s">
        <v>2677</v>
      </c>
      <c r="GP475" s="766" t="s">
        <v>1208</v>
      </c>
      <c r="GQ475" s="766"/>
      <c r="GR475" s="766"/>
      <c r="GS475" s="766"/>
      <c r="GT475" s="766"/>
      <c r="GU475" s="766"/>
      <c r="GV475" s="766"/>
      <c r="GW475" s="766" t="s">
        <v>1207</v>
      </c>
      <c r="GX475" s="766"/>
      <c r="GY475" s="766" t="s">
        <v>1208</v>
      </c>
      <c r="GZ475" s="766" t="s">
        <v>1208</v>
      </c>
      <c r="HA475" s="766" t="s">
        <v>1208</v>
      </c>
      <c r="HB475" s="766" t="s">
        <v>1208</v>
      </c>
      <c r="HC475" s="766"/>
      <c r="HD475" s="766" t="s">
        <v>1208</v>
      </c>
      <c r="HE475" s="766" t="s">
        <v>1208</v>
      </c>
      <c r="HF475" s="766"/>
      <c r="HG475" s="766"/>
      <c r="HH475" s="766"/>
      <c r="HI475" s="766" t="s">
        <v>1214</v>
      </c>
      <c r="HJ475" s="766"/>
      <c r="HK475" s="766"/>
      <c r="HL475" s="766"/>
      <c r="HM475" s="766"/>
      <c r="HN475" s="766"/>
      <c r="HO475" s="766"/>
      <c r="HP475" s="766"/>
      <c r="HQ475" s="766"/>
      <c r="HR475" s="770"/>
      <c r="HS475" s="770"/>
      <c r="HT475" s="770"/>
      <c r="HU475" s="770"/>
      <c r="HV475" s="770"/>
      <c r="HW475" s="770"/>
      <c r="HX475" s="770"/>
      <c r="HY475" s="770"/>
      <c r="HZ475" s="770"/>
      <c r="IA475" s="770"/>
      <c r="IB475" s="14" t="e">
        <f>IF(#REF!&gt;0,IF(#REF!&lt;=10000,"Y",""),"")</f>
        <v>#REF!</v>
      </c>
      <c r="IC475" s="770" t="s">
        <v>1207</v>
      </c>
      <c r="ID475" s="770"/>
      <c r="IE475" s="770"/>
      <c r="IF475" s="770"/>
      <c r="IG475" s="770"/>
      <c r="IH475" s="770"/>
      <c r="II475" s="770"/>
      <c r="IJ475" s="770"/>
      <c r="IK475" s="770"/>
      <c r="IL475" s="770"/>
      <c r="IM475" s="770"/>
      <c r="IN475" s="770"/>
      <c r="IO475" s="296"/>
      <c r="IP475" s="770"/>
      <c r="IQ475" s="770"/>
      <c r="IR475" s="770"/>
      <c r="IS475" s="770"/>
      <c r="IT475" s="770"/>
      <c r="IU475" s="770"/>
      <c r="IV475" s="770"/>
      <c r="IW475" s="770"/>
      <c r="IX475" s="770"/>
      <c r="IY475" s="770"/>
      <c r="IZ475" s="770"/>
      <c r="JA475" s="770"/>
      <c r="JB475" s="770"/>
      <c r="JC475" s="770"/>
      <c r="JD475" s="302"/>
      <c r="JE475" s="770"/>
      <c r="JF475" s="770"/>
      <c r="JG475" s="770"/>
      <c r="JH475" s="307"/>
      <c r="JI475" s="307"/>
      <c r="JJ475" s="770">
        <v>3</v>
      </c>
      <c r="JK475" s="1139" t="s">
        <v>3752</v>
      </c>
      <c r="JL475" s="770"/>
      <c r="JM475" s="770"/>
      <c r="JN475" s="770">
        <v>2</v>
      </c>
      <c r="JO475" s="770">
        <v>1</v>
      </c>
      <c r="JP475" s="770"/>
      <c r="JQ475" s="770"/>
      <c r="JR475" s="770"/>
      <c r="JS475" s="770"/>
      <c r="JT475" s="766">
        <f t="shared" si="128"/>
        <v>2</v>
      </c>
      <c r="JU475" s="766">
        <f t="shared" si="128"/>
        <v>1</v>
      </c>
      <c r="JV475" s="712" t="str">
        <f>IF(JT475=KJ475,"ok","male")</f>
        <v>ok</v>
      </c>
      <c r="JW475" s="712" t="str">
        <f>IF(JU475=KK475,"ok","female")</f>
        <v>ok</v>
      </c>
      <c r="JX475" s="770"/>
      <c r="JY475" s="770"/>
      <c r="JZ475" s="770"/>
      <c r="KA475" s="770"/>
      <c r="KB475" s="770">
        <v>1</v>
      </c>
      <c r="KC475" s="770"/>
      <c r="KD475" s="770">
        <v>1</v>
      </c>
      <c r="KE475" s="770">
        <v>1</v>
      </c>
      <c r="KF475" s="770"/>
      <c r="KG475" s="770"/>
      <c r="KH475" s="770"/>
      <c r="KI475" s="770"/>
      <c r="KJ475" s="770">
        <f t="shared" si="126"/>
        <v>2</v>
      </c>
      <c r="KK475" s="770">
        <f t="shared" si="126"/>
        <v>1</v>
      </c>
      <c r="KL475" s="712" t="str">
        <f>IF(KJ475=LN475,"ok","male")</f>
        <v>ok</v>
      </c>
      <c r="KM475" s="712" t="str">
        <f>IF(KK475=LO475,"ok","female")</f>
        <v>ok</v>
      </c>
      <c r="KN475" s="770" t="s">
        <v>722</v>
      </c>
      <c r="KO475" s="770"/>
      <c r="KP475" s="770"/>
      <c r="KQ475" s="770"/>
      <c r="KR475" s="770"/>
      <c r="KS475" s="770"/>
      <c r="KT475" s="770"/>
      <c r="KU475" s="770"/>
      <c r="KV475" s="770"/>
      <c r="KW475" s="770">
        <v>1</v>
      </c>
      <c r="KX475" s="770">
        <v>1</v>
      </c>
      <c r="KY475" s="770"/>
      <c r="KZ475" s="770">
        <v>1</v>
      </c>
      <c r="LA475" s="770"/>
      <c r="LB475" s="770"/>
      <c r="LC475" s="770"/>
      <c r="LD475" s="770"/>
      <c r="LE475" s="770"/>
      <c r="LF475" s="770"/>
      <c r="LG475" s="770"/>
      <c r="LH475" s="770"/>
      <c r="LI475" s="770"/>
      <c r="LJ475" s="770"/>
      <c r="LK475" s="770"/>
      <c r="LL475" s="770"/>
      <c r="LM475" s="770"/>
      <c r="LN475" s="766">
        <f t="shared" si="111"/>
        <v>2</v>
      </c>
      <c r="LO475" s="766">
        <f t="shared" si="111"/>
        <v>1</v>
      </c>
      <c r="LP475" s="770">
        <v>1</v>
      </c>
      <c r="LQ475" s="770">
        <v>1</v>
      </c>
      <c r="LR475" s="770"/>
      <c r="LS475" s="770"/>
      <c r="LT475" s="712" t="str">
        <f>IF(LQ475=SUM(LU475:LW475),"OK","REV")</f>
        <v>OK</v>
      </c>
      <c r="LU475" s="770">
        <v>1</v>
      </c>
      <c r="LV475" s="770"/>
      <c r="LW475" s="770"/>
      <c r="LX475" s="769">
        <v>3</v>
      </c>
      <c r="LY475" s="766" t="str">
        <f t="shared" si="119"/>
        <v>within the PROVINCE</v>
      </c>
      <c r="LZ475" s="1709">
        <f>30*30</f>
        <v>900</v>
      </c>
      <c r="MA475" s="1709"/>
      <c r="MB475" s="1709"/>
      <c r="MC475" s="1679">
        <f t="shared" si="110"/>
        <v>900</v>
      </c>
      <c r="MD475" s="1709">
        <v>12000</v>
      </c>
      <c r="ME475" s="1709"/>
      <c r="MF475" s="1709"/>
      <c r="MG475" s="1680">
        <f>SUM(MD475:MF475)</f>
        <v>12000</v>
      </c>
      <c r="MH475" s="770" t="s">
        <v>3640</v>
      </c>
      <c r="MI475" s="302">
        <v>15000</v>
      </c>
      <c r="MJ475" s="302">
        <v>900</v>
      </c>
      <c r="MK475" s="302">
        <v>300</v>
      </c>
      <c r="ML475" s="302">
        <v>400</v>
      </c>
      <c r="MM475" s="302"/>
      <c r="MN475" s="302"/>
      <c r="MO475" s="302">
        <v>800</v>
      </c>
      <c r="MP475" s="302">
        <v>100</v>
      </c>
      <c r="MQ475" s="302">
        <v>200</v>
      </c>
      <c r="MR475" s="302">
        <v>500</v>
      </c>
      <c r="MS475" s="302">
        <v>2000</v>
      </c>
      <c r="MT475" s="302"/>
      <c r="MU475" s="302"/>
      <c r="MV475" s="302"/>
      <c r="MW475" s="302"/>
      <c r="MX475" s="302"/>
      <c r="MY475" s="1682">
        <f t="shared" si="122"/>
        <v>20200</v>
      </c>
      <c r="MZ475" s="770" t="s">
        <v>13395</v>
      </c>
      <c r="NA475" s="770" t="s">
        <v>13005</v>
      </c>
      <c r="NB475" s="770" t="s">
        <v>13016</v>
      </c>
      <c r="NC475" s="770" t="s">
        <v>13602</v>
      </c>
      <c r="ND475" s="770">
        <v>0</v>
      </c>
      <c r="NE475" s="770">
        <v>0</v>
      </c>
      <c r="NF475" s="770">
        <v>0</v>
      </c>
      <c r="NG475" s="770">
        <v>3</v>
      </c>
      <c r="NH475" s="770">
        <v>2</v>
      </c>
      <c r="NI475" s="770">
        <v>1</v>
      </c>
      <c r="NJ475" s="770">
        <v>1</v>
      </c>
      <c r="NK475" s="770">
        <v>0</v>
      </c>
      <c r="NL475" s="770">
        <v>0</v>
      </c>
      <c r="NM475" s="770">
        <v>1</v>
      </c>
      <c r="NN475" s="770">
        <v>0</v>
      </c>
      <c r="NO475" s="770">
        <v>0</v>
      </c>
      <c r="NP475" s="770">
        <v>0</v>
      </c>
      <c r="NQ475" s="770">
        <v>0</v>
      </c>
      <c r="NR475" s="770">
        <v>0</v>
      </c>
      <c r="NS475" s="770">
        <v>0</v>
      </c>
      <c r="NT475" s="770">
        <v>0</v>
      </c>
      <c r="NU475" s="770">
        <v>0</v>
      </c>
      <c r="NV475" s="770">
        <v>0</v>
      </c>
      <c r="NW475" s="770">
        <v>0</v>
      </c>
      <c r="NX475" s="770">
        <v>0</v>
      </c>
      <c r="NY475" s="770" t="s">
        <v>1208</v>
      </c>
      <c r="NZ475" s="770"/>
      <c r="OA475" s="770"/>
      <c r="OB475" s="770" t="s">
        <v>1208</v>
      </c>
      <c r="OC475" s="770" t="s">
        <v>1208</v>
      </c>
      <c r="OD475" s="770"/>
      <c r="OE475" s="770"/>
      <c r="OF475" s="770" t="s">
        <v>2143</v>
      </c>
      <c r="OG475" s="770"/>
      <c r="OH475" s="770"/>
      <c r="OI475" s="770"/>
      <c r="OJ475" s="770"/>
      <c r="OK475" s="770" t="s">
        <v>1208</v>
      </c>
      <c r="OL475" s="770" t="s">
        <v>13548</v>
      </c>
      <c r="OM475" s="770" t="s">
        <v>12888</v>
      </c>
      <c r="ON475" s="770" t="s">
        <v>13532</v>
      </c>
      <c r="OO475" s="770" t="s">
        <v>1207</v>
      </c>
      <c r="OP475" s="770" t="s">
        <v>13548</v>
      </c>
      <c r="OQ475" s="770" t="s">
        <v>12888</v>
      </c>
      <c r="OR475" s="770" t="s">
        <v>13532</v>
      </c>
      <c r="OS475" s="770" t="s">
        <v>12885</v>
      </c>
      <c r="OT475" s="770" t="s">
        <v>13579</v>
      </c>
      <c r="OU475" s="770" t="s">
        <v>12890</v>
      </c>
      <c r="OV475" s="770" t="s">
        <v>1208</v>
      </c>
      <c r="OW475" s="770" t="s">
        <v>1208</v>
      </c>
      <c r="OX475" s="770" t="s">
        <v>1208</v>
      </c>
      <c r="OY475" s="770" t="s">
        <v>1208</v>
      </c>
      <c r="OZ475" s="770"/>
      <c r="PA475" s="770" t="s">
        <v>1208</v>
      </c>
      <c r="PB475" s="770" t="s">
        <v>1208</v>
      </c>
      <c r="PC475" s="770"/>
      <c r="PD475" s="770"/>
      <c r="PE475" s="770"/>
      <c r="PF475" s="770"/>
      <c r="PG475" s="770"/>
      <c r="PH475" s="770" t="s">
        <v>1208</v>
      </c>
      <c r="PI475" s="770" t="s">
        <v>1208</v>
      </c>
      <c r="PJ475" s="770"/>
      <c r="PK475" s="770" t="s">
        <v>1208</v>
      </c>
      <c r="PL475" s="770" t="s">
        <v>1208</v>
      </c>
      <c r="PM475" s="770"/>
      <c r="PN475" s="770"/>
      <c r="PO475" s="770"/>
      <c r="PP475" s="770"/>
      <c r="PQ475" s="770"/>
      <c r="PR475" s="770"/>
      <c r="PS475" s="770"/>
      <c r="PT475" s="770"/>
      <c r="PU475" s="770"/>
      <c r="PV475" s="770"/>
      <c r="PW475" s="770"/>
      <c r="PX475" s="770"/>
      <c r="PY475" s="770"/>
      <c r="PZ475" s="770"/>
      <c r="QA475" s="770"/>
      <c r="QB475" s="770"/>
      <c r="QC475" s="770"/>
      <c r="QD475" s="770"/>
      <c r="QE475" s="770"/>
      <c r="QF475" s="770"/>
      <c r="QG475" s="770"/>
      <c r="QH475" s="770"/>
      <c r="QI475" s="770"/>
      <c r="QJ475" s="770"/>
      <c r="QK475" s="770"/>
      <c r="QL475" s="770"/>
      <c r="QM475" s="770"/>
      <c r="QN475" s="770"/>
      <c r="QO475" s="770"/>
      <c r="QP475" s="770"/>
      <c r="QQ475" s="770"/>
      <c r="QR475" s="770"/>
      <c r="QS475" s="770"/>
      <c r="QT475" s="770"/>
      <c r="QU475" s="770"/>
      <c r="QV475" s="770"/>
      <c r="QW475" s="770"/>
      <c r="QX475" s="770"/>
      <c r="QY475" s="770"/>
      <c r="QZ475" s="770"/>
      <c r="RA475" s="770"/>
      <c r="RB475" s="770" t="s">
        <v>1207</v>
      </c>
      <c r="RC475" s="770">
        <v>2016</v>
      </c>
      <c r="RD475" s="770" t="s">
        <v>13589</v>
      </c>
      <c r="RE475" s="770" t="s">
        <v>12999</v>
      </c>
      <c r="RF475" s="304">
        <v>4</v>
      </c>
      <c r="RG475" s="770" t="s">
        <v>13047</v>
      </c>
      <c r="RH475" s="302">
        <v>500</v>
      </c>
      <c r="RI475" s="770">
        <v>24</v>
      </c>
      <c r="RJ475" s="770" t="s">
        <v>13624</v>
      </c>
      <c r="RK475" s="770" t="s">
        <v>13544</v>
      </c>
      <c r="RL475" s="1710"/>
      <c r="RM475" s="12"/>
      <c r="RN475" s="1711"/>
      <c r="RO475" s="132" t="s">
        <v>2672</v>
      </c>
      <c r="RP475" s="11"/>
      <c r="RQ475" s="11"/>
      <c r="RR475" s="19" t="s">
        <v>7421</v>
      </c>
      <c r="RS475" s="1139" t="s">
        <v>12980</v>
      </c>
      <c r="RT475" s="11"/>
      <c r="RU475" s="11"/>
      <c r="RV475" s="771" t="s">
        <v>7421</v>
      </c>
      <c r="RW475" s="11" t="s">
        <v>7689</v>
      </c>
      <c r="RX475" s="11" t="s">
        <v>2661</v>
      </c>
      <c r="RY475" s="11"/>
      <c r="RZ475" s="11" t="s">
        <v>1101</v>
      </c>
      <c r="SA475" s="771"/>
      <c r="SB475" s="11"/>
      <c r="SC475" s="11"/>
    </row>
    <row r="476" spans="1:497" ht="12.75" customHeight="1">
      <c r="A476" s="19" t="s">
        <v>7421</v>
      </c>
      <c r="B476" s="752" t="s">
        <v>7692</v>
      </c>
      <c r="C476" s="132" t="s">
        <v>2678</v>
      </c>
      <c r="D476" s="94" t="s">
        <v>2679</v>
      </c>
      <c r="E476" s="770" t="s">
        <v>2621</v>
      </c>
      <c r="F476" s="770" t="s">
        <v>20</v>
      </c>
      <c r="G476" s="770" t="s">
        <v>18</v>
      </c>
      <c r="H476" s="770"/>
      <c r="I476" s="295"/>
      <c r="J476" s="94" t="s">
        <v>2680</v>
      </c>
      <c r="K476" s="766" t="s">
        <v>2652</v>
      </c>
      <c r="L476" s="766" t="s">
        <v>2681</v>
      </c>
      <c r="M476" s="770" t="s">
        <v>1238</v>
      </c>
      <c r="N476" s="770"/>
      <c r="O476" s="770" t="s">
        <v>2604</v>
      </c>
      <c r="P476" s="94" t="s">
        <v>2682</v>
      </c>
      <c r="Q476" s="1088">
        <v>27682</v>
      </c>
      <c r="R476" s="297">
        <v>42</v>
      </c>
      <c r="S476" s="770" t="s">
        <v>10</v>
      </c>
      <c r="T476" s="770"/>
      <c r="U476" s="298" t="s">
        <v>2683</v>
      </c>
      <c r="V476" s="770" t="s">
        <v>707</v>
      </c>
      <c r="W476" s="770"/>
      <c r="X476" s="770"/>
      <c r="Y476" s="770" t="s">
        <v>2621</v>
      </c>
      <c r="Z476" s="770" t="s">
        <v>708</v>
      </c>
      <c r="AA476" s="770" t="s">
        <v>739</v>
      </c>
      <c r="AB476" s="770" t="s">
        <v>710</v>
      </c>
      <c r="AC476" s="770"/>
      <c r="AD476" s="770" t="s">
        <v>711</v>
      </c>
      <c r="AE476" s="770"/>
      <c r="AF476" s="770" t="s">
        <v>712</v>
      </c>
      <c r="AG476" s="766" t="s">
        <v>1132</v>
      </c>
      <c r="AH476" s="766" t="s">
        <v>1096</v>
      </c>
      <c r="AI476" s="770"/>
      <c r="AJ476" s="770" t="s">
        <v>1137</v>
      </c>
      <c r="AK476" s="770" t="s">
        <v>1101</v>
      </c>
      <c r="AL476" s="531">
        <v>10.516</v>
      </c>
      <c r="AM476" s="780">
        <v>1.32</v>
      </c>
      <c r="AN476" s="532">
        <f t="shared" si="124"/>
        <v>0.12552301255230125</v>
      </c>
      <c r="AO476" s="766" t="s">
        <v>1109</v>
      </c>
      <c r="AP476" s="766"/>
      <c r="AQ476" s="766"/>
      <c r="AR476" s="766"/>
      <c r="AS476" s="770"/>
      <c r="AT476" s="770"/>
      <c r="AU476" s="770"/>
      <c r="AV476" s="770"/>
      <c r="AW476" s="770"/>
      <c r="AX476" s="770"/>
      <c r="AY476" s="770"/>
      <c r="AZ476" s="770"/>
      <c r="BA476" s="770"/>
      <c r="BB476" s="770"/>
      <c r="BC476" s="770"/>
      <c r="BD476" s="770"/>
      <c r="BE476" s="770"/>
      <c r="BF476" s="302"/>
      <c r="BG476" s="302"/>
      <c r="BH476" s="770"/>
      <c r="BI476" s="770"/>
      <c r="BJ476" s="770"/>
      <c r="BK476" s="770" t="s">
        <v>1095</v>
      </c>
      <c r="BL476" s="770" t="s">
        <v>2684</v>
      </c>
      <c r="BM476" s="766" t="s">
        <v>1096</v>
      </c>
      <c r="BN476" s="770" t="s">
        <v>1230</v>
      </c>
      <c r="BO476" s="766" t="s">
        <v>1246</v>
      </c>
      <c r="BP476" s="1109">
        <v>10.516</v>
      </c>
      <c r="BQ476" s="773">
        <v>1.32</v>
      </c>
      <c r="BR476" s="774">
        <f t="shared" si="127"/>
        <v>0.12552301255230125</v>
      </c>
      <c r="BS476" s="766" t="s">
        <v>1242</v>
      </c>
      <c r="BT476" s="766" t="s">
        <v>1326</v>
      </c>
      <c r="BU476" s="770" t="s">
        <v>1249</v>
      </c>
      <c r="BV476" s="770" t="s">
        <v>1247</v>
      </c>
      <c r="BW476" s="770">
        <v>2009</v>
      </c>
      <c r="BX476" s="302"/>
      <c r="BY476" s="770"/>
      <c r="BZ476" s="302"/>
      <c r="CA476" s="770"/>
      <c r="CB476" s="770"/>
      <c r="CC476" s="770"/>
      <c r="CD476" s="770"/>
      <c r="CE476" s="770"/>
      <c r="CF476" s="1753"/>
      <c r="CG476" s="1754"/>
      <c r="CH476" s="770"/>
      <c r="CI476" s="770"/>
      <c r="CJ476" s="770"/>
      <c r="CK476" s="770"/>
      <c r="CL476" s="770"/>
      <c r="CM476" s="770"/>
      <c r="CN476" s="770"/>
      <c r="CO476" s="770"/>
      <c r="CP476" s="770"/>
      <c r="CQ476" s="770"/>
      <c r="CR476" s="302"/>
      <c r="CS476" s="770"/>
      <c r="CT476" s="770"/>
      <c r="CU476" s="305"/>
      <c r="CV476" s="770"/>
      <c r="CW476" s="770"/>
      <c r="CX476" s="770"/>
      <c r="CY476" s="770"/>
      <c r="CZ476" s="770"/>
      <c r="DA476" s="306"/>
      <c r="DB476" s="770"/>
      <c r="DC476" s="770"/>
      <c r="DD476" s="770"/>
      <c r="DE476" s="300"/>
      <c r="DF476" s="770"/>
      <c r="DG476" s="770"/>
      <c r="DH476" s="770"/>
      <c r="DI476" s="770"/>
      <c r="DJ476" s="770"/>
      <c r="DK476" s="770"/>
      <c r="DL476" s="770"/>
      <c r="DM476" s="770"/>
      <c r="DN476" s="322"/>
      <c r="DO476" s="770"/>
      <c r="DP476" s="770"/>
      <c r="DQ476" s="770"/>
      <c r="DR476" s="770"/>
      <c r="DS476" s="307"/>
      <c r="DT476" s="770"/>
      <c r="DU476" s="770"/>
      <c r="DV476" s="770"/>
      <c r="DW476" s="306"/>
      <c r="DX476" s="306"/>
      <c r="DY476" s="770"/>
      <c r="DZ476" s="770"/>
      <c r="EA476" s="770"/>
      <c r="EB476" s="770"/>
      <c r="EC476" s="770"/>
      <c r="ED476" s="770"/>
      <c r="EE476" s="770"/>
      <c r="EF476" s="770"/>
      <c r="EG476" s="770"/>
      <c r="EH476" s="770"/>
      <c r="EI476" s="770"/>
      <c r="EJ476" s="770"/>
      <c r="EK476" s="770"/>
      <c r="EL476" s="770"/>
      <c r="EM476" s="770"/>
      <c r="EN476" s="770"/>
      <c r="EO476" s="770"/>
      <c r="EP476" s="94"/>
      <c r="EQ476" s="770"/>
      <c r="ER476" s="770"/>
      <c r="ES476" s="770"/>
      <c r="ET476" s="770"/>
      <c r="EU476" s="770"/>
      <c r="EV476" s="770"/>
      <c r="EW476" s="770"/>
      <c r="EX476" s="770"/>
      <c r="EY476" s="770"/>
      <c r="EZ476" s="770"/>
      <c r="FA476" s="770"/>
      <c r="FB476" s="770"/>
      <c r="FC476" s="770"/>
      <c r="FD476" s="302"/>
      <c r="FE476" s="770"/>
      <c r="FF476" s="770"/>
      <c r="FG476" s="770"/>
      <c r="FH476" s="770" t="s">
        <v>478</v>
      </c>
      <c r="FI476" s="770">
        <v>1</v>
      </c>
      <c r="FJ476" s="770"/>
      <c r="FK476" s="770"/>
      <c r="FL476" s="770"/>
      <c r="FM476" s="302"/>
      <c r="FN476" s="302"/>
      <c r="FO476" s="302"/>
      <c r="FP476" s="770" t="s">
        <v>1600</v>
      </c>
      <c r="FQ476" s="770" t="s">
        <v>3940</v>
      </c>
      <c r="FR476" s="770"/>
      <c r="FS476" s="770"/>
      <c r="FT476" s="770"/>
      <c r="FU476" s="770"/>
      <c r="FV476" s="770"/>
      <c r="FW476" s="770"/>
      <c r="FX476" s="770"/>
      <c r="FY476" s="770"/>
      <c r="FZ476" s="770"/>
      <c r="GA476" s="770"/>
      <c r="GB476" s="770"/>
      <c r="GC476" s="308"/>
      <c r="GD476" s="297"/>
      <c r="GE476" s="770"/>
      <c r="GF476" s="302"/>
      <c r="GG476" s="302"/>
      <c r="GH476" s="766" t="s">
        <v>1791</v>
      </c>
      <c r="GI476" s="766" t="s">
        <v>2352</v>
      </c>
      <c r="GJ476" s="766"/>
      <c r="GK476" s="766" t="s">
        <v>2685</v>
      </c>
      <c r="GL476" s="766"/>
      <c r="GM476" s="766"/>
      <c r="GN476" s="121">
        <v>1000</v>
      </c>
      <c r="GO476" s="766" t="s">
        <v>2664</v>
      </c>
      <c r="GP476" s="766"/>
      <c r="GQ476" s="766" t="s">
        <v>1208</v>
      </c>
      <c r="GR476" s="766" t="s">
        <v>1208</v>
      </c>
      <c r="GS476" s="766" t="s">
        <v>1208</v>
      </c>
      <c r="GT476" s="766" t="s">
        <v>1208</v>
      </c>
      <c r="GU476" s="766"/>
      <c r="GV476" s="766"/>
      <c r="GW476" s="766" t="s">
        <v>1207</v>
      </c>
      <c r="GX476" s="766"/>
      <c r="GY476" s="766" t="s">
        <v>1208</v>
      </c>
      <c r="GZ476" s="766" t="s">
        <v>1208</v>
      </c>
      <c r="HA476" s="766" t="s">
        <v>1208</v>
      </c>
      <c r="HB476" s="766" t="s">
        <v>1208</v>
      </c>
      <c r="HC476" s="766" t="s">
        <v>1208</v>
      </c>
      <c r="HD476" s="766" t="s">
        <v>1208</v>
      </c>
      <c r="HE476" s="766" t="s">
        <v>1208</v>
      </c>
      <c r="HF476" s="766"/>
      <c r="HG476" s="766"/>
      <c r="HH476" s="766"/>
      <c r="HI476" s="766" t="s">
        <v>1214</v>
      </c>
      <c r="HJ476" s="766"/>
      <c r="HK476" s="766"/>
      <c r="HL476" s="766"/>
      <c r="HM476" s="766"/>
      <c r="HN476" s="766"/>
      <c r="HO476" s="766"/>
      <c r="HP476" s="766"/>
      <c r="HQ476" s="766"/>
      <c r="HR476" s="770"/>
      <c r="HS476" s="770"/>
      <c r="HT476" s="770"/>
      <c r="HU476" s="770"/>
      <c r="HV476" s="770"/>
      <c r="HW476" s="770"/>
      <c r="HX476" s="770"/>
      <c r="HY476" s="770"/>
      <c r="HZ476" s="770"/>
      <c r="IA476" s="770"/>
      <c r="IB476" s="14" t="e">
        <f>IF(#REF!&gt;0,IF(#REF!&lt;=10000,"Y",""),"")</f>
        <v>#REF!</v>
      </c>
      <c r="IC476" s="770" t="s">
        <v>1207</v>
      </c>
      <c r="ID476" s="770"/>
      <c r="IE476" s="770"/>
      <c r="IF476" s="770"/>
      <c r="IG476" s="770"/>
      <c r="IH476" s="770"/>
      <c r="II476" s="770"/>
      <c r="IJ476" s="770"/>
      <c r="IK476" s="770"/>
      <c r="IL476" s="770"/>
      <c r="IM476" s="770"/>
      <c r="IN476" s="770"/>
      <c r="IO476" s="296"/>
      <c r="IP476" s="770"/>
      <c r="IQ476" s="770"/>
      <c r="IR476" s="770"/>
      <c r="IS476" s="770"/>
      <c r="IT476" s="770"/>
      <c r="IU476" s="770"/>
      <c r="IV476" s="770"/>
      <c r="IW476" s="770"/>
      <c r="IX476" s="770"/>
      <c r="IY476" s="770"/>
      <c r="IZ476" s="770"/>
      <c r="JA476" s="770"/>
      <c r="JB476" s="770"/>
      <c r="JC476" s="770"/>
      <c r="JD476" s="302"/>
      <c r="JE476" s="770"/>
      <c r="JF476" s="770"/>
      <c r="JG476" s="770"/>
      <c r="JH476" s="307"/>
      <c r="JI476" s="307"/>
      <c r="JJ476" s="770">
        <v>7</v>
      </c>
      <c r="JK476" s="1139" t="s">
        <v>3753</v>
      </c>
      <c r="JL476" s="770">
        <v>2</v>
      </c>
      <c r="JM476" s="770">
        <v>2</v>
      </c>
      <c r="JN476" s="770">
        <v>1</v>
      </c>
      <c r="JO476" s="770">
        <v>2</v>
      </c>
      <c r="JP476" s="770"/>
      <c r="JQ476" s="770"/>
      <c r="JR476" s="770"/>
      <c r="JS476" s="770"/>
      <c r="JT476" s="766">
        <f t="shared" si="128"/>
        <v>3</v>
      </c>
      <c r="JU476" s="766">
        <f t="shared" si="128"/>
        <v>4</v>
      </c>
      <c r="JV476" s="712" t="str">
        <f>IF(JT476=KJ476,"ok","male")</f>
        <v>ok</v>
      </c>
      <c r="JW476" s="712" t="str">
        <f>IF(JU476=KK476,"ok","female")</f>
        <v>ok</v>
      </c>
      <c r="JX476" s="770">
        <v>1</v>
      </c>
      <c r="JY476" s="770"/>
      <c r="JZ476" s="770">
        <v>1</v>
      </c>
      <c r="KA476" s="770">
        <v>2</v>
      </c>
      <c r="KB476" s="770"/>
      <c r="KC476" s="770"/>
      <c r="KD476" s="770">
        <v>1</v>
      </c>
      <c r="KE476" s="770">
        <v>2</v>
      </c>
      <c r="KF476" s="770"/>
      <c r="KG476" s="770"/>
      <c r="KH476" s="770"/>
      <c r="KI476" s="770"/>
      <c r="KJ476" s="770">
        <f t="shared" si="126"/>
        <v>3</v>
      </c>
      <c r="KK476" s="770">
        <f t="shared" si="126"/>
        <v>4</v>
      </c>
      <c r="KL476" s="712" t="str">
        <f>IF(KJ476=LN476,"ok","male")</f>
        <v>ok</v>
      </c>
      <c r="KM476" s="712" t="str">
        <f>IF(KK476=LO476,"ok","female")</f>
        <v>ok</v>
      </c>
      <c r="KN476" s="770" t="s">
        <v>707</v>
      </c>
      <c r="KO476" s="770"/>
      <c r="KP476" s="770"/>
      <c r="KQ476" s="770"/>
      <c r="KR476" s="770"/>
      <c r="KS476" s="770"/>
      <c r="KT476" s="770">
        <v>1</v>
      </c>
      <c r="KU476" s="770"/>
      <c r="KV476" s="770"/>
      <c r="KW476" s="770">
        <v>2</v>
      </c>
      <c r="KX476" s="770"/>
      <c r="KY476" s="770"/>
      <c r="KZ476" s="770">
        <v>1</v>
      </c>
      <c r="LA476" s="770">
        <v>1</v>
      </c>
      <c r="LB476" s="770"/>
      <c r="LC476" s="770">
        <v>1</v>
      </c>
      <c r="LD476" s="770"/>
      <c r="LE476" s="770"/>
      <c r="LF476" s="770"/>
      <c r="LG476" s="770"/>
      <c r="LH476" s="770"/>
      <c r="LI476" s="770"/>
      <c r="LJ476" s="770">
        <v>1</v>
      </c>
      <c r="LK476" s="770"/>
      <c r="LL476" s="770"/>
      <c r="LM476" s="770"/>
      <c r="LN476" s="766">
        <f t="shared" si="111"/>
        <v>3</v>
      </c>
      <c r="LO476" s="766">
        <f t="shared" si="111"/>
        <v>4</v>
      </c>
      <c r="LP476" s="770">
        <v>3</v>
      </c>
      <c r="LQ476" s="770">
        <v>2</v>
      </c>
      <c r="LR476" s="770"/>
      <c r="LS476" s="770">
        <v>1</v>
      </c>
      <c r="LT476" s="712" t="str">
        <f>IF(LQ476=SUM(LU476:LW476),"OK","REV")</f>
        <v>OK</v>
      </c>
      <c r="LU476" s="770">
        <v>1</v>
      </c>
      <c r="LV476" s="770">
        <v>1</v>
      </c>
      <c r="LW476" s="770"/>
      <c r="LX476" s="769">
        <v>3</v>
      </c>
      <c r="LY476" s="766" t="str">
        <f t="shared" si="119"/>
        <v>within the PROVINCE</v>
      </c>
      <c r="LZ476" s="1709">
        <v>4000</v>
      </c>
      <c r="MA476" s="1709"/>
      <c r="MB476" s="1709"/>
      <c r="MC476" s="1679">
        <f t="shared" si="110"/>
        <v>4000</v>
      </c>
      <c r="MD476" s="1696">
        <v>9000</v>
      </c>
      <c r="ME476" s="1696"/>
      <c r="MF476" s="1696">
        <v>500</v>
      </c>
      <c r="MG476" s="1680">
        <f>SUM(MD476:MF476)</f>
        <v>9500</v>
      </c>
      <c r="MH476" s="770" t="s">
        <v>13625</v>
      </c>
      <c r="MI476" s="302">
        <v>6000</v>
      </c>
      <c r="MJ476" s="302">
        <v>4000</v>
      </c>
      <c r="MK476" s="302">
        <v>42</v>
      </c>
      <c r="ML476" s="302">
        <v>2000</v>
      </c>
      <c r="MM476" s="302">
        <v>2000</v>
      </c>
      <c r="MN476" s="302"/>
      <c r="MO476" s="302">
        <v>800</v>
      </c>
      <c r="MP476" s="302">
        <v>500</v>
      </c>
      <c r="MQ476" s="302">
        <v>307</v>
      </c>
      <c r="MR476" s="302">
        <v>200</v>
      </c>
      <c r="MS476" s="302">
        <v>42</v>
      </c>
      <c r="MT476" s="302"/>
      <c r="MU476" s="302"/>
      <c r="MV476" s="302"/>
      <c r="MW476" s="302"/>
      <c r="MX476" s="302"/>
      <c r="MY476" s="1682">
        <f t="shared" si="122"/>
        <v>15891</v>
      </c>
      <c r="MZ476" s="770" t="s">
        <v>13395</v>
      </c>
      <c r="NA476" s="770" t="s">
        <v>13005</v>
      </c>
      <c r="NB476" s="770" t="s">
        <v>13016</v>
      </c>
      <c r="NC476" s="770" t="s">
        <v>13602</v>
      </c>
      <c r="ND476" s="770">
        <v>0</v>
      </c>
      <c r="NE476" s="770">
        <v>0</v>
      </c>
      <c r="NF476" s="770">
        <v>0</v>
      </c>
      <c r="NG476" s="770">
        <v>2</v>
      </c>
      <c r="NH476" s="770">
        <v>1</v>
      </c>
      <c r="NI476" s="770">
        <v>0</v>
      </c>
      <c r="NJ476" s="770">
        <v>1</v>
      </c>
      <c r="NK476" s="770">
        <v>0</v>
      </c>
      <c r="NL476" s="770">
        <v>0</v>
      </c>
      <c r="NM476" s="770">
        <v>1</v>
      </c>
      <c r="NN476" s="770">
        <v>0</v>
      </c>
      <c r="NO476" s="770">
        <v>0</v>
      </c>
      <c r="NP476" s="770">
        <v>0</v>
      </c>
      <c r="NQ476" s="770">
        <v>0</v>
      </c>
      <c r="NR476" s="770">
        <v>0</v>
      </c>
      <c r="NS476" s="770">
        <v>0</v>
      </c>
      <c r="NT476" s="770">
        <v>0</v>
      </c>
      <c r="NU476" s="770">
        <v>0</v>
      </c>
      <c r="NV476" s="770">
        <v>0</v>
      </c>
      <c r="NW476" s="770">
        <v>0</v>
      </c>
      <c r="NX476" s="770">
        <v>0</v>
      </c>
      <c r="NY476" s="770" t="s">
        <v>1208</v>
      </c>
      <c r="NZ476" s="770" t="s">
        <v>1208</v>
      </c>
      <c r="OA476" s="770" t="s">
        <v>1208</v>
      </c>
      <c r="OB476" s="770" t="s">
        <v>1208</v>
      </c>
      <c r="OC476" s="770" t="s">
        <v>1208</v>
      </c>
      <c r="OD476" s="770" t="s">
        <v>1208</v>
      </c>
      <c r="OE476" s="770"/>
      <c r="OF476" s="770" t="s">
        <v>13568</v>
      </c>
      <c r="OG476" s="770"/>
      <c r="OH476" s="770"/>
      <c r="OI476" s="770"/>
      <c r="OJ476" s="770"/>
      <c r="OK476" s="770" t="s">
        <v>1208</v>
      </c>
      <c r="OL476" s="770" t="s">
        <v>13548</v>
      </c>
      <c r="OM476" s="770" t="s">
        <v>12888</v>
      </c>
      <c r="ON476" s="770" t="s">
        <v>13532</v>
      </c>
      <c r="OO476" s="770" t="s">
        <v>1207</v>
      </c>
      <c r="OP476" s="770" t="s">
        <v>13548</v>
      </c>
      <c r="OQ476" s="770" t="s">
        <v>12888</v>
      </c>
      <c r="OR476" s="770" t="s">
        <v>13532</v>
      </c>
      <c r="OS476" s="770" t="s">
        <v>13579</v>
      </c>
      <c r="OT476" s="770" t="s">
        <v>13280</v>
      </c>
      <c r="OU476" s="770" t="s">
        <v>12890</v>
      </c>
      <c r="OV476" s="770" t="s">
        <v>1208</v>
      </c>
      <c r="OW476" s="770"/>
      <c r="OX476" s="770" t="s">
        <v>1208</v>
      </c>
      <c r="OY476" s="770"/>
      <c r="OZ476" s="770"/>
      <c r="PA476" s="770" t="s">
        <v>1208</v>
      </c>
      <c r="PB476" s="770"/>
      <c r="PC476" s="770"/>
      <c r="PD476" s="770"/>
      <c r="PE476" s="770"/>
      <c r="PF476" s="770"/>
      <c r="PG476" s="770"/>
      <c r="PH476" s="770"/>
      <c r="PI476" s="770" t="s">
        <v>1208</v>
      </c>
      <c r="PJ476" s="770" t="s">
        <v>1208</v>
      </c>
      <c r="PK476" s="770"/>
      <c r="PL476" s="770"/>
      <c r="PM476" s="770"/>
      <c r="PN476" s="770" t="s">
        <v>1208</v>
      </c>
      <c r="PO476" s="770"/>
      <c r="PP476" s="770"/>
      <c r="PQ476" s="770"/>
      <c r="PR476" s="770"/>
      <c r="PS476" s="770"/>
      <c r="PT476" s="770"/>
      <c r="PU476" s="770"/>
      <c r="PV476" s="770"/>
      <c r="PW476" s="770"/>
      <c r="PX476" s="770"/>
      <c r="PY476" s="770"/>
      <c r="PZ476" s="770"/>
      <c r="QA476" s="770"/>
      <c r="QB476" s="770"/>
      <c r="QC476" s="770"/>
      <c r="QD476" s="770"/>
      <c r="QE476" s="770"/>
      <c r="QF476" s="770"/>
      <c r="QG476" s="770" t="s">
        <v>1208</v>
      </c>
      <c r="QH476" s="770"/>
      <c r="QI476" s="770"/>
      <c r="QJ476" s="770"/>
      <c r="QK476" s="770"/>
      <c r="QL476" s="770"/>
      <c r="QM476" s="770"/>
      <c r="QN476" s="770"/>
      <c r="QO476" s="770"/>
      <c r="QP476" s="770"/>
      <c r="QQ476" s="770"/>
      <c r="QR476" s="770"/>
      <c r="QS476" s="770"/>
      <c r="QT476" s="770"/>
      <c r="QU476" s="770"/>
      <c r="QV476" s="770"/>
      <c r="QW476" s="770"/>
      <c r="QX476" s="770"/>
      <c r="QY476" s="770"/>
      <c r="QZ476" s="770"/>
      <c r="RA476" s="770"/>
      <c r="RB476" s="770" t="s">
        <v>1207</v>
      </c>
      <c r="RC476" s="770">
        <v>2013</v>
      </c>
      <c r="RD476" s="770" t="s">
        <v>13589</v>
      </c>
      <c r="RE476" s="770" t="s">
        <v>12999</v>
      </c>
      <c r="RF476" s="304">
        <v>0.4</v>
      </c>
      <c r="RG476" s="770" t="s">
        <v>13047</v>
      </c>
      <c r="RH476" s="302">
        <v>100</v>
      </c>
      <c r="RI476" s="770">
        <v>3</v>
      </c>
      <c r="RJ476" s="770" t="s">
        <v>13626</v>
      </c>
      <c r="RK476" s="770" t="s">
        <v>13544</v>
      </c>
      <c r="RL476" s="1710"/>
      <c r="RM476" s="12"/>
      <c r="RN476" s="1711"/>
      <c r="RO476" s="132" t="s">
        <v>2678</v>
      </c>
      <c r="RP476" s="11"/>
      <c r="RQ476" s="11"/>
      <c r="RR476" s="19" t="s">
        <v>7421</v>
      </c>
      <c r="RS476" s="1139" t="s">
        <v>12980</v>
      </c>
      <c r="RT476" s="11"/>
      <c r="RU476" s="11"/>
      <c r="RV476" s="771" t="s">
        <v>7421</v>
      </c>
      <c r="RW476" s="11" t="s">
        <v>7690</v>
      </c>
      <c r="RX476" s="11" t="s">
        <v>2666</v>
      </c>
      <c r="RY476" s="11"/>
      <c r="RZ476" s="11" t="s">
        <v>1101</v>
      </c>
      <c r="SA476" s="771"/>
      <c r="SB476" s="11"/>
      <c r="SC476" s="11"/>
    </row>
    <row r="477" spans="1:497">
      <c r="A477" s="19" t="s">
        <v>7421</v>
      </c>
      <c r="B477" s="752" t="s">
        <v>7693</v>
      </c>
      <c r="C477" s="132" t="s">
        <v>2686</v>
      </c>
      <c r="D477" s="94" t="s">
        <v>2687</v>
      </c>
      <c r="E477" s="770" t="s">
        <v>2621</v>
      </c>
      <c r="F477" s="770" t="s">
        <v>210</v>
      </c>
      <c r="G477" s="770" t="s">
        <v>18</v>
      </c>
      <c r="H477" s="770"/>
      <c r="I477" s="295" t="s">
        <v>2689</v>
      </c>
      <c r="J477" s="295" t="s">
        <v>2688</v>
      </c>
      <c r="K477" s="766" t="s">
        <v>2690</v>
      </c>
      <c r="L477" s="766" t="s">
        <v>2623</v>
      </c>
      <c r="M477" s="770" t="s">
        <v>1238</v>
      </c>
      <c r="N477" s="770"/>
      <c r="O477" s="770" t="s">
        <v>2604</v>
      </c>
      <c r="P477" s="94" t="s">
        <v>2691</v>
      </c>
      <c r="Q477" s="1088">
        <v>20400</v>
      </c>
      <c r="R477" s="297">
        <v>61</v>
      </c>
      <c r="S477" s="770" t="s">
        <v>10</v>
      </c>
      <c r="T477" s="770"/>
      <c r="U477" s="295" t="s">
        <v>2689</v>
      </c>
      <c r="V477" s="770" t="s">
        <v>722</v>
      </c>
      <c r="W477" s="770"/>
      <c r="X477" s="770"/>
      <c r="Y477" s="770" t="s">
        <v>2621</v>
      </c>
      <c r="Z477" s="770" t="s">
        <v>708</v>
      </c>
      <c r="AA477" s="770" t="s">
        <v>759</v>
      </c>
      <c r="AB477" s="770" t="s">
        <v>710</v>
      </c>
      <c r="AC477" s="770"/>
      <c r="AD477" s="770" t="s">
        <v>711</v>
      </c>
      <c r="AE477" s="770"/>
      <c r="AF477" s="770" t="s">
        <v>712</v>
      </c>
      <c r="AG477" s="766" t="s">
        <v>1132</v>
      </c>
      <c r="AH477" s="766" t="s">
        <v>1096</v>
      </c>
      <c r="AI477" s="770"/>
      <c r="AJ477" s="770" t="s">
        <v>1137</v>
      </c>
      <c r="AK477" s="770" t="s">
        <v>1101</v>
      </c>
      <c r="AL477" s="531">
        <v>10.038</v>
      </c>
      <c r="AM477" s="780">
        <v>1.26</v>
      </c>
      <c r="AN477" s="532">
        <f t="shared" si="124"/>
        <v>0.12552301255230125</v>
      </c>
      <c r="AO477" s="766" t="s">
        <v>1109</v>
      </c>
      <c r="AP477" s="766"/>
      <c r="AQ477" s="766"/>
      <c r="AR477" s="766"/>
      <c r="AS477" s="770"/>
      <c r="AT477" s="770"/>
      <c r="AU477" s="770"/>
      <c r="AV477" s="770"/>
      <c r="AW477" s="770"/>
      <c r="AX477" s="770"/>
      <c r="AY477" s="770"/>
      <c r="AZ477" s="770"/>
      <c r="BA477" s="770"/>
      <c r="BB477" s="770"/>
      <c r="BC477" s="770"/>
      <c r="BD477" s="770"/>
      <c r="BE477" s="770"/>
      <c r="BF477" s="302"/>
      <c r="BG477" s="302"/>
      <c r="BH477" s="770"/>
      <c r="BI477" s="770"/>
      <c r="BJ477" s="770"/>
      <c r="BK477" s="770" t="s">
        <v>1095</v>
      </c>
      <c r="BL477" s="770" t="s">
        <v>2692</v>
      </c>
      <c r="BM477" s="766" t="s">
        <v>1096</v>
      </c>
      <c r="BN477" s="770" t="s">
        <v>1230</v>
      </c>
      <c r="BO477" s="766" t="s">
        <v>1246</v>
      </c>
      <c r="BP477" s="1109">
        <v>10.038</v>
      </c>
      <c r="BQ477" s="773">
        <v>1.26</v>
      </c>
      <c r="BR477" s="774">
        <f t="shared" si="127"/>
        <v>0.12552301255230125</v>
      </c>
      <c r="BS477" s="766" t="s">
        <v>1242</v>
      </c>
      <c r="BT477" s="766" t="s">
        <v>8133</v>
      </c>
      <c r="BU477" s="770" t="s">
        <v>1249</v>
      </c>
      <c r="BV477" s="770" t="s">
        <v>1247</v>
      </c>
      <c r="BW477" s="770">
        <v>2017</v>
      </c>
      <c r="BX477" s="302"/>
      <c r="BY477" s="770" t="s">
        <v>1207</v>
      </c>
      <c r="BZ477" s="302"/>
      <c r="CA477" s="770"/>
      <c r="CB477" s="770"/>
      <c r="CC477" s="770"/>
      <c r="CD477" s="770"/>
      <c r="CE477" s="770"/>
      <c r="CF477" s="1753"/>
      <c r="CG477" s="1754"/>
      <c r="CH477" s="770"/>
      <c r="CI477" s="770"/>
      <c r="CJ477" s="770"/>
      <c r="CK477" s="770"/>
      <c r="CL477" s="770"/>
      <c r="CM477" s="770"/>
      <c r="CN477" s="770"/>
      <c r="CO477" s="770"/>
      <c r="CP477" s="770"/>
      <c r="CQ477" s="770"/>
      <c r="CR477" s="302"/>
      <c r="CS477" s="770"/>
      <c r="CT477" s="770"/>
      <c r="CU477" s="305"/>
      <c r="CV477" s="770"/>
      <c r="CW477" s="770"/>
      <c r="CX477" s="770"/>
      <c r="CY477" s="770"/>
      <c r="CZ477" s="770"/>
      <c r="DA477" s="306"/>
      <c r="DB477" s="770"/>
      <c r="DC477" s="770"/>
      <c r="DD477" s="770"/>
      <c r="DE477" s="300"/>
      <c r="DF477" s="770"/>
      <c r="DG477" s="770"/>
      <c r="DH477" s="770"/>
      <c r="DI477" s="770"/>
      <c r="DJ477" s="770"/>
      <c r="DK477" s="770"/>
      <c r="DL477" s="770"/>
      <c r="DM477" s="770"/>
      <c r="DN477" s="322"/>
      <c r="DO477" s="770"/>
      <c r="DP477" s="770"/>
      <c r="DQ477" s="770"/>
      <c r="DR477" s="770"/>
      <c r="DS477" s="307"/>
      <c r="DT477" s="770"/>
      <c r="DU477" s="770"/>
      <c r="DV477" s="770"/>
      <c r="DW477" s="306"/>
      <c r="DX477" s="306"/>
      <c r="DY477" s="770"/>
      <c r="DZ477" s="770"/>
      <c r="EA477" s="770"/>
      <c r="EB477" s="770"/>
      <c r="EC477" s="770"/>
      <c r="ED477" s="770"/>
      <c r="EE477" s="770"/>
      <c r="EF477" s="770"/>
      <c r="EG477" s="770"/>
      <c r="EH477" s="770"/>
      <c r="EI477" s="770"/>
      <c r="EJ477" s="770"/>
      <c r="EK477" s="770"/>
      <c r="EL477" s="770"/>
      <c r="EM477" s="770"/>
      <c r="EN477" s="770"/>
      <c r="EO477" s="770"/>
      <c r="EP477" s="94"/>
      <c r="EQ477" s="770"/>
      <c r="ER477" s="770"/>
      <c r="ES477" s="770"/>
      <c r="ET477" s="770"/>
      <c r="EU477" s="770"/>
      <c r="EV477" s="770"/>
      <c r="EW477" s="770"/>
      <c r="EX477" s="770"/>
      <c r="EY477" s="770"/>
      <c r="EZ477" s="770"/>
      <c r="FA477" s="770"/>
      <c r="FB477" s="770"/>
      <c r="FC477" s="770"/>
      <c r="FD477" s="302"/>
      <c r="FE477" s="770"/>
      <c r="FF477" s="770"/>
      <c r="FG477" s="770"/>
      <c r="FH477" s="770" t="s">
        <v>478</v>
      </c>
      <c r="FI477" s="770">
        <v>1</v>
      </c>
      <c r="FJ477" s="770"/>
      <c r="FK477" s="770"/>
      <c r="FL477" s="770"/>
      <c r="FM477" s="302"/>
      <c r="FN477" s="302"/>
      <c r="FO477" s="302"/>
      <c r="FP477" s="770" t="s">
        <v>1600</v>
      </c>
      <c r="FQ477" s="770" t="s">
        <v>3940</v>
      </c>
      <c r="FR477" s="770" t="s">
        <v>1214</v>
      </c>
      <c r="FS477" s="770"/>
      <c r="FT477" s="770"/>
      <c r="FU477" s="770"/>
      <c r="FV477" s="770"/>
      <c r="FW477" s="770"/>
      <c r="FX477" s="770"/>
      <c r="FY477" s="770"/>
      <c r="FZ477" s="770"/>
      <c r="GA477" s="770"/>
      <c r="GB477" s="770"/>
      <c r="GC477" s="308"/>
      <c r="GD477" s="297"/>
      <c r="GE477" s="770"/>
      <c r="GF477" s="302"/>
      <c r="GG477" s="302"/>
      <c r="GH477" s="766" t="s">
        <v>1791</v>
      </c>
      <c r="GI477" s="766"/>
      <c r="GJ477" s="766"/>
      <c r="GK477" s="766" t="s">
        <v>2693</v>
      </c>
      <c r="GL477" s="766"/>
      <c r="GM477" s="766"/>
      <c r="GN477" s="121"/>
      <c r="GO477" s="766"/>
      <c r="GP477" s="766" t="s">
        <v>1208</v>
      </c>
      <c r="GQ477" s="766" t="s">
        <v>1208</v>
      </c>
      <c r="GR477" s="766" t="s">
        <v>1208</v>
      </c>
      <c r="GS477" s="766" t="s">
        <v>1208</v>
      </c>
      <c r="GT477" s="766" t="s">
        <v>1208</v>
      </c>
      <c r="GU477" s="766"/>
      <c r="GV477" s="766"/>
      <c r="GW477" s="766" t="s">
        <v>1207</v>
      </c>
      <c r="GX477" s="766"/>
      <c r="GY477" s="766" t="s">
        <v>1208</v>
      </c>
      <c r="GZ477" s="766" t="s">
        <v>1208</v>
      </c>
      <c r="HA477" s="766" t="s">
        <v>1208</v>
      </c>
      <c r="HB477" s="766" t="s">
        <v>1208</v>
      </c>
      <c r="HC477" s="766" t="s">
        <v>1208</v>
      </c>
      <c r="HD477" s="766" t="s">
        <v>1208</v>
      </c>
      <c r="HE477" s="766" t="s">
        <v>1208</v>
      </c>
      <c r="HF477" s="766"/>
      <c r="HG477" s="766"/>
      <c r="HH477" s="766"/>
      <c r="HI477" s="766" t="s">
        <v>1214</v>
      </c>
      <c r="HJ477" s="766"/>
      <c r="HK477" s="766"/>
      <c r="HL477" s="766" t="s">
        <v>1214</v>
      </c>
      <c r="HM477" s="766"/>
      <c r="HN477" s="766"/>
      <c r="HO477" s="766"/>
      <c r="HP477" s="766"/>
      <c r="HQ477" s="766"/>
      <c r="HR477" s="770"/>
      <c r="HS477" s="770"/>
      <c r="HT477" s="770"/>
      <c r="HU477" s="770"/>
      <c r="HV477" s="770"/>
      <c r="HW477" s="770"/>
      <c r="HX477" s="770"/>
      <c r="HY477" s="770"/>
      <c r="HZ477" s="770"/>
      <c r="IA477" s="770"/>
      <c r="IB477" s="14" t="e">
        <f>IF(#REF!&gt;0,IF(#REF!&lt;=10000,"Y",""),"")</f>
        <v>#REF!</v>
      </c>
      <c r="IC477" s="770"/>
      <c r="ID477" s="770"/>
      <c r="IE477" s="770"/>
      <c r="IF477" s="770"/>
      <c r="IG477" s="770"/>
      <c r="IH477" s="770"/>
      <c r="II477" s="770"/>
      <c r="IJ477" s="770"/>
      <c r="IK477" s="770"/>
      <c r="IL477" s="770"/>
      <c r="IM477" s="770"/>
      <c r="IN477" s="770"/>
      <c r="IO477" s="296"/>
      <c r="IP477" s="770"/>
      <c r="IQ477" s="770"/>
      <c r="IR477" s="770"/>
      <c r="IS477" s="770"/>
      <c r="IT477" s="770"/>
      <c r="IU477" s="770"/>
      <c r="IV477" s="770"/>
      <c r="IW477" s="770"/>
      <c r="IX477" s="770"/>
      <c r="IY477" s="770"/>
      <c r="IZ477" s="770"/>
      <c r="JA477" s="770"/>
      <c r="JB477" s="770"/>
      <c r="JC477" s="770"/>
      <c r="JD477" s="302"/>
      <c r="JE477" s="770"/>
      <c r="JF477" s="770"/>
      <c r="JG477" s="770"/>
      <c r="JH477" s="307"/>
      <c r="JI477" s="307"/>
      <c r="JJ477" s="770">
        <v>13</v>
      </c>
      <c r="JK477" s="1139" t="s">
        <v>2692</v>
      </c>
      <c r="JL477" s="770">
        <v>3</v>
      </c>
      <c r="JM477" s="770">
        <v>2</v>
      </c>
      <c r="JN477" s="770">
        <v>1</v>
      </c>
      <c r="JO477" s="770">
        <v>7</v>
      </c>
      <c r="JP477" s="770"/>
      <c r="JQ477" s="770"/>
      <c r="JR477" s="770"/>
      <c r="JS477" s="770"/>
      <c r="JT477" s="766">
        <f t="shared" si="128"/>
        <v>4</v>
      </c>
      <c r="JU477" s="766">
        <f t="shared" si="128"/>
        <v>9</v>
      </c>
      <c r="JV477" s="712" t="str">
        <f>IF(JT477=KJ477,"ok","male")</f>
        <v>ok</v>
      </c>
      <c r="JW477" s="712" t="str">
        <f>IF(JU477=KK477,"ok","female")</f>
        <v>ok</v>
      </c>
      <c r="JX477" s="770"/>
      <c r="JY477" s="770">
        <v>1</v>
      </c>
      <c r="JZ477" s="770">
        <v>3</v>
      </c>
      <c r="KA477" s="770">
        <v>1</v>
      </c>
      <c r="KB477" s="770"/>
      <c r="KC477" s="770">
        <v>5</v>
      </c>
      <c r="KD477" s="770"/>
      <c r="KE477" s="770">
        <v>1</v>
      </c>
      <c r="KF477" s="770">
        <v>1</v>
      </c>
      <c r="KG477" s="770">
        <v>1</v>
      </c>
      <c r="KH477" s="770"/>
      <c r="KI477" s="770"/>
      <c r="KJ477" s="770">
        <f t="shared" si="126"/>
        <v>4</v>
      </c>
      <c r="KK477" s="770">
        <f t="shared" si="126"/>
        <v>9</v>
      </c>
      <c r="KL477" s="712" t="str">
        <f>IF(KJ477=LN477,"ok","male")</f>
        <v>ok</v>
      </c>
      <c r="KM477" s="712" t="str">
        <f>IF(KK477=LO477,"ok","female")</f>
        <v>ok</v>
      </c>
      <c r="KN477" s="770" t="s">
        <v>722</v>
      </c>
      <c r="KO477" s="770"/>
      <c r="KP477" s="770"/>
      <c r="KQ477" s="770">
        <v>1</v>
      </c>
      <c r="KR477" s="770">
        <v>1</v>
      </c>
      <c r="KS477" s="770"/>
      <c r="KT477" s="770">
        <v>2</v>
      </c>
      <c r="KU477" s="770">
        <v>4</v>
      </c>
      <c r="KV477" s="770"/>
      <c r="KW477" s="770">
        <v>1</v>
      </c>
      <c r="KX477" s="770"/>
      <c r="KY477" s="770">
        <v>2</v>
      </c>
      <c r="KZ477" s="770">
        <v>1</v>
      </c>
      <c r="LA477" s="770">
        <v>1</v>
      </c>
      <c r="LB477" s="770"/>
      <c r="LC477" s="770"/>
      <c r="LD477" s="770"/>
      <c r="LE477" s="770"/>
      <c r="LF477" s="770"/>
      <c r="LG477" s="770"/>
      <c r="LH477" s="770"/>
      <c r="LI477" s="770"/>
      <c r="LJ477" s="770"/>
      <c r="LK477" s="770"/>
      <c r="LL477" s="770"/>
      <c r="LM477" s="770"/>
      <c r="LN477" s="766">
        <f t="shared" si="111"/>
        <v>4</v>
      </c>
      <c r="LO477" s="766">
        <f t="shared" si="111"/>
        <v>9</v>
      </c>
      <c r="LP477" s="770">
        <v>3</v>
      </c>
      <c r="LQ477" s="770">
        <v>1</v>
      </c>
      <c r="LR477" s="770"/>
      <c r="LS477" s="770">
        <v>2</v>
      </c>
      <c r="LT477" s="712" t="str">
        <f>IF(LQ477=SUM(LU477:LW477),"OK","REV")</f>
        <v>OK</v>
      </c>
      <c r="LU477" s="770"/>
      <c r="LV477" s="770">
        <v>1</v>
      </c>
      <c r="LW477" s="770"/>
      <c r="LX477" s="769"/>
      <c r="LY477" s="766" t="str">
        <f t="shared" si="119"/>
        <v/>
      </c>
      <c r="LZ477" s="1709">
        <f>20*26</f>
        <v>520</v>
      </c>
      <c r="MA477" s="1709"/>
      <c r="MB477" s="1709"/>
      <c r="MC477" s="1679">
        <f t="shared" si="110"/>
        <v>520</v>
      </c>
      <c r="MD477" s="1709">
        <v>3900</v>
      </c>
      <c r="ME477" s="1709"/>
      <c r="MF477" s="1709">
        <f>7500+10500</f>
        <v>18000</v>
      </c>
      <c r="MG477" s="1680">
        <f>SUM(MD477:MF477)</f>
        <v>21900</v>
      </c>
      <c r="MH477" s="770" t="s">
        <v>1835</v>
      </c>
      <c r="MI477" s="302">
        <v>24000</v>
      </c>
      <c r="MJ477" s="302">
        <v>8000</v>
      </c>
      <c r="MK477" s="302">
        <v>200</v>
      </c>
      <c r="ML477" s="302">
        <v>500</v>
      </c>
      <c r="MM477" s="302">
        <v>1000</v>
      </c>
      <c r="MN477" s="302"/>
      <c r="MO477" s="302">
        <v>300</v>
      </c>
      <c r="MP477" s="302">
        <v>1000</v>
      </c>
      <c r="MQ477" s="302">
        <v>860</v>
      </c>
      <c r="MR477" s="302">
        <v>1500</v>
      </c>
      <c r="MS477" s="302">
        <v>170</v>
      </c>
      <c r="MT477" s="302"/>
      <c r="MU477" s="302"/>
      <c r="MV477" s="302"/>
      <c r="MW477" s="302"/>
      <c r="MX477" s="302"/>
      <c r="MY477" s="1682">
        <f t="shared" si="122"/>
        <v>37530</v>
      </c>
      <c r="MZ477" s="770" t="s">
        <v>13370</v>
      </c>
      <c r="NA477" s="770" t="s">
        <v>13005</v>
      </c>
      <c r="NB477" s="770" t="s">
        <v>13016</v>
      </c>
      <c r="NC477" s="770" t="s">
        <v>13135</v>
      </c>
      <c r="ND477" s="770">
        <v>0</v>
      </c>
      <c r="NE477" s="770">
        <v>0</v>
      </c>
      <c r="NF477" s="770">
        <v>0</v>
      </c>
      <c r="NG477" s="770">
        <v>1</v>
      </c>
      <c r="NH477" s="770">
        <v>1</v>
      </c>
      <c r="NI477" s="770">
        <v>0</v>
      </c>
      <c r="NJ477" s="770">
        <v>0</v>
      </c>
      <c r="NK477" s="770">
        <v>0</v>
      </c>
      <c r="NL477" s="770">
        <v>0</v>
      </c>
      <c r="NM477" s="770">
        <v>0</v>
      </c>
      <c r="NN477" s="770">
        <v>0</v>
      </c>
      <c r="NO477" s="770">
        <v>0</v>
      </c>
      <c r="NP477" s="770">
        <v>0</v>
      </c>
      <c r="NQ477" s="770">
        <v>0</v>
      </c>
      <c r="NR477" s="770">
        <v>0</v>
      </c>
      <c r="NS477" s="770">
        <v>0</v>
      </c>
      <c r="NT477" s="770">
        <v>0</v>
      </c>
      <c r="NU477" s="770">
        <v>0</v>
      </c>
      <c r="NV477" s="770">
        <v>0</v>
      </c>
      <c r="NW477" s="770">
        <v>0</v>
      </c>
      <c r="NX477" s="770">
        <v>0</v>
      </c>
      <c r="NY477" s="770" t="s">
        <v>1208</v>
      </c>
      <c r="NZ477" s="770" t="s">
        <v>1208</v>
      </c>
      <c r="OA477" s="770" t="s">
        <v>1208</v>
      </c>
      <c r="OB477" s="770" t="s">
        <v>1208</v>
      </c>
      <c r="OC477" s="770" t="s">
        <v>1208</v>
      </c>
      <c r="OD477" s="770"/>
      <c r="OE477" s="770"/>
      <c r="OF477" s="770"/>
      <c r="OG477" s="770"/>
      <c r="OH477" s="770"/>
      <c r="OI477" s="770"/>
      <c r="OJ477" s="770"/>
      <c r="OK477" s="770"/>
      <c r="OL477" s="770"/>
      <c r="OM477" s="770"/>
      <c r="ON477" s="770"/>
      <c r="OO477" s="770"/>
      <c r="OP477" s="770"/>
      <c r="OQ477" s="770"/>
      <c r="OR477" s="770"/>
      <c r="OS477" s="770"/>
      <c r="OT477" s="770"/>
      <c r="OU477" s="770"/>
      <c r="OV477" s="770"/>
      <c r="OW477" s="770"/>
      <c r="OX477" s="770"/>
      <c r="OY477" s="770"/>
      <c r="OZ477" s="770"/>
      <c r="PA477" s="770"/>
      <c r="PB477" s="770"/>
      <c r="PC477" s="770"/>
      <c r="PD477" s="770"/>
      <c r="PE477" s="770"/>
      <c r="PF477" s="770"/>
      <c r="PG477" s="770"/>
      <c r="PH477" s="770" t="s">
        <v>1208</v>
      </c>
      <c r="PI477" s="770" t="s">
        <v>1208</v>
      </c>
      <c r="PJ477" s="770" t="s">
        <v>1208</v>
      </c>
      <c r="PK477" s="770"/>
      <c r="PL477" s="770"/>
      <c r="PM477" s="770" t="s">
        <v>1208</v>
      </c>
      <c r="PN477" s="770"/>
      <c r="PO477" s="770"/>
      <c r="PP477" s="770"/>
      <c r="PQ477" s="770"/>
      <c r="PR477" s="770"/>
      <c r="PS477" s="770" t="s">
        <v>1208</v>
      </c>
      <c r="PT477" s="770" t="s">
        <v>1208</v>
      </c>
      <c r="PU477" s="770"/>
      <c r="PV477" s="770"/>
      <c r="PW477" s="770"/>
      <c r="PX477" s="770"/>
      <c r="PY477" s="770"/>
      <c r="PZ477" s="770"/>
      <c r="QA477" s="770"/>
      <c r="QB477" s="770"/>
      <c r="QC477" s="770"/>
      <c r="QD477" s="770"/>
      <c r="QE477" s="770"/>
      <c r="QF477" s="770"/>
      <c r="QG477" s="770"/>
      <c r="QH477" s="770"/>
      <c r="QI477" s="770"/>
      <c r="QJ477" s="770"/>
      <c r="QK477" s="770"/>
      <c r="QL477" s="770"/>
      <c r="QM477" s="770"/>
      <c r="QN477" s="770"/>
      <c r="QO477" s="770"/>
      <c r="QP477" s="770"/>
      <c r="QQ477" s="770"/>
      <c r="QR477" s="770"/>
      <c r="QS477" s="770"/>
      <c r="QT477" s="770"/>
      <c r="QU477" s="770"/>
      <c r="QV477" s="770"/>
      <c r="QW477" s="770"/>
      <c r="QX477" s="770"/>
      <c r="QY477" s="770"/>
      <c r="QZ477" s="770"/>
      <c r="RA477" s="770"/>
      <c r="RB477" s="770" t="s">
        <v>1207</v>
      </c>
      <c r="RC477" s="770">
        <v>2014</v>
      </c>
      <c r="RD477" s="770" t="s">
        <v>13582</v>
      </c>
      <c r="RE477" s="770"/>
      <c r="RF477" s="304">
        <v>1</v>
      </c>
      <c r="RG477" s="770" t="s">
        <v>13047</v>
      </c>
      <c r="RH477" s="302">
        <v>1500</v>
      </c>
      <c r="RI477" s="770">
        <v>4</v>
      </c>
      <c r="RJ477" s="770" t="s">
        <v>13627</v>
      </c>
      <c r="RK477" s="770" t="s">
        <v>13552</v>
      </c>
      <c r="RL477" s="1710"/>
      <c r="RM477" s="12"/>
      <c r="RN477" s="1711"/>
      <c r="RO477" s="132" t="s">
        <v>2686</v>
      </c>
      <c r="RP477" s="11"/>
      <c r="RQ477" s="11"/>
      <c r="RR477" s="19" t="s">
        <v>7421</v>
      </c>
      <c r="RS477" s="1139" t="s">
        <v>12980</v>
      </c>
      <c r="RT477" s="11"/>
      <c r="RU477" s="11"/>
      <c r="RV477" s="771" t="s">
        <v>7421</v>
      </c>
      <c r="RW477" s="11" t="s">
        <v>7691</v>
      </c>
      <c r="RX477" s="11" t="s">
        <v>2672</v>
      </c>
      <c r="RY477" s="11"/>
      <c r="RZ477" s="11" t="s">
        <v>1101</v>
      </c>
      <c r="SA477" s="771"/>
      <c r="SB477" s="11"/>
      <c r="SC477" s="11"/>
    </row>
    <row r="478" spans="1:497" ht="12.75" customHeight="1">
      <c r="A478" s="19" t="s">
        <v>7421</v>
      </c>
      <c r="B478" s="752" t="s">
        <v>14263</v>
      </c>
      <c r="C478" s="133" t="s">
        <v>7882</v>
      </c>
      <c r="D478" s="94" t="s">
        <v>2694</v>
      </c>
      <c r="E478" s="770" t="s">
        <v>2621</v>
      </c>
      <c r="F478" s="770" t="s">
        <v>3316</v>
      </c>
      <c r="G478" s="770" t="s">
        <v>18</v>
      </c>
      <c r="H478" s="770"/>
      <c r="I478" s="295" t="s">
        <v>2698</v>
      </c>
      <c r="J478" s="94" t="s">
        <v>2695</v>
      </c>
      <c r="K478" s="766" t="s">
        <v>2696</v>
      </c>
      <c r="L478" s="766" t="s">
        <v>2681</v>
      </c>
      <c r="M478" s="770" t="s">
        <v>1238</v>
      </c>
      <c r="N478" s="770"/>
      <c r="O478" s="770" t="s">
        <v>2604</v>
      </c>
      <c r="P478" s="770" t="s">
        <v>2699</v>
      </c>
      <c r="Q478" s="1088">
        <v>20880</v>
      </c>
      <c r="R478" s="297">
        <v>60</v>
      </c>
      <c r="S478" s="770" t="s">
        <v>10</v>
      </c>
      <c r="T478" s="770"/>
      <c r="U478" s="295" t="s">
        <v>2698</v>
      </c>
      <c r="V478" s="770"/>
      <c r="W478" s="770"/>
      <c r="X478" s="770"/>
      <c r="Y478" s="770" t="s">
        <v>2621</v>
      </c>
      <c r="Z478" s="770" t="s">
        <v>708</v>
      </c>
      <c r="AA478" s="770" t="s">
        <v>709</v>
      </c>
      <c r="AB478" s="770" t="s">
        <v>710</v>
      </c>
      <c r="AC478" s="770"/>
      <c r="AD478" s="770" t="s">
        <v>711</v>
      </c>
      <c r="AE478" s="770"/>
      <c r="AF478" s="770" t="s">
        <v>712</v>
      </c>
      <c r="AG478" s="766" t="s">
        <v>1132</v>
      </c>
      <c r="AH478" s="766" t="s">
        <v>1096</v>
      </c>
      <c r="AI478" s="770"/>
      <c r="AJ478" s="770" t="s">
        <v>1137</v>
      </c>
      <c r="AK478" s="770" t="s">
        <v>1101</v>
      </c>
      <c r="AL478" s="531">
        <v>4.1399999999999997</v>
      </c>
      <c r="AM478" s="780">
        <v>4.1399999999999997</v>
      </c>
      <c r="AN478" s="532">
        <f t="shared" si="124"/>
        <v>1</v>
      </c>
      <c r="AO478" s="766" t="s">
        <v>1122</v>
      </c>
      <c r="AP478" s="766"/>
      <c r="AQ478" s="766"/>
      <c r="AR478" s="766"/>
      <c r="AS478" s="770"/>
      <c r="AT478" s="770"/>
      <c r="AU478" s="770"/>
      <c r="AV478" s="770"/>
      <c r="AW478" s="770"/>
      <c r="AX478" s="770"/>
      <c r="AY478" s="770"/>
      <c r="AZ478" s="770"/>
      <c r="BA478" s="770"/>
      <c r="BB478" s="770"/>
      <c r="BC478" s="770"/>
      <c r="BD478" s="770"/>
      <c r="BE478" s="770"/>
      <c r="BF478" s="302"/>
      <c r="BG478" s="302"/>
      <c r="BH478" s="770"/>
      <c r="BI478" s="770"/>
      <c r="BJ478" s="770"/>
      <c r="BK478" s="770" t="s">
        <v>1095</v>
      </c>
      <c r="BL478" s="770" t="s">
        <v>2903</v>
      </c>
      <c r="BM478" s="770" t="s">
        <v>1100</v>
      </c>
      <c r="BN478" s="770" t="s">
        <v>1230</v>
      </c>
      <c r="BO478" s="766" t="s">
        <v>1246</v>
      </c>
      <c r="BP478" s="1109">
        <v>4.1399999999999997</v>
      </c>
      <c r="BQ478" s="773">
        <v>4.1399999999999997</v>
      </c>
      <c r="BR478" s="774">
        <f t="shared" si="127"/>
        <v>1</v>
      </c>
      <c r="BS478" s="766" t="s">
        <v>1257</v>
      </c>
      <c r="BT478" s="766" t="s">
        <v>1326</v>
      </c>
      <c r="BU478" s="766" t="s">
        <v>1264</v>
      </c>
      <c r="BV478" s="770" t="s">
        <v>1247</v>
      </c>
      <c r="BW478" s="770">
        <v>2015</v>
      </c>
      <c r="BX478" s="302"/>
      <c r="BY478" s="770"/>
      <c r="BZ478" s="302"/>
      <c r="CA478" s="770"/>
      <c r="CB478" s="770"/>
      <c r="CC478" s="770"/>
      <c r="CD478" s="770"/>
      <c r="CE478" s="770"/>
      <c r="CF478" s="1753"/>
      <c r="CG478" s="1754"/>
      <c r="CH478" s="770"/>
      <c r="CI478" s="770"/>
      <c r="CJ478" s="770"/>
      <c r="CK478" s="770"/>
      <c r="CL478" s="770"/>
      <c r="CM478" s="770"/>
      <c r="CN478" s="770"/>
      <c r="CO478" s="770"/>
      <c r="CP478" s="770"/>
      <c r="CQ478" s="770"/>
      <c r="CR478" s="302"/>
      <c r="CS478" s="770"/>
      <c r="CT478" s="770"/>
      <c r="CU478" s="305"/>
      <c r="CV478" s="770"/>
      <c r="CW478" s="770"/>
      <c r="CX478" s="770"/>
      <c r="CY478" s="770"/>
      <c r="CZ478" s="770"/>
      <c r="DA478" s="306"/>
      <c r="DB478" s="770"/>
      <c r="DC478" s="770"/>
      <c r="DD478" s="770"/>
      <c r="DE478" s="300"/>
      <c r="DF478" s="770"/>
      <c r="DG478" s="770"/>
      <c r="DH478" s="770"/>
      <c r="DI478" s="770"/>
      <c r="DJ478" s="770"/>
      <c r="DK478" s="770"/>
      <c r="DL478" s="770"/>
      <c r="DM478" s="770"/>
      <c r="DN478" s="322"/>
      <c r="DO478" s="770"/>
      <c r="DP478" s="770"/>
      <c r="DQ478" s="770"/>
      <c r="DR478" s="770"/>
      <c r="DS478" s="307"/>
      <c r="DT478" s="770"/>
      <c r="DU478" s="770"/>
      <c r="DV478" s="770"/>
      <c r="DW478" s="306"/>
      <c r="DX478" s="306"/>
      <c r="DY478" s="770"/>
      <c r="DZ478" s="770"/>
      <c r="EA478" s="770"/>
      <c r="EB478" s="770"/>
      <c r="EC478" s="770"/>
      <c r="ED478" s="770"/>
      <c r="EE478" s="770"/>
      <c r="EF478" s="770"/>
      <c r="EG478" s="770"/>
      <c r="EH478" s="770"/>
      <c r="EI478" s="770"/>
      <c r="EJ478" s="770"/>
      <c r="EK478" s="770"/>
      <c r="EL478" s="770"/>
      <c r="EM478" s="770"/>
      <c r="EN478" s="770"/>
      <c r="EO478" s="770"/>
      <c r="EP478" s="94"/>
      <c r="EQ478" s="770"/>
      <c r="ER478" s="770"/>
      <c r="ES478" s="770"/>
      <c r="ET478" s="770"/>
      <c r="EU478" s="770"/>
      <c r="EV478" s="770"/>
      <c r="EW478" s="770"/>
      <c r="EX478" s="770"/>
      <c r="EY478" s="770"/>
      <c r="EZ478" s="770"/>
      <c r="FA478" s="770"/>
      <c r="FB478" s="770"/>
      <c r="FC478" s="770"/>
      <c r="FD478" s="302"/>
      <c r="FE478" s="770"/>
      <c r="FF478" s="770"/>
      <c r="FG478" s="770"/>
      <c r="FH478" s="770"/>
      <c r="FI478" s="770"/>
      <c r="FJ478" s="770"/>
      <c r="FK478" s="770"/>
      <c r="FL478" s="770"/>
      <c r="FM478" s="302"/>
      <c r="FN478" s="302"/>
      <c r="FO478" s="302"/>
      <c r="FP478" s="770" t="s">
        <v>1602</v>
      </c>
      <c r="FQ478" s="770" t="s">
        <v>1660</v>
      </c>
      <c r="FR478" s="770" t="s">
        <v>1214</v>
      </c>
      <c r="FS478" s="770"/>
      <c r="FT478" s="770"/>
      <c r="FU478" s="770"/>
      <c r="FV478" s="770"/>
      <c r="FW478" s="770"/>
      <c r="FX478" s="770"/>
      <c r="FY478" s="770"/>
      <c r="FZ478" s="770"/>
      <c r="GA478" s="770"/>
      <c r="GB478" s="770"/>
      <c r="GC478" s="308"/>
      <c r="GD478" s="297"/>
      <c r="GE478" s="770"/>
      <c r="GF478" s="302"/>
      <c r="GG478" s="302"/>
      <c r="GH478" s="766"/>
      <c r="GI478" s="770"/>
      <c r="GJ478" s="770"/>
      <c r="GK478" s="770"/>
      <c r="GL478" s="770"/>
      <c r="GM478" s="770"/>
      <c r="GN478" s="299"/>
      <c r="GO478" s="770"/>
      <c r="GP478" s="770"/>
      <c r="GQ478" s="770"/>
      <c r="GR478" s="770"/>
      <c r="GS478" s="770"/>
      <c r="GT478" s="770"/>
      <c r="GU478" s="770"/>
      <c r="GV478" s="770"/>
      <c r="GW478" s="770"/>
      <c r="GX478" s="770"/>
      <c r="GY478" s="770"/>
      <c r="GZ478" s="770"/>
      <c r="HA478" s="770"/>
      <c r="HB478" s="770"/>
      <c r="HC478" s="770"/>
      <c r="HD478" s="770"/>
      <c r="HE478" s="770"/>
      <c r="HF478" s="770"/>
      <c r="HG478" s="770"/>
      <c r="HH478" s="770"/>
      <c r="HI478" s="770"/>
      <c r="HJ478" s="770"/>
      <c r="HK478" s="770"/>
      <c r="HL478" s="770"/>
      <c r="HM478" s="770"/>
      <c r="HN478" s="770"/>
      <c r="HO478" s="770"/>
      <c r="HP478" s="770"/>
      <c r="HQ478" s="770"/>
      <c r="HR478" s="770"/>
      <c r="HS478" s="770"/>
      <c r="HT478" s="770"/>
      <c r="HU478" s="770"/>
      <c r="HV478" s="770"/>
      <c r="HW478" s="770"/>
      <c r="HX478" s="770"/>
      <c r="HY478" s="770"/>
      <c r="HZ478" s="770"/>
      <c r="IA478" s="770"/>
      <c r="IB478" s="770"/>
      <c r="IC478" s="770"/>
      <c r="ID478" s="770"/>
      <c r="IE478" s="770"/>
      <c r="IF478" s="770" t="s">
        <v>2694</v>
      </c>
      <c r="IG478" s="770" t="s">
        <v>18</v>
      </c>
      <c r="IH478" s="770" t="s">
        <v>478</v>
      </c>
      <c r="II478" s="770" t="s">
        <v>2621</v>
      </c>
      <c r="IJ478" s="770" t="s">
        <v>2700</v>
      </c>
      <c r="IK478" s="770" t="s">
        <v>2639</v>
      </c>
      <c r="IL478" s="770" t="s">
        <v>2903</v>
      </c>
      <c r="IM478" s="770">
        <v>2015</v>
      </c>
      <c r="IN478" s="770" t="s">
        <v>2697</v>
      </c>
      <c r="IO478" s="296">
        <v>31083</v>
      </c>
      <c r="IP478" s="770" t="s">
        <v>478</v>
      </c>
      <c r="IQ478" s="13" t="s">
        <v>1909</v>
      </c>
      <c r="IR478" s="770" t="s">
        <v>1964</v>
      </c>
      <c r="IS478" s="770"/>
      <c r="IT478" s="770"/>
      <c r="IU478" s="770" t="s">
        <v>1208</v>
      </c>
      <c r="IV478" s="770"/>
      <c r="IW478" s="770" t="s">
        <v>13628</v>
      </c>
      <c r="IX478" s="770"/>
      <c r="IY478" s="770" t="s">
        <v>2698</v>
      </c>
      <c r="IZ478" s="770"/>
      <c r="JA478" s="770" t="s">
        <v>1880</v>
      </c>
      <c r="JB478" s="770" t="s">
        <v>12766</v>
      </c>
      <c r="JC478" s="770"/>
      <c r="JD478" s="302">
        <v>21000</v>
      </c>
      <c r="JE478" s="770"/>
      <c r="JF478" s="770"/>
      <c r="JG478" s="770"/>
      <c r="JH478" s="307"/>
      <c r="JI478" s="307"/>
      <c r="JJ478" s="770"/>
      <c r="JK478" s="770"/>
      <c r="JL478" s="770"/>
      <c r="JM478" s="770"/>
      <c r="JN478" s="770"/>
      <c r="JO478" s="770"/>
      <c r="JP478" s="770"/>
      <c r="JQ478" s="770"/>
      <c r="JR478" s="770"/>
      <c r="JS478" s="770"/>
      <c r="JT478" s="766"/>
      <c r="JU478" s="766"/>
      <c r="JV478" s="766"/>
      <c r="JW478" s="766"/>
      <c r="JX478" s="770"/>
      <c r="JY478" s="770"/>
      <c r="JZ478" s="770"/>
      <c r="KA478" s="770"/>
      <c r="KB478" s="770"/>
      <c r="KC478" s="770"/>
      <c r="KD478" s="770"/>
      <c r="KE478" s="770"/>
      <c r="KF478" s="770"/>
      <c r="KG478" s="770"/>
      <c r="KH478" s="770"/>
      <c r="KI478" s="770"/>
      <c r="KJ478" s="770"/>
      <c r="KK478" s="770"/>
      <c r="KL478" s="770"/>
      <c r="KM478" s="770"/>
      <c r="KN478" s="770"/>
      <c r="KO478" s="770"/>
      <c r="KP478" s="770"/>
      <c r="KQ478" s="770"/>
      <c r="KR478" s="770"/>
      <c r="KS478" s="770"/>
      <c r="KT478" s="770"/>
      <c r="KU478" s="770"/>
      <c r="KV478" s="770"/>
      <c r="KW478" s="770"/>
      <c r="KX478" s="770"/>
      <c r="KY478" s="770"/>
      <c r="KZ478" s="770"/>
      <c r="LA478" s="770"/>
      <c r="LB478" s="770"/>
      <c r="LC478" s="770"/>
      <c r="LD478" s="770"/>
      <c r="LE478" s="770"/>
      <c r="LF478" s="770"/>
      <c r="LG478" s="770"/>
      <c r="LH478" s="770"/>
      <c r="LI478" s="770"/>
      <c r="LJ478" s="770"/>
      <c r="LK478" s="770"/>
      <c r="LL478" s="770"/>
      <c r="LM478" s="770"/>
      <c r="LN478" s="766"/>
      <c r="LO478" s="766"/>
      <c r="LP478" s="770"/>
      <c r="LQ478" s="770"/>
      <c r="LR478" s="770"/>
      <c r="LS478" s="770"/>
      <c r="LT478" s="770"/>
      <c r="LU478" s="770"/>
      <c r="LV478" s="770"/>
      <c r="LW478" s="770"/>
      <c r="LX478" s="769"/>
      <c r="LY478" s="766" t="str">
        <f t="shared" si="119"/>
        <v/>
      </c>
      <c r="LZ478" s="1709"/>
      <c r="MA478" s="1709"/>
      <c r="MB478" s="1709"/>
      <c r="MC478" s="1679">
        <f t="shared" si="110"/>
        <v>0</v>
      </c>
      <c r="MD478" s="1709"/>
      <c r="ME478" s="1709"/>
      <c r="MF478" s="1709"/>
      <c r="MG478" s="1680">
        <f t="shared" si="121"/>
        <v>0</v>
      </c>
      <c r="MH478" s="770"/>
      <c r="MI478" s="302"/>
      <c r="MJ478" s="302"/>
      <c r="MK478" s="302"/>
      <c r="ML478" s="302"/>
      <c r="MM478" s="302"/>
      <c r="MN478" s="302"/>
      <c r="MO478" s="302"/>
      <c r="MP478" s="302"/>
      <c r="MQ478" s="302"/>
      <c r="MR478" s="302"/>
      <c r="MS478" s="302"/>
      <c r="MT478" s="302"/>
      <c r="MU478" s="302"/>
      <c r="MV478" s="302"/>
      <c r="MW478" s="302"/>
      <c r="MX478" s="302"/>
      <c r="MY478" s="1682">
        <f t="shared" si="122"/>
        <v>0</v>
      </c>
      <c r="MZ478" s="770"/>
      <c r="NA478" s="770"/>
      <c r="NB478" s="770"/>
      <c r="NC478" s="770"/>
      <c r="ND478" s="770"/>
      <c r="NE478" s="770"/>
      <c r="NF478" s="770"/>
      <c r="NG478" s="770"/>
      <c r="NH478" s="770"/>
      <c r="NI478" s="770"/>
      <c r="NJ478" s="770"/>
      <c r="NK478" s="770"/>
      <c r="NL478" s="770"/>
      <c r="NM478" s="770"/>
      <c r="NN478" s="770"/>
      <c r="NO478" s="770"/>
      <c r="NP478" s="770"/>
      <c r="NQ478" s="770"/>
      <c r="NR478" s="770"/>
      <c r="NS478" s="770"/>
      <c r="NT478" s="770"/>
      <c r="NU478" s="770"/>
      <c r="NV478" s="770"/>
      <c r="NW478" s="770"/>
      <c r="NX478" s="770"/>
      <c r="NY478" s="770"/>
      <c r="NZ478" s="770"/>
      <c r="OA478" s="770"/>
      <c r="OB478" s="770"/>
      <c r="OC478" s="770"/>
      <c r="OD478" s="770"/>
      <c r="OE478" s="770"/>
      <c r="OF478" s="770"/>
      <c r="OG478" s="770"/>
      <c r="OH478" s="770"/>
      <c r="OI478" s="770"/>
      <c r="OJ478" s="770"/>
      <c r="OK478" s="770"/>
      <c r="OL478" s="770"/>
      <c r="OM478" s="770"/>
      <c r="ON478" s="770"/>
      <c r="OO478" s="770"/>
      <c r="OP478" s="770"/>
      <c r="OQ478" s="770"/>
      <c r="OR478" s="770"/>
      <c r="OS478" s="770"/>
      <c r="OT478" s="770"/>
      <c r="OU478" s="770"/>
      <c r="OV478" s="770"/>
      <c r="OW478" s="770"/>
      <c r="OX478" s="770"/>
      <c r="OY478" s="770"/>
      <c r="OZ478" s="770"/>
      <c r="PA478" s="770"/>
      <c r="PB478" s="770"/>
      <c r="PC478" s="770"/>
      <c r="PD478" s="770"/>
      <c r="PE478" s="770"/>
      <c r="PF478" s="770"/>
      <c r="PG478" s="770"/>
      <c r="PH478" s="770"/>
      <c r="PI478" s="770"/>
      <c r="PJ478" s="770"/>
      <c r="PK478" s="770"/>
      <c r="PL478" s="770"/>
      <c r="PM478" s="770"/>
      <c r="PN478" s="770"/>
      <c r="PO478" s="770"/>
      <c r="PP478" s="770"/>
      <c r="PQ478" s="770"/>
      <c r="PR478" s="770"/>
      <c r="PS478" s="770"/>
      <c r="PT478" s="770"/>
      <c r="PU478" s="770"/>
      <c r="PV478" s="770"/>
      <c r="PW478" s="770"/>
      <c r="PX478" s="770"/>
      <c r="PY478" s="770"/>
      <c r="PZ478" s="770"/>
      <c r="QA478" s="770"/>
      <c r="QB478" s="770"/>
      <c r="QC478" s="770"/>
      <c r="QD478" s="770"/>
      <c r="QE478" s="770"/>
      <c r="QF478" s="770"/>
      <c r="QG478" s="770"/>
      <c r="QH478" s="770"/>
      <c r="QI478" s="770"/>
      <c r="QJ478" s="770"/>
      <c r="QK478" s="770"/>
      <c r="QL478" s="770"/>
      <c r="QM478" s="770"/>
      <c r="QN478" s="770"/>
      <c r="QO478" s="770"/>
      <c r="QP478" s="770"/>
      <c r="QQ478" s="770"/>
      <c r="QR478" s="770"/>
      <c r="QS478" s="770"/>
      <c r="QT478" s="770"/>
      <c r="QU478" s="770"/>
      <c r="QV478" s="770"/>
      <c r="QW478" s="770"/>
      <c r="QX478" s="770"/>
      <c r="QY478" s="770"/>
      <c r="QZ478" s="770"/>
      <c r="RA478" s="770"/>
      <c r="RB478" s="770"/>
      <c r="RC478" s="770"/>
      <c r="RD478" s="770"/>
      <c r="RE478" s="770"/>
      <c r="RF478" s="304"/>
      <c r="RG478" s="770"/>
      <c r="RH478" s="302"/>
      <c r="RI478" s="770"/>
      <c r="RJ478" s="770" t="s">
        <v>2697</v>
      </c>
      <c r="RK478" s="770" t="s">
        <v>13544</v>
      </c>
      <c r="RL478" s="1710"/>
      <c r="RM478" s="12"/>
      <c r="RN478" s="1711"/>
      <c r="RO478" s="133" t="s">
        <v>7882</v>
      </c>
      <c r="RP478" s="11"/>
      <c r="RQ478" s="11"/>
      <c r="RR478" s="17"/>
      <c r="RS478" s="767"/>
      <c r="RT478" s="11"/>
      <c r="RU478" s="11"/>
      <c r="RV478" s="771" t="s">
        <v>7421</v>
      </c>
      <c r="RW478" s="11" t="s">
        <v>7692</v>
      </c>
      <c r="RX478" s="11" t="s">
        <v>2678</v>
      </c>
      <c r="RY478" s="11"/>
      <c r="RZ478" s="11" t="s">
        <v>1101</v>
      </c>
      <c r="SA478" s="771"/>
      <c r="SB478" s="11"/>
      <c r="SC478" s="11"/>
    </row>
    <row r="479" spans="1:497">
      <c r="A479" s="19" t="s">
        <v>14206</v>
      </c>
      <c r="B479" s="752" t="s">
        <v>7766</v>
      </c>
      <c r="C479" s="132" t="s">
        <v>3754</v>
      </c>
      <c r="D479" s="94" t="s">
        <v>2694</v>
      </c>
      <c r="E479" s="770" t="s">
        <v>2621</v>
      </c>
      <c r="F479" s="770" t="s">
        <v>210</v>
      </c>
      <c r="G479" s="770" t="s">
        <v>18</v>
      </c>
      <c r="H479" s="770"/>
      <c r="I479" s="295" t="s">
        <v>2698</v>
      </c>
      <c r="J479" s="94" t="s">
        <v>2695</v>
      </c>
      <c r="K479" s="766" t="s">
        <v>2696</v>
      </c>
      <c r="L479" s="766" t="s">
        <v>2681</v>
      </c>
      <c r="M479" s="770" t="s">
        <v>1238</v>
      </c>
      <c r="N479" s="770"/>
      <c r="O479" s="770" t="s">
        <v>2604</v>
      </c>
      <c r="P479" s="14" t="s">
        <v>2903</v>
      </c>
      <c r="Q479" s="1088"/>
      <c r="R479" s="297"/>
      <c r="S479" s="770" t="s">
        <v>10</v>
      </c>
      <c r="T479" s="770"/>
      <c r="U479" s="295"/>
      <c r="V479" s="770"/>
      <c r="W479" s="770"/>
      <c r="X479" s="770"/>
      <c r="Y479" s="770"/>
      <c r="Z479" s="770"/>
      <c r="AA479" s="770"/>
      <c r="AB479" s="770"/>
      <c r="AC479" s="770"/>
      <c r="AD479" s="770"/>
      <c r="AE479" s="770"/>
      <c r="AF479" s="770"/>
      <c r="AG479" s="770"/>
      <c r="AH479" s="770"/>
      <c r="AI479" s="770"/>
      <c r="AJ479" s="770"/>
      <c r="AK479" s="770" t="s">
        <v>1101</v>
      </c>
      <c r="AL479" s="531"/>
      <c r="AM479" s="780"/>
      <c r="AN479" s="532"/>
      <c r="AO479" s="766"/>
      <c r="AP479" s="766"/>
      <c r="AQ479" s="766"/>
      <c r="AR479" s="766"/>
      <c r="AS479" s="770"/>
      <c r="AT479" s="770"/>
      <c r="AU479" s="770"/>
      <c r="AV479" s="770"/>
      <c r="AW479" s="770"/>
      <c r="AX479" s="770"/>
      <c r="AY479" s="770"/>
      <c r="AZ479" s="770"/>
      <c r="BA479" s="770"/>
      <c r="BB479" s="770"/>
      <c r="BC479" s="770"/>
      <c r="BD479" s="770"/>
      <c r="BE479" s="770"/>
      <c r="BF479" s="302"/>
      <c r="BG479" s="302"/>
      <c r="BH479" s="770"/>
      <c r="BI479" s="770"/>
      <c r="BJ479" s="770"/>
      <c r="BK479" s="770" t="s">
        <v>1095</v>
      </c>
      <c r="BL479" s="770" t="s">
        <v>2903</v>
      </c>
      <c r="BM479" s="766" t="s">
        <v>1096</v>
      </c>
      <c r="BN479" s="770" t="s">
        <v>1230</v>
      </c>
      <c r="BO479" s="766" t="s">
        <v>1246</v>
      </c>
      <c r="BP479" s="765">
        <v>14.141</v>
      </c>
      <c r="BQ479" s="773">
        <v>2.09</v>
      </c>
      <c r="BR479" s="774">
        <f t="shared" si="127"/>
        <v>0.14779718548900359</v>
      </c>
      <c r="BS479" s="766" t="s">
        <v>1242</v>
      </c>
      <c r="BT479" s="766" t="s">
        <v>8133</v>
      </c>
      <c r="BU479" s="770" t="s">
        <v>1249</v>
      </c>
      <c r="BV479" s="770" t="s">
        <v>1247</v>
      </c>
      <c r="BW479" s="770">
        <v>1970</v>
      </c>
      <c r="BX479" s="302"/>
      <c r="BY479" s="770"/>
      <c r="BZ479" s="302"/>
      <c r="CA479" s="770"/>
      <c r="CB479" s="770" t="s">
        <v>1207</v>
      </c>
      <c r="CC479" s="770" t="s">
        <v>2903</v>
      </c>
      <c r="CD479" s="770">
        <v>2009</v>
      </c>
      <c r="CE479" s="770"/>
      <c r="CF479" s="1753">
        <v>2</v>
      </c>
      <c r="CG479" s="1754">
        <v>6</v>
      </c>
      <c r="CH479" s="770" t="s">
        <v>3684</v>
      </c>
      <c r="CI479" s="770"/>
      <c r="CJ479" s="770"/>
      <c r="CK479" s="770">
        <v>5</v>
      </c>
      <c r="CL479" s="770"/>
      <c r="CM479" s="770" t="s">
        <v>3755</v>
      </c>
      <c r="CN479" s="770"/>
      <c r="CO479" s="770" t="s">
        <v>1257</v>
      </c>
      <c r="CP479" s="770"/>
      <c r="CQ479" s="770"/>
      <c r="CR479" s="302"/>
      <c r="CS479" s="770"/>
      <c r="CT479" s="770"/>
      <c r="CU479" s="305"/>
      <c r="CV479" s="770"/>
      <c r="CW479" s="770"/>
      <c r="CX479" s="770"/>
      <c r="CY479" s="770"/>
      <c r="CZ479" s="770"/>
      <c r="DA479" s="306"/>
      <c r="DB479" s="770"/>
      <c r="DC479" s="770"/>
      <c r="DD479" s="770"/>
      <c r="DE479" s="300"/>
      <c r="DF479" s="770"/>
      <c r="DG479" s="770"/>
      <c r="DH479" s="770"/>
      <c r="DI479" s="770"/>
      <c r="DJ479" s="770"/>
      <c r="DK479" s="770"/>
      <c r="DL479" s="770"/>
      <c r="DM479" s="770"/>
      <c r="DN479" s="322"/>
      <c r="DO479" s="770"/>
      <c r="DP479" s="770"/>
      <c r="DQ479" s="770"/>
      <c r="DR479" s="770"/>
      <c r="DS479" s="307"/>
      <c r="DT479" s="770"/>
      <c r="DU479" s="770"/>
      <c r="DV479" s="770"/>
      <c r="DW479" s="306"/>
      <c r="DX479" s="306"/>
      <c r="DY479" s="770"/>
      <c r="DZ479" s="770"/>
      <c r="EA479" s="770"/>
      <c r="EB479" s="770"/>
      <c r="EC479" s="770"/>
      <c r="ED479" s="770"/>
      <c r="EE479" s="770"/>
      <c r="EF479" s="770"/>
      <c r="EG479" s="770"/>
      <c r="EH479" s="770"/>
      <c r="EI479" s="770"/>
      <c r="EJ479" s="770"/>
      <c r="EK479" s="770"/>
      <c r="EL479" s="770"/>
      <c r="EM479" s="770"/>
      <c r="EN479" s="770"/>
      <c r="EO479" s="770"/>
      <c r="EP479" s="94"/>
      <c r="EQ479" s="770"/>
      <c r="ER479" s="770"/>
      <c r="ES479" s="770"/>
      <c r="ET479" s="770"/>
      <c r="EU479" s="770"/>
      <c r="EV479" s="770"/>
      <c r="EW479" s="770"/>
      <c r="EX479" s="770"/>
      <c r="EY479" s="770"/>
      <c r="EZ479" s="770"/>
      <c r="FA479" s="770"/>
      <c r="FB479" s="770"/>
      <c r="FC479" s="770"/>
      <c r="FD479" s="302"/>
      <c r="FE479" s="770"/>
      <c r="FF479" s="770"/>
      <c r="FG479" s="770"/>
      <c r="FH479" s="770" t="s">
        <v>478</v>
      </c>
      <c r="FI479" s="770">
        <v>1</v>
      </c>
      <c r="FJ479" s="770"/>
      <c r="FK479" s="770"/>
      <c r="FL479" s="770"/>
      <c r="FM479" s="302"/>
      <c r="FN479" s="302"/>
      <c r="FO479" s="302"/>
      <c r="FP479" s="770" t="s">
        <v>1600</v>
      </c>
      <c r="FQ479" s="770" t="s">
        <v>3940</v>
      </c>
      <c r="FR479" s="770" t="s">
        <v>1214</v>
      </c>
      <c r="FS479" s="770"/>
      <c r="FT479" s="770"/>
      <c r="FU479" s="770"/>
      <c r="FV479" s="770"/>
      <c r="FW479" s="770"/>
      <c r="FX479" s="770"/>
      <c r="FY479" s="770"/>
      <c r="FZ479" s="770"/>
      <c r="GA479" s="770"/>
      <c r="GB479" s="770"/>
      <c r="GC479" s="308"/>
      <c r="GD479" s="297"/>
      <c r="GE479" s="770"/>
      <c r="GF479" s="302"/>
      <c r="GG479" s="302"/>
      <c r="GH479" s="770" t="s">
        <v>1791</v>
      </c>
      <c r="GI479" s="770" t="s">
        <v>2352</v>
      </c>
      <c r="GJ479" s="770"/>
      <c r="GK479" s="770" t="s">
        <v>2345</v>
      </c>
      <c r="GL479" s="770"/>
      <c r="GM479" s="770"/>
      <c r="GN479" s="121" t="s">
        <v>3756</v>
      </c>
      <c r="GO479" s="766" t="s">
        <v>2664</v>
      </c>
      <c r="GP479" s="770" t="s">
        <v>1208</v>
      </c>
      <c r="GQ479" s="770" t="s">
        <v>1208</v>
      </c>
      <c r="GR479" s="770" t="s">
        <v>1208</v>
      </c>
      <c r="GS479" s="770" t="s">
        <v>1208</v>
      </c>
      <c r="GT479" s="770" t="s">
        <v>1208</v>
      </c>
      <c r="GU479" s="770"/>
      <c r="GV479" s="770"/>
      <c r="GW479" s="770" t="s">
        <v>1207</v>
      </c>
      <c r="GX479" s="770"/>
      <c r="GY479" s="770" t="s">
        <v>1208</v>
      </c>
      <c r="GZ479" s="770" t="s">
        <v>1208</v>
      </c>
      <c r="HA479" s="770"/>
      <c r="HB479" s="770" t="s">
        <v>1208</v>
      </c>
      <c r="HC479" s="770"/>
      <c r="HD479" s="770" t="s">
        <v>1208</v>
      </c>
      <c r="HE479" s="770" t="s">
        <v>1208</v>
      </c>
      <c r="HF479" s="770"/>
      <c r="HG479" s="770"/>
      <c r="HH479" s="770"/>
      <c r="HI479" s="770" t="s">
        <v>1214</v>
      </c>
      <c r="HJ479" s="770"/>
      <c r="HK479" s="770"/>
      <c r="HL479" s="770"/>
      <c r="HM479" s="770"/>
      <c r="HN479" s="770"/>
      <c r="HO479" s="770"/>
      <c r="HP479" s="770"/>
      <c r="HQ479" s="770"/>
      <c r="HR479" s="770">
        <v>2</v>
      </c>
      <c r="HS479" s="770"/>
      <c r="HT479" s="770"/>
      <c r="HU479" s="770"/>
      <c r="HV479" s="770"/>
      <c r="HW479" s="770"/>
      <c r="HX479" s="770"/>
      <c r="HY479" s="770"/>
      <c r="HZ479" s="770"/>
      <c r="IA479" s="770"/>
      <c r="IB479" s="14" t="e">
        <f>IF(#REF!&gt;0,IF(#REF!&lt;=10000,"Y",""),"")</f>
        <v>#REF!</v>
      </c>
      <c r="IC479" s="770"/>
      <c r="ID479" s="770"/>
      <c r="IE479" s="770"/>
      <c r="IF479" s="770"/>
      <c r="IG479" s="770"/>
      <c r="IH479" s="770"/>
      <c r="II479" s="770"/>
      <c r="IJ479" s="770"/>
      <c r="IK479" s="770"/>
      <c r="IL479" s="770"/>
      <c r="IM479" s="770"/>
      <c r="IN479" s="770"/>
      <c r="IO479" s="296"/>
      <c r="IP479" s="770"/>
      <c r="IQ479" s="770"/>
      <c r="IR479" s="770"/>
      <c r="IS479" s="770"/>
      <c r="IT479" s="770"/>
      <c r="IU479" s="770"/>
      <c r="IV479" s="770"/>
      <c r="IW479" s="770"/>
      <c r="IX479" s="770"/>
      <c r="IY479" s="770"/>
      <c r="IZ479" s="770"/>
      <c r="JA479" s="770"/>
      <c r="JB479" s="770"/>
      <c r="JC479" s="770"/>
      <c r="JD479" s="302"/>
      <c r="JE479" s="770"/>
      <c r="JF479" s="770"/>
      <c r="JG479" s="770"/>
      <c r="JH479" s="307"/>
      <c r="JI479" s="307"/>
      <c r="JJ479" s="770">
        <v>12</v>
      </c>
      <c r="JK479" s="1139" t="s">
        <v>2903</v>
      </c>
      <c r="JL479" s="770">
        <v>1</v>
      </c>
      <c r="JM479" s="770">
        <v>1</v>
      </c>
      <c r="JN479" s="770">
        <v>5</v>
      </c>
      <c r="JO479" s="770">
        <v>5</v>
      </c>
      <c r="JP479" s="770"/>
      <c r="JQ479" s="770"/>
      <c r="JR479" s="770"/>
      <c r="JS479" s="770"/>
      <c r="JT479" s="766">
        <f t="shared" ref="JT479:JU482" si="129">SUM(JP479,JN479,JL479,JR479)</f>
        <v>6</v>
      </c>
      <c r="JU479" s="766">
        <f t="shared" si="129"/>
        <v>6</v>
      </c>
      <c r="JV479" s="712" t="str">
        <f>IF(JT479=KJ479,"ok","male")</f>
        <v>ok</v>
      </c>
      <c r="JW479" s="712" t="str">
        <f>IF(JU479=KK479,"ok","female")</f>
        <v>ok</v>
      </c>
      <c r="JX479" s="770"/>
      <c r="JY479" s="770"/>
      <c r="JZ479" s="770">
        <v>1</v>
      </c>
      <c r="KA479" s="770">
        <v>1</v>
      </c>
      <c r="KB479" s="770">
        <v>1</v>
      </c>
      <c r="KC479" s="770">
        <v>1</v>
      </c>
      <c r="KD479" s="770">
        <v>3</v>
      </c>
      <c r="KE479" s="770">
        <v>4</v>
      </c>
      <c r="KF479" s="770">
        <v>1</v>
      </c>
      <c r="KG479" s="770"/>
      <c r="KH479" s="770"/>
      <c r="KI479" s="770"/>
      <c r="KJ479" s="770">
        <f t="shared" si="126"/>
        <v>6</v>
      </c>
      <c r="KK479" s="770">
        <f t="shared" si="126"/>
        <v>6</v>
      </c>
      <c r="KL479" s="712" t="str">
        <f>IF(KJ479=LN479,"ok","male")</f>
        <v>ok</v>
      </c>
      <c r="KM479" s="712" t="str">
        <f>IF(KK479=LO479,"ok","female")</f>
        <v>ok</v>
      </c>
      <c r="KN479" s="770" t="s">
        <v>707</v>
      </c>
      <c r="KO479" s="770"/>
      <c r="KP479" s="766"/>
      <c r="KQ479" s="766"/>
      <c r="KR479" s="766"/>
      <c r="KS479" s="766"/>
      <c r="KT479" s="766"/>
      <c r="KU479" s="766"/>
      <c r="KV479" s="766">
        <v>1</v>
      </c>
      <c r="KW479" s="766">
        <v>2</v>
      </c>
      <c r="KX479" s="766">
        <v>3</v>
      </c>
      <c r="KY479" s="766">
        <v>2</v>
      </c>
      <c r="KZ479" s="766">
        <v>1</v>
      </c>
      <c r="LA479" s="766"/>
      <c r="LB479" s="766"/>
      <c r="LC479" s="766">
        <v>2</v>
      </c>
      <c r="LD479" s="766"/>
      <c r="LE479" s="766"/>
      <c r="LF479" s="766"/>
      <c r="LG479" s="766"/>
      <c r="LH479" s="766"/>
      <c r="LI479" s="766"/>
      <c r="LJ479" s="766"/>
      <c r="LK479" s="766"/>
      <c r="LL479" s="766">
        <v>1</v>
      </c>
      <c r="LM479" s="766"/>
      <c r="LN479" s="766">
        <f t="shared" si="111"/>
        <v>6</v>
      </c>
      <c r="LO479" s="766">
        <f t="shared" si="111"/>
        <v>6</v>
      </c>
      <c r="LP479" s="770">
        <v>4</v>
      </c>
      <c r="LQ479" s="770">
        <v>3</v>
      </c>
      <c r="LR479" s="770"/>
      <c r="LS479" s="770">
        <v>1</v>
      </c>
      <c r="LT479" s="712" t="str">
        <f>IF(LQ479=SUM(LU479:LW479),"OK","REV")</f>
        <v>OK</v>
      </c>
      <c r="LU479" s="770">
        <v>1</v>
      </c>
      <c r="LV479" s="770"/>
      <c r="LW479" s="770">
        <v>2</v>
      </c>
      <c r="LX479" s="769">
        <v>2</v>
      </c>
      <c r="LY479" s="766" t="str">
        <f t="shared" si="119"/>
        <v>within the MUNICIPALITY</v>
      </c>
      <c r="LZ479" s="1709">
        <f>SUM(1800,1800)</f>
        <v>3600</v>
      </c>
      <c r="MA479" s="1709"/>
      <c r="MB479" s="1709"/>
      <c r="MC479" s="1679">
        <f t="shared" si="110"/>
        <v>3600</v>
      </c>
      <c r="MD479" s="1709">
        <f>SUM(12000,12000,12000)</f>
        <v>36000</v>
      </c>
      <c r="ME479" s="1709"/>
      <c r="MF479" s="1709">
        <v>21000</v>
      </c>
      <c r="MG479" s="1680">
        <f>SUM(MD479:MF479)</f>
        <v>57000</v>
      </c>
      <c r="MH479" s="770" t="s">
        <v>1985</v>
      </c>
      <c r="MI479" s="302">
        <v>60000</v>
      </c>
      <c r="MJ479" s="302"/>
      <c r="MK479" s="302">
        <v>3000</v>
      </c>
      <c r="ML479" s="302">
        <v>200</v>
      </c>
      <c r="MM479" s="302">
        <v>10000</v>
      </c>
      <c r="MN479" s="302"/>
      <c r="MO479" s="302">
        <v>600</v>
      </c>
      <c r="MP479" s="302">
        <v>330</v>
      </c>
      <c r="MQ479" s="302">
        <v>165</v>
      </c>
      <c r="MR479" s="302">
        <v>1300</v>
      </c>
      <c r="MS479" s="302">
        <v>18000</v>
      </c>
      <c r="MT479" s="302"/>
      <c r="MU479" s="302"/>
      <c r="MV479" s="302"/>
      <c r="MW479" s="302"/>
      <c r="MX479" s="302"/>
      <c r="MY479" s="1682">
        <f t="shared" si="122"/>
        <v>93595</v>
      </c>
      <c r="MZ479" s="770" t="s">
        <v>13395</v>
      </c>
      <c r="NA479" s="770" t="s">
        <v>13005</v>
      </c>
      <c r="NB479" s="770" t="s">
        <v>13016</v>
      </c>
      <c r="NC479" s="770" t="s">
        <v>13602</v>
      </c>
      <c r="ND479" s="770">
        <v>0</v>
      </c>
      <c r="NE479" s="770">
        <v>1</v>
      </c>
      <c r="NF479" s="770">
        <v>0</v>
      </c>
      <c r="NG479" s="770">
        <v>6</v>
      </c>
      <c r="NH479" s="770">
        <v>4</v>
      </c>
      <c r="NI479" s="770">
        <v>0</v>
      </c>
      <c r="NJ479" s="770">
        <v>1</v>
      </c>
      <c r="NK479" s="770">
        <v>0</v>
      </c>
      <c r="NL479" s="770">
        <v>3</v>
      </c>
      <c r="NM479" s="770">
        <v>1</v>
      </c>
      <c r="NN479" s="770">
        <v>0</v>
      </c>
      <c r="NO479" s="770">
        <v>0</v>
      </c>
      <c r="NP479" s="770">
        <v>0</v>
      </c>
      <c r="NQ479" s="770">
        <v>0</v>
      </c>
      <c r="NR479" s="770">
        <v>0</v>
      </c>
      <c r="NS479" s="770">
        <v>0</v>
      </c>
      <c r="NT479" s="770">
        <v>0</v>
      </c>
      <c r="NU479" s="770">
        <v>0</v>
      </c>
      <c r="NV479" s="770">
        <v>0</v>
      </c>
      <c r="NW479" s="770">
        <v>0</v>
      </c>
      <c r="NX479" s="770">
        <v>0</v>
      </c>
      <c r="NY479" s="770" t="s">
        <v>1208</v>
      </c>
      <c r="NZ479" s="770" t="s">
        <v>1208</v>
      </c>
      <c r="OA479" s="770" t="s">
        <v>1208</v>
      </c>
      <c r="OB479" s="770" t="s">
        <v>1208</v>
      </c>
      <c r="OC479" s="770" t="s">
        <v>1208</v>
      </c>
      <c r="OD479" s="770" t="s">
        <v>1208</v>
      </c>
      <c r="OE479" s="770"/>
      <c r="OF479" s="770" t="s">
        <v>2143</v>
      </c>
      <c r="OG479" s="770"/>
      <c r="OH479" s="770"/>
      <c r="OI479" s="770"/>
      <c r="OJ479" s="770"/>
      <c r="OK479" s="770" t="s">
        <v>1208</v>
      </c>
      <c r="OL479" s="770"/>
      <c r="OM479" s="770"/>
      <c r="ON479" s="770"/>
      <c r="OO479" s="770" t="s">
        <v>1207</v>
      </c>
      <c r="OP479" s="770" t="s">
        <v>13548</v>
      </c>
      <c r="OQ479" s="770" t="s">
        <v>2139</v>
      </c>
      <c r="OR479" s="770" t="s">
        <v>13532</v>
      </c>
      <c r="OS479" s="770" t="s">
        <v>12885</v>
      </c>
      <c r="OT479" s="770" t="s">
        <v>12888</v>
      </c>
      <c r="OU479" s="770" t="s">
        <v>12890</v>
      </c>
      <c r="OV479" s="770" t="s">
        <v>1208</v>
      </c>
      <c r="OW479" s="770"/>
      <c r="OX479" s="770" t="s">
        <v>1208</v>
      </c>
      <c r="OY479" s="770" t="s">
        <v>1208</v>
      </c>
      <c r="OZ479" s="770" t="s">
        <v>1208</v>
      </c>
      <c r="PA479" s="770" t="s">
        <v>1208</v>
      </c>
      <c r="PB479" s="770" t="s">
        <v>1208</v>
      </c>
      <c r="PC479" s="770"/>
      <c r="PD479" s="770"/>
      <c r="PE479" s="770"/>
      <c r="PF479" s="770"/>
      <c r="PG479" s="770"/>
      <c r="PH479" s="770"/>
      <c r="PI479" s="770"/>
      <c r="PJ479" s="770" t="s">
        <v>1208</v>
      </c>
      <c r="PK479" s="770" t="s">
        <v>1208</v>
      </c>
      <c r="PL479" s="770"/>
      <c r="PM479" s="770"/>
      <c r="PN479" s="770"/>
      <c r="PO479" s="770"/>
      <c r="PP479" s="770"/>
      <c r="PQ479" s="770"/>
      <c r="PR479" s="770"/>
      <c r="PS479" s="770" t="s">
        <v>1208</v>
      </c>
      <c r="PT479" s="770" t="s">
        <v>1208</v>
      </c>
      <c r="PU479" s="770"/>
      <c r="PV479" s="770"/>
      <c r="PW479" s="770"/>
      <c r="PX479" s="770"/>
      <c r="PY479" s="770"/>
      <c r="PZ479" s="770"/>
      <c r="QA479" s="770"/>
      <c r="QB479" s="770"/>
      <c r="QC479" s="770"/>
      <c r="QD479" s="770"/>
      <c r="QE479" s="770"/>
      <c r="QF479" s="770"/>
      <c r="QG479" s="770"/>
      <c r="QH479" s="770"/>
      <c r="QI479" s="770"/>
      <c r="QJ479" s="770"/>
      <c r="QK479" s="770"/>
      <c r="QL479" s="770"/>
      <c r="QM479" s="770"/>
      <c r="QN479" s="770"/>
      <c r="QO479" s="770"/>
      <c r="QP479" s="770"/>
      <c r="QQ479" s="770"/>
      <c r="QR479" s="770"/>
      <c r="QS479" s="770"/>
      <c r="QT479" s="770"/>
      <c r="QU479" s="770"/>
      <c r="QV479" s="770"/>
      <c r="QW479" s="770"/>
      <c r="QX479" s="770"/>
      <c r="QY479" s="770"/>
      <c r="QZ479" s="770"/>
      <c r="RA479" s="770"/>
      <c r="RB479" s="770" t="s">
        <v>1207</v>
      </c>
      <c r="RC479" s="770">
        <v>2016</v>
      </c>
      <c r="RD479" s="770" t="s">
        <v>13589</v>
      </c>
      <c r="RE479" s="770" t="s">
        <v>13008</v>
      </c>
      <c r="RF479" s="304">
        <v>2</v>
      </c>
      <c r="RG479" s="770" t="s">
        <v>13047</v>
      </c>
      <c r="RH479" s="302">
        <v>0</v>
      </c>
      <c r="RI479" s="770">
        <v>24</v>
      </c>
      <c r="RJ479" s="770" t="s">
        <v>2697</v>
      </c>
      <c r="RK479" s="770" t="s">
        <v>13544</v>
      </c>
      <c r="RL479" s="1710"/>
      <c r="RM479" s="12"/>
      <c r="RN479" s="1711"/>
      <c r="RO479" s="132" t="s">
        <v>3754</v>
      </c>
      <c r="RP479" s="11"/>
      <c r="RQ479" s="11"/>
      <c r="RR479" s="311" t="s">
        <v>7421</v>
      </c>
      <c r="RS479" s="1139" t="s">
        <v>12980</v>
      </c>
      <c r="RT479" s="11"/>
      <c r="RU479" s="11"/>
      <c r="RV479" s="771" t="s">
        <v>7421</v>
      </c>
      <c r="RW479" s="11" t="s">
        <v>7693</v>
      </c>
      <c r="RX479" s="11" t="s">
        <v>2686</v>
      </c>
      <c r="RY479" s="11"/>
      <c r="RZ479" s="11" t="s">
        <v>1101</v>
      </c>
      <c r="SA479" s="771"/>
      <c r="SB479" s="11"/>
      <c r="SC479" s="11"/>
    </row>
    <row r="480" spans="1:497" ht="12.75" customHeight="1">
      <c r="A480" s="19" t="s">
        <v>7421</v>
      </c>
      <c r="B480" s="752" t="s">
        <v>7767</v>
      </c>
      <c r="C480" s="132" t="s">
        <v>3497</v>
      </c>
      <c r="D480" s="94" t="s">
        <v>3501</v>
      </c>
      <c r="E480" s="770" t="s">
        <v>2621</v>
      </c>
      <c r="F480" s="770" t="s">
        <v>20</v>
      </c>
      <c r="G480" s="770" t="s">
        <v>18</v>
      </c>
      <c r="H480" s="770"/>
      <c r="I480" s="295" t="s">
        <v>2651</v>
      </c>
      <c r="J480" s="94" t="s">
        <v>3498</v>
      </c>
      <c r="K480" s="766" t="s">
        <v>3319</v>
      </c>
      <c r="L480" s="766" t="s">
        <v>2681</v>
      </c>
      <c r="M480" s="770" t="s">
        <v>1238</v>
      </c>
      <c r="N480" s="770"/>
      <c r="O480" s="770" t="s">
        <v>2604</v>
      </c>
      <c r="P480" s="94" t="s">
        <v>3499</v>
      </c>
      <c r="Q480" s="1088">
        <v>33273</v>
      </c>
      <c r="R480" s="297">
        <v>26</v>
      </c>
      <c r="S480" s="770" t="s">
        <v>10</v>
      </c>
      <c r="T480" s="770"/>
      <c r="U480" s="295" t="s">
        <v>2651</v>
      </c>
      <c r="V480" s="770" t="s">
        <v>722</v>
      </c>
      <c r="W480" s="770"/>
      <c r="X480" s="770"/>
      <c r="Y480" s="770" t="s">
        <v>2621</v>
      </c>
      <c r="Z480" s="770" t="s">
        <v>708</v>
      </c>
      <c r="AA480" s="770" t="s">
        <v>709</v>
      </c>
      <c r="AB480" s="770" t="s">
        <v>710</v>
      </c>
      <c r="AC480" s="770" t="s">
        <v>724</v>
      </c>
      <c r="AD480" s="770" t="s">
        <v>711</v>
      </c>
      <c r="AE480" s="770"/>
      <c r="AF480" s="770" t="s">
        <v>798</v>
      </c>
      <c r="AG480" s="766" t="s">
        <v>1132</v>
      </c>
      <c r="AH480" s="766" t="s">
        <v>1096</v>
      </c>
      <c r="AI480" s="770"/>
      <c r="AJ480" s="770" t="s">
        <v>1137</v>
      </c>
      <c r="AK480" s="770" t="s">
        <v>1101</v>
      </c>
      <c r="AL480" s="531">
        <v>22.09</v>
      </c>
      <c r="AM480" s="780">
        <v>22.09</v>
      </c>
      <c r="AN480" s="532">
        <f t="shared" ref="AN480:AN491" si="130">AM480/AL480</f>
        <v>1</v>
      </c>
      <c r="AO480" s="766" t="s">
        <v>1122</v>
      </c>
      <c r="AP480" s="766"/>
      <c r="AQ480" s="766"/>
      <c r="AR480" s="766"/>
      <c r="AS480" s="770"/>
      <c r="AT480" s="770"/>
      <c r="AU480" s="770"/>
      <c r="AV480" s="770"/>
      <c r="AW480" s="770"/>
      <c r="AX480" s="770"/>
      <c r="AY480" s="770"/>
      <c r="AZ480" s="770"/>
      <c r="BA480" s="770"/>
      <c r="BB480" s="770"/>
      <c r="BC480" s="770"/>
      <c r="BD480" s="770"/>
      <c r="BE480" s="770"/>
      <c r="BF480" s="302"/>
      <c r="BG480" s="302"/>
      <c r="BH480" s="770"/>
      <c r="BI480" s="770"/>
      <c r="BJ480" s="770"/>
      <c r="BK480" s="770" t="s">
        <v>1095</v>
      </c>
      <c r="BL480" s="770" t="s">
        <v>3500</v>
      </c>
      <c r="BM480" s="766" t="s">
        <v>1096</v>
      </c>
      <c r="BN480" s="770" t="s">
        <v>1230</v>
      </c>
      <c r="BO480" s="766" t="s">
        <v>1246</v>
      </c>
      <c r="BP480" s="1109">
        <v>22.09</v>
      </c>
      <c r="BQ480" s="773">
        <v>22.09</v>
      </c>
      <c r="BR480" s="774">
        <f t="shared" si="127"/>
        <v>1</v>
      </c>
      <c r="BS480" s="766" t="s">
        <v>1257</v>
      </c>
      <c r="BT480" s="766" t="s">
        <v>1326</v>
      </c>
      <c r="BU480" s="766" t="s">
        <v>1264</v>
      </c>
      <c r="BV480" s="770" t="s">
        <v>2432</v>
      </c>
      <c r="BW480" s="769"/>
      <c r="BX480" s="302"/>
      <c r="BY480" s="770"/>
      <c r="BZ480" s="302"/>
      <c r="CA480" s="770"/>
      <c r="CB480" s="770"/>
      <c r="CC480" s="770"/>
      <c r="CD480" s="770"/>
      <c r="CE480" s="770"/>
      <c r="CF480" s="1753"/>
      <c r="CG480" s="1754"/>
      <c r="CH480" s="770"/>
      <c r="CI480" s="770"/>
      <c r="CJ480" s="770"/>
      <c r="CK480" s="770"/>
      <c r="CL480" s="770"/>
      <c r="CM480" s="770"/>
      <c r="CN480" s="770"/>
      <c r="CO480" s="770"/>
      <c r="CP480" s="770"/>
      <c r="CQ480" s="770"/>
      <c r="CR480" s="302"/>
      <c r="CS480" s="770"/>
      <c r="CT480" s="770"/>
      <c r="CU480" s="305"/>
      <c r="CV480" s="770"/>
      <c r="CW480" s="770"/>
      <c r="CX480" s="770"/>
      <c r="CY480" s="770"/>
      <c r="CZ480" s="770"/>
      <c r="DA480" s="306"/>
      <c r="DB480" s="770"/>
      <c r="DC480" s="770"/>
      <c r="DD480" s="770"/>
      <c r="DE480" s="300"/>
      <c r="DF480" s="770"/>
      <c r="DG480" s="770"/>
      <c r="DH480" s="770"/>
      <c r="DI480" s="770"/>
      <c r="DJ480" s="770"/>
      <c r="DK480" s="770"/>
      <c r="DL480" s="770"/>
      <c r="DM480" s="770"/>
      <c r="DN480" s="322"/>
      <c r="DO480" s="770"/>
      <c r="DP480" s="770"/>
      <c r="DQ480" s="770"/>
      <c r="DR480" s="770"/>
      <c r="DS480" s="307"/>
      <c r="DT480" s="770"/>
      <c r="DU480" s="770"/>
      <c r="DV480" s="770"/>
      <c r="DW480" s="306"/>
      <c r="DX480" s="306"/>
      <c r="DY480" s="770"/>
      <c r="DZ480" s="770"/>
      <c r="EA480" s="770"/>
      <c r="EB480" s="770"/>
      <c r="EC480" s="770"/>
      <c r="ED480" s="770"/>
      <c r="EE480" s="770"/>
      <c r="EF480" s="770"/>
      <c r="EG480" s="770"/>
      <c r="EH480" s="770"/>
      <c r="EI480" s="770"/>
      <c r="EJ480" s="770"/>
      <c r="EK480" s="770"/>
      <c r="EL480" s="770"/>
      <c r="EM480" s="770"/>
      <c r="EN480" s="770"/>
      <c r="EO480" s="770"/>
      <c r="EP480" s="94"/>
      <c r="EQ480" s="770"/>
      <c r="ER480" s="770"/>
      <c r="ES480" s="770"/>
      <c r="ET480" s="770"/>
      <c r="EU480" s="770"/>
      <c r="EV480" s="770"/>
      <c r="EW480" s="770"/>
      <c r="EX480" s="770"/>
      <c r="EY480" s="770"/>
      <c r="EZ480" s="770"/>
      <c r="FA480" s="770"/>
      <c r="FB480" s="770"/>
      <c r="FC480" s="770"/>
      <c r="FD480" s="302"/>
      <c r="FE480" s="770"/>
      <c r="FF480" s="770"/>
      <c r="FG480" s="770"/>
      <c r="FH480" s="770" t="s">
        <v>478</v>
      </c>
      <c r="FI480" s="770">
        <v>1</v>
      </c>
      <c r="FJ480" s="770"/>
      <c r="FK480" s="770"/>
      <c r="FL480" s="770"/>
      <c r="FM480" s="302"/>
      <c r="FN480" s="302"/>
      <c r="FO480" s="302"/>
      <c r="FP480" s="766" t="s">
        <v>1602</v>
      </c>
      <c r="FQ480" s="766" t="s">
        <v>1660</v>
      </c>
      <c r="FR480" s="770" t="s">
        <v>1214</v>
      </c>
      <c r="FS480" s="770"/>
      <c r="FT480" s="770"/>
      <c r="FU480" s="770"/>
      <c r="FV480" s="770"/>
      <c r="FW480" s="770"/>
      <c r="FX480" s="770"/>
      <c r="FY480" s="770"/>
      <c r="FZ480" s="770"/>
      <c r="GA480" s="770"/>
      <c r="GB480" s="770"/>
      <c r="GC480" s="308"/>
      <c r="GD480" s="297"/>
      <c r="GE480" s="770"/>
      <c r="GF480" s="302"/>
      <c r="GG480" s="302"/>
      <c r="GH480" s="712" t="s">
        <v>1791</v>
      </c>
      <c r="GI480" s="770"/>
      <c r="GJ480" s="770"/>
      <c r="GK480" s="770" t="s">
        <v>3334</v>
      </c>
      <c r="GL480" s="770"/>
      <c r="GM480" s="770"/>
      <c r="GN480" s="299"/>
      <c r="GO480" s="770"/>
      <c r="GP480" s="770"/>
      <c r="GQ480" s="770" t="s">
        <v>1208</v>
      </c>
      <c r="GR480" s="770" t="s">
        <v>1208</v>
      </c>
      <c r="GS480" s="770" t="s">
        <v>1208</v>
      </c>
      <c r="GT480" s="770" t="s">
        <v>1208</v>
      </c>
      <c r="GU480" s="770"/>
      <c r="GV480" s="770"/>
      <c r="GW480" s="770"/>
      <c r="GX480" s="770"/>
      <c r="GY480" s="770" t="s">
        <v>1208</v>
      </c>
      <c r="GZ480" s="770" t="s">
        <v>1208</v>
      </c>
      <c r="HA480" s="770" t="s">
        <v>1208</v>
      </c>
      <c r="HB480" s="770" t="s">
        <v>1208</v>
      </c>
      <c r="HC480" s="770" t="s">
        <v>1208</v>
      </c>
      <c r="HD480" s="770" t="s">
        <v>1208</v>
      </c>
      <c r="HE480" s="770" t="s">
        <v>1208</v>
      </c>
      <c r="HF480" s="770"/>
      <c r="HG480" s="770"/>
      <c r="HH480" s="770"/>
      <c r="HI480" s="770"/>
      <c r="HJ480" s="770"/>
      <c r="HK480" s="770"/>
      <c r="HL480" s="770"/>
      <c r="HM480" s="770"/>
      <c r="HN480" s="770"/>
      <c r="HO480" s="770"/>
      <c r="HP480" s="770"/>
      <c r="HQ480" s="770"/>
      <c r="HR480" s="770">
        <v>1</v>
      </c>
      <c r="HS480" s="770"/>
      <c r="HT480" s="770"/>
      <c r="HU480" s="770"/>
      <c r="HV480" s="770"/>
      <c r="HW480" s="770"/>
      <c r="HX480" s="770"/>
      <c r="HY480" s="770"/>
      <c r="HZ480" s="770"/>
      <c r="IA480" s="770"/>
      <c r="IB480" s="14" t="e">
        <f>IF(#REF!&gt;0,IF(#REF!&lt;=10000,"Y",""),"")</f>
        <v>#REF!</v>
      </c>
      <c r="IC480" s="770"/>
      <c r="ID480" s="770"/>
      <c r="IE480" s="770"/>
      <c r="IF480" s="770"/>
      <c r="IG480" s="770"/>
      <c r="IH480" s="770"/>
      <c r="II480" s="770"/>
      <c r="IJ480" s="770"/>
      <c r="IK480" s="770"/>
      <c r="IL480" s="770"/>
      <c r="IM480" s="770"/>
      <c r="IN480" s="770"/>
      <c r="IO480" s="296"/>
      <c r="IP480" s="770"/>
      <c r="IQ480" s="770"/>
      <c r="IR480" s="770"/>
      <c r="IS480" s="770"/>
      <c r="IT480" s="770"/>
      <c r="IU480" s="770"/>
      <c r="IV480" s="770"/>
      <c r="IW480" s="770"/>
      <c r="IX480" s="770"/>
      <c r="IY480" s="770"/>
      <c r="IZ480" s="770"/>
      <c r="JA480" s="770"/>
      <c r="JB480" s="770"/>
      <c r="JC480" s="770"/>
      <c r="JD480" s="302"/>
      <c r="JE480" s="770"/>
      <c r="JF480" s="770"/>
      <c r="JG480" s="770"/>
      <c r="JH480" s="307"/>
      <c r="JI480" s="307"/>
      <c r="JJ480" s="770">
        <v>4</v>
      </c>
      <c r="JK480" s="1139" t="s">
        <v>3500</v>
      </c>
      <c r="JL480" s="770">
        <v>1</v>
      </c>
      <c r="JM480" s="770">
        <v>1</v>
      </c>
      <c r="JN480" s="770">
        <v>1</v>
      </c>
      <c r="JO480" s="770">
        <v>1</v>
      </c>
      <c r="JP480" s="770"/>
      <c r="JQ480" s="770"/>
      <c r="JR480" s="770"/>
      <c r="JS480" s="770"/>
      <c r="JT480" s="766">
        <f t="shared" si="129"/>
        <v>2</v>
      </c>
      <c r="JU480" s="766">
        <f t="shared" si="129"/>
        <v>2</v>
      </c>
      <c r="JV480" s="712" t="str">
        <f>IF(JT480=KJ480,"ok","male")</f>
        <v>ok</v>
      </c>
      <c r="JW480" s="712" t="str">
        <f>IF(JU480=KK480,"ok","female")</f>
        <v>ok</v>
      </c>
      <c r="JX480" s="770">
        <v>1</v>
      </c>
      <c r="JY480" s="770">
        <v>1</v>
      </c>
      <c r="JZ480" s="770"/>
      <c r="KA480" s="770"/>
      <c r="KB480" s="770">
        <v>1</v>
      </c>
      <c r="KC480" s="770">
        <v>1</v>
      </c>
      <c r="KD480" s="770"/>
      <c r="KE480" s="770"/>
      <c r="KF480" s="770"/>
      <c r="KG480" s="770"/>
      <c r="KH480" s="770"/>
      <c r="KI480" s="770"/>
      <c r="KJ480" s="770">
        <f t="shared" si="126"/>
        <v>2</v>
      </c>
      <c r="KK480" s="770">
        <f t="shared" si="126"/>
        <v>2</v>
      </c>
      <c r="KL480" s="712" t="str">
        <f>IF(KJ480=LN480,"ok","male")</f>
        <v>ok</v>
      </c>
      <c r="KM480" s="712" t="str">
        <f>IF(KK480=LO480,"ok","female")</f>
        <v>ok</v>
      </c>
      <c r="KN480" s="770" t="s">
        <v>722</v>
      </c>
      <c r="KO480" s="770"/>
      <c r="KP480" s="770">
        <v>1</v>
      </c>
      <c r="KQ480" s="770"/>
      <c r="KR480" s="770"/>
      <c r="KS480" s="770">
        <v>1</v>
      </c>
      <c r="KT480" s="770"/>
      <c r="KU480" s="770"/>
      <c r="KV480" s="770"/>
      <c r="KW480" s="770"/>
      <c r="KX480" s="770"/>
      <c r="KY480" s="770"/>
      <c r="KZ480" s="770">
        <v>1</v>
      </c>
      <c r="LA480" s="770">
        <v>1</v>
      </c>
      <c r="LB480" s="770"/>
      <c r="LC480" s="770"/>
      <c r="LD480" s="770"/>
      <c r="LE480" s="770"/>
      <c r="LF480" s="770"/>
      <c r="LG480" s="770"/>
      <c r="LH480" s="770"/>
      <c r="LI480" s="770"/>
      <c r="LJ480" s="770"/>
      <c r="LK480" s="770"/>
      <c r="LL480" s="770"/>
      <c r="LM480" s="770"/>
      <c r="LN480" s="766">
        <f t="shared" si="111"/>
        <v>2</v>
      </c>
      <c r="LO480" s="766">
        <f t="shared" si="111"/>
        <v>2</v>
      </c>
      <c r="LP480" s="770">
        <v>1</v>
      </c>
      <c r="LQ480" s="770"/>
      <c r="LR480" s="770"/>
      <c r="LS480" s="770">
        <v>1</v>
      </c>
      <c r="LT480" s="712" t="str">
        <f>IF(LQ480=SUM(LU480:LW480),"OK","REV")</f>
        <v>OK</v>
      </c>
      <c r="LU480" s="770"/>
      <c r="LV480" s="770"/>
      <c r="LW480" s="770"/>
      <c r="LX480" s="769">
        <v>1</v>
      </c>
      <c r="LY480" s="766" t="str">
        <f t="shared" si="119"/>
        <v>within the BRGY</v>
      </c>
      <c r="LZ480" s="1709"/>
      <c r="MA480" s="1709"/>
      <c r="MB480" s="1709"/>
      <c r="MC480" s="1679">
        <f t="shared" si="110"/>
        <v>0</v>
      </c>
      <c r="MD480" s="1709"/>
      <c r="ME480" s="1709"/>
      <c r="MF480" s="1709">
        <v>9000</v>
      </c>
      <c r="MG480" s="1680">
        <f>SUM(MD480:MF480)</f>
        <v>9000</v>
      </c>
      <c r="MH480" s="13"/>
      <c r="MI480" s="302">
        <v>4500</v>
      </c>
      <c r="MJ480" s="302"/>
      <c r="MK480" s="302">
        <v>42</v>
      </c>
      <c r="ML480" s="302">
        <v>200</v>
      </c>
      <c r="MM480" s="302">
        <v>83</v>
      </c>
      <c r="MN480" s="302"/>
      <c r="MO480" s="302">
        <v>450</v>
      </c>
      <c r="MP480" s="302">
        <v>100</v>
      </c>
      <c r="MQ480" s="302">
        <v>3000</v>
      </c>
      <c r="MR480" s="302">
        <v>1000</v>
      </c>
      <c r="MS480" s="302">
        <v>15000</v>
      </c>
      <c r="MT480" s="302"/>
      <c r="MU480" s="302"/>
      <c r="MV480" s="302"/>
      <c r="MW480" s="302"/>
      <c r="MX480" s="302"/>
      <c r="MY480" s="1682">
        <f t="shared" si="122"/>
        <v>24375</v>
      </c>
      <c r="MZ480" s="770" t="s">
        <v>13395</v>
      </c>
      <c r="NA480" s="770" t="s">
        <v>13065</v>
      </c>
      <c r="NB480" s="770" t="s">
        <v>13033</v>
      </c>
      <c r="NC480" s="770" t="s">
        <v>13621</v>
      </c>
      <c r="ND480" s="770">
        <v>0</v>
      </c>
      <c r="NE480" s="770">
        <v>0</v>
      </c>
      <c r="NF480" s="770">
        <v>0</v>
      </c>
      <c r="NG480" s="770">
        <v>1</v>
      </c>
      <c r="NH480" s="770">
        <v>0</v>
      </c>
      <c r="NI480" s="770">
        <v>0</v>
      </c>
      <c r="NJ480" s="770">
        <v>1</v>
      </c>
      <c r="NK480" s="770">
        <v>0</v>
      </c>
      <c r="NL480" s="770">
        <v>0</v>
      </c>
      <c r="NM480" s="770">
        <v>0</v>
      </c>
      <c r="NN480" s="770">
        <v>0</v>
      </c>
      <c r="NO480" s="770">
        <v>0</v>
      </c>
      <c r="NP480" s="770">
        <v>0</v>
      </c>
      <c r="NQ480" s="770">
        <v>0</v>
      </c>
      <c r="NR480" s="770">
        <v>0</v>
      </c>
      <c r="NS480" s="770">
        <v>0</v>
      </c>
      <c r="NT480" s="770">
        <v>0</v>
      </c>
      <c r="NU480" s="770">
        <v>0</v>
      </c>
      <c r="NV480" s="770">
        <v>0</v>
      </c>
      <c r="NW480" s="770">
        <v>0</v>
      </c>
      <c r="NX480" s="770">
        <v>0</v>
      </c>
      <c r="NY480" s="770" t="s">
        <v>1208</v>
      </c>
      <c r="NZ480" s="770" t="s">
        <v>1208</v>
      </c>
      <c r="OA480" s="770" t="s">
        <v>1208</v>
      </c>
      <c r="OB480" s="770" t="s">
        <v>1208</v>
      </c>
      <c r="OC480" s="770" t="s">
        <v>1208</v>
      </c>
      <c r="OD480" s="770"/>
      <c r="OE480" s="770"/>
      <c r="OF480" s="770"/>
      <c r="OG480" s="770"/>
      <c r="OH480" s="770"/>
      <c r="OI480" s="770"/>
      <c r="OJ480" s="770"/>
      <c r="OK480" s="770"/>
      <c r="OL480" s="770"/>
      <c r="OM480" s="770"/>
      <c r="ON480" s="770"/>
      <c r="OO480" s="770"/>
      <c r="OP480" s="770"/>
      <c r="OQ480" s="770"/>
      <c r="OR480" s="770"/>
      <c r="OS480" s="770"/>
      <c r="OT480" s="770"/>
      <c r="OU480" s="770"/>
      <c r="OV480" s="770"/>
      <c r="OW480" s="770"/>
      <c r="OX480" s="770"/>
      <c r="OY480" s="770"/>
      <c r="OZ480" s="770"/>
      <c r="PA480" s="770"/>
      <c r="PB480" s="770"/>
      <c r="PC480" s="770"/>
      <c r="PD480" s="770"/>
      <c r="PE480" s="770"/>
      <c r="PF480" s="770"/>
      <c r="PG480" s="770" t="s">
        <v>1208</v>
      </c>
      <c r="PH480" s="770" t="s">
        <v>1208</v>
      </c>
      <c r="PI480" s="770" t="s">
        <v>1208</v>
      </c>
      <c r="PJ480" s="770"/>
      <c r="PK480" s="770" t="s">
        <v>1208</v>
      </c>
      <c r="PL480" s="770"/>
      <c r="PM480" s="770"/>
      <c r="PN480" s="770"/>
      <c r="PO480" s="770"/>
      <c r="PP480" s="770"/>
      <c r="PQ480" s="770"/>
      <c r="PR480" s="770"/>
      <c r="PS480" s="770" t="s">
        <v>1208</v>
      </c>
      <c r="PT480" s="770" t="s">
        <v>1208</v>
      </c>
      <c r="PU480" s="770"/>
      <c r="PV480" s="770"/>
      <c r="PW480" s="770"/>
      <c r="PX480" s="770"/>
      <c r="PY480" s="770"/>
      <c r="PZ480" s="770"/>
      <c r="QA480" s="770"/>
      <c r="QB480" s="770"/>
      <c r="QC480" s="770"/>
      <c r="QD480" s="770"/>
      <c r="QE480" s="770"/>
      <c r="QF480" s="770"/>
      <c r="QG480" s="770"/>
      <c r="QH480" s="770"/>
      <c r="QI480" s="770"/>
      <c r="QJ480" s="770"/>
      <c r="QK480" s="770"/>
      <c r="QL480" s="770"/>
      <c r="QM480" s="770"/>
      <c r="QN480" s="770"/>
      <c r="QO480" s="770"/>
      <c r="QP480" s="770"/>
      <c r="QQ480" s="770"/>
      <c r="QR480" s="770"/>
      <c r="QS480" s="770"/>
      <c r="QT480" s="770"/>
      <c r="QU480" s="770"/>
      <c r="QV480" s="770"/>
      <c r="QW480" s="770"/>
      <c r="QX480" s="770"/>
      <c r="QY480" s="770"/>
      <c r="QZ480" s="770"/>
      <c r="RA480" s="770"/>
      <c r="RB480" s="770" t="s">
        <v>1207</v>
      </c>
      <c r="RC480" s="770">
        <v>2016</v>
      </c>
      <c r="RD480" s="770"/>
      <c r="RE480" s="770" t="s">
        <v>12999</v>
      </c>
      <c r="RF480" s="304">
        <v>1</v>
      </c>
      <c r="RG480" s="770" t="s">
        <v>13047</v>
      </c>
      <c r="RH480" s="302">
        <v>100</v>
      </c>
      <c r="RI480" s="770">
        <v>5</v>
      </c>
      <c r="RJ480" s="770" t="s">
        <v>13629</v>
      </c>
      <c r="RK480" s="770" t="s">
        <v>13552</v>
      </c>
      <c r="RL480" s="1710"/>
      <c r="RM480" s="12"/>
      <c r="RN480" s="1711"/>
      <c r="RO480" s="132" t="s">
        <v>3497</v>
      </c>
      <c r="RP480" s="11"/>
      <c r="RQ480" s="11"/>
      <c r="RR480" s="19" t="s">
        <v>7421</v>
      </c>
      <c r="RS480" s="1139" t="s">
        <v>12980</v>
      </c>
      <c r="RT480" s="11"/>
      <c r="RU480" s="11"/>
      <c r="RV480" s="771" t="s">
        <v>7421</v>
      </c>
      <c r="RW480" s="11" t="s">
        <v>7881</v>
      </c>
      <c r="RX480" s="11" t="s">
        <v>7882</v>
      </c>
      <c r="RY480" s="11"/>
      <c r="RZ480" s="11" t="s">
        <v>1101</v>
      </c>
      <c r="SA480" s="771"/>
      <c r="SB480" s="11"/>
      <c r="SC480" s="11"/>
    </row>
    <row r="481" spans="1:497" ht="12.75" customHeight="1">
      <c r="A481" s="343" t="s">
        <v>12452</v>
      </c>
      <c r="B481" s="752" t="s">
        <v>7770</v>
      </c>
      <c r="C481" s="132" t="s">
        <v>2899</v>
      </c>
      <c r="D481" s="94" t="s">
        <v>3317</v>
      </c>
      <c r="E481" s="770" t="s">
        <v>3023</v>
      </c>
      <c r="F481" s="770" t="s">
        <v>20</v>
      </c>
      <c r="G481" s="770" t="s">
        <v>18</v>
      </c>
      <c r="H481" s="770"/>
      <c r="I481" s="295" t="s">
        <v>3318</v>
      </c>
      <c r="J481" s="94" t="s">
        <v>11705</v>
      </c>
      <c r="K481" s="766" t="s">
        <v>3319</v>
      </c>
      <c r="L481" s="766" t="s">
        <v>3320</v>
      </c>
      <c r="M481" s="770" t="s">
        <v>1238</v>
      </c>
      <c r="N481" s="770"/>
      <c r="O481" s="770" t="s">
        <v>2604</v>
      </c>
      <c r="P481" s="94" t="s">
        <v>3321</v>
      </c>
      <c r="Q481" s="1088">
        <v>26019</v>
      </c>
      <c r="R481" s="297">
        <v>46</v>
      </c>
      <c r="S481" s="770" t="s">
        <v>10</v>
      </c>
      <c r="T481" s="770"/>
      <c r="U481" s="295"/>
      <c r="V481" s="770" t="s">
        <v>707</v>
      </c>
      <c r="W481" s="770"/>
      <c r="X481" s="770"/>
      <c r="Y481" s="770" t="s">
        <v>3023</v>
      </c>
      <c r="Z481" s="770" t="s">
        <v>708</v>
      </c>
      <c r="AA481" s="770" t="s">
        <v>709</v>
      </c>
      <c r="AB481" s="770" t="s">
        <v>7273</v>
      </c>
      <c r="AC481" s="770"/>
      <c r="AD481" s="770"/>
      <c r="AE481" s="770" t="s">
        <v>3322</v>
      </c>
      <c r="AF481" s="770" t="s">
        <v>798</v>
      </c>
      <c r="AG481" s="766" t="s">
        <v>1132</v>
      </c>
      <c r="AH481" s="766" t="s">
        <v>1096</v>
      </c>
      <c r="AI481" s="770"/>
      <c r="AJ481" s="770" t="s">
        <v>1137</v>
      </c>
      <c r="AK481" s="770" t="s">
        <v>1101</v>
      </c>
      <c r="AL481" s="531">
        <v>14.406000000000001</v>
      </c>
      <c r="AM481" s="780">
        <v>0.79800000000000004</v>
      </c>
      <c r="AN481" s="532">
        <f t="shared" si="130"/>
        <v>5.5393586005830907E-2</v>
      </c>
      <c r="AO481" s="766" t="s">
        <v>1098</v>
      </c>
      <c r="AP481" s="766"/>
      <c r="AQ481" s="766"/>
      <c r="AR481" s="766"/>
      <c r="AS481" s="770"/>
      <c r="AT481" s="770"/>
      <c r="AU481" s="770"/>
      <c r="AV481" s="770"/>
      <c r="AW481" s="770"/>
      <c r="AX481" s="770"/>
      <c r="AY481" s="770"/>
      <c r="AZ481" s="770"/>
      <c r="BA481" s="770"/>
      <c r="BB481" s="770"/>
      <c r="BC481" s="770"/>
      <c r="BD481" s="770"/>
      <c r="BE481" s="770"/>
      <c r="BF481" s="302"/>
      <c r="BG481" s="302"/>
      <c r="BH481" s="770"/>
      <c r="BI481" s="770"/>
      <c r="BJ481" s="770"/>
      <c r="BK481" s="770" t="s">
        <v>1095</v>
      </c>
      <c r="BL481" s="770" t="s">
        <v>3323</v>
      </c>
      <c r="BM481" s="766" t="s">
        <v>1096</v>
      </c>
      <c r="BN481" s="766" t="s">
        <v>1256</v>
      </c>
      <c r="BO481" s="766" t="s">
        <v>1239</v>
      </c>
      <c r="BP481" s="1109">
        <v>28.812000000000001</v>
      </c>
      <c r="BQ481" s="773">
        <v>1.6</v>
      </c>
      <c r="BR481" s="774">
        <f t="shared" si="127"/>
        <v>5.5532417048452035E-2</v>
      </c>
      <c r="BS481" s="766" t="s">
        <v>1242</v>
      </c>
      <c r="BT481" s="766" t="s">
        <v>8133</v>
      </c>
      <c r="BU481" s="770" t="s">
        <v>1249</v>
      </c>
      <c r="BV481" s="770" t="s">
        <v>1247</v>
      </c>
      <c r="BW481" s="769"/>
      <c r="BX481" s="302"/>
      <c r="BY481" s="770"/>
      <c r="BZ481" s="302"/>
      <c r="CA481" s="770"/>
      <c r="CB481" s="770"/>
      <c r="CC481" s="770"/>
      <c r="CD481" s="770"/>
      <c r="CE481" s="770"/>
      <c r="CF481" s="1753"/>
      <c r="CG481" s="1754"/>
      <c r="CH481" s="770"/>
      <c r="CI481" s="770"/>
      <c r="CJ481" s="770"/>
      <c r="CK481" s="770"/>
      <c r="CL481" s="770"/>
      <c r="CM481" s="770"/>
      <c r="CN481" s="770"/>
      <c r="CO481" s="770"/>
      <c r="CP481" s="770"/>
      <c r="CQ481" s="770"/>
      <c r="CR481" s="302"/>
      <c r="CS481" s="770"/>
      <c r="CT481" s="770"/>
      <c r="CU481" s="305"/>
      <c r="CV481" s="770"/>
      <c r="CW481" s="770"/>
      <c r="CX481" s="770"/>
      <c r="CY481" s="770"/>
      <c r="CZ481" s="770"/>
      <c r="DA481" s="306"/>
      <c r="DB481" s="770"/>
      <c r="DC481" s="770"/>
      <c r="DD481" s="770"/>
      <c r="DE481" s="300"/>
      <c r="DF481" s="770"/>
      <c r="DG481" s="770"/>
      <c r="DH481" s="770"/>
      <c r="DI481" s="770"/>
      <c r="DJ481" s="770"/>
      <c r="DK481" s="770"/>
      <c r="DL481" s="770"/>
      <c r="DM481" s="770"/>
      <c r="DN481" s="322"/>
      <c r="DO481" s="770"/>
      <c r="DP481" s="770"/>
      <c r="DQ481" s="770"/>
      <c r="DR481" s="770"/>
      <c r="DS481" s="307"/>
      <c r="DT481" s="770"/>
      <c r="DU481" s="770"/>
      <c r="DV481" s="770"/>
      <c r="DW481" s="306"/>
      <c r="DX481" s="306"/>
      <c r="DY481" s="770"/>
      <c r="DZ481" s="770"/>
      <c r="EA481" s="770"/>
      <c r="EB481" s="770"/>
      <c r="EC481" s="770"/>
      <c r="ED481" s="770"/>
      <c r="EE481" s="770"/>
      <c r="EF481" s="770"/>
      <c r="EG481" s="770"/>
      <c r="EH481" s="770"/>
      <c r="EI481" s="770"/>
      <c r="EJ481" s="770"/>
      <c r="EK481" s="770"/>
      <c r="EL481" s="770"/>
      <c r="EM481" s="770"/>
      <c r="EN481" s="770"/>
      <c r="EO481" s="770"/>
      <c r="EP481" s="94"/>
      <c r="EQ481" s="770"/>
      <c r="ER481" s="770"/>
      <c r="ES481" s="770"/>
      <c r="ET481" s="770"/>
      <c r="EU481" s="770"/>
      <c r="EV481" s="770"/>
      <c r="EW481" s="770"/>
      <c r="EX481" s="770"/>
      <c r="EY481" s="770"/>
      <c r="EZ481" s="770"/>
      <c r="FA481" s="770"/>
      <c r="FB481" s="770"/>
      <c r="FC481" s="770"/>
      <c r="FD481" s="302"/>
      <c r="FE481" s="770"/>
      <c r="FF481" s="770"/>
      <c r="FG481" s="770"/>
      <c r="FH481" s="770" t="s">
        <v>1306</v>
      </c>
      <c r="FI481" s="770">
        <v>1</v>
      </c>
      <c r="FJ481" s="770" t="s">
        <v>3323</v>
      </c>
      <c r="FK481" s="770"/>
      <c r="FL481" s="770" t="s">
        <v>3023</v>
      </c>
      <c r="FM481" s="147">
        <v>2500</v>
      </c>
      <c r="FN481" s="302">
        <v>500</v>
      </c>
      <c r="FO481" s="302">
        <v>500</v>
      </c>
      <c r="FP481" s="766" t="s">
        <v>1600</v>
      </c>
      <c r="FQ481" s="766" t="s">
        <v>1642</v>
      </c>
      <c r="FR481" s="770"/>
      <c r="FS481" s="770"/>
      <c r="FT481" s="770"/>
      <c r="FU481" s="770"/>
      <c r="FV481" s="770"/>
      <c r="FW481" s="770"/>
      <c r="FX481" s="770"/>
      <c r="FY481" s="770"/>
      <c r="FZ481" s="770"/>
      <c r="GA481" s="770"/>
      <c r="GB481" s="770"/>
      <c r="GC481" s="308"/>
      <c r="GD481" s="297"/>
      <c r="GE481" s="770"/>
      <c r="GF481" s="302"/>
      <c r="GG481" s="302"/>
      <c r="GH481" s="769"/>
      <c r="GI481" s="770"/>
      <c r="GJ481" s="770"/>
      <c r="GK481" s="770"/>
      <c r="GL481" s="770"/>
      <c r="GM481" s="770"/>
      <c r="GN481" s="299"/>
      <c r="GO481" s="770"/>
      <c r="GP481" s="770"/>
      <c r="GQ481" s="770"/>
      <c r="GR481" s="770"/>
      <c r="GS481" s="770"/>
      <c r="GT481" s="770"/>
      <c r="GU481" s="770"/>
      <c r="GV481" s="770"/>
      <c r="GW481" s="770"/>
      <c r="GX481" s="770"/>
      <c r="GY481" s="770"/>
      <c r="GZ481" s="770"/>
      <c r="HA481" s="770"/>
      <c r="HB481" s="770"/>
      <c r="HC481" s="770"/>
      <c r="HD481" s="770"/>
      <c r="HE481" s="770"/>
      <c r="HF481" s="770"/>
      <c r="HG481" s="770"/>
      <c r="HH481" s="770"/>
      <c r="HI481" s="770"/>
      <c r="HJ481" s="770"/>
      <c r="HK481" s="770"/>
      <c r="HL481" s="770"/>
      <c r="HM481" s="770"/>
      <c r="HN481" s="770"/>
      <c r="HO481" s="770"/>
      <c r="HP481" s="770"/>
      <c r="HQ481" s="770"/>
      <c r="HR481" s="770"/>
      <c r="HS481" s="770"/>
      <c r="HT481" s="770"/>
      <c r="HU481" s="770"/>
      <c r="HV481" s="770"/>
      <c r="HW481" s="770"/>
      <c r="HX481" s="770"/>
      <c r="HY481" s="770"/>
      <c r="HZ481" s="770"/>
      <c r="IA481" s="770"/>
      <c r="IB481" s="14" t="e">
        <f>IF(#REF!&gt;0,IF(#REF!&lt;=10000,"Y",""),"")</f>
        <v>#REF!</v>
      </c>
      <c r="IC481" s="770" t="s">
        <v>1207</v>
      </c>
      <c r="ID481" s="770"/>
      <c r="IE481" s="770">
        <v>1</v>
      </c>
      <c r="IF481" s="770"/>
      <c r="IG481" s="770"/>
      <c r="IH481" s="770"/>
      <c r="II481" s="770"/>
      <c r="IJ481" s="770"/>
      <c r="IK481" s="770"/>
      <c r="IL481" s="770"/>
      <c r="IM481" s="770"/>
      <c r="IN481" s="770"/>
      <c r="IO481" s="296"/>
      <c r="IP481" s="770"/>
      <c r="IQ481" s="770"/>
      <c r="IR481" s="770"/>
      <c r="IS481" s="770"/>
      <c r="IT481" s="770"/>
      <c r="IU481" s="770"/>
      <c r="IV481" s="770"/>
      <c r="IW481" s="770"/>
      <c r="IX481" s="770"/>
      <c r="IY481" s="770"/>
      <c r="IZ481" s="770"/>
      <c r="JA481" s="770"/>
      <c r="JB481" s="770"/>
      <c r="JC481" s="770"/>
      <c r="JD481" s="302"/>
      <c r="JE481" s="770"/>
      <c r="JF481" s="770"/>
      <c r="JG481" s="770"/>
      <c r="JH481" s="307"/>
      <c r="JI481" s="307"/>
      <c r="JJ481" s="770">
        <v>6</v>
      </c>
      <c r="JK481" s="1047" t="s">
        <v>4713</v>
      </c>
      <c r="JL481" s="770">
        <v>1</v>
      </c>
      <c r="JM481" s="770">
        <v>1</v>
      </c>
      <c r="JN481" s="770">
        <v>1</v>
      </c>
      <c r="JO481" s="770">
        <v>3</v>
      </c>
      <c r="JP481" s="770"/>
      <c r="JQ481" s="770"/>
      <c r="JR481" s="770"/>
      <c r="JS481" s="770"/>
      <c r="JT481" s="766">
        <f t="shared" si="129"/>
        <v>2</v>
      </c>
      <c r="JU481" s="766">
        <f t="shared" si="129"/>
        <v>4</v>
      </c>
      <c r="JV481" s="712" t="str">
        <f>IF(JT481=KJ481,"ok","male")</f>
        <v>ok</v>
      </c>
      <c r="JW481" s="712" t="str">
        <f>IF(JU481=KK481,"ok","female")</f>
        <v>ok</v>
      </c>
      <c r="JX481" s="770"/>
      <c r="JY481" s="770"/>
      <c r="JZ481" s="770">
        <v>1</v>
      </c>
      <c r="KA481" s="770">
        <v>1</v>
      </c>
      <c r="KB481" s="770"/>
      <c r="KC481" s="770">
        <v>2</v>
      </c>
      <c r="KD481" s="770">
        <v>1</v>
      </c>
      <c r="KE481" s="770">
        <v>1</v>
      </c>
      <c r="KF481" s="770"/>
      <c r="KG481" s="770"/>
      <c r="KH481" s="770"/>
      <c r="KI481" s="770"/>
      <c r="KJ481" s="770">
        <f>SUM(KF481,KD481,KB481,JZ481,JX481,KH481)</f>
        <v>2</v>
      </c>
      <c r="KK481" s="770">
        <f>SUM(KG481,KE481,KC481,KA481,JY481,KI481)</f>
        <v>4</v>
      </c>
      <c r="KL481" s="712" t="str">
        <f>IF(KJ481=LN481,"ok","male")</f>
        <v>ok</v>
      </c>
      <c r="KM481" s="712" t="str">
        <f>IF(KK481=LO481,"ok","female")</f>
        <v>ok</v>
      </c>
      <c r="KN481" s="770" t="s">
        <v>707</v>
      </c>
      <c r="KO481" s="770"/>
      <c r="KP481" s="770"/>
      <c r="KQ481" s="770"/>
      <c r="KR481" s="770"/>
      <c r="KS481" s="770"/>
      <c r="KT481" s="770"/>
      <c r="KU481" s="770"/>
      <c r="KV481" s="770"/>
      <c r="KW481" s="770"/>
      <c r="KX481" s="770">
        <v>2</v>
      </c>
      <c r="KY481" s="770">
        <v>3</v>
      </c>
      <c r="KZ481" s="770"/>
      <c r="LA481" s="770"/>
      <c r="LB481" s="770"/>
      <c r="LC481" s="770">
        <v>1</v>
      </c>
      <c r="LD481" s="770"/>
      <c r="LE481" s="770"/>
      <c r="LF481" s="770"/>
      <c r="LG481" s="770"/>
      <c r="LH481" s="770"/>
      <c r="LI481" s="770"/>
      <c r="LJ481" s="770"/>
      <c r="LK481" s="770"/>
      <c r="LL481" s="770"/>
      <c r="LM481" s="770"/>
      <c r="LN481" s="766">
        <f>SUM(KP481,KR481,KT481,KV481,KX481,KZ481,LB481,LD481,LF481,LH481,LJ481,LL481)</f>
        <v>2</v>
      </c>
      <c r="LO481" s="766">
        <f>SUM(KQ481,KS481,KU481,KW481,KY481,LA481,LC481,LE481,LG481,LI481,LK481,LM481)</f>
        <v>4</v>
      </c>
      <c r="LP481" s="770">
        <v>1</v>
      </c>
      <c r="LQ481" s="770">
        <v>1</v>
      </c>
      <c r="LR481" s="770"/>
      <c r="LS481" s="770"/>
      <c r="LT481" s="712" t="str">
        <f>IF(LQ481=SUM(LU481:LW481),"OK","REV")</f>
        <v>OK</v>
      </c>
      <c r="LU481" s="770">
        <v>1</v>
      </c>
      <c r="LV481" s="770"/>
      <c r="LW481" s="770"/>
      <c r="LX481" s="769">
        <v>4</v>
      </c>
      <c r="LY481" s="766" t="str">
        <f t="shared" si="119"/>
        <v>OTHER Province</v>
      </c>
      <c r="LZ481" s="1709">
        <v>2100</v>
      </c>
      <c r="MA481" s="1709"/>
      <c r="MB481" s="1709"/>
      <c r="MC481" s="1679">
        <f t="shared" si="110"/>
        <v>2100</v>
      </c>
      <c r="MD481" s="1709">
        <v>12000</v>
      </c>
      <c r="ME481" s="1709"/>
      <c r="MF481" s="1709"/>
      <c r="MG481" s="1680">
        <f>SUM(MD481:MF481)</f>
        <v>12000</v>
      </c>
      <c r="MH481" s="770" t="s">
        <v>3839</v>
      </c>
      <c r="MI481" s="302">
        <v>9000</v>
      </c>
      <c r="MJ481" s="302">
        <v>100</v>
      </c>
      <c r="MK481" s="302">
        <v>2000</v>
      </c>
      <c r="ML481" s="302">
        <v>600</v>
      </c>
      <c r="MM481" s="302">
        <v>300</v>
      </c>
      <c r="MN481" s="302">
        <v>2500</v>
      </c>
      <c r="MO481" s="302">
        <v>300</v>
      </c>
      <c r="MP481" s="302">
        <v>500</v>
      </c>
      <c r="MQ481" s="302">
        <v>300</v>
      </c>
      <c r="MR481" s="302">
        <v>500</v>
      </c>
      <c r="MS481" s="302"/>
      <c r="MT481" s="302"/>
      <c r="MU481" s="302"/>
      <c r="MV481" s="302"/>
      <c r="MW481" s="302"/>
      <c r="MX481" s="302"/>
      <c r="MY481" s="1682">
        <f t="shared" si="122"/>
        <v>16100</v>
      </c>
      <c r="MZ481" s="770" t="s">
        <v>13370</v>
      </c>
      <c r="NA481" s="770" t="s">
        <v>13230</v>
      </c>
      <c r="NB481" s="770" t="s">
        <v>13016</v>
      </c>
      <c r="NC481" s="770" t="s">
        <v>13602</v>
      </c>
      <c r="ND481" s="770">
        <v>0</v>
      </c>
      <c r="NE481" s="770">
        <v>0</v>
      </c>
      <c r="NF481" s="770">
        <v>0</v>
      </c>
      <c r="NG481" s="770">
        <v>2</v>
      </c>
      <c r="NH481" s="770">
        <v>1</v>
      </c>
      <c r="NI481" s="770">
        <v>1</v>
      </c>
      <c r="NJ481" s="770">
        <v>0</v>
      </c>
      <c r="NK481" s="770">
        <v>0</v>
      </c>
      <c r="NL481" s="770">
        <v>0</v>
      </c>
      <c r="NM481" s="770">
        <v>0</v>
      </c>
      <c r="NN481" s="770">
        <v>0</v>
      </c>
      <c r="NO481" s="770">
        <v>0</v>
      </c>
      <c r="NP481" s="770">
        <v>0</v>
      </c>
      <c r="NQ481" s="770">
        <v>0</v>
      </c>
      <c r="NR481" s="770">
        <v>0</v>
      </c>
      <c r="NS481" s="770">
        <v>0</v>
      </c>
      <c r="NT481" s="770">
        <v>0</v>
      </c>
      <c r="NU481" s="770">
        <v>0</v>
      </c>
      <c r="NV481" s="770">
        <v>0</v>
      </c>
      <c r="NW481" s="770"/>
      <c r="NX481" s="770">
        <v>0</v>
      </c>
      <c r="NY481" s="770" t="s">
        <v>1208</v>
      </c>
      <c r="NZ481" s="770" t="s">
        <v>1208</v>
      </c>
      <c r="OA481" s="770">
        <v>0</v>
      </c>
      <c r="OB481" s="770" t="s">
        <v>1208</v>
      </c>
      <c r="OC481" s="770" t="s">
        <v>1208</v>
      </c>
      <c r="OD481" s="770"/>
      <c r="OE481" s="770"/>
      <c r="OF481" s="770"/>
      <c r="OG481" s="770"/>
      <c r="OH481" s="770"/>
      <c r="OI481" s="770"/>
      <c r="OJ481" s="770"/>
      <c r="OK481" s="770"/>
      <c r="OL481" s="770"/>
      <c r="OM481" s="770"/>
      <c r="ON481" s="770"/>
      <c r="OO481" s="770"/>
      <c r="OP481" s="770"/>
      <c r="OQ481" s="770"/>
      <c r="OR481" s="770"/>
      <c r="OS481" s="770"/>
      <c r="OT481" s="770"/>
      <c r="OU481" s="770"/>
      <c r="OV481" s="770"/>
      <c r="OW481" s="770"/>
      <c r="OX481" s="770"/>
      <c r="OY481" s="770"/>
      <c r="OZ481" s="770"/>
      <c r="PA481" s="770"/>
      <c r="PB481" s="770"/>
      <c r="PC481" s="770"/>
      <c r="PD481" s="770"/>
      <c r="PE481" s="770"/>
      <c r="PF481" s="770"/>
      <c r="PG481" s="770"/>
      <c r="PH481" s="770"/>
      <c r="PI481" s="770"/>
      <c r="PJ481" s="770"/>
      <c r="PK481" s="770"/>
      <c r="PL481" s="770" t="s">
        <v>1208</v>
      </c>
      <c r="PM481" s="770"/>
      <c r="PN481" s="770"/>
      <c r="PO481" s="770"/>
      <c r="PP481" s="770"/>
      <c r="PQ481" s="770"/>
      <c r="PR481" s="770"/>
      <c r="PS481" s="770"/>
      <c r="PT481" s="770"/>
      <c r="PU481" s="770"/>
      <c r="PV481" s="770"/>
      <c r="PW481" s="770"/>
      <c r="PX481" s="770"/>
      <c r="PY481" s="770"/>
      <c r="PZ481" s="770"/>
      <c r="QA481" s="770"/>
      <c r="QB481" s="770"/>
      <c r="QC481" s="770"/>
      <c r="QD481" s="770"/>
      <c r="QE481" s="770"/>
      <c r="QF481" s="770"/>
      <c r="QG481" s="770"/>
      <c r="QH481" s="770"/>
      <c r="QI481" s="770"/>
      <c r="QJ481" s="770"/>
      <c r="QK481" s="770"/>
      <c r="QL481" s="770"/>
      <c r="QM481" s="770"/>
      <c r="QN481" s="770"/>
      <c r="QO481" s="770"/>
      <c r="QP481" s="770"/>
      <c r="QQ481" s="770"/>
      <c r="QR481" s="770"/>
      <c r="QS481" s="770"/>
      <c r="QT481" s="770"/>
      <c r="QU481" s="770"/>
      <c r="QV481" s="770"/>
      <c r="QW481" s="770"/>
      <c r="QX481" s="770"/>
      <c r="QY481" s="770"/>
      <c r="QZ481" s="770"/>
      <c r="RA481" s="770"/>
      <c r="RB481" s="770" t="s">
        <v>1207</v>
      </c>
      <c r="RC481" s="770">
        <v>20114</v>
      </c>
      <c r="RD481" s="770" t="s">
        <v>13630</v>
      </c>
      <c r="RE481" s="770" t="s">
        <v>13125</v>
      </c>
      <c r="RF481" s="304">
        <v>0.5</v>
      </c>
      <c r="RG481" s="770" t="s">
        <v>13047</v>
      </c>
      <c r="RH481" s="302">
        <v>0</v>
      </c>
      <c r="RI481" s="770">
        <v>1</v>
      </c>
      <c r="RJ481" s="770" t="s">
        <v>7771</v>
      </c>
      <c r="RK481" s="770" t="s">
        <v>13544</v>
      </c>
      <c r="RL481" s="1710"/>
      <c r="RM481" s="12"/>
      <c r="RN481" s="1711"/>
      <c r="RO481" s="132" t="s">
        <v>2899</v>
      </c>
      <c r="RP481" s="11"/>
      <c r="RQ481" s="11"/>
      <c r="RR481" s="343" t="s">
        <v>7421</v>
      </c>
      <c r="RS481" s="1139" t="s">
        <v>12980</v>
      </c>
      <c r="RT481" s="11"/>
      <c r="RU481" s="11"/>
      <c r="RV481" s="6" t="s">
        <v>13631</v>
      </c>
      <c r="RW481" s="11" t="s">
        <v>7766</v>
      </c>
      <c r="RX481" s="11" t="s">
        <v>3754</v>
      </c>
      <c r="RY481" s="11"/>
      <c r="RZ481" s="11" t="s">
        <v>1101</v>
      </c>
      <c r="SA481" s="6"/>
      <c r="SB481" s="11"/>
      <c r="SC481" s="11"/>
    </row>
    <row r="482" spans="1:497" ht="12.75" customHeight="1">
      <c r="A482" s="19" t="s">
        <v>7421</v>
      </c>
      <c r="B482" s="752" t="s">
        <v>7768</v>
      </c>
      <c r="C482" s="132" t="s">
        <v>3504</v>
      </c>
      <c r="D482" s="94" t="s">
        <v>3505</v>
      </c>
      <c r="E482" s="770" t="s">
        <v>2621</v>
      </c>
      <c r="F482" s="770" t="s">
        <v>20</v>
      </c>
      <c r="G482" s="770" t="s">
        <v>18</v>
      </c>
      <c r="H482" s="770"/>
      <c r="I482" s="295" t="s">
        <v>3506</v>
      </c>
      <c r="J482" s="94" t="s">
        <v>3507</v>
      </c>
      <c r="K482" s="766" t="s">
        <v>3508</v>
      </c>
      <c r="L482" s="766" t="s">
        <v>2902</v>
      </c>
      <c r="M482" s="770" t="s">
        <v>1238</v>
      </c>
      <c r="N482" s="770"/>
      <c r="O482" s="770" t="s">
        <v>2604</v>
      </c>
      <c r="P482" s="94" t="s">
        <v>3509</v>
      </c>
      <c r="Q482" s="1088">
        <v>31764</v>
      </c>
      <c r="R482" s="770">
        <v>30</v>
      </c>
      <c r="S482" s="770" t="s">
        <v>10</v>
      </c>
      <c r="T482" s="770"/>
      <c r="U482" s="295" t="s">
        <v>3506</v>
      </c>
      <c r="V482" s="770" t="s">
        <v>722</v>
      </c>
      <c r="W482" s="770"/>
      <c r="X482" s="770"/>
      <c r="Y482" s="770" t="s">
        <v>2621</v>
      </c>
      <c r="Z482" s="770" t="s">
        <v>708</v>
      </c>
      <c r="AA482" s="770" t="s">
        <v>709</v>
      </c>
      <c r="AB482" s="770" t="s">
        <v>7275</v>
      </c>
      <c r="AC482" s="770"/>
      <c r="AD482" s="770" t="s">
        <v>711</v>
      </c>
      <c r="AE482" s="770"/>
      <c r="AF482" s="770" t="s">
        <v>712</v>
      </c>
      <c r="AG482" s="766" t="s">
        <v>1132</v>
      </c>
      <c r="AH482" s="766" t="s">
        <v>1096</v>
      </c>
      <c r="AI482" s="770"/>
      <c r="AJ482" s="770" t="s">
        <v>1137</v>
      </c>
      <c r="AK482" s="770" t="s">
        <v>1101</v>
      </c>
      <c r="AL482" s="531">
        <v>1.5</v>
      </c>
      <c r="AM482" s="780">
        <v>1.5</v>
      </c>
      <c r="AN482" s="532">
        <f t="shared" si="130"/>
        <v>1</v>
      </c>
      <c r="AO482" s="766" t="s">
        <v>1122</v>
      </c>
      <c r="AP482" s="766"/>
      <c r="AQ482" s="766"/>
      <c r="AR482" s="766"/>
      <c r="AS482" s="770"/>
      <c r="AT482" s="770"/>
      <c r="AU482" s="770"/>
      <c r="AV482" s="770"/>
      <c r="AW482" s="770"/>
      <c r="AX482" s="770"/>
      <c r="AY482" s="770"/>
      <c r="AZ482" s="770"/>
      <c r="BA482" s="770"/>
      <c r="BB482" s="770"/>
      <c r="BC482" s="770"/>
      <c r="BD482" s="770"/>
      <c r="BE482" s="770"/>
      <c r="BF482" s="302"/>
      <c r="BG482" s="302"/>
      <c r="BH482" s="770"/>
      <c r="BI482" s="770"/>
      <c r="BJ482" s="770"/>
      <c r="BK482" s="770" t="s">
        <v>1095</v>
      </c>
      <c r="BL482" s="770" t="s">
        <v>3502</v>
      </c>
      <c r="BM482" s="766" t="s">
        <v>1096</v>
      </c>
      <c r="BN482" s="770" t="s">
        <v>1230</v>
      </c>
      <c r="BO482" s="766" t="s">
        <v>1246</v>
      </c>
      <c r="BP482" s="1109">
        <v>1.5</v>
      </c>
      <c r="BQ482" s="773">
        <v>1.5</v>
      </c>
      <c r="BR482" s="774">
        <f t="shared" si="127"/>
        <v>1</v>
      </c>
      <c r="BS482" s="766" t="s">
        <v>1257</v>
      </c>
      <c r="BT482" s="766" t="s">
        <v>1326</v>
      </c>
      <c r="BU482" s="766" t="s">
        <v>1264</v>
      </c>
      <c r="BV482" s="770" t="s">
        <v>1291</v>
      </c>
      <c r="BW482" s="770">
        <v>2008</v>
      </c>
      <c r="BX482" s="302"/>
      <c r="BY482" s="770"/>
      <c r="BZ482" s="302"/>
      <c r="CA482" s="770"/>
      <c r="CB482" s="770"/>
      <c r="CC482" s="770"/>
      <c r="CD482" s="770"/>
      <c r="CE482" s="770"/>
      <c r="CF482" s="1753"/>
      <c r="CG482" s="1754"/>
      <c r="CH482" s="770"/>
      <c r="CI482" s="770"/>
      <c r="CJ482" s="770"/>
      <c r="CK482" s="770"/>
      <c r="CL482" s="770"/>
      <c r="CM482" s="770"/>
      <c r="CN482" s="770"/>
      <c r="CO482" s="770"/>
      <c r="CP482" s="770"/>
      <c r="CQ482" s="770"/>
      <c r="CR482" s="302"/>
      <c r="CS482" s="770"/>
      <c r="CT482" s="770"/>
      <c r="CU482" s="305"/>
      <c r="CV482" s="770"/>
      <c r="CW482" s="770"/>
      <c r="CX482" s="770"/>
      <c r="CY482" s="770"/>
      <c r="CZ482" s="770"/>
      <c r="DA482" s="306"/>
      <c r="DB482" s="770"/>
      <c r="DC482" s="770"/>
      <c r="DD482" s="770"/>
      <c r="DE482" s="300"/>
      <c r="DF482" s="770"/>
      <c r="DG482" s="770"/>
      <c r="DH482" s="770"/>
      <c r="DI482" s="770"/>
      <c r="DJ482" s="770"/>
      <c r="DK482" s="770"/>
      <c r="DL482" s="770"/>
      <c r="DM482" s="770"/>
      <c r="DN482" s="322"/>
      <c r="DO482" s="770"/>
      <c r="DP482" s="770"/>
      <c r="DQ482" s="770"/>
      <c r="DR482" s="770"/>
      <c r="DS482" s="307"/>
      <c r="DT482" s="770"/>
      <c r="DU482" s="770"/>
      <c r="DV482" s="770"/>
      <c r="DW482" s="306"/>
      <c r="DX482" s="306"/>
      <c r="DY482" s="770"/>
      <c r="DZ482" s="770"/>
      <c r="EA482" s="770"/>
      <c r="EB482" s="770"/>
      <c r="EC482" s="770"/>
      <c r="ED482" s="770"/>
      <c r="EE482" s="770"/>
      <c r="EF482" s="770"/>
      <c r="EG482" s="770"/>
      <c r="EH482" s="770"/>
      <c r="EI482" s="770"/>
      <c r="EJ482" s="770"/>
      <c r="EK482" s="770"/>
      <c r="EL482" s="770"/>
      <c r="EM482" s="770"/>
      <c r="EN482" s="770"/>
      <c r="EO482" s="770"/>
      <c r="EP482" s="94"/>
      <c r="EQ482" s="770"/>
      <c r="ER482" s="770"/>
      <c r="ES482" s="770"/>
      <c r="ET482" s="770"/>
      <c r="EU482" s="770"/>
      <c r="EV482" s="770"/>
      <c r="EW482" s="770"/>
      <c r="EX482" s="770"/>
      <c r="EY482" s="770"/>
      <c r="EZ482" s="770"/>
      <c r="FA482" s="770"/>
      <c r="FB482" s="770"/>
      <c r="FC482" s="770"/>
      <c r="FD482" s="302"/>
      <c r="FE482" s="770"/>
      <c r="FF482" s="770"/>
      <c r="FG482" s="770"/>
      <c r="FH482" s="770" t="s">
        <v>478</v>
      </c>
      <c r="FI482" s="770">
        <v>1</v>
      </c>
      <c r="FJ482" s="770"/>
      <c r="FK482" s="770"/>
      <c r="FL482" s="770"/>
      <c r="FM482" s="302"/>
      <c r="FN482" s="302"/>
      <c r="FO482" s="302"/>
      <c r="FP482" s="766" t="s">
        <v>1602</v>
      </c>
      <c r="FQ482" s="766" t="s">
        <v>1660</v>
      </c>
      <c r="FR482" s="770" t="s">
        <v>1214</v>
      </c>
      <c r="FS482" s="770"/>
      <c r="FT482" s="770"/>
      <c r="FU482" s="770"/>
      <c r="FV482" s="770"/>
      <c r="FW482" s="770"/>
      <c r="FX482" s="770"/>
      <c r="FY482" s="770"/>
      <c r="FZ482" s="770"/>
      <c r="GA482" s="770"/>
      <c r="GB482" s="770"/>
      <c r="GC482" s="308"/>
      <c r="GD482" s="297"/>
      <c r="GE482" s="770" t="s">
        <v>1214</v>
      </c>
      <c r="GF482" s="302"/>
      <c r="GG482" s="302"/>
      <c r="GH482" s="712" t="s">
        <v>1791</v>
      </c>
      <c r="GI482" s="770"/>
      <c r="GJ482" s="770"/>
      <c r="GK482" s="770" t="s">
        <v>2345</v>
      </c>
      <c r="GL482" s="770"/>
      <c r="GM482" s="770"/>
      <c r="GN482" s="299"/>
      <c r="GO482" s="770"/>
      <c r="GP482" s="770"/>
      <c r="GQ482" s="770" t="s">
        <v>1208</v>
      </c>
      <c r="GR482" s="770" t="s">
        <v>1208</v>
      </c>
      <c r="GS482" s="770" t="s">
        <v>1208</v>
      </c>
      <c r="GT482" s="770" t="s">
        <v>1208</v>
      </c>
      <c r="GU482" s="770"/>
      <c r="GV482" s="770"/>
      <c r="GW482" s="770"/>
      <c r="GX482" s="770"/>
      <c r="GY482" s="770" t="s">
        <v>1208</v>
      </c>
      <c r="GZ482" s="770" t="s">
        <v>1208</v>
      </c>
      <c r="HA482" s="770" t="s">
        <v>1208</v>
      </c>
      <c r="HB482" s="770" t="s">
        <v>1208</v>
      </c>
      <c r="HC482" s="770" t="s">
        <v>1208</v>
      </c>
      <c r="HD482" s="770" t="s">
        <v>1208</v>
      </c>
      <c r="HE482" s="770" t="s">
        <v>1208</v>
      </c>
      <c r="HF482" s="770"/>
      <c r="HG482" s="770"/>
      <c r="HH482" s="770"/>
      <c r="HI482" s="770"/>
      <c r="HJ482" s="770"/>
      <c r="HK482" s="770"/>
      <c r="HL482" s="770"/>
      <c r="HM482" s="770"/>
      <c r="HN482" s="770"/>
      <c r="HO482" s="770"/>
      <c r="HP482" s="770"/>
      <c r="HQ482" s="770"/>
      <c r="HR482" s="770"/>
      <c r="HS482" s="770"/>
      <c r="HT482" s="770"/>
      <c r="HU482" s="770"/>
      <c r="HV482" s="770"/>
      <c r="HW482" s="770"/>
      <c r="HX482" s="770"/>
      <c r="HY482" s="770"/>
      <c r="HZ482" s="770"/>
      <c r="IA482" s="770"/>
      <c r="IB482" s="14" t="e">
        <f>IF(#REF!&gt;0,IF(#REF!&lt;=10000,"Y",""),"")</f>
        <v>#REF!</v>
      </c>
      <c r="IC482" s="770"/>
      <c r="ID482" s="770"/>
      <c r="IE482" s="770"/>
      <c r="IF482" s="770"/>
      <c r="IG482" s="770"/>
      <c r="IH482" s="770"/>
      <c r="II482" s="770"/>
      <c r="IJ482" s="770"/>
      <c r="IK482" s="770"/>
      <c r="IL482" s="770"/>
      <c r="IM482" s="770"/>
      <c r="IN482" s="770"/>
      <c r="IO482" s="296"/>
      <c r="IP482" s="770"/>
      <c r="IQ482" s="770"/>
      <c r="IR482" s="770"/>
      <c r="IS482" s="770"/>
      <c r="IT482" s="770"/>
      <c r="IU482" s="770"/>
      <c r="IV482" s="770"/>
      <c r="IW482" s="770"/>
      <c r="IX482" s="770"/>
      <c r="IY482" s="770"/>
      <c r="IZ482" s="770"/>
      <c r="JA482" s="770"/>
      <c r="JB482" s="770"/>
      <c r="JC482" s="770"/>
      <c r="JD482" s="302"/>
      <c r="JE482" s="770"/>
      <c r="JF482" s="770"/>
      <c r="JG482" s="770"/>
      <c r="JH482" s="307"/>
      <c r="JI482" s="307"/>
      <c r="JJ482" s="770">
        <v>3</v>
      </c>
      <c r="JK482" s="1139" t="s">
        <v>3502</v>
      </c>
      <c r="JL482" s="770">
        <v>1</v>
      </c>
      <c r="JM482" s="770"/>
      <c r="JN482" s="770">
        <v>1</v>
      </c>
      <c r="JO482" s="770">
        <v>1</v>
      </c>
      <c r="JP482" s="770"/>
      <c r="JQ482" s="770"/>
      <c r="JR482" s="770"/>
      <c r="JS482" s="770"/>
      <c r="JT482" s="766">
        <f t="shared" si="129"/>
        <v>2</v>
      </c>
      <c r="JU482" s="766">
        <f t="shared" si="129"/>
        <v>1</v>
      </c>
      <c r="JV482" s="712" t="str">
        <f>IF(JT482=KJ482,"ok","male")</f>
        <v>ok</v>
      </c>
      <c r="JW482" s="712" t="str">
        <f>IF(JU482=KK482,"ok","female")</f>
        <v>ok</v>
      </c>
      <c r="JX482" s="770"/>
      <c r="JY482" s="770"/>
      <c r="JZ482" s="770">
        <v>1</v>
      </c>
      <c r="KA482" s="770"/>
      <c r="KB482" s="770">
        <v>1</v>
      </c>
      <c r="KC482" s="770">
        <v>1</v>
      </c>
      <c r="KD482" s="770"/>
      <c r="KE482" s="770"/>
      <c r="KF482" s="770"/>
      <c r="KG482" s="770"/>
      <c r="KH482" s="770"/>
      <c r="KI482" s="770"/>
      <c r="KJ482" s="770">
        <f t="shared" si="126"/>
        <v>2</v>
      </c>
      <c r="KK482" s="770">
        <f t="shared" si="126"/>
        <v>1</v>
      </c>
      <c r="KL482" s="712" t="str">
        <f>IF(KJ482=LN482,"ok","male")</f>
        <v>ok</v>
      </c>
      <c r="KM482" s="712" t="str">
        <f>IF(KK482=LO482,"ok","female")</f>
        <v>ok</v>
      </c>
      <c r="KN482" s="770" t="s">
        <v>722</v>
      </c>
      <c r="KO482" s="770"/>
      <c r="KP482" s="770"/>
      <c r="KQ482" s="770"/>
      <c r="KR482" s="770"/>
      <c r="KS482" s="770"/>
      <c r="KT482" s="770">
        <v>1</v>
      </c>
      <c r="KU482" s="770"/>
      <c r="KV482" s="770"/>
      <c r="KW482" s="770"/>
      <c r="KX482" s="770">
        <v>1</v>
      </c>
      <c r="KY482" s="770">
        <v>1</v>
      </c>
      <c r="KZ482" s="770"/>
      <c r="LA482" s="770"/>
      <c r="LB482" s="770"/>
      <c r="LC482" s="770"/>
      <c r="LD482" s="770"/>
      <c r="LE482" s="770"/>
      <c r="LF482" s="770"/>
      <c r="LG482" s="770"/>
      <c r="LH482" s="770"/>
      <c r="LI482" s="770"/>
      <c r="LJ482" s="770"/>
      <c r="LK482" s="770"/>
      <c r="LL482" s="770"/>
      <c r="LM482" s="770"/>
      <c r="LN482" s="766">
        <f t="shared" si="111"/>
        <v>2</v>
      </c>
      <c r="LO482" s="766">
        <f t="shared" si="111"/>
        <v>1</v>
      </c>
      <c r="LP482" s="770">
        <v>1</v>
      </c>
      <c r="LQ482" s="770"/>
      <c r="LR482" s="770">
        <v>1</v>
      </c>
      <c r="LS482" s="770"/>
      <c r="LT482" s="712" t="str">
        <f>IF(LQ482=SUM(LU482:LW482),"OK","REV")</f>
        <v>OK</v>
      </c>
      <c r="LU482" s="770"/>
      <c r="LV482" s="770"/>
      <c r="LW482" s="770"/>
      <c r="LX482" s="769">
        <v>1</v>
      </c>
      <c r="LY482" s="766" t="str">
        <f t="shared" si="119"/>
        <v>within the BRGY</v>
      </c>
      <c r="LZ482" s="1709"/>
      <c r="MA482" s="1709"/>
      <c r="MB482" s="1709"/>
      <c r="MC482" s="1679">
        <f t="shared" si="110"/>
        <v>0</v>
      </c>
      <c r="MD482" s="1709"/>
      <c r="ME482" s="1709">
        <v>7500</v>
      </c>
      <c r="MF482" s="1709"/>
      <c r="MG482" s="1680">
        <f>SUM(MD482:MF482)</f>
        <v>7500</v>
      </c>
      <c r="MH482" s="770" t="s">
        <v>3503</v>
      </c>
      <c r="MI482" s="302">
        <v>9000</v>
      </c>
      <c r="MJ482" s="302"/>
      <c r="MK482" s="302">
        <v>1000</v>
      </c>
      <c r="ML482" s="302">
        <v>500</v>
      </c>
      <c r="MM482" s="302">
        <v>3000</v>
      </c>
      <c r="MN482" s="302"/>
      <c r="MO482" s="302">
        <v>280</v>
      </c>
      <c r="MP482" s="302">
        <v>200</v>
      </c>
      <c r="MQ482" s="302">
        <v>450</v>
      </c>
      <c r="MR482" s="302">
        <v>200</v>
      </c>
      <c r="MS482" s="302">
        <v>1000</v>
      </c>
      <c r="MT482" s="302"/>
      <c r="MU482" s="302"/>
      <c r="MV482" s="302"/>
      <c r="MW482" s="302"/>
      <c r="MX482" s="302"/>
      <c r="MY482" s="1682">
        <f t="shared" si="122"/>
        <v>15630</v>
      </c>
      <c r="MZ482" s="770" t="s">
        <v>13395</v>
      </c>
      <c r="NA482" s="770" t="s">
        <v>13632</v>
      </c>
      <c r="NB482" s="770" t="s">
        <v>13016</v>
      </c>
      <c r="NC482" s="770" t="s">
        <v>13621</v>
      </c>
      <c r="ND482" s="770">
        <v>0</v>
      </c>
      <c r="NE482" s="770">
        <v>0</v>
      </c>
      <c r="NF482" s="770">
        <v>0</v>
      </c>
      <c r="NG482" s="770">
        <v>1</v>
      </c>
      <c r="NH482" s="770">
        <v>1</v>
      </c>
      <c r="NI482" s="770">
        <v>1</v>
      </c>
      <c r="NJ482" s="770">
        <v>0</v>
      </c>
      <c r="NK482" s="770">
        <v>0</v>
      </c>
      <c r="NL482" s="770">
        <v>0</v>
      </c>
      <c r="NM482" s="770">
        <v>0</v>
      </c>
      <c r="NN482" s="770">
        <v>0</v>
      </c>
      <c r="NO482" s="770">
        <v>0</v>
      </c>
      <c r="NP482" s="770">
        <v>0</v>
      </c>
      <c r="NQ482" s="770">
        <v>0</v>
      </c>
      <c r="NR482" s="770">
        <v>0</v>
      </c>
      <c r="NS482" s="770">
        <v>0</v>
      </c>
      <c r="NT482" s="770">
        <v>0</v>
      </c>
      <c r="NU482" s="770">
        <v>0</v>
      </c>
      <c r="NV482" s="770">
        <v>0</v>
      </c>
      <c r="NW482" s="770">
        <v>0</v>
      </c>
      <c r="NX482" s="770">
        <v>0</v>
      </c>
      <c r="NY482" s="770" t="s">
        <v>1208</v>
      </c>
      <c r="NZ482" s="770" t="s">
        <v>1208</v>
      </c>
      <c r="OA482" s="770" t="s">
        <v>1208</v>
      </c>
      <c r="OB482" s="770" t="s">
        <v>1208</v>
      </c>
      <c r="OC482" s="770" t="s">
        <v>1208</v>
      </c>
      <c r="OD482" s="770" t="s">
        <v>1208</v>
      </c>
      <c r="OE482" s="770"/>
      <c r="OF482" s="770"/>
      <c r="OG482" s="770"/>
      <c r="OH482" s="770"/>
      <c r="OI482" s="770"/>
      <c r="OJ482" s="770"/>
      <c r="OK482" s="770"/>
      <c r="OL482" s="770"/>
      <c r="OM482" s="770"/>
      <c r="ON482" s="770"/>
      <c r="OO482" s="770"/>
      <c r="OP482" s="770"/>
      <c r="OQ482" s="770"/>
      <c r="OR482" s="770"/>
      <c r="OS482" s="770"/>
      <c r="OT482" s="770"/>
      <c r="OU482" s="770"/>
      <c r="OV482" s="770"/>
      <c r="OW482" s="770"/>
      <c r="OX482" s="770"/>
      <c r="OY482" s="770"/>
      <c r="OZ482" s="770"/>
      <c r="PA482" s="770"/>
      <c r="PB482" s="770"/>
      <c r="PC482" s="770"/>
      <c r="PD482" s="770"/>
      <c r="PE482" s="770"/>
      <c r="PF482" s="770"/>
      <c r="PG482" s="770" t="s">
        <v>1208</v>
      </c>
      <c r="PH482" s="770"/>
      <c r="PI482" s="770" t="s">
        <v>1208</v>
      </c>
      <c r="PJ482" s="770"/>
      <c r="PK482" s="770" t="s">
        <v>1208</v>
      </c>
      <c r="PL482" s="770"/>
      <c r="PM482" s="770"/>
      <c r="PN482" s="770"/>
      <c r="PO482" s="770"/>
      <c r="PP482" s="770"/>
      <c r="PQ482" s="770"/>
      <c r="PR482" s="770"/>
      <c r="PS482" s="770" t="s">
        <v>1208</v>
      </c>
      <c r="PT482" s="770" t="s">
        <v>1208</v>
      </c>
      <c r="PU482" s="770"/>
      <c r="PV482" s="770"/>
      <c r="PW482" s="770"/>
      <c r="PX482" s="770"/>
      <c r="PY482" s="770"/>
      <c r="PZ482" s="770"/>
      <c r="QA482" s="770"/>
      <c r="QB482" s="770"/>
      <c r="QC482" s="770"/>
      <c r="QD482" s="770"/>
      <c r="QE482" s="770"/>
      <c r="QF482" s="770"/>
      <c r="QG482" s="770"/>
      <c r="QH482" s="770"/>
      <c r="QI482" s="770"/>
      <c r="QJ482" s="770"/>
      <c r="QK482" s="770"/>
      <c r="QL482" s="770"/>
      <c r="QM482" s="770"/>
      <c r="QN482" s="770"/>
      <c r="QO482" s="770"/>
      <c r="QP482" s="770"/>
      <c r="QQ482" s="770"/>
      <c r="QR482" s="770"/>
      <c r="QS482" s="770"/>
      <c r="QT482" s="770"/>
      <c r="QU482" s="770"/>
      <c r="QV482" s="770"/>
      <c r="QW482" s="770"/>
      <c r="QX482" s="770"/>
      <c r="QY482" s="770"/>
      <c r="QZ482" s="770"/>
      <c r="RA482" s="770"/>
      <c r="RB482" s="770" t="s">
        <v>1207</v>
      </c>
      <c r="RC482" s="770">
        <v>2015</v>
      </c>
      <c r="RD482" s="770" t="s">
        <v>13046</v>
      </c>
      <c r="RE482" s="770"/>
      <c r="RF482" s="304">
        <v>0.5</v>
      </c>
      <c r="RG482" s="770" t="s">
        <v>13047</v>
      </c>
      <c r="RH482" s="302">
        <v>300</v>
      </c>
      <c r="RI482" s="770">
        <v>5</v>
      </c>
      <c r="RJ482" s="770" t="s">
        <v>13633</v>
      </c>
      <c r="RK482" s="770" t="s">
        <v>13552</v>
      </c>
      <c r="RL482" s="1710"/>
      <c r="RM482" s="12"/>
      <c r="RN482" s="1711"/>
      <c r="RO482" s="132" t="s">
        <v>3504</v>
      </c>
      <c r="RP482" s="11"/>
      <c r="RQ482" s="11"/>
      <c r="RR482" s="19" t="s">
        <v>7421</v>
      </c>
      <c r="RS482" s="1139" t="s">
        <v>12980</v>
      </c>
      <c r="RT482" s="11"/>
      <c r="RU482" s="11"/>
      <c r="RV482" s="771" t="s">
        <v>7421</v>
      </c>
      <c r="RW482" s="11" t="s">
        <v>7767</v>
      </c>
      <c r="RX482" s="11" t="s">
        <v>3497</v>
      </c>
      <c r="RY482" s="11"/>
      <c r="RZ482" s="11" t="s">
        <v>1101</v>
      </c>
      <c r="SA482" s="771"/>
      <c r="SB482" s="11"/>
      <c r="SC482" s="11"/>
    </row>
    <row r="483" spans="1:497" ht="12.75" customHeight="1">
      <c r="A483" s="343" t="s">
        <v>7421</v>
      </c>
      <c r="B483" s="752" t="s">
        <v>7876</v>
      </c>
      <c r="C483" s="132" t="s">
        <v>2900</v>
      </c>
      <c r="D483" s="94" t="s">
        <v>3510</v>
      </c>
      <c r="E483" s="770" t="s">
        <v>2621</v>
      </c>
      <c r="F483" s="770" t="s">
        <v>20</v>
      </c>
      <c r="G483" s="770" t="s">
        <v>18</v>
      </c>
      <c r="H483" s="770"/>
      <c r="I483" s="295" t="s">
        <v>3511</v>
      </c>
      <c r="J483" s="94"/>
      <c r="K483" s="766"/>
      <c r="L483" s="766"/>
      <c r="M483" s="770"/>
      <c r="N483" s="770"/>
      <c r="O483" s="770"/>
      <c r="P483" s="770"/>
      <c r="Q483" s="1088"/>
      <c r="R483" s="297"/>
      <c r="S483" s="770"/>
      <c r="T483" s="770"/>
      <c r="U483" s="295"/>
      <c r="V483" s="770"/>
      <c r="W483" s="770"/>
      <c r="X483" s="770"/>
      <c r="Y483" s="770"/>
      <c r="Z483" s="770"/>
      <c r="AA483" s="770"/>
      <c r="AB483" s="770"/>
      <c r="AC483" s="770"/>
      <c r="AD483" s="770"/>
      <c r="AE483" s="770"/>
      <c r="AF483" s="770"/>
      <c r="AG483" s="766" t="s">
        <v>1132</v>
      </c>
      <c r="AH483" s="766" t="s">
        <v>1100</v>
      </c>
      <c r="AI483" s="770"/>
      <c r="AJ483" s="770" t="s">
        <v>1137</v>
      </c>
      <c r="AK483" s="770" t="s">
        <v>1101</v>
      </c>
      <c r="AL483" s="780">
        <v>19.95</v>
      </c>
      <c r="AM483" s="780">
        <v>19.5</v>
      </c>
      <c r="AN483" s="532">
        <f t="shared" si="130"/>
        <v>0.97744360902255645</v>
      </c>
      <c r="AO483" s="766" t="s">
        <v>1122</v>
      </c>
      <c r="AP483" s="766"/>
      <c r="AQ483" s="766"/>
      <c r="AR483" s="766"/>
      <c r="AS483" s="770"/>
      <c r="AT483" s="770"/>
      <c r="AU483" s="770"/>
      <c r="AV483" s="770"/>
      <c r="AW483" s="770"/>
      <c r="AX483" s="770"/>
      <c r="AY483" s="770"/>
      <c r="AZ483" s="770"/>
      <c r="BA483" s="770"/>
      <c r="BB483" s="770"/>
      <c r="BC483" s="770"/>
      <c r="BD483" s="770"/>
      <c r="BE483" s="770"/>
      <c r="BF483" s="302"/>
      <c r="BG483" s="302"/>
      <c r="BH483" s="770"/>
      <c r="BI483" s="770"/>
      <c r="BJ483" s="770"/>
      <c r="BK483" s="770"/>
      <c r="BL483" s="770"/>
      <c r="BM483" s="770"/>
      <c r="BN483" s="770"/>
      <c r="BO483" s="770"/>
      <c r="BP483" s="1109"/>
      <c r="BQ483" s="773"/>
      <c r="BR483" s="774"/>
      <c r="BS483" s="766"/>
      <c r="BT483" s="770"/>
      <c r="BU483" s="770"/>
      <c r="BV483" s="770"/>
      <c r="BW483" s="770"/>
      <c r="BX483" s="302"/>
      <c r="BY483" s="770"/>
      <c r="BZ483" s="302"/>
      <c r="CA483" s="770"/>
      <c r="CB483" s="770" t="s">
        <v>1207</v>
      </c>
      <c r="CC483" s="769" t="s">
        <v>7877</v>
      </c>
      <c r="CD483" s="770">
        <v>2005</v>
      </c>
      <c r="CE483" s="770"/>
      <c r="CF483" s="1753">
        <v>0.5</v>
      </c>
      <c r="CG483" s="1754" t="s">
        <v>3513</v>
      </c>
      <c r="CH483" s="770" t="s">
        <v>1247</v>
      </c>
      <c r="CI483" s="770"/>
      <c r="CJ483" s="770"/>
      <c r="CK483" s="770">
        <v>6</v>
      </c>
      <c r="CL483" s="770"/>
      <c r="CM483" s="770" t="s">
        <v>3514</v>
      </c>
      <c r="CN483" s="770"/>
      <c r="CO483" s="770" t="s">
        <v>1257</v>
      </c>
      <c r="CP483" s="770"/>
      <c r="CQ483" s="770"/>
      <c r="CR483" s="302"/>
      <c r="CS483" s="770"/>
      <c r="CT483" s="770"/>
      <c r="CU483" s="305"/>
      <c r="CV483" s="770"/>
      <c r="CW483" s="770"/>
      <c r="CX483" s="770"/>
      <c r="CY483" s="770"/>
      <c r="CZ483" s="770"/>
      <c r="DA483" s="306"/>
      <c r="DB483" s="770"/>
      <c r="DC483" s="770"/>
      <c r="DD483" s="770"/>
      <c r="DE483" s="300"/>
      <c r="DF483" s="770"/>
      <c r="DG483" s="770"/>
      <c r="DH483" s="770"/>
      <c r="DI483" s="770"/>
      <c r="DJ483" s="770"/>
      <c r="DK483" s="770"/>
      <c r="DL483" s="770"/>
      <c r="DM483" s="770"/>
      <c r="DN483" s="322"/>
      <c r="DO483" s="770"/>
      <c r="DP483" s="770"/>
      <c r="DQ483" s="770"/>
      <c r="DR483" s="770"/>
      <c r="DS483" s="307"/>
      <c r="DT483" s="770"/>
      <c r="DU483" s="770"/>
      <c r="DV483" s="770"/>
      <c r="DW483" s="306"/>
      <c r="DX483" s="306"/>
      <c r="DY483" s="770"/>
      <c r="DZ483" s="770"/>
      <c r="EA483" s="770"/>
      <c r="EB483" s="770"/>
      <c r="EC483" s="770"/>
      <c r="ED483" s="770"/>
      <c r="EE483" s="770"/>
      <c r="EF483" s="770"/>
      <c r="EG483" s="770"/>
      <c r="EH483" s="770"/>
      <c r="EI483" s="770"/>
      <c r="EJ483" s="770"/>
      <c r="EK483" s="770"/>
      <c r="EL483" s="770"/>
      <c r="EM483" s="770"/>
      <c r="EN483" s="770"/>
      <c r="EO483" s="770"/>
      <c r="EP483" s="94"/>
      <c r="EQ483" s="770"/>
      <c r="ER483" s="770"/>
      <c r="ES483" s="770"/>
      <c r="ET483" s="770"/>
      <c r="EU483" s="770"/>
      <c r="EV483" s="770"/>
      <c r="EW483" s="770"/>
      <c r="EX483" s="770"/>
      <c r="EY483" s="770"/>
      <c r="EZ483" s="770"/>
      <c r="FA483" s="770"/>
      <c r="FB483" s="770"/>
      <c r="FC483" s="770"/>
      <c r="FD483" s="302"/>
      <c r="FE483" s="770"/>
      <c r="FF483" s="770"/>
      <c r="FG483" s="770"/>
      <c r="FH483" s="770" t="s">
        <v>478</v>
      </c>
      <c r="FI483" s="770">
        <v>1</v>
      </c>
      <c r="FJ483" s="769" t="s">
        <v>7773</v>
      </c>
      <c r="FK483" s="770"/>
      <c r="FL483" s="770"/>
      <c r="FM483" s="302"/>
      <c r="FN483" s="302"/>
      <c r="FO483" s="302"/>
      <c r="FP483" s="770" t="s">
        <v>1602</v>
      </c>
      <c r="FQ483" s="770" t="s">
        <v>3515</v>
      </c>
      <c r="FR483" s="770"/>
      <c r="FS483" s="770"/>
      <c r="FT483" s="770"/>
      <c r="FU483" s="770"/>
      <c r="FV483" s="770"/>
      <c r="FW483" s="770"/>
      <c r="FX483" s="770"/>
      <c r="FY483" s="770"/>
      <c r="FZ483" s="770"/>
      <c r="GA483" s="770"/>
      <c r="GB483" s="770"/>
      <c r="GC483" s="308"/>
      <c r="GD483" s="297"/>
      <c r="GE483" s="770"/>
      <c r="GF483" s="302"/>
      <c r="GG483" s="302"/>
      <c r="GH483" s="769"/>
      <c r="GI483" s="770"/>
      <c r="GJ483" s="770"/>
      <c r="GK483" s="770"/>
      <c r="GL483" s="770"/>
      <c r="GM483" s="770"/>
      <c r="GN483" s="299"/>
      <c r="GO483" s="770"/>
      <c r="GP483" s="770"/>
      <c r="GQ483" s="770"/>
      <c r="GR483" s="770"/>
      <c r="GS483" s="770"/>
      <c r="GT483" s="770"/>
      <c r="GU483" s="770"/>
      <c r="GV483" s="770"/>
      <c r="GW483" s="770"/>
      <c r="GX483" s="770"/>
      <c r="GY483" s="770"/>
      <c r="GZ483" s="770"/>
      <c r="HA483" s="770"/>
      <c r="HB483" s="770"/>
      <c r="HC483" s="770"/>
      <c r="HD483" s="770"/>
      <c r="HE483" s="770"/>
      <c r="HF483" s="770"/>
      <c r="HG483" s="770"/>
      <c r="HH483" s="770"/>
      <c r="HI483" s="770"/>
      <c r="HJ483" s="770"/>
      <c r="HK483" s="770"/>
      <c r="HL483" s="770"/>
      <c r="HM483" s="770"/>
      <c r="HN483" s="770"/>
      <c r="HO483" s="770"/>
      <c r="HP483" s="770"/>
      <c r="HQ483" s="770"/>
      <c r="HR483" s="770"/>
      <c r="HS483" s="770"/>
      <c r="HT483" s="770"/>
      <c r="HU483" s="770"/>
      <c r="HV483" s="770"/>
      <c r="HW483" s="770"/>
      <c r="HX483" s="770"/>
      <c r="HY483" s="770"/>
      <c r="HZ483" s="770"/>
      <c r="IA483" s="770"/>
      <c r="IB483" s="770"/>
      <c r="IC483" s="770"/>
      <c r="ID483" s="770"/>
      <c r="IE483" s="770"/>
      <c r="IF483" s="770"/>
      <c r="IG483" s="770"/>
      <c r="IH483" s="770"/>
      <c r="II483" s="770"/>
      <c r="IJ483" s="770"/>
      <c r="IK483" s="770"/>
      <c r="IL483" s="770"/>
      <c r="IM483" s="770"/>
      <c r="IN483" s="770"/>
      <c r="IO483" s="296"/>
      <c r="IP483" s="770"/>
      <c r="IQ483" s="770"/>
      <c r="IR483" s="770"/>
      <c r="IS483" s="770"/>
      <c r="IT483" s="770"/>
      <c r="IU483" s="770"/>
      <c r="IV483" s="770"/>
      <c r="IW483" s="770"/>
      <c r="IX483" s="770"/>
      <c r="IY483" s="770"/>
      <c r="IZ483" s="770"/>
      <c r="JA483" s="770"/>
      <c r="JB483" s="770"/>
      <c r="JC483" s="770"/>
      <c r="JD483" s="302"/>
      <c r="JE483" s="770"/>
      <c r="JF483" s="770"/>
      <c r="JG483" s="770"/>
      <c r="JH483" s="307"/>
      <c r="JI483" s="307"/>
      <c r="JJ483" s="770"/>
      <c r="JK483" s="770"/>
      <c r="JL483" s="770"/>
      <c r="JM483" s="770"/>
      <c r="JN483" s="770"/>
      <c r="JO483" s="770"/>
      <c r="JP483" s="770"/>
      <c r="JQ483" s="770"/>
      <c r="JR483" s="770"/>
      <c r="JS483" s="770"/>
      <c r="JT483" s="766"/>
      <c r="JU483" s="766"/>
      <c r="JV483" s="766"/>
      <c r="JW483" s="766"/>
      <c r="JX483" s="770"/>
      <c r="JY483" s="770"/>
      <c r="JZ483" s="770"/>
      <c r="KA483" s="770"/>
      <c r="KB483" s="770"/>
      <c r="KC483" s="770"/>
      <c r="KD483" s="770"/>
      <c r="KE483" s="770"/>
      <c r="KF483" s="770"/>
      <c r="KG483" s="770"/>
      <c r="KH483" s="770"/>
      <c r="KI483" s="770"/>
      <c r="KJ483" s="770"/>
      <c r="KK483" s="770"/>
      <c r="KL483" s="770"/>
      <c r="KM483" s="770"/>
      <c r="KN483" s="770"/>
      <c r="KO483" s="770"/>
      <c r="KP483" s="770"/>
      <c r="KQ483" s="770"/>
      <c r="KR483" s="770"/>
      <c r="KS483" s="770"/>
      <c r="KT483" s="770"/>
      <c r="KU483" s="770"/>
      <c r="KV483" s="770"/>
      <c r="KW483" s="770"/>
      <c r="KX483" s="770"/>
      <c r="KY483" s="770"/>
      <c r="KZ483" s="770"/>
      <c r="LA483" s="770"/>
      <c r="LB483" s="770"/>
      <c r="LC483" s="770"/>
      <c r="LD483" s="770"/>
      <c r="LE483" s="770"/>
      <c r="LF483" s="770"/>
      <c r="LG483" s="770"/>
      <c r="LH483" s="770"/>
      <c r="LI483" s="770"/>
      <c r="LJ483" s="770"/>
      <c r="LK483" s="770"/>
      <c r="LL483" s="770"/>
      <c r="LM483" s="770"/>
      <c r="LN483" s="766"/>
      <c r="LO483" s="766"/>
      <c r="LP483" s="770"/>
      <c r="LQ483" s="770"/>
      <c r="LR483" s="770"/>
      <c r="LS483" s="770"/>
      <c r="LT483" s="770"/>
      <c r="LU483" s="770"/>
      <c r="LV483" s="770"/>
      <c r="LW483" s="770"/>
      <c r="LX483" s="769"/>
      <c r="LY483" s="766" t="str">
        <f t="shared" si="119"/>
        <v/>
      </c>
      <c r="LZ483" s="1709"/>
      <c r="MA483" s="1709"/>
      <c r="MB483" s="1709"/>
      <c r="MC483" s="1679">
        <f t="shared" si="110"/>
        <v>0</v>
      </c>
      <c r="MD483" s="1709"/>
      <c r="ME483" s="1709"/>
      <c r="MF483" s="1709"/>
      <c r="MG483" s="1680">
        <f t="shared" si="121"/>
        <v>0</v>
      </c>
      <c r="MH483" s="770"/>
      <c r="MI483" s="302"/>
      <c r="MJ483" s="302"/>
      <c r="MK483" s="302"/>
      <c r="ML483" s="302"/>
      <c r="MM483" s="302"/>
      <c r="MN483" s="302"/>
      <c r="MO483" s="302"/>
      <c r="MP483" s="302"/>
      <c r="MQ483" s="302"/>
      <c r="MR483" s="302"/>
      <c r="MS483" s="302"/>
      <c r="MT483" s="302"/>
      <c r="MU483" s="302"/>
      <c r="MV483" s="302"/>
      <c r="MW483" s="302"/>
      <c r="MX483" s="302"/>
      <c r="MY483" s="1682">
        <f t="shared" si="122"/>
        <v>0</v>
      </c>
      <c r="MZ483" s="770"/>
      <c r="NA483" s="770"/>
      <c r="NB483" s="770"/>
      <c r="NC483" s="770"/>
      <c r="ND483" s="770"/>
      <c r="NE483" s="770"/>
      <c r="NF483" s="770"/>
      <c r="NG483" s="770"/>
      <c r="NH483" s="770"/>
      <c r="NI483" s="770"/>
      <c r="NJ483" s="770"/>
      <c r="NK483" s="770"/>
      <c r="NL483" s="770"/>
      <c r="NM483" s="770"/>
      <c r="NN483" s="770"/>
      <c r="NO483" s="770"/>
      <c r="NP483" s="770"/>
      <c r="NQ483" s="770"/>
      <c r="NR483" s="770"/>
      <c r="NS483" s="770"/>
      <c r="NT483" s="770"/>
      <c r="NU483" s="770"/>
      <c r="NV483" s="770"/>
      <c r="NW483" s="770"/>
      <c r="NX483" s="770"/>
      <c r="NY483" s="770"/>
      <c r="NZ483" s="770"/>
      <c r="OA483" s="770"/>
      <c r="OB483" s="770"/>
      <c r="OC483" s="770"/>
      <c r="OD483" s="770"/>
      <c r="OE483" s="770"/>
      <c r="OF483" s="770"/>
      <c r="OG483" s="770"/>
      <c r="OH483" s="770"/>
      <c r="OI483" s="770"/>
      <c r="OJ483" s="770"/>
      <c r="OK483" s="770"/>
      <c r="OL483" s="770"/>
      <c r="OM483" s="770"/>
      <c r="ON483" s="770"/>
      <c r="OO483" s="770"/>
      <c r="OP483" s="770"/>
      <c r="OQ483" s="770"/>
      <c r="OR483" s="770"/>
      <c r="OS483" s="770"/>
      <c r="OT483" s="770"/>
      <c r="OU483" s="770"/>
      <c r="OV483" s="770"/>
      <c r="OW483" s="770"/>
      <c r="OX483" s="770"/>
      <c r="OY483" s="770"/>
      <c r="OZ483" s="770"/>
      <c r="PA483" s="770"/>
      <c r="PB483" s="770"/>
      <c r="PC483" s="770"/>
      <c r="PD483" s="770"/>
      <c r="PE483" s="770"/>
      <c r="PF483" s="770"/>
      <c r="PG483" s="770"/>
      <c r="PH483" s="770"/>
      <c r="PI483" s="770"/>
      <c r="PJ483" s="770"/>
      <c r="PK483" s="770"/>
      <c r="PL483" s="770"/>
      <c r="PM483" s="770"/>
      <c r="PN483" s="770"/>
      <c r="PO483" s="770"/>
      <c r="PP483" s="770"/>
      <c r="PQ483" s="770"/>
      <c r="PR483" s="770"/>
      <c r="PS483" s="770"/>
      <c r="PT483" s="770"/>
      <c r="PU483" s="770"/>
      <c r="PV483" s="770"/>
      <c r="PW483" s="770"/>
      <c r="PX483" s="770"/>
      <c r="PY483" s="770"/>
      <c r="PZ483" s="770"/>
      <c r="QA483" s="770"/>
      <c r="QB483" s="770"/>
      <c r="QC483" s="770"/>
      <c r="QD483" s="770"/>
      <c r="QE483" s="770"/>
      <c r="QF483" s="770"/>
      <c r="QG483" s="770"/>
      <c r="QH483" s="770"/>
      <c r="QI483" s="770"/>
      <c r="QJ483" s="770"/>
      <c r="QK483" s="770"/>
      <c r="QL483" s="770"/>
      <c r="QM483" s="770"/>
      <c r="QN483" s="770"/>
      <c r="QO483" s="770"/>
      <c r="QP483" s="770"/>
      <c r="QQ483" s="770"/>
      <c r="QR483" s="770"/>
      <c r="QS483" s="770"/>
      <c r="QT483" s="770"/>
      <c r="QU483" s="770"/>
      <c r="QV483" s="770"/>
      <c r="QW483" s="770"/>
      <c r="QX483" s="770"/>
      <c r="QY483" s="770"/>
      <c r="QZ483" s="770"/>
      <c r="RA483" s="770"/>
      <c r="RB483" s="770"/>
      <c r="RC483" s="770"/>
      <c r="RD483" s="770"/>
      <c r="RE483" s="770"/>
      <c r="RF483" s="304"/>
      <c r="RG483" s="770"/>
      <c r="RH483" s="302"/>
      <c r="RI483" s="770"/>
      <c r="RJ483" s="770" t="s">
        <v>13634</v>
      </c>
      <c r="RK483" s="770" t="s">
        <v>13544</v>
      </c>
      <c r="RL483" s="1710"/>
      <c r="RM483" s="12"/>
      <c r="RN483" s="1711"/>
      <c r="RO483" s="132" t="s">
        <v>2900</v>
      </c>
      <c r="RP483" s="11"/>
      <c r="RQ483" s="11"/>
      <c r="RR483" s="17"/>
      <c r="RS483" s="767"/>
      <c r="RT483" s="11"/>
      <c r="RU483" s="11"/>
      <c r="RV483" s="771" t="s">
        <v>7421</v>
      </c>
      <c r="RW483" s="11" t="s">
        <v>7770</v>
      </c>
      <c r="RX483" s="11" t="s">
        <v>2899</v>
      </c>
      <c r="RY483" s="11"/>
      <c r="RZ483" s="11" t="s">
        <v>1101</v>
      </c>
      <c r="SA483" s="771"/>
      <c r="SB483" s="11"/>
      <c r="SC483" s="11"/>
    </row>
    <row r="484" spans="1:497" ht="12.75" customHeight="1">
      <c r="A484" s="19" t="s">
        <v>7421</v>
      </c>
      <c r="B484" s="752" t="s">
        <v>7772</v>
      </c>
      <c r="C484" s="133" t="s">
        <v>3516</v>
      </c>
      <c r="D484" s="94" t="s">
        <v>3517</v>
      </c>
      <c r="E484" s="770" t="s">
        <v>3518</v>
      </c>
      <c r="F484" s="770" t="s">
        <v>42</v>
      </c>
      <c r="G484" s="770" t="s">
        <v>10</v>
      </c>
      <c r="H484" s="770"/>
      <c r="I484" s="295" t="s">
        <v>3519</v>
      </c>
      <c r="J484" s="94" t="s">
        <v>3520</v>
      </c>
      <c r="K484" s="766" t="s">
        <v>3521</v>
      </c>
      <c r="L484" s="766" t="s">
        <v>2263</v>
      </c>
      <c r="M484" s="770" t="s">
        <v>1238</v>
      </c>
      <c r="N484" s="770"/>
      <c r="O484" s="770" t="s">
        <v>2604</v>
      </c>
      <c r="P484" s="94" t="s">
        <v>3522</v>
      </c>
      <c r="Q484" s="1088">
        <v>12543</v>
      </c>
      <c r="R484" s="297">
        <v>82</v>
      </c>
      <c r="S484" s="770" t="s">
        <v>18</v>
      </c>
      <c r="T484" s="770"/>
      <c r="U484" s="295" t="s">
        <v>3519</v>
      </c>
      <c r="V484" s="770" t="s">
        <v>707</v>
      </c>
      <c r="W484" s="770"/>
      <c r="X484" s="770"/>
      <c r="Y484" s="770" t="s">
        <v>3518</v>
      </c>
      <c r="Z484" s="770" t="s">
        <v>793</v>
      </c>
      <c r="AA484" s="770"/>
      <c r="AB484" s="770" t="s">
        <v>710</v>
      </c>
      <c r="AC484" s="770"/>
      <c r="AD484" s="770" t="s">
        <v>711</v>
      </c>
      <c r="AE484" s="770"/>
      <c r="AF484" s="770" t="s">
        <v>712</v>
      </c>
      <c r="AG484" s="766" t="s">
        <v>1132</v>
      </c>
      <c r="AH484" s="766" t="s">
        <v>1096</v>
      </c>
      <c r="AI484" s="770"/>
      <c r="AJ484" s="770" t="s">
        <v>1137</v>
      </c>
      <c r="AK484" s="770" t="s">
        <v>1101</v>
      </c>
      <c r="AL484" s="531">
        <v>44.22</v>
      </c>
      <c r="AM484" s="780">
        <v>22.45</v>
      </c>
      <c r="AN484" s="532">
        <f t="shared" si="130"/>
        <v>0.50768882858435094</v>
      </c>
      <c r="AO484" s="766" t="s">
        <v>1105</v>
      </c>
      <c r="AP484" s="766"/>
      <c r="AQ484" s="766"/>
      <c r="AR484" s="766"/>
      <c r="AS484" s="770"/>
      <c r="AT484" s="770"/>
      <c r="AU484" s="770"/>
      <c r="AV484" s="770"/>
      <c r="AW484" s="770"/>
      <c r="AX484" s="770"/>
      <c r="AY484" s="770"/>
      <c r="AZ484" s="770"/>
      <c r="BA484" s="770"/>
      <c r="BB484" s="770"/>
      <c r="BC484" s="770"/>
      <c r="BD484" s="770"/>
      <c r="BE484" s="770"/>
      <c r="BF484" s="302"/>
      <c r="BG484" s="302"/>
      <c r="BH484" s="770"/>
      <c r="BI484" s="770"/>
      <c r="BJ484" s="770"/>
      <c r="BK484" s="770" t="s">
        <v>1095</v>
      </c>
      <c r="BL484" s="770" t="s">
        <v>3523</v>
      </c>
      <c r="BM484" s="770" t="s">
        <v>8108</v>
      </c>
      <c r="BN484" s="770" t="s">
        <v>1230</v>
      </c>
      <c r="BO484" s="766" t="s">
        <v>1239</v>
      </c>
      <c r="BP484" s="1109">
        <v>66</v>
      </c>
      <c r="BQ484" s="773">
        <v>27.62</v>
      </c>
      <c r="BR484" s="774">
        <f t="shared" ref="BR484:BR489" si="131">BQ484/BP484</f>
        <v>0.41848484848484852</v>
      </c>
      <c r="BS484" s="766" t="s">
        <v>1149</v>
      </c>
      <c r="BT484" s="766" t="s">
        <v>8133</v>
      </c>
      <c r="BU484" s="770" t="s">
        <v>1249</v>
      </c>
      <c r="BV484" s="770" t="s">
        <v>3524</v>
      </c>
      <c r="BW484" s="770">
        <v>1980</v>
      </c>
      <c r="BX484" s="302"/>
      <c r="BY484" s="770"/>
      <c r="BZ484" s="302"/>
      <c r="CA484" s="770"/>
      <c r="CB484" s="770" t="s">
        <v>1207</v>
      </c>
      <c r="CC484" s="770" t="s">
        <v>3523</v>
      </c>
      <c r="CD484" s="770"/>
      <c r="CE484" s="770"/>
      <c r="CF484" s="1753">
        <v>1.5</v>
      </c>
      <c r="CG484" s="1754">
        <v>2</v>
      </c>
      <c r="CH484" s="770" t="s">
        <v>3525</v>
      </c>
      <c r="CI484" s="770"/>
      <c r="CJ484" s="770" t="s">
        <v>1247</v>
      </c>
      <c r="CK484" s="770">
        <v>7</v>
      </c>
      <c r="CL484" s="770"/>
      <c r="CM484" s="770" t="s">
        <v>3399</v>
      </c>
      <c r="CN484" s="770"/>
      <c r="CO484" s="770" t="s">
        <v>1257</v>
      </c>
      <c r="CP484" s="770"/>
      <c r="CQ484" s="770"/>
      <c r="CR484" s="302"/>
      <c r="CS484" s="770"/>
      <c r="CT484" s="770"/>
      <c r="CU484" s="305"/>
      <c r="CV484" s="770"/>
      <c r="CW484" s="770"/>
      <c r="CX484" s="770"/>
      <c r="CY484" s="770"/>
      <c r="CZ484" s="770"/>
      <c r="DA484" s="306"/>
      <c r="DB484" s="770"/>
      <c r="DC484" s="770"/>
      <c r="DD484" s="770"/>
      <c r="DE484" s="300"/>
      <c r="DF484" s="770"/>
      <c r="DG484" s="770"/>
      <c r="DH484" s="770"/>
      <c r="DI484" s="770"/>
      <c r="DJ484" s="770"/>
      <c r="DK484" s="770"/>
      <c r="DL484" s="770"/>
      <c r="DM484" s="770"/>
      <c r="DN484" s="322"/>
      <c r="DO484" s="770"/>
      <c r="DP484" s="770"/>
      <c r="DQ484" s="770"/>
      <c r="DR484" s="770"/>
      <c r="DS484" s="307"/>
      <c r="DT484" s="770"/>
      <c r="DU484" s="770"/>
      <c r="DV484" s="770"/>
      <c r="DW484" s="306"/>
      <c r="DX484" s="306"/>
      <c r="DY484" s="770"/>
      <c r="DZ484" s="770"/>
      <c r="EA484" s="770"/>
      <c r="EB484" s="770"/>
      <c r="EC484" s="770"/>
      <c r="ED484" s="770"/>
      <c r="EE484" s="770"/>
      <c r="EF484" s="770"/>
      <c r="EG484" s="770"/>
      <c r="EH484" s="770"/>
      <c r="EI484" s="770"/>
      <c r="EJ484" s="770"/>
      <c r="EK484" s="770"/>
      <c r="EL484" s="770"/>
      <c r="EM484" s="770"/>
      <c r="EN484" s="770"/>
      <c r="EO484" s="770"/>
      <c r="EP484" s="94"/>
      <c r="EQ484" s="770"/>
      <c r="ER484" s="770"/>
      <c r="ES484" s="770"/>
      <c r="ET484" s="770"/>
      <c r="EU484" s="770"/>
      <c r="EV484" s="770"/>
      <c r="EW484" s="770"/>
      <c r="EX484" s="770"/>
      <c r="EY484" s="770"/>
      <c r="EZ484" s="770"/>
      <c r="FA484" s="770"/>
      <c r="FB484" s="770"/>
      <c r="FC484" s="770"/>
      <c r="FD484" s="302"/>
      <c r="FE484" s="770"/>
      <c r="FF484" s="770"/>
      <c r="FG484" s="770"/>
      <c r="FH484" s="770" t="s">
        <v>478</v>
      </c>
      <c r="FI484" s="770">
        <v>1</v>
      </c>
      <c r="FJ484" s="770"/>
      <c r="FK484" s="770"/>
      <c r="FL484" s="770"/>
      <c r="FM484" s="302"/>
      <c r="FN484" s="302"/>
      <c r="FO484" s="302"/>
      <c r="FP484" s="766" t="s">
        <v>1602</v>
      </c>
      <c r="FQ484" s="766" t="s">
        <v>1660</v>
      </c>
      <c r="FR484" s="770" t="s">
        <v>1214</v>
      </c>
      <c r="FS484" s="770"/>
      <c r="FT484" s="770"/>
      <c r="FU484" s="770"/>
      <c r="FV484" s="770"/>
      <c r="FW484" s="770"/>
      <c r="FX484" s="770"/>
      <c r="FY484" s="770"/>
      <c r="FZ484" s="770"/>
      <c r="GA484" s="770"/>
      <c r="GB484" s="770"/>
      <c r="GC484" s="308"/>
      <c r="GD484" s="297"/>
      <c r="GE484" s="770"/>
      <c r="GF484" s="302"/>
      <c r="GG484" s="302"/>
      <c r="GH484" s="712" t="s">
        <v>14260</v>
      </c>
      <c r="GI484" s="770"/>
      <c r="GJ484" s="770"/>
      <c r="GK484" s="770"/>
      <c r="GL484" s="770"/>
      <c r="GM484" s="770"/>
      <c r="GN484" s="299"/>
      <c r="GO484" s="770"/>
      <c r="GP484" s="770"/>
      <c r="GQ484" s="770"/>
      <c r="GR484" s="770"/>
      <c r="GS484" s="770"/>
      <c r="GT484" s="770"/>
      <c r="GU484" s="770"/>
      <c r="GV484" s="770"/>
      <c r="GW484" s="770"/>
      <c r="GX484" s="770"/>
      <c r="GY484" s="770"/>
      <c r="GZ484" s="770"/>
      <c r="HA484" s="770"/>
      <c r="HB484" s="770"/>
      <c r="HC484" s="770"/>
      <c r="HD484" s="770"/>
      <c r="HE484" s="770"/>
      <c r="HF484" s="770"/>
      <c r="HG484" s="770"/>
      <c r="HH484" s="770"/>
      <c r="HI484" s="770"/>
      <c r="HJ484" s="770"/>
      <c r="HK484" s="770"/>
      <c r="HL484" s="770"/>
      <c r="HM484" s="770"/>
      <c r="HN484" s="770"/>
      <c r="HO484" s="770"/>
      <c r="HP484" s="770"/>
      <c r="HQ484" s="770"/>
      <c r="HR484" s="770">
        <v>4</v>
      </c>
      <c r="HS484" s="770"/>
      <c r="HT484" s="770"/>
      <c r="HU484" s="770"/>
      <c r="HV484" s="770"/>
      <c r="HW484" s="770"/>
      <c r="HX484" s="770"/>
      <c r="HY484" s="770"/>
      <c r="HZ484" s="770"/>
      <c r="IA484" s="770"/>
      <c r="IB484" s="14" t="e">
        <f>IF(#REF!&gt;0,IF(#REF!&lt;=10000,"Y",""),"")</f>
        <v>#REF!</v>
      </c>
      <c r="IC484" s="770" t="s">
        <v>1207</v>
      </c>
      <c r="ID484" s="770">
        <v>1</v>
      </c>
      <c r="IE484" s="770"/>
      <c r="IF484" s="770"/>
      <c r="IG484" s="770"/>
      <c r="IH484" s="770"/>
      <c r="II484" s="770"/>
      <c r="IJ484" s="770"/>
      <c r="IK484" s="770"/>
      <c r="IL484" s="770"/>
      <c r="IM484" s="770"/>
      <c r="IN484" s="770"/>
      <c r="IO484" s="296"/>
      <c r="IP484" s="770"/>
      <c r="IQ484" s="766"/>
      <c r="IR484" s="770"/>
      <c r="IS484" s="770"/>
      <c r="IT484" s="770"/>
      <c r="IU484" s="770"/>
      <c r="IV484" s="770"/>
      <c r="IW484" s="770"/>
      <c r="IX484" s="770"/>
      <c r="IY484" s="770"/>
      <c r="IZ484" s="770"/>
      <c r="JA484" s="770"/>
      <c r="JB484" s="770"/>
      <c r="JC484" s="770"/>
      <c r="JD484" s="302"/>
      <c r="JE484" s="770"/>
      <c r="JF484" s="770"/>
      <c r="JG484" s="770"/>
      <c r="JH484" s="307"/>
      <c r="JI484" s="712" t="str">
        <f>IF(SUM(JT484,JU484)=JJ484,"ok","review")</f>
        <v>ok</v>
      </c>
      <c r="JJ484" s="770">
        <v>3</v>
      </c>
      <c r="JK484" s="1139" t="s">
        <v>3523</v>
      </c>
      <c r="JL484" s="770"/>
      <c r="JM484" s="770"/>
      <c r="JN484" s="770">
        <v>1</v>
      </c>
      <c r="JO484" s="770">
        <v>1</v>
      </c>
      <c r="JP484" s="770"/>
      <c r="JQ484" s="770">
        <v>1</v>
      </c>
      <c r="JR484" s="770"/>
      <c r="JS484" s="770"/>
      <c r="JT484" s="766">
        <f t="shared" ref="JT484:JU487" si="132">SUM(JP484,JN484,JL484,JR484)</f>
        <v>1</v>
      </c>
      <c r="JU484" s="766">
        <f t="shared" si="132"/>
        <v>2</v>
      </c>
      <c r="JV484" s="712" t="str">
        <f>IF(JT484=KJ484,"ok","male")</f>
        <v>ok</v>
      </c>
      <c r="JW484" s="712" t="str">
        <f>IF(JU484=KK484,"ok","female")</f>
        <v>ok</v>
      </c>
      <c r="JX484" s="770"/>
      <c r="JY484" s="770"/>
      <c r="JZ484" s="770"/>
      <c r="KA484" s="770"/>
      <c r="KB484" s="770"/>
      <c r="KC484" s="770">
        <v>1</v>
      </c>
      <c r="KD484" s="770">
        <v>1</v>
      </c>
      <c r="KE484" s="770"/>
      <c r="KF484" s="770"/>
      <c r="KG484" s="770">
        <v>1</v>
      </c>
      <c r="KH484" s="770"/>
      <c r="KI484" s="770"/>
      <c r="KJ484" s="770">
        <f t="shared" si="126"/>
        <v>1</v>
      </c>
      <c r="KK484" s="770">
        <f t="shared" si="126"/>
        <v>2</v>
      </c>
      <c r="KL484" s="712" t="str">
        <f>IF(KJ484=LN484,"ok","male")</f>
        <v>ok</v>
      </c>
      <c r="KM484" s="712" t="str">
        <f>IF(KK484=LO484,"ok","female")</f>
        <v>ok</v>
      </c>
      <c r="KN484" s="770" t="s">
        <v>707</v>
      </c>
      <c r="KO484" s="770"/>
      <c r="KP484" s="770"/>
      <c r="KQ484" s="770"/>
      <c r="KR484" s="770"/>
      <c r="KS484" s="770"/>
      <c r="KT484" s="770"/>
      <c r="KU484" s="770">
        <v>1</v>
      </c>
      <c r="KV484" s="770"/>
      <c r="KW484" s="770"/>
      <c r="KX484" s="770">
        <v>1</v>
      </c>
      <c r="KY484" s="770"/>
      <c r="KZ484" s="770"/>
      <c r="LA484" s="770"/>
      <c r="LB484" s="770"/>
      <c r="LC484" s="770"/>
      <c r="LD484" s="770"/>
      <c r="LE484" s="770">
        <v>1</v>
      </c>
      <c r="LF484" s="770"/>
      <c r="LG484" s="770"/>
      <c r="LH484" s="770"/>
      <c r="LI484" s="770"/>
      <c r="LJ484" s="770"/>
      <c r="LK484" s="770"/>
      <c r="LL484" s="770"/>
      <c r="LM484" s="770"/>
      <c r="LN484" s="766">
        <f t="shared" si="111"/>
        <v>1</v>
      </c>
      <c r="LO484" s="766">
        <f t="shared" si="111"/>
        <v>2</v>
      </c>
      <c r="LP484" s="770">
        <v>1</v>
      </c>
      <c r="LQ484" s="770"/>
      <c r="LR484" s="770">
        <v>1</v>
      </c>
      <c r="LS484" s="770"/>
      <c r="LT484" s="712" t="str">
        <f>IF(LQ484=SUM(LU484:LW484),"OK","REV")</f>
        <v>OK</v>
      </c>
      <c r="LU484" s="770"/>
      <c r="LV484" s="770"/>
      <c r="LW484" s="770"/>
      <c r="LX484" s="769">
        <v>1</v>
      </c>
      <c r="LY484" s="766" t="str">
        <f t="shared" si="119"/>
        <v>within the BRGY</v>
      </c>
      <c r="LZ484" s="1709"/>
      <c r="MA484" s="1709"/>
      <c r="MB484" s="1709"/>
      <c r="MC484" s="1679">
        <f t="shared" si="110"/>
        <v>0</v>
      </c>
      <c r="MD484" s="1709"/>
      <c r="ME484" s="1709">
        <v>6000</v>
      </c>
      <c r="MF484" s="1709"/>
      <c r="MG484" s="1680">
        <f>SUM(MD484:MF484)</f>
        <v>6000</v>
      </c>
      <c r="MH484" s="770" t="s">
        <v>442</v>
      </c>
      <c r="MI484" s="302">
        <v>6000</v>
      </c>
      <c r="MJ484" s="302">
        <v>600</v>
      </c>
      <c r="MK484" s="302">
        <v>208</v>
      </c>
      <c r="ML484" s="302">
        <v>1000</v>
      </c>
      <c r="MM484" s="302"/>
      <c r="MN484" s="302"/>
      <c r="MO484" s="302">
        <v>2400</v>
      </c>
      <c r="MP484" s="302">
        <v>1000</v>
      </c>
      <c r="MQ484" s="302">
        <v>500</v>
      </c>
      <c r="MR484" s="302">
        <v>700</v>
      </c>
      <c r="MS484" s="302">
        <v>258</v>
      </c>
      <c r="MT484" s="302"/>
      <c r="MU484" s="302"/>
      <c r="MV484" s="302"/>
      <c r="MW484" s="302"/>
      <c r="MX484" s="302"/>
      <c r="MY484" s="1682">
        <f t="shared" si="122"/>
        <v>12666</v>
      </c>
      <c r="MZ484" s="770" t="s">
        <v>13370</v>
      </c>
      <c r="NA484" s="770" t="s">
        <v>13635</v>
      </c>
      <c r="NB484" s="770" t="s">
        <v>13016</v>
      </c>
      <c r="NC484" s="770" t="s">
        <v>13602</v>
      </c>
      <c r="ND484" s="770">
        <v>0</v>
      </c>
      <c r="NE484" s="770">
        <v>0</v>
      </c>
      <c r="NF484" s="770">
        <v>0</v>
      </c>
      <c r="NG484" s="770">
        <v>1</v>
      </c>
      <c r="NH484" s="770">
        <v>1</v>
      </c>
      <c r="NI484" s="770">
        <v>1</v>
      </c>
      <c r="NJ484" s="770">
        <v>1</v>
      </c>
      <c r="NK484" s="770">
        <v>0</v>
      </c>
      <c r="NL484" s="770">
        <v>1</v>
      </c>
      <c r="NM484" s="770">
        <v>1</v>
      </c>
      <c r="NN484" s="770">
        <v>0</v>
      </c>
      <c r="NO484" s="770">
        <v>0</v>
      </c>
      <c r="NP484" s="770">
        <v>0</v>
      </c>
      <c r="NQ484" s="770">
        <v>0</v>
      </c>
      <c r="NR484" s="770">
        <v>0</v>
      </c>
      <c r="NS484" s="770">
        <v>0</v>
      </c>
      <c r="NT484" s="770">
        <v>0</v>
      </c>
      <c r="NU484" s="770">
        <v>0</v>
      </c>
      <c r="NV484" s="770">
        <v>0</v>
      </c>
      <c r="NW484" s="770">
        <v>0</v>
      </c>
      <c r="NX484" s="770">
        <v>0</v>
      </c>
      <c r="NY484" s="770"/>
      <c r="NZ484" s="770"/>
      <c r="OA484" s="770"/>
      <c r="OB484" s="770"/>
      <c r="OC484" s="770"/>
      <c r="OD484" s="770"/>
      <c r="OE484" s="770"/>
      <c r="OF484" s="770" t="s">
        <v>2143</v>
      </c>
      <c r="OG484" s="770"/>
      <c r="OH484" s="770"/>
      <c r="OI484" s="770"/>
      <c r="OJ484" s="770"/>
      <c r="OK484" s="770"/>
      <c r="OL484" s="770"/>
      <c r="OM484" s="770"/>
      <c r="ON484" s="770"/>
      <c r="OO484" s="770"/>
      <c r="OP484" s="770"/>
      <c r="OQ484" s="770"/>
      <c r="OR484" s="770"/>
      <c r="OS484" s="770"/>
      <c r="OT484" s="770"/>
      <c r="OU484" s="770"/>
      <c r="OV484" s="770"/>
      <c r="OW484" s="770"/>
      <c r="OX484" s="770"/>
      <c r="OY484" s="770"/>
      <c r="OZ484" s="770"/>
      <c r="PA484" s="770"/>
      <c r="PB484" s="770"/>
      <c r="PC484" s="770"/>
      <c r="PD484" s="770"/>
      <c r="PE484" s="770"/>
      <c r="PF484" s="770"/>
      <c r="PG484" s="770"/>
      <c r="PH484" s="770"/>
      <c r="PI484" s="770"/>
      <c r="PJ484" s="770"/>
      <c r="PK484" s="770"/>
      <c r="PL484" s="770"/>
      <c r="PM484" s="770" t="s">
        <v>1208</v>
      </c>
      <c r="PN484" s="770"/>
      <c r="PO484" s="770"/>
      <c r="PP484" s="770"/>
      <c r="PQ484" s="770"/>
      <c r="PR484" s="770"/>
      <c r="PS484" s="770"/>
      <c r="PT484" s="770"/>
      <c r="PU484" s="770"/>
      <c r="PV484" s="770"/>
      <c r="PW484" s="770"/>
      <c r="PX484" s="770"/>
      <c r="PY484" s="770"/>
      <c r="PZ484" s="770"/>
      <c r="QA484" s="770"/>
      <c r="QB484" s="770"/>
      <c r="QC484" s="770"/>
      <c r="QD484" s="770"/>
      <c r="QE484" s="770"/>
      <c r="QF484" s="770"/>
      <c r="QG484" s="770"/>
      <c r="QH484" s="770"/>
      <c r="QI484" s="770"/>
      <c r="QJ484" s="770"/>
      <c r="QK484" s="770"/>
      <c r="QL484" s="770"/>
      <c r="QM484" s="770"/>
      <c r="QN484" s="770"/>
      <c r="QO484" s="770"/>
      <c r="QP484" s="770"/>
      <c r="QQ484" s="770"/>
      <c r="QR484" s="770"/>
      <c r="QS484" s="770"/>
      <c r="QT484" s="770"/>
      <c r="QU484" s="770"/>
      <c r="QV484" s="770"/>
      <c r="QW484" s="770"/>
      <c r="QX484" s="770"/>
      <c r="QY484" s="770"/>
      <c r="QZ484" s="770"/>
      <c r="RA484" s="770"/>
      <c r="RB484" s="770" t="s">
        <v>1207</v>
      </c>
      <c r="RC484" s="770"/>
      <c r="RD484" s="770"/>
      <c r="RE484" s="770"/>
      <c r="RF484" s="304">
        <v>0.5</v>
      </c>
      <c r="RG484" s="770" t="s">
        <v>13047</v>
      </c>
      <c r="RH484" s="302"/>
      <c r="RI484" s="770">
        <v>1</v>
      </c>
      <c r="RJ484" s="770" t="s">
        <v>3526</v>
      </c>
      <c r="RK484" s="770" t="s">
        <v>13552</v>
      </c>
      <c r="RL484" s="1710"/>
      <c r="RM484" s="12"/>
      <c r="RN484" s="1711"/>
      <c r="RO484" s="133" t="s">
        <v>3516</v>
      </c>
      <c r="RP484" s="11"/>
      <c r="RQ484" s="11"/>
      <c r="RR484" s="19" t="s">
        <v>7421</v>
      </c>
      <c r="RS484" s="1139" t="s">
        <v>12980</v>
      </c>
      <c r="RT484" s="11"/>
      <c r="RU484" s="11"/>
      <c r="RV484" s="771" t="s">
        <v>7421</v>
      </c>
      <c r="RW484" s="11" t="s">
        <v>7768</v>
      </c>
      <c r="RX484" s="11" t="s">
        <v>3504</v>
      </c>
      <c r="RY484" s="11"/>
      <c r="RZ484" s="11" t="s">
        <v>1101</v>
      </c>
      <c r="SA484" s="771"/>
      <c r="SB484" s="11"/>
      <c r="SC484" s="11"/>
    </row>
    <row r="485" spans="1:497" ht="12.75" customHeight="1">
      <c r="A485" s="343" t="s">
        <v>7421</v>
      </c>
      <c r="B485" s="752" t="s">
        <v>7774</v>
      </c>
      <c r="C485" s="133" t="s">
        <v>3527</v>
      </c>
      <c r="D485" s="94" t="s">
        <v>3531</v>
      </c>
      <c r="E485" s="770" t="s">
        <v>3326</v>
      </c>
      <c r="F485" s="770" t="s">
        <v>28</v>
      </c>
      <c r="G485" s="770" t="s">
        <v>10</v>
      </c>
      <c r="H485" s="770"/>
      <c r="I485" s="295" t="s">
        <v>3532</v>
      </c>
      <c r="J485" s="94" t="s">
        <v>3531</v>
      </c>
      <c r="K485" s="766" t="s">
        <v>3533</v>
      </c>
      <c r="L485" s="766" t="s">
        <v>3534</v>
      </c>
      <c r="M485" s="770" t="s">
        <v>1238</v>
      </c>
      <c r="N485" s="770"/>
      <c r="O485" s="770" t="s">
        <v>2604</v>
      </c>
      <c r="P485" s="94" t="s">
        <v>3535</v>
      </c>
      <c r="Q485" s="1088">
        <v>27165</v>
      </c>
      <c r="R485" s="297">
        <v>42</v>
      </c>
      <c r="S485" s="770" t="s">
        <v>10</v>
      </c>
      <c r="T485" s="770"/>
      <c r="U485" s="295"/>
      <c r="V485" s="770" t="s">
        <v>707</v>
      </c>
      <c r="W485" s="770"/>
      <c r="X485" s="770"/>
      <c r="Y485" s="770" t="s">
        <v>3326</v>
      </c>
      <c r="Z485" s="770" t="s">
        <v>708</v>
      </c>
      <c r="AA485" s="770" t="s">
        <v>709</v>
      </c>
      <c r="AB485" s="770" t="s">
        <v>744</v>
      </c>
      <c r="AC485" s="770" t="s">
        <v>724</v>
      </c>
      <c r="AD485" s="770" t="s">
        <v>711</v>
      </c>
      <c r="AE485" s="770"/>
      <c r="AF485" s="770" t="s">
        <v>712</v>
      </c>
      <c r="AG485" s="766" t="s">
        <v>1132</v>
      </c>
      <c r="AH485" s="766" t="s">
        <v>1096</v>
      </c>
      <c r="AI485" s="770"/>
      <c r="AJ485" s="770" t="s">
        <v>1137</v>
      </c>
      <c r="AK485" s="770" t="s">
        <v>1101</v>
      </c>
      <c r="AL485" s="531">
        <v>9.68</v>
      </c>
      <c r="AM485" s="780">
        <v>2.2000000000000002</v>
      </c>
      <c r="AN485" s="532">
        <f t="shared" si="130"/>
        <v>0.22727272727272729</v>
      </c>
      <c r="AO485" s="766" t="s">
        <v>1149</v>
      </c>
      <c r="AP485" s="766"/>
      <c r="AQ485" s="766"/>
      <c r="AR485" s="766"/>
      <c r="AS485" s="770"/>
      <c r="AT485" s="770"/>
      <c r="AU485" s="770"/>
      <c r="AV485" s="770"/>
      <c r="AW485" s="770"/>
      <c r="AX485" s="770"/>
      <c r="AY485" s="770"/>
      <c r="AZ485" s="770"/>
      <c r="BA485" s="770"/>
      <c r="BB485" s="770"/>
      <c r="BC485" s="770"/>
      <c r="BD485" s="770"/>
      <c r="BE485" s="770"/>
      <c r="BF485" s="302"/>
      <c r="BG485" s="302"/>
      <c r="BH485" s="770"/>
      <c r="BI485" s="770"/>
      <c r="BJ485" s="770"/>
      <c r="BK485" s="770" t="s">
        <v>1099</v>
      </c>
      <c r="BL485" s="94" t="s">
        <v>3531</v>
      </c>
      <c r="BM485" s="770" t="s">
        <v>8108</v>
      </c>
      <c r="BN485" s="770" t="s">
        <v>1230</v>
      </c>
      <c r="BO485" s="766" t="s">
        <v>1246</v>
      </c>
      <c r="BP485" s="1109">
        <v>9.68</v>
      </c>
      <c r="BQ485" s="773">
        <v>2.2000000000000002</v>
      </c>
      <c r="BR485" s="774">
        <f t="shared" si="131"/>
        <v>0.22727272727272729</v>
      </c>
      <c r="BS485" s="766" t="s">
        <v>1149</v>
      </c>
      <c r="BT485" s="766" t="s">
        <v>1326</v>
      </c>
      <c r="BU485" s="770" t="s">
        <v>1249</v>
      </c>
      <c r="BV485" s="770" t="s">
        <v>1247</v>
      </c>
      <c r="BW485" s="769"/>
      <c r="BX485" s="302"/>
      <c r="BY485" s="770"/>
      <c r="BZ485" s="302"/>
      <c r="CA485" s="770"/>
      <c r="CB485" s="770" t="s">
        <v>1207</v>
      </c>
      <c r="CC485" s="769" t="s">
        <v>7878</v>
      </c>
      <c r="CD485" s="770"/>
      <c r="CE485" s="770"/>
      <c r="CF485" s="1753">
        <v>1.5</v>
      </c>
      <c r="CG485" s="1754">
        <v>7.5</v>
      </c>
      <c r="CH485" s="770" t="s">
        <v>7870</v>
      </c>
      <c r="CI485" s="770"/>
      <c r="CJ485" s="770"/>
      <c r="CK485" s="770">
        <v>4</v>
      </c>
      <c r="CL485" s="770"/>
      <c r="CM485" s="770" t="s">
        <v>3399</v>
      </c>
      <c r="CN485" s="770"/>
      <c r="CO485" s="770" t="s">
        <v>1257</v>
      </c>
      <c r="CP485" s="770"/>
      <c r="CQ485" s="770"/>
      <c r="CR485" s="302"/>
      <c r="CS485" s="770"/>
      <c r="CT485" s="770"/>
      <c r="CU485" s="305"/>
      <c r="CV485" s="770"/>
      <c r="CW485" s="770"/>
      <c r="CX485" s="770"/>
      <c r="CY485" s="770"/>
      <c r="CZ485" s="770"/>
      <c r="DA485" s="306"/>
      <c r="DB485" s="770"/>
      <c r="DC485" s="770"/>
      <c r="DD485" s="770"/>
      <c r="DE485" s="300"/>
      <c r="DF485" s="770"/>
      <c r="DG485" s="770"/>
      <c r="DH485" s="770"/>
      <c r="DI485" s="770"/>
      <c r="DJ485" s="770"/>
      <c r="DK485" s="770"/>
      <c r="DL485" s="770"/>
      <c r="DM485" s="770"/>
      <c r="DN485" s="322"/>
      <c r="DO485" s="770"/>
      <c r="DP485" s="770"/>
      <c r="DQ485" s="770"/>
      <c r="DR485" s="770"/>
      <c r="DS485" s="307"/>
      <c r="DT485" s="770"/>
      <c r="DU485" s="770"/>
      <c r="DV485" s="770"/>
      <c r="DW485" s="306"/>
      <c r="DX485" s="306"/>
      <c r="DY485" s="770"/>
      <c r="DZ485" s="770"/>
      <c r="EA485" s="770"/>
      <c r="EB485" s="770"/>
      <c r="EC485" s="770"/>
      <c r="ED485" s="770"/>
      <c r="EE485" s="770"/>
      <c r="EF485" s="770"/>
      <c r="EG485" s="770"/>
      <c r="EH485" s="770"/>
      <c r="EI485" s="770"/>
      <c r="EJ485" s="770"/>
      <c r="EK485" s="770"/>
      <c r="EL485" s="770"/>
      <c r="EM485" s="770"/>
      <c r="EN485" s="770"/>
      <c r="EO485" s="770"/>
      <c r="EP485" s="94"/>
      <c r="EQ485" s="770"/>
      <c r="ER485" s="770"/>
      <c r="ES485" s="770"/>
      <c r="ET485" s="770"/>
      <c r="EU485" s="770"/>
      <c r="EV485" s="770"/>
      <c r="EW485" s="770"/>
      <c r="EX485" s="770"/>
      <c r="EY485" s="770"/>
      <c r="EZ485" s="770"/>
      <c r="FA485" s="770"/>
      <c r="FB485" s="770"/>
      <c r="FC485" s="770"/>
      <c r="FD485" s="302"/>
      <c r="FE485" s="770"/>
      <c r="FF485" s="770"/>
      <c r="FG485" s="770"/>
      <c r="FH485" s="770" t="s">
        <v>1306</v>
      </c>
      <c r="FI485" s="770">
        <v>1</v>
      </c>
      <c r="FJ485" s="770" t="s">
        <v>3536</v>
      </c>
      <c r="FK485" s="770"/>
      <c r="FL485" s="770"/>
      <c r="FM485" s="147">
        <v>2500</v>
      </c>
      <c r="FN485" s="302">
        <v>600</v>
      </c>
      <c r="FO485" s="302">
        <v>1600</v>
      </c>
      <c r="FP485" s="766" t="s">
        <v>1602</v>
      </c>
      <c r="FQ485" s="766" t="s">
        <v>1660</v>
      </c>
      <c r="FR485" s="770" t="s">
        <v>1214</v>
      </c>
      <c r="FS485" s="770"/>
      <c r="FT485" s="770"/>
      <c r="FU485" s="770"/>
      <c r="FV485" s="770"/>
      <c r="FW485" s="770"/>
      <c r="FX485" s="770"/>
      <c r="FY485" s="770"/>
      <c r="FZ485" s="770"/>
      <c r="GA485" s="770"/>
      <c r="GB485" s="770"/>
      <c r="GC485" s="308"/>
      <c r="GD485" s="297"/>
      <c r="GE485" s="770"/>
      <c r="GF485" s="302"/>
      <c r="GG485" s="302"/>
      <c r="GH485" s="712" t="s">
        <v>1791</v>
      </c>
      <c r="GI485" s="770" t="s">
        <v>1008</v>
      </c>
      <c r="GJ485" s="770" t="s">
        <v>14053</v>
      </c>
      <c r="GK485" s="770" t="s">
        <v>1008</v>
      </c>
      <c r="GL485" s="770"/>
      <c r="GM485" s="770"/>
      <c r="GN485" s="299"/>
      <c r="GO485" s="770"/>
      <c r="GP485" s="770"/>
      <c r="GQ485" s="770"/>
      <c r="GR485" s="770" t="s">
        <v>1208</v>
      </c>
      <c r="GS485" s="770"/>
      <c r="GT485" s="770"/>
      <c r="GU485" s="770"/>
      <c r="GV485" s="770"/>
      <c r="GW485" s="770" t="s">
        <v>14054</v>
      </c>
      <c r="GX485" s="770"/>
      <c r="GY485" s="770" t="s">
        <v>1208</v>
      </c>
      <c r="GZ485" s="770"/>
      <c r="HA485" s="770"/>
      <c r="HB485" s="770"/>
      <c r="HC485" s="770"/>
      <c r="HD485" s="770" t="s">
        <v>1208</v>
      </c>
      <c r="HE485" s="770"/>
      <c r="HF485" s="770"/>
      <c r="HG485" s="770"/>
      <c r="HH485" s="770"/>
      <c r="HI485" s="770" t="s">
        <v>1214</v>
      </c>
      <c r="HJ485" s="770"/>
      <c r="HK485" s="770"/>
      <c r="HL485" s="770" t="s">
        <v>1214</v>
      </c>
      <c r="HM485" s="770"/>
      <c r="HN485" s="770"/>
      <c r="HO485" s="770"/>
      <c r="HP485" s="770"/>
      <c r="HQ485" s="770"/>
      <c r="HR485" s="770">
        <v>2</v>
      </c>
      <c r="HS485" s="770">
        <v>1</v>
      </c>
      <c r="HT485" s="770">
        <v>1</v>
      </c>
      <c r="HU485" s="770"/>
      <c r="HV485" s="770"/>
      <c r="HW485" s="770"/>
      <c r="HX485" s="770"/>
      <c r="HY485" s="770"/>
      <c r="HZ485" s="770"/>
      <c r="IA485" s="770"/>
      <c r="IB485" s="14" t="e">
        <f>IF(#REF!&gt;0,IF(#REF!&lt;=10000,"Y",""),"")</f>
        <v>#REF!</v>
      </c>
      <c r="IC485" s="770"/>
      <c r="ID485" s="770"/>
      <c r="IE485" s="770"/>
      <c r="IF485" s="770"/>
      <c r="IG485" s="770"/>
      <c r="IH485" s="770"/>
      <c r="II485" s="770"/>
      <c r="IJ485" s="770"/>
      <c r="IK485" s="770"/>
      <c r="IL485" s="770"/>
      <c r="IM485" s="770"/>
      <c r="IN485" s="770"/>
      <c r="IO485" s="296"/>
      <c r="IP485" s="770"/>
      <c r="IQ485" s="766"/>
      <c r="IR485" s="770"/>
      <c r="IS485" s="770"/>
      <c r="IT485" s="770"/>
      <c r="IU485" s="770"/>
      <c r="IV485" s="770"/>
      <c r="IW485" s="770"/>
      <c r="IX485" s="770"/>
      <c r="IY485" s="770"/>
      <c r="IZ485" s="770"/>
      <c r="JA485" s="770"/>
      <c r="JB485" s="770"/>
      <c r="JC485" s="770"/>
      <c r="JD485" s="302"/>
      <c r="JE485" s="770"/>
      <c r="JF485" s="770"/>
      <c r="JG485" s="770"/>
      <c r="JH485" s="307"/>
      <c r="JI485" s="307"/>
      <c r="JJ485" s="770">
        <v>7</v>
      </c>
      <c r="JK485" s="1139" t="s">
        <v>3528</v>
      </c>
      <c r="JL485" s="770">
        <v>3</v>
      </c>
      <c r="JM485" s="770">
        <v>1</v>
      </c>
      <c r="JN485" s="770">
        <v>1</v>
      </c>
      <c r="JO485" s="770">
        <v>2</v>
      </c>
      <c r="JP485" s="770"/>
      <c r="JQ485" s="770"/>
      <c r="JR485" s="770"/>
      <c r="JS485" s="770"/>
      <c r="JT485" s="766">
        <f t="shared" si="132"/>
        <v>4</v>
      </c>
      <c r="JU485" s="766">
        <f t="shared" si="132"/>
        <v>3</v>
      </c>
      <c r="JV485" s="712" t="str">
        <f>IF(JT485=KJ485,"ok","male")</f>
        <v>ok</v>
      </c>
      <c r="JW485" s="712" t="str">
        <f>IF(JU485=KK485,"ok","female")</f>
        <v>ok</v>
      </c>
      <c r="JX485" s="770">
        <v>1</v>
      </c>
      <c r="JY485" s="770"/>
      <c r="JZ485" s="770">
        <v>2</v>
      </c>
      <c r="KA485" s="770">
        <v>1</v>
      </c>
      <c r="KB485" s="770"/>
      <c r="KC485" s="770">
        <v>1</v>
      </c>
      <c r="KD485" s="770">
        <v>1</v>
      </c>
      <c r="KE485" s="770">
        <v>1</v>
      </c>
      <c r="KF485" s="770"/>
      <c r="KG485" s="770"/>
      <c r="KH485" s="770"/>
      <c r="KI485" s="770"/>
      <c r="KJ485" s="770">
        <f t="shared" si="126"/>
        <v>4</v>
      </c>
      <c r="KK485" s="770">
        <f t="shared" si="126"/>
        <v>3</v>
      </c>
      <c r="KL485" s="712" t="str">
        <f>IF(KJ485=LN485,"ok","male")</f>
        <v>ok</v>
      </c>
      <c r="KM485" s="712" t="str">
        <f>IF(KK485=LO485,"ok","female")</f>
        <v>ok</v>
      </c>
      <c r="KN485" s="770" t="s">
        <v>707</v>
      </c>
      <c r="KO485" s="770"/>
      <c r="KP485" s="770"/>
      <c r="KQ485" s="770"/>
      <c r="KR485" s="770">
        <v>1</v>
      </c>
      <c r="KS485" s="770"/>
      <c r="KT485" s="770"/>
      <c r="KU485" s="770">
        <v>1</v>
      </c>
      <c r="KV485" s="770"/>
      <c r="KW485" s="770"/>
      <c r="KX485" s="770">
        <v>1</v>
      </c>
      <c r="KY485" s="770"/>
      <c r="KZ485" s="770"/>
      <c r="LA485" s="770">
        <v>2</v>
      </c>
      <c r="LB485" s="770"/>
      <c r="LC485" s="770"/>
      <c r="LD485" s="770"/>
      <c r="LE485" s="770"/>
      <c r="LF485" s="770">
        <v>1</v>
      </c>
      <c r="LG485" s="770"/>
      <c r="LH485" s="770"/>
      <c r="LI485" s="770"/>
      <c r="LJ485" s="770">
        <v>1</v>
      </c>
      <c r="LK485" s="770"/>
      <c r="LL485" s="770"/>
      <c r="LM485" s="770"/>
      <c r="LN485" s="766">
        <f t="shared" si="111"/>
        <v>4</v>
      </c>
      <c r="LO485" s="766">
        <f t="shared" si="111"/>
        <v>3</v>
      </c>
      <c r="LP485" s="770">
        <v>3</v>
      </c>
      <c r="LQ485" s="770">
        <v>2</v>
      </c>
      <c r="LR485" s="770"/>
      <c r="LS485" s="770">
        <v>1</v>
      </c>
      <c r="LT485" s="712" t="str">
        <f>IF(LQ485=SUM(LU485:LW485),"OK","REV")</f>
        <v>OK</v>
      </c>
      <c r="LU485" s="770">
        <v>1</v>
      </c>
      <c r="LV485" s="770">
        <v>1</v>
      </c>
      <c r="LW485" s="770"/>
      <c r="LX485" s="769">
        <v>3</v>
      </c>
      <c r="LY485" s="766" t="str">
        <f t="shared" si="119"/>
        <v>within the PROVINCE</v>
      </c>
      <c r="LZ485" s="1709">
        <v>1400</v>
      </c>
      <c r="MA485" s="1709"/>
      <c r="MB485" s="1709"/>
      <c r="MC485" s="1679">
        <f t="shared" ref="MC485:MC548" si="133">SUM(LZ485:MB485)</f>
        <v>1400</v>
      </c>
      <c r="MD485" s="1709">
        <v>30000</v>
      </c>
      <c r="ME485" s="1709"/>
      <c r="MF485" s="1709">
        <v>6000</v>
      </c>
      <c r="MG485" s="1680">
        <f>SUM(MD485:MF485)</f>
        <v>36000</v>
      </c>
      <c r="MH485" s="770" t="s">
        <v>3529</v>
      </c>
      <c r="MI485" s="302">
        <v>18000</v>
      </c>
      <c r="MJ485" s="302">
        <v>18000</v>
      </c>
      <c r="MK485" s="302">
        <v>292</v>
      </c>
      <c r="ML485" s="302">
        <v>167</v>
      </c>
      <c r="MM485" s="302">
        <v>250</v>
      </c>
      <c r="MN485" s="302">
        <v>2000</v>
      </c>
      <c r="MO485" s="302">
        <v>200</v>
      </c>
      <c r="MP485" s="302">
        <v>1600</v>
      </c>
      <c r="MQ485" s="302">
        <v>780</v>
      </c>
      <c r="MR485" s="302">
        <v>700</v>
      </c>
      <c r="MS485" s="302">
        <v>250</v>
      </c>
      <c r="MT485" s="302"/>
      <c r="MU485" s="302"/>
      <c r="MV485" s="302"/>
      <c r="MW485" s="302"/>
      <c r="MX485" s="302"/>
      <c r="MY485" s="1682">
        <f t="shared" si="122"/>
        <v>42239</v>
      </c>
      <c r="MZ485" s="770" t="s">
        <v>13370</v>
      </c>
      <c r="NA485" s="770" t="s">
        <v>13230</v>
      </c>
      <c r="NB485" s="770" t="s">
        <v>13016</v>
      </c>
      <c r="NC485" s="770" t="s">
        <v>13602</v>
      </c>
      <c r="ND485" s="770">
        <v>0</v>
      </c>
      <c r="NE485" s="770">
        <v>0</v>
      </c>
      <c r="NF485" s="770">
        <v>0</v>
      </c>
      <c r="NG485" s="770">
        <v>2</v>
      </c>
      <c r="NH485" s="770">
        <v>1</v>
      </c>
      <c r="NI485" s="770">
        <v>0</v>
      </c>
      <c r="NJ485" s="770">
        <v>1</v>
      </c>
      <c r="NK485" s="770">
        <v>0</v>
      </c>
      <c r="NL485" s="770">
        <v>0</v>
      </c>
      <c r="NM485" s="770">
        <v>1</v>
      </c>
      <c r="NN485" s="770">
        <v>0</v>
      </c>
      <c r="NO485" s="770">
        <v>0</v>
      </c>
      <c r="NP485" s="770">
        <v>0</v>
      </c>
      <c r="NQ485" s="770">
        <v>0</v>
      </c>
      <c r="NR485" s="770">
        <v>0</v>
      </c>
      <c r="NS485" s="770">
        <v>0</v>
      </c>
      <c r="NT485" s="770">
        <v>0</v>
      </c>
      <c r="NU485" s="770">
        <v>0</v>
      </c>
      <c r="NV485" s="770">
        <v>0</v>
      </c>
      <c r="NW485" s="770">
        <v>0</v>
      </c>
      <c r="NX485" s="770">
        <v>0</v>
      </c>
      <c r="NY485" s="770" t="s">
        <v>1208</v>
      </c>
      <c r="NZ485" s="770" t="s">
        <v>1208</v>
      </c>
      <c r="OA485" s="770" t="s">
        <v>1208</v>
      </c>
      <c r="OB485" s="770" t="s">
        <v>1208</v>
      </c>
      <c r="OC485" s="770" t="s">
        <v>1208</v>
      </c>
      <c r="OD485" s="770"/>
      <c r="OE485" s="770"/>
      <c r="OF485" s="770" t="s">
        <v>2143</v>
      </c>
      <c r="OG485" s="770"/>
      <c r="OH485" s="770"/>
      <c r="OI485" s="770"/>
      <c r="OJ485" s="770"/>
      <c r="OK485" s="770" t="s">
        <v>1208</v>
      </c>
      <c r="OL485" s="13" t="s">
        <v>13636</v>
      </c>
      <c r="OM485" s="13" t="s">
        <v>3493</v>
      </c>
      <c r="ON485" s="13" t="s">
        <v>13637</v>
      </c>
      <c r="OO485" s="770" t="s">
        <v>1207</v>
      </c>
      <c r="OP485" s="770" t="s">
        <v>13548</v>
      </c>
      <c r="OQ485" s="770" t="s">
        <v>13532</v>
      </c>
      <c r="OR485" s="770" t="s">
        <v>13638</v>
      </c>
      <c r="OS485" s="770" t="s">
        <v>12885</v>
      </c>
      <c r="OT485" s="770" t="s">
        <v>13579</v>
      </c>
      <c r="OU485" s="770" t="s">
        <v>13263</v>
      </c>
      <c r="OV485" s="770" t="s">
        <v>1208</v>
      </c>
      <c r="OW485" s="770"/>
      <c r="OX485" s="770" t="s">
        <v>1208</v>
      </c>
      <c r="OY485" s="770" t="s">
        <v>1208</v>
      </c>
      <c r="OZ485" s="770"/>
      <c r="PA485" s="770" t="s">
        <v>1208</v>
      </c>
      <c r="PB485" s="770"/>
      <c r="PC485" s="770"/>
      <c r="PD485" s="770"/>
      <c r="PE485" s="770"/>
      <c r="PF485" s="770"/>
      <c r="PG485" s="770"/>
      <c r="PH485" s="770" t="s">
        <v>1208</v>
      </c>
      <c r="PI485" s="770" t="s">
        <v>1208</v>
      </c>
      <c r="PJ485" s="770" t="s">
        <v>1208</v>
      </c>
      <c r="PK485" s="770"/>
      <c r="PL485" s="770"/>
      <c r="PM485" s="770"/>
      <c r="PN485" s="770"/>
      <c r="PO485" s="770"/>
      <c r="PP485" s="770"/>
      <c r="PQ485" s="770"/>
      <c r="PR485" s="770"/>
      <c r="PS485" s="770"/>
      <c r="PT485" s="770"/>
      <c r="PU485" s="770"/>
      <c r="PV485" s="770"/>
      <c r="PW485" s="770"/>
      <c r="PX485" s="770"/>
      <c r="PY485" s="770"/>
      <c r="PZ485" s="770"/>
      <c r="QA485" s="770"/>
      <c r="QB485" s="770"/>
      <c r="QC485" s="770"/>
      <c r="QD485" s="770"/>
      <c r="QE485" s="770"/>
      <c r="QF485" s="770"/>
      <c r="QG485" s="770"/>
      <c r="QH485" s="770"/>
      <c r="QI485" s="770"/>
      <c r="QJ485" s="770"/>
      <c r="QK485" s="770"/>
      <c r="QL485" s="770"/>
      <c r="QM485" s="770"/>
      <c r="QN485" s="770"/>
      <c r="QO485" s="770"/>
      <c r="QP485" s="770"/>
      <c r="QQ485" s="770"/>
      <c r="QR485" s="770"/>
      <c r="QS485" s="770"/>
      <c r="QT485" s="770"/>
      <c r="QU485" s="770"/>
      <c r="QV485" s="770"/>
      <c r="QW485" s="770"/>
      <c r="QX485" s="770"/>
      <c r="QY485" s="770"/>
      <c r="QZ485" s="770"/>
      <c r="RA485" s="770"/>
      <c r="RB485" s="770" t="s">
        <v>1207</v>
      </c>
      <c r="RC485" s="770">
        <v>2016</v>
      </c>
      <c r="RD485" s="770" t="s">
        <v>13589</v>
      </c>
      <c r="RE485" s="770" t="s">
        <v>13008</v>
      </c>
      <c r="RF485" s="304">
        <v>1</v>
      </c>
      <c r="RG485" s="770" t="s">
        <v>13047</v>
      </c>
      <c r="RH485" s="302">
        <v>5000</v>
      </c>
      <c r="RI485" s="770">
        <v>2</v>
      </c>
      <c r="RJ485" s="770" t="s">
        <v>3528</v>
      </c>
      <c r="RK485" s="770" t="s">
        <v>13544</v>
      </c>
      <c r="RL485" s="1710"/>
      <c r="RM485" s="12"/>
      <c r="RN485" s="1711"/>
      <c r="RO485" s="133" t="s">
        <v>3527</v>
      </c>
      <c r="RP485" s="11"/>
      <c r="RQ485" s="11"/>
      <c r="RR485" s="343" t="s">
        <v>7421</v>
      </c>
      <c r="RS485" s="1139" t="s">
        <v>12980</v>
      </c>
      <c r="RT485" s="11"/>
      <c r="RU485" s="11"/>
      <c r="RV485" s="771" t="s">
        <v>7421</v>
      </c>
      <c r="RW485" s="11" t="s">
        <v>7876</v>
      </c>
      <c r="RX485" s="11" t="s">
        <v>2900</v>
      </c>
      <c r="RY485" s="11"/>
      <c r="RZ485" s="11" t="s">
        <v>1101</v>
      </c>
      <c r="SA485" s="771"/>
      <c r="SB485" s="11"/>
      <c r="SC485" s="11"/>
    </row>
    <row r="486" spans="1:497" ht="12.75" customHeight="1">
      <c r="A486" s="19" t="s">
        <v>7421</v>
      </c>
      <c r="B486" s="752" t="s">
        <v>7775</v>
      </c>
      <c r="C486" s="133" t="s">
        <v>3530</v>
      </c>
      <c r="D486" s="94" t="s">
        <v>14120</v>
      </c>
      <c r="E486" s="770" t="s">
        <v>3326</v>
      </c>
      <c r="F486" s="770" t="s">
        <v>28</v>
      </c>
      <c r="G486" s="770" t="s">
        <v>18</v>
      </c>
      <c r="H486" s="770"/>
      <c r="I486" s="295" t="s">
        <v>3538</v>
      </c>
      <c r="J486" s="94" t="s">
        <v>14120</v>
      </c>
      <c r="K486" s="766" t="s">
        <v>3539</v>
      </c>
      <c r="L486" s="766" t="s">
        <v>3540</v>
      </c>
      <c r="M486" s="770" t="s">
        <v>1238</v>
      </c>
      <c r="N486" s="770"/>
      <c r="O486" s="770" t="s">
        <v>3340</v>
      </c>
      <c r="P486" s="94" t="s">
        <v>3537</v>
      </c>
      <c r="Q486" s="1088">
        <v>24987</v>
      </c>
      <c r="R486" s="297">
        <v>48</v>
      </c>
      <c r="S486" s="770" t="s">
        <v>18</v>
      </c>
      <c r="T486" s="770"/>
      <c r="U486" s="295" t="s">
        <v>3538</v>
      </c>
      <c r="V486" s="770" t="s">
        <v>2970</v>
      </c>
      <c r="W486" s="770"/>
      <c r="X486" s="770"/>
      <c r="Y486" s="770" t="s">
        <v>3326</v>
      </c>
      <c r="Z486" s="770" t="s">
        <v>708</v>
      </c>
      <c r="AA486" s="770" t="s">
        <v>732</v>
      </c>
      <c r="AB486" s="770" t="s">
        <v>744</v>
      </c>
      <c r="AC486" s="770" t="s">
        <v>724</v>
      </c>
      <c r="AD486" s="770" t="s">
        <v>716</v>
      </c>
      <c r="AE486" s="770" t="s">
        <v>909</v>
      </c>
      <c r="AF486" s="770"/>
      <c r="AG486" s="766" t="s">
        <v>1132</v>
      </c>
      <c r="AH486" s="766" t="s">
        <v>1096</v>
      </c>
      <c r="AI486" s="770"/>
      <c r="AJ486" s="770" t="s">
        <v>1137</v>
      </c>
      <c r="AK486" s="770" t="s">
        <v>1101</v>
      </c>
      <c r="AL486" s="531">
        <v>2.84</v>
      </c>
      <c r="AM486" s="780">
        <v>2.84</v>
      </c>
      <c r="AN486" s="532">
        <f t="shared" si="130"/>
        <v>1</v>
      </c>
      <c r="AO486" s="766" t="s">
        <v>1122</v>
      </c>
      <c r="AP486" s="766"/>
      <c r="AQ486" s="766"/>
      <c r="AR486" s="766"/>
      <c r="AS486" s="770"/>
      <c r="AT486" s="770"/>
      <c r="AU486" s="770"/>
      <c r="AV486" s="770"/>
      <c r="AW486" s="770"/>
      <c r="AX486" s="770"/>
      <c r="AY486" s="770"/>
      <c r="AZ486" s="770"/>
      <c r="BA486" s="770"/>
      <c r="BB486" s="770"/>
      <c r="BC486" s="770"/>
      <c r="BD486" s="770"/>
      <c r="BE486" s="770"/>
      <c r="BF486" s="302"/>
      <c r="BG486" s="302"/>
      <c r="BH486" s="770"/>
      <c r="BI486" s="770"/>
      <c r="BJ486" s="770"/>
      <c r="BK486" s="770" t="s">
        <v>1095</v>
      </c>
      <c r="BL486" s="770" t="s">
        <v>3541</v>
      </c>
      <c r="BM486" s="770" t="s">
        <v>8108</v>
      </c>
      <c r="BN486" s="770" t="s">
        <v>1230</v>
      </c>
      <c r="BO486" s="766" t="s">
        <v>1246</v>
      </c>
      <c r="BP486" s="1109">
        <v>2.84</v>
      </c>
      <c r="BQ486" s="773">
        <v>2.84</v>
      </c>
      <c r="BR486" s="774">
        <f t="shared" si="131"/>
        <v>1</v>
      </c>
      <c r="BS486" s="766" t="s">
        <v>1257</v>
      </c>
      <c r="BT486" s="766" t="s">
        <v>8133</v>
      </c>
      <c r="BU486" s="766" t="s">
        <v>1264</v>
      </c>
      <c r="BV486" s="770" t="s">
        <v>1247</v>
      </c>
      <c r="BW486" s="770">
        <v>2014</v>
      </c>
      <c r="BX486" s="302"/>
      <c r="BY486" s="770"/>
      <c r="BZ486" s="302"/>
      <c r="CA486" s="770"/>
      <c r="CB486" s="770"/>
      <c r="CC486" s="770"/>
      <c r="CD486" s="770"/>
      <c r="CE486" s="770"/>
      <c r="CF486" s="1753"/>
      <c r="CG486" s="1754"/>
      <c r="CH486" s="770"/>
      <c r="CI486" s="770"/>
      <c r="CJ486" s="770"/>
      <c r="CK486" s="770"/>
      <c r="CL486" s="770"/>
      <c r="CM486" s="770"/>
      <c r="CN486" s="770"/>
      <c r="CO486" s="770"/>
      <c r="CP486" s="770"/>
      <c r="CQ486" s="770"/>
      <c r="CR486" s="302"/>
      <c r="CS486" s="770"/>
      <c r="CT486" s="770"/>
      <c r="CU486" s="305"/>
      <c r="CV486" s="770"/>
      <c r="CW486" s="770"/>
      <c r="CX486" s="770"/>
      <c r="CY486" s="770"/>
      <c r="CZ486" s="770"/>
      <c r="DA486" s="306"/>
      <c r="DB486" s="770"/>
      <c r="DC486" s="770"/>
      <c r="DD486" s="770"/>
      <c r="DE486" s="300"/>
      <c r="DF486" s="770"/>
      <c r="DG486" s="770"/>
      <c r="DH486" s="770"/>
      <c r="DI486" s="770"/>
      <c r="DJ486" s="770"/>
      <c r="DK486" s="770"/>
      <c r="DL486" s="770"/>
      <c r="DM486" s="770"/>
      <c r="DN486" s="322"/>
      <c r="DO486" s="770"/>
      <c r="DP486" s="770"/>
      <c r="DQ486" s="770"/>
      <c r="DR486" s="770"/>
      <c r="DS486" s="307"/>
      <c r="DT486" s="770"/>
      <c r="DU486" s="770"/>
      <c r="DV486" s="770"/>
      <c r="DW486" s="306"/>
      <c r="DX486" s="306"/>
      <c r="DY486" s="770"/>
      <c r="DZ486" s="770"/>
      <c r="EA486" s="770"/>
      <c r="EB486" s="770"/>
      <c r="EC486" s="770"/>
      <c r="ED486" s="770"/>
      <c r="EE486" s="770"/>
      <c r="EF486" s="770"/>
      <c r="EG486" s="770"/>
      <c r="EH486" s="770"/>
      <c r="EI486" s="770"/>
      <c r="EJ486" s="770"/>
      <c r="EK486" s="770"/>
      <c r="EL486" s="770"/>
      <c r="EM486" s="770"/>
      <c r="EN486" s="770"/>
      <c r="EO486" s="770"/>
      <c r="EP486" s="94"/>
      <c r="EQ486" s="770"/>
      <c r="ER486" s="770"/>
      <c r="ES486" s="770"/>
      <c r="ET486" s="770"/>
      <c r="EU486" s="770"/>
      <c r="EV486" s="770"/>
      <c r="EW486" s="770"/>
      <c r="EX486" s="770"/>
      <c r="EY486" s="770"/>
      <c r="EZ486" s="770"/>
      <c r="FA486" s="770"/>
      <c r="FB486" s="770"/>
      <c r="FC486" s="770"/>
      <c r="FD486" s="302"/>
      <c r="FE486" s="770"/>
      <c r="FF486" s="770"/>
      <c r="FG486" s="770"/>
      <c r="FH486" s="770" t="s">
        <v>478</v>
      </c>
      <c r="FI486" s="770">
        <v>1</v>
      </c>
      <c r="FJ486" s="770"/>
      <c r="FK486" s="770"/>
      <c r="FL486" s="770"/>
      <c r="FM486" s="302"/>
      <c r="FN486" s="302"/>
      <c r="FO486" s="302"/>
      <c r="FP486" s="766" t="s">
        <v>1602</v>
      </c>
      <c r="FQ486" s="766" t="s">
        <v>1660</v>
      </c>
      <c r="FR486" s="770" t="s">
        <v>1214</v>
      </c>
      <c r="FS486" s="770"/>
      <c r="FT486" s="770"/>
      <c r="FU486" s="770"/>
      <c r="FV486" s="770"/>
      <c r="FW486" s="770"/>
      <c r="FX486" s="770"/>
      <c r="FY486" s="770"/>
      <c r="FZ486" s="770"/>
      <c r="GA486" s="770"/>
      <c r="GB486" s="770"/>
      <c r="GC486" s="308"/>
      <c r="GD486" s="297"/>
      <c r="GE486" s="770" t="s">
        <v>1214</v>
      </c>
      <c r="GF486" s="302"/>
      <c r="GG486" s="302"/>
      <c r="GH486" s="712" t="s">
        <v>1791</v>
      </c>
      <c r="GI486" s="770" t="s">
        <v>1008</v>
      </c>
      <c r="GJ486" s="770"/>
      <c r="GK486" s="770" t="s">
        <v>3334</v>
      </c>
      <c r="GL486" s="770"/>
      <c r="GM486" s="770"/>
      <c r="GN486" s="299"/>
      <c r="GO486" s="770"/>
      <c r="GP486" s="770" t="s">
        <v>1208</v>
      </c>
      <c r="GQ486" s="770" t="s">
        <v>1208</v>
      </c>
      <c r="GR486" s="770" t="s">
        <v>1208</v>
      </c>
      <c r="GS486" s="770" t="s">
        <v>1208</v>
      </c>
      <c r="GT486" s="770" t="s">
        <v>1208</v>
      </c>
      <c r="GU486" s="770"/>
      <c r="GV486" s="770"/>
      <c r="GW486" s="770" t="s">
        <v>1207</v>
      </c>
      <c r="GX486" s="770"/>
      <c r="GY486" s="770" t="s">
        <v>1208</v>
      </c>
      <c r="GZ486" s="770" t="s">
        <v>1208</v>
      </c>
      <c r="HA486" s="770" t="s">
        <v>1208</v>
      </c>
      <c r="HB486" s="770" t="s">
        <v>1208</v>
      </c>
      <c r="HC486" s="770" t="s">
        <v>1208</v>
      </c>
      <c r="HD486" s="770" t="s">
        <v>1208</v>
      </c>
      <c r="HE486" s="770" t="s">
        <v>1208</v>
      </c>
      <c r="HF486" s="770"/>
      <c r="HG486" s="770"/>
      <c r="HH486" s="770"/>
      <c r="HI486" s="770" t="s">
        <v>1214</v>
      </c>
      <c r="HJ486" s="770"/>
      <c r="HK486" s="770"/>
      <c r="HL486" s="770" t="s">
        <v>1214</v>
      </c>
      <c r="HM486" s="770"/>
      <c r="HN486" s="770"/>
      <c r="HO486" s="770"/>
      <c r="HP486" s="770"/>
      <c r="HQ486" s="770"/>
      <c r="HR486" s="770">
        <v>1</v>
      </c>
      <c r="HS486" s="770"/>
      <c r="HT486" s="770"/>
      <c r="HU486" s="770"/>
      <c r="HV486" s="770"/>
      <c r="HW486" s="770"/>
      <c r="HX486" s="770"/>
      <c r="HY486" s="770"/>
      <c r="HZ486" s="770"/>
      <c r="IA486" s="770"/>
      <c r="IB486" s="14" t="e">
        <f>IF(#REF!&gt;0,IF(#REF!&lt;=10000,"Y",""),"")</f>
        <v>#REF!</v>
      </c>
      <c r="IC486" s="770" t="s">
        <v>1207</v>
      </c>
      <c r="ID486" s="12"/>
      <c r="IE486" s="770"/>
      <c r="IF486" s="770" t="s">
        <v>14057</v>
      </c>
      <c r="IG486" s="770" t="s">
        <v>18</v>
      </c>
      <c r="IH486" s="770" t="s">
        <v>478</v>
      </c>
      <c r="II486" s="770" t="s">
        <v>3346</v>
      </c>
      <c r="IJ486" s="770" t="s">
        <v>3542</v>
      </c>
      <c r="IK486" s="770" t="s">
        <v>2639</v>
      </c>
      <c r="IL486" s="770" t="s">
        <v>3543</v>
      </c>
      <c r="IM486" s="770">
        <v>2014</v>
      </c>
      <c r="IN486" s="770" t="s">
        <v>3543</v>
      </c>
      <c r="IO486" s="296">
        <v>24987</v>
      </c>
      <c r="IP486" s="770" t="s">
        <v>478</v>
      </c>
      <c r="IQ486" s="13" t="s">
        <v>1909</v>
      </c>
      <c r="IR486" s="770" t="s">
        <v>1964</v>
      </c>
      <c r="IS486" s="770" t="s">
        <v>951</v>
      </c>
      <c r="IT486" s="770"/>
      <c r="IU486" s="770" t="s">
        <v>1208</v>
      </c>
      <c r="IV486" s="770"/>
      <c r="IW486" s="770"/>
      <c r="IX486" s="770"/>
      <c r="IY486" s="770" t="s">
        <v>3538</v>
      </c>
      <c r="IZ486" s="770"/>
      <c r="JA486" s="770" t="s">
        <v>1880</v>
      </c>
      <c r="JB486" s="770" t="s">
        <v>1901</v>
      </c>
      <c r="JC486" s="770" t="s">
        <v>12778</v>
      </c>
      <c r="JD486" s="302">
        <v>15000</v>
      </c>
      <c r="JE486" s="770"/>
      <c r="JF486" s="770"/>
      <c r="JG486" s="770"/>
      <c r="JH486" s="307"/>
      <c r="JI486" s="712" t="str">
        <f>IF(SUM(JT486,JU486)=JJ486,"ok","review")</f>
        <v>ok</v>
      </c>
      <c r="JJ486" s="770">
        <v>2</v>
      </c>
      <c r="JK486" s="1139" t="s">
        <v>3543</v>
      </c>
      <c r="JL486" s="770"/>
      <c r="JM486" s="770"/>
      <c r="JN486" s="770">
        <v>1</v>
      </c>
      <c r="JO486" s="770">
        <v>1</v>
      </c>
      <c r="JP486" s="770"/>
      <c r="JQ486" s="770"/>
      <c r="JR486" s="770"/>
      <c r="JS486" s="770"/>
      <c r="JT486" s="766">
        <f t="shared" si="132"/>
        <v>1</v>
      </c>
      <c r="JU486" s="766">
        <f t="shared" si="132"/>
        <v>1</v>
      </c>
      <c r="JV486" s="712" t="str">
        <f>IF(JT486=KJ486,"ok","male")</f>
        <v>ok</v>
      </c>
      <c r="JW486" s="712" t="str">
        <f>IF(JU486=KK486,"ok","female")</f>
        <v>ok</v>
      </c>
      <c r="JX486" s="770"/>
      <c r="JY486" s="770"/>
      <c r="JZ486" s="770"/>
      <c r="KA486" s="770"/>
      <c r="KB486" s="770">
        <v>1</v>
      </c>
      <c r="KC486" s="770"/>
      <c r="KD486" s="770"/>
      <c r="KE486" s="770">
        <v>1</v>
      </c>
      <c r="KF486" s="770"/>
      <c r="KG486" s="770"/>
      <c r="KH486" s="770"/>
      <c r="KI486" s="770"/>
      <c r="KJ486" s="770">
        <f t="shared" si="126"/>
        <v>1</v>
      </c>
      <c r="KK486" s="770">
        <f t="shared" si="126"/>
        <v>1</v>
      </c>
      <c r="KL486" s="712" t="str">
        <f>IF(KJ486=LN486,"ok","male")</f>
        <v>ok</v>
      </c>
      <c r="KM486" s="712" t="str">
        <f>IF(KK486=LO486,"ok","female")</f>
        <v>ok</v>
      </c>
      <c r="KN486" s="770" t="s">
        <v>783</v>
      </c>
      <c r="KO486" s="770"/>
      <c r="KP486" s="770"/>
      <c r="KQ486" s="770"/>
      <c r="KR486" s="770"/>
      <c r="KS486" s="770"/>
      <c r="KT486" s="770"/>
      <c r="KU486" s="770"/>
      <c r="KV486" s="770"/>
      <c r="KW486" s="770"/>
      <c r="KX486" s="770">
        <v>1</v>
      </c>
      <c r="KY486" s="770"/>
      <c r="KZ486" s="770"/>
      <c r="LA486" s="770">
        <v>1</v>
      </c>
      <c r="LB486" s="770"/>
      <c r="LC486" s="770"/>
      <c r="LD486" s="770"/>
      <c r="LE486" s="770"/>
      <c r="LF486" s="770"/>
      <c r="LG486" s="770"/>
      <c r="LH486" s="770"/>
      <c r="LI486" s="770"/>
      <c r="LJ486" s="770"/>
      <c r="LK486" s="770"/>
      <c r="LL486" s="770"/>
      <c r="LM486" s="770"/>
      <c r="LN486" s="766">
        <f t="shared" si="111"/>
        <v>1</v>
      </c>
      <c r="LO486" s="766">
        <f t="shared" si="111"/>
        <v>1</v>
      </c>
      <c r="LP486" s="770">
        <v>2</v>
      </c>
      <c r="LQ486" s="770">
        <v>1</v>
      </c>
      <c r="LR486" s="770">
        <v>1</v>
      </c>
      <c r="LS486" s="770"/>
      <c r="LT486" s="712" t="str">
        <f>IF(LQ486=SUM(LU486:LW486),"OK","REV")</f>
        <v>OK</v>
      </c>
      <c r="LU486" s="770"/>
      <c r="LV486" s="770">
        <v>1</v>
      </c>
      <c r="LW486" s="770"/>
      <c r="LX486" s="769">
        <v>1</v>
      </c>
      <c r="LY486" s="766" t="str">
        <f t="shared" si="119"/>
        <v>within the BRGY</v>
      </c>
      <c r="LZ486" s="1709">
        <v>1500</v>
      </c>
      <c r="MA486" s="1709">
        <v>600</v>
      </c>
      <c r="MB486" s="1709"/>
      <c r="MC486" s="1679">
        <f t="shared" si="133"/>
        <v>2100</v>
      </c>
      <c r="MD486" s="1709">
        <v>12000</v>
      </c>
      <c r="ME486" s="1709">
        <v>15000</v>
      </c>
      <c r="MF486" s="1709"/>
      <c r="MG486" s="1680">
        <f>SUM(MD486:MF486)</f>
        <v>27000</v>
      </c>
      <c r="MH486" s="770" t="s">
        <v>1928</v>
      </c>
      <c r="MI486" s="302">
        <v>3000</v>
      </c>
      <c r="MJ486" s="302">
        <v>8400</v>
      </c>
      <c r="MK486" s="302">
        <v>600</v>
      </c>
      <c r="ML486" s="302">
        <v>120</v>
      </c>
      <c r="MM486" s="302">
        <v>700</v>
      </c>
      <c r="MN486" s="302"/>
      <c r="MO486" s="302">
        <v>200</v>
      </c>
      <c r="MP486" s="302">
        <v>900</v>
      </c>
      <c r="MQ486" s="302">
        <v>180</v>
      </c>
      <c r="MR486" s="302">
        <v>2500</v>
      </c>
      <c r="MS486" s="302">
        <v>1000</v>
      </c>
      <c r="MT486" s="302"/>
      <c r="MU486" s="302"/>
      <c r="MV486" s="302"/>
      <c r="MW486" s="302"/>
      <c r="MX486" s="302"/>
      <c r="MY486" s="1682">
        <f t="shared" si="122"/>
        <v>17600</v>
      </c>
      <c r="MZ486" s="770" t="s">
        <v>13395</v>
      </c>
      <c r="NA486" s="770" t="s">
        <v>13005</v>
      </c>
      <c r="NB486" s="770" t="s">
        <v>13016</v>
      </c>
      <c r="NC486" s="770" t="s">
        <v>13621</v>
      </c>
      <c r="ND486" s="770">
        <v>0</v>
      </c>
      <c r="NE486" s="770">
        <v>0</v>
      </c>
      <c r="NF486" s="770">
        <v>0</v>
      </c>
      <c r="NG486" s="770">
        <v>1</v>
      </c>
      <c r="NH486" s="770">
        <v>0</v>
      </c>
      <c r="NI486" s="770">
        <v>0</v>
      </c>
      <c r="NJ486" s="770">
        <v>0</v>
      </c>
      <c r="NK486" s="770">
        <v>0</v>
      </c>
      <c r="NL486" s="770">
        <v>1</v>
      </c>
      <c r="NM486" s="770">
        <v>1</v>
      </c>
      <c r="NN486" s="770">
        <v>0</v>
      </c>
      <c r="NO486" s="770">
        <v>0</v>
      </c>
      <c r="NP486" s="770">
        <v>0</v>
      </c>
      <c r="NQ486" s="770">
        <v>0</v>
      </c>
      <c r="NR486" s="770">
        <v>0</v>
      </c>
      <c r="NS486" s="770">
        <v>0</v>
      </c>
      <c r="NT486" s="770">
        <v>0</v>
      </c>
      <c r="NU486" s="770">
        <v>0</v>
      </c>
      <c r="NV486" s="770">
        <v>0</v>
      </c>
      <c r="NW486" s="770">
        <v>0</v>
      </c>
      <c r="NX486" s="770">
        <v>0</v>
      </c>
      <c r="NY486" s="770" t="s">
        <v>1208</v>
      </c>
      <c r="NZ486" s="770" t="s">
        <v>1208</v>
      </c>
      <c r="OA486" s="770" t="s">
        <v>1208</v>
      </c>
      <c r="OB486" s="770" t="s">
        <v>1208</v>
      </c>
      <c r="OC486" s="770" t="s">
        <v>1208</v>
      </c>
      <c r="OD486" s="770"/>
      <c r="OE486" s="770"/>
      <c r="OF486" s="1834" t="s">
        <v>13034</v>
      </c>
      <c r="OG486" s="770"/>
      <c r="OH486" s="770"/>
      <c r="OI486" s="770"/>
      <c r="OJ486" s="770"/>
      <c r="OK486" s="770"/>
      <c r="OL486" s="766"/>
      <c r="OM486" s="766"/>
      <c r="ON486" s="766"/>
      <c r="OO486" s="770"/>
      <c r="OP486" s="770"/>
      <c r="OQ486" s="770"/>
      <c r="OR486" s="770"/>
      <c r="OS486" s="770"/>
      <c r="OT486" s="770"/>
      <c r="OU486" s="770"/>
      <c r="OV486" s="770"/>
      <c r="OW486" s="770"/>
      <c r="OX486" s="770"/>
      <c r="OY486" s="770"/>
      <c r="OZ486" s="770"/>
      <c r="PA486" s="770"/>
      <c r="PB486" s="770"/>
      <c r="PC486" s="770"/>
      <c r="PD486" s="770"/>
      <c r="PE486" s="770"/>
      <c r="PF486" s="770"/>
      <c r="PG486" s="770"/>
      <c r="PH486" s="770"/>
      <c r="PI486" s="770"/>
      <c r="PJ486" s="770"/>
      <c r="PK486" s="770"/>
      <c r="PL486" s="770"/>
      <c r="PM486" s="770" t="s">
        <v>1208</v>
      </c>
      <c r="PN486" s="770"/>
      <c r="PO486" s="770"/>
      <c r="PP486" s="770"/>
      <c r="PQ486" s="770"/>
      <c r="PR486" s="770"/>
      <c r="PS486" s="770"/>
      <c r="PT486" s="770"/>
      <c r="PU486" s="770"/>
      <c r="PV486" s="770"/>
      <c r="PW486" s="770"/>
      <c r="PX486" s="770"/>
      <c r="PY486" s="770"/>
      <c r="PZ486" s="770"/>
      <c r="QA486" s="770"/>
      <c r="QB486" s="770"/>
      <c r="QC486" s="770"/>
      <c r="QD486" s="770"/>
      <c r="QE486" s="770"/>
      <c r="QF486" s="770"/>
      <c r="QG486" s="770"/>
      <c r="QH486" s="770"/>
      <c r="QI486" s="770"/>
      <c r="QJ486" s="770"/>
      <c r="QK486" s="770"/>
      <c r="QL486" s="770"/>
      <c r="QM486" s="770"/>
      <c r="QN486" s="770"/>
      <c r="QO486" s="770"/>
      <c r="QP486" s="770"/>
      <c r="QQ486" s="770"/>
      <c r="QR486" s="770"/>
      <c r="QS486" s="770"/>
      <c r="QT486" s="770"/>
      <c r="QU486" s="770"/>
      <c r="QV486" s="770"/>
      <c r="QW486" s="770"/>
      <c r="QX486" s="770"/>
      <c r="QY486" s="770"/>
      <c r="QZ486" s="770"/>
      <c r="RA486" s="770"/>
      <c r="RB486" s="770" t="s">
        <v>1207</v>
      </c>
      <c r="RC486" s="770">
        <v>2015</v>
      </c>
      <c r="RD486" s="770" t="s">
        <v>13251</v>
      </c>
      <c r="RE486" s="770" t="s">
        <v>12999</v>
      </c>
      <c r="RF486" s="304">
        <v>0.5</v>
      </c>
      <c r="RG486" s="770" t="s">
        <v>13047</v>
      </c>
      <c r="RH486" s="302">
        <v>1500</v>
      </c>
      <c r="RI486" s="770">
        <v>1</v>
      </c>
      <c r="RJ486" s="770" t="s">
        <v>3541</v>
      </c>
      <c r="RK486" s="770" t="s">
        <v>13552</v>
      </c>
      <c r="RL486" s="1710"/>
      <c r="RM486" s="12"/>
      <c r="RN486" s="1711"/>
      <c r="RO486" s="133" t="s">
        <v>3530</v>
      </c>
      <c r="RP486" s="11"/>
      <c r="RQ486" s="11"/>
      <c r="RR486" s="19" t="s">
        <v>7421</v>
      </c>
      <c r="RS486" s="1139" t="s">
        <v>12980</v>
      </c>
      <c r="RT486" s="11"/>
      <c r="RU486" s="11"/>
      <c r="RV486" s="771" t="s">
        <v>7421</v>
      </c>
      <c r="RW486" s="11" t="s">
        <v>7772</v>
      </c>
      <c r="RX486" s="11" t="s">
        <v>3516</v>
      </c>
      <c r="RY486" s="11"/>
      <c r="RZ486" s="11" t="s">
        <v>1101</v>
      </c>
      <c r="SA486" s="771"/>
      <c r="SB486" s="11"/>
      <c r="SC486" s="11"/>
    </row>
    <row r="487" spans="1:497" ht="12.75" customHeight="1">
      <c r="A487" s="19" t="s">
        <v>7421</v>
      </c>
      <c r="B487" s="752" t="s">
        <v>7776</v>
      </c>
      <c r="C487" s="132" t="s">
        <v>3544</v>
      </c>
      <c r="D487" s="94" t="s">
        <v>3546</v>
      </c>
      <c r="E487" s="770" t="s">
        <v>3326</v>
      </c>
      <c r="F487" s="770" t="s">
        <v>28</v>
      </c>
      <c r="G487" s="770" t="s">
        <v>10</v>
      </c>
      <c r="H487" s="770"/>
      <c r="I487" s="295" t="s">
        <v>3547</v>
      </c>
      <c r="J487" s="94" t="s">
        <v>3546</v>
      </c>
      <c r="K487" s="766" t="s">
        <v>3548</v>
      </c>
      <c r="L487" s="766" t="s">
        <v>3549</v>
      </c>
      <c r="M487" s="770" t="s">
        <v>1238</v>
      </c>
      <c r="N487" s="770"/>
      <c r="O487" s="770" t="s">
        <v>3340</v>
      </c>
      <c r="P487" s="94" t="s">
        <v>3550</v>
      </c>
      <c r="Q487" s="1088">
        <v>24596</v>
      </c>
      <c r="R487" s="297">
        <v>49</v>
      </c>
      <c r="S487" s="770" t="s">
        <v>10</v>
      </c>
      <c r="T487" s="770"/>
      <c r="U487" s="295" t="s">
        <v>3547</v>
      </c>
      <c r="V487" s="770" t="s">
        <v>722</v>
      </c>
      <c r="W487" s="770"/>
      <c r="X487" s="770"/>
      <c r="Y487" s="770" t="s">
        <v>3326</v>
      </c>
      <c r="Z487" s="770" t="s">
        <v>708</v>
      </c>
      <c r="AA487" s="770" t="s">
        <v>709</v>
      </c>
      <c r="AB487" s="770" t="s">
        <v>710</v>
      </c>
      <c r="AC487" s="770"/>
      <c r="AD487" s="770" t="s">
        <v>711</v>
      </c>
      <c r="AE487" s="770"/>
      <c r="AF487" s="770" t="s">
        <v>712</v>
      </c>
      <c r="AG487" s="766" t="s">
        <v>1132</v>
      </c>
      <c r="AH487" s="766" t="s">
        <v>1096</v>
      </c>
      <c r="AI487" s="770"/>
      <c r="AJ487" s="770" t="s">
        <v>1137</v>
      </c>
      <c r="AK487" s="770" t="s">
        <v>1101</v>
      </c>
      <c r="AL487" s="531">
        <v>1.68</v>
      </c>
      <c r="AM487" s="780">
        <v>1.68</v>
      </c>
      <c r="AN487" s="532">
        <f t="shared" si="130"/>
        <v>1</v>
      </c>
      <c r="AO487" s="766" t="s">
        <v>1122</v>
      </c>
      <c r="AP487" s="766"/>
      <c r="AQ487" s="766"/>
      <c r="AR487" s="766"/>
      <c r="AS487" s="770"/>
      <c r="AT487" s="770"/>
      <c r="AU487" s="770"/>
      <c r="AV487" s="770"/>
      <c r="AW487" s="770"/>
      <c r="AX487" s="770"/>
      <c r="AY487" s="770"/>
      <c r="AZ487" s="770"/>
      <c r="BA487" s="770"/>
      <c r="BB487" s="770"/>
      <c r="BC487" s="770"/>
      <c r="BD487" s="770"/>
      <c r="BE487" s="770"/>
      <c r="BF487" s="302"/>
      <c r="BG487" s="302"/>
      <c r="BH487" s="770"/>
      <c r="BI487" s="770"/>
      <c r="BJ487" s="770"/>
      <c r="BK487" s="770" t="s">
        <v>1095</v>
      </c>
      <c r="BL487" s="770" t="s">
        <v>3551</v>
      </c>
      <c r="BM487" s="766" t="s">
        <v>1096</v>
      </c>
      <c r="BN487" s="770" t="s">
        <v>1230</v>
      </c>
      <c r="BO487" s="766" t="s">
        <v>1246</v>
      </c>
      <c r="BP487" s="1109">
        <v>1.68</v>
      </c>
      <c r="BQ487" s="773">
        <v>1.68</v>
      </c>
      <c r="BR487" s="774">
        <f t="shared" si="131"/>
        <v>1</v>
      </c>
      <c r="BS487" s="766" t="s">
        <v>1257</v>
      </c>
      <c r="BT487" s="770" t="s">
        <v>1326</v>
      </c>
      <c r="BU487" s="766" t="s">
        <v>1264</v>
      </c>
      <c r="BV487" s="770" t="s">
        <v>1247</v>
      </c>
      <c r="BW487" s="769"/>
      <c r="BX487" s="302"/>
      <c r="BY487" s="770"/>
      <c r="BZ487" s="302"/>
      <c r="CA487" s="770"/>
      <c r="CB487" s="770"/>
      <c r="CC487" s="770"/>
      <c r="CD487" s="770"/>
      <c r="CE487" s="770"/>
      <c r="CF487" s="1753"/>
      <c r="CG487" s="1754"/>
      <c r="CH487" s="770"/>
      <c r="CI487" s="770"/>
      <c r="CJ487" s="770"/>
      <c r="CK487" s="770"/>
      <c r="CL487" s="770"/>
      <c r="CM487" s="770"/>
      <c r="CN487" s="770"/>
      <c r="CO487" s="770"/>
      <c r="CP487" s="770"/>
      <c r="CQ487" s="770"/>
      <c r="CR487" s="302"/>
      <c r="CS487" s="770"/>
      <c r="CT487" s="770"/>
      <c r="CU487" s="305"/>
      <c r="CV487" s="770"/>
      <c r="CW487" s="770"/>
      <c r="CX487" s="770"/>
      <c r="CY487" s="770"/>
      <c r="CZ487" s="770"/>
      <c r="DA487" s="306"/>
      <c r="DB487" s="770"/>
      <c r="DC487" s="770"/>
      <c r="DD487" s="770"/>
      <c r="DE487" s="300"/>
      <c r="DF487" s="770"/>
      <c r="DG487" s="770"/>
      <c r="DH487" s="770"/>
      <c r="DI487" s="770"/>
      <c r="DJ487" s="770"/>
      <c r="DK487" s="770"/>
      <c r="DL487" s="770"/>
      <c r="DM487" s="770"/>
      <c r="DN487" s="322"/>
      <c r="DO487" s="770"/>
      <c r="DP487" s="770"/>
      <c r="DQ487" s="770"/>
      <c r="DR487" s="770"/>
      <c r="DS487" s="307"/>
      <c r="DT487" s="770"/>
      <c r="DU487" s="770"/>
      <c r="DV487" s="770"/>
      <c r="DW487" s="306"/>
      <c r="DX487" s="306"/>
      <c r="DY487" s="770"/>
      <c r="DZ487" s="770"/>
      <c r="EA487" s="770"/>
      <c r="EB487" s="770"/>
      <c r="EC487" s="770"/>
      <c r="ED487" s="770"/>
      <c r="EE487" s="770"/>
      <c r="EF487" s="770"/>
      <c r="EG487" s="770"/>
      <c r="EH487" s="770"/>
      <c r="EI487" s="770"/>
      <c r="EJ487" s="770"/>
      <c r="EK487" s="770"/>
      <c r="EL487" s="770"/>
      <c r="EM487" s="770"/>
      <c r="EN487" s="770"/>
      <c r="EO487" s="770"/>
      <c r="EP487" s="94"/>
      <c r="EQ487" s="770"/>
      <c r="ER487" s="770"/>
      <c r="ES487" s="770"/>
      <c r="ET487" s="770"/>
      <c r="EU487" s="770"/>
      <c r="EV487" s="770"/>
      <c r="EW487" s="770"/>
      <c r="EX487" s="770"/>
      <c r="EY487" s="770"/>
      <c r="EZ487" s="770"/>
      <c r="FA487" s="770"/>
      <c r="FB487" s="770"/>
      <c r="FC487" s="770"/>
      <c r="FD487" s="302"/>
      <c r="FE487" s="770"/>
      <c r="FF487" s="770"/>
      <c r="FG487" s="770"/>
      <c r="FH487" s="770" t="s">
        <v>478</v>
      </c>
      <c r="FI487" s="770">
        <v>1</v>
      </c>
      <c r="FJ487" s="770"/>
      <c r="FK487" s="770"/>
      <c r="FL487" s="770"/>
      <c r="FM487" s="302"/>
      <c r="FN487" s="302"/>
      <c r="FO487" s="302"/>
      <c r="FP487" s="766" t="s">
        <v>1602</v>
      </c>
      <c r="FQ487" s="766" t="s">
        <v>1660</v>
      </c>
      <c r="FR487" s="770" t="s">
        <v>1214</v>
      </c>
      <c r="FS487" s="770"/>
      <c r="FT487" s="770"/>
      <c r="FU487" s="770"/>
      <c r="FV487" s="770"/>
      <c r="FW487" s="770"/>
      <c r="FX487" s="770"/>
      <c r="FY487" s="770"/>
      <c r="FZ487" s="770"/>
      <c r="GA487" s="770"/>
      <c r="GB487" s="770"/>
      <c r="GC487" s="308"/>
      <c r="GD487" s="297"/>
      <c r="GE487" s="770" t="s">
        <v>1214</v>
      </c>
      <c r="GF487" s="302"/>
      <c r="GG487" s="302"/>
      <c r="GH487" s="712" t="s">
        <v>1791</v>
      </c>
      <c r="GI487" s="770" t="s">
        <v>2352</v>
      </c>
      <c r="GJ487" s="770" t="s">
        <v>3552</v>
      </c>
      <c r="GK487" s="766" t="s">
        <v>1806</v>
      </c>
      <c r="GL487" s="770"/>
      <c r="GM487" s="770"/>
      <c r="GN487" s="299">
        <v>100</v>
      </c>
      <c r="GO487" s="770" t="s">
        <v>2760</v>
      </c>
      <c r="GP487" s="770" t="s">
        <v>1208</v>
      </c>
      <c r="GQ487" s="770"/>
      <c r="GR487" s="770" t="s">
        <v>1208</v>
      </c>
      <c r="GS487" s="770" t="s">
        <v>1208</v>
      </c>
      <c r="GT487" s="770" t="s">
        <v>1208</v>
      </c>
      <c r="GU487" s="770"/>
      <c r="GV487" s="770"/>
      <c r="GW487" s="770" t="s">
        <v>1207</v>
      </c>
      <c r="GX487" s="770"/>
      <c r="GY487" s="770" t="s">
        <v>1208</v>
      </c>
      <c r="GZ487" s="770" t="s">
        <v>1208</v>
      </c>
      <c r="HA487" s="770" t="s">
        <v>1208</v>
      </c>
      <c r="HB487" s="770" t="s">
        <v>1208</v>
      </c>
      <c r="HC487" s="770" t="s">
        <v>1208</v>
      </c>
      <c r="HD487" s="770" t="s">
        <v>1208</v>
      </c>
      <c r="HE487" s="770" t="s">
        <v>1208</v>
      </c>
      <c r="HF487" s="770"/>
      <c r="HG487" s="770"/>
      <c r="HH487" s="770"/>
      <c r="HI487" s="770" t="s">
        <v>1214</v>
      </c>
      <c r="HJ487" s="770"/>
      <c r="HK487" s="770"/>
      <c r="HL487" s="770" t="s">
        <v>1214</v>
      </c>
      <c r="HM487" s="770"/>
      <c r="HN487" s="770"/>
      <c r="HO487" s="770"/>
      <c r="HP487" s="770"/>
      <c r="HQ487" s="770"/>
      <c r="HR487" s="770">
        <v>1</v>
      </c>
      <c r="HS487" s="770"/>
      <c r="HT487" s="770"/>
      <c r="HU487" s="770"/>
      <c r="HV487" s="770"/>
      <c r="HW487" s="770"/>
      <c r="HX487" s="770"/>
      <c r="HY487" s="770"/>
      <c r="HZ487" s="770"/>
      <c r="IA487" s="770"/>
      <c r="IB487" s="14" t="e">
        <f>IF(#REF!&gt;0,IF(#REF!&lt;=10000,"Y",""),"")</f>
        <v>#REF!</v>
      </c>
      <c r="IC487" s="770"/>
      <c r="ID487" s="12"/>
      <c r="IE487" s="770"/>
      <c r="IF487" s="770"/>
      <c r="IG487" s="770"/>
      <c r="IH487" s="770"/>
      <c r="II487" s="770"/>
      <c r="IJ487" s="770"/>
      <c r="IK487" s="770"/>
      <c r="IL487" s="770"/>
      <c r="IM487" s="770"/>
      <c r="IN487" s="770"/>
      <c r="IO487" s="296"/>
      <c r="IP487" s="770"/>
      <c r="IQ487" s="766"/>
      <c r="IR487" s="770"/>
      <c r="IS487" s="770"/>
      <c r="IT487" s="770"/>
      <c r="IU487" s="770"/>
      <c r="IV487" s="770"/>
      <c r="IW487" s="770"/>
      <c r="IX487" s="770"/>
      <c r="IY487" s="770"/>
      <c r="IZ487" s="770"/>
      <c r="JA487" s="770"/>
      <c r="JB487" s="770"/>
      <c r="JC487" s="770"/>
      <c r="JD487" s="302"/>
      <c r="JE487" s="770"/>
      <c r="JF487" s="770"/>
      <c r="JG487" s="770"/>
      <c r="JH487" s="307"/>
      <c r="JI487" s="307"/>
      <c r="JJ487" s="770">
        <v>5</v>
      </c>
      <c r="JK487" s="1139" t="s">
        <v>3551</v>
      </c>
      <c r="JL487" s="770">
        <v>2</v>
      </c>
      <c r="JM487" s="770">
        <v>1</v>
      </c>
      <c r="JN487" s="770">
        <v>1</v>
      </c>
      <c r="JO487" s="770">
        <v>1</v>
      </c>
      <c r="JP487" s="770"/>
      <c r="JQ487" s="770"/>
      <c r="JR487" s="770"/>
      <c r="JS487" s="770"/>
      <c r="JT487" s="766">
        <f t="shared" si="132"/>
        <v>3</v>
      </c>
      <c r="JU487" s="766">
        <f t="shared" si="132"/>
        <v>2</v>
      </c>
      <c r="JV487" s="712" t="str">
        <f>IF(JT487=KJ487,"ok","male")</f>
        <v>ok</v>
      </c>
      <c r="JW487" s="712" t="str">
        <f>IF(JU487=KK487,"ok","female")</f>
        <v>ok</v>
      </c>
      <c r="JX487" s="770">
        <v>1</v>
      </c>
      <c r="JY487" s="770"/>
      <c r="JZ487" s="770">
        <v>1</v>
      </c>
      <c r="KA487" s="770">
        <v>1</v>
      </c>
      <c r="KB487" s="770"/>
      <c r="KC487" s="770"/>
      <c r="KD487" s="770">
        <v>1</v>
      </c>
      <c r="KE487" s="770">
        <v>1</v>
      </c>
      <c r="KF487" s="770"/>
      <c r="KG487" s="770"/>
      <c r="KH487" s="770"/>
      <c r="KI487" s="770"/>
      <c r="KJ487" s="770">
        <f t="shared" si="126"/>
        <v>3</v>
      </c>
      <c r="KK487" s="770">
        <f t="shared" si="126"/>
        <v>2</v>
      </c>
      <c r="KL487" s="712" t="str">
        <f>IF(KJ487=LN487,"ok","male")</f>
        <v>ok</v>
      </c>
      <c r="KM487" s="712" t="str">
        <f>IF(KK487=LO487,"ok","female")</f>
        <v>ok</v>
      </c>
      <c r="KN487" s="770" t="s">
        <v>722</v>
      </c>
      <c r="KO487" s="770"/>
      <c r="KP487" s="770"/>
      <c r="KQ487" s="770"/>
      <c r="KR487" s="770"/>
      <c r="KS487" s="770"/>
      <c r="KT487" s="770">
        <v>1</v>
      </c>
      <c r="KU487" s="770">
        <v>1</v>
      </c>
      <c r="KV487" s="770"/>
      <c r="KW487" s="770"/>
      <c r="KX487" s="770">
        <v>1</v>
      </c>
      <c r="KY487" s="770"/>
      <c r="KZ487" s="770"/>
      <c r="LA487" s="770">
        <v>1</v>
      </c>
      <c r="LB487" s="770"/>
      <c r="LC487" s="770"/>
      <c r="LD487" s="770"/>
      <c r="LE487" s="770"/>
      <c r="LF487" s="770"/>
      <c r="LG487" s="770"/>
      <c r="LH487" s="770"/>
      <c r="LI487" s="770"/>
      <c r="LJ487" s="770">
        <v>1</v>
      </c>
      <c r="LK487" s="770"/>
      <c r="LL487" s="770"/>
      <c r="LM487" s="770"/>
      <c r="LN487" s="766">
        <f t="shared" ref="LN487:LO550" si="134">SUM(KP487,KR487,KT487,KV487,KX487,KZ487,LB487,LD487,LF487,LH487,LJ487,LL487)</f>
        <v>3</v>
      </c>
      <c r="LO487" s="766">
        <f t="shared" si="134"/>
        <v>2</v>
      </c>
      <c r="LP487" s="770">
        <v>1</v>
      </c>
      <c r="LQ487" s="770"/>
      <c r="LR487" s="770"/>
      <c r="LS487" s="770">
        <v>1</v>
      </c>
      <c r="LT487" s="712" t="str">
        <f>IF(LQ487=SUM(LU487:LW487),"OK","REV")</f>
        <v>OK</v>
      </c>
      <c r="LU487" s="770"/>
      <c r="LV487" s="770"/>
      <c r="LW487" s="770"/>
      <c r="LX487" s="769">
        <v>2</v>
      </c>
      <c r="LY487" s="766" t="str">
        <f t="shared" si="119"/>
        <v>within the MUNICIPALITY</v>
      </c>
      <c r="LZ487" s="1709"/>
      <c r="MA487" s="1709"/>
      <c r="MB487" s="1709"/>
      <c r="MC487" s="1679">
        <f t="shared" si="133"/>
        <v>0</v>
      </c>
      <c r="MD487" s="1709"/>
      <c r="ME487" s="1709"/>
      <c r="MF487" s="1709">
        <v>9000</v>
      </c>
      <c r="MG487" s="1680">
        <f>SUM(MD487:MF487)</f>
        <v>9000</v>
      </c>
      <c r="MH487" s="770" t="s">
        <v>3545</v>
      </c>
      <c r="MI487" s="302">
        <v>18000</v>
      </c>
      <c r="MJ487" s="302">
        <v>210</v>
      </c>
      <c r="MK487" s="302">
        <v>600</v>
      </c>
      <c r="ML487" s="302">
        <v>3000</v>
      </c>
      <c r="MM487" s="302"/>
      <c r="MN487" s="12"/>
      <c r="MO487" s="302">
        <v>30</v>
      </c>
      <c r="MP487" s="302">
        <v>150</v>
      </c>
      <c r="MQ487" s="302">
        <v>250</v>
      </c>
      <c r="MR487" s="302">
        <v>1500</v>
      </c>
      <c r="MS487" s="302"/>
      <c r="MT487" s="302"/>
      <c r="MU487" s="302"/>
      <c r="MV487" s="302"/>
      <c r="MW487" s="302"/>
      <c r="MX487" s="302"/>
      <c r="MY487" s="1682">
        <f t="shared" si="122"/>
        <v>23740</v>
      </c>
      <c r="MZ487" s="770" t="s">
        <v>13395</v>
      </c>
      <c r="NA487" s="770" t="s">
        <v>1249</v>
      </c>
      <c r="NB487" s="770" t="s">
        <v>13016</v>
      </c>
      <c r="NC487" s="770" t="s">
        <v>13602</v>
      </c>
      <c r="ND487" s="770">
        <v>0</v>
      </c>
      <c r="NE487" s="770">
        <v>0</v>
      </c>
      <c r="NF487" s="770">
        <v>0</v>
      </c>
      <c r="NG487" s="770">
        <v>2</v>
      </c>
      <c r="NH487" s="770">
        <v>1</v>
      </c>
      <c r="NI487" s="770">
        <v>0</v>
      </c>
      <c r="NJ487" s="770">
        <v>0</v>
      </c>
      <c r="NK487" s="770">
        <v>0</v>
      </c>
      <c r="NL487" s="770">
        <v>0</v>
      </c>
      <c r="NM487" s="770">
        <v>1</v>
      </c>
      <c r="NN487" s="770">
        <v>0</v>
      </c>
      <c r="NO487" s="770">
        <v>0</v>
      </c>
      <c r="NP487" s="770">
        <v>0</v>
      </c>
      <c r="NQ487" s="770">
        <v>0</v>
      </c>
      <c r="NR487" s="770">
        <v>0</v>
      </c>
      <c r="NS487" s="770">
        <v>0</v>
      </c>
      <c r="NT487" s="770">
        <v>0</v>
      </c>
      <c r="NU487" s="770">
        <v>0</v>
      </c>
      <c r="NV487" s="770">
        <v>0</v>
      </c>
      <c r="NW487" s="770">
        <v>0</v>
      </c>
      <c r="NX487" s="770">
        <v>0</v>
      </c>
      <c r="NY487" s="770" t="s">
        <v>1208</v>
      </c>
      <c r="NZ487" s="770" t="s">
        <v>1208</v>
      </c>
      <c r="OA487" s="770" t="s">
        <v>1208</v>
      </c>
      <c r="OB487" s="770" t="s">
        <v>1208</v>
      </c>
      <c r="OC487" s="770" t="s">
        <v>1208</v>
      </c>
      <c r="OD487" s="770"/>
      <c r="OE487" s="770"/>
      <c r="OF487" s="770" t="s">
        <v>2143</v>
      </c>
      <c r="OG487" s="770"/>
      <c r="OH487" s="770"/>
      <c r="OI487" s="770"/>
      <c r="OJ487" s="770"/>
      <c r="OK487" s="770" t="s">
        <v>1208</v>
      </c>
      <c r="OL487" s="766" t="s">
        <v>13548</v>
      </c>
      <c r="OM487" s="766" t="s">
        <v>13532</v>
      </c>
      <c r="ON487" s="766" t="s">
        <v>12888</v>
      </c>
      <c r="OO487" s="766" t="s">
        <v>1207</v>
      </c>
      <c r="OP487" s="766" t="s">
        <v>13548</v>
      </c>
      <c r="OQ487" s="766" t="s">
        <v>13532</v>
      </c>
      <c r="OR487" s="766" t="s">
        <v>12888</v>
      </c>
      <c r="OS487" s="770" t="s">
        <v>12885</v>
      </c>
      <c r="OT487" s="770" t="s">
        <v>13579</v>
      </c>
      <c r="OU487" s="770" t="s">
        <v>13263</v>
      </c>
      <c r="OV487" s="770" t="s">
        <v>1208</v>
      </c>
      <c r="OW487" s="770"/>
      <c r="OX487" s="770" t="s">
        <v>1208</v>
      </c>
      <c r="OY487" s="770"/>
      <c r="OZ487" s="770"/>
      <c r="PA487" s="770" t="s">
        <v>1208</v>
      </c>
      <c r="PB487" s="770"/>
      <c r="PC487" s="770"/>
      <c r="PD487" s="770"/>
      <c r="PE487" s="770"/>
      <c r="PF487" s="770"/>
      <c r="PG487" s="770"/>
      <c r="PH487" s="770" t="s">
        <v>1208</v>
      </c>
      <c r="PI487" s="770"/>
      <c r="PJ487" s="770"/>
      <c r="PK487" s="770" t="s">
        <v>1208</v>
      </c>
      <c r="PL487" s="770"/>
      <c r="PM487" s="770"/>
      <c r="PN487" s="770"/>
      <c r="PO487" s="770"/>
      <c r="PP487" s="770"/>
      <c r="PQ487" s="770"/>
      <c r="PR487" s="770"/>
      <c r="PS487" s="770"/>
      <c r="PT487" s="770"/>
      <c r="PU487" s="770"/>
      <c r="PV487" s="770"/>
      <c r="PW487" s="770"/>
      <c r="PX487" s="770"/>
      <c r="PY487" s="770"/>
      <c r="PZ487" s="770"/>
      <c r="QA487" s="770"/>
      <c r="QB487" s="770"/>
      <c r="QC487" s="770"/>
      <c r="QD487" s="770"/>
      <c r="QE487" s="770"/>
      <c r="QF487" s="770"/>
      <c r="QG487" s="770"/>
      <c r="QH487" s="770"/>
      <c r="QI487" s="770"/>
      <c r="QJ487" s="770"/>
      <c r="QK487" s="770"/>
      <c r="QL487" s="770"/>
      <c r="QM487" s="770"/>
      <c r="QN487" s="770"/>
      <c r="QO487" s="770"/>
      <c r="QP487" s="770"/>
      <c r="QQ487" s="770"/>
      <c r="QR487" s="770"/>
      <c r="QS487" s="770"/>
      <c r="QT487" s="770"/>
      <c r="QU487" s="770"/>
      <c r="QV487" s="770"/>
      <c r="QW487" s="770"/>
      <c r="QX487" s="770"/>
      <c r="QY487" s="770"/>
      <c r="QZ487" s="770"/>
      <c r="RA487" s="770"/>
      <c r="RB487" s="770" t="s">
        <v>1207</v>
      </c>
      <c r="RC487" s="770">
        <v>2015</v>
      </c>
      <c r="RD487" s="770" t="s">
        <v>13594</v>
      </c>
      <c r="RE487" s="770" t="s">
        <v>12999</v>
      </c>
      <c r="RF487" s="304">
        <v>2</v>
      </c>
      <c r="RG487" s="770" t="s">
        <v>13047</v>
      </c>
      <c r="RH487" s="302">
        <v>100</v>
      </c>
      <c r="RI487" s="770">
        <v>12</v>
      </c>
      <c r="RJ487" s="770" t="s">
        <v>3551</v>
      </c>
      <c r="RK487" s="770" t="s">
        <v>13544</v>
      </c>
      <c r="RL487" s="1710"/>
      <c r="RM487" s="12"/>
      <c r="RN487" s="1711"/>
      <c r="RO487" s="132" t="s">
        <v>3544</v>
      </c>
      <c r="RP487" s="11"/>
      <c r="RQ487" s="11"/>
      <c r="RR487" s="19" t="s">
        <v>7421</v>
      </c>
      <c r="RS487" s="1139" t="s">
        <v>12980</v>
      </c>
      <c r="RT487" s="11"/>
      <c r="RU487" s="11"/>
      <c r="RV487" s="771" t="s">
        <v>7421</v>
      </c>
      <c r="RW487" s="11" t="s">
        <v>7774</v>
      </c>
      <c r="RX487" s="11" t="s">
        <v>3527</v>
      </c>
      <c r="RY487" s="11"/>
      <c r="RZ487" s="11" t="s">
        <v>1101</v>
      </c>
      <c r="SA487" s="771"/>
      <c r="SB487" s="11"/>
      <c r="SC487" s="11"/>
    </row>
    <row r="488" spans="1:497" ht="12.75" hidden="1" customHeight="1">
      <c r="A488" s="343" t="s">
        <v>7419</v>
      </c>
      <c r="B488" s="752" t="s">
        <v>7777</v>
      </c>
      <c r="C488" s="132" t="s">
        <v>3553</v>
      </c>
      <c r="D488" s="94" t="s">
        <v>3554</v>
      </c>
      <c r="E488" s="770" t="s">
        <v>3326</v>
      </c>
      <c r="F488" s="770" t="s">
        <v>28</v>
      </c>
      <c r="G488" s="770" t="s">
        <v>18</v>
      </c>
      <c r="H488" s="770"/>
      <c r="I488" s="295"/>
      <c r="J488" s="94" t="s">
        <v>3554</v>
      </c>
      <c r="K488" s="766" t="s">
        <v>3556</v>
      </c>
      <c r="L488" s="766" t="s">
        <v>3549</v>
      </c>
      <c r="M488" s="770" t="s">
        <v>1238</v>
      </c>
      <c r="N488" s="770"/>
      <c r="O488" s="770" t="s">
        <v>3340</v>
      </c>
      <c r="P488" s="770" t="s">
        <v>3557</v>
      </c>
      <c r="Q488" s="1088">
        <v>24939</v>
      </c>
      <c r="R488" s="297">
        <v>44</v>
      </c>
      <c r="S488" s="770" t="s">
        <v>18</v>
      </c>
      <c r="T488" s="770"/>
      <c r="U488" s="295"/>
      <c r="V488" s="770" t="s">
        <v>707</v>
      </c>
      <c r="W488" s="770"/>
      <c r="X488" s="770"/>
      <c r="Y488" s="770" t="s">
        <v>3555</v>
      </c>
      <c r="Z488" s="770" t="s">
        <v>793</v>
      </c>
      <c r="AA488" s="770" t="s">
        <v>709</v>
      </c>
      <c r="AB488" s="770"/>
      <c r="AC488" s="770"/>
      <c r="AD488" s="770" t="s">
        <v>711</v>
      </c>
      <c r="AE488" s="770"/>
      <c r="AF488" s="770" t="s">
        <v>712</v>
      </c>
      <c r="AG488" s="766" t="s">
        <v>1095</v>
      </c>
      <c r="AH488" s="766" t="s">
        <v>1096</v>
      </c>
      <c r="AI488" s="770" t="s">
        <v>3558</v>
      </c>
      <c r="AJ488" s="770"/>
      <c r="AK488" s="770" t="s">
        <v>1097</v>
      </c>
      <c r="AL488" s="531">
        <v>18</v>
      </c>
      <c r="AM488" s="780">
        <v>1.4</v>
      </c>
      <c r="AN488" s="532">
        <f t="shared" si="130"/>
        <v>7.7777777777777779E-2</v>
      </c>
      <c r="AO488" s="766" t="s">
        <v>1098</v>
      </c>
      <c r="AP488" s="766" t="s">
        <v>11906</v>
      </c>
      <c r="AQ488" s="766"/>
      <c r="AR488" s="766"/>
      <c r="AS488" s="770" t="s">
        <v>1207</v>
      </c>
      <c r="AT488" s="770" t="s">
        <v>1208</v>
      </c>
      <c r="AU488" s="770"/>
      <c r="AV488" s="770"/>
      <c r="AW488" s="770"/>
      <c r="AX488" s="13"/>
      <c r="AY488" s="770"/>
      <c r="AZ488" s="770"/>
      <c r="BA488" s="770"/>
      <c r="BB488" s="770"/>
      <c r="BC488" s="770" t="s">
        <v>853</v>
      </c>
      <c r="BD488" s="770" t="s">
        <v>1207</v>
      </c>
      <c r="BE488" s="770" t="s">
        <v>1214</v>
      </c>
      <c r="BF488" s="302"/>
      <c r="BG488" s="302"/>
      <c r="BH488" s="770"/>
      <c r="BI488" s="770"/>
      <c r="BJ488" s="770"/>
      <c r="BK488" s="770" t="s">
        <v>1095</v>
      </c>
      <c r="BL488" s="770" t="s">
        <v>3559</v>
      </c>
      <c r="BM488" s="766" t="s">
        <v>1096</v>
      </c>
      <c r="BN488" s="770" t="s">
        <v>1230</v>
      </c>
      <c r="BO488" s="770" t="s">
        <v>1275</v>
      </c>
      <c r="BP488" s="765">
        <v>54</v>
      </c>
      <c r="BQ488" s="773">
        <v>1.4</v>
      </c>
      <c r="BR488" s="774">
        <f t="shared" si="131"/>
        <v>2.5925925925925925E-2</v>
      </c>
      <c r="BS488" s="766" t="s">
        <v>1242</v>
      </c>
      <c r="BT488" s="766" t="s">
        <v>2040</v>
      </c>
      <c r="BU488" s="770" t="s">
        <v>1249</v>
      </c>
      <c r="BV488" s="770" t="s">
        <v>1247</v>
      </c>
      <c r="BW488" s="770">
        <v>1981</v>
      </c>
      <c r="BX488" s="302"/>
      <c r="BY488" s="770"/>
      <c r="BZ488" s="302"/>
      <c r="CA488" s="770"/>
      <c r="CB488" s="770"/>
      <c r="CC488" s="770"/>
      <c r="CD488" s="770"/>
      <c r="CE488" s="770"/>
      <c r="CF488" s="1753"/>
      <c r="CG488" s="1754"/>
      <c r="CH488" s="770"/>
      <c r="CI488" s="770"/>
      <c r="CJ488" s="770"/>
      <c r="CK488" s="770"/>
      <c r="CL488" s="770"/>
      <c r="CM488" s="770"/>
      <c r="CN488" s="770"/>
      <c r="CO488" s="770"/>
      <c r="CP488" s="770"/>
      <c r="CQ488" s="770"/>
      <c r="CR488" s="302"/>
      <c r="CS488" s="770"/>
      <c r="CT488" s="770"/>
      <c r="CU488" s="305"/>
      <c r="CV488" s="770"/>
      <c r="CW488" s="770"/>
      <c r="CX488" s="770"/>
      <c r="CY488" s="770"/>
      <c r="CZ488" s="770"/>
      <c r="DA488" s="306"/>
      <c r="DB488" s="770"/>
      <c r="DC488" s="770"/>
      <c r="DD488" s="770"/>
      <c r="DE488" s="300"/>
      <c r="DF488" s="770"/>
      <c r="DG488" s="770"/>
      <c r="DH488" s="770"/>
      <c r="DI488" s="770"/>
      <c r="DJ488" s="770"/>
      <c r="DK488" s="770"/>
      <c r="DL488" s="770"/>
      <c r="DM488" s="770"/>
      <c r="DN488" s="322"/>
      <c r="DO488" s="770"/>
      <c r="DP488" s="770"/>
      <c r="DQ488" s="770"/>
      <c r="DR488" s="770"/>
      <c r="DS488" s="307"/>
      <c r="DT488" s="770"/>
      <c r="DU488" s="770"/>
      <c r="DV488" s="770"/>
      <c r="DW488" s="306"/>
      <c r="DX488" s="306"/>
      <c r="DY488" s="770"/>
      <c r="DZ488" s="770"/>
      <c r="EA488" s="770"/>
      <c r="EB488" s="770"/>
      <c r="EC488" s="770"/>
      <c r="ED488" s="770"/>
      <c r="EE488" s="770"/>
      <c r="EF488" s="770"/>
      <c r="EG488" s="770"/>
      <c r="EH488" s="770"/>
      <c r="EI488" s="770"/>
      <c r="EJ488" s="770"/>
      <c r="EK488" s="770"/>
      <c r="EL488" s="770"/>
      <c r="EM488" s="770"/>
      <c r="EN488" s="770"/>
      <c r="EO488" s="770"/>
      <c r="EP488" s="94"/>
      <c r="EQ488" s="770"/>
      <c r="ER488" s="770"/>
      <c r="ES488" s="770"/>
      <c r="ET488" s="770"/>
      <c r="EU488" s="770"/>
      <c r="EV488" s="770"/>
      <c r="EW488" s="770"/>
      <c r="EX488" s="770"/>
      <c r="EY488" s="770"/>
      <c r="EZ488" s="770"/>
      <c r="FA488" s="770"/>
      <c r="FB488" s="770"/>
      <c r="FC488" s="770"/>
      <c r="FD488" s="302"/>
      <c r="FE488" s="770"/>
      <c r="FF488" s="770"/>
      <c r="FG488" s="770"/>
      <c r="FH488" s="770" t="s">
        <v>478</v>
      </c>
      <c r="FI488" s="770">
        <v>1</v>
      </c>
      <c r="FJ488" s="770"/>
      <c r="FK488" s="770"/>
      <c r="FL488" s="770"/>
      <c r="FM488" s="302"/>
      <c r="FN488" s="302"/>
      <c r="FO488" s="302"/>
      <c r="FP488" s="770" t="s">
        <v>1600</v>
      </c>
      <c r="FQ488" s="770" t="s">
        <v>1642</v>
      </c>
      <c r="FR488" s="770" t="s">
        <v>1207</v>
      </c>
      <c r="FS488" s="770" t="s">
        <v>1208</v>
      </c>
      <c r="FT488" s="770"/>
      <c r="FU488" s="770"/>
      <c r="FV488" s="770"/>
      <c r="FW488" s="770"/>
      <c r="FX488" s="770"/>
      <c r="FY488" s="770"/>
      <c r="FZ488" s="770"/>
      <c r="GA488" s="770"/>
      <c r="GB488" s="770" t="s">
        <v>853</v>
      </c>
      <c r="GC488" s="308" t="s">
        <v>3558</v>
      </c>
      <c r="GD488" s="297"/>
      <c r="GE488" s="770" t="s">
        <v>1214</v>
      </c>
      <c r="GF488" s="302"/>
      <c r="GG488" s="302"/>
      <c r="GH488" s="770"/>
      <c r="GI488" s="770"/>
      <c r="GJ488" s="770"/>
      <c r="GK488" s="766"/>
      <c r="GL488" s="770"/>
      <c r="GM488" s="770"/>
      <c r="GN488" s="299"/>
      <c r="GO488" s="770"/>
      <c r="GP488" s="770"/>
      <c r="GQ488" s="770"/>
      <c r="GR488" s="770"/>
      <c r="GS488" s="770"/>
      <c r="GT488" s="770"/>
      <c r="GU488" s="770"/>
      <c r="GV488" s="770"/>
      <c r="GW488" s="770"/>
      <c r="GX488" s="770"/>
      <c r="GY488" s="770"/>
      <c r="GZ488" s="770"/>
      <c r="HA488" s="770"/>
      <c r="HB488" s="770"/>
      <c r="HC488" s="770"/>
      <c r="HD488" s="770"/>
      <c r="HE488" s="770"/>
      <c r="HF488" s="770"/>
      <c r="HG488" s="770"/>
      <c r="HH488" s="770"/>
      <c r="HI488" s="770"/>
      <c r="HJ488" s="770"/>
      <c r="HK488" s="770"/>
      <c r="HL488" s="770"/>
      <c r="HM488" s="770"/>
      <c r="HN488" s="770"/>
      <c r="HO488" s="770"/>
      <c r="HP488" s="770"/>
      <c r="HQ488" s="770"/>
      <c r="HR488" s="770"/>
      <c r="HS488" s="770"/>
      <c r="HT488" s="770"/>
      <c r="HU488" s="770"/>
      <c r="HV488" s="770"/>
      <c r="HW488" s="770"/>
      <c r="HX488" s="770"/>
      <c r="HY488" s="770"/>
      <c r="HZ488" s="770"/>
      <c r="IA488" s="770"/>
      <c r="IB488" s="770" t="s">
        <v>1207</v>
      </c>
      <c r="IC488" s="770" t="s">
        <v>1207</v>
      </c>
      <c r="ID488" s="12"/>
      <c r="IE488" s="770"/>
      <c r="IF488" s="770"/>
      <c r="IG488" s="770"/>
      <c r="IH488" s="770"/>
      <c r="II488" s="770"/>
      <c r="IJ488" s="770"/>
      <c r="IK488" s="770"/>
      <c r="IL488" s="770"/>
      <c r="IM488" s="770"/>
      <c r="IN488" s="770"/>
      <c r="IO488" s="296"/>
      <c r="IP488" s="770"/>
      <c r="IQ488" s="766"/>
      <c r="IR488" s="770"/>
      <c r="IS488" s="770"/>
      <c r="IT488" s="770"/>
      <c r="IU488" s="770"/>
      <c r="IV488" s="770"/>
      <c r="IW488" s="770"/>
      <c r="IX488" s="770"/>
      <c r="IY488" s="770"/>
      <c r="IZ488" s="770"/>
      <c r="JA488" s="770"/>
      <c r="JB488" s="770"/>
      <c r="JC488" s="770"/>
      <c r="JD488" s="302"/>
      <c r="JE488" s="770"/>
      <c r="JF488" s="770"/>
      <c r="JG488" s="770"/>
      <c r="JH488" s="307"/>
      <c r="JI488" s="307"/>
      <c r="JJ488" s="770"/>
      <c r="JK488" s="770"/>
      <c r="JL488" s="770"/>
      <c r="JM488" s="770"/>
      <c r="JN488" s="770"/>
      <c r="JO488" s="770"/>
      <c r="JP488" s="770"/>
      <c r="JQ488" s="770"/>
      <c r="JR488" s="770"/>
      <c r="JS488" s="770"/>
      <c r="JT488" s="766"/>
      <c r="JU488" s="766"/>
      <c r="JV488" s="766"/>
      <c r="JW488" s="766"/>
      <c r="JX488" s="770"/>
      <c r="JY488" s="770"/>
      <c r="JZ488" s="770"/>
      <c r="KA488" s="770"/>
      <c r="KB488" s="770"/>
      <c r="KC488" s="770"/>
      <c r="KD488" s="770"/>
      <c r="KE488" s="770"/>
      <c r="KF488" s="770"/>
      <c r="KG488" s="770"/>
      <c r="KH488" s="770"/>
      <c r="KI488" s="770"/>
      <c r="KJ488" s="770"/>
      <c r="KK488" s="770"/>
      <c r="KL488" s="770"/>
      <c r="KM488" s="770"/>
      <c r="KN488" s="770"/>
      <c r="KO488" s="770"/>
      <c r="KP488" s="770"/>
      <c r="KQ488" s="770"/>
      <c r="KR488" s="770"/>
      <c r="KS488" s="770"/>
      <c r="KT488" s="770"/>
      <c r="KU488" s="770"/>
      <c r="KV488" s="770"/>
      <c r="KW488" s="770"/>
      <c r="KX488" s="770"/>
      <c r="KY488" s="770"/>
      <c r="KZ488" s="770"/>
      <c r="LA488" s="770"/>
      <c r="LB488" s="770"/>
      <c r="LC488" s="770"/>
      <c r="LD488" s="770"/>
      <c r="LE488" s="770"/>
      <c r="LF488" s="770"/>
      <c r="LG488" s="770"/>
      <c r="LH488" s="770"/>
      <c r="LI488" s="770"/>
      <c r="LJ488" s="770"/>
      <c r="LK488" s="770"/>
      <c r="LL488" s="770"/>
      <c r="LM488" s="770"/>
      <c r="LN488" s="766"/>
      <c r="LO488" s="766"/>
      <c r="LP488" s="770"/>
      <c r="LQ488" s="770"/>
      <c r="LR488" s="770"/>
      <c r="LS488" s="770"/>
      <c r="LT488" s="770"/>
      <c r="LU488" s="770"/>
      <c r="LV488" s="770"/>
      <c r="LW488" s="770"/>
      <c r="LX488" s="769"/>
      <c r="LY488" s="766" t="str">
        <f t="shared" si="119"/>
        <v/>
      </c>
      <c r="LZ488" s="1709"/>
      <c r="MA488" s="1709"/>
      <c r="MB488" s="1709"/>
      <c r="MC488" s="1679">
        <f t="shared" si="133"/>
        <v>0</v>
      </c>
      <c r="MD488" s="1709"/>
      <c r="ME488" s="1709"/>
      <c r="MF488" s="1709"/>
      <c r="MG488" s="1680">
        <f t="shared" si="121"/>
        <v>0</v>
      </c>
      <c r="MH488" s="770"/>
      <c r="MI488" s="302"/>
      <c r="MJ488" s="302"/>
      <c r="MK488" s="302"/>
      <c r="ML488" s="302"/>
      <c r="MM488" s="302"/>
      <c r="MN488" s="12"/>
      <c r="MO488" s="302"/>
      <c r="MP488" s="302"/>
      <c r="MQ488" s="302"/>
      <c r="MR488" s="302"/>
      <c r="MS488" s="302"/>
      <c r="MT488" s="302"/>
      <c r="MU488" s="302"/>
      <c r="MV488" s="302"/>
      <c r="MW488" s="302"/>
      <c r="MX488" s="302"/>
      <c r="MY488" s="1682">
        <f t="shared" si="122"/>
        <v>0</v>
      </c>
      <c r="MZ488" s="770"/>
      <c r="NA488" s="770"/>
      <c r="NB488" s="770"/>
      <c r="NC488" s="770"/>
      <c r="ND488" s="770"/>
      <c r="NE488" s="770"/>
      <c r="NF488" s="770"/>
      <c r="NG488" s="770"/>
      <c r="NH488" s="770"/>
      <c r="NI488" s="770"/>
      <c r="NJ488" s="770"/>
      <c r="NK488" s="770"/>
      <c r="NL488" s="770"/>
      <c r="NM488" s="770"/>
      <c r="NN488" s="770"/>
      <c r="NO488" s="770"/>
      <c r="NP488" s="770"/>
      <c r="NQ488" s="770"/>
      <c r="NR488" s="770"/>
      <c r="NS488" s="770"/>
      <c r="NT488" s="770"/>
      <c r="NU488" s="770"/>
      <c r="NV488" s="770"/>
      <c r="NW488" s="770"/>
      <c r="NX488" s="770"/>
      <c r="NY488" s="770"/>
      <c r="NZ488" s="770"/>
      <c r="OA488" s="770"/>
      <c r="OB488" s="770"/>
      <c r="OC488" s="770"/>
      <c r="OD488" s="770"/>
      <c r="OE488" s="770"/>
      <c r="OF488" s="770"/>
      <c r="OG488" s="770"/>
      <c r="OH488" s="770"/>
      <c r="OI488" s="770"/>
      <c r="OJ488" s="770"/>
      <c r="OK488" s="770"/>
      <c r="OL488" s="766"/>
      <c r="OM488" s="766"/>
      <c r="ON488" s="766"/>
      <c r="OO488" s="766"/>
      <c r="OP488" s="766"/>
      <c r="OQ488" s="766"/>
      <c r="OR488" s="766"/>
      <c r="OS488" s="770"/>
      <c r="OT488" s="770"/>
      <c r="OU488" s="770"/>
      <c r="OV488" s="770"/>
      <c r="OW488" s="770"/>
      <c r="OX488" s="770"/>
      <c r="OY488" s="770"/>
      <c r="OZ488" s="770"/>
      <c r="PA488" s="770"/>
      <c r="PB488" s="770"/>
      <c r="PC488" s="770"/>
      <c r="PD488" s="770"/>
      <c r="PE488" s="770"/>
      <c r="PF488" s="770"/>
      <c r="PG488" s="770"/>
      <c r="PH488" s="770"/>
      <c r="PI488" s="770"/>
      <c r="PJ488" s="770"/>
      <c r="PK488" s="770"/>
      <c r="PL488" s="770"/>
      <c r="PM488" s="770"/>
      <c r="PN488" s="770"/>
      <c r="PO488" s="770"/>
      <c r="PP488" s="770"/>
      <c r="PQ488" s="770"/>
      <c r="PR488" s="770"/>
      <c r="PS488" s="770"/>
      <c r="PT488" s="770"/>
      <c r="PU488" s="770"/>
      <c r="PV488" s="770"/>
      <c r="PW488" s="770"/>
      <c r="PX488" s="770"/>
      <c r="PY488" s="770"/>
      <c r="PZ488" s="770"/>
      <c r="QA488" s="770"/>
      <c r="QB488" s="770"/>
      <c r="QC488" s="770"/>
      <c r="QD488" s="770"/>
      <c r="QE488" s="770"/>
      <c r="QF488" s="770"/>
      <c r="QG488" s="770"/>
      <c r="QH488" s="770"/>
      <c r="QI488" s="770"/>
      <c r="QJ488" s="770"/>
      <c r="QK488" s="770"/>
      <c r="QL488" s="770"/>
      <c r="QM488" s="770"/>
      <c r="QN488" s="770"/>
      <c r="QO488" s="770"/>
      <c r="QP488" s="770"/>
      <c r="QQ488" s="770"/>
      <c r="QR488" s="770"/>
      <c r="QS488" s="770"/>
      <c r="QT488" s="770"/>
      <c r="QU488" s="770"/>
      <c r="QV488" s="770"/>
      <c r="QW488" s="770"/>
      <c r="QX488" s="770"/>
      <c r="QY488" s="770"/>
      <c r="QZ488" s="770"/>
      <c r="RA488" s="770"/>
      <c r="RB488" s="770"/>
      <c r="RC488" s="770"/>
      <c r="RD488" s="770"/>
      <c r="RE488" s="770"/>
      <c r="RF488" s="304"/>
      <c r="RG488" s="770"/>
      <c r="RH488" s="302"/>
      <c r="RI488" s="770"/>
      <c r="RJ488" s="770" t="s">
        <v>13639</v>
      </c>
      <c r="RK488" s="770" t="s">
        <v>13552</v>
      </c>
      <c r="RL488" s="1710"/>
      <c r="RM488" s="12"/>
      <c r="RN488" s="1711"/>
      <c r="RO488" s="132" t="s">
        <v>3553</v>
      </c>
      <c r="RP488" s="11"/>
      <c r="RQ488" s="11"/>
      <c r="RR488" s="17"/>
      <c r="RS488" s="767"/>
      <c r="RT488" s="11"/>
      <c r="RU488" s="11"/>
      <c r="RV488" s="771" t="s">
        <v>7421</v>
      </c>
      <c r="RW488" s="11" t="s">
        <v>7775</v>
      </c>
      <c r="RX488" s="11" t="s">
        <v>3530</v>
      </c>
      <c r="RY488" s="11"/>
      <c r="RZ488" s="11" t="s">
        <v>2209</v>
      </c>
      <c r="SA488" s="771"/>
      <c r="SB488" s="11"/>
      <c r="SC488" s="11"/>
    </row>
    <row r="489" spans="1:497" ht="12.75" customHeight="1">
      <c r="A489" s="19" t="s">
        <v>7421</v>
      </c>
      <c r="B489" s="752" t="s">
        <v>7769</v>
      </c>
      <c r="C489" s="132" t="s">
        <v>3324</v>
      </c>
      <c r="D489" s="94" t="s">
        <v>3325</v>
      </c>
      <c r="E489" s="770" t="s">
        <v>3326</v>
      </c>
      <c r="F489" s="770" t="s">
        <v>210</v>
      </c>
      <c r="G489" s="770" t="s">
        <v>18</v>
      </c>
      <c r="H489" s="770"/>
      <c r="I489" s="295" t="s">
        <v>3327</v>
      </c>
      <c r="J489" s="94" t="s">
        <v>3328</v>
      </c>
      <c r="K489" s="766" t="s">
        <v>3329</v>
      </c>
      <c r="L489" s="766" t="s">
        <v>3330</v>
      </c>
      <c r="M489" s="770" t="s">
        <v>1238</v>
      </c>
      <c r="N489" s="770"/>
      <c r="O489" s="770" t="s">
        <v>3340</v>
      </c>
      <c r="P489" s="94" t="s">
        <v>3331</v>
      </c>
      <c r="Q489" s="1088">
        <v>22038</v>
      </c>
      <c r="R489" s="297">
        <v>57</v>
      </c>
      <c r="S489" s="770" t="s">
        <v>10</v>
      </c>
      <c r="T489" s="770"/>
      <c r="U489" s="295" t="s">
        <v>3332</v>
      </c>
      <c r="V489" s="770" t="s">
        <v>707</v>
      </c>
      <c r="W489" s="770"/>
      <c r="X489" s="770"/>
      <c r="Y489" s="770" t="s">
        <v>3326</v>
      </c>
      <c r="Z489" s="770" t="s">
        <v>708</v>
      </c>
      <c r="AA489" s="770" t="s">
        <v>709</v>
      </c>
      <c r="AB489" s="770" t="s">
        <v>710</v>
      </c>
      <c r="AC489" s="770"/>
      <c r="AD489" s="770" t="s">
        <v>711</v>
      </c>
      <c r="AE489" s="770"/>
      <c r="AF489" s="770" t="s">
        <v>798</v>
      </c>
      <c r="AG489" s="766" t="s">
        <v>1132</v>
      </c>
      <c r="AH489" s="766" t="s">
        <v>1096</v>
      </c>
      <c r="AI489" s="770"/>
      <c r="AJ489" s="770"/>
      <c r="AK489" s="770" t="s">
        <v>1101</v>
      </c>
      <c r="AL489" s="1778">
        <v>20.16</v>
      </c>
      <c r="AM489" s="1779">
        <v>2.94</v>
      </c>
      <c r="AN489" s="532">
        <f t="shared" si="130"/>
        <v>0.14583333333333334</v>
      </c>
      <c r="AO489" s="766" t="s">
        <v>1109</v>
      </c>
      <c r="AP489" s="766"/>
      <c r="AQ489" s="766"/>
      <c r="AR489" s="766"/>
      <c r="AS489" s="770"/>
      <c r="AT489" s="770"/>
      <c r="AU489" s="770"/>
      <c r="AV489" s="770"/>
      <c r="AW489" s="770"/>
      <c r="AX489" s="770"/>
      <c r="AY489" s="770"/>
      <c r="AZ489" s="770"/>
      <c r="BA489" s="770"/>
      <c r="BB489" s="770"/>
      <c r="BC489" s="770"/>
      <c r="BD489" s="770"/>
      <c r="BE489" s="770"/>
      <c r="BF489" s="302"/>
      <c r="BG489" s="302"/>
      <c r="BH489" s="770"/>
      <c r="BI489" s="770"/>
      <c r="BJ489" s="770"/>
      <c r="BK489" s="770" t="s">
        <v>1095</v>
      </c>
      <c r="BL489" s="770" t="s">
        <v>3333</v>
      </c>
      <c r="BM489" s="766" t="s">
        <v>1096</v>
      </c>
      <c r="BN489" s="770" t="s">
        <v>1230</v>
      </c>
      <c r="BO489" s="770" t="s">
        <v>1275</v>
      </c>
      <c r="BP489" s="1109">
        <v>60.48</v>
      </c>
      <c r="BQ489" s="773">
        <v>8.82</v>
      </c>
      <c r="BR489" s="774">
        <f t="shared" si="131"/>
        <v>0.14583333333333334</v>
      </c>
      <c r="BS489" s="766" t="s">
        <v>1242</v>
      </c>
      <c r="BT489" s="766" t="s">
        <v>8133</v>
      </c>
      <c r="BU489" s="770" t="s">
        <v>1249</v>
      </c>
      <c r="BV489" s="770" t="s">
        <v>1247</v>
      </c>
      <c r="BW489" s="770">
        <v>2011</v>
      </c>
      <c r="BX489" s="302"/>
      <c r="BY489" s="770"/>
      <c r="BZ489" s="302"/>
      <c r="CA489" s="770"/>
      <c r="CB489" s="770"/>
      <c r="CC489" s="770"/>
      <c r="CD489" s="770"/>
      <c r="CE489" s="770"/>
      <c r="CF489" s="1753"/>
      <c r="CG489" s="1754"/>
      <c r="CH489" s="770"/>
      <c r="CI489" s="770"/>
      <c r="CJ489" s="770"/>
      <c r="CK489" s="770"/>
      <c r="CL489" s="770"/>
      <c r="CM489" s="770"/>
      <c r="CN489" s="770"/>
      <c r="CO489" s="770"/>
      <c r="CP489" s="770"/>
      <c r="CQ489" s="770"/>
      <c r="CR489" s="302"/>
      <c r="CS489" s="770"/>
      <c r="CT489" s="770"/>
      <c r="CU489" s="305"/>
      <c r="CV489" s="770"/>
      <c r="CW489" s="770"/>
      <c r="CX489" s="770"/>
      <c r="CY489" s="770"/>
      <c r="CZ489" s="770"/>
      <c r="DA489" s="306"/>
      <c r="DB489" s="770"/>
      <c r="DC489" s="770"/>
      <c r="DD489" s="770"/>
      <c r="DE489" s="300"/>
      <c r="DF489" s="770"/>
      <c r="DG489" s="770"/>
      <c r="DH489" s="770"/>
      <c r="DI489" s="770"/>
      <c r="DJ489" s="770"/>
      <c r="DK489" s="770"/>
      <c r="DL489" s="770"/>
      <c r="DM489" s="770"/>
      <c r="DN489" s="322"/>
      <c r="DO489" s="770"/>
      <c r="DP489" s="770"/>
      <c r="DQ489" s="770"/>
      <c r="DR489" s="770"/>
      <c r="DS489" s="307"/>
      <c r="DT489" s="770"/>
      <c r="DU489" s="770"/>
      <c r="DV489" s="770"/>
      <c r="DW489" s="306"/>
      <c r="DX489" s="306"/>
      <c r="DY489" s="770"/>
      <c r="DZ489" s="770"/>
      <c r="EA489" s="770"/>
      <c r="EB489" s="770"/>
      <c r="EC489" s="770"/>
      <c r="ED489" s="770"/>
      <c r="EE489" s="770"/>
      <c r="EF489" s="770"/>
      <c r="EG489" s="770"/>
      <c r="EH489" s="770"/>
      <c r="EI489" s="770"/>
      <c r="EJ489" s="770"/>
      <c r="EK489" s="770"/>
      <c r="EL489" s="770"/>
      <c r="EM489" s="770"/>
      <c r="EN489" s="770"/>
      <c r="EO489" s="770"/>
      <c r="EP489" s="94"/>
      <c r="EQ489" s="770"/>
      <c r="ER489" s="770"/>
      <c r="ES489" s="770"/>
      <c r="ET489" s="770"/>
      <c r="EU489" s="770"/>
      <c r="EV489" s="770"/>
      <c r="EW489" s="770"/>
      <c r="EX489" s="770"/>
      <c r="EY489" s="770"/>
      <c r="EZ489" s="770"/>
      <c r="FA489" s="770"/>
      <c r="FB489" s="770"/>
      <c r="FC489" s="770"/>
      <c r="FD489" s="302"/>
      <c r="FE489" s="770"/>
      <c r="FF489" s="770"/>
      <c r="FG489" s="770"/>
      <c r="FH489" s="770" t="s">
        <v>478</v>
      </c>
      <c r="FI489" s="770">
        <v>1</v>
      </c>
      <c r="FJ489" s="770"/>
      <c r="FK489" s="770"/>
      <c r="FL489" s="770"/>
      <c r="FM489" s="302"/>
      <c r="FN489" s="302"/>
      <c r="FO489" s="302"/>
      <c r="FP489" s="766" t="s">
        <v>1600</v>
      </c>
      <c r="FQ489" s="766" t="s">
        <v>1642</v>
      </c>
      <c r="FR489" s="770" t="s">
        <v>1214</v>
      </c>
      <c r="FS489" s="770"/>
      <c r="FT489" s="770"/>
      <c r="FU489" s="770"/>
      <c r="FV489" s="770"/>
      <c r="FW489" s="770"/>
      <c r="FX489" s="770"/>
      <c r="FY489" s="770"/>
      <c r="FZ489" s="770"/>
      <c r="GA489" s="770"/>
      <c r="GB489" s="770"/>
      <c r="GC489" s="308"/>
      <c r="GD489" s="297"/>
      <c r="GE489" s="770" t="s">
        <v>1214</v>
      </c>
      <c r="GF489" s="302"/>
      <c r="GG489" s="302"/>
      <c r="GH489" s="770" t="s">
        <v>1791</v>
      </c>
      <c r="GI489" s="770" t="s">
        <v>1008</v>
      </c>
      <c r="GJ489" s="770"/>
      <c r="GK489" s="770" t="s">
        <v>3334</v>
      </c>
      <c r="GL489" s="770"/>
      <c r="GM489" s="770"/>
      <c r="GN489" s="299"/>
      <c r="GO489" s="770"/>
      <c r="GP489" s="770" t="s">
        <v>1208</v>
      </c>
      <c r="GQ489" s="770" t="s">
        <v>1208</v>
      </c>
      <c r="GR489" s="770" t="s">
        <v>1208</v>
      </c>
      <c r="GS489" s="770" t="s">
        <v>1208</v>
      </c>
      <c r="GT489" s="770" t="s">
        <v>1208</v>
      </c>
      <c r="GU489" s="770"/>
      <c r="GV489" s="770"/>
      <c r="GW489" s="770"/>
      <c r="GX489" s="770"/>
      <c r="GY489" s="770"/>
      <c r="GZ489" s="770"/>
      <c r="HA489" s="770"/>
      <c r="HB489" s="770"/>
      <c r="HC489" s="770"/>
      <c r="HD489" s="770"/>
      <c r="HE489" s="770"/>
      <c r="HF489" s="770"/>
      <c r="HG489" s="770"/>
      <c r="HH489" s="770"/>
      <c r="HI489" s="770"/>
      <c r="HJ489" s="770"/>
      <c r="HK489" s="770"/>
      <c r="HL489" s="770"/>
      <c r="HM489" s="770"/>
      <c r="HN489" s="770"/>
      <c r="HO489" s="770"/>
      <c r="HP489" s="770"/>
      <c r="HQ489" s="770"/>
      <c r="HR489" s="770"/>
      <c r="HS489" s="770"/>
      <c r="HT489" s="770"/>
      <c r="HU489" s="770"/>
      <c r="HV489" s="770"/>
      <c r="HW489" s="770"/>
      <c r="HX489" s="770"/>
      <c r="HY489" s="770"/>
      <c r="HZ489" s="770"/>
      <c r="IA489" s="770"/>
      <c r="IB489" s="14" t="e">
        <f>IF(#REF!&gt;0,IF(#REF!&lt;=10000,"Y",""),"")</f>
        <v>#REF!</v>
      </c>
      <c r="IC489" s="770"/>
      <c r="ID489" s="770"/>
      <c r="IE489" s="770"/>
      <c r="IF489" s="770"/>
      <c r="IG489" s="770"/>
      <c r="IH489" s="770"/>
      <c r="II489" s="770"/>
      <c r="IJ489" s="770"/>
      <c r="IK489" s="770"/>
      <c r="IL489" s="770"/>
      <c r="IM489" s="770"/>
      <c r="IN489" s="770"/>
      <c r="IO489" s="296"/>
      <c r="IP489" s="770"/>
      <c r="IQ489" s="770"/>
      <c r="IR489" s="770"/>
      <c r="IS489" s="770"/>
      <c r="IT489" s="770"/>
      <c r="IU489" s="770"/>
      <c r="IV489" s="770"/>
      <c r="IW489" s="770"/>
      <c r="IX489" s="770"/>
      <c r="IY489" s="770"/>
      <c r="IZ489" s="770"/>
      <c r="JA489" s="770"/>
      <c r="JB489" s="770"/>
      <c r="JC489" s="770"/>
      <c r="JD489" s="302"/>
      <c r="JE489" s="770"/>
      <c r="JF489" s="770"/>
      <c r="JG489" s="770"/>
      <c r="JH489" s="307"/>
      <c r="JI489" s="307"/>
      <c r="JJ489" s="770">
        <v>15</v>
      </c>
      <c r="JK489" s="1139" t="s">
        <v>3335</v>
      </c>
      <c r="JL489" s="770">
        <v>1</v>
      </c>
      <c r="JM489" s="770">
        <v>3</v>
      </c>
      <c r="JN489" s="770">
        <v>5</v>
      </c>
      <c r="JO489" s="770">
        <v>6</v>
      </c>
      <c r="JP489" s="770"/>
      <c r="JQ489" s="770"/>
      <c r="JR489" s="770"/>
      <c r="JS489" s="770"/>
      <c r="JT489" s="766">
        <f>SUM(JP489,JN489,JL489,JR489)</f>
        <v>6</v>
      </c>
      <c r="JU489" s="766">
        <f>SUM(JQ489,JO489,JM489,JS489)</f>
        <v>9</v>
      </c>
      <c r="JV489" s="712" t="str">
        <f>IF(JT489=KJ489,"ok","male")</f>
        <v>ok</v>
      </c>
      <c r="JW489" s="712" t="str">
        <f>IF(JU489=KK489,"ok","female")</f>
        <v>ok</v>
      </c>
      <c r="JX489" s="770">
        <v>1</v>
      </c>
      <c r="JY489" s="770">
        <v>3</v>
      </c>
      <c r="JZ489" s="770"/>
      <c r="KA489" s="770"/>
      <c r="KB489" s="770">
        <v>3</v>
      </c>
      <c r="KC489" s="770">
        <v>5</v>
      </c>
      <c r="KD489" s="770">
        <v>2</v>
      </c>
      <c r="KE489" s="770">
        <v>1</v>
      </c>
      <c r="KF489" s="770"/>
      <c r="KG489" s="770"/>
      <c r="KH489" s="770"/>
      <c r="KI489" s="770"/>
      <c r="KJ489" s="770">
        <f t="shared" si="126"/>
        <v>6</v>
      </c>
      <c r="KK489" s="770">
        <f t="shared" si="126"/>
        <v>9</v>
      </c>
      <c r="KL489" s="712" t="str">
        <f>IF(KJ489=LN489,"ok","male")</f>
        <v>ok</v>
      </c>
      <c r="KM489" s="712" t="str">
        <f>IF(KK489=LO489,"ok","female")</f>
        <v>ok</v>
      </c>
      <c r="KN489" s="770" t="s">
        <v>707</v>
      </c>
      <c r="KO489" s="770"/>
      <c r="KP489" s="770"/>
      <c r="KQ489" s="770"/>
      <c r="KR489" s="770"/>
      <c r="KS489" s="770">
        <v>1</v>
      </c>
      <c r="KT489" s="770">
        <v>1</v>
      </c>
      <c r="KU489" s="770"/>
      <c r="KV489" s="770"/>
      <c r="KW489" s="770"/>
      <c r="KX489" s="770"/>
      <c r="KY489" s="770">
        <v>1</v>
      </c>
      <c r="KZ489" s="770">
        <v>1</v>
      </c>
      <c r="LA489" s="770"/>
      <c r="LB489" s="770">
        <v>1</v>
      </c>
      <c r="LC489" s="770">
        <v>2</v>
      </c>
      <c r="LD489" s="770">
        <v>2</v>
      </c>
      <c r="LE489" s="770">
        <v>3</v>
      </c>
      <c r="LF489" s="770"/>
      <c r="LG489" s="770"/>
      <c r="LH489" s="770"/>
      <c r="LI489" s="770"/>
      <c r="LJ489" s="770">
        <v>1</v>
      </c>
      <c r="LK489" s="770">
        <v>2</v>
      </c>
      <c r="LL489" s="770"/>
      <c r="LM489" s="770"/>
      <c r="LN489" s="766">
        <f t="shared" si="134"/>
        <v>6</v>
      </c>
      <c r="LO489" s="766">
        <f t="shared" si="134"/>
        <v>9</v>
      </c>
      <c r="LP489" s="770">
        <v>7</v>
      </c>
      <c r="LQ489" s="770">
        <v>7</v>
      </c>
      <c r="LR489" s="770"/>
      <c r="LS489" s="770"/>
      <c r="LT489" s="712" t="str">
        <f>IF(LQ489=SUM(LU489:LW489),"OK","REV")</f>
        <v>OK</v>
      </c>
      <c r="LU489" s="770">
        <v>3</v>
      </c>
      <c r="LV489" s="770">
        <v>3</v>
      </c>
      <c r="LW489" s="770">
        <v>1</v>
      </c>
      <c r="LX489" s="769">
        <v>3</v>
      </c>
      <c r="LY489" s="766" t="str">
        <f t="shared" si="119"/>
        <v>within the PROVINCE</v>
      </c>
      <c r="LZ489" s="1709">
        <f>SUM(6*4500,450)</f>
        <v>27450</v>
      </c>
      <c r="MA489" s="1709"/>
      <c r="MB489" s="1709"/>
      <c r="MC489" s="1679">
        <f t="shared" si="133"/>
        <v>27450</v>
      </c>
      <c r="MD489" s="1709">
        <f>SUM(3*15000,2*1100,10000,7400)</f>
        <v>64600</v>
      </c>
      <c r="ME489" s="1709"/>
      <c r="MF489" s="1709"/>
      <c r="MG489" s="1680">
        <f>SUM(MD489:MF489)</f>
        <v>64600</v>
      </c>
      <c r="MH489" s="770" t="s">
        <v>3336</v>
      </c>
      <c r="MI489" s="302">
        <v>20000</v>
      </c>
      <c r="MJ489" s="302">
        <v>20000</v>
      </c>
      <c r="MK489" s="302">
        <v>20000</v>
      </c>
      <c r="ML489" s="302">
        <v>30000</v>
      </c>
      <c r="MM489" s="302">
        <v>4166</v>
      </c>
      <c r="MN489" s="302"/>
      <c r="MO489" s="302">
        <v>5000</v>
      </c>
      <c r="MP489" s="302">
        <v>2700</v>
      </c>
      <c r="MQ489" s="302">
        <v>2000</v>
      </c>
      <c r="MR489" s="302">
        <v>2000</v>
      </c>
      <c r="MS489" s="302">
        <v>10000</v>
      </c>
      <c r="MT489" s="302"/>
      <c r="MU489" s="302"/>
      <c r="MV489" s="302"/>
      <c r="MW489" s="302"/>
      <c r="MX489" s="302"/>
      <c r="MY489" s="1682">
        <f t="shared" si="122"/>
        <v>115866</v>
      </c>
      <c r="MZ489" s="770" t="s">
        <v>13370</v>
      </c>
      <c r="NA489" s="13"/>
      <c r="NB489" s="13"/>
      <c r="NC489" s="13"/>
      <c r="ND489" s="770">
        <v>0</v>
      </c>
      <c r="NE489" s="770">
        <v>0</v>
      </c>
      <c r="NF489" s="770">
        <v>1</v>
      </c>
      <c r="NG489" s="770">
        <v>1</v>
      </c>
      <c r="NH489" s="770">
        <v>1</v>
      </c>
      <c r="NI489" s="770">
        <v>1</v>
      </c>
      <c r="NJ489" s="770">
        <v>1</v>
      </c>
      <c r="NK489" s="770">
        <v>0</v>
      </c>
      <c r="NL489" s="770">
        <v>1</v>
      </c>
      <c r="NM489" s="770">
        <v>1</v>
      </c>
      <c r="NN489" s="770">
        <v>0</v>
      </c>
      <c r="NO489" s="770">
        <v>0</v>
      </c>
      <c r="NP489" s="770">
        <v>0</v>
      </c>
      <c r="NQ489" s="770">
        <v>0</v>
      </c>
      <c r="NR489" s="770">
        <v>0</v>
      </c>
      <c r="NS489" s="770">
        <v>0</v>
      </c>
      <c r="NT489" s="770">
        <v>0</v>
      </c>
      <c r="NU489" s="770">
        <v>0</v>
      </c>
      <c r="NV489" s="770">
        <v>0</v>
      </c>
      <c r="NW489" s="770">
        <v>0</v>
      </c>
      <c r="NX489" s="770">
        <v>0</v>
      </c>
      <c r="NY489" s="770" t="s">
        <v>1208</v>
      </c>
      <c r="NZ489" s="770" t="s">
        <v>1208</v>
      </c>
      <c r="OA489" s="770" t="s">
        <v>1208</v>
      </c>
      <c r="OB489" s="770"/>
      <c r="OC489" s="770" t="s">
        <v>1208</v>
      </c>
      <c r="OD489" s="770"/>
      <c r="OE489" s="770"/>
      <c r="OF489" s="770"/>
      <c r="OG489" s="770"/>
      <c r="OH489" s="770"/>
      <c r="OI489" s="770"/>
      <c r="OJ489" s="770"/>
      <c r="OK489" s="770"/>
      <c r="OL489" s="770"/>
      <c r="OM489" s="770"/>
      <c r="ON489" s="770"/>
      <c r="OO489" s="770"/>
      <c r="OP489" s="770"/>
      <c r="OQ489" s="770"/>
      <c r="OR489" s="770"/>
      <c r="OS489" s="770"/>
      <c r="OT489" s="770"/>
      <c r="OU489" s="770"/>
      <c r="OV489" s="770"/>
      <c r="OW489" s="770"/>
      <c r="OX489" s="770"/>
      <c r="OY489" s="770"/>
      <c r="OZ489" s="770"/>
      <c r="PA489" s="770"/>
      <c r="PB489" s="770"/>
      <c r="PC489" s="770"/>
      <c r="PD489" s="770"/>
      <c r="PE489" s="770"/>
      <c r="PF489" s="770"/>
      <c r="PG489" s="770" t="s">
        <v>1208</v>
      </c>
      <c r="PH489" s="770" t="s">
        <v>1208</v>
      </c>
      <c r="PI489" s="770"/>
      <c r="PJ489" s="770" t="s">
        <v>1208</v>
      </c>
      <c r="PK489" s="770" t="s">
        <v>1208</v>
      </c>
      <c r="PL489" s="770"/>
      <c r="PM489" s="770"/>
      <c r="PN489" s="770"/>
      <c r="PO489" s="770"/>
      <c r="PP489" s="770"/>
      <c r="PQ489" s="770"/>
      <c r="PR489" s="770"/>
      <c r="PS489" s="770" t="s">
        <v>1208</v>
      </c>
      <c r="PT489" s="770" t="s">
        <v>1208</v>
      </c>
      <c r="PU489" s="770"/>
      <c r="PV489" s="770"/>
      <c r="PW489" s="770"/>
      <c r="PX489" s="770"/>
      <c r="PY489" s="770"/>
      <c r="PZ489" s="770"/>
      <c r="QA489" s="770"/>
      <c r="QB489" s="770"/>
      <c r="QC489" s="770"/>
      <c r="QD489" s="770"/>
      <c r="QE489" s="770"/>
      <c r="QF489" s="770"/>
      <c r="QG489" s="770"/>
      <c r="QH489" s="770"/>
      <c r="QI489" s="770"/>
      <c r="QJ489" s="770"/>
      <c r="QK489" s="770"/>
      <c r="QL489" s="770"/>
      <c r="QM489" s="770"/>
      <c r="QN489" s="770"/>
      <c r="QO489" s="770"/>
      <c r="QP489" s="770"/>
      <c r="QQ489" s="770"/>
      <c r="QR489" s="770"/>
      <c r="QS489" s="770"/>
      <c r="QT489" s="770"/>
      <c r="QU489" s="770"/>
      <c r="QV489" s="770"/>
      <c r="QW489" s="770"/>
      <c r="QX489" s="770"/>
      <c r="QY489" s="770"/>
      <c r="QZ489" s="770"/>
      <c r="RA489" s="770"/>
      <c r="RB489" s="770" t="s">
        <v>1207</v>
      </c>
      <c r="RC489" s="770">
        <v>2014</v>
      </c>
      <c r="RD489" s="770" t="s">
        <v>13046</v>
      </c>
      <c r="RE489" s="770"/>
      <c r="RF489" s="304">
        <v>0.5</v>
      </c>
      <c r="RG489" s="770" t="s">
        <v>13047</v>
      </c>
      <c r="RH489" s="302">
        <v>2000</v>
      </c>
      <c r="RI489" s="770">
        <v>24</v>
      </c>
      <c r="RJ489" s="770" t="s">
        <v>13640</v>
      </c>
      <c r="RK489" s="770" t="s">
        <v>13552</v>
      </c>
      <c r="RL489" s="1710"/>
      <c r="RM489" s="12"/>
      <c r="RN489" s="1711"/>
      <c r="RO489" s="132" t="s">
        <v>3324</v>
      </c>
      <c r="RP489" s="11"/>
      <c r="RQ489" s="11"/>
      <c r="RR489" s="19" t="s">
        <v>7421</v>
      </c>
      <c r="RS489" s="1139" t="s">
        <v>12980</v>
      </c>
      <c r="RT489" s="11"/>
      <c r="RU489" s="11"/>
      <c r="RV489" s="771" t="s">
        <v>7421</v>
      </c>
      <c r="RW489" s="11" t="s">
        <v>7776</v>
      </c>
      <c r="RX489" s="11" t="s">
        <v>3544</v>
      </c>
      <c r="RY489" s="11"/>
      <c r="RZ489" s="11" t="s">
        <v>1101</v>
      </c>
      <c r="SA489" s="771"/>
      <c r="SB489" s="11"/>
      <c r="SC489" s="11"/>
    </row>
    <row r="490" spans="1:497" ht="12.75" hidden="1" customHeight="1">
      <c r="A490" s="19" t="s">
        <v>7419</v>
      </c>
      <c r="B490" s="752" t="s">
        <v>7778</v>
      </c>
      <c r="C490" s="133" t="s">
        <v>3338</v>
      </c>
      <c r="D490" s="94" t="s">
        <v>3339</v>
      </c>
      <c r="E490" s="770" t="s">
        <v>3326</v>
      </c>
      <c r="F490" s="770" t="s">
        <v>28</v>
      </c>
      <c r="G490" s="770" t="s">
        <v>10</v>
      </c>
      <c r="H490" s="770"/>
      <c r="I490" s="295"/>
      <c r="J490" s="94" t="str">
        <f ca="1">IF(F490="Head",CELL("contents",D490))</f>
        <v>Velasco, Noel Capalad</v>
      </c>
      <c r="K490" s="766" t="s">
        <v>3329</v>
      </c>
      <c r="L490" s="766" t="s">
        <v>3341</v>
      </c>
      <c r="M490" s="770" t="s">
        <v>1238</v>
      </c>
      <c r="N490" s="770"/>
      <c r="O490" s="770" t="s">
        <v>2922</v>
      </c>
      <c r="P490" s="770" t="s">
        <v>7871</v>
      </c>
      <c r="Q490" s="1088"/>
      <c r="R490" s="297"/>
      <c r="S490" s="770" t="s">
        <v>10</v>
      </c>
      <c r="T490" s="770"/>
      <c r="U490" s="295"/>
      <c r="V490" s="770"/>
      <c r="W490" s="770"/>
      <c r="X490" s="770"/>
      <c r="Y490" s="770"/>
      <c r="Z490" s="770"/>
      <c r="AA490" s="770"/>
      <c r="AB490" s="770"/>
      <c r="AC490" s="770"/>
      <c r="AD490" s="770"/>
      <c r="AE490" s="770"/>
      <c r="AF490" s="770"/>
      <c r="AG490" s="766" t="s">
        <v>1095</v>
      </c>
      <c r="AH490" s="766" t="s">
        <v>1096</v>
      </c>
      <c r="AI490" s="770" t="s">
        <v>3342</v>
      </c>
      <c r="AJ490" s="770"/>
      <c r="AK490" s="770" t="s">
        <v>1097</v>
      </c>
      <c r="AL490" s="120">
        <v>15.47</v>
      </c>
      <c r="AM490" s="773">
        <v>6.5</v>
      </c>
      <c r="AN490" s="532">
        <f t="shared" si="130"/>
        <v>0.42016806722689076</v>
      </c>
      <c r="AO490" s="766" t="s">
        <v>1149</v>
      </c>
      <c r="AP490" s="766" t="s">
        <v>11906</v>
      </c>
      <c r="AQ490" s="766"/>
      <c r="AR490" s="766"/>
      <c r="AS490" s="770" t="s">
        <v>1207</v>
      </c>
      <c r="AT490" s="770" t="s">
        <v>1208</v>
      </c>
      <c r="AU490" s="770"/>
      <c r="AV490" s="770"/>
      <c r="AW490" s="770"/>
      <c r="AX490" s="13"/>
      <c r="AY490" s="770"/>
      <c r="AZ490" s="770"/>
      <c r="BA490" s="770"/>
      <c r="BB490" s="770"/>
      <c r="BC490" s="770" t="s">
        <v>853</v>
      </c>
      <c r="BD490" s="770" t="s">
        <v>1207</v>
      </c>
      <c r="BE490" s="770" t="s">
        <v>1214</v>
      </c>
      <c r="BF490" s="302"/>
      <c r="BG490" s="302"/>
      <c r="BH490" s="770"/>
      <c r="BI490" s="770"/>
      <c r="BJ490" s="770"/>
      <c r="BK490" s="770"/>
      <c r="BL490" s="770"/>
      <c r="BM490" s="770"/>
      <c r="BN490" s="770"/>
      <c r="BO490" s="770"/>
      <c r="BP490" s="765"/>
      <c r="BQ490" s="773"/>
      <c r="BR490" s="774"/>
      <c r="BS490" s="766"/>
      <c r="BT490" s="770"/>
      <c r="BU490" s="770"/>
      <c r="BV490" s="770"/>
      <c r="BW490" s="770"/>
      <c r="BX490" s="302"/>
      <c r="BY490" s="770"/>
      <c r="BZ490" s="302"/>
      <c r="CA490" s="770"/>
      <c r="CB490" s="770" t="s">
        <v>1207</v>
      </c>
      <c r="CC490" s="770"/>
      <c r="CD490" s="770"/>
      <c r="CE490" s="770"/>
      <c r="CF490" s="1753"/>
      <c r="CG490" s="1754"/>
      <c r="CH490" s="770"/>
      <c r="CI490" s="770"/>
      <c r="CJ490" s="770"/>
      <c r="CK490" s="770"/>
      <c r="CL490" s="770"/>
      <c r="CM490" s="770"/>
      <c r="CN490" s="770"/>
      <c r="CO490" s="770"/>
      <c r="CP490" s="770"/>
      <c r="CQ490" s="770"/>
      <c r="CR490" s="302"/>
      <c r="CS490" s="770"/>
      <c r="CT490" s="770"/>
      <c r="CU490" s="305"/>
      <c r="CV490" s="770"/>
      <c r="CW490" s="770"/>
      <c r="CX490" s="770"/>
      <c r="CY490" s="770"/>
      <c r="CZ490" s="770"/>
      <c r="DA490" s="306"/>
      <c r="DB490" s="770"/>
      <c r="DC490" s="770"/>
      <c r="DD490" s="770"/>
      <c r="DE490" s="300"/>
      <c r="DF490" s="770"/>
      <c r="DG490" s="770"/>
      <c r="DH490" s="770"/>
      <c r="DI490" s="770"/>
      <c r="DJ490" s="770"/>
      <c r="DK490" s="770"/>
      <c r="DL490" s="770"/>
      <c r="DM490" s="770"/>
      <c r="DN490" s="322"/>
      <c r="DO490" s="770"/>
      <c r="DP490" s="770"/>
      <c r="DQ490" s="770"/>
      <c r="DR490" s="770"/>
      <c r="DS490" s="307"/>
      <c r="DT490" s="770"/>
      <c r="DU490" s="770"/>
      <c r="DV490" s="770"/>
      <c r="DW490" s="306"/>
      <c r="DX490" s="306"/>
      <c r="DY490" s="770"/>
      <c r="DZ490" s="770"/>
      <c r="EA490" s="770"/>
      <c r="EB490" s="770"/>
      <c r="EC490" s="770"/>
      <c r="ED490" s="770"/>
      <c r="EE490" s="770"/>
      <c r="EF490" s="770"/>
      <c r="EG490" s="770"/>
      <c r="EH490" s="770"/>
      <c r="EI490" s="770"/>
      <c r="EJ490" s="770"/>
      <c r="EK490" s="770"/>
      <c r="EL490" s="770"/>
      <c r="EM490" s="770"/>
      <c r="EN490" s="770"/>
      <c r="EO490" s="770"/>
      <c r="EP490" s="94"/>
      <c r="EQ490" s="770"/>
      <c r="ER490" s="770"/>
      <c r="ES490" s="770"/>
      <c r="ET490" s="770"/>
      <c r="EU490" s="770"/>
      <c r="EV490" s="770"/>
      <c r="EW490" s="770"/>
      <c r="EX490" s="770"/>
      <c r="EY490" s="770"/>
      <c r="EZ490" s="770" t="s">
        <v>3343</v>
      </c>
      <c r="FA490" s="770" t="s">
        <v>3344</v>
      </c>
      <c r="FB490" s="770" t="s">
        <v>1149</v>
      </c>
      <c r="FC490" s="770"/>
      <c r="FD490" s="302"/>
      <c r="FE490" s="770"/>
      <c r="FF490" s="770" t="s">
        <v>3345</v>
      </c>
      <c r="FG490" s="770"/>
      <c r="FH490" s="770"/>
      <c r="FI490" s="770"/>
      <c r="FJ490" s="770"/>
      <c r="FK490" s="770"/>
      <c r="FL490" s="770"/>
      <c r="FM490" s="302"/>
      <c r="FN490" s="302"/>
      <c r="FO490" s="302"/>
      <c r="FP490" s="770"/>
      <c r="FQ490" s="770"/>
      <c r="FR490" s="770" t="s">
        <v>1214</v>
      </c>
      <c r="FS490" s="770"/>
      <c r="FT490" s="770"/>
      <c r="FU490" s="770"/>
      <c r="FV490" s="770"/>
      <c r="FW490" s="770"/>
      <c r="FX490" s="770"/>
      <c r="FY490" s="770"/>
      <c r="FZ490" s="770"/>
      <c r="GA490" s="770"/>
      <c r="GB490" s="770"/>
      <c r="GC490" s="308"/>
      <c r="GD490" s="297"/>
      <c r="GE490" s="770" t="s">
        <v>1214</v>
      </c>
      <c r="GF490" s="302"/>
      <c r="GG490" s="302"/>
      <c r="GH490" s="770"/>
      <c r="GI490" s="770"/>
      <c r="GJ490" s="770"/>
      <c r="GK490" s="770"/>
      <c r="GL490" s="770"/>
      <c r="GM490" s="770"/>
      <c r="GN490" s="299"/>
      <c r="GO490" s="770"/>
      <c r="GP490" s="770"/>
      <c r="GQ490" s="770"/>
      <c r="GR490" s="770"/>
      <c r="GS490" s="770"/>
      <c r="GT490" s="770"/>
      <c r="GU490" s="770"/>
      <c r="GV490" s="770"/>
      <c r="GW490" s="770"/>
      <c r="GX490" s="770"/>
      <c r="GY490" s="770"/>
      <c r="GZ490" s="770"/>
      <c r="HA490" s="770"/>
      <c r="HB490" s="770"/>
      <c r="HC490" s="770"/>
      <c r="HD490" s="770"/>
      <c r="HE490" s="770"/>
      <c r="HF490" s="770"/>
      <c r="HG490" s="770"/>
      <c r="HH490" s="770"/>
      <c r="HI490" s="770"/>
      <c r="HJ490" s="770"/>
      <c r="HK490" s="770"/>
      <c r="HL490" s="770"/>
      <c r="HM490" s="770"/>
      <c r="HN490" s="770"/>
      <c r="HO490" s="770"/>
      <c r="HP490" s="770"/>
      <c r="HQ490" s="770"/>
      <c r="HR490" s="770"/>
      <c r="HS490" s="770"/>
      <c r="HT490" s="770"/>
      <c r="HU490" s="770"/>
      <c r="HV490" s="770"/>
      <c r="HW490" s="770"/>
      <c r="HX490" s="770"/>
      <c r="HY490" s="770"/>
      <c r="HZ490" s="770"/>
      <c r="IA490" s="770"/>
      <c r="IB490" s="770"/>
      <c r="IC490" s="770"/>
      <c r="ID490" s="770"/>
      <c r="IE490" s="770"/>
      <c r="IF490" s="770"/>
      <c r="IG490" s="770"/>
      <c r="IH490" s="770"/>
      <c r="II490" s="770"/>
      <c r="IJ490" s="770"/>
      <c r="IK490" s="770"/>
      <c r="IL490" s="770"/>
      <c r="IM490" s="770"/>
      <c r="IN490" s="770"/>
      <c r="IO490" s="296"/>
      <c r="IP490" s="770"/>
      <c r="IQ490" s="770"/>
      <c r="IR490" s="770"/>
      <c r="IS490" s="770"/>
      <c r="IT490" s="770"/>
      <c r="IU490" s="770"/>
      <c r="IV490" s="770"/>
      <c r="IW490" s="770"/>
      <c r="IX490" s="770"/>
      <c r="IY490" s="770"/>
      <c r="IZ490" s="770"/>
      <c r="JA490" s="770"/>
      <c r="JB490" s="770"/>
      <c r="JC490" s="770"/>
      <c r="JD490" s="302"/>
      <c r="JE490" s="770"/>
      <c r="JF490" s="770"/>
      <c r="JG490" s="770"/>
      <c r="JH490" s="307"/>
      <c r="JI490" s="307"/>
      <c r="JJ490" s="770"/>
      <c r="JK490" s="770"/>
      <c r="JL490" s="770"/>
      <c r="JM490" s="770"/>
      <c r="JN490" s="770"/>
      <c r="JO490" s="770"/>
      <c r="JP490" s="770"/>
      <c r="JQ490" s="770"/>
      <c r="JR490" s="770"/>
      <c r="JS490" s="770"/>
      <c r="JT490" s="766"/>
      <c r="JU490" s="766"/>
      <c r="JV490" s="766"/>
      <c r="JW490" s="766"/>
      <c r="JX490" s="770"/>
      <c r="JY490" s="770"/>
      <c r="JZ490" s="770"/>
      <c r="KA490" s="770"/>
      <c r="KB490" s="770"/>
      <c r="KC490" s="770"/>
      <c r="KD490" s="770"/>
      <c r="KE490" s="770"/>
      <c r="KF490" s="770"/>
      <c r="KG490" s="770"/>
      <c r="KH490" s="770"/>
      <c r="KI490" s="770"/>
      <c r="KJ490" s="770"/>
      <c r="KK490" s="770"/>
      <c r="KL490" s="770"/>
      <c r="KM490" s="770"/>
      <c r="KN490" s="770"/>
      <c r="KO490" s="770"/>
      <c r="KP490" s="770"/>
      <c r="KQ490" s="770"/>
      <c r="KR490" s="770"/>
      <c r="KS490" s="770"/>
      <c r="KT490" s="770"/>
      <c r="KU490" s="770"/>
      <c r="KV490" s="770"/>
      <c r="KW490" s="770"/>
      <c r="KX490" s="770"/>
      <c r="KY490" s="770"/>
      <c r="KZ490" s="770"/>
      <c r="LA490" s="770"/>
      <c r="LB490" s="770"/>
      <c r="LC490" s="770"/>
      <c r="LD490" s="770"/>
      <c r="LE490" s="770"/>
      <c r="LF490" s="770"/>
      <c r="LG490" s="770"/>
      <c r="LH490" s="770"/>
      <c r="LI490" s="770"/>
      <c r="LJ490" s="770"/>
      <c r="LK490" s="770"/>
      <c r="LL490" s="770"/>
      <c r="LM490" s="770"/>
      <c r="LN490" s="766"/>
      <c r="LO490" s="766"/>
      <c r="LP490" s="770"/>
      <c r="LQ490" s="770"/>
      <c r="LR490" s="770"/>
      <c r="LS490" s="770"/>
      <c r="LT490" s="770"/>
      <c r="LU490" s="770"/>
      <c r="LV490" s="770"/>
      <c r="LW490" s="770"/>
      <c r="LX490" s="769"/>
      <c r="LY490" s="766" t="str">
        <f t="shared" si="119"/>
        <v/>
      </c>
      <c r="LZ490" s="1709"/>
      <c r="MA490" s="1709"/>
      <c r="MB490" s="1709"/>
      <c r="MC490" s="1679">
        <f t="shared" si="133"/>
        <v>0</v>
      </c>
      <c r="MD490" s="1709"/>
      <c r="ME490" s="1709"/>
      <c r="MF490" s="1709"/>
      <c r="MG490" s="1680">
        <f t="shared" si="121"/>
        <v>0</v>
      </c>
      <c r="MH490" s="770"/>
      <c r="MI490" s="302"/>
      <c r="MJ490" s="302"/>
      <c r="MK490" s="302"/>
      <c r="ML490" s="302"/>
      <c r="MM490" s="302"/>
      <c r="MN490" s="302"/>
      <c r="MO490" s="302"/>
      <c r="MP490" s="302"/>
      <c r="MQ490" s="302"/>
      <c r="MR490" s="302"/>
      <c r="MS490" s="302"/>
      <c r="MT490" s="302"/>
      <c r="MU490" s="302"/>
      <c r="MV490" s="302"/>
      <c r="MW490" s="302"/>
      <c r="MX490" s="302"/>
      <c r="MY490" s="1682">
        <f t="shared" si="122"/>
        <v>0</v>
      </c>
      <c r="MZ490" s="770"/>
      <c r="NA490" s="13"/>
      <c r="NB490" s="13"/>
      <c r="NC490" s="13"/>
      <c r="ND490" s="770"/>
      <c r="NE490" s="770"/>
      <c r="NF490" s="770"/>
      <c r="NG490" s="770"/>
      <c r="NH490" s="770"/>
      <c r="NI490" s="770"/>
      <c r="NJ490" s="770"/>
      <c r="NK490" s="770"/>
      <c r="NL490" s="770"/>
      <c r="NM490" s="770"/>
      <c r="NN490" s="770"/>
      <c r="NO490" s="770"/>
      <c r="NP490" s="770"/>
      <c r="NQ490" s="770"/>
      <c r="NR490" s="770"/>
      <c r="NS490" s="770"/>
      <c r="NT490" s="770"/>
      <c r="NU490" s="770"/>
      <c r="NV490" s="770"/>
      <c r="NW490" s="770"/>
      <c r="NX490" s="770"/>
      <c r="NY490" s="770"/>
      <c r="NZ490" s="770"/>
      <c r="OA490" s="770"/>
      <c r="OB490" s="770"/>
      <c r="OC490" s="770"/>
      <c r="OD490" s="770"/>
      <c r="OE490" s="770"/>
      <c r="OF490" s="770"/>
      <c r="OG490" s="770"/>
      <c r="OH490" s="770"/>
      <c r="OI490" s="770"/>
      <c r="OJ490" s="770"/>
      <c r="OK490" s="770"/>
      <c r="OL490" s="770"/>
      <c r="OM490" s="770"/>
      <c r="ON490" s="770"/>
      <c r="OO490" s="770"/>
      <c r="OP490" s="770"/>
      <c r="OQ490" s="770"/>
      <c r="OR490" s="770"/>
      <c r="OS490" s="770"/>
      <c r="OT490" s="770"/>
      <c r="OU490" s="770"/>
      <c r="OV490" s="770"/>
      <c r="OW490" s="770"/>
      <c r="OX490" s="770"/>
      <c r="OY490" s="770"/>
      <c r="OZ490" s="770"/>
      <c r="PA490" s="770"/>
      <c r="PB490" s="770"/>
      <c r="PC490" s="770"/>
      <c r="PD490" s="770"/>
      <c r="PE490" s="770"/>
      <c r="PF490" s="770"/>
      <c r="PG490" s="770"/>
      <c r="PH490" s="770"/>
      <c r="PI490" s="770"/>
      <c r="PJ490" s="770"/>
      <c r="PK490" s="770"/>
      <c r="PL490" s="770"/>
      <c r="PM490" s="770"/>
      <c r="PN490" s="770"/>
      <c r="PO490" s="770"/>
      <c r="PP490" s="770"/>
      <c r="PQ490" s="770"/>
      <c r="PR490" s="770"/>
      <c r="PS490" s="770"/>
      <c r="PT490" s="770"/>
      <c r="PU490" s="770"/>
      <c r="PV490" s="770"/>
      <c r="PW490" s="770"/>
      <c r="PX490" s="770"/>
      <c r="PY490" s="770"/>
      <c r="PZ490" s="770"/>
      <c r="QA490" s="770"/>
      <c r="QB490" s="770"/>
      <c r="QC490" s="770"/>
      <c r="QD490" s="770"/>
      <c r="QE490" s="770"/>
      <c r="QF490" s="770"/>
      <c r="QG490" s="770"/>
      <c r="QH490" s="770"/>
      <c r="QI490" s="770"/>
      <c r="QJ490" s="770"/>
      <c r="QK490" s="770"/>
      <c r="QL490" s="770"/>
      <c r="QM490" s="770"/>
      <c r="QN490" s="770"/>
      <c r="QO490" s="770"/>
      <c r="QP490" s="770"/>
      <c r="QQ490" s="770"/>
      <c r="QR490" s="770"/>
      <c r="QS490" s="770"/>
      <c r="QT490" s="770"/>
      <c r="QU490" s="770"/>
      <c r="QV490" s="770"/>
      <c r="QW490" s="770"/>
      <c r="QX490" s="770"/>
      <c r="QY490" s="770"/>
      <c r="QZ490" s="770"/>
      <c r="RA490" s="770"/>
      <c r="RB490" s="770"/>
      <c r="RC490" s="770"/>
      <c r="RD490" s="770"/>
      <c r="RE490" s="770"/>
      <c r="RF490" s="304"/>
      <c r="RG490" s="770"/>
      <c r="RH490" s="302"/>
      <c r="RI490" s="770"/>
      <c r="RJ490" s="770" t="s">
        <v>3343</v>
      </c>
      <c r="RK490" s="770" t="s">
        <v>13552</v>
      </c>
      <c r="RL490" s="1710"/>
      <c r="RM490" s="12"/>
      <c r="RN490" s="1711"/>
      <c r="RO490" s="133" t="s">
        <v>3338</v>
      </c>
      <c r="RP490" s="11"/>
      <c r="RQ490" s="11"/>
      <c r="RR490" s="17"/>
      <c r="RS490" s="767"/>
      <c r="RT490" s="11"/>
      <c r="RU490" s="11"/>
      <c r="RV490" s="771" t="s">
        <v>7419</v>
      </c>
      <c r="RW490" s="11" t="s">
        <v>7777</v>
      </c>
      <c r="RX490" s="11" t="s">
        <v>3553</v>
      </c>
      <c r="RY490" s="11"/>
      <c r="RZ490" s="11" t="s">
        <v>1101</v>
      </c>
      <c r="SA490" s="771"/>
      <c r="SB490" s="11"/>
      <c r="SC490" s="11"/>
    </row>
    <row r="491" spans="1:497" ht="12.75" hidden="1" customHeight="1">
      <c r="A491" s="19" t="s">
        <v>7419</v>
      </c>
      <c r="B491" s="753" t="s">
        <v>7694</v>
      </c>
      <c r="C491" s="133" t="s">
        <v>2906</v>
      </c>
      <c r="D491" s="14" t="s">
        <v>2905</v>
      </c>
      <c r="E491" s="766" t="s">
        <v>3487</v>
      </c>
      <c r="F491" s="770"/>
      <c r="G491" s="770"/>
      <c r="H491" s="770"/>
      <c r="I491" s="295"/>
      <c r="J491" s="94"/>
      <c r="K491" s="766" t="s">
        <v>3329</v>
      </c>
      <c r="L491" s="766" t="s">
        <v>3349</v>
      </c>
      <c r="M491" s="770" t="s">
        <v>1238</v>
      </c>
      <c r="N491" s="770"/>
      <c r="O491" s="770" t="s">
        <v>3340</v>
      </c>
      <c r="P491" s="770"/>
      <c r="Q491" s="1088"/>
      <c r="R491" s="297"/>
      <c r="S491" s="770"/>
      <c r="T491" s="770"/>
      <c r="U491" s="295"/>
      <c r="V491" s="770"/>
      <c r="W491" s="770"/>
      <c r="X491" s="770"/>
      <c r="Y491" s="770"/>
      <c r="Z491" s="770"/>
      <c r="AA491" s="770"/>
      <c r="AB491" s="770"/>
      <c r="AC491" s="770"/>
      <c r="AD491" s="770"/>
      <c r="AE491" s="770"/>
      <c r="AF491" s="770"/>
      <c r="AG491" s="766" t="s">
        <v>1095</v>
      </c>
      <c r="AH491" s="766" t="s">
        <v>1096</v>
      </c>
      <c r="AI491" s="770" t="s">
        <v>3352</v>
      </c>
      <c r="AJ491" s="770"/>
      <c r="AK491" s="770" t="s">
        <v>1097</v>
      </c>
      <c r="AL491" s="120">
        <v>40.200000000000003</v>
      </c>
      <c r="AM491" s="773">
        <v>16.456</v>
      </c>
      <c r="AN491" s="532">
        <f t="shared" si="130"/>
        <v>0.40935323383084571</v>
      </c>
      <c r="AO491" s="766" t="s">
        <v>1149</v>
      </c>
      <c r="AP491" s="769"/>
      <c r="AQ491" s="766"/>
      <c r="AR491" s="766"/>
      <c r="AS491" s="770"/>
      <c r="AT491" s="770"/>
      <c r="AU491" s="770"/>
      <c r="AV491" s="770"/>
      <c r="AW491" s="770"/>
      <c r="AX491" s="770"/>
      <c r="AY491" s="770"/>
      <c r="AZ491" s="770"/>
      <c r="BA491" s="770"/>
      <c r="BB491" s="770"/>
      <c r="BC491" s="770"/>
      <c r="BD491" s="770"/>
      <c r="BE491" s="770"/>
      <c r="BF491" s="302"/>
      <c r="BG491" s="302"/>
      <c r="BH491" s="770"/>
      <c r="BI491" s="770"/>
      <c r="BJ491" s="770"/>
      <c r="BK491" s="770"/>
      <c r="BL491" s="770"/>
      <c r="BM491" s="770"/>
      <c r="BN491" s="770"/>
      <c r="BO491" s="770"/>
      <c r="BP491" s="765"/>
      <c r="BQ491" s="773"/>
      <c r="BR491" s="774"/>
      <c r="BS491" s="766"/>
      <c r="BT491" s="770"/>
      <c r="BU491" s="770"/>
      <c r="BV491" s="770"/>
      <c r="BW491" s="770"/>
      <c r="BX491" s="302"/>
      <c r="BY491" s="770"/>
      <c r="BZ491" s="302"/>
      <c r="CA491" s="770"/>
      <c r="CB491" s="770"/>
      <c r="CC491" s="770"/>
      <c r="CD491" s="770"/>
      <c r="CE491" s="770"/>
      <c r="CF491" s="1753"/>
      <c r="CG491" s="1754"/>
      <c r="CH491" s="770"/>
      <c r="CI491" s="770"/>
      <c r="CJ491" s="770"/>
      <c r="CK491" s="770"/>
      <c r="CL491" s="770"/>
      <c r="CM491" s="770"/>
      <c r="CN491" s="770"/>
      <c r="CO491" s="770"/>
      <c r="CP491" s="770"/>
      <c r="CQ491" s="770"/>
      <c r="CR491" s="302"/>
      <c r="CS491" s="770"/>
      <c r="CT491" s="770"/>
      <c r="CU491" s="305"/>
      <c r="CV491" s="770"/>
      <c r="CW491" s="770"/>
      <c r="CX491" s="770"/>
      <c r="CY491" s="770"/>
      <c r="CZ491" s="770"/>
      <c r="DA491" s="306"/>
      <c r="DB491" s="770"/>
      <c r="DC491" s="770"/>
      <c r="DD491" s="770"/>
      <c r="DE491" s="300"/>
      <c r="DF491" s="770"/>
      <c r="DG491" s="770"/>
      <c r="DH491" s="770"/>
      <c r="DI491" s="770"/>
      <c r="DJ491" s="770"/>
      <c r="DK491" s="770"/>
      <c r="DL491" s="770"/>
      <c r="DM491" s="770"/>
      <c r="DN491" s="322"/>
      <c r="DO491" s="770"/>
      <c r="DP491" s="770"/>
      <c r="DQ491" s="770"/>
      <c r="DR491" s="770"/>
      <c r="DS491" s="307"/>
      <c r="DT491" s="770"/>
      <c r="DU491" s="770"/>
      <c r="DV491" s="770"/>
      <c r="DW491" s="306"/>
      <c r="DX491" s="306"/>
      <c r="DY491" s="770"/>
      <c r="DZ491" s="770"/>
      <c r="EA491" s="770"/>
      <c r="EB491" s="770"/>
      <c r="EC491" s="770"/>
      <c r="ED491" s="770"/>
      <c r="EE491" s="770"/>
      <c r="EF491" s="770"/>
      <c r="EG491" s="770"/>
      <c r="EH491" s="770"/>
      <c r="EI491" s="770"/>
      <c r="EJ491" s="770"/>
      <c r="EK491" s="770"/>
      <c r="EL491" s="770"/>
      <c r="EM491" s="770"/>
      <c r="EN491" s="770"/>
      <c r="EO491" s="770"/>
      <c r="EP491" s="94"/>
      <c r="EQ491" s="770"/>
      <c r="ER491" s="770"/>
      <c r="ES491" s="770"/>
      <c r="ET491" s="770"/>
      <c r="EU491" s="770"/>
      <c r="EV491" s="770"/>
      <c r="EW491" s="770"/>
      <c r="EX491" s="770"/>
      <c r="EY491" s="770"/>
      <c r="EZ491" s="770"/>
      <c r="FA491" s="770"/>
      <c r="FB491" s="770"/>
      <c r="FC491" s="770"/>
      <c r="FD491" s="302"/>
      <c r="FE491" s="770"/>
      <c r="FF491" s="770"/>
      <c r="FG491" s="770"/>
      <c r="FH491" s="770"/>
      <c r="FI491" s="770"/>
      <c r="FJ491" s="770"/>
      <c r="FK491" s="770"/>
      <c r="FL491" s="770"/>
      <c r="FM491" s="302"/>
      <c r="FN491" s="302"/>
      <c r="FO491" s="302"/>
      <c r="FP491" s="770"/>
      <c r="FQ491" s="770"/>
      <c r="FR491" s="770"/>
      <c r="FS491" s="770"/>
      <c r="FT491" s="770"/>
      <c r="FU491" s="770"/>
      <c r="FV491" s="770"/>
      <c r="FW491" s="770"/>
      <c r="FX491" s="770"/>
      <c r="FY491" s="770"/>
      <c r="FZ491" s="770"/>
      <c r="GA491" s="770"/>
      <c r="GB491" s="770"/>
      <c r="GC491" s="308"/>
      <c r="GD491" s="297"/>
      <c r="GE491" s="770"/>
      <c r="GF491" s="302"/>
      <c r="GG491" s="302"/>
      <c r="GH491" s="770"/>
      <c r="GI491" s="770"/>
      <c r="GJ491" s="770"/>
      <c r="GK491" s="770"/>
      <c r="GL491" s="770"/>
      <c r="GM491" s="770"/>
      <c r="GN491" s="299"/>
      <c r="GO491" s="770"/>
      <c r="GP491" s="770"/>
      <c r="GQ491" s="770"/>
      <c r="GR491" s="770"/>
      <c r="GS491" s="770"/>
      <c r="GT491" s="770"/>
      <c r="GU491" s="770"/>
      <c r="GV491" s="770"/>
      <c r="GW491" s="770"/>
      <c r="GX491" s="770"/>
      <c r="GY491" s="770"/>
      <c r="GZ491" s="770"/>
      <c r="HA491" s="770"/>
      <c r="HB491" s="770"/>
      <c r="HC491" s="770"/>
      <c r="HD491" s="770"/>
      <c r="HE491" s="770"/>
      <c r="HF491" s="770"/>
      <c r="HG491" s="770"/>
      <c r="HH491" s="770"/>
      <c r="HI491" s="770"/>
      <c r="HJ491" s="770"/>
      <c r="HK491" s="770"/>
      <c r="HL491" s="770"/>
      <c r="HM491" s="770"/>
      <c r="HN491" s="770"/>
      <c r="HO491" s="770"/>
      <c r="HP491" s="770"/>
      <c r="HQ491" s="770"/>
      <c r="HR491" s="770"/>
      <c r="HS491" s="770"/>
      <c r="HT491" s="770"/>
      <c r="HU491" s="770"/>
      <c r="HV491" s="770"/>
      <c r="HW491" s="770"/>
      <c r="HX491" s="770"/>
      <c r="HY491" s="770"/>
      <c r="HZ491" s="770"/>
      <c r="IA491" s="770"/>
      <c r="IB491" s="770"/>
      <c r="IC491" s="770"/>
      <c r="ID491" s="770"/>
      <c r="IE491" s="770"/>
      <c r="IF491" s="770"/>
      <c r="IG491" s="770"/>
      <c r="IH491" s="770"/>
      <c r="II491" s="770"/>
      <c r="IJ491" s="770"/>
      <c r="IK491" s="770"/>
      <c r="IL491" s="770"/>
      <c r="IM491" s="770"/>
      <c r="IN491" s="770"/>
      <c r="IO491" s="296"/>
      <c r="IP491" s="770"/>
      <c r="IQ491" s="770"/>
      <c r="IR491" s="770"/>
      <c r="IS491" s="770"/>
      <c r="IT491" s="770"/>
      <c r="IU491" s="770"/>
      <c r="IV491" s="770"/>
      <c r="IW491" s="770"/>
      <c r="IX491" s="770"/>
      <c r="IY491" s="770"/>
      <c r="IZ491" s="770"/>
      <c r="JA491" s="770"/>
      <c r="JB491" s="770"/>
      <c r="JC491" s="770"/>
      <c r="JD491" s="302"/>
      <c r="JE491" s="770"/>
      <c r="JF491" s="770"/>
      <c r="JG491" s="770"/>
      <c r="JH491" s="307"/>
      <c r="JI491" s="307"/>
      <c r="JJ491" s="770"/>
      <c r="JK491" s="770"/>
      <c r="JL491" s="770"/>
      <c r="JM491" s="770"/>
      <c r="JN491" s="770"/>
      <c r="JO491" s="770"/>
      <c r="JP491" s="770"/>
      <c r="JQ491" s="770"/>
      <c r="JR491" s="770"/>
      <c r="JS491" s="770"/>
      <c r="JT491" s="766"/>
      <c r="JU491" s="766"/>
      <c r="JV491" s="766"/>
      <c r="JW491" s="766"/>
      <c r="JX491" s="770"/>
      <c r="JY491" s="770"/>
      <c r="JZ491" s="770"/>
      <c r="KA491" s="770"/>
      <c r="KB491" s="770"/>
      <c r="KC491" s="770"/>
      <c r="KD491" s="770"/>
      <c r="KE491" s="770"/>
      <c r="KF491" s="770"/>
      <c r="KG491" s="770"/>
      <c r="KH491" s="770"/>
      <c r="KI491" s="770"/>
      <c r="KJ491" s="770"/>
      <c r="KK491" s="770"/>
      <c r="KL491" s="770"/>
      <c r="KM491" s="770"/>
      <c r="KN491" s="770"/>
      <c r="KO491" s="770"/>
      <c r="KP491" s="770"/>
      <c r="KQ491" s="770"/>
      <c r="KR491" s="770"/>
      <c r="KS491" s="770"/>
      <c r="KT491" s="770"/>
      <c r="KU491" s="770"/>
      <c r="KV491" s="770"/>
      <c r="KW491" s="770"/>
      <c r="KX491" s="770"/>
      <c r="KY491" s="770"/>
      <c r="KZ491" s="770"/>
      <c r="LA491" s="770"/>
      <c r="LB491" s="770"/>
      <c r="LC491" s="770"/>
      <c r="LD491" s="770"/>
      <c r="LE491" s="770"/>
      <c r="LF491" s="770"/>
      <c r="LG491" s="770"/>
      <c r="LH491" s="770"/>
      <c r="LI491" s="770"/>
      <c r="LJ491" s="770"/>
      <c r="LK491" s="770"/>
      <c r="LL491" s="770"/>
      <c r="LM491" s="770"/>
      <c r="LN491" s="766"/>
      <c r="LO491" s="766"/>
      <c r="LP491" s="770"/>
      <c r="LQ491" s="770"/>
      <c r="LR491" s="770"/>
      <c r="LS491" s="770"/>
      <c r="LT491" s="770"/>
      <c r="LU491" s="770"/>
      <c r="LV491" s="770"/>
      <c r="LW491" s="770"/>
      <c r="LX491" s="769"/>
      <c r="LY491" s="766" t="str">
        <f t="shared" ref="LY491:LY554" si="135">IF(ISBLANK(LX491)=TRUE,"",LOOKUP(LX491,RT:RU))</f>
        <v/>
      </c>
      <c r="LZ491" s="1709"/>
      <c r="MA491" s="1709"/>
      <c r="MB491" s="1709"/>
      <c r="MC491" s="1679">
        <f t="shared" si="133"/>
        <v>0</v>
      </c>
      <c r="MD491" s="1709"/>
      <c r="ME491" s="1709"/>
      <c r="MF491" s="1709"/>
      <c r="MG491" s="1680">
        <f t="shared" si="121"/>
        <v>0</v>
      </c>
      <c r="MH491" s="770"/>
      <c r="MI491" s="302"/>
      <c r="MJ491" s="302"/>
      <c r="MK491" s="302"/>
      <c r="ML491" s="302"/>
      <c r="MM491" s="302"/>
      <c r="MN491" s="302"/>
      <c r="MO491" s="302"/>
      <c r="MP491" s="302"/>
      <c r="MQ491" s="302"/>
      <c r="MR491" s="302"/>
      <c r="MS491" s="302"/>
      <c r="MT491" s="302"/>
      <c r="MU491" s="302"/>
      <c r="MV491" s="302"/>
      <c r="MW491" s="302"/>
      <c r="MX491" s="302"/>
      <c r="MY491" s="1682">
        <f t="shared" si="122"/>
        <v>0</v>
      </c>
      <c r="MZ491" s="770"/>
      <c r="NA491" s="770"/>
      <c r="NB491" s="770"/>
      <c r="NC491" s="770"/>
      <c r="ND491" s="770"/>
      <c r="NE491" s="770"/>
      <c r="NF491" s="770"/>
      <c r="NG491" s="770"/>
      <c r="NH491" s="770"/>
      <c r="NI491" s="770"/>
      <c r="NJ491" s="770"/>
      <c r="NK491" s="770"/>
      <c r="NL491" s="770"/>
      <c r="NM491" s="770"/>
      <c r="NN491" s="770"/>
      <c r="NO491" s="770"/>
      <c r="NP491" s="770"/>
      <c r="NQ491" s="770"/>
      <c r="NR491" s="770"/>
      <c r="NS491" s="770"/>
      <c r="NT491" s="770"/>
      <c r="NU491" s="770"/>
      <c r="NV491" s="770"/>
      <c r="NW491" s="770"/>
      <c r="NX491" s="770"/>
      <c r="NY491" s="770"/>
      <c r="NZ491" s="770"/>
      <c r="OA491" s="770"/>
      <c r="OB491" s="770"/>
      <c r="OC491" s="770"/>
      <c r="OD491" s="770"/>
      <c r="OE491" s="770"/>
      <c r="OF491" s="770"/>
      <c r="OG491" s="770"/>
      <c r="OH491" s="770"/>
      <c r="OI491" s="770"/>
      <c r="OJ491" s="770"/>
      <c r="OK491" s="770"/>
      <c r="OL491" s="770"/>
      <c r="OM491" s="770"/>
      <c r="ON491" s="770"/>
      <c r="OO491" s="770"/>
      <c r="OP491" s="770"/>
      <c r="OQ491" s="770"/>
      <c r="OR491" s="770"/>
      <c r="OS491" s="770"/>
      <c r="OT491" s="770"/>
      <c r="OU491" s="770"/>
      <c r="OV491" s="770"/>
      <c r="OW491" s="770"/>
      <c r="OX491" s="770"/>
      <c r="OY491" s="770"/>
      <c r="OZ491" s="770"/>
      <c r="PA491" s="770"/>
      <c r="PB491" s="770"/>
      <c r="PC491" s="770"/>
      <c r="PD491" s="770"/>
      <c r="PE491" s="770"/>
      <c r="PF491" s="770"/>
      <c r="PG491" s="770"/>
      <c r="PH491" s="770"/>
      <c r="PI491" s="770"/>
      <c r="PJ491" s="770"/>
      <c r="PK491" s="770"/>
      <c r="PL491" s="770"/>
      <c r="PM491" s="770"/>
      <c r="PN491" s="770"/>
      <c r="PO491" s="770"/>
      <c r="PP491" s="770"/>
      <c r="PQ491" s="770"/>
      <c r="PR491" s="770"/>
      <c r="PS491" s="770"/>
      <c r="PT491" s="770"/>
      <c r="PU491" s="770"/>
      <c r="PV491" s="770"/>
      <c r="PW491" s="770"/>
      <c r="PX491" s="770"/>
      <c r="PY491" s="770"/>
      <c r="PZ491" s="770"/>
      <c r="QA491" s="770"/>
      <c r="QB491" s="770"/>
      <c r="QC491" s="770"/>
      <c r="QD491" s="770"/>
      <c r="QE491" s="770"/>
      <c r="QF491" s="770"/>
      <c r="QG491" s="770"/>
      <c r="QH491" s="770"/>
      <c r="QI491" s="770"/>
      <c r="QJ491" s="770"/>
      <c r="QK491" s="770"/>
      <c r="QL491" s="770"/>
      <c r="QM491" s="770"/>
      <c r="QN491" s="770"/>
      <c r="QO491" s="770"/>
      <c r="QP491" s="770"/>
      <c r="QQ491" s="770"/>
      <c r="QR491" s="770"/>
      <c r="QS491" s="770"/>
      <c r="QT491" s="770"/>
      <c r="QU491" s="770"/>
      <c r="QV491" s="770"/>
      <c r="QW491" s="770"/>
      <c r="QX491" s="770"/>
      <c r="QY491" s="770"/>
      <c r="QZ491" s="770"/>
      <c r="RA491" s="770"/>
      <c r="RB491" s="770"/>
      <c r="RC491" s="770"/>
      <c r="RD491" s="770"/>
      <c r="RE491" s="770"/>
      <c r="RF491" s="304"/>
      <c r="RG491" s="770"/>
      <c r="RH491" s="302"/>
      <c r="RI491" s="770"/>
      <c r="RJ491" s="770"/>
      <c r="RK491" s="770"/>
      <c r="RL491" s="1710"/>
      <c r="RM491" s="12"/>
      <c r="RN491" s="1711"/>
      <c r="RO491" s="133" t="s">
        <v>2906</v>
      </c>
      <c r="RP491" s="11"/>
      <c r="RQ491" s="11"/>
      <c r="RR491" s="17"/>
      <c r="RS491" s="767"/>
      <c r="RT491" s="11"/>
      <c r="RU491" s="11"/>
      <c r="RV491" s="771" t="s">
        <v>7421</v>
      </c>
      <c r="RW491" s="11" t="s">
        <v>7769</v>
      </c>
      <c r="RX491" s="11" t="s">
        <v>3324</v>
      </c>
      <c r="RY491" s="11"/>
      <c r="RZ491" s="11" t="s">
        <v>1101</v>
      </c>
      <c r="SA491" s="771"/>
      <c r="SB491" s="11"/>
      <c r="SC491" s="11"/>
    </row>
    <row r="492" spans="1:497" ht="12.75" hidden="1" customHeight="1">
      <c r="A492" s="19" t="s">
        <v>14207</v>
      </c>
      <c r="B492" s="752" t="s">
        <v>7779</v>
      </c>
      <c r="C492" s="133" t="s">
        <v>2906</v>
      </c>
      <c r="D492" s="94" t="s">
        <v>3347</v>
      </c>
      <c r="E492" s="770" t="s">
        <v>3326</v>
      </c>
      <c r="F492" s="770" t="s">
        <v>28</v>
      </c>
      <c r="G492" s="770" t="s">
        <v>10</v>
      </c>
      <c r="H492" s="770"/>
      <c r="I492" s="295" t="s">
        <v>3348</v>
      </c>
      <c r="J492" s="94" t="s">
        <v>3347</v>
      </c>
      <c r="K492" s="766" t="s">
        <v>3329</v>
      </c>
      <c r="L492" s="766" t="s">
        <v>3349</v>
      </c>
      <c r="M492" s="770" t="s">
        <v>1238</v>
      </c>
      <c r="N492" s="770"/>
      <c r="O492" s="770" t="s">
        <v>3340</v>
      </c>
      <c r="P492" s="770" t="s">
        <v>3350</v>
      </c>
      <c r="Q492" s="1088">
        <v>31824</v>
      </c>
      <c r="R492" s="297">
        <v>30</v>
      </c>
      <c r="S492" s="770" t="s">
        <v>10</v>
      </c>
      <c r="T492" s="770"/>
      <c r="U492" s="295" t="s">
        <v>3348</v>
      </c>
      <c r="V492" s="770" t="s">
        <v>768</v>
      </c>
      <c r="W492" s="770"/>
      <c r="X492" s="770"/>
      <c r="Y492" s="770" t="s">
        <v>3326</v>
      </c>
      <c r="Z492" s="770" t="s">
        <v>708</v>
      </c>
      <c r="AA492" s="770" t="s">
        <v>709</v>
      </c>
      <c r="AB492" s="770" t="s">
        <v>7273</v>
      </c>
      <c r="AC492" s="770" t="s">
        <v>724</v>
      </c>
      <c r="AD492" s="770"/>
      <c r="AE492" s="770"/>
      <c r="AF492" s="770" t="s">
        <v>3351</v>
      </c>
      <c r="AG492" s="770"/>
      <c r="AH492" s="770"/>
      <c r="AI492" s="770"/>
      <c r="AJ492" s="770"/>
      <c r="AK492" s="770" t="s">
        <v>1899</v>
      </c>
      <c r="AL492" s="120"/>
      <c r="AM492" s="773"/>
      <c r="AN492" s="532"/>
      <c r="AO492" s="766"/>
      <c r="AP492" s="766" t="s">
        <v>11906</v>
      </c>
      <c r="AQ492" s="766"/>
      <c r="AR492" s="766"/>
      <c r="AS492" s="770"/>
      <c r="AT492" s="770"/>
      <c r="AU492" s="770"/>
      <c r="AV492" s="770"/>
      <c r="AW492" s="770"/>
      <c r="AX492" s="13"/>
      <c r="AY492" s="770"/>
      <c r="AZ492" s="770" t="s">
        <v>1208</v>
      </c>
      <c r="BA492" s="770"/>
      <c r="BB492" s="770"/>
      <c r="BC492" s="770" t="s">
        <v>796</v>
      </c>
      <c r="BD492" s="770" t="s">
        <v>1214</v>
      </c>
      <c r="BE492" s="770" t="s">
        <v>1207</v>
      </c>
      <c r="BF492" s="302">
        <v>1500</v>
      </c>
      <c r="BG492" s="302">
        <f>BF492*12</f>
        <v>18000</v>
      </c>
      <c r="BH492" s="770"/>
      <c r="BI492" s="770"/>
      <c r="BJ492" s="770"/>
      <c r="BK492" s="770" t="s">
        <v>1095</v>
      </c>
      <c r="BL492" s="770" t="s">
        <v>3354</v>
      </c>
      <c r="BM492" s="770" t="s">
        <v>8108</v>
      </c>
      <c r="BN492" s="770" t="s">
        <v>1230</v>
      </c>
      <c r="BO492" s="766" t="s">
        <v>1239</v>
      </c>
      <c r="BP492" s="765">
        <v>66.040000000000006</v>
      </c>
      <c r="BQ492" s="773">
        <v>32.799999999999997</v>
      </c>
      <c r="BR492" s="774">
        <f>BQ492/BP492</f>
        <v>0.4966686856450635</v>
      </c>
      <c r="BS492" s="6" t="s">
        <v>1149</v>
      </c>
      <c r="BT492" s="766" t="s">
        <v>2040</v>
      </c>
      <c r="BU492" s="770" t="s">
        <v>1249</v>
      </c>
      <c r="BV492" s="766" t="s">
        <v>1243</v>
      </c>
      <c r="BW492" s="770">
        <v>2015</v>
      </c>
      <c r="BX492" s="302">
        <v>222798.6</v>
      </c>
      <c r="BY492" s="770"/>
      <c r="BZ492" s="302"/>
      <c r="CA492" s="770"/>
      <c r="CB492" s="770"/>
      <c r="CC492" s="770"/>
      <c r="CD492" s="770"/>
      <c r="CE492" s="770"/>
      <c r="CF492" s="1753"/>
      <c r="CG492" s="1754"/>
      <c r="CH492" s="770"/>
      <c r="CI492" s="770"/>
      <c r="CJ492" s="770"/>
      <c r="CK492" s="770"/>
      <c r="CL492" s="770"/>
      <c r="CM492" s="770"/>
      <c r="CN492" s="770"/>
      <c r="CO492" s="770"/>
      <c r="CP492" s="770"/>
      <c r="CQ492" s="770"/>
      <c r="CR492" s="302"/>
      <c r="CS492" s="770"/>
      <c r="CT492" s="770"/>
      <c r="CU492" s="305"/>
      <c r="CV492" s="770"/>
      <c r="CW492" s="770"/>
      <c r="CX492" s="770"/>
      <c r="CY492" s="770"/>
      <c r="CZ492" s="770"/>
      <c r="DA492" s="306"/>
      <c r="DB492" s="770"/>
      <c r="DC492" s="770"/>
      <c r="DD492" s="770"/>
      <c r="DE492" s="300"/>
      <c r="DF492" s="770"/>
      <c r="DG492" s="770"/>
      <c r="DH492" s="770"/>
      <c r="DI492" s="770"/>
      <c r="DJ492" s="770"/>
      <c r="DK492" s="770"/>
      <c r="DL492" s="770"/>
      <c r="DM492" s="770"/>
      <c r="DN492" s="322"/>
      <c r="DO492" s="770"/>
      <c r="DP492" s="770"/>
      <c r="DQ492" s="770"/>
      <c r="DR492" s="770"/>
      <c r="DS492" s="307"/>
      <c r="DT492" s="770"/>
      <c r="DU492" s="770"/>
      <c r="DV492" s="770"/>
      <c r="DW492" s="306"/>
      <c r="DX492" s="306"/>
      <c r="DY492" s="770"/>
      <c r="DZ492" s="770"/>
      <c r="EA492" s="770"/>
      <c r="EB492" s="770"/>
      <c r="EC492" s="770"/>
      <c r="ED492" s="770"/>
      <c r="EE492" s="770"/>
      <c r="EF492" s="770"/>
      <c r="EG492" s="770"/>
      <c r="EH492" s="770"/>
      <c r="EI492" s="770"/>
      <c r="EJ492" s="770"/>
      <c r="EK492" s="770"/>
      <c r="EL492" s="770"/>
      <c r="EM492" s="770"/>
      <c r="EN492" s="770"/>
      <c r="EO492" s="770"/>
      <c r="EP492" s="94"/>
      <c r="EQ492" s="770"/>
      <c r="ER492" s="770"/>
      <c r="ES492" s="770"/>
      <c r="ET492" s="770"/>
      <c r="EU492" s="770"/>
      <c r="EV492" s="770"/>
      <c r="EW492" s="770"/>
      <c r="EX492" s="770"/>
      <c r="EY492" s="770"/>
      <c r="EZ492" s="770"/>
      <c r="FA492" s="770"/>
      <c r="FB492" s="770"/>
      <c r="FC492" s="770"/>
      <c r="FD492" s="302"/>
      <c r="FE492" s="770"/>
      <c r="FF492" s="770"/>
      <c r="FG492" s="770"/>
      <c r="FH492" s="770" t="s">
        <v>478</v>
      </c>
      <c r="FI492" s="770">
        <v>1</v>
      </c>
      <c r="FJ492" s="770"/>
      <c r="FK492" s="770"/>
      <c r="FL492" s="770"/>
      <c r="FM492" s="302"/>
      <c r="FN492" s="302"/>
      <c r="FO492" s="302"/>
      <c r="FP492" s="770" t="s">
        <v>1602</v>
      </c>
      <c r="FQ492" s="770" t="s">
        <v>1660</v>
      </c>
      <c r="FR492" s="770" t="s">
        <v>1207</v>
      </c>
      <c r="FS492" s="770"/>
      <c r="FT492" s="770"/>
      <c r="FU492" s="770"/>
      <c r="FV492" s="770" t="s">
        <v>1208</v>
      </c>
      <c r="FW492" s="770"/>
      <c r="FX492" s="770"/>
      <c r="FY492" s="770"/>
      <c r="FZ492" s="770"/>
      <c r="GA492" s="770"/>
      <c r="GB492" s="770" t="s">
        <v>796</v>
      </c>
      <c r="GC492" s="308" t="s">
        <v>3352</v>
      </c>
      <c r="GD492" s="297">
        <v>2016</v>
      </c>
      <c r="GE492" s="770" t="s">
        <v>1207</v>
      </c>
      <c r="GF492" s="302"/>
      <c r="GG492" s="302"/>
      <c r="GH492" s="766"/>
      <c r="GI492" s="770"/>
      <c r="GJ492" s="770"/>
      <c r="GK492" s="770"/>
      <c r="GL492" s="770"/>
      <c r="GM492" s="770"/>
      <c r="GN492" s="299"/>
      <c r="GO492" s="770"/>
      <c r="GP492" s="770"/>
      <c r="GQ492" s="770"/>
      <c r="GR492" s="770"/>
      <c r="GS492" s="770"/>
      <c r="GT492" s="770"/>
      <c r="GU492" s="770"/>
      <c r="GV492" s="770"/>
      <c r="GW492" s="770"/>
      <c r="GX492" s="770"/>
      <c r="GY492" s="770"/>
      <c r="GZ492" s="770"/>
      <c r="HA492" s="770"/>
      <c r="HB492" s="770"/>
      <c r="HC492" s="770"/>
      <c r="HD492" s="770"/>
      <c r="HE492" s="770"/>
      <c r="HF492" s="770"/>
      <c r="HG492" s="770"/>
      <c r="HH492" s="770"/>
      <c r="HI492" s="770"/>
      <c r="HJ492" s="770"/>
      <c r="HK492" s="770"/>
      <c r="HL492" s="770"/>
      <c r="HM492" s="770"/>
      <c r="HN492" s="770"/>
      <c r="HO492" s="770"/>
      <c r="HP492" s="770"/>
      <c r="HQ492" s="770"/>
      <c r="HR492" s="770"/>
      <c r="HS492" s="770"/>
      <c r="HT492" s="770"/>
      <c r="HU492" s="770"/>
      <c r="HV492" s="770"/>
      <c r="HW492" s="770"/>
      <c r="HX492" s="770"/>
      <c r="HY492" s="770"/>
      <c r="HZ492" s="770"/>
      <c r="IA492" s="770"/>
      <c r="IB492" s="770"/>
      <c r="IC492" s="770"/>
      <c r="ID492" s="770"/>
      <c r="IE492" s="770"/>
      <c r="IF492" s="770" t="s">
        <v>3355</v>
      </c>
      <c r="IG492" s="770" t="s">
        <v>10</v>
      </c>
      <c r="IH492" s="770" t="s">
        <v>3353</v>
      </c>
      <c r="II492" s="770" t="s">
        <v>3346</v>
      </c>
      <c r="IJ492" s="770" t="s">
        <v>1835</v>
      </c>
      <c r="IK492" s="770" t="s">
        <v>2639</v>
      </c>
      <c r="IL492" s="770" t="s">
        <v>3354</v>
      </c>
      <c r="IM492" s="770">
        <v>2015</v>
      </c>
      <c r="IN492" s="770" t="s">
        <v>3354</v>
      </c>
      <c r="IO492" s="296">
        <v>31852</v>
      </c>
      <c r="IP492" s="770" t="s">
        <v>478</v>
      </c>
      <c r="IQ492" s="13" t="s">
        <v>1882</v>
      </c>
      <c r="IR492" s="770" t="s">
        <v>2716</v>
      </c>
      <c r="IS492" s="770" t="s">
        <v>1966</v>
      </c>
      <c r="IT492" s="770"/>
      <c r="IU492" s="770" t="s">
        <v>1208</v>
      </c>
      <c r="IV492" s="770"/>
      <c r="IW492" s="770" t="s">
        <v>13641</v>
      </c>
      <c r="IX492" s="770"/>
      <c r="IY492" s="770" t="s">
        <v>3348</v>
      </c>
      <c r="IZ492" s="770"/>
      <c r="JA492" s="770" t="s">
        <v>1880</v>
      </c>
      <c r="JB492" s="770" t="s">
        <v>12766</v>
      </c>
      <c r="JC492" s="770"/>
      <c r="JD492" s="302">
        <v>1500</v>
      </c>
      <c r="JE492" s="770"/>
      <c r="JF492" s="770"/>
      <c r="JG492" s="770"/>
      <c r="JH492" s="307"/>
      <c r="JI492" s="307"/>
      <c r="JJ492" s="770"/>
      <c r="JK492" s="770"/>
      <c r="JL492" s="770"/>
      <c r="JM492" s="770"/>
      <c r="JN492" s="770"/>
      <c r="JO492" s="770"/>
      <c r="JP492" s="770"/>
      <c r="JQ492" s="770"/>
      <c r="JR492" s="770"/>
      <c r="JS492" s="770"/>
      <c r="JT492" s="766"/>
      <c r="JU492" s="766"/>
      <c r="JV492" s="766"/>
      <c r="JW492" s="766"/>
      <c r="JX492" s="770"/>
      <c r="JY492" s="770"/>
      <c r="JZ492" s="770"/>
      <c r="KA492" s="770"/>
      <c r="KB492" s="770"/>
      <c r="KC492" s="770"/>
      <c r="KD492" s="770"/>
      <c r="KE492" s="770"/>
      <c r="KF492" s="770"/>
      <c r="KG492" s="770"/>
      <c r="KH492" s="770"/>
      <c r="KI492" s="770"/>
      <c r="KJ492" s="770"/>
      <c r="KK492" s="770"/>
      <c r="KL492" s="770"/>
      <c r="KM492" s="770"/>
      <c r="KN492" s="770"/>
      <c r="KO492" s="770"/>
      <c r="KP492" s="770"/>
      <c r="KQ492" s="770"/>
      <c r="KR492" s="770"/>
      <c r="KS492" s="770"/>
      <c r="KT492" s="770"/>
      <c r="KU492" s="770"/>
      <c r="KV492" s="770"/>
      <c r="KW492" s="770"/>
      <c r="KX492" s="770"/>
      <c r="KY492" s="770"/>
      <c r="KZ492" s="770"/>
      <c r="LA492" s="770"/>
      <c r="LB492" s="770"/>
      <c r="LC492" s="770"/>
      <c r="LD492" s="770"/>
      <c r="LE492" s="770"/>
      <c r="LF492" s="770"/>
      <c r="LG492" s="770"/>
      <c r="LH492" s="770"/>
      <c r="LI492" s="770"/>
      <c r="LJ492" s="770"/>
      <c r="LK492" s="770"/>
      <c r="LL492" s="770"/>
      <c r="LM492" s="770"/>
      <c r="LN492" s="766"/>
      <c r="LO492" s="766"/>
      <c r="LP492" s="770"/>
      <c r="LQ492" s="770"/>
      <c r="LR492" s="770"/>
      <c r="LS492" s="770"/>
      <c r="LT492" s="770"/>
      <c r="LU492" s="770"/>
      <c r="LV492" s="770"/>
      <c r="LW492" s="770"/>
      <c r="LX492" s="769"/>
      <c r="LY492" s="766" t="str">
        <f t="shared" si="135"/>
        <v/>
      </c>
      <c r="LZ492" s="1709"/>
      <c r="MA492" s="1709"/>
      <c r="MB492" s="1709"/>
      <c r="MC492" s="1679">
        <f t="shared" si="133"/>
        <v>0</v>
      </c>
      <c r="MD492" s="1709"/>
      <c r="ME492" s="1709"/>
      <c r="MF492" s="1709"/>
      <c r="MG492" s="1680">
        <f t="shared" si="121"/>
        <v>0</v>
      </c>
      <c r="MH492" s="770"/>
      <c r="MI492" s="302"/>
      <c r="MJ492" s="302"/>
      <c r="MK492" s="302"/>
      <c r="ML492" s="302"/>
      <c r="MM492" s="302"/>
      <c r="MN492" s="302"/>
      <c r="MO492" s="302"/>
      <c r="MP492" s="302"/>
      <c r="MQ492" s="302"/>
      <c r="MR492" s="302"/>
      <c r="MS492" s="302"/>
      <c r="MT492" s="302"/>
      <c r="MU492" s="302"/>
      <c r="MV492" s="302"/>
      <c r="MW492" s="302"/>
      <c r="MX492" s="302"/>
      <c r="MY492" s="1682">
        <f t="shared" si="122"/>
        <v>0</v>
      </c>
      <c r="MZ492" s="770"/>
      <c r="NA492" s="13"/>
      <c r="NB492" s="13"/>
      <c r="NC492" s="13"/>
      <c r="ND492" s="770"/>
      <c r="NE492" s="770"/>
      <c r="NF492" s="770"/>
      <c r="NG492" s="770"/>
      <c r="NH492" s="770"/>
      <c r="NI492" s="770"/>
      <c r="NJ492" s="770"/>
      <c r="NK492" s="770"/>
      <c r="NL492" s="770"/>
      <c r="NM492" s="770"/>
      <c r="NN492" s="770"/>
      <c r="NO492" s="770"/>
      <c r="NP492" s="770"/>
      <c r="NQ492" s="770"/>
      <c r="NR492" s="770"/>
      <c r="NS492" s="770"/>
      <c r="NT492" s="770"/>
      <c r="NU492" s="770"/>
      <c r="NV492" s="770"/>
      <c r="NW492" s="770"/>
      <c r="NX492" s="770"/>
      <c r="NY492" s="770"/>
      <c r="NZ492" s="770"/>
      <c r="OA492" s="770"/>
      <c r="OB492" s="770"/>
      <c r="OC492" s="770"/>
      <c r="OD492" s="770"/>
      <c r="OE492" s="770"/>
      <c r="OF492" s="770" t="s">
        <v>2143</v>
      </c>
      <c r="OG492" s="770"/>
      <c r="OH492" s="770"/>
      <c r="OI492" s="770"/>
      <c r="OJ492" s="770"/>
      <c r="OK492" s="770"/>
      <c r="OL492" s="770"/>
      <c r="OM492" s="770"/>
      <c r="ON492" s="770"/>
      <c r="OO492" s="770"/>
      <c r="OP492" s="770"/>
      <c r="OQ492" s="770"/>
      <c r="OR492" s="770"/>
      <c r="OS492" s="770"/>
      <c r="OT492" s="770"/>
      <c r="OU492" s="770"/>
      <c r="OV492" s="770"/>
      <c r="OW492" s="770"/>
      <c r="OX492" s="770"/>
      <c r="OY492" s="770"/>
      <c r="OZ492" s="770"/>
      <c r="PA492" s="770"/>
      <c r="PB492" s="770"/>
      <c r="PC492" s="770"/>
      <c r="PD492" s="770"/>
      <c r="PE492" s="770"/>
      <c r="PF492" s="770"/>
      <c r="PG492" s="770"/>
      <c r="PH492" s="770"/>
      <c r="PI492" s="770"/>
      <c r="PJ492" s="770"/>
      <c r="PK492" s="770"/>
      <c r="PL492" s="770"/>
      <c r="PM492" s="770"/>
      <c r="PN492" s="770"/>
      <c r="PO492" s="770"/>
      <c r="PP492" s="770"/>
      <c r="PQ492" s="770"/>
      <c r="PR492" s="770"/>
      <c r="PS492" s="770"/>
      <c r="PT492" s="770"/>
      <c r="PU492" s="770"/>
      <c r="PV492" s="770"/>
      <c r="PW492" s="770"/>
      <c r="PX492" s="770"/>
      <c r="PY492" s="770"/>
      <c r="PZ492" s="770"/>
      <c r="QA492" s="770"/>
      <c r="QB492" s="770"/>
      <c r="QC492" s="770"/>
      <c r="QD492" s="770"/>
      <c r="QE492" s="770"/>
      <c r="QF492" s="770"/>
      <c r="QG492" s="770"/>
      <c r="QH492" s="770"/>
      <c r="QI492" s="770"/>
      <c r="QJ492" s="770"/>
      <c r="QK492" s="770"/>
      <c r="QL492" s="770"/>
      <c r="QM492" s="770"/>
      <c r="QN492" s="770"/>
      <c r="QO492" s="770"/>
      <c r="QP492" s="770"/>
      <c r="QQ492" s="770"/>
      <c r="QR492" s="770"/>
      <c r="QS492" s="770"/>
      <c r="QT492" s="770"/>
      <c r="QU492" s="770"/>
      <c r="QV492" s="770"/>
      <c r="QW492" s="770"/>
      <c r="QX492" s="770"/>
      <c r="QY492" s="770"/>
      <c r="QZ492" s="770"/>
      <c r="RA492" s="770"/>
      <c r="RB492" s="770" t="s">
        <v>1207</v>
      </c>
      <c r="RC492" s="770">
        <v>2016</v>
      </c>
      <c r="RD492" s="770"/>
      <c r="RE492" s="770" t="s">
        <v>12999</v>
      </c>
      <c r="RF492" s="304">
        <v>1</v>
      </c>
      <c r="RG492" s="770" t="s">
        <v>13047</v>
      </c>
      <c r="RH492" s="302">
        <v>0</v>
      </c>
      <c r="RI492" s="770">
        <v>0.5</v>
      </c>
      <c r="RJ492" s="770" t="s">
        <v>3354</v>
      </c>
      <c r="RK492" s="770" t="s">
        <v>13550</v>
      </c>
      <c r="RL492" s="1710"/>
      <c r="RM492" s="12"/>
      <c r="RN492" s="1711"/>
      <c r="RO492" s="133" t="s">
        <v>2906</v>
      </c>
      <c r="RP492" s="11"/>
      <c r="RQ492" s="11"/>
      <c r="RR492" s="17"/>
      <c r="RS492" s="767"/>
      <c r="RT492" s="11"/>
      <c r="RU492" s="11"/>
      <c r="RV492" s="771" t="s">
        <v>7419</v>
      </c>
      <c r="RW492" s="11" t="s">
        <v>7778</v>
      </c>
      <c r="RX492" s="11" t="s">
        <v>3338</v>
      </c>
      <c r="RY492" s="11"/>
      <c r="RZ492" s="11"/>
      <c r="SA492" s="771"/>
      <c r="SB492" s="11"/>
      <c r="SC492" s="11"/>
    </row>
    <row r="493" spans="1:497" ht="12.75" hidden="1" customHeight="1">
      <c r="A493" s="19" t="s">
        <v>14207</v>
      </c>
      <c r="B493" s="752" t="s">
        <v>7780</v>
      </c>
      <c r="C493" s="133" t="s">
        <v>2906</v>
      </c>
      <c r="D493" s="94" t="s">
        <v>2907</v>
      </c>
      <c r="E493" s="770" t="s">
        <v>3326</v>
      </c>
      <c r="F493" s="770" t="s">
        <v>451</v>
      </c>
      <c r="G493" s="770" t="s">
        <v>18</v>
      </c>
      <c r="H493" s="770"/>
      <c r="I493" s="295" t="s">
        <v>2908</v>
      </c>
      <c r="J493" s="94" t="s">
        <v>2909</v>
      </c>
      <c r="K493" s="766" t="s">
        <v>2910</v>
      </c>
      <c r="L493" s="766" t="s">
        <v>2911</v>
      </c>
      <c r="M493" s="770" t="s">
        <v>1238</v>
      </c>
      <c r="N493" s="770"/>
      <c r="O493" s="770" t="s">
        <v>2912</v>
      </c>
      <c r="P493" s="770" t="s">
        <v>2913</v>
      </c>
      <c r="Q493" s="1088"/>
      <c r="R493" s="297"/>
      <c r="S493" s="770" t="s">
        <v>10</v>
      </c>
      <c r="T493" s="770"/>
      <c r="U493" s="295"/>
      <c r="V493" s="770"/>
      <c r="W493" s="770"/>
      <c r="X493" s="770"/>
      <c r="Y493" s="770"/>
      <c r="Z493" s="770"/>
      <c r="AA493" s="770"/>
      <c r="AB493" s="770"/>
      <c r="AC493" s="770"/>
      <c r="AD493" s="770"/>
      <c r="AE493" s="770"/>
      <c r="AF493" s="770"/>
      <c r="AG493" s="770"/>
      <c r="AH493" s="770"/>
      <c r="AI493" s="770"/>
      <c r="AJ493" s="770"/>
      <c r="AK493" s="770" t="s">
        <v>1899</v>
      </c>
      <c r="AL493" s="531"/>
      <c r="AM493" s="780"/>
      <c r="AN493" s="532"/>
      <c r="AO493" s="766"/>
      <c r="AP493" s="769"/>
      <c r="AQ493" s="766"/>
      <c r="AR493" s="766"/>
      <c r="AS493" s="770"/>
      <c r="AT493" s="770"/>
      <c r="AU493" s="770"/>
      <c r="AV493" s="770"/>
      <c r="AW493" s="770"/>
      <c r="AX493" s="770"/>
      <c r="AY493" s="770"/>
      <c r="AZ493" s="770"/>
      <c r="BA493" s="770"/>
      <c r="BB493" s="770"/>
      <c r="BC493" s="770"/>
      <c r="BD493" s="770"/>
      <c r="BE493" s="770"/>
      <c r="BF493" s="302"/>
      <c r="BG493" s="302"/>
      <c r="BH493" s="770"/>
      <c r="BI493" s="770"/>
      <c r="BJ493" s="770"/>
      <c r="BK493" s="13"/>
      <c r="BL493" s="13"/>
      <c r="BM493" s="13" t="s">
        <v>12423</v>
      </c>
      <c r="BN493" s="766" t="s">
        <v>1260</v>
      </c>
      <c r="BO493" s="766"/>
      <c r="BP493" s="776"/>
      <c r="BQ493" s="773"/>
      <c r="BR493" s="774"/>
      <c r="BS493" s="6" t="s">
        <v>1149</v>
      </c>
      <c r="BT493" s="766"/>
      <c r="BU493" s="766"/>
      <c r="BV493" s="766"/>
      <c r="BW493" s="766"/>
      <c r="BX493" s="775"/>
      <c r="BY493" s="770"/>
      <c r="BZ493" s="302"/>
      <c r="CA493" s="770"/>
      <c r="CB493" s="770"/>
      <c r="CC493" s="770"/>
      <c r="CD493" s="770"/>
      <c r="CE493" s="770"/>
      <c r="CF493" s="1753"/>
      <c r="CG493" s="1754"/>
      <c r="CH493" s="770"/>
      <c r="CI493" s="770"/>
      <c r="CJ493" s="770"/>
      <c r="CK493" s="770"/>
      <c r="CL493" s="770"/>
      <c r="CM493" s="770"/>
      <c r="CN493" s="770"/>
      <c r="CO493" s="770"/>
      <c r="CP493" s="770"/>
      <c r="CQ493" s="770"/>
      <c r="CR493" s="302"/>
      <c r="CS493" s="770"/>
      <c r="CT493" s="770"/>
      <c r="CU493" s="305"/>
      <c r="CV493" s="770"/>
      <c r="CW493" s="770"/>
      <c r="CX493" s="770"/>
      <c r="CY493" s="770"/>
      <c r="CZ493" s="770"/>
      <c r="DA493" s="306"/>
      <c r="DB493" s="770"/>
      <c r="DC493" s="770"/>
      <c r="DD493" s="770"/>
      <c r="DE493" s="300"/>
      <c r="DF493" s="770"/>
      <c r="DG493" s="770"/>
      <c r="DH493" s="770"/>
      <c r="DI493" s="770"/>
      <c r="DJ493" s="770"/>
      <c r="DK493" s="770"/>
      <c r="DL493" s="770"/>
      <c r="DM493" s="770"/>
      <c r="DN493" s="322"/>
      <c r="DO493" s="770"/>
      <c r="DP493" s="770"/>
      <c r="DQ493" s="770"/>
      <c r="DR493" s="770"/>
      <c r="DS493" s="307"/>
      <c r="DT493" s="770"/>
      <c r="DU493" s="770"/>
      <c r="DV493" s="770"/>
      <c r="DW493" s="306"/>
      <c r="DX493" s="306"/>
      <c r="DY493" s="770"/>
      <c r="DZ493" s="770"/>
      <c r="EA493" s="770"/>
      <c r="EB493" s="770"/>
      <c r="EC493" s="770"/>
      <c r="ED493" s="770"/>
      <c r="EE493" s="770"/>
      <c r="EF493" s="770"/>
      <c r="EG493" s="770"/>
      <c r="EH493" s="770"/>
      <c r="EI493" s="770"/>
      <c r="EJ493" s="770"/>
      <c r="EK493" s="770"/>
      <c r="EL493" s="770"/>
      <c r="EM493" s="770"/>
      <c r="EN493" s="770"/>
      <c r="EO493" s="770"/>
      <c r="EP493" s="94"/>
      <c r="EQ493" s="770"/>
      <c r="ER493" s="770"/>
      <c r="ES493" s="770"/>
      <c r="ET493" s="770"/>
      <c r="EU493" s="770"/>
      <c r="EV493" s="770"/>
      <c r="EW493" s="770"/>
      <c r="EX493" s="770"/>
      <c r="EY493" s="770"/>
      <c r="EZ493" s="770"/>
      <c r="FA493" s="770"/>
      <c r="FB493" s="770"/>
      <c r="FC493" s="770"/>
      <c r="FD493" s="302"/>
      <c r="FE493" s="770"/>
      <c r="FF493" s="770"/>
      <c r="FG493" s="770"/>
      <c r="FH493" s="770"/>
      <c r="FI493" s="770"/>
      <c r="FJ493" s="770"/>
      <c r="FK493" s="770"/>
      <c r="FL493" s="770"/>
      <c r="FM493" s="302"/>
      <c r="FN493" s="302"/>
      <c r="FO493" s="302"/>
      <c r="FP493" s="770"/>
      <c r="FQ493" s="770"/>
      <c r="FR493" s="770"/>
      <c r="FS493" s="770"/>
      <c r="FT493" s="770"/>
      <c r="FU493" s="770"/>
      <c r="FV493" s="770"/>
      <c r="FW493" s="770"/>
      <c r="FX493" s="770"/>
      <c r="FY493" s="770"/>
      <c r="FZ493" s="770"/>
      <c r="GA493" s="770"/>
      <c r="GB493" s="770"/>
      <c r="GC493" s="308"/>
      <c r="GD493" s="297"/>
      <c r="GE493" s="770"/>
      <c r="GF493" s="302"/>
      <c r="GG493" s="302"/>
      <c r="GH493" s="770"/>
      <c r="GI493" s="770"/>
      <c r="GJ493" s="770"/>
      <c r="GK493" s="770"/>
      <c r="GL493" s="770"/>
      <c r="GM493" s="770"/>
      <c r="GN493" s="299"/>
      <c r="GO493" s="770"/>
      <c r="GP493" s="770"/>
      <c r="GQ493" s="770"/>
      <c r="GR493" s="770"/>
      <c r="GS493" s="770"/>
      <c r="GT493" s="770"/>
      <c r="GU493" s="770"/>
      <c r="GV493" s="770"/>
      <c r="GW493" s="770"/>
      <c r="GX493" s="770"/>
      <c r="GY493" s="770"/>
      <c r="GZ493" s="770"/>
      <c r="HA493" s="770"/>
      <c r="HB493" s="770"/>
      <c r="HC493" s="770"/>
      <c r="HD493" s="770"/>
      <c r="HE493" s="770"/>
      <c r="HF493" s="770"/>
      <c r="HG493" s="770"/>
      <c r="HH493" s="770"/>
      <c r="HI493" s="770"/>
      <c r="HJ493" s="770"/>
      <c r="HK493" s="770"/>
      <c r="HL493" s="770"/>
      <c r="HM493" s="770"/>
      <c r="HN493" s="770"/>
      <c r="HO493" s="770"/>
      <c r="HP493" s="770"/>
      <c r="HQ493" s="770"/>
      <c r="HR493" s="770"/>
      <c r="HS493" s="770"/>
      <c r="HT493" s="770"/>
      <c r="HU493" s="770"/>
      <c r="HV493" s="770"/>
      <c r="HW493" s="770"/>
      <c r="HX493" s="770"/>
      <c r="HY493" s="770"/>
      <c r="HZ493" s="770"/>
      <c r="IA493" s="770"/>
      <c r="IB493" s="770"/>
      <c r="IC493" s="770"/>
      <c r="ID493" s="770"/>
      <c r="IE493" s="770"/>
      <c r="IF493" s="770" t="s">
        <v>2907</v>
      </c>
      <c r="IG493" s="770" t="s">
        <v>18</v>
      </c>
      <c r="IH493" s="770" t="s">
        <v>2915</v>
      </c>
      <c r="II493" s="770" t="s">
        <v>3024</v>
      </c>
      <c r="IJ493" s="770" t="s">
        <v>5826</v>
      </c>
      <c r="IK493" s="770" t="s">
        <v>2639</v>
      </c>
      <c r="IL493" s="770" t="s">
        <v>2914</v>
      </c>
      <c r="IM493" s="770">
        <v>2015</v>
      </c>
      <c r="IN493" s="770" t="s">
        <v>2914</v>
      </c>
      <c r="IO493" s="296">
        <v>33053</v>
      </c>
      <c r="IP493" s="770" t="s">
        <v>1306</v>
      </c>
      <c r="IQ493" s="769" t="s">
        <v>1909</v>
      </c>
      <c r="IR493" s="770" t="s">
        <v>1964</v>
      </c>
      <c r="IS493" s="770" t="s">
        <v>1966</v>
      </c>
      <c r="IT493" s="770" t="s">
        <v>1208</v>
      </c>
      <c r="IU493" s="770"/>
      <c r="IV493" s="770" t="s">
        <v>2916</v>
      </c>
      <c r="IW493" s="770" t="s">
        <v>13642</v>
      </c>
      <c r="IX493" s="770"/>
      <c r="IY493" s="770" t="s">
        <v>12790</v>
      </c>
      <c r="IZ493" s="770"/>
      <c r="JA493" s="770" t="s">
        <v>1880</v>
      </c>
      <c r="JB493" s="770" t="s">
        <v>1901</v>
      </c>
      <c r="JC493" s="770"/>
      <c r="JD493" s="302" t="s">
        <v>3650</v>
      </c>
      <c r="JE493" s="13">
        <v>1</v>
      </c>
      <c r="JF493" s="13">
        <v>1</v>
      </c>
      <c r="JG493" s="13">
        <v>1</v>
      </c>
      <c r="JH493" s="1780" t="s">
        <v>13643</v>
      </c>
      <c r="JI493" s="1780"/>
      <c r="JJ493" s="770"/>
      <c r="JK493" s="770"/>
      <c r="JL493" s="770"/>
      <c r="JM493" s="770"/>
      <c r="JN493" s="770"/>
      <c r="JO493" s="770"/>
      <c r="JP493" s="770"/>
      <c r="JQ493" s="770"/>
      <c r="JR493" s="770"/>
      <c r="JS493" s="770"/>
      <c r="JT493" s="766"/>
      <c r="JU493" s="766"/>
      <c r="JV493" s="766"/>
      <c r="JW493" s="766"/>
      <c r="JX493" s="770"/>
      <c r="JY493" s="770"/>
      <c r="JZ493" s="770"/>
      <c r="KA493" s="770"/>
      <c r="KB493" s="770"/>
      <c r="KC493" s="770"/>
      <c r="KD493" s="770"/>
      <c r="KE493" s="770"/>
      <c r="KF493" s="770"/>
      <c r="KG493" s="770"/>
      <c r="KH493" s="770"/>
      <c r="KI493" s="770"/>
      <c r="KJ493" s="770"/>
      <c r="KK493" s="770"/>
      <c r="KL493" s="770"/>
      <c r="KM493" s="770"/>
      <c r="KN493" s="770"/>
      <c r="KO493" s="770"/>
      <c r="KP493" s="770"/>
      <c r="KQ493" s="770"/>
      <c r="KR493" s="770"/>
      <c r="KS493" s="770"/>
      <c r="KT493" s="770"/>
      <c r="KU493" s="770"/>
      <c r="KV493" s="770"/>
      <c r="KW493" s="770"/>
      <c r="KX493" s="770"/>
      <c r="KY493" s="770"/>
      <c r="KZ493" s="770"/>
      <c r="LA493" s="770"/>
      <c r="LB493" s="770"/>
      <c r="LC493" s="770"/>
      <c r="LD493" s="770"/>
      <c r="LE493" s="770"/>
      <c r="LF493" s="770"/>
      <c r="LG493" s="770"/>
      <c r="LH493" s="770"/>
      <c r="LI493" s="770"/>
      <c r="LJ493" s="770"/>
      <c r="LK493" s="770"/>
      <c r="LL493" s="770"/>
      <c r="LM493" s="770"/>
      <c r="LN493" s="766"/>
      <c r="LO493" s="766"/>
      <c r="LP493" s="770"/>
      <c r="LQ493" s="770"/>
      <c r="LR493" s="770"/>
      <c r="LS493" s="770"/>
      <c r="LT493" s="770"/>
      <c r="LU493" s="770"/>
      <c r="LV493" s="770"/>
      <c r="LW493" s="770"/>
      <c r="LX493" s="769"/>
      <c r="LY493" s="766" t="str">
        <f t="shared" si="135"/>
        <v/>
      </c>
      <c r="LZ493" s="1709"/>
      <c r="MA493" s="1709"/>
      <c r="MB493" s="1709"/>
      <c r="MC493" s="1679">
        <f t="shared" si="133"/>
        <v>0</v>
      </c>
      <c r="MD493" s="1709"/>
      <c r="ME493" s="1709"/>
      <c r="MF493" s="1709"/>
      <c r="MG493" s="1680">
        <f t="shared" si="121"/>
        <v>0</v>
      </c>
      <c r="MH493" s="770"/>
      <c r="MI493" s="302"/>
      <c r="MJ493" s="302"/>
      <c r="MK493" s="302"/>
      <c r="ML493" s="302"/>
      <c r="MM493" s="302"/>
      <c r="MN493" s="302"/>
      <c r="MO493" s="302"/>
      <c r="MP493" s="302"/>
      <c r="MQ493" s="302"/>
      <c r="MR493" s="302"/>
      <c r="MS493" s="302"/>
      <c r="MT493" s="302"/>
      <c r="MU493" s="302"/>
      <c r="MV493" s="302"/>
      <c r="MW493" s="302"/>
      <c r="MX493" s="302"/>
      <c r="MY493" s="1682">
        <f t="shared" si="122"/>
        <v>0</v>
      </c>
      <c r="MZ493" s="770"/>
      <c r="NA493" s="770"/>
      <c r="NB493" s="770"/>
      <c r="NC493" s="770"/>
      <c r="ND493" s="770"/>
      <c r="NE493" s="770"/>
      <c r="NF493" s="770"/>
      <c r="NG493" s="770"/>
      <c r="NH493" s="770"/>
      <c r="NI493" s="770"/>
      <c r="NJ493" s="770"/>
      <c r="NK493" s="770"/>
      <c r="NL493" s="770"/>
      <c r="NM493" s="770"/>
      <c r="NN493" s="770"/>
      <c r="NO493" s="770"/>
      <c r="NP493" s="770"/>
      <c r="NQ493" s="770"/>
      <c r="NR493" s="770"/>
      <c r="NS493" s="770"/>
      <c r="NT493" s="770"/>
      <c r="NU493" s="770"/>
      <c r="NV493" s="770"/>
      <c r="NW493" s="770"/>
      <c r="NX493" s="770"/>
      <c r="NY493" s="770"/>
      <c r="NZ493" s="770"/>
      <c r="OA493" s="770"/>
      <c r="OB493" s="770"/>
      <c r="OC493" s="770"/>
      <c r="OD493" s="770"/>
      <c r="OE493" s="770"/>
      <c r="OF493" s="770"/>
      <c r="OG493" s="770"/>
      <c r="OH493" s="770"/>
      <c r="OI493" s="770"/>
      <c r="OJ493" s="770"/>
      <c r="OK493" s="770"/>
      <c r="OL493" s="770"/>
      <c r="OM493" s="770"/>
      <c r="ON493" s="770"/>
      <c r="OO493" s="770"/>
      <c r="OP493" s="770"/>
      <c r="OQ493" s="770"/>
      <c r="OR493" s="770"/>
      <c r="OS493" s="770"/>
      <c r="OT493" s="770"/>
      <c r="OU493" s="770"/>
      <c r="OV493" s="770"/>
      <c r="OW493" s="770"/>
      <c r="OX493" s="770"/>
      <c r="OY493" s="770"/>
      <c r="OZ493" s="770"/>
      <c r="PA493" s="770"/>
      <c r="PB493" s="770"/>
      <c r="PC493" s="770"/>
      <c r="PD493" s="770"/>
      <c r="PE493" s="770"/>
      <c r="PF493" s="770"/>
      <c r="PG493" s="770"/>
      <c r="PH493" s="770"/>
      <c r="PI493" s="770"/>
      <c r="PJ493" s="770"/>
      <c r="PK493" s="770"/>
      <c r="PL493" s="770"/>
      <c r="PM493" s="770"/>
      <c r="PN493" s="770"/>
      <c r="PO493" s="770"/>
      <c r="PP493" s="770"/>
      <c r="PQ493" s="770"/>
      <c r="PR493" s="770"/>
      <c r="PS493" s="770"/>
      <c r="PT493" s="770"/>
      <c r="PU493" s="770"/>
      <c r="PV493" s="770"/>
      <c r="PW493" s="770"/>
      <c r="PX493" s="770"/>
      <c r="PY493" s="770"/>
      <c r="PZ493" s="770"/>
      <c r="QA493" s="770"/>
      <c r="QB493" s="770"/>
      <c r="QC493" s="770"/>
      <c r="QD493" s="770"/>
      <c r="QE493" s="770"/>
      <c r="QF493" s="770"/>
      <c r="QG493" s="770"/>
      <c r="QH493" s="770"/>
      <c r="QI493" s="770"/>
      <c r="QJ493" s="770"/>
      <c r="QK493" s="770"/>
      <c r="QL493" s="770"/>
      <c r="QM493" s="770"/>
      <c r="QN493" s="770"/>
      <c r="QO493" s="770"/>
      <c r="QP493" s="770"/>
      <c r="QQ493" s="770"/>
      <c r="QR493" s="770"/>
      <c r="QS493" s="770"/>
      <c r="QT493" s="770"/>
      <c r="QU493" s="770"/>
      <c r="QV493" s="770"/>
      <c r="QW493" s="770"/>
      <c r="QX493" s="770"/>
      <c r="QY493" s="770"/>
      <c r="QZ493" s="770"/>
      <c r="RA493" s="770"/>
      <c r="RB493" s="770"/>
      <c r="RC493" s="770"/>
      <c r="RD493" s="770"/>
      <c r="RE493" s="770"/>
      <c r="RF493" s="304"/>
      <c r="RG493" s="770"/>
      <c r="RH493" s="302"/>
      <c r="RI493" s="770"/>
      <c r="RJ493" s="770" t="s">
        <v>2917</v>
      </c>
      <c r="RK493" s="770" t="s">
        <v>13556</v>
      </c>
      <c r="RL493" s="1710"/>
      <c r="RM493" s="12"/>
      <c r="RN493" s="1711"/>
      <c r="RO493" s="133" t="s">
        <v>2906</v>
      </c>
      <c r="RP493" s="11"/>
      <c r="RQ493" s="11"/>
      <c r="RR493" s="17"/>
      <c r="RS493" s="767"/>
      <c r="RT493" s="11"/>
      <c r="RU493" s="11"/>
      <c r="RV493" s="771" t="s">
        <v>7419</v>
      </c>
      <c r="RW493" s="11" t="s">
        <v>7694</v>
      </c>
      <c r="RX493" s="11" t="s">
        <v>2906</v>
      </c>
      <c r="RY493" s="11"/>
      <c r="RZ493" s="11"/>
      <c r="SA493" s="771"/>
      <c r="SB493" s="11"/>
      <c r="SC493" s="11"/>
    </row>
    <row r="494" spans="1:497" ht="12.75" hidden="1" customHeight="1">
      <c r="A494" s="19" t="s">
        <v>7419</v>
      </c>
      <c r="B494" s="752" t="s">
        <v>7872</v>
      </c>
      <c r="C494" s="133" t="s">
        <v>3356</v>
      </c>
      <c r="D494" s="94" t="s">
        <v>11647</v>
      </c>
      <c r="E494" s="770" t="s">
        <v>3358</v>
      </c>
      <c r="F494" s="770" t="s">
        <v>28</v>
      </c>
      <c r="G494" s="770" t="s">
        <v>10</v>
      </c>
      <c r="H494" s="770"/>
      <c r="I494" s="295" t="s">
        <v>3390</v>
      </c>
      <c r="J494" s="94" t="s">
        <v>3360</v>
      </c>
      <c r="K494" s="766" t="s">
        <v>3361</v>
      </c>
      <c r="L494" s="766" t="s">
        <v>2263</v>
      </c>
      <c r="M494" s="770" t="s">
        <v>1238</v>
      </c>
      <c r="N494" s="770"/>
      <c r="O494" s="770" t="s">
        <v>2922</v>
      </c>
      <c r="P494" s="770" t="s">
        <v>7873</v>
      </c>
      <c r="Q494" s="1088">
        <v>20826</v>
      </c>
      <c r="R494" s="297">
        <v>60</v>
      </c>
      <c r="S494" s="770" t="s">
        <v>18</v>
      </c>
      <c r="T494" s="770"/>
      <c r="U494" s="295" t="s">
        <v>3359</v>
      </c>
      <c r="V494" s="770" t="s">
        <v>719</v>
      </c>
      <c r="W494" s="770"/>
      <c r="X494" s="770"/>
      <c r="Y494" s="770" t="s">
        <v>3358</v>
      </c>
      <c r="Z494" s="770" t="s">
        <v>708</v>
      </c>
      <c r="AA494" s="770" t="s">
        <v>709</v>
      </c>
      <c r="AB494" s="770" t="s">
        <v>710</v>
      </c>
      <c r="AC494" s="770" t="s">
        <v>724</v>
      </c>
      <c r="AD494" s="770" t="s">
        <v>711</v>
      </c>
      <c r="AE494" s="770"/>
      <c r="AF494" s="770" t="s">
        <v>712</v>
      </c>
      <c r="AG494" s="766" t="s">
        <v>1132</v>
      </c>
      <c r="AH494" s="766" t="s">
        <v>1096</v>
      </c>
      <c r="AI494" s="770" t="s">
        <v>7874</v>
      </c>
      <c r="AJ494" s="770"/>
      <c r="AK494" s="766" t="s">
        <v>5454</v>
      </c>
      <c r="AL494" s="531"/>
      <c r="AM494" s="780"/>
      <c r="AN494" s="532"/>
      <c r="AO494" s="766"/>
      <c r="AP494" s="766" t="s">
        <v>11906</v>
      </c>
      <c r="AQ494" s="766"/>
      <c r="AR494" s="766"/>
      <c r="AS494" s="770" t="s">
        <v>1207</v>
      </c>
      <c r="AT494" s="770" t="s">
        <v>1208</v>
      </c>
      <c r="AU494" s="770" t="s">
        <v>1208</v>
      </c>
      <c r="AV494" s="770"/>
      <c r="AW494" s="770"/>
      <c r="AX494" s="770"/>
      <c r="AY494" s="770"/>
      <c r="AZ494" s="770"/>
      <c r="BA494" s="770"/>
      <c r="BB494" s="770"/>
      <c r="BC494" s="770" t="s">
        <v>853</v>
      </c>
      <c r="BD494" s="770" t="s">
        <v>1207</v>
      </c>
      <c r="BE494" s="770"/>
      <c r="BF494" s="302"/>
      <c r="BG494" s="302"/>
      <c r="BH494" s="770"/>
      <c r="BI494" s="770"/>
      <c r="BJ494" s="770"/>
      <c r="BK494" s="766" t="s">
        <v>1095</v>
      </c>
      <c r="BL494" s="766" t="s">
        <v>3363</v>
      </c>
      <c r="BM494" s="770" t="s">
        <v>1096</v>
      </c>
      <c r="BN494" s="770" t="s">
        <v>1230</v>
      </c>
      <c r="BO494" s="766" t="s">
        <v>1239</v>
      </c>
      <c r="BP494" s="765">
        <v>46.22</v>
      </c>
      <c r="BQ494" s="773">
        <v>3.85</v>
      </c>
      <c r="BR494" s="774">
        <f>BQ494/BP494</f>
        <v>8.3297273907399397E-2</v>
      </c>
      <c r="BS494" s="766" t="s">
        <v>1242</v>
      </c>
      <c r="BT494" s="766" t="s">
        <v>2040</v>
      </c>
      <c r="BU494" s="766" t="s">
        <v>1249</v>
      </c>
      <c r="BV494" s="766" t="s">
        <v>1247</v>
      </c>
      <c r="BW494" s="769"/>
      <c r="BX494" s="775"/>
      <c r="BY494" s="766" t="s">
        <v>1207</v>
      </c>
      <c r="BZ494" s="775" t="s">
        <v>2769</v>
      </c>
      <c r="CA494" s="766"/>
      <c r="CB494" s="770"/>
      <c r="CC494" s="770"/>
      <c r="CD494" s="770"/>
      <c r="CE494" s="770"/>
      <c r="CF494" s="1753"/>
      <c r="CG494" s="1754"/>
      <c r="CH494" s="770"/>
      <c r="CI494" s="770"/>
      <c r="CJ494" s="770"/>
      <c r="CK494" s="770"/>
      <c r="CL494" s="770"/>
      <c r="CM494" s="770"/>
      <c r="CN494" s="770"/>
      <c r="CO494" s="770"/>
      <c r="CP494" s="770"/>
      <c r="CQ494" s="770"/>
      <c r="CR494" s="302"/>
      <c r="CS494" s="770"/>
      <c r="CT494" s="770"/>
      <c r="CU494" s="305"/>
      <c r="CV494" s="770"/>
      <c r="CW494" s="770"/>
      <c r="CX494" s="770"/>
      <c r="CY494" s="770"/>
      <c r="CZ494" s="770"/>
      <c r="DA494" s="306"/>
      <c r="DB494" s="770"/>
      <c r="DC494" s="770"/>
      <c r="DD494" s="770"/>
      <c r="DE494" s="300"/>
      <c r="DF494" s="770"/>
      <c r="DG494" s="770"/>
      <c r="DH494" s="770"/>
      <c r="DI494" s="770"/>
      <c r="DJ494" s="770"/>
      <c r="DK494" s="770"/>
      <c r="DL494" s="770"/>
      <c r="DM494" s="770"/>
      <c r="DN494" s="322"/>
      <c r="DO494" s="770"/>
      <c r="DP494" s="770"/>
      <c r="DQ494" s="770"/>
      <c r="DR494" s="770"/>
      <c r="DS494" s="307"/>
      <c r="DT494" s="770"/>
      <c r="DU494" s="770"/>
      <c r="DV494" s="770"/>
      <c r="DW494" s="306"/>
      <c r="DX494" s="306"/>
      <c r="DY494" s="770"/>
      <c r="DZ494" s="770"/>
      <c r="EA494" s="770"/>
      <c r="EB494" s="770"/>
      <c r="EC494" s="770"/>
      <c r="ED494" s="770"/>
      <c r="EE494" s="770"/>
      <c r="EF494" s="770"/>
      <c r="EG494" s="770"/>
      <c r="EH494" s="770"/>
      <c r="EI494" s="770"/>
      <c r="EJ494" s="770"/>
      <c r="EK494" s="770"/>
      <c r="EL494" s="770"/>
      <c r="EM494" s="770"/>
      <c r="EN494" s="770"/>
      <c r="EO494" s="770"/>
      <c r="EP494" s="94"/>
      <c r="EQ494" s="770"/>
      <c r="ER494" s="770"/>
      <c r="ES494" s="770"/>
      <c r="ET494" s="770"/>
      <c r="EU494" s="770"/>
      <c r="EV494" s="770"/>
      <c r="EW494" s="770"/>
      <c r="EX494" s="770"/>
      <c r="EY494" s="770"/>
      <c r="EZ494" s="770"/>
      <c r="FA494" s="770"/>
      <c r="FB494" s="770"/>
      <c r="FC494" s="770"/>
      <c r="FD494" s="302"/>
      <c r="FE494" s="770"/>
      <c r="FF494" s="770"/>
      <c r="FG494" s="770"/>
      <c r="FH494" s="770"/>
      <c r="FI494" s="770"/>
      <c r="FJ494" s="770"/>
      <c r="FK494" s="770"/>
      <c r="FL494" s="770"/>
      <c r="FM494" s="302"/>
      <c r="FN494" s="302"/>
      <c r="FO494" s="302"/>
      <c r="FP494" s="770"/>
      <c r="FQ494" s="770"/>
      <c r="FR494" s="770" t="s">
        <v>1214</v>
      </c>
      <c r="FS494" s="770"/>
      <c r="FT494" s="770"/>
      <c r="FU494" s="770"/>
      <c r="FV494" s="770"/>
      <c r="FW494" s="770"/>
      <c r="FX494" s="770"/>
      <c r="FY494" s="770"/>
      <c r="FZ494" s="770"/>
      <c r="GA494" s="770"/>
      <c r="GB494" s="770" t="s">
        <v>1734</v>
      </c>
      <c r="GC494" s="308"/>
      <c r="GD494" s="297"/>
      <c r="GE494" s="770" t="s">
        <v>1207</v>
      </c>
      <c r="GF494" s="302">
        <v>1800</v>
      </c>
      <c r="GG494" s="302"/>
      <c r="GH494" s="770"/>
      <c r="GI494" s="770"/>
      <c r="GJ494" s="770"/>
      <c r="GK494" s="770"/>
      <c r="GL494" s="770"/>
      <c r="GM494" s="770"/>
      <c r="GN494" s="299"/>
      <c r="GO494" s="770"/>
      <c r="GP494" s="770"/>
      <c r="GQ494" s="770"/>
      <c r="GR494" s="770"/>
      <c r="GS494" s="770"/>
      <c r="GT494" s="770"/>
      <c r="GU494" s="770"/>
      <c r="GV494" s="770"/>
      <c r="GW494" s="770"/>
      <c r="GX494" s="770"/>
      <c r="GY494" s="770"/>
      <c r="GZ494" s="770"/>
      <c r="HA494" s="770"/>
      <c r="HB494" s="770"/>
      <c r="HC494" s="770"/>
      <c r="HD494" s="770"/>
      <c r="HE494" s="770"/>
      <c r="HF494" s="770"/>
      <c r="HG494" s="770"/>
      <c r="HH494" s="770"/>
      <c r="HI494" s="770"/>
      <c r="HJ494" s="770"/>
      <c r="HK494" s="770"/>
      <c r="HL494" s="770"/>
      <c r="HM494" s="770"/>
      <c r="HN494" s="770"/>
      <c r="HO494" s="770"/>
      <c r="HP494" s="770"/>
      <c r="HQ494" s="770"/>
      <c r="HR494" s="770"/>
      <c r="HS494" s="770"/>
      <c r="HT494" s="770"/>
      <c r="HU494" s="770"/>
      <c r="HV494" s="770"/>
      <c r="HW494" s="770"/>
      <c r="HX494" s="770"/>
      <c r="HY494" s="770"/>
      <c r="HZ494" s="770"/>
      <c r="IA494" s="770"/>
      <c r="IB494" s="770"/>
      <c r="IC494" s="770"/>
      <c r="ID494" s="770"/>
      <c r="IE494" s="770"/>
      <c r="IF494" s="770" t="s">
        <v>3560</v>
      </c>
      <c r="IG494" s="770" t="s">
        <v>10</v>
      </c>
      <c r="IH494" s="770" t="s">
        <v>478</v>
      </c>
      <c r="II494" s="770" t="s">
        <v>7875</v>
      </c>
      <c r="IJ494" s="770" t="s">
        <v>1835</v>
      </c>
      <c r="IK494" s="770" t="s">
        <v>2639</v>
      </c>
      <c r="IL494" s="770" t="s">
        <v>3363</v>
      </c>
      <c r="IM494" s="770">
        <v>2015</v>
      </c>
      <c r="IN494" s="770" t="s">
        <v>3363</v>
      </c>
      <c r="IO494" s="296"/>
      <c r="IP494" s="770"/>
      <c r="IQ494" s="769" t="s">
        <v>1882</v>
      </c>
      <c r="IR494" s="770" t="s">
        <v>2716</v>
      </c>
      <c r="IS494" s="770" t="s">
        <v>1966</v>
      </c>
      <c r="IT494" s="770"/>
      <c r="IU494" s="770" t="s">
        <v>1208</v>
      </c>
      <c r="IV494" s="770"/>
      <c r="IW494" s="770"/>
      <c r="IX494" s="770"/>
      <c r="IY494" s="770" t="s">
        <v>3390</v>
      </c>
      <c r="IZ494" s="770"/>
      <c r="JA494" s="770" t="s">
        <v>1880</v>
      </c>
      <c r="JB494" s="770" t="s">
        <v>1901</v>
      </c>
      <c r="JC494" s="770"/>
      <c r="JD494" s="302">
        <v>1800</v>
      </c>
      <c r="JE494" s="13"/>
      <c r="JF494" s="13"/>
      <c r="JG494" s="13"/>
      <c r="JH494" s="1780"/>
      <c r="JI494" s="1780"/>
      <c r="JJ494" s="770"/>
      <c r="JK494" s="770"/>
      <c r="JL494" s="770"/>
      <c r="JM494" s="770"/>
      <c r="JN494" s="770"/>
      <c r="JO494" s="770"/>
      <c r="JP494" s="770"/>
      <c r="JQ494" s="770"/>
      <c r="JR494" s="770"/>
      <c r="JS494" s="770"/>
      <c r="JT494" s="766"/>
      <c r="JU494" s="766"/>
      <c r="JV494" s="766"/>
      <c r="JW494" s="766"/>
      <c r="JX494" s="770"/>
      <c r="JY494" s="770"/>
      <c r="JZ494" s="770"/>
      <c r="KA494" s="770"/>
      <c r="KB494" s="770"/>
      <c r="KC494" s="770"/>
      <c r="KD494" s="770"/>
      <c r="KE494" s="770"/>
      <c r="KF494" s="770"/>
      <c r="KG494" s="770"/>
      <c r="KH494" s="770"/>
      <c r="KI494" s="770"/>
      <c r="KJ494" s="770"/>
      <c r="KK494" s="770"/>
      <c r="KL494" s="770"/>
      <c r="KM494" s="770"/>
      <c r="KN494" s="770"/>
      <c r="KO494" s="770"/>
      <c r="KP494" s="770"/>
      <c r="KQ494" s="770"/>
      <c r="KR494" s="770"/>
      <c r="KS494" s="770"/>
      <c r="KT494" s="770"/>
      <c r="KU494" s="770"/>
      <c r="KV494" s="770"/>
      <c r="KW494" s="770"/>
      <c r="KX494" s="770"/>
      <c r="KY494" s="770"/>
      <c r="KZ494" s="770"/>
      <c r="LA494" s="770"/>
      <c r="LB494" s="770"/>
      <c r="LC494" s="770"/>
      <c r="LD494" s="770"/>
      <c r="LE494" s="770"/>
      <c r="LF494" s="770"/>
      <c r="LG494" s="770"/>
      <c r="LH494" s="770"/>
      <c r="LI494" s="770"/>
      <c r="LJ494" s="770"/>
      <c r="LK494" s="770"/>
      <c r="LL494" s="770"/>
      <c r="LM494" s="770"/>
      <c r="LN494" s="766"/>
      <c r="LO494" s="766"/>
      <c r="LP494" s="770"/>
      <c r="LQ494" s="770"/>
      <c r="LR494" s="770"/>
      <c r="LS494" s="770"/>
      <c r="LT494" s="770"/>
      <c r="LU494" s="770"/>
      <c r="LV494" s="770"/>
      <c r="LW494" s="770"/>
      <c r="LX494" s="769"/>
      <c r="LY494" s="766" t="str">
        <f t="shared" si="135"/>
        <v/>
      </c>
      <c r="LZ494" s="1709"/>
      <c r="MA494" s="1709"/>
      <c r="MB494" s="1709"/>
      <c r="MC494" s="1679">
        <f t="shared" si="133"/>
        <v>0</v>
      </c>
      <c r="MD494" s="1709"/>
      <c r="ME494" s="1709"/>
      <c r="MF494" s="1709"/>
      <c r="MG494" s="1680">
        <f t="shared" si="121"/>
        <v>0</v>
      </c>
      <c r="MH494" s="770"/>
      <c r="MI494" s="302"/>
      <c r="MJ494" s="302"/>
      <c r="MK494" s="302"/>
      <c r="ML494" s="302"/>
      <c r="MM494" s="302"/>
      <c r="MN494" s="302"/>
      <c r="MO494" s="302"/>
      <c r="MP494" s="302"/>
      <c r="MQ494" s="302"/>
      <c r="MR494" s="302"/>
      <c r="MS494" s="302"/>
      <c r="MT494" s="302"/>
      <c r="MU494" s="302"/>
      <c r="MV494" s="302"/>
      <c r="MW494" s="302"/>
      <c r="MX494" s="302"/>
      <c r="MY494" s="1682">
        <f t="shared" si="122"/>
        <v>0</v>
      </c>
      <c r="MZ494" s="770"/>
      <c r="NA494" s="770"/>
      <c r="NB494" s="770"/>
      <c r="NC494" s="770"/>
      <c r="ND494" s="770"/>
      <c r="NE494" s="770"/>
      <c r="NF494" s="770"/>
      <c r="NG494" s="770"/>
      <c r="NH494" s="770"/>
      <c r="NI494" s="770"/>
      <c r="NJ494" s="770"/>
      <c r="NK494" s="770"/>
      <c r="NL494" s="770"/>
      <c r="NM494" s="770"/>
      <c r="NN494" s="770"/>
      <c r="NO494" s="770"/>
      <c r="NP494" s="770"/>
      <c r="NQ494" s="770"/>
      <c r="NR494" s="770"/>
      <c r="NS494" s="770"/>
      <c r="NT494" s="770"/>
      <c r="NU494" s="770"/>
      <c r="NV494" s="770"/>
      <c r="NW494" s="770"/>
      <c r="NX494" s="770"/>
      <c r="NY494" s="770"/>
      <c r="NZ494" s="770"/>
      <c r="OA494" s="770"/>
      <c r="OB494" s="770"/>
      <c r="OC494" s="770"/>
      <c r="OD494" s="770"/>
      <c r="OE494" s="770"/>
      <c r="OF494" s="770"/>
      <c r="OG494" s="770"/>
      <c r="OH494" s="770"/>
      <c r="OI494" s="770"/>
      <c r="OJ494" s="770"/>
      <c r="OK494" s="770"/>
      <c r="OL494" s="770"/>
      <c r="OM494" s="770"/>
      <c r="ON494" s="770"/>
      <c r="OO494" s="770"/>
      <c r="OP494" s="770"/>
      <c r="OQ494" s="770"/>
      <c r="OR494" s="770"/>
      <c r="OS494" s="770"/>
      <c r="OT494" s="770"/>
      <c r="OU494" s="770"/>
      <c r="OV494" s="770"/>
      <c r="OW494" s="770"/>
      <c r="OX494" s="770"/>
      <c r="OY494" s="770"/>
      <c r="OZ494" s="770"/>
      <c r="PA494" s="770"/>
      <c r="PB494" s="770"/>
      <c r="PC494" s="770"/>
      <c r="PD494" s="770"/>
      <c r="PE494" s="770"/>
      <c r="PF494" s="770"/>
      <c r="PG494" s="770"/>
      <c r="PH494" s="770"/>
      <c r="PI494" s="770"/>
      <c r="PJ494" s="770"/>
      <c r="PK494" s="770"/>
      <c r="PL494" s="770"/>
      <c r="PM494" s="770"/>
      <c r="PN494" s="770"/>
      <c r="PO494" s="770"/>
      <c r="PP494" s="770"/>
      <c r="PQ494" s="770"/>
      <c r="PR494" s="770"/>
      <c r="PS494" s="770"/>
      <c r="PT494" s="770"/>
      <c r="PU494" s="770"/>
      <c r="PV494" s="770"/>
      <c r="PW494" s="770"/>
      <c r="PX494" s="770"/>
      <c r="PY494" s="770"/>
      <c r="PZ494" s="770"/>
      <c r="QA494" s="770"/>
      <c r="QB494" s="770"/>
      <c r="QC494" s="770"/>
      <c r="QD494" s="770"/>
      <c r="QE494" s="770"/>
      <c r="QF494" s="770"/>
      <c r="QG494" s="770"/>
      <c r="QH494" s="770"/>
      <c r="QI494" s="770"/>
      <c r="QJ494" s="770"/>
      <c r="QK494" s="770"/>
      <c r="QL494" s="770"/>
      <c r="QM494" s="770"/>
      <c r="QN494" s="770"/>
      <c r="QO494" s="770"/>
      <c r="QP494" s="770"/>
      <c r="QQ494" s="770"/>
      <c r="QR494" s="770"/>
      <c r="QS494" s="770"/>
      <c r="QT494" s="770"/>
      <c r="QU494" s="770"/>
      <c r="QV494" s="770"/>
      <c r="QW494" s="770"/>
      <c r="QX494" s="770"/>
      <c r="QY494" s="770"/>
      <c r="QZ494" s="770"/>
      <c r="RA494" s="770"/>
      <c r="RB494" s="770"/>
      <c r="RC494" s="770"/>
      <c r="RD494" s="770"/>
      <c r="RE494" s="770"/>
      <c r="RF494" s="304"/>
      <c r="RG494" s="770"/>
      <c r="RH494" s="302"/>
      <c r="RI494" s="770"/>
      <c r="RJ494" s="770"/>
      <c r="RK494" s="770"/>
      <c r="RL494" s="1710"/>
      <c r="RM494" s="12"/>
      <c r="RN494" s="1711"/>
      <c r="RO494" s="133" t="s">
        <v>3356</v>
      </c>
      <c r="RP494" s="11"/>
      <c r="RQ494" s="11"/>
      <c r="RR494" s="17"/>
      <c r="RS494" s="767"/>
      <c r="RT494" s="11"/>
      <c r="RU494" s="11"/>
      <c r="RV494" s="771" t="s">
        <v>13644</v>
      </c>
      <c r="RW494" s="11" t="s">
        <v>7779</v>
      </c>
      <c r="RX494" s="11" t="s">
        <v>2906</v>
      </c>
      <c r="RY494" s="11"/>
      <c r="RZ494" s="11" t="s">
        <v>1101</v>
      </c>
      <c r="SA494" s="771"/>
      <c r="SB494" s="11"/>
      <c r="SC494" s="11"/>
    </row>
    <row r="495" spans="1:497" ht="12.75" hidden="1" customHeight="1">
      <c r="A495" s="19" t="s">
        <v>14208</v>
      </c>
      <c r="B495" s="752" t="s">
        <v>7879</v>
      </c>
      <c r="C495" s="133" t="s">
        <v>3356</v>
      </c>
      <c r="D495" s="14" t="s">
        <v>3357</v>
      </c>
      <c r="E495" s="770" t="s">
        <v>3358</v>
      </c>
      <c r="F495" s="770" t="s">
        <v>42</v>
      </c>
      <c r="G495" s="770" t="s">
        <v>10</v>
      </c>
      <c r="H495" s="770"/>
      <c r="I495" s="295" t="s">
        <v>3359</v>
      </c>
      <c r="J495" s="94" t="s">
        <v>3360</v>
      </c>
      <c r="K495" s="766" t="s">
        <v>3361</v>
      </c>
      <c r="L495" s="766" t="s">
        <v>2263</v>
      </c>
      <c r="M495" s="770" t="s">
        <v>1238</v>
      </c>
      <c r="N495" s="770"/>
      <c r="O495" s="770" t="s">
        <v>2922</v>
      </c>
      <c r="P495" s="770" t="s">
        <v>3362</v>
      </c>
      <c r="Q495" s="1088">
        <v>20826</v>
      </c>
      <c r="R495" s="297">
        <v>60</v>
      </c>
      <c r="S495" s="770" t="s">
        <v>18</v>
      </c>
      <c r="T495" s="770"/>
      <c r="U495" s="295" t="s">
        <v>3359</v>
      </c>
      <c r="V495" s="770" t="s">
        <v>719</v>
      </c>
      <c r="W495" s="770"/>
      <c r="X495" s="770"/>
      <c r="Y495" s="770" t="s">
        <v>3358</v>
      </c>
      <c r="Z495" s="770" t="s">
        <v>708</v>
      </c>
      <c r="AA495" s="770" t="s">
        <v>709</v>
      </c>
      <c r="AB495" s="295" t="s">
        <v>710</v>
      </c>
      <c r="AC495" s="770" t="s">
        <v>724</v>
      </c>
      <c r="AD495" s="770" t="s">
        <v>711</v>
      </c>
      <c r="AE495" s="770"/>
      <c r="AF495" s="770" t="s">
        <v>712</v>
      </c>
      <c r="AG495" s="766" t="s">
        <v>1132</v>
      </c>
      <c r="AH495" s="766" t="s">
        <v>1096</v>
      </c>
      <c r="AI495" s="770" t="s">
        <v>7874</v>
      </c>
      <c r="AJ495" s="770"/>
      <c r="AK495" s="770" t="s">
        <v>1899</v>
      </c>
      <c r="AL495" s="531"/>
      <c r="AM495" s="780"/>
      <c r="AN495" s="532"/>
      <c r="AO495" s="766"/>
      <c r="AP495" s="769"/>
      <c r="AQ495" s="766"/>
      <c r="AR495" s="766"/>
      <c r="AS495" s="770"/>
      <c r="AT495" s="770"/>
      <c r="AU495" s="770"/>
      <c r="AV495" s="770"/>
      <c r="AW495" s="770"/>
      <c r="AX495" s="770"/>
      <c r="AY495" s="770"/>
      <c r="AZ495" s="770"/>
      <c r="BA495" s="770"/>
      <c r="BB495" s="770"/>
      <c r="BC495" s="770"/>
      <c r="BD495" s="770"/>
      <c r="BE495" s="770"/>
      <c r="BF495" s="302"/>
      <c r="BG495" s="302"/>
      <c r="BH495" s="770"/>
      <c r="BI495" s="770"/>
      <c r="BJ495" s="770"/>
      <c r="BK495" s="770"/>
      <c r="BL495" s="766"/>
      <c r="BM495" s="770" t="s">
        <v>1238</v>
      </c>
      <c r="BN495" s="770" t="s">
        <v>1256</v>
      </c>
      <c r="BO495" s="766"/>
      <c r="BP495" s="780"/>
      <c r="BQ495" s="773"/>
      <c r="BR495" s="774"/>
      <c r="BS495" s="766" t="s">
        <v>1242</v>
      </c>
      <c r="BT495" s="770"/>
      <c r="BU495" s="770"/>
      <c r="BV495" s="770"/>
      <c r="BW495" s="770"/>
      <c r="BX495" s="302"/>
      <c r="BY495" s="770"/>
      <c r="BZ495" s="302"/>
      <c r="CA495" s="770"/>
      <c r="CB495" s="770"/>
      <c r="CC495" s="770"/>
      <c r="CD495" s="770"/>
      <c r="CE495" s="770"/>
      <c r="CF495" s="1753"/>
      <c r="CG495" s="1754"/>
      <c r="CH495" s="770"/>
      <c r="CI495" s="770"/>
      <c r="CJ495" s="770"/>
      <c r="CK495" s="770"/>
      <c r="CL495" s="770"/>
      <c r="CM495" s="770"/>
      <c r="CN495" s="770"/>
      <c r="CO495" s="770"/>
      <c r="CP495" s="770"/>
      <c r="CQ495" s="770"/>
      <c r="CR495" s="302"/>
      <c r="CS495" s="770"/>
      <c r="CT495" s="770"/>
      <c r="CU495" s="305"/>
      <c r="CV495" s="770"/>
      <c r="CW495" s="770"/>
      <c r="CX495" s="770"/>
      <c r="CY495" s="770"/>
      <c r="CZ495" s="770"/>
      <c r="DA495" s="306"/>
      <c r="DB495" s="770"/>
      <c r="DC495" s="770"/>
      <c r="DD495" s="770"/>
      <c r="DE495" s="300"/>
      <c r="DF495" s="770"/>
      <c r="DG495" s="770"/>
      <c r="DH495" s="770"/>
      <c r="DI495" s="770"/>
      <c r="DJ495" s="770"/>
      <c r="DK495" s="770"/>
      <c r="DL495" s="770"/>
      <c r="DM495" s="770"/>
      <c r="DN495" s="322"/>
      <c r="DO495" s="770"/>
      <c r="DP495" s="770"/>
      <c r="DQ495" s="770"/>
      <c r="DR495" s="770"/>
      <c r="DS495" s="307"/>
      <c r="DT495" s="770"/>
      <c r="DU495" s="770"/>
      <c r="DV495" s="770"/>
      <c r="DW495" s="306"/>
      <c r="DX495" s="306"/>
      <c r="DY495" s="770"/>
      <c r="DZ495" s="770"/>
      <c r="EA495" s="770"/>
      <c r="EB495" s="770"/>
      <c r="EC495" s="770"/>
      <c r="ED495" s="770"/>
      <c r="EE495" s="770"/>
      <c r="EF495" s="770"/>
      <c r="EG495" s="770"/>
      <c r="EH495" s="770"/>
      <c r="EI495" s="770"/>
      <c r="EJ495" s="770"/>
      <c r="EK495" s="770"/>
      <c r="EL495" s="770"/>
      <c r="EM495" s="770"/>
      <c r="EN495" s="770"/>
      <c r="EO495" s="770"/>
      <c r="EP495" s="94"/>
      <c r="EQ495" s="770"/>
      <c r="ER495" s="770"/>
      <c r="ES495" s="770"/>
      <c r="ET495" s="770"/>
      <c r="EU495" s="770"/>
      <c r="EV495" s="770"/>
      <c r="EW495" s="770"/>
      <c r="EX495" s="770"/>
      <c r="EY495" s="770"/>
      <c r="EZ495" s="770"/>
      <c r="FA495" s="770"/>
      <c r="FB495" s="770"/>
      <c r="FC495" s="770"/>
      <c r="FD495" s="302"/>
      <c r="FE495" s="770"/>
      <c r="FF495" s="770"/>
      <c r="FG495" s="770"/>
      <c r="FH495" s="770" t="s">
        <v>1306</v>
      </c>
      <c r="FI495" s="770">
        <v>1</v>
      </c>
      <c r="FJ495" s="770" t="s">
        <v>3363</v>
      </c>
      <c r="FK495" s="770" t="s">
        <v>3359</v>
      </c>
      <c r="FL495" s="770" t="s">
        <v>14058</v>
      </c>
      <c r="FM495" s="147">
        <v>1500</v>
      </c>
      <c r="FN495" s="302">
        <v>500</v>
      </c>
      <c r="FO495" s="302">
        <v>950</v>
      </c>
      <c r="FP495" s="770" t="s">
        <v>1600</v>
      </c>
      <c r="FQ495" s="770" t="s">
        <v>1642</v>
      </c>
      <c r="FR495" s="770"/>
      <c r="FS495" s="770"/>
      <c r="FT495" s="770"/>
      <c r="FU495" s="770"/>
      <c r="FV495" s="770"/>
      <c r="FW495" s="770"/>
      <c r="FX495" s="770"/>
      <c r="FY495" s="770"/>
      <c r="FZ495" s="770"/>
      <c r="GA495" s="770"/>
      <c r="GB495" s="770"/>
      <c r="GC495" s="308"/>
      <c r="GD495" s="297"/>
      <c r="GE495" s="770"/>
      <c r="GF495" s="302"/>
      <c r="GG495" s="302"/>
      <c r="GH495" s="770"/>
      <c r="GI495" s="770"/>
      <c r="GJ495" s="770"/>
      <c r="GK495" s="770"/>
      <c r="GL495" s="770"/>
      <c r="GM495" s="770"/>
      <c r="GN495" s="299"/>
      <c r="GO495" s="770"/>
      <c r="GP495" s="770"/>
      <c r="GQ495" s="770"/>
      <c r="GR495" s="770"/>
      <c r="GS495" s="770"/>
      <c r="GT495" s="770"/>
      <c r="GU495" s="770"/>
      <c r="GV495" s="770"/>
      <c r="GW495" s="770"/>
      <c r="GX495" s="770"/>
      <c r="GY495" s="770"/>
      <c r="GZ495" s="770"/>
      <c r="HA495" s="770"/>
      <c r="HB495" s="770"/>
      <c r="HC495" s="770"/>
      <c r="HD495" s="770"/>
      <c r="HE495" s="770"/>
      <c r="HF495" s="770"/>
      <c r="HG495" s="770"/>
      <c r="HH495" s="770"/>
      <c r="HI495" s="770"/>
      <c r="HJ495" s="770"/>
      <c r="HK495" s="770"/>
      <c r="HL495" s="770"/>
      <c r="HM495" s="770"/>
      <c r="HN495" s="770"/>
      <c r="HO495" s="770"/>
      <c r="HP495" s="770"/>
      <c r="HQ495" s="770"/>
      <c r="HR495" s="770"/>
      <c r="HS495" s="770"/>
      <c r="HT495" s="770"/>
      <c r="HU495" s="770"/>
      <c r="HV495" s="770"/>
      <c r="HW495" s="770"/>
      <c r="HX495" s="770"/>
      <c r="HY495" s="770"/>
      <c r="HZ495" s="770"/>
      <c r="IA495" s="770"/>
      <c r="IB495" s="770"/>
      <c r="IC495" s="770"/>
      <c r="ID495" s="770"/>
      <c r="IE495" s="770"/>
      <c r="IF495" s="770"/>
      <c r="IG495" s="770"/>
      <c r="IH495" s="770"/>
      <c r="II495" s="770"/>
      <c r="IJ495" s="770"/>
      <c r="IK495" s="770"/>
      <c r="IL495" s="770"/>
      <c r="IM495" s="770"/>
      <c r="IN495" s="770"/>
      <c r="IO495" s="296"/>
      <c r="IP495" s="770"/>
      <c r="IQ495" s="770"/>
      <c r="IR495" s="770"/>
      <c r="IS495" s="770"/>
      <c r="IT495" s="770"/>
      <c r="IU495" s="770"/>
      <c r="IV495" s="770"/>
      <c r="IW495" s="770"/>
      <c r="IX495" s="770"/>
      <c r="IY495" s="770"/>
      <c r="IZ495" s="770"/>
      <c r="JA495" s="770"/>
      <c r="JB495" s="770"/>
      <c r="JC495" s="770"/>
      <c r="JD495" s="302"/>
      <c r="JE495" s="770"/>
      <c r="JF495" s="770"/>
      <c r="JG495" s="770"/>
      <c r="JH495" s="307"/>
      <c r="JI495" s="307"/>
      <c r="JJ495" s="770">
        <v>5</v>
      </c>
      <c r="JK495" s="770" t="s">
        <v>13645</v>
      </c>
      <c r="JL495" s="13">
        <v>1</v>
      </c>
      <c r="JM495" s="13"/>
      <c r="JN495" s="13">
        <v>3</v>
      </c>
      <c r="JO495" s="13">
        <v>1</v>
      </c>
      <c r="JP495" s="13"/>
      <c r="JQ495" s="13"/>
      <c r="JR495" s="13"/>
      <c r="JS495" s="13"/>
      <c r="JT495" s="766">
        <f>SUM(JP495,JN495,JL495,JR495)</f>
        <v>4</v>
      </c>
      <c r="JU495" s="766">
        <f>SUM(JQ495,JO495,JM495,JS495)</f>
        <v>1</v>
      </c>
      <c r="JV495" s="766"/>
      <c r="JW495" s="766"/>
      <c r="JX495" s="13"/>
      <c r="JY495" s="13"/>
      <c r="JZ495" s="13"/>
      <c r="KA495" s="13"/>
      <c r="KB495" s="13"/>
      <c r="KC495" s="13"/>
      <c r="KD495" s="13"/>
      <c r="KE495" s="13"/>
      <c r="KF495" s="13"/>
      <c r="KG495" s="13"/>
      <c r="KH495" s="13"/>
      <c r="KI495" s="13"/>
      <c r="KJ495" s="770"/>
      <c r="KK495" s="770"/>
      <c r="KL495" s="770"/>
      <c r="KM495" s="770"/>
      <c r="KN495" s="770" t="s">
        <v>719</v>
      </c>
      <c r="KO495" s="770"/>
      <c r="KP495" s="770"/>
      <c r="KQ495" s="770"/>
      <c r="KR495" s="770"/>
      <c r="KS495" s="770"/>
      <c r="KT495" s="770">
        <v>1</v>
      </c>
      <c r="KU495" s="770"/>
      <c r="KV495" s="770"/>
      <c r="KW495" s="770">
        <v>1</v>
      </c>
      <c r="KX495" s="770">
        <v>3</v>
      </c>
      <c r="KY495" s="770"/>
      <c r="KZ495" s="770"/>
      <c r="LA495" s="770"/>
      <c r="LB495" s="770"/>
      <c r="LC495" s="770"/>
      <c r="LD495" s="770"/>
      <c r="LE495" s="770"/>
      <c r="LF495" s="770"/>
      <c r="LG495" s="770"/>
      <c r="LH495" s="770"/>
      <c r="LI495" s="770"/>
      <c r="LJ495" s="770"/>
      <c r="LK495" s="770"/>
      <c r="LL495" s="770"/>
      <c r="LM495" s="770"/>
      <c r="LN495" s="766">
        <f t="shared" si="134"/>
        <v>4</v>
      </c>
      <c r="LO495" s="766">
        <f t="shared" si="134"/>
        <v>1</v>
      </c>
      <c r="LP495" s="770">
        <v>2</v>
      </c>
      <c r="LQ495" s="770"/>
      <c r="LR495" s="770"/>
      <c r="LS495" s="770">
        <v>2</v>
      </c>
      <c r="LT495" s="770"/>
      <c r="LU495" s="770"/>
      <c r="LV495" s="770"/>
      <c r="LW495" s="770"/>
      <c r="LX495" s="769">
        <v>1</v>
      </c>
      <c r="LY495" s="766" t="str">
        <f t="shared" si="135"/>
        <v>within the BRGY</v>
      </c>
      <c r="LZ495" s="1709"/>
      <c r="MA495" s="1709"/>
      <c r="MB495" s="1709"/>
      <c r="MC495" s="1679">
        <f t="shared" si="133"/>
        <v>0</v>
      </c>
      <c r="MD495" s="1709">
        <f>SUM(6000,10200)</f>
        <v>16200</v>
      </c>
      <c r="ME495" s="1709"/>
      <c r="MF495" s="1709"/>
      <c r="MG495" s="1680">
        <f t="shared" si="121"/>
        <v>16200</v>
      </c>
      <c r="MH495" s="770" t="s">
        <v>2968</v>
      </c>
      <c r="MI495" s="302">
        <v>6000</v>
      </c>
      <c r="MJ495" s="302"/>
      <c r="MK495" s="302">
        <v>420</v>
      </c>
      <c r="ML495" s="302"/>
      <c r="MM495" s="302"/>
      <c r="MN495" s="302">
        <v>1500</v>
      </c>
      <c r="MO495" s="302">
        <v>750</v>
      </c>
      <c r="MP495" s="302">
        <v>950</v>
      </c>
      <c r="MQ495" s="302">
        <v>1200</v>
      </c>
      <c r="MR495" s="302">
        <v>500</v>
      </c>
      <c r="MS495" s="302">
        <v>700</v>
      </c>
      <c r="MT495" s="302"/>
      <c r="MU495" s="302"/>
      <c r="MV495" s="302"/>
      <c r="MW495" s="302"/>
      <c r="MX495" s="302"/>
      <c r="MY495" s="1682">
        <f t="shared" si="122"/>
        <v>12020</v>
      </c>
      <c r="MZ495" s="770" t="s">
        <v>13395</v>
      </c>
      <c r="NA495" s="770" t="s">
        <v>13005</v>
      </c>
      <c r="NB495" s="770" t="s">
        <v>13016</v>
      </c>
      <c r="NC495" s="770" t="s">
        <v>13621</v>
      </c>
      <c r="ND495" s="770">
        <v>0</v>
      </c>
      <c r="NE495" s="770">
        <v>0</v>
      </c>
      <c r="NF495" s="770">
        <v>0</v>
      </c>
      <c r="NG495" s="770">
        <v>4</v>
      </c>
      <c r="NH495" s="770">
        <v>3</v>
      </c>
      <c r="NI495" s="770">
        <v>1</v>
      </c>
      <c r="NJ495" s="770">
        <v>2</v>
      </c>
      <c r="NK495" s="770">
        <v>0</v>
      </c>
      <c r="NL495" s="770">
        <v>1</v>
      </c>
      <c r="NM495" s="770">
        <v>2</v>
      </c>
      <c r="NN495" s="770">
        <v>0</v>
      </c>
      <c r="NO495" s="770">
        <v>0</v>
      </c>
      <c r="NP495" s="770">
        <v>0</v>
      </c>
      <c r="NQ495" s="770">
        <v>0</v>
      </c>
      <c r="NR495" s="770">
        <v>0</v>
      </c>
      <c r="NS495" s="770">
        <v>0</v>
      </c>
      <c r="NT495" s="770">
        <v>0</v>
      </c>
      <c r="NU495" s="770">
        <v>0</v>
      </c>
      <c r="NV495" s="770">
        <v>0</v>
      </c>
      <c r="NW495" s="770">
        <v>0</v>
      </c>
      <c r="NX495" s="770">
        <v>0</v>
      </c>
      <c r="NY495" s="770" t="s">
        <v>1208</v>
      </c>
      <c r="NZ495" s="770"/>
      <c r="OA495" s="770" t="s">
        <v>1208</v>
      </c>
      <c r="OB495" s="770"/>
      <c r="OC495" s="770" t="s">
        <v>1208</v>
      </c>
      <c r="OD495" s="770"/>
      <c r="OE495" s="770"/>
      <c r="OF495" s="770" t="s">
        <v>2143</v>
      </c>
      <c r="OG495" s="770"/>
      <c r="OH495" s="770"/>
      <c r="OI495" s="770"/>
      <c r="OJ495" s="770"/>
      <c r="OK495" s="770"/>
      <c r="OL495" s="770"/>
      <c r="OM495" s="770"/>
      <c r="ON495" s="770"/>
      <c r="OO495" s="770"/>
      <c r="OP495" s="770"/>
      <c r="OQ495" s="770"/>
      <c r="OR495" s="770"/>
      <c r="OS495" s="770"/>
      <c r="OT495" s="770"/>
      <c r="OU495" s="770"/>
      <c r="OV495" s="770"/>
      <c r="OW495" s="770"/>
      <c r="OX495" s="770"/>
      <c r="OY495" s="770"/>
      <c r="OZ495" s="770"/>
      <c r="PA495" s="770"/>
      <c r="PB495" s="770"/>
      <c r="PC495" s="770"/>
      <c r="PD495" s="770"/>
      <c r="PE495" s="770"/>
      <c r="PF495" s="770"/>
      <c r="PG495" s="770"/>
      <c r="PH495" s="770"/>
      <c r="PI495" s="770"/>
      <c r="PJ495" s="770"/>
      <c r="PK495" s="770"/>
      <c r="PL495" s="770"/>
      <c r="PM495" s="770"/>
      <c r="PN495" s="770"/>
      <c r="PO495" s="770"/>
      <c r="PP495" s="770"/>
      <c r="PQ495" s="770"/>
      <c r="PR495" s="770"/>
      <c r="PS495" s="770"/>
      <c r="PT495" s="770"/>
      <c r="PU495" s="770"/>
      <c r="PV495" s="770"/>
      <c r="PW495" s="770"/>
      <c r="PX495" s="770"/>
      <c r="PY495" s="770"/>
      <c r="PZ495" s="770"/>
      <c r="QA495" s="770"/>
      <c r="QB495" s="770"/>
      <c r="QC495" s="770"/>
      <c r="QD495" s="770"/>
      <c r="QE495" s="770"/>
      <c r="QF495" s="770"/>
      <c r="QG495" s="770"/>
      <c r="QH495" s="770"/>
      <c r="QI495" s="770"/>
      <c r="QJ495" s="770"/>
      <c r="QK495" s="770"/>
      <c r="QL495" s="770"/>
      <c r="QM495" s="770"/>
      <c r="QN495" s="770"/>
      <c r="QO495" s="770"/>
      <c r="QP495" s="770"/>
      <c r="QQ495" s="770"/>
      <c r="QR495" s="770"/>
      <c r="QS495" s="770"/>
      <c r="QT495" s="770"/>
      <c r="QU495" s="770"/>
      <c r="QV495" s="770"/>
      <c r="QW495" s="770"/>
      <c r="QX495" s="770"/>
      <c r="QY495" s="770"/>
      <c r="QZ495" s="770"/>
      <c r="RA495" s="770"/>
      <c r="RB495" s="770" t="s">
        <v>1207</v>
      </c>
      <c r="RC495" s="770">
        <v>2016</v>
      </c>
      <c r="RD495" s="770" t="s">
        <v>13646</v>
      </c>
      <c r="RE495" s="770" t="s">
        <v>12999</v>
      </c>
      <c r="RF495" s="304">
        <v>0.5</v>
      </c>
      <c r="RG495" s="770" t="s">
        <v>13047</v>
      </c>
      <c r="RH495" s="302">
        <v>0</v>
      </c>
      <c r="RI495" s="770">
        <v>2</v>
      </c>
      <c r="RJ495" s="770" t="s">
        <v>13647</v>
      </c>
      <c r="RK495" s="770" t="s">
        <v>13550</v>
      </c>
      <c r="RL495" s="1710"/>
      <c r="RM495" s="12"/>
      <c r="RN495" s="1711"/>
      <c r="RO495" s="133" t="s">
        <v>3356</v>
      </c>
      <c r="RP495" s="11"/>
      <c r="RQ495" s="11"/>
      <c r="RR495" s="17"/>
      <c r="RS495" s="767"/>
      <c r="RT495" s="11"/>
      <c r="RU495" s="11"/>
      <c r="RV495" s="771" t="s">
        <v>13644</v>
      </c>
      <c r="RW495" s="11" t="s">
        <v>7780</v>
      </c>
      <c r="RX495" s="11" t="s">
        <v>2906</v>
      </c>
      <c r="RY495" s="11"/>
      <c r="RZ495" s="11"/>
      <c r="SA495" s="771"/>
      <c r="SB495" s="11"/>
      <c r="SC495" s="11"/>
    </row>
    <row r="496" spans="1:497" ht="12.75" hidden="1" customHeight="1">
      <c r="A496" s="19" t="s">
        <v>7419</v>
      </c>
      <c r="B496" s="752" t="s">
        <v>7880</v>
      </c>
      <c r="C496" s="132" t="s">
        <v>3364</v>
      </c>
      <c r="D496" s="14" t="s">
        <v>3365</v>
      </c>
      <c r="E496" s="770" t="s">
        <v>3358</v>
      </c>
      <c r="F496" s="770" t="s">
        <v>28</v>
      </c>
      <c r="G496" s="770" t="s">
        <v>10</v>
      </c>
      <c r="H496" s="770"/>
      <c r="I496" s="295" t="s">
        <v>3366</v>
      </c>
      <c r="J496" s="94" t="str">
        <f ca="1">IF(F496="Head",CELL("contents",D496))</f>
        <v>Sayson, Gerardo Ramirez</v>
      </c>
      <c r="K496" s="766" t="s">
        <v>3367</v>
      </c>
      <c r="L496" s="766" t="s">
        <v>3368</v>
      </c>
      <c r="M496" s="770" t="s">
        <v>1238</v>
      </c>
      <c r="N496" s="770"/>
      <c r="O496" s="770" t="s">
        <v>3340</v>
      </c>
      <c r="P496" s="770"/>
      <c r="Q496" s="1088"/>
      <c r="R496" s="297"/>
      <c r="S496" s="770"/>
      <c r="T496" s="770"/>
      <c r="U496" s="295"/>
      <c r="V496" s="770"/>
      <c r="W496" s="770"/>
      <c r="X496" s="770"/>
      <c r="Y496" s="770"/>
      <c r="Z496" s="770"/>
      <c r="AA496" s="770"/>
      <c r="AB496" s="295"/>
      <c r="AC496" s="770"/>
      <c r="AD496" s="770"/>
      <c r="AE496" s="770"/>
      <c r="AF496" s="770"/>
      <c r="AG496" s="770"/>
      <c r="AH496" s="770"/>
      <c r="AI496" s="770"/>
      <c r="AJ496" s="770"/>
      <c r="AK496" s="766" t="s">
        <v>5454</v>
      </c>
      <c r="AL496" s="531"/>
      <c r="AM496" s="780"/>
      <c r="AN496" s="532"/>
      <c r="AO496" s="766"/>
      <c r="AP496" s="766" t="s">
        <v>11906</v>
      </c>
      <c r="AQ496" s="766"/>
      <c r="AR496" s="766"/>
      <c r="AS496" s="770" t="s">
        <v>1207</v>
      </c>
      <c r="AT496" s="770" t="s">
        <v>1208</v>
      </c>
      <c r="AU496" s="770" t="s">
        <v>1208</v>
      </c>
      <c r="AV496" s="770"/>
      <c r="AW496" s="770"/>
      <c r="AX496" s="13"/>
      <c r="AY496" s="770"/>
      <c r="AZ496" s="770"/>
      <c r="BA496" s="770"/>
      <c r="BB496" s="770"/>
      <c r="BC496" s="770" t="s">
        <v>796</v>
      </c>
      <c r="BD496" s="770"/>
      <c r="BE496" s="770"/>
      <c r="BF496" s="302"/>
      <c r="BG496" s="302"/>
      <c r="BH496" s="770"/>
      <c r="BI496" s="770"/>
      <c r="BJ496" s="770"/>
      <c r="BK496" s="770" t="s">
        <v>1095</v>
      </c>
      <c r="BL496" s="770" t="s">
        <v>3369</v>
      </c>
      <c r="BM496" s="766" t="s">
        <v>1096</v>
      </c>
      <c r="BN496" s="770" t="s">
        <v>1230</v>
      </c>
      <c r="BO496" s="766" t="s">
        <v>1246</v>
      </c>
      <c r="BP496" s="765">
        <v>14.91</v>
      </c>
      <c r="BQ496" s="773">
        <v>2.5</v>
      </c>
      <c r="BR496" s="774">
        <f t="shared" ref="BR496:BR508" si="136">BQ496/BP496</f>
        <v>0.16767270288397049</v>
      </c>
      <c r="BS496" s="6" t="s">
        <v>1149</v>
      </c>
      <c r="BT496" s="766" t="s">
        <v>8133</v>
      </c>
      <c r="BU496" s="770" t="s">
        <v>1249</v>
      </c>
      <c r="BV496" s="770" t="s">
        <v>1247</v>
      </c>
      <c r="BW496" s="770">
        <v>1965</v>
      </c>
      <c r="BX496" s="302" t="s">
        <v>2769</v>
      </c>
      <c r="BY496" s="770" t="s">
        <v>1214</v>
      </c>
      <c r="BZ496" s="302"/>
      <c r="CA496" s="770"/>
      <c r="CB496" s="770"/>
      <c r="CC496" s="770"/>
      <c r="CD496" s="770"/>
      <c r="CE496" s="770"/>
      <c r="CF496" s="1753"/>
      <c r="CG496" s="1754"/>
      <c r="CH496" s="770"/>
      <c r="CI496" s="770"/>
      <c r="CJ496" s="770"/>
      <c r="CK496" s="770"/>
      <c r="CL496" s="770"/>
      <c r="CM496" s="770"/>
      <c r="CN496" s="770"/>
      <c r="CO496" s="770"/>
      <c r="CP496" s="770"/>
      <c r="CQ496" s="770"/>
      <c r="CR496" s="302"/>
      <c r="CS496" s="770"/>
      <c r="CT496" s="770"/>
      <c r="CU496" s="305"/>
      <c r="CV496" s="770"/>
      <c r="CW496" s="770"/>
      <c r="CX496" s="770"/>
      <c r="CY496" s="770"/>
      <c r="CZ496" s="770"/>
      <c r="DA496" s="306"/>
      <c r="DB496" s="770"/>
      <c r="DC496" s="770"/>
      <c r="DD496" s="770"/>
      <c r="DE496" s="300"/>
      <c r="DF496" s="770"/>
      <c r="DG496" s="770"/>
      <c r="DH496" s="770"/>
      <c r="DI496" s="770"/>
      <c r="DJ496" s="770"/>
      <c r="DK496" s="770"/>
      <c r="DL496" s="770"/>
      <c r="DM496" s="770"/>
      <c r="DN496" s="322"/>
      <c r="DO496" s="770"/>
      <c r="DP496" s="770"/>
      <c r="DQ496" s="770"/>
      <c r="DR496" s="770"/>
      <c r="DS496" s="307"/>
      <c r="DT496" s="770"/>
      <c r="DU496" s="770"/>
      <c r="DV496" s="770"/>
      <c r="DW496" s="306"/>
      <c r="DX496" s="306"/>
      <c r="DY496" s="770"/>
      <c r="DZ496" s="770"/>
      <c r="EA496" s="770"/>
      <c r="EB496" s="770"/>
      <c r="EC496" s="770"/>
      <c r="ED496" s="770"/>
      <c r="EE496" s="770"/>
      <c r="EF496" s="770"/>
      <c r="EG496" s="770"/>
      <c r="EH496" s="770"/>
      <c r="EI496" s="770"/>
      <c r="EJ496" s="770"/>
      <c r="EK496" s="770"/>
      <c r="EL496" s="770"/>
      <c r="EM496" s="770"/>
      <c r="EN496" s="770"/>
      <c r="EO496" s="770"/>
      <c r="EP496" s="94"/>
      <c r="EQ496" s="770"/>
      <c r="ER496" s="770"/>
      <c r="ES496" s="770"/>
      <c r="ET496" s="770"/>
      <c r="EU496" s="770"/>
      <c r="EV496" s="770"/>
      <c r="EW496" s="770"/>
      <c r="EX496" s="770"/>
      <c r="EY496" s="770"/>
      <c r="EZ496" s="770"/>
      <c r="FA496" s="770"/>
      <c r="FB496" s="770"/>
      <c r="FC496" s="770"/>
      <c r="FD496" s="302"/>
      <c r="FE496" s="770"/>
      <c r="FF496" s="770"/>
      <c r="FG496" s="770"/>
      <c r="FH496" s="770" t="s">
        <v>478</v>
      </c>
      <c r="FI496" s="770"/>
      <c r="FJ496" s="770" t="s">
        <v>3370</v>
      </c>
      <c r="FK496" s="770"/>
      <c r="FL496" s="770"/>
      <c r="FM496" s="302"/>
      <c r="FN496" s="302"/>
      <c r="FO496" s="302"/>
      <c r="FP496" s="770" t="s">
        <v>1602</v>
      </c>
      <c r="FQ496" s="770" t="s">
        <v>1660</v>
      </c>
      <c r="FR496" s="770" t="s">
        <v>1214</v>
      </c>
      <c r="FS496" s="770"/>
      <c r="FT496" s="770"/>
      <c r="FU496" s="770"/>
      <c r="FV496" s="770"/>
      <c r="FW496" s="770"/>
      <c r="FX496" s="770"/>
      <c r="FY496" s="770"/>
      <c r="FZ496" s="770"/>
      <c r="GA496" s="770"/>
      <c r="GB496" s="770"/>
      <c r="GC496" s="308"/>
      <c r="GD496" s="297"/>
      <c r="GE496" s="770" t="s">
        <v>1214</v>
      </c>
      <c r="GF496" s="302"/>
      <c r="GG496" s="302"/>
      <c r="GH496" s="766"/>
      <c r="GI496" s="770"/>
      <c r="GJ496" s="770"/>
      <c r="GK496" s="770"/>
      <c r="GL496" s="770"/>
      <c r="GM496" s="770"/>
      <c r="GN496" s="299"/>
      <c r="GO496" s="770"/>
      <c r="GP496" s="770"/>
      <c r="GQ496" s="770"/>
      <c r="GR496" s="770"/>
      <c r="GS496" s="770"/>
      <c r="GT496" s="770"/>
      <c r="GU496" s="770"/>
      <c r="GV496" s="770"/>
      <c r="GW496" s="770"/>
      <c r="GX496" s="770"/>
      <c r="GY496" s="770"/>
      <c r="GZ496" s="770"/>
      <c r="HA496" s="770"/>
      <c r="HB496" s="770"/>
      <c r="HC496" s="770"/>
      <c r="HD496" s="770"/>
      <c r="HE496" s="770"/>
      <c r="HF496" s="770"/>
      <c r="HG496" s="770"/>
      <c r="HH496" s="770"/>
      <c r="HI496" s="770" t="s">
        <v>1207</v>
      </c>
      <c r="HJ496" s="770" t="s">
        <v>2384</v>
      </c>
      <c r="HK496" s="770" t="s">
        <v>3371</v>
      </c>
      <c r="HL496" s="770" t="s">
        <v>1214</v>
      </c>
      <c r="HM496" s="770"/>
      <c r="HN496" s="770"/>
      <c r="HO496" s="770"/>
      <c r="HP496" s="770"/>
      <c r="HQ496" s="770"/>
      <c r="HR496" s="770">
        <v>1</v>
      </c>
      <c r="HS496" s="770"/>
      <c r="HT496" s="770"/>
      <c r="HU496" s="770"/>
      <c r="HV496" s="770"/>
      <c r="HW496" s="770"/>
      <c r="HX496" s="770"/>
      <c r="HY496" s="770"/>
      <c r="HZ496" s="770"/>
      <c r="IA496" s="770"/>
      <c r="IB496" s="770"/>
      <c r="IC496" s="770"/>
      <c r="ID496" s="770"/>
      <c r="IE496" s="770"/>
      <c r="IF496" s="770"/>
      <c r="IG496" s="770"/>
      <c r="IH496" s="770"/>
      <c r="II496" s="770"/>
      <c r="IJ496" s="770"/>
      <c r="IK496" s="770"/>
      <c r="IL496" s="770"/>
      <c r="IM496" s="770"/>
      <c r="IN496" s="770"/>
      <c r="IO496" s="296"/>
      <c r="IP496" s="770"/>
      <c r="IQ496" s="770"/>
      <c r="IR496" s="770"/>
      <c r="IS496" s="770"/>
      <c r="IT496" s="770"/>
      <c r="IU496" s="770"/>
      <c r="IV496" s="770"/>
      <c r="IW496" s="770"/>
      <c r="IX496" s="770"/>
      <c r="IY496" s="770"/>
      <c r="IZ496" s="770"/>
      <c r="JA496" s="770"/>
      <c r="JB496" s="770"/>
      <c r="JC496" s="770"/>
      <c r="JD496" s="302"/>
      <c r="JE496" s="770"/>
      <c r="JF496" s="770"/>
      <c r="JG496" s="770"/>
      <c r="JH496" s="307"/>
      <c r="JI496" s="307"/>
      <c r="JJ496" s="770"/>
      <c r="JK496" s="770"/>
      <c r="JL496" s="770"/>
      <c r="JM496" s="770"/>
      <c r="JN496" s="770"/>
      <c r="JO496" s="770"/>
      <c r="JP496" s="770"/>
      <c r="JQ496" s="770"/>
      <c r="JR496" s="770"/>
      <c r="JS496" s="770"/>
      <c r="JT496" s="766"/>
      <c r="JU496" s="766"/>
      <c r="JV496" s="766"/>
      <c r="JW496" s="766"/>
      <c r="JX496" s="770"/>
      <c r="JY496" s="770"/>
      <c r="JZ496" s="770"/>
      <c r="KA496" s="770"/>
      <c r="KB496" s="770"/>
      <c r="KC496" s="770"/>
      <c r="KD496" s="770"/>
      <c r="KE496" s="770"/>
      <c r="KF496" s="770"/>
      <c r="KG496" s="770"/>
      <c r="KH496" s="770"/>
      <c r="KI496" s="770"/>
      <c r="KJ496" s="770"/>
      <c r="KK496" s="770"/>
      <c r="KL496" s="770"/>
      <c r="KM496" s="770"/>
      <c r="KN496" s="770"/>
      <c r="KO496" s="770"/>
      <c r="KP496" s="770"/>
      <c r="KQ496" s="770"/>
      <c r="KR496" s="770"/>
      <c r="KS496" s="770"/>
      <c r="KT496" s="770"/>
      <c r="KU496" s="770"/>
      <c r="KV496" s="770"/>
      <c r="KW496" s="770"/>
      <c r="KX496" s="770"/>
      <c r="KY496" s="770"/>
      <c r="KZ496" s="770"/>
      <c r="LA496" s="770"/>
      <c r="LB496" s="770"/>
      <c r="LC496" s="770"/>
      <c r="LD496" s="770"/>
      <c r="LE496" s="770"/>
      <c r="LF496" s="770"/>
      <c r="LG496" s="770"/>
      <c r="LH496" s="770"/>
      <c r="LI496" s="770"/>
      <c r="LJ496" s="770"/>
      <c r="LK496" s="770"/>
      <c r="LL496" s="770"/>
      <c r="LM496" s="770"/>
      <c r="LN496" s="766"/>
      <c r="LO496" s="766"/>
      <c r="LP496" s="770"/>
      <c r="LQ496" s="770"/>
      <c r="LR496" s="770"/>
      <c r="LS496" s="770"/>
      <c r="LT496" s="770"/>
      <c r="LU496" s="770"/>
      <c r="LV496" s="770"/>
      <c r="LW496" s="770"/>
      <c r="LX496" s="769"/>
      <c r="LY496" s="766" t="str">
        <f t="shared" si="135"/>
        <v/>
      </c>
      <c r="LZ496" s="1709"/>
      <c r="MA496" s="1709"/>
      <c r="MB496" s="1709"/>
      <c r="MC496" s="1679">
        <f t="shared" si="133"/>
        <v>0</v>
      </c>
      <c r="MD496" s="1709"/>
      <c r="ME496" s="1709"/>
      <c r="MF496" s="1709"/>
      <c r="MG496" s="1680">
        <f t="shared" si="121"/>
        <v>0</v>
      </c>
      <c r="MH496" s="770"/>
      <c r="MI496" s="302"/>
      <c r="MJ496" s="302"/>
      <c r="MK496" s="302"/>
      <c r="ML496" s="302"/>
      <c r="MM496" s="302"/>
      <c r="MN496" s="302"/>
      <c r="MO496" s="302"/>
      <c r="MP496" s="302"/>
      <c r="MQ496" s="302"/>
      <c r="MR496" s="302"/>
      <c r="MS496" s="302"/>
      <c r="MT496" s="302"/>
      <c r="MU496" s="302"/>
      <c r="MV496" s="302"/>
      <c r="MW496" s="302"/>
      <c r="MX496" s="302"/>
      <c r="MY496" s="1682">
        <f t="shared" si="122"/>
        <v>0</v>
      </c>
      <c r="MZ496" s="770"/>
      <c r="NA496" s="770"/>
      <c r="NB496" s="770"/>
      <c r="NC496" s="770"/>
      <c r="ND496" s="770"/>
      <c r="NE496" s="770"/>
      <c r="NF496" s="770"/>
      <c r="NG496" s="770"/>
      <c r="NH496" s="770"/>
      <c r="NI496" s="770"/>
      <c r="NJ496" s="770"/>
      <c r="NK496" s="770"/>
      <c r="NL496" s="770"/>
      <c r="NM496" s="770"/>
      <c r="NN496" s="770"/>
      <c r="NO496" s="770"/>
      <c r="NP496" s="770"/>
      <c r="NQ496" s="770"/>
      <c r="NR496" s="770"/>
      <c r="NS496" s="770"/>
      <c r="NT496" s="770"/>
      <c r="NU496" s="770"/>
      <c r="NV496" s="770"/>
      <c r="NW496" s="770"/>
      <c r="NX496" s="770"/>
      <c r="NY496" s="770"/>
      <c r="NZ496" s="770"/>
      <c r="OA496" s="770"/>
      <c r="OB496" s="770"/>
      <c r="OC496" s="770"/>
      <c r="OD496" s="770"/>
      <c r="OE496" s="770"/>
      <c r="OF496" s="770"/>
      <c r="OG496" s="770"/>
      <c r="OH496" s="770"/>
      <c r="OI496" s="770"/>
      <c r="OJ496" s="770"/>
      <c r="OK496" s="770"/>
      <c r="OL496" s="770"/>
      <c r="OM496" s="770"/>
      <c r="ON496" s="770"/>
      <c r="OO496" s="770"/>
      <c r="OP496" s="770"/>
      <c r="OQ496" s="770"/>
      <c r="OR496" s="770"/>
      <c r="OS496" s="770"/>
      <c r="OT496" s="770"/>
      <c r="OU496" s="770"/>
      <c r="OV496" s="770"/>
      <c r="OW496" s="770"/>
      <c r="OX496" s="770"/>
      <c r="OY496" s="770"/>
      <c r="OZ496" s="770"/>
      <c r="PA496" s="770"/>
      <c r="PB496" s="770"/>
      <c r="PC496" s="770"/>
      <c r="PD496" s="770"/>
      <c r="PE496" s="770"/>
      <c r="PF496" s="770"/>
      <c r="PG496" s="770"/>
      <c r="PH496" s="770"/>
      <c r="PI496" s="770"/>
      <c r="PJ496" s="770"/>
      <c r="PK496" s="770"/>
      <c r="PL496" s="770"/>
      <c r="PM496" s="770"/>
      <c r="PN496" s="770"/>
      <c r="PO496" s="770"/>
      <c r="PP496" s="770"/>
      <c r="PQ496" s="770"/>
      <c r="PR496" s="770"/>
      <c r="PS496" s="770"/>
      <c r="PT496" s="770"/>
      <c r="PU496" s="770"/>
      <c r="PV496" s="770"/>
      <c r="PW496" s="770"/>
      <c r="PX496" s="770"/>
      <c r="PY496" s="770"/>
      <c r="PZ496" s="770"/>
      <c r="QA496" s="770"/>
      <c r="QB496" s="770"/>
      <c r="QC496" s="770"/>
      <c r="QD496" s="770"/>
      <c r="QE496" s="770"/>
      <c r="QF496" s="770"/>
      <c r="QG496" s="770"/>
      <c r="QH496" s="770"/>
      <c r="QI496" s="770"/>
      <c r="QJ496" s="770"/>
      <c r="QK496" s="770"/>
      <c r="QL496" s="770"/>
      <c r="QM496" s="770"/>
      <c r="QN496" s="770"/>
      <c r="QO496" s="770"/>
      <c r="QP496" s="770"/>
      <c r="QQ496" s="770"/>
      <c r="QR496" s="770"/>
      <c r="QS496" s="770"/>
      <c r="QT496" s="770"/>
      <c r="QU496" s="770"/>
      <c r="QV496" s="770"/>
      <c r="QW496" s="770"/>
      <c r="QX496" s="770"/>
      <c r="QY496" s="770"/>
      <c r="QZ496" s="770"/>
      <c r="RA496" s="770"/>
      <c r="RB496" s="770"/>
      <c r="RC496" s="770"/>
      <c r="RD496" s="770"/>
      <c r="RE496" s="770"/>
      <c r="RF496" s="304"/>
      <c r="RG496" s="770"/>
      <c r="RH496" s="302"/>
      <c r="RI496" s="770"/>
      <c r="RJ496" s="770" t="s">
        <v>13648</v>
      </c>
      <c r="RK496" s="770" t="s">
        <v>13552</v>
      </c>
      <c r="RL496" s="1710"/>
      <c r="RM496" s="12"/>
      <c r="RN496" s="1711"/>
      <c r="RO496" s="132" t="s">
        <v>3364</v>
      </c>
      <c r="RP496" s="11"/>
      <c r="RQ496" s="11"/>
      <c r="RR496" s="17"/>
      <c r="RS496" s="767"/>
      <c r="RT496" s="11"/>
      <c r="RU496" s="11"/>
      <c r="RV496" s="771" t="s">
        <v>13649</v>
      </c>
      <c r="RW496" s="11" t="s">
        <v>7872</v>
      </c>
      <c r="RX496" s="11" t="s">
        <v>3356</v>
      </c>
      <c r="RY496" s="11"/>
      <c r="RZ496" s="11" t="s">
        <v>1101</v>
      </c>
      <c r="SA496" s="771"/>
      <c r="SB496" s="11"/>
      <c r="SC496" s="11"/>
    </row>
    <row r="497" spans="1:497" ht="12.75" hidden="1" customHeight="1">
      <c r="A497" s="343" t="s">
        <v>7419</v>
      </c>
      <c r="B497" s="752" t="s">
        <v>7781</v>
      </c>
      <c r="C497" s="132" t="s">
        <v>3372</v>
      </c>
      <c r="D497" s="14" t="s">
        <v>3373</v>
      </c>
      <c r="E497" s="770" t="s">
        <v>3358</v>
      </c>
      <c r="F497" s="770" t="s">
        <v>28</v>
      </c>
      <c r="G497" s="770" t="s">
        <v>10</v>
      </c>
      <c r="H497" s="770"/>
      <c r="I497" s="295" t="s">
        <v>4351</v>
      </c>
      <c r="J497" s="94" t="str">
        <f ca="1">IF(F497="Head",CELL("contents",D497))</f>
        <v>Silvederio, Vilmo Ramirez</v>
      </c>
      <c r="K497" s="766" t="s">
        <v>3375</v>
      </c>
      <c r="L497" s="766" t="s">
        <v>2911</v>
      </c>
      <c r="M497" s="770" t="s">
        <v>1238</v>
      </c>
      <c r="N497" s="770"/>
      <c r="O497" s="770" t="s">
        <v>3340</v>
      </c>
      <c r="P497" s="770" t="s">
        <v>3376</v>
      </c>
      <c r="Q497" s="1088">
        <v>27207</v>
      </c>
      <c r="R497" s="297">
        <v>42</v>
      </c>
      <c r="S497" s="770" t="s">
        <v>10</v>
      </c>
      <c r="T497" s="770"/>
      <c r="U497" s="295" t="s">
        <v>3374</v>
      </c>
      <c r="V497" s="770" t="s">
        <v>768</v>
      </c>
      <c r="W497" s="770"/>
      <c r="X497" s="770"/>
      <c r="Y497" s="770" t="s">
        <v>3358</v>
      </c>
      <c r="Z497" s="770" t="s">
        <v>708</v>
      </c>
      <c r="AA497" s="770" t="s">
        <v>709</v>
      </c>
      <c r="AB497" s="770" t="s">
        <v>710</v>
      </c>
      <c r="AC497" s="770"/>
      <c r="AD497" s="770" t="s">
        <v>711</v>
      </c>
      <c r="AE497" s="770"/>
      <c r="AF497" s="770" t="s">
        <v>712</v>
      </c>
      <c r="AG497" s="770"/>
      <c r="AH497" s="770"/>
      <c r="AI497" s="770"/>
      <c r="AJ497" s="770"/>
      <c r="AK497" s="766" t="s">
        <v>1097</v>
      </c>
      <c r="AL497" s="531">
        <v>103.85</v>
      </c>
      <c r="AM497" s="780">
        <v>12.96</v>
      </c>
      <c r="AN497" s="532">
        <f>AM497/AL497</f>
        <v>0.12479537794896486</v>
      </c>
      <c r="AO497" s="766" t="s">
        <v>1109</v>
      </c>
      <c r="AP497" s="766" t="s">
        <v>11906</v>
      </c>
      <c r="AQ497" s="766"/>
      <c r="AR497" s="766"/>
      <c r="AS497" s="770" t="s">
        <v>1207</v>
      </c>
      <c r="AT497" s="770" t="s">
        <v>1208</v>
      </c>
      <c r="AU497" s="770" t="s">
        <v>1208</v>
      </c>
      <c r="AV497" s="770"/>
      <c r="AW497" s="770"/>
      <c r="AX497" s="13"/>
      <c r="AY497" s="770"/>
      <c r="AZ497" s="770"/>
      <c r="BA497" s="770"/>
      <c r="BB497" s="770"/>
      <c r="BC497" s="770" t="s">
        <v>853</v>
      </c>
      <c r="BD497" s="770"/>
      <c r="BE497" s="770"/>
      <c r="BF497" s="302"/>
      <c r="BG497" s="302"/>
      <c r="BH497" s="770"/>
      <c r="BI497" s="770"/>
      <c r="BJ497" s="770"/>
      <c r="BK497" s="770" t="s">
        <v>1095</v>
      </c>
      <c r="BL497" s="770" t="s">
        <v>3379</v>
      </c>
      <c r="BM497" s="766" t="s">
        <v>1096</v>
      </c>
      <c r="BN497" s="770" t="s">
        <v>1230</v>
      </c>
      <c r="BO497" s="766" t="s">
        <v>1239</v>
      </c>
      <c r="BP497" s="765">
        <v>106.875</v>
      </c>
      <c r="BQ497" s="773">
        <v>13.5</v>
      </c>
      <c r="BR497" s="774">
        <f t="shared" si="136"/>
        <v>0.12631578947368421</v>
      </c>
      <c r="BS497" s="766" t="s">
        <v>1242</v>
      </c>
      <c r="BT497" s="766" t="s">
        <v>2040</v>
      </c>
      <c r="BU497" s="770" t="s">
        <v>1241</v>
      </c>
      <c r="BV497" s="770" t="s">
        <v>1247</v>
      </c>
      <c r="BW497" s="769"/>
      <c r="BX497" s="302"/>
      <c r="BY497" s="770" t="s">
        <v>1207</v>
      </c>
      <c r="BZ497" s="302" t="s">
        <v>2769</v>
      </c>
      <c r="CA497" s="770"/>
      <c r="CB497" s="770" t="s">
        <v>1207</v>
      </c>
      <c r="CC497" s="770" t="s">
        <v>3380</v>
      </c>
      <c r="CD497" s="770"/>
      <c r="CE497" s="770"/>
      <c r="CF497" s="1753">
        <v>1</v>
      </c>
      <c r="CG497" s="1754">
        <v>2.5</v>
      </c>
      <c r="CH497" s="770" t="s">
        <v>3397</v>
      </c>
      <c r="CI497" s="770" t="s">
        <v>3398</v>
      </c>
      <c r="CJ497" s="770" t="s">
        <v>3377</v>
      </c>
      <c r="CK497" s="770">
        <v>1</v>
      </c>
      <c r="CL497" s="770" t="s">
        <v>1249</v>
      </c>
      <c r="CM497" s="770" t="s">
        <v>3378</v>
      </c>
      <c r="CN497" s="770"/>
      <c r="CO497" s="770" t="s">
        <v>1257</v>
      </c>
      <c r="CP497" s="770"/>
      <c r="CQ497" s="770"/>
      <c r="CR497" s="302"/>
      <c r="CS497" s="770"/>
      <c r="CT497" s="770"/>
      <c r="CU497" s="305"/>
      <c r="CV497" s="770"/>
      <c r="CW497" s="770"/>
      <c r="CX497" s="770"/>
      <c r="CY497" s="770"/>
      <c r="CZ497" s="770"/>
      <c r="DA497" s="306"/>
      <c r="DB497" s="770"/>
      <c r="DC497" s="770"/>
      <c r="DD497" s="770"/>
      <c r="DE497" s="300"/>
      <c r="DF497" s="770"/>
      <c r="DG497" s="770"/>
      <c r="DH497" s="770"/>
      <c r="DI497" s="770"/>
      <c r="DJ497" s="770"/>
      <c r="DK497" s="770"/>
      <c r="DL497" s="770"/>
      <c r="DM497" s="770"/>
      <c r="DN497" s="322"/>
      <c r="DO497" s="770"/>
      <c r="DP497" s="770"/>
      <c r="DQ497" s="770"/>
      <c r="DR497" s="770"/>
      <c r="DS497" s="307"/>
      <c r="DT497" s="770"/>
      <c r="DU497" s="770"/>
      <c r="DV497" s="770"/>
      <c r="DW497" s="306"/>
      <c r="DX497" s="306"/>
      <c r="DY497" s="770"/>
      <c r="DZ497" s="770"/>
      <c r="EA497" s="770"/>
      <c r="EB497" s="770"/>
      <c r="EC497" s="770"/>
      <c r="ED497" s="770"/>
      <c r="EE497" s="770"/>
      <c r="EF497" s="770"/>
      <c r="EG497" s="770"/>
      <c r="EH497" s="770"/>
      <c r="EI497" s="770"/>
      <c r="EJ497" s="770"/>
      <c r="EK497" s="770"/>
      <c r="EL497" s="770"/>
      <c r="EM497" s="770"/>
      <c r="EN497" s="770"/>
      <c r="EO497" s="770"/>
      <c r="EP497" s="94"/>
      <c r="EQ497" s="770"/>
      <c r="ER497" s="770"/>
      <c r="ES497" s="770"/>
      <c r="ET497" s="770"/>
      <c r="EU497" s="770"/>
      <c r="EV497" s="770"/>
      <c r="EW497" s="770"/>
      <c r="EX497" s="770"/>
      <c r="EY497" s="770"/>
      <c r="EZ497" s="766"/>
      <c r="FA497" s="766"/>
      <c r="FB497" s="766"/>
      <c r="FC497" s="766"/>
      <c r="FD497" s="775"/>
      <c r="FE497" s="766"/>
      <c r="FF497" s="770"/>
      <c r="FG497" s="770"/>
      <c r="FH497" s="770" t="s">
        <v>478</v>
      </c>
      <c r="FI497" s="770">
        <v>1</v>
      </c>
      <c r="FJ497" s="770"/>
      <c r="FK497" s="770"/>
      <c r="FL497" s="770"/>
      <c r="FM497" s="302"/>
      <c r="FN497" s="302"/>
      <c r="FO497" s="302"/>
      <c r="FP497" s="770" t="s">
        <v>1600</v>
      </c>
      <c r="FQ497" s="770" t="s">
        <v>1642</v>
      </c>
      <c r="FR497" s="770" t="s">
        <v>1214</v>
      </c>
      <c r="FS497" s="770"/>
      <c r="FT497" s="770"/>
      <c r="FU497" s="770"/>
      <c r="FV497" s="770"/>
      <c r="FW497" s="770"/>
      <c r="FX497" s="770"/>
      <c r="FY497" s="770"/>
      <c r="FZ497" s="770"/>
      <c r="GA497" s="770"/>
      <c r="GB497" s="770"/>
      <c r="GC497" s="308"/>
      <c r="GD497" s="297"/>
      <c r="GE497" s="770" t="s">
        <v>1214</v>
      </c>
      <c r="GF497" s="302"/>
      <c r="GG497" s="302"/>
      <c r="GH497" s="770" t="s">
        <v>1791</v>
      </c>
      <c r="GI497" s="770" t="s">
        <v>2352</v>
      </c>
      <c r="GJ497" s="770" t="s">
        <v>3209</v>
      </c>
      <c r="GK497" s="770" t="s">
        <v>2345</v>
      </c>
      <c r="GL497" s="770"/>
      <c r="GM497" s="770" t="s">
        <v>1835</v>
      </c>
      <c r="GN497" s="299">
        <v>150</v>
      </c>
      <c r="GO497" s="770" t="s">
        <v>2760</v>
      </c>
      <c r="GP497" s="770"/>
      <c r="GQ497" s="770" t="s">
        <v>1208</v>
      </c>
      <c r="GR497" s="770"/>
      <c r="GS497" s="770"/>
      <c r="GT497" s="770"/>
      <c r="GU497" s="770"/>
      <c r="GV497" s="770"/>
      <c r="GW497" s="770" t="s">
        <v>1207</v>
      </c>
      <c r="GX497" s="770"/>
      <c r="GY497" s="770" t="s">
        <v>1208</v>
      </c>
      <c r="GZ497" s="770"/>
      <c r="HA497" s="770" t="s">
        <v>1208</v>
      </c>
      <c r="HB497" s="770" t="s">
        <v>1208</v>
      </c>
      <c r="HC497" s="770" t="s">
        <v>1208</v>
      </c>
      <c r="HD497" s="770" t="s">
        <v>1208</v>
      </c>
      <c r="HE497" s="770" t="s">
        <v>1208</v>
      </c>
      <c r="HF497" s="770"/>
      <c r="HG497" s="770"/>
      <c r="HH497" s="770"/>
      <c r="HI497" s="770" t="s">
        <v>1214</v>
      </c>
      <c r="HJ497" s="770"/>
      <c r="HK497" s="770"/>
      <c r="HL497" s="770"/>
      <c r="HM497" s="770"/>
      <c r="HN497" s="770"/>
      <c r="HO497" s="770"/>
      <c r="HP497" s="770"/>
      <c r="HQ497" s="770"/>
      <c r="HR497" s="770">
        <v>3</v>
      </c>
      <c r="HS497" s="770">
        <v>1</v>
      </c>
      <c r="HT497" s="770"/>
      <c r="HU497" s="770"/>
      <c r="HV497" s="770"/>
      <c r="HW497" s="770"/>
      <c r="HX497" s="770"/>
      <c r="HY497" s="770"/>
      <c r="HZ497" s="770"/>
      <c r="IA497" s="770"/>
      <c r="IB497" s="770" t="s">
        <v>1207</v>
      </c>
      <c r="IC497" s="770"/>
      <c r="ID497" s="770"/>
      <c r="IE497" s="770"/>
      <c r="IF497" s="770"/>
      <c r="IG497" s="770"/>
      <c r="IH497" s="770"/>
      <c r="II497" s="770"/>
      <c r="IJ497" s="770"/>
      <c r="IK497" s="770"/>
      <c r="IL497" s="770"/>
      <c r="IM497" s="770"/>
      <c r="IN497" s="770"/>
      <c r="IO497" s="296"/>
      <c r="IP497" s="770"/>
      <c r="IQ497" s="770"/>
      <c r="IR497" s="770"/>
      <c r="IS497" s="770"/>
      <c r="IT497" s="770"/>
      <c r="IU497" s="770"/>
      <c r="IV497" s="770"/>
      <c r="IW497" s="770"/>
      <c r="IX497" s="770"/>
      <c r="IY497" s="770"/>
      <c r="IZ497" s="770"/>
      <c r="JA497" s="770"/>
      <c r="JB497" s="770"/>
      <c r="JC497" s="770"/>
      <c r="JD497" s="302"/>
      <c r="JE497" s="770"/>
      <c r="JF497" s="770"/>
      <c r="JG497" s="770"/>
      <c r="JH497" s="307"/>
      <c r="JI497" s="307"/>
      <c r="JJ497" s="770">
        <v>1</v>
      </c>
      <c r="JK497" s="770" t="s">
        <v>3380</v>
      </c>
      <c r="JL497" s="766"/>
      <c r="JM497" s="766"/>
      <c r="JN497" s="766">
        <v>1</v>
      </c>
      <c r="JO497" s="766"/>
      <c r="JP497" s="766"/>
      <c r="JQ497" s="766"/>
      <c r="JR497" s="766"/>
      <c r="JS497" s="766"/>
      <c r="JT497" s="766">
        <f t="shared" ref="JT497:JU509" si="137">SUM(JP497,JN497,JL497,JR497)</f>
        <v>1</v>
      </c>
      <c r="JU497" s="766">
        <f t="shared" si="137"/>
        <v>0</v>
      </c>
      <c r="JV497" s="766"/>
      <c r="JW497" s="766"/>
      <c r="JX497" s="766"/>
      <c r="JY497" s="766"/>
      <c r="JZ497" s="766"/>
      <c r="KA497" s="766"/>
      <c r="KB497" s="766"/>
      <c r="KC497" s="766"/>
      <c r="KD497" s="766">
        <v>1</v>
      </c>
      <c r="KE497" s="766"/>
      <c r="KF497" s="766"/>
      <c r="KG497" s="766"/>
      <c r="KH497" s="766"/>
      <c r="KI497" s="766"/>
      <c r="KJ497" s="770">
        <f t="shared" si="126"/>
        <v>1</v>
      </c>
      <c r="KK497" s="770">
        <f t="shared" si="126"/>
        <v>0</v>
      </c>
      <c r="KL497" s="770"/>
      <c r="KM497" s="770"/>
      <c r="KN497" s="770" t="s">
        <v>768</v>
      </c>
      <c r="KO497" s="770"/>
      <c r="KP497" s="770"/>
      <c r="KQ497" s="770"/>
      <c r="KR497" s="770"/>
      <c r="KS497" s="770"/>
      <c r="KT497" s="770"/>
      <c r="KU497" s="770"/>
      <c r="KV497" s="770"/>
      <c r="KW497" s="770"/>
      <c r="KX497" s="770"/>
      <c r="KY497" s="770"/>
      <c r="KZ497" s="770"/>
      <c r="LA497" s="770"/>
      <c r="LB497" s="770"/>
      <c r="LC497" s="770"/>
      <c r="LD497" s="770">
        <v>1</v>
      </c>
      <c r="LE497" s="770"/>
      <c r="LF497" s="770"/>
      <c r="LG497" s="770"/>
      <c r="LH497" s="770"/>
      <c r="LI497" s="770"/>
      <c r="LJ497" s="770"/>
      <c r="LK497" s="770"/>
      <c r="LL497" s="770"/>
      <c r="LM497" s="770"/>
      <c r="LN497" s="766">
        <f t="shared" si="134"/>
        <v>1</v>
      </c>
      <c r="LO497" s="766">
        <f t="shared" si="134"/>
        <v>0</v>
      </c>
      <c r="LP497" s="770">
        <v>1</v>
      </c>
      <c r="LQ497" s="770"/>
      <c r="LR497" s="770"/>
      <c r="LS497" s="770">
        <v>1</v>
      </c>
      <c r="LT497" s="770"/>
      <c r="LU497" s="770"/>
      <c r="LV497" s="770"/>
      <c r="LW497" s="770"/>
      <c r="LX497" s="769">
        <v>1</v>
      </c>
      <c r="LY497" s="766" t="str">
        <f t="shared" si="135"/>
        <v>within the BRGY</v>
      </c>
      <c r="LZ497" s="1709"/>
      <c r="MA497" s="1709"/>
      <c r="MB497" s="1709"/>
      <c r="MC497" s="1679">
        <f t="shared" si="133"/>
        <v>0</v>
      </c>
      <c r="MD497" s="1709"/>
      <c r="ME497" s="1709"/>
      <c r="MF497" s="1709">
        <v>7000</v>
      </c>
      <c r="MG497" s="1680">
        <f t="shared" si="121"/>
        <v>7000</v>
      </c>
      <c r="MH497" s="770" t="s">
        <v>13650</v>
      </c>
      <c r="MI497" s="302">
        <v>6000</v>
      </c>
      <c r="MJ497" s="302">
        <v>4000</v>
      </c>
      <c r="MK497" s="302">
        <v>417</v>
      </c>
      <c r="ML497" s="302">
        <v>5000</v>
      </c>
      <c r="MM497" s="302"/>
      <c r="MN497" s="302"/>
      <c r="MO497" s="302">
        <v>1200</v>
      </c>
      <c r="MP497" s="302">
        <v>2500</v>
      </c>
      <c r="MQ497" s="302">
        <v>600</v>
      </c>
      <c r="MR497" s="302">
        <v>1500</v>
      </c>
      <c r="MS497" s="302">
        <v>42</v>
      </c>
      <c r="MT497" s="302"/>
      <c r="MU497" s="302"/>
      <c r="MV497" s="302"/>
      <c r="MW497" s="302"/>
      <c r="MX497" s="302"/>
      <c r="MY497" s="1682">
        <f t="shared" si="122"/>
        <v>21259</v>
      </c>
      <c r="MZ497" s="770" t="s">
        <v>13370</v>
      </c>
      <c r="NA497" s="770" t="s">
        <v>13005</v>
      </c>
      <c r="NB497" s="770" t="s">
        <v>13016</v>
      </c>
      <c r="NC497" s="770" t="s">
        <v>13602</v>
      </c>
      <c r="ND497" s="770">
        <v>0</v>
      </c>
      <c r="NE497" s="770">
        <v>0</v>
      </c>
      <c r="NF497" s="770">
        <v>0</v>
      </c>
      <c r="NG497" s="770">
        <v>1</v>
      </c>
      <c r="NH497" s="770">
        <v>1</v>
      </c>
      <c r="NI497" s="770">
        <v>0</v>
      </c>
      <c r="NJ497" s="770">
        <v>1</v>
      </c>
      <c r="NK497" s="770">
        <v>0</v>
      </c>
      <c r="NL497" s="770">
        <v>0</v>
      </c>
      <c r="NM497" s="770">
        <v>1</v>
      </c>
      <c r="NN497" s="770">
        <v>0</v>
      </c>
      <c r="NO497" s="770">
        <v>0</v>
      </c>
      <c r="NP497" s="770">
        <v>0</v>
      </c>
      <c r="NQ497" s="770">
        <v>0</v>
      </c>
      <c r="NR497" s="770">
        <v>0</v>
      </c>
      <c r="NS497" s="770">
        <v>0</v>
      </c>
      <c r="NT497" s="770">
        <v>0</v>
      </c>
      <c r="NU497" s="770">
        <v>0</v>
      </c>
      <c r="NV497" s="770">
        <v>0</v>
      </c>
      <c r="NW497" s="770">
        <v>0</v>
      </c>
      <c r="NX497" s="770">
        <v>0</v>
      </c>
      <c r="NY497" s="770"/>
      <c r="NZ497" s="770"/>
      <c r="OA497" s="770"/>
      <c r="OB497" s="770"/>
      <c r="OC497" s="770"/>
      <c r="OD497" s="770"/>
      <c r="OE497" s="770"/>
      <c r="OF497" s="770"/>
      <c r="OG497" s="770"/>
      <c r="OH497" s="770"/>
      <c r="OI497" s="770"/>
      <c r="OJ497" s="770"/>
      <c r="OK497" s="770"/>
      <c r="OL497" s="770"/>
      <c r="OM497" s="770"/>
      <c r="ON497" s="770"/>
      <c r="OO497" s="770"/>
      <c r="OP497" s="770"/>
      <c r="OQ497" s="770"/>
      <c r="OR497" s="770"/>
      <c r="OS497" s="770"/>
      <c r="OT497" s="770"/>
      <c r="OU497" s="770"/>
      <c r="OV497" s="770"/>
      <c r="OW497" s="770"/>
      <c r="OX497" s="770"/>
      <c r="OY497" s="770"/>
      <c r="OZ497" s="770"/>
      <c r="PA497" s="770"/>
      <c r="PB497" s="770"/>
      <c r="PC497" s="770"/>
      <c r="PD497" s="770"/>
      <c r="PE497" s="770"/>
      <c r="PF497" s="770"/>
      <c r="PG497" s="770"/>
      <c r="PH497" s="770"/>
      <c r="PI497" s="770"/>
      <c r="PJ497" s="770" t="s">
        <v>1208</v>
      </c>
      <c r="PK497" s="770" t="s">
        <v>1208</v>
      </c>
      <c r="PL497" s="770"/>
      <c r="PM497" s="770"/>
      <c r="PN497" s="770"/>
      <c r="PO497" s="770"/>
      <c r="PP497" s="770"/>
      <c r="PQ497" s="770"/>
      <c r="PR497" s="770"/>
      <c r="PS497" s="770"/>
      <c r="PT497" s="770"/>
      <c r="PU497" s="770"/>
      <c r="PV497" s="770"/>
      <c r="PW497" s="770"/>
      <c r="PX497" s="770"/>
      <c r="PY497" s="770"/>
      <c r="PZ497" s="770"/>
      <c r="QA497" s="770"/>
      <c r="QB497" s="770"/>
      <c r="QC497" s="770"/>
      <c r="QD497" s="770"/>
      <c r="QE497" s="770"/>
      <c r="QF497" s="770"/>
      <c r="QG497" s="770"/>
      <c r="QH497" s="770"/>
      <c r="QI497" s="770"/>
      <c r="QJ497" s="770"/>
      <c r="QK497" s="770"/>
      <c r="QL497" s="770"/>
      <c r="QM497" s="770"/>
      <c r="QN497" s="770"/>
      <c r="QO497" s="770"/>
      <c r="QP497" s="770"/>
      <c r="QQ497" s="770"/>
      <c r="QR497" s="770"/>
      <c r="QS497" s="770"/>
      <c r="QT497" s="770"/>
      <c r="QU497" s="770"/>
      <c r="QV497" s="770"/>
      <c r="QW497" s="770"/>
      <c r="QX497" s="770"/>
      <c r="QY497" s="770"/>
      <c r="QZ497" s="770"/>
      <c r="RA497" s="770"/>
      <c r="RB497" s="770" t="s">
        <v>1207</v>
      </c>
      <c r="RC497" s="770">
        <v>2013</v>
      </c>
      <c r="RD497" s="770" t="s">
        <v>13251</v>
      </c>
      <c r="RE497" s="770" t="s">
        <v>12999</v>
      </c>
      <c r="RF497" s="304">
        <v>1</v>
      </c>
      <c r="RG497" s="770" t="s">
        <v>13651</v>
      </c>
      <c r="RH497" s="302">
        <v>3000</v>
      </c>
      <c r="RI497" s="770">
        <v>12</v>
      </c>
      <c r="RJ497" s="770" t="s">
        <v>3380</v>
      </c>
      <c r="RK497" s="770" t="s">
        <v>13556</v>
      </c>
      <c r="RL497" s="1710"/>
      <c r="RM497" s="12"/>
      <c r="RN497" s="1711"/>
      <c r="RO497" s="132" t="s">
        <v>3372</v>
      </c>
      <c r="RP497" s="11"/>
      <c r="RQ497" s="11"/>
      <c r="RR497" s="17"/>
      <c r="RS497" s="767"/>
      <c r="RT497" s="11"/>
      <c r="RU497" s="11"/>
      <c r="RV497" s="771" t="s">
        <v>13649</v>
      </c>
      <c r="RW497" s="11" t="s">
        <v>7879</v>
      </c>
      <c r="RX497" s="11" t="s">
        <v>3356</v>
      </c>
      <c r="RY497" s="11"/>
      <c r="RZ497" s="11" t="s">
        <v>1101</v>
      </c>
      <c r="SA497" s="771"/>
      <c r="SB497" s="11"/>
      <c r="SC497" s="11"/>
    </row>
    <row r="498" spans="1:497" ht="12.75" hidden="1" customHeight="1">
      <c r="A498" s="343" t="s">
        <v>14209</v>
      </c>
      <c r="B498" s="752" t="s">
        <v>7782</v>
      </c>
      <c r="C498" s="133" t="s">
        <v>3381</v>
      </c>
      <c r="D498" s="14" t="s">
        <v>3382</v>
      </c>
      <c r="E498" s="770" t="s">
        <v>3358</v>
      </c>
      <c r="F498" s="770" t="s">
        <v>20</v>
      </c>
      <c r="G498" s="770" t="s">
        <v>18</v>
      </c>
      <c r="H498" s="770"/>
      <c r="I498" s="295" t="s">
        <v>3390</v>
      </c>
      <c r="J498" s="94" t="s">
        <v>3383</v>
      </c>
      <c r="K498" s="766" t="s">
        <v>3384</v>
      </c>
      <c r="L498" s="766" t="s">
        <v>3330</v>
      </c>
      <c r="M498" s="770" t="s">
        <v>1238</v>
      </c>
      <c r="N498" s="770"/>
      <c r="O498" s="770" t="s">
        <v>2922</v>
      </c>
      <c r="P498" s="770" t="s">
        <v>3385</v>
      </c>
      <c r="Q498" s="1088">
        <v>14682</v>
      </c>
      <c r="R498" s="297">
        <v>77</v>
      </c>
      <c r="S498" s="770" t="s">
        <v>10</v>
      </c>
      <c r="T498" s="770"/>
      <c r="U498" s="295"/>
      <c r="V498" s="770" t="s">
        <v>707</v>
      </c>
      <c r="W498" s="770"/>
      <c r="X498" s="770"/>
      <c r="Y498" s="770" t="s">
        <v>3358</v>
      </c>
      <c r="Z498" s="770" t="s">
        <v>708</v>
      </c>
      <c r="AA498" s="770" t="s">
        <v>709</v>
      </c>
      <c r="AB498" s="295" t="s">
        <v>710</v>
      </c>
      <c r="AC498" s="770"/>
      <c r="AD498" s="770" t="s">
        <v>711</v>
      </c>
      <c r="AE498" s="770"/>
      <c r="AF498" s="770" t="s">
        <v>712</v>
      </c>
      <c r="AG498" s="770"/>
      <c r="AH498" s="770"/>
      <c r="AI498" s="770"/>
      <c r="AJ498" s="770"/>
      <c r="AK498" s="766" t="s">
        <v>5454</v>
      </c>
      <c r="AL498" s="531"/>
      <c r="AM498" s="780"/>
      <c r="AN498" s="532"/>
      <c r="AO498" s="766"/>
      <c r="AP498" s="766" t="s">
        <v>11906</v>
      </c>
      <c r="AQ498" s="766"/>
      <c r="AR498" s="766"/>
      <c r="AS498" s="770" t="s">
        <v>1207</v>
      </c>
      <c r="AT498" s="770" t="s">
        <v>1208</v>
      </c>
      <c r="AU498" s="770" t="s">
        <v>1208</v>
      </c>
      <c r="AV498" s="770"/>
      <c r="AW498" s="770"/>
      <c r="AX498" s="13"/>
      <c r="AY498" s="770"/>
      <c r="AZ498" s="770"/>
      <c r="BA498" s="770"/>
      <c r="BB498" s="770"/>
      <c r="BC498" s="770" t="s">
        <v>853</v>
      </c>
      <c r="BD498" s="770"/>
      <c r="BE498" s="770"/>
      <c r="BF498" s="302"/>
      <c r="BG498" s="302"/>
      <c r="BH498" s="770"/>
      <c r="BI498" s="770"/>
      <c r="BJ498" s="770"/>
      <c r="BK498" s="770" t="s">
        <v>1095</v>
      </c>
      <c r="BL498" s="770" t="s">
        <v>3386</v>
      </c>
      <c r="BM498" s="766" t="s">
        <v>8108</v>
      </c>
      <c r="BN498" s="770" t="s">
        <v>1230</v>
      </c>
      <c r="BO498" s="766" t="s">
        <v>1246</v>
      </c>
      <c r="BP498" s="765">
        <v>22.41</v>
      </c>
      <c r="BQ498" s="773">
        <v>2.044</v>
      </c>
      <c r="BR498" s="774">
        <f t="shared" si="136"/>
        <v>9.1209281570727357E-2</v>
      </c>
      <c r="BS498" s="766" t="s">
        <v>1242</v>
      </c>
      <c r="BT498" s="766" t="s">
        <v>1326</v>
      </c>
      <c r="BU498" s="770" t="s">
        <v>1249</v>
      </c>
      <c r="BV498" s="770" t="s">
        <v>1247</v>
      </c>
      <c r="BW498" s="769"/>
      <c r="BX498" s="302"/>
      <c r="BY498" s="770" t="s">
        <v>1207</v>
      </c>
      <c r="BZ498" s="302" t="s">
        <v>2769</v>
      </c>
      <c r="CA498" s="770"/>
      <c r="CB498" s="770"/>
      <c r="CC498" s="770"/>
      <c r="CD498" s="770"/>
      <c r="CE498" s="770"/>
      <c r="CF498" s="1753"/>
      <c r="CG498" s="1754"/>
      <c r="CH498" s="770"/>
      <c r="CI498" s="770"/>
      <c r="CJ498" s="770"/>
      <c r="CK498" s="770"/>
      <c r="CL498" s="770"/>
      <c r="CM498" s="770"/>
      <c r="CN498" s="770"/>
      <c r="CO498" s="770"/>
      <c r="CP498" s="770"/>
      <c r="CQ498" s="770"/>
      <c r="CR498" s="302"/>
      <c r="CS498" s="770"/>
      <c r="CT498" s="770"/>
      <c r="CU498" s="305"/>
      <c r="CV498" s="770"/>
      <c r="CW498" s="770"/>
      <c r="CX498" s="770"/>
      <c r="CY498" s="770"/>
      <c r="CZ498" s="770"/>
      <c r="DA498" s="306"/>
      <c r="DB498" s="770"/>
      <c r="DC498" s="770"/>
      <c r="DD498" s="770"/>
      <c r="DE498" s="300"/>
      <c r="DF498" s="770"/>
      <c r="DG498" s="770"/>
      <c r="DH498" s="770"/>
      <c r="DI498" s="770"/>
      <c r="DJ498" s="770"/>
      <c r="DK498" s="770"/>
      <c r="DL498" s="770"/>
      <c r="DM498" s="770"/>
      <c r="DN498" s="322"/>
      <c r="DO498" s="770"/>
      <c r="DP498" s="770"/>
      <c r="DQ498" s="770"/>
      <c r="DR498" s="770"/>
      <c r="DS498" s="307"/>
      <c r="DT498" s="770"/>
      <c r="DU498" s="770"/>
      <c r="DV498" s="770"/>
      <c r="DW498" s="306"/>
      <c r="DX498" s="306"/>
      <c r="DY498" s="770"/>
      <c r="DZ498" s="770"/>
      <c r="EA498" s="770"/>
      <c r="EB498" s="770"/>
      <c r="EC498" s="770"/>
      <c r="ED498" s="770"/>
      <c r="EE498" s="770"/>
      <c r="EF498" s="770"/>
      <c r="EG498" s="770"/>
      <c r="EH498" s="770"/>
      <c r="EI498" s="770"/>
      <c r="EJ498" s="770"/>
      <c r="EK498" s="770"/>
      <c r="EL498" s="770"/>
      <c r="EM498" s="770"/>
      <c r="EN498" s="770"/>
      <c r="EO498" s="770"/>
      <c r="EP498" s="94"/>
      <c r="EQ498" s="770"/>
      <c r="ER498" s="770"/>
      <c r="ES498" s="770"/>
      <c r="ET498" s="770"/>
      <c r="EU498" s="770"/>
      <c r="EV498" s="770"/>
      <c r="EW498" s="770"/>
      <c r="EX498" s="770"/>
      <c r="EY498" s="770"/>
      <c r="EZ498" s="766"/>
      <c r="FA498" s="766"/>
      <c r="FB498" s="766"/>
      <c r="FC498" s="766"/>
      <c r="FD498" s="775"/>
      <c r="FE498" s="766"/>
      <c r="FF498" s="770"/>
      <c r="FG498" s="770"/>
      <c r="FH498" s="770" t="s">
        <v>478</v>
      </c>
      <c r="FI498" s="770">
        <v>1</v>
      </c>
      <c r="FJ498" s="770"/>
      <c r="FK498" s="770"/>
      <c r="FL498" s="770"/>
      <c r="FM498" s="302"/>
      <c r="FN498" s="302"/>
      <c r="FO498" s="302"/>
      <c r="FP498" s="770" t="s">
        <v>1600</v>
      </c>
      <c r="FQ498" s="770" t="s">
        <v>1642</v>
      </c>
      <c r="FR498" s="770" t="s">
        <v>1214</v>
      </c>
      <c r="FS498" s="770"/>
      <c r="FT498" s="770"/>
      <c r="FU498" s="770"/>
      <c r="FV498" s="770"/>
      <c r="FW498" s="770"/>
      <c r="FX498" s="770"/>
      <c r="FY498" s="770"/>
      <c r="FZ498" s="770"/>
      <c r="GA498" s="770"/>
      <c r="GB498" s="770"/>
      <c r="GC498" s="308"/>
      <c r="GD498" s="297"/>
      <c r="GE498" s="770" t="s">
        <v>1214</v>
      </c>
      <c r="GF498" s="302"/>
      <c r="GG498" s="302"/>
      <c r="GH498" s="770"/>
      <c r="GI498" s="770"/>
      <c r="GJ498" s="770"/>
      <c r="GK498" s="770"/>
      <c r="GL498" s="770"/>
      <c r="GM498" s="770"/>
      <c r="GN498" s="299"/>
      <c r="GO498" s="770"/>
      <c r="GP498" s="770"/>
      <c r="GQ498" s="770"/>
      <c r="GR498" s="770"/>
      <c r="GS498" s="770"/>
      <c r="GT498" s="770"/>
      <c r="GU498" s="770"/>
      <c r="GV498" s="770"/>
      <c r="GW498" s="770"/>
      <c r="GX498" s="770"/>
      <c r="GY498" s="770"/>
      <c r="GZ498" s="770"/>
      <c r="HA498" s="770"/>
      <c r="HB498" s="770"/>
      <c r="HC498" s="770"/>
      <c r="HD498" s="770"/>
      <c r="HE498" s="770"/>
      <c r="HF498" s="770"/>
      <c r="HG498" s="770"/>
      <c r="HH498" s="770"/>
      <c r="HI498" s="770"/>
      <c r="HJ498" s="770"/>
      <c r="HK498" s="770"/>
      <c r="HL498" s="770"/>
      <c r="HM498" s="770"/>
      <c r="HN498" s="770"/>
      <c r="HO498" s="770"/>
      <c r="HP498" s="770"/>
      <c r="HQ498" s="770"/>
      <c r="HR498" s="770"/>
      <c r="HS498" s="770"/>
      <c r="HT498" s="770"/>
      <c r="HU498" s="770"/>
      <c r="HV498" s="770"/>
      <c r="HW498" s="770"/>
      <c r="HX498" s="770"/>
      <c r="HY498" s="770"/>
      <c r="HZ498" s="770"/>
      <c r="IA498" s="770"/>
      <c r="IB498" s="770"/>
      <c r="IC498" s="770" t="s">
        <v>1207</v>
      </c>
      <c r="ID498" s="770">
        <v>2</v>
      </c>
      <c r="IE498" s="770">
        <v>1</v>
      </c>
      <c r="IF498" s="770" t="s">
        <v>3382</v>
      </c>
      <c r="IG498" s="770" t="s">
        <v>18</v>
      </c>
      <c r="IH498" s="770" t="s">
        <v>478</v>
      </c>
      <c r="II498" s="770" t="s">
        <v>3358</v>
      </c>
      <c r="IJ498" s="770" t="s">
        <v>3389</v>
      </c>
      <c r="IK498" s="770" t="s">
        <v>2639</v>
      </c>
      <c r="IL498" s="770" t="s">
        <v>3386</v>
      </c>
      <c r="IM498" s="770">
        <v>1980</v>
      </c>
      <c r="IN498" s="770" t="s">
        <v>3386</v>
      </c>
      <c r="IO498" s="296">
        <v>15240</v>
      </c>
      <c r="IP498" s="770" t="s">
        <v>478</v>
      </c>
      <c r="IQ498" s="769" t="s">
        <v>1909</v>
      </c>
      <c r="IR498" s="770" t="s">
        <v>1964</v>
      </c>
      <c r="IS498" s="770" t="s">
        <v>1883</v>
      </c>
      <c r="IT498" s="770" t="s">
        <v>1208</v>
      </c>
      <c r="IU498" s="770"/>
      <c r="IV498" s="770" t="s">
        <v>2916</v>
      </c>
      <c r="IW498" s="770" t="s">
        <v>13652</v>
      </c>
      <c r="IX498" s="770"/>
      <c r="IY498" s="770" t="s">
        <v>3390</v>
      </c>
      <c r="IZ498" s="770"/>
      <c r="JA498" s="770" t="s">
        <v>1880</v>
      </c>
      <c r="JB498" s="770" t="s">
        <v>1901</v>
      </c>
      <c r="JC498" s="770"/>
      <c r="JD498" s="302">
        <v>25000</v>
      </c>
      <c r="JE498" s="770"/>
      <c r="JF498" s="770"/>
      <c r="JG498" s="770"/>
      <c r="JH498" s="307"/>
      <c r="JI498" s="307"/>
      <c r="JJ498" s="770">
        <v>3</v>
      </c>
      <c r="JK498" s="770" t="s">
        <v>13653</v>
      </c>
      <c r="JL498" s="770"/>
      <c r="JM498" s="770"/>
      <c r="JN498" s="770">
        <v>1</v>
      </c>
      <c r="JO498" s="770"/>
      <c r="JP498" s="770">
        <v>1</v>
      </c>
      <c r="JQ498" s="770">
        <v>1</v>
      </c>
      <c r="JR498" s="770"/>
      <c r="JS498" s="770"/>
      <c r="JT498" s="766">
        <f t="shared" si="137"/>
        <v>2</v>
      </c>
      <c r="JU498" s="766">
        <f t="shared" si="137"/>
        <v>1</v>
      </c>
      <c r="JV498" s="766"/>
      <c r="JW498" s="766"/>
      <c r="JX498" s="770"/>
      <c r="JY498" s="770"/>
      <c r="JZ498" s="770"/>
      <c r="KA498" s="770"/>
      <c r="KB498" s="770">
        <v>1</v>
      </c>
      <c r="KC498" s="770"/>
      <c r="KD498" s="770"/>
      <c r="KE498" s="770"/>
      <c r="KF498" s="770">
        <v>1</v>
      </c>
      <c r="KG498" s="770">
        <v>1</v>
      </c>
      <c r="KH498" s="770"/>
      <c r="KI498" s="770"/>
      <c r="KJ498" s="770">
        <f t="shared" si="126"/>
        <v>2</v>
      </c>
      <c r="KK498" s="770">
        <f t="shared" si="126"/>
        <v>1</v>
      </c>
      <c r="KL498" s="770"/>
      <c r="KM498" s="770"/>
      <c r="KN498" s="770" t="s">
        <v>707</v>
      </c>
      <c r="KO498" s="770"/>
      <c r="KP498" s="770"/>
      <c r="KQ498" s="770"/>
      <c r="KR498" s="770"/>
      <c r="KS498" s="770"/>
      <c r="KT498" s="770"/>
      <c r="KU498" s="770"/>
      <c r="KV498" s="770"/>
      <c r="KW498" s="770"/>
      <c r="KX498" s="770"/>
      <c r="KY498" s="770"/>
      <c r="KZ498" s="770">
        <v>2</v>
      </c>
      <c r="LA498" s="770">
        <v>1</v>
      </c>
      <c r="LB498" s="770"/>
      <c r="LC498" s="770"/>
      <c r="LD498" s="770"/>
      <c r="LE498" s="770"/>
      <c r="LF498" s="770"/>
      <c r="LG498" s="770"/>
      <c r="LH498" s="770"/>
      <c r="LI498" s="770"/>
      <c r="LJ498" s="770"/>
      <c r="LK498" s="770"/>
      <c r="LL498" s="770"/>
      <c r="LM498" s="770"/>
      <c r="LN498" s="766">
        <f t="shared" si="134"/>
        <v>2</v>
      </c>
      <c r="LO498" s="766">
        <f t="shared" si="134"/>
        <v>1</v>
      </c>
      <c r="LP498" s="770">
        <v>3</v>
      </c>
      <c r="LQ498" s="770">
        <v>1</v>
      </c>
      <c r="LR498" s="770"/>
      <c r="LS498" s="770">
        <v>2</v>
      </c>
      <c r="LT498" s="770"/>
      <c r="LU498" s="770">
        <v>1</v>
      </c>
      <c r="LV498" s="770"/>
      <c r="LW498" s="770"/>
      <c r="LX498" s="769">
        <v>1</v>
      </c>
      <c r="LY498" s="766" t="str">
        <f t="shared" si="135"/>
        <v>within the BRGY</v>
      </c>
      <c r="LZ498" s="1709">
        <v>4800</v>
      </c>
      <c r="MA498" s="1709"/>
      <c r="MB498" s="1709"/>
      <c r="MC498" s="1679">
        <f t="shared" si="133"/>
        <v>4800</v>
      </c>
      <c r="MD498" s="1709"/>
      <c r="ME498" s="1709"/>
      <c r="MF498" s="1709">
        <f>25000+6000</f>
        <v>31000</v>
      </c>
      <c r="MG498" s="1680">
        <f t="shared" si="121"/>
        <v>31000</v>
      </c>
      <c r="MH498" s="770" t="s">
        <v>13650</v>
      </c>
      <c r="MI498" s="302">
        <v>6000</v>
      </c>
      <c r="MJ498" s="302">
        <v>4500</v>
      </c>
      <c r="MK498" s="302">
        <v>250</v>
      </c>
      <c r="ML498" s="302">
        <v>4300</v>
      </c>
      <c r="MM498" s="302"/>
      <c r="MN498" s="302"/>
      <c r="MO498" s="302">
        <v>1000</v>
      </c>
      <c r="MP498" s="302">
        <v>1500</v>
      </c>
      <c r="MQ498" s="302">
        <v>600</v>
      </c>
      <c r="MR498" s="302">
        <v>1200</v>
      </c>
      <c r="MS498" s="302"/>
      <c r="MT498" s="302"/>
      <c r="MU498" s="302"/>
      <c r="MV498" s="302"/>
      <c r="MW498" s="302"/>
      <c r="MX498" s="302"/>
      <c r="MY498" s="1682">
        <f t="shared" si="122"/>
        <v>19350</v>
      </c>
      <c r="MZ498" s="770" t="s">
        <v>13370</v>
      </c>
      <c r="NA498" s="770" t="s">
        <v>13005</v>
      </c>
      <c r="NB498" s="770" t="s">
        <v>13016</v>
      </c>
      <c r="NC498" s="770" t="s">
        <v>13602</v>
      </c>
      <c r="ND498" s="770">
        <v>0</v>
      </c>
      <c r="NE498" s="770">
        <v>0</v>
      </c>
      <c r="NF498" s="770">
        <v>0</v>
      </c>
      <c r="NG498" s="770">
        <v>1</v>
      </c>
      <c r="NH498" s="770">
        <v>1</v>
      </c>
      <c r="NI498" s="770">
        <v>1</v>
      </c>
      <c r="NJ498" s="770">
        <v>0</v>
      </c>
      <c r="NK498" s="770">
        <v>0</v>
      </c>
      <c r="NL498" s="770">
        <v>1</v>
      </c>
      <c r="NM498" s="770">
        <v>1</v>
      </c>
      <c r="NN498" s="770">
        <v>0</v>
      </c>
      <c r="NO498" s="770">
        <v>0</v>
      </c>
      <c r="NP498" s="770">
        <v>0</v>
      </c>
      <c r="NQ498" s="770">
        <v>0</v>
      </c>
      <c r="NR498" s="770">
        <v>0</v>
      </c>
      <c r="NS498" s="770">
        <v>0</v>
      </c>
      <c r="NT498" s="770">
        <v>0</v>
      </c>
      <c r="NU498" s="770">
        <v>0</v>
      </c>
      <c r="NV498" s="770">
        <v>0</v>
      </c>
      <c r="NW498" s="770">
        <v>0</v>
      </c>
      <c r="NX498" s="770">
        <v>0</v>
      </c>
      <c r="NY498" s="770"/>
      <c r="NZ498" s="770"/>
      <c r="OA498" s="770"/>
      <c r="OB498" s="770"/>
      <c r="OC498" s="770" t="s">
        <v>1208</v>
      </c>
      <c r="OD498" s="770"/>
      <c r="OE498" s="770"/>
      <c r="OF498" s="770" t="s">
        <v>2143</v>
      </c>
      <c r="OG498" s="770"/>
      <c r="OH498" s="770"/>
      <c r="OI498" s="770"/>
      <c r="OJ498" s="770"/>
      <c r="OK498" s="770" t="s">
        <v>1208</v>
      </c>
      <c r="OL498" s="770"/>
      <c r="OM498" s="770"/>
      <c r="ON498" s="770"/>
      <c r="OO498" s="770"/>
      <c r="OP498" s="770"/>
      <c r="OQ498" s="770"/>
      <c r="OR498" s="770"/>
      <c r="OS498" s="770"/>
      <c r="OT498" s="770"/>
      <c r="OU498" s="770"/>
      <c r="OV498" s="770"/>
      <c r="OW498" s="770"/>
      <c r="OX498" s="770"/>
      <c r="OY498" s="770"/>
      <c r="OZ498" s="770"/>
      <c r="PA498" s="770"/>
      <c r="PB498" s="770"/>
      <c r="PC498" s="770"/>
      <c r="PD498" s="770"/>
      <c r="PE498" s="770"/>
      <c r="PF498" s="770"/>
      <c r="PG498" s="770" t="s">
        <v>1208</v>
      </c>
      <c r="PH498" s="770"/>
      <c r="PI498" s="770"/>
      <c r="PJ498" s="770"/>
      <c r="PK498" s="770" t="s">
        <v>1208</v>
      </c>
      <c r="PL498" s="770"/>
      <c r="PM498" s="770"/>
      <c r="PN498" s="770"/>
      <c r="PO498" s="770"/>
      <c r="PP498" s="770"/>
      <c r="PQ498" s="770"/>
      <c r="PR498" s="770"/>
      <c r="PS498" s="770"/>
      <c r="PT498" s="770"/>
      <c r="PU498" s="770"/>
      <c r="PV498" s="770"/>
      <c r="PW498" s="770"/>
      <c r="PX498" s="770"/>
      <c r="PY498" s="770"/>
      <c r="PZ498" s="770"/>
      <c r="QA498" s="770"/>
      <c r="QB498" s="770"/>
      <c r="QC498" s="770"/>
      <c r="QD498" s="770"/>
      <c r="QE498" s="770"/>
      <c r="QF498" s="770"/>
      <c r="QG498" s="770"/>
      <c r="QH498" s="770"/>
      <c r="QI498" s="770"/>
      <c r="QJ498" s="770"/>
      <c r="QK498" s="770"/>
      <c r="QL498" s="770"/>
      <c r="QM498" s="770"/>
      <c r="QN498" s="770"/>
      <c r="QO498" s="770"/>
      <c r="QP498" s="770"/>
      <c r="QQ498" s="770"/>
      <c r="QR498" s="770"/>
      <c r="QS498" s="770"/>
      <c r="QT498" s="770"/>
      <c r="QU498" s="770"/>
      <c r="QV498" s="770"/>
      <c r="QW498" s="770"/>
      <c r="QX498" s="770"/>
      <c r="QY498" s="770"/>
      <c r="QZ498" s="770"/>
      <c r="RA498" s="770"/>
      <c r="RB498" s="770" t="s">
        <v>1207</v>
      </c>
      <c r="RC498" s="770">
        <v>2013</v>
      </c>
      <c r="RD498" s="770" t="s">
        <v>13251</v>
      </c>
      <c r="RE498" s="770"/>
      <c r="RF498" s="304">
        <v>1</v>
      </c>
      <c r="RG498" s="770" t="s">
        <v>13654</v>
      </c>
      <c r="RH498" s="302">
        <v>3000</v>
      </c>
      <c r="RI498" s="770">
        <v>2</v>
      </c>
      <c r="RJ498" s="770" t="s">
        <v>3386</v>
      </c>
      <c r="RK498" s="770" t="s">
        <v>13556</v>
      </c>
      <c r="RL498" s="1710"/>
      <c r="RM498" s="12"/>
      <c r="RN498" s="1711"/>
      <c r="RO498" s="133" t="s">
        <v>3381</v>
      </c>
      <c r="RP498" s="11"/>
      <c r="RQ498" s="11"/>
      <c r="RR498" s="17"/>
      <c r="RS498" s="767"/>
      <c r="RT498" s="11"/>
      <c r="RU498" s="11"/>
      <c r="RV498" s="771" t="s">
        <v>13649</v>
      </c>
      <c r="RW498" s="11" t="s">
        <v>7880</v>
      </c>
      <c r="RX498" s="11" t="s">
        <v>3364</v>
      </c>
      <c r="RY498" s="11"/>
      <c r="RZ498" s="11" t="s">
        <v>1101</v>
      </c>
      <c r="SA498" s="771"/>
      <c r="SB498" s="11"/>
      <c r="SC498" s="11"/>
    </row>
    <row r="499" spans="1:497" ht="12.75" customHeight="1">
      <c r="A499" s="19" t="s">
        <v>7421</v>
      </c>
      <c r="B499" s="752" t="s">
        <v>7783</v>
      </c>
      <c r="C499" s="132" t="s">
        <v>3391</v>
      </c>
      <c r="D499" s="14" t="s">
        <v>3392</v>
      </c>
      <c r="E499" s="770" t="s">
        <v>3358</v>
      </c>
      <c r="F499" s="770" t="s">
        <v>28</v>
      </c>
      <c r="G499" s="770" t="s">
        <v>10</v>
      </c>
      <c r="H499" s="770"/>
      <c r="I499" s="295" t="s">
        <v>3393</v>
      </c>
      <c r="J499" s="94" t="str">
        <f t="shared" ref="J499:J505" ca="1" si="138">IF(F499="Head",CELL("contents",D499))</f>
        <v>Dizon, Ronnie De Leon</v>
      </c>
      <c r="K499" s="766" t="s">
        <v>3394</v>
      </c>
      <c r="L499" s="766" t="s">
        <v>3330</v>
      </c>
      <c r="M499" s="770" t="s">
        <v>1238</v>
      </c>
      <c r="N499" s="770"/>
      <c r="O499" s="770" t="s">
        <v>2922</v>
      </c>
      <c r="P499" s="94" t="s">
        <v>3395</v>
      </c>
      <c r="Q499" s="1088">
        <v>31325</v>
      </c>
      <c r="R499" s="297">
        <v>31</v>
      </c>
      <c r="S499" s="770" t="s">
        <v>10</v>
      </c>
      <c r="T499" s="770"/>
      <c r="U499" s="295" t="s">
        <v>3393</v>
      </c>
      <c r="V499" s="770" t="s">
        <v>768</v>
      </c>
      <c r="W499" s="770"/>
      <c r="X499" s="770"/>
      <c r="Y499" s="770" t="s">
        <v>3358</v>
      </c>
      <c r="Z499" s="770" t="s">
        <v>708</v>
      </c>
      <c r="AA499" s="770" t="s">
        <v>709</v>
      </c>
      <c r="AB499" s="766" t="s">
        <v>7274</v>
      </c>
      <c r="AC499" s="770" t="s">
        <v>724</v>
      </c>
      <c r="AD499" s="770" t="s">
        <v>711</v>
      </c>
      <c r="AE499" s="770"/>
      <c r="AF499" s="770" t="s">
        <v>712</v>
      </c>
      <c r="AG499" s="766" t="s">
        <v>1132</v>
      </c>
      <c r="AH499" s="766" t="s">
        <v>1096</v>
      </c>
      <c r="AI499" s="770"/>
      <c r="AJ499" s="770" t="s">
        <v>1137</v>
      </c>
      <c r="AK499" s="770" t="s">
        <v>1101</v>
      </c>
      <c r="AL499" s="531">
        <v>14.228999999999999</v>
      </c>
      <c r="AM499" s="780">
        <v>2.7160000000000002</v>
      </c>
      <c r="AN499" s="532">
        <f t="shared" ref="AN499:AN508" si="139">AM499/AL499</f>
        <v>0.19087778480567857</v>
      </c>
      <c r="AO499" s="766" t="s">
        <v>1109</v>
      </c>
      <c r="AP499" s="766"/>
      <c r="AQ499" s="766"/>
      <c r="AR499" s="766"/>
      <c r="AS499" s="770"/>
      <c r="AT499" s="770"/>
      <c r="AU499" s="770"/>
      <c r="AV499" s="770"/>
      <c r="AW499" s="770"/>
      <c r="AX499" s="770"/>
      <c r="AY499" s="770"/>
      <c r="AZ499" s="770"/>
      <c r="BA499" s="770"/>
      <c r="BB499" s="770"/>
      <c r="BC499" s="770"/>
      <c r="BD499" s="770"/>
      <c r="BE499" s="770"/>
      <c r="BF499" s="302"/>
      <c r="BG499" s="302"/>
      <c r="BH499" s="770"/>
      <c r="BI499" s="770"/>
      <c r="BJ499" s="770"/>
      <c r="BK499" s="770" t="s">
        <v>1095</v>
      </c>
      <c r="BL499" s="770" t="s">
        <v>3396</v>
      </c>
      <c r="BM499" s="766" t="s">
        <v>1096</v>
      </c>
      <c r="BN499" s="770" t="s">
        <v>1230</v>
      </c>
      <c r="BO499" s="766" t="s">
        <v>1246</v>
      </c>
      <c r="BP499" s="1109">
        <v>14.228999999999999</v>
      </c>
      <c r="BQ499" s="773">
        <v>2.7160000000000002</v>
      </c>
      <c r="BR499" s="774">
        <f t="shared" si="136"/>
        <v>0.19087778480567857</v>
      </c>
      <c r="BS499" s="766" t="s">
        <v>1242</v>
      </c>
      <c r="BT499" s="770" t="s">
        <v>8133</v>
      </c>
      <c r="BU499" s="770" t="s">
        <v>1249</v>
      </c>
      <c r="BV499" s="770" t="s">
        <v>1247</v>
      </c>
      <c r="BW499" s="770" t="s">
        <v>2746</v>
      </c>
      <c r="BX499" s="302"/>
      <c r="BY499" s="770" t="s">
        <v>1207</v>
      </c>
      <c r="BZ499" s="302" t="s">
        <v>2769</v>
      </c>
      <c r="CA499" s="770"/>
      <c r="CB499" s="770" t="s">
        <v>1207</v>
      </c>
      <c r="CC499" s="770" t="s">
        <v>7869</v>
      </c>
      <c r="CD499" s="770"/>
      <c r="CE499" s="770"/>
      <c r="CF499" s="1753">
        <v>1.2</v>
      </c>
      <c r="CG499" s="1754">
        <v>3.5</v>
      </c>
      <c r="CH499" s="770" t="s">
        <v>2545</v>
      </c>
      <c r="CI499" s="770"/>
      <c r="CJ499" s="770" t="s">
        <v>2545</v>
      </c>
      <c r="CK499" s="770">
        <v>4</v>
      </c>
      <c r="CL499" s="770"/>
      <c r="CM499" s="770" t="s">
        <v>3399</v>
      </c>
      <c r="CN499" s="770"/>
      <c r="CO499" s="770" t="s">
        <v>3400</v>
      </c>
      <c r="CP499" s="770"/>
      <c r="CQ499" s="770"/>
      <c r="CR499" s="302"/>
      <c r="CS499" s="770"/>
      <c r="CT499" s="770"/>
      <c r="CU499" s="305"/>
      <c r="CV499" s="770"/>
      <c r="CW499" s="770"/>
      <c r="CX499" s="770"/>
      <c r="CY499" s="770"/>
      <c r="CZ499" s="770"/>
      <c r="DA499" s="306"/>
      <c r="DB499" s="770"/>
      <c r="DC499" s="770"/>
      <c r="DD499" s="770"/>
      <c r="DE499" s="300"/>
      <c r="DF499" s="770"/>
      <c r="DG499" s="770"/>
      <c r="DH499" s="770"/>
      <c r="DI499" s="770"/>
      <c r="DJ499" s="770"/>
      <c r="DK499" s="770"/>
      <c r="DL499" s="770"/>
      <c r="DM499" s="770"/>
      <c r="DN499" s="322"/>
      <c r="DO499" s="770"/>
      <c r="DP499" s="770"/>
      <c r="DQ499" s="770"/>
      <c r="DR499" s="770"/>
      <c r="DS499" s="307"/>
      <c r="DT499" s="770"/>
      <c r="DU499" s="770"/>
      <c r="DV499" s="770"/>
      <c r="DW499" s="306"/>
      <c r="DX499" s="306"/>
      <c r="DY499" s="770"/>
      <c r="DZ499" s="770"/>
      <c r="EA499" s="770"/>
      <c r="EB499" s="770"/>
      <c r="EC499" s="770"/>
      <c r="ED499" s="770"/>
      <c r="EE499" s="770"/>
      <c r="EF499" s="770"/>
      <c r="EG499" s="770"/>
      <c r="EH499" s="770"/>
      <c r="EI499" s="770"/>
      <c r="EJ499" s="770"/>
      <c r="EK499" s="770"/>
      <c r="EL499" s="770"/>
      <c r="EM499" s="770"/>
      <c r="EN499" s="770"/>
      <c r="EO499" s="770"/>
      <c r="EP499" s="94"/>
      <c r="EQ499" s="770"/>
      <c r="ER499" s="770"/>
      <c r="ES499" s="770"/>
      <c r="ET499" s="770"/>
      <c r="EU499" s="770"/>
      <c r="EV499" s="770"/>
      <c r="EW499" s="770"/>
      <c r="EX499" s="770"/>
      <c r="EY499" s="770"/>
      <c r="EZ499" s="770"/>
      <c r="FA499" s="770"/>
      <c r="FB499" s="770"/>
      <c r="FC499" s="770"/>
      <c r="FD499" s="302"/>
      <c r="FE499" s="770"/>
      <c r="FF499" s="770"/>
      <c r="FG499" s="770"/>
      <c r="FH499" s="770" t="s">
        <v>478</v>
      </c>
      <c r="FI499" s="770">
        <v>1</v>
      </c>
      <c r="FJ499" s="770"/>
      <c r="FK499" s="770"/>
      <c r="FL499" s="770" t="s">
        <v>14058</v>
      </c>
      <c r="FM499" s="775"/>
      <c r="FN499" s="302">
        <v>300</v>
      </c>
      <c r="FO499" s="302">
        <v>300</v>
      </c>
      <c r="FP499" s="770" t="s">
        <v>1600</v>
      </c>
      <c r="FQ499" s="770" t="s">
        <v>3940</v>
      </c>
      <c r="FR499" s="770" t="s">
        <v>1207</v>
      </c>
      <c r="FS499" s="770"/>
      <c r="FT499" s="770" t="s">
        <v>1208</v>
      </c>
      <c r="FU499" s="770" t="s">
        <v>1208</v>
      </c>
      <c r="FV499" s="770" t="s">
        <v>1208</v>
      </c>
      <c r="FW499" s="770"/>
      <c r="FX499" s="770"/>
      <c r="FY499" s="770"/>
      <c r="FZ499" s="770"/>
      <c r="GA499" s="770"/>
      <c r="GB499" s="770" t="s">
        <v>796</v>
      </c>
      <c r="GC499" s="308"/>
      <c r="GD499" s="297">
        <v>2014</v>
      </c>
      <c r="GE499" s="770" t="s">
        <v>1214</v>
      </c>
      <c r="GF499" s="302"/>
      <c r="GG499" s="302"/>
      <c r="GH499" s="1781" t="s">
        <v>1791</v>
      </c>
      <c r="GI499" s="770"/>
      <c r="GJ499" s="770"/>
      <c r="GK499" s="766" t="s">
        <v>2693</v>
      </c>
      <c r="GL499" s="770"/>
      <c r="GM499" s="770"/>
      <c r="GN499" s="299"/>
      <c r="GO499" s="770"/>
      <c r="GP499" s="770" t="s">
        <v>1208</v>
      </c>
      <c r="GQ499" s="770" t="s">
        <v>1208</v>
      </c>
      <c r="GR499" s="770" t="s">
        <v>1208</v>
      </c>
      <c r="GS499" s="770" t="s">
        <v>1208</v>
      </c>
      <c r="GT499" s="770" t="s">
        <v>1208</v>
      </c>
      <c r="GU499" s="770"/>
      <c r="GV499" s="770"/>
      <c r="GW499" s="770"/>
      <c r="GX499" s="770"/>
      <c r="GY499" s="770"/>
      <c r="GZ499" s="770"/>
      <c r="HA499" s="770"/>
      <c r="HB499" s="770"/>
      <c r="HC499" s="770"/>
      <c r="HD499" s="770"/>
      <c r="HE499" s="770"/>
      <c r="HF499" s="770"/>
      <c r="HG499" s="770"/>
      <c r="HH499" s="770"/>
      <c r="HI499" s="770" t="s">
        <v>1214</v>
      </c>
      <c r="HJ499" s="770"/>
      <c r="HK499" s="770"/>
      <c r="HL499" s="770"/>
      <c r="HM499" s="770"/>
      <c r="HN499" s="770"/>
      <c r="HO499" s="770"/>
      <c r="HP499" s="770"/>
      <c r="HQ499" s="770"/>
      <c r="HR499" s="770"/>
      <c r="HS499" s="770"/>
      <c r="HT499" s="770">
        <v>1</v>
      </c>
      <c r="HU499" s="770"/>
      <c r="HV499" s="770"/>
      <c r="HW499" s="770"/>
      <c r="HX499" s="770"/>
      <c r="HY499" s="770"/>
      <c r="HZ499" s="770"/>
      <c r="IA499" s="770"/>
      <c r="IB499" s="14" t="e">
        <f>IF(#REF!&gt;0,IF(#REF!&lt;=10000,"Y",""),"")</f>
        <v>#REF!</v>
      </c>
      <c r="IC499" s="770"/>
      <c r="ID499" s="770"/>
      <c r="IE499" s="770"/>
      <c r="IF499" s="770"/>
      <c r="IG499" s="770"/>
      <c r="IH499" s="770"/>
      <c r="II499" s="770"/>
      <c r="IJ499" s="770"/>
      <c r="IK499" s="770"/>
      <c r="IL499" s="770"/>
      <c r="IM499" s="770"/>
      <c r="IN499" s="770"/>
      <c r="IO499" s="296"/>
      <c r="IP499" s="770"/>
      <c r="IQ499" s="770"/>
      <c r="IR499" s="770"/>
      <c r="IS499" s="770"/>
      <c r="IT499" s="770"/>
      <c r="IU499" s="770"/>
      <c r="IV499" s="770"/>
      <c r="IW499" s="770"/>
      <c r="IX499" s="770"/>
      <c r="IY499" s="770"/>
      <c r="IZ499" s="770"/>
      <c r="JA499" s="770"/>
      <c r="JB499" s="770"/>
      <c r="JC499" s="770"/>
      <c r="JD499" s="302"/>
      <c r="JE499" s="770"/>
      <c r="JF499" s="770"/>
      <c r="JG499" s="770"/>
      <c r="JH499" s="307"/>
      <c r="JI499" s="307"/>
      <c r="JJ499" s="770">
        <v>3</v>
      </c>
      <c r="JK499" s="1139" t="s">
        <v>3396</v>
      </c>
      <c r="JL499" s="770">
        <v>1</v>
      </c>
      <c r="JM499" s="770"/>
      <c r="JN499" s="770">
        <v>1</v>
      </c>
      <c r="JO499" s="770">
        <v>1</v>
      </c>
      <c r="JP499" s="770"/>
      <c r="JQ499" s="770"/>
      <c r="JR499" s="770"/>
      <c r="JS499" s="770"/>
      <c r="JT499" s="766">
        <f t="shared" si="137"/>
        <v>2</v>
      </c>
      <c r="JU499" s="766">
        <f t="shared" si="137"/>
        <v>1</v>
      </c>
      <c r="JV499" s="712" t="str">
        <f t="shared" ref="JV499:JV514" si="140">IF(JT499=KJ499,"ok","male")</f>
        <v>ok</v>
      </c>
      <c r="JW499" s="712" t="str">
        <f t="shared" ref="JW499:JW514" si="141">IF(JU499=KK499,"ok","female")</f>
        <v>ok</v>
      </c>
      <c r="JX499" s="770"/>
      <c r="JY499" s="770"/>
      <c r="JZ499" s="770">
        <v>1</v>
      </c>
      <c r="KA499" s="770"/>
      <c r="KB499" s="770"/>
      <c r="KC499" s="770">
        <v>1</v>
      </c>
      <c r="KD499" s="770">
        <v>1</v>
      </c>
      <c r="KE499" s="770"/>
      <c r="KF499" s="770"/>
      <c r="KG499" s="770"/>
      <c r="KH499" s="770"/>
      <c r="KI499" s="770"/>
      <c r="KJ499" s="770">
        <f t="shared" si="126"/>
        <v>2</v>
      </c>
      <c r="KK499" s="770">
        <f t="shared" si="126"/>
        <v>1</v>
      </c>
      <c r="KL499" s="712" t="str">
        <f t="shared" ref="KL499:KL514" si="142">IF(KJ499=LN499,"ok","male")</f>
        <v>ok</v>
      </c>
      <c r="KM499" s="712" t="str">
        <f t="shared" ref="KM499:KM514" si="143">IF(KK499=LO499,"ok","female")</f>
        <v>ok</v>
      </c>
      <c r="KN499" s="770" t="s">
        <v>768</v>
      </c>
      <c r="KO499" s="770"/>
      <c r="KP499" s="770"/>
      <c r="KQ499" s="770"/>
      <c r="KR499" s="770"/>
      <c r="KS499" s="770"/>
      <c r="KT499" s="770">
        <v>1</v>
      </c>
      <c r="KU499" s="770"/>
      <c r="KV499" s="770"/>
      <c r="KW499" s="770"/>
      <c r="KX499" s="770">
        <v>1</v>
      </c>
      <c r="KY499" s="770"/>
      <c r="KZ499" s="770"/>
      <c r="LA499" s="770"/>
      <c r="LB499" s="770"/>
      <c r="LC499" s="770"/>
      <c r="LD499" s="770"/>
      <c r="LE499" s="770">
        <v>1</v>
      </c>
      <c r="LF499" s="770"/>
      <c r="LG499" s="770"/>
      <c r="LH499" s="770"/>
      <c r="LI499" s="770"/>
      <c r="LJ499" s="770"/>
      <c r="LK499" s="770"/>
      <c r="LL499" s="770"/>
      <c r="LM499" s="770"/>
      <c r="LN499" s="766">
        <f t="shared" si="134"/>
        <v>2</v>
      </c>
      <c r="LO499" s="766">
        <f t="shared" si="134"/>
        <v>1</v>
      </c>
      <c r="LP499" s="770">
        <v>2</v>
      </c>
      <c r="LQ499" s="770"/>
      <c r="LR499" s="770"/>
      <c r="LS499" s="770">
        <v>2</v>
      </c>
      <c r="LT499" s="712" t="str">
        <f t="shared" ref="LT499:LT514" si="144">IF(LQ499=SUM(LU499:LW499),"OK","REV")</f>
        <v>OK</v>
      </c>
      <c r="LU499" s="770"/>
      <c r="LV499" s="770"/>
      <c r="LW499" s="770"/>
      <c r="LX499" s="769">
        <v>1</v>
      </c>
      <c r="LY499" s="766" t="str">
        <f t="shared" si="135"/>
        <v>within the BRGY</v>
      </c>
      <c r="LZ499" s="1709"/>
      <c r="MA499" s="1709"/>
      <c r="MB499" s="1709"/>
      <c r="MC499" s="1679">
        <f t="shared" si="133"/>
        <v>0</v>
      </c>
      <c r="MD499" s="1709"/>
      <c r="ME499" s="1709"/>
      <c r="MF499" s="1709">
        <f>SUM(11000,9000)</f>
        <v>20000</v>
      </c>
      <c r="MG499" s="1680">
        <f t="shared" ref="MG499:MG514" si="145">SUM(MD499:MF499)</f>
        <v>20000</v>
      </c>
      <c r="MH499" s="770" t="s">
        <v>3401</v>
      </c>
      <c r="MI499" s="302">
        <v>15000</v>
      </c>
      <c r="MJ499" s="302">
        <v>420</v>
      </c>
      <c r="MK499" s="302">
        <v>250</v>
      </c>
      <c r="ML499" s="302">
        <v>300</v>
      </c>
      <c r="MM499" s="302">
        <v>125</v>
      </c>
      <c r="MN499" s="302"/>
      <c r="MO499" s="302">
        <v>150</v>
      </c>
      <c r="MP499" s="302">
        <v>300</v>
      </c>
      <c r="MQ499" s="302">
        <v>700</v>
      </c>
      <c r="MR499" s="302">
        <v>300</v>
      </c>
      <c r="MS499" s="302">
        <v>500</v>
      </c>
      <c r="MT499" s="302"/>
      <c r="MU499" s="302"/>
      <c r="MV499" s="302"/>
      <c r="MW499" s="302"/>
      <c r="MX499" s="302"/>
      <c r="MY499" s="1682">
        <f t="shared" si="122"/>
        <v>18045</v>
      </c>
      <c r="MZ499" s="770" t="s">
        <v>13395</v>
      </c>
      <c r="NA499" s="770" t="s">
        <v>13005</v>
      </c>
      <c r="NB499" s="770" t="s">
        <v>13016</v>
      </c>
      <c r="NC499" s="770" t="s">
        <v>13602</v>
      </c>
      <c r="ND499" s="770">
        <v>0</v>
      </c>
      <c r="NE499" s="770">
        <v>1</v>
      </c>
      <c r="NF499" s="770">
        <v>0</v>
      </c>
      <c r="NG499" s="770">
        <v>1</v>
      </c>
      <c r="NH499" s="770">
        <v>1</v>
      </c>
      <c r="NI499" s="770">
        <v>1</v>
      </c>
      <c r="NJ499" s="770">
        <v>1</v>
      </c>
      <c r="NK499" s="770">
        <v>0</v>
      </c>
      <c r="NL499" s="770">
        <v>1</v>
      </c>
      <c r="NM499" s="770">
        <v>1</v>
      </c>
      <c r="NN499" s="770">
        <v>0</v>
      </c>
      <c r="NO499" s="770">
        <v>0</v>
      </c>
      <c r="NP499" s="770">
        <v>0</v>
      </c>
      <c r="NQ499" s="770">
        <v>0</v>
      </c>
      <c r="NR499" s="770">
        <v>0</v>
      </c>
      <c r="NS499" s="770">
        <v>0</v>
      </c>
      <c r="NT499" s="770">
        <v>0</v>
      </c>
      <c r="NU499" s="770">
        <v>0</v>
      </c>
      <c r="NV499" s="770">
        <v>0</v>
      </c>
      <c r="NW499" s="770">
        <v>0</v>
      </c>
      <c r="NX499" s="770">
        <v>0</v>
      </c>
      <c r="NY499" s="770"/>
      <c r="NZ499" s="770"/>
      <c r="OA499" s="770"/>
      <c r="OB499" s="770"/>
      <c r="OC499" s="770"/>
      <c r="OD499" s="770"/>
      <c r="OE499" s="770"/>
      <c r="OF499" s="770"/>
      <c r="OG499" s="770"/>
      <c r="OH499" s="770"/>
      <c r="OI499" s="770"/>
      <c r="OJ499" s="770"/>
      <c r="OK499" s="770"/>
      <c r="OL499" s="770"/>
      <c r="OM499" s="770"/>
      <c r="ON499" s="770"/>
      <c r="OO499" s="770"/>
      <c r="OP499" s="770"/>
      <c r="OQ499" s="770"/>
      <c r="OR499" s="770"/>
      <c r="OS499" s="770"/>
      <c r="OT499" s="770"/>
      <c r="OU499" s="770"/>
      <c r="OV499" s="770"/>
      <c r="OW499" s="770"/>
      <c r="OX499" s="770"/>
      <c r="OY499" s="770"/>
      <c r="OZ499" s="770"/>
      <c r="PA499" s="770"/>
      <c r="PB499" s="770"/>
      <c r="PC499" s="770"/>
      <c r="PD499" s="770"/>
      <c r="PE499" s="770"/>
      <c r="PF499" s="770" t="s">
        <v>1208</v>
      </c>
      <c r="PG499" s="770"/>
      <c r="PH499" s="770" t="s">
        <v>1208</v>
      </c>
      <c r="PI499" s="770"/>
      <c r="PJ499" s="770"/>
      <c r="PK499" s="770"/>
      <c r="PL499" s="770"/>
      <c r="PM499" s="770"/>
      <c r="PN499" s="770"/>
      <c r="PO499" s="770"/>
      <c r="PP499" s="770"/>
      <c r="PQ499" s="770"/>
      <c r="PR499" s="770"/>
      <c r="PS499" s="770" t="s">
        <v>1208</v>
      </c>
      <c r="PT499" s="770" t="s">
        <v>1208</v>
      </c>
      <c r="PU499" s="770"/>
      <c r="PV499" s="770"/>
      <c r="PW499" s="770"/>
      <c r="PX499" s="770"/>
      <c r="PY499" s="770"/>
      <c r="PZ499" s="770"/>
      <c r="QA499" s="770"/>
      <c r="QB499" s="770"/>
      <c r="QC499" s="770"/>
      <c r="QD499" s="770"/>
      <c r="QE499" s="770"/>
      <c r="QF499" s="770"/>
      <c r="QG499" s="770"/>
      <c r="QH499" s="770"/>
      <c r="QI499" s="770"/>
      <c r="QJ499" s="770"/>
      <c r="QK499" s="770"/>
      <c r="QL499" s="770"/>
      <c r="QM499" s="770"/>
      <c r="QN499" s="770"/>
      <c r="QO499" s="770"/>
      <c r="QP499" s="770"/>
      <c r="QQ499" s="770"/>
      <c r="QR499" s="770"/>
      <c r="QS499" s="770"/>
      <c r="QT499" s="770"/>
      <c r="QU499" s="770"/>
      <c r="QV499" s="770"/>
      <c r="QW499" s="770"/>
      <c r="QX499" s="770"/>
      <c r="QY499" s="770"/>
      <c r="QZ499" s="770"/>
      <c r="RA499" s="770"/>
      <c r="RB499" s="770" t="s">
        <v>1207</v>
      </c>
      <c r="RC499" s="770">
        <v>2014</v>
      </c>
      <c r="RD499" s="770" t="s">
        <v>13046</v>
      </c>
      <c r="RE499" s="770" t="s">
        <v>12999</v>
      </c>
      <c r="RF499" s="304">
        <v>0.25</v>
      </c>
      <c r="RG499" s="770" t="s">
        <v>13047</v>
      </c>
      <c r="RH499" s="302">
        <v>0</v>
      </c>
      <c r="RI499" s="770">
        <v>1</v>
      </c>
      <c r="RJ499" s="770" t="s">
        <v>3396</v>
      </c>
      <c r="RK499" s="770" t="s">
        <v>13552</v>
      </c>
      <c r="RL499" s="1710"/>
      <c r="RM499" s="12"/>
      <c r="RN499" s="1711"/>
      <c r="RO499" s="132" t="s">
        <v>3391</v>
      </c>
      <c r="RP499" s="11"/>
      <c r="RQ499" s="11"/>
      <c r="RR499" s="19" t="s">
        <v>7421</v>
      </c>
      <c r="RS499" s="1139" t="s">
        <v>12980</v>
      </c>
      <c r="RT499" s="11"/>
      <c r="RU499" s="11"/>
      <c r="RV499" s="771" t="s">
        <v>7419</v>
      </c>
      <c r="RW499" s="11" t="s">
        <v>7781</v>
      </c>
      <c r="RX499" s="11" t="s">
        <v>3372</v>
      </c>
      <c r="RY499" s="11"/>
      <c r="RZ499" s="11" t="s">
        <v>1101</v>
      </c>
      <c r="SA499" s="771"/>
      <c r="SB499" s="11"/>
      <c r="SC499" s="11"/>
    </row>
    <row r="500" spans="1:497" ht="12.75" customHeight="1">
      <c r="A500" s="19" t="s">
        <v>7421</v>
      </c>
      <c r="B500" s="752" t="s">
        <v>7695</v>
      </c>
      <c r="C500" s="132" t="s">
        <v>3407</v>
      </c>
      <c r="D500" s="14" t="s">
        <v>3405</v>
      </c>
      <c r="E500" s="770" t="s">
        <v>3358</v>
      </c>
      <c r="F500" s="770" t="s">
        <v>28</v>
      </c>
      <c r="G500" s="770" t="s">
        <v>18</v>
      </c>
      <c r="H500" s="770"/>
      <c r="I500" s="295" t="s">
        <v>3402</v>
      </c>
      <c r="J500" s="94" t="str">
        <f t="shared" ca="1" si="138"/>
        <v>Lorente, Helena Bayana</v>
      </c>
      <c r="K500" s="766" t="s">
        <v>3403</v>
      </c>
      <c r="L500" s="766" t="s">
        <v>3330</v>
      </c>
      <c r="M500" s="770" t="s">
        <v>1238</v>
      </c>
      <c r="N500" s="770"/>
      <c r="O500" s="770" t="s">
        <v>2922</v>
      </c>
      <c r="P500" s="94" t="s">
        <v>3404</v>
      </c>
      <c r="Q500" s="1088">
        <v>17590</v>
      </c>
      <c r="R500" s="297">
        <v>69</v>
      </c>
      <c r="S500" s="770" t="s">
        <v>18</v>
      </c>
      <c r="T500" s="770"/>
      <c r="U500" s="295" t="s">
        <v>3402</v>
      </c>
      <c r="V500" s="770" t="s">
        <v>719</v>
      </c>
      <c r="W500" s="770"/>
      <c r="X500" s="770"/>
      <c r="Y500" s="770" t="s">
        <v>3358</v>
      </c>
      <c r="Z500" s="770" t="s">
        <v>793</v>
      </c>
      <c r="AA500" s="770" t="s">
        <v>709</v>
      </c>
      <c r="AB500" s="770" t="s">
        <v>710</v>
      </c>
      <c r="AC500" s="770" t="s">
        <v>724</v>
      </c>
      <c r="AD500" s="770" t="s">
        <v>790</v>
      </c>
      <c r="AE500" s="770"/>
      <c r="AF500" s="770" t="s">
        <v>712</v>
      </c>
      <c r="AG500" s="766" t="s">
        <v>1132</v>
      </c>
      <c r="AH500" s="766" t="s">
        <v>1096</v>
      </c>
      <c r="AI500" s="770"/>
      <c r="AJ500" s="770" t="s">
        <v>1137</v>
      </c>
      <c r="AK500" s="770" t="s">
        <v>1101</v>
      </c>
      <c r="AL500" s="531">
        <v>11.04</v>
      </c>
      <c r="AM500" s="780">
        <v>11.04</v>
      </c>
      <c r="AN500" s="532">
        <f t="shared" si="139"/>
        <v>1</v>
      </c>
      <c r="AO500" s="766" t="s">
        <v>1122</v>
      </c>
      <c r="AP500" s="766"/>
      <c r="AQ500" s="766"/>
      <c r="AR500" s="766"/>
      <c r="AS500" s="770"/>
      <c r="AT500" s="770"/>
      <c r="AU500" s="770"/>
      <c r="AV500" s="770"/>
      <c r="AW500" s="770"/>
      <c r="AX500" s="770"/>
      <c r="AY500" s="770"/>
      <c r="AZ500" s="770"/>
      <c r="BA500" s="770"/>
      <c r="BB500" s="770"/>
      <c r="BC500" s="770"/>
      <c r="BD500" s="770"/>
      <c r="BE500" s="770"/>
      <c r="BF500" s="302"/>
      <c r="BG500" s="302"/>
      <c r="BH500" s="770"/>
      <c r="BI500" s="770"/>
      <c r="BJ500" s="770"/>
      <c r="BK500" s="770" t="s">
        <v>1095</v>
      </c>
      <c r="BL500" s="770" t="s">
        <v>3406</v>
      </c>
      <c r="BM500" s="766" t="s">
        <v>1096</v>
      </c>
      <c r="BN500" s="770" t="s">
        <v>1230</v>
      </c>
      <c r="BO500" s="766" t="s">
        <v>1246</v>
      </c>
      <c r="BP500" s="1109">
        <v>11.04</v>
      </c>
      <c r="BQ500" s="773">
        <v>11.04</v>
      </c>
      <c r="BR500" s="774">
        <f t="shared" si="136"/>
        <v>1</v>
      </c>
      <c r="BS500" s="766" t="s">
        <v>1257</v>
      </c>
      <c r="BT500" s="770" t="s">
        <v>1326</v>
      </c>
      <c r="BU500" s="770" t="s">
        <v>1249</v>
      </c>
      <c r="BV500" s="770" t="s">
        <v>1247</v>
      </c>
      <c r="BW500" s="770">
        <v>2000</v>
      </c>
      <c r="BX500" s="302">
        <v>6000</v>
      </c>
      <c r="BY500" s="770"/>
      <c r="BZ500" s="302"/>
      <c r="CA500" s="770"/>
      <c r="CB500" s="770"/>
      <c r="CC500" s="770"/>
      <c r="CD500" s="770"/>
      <c r="CE500" s="770"/>
      <c r="CF500" s="1753"/>
      <c r="CG500" s="1754"/>
      <c r="CH500" s="770"/>
      <c r="CI500" s="770"/>
      <c r="CJ500" s="770"/>
      <c r="CK500" s="770"/>
      <c r="CL500" s="770"/>
      <c r="CM500" s="770"/>
      <c r="CN500" s="770"/>
      <c r="CO500" s="770"/>
      <c r="CP500" s="770"/>
      <c r="CQ500" s="770"/>
      <c r="CR500" s="302"/>
      <c r="CS500" s="770"/>
      <c r="CT500" s="770"/>
      <c r="CU500" s="305"/>
      <c r="CV500" s="770"/>
      <c r="CW500" s="770"/>
      <c r="CX500" s="770"/>
      <c r="CY500" s="770"/>
      <c r="CZ500" s="770"/>
      <c r="DA500" s="306"/>
      <c r="DB500" s="770"/>
      <c r="DC500" s="770"/>
      <c r="DD500" s="770"/>
      <c r="DE500" s="300"/>
      <c r="DF500" s="770"/>
      <c r="DG500" s="770"/>
      <c r="DH500" s="770"/>
      <c r="DI500" s="770"/>
      <c r="DJ500" s="770"/>
      <c r="DK500" s="770"/>
      <c r="DL500" s="770"/>
      <c r="DM500" s="770"/>
      <c r="DN500" s="322"/>
      <c r="DO500" s="770"/>
      <c r="DP500" s="770"/>
      <c r="DQ500" s="770"/>
      <c r="DR500" s="770"/>
      <c r="DS500" s="307"/>
      <c r="DT500" s="770"/>
      <c r="DU500" s="770"/>
      <c r="DV500" s="770"/>
      <c r="DW500" s="306"/>
      <c r="DX500" s="306"/>
      <c r="DY500" s="770"/>
      <c r="DZ500" s="770"/>
      <c r="EA500" s="770"/>
      <c r="EB500" s="770"/>
      <c r="EC500" s="770"/>
      <c r="ED500" s="770"/>
      <c r="EE500" s="770"/>
      <c r="EF500" s="770"/>
      <c r="EG500" s="770"/>
      <c r="EH500" s="770"/>
      <c r="EI500" s="770"/>
      <c r="EJ500" s="770"/>
      <c r="EK500" s="770"/>
      <c r="EL500" s="770"/>
      <c r="EM500" s="770"/>
      <c r="EN500" s="770"/>
      <c r="EO500" s="770"/>
      <c r="EP500" s="94"/>
      <c r="EQ500" s="770"/>
      <c r="ER500" s="770"/>
      <c r="ES500" s="770"/>
      <c r="ET500" s="770"/>
      <c r="EU500" s="770"/>
      <c r="EV500" s="770"/>
      <c r="EW500" s="770"/>
      <c r="EX500" s="770"/>
      <c r="EY500" s="770"/>
      <c r="EZ500" s="770"/>
      <c r="FA500" s="770"/>
      <c r="FB500" s="770"/>
      <c r="FC500" s="770"/>
      <c r="FD500" s="302"/>
      <c r="FE500" s="770"/>
      <c r="FF500" s="770"/>
      <c r="FG500" s="770"/>
      <c r="FH500" s="770" t="s">
        <v>478</v>
      </c>
      <c r="FI500" s="770">
        <v>1</v>
      </c>
      <c r="FJ500" s="770"/>
      <c r="FK500" s="770"/>
      <c r="FL500" s="770"/>
      <c r="FM500" s="302"/>
      <c r="FN500" s="302"/>
      <c r="FO500" s="302"/>
      <c r="FP500" s="766" t="s">
        <v>1602</v>
      </c>
      <c r="FQ500" s="766" t="s">
        <v>1660</v>
      </c>
      <c r="FR500" s="770" t="s">
        <v>1214</v>
      </c>
      <c r="FS500" s="770"/>
      <c r="FT500" s="770"/>
      <c r="FU500" s="770"/>
      <c r="FV500" s="770"/>
      <c r="FW500" s="770"/>
      <c r="FX500" s="770"/>
      <c r="FY500" s="770"/>
      <c r="FZ500" s="770"/>
      <c r="GA500" s="770"/>
      <c r="GB500" s="770"/>
      <c r="GC500" s="308"/>
      <c r="GD500" s="297"/>
      <c r="GE500" s="770" t="s">
        <v>1214</v>
      </c>
      <c r="GF500" s="302"/>
      <c r="GG500" s="302"/>
      <c r="GH500" s="712" t="s">
        <v>1791</v>
      </c>
      <c r="GI500" s="770" t="s">
        <v>2352</v>
      </c>
      <c r="GJ500" s="770" t="s">
        <v>3209</v>
      </c>
      <c r="GK500" s="770" t="s">
        <v>2345</v>
      </c>
      <c r="GL500" s="770"/>
      <c r="GM500" s="770"/>
      <c r="GN500" s="299">
        <f>9000/30</f>
        <v>300</v>
      </c>
      <c r="GO500" s="770" t="s">
        <v>2760</v>
      </c>
      <c r="GP500" s="770"/>
      <c r="GQ500" s="770" t="s">
        <v>1208</v>
      </c>
      <c r="GR500" s="770"/>
      <c r="GS500" s="770"/>
      <c r="GT500" s="770"/>
      <c r="GU500" s="770"/>
      <c r="GV500" s="770"/>
      <c r="GW500" s="770" t="s">
        <v>1207</v>
      </c>
      <c r="GX500" s="770"/>
      <c r="GY500" s="770" t="s">
        <v>1208</v>
      </c>
      <c r="GZ500" s="770"/>
      <c r="HA500" s="770"/>
      <c r="HB500" s="770" t="s">
        <v>1208</v>
      </c>
      <c r="HC500" s="770"/>
      <c r="HD500" s="770" t="s">
        <v>1208</v>
      </c>
      <c r="HE500" s="770" t="s">
        <v>1208</v>
      </c>
      <c r="HF500" s="770"/>
      <c r="HG500" s="770"/>
      <c r="HH500" s="770"/>
      <c r="HI500" s="770" t="s">
        <v>1214</v>
      </c>
      <c r="HJ500" s="770"/>
      <c r="HK500" s="770"/>
      <c r="HL500" s="770" t="s">
        <v>1214</v>
      </c>
      <c r="HM500" s="770"/>
      <c r="HN500" s="770"/>
      <c r="HO500" s="770"/>
      <c r="HP500" s="770"/>
      <c r="HQ500" s="770"/>
      <c r="HR500" s="770"/>
      <c r="HS500" s="770"/>
      <c r="HT500" s="770"/>
      <c r="HU500" s="770"/>
      <c r="HV500" s="770"/>
      <c r="HW500" s="770"/>
      <c r="HX500" s="770"/>
      <c r="HY500" s="770"/>
      <c r="HZ500" s="770"/>
      <c r="IA500" s="770"/>
      <c r="IB500" s="14" t="e">
        <f>IF(#REF!&gt;0,IF(#REF!&lt;=10000,"Y",""),"")</f>
        <v>#REF!</v>
      </c>
      <c r="IC500" s="770" t="s">
        <v>1207</v>
      </c>
      <c r="ID500" s="770">
        <v>1</v>
      </c>
      <c r="IE500" s="770"/>
      <c r="IF500" s="770"/>
      <c r="IG500" s="770"/>
      <c r="IH500" s="770"/>
      <c r="II500" s="770"/>
      <c r="IJ500" s="770"/>
      <c r="IK500" s="770"/>
      <c r="IL500" s="770"/>
      <c r="IM500" s="770"/>
      <c r="IN500" s="770"/>
      <c r="IO500" s="296"/>
      <c r="IP500" s="770"/>
      <c r="IQ500" s="770"/>
      <c r="IR500" s="770"/>
      <c r="IS500" s="770"/>
      <c r="IT500" s="770"/>
      <c r="IU500" s="770"/>
      <c r="IV500" s="770"/>
      <c r="IW500" s="770"/>
      <c r="IX500" s="770"/>
      <c r="IY500" s="770"/>
      <c r="IZ500" s="770"/>
      <c r="JA500" s="770"/>
      <c r="JB500" s="770"/>
      <c r="JC500" s="770"/>
      <c r="JD500" s="302"/>
      <c r="JE500" s="770"/>
      <c r="JF500" s="770"/>
      <c r="JG500" s="770"/>
      <c r="JH500" s="307"/>
      <c r="JI500" s="307"/>
      <c r="JJ500" s="770">
        <v>8</v>
      </c>
      <c r="JK500" s="1139" t="s">
        <v>3408</v>
      </c>
      <c r="JL500" s="770">
        <v>3</v>
      </c>
      <c r="JM500" s="770">
        <v>1</v>
      </c>
      <c r="JN500" s="770">
        <v>2</v>
      </c>
      <c r="JO500" s="770">
        <v>2</v>
      </c>
      <c r="JP500" s="770"/>
      <c r="JQ500" s="770"/>
      <c r="JR500" s="770"/>
      <c r="JS500" s="770"/>
      <c r="JT500" s="766">
        <f t="shared" si="137"/>
        <v>5</v>
      </c>
      <c r="JU500" s="766">
        <f t="shared" si="137"/>
        <v>3</v>
      </c>
      <c r="JV500" s="712" t="str">
        <f t="shared" si="140"/>
        <v>ok</v>
      </c>
      <c r="JW500" s="712" t="str">
        <f t="shared" si="141"/>
        <v>ok</v>
      </c>
      <c r="JX500" s="770"/>
      <c r="JY500" s="770">
        <v>1</v>
      </c>
      <c r="JZ500" s="770">
        <v>3</v>
      </c>
      <c r="KA500" s="770"/>
      <c r="KB500" s="770"/>
      <c r="KC500" s="770"/>
      <c r="KD500" s="770">
        <v>2</v>
      </c>
      <c r="KE500" s="770">
        <v>1</v>
      </c>
      <c r="KF500" s="770"/>
      <c r="KG500" s="770">
        <v>1</v>
      </c>
      <c r="KH500" s="770"/>
      <c r="KI500" s="770"/>
      <c r="KJ500" s="770">
        <f t="shared" si="126"/>
        <v>5</v>
      </c>
      <c r="KK500" s="770">
        <f t="shared" si="126"/>
        <v>3</v>
      </c>
      <c r="KL500" s="712" t="str">
        <f t="shared" si="142"/>
        <v>ok</v>
      </c>
      <c r="KM500" s="712" t="str">
        <f t="shared" si="143"/>
        <v>ok</v>
      </c>
      <c r="KN500" s="770" t="s">
        <v>719</v>
      </c>
      <c r="KO500" s="770"/>
      <c r="KP500" s="770"/>
      <c r="KQ500" s="770">
        <v>1</v>
      </c>
      <c r="KR500" s="770">
        <v>1</v>
      </c>
      <c r="KS500" s="770"/>
      <c r="KT500" s="770">
        <v>2</v>
      </c>
      <c r="KU500" s="770"/>
      <c r="KV500" s="770">
        <v>1</v>
      </c>
      <c r="KW500" s="770"/>
      <c r="KX500" s="770">
        <v>1</v>
      </c>
      <c r="KY500" s="770"/>
      <c r="KZ500" s="770"/>
      <c r="LA500" s="770">
        <v>1</v>
      </c>
      <c r="LB500" s="770"/>
      <c r="LC500" s="770"/>
      <c r="LD500" s="770"/>
      <c r="LE500" s="770"/>
      <c r="LF500" s="770"/>
      <c r="LG500" s="770"/>
      <c r="LH500" s="770"/>
      <c r="LI500" s="770"/>
      <c r="LJ500" s="770"/>
      <c r="LK500" s="770">
        <v>1</v>
      </c>
      <c r="LL500" s="770"/>
      <c r="LM500" s="770"/>
      <c r="LN500" s="766">
        <f t="shared" si="134"/>
        <v>5</v>
      </c>
      <c r="LO500" s="766">
        <f t="shared" si="134"/>
        <v>3</v>
      </c>
      <c r="LP500" s="770">
        <v>2</v>
      </c>
      <c r="LQ500" s="770"/>
      <c r="LR500" s="770"/>
      <c r="LS500" s="770">
        <v>2</v>
      </c>
      <c r="LT500" s="712" t="str">
        <f t="shared" si="144"/>
        <v>OK</v>
      </c>
      <c r="LU500" s="770"/>
      <c r="LV500" s="770"/>
      <c r="LW500" s="770"/>
      <c r="LX500" s="769">
        <v>3</v>
      </c>
      <c r="LY500" s="766" t="str">
        <f t="shared" si="135"/>
        <v>within the PROVINCE</v>
      </c>
      <c r="LZ500" s="1709"/>
      <c r="MA500" s="1709"/>
      <c r="MB500" s="1709">
        <f>SUM(420,3600)</f>
        <v>4020</v>
      </c>
      <c r="MC500" s="1679">
        <f t="shared" si="133"/>
        <v>4020</v>
      </c>
      <c r="MD500" s="1709"/>
      <c r="ME500" s="1709"/>
      <c r="MF500" s="1709">
        <f>SUM(12000,10000)</f>
        <v>22000</v>
      </c>
      <c r="MG500" s="1680">
        <f t="shared" si="145"/>
        <v>22000</v>
      </c>
      <c r="MH500" s="770" t="s">
        <v>2968</v>
      </c>
      <c r="MI500" s="302">
        <v>6000</v>
      </c>
      <c r="MJ500" s="302">
        <v>420</v>
      </c>
      <c r="MK500" s="302">
        <v>166</v>
      </c>
      <c r="ML500" s="302">
        <v>125</v>
      </c>
      <c r="MM500" s="302">
        <v>5000</v>
      </c>
      <c r="MN500" s="302"/>
      <c r="MO500" s="302">
        <v>100</v>
      </c>
      <c r="MP500" s="302">
        <v>50</v>
      </c>
      <c r="MQ500" s="302">
        <v>390</v>
      </c>
      <c r="MR500" s="302">
        <v>400</v>
      </c>
      <c r="MS500" s="302"/>
      <c r="MT500" s="302"/>
      <c r="MU500" s="302"/>
      <c r="MV500" s="302"/>
      <c r="MW500" s="302"/>
      <c r="MX500" s="302"/>
      <c r="MY500" s="1682">
        <f t="shared" si="122"/>
        <v>12651</v>
      </c>
      <c r="MZ500" s="770" t="s">
        <v>13395</v>
      </c>
      <c r="NA500" s="770" t="s">
        <v>13230</v>
      </c>
      <c r="NB500" s="770" t="s">
        <v>13395</v>
      </c>
      <c r="NC500" s="770" t="s">
        <v>13655</v>
      </c>
      <c r="ND500" s="770">
        <v>0</v>
      </c>
      <c r="NE500" s="770">
        <v>0</v>
      </c>
      <c r="NF500" s="770">
        <v>0</v>
      </c>
      <c r="NG500" s="770">
        <v>1</v>
      </c>
      <c r="NH500" s="770">
        <v>1</v>
      </c>
      <c r="NI500" s="770">
        <v>1</v>
      </c>
      <c r="NJ500" s="770">
        <v>1</v>
      </c>
      <c r="NK500" s="770">
        <v>0</v>
      </c>
      <c r="NL500" s="770">
        <v>0</v>
      </c>
      <c r="NM500" s="770">
        <v>1</v>
      </c>
      <c r="NN500" s="770">
        <v>0</v>
      </c>
      <c r="NO500" s="770">
        <v>0</v>
      </c>
      <c r="NP500" s="770">
        <v>0</v>
      </c>
      <c r="NQ500" s="770">
        <v>0</v>
      </c>
      <c r="NR500" s="770">
        <v>0</v>
      </c>
      <c r="NS500" s="770">
        <v>0</v>
      </c>
      <c r="NT500" s="770">
        <v>0</v>
      </c>
      <c r="NU500" s="770">
        <v>0</v>
      </c>
      <c r="NV500" s="770">
        <v>0</v>
      </c>
      <c r="NW500" s="770">
        <v>0</v>
      </c>
      <c r="NX500" s="770">
        <v>0</v>
      </c>
      <c r="NY500" s="770"/>
      <c r="NZ500" s="770"/>
      <c r="OA500" s="770"/>
      <c r="OB500" s="770"/>
      <c r="OC500" s="770" t="s">
        <v>1208</v>
      </c>
      <c r="OD500" s="770"/>
      <c r="OE500" s="770"/>
      <c r="OF500" s="770"/>
      <c r="OG500" s="770"/>
      <c r="OH500" s="770"/>
      <c r="OI500" s="770"/>
      <c r="OJ500" s="770"/>
      <c r="OK500" s="770"/>
      <c r="OL500" s="770"/>
      <c r="OM500" s="770"/>
      <c r="ON500" s="770"/>
      <c r="OO500" s="770"/>
      <c r="OP500" s="770"/>
      <c r="OQ500" s="770"/>
      <c r="OR500" s="770"/>
      <c r="OS500" s="770"/>
      <c r="OT500" s="770"/>
      <c r="OU500" s="770"/>
      <c r="OV500" s="770"/>
      <c r="OW500" s="770"/>
      <c r="OX500" s="770"/>
      <c r="OY500" s="770"/>
      <c r="OZ500" s="770"/>
      <c r="PA500" s="770"/>
      <c r="PB500" s="770"/>
      <c r="PC500" s="770"/>
      <c r="PD500" s="770"/>
      <c r="PE500" s="770"/>
      <c r="PF500" s="770"/>
      <c r="PG500" s="770" t="s">
        <v>1208</v>
      </c>
      <c r="PH500" s="770"/>
      <c r="PI500" s="770" t="s">
        <v>1208</v>
      </c>
      <c r="PJ500" s="770"/>
      <c r="PK500" s="770" t="s">
        <v>1208</v>
      </c>
      <c r="PL500" s="770"/>
      <c r="PM500" s="770"/>
      <c r="PN500" s="770"/>
      <c r="PO500" s="770"/>
      <c r="PP500" s="770"/>
      <c r="PQ500" s="770"/>
      <c r="PR500" s="770"/>
      <c r="PS500" s="770"/>
      <c r="PT500" s="770"/>
      <c r="PU500" s="770"/>
      <c r="PV500" s="770"/>
      <c r="PW500" s="770"/>
      <c r="PX500" s="770"/>
      <c r="PY500" s="770"/>
      <c r="PZ500" s="770"/>
      <c r="QA500" s="770"/>
      <c r="QB500" s="770"/>
      <c r="QC500" s="770"/>
      <c r="QD500" s="770"/>
      <c r="QE500" s="770"/>
      <c r="QF500" s="770"/>
      <c r="QG500" s="770"/>
      <c r="QH500" s="770"/>
      <c r="QI500" s="770"/>
      <c r="QJ500" s="770"/>
      <c r="QK500" s="770"/>
      <c r="QL500" s="770"/>
      <c r="QM500" s="770"/>
      <c r="QN500" s="770"/>
      <c r="QO500" s="770"/>
      <c r="QP500" s="770"/>
      <c r="QQ500" s="770"/>
      <c r="QR500" s="770"/>
      <c r="QS500" s="770"/>
      <c r="QT500" s="770"/>
      <c r="QU500" s="770"/>
      <c r="QV500" s="770"/>
      <c r="QW500" s="770"/>
      <c r="QX500" s="770"/>
      <c r="QY500" s="770"/>
      <c r="QZ500" s="770"/>
      <c r="RA500" s="770"/>
      <c r="RB500" s="770" t="s">
        <v>1207</v>
      </c>
      <c r="RC500" s="770">
        <v>2014</v>
      </c>
      <c r="RD500" s="770" t="s">
        <v>13251</v>
      </c>
      <c r="RE500" s="770" t="s">
        <v>12999</v>
      </c>
      <c r="RF500" s="304">
        <v>2</v>
      </c>
      <c r="RG500" s="770" t="s">
        <v>13047</v>
      </c>
      <c r="RH500" s="302">
        <v>1000</v>
      </c>
      <c r="RI500" s="770" t="s">
        <v>13656</v>
      </c>
      <c r="RJ500" s="770" t="s">
        <v>3408</v>
      </c>
      <c r="RK500" s="770" t="s">
        <v>13556</v>
      </c>
      <c r="RL500" s="1710"/>
      <c r="RM500" s="12"/>
      <c r="RN500" s="1711"/>
      <c r="RO500" s="132" t="s">
        <v>3407</v>
      </c>
      <c r="RP500" s="11"/>
      <c r="RQ500" s="11"/>
      <c r="RR500" s="19" t="s">
        <v>7421</v>
      </c>
      <c r="RS500" s="1139" t="s">
        <v>12980</v>
      </c>
      <c r="RT500" s="11"/>
      <c r="RU500" s="11"/>
      <c r="RV500" s="771" t="s">
        <v>13649</v>
      </c>
      <c r="RW500" s="11" t="s">
        <v>7782</v>
      </c>
      <c r="RX500" s="11" t="s">
        <v>3381</v>
      </c>
      <c r="RY500" s="11"/>
      <c r="RZ500" s="11" t="s">
        <v>1101</v>
      </c>
      <c r="SA500" s="771"/>
      <c r="SB500" s="11"/>
      <c r="SC500" s="11"/>
    </row>
    <row r="501" spans="1:497" ht="12.75" customHeight="1">
      <c r="A501" s="19" t="s">
        <v>7421</v>
      </c>
      <c r="B501" s="752" t="s">
        <v>7696</v>
      </c>
      <c r="C501" s="132" t="s">
        <v>3409</v>
      </c>
      <c r="D501" s="14" t="s">
        <v>3410</v>
      </c>
      <c r="E501" s="770" t="s">
        <v>3358</v>
      </c>
      <c r="F501" s="770" t="s">
        <v>28</v>
      </c>
      <c r="G501" s="770" t="s">
        <v>18</v>
      </c>
      <c r="H501" s="770"/>
      <c r="I501" s="295" t="s">
        <v>3393</v>
      </c>
      <c r="J501" s="94" t="str">
        <f t="shared" ca="1" si="138"/>
        <v>Cardona, Jackielou Letada</v>
      </c>
      <c r="K501" s="766" t="s">
        <v>3411</v>
      </c>
      <c r="L501" s="766" t="s">
        <v>3330</v>
      </c>
      <c r="M501" s="770" t="s">
        <v>1238</v>
      </c>
      <c r="N501" s="770"/>
      <c r="O501" s="770" t="s">
        <v>2922</v>
      </c>
      <c r="P501" s="94" t="s">
        <v>3412</v>
      </c>
      <c r="Q501" s="1088">
        <v>30019</v>
      </c>
      <c r="R501" s="297">
        <v>35</v>
      </c>
      <c r="S501" s="770" t="s">
        <v>18</v>
      </c>
      <c r="T501" s="770"/>
      <c r="U501" s="295" t="s">
        <v>3393</v>
      </c>
      <c r="V501" s="770" t="s">
        <v>2970</v>
      </c>
      <c r="W501" s="770"/>
      <c r="X501" s="770"/>
      <c r="Y501" s="770" t="s">
        <v>3358</v>
      </c>
      <c r="Z501" s="770" t="s">
        <v>708</v>
      </c>
      <c r="AA501" s="770" t="s">
        <v>709</v>
      </c>
      <c r="AB501" s="770" t="s">
        <v>710</v>
      </c>
      <c r="AC501" s="770" t="s">
        <v>724</v>
      </c>
      <c r="AD501" s="770" t="s">
        <v>711</v>
      </c>
      <c r="AE501" s="770"/>
      <c r="AF501" s="770" t="s">
        <v>712</v>
      </c>
      <c r="AG501" s="766" t="s">
        <v>1132</v>
      </c>
      <c r="AH501" s="766" t="s">
        <v>1096</v>
      </c>
      <c r="AI501" s="770"/>
      <c r="AJ501" s="770" t="s">
        <v>1137</v>
      </c>
      <c r="AK501" s="770" t="s">
        <v>1101</v>
      </c>
      <c r="AL501" s="531">
        <v>6.2560000000000002</v>
      </c>
      <c r="AM501" s="780">
        <v>6.2560000000000002</v>
      </c>
      <c r="AN501" s="532">
        <f t="shared" si="139"/>
        <v>1</v>
      </c>
      <c r="AO501" s="766" t="s">
        <v>1122</v>
      </c>
      <c r="AP501" s="766"/>
      <c r="AQ501" s="766"/>
      <c r="AR501" s="766"/>
      <c r="AS501" s="770"/>
      <c r="AT501" s="770"/>
      <c r="AU501" s="770"/>
      <c r="AV501" s="770"/>
      <c r="AW501" s="770"/>
      <c r="AX501" s="770"/>
      <c r="AY501" s="770"/>
      <c r="AZ501" s="770"/>
      <c r="BA501" s="770"/>
      <c r="BB501" s="770"/>
      <c r="BC501" s="770"/>
      <c r="BD501" s="770"/>
      <c r="BE501" s="770"/>
      <c r="BF501" s="302"/>
      <c r="BG501" s="302"/>
      <c r="BH501" s="770"/>
      <c r="BI501" s="770"/>
      <c r="BJ501" s="770"/>
      <c r="BK501" s="770" t="s">
        <v>1095</v>
      </c>
      <c r="BL501" s="770" t="s">
        <v>3413</v>
      </c>
      <c r="BM501" s="766" t="s">
        <v>1096</v>
      </c>
      <c r="BN501" s="770" t="s">
        <v>1230</v>
      </c>
      <c r="BO501" s="770" t="s">
        <v>1333</v>
      </c>
      <c r="BP501" s="1109">
        <v>6.2560000000000002</v>
      </c>
      <c r="BQ501" s="773">
        <v>6.2560000000000002</v>
      </c>
      <c r="BR501" s="774">
        <f t="shared" si="136"/>
        <v>1</v>
      </c>
      <c r="BS501" s="766" t="s">
        <v>1257</v>
      </c>
      <c r="BT501" s="770" t="s">
        <v>1326</v>
      </c>
      <c r="BU501" s="770" t="s">
        <v>2545</v>
      </c>
      <c r="BV501" s="770" t="s">
        <v>1247</v>
      </c>
      <c r="BW501" s="770">
        <v>1997</v>
      </c>
      <c r="BX501" s="302"/>
      <c r="BY501" s="770" t="s">
        <v>1207</v>
      </c>
      <c r="BZ501" s="302" t="s">
        <v>2769</v>
      </c>
      <c r="CA501" s="770"/>
      <c r="CB501" s="770"/>
      <c r="CC501" s="770"/>
      <c r="CD501" s="770"/>
      <c r="CE501" s="770"/>
      <c r="CF501" s="1753"/>
      <c r="CG501" s="1754"/>
      <c r="CH501" s="770"/>
      <c r="CI501" s="770"/>
      <c r="CJ501" s="770"/>
      <c r="CK501" s="770"/>
      <c r="CL501" s="770"/>
      <c r="CM501" s="770"/>
      <c r="CN501" s="770"/>
      <c r="CO501" s="770"/>
      <c r="CP501" s="770"/>
      <c r="CQ501" s="770"/>
      <c r="CR501" s="302"/>
      <c r="CS501" s="770"/>
      <c r="CT501" s="770"/>
      <c r="CU501" s="305"/>
      <c r="CV501" s="770"/>
      <c r="CW501" s="770"/>
      <c r="CX501" s="770"/>
      <c r="CY501" s="770"/>
      <c r="CZ501" s="770"/>
      <c r="DA501" s="306"/>
      <c r="DB501" s="770"/>
      <c r="DC501" s="770"/>
      <c r="DD501" s="770"/>
      <c r="DE501" s="300"/>
      <c r="DF501" s="770"/>
      <c r="DG501" s="770"/>
      <c r="DH501" s="770"/>
      <c r="DI501" s="770"/>
      <c r="DJ501" s="770"/>
      <c r="DK501" s="770"/>
      <c r="DL501" s="770"/>
      <c r="DM501" s="770"/>
      <c r="DN501" s="322"/>
      <c r="DO501" s="770"/>
      <c r="DP501" s="770"/>
      <c r="DQ501" s="770"/>
      <c r="DR501" s="770"/>
      <c r="DS501" s="307"/>
      <c r="DT501" s="770"/>
      <c r="DU501" s="770"/>
      <c r="DV501" s="770"/>
      <c r="DW501" s="306"/>
      <c r="DX501" s="306"/>
      <c r="DY501" s="770"/>
      <c r="DZ501" s="770"/>
      <c r="EA501" s="770"/>
      <c r="EB501" s="770"/>
      <c r="EC501" s="770"/>
      <c r="ED501" s="770"/>
      <c r="EE501" s="770"/>
      <c r="EF501" s="770"/>
      <c r="EG501" s="770"/>
      <c r="EH501" s="770"/>
      <c r="EI501" s="770"/>
      <c r="EJ501" s="770"/>
      <c r="EK501" s="770"/>
      <c r="EL501" s="770"/>
      <c r="EM501" s="770"/>
      <c r="EN501" s="770"/>
      <c r="EO501" s="770"/>
      <c r="EP501" s="94"/>
      <c r="EQ501" s="770"/>
      <c r="ER501" s="770"/>
      <c r="ES501" s="770"/>
      <c r="ET501" s="770"/>
      <c r="EU501" s="770"/>
      <c r="EV501" s="770"/>
      <c r="EW501" s="770"/>
      <c r="EX501" s="770"/>
      <c r="EY501" s="770"/>
      <c r="EZ501" s="770"/>
      <c r="FA501" s="770"/>
      <c r="FB501" s="770"/>
      <c r="FC501" s="770"/>
      <c r="FD501" s="302"/>
      <c r="FE501" s="770"/>
      <c r="FF501" s="770"/>
      <c r="FG501" s="770"/>
      <c r="FH501" s="770" t="s">
        <v>478</v>
      </c>
      <c r="FI501" s="770">
        <v>1</v>
      </c>
      <c r="FJ501" s="770"/>
      <c r="FK501" s="770"/>
      <c r="FL501" s="770"/>
      <c r="FM501" s="302"/>
      <c r="FN501" s="302"/>
      <c r="FO501" s="302"/>
      <c r="FP501" s="766" t="s">
        <v>1602</v>
      </c>
      <c r="FQ501" s="766" t="s">
        <v>1660</v>
      </c>
      <c r="FR501" s="770" t="s">
        <v>1214</v>
      </c>
      <c r="FS501" s="770"/>
      <c r="FT501" s="770"/>
      <c r="FU501" s="770"/>
      <c r="FV501" s="770"/>
      <c r="FW501" s="770"/>
      <c r="FX501" s="770"/>
      <c r="FY501" s="770"/>
      <c r="FZ501" s="770"/>
      <c r="GA501" s="770"/>
      <c r="GB501" s="770"/>
      <c r="GC501" s="308"/>
      <c r="GD501" s="297"/>
      <c r="GE501" s="770" t="s">
        <v>1214</v>
      </c>
      <c r="GF501" s="302"/>
      <c r="GG501" s="302"/>
      <c r="GH501" s="712" t="s">
        <v>14260</v>
      </c>
      <c r="GI501" s="770"/>
      <c r="GJ501" s="770"/>
      <c r="GK501" s="770"/>
      <c r="GL501" s="770"/>
      <c r="GM501" s="770"/>
      <c r="GN501" s="299"/>
      <c r="GO501" s="770"/>
      <c r="GP501" s="770"/>
      <c r="GQ501" s="770"/>
      <c r="GR501" s="770"/>
      <c r="GS501" s="770"/>
      <c r="GT501" s="770"/>
      <c r="GU501" s="770"/>
      <c r="GV501" s="770"/>
      <c r="GW501" s="770"/>
      <c r="GX501" s="770"/>
      <c r="GY501" s="770"/>
      <c r="GZ501" s="770"/>
      <c r="HA501" s="770"/>
      <c r="HB501" s="770"/>
      <c r="HC501" s="770"/>
      <c r="HD501" s="770"/>
      <c r="HE501" s="770"/>
      <c r="HF501" s="770"/>
      <c r="HG501" s="770"/>
      <c r="HH501" s="770"/>
      <c r="HI501" s="770" t="s">
        <v>1214</v>
      </c>
      <c r="HJ501" s="770"/>
      <c r="HK501" s="770"/>
      <c r="HL501" s="770" t="s">
        <v>1214</v>
      </c>
      <c r="HM501" s="770"/>
      <c r="HN501" s="770"/>
      <c r="HO501" s="770"/>
      <c r="HP501" s="770"/>
      <c r="HQ501" s="770"/>
      <c r="HR501" s="770"/>
      <c r="HS501" s="770"/>
      <c r="HT501" s="770"/>
      <c r="HU501" s="770"/>
      <c r="HV501" s="770"/>
      <c r="HW501" s="770"/>
      <c r="HX501" s="770"/>
      <c r="HY501" s="770"/>
      <c r="HZ501" s="770"/>
      <c r="IA501" s="770"/>
      <c r="IB501" s="14" t="e">
        <f>IF(#REF!&gt;0,IF(#REF!&lt;=10000,"Y",""),"")</f>
        <v>#REF!</v>
      </c>
      <c r="IC501" s="770" t="s">
        <v>1207</v>
      </c>
      <c r="ID501" s="770"/>
      <c r="IE501" s="770"/>
      <c r="IF501" s="770"/>
      <c r="IG501" s="770"/>
      <c r="IH501" s="770"/>
      <c r="II501" s="770"/>
      <c r="IJ501" s="770"/>
      <c r="IK501" s="770"/>
      <c r="IL501" s="770"/>
      <c r="IM501" s="770"/>
      <c r="IN501" s="770"/>
      <c r="IO501" s="296"/>
      <c r="IP501" s="770"/>
      <c r="IQ501" s="770"/>
      <c r="IR501" s="770"/>
      <c r="IS501" s="770"/>
      <c r="IT501" s="770"/>
      <c r="IU501" s="770"/>
      <c r="IV501" s="770"/>
      <c r="IW501" s="770"/>
      <c r="IX501" s="770"/>
      <c r="IY501" s="770"/>
      <c r="IZ501" s="770"/>
      <c r="JA501" s="770"/>
      <c r="JB501" s="770"/>
      <c r="JC501" s="770"/>
      <c r="JD501" s="302"/>
      <c r="JE501" s="770"/>
      <c r="JF501" s="770"/>
      <c r="JG501" s="770"/>
      <c r="JH501" s="307"/>
      <c r="JI501" s="307"/>
      <c r="JJ501" s="770">
        <v>1</v>
      </c>
      <c r="JK501" s="1139" t="s">
        <v>3414</v>
      </c>
      <c r="JL501" s="770"/>
      <c r="JM501" s="770"/>
      <c r="JN501" s="770"/>
      <c r="JO501" s="770">
        <v>1</v>
      </c>
      <c r="JP501" s="770"/>
      <c r="JQ501" s="770"/>
      <c r="JR501" s="770"/>
      <c r="JS501" s="770"/>
      <c r="JT501" s="766">
        <f t="shared" si="137"/>
        <v>0</v>
      </c>
      <c r="JU501" s="766">
        <f t="shared" si="137"/>
        <v>1</v>
      </c>
      <c r="JV501" s="712" t="str">
        <f t="shared" si="140"/>
        <v>ok</v>
      </c>
      <c r="JW501" s="712" t="str">
        <f t="shared" si="141"/>
        <v>ok</v>
      </c>
      <c r="JX501" s="770"/>
      <c r="JY501" s="770"/>
      <c r="JZ501" s="770"/>
      <c r="KA501" s="770"/>
      <c r="KB501" s="770"/>
      <c r="KC501" s="770"/>
      <c r="KD501" s="770"/>
      <c r="KE501" s="770">
        <v>1</v>
      </c>
      <c r="KF501" s="770"/>
      <c r="KG501" s="770"/>
      <c r="KH501" s="770"/>
      <c r="KI501" s="770"/>
      <c r="KJ501" s="770">
        <f t="shared" si="126"/>
        <v>0</v>
      </c>
      <c r="KK501" s="770">
        <f t="shared" si="126"/>
        <v>1</v>
      </c>
      <c r="KL501" s="712" t="str">
        <f t="shared" si="142"/>
        <v>ok</v>
      </c>
      <c r="KM501" s="712" t="str">
        <f t="shared" si="143"/>
        <v>ok</v>
      </c>
      <c r="KN501" s="770" t="s">
        <v>768</v>
      </c>
      <c r="KO501" s="770"/>
      <c r="KP501" s="770"/>
      <c r="KQ501" s="770"/>
      <c r="KR501" s="770"/>
      <c r="KS501" s="770"/>
      <c r="KT501" s="770"/>
      <c r="KU501" s="770"/>
      <c r="KV501" s="770"/>
      <c r="KW501" s="770"/>
      <c r="KX501" s="770"/>
      <c r="KY501" s="770"/>
      <c r="KZ501" s="770"/>
      <c r="LA501" s="770">
        <v>1</v>
      </c>
      <c r="LB501" s="770"/>
      <c r="LC501" s="770"/>
      <c r="LD501" s="770"/>
      <c r="LE501" s="770"/>
      <c r="LF501" s="770"/>
      <c r="LG501" s="770"/>
      <c r="LH501" s="770"/>
      <c r="LI501" s="770"/>
      <c r="LJ501" s="770"/>
      <c r="LK501" s="770"/>
      <c r="LL501" s="770"/>
      <c r="LM501" s="770"/>
      <c r="LN501" s="766">
        <f t="shared" si="134"/>
        <v>0</v>
      </c>
      <c r="LO501" s="766">
        <f t="shared" si="134"/>
        <v>1</v>
      </c>
      <c r="LP501" s="770">
        <v>1</v>
      </c>
      <c r="LQ501" s="770">
        <v>1</v>
      </c>
      <c r="LR501" s="770"/>
      <c r="LS501" s="770"/>
      <c r="LT501" s="712" t="str">
        <f t="shared" si="144"/>
        <v>OK</v>
      </c>
      <c r="LU501" s="770">
        <v>1</v>
      </c>
      <c r="LV501" s="770"/>
      <c r="LW501" s="770"/>
      <c r="LX501" s="769">
        <v>2</v>
      </c>
      <c r="LY501" s="766" t="str">
        <f t="shared" si="135"/>
        <v>within the MUNICIPALITY</v>
      </c>
      <c r="LZ501" s="1709">
        <v>660</v>
      </c>
      <c r="MA501" s="1709"/>
      <c r="MB501" s="1709"/>
      <c r="MC501" s="1679">
        <f t="shared" si="133"/>
        <v>660</v>
      </c>
      <c r="MD501" s="1709">
        <v>75000</v>
      </c>
      <c r="ME501" s="1709"/>
      <c r="MF501" s="1709"/>
      <c r="MG501" s="1680">
        <f t="shared" si="145"/>
        <v>75000</v>
      </c>
      <c r="MH501" s="770" t="s">
        <v>3303</v>
      </c>
      <c r="MI501" s="302">
        <v>3000</v>
      </c>
      <c r="MJ501" s="302">
        <v>660</v>
      </c>
      <c r="MK501" s="302">
        <v>500</v>
      </c>
      <c r="ML501" s="302"/>
      <c r="MM501" s="302">
        <v>3500</v>
      </c>
      <c r="MN501" s="302"/>
      <c r="MO501" s="302">
        <v>2820</v>
      </c>
      <c r="MP501" s="302">
        <v>500</v>
      </c>
      <c r="MQ501" s="302">
        <v>1700</v>
      </c>
      <c r="MR501" s="302">
        <v>4500</v>
      </c>
      <c r="MS501" s="302"/>
      <c r="MT501" s="302"/>
      <c r="MU501" s="302"/>
      <c r="MV501" s="302"/>
      <c r="MW501" s="302"/>
      <c r="MX501" s="302"/>
      <c r="MY501" s="1682">
        <f t="shared" si="122"/>
        <v>17180</v>
      </c>
      <c r="MZ501" s="770" t="s">
        <v>13395</v>
      </c>
      <c r="NA501" s="770" t="s">
        <v>13657</v>
      </c>
      <c r="NB501" s="770" t="s">
        <v>13016</v>
      </c>
      <c r="NC501" s="770" t="s">
        <v>13602</v>
      </c>
      <c r="ND501" s="770">
        <v>0</v>
      </c>
      <c r="NE501" s="770">
        <v>0</v>
      </c>
      <c r="NF501" s="770">
        <v>0</v>
      </c>
      <c r="NG501" s="770">
        <v>2</v>
      </c>
      <c r="NH501" s="770">
        <v>1</v>
      </c>
      <c r="NI501" s="770">
        <v>0</v>
      </c>
      <c r="NJ501" s="770">
        <v>1</v>
      </c>
      <c r="NK501" s="770">
        <v>0</v>
      </c>
      <c r="NL501" s="770">
        <v>0</v>
      </c>
      <c r="NM501" s="770">
        <v>1</v>
      </c>
      <c r="NN501" s="770">
        <v>0</v>
      </c>
      <c r="NO501" s="770">
        <v>0</v>
      </c>
      <c r="NP501" s="770">
        <v>0</v>
      </c>
      <c r="NQ501" s="770">
        <v>0</v>
      </c>
      <c r="NR501" s="770">
        <v>0</v>
      </c>
      <c r="NS501" s="770">
        <v>0</v>
      </c>
      <c r="NT501" s="770">
        <v>0</v>
      </c>
      <c r="NU501" s="770">
        <v>0</v>
      </c>
      <c r="NV501" s="770">
        <v>0</v>
      </c>
      <c r="NW501" s="770">
        <v>0</v>
      </c>
      <c r="NX501" s="770">
        <v>0</v>
      </c>
      <c r="NY501" s="770" t="s">
        <v>1208</v>
      </c>
      <c r="NZ501" s="770" t="s">
        <v>1208</v>
      </c>
      <c r="OA501" s="770"/>
      <c r="OB501" s="770"/>
      <c r="OC501" s="770" t="s">
        <v>1208</v>
      </c>
      <c r="OD501" s="770"/>
      <c r="OE501" s="770"/>
      <c r="OF501" s="770"/>
      <c r="OG501" s="770"/>
      <c r="OH501" s="770"/>
      <c r="OI501" s="770"/>
      <c r="OJ501" s="770"/>
      <c r="OK501" s="770"/>
      <c r="OL501" s="770"/>
      <c r="OM501" s="770"/>
      <c r="ON501" s="770"/>
      <c r="OO501" s="770"/>
      <c r="OP501" s="770"/>
      <c r="OQ501" s="770"/>
      <c r="OR501" s="770"/>
      <c r="OS501" s="770"/>
      <c r="OT501" s="770"/>
      <c r="OU501" s="770"/>
      <c r="OV501" s="770"/>
      <c r="OW501" s="770"/>
      <c r="OX501" s="770"/>
      <c r="OY501" s="770"/>
      <c r="OZ501" s="770"/>
      <c r="PA501" s="770"/>
      <c r="PB501" s="770"/>
      <c r="PC501" s="770"/>
      <c r="PD501" s="770"/>
      <c r="PE501" s="770"/>
      <c r="PF501" s="770"/>
      <c r="PG501" s="770"/>
      <c r="PH501" s="770"/>
      <c r="PI501" s="770"/>
      <c r="PJ501" s="770"/>
      <c r="PK501" s="770"/>
      <c r="PL501" s="770"/>
      <c r="PM501" s="770"/>
      <c r="PN501" s="770"/>
      <c r="PO501" s="770"/>
      <c r="PP501" s="770"/>
      <c r="PQ501" s="770"/>
      <c r="PR501" s="770"/>
      <c r="PS501" s="770"/>
      <c r="PT501" s="770"/>
      <c r="PU501" s="770"/>
      <c r="PV501" s="770"/>
      <c r="PW501" s="770"/>
      <c r="PX501" s="770"/>
      <c r="PY501" s="770"/>
      <c r="PZ501" s="770"/>
      <c r="QA501" s="770"/>
      <c r="QB501" s="770"/>
      <c r="QC501" s="770"/>
      <c r="QD501" s="770"/>
      <c r="QE501" s="770"/>
      <c r="QF501" s="770"/>
      <c r="QG501" s="770"/>
      <c r="QH501" s="770"/>
      <c r="QI501" s="770"/>
      <c r="QJ501" s="770"/>
      <c r="QK501" s="770"/>
      <c r="QL501" s="770"/>
      <c r="QM501" s="770"/>
      <c r="QN501" s="770"/>
      <c r="QO501" s="770"/>
      <c r="QP501" s="770"/>
      <c r="QQ501" s="770"/>
      <c r="QR501" s="770"/>
      <c r="QS501" s="770"/>
      <c r="QT501" s="770"/>
      <c r="QU501" s="770"/>
      <c r="QV501" s="770"/>
      <c r="QW501" s="770"/>
      <c r="QX501" s="770"/>
      <c r="QY501" s="770"/>
      <c r="QZ501" s="770"/>
      <c r="RA501" s="770" t="s">
        <v>13658</v>
      </c>
      <c r="RB501" s="770" t="s">
        <v>1207</v>
      </c>
      <c r="RC501" s="770">
        <v>2015</v>
      </c>
      <c r="RD501" s="770"/>
      <c r="RE501" s="770" t="s">
        <v>12999</v>
      </c>
      <c r="RF501" s="304">
        <v>1</v>
      </c>
      <c r="RG501" s="770" t="s">
        <v>13047</v>
      </c>
      <c r="RH501" s="302">
        <v>2500</v>
      </c>
      <c r="RI501" s="770">
        <v>3</v>
      </c>
      <c r="RJ501" s="770" t="s">
        <v>13659</v>
      </c>
      <c r="RK501" s="770" t="s">
        <v>13550</v>
      </c>
      <c r="RL501" s="1710"/>
      <c r="RM501" s="12"/>
      <c r="RN501" s="1711"/>
      <c r="RO501" s="132" t="s">
        <v>3409</v>
      </c>
      <c r="RP501" s="11"/>
      <c r="RQ501" s="11"/>
      <c r="RR501" s="19" t="s">
        <v>7421</v>
      </c>
      <c r="RS501" s="1139" t="s">
        <v>12980</v>
      </c>
      <c r="RT501" s="11"/>
      <c r="RU501" s="11"/>
      <c r="RV501" s="771" t="s">
        <v>7421</v>
      </c>
      <c r="RW501" s="11" t="s">
        <v>7783</v>
      </c>
      <c r="RX501" s="11" t="s">
        <v>3391</v>
      </c>
      <c r="RY501" s="11"/>
      <c r="RZ501" s="11" t="s">
        <v>1101</v>
      </c>
      <c r="SA501" s="771"/>
      <c r="SB501" s="11"/>
      <c r="SC501" s="11"/>
    </row>
    <row r="502" spans="1:497" ht="12.75" customHeight="1">
      <c r="A502" s="19" t="s">
        <v>7421</v>
      </c>
      <c r="B502" s="752" t="s">
        <v>7697</v>
      </c>
      <c r="C502" s="132" t="s">
        <v>3415</v>
      </c>
      <c r="D502" s="14" t="s">
        <v>3416</v>
      </c>
      <c r="E502" s="770" t="s">
        <v>3358</v>
      </c>
      <c r="F502" s="770" t="s">
        <v>28</v>
      </c>
      <c r="G502" s="770" t="s">
        <v>10</v>
      </c>
      <c r="H502" s="770"/>
      <c r="I502" s="295" t="s">
        <v>3417</v>
      </c>
      <c r="J502" s="94" t="str">
        <f t="shared" ca="1" si="138"/>
        <v>Ahyong, Richard Guevarra</v>
      </c>
      <c r="K502" s="766" t="s">
        <v>3418</v>
      </c>
      <c r="L502" s="766" t="s">
        <v>2263</v>
      </c>
      <c r="M502" s="770" t="s">
        <v>1238</v>
      </c>
      <c r="N502" s="770"/>
      <c r="O502" s="770" t="s">
        <v>2922</v>
      </c>
      <c r="P502" s="94" t="s">
        <v>3419</v>
      </c>
      <c r="Q502" s="1088">
        <v>29209</v>
      </c>
      <c r="R502" s="297">
        <v>37</v>
      </c>
      <c r="S502" s="770" t="s">
        <v>10</v>
      </c>
      <c r="T502" s="770"/>
      <c r="U502" s="295" t="s">
        <v>3417</v>
      </c>
      <c r="V502" s="770" t="s">
        <v>707</v>
      </c>
      <c r="W502" s="770"/>
      <c r="X502" s="770"/>
      <c r="Y502" s="770" t="s">
        <v>3358</v>
      </c>
      <c r="Z502" s="770" t="s">
        <v>793</v>
      </c>
      <c r="AA502" s="770" t="s">
        <v>732</v>
      </c>
      <c r="AB502" s="766" t="s">
        <v>7274</v>
      </c>
      <c r="AC502" s="770" t="s">
        <v>1071</v>
      </c>
      <c r="AD502" s="770" t="s">
        <v>711</v>
      </c>
      <c r="AE502" s="770"/>
      <c r="AF502" s="770" t="s">
        <v>712</v>
      </c>
      <c r="AG502" s="766" t="s">
        <v>1132</v>
      </c>
      <c r="AH502" s="766" t="s">
        <v>1096</v>
      </c>
      <c r="AI502" s="770"/>
      <c r="AJ502" s="770" t="s">
        <v>1137</v>
      </c>
      <c r="AK502" s="770" t="s">
        <v>1101</v>
      </c>
      <c r="AL502" s="531">
        <v>21</v>
      </c>
      <c r="AM502" s="780">
        <v>6.2560000000000002</v>
      </c>
      <c r="AN502" s="532">
        <f t="shared" si="139"/>
        <v>0.29790476190476189</v>
      </c>
      <c r="AO502" s="766" t="s">
        <v>1149</v>
      </c>
      <c r="AP502" s="766"/>
      <c r="AQ502" s="766"/>
      <c r="AR502" s="766"/>
      <c r="AS502" s="770"/>
      <c r="AT502" s="770"/>
      <c r="AU502" s="770"/>
      <c r="AV502" s="770"/>
      <c r="AW502" s="770"/>
      <c r="AX502" s="770"/>
      <c r="AY502" s="770"/>
      <c r="AZ502" s="770"/>
      <c r="BA502" s="770"/>
      <c r="BB502" s="770"/>
      <c r="BC502" s="770"/>
      <c r="BD502" s="770"/>
      <c r="BE502" s="770"/>
      <c r="BF502" s="302"/>
      <c r="BG502" s="302"/>
      <c r="BH502" s="770"/>
      <c r="BI502" s="770"/>
      <c r="BJ502" s="770"/>
      <c r="BK502" s="770" t="s">
        <v>1095</v>
      </c>
      <c r="BL502" s="770" t="s">
        <v>3420</v>
      </c>
      <c r="BM502" s="766" t="s">
        <v>1096</v>
      </c>
      <c r="BN502" s="770" t="s">
        <v>1230</v>
      </c>
      <c r="BO502" s="770" t="s">
        <v>1333</v>
      </c>
      <c r="BP502" s="1109">
        <v>35.744</v>
      </c>
      <c r="BQ502" s="773">
        <v>6.2560000000000002</v>
      </c>
      <c r="BR502" s="774">
        <f t="shared" si="136"/>
        <v>0.17502238137869294</v>
      </c>
      <c r="BS502" s="766" t="s">
        <v>1242</v>
      </c>
      <c r="BT502" s="766" t="s">
        <v>8133</v>
      </c>
      <c r="BU502" s="770" t="s">
        <v>2545</v>
      </c>
      <c r="BV502" s="770" t="s">
        <v>1247</v>
      </c>
      <c r="BW502" s="769"/>
      <c r="BX502" s="302"/>
      <c r="BY502" s="770" t="s">
        <v>1207</v>
      </c>
      <c r="BZ502" s="302" t="s">
        <v>2769</v>
      </c>
      <c r="CA502" s="770"/>
      <c r="CB502" s="770"/>
      <c r="CC502" s="770"/>
      <c r="CD502" s="770"/>
      <c r="CE502" s="770"/>
      <c r="CF502" s="1753"/>
      <c r="CG502" s="1754"/>
      <c r="CH502" s="770"/>
      <c r="CI502" s="770"/>
      <c r="CJ502" s="770"/>
      <c r="CK502" s="770"/>
      <c r="CL502" s="770"/>
      <c r="CM502" s="770"/>
      <c r="CN502" s="770"/>
      <c r="CO502" s="770"/>
      <c r="CP502" s="770"/>
      <c r="CQ502" s="770"/>
      <c r="CR502" s="302"/>
      <c r="CS502" s="770"/>
      <c r="CT502" s="770"/>
      <c r="CU502" s="305"/>
      <c r="CV502" s="770"/>
      <c r="CW502" s="770"/>
      <c r="CX502" s="770"/>
      <c r="CY502" s="770"/>
      <c r="CZ502" s="770"/>
      <c r="DA502" s="306"/>
      <c r="DB502" s="770"/>
      <c r="DC502" s="770"/>
      <c r="DD502" s="770"/>
      <c r="DE502" s="300"/>
      <c r="DF502" s="770"/>
      <c r="DG502" s="770"/>
      <c r="DH502" s="770"/>
      <c r="DI502" s="770"/>
      <c r="DJ502" s="770"/>
      <c r="DK502" s="770"/>
      <c r="DL502" s="770"/>
      <c r="DM502" s="770"/>
      <c r="DN502" s="322"/>
      <c r="DO502" s="770"/>
      <c r="DP502" s="770"/>
      <c r="DQ502" s="770"/>
      <c r="DR502" s="770"/>
      <c r="DS502" s="307"/>
      <c r="DT502" s="770"/>
      <c r="DU502" s="770"/>
      <c r="DV502" s="770"/>
      <c r="DW502" s="306"/>
      <c r="DX502" s="306"/>
      <c r="DY502" s="770"/>
      <c r="DZ502" s="770"/>
      <c r="EA502" s="770"/>
      <c r="EB502" s="770"/>
      <c r="EC502" s="770"/>
      <c r="ED502" s="770"/>
      <c r="EE502" s="770"/>
      <c r="EF502" s="770"/>
      <c r="EG502" s="770"/>
      <c r="EH502" s="770"/>
      <c r="EI502" s="770"/>
      <c r="EJ502" s="770"/>
      <c r="EK502" s="770"/>
      <c r="EL502" s="770"/>
      <c r="EM502" s="770"/>
      <c r="EN502" s="770"/>
      <c r="EO502" s="770"/>
      <c r="EP502" s="94"/>
      <c r="EQ502" s="770"/>
      <c r="ER502" s="770"/>
      <c r="ES502" s="770"/>
      <c r="ET502" s="770"/>
      <c r="EU502" s="770"/>
      <c r="EV502" s="770"/>
      <c r="EW502" s="770"/>
      <c r="EX502" s="770"/>
      <c r="EY502" s="770"/>
      <c r="EZ502" s="770"/>
      <c r="FA502" s="770"/>
      <c r="FB502" s="770"/>
      <c r="FC502" s="770"/>
      <c r="FD502" s="302"/>
      <c r="FE502" s="770"/>
      <c r="FF502" s="770"/>
      <c r="FG502" s="770"/>
      <c r="FH502" s="770" t="s">
        <v>478</v>
      </c>
      <c r="FI502" s="770">
        <v>1</v>
      </c>
      <c r="FJ502" s="770"/>
      <c r="FK502" s="770"/>
      <c r="FL502" s="770"/>
      <c r="FM502" s="302"/>
      <c r="FN502" s="302"/>
      <c r="FO502" s="302"/>
      <c r="FP502" s="766" t="s">
        <v>1600</v>
      </c>
      <c r="FQ502" s="766" t="s">
        <v>1642</v>
      </c>
      <c r="FR502" s="770" t="s">
        <v>1214</v>
      </c>
      <c r="FS502" s="770"/>
      <c r="FT502" s="770"/>
      <c r="FU502" s="770"/>
      <c r="FV502" s="770"/>
      <c r="FW502" s="770"/>
      <c r="FX502" s="770"/>
      <c r="FY502" s="770"/>
      <c r="FZ502" s="770"/>
      <c r="GA502" s="770"/>
      <c r="GB502" s="770"/>
      <c r="GC502" s="308"/>
      <c r="GD502" s="297"/>
      <c r="GE502" s="770" t="s">
        <v>1214</v>
      </c>
      <c r="GF502" s="302"/>
      <c r="GG502" s="302"/>
      <c r="GH502" s="770" t="s">
        <v>1791</v>
      </c>
      <c r="GI502" s="770" t="s">
        <v>2352</v>
      </c>
      <c r="GJ502" s="770" t="s">
        <v>3209</v>
      </c>
      <c r="GK502" s="770" t="s">
        <v>2345</v>
      </c>
      <c r="GL502" s="770"/>
      <c r="GM502" s="770" t="s">
        <v>1835</v>
      </c>
      <c r="GN502" s="299">
        <v>60</v>
      </c>
      <c r="GO502" s="770" t="s">
        <v>2760</v>
      </c>
      <c r="GP502" s="770"/>
      <c r="GQ502" s="770" t="s">
        <v>1208</v>
      </c>
      <c r="GR502" s="770"/>
      <c r="GS502" s="770"/>
      <c r="GT502" s="770"/>
      <c r="GU502" s="770"/>
      <c r="GV502" s="770"/>
      <c r="GW502" s="770" t="s">
        <v>1207</v>
      </c>
      <c r="GX502" s="770"/>
      <c r="GY502" s="770" t="s">
        <v>1208</v>
      </c>
      <c r="GZ502" s="770"/>
      <c r="HA502" s="770" t="s">
        <v>1208</v>
      </c>
      <c r="HB502" s="770" t="s">
        <v>1208</v>
      </c>
      <c r="HC502" s="770" t="s">
        <v>1208</v>
      </c>
      <c r="HD502" s="770" t="s">
        <v>1208</v>
      </c>
      <c r="HE502" s="770" t="s">
        <v>1208</v>
      </c>
      <c r="HF502" s="770"/>
      <c r="HG502" s="770"/>
      <c r="HH502" s="770"/>
      <c r="HI502" s="770" t="s">
        <v>1214</v>
      </c>
      <c r="HJ502" s="770"/>
      <c r="HK502" s="770"/>
      <c r="HL502" s="770" t="s">
        <v>1214</v>
      </c>
      <c r="HM502" s="770"/>
      <c r="HN502" s="770"/>
      <c r="HO502" s="770"/>
      <c r="HP502" s="770"/>
      <c r="HQ502" s="770"/>
      <c r="HR502" s="770"/>
      <c r="HS502" s="770"/>
      <c r="HT502" s="770"/>
      <c r="HU502" s="770"/>
      <c r="HV502" s="770"/>
      <c r="HW502" s="770"/>
      <c r="HX502" s="770"/>
      <c r="HY502" s="770"/>
      <c r="HZ502" s="770"/>
      <c r="IA502" s="770"/>
      <c r="IB502" s="14" t="e">
        <f>IF(#REF!&gt;0,IF(#REF!&lt;=10000,"Y",""),"")</f>
        <v>#REF!</v>
      </c>
      <c r="IC502" s="770"/>
      <c r="ID502" s="770"/>
      <c r="IE502" s="770"/>
      <c r="IF502" s="770"/>
      <c r="IG502" s="770"/>
      <c r="IH502" s="770"/>
      <c r="II502" s="770"/>
      <c r="IJ502" s="770"/>
      <c r="IK502" s="770"/>
      <c r="IL502" s="770"/>
      <c r="IM502" s="770"/>
      <c r="IN502" s="770"/>
      <c r="IO502" s="296"/>
      <c r="IP502" s="770"/>
      <c r="IQ502" s="770"/>
      <c r="IR502" s="770"/>
      <c r="IS502" s="770"/>
      <c r="IT502" s="770"/>
      <c r="IU502" s="770"/>
      <c r="IV502" s="770"/>
      <c r="IW502" s="770"/>
      <c r="IX502" s="770"/>
      <c r="IY502" s="770"/>
      <c r="IZ502" s="770"/>
      <c r="JA502" s="770"/>
      <c r="JB502" s="770"/>
      <c r="JC502" s="770"/>
      <c r="JD502" s="302"/>
      <c r="JE502" s="770"/>
      <c r="JF502" s="770"/>
      <c r="JG502" s="770"/>
      <c r="JH502" s="307"/>
      <c r="JI502" s="307"/>
      <c r="JJ502" s="770">
        <v>6</v>
      </c>
      <c r="JK502" s="1139" t="s">
        <v>3420</v>
      </c>
      <c r="JL502" s="770">
        <v>2</v>
      </c>
      <c r="JM502" s="770">
        <v>2</v>
      </c>
      <c r="JN502" s="770">
        <v>1</v>
      </c>
      <c r="JO502" s="770">
        <v>1</v>
      </c>
      <c r="JP502" s="770"/>
      <c r="JQ502" s="770"/>
      <c r="JR502" s="770"/>
      <c r="JS502" s="770"/>
      <c r="JT502" s="766">
        <f t="shared" si="137"/>
        <v>3</v>
      </c>
      <c r="JU502" s="766">
        <f t="shared" si="137"/>
        <v>3</v>
      </c>
      <c r="JV502" s="712" t="str">
        <f t="shared" si="140"/>
        <v>ok</v>
      </c>
      <c r="JW502" s="712" t="str">
        <f t="shared" si="141"/>
        <v>ok</v>
      </c>
      <c r="JX502" s="770"/>
      <c r="JY502" s="770">
        <v>1</v>
      </c>
      <c r="JZ502" s="770">
        <v>2</v>
      </c>
      <c r="KA502" s="770">
        <v>1</v>
      </c>
      <c r="KB502" s="770"/>
      <c r="KC502" s="770"/>
      <c r="KD502" s="770">
        <v>1</v>
      </c>
      <c r="KE502" s="770">
        <v>1</v>
      </c>
      <c r="KF502" s="770"/>
      <c r="KG502" s="770"/>
      <c r="KH502" s="770"/>
      <c r="KI502" s="770"/>
      <c r="KJ502" s="770">
        <f t="shared" si="126"/>
        <v>3</v>
      </c>
      <c r="KK502" s="770">
        <f t="shared" si="126"/>
        <v>3</v>
      </c>
      <c r="KL502" s="712" t="str">
        <f t="shared" si="142"/>
        <v>ok</v>
      </c>
      <c r="KM502" s="712" t="str">
        <f t="shared" si="143"/>
        <v>ok</v>
      </c>
      <c r="KN502" s="770" t="s">
        <v>707</v>
      </c>
      <c r="KO502" s="770"/>
      <c r="KP502" s="770"/>
      <c r="KQ502" s="770"/>
      <c r="KR502" s="770"/>
      <c r="KS502" s="770">
        <v>1</v>
      </c>
      <c r="KT502" s="770">
        <v>1</v>
      </c>
      <c r="KU502" s="770"/>
      <c r="KV502" s="770"/>
      <c r="KW502" s="770"/>
      <c r="KX502" s="770">
        <v>1</v>
      </c>
      <c r="KY502" s="770"/>
      <c r="KZ502" s="770">
        <v>1</v>
      </c>
      <c r="LA502" s="770">
        <v>1</v>
      </c>
      <c r="LB502" s="770"/>
      <c r="LC502" s="770"/>
      <c r="LD502" s="770"/>
      <c r="LE502" s="770"/>
      <c r="LF502" s="770"/>
      <c r="LG502" s="770"/>
      <c r="LH502" s="770"/>
      <c r="LI502" s="770"/>
      <c r="LJ502" s="770"/>
      <c r="LK502" s="770">
        <v>1</v>
      </c>
      <c r="LL502" s="770"/>
      <c r="LM502" s="770"/>
      <c r="LN502" s="766">
        <f t="shared" si="134"/>
        <v>3</v>
      </c>
      <c r="LO502" s="766">
        <f t="shared" si="134"/>
        <v>3</v>
      </c>
      <c r="LP502" s="770">
        <v>2</v>
      </c>
      <c r="LQ502" s="770">
        <v>1</v>
      </c>
      <c r="LR502" s="770"/>
      <c r="LS502" s="770">
        <v>1</v>
      </c>
      <c r="LT502" s="712" t="str">
        <f t="shared" si="144"/>
        <v>OK</v>
      </c>
      <c r="LU502" s="770"/>
      <c r="LV502" s="770">
        <v>1</v>
      </c>
      <c r="LW502" s="770"/>
      <c r="LX502" s="769">
        <v>3</v>
      </c>
      <c r="LY502" s="766" t="str">
        <f t="shared" si="135"/>
        <v>within the PROVINCE</v>
      </c>
      <c r="LZ502" s="1709">
        <v>2400</v>
      </c>
      <c r="MA502" s="1709"/>
      <c r="MB502" s="1709">
        <v>960</v>
      </c>
      <c r="MC502" s="1679">
        <f t="shared" si="133"/>
        <v>3360</v>
      </c>
      <c r="MD502" s="1709">
        <v>9500</v>
      </c>
      <c r="ME502" s="1709"/>
      <c r="MF502" s="1709">
        <v>9000</v>
      </c>
      <c r="MG502" s="1680">
        <f t="shared" si="145"/>
        <v>18500</v>
      </c>
      <c r="MH502" s="770" t="s">
        <v>2225</v>
      </c>
      <c r="MI502" s="302">
        <v>9000</v>
      </c>
      <c r="MJ502" s="302">
        <v>4000</v>
      </c>
      <c r="MK502" s="302">
        <v>250</v>
      </c>
      <c r="ML502" s="302">
        <v>500</v>
      </c>
      <c r="MM502" s="302">
        <v>150</v>
      </c>
      <c r="MN502" s="302"/>
      <c r="MO502" s="302">
        <v>40</v>
      </c>
      <c r="MP502" s="302"/>
      <c r="MQ502" s="302">
        <v>1200</v>
      </c>
      <c r="MR502" s="302">
        <v>500</v>
      </c>
      <c r="MS502" s="302"/>
      <c r="MT502" s="302"/>
      <c r="MU502" s="302"/>
      <c r="MV502" s="302"/>
      <c r="MW502" s="302"/>
      <c r="MX502" s="302"/>
      <c r="MY502" s="1682">
        <f t="shared" si="122"/>
        <v>15640</v>
      </c>
      <c r="MZ502" s="766" t="s">
        <v>1835</v>
      </c>
      <c r="NA502" s="770" t="s">
        <v>13230</v>
      </c>
      <c r="NB502" s="770" t="s">
        <v>13016</v>
      </c>
      <c r="NC502" s="770" t="s">
        <v>13602</v>
      </c>
      <c r="ND502" s="770">
        <v>0</v>
      </c>
      <c r="NE502" s="770">
        <v>0</v>
      </c>
      <c r="NF502" s="770">
        <v>0</v>
      </c>
      <c r="NG502" s="770">
        <v>1</v>
      </c>
      <c r="NH502" s="770">
        <v>1</v>
      </c>
      <c r="NI502" s="770">
        <v>0</v>
      </c>
      <c r="NJ502" s="770">
        <v>0</v>
      </c>
      <c r="NK502" s="770">
        <v>0</v>
      </c>
      <c r="NL502" s="770">
        <v>0</v>
      </c>
      <c r="NM502" s="770">
        <v>0</v>
      </c>
      <c r="NN502" s="770">
        <v>0</v>
      </c>
      <c r="NO502" s="770">
        <v>0</v>
      </c>
      <c r="NP502" s="770">
        <v>0</v>
      </c>
      <c r="NQ502" s="770">
        <v>0</v>
      </c>
      <c r="NR502" s="770">
        <v>0</v>
      </c>
      <c r="NS502" s="770">
        <v>0</v>
      </c>
      <c r="NT502" s="770">
        <v>0</v>
      </c>
      <c r="NU502" s="770">
        <v>0</v>
      </c>
      <c r="NV502" s="770">
        <v>0</v>
      </c>
      <c r="NW502" s="770">
        <v>1</v>
      </c>
      <c r="NX502" s="770">
        <v>0</v>
      </c>
      <c r="NY502" s="770" t="s">
        <v>1208</v>
      </c>
      <c r="NZ502" s="770" t="s">
        <v>1208</v>
      </c>
      <c r="OA502" s="770" t="s">
        <v>1208</v>
      </c>
      <c r="OB502" s="770" t="s">
        <v>1208</v>
      </c>
      <c r="OC502" s="770" t="s">
        <v>1208</v>
      </c>
      <c r="OD502" s="770" t="s">
        <v>1208</v>
      </c>
      <c r="OE502" s="770"/>
      <c r="OF502" s="770"/>
      <c r="OG502" s="770"/>
      <c r="OH502" s="770"/>
      <c r="OI502" s="770"/>
      <c r="OJ502" s="770"/>
      <c r="OK502" s="770"/>
      <c r="OL502" s="770"/>
      <c r="OM502" s="770"/>
      <c r="ON502" s="770"/>
      <c r="OO502" s="770"/>
      <c r="OP502" s="770"/>
      <c r="OQ502" s="770"/>
      <c r="OR502" s="770"/>
      <c r="OS502" s="770"/>
      <c r="OT502" s="770"/>
      <c r="OU502" s="770"/>
      <c r="OV502" s="770"/>
      <c r="OW502" s="770"/>
      <c r="OX502" s="770"/>
      <c r="OY502" s="770"/>
      <c r="OZ502" s="770"/>
      <c r="PA502" s="770"/>
      <c r="PB502" s="770"/>
      <c r="PC502" s="770"/>
      <c r="PD502" s="770"/>
      <c r="PE502" s="770"/>
      <c r="PF502" s="770"/>
      <c r="PG502" s="770" t="s">
        <v>1208</v>
      </c>
      <c r="PH502" s="770"/>
      <c r="PI502" s="770"/>
      <c r="PJ502" s="770"/>
      <c r="PK502" s="770" t="s">
        <v>1208</v>
      </c>
      <c r="PL502" s="770"/>
      <c r="PM502" s="770"/>
      <c r="PN502" s="770"/>
      <c r="PO502" s="770"/>
      <c r="PP502" s="770"/>
      <c r="PQ502" s="770"/>
      <c r="PR502" s="770"/>
      <c r="PS502" s="770"/>
      <c r="PT502" s="770"/>
      <c r="PU502" s="770"/>
      <c r="PV502" s="770"/>
      <c r="PW502" s="770"/>
      <c r="PX502" s="770"/>
      <c r="PY502" s="770"/>
      <c r="PZ502" s="770"/>
      <c r="QA502" s="770"/>
      <c r="QB502" s="770"/>
      <c r="QC502" s="770"/>
      <c r="QD502" s="770"/>
      <c r="QE502" s="770"/>
      <c r="QF502" s="770"/>
      <c r="QG502" s="770"/>
      <c r="QH502" s="770"/>
      <c r="QI502" s="770"/>
      <c r="QJ502" s="770"/>
      <c r="QK502" s="770"/>
      <c r="QL502" s="770"/>
      <c r="QM502" s="770"/>
      <c r="QN502" s="770"/>
      <c r="QO502" s="770"/>
      <c r="QP502" s="770"/>
      <c r="QQ502" s="770"/>
      <c r="QR502" s="770"/>
      <c r="QS502" s="770"/>
      <c r="QT502" s="770"/>
      <c r="QU502" s="770"/>
      <c r="QV502" s="770"/>
      <c r="QW502" s="770"/>
      <c r="QX502" s="770"/>
      <c r="QY502" s="770"/>
      <c r="QZ502" s="770"/>
      <c r="RA502" s="770"/>
      <c r="RB502" s="770" t="s">
        <v>1207</v>
      </c>
      <c r="RC502" s="770">
        <v>2013</v>
      </c>
      <c r="RD502" s="770" t="s">
        <v>13251</v>
      </c>
      <c r="RE502" s="770" t="s">
        <v>12999</v>
      </c>
      <c r="RF502" s="304">
        <v>0.5</v>
      </c>
      <c r="RG502" s="770" t="s">
        <v>13047</v>
      </c>
      <c r="RH502" s="302">
        <v>500</v>
      </c>
      <c r="RI502" s="770">
        <v>2.5</v>
      </c>
      <c r="RJ502" s="770" t="s">
        <v>13660</v>
      </c>
      <c r="RK502" s="770" t="s">
        <v>13556</v>
      </c>
      <c r="RL502" s="1710"/>
      <c r="RM502" s="12"/>
      <c r="RN502" s="1711"/>
      <c r="RO502" s="132" t="s">
        <v>3415</v>
      </c>
      <c r="RP502" s="11"/>
      <c r="RQ502" s="11"/>
      <c r="RR502" s="19" t="s">
        <v>7421</v>
      </c>
      <c r="RS502" s="1139" t="s">
        <v>12980</v>
      </c>
      <c r="RT502" s="11"/>
      <c r="RU502" s="11"/>
      <c r="RV502" s="771" t="s">
        <v>7421</v>
      </c>
      <c r="RW502" s="11" t="s">
        <v>7695</v>
      </c>
      <c r="RX502" s="11" t="s">
        <v>3407</v>
      </c>
      <c r="RY502" s="11"/>
      <c r="RZ502" s="11" t="s">
        <v>1101</v>
      </c>
      <c r="SA502" s="771"/>
      <c r="SB502" s="11"/>
      <c r="SC502" s="11"/>
    </row>
    <row r="503" spans="1:497" ht="12.75" customHeight="1">
      <c r="A503" s="19" t="s">
        <v>7421</v>
      </c>
      <c r="B503" s="752" t="s">
        <v>7698</v>
      </c>
      <c r="C503" s="132" t="s">
        <v>3564</v>
      </c>
      <c r="D503" s="14" t="s">
        <v>3565</v>
      </c>
      <c r="E503" s="770" t="s">
        <v>3623</v>
      </c>
      <c r="F503" s="770" t="s">
        <v>28</v>
      </c>
      <c r="G503" s="770" t="s">
        <v>18</v>
      </c>
      <c r="H503" s="770"/>
      <c r="I503" s="295" t="s">
        <v>3566</v>
      </c>
      <c r="J503" s="94" t="str">
        <f t="shared" ca="1" si="138"/>
        <v>Morilla, Ana Estribor</v>
      </c>
      <c r="K503" s="766" t="s">
        <v>3411</v>
      </c>
      <c r="L503" s="766" t="s">
        <v>3341</v>
      </c>
      <c r="M503" s="770" t="s">
        <v>1238</v>
      </c>
      <c r="N503" s="770"/>
      <c r="O503" s="770" t="s">
        <v>2922</v>
      </c>
      <c r="P503" s="94" t="s">
        <v>3567</v>
      </c>
      <c r="Q503" s="1088">
        <v>28412</v>
      </c>
      <c r="R503" s="297">
        <v>49</v>
      </c>
      <c r="S503" s="770" t="s">
        <v>18</v>
      </c>
      <c r="T503" s="770"/>
      <c r="U503" s="295" t="s">
        <v>3566</v>
      </c>
      <c r="V503" s="770" t="s">
        <v>707</v>
      </c>
      <c r="W503" s="770"/>
      <c r="X503" s="770"/>
      <c r="Y503" s="770" t="s">
        <v>3623</v>
      </c>
      <c r="Z503" s="770" t="s">
        <v>708</v>
      </c>
      <c r="AA503" s="770" t="s">
        <v>709</v>
      </c>
      <c r="AB503" s="770" t="s">
        <v>710</v>
      </c>
      <c r="AC503" s="770" t="s">
        <v>724</v>
      </c>
      <c r="AD503" s="770" t="s">
        <v>711</v>
      </c>
      <c r="AE503" s="770"/>
      <c r="AF503" s="770"/>
      <c r="AG503" s="766" t="s">
        <v>1132</v>
      </c>
      <c r="AH503" s="766" t="s">
        <v>1096</v>
      </c>
      <c r="AI503" s="770"/>
      <c r="AJ503" s="770" t="s">
        <v>1137</v>
      </c>
      <c r="AK503" s="770" t="s">
        <v>1101</v>
      </c>
      <c r="AL503" s="531">
        <v>15.555</v>
      </c>
      <c r="AM503" s="780">
        <v>2.5499999999999998</v>
      </c>
      <c r="AN503" s="532">
        <f t="shared" si="139"/>
        <v>0.16393442622950818</v>
      </c>
      <c r="AO503" s="766" t="s">
        <v>1109</v>
      </c>
      <c r="AP503" s="766"/>
      <c r="AQ503" s="766"/>
      <c r="AR503" s="766"/>
      <c r="AS503" s="770"/>
      <c r="AT503" s="770"/>
      <c r="AU503" s="770"/>
      <c r="AV503" s="770"/>
      <c r="AW503" s="770"/>
      <c r="AX503" s="770"/>
      <c r="AY503" s="770"/>
      <c r="AZ503" s="770"/>
      <c r="BA503" s="770"/>
      <c r="BB503" s="770"/>
      <c r="BC503" s="770"/>
      <c r="BD503" s="770"/>
      <c r="BE503" s="770"/>
      <c r="BF503" s="302"/>
      <c r="BG503" s="302"/>
      <c r="BH503" s="770"/>
      <c r="BI503" s="770"/>
      <c r="BJ503" s="770"/>
      <c r="BK503" s="770" t="s">
        <v>1095</v>
      </c>
      <c r="BL503" s="770" t="s">
        <v>3568</v>
      </c>
      <c r="BM503" s="766" t="s">
        <v>1096</v>
      </c>
      <c r="BN503" s="770" t="s">
        <v>1230</v>
      </c>
      <c r="BO503" s="766" t="s">
        <v>1246</v>
      </c>
      <c r="BP503" s="1109">
        <v>15.555</v>
      </c>
      <c r="BQ503" s="773">
        <v>2.5</v>
      </c>
      <c r="BR503" s="774">
        <f t="shared" si="136"/>
        <v>0.16072002571520411</v>
      </c>
      <c r="BS503" s="766" t="s">
        <v>1242</v>
      </c>
      <c r="BT503" s="770" t="s">
        <v>1326</v>
      </c>
      <c r="BU503" s="770" t="s">
        <v>2545</v>
      </c>
      <c r="BV503" s="770" t="s">
        <v>1247</v>
      </c>
      <c r="BW503" s="769"/>
      <c r="BX503" s="302"/>
      <c r="BY503" s="770" t="s">
        <v>1207</v>
      </c>
      <c r="BZ503" s="302" t="s">
        <v>2769</v>
      </c>
      <c r="CA503" s="770"/>
      <c r="CB503" s="770"/>
      <c r="CC503" s="770"/>
      <c r="CD503" s="770"/>
      <c r="CE503" s="770"/>
      <c r="CF503" s="1753"/>
      <c r="CG503" s="1754"/>
      <c r="CH503" s="770"/>
      <c r="CI503" s="770"/>
      <c r="CJ503" s="770"/>
      <c r="CK503" s="770"/>
      <c r="CL503" s="770"/>
      <c r="CM503" s="770"/>
      <c r="CN503" s="770"/>
      <c r="CO503" s="770"/>
      <c r="CP503" s="770"/>
      <c r="CQ503" s="770"/>
      <c r="CR503" s="302"/>
      <c r="CS503" s="770"/>
      <c r="CT503" s="770"/>
      <c r="CU503" s="305"/>
      <c r="CV503" s="770"/>
      <c r="CW503" s="770"/>
      <c r="CX503" s="770"/>
      <c r="CY503" s="770"/>
      <c r="CZ503" s="770"/>
      <c r="DA503" s="306"/>
      <c r="DB503" s="770"/>
      <c r="DC503" s="770"/>
      <c r="DD503" s="770"/>
      <c r="DE503" s="300"/>
      <c r="DF503" s="770"/>
      <c r="DG503" s="770"/>
      <c r="DH503" s="770"/>
      <c r="DI503" s="770"/>
      <c r="DJ503" s="770"/>
      <c r="DK503" s="770"/>
      <c r="DL503" s="770"/>
      <c r="DM503" s="770"/>
      <c r="DN503" s="322"/>
      <c r="DO503" s="770"/>
      <c r="DP503" s="770"/>
      <c r="DQ503" s="770"/>
      <c r="DR503" s="770"/>
      <c r="DS503" s="307"/>
      <c r="DT503" s="770"/>
      <c r="DU503" s="770"/>
      <c r="DV503" s="770"/>
      <c r="DW503" s="306"/>
      <c r="DX503" s="306"/>
      <c r="DY503" s="770"/>
      <c r="DZ503" s="770"/>
      <c r="EA503" s="770"/>
      <c r="EB503" s="770"/>
      <c r="EC503" s="770"/>
      <c r="ED503" s="770"/>
      <c r="EE503" s="770"/>
      <c r="EF503" s="770"/>
      <c r="EG503" s="770"/>
      <c r="EH503" s="770"/>
      <c r="EI503" s="770"/>
      <c r="EJ503" s="770"/>
      <c r="EK503" s="770"/>
      <c r="EL503" s="770"/>
      <c r="EM503" s="770"/>
      <c r="EN503" s="770"/>
      <c r="EO503" s="770"/>
      <c r="EP503" s="94"/>
      <c r="EQ503" s="770"/>
      <c r="ER503" s="770"/>
      <c r="ES503" s="770"/>
      <c r="ET503" s="770"/>
      <c r="EU503" s="770"/>
      <c r="EV503" s="770"/>
      <c r="EW503" s="770"/>
      <c r="EX503" s="770"/>
      <c r="EY503" s="770"/>
      <c r="EZ503" s="770"/>
      <c r="FA503" s="770"/>
      <c r="FB503" s="770"/>
      <c r="FC503" s="770"/>
      <c r="FD503" s="302"/>
      <c r="FE503" s="770"/>
      <c r="FF503" s="770"/>
      <c r="FG503" s="770"/>
      <c r="FH503" s="770" t="s">
        <v>478</v>
      </c>
      <c r="FI503" s="770">
        <v>1</v>
      </c>
      <c r="FJ503" s="770"/>
      <c r="FK503" s="770"/>
      <c r="FL503" s="770"/>
      <c r="FM503" s="302"/>
      <c r="FN503" s="302"/>
      <c r="FO503" s="302"/>
      <c r="FP503" s="770" t="s">
        <v>1600</v>
      </c>
      <c r="FQ503" s="770" t="s">
        <v>3940</v>
      </c>
      <c r="FR503" s="770" t="s">
        <v>1214</v>
      </c>
      <c r="FS503" s="770"/>
      <c r="FT503" s="770"/>
      <c r="FU503" s="770"/>
      <c r="FV503" s="770"/>
      <c r="FW503" s="770"/>
      <c r="FX503" s="770"/>
      <c r="FY503" s="770"/>
      <c r="FZ503" s="770"/>
      <c r="GA503" s="770"/>
      <c r="GB503" s="770"/>
      <c r="GC503" s="308"/>
      <c r="GD503" s="297"/>
      <c r="GE503" s="770"/>
      <c r="GF503" s="302"/>
      <c r="GG503" s="302"/>
      <c r="GH503" s="770"/>
      <c r="GI503" s="770"/>
      <c r="GJ503" s="770"/>
      <c r="GK503" s="770"/>
      <c r="GL503" s="770"/>
      <c r="GM503" s="770"/>
      <c r="GN503" s="299"/>
      <c r="GO503" s="770"/>
      <c r="GP503" s="770"/>
      <c r="GQ503" s="770"/>
      <c r="GR503" s="770"/>
      <c r="GS503" s="770"/>
      <c r="GT503" s="770"/>
      <c r="GU503" s="770"/>
      <c r="GV503" s="770"/>
      <c r="GW503" s="770"/>
      <c r="GX503" s="770"/>
      <c r="GY503" s="770"/>
      <c r="GZ503" s="770"/>
      <c r="HA503" s="770"/>
      <c r="HB503" s="770"/>
      <c r="HC503" s="770"/>
      <c r="HD503" s="770"/>
      <c r="HE503" s="770"/>
      <c r="HF503" s="770"/>
      <c r="HG503" s="770"/>
      <c r="HH503" s="770"/>
      <c r="HI503" s="770"/>
      <c r="HJ503" s="770"/>
      <c r="HK503" s="770"/>
      <c r="HL503" s="770"/>
      <c r="HM503" s="770"/>
      <c r="HN503" s="770"/>
      <c r="HO503" s="770"/>
      <c r="HP503" s="770"/>
      <c r="HQ503" s="770"/>
      <c r="HR503" s="770"/>
      <c r="HS503" s="770"/>
      <c r="HT503" s="770"/>
      <c r="HU503" s="770"/>
      <c r="HV503" s="770"/>
      <c r="HW503" s="770"/>
      <c r="HX503" s="770"/>
      <c r="HY503" s="770"/>
      <c r="HZ503" s="770"/>
      <c r="IA503" s="770"/>
      <c r="IB503" s="14" t="e">
        <f>IF(#REF!&gt;0,IF(#REF!&lt;=10000,"Y",""),"")</f>
        <v>#REF!</v>
      </c>
      <c r="IC503" s="770" t="s">
        <v>1207</v>
      </c>
      <c r="ID503" s="770"/>
      <c r="IE503" s="770">
        <v>1</v>
      </c>
      <c r="IF503" s="770"/>
      <c r="IG503" s="770"/>
      <c r="IH503" s="770"/>
      <c r="II503" s="770"/>
      <c r="IJ503" s="770"/>
      <c r="IK503" s="770"/>
      <c r="IL503" s="770"/>
      <c r="IM503" s="770"/>
      <c r="IN503" s="770"/>
      <c r="IO503" s="296"/>
      <c r="IP503" s="770"/>
      <c r="IQ503" s="770"/>
      <c r="IR503" s="770"/>
      <c r="IS503" s="770"/>
      <c r="IT503" s="770"/>
      <c r="IU503" s="770"/>
      <c r="IV503" s="770"/>
      <c r="IW503" s="770"/>
      <c r="IX503" s="770"/>
      <c r="IY503" s="770"/>
      <c r="IZ503" s="770"/>
      <c r="JA503" s="770"/>
      <c r="JB503" s="770"/>
      <c r="JC503" s="770"/>
      <c r="JD503" s="302"/>
      <c r="JE503" s="770"/>
      <c r="JF503" s="770"/>
      <c r="JG503" s="770"/>
      <c r="JH503" s="307"/>
      <c r="JI503" s="712" t="str">
        <f>IF(SUM(JT503,JU503)=JJ503,"ok","review")</f>
        <v>ok</v>
      </c>
      <c r="JJ503" s="770">
        <v>4</v>
      </c>
      <c r="JK503" s="1139" t="s">
        <v>3569</v>
      </c>
      <c r="JL503" s="770"/>
      <c r="JM503" s="770"/>
      <c r="JN503" s="770">
        <v>1</v>
      </c>
      <c r="JO503" s="770">
        <v>3</v>
      </c>
      <c r="JP503" s="770"/>
      <c r="JQ503" s="770"/>
      <c r="JR503" s="770"/>
      <c r="JS503" s="770"/>
      <c r="JT503" s="766">
        <f t="shared" si="137"/>
        <v>1</v>
      </c>
      <c r="JU503" s="766">
        <f t="shared" si="137"/>
        <v>3</v>
      </c>
      <c r="JV503" s="712" t="str">
        <f t="shared" si="140"/>
        <v>ok</v>
      </c>
      <c r="JW503" s="712" t="str">
        <f t="shared" si="141"/>
        <v>ok</v>
      </c>
      <c r="JX503" s="770"/>
      <c r="JY503" s="770"/>
      <c r="JZ503" s="770"/>
      <c r="KA503" s="770"/>
      <c r="KB503" s="770">
        <v>1</v>
      </c>
      <c r="KC503" s="770">
        <v>1</v>
      </c>
      <c r="KD503" s="770"/>
      <c r="KE503" s="770">
        <v>2</v>
      </c>
      <c r="KF503" s="770"/>
      <c r="KG503" s="770"/>
      <c r="KH503" s="770"/>
      <c r="KI503" s="770"/>
      <c r="KJ503" s="770">
        <f t="shared" si="126"/>
        <v>1</v>
      </c>
      <c r="KK503" s="770">
        <f t="shared" si="126"/>
        <v>3</v>
      </c>
      <c r="KL503" s="712" t="str">
        <f t="shared" si="142"/>
        <v>ok</v>
      </c>
      <c r="KM503" s="712" t="str">
        <f t="shared" si="143"/>
        <v>ok</v>
      </c>
      <c r="KN503" s="770" t="s">
        <v>707</v>
      </c>
      <c r="KO503" s="770"/>
      <c r="KP503" s="770"/>
      <c r="KQ503" s="770"/>
      <c r="KR503" s="770"/>
      <c r="KS503" s="770"/>
      <c r="KT503" s="770"/>
      <c r="KU503" s="770"/>
      <c r="KV503" s="770"/>
      <c r="KW503" s="770"/>
      <c r="KX503" s="770"/>
      <c r="KY503" s="770">
        <v>2</v>
      </c>
      <c r="KZ503" s="770"/>
      <c r="LA503" s="770">
        <v>1</v>
      </c>
      <c r="LB503" s="770">
        <v>1</v>
      </c>
      <c r="LC503" s="770"/>
      <c r="LD503" s="770"/>
      <c r="LE503" s="770"/>
      <c r="LF503" s="770"/>
      <c r="LG503" s="770"/>
      <c r="LH503" s="770"/>
      <c r="LI503" s="770"/>
      <c r="LJ503" s="770"/>
      <c r="LK503" s="770"/>
      <c r="LL503" s="770"/>
      <c r="LM503" s="770"/>
      <c r="LN503" s="766">
        <f t="shared" si="134"/>
        <v>1</v>
      </c>
      <c r="LO503" s="766">
        <f t="shared" si="134"/>
        <v>3</v>
      </c>
      <c r="LP503" s="770">
        <v>1</v>
      </c>
      <c r="LQ503" s="770">
        <v>1</v>
      </c>
      <c r="LR503" s="770"/>
      <c r="LS503" s="770"/>
      <c r="LT503" s="712" t="str">
        <f t="shared" si="144"/>
        <v>OK</v>
      </c>
      <c r="LU503" s="770">
        <v>1</v>
      </c>
      <c r="LV503" s="770"/>
      <c r="LW503" s="770"/>
      <c r="LX503" s="769">
        <v>2</v>
      </c>
      <c r="LY503" s="766" t="str">
        <f t="shared" si="135"/>
        <v>within the MUNICIPALITY</v>
      </c>
      <c r="LZ503" s="1709">
        <v>480</v>
      </c>
      <c r="MA503" s="1709"/>
      <c r="MB503" s="1709"/>
      <c r="MC503" s="1679">
        <f t="shared" si="133"/>
        <v>480</v>
      </c>
      <c r="MD503" s="1709">
        <v>6000</v>
      </c>
      <c r="ME503" s="1709"/>
      <c r="MF503" s="1709"/>
      <c r="MG503" s="1680">
        <f t="shared" si="145"/>
        <v>6000</v>
      </c>
      <c r="MH503" s="770" t="s">
        <v>3570</v>
      </c>
      <c r="MI503" s="302">
        <v>7500</v>
      </c>
      <c r="MJ503" s="302">
        <v>960</v>
      </c>
      <c r="MK503" s="302">
        <v>133</v>
      </c>
      <c r="ML503" s="302">
        <v>1000</v>
      </c>
      <c r="MM503" s="302"/>
      <c r="MN503" s="302"/>
      <c r="MO503" s="302">
        <v>400</v>
      </c>
      <c r="MP503" s="302">
        <v>700</v>
      </c>
      <c r="MQ503" s="302">
        <v>360</v>
      </c>
      <c r="MR503" s="302">
        <v>350</v>
      </c>
      <c r="MS503" s="302">
        <v>416</v>
      </c>
      <c r="MT503" s="302"/>
      <c r="MU503" s="302"/>
      <c r="MV503" s="302"/>
      <c r="MW503" s="302"/>
      <c r="MX503" s="302"/>
      <c r="MY503" s="1682">
        <f t="shared" si="122"/>
        <v>11819</v>
      </c>
      <c r="MZ503" s="770" t="s">
        <v>13370</v>
      </c>
      <c r="NA503" s="770" t="s">
        <v>13005</v>
      </c>
      <c r="NB503" s="770" t="s">
        <v>13016</v>
      </c>
      <c r="NC503" s="770" t="s">
        <v>13602</v>
      </c>
      <c r="ND503" s="770">
        <v>0</v>
      </c>
      <c r="NE503" s="770">
        <v>0</v>
      </c>
      <c r="NF503" s="770">
        <v>0</v>
      </c>
      <c r="NG503" s="770">
        <v>2</v>
      </c>
      <c r="NH503" s="770">
        <v>1</v>
      </c>
      <c r="NI503" s="770">
        <v>1</v>
      </c>
      <c r="NJ503" s="770">
        <v>0</v>
      </c>
      <c r="NK503" s="770">
        <v>0</v>
      </c>
      <c r="NL503" s="770">
        <v>0</v>
      </c>
      <c r="NM503" s="770">
        <v>1</v>
      </c>
      <c r="NN503" s="770">
        <v>0</v>
      </c>
      <c r="NO503" s="770">
        <v>0</v>
      </c>
      <c r="NP503" s="770">
        <v>0</v>
      </c>
      <c r="NQ503" s="770">
        <v>0</v>
      </c>
      <c r="NR503" s="770">
        <v>0</v>
      </c>
      <c r="NS503" s="770">
        <v>0</v>
      </c>
      <c r="NT503" s="770">
        <v>0</v>
      </c>
      <c r="NU503" s="770">
        <v>0</v>
      </c>
      <c r="NV503" s="770">
        <v>0</v>
      </c>
      <c r="NW503" s="770">
        <v>0</v>
      </c>
      <c r="NX503" s="770">
        <v>0</v>
      </c>
      <c r="NY503" s="770" t="s">
        <v>1208</v>
      </c>
      <c r="NZ503" s="770" t="s">
        <v>1208</v>
      </c>
      <c r="OA503" s="770" t="s">
        <v>1208</v>
      </c>
      <c r="OB503" s="770" t="s">
        <v>1208</v>
      </c>
      <c r="OC503" s="770" t="s">
        <v>1208</v>
      </c>
      <c r="OD503" s="770"/>
      <c r="OE503" s="770"/>
      <c r="OF503" s="770"/>
      <c r="OG503" s="770"/>
      <c r="OH503" s="770"/>
      <c r="OI503" s="770"/>
      <c r="OJ503" s="770"/>
      <c r="OK503" s="770"/>
      <c r="OL503" s="770"/>
      <c r="OM503" s="770"/>
      <c r="ON503" s="770"/>
      <c r="OO503" s="770"/>
      <c r="OP503" s="770"/>
      <c r="OQ503" s="770"/>
      <c r="OR503" s="770"/>
      <c r="OS503" s="770"/>
      <c r="OT503" s="770"/>
      <c r="OU503" s="770"/>
      <c r="OV503" s="770"/>
      <c r="OW503" s="770"/>
      <c r="OX503" s="770"/>
      <c r="OY503" s="770"/>
      <c r="OZ503" s="770"/>
      <c r="PA503" s="770"/>
      <c r="PB503" s="770"/>
      <c r="PC503" s="770"/>
      <c r="PD503" s="770"/>
      <c r="PE503" s="770"/>
      <c r="PF503" s="770" t="s">
        <v>1208</v>
      </c>
      <c r="PG503" s="770"/>
      <c r="PH503" s="770"/>
      <c r="PI503" s="770"/>
      <c r="PJ503" s="770"/>
      <c r="PK503" s="770"/>
      <c r="PL503" s="770"/>
      <c r="PM503" s="770"/>
      <c r="PN503" s="770"/>
      <c r="PO503" s="770"/>
      <c r="PP503" s="770"/>
      <c r="PQ503" s="770"/>
      <c r="PR503" s="770"/>
      <c r="PS503" s="770"/>
      <c r="PT503" s="770"/>
      <c r="PU503" s="770"/>
      <c r="PV503" s="770"/>
      <c r="PW503" s="770"/>
      <c r="PX503" s="770"/>
      <c r="PY503" s="770"/>
      <c r="PZ503" s="770"/>
      <c r="QA503" s="770"/>
      <c r="QB503" s="770"/>
      <c r="QC503" s="770"/>
      <c r="QD503" s="770"/>
      <c r="QE503" s="770"/>
      <c r="QF503" s="770"/>
      <c r="QG503" s="770"/>
      <c r="QH503" s="770"/>
      <c r="QI503" s="770"/>
      <c r="QJ503" s="770"/>
      <c r="QK503" s="770"/>
      <c r="QL503" s="770"/>
      <c r="QM503" s="770"/>
      <c r="QN503" s="770"/>
      <c r="QO503" s="770"/>
      <c r="QP503" s="770"/>
      <c r="QQ503" s="770"/>
      <c r="QR503" s="770"/>
      <c r="QS503" s="770"/>
      <c r="QT503" s="770"/>
      <c r="QU503" s="770"/>
      <c r="QV503" s="770"/>
      <c r="QW503" s="770"/>
      <c r="QX503" s="770"/>
      <c r="QY503" s="770"/>
      <c r="QZ503" s="770"/>
      <c r="RA503" s="770"/>
      <c r="RB503" s="770" t="s">
        <v>1214</v>
      </c>
      <c r="RC503" s="770"/>
      <c r="RD503" s="770"/>
      <c r="RE503" s="770"/>
      <c r="RF503" s="304"/>
      <c r="RG503" s="770"/>
      <c r="RH503" s="302"/>
      <c r="RI503" s="770"/>
      <c r="RJ503" s="770" t="s">
        <v>13661</v>
      </c>
      <c r="RK503" s="770" t="s">
        <v>13544</v>
      </c>
      <c r="RL503" s="1710"/>
      <c r="RM503" s="12"/>
      <c r="RN503" s="1711"/>
      <c r="RO503" s="132" t="s">
        <v>3564</v>
      </c>
      <c r="RP503" s="11"/>
      <c r="RQ503" s="11"/>
      <c r="RR503" s="19" t="s">
        <v>7421</v>
      </c>
      <c r="RS503" s="1139" t="s">
        <v>12980</v>
      </c>
      <c r="RT503" s="11"/>
      <c r="RU503" s="11"/>
      <c r="RV503" s="771" t="s">
        <v>7421</v>
      </c>
      <c r="RW503" s="11" t="s">
        <v>7696</v>
      </c>
      <c r="RX503" s="11" t="s">
        <v>3409</v>
      </c>
      <c r="RY503" s="11"/>
      <c r="RZ503" s="11" t="s">
        <v>1101</v>
      </c>
      <c r="SA503" s="771"/>
      <c r="SB503" s="11"/>
      <c r="SC503" s="11"/>
    </row>
    <row r="504" spans="1:497" ht="12.75" customHeight="1">
      <c r="A504" s="19" t="s">
        <v>7421</v>
      </c>
      <c r="B504" s="752" t="s">
        <v>7784</v>
      </c>
      <c r="C504" s="133" t="s">
        <v>3571</v>
      </c>
      <c r="D504" s="14" t="s">
        <v>3572</v>
      </c>
      <c r="E504" s="770" t="s">
        <v>3624</v>
      </c>
      <c r="F504" s="770" t="s">
        <v>28</v>
      </c>
      <c r="G504" s="770" t="s">
        <v>10</v>
      </c>
      <c r="H504" s="770"/>
      <c r="I504" s="295" t="s">
        <v>3573</v>
      </c>
      <c r="J504" s="94" t="str">
        <f t="shared" ca="1" si="138"/>
        <v>Aserios, Andres Montalana</v>
      </c>
      <c r="K504" s="766" t="s">
        <v>3574</v>
      </c>
      <c r="L504" s="766" t="s">
        <v>3349</v>
      </c>
      <c r="M504" s="770" t="s">
        <v>1238</v>
      </c>
      <c r="N504" s="770"/>
      <c r="O504" s="770" t="s">
        <v>2922</v>
      </c>
      <c r="P504" s="94" t="s">
        <v>3575</v>
      </c>
      <c r="Q504" s="1088">
        <v>26034</v>
      </c>
      <c r="R504" s="297">
        <v>46</v>
      </c>
      <c r="S504" s="770" t="s">
        <v>10</v>
      </c>
      <c r="T504" s="770"/>
      <c r="U504" s="295" t="s">
        <v>3573</v>
      </c>
      <c r="V504" s="770" t="s">
        <v>722</v>
      </c>
      <c r="W504" s="770"/>
      <c r="X504" s="770"/>
      <c r="Y504" s="770" t="s">
        <v>3624</v>
      </c>
      <c r="Z504" s="770" t="s">
        <v>708</v>
      </c>
      <c r="AA504" s="770" t="s">
        <v>709</v>
      </c>
      <c r="AB504" s="770" t="s">
        <v>710</v>
      </c>
      <c r="AC504" s="770" t="s">
        <v>724</v>
      </c>
      <c r="AD504" s="770" t="s">
        <v>711</v>
      </c>
      <c r="AE504" s="770"/>
      <c r="AF504" s="770" t="s">
        <v>712</v>
      </c>
      <c r="AG504" s="766" t="s">
        <v>1132</v>
      </c>
      <c r="AH504" s="766" t="s">
        <v>1096</v>
      </c>
      <c r="AI504" s="770"/>
      <c r="AJ504" s="770" t="s">
        <v>1137</v>
      </c>
      <c r="AK504" s="770" t="s">
        <v>1101</v>
      </c>
      <c r="AL504" s="531">
        <v>40.32</v>
      </c>
      <c r="AM504" s="780">
        <v>17.28</v>
      </c>
      <c r="AN504" s="532">
        <f t="shared" si="139"/>
        <v>0.4285714285714286</v>
      </c>
      <c r="AO504" s="766" t="s">
        <v>1149</v>
      </c>
      <c r="AP504" s="766"/>
      <c r="AQ504" s="766"/>
      <c r="AR504" s="766"/>
      <c r="AS504" s="770"/>
      <c r="AT504" s="770"/>
      <c r="AU504" s="770"/>
      <c r="AV504" s="770"/>
      <c r="AW504" s="770"/>
      <c r="AX504" s="770"/>
      <c r="AY504" s="770"/>
      <c r="AZ504" s="770"/>
      <c r="BA504" s="770"/>
      <c r="BB504" s="770"/>
      <c r="BC504" s="770"/>
      <c r="BD504" s="770"/>
      <c r="BE504" s="770"/>
      <c r="BF504" s="302"/>
      <c r="BG504" s="302"/>
      <c r="BH504" s="770"/>
      <c r="BI504" s="770"/>
      <c r="BJ504" s="770"/>
      <c r="BK504" s="770" t="s">
        <v>1095</v>
      </c>
      <c r="BL504" s="770" t="s">
        <v>3576</v>
      </c>
      <c r="BM504" s="770" t="s">
        <v>8108</v>
      </c>
      <c r="BN504" s="770" t="s">
        <v>1230</v>
      </c>
      <c r="BO504" s="766" t="s">
        <v>1239</v>
      </c>
      <c r="BP504" s="1109">
        <v>52.52</v>
      </c>
      <c r="BQ504" s="773">
        <v>17.28</v>
      </c>
      <c r="BR504" s="774">
        <f t="shared" si="136"/>
        <v>0.32901751713632904</v>
      </c>
      <c r="BS504" s="766" t="s">
        <v>1149</v>
      </c>
      <c r="BT504" s="766" t="s">
        <v>8133</v>
      </c>
      <c r="BU504" s="770" t="s">
        <v>1249</v>
      </c>
      <c r="BV504" s="770" t="s">
        <v>1247</v>
      </c>
      <c r="BW504" s="770">
        <v>2016</v>
      </c>
      <c r="BX504" s="302"/>
      <c r="BY504" s="770"/>
      <c r="BZ504" s="302"/>
      <c r="CA504" s="770"/>
      <c r="CB504" s="770" t="s">
        <v>1207</v>
      </c>
      <c r="CC504" s="770"/>
      <c r="CD504" s="770"/>
      <c r="CE504" s="770"/>
      <c r="CF504" s="1753"/>
      <c r="CG504" s="1754"/>
      <c r="CH504" s="770"/>
      <c r="CI504" s="770"/>
      <c r="CJ504" s="770"/>
      <c r="CK504" s="770"/>
      <c r="CL504" s="770"/>
      <c r="CM504" s="770"/>
      <c r="CN504" s="770"/>
      <c r="CO504" s="770"/>
      <c r="CP504" s="770"/>
      <c r="CQ504" s="770"/>
      <c r="CR504" s="302"/>
      <c r="CS504" s="770"/>
      <c r="CT504" s="770"/>
      <c r="CU504" s="305"/>
      <c r="CV504" s="770"/>
      <c r="CW504" s="770"/>
      <c r="CX504" s="770"/>
      <c r="CY504" s="770"/>
      <c r="CZ504" s="770"/>
      <c r="DA504" s="306"/>
      <c r="DB504" s="770"/>
      <c r="DC504" s="770"/>
      <c r="DD504" s="770"/>
      <c r="DE504" s="300"/>
      <c r="DF504" s="770"/>
      <c r="DG504" s="770"/>
      <c r="DH504" s="770"/>
      <c r="DI504" s="770"/>
      <c r="DJ504" s="770"/>
      <c r="DK504" s="770"/>
      <c r="DL504" s="770"/>
      <c r="DM504" s="770"/>
      <c r="DN504" s="322"/>
      <c r="DO504" s="770"/>
      <c r="DP504" s="770"/>
      <c r="DQ504" s="770"/>
      <c r="DR504" s="770"/>
      <c r="DS504" s="307"/>
      <c r="DT504" s="770"/>
      <c r="DU504" s="770"/>
      <c r="DV504" s="770"/>
      <c r="DW504" s="306"/>
      <c r="DX504" s="306"/>
      <c r="DY504" s="770"/>
      <c r="DZ504" s="770"/>
      <c r="EA504" s="770"/>
      <c r="EB504" s="770"/>
      <c r="EC504" s="770"/>
      <c r="ED504" s="770"/>
      <c r="EE504" s="770"/>
      <c r="EF504" s="770"/>
      <c r="EG504" s="770"/>
      <c r="EH504" s="770"/>
      <c r="EI504" s="770"/>
      <c r="EJ504" s="770"/>
      <c r="EK504" s="770"/>
      <c r="EL504" s="770"/>
      <c r="EM504" s="770"/>
      <c r="EN504" s="770"/>
      <c r="EO504" s="770"/>
      <c r="EP504" s="94"/>
      <c r="EQ504" s="770"/>
      <c r="ER504" s="770"/>
      <c r="ES504" s="770"/>
      <c r="ET504" s="770"/>
      <c r="EU504" s="770"/>
      <c r="EV504" s="770"/>
      <c r="EW504" s="770"/>
      <c r="EX504" s="770"/>
      <c r="EY504" s="770"/>
      <c r="EZ504" s="770" t="s">
        <v>3577</v>
      </c>
      <c r="FA504" s="770" t="s">
        <v>3578</v>
      </c>
      <c r="FB504" s="770" t="s">
        <v>1257</v>
      </c>
      <c r="FC504" s="770" t="s">
        <v>3579</v>
      </c>
      <c r="FD504" s="302"/>
      <c r="FE504" s="770"/>
      <c r="FF504" s="770"/>
      <c r="FG504" s="770"/>
      <c r="FH504" s="770" t="s">
        <v>478</v>
      </c>
      <c r="FI504" s="770">
        <v>1</v>
      </c>
      <c r="FJ504" s="770"/>
      <c r="FK504" s="770"/>
      <c r="FL504" s="770"/>
      <c r="FM504" s="302"/>
      <c r="FN504" s="302"/>
      <c r="FO504" s="302"/>
      <c r="FP504" s="770" t="s">
        <v>1600</v>
      </c>
      <c r="FQ504" s="770" t="s">
        <v>3580</v>
      </c>
      <c r="FR504" s="770" t="s">
        <v>1214</v>
      </c>
      <c r="FS504" s="770"/>
      <c r="FT504" s="770"/>
      <c r="FU504" s="770"/>
      <c r="FV504" s="770"/>
      <c r="FW504" s="770"/>
      <c r="FX504" s="770"/>
      <c r="FY504" s="770"/>
      <c r="FZ504" s="770"/>
      <c r="GA504" s="770"/>
      <c r="GB504" s="770"/>
      <c r="GC504" s="308"/>
      <c r="GD504" s="297"/>
      <c r="GE504" s="770" t="s">
        <v>1214</v>
      </c>
      <c r="GF504" s="302"/>
      <c r="GG504" s="302"/>
      <c r="GH504" s="766"/>
      <c r="GI504" s="770" t="s">
        <v>2407</v>
      </c>
      <c r="GJ504" s="770"/>
      <c r="GK504" s="770" t="s">
        <v>2407</v>
      </c>
      <c r="GL504" s="770"/>
      <c r="GM504" s="770" t="s">
        <v>2407</v>
      </c>
      <c r="GN504" s="299">
        <v>200</v>
      </c>
      <c r="GO504" s="770" t="s">
        <v>2664</v>
      </c>
      <c r="GP504" s="770" t="s">
        <v>1208</v>
      </c>
      <c r="GQ504" s="770" t="s">
        <v>1208</v>
      </c>
      <c r="GR504" s="770" t="s">
        <v>1208</v>
      </c>
      <c r="GS504" s="770" t="s">
        <v>1208</v>
      </c>
      <c r="GT504" s="770" t="s">
        <v>1208</v>
      </c>
      <c r="GU504" s="770"/>
      <c r="GV504" s="770"/>
      <c r="GW504" s="770" t="s">
        <v>1207</v>
      </c>
      <c r="GX504" s="770"/>
      <c r="GY504" s="770" t="s">
        <v>1208</v>
      </c>
      <c r="GZ504" s="770" t="s">
        <v>1208</v>
      </c>
      <c r="HA504" s="770" t="s">
        <v>1208</v>
      </c>
      <c r="HB504" s="770" t="s">
        <v>1208</v>
      </c>
      <c r="HC504" s="770" t="s">
        <v>1208</v>
      </c>
      <c r="HD504" s="770" t="s">
        <v>1208</v>
      </c>
      <c r="HE504" s="770" t="s">
        <v>1208</v>
      </c>
      <c r="HF504" s="770"/>
      <c r="HG504" s="770"/>
      <c r="HH504" s="770"/>
      <c r="HI504" s="770" t="s">
        <v>1214</v>
      </c>
      <c r="HJ504" s="770"/>
      <c r="HK504" s="770"/>
      <c r="HL504" s="770" t="s">
        <v>1214</v>
      </c>
      <c r="HM504" s="770"/>
      <c r="HN504" s="770"/>
      <c r="HO504" s="770"/>
      <c r="HP504" s="770"/>
      <c r="HQ504" s="770"/>
      <c r="HR504" s="770"/>
      <c r="HS504" s="770">
        <v>1</v>
      </c>
      <c r="HT504" s="770">
        <v>1</v>
      </c>
      <c r="HU504" s="770"/>
      <c r="HV504" s="770"/>
      <c r="HW504" s="770"/>
      <c r="HX504" s="770"/>
      <c r="HY504" s="770"/>
      <c r="HZ504" s="770"/>
      <c r="IA504" s="770"/>
      <c r="IB504" s="14" t="e">
        <f>IF(#REF!&gt;0,IF(#REF!&lt;=10000,"Y",""),"")</f>
        <v>#REF!</v>
      </c>
      <c r="IC504" s="770"/>
      <c r="ID504" s="770"/>
      <c r="IE504" s="770"/>
      <c r="IF504" s="770" t="s">
        <v>3572</v>
      </c>
      <c r="IG504" s="770" t="s">
        <v>10</v>
      </c>
      <c r="IH504" s="770" t="s">
        <v>478</v>
      </c>
      <c r="II504" s="770" t="s">
        <v>2923</v>
      </c>
      <c r="IJ504" s="770" t="s">
        <v>3389</v>
      </c>
      <c r="IK504" s="770" t="s">
        <v>2639</v>
      </c>
      <c r="IL504" s="770" t="s">
        <v>3577</v>
      </c>
      <c r="IM504" s="770">
        <v>2008</v>
      </c>
      <c r="IN504" s="770" t="s">
        <v>3577</v>
      </c>
      <c r="IO504" s="296">
        <v>26034</v>
      </c>
      <c r="IP504" s="770" t="s">
        <v>478</v>
      </c>
      <c r="IQ504" s="13" t="s">
        <v>1998</v>
      </c>
      <c r="IR504" s="770" t="s">
        <v>1964</v>
      </c>
      <c r="IS504" s="770" t="s">
        <v>1879</v>
      </c>
      <c r="IT504" s="770"/>
      <c r="IU504" s="770" t="s">
        <v>1208</v>
      </c>
      <c r="IV504" s="770"/>
      <c r="IW504" s="770" t="s">
        <v>13662</v>
      </c>
      <c r="IX504" s="770"/>
      <c r="IY504" s="770" t="s">
        <v>3573</v>
      </c>
      <c r="IZ504" s="770"/>
      <c r="JA504" s="770" t="s">
        <v>1880</v>
      </c>
      <c r="JB504" s="770" t="s">
        <v>12766</v>
      </c>
      <c r="JC504" s="770"/>
      <c r="JD504" s="302" t="s">
        <v>3650</v>
      </c>
      <c r="JE504" s="770"/>
      <c r="JF504" s="770"/>
      <c r="JG504" s="770"/>
      <c r="JH504" s="307"/>
      <c r="JI504" s="712" t="str">
        <f>IF(SUM(JT504,JU504)=JJ504,"ok","review")</f>
        <v>ok</v>
      </c>
      <c r="JJ504" s="770">
        <v>4</v>
      </c>
      <c r="JK504" s="1139" t="s">
        <v>3577</v>
      </c>
      <c r="JL504" s="770"/>
      <c r="JM504" s="770"/>
      <c r="JN504" s="770">
        <v>1</v>
      </c>
      <c r="JO504" s="770">
        <v>3</v>
      </c>
      <c r="JP504" s="770"/>
      <c r="JQ504" s="770"/>
      <c r="JR504" s="770"/>
      <c r="JS504" s="770"/>
      <c r="JT504" s="766">
        <f t="shared" si="137"/>
        <v>1</v>
      </c>
      <c r="JU504" s="766">
        <f t="shared" si="137"/>
        <v>3</v>
      </c>
      <c r="JV504" s="712" t="str">
        <f t="shared" si="140"/>
        <v>ok</v>
      </c>
      <c r="JW504" s="712" t="str">
        <f t="shared" si="141"/>
        <v>ok</v>
      </c>
      <c r="JX504" s="770"/>
      <c r="JY504" s="770"/>
      <c r="JZ504" s="770"/>
      <c r="KA504" s="770"/>
      <c r="KB504" s="770"/>
      <c r="KC504" s="770">
        <v>2</v>
      </c>
      <c r="KD504" s="770">
        <v>1</v>
      </c>
      <c r="KE504" s="770">
        <v>1</v>
      </c>
      <c r="KF504" s="770"/>
      <c r="KG504" s="770"/>
      <c r="KH504" s="770"/>
      <c r="KI504" s="770"/>
      <c r="KJ504" s="770">
        <f t="shared" si="126"/>
        <v>1</v>
      </c>
      <c r="KK504" s="770">
        <f t="shared" si="126"/>
        <v>3</v>
      </c>
      <c r="KL504" s="712" t="str">
        <f t="shared" si="142"/>
        <v>ok</v>
      </c>
      <c r="KM504" s="712" t="str">
        <f t="shared" si="143"/>
        <v>ok</v>
      </c>
      <c r="KN504" s="770" t="s">
        <v>768</v>
      </c>
      <c r="KO504" s="770"/>
      <c r="KP504" s="770"/>
      <c r="KQ504" s="770"/>
      <c r="KR504" s="770"/>
      <c r="KS504" s="770"/>
      <c r="KT504" s="770"/>
      <c r="KU504" s="770"/>
      <c r="KV504" s="770"/>
      <c r="KW504" s="770"/>
      <c r="KX504" s="770"/>
      <c r="KY504" s="770"/>
      <c r="KZ504" s="770">
        <v>1</v>
      </c>
      <c r="LA504" s="770">
        <v>3</v>
      </c>
      <c r="LB504" s="770"/>
      <c r="LC504" s="770"/>
      <c r="LD504" s="770"/>
      <c r="LE504" s="770"/>
      <c r="LF504" s="770"/>
      <c r="LG504" s="770"/>
      <c r="LH504" s="770"/>
      <c r="LI504" s="770"/>
      <c r="LJ504" s="770"/>
      <c r="LK504" s="770"/>
      <c r="LL504" s="770"/>
      <c r="LM504" s="770"/>
      <c r="LN504" s="766">
        <f t="shared" si="134"/>
        <v>1</v>
      </c>
      <c r="LO504" s="766">
        <f t="shared" si="134"/>
        <v>3</v>
      </c>
      <c r="LP504" s="770">
        <v>2</v>
      </c>
      <c r="LQ504" s="770">
        <v>2</v>
      </c>
      <c r="LR504" s="770"/>
      <c r="LS504" s="770"/>
      <c r="LT504" s="712" t="str">
        <f t="shared" si="144"/>
        <v>OK</v>
      </c>
      <c r="LU504" s="770">
        <v>2</v>
      </c>
      <c r="LV504" s="770"/>
      <c r="LW504" s="770"/>
      <c r="LX504" s="769">
        <v>2</v>
      </c>
      <c r="LY504" s="766" t="str">
        <f t="shared" si="135"/>
        <v>within the MUNICIPALITY</v>
      </c>
      <c r="LZ504" s="1709">
        <v>100</v>
      </c>
      <c r="MA504" s="1709"/>
      <c r="MB504" s="1709"/>
      <c r="MC504" s="1679">
        <f t="shared" si="133"/>
        <v>100</v>
      </c>
      <c r="MD504" s="1709">
        <v>8400</v>
      </c>
      <c r="ME504" s="1709"/>
      <c r="MF504" s="1709"/>
      <c r="MG504" s="1680">
        <f t="shared" si="145"/>
        <v>8400</v>
      </c>
      <c r="MH504" s="770" t="s">
        <v>1985</v>
      </c>
      <c r="MI504" s="302">
        <v>9000</v>
      </c>
      <c r="MJ504" s="302">
        <v>240</v>
      </c>
      <c r="MK504" s="302">
        <v>1000</v>
      </c>
      <c r="ML504" s="302"/>
      <c r="MM504" s="302"/>
      <c r="MN504" s="302"/>
      <c r="MO504" s="302">
        <v>1500</v>
      </c>
      <c r="MP504" s="302">
        <v>300</v>
      </c>
      <c r="MQ504" s="302">
        <v>1300</v>
      </c>
      <c r="MR504" s="302">
        <v>300</v>
      </c>
      <c r="MS504" s="302"/>
      <c r="MT504" s="302"/>
      <c r="MU504" s="302"/>
      <c r="MV504" s="302"/>
      <c r="MW504" s="302"/>
      <c r="MX504" s="302">
        <v>200</v>
      </c>
      <c r="MY504" s="1682">
        <f t="shared" si="122"/>
        <v>13840</v>
      </c>
      <c r="MZ504" s="770" t="s">
        <v>13370</v>
      </c>
      <c r="NA504" s="770" t="s">
        <v>13005</v>
      </c>
      <c r="NB504" s="770" t="s">
        <v>13016</v>
      </c>
      <c r="NC504" s="770" t="s">
        <v>13602</v>
      </c>
      <c r="ND504" s="770">
        <v>0</v>
      </c>
      <c r="NE504" s="770">
        <v>0</v>
      </c>
      <c r="NF504" s="770">
        <v>0</v>
      </c>
      <c r="NG504" s="770">
        <v>4</v>
      </c>
      <c r="NH504" s="770">
        <v>1</v>
      </c>
      <c r="NI504" s="770">
        <v>1</v>
      </c>
      <c r="NJ504" s="770">
        <v>1</v>
      </c>
      <c r="NK504" s="770">
        <v>0</v>
      </c>
      <c r="NL504" s="770">
        <v>1</v>
      </c>
      <c r="NM504" s="770">
        <v>1</v>
      </c>
      <c r="NN504" s="770">
        <v>0</v>
      </c>
      <c r="NO504" s="770">
        <v>0</v>
      </c>
      <c r="NP504" s="770">
        <v>0</v>
      </c>
      <c r="NQ504" s="770">
        <v>0</v>
      </c>
      <c r="NR504" s="770">
        <v>0</v>
      </c>
      <c r="NS504" s="770">
        <v>0</v>
      </c>
      <c r="NT504" s="770">
        <v>0</v>
      </c>
      <c r="NU504" s="770">
        <v>0</v>
      </c>
      <c r="NV504" s="770">
        <v>0</v>
      </c>
      <c r="NW504" s="770">
        <v>0</v>
      </c>
      <c r="NX504" s="770">
        <v>0</v>
      </c>
      <c r="NY504" s="770" t="s">
        <v>1208</v>
      </c>
      <c r="NZ504" s="770" t="s">
        <v>1208</v>
      </c>
      <c r="OA504" s="770" t="s">
        <v>1208</v>
      </c>
      <c r="OB504" s="770" t="s">
        <v>1208</v>
      </c>
      <c r="OC504" s="770" t="s">
        <v>1208</v>
      </c>
      <c r="OD504" s="770"/>
      <c r="OE504" s="770"/>
      <c r="OF504" s="770" t="s">
        <v>2143</v>
      </c>
      <c r="OG504" s="770"/>
      <c r="OH504" s="770"/>
      <c r="OI504" s="770"/>
      <c r="OJ504" s="770"/>
      <c r="OK504" s="770" t="s">
        <v>1208</v>
      </c>
      <c r="OL504" s="770" t="s">
        <v>12888</v>
      </c>
      <c r="OM504" s="770" t="s">
        <v>13548</v>
      </c>
      <c r="ON504" s="770" t="s">
        <v>13663</v>
      </c>
      <c r="OO504" s="770" t="s">
        <v>1207</v>
      </c>
      <c r="OP504" s="770" t="s">
        <v>12888</v>
      </c>
      <c r="OQ504" s="770" t="s">
        <v>13548</v>
      </c>
      <c r="OR504" s="770" t="s">
        <v>13663</v>
      </c>
      <c r="OS504" s="770" t="s">
        <v>12885</v>
      </c>
      <c r="OT504" s="770" t="s">
        <v>13263</v>
      </c>
      <c r="OU504" s="770" t="s">
        <v>12888</v>
      </c>
      <c r="OV504" s="770"/>
      <c r="OW504" s="770"/>
      <c r="OX504" s="770"/>
      <c r="OY504" s="770"/>
      <c r="OZ504" s="770"/>
      <c r="PA504" s="770"/>
      <c r="PB504" s="770"/>
      <c r="PC504" s="770"/>
      <c r="PD504" s="770"/>
      <c r="PE504" s="770"/>
      <c r="PF504" s="770"/>
      <c r="PG504" s="770"/>
      <c r="PH504" s="770"/>
      <c r="PI504" s="770"/>
      <c r="PJ504" s="770"/>
      <c r="PK504" s="770"/>
      <c r="PL504" s="770"/>
      <c r="PM504" s="770"/>
      <c r="PN504" s="770"/>
      <c r="PO504" s="770"/>
      <c r="PP504" s="770"/>
      <c r="PQ504" s="770"/>
      <c r="PR504" s="770"/>
      <c r="PS504" s="770"/>
      <c r="PT504" s="770"/>
      <c r="PU504" s="770"/>
      <c r="PV504" s="770"/>
      <c r="PW504" s="770"/>
      <c r="PX504" s="770"/>
      <c r="PY504" s="770"/>
      <c r="PZ504" s="770"/>
      <c r="QA504" s="770"/>
      <c r="QB504" s="770"/>
      <c r="QC504" s="770"/>
      <c r="QD504" s="770"/>
      <c r="QE504" s="770"/>
      <c r="QF504" s="770"/>
      <c r="QG504" s="770"/>
      <c r="QH504" s="770"/>
      <c r="QI504" s="770"/>
      <c r="QJ504" s="770"/>
      <c r="QK504" s="770"/>
      <c r="QL504" s="770"/>
      <c r="QM504" s="770"/>
      <c r="QN504" s="770"/>
      <c r="QO504" s="770"/>
      <c r="QP504" s="770"/>
      <c r="QQ504" s="770"/>
      <c r="QR504" s="770"/>
      <c r="QS504" s="770"/>
      <c r="QT504" s="770"/>
      <c r="QU504" s="770"/>
      <c r="QV504" s="770"/>
      <c r="QW504" s="770"/>
      <c r="QX504" s="770"/>
      <c r="QY504" s="770"/>
      <c r="QZ504" s="770"/>
      <c r="RA504" s="770"/>
      <c r="RB504" s="770" t="s">
        <v>1207</v>
      </c>
      <c r="RC504" s="770">
        <v>2013</v>
      </c>
      <c r="RD504" s="770" t="s">
        <v>13664</v>
      </c>
      <c r="RE504" s="770" t="s">
        <v>13008</v>
      </c>
      <c r="RF504" s="304">
        <v>0.4</v>
      </c>
      <c r="RG504" s="770" t="s">
        <v>13047</v>
      </c>
      <c r="RH504" s="302">
        <v>0</v>
      </c>
      <c r="RI504" s="770">
        <v>24</v>
      </c>
      <c r="RJ504" s="770" t="s">
        <v>3577</v>
      </c>
      <c r="RK504" s="770" t="s">
        <v>13544</v>
      </c>
      <c r="RL504" s="1710"/>
      <c r="RM504" s="12"/>
      <c r="RN504" s="1711"/>
      <c r="RO504" s="133" t="s">
        <v>3571</v>
      </c>
      <c r="RP504" s="11"/>
      <c r="RQ504" s="11"/>
      <c r="RR504" s="19" t="s">
        <v>7421</v>
      </c>
      <c r="RS504" s="1139" t="s">
        <v>12980</v>
      </c>
      <c r="RT504" s="11"/>
      <c r="RU504" s="11"/>
      <c r="RV504" s="771" t="s">
        <v>7421</v>
      </c>
      <c r="RW504" s="11" t="s">
        <v>7697</v>
      </c>
      <c r="RX504" s="11" t="s">
        <v>3415</v>
      </c>
      <c r="RY504" s="11"/>
      <c r="RZ504" s="11" t="s">
        <v>1101</v>
      </c>
      <c r="SA504" s="771"/>
      <c r="SB504" s="11"/>
      <c r="SC504" s="11"/>
    </row>
    <row r="505" spans="1:497" ht="12.75" customHeight="1">
      <c r="A505" s="19" t="s">
        <v>7421</v>
      </c>
      <c r="B505" s="752" t="s">
        <v>7785</v>
      </c>
      <c r="C505" s="132" t="s">
        <v>2918</v>
      </c>
      <c r="D505" s="14" t="s">
        <v>2919</v>
      </c>
      <c r="E505" s="770" t="s">
        <v>2923</v>
      </c>
      <c r="F505" s="770" t="s">
        <v>28</v>
      </c>
      <c r="G505" s="770" t="s">
        <v>18</v>
      </c>
      <c r="H505" s="770"/>
      <c r="I505" s="295" t="s">
        <v>3422</v>
      </c>
      <c r="J505" s="94" t="str">
        <f t="shared" ca="1" si="138"/>
        <v>Tarlac, Priscilla Recto</v>
      </c>
      <c r="K505" s="766" t="s">
        <v>2920</v>
      </c>
      <c r="L505" s="766" t="s">
        <v>2921</v>
      </c>
      <c r="M505" s="770" t="s">
        <v>1238</v>
      </c>
      <c r="N505" s="770"/>
      <c r="O505" s="770" t="s">
        <v>2922</v>
      </c>
      <c r="P505" s="94" t="s">
        <v>3428</v>
      </c>
      <c r="Q505" s="1088">
        <v>14614</v>
      </c>
      <c r="R505" s="297">
        <v>77</v>
      </c>
      <c r="S505" s="770" t="s">
        <v>18</v>
      </c>
      <c r="T505" s="770"/>
      <c r="U505" s="295" t="s">
        <v>3422</v>
      </c>
      <c r="V505" s="770" t="s">
        <v>719</v>
      </c>
      <c r="W505" s="770"/>
      <c r="X505" s="770"/>
      <c r="Y505" s="770" t="s">
        <v>2923</v>
      </c>
      <c r="Z505" s="770" t="s">
        <v>708</v>
      </c>
      <c r="AA505" s="770" t="s">
        <v>709</v>
      </c>
      <c r="AB505" s="770" t="s">
        <v>744</v>
      </c>
      <c r="AC505" s="770" t="s">
        <v>724</v>
      </c>
      <c r="AD505" s="770" t="s">
        <v>711</v>
      </c>
      <c r="AE505" s="770"/>
      <c r="AF505" s="770" t="s">
        <v>712</v>
      </c>
      <c r="AG505" s="766" t="s">
        <v>1132</v>
      </c>
      <c r="AH505" s="766" t="s">
        <v>1096</v>
      </c>
      <c r="AI505" s="770"/>
      <c r="AJ505" s="770" t="s">
        <v>1137</v>
      </c>
      <c r="AK505" s="770" t="s">
        <v>1101</v>
      </c>
      <c r="AL505" s="531">
        <v>10.53</v>
      </c>
      <c r="AM505" s="780">
        <v>5.4</v>
      </c>
      <c r="AN505" s="532">
        <f t="shared" si="139"/>
        <v>0.51282051282051289</v>
      </c>
      <c r="AO505" s="766" t="s">
        <v>1105</v>
      </c>
      <c r="AP505" s="766"/>
      <c r="AQ505" s="766"/>
      <c r="AR505" s="766"/>
      <c r="AS505" s="770"/>
      <c r="AT505" s="770"/>
      <c r="AU505" s="770"/>
      <c r="AV505" s="770"/>
      <c r="AW505" s="770"/>
      <c r="AX505" s="770"/>
      <c r="AY505" s="770"/>
      <c r="AZ505" s="770"/>
      <c r="BA505" s="770"/>
      <c r="BB505" s="770"/>
      <c r="BC505" s="770"/>
      <c r="BD505" s="770"/>
      <c r="BE505" s="770"/>
      <c r="BF505" s="302"/>
      <c r="BG505" s="302"/>
      <c r="BH505" s="770"/>
      <c r="BI505" s="770"/>
      <c r="BJ505" s="770"/>
      <c r="BK505" s="770" t="s">
        <v>1095</v>
      </c>
      <c r="BL505" s="770" t="s">
        <v>3423</v>
      </c>
      <c r="BM505" s="770" t="s">
        <v>8108</v>
      </c>
      <c r="BN505" s="770" t="s">
        <v>1230</v>
      </c>
      <c r="BO505" s="766" t="s">
        <v>1246</v>
      </c>
      <c r="BP505" s="1109">
        <v>10.53</v>
      </c>
      <c r="BQ505" s="773">
        <v>5.4</v>
      </c>
      <c r="BR505" s="774">
        <f t="shared" si="136"/>
        <v>0.51282051282051289</v>
      </c>
      <c r="BS505" s="770" t="s">
        <v>1105</v>
      </c>
      <c r="BT505" s="766" t="s">
        <v>8133</v>
      </c>
      <c r="BU505" s="770" t="s">
        <v>1249</v>
      </c>
      <c r="BV505" s="770" t="s">
        <v>1247</v>
      </c>
      <c r="BW505" s="770" t="s">
        <v>2746</v>
      </c>
      <c r="BX505" s="302"/>
      <c r="BY505" s="770" t="s">
        <v>1207</v>
      </c>
      <c r="BZ505" s="302" t="s">
        <v>2769</v>
      </c>
      <c r="CA505" s="770"/>
      <c r="CB505" s="770" t="s">
        <v>1207</v>
      </c>
      <c r="CC505" s="770"/>
      <c r="CD505" s="770"/>
      <c r="CE505" s="770"/>
      <c r="CF505" s="1753"/>
      <c r="CG505" s="1754"/>
      <c r="CH505" s="770"/>
      <c r="CI505" s="770"/>
      <c r="CJ505" s="770"/>
      <c r="CK505" s="770"/>
      <c r="CL505" s="770"/>
      <c r="CM505" s="770"/>
      <c r="CN505" s="770"/>
      <c r="CO505" s="770"/>
      <c r="CP505" s="770"/>
      <c r="CQ505" s="770"/>
      <c r="CR505" s="302"/>
      <c r="CS505" s="770"/>
      <c r="CT505" s="770"/>
      <c r="CU505" s="305"/>
      <c r="CV505" s="770"/>
      <c r="CW505" s="770"/>
      <c r="CX505" s="770"/>
      <c r="CY505" s="770"/>
      <c r="CZ505" s="770"/>
      <c r="DA505" s="306"/>
      <c r="DB505" s="770"/>
      <c r="DC505" s="770"/>
      <c r="DD505" s="770"/>
      <c r="DE505" s="300"/>
      <c r="DF505" s="770"/>
      <c r="DG505" s="770"/>
      <c r="DH505" s="770"/>
      <c r="DI505" s="770"/>
      <c r="DJ505" s="770"/>
      <c r="DK505" s="770"/>
      <c r="DL505" s="770"/>
      <c r="DM505" s="770"/>
      <c r="DN505" s="322"/>
      <c r="DO505" s="770"/>
      <c r="DP505" s="770"/>
      <c r="DQ505" s="770"/>
      <c r="DR505" s="770"/>
      <c r="DS505" s="307"/>
      <c r="DT505" s="770"/>
      <c r="DU505" s="770"/>
      <c r="DV505" s="770"/>
      <c r="DW505" s="306"/>
      <c r="DX505" s="306"/>
      <c r="DY505" s="770"/>
      <c r="DZ505" s="770"/>
      <c r="EA505" s="770"/>
      <c r="EB505" s="770"/>
      <c r="EC505" s="770"/>
      <c r="ED505" s="770"/>
      <c r="EE505" s="770"/>
      <c r="EF505" s="770"/>
      <c r="EG505" s="770"/>
      <c r="EH505" s="770"/>
      <c r="EI505" s="770"/>
      <c r="EJ505" s="770"/>
      <c r="EK505" s="770"/>
      <c r="EL505" s="770"/>
      <c r="EM505" s="770"/>
      <c r="EN505" s="770"/>
      <c r="EO505" s="770"/>
      <c r="EP505" s="94"/>
      <c r="EQ505" s="770"/>
      <c r="ER505" s="770"/>
      <c r="ES505" s="770"/>
      <c r="ET505" s="770"/>
      <c r="EU505" s="770"/>
      <c r="EV505" s="770"/>
      <c r="EW505" s="770"/>
      <c r="EX505" s="770"/>
      <c r="EY505" s="770"/>
      <c r="EZ505" s="770" t="s">
        <v>3424</v>
      </c>
      <c r="FA505" s="770" t="s">
        <v>3425</v>
      </c>
      <c r="FB505" s="770"/>
      <c r="FC505" s="770"/>
      <c r="FD505" s="302"/>
      <c r="FE505" s="770"/>
      <c r="FF505" s="770" t="s">
        <v>3426</v>
      </c>
      <c r="FG505" s="770"/>
      <c r="FH505" s="770" t="s">
        <v>478</v>
      </c>
      <c r="FI505" s="770">
        <v>1</v>
      </c>
      <c r="FJ505" s="770"/>
      <c r="FK505" s="770"/>
      <c r="FL505" s="770"/>
      <c r="FM505" s="302"/>
      <c r="FN505" s="302"/>
      <c r="FO505" s="302"/>
      <c r="FP505" s="766" t="s">
        <v>1602</v>
      </c>
      <c r="FQ505" s="766" t="s">
        <v>1660</v>
      </c>
      <c r="FR505" s="770" t="s">
        <v>1214</v>
      </c>
      <c r="FS505" s="770"/>
      <c r="FT505" s="770"/>
      <c r="FU505" s="770"/>
      <c r="FV505" s="770"/>
      <c r="FW505" s="770"/>
      <c r="FX505" s="770"/>
      <c r="FY505" s="770"/>
      <c r="FZ505" s="770"/>
      <c r="GA505" s="770"/>
      <c r="GB505" s="770"/>
      <c r="GC505" s="308"/>
      <c r="GD505" s="297"/>
      <c r="GE505" s="770" t="s">
        <v>1214</v>
      </c>
      <c r="GF505" s="302"/>
      <c r="GG505" s="302"/>
      <c r="GH505" s="712" t="s">
        <v>1791</v>
      </c>
      <c r="GI505" s="770" t="s">
        <v>1008</v>
      </c>
      <c r="GJ505" s="770" t="s">
        <v>1831</v>
      </c>
      <c r="GK505" s="766" t="s">
        <v>1806</v>
      </c>
      <c r="GL505" s="770"/>
      <c r="GM505" s="770"/>
      <c r="GN505" s="299">
        <f>5000/30</f>
        <v>166.66666666666666</v>
      </c>
      <c r="GO505" s="770" t="s">
        <v>2760</v>
      </c>
      <c r="GP505" s="770"/>
      <c r="GQ505" s="770"/>
      <c r="GR505" s="770"/>
      <c r="GS505" s="770"/>
      <c r="GT505" s="770"/>
      <c r="GU505" s="770"/>
      <c r="GV505" s="770"/>
      <c r="GW505" s="770" t="s">
        <v>1207</v>
      </c>
      <c r="GX505" s="770"/>
      <c r="GY505" s="770" t="s">
        <v>1208</v>
      </c>
      <c r="GZ505" s="770"/>
      <c r="HA505" s="770" t="s">
        <v>1208</v>
      </c>
      <c r="HB505" s="770" t="s">
        <v>1208</v>
      </c>
      <c r="HC505" s="770" t="s">
        <v>1208</v>
      </c>
      <c r="HD505" s="770" t="s">
        <v>1208</v>
      </c>
      <c r="HE505" s="770" t="s">
        <v>1208</v>
      </c>
      <c r="HF505" s="770"/>
      <c r="HG505" s="770"/>
      <c r="HH505" s="770"/>
      <c r="HI505" s="770" t="s">
        <v>1214</v>
      </c>
      <c r="HJ505" s="770"/>
      <c r="HK505" s="770"/>
      <c r="HL505" s="770"/>
      <c r="HM505" s="770"/>
      <c r="HN505" s="770"/>
      <c r="HO505" s="770"/>
      <c r="HP505" s="770"/>
      <c r="HQ505" s="770"/>
      <c r="HR505" s="770"/>
      <c r="HS505" s="770"/>
      <c r="HT505" s="770"/>
      <c r="HU505" s="770"/>
      <c r="HV505" s="770"/>
      <c r="HW505" s="770"/>
      <c r="HX505" s="770"/>
      <c r="HY505" s="770"/>
      <c r="HZ505" s="770"/>
      <c r="IA505" s="770"/>
      <c r="IB505" s="14" t="e">
        <f>IF(#REF!&gt;0,IF(#REF!&lt;=10000,"Y",""),"")</f>
        <v>#REF!</v>
      </c>
      <c r="IC505" s="770" t="s">
        <v>1207</v>
      </c>
      <c r="ID505" s="770">
        <v>1</v>
      </c>
      <c r="IE505" s="770"/>
      <c r="IF505" s="770"/>
      <c r="IG505" s="770"/>
      <c r="IH505" s="770"/>
      <c r="II505" s="770"/>
      <c r="IJ505" s="770"/>
      <c r="IK505" s="770"/>
      <c r="IL505" s="770"/>
      <c r="IM505" s="770"/>
      <c r="IN505" s="770"/>
      <c r="IO505" s="296"/>
      <c r="IP505" s="770"/>
      <c r="IQ505" s="770"/>
      <c r="IR505" s="770"/>
      <c r="IS505" s="770"/>
      <c r="IT505" s="770"/>
      <c r="IU505" s="770"/>
      <c r="IV505" s="770"/>
      <c r="IW505" s="770"/>
      <c r="IX505" s="770"/>
      <c r="IY505" s="770"/>
      <c r="IZ505" s="770"/>
      <c r="JA505" s="770"/>
      <c r="JB505" s="770"/>
      <c r="JC505" s="770"/>
      <c r="JD505" s="302"/>
      <c r="JE505" s="770"/>
      <c r="JF505" s="770"/>
      <c r="JG505" s="770"/>
      <c r="JH505" s="307"/>
      <c r="JI505" s="307"/>
      <c r="JJ505" s="770">
        <v>8</v>
      </c>
      <c r="JK505" s="1139" t="s">
        <v>3427</v>
      </c>
      <c r="JL505" s="770">
        <v>1</v>
      </c>
      <c r="JM505" s="770">
        <v>1</v>
      </c>
      <c r="JN505" s="770">
        <v>2</v>
      </c>
      <c r="JO505" s="770">
        <v>3</v>
      </c>
      <c r="JP505" s="770"/>
      <c r="JQ505" s="770">
        <v>1</v>
      </c>
      <c r="JR505" s="770"/>
      <c r="JS505" s="770"/>
      <c r="JT505" s="766">
        <f t="shared" si="137"/>
        <v>3</v>
      </c>
      <c r="JU505" s="766">
        <f t="shared" si="137"/>
        <v>5</v>
      </c>
      <c r="JV505" s="712" t="str">
        <f t="shared" si="140"/>
        <v>ok</v>
      </c>
      <c r="JW505" s="712" t="str">
        <f t="shared" si="141"/>
        <v>ok</v>
      </c>
      <c r="JX505" s="770"/>
      <c r="JY505" s="770"/>
      <c r="JZ505" s="770">
        <v>1</v>
      </c>
      <c r="KA505" s="770">
        <v>1</v>
      </c>
      <c r="KB505" s="770">
        <v>2</v>
      </c>
      <c r="KC505" s="770">
        <v>1</v>
      </c>
      <c r="KD505" s="770"/>
      <c r="KE505" s="770">
        <v>2</v>
      </c>
      <c r="KF505" s="770"/>
      <c r="KG505" s="770">
        <v>1</v>
      </c>
      <c r="KH505" s="770"/>
      <c r="KI505" s="770"/>
      <c r="KJ505" s="770">
        <f t="shared" si="126"/>
        <v>3</v>
      </c>
      <c r="KK505" s="770">
        <f t="shared" si="126"/>
        <v>5</v>
      </c>
      <c r="KL505" s="712" t="str">
        <f t="shared" si="142"/>
        <v>ok</v>
      </c>
      <c r="KM505" s="712" t="str">
        <f t="shared" si="143"/>
        <v>ok</v>
      </c>
      <c r="KN505" s="770" t="s">
        <v>719</v>
      </c>
      <c r="KO505" s="770"/>
      <c r="KP505" s="770"/>
      <c r="KQ505" s="770"/>
      <c r="KR505" s="770"/>
      <c r="KS505" s="770"/>
      <c r="KT505" s="770">
        <v>1</v>
      </c>
      <c r="KU505" s="770">
        <v>2</v>
      </c>
      <c r="KV505" s="770"/>
      <c r="KW505" s="770"/>
      <c r="KX505" s="770">
        <v>1</v>
      </c>
      <c r="KY505" s="770">
        <v>2</v>
      </c>
      <c r="KZ505" s="770">
        <v>1</v>
      </c>
      <c r="LA505" s="770">
        <v>1</v>
      </c>
      <c r="LB505" s="770"/>
      <c r="LC505" s="770"/>
      <c r="LD505" s="770"/>
      <c r="LE505" s="770"/>
      <c r="LF505" s="770"/>
      <c r="LG505" s="770"/>
      <c r="LH505" s="770"/>
      <c r="LI505" s="770"/>
      <c r="LJ505" s="770"/>
      <c r="LK505" s="770"/>
      <c r="LL505" s="770"/>
      <c r="LM505" s="770"/>
      <c r="LN505" s="766">
        <f t="shared" si="134"/>
        <v>3</v>
      </c>
      <c r="LO505" s="766">
        <f t="shared" si="134"/>
        <v>5</v>
      </c>
      <c r="LP505" s="770">
        <v>4</v>
      </c>
      <c r="LQ505" s="770">
        <v>3</v>
      </c>
      <c r="LR505" s="770"/>
      <c r="LS505" s="770">
        <v>1</v>
      </c>
      <c r="LT505" s="712" t="str">
        <f t="shared" si="144"/>
        <v>OK</v>
      </c>
      <c r="LU505" s="770">
        <v>2</v>
      </c>
      <c r="LV505" s="770">
        <v>1</v>
      </c>
      <c r="LW505" s="770"/>
      <c r="LX505" s="769">
        <v>0</v>
      </c>
      <c r="LY505" s="766">
        <f t="shared" si="135"/>
        <v>0</v>
      </c>
      <c r="LZ505" s="1709">
        <f>SUM(420,3000,2100)</f>
        <v>5520</v>
      </c>
      <c r="MA505" s="1709"/>
      <c r="MB505" s="1709"/>
      <c r="MC505" s="1679">
        <f t="shared" si="133"/>
        <v>5520</v>
      </c>
      <c r="MD505" s="1709">
        <f>SUM(4500,14500,9000)</f>
        <v>28000</v>
      </c>
      <c r="ME505" s="1709"/>
      <c r="MF505" s="1709">
        <v>500</v>
      </c>
      <c r="MG505" s="1680">
        <f t="shared" si="145"/>
        <v>28500</v>
      </c>
      <c r="MH505" s="770" t="s">
        <v>3387</v>
      </c>
      <c r="MI505" s="302">
        <v>8000</v>
      </c>
      <c r="MJ505" s="302">
        <v>5500</v>
      </c>
      <c r="MK505" s="302">
        <v>333</v>
      </c>
      <c r="ML505" s="302">
        <v>166</v>
      </c>
      <c r="MM505" s="302">
        <v>3000</v>
      </c>
      <c r="MN505" s="302"/>
      <c r="MO505" s="302">
        <v>500</v>
      </c>
      <c r="MP505" s="302">
        <v>1000</v>
      </c>
      <c r="MQ505" s="302">
        <v>100</v>
      </c>
      <c r="MR505" s="302">
        <v>500</v>
      </c>
      <c r="MS505" s="302"/>
      <c r="MT505" s="302"/>
      <c r="MU505" s="302"/>
      <c r="MV505" s="302"/>
      <c r="MW505" s="302"/>
      <c r="MX505" s="302"/>
      <c r="MY505" s="1682">
        <f t="shared" si="122"/>
        <v>19099</v>
      </c>
      <c r="MZ505" s="770" t="s">
        <v>13395</v>
      </c>
      <c r="NA505" s="770" t="s">
        <v>13230</v>
      </c>
      <c r="NB505" s="770" t="s">
        <v>13033</v>
      </c>
      <c r="NC505" s="770" t="s">
        <v>13602</v>
      </c>
      <c r="ND505" s="770">
        <v>0</v>
      </c>
      <c r="NE505" s="770">
        <v>1</v>
      </c>
      <c r="NF505" s="770">
        <v>1</v>
      </c>
      <c r="NG505" s="770">
        <v>1</v>
      </c>
      <c r="NH505" s="770">
        <v>1</v>
      </c>
      <c r="NI505" s="770">
        <v>0</v>
      </c>
      <c r="NJ505" s="770">
        <v>0</v>
      </c>
      <c r="NK505" s="770">
        <v>0</v>
      </c>
      <c r="NL505" s="770">
        <v>0</v>
      </c>
      <c r="NM505" s="770">
        <v>0</v>
      </c>
      <c r="NN505" s="770">
        <v>0</v>
      </c>
      <c r="NO505" s="770">
        <v>0</v>
      </c>
      <c r="NP505" s="770">
        <v>0</v>
      </c>
      <c r="NQ505" s="770">
        <v>0</v>
      </c>
      <c r="NR505" s="770">
        <v>0</v>
      </c>
      <c r="NS505" s="770">
        <v>0</v>
      </c>
      <c r="NT505" s="770">
        <v>0</v>
      </c>
      <c r="NU505" s="770">
        <v>0</v>
      </c>
      <c r="NV505" s="770">
        <v>0</v>
      </c>
      <c r="NW505" s="770">
        <v>1</v>
      </c>
      <c r="NX505" s="770">
        <v>0</v>
      </c>
      <c r="NY505" s="770"/>
      <c r="NZ505" s="770"/>
      <c r="OA505" s="770"/>
      <c r="OB505" s="770"/>
      <c r="OC505" s="770" t="s">
        <v>1208</v>
      </c>
      <c r="OD505" s="770"/>
      <c r="OE505" s="770"/>
      <c r="OF505" s="770"/>
      <c r="OG505" s="770"/>
      <c r="OH505" s="770"/>
      <c r="OI505" s="770"/>
      <c r="OJ505" s="770"/>
      <c r="OK505" s="770" t="s">
        <v>1208</v>
      </c>
      <c r="OL505" s="770"/>
      <c r="OM505" s="770"/>
      <c r="ON505" s="770"/>
      <c r="OO505" s="770"/>
      <c r="OP505" s="770"/>
      <c r="OQ505" s="770"/>
      <c r="OR505" s="770"/>
      <c r="OS505" s="770"/>
      <c r="OT505" s="770"/>
      <c r="OU505" s="770"/>
      <c r="OV505" s="770"/>
      <c r="OW505" s="770"/>
      <c r="OX505" s="770"/>
      <c r="OY505" s="770"/>
      <c r="OZ505" s="770"/>
      <c r="PA505" s="770"/>
      <c r="PB505" s="770"/>
      <c r="PC505" s="770"/>
      <c r="PD505" s="770"/>
      <c r="PE505" s="770"/>
      <c r="PF505" s="770"/>
      <c r="PG505" s="770"/>
      <c r="PH505" s="770"/>
      <c r="PI505" s="770"/>
      <c r="PJ505" s="770"/>
      <c r="PK505" s="770" t="s">
        <v>1208</v>
      </c>
      <c r="PL505" s="770"/>
      <c r="PM505" s="770"/>
      <c r="PN505" s="770"/>
      <c r="PO505" s="770"/>
      <c r="PP505" s="770"/>
      <c r="PQ505" s="770"/>
      <c r="PR505" s="770"/>
      <c r="PS505" s="770"/>
      <c r="PT505" s="770"/>
      <c r="PU505" s="770"/>
      <c r="PV505" s="770"/>
      <c r="PW505" s="770"/>
      <c r="PX505" s="770"/>
      <c r="PY505" s="770"/>
      <c r="PZ505" s="770"/>
      <c r="QA505" s="770"/>
      <c r="QB505" s="770"/>
      <c r="QC505" s="770"/>
      <c r="QD505" s="770"/>
      <c r="QE505" s="770"/>
      <c r="QF505" s="770"/>
      <c r="QG505" s="770"/>
      <c r="QH505" s="770"/>
      <c r="QI505" s="770"/>
      <c r="QJ505" s="770"/>
      <c r="QK505" s="770"/>
      <c r="QL505" s="770"/>
      <c r="QM505" s="770"/>
      <c r="QN505" s="770"/>
      <c r="QO505" s="770"/>
      <c r="QP505" s="770"/>
      <c r="QQ505" s="770"/>
      <c r="QR505" s="770"/>
      <c r="QS505" s="770"/>
      <c r="QT505" s="770"/>
      <c r="QU505" s="770"/>
      <c r="QV505" s="770"/>
      <c r="QW505" s="770"/>
      <c r="QX505" s="770"/>
      <c r="QY505" s="770"/>
      <c r="QZ505" s="770"/>
      <c r="RA505" s="770"/>
      <c r="RB505" s="770" t="s">
        <v>1207</v>
      </c>
      <c r="RC505" s="770">
        <v>2013</v>
      </c>
      <c r="RD505" s="770" t="s">
        <v>13251</v>
      </c>
      <c r="RE505" s="770" t="s">
        <v>13125</v>
      </c>
      <c r="RF505" s="304">
        <v>0.5</v>
      </c>
      <c r="RG505" s="770" t="s">
        <v>13047</v>
      </c>
      <c r="RH505" s="302">
        <v>2000</v>
      </c>
      <c r="RI505" s="770">
        <v>3</v>
      </c>
      <c r="RJ505" s="770" t="s">
        <v>13665</v>
      </c>
      <c r="RK505" s="770" t="s">
        <v>13556</v>
      </c>
      <c r="RL505" s="1710"/>
      <c r="RM505" s="12"/>
      <c r="RN505" s="1711"/>
      <c r="RO505" s="132" t="s">
        <v>2918</v>
      </c>
      <c r="RP505" s="11"/>
      <c r="RQ505" s="11"/>
      <c r="RR505" s="19" t="s">
        <v>7421</v>
      </c>
      <c r="RS505" s="1139" t="s">
        <v>12980</v>
      </c>
      <c r="RT505" s="11"/>
      <c r="RU505" s="11"/>
      <c r="RV505" s="771" t="s">
        <v>7421</v>
      </c>
      <c r="RW505" s="11" t="s">
        <v>7698</v>
      </c>
      <c r="RX505" s="11" t="s">
        <v>3564</v>
      </c>
      <c r="RY505" s="11"/>
      <c r="RZ505" s="11" t="s">
        <v>1101</v>
      </c>
      <c r="SA505" s="771"/>
      <c r="SB505" s="11"/>
      <c r="SC505" s="11"/>
    </row>
    <row r="506" spans="1:497" ht="12.75" customHeight="1">
      <c r="A506" s="19" t="s">
        <v>7421</v>
      </c>
      <c r="B506" s="127" t="s">
        <v>7699</v>
      </c>
      <c r="C506" s="132" t="s">
        <v>3581</v>
      </c>
      <c r="D506" s="94" t="s">
        <v>3583</v>
      </c>
      <c r="E506" s="770" t="s">
        <v>3584</v>
      </c>
      <c r="F506" s="770" t="s">
        <v>20</v>
      </c>
      <c r="G506" s="770" t="s">
        <v>18</v>
      </c>
      <c r="H506" s="770"/>
      <c r="I506" s="295"/>
      <c r="J506" s="94" t="s">
        <v>3585</v>
      </c>
      <c r="K506" s="766" t="s">
        <v>3586</v>
      </c>
      <c r="L506" s="766" t="s">
        <v>3349</v>
      </c>
      <c r="M506" s="770" t="s">
        <v>1238</v>
      </c>
      <c r="N506" s="770"/>
      <c r="O506" s="770" t="s">
        <v>2922</v>
      </c>
      <c r="P506" s="94" t="s">
        <v>3587</v>
      </c>
      <c r="Q506" s="1088"/>
      <c r="R506" s="297">
        <v>31</v>
      </c>
      <c r="S506" s="770" t="s">
        <v>10</v>
      </c>
      <c r="T506" s="770"/>
      <c r="U506" s="295"/>
      <c r="V506" s="770" t="s">
        <v>722</v>
      </c>
      <c r="W506" s="770"/>
      <c r="X506" s="770"/>
      <c r="Y506" s="770" t="s">
        <v>3584</v>
      </c>
      <c r="Z506" s="770"/>
      <c r="AA506" s="770"/>
      <c r="AB506" s="770"/>
      <c r="AC506" s="770"/>
      <c r="AD506" s="770"/>
      <c r="AE506" s="770"/>
      <c r="AF506" s="770"/>
      <c r="AG506" s="766" t="s">
        <v>1132</v>
      </c>
      <c r="AH506" s="766" t="s">
        <v>1096</v>
      </c>
      <c r="AI506" s="770"/>
      <c r="AJ506" s="770" t="s">
        <v>1137</v>
      </c>
      <c r="AK506" s="770" t="s">
        <v>1101</v>
      </c>
      <c r="AL506" s="531">
        <v>3.4</v>
      </c>
      <c r="AM506" s="780">
        <v>3.4</v>
      </c>
      <c r="AN506" s="532">
        <f t="shared" si="139"/>
        <v>1</v>
      </c>
      <c r="AO506" s="766" t="s">
        <v>1122</v>
      </c>
      <c r="AP506" s="766"/>
      <c r="AQ506" s="766"/>
      <c r="AR506" s="766"/>
      <c r="AS506" s="770"/>
      <c r="AT506" s="770"/>
      <c r="AU506" s="770"/>
      <c r="AV506" s="770"/>
      <c r="AW506" s="770"/>
      <c r="AX506" s="770"/>
      <c r="AY506" s="770"/>
      <c r="AZ506" s="770"/>
      <c r="BA506" s="770"/>
      <c r="BB506" s="770"/>
      <c r="BC506" s="770"/>
      <c r="BD506" s="770"/>
      <c r="BE506" s="770"/>
      <c r="BF506" s="302"/>
      <c r="BG506" s="302"/>
      <c r="BH506" s="770"/>
      <c r="BI506" s="770"/>
      <c r="BJ506" s="770"/>
      <c r="BK506" s="770" t="s">
        <v>1095</v>
      </c>
      <c r="BL506" s="770" t="s">
        <v>3588</v>
      </c>
      <c r="BM506" s="766" t="s">
        <v>1096</v>
      </c>
      <c r="BN506" s="770" t="s">
        <v>1230</v>
      </c>
      <c r="BO506" s="766" t="s">
        <v>1246</v>
      </c>
      <c r="BP506" s="1109">
        <v>3.4</v>
      </c>
      <c r="BQ506" s="773">
        <v>3.4</v>
      </c>
      <c r="BR506" s="774">
        <f t="shared" si="136"/>
        <v>1</v>
      </c>
      <c r="BS506" s="766" t="s">
        <v>1257</v>
      </c>
      <c r="BT506" s="766" t="s">
        <v>1326</v>
      </c>
      <c r="BU506" s="766" t="s">
        <v>1264</v>
      </c>
      <c r="BV506" s="770" t="s">
        <v>1291</v>
      </c>
      <c r="BW506" s="770">
        <v>2010</v>
      </c>
      <c r="BX506" s="302"/>
      <c r="BY506" s="770"/>
      <c r="BZ506" s="302"/>
      <c r="CA506" s="770"/>
      <c r="CB506" s="770"/>
      <c r="CC506" s="770"/>
      <c r="CD506" s="770"/>
      <c r="CE506" s="770"/>
      <c r="CF506" s="1753"/>
      <c r="CG506" s="1754"/>
      <c r="CH506" s="770"/>
      <c r="CI506" s="770"/>
      <c r="CJ506" s="770"/>
      <c r="CK506" s="770"/>
      <c r="CL506" s="770"/>
      <c r="CM506" s="770"/>
      <c r="CN506" s="770"/>
      <c r="CO506" s="770"/>
      <c r="CP506" s="770"/>
      <c r="CQ506" s="770"/>
      <c r="CR506" s="302"/>
      <c r="CS506" s="770"/>
      <c r="CT506" s="770"/>
      <c r="CU506" s="305"/>
      <c r="CV506" s="770"/>
      <c r="CW506" s="770"/>
      <c r="CX506" s="770"/>
      <c r="CY506" s="770"/>
      <c r="CZ506" s="770"/>
      <c r="DA506" s="306"/>
      <c r="DB506" s="770"/>
      <c r="DC506" s="770"/>
      <c r="DD506" s="770"/>
      <c r="DE506" s="300"/>
      <c r="DF506" s="770"/>
      <c r="DG506" s="770"/>
      <c r="DH506" s="770"/>
      <c r="DI506" s="770"/>
      <c r="DJ506" s="770"/>
      <c r="DK506" s="770"/>
      <c r="DL506" s="770"/>
      <c r="DM506" s="770"/>
      <c r="DN506" s="322"/>
      <c r="DO506" s="770"/>
      <c r="DP506" s="770"/>
      <c r="DQ506" s="770"/>
      <c r="DR506" s="770"/>
      <c r="DS506" s="307"/>
      <c r="DT506" s="770"/>
      <c r="DU506" s="770"/>
      <c r="DV506" s="770"/>
      <c r="DW506" s="306"/>
      <c r="DX506" s="306"/>
      <c r="DY506" s="770"/>
      <c r="DZ506" s="770"/>
      <c r="EA506" s="770"/>
      <c r="EB506" s="770"/>
      <c r="EC506" s="770"/>
      <c r="ED506" s="770"/>
      <c r="EE506" s="770"/>
      <c r="EF506" s="770"/>
      <c r="EG506" s="770"/>
      <c r="EH506" s="770"/>
      <c r="EI506" s="770"/>
      <c r="EJ506" s="770"/>
      <c r="EK506" s="770"/>
      <c r="EL506" s="770"/>
      <c r="EM506" s="770"/>
      <c r="EN506" s="770"/>
      <c r="EO506" s="770"/>
      <c r="EP506" s="94"/>
      <c r="EQ506" s="770"/>
      <c r="ER506" s="770"/>
      <c r="ES506" s="770"/>
      <c r="ET506" s="770"/>
      <c r="EU506" s="770"/>
      <c r="EV506" s="770"/>
      <c r="EW506" s="770"/>
      <c r="EX506" s="770"/>
      <c r="EY506" s="770"/>
      <c r="EZ506" s="770"/>
      <c r="FA506" s="770"/>
      <c r="FB506" s="770"/>
      <c r="FC506" s="770"/>
      <c r="FD506" s="302"/>
      <c r="FE506" s="770"/>
      <c r="FF506" s="770"/>
      <c r="FG506" s="770"/>
      <c r="FH506" s="770" t="s">
        <v>478</v>
      </c>
      <c r="FI506" s="770">
        <v>1</v>
      </c>
      <c r="FJ506" s="770"/>
      <c r="FK506" s="770"/>
      <c r="FL506" s="770"/>
      <c r="FM506" s="302"/>
      <c r="FN506" s="302"/>
      <c r="FO506" s="302"/>
      <c r="FP506" s="766" t="s">
        <v>1602</v>
      </c>
      <c r="FQ506" s="766" t="s">
        <v>1660</v>
      </c>
      <c r="FR506" s="770" t="s">
        <v>1214</v>
      </c>
      <c r="FS506" s="770"/>
      <c r="FT506" s="770"/>
      <c r="FU506" s="770"/>
      <c r="FV506" s="770"/>
      <c r="FW506" s="770"/>
      <c r="FX506" s="770"/>
      <c r="FY506" s="770"/>
      <c r="FZ506" s="770"/>
      <c r="GA506" s="770"/>
      <c r="GB506" s="770"/>
      <c r="GC506" s="308"/>
      <c r="GD506" s="297"/>
      <c r="GE506" s="770" t="s">
        <v>1214</v>
      </c>
      <c r="GF506" s="302"/>
      <c r="GG506" s="302"/>
      <c r="GH506" s="712" t="s">
        <v>14260</v>
      </c>
      <c r="GI506" s="770"/>
      <c r="GJ506" s="770"/>
      <c r="GK506" s="770"/>
      <c r="GL506" s="770"/>
      <c r="GM506" s="770"/>
      <c r="GN506" s="299"/>
      <c r="GO506" s="770"/>
      <c r="GP506" s="770"/>
      <c r="GQ506" s="770"/>
      <c r="GR506" s="770"/>
      <c r="GS506" s="770"/>
      <c r="GT506" s="770"/>
      <c r="GU506" s="770"/>
      <c r="GV506" s="770"/>
      <c r="GW506" s="770"/>
      <c r="GX506" s="770"/>
      <c r="GY506" s="770"/>
      <c r="GZ506" s="770"/>
      <c r="HA506" s="770"/>
      <c r="HB506" s="770"/>
      <c r="HC506" s="770"/>
      <c r="HD506" s="770"/>
      <c r="HE506" s="770"/>
      <c r="HF506" s="770"/>
      <c r="HG506" s="770"/>
      <c r="HH506" s="770"/>
      <c r="HI506" s="770" t="s">
        <v>1214</v>
      </c>
      <c r="HJ506" s="770"/>
      <c r="HK506" s="770"/>
      <c r="HL506" s="770" t="s">
        <v>1214</v>
      </c>
      <c r="HM506" s="770"/>
      <c r="HN506" s="770"/>
      <c r="HO506" s="770"/>
      <c r="HP506" s="770"/>
      <c r="HQ506" s="770"/>
      <c r="HR506" s="770"/>
      <c r="HS506" s="770"/>
      <c r="HT506" s="770"/>
      <c r="HU506" s="770"/>
      <c r="HV506" s="770"/>
      <c r="HW506" s="770"/>
      <c r="HX506" s="770"/>
      <c r="HY506" s="770"/>
      <c r="HZ506" s="770"/>
      <c r="IA506" s="770"/>
      <c r="IB506" s="14" t="e">
        <f>IF(#REF!&gt;0,IF(#REF!&lt;=10000,"Y",""),"")</f>
        <v>#REF!</v>
      </c>
      <c r="IC506" s="770"/>
      <c r="ID506" s="770"/>
      <c r="IE506" s="770"/>
      <c r="IF506" s="770"/>
      <c r="IG506" s="770"/>
      <c r="IH506" s="770"/>
      <c r="II506" s="770"/>
      <c r="IJ506" s="770"/>
      <c r="IK506" s="770"/>
      <c r="IL506" s="770"/>
      <c r="IM506" s="770"/>
      <c r="IN506" s="770"/>
      <c r="IO506" s="296"/>
      <c r="IP506" s="770"/>
      <c r="IQ506" s="770"/>
      <c r="IR506" s="770"/>
      <c r="IS506" s="770"/>
      <c r="IT506" s="770"/>
      <c r="IU506" s="770"/>
      <c r="IV506" s="770"/>
      <c r="IW506" s="770"/>
      <c r="IX506" s="770"/>
      <c r="IY506" s="770"/>
      <c r="IZ506" s="770"/>
      <c r="JA506" s="770"/>
      <c r="JB506" s="770"/>
      <c r="JC506" s="770"/>
      <c r="JD506" s="302"/>
      <c r="JE506" s="770"/>
      <c r="JF506" s="770"/>
      <c r="JG506" s="770"/>
      <c r="JH506" s="307"/>
      <c r="JI506" s="307"/>
      <c r="JJ506" s="770">
        <v>5</v>
      </c>
      <c r="JK506" s="1139" t="s">
        <v>3582</v>
      </c>
      <c r="JL506" s="770">
        <v>1</v>
      </c>
      <c r="JM506" s="770">
        <v>2</v>
      </c>
      <c r="JN506" s="770">
        <v>1</v>
      </c>
      <c r="JO506" s="770">
        <v>1</v>
      </c>
      <c r="JP506" s="770"/>
      <c r="JQ506" s="770"/>
      <c r="JR506" s="770"/>
      <c r="JS506" s="770"/>
      <c r="JT506" s="766">
        <f t="shared" si="137"/>
        <v>2</v>
      </c>
      <c r="JU506" s="766">
        <f t="shared" si="137"/>
        <v>3</v>
      </c>
      <c r="JV506" s="712" t="str">
        <f t="shared" si="140"/>
        <v>ok</v>
      </c>
      <c r="JW506" s="712" t="str">
        <f t="shared" si="141"/>
        <v>ok</v>
      </c>
      <c r="JX506" s="770"/>
      <c r="JY506" s="770">
        <v>1</v>
      </c>
      <c r="JZ506" s="770">
        <v>1</v>
      </c>
      <c r="KA506" s="770">
        <v>1</v>
      </c>
      <c r="KB506" s="770"/>
      <c r="KC506" s="770">
        <v>1</v>
      </c>
      <c r="KD506" s="770">
        <v>1</v>
      </c>
      <c r="KE506" s="770"/>
      <c r="KF506" s="770"/>
      <c r="KG506" s="770"/>
      <c r="KH506" s="770"/>
      <c r="KI506" s="770"/>
      <c r="KJ506" s="770">
        <f t="shared" si="126"/>
        <v>2</v>
      </c>
      <c r="KK506" s="770">
        <f t="shared" si="126"/>
        <v>3</v>
      </c>
      <c r="KL506" s="712" t="str">
        <f t="shared" si="142"/>
        <v>ok</v>
      </c>
      <c r="KM506" s="712" t="str">
        <f t="shared" si="143"/>
        <v>ok</v>
      </c>
      <c r="KN506" s="770" t="s">
        <v>722</v>
      </c>
      <c r="KO506" s="770"/>
      <c r="KP506" s="770"/>
      <c r="KQ506" s="770">
        <v>1</v>
      </c>
      <c r="KR506" s="770"/>
      <c r="KS506" s="770"/>
      <c r="KT506" s="770">
        <v>1</v>
      </c>
      <c r="KU506" s="770">
        <v>1</v>
      </c>
      <c r="KV506" s="770"/>
      <c r="KW506" s="770"/>
      <c r="KX506" s="770">
        <v>1</v>
      </c>
      <c r="KY506" s="770">
        <v>1</v>
      </c>
      <c r="KZ506" s="770"/>
      <c r="LA506" s="770"/>
      <c r="LB506" s="770"/>
      <c r="LC506" s="770"/>
      <c r="LD506" s="770"/>
      <c r="LE506" s="770"/>
      <c r="LF506" s="770"/>
      <c r="LG506" s="770"/>
      <c r="LH506" s="770"/>
      <c r="LI506" s="770"/>
      <c r="LJ506" s="770"/>
      <c r="LK506" s="770"/>
      <c r="LL506" s="770"/>
      <c r="LM506" s="770"/>
      <c r="LN506" s="766">
        <f t="shared" si="134"/>
        <v>2</v>
      </c>
      <c r="LO506" s="766">
        <f t="shared" si="134"/>
        <v>3</v>
      </c>
      <c r="LP506" s="770">
        <v>1</v>
      </c>
      <c r="LQ506" s="770"/>
      <c r="LR506" s="770">
        <v>1</v>
      </c>
      <c r="LS506" s="770"/>
      <c r="LT506" s="712" t="str">
        <f t="shared" si="144"/>
        <v>OK</v>
      </c>
      <c r="LU506" s="770"/>
      <c r="LV506" s="770"/>
      <c r="LW506" s="770"/>
      <c r="LX506" s="769">
        <v>1</v>
      </c>
      <c r="LY506" s="766" t="str">
        <f t="shared" si="135"/>
        <v>within the BRGY</v>
      </c>
      <c r="LZ506" s="1709"/>
      <c r="MA506" s="1709"/>
      <c r="MB506" s="1709"/>
      <c r="MC506" s="1679">
        <f t="shared" si="133"/>
        <v>0</v>
      </c>
      <c r="MD506" s="1709"/>
      <c r="ME506" s="1709">
        <v>3000</v>
      </c>
      <c r="MF506" s="1709"/>
      <c r="MG506" s="1680">
        <f t="shared" si="145"/>
        <v>3000</v>
      </c>
      <c r="MH506" s="770" t="s">
        <v>13510</v>
      </c>
      <c r="MI506" s="302">
        <v>1200</v>
      </c>
      <c r="MJ506" s="302">
        <v>1500</v>
      </c>
      <c r="MK506" s="302">
        <v>34</v>
      </c>
      <c r="ML506" s="302"/>
      <c r="MM506" s="302">
        <v>16</v>
      </c>
      <c r="MN506" s="302"/>
      <c r="MO506" s="302"/>
      <c r="MP506" s="302"/>
      <c r="MQ506" s="302"/>
      <c r="MR506" s="302">
        <v>600</v>
      </c>
      <c r="MS506" s="302"/>
      <c r="MT506" s="302"/>
      <c r="MU506" s="302"/>
      <c r="MV506" s="302"/>
      <c r="MW506" s="302"/>
      <c r="MX506" s="302"/>
      <c r="MY506" s="1682">
        <f t="shared" si="122"/>
        <v>3350</v>
      </c>
      <c r="MZ506" s="770" t="s">
        <v>13666</v>
      </c>
      <c r="NA506" s="770" t="s">
        <v>13065</v>
      </c>
      <c r="NB506" s="770" t="s">
        <v>13033</v>
      </c>
      <c r="NC506" s="770" t="s">
        <v>1835</v>
      </c>
      <c r="ND506" s="770"/>
      <c r="NE506" s="770"/>
      <c r="NF506" s="770"/>
      <c r="NG506" s="770"/>
      <c r="NH506" s="770"/>
      <c r="NI506" s="770"/>
      <c r="NJ506" s="770"/>
      <c r="NK506" s="770"/>
      <c r="NL506" s="770"/>
      <c r="NM506" s="770"/>
      <c r="NN506" s="770"/>
      <c r="NO506" s="770"/>
      <c r="NP506" s="770"/>
      <c r="NQ506" s="770"/>
      <c r="NR506" s="770"/>
      <c r="NS506" s="770"/>
      <c r="NT506" s="770"/>
      <c r="NU506" s="770"/>
      <c r="NV506" s="770"/>
      <c r="NW506" s="770"/>
      <c r="NX506" s="770"/>
      <c r="NY506" s="770" t="s">
        <v>1208</v>
      </c>
      <c r="NZ506" s="770" t="s">
        <v>1208</v>
      </c>
      <c r="OA506" s="770"/>
      <c r="OB506" s="770"/>
      <c r="OC506" s="770" t="s">
        <v>1208</v>
      </c>
      <c r="OD506" s="770"/>
      <c r="OE506" s="770"/>
      <c r="OF506" s="770" t="s">
        <v>2143</v>
      </c>
      <c r="OG506" s="770"/>
      <c r="OH506" s="770"/>
      <c r="OI506" s="770"/>
      <c r="OJ506" s="770"/>
      <c r="OK506" s="770"/>
      <c r="OL506" s="770"/>
      <c r="OM506" s="770"/>
      <c r="ON506" s="770"/>
      <c r="OO506" s="770"/>
      <c r="OP506" s="770"/>
      <c r="OQ506" s="770"/>
      <c r="OR506" s="770"/>
      <c r="OS506" s="770"/>
      <c r="OT506" s="770"/>
      <c r="OU506" s="770"/>
      <c r="OV506" s="770"/>
      <c r="OW506" s="770"/>
      <c r="OX506" s="770"/>
      <c r="OY506" s="770"/>
      <c r="OZ506" s="770"/>
      <c r="PA506" s="770"/>
      <c r="PB506" s="770"/>
      <c r="PC506" s="770"/>
      <c r="PD506" s="770"/>
      <c r="PE506" s="770"/>
      <c r="PF506" s="770"/>
      <c r="PG506" s="770"/>
      <c r="PH506" s="770"/>
      <c r="PI506" s="770"/>
      <c r="PJ506" s="770"/>
      <c r="PK506" s="770"/>
      <c r="PL506" s="770"/>
      <c r="PM506" s="770"/>
      <c r="PN506" s="770"/>
      <c r="PO506" s="770"/>
      <c r="PP506" s="770"/>
      <c r="PQ506" s="770"/>
      <c r="PR506" s="770"/>
      <c r="PS506" s="770"/>
      <c r="PT506" s="770"/>
      <c r="PU506" s="770"/>
      <c r="PV506" s="770"/>
      <c r="PW506" s="770"/>
      <c r="PX506" s="770"/>
      <c r="PY506" s="770"/>
      <c r="PZ506" s="770"/>
      <c r="QA506" s="770"/>
      <c r="QB506" s="770"/>
      <c r="QC506" s="770"/>
      <c r="QD506" s="770"/>
      <c r="QE506" s="770"/>
      <c r="QF506" s="770"/>
      <c r="QG506" s="770"/>
      <c r="QH506" s="770"/>
      <c r="QI506" s="770"/>
      <c r="QJ506" s="770"/>
      <c r="QK506" s="770"/>
      <c r="QL506" s="770"/>
      <c r="QM506" s="770"/>
      <c r="QN506" s="770"/>
      <c r="QO506" s="770"/>
      <c r="QP506" s="770"/>
      <c r="QQ506" s="770"/>
      <c r="QR506" s="770"/>
      <c r="QS506" s="770"/>
      <c r="QT506" s="770"/>
      <c r="QU506" s="770"/>
      <c r="QV506" s="770"/>
      <c r="QW506" s="770"/>
      <c r="QX506" s="770"/>
      <c r="QY506" s="770"/>
      <c r="QZ506" s="770"/>
      <c r="RA506" s="770"/>
      <c r="RB506" s="770" t="s">
        <v>1207</v>
      </c>
      <c r="RC506" s="770">
        <v>2016</v>
      </c>
      <c r="RD506" s="770"/>
      <c r="RE506" s="770" t="s">
        <v>12999</v>
      </c>
      <c r="RF506" s="304">
        <v>1</v>
      </c>
      <c r="RG506" s="770" t="s">
        <v>13047</v>
      </c>
      <c r="RH506" s="302">
        <v>540</v>
      </c>
      <c r="RI506" s="770">
        <v>2</v>
      </c>
      <c r="RJ506" s="770" t="s">
        <v>13667</v>
      </c>
      <c r="RK506" s="770" t="s">
        <v>13550</v>
      </c>
      <c r="RL506" s="1710"/>
      <c r="RM506" s="12"/>
      <c r="RN506" s="1711"/>
      <c r="RO506" s="132" t="s">
        <v>3581</v>
      </c>
      <c r="RP506" s="11"/>
      <c r="RQ506" s="11"/>
      <c r="RR506" s="19" t="s">
        <v>7421</v>
      </c>
      <c r="RS506" s="1139" t="s">
        <v>12980</v>
      </c>
      <c r="RT506" s="11"/>
      <c r="RU506" s="11"/>
      <c r="RV506" s="771" t="s">
        <v>7421</v>
      </c>
      <c r="RW506" s="11" t="s">
        <v>7784</v>
      </c>
      <c r="RX506" s="11" t="s">
        <v>3571</v>
      </c>
      <c r="RY506" s="11"/>
      <c r="RZ506" s="11" t="s">
        <v>1101</v>
      </c>
      <c r="SA506" s="771"/>
      <c r="SB506" s="11"/>
      <c r="SC506" s="11"/>
    </row>
    <row r="507" spans="1:497" ht="12.75" customHeight="1">
      <c r="A507" s="19" t="s">
        <v>7421</v>
      </c>
      <c r="B507" s="752" t="s">
        <v>7700</v>
      </c>
      <c r="C507" s="132" t="s">
        <v>3429</v>
      </c>
      <c r="D507" s="94" t="s">
        <v>3430</v>
      </c>
      <c r="E507" s="770" t="s">
        <v>3610</v>
      </c>
      <c r="F507" s="770" t="s">
        <v>20</v>
      </c>
      <c r="G507" s="770" t="s">
        <v>18</v>
      </c>
      <c r="H507" s="770"/>
      <c r="I507" s="295" t="s">
        <v>3431</v>
      </c>
      <c r="J507" s="94" t="s">
        <v>3432</v>
      </c>
      <c r="K507" s="766" t="s">
        <v>3433</v>
      </c>
      <c r="L507" s="766" t="s">
        <v>3434</v>
      </c>
      <c r="M507" s="770" t="s">
        <v>1238</v>
      </c>
      <c r="N507" s="770"/>
      <c r="O507" s="770" t="s">
        <v>2922</v>
      </c>
      <c r="P507" s="94" t="s">
        <v>3432</v>
      </c>
      <c r="Q507" s="1088">
        <v>35676</v>
      </c>
      <c r="R507" s="297">
        <v>20</v>
      </c>
      <c r="S507" s="770" t="s">
        <v>10</v>
      </c>
      <c r="T507" s="770"/>
      <c r="U507" s="295"/>
      <c r="V507" s="770" t="s">
        <v>722</v>
      </c>
      <c r="W507" s="770"/>
      <c r="X507" s="770"/>
      <c r="Y507" s="770" t="s">
        <v>3610</v>
      </c>
      <c r="Z507" s="770" t="s">
        <v>708</v>
      </c>
      <c r="AA507" s="770" t="s">
        <v>709</v>
      </c>
      <c r="AB507" s="770" t="s">
        <v>710</v>
      </c>
      <c r="AC507" s="770" t="s">
        <v>724</v>
      </c>
      <c r="AD507" s="770" t="s">
        <v>711</v>
      </c>
      <c r="AE507" s="770"/>
      <c r="AF507" s="770" t="s">
        <v>712</v>
      </c>
      <c r="AG507" s="766" t="s">
        <v>1132</v>
      </c>
      <c r="AH507" s="766" t="s">
        <v>1096</v>
      </c>
      <c r="AI507" s="770"/>
      <c r="AJ507" s="770" t="s">
        <v>1137</v>
      </c>
      <c r="AK507" s="770" t="s">
        <v>1101</v>
      </c>
      <c r="AL507" s="531">
        <v>15.281000000000001</v>
      </c>
      <c r="AM507" s="780">
        <v>8.26</v>
      </c>
      <c r="AN507" s="532">
        <f t="shared" si="139"/>
        <v>0.54054054054054046</v>
      </c>
      <c r="AO507" s="766" t="s">
        <v>1105</v>
      </c>
      <c r="AP507" s="766"/>
      <c r="AQ507" s="766"/>
      <c r="AR507" s="766"/>
      <c r="AS507" s="770"/>
      <c r="AT507" s="770"/>
      <c r="AU507" s="770"/>
      <c r="AV507" s="770"/>
      <c r="AW507" s="770"/>
      <c r="AX507" s="770"/>
      <c r="AY507" s="770"/>
      <c r="AZ507" s="770"/>
      <c r="BA507" s="770"/>
      <c r="BB507" s="770"/>
      <c r="BC507" s="770"/>
      <c r="BD507" s="770"/>
      <c r="BE507" s="770"/>
      <c r="BF507" s="302"/>
      <c r="BG507" s="302"/>
      <c r="BH507" s="770"/>
      <c r="BI507" s="770"/>
      <c r="BJ507" s="770"/>
      <c r="BK507" s="770" t="s">
        <v>1095</v>
      </c>
      <c r="BL507" s="770" t="s">
        <v>3435</v>
      </c>
      <c r="BM507" s="766" t="s">
        <v>1096</v>
      </c>
      <c r="BN507" s="770" t="s">
        <v>1230</v>
      </c>
      <c r="BO507" s="766" t="s">
        <v>1246</v>
      </c>
      <c r="BP507" s="1109">
        <v>15.281000000000001</v>
      </c>
      <c r="BQ507" s="773">
        <v>8.26</v>
      </c>
      <c r="BR507" s="774">
        <f t="shared" si="136"/>
        <v>0.54054054054054046</v>
      </c>
      <c r="BS507" s="766" t="s">
        <v>1105</v>
      </c>
      <c r="BT507" s="770" t="s">
        <v>8133</v>
      </c>
      <c r="BU507" s="770" t="s">
        <v>1249</v>
      </c>
      <c r="BV507" s="770" t="s">
        <v>1247</v>
      </c>
      <c r="BW507" s="770" t="s">
        <v>2746</v>
      </c>
      <c r="BX507" s="302"/>
      <c r="BY507" s="770" t="s">
        <v>1207</v>
      </c>
      <c r="BZ507" s="302"/>
      <c r="CA507" s="770"/>
      <c r="CB507" s="770"/>
      <c r="CC507" s="770"/>
      <c r="CD507" s="770"/>
      <c r="CE507" s="770"/>
      <c r="CF507" s="1753"/>
      <c r="CG507" s="1754"/>
      <c r="CH507" s="770"/>
      <c r="CI507" s="770"/>
      <c r="CJ507" s="770"/>
      <c r="CK507" s="770"/>
      <c r="CL507" s="770"/>
      <c r="CM507" s="770"/>
      <c r="CN507" s="770"/>
      <c r="CO507" s="770"/>
      <c r="CP507" s="770"/>
      <c r="CQ507" s="770"/>
      <c r="CR507" s="302"/>
      <c r="CS507" s="770"/>
      <c r="CT507" s="770"/>
      <c r="CU507" s="305"/>
      <c r="CV507" s="770"/>
      <c r="CW507" s="770"/>
      <c r="CX507" s="770"/>
      <c r="CY507" s="770"/>
      <c r="CZ507" s="770"/>
      <c r="DA507" s="306"/>
      <c r="DB507" s="770"/>
      <c r="DC507" s="770"/>
      <c r="DD507" s="770"/>
      <c r="DE507" s="300"/>
      <c r="DF507" s="770"/>
      <c r="DG507" s="770"/>
      <c r="DH507" s="770"/>
      <c r="DI507" s="770"/>
      <c r="DJ507" s="770"/>
      <c r="DK507" s="770"/>
      <c r="DL507" s="770"/>
      <c r="DM507" s="770"/>
      <c r="DN507" s="322"/>
      <c r="DO507" s="770"/>
      <c r="DP507" s="770"/>
      <c r="DQ507" s="770"/>
      <c r="DR507" s="770"/>
      <c r="DS507" s="307"/>
      <c r="DT507" s="770"/>
      <c r="DU507" s="770"/>
      <c r="DV507" s="770"/>
      <c r="DW507" s="306"/>
      <c r="DX507" s="306"/>
      <c r="DY507" s="770"/>
      <c r="DZ507" s="770"/>
      <c r="EA507" s="770"/>
      <c r="EB507" s="770"/>
      <c r="EC507" s="770"/>
      <c r="ED507" s="770"/>
      <c r="EE507" s="770"/>
      <c r="EF507" s="770"/>
      <c r="EG507" s="770"/>
      <c r="EH507" s="770"/>
      <c r="EI507" s="770"/>
      <c r="EJ507" s="770"/>
      <c r="EK507" s="770"/>
      <c r="EL507" s="770"/>
      <c r="EM507" s="770"/>
      <c r="EN507" s="770"/>
      <c r="EO507" s="770"/>
      <c r="EP507" s="94"/>
      <c r="EQ507" s="770"/>
      <c r="ER507" s="770"/>
      <c r="ES507" s="770"/>
      <c r="ET507" s="770"/>
      <c r="EU507" s="770"/>
      <c r="EV507" s="770"/>
      <c r="EW507" s="770"/>
      <c r="EX507" s="770"/>
      <c r="EY507" s="770"/>
      <c r="EZ507" s="770"/>
      <c r="FA507" s="770"/>
      <c r="FB507" s="770"/>
      <c r="FC507" s="770"/>
      <c r="FD507" s="302"/>
      <c r="FE507" s="770"/>
      <c r="FF507" s="770"/>
      <c r="FG507" s="770"/>
      <c r="FH507" s="770" t="s">
        <v>478</v>
      </c>
      <c r="FI507" s="770">
        <v>1</v>
      </c>
      <c r="FJ507" s="770"/>
      <c r="FK507" s="770"/>
      <c r="FL507" s="770"/>
      <c r="FM507" s="775"/>
      <c r="FN507" s="302">
        <v>0</v>
      </c>
      <c r="FO507" s="302">
        <v>500</v>
      </c>
      <c r="FP507" s="766" t="s">
        <v>1602</v>
      </c>
      <c r="FQ507" s="766" t="s">
        <v>1660</v>
      </c>
      <c r="FR507" s="770" t="s">
        <v>1214</v>
      </c>
      <c r="FS507" s="770"/>
      <c r="FT507" s="770"/>
      <c r="FU507" s="770"/>
      <c r="FV507" s="770"/>
      <c r="FW507" s="770"/>
      <c r="FX507" s="770"/>
      <c r="FY507" s="770"/>
      <c r="FZ507" s="770"/>
      <c r="GA507" s="770"/>
      <c r="GB507" s="770"/>
      <c r="GC507" s="308"/>
      <c r="GD507" s="297"/>
      <c r="GE507" s="770" t="s">
        <v>1214</v>
      </c>
      <c r="GF507" s="302"/>
      <c r="GG507" s="302"/>
      <c r="GH507" s="712" t="s">
        <v>14260</v>
      </c>
      <c r="GI507" s="770"/>
      <c r="GJ507" s="770"/>
      <c r="GK507" s="770"/>
      <c r="GL507" s="770"/>
      <c r="GM507" s="770"/>
      <c r="GN507" s="299"/>
      <c r="GO507" s="770"/>
      <c r="GP507" s="770"/>
      <c r="GQ507" s="770"/>
      <c r="GR507" s="770"/>
      <c r="GS507" s="770"/>
      <c r="GT507" s="770"/>
      <c r="GU507" s="770"/>
      <c r="GV507" s="770"/>
      <c r="GW507" s="770"/>
      <c r="GX507" s="770"/>
      <c r="GY507" s="770"/>
      <c r="GZ507" s="770"/>
      <c r="HA507" s="770"/>
      <c r="HB507" s="770"/>
      <c r="HC507" s="770"/>
      <c r="HD507" s="770"/>
      <c r="HE507" s="770"/>
      <c r="HF507" s="770"/>
      <c r="HG507" s="770"/>
      <c r="HH507" s="770"/>
      <c r="HI507" s="770" t="s">
        <v>1214</v>
      </c>
      <c r="HJ507" s="770"/>
      <c r="HK507" s="770"/>
      <c r="HL507" s="770"/>
      <c r="HM507" s="770"/>
      <c r="HN507" s="770"/>
      <c r="HO507" s="770"/>
      <c r="HP507" s="770"/>
      <c r="HQ507" s="770"/>
      <c r="HR507" s="770"/>
      <c r="HS507" s="770"/>
      <c r="HT507" s="770"/>
      <c r="HU507" s="770"/>
      <c r="HV507" s="770"/>
      <c r="HW507" s="770"/>
      <c r="HX507" s="770"/>
      <c r="HY507" s="770"/>
      <c r="HZ507" s="770"/>
      <c r="IA507" s="770"/>
      <c r="IB507" s="14" t="e">
        <f>IF(#REF!&gt;0,IF(#REF!&lt;=10000,"Y",""),"")</f>
        <v>#REF!</v>
      </c>
      <c r="IC507" s="770"/>
      <c r="ID507" s="770"/>
      <c r="IE507" s="770"/>
      <c r="IF507" s="770"/>
      <c r="IG507" s="770"/>
      <c r="IH507" s="770"/>
      <c r="II507" s="770"/>
      <c r="IJ507" s="770"/>
      <c r="IK507" s="770"/>
      <c r="IL507" s="770"/>
      <c r="IM507" s="770"/>
      <c r="IN507" s="770"/>
      <c r="IO507" s="296"/>
      <c r="IP507" s="770"/>
      <c r="IQ507" s="770"/>
      <c r="IR507" s="770"/>
      <c r="IS507" s="770"/>
      <c r="IT507" s="770"/>
      <c r="IU507" s="770"/>
      <c r="IV507" s="770"/>
      <c r="IW507" s="770"/>
      <c r="IX507" s="770"/>
      <c r="IY507" s="770"/>
      <c r="IZ507" s="770"/>
      <c r="JA507" s="770"/>
      <c r="JB507" s="770"/>
      <c r="JC507" s="770"/>
      <c r="JD507" s="302"/>
      <c r="JE507" s="770"/>
      <c r="JF507" s="770"/>
      <c r="JG507" s="770"/>
      <c r="JH507" s="307"/>
      <c r="JI507" s="307"/>
      <c r="JJ507" s="770">
        <v>3</v>
      </c>
      <c r="JK507" s="1139" t="s">
        <v>3435</v>
      </c>
      <c r="JL507" s="766">
        <v>1</v>
      </c>
      <c r="JM507" s="766"/>
      <c r="JN507" s="766">
        <v>1</v>
      </c>
      <c r="JO507" s="766">
        <v>1</v>
      </c>
      <c r="JP507" s="766"/>
      <c r="JQ507" s="766"/>
      <c r="JR507" s="766"/>
      <c r="JS507" s="766"/>
      <c r="JT507" s="766">
        <f t="shared" si="137"/>
        <v>2</v>
      </c>
      <c r="JU507" s="766">
        <f t="shared" si="137"/>
        <v>1</v>
      </c>
      <c r="JV507" s="712" t="str">
        <f t="shared" si="140"/>
        <v>ok</v>
      </c>
      <c r="JW507" s="712" t="str">
        <f t="shared" si="141"/>
        <v>ok</v>
      </c>
      <c r="JX507" s="13">
        <v>1</v>
      </c>
      <c r="JY507" s="13"/>
      <c r="JZ507" s="13"/>
      <c r="KA507" s="13"/>
      <c r="KB507" s="13">
        <v>1</v>
      </c>
      <c r="KC507" s="13">
        <v>1</v>
      </c>
      <c r="KD507" s="13"/>
      <c r="KE507" s="13"/>
      <c r="KF507" s="13"/>
      <c r="KG507" s="13"/>
      <c r="KH507" s="13"/>
      <c r="KI507" s="13"/>
      <c r="KJ507" s="770">
        <f>SUM(KF507,KD507,KB507,JZ507,JX507,KH507)</f>
        <v>2</v>
      </c>
      <c r="KK507" s="770">
        <f>SUM(KG507,KE507,KC507,KA507,JY507,KI507)</f>
        <v>1</v>
      </c>
      <c r="KL507" s="712" t="str">
        <f t="shared" si="142"/>
        <v>ok</v>
      </c>
      <c r="KM507" s="712" t="str">
        <f t="shared" si="143"/>
        <v>ok</v>
      </c>
      <c r="KN507" s="770" t="s">
        <v>722</v>
      </c>
      <c r="KO507" s="770"/>
      <c r="KP507" s="770"/>
      <c r="KQ507" s="770"/>
      <c r="KR507" s="770"/>
      <c r="KS507" s="770"/>
      <c r="KT507" s="770"/>
      <c r="KU507" s="770"/>
      <c r="KV507" s="770"/>
      <c r="KW507" s="770"/>
      <c r="KX507" s="770"/>
      <c r="KY507" s="770"/>
      <c r="KZ507" s="770"/>
      <c r="LA507" s="770"/>
      <c r="LB507" s="770">
        <v>1</v>
      </c>
      <c r="LC507" s="770">
        <v>1</v>
      </c>
      <c r="LD507" s="770"/>
      <c r="LE507" s="770"/>
      <c r="LF507" s="770"/>
      <c r="LG507" s="770"/>
      <c r="LH507" s="770"/>
      <c r="LI507" s="770"/>
      <c r="LJ507" s="770">
        <v>1</v>
      </c>
      <c r="LK507" s="770"/>
      <c r="LL507" s="770"/>
      <c r="LM507" s="770"/>
      <c r="LN507" s="766">
        <f t="shared" si="134"/>
        <v>2</v>
      </c>
      <c r="LO507" s="766">
        <f t="shared" si="134"/>
        <v>1</v>
      </c>
      <c r="LP507" s="770">
        <v>1</v>
      </c>
      <c r="LQ507" s="770">
        <v>1</v>
      </c>
      <c r="LR507" s="770"/>
      <c r="LS507" s="770"/>
      <c r="LT507" s="712" t="str">
        <f t="shared" si="144"/>
        <v>OK</v>
      </c>
      <c r="LU507" s="770"/>
      <c r="LV507" s="770">
        <v>1</v>
      </c>
      <c r="LW507" s="770"/>
      <c r="LX507" s="769">
        <v>3</v>
      </c>
      <c r="LY507" s="766" t="str">
        <f t="shared" si="135"/>
        <v>within the PROVINCE</v>
      </c>
      <c r="LZ507" s="1709">
        <v>100</v>
      </c>
      <c r="MA507" s="1709"/>
      <c r="MB507" s="1709"/>
      <c r="MC507" s="1679">
        <f t="shared" si="133"/>
        <v>100</v>
      </c>
      <c r="MD507" s="1709">
        <v>16000</v>
      </c>
      <c r="ME507" s="1709"/>
      <c r="MF507" s="1709"/>
      <c r="MG507" s="1680">
        <f t="shared" si="145"/>
        <v>16000</v>
      </c>
      <c r="MH507" s="770" t="s">
        <v>3437</v>
      </c>
      <c r="MI507" s="302">
        <v>7500</v>
      </c>
      <c r="MJ507" s="302">
        <v>3000</v>
      </c>
      <c r="MK507" s="302">
        <v>300</v>
      </c>
      <c r="ML507" s="302">
        <v>500</v>
      </c>
      <c r="MM507" s="302"/>
      <c r="MN507" s="302"/>
      <c r="MO507" s="302">
        <v>2200</v>
      </c>
      <c r="MP507" s="302">
        <v>500</v>
      </c>
      <c r="MQ507" s="302">
        <v>300</v>
      </c>
      <c r="MR507" s="302"/>
      <c r="MS507" s="302">
        <v>300</v>
      </c>
      <c r="MT507" s="302"/>
      <c r="MU507" s="302"/>
      <c r="MV507" s="302"/>
      <c r="MW507" s="302"/>
      <c r="MX507" s="302"/>
      <c r="MY507" s="1682">
        <f t="shared" si="122"/>
        <v>14600</v>
      </c>
      <c r="MZ507" s="770" t="s">
        <v>13395</v>
      </c>
      <c r="NA507" s="770" t="s">
        <v>13005</v>
      </c>
      <c r="NB507" s="770" t="s">
        <v>13033</v>
      </c>
      <c r="NC507" s="770" t="s">
        <v>13602</v>
      </c>
      <c r="ND507" s="770">
        <v>0</v>
      </c>
      <c r="NE507" s="770">
        <v>0</v>
      </c>
      <c r="NF507" s="770">
        <v>1</v>
      </c>
      <c r="NG507" s="770">
        <v>1</v>
      </c>
      <c r="NH507" s="770">
        <v>1</v>
      </c>
      <c r="NI507" s="770">
        <v>0</v>
      </c>
      <c r="NJ507" s="770">
        <v>1</v>
      </c>
      <c r="NK507" s="770">
        <v>0</v>
      </c>
      <c r="NL507" s="770">
        <v>1</v>
      </c>
      <c r="NM507" s="770">
        <v>0</v>
      </c>
      <c r="NN507" s="770">
        <v>0</v>
      </c>
      <c r="NO507" s="770">
        <v>0</v>
      </c>
      <c r="NP507" s="770">
        <v>0</v>
      </c>
      <c r="NQ507" s="770">
        <v>0</v>
      </c>
      <c r="NR507" s="770">
        <v>0</v>
      </c>
      <c r="NS507" s="770">
        <v>0</v>
      </c>
      <c r="NT507" s="770">
        <v>0</v>
      </c>
      <c r="NU507" s="770">
        <v>0</v>
      </c>
      <c r="NV507" s="770">
        <v>0</v>
      </c>
      <c r="NW507" s="770">
        <v>0</v>
      </c>
      <c r="NX507" s="770">
        <v>0</v>
      </c>
      <c r="NY507" s="770" t="s">
        <v>1208</v>
      </c>
      <c r="NZ507" s="770"/>
      <c r="OA507" s="770" t="s">
        <v>1208</v>
      </c>
      <c r="OB507" s="770" t="s">
        <v>1208</v>
      </c>
      <c r="OC507" s="770" t="s">
        <v>1208</v>
      </c>
      <c r="OD507" s="770" t="s">
        <v>1208</v>
      </c>
      <c r="OE507" s="770"/>
      <c r="OF507" s="770"/>
      <c r="OG507" s="770"/>
      <c r="OH507" s="770"/>
      <c r="OI507" s="770"/>
      <c r="OJ507" s="770"/>
      <c r="OK507" s="770"/>
      <c r="OL507" s="770"/>
      <c r="OM507" s="770"/>
      <c r="ON507" s="770"/>
      <c r="OO507" s="770"/>
      <c r="OP507" s="770"/>
      <c r="OQ507" s="770"/>
      <c r="OR507" s="770"/>
      <c r="OS507" s="770"/>
      <c r="OT507" s="770"/>
      <c r="OU507" s="770"/>
      <c r="OV507" s="770"/>
      <c r="OW507" s="770"/>
      <c r="OX507" s="770"/>
      <c r="OY507" s="770"/>
      <c r="OZ507" s="770"/>
      <c r="PA507" s="770"/>
      <c r="PB507" s="770"/>
      <c r="PC507" s="770"/>
      <c r="PD507" s="770"/>
      <c r="PE507" s="770"/>
      <c r="PF507" s="770"/>
      <c r="PG507" s="770"/>
      <c r="PH507" s="770"/>
      <c r="PI507" s="770" t="s">
        <v>1208</v>
      </c>
      <c r="PJ507" s="770"/>
      <c r="PK507" s="770"/>
      <c r="PL507" s="770"/>
      <c r="PM507" s="770"/>
      <c r="PN507" s="770"/>
      <c r="PO507" s="770"/>
      <c r="PP507" s="770"/>
      <c r="PQ507" s="770"/>
      <c r="PR507" s="770"/>
      <c r="PS507" s="770" t="s">
        <v>1208</v>
      </c>
      <c r="PT507" s="770" t="s">
        <v>1208</v>
      </c>
      <c r="PU507" s="770"/>
      <c r="PV507" s="770"/>
      <c r="PW507" s="770"/>
      <c r="PX507" s="770"/>
      <c r="PY507" s="770"/>
      <c r="PZ507" s="770"/>
      <c r="QA507" s="770"/>
      <c r="QB507" s="770"/>
      <c r="QC507" s="770"/>
      <c r="QD507" s="770"/>
      <c r="QE507" s="770"/>
      <c r="QF507" s="770"/>
      <c r="QG507" s="770"/>
      <c r="QH507" s="770"/>
      <c r="QI507" s="770"/>
      <c r="QJ507" s="770"/>
      <c r="QK507" s="770"/>
      <c r="QL507" s="770"/>
      <c r="QM507" s="770"/>
      <c r="QN507" s="770"/>
      <c r="QO507" s="770"/>
      <c r="QP507" s="770"/>
      <c r="QQ507" s="770"/>
      <c r="QR507" s="770"/>
      <c r="QS507" s="770"/>
      <c r="QT507" s="770"/>
      <c r="QU507" s="770"/>
      <c r="QV507" s="770"/>
      <c r="QW507" s="770"/>
      <c r="QX507" s="770"/>
      <c r="QY507" s="770"/>
      <c r="QZ507" s="770"/>
      <c r="RA507" s="770"/>
      <c r="RB507" s="770" t="s">
        <v>1207</v>
      </c>
      <c r="RC507" s="770">
        <v>2015</v>
      </c>
      <c r="RD507" s="770" t="s">
        <v>13046</v>
      </c>
      <c r="RE507" s="770" t="s">
        <v>12990</v>
      </c>
      <c r="RF507" s="304">
        <v>0.5</v>
      </c>
      <c r="RG507" s="770" t="s">
        <v>13037</v>
      </c>
      <c r="RH507" s="302">
        <v>0</v>
      </c>
      <c r="RI507" s="770">
        <v>24</v>
      </c>
      <c r="RJ507" s="770" t="s">
        <v>13668</v>
      </c>
      <c r="RK507" s="770" t="s">
        <v>13552</v>
      </c>
      <c r="RL507" s="1710"/>
      <c r="RM507" s="12"/>
      <c r="RN507" s="1711"/>
      <c r="RO507" s="132" t="s">
        <v>3429</v>
      </c>
      <c r="RP507" s="11"/>
      <c r="RQ507" s="11"/>
      <c r="RR507" s="19" t="s">
        <v>7421</v>
      </c>
      <c r="RS507" s="1139" t="s">
        <v>12980</v>
      </c>
      <c r="RT507" s="11"/>
      <c r="RU507" s="11"/>
      <c r="RV507" s="771" t="s">
        <v>7421</v>
      </c>
      <c r="RW507" s="11" t="s">
        <v>7785</v>
      </c>
      <c r="RX507" s="11" t="s">
        <v>2918</v>
      </c>
      <c r="RY507" s="11"/>
      <c r="RZ507" s="11" t="s">
        <v>1101</v>
      </c>
      <c r="SA507" s="771"/>
      <c r="SB507" s="11"/>
      <c r="SC507" s="11"/>
    </row>
    <row r="508" spans="1:497" ht="12.75" customHeight="1">
      <c r="A508" s="19" t="s">
        <v>7421</v>
      </c>
      <c r="B508" s="752" t="s">
        <v>7701</v>
      </c>
      <c r="C508" s="132" t="s">
        <v>3589</v>
      </c>
      <c r="D508" s="94" t="s">
        <v>3590</v>
      </c>
      <c r="E508" s="770" t="s">
        <v>3610</v>
      </c>
      <c r="F508" s="770" t="s">
        <v>20</v>
      </c>
      <c r="G508" s="770" t="s">
        <v>18</v>
      </c>
      <c r="H508" s="770"/>
      <c r="I508" s="295" t="s">
        <v>3591</v>
      </c>
      <c r="J508" s="94" t="s">
        <v>3592</v>
      </c>
      <c r="K508" s="766" t="s">
        <v>3433</v>
      </c>
      <c r="L508" s="766" t="s">
        <v>2429</v>
      </c>
      <c r="M508" s="770" t="s">
        <v>1238</v>
      </c>
      <c r="N508" s="770"/>
      <c r="O508" s="770" t="s">
        <v>3593</v>
      </c>
      <c r="P508" s="94" t="s">
        <v>3594</v>
      </c>
      <c r="Q508" s="1088">
        <v>22722</v>
      </c>
      <c r="R508" s="297">
        <v>55</v>
      </c>
      <c r="S508" s="770" t="s">
        <v>10</v>
      </c>
      <c r="T508" s="770"/>
      <c r="U508" s="295" t="s">
        <v>3591</v>
      </c>
      <c r="V508" s="770" t="s">
        <v>707</v>
      </c>
      <c r="W508" s="770"/>
      <c r="X508" s="770"/>
      <c r="Y508" s="770" t="s">
        <v>3610</v>
      </c>
      <c r="Z508" s="770" t="s">
        <v>708</v>
      </c>
      <c r="AA508" s="770" t="s">
        <v>709</v>
      </c>
      <c r="AB508" s="770" t="s">
        <v>710</v>
      </c>
      <c r="AC508" s="770" t="s">
        <v>724</v>
      </c>
      <c r="AD508" s="770" t="s">
        <v>711</v>
      </c>
      <c r="AE508" s="770"/>
      <c r="AF508" s="770" t="s">
        <v>712</v>
      </c>
      <c r="AG508" s="766" t="s">
        <v>1132</v>
      </c>
      <c r="AH508" s="766" t="s">
        <v>1096</v>
      </c>
      <c r="AI508" s="770"/>
      <c r="AJ508" s="770" t="s">
        <v>1137</v>
      </c>
      <c r="AK508" s="770" t="s">
        <v>1101</v>
      </c>
      <c r="AL508" s="531">
        <v>15.648</v>
      </c>
      <c r="AM508" s="780">
        <v>3.36</v>
      </c>
      <c r="AN508" s="532">
        <f t="shared" si="139"/>
        <v>0.21472392638036811</v>
      </c>
      <c r="AO508" s="766" t="s">
        <v>1149</v>
      </c>
      <c r="AP508" s="766"/>
      <c r="AQ508" s="766"/>
      <c r="AR508" s="766"/>
      <c r="AS508" s="770"/>
      <c r="AT508" s="770"/>
      <c r="AU508" s="770"/>
      <c r="AV508" s="770"/>
      <c r="AW508" s="770"/>
      <c r="AX508" s="770"/>
      <c r="AY508" s="770"/>
      <c r="AZ508" s="770"/>
      <c r="BA508" s="770"/>
      <c r="BB508" s="770"/>
      <c r="BC508" s="770"/>
      <c r="BD508" s="770"/>
      <c r="BE508" s="770"/>
      <c r="BF508" s="302"/>
      <c r="BG508" s="302"/>
      <c r="BH508" s="770"/>
      <c r="BI508" s="770"/>
      <c r="BJ508" s="770"/>
      <c r="BK508" s="770" t="s">
        <v>1095</v>
      </c>
      <c r="BL508" s="770" t="s">
        <v>3595</v>
      </c>
      <c r="BM508" s="766" t="s">
        <v>1096</v>
      </c>
      <c r="BN508" s="770" t="s">
        <v>1230</v>
      </c>
      <c r="BO508" s="766" t="s">
        <v>1239</v>
      </c>
      <c r="BP508" s="1109">
        <v>46.944000000000003</v>
      </c>
      <c r="BQ508" s="773">
        <v>20.6</v>
      </c>
      <c r="BR508" s="774">
        <f t="shared" si="136"/>
        <v>0.43882072256305388</v>
      </c>
      <c r="BS508" s="766" t="s">
        <v>1149</v>
      </c>
      <c r="BT508" s="766" t="s">
        <v>8133</v>
      </c>
      <c r="BU508" s="770" t="s">
        <v>1249</v>
      </c>
      <c r="BV508" s="770" t="s">
        <v>1247</v>
      </c>
      <c r="BW508" s="770">
        <v>1984</v>
      </c>
      <c r="BX508" s="302"/>
      <c r="BY508" s="770" t="s">
        <v>1207</v>
      </c>
      <c r="BZ508" s="302"/>
      <c r="CA508" s="770"/>
      <c r="CB508" s="770"/>
      <c r="CC508" s="770"/>
      <c r="CD508" s="770"/>
      <c r="CE508" s="770"/>
      <c r="CF508" s="1753"/>
      <c r="CG508" s="1754"/>
      <c r="CH508" s="770"/>
      <c r="CI508" s="770"/>
      <c r="CJ508" s="770"/>
      <c r="CK508" s="770"/>
      <c r="CL508" s="770"/>
      <c r="CM508" s="770"/>
      <c r="CN508" s="770"/>
      <c r="CO508" s="770"/>
      <c r="CP508" s="770"/>
      <c r="CQ508" s="770"/>
      <c r="CR508" s="302"/>
      <c r="CS508" s="770"/>
      <c r="CT508" s="770"/>
      <c r="CU508" s="305"/>
      <c r="CV508" s="770"/>
      <c r="CW508" s="770"/>
      <c r="CX508" s="770"/>
      <c r="CY508" s="770"/>
      <c r="CZ508" s="770"/>
      <c r="DA508" s="306"/>
      <c r="DB508" s="770"/>
      <c r="DC508" s="770"/>
      <c r="DD508" s="770"/>
      <c r="DE508" s="300"/>
      <c r="DF508" s="770"/>
      <c r="DG508" s="770"/>
      <c r="DH508" s="770"/>
      <c r="DI508" s="770"/>
      <c r="DJ508" s="770"/>
      <c r="DK508" s="770"/>
      <c r="DL508" s="770"/>
      <c r="DM508" s="770"/>
      <c r="DN508" s="322"/>
      <c r="DO508" s="770"/>
      <c r="DP508" s="770"/>
      <c r="DQ508" s="770"/>
      <c r="DR508" s="770"/>
      <c r="DS508" s="307"/>
      <c r="DT508" s="770"/>
      <c r="DU508" s="770"/>
      <c r="DV508" s="770"/>
      <c r="DW508" s="306"/>
      <c r="DX508" s="306"/>
      <c r="DY508" s="770"/>
      <c r="DZ508" s="770"/>
      <c r="EA508" s="770"/>
      <c r="EB508" s="770"/>
      <c r="EC508" s="770"/>
      <c r="ED508" s="770"/>
      <c r="EE508" s="770"/>
      <c r="EF508" s="770"/>
      <c r="EG508" s="770"/>
      <c r="EH508" s="770"/>
      <c r="EI508" s="770"/>
      <c r="EJ508" s="770"/>
      <c r="EK508" s="770"/>
      <c r="EL508" s="770"/>
      <c r="EM508" s="770"/>
      <c r="EN508" s="770"/>
      <c r="EO508" s="770"/>
      <c r="EP508" s="94"/>
      <c r="EQ508" s="770"/>
      <c r="ER508" s="770"/>
      <c r="ES508" s="770"/>
      <c r="ET508" s="770"/>
      <c r="EU508" s="770"/>
      <c r="EV508" s="770"/>
      <c r="EW508" s="770"/>
      <c r="EX508" s="770"/>
      <c r="EY508" s="770"/>
      <c r="EZ508" s="770"/>
      <c r="FA508" s="770"/>
      <c r="FB508" s="770"/>
      <c r="FC508" s="770"/>
      <c r="FD508" s="302"/>
      <c r="FE508" s="770"/>
      <c r="FF508" s="770"/>
      <c r="FG508" s="770"/>
      <c r="FH508" s="770" t="s">
        <v>478</v>
      </c>
      <c r="FI508" s="770">
        <v>2</v>
      </c>
      <c r="FJ508" s="770"/>
      <c r="FK508" s="770"/>
      <c r="FL508" s="770"/>
      <c r="FM508" s="302"/>
      <c r="FN508" s="302"/>
      <c r="FO508" s="302"/>
      <c r="FP508" s="766" t="s">
        <v>1602</v>
      </c>
      <c r="FQ508" s="766" t="s">
        <v>1660</v>
      </c>
      <c r="FR508" s="770" t="s">
        <v>1214</v>
      </c>
      <c r="FS508" s="770"/>
      <c r="FT508" s="770"/>
      <c r="FU508" s="770"/>
      <c r="FV508" s="770"/>
      <c r="FW508" s="770"/>
      <c r="FX508" s="770"/>
      <c r="FY508" s="770"/>
      <c r="FZ508" s="770"/>
      <c r="GA508" s="770"/>
      <c r="GB508" s="770"/>
      <c r="GC508" s="308"/>
      <c r="GD508" s="297"/>
      <c r="GE508" s="770" t="s">
        <v>1214</v>
      </c>
      <c r="GF508" s="302"/>
      <c r="GG508" s="302"/>
      <c r="GH508" s="712" t="s">
        <v>14260</v>
      </c>
      <c r="GI508" s="770"/>
      <c r="GJ508" s="770"/>
      <c r="GK508" s="770"/>
      <c r="GL508" s="770"/>
      <c r="GM508" s="770"/>
      <c r="GN508" s="299"/>
      <c r="GO508" s="770"/>
      <c r="GP508" s="770"/>
      <c r="GQ508" s="770"/>
      <c r="GR508" s="770"/>
      <c r="GS508" s="770"/>
      <c r="GT508" s="770"/>
      <c r="GU508" s="770"/>
      <c r="GV508" s="770"/>
      <c r="GW508" s="770"/>
      <c r="GX508" s="770"/>
      <c r="GY508" s="770"/>
      <c r="GZ508" s="770"/>
      <c r="HA508" s="770"/>
      <c r="HB508" s="770"/>
      <c r="HC508" s="770"/>
      <c r="HD508" s="770"/>
      <c r="HE508" s="770"/>
      <c r="HF508" s="770"/>
      <c r="HG508" s="770"/>
      <c r="HH508" s="770"/>
      <c r="HI508" s="770" t="s">
        <v>1214</v>
      </c>
      <c r="HJ508" s="770"/>
      <c r="HK508" s="770"/>
      <c r="HL508" s="770" t="s">
        <v>1214</v>
      </c>
      <c r="HM508" s="770"/>
      <c r="HN508" s="770"/>
      <c r="HO508" s="770"/>
      <c r="HP508" s="770"/>
      <c r="HQ508" s="770"/>
      <c r="HR508" s="770"/>
      <c r="HS508" s="770"/>
      <c r="HT508" s="770"/>
      <c r="HU508" s="770"/>
      <c r="HV508" s="770"/>
      <c r="HW508" s="770"/>
      <c r="HX508" s="770"/>
      <c r="HY508" s="770"/>
      <c r="HZ508" s="770"/>
      <c r="IA508" s="770"/>
      <c r="IB508" s="14" t="e">
        <f>IF(#REF!&gt;0,IF(#REF!&lt;=10000,"Y",""),"")</f>
        <v>#REF!</v>
      </c>
      <c r="IC508" s="770"/>
      <c r="ID508" s="770"/>
      <c r="IE508" s="770"/>
      <c r="IF508" s="770"/>
      <c r="IG508" s="770"/>
      <c r="IH508" s="770"/>
      <c r="II508" s="770"/>
      <c r="IJ508" s="770"/>
      <c r="IK508" s="770"/>
      <c r="IL508" s="770"/>
      <c r="IM508" s="770"/>
      <c r="IN508" s="770"/>
      <c r="IO508" s="296"/>
      <c r="IP508" s="770"/>
      <c r="IQ508" s="770"/>
      <c r="IR508" s="770"/>
      <c r="IS508" s="770"/>
      <c r="IT508" s="770"/>
      <c r="IU508" s="770"/>
      <c r="IV508" s="770"/>
      <c r="IW508" s="770"/>
      <c r="IX508" s="770"/>
      <c r="IY508" s="770"/>
      <c r="IZ508" s="770"/>
      <c r="JA508" s="770"/>
      <c r="JB508" s="770"/>
      <c r="JC508" s="770"/>
      <c r="JD508" s="302"/>
      <c r="JE508" s="770"/>
      <c r="JF508" s="770"/>
      <c r="JG508" s="770"/>
      <c r="JH508" s="307"/>
      <c r="JI508" s="712" t="str">
        <f>IF(SUM(JT508,JU508)=JJ508,"ok","review")</f>
        <v>ok</v>
      </c>
      <c r="JJ508" s="770">
        <v>2</v>
      </c>
      <c r="JK508" s="1139" t="s">
        <v>3595</v>
      </c>
      <c r="JL508" s="770"/>
      <c r="JM508" s="770"/>
      <c r="JN508" s="770">
        <v>1</v>
      </c>
      <c r="JO508" s="770">
        <v>1</v>
      </c>
      <c r="JP508" s="770"/>
      <c r="JQ508" s="770"/>
      <c r="JR508" s="770"/>
      <c r="JS508" s="770"/>
      <c r="JT508" s="766">
        <f t="shared" si="137"/>
        <v>1</v>
      </c>
      <c r="JU508" s="766">
        <f t="shared" si="137"/>
        <v>1</v>
      </c>
      <c r="JV508" s="712" t="str">
        <f t="shared" si="140"/>
        <v>ok</v>
      </c>
      <c r="JW508" s="712" t="str">
        <f t="shared" si="141"/>
        <v>ok</v>
      </c>
      <c r="JX508" s="770"/>
      <c r="JY508" s="770"/>
      <c r="JZ508" s="770"/>
      <c r="KA508" s="770"/>
      <c r="KB508" s="770"/>
      <c r="KC508" s="770"/>
      <c r="KD508" s="770">
        <v>1</v>
      </c>
      <c r="KE508" s="770">
        <v>1</v>
      </c>
      <c r="KF508" s="770"/>
      <c r="KG508" s="770"/>
      <c r="KH508" s="770"/>
      <c r="KI508" s="770"/>
      <c r="KJ508" s="770">
        <f t="shared" si="126"/>
        <v>1</v>
      </c>
      <c r="KK508" s="770">
        <f t="shared" si="126"/>
        <v>1</v>
      </c>
      <c r="KL508" s="712" t="str">
        <f t="shared" si="142"/>
        <v>ok</v>
      </c>
      <c r="KM508" s="712" t="str">
        <f t="shared" si="143"/>
        <v>ok</v>
      </c>
      <c r="KN508" s="770" t="s">
        <v>707</v>
      </c>
      <c r="KO508" s="770"/>
      <c r="KP508" s="770"/>
      <c r="KQ508" s="770"/>
      <c r="KR508" s="770"/>
      <c r="KS508" s="770"/>
      <c r="KT508" s="770"/>
      <c r="KU508" s="770"/>
      <c r="KV508" s="770"/>
      <c r="KW508" s="770"/>
      <c r="KX508" s="770">
        <v>1</v>
      </c>
      <c r="KY508" s="770">
        <v>1</v>
      </c>
      <c r="KZ508" s="770"/>
      <c r="LA508" s="770"/>
      <c r="LB508" s="770"/>
      <c r="LC508" s="770"/>
      <c r="LD508" s="770"/>
      <c r="LE508" s="770"/>
      <c r="LF508" s="770"/>
      <c r="LG508" s="770"/>
      <c r="LH508" s="770"/>
      <c r="LI508" s="770"/>
      <c r="LJ508" s="770"/>
      <c r="LK508" s="770"/>
      <c r="LL508" s="770"/>
      <c r="LM508" s="770"/>
      <c r="LN508" s="766">
        <f t="shared" si="134"/>
        <v>1</v>
      </c>
      <c r="LO508" s="766">
        <f t="shared" si="134"/>
        <v>1</v>
      </c>
      <c r="LP508" s="770">
        <v>1</v>
      </c>
      <c r="LQ508" s="770">
        <v>1</v>
      </c>
      <c r="LR508" s="770"/>
      <c r="LS508" s="770"/>
      <c r="LT508" s="712" t="str">
        <f t="shared" si="144"/>
        <v>OK</v>
      </c>
      <c r="LU508" s="770"/>
      <c r="LV508" s="770">
        <v>1</v>
      </c>
      <c r="LW508" s="770"/>
      <c r="LX508" s="769">
        <v>3</v>
      </c>
      <c r="LY508" s="766" t="str">
        <f t="shared" si="135"/>
        <v>within the PROVINCE</v>
      </c>
      <c r="LZ508" s="1709">
        <v>2300</v>
      </c>
      <c r="MA508" s="1709"/>
      <c r="MB508" s="1709"/>
      <c r="MC508" s="1679">
        <f t="shared" si="133"/>
        <v>2300</v>
      </c>
      <c r="MD508" s="1709">
        <f>SUM(25000,18000,15000)</f>
        <v>58000</v>
      </c>
      <c r="ME508" s="1709"/>
      <c r="MF508" s="1709"/>
      <c r="MG508" s="1680">
        <f t="shared" si="145"/>
        <v>58000</v>
      </c>
      <c r="MH508" s="770" t="s">
        <v>13669</v>
      </c>
      <c r="MI508" s="302">
        <v>18000</v>
      </c>
      <c r="MJ508" s="302">
        <v>15000</v>
      </c>
      <c r="MK508" s="302">
        <v>166</v>
      </c>
      <c r="ML508" s="302">
        <v>2000</v>
      </c>
      <c r="MM508" s="302"/>
      <c r="MN508" s="302"/>
      <c r="MO508" s="302">
        <v>1000</v>
      </c>
      <c r="MP508" s="302">
        <v>1200</v>
      </c>
      <c r="MQ508" s="302">
        <v>150</v>
      </c>
      <c r="MR508" s="302">
        <v>115</v>
      </c>
      <c r="MS508" s="302"/>
      <c r="MT508" s="302"/>
      <c r="MU508" s="302"/>
      <c r="MV508" s="302"/>
      <c r="MW508" s="302"/>
      <c r="MX508" s="302"/>
      <c r="MY508" s="1682">
        <f t="shared" si="122"/>
        <v>37631</v>
      </c>
      <c r="MZ508" s="770" t="s">
        <v>13370</v>
      </c>
      <c r="NA508" s="770" t="s">
        <v>13005</v>
      </c>
      <c r="NB508" s="770" t="s">
        <v>13016</v>
      </c>
      <c r="NC508" s="770" t="s">
        <v>13602</v>
      </c>
      <c r="ND508" s="770">
        <v>0</v>
      </c>
      <c r="NE508" s="770">
        <v>0</v>
      </c>
      <c r="NF508" s="770">
        <v>0</v>
      </c>
      <c r="NG508" s="770">
        <v>1</v>
      </c>
      <c r="NH508" s="770">
        <v>1</v>
      </c>
      <c r="NI508" s="770">
        <v>1</v>
      </c>
      <c r="NJ508" s="770">
        <v>0</v>
      </c>
      <c r="NK508" s="770">
        <v>0</v>
      </c>
      <c r="NL508" s="770">
        <v>0</v>
      </c>
      <c r="NM508" s="770">
        <v>1</v>
      </c>
      <c r="NN508" s="770">
        <v>0</v>
      </c>
      <c r="NO508" s="770">
        <v>0</v>
      </c>
      <c r="NP508" s="770">
        <v>0</v>
      </c>
      <c r="NQ508" s="770">
        <v>0</v>
      </c>
      <c r="NR508" s="770">
        <v>0</v>
      </c>
      <c r="NS508" s="770">
        <v>0</v>
      </c>
      <c r="NT508" s="770">
        <v>0</v>
      </c>
      <c r="NU508" s="770">
        <v>0</v>
      </c>
      <c r="NV508" s="770">
        <v>0</v>
      </c>
      <c r="NW508" s="770">
        <v>0</v>
      </c>
      <c r="NX508" s="770">
        <v>0</v>
      </c>
      <c r="NY508" s="770" t="s">
        <v>1208</v>
      </c>
      <c r="NZ508" s="770"/>
      <c r="OA508" s="770"/>
      <c r="OB508" s="770"/>
      <c r="OC508" s="770" t="s">
        <v>1208</v>
      </c>
      <c r="OD508" s="770"/>
      <c r="OE508" s="770"/>
      <c r="OF508" s="770"/>
      <c r="OG508" s="770"/>
      <c r="OH508" s="770"/>
      <c r="OI508" s="770"/>
      <c r="OJ508" s="770"/>
      <c r="OK508" s="770"/>
      <c r="OL508" s="770"/>
      <c r="OM508" s="770"/>
      <c r="ON508" s="770"/>
      <c r="OO508" s="770"/>
      <c r="OP508" s="770"/>
      <c r="OQ508" s="770"/>
      <c r="OR508" s="770"/>
      <c r="OS508" s="770"/>
      <c r="OT508" s="770"/>
      <c r="OU508" s="770"/>
      <c r="OV508" s="770"/>
      <c r="OW508" s="770"/>
      <c r="OX508" s="770"/>
      <c r="OY508" s="770"/>
      <c r="OZ508" s="770"/>
      <c r="PA508" s="770"/>
      <c r="PB508" s="770"/>
      <c r="PC508" s="770"/>
      <c r="PD508" s="770"/>
      <c r="PE508" s="770"/>
      <c r="PF508" s="770"/>
      <c r="PG508" s="770"/>
      <c r="PH508" s="770"/>
      <c r="PI508" s="770"/>
      <c r="PJ508" s="770"/>
      <c r="PK508" s="770"/>
      <c r="PL508" s="770"/>
      <c r="PM508" s="770" t="s">
        <v>1208</v>
      </c>
      <c r="PN508" s="770"/>
      <c r="PO508" s="770"/>
      <c r="PP508" s="770"/>
      <c r="PQ508" s="770"/>
      <c r="PR508" s="770"/>
      <c r="PS508" s="770"/>
      <c r="PT508" s="770"/>
      <c r="PU508" s="770"/>
      <c r="PV508" s="770"/>
      <c r="PW508" s="770"/>
      <c r="PX508" s="770"/>
      <c r="PY508" s="770"/>
      <c r="PZ508" s="770"/>
      <c r="QA508" s="770"/>
      <c r="QB508" s="770"/>
      <c r="QC508" s="770"/>
      <c r="QD508" s="770"/>
      <c r="QE508" s="770"/>
      <c r="QF508" s="770"/>
      <c r="QG508" s="770"/>
      <c r="QH508" s="770"/>
      <c r="QI508" s="770"/>
      <c r="QJ508" s="770"/>
      <c r="QK508" s="770"/>
      <c r="QL508" s="770"/>
      <c r="QM508" s="770"/>
      <c r="QN508" s="770"/>
      <c r="QO508" s="770"/>
      <c r="QP508" s="770"/>
      <c r="QQ508" s="770"/>
      <c r="QR508" s="770"/>
      <c r="QS508" s="770"/>
      <c r="QT508" s="770"/>
      <c r="QU508" s="770"/>
      <c r="QV508" s="770"/>
      <c r="QW508" s="770"/>
      <c r="QX508" s="770"/>
      <c r="QY508" s="770"/>
      <c r="QZ508" s="770"/>
      <c r="RA508" s="770"/>
      <c r="RB508" s="770" t="s">
        <v>1207</v>
      </c>
      <c r="RC508" s="770">
        <v>2016</v>
      </c>
      <c r="RD508" s="770"/>
      <c r="RE508" s="770" t="s">
        <v>12999</v>
      </c>
      <c r="RF508" s="304">
        <v>1</v>
      </c>
      <c r="RG508" s="770" t="s">
        <v>13047</v>
      </c>
      <c r="RH508" s="302">
        <v>0</v>
      </c>
      <c r="RI508" s="770">
        <v>1</v>
      </c>
      <c r="RJ508" s="770" t="s">
        <v>13670</v>
      </c>
      <c r="RK508" s="770" t="s">
        <v>13550</v>
      </c>
      <c r="RL508" s="1710"/>
      <c r="RM508" s="12"/>
      <c r="RN508" s="1711"/>
      <c r="RO508" s="132" t="s">
        <v>3589</v>
      </c>
      <c r="RP508" s="11"/>
      <c r="RQ508" s="11"/>
      <c r="RR508" s="19" t="s">
        <v>7421</v>
      </c>
      <c r="RS508" s="1139" t="s">
        <v>12980</v>
      </c>
      <c r="RT508" s="11"/>
      <c r="RU508" s="11"/>
      <c r="RV508" s="771" t="s">
        <v>7421</v>
      </c>
      <c r="RW508" s="11" t="s">
        <v>7699</v>
      </c>
      <c r="RX508" s="11" t="s">
        <v>3581</v>
      </c>
      <c r="RY508" s="11"/>
      <c r="RZ508" s="11" t="s">
        <v>1101</v>
      </c>
      <c r="SA508" s="771"/>
      <c r="SB508" s="11"/>
      <c r="SC508" s="11"/>
    </row>
    <row r="509" spans="1:497" ht="12.75" customHeight="1">
      <c r="A509" s="311" t="s">
        <v>7421</v>
      </c>
      <c r="B509" s="752" t="s">
        <v>7701</v>
      </c>
      <c r="C509" s="132" t="s">
        <v>3589</v>
      </c>
      <c r="D509" s="94" t="s">
        <v>3597</v>
      </c>
      <c r="E509" s="770" t="s">
        <v>3610</v>
      </c>
      <c r="F509" s="770" t="s">
        <v>28</v>
      </c>
      <c r="G509" s="770" t="s">
        <v>18</v>
      </c>
      <c r="H509" s="770"/>
      <c r="I509" s="295" t="s">
        <v>3598</v>
      </c>
      <c r="J509" s="94" t="str">
        <f ca="1">IF(F509="Head",CELL("contents",D509))</f>
        <v>Ricafort, Angelica Modesto</v>
      </c>
      <c r="K509" s="766" t="s">
        <v>3433</v>
      </c>
      <c r="L509" s="766" t="s">
        <v>2429</v>
      </c>
      <c r="M509" s="770" t="s">
        <v>1238</v>
      </c>
      <c r="N509" s="770"/>
      <c r="O509" s="770" t="s">
        <v>3593</v>
      </c>
      <c r="P509" s="94" t="s">
        <v>3599</v>
      </c>
      <c r="Q509" s="1088">
        <v>31563</v>
      </c>
      <c r="R509" s="297">
        <v>30</v>
      </c>
      <c r="S509" s="770" t="s">
        <v>18</v>
      </c>
      <c r="T509" s="770"/>
      <c r="U509" s="295" t="s">
        <v>3598</v>
      </c>
      <c r="V509" s="770" t="s">
        <v>768</v>
      </c>
      <c r="W509" s="770"/>
      <c r="X509" s="770"/>
      <c r="Y509" s="770" t="s">
        <v>3610</v>
      </c>
      <c r="Z509" s="770" t="s">
        <v>708</v>
      </c>
      <c r="AA509" s="770" t="s">
        <v>709</v>
      </c>
      <c r="AB509" s="770" t="s">
        <v>710</v>
      </c>
      <c r="AC509" s="770"/>
      <c r="AD509" s="770" t="s">
        <v>711</v>
      </c>
      <c r="AE509" s="770"/>
      <c r="AF509" s="770" t="s">
        <v>712</v>
      </c>
      <c r="AG509" s="770"/>
      <c r="AH509" s="770"/>
      <c r="AI509" s="770"/>
      <c r="AJ509" s="770"/>
      <c r="AK509" s="770" t="s">
        <v>1101</v>
      </c>
      <c r="AL509" s="531"/>
      <c r="AM509" s="780"/>
      <c r="AN509" s="532"/>
      <c r="AO509" s="766"/>
      <c r="AP509" s="766"/>
      <c r="AQ509" s="766"/>
      <c r="AR509" s="766"/>
      <c r="AS509" s="770"/>
      <c r="AT509" s="770"/>
      <c r="AU509" s="770"/>
      <c r="AV509" s="770"/>
      <c r="AW509" s="770"/>
      <c r="AX509" s="770"/>
      <c r="AY509" s="770"/>
      <c r="AZ509" s="770"/>
      <c r="BA509" s="770"/>
      <c r="BB509" s="770"/>
      <c r="BC509" s="770"/>
      <c r="BD509" s="770"/>
      <c r="BE509" s="770"/>
      <c r="BF509" s="302"/>
      <c r="BG509" s="302"/>
      <c r="BH509" s="770"/>
      <c r="BI509" s="770"/>
      <c r="BJ509" s="770"/>
      <c r="BK509" s="770"/>
      <c r="BL509" s="770"/>
      <c r="BM509" s="770" t="s">
        <v>1238</v>
      </c>
      <c r="BN509" s="770" t="s">
        <v>3230</v>
      </c>
      <c r="BO509" s="770"/>
      <c r="BP509" s="765"/>
      <c r="BQ509" s="773"/>
      <c r="BR509" s="774"/>
      <c r="BS509" s="766" t="s">
        <v>1149</v>
      </c>
      <c r="BT509" s="770"/>
      <c r="BU509" s="770"/>
      <c r="BV509" s="770"/>
      <c r="BW509" s="770"/>
      <c r="BX509" s="302"/>
      <c r="BY509" s="770"/>
      <c r="BZ509" s="302"/>
      <c r="CA509" s="770"/>
      <c r="CB509" s="770" t="s">
        <v>1207</v>
      </c>
      <c r="CC509" s="770"/>
      <c r="CD509" s="770"/>
      <c r="CE509" s="770"/>
      <c r="CF509" s="1753"/>
      <c r="CG509" s="1754"/>
      <c r="CH509" s="770"/>
      <c r="CI509" s="770"/>
      <c r="CJ509" s="770"/>
      <c r="CK509" s="770"/>
      <c r="CL509" s="770"/>
      <c r="CM509" s="770"/>
      <c r="CN509" s="770"/>
      <c r="CO509" s="770"/>
      <c r="CP509" s="770"/>
      <c r="CQ509" s="770"/>
      <c r="CR509" s="302"/>
      <c r="CS509" s="770"/>
      <c r="CT509" s="770"/>
      <c r="CU509" s="305"/>
      <c r="CV509" s="770"/>
      <c r="CW509" s="770"/>
      <c r="CX509" s="770"/>
      <c r="CY509" s="770"/>
      <c r="CZ509" s="770"/>
      <c r="DA509" s="306"/>
      <c r="DB509" s="770"/>
      <c r="DC509" s="770"/>
      <c r="DD509" s="770"/>
      <c r="DE509" s="300"/>
      <c r="DF509" s="770"/>
      <c r="DG509" s="770"/>
      <c r="DH509" s="770"/>
      <c r="DI509" s="770"/>
      <c r="DJ509" s="770"/>
      <c r="DK509" s="770"/>
      <c r="DL509" s="770"/>
      <c r="DM509" s="770"/>
      <c r="DN509" s="322"/>
      <c r="DO509" s="770"/>
      <c r="DP509" s="770"/>
      <c r="DQ509" s="770"/>
      <c r="DR509" s="770"/>
      <c r="DS509" s="307"/>
      <c r="DT509" s="770"/>
      <c r="DU509" s="770"/>
      <c r="DV509" s="770"/>
      <c r="DW509" s="306"/>
      <c r="DX509" s="306"/>
      <c r="DY509" s="770"/>
      <c r="DZ509" s="770"/>
      <c r="EA509" s="770"/>
      <c r="EB509" s="770"/>
      <c r="EC509" s="770"/>
      <c r="ED509" s="770"/>
      <c r="EE509" s="770"/>
      <c r="EF509" s="770"/>
      <c r="EG509" s="770"/>
      <c r="EH509" s="770"/>
      <c r="EI509" s="770"/>
      <c r="EJ509" s="770"/>
      <c r="EK509" s="770"/>
      <c r="EL509" s="770"/>
      <c r="EM509" s="770"/>
      <c r="EN509" s="770"/>
      <c r="EO509" s="770"/>
      <c r="EP509" s="94"/>
      <c r="EQ509" s="770"/>
      <c r="ER509" s="770"/>
      <c r="ES509" s="770"/>
      <c r="ET509" s="770"/>
      <c r="EU509" s="770"/>
      <c r="EV509" s="770"/>
      <c r="EW509" s="770"/>
      <c r="EX509" s="770"/>
      <c r="EY509" s="770"/>
      <c r="EZ509" s="770" t="s">
        <v>3600</v>
      </c>
      <c r="FA509" s="770" t="s">
        <v>3601</v>
      </c>
      <c r="FB509" s="770" t="s">
        <v>1257</v>
      </c>
      <c r="FC509" s="770"/>
      <c r="FD509" s="302"/>
      <c r="FE509" s="770"/>
      <c r="FF509" s="770" t="s">
        <v>3602</v>
      </c>
      <c r="FG509" s="770" t="s">
        <v>3603</v>
      </c>
      <c r="FH509" s="770"/>
      <c r="FI509" s="770"/>
      <c r="FJ509" s="770"/>
      <c r="FK509" s="770"/>
      <c r="FL509" s="770"/>
      <c r="FM509" s="302"/>
      <c r="FN509" s="302"/>
      <c r="FO509" s="302"/>
      <c r="FP509" s="766" t="s">
        <v>1602</v>
      </c>
      <c r="FQ509" s="766" t="s">
        <v>1660</v>
      </c>
      <c r="FR509" s="770"/>
      <c r="FS509" s="770"/>
      <c r="FT509" s="770"/>
      <c r="FU509" s="770"/>
      <c r="FV509" s="770"/>
      <c r="FW509" s="770"/>
      <c r="FX509" s="770"/>
      <c r="FY509" s="770"/>
      <c r="FZ509" s="770"/>
      <c r="GA509" s="770"/>
      <c r="GB509" s="770"/>
      <c r="GC509" s="308"/>
      <c r="GD509" s="297"/>
      <c r="GE509" s="770"/>
      <c r="GF509" s="302"/>
      <c r="GG509" s="302"/>
      <c r="GH509" s="1774" t="s">
        <v>1791</v>
      </c>
      <c r="GI509" s="770" t="s">
        <v>1008</v>
      </c>
      <c r="GJ509" s="770"/>
      <c r="GK509" s="770"/>
      <c r="GL509" s="770"/>
      <c r="GM509" s="770" t="s">
        <v>1835</v>
      </c>
      <c r="GN509" s="299" t="s">
        <v>3604</v>
      </c>
      <c r="GO509" s="770" t="s">
        <v>2664</v>
      </c>
      <c r="GP509" s="770" t="s">
        <v>1208</v>
      </c>
      <c r="GQ509" s="770"/>
      <c r="GR509" s="770"/>
      <c r="GS509" s="770"/>
      <c r="GT509" s="770"/>
      <c r="GU509" s="770"/>
      <c r="GV509" s="770"/>
      <c r="GW509" s="770" t="s">
        <v>1207</v>
      </c>
      <c r="GX509" s="770"/>
      <c r="GY509" s="770"/>
      <c r="GZ509" s="770"/>
      <c r="HA509" s="770"/>
      <c r="HB509" s="770"/>
      <c r="HC509" s="770"/>
      <c r="HD509" s="770"/>
      <c r="HE509" s="770"/>
      <c r="HF509" s="770"/>
      <c r="HG509" s="770"/>
      <c r="HH509" s="770"/>
      <c r="HI509" s="770" t="s">
        <v>1214</v>
      </c>
      <c r="HJ509" s="770"/>
      <c r="HK509" s="770"/>
      <c r="HL509" s="770" t="s">
        <v>1214</v>
      </c>
      <c r="HM509" s="770"/>
      <c r="HN509" s="770"/>
      <c r="HO509" s="770"/>
      <c r="HP509" s="770"/>
      <c r="HQ509" s="770"/>
      <c r="HR509" s="770"/>
      <c r="HS509" s="770">
        <v>3</v>
      </c>
      <c r="HT509" s="770"/>
      <c r="HU509" s="770"/>
      <c r="HV509" s="770"/>
      <c r="HW509" s="770"/>
      <c r="HX509" s="770"/>
      <c r="HY509" s="770"/>
      <c r="HZ509" s="770"/>
      <c r="IA509" s="770"/>
      <c r="IB509" s="14" t="e">
        <f>IF(#REF!&gt;0,IF(#REF!&lt;=10000,"Y",""),"")</f>
        <v>#REF!</v>
      </c>
      <c r="IC509" s="770" t="s">
        <v>1207</v>
      </c>
      <c r="ID509" s="770"/>
      <c r="IE509" s="770"/>
      <c r="IF509" s="770"/>
      <c r="IG509" s="770"/>
      <c r="IH509" s="770"/>
      <c r="II509" s="770"/>
      <c r="IJ509" s="770"/>
      <c r="IK509" s="770"/>
      <c r="IL509" s="770"/>
      <c r="IM509" s="770"/>
      <c r="IN509" s="770"/>
      <c r="IO509" s="296"/>
      <c r="IP509" s="770"/>
      <c r="IQ509" s="770"/>
      <c r="IR509" s="770"/>
      <c r="IS509" s="770"/>
      <c r="IT509" s="770"/>
      <c r="IU509" s="770"/>
      <c r="IV509" s="770"/>
      <c r="IW509" s="770"/>
      <c r="IX509" s="770"/>
      <c r="IY509" s="770"/>
      <c r="IZ509" s="770"/>
      <c r="JA509" s="770"/>
      <c r="JB509" s="770"/>
      <c r="JC509" s="770"/>
      <c r="JD509" s="302"/>
      <c r="JE509" s="770"/>
      <c r="JF509" s="770"/>
      <c r="JG509" s="770"/>
      <c r="JH509" s="307"/>
      <c r="JI509" s="712" t="str">
        <f>IF(SUM(JT509,JU509)=JJ509,"ok","review")</f>
        <v>ok</v>
      </c>
      <c r="JJ509" s="770">
        <v>4</v>
      </c>
      <c r="JK509" s="1139" t="s">
        <v>3596</v>
      </c>
      <c r="JL509" s="770">
        <v>1</v>
      </c>
      <c r="JM509" s="770">
        <v>2</v>
      </c>
      <c r="JN509" s="770"/>
      <c r="JO509" s="770">
        <v>1</v>
      </c>
      <c r="JP509" s="770"/>
      <c r="JQ509" s="770"/>
      <c r="JR509" s="770"/>
      <c r="JS509" s="770"/>
      <c r="JT509" s="766">
        <f t="shared" si="137"/>
        <v>1</v>
      </c>
      <c r="JU509" s="766">
        <f t="shared" si="137"/>
        <v>3</v>
      </c>
      <c r="JV509" s="712" t="str">
        <f t="shared" si="140"/>
        <v>ok</v>
      </c>
      <c r="JW509" s="712" t="str">
        <f t="shared" si="141"/>
        <v>ok</v>
      </c>
      <c r="JX509" s="770"/>
      <c r="JY509" s="770">
        <v>1</v>
      </c>
      <c r="JZ509" s="770">
        <v>1</v>
      </c>
      <c r="KA509" s="770">
        <v>1</v>
      </c>
      <c r="KB509" s="770"/>
      <c r="KC509" s="770">
        <v>1</v>
      </c>
      <c r="KD509" s="770"/>
      <c r="KE509" s="770"/>
      <c r="KF509" s="770"/>
      <c r="KG509" s="770"/>
      <c r="KH509" s="770"/>
      <c r="KI509" s="770"/>
      <c r="KJ509" s="770">
        <f t="shared" si="126"/>
        <v>1</v>
      </c>
      <c r="KK509" s="770">
        <f t="shared" si="126"/>
        <v>3</v>
      </c>
      <c r="KL509" s="712" t="str">
        <f t="shared" si="142"/>
        <v>ok</v>
      </c>
      <c r="KM509" s="712" t="str">
        <f t="shared" si="143"/>
        <v>ok</v>
      </c>
      <c r="KN509" s="770" t="s">
        <v>768</v>
      </c>
      <c r="KO509" s="770"/>
      <c r="KP509" s="770"/>
      <c r="KQ509" s="770"/>
      <c r="KR509" s="770"/>
      <c r="KS509" s="770"/>
      <c r="KT509" s="770">
        <v>1</v>
      </c>
      <c r="KU509" s="770">
        <v>1</v>
      </c>
      <c r="KV509" s="770"/>
      <c r="KW509" s="770"/>
      <c r="KX509" s="770"/>
      <c r="KY509" s="770"/>
      <c r="KZ509" s="770"/>
      <c r="LA509" s="770">
        <v>1</v>
      </c>
      <c r="LB509" s="770"/>
      <c r="LC509" s="770"/>
      <c r="LD509" s="770"/>
      <c r="LE509" s="770"/>
      <c r="LF509" s="770"/>
      <c r="LG509" s="770"/>
      <c r="LH509" s="770"/>
      <c r="LI509" s="770"/>
      <c r="LJ509" s="770"/>
      <c r="LK509" s="770">
        <v>1</v>
      </c>
      <c r="LL509" s="770"/>
      <c r="LM509" s="770"/>
      <c r="LN509" s="766">
        <f t="shared" si="134"/>
        <v>1</v>
      </c>
      <c r="LO509" s="766">
        <f t="shared" si="134"/>
        <v>3</v>
      </c>
      <c r="LP509" s="770">
        <v>1</v>
      </c>
      <c r="LQ509" s="770">
        <v>1</v>
      </c>
      <c r="LR509" s="770"/>
      <c r="LS509" s="770"/>
      <c r="LT509" s="712" t="str">
        <f t="shared" si="144"/>
        <v>OK</v>
      </c>
      <c r="LU509" s="770">
        <v>1</v>
      </c>
      <c r="LV509" s="770"/>
      <c r="LW509" s="770"/>
      <c r="LX509" s="769">
        <v>2</v>
      </c>
      <c r="LY509" s="766" t="str">
        <f t="shared" si="135"/>
        <v>within the MUNICIPALITY</v>
      </c>
      <c r="LZ509" s="1709">
        <v>400</v>
      </c>
      <c r="MA509" s="1709"/>
      <c r="MB509" s="1709"/>
      <c r="MC509" s="1679">
        <f t="shared" si="133"/>
        <v>400</v>
      </c>
      <c r="MD509" s="1709">
        <v>6000</v>
      </c>
      <c r="ME509" s="1709"/>
      <c r="MF509" s="1709"/>
      <c r="MG509" s="1680">
        <f t="shared" si="145"/>
        <v>6000</v>
      </c>
      <c r="MH509" s="770" t="s">
        <v>1985</v>
      </c>
      <c r="MI509" s="302">
        <v>12000</v>
      </c>
      <c r="MJ509" s="302">
        <v>1200</v>
      </c>
      <c r="MK509" s="302">
        <v>166</v>
      </c>
      <c r="ML509" s="302">
        <v>500</v>
      </c>
      <c r="MM509" s="302">
        <v>3000</v>
      </c>
      <c r="MN509" s="302"/>
      <c r="MO509" s="302">
        <v>400</v>
      </c>
      <c r="MP509" s="302">
        <v>1000</v>
      </c>
      <c r="MQ509" s="302">
        <v>180</v>
      </c>
      <c r="MR509" s="302">
        <v>100</v>
      </c>
      <c r="MS509" s="302">
        <v>500</v>
      </c>
      <c r="MT509" s="302"/>
      <c r="MU509" s="302"/>
      <c r="MV509" s="302"/>
      <c r="MW509" s="302"/>
      <c r="MX509" s="302"/>
      <c r="MY509" s="1682">
        <f t="shared" si="122"/>
        <v>19046</v>
      </c>
      <c r="MZ509" s="770" t="s">
        <v>13370</v>
      </c>
      <c r="NA509" s="770" t="s">
        <v>13005</v>
      </c>
      <c r="NB509" s="770" t="s">
        <v>13016</v>
      </c>
      <c r="NC509" s="770" t="s">
        <v>13602</v>
      </c>
      <c r="ND509" s="770">
        <v>0</v>
      </c>
      <c r="NE509" s="770">
        <v>0</v>
      </c>
      <c r="NF509" s="770">
        <v>0</v>
      </c>
      <c r="NG509" s="770">
        <v>1</v>
      </c>
      <c r="NH509" s="770">
        <v>1</v>
      </c>
      <c r="NI509" s="770">
        <v>0</v>
      </c>
      <c r="NJ509" s="770">
        <v>0</v>
      </c>
      <c r="NK509" s="770">
        <v>0</v>
      </c>
      <c r="NL509" s="770">
        <v>0</v>
      </c>
      <c r="NM509" s="770">
        <v>1</v>
      </c>
      <c r="NN509" s="770">
        <v>0</v>
      </c>
      <c r="NO509" s="770">
        <v>0</v>
      </c>
      <c r="NP509" s="770">
        <v>0</v>
      </c>
      <c r="NQ509" s="770">
        <v>0</v>
      </c>
      <c r="NR509" s="770">
        <v>0</v>
      </c>
      <c r="NS509" s="770">
        <v>0</v>
      </c>
      <c r="NT509" s="770">
        <v>0</v>
      </c>
      <c r="NU509" s="770">
        <v>0</v>
      </c>
      <c r="NV509" s="770">
        <v>0</v>
      </c>
      <c r="NW509" s="770">
        <v>0</v>
      </c>
      <c r="NX509" s="770">
        <v>0</v>
      </c>
      <c r="NY509" s="770" t="s">
        <v>1208</v>
      </c>
      <c r="NZ509" s="770" t="s">
        <v>1208</v>
      </c>
      <c r="OA509" s="770" t="s">
        <v>1208</v>
      </c>
      <c r="OB509" s="770" t="s">
        <v>1208</v>
      </c>
      <c r="OC509" s="770" t="s">
        <v>1208</v>
      </c>
      <c r="OD509" s="770"/>
      <c r="OE509" s="770"/>
      <c r="OF509" s="770"/>
      <c r="OG509" s="770"/>
      <c r="OH509" s="770"/>
      <c r="OI509" s="770"/>
      <c r="OJ509" s="770"/>
      <c r="OK509" s="770"/>
      <c r="OL509" s="770"/>
      <c r="OM509" s="770"/>
      <c r="ON509" s="770"/>
      <c r="OO509" s="770"/>
      <c r="OP509" s="770"/>
      <c r="OQ509" s="770"/>
      <c r="OR509" s="770"/>
      <c r="OS509" s="770"/>
      <c r="OT509" s="770"/>
      <c r="OU509" s="770"/>
      <c r="OV509" s="770"/>
      <c r="OW509" s="770"/>
      <c r="OX509" s="770"/>
      <c r="OY509" s="770"/>
      <c r="OZ509" s="770"/>
      <c r="PA509" s="770"/>
      <c r="PB509" s="770"/>
      <c r="PC509" s="770"/>
      <c r="PD509" s="770"/>
      <c r="PE509" s="770"/>
      <c r="PF509" s="770"/>
      <c r="PG509" s="770"/>
      <c r="PH509" s="770"/>
      <c r="PI509" s="770"/>
      <c r="PJ509" s="770"/>
      <c r="PK509" s="770" t="s">
        <v>1208</v>
      </c>
      <c r="PL509" s="770"/>
      <c r="PM509" s="770"/>
      <c r="PN509" s="770"/>
      <c r="PO509" s="770"/>
      <c r="PP509" s="770"/>
      <c r="PQ509" s="770"/>
      <c r="PR509" s="770"/>
      <c r="PS509" s="770"/>
      <c r="PT509" s="770"/>
      <c r="PU509" s="770"/>
      <c r="PV509" s="770"/>
      <c r="PW509" s="770"/>
      <c r="PX509" s="770"/>
      <c r="PY509" s="770"/>
      <c r="PZ509" s="770"/>
      <c r="QA509" s="770"/>
      <c r="QB509" s="770"/>
      <c r="QC509" s="770"/>
      <c r="QD509" s="770"/>
      <c r="QE509" s="770"/>
      <c r="QF509" s="770"/>
      <c r="QG509" s="770"/>
      <c r="QH509" s="770"/>
      <c r="QI509" s="770"/>
      <c r="QJ509" s="770"/>
      <c r="QK509" s="770"/>
      <c r="QL509" s="770"/>
      <c r="QM509" s="770"/>
      <c r="QN509" s="770"/>
      <c r="QO509" s="770"/>
      <c r="QP509" s="770"/>
      <c r="QQ509" s="770"/>
      <c r="QR509" s="770"/>
      <c r="QS509" s="770"/>
      <c r="QT509" s="770"/>
      <c r="QU509" s="770"/>
      <c r="QV509" s="770"/>
      <c r="QW509" s="770"/>
      <c r="QX509" s="770"/>
      <c r="QY509" s="770"/>
      <c r="QZ509" s="770"/>
      <c r="RA509" s="770"/>
      <c r="RB509" s="770" t="s">
        <v>1207</v>
      </c>
      <c r="RC509" s="770">
        <v>2016</v>
      </c>
      <c r="RD509" s="770" t="s">
        <v>13615</v>
      </c>
      <c r="RE509" s="770" t="s">
        <v>12999</v>
      </c>
      <c r="RF509" s="304">
        <v>0.5</v>
      </c>
      <c r="RG509" s="770" t="s">
        <v>13047</v>
      </c>
      <c r="RH509" s="302">
        <v>0</v>
      </c>
      <c r="RI509" s="770">
        <v>2</v>
      </c>
      <c r="RJ509" s="770" t="s">
        <v>3596</v>
      </c>
      <c r="RK509" s="770" t="s">
        <v>13544</v>
      </c>
      <c r="RL509" s="1710"/>
      <c r="RM509" s="12"/>
      <c r="RN509" s="1711"/>
      <c r="RO509" s="132" t="s">
        <v>3589</v>
      </c>
      <c r="RP509" s="11"/>
      <c r="RQ509" s="11"/>
      <c r="RR509" s="311" t="s">
        <v>7421</v>
      </c>
      <c r="RS509" s="1139" t="s">
        <v>12980</v>
      </c>
      <c r="RT509" s="11"/>
      <c r="RU509" s="11"/>
      <c r="RV509" s="771" t="s">
        <v>7421</v>
      </c>
      <c r="RW509" s="11" t="s">
        <v>7700</v>
      </c>
      <c r="RX509" s="11" t="s">
        <v>3429</v>
      </c>
      <c r="RY509" s="11"/>
      <c r="RZ509" s="11"/>
      <c r="SA509" s="771"/>
      <c r="SB509" s="11"/>
      <c r="SC509" s="11"/>
    </row>
    <row r="510" spans="1:497" ht="12.75" customHeight="1">
      <c r="A510" s="311" t="s">
        <v>12452</v>
      </c>
      <c r="B510" s="752" t="s">
        <v>7501</v>
      </c>
      <c r="C510" s="132" t="s">
        <v>2924</v>
      </c>
      <c r="D510" s="94" t="s">
        <v>2925</v>
      </c>
      <c r="E510" s="770" t="s">
        <v>3610</v>
      </c>
      <c r="F510" s="770" t="s">
        <v>28</v>
      </c>
      <c r="G510" s="770" t="s">
        <v>10</v>
      </c>
      <c r="H510" s="770"/>
      <c r="I510" s="295"/>
      <c r="J510" s="94" t="s">
        <v>2925</v>
      </c>
      <c r="K510" s="766" t="s">
        <v>3607</v>
      </c>
      <c r="L510" s="766" t="s">
        <v>3608</v>
      </c>
      <c r="M510" s="770" t="s">
        <v>1238</v>
      </c>
      <c r="N510" s="770"/>
      <c r="O510" s="770" t="s">
        <v>7883</v>
      </c>
      <c r="P510" s="94" t="s">
        <v>2927</v>
      </c>
      <c r="Q510" s="1088">
        <v>22216</v>
      </c>
      <c r="R510" s="297">
        <v>56</v>
      </c>
      <c r="S510" s="770" t="s">
        <v>10</v>
      </c>
      <c r="T510" s="770"/>
      <c r="U510" s="295" t="s">
        <v>2928</v>
      </c>
      <c r="V510" s="770" t="s">
        <v>722</v>
      </c>
      <c r="W510" s="770"/>
      <c r="X510" s="770"/>
      <c r="Y510" s="770" t="s">
        <v>3610</v>
      </c>
      <c r="Z510" s="770" t="s">
        <v>708</v>
      </c>
      <c r="AA510" s="770" t="s">
        <v>709</v>
      </c>
      <c r="AB510" s="770" t="s">
        <v>7275</v>
      </c>
      <c r="AC510" s="770" t="s">
        <v>724</v>
      </c>
      <c r="AD510" s="770"/>
      <c r="AE510" s="770" t="s">
        <v>909</v>
      </c>
      <c r="AF510" s="770" t="s">
        <v>712</v>
      </c>
      <c r="AG510" s="766" t="s">
        <v>1132</v>
      </c>
      <c r="AH510" s="766" t="s">
        <v>1096</v>
      </c>
      <c r="AI510" s="770"/>
      <c r="AJ510" s="770" t="s">
        <v>1137</v>
      </c>
      <c r="AK510" s="770" t="s">
        <v>1101</v>
      </c>
      <c r="AL510" s="531">
        <v>12</v>
      </c>
      <c r="AM510" s="780">
        <v>4</v>
      </c>
      <c r="AN510" s="532">
        <f>AM510/AL510</f>
        <v>0.33333333333333331</v>
      </c>
      <c r="AO510" s="766" t="s">
        <v>1149</v>
      </c>
      <c r="AP510" s="766"/>
      <c r="AQ510" s="766"/>
      <c r="AR510" s="766"/>
      <c r="AS510" s="770"/>
      <c r="AT510" s="770"/>
      <c r="AU510" s="770"/>
      <c r="AV510" s="770"/>
      <c r="AW510" s="770"/>
      <c r="AX510" s="770"/>
      <c r="AY510" s="770"/>
      <c r="AZ510" s="770"/>
      <c r="BA510" s="770"/>
      <c r="BB510" s="770"/>
      <c r="BC510" s="770"/>
      <c r="BD510" s="770"/>
      <c r="BE510" s="770"/>
      <c r="BF510" s="302"/>
      <c r="BG510" s="302"/>
      <c r="BH510" s="770"/>
      <c r="BI510" s="770"/>
      <c r="BJ510" s="770"/>
      <c r="BK510" s="770" t="s">
        <v>1095</v>
      </c>
      <c r="BL510" s="770" t="s">
        <v>2927</v>
      </c>
      <c r="BM510" s="766" t="s">
        <v>1096</v>
      </c>
      <c r="BN510" s="770" t="s">
        <v>1230</v>
      </c>
      <c r="BO510" s="766" t="s">
        <v>1246</v>
      </c>
      <c r="BP510" s="1109">
        <v>12</v>
      </c>
      <c r="BQ510" s="773">
        <v>4</v>
      </c>
      <c r="BR510" s="774">
        <f>BQ510/BP510</f>
        <v>0.33333333333333331</v>
      </c>
      <c r="BS510" s="766" t="s">
        <v>1149</v>
      </c>
      <c r="BT510" s="773"/>
      <c r="BU510" s="773"/>
      <c r="BV510" s="773"/>
      <c r="BW510" s="773"/>
      <c r="BX510" s="302"/>
      <c r="BY510" s="770"/>
      <c r="BZ510" s="302"/>
      <c r="CA510" s="770"/>
      <c r="CB510" s="770"/>
      <c r="CC510" s="770"/>
      <c r="CD510" s="770"/>
      <c r="CE510" s="770"/>
      <c r="CF510" s="1753"/>
      <c r="CG510" s="1754"/>
      <c r="CH510" s="770"/>
      <c r="CI510" s="770"/>
      <c r="CJ510" s="770"/>
      <c r="CK510" s="770"/>
      <c r="CL510" s="770"/>
      <c r="CM510" s="770"/>
      <c r="CN510" s="770"/>
      <c r="CO510" s="770"/>
      <c r="CP510" s="770"/>
      <c r="CQ510" s="770"/>
      <c r="CR510" s="302"/>
      <c r="CS510" s="770"/>
      <c r="CT510" s="770"/>
      <c r="CU510" s="305"/>
      <c r="CV510" s="770"/>
      <c r="CW510" s="770"/>
      <c r="CX510" s="770"/>
      <c r="CY510" s="770"/>
      <c r="CZ510" s="770"/>
      <c r="DA510" s="306"/>
      <c r="DB510" s="770"/>
      <c r="DC510" s="770"/>
      <c r="DD510" s="770"/>
      <c r="DE510" s="300"/>
      <c r="DF510" s="770"/>
      <c r="DG510" s="770"/>
      <c r="DH510" s="770"/>
      <c r="DI510" s="770"/>
      <c r="DJ510" s="770"/>
      <c r="DK510" s="770"/>
      <c r="DL510" s="770"/>
      <c r="DM510" s="770"/>
      <c r="DN510" s="322"/>
      <c r="DO510" s="770"/>
      <c r="DP510" s="770"/>
      <c r="DQ510" s="770"/>
      <c r="DR510" s="770"/>
      <c r="DS510" s="307"/>
      <c r="DT510" s="770"/>
      <c r="DU510" s="770"/>
      <c r="DV510" s="770"/>
      <c r="DW510" s="306"/>
      <c r="DX510" s="306"/>
      <c r="DY510" s="770"/>
      <c r="DZ510" s="770"/>
      <c r="EA510" s="770"/>
      <c r="EB510" s="770"/>
      <c r="EC510" s="770"/>
      <c r="ED510" s="770"/>
      <c r="EE510" s="770"/>
      <c r="EF510" s="770"/>
      <c r="EG510" s="770"/>
      <c r="EH510" s="770"/>
      <c r="EI510" s="770"/>
      <c r="EJ510" s="770"/>
      <c r="EK510" s="770"/>
      <c r="EL510" s="770"/>
      <c r="EM510" s="770"/>
      <c r="EN510" s="770"/>
      <c r="EO510" s="770"/>
      <c r="EP510" s="94"/>
      <c r="EQ510" s="770"/>
      <c r="ER510" s="770"/>
      <c r="ES510" s="770"/>
      <c r="ET510" s="770"/>
      <c r="EU510" s="770"/>
      <c r="EV510" s="770"/>
      <c r="EW510" s="770"/>
      <c r="EX510" s="770"/>
      <c r="EY510" s="770"/>
      <c r="EZ510" s="770"/>
      <c r="FA510" s="770"/>
      <c r="FB510" s="770"/>
      <c r="FC510" s="770"/>
      <c r="FD510" s="302"/>
      <c r="FE510" s="770"/>
      <c r="FF510" s="770"/>
      <c r="FG510" s="770"/>
      <c r="FH510" s="770" t="s">
        <v>1306</v>
      </c>
      <c r="FI510" s="770">
        <v>1</v>
      </c>
      <c r="FJ510" s="770"/>
      <c r="FK510" s="770"/>
      <c r="FL510" s="770"/>
      <c r="FM510" s="147">
        <v>2500</v>
      </c>
      <c r="FN510" s="302"/>
      <c r="FO510" s="302"/>
      <c r="FP510" s="766" t="s">
        <v>1602</v>
      </c>
      <c r="FQ510" s="766" t="s">
        <v>1660</v>
      </c>
      <c r="FR510" s="770"/>
      <c r="FS510" s="770"/>
      <c r="FT510" s="770"/>
      <c r="FU510" s="770"/>
      <c r="FV510" s="770"/>
      <c r="FW510" s="770"/>
      <c r="FX510" s="770"/>
      <c r="FY510" s="770"/>
      <c r="FZ510" s="770"/>
      <c r="GA510" s="770"/>
      <c r="GB510" s="770"/>
      <c r="GC510" s="308"/>
      <c r="GD510" s="297"/>
      <c r="GE510" s="770"/>
      <c r="GF510" s="302"/>
      <c r="GG510" s="302"/>
      <c r="GH510" s="770"/>
      <c r="GI510" s="770"/>
      <c r="GJ510" s="770"/>
      <c r="GK510" s="770"/>
      <c r="GL510" s="770"/>
      <c r="GM510" s="770"/>
      <c r="GN510" s="299"/>
      <c r="GO510" s="770"/>
      <c r="GP510" s="770"/>
      <c r="GQ510" s="770"/>
      <c r="GR510" s="770"/>
      <c r="GS510" s="770"/>
      <c r="GT510" s="770"/>
      <c r="GU510" s="770"/>
      <c r="GV510" s="770"/>
      <c r="GW510" s="770"/>
      <c r="GX510" s="770"/>
      <c r="GY510" s="770"/>
      <c r="GZ510" s="770"/>
      <c r="HA510" s="770"/>
      <c r="HB510" s="770"/>
      <c r="HC510" s="770"/>
      <c r="HD510" s="770"/>
      <c r="HE510" s="770"/>
      <c r="HF510" s="770"/>
      <c r="HG510" s="770"/>
      <c r="HH510" s="770"/>
      <c r="HI510" s="770"/>
      <c r="HJ510" s="770"/>
      <c r="HK510" s="770"/>
      <c r="HL510" s="770"/>
      <c r="HM510" s="770"/>
      <c r="HN510" s="770"/>
      <c r="HO510" s="770"/>
      <c r="HP510" s="770"/>
      <c r="HQ510" s="770"/>
      <c r="HR510" s="770"/>
      <c r="HS510" s="770"/>
      <c r="HT510" s="770"/>
      <c r="HU510" s="770"/>
      <c r="HV510" s="770"/>
      <c r="HW510" s="770"/>
      <c r="HX510" s="770"/>
      <c r="HY510" s="770"/>
      <c r="HZ510" s="770"/>
      <c r="IA510" s="770"/>
      <c r="IB510" s="14" t="e">
        <f>IF(#REF!&gt;0,IF(#REF!&lt;=10000,"Y",""),"")</f>
        <v>#REF!</v>
      </c>
      <c r="IC510" s="770"/>
      <c r="ID510" s="770"/>
      <c r="IE510" s="770"/>
      <c r="IF510" s="770"/>
      <c r="IG510" s="770"/>
      <c r="IH510" s="770"/>
      <c r="II510" s="770"/>
      <c r="IJ510" s="770"/>
      <c r="IK510" s="770"/>
      <c r="IL510" s="770"/>
      <c r="IM510" s="770"/>
      <c r="IN510" s="770"/>
      <c r="IO510" s="296"/>
      <c r="IP510" s="770"/>
      <c r="IQ510" s="770"/>
      <c r="IR510" s="770"/>
      <c r="IS510" s="770"/>
      <c r="IT510" s="770"/>
      <c r="IU510" s="770"/>
      <c r="IV510" s="770"/>
      <c r="IW510" s="770"/>
      <c r="IX510" s="770"/>
      <c r="IY510" s="770"/>
      <c r="IZ510" s="770"/>
      <c r="JA510" s="770"/>
      <c r="JB510" s="770"/>
      <c r="JC510" s="770"/>
      <c r="JD510" s="302"/>
      <c r="JE510" s="770"/>
      <c r="JF510" s="770"/>
      <c r="JG510" s="770"/>
      <c r="JH510" s="307"/>
      <c r="JI510" s="307"/>
      <c r="JJ510" s="94"/>
      <c r="JK510" s="1047" t="s">
        <v>13671</v>
      </c>
      <c r="JL510" s="770"/>
      <c r="JM510" s="770"/>
      <c r="JN510" s="770"/>
      <c r="JO510" s="770"/>
      <c r="JP510" s="770"/>
      <c r="JQ510" s="770"/>
      <c r="JR510" s="770"/>
      <c r="JS510" s="770"/>
      <c r="JT510" s="766"/>
      <c r="JU510" s="766"/>
      <c r="JV510" s="712" t="str">
        <f t="shared" si="140"/>
        <v>ok</v>
      </c>
      <c r="JW510" s="712" t="str">
        <f t="shared" si="141"/>
        <v>ok</v>
      </c>
      <c r="JX510" s="770"/>
      <c r="JY510" s="770"/>
      <c r="JZ510" s="770"/>
      <c r="KA510" s="770"/>
      <c r="KB510" s="770"/>
      <c r="KC510" s="770"/>
      <c r="KD510" s="770"/>
      <c r="KE510" s="770"/>
      <c r="KF510" s="770"/>
      <c r="KG510" s="770"/>
      <c r="KH510" s="770"/>
      <c r="KI510" s="770"/>
      <c r="KJ510" s="770"/>
      <c r="KK510" s="770"/>
      <c r="KL510" s="712" t="str">
        <f t="shared" si="142"/>
        <v>ok</v>
      </c>
      <c r="KM510" s="712" t="str">
        <f t="shared" si="143"/>
        <v>ok</v>
      </c>
      <c r="KN510" s="770"/>
      <c r="KO510" s="770"/>
      <c r="KP510" s="770"/>
      <c r="KQ510" s="770"/>
      <c r="KR510" s="770"/>
      <c r="KS510" s="770"/>
      <c r="KT510" s="770"/>
      <c r="KU510" s="770"/>
      <c r="KV510" s="770"/>
      <c r="KW510" s="770"/>
      <c r="KX510" s="770"/>
      <c r="KY510" s="770"/>
      <c r="KZ510" s="770"/>
      <c r="LA510" s="770"/>
      <c r="LB510" s="770"/>
      <c r="LC510" s="770"/>
      <c r="LD510" s="770"/>
      <c r="LE510" s="770"/>
      <c r="LF510" s="770"/>
      <c r="LG510" s="770"/>
      <c r="LH510" s="770"/>
      <c r="LI510" s="770"/>
      <c r="LJ510" s="770"/>
      <c r="LK510" s="770"/>
      <c r="LL510" s="770"/>
      <c r="LM510" s="770"/>
      <c r="LN510" s="766"/>
      <c r="LO510" s="766"/>
      <c r="LP510" s="770"/>
      <c r="LQ510" s="770"/>
      <c r="LR510" s="770"/>
      <c r="LS510" s="770"/>
      <c r="LT510" s="712" t="str">
        <f t="shared" si="144"/>
        <v>OK</v>
      </c>
      <c r="LU510" s="770"/>
      <c r="LV510" s="770"/>
      <c r="LW510" s="770"/>
      <c r="LX510" s="769"/>
      <c r="LY510" s="766" t="str">
        <f t="shared" si="135"/>
        <v/>
      </c>
      <c r="LZ510" s="1709"/>
      <c r="MA510" s="1709"/>
      <c r="MB510" s="1709"/>
      <c r="MC510" s="1679">
        <f t="shared" si="133"/>
        <v>0</v>
      </c>
      <c r="MD510" s="1709"/>
      <c r="ME510" s="1709"/>
      <c r="MF510" s="1709"/>
      <c r="MG510" s="1680">
        <v>0</v>
      </c>
      <c r="MH510" s="770"/>
      <c r="MI510" s="302"/>
      <c r="MJ510" s="302"/>
      <c r="MK510" s="302"/>
      <c r="ML510" s="302"/>
      <c r="MM510" s="302"/>
      <c r="MN510" s="302"/>
      <c r="MO510" s="302"/>
      <c r="MP510" s="302"/>
      <c r="MQ510" s="302"/>
      <c r="MR510" s="302"/>
      <c r="MS510" s="302"/>
      <c r="MT510" s="302"/>
      <c r="MU510" s="302"/>
      <c r="MV510" s="302"/>
      <c r="MW510" s="302"/>
      <c r="MX510" s="302"/>
      <c r="MY510" s="1682"/>
      <c r="MZ510" s="770"/>
      <c r="NA510" s="770"/>
      <c r="NB510" s="770"/>
      <c r="NC510" s="770"/>
      <c r="ND510" s="770"/>
      <c r="NE510" s="770"/>
      <c r="NF510" s="770"/>
      <c r="NG510" s="770"/>
      <c r="NH510" s="770"/>
      <c r="NI510" s="770"/>
      <c r="NJ510" s="770"/>
      <c r="NK510" s="770"/>
      <c r="NL510" s="770"/>
      <c r="NM510" s="770"/>
      <c r="NN510" s="770"/>
      <c r="NO510" s="770"/>
      <c r="NP510" s="770"/>
      <c r="NQ510" s="770"/>
      <c r="NR510" s="770"/>
      <c r="NS510" s="770"/>
      <c r="NT510" s="770"/>
      <c r="NU510" s="770"/>
      <c r="NV510" s="770"/>
      <c r="NW510" s="770"/>
      <c r="NX510" s="770"/>
      <c r="NY510" s="770"/>
      <c r="NZ510" s="770"/>
      <c r="OA510" s="770"/>
      <c r="OB510" s="770"/>
      <c r="OC510" s="770"/>
      <c r="OD510" s="770"/>
      <c r="OE510" s="770"/>
      <c r="OF510" s="770"/>
      <c r="OG510" s="770"/>
      <c r="OH510" s="770"/>
      <c r="OI510" s="770"/>
      <c r="OJ510" s="770"/>
      <c r="OK510" s="770"/>
      <c r="OL510" s="770"/>
      <c r="OM510" s="770"/>
      <c r="ON510" s="770"/>
      <c r="OO510" s="770"/>
      <c r="OP510" s="770"/>
      <c r="OQ510" s="770"/>
      <c r="OR510" s="770"/>
      <c r="OS510" s="770"/>
      <c r="OT510" s="770"/>
      <c r="OU510" s="770"/>
      <c r="OV510" s="770"/>
      <c r="OW510" s="770"/>
      <c r="OX510" s="770"/>
      <c r="OY510" s="770"/>
      <c r="OZ510" s="770"/>
      <c r="PA510" s="770"/>
      <c r="PB510" s="770"/>
      <c r="PC510" s="770"/>
      <c r="PD510" s="770"/>
      <c r="PE510" s="770"/>
      <c r="PF510" s="770"/>
      <c r="PG510" s="770"/>
      <c r="PH510" s="770"/>
      <c r="PI510" s="770"/>
      <c r="PJ510" s="770"/>
      <c r="PK510" s="770"/>
      <c r="PL510" s="770"/>
      <c r="PM510" s="770"/>
      <c r="PN510" s="770"/>
      <c r="PO510" s="770"/>
      <c r="PP510" s="770"/>
      <c r="PQ510" s="770"/>
      <c r="PR510" s="770"/>
      <c r="PS510" s="770"/>
      <c r="PT510" s="770"/>
      <c r="PU510" s="770"/>
      <c r="PV510" s="770"/>
      <c r="PW510" s="770"/>
      <c r="PX510" s="770"/>
      <c r="PY510" s="770"/>
      <c r="PZ510" s="770"/>
      <c r="QA510" s="770"/>
      <c r="QB510" s="770"/>
      <c r="QC510" s="770"/>
      <c r="QD510" s="770"/>
      <c r="QE510" s="770"/>
      <c r="QF510" s="770"/>
      <c r="QG510" s="770"/>
      <c r="QH510" s="770"/>
      <c r="QI510" s="770"/>
      <c r="QJ510" s="770"/>
      <c r="QK510" s="770"/>
      <c r="QL510" s="770"/>
      <c r="QM510" s="770"/>
      <c r="QN510" s="770"/>
      <c r="QO510" s="770"/>
      <c r="QP510" s="770"/>
      <c r="QQ510" s="770"/>
      <c r="QR510" s="770"/>
      <c r="QS510" s="770"/>
      <c r="QT510" s="770"/>
      <c r="QU510" s="770"/>
      <c r="QV510" s="770"/>
      <c r="QW510" s="770"/>
      <c r="QX510" s="770"/>
      <c r="QY510" s="770"/>
      <c r="QZ510" s="770"/>
      <c r="RA510" s="770"/>
      <c r="RB510" s="770"/>
      <c r="RC510" s="770"/>
      <c r="RD510" s="770"/>
      <c r="RE510" s="770"/>
      <c r="RF510" s="304"/>
      <c r="RG510" s="770"/>
      <c r="RH510" s="302"/>
      <c r="RI510" s="770"/>
      <c r="RJ510" s="770" t="s">
        <v>13671</v>
      </c>
      <c r="RK510" s="770" t="s">
        <v>13544</v>
      </c>
      <c r="RL510" s="1710"/>
      <c r="RM510" s="12"/>
      <c r="RN510" s="1711"/>
      <c r="RO510" s="132" t="s">
        <v>2924</v>
      </c>
      <c r="RP510" s="11"/>
      <c r="RQ510" s="11"/>
      <c r="RR510" s="311" t="s">
        <v>12452</v>
      </c>
      <c r="RS510" s="1139" t="s">
        <v>12980</v>
      </c>
      <c r="RT510" s="11"/>
      <c r="RU510" s="11"/>
      <c r="RV510" s="6" t="s">
        <v>7421</v>
      </c>
      <c r="RW510" s="11" t="s">
        <v>7701</v>
      </c>
      <c r="RX510" s="11" t="s">
        <v>3589</v>
      </c>
      <c r="RY510" s="11"/>
      <c r="RZ510" s="11" t="s">
        <v>1101</v>
      </c>
      <c r="SA510" s="6"/>
      <c r="SB510" s="11"/>
      <c r="SC510" s="11"/>
    </row>
    <row r="511" spans="1:497" ht="12.75" customHeight="1">
      <c r="A511" s="19" t="s">
        <v>7421</v>
      </c>
      <c r="B511" s="127" t="s">
        <v>7702</v>
      </c>
      <c r="C511" s="132" t="s">
        <v>3615</v>
      </c>
      <c r="D511" s="94" t="s">
        <v>3618</v>
      </c>
      <c r="E511" s="770" t="s">
        <v>3625</v>
      </c>
      <c r="F511" s="770" t="s">
        <v>28</v>
      </c>
      <c r="G511" s="770" t="s">
        <v>10</v>
      </c>
      <c r="H511" s="770"/>
      <c r="I511" s="295" t="s">
        <v>3619</v>
      </c>
      <c r="J511" s="94" t="s">
        <v>3620</v>
      </c>
      <c r="K511" s="766" t="s">
        <v>3607</v>
      </c>
      <c r="L511" s="766" t="s">
        <v>2921</v>
      </c>
      <c r="M511" s="770" t="s">
        <v>1238</v>
      </c>
      <c r="N511" s="770"/>
      <c r="O511" s="770" t="s">
        <v>3593</v>
      </c>
      <c r="P511" s="94" t="s">
        <v>3620</v>
      </c>
      <c r="Q511" s="1088">
        <v>33977</v>
      </c>
      <c r="R511" s="297">
        <v>25</v>
      </c>
      <c r="S511" s="770" t="s">
        <v>10</v>
      </c>
      <c r="T511" s="770"/>
      <c r="U511" s="295" t="s">
        <v>3619</v>
      </c>
      <c r="V511" s="770" t="s">
        <v>722</v>
      </c>
      <c r="W511" s="770" t="s">
        <v>8151</v>
      </c>
      <c r="X511" s="770"/>
      <c r="Y511" s="770" t="s">
        <v>3625</v>
      </c>
      <c r="Z511" s="770" t="s">
        <v>708</v>
      </c>
      <c r="AA511" s="770" t="s">
        <v>709</v>
      </c>
      <c r="AB511" s="770" t="s">
        <v>710</v>
      </c>
      <c r="AC511" s="770" t="s">
        <v>724</v>
      </c>
      <c r="AD511" s="770" t="s">
        <v>711</v>
      </c>
      <c r="AE511" s="770" t="s">
        <v>909</v>
      </c>
      <c r="AF511" s="770" t="s">
        <v>712</v>
      </c>
      <c r="AG511" s="766" t="s">
        <v>1132</v>
      </c>
      <c r="AH511" s="766" t="s">
        <v>1096</v>
      </c>
      <c r="AI511" s="770"/>
      <c r="AJ511" s="770" t="s">
        <v>1137</v>
      </c>
      <c r="AK511" s="770" t="s">
        <v>1101</v>
      </c>
      <c r="AL511" s="531">
        <v>15.55</v>
      </c>
      <c r="AM511" s="780">
        <v>12.81</v>
      </c>
      <c r="AN511" s="532">
        <f>AM511/AL511</f>
        <v>0.82379421221864946</v>
      </c>
      <c r="AO511" s="766" t="s">
        <v>1105</v>
      </c>
      <c r="AP511" s="766"/>
      <c r="AQ511" s="766"/>
      <c r="AR511" s="766"/>
      <c r="AS511" s="770"/>
      <c r="AT511" s="770"/>
      <c r="AU511" s="770"/>
      <c r="AV511" s="770"/>
      <c r="AW511" s="770"/>
      <c r="AX511" s="770"/>
      <c r="AY511" s="770"/>
      <c r="AZ511" s="770"/>
      <c r="BA511" s="770"/>
      <c r="BB511" s="770"/>
      <c r="BC511" s="770"/>
      <c r="BD511" s="770"/>
      <c r="BE511" s="770"/>
      <c r="BF511" s="302"/>
      <c r="BG511" s="302"/>
      <c r="BH511" s="770"/>
      <c r="BI511" s="770"/>
      <c r="BJ511" s="770"/>
      <c r="BK511" s="770" t="s">
        <v>1095</v>
      </c>
      <c r="BL511" s="770" t="s">
        <v>3616</v>
      </c>
      <c r="BM511" s="766" t="s">
        <v>1096</v>
      </c>
      <c r="BN511" s="770" t="s">
        <v>1230</v>
      </c>
      <c r="BO511" s="766" t="s">
        <v>1246</v>
      </c>
      <c r="BP511" s="1109">
        <v>15.55</v>
      </c>
      <c r="BQ511" s="773">
        <v>12.81</v>
      </c>
      <c r="BR511" s="774">
        <f>BQ511/BP511</f>
        <v>0.82379421221864946</v>
      </c>
      <c r="BS511" s="766" t="s">
        <v>1105</v>
      </c>
      <c r="BT511" s="770" t="s">
        <v>1326</v>
      </c>
      <c r="BU511" s="770" t="s">
        <v>1249</v>
      </c>
      <c r="BV511" s="770" t="s">
        <v>1247</v>
      </c>
      <c r="BW511" s="769"/>
      <c r="BX511" s="302"/>
      <c r="BY511" s="770"/>
      <c r="BZ511" s="302"/>
      <c r="CA511" s="770"/>
      <c r="CB511" s="770"/>
      <c r="CC511" s="770"/>
      <c r="CD511" s="770"/>
      <c r="CE511" s="770"/>
      <c r="CF511" s="1753"/>
      <c r="CG511" s="1754"/>
      <c r="CH511" s="770"/>
      <c r="CI511" s="770"/>
      <c r="CJ511" s="770"/>
      <c r="CK511" s="770"/>
      <c r="CL511" s="770"/>
      <c r="CM511" s="770"/>
      <c r="CN511" s="770"/>
      <c r="CO511" s="770"/>
      <c r="CP511" s="770"/>
      <c r="CQ511" s="770"/>
      <c r="CR511" s="302"/>
      <c r="CS511" s="770"/>
      <c r="CT511" s="770"/>
      <c r="CU511" s="305"/>
      <c r="CV511" s="770"/>
      <c r="CW511" s="770"/>
      <c r="CX511" s="770"/>
      <c r="CY511" s="770"/>
      <c r="CZ511" s="770"/>
      <c r="DA511" s="306"/>
      <c r="DB511" s="770"/>
      <c r="DC511" s="770"/>
      <c r="DD511" s="770"/>
      <c r="DE511" s="300"/>
      <c r="DF511" s="770"/>
      <c r="DG511" s="770"/>
      <c r="DH511" s="770"/>
      <c r="DI511" s="770"/>
      <c r="DJ511" s="770"/>
      <c r="DK511" s="770"/>
      <c r="DL511" s="770"/>
      <c r="DM511" s="770"/>
      <c r="DN511" s="322"/>
      <c r="DO511" s="770"/>
      <c r="DP511" s="770"/>
      <c r="DQ511" s="770"/>
      <c r="DR511" s="770"/>
      <c r="DS511" s="307"/>
      <c r="DT511" s="770"/>
      <c r="DU511" s="770"/>
      <c r="DV511" s="770"/>
      <c r="DW511" s="306"/>
      <c r="DX511" s="306"/>
      <c r="DY511" s="770"/>
      <c r="DZ511" s="770"/>
      <c r="EA511" s="770"/>
      <c r="EB511" s="770"/>
      <c r="EC511" s="770"/>
      <c r="ED511" s="770"/>
      <c r="EE511" s="770"/>
      <c r="EF511" s="770"/>
      <c r="EG511" s="770"/>
      <c r="EH511" s="770"/>
      <c r="EI511" s="770"/>
      <c r="EJ511" s="770"/>
      <c r="EK511" s="770"/>
      <c r="EL511" s="770"/>
      <c r="EM511" s="770"/>
      <c r="EN511" s="770"/>
      <c r="EO511" s="770"/>
      <c r="EP511" s="94"/>
      <c r="EQ511" s="770"/>
      <c r="ER511" s="770"/>
      <c r="ES511" s="770"/>
      <c r="ET511" s="770"/>
      <c r="EU511" s="770"/>
      <c r="EV511" s="770"/>
      <c r="EW511" s="770"/>
      <c r="EX511" s="770"/>
      <c r="EY511" s="770"/>
      <c r="EZ511" s="770"/>
      <c r="FA511" s="770"/>
      <c r="FB511" s="770"/>
      <c r="FC511" s="770"/>
      <c r="FD511" s="302"/>
      <c r="FE511" s="770"/>
      <c r="FF511" s="770"/>
      <c r="FG511" s="770"/>
      <c r="FH511" s="770" t="s">
        <v>478</v>
      </c>
      <c r="FI511" s="770">
        <v>1</v>
      </c>
      <c r="FJ511" s="770"/>
      <c r="FK511" s="770"/>
      <c r="FL511" s="770"/>
      <c r="FM511" s="775"/>
      <c r="FN511" s="302">
        <v>300</v>
      </c>
      <c r="FO511" s="302">
        <v>500</v>
      </c>
      <c r="FP511" s="766" t="s">
        <v>1602</v>
      </c>
      <c r="FQ511" s="766" t="s">
        <v>1660</v>
      </c>
      <c r="FR511" s="770" t="s">
        <v>1214</v>
      </c>
      <c r="FS511" s="770"/>
      <c r="FT511" s="770"/>
      <c r="FU511" s="770"/>
      <c r="FV511" s="770"/>
      <c r="FW511" s="770"/>
      <c r="FX511" s="770"/>
      <c r="FY511" s="770"/>
      <c r="FZ511" s="770"/>
      <c r="GA511" s="770"/>
      <c r="GB511" s="770"/>
      <c r="GC511" s="308"/>
      <c r="GD511" s="297"/>
      <c r="GE511" s="770" t="s">
        <v>1214</v>
      </c>
      <c r="GF511" s="302"/>
      <c r="GG511" s="302"/>
      <c r="GH511" s="712" t="s">
        <v>1791</v>
      </c>
      <c r="GI511" s="770" t="s">
        <v>1008</v>
      </c>
      <c r="GJ511" s="770"/>
      <c r="GK511" s="766" t="s">
        <v>1806</v>
      </c>
      <c r="GL511" s="770" t="s">
        <v>2345</v>
      </c>
      <c r="GM511" s="770" t="s">
        <v>1835</v>
      </c>
      <c r="GN511" s="299"/>
      <c r="GO511" s="770"/>
      <c r="GP511" s="770" t="s">
        <v>1208</v>
      </c>
      <c r="GQ511" s="770" t="s">
        <v>1208</v>
      </c>
      <c r="GR511" s="770"/>
      <c r="GS511" s="770" t="s">
        <v>1208</v>
      </c>
      <c r="GT511" s="770" t="s">
        <v>1208</v>
      </c>
      <c r="GU511" s="770"/>
      <c r="GV511" s="770"/>
      <c r="GW511" s="770" t="s">
        <v>1207</v>
      </c>
      <c r="GX511" s="770"/>
      <c r="GY511" s="770" t="s">
        <v>1208</v>
      </c>
      <c r="GZ511" s="770" t="s">
        <v>1208</v>
      </c>
      <c r="HA511" s="770" t="s">
        <v>1208</v>
      </c>
      <c r="HB511" s="770" t="s">
        <v>1208</v>
      </c>
      <c r="HC511" s="770" t="s">
        <v>1208</v>
      </c>
      <c r="HD511" s="770" t="s">
        <v>1208</v>
      </c>
      <c r="HE511" s="770" t="s">
        <v>1208</v>
      </c>
      <c r="HF511" s="770"/>
      <c r="HG511" s="770"/>
      <c r="HH511" s="770"/>
      <c r="HI511" s="770" t="s">
        <v>1214</v>
      </c>
      <c r="HJ511" s="770"/>
      <c r="HK511" s="770"/>
      <c r="HL511" s="770" t="s">
        <v>1214</v>
      </c>
      <c r="HM511" s="770"/>
      <c r="HN511" s="770"/>
      <c r="HO511" s="770"/>
      <c r="HP511" s="770"/>
      <c r="HQ511" s="770"/>
      <c r="HR511" s="770"/>
      <c r="HS511" s="770">
        <v>1</v>
      </c>
      <c r="HT511" s="770"/>
      <c r="HU511" s="770"/>
      <c r="HV511" s="770"/>
      <c r="HW511" s="770"/>
      <c r="HX511" s="770"/>
      <c r="HY511" s="770"/>
      <c r="HZ511" s="770"/>
      <c r="IA511" s="770"/>
      <c r="IB511" s="14" t="e">
        <f>IF(#REF!&gt;0,IF(#REF!&lt;=10000,"Y",""),"")</f>
        <v>#REF!</v>
      </c>
      <c r="IC511" s="770"/>
      <c r="ID511" s="770"/>
      <c r="IE511" s="770"/>
      <c r="IF511" s="770"/>
      <c r="IG511" s="770"/>
      <c r="IH511" s="770"/>
      <c r="II511" s="770"/>
      <c r="IJ511" s="770"/>
      <c r="IK511" s="770"/>
      <c r="IL511" s="770"/>
      <c r="IM511" s="770"/>
      <c r="IN511" s="770"/>
      <c r="IO511" s="296"/>
      <c r="IP511" s="770"/>
      <c r="IQ511" s="770"/>
      <c r="IR511" s="770"/>
      <c r="IS511" s="770"/>
      <c r="IT511" s="770"/>
      <c r="IU511" s="770"/>
      <c r="IV511" s="770"/>
      <c r="IW511" s="770"/>
      <c r="IX511" s="770"/>
      <c r="IY511" s="770"/>
      <c r="IZ511" s="770"/>
      <c r="JA511" s="770"/>
      <c r="JB511" s="770"/>
      <c r="JC511" s="770"/>
      <c r="JD511" s="302"/>
      <c r="JE511" s="770"/>
      <c r="JF511" s="770"/>
      <c r="JG511" s="770"/>
      <c r="JH511" s="307"/>
      <c r="JI511" s="307"/>
      <c r="JJ511" s="770">
        <v>7</v>
      </c>
      <c r="JK511" s="1139" t="s">
        <v>3616</v>
      </c>
      <c r="JL511" s="770"/>
      <c r="JM511" s="770">
        <v>2</v>
      </c>
      <c r="JN511" s="770">
        <v>2</v>
      </c>
      <c r="JO511" s="770">
        <v>3</v>
      </c>
      <c r="JP511" s="770"/>
      <c r="JQ511" s="770"/>
      <c r="JR511" s="770"/>
      <c r="JS511" s="770"/>
      <c r="JT511" s="766">
        <f t="shared" ref="JT511:JU514" si="146">SUM(JP511,JN511,JL511,JR511)</f>
        <v>2</v>
      </c>
      <c r="JU511" s="766">
        <f t="shared" si="146"/>
        <v>5</v>
      </c>
      <c r="JV511" s="712" t="str">
        <f t="shared" si="140"/>
        <v>ok</v>
      </c>
      <c r="JW511" s="712" t="str">
        <f t="shared" si="141"/>
        <v>ok</v>
      </c>
      <c r="JX511" s="770"/>
      <c r="JY511" s="770">
        <v>1</v>
      </c>
      <c r="JZ511" s="770"/>
      <c r="KA511" s="770">
        <v>1</v>
      </c>
      <c r="KB511" s="770">
        <v>2</v>
      </c>
      <c r="KC511" s="770">
        <v>3</v>
      </c>
      <c r="KD511" s="770"/>
      <c r="KE511" s="770"/>
      <c r="KF511" s="770"/>
      <c r="KG511" s="770"/>
      <c r="KH511" s="770"/>
      <c r="KI511" s="770"/>
      <c r="KJ511" s="770">
        <f t="shared" si="126"/>
        <v>2</v>
      </c>
      <c r="KK511" s="770">
        <f t="shared" si="126"/>
        <v>5</v>
      </c>
      <c r="KL511" s="712" t="str">
        <f t="shared" si="142"/>
        <v>ok</v>
      </c>
      <c r="KM511" s="712" t="str">
        <f t="shared" si="143"/>
        <v>ok</v>
      </c>
      <c r="KN511" s="770" t="s">
        <v>722</v>
      </c>
      <c r="KO511" s="770"/>
      <c r="KP511" s="770"/>
      <c r="KQ511" s="770"/>
      <c r="KR511" s="770"/>
      <c r="KS511" s="770">
        <v>1</v>
      </c>
      <c r="KT511" s="770"/>
      <c r="KU511" s="770">
        <v>1</v>
      </c>
      <c r="KV511" s="770"/>
      <c r="KW511" s="770"/>
      <c r="KX511" s="770">
        <v>2</v>
      </c>
      <c r="KY511" s="770">
        <v>2</v>
      </c>
      <c r="KZ511" s="770"/>
      <c r="LA511" s="770"/>
      <c r="LB511" s="770"/>
      <c r="LC511" s="770">
        <v>1</v>
      </c>
      <c r="LD511" s="770"/>
      <c r="LE511" s="770"/>
      <c r="LF511" s="770"/>
      <c r="LG511" s="770"/>
      <c r="LH511" s="770"/>
      <c r="LI511" s="770"/>
      <c r="LJ511" s="770"/>
      <c r="LK511" s="770"/>
      <c r="LL511" s="770"/>
      <c r="LM511" s="770"/>
      <c r="LN511" s="766">
        <f t="shared" si="134"/>
        <v>2</v>
      </c>
      <c r="LO511" s="766">
        <f t="shared" si="134"/>
        <v>5</v>
      </c>
      <c r="LP511" s="770">
        <v>2</v>
      </c>
      <c r="LQ511" s="770">
        <v>1</v>
      </c>
      <c r="LR511" s="770"/>
      <c r="LS511" s="770">
        <v>1</v>
      </c>
      <c r="LT511" s="712" t="str">
        <f t="shared" si="144"/>
        <v>OK</v>
      </c>
      <c r="LU511" s="770"/>
      <c r="LV511" s="770">
        <v>1</v>
      </c>
      <c r="LW511" s="770"/>
      <c r="LX511" s="769">
        <v>3</v>
      </c>
      <c r="LY511" s="766" t="str">
        <f t="shared" si="135"/>
        <v>within the PROVINCE</v>
      </c>
      <c r="LZ511" s="1709">
        <f>70*26</f>
        <v>1820</v>
      </c>
      <c r="MA511" s="1709"/>
      <c r="MB511" s="1709"/>
      <c r="MC511" s="1679">
        <f t="shared" si="133"/>
        <v>1820</v>
      </c>
      <c r="MD511" s="1709">
        <f>491*26</f>
        <v>12766</v>
      </c>
      <c r="ME511" s="1709"/>
      <c r="MF511" s="1709">
        <f>200*30</f>
        <v>6000</v>
      </c>
      <c r="MG511" s="1680">
        <f t="shared" si="145"/>
        <v>18766</v>
      </c>
      <c r="MH511" s="770" t="s">
        <v>3617</v>
      </c>
      <c r="MI511" s="302">
        <f>400*30</f>
        <v>12000</v>
      </c>
      <c r="MJ511" s="302">
        <v>2000</v>
      </c>
      <c r="MK511" s="302">
        <f>2000/12</f>
        <v>166.66666666666666</v>
      </c>
      <c r="ML511" s="302">
        <v>30</v>
      </c>
      <c r="MM511" s="302"/>
      <c r="MN511" s="302"/>
      <c r="MO511" s="302">
        <v>900</v>
      </c>
      <c r="MP511" s="302">
        <v>500</v>
      </c>
      <c r="MQ511" s="302">
        <v>140</v>
      </c>
      <c r="MR511" s="302">
        <v>300</v>
      </c>
      <c r="MS511" s="302">
        <v>500</v>
      </c>
      <c r="MT511" s="302"/>
      <c r="MU511" s="302"/>
      <c r="MV511" s="302"/>
      <c r="MW511" s="302"/>
      <c r="MX511" s="302"/>
      <c r="MY511" s="1682">
        <f t="shared" si="122"/>
        <v>16536.666666666664</v>
      </c>
      <c r="MZ511" s="770" t="s">
        <v>13395</v>
      </c>
      <c r="NA511" s="770" t="s">
        <v>13005</v>
      </c>
      <c r="NB511" s="770" t="s">
        <v>13016</v>
      </c>
      <c r="NC511" s="770" t="s">
        <v>13602</v>
      </c>
      <c r="ND511" s="770">
        <v>1</v>
      </c>
      <c r="NE511" s="770">
        <v>0</v>
      </c>
      <c r="NF511" s="770">
        <v>0</v>
      </c>
      <c r="NG511" s="770">
        <v>1</v>
      </c>
      <c r="NH511" s="770">
        <v>1</v>
      </c>
      <c r="NI511" s="770">
        <v>0</v>
      </c>
      <c r="NJ511" s="770">
        <v>1</v>
      </c>
      <c r="NK511" s="770">
        <v>0</v>
      </c>
      <c r="NL511" s="770">
        <v>0</v>
      </c>
      <c r="NM511" s="770">
        <v>0</v>
      </c>
      <c r="NN511" s="770">
        <v>0</v>
      </c>
      <c r="NO511" s="770">
        <v>0</v>
      </c>
      <c r="NP511" s="770">
        <v>0</v>
      </c>
      <c r="NQ511" s="770">
        <v>0</v>
      </c>
      <c r="NR511" s="770">
        <v>0</v>
      </c>
      <c r="NS511" s="770">
        <v>0</v>
      </c>
      <c r="NT511" s="770">
        <v>0</v>
      </c>
      <c r="NU511" s="770">
        <v>0</v>
      </c>
      <c r="NV511" s="770">
        <v>0</v>
      </c>
      <c r="NW511" s="770">
        <v>0</v>
      </c>
      <c r="NX511" s="770">
        <v>0</v>
      </c>
      <c r="NY511" s="770"/>
      <c r="NZ511" s="770"/>
      <c r="OA511" s="770"/>
      <c r="OB511" s="770"/>
      <c r="OC511" s="770"/>
      <c r="OD511" s="770"/>
      <c r="OE511" s="770"/>
      <c r="OF511" s="770"/>
      <c r="OG511" s="770"/>
      <c r="OH511" s="770"/>
      <c r="OI511" s="770"/>
      <c r="OJ511" s="770"/>
      <c r="OK511" s="770"/>
      <c r="OL511" s="770"/>
      <c r="OM511" s="770"/>
      <c r="ON511" s="770"/>
      <c r="OO511" s="770"/>
      <c r="OP511" s="770"/>
      <c r="OQ511" s="770"/>
      <c r="OR511" s="770"/>
      <c r="OS511" s="770"/>
      <c r="OT511" s="770"/>
      <c r="OU511" s="770"/>
      <c r="OV511" s="770"/>
      <c r="OW511" s="770"/>
      <c r="OX511" s="770"/>
      <c r="OY511" s="770"/>
      <c r="OZ511" s="770"/>
      <c r="PA511" s="770"/>
      <c r="PB511" s="770"/>
      <c r="PC511" s="770"/>
      <c r="PD511" s="770"/>
      <c r="PE511" s="770"/>
      <c r="PF511" s="770"/>
      <c r="PG511" s="770"/>
      <c r="PH511" s="770"/>
      <c r="PI511" s="770"/>
      <c r="PJ511" s="770"/>
      <c r="PK511" s="770"/>
      <c r="PL511" s="770"/>
      <c r="PM511" s="770"/>
      <c r="PN511" s="770"/>
      <c r="PO511" s="770"/>
      <c r="PP511" s="770"/>
      <c r="PQ511" s="770"/>
      <c r="PR511" s="770"/>
      <c r="PS511" s="770" t="s">
        <v>1208</v>
      </c>
      <c r="PT511" s="770" t="s">
        <v>1208</v>
      </c>
      <c r="PU511" s="770"/>
      <c r="PV511" s="770"/>
      <c r="PW511" s="770"/>
      <c r="PX511" s="770"/>
      <c r="PY511" s="770"/>
      <c r="PZ511" s="770"/>
      <c r="QA511" s="770"/>
      <c r="QB511" s="770"/>
      <c r="QC511" s="770"/>
      <c r="QD511" s="770"/>
      <c r="QE511" s="770"/>
      <c r="QF511" s="770"/>
      <c r="QG511" s="770"/>
      <c r="QH511" s="770"/>
      <c r="QI511" s="770"/>
      <c r="QJ511" s="770"/>
      <c r="QK511" s="770"/>
      <c r="QL511" s="770"/>
      <c r="QM511" s="770"/>
      <c r="QN511" s="770"/>
      <c r="QO511" s="770"/>
      <c r="QP511" s="770"/>
      <c r="QQ511" s="770"/>
      <c r="QR511" s="770"/>
      <c r="QS511" s="770"/>
      <c r="QT511" s="770"/>
      <c r="QU511" s="770"/>
      <c r="QV511" s="770"/>
      <c r="QW511" s="770"/>
      <c r="QX511" s="770"/>
      <c r="QY511" s="770"/>
      <c r="QZ511" s="770"/>
      <c r="RA511" s="770"/>
      <c r="RB511" s="770" t="s">
        <v>1207</v>
      </c>
      <c r="RC511" s="770">
        <v>2014</v>
      </c>
      <c r="RD511" s="770" t="s">
        <v>13594</v>
      </c>
      <c r="RE511" s="770" t="s">
        <v>12999</v>
      </c>
      <c r="RF511" s="304">
        <f>CONVERT(3,"ft","m")</f>
        <v>0.91439999999999999</v>
      </c>
      <c r="RG511" s="770" t="s">
        <v>13474</v>
      </c>
      <c r="RH511" s="302">
        <v>0</v>
      </c>
      <c r="RI511" s="770">
        <v>0.5</v>
      </c>
      <c r="RJ511" s="770" t="s">
        <v>3616</v>
      </c>
      <c r="RK511" s="770" t="s">
        <v>13552</v>
      </c>
      <c r="RL511" s="1710">
        <v>42829</v>
      </c>
      <c r="RM511" s="12"/>
      <c r="RN511" s="1711"/>
      <c r="RO511" s="132" t="s">
        <v>3615</v>
      </c>
      <c r="RP511" s="11"/>
      <c r="RQ511" s="11"/>
      <c r="RR511" s="19" t="s">
        <v>7421</v>
      </c>
      <c r="RS511" s="1139" t="s">
        <v>12980</v>
      </c>
      <c r="RT511" s="11"/>
      <c r="RU511" s="11"/>
      <c r="RV511" s="771" t="s">
        <v>7421</v>
      </c>
      <c r="RW511" s="11" t="s">
        <v>7701</v>
      </c>
      <c r="RX511" s="11" t="s">
        <v>3589</v>
      </c>
      <c r="RY511" s="11"/>
      <c r="RZ511" s="11" t="s">
        <v>1101</v>
      </c>
      <c r="SA511" s="771"/>
      <c r="SB511" s="11"/>
      <c r="SC511" s="11"/>
    </row>
    <row r="512" spans="1:497" ht="12.75" customHeight="1">
      <c r="A512" s="19" t="s">
        <v>7421</v>
      </c>
      <c r="B512" s="752" t="s">
        <v>7786</v>
      </c>
      <c r="C512" s="132" t="s">
        <v>2931</v>
      </c>
      <c r="D512" s="94" t="s">
        <v>2932</v>
      </c>
      <c r="E512" s="770" t="s">
        <v>3625</v>
      </c>
      <c r="F512" s="770" t="s">
        <v>28</v>
      </c>
      <c r="G512" s="770" t="s">
        <v>18</v>
      </c>
      <c r="H512" s="770"/>
      <c r="I512" s="295" t="s">
        <v>2934</v>
      </c>
      <c r="J512" s="94" t="str">
        <f ca="1">IF(F512="Head",CELL("contents",D512))</f>
        <v>Ajero, Evangeline Carel</v>
      </c>
      <c r="K512" s="766" t="s">
        <v>2935</v>
      </c>
      <c r="L512" s="766" t="s">
        <v>2936</v>
      </c>
      <c r="M512" s="770" t="s">
        <v>1238</v>
      </c>
      <c r="N512" s="770"/>
      <c r="O512" s="770" t="s">
        <v>2926</v>
      </c>
      <c r="P512" s="94" t="s">
        <v>3438</v>
      </c>
      <c r="Q512" s="1088">
        <v>28549</v>
      </c>
      <c r="R512" s="297">
        <v>39</v>
      </c>
      <c r="S512" s="770" t="s">
        <v>18</v>
      </c>
      <c r="T512" s="770"/>
      <c r="U512" s="295" t="s">
        <v>2934</v>
      </c>
      <c r="V512" s="770" t="s">
        <v>707</v>
      </c>
      <c r="W512" s="770"/>
      <c r="X512" s="770"/>
      <c r="Y512" s="770" t="s">
        <v>3625</v>
      </c>
      <c r="Z512" s="770" t="s">
        <v>708</v>
      </c>
      <c r="AA512" s="770" t="s">
        <v>709</v>
      </c>
      <c r="AB512" s="295" t="s">
        <v>710</v>
      </c>
      <c r="AC512" s="770" t="s">
        <v>724</v>
      </c>
      <c r="AD512" s="770" t="s">
        <v>711</v>
      </c>
      <c r="AE512" s="770"/>
      <c r="AF512" s="770" t="s">
        <v>712</v>
      </c>
      <c r="AG512" s="766" t="s">
        <v>1132</v>
      </c>
      <c r="AH512" s="766" t="s">
        <v>1096</v>
      </c>
      <c r="AI512" s="770"/>
      <c r="AJ512" s="770" t="s">
        <v>1137</v>
      </c>
      <c r="AK512" s="770" t="s">
        <v>1101</v>
      </c>
      <c r="AL512" s="531">
        <v>5.61</v>
      </c>
      <c r="AM512" s="780">
        <v>5.61</v>
      </c>
      <c r="AN512" s="532">
        <f>AM512/AL512</f>
        <v>1</v>
      </c>
      <c r="AO512" s="766" t="s">
        <v>1122</v>
      </c>
      <c r="AP512" s="766"/>
      <c r="AQ512" s="766"/>
      <c r="AR512" s="766"/>
      <c r="AS512" s="770"/>
      <c r="AT512" s="770"/>
      <c r="AU512" s="770"/>
      <c r="AV512" s="770"/>
      <c r="AW512" s="770"/>
      <c r="AX512" s="770"/>
      <c r="AY512" s="770"/>
      <c r="AZ512" s="770"/>
      <c r="BA512" s="770"/>
      <c r="BB512" s="770"/>
      <c r="BC512" s="770"/>
      <c r="BD512" s="770"/>
      <c r="BE512" s="770"/>
      <c r="BF512" s="302"/>
      <c r="BG512" s="302"/>
      <c r="BH512" s="770"/>
      <c r="BI512" s="770"/>
      <c r="BJ512" s="770"/>
      <c r="BK512" s="770" t="s">
        <v>1095</v>
      </c>
      <c r="BL512" s="770" t="s">
        <v>3440</v>
      </c>
      <c r="BM512" s="766" t="s">
        <v>1096</v>
      </c>
      <c r="BN512" s="770" t="s">
        <v>1230</v>
      </c>
      <c r="BO512" s="766" t="s">
        <v>1246</v>
      </c>
      <c r="BP512" s="1109">
        <v>12.75</v>
      </c>
      <c r="BQ512" s="773">
        <v>12.75</v>
      </c>
      <c r="BR512" s="774">
        <f>BQ512/BP512</f>
        <v>1</v>
      </c>
      <c r="BS512" s="766" t="s">
        <v>1257</v>
      </c>
      <c r="BT512" s="770" t="s">
        <v>1326</v>
      </c>
      <c r="BU512" s="766" t="s">
        <v>1264</v>
      </c>
      <c r="BV512" s="770" t="s">
        <v>1247</v>
      </c>
      <c r="BW512" s="769"/>
      <c r="BX512" s="302"/>
      <c r="BY512" s="770" t="s">
        <v>1207</v>
      </c>
      <c r="BZ512" s="302" t="s">
        <v>2769</v>
      </c>
      <c r="CA512" s="770"/>
      <c r="CB512" s="770"/>
      <c r="CC512" s="770"/>
      <c r="CD512" s="770"/>
      <c r="CE512" s="770"/>
      <c r="CF512" s="1753"/>
      <c r="CG512" s="1754"/>
      <c r="CH512" s="770"/>
      <c r="CI512" s="770"/>
      <c r="CJ512" s="770"/>
      <c r="CK512" s="770"/>
      <c r="CL512" s="770"/>
      <c r="CM512" s="770"/>
      <c r="CN512" s="770"/>
      <c r="CO512" s="770"/>
      <c r="CP512" s="770"/>
      <c r="CQ512" s="770"/>
      <c r="CR512" s="302"/>
      <c r="CS512" s="770"/>
      <c r="CT512" s="770"/>
      <c r="CU512" s="305"/>
      <c r="CV512" s="770"/>
      <c r="CW512" s="770"/>
      <c r="CX512" s="770"/>
      <c r="CY512" s="770"/>
      <c r="CZ512" s="770"/>
      <c r="DA512" s="306"/>
      <c r="DB512" s="770"/>
      <c r="DC512" s="770"/>
      <c r="DD512" s="770"/>
      <c r="DE512" s="300"/>
      <c r="DF512" s="770"/>
      <c r="DG512" s="770"/>
      <c r="DH512" s="770"/>
      <c r="DI512" s="770"/>
      <c r="DJ512" s="770"/>
      <c r="DK512" s="770"/>
      <c r="DL512" s="770"/>
      <c r="DM512" s="770"/>
      <c r="DN512" s="322"/>
      <c r="DO512" s="770"/>
      <c r="DP512" s="770"/>
      <c r="DQ512" s="770"/>
      <c r="DR512" s="770"/>
      <c r="DS512" s="307"/>
      <c r="DT512" s="770"/>
      <c r="DU512" s="770"/>
      <c r="DV512" s="770"/>
      <c r="DW512" s="306"/>
      <c r="DX512" s="306"/>
      <c r="DY512" s="770"/>
      <c r="DZ512" s="770"/>
      <c r="EA512" s="770"/>
      <c r="EB512" s="770"/>
      <c r="EC512" s="770"/>
      <c r="ED512" s="770"/>
      <c r="EE512" s="770"/>
      <c r="EF512" s="770"/>
      <c r="EG512" s="770"/>
      <c r="EH512" s="770"/>
      <c r="EI512" s="770"/>
      <c r="EJ512" s="770"/>
      <c r="EK512" s="770"/>
      <c r="EL512" s="770"/>
      <c r="EM512" s="770"/>
      <c r="EN512" s="770"/>
      <c r="EO512" s="770"/>
      <c r="EP512" s="94"/>
      <c r="EQ512" s="770"/>
      <c r="ER512" s="770"/>
      <c r="ES512" s="770"/>
      <c r="ET512" s="770"/>
      <c r="EU512" s="770"/>
      <c r="EV512" s="770"/>
      <c r="EW512" s="770"/>
      <c r="EX512" s="770"/>
      <c r="EY512" s="770"/>
      <c r="EZ512" s="770"/>
      <c r="FA512" s="770"/>
      <c r="FB512" s="770"/>
      <c r="FC512" s="770"/>
      <c r="FD512" s="302"/>
      <c r="FE512" s="770"/>
      <c r="FF512" s="770"/>
      <c r="FG512" s="770"/>
      <c r="FH512" s="770" t="s">
        <v>478</v>
      </c>
      <c r="FI512" s="770">
        <v>2</v>
      </c>
      <c r="FJ512" s="770" t="s">
        <v>3441</v>
      </c>
      <c r="FK512" s="295" t="s">
        <v>2934</v>
      </c>
      <c r="FL512" s="770" t="s">
        <v>2933</v>
      </c>
      <c r="FM512" s="770"/>
      <c r="FN512" s="770"/>
      <c r="FO512" s="12"/>
      <c r="FP512" s="766" t="s">
        <v>1602</v>
      </c>
      <c r="FQ512" s="766" t="s">
        <v>1660</v>
      </c>
      <c r="FR512" s="770" t="s">
        <v>1214</v>
      </c>
      <c r="FS512" s="770"/>
      <c r="FT512" s="770"/>
      <c r="FU512" s="770"/>
      <c r="FV512" s="770"/>
      <c r="FW512" s="770"/>
      <c r="FX512" s="770"/>
      <c r="FY512" s="770"/>
      <c r="FZ512" s="770"/>
      <c r="GA512" s="770"/>
      <c r="GB512" s="770"/>
      <c r="GC512" s="308"/>
      <c r="GD512" s="297"/>
      <c r="GE512" s="770"/>
      <c r="GF512" s="302"/>
      <c r="GG512" s="302"/>
      <c r="GH512" s="712" t="s">
        <v>1791</v>
      </c>
      <c r="GI512" s="770" t="s">
        <v>1008</v>
      </c>
      <c r="GJ512" s="770" t="s">
        <v>3209</v>
      </c>
      <c r="GK512" s="766" t="s">
        <v>1806</v>
      </c>
      <c r="GL512" s="770"/>
      <c r="GM512" s="770" t="s">
        <v>1835</v>
      </c>
      <c r="GN512" s="299">
        <v>100</v>
      </c>
      <c r="GO512" s="770" t="s">
        <v>2760</v>
      </c>
      <c r="GP512" s="770"/>
      <c r="GQ512" s="770" t="s">
        <v>1208</v>
      </c>
      <c r="GR512" s="770"/>
      <c r="GS512" s="770"/>
      <c r="GT512" s="770"/>
      <c r="GU512" s="770"/>
      <c r="GV512" s="770"/>
      <c r="GW512" s="770" t="s">
        <v>1207</v>
      </c>
      <c r="GX512" s="770"/>
      <c r="GY512" s="770" t="s">
        <v>1208</v>
      </c>
      <c r="GZ512" s="770"/>
      <c r="HA512" s="770" t="s">
        <v>1208</v>
      </c>
      <c r="HB512" s="770" t="s">
        <v>1208</v>
      </c>
      <c r="HC512" s="770" t="s">
        <v>1208</v>
      </c>
      <c r="HD512" s="770" t="s">
        <v>1208</v>
      </c>
      <c r="HE512" s="770" t="s">
        <v>1208</v>
      </c>
      <c r="HF512" s="770"/>
      <c r="HG512" s="770"/>
      <c r="HH512" s="770"/>
      <c r="HI512" s="770" t="s">
        <v>1214</v>
      </c>
      <c r="HJ512" s="770"/>
      <c r="HK512" s="770"/>
      <c r="HL512" s="770"/>
      <c r="HM512" s="770"/>
      <c r="HN512" s="770"/>
      <c r="HO512" s="770"/>
      <c r="HP512" s="770"/>
      <c r="HQ512" s="770"/>
      <c r="HR512" s="770"/>
      <c r="HS512" s="770">
        <v>2</v>
      </c>
      <c r="HT512" s="770"/>
      <c r="HU512" s="770"/>
      <c r="HV512" s="770"/>
      <c r="HW512" s="770"/>
      <c r="HX512" s="770"/>
      <c r="HY512" s="770"/>
      <c r="HZ512" s="770"/>
      <c r="IA512" s="770"/>
      <c r="IB512" s="14" t="e">
        <f>IF(#REF!&gt;0,IF(#REF!&lt;=10000,"Y",""),"")</f>
        <v>#REF!</v>
      </c>
      <c r="IC512" s="770"/>
      <c r="ID512" s="770"/>
      <c r="IE512" s="770"/>
      <c r="IF512" s="770"/>
      <c r="IG512" s="770"/>
      <c r="IH512" s="770"/>
      <c r="II512" s="770"/>
      <c r="IJ512" s="770"/>
      <c r="IK512" s="770"/>
      <c r="IL512" s="770"/>
      <c r="IM512" s="770"/>
      <c r="IN512" s="770"/>
      <c r="IO512" s="296"/>
      <c r="IP512" s="770"/>
      <c r="IQ512" s="770"/>
      <c r="IR512" s="770"/>
      <c r="IS512" s="770"/>
      <c r="IT512" s="770"/>
      <c r="IU512" s="770"/>
      <c r="IV512" s="770"/>
      <c r="IW512" s="770"/>
      <c r="IX512" s="770"/>
      <c r="IY512" s="770"/>
      <c r="IZ512" s="770"/>
      <c r="JA512" s="770"/>
      <c r="JB512" s="770"/>
      <c r="JC512" s="770"/>
      <c r="JD512" s="302"/>
      <c r="JE512" s="770"/>
      <c r="JF512" s="770"/>
      <c r="JG512" s="770"/>
      <c r="JH512" s="307"/>
      <c r="JI512" s="712" t="str">
        <f>IF(SUM(JT512,JU512)=JJ512,"ok","review")</f>
        <v>ok</v>
      </c>
      <c r="JJ512" s="770">
        <v>4</v>
      </c>
      <c r="JK512" s="1139" t="s">
        <v>2937</v>
      </c>
      <c r="JL512" s="770"/>
      <c r="JM512" s="770">
        <v>2</v>
      </c>
      <c r="JN512" s="770">
        <v>1</v>
      </c>
      <c r="JO512" s="770">
        <v>1</v>
      </c>
      <c r="JP512" s="770"/>
      <c r="JQ512" s="770"/>
      <c r="JR512" s="770"/>
      <c r="JS512" s="770"/>
      <c r="JT512" s="766">
        <f t="shared" si="146"/>
        <v>1</v>
      </c>
      <c r="JU512" s="766">
        <f t="shared" si="146"/>
        <v>3</v>
      </c>
      <c r="JV512" s="712" t="str">
        <f t="shared" si="140"/>
        <v>ok</v>
      </c>
      <c r="JW512" s="712" t="str">
        <f t="shared" si="141"/>
        <v>ok</v>
      </c>
      <c r="JX512" s="770"/>
      <c r="JY512" s="770">
        <v>2</v>
      </c>
      <c r="JZ512" s="770"/>
      <c r="KA512" s="770"/>
      <c r="KB512" s="770"/>
      <c r="KC512" s="770"/>
      <c r="KD512" s="770">
        <v>1</v>
      </c>
      <c r="KE512" s="770">
        <v>1</v>
      </c>
      <c r="KF512" s="770"/>
      <c r="KG512" s="770"/>
      <c r="KH512" s="770"/>
      <c r="KI512" s="770"/>
      <c r="KJ512" s="770">
        <f t="shared" si="126"/>
        <v>1</v>
      </c>
      <c r="KK512" s="770">
        <f t="shared" si="126"/>
        <v>3</v>
      </c>
      <c r="KL512" s="712" t="str">
        <f t="shared" si="142"/>
        <v>ok</v>
      </c>
      <c r="KM512" s="712" t="str">
        <f t="shared" si="143"/>
        <v>ok</v>
      </c>
      <c r="KN512" s="770" t="s">
        <v>707</v>
      </c>
      <c r="KO512" s="770"/>
      <c r="KP512" s="770"/>
      <c r="KQ512" s="770"/>
      <c r="KR512" s="770"/>
      <c r="KS512" s="770"/>
      <c r="KT512" s="770"/>
      <c r="KU512" s="770"/>
      <c r="KV512" s="770"/>
      <c r="KW512" s="770"/>
      <c r="KX512" s="770"/>
      <c r="KY512" s="770">
        <v>1</v>
      </c>
      <c r="KZ512" s="770"/>
      <c r="LA512" s="770"/>
      <c r="LB512" s="770">
        <v>1</v>
      </c>
      <c r="LC512" s="770"/>
      <c r="LD512" s="770"/>
      <c r="LE512" s="770"/>
      <c r="LF512" s="770"/>
      <c r="LG512" s="770"/>
      <c r="LH512" s="770"/>
      <c r="LI512" s="770"/>
      <c r="LJ512" s="770"/>
      <c r="LK512" s="770">
        <v>2</v>
      </c>
      <c r="LL512" s="770"/>
      <c r="LM512" s="770"/>
      <c r="LN512" s="766">
        <f t="shared" si="134"/>
        <v>1</v>
      </c>
      <c r="LO512" s="766">
        <f t="shared" si="134"/>
        <v>3</v>
      </c>
      <c r="LP512" s="770">
        <v>1</v>
      </c>
      <c r="LQ512" s="770">
        <v>1</v>
      </c>
      <c r="LR512" s="770"/>
      <c r="LS512" s="770">
        <v>1</v>
      </c>
      <c r="LT512" s="712" t="str">
        <f t="shared" si="144"/>
        <v>OK</v>
      </c>
      <c r="LU512" s="770">
        <v>1</v>
      </c>
      <c r="LV512" s="770"/>
      <c r="LW512" s="770"/>
      <c r="LX512" s="769">
        <v>3</v>
      </c>
      <c r="LY512" s="766" t="str">
        <f t="shared" si="135"/>
        <v>within the PROVINCE</v>
      </c>
      <c r="LZ512" s="1709">
        <v>3000</v>
      </c>
      <c r="MA512" s="1709"/>
      <c r="MB512" s="1709"/>
      <c r="MC512" s="1679">
        <f t="shared" si="133"/>
        <v>3000</v>
      </c>
      <c r="MD512" s="1696">
        <v>14000</v>
      </c>
      <c r="ME512" s="1696"/>
      <c r="MF512" s="1696"/>
      <c r="MG512" s="1680">
        <f t="shared" si="145"/>
        <v>14000</v>
      </c>
      <c r="MH512" s="770" t="s">
        <v>2966</v>
      </c>
      <c r="MI512" s="302">
        <v>12000</v>
      </c>
      <c r="MJ512" s="302">
        <v>3000</v>
      </c>
      <c r="MK512" s="302">
        <f>1600/12</f>
        <v>133.33333333333334</v>
      </c>
      <c r="ML512" s="302">
        <v>20</v>
      </c>
      <c r="MM512" s="302"/>
      <c r="MN512" s="302"/>
      <c r="MO512" s="302">
        <v>240</v>
      </c>
      <c r="MP512" s="302">
        <v>500</v>
      </c>
      <c r="MQ512" s="302">
        <v>140</v>
      </c>
      <c r="MR512" s="302">
        <v>300</v>
      </c>
      <c r="MS512" s="302">
        <v>500</v>
      </c>
      <c r="MT512" s="302"/>
      <c r="MU512" s="302"/>
      <c r="MV512" s="302"/>
      <c r="MW512" s="302"/>
      <c r="MX512" s="302"/>
      <c r="MY512" s="1682">
        <f t="shared" si="122"/>
        <v>16833.333333333336</v>
      </c>
      <c r="MZ512" s="770" t="s">
        <v>13370</v>
      </c>
      <c r="NA512" s="770" t="s">
        <v>13230</v>
      </c>
      <c r="NB512" s="770" t="s">
        <v>13016</v>
      </c>
      <c r="NC512" s="770" t="s">
        <v>13602</v>
      </c>
      <c r="ND512" s="770">
        <v>0</v>
      </c>
      <c r="NE512" s="770">
        <v>0</v>
      </c>
      <c r="NF512" s="770">
        <v>0</v>
      </c>
      <c r="NG512" s="770">
        <v>1</v>
      </c>
      <c r="NH512" s="770">
        <v>1</v>
      </c>
      <c r="NI512" s="770">
        <v>1</v>
      </c>
      <c r="NJ512" s="770">
        <v>1</v>
      </c>
      <c r="NK512" s="770">
        <v>0</v>
      </c>
      <c r="NL512" s="770">
        <v>0</v>
      </c>
      <c r="NM512" s="770">
        <v>1</v>
      </c>
      <c r="NN512" s="770">
        <v>0</v>
      </c>
      <c r="NO512" s="770">
        <v>0</v>
      </c>
      <c r="NP512" s="770">
        <v>0</v>
      </c>
      <c r="NQ512" s="770">
        <v>0</v>
      </c>
      <c r="NR512" s="770">
        <v>0</v>
      </c>
      <c r="NS512" s="770">
        <v>0</v>
      </c>
      <c r="NT512" s="770">
        <v>0</v>
      </c>
      <c r="NU512" s="770">
        <v>0</v>
      </c>
      <c r="NV512" s="770">
        <v>0</v>
      </c>
      <c r="NW512" s="770">
        <v>0</v>
      </c>
      <c r="NX512" s="770">
        <v>0</v>
      </c>
      <c r="NY512" s="770"/>
      <c r="NZ512" s="770"/>
      <c r="OA512" s="770"/>
      <c r="OB512" s="770"/>
      <c r="OC512" s="770" t="s">
        <v>1208</v>
      </c>
      <c r="OD512" s="770"/>
      <c r="OE512" s="770"/>
      <c r="OF512" s="770"/>
      <c r="OG512" s="770"/>
      <c r="OH512" s="770"/>
      <c r="OI512" s="770"/>
      <c r="OJ512" s="770"/>
      <c r="OK512" s="770"/>
      <c r="OL512" s="770"/>
      <c r="OM512" s="770"/>
      <c r="ON512" s="770"/>
      <c r="OO512" s="770"/>
      <c r="OP512" s="770"/>
      <c r="OQ512" s="770"/>
      <c r="OR512" s="770"/>
      <c r="OS512" s="770"/>
      <c r="OT512" s="770"/>
      <c r="OU512" s="770"/>
      <c r="OV512" s="770"/>
      <c r="OW512" s="770"/>
      <c r="OX512" s="770"/>
      <c r="OY512" s="770"/>
      <c r="OZ512" s="770"/>
      <c r="PA512" s="770"/>
      <c r="PB512" s="770"/>
      <c r="PC512" s="770"/>
      <c r="PD512" s="770"/>
      <c r="PE512" s="770"/>
      <c r="PF512" s="770"/>
      <c r="PG512" s="770" t="s">
        <v>1208</v>
      </c>
      <c r="PH512" s="770"/>
      <c r="PI512" s="770" t="s">
        <v>1208</v>
      </c>
      <c r="PJ512" s="770"/>
      <c r="PK512" s="770" t="s">
        <v>1208</v>
      </c>
      <c r="PL512" s="770"/>
      <c r="PM512" s="770"/>
      <c r="PN512" s="770"/>
      <c r="PO512" s="770"/>
      <c r="PP512" s="770"/>
      <c r="PQ512" s="770"/>
      <c r="PR512" s="770"/>
      <c r="PS512" s="770"/>
      <c r="PT512" s="770"/>
      <c r="PU512" s="770"/>
      <c r="PV512" s="770"/>
      <c r="PW512" s="770"/>
      <c r="PX512" s="770"/>
      <c r="PY512" s="770"/>
      <c r="PZ512" s="770"/>
      <c r="QA512" s="770"/>
      <c r="QB512" s="770"/>
      <c r="QC512" s="770"/>
      <c r="QD512" s="770"/>
      <c r="QE512" s="770"/>
      <c r="QF512" s="770"/>
      <c r="QG512" s="770"/>
      <c r="QH512" s="770"/>
      <c r="QI512" s="770"/>
      <c r="QJ512" s="770"/>
      <c r="QK512" s="770"/>
      <c r="QL512" s="770"/>
      <c r="QM512" s="770"/>
      <c r="QN512" s="770"/>
      <c r="QO512" s="770"/>
      <c r="QP512" s="770"/>
      <c r="QQ512" s="770"/>
      <c r="QR512" s="770"/>
      <c r="QS512" s="770"/>
      <c r="QT512" s="770"/>
      <c r="QU512" s="770"/>
      <c r="QV512" s="770"/>
      <c r="QW512" s="770"/>
      <c r="QX512" s="770"/>
      <c r="QY512" s="770"/>
      <c r="QZ512" s="770"/>
      <c r="RA512" s="770"/>
      <c r="RB512" s="770" t="s">
        <v>1214</v>
      </c>
      <c r="RC512" s="770"/>
      <c r="RD512" s="770"/>
      <c r="RE512" s="770"/>
      <c r="RF512" s="304"/>
      <c r="RG512" s="770"/>
      <c r="RH512" s="302"/>
      <c r="RI512" s="770"/>
      <c r="RJ512" s="770" t="s">
        <v>2937</v>
      </c>
      <c r="RK512" s="770" t="s">
        <v>13556</v>
      </c>
      <c r="RL512" s="1710"/>
      <c r="RM512" s="12"/>
      <c r="RN512" s="1711"/>
      <c r="RO512" s="132" t="s">
        <v>2931</v>
      </c>
      <c r="RP512" s="11"/>
      <c r="RQ512" s="11"/>
      <c r="RR512" s="19" t="s">
        <v>7421</v>
      </c>
      <c r="RS512" s="1139" t="s">
        <v>12980</v>
      </c>
      <c r="RT512" s="11"/>
      <c r="RU512" s="11"/>
      <c r="RV512" s="771" t="s">
        <v>12452</v>
      </c>
      <c r="RW512" s="11" t="s">
        <v>7501</v>
      </c>
      <c r="RX512" s="11" t="s">
        <v>2924</v>
      </c>
      <c r="RY512" s="11"/>
      <c r="RZ512" s="11" t="s">
        <v>1101</v>
      </c>
      <c r="SA512" s="771"/>
      <c r="SB512" s="11"/>
      <c r="SC512" s="11"/>
    </row>
    <row r="513" spans="1:497" ht="12.75" customHeight="1">
      <c r="A513" s="19" t="s">
        <v>7421</v>
      </c>
      <c r="B513" s="752" t="s">
        <v>11706</v>
      </c>
      <c r="C513" s="132" t="s">
        <v>2938</v>
      </c>
      <c r="D513" s="94" t="s">
        <v>3622</v>
      </c>
      <c r="E513" s="770" t="s">
        <v>3625</v>
      </c>
      <c r="F513" s="770" t="s">
        <v>28</v>
      </c>
      <c r="G513" s="770" t="s">
        <v>10</v>
      </c>
      <c r="H513" s="770"/>
      <c r="I513" s="295"/>
      <c r="J513" s="94" t="s">
        <v>3622</v>
      </c>
      <c r="K513" s="766" t="s">
        <v>3632</v>
      </c>
      <c r="L513" s="766" t="s">
        <v>2269</v>
      </c>
      <c r="M513" s="770" t="s">
        <v>1238</v>
      </c>
      <c r="N513" s="770"/>
      <c r="O513" s="770" t="s">
        <v>2926</v>
      </c>
      <c r="P513" s="94" t="s">
        <v>3621</v>
      </c>
      <c r="Q513" s="1088">
        <v>26706</v>
      </c>
      <c r="R513" s="297">
        <v>42</v>
      </c>
      <c r="S513" s="770" t="s">
        <v>10</v>
      </c>
      <c r="T513" s="770"/>
      <c r="U513" s="295"/>
      <c r="V513" s="770" t="s">
        <v>707</v>
      </c>
      <c r="W513" s="770"/>
      <c r="X513" s="770"/>
      <c r="Y513" s="770" t="s">
        <v>3625</v>
      </c>
      <c r="Z513" s="770" t="s">
        <v>708</v>
      </c>
      <c r="AA513" s="770" t="s">
        <v>709</v>
      </c>
      <c r="AB513" s="770" t="s">
        <v>744</v>
      </c>
      <c r="AC513" s="770" t="s">
        <v>724</v>
      </c>
      <c r="AD513" s="770" t="s">
        <v>711</v>
      </c>
      <c r="AE513" s="770"/>
      <c r="AF513" s="770" t="s">
        <v>712</v>
      </c>
      <c r="AG513" s="766" t="s">
        <v>1132</v>
      </c>
      <c r="AH513" s="766" t="s">
        <v>1096</v>
      </c>
      <c r="AI513" s="770"/>
      <c r="AJ513" s="770" t="s">
        <v>1137</v>
      </c>
      <c r="AK513" s="770" t="s">
        <v>1101</v>
      </c>
      <c r="AL513" s="531">
        <v>21</v>
      </c>
      <c r="AM513" s="780">
        <v>1.5</v>
      </c>
      <c r="AN513" s="532">
        <f>AM513/AL513</f>
        <v>7.1428571428571425E-2</v>
      </c>
      <c r="AO513" s="766" t="s">
        <v>1098</v>
      </c>
      <c r="AP513" s="766"/>
      <c r="AQ513" s="766"/>
      <c r="AR513" s="766"/>
      <c r="AS513" s="770"/>
      <c r="AT513" s="770"/>
      <c r="AU513" s="770"/>
      <c r="AV513" s="770"/>
      <c r="AW513" s="770"/>
      <c r="AX513" s="770"/>
      <c r="AY513" s="770"/>
      <c r="AZ513" s="770"/>
      <c r="BA513" s="770"/>
      <c r="BB513" s="770"/>
      <c r="BC513" s="770"/>
      <c r="BD513" s="770"/>
      <c r="BE513" s="770"/>
      <c r="BF513" s="302"/>
      <c r="BG513" s="302"/>
      <c r="BH513" s="770"/>
      <c r="BI513" s="770"/>
      <c r="BJ513" s="770"/>
      <c r="BK513" s="770" t="s">
        <v>1095</v>
      </c>
      <c r="BL513" s="94" t="s">
        <v>3622</v>
      </c>
      <c r="BM513" s="766" t="s">
        <v>1096</v>
      </c>
      <c r="BN513" s="770" t="s">
        <v>1230</v>
      </c>
      <c r="BO513" s="766" t="s">
        <v>1239</v>
      </c>
      <c r="BP513" s="1109">
        <v>42</v>
      </c>
      <c r="BQ513" s="773">
        <v>3</v>
      </c>
      <c r="BR513" s="774">
        <f>BQ513/BP513</f>
        <v>7.1428571428571425E-2</v>
      </c>
      <c r="BS513" s="766" t="s">
        <v>1242</v>
      </c>
      <c r="BT513" s="766" t="s">
        <v>8133</v>
      </c>
      <c r="BU513" s="766" t="s">
        <v>1264</v>
      </c>
      <c r="BV513" s="770" t="s">
        <v>1247</v>
      </c>
      <c r="BW513" s="770">
        <v>1988</v>
      </c>
      <c r="BX513" s="302"/>
      <c r="BY513" s="770"/>
      <c r="BZ513" s="302"/>
      <c r="CA513" s="770"/>
      <c r="CB513" s="770" t="s">
        <v>1207</v>
      </c>
      <c r="CC513" s="770" t="s">
        <v>3621</v>
      </c>
      <c r="CD513" s="770"/>
      <c r="CE513" s="770"/>
      <c r="CF513" s="1753">
        <v>1.7</v>
      </c>
      <c r="CG513" s="1754">
        <v>14</v>
      </c>
      <c r="CH513" s="770" t="s">
        <v>1291</v>
      </c>
      <c r="CI513" s="770"/>
      <c r="CJ513" s="770"/>
      <c r="CK513" s="770">
        <v>4</v>
      </c>
      <c r="CL513" s="770"/>
      <c r="CM513" s="770" t="s">
        <v>3633</v>
      </c>
      <c r="CN513" s="770"/>
      <c r="CO513" s="770" t="s">
        <v>1105</v>
      </c>
      <c r="CP513" s="770"/>
      <c r="CQ513" s="770"/>
      <c r="CR513" s="302"/>
      <c r="CS513" s="770"/>
      <c r="CT513" s="770"/>
      <c r="CU513" s="305"/>
      <c r="CV513" s="770"/>
      <c r="CW513" s="770"/>
      <c r="CX513" s="770"/>
      <c r="CY513" s="770"/>
      <c r="CZ513" s="770"/>
      <c r="DA513" s="306"/>
      <c r="DB513" s="770"/>
      <c r="DC513" s="770"/>
      <c r="DD513" s="770"/>
      <c r="DE513" s="300"/>
      <c r="DF513" s="770"/>
      <c r="DG513" s="770"/>
      <c r="DH513" s="770"/>
      <c r="DI513" s="770"/>
      <c r="DJ513" s="770"/>
      <c r="DK513" s="770"/>
      <c r="DL513" s="770"/>
      <c r="DM513" s="770"/>
      <c r="DN513" s="322"/>
      <c r="DO513" s="770"/>
      <c r="DP513" s="770"/>
      <c r="DQ513" s="770"/>
      <c r="DR513" s="770"/>
      <c r="DS513" s="307"/>
      <c r="DT513" s="770"/>
      <c r="DU513" s="770"/>
      <c r="DV513" s="770"/>
      <c r="DW513" s="306"/>
      <c r="DX513" s="306"/>
      <c r="DY513" s="770"/>
      <c r="DZ513" s="770"/>
      <c r="EA513" s="770"/>
      <c r="EB513" s="770"/>
      <c r="EC513" s="770"/>
      <c r="ED513" s="770"/>
      <c r="EE513" s="770"/>
      <c r="EF513" s="770"/>
      <c r="EG513" s="770"/>
      <c r="EH513" s="770"/>
      <c r="EI513" s="770"/>
      <c r="EJ513" s="770"/>
      <c r="EK513" s="770"/>
      <c r="EL513" s="770"/>
      <c r="EM513" s="770"/>
      <c r="EN513" s="770"/>
      <c r="EO513" s="770"/>
      <c r="EP513" s="94"/>
      <c r="EQ513" s="770"/>
      <c r="ER513" s="770"/>
      <c r="ES513" s="770"/>
      <c r="ET513" s="770"/>
      <c r="EU513" s="770"/>
      <c r="EV513" s="770"/>
      <c r="EW513" s="770"/>
      <c r="EX513" s="770"/>
      <c r="EY513" s="770"/>
      <c r="EZ513" s="770"/>
      <c r="FA513" s="770"/>
      <c r="FB513" s="770"/>
      <c r="FC513" s="770"/>
      <c r="FD513" s="302"/>
      <c r="FE513" s="770"/>
      <c r="FF513" s="770"/>
      <c r="FG513" s="770"/>
      <c r="FH513" s="769" t="s">
        <v>478</v>
      </c>
      <c r="FI513" s="770">
        <v>1</v>
      </c>
      <c r="FJ513" s="769" t="s">
        <v>2943</v>
      </c>
      <c r="FK513" s="770"/>
      <c r="FL513" s="770" t="s">
        <v>2944</v>
      </c>
      <c r="FM513" s="302"/>
      <c r="FN513" s="302"/>
      <c r="FO513" s="302"/>
      <c r="FP513" s="770" t="s">
        <v>1600</v>
      </c>
      <c r="FQ513" s="770" t="s">
        <v>3940</v>
      </c>
      <c r="FR513" s="770" t="s">
        <v>1207</v>
      </c>
      <c r="FS513" s="770" t="s">
        <v>1208</v>
      </c>
      <c r="FT513" s="770"/>
      <c r="FU513" s="770"/>
      <c r="FV513" s="770"/>
      <c r="FW513" s="770"/>
      <c r="FX513" s="770"/>
      <c r="FY513" s="770"/>
      <c r="FZ513" s="770"/>
      <c r="GA513" s="770"/>
      <c r="GB513" s="770" t="s">
        <v>853</v>
      </c>
      <c r="GC513" s="308" t="s">
        <v>2943</v>
      </c>
      <c r="GD513" s="297">
        <v>1988</v>
      </c>
      <c r="GE513" s="770" t="s">
        <v>1214</v>
      </c>
      <c r="GF513" s="302"/>
      <c r="GG513" s="302"/>
      <c r="GH513" s="766" t="s">
        <v>14260</v>
      </c>
      <c r="GI513" s="770"/>
      <c r="GJ513" s="770"/>
      <c r="GK513" s="770"/>
      <c r="GL513" s="770"/>
      <c r="GM513" s="770"/>
      <c r="GN513" s="299"/>
      <c r="GO513" s="770"/>
      <c r="GP513" s="770"/>
      <c r="GQ513" s="770"/>
      <c r="GR513" s="770"/>
      <c r="GS513" s="770"/>
      <c r="GT513" s="770"/>
      <c r="GU513" s="770"/>
      <c r="GV513" s="770"/>
      <c r="GW513" s="770"/>
      <c r="GX513" s="770"/>
      <c r="GY513" s="770"/>
      <c r="GZ513" s="770"/>
      <c r="HA513" s="770"/>
      <c r="HB513" s="770"/>
      <c r="HC513" s="770"/>
      <c r="HD513" s="770"/>
      <c r="HE513" s="770"/>
      <c r="HF513" s="770"/>
      <c r="HG513" s="770"/>
      <c r="HH513" s="770"/>
      <c r="HI513" s="770" t="s">
        <v>1214</v>
      </c>
      <c r="HJ513" s="770"/>
      <c r="HK513" s="770"/>
      <c r="HL513" s="770" t="s">
        <v>1214</v>
      </c>
      <c r="HM513" s="770"/>
      <c r="HN513" s="770"/>
      <c r="HO513" s="770"/>
      <c r="HP513" s="770"/>
      <c r="HQ513" s="770"/>
      <c r="HR513" s="770"/>
      <c r="HS513" s="770">
        <v>1</v>
      </c>
      <c r="HT513" s="770"/>
      <c r="HU513" s="770"/>
      <c r="HV513" s="770"/>
      <c r="HW513" s="770"/>
      <c r="HX513" s="770"/>
      <c r="HY513" s="770"/>
      <c r="HZ513" s="770"/>
      <c r="IA513" s="770"/>
      <c r="IB513" s="14" t="e">
        <f>IF(#REF!&gt;0,IF(#REF!&lt;=10000,"Y",""),"")</f>
        <v>#REF!</v>
      </c>
      <c r="IC513" s="770"/>
      <c r="ID513" s="770"/>
      <c r="IE513" s="770">
        <v>1</v>
      </c>
      <c r="IF513" s="770"/>
      <c r="IG513" s="770"/>
      <c r="IH513" s="770"/>
      <c r="II513" s="770"/>
      <c r="IJ513" s="770"/>
      <c r="IK513" s="770"/>
      <c r="IL513" s="770"/>
      <c r="IM513" s="770"/>
      <c r="IN513" s="770"/>
      <c r="IO513" s="296"/>
      <c r="IP513" s="770"/>
      <c r="IQ513" s="770"/>
      <c r="IR513" s="770"/>
      <c r="IS513" s="770"/>
      <c r="IT513" s="770"/>
      <c r="IU513" s="770"/>
      <c r="IV513" s="770"/>
      <c r="IW513" s="770"/>
      <c r="IX513" s="770"/>
      <c r="IY513" s="770"/>
      <c r="IZ513" s="770"/>
      <c r="JA513" s="770"/>
      <c r="JB513" s="770"/>
      <c r="JC513" s="770"/>
      <c r="JD513" s="302"/>
      <c r="JE513" s="770"/>
      <c r="JF513" s="770"/>
      <c r="JG513" s="770"/>
      <c r="JH513" s="307"/>
      <c r="JI513" s="307"/>
      <c r="JJ513" s="770">
        <v>9</v>
      </c>
      <c r="JK513" s="1139" t="s">
        <v>3634</v>
      </c>
      <c r="JL513" s="770"/>
      <c r="JM513" s="770">
        <v>3</v>
      </c>
      <c r="JN513" s="770">
        <v>5</v>
      </c>
      <c r="JO513" s="770">
        <v>1</v>
      </c>
      <c r="JP513" s="770"/>
      <c r="JQ513" s="770"/>
      <c r="JR513" s="770"/>
      <c r="JS513" s="770"/>
      <c r="JT513" s="766">
        <f t="shared" si="146"/>
        <v>5</v>
      </c>
      <c r="JU513" s="766">
        <f t="shared" si="146"/>
        <v>4</v>
      </c>
      <c r="JV513" s="712" t="str">
        <f t="shared" si="140"/>
        <v>ok</v>
      </c>
      <c r="JW513" s="712" t="str">
        <f t="shared" si="141"/>
        <v>ok</v>
      </c>
      <c r="JX513" s="770"/>
      <c r="JY513" s="770">
        <v>1</v>
      </c>
      <c r="JZ513" s="770"/>
      <c r="KA513" s="770">
        <v>2</v>
      </c>
      <c r="KB513" s="770">
        <v>4</v>
      </c>
      <c r="KC513" s="770"/>
      <c r="KD513" s="770">
        <v>1</v>
      </c>
      <c r="KE513" s="770">
        <v>1</v>
      </c>
      <c r="KF513" s="770"/>
      <c r="KG513" s="770"/>
      <c r="KH513" s="770"/>
      <c r="KI513" s="770"/>
      <c r="KJ513" s="770">
        <f t="shared" si="126"/>
        <v>5</v>
      </c>
      <c r="KK513" s="770">
        <f t="shared" si="126"/>
        <v>4</v>
      </c>
      <c r="KL513" s="712" t="str">
        <f t="shared" si="142"/>
        <v>ok</v>
      </c>
      <c r="KM513" s="712" t="str">
        <f t="shared" si="143"/>
        <v>ok</v>
      </c>
      <c r="KN513" s="770" t="s">
        <v>707</v>
      </c>
      <c r="KO513" s="770"/>
      <c r="KP513" s="770"/>
      <c r="KQ513" s="770"/>
      <c r="KR513" s="770"/>
      <c r="KS513" s="770"/>
      <c r="KT513" s="770">
        <v>2</v>
      </c>
      <c r="KU513" s="770">
        <v>1</v>
      </c>
      <c r="KV513" s="770"/>
      <c r="KW513" s="770"/>
      <c r="KX513" s="770">
        <v>3</v>
      </c>
      <c r="KY513" s="770">
        <v>2</v>
      </c>
      <c r="KZ513" s="770"/>
      <c r="LA513" s="770"/>
      <c r="LB513" s="770"/>
      <c r="LC513" s="770"/>
      <c r="LD513" s="770"/>
      <c r="LE513" s="770"/>
      <c r="LF513" s="770"/>
      <c r="LG513" s="770"/>
      <c r="LH513" s="770"/>
      <c r="LI513" s="770"/>
      <c r="LJ513" s="770"/>
      <c r="LK513" s="770">
        <v>1</v>
      </c>
      <c r="LL513" s="770"/>
      <c r="LM513" s="770"/>
      <c r="LN513" s="766">
        <f t="shared" si="134"/>
        <v>5</v>
      </c>
      <c r="LO513" s="766">
        <f t="shared" si="134"/>
        <v>4</v>
      </c>
      <c r="LP513" s="770">
        <v>1</v>
      </c>
      <c r="LQ513" s="770"/>
      <c r="LR513" s="770"/>
      <c r="LS513" s="770">
        <v>1</v>
      </c>
      <c r="LT513" s="712" t="str">
        <f t="shared" si="144"/>
        <v>OK</v>
      </c>
      <c r="LU513" s="770"/>
      <c r="LV513" s="770"/>
      <c r="LW513" s="770"/>
      <c r="LX513" s="769">
        <v>1</v>
      </c>
      <c r="LY513" s="766" t="str">
        <f t="shared" si="135"/>
        <v>within the BRGY</v>
      </c>
      <c r="LZ513" s="1709"/>
      <c r="MA513" s="1709"/>
      <c r="MB513" s="1709">
        <v>400</v>
      </c>
      <c r="MC513" s="1679">
        <f t="shared" si="133"/>
        <v>400</v>
      </c>
      <c r="MD513" s="1709"/>
      <c r="ME513" s="1709"/>
      <c r="MF513" s="1709">
        <v>6000</v>
      </c>
      <c r="MG513" s="1680">
        <f t="shared" si="145"/>
        <v>6000</v>
      </c>
      <c r="MH513" s="770" t="s">
        <v>3401</v>
      </c>
      <c r="MI513" s="302">
        <v>10800</v>
      </c>
      <c r="MJ513" s="302">
        <v>400</v>
      </c>
      <c r="MK513" s="302">
        <f>1000/12</f>
        <v>83.333333333333329</v>
      </c>
      <c r="ML513" s="302">
        <v>1000</v>
      </c>
      <c r="MM513" s="302">
        <v>2000</v>
      </c>
      <c r="MN513" s="302"/>
      <c r="MO513" s="302"/>
      <c r="MP513" s="302">
        <v>800</v>
      </c>
      <c r="MQ513" s="302"/>
      <c r="MR513" s="302">
        <v>600</v>
      </c>
      <c r="MS513" s="302"/>
      <c r="MT513" s="302"/>
      <c r="MU513" s="302"/>
      <c r="MV513" s="302"/>
      <c r="MW513" s="302"/>
      <c r="MX513" s="302"/>
      <c r="MY513" s="1682">
        <f t="shared" si="122"/>
        <v>15683.333333333334</v>
      </c>
      <c r="MZ513" s="770" t="s">
        <v>13395</v>
      </c>
      <c r="NA513" s="770" t="s">
        <v>1249</v>
      </c>
      <c r="NB513" s="770" t="s">
        <v>13033</v>
      </c>
      <c r="NC513" s="770" t="s">
        <v>13621</v>
      </c>
      <c r="ND513" s="770">
        <v>0</v>
      </c>
      <c r="NE513" s="770">
        <v>0</v>
      </c>
      <c r="NF513" s="770">
        <v>0</v>
      </c>
      <c r="NG513" s="770">
        <v>2</v>
      </c>
      <c r="NH513" s="770">
        <v>1</v>
      </c>
      <c r="NI513" s="770">
        <v>1</v>
      </c>
      <c r="NJ513" s="770">
        <v>5</v>
      </c>
      <c r="NK513" s="770">
        <v>0</v>
      </c>
      <c r="NL513" s="770">
        <v>0</v>
      </c>
      <c r="NM513" s="770">
        <v>0</v>
      </c>
      <c r="NN513" s="770">
        <v>0</v>
      </c>
      <c r="NO513" s="770">
        <v>0</v>
      </c>
      <c r="NP513" s="770">
        <v>0</v>
      </c>
      <c r="NQ513" s="770">
        <v>0</v>
      </c>
      <c r="NR513" s="770">
        <v>0</v>
      </c>
      <c r="NS513" s="770">
        <v>0</v>
      </c>
      <c r="NT513" s="770">
        <v>0</v>
      </c>
      <c r="NU513" s="770">
        <v>0</v>
      </c>
      <c r="NV513" s="770">
        <v>0</v>
      </c>
      <c r="NW513" s="770">
        <v>0</v>
      </c>
      <c r="NX513" s="770">
        <v>0</v>
      </c>
      <c r="NY513" s="770" t="s">
        <v>1208</v>
      </c>
      <c r="NZ513" s="770" t="s">
        <v>1208</v>
      </c>
      <c r="OA513" s="770"/>
      <c r="OB513" s="770"/>
      <c r="OC513" s="770" t="s">
        <v>1208</v>
      </c>
      <c r="OD513" s="770"/>
      <c r="OE513" s="770"/>
      <c r="OF513" s="770" t="s">
        <v>13277</v>
      </c>
      <c r="OG513" s="770" t="s">
        <v>1208</v>
      </c>
      <c r="OH513" s="770" t="s">
        <v>13153</v>
      </c>
      <c r="OI513" s="770" t="s">
        <v>12888</v>
      </c>
      <c r="OJ513" s="770" t="s">
        <v>1596</v>
      </c>
      <c r="OK513" s="770"/>
      <c r="OL513" s="770"/>
      <c r="OM513" s="770"/>
      <c r="ON513" s="770"/>
      <c r="OO513" s="770"/>
      <c r="OP513" s="770"/>
      <c r="OQ513" s="770"/>
      <c r="OR513" s="770"/>
      <c r="OS513" s="770"/>
      <c r="OT513" s="770"/>
      <c r="OU513" s="770"/>
      <c r="OV513" s="770"/>
      <c r="OW513" s="770"/>
      <c r="OX513" s="770"/>
      <c r="OY513" s="770"/>
      <c r="OZ513" s="770"/>
      <c r="PA513" s="770"/>
      <c r="PB513" s="770"/>
      <c r="PC513" s="770"/>
      <c r="PD513" s="770"/>
      <c r="PE513" s="770"/>
      <c r="PF513" s="770"/>
      <c r="PG513" s="770"/>
      <c r="PH513" s="770" t="s">
        <v>1208</v>
      </c>
      <c r="PI513" s="770"/>
      <c r="PJ513" s="770" t="s">
        <v>1208</v>
      </c>
      <c r="PK513" s="770" t="s">
        <v>1208</v>
      </c>
      <c r="PL513" s="770"/>
      <c r="PM513" s="770"/>
      <c r="PN513" s="770"/>
      <c r="PO513" s="770"/>
      <c r="PP513" s="770"/>
      <c r="PQ513" s="770"/>
      <c r="PR513" s="770"/>
      <c r="PS513" s="770"/>
      <c r="PT513" s="770"/>
      <c r="PU513" s="770"/>
      <c r="PV513" s="770"/>
      <c r="PW513" s="770"/>
      <c r="PX513" s="770"/>
      <c r="PY513" s="770"/>
      <c r="PZ513" s="770"/>
      <c r="QA513" s="770"/>
      <c r="QB513" s="770"/>
      <c r="QC513" s="770"/>
      <c r="QD513" s="770"/>
      <c r="QE513" s="770"/>
      <c r="QF513" s="770"/>
      <c r="QG513" s="770"/>
      <c r="QH513" s="770"/>
      <c r="QI513" s="770"/>
      <c r="QJ513" s="770"/>
      <c r="QK513" s="770"/>
      <c r="QL513" s="770"/>
      <c r="QM513" s="770"/>
      <c r="QN513" s="770"/>
      <c r="QO513" s="770"/>
      <c r="QP513" s="770"/>
      <c r="QQ513" s="770"/>
      <c r="QR513" s="770"/>
      <c r="QS513" s="770"/>
      <c r="QT513" s="770"/>
      <c r="QU513" s="770"/>
      <c r="QV513" s="770"/>
      <c r="QW513" s="770"/>
      <c r="QX513" s="770"/>
      <c r="QY513" s="770"/>
      <c r="QZ513" s="770"/>
      <c r="RA513" s="770"/>
      <c r="RB513" s="770" t="s">
        <v>1207</v>
      </c>
      <c r="RC513" s="770">
        <v>2014</v>
      </c>
      <c r="RD513" s="770" t="s">
        <v>13251</v>
      </c>
      <c r="RE513" s="770" t="s">
        <v>12999</v>
      </c>
      <c r="RF513" s="304">
        <v>1</v>
      </c>
      <c r="RG513" s="770" t="s">
        <v>13047</v>
      </c>
      <c r="RH513" s="302">
        <v>4000</v>
      </c>
      <c r="RI513" s="770">
        <v>24</v>
      </c>
      <c r="RJ513" s="770" t="s">
        <v>3634</v>
      </c>
      <c r="RK513" s="770" t="s">
        <v>13550</v>
      </c>
      <c r="RL513" s="1710"/>
      <c r="RM513" s="12"/>
      <c r="RN513" s="1711"/>
      <c r="RO513" s="132" t="s">
        <v>2938</v>
      </c>
      <c r="RP513" s="11"/>
      <c r="RQ513" s="11"/>
      <c r="RR513" s="19" t="s">
        <v>7421</v>
      </c>
      <c r="RS513" s="1139" t="s">
        <v>12980</v>
      </c>
      <c r="RT513" s="11"/>
      <c r="RU513" s="11"/>
      <c r="RV513" s="771" t="s">
        <v>7421</v>
      </c>
      <c r="RW513" s="11" t="s">
        <v>7702</v>
      </c>
      <c r="RX513" s="11" t="s">
        <v>3615</v>
      </c>
      <c r="RY513" s="11"/>
      <c r="RZ513" s="11" t="s">
        <v>1101</v>
      </c>
      <c r="SA513" s="771"/>
      <c r="SB513" s="11"/>
      <c r="SC513" s="11"/>
    </row>
    <row r="514" spans="1:497" ht="12.75" customHeight="1">
      <c r="A514" s="19" t="s">
        <v>7421</v>
      </c>
      <c r="B514" s="752" t="s">
        <v>7794</v>
      </c>
      <c r="C514" s="132" t="s">
        <v>3635</v>
      </c>
      <c r="D514" s="94" t="s">
        <v>3636</v>
      </c>
      <c r="E514" s="770" t="s">
        <v>3626</v>
      </c>
      <c r="F514" s="770" t="s">
        <v>28</v>
      </c>
      <c r="G514" s="770" t="s">
        <v>10</v>
      </c>
      <c r="H514" s="770"/>
      <c r="I514" s="295"/>
      <c r="J514" s="94" t="s">
        <v>3637</v>
      </c>
      <c r="K514" s="766" t="s">
        <v>2669</v>
      </c>
      <c r="L514" s="766" t="s">
        <v>2269</v>
      </c>
      <c r="M514" s="770" t="s">
        <v>1238</v>
      </c>
      <c r="N514" s="770"/>
      <c r="O514" s="770" t="s">
        <v>2926</v>
      </c>
      <c r="P514" s="94" t="s">
        <v>3637</v>
      </c>
      <c r="Q514" s="1088">
        <v>22663</v>
      </c>
      <c r="R514" s="297">
        <v>55</v>
      </c>
      <c r="S514" s="770" t="s">
        <v>10</v>
      </c>
      <c r="T514" s="770"/>
      <c r="U514" s="295"/>
      <c r="V514" s="770" t="s">
        <v>707</v>
      </c>
      <c r="W514" s="770"/>
      <c r="X514" s="770"/>
      <c r="Y514" s="770" t="s">
        <v>3626</v>
      </c>
      <c r="Z514" s="770" t="s">
        <v>708</v>
      </c>
      <c r="AA514" s="770" t="s">
        <v>709</v>
      </c>
      <c r="AB514" s="770" t="s">
        <v>710</v>
      </c>
      <c r="AC514" s="770" t="s">
        <v>724</v>
      </c>
      <c r="AD514" s="770" t="s">
        <v>711</v>
      </c>
      <c r="AE514" s="770"/>
      <c r="AF514" s="770" t="s">
        <v>712</v>
      </c>
      <c r="AG514" s="766" t="s">
        <v>1132</v>
      </c>
      <c r="AH514" s="766" t="s">
        <v>1096</v>
      </c>
      <c r="AI514" s="770"/>
      <c r="AJ514" s="770" t="s">
        <v>1137</v>
      </c>
      <c r="AK514" s="770" t="s">
        <v>1101</v>
      </c>
      <c r="AL514" s="531">
        <v>12.182</v>
      </c>
      <c r="AM514" s="780">
        <v>12.183</v>
      </c>
      <c r="AN514" s="532">
        <v>1</v>
      </c>
      <c r="AO514" s="766" t="s">
        <v>1122</v>
      </c>
      <c r="AP514" s="766"/>
      <c r="AQ514" s="766"/>
      <c r="AR514" s="766"/>
      <c r="AS514" s="770"/>
      <c r="AT514" s="770"/>
      <c r="AU514" s="770"/>
      <c r="AV514" s="770"/>
      <c r="AW514" s="770"/>
      <c r="AX514" s="770"/>
      <c r="AY514" s="770"/>
      <c r="AZ514" s="770"/>
      <c r="BA514" s="770"/>
      <c r="BB514" s="770"/>
      <c r="BC514" s="770"/>
      <c r="BD514" s="770"/>
      <c r="BE514" s="770"/>
      <c r="BF514" s="302"/>
      <c r="BG514" s="302"/>
      <c r="BH514" s="770"/>
      <c r="BI514" s="770"/>
      <c r="BJ514" s="770"/>
      <c r="BK514" s="770" t="s">
        <v>1095</v>
      </c>
      <c r="BL514" s="770" t="s">
        <v>3638</v>
      </c>
      <c r="BM514" s="766" t="s">
        <v>1096</v>
      </c>
      <c r="BN514" s="770" t="s">
        <v>1230</v>
      </c>
      <c r="BO514" s="766" t="s">
        <v>1246</v>
      </c>
      <c r="BP514" s="1109">
        <v>12.183</v>
      </c>
      <c r="BQ514" s="773">
        <v>12.183</v>
      </c>
      <c r="BR514" s="774">
        <v>1</v>
      </c>
      <c r="BS514" s="766" t="s">
        <v>1257</v>
      </c>
      <c r="BT514" s="766" t="s">
        <v>1326</v>
      </c>
      <c r="BU514" s="766" t="s">
        <v>1264</v>
      </c>
      <c r="BV514" s="770" t="s">
        <v>1291</v>
      </c>
      <c r="BW514" s="770">
        <v>2007</v>
      </c>
      <c r="BX514" s="302"/>
      <c r="BY514" s="770" t="s">
        <v>1207</v>
      </c>
      <c r="BZ514" s="302">
        <v>25000</v>
      </c>
      <c r="CA514" s="770"/>
      <c r="CB514" s="770"/>
      <c r="CC514" s="770"/>
      <c r="CD514" s="770"/>
      <c r="CE514" s="770"/>
      <c r="CF514" s="1753"/>
      <c r="CG514" s="1754"/>
      <c r="CH514" s="770"/>
      <c r="CI514" s="770"/>
      <c r="CJ514" s="770"/>
      <c r="CK514" s="770"/>
      <c r="CL514" s="770"/>
      <c r="CM514" s="770"/>
      <c r="CN514" s="770"/>
      <c r="CO514" s="770"/>
      <c r="CP514" s="770"/>
      <c r="CQ514" s="770"/>
      <c r="CR514" s="302"/>
      <c r="CS514" s="770"/>
      <c r="CT514" s="770"/>
      <c r="CU514" s="305"/>
      <c r="CV514" s="770"/>
      <c r="CW514" s="770"/>
      <c r="CX514" s="770"/>
      <c r="CY514" s="770"/>
      <c r="CZ514" s="770"/>
      <c r="DA514" s="306"/>
      <c r="DB514" s="770"/>
      <c r="DC514" s="770"/>
      <c r="DD514" s="770"/>
      <c r="DE514" s="300"/>
      <c r="DF514" s="770"/>
      <c r="DG514" s="770"/>
      <c r="DH514" s="770"/>
      <c r="DI514" s="770"/>
      <c r="DJ514" s="770"/>
      <c r="DK514" s="770"/>
      <c r="DL514" s="770"/>
      <c r="DM514" s="770"/>
      <c r="DN514" s="322"/>
      <c r="DO514" s="770"/>
      <c r="DP514" s="770"/>
      <c r="DQ514" s="770"/>
      <c r="DR514" s="770"/>
      <c r="DS514" s="307"/>
      <c r="DT514" s="770"/>
      <c r="DU514" s="770"/>
      <c r="DV514" s="770"/>
      <c r="DW514" s="306"/>
      <c r="DX514" s="306"/>
      <c r="DY514" s="770"/>
      <c r="DZ514" s="770"/>
      <c r="EA514" s="770"/>
      <c r="EB514" s="770"/>
      <c r="EC514" s="770"/>
      <c r="ED514" s="770"/>
      <c r="EE514" s="770"/>
      <c r="EF514" s="770"/>
      <c r="EG514" s="770"/>
      <c r="EH514" s="770"/>
      <c r="EI514" s="770"/>
      <c r="EJ514" s="770"/>
      <c r="EK514" s="770"/>
      <c r="EL514" s="770"/>
      <c r="EM514" s="770"/>
      <c r="EN514" s="770"/>
      <c r="EO514" s="770"/>
      <c r="EP514" s="94"/>
      <c r="EQ514" s="770"/>
      <c r="ER514" s="770"/>
      <c r="ES514" s="770"/>
      <c r="ET514" s="770"/>
      <c r="EU514" s="770"/>
      <c r="EV514" s="770"/>
      <c r="EW514" s="770"/>
      <c r="EX514" s="770"/>
      <c r="EY514" s="770"/>
      <c r="EZ514" s="770"/>
      <c r="FA514" s="770"/>
      <c r="FB514" s="770"/>
      <c r="FC514" s="770"/>
      <c r="FD514" s="302"/>
      <c r="FE514" s="770"/>
      <c r="FF514" s="770"/>
      <c r="FG514" s="770"/>
      <c r="FH514" s="770" t="s">
        <v>478</v>
      </c>
      <c r="FI514" s="770">
        <v>1</v>
      </c>
      <c r="FJ514" s="770"/>
      <c r="FK514" s="770"/>
      <c r="FL514" s="770"/>
      <c r="FM514" s="302"/>
      <c r="FN514" s="302"/>
      <c r="FO514" s="302"/>
      <c r="FP514" s="766" t="s">
        <v>1602</v>
      </c>
      <c r="FQ514" s="766" t="s">
        <v>1660</v>
      </c>
      <c r="FR514" s="770" t="s">
        <v>1214</v>
      </c>
      <c r="FS514" s="770"/>
      <c r="FT514" s="770"/>
      <c r="FU514" s="770"/>
      <c r="FV514" s="770"/>
      <c r="FW514" s="770"/>
      <c r="FX514" s="770"/>
      <c r="FY514" s="770"/>
      <c r="FZ514" s="770"/>
      <c r="GA514" s="770"/>
      <c r="GB514" s="770"/>
      <c r="GC514" s="308"/>
      <c r="GD514" s="297"/>
      <c r="GE514" s="770" t="s">
        <v>1214</v>
      </c>
      <c r="GF514" s="302"/>
      <c r="GG514" s="302"/>
      <c r="GH514" s="712" t="s">
        <v>1791</v>
      </c>
      <c r="GI514" s="770" t="s">
        <v>1008</v>
      </c>
      <c r="GJ514" s="770"/>
      <c r="GK514" s="770" t="s">
        <v>3334</v>
      </c>
      <c r="GL514" s="770"/>
      <c r="GM514" s="770" t="s">
        <v>2384</v>
      </c>
      <c r="GN514" s="299"/>
      <c r="GO514" s="770" t="s">
        <v>4494</v>
      </c>
      <c r="GP514" s="770" t="s">
        <v>1208</v>
      </c>
      <c r="GQ514" s="770"/>
      <c r="GR514" s="770"/>
      <c r="GS514" s="770"/>
      <c r="GT514" s="770"/>
      <c r="GU514" s="770"/>
      <c r="GV514" s="770"/>
      <c r="GW514" s="770" t="s">
        <v>1207</v>
      </c>
      <c r="GX514" s="770"/>
      <c r="GY514" s="770"/>
      <c r="GZ514" s="770"/>
      <c r="HA514" s="770"/>
      <c r="HB514" s="770"/>
      <c r="HC514" s="770"/>
      <c r="HD514" s="770"/>
      <c r="HE514" s="770"/>
      <c r="HF514" s="770"/>
      <c r="HG514" s="770"/>
      <c r="HH514" s="770" t="s">
        <v>3639</v>
      </c>
      <c r="HI514" s="770" t="s">
        <v>1214</v>
      </c>
      <c r="HJ514" s="770"/>
      <c r="HK514" s="770"/>
      <c r="HL514" s="770" t="s">
        <v>1214</v>
      </c>
      <c r="HM514" s="770"/>
      <c r="HN514" s="770"/>
      <c r="HO514" s="770"/>
      <c r="HP514" s="770"/>
      <c r="HQ514" s="770"/>
      <c r="HR514" s="770"/>
      <c r="HS514" s="770"/>
      <c r="HT514" s="770"/>
      <c r="HU514" s="770"/>
      <c r="HV514" s="770"/>
      <c r="HW514" s="770"/>
      <c r="HX514" s="770"/>
      <c r="HY514" s="770"/>
      <c r="HZ514" s="770"/>
      <c r="IA514" s="770"/>
      <c r="IB514" s="14" t="e">
        <f>IF(#REF!&gt;0,IF(#REF!&lt;=10000,"Y",""),"")</f>
        <v>#REF!</v>
      </c>
      <c r="IC514" s="770"/>
      <c r="ID514" s="766"/>
      <c r="IE514" s="12"/>
      <c r="IF514" s="12"/>
      <c r="IG514" s="12"/>
      <c r="IH514" s="12"/>
      <c r="II514" s="12"/>
      <c r="IJ514" s="12"/>
      <c r="IK514" s="12"/>
      <c r="IL514" s="12"/>
      <c r="IM514" s="12"/>
      <c r="IN514" s="12"/>
      <c r="IO514" s="12"/>
      <c r="IP514" s="12"/>
      <c r="IQ514" s="12"/>
      <c r="IR514" s="12"/>
      <c r="IS514" s="12"/>
      <c r="IT514" s="12"/>
      <c r="IU514" s="12"/>
      <c r="IV514" s="12"/>
      <c r="IW514" s="12"/>
      <c r="IX514" s="12"/>
      <c r="IY514" s="12"/>
      <c r="IZ514" s="12"/>
      <c r="JA514" s="12"/>
      <c r="JB514" s="12"/>
      <c r="JC514" s="12"/>
      <c r="JD514" s="12"/>
      <c r="JE514" s="770"/>
      <c r="JF514" s="770"/>
      <c r="JG514" s="770"/>
      <c r="JH514" s="307"/>
      <c r="JI514" s="712" t="str">
        <f>IF(SUM(JT514,JU514)=JJ514,"ok","review")</f>
        <v>ok</v>
      </c>
      <c r="JJ514" s="770">
        <v>2</v>
      </c>
      <c r="JK514" s="1139" t="s">
        <v>3638</v>
      </c>
      <c r="JL514" s="770"/>
      <c r="JM514" s="770"/>
      <c r="JN514" s="770">
        <v>1</v>
      </c>
      <c r="JO514" s="770">
        <v>1</v>
      </c>
      <c r="JP514" s="770"/>
      <c r="JQ514" s="770"/>
      <c r="JR514" s="770"/>
      <c r="JS514" s="770"/>
      <c r="JT514" s="766">
        <f t="shared" si="146"/>
        <v>1</v>
      </c>
      <c r="JU514" s="766">
        <f t="shared" si="146"/>
        <v>1</v>
      </c>
      <c r="JV514" s="712" t="str">
        <f t="shared" si="140"/>
        <v>ok</v>
      </c>
      <c r="JW514" s="712" t="str">
        <f t="shared" si="141"/>
        <v>ok</v>
      </c>
      <c r="JX514" s="770"/>
      <c r="JY514" s="770"/>
      <c r="JZ514" s="770"/>
      <c r="KA514" s="770"/>
      <c r="KB514" s="770"/>
      <c r="KC514" s="770">
        <v>1</v>
      </c>
      <c r="KD514" s="770">
        <v>1</v>
      </c>
      <c r="KE514" s="770"/>
      <c r="KF514" s="770"/>
      <c r="KG514" s="770"/>
      <c r="KH514" s="770"/>
      <c r="KI514" s="770"/>
      <c r="KJ514" s="770">
        <f t="shared" si="126"/>
        <v>1</v>
      </c>
      <c r="KK514" s="770">
        <f t="shared" si="126"/>
        <v>1</v>
      </c>
      <c r="KL514" s="712" t="str">
        <f t="shared" si="142"/>
        <v>ok</v>
      </c>
      <c r="KM514" s="712" t="str">
        <f t="shared" si="143"/>
        <v>ok</v>
      </c>
      <c r="KN514" s="770" t="s">
        <v>722</v>
      </c>
      <c r="KO514" s="770"/>
      <c r="KP514" s="770"/>
      <c r="KQ514" s="770"/>
      <c r="KR514" s="770"/>
      <c r="KS514" s="770"/>
      <c r="KT514" s="770"/>
      <c r="KU514" s="770"/>
      <c r="KV514" s="770"/>
      <c r="KW514" s="770"/>
      <c r="KX514" s="770">
        <v>1</v>
      </c>
      <c r="KY514" s="770">
        <v>1</v>
      </c>
      <c r="KZ514" s="770"/>
      <c r="LA514" s="770"/>
      <c r="LB514" s="770"/>
      <c r="LC514" s="770"/>
      <c r="LD514" s="770"/>
      <c r="LE514" s="770"/>
      <c r="LF514" s="770"/>
      <c r="LG514" s="770"/>
      <c r="LH514" s="770"/>
      <c r="LI514" s="770"/>
      <c r="LJ514" s="770"/>
      <c r="LK514" s="770"/>
      <c r="LL514" s="770"/>
      <c r="LM514" s="770"/>
      <c r="LN514" s="766">
        <f t="shared" si="134"/>
        <v>1</v>
      </c>
      <c r="LO514" s="766">
        <f t="shared" si="134"/>
        <v>1</v>
      </c>
      <c r="LP514" s="770">
        <v>1</v>
      </c>
      <c r="LQ514" s="770"/>
      <c r="LR514" s="770">
        <v>1</v>
      </c>
      <c r="LS514" s="770"/>
      <c r="LT514" s="712" t="str">
        <f t="shared" si="144"/>
        <v>OK</v>
      </c>
      <c r="LU514" s="770"/>
      <c r="LV514" s="770"/>
      <c r="LW514" s="770"/>
      <c r="LX514" s="769">
        <v>2</v>
      </c>
      <c r="LY514" s="766" t="str">
        <f t="shared" si="135"/>
        <v>within the MUNICIPALITY</v>
      </c>
      <c r="LZ514" s="1709"/>
      <c r="MA514" s="1709"/>
      <c r="MB514" s="1709"/>
      <c r="MC514" s="1679">
        <f t="shared" si="133"/>
        <v>0</v>
      </c>
      <c r="MD514" s="1709"/>
      <c r="ME514" s="1709">
        <v>13290</v>
      </c>
      <c r="MF514" s="1709"/>
      <c r="MG514" s="1680">
        <f t="shared" si="145"/>
        <v>13290</v>
      </c>
      <c r="MH514" s="770" t="s">
        <v>3640</v>
      </c>
      <c r="MI514" s="302">
        <v>6000</v>
      </c>
      <c r="MJ514" s="302">
        <v>13290</v>
      </c>
      <c r="MK514" s="302">
        <f>2000/12</f>
        <v>166.66666666666666</v>
      </c>
      <c r="ML514" s="302"/>
      <c r="MM514" s="302">
        <v>750</v>
      </c>
      <c r="MN514" s="302"/>
      <c r="MO514" s="302"/>
      <c r="MP514" s="302"/>
      <c r="MQ514" s="302"/>
      <c r="MR514" s="302">
        <v>120</v>
      </c>
      <c r="MS514" s="302"/>
      <c r="MT514" s="302"/>
      <c r="MU514" s="302"/>
      <c r="MV514" s="302"/>
      <c r="MW514" s="302"/>
      <c r="MX514" s="302"/>
      <c r="MY514" s="1682">
        <f t="shared" ref="MY514:MY576" si="147">IF(ISBLANK(MI514:MX514)=TRUE,"",SUM(MI514:MX514))</f>
        <v>20326.666666666668</v>
      </c>
      <c r="MZ514" s="770" t="s">
        <v>13666</v>
      </c>
      <c r="NA514" s="770" t="s">
        <v>1249</v>
      </c>
      <c r="NB514" s="770" t="s">
        <v>13033</v>
      </c>
      <c r="NC514" s="770" t="s">
        <v>13602</v>
      </c>
      <c r="ND514" s="770">
        <v>0</v>
      </c>
      <c r="NE514" s="770">
        <v>0</v>
      </c>
      <c r="NF514" s="770">
        <v>0</v>
      </c>
      <c r="NG514" s="770">
        <v>1</v>
      </c>
      <c r="NH514" s="770">
        <v>1</v>
      </c>
      <c r="NI514" s="770">
        <v>1</v>
      </c>
      <c r="NJ514" s="770">
        <v>1</v>
      </c>
      <c r="NK514" s="770">
        <v>0</v>
      </c>
      <c r="NL514" s="770">
        <v>0</v>
      </c>
      <c r="NM514" s="770">
        <v>0</v>
      </c>
      <c r="NN514" s="770">
        <v>0</v>
      </c>
      <c r="NO514" s="770">
        <v>0</v>
      </c>
      <c r="NP514" s="770">
        <v>0</v>
      </c>
      <c r="NQ514" s="770">
        <v>0</v>
      </c>
      <c r="NR514" s="770">
        <v>0</v>
      </c>
      <c r="NS514" s="770">
        <v>0</v>
      </c>
      <c r="NT514" s="770">
        <v>0</v>
      </c>
      <c r="NU514" s="770">
        <v>0</v>
      </c>
      <c r="NV514" s="770">
        <v>0</v>
      </c>
      <c r="NW514" s="770">
        <v>0</v>
      </c>
      <c r="NX514" s="770">
        <v>0</v>
      </c>
      <c r="NY514" s="770" t="s">
        <v>1208</v>
      </c>
      <c r="NZ514" s="770"/>
      <c r="OA514" s="770"/>
      <c r="OB514" s="770"/>
      <c r="OC514" s="770" t="s">
        <v>1208</v>
      </c>
      <c r="OD514" s="770"/>
      <c r="OE514" s="770"/>
      <c r="OF514" s="770" t="s">
        <v>2143</v>
      </c>
      <c r="OG514" s="770"/>
      <c r="OH514" s="770"/>
      <c r="OI514" s="770"/>
      <c r="OJ514" s="770"/>
      <c r="OK514" s="770" t="s">
        <v>1208</v>
      </c>
      <c r="OL514" s="770"/>
      <c r="OM514" s="770"/>
      <c r="ON514" s="770"/>
      <c r="OO514" s="770"/>
      <c r="OP514" s="770"/>
      <c r="OQ514" s="770"/>
      <c r="OR514" s="770"/>
      <c r="OS514" s="770"/>
      <c r="OT514" s="770"/>
      <c r="OU514" s="770"/>
      <c r="OV514" s="770"/>
      <c r="OW514" s="770"/>
      <c r="OX514" s="770"/>
      <c r="OY514" s="770"/>
      <c r="OZ514" s="770"/>
      <c r="PA514" s="770"/>
      <c r="PB514" s="770"/>
      <c r="PC514" s="770"/>
      <c r="PD514" s="770"/>
      <c r="PE514" s="770"/>
      <c r="PF514" s="770"/>
      <c r="PG514" s="770"/>
      <c r="PH514" s="770"/>
      <c r="PI514" s="770"/>
      <c r="PJ514" s="770"/>
      <c r="PK514" s="770"/>
      <c r="PL514" s="770"/>
      <c r="PM514" s="770"/>
      <c r="PN514" s="770"/>
      <c r="PO514" s="770"/>
      <c r="PP514" s="770"/>
      <c r="PQ514" s="770"/>
      <c r="PR514" s="770"/>
      <c r="PS514" s="770"/>
      <c r="PT514" s="770"/>
      <c r="PU514" s="770"/>
      <c r="PV514" s="770"/>
      <c r="PW514" s="770"/>
      <c r="PX514" s="770"/>
      <c r="PY514" s="770"/>
      <c r="PZ514" s="770"/>
      <c r="QA514" s="770"/>
      <c r="QB514" s="770"/>
      <c r="QC514" s="770"/>
      <c r="QD514" s="770"/>
      <c r="QE514" s="770"/>
      <c r="QF514" s="770"/>
      <c r="QG514" s="770"/>
      <c r="QH514" s="770"/>
      <c r="QI514" s="770"/>
      <c r="QJ514" s="770"/>
      <c r="QK514" s="770"/>
      <c r="QL514" s="770"/>
      <c r="QM514" s="770"/>
      <c r="QN514" s="770"/>
      <c r="QO514" s="770"/>
      <c r="QP514" s="770"/>
      <c r="QQ514" s="770"/>
      <c r="QR514" s="770"/>
      <c r="QS514" s="770"/>
      <c r="QT514" s="770"/>
      <c r="QU514" s="770"/>
      <c r="QV514" s="770"/>
      <c r="QW514" s="770"/>
      <c r="QX514" s="770"/>
      <c r="QY514" s="770"/>
      <c r="QZ514" s="770"/>
      <c r="RA514" s="770"/>
      <c r="RB514" s="770" t="s">
        <v>1207</v>
      </c>
      <c r="RC514" s="770">
        <v>2016</v>
      </c>
      <c r="RD514" s="770"/>
      <c r="RE514" s="770"/>
      <c r="RF514" s="304">
        <v>0.5</v>
      </c>
      <c r="RG514" s="770" t="s">
        <v>13047</v>
      </c>
      <c r="RH514" s="302">
        <v>0</v>
      </c>
      <c r="RI514" s="770">
        <v>1</v>
      </c>
      <c r="RJ514" s="770" t="s">
        <v>3638</v>
      </c>
      <c r="RK514" s="770" t="s">
        <v>13550</v>
      </c>
      <c r="RL514" s="1710"/>
      <c r="RM514" s="12"/>
      <c r="RN514" s="1711"/>
      <c r="RO514" s="132" t="s">
        <v>3635</v>
      </c>
      <c r="RP514" s="11"/>
      <c r="RQ514" s="11"/>
      <c r="RR514" s="19" t="s">
        <v>7421</v>
      </c>
      <c r="RS514" s="1139" t="s">
        <v>12980</v>
      </c>
      <c r="RT514" s="11"/>
      <c r="RU514" s="11"/>
      <c r="RV514" s="771" t="s">
        <v>7421</v>
      </c>
      <c r="RW514" s="11" t="s">
        <v>7786</v>
      </c>
      <c r="RX514" s="11" t="s">
        <v>2931</v>
      </c>
      <c r="RY514" s="11"/>
      <c r="RZ514" s="11" t="s">
        <v>1101</v>
      </c>
      <c r="SA514" s="771"/>
      <c r="SB514" s="11"/>
      <c r="SC514" s="11"/>
    </row>
    <row r="515" spans="1:497" ht="12.75" customHeight="1">
      <c r="A515" s="343" t="s">
        <v>7421</v>
      </c>
      <c r="B515" s="752" t="s">
        <v>7795</v>
      </c>
      <c r="C515" s="133" t="s">
        <v>2945</v>
      </c>
      <c r="D515" s="94" t="s">
        <v>3641</v>
      </c>
      <c r="E515" s="770" t="s">
        <v>3642</v>
      </c>
      <c r="F515" s="770" t="s">
        <v>28</v>
      </c>
      <c r="G515" s="770" t="s">
        <v>10</v>
      </c>
      <c r="H515" s="770"/>
      <c r="I515" s="295" t="s">
        <v>3643</v>
      </c>
      <c r="J515" s="94" t="s">
        <v>3641</v>
      </c>
      <c r="K515" s="766" t="s">
        <v>3644</v>
      </c>
      <c r="L515" s="766" t="s">
        <v>2269</v>
      </c>
      <c r="M515" s="770" t="s">
        <v>1238</v>
      </c>
      <c r="N515" s="770"/>
      <c r="O515" s="770" t="s">
        <v>2926</v>
      </c>
      <c r="P515" s="770"/>
      <c r="Q515" s="1088"/>
      <c r="R515" s="297"/>
      <c r="S515" s="770"/>
      <c r="T515" s="770"/>
      <c r="U515" s="295"/>
      <c r="V515" s="770"/>
      <c r="W515" s="770"/>
      <c r="X515" s="770"/>
      <c r="Y515" s="770"/>
      <c r="Z515" s="770"/>
      <c r="AA515" s="770"/>
      <c r="AB515" s="770"/>
      <c r="AC515" s="770"/>
      <c r="AD515" s="770"/>
      <c r="AE515" s="770"/>
      <c r="AF515" s="770"/>
      <c r="AG515" s="766" t="s">
        <v>1132</v>
      </c>
      <c r="AH515" s="766" t="s">
        <v>1100</v>
      </c>
      <c r="AI515" s="770"/>
      <c r="AJ515" s="770" t="s">
        <v>1137</v>
      </c>
      <c r="AK515" s="770" t="s">
        <v>1101</v>
      </c>
      <c r="AL515" s="531">
        <v>7.6</v>
      </c>
      <c r="AM515" s="780">
        <v>4</v>
      </c>
      <c r="AN515" s="532">
        <f>AM515/AL515</f>
        <v>0.52631578947368418</v>
      </c>
      <c r="AO515" s="766" t="s">
        <v>1105</v>
      </c>
      <c r="AP515" s="766"/>
      <c r="AQ515" s="766"/>
      <c r="AR515" s="766"/>
      <c r="AS515" s="770"/>
      <c r="AT515" s="770"/>
      <c r="AU515" s="770"/>
      <c r="AV515" s="770"/>
      <c r="AW515" s="770"/>
      <c r="AX515" s="770"/>
      <c r="AY515" s="770"/>
      <c r="AZ515" s="770"/>
      <c r="BA515" s="770"/>
      <c r="BB515" s="770"/>
      <c r="BC515" s="770"/>
      <c r="BD515" s="770"/>
      <c r="BE515" s="770"/>
      <c r="BF515" s="302"/>
      <c r="BG515" s="302"/>
      <c r="BH515" s="770"/>
      <c r="BI515" s="770"/>
      <c r="BJ515" s="770"/>
      <c r="BK515" s="770" t="s">
        <v>1095</v>
      </c>
      <c r="BL515" s="770" t="s">
        <v>3645</v>
      </c>
      <c r="BM515" s="770" t="s">
        <v>1100</v>
      </c>
      <c r="BN515" s="770" t="s">
        <v>1260</v>
      </c>
      <c r="BO515" s="766" t="s">
        <v>1246</v>
      </c>
      <c r="BP515" s="1109">
        <v>7</v>
      </c>
      <c r="BQ515" s="773">
        <v>4</v>
      </c>
      <c r="BR515" s="774">
        <f t="shared" ref="BR515:BR521" si="148">BQ515/BP515</f>
        <v>0.5714285714285714</v>
      </c>
      <c r="BS515" s="766" t="s">
        <v>1105</v>
      </c>
      <c r="BT515" s="766" t="s">
        <v>8133</v>
      </c>
      <c r="BU515" s="766" t="s">
        <v>1264</v>
      </c>
      <c r="BV515" s="770" t="s">
        <v>1247</v>
      </c>
      <c r="BW515" s="769"/>
      <c r="BX515" s="302"/>
      <c r="BY515" s="770"/>
      <c r="BZ515" s="302"/>
      <c r="CA515" s="770"/>
      <c r="CB515" s="770"/>
      <c r="CC515" s="770"/>
      <c r="CD515" s="770"/>
      <c r="CE515" s="770"/>
      <c r="CF515" s="1753"/>
      <c r="CG515" s="1754"/>
      <c r="CH515" s="770"/>
      <c r="CI515" s="770"/>
      <c r="CJ515" s="770"/>
      <c r="CK515" s="770"/>
      <c r="CL515" s="770"/>
      <c r="CM515" s="770"/>
      <c r="CN515" s="770"/>
      <c r="CO515" s="770"/>
      <c r="CP515" s="770"/>
      <c r="CQ515" s="770"/>
      <c r="CR515" s="302"/>
      <c r="CS515" s="770"/>
      <c r="CT515" s="770"/>
      <c r="CU515" s="305"/>
      <c r="CV515" s="770"/>
      <c r="CW515" s="770"/>
      <c r="CX515" s="770"/>
      <c r="CY515" s="770"/>
      <c r="CZ515" s="770"/>
      <c r="DA515" s="306"/>
      <c r="DB515" s="770"/>
      <c r="DC515" s="770"/>
      <c r="DD515" s="770"/>
      <c r="DE515" s="300"/>
      <c r="DF515" s="770"/>
      <c r="DG515" s="770"/>
      <c r="DH515" s="770"/>
      <c r="DI515" s="770"/>
      <c r="DJ515" s="770"/>
      <c r="DK515" s="770"/>
      <c r="DL515" s="770"/>
      <c r="DM515" s="770"/>
      <c r="DN515" s="322"/>
      <c r="DO515" s="770"/>
      <c r="DP515" s="770"/>
      <c r="DQ515" s="770"/>
      <c r="DR515" s="770"/>
      <c r="DS515" s="307"/>
      <c r="DT515" s="770"/>
      <c r="DU515" s="770"/>
      <c r="DV515" s="770"/>
      <c r="DW515" s="306"/>
      <c r="DX515" s="306"/>
      <c r="DY515" s="770"/>
      <c r="DZ515" s="770"/>
      <c r="EA515" s="770"/>
      <c r="EB515" s="770"/>
      <c r="EC515" s="770"/>
      <c r="ED515" s="770"/>
      <c r="EE515" s="770"/>
      <c r="EF515" s="770"/>
      <c r="EG515" s="770"/>
      <c r="EH515" s="770"/>
      <c r="EI515" s="770"/>
      <c r="EJ515" s="770"/>
      <c r="EK515" s="770"/>
      <c r="EL515" s="770"/>
      <c r="EM515" s="770"/>
      <c r="EN515" s="770"/>
      <c r="EO515" s="770"/>
      <c r="EP515" s="94"/>
      <c r="EQ515" s="770"/>
      <c r="ER515" s="770"/>
      <c r="ES515" s="770"/>
      <c r="ET515" s="770"/>
      <c r="EU515" s="770"/>
      <c r="EV515" s="770"/>
      <c r="EW515" s="770"/>
      <c r="EX515" s="770"/>
      <c r="EY515" s="770"/>
      <c r="EZ515" s="770"/>
      <c r="FA515" s="770"/>
      <c r="FB515" s="770"/>
      <c r="FC515" s="770"/>
      <c r="FD515" s="302"/>
      <c r="FE515" s="770"/>
      <c r="FF515" s="770"/>
      <c r="FG515" s="770"/>
      <c r="FH515" s="770" t="s">
        <v>1306</v>
      </c>
      <c r="FI515" s="770">
        <v>1</v>
      </c>
      <c r="FJ515" s="770" t="s">
        <v>3645</v>
      </c>
      <c r="FK515" s="12"/>
      <c r="FL515" s="770" t="s">
        <v>3646</v>
      </c>
      <c r="FM515" s="302"/>
      <c r="FN515" s="302"/>
      <c r="FO515" s="302"/>
      <c r="FP515" s="770" t="s">
        <v>1602</v>
      </c>
      <c r="FQ515" s="770" t="s">
        <v>1660</v>
      </c>
      <c r="FR515" s="770" t="s">
        <v>1214</v>
      </c>
      <c r="FS515" s="770"/>
      <c r="FT515" s="770"/>
      <c r="FU515" s="770"/>
      <c r="FV515" s="770"/>
      <c r="FW515" s="770"/>
      <c r="FX515" s="770"/>
      <c r="FY515" s="770"/>
      <c r="FZ515" s="770"/>
      <c r="GA515" s="770"/>
      <c r="GB515" s="770"/>
      <c r="GC515" s="308"/>
      <c r="GD515" s="297"/>
      <c r="GE515" s="770"/>
      <c r="GF515" s="302"/>
      <c r="GG515" s="302"/>
      <c r="GH515" s="1774"/>
      <c r="GI515" s="770"/>
      <c r="GJ515" s="770"/>
      <c r="GK515" s="770"/>
      <c r="GL515" s="770"/>
      <c r="GM515" s="770"/>
      <c r="GN515" s="299"/>
      <c r="GO515" s="770"/>
      <c r="GP515" s="770"/>
      <c r="GQ515" s="770"/>
      <c r="GR515" s="770"/>
      <c r="GS515" s="770"/>
      <c r="GT515" s="770"/>
      <c r="GU515" s="770"/>
      <c r="GV515" s="770"/>
      <c r="GW515" s="770"/>
      <c r="GX515" s="770"/>
      <c r="GY515" s="770"/>
      <c r="GZ515" s="770"/>
      <c r="HA515" s="770"/>
      <c r="HB515" s="770"/>
      <c r="HC515" s="770"/>
      <c r="HD515" s="770"/>
      <c r="HE515" s="770"/>
      <c r="HF515" s="770"/>
      <c r="HG515" s="770"/>
      <c r="HH515" s="770"/>
      <c r="HI515" s="770"/>
      <c r="HJ515" s="770"/>
      <c r="HK515" s="770"/>
      <c r="HL515" s="770"/>
      <c r="HM515" s="770"/>
      <c r="HN515" s="770"/>
      <c r="HO515" s="770"/>
      <c r="HP515" s="770"/>
      <c r="HQ515" s="770"/>
      <c r="HR515" s="770"/>
      <c r="HS515" s="770"/>
      <c r="HT515" s="770"/>
      <c r="HU515" s="770"/>
      <c r="HV515" s="770"/>
      <c r="HW515" s="770"/>
      <c r="HX515" s="770"/>
      <c r="HY515" s="770"/>
      <c r="HZ515" s="770"/>
      <c r="IA515" s="770"/>
      <c r="IB515" s="770"/>
      <c r="IC515" s="770"/>
      <c r="ID515" s="766"/>
      <c r="IE515" s="766"/>
      <c r="IF515" s="770" t="s">
        <v>3641</v>
      </c>
      <c r="IG515" s="770" t="s">
        <v>10</v>
      </c>
      <c r="IH515" s="770" t="s">
        <v>478</v>
      </c>
      <c r="II515" s="770" t="s">
        <v>3642</v>
      </c>
      <c r="IJ515" s="770" t="s">
        <v>3647</v>
      </c>
      <c r="IK515" s="770" t="s">
        <v>2639</v>
      </c>
      <c r="IL515" s="770" t="s">
        <v>3648</v>
      </c>
      <c r="IM515" s="770">
        <v>2014</v>
      </c>
      <c r="IN515" s="770" t="s">
        <v>3648</v>
      </c>
      <c r="IO515" s="296">
        <v>24871</v>
      </c>
      <c r="IP515" s="770" t="s">
        <v>1306</v>
      </c>
      <c r="IQ515" s="13" t="s">
        <v>3649</v>
      </c>
      <c r="IR515" s="770" t="s">
        <v>2716</v>
      </c>
      <c r="IS515" s="770" t="s">
        <v>1931</v>
      </c>
      <c r="IT515" s="770" t="s">
        <v>1208</v>
      </c>
      <c r="IU515" s="770"/>
      <c r="IV515" s="770" t="s">
        <v>2916</v>
      </c>
      <c r="IW515" s="770" t="s">
        <v>13672</v>
      </c>
      <c r="IX515" s="770"/>
      <c r="IY515" s="770" t="s">
        <v>12791</v>
      </c>
      <c r="IZ515" s="770"/>
      <c r="JA515" s="770" t="s">
        <v>1880</v>
      </c>
      <c r="JB515" s="770" t="s">
        <v>12766</v>
      </c>
      <c r="JC515" s="770"/>
      <c r="JD515" s="302" t="s">
        <v>3650</v>
      </c>
      <c r="JE515" s="770"/>
      <c r="JF515" s="770"/>
      <c r="JG515" s="770"/>
      <c r="JH515" s="307"/>
      <c r="JI515" s="307"/>
      <c r="JJ515" s="770"/>
      <c r="JK515" s="770"/>
      <c r="JL515" s="770"/>
      <c r="JM515" s="770"/>
      <c r="JN515" s="770"/>
      <c r="JO515" s="770"/>
      <c r="JP515" s="770"/>
      <c r="JQ515" s="770"/>
      <c r="JR515" s="770"/>
      <c r="JS515" s="770"/>
      <c r="JT515" s="766"/>
      <c r="JU515" s="766"/>
      <c r="JV515" s="766"/>
      <c r="JW515" s="766"/>
      <c r="JX515" s="770"/>
      <c r="JY515" s="770"/>
      <c r="JZ515" s="770"/>
      <c r="KA515" s="770"/>
      <c r="KB515" s="770"/>
      <c r="KC515" s="770"/>
      <c r="KD515" s="770"/>
      <c r="KE515" s="770"/>
      <c r="KF515" s="770"/>
      <c r="KG515" s="770"/>
      <c r="KH515" s="770"/>
      <c r="KI515" s="770"/>
      <c r="KJ515" s="770"/>
      <c r="KK515" s="770"/>
      <c r="KL515" s="770"/>
      <c r="KM515" s="770"/>
      <c r="KN515" s="770"/>
      <c r="KO515" s="770"/>
      <c r="KP515" s="770"/>
      <c r="KQ515" s="770"/>
      <c r="KR515" s="770"/>
      <c r="KS515" s="770"/>
      <c r="KT515" s="770"/>
      <c r="KU515" s="770"/>
      <c r="KV515" s="770"/>
      <c r="KW515" s="770"/>
      <c r="KX515" s="770"/>
      <c r="KY515" s="770"/>
      <c r="KZ515" s="770"/>
      <c r="LA515" s="770"/>
      <c r="LB515" s="770"/>
      <c r="LC515" s="770"/>
      <c r="LD515" s="770"/>
      <c r="LE515" s="770"/>
      <c r="LF515" s="770"/>
      <c r="LG515" s="770"/>
      <c r="LH515" s="770"/>
      <c r="LI515" s="770"/>
      <c r="LJ515" s="770"/>
      <c r="LK515" s="770"/>
      <c r="LL515" s="770"/>
      <c r="LM515" s="770"/>
      <c r="LN515" s="766"/>
      <c r="LO515" s="766"/>
      <c r="LP515" s="770"/>
      <c r="LQ515" s="770"/>
      <c r="LR515" s="770"/>
      <c r="LS515" s="770"/>
      <c r="LT515" s="770"/>
      <c r="LU515" s="770"/>
      <c r="LV515" s="770"/>
      <c r="LW515" s="770"/>
      <c r="LX515" s="769"/>
      <c r="LY515" s="766" t="str">
        <f t="shared" si="135"/>
        <v/>
      </c>
      <c r="LZ515" s="1709"/>
      <c r="MA515" s="1709"/>
      <c r="MB515" s="1709"/>
      <c r="MC515" s="1679">
        <f t="shared" si="133"/>
        <v>0</v>
      </c>
      <c r="MD515" s="1709"/>
      <c r="ME515" s="1709"/>
      <c r="MF515" s="1709"/>
      <c r="MG515" s="1680">
        <f t="shared" ref="MG515:MG575" si="149">SUM(MD515:MF515)</f>
        <v>0</v>
      </c>
      <c r="MH515" s="770"/>
      <c r="MI515" s="302"/>
      <c r="MJ515" s="302"/>
      <c r="MK515" s="302"/>
      <c r="ML515" s="302"/>
      <c r="MM515" s="302"/>
      <c r="MN515" s="302"/>
      <c r="MO515" s="302"/>
      <c r="MP515" s="302"/>
      <c r="MQ515" s="302"/>
      <c r="MR515" s="302"/>
      <c r="MS515" s="302"/>
      <c r="MT515" s="302"/>
      <c r="MU515" s="302"/>
      <c r="MV515" s="302"/>
      <c r="MW515" s="302"/>
      <c r="MX515" s="302"/>
      <c r="MY515" s="1682">
        <f t="shared" si="147"/>
        <v>0</v>
      </c>
      <c r="MZ515" s="770"/>
      <c r="NA515" s="770"/>
      <c r="NB515" s="770"/>
      <c r="NC515" s="770"/>
      <c r="ND515" s="770"/>
      <c r="NE515" s="770"/>
      <c r="NF515" s="770"/>
      <c r="NG515" s="770"/>
      <c r="NH515" s="770"/>
      <c r="NI515" s="770"/>
      <c r="NJ515" s="770"/>
      <c r="NK515" s="770"/>
      <c r="NL515" s="770"/>
      <c r="NM515" s="770"/>
      <c r="NN515" s="770"/>
      <c r="NO515" s="770"/>
      <c r="NP515" s="770"/>
      <c r="NQ515" s="770"/>
      <c r="NR515" s="770"/>
      <c r="NS515" s="770"/>
      <c r="NT515" s="770"/>
      <c r="NU515" s="770"/>
      <c r="NV515" s="770"/>
      <c r="NW515" s="770"/>
      <c r="NX515" s="770"/>
      <c r="NY515" s="770"/>
      <c r="NZ515" s="770"/>
      <c r="OA515" s="770"/>
      <c r="OB515" s="770"/>
      <c r="OC515" s="770"/>
      <c r="OD515" s="770"/>
      <c r="OE515" s="770"/>
      <c r="OF515" s="770" t="s">
        <v>13554</v>
      </c>
      <c r="OG515" s="770"/>
      <c r="OH515" s="770"/>
      <c r="OI515" s="770"/>
      <c r="OJ515" s="770"/>
      <c r="OK515" s="770"/>
      <c r="OL515" s="770"/>
      <c r="OM515" s="770"/>
      <c r="ON515" s="770"/>
      <c r="OO515" s="770"/>
      <c r="OP515" s="770"/>
      <c r="OQ515" s="770"/>
      <c r="OR515" s="770"/>
      <c r="OS515" s="770"/>
      <c r="OT515" s="770"/>
      <c r="OU515" s="770"/>
      <c r="OV515" s="770"/>
      <c r="OW515" s="770"/>
      <c r="OX515" s="770"/>
      <c r="OY515" s="770"/>
      <c r="OZ515" s="770"/>
      <c r="PA515" s="770"/>
      <c r="PB515" s="770"/>
      <c r="PC515" s="770"/>
      <c r="PD515" s="770"/>
      <c r="PE515" s="770"/>
      <c r="PF515" s="770"/>
      <c r="PG515" s="770"/>
      <c r="PH515" s="770"/>
      <c r="PI515" s="770"/>
      <c r="PJ515" s="770"/>
      <c r="PK515" s="770"/>
      <c r="PL515" s="770"/>
      <c r="PM515" s="770"/>
      <c r="PN515" s="770"/>
      <c r="PO515" s="770"/>
      <c r="PP515" s="770"/>
      <c r="PQ515" s="770"/>
      <c r="PR515" s="770"/>
      <c r="PS515" s="770"/>
      <c r="PT515" s="770"/>
      <c r="PU515" s="770"/>
      <c r="PV515" s="770"/>
      <c r="PW515" s="770"/>
      <c r="PX515" s="770"/>
      <c r="PY515" s="770"/>
      <c r="PZ515" s="770"/>
      <c r="QA515" s="770"/>
      <c r="QB515" s="770"/>
      <c r="QC515" s="770"/>
      <c r="QD515" s="770"/>
      <c r="QE515" s="770"/>
      <c r="QF515" s="770"/>
      <c r="QG515" s="770"/>
      <c r="QH515" s="770"/>
      <c r="QI515" s="770"/>
      <c r="QJ515" s="770"/>
      <c r="QK515" s="770"/>
      <c r="QL515" s="770"/>
      <c r="QM515" s="770"/>
      <c r="QN515" s="770"/>
      <c r="QO515" s="770"/>
      <c r="QP515" s="770"/>
      <c r="QQ515" s="770"/>
      <c r="QR515" s="770"/>
      <c r="QS515" s="770"/>
      <c r="QT515" s="770"/>
      <c r="QU515" s="770"/>
      <c r="QV515" s="770"/>
      <c r="QW515" s="770"/>
      <c r="QX515" s="770"/>
      <c r="QY515" s="770"/>
      <c r="QZ515" s="770"/>
      <c r="RA515" s="770"/>
      <c r="RB515" s="770"/>
      <c r="RC515" s="770"/>
      <c r="RD515" s="770"/>
      <c r="RE515" s="770"/>
      <c r="RF515" s="304"/>
      <c r="RG515" s="770"/>
      <c r="RH515" s="302"/>
      <c r="RI515" s="770"/>
      <c r="RJ515" s="770" t="s">
        <v>13673</v>
      </c>
      <c r="RK515" s="770" t="s">
        <v>13552</v>
      </c>
      <c r="RL515" s="1710"/>
      <c r="RM515" s="12"/>
      <c r="RN515" s="1711"/>
      <c r="RO515" s="133" t="s">
        <v>2945</v>
      </c>
      <c r="RP515" s="11"/>
      <c r="RQ515" s="11"/>
      <c r="RR515" s="17"/>
      <c r="RS515" s="767"/>
      <c r="RT515" s="11"/>
      <c r="RU515" s="11"/>
      <c r="RV515" s="771" t="s">
        <v>7421</v>
      </c>
      <c r="RW515" s="11" t="s">
        <v>11706</v>
      </c>
      <c r="RX515" s="11" t="s">
        <v>2938</v>
      </c>
      <c r="RY515" s="11"/>
      <c r="RZ515" s="11" t="s">
        <v>1101</v>
      </c>
      <c r="SA515" s="771"/>
      <c r="SB515" s="11"/>
      <c r="SC515" s="11"/>
    </row>
    <row r="516" spans="1:497" ht="12.75" hidden="1" customHeight="1">
      <c r="A516" s="343" t="s">
        <v>7419</v>
      </c>
      <c r="B516" s="752" t="s">
        <v>7703</v>
      </c>
      <c r="C516" s="132" t="s">
        <v>3651</v>
      </c>
      <c r="D516" s="94" t="s">
        <v>3652</v>
      </c>
      <c r="E516" s="770" t="s">
        <v>3653</v>
      </c>
      <c r="F516" s="770" t="s">
        <v>28</v>
      </c>
      <c r="G516" s="770" t="s">
        <v>10</v>
      </c>
      <c r="H516" s="5" t="s">
        <v>3654</v>
      </c>
      <c r="I516" s="295"/>
      <c r="J516" s="94" t="s">
        <v>3652</v>
      </c>
      <c r="K516" s="766" t="s">
        <v>3655</v>
      </c>
      <c r="L516" s="766" t="s">
        <v>2936</v>
      </c>
      <c r="M516" s="770" t="s">
        <v>1238</v>
      </c>
      <c r="N516" s="770"/>
      <c r="O516" s="770" t="s">
        <v>3446</v>
      </c>
      <c r="P516" s="94" t="s">
        <v>3656</v>
      </c>
      <c r="Q516" s="1088">
        <v>22212</v>
      </c>
      <c r="R516" s="297">
        <v>56</v>
      </c>
      <c r="S516" s="770" t="s">
        <v>10</v>
      </c>
      <c r="T516" s="295" t="s">
        <v>3654</v>
      </c>
      <c r="U516" s="298"/>
      <c r="V516" s="770" t="s">
        <v>707</v>
      </c>
      <c r="W516" s="770"/>
      <c r="X516" s="770"/>
      <c r="Y516" s="770" t="s">
        <v>3653</v>
      </c>
      <c r="Z516" s="770" t="s">
        <v>708</v>
      </c>
      <c r="AA516" s="770" t="s">
        <v>709</v>
      </c>
      <c r="AB516" s="770" t="s">
        <v>710</v>
      </c>
      <c r="AC516" s="770" t="s">
        <v>724</v>
      </c>
      <c r="AD516" s="770" t="s">
        <v>711</v>
      </c>
      <c r="AE516" s="770"/>
      <c r="AF516" s="770" t="s">
        <v>712</v>
      </c>
      <c r="AG516" s="766" t="s">
        <v>1165</v>
      </c>
      <c r="AH516" s="766" t="s">
        <v>1096</v>
      </c>
      <c r="AI516" s="770"/>
      <c r="AJ516" s="770" t="s">
        <v>1138</v>
      </c>
      <c r="AK516" s="770" t="s">
        <v>1097</v>
      </c>
      <c r="AL516" s="531">
        <v>55.2</v>
      </c>
      <c r="AM516" s="780">
        <v>5.52</v>
      </c>
      <c r="AN516" s="532">
        <f>AM516/AL516</f>
        <v>9.9999999999999992E-2</v>
      </c>
      <c r="AO516" s="766" t="s">
        <v>1098</v>
      </c>
      <c r="AP516" s="766" t="s">
        <v>5364</v>
      </c>
      <c r="AQ516" s="766" t="s">
        <v>7418</v>
      </c>
      <c r="AR516" s="766"/>
      <c r="AS516" s="769"/>
      <c r="AT516" s="770"/>
      <c r="AU516" s="770"/>
      <c r="AV516" s="770"/>
      <c r="AW516" s="770"/>
      <c r="AX516" s="770"/>
      <c r="AY516" s="770"/>
      <c r="AZ516" s="770"/>
      <c r="BA516" s="770"/>
      <c r="BB516" s="770"/>
      <c r="BC516" s="770"/>
      <c r="BD516" s="770"/>
      <c r="BE516" s="770"/>
      <c r="BF516" s="302"/>
      <c r="BG516" s="302"/>
      <c r="BH516" s="770"/>
      <c r="BI516" s="770"/>
      <c r="BJ516" s="770"/>
      <c r="BK516" s="770" t="s">
        <v>1095</v>
      </c>
      <c r="BL516" s="770" t="s">
        <v>3657</v>
      </c>
      <c r="BM516" s="766" t="s">
        <v>1096</v>
      </c>
      <c r="BN516" s="770" t="s">
        <v>1230</v>
      </c>
      <c r="BO516" s="766" t="s">
        <v>1246</v>
      </c>
      <c r="BP516" s="765">
        <v>55.2</v>
      </c>
      <c r="BQ516" s="773">
        <v>5.52</v>
      </c>
      <c r="BR516" s="774">
        <f t="shared" si="148"/>
        <v>9.9999999999999992E-2</v>
      </c>
      <c r="BS516" s="766" t="s">
        <v>1242</v>
      </c>
      <c r="BT516" s="770" t="s">
        <v>8133</v>
      </c>
      <c r="BU516" s="766" t="s">
        <v>1264</v>
      </c>
      <c r="BV516" s="770" t="s">
        <v>1247</v>
      </c>
      <c r="BW516" s="770">
        <v>1950</v>
      </c>
      <c r="BX516" s="302"/>
      <c r="BY516" s="770"/>
      <c r="BZ516" s="302"/>
      <c r="CA516" s="770"/>
      <c r="CB516" s="770"/>
      <c r="CC516" s="770"/>
      <c r="CD516" s="770"/>
      <c r="CE516" s="770"/>
      <c r="CF516" s="1753"/>
      <c r="CG516" s="1754"/>
      <c r="CH516" s="770"/>
      <c r="CI516" s="770"/>
      <c r="CJ516" s="770"/>
      <c r="CK516" s="770"/>
      <c r="CL516" s="770"/>
      <c r="CM516" s="770"/>
      <c r="CN516" s="770"/>
      <c r="CO516" s="770"/>
      <c r="CP516" s="770"/>
      <c r="CQ516" s="770"/>
      <c r="CR516" s="302"/>
      <c r="CS516" s="770"/>
      <c r="CT516" s="770"/>
      <c r="CU516" s="305"/>
      <c r="CV516" s="770"/>
      <c r="CW516" s="770"/>
      <c r="CX516" s="770"/>
      <c r="CY516" s="770"/>
      <c r="CZ516" s="770"/>
      <c r="DA516" s="306"/>
      <c r="DB516" s="770"/>
      <c r="DC516" s="770"/>
      <c r="DD516" s="770"/>
      <c r="DE516" s="300"/>
      <c r="DF516" s="770"/>
      <c r="DG516" s="770"/>
      <c r="DH516" s="770"/>
      <c r="DI516" s="770"/>
      <c r="DJ516" s="770"/>
      <c r="DK516" s="770"/>
      <c r="DL516" s="770"/>
      <c r="DM516" s="770"/>
      <c r="DN516" s="322"/>
      <c r="DO516" s="770"/>
      <c r="DP516" s="770"/>
      <c r="DQ516" s="770"/>
      <c r="DR516" s="770"/>
      <c r="DS516" s="307"/>
      <c r="DT516" s="770"/>
      <c r="DU516" s="770"/>
      <c r="DV516" s="770"/>
      <c r="DW516" s="306"/>
      <c r="DX516" s="306"/>
      <c r="DY516" s="770"/>
      <c r="DZ516" s="770"/>
      <c r="EA516" s="770"/>
      <c r="EB516" s="770"/>
      <c r="EC516" s="770"/>
      <c r="ED516" s="770"/>
      <c r="EE516" s="770"/>
      <c r="EF516" s="770"/>
      <c r="EG516" s="770"/>
      <c r="EH516" s="770"/>
      <c r="EI516" s="770"/>
      <c r="EJ516" s="770"/>
      <c r="EK516" s="770"/>
      <c r="EL516" s="770"/>
      <c r="EM516" s="770"/>
      <c r="EN516" s="770"/>
      <c r="EO516" s="770"/>
      <c r="EP516" s="94"/>
      <c r="EQ516" s="770"/>
      <c r="ER516" s="770"/>
      <c r="ES516" s="770"/>
      <c r="ET516" s="770"/>
      <c r="EU516" s="770"/>
      <c r="EV516" s="770"/>
      <c r="EW516" s="770"/>
      <c r="EX516" s="770"/>
      <c r="EY516" s="770"/>
      <c r="EZ516" s="770"/>
      <c r="FA516" s="770"/>
      <c r="FB516" s="770"/>
      <c r="FC516" s="770"/>
      <c r="FD516" s="302"/>
      <c r="FE516" s="770"/>
      <c r="FF516" s="770"/>
      <c r="FG516" s="770"/>
      <c r="FH516" s="770"/>
      <c r="FI516" s="770"/>
      <c r="FJ516" s="770"/>
      <c r="FK516" s="770"/>
      <c r="FL516" s="770"/>
      <c r="FM516" s="302"/>
      <c r="FN516" s="302"/>
      <c r="FO516" s="302"/>
      <c r="FP516" s="770" t="s">
        <v>1600</v>
      </c>
      <c r="FQ516" s="770" t="s">
        <v>1642</v>
      </c>
      <c r="FR516" s="770" t="s">
        <v>1207</v>
      </c>
      <c r="FS516" s="770"/>
      <c r="FT516" s="770"/>
      <c r="FU516" s="770"/>
      <c r="FV516" s="770"/>
      <c r="FW516" s="770"/>
      <c r="FX516" s="770"/>
      <c r="FY516" s="770"/>
      <c r="FZ516" s="770"/>
      <c r="GA516" s="770" t="s">
        <v>3658</v>
      </c>
      <c r="GB516" s="770"/>
      <c r="GC516" s="308"/>
      <c r="GD516" s="297"/>
      <c r="GE516" s="770" t="s">
        <v>1214</v>
      </c>
      <c r="GF516" s="302"/>
      <c r="GG516" s="302"/>
      <c r="GH516" s="770"/>
      <c r="GI516" s="770"/>
      <c r="GJ516" s="770"/>
      <c r="GK516" s="770"/>
      <c r="GL516" s="770"/>
      <c r="GM516" s="770"/>
      <c r="GN516" s="299"/>
      <c r="GO516" s="770"/>
      <c r="GP516" s="770"/>
      <c r="GQ516" s="770"/>
      <c r="GR516" s="770"/>
      <c r="GS516" s="770"/>
      <c r="GT516" s="770"/>
      <c r="GU516" s="770"/>
      <c r="GV516" s="770"/>
      <c r="GW516" s="770"/>
      <c r="GX516" s="770"/>
      <c r="GY516" s="770"/>
      <c r="GZ516" s="770"/>
      <c r="HA516" s="770"/>
      <c r="HB516" s="770"/>
      <c r="HC516" s="770"/>
      <c r="HD516" s="770"/>
      <c r="HE516" s="770"/>
      <c r="HF516" s="770"/>
      <c r="HG516" s="770"/>
      <c r="HH516" s="770"/>
      <c r="HI516" s="770"/>
      <c r="HJ516" s="770"/>
      <c r="HK516" s="770"/>
      <c r="HL516" s="770"/>
      <c r="HM516" s="770"/>
      <c r="HN516" s="770"/>
      <c r="HO516" s="770"/>
      <c r="HP516" s="770"/>
      <c r="HQ516" s="770"/>
      <c r="HR516" s="770"/>
      <c r="HS516" s="770"/>
      <c r="HT516" s="770"/>
      <c r="HU516" s="770"/>
      <c r="HV516" s="770"/>
      <c r="HW516" s="770"/>
      <c r="HX516" s="770"/>
      <c r="HY516" s="770"/>
      <c r="HZ516" s="770"/>
      <c r="IA516" s="770"/>
      <c r="IB516" s="770"/>
      <c r="IC516" s="770"/>
      <c r="ID516" s="13"/>
      <c r="IE516" s="770"/>
      <c r="IF516" s="770"/>
      <c r="IG516" s="770"/>
      <c r="IH516" s="770"/>
      <c r="II516" s="770"/>
      <c r="IJ516" s="770"/>
      <c r="IK516" s="770"/>
      <c r="IL516" s="770"/>
      <c r="IM516" s="770"/>
      <c r="IN516" s="770"/>
      <c r="IO516" s="296"/>
      <c r="IP516" s="770"/>
      <c r="IQ516" s="770"/>
      <c r="IR516" s="770"/>
      <c r="IS516" s="770"/>
      <c r="IT516" s="770"/>
      <c r="IU516" s="770"/>
      <c r="IV516" s="770"/>
      <c r="IW516" s="770"/>
      <c r="IX516" s="770"/>
      <c r="IY516" s="770"/>
      <c r="IZ516" s="770"/>
      <c r="JA516" s="770"/>
      <c r="JB516" s="770"/>
      <c r="JC516" s="770"/>
      <c r="JD516" s="302"/>
      <c r="JE516" s="770"/>
      <c r="JF516" s="770"/>
      <c r="JG516" s="770"/>
      <c r="JH516" s="307"/>
      <c r="JI516" s="307"/>
      <c r="JJ516" s="770">
        <v>5</v>
      </c>
      <c r="JK516" s="770" t="s">
        <v>3657</v>
      </c>
      <c r="JL516" s="770"/>
      <c r="JM516" s="770"/>
      <c r="JN516" s="770">
        <v>1</v>
      </c>
      <c r="JO516" s="770">
        <v>4</v>
      </c>
      <c r="JP516" s="770"/>
      <c r="JQ516" s="770"/>
      <c r="JR516" s="770"/>
      <c r="JS516" s="770"/>
      <c r="JT516" s="766">
        <f>SUM(JP516,JN516,JL516,JR516)</f>
        <v>1</v>
      </c>
      <c r="JU516" s="766">
        <f>SUM(JQ516,JO516,JM516,JS516)</f>
        <v>4</v>
      </c>
      <c r="JV516" s="766"/>
      <c r="JW516" s="766"/>
      <c r="JX516" s="770"/>
      <c r="JY516" s="770"/>
      <c r="JZ516" s="770"/>
      <c r="KA516" s="770"/>
      <c r="KB516" s="770"/>
      <c r="KC516" s="770">
        <v>1</v>
      </c>
      <c r="KD516" s="770">
        <v>1</v>
      </c>
      <c r="KE516" s="770">
        <v>3</v>
      </c>
      <c r="KF516" s="770"/>
      <c r="KG516" s="770"/>
      <c r="KH516" s="770"/>
      <c r="KI516" s="770"/>
      <c r="KJ516" s="770">
        <f t="shared" si="126"/>
        <v>1</v>
      </c>
      <c r="KK516" s="770">
        <f t="shared" si="126"/>
        <v>4</v>
      </c>
      <c r="KL516" s="770"/>
      <c r="KM516" s="770"/>
      <c r="KN516" s="770" t="s">
        <v>707</v>
      </c>
      <c r="KO516" s="770"/>
      <c r="KP516" s="770"/>
      <c r="KQ516" s="770"/>
      <c r="KR516" s="770"/>
      <c r="KS516" s="770"/>
      <c r="KT516" s="770"/>
      <c r="KU516" s="770"/>
      <c r="KV516" s="770"/>
      <c r="KW516" s="770"/>
      <c r="KX516" s="770"/>
      <c r="KY516" s="770"/>
      <c r="KZ516" s="770"/>
      <c r="LA516" s="770">
        <v>2</v>
      </c>
      <c r="LB516" s="770"/>
      <c r="LC516" s="770"/>
      <c r="LD516" s="770">
        <v>1</v>
      </c>
      <c r="LE516" s="770">
        <v>2</v>
      </c>
      <c r="LF516" s="770"/>
      <c r="LG516" s="770"/>
      <c r="LH516" s="770"/>
      <c r="LI516" s="770"/>
      <c r="LJ516" s="770"/>
      <c r="LK516" s="770"/>
      <c r="LL516" s="770"/>
      <c r="LM516" s="770"/>
      <c r="LN516" s="766">
        <f t="shared" si="134"/>
        <v>1</v>
      </c>
      <c r="LO516" s="766">
        <f t="shared" si="134"/>
        <v>4</v>
      </c>
      <c r="LP516" s="770">
        <v>3</v>
      </c>
      <c r="LQ516" s="770">
        <v>1</v>
      </c>
      <c r="LR516" s="770"/>
      <c r="LS516" s="770"/>
      <c r="LT516" s="770"/>
      <c r="LU516" s="770">
        <v>2</v>
      </c>
      <c r="LV516" s="770"/>
      <c r="LW516" s="770">
        <v>1</v>
      </c>
      <c r="LX516" s="769">
        <v>1</v>
      </c>
      <c r="LY516" s="766" t="str">
        <f t="shared" si="135"/>
        <v>within the BRGY</v>
      </c>
      <c r="LZ516" s="1696"/>
      <c r="MA516" s="1696"/>
      <c r="MB516" s="1696"/>
      <c r="MC516" s="1679">
        <f t="shared" si="133"/>
        <v>0</v>
      </c>
      <c r="MD516" s="1696"/>
      <c r="ME516" s="1696"/>
      <c r="MF516" s="1696"/>
      <c r="MG516" s="1680">
        <f t="shared" si="149"/>
        <v>0</v>
      </c>
      <c r="MH516" s="770" t="s">
        <v>236</v>
      </c>
      <c r="MI516" s="302">
        <v>15000</v>
      </c>
      <c r="MJ516" s="302"/>
      <c r="MK516" s="302"/>
      <c r="ML516" s="302">
        <v>4000</v>
      </c>
      <c r="MM516" s="302"/>
      <c r="MN516" s="302"/>
      <c r="MO516" s="302"/>
      <c r="MP516" s="302">
        <v>2000</v>
      </c>
      <c r="MQ516" s="302">
        <v>500</v>
      </c>
      <c r="MR516" s="302">
        <v>1000</v>
      </c>
      <c r="MS516" s="302"/>
      <c r="MT516" s="302"/>
      <c r="MU516" s="302"/>
      <c r="MV516" s="302"/>
      <c r="MW516" s="302"/>
      <c r="MX516" s="302"/>
      <c r="MY516" s="1682">
        <f t="shared" si="147"/>
        <v>22500</v>
      </c>
      <c r="MZ516" s="770" t="s">
        <v>13370</v>
      </c>
      <c r="NA516" s="770" t="s">
        <v>13005</v>
      </c>
      <c r="NB516" s="770" t="s">
        <v>13016</v>
      </c>
      <c r="NC516" s="770" t="s">
        <v>13621</v>
      </c>
      <c r="ND516" s="770">
        <v>0</v>
      </c>
      <c r="NE516" s="770">
        <v>0</v>
      </c>
      <c r="NF516" s="770">
        <v>1</v>
      </c>
      <c r="NG516" s="770">
        <v>1</v>
      </c>
      <c r="NH516" s="770">
        <v>1</v>
      </c>
      <c r="NI516" s="770">
        <v>1</v>
      </c>
      <c r="NJ516" s="770">
        <v>1</v>
      </c>
      <c r="NK516" s="770">
        <v>0</v>
      </c>
      <c r="NL516" s="770">
        <v>1</v>
      </c>
      <c r="NM516" s="770">
        <v>1</v>
      </c>
      <c r="NN516" s="770">
        <v>0</v>
      </c>
      <c r="NO516" s="770">
        <v>0</v>
      </c>
      <c r="NP516" s="770">
        <v>0</v>
      </c>
      <c r="NQ516" s="770">
        <v>0</v>
      </c>
      <c r="NR516" s="770">
        <v>0</v>
      </c>
      <c r="NS516" s="770">
        <v>0</v>
      </c>
      <c r="NT516" s="770">
        <v>0</v>
      </c>
      <c r="NU516" s="770">
        <v>0</v>
      </c>
      <c r="NV516" s="770">
        <v>0</v>
      </c>
      <c r="NW516" s="770">
        <v>0</v>
      </c>
      <c r="NX516" s="770">
        <v>0</v>
      </c>
      <c r="NY516" s="770"/>
      <c r="NZ516" s="770"/>
      <c r="OA516" s="770"/>
      <c r="OB516" s="770"/>
      <c r="OC516" s="770" t="s">
        <v>1208</v>
      </c>
      <c r="OD516" s="770"/>
      <c r="OE516" s="770"/>
      <c r="OF516" s="770"/>
      <c r="OG516" s="770"/>
      <c r="OH516" s="770"/>
      <c r="OI516" s="770"/>
      <c r="OJ516" s="770"/>
      <c r="OK516" s="770"/>
      <c r="OL516" s="770"/>
      <c r="OM516" s="770"/>
      <c r="ON516" s="770"/>
      <c r="OO516" s="770"/>
      <c r="OP516" s="770"/>
      <c r="OQ516" s="770"/>
      <c r="OR516" s="770"/>
      <c r="OS516" s="770"/>
      <c r="OT516" s="770"/>
      <c r="OU516" s="770"/>
      <c r="OV516" s="770"/>
      <c r="OW516" s="770"/>
      <c r="OX516" s="770"/>
      <c r="OY516" s="770"/>
      <c r="OZ516" s="770"/>
      <c r="PA516" s="770"/>
      <c r="PB516" s="770"/>
      <c r="PC516" s="770"/>
      <c r="PD516" s="770"/>
      <c r="PE516" s="770"/>
      <c r="PF516" s="770"/>
      <c r="PG516" s="770"/>
      <c r="PH516" s="770"/>
      <c r="PI516" s="770"/>
      <c r="PJ516" s="770"/>
      <c r="PK516" s="770" t="s">
        <v>1208</v>
      </c>
      <c r="PL516" s="770"/>
      <c r="PM516" s="770"/>
      <c r="PN516" s="770"/>
      <c r="PO516" s="770"/>
      <c r="PP516" s="770"/>
      <c r="PQ516" s="770"/>
      <c r="PR516" s="770"/>
      <c r="PS516" s="770"/>
      <c r="PT516" s="770"/>
      <c r="PU516" s="770"/>
      <c r="PV516" s="770"/>
      <c r="PW516" s="770"/>
      <c r="PX516" s="770"/>
      <c r="PY516" s="770"/>
      <c r="PZ516" s="770"/>
      <c r="QA516" s="770"/>
      <c r="QB516" s="770"/>
      <c r="QC516" s="770"/>
      <c r="QD516" s="770"/>
      <c r="QE516" s="770"/>
      <c r="QF516" s="770"/>
      <c r="QG516" s="770"/>
      <c r="QH516" s="770"/>
      <c r="QI516" s="770"/>
      <c r="QJ516" s="770"/>
      <c r="QK516" s="770"/>
      <c r="QL516" s="770"/>
      <c r="QM516" s="770"/>
      <c r="QN516" s="770"/>
      <c r="QO516" s="770"/>
      <c r="QP516" s="770"/>
      <c r="QQ516" s="770"/>
      <c r="QR516" s="770"/>
      <c r="QS516" s="770"/>
      <c r="QT516" s="770"/>
      <c r="QU516" s="770"/>
      <c r="QV516" s="770"/>
      <c r="QW516" s="770"/>
      <c r="QX516" s="770"/>
      <c r="QY516" s="770"/>
      <c r="QZ516" s="770"/>
      <c r="RA516" s="770"/>
      <c r="RB516" s="770" t="s">
        <v>1207</v>
      </c>
      <c r="RC516" s="770">
        <v>2016</v>
      </c>
      <c r="RD516" s="770" t="s">
        <v>13615</v>
      </c>
      <c r="RE516" s="770" t="s">
        <v>12999</v>
      </c>
      <c r="RF516" s="304">
        <v>1</v>
      </c>
      <c r="RG516" s="770" t="s">
        <v>13047</v>
      </c>
      <c r="RH516" s="302">
        <v>1000</v>
      </c>
      <c r="RI516" s="770">
        <v>2</v>
      </c>
      <c r="RJ516" s="770" t="s">
        <v>13674</v>
      </c>
      <c r="RK516" s="770" t="s">
        <v>13544</v>
      </c>
      <c r="RL516" s="1710"/>
      <c r="RM516" s="12"/>
      <c r="RN516" s="1711"/>
      <c r="RO516" s="132" t="s">
        <v>3651</v>
      </c>
      <c r="RP516" s="11"/>
      <c r="RQ516" s="11"/>
      <c r="RR516" s="17"/>
      <c r="RS516" s="767"/>
      <c r="RT516" s="11"/>
      <c r="RU516" s="11"/>
      <c r="RV516" s="771" t="s">
        <v>7421</v>
      </c>
      <c r="RW516" s="11" t="s">
        <v>7794</v>
      </c>
      <c r="RX516" s="11" t="s">
        <v>3635</v>
      </c>
      <c r="RY516" s="11"/>
      <c r="RZ516" s="11" t="s">
        <v>1101</v>
      </c>
      <c r="SA516" s="771"/>
      <c r="SB516" s="11"/>
      <c r="SC516" s="11"/>
    </row>
    <row r="517" spans="1:497" ht="12.75" hidden="1" customHeight="1">
      <c r="A517" s="343" t="s">
        <v>7419</v>
      </c>
      <c r="B517" s="752" t="s">
        <v>7704</v>
      </c>
      <c r="C517" s="132" t="s">
        <v>3442</v>
      </c>
      <c r="D517" s="94" t="s">
        <v>3443</v>
      </c>
      <c r="E517" s="759" t="s">
        <v>3627</v>
      </c>
      <c r="F517" s="770" t="s">
        <v>28</v>
      </c>
      <c r="G517" s="770" t="s">
        <v>18</v>
      </c>
      <c r="H517" s="770"/>
      <c r="I517" s="295" t="s">
        <v>3444</v>
      </c>
      <c r="J517" s="94" t="str">
        <f ca="1">IF(F517="Head",CELL("contents",D517))</f>
        <v>Jose, Mercedes Perez</v>
      </c>
      <c r="K517" s="766" t="s">
        <v>3445</v>
      </c>
      <c r="L517" s="766" t="s">
        <v>2936</v>
      </c>
      <c r="M517" s="770" t="s">
        <v>1238</v>
      </c>
      <c r="N517" s="770"/>
      <c r="O517" s="770" t="s">
        <v>3446</v>
      </c>
      <c r="P517" s="94" t="s">
        <v>3447</v>
      </c>
      <c r="Q517" s="1088">
        <v>19107</v>
      </c>
      <c r="R517" s="297">
        <v>65</v>
      </c>
      <c r="S517" s="770" t="s">
        <v>18</v>
      </c>
      <c r="T517" s="770"/>
      <c r="U517" s="295" t="s">
        <v>3444</v>
      </c>
      <c r="V517" s="770" t="s">
        <v>2970</v>
      </c>
      <c r="W517" s="770"/>
      <c r="X517" s="770"/>
      <c r="Y517" s="770" t="s">
        <v>3627</v>
      </c>
      <c r="Z517" s="770" t="s">
        <v>708</v>
      </c>
      <c r="AA517" s="770" t="s">
        <v>709</v>
      </c>
      <c r="AB517" s="770" t="s">
        <v>710</v>
      </c>
      <c r="AC517" s="770" t="s">
        <v>1071</v>
      </c>
      <c r="AD517" s="770" t="s">
        <v>711</v>
      </c>
      <c r="AE517" s="770"/>
      <c r="AF517" s="770" t="s">
        <v>712</v>
      </c>
      <c r="AG517" s="766" t="s">
        <v>1095</v>
      </c>
      <c r="AH517" s="766" t="s">
        <v>1096</v>
      </c>
      <c r="AI517" s="770" t="s">
        <v>3294</v>
      </c>
      <c r="AJ517" s="770"/>
      <c r="AK517" s="770" t="s">
        <v>1097</v>
      </c>
      <c r="AL517" s="531">
        <v>12.58</v>
      </c>
      <c r="AM517" s="780">
        <v>5.92</v>
      </c>
      <c r="AN517" s="532">
        <f>AM517/AL517</f>
        <v>0.47058823529411764</v>
      </c>
      <c r="AO517" s="766" t="s">
        <v>1149</v>
      </c>
      <c r="AP517" s="766" t="s">
        <v>5364</v>
      </c>
      <c r="AQ517" s="766" t="s">
        <v>7418</v>
      </c>
      <c r="AR517" s="766"/>
      <c r="AS517" s="769"/>
      <c r="AT517" s="770"/>
      <c r="AU517" s="770"/>
      <c r="AV517" s="770"/>
      <c r="AW517" s="770"/>
      <c r="AX517" s="770"/>
      <c r="AY517" s="770"/>
      <c r="AZ517" s="770"/>
      <c r="BA517" s="770"/>
      <c r="BB517" s="770"/>
      <c r="BC517" s="770"/>
      <c r="BD517" s="770"/>
      <c r="BE517" s="770"/>
      <c r="BF517" s="302"/>
      <c r="BG517" s="302"/>
      <c r="BH517" s="770"/>
      <c r="BI517" s="770"/>
      <c r="BJ517" s="770"/>
      <c r="BK517" s="770" t="s">
        <v>1095</v>
      </c>
      <c r="BL517" s="770" t="s">
        <v>11306</v>
      </c>
      <c r="BM517" s="766" t="s">
        <v>1096</v>
      </c>
      <c r="BN517" s="770" t="s">
        <v>1230</v>
      </c>
      <c r="BO517" s="766" t="s">
        <v>1246</v>
      </c>
      <c r="BP517" s="765">
        <v>25.16</v>
      </c>
      <c r="BQ517" s="773">
        <v>11.84</v>
      </c>
      <c r="BR517" s="774">
        <f t="shared" si="148"/>
        <v>0.47058823529411764</v>
      </c>
      <c r="BS517" s="6" t="s">
        <v>1149</v>
      </c>
      <c r="BT517" s="766" t="s">
        <v>2040</v>
      </c>
      <c r="BU517" s="770" t="s">
        <v>1249</v>
      </c>
      <c r="BV517" s="770" t="s">
        <v>1247</v>
      </c>
      <c r="BW517" s="770">
        <v>1986</v>
      </c>
      <c r="BX517" s="302" t="s">
        <v>2746</v>
      </c>
      <c r="BY517" s="770" t="s">
        <v>1207</v>
      </c>
      <c r="BZ517" s="302"/>
      <c r="CA517" s="770"/>
      <c r="CB517" s="770"/>
      <c r="CC517" s="770"/>
      <c r="CD517" s="770"/>
      <c r="CE517" s="770"/>
      <c r="CF517" s="1753"/>
      <c r="CG517" s="1754"/>
      <c r="CH517" s="770"/>
      <c r="CI517" s="770"/>
      <c r="CJ517" s="770"/>
      <c r="CK517" s="770"/>
      <c r="CL517" s="770"/>
      <c r="CM517" s="770"/>
      <c r="CN517" s="770"/>
      <c r="CO517" s="770"/>
      <c r="CP517" s="770"/>
      <c r="CQ517" s="770"/>
      <c r="CR517" s="302"/>
      <c r="CS517" s="770"/>
      <c r="CT517" s="770"/>
      <c r="CU517" s="305"/>
      <c r="CV517" s="770"/>
      <c r="CW517" s="770"/>
      <c r="CX517" s="770"/>
      <c r="CY517" s="770"/>
      <c r="CZ517" s="770"/>
      <c r="DA517" s="306"/>
      <c r="DB517" s="770"/>
      <c r="DC517" s="770"/>
      <c r="DD517" s="770"/>
      <c r="DE517" s="300"/>
      <c r="DF517" s="770"/>
      <c r="DG517" s="770"/>
      <c r="DH517" s="770"/>
      <c r="DI517" s="770"/>
      <c r="DJ517" s="770"/>
      <c r="DK517" s="770"/>
      <c r="DL517" s="770"/>
      <c r="DM517" s="770"/>
      <c r="DN517" s="322"/>
      <c r="DO517" s="770"/>
      <c r="DP517" s="770"/>
      <c r="DQ517" s="770"/>
      <c r="DR517" s="770"/>
      <c r="DS517" s="307"/>
      <c r="DT517" s="770"/>
      <c r="DU517" s="770"/>
      <c r="DV517" s="770"/>
      <c r="DW517" s="306"/>
      <c r="DX517" s="306"/>
      <c r="DY517" s="770"/>
      <c r="DZ517" s="770"/>
      <c r="EA517" s="770"/>
      <c r="EB517" s="770"/>
      <c r="EC517" s="770"/>
      <c r="ED517" s="770"/>
      <c r="EE517" s="770"/>
      <c r="EF517" s="770"/>
      <c r="EG517" s="770"/>
      <c r="EH517" s="770"/>
      <c r="EI517" s="770"/>
      <c r="EJ517" s="770"/>
      <c r="EK517" s="770"/>
      <c r="EL517" s="770"/>
      <c r="EM517" s="770"/>
      <c r="EN517" s="770"/>
      <c r="EO517" s="770"/>
      <c r="EP517" s="94"/>
      <c r="EQ517" s="770"/>
      <c r="ER517" s="770"/>
      <c r="ES517" s="770"/>
      <c r="ET517" s="770"/>
      <c r="EU517" s="770"/>
      <c r="EV517" s="770"/>
      <c r="EW517" s="770"/>
      <c r="EX517" s="770"/>
      <c r="EY517" s="770"/>
      <c r="EZ517" s="770"/>
      <c r="FA517" s="770"/>
      <c r="FB517" s="770"/>
      <c r="FC517" s="770"/>
      <c r="FD517" s="302"/>
      <c r="FE517" s="770"/>
      <c r="FF517" s="770"/>
      <c r="FG517" s="770"/>
      <c r="FH517" s="770" t="s">
        <v>3230</v>
      </c>
      <c r="FI517" s="770">
        <v>1</v>
      </c>
      <c r="FJ517" s="770"/>
      <c r="FK517" s="770"/>
      <c r="FL517" s="770"/>
      <c r="FM517" s="302"/>
      <c r="FN517" s="302"/>
      <c r="FO517" s="302"/>
      <c r="FP517" s="770" t="s">
        <v>1602</v>
      </c>
      <c r="FQ517" s="770" t="s">
        <v>1660</v>
      </c>
      <c r="FR517" s="770" t="s">
        <v>1214</v>
      </c>
      <c r="FS517" s="770"/>
      <c r="FT517" s="770"/>
      <c r="FU517" s="770"/>
      <c r="FV517" s="770"/>
      <c r="FW517" s="770"/>
      <c r="FX517" s="770"/>
      <c r="FY517" s="770"/>
      <c r="FZ517" s="770"/>
      <c r="GA517" s="770"/>
      <c r="GB517" s="770"/>
      <c r="GC517" s="308"/>
      <c r="GD517" s="297"/>
      <c r="GE517" s="770"/>
      <c r="GF517" s="302"/>
      <c r="GG517" s="302"/>
      <c r="GH517" s="1774" t="s">
        <v>1791</v>
      </c>
      <c r="GI517" s="770" t="s">
        <v>2352</v>
      </c>
      <c r="GJ517" s="770" t="s">
        <v>3209</v>
      </c>
      <c r="GK517" s="770" t="s">
        <v>2345</v>
      </c>
      <c r="GL517" s="770"/>
      <c r="GM517" s="770" t="s">
        <v>1835</v>
      </c>
      <c r="GN517" s="299">
        <f>31*7</f>
        <v>217</v>
      </c>
      <c r="GO517" s="770" t="s">
        <v>2760</v>
      </c>
      <c r="GP517" s="770"/>
      <c r="GQ517" s="770" t="s">
        <v>1208</v>
      </c>
      <c r="GR517" s="770"/>
      <c r="GS517" s="770"/>
      <c r="GT517" s="770"/>
      <c r="GU517" s="770"/>
      <c r="GV517" s="770"/>
      <c r="GW517" s="770" t="s">
        <v>1207</v>
      </c>
      <c r="GX517" s="770"/>
      <c r="GY517" s="770" t="s">
        <v>1208</v>
      </c>
      <c r="GZ517" s="770"/>
      <c r="HA517" s="770" t="s">
        <v>1208</v>
      </c>
      <c r="HB517" s="770" t="s">
        <v>1208</v>
      </c>
      <c r="HC517" s="770" t="s">
        <v>1208</v>
      </c>
      <c r="HD517" s="770" t="s">
        <v>1208</v>
      </c>
      <c r="HE517" s="770" t="s">
        <v>1208</v>
      </c>
      <c r="HF517" s="770"/>
      <c r="HG517" s="770"/>
      <c r="HH517" s="770"/>
      <c r="HI517" s="770" t="s">
        <v>1214</v>
      </c>
      <c r="HJ517" s="770"/>
      <c r="HK517" s="770"/>
      <c r="HL517" s="770" t="s">
        <v>1214</v>
      </c>
      <c r="HM517" s="770"/>
      <c r="HN517" s="770"/>
      <c r="HO517" s="770"/>
      <c r="HP517" s="770"/>
      <c r="HQ517" s="770"/>
      <c r="HR517" s="770">
        <v>3</v>
      </c>
      <c r="HS517" s="770"/>
      <c r="HT517" s="770"/>
      <c r="HU517" s="770"/>
      <c r="HV517" s="770"/>
      <c r="HW517" s="770"/>
      <c r="HX517" s="770"/>
      <c r="HY517" s="770"/>
      <c r="HZ517" s="770"/>
      <c r="IA517" s="770"/>
      <c r="IB517" s="770"/>
      <c r="IC517" s="770"/>
      <c r="ID517" s="766">
        <v>2</v>
      </c>
      <c r="IE517" s="770">
        <v>2</v>
      </c>
      <c r="IF517" s="770"/>
      <c r="IG517" s="770"/>
      <c r="IH517" s="770"/>
      <c r="II517" s="770"/>
      <c r="IJ517" s="770"/>
      <c r="IK517" s="770"/>
      <c r="IL517" s="770"/>
      <c r="IM517" s="770"/>
      <c r="IN517" s="770"/>
      <c r="IO517" s="296"/>
      <c r="IP517" s="770"/>
      <c r="IQ517" s="770"/>
      <c r="IR517" s="770"/>
      <c r="IS517" s="770"/>
      <c r="IT517" s="770"/>
      <c r="IU517" s="770"/>
      <c r="IV517" s="770"/>
      <c r="IW517" s="770"/>
      <c r="IX517" s="770"/>
      <c r="IY517" s="770"/>
      <c r="IZ517" s="770"/>
      <c r="JA517" s="770"/>
      <c r="JB517" s="770"/>
      <c r="JC517" s="770"/>
      <c r="JD517" s="302"/>
      <c r="JE517" s="770"/>
      <c r="JF517" s="770"/>
      <c r="JG517" s="770"/>
      <c r="JH517" s="307"/>
      <c r="JI517" s="307"/>
      <c r="JJ517" s="770">
        <v>9</v>
      </c>
      <c r="JK517" s="770" t="s">
        <v>3448</v>
      </c>
      <c r="JL517" s="770">
        <v>1</v>
      </c>
      <c r="JM517" s="770">
        <v>2</v>
      </c>
      <c r="JN517" s="770">
        <v>3</v>
      </c>
      <c r="JO517" s="770">
        <v>1</v>
      </c>
      <c r="JP517" s="770">
        <v>1</v>
      </c>
      <c r="JQ517" s="770">
        <v>1</v>
      </c>
      <c r="JR517" s="770"/>
      <c r="JS517" s="770"/>
      <c r="JT517" s="766">
        <f>SUM(JP517,JN517,JL517,JR517)</f>
        <v>5</v>
      </c>
      <c r="JU517" s="766">
        <f>SUM(JQ517,JO517,JM517,JS517)</f>
        <v>4</v>
      </c>
      <c r="JV517" s="766"/>
      <c r="JW517" s="766"/>
      <c r="JX517" s="770"/>
      <c r="JY517" s="770">
        <v>1</v>
      </c>
      <c r="JZ517" s="770">
        <v>1</v>
      </c>
      <c r="KA517" s="770">
        <v>1</v>
      </c>
      <c r="KB517" s="770">
        <v>2</v>
      </c>
      <c r="KC517" s="770">
        <v>1</v>
      </c>
      <c r="KD517" s="770">
        <v>1</v>
      </c>
      <c r="KE517" s="770"/>
      <c r="KF517" s="770">
        <v>1</v>
      </c>
      <c r="KG517" s="770">
        <v>1</v>
      </c>
      <c r="KH517" s="770"/>
      <c r="KI517" s="770"/>
      <c r="KJ517" s="770">
        <f t="shared" si="126"/>
        <v>5</v>
      </c>
      <c r="KK517" s="770">
        <f t="shared" si="126"/>
        <v>4</v>
      </c>
      <c r="KL517" s="770"/>
      <c r="KM517" s="770"/>
      <c r="KN517" s="770" t="s">
        <v>783</v>
      </c>
      <c r="KO517" s="770"/>
      <c r="KP517" s="770"/>
      <c r="KQ517" s="770"/>
      <c r="KR517" s="770"/>
      <c r="KS517" s="770">
        <v>1</v>
      </c>
      <c r="KT517" s="770"/>
      <c r="KU517" s="770"/>
      <c r="KV517" s="770">
        <v>1</v>
      </c>
      <c r="KW517" s="770">
        <v>1</v>
      </c>
      <c r="KX517" s="770">
        <v>1</v>
      </c>
      <c r="KY517" s="770"/>
      <c r="KZ517" s="770">
        <v>2</v>
      </c>
      <c r="LA517" s="770">
        <v>3</v>
      </c>
      <c r="LB517" s="770"/>
      <c r="LC517" s="770"/>
      <c r="LD517" s="770"/>
      <c r="LE517" s="770"/>
      <c r="LF517" s="770"/>
      <c r="LG517" s="770"/>
      <c r="LH517" s="770"/>
      <c r="LI517" s="770"/>
      <c r="LJ517" s="770"/>
      <c r="LK517" s="770"/>
      <c r="LL517" s="770"/>
      <c r="LM517" s="770"/>
      <c r="LN517" s="766">
        <f t="shared" si="134"/>
        <v>4</v>
      </c>
      <c r="LO517" s="766">
        <f t="shared" si="134"/>
        <v>5</v>
      </c>
      <c r="LP517" s="770">
        <v>4</v>
      </c>
      <c r="LQ517" s="770">
        <v>3</v>
      </c>
      <c r="LR517" s="770"/>
      <c r="LS517" s="770">
        <v>1</v>
      </c>
      <c r="LT517" s="770"/>
      <c r="LU517" s="770">
        <v>2</v>
      </c>
      <c r="LV517" s="770">
        <v>1</v>
      </c>
      <c r="LW517" s="770"/>
      <c r="LX517" s="769">
        <v>1</v>
      </c>
      <c r="LY517" s="766" t="str">
        <f t="shared" si="135"/>
        <v>within the BRGY</v>
      </c>
      <c r="LZ517" s="1696">
        <f>SUM(52*26,20*26,20*26)</f>
        <v>2392</v>
      </c>
      <c r="MA517" s="1696"/>
      <c r="MB517" s="1696">
        <v>200</v>
      </c>
      <c r="MC517" s="1679">
        <f t="shared" si="133"/>
        <v>2592</v>
      </c>
      <c r="MD517" s="1696">
        <f>SUM(7000,2000*4,300*26)</f>
        <v>22800</v>
      </c>
      <c r="ME517" s="1696"/>
      <c r="MF517" s="1696">
        <v>800</v>
      </c>
      <c r="MG517" s="1680">
        <f t="shared" si="149"/>
        <v>23600</v>
      </c>
      <c r="MH517" s="770" t="s">
        <v>2207</v>
      </c>
      <c r="MI517" s="1782">
        <v>8000</v>
      </c>
      <c r="MJ517" s="1782">
        <v>9000</v>
      </c>
      <c r="MK517" s="1782">
        <v>333</v>
      </c>
      <c r="ML517" s="1782">
        <v>10000</v>
      </c>
      <c r="MM517" s="1782">
        <v>1550</v>
      </c>
      <c r="MN517" s="1782"/>
      <c r="MO517" s="1782">
        <v>2400</v>
      </c>
      <c r="MP517" s="1782">
        <v>1800</v>
      </c>
      <c r="MQ517" s="1782">
        <v>230</v>
      </c>
      <c r="MR517" s="1782">
        <v>600</v>
      </c>
      <c r="MS517" s="1782">
        <v>2500</v>
      </c>
      <c r="MT517" s="1782"/>
      <c r="MU517" s="1782"/>
      <c r="MV517" s="1782"/>
      <c r="MW517" s="1782"/>
      <c r="MX517" s="1782"/>
      <c r="MY517" s="1682">
        <f t="shared" si="147"/>
        <v>36413</v>
      </c>
      <c r="MZ517" s="770" t="s">
        <v>13370</v>
      </c>
      <c r="NA517" s="770" t="s">
        <v>13230</v>
      </c>
      <c r="NB517" s="770" t="s">
        <v>13016</v>
      </c>
      <c r="NC517" s="770" t="s">
        <v>13135</v>
      </c>
      <c r="ND517" s="770">
        <v>0</v>
      </c>
      <c r="NE517" s="770">
        <v>1</v>
      </c>
      <c r="NF517" s="770">
        <v>0</v>
      </c>
      <c r="NG517" s="770">
        <v>1</v>
      </c>
      <c r="NH517" s="770">
        <v>1</v>
      </c>
      <c r="NI517" s="770">
        <v>1</v>
      </c>
      <c r="NJ517" s="770">
        <v>1</v>
      </c>
      <c r="NK517" s="770">
        <v>0</v>
      </c>
      <c r="NL517" s="770">
        <v>0</v>
      </c>
      <c r="NM517" s="770">
        <v>1</v>
      </c>
      <c r="NN517" s="770">
        <v>0</v>
      </c>
      <c r="NO517" s="770">
        <v>0</v>
      </c>
      <c r="NP517" s="770">
        <v>0</v>
      </c>
      <c r="NQ517" s="770">
        <v>0</v>
      </c>
      <c r="NR517" s="770">
        <v>0</v>
      </c>
      <c r="NS517" s="770">
        <v>0</v>
      </c>
      <c r="NT517" s="770">
        <v>0</v>
      </c>
      <c r="NU517" s="770">
        <v>0</v>
      </c>
      <c r="NV517" s="770">
        <v>0</v>
      </c>
      <c r="NW517" s="770">
        <v>1</v>
      </c>
      <c r="NX517" s="770">
        <v>0</v>
      </c>
      <c r="NY517" s="770"/>
      <c r="NZ517" s="770"/>
      <c r="OA517" s="770"/>
      <c r="OB517" s="770"/>
      <c r="OC517" s="770" t="s">
        <v>1208</v>
      </c>
      <c r="OD517" s="770"/>
      <c r="OE517" s="770"/>
      <c r="OF517" s="770" t="s">
        <v>13568</v>
      </c>
      <c r="OG517" s="770"/>
      <c r="OH517" s="770"/>
      <c r="OI517" s="770"/>
      <c r="OJ517" s="770"/>
      <c r="OK517" s="770" t="s">
        <v>1208</v>
      </c>
      <c r="OL517" s="770"/>
      <c r="OM517" s="770"/>
      <c r="ON517" s="770"/>
      <c r="OO517" s="770" t="s">
        <v>3449</v>
      </c>
      <c r="OP517" s="770" t="s">
        <v>13675</v>
      </c>
      <c r="OQ517" s="770" t="s">
        <v>13676</v>
      </c>
      <c r="OR517" s="770" t="s">
        <v>13677</v>
      </c>
      <c r="OS517" s="770" t="s">
        <v>13678</v>
      </c>
      <c r="OT517" s="770" t="s">
        <v>13532</v>
      </c>
      <c r="OU517" s="770" t="s">
        <v>13679</v>
      </c>
      <c r="OV517" s="770" t="s">
        <v>1208</v>
      </c>
      <c r="OW517" s="770"/>
      <c r="OX517" s="770" t="s">
        <v>1208</v>
      </c>
      <c r="OY517" s="770"/>
      <c r="OZ517" s="770"/>
      <c r="PA517" s="770"/>
      <c r="PB517" s="770" t="s">
        <v>1208</v>
      </c>
      <c r="PC517" s="770"/>
      <c r="PD517" s="770"/>
      <c r="PE517" s="770"/>
      <c r="PF517" s="770"/>
      <c r="PG517" s="770"/>
      <c r="PH517" s="770" t="s">
        <v>1208</v>
      </c>
      <c r="PI517" s="770"/>
      <c r="PJ517" s="770"/>
      <c r="PK517" s="770" t="s">
        <v>1208</v>
      </c>
      <c r="PL517" s="770"/>
      <c r="PM517" s="770"/>
      <c r="PN517" s="770"/>
      <c r="PO517" s="770"/>
      <c r="PP517" s="770"/>
      <c r="PQ517" s="770"/>
      <c r="PR517" s="770"/>
      <c r="PS517" s="770"/>
      <c r="PT517" s="770"/>
      <c r="PU517" s="770"/>
      <c r="PV517" s="770"/>
      <c r="PW517" s="770"/>
      <c r="PX517" s="770"/>
      <c r="PY517" s="770"/>
      <c r="PZ517" s="770"/>
      <c r="QA517" s="770"/>
      <c r="QB517" s="770"/>
      <c r="QC517" s="770"/>
      <c r="QD517" s="770"/>
      <c r="QE517" s="770"/>
      <c r="QF517" s="770"/>
      <c r="QG517" s="770"/>
      <c r="QH517" s="770"/>
      <c r="QI517" s="770"/>
      <c r="QJ517" s="770"/>
      <c r="QK517" s="770"/>
      <c r="QL517" s="770"/>
      <c r="QM517" s="770"/>
      <c r="QN517" s="770"/>
      <c r="QO517" s="770"/>
      <c r="QP517" s="770"/>
      <c r="QQ517" s="770"/>
      <c r="QR517" s="770"/>
      <c r="QS517" s="770"/>
      <c r="QT517" s="770"/>
      <c r="QU517" s="770"/>
      <c r="QV517" s="770"/>
      <c r="QW517" s="770"/>
      <c r="QX517" s="770"/>
      <c r="QY517" s="770"/>
      <c r="QZ517" s="770"/>
      <c r="RA517" s="770" t="s">
        <v>13680</v>
      </c>
      <c r="RB517" s="770" t="s">
        <v>1207</v>
      </c>
      <c r="RC517" s="770">
        <v>2013</v>
      </c>
      <c r="RD517" s="770" t="s">
        <v>13251</v>
      </c>
      <c r="RE517" s="770" t="s">
        <v>13125</v>
      </c>
      <c r="RF517" s="304">
        <v>0.5</v>
      </c>
      <c r="RG517" s="770" t="s">
        <v>13474</v>
      </c>
      <c r="RH517" s="302">
        <v>5000</v>
      </c>
      <c r="RI517" s="770" t="s">
        <v>13681</v>
      </c>
      <c r="RJ517" s="770" t="s">
        <v>13682</v>
      </c>
      <c r="RK517" s="770" t="s">
        <v>13556</v>
      </c>
      <c r="RL517" s="1710"/>
      <c r="RM517" s="12"/>
      <c r="RN517" s="1711"/>
      <c r="RO517" s="132" t="s">
        <v>3442</v>
      </c>
      <c r="RP517" s="11"/>
      <c r="RQ517" s="11"/>
      <c r="RR517" s="17"/>
      <c r="RS517" s="767"/>
      <c r="RT517" s="11"/>
      <c r="RU517" s="11"/>
      <c r="RV517" s="771" t="s">
        <v>7421</v>
      </c>
      <c r="RW517" s="11" t="s">
        <v>7795</v>
      </c>
      <c r="RX517" s="11" t="s">
        <v>2945</v>
      </c>
      <c r="RY517" s="11"/>
      <c r="RZ517" s="11" t="s">
        <v>1101</v>
      </c>
      <c r="SA517" s="771"/>
      <c r="SB517" s="11"/>
      <c r="SC517" s="11"/>
    </row>
    <row r="518" spans="1:497" ht="12.75" customHeight="1">
      <c r="A518" s="19" t="s">
        <v>7421</v>
      </c>
      <c r="B518" s="752" t="s">
        <v>14055</v>
      </c>
      <c r="C518" s="132" t="s">
        <v>2952</v>
      </c>
      <c r="D518" s="94" t="s">
        <v>2953</v>
      </c>
      <c r="E518" s="766" t="s">
        <v>3627</v>
      </c>
      <c r="F518" s="770" t="s">
        <v>28</v>
      </c>
      <c r="G518" s="770" t="s">
        <v>10</v>
      </c>
      <c r="H518" s="770"/>
      <c r="I518" s="295"/>
      <c r="J518" s="94" t="s">
        <v>2953</v>
      </c>
      <c r="K518" s="766" t="s">
        <v>3445</v>
      </c>
      <c r="L518" s="766" t="s">
        <v>2429</v>
      </c>
      <c r="M518" s="770" t="s">
        <v>1238</v>
      </c>
      <c r="N518" s="770"/>
      <c r="O518" s="770" t="s">
        <v>3446</v>
      </c>
      <c r="P518" s="94" t="s">
        <v>2954</v>
      </c>
      <c r="Q518" s="1821"/>
      <c r="R518" s="1083"/>
      <c r="S518" s="770" t="s">
        <v>10</v>
      </c>
      <c r="T518" s="770"/>
      <c r="U518" s="295"/>
      <c r="V518" s="770" t="s">
        <v>707</v>
      </c>
      <c r="W518" s="770"/>
      <c r="X518" s="770"/>
      <c r="Y518" s="13"/>
      <c r="Z518" s="770" t="s">
        <v>708</v>
      </c>
      <c r="AA518" s="770" t="s">
        <v>709</v>
      </c>
      <c r="AB518" s="770" t="s">
        <v>7273</v>
      </c>
      <c r="AC518" s="770" t="s">
        <v>948</v>
      </c>
      <c r="AD518" s="770"/>
      <c r="AE518" s="770"/>
      <c r="AF518" s="770" t="s">
        <v>712</v>
      </c>
      <c r="AG518" s="766" t="s">
        <v>1132</v>
      </c>
      <c r="AH518" s="766" t="s">
        <v>1096</v>
      </c>
      <c r="AI518" s="770"/>
      <c r="AJ518" s="770" t="s">
        <v>1137</v>
      </c>
      <c r="AK518" s="770" t="s">
        <v>1101</v>
      </c>
      <c r="AL518" s="531">
        <v>9.25</v>
      </c>
      <c r="AM518" s="780">
        <v>4.8</v>
      </c>
      <c r="AN518" s="532">
        <f>AM518/AL518</f>
        <v>0.51891891891891895</v>
      </c>
      <c r="AO518" s="766" t="s">
        <v>1149</v>
      </c>
      <c r="AP518" s="766"/>
      <c r="AQ518" s="766"/>
      <c r="AR518" s="766"/>
      <c r="AS518" s="770"/>
      <c r="AT518" s="770"/>
      <c r="AU518" s="770"/>
      <c r="AV518" s="770"/>
      <c r="AW518" s="770"/>
      <c r="AX518" s="770"/>
      <c r="AY518" s="770"/>
      <c r="AZ518" s="770"/>
      <c r="BA518" s="770"/>
      <c r="BB518" s="770"/>
      <c r="BC518" s="770"/>
      <c r="BD518" s="770"/>
      <c r="BE518" s="770"/>
      <c r="BF518" s="302"/>
      <c r="BG518" s="302"/>
      <c r="BH518" s="770"/>
      <c r="BI518" s="770"/>
      <c r="BJ518" s="770"/>
      <c r="BK518" s="770" t="s">
        <v>1095</v>
      </c>
      <c r="BL518" s="766" t="s">
        <v>7884</v>
      </c>
      <c r="BM518" s="766" t="s">
        <v>1096</v>
      </c>
      <c r="BN518" s="770" t="s">
        <v>1230</v>
      </c>
      <c r="BO518" s="766" t="s">
        <v>1246</v>
      </c>
      <c r="BP518" s="1111">
        <v>9.75</v>
      </c>
      <c r="BQ518" s="773">
        <v>4.8</v>
      </c>
      <c r="BR518" s="37">
        <f t="shared" si="148"/>
        <v>0.49230769230769228</v>
      </c>
      <c r="BS518" s="766" t="s">
        <v>1149</v>
      </c>
      <c r="BT518" s="766" t="s">
        <v>8133</v>
      </c>
      <c r="BU518" s="770" t="s">
        <v>1249</v>
      </c>
      <c r="BV518" s="770" t="s">
        <v>1247</v>
      </c>
      <c r="BW518" s="769"/>
      <c r="BX518" s="302"/>
      <c r="BY518" s="770"/>
      <c r="BZ518" s="302"/>
      <c r="CA518" s="770"/>
      <c r="CB518" s="770"/>
      <c r="CC518" s="770"/>
      <c r="CD518" s="770"/>
      <c r="CE518" s="770"/>
      <c r="CF518" s="1753"/>
      <c r="CG518" s="1754"/>
      <c r="CH518" s="770"/>
      <c r="CI518" s="770"/>
      <c r="CJ518" s="770"/>
      <c r="CK518" s="770"/>
      <c r="CL518" s="770"/>
      <c r="CM518" s="770"/>
      <c r="CN518" s="770"/>
      <c r="CO518" s="770"/>
      <c r="CP518" s="770"/>
      <c r="CQ518" s="770"/>
      <c r="CR518" s="302"/>
      <c r="CS518" s="770"/>
      <c r="CT518" s="770"/>
      <c r="CU518" s="305"/>
      <c r="CV518" s="770"/>
      <c r="CW518" s="770"/>
      <c r="CX518" s="770"/>
      <c r="CY518" s="770"/>
      <c r="CZ518" s="770"/>
      <c r="DA518" s="306"/>
      <c r="DB518" s="770"/>
      <c r="DC518" s="770"/>
      <c r="DD518" s="770"/>
      <c r="DE518" s="300"/>
      <c r="DF518" s="770"/>
      <c r="DG518" s="770"/>
      <c r="DH518" s="770"/>
      <c r="DI518" s="770"/>
      <c r="DJ518" s="770"/>
      <c r="DK518" s="770"/>
      <c r="DL518" s="770"/>
      <c r="DM518" s="770"/>
      <c r="DN518" s="322"/>
      <c r="DO518" s="770"/>
      <c r="DP518" s="770"/>
      <c r="DQ518" s="770"/>
      <c r="DR518" s="770"/>
      <c r="DS518" s="307"/>
      <c r="DT518" s="770"/>
      <c r="DU518" s="770"/>
      <c r="DV518" s="770"/>
      <c r="DW518" s="306"/>
      <c r="DX518" s="306"/>
      <c r="DY518" s="770"/>
      <c r="DZ518" s="770"/>
      <c r="EA518" s="770"/>
      <c r="EB518" s="770"/>
      <c r="EC518" s="770"/>
      <c r="ED518" s="770"/>
      <c r="EE518" s="770"/>
      <c r="EF518" s="770"/>
      <c r="EG518" s="770"/>
      <c r="EH518" s="770"/>
      <c r="EI518" s="770"/>
      <c r="EJ518" s="770"/>
      <c r="EK518" s="770"/>
      <c r="EL518" s="770"/>
      <c r="EM518" s="770"/>
      <c r="EN518" s="770"/>
      <c r="EO518" s="770"/>
      <c r="EP518" s="94"/>
      <c r="EQ518" s="770"/>
      <c r="ER518" s="770"/>
      <c r="ES518" s="770"/>
      <c r="ET518" s="770"/>
      <c r="EU518" s="770"/>
      <c r="EV518" s="770"/>
      <c r="EW518" s="770"/>
      <c r="EX518" s="770"/>
      <c r="EY518" s="770"/>
      <c r="EZ518" s="770"/>
      <c r="FA518" s="770"/>
      <c r="FB518" s="770"/>
      <c r="FC518" s="770"/>
      <c r="FD518" s="302"/>
      <c r="FE518" s="770"/>
      <c r="FF518" s="770"/>
      <c r="FG518" s="770"/>
      <c r="FH518" s="770" t="s">
        <v>478</v>
      </c>
      <c r="FI518" s="770">
        <v>1</v>
      </c>
      <c r="FJ518" s="769" t="s">
        <v>7884</v>
      </c>
      <c r="FK518" s="770"/>
      <c r="FL518" s="770"/>
      <c r="FM518" s="1782"/>
      <c r="FN518" s="1782"/>
      <c r="FO518" s="1782"/>
      <c r="FP518" s="766" t="s">
        <v>1602</v>
      </c>
      <c r="FQ518" s="766" t="s">
        <v>1660</v>
      </c>
      <c r="FR518" s="770" t="s">
        <v>1214</v>
      </c>
      <c r="FS518" s="770"/>
      <c r="FT518" s="770"/>
      <c r="FU518" s="770"/>
      <c r="FV518" s="770"/>
      <c r="FW518" s="770"/>
      <c r="FX518" s="770"/>
      <c r="FY518" s="770"/>
      <c r="FZ518" s="770"/>
      <c r="GA518" s="770"/>
      <c r="GB518" s="770"/>
      <c r="GC518" s="308"/>
      <c r="GD518" s="297"/>
      <c r="GE518" s="770"/>
      <c r="GF518" s="302"/>
      <c r="GG518" s="302"/>
      <c r="GH518" s="712" t="s">
        <v>3650</v>
      </c>
      <c r="GI518" s="770"/>
      <c r="GJ518" s="770"/>
      <c r="GK518" s="770"/>
      <c r="GL518" s="770"/>
      <c r="GM518" s="770"/>
      <c r="GN518" s="299"/>
      <c r="GO518" s="770"/>
      <c r="GP518" s="770"/>
      <c r="GQ518" s="770"/>
      <c r="GR518" s="770"/>
      <c r="GS518" s="770"/>
      <c r="GT518" s="770"/>
      <c r="GU518" s="770"/>
      <c r="GV518" s="770"/>
      <c r="GW518" s="770"/>
      <c r="GX518" s="770"/>
      <c r="GY518" s="770"/>
      <c r="GZ518" s="770"/>
      <c r="HA518" s="770"/>
      <c r="HB518" s="770"/>
      <c r="HC518" s="770"/>
      <c r="HD518" s="770"/>
      <c r="HE518" s="770"/>
      <c r="HF518" s="770"/>
      <c r="HG518" s="770"/>
      <c r="HH518" s="770"/>
      <c r="HI518" s="770"/>
      <c r="HJ518" s="770"/>
      <c r="HK518" s="770"/>
      <c r="HL518" s="770"/>
      <c r="HM518" s="770"/>
      <c r="HN518" s="770"/>
      <c r="HO518" s="770"/>
      <c r="HP518" s="770"/>
      <c r="HQ518" s="770"/>
      <c r="HR518" s="770"/>
      <c r="HS518" s="770"/>
      <c r="HT518" s="770"/>
      <c r="HU518" s="770"/>
      <c r="HV518" s="770"/>
      <c r="HW518" s="770"/>
      <c r="HX518" s="770"/>
      <c r="HY518" s="770"/>
      <c r="HZ518" s="770"/>
      <c r="IA518" s="770"/>
      <c r="IB518" s="14" t="e">
        <f>IF(#REF!&gt;0,IF(#REF!&lt;=10000,"Y",""),"")</f>
        <v>#REF!</v>
      </c>
      <c r="IC518" s="770"/>
      <c r="ID518" s="770"/>
      <c r="IE518" s="770"/>
      <c r="IF518" s="770"/>
      <c r="IG518" s="770"/>
      <c r="IH518" s="770"/>
      <c r="II518" s="770"/>
      <c r="IJ518" s="770"/>
      <c r="IK518" s="770"/>
      <c r="IL518" s="770"/>
      <c r="IM518" s="770"/>
      <c r="IN518" s="770"/>
      <c r="IO518" s="296"/>
      <c r="IP518" s="770"/>
      <c r="IQ518" s="770"/>
      <c r="IR518" s="770"/>
      <c r="IS518" s="770"/>
      <c r="IT518" s="770"/>
      <c r="IU518" s="770"/>
      <c r="IV518" s="770"/>
      <c r="IW518" s="770"/>
      <c r="IX518" s="770"/>
      <c r="IY518" s="770"/>
      <c r="IZ518" s="770"/>
      <c r="JA518" s="770"/>
      <c r="JB518" s="770"/>
      <c r="JC518" s="770"/>
      <c r="JD518" s="302"/>
      <c r="JE518" s="770"/>
      <c r="JF518" s="770"/>
      <c r="JG518" s="770"/>
      <c r="JH518" s="307"/>
      <c r="JI518" s="307"/>
      <c r="JJ518" s="14"/>
      <c r="JK518" s="1047" t="s">
        <v>13683</v>
      </c>
      <c r="JL518" s="770"/>
      <c r="JM518" s="770"/>
      <c r="JN518" s="770"/>
      <c r="JO518" s="770"/>
      <c r="JP518" s="770"/>
      <c r="JQ518" s="770"/>
      <c r="JR518" s="770"/>
      <c r="JS518" s="770"/>
      <c r="JT518" s="766"/>
      <c r="JU518" s="766"/>
      <c r="JV518" s="712" t="str">
        <f>IF(JT518=KJ518,"ok","male")</f>
        <v>ok</v>
      </c>
      <c r="JW518" s="712" t="str">
        <f>IF(JU518=KK518,"ok","female")</f>
        <v>ok</v>
      </c>
      <c r="JX518" s="770"/>
      <c r="JY518" s="770"/>
      <c r="JZ518" s="770"/>
      <c r="KA518" s="770"/>
      <c r="KB518" s="770"/>
      <c r="KC518" s="770"/>
      <c r="KD518" s="770"/>
      <c r="KE518" s="770"/>
      <c r="KF518" s="770"/>
      <c r="KG518" s="770"/>
      <c r="KH518" s="770"/>
      <c r="KI518" s="770"/>
      <c r="KJ518" s="770"/>
      <c r="KK518" s="770"/>
      <c r="KL518" s="712" t="str">
        <f>IF(KJ518=LN518,"ok","male")</f>
        <v>ok</v>
      </c>
      <c r="KM518" s="712" t="str">
        <f>IF(KK518=LO518,"ok","female")</f>
        <v>ok</v>
      </c>
      <c r="KN518" s="770"/>
      <c r="KO518" s="770"/>
      <c r="KP518" s="770"/>
      <c r="KQ518" s="770"/>
      <c r="KR518" s="770"/>
      <c r="KS518" s="770"/>
      <c r="KT518" s="770"/>
      <c r="KU518" s="770"/>
      <c r="KV518" s="770"/>
      <c r="KW518" s="770"/>
      <c r="KX518" s="770"/>
      <c r="KY518" s="770"/>
      <c r="KZ518" s="770"/>
      <c r="LA518" s="770"/>
      <c r="LB518" s="770"/>
      <c r="LC518" s="770"/>
      <c r="LD518" s="770"/>
      <c r="LE518" s="770"/>
      <c r="LF518" s="770"/>
      <c r="LG518" s="770"/>
      <c r="LH518" s="770"/>
      <c r="LI518" s="770"/>
      <c r="LJ518" s="770"/>
      <c r="LK518" s="770"/>
      <c r="LL518" s="770"/>
      <c r="LM518" s="770"/>
      <c r="LN518" s="766"/>
      <c r="LO518" s="766"/>
      <c r="LP518" s="770"/>
      <c r="LQ518" s="770"/>
      <c r="LR518" s="770"/>
      <c r="LS518" s="770"/>
      <c r="LT518" s="712" t="str">
        <f>IF(LQ518=SUM(LU518:LW518),"OK","REV")</f>
        <v>OK</v>
      </c>
      <c r="LU518" s="770"/>
      <c r="LV518" s="770"/>
      <c r="LW518" s="770"/>
      <c r="LX518" s="769"/>
      <c r="LY518" s="766" t="str">
        <f t="shared" si="135"/>
        <v/>
      </c>
      <c r="LZ518" s="1709"/>
      <c r="MA518" s="1709"/>
      <c r="MB518" s="1709"/>
      <c r="MC518" s="1679">
        <f t="shared" si="133"/>
        <v>0</v>
      </c>
      <c r="MD518" s="1709"/>
      <c r="ME518" s="1709"/>
      <c r="MF518" s="1709"/>
      <c r="MG518" s="1680">
        <v>0</v>
      </c>
      <c r="MH518" s="770"/>
      <c r="MI518" s="302"/>
      <c r="MJ518" s="302"/>
      <c r="MK518" s="302"/>
      <c r="ML518" s="302"/>
      <c r="MM518" s="302"/>
      <c r="MN518" s="302"/>
      <c r="MO518" s="302"/>
      <c r="MP518" s="302"/>
      <c r="MQ518" s="302"/>
      <c r="MR518" s="302"/>
      <c r="MS518" s="302"/>
      <c r="MT518" s="302"/>
      <c r="MU518" s="302"/>
      <c r="MV518" s="302"/>
      <c r="MW518" s="302"/>
      <c r="MX518" s="302"/>
      <c r="MY518" s="1682"/>
      <c r="MZ518" s="770"/>
      <c r="NA518" s="770"/>
      <c r="NB518" s="770"/>
      <c r="NC518" s="770"/>
      <c r="ND518" s="770"/>
      <c r="NE518" s="770"/>
      <c r="NF518" s="770"/>
      <c r="NG518" s="770"/>
      <c r="NH518" s="770"/>
      <c r="NI518" s="770"/>
      <c r="NJ518" s="770"/>
      <c r="NK518" s="770"/>
      <c r="NL518" s="770"/>
      <c r="NM518" s="770"/>
      <c r="NN518" s="770"/>
      <c r="NO518" s="770"/>
      <c r="NP518" s="770"/>
      <c r="NQ518" s="770"/>
      <c r="NR518" s="770"/>
      <c r="NS518" s="770"/>
      <c r="NT518" s="770"/>
      <c r="NU518" s="770"/>
      <c r="NV518" s="770"/>
      <c r="NW518" s="770"/>
      <c r="NX518" s="770"/>
      <c r="NY518" s="770"/>
      <c r="NZ518" s="770"/>
      <c r="OA518" s="770"/>
      <c r="OB518" s="770"/>
      <c r="OC518" s="770"/>
      <c r="OD518" s="770"/>
      <c r="OE518" s="770"/>
      <c r="OF518" s="770"/>
      <c r="OG518" s="770"/>
      <c r="OH518" s="770"/>
      <c r="OI518" s="770"/>
      <c r="OJ518" s="770"/>
      <c r="OK518" s="770"/>
      <c r="OL518" s="770"/>
      <c r="OM518" s="770"/>
      <c r="ON518" s="770"/>
      <c r="OO518" s="770"/>
      <c r="OP518" s="770"/>
      <c r="OQ518" s="770"/>
      <c r="OR518" s="770"/>
      <c r="OS518" s="770"/>
      <c r="OT518" s="770"/>
      <c r="OU518" s="770"/>
      <c r="OV518" s="770"/>
      <c r="OW518" s="770"/>
      <c r="OX518" s="770"/>
      <c r="OY518" s="770"/>
      <c r="OZ518" s="770"/>
      <c r="PA518" s="770"/>
      <c r="PB518" s="770"/>
      <c r="PC518" s="770"/>
      <c r="PD518" s="770"/>
      <c r="PE518" s="770"/>
      <c r="PF518" s="770"/>
      <c r="PG518" s="770"/>
      <c r="PH518" s="770"/>
      <c r="PI518" s="770"/>
      <c r="PJ518" s="770"/>
      <c r="PK518" s="770"/>
      <c r="PL518" s="770"/>
      <c r="PM518" s="770"/>
      <c r="PN518" s="770"/>
      <c r="PO518" s="770"/>
      <c r="PP518" s="770"/>
      <c r="PQ518" s="770"/>
      <c r="PR518" s="770"/>
      <c r="PS518" s="770"/>
      <c r="PT518" s="770"/>
      <c r="PU518" s="770"/>
      <c r="PV518" s="770"/>
      <c r="PW518" s="770"/>
      <c r="PX518" s="770"/>
      <c r="PY518" s="770"/>
      <c r="PZ518" s="770"/>
      <c r="QA518" s="770"/>
      <c r="QB518" s="770"/>
      <c r="QC518" s="770"/>
      <c r="QD518" s="770"/>
      <c r="QE518" s="770"/>
      <c r="QF518" s="770"/>
      <c r="QG518" s="770"/>
      <c r="QH518" s="770"/>
      <c r="QI518" s="770"/>
      <c r="QJ518" s="770"/>
      <c r="QK518" s="770"/>
      <c r="QL518" s="770"/>
      <c r="QM518" s="770"/>
      <c r="QN518" s="770"/>
      <c r="QO518" s="770"/>
      <c r="QP518" s="770"/>
      <c r="QQ518" s="770"/>
      <c r="QR518" s="770"/>
      <c r="QS518" s="770"/>
      <c r="QT518" s="770"/>
      <c r="QU518" s="770"/>
      <c r="QV518" s="770"/>
      <c r="QW518" s="770"/>
      <c r="QX518" s="770"/>
      <c r="QY518" s="770"/>
      <c r="QZ518" s="770"/>
      <c r="RA518" s="770"/>
      <c r="RB518" s="770"/>
      <c r="RC518" s="770"/>
      <c r="RD518" s="770"/>
      <c r="RE518" s="770"/>
      <c r="RF518" s="304"/>
      <c r="RG518" s="770"/>
      <c r="RH518" s="302"/>
      <c r="RI518" s="770"/>
      <c r="RJ518" s="770" t="s">
        <v>13684</v>
      </c>
      <c r="RK518" s="770" t="s">
        <v>13544</v>
      </c>
      <c r="RL518" s="1710"/>
      <c r="RM518" s="12"/>
      <c r="RN518" s="1711"/>
      <c r="RO518" s="132" t="s">
        <v>2952</v>
      </c>
      <c r="RP518" s="11"/>
      <c r="RQ518" s="11"/>
      <c r="RR518" s="19" t="s">
        <v>7421</v>
      </c>
      <c r="RS518" s="1139" t="s">
        <v>12980</v>
      </c>
      <c r="RT518" s="11"/>
      <c r="RU518" s="11"/>
      <c r="RV518" s="6" t="s">
        <v>7419</v>
      </c>
      <c r="RW518" s="11" t="s">
        <v>7703</v>
      </c>
      <c r="RX518" s="11" t="s">
        <v>3651</v>
      </c>
      <c r="RY518" s="11"/>
      <c r="RZ518" s="11" t="s">
        <v>1101</v>
      </c>
      <c r="SA518" s="6"/>
      <c r="SB518" s="11"/>
      <c r="SC518" s="11"/>
    </row>
    <row r="519" spans="1:497" ht="12.75" customHeight="1">
      <c r="A519" s="19" t="s">
        <v>7421</v>
      </c>
      <c r="B519" s="752" t="s">
        <v>7705</v>
      </c>
      <c r="C519" s="132" t="s">
        <v>3659</v>
      </c>
      <c r="D519" s="94" t="s">
        <v>3660</v>
      </c>
      <c r="E519" s="770" t="s">
        <v>3661</v>
      </c>
      <c r="F519" s="770" t="s">
        <v>20</v>
      </c>
      <c r="G519" s="770" t="s">
        <v>18</v>
      </c>
      <c r="H519" s="5" t="s">
        <v>3662</v>
      </c>
      <c r="I519" s="5"/>
      <c r="J519" s="94" t="s">
        <v>7211</v>
      </c>
      <c r="K519" s="766" t="s">
        <v>3476</v>
      </c>
      <c r="L519" s="766" t="s">
        <v>2331</v>
      </c>
      <c r="M519" s="770" t="s">
        <v>1238</v>
      </c>
      <c r="N519" s="770"/>
      <c r="O519" s="770" t="s">
        <v>3446</v>
      </c>
      <c r="P519" s="94" t="s">
        <v>7212</v>
      </c>
      <c r="Q519" s="1085">
        <v>20766</v>
      </c>
      <c r="R519" s="25">
        <v>60</v>
      </c>
      <c r="S519" s="770" t="s">
        <v>18</v>
      </c>
      <c r="T519" s="295" t="s">
        <v>3662</v>
      </c>
      <c r="U519" s="298"/>
      <c r="V519" s="770" t="s">
        <v>707</v>
      </c>
      <c r="W519" s="770"/>
      <c r="X519" s="770"/>
      <c r="Y519" s="770" t="s">
        <v>3661</v>
      </c>
      <c r="Z519" s="770" t="s">
        <v>708</v>
      </c>
      <c r="AA519" s="770" t="s">
        <v>709</v>
      </c>
      <c r="AB519" s="770" t="s">
        <v>710</v>
      </c>
      <c r="AC519" s="770"/>
      <c r="AD519" s="770" t="s">
        <v>711</v>
      </c>
      <c r="AE519" s="770"/>
      <c r="AF519" s="770" t="s">
        <v>712</v>
      </c>
      <c r="AG519" s="766" t="s">
        <v>1132</v>
      </c>
      <c r="AH519" s="766" t="s">
        <v>1096</v>
      </c>
      <c r="AI519" s="770"/>
      <c r="AJ519" s="770" t="s">
        <v>1137</v>
      </c>
      <c r="AK519" s="770" t="s">
        <v>1101</v>
      </c>
      <c r="AL519" s="531">
        <v>8.9600000000000009</v>
      </c>
      <c r="AM519" s="780">
        <v>5.7</v>
      </c>
      <c r="AN519" s="532">
        <f>AM519/AL519</f>
        <v>0.63616071428571419</v>
      </c>
      <c r="AO519" s="766" t="s">
        <v>1105</v>
      </c>
      <c r="AP519" s="766"/>
      <c r="AQ519" s="766"/>
      <c r="AR519" s="766"/>
      <c r="AS519" s="770"/>
      <c r="AT519" s="770"/>
      <c r="AU519" s="770"/>
      <c r="AV519" s="770"/>
      <c r="AW519" s="770"/>
      <c r="AX519" s="770"/>
      <c r="AY519" s="770"/>
      <c r="AZ519" s="770"/>
      <c r="BA519" s="770"/>
      <c r="BB519" s="770"/>
      <c r="BC519" s="770"/>
      <c r="BD519" s="770"/>
      <c r="BE519" s="770"/>
      <c r="BF519" s="302"/>
      <c r="BG519" s="302"/>
      <c r="BH519" s="770"/>
      <c r="BI519" s="770"/>
      <c r="BJ519" s="770"/>
      <c r="BK519" s="770" t="s">
        <v>1095</v>
      </c>
      <c r="BL519" s="770" t="s">
        <v>11707</v>
      </c>
      <c r="BM519" s="766" t="s">
        <v>1096</v>
      </c>
      <c r="BN519" s="766" t="s">
        <v>1230</v>
      </c>
      <c r="BO519" s="766" t="s">
        <v>1246</v>
      </c>
      <c r="BP519" s="1109">
        <v>3.06</v>
      </c>
      <c r="BQ519" s="773">
        <v>1.7</v>
      </c>
      <c r="BR519" s="774">
        <f t="shared" si="148"/>
        <v>0.55555555555555558</v>
      </c>
      <c r="BS519" s="766" t="s">
        <v>1105</v>
      </c>
      <c r="BT519" s="766" t="s">
        <v>8133</v>
      </c>
      <c r="BU519" s="769"/>
      <c r="BV519" s="769"/>
      <c r="BW519" s="769"/>
      <c r="BX519" s="302"/>
      <c r="BY519" s="770"/>
      <c r="BZ519" s="302"/>
      <c r="CA519" s="770"/>
      <c r="CB519" s="770"/>
      <c r="CC519" s="770"/>
      <c r="CD519" s="770"/>
      <c r="CE519" s="770"/>
      <c r="CF519" s="1753"/>
      <c r="CG519" s="1754"/>
      <c r="CH519" s="770"/>
      <c r="CI519" s="770"/>
      <c r="CJ519" s="770"/>
      <c r="CK519" s="770"/>
      <c r="CL519" s="770"/>
      <c r="CM519" s="770"/>
      <c r="CN519" s="770"/>
      <c r="CO519" s="770"/>
      <c r="CP519" s="770"/>
      <c r="CQ519" s="770"/>
      <c r="CR519" s="302"/>
      <c r="CS519" s="770"/>
      <c r="CT519" s="770"/>
      <c r="CU519" s="305"/>
      <c r="CV519" s="770"/>
      <c r="CW519" s="770"/>
      <c r="CX519" s="770"/>
      <c r="CY519" s="770"/>
      <c r="CZ519" s="770"/>
      <c r="DA519" s="306"/>
      <c r="DB519" s="770"/>
      <c r="DC519" s="770"/>
      <c r="DD519" s="770"/>
      <c r="DE519" s="300"/>
      <c r="DF519" s="770"/>
      <c r="DG519" s="770"/>
      <c r="DH519" s="770"/>
      <c r="DI519" s="770"/>
      <c r="DJ519" s="770"/>
      <c r="DK519" s="770"/>
      <c r="DL519" s="770"/>
      <c r="DM519" s="770"/>
      <c r="DN519" s="322"/>
      <c r="DO519" s="770"/>
      <c r="DP519" s="770"/>
      <c r="DQ519" s="770"/>
      <c r="DR519" s="770"/>
      <c r="DS519" s="307"/>
      <c r="DT519" s="770"/>
      <c r="DU519" s="770"/>
      <c r="DV519" s="770"/>
      <c r="DW519" s="306"/>
      <c r="DX519" s="306"/>
      <c r="DY519" s="770"/>
      <c r="DZ519" s="770"/>
      <c r="EA519" s="770"/>
      <c r="EB519" s="770"/>
      <c r="EC519" s="770"/>
      <c r="ED519" s="770"/>
      <c r="EE519" s="770"/>
      <c r="EF519" s="770"/>
      <c r="EG519" s="770"/>
      <c r="EH519" s="770"/>
      <c r="EI519" s="770"/>
      <c r="EJ519" s="770"/>
      <c r="EK519" s="770"/>
      <c r="EL519" s="770"/>
      <c r="EM519" s="770"/>
      <c r="EN519" s="770"/>
      <c r="EO519" s="770"/>
      <c r="EP519" s="94"/>
      <c r="EQ519" s="770"/>
      <c r="ER519" s="770"/>
      <c r="ES519" s="770"/>
      <c r="ET519" s="770"/>
      <c r="EU519" s="770"/>
      <c r="EV519" s="770"/>
      <c r="EW519" s="770"/>
      <c r="EX519" s="770"/>
      <c r="EY519" s="770"/>
      <c r="EZ519" s="770"/>
      <c r="FA519" s="770"/>
      <c r="FB519" s="770"/>
      <c r="FC519" s="770"/>
      <c r="FD519" s="302"/>
      <c r="FE519" s="770"/>
      <c r="FF519" s="770"/>
      <c r="FG519" s="770"/>
      <c r="FH519" s="770" t="s">
        <v>478</v>
      </c>
      <c r="FI519" s="770">
        <v>1</v>
      </c>
      <c r="FJ519" s="770" t="s">
        <v>3663</v>
      </c>
      <c r="FK519" s="770" t="s">
        <v>3662</v>
      </c>
      <c r="FL519" s="770" t="s">
        <v>3661</v>
      </c>
      <c r="FM519" s="775"/>
      <c r="FN519" s="775">
        <v>300</v>
      </c>
      <c r="FO519" s="775">
        <v>1000</v>
      </c>
      <c r="FP519" s="766" t="s">
        <v>1602</v>
      </c>
      <c r="FQ519" s="766" t="s">
        <v>1660</v>
      </c>
      <c r="FR519" s="770" t="s">
        <v>1214</v>
      </c>
      <c r="FS519" s="770"/>
      <c r="FT519" s="770"/>
      <c r="FU519" s="770"/>
      <c r="FV519" s="770"/>
      <c r="FW519" s="770"/>
      <c r="FX519" s="770"/>
      <c r="FY519" s="770"/>
      <c r="FZ519" s="770"/>
      <c r="GA519" s="770"/>
      <c r="GB519" s="770"/>
      <c r="GC519" s="308"/>
      <c r="GD519" s="297"/>
      <c r="GE519" s="770"/>
      <c r="GF519" s="302"/>
      <c r="GG519" s="302"/>
      <c r="GH519" s="712" t="s">
        <v>1791</v>
      </c>
      <c r="GI519" s="770"/>
      <c r="GJ519" s="770" t="s">
        <v>3664</v>
      </c>
      <c r="GK519" s="770" t="s">
        <v>3665</v>
      </c>
      <c r="GL519" s="770"/>
      <c r="GM519" s="770"/>
      <c r="GN519" s="299" t="s">
        <v>1217</v>
      </c>
      <c r="GO519" s="770"/>
      <c r="GP519" s="770"/>
      <c r="GQ519" s="770"/>
      <c r="GR519" s="770"/>
      <c r="GS519" s="770"/>
      <c r="GT519" s="770"/>
      <c r="GU519" s="770"/>
      <c r="GV519" s="770"/>
      <c r="GW519" s="770"/>
      <c r="GX519" s="770"/>
      <c r="GY519" s="770"/>
      <c r="GZ519" s="770"/>
      <c r="HA519" s="770"/>
      <c r="HB519" s="770"/>
      <c r="HC519" s="770"/>
      <c r="HD519" s="770"/>
      <c r="HE519" s="770"/>
      <c r="HF519" s="770"/>
      <c r="HG519" s="770"/>
      <c r="HH519" s="770"/>
      <c r="HI519" s="770" t="s">
        <v>1214</v>
      </c>
      <c r="HJ519" s="770"/>
      <c r="HK519" s="770"/>
      <c r="HL519" s="770" t="s">
        <v>1214</v>
      </c>
      <c r="HM519" s="770"/>
      <c r="HN519" s="770"/>
      <c r="HO519" s="770"/>
      <c r="HP519" s="770"/>
      <c r="HQ519" s="770"/>
      <c r="HR519" s="770"/>
      <c r="HS519" s="770"/>
      <c r="HT519" s="770"/>
      <c r="HU519" s="770"/>
      <c r="HV519" s="770"/>
      <c r="HW519" s="770"/>
      <c r="HX519" s="770"/>
      <c r="HY519" s="770"/>
      <c r="HZ519" s="770"/>
      <c r="IA519" s="770"/>
      <c r="IB519" s="14" t="e">
        <f>IF(#REF!&gt;0,IF(#REF!&lt;=10000,"Y",""),"")</f>
        <v>#REF!</v>
      </c>
      <c r="IC519" s="770" t="s">
        <v>1207</v>
      </c>
      <c r="ID519" s="770">
        <v>1</v>
      </c>
      <c r="IE519" s="770">
        <v>1</v>
      </c>
      <c r="IF519" s="770"/>
      <c r="IG519" s="770"/>
      <c r="IH519" s="770"/>
      <c r="II519" s="770"/>
      <c r="IJ519" s="770"/>
      <c r="IK519" s="770"/>
      <c r="IL519" s="770"/>
      <c r="IM519" s="770"/>
      <c r="IN519" s="770"/>
      <c r="IO519" s="296"/>
      <c r="IP519" s="770"/>
      <c r="IQ519" s="770"/>
      <c r="IR519" s="770"/>
      <c r="IS519" s="770"/>
      <c r="IT519" s="770"/>
      <c r="IU519" s="770"/>
      <c r="IV519" s="770"/>
      <c r="IW519" s="770"/>
      <c r="IX519" s="770"/>
      <c r="IY519" s="770"/>
      <c r="IZ519" s="770"/>
      <c r="JA519" s="770"/>
      <c r="JB519" s="770"/>
      <c r="JC519" s="770"/>
      <c r="JD519" s="302"/>
      <c r="JE519" s="770"/>
      <c r="JF519" s="770"/>
      <c r="JG519" s="770"/>
      <c r="JH519" s="307"/>
      <c r="JI519" s="712" t="str">
        <f>IF(SUM(JT519,JU519)=JJ519,"ok","review")</f>
        <v>ok</v>
      </c>
      <c r="JJ519" s="770">
        <v>2</v>
      </c>
      <c r="JK519" s="1139" t="s">
        <v>3666</v>
      </c>
      <c r="JL519" s="770"/>
      <c r="JM519" s="770"/>
      <c r="JN519" s="770">
        <v>1</v>
      </c>
      <c r="JO519" s="770">
        <v>1</v>
      </c>
      <c r="JP519" s="770"/>
      <c r="JQ519" s="770"/>
      <c r="JR519" s="770"/>
      <c r="JS519" s="770"/>
      <c r="JT519" s="766">
        <f t="shared" ref="JT519:JU521" si="150">SUM(JP519,JN519,JL519,JR519)</f>
        <v>1</v>
      </c>
      <c r="JU519" s="766">
        <f t="shared" si="150"/>
        <v>1</v>
      </c>
      <c r="JV519" s="712" t="str">
        <f>IF(JT519=KJ519,"ok","male")</f>
        <v>ok</v>
      </c>
      <c r="JW519" s="712" t="str">
        <f>IF(JU519=KK519,"ok","female")</f>
        <v>ok</v>
      </c>
      <c r="JX519" s="770"/>
      <c r="JY519" s="770"/>
      <c r="JZ519" s="770"/>
      <c r="KA519" s="770"/>
      <c r="KB519" s="770"/>
      <c r="KC519" s="770"/>
      <c r="KD519" s="770"/>
      <c r="KE519" s="770"/>
      <c r="KF519" s="770">
        <v>1</v>
      </c>
      <c r="KG519" s="770">
        <v>1</v>
      </c>
      <c r="KH519" s="770"/>
      <c r="KI519" s="770"/>
      <c r="KJ519" s="770">
        <f t="shared" si="126"/>
        <v>1</v>
      </c>
      <c r="KK519" s="770">
        <f t="shared" si="126"/>
        <v>1</v>
      </c>
      <c r="KL519" s="712" t="str">
        <f>IF(KJ519=LN519,"ok","male")</f>
        <v>ok</v>
      </c>
      <c r="KM519" s="712" t="str">
        <f>IF(KK519=LO519,"ok","female")</f>
        <v>ok</v>
      </c>
      <c r="KN519" s="770" t="s">
        <v>707</v>
      </c>
      <c r="KO519" s="770"/>
      <c r="KP519" s="770"/>
      <c r="KQ519" s="770"/>
      <c r="KR519" s="770"/>
      <c r="KS519" s="770"/>
      <c r="KT519" s="770"/>
      <c r="KU519" s="770"/>
      <c r="KV519" s="770"/>
      <c r="KW519" s="770"/>
      <c r="KX519" s="770">
        <v>1</v>
      </c>
      <c r="KY519" s="770">
        <v>1</v>
      </c>
      <c r="KZ519" s="770"/>
      <c r="LA519" s="770"/>
      <c r="LB519" s="770"/>
      <c r="LC519" s="770"/>
      <c r="LD519" s="770"/>
      <c r="LE519" s="770"/>
      <c r="LF519" s="770"/>
      <c r="LG519" s="770"/>
      <c r="LH519" s="770"/>
      <c r="LI519" s="770"/>
      <c r="LJ519" s="770"/>
      <c r="LK519" s="770"/>
      <c r="LL519" s="770"/>
      <c r="LM519" s="770"/>
      <c r="LN519" s="766">
        <f t="shared" si="134"/>
        <v>1</v>
      </c>
      <c r="LO519" s="766">
        <f t="shared" si="134"/>
        <v>1</v>
      </c>
      <c r="LP519" s="770">
        <v>0</v>
      </c>
      <c r="LQ519" s="770"/>
      <c r="LR519" s="770"/>
      <c r="LS519" s="770"/>
      <c r="LT519" s="712" t="str">
        <f>IF(LQ519=SUM(LU519:LW519),"OK","REV")</f>
        <v>OK</v>
      </c>
      <c r="LU519" s="770"/>
      <c r="LV519" s="770"/>
      <c r="LW519" s="770"/>
      <c r="LX519" s="769"/>
      <c r="LY519" s="766" t="str">
        <f t="shared" si="135"/>
        <v/>
      </c>
      <c r="LZ519" s="1709"/>
      <c r="MA519" s="1709"/>
      <c r="MB519" s="1709"/>
      <c r="MC519" s="1679">
        <f t="shared" si="133"/>
        <v>0</v>
      </c>
      <c r="MD519" s="1709"/>
      <c r="ME519" s="1709"/>
      <c r="MF519" s="1709"/>
      <c r="MG519" s="1680">
        <v>0</v>
      </c>
      <c r="MH519" s="770"/>
      <c r="MI519" s="302"/>
      <c r="MJ519" s="302"/>
      <c r="MK519" s="302"/>
      <c r="ML519" s="302"/>
      <c r="MM519" s="302"/>
      <c r="MN519" s="302"/>
      <c r="MO519" s="302"/>
      <c r="MP519" s="302"/>
      <c r="MQ519" s="302"/>
      <c r="MR519" s="302"/>
      <c r="MS519" s="302"/>
      <c r="MT519" s="302"/>
      <c r="MU519" s="302"/>
      <c r="MV519" s="302"/>
      <c r="MW519" s="302"/>
      <c r="MX519" s="302"/>
      <c r="MY519" s="1682"/>
      <c r="MZ519" s="770" t="s">
        <v>13214</v>
      </c>
      <c r="NA519" s="770" t="s">
        <v>13005</v>
      </c>
      <c r="NB519" s="770" t="s">
        <v>13033</v>
      </c>
      <c r="NC519" s="770" t="s">
        <v>13602</v>
      </c>
      <c r="ND519" s="770">
        <v>0</v>
      </c>
      <c r="NE519" s="770">
        <v>0</v>
      </c>
      <c r="NF519" s="770">
        <v>0</v>
      </c>
      <c r="NG519" s="770">
        <v>1</v>
      </c>
      <c r="NH519" s="770">
        <v>1</v>
      </c>
      <c r="NI519" s="770">
        <v>1</v>
      </c>
      <c r="NJ519" s="770">
        <v>0</v>
      </c>
      <c r="NK519" s="770">
        <v>0</v>
      </c>
      <c r="NL519" s="770">
        <v>0</v>
      </c>
      <c r="NM519" s="770">
        <v>1</v>
      </c>
      <c r="NN519" s="770">
        <v>0</v>
      </c>
      <c r="NO519" s="770">
        <v>0</v>
      </c>
      <c r="NP519" s="770">
        <v>0</v>
      </c>
      <c r="NQ519" s="770">
        <v>0</v>
      </c>
      <c r="NR519" s="770">
        <v>0</v>
      </c>
      <c r="NS519" s="770">
        <v>0</v>
      </c>
      <c r="NT519" s="770">
        <v>0</v>
      </c>
      <c r="NU519" s="770">
        <v>0</v>
      </c>
      <c r="NV519" s="770">
        <v>0</v>
      </c>
      <c r="NW519" s="770">
        <v>0</v>
      </c>
      <c r="NX519" s="770">
        <v>0</v>
      </c>
      <c r="NY519" s="770" t="s">
        <v>1208</v>
      </c>
      <c r="NZ519" s="770" t="s">
        <v>1208</v>
      </c>
      <c r="OA519" s="770" t="s">
        <v>1208</v>
      </c>
      <c r="OB519" s="770" t="s">
        <v>1208</v>
      </c>
      <c r="OC519" s="770" t="s">
        <v>1208</v>
      </c>
      <c r="OD519" s="770"/>
      <c r="OE519" s="770"/>
      <c r="OF519" s="770"/>
      <c r="OG519" s="770"/>
      <c r="OH519" s="770"/>
      <c r="OI519" s="770"/>
      <c r="OJ519" s="770"/>
      <c r="OK519" s="770"/>
      <c r="OL519" s="770"/>
      <c r="OM519" s="770"/>
      <c r="ON519" s="770"/>
      <c r="OO519" s="770"/>
      <c r="OP519" s="770"/>
      <c r="OQ519" s="770"/>
      <c r="OR519" s="770"/>
      <c r="OS519" s="770"/>
      <c r="OT519" s="770"/>
      <c r="OU519" s="770"/>
      <c r="OV519" s="770"/>
      <c r="OW519" s="770"/>
      <c r="OX519" s="770"/>
      <c r="OY519" s="770"/>
      <c r="OZ519" s="770"/>
      <c r="PA519" s="770"/>
      <c r="PB519" s="770"/>
      <c r="PC519" s="770"/>
      <c r="PD519" s="770"/>
      <c r="PE519" s="770"/>
      <c r="PF519" s="770"/>
      <c r="PG519" s="770"/>
      <c r="PH519" s="770" t="s">
        <v>1208</v>
      </c>
      <c r="PI519" s="770"/>
      <c r="PJ519" s="770"/>
      <c r="PK519" s="770"/>
      <c r="PL519" s="770"/>
      <c r="PM519" s="770" t="s">
        <v>1208</v>
      </c>
      <c r="PN519" s="770"/>
      <c r="PO519" s="770"/>
      <c r="PP519" s="770"/>
      <c r="PQ519" s="770"/>
      <c r="PR519" s="770"/>
      <c r="PS519" s="770"/>
      <c r="PT519" s="770"/>
      <c r="PU519" s="770"/>
      <c r="PV519" s="770"/>
      <c r="PW519" s="770"/>
      <c r="PX519" s="770"/>
      <c r="PY519" s="770"/>
      <c r="PZ519" s="770"/>
      <c r="QA519" s="770"/>
      <c r="QB519" s="770"/>
      <c r="QC519" s="770"/>
      <c r="QD519" s="770"/>
      <c r="QE519" s="770"/>
      <c r="QF519" s="770"/>
      <c r="QG519" s="770"/>
      <c r="QH519" s="770"/>
      <c r="QI519" s="770"/>
      <c r="QJ519" s="770"/>
      <c r="QK519" s="770"/>
      <c r="QL519" s="770"/>
      <c r="QM519" s="770"/>
      <c r="QN519" s="770"/>
      <c r="QO519" s="770"/>
      <c r="QP519" s="770"/>
      <c r="QQ519" s="770"/>
      <c r="QR519" s="770"/>
      <c r="QS519" s="770"/>
      <c r="QT519" s="770"/>
      <c r="QU519" s="770"/>
      <c r="QV519" s="770"/>
      <c r="QW519" s="770"/>
      <c r="QX519" s="770"/>
      <c r="QY519" s="770"/>
      <c r="QZ519" s="770"/>
      <c r="RA519" s="770" t="s">
        <v>13685</v>
      </c>
      <c r="RB519" s="770" t="s">
        <v>1214</v>
      </c>
      <c r="RC519" s="770"/>
      <c r="RD519" s="770"/>
      <c r="RE519" s="770"/>
      <c r="RF519" s="304"/>
      <c r="RG519" s="770"/>
      <c r="RH519" s="302"/>
      <c r="RI519" s="770"/>
      <c r="RJ519" s="770" t="s">
        <v>13686</v>
      </c>
      <c r="RK519" s="770" t="s">
        <v>13544</v>
      </c>
      <c r="RL519" s="1710"/>
      <c r="RM519" s="12"/>
      <c r="RN519" s="1711"/>
      <c r="RO519" s="132" t="s">
        <v>3659</v>
      </c>
      <c r="RP519" s="11"/>
      <c r="RQ519" s="11"/>
      <c r="RR519" s="19" t="s">
        <v>7421</v>
      </c>
      <c r="RS519" s="1139" t="s">
        <v>12980</v>
      </c>
      <c r="RT519" s="11"/>
      <c r="RU519" s="11"/>
      <c r="RV519" s="771" t="s">
        <v>7419</v>
      </c>
      <c r="RW519" s="11" t="s">
        <v>7704</v>
      </c>
      <c r="RX519" s="11" t="s">
        <v>3442</v>
      </c>
      <c r="RY519" s="11"/>
      <c r="RZ519" s="11" t="s">
        <v>1101</v>
      </c>
      <c r="SA519" s="771"/>
      <c r="SB519" s="11"/>
      <c r="SC519" s="11"/>
    </row>
    <row r="520" spans="1:497" ht="12.75" customHeight="1">
      <c r="A520" s="311" t="s">
        <v>14210</v>
      </c>
      <c r="B520" s="752" t="s">
        <v>7797</v>
      </c>
      <c r="C520" s="132" t="s">
        <v>3667</v>
      </c>
      <c r="D520" s="94" t="s">
        <v>3668</v>
      </c>
      <c r="E520" s="770" t="s">
        <v>3661</v>
      </c>
      <c r="F520" s="770" t="s">
        <v>28</v>
      </c>
      <c r="G520" s="770" t="s">
        <v>18</v>
      </c>
      <c r="H520" s="770"/>
      <c r="I520" s="295" t="s">
        <v>3669</v>
      </c>
      <c r="J520" s="94" t="s">
        <v>3668</v>
      </c>
      <c r="K520" s="766" t="s">
        <v>3445</v>
      </c>
      <c r="L520" s="766" t="s">
        <v>2429</v>
      </c>
      <c r="M520" s="770" t="s">
        <v>1238</v>
      </c>
      <c r="N520" s="770"/>
      <c r="O520" s="770" t="s">
        <v>3446</v>
      </c>
      <c r="P520" s="94" t="s">
        <v>7213</v>
      </c>
      <c r="Q520" s="1085">
        <v>32734</v>
      </c>
      <c r="R520" s="25">
        <v>27</v>
      </c>
      <c r="S520" s="770" t="s">
        <v>18</v>
      </c>
      <c r="T520" s="770"/>
      <c r="U520" s="295" t="s">
        <v>3669</v>
      </c>
      <c r="V520" s="770" t="s">
        <v>768</v>
      </c>
      <c r="W520" s="770"/>
      <c r="X520" s="770"/>
      <c r="Y520" s="770" t="s">
        <v>3661</v>
      </c>
      <c r="Z520" s="770" t="s">
        <v>708</v>
      </c>
      <c r="AA520" s="770" t="s">
        <v>709</v>
      </c>
      <c r="AB520" s="770" t="s">
        <v>710</v>
      </c>
      <c r="AC520" s="770" t="s">
        <v>724</v>
      </c>
      <c r="AD520" s="770" t="s">
        <v>711</v>
      </c>
      <c r="AE520" s="770" t="s">
        <v>1073</v>
      </c>
      <c r="AF520" s="770" t="s">
        <v>712</v>
      </c>
      <c r="AG520" s="770"/>
      <c r="AH520" s="770"/>
      <c r="AI520" s="770"/>
      <c r="AJ520" s="770"/>
      <c r="AK520" s="770" t="s">
        <v>1101</v>
      </c>
      <c r="AL520" s="531"/>
      <c r="AM520" s="780"/>
      <c r="AN520" s="532"/>
      <c r="AO520" s="766"/>
      <c r="AP520" s="766"/>
      <c r="AQ520" s="766"/>
      <c r="AR520" s="766"/>
      <c r="AS520" s="769"/>
      <c r="AT520" s="770"/>
      <c r="AU520" s="770"/>
      <c r="AV520" s="770"/>
      <c r="AW520" s="770"/>
      <c r="AX520" s="770"/>
      <c r="AY520" s="770"/>
      <c r="AZ520" s="770"/>
      <c r="BA520" s="770"/>
      <c r="BB520" s="770"/>
      <c r="BC520" s="770"/>
      <c r="BD520" s="770"/>
      <c r="BE520" s="770"/>
      <c r="BF520" s="302"/>
      <c r="BG520" s="302"/>
      <c r="BH520" s="770"/>
      <c r="BI520" s="770"/>
      <c r="BJ520" s="770"/>
      <c r="BK520" s="770" t="s">
        <v>1095</v>
      </c>
      <c r="BL520" s="770" t="s">
        <v>3670</v>
      </c>
      <c r="BM520" s="766" t="s">
        <v>1096</v>
      </c>
      <c r="BN520" s="766" t="s">
        <v>3230</v>
      </c>
      <c r="BO520" s="766" t="s">
        <v>1246</v>
      </c>
      <c r="BP520" s="765">
        <v>5.8</v>
      </c>
      <c r="BQ520" s="773">
        <v>4</v>
      </c>
      <c r="BR520" s="774">
        <f t="shared" si="148"/>
        <v>0.68965517241379315</v>
      </c>
      <c r="BS520" s="766" t="s">
        <v>1105</v>
      </c>
      <c r="BT520" s="770" t="s">
        <v>1326</v>
      </c>
      <c r="BU520" s="766" t="s">
        <v>1264</v>
      </c>
      <c r="BV520" s="770" t="s">
        <v>1247</v>
      </c>
      <c r="BW520" s="769"/>
      <c r="BX520" s="302"/>
      <c r="BY520" s="770"/>
      <c r="BZ520" s="302"/>
      <c r="CA520" s="770"/>
      <c r="CB520" s="770"/>
      <c r="CC520" s="770"/>
      <c r="CD520" s="770"/>
      <c r="CE520" s="770"/>
      <c r="CF520" s="1753"/>
      <c r="CG520" s="1754"/>
      <c r="CH520" s="770"/>
      <c r="CI520" s="770"/>
      <c r="CJ520" s="770"/>
      <c r="CK520" s="770"/>
      <c r="CL520" s="770"/>
      <c r="CM520" s="770"/>
      <c r="CN520" s="770"/>
      <c r="CO520" s="770"/>
      <c r="CP520" s="770"/>
      <c r="CQ520" s="770"/>
      <c r="CR520" s="302"/>
      <c r="CS520" s="770"/>
      <c r="CT520" s="770"/>
      <c r="CU520" s="305"/>
      <c r="CV520" s="770"/>
      <c r="CW520" s="770"/>
      <c r="CX520" s="770"/>
      <c r="CY520" s="770"/>
      <c r="CZ520" s="770"/>
      <c r="DA520" s="306"/>
      <c r="DB520" s="770"/>
      <c r="DC520" s="770"/>
      <c r="DD520" s="770"/>
      <c r="DE520" s="300"/>
      <c r="DF520" s="770"/>
      <c r="DG520" s="770"/>
      <c r="DH520" s="770"/>
      <c r="DI520" s="770"/>
      <c r="DJ520" s="770"/>
      <c r="DK520" s="770"/>
      <c r="DL520" s="770"/>
      <c r="DM520" s="770"/>
      <c r="DN520" s="322"/>
      <c r="DO520" s="770"/>
      <c r="DP520" s="770"/>
      <c r="DQ520" s="770"/>
      <c r="DR520" s="770"/>
      <c r="DS520" s="307"/>
      <c r="DT520" s="770"/>
      <c r="DU520" s="770"/>
      <c r="DV520" s="770"/>
      <c r="DW520" s="306"/>
      <c r="DX520" s="306"/>
      <c r="DY520" s="770"/>
      <c r="DZ520" s="770"/>
      <c r="EA520" s="770"/>
      <c r="EB520" s="770"/>
      <c r="EC520" s="770"/>
      <c r="ED520" s="770"/>
      <c r="EE520" s="770"/>
      <c r="EF520" s="770"/>
      <c r="EG520" s="770"/>
      <c r="EH520" s="770"/>
      <c r="EI520" s="770"/>
      <c r="EJ520" s="770"/>
      <c r="EK520" s="770"/>
      <c r="EL520" s="770"/>
      <c r="EM520" s="770"/>
      <c r="EN520" s="770"/>
      <c r="EO520" s="770"/>
      <c r="EP520" s="94"/>
      <c r="EQ520" s="770"/>
      <c r="ER520" s="770"/>
      <c r="ES520" s="770"/>
      <c r="ET520" s="770"/>
      <c r="EU520" s="770"/>
      <c r="EV520" s="770"/>
      <c r="EW520" s="770"/>
      <c r="EX520" s="770"/>
      <c r="EY520" s="770"/>
      <c r="EZ520" s="770"/>
      <c r="FA520" s="770"/>
      <c r="FB520" s="770"/>
      <c r="FC520" s="770"/>
      <c r="FD520" s="302"/>
      <c r="FE520" s="770"/>
      <c r="FF520" s="770"/>
      <c r="FG520" s="770"/>
      <c r="FH520" s="770" t="s">
        <v>3230</v>
      </c>
      <c r="FI520" s="770">
        <v>1</v>
      </c>
      <c r="FJ520" s="770"/>
      <c r="FK520" s="770"/>
      <c r="FL520" s="770"/>
      <c r="FM520" s="775"/>
      <c r="FN520" s="775"/>
      <c r="FO520" s="775"/>
      <c r="FP520" s="766" t="s">
        <v>1602</v>
      </c>
      <c r="FQ520" s="766" t="s">
        <v>1660</v>
      </c>
      <c r="FR520" s="770" t="s">
        <v>1214</v>
      </c>
      <c r="FS520" s="770"/>
      <c r="FT520" s="770"/>
      <c r="FU520" s="770"/>
      <c r="FV520" s="770"/>
      <c r="FW520" s="770"/>
      <c r="FX520" s="770"/>
      <c r="FY520" s="770"/>
      <c r="FZ520" s="770"/>
      <c r="GA520" s="770"/>
      <c r="GB520" s="770"/>
      <c r="GC520" s="308"/>
      <c r="GD520" s="297"/>
      <c r="GE520" s="770" t="s">
        <v>1214</v>
      </c>
      <c r="GF520" s="302"/>
      <c r="GG520" s="302"/>
      <c r="GH520" s="712" t="s">
        <v>14260</v>
      </c>
      <c r="GI520" s="770"/>
      <c r="GJ520" s="770"/>
      <c r="GK520" s="770"/>
      <c r="GL520" s="770"/>
      <c r="GM520" s="770"/>
      <c r="GN520" s="299"/>
      <c r="GO520" s="770"/>
      <c r="GP520" s="770"/>
      <c r="GQ520" s="770"/>
      <c r="GR520" s="770"/>
      <c r="GS520" s="770"/>
      <c r="GT520" s="770"/>
      <c r="GU520" s="770"/>
      <c r="GV520" s="770"/>
      <c r="GW520" s="770"/>
      <c r="GX520" s="770"/>
      <c r="GY520" s="770"/>
      <c r="GZ520" s="770"/>
      <c r="HA520" s="770"/>
      <c r="HB520" s="770"/>
      <c r="HC520" s="770"/>
      <c r="HD520" s="770"/>
      <c r="HE520" s="770"/>
      <c r="HF520" s="770"/>
      <c r="HG520" s="770"/>
      <c r="HH520" s="770"/>
      <c r="HI520" s="770" t="s">
        <v>1214</v>
      </c>
      <c r="HJ520" s="770"/>
      <c r="HK520" s="770"/>
      <c r="HL520" s="770" t="s">
        <v>1214</v>
      </c>
      <c r="HM520" s="770"/>
      <c r="HN520" s="770"/>
      <c r="HO520" s="770"/>
      <c r="HP520" s="770"/>
      <c r="HQ520" s="770"/>
      <c r="HR520" s="770"/>
      <c r="HS520" s="770"/>
      <c r="HT520" s="770"/>
      <c r="HU520" s="770"/>
      <c r="HV520" s="770"/>
      <c r="HW520" s="770"/>
      <c r="HX520" s="770"/>
      <c r="HY520" s="770"/>
      <c r="HZ520" s="770"/>
      <c r="IA520" s="770"/>
      <c r="IB520" s="14" t="e">
        <f>IF(#REF!&gt;0,IF(#REF!&lt;=10000,"Y",""),"")</f>
        <v>#REF!</v>
      </c>
      <c r="IC520" s="770" t="s">
        <v>1207</v>
      </c>
      <c r="ID520" s="770"/>
      <c r="IE520" s="770"/>
      <c r="IF520" s="770"/>
      <c r="IG520" s="770"/>
      <c r="IH520" s="770"/>
      <c r="II520" s="770"/>
      <c r="IJ520" s="770"/>
      <c r="IK520" s="770"/>
      <c r="IL520" s="770"/>
      <c r="IM520" s="770"/>
      <c r="IN520" s="770"/>
      <c r="IO520" s="296"/>
      <c r="IP520" s="770"/>
      <c r="IQ520" s="770"/>
      <c r="IR520" s="770"/>
      <c r="IS520" s="770"/>
      <c r="IT520" s="770"/>
      <c r="IU520" s="770"/>
      <c r="IV520" s="770"/>
      <c r="IW520" s="770"/>
      <c r="IX520" s="770"/>
      <c r="IY520" s="770"/>
      <c r="IZ520" s="770"/>
      <c r="JA520" s="770"/>
      <c r="JB520" s="770"/>
      <c r="JC520" s="770"/>
      <c r="JD520" s="302"/>
      <c r="JE520" s="770"/>
      <c r="JF520" s="770"/>
      <c r="JG520" s="770"/>
      <c r="JH520" s="307"/>
      <c r="JI520" s="307"/>
      <c r="JJ520" s="770">
        <v>2</v>
      </c>
      <c r="JK520" s="1139" t="s">
        <v>3670</v>
      </c>
      <c r="JL520" s="770"/>
      <c r="JM520" s="770"/>
      <c r="JN520" s="770"/>
      <c r="JO520" s="770">
        <v>2</v>
      </c>
      <c r="JP520" s="770"/>
      <c r="JQ520" s="770"/>
      <c r="JR520" s="770"/>
      <c r="JS520" s="770"/>
      <c r="JT520" s="766">
        <f t="shared" si="150"/>
        <v>0</v>
      </c>
      <c r="JU520" s="766">
        <f t="shared" si="150"/>
        <v>2</v>
      </c>
      <c r="JV520" s="712" t="str">
        <f>IF(JT520=KJ520,"ok","male")</f>
        <v>ok</v>
      </c>
      <c r="JW520" s="712" t="str">
        <f>IF(JU520=KK520,"ok","female")</f>
        <v>ok</v>
      </c>
      <c r="JX520" s="770"/>
      <c r="JY520" s="770"/>
      <c r="JZ520" s="770"/>
      <c r="KA520" s="770"/>
      <c r="KB520" s="770"/>
      <c r="KC520" s="770">
        <v>1</v>
      </c>
      <c r="KD520" s="770"/>
      <c r="KE520" s="770">
        <v>1</v>
      </c>
      <c r="KF520" s="770"/>
      <c r="KG520" s="770"/>
      <c r="KH520" s="770"/>
      <c r="KI520" s="770"/>
      <c r="KJ520" s="770">
        <f t="shared" si="126"/>
        <v>0</v>
      </c>
      <c r="KK520" s="770">
        <f t="shared" si="126"/>
        <v>2</v>
      </c>
      <c r="KL520" s="712" t="str">
        <f>IF(KJ520=LN520,"ok","male")</f>
        <v>ok</v>
      </c>
      <c r="KM520" s="712" t="str">
        <f>IF(KK520=LO520,"ok","female")</f>
        <v>ok</v>
      </c>
      <c r="KN520" s="770" t="s">
        <v>768</v>
      </c>
      <c r="KO520" s="770"/>
      <c r="KP520" s="770"/>
      <c r="KQ520" s="770"/>
      <c r="KR520" s="770"/>
      <c r="KS520" s="770"/>
      <c r="KT520" s="770"/>
      <c r="KU520" s="770"/>
      <c r="KV520" s="770"/>
      <c r="KW520" s="770"/>
      <c r="KX520" s="770"/>
      <c r="KY520" s="770">
        <v>1</v>
      </c>
      <c r="KZ520" s="770"/>
      <c r="LA520" s="770"/>
      <c r="LB520" s="770"/>
      <c r="LC520" s="770"/>
      <c r="LD520" s="770"/>
      <c r="LE520" s="770">
        <v>1</v>
      </c>
      <c r="LF520" s="770"/>
      <c r="LG520" s="770"/>
      <c r="LH520" s="770"/>
      <c r="LI520" s="770"/>
      <c r="LJ520" s="770"/>
      <c r="LK520" s="770"/>
      <c r="LL520" s="770"/>
      <c r="LM520" s="770"/>
      <c r="LN520" s="766">
        <f t="shared" si="134"/>
        <v>0</v>
      </c>
      <c r="LO520" s="766">
        <f t="shared" si="134"/>
        <v>2</v>
      </c>
      <c r="LP520" s="770">
        <v>1</v>
      </c>
      <c r="LQ520" s="770">
        <v>1</v>
      </c>
      <c r="LR520" s="770"/>
      <c r="LS520" s="770"/>
      <c r="LT520" s="712" t="str">
        <f>IF(LQ520=SUM(LU520:LW520),"OK","REV")</f>
        <v>OK</v>
      </c>
      <c r="LU520" s="770">
        <v>1</v>
      </c>
      <c r="LV520" s="770"/>
      <c r="LW520" s="770"/>
      <c r="LX520" s="769">
        <v>3</v>
      </c>
      <c r="LY520" s="766" t="str">
        <f t="shared" si="135"/>
        <v>within the PROVINCE</v>
      </c>
      <c r="LZ520" s="1709">
        <v>200</v>
      </c>
      <c r="MA520" s="1709"/>
      <c r="MB520" s="1709"/>
      <c r="MC520" s="1679">
        <f t="shared" si="133"/>
        <v>200</v>
      </c>
      <c r="MD520" s="1709">
        <v>10000</v>
      </c>
      <c r="ME520" s="1709"/>
      <c r="MF520" s="1709"/>
      <c r="MG520" s="1680">
        <f>SUM(MD520:MF520)</f>
        <v>10000</v>
      </c>
      <c r="MH520" s="770" t="s">
        <v>2239</v>
      </c>
      <c r="MI520" s="302">
        <v>9000</v>
      </c>
      <c r="MJ520" s="302">
        <v>6000</v>
      </c>
      <c r="MK520" s="302">
        <v>2300</v>
      </c>
      <c r="ML520" s="302">
        <v>1000</v>
      </c>
      <c r="MM520" s="302"/>
      <c r="MN520" s="302"/>
      <c r="MO520" s="302">
        <v>900</v>
      </c>
      <c r="MP520" s="302">
        <v>1700</v>
      </c>
      <c r="MQ520" s="302">
        <v>2000</v>
      </c>
      <c r="MR520" s="302">
        <v>300</v>
      </c>
      <c r="MS520" s="302">
        <v>416</v>
      </c>
      <c r="MT520" s="302"/>
      <c r="MU520" s="302"/>
      <c r="MV520" s="302"/>
      <c r="MW520" s="302"/>
      <c r="MX520" s="302"/>
      <c r="MY520" s="1682">
        <f t="shared" si="147"/>
        <v>23616</v>
      </c>
      <c r="MZ520" s="770" t="s">
        <v>13214</v>
      </c>
      <c r="NA520" s="770" t="s">
        <v>13005</v>
      </c>
      <c r="NB520" s="770" t="s">
        <v>13016</v>
      </c>
      <c r="NC520" s="770" t="s">
        <v>13621</v>
      </c>
      <c r="ND520" s="770">
        <v>0</v>
      </c>
      <c r="NE520" s="770">
        <v>0</v>
      </c>
      <c r="NF520" s="770">
        <v>0</v>
      </c>
      <c r="NG520" s="770">
        <v>1</v>
      </c>
      <c r="NH520" s="770">
        <v>1</v>
      </c>
      <c r="NI520" s="770">
        <v>0</v>
      </c>
      <c r="NJ520" s="770">
        <v>0</v>
      </c>
      <c r="NK520" s="770">
        <v>0</v>
      </c>
      <c r="NL520" s="770">
        <v>0</v>
      </c>
      <c r="NM520" s="770">
        <v>0</v>
      </c>
      <c r="NN520" s="770">
        <v>0</v>
      </c>
      <c r="NO520" s="770">
        <v>0</v>
      </c>
      <c r="NP520" s="770">
        <v>0</v>
      </c>
      <c r="NQ520" s="770">
        <v>0</v>
      </c>
      <c r="NR520" s="770">
        <v>0</v>
      </c>
      <c r="NS520" s="770">
        <v>0</v>
      </c>
      <c r="NT520" s="770">
        <v>0</v>
      </c>
      <c r="NU520" s="770">
        <v>0</v>
      </c>
      <c r="NV520" s="770">
        <v>0</v>
      </c>
      <c r="NW520" s="770">
        <v>0</v>
      </c>
      <c r="NX520" s="770">
        <v>0</v>
      </c>
      <c r="NY520" s="770" t="s">
        <v>1208</v>
      </c>
      <c r="NZ520" s="770"/>
      <c r="OA520" s="770"/>
      <c r="OB520" s="770" t="s">
        <v>1208</v>
      </c>
      <c r="OC520" s="770" t="s">
        <v>1208</v>
      </c>
      <c r="OD520" s="770"/>
      <c r="OE520" s="770"/>
      <c r="OF520" s="770"/>
      <c r="OG520" s="770"/>
      <c r="OH520" s="770"/>
      <c r="OI520" s="770"/>
      <c r="OJ520" s="770"/>
      <c r="OK520" s="770"/>
      <c r="OL520" s="770"/>
      <c r="OM520" s="770"/>
      <c r="ON520" s="770"/>
      <c r="OO520" s="770"/>
      <c r="OP520" s="770"/>
      <c r="OQ520" s="770"/>
      <c r="OR520" s="770"/>
      <c r="OS520" s="770"/>
      <c r="OT520" s="770"/>
      <c r="OU520" s="770"/>
      <c r="OV520" s="770"/>
      <c r="OW520" s="770"/>
      <c r="OX520" s="770"/>
      <c r="OY520" s="770"/>
      <c r="OZ520" s="770"/>
      <c r="PA520" s="770"/>
      <c r="PB520" s="770"/>
      <c r="PC520" s="770"/>
      <c r="PD520" s="770"/>
      <c r="PE520" s="770"/>
      <c r="PF520" s="770"/>
      <c r="PG520" s="770"/>
      <c r="PH520" s="770"/>
      <c r="PI520" s="770"/>
      <c r="PJ520" s="770"/>
      <c r="PK520" s="770"/>
      <c r="PL520" s="770"/>
      <c r="PM520" s="770"/>
      <c r="PN520" s="770"/>
      <c r="PO520" s="770"/>
      <c r="PP520" s="770"/>
      <c r="PQ520" s="770"/>
      <c r="PR520" s="770"/>
      <c r="PS520" s="770" t="s">
        <v>1208</v>
      </c>
      <c r="PT520" s="770" t="s">
        <v>1208</v>
      </c>
      <c r="PU520" s="770"/>
      <c r="PV520" s="770"/>
      <c r="PW520" s="770"/>
      <c r="PX520" s="770"/>
      <c r="PY520" s="770"/>
      <c r="PZ520" s="770"/>
      <c r="QA520" s="770"/>
      <c r="QB520" s="770"/>
      <c r="QC520" s="770"/>
      <c r="QD520" s="770"/>
      <c r="QE520" s="770"/>
      <c r="QF520" s="770"/>
      <c r="QG520" s="770"/>
      <c r="QH520" s="770"/>
      <c r="QI520" s="770"/>
      <c r="QJ520" s="770"/>
      <c r="QK520" s="770"/>
      <c r="QL520" s="770"/>
      <c r="QM520" s="770"/>
      <c r="QN520" s="770"/>
      <c r="QO520" s="770"/>
      <c r="QP520" s="770"/>
      <c r="QQ520" s="770"/>
      <c r="QR520" s="770"/>
      <c r="QS520" s="770"/>
      <c r="QT520" s="770"/>
      <c r="QU520" s="770"/>
      <c r="QV520" s="770"/>
      <c r="QW520" s="770"/>
      <c r="QX520" s="770"/>
      <c r="QY520" s="770"/>
      <c r="QZ520" s="770"/>
      <c r="RA520" s="770"/>
      <c r="RB520" s="770" t="s">
        <v>1214</v>
      </c>
      <c r="RC520" s="770"/>
      <c r="RD520" s="770"/>
      <c r="RE520" s="770"/>
      <c r="RF520" s="304"/>
      <c r="RG520" s="770"/>
      <c r="RH520" s="302"/>
      <c r="RI520" s="770"/>
      <c r="RJ520" s="770" t="s">
        <v>13687</v>
      </c>
      <c r="RK520" s="770" t="s">
        <v>13552</v>
      </c>
      <c r="RL520" s="1710"/>
      <c r="RM520" s="12"/>
      <c r="RN520" s="1711"/>
      <c r="RO520" s="132" t="s">
        <v>3667</v>
      </c>
      <c r="RP520" s="11"/>
      <c r="RQ520" s="11"/>
      <c r="RR520" s="311" t="s">
        <v>12353</v>
      </c>
      <c r="RS520" s="1139" t="s">
        <v>12980</v>
      </c>
      <c r="RT520" s="11"/>
      <c r="RU520" s="11"/>
      <c r="RV520" s="771" t="s">
        <v>7421</v>
      </c>
      <c r="RW520" s="11" t="s">
        <v>7796</v>
      </c>
      <c r="RX520" s="11" t="s">
        <v>2952</v>
      </c>
      <c r="RY520" s="11"/>
      <c r="RZ520" s="11" t="s">
        <v>1101</v>
      </c>
      <c r="SA520" s="771"/>
      <c r="SB520" s="11"/>
      <c r="SC520" s="11"/>
    </row>
    <row r="521" spans="1:497" ht="12.75" customHeight="1">
      <c r="A521" s="311" t="s">
        <v>14210</v>
      </c>
      <c r="B521" s="752" t="s">
        <v>7798</v>
      </c>
      <c r="C521" s="133" t="s">
        <v>3457</v>
      </c>
      <c r="D521" s="94" t="s">
        <v>3458</v>
      </c>
      <c r="E521" s="770" t="s">
        <v>3628</v>
      </c>
      <c r="F521" s="770" t="s">
        <v>20</v>
      </c>
      <c r="G521" s="770" t="s">
        <v>18</v>
      </c>
      <c r="H521" s="770"/>
      <c r="I521" s="295" t="s">
        <v>3459</v>
      </c>
      <c r="J521" s="94" t="s">
        <v>3460</v>
      </c>
      <c r="K521" s="766" t="s">
        <v>3461</v>
      </c>
      <c r="L521" s="766" t="s">
        <v>2286</v>
      </c>
      <c r="M521" s="770" t="s">
        <v>1238</v>
      </c>
      <c r="N521" s="770"/>
      <c r="O521" s="770" t="s">
        <v>3446</v>
      </c>
      <c r="P521" s="94" t="s">
        <v>3462</v>
      </c>
      <c r="Q521" s="1085">
        <v>28018</v>
      </c>
      <c r="R521" s="25">
        <v>40</v>
      </c>
      <c r="S521" s="770" t="s">
        <v>10</v>
      </c>
      <c r="T521" s="770"/>
      <c r="U521" s="295"/>
      <c r="V521" s="770" t="s">
        <v>707</v>
      </c>
      <c r="W521" s="770"/>
      <c r="X521" s="770"/>
      <c r="Y521" s="770" t="s">
        <v>3628</v>
      </c>
      <c r="Z521" s="770" t="s">
        <v>708</v>
      </c>
      <c r="AA521" s="770" t="s">
        <v>739</v>
      </c>
      <c r="AB521" s="770" t="s">
        <v>7275</v>
      </c>
      <c r="AC521" s="770" t="s">
        <v>724</v>
      </c>
      <c r="AD521" s="770" t="s">
        <v>711</v>
      </c>
      <c r="AE521" s="770"/>
      <c r="AF521" s="770" t="s">
        <v>712</v>
      </c>
      <c r="AG521" s="770"/>
      <c r="AH521" s="770"/>
      <c r="AI521" s="770"/>
      <c r="AJ521" s="770"/>
      <c r="AK521" s="770" t="s">
        <v>1101</v>
      </c>
      <c r="AL521" s="531"/>
      <c r="AM521" s="780"/>
      <c r="AN521" s="532"/>
      <c r="AO521" s="766"/>
      <c r="AP521" s="766"/>
      <c r="AQ521" s="766"/>
      <c r="AR521" s="766"/>
      <c r="AS521" s="769"/>
      <c r="AT521" s="770"/>
      <c r="AU521" s="770"/>
      <c r="AV521" s="770"/>
      <c r="AW521" s="770"/>
      <c r="AX521" s="770"/>
      <c r="AY521" s="770"/>
      <c r="AZ521" s="770"/>
      <c r="BA521" s="770"/>
      <c r="BB521" s="770"/>
      <c r="BC521" s="770"/>
      <c r="BD521" s="770"/>
      <c r="BE521" s="770"/>
      <c r="BF521" s="302"/>
      <c r="BG521" s="302"/>
      <c r="BH521" s="770"/>
      <c r="BI521" s="770"/>
      <c r="BJ521" s="770"/>
      <c r="BK521" s="770" t="s">
        <v>1095</v>
      </c>
      <c r="BL521" s="770" t="s">
        <v>3463</v>
      </c>
      <c r="BM521" s="766" t="s">
        <v>1096</v>
      </c>
      <c r="BN521" s="766" t="s">
        <v>3230</v>
      </c>
      <c r="BO521" s="766" t="s">
        <v>1246</v>
      </c>
      <c r="BP521" s="765">
        <v>8.5</v>
      </c>
      <c r="BQ521" s="773">
        <v>7.04</v>
      </c>
      <c r="BR521" s="774">
        <f t="shared" si="148"/>
        <v>0.82823529411764707</v>
      </c>
      <c r="BS521" s="766" t="s">
        <v>1105</v>
      </c>
      <c r="BT521" s="770" t="s">
        <v>1326</v>
      </c>
      <c r="BU521" s="766" t="s">
        <v>1264</v>
      </c>
      <c r="BV521" s="770" t="s">
        <v>1247</v>
      </c>
      <c r="BW521" s="770">
        <v>2008</v>
      </c>
      <c r="BX521" s="302"/>
      <c r="BY521" s="770" t="s">
        <v>1207</v>
      </c>
      <c r="BZ521" s="302">
        <v>40000</v>
      </c>
      <c r="CA521" s="770"/>
      <c r="CB521" s="770"/>
      <c r="CC521" s="770"/>
      <c r="CD521" s="770"/>
      <c r="CE521" s="770"/>
      <c r="CF521" s="1753"/>
      <c r="CG521" s="1754"/>
      <c r="CH521" s="770"/>
      <c r="CI521" s="770"/>
      <c r="CJ521" s="770"/>
      <c r="CK521" s="770"/>
      <c r="CL521" s="770"/>
      <c r="CM521" s="770"/>
      <c r="CN521" s="770"/>
      <c r="CO521" s="770"/>
      <c r="CP521" s="770"/>
      <c r="CQ521" s="770"/>
      <c r="CR521" s="302"/>
      <c r="CS521" s="770"/>
      <c r="CT521" s="770"/>
      <c r="CU521" s="305"/>
      <c r="CV521" s="770"/>
      <c r="CW521" s="770"/>
      <c r="CX521" s="770"/>
      <c r="CY521" s="770"/>
      <c r="CZ521" s="770"/>
      <c r="DA521" s="306"/>
      <c r="DB521" s="770"/>
      <c r="DC521" s="770"/>
      <c r="DD521" s="770"/>
      <c r="DE521" s="300"/>
      <c r="DF521" s="770"/>
      <c r="DG521" s="770"/>
      <c r="DH521" s="770"/>
      <c r="DI521" s="770"/>
      <c r="DJ521" s="770"/>
      <c r="DK521" s="770"/>
      <c r="DL521" s="770"/>
      <c r="DM521" s="770"/>
      <c r="DN521" s="322"/>
      <c r="DO521" s="770"/>
      <c r="DP521" s="770"/>
      <c r="DQ521" s="770"/>
      <c r="DR521" s="770"/>
      <c r="DS521" s="307"/>
      <c r="DT521" s="770"/>
      <c r="DU521" s="770"/>
      <c r="DV521" s="770"/>
      <c r="DW521" s="306"/>
      <c r="DX521" s="306"/>
      <c r="DY521" s="770"/>
      <c r="DZ521" s="770"/>
      <c r="EA521" s="770"/>
      <c r="EB521" s="770"/>
      <c r="EC521" s="770"/>
      <c r="ED521" s="770"/>
      <c r="EE521" s="770"/>
      <c r="EF521" s="770"/>
      <c r="EG521" s="770"/>
      <c r="EH521" s="770"/>
      <c r="EI521" s="770"/>
      <c r="EJ521" s="770"/>
      <c r="EK521" s="770"/>
      <c r="EL521" s="770"/>
      <c r="EM521" s="770"/>
      <c r="EN521" s="770"/>
      <c r="EO521" s="770"/>
      <c r="EP521" s="94"/>
      <c r="EQ521" s="770"/>
      <c r="ER521" s="770"/>
      <c r="ES521" s="770"/>
      <c r="ET521" s="770"/>
      <c r="EU521" s="770"/>
      <c r="EV521" s="770"/>
      <c r="EW521" s="770"/>
      <c r="EX521" s="770"/>
      <c r="EY521" s="770"/>
      <c r="EZ521" s="770"/>
      <c r="FA521" s="770"/>
      <c r="FB521" s="770"/>
      <c r="FC521" s="770"/>
      <c r="FD521" s="302"/>
      <c r="FE521" s="770"/>
      <c r="FF521" s="770"/>
      <c r="FG521" s="770"/>
      <c r="FH521" s="770" t="s">
        <v>3230</v>
      </c>
      <c r="FI521" s="770">
        <v>1</v>
      </c>
      <c r="FJ521" s="770"/>
      <c r="FK521" s="770"/>
      <c r="FL521" s="770"/>
      <c r="FM521" s="775"/>
      <c r="FN521" s="775"/>
      <c r="FO521" s="775"/>
      <c r="FP521" s="766" t="s">
        <v>1602</v>
      </c>
      <c r="FQ521" s="766" t="s">
        <v>1660</v>
      </c>
      <c r="FR521" s="770" t="s">
        <v>1214</v>
      </c>
      <c r="FS521" s="770"/>
      <c r="FT521" s="770"/>
      <c r="FU521" s="770"/>
      <c r="FV521" s="770"/>
      <c r="FW521" s="770"/>
      <c r="FX521" s="770"/>
      <c r="FY521" s="770"/>
      <c r="FZ521" s="770"/>
      <c r="GA521" s="770"/>
      <c r="GB521" s="770"/>
      <c r="GC521" s="308"/>
      <c r="GD521" s="297"/>
      <c r="GE521" s="770"/>
      <c r="GF521" s="302"/>
      <c r="GG521" s="302"/>
      <c r="GH521" s="712" t="s">
        <v>14260</v>
      </c>
      <c r="GI521" s="770"/>
      <c r="GJ521" s="770"/>
      <c r="GK521" s="770"/>
      <c r="GL521" s="770"/>
      <c r="GM521" s="770"/>
      <c r="GN521" s="299"/>
      <c r="GO521" s="770"/>
      <c r="GP521" s="770"/>
      <c r="GQ521" s="770"/>
      <c r="GR521" s="770"/>
      <c r="GS521" s="770"/>
      <c r="GT521" s="770"/>
      <c r="GU521" s="770"/>
      <c r="GV521" s="770"/>
      <c r="GW521" s="770"/>
      <c r="GX521" s="770"/>
      <c r="GY521" s="770"/>
      <c r="GZ521" s="770"/>
      <c r="HA521" s="770"/>
      <c r="HB521" s="770"/>
      <c r="HC521" s="770"/>
      <c r="HD521" s="770"/>
      <c r="HE521" s="770"/>
      <c r="HF521" s="770"/>
      <c r="HG521" s="770"/>
      <c r="HH521" s="770"/>
      <c r="HI521" s="770" t="s">
        <v>1214</v>
      </c>
      <c r="HJ521" s="770"/>
      <c r="HK521" s="770"/>
      <c r="HL521" s="770" t="s">
        <v>1214</v>
      </c>
      <c r="HM521" s="770"/>
      <c r="HN521" s="770"/>
      <c r="HO521" s="770"/>
      <c r="HP521" s="770"/>
      <c r="HQ521" s="770"/>
      <c r="HR521" s="770"/>
      <c r="HS521" s="770"/>
      <c r="HT521" s="770"/>
      <c r="HU521" s="770"/>
      <c r="HV521" s="770"/>
      <c r="HW521" s="770"/>
      <c r="HX521" s="770"/>
      <c r="HY521" s="770"/>
      <c r="HZ521" s="770"/>
      <c r="IA521" s="770"/>
      <c r="IB521" s="14" t="e">
        <f>IF(#REF!&gt;0,IF(#REF!&lt;=10000,"Y",""),"")</f>
        <v>#REF!</v>
      </c>
      <c r="IC521" s="770"/>
      <c r="ID521" s="770"/>
      <c r="IE521" s="770"/>
      <c r="IF521" s="770"/>
      <c r="IG521" s="770"/>
      <c r="IH521" s="770"/>
      <c r="II521" s="770"/>
      <c r="IJ521" s="770"/>
      <c r="IK521" s="770"/>
      <c r="IL521" s="770"/>
      <c r="IM521" s="770"/>
      <c r="IN521" s="770"/>
      <c r="IO521" s="296"/>
      <c r="IP521" s="770"/>
      <c r="IQ521" s="770"/>
      <c r="IR521" s="770"/>
      <c r="IS521" s="770"/>
      <c r="IT521" s="770"/>
      <c r="IU521" s="770"/>
      <c r="IV521" s="770"/>
      <c r="IW521" s="770"/>
      <c r="IX521" s="770"/>
      <c r="IY521" s="770"/>
      <c r="IZ521" s="770"/>
      <c r="JA521" s="770"/>
      <c r="JB521" s="770"/>
      <c r="JC521" s="770"/>
      <c r="JD521" s="302"/>
      <c r="JE521" s="770"/>
      <c r="JF521" s="770"/>
      <c r="JG521" s="770"/>
      <c r="JH521" s="307"/>
      <c r="JI521" s="712" t="str">
        <f>IF(SUM(JT521,JU521)=JJ521,"ok","review")</f>
        <v>ok</v>
      </c>
      <c r="JJ521" s="770">
        <v>2</v>
      </c>
      <c r="JK521" s="1139" t="s">
        <v>3464</v>
      </c>
      <c r="JL521" s="770"/>
      <c r="JM521" s="770"/>
      <c r="JN521" s="770">
        <v>1</v>
      </c>
      <c r="JO521" s="770">
        <v>1</v>
      </c>
      <c r="JP521" s="770"/>
      <c r="JQ521" s="770"/>
      <c r="JR521" s="770"/>
      <c r="JS521" s="770"/>
      <c r="JT521" s="766">
        <f t="shared" si="150"/>
        <v>1</v>
      </c>
      <c r="JU521" s="766">
        <f t="shared" si="150"/>
        <v>1</v>
      </c>
      <c r="JV521" s="712" t="str">
        <f>IF(JT521=KJ521,"ok","male")</f>
        <v>ok</v>
      </c>
      <c r="JW521" s="712" t="str">
        <f>IF(JU521=KK521,"ok","female")</f>
        <v>ok</v>
      </c>
      <c r="JX521" s="770"/>
      <c r="JY521" s="770"/>
      <c r="JZ521" s="770"/>
      <c r="KA521" s="770"/>
      <c r="KB521" s="770"/>
      <c r="KC521" s="770"/>
      <c r="KD521" s="770">
        <v>1</v>
      </c>
      <c r="KE521" s="770">
        <v>1</v>
      </c>
      <c r="KF521" s="770"/>
      <c r="KG521" s="770"/>
      <c r="KH521" s="770"/>
      <c r="KI521" s="770"/>
      <c r="KJ521" s="770">
        <f t="shared" si="126"/>
        <v>1</v>
      </c>
      <c r="KK521" s="770">
        <f t="shared" si="126"/>
        <v>1</v>
      </c>
      <c r="KL521" s="712" t="str">
        <f>IF(KJ521=LN521,"ok","male")</f>
        <v>ok</v>
      </c>
      <c r="KM521" s="712" t="str">
        <f>IF(KK521=LO521,"ok","female")</f>
        <v>ok</v>
      </c>
      <c r="KN521" s="770" t="s">
        <v>707</v>
      </c>
      <c r="KO521" s="770"/>
      <c r="KP521" s="770"/>
      <c r="KQ521" s="770"/>
      <c r="KR521" s="770"/>
      <c r="KS521" s="770"/>
      <c r="KT521" s="770"/>
      <c r="KU521" s="770"/>
      <c r="KV521" s="770"/>
      <c r="KW521" s="770"/>
      <c r="KX521" s="770"/>
      <c r="KY521" s="770">
        <v>1</v>
      </c>
      <c r="KZ521" s="770">
        <v>1</v>
      </c>
      <c r="LA521" s="770"/>
      <c r="LB521" s="770"/>
      <c r="LC521" s="770"/>
      <c r="LD521" s="770"/>
      <c r="LE521" s="770"/>
      <c r="LF521" s="770"/>
      <c r="LG521" s="770"/>
      <c r="LH521" s="770"/>
      <c r="LI521" s="770"/>
      <c r="LJ521" s="770"/>
      <c r="LK521" s="770"/>
      <c r="LL521" s="770"/>
      <c r="LM521" s="770"/>
      <c r="LN521" s="766">
        <f t="shared" si="134"/>
        <v>1</v>
      </c>
      <c r="LO521" s="766">
        <f t="shared" si="134"/>
        <v>1</v>
      </c>
      <c r="LP521" s="770">
        <v>1</v>
      </c>
      <c r="LQ521" s="770">
        <v>1</v>
      </c>
      <c r="LR521" s="770"/>
      <c r="LS521" s="770"/>
      <c r="LT521" s="712" t="str">
        <f>IF(LQ521=SUM(LU521:LW521),"OK","REV")</f>
        <v>OK</v>
      </c>
      <c r="LU521" s="770">
        <v>1</v>
      </c>
      <c r="LV521" s="770"/>
      <c r="LW521" s="770"/>
      <c r="LX521" s="769">
        <v>2</v>
      </c>
      <c r="LY521" s="766" t="str">
        <f t="shared" si="135"/>
        <v>within the MUNICIPALITY</v>
      </c>
      <c r="LZ521" s="1709">
        <v>1500</v>
      </c>
      <c r="MA521" s="1709"/>
      <c r="MB521" s="1709"/>
      <c r="MC521" s="1679">
        <f t="shared" si="133"/>
        <v>1500</v>
      </c>
      <c r="MD521" s="1709">
        <v>12000</v>
      </c>
      <c r="ME521" s="1709"/>
      <c r="MF521" s="1709"/>
      <c r="MG521" s="1680">
        <f>SUM(MD521:MF521)</f>
        <v>12000</v>
      </c>
      <c r="MH521" s="770" t="s">
        <v>2223</v>
      </c>
      <c r="MI521" s="302">
        <v>4500</v>
      </c>
      <c r="MJ521" s="302">
        <v>1500</v>
      </c>
      <c r="MK521" s="302">
        <v>833</v>
      </c>
      <c r="ML521" s="302"/>
      <c r="MM521" s="302"/>
      <c r="MN521" s="302"/>
      <c r="MO521" s="302">
        <v>1800</v>
      </c>
      <c r="MP521" s="302">
        <v>800</v>
      </c>
      <c r="MQ521" s="302">
        <v>180</v>
      </c>
      <c r="MR521" s="302">
        <v>350</v>
      </c>
      <c r="MS521" s="302">
        <v>1000</v>
      </c>
      <c r="MT521" s="302"/>
      <c r="MU521" s="302"/>
      <c r="MV521" s="302"/>
      <c r="MW521" s="302"/>
      <c r="MX521" s="302"/>
      <c r="MY521" s="1682">
        <f t="shared" si="147"/>
        <v>10963</v>
      </c>
      <c r="MZ521" s="770" t="s">
        <v>13395</v>
      </c>
      <c r="NA521" s="770" t="s">
        <v>13005</v>
      </c>
      <c r="NB521" s="770" t="s">
        <v>13016</v>
      </c>
      <c r="NC521" s="770" t="s">
        <v>13621</v>
      </c>
      <c r="ND521" s="770">
        <v>0</v>
      </c>
      <c r="NE521" s="770">
        <v>0</v>
      </c>
      <c r="NF521" s="770">
        <v>0</v>
      </c>
      <c r="NG521" s="770">
        <v>2</v>
      </c>
      <c r="NH521" s="770">
        <v>1</v>
      </c>
      <c r="NI521" s="770">
        <v>1</v>
      </c>
      <c r="NJ521" s="770">
        <v>1</v>
      </c>
      <c r="NK521" s="770">
        <v>1</v>
      </c>
      <c r="NL521" s="770">
        <v>1</v>
      </c>
      <c r="NM521" s="770">
        <v>1</v>
      </c>
      <c r="NN521" s="770">
        <v>0</v>
      </c>
      <c r="NO521" s="770">
        <v>0</v>
      </c>
      <c r="NP521" s="770">
        <v>0</v>
      </c>
      <c r="NQ521" s="770">
        <v>0</v>
      </c>
      <c r="NR521" s="770">
        <v>0</v>
      </c>
      <c r="NS521" s="770">
        <v>0</v>
      </c>
      <c r="NT521" s="770">
        <v>0</v>
      </c>
      <c r="NU521" s="770">
        <v>0</v>
      </c>
      <c r="NV521" s="770">
        <v>0</v>
      </c>
      <c r="NW521" s="770">
        <v>0</v>
      </c>
      <c r="NX521" s="770">
        <v>0</v>
      </c>
      <c r="NY521" s="770"/>
      <c r="NZ521" s="770"/>
      <c r="OA521" s="770"/>
      <c r="OB521" s="770"/>
      <c r="OC521" s="770"/>
      <c r="OD521" s="770"/>
      <c r="OE521" s="770"/>
      <c r="OF521" s="770" t="s">
        <v>2143</v>
      </c>
      <c r="OG521" s="770"/>
      <c r="OH521" s="770"/>
      <c r="OI521" s="770"/>
      <c r="OJ521" s="770"/>
      <c r="OK521" s="770" t="s">
        <v>1208</v>
      </c>
      <c r="OL521" s="770" t="s">
        <v>13579</v>
      </c>
      <c r="OM521" s="770"/>
      <c r="ON521" s="770"/>
      <c r="OO521" s="770" t="s">
        <v>1207</v>
      </c>
      <c r="OP521" s="770"/>
      <c r="OQ521" s="770"/>
      <c r="OR521" s="770"/>
      <c r="OS521" s="770" t="s">
        <v>12885</v>
      </c>
      <c r="OT521" s="770"/>
      <c r="OU521" s="770"/>
      <c r="OV521" s="770" t="s">
        <v>1208</v>
      </c>
      <c r="OW521" s="770"/>
      <c r="OX521" s="770"/>
      <c r="OY521" s="770"/>
      <c r="OZ521" s="770"/>
      <c r="PA521" s="770"/>
      <c r="PB521" s="770"/>
      <c r="PC521" s="770"/>
      <c r="PD521" s="770"/>
      <c r="PE521" s="770"/>
      <c r="PF521" s="770"/>
      <c r="PG521" s="770"/>
      <c r="PH521" s="770"/>
      <c r="PI521" s="770"/>
      <c r="PJ521" s="770"/>
      <c r="PK521" s="770"/>
      <c r="PL521" s="770"/>
      <c r="PM521" s="770"/>
      <c r="PN521" s="770"/>
      <c r="PO521" s="770"/>
      <c r="PP521" s="770"/>
      <c r="PQ521" s="770"/>
      <c r="PR521" s="770"/>
      <c r="PS521" s="770"/>
      <c r="PT521" s="770"/>
      <c r="PU521" s="770"/>
      <c r="PV521" s="770"/>
      <c r="PW521" s="770"/>
      <c r="PX521" s="770"/>
      <c r="PY521" s="770"/>
      <c r="PZ521" s="770"/>
      <c r="QA521" s="770"/>
      <c r="QB521" s="770"/>
      <c r="QC521" s="770"/>
      <c r="QD521" s="770"/>
      <c r="QE521" s="770"/>
      <c r="QF521" s="770"/>
      <c r="QG521" s="770"/>
      <c r="QH521" s="770"/>
      <c r="QI521" s="770"/>
      <c r="QJ521" s="770"/>
      <c r="QK521" s="770"/>
      <c r="QL521" s="770"/>
      <c r="QM521" s="770"/>
      <c r="QN521" s="770"/>
      <c r="QO521" s="770"/>
      <c r="QP521" s="770"/>
      <c r="QQ521" s="770"/>
      <c r="QR521" s="770"/>
      <c r="QS521" s="770"/>
      <c r="QT521" s="770"/>
      <c r="QU521" s="770"/>
      <c r="QV521" s="770"/>
      <c r="QW521" s="770"/>
      <c r="QX521" s="770"/>
      <c r="QY521" s="770"/>
      <c r="QZ521" s="770"/>
      <c r="RA521" s="770"/>
      <c r="RB521" s="770" t="s">
        <v>1214</v>
      </c>
      <c r="RC521" s="770"/>
      <c r="RD521" s="770"/>
      <c r="RE521" s="770"/>
      <c r="RF521" s="304"/>
      <c r="RG521" s="770"/>
      <c r="RH521" s="302"/>
      <c r="RI521" s="770"/>
      <c r="RJ521" s="770" t="s">
        <v>3465</v>
      </c>
      <c r="RK521" s="770" t="s">
        <v>13550</v>
      </c>
      <c r="RL521" s="1710"/>
      <c r="RM521" s="12"/>
      <c r="RN521" s="1711"/>
      <c r="RO521" s="133" t="s">
        <v>3457</v>
      </c>
      <c r="RP521" s="11"/>
      <c r="RQ521" s="11"/>
      <c r="RR521" s="311" t="s">
        <v>12353</v>
      </c>
      <c r="RS521" s="1139" t="s">
        <v>12980</v>
      </c>
      <c r="RT521" s="11"/>
      <c r="RU521" s="11"/>
      <c r="RV521" s="771" t="s">
        <v>7421</v>
      </c>
      <c r="RW521" s="11" t="s">
        <v>7705</v>
      </c>
      <c r="RX521" s="11" t="s">
        <v>3659</v>
      </c>
      <c r="RY521" s="11"/>
      <c r="RZ521" s="11" t="s">
        <v>1101</v>
      </c>
      <c r="SA521" s="771"/>
      <c r="SB521" s="11"/>
      <c r="SC521" s="11"/>
    </row>
    <row r="522" spans="1:497" ht="12.75" customHeight="1">
      <c r="A522" s="311" t="s">
        <v>14210</v>
      </c>
      <c r="B522" s="752" t="s">
        <v>7799</v>
      </c>
      <c r="C522" s="133" t="s">
        <v>3466</v>
      </c>
      <c r="D522" s="94" t="s">
        <v>3467</v>
      </c>
      <c r="E522" s="770" t="s">
        <v>3627</v>
      </c>
      <c r="F522" s="770" t="s">
        <v>28</v>
      </c>
      <c r="G522" s="770" t="s">
        <v>10</v>
      </c>
      <c r="H522" s="770"/>
      <c r="I522" s="295" t="s">
        <v>3468</v>
      </c>
      <c r="J522" s="94" t="s">
        <v>3467</v>
      </c>
      <c r="K522" s="766" t="s">
        <v>3445</v>
      </c>
      <c r="L522" s="766" t="s">
        <v>2921</v>
      </c>
      <c r="M522" s="770"/>
      <c r="N522" s="770"/>
      <c r="O522" s="770"/>
      <c r="P522" s="770"/>
      <c r="Q522" s="1085"/>
      <c r="R522" s="25"/>
      <c r="S522" s="770"/>
      <c r="T522" s="770"/>
      <c r="U522" s="295"/>
      <c r="V522" s="770"/>
      <c r="W522" s="770"/>
      <c r="X522" s="770"/>
      <c r="Y522" s="770"/>
      <c r="Z522" s="770"/>
      <c r="AA522" s="770"/>
      <c r="AB522" s="770"/>
      <c r="AC522" s="770"/>
      <c r="AD522" s="770"/>
      <c r="AE522" s="770"/>
      <c r="AF522" s="770"/>
      <c r="AG522" s="766" t="s">
        <v>1095</v>
      </c>
      <c r="AH522" s="766" t="s">
        <v>1096</v>
      </c>
      <c r="AI522" s="770" t="s">
        <v>3294</v>
      </c>
      <c r="AJ522" s="770"/>
      <c r="AK522" s="770" t="s">
        <v>1101</v>
      </c>
      <c r="AL522" s="531"/>
      <c r="AM522" s="780"/>
      <c r="AN522" s="532"/>
      <c r="AO522" s="766"/>
      <c r="AP522" s="766" t="s">
        <v>5364</v>
      </c>
      <c r="AQ522" s="766" t="s">
        <v>7418</v>
      </c>
      <c r="AR522" s="766"/>
      <c r="AS522" s="770"/>
      <c r="AT522" s="770"/>
      <c r="AU522" s="770"/>
      <c r="AV522" s="770"/>
      <c r="AW522" s="770"/>
      <c r="AX522" s="770"/>
      <c r="AY522" s="770"/>
      <c r="AZ522" s="770"/>
      <c r="BA522" s="770"/>
      <c r="BB522" s="770"/>
      <c r="BC522" s="770"/>
      <c r="BD522" s="770"/>
      <c r="BE522" s="770"/>
      <c r="BF522" s="302"/>
      <c r="BG522" s="302"/>
      <c r="BH522" s="770"/>
      <c r="BI522" s="770"/>
      <c r="BJ522" s="770"/>
      <c r="BK522" s="770"/>
      <c r="BL522" s="770"/>
      <c r="BM522" s="770"/>
      <c r="BN522" s="770"/>
      <c r="BO522" s="770"/>
      <c r="BP522" s="765"/>
      <c r="BQ522" s="773"/>
      <c r="BR522" s="774"/>
      <c r="BS522" s="766"/>
      <c r="BT522" s="770"/>
      <c r="BU522" s="770"/>
      <c r="BV522" s="770"/>
      <c r="BW522" s="770"/>
      <c r="BX522" s="302"/>
      <c r="BY522" s="770"/>
      <c r="BZ522" s="302"/>
      <c r="CA522" s="770"/>
      <c r="CB522" s="770" t="s">
        <v>1207</v>
      </c>
      <c r="CC522" s="770"/>
      <c r="CD522" s="770"/>
      <c r="CE522" s="770"/>
      <c r="CF522" s="1753"/>
      <c r="CG522" s="1754"/>
      <c r="CH522" s="770"/>
      <c r="CI522" s="770"/>
      <c r="CJ522" s="770"/>
      <c r="CK522" s="770"/>
      <c r="CL522" s="770"/>
      <c r="CM522" s="770"/>
      <c r="CN522" s="770"/>
      <c r="CO522" s="770"/>
      <c r="CP522" s="770" t="s">
        <v>3470</v>
      </c>
      <c r="CQ522" s="770">
        <v>1950</v>
      </c>
      <c r="CR522" s="302"/>
      <c r="CS522" s="770"/>
      <c r="CT522" s="770" t="s">
        <v>1469</v>
      </c>
      <c r="CU522" s="305"/>
      <c r="CV522" s="770" t="s">
        <v>3469</v>
      </c>
      <c r="CW522" s="770">
        <v>1</v>
      </c>
      <c r="CX522" s="770"/>
      <c r="CY522" s="770"/>
      <c r="CZ522" s="770"/>
      <c r="DA522" s="306"/>
      <c r="DB522" s="770"/>
      <c r="DC522" s="770"/>
      <c r="DD522" s="770"/>
      <c r="DE522" s="300"/>
      <c r="DF522" s="770"/>
      <c r="DG522" s="770"/>
      <c r="DH522" s="770"/>
      <c r="DI522" s="770"/>
      <c r="DJ522" s="770"/>
      <c r="DK522" s="770"/>
      <c r="DL522" s="770"/>
      <c r="DM522" s="770"/>
      <c r="DN522" s="322"/>
      <c r="DO522" s="770"/>
      <c r="DP522" s="770"/>
      <c r="DQ522" s="770"/>
      <c r="DR522" s="770"/>
      <c r="DS522" s="307"/>
      <c r="DT522" s="770"/>
      <c r="DU522" s="770"/>
      <c r="DV522" s="770"/>
      <c r="DW522" s="306"/>
      <c r="DX522" s="306"/>
      <c r="DY522" s="770"/>
      <c r="DZ522" s="770"/>
      <c r="EA522" s="770"/>
      <c r="EB522" s="770"/>
      <c r="EC522" s="770"/>
      <c r="ED522" s="770"/>
      <c r="EE522" s="770"/>
      <c r="EF522" s="770"/>
      <c r="EG522" s="770"/>
      <c r="EH522" s="770"/>
      <c r="EI522" s="770"/>
      <c r="EJ522" s="770"/>
      <c r="EK522" s="770"/>
      <c r="EL522" s="770"/>
      <c r="EM522" s="770"/>
      <c r="EN522" s="770"/>
      <c r="EO522" s="770"/>
      <c r="EP522" s="94"/>
      <c r="EQ522" s="770"/>
      <c r="ER522" s="770"/>
      <c r="ES522" s="770"/>
      <c r="ET522" s="770"/>
      <c r="EU522" s="770"/>
      <c r="EV522" s="770"/>
      <c r="EW522" s="770"/>
      <c r="EX522" s="770"/>
      <c r="EY522" s="770"/>
      <c r="EZ522" s="770"/>
      <c r="FA522" s="770"/>
      <c r="FB522" s="770"/>
      <c r="FC522" s="770"/>
      <c r="FD522" s="302"/>
      <c r="FE522" s="770"/>
      <c r="FF522" s="770"/>
      <c r="FG522" s="770"/>
      <c r="FH522" s="770"/>
      <c r="FI522" s="770"/>
      <c r="FJ522" s="770"/>
      <c r="FK522" s="770"/>
      <c r="FL522" s="770"/>
      <c r="FM522" s="775"/>
      <c r="FN522" s="775"/>
      <c r="FO522" s="775"/>
      <c r="FP522" s="770"/>
      <c r="FQ522" s="770"/>
      <c r="FR522" s="770" t="s">
        <v>1214</v>
      </c>
      <c r="FS522" s="770"/>
      <c r="FT522" s="770"/>
      <c r="FU522" s="770"/>
      <c r="FV522" s="770"/>
      <c r="FW522" s="770"/>
      <c r="FX522" s="770"/>
      <c r="FY522" s="770"/>
      <c r="FZ522" s="770"/>
      <c r="GA522" s="770"/>
      <c r="GB522" s="770"/>
      <c r="GC522" s="308"/>
      <c r="GD522" s="297"/>
      <c r="GE522" s="770"/>
      <c r="GF522" s="302"/>
      <c r="GG522" s="302"/>
      <c r="GH522" s="770"/>
      <c r="GI522" s="770"/>
      <c r="GJ522" s="770"/>
      <c r="GK522" s="770"/>
      <c r="GL522" s="770"/>
      <c r="GM522" s="770"/>
      <c r="GN522" s="299"/>
      <c r="GO522" s="770"/>
      <c r="GP522" s="770"/>
      <c r="GQ522" s="770"/>
      <c r="GR522" s="770"/>
      <c r="GS522" s="770"/>
      <c r="GT522" s="770"/>
      <c r="GU522" s="770"/>
      <c r="GV522" s="770"/>
      <c r="GW522" s="770"/>
      <c r="GX522" s="770"/>
      <c r="GY522" s="770"/>
      <c r="GZ522" s="770"/>
      <c r="HA522" s="770"/>
      <c r="HB522" s="770"/>
      <c r="HC522" s="770"/>
      <c r="HD522" s="770"/>
      <c r="HE522" s="770"/>
      <c r="HF522" s="770"/>
      <c r="HG522" s="770"/>
      <c r="HH522" s="770"/>
      <c r="HI522" s="770"/>
      <c r="HJ522" s="770"/>
      <c r="HK522" s="770"/>
      <c r="HL522" s="770"/>
      <c r="HM522" s="770"/>
      <c r="HN522" s="770"/>
      <c r="HO522" s="770"/>
      <c r="HP522" s="770"/>
      <c r="HQ522" s="770"/>
      <c r="HR522" s="770"/>
      <c r="HS522" s="770"/>
      <c r="HT522" s="770"/>
      <c r="HU522" s="770"/>
      <c r="HV522" s="770"/>
      <c r="HW522" s="770"/>
      <c r="HX522" s="770"/>
      <c r="HY522" s="770"/>
      <c r="HZ522" s="770"/>
      <c r="IA522" s="770"/>
      <c r="IB522" s="770" t="s">
        <v>1207</v>
      </c>
      <c r="IC522" s="770" t="s">
        <v>1207</v>
      </c>
      <c r="ID522" s="770">
        <v>1</v>
      </c>
      <c r="IE522" s="770"/>
      <c r="IF522" s="770"/>
      <c r="IG522" s="770"/>
      <c r="IH522" s="770"/>
      <c r="II522" s="770"/>
      <c r="IJ522" s="770"/>
      <c r="IK522" s="770"/>
      <c r="IL522" s="770"/>
      <c r="IM522" s="770"/>
      <c r="IN522" s="770"/>
      <c r="IO522" s="296"/>
      <c r="IP522" s="770"/>
      <c r="IQ522" s="770"/>
      <c r="IR522" s="770"/>
      <c r="IS522" s="770"/>
      <c r="IT522" s="770"/>
      <c r="IU522" s="770"/>
      <c r="IV522" s="770"/>
      <c r="IW522" s="770"/>
      <c r="IX522" s="770"/>
      <c r="IY522" s="770"/>
      <c r="IZ522" s="770"/>
      <c r="JA522" s="770"/>
      <c r="JB522" s="770"/>
      <c r="JC522" s="770"/>
      <c r="JD522" s="302"/>
      <c r="JE522" s="770"/>
      <c r="JF522" s="770"/>
      <c r="JG522" s="770"/>
      <c r="JH522" s="307"/>
      <c r="JI522" s="307"/>
      <c r="JJ522" s="770"/>
      <c r="JK522" s="770"/>
      <c r="JL522" s="770"/>
      <c r="JM522" s="770"/>
      <c r="JN522" s="770"/>
      <c r="JO522" s="770"/>
      <c r="JP522" s="770"/>
      <c r="JQ522" s="770"/>
      <c r="JR522" s="770"/>
      <c r="JS522" s="770"/>
      <c r="JT522" s="766"/>
      <c r="JU522" s="766"/>
      <c r="JV522" s="766"/>
      <c r="JW522" s="766"/>
      <c r="JX522" s="770"/>
      <c r="JY522" s="770"/>
      <c r="JZ522" s="770"/>
      <c r="KA522" s="770"/>
      <c r="KB522" s="770"/>
      <c r="KC522" s="770"/>
      <c r="KD522" s="770"/>
      <c r="KE522" s="770"/>
      <c r="KF522" s="770"/>
      <c r="KG522" s="770"/>
      <c r="KH522" s="770"/>
      <c r="KI522" s="770"/>
      <c r="KJ522" s="770"/>
      <c r="KK522" s="770"/>
      <c r="KL522" s="770"/>
      <c r="KM522" s="770"/>
      <c r="KN522" s="770"/>
      <c r="KO522" s="770"/>
      <c r="KP522" s="770"/>
      <c r="KQ522" s="770"/>
      <c r="KR522" s="770"/>
      <c r="KS522" s="770"/>
      <c r="KT522" s="770"/>
      <c r="KU522" s="770"/>
      <c r="KV522" s="770"/>
      <c r="KW522" s="770"/>
      <c r="KX522" s="770"/>
      <c r="KY522" s="770"/>
      <c r="KZ522" s="770"/>
      <c r="LA522" s="770"/>
      <c r="LB522" s="770"/>
      <c r="LC522" s="770"/>
      <c r="LD522" s="770"/>
      <c r="LE522" s="770"/>
      <c r="LF522" s="770"/>
      <c r="LG522" s="770"/>
      <c r="LH522" s="770"/>
      <c r="LI522" s="770"/>
      <c r="LJ522" s="770"/>
      <c r="LK522" s="770"/>
      <c r="LL522" s="770"/>
      <c r="LM522" s="770"/>
      <c r="LN522" s="766"/>
      <c r="LO522" s="766"/>
      <c r="LP522" s="770"/>
      <c r="LQ522" s="770"/>
      <c r="LR522" s="770"/>
      <c r="LS522" s="770"/>
      <c r="LT522" s="770"/>
      <c r="LU522" s="770"/>
      <c r="LV522" s="770"/>
      <c r="LW522" s="770"/>
      <c r="LX522" s="769"/>
      <c r="LY522" s="766" t="str">
        <f t="shared" si="135"/>
        <v/>
      </c>
      <c r="LZ522" s="1709"/>
      <c r="MA522" s="1709"/>
      <c r="MB522" s="1709"/>
      <c r="MC522" s="1679">
        <f t="shared" si="133"/>
        <v>0</v>
      </c>
      <c r="MD522" s="1709"/>
      <c r="ME522" s="1709"/>
      <c r="MF522" s="1709"/>
      <c r="MG522" s="1680">
        <f t="shared" si="149"/>
        <v>0</v>
      </c>
      <c r="MH522" s="770"/>
      <c r="MI522" s="302"/>
      <c r="MJ522" s="302"/>
      <c r="MK522" s="302"/>
      <c r="ML522" s="302"/>
      <c r="MM522" s="302"/>
      <c r="MN522" s="302"/>
      <c r="MO522" s="302"/>
      <c r="MP522" s="302"/>
      <c r="MQ522" s="302"/>
      <c r="MR522" s="302"/>
      <c r="MS522" s="302"/>
      <c r="MT522" s="302"/>
      <c r="MU522" s="302"/>
      <c r="MV522" s="302"/>
      <c r="MW522" s="302"/>
      <c r="MX522" s="302"/>
      <c r="MY522" s="1682">
        <f t="shared" si="147"/>
        <v>0</v>
      </c>
      <c r="MZ522" s="770"/>
      <c r="NA522" s="770"/>
      <c r="NB522" s="770"/>
      <c r="NC522" s="770"/>
      <c r="ND522" s="770"/>
      <c r="NE522" s="770"/>
      <c r="NF522" s="770"/>
      <c r="NG522" s="770"/>
      <c r="NH522" s="770"/>
      <c r="NI522" s="770"/>
      <c r="NJ522" s="770"/>
      <c r="NK522" s="770"/>
      <c r="NL522" s="770"/>
      <c r="NM522" s="770"/>
      <c r="NN522" s="770"/>
      <c r="NO522" s="770"/>
      <c r="NP522" s="770"/>
      <c r="NQ522" s="770"/>
      <c r="NR522" s="770"/>
      <c r="NS522" s="770"/>
      <c r="NT522" s="770"/>
      <c r="NU522" s="770"/>
      <c r="NV522" s="770"/>
      <c r="NW522" s="770"/>
      <c r="NX522" s="770"/>
      <c r="NY522" s="770"/>
      <c r="NZ522" s="770"/>
      <c r="OA522" s="770"/>
      <c r="OB522" s="770"/>
      <c r="OC522" s="770"/>
      <c r="OD522" s="770"/>
      <c r="OE522" s="770"/>
      <c r="OF522" s="770"/>
      <c r="OG522" s="770"/>
      <c r="OH522" s="770"/>
      <c r="OI522" s="770"/>
      <c r="OJ522" s="770"/>
      <c r="OK522" s="770"/>
      <c r="OL522" s="770"/>
      <c r="OM522" s="770"/>
      <c r="ON522" s="770"/>
      <c r="OO522" s="770"/>
      <c r="OP522" s="770"/>
      <c r="OQ522" s="770"/>
      <c r="OR522" s="770"/>
      <c r="OS522" s="770"/>
      <c r="OT522" s="770"/>
      <c r="OU522" s="770"/>
      <c r="OV522" s="770"/>
      <c r="OW522" s="770"/>
      <c r="OX522" s="770"/>
      <c r="OY522" s="770"/>
      <c r="OZ522" s="770"/>
      <c r="PA522" s="770"/>
      <c r="PB522" s="770"/>
      <c r="PC522" s="770"/>
      <c r="PD522" s="770"/>
      <c r="PE522" s="770"/>
      <c r="PF522" s="770"/>
      <c r="PG522" s="770"/>
      <c r="PH522" s="770"/>
      <c r="PI522" s="770"/>
      <c r="PJ522" s="770"/>
      <c r="PK522" s="770"/>
      <c r="PL522" s="770"/>
      <c r="PM522" s="770"/>
      <c r="PN522" s="770"/>
      <c r="PO522" s="770"/>
      <c r="PP522" s="770"/>
      <c r="PQ522" s="770"/>
      <c r="PR522" s="770"/>
      <c r="PS522" s="770"/>
      <c r="PT522" s="770"/>
      <c r="PU522" s="770"/>
      <c r="PV522" s="770"/>
      <c r="PW522" s="770"/>
      <c r="PX522" s="770"/>
      <c r="PY522" s="770"/>
      <c r="PZ522" s="770"/>
      <c r="QA522" s="770"/>
      <c r="QB522" s="770"/>
      <c r="QC522" s="770"/>
      <c r="QD522" s="770"/>
      <c r="QE522" s="770"/>
      <c r="QF522" s="770"/>
      <c r="QG522" s="770"/>
      <c r="QH522" s="770"/>
      <c r="QI522" s="770"/>
      <c r="QJ522" s="770"/>
      <c r="QK522" s="770"/>
      <c r="QL522" s="770"/>
      <c r="QM522" s="770"/>
      <c r="QN522" s="770"/>
      <c r="QO522" s="770"/>
      <c r="QP522" s="770"/>
      <c r="QQ522" s="770"/>
      <c r="QR522" s="770"/>
      <c r="QS522" s="770"/>
      <c r="QT522" s="770"/>
      <c r="QU522" s="770"/>
      <c r="QV522" s="770"/>
      <c r="QW522" s="770"/>
      <c r="QX522" s="770"/>
      <c r="QY522" s="770"/>
      <c r="QZ522" s="770"/>
      <c r="RA522" s="770"/>
      <c r="RB522" s="770"/>
      <c r="RC522" s="770"/>
      <c r="RD522" s="770"/>
      <c r="RE522" s="770"/>
      <c r="RF522" s="304"/>
      <c r="RG522" s="770"/>
      <c r="RH522" s="302"/>
      <c r="RI522" s="770"/>
      <c r="RJ522" s="770" t="s">
        <v>13688</v>
      </c>
      <c r="RK522" s="770" t="s">
        <v>13556</v>
      </c>
      <c r="RL522" s="1710"/>
      <c r="RM522" s="12"/>
      <c r="RN522" s="1711"/>
      <c r="RO522" s="133" t="s">
        <v>3466</v>
      </c>
      <c r="RP522" s="11"/>
      <c r="RQ522" s="11"/>
      <c r="RR522" s="17"/>
      <c r="RS522" s="767"/>
      <c r="RT522" s="11"/>
      <c r="RU522" s="11"/>
      <c r="RV522" s="771" t="s">
        <v>12353</v>
      </c>
      <c r="RW522" s="11" t="s">
        <v>7797</v>
      </c>
      <c r="RX522" s="11" t="s">
        <v>3667</v>
      </c>
      <c r="RY522" s="11"/>
      <c r="RZ522" s="11" t="s">
        <v>1101</v>
      </c>
      <c r="SA522" s="771"/>
      <c r="SB522" s="11"/>
      <c r="SC522" s="11"/>
    </row>
    <row r="523" spans="1:497" ht="12.75" hidden="1" customHeight="1">
      <c r="A523" s="343" t="s">
        <v>7419</v>
      </c>
      <c r="B523" s="752" t="s">
        <v>7801</v>
      </c>
      <c r="C523" s="133" t="s">
        <v>3671</v>
      </c>
      <c r="D523" s="94" t="s">
        <v>3674</v>
      </c>
      <c r="E523" s="766" t="s">
        <v>3627</v>
      </c>
      <c r="F523" s="770" t="s">
        <v>28</v>
      </c>
      <c r="G523" s="770" t="s">
        <v>18</v>
      </c>
      <c r="H523" s="770"/>
      <c r="I523" s="295"/>
      <c r="J523" s="94" t="s">
        <v>3674</v>
      </c>
      <c r="K523" s="766" t="s">
        <v>3476</v>
      </c>
      <c r="L523" s="766" t="s">
        <v>2286</v>
      </c>
      <c r="M523" s="770" t="s">
        <v>1238</v>
      </c>
      <c r="N523" s="770"/>
      <c r="O523" s="770" t="s">
        <v>3477</v>
      </c>
      <c r="P523" s="770" t="s">
        <v>3672</v>
      </c>
      <c r="Q523" s="1085">
        <v>21478</v>
      </c>
      <c r="R523" s="25">
        <v>58</v>
      </c>
      <c r="S523" s="770" t="s">
        <v>18</v>
      </c>
      <c r="T523" s="770"/>
      <c r="U523" s="295"/>
      <c r="V523" s="770" t="s">
        <v>707</v>
      </c>
      <c r="W523" s="770"/>
      <c r="X523" s="770"/>
      <c r="Y523" s="770" t="s">
        <v>3627</v>
      </c>
      <c r="Z523" s="770" t="s">
        <v>708</v>
      </c>
      <c r="AA523" s="770" t="s">
        <v>709</v>
      </c>
      <c r="AB523" s="770" t="s">
        <v>710</v>
      </c>
      <c r="AC523" s="770" t="s">
        <v>724</v>
      </c>
      <c r="AD523" s="770" t="s">
        <v>711</v>
      </c>
      <c r="AE523" s="770"/>
      <c r="AF523" s="770" t="s">
        <v>712</v>
      </c>
      <c r="AG523" s="766" t="s">
        <v>1095</v>
      </c>
      <c r="AH523" s="766" t="s">
        <v>1096</v>
      </c>
      <c r="AI523" s="770" t="s">
        <v>3294</v>
      </c>
      <c r="AJ523" s="770"/>
      <c r="AK523" s="770" t="s">
        <v>1097</v>
      </c>
      <c r="AL523" s="531">
        <v>10.73</v>
      </c>
      <c r="AM523" s="780">
        <v>5.4390000000000001</v>
      </c>
      <c r="AN523" s="532">
        <f>AM523/AL523</f>
        <v>0.50689655172413794</v>
      </c>
      <c r="AO523" s="766" t="s">
        <v>1105</v>
      </c>
      <c r="AP523" s="766" t="s">
        <v>5364</v>
      </c>
      <c r="AQ523" s="766" t="s">
        <v>7418</v>
      </c>
      <c r="AR523" s="766"/>
      <c r="AS523" s="769"/>
      <c r="AT523" s="770"/>
      <c r="AU523" s="770"/>
      <c r="AV523" s="770"/>
      <c r="AW523" s="770"/>
      <c r="AX523" s="770"/>
      <c r="AY523" s="770"/>
      <c r="AZ523" s="770"/>
      <c r="BA523" s="770"/>
      <c r="BB523" s="770"/>
      <c r="BC523" s="770"/>
      <c r="BD523" s="770"/>
      <c r="BE523" s="770"/>
      <c r="BF523" s="302"/>
      <c r="BG523" s="302"/>
      <c r="BH523" s="770"/>
      <c r="BI523" s="770"/>
      <c r="BJ523" s="770"/>
      <c r="BK523" s="770" t="s">
        <v>1095</v>
      </c>
      <c r="BL523" s="770" t="s">
        <v>3675</v>
      </c>
      <c r="BM523" s="766" t="s">
        <v>1096</v>
      </c>
      <c r="BN523" s="766" t="s">
        <v>1230</v>
      </c>
      <c r="BO523" s="766" t="s">
        <v>1239</v>
      </c>
      <c r="BP523" s="765">
        <v>21.46</v>
      </c>
      <c r="BQ523" s="773">
        <v>10.878</v>
      </c>
      <c r="BR523" s="774">
        <f t="shared" ref="BR523:BR530" si="151">BQ523/BP523</f>
        <v>0.50689655172413794</v>
      </c>
      <c r="BS523" s="766" t="s">
        <v>1105</v>
      </c>
      <c r="BT523" s="766" t="s">
        <v>2040</v>
      </c>
      <c r="BU523" s="770" t="s">
        <v>1249</v>
      </c>
      <c r="BV523" s="769"/>
      <c r="BW523" s="770" t="s">
        <v>2746</v>
      </c>
      <c r="BX523" s="302"/>
      <c r="BY523" s="770"/>
      <c r="BZ523" s="302"/>
      <c r="CA523" s="770"/>
      <c r="CB523" s="770" t="s">
        <v>1207</v>
      </c>
      <c r="CC523" s="770" t="s">
        <v>3672</v>
      </c>
      <c r="CD523" s="770"/>
      <c r="CE523" s="770"/>
      <c r="CF523" s="1753">
        <v>1.5</v>
      </c>
      <c r="CG523" s="1754">
        <v>6</v>
      </c>
      <c r="CH523" s="770" t="s">
        <v>1291</v>
      </c>
      <c r="CI523" s="770"/>
      <c r="CJ523" s="770"/>
      <c r="CK523" s="770">
        <v>5</v>
      </c>
      <c r="CL523" s="770" t="s">
        <v>1249</v>
      </c>
      <c r="CM523" s="770"/>
      <c r="CN523" s="770"/>
      <c r="CO523" s="770"/>
      <c r="CP523" s="770"/>
      <c r="CQ523" s="770"/>
      <c r="CR523" s="302"/>
      <c r="CS523" s="770"/>
      <c r="CT523" s="770"/>
      <c r="CU523" s="305"/>
      <c r="CV523" s="770"/>
      <c r="CW523" s="770"/>
      <c r="CX523" s="770"/>
      <c r="CY523" s="770"/>
      <c r="CZ523" s="770"/>
      <c r="DA523" s="306"/>
      <c r="DB523" s="770"/>
      <c r="DC523" s="770"/>
      <c r="DD523" s="770"/>
      <c r="DE523" s="300"/>
      <c r="DF523" s="770"/>
      <c r="DG523" s="770"/>
      <c r="DH523" s="770"/>
      <c r="DI523" s="770"/>
      <c r="DJ523" s="770"/>
      <c r="DK523" s="770"/>
      <c r="DL523" s="770"/>
      <c r="DM523" s="770"/>
      <c r="DN523" s="322"/>
      <c r="DO523" s="770"/>
      <c r="DP523" s="770"/>
      <c r="DQ523" s="770"/>
      <c r="DR523" s="770"/>
      <c r="DS523" s="307"/>
      <c r="DT523" s="770"/>
      <c r="DU523" s="770"/>
      <c r="DV523" s="770"/>
      <c r="DW523" s="306"/>
      <c r="DX523" s="306"/>
      <c r="DY523" s="770"/>
      <c r="DZ523" s="770"/>
      <c r="EA523" s="770"/>
      <c r="EB523" s="770"/>
      <c r="EC523" s="770"/>
      <c r="ED523" s="770"/>
      <c r="EE523" s="770"/>
      <c r="EF523" s="770"/>
      <c r="EG523" s="770"/>
      <c r="EH523" s="770"/>
      <c r="EI523" s="770"/>
      <c r="EJ523" s="770"/>
      <c r="EK523" s="770"/>
      <c r="EL523" s="770"/>
      <c r="EM523" s="770"/>
      <c r="EN523" s="770"/>
      <c r="EO523" s="770"/>
      <c r="EP523" s="94"/>
      <c r="EQ523" s="770"/>
      <c r="ER523" s="770"/>
      <c r="ES523" s="770"/>
      <c r="ET523" s="770"/>
      <c r="EU523" s="770"/>
      <c r="EV523" s="770"/>
      <c r="EW523" s="770"/>
      <c r="EX523" s="770"/>
      <c r="EY523" s="770"/>
      <c r="EZ523" s="770"/>
      <c r="FA523" s="770"/>
      <c r="FB523" s="770"/>
      <c r="FC523" s="770"/>
      <c r="FD523" s="302"/>
      <c r="FE523" s="770"/>
      <c r="FF523" s="770"/>
      <c r="FG523" s="770"/>
      <c r="FH523" s="770" t="s">
        <v>478</v>
      </c>
      <c r="FI523" s="770">
        <v>1</v>
      </c>
      <c r="FJ523" s="770"/>
      <c r="FK523" s="770"/>
      <c r="FL523" s="770"/>
      <c r="FM523" s="775"/>
      <c r="FN523" s="775"/>
      <c r="FO523" s="775"/>
      <c r="FP523" s="770" t="s">
        <v>1602</v>
      </c>
      <c r="FQ523" s="770" t="s">
        <v>1660</v>
      </c>
      <c r="FR523" s="770" t="s">
        <v>1214</v>
      </c>
      <c r="FS523" s="770"/>
      <c r="FT523" s="770"/>
      <c r="FU523" s="770"/>
      <c r="FV523" s="770"/>
      <c r="FW523" s="770"/>
      <c r="FX523" s="770"/>
      <c r="FY523" s="770"/>
      <c r="FZ523" s="770"/>
      <c r="GA523" s="770"/>
      <c r="GB523" s="770"/>
      <c r="GC523" s="308"/>
      <c r="GD523" s="297"/>
      <c r="GE523" s="770" t="s">
        <v>1214</v>
      </c>
      <c r="GF523" s="302"/>
      <c r="GG523" s="302"/>
      <c r="GH523" s="1774" t="s">
        <v>1791</v>
      </c>
      <c r="GI523" s="770" t="s">
        <v>2352</v>
      </c>
      <c r="GJ523" s="770"/>
      <c r="GK523" s="770" t="s">
        <v>2345</v>
      </c>
      <c r="GL523" s="770"/>
      <c r="GM523" s="770" t="s">
        <v>2976</v>
      </c>
      <c r="GN523" s="299">
        <v>100</v>
      </c>
      <c r="GO523" s="770" t="s">
        <v>3673</v>
      </c>
      <c r="GP523" s="770"/>
      <c r="GQ523" s="770" t="s">
        <v>1208</v>
      </c>
      <c r="GR523" s="770" t="s">
        <v>1208</v>
      </c>
      <c r="GS523" s="770"/>
      <c r="GT523" s="770"/>
      <c r="GU523" s="770"/>
      <c r="GV523" s="770"/>
      <c r="GW523" s="770" t="s">
        <v>1207</v>
      </c>
      <c r="GX523" s="770"/>
      <c r="GY523" s="770"/>
      <c r="GZ523" s="770" t="s">
        <v>1208</v>
      </c>
      <c r="HA523" s="770" t="s">
        <v>1208</v>
      </c>
      <c r="HB523" s="770"/>
      <c r="HC523" s="770"/>
      <c r="HD523" s="770"/>
      <c r="HE523" s="770" t="s">
        <v>1208</v>
      </c>
      <c r="HF523" s="770"/>
      <c r="HG523" s="770"/>
      <c r="HH523" s="770"/>
      <c r="HI523" s="770" t="s">
        <v>1214</v>
      </c>
      <c r="HJ523" s="770"/>
      <c r="HK523" s="770"/>
      <c r="HL523" s="770" t="s">
        <v>1214</v>
      </c>
      <c r="HM523" s="770"/>
      <c r="HN523" s="770"/>
      <c r="HO523" s="770"/>
      <c r="HP523" s="770"/>
      <c r="HQ523" s="770"/>
      <c r="HR523" s="770"/>
      <c r="HS523" s="770"/>
      <c r="HT523" s="770"/>
      <c r="HU523" s="770"/>
      <c r="HV523" s="770"/>
      <c r="HW523" s="770"/>
      <c r="HX523" s="770"/>
      <c r="HY523" s="770"/>
      <c r="HZ523" s="770"/>
      <c r="IA523" s="770"/>
      <c r="IB523" s="770" t="s">
        <v>1207</v>
      </c>
      <c r="IC523" s="770" t="s">
        <v>1207</v>
      </c>
      <c r="ID523" s="770"/>
      <c r="IE523" s="770"/>
      <c r="IF523" s="770"/>
      <c r="IG523" s="770"/>
      <c r="IH523" s="770"/>
      <c r="II523" s="770"/>
      <c r="IJ523" s="770"/>
      <c r="IK523" s="770"/>
      <c r="IL523" s="770"/>
      <c r="IM523" s="770"/>
      <c r="IN523" s="770"/>
      <c r="IO523" s="296"/>
      <c r="IP523" s="770"/>
      <c r="IQ523" s="770"/>
      <c r="IR523" s="770"/>
      <c r="IS523" s="770"/>
      <c r="IT523" s="770"/>
      <c r="IU523" s="770"/>
      <c r="IV523" s="770"/>
      <c r="IW523" s="770"/>
      <c r="IX523" s="770"/>
      <c r="IY523" s="770"/>
      <c r="IZ523" s="770"/>
      <c r="JA523" s="770"/>
      <c r="JB523" s="770"/>
      <c r="JC523" s="770"/>
      <c r="JD523" s="302"/>
      <c r="JE523" s="770"/>
      <c r="JF523" s="770"/>
      <c r="JG523" s="770"/>
      <c r="JH523" s="307"/>
      <c r="JI523" s="307"/>
      <c r="JJ523" s="770">
        <v>2</v>
      </c>
      <c r="JK523" s="770" t="s">
        <v>3675</v>
      </c>
      <c r="JL523" s="770"/>
      <c r="JM523" s="770"/>
      <c r="JN523" s="770">
        <v>1</v>
      </c>
      <c r="JO523" s="770">
        <v>1</v>
      </c>
      <c r="JP523" s="770"/>
      <c r="JQ523" s="770"/>
      <c r="JR523" s="770"/>
      <c r="JS523" s="770"/>
      <c r="JT523" s="766">
        <f t="shared" ref="JT523:JU529" si="152">SUM(JP523,JN523,JL523,JR523)</f>
        <v>1</v>
      </c>
      <c r="JU523" s="766">
        <f t="shared" si="152"/>
        <v>1</v>
      </c>
      <c r="JV523" s="766"/>
      <c r="JW523" s="766"/>
      <c r="JX523" s="770"/>
      <c r="JY523" s="770"/>
      <c r="JZ523" s="770"/>
      <c r="KA523" s="770"/>
      <c r="KB523" s="770"/>
      <c r="KC523" s="770"/>
      <c r="KD523" s="770">
        <v>1</v>
      </c>
      <c r="KE523" s="770">
        <v>1</v>
      </c>
      <c r="KF523" s="770"/>
      <c r="KG523" s="770"/>
      <c r="KH523" s="770"/>
      <c r="KI523" s="770"/>
      <c r="KJ523" s="770">
        <f t="shared" si="126"/>
        <v>1</v>
      </c>
      <c r="KK523" s="770">
        <f t="shared" si="126"/>
        <v>1</v>
      </c>
      <c r="KL523" s="770"/>
      <c r="KM523" s="770"/>
      <c r="KN523" s="770" t="s">
        <v>707</v>
      </c>
      <c r="KO523" s="770"/>
      <c r="KP523" s="770"/>
      <c r="KQ523" s="770"/>
      <c r="KR523" s="770"/>
      <c r="KS523" s="770"/>
      <c r="KT523" s="770"/>
      <c r="KU523" s="770"/>
      <c r="KV523" s="770"/>
      <c r="KW523" s="770"/>
      <c r="KX523" s="770"/>
      <c r="KY523" s="770">
        <v>1</v>
      </c>
      <c r="KZ523" s="770"/>
      <c r="LA523" s="770"/>
      <c r="LB523" s="770"/>
      <c r="LC523" s="770"/>
      <c r="LD523" s="770">
        <v>1</v>
      </c>
      <c r="LE523" s="770"/>
      <c r="LF523" s="770"/>
      <c r="LG523" s="770"/>
      <c r="LH523" s="770"/>
      <c r="LI523" s="770"/>
      <c r="LJ523" s="770"/>
      <c r="LK523" s="770"/>
      <c r="LL523" s="770"/>
      <c r="LM523" s="770"/>
      <c r="LN523" s="766">
        <f t="shared" si="134"/>
        <v>1</v>
      </c>
      <c r="LO523" s="766">
        <f t="shared" si="134"/>
        <v>1</v>
      </c>
      <c r="LP523" s="770">
        <v>2</v>
      </c>
      <c r="LQ523" s="770">
        <v>1</v>
      </c>
      <c r="LR523" s="770"/>
      <c r="LS523" s="770">
        <v>1</v>
      </c>
      <c r="LT523" s="770"/>
      <c r="LU523" s="770"/>
      <c r="LV523" s="770">
        <v>1</v>
      </c>
      <c r="LW523" s="770"/>
      <c r="LX523" s="769">
        <v>3</v>
      </c>
      <c r="LY523" s="766" t="str">
        <f t="shared" si="135"/>
        <v>within the PROVINCE</v>
      </c>
      <c r="LZ523" s="1709">
        <v>3000</v>
      </c>
      <c r="MA523" s="1709"/>
      <c r="MB523" s="1709"/>
      <c r="MC523" s="1679">
        <f t="shared" si="133"/>
        <v>3000</v>
      </c>
      <c r="MD523" s="1709">
        <v>8000</v>
      </c>
      <c r="ME523" s="1709"/>
      <c r="MF523" s="1709">
        <v>500</v>
      </c>
      <c r="MG523" s="1680">
        <f t="shared" si="149"/>
        <v>8500</v>
      </c>
      <c r="MH523" s="770" t="s">
        <v>13689</v>
      </c>
      <c r="MI523" s="302">
        <v>6000</v>
      </c>
      <c r="MJ523" s="302">
        <v>3000</v>
      </c>
      <c r="MK523" s="302">
        <v>1000</v>
      </c>
      <c r="ML523" s="302"/>
      <c r="MM523" s="302"/>
      <c r="MN523" s="302"/>
      <c r="MO523" s="302"/>
      <c r="MP523" s="302">
        <v>1000</v>
      </c>
      <c r="MQ523" s="302">
        <v>280</v>
      </c>
      <c r="MR523" s="302">
        <v>200</v>
      </c>
      <c r="MS523" s="302">
        <v>600</v>
      </c>
      <c r="MT523" s="302"/>
      <c r="MU523" s="302"/>
      <c r="MV523" s="302"/>
      <c r="MW523" s="302"/>
      <c r="MX523" s="302"/>
      <c r="MY523" s="1682">
        <f t="shared" si="147"/>
        <v>12080</v>
      </c>
      <c r="MZ523" s="770" t="s">
        <v>13395</v>
      </c>
      <c r="NA523" s="770" t="s">
        <v>13005</v>
      </c>
      <c r="NB523" s="770" t="s">
        <v>13016</v>
      </c>
      <c r="NC523" s="770" t="s">
        <v>13621</v>
      </c>
      <c r="ND523" s="770">
        <v>0</v>
      </c>
      <c r="NE523" s="770">
        <v>0</v>
      </c>
      <c r="NF523" s="770">
        <v>0</v>
      </c>
      <c r="NG523" s="770">
        <v>1</v>
      </c>
      <c r="NH523" s="770">
        <v>1</v>
      </c>
      <c r="NI523" s="770">
        <v>1</v>
      </c>
      <c r="NJ523" s="770">
        <v>0</v>
      </c>
      <c r="NK523" s="770">
        <v>0</v>
      </c>
      <c r="NL523" s="770">
        <v>1</v>
      </c>
      <c r="NM523" s="770">
        <v>1</v>
      </c>
      <c r="NN523" s="770">
        <v>0</v>
      </c>
      <c r="NO523" s="770">
        <v>0</v>
      </c>
      <c r="NP523" s="770">
        <v>0</v>
      </c>
      <c r="NQ523" s="770">
        <v>0</v>
      </c>
      <c r="NR523" s="770">
        <v>0</v>
      </c>
      <c r="NS523" s="770">
        <v>0</v>
      </c>
      <c r="NT523" s="770">
        <v>0</v>
      </c>
      <c r="NU523" s="770">
        <v>0</v>
      </c>
      <c r="NV523" s="770">
        <v>0</v>
      </c>
      <c r="NW523" s="770">
        <v>0</v>
      </c>
      <c r="NX523" s="770">
        <v>0</v>
      </c>
      <c r="NY523" s="770" t="s">
        <v>1208</v>
      </c>
      <c r="NZ523" s="770" t="s">
        <v>1208</v>
      </c>
      <c r="OA523" s="770"/>
      <c r="OB523" s="770" t="s">
        <v>1208</v>
      </c>
      <c r="OC523" s="770" t="s">
        <v>1208</v>
      </c>
      <c r="OD523" s="770" t="s">
        <v>1208</v>
      </c>
      <c r="OE523" s="770"/>
      <c r="OF523" s="770"/>
      <c r="OG523" s="770"/>
      <c r="OH523" s="770"/>
      <c r="OI523" s="770"/>
      <c r="OJ523" s="770"/>
      <c r="OK523" s="770"/>
      <c r="OL523" s="770"/>
      <c r="OM523" s="770"/>
      <c r="ON523" s="770"/>
      <c r="OO523" s="770"/>
      <c r="OP523" s="770"/>
      <c r="OQ523" s="770"/>
      <c r="OR523" s="770"/>
      <c r="OS523" s="770"/>
      <c r="OT523" s="770"/>
      <c r="OU523" s="770"/>
      <c r="OV523" s="770"/>
      <c r="OW523" s="770"/>
      <c r="OX523" s="770"/>
      <c r="OY523" s="770"/>
      <c r="OZ523" s="770"/>
      <c r="PA523" s="770"/>
      <c r="PB523" s="770"/>
      <c r="PC523" s="770"/>
      <c r="PD523" s="770"/>
      <c r="PE523" s="770"/>
      <c r="PF523" s="770"/>
      <c r="PG523" s="770"/>
      <c r="PH523" s="770"/>
      <c r="PI523" s="770"/>
      <c r="PJ523" s="770"/>
      <c r="PK523" s="770"/>
      <c r="PL523" s="770" t="s">
        <v>1208</v>
      </c>
      <c r="PM523" s="770"/>
      <c r="PN523" s="770"/>
      <c r="PO523" s="770"/>
      <c r="PP523" s="770"/>
      <c r="PQ523" s="770"/>
      <c r="PR523" s="770"/>
      <c r="PS523" s="770"/>
      <c r="PT523" s="770"/>
      <c r="PU523" s="770"/>
      <c r="PV523" s="770"/>
      <c r="PW523" s="770"/>
      <c r="PX523" s="770"/>
      <c r="PY523" s="770"/>
      <c r="PZ523" s="770"/>
      <c r="QA523" s="770"/>
      <c r="QB523" s="770"/>
      <c r="QC523" s="770"/>
      <c r="QD523" s="770"/>
      <c r="QE523" s="770"/>
      <c r="QF523" s="770"/>
      <c r="QG523" s="770"/>
      <c r="QH523" s="770"/>
      <c r="QI523" s="770"/>
      <c r="QJ523" s="770"/>
      <c r="QK523" s="770"/>
      <c r="QL523" s="770"/>
      <c r="QM523" s="770"/>
      <c r="QN523" s="770"/>
      <c r="QO523" s="770"/>
      <c r="QP523" s="770"/>
      <c r="QQ523" s="770"/>
      <c r="QR523" s="770"/>
      <c r="QS523" s="770"/>
      <c r="QT523" s="770"/>
      <c r="QU523" s="770"/>
      <c r="QV523" s="770"/>
      <c r="QW523" s="770"/>
      <c r="QX523" s="770"/>
      <c r="QY523" s="770"/>
      <c r="QZ523" s="770"/>
      <c r="RA523" s="770"/>
      <c r="RB523" s="770"/>
      <c r="RC523" s="770"/>
      <c r="RD523" s="770"/>
      <c r="RE523" s="770"/>
      <c r="RF523" s="304"/>
      <c r="RG523" s="770"/>
      <c r="RH523" s="302"/>
      <c r="RI523" s="770"/>
      <c r="RJ523" s="770" t="s">
        <v>13690</v>
      </c>
      <c r="RK523" s="770" t="s">
        <v>13550</v>
      </c>
      <c r="RL523" s="1710"/>
      <c r="RM523" s="12"/>
      <c r="RN523" s="1711"/>
      <c r="RO523" s="133" t="s">
        <v>3671</v>
      </c>
      <c r="RP523" s="11"/>
      <c r="RQ523" s="11"/>
      <c r="RR523" s="17"/>
      <c r="RS523" s="767"/>
      <c r="RT523" s="11"/>
      <c r="RU523" s="11"/>
      <c r="RV523" s="771" t="s">
        <v>12353</v>
      </c>
      <c r="RW523" s="11" t="s">
        <v>7798</v>
      </c>
      <c r="RX523" s="11" t="s">
        <v>3457</v>
      </c>
      <c r="RY523" s="11"/>
      <c r="RZ523" s="11" t="s">
        <v>1101</v>
      </c>
      <c r="SA523" s="771"/>
      <c r="SB523" s="11"/>
      <c r="SC523" s="11"/>
    </row>
    <row r="524" spans="1:497" ht="12.75" hidden="1" customHeight="1">
      <c r="A524" s="343" t="s">
        <v>14211</v>
      </c>
      <c r="B524" s="752" t="s">
        <v>7800</v>
      </c>
      <c r="C524" s="133" t="s">
        <v>3471</v>
      </c>
      <c r="D524" s="94" t="s">
        <v>3473</v>
      </c>
      <c r="E524" s="766" t="s">
        <v>3629</v>
      </c>
      <c r="F524" s="770" t="s">
        <v>28</v>
      </c>
      <c r="G524" s="770" t="s">
        <v>10</v>
      </c>
      <c r="H524" s="770"/>
      <c r="I524" s="295" t="s">
        <v>3475</v>
      </c>
      <c r="J524" s="94" t="s">
        <v>3473</v>
      </c>
      <c r="K524" s="766" t="s">
        <v>3476</v>
      </c>
      <c r="L524" s="766" t="s">
        <v>2286</v>
      </c>
      <c r="M524" s="770" t="s">
        <v>1238</v>
      </c>
      <c r="N524" s="770"/>
      <c r="O524" s="770" t="s">
        <v>3477</v>
      </c>
      <c r="P524" s="94" t="s">
        <v>3472</v>
      </c>
      <c r="Q524" s="1085">
        <v>30543</v>
      </c>
      <c r="R524" s="25">
        <v>33</v>
      </c>
      <c r="S524" s="770" t="s">
        <v>10</v>
      </c>
      <c r="T524" s="770"/>
      <c r="U524" s="295" t="s">
        <v>3475</v>
      </c>
      <c r="V524" s="770" t="s">
        <v>707</v>
      </c>
      <c r="W524" s="770"/>
      <c r="X524" s="770"/>
      <c r="Y524" s="770" t="s">
        <v>3629</v>
      </c>
      <c r="Z524" s="770" t="s">
        <v>708</v>
      </c>
      <c r="AA524" s="94" t="s">
        <v>709</v>
      </c>
      <c r="AB524" s="770" t="s">
        <v>710</v>
      </c>
      <c r="AC524" s="770"/>
      <c r="AD524" s="770" t="s">
        <v>711</v>
      </c>
      <c r="AE524" s="770"/>
      <c r="AF524" s="770" t="s">
        <v>712</v>
      </c>
      <c r="AG524" s="770"/>
      <c r="AH524" s="770"/>
      <c r="AI524" s="770"/>
      <c r="AJ524" s="770"/>
      <c r="AK524" s="770" t="s">
        <v>5454</v>
      </c>
      <c r="AL524" s="531"/>
      <c r="AM524" s="780"/>
      <c r="AN524" s="532"/>
      <c r="AO524" s="766"/>
      <c r="AP524" s="766"/>
      <c r="AQ524" s="766"/>
      <c r="AR524" s="766"/>
      <c r="AS524" s="769"/>
      <c r="AT524" s="770"/>
      <c r="AU524" s="770"/>
      <c r="AV524" s="770"/>
      <c r="AW524" s="770"/>
      <c r="AX524" s="770"/>
      <c r="AY524" s="770"/>
      <c r="AZ524" s="770"/>
      <c r="BA524" s="770"/>
      <c r="BB524" s="770"/>
      <c r="BC524" s="770"/>
      <c r="BD524" s="770"/>
      <c r="BE524" s="770"/>
      <c r="BF524" s="302"/>
      <c r="BG524" s="302"/>
      <c r="BH524" s="770"/>
      <c r="BI524" s="770"/>
      <c r="BJ524" s="770"/>
      <c r="BK524" s="770"/>
      <c r="BL524" s="770"/>
      <c r="BM524" s="766" t="s">
        <v>1238</v>
      </c>
      <c r="BN524" s="766" t="s">
        <v>3230</v>
      </c>
      <c r="BO524" s="766"/>
      <c r="BP524" s="765"/>
      <c r="BQ524" s="773"/>
      <c r="BR524" s="774"/>
      <c r="BS524" s="766" t="s">
        <v>1105</v>
      </c>
      <c r="BT524" s="766"/>
      <c r="BU524" s="770"/>
      <c r="BV524" s="770"/>
      <c r="BW524" s="769"/>
      <c r="BX524" s="302"/>
      <c r="BY524" s="770"/>
      <c r="BZ524" s="302"/>
      <c r="CA524" s="770"/>
      <c r="CB524" s="770"/>
      <c r="CC524" s="770"/>
      <c r="CD524" s="770"/>
      <c r="CE524" s="770"/>
      <c r="CF524" s="1753"/>
      <c r="CG524" s="1754"/>
      <c r="CH524" s="770"/>
      <c r="CI524" s="770"/>
      <c r="CJ524" s="770"/>
      <c r="CK524" s="770"/>
      <c r="CL524" s="770"/>
      <c r="CM524" s="770"/>
      <c r="CN524" s="770"/>
      <c r="CO524" s="770"/>
      <c r="CP524" s="770"/>
      <c r="CQ524" s="770"/>
      <c r="CR524" s="302"/>
      <c r="CS524" s="770"/>
      <c r="CT524" s="770"/>
      <c r="CU524" s="305"/>
      <c r="CV524" s="770"/>
      <c r="CW524" s="770"/>
      <c r="CX524" s="770"/>
      <c r="CY524" s="770"/>
      <c r="CZ524" s="770"/>
      <c r="DA524" s="306"/>
      <c r="DB524" s="770"/>
      <c r="DC524" s="770"/>
      <c r="DD524" s="770"/>
      <c r="DE524" s="300"/>
      <c r="DF524" s="770"/>
      <c r="DG524" s="770"/>
      <c r="DH524" s="770"/>
      <c r="DI524" s="770"/>
      <c r="DJ524" s="770"/>
      <c r="DK524" s="770"/>
      <c r="DL524" s="770"/>
      <c r="DM524" s="770"/>
      <c r="DN524" s="322"/>
      <c r="DO524" s="770"/>
      <c r="DP524" s="770"/>
      <c r="DQ524" s="770"/>
      <c r="DR524" s="770"/>
      <c r="DS524" s="307"/>
      <c r="DT524" s="770"/>
      <c r="DU524" s="770"/>
      <c r="DV524" s="770"/>
      <c r="DW524" s="306"/>
      <c r="DX524" s="306"/>
      <c r="DY524" s="770"/>
      <c r="DZ524" s="770"/>
      <c r="EA524" s="770"/>
      <c r="EB524" s="770"/>
      <c r="EC524" s="770"/>
      <c r="ED524" s="770"/>
      <c r="EE524" s="770"/>
      <c r="EF524" s="770"/>
      <c r="EG524" s="770"/>
      <c r="EH524" s="770"/>
      <c r="EI524" s="770"/>
      <c r="EJ524" s="770"/>
      <c r="EK524" s="770"/>
      <c r="EL524" s="770"/>
      <c r="EM524" s="770"/>
      <c r="EN524" s="770"/>
      <c r="EO524" s="770"/>
      <c r="EP524" s="94"/>
      <c r="EQ524" s="770"/>
      <c r="ER524" s="770"/>
      <c r="ES524" s="770"/>
      <c r="ET524" s="770"/>
      <c r="EU524" s="770"/>
      <c r="EV524" s="770"/>
      <c r="EW524" s="770"/>
      <c r="EX524" s="770"/>
      <c r="EY524" s="770"/>
      <c r="EZ524" s="770"/>
      <c r="FA524" s="770"/>
      <c r="FB524" s="770"/>
      <c r="FC524" s="770"/>
      <c r="FD524" s="302"/>
      <c r="FE524" s="770"/>
      <c r="FF524" s="770"/>
      <c r="FG524" s="770"/>
      <c r="FH524" s="770" t="s">
        <v>3230</v>
      </c>
      <c r="FI524" s="770"/>
      <c r="FJ524" s="770" t="s">
        <v>3675</v>
      </c>
      <c r="FK524" s="770"/>
      <c r="FL524" s="770" t="s">
        <v>3474</v>
      </c>
      <c r="FM524" s="775"/>
      <c r="FN524" s="775"/>
      <c r="FO524" s="775"/>
      <c r="FP524" s="766" t="s">
        <v>1602</v>
      </c>
      <c r="FQ524" s="766" t="s">
        <v>1660</v>
      </c>
      <c r="FR524" s="770" t="s">
        <v>1214</v>
      </c>
      <c r="FS524" s="770"/>
      <c r="FT524" s="770"/>
      <c r="FU524" s="770"/>
      <c r="FV524" s="770"/>
      <c r="FW524" s="770"/>
      <c r="FX524" s="770"/>
      <c r="FY524" s="770"/>
      <c r="FZ524" s="770"/>
      <c r="GA524" s="770"/>
      <c r="GB524" s="770" t="s">
        <v>1734</v>
      </c>
      <c r="GC524" s="308"/>
      <c r="GD524" s="297">
        <v>2009</v>
      </c>
      <c r="GE524" s="770"/>
      <c r="GF524" s="302"/>
      <c r="GG524" s="302"/>
      <c r="GH524" s="766" t="s">
        <v>14260</v>
      </c>
      <c r="GI524" s="770"/>
      <c r="GJ524" s="770"/>
      <c r="GK524" s="770"/>
      <c r="GL524" s="770"/>
      <c r="GM524" s="770"/>
      <c r="GN524" s="299"/>
      <c r="GO524" s="770"/>
      <c r="GP524" s="770"/>
      <c r="GQ524" s="770"/>
      <c r="GR524" s="770"/>
      <c r="GS524" s="770"/>
      <c r="GT524" s="770"/>
      <c r="GU524" s="770"/>
      <c r="GV524" s="770"/>
      <c r="GW524" s="770"/>
      <c r="GX524" s="770"/>
      <c r="GY524" s="770"/>
      <c r="GZ524" s="770"/>
      <c r="HA524" s="770"/>
      <c r="HB524" s="770"/>
      <c r="HC524" s="770"/>
      <c r="HD524" s="770"/>
      <c r="HE524" s="770"/>
      <c r="HF524" s="770"/>
      <c r="HG524" s="770"/>
      <c r="HH524" s="770"/>
      <c r="HI524" s="770" t="s">
        <v>1214</v>
      </c>
      <c r="HJ524" s="770"/>
      <c r="HK524" s="770"/>
      <c r="HL524" s="770" t="s">
        <v>1214</v>
      </c>
      <c r="HM524" s="770"/>
      <c r="HN524" s="770"/>
      <c r="HO524" s="770"/>
      <c r="HP524" s="770"/>
      <c r="HQ524" s="770"/>
      <c r="HR524" s="770"/>
      <c r="HS524" s="770"/>
      <c r="HT524" s="770"/>
      <c r="HU524" s="770"/>
      <c r="HV524" s="770"/>
      <c r="HW524" s="770"/>
      <c r="HX524" s="770"/>
      <c r="HY524" s="770"/>
      <c r="HZ524" s="770"/>
      <c r="IA524" s="770"/>
      <c r="IB524" s="14" t="e">
        <f>IF(#REF!&gt;0,IF(#REF!&lt;=10000,"Y",""),"")</f>
        <v>#REF!</v>
      </c>
      <c r="IC524" s="770"/>
      <c r="ID524" s="770"/>
      <c r="IE524" s="770"/>
      <c r="IF524" s="770"/>
      <c r="IG524" s="770"/>
      <c r="IH524" s="770"/>
      <c r="II524" s="770"/>
      <c r="IJ524" s="770"/>
      <c r="IK524" s="770"/>
      <c r="IL524" s="770"/>
      <c r="IM524" s="770"/>
      <c r="IN524" s="770"/>
      <c r="IO524" s="296"/>
      <c r="IP524" s="770"/>
      <c r="IQ524" s="770"/>
      <c r="IR524" s="770"/>
      <c r="IS524" s="770"/>
      <c r="IT524" s="770"/>
      <c r="IU524" s="770"/>
      <c r="IV524" s="770"/>
      <c r="IW524" s="770"/>
      <c r="IX524" s="770"/>
      <c r="IY524" s="770"/>
      <c r="IZ524" s="770"/>
      <c r="JA524" s="770"/>
      <c r="JB524" s="770"/>
      <c r="JC524" s="770"/>
      <c r="JD524" s="302"/>
      <c r="JE524" s="770"/>
      <c r="JF524" s="770"/>
      <c r="JG524" s="770"/>
      <c r="JH524" s="307"/>
      <c r="JI524" s="307"/>
      <c r="JJ524" s="770">
        <v>5</v>
      </c>
      <c r="JK524" s="1139" t="s">
        <v>3478</v>
      </c>
      <c r="JL524" s="770">
        <v>2</v>
      </c>
      <c r="JM524" s="770">
        <v>1</v>
      </c>
      <c r="JN524" s="770">
        <v>1</v>
      </c>
      <c r="JO524" s="770">
        <v>1</v>
      </c>
      <c r="JP524" s="770"/>
      <c r="JQ524" s="770"/>
      <c r="JR524" s="770"/>
      <c r="JS524" s="770"/>
      <c r="JT524" s="766">
        <f t="shared" si="152"/>
        <v>3</v>
      </c>
      <c r="JU524" s="766">
        <f t="shared" si="152"/>
        <v>2</v>
      </c>
      <c r="JV524" s="712" t="str">
        <f>IF(JT524=KJ524,"ok","male")</f>
        <v>ok</v>
      </c>
      <c r="JW524" s="712" t="str">
        <f>IF(JU524=KK524,"ok","female")</f>
        <v>ok</v>
      </c>
      <c r="JX524" s="770"/>
      <c r="JY524" s="770"/>
      <c r="JZ524" s="770">
        <v>2</v>
      </c>
      <c r="KA524" s="770">
        <v>1</v>
      </c>
      <c r="KB524" s="770"/>
      <c r="KC524" s="770"/>
      <c r="KD524" s="770">
        <v>1</v>
      </c>
      <c r="KE524" s="770">
        <v>1</v>
      </c>
      <c r="KF524" s="770"/>
      <c r="KG524" s="770"/>
      <c r="KH524" s="770"/>
      <c r="KI524" s="770"/>
      <c r="KJ524" s="770">
        <f t="shared" si="126"/>
        <v>3</v>
      </c>
      <c r="KK524" s="770">
        <f t="shared" si="126"/>
        <v>2</v>
      </c>
      <c r="KL524" s="712" t="str">
        <f>IF(KJ524=LN524,"ok","male")</f>
        <v>ok</v>
      </c>
      <c r="KM524" s="712" t="str">
        <f>IF(KK524=LO524,"ok","female")</f>
        <v>ok</v>
      </c>
      <c r="KN524" s="770" t="s">
        <v>707</v>
      </c>
      <c r="KO524" s="770"/>
      <c r="KP524" s="770"/>
      <c r="KQ524" s="770"/>
      <c r="KR524" s="770"/>
      <c r="KS524" s="770"/>
      <c r="KT524" s="770">
        <v>1</v>
      </c>
      <c r="KU524" s="770">
        <v>1</v>
      </c>
      <c r="KV524" s="770"/>
      <c r="KW524" s="770"/>
      <c r="KX524" s="770">
        <v>1</v>
      </c>
      <c r="KY524" s="770"/>
      <c r="KZ524" s="770">
        <v>1</v>
      </c>
      <c r="LA524" s="770">
        <v>1</v>
      </c>
      <c r="LB524" s="770"/>
      <c r="LC524" s="770"/>
      <c r="LD524" s="770"/>
      <c r="LE524" s="770"/>
      <c r="LF524" s="770"/>
      <c r="LG524" s="770"/>
      <c r="LH524" s="770"/>
      <c r="LI524" s="770"/>
      <c r="LJ524" s="770"/>
      <c r="LK524" s="770"/>
      <c r="LL524" s="770"/>
      <c r="LM524" s="770"/>
      <c r="LN524" s="766">
        <f t="shared" si="134"/>
        <v>3</v>
      </c>
      <c r="LO524" s="766">
        <f t="shared" si="134"/>
        <v>2</v>
      </c>
      <c r="LP524" s="770">
        <v>1</v>
      </c>
      <c r="LQ524" s="770">
        <v>1</v>
      </c>
      <c r="LR524" s="770"/>
      <c r="LS524" s="770"/>
      <c r="LT524" s="712" t="str">
        <f>IF(LQ524=SUM(LU524:LW524),"OK","REV")</f>
        <v>OK</v>
      </c>
      <c r="LU524" s="770"/>
      <c r="LV524" s="770">
        <v>1</v>
      </c>
      <c r="LW524" s="770"/>
      <c r="LX524" s="769">
        <v>3</v>
      </c>
      <c r="LY524" s="766" t="str">
        <f t="shared" si="135"/>
        <v>within the PROVINCE</v>
      </c>
      <c r="LZ524" s="1709">
        <v>800</v>
      </c>
      <c r="MA524" s="1709"/>
      <c r="MB524" s="1709"/>
      <c r="MC524" s="1679">
        <f t="shared" si="133"/>
        <v>800</v>
      </c>
      <c r="MD524" s="1709">
        <v>10000</v>
      </c>
      <c r="ME524" s="1709"/>
      <c r="MF524" s="1709"/>
      <c r="MG524" s="1680">
        <f>SUM(MD524:MF524)</f>
        <v>10000</v>
      </c>
      <c r="MH524" s="770" t="s">
        <v>2230</v>
      </c>
      <c r="MI524" s="302">
        <v>6600</v>
      </c>
      <c r="MJ524" s="302">
        <v>1800</v>
      </c>
      <c r="MK524" s="302">
        <v>833</v>
      </c>
      <c r="ML524" s="302">
        <v>1820</v>
      </c>
      <c r="MM524" s="302">
        <v>2000</v>
      </c>
      <c r="MN524" s="302"/>
      <c r="MO524" s="302">
        <v>208</v>
      </c>
      <c r="MP524" s="302">
        <v>2000</v>
      </c>
      <c r="MQ524" s="302">
        <v>10800</v>
      </c>
      <c r="MR524" s="302">
        <v>300</v>
      </c>
      <c r="MS524" s="302">
        <v>375</v>
      </c>
      <c r="MT524" s="302"/>
      <c r="MU524" s="302"/>
      <c r="MV524" s="302"/>
      <c r="MW524" s="302"/>
      <c r="MX524" s="302"/>
      <c r="MY524" s="1682">
        <f t="shared" si="147"/>
        <v>26736</v>
      </c>
      <c r="MZ524" s="770" t="s">
        <v>13395</v>
      </c>
      <c r="NA524" s="770" t="s">
        <v>13005</v>
      </c>
      <c r="NB524" s="770" t="s">
        <v>13016</v>
      </c>
      <c r="NC524" s="770" t="s">
        <v>13621</v>
      </c>
      <c r="ND524" s="770">
        <v>0</v>
      </c>
      <c r="NE524" s="770">
        <v>0</v>
      </c>
      <c r="NF524" s="770">
        <v>0</v>
      </c>
      <c r="NG524" s="770">
        <v>2</v>
      </c>
      <c r="NH524" s="770">
        <v>1</v>
      </c>
      <c r="NI524" s="770">
        <v>0</v>
      </c>
      <c r="NJ524" s="770">
        <v>0</v>
      </c>
      <c r="NK524" s="770">
        <v>0</v>
      </c>
      <c r="NL524" s="770">
        <v>1</v>
      </c>
      <c r="NM524" s="770">
        <v>1</v>
      </c>
      <c r="NN524" s="770">
        <v>0</v>
      </c>
      <c r="NO524" s="770">
        <v>0</v>
      </c>
      <c r="NP524" s="770">
        <v>0</v>
      </c>
      <c r="NQ524" s="770">
        <v>0</v>
      </c>
      <c r="NR524" s="770">
        <v>0</v>
      </c>
      <c r="NS524" s="770">
        <v>0</v>
      </c>
      <c r="NT524" s="770">
        <v>0</v>
      </c>
      <c r="NU524" s="770">
        <v>0</v>
      </c>
      <c r="NV524" s="770">
        <v>0</v>
      </c>
      <c r="NW524" s="770">
        <v>0</v>
      </c>
      <c r="NX524" s="770">
        <v>0</v>
      </c>
      <c r="NY524" s="770"/>
      <c r="NZ524" s="770" t="s">
        <v>1208</v>
      </c>
      <c r="OA524" s="770" t="s">
        <v>1208</v>
      </c>
      <c r="OB524" s="770" t="s">
        <v>1208</v>
      </c>
      <c r="OC524" s="770"/>
      <c r="OD524" s="770"/>
      <c r="OE524" s="770"/>
      <c r="OF524" s="770" t="s">
        <v>2143</v>
      </c>
      <c r="OG524" s="770"/>
      <c r="OH524" s="770"/>
      <c r="OI524" s="770"/>
      <c r="OJ524" s="770"/>
      <c r="OK524" s="770"/>
      <c r="OL524" s="770"/>
      <c r="OM524" s="770"/>
      <c r="ON524" s="770"/>
      <c r="OO524" s="770" t="s">
        <v>1214</v>
      </c>
      <c r="OP524" s="770"/>
      <c r="OQ524" s="770"/>
      <c r="OR524" s="770"/>
      <c r="OS524" s="770"/>
      <c r="OT524" s="770"/>
      <c r="OU524" s="770"/>
      <c r="OV524" s="770"/>
      <c r="OW524" s="770"/>
      <c r="OX524" s="770"/>
      <c r="OY524" s="770"/>
      <c r="OZ524" s="770"/>
      <c r="PA524" s="770"/>
      <c r="PB524" s="770"/>
      <c r="PC524" s="770"/>
      <c r="PD524" s="770"/>
      <c r="PE524" s="770"/>
      <c r="PF524" s="770" t="s">
        <v>1208</v>
      </c>
      <c r="PG524" s="770"/>
      <c r="PH524" s="770"/>
      <c r="PI524" s="770"/>
      <c r="PJ524" s="770"/>
      <c r="PK524" s="770" t="s">
        <v>1208</v>
      </c>
      <c r="PL524" s="770"/>
      <c r="PM524" s="770"/>
      <c r="PN524" s="770"/>
      <c r="PO524" s="770"/>
      <c r="PP524" s="770"/>
      <c r="PQ524" s="770"/>
      <c r="PR524" s="770"/>
      <c r="PS524" s="770"/>
      <c r="PT524" s="770"/>
      <c r="PU524" s="770"/>
      <c r="PV524" s="770"/>
      <c r="PW524" s="770"/>
      <c r="PX524" s="770"/>
      <c r="PY524" s="770"/>
      <c r="PZ524" s="770"/>
      <c r="QA524" s="770"/>
      <c r="QB524" s="770"/>
      <c r="QC524" s="770"/>
      <c r="QD524" s="770"/>
      <c r="QE524" s="770"/>
      <c r="QF524" s="770"/>
      <c r="QG524" s="770"/>
      <c r="QH524" s="770"/>
      <c r="QI524" s="770"/>
      <c r="QJ524" s="770"/>
      <c r="QK524" s="770"/>
      <c r="QL524" s="770"/>
      <c r="QM524" s="770"/>
      <c r="QN524" s="770"/>
      <c r="QO524" s="770"/>
      <c r="QP524" s="770"/>
      <c r="QQ524" s="770"/>
      <c r="QR524" s="770"/>
      <c r="QS524" s="770"/>
      <c r="QT524" s="770"/>
      <c r="QU524" s="770"/>
      <c r="QV524" s="770"/>
      <c r="QW524" s="770"/>
      <c r="QX524" s="770"/>
      <c r="QY524" s="770"/>
      <c r="QZ524" s="770"/>
      <c r="RA524" s="770"/>
      <c r="RB524" s="770" t="s">
        <v>1214</v>
      </c>
      <c r="RC524" s="770"/>
      <c r="RD524" s="770"/>
      <c r="RE524" s="770"/>
      <c r="RF524" s="304"/>
      <c r="RG524" s="770"/>
      <c r="RH524" s="302"/>
      <c r="RI524" s="770"/>
      <c r="RJ524" s="770" t="s">
        <v>13691</v>
      </c>
      <c r="RK524" s="770" t="s">
        <v>13550</v>
      </c>
      <c r="RL524" s="1710"/>
      <c r="RM524" s="12"/>
      <c r="RN524" s="1711"/>
      <c r="RO524" s="133" t="s">
        <v>3471</v>
      </c>
      <c r="RP524" s="11"/>
      <c r="RQ524" s="11"/>
      <c r="RR524" s="343" t="s">
        <v>12352</v>
      </c>
      <c r="RS524" s="1139" t="s">
        <v>12980</v>
      </c>
      <c r="RT524" s="11"/>
      <c r="RU524" s="11"/>
      <c r="RV524" s="771" t="s">
        <v>13692</v>
      </c>
      <c r="RW524" s="11" t="s">
        <v>7799</v>
      </c>
      <c r="RX524" s="11" t="s">
        <v>3466</v>
      </c>
      <c r="RY524" s="11"/>
      <c r="RZ524" s="11" t="s">
        <v>1101</v>
      </c>
      <c r="SA524" s="771"/>
      <c r="SB524" s="11"/>
      <c r="SC524" s="11"/>
    </row>
    <row r="525" spans="1:497" ht="12.75" hidden="1" customHeight="1">
      <c r="A525" s="343" t="s">
        <v>7419</v>
      </c>
      <c r="B525" s="752" t="s">
        <v>7802</v>
      </c>
      <c r="C525" s="133" t="s">
        <v>3676</v>
      </c>
      <c r="D525" s="94" t="s">
        <v>3679</v>
      </c>
      <c r="E525" s="766" t="s">
        <v>3642</v>
      </c>
      <c r="F525" s="770" t="s">
        <v>28</v>
      </c>
      <c r="G525" s="770" t="s">
        <v>18</v>
      </c>
      <c r="H525" s="5" t="s">
        <v>3680</v>
      </c>
      <c r="I525" s="5"/>
      <c r="J525" s="94" t="s">
        <v>3679</v>
      </c>
      <c r="K525" s="766" t="s">
        <v>3681</v>
      </c>
      <c r="L525" s="766" t="s">
        <v>2401</v>
      </c>
      <c r="M525" s="770" t="s">
        <v>1238</v>
      </c>
      <c r="N525" s="770"/>
      <c r="O525" s="770" t="s">
        <v>3477</v>
      </c>
      <c r="P525" s="770" t="s">
        <v>3682</v>
      </c>
      <c r="Q525" s="1085">
        <v>12008</v>
      </c>
      <c r="R525" s="25">
        <v>84</v>
      </c>
      <c r="S525" s="770" t="s">
        <v>18</v>
      </c>
      <c r="T525" s="295" t="s">
        <v>3680</v>
      </c>
      <c r="U525" s="298"/>
      <c r="V525" s="770" t="s">
        <v>707</v>
      </c>
      <c r="W525" s="770"/>
      <c r="X525" s="770"/>
      <c r="Y525" s="770" t="s">
        <v>3642</v>
      </c>
      <c r="Z525" s="770" t="s">
        <v>708</v>
      </c>
      <c r="AA525" s="770" t="s">
        <v>709</v>
      </c>
      <c r="AB525" s="295" t="s">
        <v>710</v>
      </c>
      <c r="AC525" s="12" t="s">
        <v>1071</v>
      </c>
      <c r="AD525" s="770" t="s">
        <v>711</v>
      </c>
      <c r="AE525" s="770"/>
      <c r="AF525" s="770" t="s">
        <v>712</v>
      </c>
      <c r="AG525" s="766" t="s">
        <v>1095</v>
      </c>
      <c r="AH525" s="766" t="s">
        <v>1096</v>
      </c>
      <c r="AI525" s="770" t="s">
        <v>3294</v>
      </c>
      <c r="AJ525" s="770"/>
      <c r="AK525" s="770" t="s">
        <v>1097</v>
      </c>
      <c r="AL525" s="531">
        <v>175.31</v>
      </c>
      <c r="AM525" s="780">
        <v>51.75</v>
      </c>
      <c r="AN525" s="532">
        <f>AM525/AL525</f>
        <v>0.29519137527807882</v>
      </c>
      <c r="AO525" s="766" t="s">
        <v>1149</v>
      </c>
      <c r="AP525" s="766" t="s">
        <v>5364</v>
      </c>
      <c r="AQ525" s="766" t="s">
        <v>7418</v>
      </c>
      <c r="AR525" s="766"/>
      <c r="AS525" s="769"/>
      <c r="AT525" s="770"/>
      <c r="AU525" s="770"/>
      <c r="AV525" s="770"/>
      <c r="AW525" s="770"/>
      <c r="AX525" s="770"/>
      <c r="AY525" s="770"/>
      <c r="AZ525" s="770"/>
      <c r="BA525" s="770"/>
      <c r="BB525" s="770"/>
      <c r="BC525" s="770"/>
      <c r="BD525" s="770"/>
      <c r="BE525" s="770"/>
      <c r="BF525" s="302"/>
      <c r="BG525" s="302"/>
      <c r="BH525" s="770"/>
      <c r="BI525" s="770"/>
      <c r="BJ525" s="770"/>
      <c r="BK525" s="770" t="s">
        <v>1095</v>
      </c>
      <c r="BL525" s="770" t="s">
        <v>3683</v>
      </c>
      <c r="BM525" s="766" t="s">
        <v>1096</v>
      </c>
      <c r="BN525" s="770" t="s">
        <v>1230</v>
      </c>
      <c r="BO525" s="766" t="s">
        <v>1239</v>
      </c>
      <c r="BP525" s="765">
        <v>175.35</v>
      </c>
      <c r="BQ525" s="773">
        <v>57.75</v>
      </c>
      <c r="BR525" s="774">
        <f t="shared" si="151"/>
        <v>0.32934131736526945</v>
      </c>
      <c r="BS525" s="6" t="s">
        <v>1149</v>
      </c>
      <c r="BT525" s="766" t="s">
        <v>2040</v>
      </c>
      <c r="BU525" s="770" t="s">
        <v>1249</v>
      </c>
      <c r="BV525" s="766" t="s">
        <v>1243</v>
      </c>
      <c r="BW525" s="769"/>
      <c r="BX525" s="302"/>
      <c r="BY525" s="770"/>
      <c r="BZ525" s="302"/>
      <c r="CA525" s="770"/>
      <c r="CB525" s="770" t="s">
        <v>1207</v>
      </c>
      <c r="CC525" s="770" t="s">
        <v>3682</v>
      </c>
      <c r="CD525" s="770"/>
      <c r="CE525" s="770"/>
      <c r="CF525" s="1753">
        <v>1</v>
      </c>
      <c r="CG525" s="1754">
        <v>10.55</v>
      </c>
      <c r="CH525" s="770" t="s">
        <v>3684</v>
      </c>
      <c r="CI525" s="770"/>
      <c r="CJ525" s="770"/>
      <c r="CK525" s="770">
        <v>9</v>
      </c>
      <c r="CL525" s="770" t="s">
        <v>1249</v>
      </c>
      <c r="CM525" s="770" t="s">
        <v>3633</v>
      </c>
      <c r="CN525" s="770"/>
      <c r="CO525" s="770"/>
      <c r="CP525" s="770"/>
      <c r="CQ525" s="770"/>
      <c r="CR525" s="302"/>
      <c r="CS525" s="770"/>
      <c r="CT525" s="770"/>
      <c r="CU525" s="305"/>
      <c r="CV525" s="770"/>
      <c r="CW525" s="770"/>
      <c r="CX525" s="770"/>
      <c r="CY525" s="770"/>
      <c r="CZ525" s="770"/>
      <c r="DA525" s="306"/>
      <c r="DB525" s="770"/>
      <c r="DC525" s="770"/>
      <c r="DD525" s="770"/>
      <c r="DE525" s="300"/>
      <c r="DF525" s="770"/>
      <c r="DG525" s="770"/>
      <c r="DH525" s="770"/>
      <c r="DI525" s="770"/>
      <c r="DJ525" s="770"/>
      <c r="DK525" s="770"/>
      <c r="DL525" s="770"/>
      <c r="DM525" s="770"/>
      <c r="DN525" s="322"/>
      <c r="DO525" s="770"/>
      <c r="DP525" s="770"/>
      <c r="DQ525" s="770"/>
      <c r="DR525" s="770"/>
      <c r="DS525" s="307"/>
      <c r="DT525" s="770"/>
      <c r="DU525" s="770"/>
      <c r="DV525" s="770"/>
      <c r="DW525" s="306"/>
      <c r="DX525" s="306"/>
      <c r="DY525" s="770"/>
      <c r="DZ525" s="770"/>
      <c r="EA525" s="770"/>
      <c r="EB525" s="770"/>
      <c r="EC525" s="770"/>
      <c r="ED525" s="770"/>
      <c r="EE525" s="770"/>
      <c r="EF525" s="770"/>
      <c r="EG525" s="770"/>
      <c r="EH525" s="770"/>
      <c r="EI525" s="770"/>
      <c r="EJ525" s="770"/>
      <c r="EK525" s="770"/>
      <c r="EL525" s="770"/>
      <c r="EM525" s="770"/>
      <c r="EN525" s="770"/>
      <c r="EO525" s="770"/>
      <c r="EP525" s="94"/>
      <c r="EQ525" s="770"/>
      <c r="ER525" s="770"/>
      <c r="ES525" s="770"/>
      <c r="ET525" s="770"/>
      <c r="EU525" s="770"/>
      <c r="EV525" s="770"/>
      <c r="EW525" s="770"/>
      <c r="EX525" s="770"/>
      <c r="EY525" s="770"/>
      <c r="EZ525" s="770"/>
      <c r="FA525" s="770"/>
      <c r="FB525" s="770"/>
      <c r="FC525" s="770"/>
      <c r="FD525" s="302"/>
      <c r="FE525" s="770"/>
      <c r="FF525" s="770"/>
      <c r="FG525" s="770"/>
      <c r="FH525" s="770" t="s">
        <v>478</v>
      </c>
      <c r="FI525" s="770"/>
      <c r="FJ525" s="770"/>
      <c r="FK525" s="770"/>
      <c r="FL525" s="770"/>
      <c r="FM525" s="775"/>
      <c r="FN525" s="775"/>
      <c r="FO525" s="775"/>
      <c r="FP525" s="770" t="s">
        <v>1602</v>
      </c>
      <c r="FQ525" s="770" t="s">
        <v>1660</v>
      </c>
      <c r="FR525" s="770" t="s">
        <v>1214</v>
      </c>
      <c r="FS525" s="770"/>
      <c r="FT525" s="770"/>
      <c r="FU525" s="770"/>
      <c r="FV525" s="770"/>
      <c r="FW525" s="770"/>
      <c r="FX525" s="770"/>
      <c r="FY525" s="770"/>
      <c r="FZ525" s="770"/>
      <c r="GA525" s="770"/>
      <c r="GB525" s="770"/>
      <c r="GC525" s="308"/>
      <c r="GD525" s="297"/>
      <c r="GE525" s="770"/>
      <c r="GF525" s="302"/>
      <c r="GG525" s="302"/>
      <c r="GH525" s="13"/>
      <c r="GI525" s="770"/>
      <c r="GJ525" s="770"/>
      <c r="GK525" s="770"/>
      <c r="GL525" s="770"/>
      <c r="GM525" s="770"/>
      <c r="GN525" s="299"/>
      <c r="GO525" s="770"/>
      <c r="GP525" s="770"/>
      <c r="GQ525" s="770"/>
      <c r="GR525" s="770"/>
      <c r="GS525" s="770"/>
      <c r="GT525" s="770"/>
      <c r="GU525" s="770"/>
      <c r="GV525" s="770"/>
      <c r="GW525" s="770"/>
      <c r="GX525" s="770"/>
      <c r="GY525" s="770"/>
      <c r="GZ525" s="770"/>
      <c r="HA525" s="770"/>
      <c r="HB525" s="770"/>
      <c r="HC525" s="770"/>
      <c r="HD525" s="770"/>
      <c r="HE525" s="770"/>
      <c r="HF525" s="770"/>
      <c r="HG525" s="770"/>
      <c r="HH525" s="770"/>
      <c r="HI525" s="770"/>
      <c r="HJ525" s="770"/>
      <c r="HK525" s="770"/>
      <c r="HL525" s="770"/>
      <c r="HM525" s="770"/>
      <c r="HN525" s="770"/>
      <c r="HO525" s="770"/>
      <c r="HP525" s="770"/>
      <c r="HQ525" s="770"/>
      <c r="HR525" s="770">
        <v>3</v>
      </c>
      <c r="HS525" s="770"/>
      <c r="HT525" s="770"/>
      <c r="HU525" s="770"/>
      <c r="HV525" s="770"/>
      <c r="HW525" s="770"/>
      <c r="HX525" s="770"/>
      <c r="HY525" s="770"/>
      <c r="HZ525" s="770"/>
      <c r="IA525" s="770"/>
      <c r="IB525" s="770" t="s">
        <v>1207</v>
      </c>
      <c r="IC525" s="770" t="s">
        <v>1207</v>
      </c>
      <c r="ID525" s="770">
        <v>2</v>
      </c>
      <c r="IE525" s="770">
        <v>1</v>
      </c>
      <c r="IF525" s="770"/>
      <c r="IG525" s="770"/>
      <c r="IH525" s="770"/>
      <c r="II525" s="770"/>
      <c r="IJ525" s="770"/>
      <c r="IK525" s="770"/>
      <c r="IL525" s="770"/>
      <c r="IM525" s="770"/>
      <c r="IN525" s="770"/>
      <c r="IO525" s="296"/>
      <c r="IP525" s="770"/>
      <c r="IQ525" s="770"/>
      <c r="IR525" s="770"/>
      <c r="IS525" s="770"/>
      <c r="IT525" s="770"/>
      <c r="IU525" s="770"/>
      <c r="IV525" s="770"/>
      <c r="IW525" s="770"/>
      <c r="IX525" s="770"/>
      <c r="IY525" s="770"/>
      <c r="IZ525" s="770"/>
      <c r="JA525" s="770"/>
      <c r="JB525" s="770"/>
      <c r="JC525" s="770"/>
      <c r="JD525" s="302"/>
      <c r="JE525" s="770"/>
      <c r="JF525" s="770"/>
      <c r="JG525" s="770"/>
      <c r="JH525" s="307"/>
      <c r="JI525" s="307"/>
      <c r="JJ525" s="770">
        <v>4</v>
      </c>
      <c r="JK525" s="770" t="s">
        <v>3677</v>
      </c>
      <c r="JL525" s="770"/>
      <c r="JM525" s="770"/>
      <c r="JN525" s="770">
        <v>2</v>
      </c>
      <c r="JO525" s="770">
        <v>2</v>
      </c>
      <c r="JP525" s="770"/>
      <c r="JQ525" s="770"/>
      <c r="JR525" s="770"/>
      <c r="JS525" s="770"/>
      <c r="JT525" s="766">
        <f t="shared" si="152"/>
        <v>2</v>
      </c>
      <c r="JU525" s="766">
        <f t="shared" si="152"/>
        <v>2</v>
      </c>
      <c r="JV525" s="766"/>
      <c r="JW525" s="766"/>
      <c r="JX525" s="770"/>
      <c r="JY525" s="770"/>
      <c r="JZ525" s="770"/>
      <c r="KA525" s="770"/>
      <c r="KB525" s="770">
        <v>2</v>
      </c>
      <c r="KC525" s="770"/>
      <c r="KD525" s="770"/>
      <c r="KE525" s="770"/>
      <c r="KF525" s="770"/>
      <c r="KG525" s="770">
        <v>2</v>
      </c>
      <c r="KH525" s="770"/>
      <c r="KI525" s="770"/>
      <c r="KJ525" s="770">
        <f t="shared" ref="KJ525:KK583" si="153">SUM(KF525,KD525,KB525,JZ525,JX525,KH525)</f>
        <v>2</v>
      </c>
      <c r="KK525" s="770">
        <f t="shared" si="153"/>
        <v>2</v>
      </c>
      <c r="KL525" s="770"/>
      <c r="KM525" s="770"/>
      <c r="KN525" s="770" t="s">
        <v>707</v>
      </c>
      <c r="KO525" s="770"/>
      <c r="KP525" s="770"/>
      <c r="KQ525" s="770"/>
      <c r="KR525" s="770"/>
      <c r="KS525" s="770"/>
      <c r="KT525" s="770"/>
      <c r="KU525" s="770"/>
      <c r="KV525" s="770"/>
      <c r="KW525" s="770">
        <v>1</v>
      </c>
      <c r="KX525" s="770"/>
      <c r="KY525" s="770">
        <v>1</v>
      </c>
      <c r="KZ525" s="770"/>
      <c r="LA525" s="770"/>
      <c r="LB525" s="770"/>
      <c r="LC525" s="770"/>
      <c r="LD525" s="770">
        <v>2</v>
      </c>
      <c r="LE525" s="770"/>
      <c r="LF525" s="770"/>
      <c r="LG525" s="770"/>
      <c r="LH525" s="770"/>
      <c r="LI525" s="770"/>
      <c r="LJ525" s="770"/>
      <c r="LK525" s="770"/>
      <c r="LL525" s="770"/>
      <c r="LM525" s="770"/>
      <c r="LN525" s="766">
        <f t="shared" si="134"/>
        <v>2</v>
      </c>
      <c r="LO525" s="766">
        <f t="shared" si="134"/>
        <v>2</v>
      </c>
      <c r="LP525" s="770">
        <v>1</v>
      </c>
      <c r="LQ525" s="770">
        <v>1</v>
      </c>
      <c r="LR525" s="770"/>
      <c r="LS525" s="770"/>
      <c r="LT525" s="770"/>
      <c r="LU525" s="770">
        <v>1</v>
      </c>
      <c r="LV525" s="770"/>
      <c r="LW525" s="770"/>
      <c r="LX525" s="769">
        <v>3</v>
      </c>
      <c r="LY525" s="766" t="str">
        <f t="shared" si="135"/>
        <v>within the PROVINCE</v>
      </c>
      <c r="LZ525" s="1709" t="s">
        <v>2979</v>
      </c>
      <c r="MA525" s="1709"/>
      <c r="MB525" s="1709"/>
      <c r="MC525" s="1679">
        <f t="shared" si="133"/>
        <v>0</v>
      </c>
      <c r="MD525" s="1709" t="s">
        <v>2979</v>
      </c>
      <c r="ME525" s="1709"/>
      <c r="MF525" s="1709"/>
      <c r="MG525" s="1680">
        <f t="shared" si="149"/>
        <v>0</v>
      </c>
      <c r="MH525" s="770" t="s">
        <v>3678</v>
      </c>
      <c r="MI525" s="302">
        <v>4000</v>
      </c>
      <c r="MJ525" s="302"/>
      <c r="MK525" s="302"/>
      <c r="ML525" s="302">
        <v>1000</v>
      </c>
      <c r="MM525" s="302"/>
      <c r="MN525" s="302"/>
      <c r="MO525" s="302"/>
      <c r="MP525" s="302"/>
      <c r="MQ525" s="302"/>
      <c r="MR525" s="302"/>
      <c r="MS525" s="302"/>
      <c r="MT525" s="302"/>
      <c r="MU525" s="302"/>
      <c r="MV525" s="302"/>
      <c r="MW525" s="302"/>
      <c r="MX525" s="302"/>
      <c r="MY525" s="1682">
        <f t="shared" si="147"/>
        <v>5000</v>
      </c>
      <c r="MZ525" s="770" t="s">
        <v>13370</v>
      </c>
      <c r="NA525" s="770" t="s">
        <v>13005</v>
      </c>
      <c r="NB525" s="770" t="s">
        <v>13016</v>
      </c>
      <c r="NC525" s="770" t="s">
        <v>13602</v>
      </c>
      <c r="ND525" s="770">
        <v>0</v>
      </c>
      <c r="NE525" s="770">
        <v>0</v>
      </c>
      <c r="NF525" s="770">
        <v>0</v>
      </c>
      <c r="NG525" s="770">
        <v>1</v>
      </c>
      <c r="NH525" s="770">
        <v>1</v>
      </c>
      <c r="NI525" s="770">
        <v>1</v>
      </c>
      <c r="NJ525" s="770">
        <v>0</v>
      </c>
      <c r="NK525" s="770">
        <v>0</v>
      </c>
      <c r="NL525" s="770">
        <v>1</v>
      </c>
      <c r="NM525" s="770">
        <v>1</v>
      </c>
      <c r="NN525" s="770">
        <v>0</v>
      </c>
      <c r="NO525" s="770">
        <v>0</v>
      </c>
      <c r="NP525" s="770">
        <v>0</v>
      </c>
      <c r="NQ525" s="770">
        <v>0</v>
      </c>
      <c r="NR525" s="770">
        <v>0</v>
      </c>
      <c r="NS525" s="770">
        <v>0</v>
      </c>
      <c r="NT525" s="770">
        <v>0</v>
      </c>
      <c r="NU525" s="770">
        <v>0</v>
      </c>
      <c r="NV525" s="770">
        <v>0</v>
      </c>
      <c r="NW525" s="770">
        <v>0</v>
      </c>
      <c r="NX525" s="770">
        <v>0</v>
      </c>
      <c r="NY525" s="770"/>
      <c r="NZ525" s="770"/>
      <c r="OA525" s="770"/>
      <c r="OB525" s="770"/>
      <c r="OC525" s="770" t="s">
        <v>1208</v>
      </c>
      <c r="OD525" s="770"/>
      <c r="OE525" s="770"/>
      <c r="OF525" s="770"/>
      <c r="OG525" s="770"/>
      <c r="OH525" s="770"/>
      <c r="OI525" s="770"/>
      <c r="OJ525" s="770"/>
      <c r="OK525" s="770"/>
      <c r="OL525" s="770"/>
      <c r="OM525" s="770"/>
      <c r="ON525" s="770"/>
      <c r="OO525" s="770"/>
      <c r="OP525" s="770"/>
      <c r="OQ525" s="770"/>
      <c r="OR525" s="770"/>
      <c r="OS525" s="770"/>
      <c r="OT525" s="770"/>
      <c r="OU525" s="770"/>
      <c r="OV525" s="770"/>
      <c r="OW525" s="770"/>
      <c r="OX525" s="770"/>
      <c r="OY525" s="770"/>
      <c r="OZ525" s="770"/>
      <c r="PA525" s="770"/>
      <c r="PB525" s="770"/>
      <c r="PC525" s="770"/>
      <c r="PD525" s="770"/>
      <c r="PE525" s="770"/>
      <c r="PF525" s="770"/>
      <c r="PG525" s="770"/>
      <c r="PH525" s="770"/>
      <c r="PI525" s="770"/>
      <c r="PJ525" s="770"/>
      <c r="PK525" s="770"/>
      <c r="PL525" s="770"/>
      <c r="PM525" s="770"/>
      <c r="PN525" s="770"/>
      <c r="PO525" s="770"/>
      <c r="PP525" s="770"/>
      <c r="PQ525" s="770"/>
      <c r="PR525" s="770"/>
      <c r="PS525" s="770"/>
      <c r="PT525" s="770"/>
      <c r="PU525" s="770"/>
      <c r="PV525" s="770"/>
      <c r="PW525" s="770"/>
      <c r="PX525" s="770"/>
      <c r="PY525" s="770"/>
      <c r="PZ525" s="770"/>
      <c r="QA525" s="770"/>
      <c r="QB525" s="770"/>
      <c r="QC525" s="770"/>
      <c r="QD525" s="770"/>
      <c r="QE525" s="770"/>
      <c r="QF525" s="770"/>
      <c r="QG525" s="770"/>
      <c r="QH525" s="770"/>
      <c r="QI525" s="770"/>
      <c r="QJ525" s="770"/>
      <c r="QK525" s="770"/>
      <c r="QL525" s="770"/>
      <c r="QM525" s="770"/>
      <c r="QN525" s="770" t="s">
        <v>1208</v>
      </c>
      <c r="QO525" s="770"/>
      <c r="QP525" s="770"/>
      <c r="QQ525" s="770"/>
      <c r="QR525" s="770"/>
      <c r="QS525" s="770"/>
      <c r="QT525" s="770"/>
      <c r="QU525" s="770"/>
      <c r="QV525" s="770"/>
      <c r="QW525" s="770"/>
      <c r="QX525" s="770"/>
      <c r="QY525" s="770"/>
      <c r="QZ525" s="770"/>
      <c r="RA525" s="770"/>
      <c r="RB525" s="770" t="s">
        <v>1207</v>
      </c>
      <c r="RC525" s="770">
        <v>2016</v>
      </c>
      <c r="RD525" s="770" t="s">
        <v>13615</v>
      </c>
      <c r="RE525" s="770" t="s">
        <v>12999</v>
      </c>
      <c r="RF525" s="304">
        <v>0.5</v>
      </c>
      <c r="RG525" s="770" t="s">
        <v>13047</v>
      </c>
      <c r="RH525" s="302">
        <v>0</v>
      </c>
      <c r="RI525" s="770">
        <v>2</v>
      </c>
      <c r="RJ525" s="770" t="s">
        <v>13693</v>
      </c>
      <c r="RK525" s="770" t="s">
        <v>13544</v>
      </c>
      <c r="RL525" s="1710"/>
      <c r="RM525" s="12"/>
      <c r="RN525" s="1711"/>
      <c r="RO525" s="133" t="s">
        <v>3676</v>
      </c>
      <c r="RP525" s="11"/>
      <c r="RQ525" s="11"/>
      <c r="RR525" s="17"/>
      <c r="RS525" s="767"/>
      <c r="RT525" s="11"/>
      <c r="RU525" s="11"/>
      <c r="RV525" s="771" t="s">
        <v>7419</v>
      </c>
      <c r="RW525" s="11" t="s">
        <v>7801</v>
      </c>
      <c r="RX525" s="11" t="s">
        <v>3671</v>
      </c>
      <c r="RY525" s="11"/>
      <c r="RZ525" s="11" t="s">
        <v>1101</v>
      </c>
      <c r="SA525" s="771"/>
      <c r="SB525" s="11"/>
      <c r="SC525" s="11"/>
    </row>
    <row r="526" spans="1:497" ht="12.75" hidden="1" customHeight="1">
      <c r="A526" s="343" t="s">
        <v>7419</v>
      </c>
      <c r="B526" s="752" t="s">
        <v>7706</v>
      </c>
      <c r="C526" s="133" t="s">
        <v>3695</v>
      </c>
      <c r="D526" s="94" t="s">
        <v>3696</v>
      </c>
      <c r="E526" s="766" t="s">
        <v>3686</v>
      </c>
      <c r="F526" s="770" t="s">
        <v>28</v>
      </c>
      <c r="G526" s="770" t="s">
        <v>10</v>
      </c>
      <c r="H526" s="770"/>
      <c r="I526" s="295" t="s">
        <v>3697</v>
      </c>
      <c r="J526" s="94" t="s">
        <v>3696</v>
      </c>
      <c r="K526" s="766" t="s">
        <v>3698</v>
      </c>
      <c r="L526" s="766" t="s">
        <v>3699</v>
      </c>
      <c r="M526" s="770" t="s">
        <v>1238</v>
      </c>
      <c r="N526" s="770"/>
      <c r="O526" s="770" t="s">
        <v>3477</v>
      </c>
      <c r="P526" s="770" t="s">
        <v>3700</v>
      </c>
      <c r="Q526" s="1085">
        <v>12149</v>
      </c>
      <c r="R526" s="25">
        <v>84</v>
      </c>
      <c r="S526" s="770" t="s">
        <v>10</v>
      </c>
      <c r="T526" s="770"/>
      <c r="U526" s="295" t="s">
        <v>3697</v>
      </c>
      <c r="V526" s="770" t="s">
        <v>707</v>
      </c>
      <c r="W526" s="770"/>
      <c r="X526" s="770"/>
      <c r="Y526" s="770" t="s">
        <v>3686</v>
      </c>
      <c r="Z526" s="770" t="s">
        <v>708</v>
      </c>
      <c r="AA526" s="770" t="s">
        <v>709</v>
      </c>
      <c r="AB526" s="770" t="s">
        <v>710</v>
      </c>
      <c r="AC526" s="770"/>
      <c r="AD526" s="770" t="s">
        <v>711</v>
      </c>
      <c r="AE526" s="770"/>
      <c r="AF526" s="770" t="s">
        <v>712</v>
      </c>
      <c r="AG526" s="766" t="s">
        <v>1165</v>
      </c>
      <c r="AH526" s="766" t="s">
        <v>1096</v>
      </c>
      <c r="AI526" s="770"/>
      <c r="AJ526" s="770" t="s">
        <v>1137</v>
      </c>
      <c r="AK526" s="770" t="s">
        <v>1097</v>
      </c>
      <c r="AL526" s="531"/>
      <c r="AM526" s="780"/>
      <c r="AN526" s="532"/>
      <c r="AO526" s="766"/>
      <c r="AP526" s="766" t="s">
        <v>5364</v>
      </c>
      <c r="AQ526" s="766" t="s">
        <v>7418</v>
      </c>
      <c r="AR526" s="766"/>
      <c r="AS526" s="770"/>
      <c r="AT526" s="770"/>
      <c r="AU526" s="770"/>
      <c r="AV526" s="770"/>
      <c r="AW526" s="770"/>
      <c r="AX526" s="770"/>
      <c r="AY526" s="770"/>
      <c r="AZ526" s="770"/>
      <c r="BA526" s="770"/>
      <c r="BB526" s="770"/>
      <c r="BC526" s="770"/>
      <c r="BD526" s="770"/>
      <c r="BE526" s="770"/>
      <c r="BF526" s="302"/>
      <c r="BG526" s="302"/>
      <c r="BH526" s="770"/>
      <c r="BI526" s="770"/>
      <c r="BJ526" s="770"/>
      <c r="BK526" s="770" t="s">
        <v>1095</v>
      </c>
      <c r="BL526" s="770" t="s">
        <v>3691</v>
      </c>
      <c r="BM526" s="766" t="s">
        <v>1096</v>
      </c>
      <c r="BN526" s="766" t="s">
        <v>1230</v>
      </c>
      <c r="BO526" s="766" t="s">
        <v>1239</v>
      </c>
      <c r="BP526" s="765">
        <v>48.18</v>
      </c>
      <c r="BQ526" s="773">
        <v>13.9</v>
      </c>
      <c r="BR526" s="774">
        <f t="shared" si="151"/>
        <v>0.28850145288501455</v>
      </c>
      <c r="BS526" s="6" t="s">
        <v>1149</v>
      </c>
      <c r="BT526" s="766" t="s">
        <v>2040</v>
      </c>
      <c r="BU526" s="770" t="s">
        <v>1249</v>
      </c>
      <c r="BV526" s="770" t="s">
        <v>1247</v>
      </c>
      <c r="BW526" s="769"/>
      <c r="BX526" s="302"/>
      <c r="BY526" s="770"/>
      <c r="BZ526" s="302"/>
      <c r="CA526" s="770"/>
      <c r="CB526" s="770"/>
      <c r="CC526" s="770"/>
      <c r="CD526" s="770"/>
      <c r="CE526" s="770"/>
      <c r="CF526" s="1753"/>
      <c r="CG526" s="1754"/>
      <c r="CH526" s="770"/>
      <c r="CI526" s="770"/>
      <c r="CJ526" s="770"/>
      <c r="CK526" s="770"/>
      <c r="CL526" s="770"/>
      <c r="CM526" s="770"/>
      <c r="CN526" s="770"/>
      <c r="CO526" s="770"/>
      <c r="CP526" s="770"/>
      <c r="CQ526" s="770"/>
      <c r="CR526" s="302"/>
      <c r="CS526" s="770"/>
      <c r="CT526" s="770"/>
      <c r="CU526" s="305"/>
      <c r="CV526" s="770"/>
      <c r="CW526" s="770"/>
      <c r="CX526" s="770"/>
      <c r="CY526" s="770"/>
      <c r="CZ526" s="770"/>
      <c r="DA526" s="306"/>
      <c r="DB526" s="770"/>
      <c r="DC526" s="770"/>
      <c r="DD526" s="770"/>
      <c r="DE526" s="300"/>
      <c r="DF526" s="770"/>
      <c r="DG526" s="770"/>
      <c r="DH526" s="770"/>
      <c r="DI526" s="770"/>
      <c r="DJ526" s="770"/>
      <c r="DK526" s="770"/>
      <c r="DL526" s="770"/>
      <c r="DM526" s="770"/>
      <c r="DN526" s="322"/>
      <c r="DO526" s="770"/>
      <c r="DP526" s="770"/>
      <c r="DQ526" s="770"/>
      <c r="DR526" s="770"/>
      <c r="DS526" s="307"/>
      <c r="DT526" s="770"/>
      <c r="DU526" s="770"/>
      <c r="DV526" s="770"/>
      <c r="DW526" s="306"/>
      <c r="DX526" s="306"/>
      <c r="DY526" s="770"/>
      <c r="DZ526" s="770"/>
      <c r="EA526" s="770"/>
      <c r="EB526" s="770"/>
      <c r="EC526" s="770"/>
      <c r="ED526" s="770"/>
      <c r="EE526" s="770"/>
      <c r="EF526" s="770"/>
      <c r="EG526" s="770"/>
      <c r="EH526" s="770"/>
      <c r="EI526" s="770"/>
      <c r="EJ526" s="770"/>
      <c r="EK526" s="770"/>
      <c r="EL526" s="770"/>
      <c r="EM526" s="770"/>
      <c r="EN526" s="770"/>
      <c r="EO526" s="770"/>
      <c r="EP526" s="94"/>
      <c r="EQ526" s="770"/>
      <c r="ER526" s="770"/>
      <c r="ES526" s="770"/>
      <c r="ET526" s="770"/>
      <c r="EU526" s="770"/>
      <c r="EV526" s="770"/>
      <c r="EW526" s="770"/>
      <c r="EX526" s="770"/>
      <c r="EY526" s="770"/>
      <c r="EZ526" s="770"/>
      <c r="FA526" s="770"/>
      <c r="FB526" s="770"/>
      <c r="FC526" s="770"/>
      <c r="FD526" s="302"/>
      <c r="FE526" s="770"/>
      <c r="FF526" s="770"/>
      <c r="FG526" s="770"/>
      <c r="FH526" s="770" t="s">
        <v>478</v>
      </c>
      <c r="FI526" s="770">
        <v>2</v>
      </c>
      <c r="FJ526" s="770"/>
      <c r="FK526" s="770"/>
      <c r="FL526" s="770"/>
      <c r="FM526" s="775"/>
      <c r="FN526" s="775"/>
      <c r="FO526" s="775"/>
      <c r="FP526" s="770" t="s">
        <v>1602</v>
      </c>
      <c r="FQ526" s="770" t="s">
        <v>1660</v>
      </c>
      <c r="FR526" s="770" t="s">
        <v>1207</v>
      </c>
      <c r="FS526" s="770" t="s">
        <v>1208</v>
      </c>
      <c r="FT526" s="770"/>
      <c r="FU526" s="770"/>
      <c r="FV526" s="770"/>
      <c r="FW526" s="770"/>
      <c r="FX526" s="770"/>
      <c r="FY526" s="770"/>
      <c r="FZ526" s="770"/>
      <c r="GA526" s="770"/>
      <c r="GB526" s="770" t="s">
        <v>796</v>
      </c>
      <c r="GC526" s="308" t="s">
        <v>3691</v>
      </c>
      <c r="GD526" s="297">
        <v>1993</v>
      </c>
      <c r="GE526" s="770" t="s">
        <v>1207</v>
      </c>
      <c r="GF526" s="302">
        <v>2000</v>
      </c>
      <c r="GG526" s="302">
        <f>GF526*12</f>
        <v>24000</v>
      </c>
      <c r="GH526" s="766" t="s">
        <v>14260</v>
      </c>
      <c r="GI526" s="770"/>
      <c r="GJ526" s="770"/>
      <c r="GK526" s="770"/>
      <c r="GL526" s="770"/>
      <c r="GM526" s="770"/>
      <c r="GN526" s="299"/>
      <c r="GO526" s="770"/>
      <c r="GP526" s="770"/>
      <c r="GQ526" s="770"/>
      <c r="GR526" s="770"/>
      <c r="GS526" s="770"/>
      <c r="GT526" s="770"/>
      <c r="GU526" s="770"/>
      <c r="GV526" s="770"/>
      <c r="GW526" s="770"/>
      <c r="GX526" s="770"/>
      <c r="GY526" s="770"/>
      <c r="GZ526" s="770"/>
      <c r="HA526" s="770"/>
      <c r="HB526" s="770"/>
      <c r="HC526" s="770"/>
      <c r="HD526" s="770"/>
      <c r="HE526" s="770"/>
      <c r="HF526" s="770"/>
      <c r="HG526" s="770"/>
      <c r="HH526" s="770"/>
      <c r="HI526" s="770" t="s">
        <v>1214</v>
      </c>
      <c r="HJ526" s="770"/>
      <c r="HK526" s="770"/>
      <c r="HL526" s="770" t="s">
        <v>1214</v>
      </c>
      <c r="HM526" s="770"/>
      <c r="HN526" s="770"/>
      <c r="HO526" s="770"/>
      <c r="HP526" s="770"/>
      <c r="HQ526" s="770"/>
      <c r="HR526" s="770"/>
      <c r="HS526" s="770"/>
      <c r="HT526" s="770"/>
      <c r="HU526" s="770"/>
      <c r="HV526" s="770"/>
      <c r="HW526" s="770"/>
      <c r="HX526" s="770"/>
      <c r="HY526" s="770"/>
      <c r="HZ526" s="770"/>
      <c r="IA526" s="770"/>
      <c r="IB526" s="770" t="s">
        <v>1207</v>
      </c>
      <c r="IC526" s="770"/>
      <c r="ID526" s="770">
        <v>2</v>
      </c>
      <c r="IE526" s="770"/>
      <c r="IF526" s="1828" t="s">
        <v>3696</v>
      </c>
      <c r="IG526" s="770" t="s">
        <v>10</v>
      </c>
      <c r="IH526" s="770" t="s">
        <v>478</v>
      </c>
      <c r="II526" s="770" t="s">
        <v>3701</v>
      </c>
      <c r="IJ526" s="770" t="s">
        <v>1882</v>
      </c>
      <c r="IK526" s="770" t="s">
        <v>2639</v>
      </c>
      <c r="IL526" s="770" t="s">
        <v>3702</v>
      </c>
      <c r="IM526" s="770"/>
      <c r="IN526" s="770" t="s">
        <v>3702</v>
      </c>
      <c r="IO526" s="296">
        <v>12149</v>
      </c>
      <c r="IP526" s="770" t="s">
        <v>478</v>
      </c>
      <c r="IQ526" s="769" t="s">
        <v>1882</v>
      </c>
      <c r="IR526" s="770" t="s">
        <v>2716</v>
      </c>
      <c r="IS526" s="770" t="s">
        <v>1883</v>
      </c>
      <c r="IT526" s="770"/>
      <c r="IU526" s="770" t="s">
        <v>1208</v>
      </c>
      <c r="IV526" s="770"/>
      <c r="IW526" s="770" t="s">
        <v>13694</v>
      </c>
      <c r="IX526" s="770"/>
      <c r="IY526" s="770" t="s">
        <v>3697</v>
      </c>
      <c r="IZ526" s="770"/>
      <c r="JA526" s="770"/>
      <c r="JB526" s="770"/>
      <c r="JC526" s="770"/>
      <c r="JD526" s="302">
        <v>1500</v>
      </c>
      <c r="JE526" s="770"/>
      <c r="JF526" s="770"/>
      <c r="JG526" s="770"/>
      <c r="JH526" s="307"/>
      <c r="JI526" s="307"/>
      <c r="JJ526" s="770">
        <v>5</v>
      </c>
      <c r="JK526" s="770" t="s">
        <v>3702</v>
      </c>
      <c r="JL526" s="770">
        <v>1</v>
      </c>
      <c r="JM526" s="770">
        <v>1</v>
      </c>
      <c r="JN526" s="770"/>
      <c r="JO526" s="770">
        <v>1</v>
      </c>
      <c r="JP526" s="770">
        <v>1</v>
      </c>
      <c r="JQ526" s="770">
        <v>1</v>
      </c>
      <c r="JR526" s="770"/>
      <c r="JS526" s="770"/>
      <c r="JT526" s="766">
        <f t="shared" si="152"/>
        <v>2</v>
      </c>
      <c r="JU526" s="766">
        <f t="shared" si="152"/>
        <v>3</v>
      </c>
      <c r="JV526" s="766"/>
      <c r="JW526" s="766"/>
      <c r="JX526" s="770"/>
      <c r="JY526" s="770"/>
      <c r="JZ526" s="770">
        <v>1</v>
      </c>
      <c r="KA526" s="770">
        <v>1</v>
      </c>
      <c r="KB526" s="770"/>
      <c r="KC526" s="770">
        <v>1</v>
      </c>
      <c r="KD526" s="770"/>
      <c r="KE526" s="770"/>
      <c r="KF526" s="770">
        <v>1</v>
      </c>
      <c r="KG526" s="770">
        <v>1</v>
      </c>
      <c r="KH526" s="770"/>
      <c r="KI526" s="770"/>
      <c r="KJ526" s="770">
        <f t="shared" si="153"/>
        <v>2</v>
      </c>
      <c r="KK526" s="770">
        <f t="shared" si="153"/>
        <v>3</v>
      </c>
      <c r="KL526" s="770"/>
      <c r="KM526" s="770"/>
      <c r="KN526" s="770" t="s">
        <v>707</v>
      </c>
      <c r="KO526" s="770"/>
      <c r="KP526" s="770"/>
      <c r="KQ526" s="770"/>
      <c r="KR526" s="770"/>
      <c r="KS526" s="770"/>
      <c r="KT526" s="770">
        <v>1</v>
      </c>
      <c r="KU526" s="770"/>
      <c r="KV526" s="770">
        <v>1</v>
      </c>
      <c r="KW526" s="770">
        <v>2</v>
      </c>
      <c r="KX526" s="770"/>
      <c r="KY526" s="770"/>
      <c r="KZ526" s="770"/>
      <c r="LA526" s="770"/>
      <c r="LB526" s="770"/>
      <c r="LC526" s="770">
        <v>1</v>
      </c>
      <c r="LD526" s="770"/>
      <c r="LE526" s="770"/>
      <c r="LF526" s="770"/>
      <c r="LG526" s="770"/>
      <c r="LH526" s="770"/>
      <c r="LI526" s="770"/>
      <c r="LJ526" s="770"/>
      <c r="LK526" s="770"/>
      <c r="LL526" s="770"/>
      <c r="LM526" s="770"/>
      <c r="LN526" s="766">
        <f t="shared" si="134"/>
        <v>2</v>
      </c>
      <c r="LO526" s="766">
        <f t="shared" si="134"/>
        <v>3</v>
      </c>
      <c r="LP526" s="770">
        <v>1</v>
      </c>
      <c r="LQ526" s="770"/>
      <c r="LR526" s="770"/>
      <c r="LS526" s="770">
        <v>1</v>
      </c>
      <c r="LT526" s="770"/>
      <c r="LU526" s="770"/>
      <c r="LV526" s="770"/>
      <c r="LW526" s="770"/>
      <c r="LX526" s="769">
        <v>1</v>
      </c>
      <c r="LY526" s="766" t="str">
        <f t="shared" si="135"/>
        <v>within the BRGY</v>
      </c>
      <c r="LZ526" s="1709"/>
      <c r="MA526" s="1709"/>
      <c r="MB526" s="1709"/>
      <c r="MC526" s="1679">
        <f t="shared" si="133"/>
        <v>0</v>
      </c>
      <c r="MD526" s="1709"/>
      <c r="ME526" s="1709"/>
      <c r="MF526" s="1709">
        <v>1500</v>
      </c>
      <c r="MG526" s="1680">
        <f t="shared" si="149"/>
        <v>1500</v>
      </c>
      <c r="MH526" s="770" t="s">
        <v>3703</v>
      </c>
      <c r="MI526" s="302">
        <v>15000</v>
      </c>
      <c r="MJ526" s="302">
        <v>4500</v>
      </c>
      <c r="MK526" s="302"/>
      <c r="ML526" s="302">
        <v>128</v>
      </c>
      <c r="MM526" s="302">
        <v>6840</v>
      </c>
      <c r="MN526" s="302"/>
      <c r="MO526" s="302">
        <v>60</v>
      </c>
      <c r="MP526" s="302">
        <v>3400</v>
      </c>
      <c r="MQ526" s="302">
        <v>1200</v>
      </c>
      <c r="MR526" s="302">
        <v>6000</v>
      </c>
      <c r="MS526" s="302"/>
      <c r="MT526" s="302"/>
      <c r="MU526" s="302"/>
      <c r="MV526" s="302"/>
      <c r="MW526" s="302"/>
      <c r="MX526" s="302"/>
      <c r="MY526" s="1682">
        <f t="shared" si="147"/>
        <v>37128</v>
      </c>
      <c r="MZ526" s="770" t="s">
        <v>13370</v>
      </c>
      <c r="NA526" s="770" t="s">
        <v>13005</v>
      </c>
      <c r="NB526" s="770" t="s">
        <v>13016</v>
      </c>
      <c r="NC526" s="770" t="s">
        <v>13602</v>
      </c>
      <c r="ND526" s="770">
        <v>0</v>
      </c>
      <c r="NE526" s="770">
        <v>0</v>
      </c>
      <c r="NF526" s="770">
        <v>0</v>
      </c>
      <c r="NG526" s="770">
        <v>4</v>
      </c>
      <c r="NH526" s="770">
        <v>2</v>
      </c>
      <c r="NI526" s="770">
        <v>1</v>
      </c>
      <c r="NJ526" s="770">
        <v>0</v>
      </c>
      <c r="NK526" s="770">
        <v>0</v>
      </c>
      <c r="NL526" s="770">
        <v>0</v>
      </c>
      <c r="NM526" s="770">
        <v>1</v>
      </c>
      <c r="NN526" s="770">
        <v>0</v>
      </c>
      <c r="NO526" s="770">
        <v>0</v>
      </c>
      <c r="NP526" s="770">
        <v>0</v>
      </c>
      <c r="NQ526" s="770">
        <v>0</v>
      </c>
      <c r="NR526" s="770">
        <v>0</v>
      </c>
      <c r="NS526" s="770">
        <v>0</v>
      </c>
      <c r="NT526" s="770">
        <v>0</v>
      </c>
      <c r="NU526" s="770">
        <v>0</v>
      </c>
      <c r="NV526" s="770">
        <v>0</v>
      </c>
      <c r="NW526" s="770">
        <v>0</v>
      </c>
      <c r="NX526" s="770">
        <v>0</v>
      </c>
      <c r="NY526" s="770"/>
      <c r="NZ526" s="770" t="s">
        <v>1208</v>
      </c>
      <c r="OA526" s="770" t="s">
        <v>1208</v>
      </c>
      <c r="OB526" s="770"/>
      <c r="OC526" s="770"/>
      <c r="OD526" s="770" t="s">
        <v>1208</v>
      </c>
      <c r="OE526" s="770"/>
      <c r="OF526" s="1828" t="s">
        <v>3650</v>
      </c>
      <c r="OG526" s="770"/>
      <c r="OH526" s="770"/>
      <c r="OI526" s="770"/>
      <c r="OJ526" s="770"/>
      <c r="OK526" s="770"/>
      <c r="OL526" s="770"/>
      <c r="OM526" s="770"/>
      <c r="ON526" s="770"/>
      <c r="OO526" s="770"/>
      <c r="OP526" s="770"/>
      <c r="OQ526" s="770"/>
      <c r="OR526" s="770"/>
      <c r="OS526" s="770"/>
      <c r="OT526" s="770"/>
      <c r="OU526" s="770"/>
      <c r="OV526" s="770"/>
      <c r="OW526" s="770"/>
      <c r="OX526" s="770"/>
      <c r="OY526" s="770"/>
      <c r="OZ526" s="770"/>
      <c r="PA526" s="770"/>
      <c r="PB526" s="770"/>
      <c r="PC526" s="770"/>
      <c r="PD526" s="770"/>
      <c r="PE526" s="770"/>
      <c r="PF526" s="770"/>
      <c r="PG526" s="770" t="s">
        <v>1208</v>
      </c>
      <c r="PH526" s="770"/>
      <c r="PI526" s="770" t="s">
        <v>1208</v>
      </c>
      <c r="PJ526" s="770" t="s">
        <v>1208</v>
      </c>
      <c r="PK526" s="770"/>
      <c r="PL526" s="770"/>
      <c r="PM526" s="770"/>
      <c r="PN526" s="770"/>
      <c r="PO526" s="770"/>
      <c r="PP526" s="770"/>
      <c r="PQ526" s="770"/>
      <c r="PR526" s="770"/>
      <c r="PS526" s="770"/>
      <c r="PT526" s="770"/>
      <c r="PU526" s="770"/>
      <c r="PV526" s="770"/>
      <c r="PW526" s="770"/>
      <c r="PX526" s="770"/>
      <c r="PY526" s="770"/>
      <c r="PZ526" s="770"/>
      <c r="QA526" s="770"/>
      <c r="QB526" s="770"/>
      <c r="QC526" s="770"/>
      <c r="QD526" s="770"/>
      <c r="QE526" s="770"/>
      <c r="QF526" s="770"/>
      <c r="QG526" s="770"/>
      <c r="QH526" s="770"/>
      <c r="QI526" s="770"/>
      <c r="QJ526" s="770"/>
      <c r="QK526" s="770"/>
      <c r="QL526" s="770"/>
      <c r="QM526" s="770"/>
      <c r="QN526" s="770"/>
      <c r="QO526" s="770"/>
      <c r="QP526" s="770"/>
      <c r="QQ526" s="770"/>
      <c r="QR526" s="770"/>
      <c r="QS526" s="770"/>
      <c r="QT526" s="770"/>
      <c r="QU526" s="770"/>
      <c r="QV526" s="770"/>
      <c r="QW526" s="770"/>
      <c r="QX526" s="770"/>
      <c r="QY526" s="770"/>
      <c r="QZ526" s="770"/>
      <c r="RA526" s="770"/>
      <c r="RB526" s="770" t="s">
        <v>1207</v>
      </c>
      <c r="RC526" s="770">
        <v>2014</v>
      </c>
      <c r="RD526" s="770" t="s">
        <v>13251</v>
      </c>
      <c r="RE526" s="770" t="s">
        <v>12999</v>
      </c>
      <c r="RF526" s="304">
        <v>0.75</v>
      </c>
      <c r="RG526" s="770" t="s">
        <v>13047</v>
      </c>
      <c r="RH526" s="302">
        <v>0</v>
      </c>
      <c r="RI526" s="770">
        <v>24</v>
      </c>
      <c r="RJ526" s="770" t="s">
        <v>3702</v>
      </c>
      <c r="RK526" s="770" t="s">
        <v>13550</v>
      </c>
      <c r="RL526" s="1710"/>
      <c r="RM526" s="12"/>
      <c r="RN526" s="1711"/>
      <c r="RO526" s="133" t="s">
        <v>3695</v>
      </c>
      <c r="RP526" s="11"/>
      <c r="RQ526" s="11"/>
      <c r="RR526" s="17"/>
      <c r="RS526" s="767"/>
      <c r="RT526" s="11"/>
      <c r="RU526" s="11"/>
      <c r="RV526" s="771" t="s">
        <v>12352</v>
      </c>
      <c r="RW526" s="11" t="s">
        <v>7800</v>
      </c>
      <c r="RX526" s="11" t="s">
        <v>3471</v>
      </c>
      <c r="RY526" s="11"/>
      <c r="RZ526" s="11" t="s">
        <v>1101</v>
      </c>
      <c r="SA526" s="771"/>
      <c r="SB526" s="11"/>
      <c r="SC526" s="11"/>
    </row>
    <row r="527" spans="1:497" ht="12.75" hidden="1" customHeight="1">
      <c r="A527" s="343" t="s">
        <v>14212</v>
      </c>
      <c r="B527" s="752" t="s">
        <v>7803</v>
      </c>
      <c r="C527" s="133" t="s">
        <v>3685</v>
      </c>
      <c r="D527" s="94" t="s">
        <v>3688</v>
      </c>
      <c r="E527" s="766" t="s">
        <v>3686</v>
      </c>
      <c r="F527" s="770" t="s">
        <v>28</v>
      </c>
      <c r="G527" s="770" t="s">
        <v>10</v>
      </c>
      <c r="H527" s="770"/>
      <c r="I527" s="295" t="s">
        <v>3687</v>
      </c>
      <c r="J527" s="94" t="s">
        <v>3688</v>
      </c>
      <c r="K527" s="766" t="s">
        <v>3689</v>
      </c>
      <c r="L527" s="766" t="s">
        <v>2704</v>
      </c>
      <c r="M527" s="770" t="s">
        <v>1238</v>
      </c>
      <c r="N527" s="770"/>
      <c r="O527" s="770" t="s">
        <v>3477</v>
      </c>
      <c r="P527" s="94" t="s">
        <v>3690</v>
      </c>
      <c r="Q527" s="1085">
        <v>22364</v>
      </c>
      <c r="R527" s="25">
        <v>53</v>
      </c>
      <c r="S527" s="770" t="s">
        <v>10</v>
      </c>
      <c r="T527" s="770"/>
      <c r="U527" s="295" t="s">
        <v>3687</v>
      </c>
      <c r="V527" s="770" t="s">
        <v>707</v>
      </c>
      <c r="W527" s="770"/>
      <c r="X527" s="770"/>
      <c r="Y527" s="770" t="s">
        <v>3686</v>
      </c>
      <c r="Z527" s="770" t="s">
        <v>708</v>
      </c>
      <c r="AA527" s="770" t="s">
        <v>709</v>
      </c>
      <c r="AB527" s="770" t="s">
        <v>710</v>
      </c>
      <c r="AC527" s="770" t="s">
        <v>724</v>
      </c>
      <c r="AD527" s="770" t="s">
        <v>711</v>
      </c>
      <c r="AE527" s="770"/>
      <c r="AF527" s="770" t="s">
        <v>798</v>
      </c>
      <c r="AG527" s="770"/>
      <c r="AH527" s="770"/>
      <c r="AI527" s="770"/>
      <c r="AJ527" s="770"/>
      <c r="AK527" s="770" t="s">
        <v>5454</v>
      </c>
      <c r="AL527" s="531"/>
      <c r="AM527" s="780"/>
      <c r="AN527" s="532"/>
      <c r="AO527" s="766"/>
      <c r="AP527" s="766"/>
      <c r="AQ527" s="766"/>
      <c r="AR527" s="766"/>
      <c r="AS527" s="769"/>
      <c r="AT527" s="770"/>
      <c r="AU527" s="770"/>
      <c r="AV527" s="770"/>
      <c r="AW527" s="770"/>
      <c r="AX527" s="770"/>
      <c r="AY527" s="770"/>
      <c r="AZ527" s="770"/>
      <c r="BA527" s="770"/>
      <c r="BB527" s="770"/>
      <c r="BC527" s="770"/>
      <c r="BD527" s="770"/>
      <c r="BE527" s="770"/>
      <c r="BF527" s="302"/>
      <c r="BG527" s="302"/>
      <c r="BH527" s="770"/>
      <c r="BI527" s="770"/>
      <c r="BJ527" s="770"/>
      <c r="BK527" s="770" t="s">
        <v>1095</v>
      </c>
      <c r="BL527" s="770"/>
      <c r="BM527" s="766" t="s">
        <v>1096</v>
      </c>
      <c r="BN527" s="766" t="s">
        <v>3230</v>
      </c>
      <c r="BO527" s="766" t="s">
        <v>1239</v>
      </c>
      <c r="BP527" s="765">
        <v>31.68</v>
      </c>
      <c r="BQ527" s="773">
        <v>19.8</v>
      </c>
      <c r="BR527" s="774">
        <f t="shared" si="151"/>
        <v>0.625</v>
      </c>
      <c r="BS527" s="766" t="s">
        <v>1105</v>
      </c>
      <c r="BT527" s="766" t="s">
        <v>2040</v>
      </c>
      <c r="BU527" s="770" t="s">
        <v>1249</v>
      </c>
      <c r="BV527" s="770" t="s">
        <v>1247</v>
      </c>
      <c r="BW527" s="770">
        <v>1990</v>
      </c>
      <c r="BX527" s="302">
        <v>400000</v>
      </c>
      <c r="BY527" s="770" t="s">
        <v>1207</v>
      </c>
      <c r="BZ527" s="302"/>
      <c r="CA527" s="770"/>
      <c r="CB527" s="770" t="s">
        <v>1207</v>
      </c>
      <c r="CC527" s="770" t="s">
        <v>3690</v>
      </c>
      <c r="CD527" s="770"/>
      <c r="CE527" s="770"/>
      <c r="CF527" s="1753">
        <v>1.5</v>
      </c>
      <c r="CG527" s="1754">
        <v>12</v>
      </c>
      <c r="CH527" s="770" t="s">
        <v>3692</v>
      </c>
      <c r="CI527" s="770"/>
      <c r="CJ527" s="770"/>
      <c r="CK527" s="770">
        <v>15</v>
      </c>
      <c r="CL527" s="770" t="s">
        <v>1249</v>
      </c>
      <c r="CM527" s="770" t="s">
        <v>3633</v>
      </c>
      <c r="CN527" s="770"/>
      <c r="CO527" s="770"/>
      <c r="CP527" s="770"/>
      <c r="CQ527" s="770"/>
      <c r="CR527" s="302"/>
      <c r="CS527" s="770"/>
      <c r="CT527" s="770"/>
      <c r="CU527" s="305"/>
      <c r="CV527" s="770"/>
      <c r="CW527" s="770"/>
      <c r="CX527" s="770"/>
      <c r="CY527" s="770"/>
      <c r="CZ527" s="770"/>
      <c r="DA527" s="306"/>
      <c r="DB527" s="770"/>
      <c r="DC527" s="770"/>
      <c r="DD527" s="770"/>
      <c r="DE527" s="300"/>
      <c r="DF527" s="770"/>
      <c r="DG527" s="770"/>
      <c r="DH527" s="770"/>
      <c r="DI527" s="770"/>
      <c r="DJ527" s="770"/>
      <c r="DK527" s="770"/>
      <c r="DL527" s="770"/>
      <c r="DM527" s="770"/>
      <c r="DN527" s="322"/>
      <c r="DO527" s="770"/>
      <c r="DP527" s="770"/>
      <c r="DQ527" s="770"/>
      <c r="DR527" s="770"/>
      <c r="DS527" s="307"/>
      <c r="DT527" s="770"/>
      <c r="DU527" s="770"/>
      <c r="DV527" s="770"/>
      <c r="DW527" s="306"/>
      <c r="DX527" s="306"/>
      <c r="DY527" s="770"/>
      <c r="DZ527" s="770"/>
      <c r="EA527" s="770"/>
      <c r="EB527" s="770"/>
      <c r="EC527" s="770"/>
      <c r="ED527" s="770"/>
      <c r="EE527" s="770"/>
      <c r="EF527" s="770"/>
      <c r="EG527" s="770"/>
      <c r="EH527" s="770"/>
      <c r="EI527" s="770"/>
      <c r="EJ527" s="770"/>
      <c r="EK527" s="770"/>
      <c r="EL527" s="770"/>
      <c r="EM527" s="770"/>
      <c r="EN527" s="770"/>
      <c r="EO527" s="770"/>
      <c r="EP527" s="94"/>
      <c r="EQ527" s="770"/>
      <c r="ER527" s="770"/>
      <c r="ES527" s="770"/>
      <c r="ET527" s="770"/>
      <c r="EU527" s="770"/>
      <c r="EV527" s="770"/>
      <c r="EW527" s="770"/>
      <c r="EX527" s="770"/>
      <c r="EY527" s="770"/>
      <c r="EZ527" s="770"/>
      <c r="FA527" s="770"/>
      <c r="FB527" s="770"/>
      <c r="FC527" s="770"/>
      <c r="FD527" s="302"/>
      <c r="FE527" s="770"/>
      <c r="FF527" s="770"/>
      <c r="FG527" s="770"/>
      <c r="FH527" s="770" t="s">
        <v>3230</v>
      </c>
      <c r="FI527" s="770">
        <v>1</v>
      </c>
      <c r="FJ527" s="770"/>
      <c r="FK527" s="770"/>
      <c r="FL527" s="770"/>
      <c r="FM527" s="775"/>
      <c r="FN527" s="775"/>
      <c r="FO527" s="775"/>
      <c r="FP527" s="766" t="s">
        <v>1602</v>
      </c>
      <c r="FQ527" s="766" t="s">
        <v>1660</v>
      </c>
      <c r="FR527" s="770" t="s">
        <v>1214</v>
      </c>
      <c r="FS527" s="770"/>
      <c r="FT527" s="770"/>
      <c r="FU527" s="770"/>
      <c r="FV527" s="770"/>
      <c r="FW527" s="770"/>
      <c r="FX527" s="770"/>
      <c r="FY527" s="770"/>
      <c r="FZ527" s="770"/>
      <c r="GA527" s="770"/>
      <c r="GB527" s="770"/>
      <c r="GC527" s="308"/>
      <c r="GD527" s="297"/>
      <c r="GE527" s="770"/>
      <c r="GF527" s="302"/>
      <c r="GG527" s="302"/>
      <c r="GH527" s="766" t="s">
        <v>14260</v>
      </c>
      <c r="GI527" s="770"/>
      <c r="GJ527" s="770"/>
      <c r="GK527" s="770"/>
      <c r="GL527" s="770"/>
      <c r="GM527" s="770"/>
      <c r="GN527" s="299"/>
      <c r="GO527" s="770"/>
      <c r="GP527" s="770"/>
      <c r="GQ527" s="770"/>
      <c r="GR527" s="770"/>
      <c r="GS527" s="770"/>
      <c r="GT527" s="770"/>
      <c r="GU527" s="770"/>
      <c r="GV527" s="770"/>
      <c r="GW527" s="770"/>
      <c r="GX527" s="770"/>
      <c r="GY527" s="770"/>
      <c r="GZ527" s="770"/>
      <c r="HA527" s="770"/>
      <c r="HB527" s="770"/>
      <c r="HC527" s="770"/>
      <c r="HD527" s="770"/>
      <c r="HE527" s="770"/>
      <c r="HF527" s="770"/>
      <c r="HG527" s="770"/>
      <c r="HH527" s="770"/>
      <c r="HI527" s="770" t="s">
        <v>1207</v>
      </c>
      <c r="HJ527" s="770" t="s">
        <v>2384</v>
      </c>
      <c r="HK527" s="770" t="s">
        <v>3693</v>
      </c>
      <c r="HL527" s="770" t="s">
        <v>1214</v>
      </c>
      <c r="HM527" s="770"/>
      <c r="HN527" s="770"/>
      <c r="HO527" s="770"/>
      <c r="HP527" s="770"/>
      <c r="HQ527" s="770"/>
      <c r="HR527" s="770">
        <v>3</v>
      </c>
      <c r="HS527" s="770">
        <v>1</v>
      </c>
      <c r="HT527" s="770"/>
      <c r="HU527" s="770"/>
      <c r="HV527" s="770"/>
      <c r="HW527" s="770"/>
      <c r="HX527" s="770"/>
      <c r="HY527" s="770"/>
      <c r="HZ527" s="770"/>
      <c r="IA527" s="770"/>
      <c r="IB527" s="14" t="e">
        <f>IF(#REF!&gt;0,IF(#REF!&lt;=10000,"Y",""),"")</f>
        <v>#REF!</v>
      </c>
      <c r="IC527" s="770"/>
      <c r="ID527" s="770"/>
      <c r="IE527" s="770"/>
      <c r="IF527" s="770"/>
      <c r="IG527" s="770"/>
      <c r="IH527" s="770"/>
      <c r="II527" s="770"/>
      <c r="IJ527" s="770"/>
      <c r="IK527" s="770"/>
      <c r="IL527" s="770"/>
      <c r="IM527" s="770"/>
      <c r="IN527" s="770"/>
      <c r="IO527" s="296"/>
      <c r="IP527" s="770"/>
      <c r="IQ527" s="770"/>
      <c r="IR527" s="770"/>
      <c r="IS527" s="770"/>
      <c r="IT527" s="770"/>
      <c r="IU527" s="770"/>
      <c r="IV527" s="770"/>
      <c r="IW527" s="770"/>
      <c r="IX527" s="770"/>
      <c r="IY527" s="770"/>
      <c r="IZ527" s="770"/>
      <c r="JA527" s="770"/>
      <c r="JB527" s="770"/>
      <c r="JC527" s="770"/>
      <c r="JD527" s="302"/>
      <c r="JE527" s="770"/>
      <c r="JF527" s="770"/>
      <c r="JG527" s="770"/>
      <c r="JH527" s="307"/>
      <c r="JI527" s="712" t="str">
        <f>IF(SUM(JT527,JU527)=JJ527,"ok","review")</f>
        <v>ok</v>
      </c>
      <c r="JJ527" s="770">
        <v>6</v>
      </c>
      <c r="JK527" s="1139" t="s">
        <v>3694</v>
      </c>
      <c r="JL527" s="770"/>
      <c r="JM527" s="770">
        <v>1</v>
      </c>
      <c r="JN527" s="770">
        <v>1</v>
      </c>
      <c r="JO527" s="770">
        <v>4</v>
      </c>
      <c r="JP527" s="770"/>
      <c r="JQ527" s="770"/>
      <c r="JR527" s="770"/>
      <c r="JS527" s="770"/>
      <c r="JT527" s="766">
        <f t="shared" si="152"/>
        <v>1</v>
      </c>
      <c r="JU527" s="766">
        <f t="shared" si="152"/>
        <v>5</v>
      </c>
      <c r="JV527" s="712" t="str">
        <f>IF(JT527=KJ527,"ok","male")</f>
        <v>ok</v>
      </c>
      <c r="JW527" s="712" t="str">
        <f>IF(JU527=KK527,"ok","female")</f>
        <v>ok</v>
      </c>
      <c r="JX527" s="770"/>
      <c r="JY527" s="770">
        <v>1</v>
      </c>
      <c r="JZ527" s="770"/>
      <c r="KA527" s="770"/>
      <c r="KB527" s="770"/>
      <c r="KC527" s="770">
        <v>3</v>
      </c>
      <c r="KD527" s="770">
        <v>1</v>
      </c>
      <c r="KE527" s="770">
        <v>1</v>
      </c>
      <c r="KF527" s="770"/>
      <c r="KG527" s="770"/>
      <c r="KH527" s="770"/>
      <c r="KI527" s="770"/>
      <c r="KJ527" s="770">
        <f t="shared" si="153"/>
        <v>1</v>
      </c>
      <c r="KK527" s="770">
        <f t="shared" si="153"/>
        <v>5</v>
      </c>
      <c r="KL527" s="712" t="str">
        <f>IF(KJ527=LN527,"ok","male")</f>
        <v>ok</v>
      </c>
      <c r="KM527" s="712" t="str">
        <f>IF(KK527=LO527,"ok","female")</f>
        <v>ok</v>
      </c>
      <c r="KN527" s="770" t="s">
        <v>707</v>
      </c>
      <c r="KO527" s="770"/>
      <c r="KP527" s="770"/>
      <c r="KQ527" s="770"/>
      <c r="KR527" s="770"/>
      <c r="KS527" s="770">
        <v>1</v>
      </c>
      <c r="KT527" s="770"/>
      <c r="KU527" s="770"/>
      <c r="KV527" s="770"/>
      <c r="KW527" s="770">
        <v>1</v>
      </c>
      <c r="KX527" s="770"/>
      <c r="KY527" s="770"/>
      <c r="KZ527" s="770">
        <v>1</v>
      </c>
      <c r="LA527" s="770"/>
      <c r="LB527" s="770"/>
      <c r="LC527" s="770"/>
      <c r="LD527" s="770"/>
      <c r="LE527" s="770">
        <v>3</v>
      </c>
      <c r="LF527" s="770"/>
      <c r="LG527" s="770"/>
      <c r="LH527" s="770"/>
      <c r="LI527" s="770"/>
      <c r="LJ527" s="770"/>
      <c r="LK527" s="770"/>
      <c r="LL527" s="770"/>
      <c r="LM527" s="770"/>
      <c r="LN527" s="766">
        <f t="shared" si="134"/>
        <v>1</v>
      </c>
      <c r="LO527" s="766">
        <f t="shared" si="134"/>
        <v>5</v>
      </c>
      <c r="LP527" s="770">
        <v>2</v>
      </c>
      <c r="LQ527" s="770">
        <v>2</v>
      </c>
      <c r="LR527" s="770"/>
      <c r="LS527" s="770"/>
      <c r="LT527" s="712" t="str">
        <f>IF(LQ527=SUM(LU527:LW527),"OK","REV")</f>
        <v>OK</v>
      </c>
      <c r="LU527" s="770">
        <v>2</v>
      </c>
      <c r="LV527" s="770"/>
      <c r="LW527" s="770"/>
      <c r="LX527" s="769"/>
      <c r="LY527" s="766" t="str">
        <f t="shared" si="135"/>
        <v/>
      </c>
      <c r="LZ527" s="1709">
        <f>SUM(200,150)</f>
        <v>350</v>
      </c>
      <c r="MA527" s="1709"/>
      <c r="MB527" s="1709"/>
      <c r="MC527" s="1679">
        <f t="shared" si="133"/>
        <v>350</v>
      </c>
      <c r="MD527" s="1709">
        <f>SUM(25000,30000)</f>
        <v>55000</v>
      </c>
      <c r="ME527" s="1709"/>
      <c r="MF527" s="1709"/>
      <c r="MG527" s="1680">
        <f>SUM(MD527:MF527)</f>
        <v>55000</v>
      </c>
      <c r="MH527" s="770" t="s">
        <v>1835</v>
      </c>
      <c r="MI527" s="302">
        <v>15200</v>
      </c>
      <c r="MJ527" s="302">
        <v>10500</v>
      </c>
      <c r="MK527" s="302">
        <v>5000</v>
      </c>
      <c r="ML527" s="302">
        <v>3000</v>
      </c>
      <c r="MM527" s="302">
        <v>4000</v>
      </c>
      <c r="MN527" s="302"/>
      <c r="MO527" s="302">
        <v>5000</v>
      </c>
      <c r="MP527" s="302">
        <v>1500</v>
      </c>
      <c r="MQ527" s="302">
        <v>1000</v>
      </c>
      <c r="MR527" s="302">
        <v>5000</v>
      </c>
      <c r="MS527" s="302">
        <v>4000</v>
      </c>
      <c r="MT527" s="302"/>
      <c r="MU527" s="302"/>
      <c r="MV527" s="302"/>
      <c r="MW527" s="302"/>
      <c r="MX527" s="302"/>
      <c r="MY527" s="1682">
        <f t="shared" si="147"/>
        <v>54200</v>
      </c>
      <c r="MZ527" s="770" t="s">
        <v>13370</v>
      </c>
      <c r="NA527" s="770" t="s">
        <v>13005</v>
      </c>
      <c r="NB527" s="770" t="s">
        <v>13016</v>
      </c>
      <c r="NC527" s="770" t="s">
        <v>13602</v>
      </c>
      <c r="ND527" s="770">
        <v>0</v>
      </c>
      <c r="NE527" s="770">
        <v>0</v>
      </c>
      <c r="NF527" s="770">
        <v>0</v>
      </c>
      <c r="NG527" s="770">
        <v>1</v>
      </c>
      <c r="NH527" s="770">
        <v>1</v>
      </c>
      <c r="NI527" s="770">
        <v>0</v>
      </c>
      <c r="NJ527" s="770">
        <v>1</v>
      </c>
      <c r="NK527" s="770">
        <v>0</v>
      </c>
      <c r="NL527" s="770">
        <v>1</v>
      </c>
      <c r="NM527" s="770">
        <v>1</v>
      </c>
      <c r="NN527" s="770">
        <v>0</v>
      </c>
      <c r="NO527" s="770">
        <v>0</v>
      </c>
      <c r="NP527" s="770">
        <v>0</v>
      </c>
      <c r="NQ527" s="770"/>
      <c r="NR527" s="770">
        <v>0</v>
      </c>
      <c r="NS527" s="770">
        <v>0</v>
      </c>
      <c r="NT527" s="770">
        <v>0</v>
      </c>
      <c r="NU527" s="770">
        <v>0</v>
      </c>
      <c r="NV527" s="770">
        <v>0</v>
      </c>
      <c r="NW527" s="770">
        <v>0</v>
      </c>
      <c r="NX527" s="770">
        <v>0</v>
      </c>
      <c r="NY527" s="770" t="s">
        <v>1208</v>
      </c>
      <c r="NZ527" s="770" t="s">
        <v>1208</v>
      </c>
      <c r="OA527" s="770" t="s">
        <v>1208</v>
      </c>
      <c r="OB527" s="770" t="s">
        <v>1208</v>
      </c>
      <c r="OC527" s="770" t="s">
        <v>1208</v>
      </c>
      <c r="OD527" s="770" t="s">
        <v>1208</v>
      </c>
      <c r="OE527" s="770"/>
      <c r="OF527" s="770"/>
      <c r="OG527" s="770"/>
      <c r="OH527" s="770"/>
      <c r="OI527" s="770"/>
      <c r="OJ527" s="770"/>
      <c r="OK527" s="770"/>
      <c r="OL527" s="770"/>
      <c r="OM527" s="770"/>
      <c r="ON527" s="770"/>
      <c r="OO527" s="770"/>
      <c r="OP527" s="770"/>
      <c r="OQ527" s="770"/>
      <c r="OR527" s="770"/>
      <c r="OS527" s="770"/>
      <c r="OT527" s="770"/>
      <c r="OU527" s="770"/>
      <c r="OV527" s="770"/>
      <c r="OW527" s="770"/>
      <c r="OX527" s="770"/>
      <c r="OY527" s="770"/>
      <c r="OZ527" s="770"/>
      <c r="PA527" s="770"/>
      <c r="PB527" s="770"/>
      <c r="PC527" s="770"/>
      <c r="PD527" s="770"/>
      <c r="PE527" s="770"/>
      <c r="PF527" s="770"/>
      <c r="PG527" s="770" t="s">
        <v>1208</v>
      </c>
      <c r="PH527" s="770" t="s">
        <v>1208</v>
      </c>
      <c r="PI527" s="770"/>
      <c r="PJ527" s="770"/>
      <c r="PK527" s="770" t="s">
        <v>1208</v>
      </c>
      <c r="PL527" s="770"/>
      <c r="PM527" s="770"/>
      <c r="PN527" s="770"/>
      <c r="PO527" s="770"/>
      <c r="PP527" s="770"/>
      <c r="PQ527" s="770"/>
      <c r="PR527" s="770"/>
      <c r="PS527" s="770" t="s">
        <v>1208</v>
      </c>
      <c r="PT527" s="770" t="s">
        <v>1208</v>
      </c>
      <c r="PU527" s="770"/>
      <c r="PV527" s="770"/>
      <c r="PW527" s="770"/>
      <c r="PX527" s="770"/>
      <c r="PY527" s="770"/>
      <c r="PZ527" s="770"/>
      <c r="QA527" s="770"/>
      <c r="QB527" s="770"/>
      <c r="QC527" s="770"/>
      <c r="QD527" s="770"/>
      <c r="QE527" s="770"/>
      <c r="QF527" s="770"/>
      <c r="QG527" s="770"/>
      <c r="QH527" s="770"/>
      <c r="QI527" s="770"/>
      <c r="QJ527" s="770"/>
      <c r="QK527" s="770"/>
      <c r="QL527" s="770"/>
      <c r="QM527" s="770"/>
      <c r="QN527" s="770"/>
      <c r="QO527" s="770"/>
      <c r="QP527" s="770"/>
      <c r="QQ527" s="770"/>
      <c r="QR527" s="770"/>
      <c r="QS527" s="770"/>
      <c r="QT527" s="770"/>
      <c r="QU527" s="770"/>
      <c r="QV527" s="770"/>
      <c r="QW527" s="770"/>
      <c r="QX527" s="770"/>
      <c r="QY527" s="770"/>
      <c r="QZ527" s="770"/>
      <c r="RA527" s="770" t="s">
        <v>13599</v>
      </c>
      <c r="RB527" s="770" t="s">
        <v>1214</v>
      </c>
      <c r="RC527" s="770"/>
      <c r="RD527" s="770"/>
      <c r="RE527" s="770"/>
      <c r="RF527" s="304"/>
      <c r="RG527" s="770"/>
      <c r="RH527" s="302"/>
      <c r="RI527" s="770"/>
      <c r="RJ527" s="770" t="s">
        <v>13695</v>
      </c>
      <c r="RK527" s="770" t="s">
        <v>13552</v>
      </c>
      <c r="RL527" s="1710"/>
      <c r="RM527" s="12"/>
      <c r="RN527" s="1711"/>
      <c r="RO527" s="133" t="s">
        <v>3685</v>
      </c>
      <c r="RP527" s="11"/>
      <c r="RQ527" s="11"/>
      <c r="RR527" s="343" t="s">
        <v>7419</v>
      </c>
      <c r="RS527" s="1139" t="s">
        <v>12980</v>
      </c>
      <c r="RT527" s="11"/>
      <c r="RU527" s="11"/>
      <c r="RV527" s="771" t="s">
        <v>7419</v>
      </c>
      <c r="RW527" s="11" t="s">
        <v>7802</v>
      </c>
      <c r="RX527" s="11" t="s">
        <v>3676</v>
      </c>
      <c r="RY527" s="11"/>
      <c r="RZ527" s="11" t="s">
        <v>1101</v>
      </c>
      <c r="SA527" s="771"/>
      <c r="SB527" s="11"/>
      <c r="SC527" s="11"/>
    </row>
    <row r="528" spans="1:497" ht="12.75" hidden="1" customHeight="1">
      <c r="A528" s="343" t="s">
        <v>7419</v>
      </c>
      <c r="B528" s="752" t="s">
        <v>7707</v>
      </c>
      <c r="C528" s="133" t="s">
        <v>3704</v>
      </c>
      <c r="D528" s="94" t="s">
        <v>3715</v>
      </c>
      <c r="E528" s="766" t="s">
        <v>3708</v>
      </c>
      <c r="F528" s="770" t="s">
        <v>28</v>
      </c>
      <c r="G528" s="770" t="s">
        <v>18</v>
      </c>
      <c r="H528" s="770"/>
      <c r="I528" s="295" t="s">
        <v>3709</v>
      </c>
      <c r="J528" s="94" t="s">
        <v>3707</v>
      </c>
      <c r="K528" s="766" t="s">
        <v>3710</v>
      </c>
      <c r="L528" s="766" t="s">
        <v>3711</v>
      </c>
      <c r="M528" s="770" t="s">
        <v>1238</v>
      </c>
      <c r="N528" s="770"/>
      <c r="O528" s="770" t="s">
        <v>3477</v>
      </c>
      <c r="P528" s="770" t="s">
        <v>3712</v>
      </c>
      <c r="Q528" s="1085">
        <v>24840</v>
      </c>
      <c r="R528" s="25">
        <v>49</v>
      </c>
      <c r="S528" s="770" t="s">
        <v>18</v>
      </c>
      <c r="T528" s="770"/>
      <c r="U528" s="295" t="s">
        <v>3709</v>
      </c>
      <c r="V528" s="770" t="s">
        <v>722</v>
      </c>
      <c r="W528" s="770"/>
      <c r="X528" s="770"/>
      <c r="Y528" s="770" t="s">
        <v>3708</v>
      </c>
      <c r="Z528" s="770" t="s">
        <v>708</v>
      </c>
      <c r="AA528" s="770" t="s">
        <v>709</v>
      </c>
      <c r="AB528" s="295" t="s">
        <v>710</v>
      </c>
      <c r="AC528" s="770" t="s">
        <v>724</v>
      </c>
      <c r="AD528" s="770" t="s">
        <v>711</v>
      </c>
      <c r="AE528" s="770"/>
      <c r="AF528" s="770" t="s">
        <v>712</v>
      </c>
      <c r="AG528" s="766" t="s">
        <v>1165</v>
      </c>
      <c r="AH528" s="766" t="s">
        <v>1096</v>
      </c>
      <c r="AI528" s="770" t="s">
        <v>3723</v>
      </c>
      <c r="AJ528" s="770"/>
      <c r="AK528" s="770" t="s">
        <v>1097</v>
      </c>
      <c r="AL528" s="531">
        <v>38.159999999999997</v>
      </c>
      <c r="AM528" s="780">
        <v>11.95</v>
      </c>
      <c r="AN528" s="532">
        <f>AM528/AL528</f>
        <v>0.31315513626834385</v>
      </c>
      <c r="AO528" s="766" t="s">
        <v>1149</v>
      </c>
      <c r="AP528" s="766" t="s">
        <v>5364</v>
      </c>
      <c r="AQ528" s="766" t="s">
        <v>7418</v>
      </c>
      <c r="AR528" s="766"/>
      <c r="AS528" s="769"/>
      <c r="AT528" s="770"/>
      <c r="AU528" s="770"/>
      <c r="AV528" s="770"/>
      <c r="AW528" s="770"/>
      <c r="AX528" s="770"/>
      <c r="AY528" s="770"/>
      <c r="AZ528" s="770"/>
      <c r="BA528" s="770"/>
      <c r="BB528" s="770"/>
      <c r="BC528" s="770"/>
      <c r="BD528" s="770"/>
      <c r="BE528" s="770"/>
      <c r="BF528" s="302"/>
      <c r="BG528" s="302"/>
      <c r="BH528" s="770"/>
      <c r="BI528" s="770"/>
      <c r="BJ528" s="770"/>
      <c r="BK528" s="770" t="s">
        <v>1095</v>
      </c>
      <c r="BL528" s="770" t="s">
        <v>3713</v>
      </c>
      <c r="BM528" s="770" t="s">
        <v>8108</v>
      </c>
      <c r="BN528" s="766" t="s">
        <v>1230</v>
      </c>
      <c r="BO528" s="770" t="s">
        <v>1275</v>
      </c>
      <c r="BP528" s="12">
        <v>114.48</v>
      </c>
      <c r="BQ528" s="765">
        <v>35.85</v>
      </c>
      <c r="BR528" s="774">
        <f>BQ528/BP528</f>
        <v>0.31315513626834379</v>
      </c>
      <c r="BS528" s="6" t="s">
        <v>1149</v>
      </c>
      <c r="BT528" s="766" t="s">
        <v>2040</v>
      </c>
      <c r="BU528" s="770" t="s">
        <v>1249</v>
      </c>
      <c r="BV528" s="770" t="s">
        <v>1247</v>
      </c>
      <c r="BW528" s="770">
        <v>2006</v>
      </c>
      <c r="BX528" s="302">
        <v>20000</v>
      </c>
      <c r="BY528" s="770" t="s">
        <v>1214</v>
      </c>
      <c r="BZ528" s="302"/>
      <c r="CA528" s="770"/>
      <c r="CB528" s="770"/>
      <c r="CC528" s="770"/>
      <c r="CD528" s="770"/>
      <c r="CE528" s="770"/>
      <c r="CF528" s="1753"/>
      <c r="CG528" s="1754"/>
      <c r="CH528" s="770"/>
      <c r="CI528" s="770"/>
      <c r="CJ528" s="770"/>
      <c r="CK528" s="770"/>
      <c r="CL528" s="770"/>
      <c r="CM528" s="770"/>
      <c r="CN528" s="770"/>
      <c r="CO528" s="770"/>
      <c r="CP528" s="770"/>
      <c r="CQ528" s="770"/>
      <c r="CR528" s="302"/>
      <c r="CS528" s="770"/>
      <c r="CT528" s="770"/>
      <c r="CU528" s="305"/>
      <c r="CV528" s="770"/>
      <c r="CW528" s="770"/>
      <c r="CX528" s="770"/>
      <c r="CY528" s="770"/>
      <c r="CZ528" s="770"/>
      <c r="DA528" s="306"/>
      <c r="DB528" s="770"/>
      <c r="DC528" s="770"/>
      <c r="DD528" s="770"/>
      <c r="DE528" s="300"/>
      <c r="DF528" s="770"/>
      <c r="DG528" s="770"/>
      <c r="DH528" s="770"/>
      <c r="DI528" s="770"/>
      <c r="DJ528" s="770"/>
      <c r="DK528" s="770"/>
      <c r="DL528" s="770"/>
      <c r="DM528" s="770"/>
      <c r="DN528" s="322"/>
      <c r="DO528" s="770"/>
      <c r="DP528" s="770"/>
      <c r="DQ528" s="770"/>
      <c r="DR528" s="770"/>
      <c r="DS528" s="307"/>
      <c r="DT528" s="770"/>
      <c r="DU528" s="770"/>
      <c r="DV528" s="770"/>
      <c r="DW528" s="306"/>
      <c r="DX528" s="306"/>
      <c r="DY528" s="770"/>
      <c r="DZ528" s="770"/>
      <c r="EA528" s="770"/>
      <c r="EB528" s="770"/>
      <c r="EC528" s="770"/>
      <c r="ED528" s="770"/>
      <c r="EE528" s="770"/>
      <c r="EF528" s="770"/>
      <c r="EG528" s="770"/>
      <c r="EH528" s="770"/>
      <c r="EI528" s="770"/>
      <c r="EJ528" s="770"/>
      <c r="EK528" s="770"/>
      <c r="EL528" s="770"/>
      <c r="EM528" s="770"/>
      <c r="EN528" s="770"/>
      <c r="EO528" s="770"/>
      <c r="EP528" s="94"/>
      <c r="EQ528" s="770"/>
      <c r="ER528" s="770"/>
      <c r="ES528" s="770"/>
      <c r="ET528" s="770"/>
      <c r="EU528" s="770"/>
      <c r="EV528" s="770"/>
      <c r="EW528" s="770"/>
      <c r="EX528" s="770"/>
      <c r="EY528" s="770"/>
      <c r="EZ528" s="770"/>
      <c r="FA528" s="770"/>
      <c r="FB528" s="770"/>
      <c r="FC528" s="770"/>
      <c r="FD528" s="302"/>
      <c r="FE528" s="770"/>
      <c r="FF528" s="770"/>
      <c r="FG528" s="770"/>
      <c r="FH528" s="770" t="s">
        <v>478</v>
      </c>
      <c r="FI528" s="770">
        <v>1</v>
      </c>
      <c r="FJ528" s="770"/>
      <c r="FK528" s="770"/>
      <c r="FL528" s="770"/>
      <c r="FM528" s="775"/>
      <c r="FN528" s="775"/>
      <c r="FO528" s="775"/>
      <c r="FP528" s="770" t="s">
        <v>1602</v>
      </c>
      <c r="FQ528" s="770" t="s">
        <v>1660</v>
      </c>
      <c r="FR528" s="770" t="s">
        <v>1214</v>
      </c>
      <c r="FS528" s="770"/>
      <c r="FT528" s="770"/>
      <c r="FU528" s="770"/>
      <c r="FV528" s="770"/>
      <c r="FW528" s="770"/>
      <c r="FX528" s="770"/>
      <c r="FY528" s="770"/>
      <c r="FZ528" s="770"/>
      <c r="GA528" s="770"/>
      <c r="GB528" s="770" t="s">
        <v>1734</v>
      </c>
      <c r="GC528" s="308"/>
      <c r="GD528" s="297">
        <v>2016</v>
      </c>
      <c r="GE528" s="770"/>
      <c r="GF528" s="302"/>
      <c r="GG528" s="302"/>
      <c r="GH528" s="1774" t="s">
        <v>1791</v>
      </c>
      <c r="GI528" s="770" t="s">
        <v>2352</v>
      </c>
      <c r="GJ528" s="770"/>
      <c r="GK528" s="770" t="s">
        <v>2345</v>
      </c>
      <c r="GL528" s="770"/>
      <c r="GM528" s="770" t="s">
        <v>1835</v>
      </c>
      <c r="GN528" s="299" t="s">
        <v>1217</v>
      </c>
      <c r="GO528" s="770" t="s">
        <v>2760</v>
      </c>
      <c r="GP528" s="770"/>
      <c r="GQ528" s="770"/>
      <c r="GR528" s="770"/>
      <c r="GS528" s="770"/>
      <c r="GT528" s="770"/>
      <c r="GU528" s="770"/>
      <c r="GV528" s="770"/>
      <c r="GW528" s="770" t="s">
        <v>3714</v>
      </c>
      <c r="GX528" s="770"/>
      <c r="GY528" s="770"/>
      <c r="GZ528" s="770" t="s">
        <v>1208</v>
      </c>
      <c r="HA528" s="770" t="s">
        <v>1208</v>
      </c>
      <c r="HB528" s="770"/>
      <c r="HC528" s="770" t="s">
        <v>1208</v>
      </c>
      <c r="HD528" s="770"/>
      <c r="HE528" s="770"/>
      <c r="HF528" s="770"/>
      <c r="HG528" s="770"/>
      <c r="HH528" s="770"/>
      <c r="HI528" s="770" t="s">
        <v>1214</v>
      </c>
      <c r="HJ528" s="770"/>
      <c r="HK528" s="770"/>
      <c r="HL528" s="770" t="s">
        <v>1214</v>
      </c>
      <c r="HM528" s="770"/>
      <c r="HN528" s="770"/>
      <c r="HO528" s="770"/>
      <c r="HP528" s="770"/>
      <c r="HQ528" s="770"/>
      <c r="HR528" s="770">
        <v>2</v>
      </c>
      <c r="HS528" s="770"/>
      <c r="HT528" s="770">
        <v>1</v>
      </c>
      <c r="HU528" s="770"/>
      <c r="HV528" s="770"/>
      <c r="HW528" s="770"/>
      <c r="HX528" s="770"/>
      <c r="HY528" s="770"/>
      <c r="HZ528" s="770"/>
      <c r="IA528" s="770"/>
      <c r="IB528" s="770" t="s">
        <v>1207</v>
      </c>
      <c r="IC528" s="770" t="s">
        <v>1207</v>
      </c>
      <c r="ID528" s="770"/>
      <c r="IE528" s="770">
        <v>1</v>
      </c>
      <c r="IF528" s="770" t="s">
        <v>3715</v>
      </c>
      <c r="IG528" s="770" t="s">
        <v>18</v>
      </c>
      <c r="IH528" s="770" t="s">
        <v>478</v>
      </c>
      <c r="II528" s="770" t="s">
        <v>3716</v>
      </c>
      <c r="IJ528" s="770" t="s">
        <v>3717</v>
      </c>
      <c r="IK528" s="770" t="s">
        <v>1876</v>
      </c>
      <c r="IL528" s="770" t="s">
        <v>3705</v>
      </c>
      <c r="IM528" s="770">
        <v>2016</v>
      </c>
      <c r="IN528" s="770" t="s">
        <v>3705</v>
      </c>
      <c r="IO528" s="296">
        <v>24840</v>
      </c>
      <c r="IP528" s="770" t="s">
        <v>478</v>
      </c>
      <c r="IQ528" s="13"/>
      <c r="IR528" s="770" t="s">
        <v>2716</v>
      </c>
      <c r="IS528" s="770" t="s">
        <v>1883</v>
      </c>
      <c r="IT528" s="770"/>
      <c r="IU528" s="770" t="s">
        <v>1208</v>
      </c>
      <c r="IV528" s="770"/>
      <c r="IW528" s="770" t="s">
        <v>13696</v>
      </c>
      <c r="IX528" s="770"/>
      <c r="IY528" s="770" t="s">
        <v>12792</v>
      </c>
      <c r="IZ528" s="770"/>
      <c r="JA528" s="770"/>
      <c r="JB528" s="770" t="s">
        <v>1918</v>
      </c>
      <c r="JC528" s="770"/>
      <c r="JD528" s="302">
        <v>8000</v>
      </c>
      <c r="JE528" s="770"/>
      <c r="JF528" s="770"/>
      <c r="JG528" s="770"/>
      <c r="JH528" s="307"/>
      <c r="JI528" s="307"/>
      <c r="JJ528" s="770">
        <v>2</v>
      </c>
      <c r="JK528" s="770" t="s">
        <v>3705</v>
      </c>
      <c r="JL528" s="770"/>
      <c r="JM528" s="770"/>
      <c r="JN528" s="770">
        <v>1</v>
      </c>
      <c r="JO528" s="770">
        <v>1</v>
      </c>
      <c r="JP528" s="770"/>
      <c r="JQ528" s="770"/>
      <c r="JR528" s="770"/>
      <c r="JS528" s="770"/>
      <c r="JT528" s="766">
        <f t="shared" si="152"/>
        <v>1</v>
      </c>
      <c r="JU528" s="766">
        <f t="shared" si="152"/>
        <v>1</v>
      </c>
      <c r="JV528" s="766"/>
      <c r="JW528" s="766"/>
      <c r="JX528" s="770"/>
      <c r="JY528" s="770"/>
      <c r="JZ528" s="770"/>
      <c r="KA528" s="770"/>
      <c r="KB528" s="770"/>
      <c r="KC528" s="770"/>
      <c r="KD528" s="770">
        <v>1</v>
      </c>
      <c r="KE528" s="770">
        <v>1</v>
      </c>
      <c r="KF528" s="770"/>
      <c r="KG528" s="770"/>
      <c r="KH528" s="770"/>
      <c r="KI528" s="770"/>
      <c r="KJ528" s="770">
        <f t="shared" si="153"/>
        <v>1</v>
      </c>
      <c r="KK528" s="770">
        <f t="shared" si="153"/>
        <v>1</v>
      </c>
      <c r="KL528" s="770"/>
      <c r="KM528" s="770"/>
      <c r="KN528" s="770" t="s">
        <v>722</v>
      </c>
      <c r="KO528" s="770"/>
      <c r="KP528" s="770"/>
      <c r="KQ528" s="770"/>
      <c r="KR528" s="770"/>
      <c r="KS528" s="770"/>
      <c r="KT528" s="770"/>
      <c r="KU528" s="770"/>
      <c r="KV528" s="770"/>
      <c r="KW528" s="770"/>
      <c r="KX528" s="770"/>
      <c r="KY528" s="770"/>
      <c r="KZ528" s="770"/>
      <c r="LA528" s="770"/>
      <c r="LB528" s="770">
        <v>1</v>
      </c>
      <c r="LC528" s="770">
        <v>1</v>
      </c>
      <c r="LD528" s="770"/>
      <c r="LE528" s="770"/>
      <c r="LF528" s="770"/>
      <c r="LG528" s="770"/>
      <c r="LH528" s="770"/>
      <c r="LI528" s="770"/>
      <c r="LJ528" s="770"/>
      <c r="LK528" s="770"/>
      <c r="LL528" s="770"/>
      <c r="LM528" s="770"/>
      <c r="LN528" s="766">
        <f t="shared" si="134"/>
        <v>1</v>
      </c>
      <c r="LO528" s="766">
        <f t="shared" si="134"/>
        <v>1</v>
      </c>
      <c r="LP528" s="770">
        <v>1</v>
      </c>
      <c r="LQ528" s="770"/>
      <c r="LR528" s="770"/>
      <c r="LS528" s="770">
        <v>1</v>
      </c>
      <c r="LT528" s="770"/>
      <c r="LU528" s="770"/>
      <c r="LV528" s="770"/>
      <c r="LW528" s="770"/>
      <c r="LX528" s="769">
        <v>1</v>
      </c>
      <c r="LY528" s="766" t="str">
        <f t="shared" si="135"/>
        <v>within the BRGY</v>
      </c>
      <c r="LZ528" s="1709"/>
      <c r="MA528" s="1709"/>
      <c r="MB528" s="1709"/>
      <c r="MC528" s="1679">
        <f t="shared" si="133"/>
        <v>0</v>
      </c>
      <c r="MD528" s="1709"/>
      <c r="ME528" s="1709"/>
      <c r="MF528" s="1709">
        <v>8000</v>
      </c>
      <c r="MG528" s="1680">
        <f t="shared" si="149"/>
        <v>8000</v>
      </c>
      <c r="MH528" s="770" t="s">
        <v>3706</v>
      </c>
      <c r="MI528" s="302">
        <v>3000</v>
      </c>
      <c r="MJ528" s="302">
        <v>2000</v>
      </c>
      <c r="MK528" s="302"/>
      <c r="ML528" s="302">
        <v>3000</v>
      </c>
      <c r="MM528" s="302"/>
      <c r="MN528" s="302"/>
      <c r="MO528" s="302">
        <v>8000</v>
      </c>
      <c r="MP528" s="302">
        <v>200</v>
      </c>
      <c r="MQ528" s="302">
        <v>500</v>
      </c>
      <c r="MR528" s="302">
        <v>198</v>
      </c>
      <c r="MS528" s="302"/>
      <c r="MT528" s="302"/>
      <c r="MU528" s="302"/>
      <c r="MV528" s="302"/>
      <c r="MW528" s="302"/>
      <c r="MX528" s="302"/>
      <c r="MY528" s="1682">
        <f t="shared" si="147"/>
        <v>16898</v>
      </c>
      <c r="MZ528" s="770" t="s">
        <v>13370</v>
      </c>
      <c r="NA528" s="770" t="s">
        <v>13632</v>
      </c>
      <c r="NB528" s="770" t="s">
        <v>13016</v>
      </c>
      <c r="NC528" s="770" t="s">
        <v>13135</v>
      </c>
      <c r="ND528" s="770">
        <v>0</v>
      </c>
      <c r="NE528" s="770">
        <v>0</v>
      </c>
      <c r="NF528" s="770">
        <v>0</v>
      </c>
      <c r="NG528" s="770">
        <v>1</v>
      </c>
      <c r="NH528" s="770">
        <v>0</v>
      </c>
      <c r="NI528" s="770">
        <v>1</v>
      </c>
      <c r="NJ528" s="770">
        <v>0</v>
      </c>
      <c r="NK528" s="770">
        <v>0</v>
      </c>
      <c r="NL528" s="770">
        <v>0</v>
      </c>
      <c r="NM528" s="770">
        <v>0</v>
      </c>
      <c r="NN528" s="770">
        <v>0</v>
      </c>
      <c r="NO528" s="770">
        <v>0</v>
      </c>
      <c r="NP528" s="770">
        <v>0</v>
      </c>
      <c r="NQ528" s="770">
        <v>0</v>
      </c>
      <c r="NR528" s="770">
        <v>0</v>
      </c>
      <c r="NS528" s="770">
        <v>0</v>
      </c>
      <c r="NT528" s="770">
        <v>0</v>
      </c>
      <c r="NU528" s="770">
        <v>0</v>
      </c>
      <c r="NV528" s="770">
        <v>0</v>
      </c>
      <c r="NW528" s="770">
        <v>0</v>
      </c>
      <c r="NX528" s="770">
        <v>0</v>
      </c>
      <c r="NY528" s="770" t="s">
        <v>1208</v>
      </c>
      <c r="NZ528" s="770"/>
      <c r="OA528" s="770"/>
      <c r="OB528" s="770" t="s">
        <v>1208</v>
      </c>
      <c r="OC528" s="770" t="s">
        <v>1208</v>
      </c>
      <c r="OD528" s="770" t="s">
        <v>1208</v>
      </c>
      <c r="OE528" s="770"/>
      <c r="OF528" s="1834" t="s">
        <v>13034</v>
      </c>
      <c r="OG528" s="770"/>
      <c r="OH528" s="770"/>
      <c r="OI528" s="770"/>
      <c r="OJ528" s="770"/>
      <c r="OK528" s="770"/>
      <c r="OL528" s="770"/>
      <c r="OM528" s="770"/>
      <c r="ON528" s="770"/>
      <c r="OO528" s="770"/>
      <c r="OP528" s="770"/>
      <c r="OQ528" s="770"/>
      <c r="OR528" s="770"/>
      <c r="OS528" s="770"/>
      <c r="OT528" s="770"/>
      <c r="OU528" s="770"/>
      <c r="OV528" s="770"/>
      <c r="OW528" s="770"/>
      <c r="OX528" s="770"/>
      <c r="OY528" s="770"/>
      <c r="OZ528" s="770"/>
      <c r="PA528" s="770"/>
      <c r="PB528" s="770"/>
      <c r="PC528" s="770"/>
      <c r="PD528" s="770"/>
      <c r="PE528" s="770"/>
      <c r="PF528" s="770"/>
      <c r="PG528" s="770"/>
      <c r="PH528" s="770"/>
      <c r="PI528" s="770"/>
      <c r="PJ528" s="770" t="s">
        <v>1208</v>
      </c>
      <c r="PK528" s="770" t="s">
        <v>1208</v>
      </c>
      <c r="PL528" s="770"/>
      <c r="PM528" s="770" t="s">
        <v>1208</v>
      </c>
      <c r="PN528" s="770"/>
      <c r="PO528" s="770"/>
      <c r="PP528" s="770"/>
      <c r="PQ528" s="770"/>
      <c r="PR528" s="770"/>
      <c r="PS528" s="770" t="s">
        <v>1208</v>
      </c>
      <c r="PT528" s="770"/>
      <c r="PU528" s="770"/>
      <c r="PV528" s="770"/>
      <c r="PW528" s="770"/>
      <c r="PX528" s="770"/>
      <c r="PY528" s="770"/>
      <c r="PZ528" s="770"/>
      <c r="QA528" s="770"/>
      <c r="QB528" s="770"/>
      <c r="QC528" s="770"/>
      <c r="QD528" s="770"/>
      <c r="QE528" s="770"/>
      <c r="QF528" s="770"/>
      <c r="QG528" s="770"/>
      <c r="QH528" s="770"/>
      <c r="QI528" s="770"/>
      <c r="QJ528" s="770"/>
      <c r="QK528" s="770"/>
      <c r="QL528" s="770"/>
      <c r="QM528" s="770"/>
      <c r="QN528" s="770"/>
      <c r="QO528" s="770"/>
      <c r="QP528" s="770"/>
      <c r="QQ528" s="770"/>
      <c r="QR528" s="770"/>
      <c r="QS528" s="770"/>
      <c r="QT528" s="770"/>
      <c r="QU528" s="770"/>
      <c r="QV528" s="770"/>
      <c r="QW528" s="770"/>
      <c r="QX528" s="770"/>
      <c r="QY528" s="770"/>
      <c r="QZ528" s="770"/>
      <c r="RA528" s="770"/>
      <c r="RB528" s="770" t="s">
        <v>1207</v>
      </c>
      <c r="RC528" s="770">
        <v>2013</v>
      </c>
      <c r="RD528" s="770" t="s">
        <v>13251</v>
      </c>
      <c r="RE528" s="770" t="s">
        <v>12999</v>
      </c>
      <c r="RF528" s="304">
        <v>0.5</v>
      </c>
      <c r="RG528" s="770" t="s">
        <v>13047</v>
      </c>
      <c r="RH528" s="302">
        <v>0</v>
      </c>
      <c r="RI528" s="770">
        <v>1</v>
      </c>
      <c r="RJ528" s="770" t="s">
        <v>3705</v>
      </c>
      <c r="RK528" s="770" t="s">
        <v>13556</v>
      </c>
      <c r="RL528" s="1710"/>
      <c r="RM528" s="12"/>
      <c r="RN528" s="1711"/>
      <c r="RO528" s="133" t="s">
        <v>3704</v>
      </c>
      <c r="RP528" s="11"/>
      <c r="RQ528" s="11"/>
      <c r="RR528" s="17"/>
      <c r="RS528" s="767"/>
      <c r="RT528" s="11"/>
      <c r="RU528" s="11"/>
      <c r="RV528" s="771" t="s">
        <v>7419</v>
      </c>
      <c r="RW528" s="11" t="s">
        <v>7706</v>
      </c>
      <c r="RX528" s="11" t="s">
        <v>3695</v>
      </c>
      <c r="RY528" s="11"/>
      <c r="RZ528" s="11" t="s">
        <v>1101</v>
      </c>
      <c r="SA528" s="771"/>
      <c r="SB528" s="11"/>
      <c r="SC528" s="11"/>
    </row>
    <row r="529" spans="1:497" ht="12.75" hidden="1" customHeight="1">
      <c r="A529" s="343" t="s">
        <v>14213</v>
      </c>
      <c r="B529" s="752" t="s">
        <v>7708</v>
      </c>
      <c r="C529" s="133" t="s">
        <v>3704</v>
      </c>
      <c r="D529" s="94" t="s">
        <v>3718</v>
      </c>
      <c r="E529" s="766" t="s">
        <v>3708</v>
      </c>
      <c r="F529" s="770" t="s">
        <v>28</v>
      </c>
      <c r="G529" s="770" t="s">
        <v>18</v>
      </c>
      <c r="H529" s="770"/>
      <c r="I529" s="295" t="s">
        <v>3719</v>
      </c>
      <c r="J529" s="94" t="s">
        <v>3718</v>
      </c>
      <c r="K529" s="766" t="s">
        <v>3710</v>
      </c>
      <c r="L529" s="766" t="s">
        <v>3711</v>
      </c>
      <c r="M529" s="770" t="s">
        <v>1238</v>
      </c>
      <c r="N529" s="770"/>
      <c r="O529" s="770" t="s">
        <v>3477</v>
      </c>
      <c r="P529" s="770" t="s">
        <v>3720</v>
      </c>
      <c r="Q529" s="1085">
        <v>28279</v>
      </c>
      <c r="R529" s="25">
        <v>39</v>
      </c>
      <c r="S529" s="770" t="s">
        <v>18</v>
      </c>
      <c r="T529" s="770"/>
      <c r="U529" s="295" t="s">
        <v>3719</v>
      </c>
      <c r="V529" s="770" t="s">
        <v>2970</v>
      </c>
      <c r="W529" s="770"/>
      <c r="X529" s="770"/>
      <c r="Y529" s="770" t="s">
        <v>3708</v>
      </c>
      <c r="Z529" s="770" t="s">
        <v>3721</v>
      </c>
      <c r="AA529" s="770" t="s">
        <v>709</v>
      </c>
      <c r="AB529" s="295" t="s">
        <v>710</v>
      </c>
      <c r="AC529" s="770"/>
      <c r="AD529" s="770"/>
      <c r="AE529" s="770"/>
      <c r="AF529" s="770" t="s">
        <v>712</v>
      </c>
      <c r="AG529" s="770"/>
      <c r="AH529" s="770"/>
      <c r="AI529" s="770"/>
      <c r="AJ529" s="770"/>
      <c r="AK529" s="770" t="s">
        <v>1899</v>
      </c>
      <c r="AL529" s="531"/>
      <c r="AM529" s="780"/>
      <c r="AN529" s="532"/>
      <c r="AO529" s="766"/>
      <c r="AP529" s="766"/>
      <c r="AQ529" s="766"/>
      <c r="AR529" s="766"/>
      <c r="AS529" s="769"/>
      <c r="AT529" s="770"/>
      <c r="AU529" s="770"/>
      <c r="AV529" s="770"/>
      <c r="AW529" s="770"/>
      <c r="AX529" s="770"/>
      <c r="AY529" s="770"/>
      <c r="AZ529" s="770"/>
      <c r="BA529" s="770"/>
      <c r="BB529" s="770"/>
      <c r="BC529" s="770"/>
      <c r="BD529" s="770"/>
      <c r="BE529" s="770"/>
      <c r="BF529" s="302"/>
      <c r="BG529" s="302"/>
      <c r="BH529" s="770"/>
      <c r="BI529" s="770"/>
      <c r="BJ529" s="770"/>
      <c r="BK529" s="770" t="s">
        <v>1095</v>
      </c>
      <c r="BL529" s="770" t="s">
        <v>3723</v>
      </c>
      <c r="BM529" s="770" t="s">
        <v>12455</v>
      </c>
      <c r="BN529" s="770" t="s">
        <v>1260</v>
      </c>
      <c r="BO529" s="770"/>
      <c r="BP529" s="780"/>
      <c r="BQ529" s="773"/>
      <c r="BR529" s="774"/>
      <c r="BS529" s="6" t="s">
        <v>1149</v>
      </c>
      <c r="BT529" s="770"/>
      <c r="BU529" s="770"/>
      <c r="BV529" s="770"/>
      <c r="BW529" s="770"/>
      <c r="BX529" s="302"/>
      <c r="BY529" s="770"/>
      <c r="BZ529" s="302"/>
      <c r="CA529" s="770"/>
      <c r="CB529" s="770"/>
      <c r="CC529" s="770"/>
      <c r="CD529" s="770"/>
      <c r="CE529" s="770"/>
      <c r="CF529" s="1753"/>
      <c r="CG529" s="1754"/>
      <c r="CH529" s="770"/>
      <c r="CI529" s="770"/>
      <c r="CJ529" s="770"/>
      <c r="CK529" s="770"/>
      <c r="CL529" s="770"/>
      <c r="CM529" s="770"/>
      <c r="CN529" s="770"/>
      <c r="CO529" s="770"/>
      <c r="CP529" s="770"/>
      <c r="CQ529" s="770"/>
      <c r="CR529" s="302"/>
      <c r="CS529" s="770"/>
      <c r="CT529" s="770"/>
      <c r="CU529" s="305"/>
      <c r="CV529" s="770"/>
      <c r="CW529" s="770"/>
      <c r="CX529" s="770"/>
      <c r="CY529" s="770"/>
      <c r="CZ529" s="770"/>
      <c r="DA529" s="306"/>
      <c r="DB529" s="770"/>
      <c r="DC529" s="770"/>
      <c r="DD529" s="770"/>
      <c r="DE529" s="300"/>
      <c r="DF529" s="770"/>
      <c r="DG529" s="770"/>
      <c r="DH529" s="770"/>
      <c r="DI529" s="770"/>
      <c r="DJ529" s="770"/>
      <c r="DK529" s="770"/>
      <c r="DL529" s="770"/>
      <c r="DM529" s="770"/>
      <c r="DN529" s="322"/>
      <c r="DO529" s="770"/>
      <c r="DP529" s="770"/>
      <c r="DQ529" s="770"/>
      <c r="DR529" s="770"/>
      <c r="DS529" s="307"/>
      <c r="DT529" s="770"/>
      <c r="DU529" s="770"/>
      <c r="DV529" s="770"/>
      <c r="DW529" s="306"/>
      <c r="DX529" s="306"/>
      <c r="DY529" s="770"/>
      <c r="DZ529" s="770"/>
      <c r="EA529" s="770"/>
      <c r="EB529" s="770"/>
      <c r="EC529" s="770"/>
      <c r="ED529" s="770"/>
      <c r="EE529" s="770"/>
      <c r="EF529" s="770"/>
      <c r="EG529" s="770"/>
      <c r="EH529" s="770"/>
      <c r="EI529" s="770"/>
      <c r="EJ529" s="770"/>
      <c r="EK529" s="770"/>
      <c r="EL529" s="770"/>
      <c r="EM529" s="770"/>
      <c r="EN529" s="770"/>
      <c r="EO529" s="770"/>
      <c r="EP529" s="94"/>
      <c r="EQ529" s="770"/>
      <c r="ER529" s="770"/>
      <c r="ES529" s="770"/>
      <c r="ET529" s="770"/>
      <c r="EU529" s="770"/>
      <c r="EV529" s="770"/>
      <c r="EW529" s="770"/>
      <c r="EX529" s="770"/>
      <c r="EY529" s="770"/>
      <c r="EZ529" s="770"/>
      <c r="FA529" s="770"/>
      <c r="FB529" s="770"/>
      <c r="FC529" s="770"/>
      <c r="FD529" s="302"/>
      <c r="FE529" s="770"/>
      <c r="FF529" s="770"/>
      <c r="FG529" s="770"/>
      <c r="FH529" s="770" t="s">
        <v>478</v>
      </c>
      <c r="FI529" s="770">
        <v>1</v>
      </c>
      <c r="FJ529" s="770"/>
      <c r="FK529" s="770"/>
      <c r="FL529" s="770"/>
      <c r="FM529" s="775"/>
      <c r="FN529" s="775"/>
      <c r="FO529" s="775"/>
      <c r="FP529" s="770" t="s">
        <v>1602</v>
      </c>
      <c r="FQ529" s="770" t="s">
        <v>1660</v>
      </c>
      <c r="FR529" s="770" t="s">
        <v>1214</v>
      </c>
      <c r="FS529" s="770"/>
      <c r="FT529" s="770"/>
      <c r="FU529" s="770"/>
      <c r="FV529" s="770"/>
      <c r="FW529" s="770"/>
      <c r="FX529" s="770"/>
      <c r="FY529" s="770"/>
      <c r="FZ529" s="770"/>
      <c r="GA529" s="770"/>
      <c r="GB529" s="770" t="s">
        <v>853</v>
      </c>
      <c r="GC529" s="308" t="s">
        <v>3722</v>
      </c>
      <c r="GD529" s="297"/>
      <c r="GE529" s="770"/>
      <c r="GF529" s="302"/>
      <c r="GG529" s="302"/>
      <c r="GH529" s="1774" t="s">
        <v>1791</v>
      </c>
      <c r="GI529" s="770" t="s">
        <v>2352</v>
      </c>
      <c r="GJ529" s="770"/>
      <c r="GK529" s="770" t="s">
        <v>2345</v>
      </c>
      <c r="GL529" s="770"/>
      <c r="GM529" s="770"/>
      <c r="GN529" s="299"/>
      <c r="GO529" s="770"/>
      <c r="GP529" s="770" t="s">
        <v>1208</v>
      </c>
      <c r="GQ529" s="770" t="s">
        <v>1208</v>
      </c>
      <c r="GR529" s="770" t="s">
        <v>1208</v>
      </c>
      <c r="GS529" s="770" t="s">
        <v>1208</v>
      </c>
      <c r="GT529" s="770" t="s">
        <v>1208</v>
      </c>
      <c r="GU529" s="770"/>
      <c r="GV529" s="770"/>
      <c r="GW529" s="770" t="s">
        <v>1207</v>
      </c>
      <c r="GX529" s="770"/>
      <c r="GY529" s="770" t="s">
        <v>1208</v>
      </c>
      <c r="GZ529" s="770" t="s">
        <v>1208</v>
      </c>
      <c r="HA529" s="770" t="s">
        <v>1208</v>
      </c>
      <c r="HB529" s="770" t="s">
        <v>1208</v>
      </c>
      <c r="HC529" s="770" t="s">
        <v>1208</v>
      </c>
      <c r="HD529" s="770" t="s">
        <v>1208</v>
      </c>
      <c r="HE529" s="770" t="s">
        <v>1208</v>
      </c>
      <c r="HF529" s="770"/>
      <c r="HG529" s="770"/>
      <c r="HH529" s="770"/>
      <c r="HI529" s="770" t="s">
        <v>1214</v>
      </c>
      <c r="HJ529" s="770"/>
      <c r="HK529" s="770"/>
      <c r="HL529" s="770" t="s">
        <v>1214</v>
      </c>
      <c r="HM529" s="770"/>
      <c r="HN529" s="770"/>
      <c r="HO529" s="770"/>
      <c r="HP529" s="770"/>
      <c r="HQ529" s="770"/>
      <c r="HR529" s="770"/>
      <c r="HS529" s="770"/>
      <c r="HT529" s="770"/>
      <c r="HU529" s="770"/>
      <c r="HV529" s="770"/>
      <c r="HW529" s="770"/>
      <c r="HX529" s="770"/>
      <c r="HY529" s="770"/>
      <c r="HZ529" s="770"/>
      <c r="IA529" s="770"/>
      <c r="IB529" s="770"/>
      <c r="IC529" s="770"/>
      <c r="ID529" s="770"/>
      <c r="IE529" s="770">
        <v>1</v>
      </c>
      <c r="IF529" s="770" t="s">
        <v>3726</v>
      </c>
      <c r="IG529" s="770" t="s">
        <v>18</v>
      </c>
      <c r="IH529" s="770" t="s">
        <v>478</v>
      </c>
      <c r="II529" s="770" t="s">
        <v>3716</v>
      </c>
      <c r="IJ529" s="770" t="s">
        <v>3727</v>
      </c>
      <c r="IK529" s="770" t="s">
        <v>2639</v>
      </c>
      <c r="IL529" s="770" t="s">
        <v>3724</v>
      </c>
      <c r="IM529" s="770"/>
      <c r="IN529" s="770" t="s">
        <v>3724</v>
      </c>
      <c r="IO529" s="296">
        <v>28279</v>
      </c>
      <c r="IP529" s="770" t="s">
        <v>3728</v>
      </c>
      <c r="IQ529" s="769" t="s">
        <v>7889</v>
      </c>
      <c r="IR529" s="770" t="s">
        <v>3729</v>
      </c>
      <c r="IS529" s="770" t="s">
        <v>1883</v>
      </c>
      <c r="IT529" s="770"/>
      <c r="IU529" s="770" t="s">
        <v>1208</v>
      </c>
      <c r="IV529" s="770"/>
      <c r="IW529" s="770" t="s">
        <v>13697</v>
      </c>
      <c r="IX529" s="770"/>
      <c r="IY529" s="770" t="s">
        <v>3719</v>
      </c>
      <c r="IZ529" s="770"/>
      <c r="JA529" s="770" t="s">
        <v>1886</v>
      </c>
      <c r="JB529" s="770" t="s">
        <v>1918</v>
      </c>
      <c r="JC529" s="770" t="s">
        <v>12778</v>
      </c>
      <c r="JD529" s="302" t="s">
        <v>2979</v>
      </c>
      <c r="JE529" s="770">
        <v>3</v>
      </c>
      <c r="JF529" s="770">
        <v>1</v>
      </c>
      <c r="JG529" s="770"/>
      <c r="JH529" s="307">
        <v>25000</v>
      </c>
      <c r="JI529" s="307"/>
      <c r="JJ529" s="770">
        <v>1</v>
      </c>
      <c r="JK529" s="770" t="s">
        <v>3724</v>
      </c>
      <c r="JL529" s="770"/>
      <c r="JM529" s="770"/>
      <c r="JN529" s="770"/>
      <c r="JO529" s="770">
        <v>1</v>
      </c>
      <c r="JP529" s="770"/>
      <c r="JQ529" s="770"/>
      <c r="JR529" s="770"/>
      <c r="JS529" s="770"/>
      <c r="JT529" s="766">
        <f t="shared" si="152"/>
        <v>0</v>
      </c>
      <c r="JU529" s="766">
        <f t="shared" si="152"/>
        <v>1</v>
      </c>
      <c r="JV529" s="766"/>
      <c r="JW529" s="766"/>
      <c r="JX529" s="770"/>
      <c r="JY529" s="770"/>
      <c r="JZ529" s="770"/>
      <c r="KA529" s="770"/>
      <c r="KB529" s="770"/>
      <c r="KC529" s="770"/>
      <c r="KD529" s="770"/>
      <c r="KE529" s="770">
        <v>1</v>
      </c>
      <c r="KF529" s="770"/>
      <c r="KG529" s="770"/>
      <c r="KH529" s="770"/>
      <c r="KI529" s="770"/>
      <c r="KJ529" s="770">
        <f t="shared" si="153"/>
        <v>0</v>
      </c>
      <c r="KK529" s="770">
        <f t="shared" si="153"/>
        <v>1</v>
      </c>
      <c r="KL529" s="770"/>
      <c r="KM529" s="770"/>
      <c r="KN529" s="770" t="s">
        <v>783</v>
      </c>
      <c r="KO529" s="770"/>
      <c r="KP529" s="770"/>
      <c r="KQ529" s="770"/>
      <c r="KR529" s="770"/>
      <c r="KS529" s="770"/>
      <c r="KT529" s="770"/>
      <c r="KU529" s="770"/>
      <c r="KV529" s="770"/>
      <c r="KW529" s="770"/>
      <c r="KX529" s="770"/>
      <c r="KY529" s="770"/>
      <c r="KZ529" s="770"/>
      <c r="LA529" s="770"/>
      <c r="LB529" s="770"/>
      <c r="LC529" s="770"/>
      <c r="LD529" s="770"/>
      <c r="LE529" s="770">
        <v>1</v>
      </c>
      <c r="LF529" s="770"/>
      <c r="LG529" s="770"/>
      <c r="LH529" s="770"/>
      <c r="LI529" s="770"/>
      <c r="LJ529" s="770"/>
      <c r="LK529" s="770"/>
      <c r="LL529" s="770"/>
      <c r="LM529" s="770"/>
      <c r="LN529" s="766">
        <f t="shared" si="134"/>
        <v>0</v>
      </c>
      <c r="LO529" s="766">
        <f t="shared" si="134"/>
        <v>1</v>
      </c>
      <c r="LP529" s="770">
        <v>1</v>
      </c>
      <c r="LQ529" s="770">
        <v>1</v>
      </c>
      <c r="LR529" s="770"/>
      <c r="LS529" s="770">
        <v>1</v>
      </c>
      <c r="LT529" s="770"/>
      <c r="LU529" s="770"/>
      <c r="LV529" s="770"/>
      <c r="LW529" s="770"/>
      <c r="LX529" s="769">
        <v>3</v>
      </c>
      <c r="LY529" s="766" t="str">
        <f t="shared" si="135"/>
        <v>within the PROVINCE</v>
      </c>
      <c r="LZ529" s="1709">
        <f>41*20</f>
        <v>820</v>
      </c>
      <c r="MA529" s="1709"/>
      <c r="MB529" s="1709"/>
      <c r="MC529" s="1679">
        <f t="shared" si="133"/>
        <v>820</v>
      </c>
      <c r="MD529" s="1709">
        <v>16000</v>
      </c>
      <c r="ME529" s="1709"/>
      <c r="MF529" s="1709">
        <v>20000</v>
      </c>
      <c r="MG529" s="1680">
        <f t="shared" si="149"/>
        <v>36000</v>
      </c>
      <c r="MH529" s="770" t="s">
        <v>3725</v>
      </c>
      <c r="MI529" s="302">
        <v>15000</v>
      </c>
      <c r="MJ529" s="302">
        <v>1500</v>
      </c>
      <c r="MK529" s="302">
        <v>1200</v>
      </c>
      <c r="ML529" s="302">
        <v>1500</v>
      </c>
      <c r="MM529" s="302"/>
      <c r="MN529" s="302">
        <v>3000</v>
      </c>
      <c r="MO529" s="302">
        <v>1000</v>
      </c>
      <c r="MP529" s="302">
        <v>5000</v>
      </c>
      <c r="MQ529" s="302">
        <v>2000</v>
      </c>
      <c r="MR529" s="302">
        <v>1500</v>
      </c>
      <c r="MS529" s="302">
        <v>1300</v>
      </c>
      <c r="MT529" s="302"/>
      <c r="MU529" s="302"/>
      <c r="MV529" s="302"/>
      <c r="MW529" s="302"/>
      <c r="MX529" s="302"/>
      <c r="MY529" s="1682">
        <f t="shared" si="147"/>
        <v>33000</v>
      </c>
      <c r="MZ529" s="770" t="s">
        <v>13395</v>
      </c>
      <c r="NA529" s="770" t="s">
        <v>13698</v>
      </c>
      <c r="NB529" s="770" t="s">
        <v>13016</v>
      </c>
      <c r="NC529" s="770" t="s">
        <v>13621</v>
      </c>
      <c r="ND529" s="770">
        <v>0</v>
      </c>
      <c r="NE529" s="770">
        <v>0</v>
      </c>
      <c r="NF529" s="770">
        <v>1</v>
      </c>
      <c r="NG529" s="770">
        <v>1</v>
      </c>
      <c r="NH529" s="770">
        <v>1</v>
      </c>
      <c r="NI529" s="770">
        <v>1</v>
      </c>
      <c r="NJ529" s="770">
        <v>1</v>
      </c>
      <c r="NK529" s="770">
        <v>0</v>
      </c>
      <c r="NL529" s="770">
        <v>1</v>
      </c>
      <c r="NM529" s="770">
        <v>1</v>
      </c>
      <c r="NN529" s="770">
        <v>0</v>
      </c>
      <c r="NO529" s="770">
        <v>0</v>
      </c>
      <c r="NP529" s="770">
        <v>0</v>
      </c>
      <c r="NQ529" s="770">
        <v>0</v>
      </c>
      <c r="NR529" s="770">
        <v>0</v>
      </c>
      <c r="NS529" s="770">
        <v>0</v>
      </c>
      <c r="NT529" s="770">
        <v>0</v>
      </c>
      <c r="NU529" s="770">
        <v>0</v>
      </c>
      <c r="NV529" s="770">
        <v>0</v>
      </c>
      <c r="NW529" s="770">
        <v>0</v>
      </c>
      <c r="NX529" s="770">
        <v>0</v>
      </c>
      <c r="NY529" s="770" t="s">
        <v>1208</v>
      </c>
      <c r="NZ529" s="770"/>
      <c r="OA529" s="770"/>
      <c r="OB529" s="770" t="s">
        <v>1208</v>
      </c>
      <c r="OC529" s="770" t="s">
        <v>1208</v>
      </c>
      <c r="OD529" s="770"/>
      <c r="OE529" s="770"/>
      <c r="OF529" s="770" t="s">
        <v>2143</v>
      </c>
      <c r="OG529" s="770"/>
      <c r="OH529" s="770"/>
      <c r="OI529" s="770"/>
      <c r="OJ529" s="770"/>
      <c r="OK529" s="770" t="s">
        <v>1208</v>
      </c>
      <c r="OL529" s="770"/>
      <c r="OM529" s="770"/>
      <c r="ON529" s="770"/>
      <c r="OO529" s="770"/>
      <c r="OP529" s="770"/>
      <c r="OQ529" s="770"/>
      <c r="OR529" s="770"/>
      <c r="OS529" s="770"/>
      <c r="OT529" s="770"/>
      <c r="OU529" s="770"/>
      <c r="OV529" s="770"/>
      <c r="OW529" s="770"/>
      <c r="OX529" s="770"/>
      <c r="OY529" s="770"/>
      <c r="OZ529" s="770"/>
      <c r="PA529" s="770"/>
      <c r="PB529" s="770"/>
      <c r="PC529" s="770"/>
      <c r="PD529" s="770"/>
      <c r="PE529" s="770"/>
      <c r="PF529" s="770"/>
      <c r="PG529" s="770"/>
      <c r="PH529" s="770" t="s">
        <v>1208</v>
      </c>
      <c r="PI529" s="770"/>
      <c r="PJ529" s="770"/>
      <c r="PK529" s="770" t="s">
        <v>1208</v>
      </c>
      <c r="PL529" s="770"/>
      <c r="PM529" s="770"/>
      <c r="PN529" s="770"/>
      <c r="PO529" s="770"/>
      <c r="PP529" s="770"/>
      <c r="PQ529" s="770"/>
      <c r="PR529" s="770"/>
      <c r="PS529" s="770"/>
      <c r="PT529" s="770" t="s">
        <v>1208</v>
      </c>
      <c r="PU529" s="770"/>
      <c r="PV529" s="770"/>
      <c r="PW529" s="770"/>
      <c r="PX529" s="770"/>
      <c r="PY529" s="770"/>
      <c r="PZ529" s="770"/>
      <c r="QA529" s="770"/>
      <c r="QB529" s="770"/>
      <c r="QC529" s="770"/>
      <c r="QD529" s="770"/>
      <c r="QE529" s="770"/>
      <c r="QF529" s="770"/>
      <c r="QG529" s="770"/>
      <c r="QH529" s="770"/>
      <c r="QI529" s="770"/>
      <c r="QJ529" s="770"/>
      <c r="QK529" s="770"/>
      <c r="QL529" s="770"/>
      <c r="QM529" s="770"/>
      <c r="QN529" s="770"/>
      <c r="QO529" s="770"/>
      <c r="QP529" s="770"/>
      <c r="QQ529" s="770"/>
      <c r="QR529" s="770"/>
      <c r="QS529" s="770"/>
      <c r="QT529" s="770"/>
      <c r="QU529" s="770"/>
      <c r="QV529" s="770"/>
      <c r="QW529" s="770"/>
      <c r="QX529" s="770"/>
      <c r="QY529" s="770"/>
      <c r="QZ529" s="770"/>
      <c r="RA529" s="770"/>
      <c r="RB529" s="770" t="s">
        <v>1207</v>
      </c>
      <c r="RC529" s="770">
        <v>2014</v>
      </c>
      <c r="RD529" s="770" t="s">
        <v>13046</v>
      </c>
      <c r="RE529" s="770"/>
      <c r="RF529" s="304">
        <f>CONVERT(1.5,"ft","m")</f>
        <v>0.4572</v>
      </c>
      <c r="RG529" s="770" t="s">
        <v>13047</v>
      </c>
      <c r="RH529" s="302">
        <v>0</v>
      </c>
      <c r="RI529" s="770">
        <v>1</v>
      </c>
      <c r="RJ529" s="770" t="s">
        <v>13699</v>
      </c>
      <c r="RK529" s="770" t="s">
        <v>13552</v>
      </c>
      <c r="RL529" s="1710"/>
      <c r="RM529" s="12"/>
      <c r="RN529" s="1711"/>
      <c r="RO529" s="133" t="s">
        <v>3704</v>
      </c>
      <c r="RP529" s="11"/>
      <c r="RQ529" s="11"/>
      <c r="RR529" s="17"/>
      <c r="RS529" s="767"/>
      <c r="RT529" s="11"/>
      <c r="RU529" s="11"/>
      <c r="RV529" s="771" t="s">
        <v>7419</v>
      </c>
      <c r="RW529" s="11" t="s">
        <v>7803</v>
      </c>
      <c r="RX529" s="11" t="s">
        <v>3685</v>
      </c>
      <c r="RY529" s="11"/>
      <c r="RZ529" s="11"/>
      <c r="SA529" s="771"/>
      <c r="SB529" s="11"/>
      <c r="SC529" s="11"/>
    </row>
    <row r="530" spans="1:497" ht="12.75" hidden="1" customHeight="1">
      <c r="A530" s="343" t="s">
        <v>7419</v>
      </c>
      <c r="B530" s="752" t="s">
        <v>7792</v>
      </c>
      <c r="C530" s="133" t="s">
        <v>2955</v>
      </c>
      <c r="D530" s="94" t="s">
        <v>2956</v>
      </c>
      <c r="E530" s="766" t="s">
        <v>3708</v>
      </c>
      <c r="F530" s="770"/>
      <c r="G530" s="770"/>
      <c r="H530" s="770"/>
      <c r="I530" s="295"/>
      <c r="J530" s="94"/>
      <c r="K530" s="766" t="s">
        <v>3733</v>
      </c>
      <c r="L530" s="766" t="s">
        <v>2461</v>
      </c>
      <c r="M530" s="770" t="s">
        <v>1238</v>
      </c>
      <c r="N530" s="770"/>
      <c r="O530" s="770" t="s">
        <v>3477</v>
      </c>
      <c r="P530" s="770"/>
      <c r="Q530" s="1085"/>
      <c r="R530" s="25"/>
      <c r="S530" s="770"/>
      <c r="T530" s="770"/>
      <c r="U530" s="295"/>
      <c r="V530" s="770"/>
      <c r="W530" s="770"/>
      <c r="X530" s="770"/>
      <c r="Y530" s="770"/>
      <c r="Z530" s="770"/>
      <c r="AA530" s="770"/>
      <c r="AB530" s="295"/>
      <c r="AC530" s="770"/>
      <c r="AD530" s="770"/>
      <c r="AE530" s="770"/>
      <c r="AF530" s="770"/>
      <c r="AG530" s="766" t="s">
        <v>1095</v>
      </c>
      <c r="AH530" s="766" t="s">
        <v>1096</v>
      </c>
      <c r="AI530" s="770"/>
      <c r="AJ530" s="770" t="s">
        <v>1137</v>
      </c>
      <c r="AK530" s="770" t="s">
        <v>1097</v>
      </c>
      <c r="AL530" s="531">
        <v>50</v>
      </c>
      <c r="AM530" s="780">
        <v>7.5</v>
      </c>
      <c r="AN530" s="532">
        <f>AM530/AL530</f>
        <v>0.15</v>
      </c>
      <c r="AO530" s="766" t="s">
        <v>1109</v>
      </c>
      <c r="AP530" s="766" t="s">
        <v>5364</v>
      </c>
      <c r="AQ530" s="766" t="s">
        <v>7418</v>
      </c>
      <c r="AR530" s="766"/>
      <c r="AS530" s="769"/>
      <c r="AT530" s="770"/>
      <c r="AU530" s="770"/>
      <c r="AV530" s="770"/>
      <c r="AW530" s="770"/>
      <c r="AX530" s="770"/>
      <c r="AY530" s="770"/>
      <c r="AZ530" s="770"/>
      <c r="BA530" s="770"/>
      <c r="BB530" s="770"/>
      <c r="BC530" s="770"/>
      <c r="BD530" s="770"/>
      <c r="BE530" s="770"/>
      <c r="BF530" s="302"/>
      <c r="BG530" s="302"/>
      <c r="BH530" s="770"/>
      <c r="BI530" s="770"/>
      <c r="BJ530" s="770"/>
      <c r="BK530" s="770" t="s">
        <v>1095</v>
      </c>
      <c r="BL530" s="770" t="s">
        <v>3735</v>
      </c>
      <c r="BM530" s="770" t="s">
        <v>8108</v>
      </c>
      <c r="BN530" s="770" t="s">
        <v>1230</v>
      </c>
      <c r="BO530" s="766" t="s">
        <v>1246</v>
      </c>
      <c r="BP530" s="782">
        <v>50</v>
      </c>
      <c r="BQ530" s="765">
        <v>7.5</v>
      </c>
      <c r="BR530" s="774">
        <f t="shared" si="151"/>
        <v>0.15</v>
      </c>
      <c r="BS530" s="766" t="s">
        <v>1242</v>
      </c>
      <c r="BT530" s="766" t="s">
        <v>2040</v>
      </c>
      <c r="BU530" s="770" t="s">
        <v>1249</v>
      </c>
      <c r="BV530" s="770" t="s">
        <v>1247</v>
      </c>
      <c r="BW530" s="770">
        <v>2015</v>
      </c>
      <c r="BX530" s="302"/>
      <c r="BY530" s="770"/>
      <c r="BZ530" s="302"/>
      <c r="CA530" s="770"/>
      <c r="CB530" s="770"/>
      <c r="CC530" s="770"/>
      <c r="CD530" s="770"/>
      <c r="CE530" s="770"/>
      <c r="CF530" s="1753"/>
      <c r="CG530" s="1754"/>
      <c r="CH530" s="770"/>
      <c r="CI530" s="770"/>
      <c r="CJ530" s="770"/>
      <c r="CK530" s="770"/>
      <c r="CL530" s="770"/>
      <c r="CM530" s="770"/>
      <c r="CN530" s="770"/>
      <c r="CO530" s="770"/>
      <c r="CP530" s="770"/>
      <c r="CQ530" s="770"/>
      <c r="CR530" s="302"/>
      <c r="CS530" s="770"/>
      <c r="CT530" s="770"/>
      <c r="CU530" s="305"/>
      <c r="CV530" s="770"/>
      <c r="CW530" s="770"/>
      <c r="CX530" s="770"/>
      <c r="CY530" s="770"/>
      <c r="CZ530" s="770"/>
      <c r="DA530" s="306"/>
      <c r="DB530" s="770"/>
      <c r="DC530" s="770"/>
      <c r="DD530" s="770"/>
      <c r="DE530" s="300"/>
      <c r="DF530" s="770"/>
      <c r="DG530" s="770"/>
      <c r="DH530" s="770"/>
      <c r="DI530" s="770"/>
      <c r="DJ530" s="770"/>
      <c r="DK530" s="770"/>
      <c r="DL530" s="770"/>
      <c r="DM530" s="770"/>
      <c r="DN530" s="322"/>
      <c r="DO530" s="770"/>
      <c r="DP530" s="770"/>
      <c r="DQ530" s="770"/>
      <c r="DR530" s="770"/>
      <c r="DS530" s="307"/>
      <c r="DT530" s="770"/>
      <c r="DU530" s="770"/>
      <c r="DV530" s="770"/>
      <c r="DW530" s="306"/>
      <c r="DX530" s="306"/>
      <c r="DY530" s="770"/>
      <c r="DZ530" s="770"/>
      <c r="EA530" s="770"/>
      <c r="EB530" s="770"/>
      <c r="EC530" s="770"/>
      <c r="ED530" s="770"/>
      <c r="EE530" s="770"/>
      <c r="EF530" s="770"/>
      <c r="EG530" s="770"/>
      <c r="EH530" s="770"/>
      <c r="EI530" s="770"/>
      <c r="EJ530" s="770"/>
      <c r="EK530" s="770"/>
      <c r="EL530" s="770"/>
      <c r="EM530" s="770"/>
      <c r="EN530" s="770"/>
      <c r="EO530" s="770"/>
      <c r="EP530" s="94"/>
      <c r="EQ530" s="770"/>
      <c r="ER530" s="770"/>
      <c r="ES530" s="770"/>
      <c r="ET530" s="770"/>
      <c r="EU530" s="770"/>
      <c r="EV530" s="770"/>
      <c r="EW530" s="770"/>
      <c r="EX530" s="770"/>
      <c r="EY530" s="770"/>
      <c r="EZ530" s="770"/>
      <c r="FA530" s="770"/>
      <c r="FB530" s="770"/>
      <c r="FC530" s="770"/>
      <c r="FD530" s="302"/>
      <c r="FE530" s="770"/>
      <c r="FF530" s="770"/>
      <c r="FG530" s="770"/>
      <c r="FH530" s="770"/>
      <c r="FI530" s="770"/>
      <c r="FJ530" s="770"/>
      <c r="FK530" s="770"/>
      <c r="FL530" s="770"/>
      <c r="FM530" s="775"/>
      <c r="FN530" s="775"/>
      <c r="FO530" s="775"/>
      <c r="FP530" s="770"/>
      <c r="FQ530" s="770"/>
      <c r="FR530" s="770"/>
      <c r="FS530" s="770"/>
      <c r="FT530" s="770"/>
      <c r="FU530" s="770"/>
      <c r="FV530" s="770"/>
      <c r="FW530" s="770"/>
      <c r="FX530" s="770"/>
      <c r="FY530" s="770"/>
      <c r="FZ530" s="770"/>
      <c r="GA530" s="770"/>
      <c r="GB530" s="770"/>
      <c r="GC530" s="308"/>
      <c r="GD530" s="297"/>
      <c r="GE530" s="770"/>
      <c r="GF530" s="302"/>
      <c r="GG530" s="302"/>
      <c r="GH530" s="1774"/>
      <c r="GI530" s="770"/>
      <c r="GJ530" s="770"/>
      <c r="GK530" s="770"/>
      <c r="GL530" s="770"/>
      <c r="GM530" s="770"/>
      <c r="GN530" s="299"/>
      <c r="GO530" s="770"/>
      <c r="GP530" s="770"/>
      <c r="GQ530" s="770"/>
      <c r="GR530" s="770"/>
      <c r="GS530" s="770"/>
      <c r="GT530" s="770"/>
      <c r="GU530" s="770"/>
      <c r="GV530" s="770"/>
      <c r="GW530" s="770"/>
      <c r="GX530" s="770"/>
      <c r="GY530" s="770"/>
      <c r="GZ530" s="770"/>
      <c r="HA530" s="770"/>
      <c r="HB530" s="770"/>
      <c r="HC530" s="770"/>
      <c r="HD530" s="770"/>
      <c r="HE530" s="770"/>
      <c r="HF530" s="770"/>
      <c r="HG530" s="770"/>
      <c r="HH530" s="770"/>
      <c r="HI530" s="770"/>
      <c r="HJ530" s="770"/>
      <c r="HK530" s="770"/>
      <c r="HL530" s="770"/>
      <c r="HM530" s="770"/>
      <c r="HN530" s="770"/>
      <c r="HO530" s="770"/>
      <c r="HP530" s="770"/>
      <c r="HQ530" s="770"/>
      <c r="HR530" s="770"/>
      <c r="HS530" s="770"/>
      <c r="HT530" s="770"/>
      <c r="HU530" s="770"/>
      <c r="HV530" s="770"/>
      <c r="HW530" s="770"/>
      <c r="HX530" s="770"/>
      <c r="HY530" s="770"/>
      <c r="HZ530" s="770"/>
      <c r="IA530" s="770"/>
      <c r="IB530" s="770"/>
      <c r="IC530" s="770"/>
      <c r="ID530" s="770"/>
      <c r="IE530" s="770"/>
      <c r="IF530" s="770" t="s">
        <v>2956</v>
      </c>
      <c r="IG530" s="770" t="s">
        <v>10</v>
      </c>
      <c r="IH530" s="770" t="s">
        <v>478</v>
      </c>
      <c r="II530" s="770" t="s">
        <v>3731</v>
      </c>
      <c r="IJ530" s="770" t="s">
        <v>1835</v>
      </c>
      <c r="IK530" s="770" t="s">
        <v>2639</v>
      </c>
      <c r="IL530" s="770" t="s">
        <v>7886</v>
      </c>
      <c r="IM530" s="770"/>
      <c r="IN530" s="770" t="s">
        <v>7886</v>
      </c>
      <c r="IO530" s="296">
        <v>22235</v>
      </c>
      <c r="IP530" s="770" t="s">
        <v>1306</v>
      </c>
      <c r="IQ530" s="769" t="s">
        <v>8143</v>
      </c>
      <c r="IR530" s="770" t="s">
        <v>7887</v>
      </c>
      <c r="IS530" s="770" t="s">
        <v>1883</v>
      </c>
      <c r="IT530" s="770"/>
      <c r="IU530" s="770" t="s">
        <v>1208</v>
      </c>
      <c r="IV530" s="770"/>
      <c r="IW530" s="770" t="s">
        <v>7886</v>
      </c>
      <c r="IX530" s="770"/>
      <c r="IY530" s="770" t="s">
        <v>2962</v>
      </c>
      <c r="IZ530" s="770"/>
      <c r="JA530" s="770" t="s">
        <v>1880</v>
      </c>
      <c r="JB530" s="770" t="s">
        <v>1901</v>
      </c>
      <c r="JC530" s="770" t="s">
        <v>12778</v>
      </c>
      <c r="JD530" s="302">
        <v>1500</v>
      </c>
      <c r="JE530" s="770"/>
      <c r="JF530" s="770"/>
      <c r="JG530" s="770"/>
      <c r="JH530" s="307"/>
      <c r="JI530" s="307"/>
      <c r="JJ530" s="770"/>
      <c r="JK530" s="770"/>
      <c r="JL530" s="770"/>
      <c r="JM530" s="770"/>
      <c r="JN530" s="770"/>
      <c r="JO530" s="770"/>
      <c r="JP530" s="770"/>
      <c r="JQ530" s="770"/>
      <c r="JR530" s="770"/>
      <c r="JS530" s="770"/>
      <c r="JT530" s="766"/>
      <c r="JU530" s="766"/>
      <c r="JV530" s="766"/>
      <c r="JW530" s="766"/>
      <c r="JX530" s="770"/>
      <c r="JY530" s="770"/>
      <c r="JZ530" s="770"/>
      <c r="KA530" s="770"/>
      <c r="KB530" s="770"/>
      <c r="KC530" s="770"/>
      <c r="KD530" s="770"/>
      <c r="KE530" s="770"/>
      <c r="KF530" s="770"/>
      <c r="KG530" s="770"/>
      <c r="KH530" s="770"/>
      <c r="KI530" s="770"/>
      <c r="KJ530" s="770"/>
      <c r="KK530" s="770"/>
      <c r="KL530" s="770"/>
      <c r="KM530" s="770"/>
      <c r="KN530" s="770"/>
      <c r="KO530" s="770"/>
      <c r="KP530" s="770"/>
      <c r="KQ530" s="770"/>
      <c r="KR530" s="770"/>
      <c r="KS530" s="770"/>
      <c r="KT530" s="770"/>
      <c r="KU530" s="770"/>
      <c r="KV530" s="770"/>
      <c r="KW530" s="770"/>
      <c r="KX530" s="770"/>
      <c r="KY530" s="770"/>
      <c r="KZ530" s="770"/>
      <c r="LA530" s="770"/>
      <c r="LB530" s="770"/>
      <c r="LC530" s="770"/>
      <c r="LD530" s="770"/>
      <c r="LE530" s="770"/>
      <c r="LF530" s="770"/>
      <c r="LG530" s="770"/>
      <c r="LH530" s="770"/>
      <c r="LI530" s="770"/>
      <c r="LJ530" s="770"/>
      <c r="LK530" s="770"/>
      <c r="LL530" s="770"/>
      <c r="LM530" s="770"/>
      <c r="LN530" s="766"/>
      <c r="LO530" s="766"/>
      <c r="LP530" s="770"/>
      <c r="LQ530" s="770"/>
      <c r="LR530" s="770"/>
      <c r="LS530" s="770"/>
      <c r="LT530" s="770"/>
      <c r="LU530" s="770"/>
      <c r="LV530" s="770"/>
      <c r="LW530" s="770"/>
      <c r="LX530" s="769"/>
      <c r="LY530" s="766" t="str">
        <f t="shared" si="135"/>
        <v/>
      </c>
      <c r="LZ530" s="1709"/>
      <c r="MA530" s="1709"/>
      <c r="MB530" s="1709"/>
      <c r="MC530" s="1679">
        <f t="shared" si="133"/>
        <v>0</v>
      </c>
      <c r="MD530" s="1709"/>
      <c r="ME530" s="1709"/>
      <c r="MF530" s="1709"/>
      <c r="MG530" s="1680">
        <f t="shared" si="149"/>
        <v>0</v>
      </c>
      <c r="MH530" s="770"/>
      <c r="MI530" s="302"/>
      <c r="MJ530" s="302"/>
      <c r="MK530" s="302"/>
      <c r="ML530" s="302"/>
      <c r="MM530" s="302"/>
      <c r="MN530" s="302"/>
      <c r="MO530" s="302"/>
      <c r="MP530" s="302"/>
      <c r="MQ530" s="302"/>
      <c r="MR530" s="302"/>
      <c r="MS530" s="302"/>
      <c r="MT530" s="302"/>
      <c r="MU530" s="302"/>
      <c r="MV530" s="302"/>
      <c r="MW530" s="302"/>
      <c r="MX530" s="302"/>
      <c r="MY530" s="1682">
        <f t="shared" si="147"/>
        <v>0</v>
      </c>
      <c r="MZ530" s="770"/>
      <c r="NA530" s="770"/>
      <c r="NB530" s="770"/>
      <c r="NC530" s="770"/>
      <c r="ND530" s="770"/>
      <c r="NE530" s="770"/>
      <c r="NF530" s="770"/>
      <c r="NG530" s="770"/>
      <c r="NH530" s="770"/>
      <c r="NI530" s="770"/>
      <c r="NJ530" s="770"/>
      <c r="NK530" s="770"/>
      <c r="NL530" s="770"/>
      <c r="NM530" s="770"/>
      <c r="NN530" s="770"/>
      <c r="NO530" s="770"/>
      <c r="NP530" s="770"/>
      <c r="NQ530" s="770"/>
      <c r="NR530" s="770"/>
      <c r="NS530" s="770"/>
      <c r="NT530" s="770"/>
      <c r="NU530" s="770"/>
      <c r="NV530" s="770"/>
      <c r="NW530" s="770"/>
      <c r="NX530" s="770"/>
      <c r="NY530" s="770"/>
      <c r="NZ530" s="770"/>
      <c r="OA530" s="770"/>
      <c r="OB530" s="770"/>
      <c r="OC530" s="770"/>
      <c r="OD530" s="770"/>
      <c r="OE530" s="770"/>
      <c r="OF530" s="770"/>
      <c r="OG530" s="770"/>
      <c r="OH530" s="770"/>
      <c r="OI530" s="770"/>
      <c r="OJ530" s="770"/>
      <c r="OK530" s="770"/>
      <c r="OL530" s="770"/>
      <c r="OM530" s="770"/>
      <c r="ON530" s="770"/>
      <c r="OO530" s="770"/>
      <c r="OP530" s="770"/>
      <c r="OQ530" s="770"/>
      <c r="OR530" s="770"/>
      <c r="OS530" s="770"/>
      <c r="OT530" s="770"/>
      <c r="OU530" s="770"/>
      <c r="OV530" s="770"/>
      <c r="OW530" s="770"/>
      <c r="OX530" s="770"/>
      <c r="OY530" s="770"/>
      <c r="OZ530" s="770"/>
      <c r="PA530" s="770"/>
      <c r="PB530" s="770"/>
      <c r="PC530" s="770"/>
      <c r="PD530" s="770"/>
      <c r="PE530" s="770"/>
      <c r="PF530" s="770"/>
      <c r="PG530" s="770"/>
      <c r="PH530" s="770"/>
      <c r="PI530" s="770"/>
      <c r="PJ530" s="770"/>
      <c r="PK530" s="770"/>
      <c r="PL530" s="770"/>
      <c r="PM530" s="770"/>
      <c r="PN530" s="770"/>
      <c r="PO530" s="770"/>
      <c r="PP530" s="770"/>
      <c r="PQ530" s="770"/>
      <c r="PR530" s="770"/>
      <c r="PS530" s="770"/>
      <c r="PT530" s="770"/>
      <c r="PU530" s="770"/>
      <c r="PV530" s="770"/>
      <c r="PW530" s="770"/>
      <c r="PX530" s="770"/>
      <c r="PY530" s="770"/>
      <c r="PZ530" s="770"/>
      <c r="QA530" s="770"/>
      <c r="QB530" s="770"/>
      <c r="QC530" s="770"/>
      <c r="QD530" s="770"/>
      <c r="QE530" s="770"/>
      <c r="QF530" s="770"/>
      <c r="QG530" s="770"/>
      <c r="QH530" s="770"/>
      <c r="QI530" s="770"/>
      <c r="QJ530" s="770"/>
      <c r="QK530" s="770"/>
      <c r="QL530" s="770"/>
      <c r="QM530" s="770"/>
      <c r="QN530" s="770"/>
      <c r="QO530" s="770"/>
      <c r="QP530" s="770"/>
      <c r="QQ530" s="770"/>
      <c r="QR530" s="770"/>
      <c r="QS530" s="770"/>
      <c r="QT530" s="770"/>
      <c r="QU530" s="770"/>
      <c r="QV530" s="770"/>
      <c r="QW530" s="770"/>
      <c r="QX530" s="770"/>
      <c r="QY530" s="770"/>
      <c r="QZ530" s="770"/>
      <c r="RA530" s="770"/>
      <c r="RB530" s="770"/>
      <c r="RC530" s="770"/>
      <c r="RD530" s="770"/>
      <c r="RE530" s="770"/>
      <c r="RF530" s="304"/>
      <c r="RG530" s="770"/>
      <c r="RH530" s="302"/>
      <c r="RI530" s="770"/>
      <c r="RJ530" s="770"/>
      <c r="RK530" s="770"/>
      <c r="RL530" s="1710"/>
      <c r="RM530" s="12"/>
      <c r="RN530" s="1711"/>
      <c r="RO530" s="133" t="s">
        <v>2955</v>
      </c>
      <c r="RP530" s="11"/>
      <c r="RQ530" s="11"/>
      <c r="RR530" s="17"/>
      <c r="RS530" s="767"/>
      <c r="RT530" s="11"/>
      <c r="RU530" s="11"/>
      <c r="RV530" s="771" t="s">
        <v>7419</v>
      </c>
      <c r="RW530" s="11" t="s">
        <v>7707</v>
      </c>
      <c r="RX530" s="11" t="s">
        <v>3704</v>
      </c>
      <c r="RY530" s="11"/>
      <c r="RZ530" s="11" t="s">
        <v>1101</v>
      </c>
      <c r="SA530" s="771"/>
      <c r="SB530" s="11"/>
      <c r="SC530" s="11"/>
    </row>
    <row r="531" spans="1:497" ht="12.75" hidden="1" customHeight="1">
      <c r="A531" s="343" t="s">
        <v>14214</v>
      </c>
      <c r="B531" s="752" t="s">
        <v>7885</v>
      </c>
      <c r="C531" s="133" t="s">
        <v>2955</v>
      </c>
      <c r="D531" s="94" t="s">
        <v>3730</v>
      </c>
      <c r="E531" s="766" t="s">
        <v>3731</v>
      </c>
      <c r="F531" s="770" t="s">
        <v>28</v>
      </c>
      <c r="G531" s="770" t="s">
        <v>10</v>
      </c>
      <c r="H531" s="770"/>
      <c r="I531" s="295" t="s">
        <v>3732</v>
      </c>
      <c r="J531" s="94" t="s">
        <v>3730</v>
      </c>
      <c r="K531" s="766" t="s">
        <v>3733</v>
      </c>
      <c r="L531" s="766" t="s">
        <v>2461</v>
      </c>
      <c r="M531" s="770" t="s">
        <v>1238</v>
      </c>
      <c r="N531" s="770"/>
      <c r="O531" s="770" t="s">
        <v>3477</v>
      </c>
      <c r="P531" s="770" t="s">
        <v>3734</v>
      </c>
      <c r="Q531" s="1085">
        <v>24329</v>
      </c>
      <c r="R531" s="25">
        <v>55</v>
      </c>
      <c r="S531" s="770" t="s">
        <v>10</v>
      </c>
      <c r="T531" s="770"/>
      <c r="U531" s="295" t="s">
        <v>3732</v>
      </c>
      <c r="V531" s="770" t="s">
        <v>707</v>
      </c>
      <c r="W531" s="770"/>
      <c r="X531" s="770"/>
      <c r="Y531" s="770" t="s">
        <v>3731</v>
      </c>
      <c r="Z531" s="770" t="s">
        <v>708</v>
      </c>
      <c r="AA531" s="770" t="s">
        <v>709</v>
      </c>
      <c r="AB531" s="295" t="s">
        <v>710</v>
      </c>
      <c r="AC531" s="770" t="s">
        <v>724</v>
      </c>
      <c r="AD531" s="770" t="s">
        <v>711</v>
      </c>
      <c r="AE531" s="770"/>
      <c r="AF531" s="770" t="s">
        <v>712</v>
      </c>
      <c r="AG531" s="770"/>
      <c r="AH531" s="770"/>
      <c r="AI531" s="770"/>
      <c r="AJ531" s="770"/>
      <c r="AK531" s="770" t="s">
        <v>5454</v>
      </c>
      <c r="AL531" s="531"/>
      <c r="AM531" s="780"/>
      <c r="AN531" s="532"/>
      <c r="AO531" s="766"/>
      <c r="AP531" s="766"/>
      <c r="AQ531" s="766"/>
      <c r="AR531" s="766"/>
      <c r="AS531" s="769"/>
      <c r="AT531" s="770"/>
      <c r="AU531" s="770"/>
      <c r="AV531" s="770"/>
      <c r="AW531" s="770"/>
      <c r="AX531" s="770"/>
      <c r="AY531" s="770"/>
      <c r="AZ531" s="770"/>
      <c r="BA531" s="770"/>
      <c r="BB531" s="770"/>
      <c r="BC531" s="770"/>
      <c r="BD531" s="770"/>
      <c r="BE531" s="770"/>
      <c r="BF531" s="302"/>
      <c r="BG531" s="302"/>
      <c r="BH531" s="770"/>
      <c r="BI531" s="770"/>
      <c r="BJ531" s="770"/>
      <c r="BK531" s="770"/>
      <c r="BL531" s="770"/>
      <c r="BM531" s="770" t="s">
        <v>12423</v>
      </c>
      <c r="BN531" s="770" t="s">
        <v>3230</v>
      </c>
      <c r="BO531" s="770"/>
      <c r="BP531" s="780"/>
      <c r="BQ531" s="773"/>
      <c r="BR531" s="774"/>
      <c r="BS531" s="766" t="s">
        <v>1242</v>
      </c>
      <c r="BT531" s="770"/>
      <c r="BU531" s="770"/>
      <c r="BV531" s="770"/>
      <c r="BW531" s="770"/>
      <c r="BX531" s="302"/>
      <c r="BY531" s="770"/>
      <c r="BZ531" s="302"/>
      <c r="CA531" s="770"/>
      <c r="CB531" s="770"/>
      <c r="CC531" s="770"/>
      <c r="CD531" s="770"/>
      <c r="CE531" s="770"/>
      <c r="CF531" s="1753"/>
      <c r="CG531" s="1754"/>
      <c r="CH531" s="770"/>
      <c r="CI531" s="770"/>
      <c r="CJ531" s="770"/>
      <c r="CK531" s="770"/>
      <c r="CL531" s="770"/>
      <c r="CM531" s="770"/>
      <c r="CN531" s="770"/>
      <c r="CO531" s="770"/>
      <c r="CP531" s="770"/>
      <c r="CQ531" s="770"/>
      <c r="CR531" s="302"/>
      <c r="CS531" s="770"/>
      <c r="CT531" s="770"/>
      <c r="CU531" s="305"/>
      <c r="CV531" s="770"/>
      <c r="CW531" s="770"/>
      <c r="CX531" s="770"/>
      <c r="CY531" s="770"/>
      <c r="CZ531" s="770"/>
      <c r="DA531" s="306"/>
      <c r="DB531" s="770"/>
      <c r="DC531" s="770"/>
      <c r="DD531" s="770"/>
      <c r="DE531" s="300"/>
      <c r="DF531" s="770"/>
      <c r="DG531" s="770"/>
      <c r="DH531" s="770"/>
      <c r="DI531" s="770"/>
      <c r="DJ531" s="770"/>
      <c r="DK531" s="770"/>
      <c r="DL531" s="770"/>
      <c r="DM531" s="770"/>
      <c r="DN531" s="322"/>
      <c r="DO531" s="770"/>
      <c r="DP531" s="770"/>
      <c r="DQ531" s="770"/>
      <c r="DR531" s="770"/>
      <c r="DS531" s="307"/>
      <c r="DT531" s="770"/>
      <c r="DU531" s="770"/>
      <c r="DV531" s="770"/>
      <c r="DW531" s="306"/>
      <c r="DX531" s="306"/>
      <c r="DY531" s="770"/>
      <c r="DZ531" s="770"/>
      <c r="EA531" s="770"/>
      <c r="EB531" s="770"/>
      <c r="EC531" s="770"/>
      <c r="ED531" s="770"/>
      <c r="EE531" s="770"/>
      <c r="EF531" s="770"/>
      <c r="EG531" s="770"/>
      <c r="EH531" s="770"/>
      <c r="EI531" s="770"/>
      <c r="EJ531" s="770"/>
      <c r="EK531" s="770"/>
      <c r="EL531" s="770"/>
      <c r="EM531" s="770"/>
      <c r="EN531" s="770"/>
      <c r="EO531" s="770"/>
      <c r="EP531" s="94"/>
      <c r="EQ531" s="770"/>
      <c r="ER531" s="770"/>
      <c r="ES531" s="770"/>
      <c r="ET531" s="770"/>
      <c r="EU531" s="770"/>
      <c r="EV531" s="770"/>
      <c r="EW531" s="770"/>
      <c r="EX531" s="770"/>
      <c r="EY531" s="770"/>
      <c r="EZ531" s="770"/>
      <c r="FA531" s="770"/>
      <c r="FB531" s="770"/>
      <c r="FC531" s="770"/>
      <c r="FD531" s="302"/>
      <c r="FE531" s="770"/>
      <c r="FF531" s="770"/>
      <c r="FG531" s="770"/>
      <c r="FH531" s="770" t="s">
        <v>1305</v>
      </c>
      <c r="FI531" s="770">
        <v>1</v>
      </c>
      <c r="FJ531" s="770"/>
      <c r="FK531" s="770"/>
      <c r="FL531" s="770"/>
      <c r="FM531" s="775"/>
      <c r="FN531" s="775"/>
      <c r="FO531" s="775"/>
      <c r="FP531" s="770" t="s">
        <v>1600</v>
      </c>
      <c r="FQ531" s="770" t="s">
        <v>3940</v>
      </c>
      <c r="FR531" s="770" t="s">
        <v>1214</v>
      </c>
      <c r="FS531" s="770"/>
      <c r="FT531" s="770"/>
      <c r="FU531" s="770"/>
      <c r="FV531" s="770"/>
      <c r="FW531" s="770"/>
      <c r="FX531" s="770"/>
      <c r="FY531" s="770"/>
      <c r="FZ531" s="770"/>
      <c r="GA531" s="770"/>
      <c r="GB531" s="770"/>
      <c r="GC531" s="308"/>
      <c r="GD531" s="297"/>
      <c r="GE531" s="770"/>
      <c r="GF531" s="302"/>
      <c r="GG531" s="302"/>
      <c r="GH531" s="770"/>
      <c r="GI531" s="770"/>
      <c r="GJ531" s="770"/>
      <c r="GK531" s="770"/>
      <c r="GL531" s="770"/>
      <c r="GM531" s="770"/>
      <c r="GN531" s="299"/>
      <c r="GO531" s="770"/>
      <c r="GP531" s="770"/>
      <c r="GQ531" s="770"/>
      <c r="GR531" s="770"/>
      <c r="GS531" s="770"/>
      <c r="GT531" s="770"/>
      <c r="GU531" s="770"/>
      <c r="GV531" s="770"/>
      <c r="GW531" s="770"/>
      <c r="GX531" s="770"/>
      <c r="GY531" s="770"/>
      <c r="GZ531" s="770"/>
      <c r="HA531" s="770"/>
      <c r="HB531" s="770"/>
      <c r="HC531" s="770"/>
      <c r="HD531" s="770"/>
      <c r="HE531" s="770"/>
      <c r="HF531" s="770"/>
      <c r="HG531" s="770"/>
      <c r="HH531" s="770"/>
      <c r="HI531" s="770"/>
      <c r="HJ531" s="770"/>
      <c r="HK531" s="770"/>
      <c r="HL531" s="770"/>
      <c r="HM531" s="770"/>
      <c r="HN531" s="770"/>
      <c r="HO531" s="770"/>
      <c r="HP531" s="770"/>
      <c r="HQ531" s="770"/>
      <c r="HR531" s="770">
        <v>2</v>
      </c>
      <c r="HS531" s="770"/>
      <c r="HT531" s="770">
        <v>3</v>
      </c>
      <c r="HU531" s="770"/>
      <c r="HV531" s="770"/>
      <c r="HW531" s="770"/>
      <c r="HX531" s="770"/>
      <c r="HY531" s="770"/>
      <c r="HZ531" s="770"/>
      <c r="IA531" s="770"/>
      <c r="IB531" s="770"/>
      <c r="IC531" s="770"/>
      <c r="ID531" s="770">
        <v>1</v>
      </c>
      <c r="IE531" s="770">
        <v>1</v>
      </c>
      <c r="IF531" s="770" t="s">
        <v>3730</v>
      </c>
      <c r="IG531" s="770" t="s">
        <v>10</v>
      </c>
      <c r="IH531" s="770" t="s">
        <v>478</v>
      </c>
      <c r="II531" s="770" t="s">
        <v>3731</v>
      </c>
      <c r="IJ531" s="770" t="s">
        <v>1835</v>
      </c>
      <c r="IK531" s="770" t="s">
        <v>2639</v>
      </c>
      <c r="IL531" s="770" t="s">
        <v>3736</v>
      </c>
      <c r="IM531" s="770">
        <v>2015</v>
      </c>
      <c r="IN531" s="770" t="s">
        <v>3736</v>
      </c>
      <c r="IO531" s="296">
        <v>24329</v>
      </c>
      <c r="IP531" s="770" t="s">
        <v>7888</v>
      </c>
      <c r="IQ531" s="769" t="s">
        <v>7889</v>
      </c>
      <c r="IR531" s="770" t="s">
        <v>2716</v>
      </c>
      <c r="IS531" s="770" t="s">
        <v>1966</v>
      </c>
      <c r="IT531" s="770"/>
      <c r="IU531" s="770" t="s">
        <v>1208</v>
      </c>
      <c r="IV531" s="770"/>
      <c r="IW531" s="770" t="s">
        <v>13700</v>
      </c>
      <c r="IX531" s="770"/>
      <c r="IY531" s="770" t="s">
        <v>3732</v>
      </c>
      <c r="IZ531" s="770"/>
      <c r="JA531" s="770" t="s">
        <v>12775</v>
      </c>
      <c r="JB531" s="770" t="s">
        <v>1918</v>
      </c>
      <c r="JC531" s="770" t="s">
        <v>12778</v>
      </c>
      <c r="JD531" s="302" t="s">
        <v>12793</v>
      </c>
      <c r="JE531" s="770">
        <v>6</v>
      </c>
      <c r="JF531" s="770">
        <v>2</v>
      </c>
      <c r="JG531" s="770"/>
      <c r="JH531" s="307">
        <v>56000</v>
      </c>
      <c r="JI531" s="307"/>
      <c r="JJ531" s="770">
        <v>4</v>
      </c>
      <c r="JK531" s="770" t="s">
        <v>3736</v>
      </c>
      <c r="JL531" s="770"/>
      <c r="JM531" s="770"/>
      <c r="JN531" s="770">
        <v>4</v>
      </c>
      <c r="JO531" s="770"/>
      <c r="JP531" s="770"/>
      <c r="JQ531" s="770"/>
      <c r="JR531" s="770"/>
      <c r="JS531" s="770"/>
      <c r="JT531" s="766">
        <f>SUM(JP531,JN531,JL531,JR531)</f>
        <v>4</v>
      </c>
      <c r="JU531" s="766">
        <f>SUM(JQ531,JO531,JM531,JS531)</f>
        <v>0</v>
      </c>
      <c r="JV531" s="766"/>
      <c r="JW531" s="766"/>
      <c r="JX531" s="770"/>
      <c r="JY531" s="770"/>
      <c r="JZ531" s="770">
        <v>1</v>
      </c>
      <c r="KA531" s="770"/>
      <c r="KB531" s="770">
        <v>1</v>
      </c>
      <c r="KC531" s="770"/>
      <c r="KD531" s="770">
        <v>2</v>
      </c>
      <c r="KE531" s="770"/>
      <c r="KF531" s="770"/>
      <c r="KG531" s="770"/>
      <c r="KH531" s="770"/>
      <c r="KI531" s="770"/>
      <c r="KJ531" s="770">
        <f t="shared" si="153"/>
        <v>4</v>
      </c>
      <c r="KK531" s="770">
        <f t="shared" si="153"/>
        <v>0</v>
      </c>
      <c r="KL531" s="770"/>
      <c r="KM531" s="770"/>
      <c r="KN531" s="770" t="s">
        <v>707</v>
      </c>
      <c r="KO531" s="770"/>
      <c r="KP531" s="770"/>
      <c r="KQ531" s="770"/>
      <c r="KR531" s="770"/>
      <c r="KS531" s="770"/>
      <c r="KT531" s="770">
        <v>1</v>
      </c>
      <c r="KU531" s="770"/>
      <c r="KV531" s="770"/>
      <c r="KW531" s="770"/>
      <c r="KX531" s="770"/>
      <c r="KY531" s="770"/>
      <c r="KZ531" s="770">
        <v>1</v>
      </c>
      <c r="LA531" s="770"/>
      <c r="LB531" s="770">
        <v>1</v>
      </c>
      <c r="LC531" s="770"/>
      <c r="LD531" s="770"/>
      <c r="LE531" s="770"/>
      <c r="LF531" s="770"/>
      <c r="LG531" s="770"/>
      <c r="LH531" s="770"/>
      <c r="LI531" s="770"/>
      <c r="LJ531" s="770"/>
      <c r="LK531" s="770"/>
      <c r="LL531" s="770"/>
      <c r="LM531" s="770"/>
      <c r="LN531" s="766">
        <f t="shared" si="134"/>
        <v>3</v>
      </c>
      <c r="LO531" s="766">
        <f t="shared" si="134"/>
        <v>0</v>
      </c>
      <c r="LP531" s="770">
        <v>1</v>
      </c>
      <c r="LQ531" s="770"/>
      <c r="LR531" s="770"/>
      <c r="LS531" s="770">
        <v>1</v>
      </c>
      <c r="LT531" s="770"/>
      <c r="LU531" s="770"/>
      <c r="LV531" s="770"/>
      <c r="LW531" s="770"/>
      <c r="LX531" s="769">
        <v>1</v>
      </c>
      <c r="LY531" s="766" t="str">
        <f t="shared" si="135"/>
        <v>within the BRGY</v>
      </c>
      <c r="LZ531" s="1709"/>
      <c r="MA531" s="1709"/>
      <c r="MB531" s="1709"/>
      <c r="MC531" s="1679">
        <f t="shared" si="133"/>
        <v>0</v>
      </c>
      <c r="MD531" s="1709"/>
      <c r="ME531" s="1709"/>
      <c r="MF531" s="1709">
        <v>10000</v>
      </c>
      <c r="MG531" s="1680">
        <f t="shared" si="149"/>
        <v>10000</v>
      </c>
      <c r="MH531" s="770" t="s">
        <v>13701</v>
      </c>
      <c r="MI531" s="302">
        <v>7500</v>
      </c>
      <c r="MJ531" s="302">
        <v>15000</v>
      </c>
      <c r="MK531" s="302"/>
      <c r="ML531" s="302"/>
      <c r="MM531" s="302"/>
      <c r="MN531" s="302">
        <v>1500</v>
      </c>
      <c r="MO531" s="302">
        <v>3000</v>
      </c>
      <c r="MP531" s="302">
        <v>2000</v>
      </c>
      <c r="MQ531" s="302"/>
      <c r="MR531" s="302">
        <v>300</v>
      </c>
      <c r="MS531" s="302"/>
      <c r="MT531" s="302"/>
      <c r="MU531" s="302"/>
      <c r="MV531" s="302"/>
      <c r="MW531" s="302"/>
      <c r="MX531" s="302"/>
      <c r="MY531" s="1682">
        <f t="shared" si="147"/>
        <v>29300</v>
      </c>
      <c r="MZ531" s="770" t="s">
        <v>13395</v>
      </c>
      <c r="NA531" s="770" t="s">
        <v>1249</v>
      </c>
      <c r="NB531" s="770" t="s">
        <v>13033</v>
      </c>
      <c r="NC531" s="770" t="s">
        <v>13602</v>
      </c>
      <c r="ND531" s="770">
        <v>1</v>
      </c>
      <c r="NE531" s="770">
        <v>0</v>
      </c>
      <c r="NF531" s="770">
        <v>0</v>
      </c>
      <c r="NG531" s="770">
        <v>1</v>
      </c>
      <c r="NH531" s="770">
        <v>0</v>
      </c>
      <c r="NI531" s="770">
        <v>1</v>
      </c>
      <c r="NJ531" s="770">
        <v>0</v>
      </c>
      <c r="NK531" s="770">
        <v>0</v>
      </c>
      <c r="NL531" s="770">
        <v>0</v>
      </c>
      <c r="NM531" s="770">
        <v>0</v>
      </c>
      <c r="NN531" s="770">
        <v>0</v>
      </c>
      <c r="NO531" s="770">
        <v>0</v>
      </c>
      <c r="NP531" s="770">
        <v>0</v>
      </c>
      <c r="NQ531" s="770">
        <v>0</v>
      </c>
      <c r="NR531" s="770">
        <v>0</v>
      </c>
      <c r="NS531" s="770">
        <v>0</v>
      </c>
      <c r="NT531" s="770">
        <v>0</v>
      </c>
      <c r="NU531" s="770">
        <v>0</v>
      </c>
      <c r="NV531" s="770">
        <v>0</v>
      </c>
      <c r="NW531" s="770">
        <v>0</v>
      </c>
      <c r="NX531" s="770">
        <v>0</v>
      </c>
      <c r="NY531" s="770"/>
      <c r="NZ531" s="770"/>
      <c r="OA531" s="770"/>
      <c r="OB531" s="770"/>
      <c r="OC531" s="770"/>
      <c r="OD531" s="770"/>
      <c r="OE531" s="770"/>
      <c r="OF531" s="770" t="s">
        <v>2143</v>
      </c>
      <c r="OG531" s="770"/>
      <c r="OH531" s="770"/>
      <c r="OI531" s="770"/>
      <c r="OJ531" s="770"/>
      <c r="OK531" s="770"/>
      <c r="OL531" s="770"/>
      <c r="OM531" s="770"/>
      <c r="ON531" s="770"/>
      <c r="OO531" s="770"/>
      <c r="OP531" s="770"/>
      <c r="OQ531" s="770"/>
      <c r="OR531" s="770"/>
      <c r="OS531" s="770"/>
      <c r="OT531" s="770"/>
      <c r="OU531" s="770"/>
      <c r="OV531" s="770"/>
      <c r="OW531" s="770"/>
      <c r="OX531" s="770"/>
      <c r="OY531" s="770"/>
      <c r="OZ531" s="770"/>
      <c r="PA531" s="770"/>
      <c r="PB531" s="770"/>
      <c r="PC531" s="770"/>
      <c r="PD531" s="770"/>
      <c r="PE531" s="770"/>
      <c r="PF531" s="770"/>
      <c r="PG531" s="770"/>
      <c r="PH531" s="770"/>
      <c r="PI531" s="770"/>
      <c r="PJ531" s="770"/>
      <c r="PK531" s="770"/>
      <c r="PL531" s="770"/>
      <c r="PM531" s="770"/>
      <c r="PN531" s="770"/>
      <c r="PO531" s="770"/>
      <c r="PP531" s="770"/>
      <c r="PQ531" s="770"/>
      <c r="PR531" s="770"/>
      <c r="PS531" s="770"/>
      <c r="PT531" s="770"/>
      <c r="PU531" s="770"/>
      <c r="PV531" s="770"/>
      <c r="PW531" s="770"/>
      <c r="PX531" s="770"/>
      <c r="PY531" s="770"/>
      <c r="PZ531" s="770"/>
      <c r="QA531" s="770"/>
      <c r="QB531" s="770"/>
      <c r="QC531" s="770"/>
      <c r="QD531" s="770"/>
      <c r="QE531" s="770"/>
      <c r="QF531" s="770"/>
      <c r="QG531" s="770"/>
      <c r="QH531" s="770"/>
      <c r="QI531" s="770"/>
      <c r="QJ531" s="770"/>
      <c r="QK531" s="770"/>
      <c r="QL531" s="770"/>
      <c r="QM531" s="770"/>
      <c r="QN531" s="770"/>
      <c r="QO531" s="770"/>
      <c r="QP531" s="770"/>
      <c r="QQ531" s="770"/>
      <c r="QR531" s="770"/>
      <c r="QS531" s="770"/>
      <c r="QT531" s="770"/>
      <c r="QU531" s="770"/>
      <c r="QV531" s="770"/>
      <c r="QW531" s="770"/>
      <c r="QX531" s="770"/>
      <c r="QY531" s="770"/>
      <c r="QZ531" s="770"/>
      <c r="RA531" s="770"/>
      <c r="RB531" s="770" t="s">
        <v>1214</v>
      </c>
      <c r="RC531" s="770"/>
      <c r="RD531" s="770"/>
      <c r="RE531" s="770"/>
      <c r="RF531" s="304"/>
      <c r="RG531" s="770"/>
      <c r="RH531" s="302"/>
      <c r="RI531" s="770"/>
      <c r="RJ531" s="770" t="s">
        <v>3736</v>
      </c>
      <c r="RK531" s="770" t="s">
        <v>13550</v>
      </c>
      <c r="RL531" s="1710"/>
      <c r="RM531" s="12"/>
      <c r="RN531" s="1711"/>
      <c r="RO531" s="133" t="s">
        <v>2955</v>
      </c>
      <c r="RP531" s="11"/>
      <c r="RQ531" s="11"/>
      <c r="RR531" s="17"/>
      <c r="RS531" s="767"/>
      <c r="RT531" s="11"/>
      <c r="RU531" s="11"/>
      <c r="RV531" s="771" t="s">
        <v>13702</v>
      </c>
      <c r="RW531" s="11" t="s">
        <v>7708</v>
      </c>
      <c r="RX531" s="11" t="s">
        <v>3704</v>
      </c>
      <c r="RY531" s="11"/>
      <c r="RZ531" s="11"/>
      <c r="SA531" s="771"/>
      <c r="SB531" s="11"/>
      <c r="SC531" s="11"/>
    </row>
    <row r="532" spans="1:497" ht="12.75" customHeight="1">
      <c r="A532" s="19" t="s">
        <v>7421</v>
      </c>
      <c r="B532" s="752" t="s">
        <v>7709</v>
      </c>
      <c r="C532" s="132" t="s">
        <v>3737</v>
      </c>
      <c r="D532" s="94" t="s">
        <v>3738</v>
      </c>
      <c r="E532" s="766" t="s">
        <v>3739</v>
      </c>
      <c r="F532" s="770" t="s">
        <v>28</v>
      </c>
      <c r="G532" s="770" t="s">
        <v>10</v>
      </c>
      <c r="H532" s="770"/>
      <c r="I532" s="295"/>
      <c r="J532" s="94" t="s">
        <v>3738</v>
      </c>
      <c r="K532" s="766" t="s">
        <v>3740</v>
      </c>
      <c r="L532" s="766" t="s">
        <v>2461</v>
      </c>
      <c r="M532" s="770" t="s">
        <v>1238</v>
      </c>
      <c r="N532" s="770"/>
      <c r="O532" s="770" t="s">
        <v>3477</v>
      </c>
      <c r="P532" s="94" t="s">
        <v>3741</v>
      </c>
      <c r="Q532" s="1085"/>
      <c r="R532" s="25">
        <v>43</v>
      </c>
      <c r="S532" s="770" t="s">
        <v>10</v>
      </c>
      <c r="T532" s="770"/>
      <c r="U532" s="295"/>
      <c r="V532" s="770"/>
      <c r="W532" s="770"/>
      <c r="X532" s="770"/>
      <c r="Y532" s="770" t="s">
        <v>3739</v>
      </c>
      <c r="Z532" s="770" t="s">
        <v>708</v>
      </c>
      <c r="AA532" s="770" t="s">
        <v>709</v>
      </c>
      <c r="AB532" s="295"/>
      <c r="AC532" s="770" t="s">
        <v>724</v>
      </c>
      <c r="AD532" s="770" t="s">
        <v>711</v>
      </c>
      <c r="AE532" s="770" t="s">
        <v>1073</v>
      </c>
      <c r="AF532" s="770" t="s">
        <v>712</v>
      </c>
      <c r="AG532" s="766" t="s">
        <v>1165</v>
      </c>
      <c r="AH532" s="766" t="s">
        <v>1096</v>
      </c>
      <c r="AI532" s="770" t="s">
        <v>3294</v>
      </c>
      <c r="AJ532" s="770"/>
      <c r="AK532" s="770" t="s">
        <v>1101</v>
      </c>
      <c r="AL532" s="531">
        <v>14.08</v>
      </c>
      <c r="AM532" s="780">
        <v>9.6</v>
      </c>
      <c r="AN532" s="532">
        <f>AM532/AL532</f>
        <v>0.68181818181818177</v>
      </c>
      <c r="AO532" s="766" t="s">
        <v>1105</v>
      </c>
      <c r="AP532" s="766"/>
      <c r="AQ532" s="766"/>
      <c r="AR532" s="766"/>
      <c r="AS532" s="769"/>
      <c r="AT532" s="770"/>
      <c r="AU532" s="770"/>
      <c r="AV532" s="770"/>
      <c r="AW532" s="770"/>
      <c r="AX532" s="770"/>
      <c r="AY532" s="770"/>
      <c r="AZ532" s="770"/>
      <c r="BA532" s="770"/>
      <c r="BB532" s="770"/>
      <c r="BC532" s="770"/>
      <c r="BD532" s="770"/>
      <c r="BE532" s="770"/>
      <c r="BF532" s="302"/>
      <c r="BG532" s="302"/>
      <c r="BH532" s="770"/>
      <c r="BI532" s="770"/>
      <c r="BJ532" s="770"/>
      <c r="BK532" s="770" t="s">
        <v>1095</v>
      </c>
      <c r="BL532" s="770" t="s">
        <v>3742</v>
      </c>
      <c r="BM532" s="766" t="s">
        <v>1096</v>
      </c>
      <c r="BN532" s="770" t="s">
        <v>1230</v>
      </c>
      <c r="BO532" s="766" t="s">
        <v>1246</v>
      </c>
      <c r="BP532" s="1115">
        <v>14.08</v>
      </c>
      <c r="BQ532" s="765">
        <v>9.6</v>
      </c>
      <c r="BR532" s="774">
        <f>BQ532/BP532</f>
        <v>0.68181818181818177</v>
      </c>
      <c r="BS532" s="766" t="s">
        <v>1105</v>
      </c>
      <c r="BT532" s="766" t="s">
        <v>8133</v>
      </c>
      <c r="BU532" s="770" t="s">
        <v>1249</v>
      </c>
      <c r="BV532" s="770" t="s">
        <v>1247</v>
      </c>
      <c r="BW532" s="770">
        <v>2010</v>
      </c>
      <c r="BX532" s="302">
        <v>80000</v>
      </c>
      <c r="BY532" s="770"/>
      <c r="BZ532" s="302"/>
      <c r="CA532" s="770"/>
      <c r="CB532" s="770"/>
      <c r="CC532" s="770"/>
      <c r="CD532" s="770"/>
      <c r="CE532" s="770"/>
      <c r="CF532" s="1753"/>
      <c r="CG532" s="1754"/>
      <c r="CH532" s="770"/>
      <c r="CI532" s="770"/>
      <c r="CJ532" s="770"/>
      <c r="CK532" s="770"/>
      <c r="CL532" s="770"/>
      <c r="CM532" s="770"/>
      <c r="CN532" s="770"/>
      <c r="CO532" s="770"/>
      <c r="CP532" s="770"/>
      <c r="CQ532" s="770"/>
      <c r="CR532" s="302"/>
      <c r="CS532" s="770"/>
      <c r="CT532" s="770"/>
      <c r="CU532" s="305"/>
      <c r="CV532" s="770"/>
      <c r="CW532" s="770"/>
      <c r="CX532" s="770"/>
      <c r="CY532" s="770"/>
      <c r="CZ532" s="770"/>
      <c r="DA532" s="306"/>
      <c r="DB532" s="770"/>
      <c r="DC532" s="770"/>
      <c r="DD532" s="770"/>
      <c r="DE532" s="300"/>
      <c r="DF532" s="770"/>
      <c r="DG532" s="770"/>
      <c r="DH532" s="770"/>
      <c r="DI532" s="770"/>
      <c r="DJ532" s="770"/>
      <c r="DK532" s="770"/>
      <c r="DL532" s="770"/>
      <c r="DM532" s="770"/>
      <c r="DN532" s="322"/>
      <c r="DO532" s="770"/>
      <c r="DP532" s="770"/>
      <c r="DQ532" s="770"/>
      <c r="DR532" s="770"/>
      <c r="DS532" s="307"/>
      <c r="DT532" s="770"/>
      <c r="DU532" s="770"/>
      <c r="DV532" s="770"/>
      <c r="DW532" s="306"/>
      <c r="DX532" s="306"/>
      <c r="DY532" s="770"/>
      <c r="DZ532" s="770"/>
      <c r="EA532" s="770"/>
      <c r="EB532" s="770"/>
      <c r="EC532" s="770"/>
      <c r="ED532" s="770"/>
      <c r="EE532" s="770"/>
      <c r="EF532" s="770"/>
      <c r="EG532" s="770"/>
      <c r="EH532" s="770"/>
      <c r="EI532" s="770"/>
      <c r="EJ532" s="770"/>
      <c r="EK532" s="770"/>
      <c r="EL532" s="770"/>
      <c r="EM532" s="770"/>
      <c r="EN532" s="770"/>
      <c r="EO532" s="770"/>
      <c r="EP532" s="94"/>
      <c r="EQ532" s="770"/>
      <c r="ER532" s="770"/>
      <c r="ES532" s="770"/>
      <c r="ET532" s="770"/>
      <c r="EU532" s="770"/>
      <c r="EV532" s="770"/>
      <c r="EW532" s="770"/>
      <c r="EX532" s="770"/>
      <c r="EY532" s="770"/>
      <c r="EZ532" s="770"/>
      <c r="FA532" s="770"/>
      <c r="FB532" s="770"/>
      <c r="FC532" s="770"/>
      <c r="FD532" s="302"/>
      <c r="FE532" s="770"/>
      <c r="FF532" s="770"/>
      <c r="FG532" s="770"/>
      <c r="FH532" s="770" t="s">
        <v>478</v>
      </c>
      <c r="FI532" s="770">
        <v>1</v>
      </c>
      <c r="FJ532" s="770"/>
      <c r="FK532" s="770"/>
      <c r="FL532" s="770"/>
      <c r="FM532" s="775"/>
      <c r="FN532" s="775"/>
      <c r="FO532" s="775"/>
      <c r="FP532" s="766" t="s">
        <v>1602</v>
      </c>
      <c r="FQ532" s="766" t="s">
        <v>1660</v>
      </c>
      <c r="FR532" s="770" t="s">
        <v>1214</v>
      </c>
      <c r="FS532" s="770"/>
      <c r="FT532" s="770"/>
      <c r="FU532" s="770"/>
      <c r="FV532" s="770"/>
      <c r="FW532" s="770"/>
      <c r="FX532" s="770"/>
      <c r="FY532" s="770"/>
      <c r="FZ532" s="770"/>
      <c r="GA532" s="770"/>
      <c r="GB532" s="770" t="s">
        <v>1734</v>
      </c>
      <c r="GC532" s="308"/>
      <c r="GD532" s="297">
        <v>2010</v>
      </c>
      <c r="GE532" s="770"/>
      <c r="GF532" s="302"/>
      <c r="GG532" s="302"/>
      <c r="GH532" s="712" t="s">
        <v>14260</v>
      </c>
      <c r="GI532" s="770"/>
      <c r="GJ532" s="770"/>
      <c r="GK532" s="770"/>
      <c r="GL532" s="770"/>
      <c r="GM532" s="770"/>
      <c r="GN532" s="299"/>
      <c r="GO532" s="770"/>
      <c r="GP532" s="770"/>
      <c r="GQ532" s="770"/>
      <c r="GR532" s="770"/>
      <c r="GS532" s="770"/>
      <c r="GT532" s="770"/>
      <c r="GU532" s="770"/>
      <c r="GV532" s="770"/>
      <c r="GW532" s="770"/>
      <c r="GX532" s="770"/>
      <c r="GY532" s="770"/>
      <c r="GZ532" s="770"/>
      <c r="HA532" s="770"/>
      <c r="HB532" s="770"/>
      <c r="HC532" s="770"/>
      <c r="HD532" s="770"/>
      <c r="HE532" s="770"/>
      <c r="HF532" s="770"/>
      <c r="HG532" s="770"/>
      <c r="HH532" s="770"/>
      <c r="HI532" s="770" t="s">
        <v>1214</v>
      </c>
      <c r="HJ532" s="770"/>
      <c r="HK532" s="770"/>
      <c r="HL532" s="770" t="s">
        <v>1214</v>
      </c>
      <c r="HM532" s="770"/>
      <c r="HN532" s="770"/>
      <c r="HO532" s="770"/>
      <c r="HP532" s="770"/>
      <c r="HQ532" s="770"/>
      <c r="HR532" s="770">
        <v>1</v>
      </c>
      <c r="HS532" s="770">
        <v>1</v>
      </c>
      <c r="HT532" s="770"/>
      <c r="HU532" s="770"/>
      <c r="HV532" s="770"/>
      <c r="HW532" s="770"/>
      <c r="HX532" s="770"/>
      <c r="HY532" s="770"/>
      <c r="HZ532" s="770"/>
      <c r="IA532" s="770"/>
      <c r="IB532" s="14" t="e">
        <f>IF(#REF!&gt;0,IF(#REF!&lt;=10000,"Y",""),"")</f>
        <v>#REF!</v>
      </c>
      <c r="IC532" s="770"/>
      <c r="ID532" s="770"/>
      <c r="IE532" s="770"/>
      <c r="IF532" s="770"/>
      <c r="IG532" s="770"/>
      <c r="IH532" s="770"/>
      <c r="II532" s="770"/>
      <c r="IJ532" s="770"/>
      <c r="IK532" s="770"/>
      <c r="IL532" s="770"/>
      <c r="IM532" s="770"/>
      <c r="IN532" s="770"/>
      <c r="IO532" s="296"/>
      <c r="IP532" s="770"/>
      <c r="IQ532" s="770"/>
      <c r="IR532" s="770"/>
      <c r="IS532" s="770"/>
      <c r="IT532" s="770"/>
      <c r="IU532" s="770"/>
      <c r="IV532" s="770"/>
      <c r="IW532" s="770"/>
      <c r="IX532" s="770"/>
      <c r="IY532" s="770"/>
      <c r="IZ532" s="770"/>
      <c r="JA532" s="770"/>
      <c r="JB532" s="770"/>
      <c r="JC532" s="770"/>
      <c r="JD532" s="302"/>
      <c r="JE532" s="770"/>
      <c r="JF532" s="770"/>
      <c r="JG532" s="770"/>
      <c r="JH532" s="307"/>
      <c r="JI532" s="307"/>
      <c r="JJ532" s="770">
        <v>5</v>
      </c>
      <c r="JK532" s="1139" t="s">
        <v>3743</v>
      </c>
      <c r="JL532" s="770">
        <v>1</v>
      </c>
      <c r="JM532" s="770">
        <v>1</v>
      </c>
      <c r="JN532" s="770">
        <v>2</v>
      </c>
      <c r="JO532" s="770">
        <v>1</v>
      </c>
      <c r="JP532" s="770"/>
      <c r="JQ532" s="770"/>
      <c r="JR532" s="770"/>
      <c r="JS532" s="770"/>
      <c r="JT532" s="766">
        <f>SUM(JP532,JN532,JL532,JR532)</f>
        <v>3</v>
      </c>
      <c r="JU532" s="766">
        <f>SUM(JQ532,JO532,JM532,JS532)</f>
        <v>2</v>
      </c>
      <c r="JV532" s="712" t="str">
        <f>IF(JT532=KJ532,"ok","male")</f>
        <v>ok</v>
      </c>
      <c r="JW532" s="712" t="str">
        <f>IF(JU532=KK532,"ok","female")</f>
        <v>ok</v>
      </c>
      <c r="JX532" s="770"/>
      <c r="JY532" s="770"/>
      <c r="JZ532" s="770">
        <v>1</v>
      </c>
      <c r="KA532" s="770">
        <v>1</v>
      </c>
      <c r="KB532" s="770">
        <v>1</v>
      </c>
      <c r="KC532" s="770">
        <v>1</v>
      </c>
      <c r="KD532" s="770">
        <v>1</v>
      </c>
      <c r="KE532" s="770"/>
      <c r="KF532" s="770"/>
      <c r="KG532" s="770"/>
      <c r="KH532" s="770"/>
      <c r="KI532" s="770"/>
      <c r="KJ532" s="770">
        <f t="shared" si="153"/>
        <v>3</v>
      </c>
      <c r="KK532" s="770">
        <f t="shared" si="153"/>
        <v>2</v>
      </c>
      <c r="KL532" s="712" t="str">
        <f>IF(KJ532=LN532,"ok","male")</f>
        <v>ok</v>
      </c>
      <c r="KM532" s="712" t="str">
        <f>IF(KK532=LO532,"ok","female")</f>
        <v>ok</v>
      </c>
      <c r="KN532" s="770" t="s">
        <v>707</v>
      </c>
      <c r="KO532" s="770"/>
      <c r="KP532" s="770"/>
      <c r="KQ532" s="770"/>
      <c r="KR532" s="770"/>
      <c r="KS532" s="770"/>
      <c r="KT532" s="770"/>
      <c r="KU532" s="770"/>
      <c r="KV532" s="770">
        <v>1</v>
      </c>
      <c r="KW532" s="770">
        <v>1</v>
      </c>
      <c r="KX532" s="770"/>
      <c r="KY532" s="770"/>
      <c r="KZ532" s="770">
        <v>1</v>
      </c>
      <c r="LA532" s="770">
        <v>1</v>
      </c>
      <c r="LB532" s="770">
        <v>1</v>
      </c>
      <c r="LC532" s="770"/>
      <c r="LD532" s="770"/>
      <c r="LE532" s="770"/>
      <c r="LF532" s="770"/>
      <c r="LG532" s="770"/>
      <c r="LH532" s="770"/>
      <c r="LI532" s="770"/>
      <c r="LJ532" s="770"/>
      <c r="LK532" s="770"/>
      <c r="LL532" s="770"/>
      <c r="LM532" s="770"/>
      <c r="LN532" s="766">
        <f t="shared" si="134"/>
        <v>3</v>
      </c>
      <c r="LO532" s="766">
        <f t="shared" si="134"/>
        <v>2</v>
      </c>
      <c r="LP532" s="770">
        <v>1</v>
      </c>
      <c r="LQ532" s="770">
        <v>1</v>
      </c>
      <c r="LR532" s="770"/>
      <c r="LS532" s="770"/>
      <c r="LT532" s="712" t="str">
        <f>IF(LQ532=SUM(LU532:LW532),"OK","REV")</f>
        <v>OK</v>
      </c>
      <c r="LU532" s="770">
        <v>1</v>
      </c>
      <c r="LV532" s="770"/>
      <c r="LW532" s="770"/>
      <c r="LX532" s="769">
        <v>4</v>
      </c>
      <c r="LY532" s="766" t="str">
        <f t="shared" si="135"/>
        <v>OTHER Province</v>
      </c>
      <c r="LZ532" s="1709">
        <v>6000</v>
      </c>
      <c r="MA532" s="1709"/>
      <c r="MB532" s="1709"/>
      <c r="MC532" s="1679">
        <f t="shared" si="133"/>
        <v>6000</v>
      </c>
      <c r="MD532" s="1709">
        <v>10000</v>
      </c>
      <c r="ME532" s="1709"/>
      <c r="MF532" s="1709"/>
      <c r="MG532" s="1680">
        <f>SUM(MD532:MF532)</f>
        <v>10000</v>
      </c>
      <c r="MH532" s="770" t="s">
        <v>13703</v>
      </c>
      <c r="MI532" s="302">
        <v>9000</v>
      </c>
      <c r="MJ532" s="302">
        <v>600</v>
      </c>
      <c r="MK532" s="302">
        <v>250</v>
      </c>
      <c r="ML532" s="302"/>
      <c r="MM532" s="302">
        <v>6500</v>
      </c>
      <c r="MN532" s="302"/>
      <c r="MO532" s="302">
        <v>400</v>
      </c>
      <c r="MP532" s="302">
        <v>1300</v>
      </c>
      <c r="MQ532" s="302">
        <v>400</v>
      </c>
      <c r="MR532" s="302">
        <v>400</v>
      </c>
      <c r="MS532" s="302"/>
      <c r="MT532" s="302"/>
      <c r="MU532" s="302"/>
      <c r="MV532" s="302"/>
      <c r="MW532" s="302"/>
      <c r="MX532" s="302"/>
      <c r="MY532" s="1682">
        <f t="shared" si="147"/>
        <v>18850</v>
      </c>
      <c r="MZ532" s="770" t="s">
        <v>13370</v>
      </c>
      <c r="NA532" s="770" t="s">
        <v>13005</v>
      </c>
      <c r="NB532" s="770" t="s">
        <v>13016</v>
      </c>
      <c r="NC532" s="770" t="s">
        <v>13602</v>
      </c>
      <c r="ND532" s="770">
        <v>0</v>
      </c>
      <c r="NE532" s="770">
        <v>0</v>
      </c>
      <c r="NF532" s="770">
        <v>1</v>
      </c>
      <c r="NG532" s="770">
        <v>1</v>
      </c>
      <c r="NH532" s="770">
        <v>1</v>
      </c>
      <c r="NI532" s="770">
        <v>1</v>
      </c>
      <c r="NJ532" s="770">
        <v>1</v>
      </c>
      <c r="NK532" s="770">
        <v>0</v>
      </c>
      <c r="NL532" s="770">
        <v>1</v>
      </c>
      <c r="NM532" s="770">
        <v>1</v>
      </c>
      <c r="NN532" s="770">
        <v>0</v>
      </c>
      <c r="NO532" s="770">
        <v>0</v>
      </c>
      <c r="NP532" s="770">
        <v>0</v>
      </c>
      <c r="NQ532" s="770">
        <v>0</v>
      </c>
      <c r="NR532" s="770">
        <v>0</v>
      </c>
      <c r="NS532" s="770">
        <v>0</v>
      </c>
      <c r="NT532" s="770">
        <v>0</v>
      </c>
      <c r="NU532" s="770">
        <v>0</v>
      </c>
      <c r="NV532" s="770">
        <v>0</v>
      </c>
      <c r="NW532" s="770">
        <v>0</v>
      </c>
      <c r="NX532" s="770">
        <v>0</v>
      </c>
      <c r="NY532" s="770" t="s">
        <v>1208</v>
      </c>
      <c r="NZ532" s="770" t="s">
        <v>1208</v>
      </c>
      <c r="OA532" s="770" t="s">
        <v>1208</v>
      </c>
      <c r="OB532" s="770" t="s">
        <v>1208</v>
      </c>
      <c r="OC532" s="770" t="s">
        <v>1208</v>
      </c>
      <c r="OD532" s="770"/>
      <c r="OE532" s="770"/>
      <c r="OF532" s="770"/>
      <c r="OG532" s="770"/>
      <c r="OH532" s="770"/>
      <c r="OI532" s="770"/>
      <c r="OJ532" s="770"/>
      <c r="OK532" s="770"/>
      <c r="OL532" s="770"/>
      <c r="OM532" s="770"/>
      <c r="ON532" s="770"/>
      <c r="OO532" s="770"/>
      <c r="OP532" s="770"/>
      <c r="OQ532" s="770"/>
      <c r="OR532" s="770"/>
      <c r="OS532" s="770"/>
      <c r="OT532" s="770"/>
      <c r="OU532" s="770"/>
      <c r="OV532" s="770"/>
      <c r="OW532" s="770"/>
      <c r="OX532" s="770"/>
      <c r="OY532" s="770"/>
      <c r="OZ532" s="770"/>
      <c r="PA532" s="770"/>
      <c r="PB532" s="770"/>
      <c r="PC532" s="770"/>
      <c r="PD532" s="770"/>
      <c r="PE532" s="770"/>
      <c r="PF532" s="770"/>
      <c r="PG532" s="770"/>
      <c r="PH532" s="770"/>
      <c r="PI532" s="770"/>
      <c r="PJ532" s="770"/>
      <c r="PK532" s="770"/>
      <c r="PL532" s="770"/>
      <c r="PM532" s="770"/>
      <c r="PN532" s="770"/>
      <c r="PO532" s="770"/>
      <c r="PP532" s="770"/>
      <c r="PQ532" s="770"/>
      <c r="PR532" s="770"/>
      <c r="PS532" s="770"/>
      <c r="PT532" s="770"/>
      <c r="PU532" s="770"/>
      <c r="PV532" s="770"/>
      <c r="PW532" s="770"/>
      <c r="PX532" s="770"/>
      <c r="PY532" s="770"/>
      <c r="PZ532" s="770"/>
      <c r="QA532" s="770"/>
      <c r="QB532" s="770"/>
      <c r="QC532" s="770"/>
      <c r="QD532" s="770"/>
      <c r="QE532" s="770"/>
      <c r="QF532" s="770"/>
      <c r="QG532" s="770"/>
      <c r="QH532" s="770"/>
      <c r="QI532" s="770"/>
      <c r="QJ532" s="770"/>
      <c r="QK532" s="770"/>
      <c r="QL532" s="770"/>
      <c r="QM532" s="770"/>
      <c r="QN532" s="770"/>
      <c r="QO532" s="770"/>
      <c r="QP532" s="770"/>
      <c r="QQ532" s="770"/>
      <c r="QR532" s="770"/>
      <c r="QS532" s="770"/>
      <c r="QT532" s="770"/>
      <c r="QU532" s="770"/>
      <c r="QV532" s="770"/>
      <c r="QW532" s="770"/>
      <c r="QX532" s="770"/>
      <c r="QY532" s="770"/>
      <c r="QZ532" s="770"/>
      <c r="RA532" s="770"/>
      <c r="RB532" s="770" t="s">
        <v>1214</v>
      </c>
      <c r="RC532" s="770"/>
      <c r="RD532" s="770"/>
      <c r="RE532" s="770"/>
      <c r="RF532" s="304"/>
      <c r="RG532" s="770"/>
      <c r="RH532" s="302"/>
      <c r="RI532" s="770"/>
      <c r="RJ532" s="770" t="s">
        <v>3743</v>
      </c>
      <c r="RK532" s="770" t="s">
        <v>13544</v>
      </c>
      <c r="RL532" s="1710"/>
      <c r="RM532" s="12"/>
      <c r="RN532" s="1711"/>
      <c r="RO532" s="132" t="s">
        <v>3737</v>
      </c>
      <c r="RP532" s="11"/>
      <c r="RQ532" s="11"/>
      <c r="RR532" s="19" t="s">
        <v>7421</v>
      </c>
      <c r="RS532" s="1139" t="s">
        <v>12980</v>
      </c>
      <c r="RT532" s="11"/>
      <c r="RU532" s="11"/>
      <c r="RV532" s="771" t="s">
        <v>7419</v>
      </c>
      <c r="RW532" s="11" t="s">
        <v>7792</v>
      </c>
      <c r="RX532" s="11" t="s">
        <v>2955</v>
      </c>
      <c r="RY532" s="11"/>
      <c r="RZ532" s="11" t="s">
        <v>1101</v>
      </c>
      <c r="SA532" s="771"/>
      <c r="SB532" s="11"/>
      <c r="SC532" s="11"/>
    </row>
    <row r="533" spans="1:497" ht="12.75" hidden="1" customHeight="1">
      <c r="A533" s="343" t="s">
        <v>7419</v>
      </c>
      <c r="B533" s="752" t="s">
        <v>7804</v>
      </c>
      <c r="C533" s="133" t="s">
        <v>3757</v>
      </c>
      <c r="D533" s="94" t="s">
        <v>3758</v>
      </c>
      <c r="E533" s="766" t="s">
        <v>3739</v>
      </c>
      <c r="F533" s="770" t="s">
        <v>28</v>
      </c>
      <c r="G533" s="770" t="s">
        <v>18</v>
      </c>
      <c r="H533" s="295" t="s">
        <v>3759</v>
      </c>
      <c r="I533" s="295"/>
      <c r="J533" s="94" t="s">
        <v>3758</v>
      </c>
      <c r="K533" s="766" t="s">
        <v>3740</v>
      </c>
      <c r="L533" s="766" t="s">
        <v>2331</v>
      </c>
      <c r="M533" s="770" t="s">
        <v>1238</v>
      </c>
      <c r="N533" s="770"/>
      <c r="O533" s="770" t="s">
        <v>3760</v>
      </c>
      <c r="P533" s="770" t="s">
        <v>3761</v>
      </c>
      <c r="Q533" s="1088">
        <v>16588</v>
      </c>
      <c r="R533" s="297">
        <v>71</v>
      </c>
      <c r="S533" s="770" t="s">
        <v>18</v>
      </c>
      <c r="T533" s="295" t="s">
        <v>3759</v>
      </c>
      <c r="U533" s="298"/>
      <c r="V533" s="770" t="s">
        <v>707</v>
      </c>
      <c r="W533" s="770"/>
      <c r="X533" s="770"/>
      <c r="Y533" s="770" t="s">
        <v>3739</v>
      </c>
      <c r="Z533" s="770" t="s">
        <v>708</v>
      </c>
      <c r="AA533" s="770" t="s">
        <v>709</v>
      </c>
      <c r="AB533" s="770" t="s">
        <v>710</v>
      </c>
      <c r="AC533" s="770" t="s">
        <v>724</v>
      </c>
      <c r="AD533" s="770" t="s">
        <v>711</v>
      </c>
      <c r="AE533" s="770"/>
      <c r="AF533" s="770" t="s">
        <v>712</v>
      </c>
      <c r="AG533" s="766" t="s">
        <v>1095</v>
      </c>
      <c r="AH533" s="766" t="s">
        <v>1096</v>
      </c>
      <c r="AI533" s="770" t="s">
        <v>3294</v>
      </c>
      <c r="AJ533" s="770"/>
      <c r="AK533" s="770" t="s">
        <v>1097</v>
      </c>
      <c r="AL533" s="531">
        <v>6</v>
      </c>
      <c r="AM533" s="780">
        <v>3</v>
      </c>
      <c r="AN533" s="532">
        <f>AM533/AL533</f>
        <v>0.5</v>
      </c>
      <c r="AO533" s="766" t="s">
        <v>1149</v>
      </c>
      <c r="AP533" s="766" t="s">
        <v>5364</v>
      </c>
      <c r="AQ533" s="766" t="s">
        <v>7418</v>
      </c>
      <c r="AR533" s="766"/>
      <c r="AS533" s="769"/>
      <c r="AT533" s="770"/>
      <c r="AU533" s="770"/>
      <c r="AV533" s="770"/>
      <c r="AW533" s="770"/>
      <c r="AX533" s="770"/>
      <c r="AY533" s="770"/>
      <c r="AZ533" s="770"/>
      <c r="BA533" s="770"/>
      <c r="BB533" s="770"/>
      <c r="BC533" s="770"/>
      <c r="BD533" s="770"/>
      <c r="BE533" s="770"/>
      <c r="BF533" s="302"/>
      <c r="BG533" s="302"/>
      <c r="BH533" s="770"/>
      <c r="BI533" s="770"/>
      <c r="BJ533" s="770"/>
      <c r="BK533" s="770" t="s">
        <v>1095</v>
      </c>
      <c r="BL533" s="770" t="s">
        <v>3762</v>
      </c>
      <c r="BM533" s="766" t="s">
        <v>1096</v>
      </c>
      <c r="BN533" s="770" t="s">
        <v>1230</v>
      </c>
      <c r="BO533" s="766" t="s">
        <v>1246</v>
      </c>
      <c r="BP533" s="765">
        <v>6</v>
      </c>
      <c r="BQ533" s="773">
        <v>3</v>
      </c>
      <c r="BR533" s="774">
        <f>BQ533/BP533</f>
        <v>0.5</v>
      </c>
      <c r="BS533" s="766" t="s">
        <v>1105</v>
      </c>
      <c r="BT533" s="766" t="s">
        <v>2040</v>
      </c>
      <c r="BU533" s="770" t="s">
        <v>1249</v>
      </c>
      <c r="BV533" s="770" t="s">
        <v>1247</v>
      </c>
      <c r="BW533" s="769"/>
      <c r="BX533" s="302"/>
      <c r="BY533" s="770"/>
      <c r="BZ533" s="302"/>
      <c r="CA533" s="770"/>
      <c r="CB533" s="770"/>
      <c r="CC533" s="770"/>
      <c r="CD533" s="770"/>
      <c r="CE533" s="770"/>
      <c r="CF533" s="1753"/>
      <c r="CG533" s="1754"/>
      <c r="CH533" s="770"/>
      <c r="CI533" s="770"/>
      <c r="CJ533" s="770"/>
      <c r="CK533" s="770"/>
      <c r="CL533" s="770"/>
      <c r="CM533" s="770"/>
      <c r="CN533" s="770"/>
      <c r="CO533" s="770"/>
      <c r="CP533" s="770"/>
      <c r="CQ533" s="770"/>
      <c r="CR533" s="302"/>
      <c r="CS533" s="770"/>
      <c r="CT533" s="770"/>
      <c r="CU533" s="305"/>
      <c r="CV533" s="770"/>
      <c r="CW533" s="770"/>
      <c r="CX533" s="770"/>
      <c r="CY533" s="770"/>
      <c r="CZ533" s="770"/>
      <c r="DA533" s="306"/>
      <c r="DB533" s="770"/>
      <c r="DC533" s="770"/>
      <c r="DD533" s="770"/>
      <c r="DE533" s="300"/>
      <c r="DF533" s="770"/>
      <c r="DG533" s="770"/>
      <c r="DH533" s="770"/>
      <c r="DI533" s="770"/>
      <c r="DJ533" s="770"/>
      <c r="DK533" s="770"/>
      <c r="DL533" s="770"/>
      <c r="DM533" s="770"/>
      <c r="DN533" s="322"/>
      <c r="DO533" s="770"/>
      <c r="DP533" s="770"/>
      <c r="DQ533" s="770"/>
      <c r="DR533" s="770"/>
      <c r="DS533" s="307"/>
      <c r="DT533" s="770"/>
      <c r="DU533" s="770"/>
      <c r="DV533" s="770"/>
      <c r="DW533" s="306"/>
      <c r="DX533" s="306"/>
      <c r="DY533" s="770"/>
      <c r="DZ533" s="770"/>
      <c r="EA533" s="770"/>
      <c r="EB533" s="770"/>
      <c r="EC533" s="770"/>
      <c r="ED533" s="770"/>
      <c r="EE533" s="770"/>
      <c r="EF533" s="770"/>
      <c r="EG533" s="770"/>
      <c r="EH533" s="770"/>
      <c r="EI533" s="770"/>
      <c r="EJ533" s="770"/>
      <c r="EK533" s="770"/>
      <c r="EL533" s="770"/>
      <c r="EM533" s="770"/>
      <c r="EN533" s="770"/>
      <c r="EO533" s="770"/>
      <c r="EP533" s="94"/>
      <c r="EQ533" s="770"/>
      <c r="ER533" s="770"/>
      <c r="ES533" s="770"/>
      <c r="ET533" s="770"/>
      <c r="EU533" s="770"/>
      <c r="EV533" s="770"/>
      <c r="EW533" s="770"/>
      <c r="EX533" s="770"/>
      <c r="EY533" s="770"/>
      <c r="EZ533" s="770"/>
      <c r="FA533" s="770"/>
      <c r="FB533" s="770"/>
      <c r="FC533" s="770"/>
      <c r="FD533" s="302"/>
      <c r="FE533" s="770"/>
      <c r="FF533" s="770"/>
      <c r="FG533" s="770"/>
      <c r="FH533" s="770" t="s">
        <v>478</v>
      </c>
      <c r="FI533" s="770"/>
      <c r="FJ533" s="770"/>
      <c r="FK533" s="770"/>
      <c r="FL533" s="770"/>
      <c r="FM533" s="302"/>
      <c r="FN533" s="302"/>
      <c r="FO533" s="302"/>
      <c r="FP533" s="770" t="s">
        <v>1602</v>
      </c>
      <c r="FQ533" s="770" t="s">
        <v>1660</v>
      </c>
      <c r="FR533" s="770" t="s">
        <v>1214</v>
      </c>
      <c r="FS533" s="770"/>
      <c r="FT533" s="770"/>
      <c r="FU533" s="770"/>
      <c r="FV533" s="770"/>
      <c r="FW533" s="770"/>
      <c r="FX533" s="770"/>
      <c r="FY533" s="770"/>
      <c r="FZ533" s="770"/>
      <c r="GA533" s="770"/>
      <c r="GB533" s="770" t="s">
        <v>1734</v>
      </c>
      <c r="GC533" s="308"/>
      <c r="GD533" s="297">
        <v>2014</v>
      </c>
      <c r="GE533" s="770" t="s">
        <v>1207</v>
      </c>
      <c r="GF533" s="302">
        <v>1500</v>
      </c>
      <c r="GG533" s="302">
        <f>GF533*12</f>
        <v>18000</v>
      </c>
      <c r="GH533" s="1774"/>
      <c r="GI533" s="770"/>
      <c r="GJ533" s="770"/>
      <c r="GK533" s="770"/>
      <c r="GL533" s="770"/>
      <c r="GM533" s="770"/>
      <c r="GN533" s="299"/>
      <c r="GO533" s="770"/>
      <c r="GP533" s="770"/>
      <c r="GQ533" s="770"/>
      <c r="GR533" s="770"/>
      <c r="GS533" s="770"/>
      <c r="GT533" s="770"/>
      <c r="GU533" s="770"/>
      <c r="GV533" s="770"/>
      <c r="GW533" s="770"/>
      <c r="GX533" s="770"/>
      <c r="GY533" s="770"/>
      <c r="GZ533" s="770"/>
      <c r="HA533" s="770"/>
      <c r="HB533" s="770"/>
      <c r="HC533" s="770"/>
      <c r="HD533" s="770"/>
      <c r="HE533" s="770"/>
      <c r="HF533" s="770"/>
      <c r="HG533" s="770"/>
      <c r="HH533" s="770"/>
      <c r="HI533" s="770"/>
      <c r="HJ533" s="770"/>
      <c r="HK533" s="770"/>
      <c r="HL533" s="770"/>
      <c r="HM533" s="770"/>
      <c r="HN533" s="770"/>
      <c r="HO533" s="770"/>
      <c r="HP533" s="770"/>
      <c r="HQ533" s="770"/>
      <c r="HR533" s="770">
        <v>1</v>
      </c>
      <c r="HS533" s="770">
        <v>1</v>
      </c>
      <c r="HT533" s="770"/>
      <c r="HU533" s="770"/>
      <c r="HV533" s="770"/>
      <c r="HW533" s="770"/>
      <c r="HX533" s="770"/>
      <c r="HY533" s="770"/>
      <c r="HZ533" s="770"/>
      <c r="IA533" s="770"/>
      <c r="IB533" s="770"/>
      <c r="IC533" s="770"/>
      <c r="ID533" s="770"/>
      <c r="IE533" s="770"/>
      <c r="IF533" s="770" t="s">
        <v>3758</v>
      </c>
      <c r="IG533" s="770" t="s">
        <v>18</v>
      </c>
      <c r="IH533" s="770" t="s">
        <v>478</v>
      </c>
      <c r="II533" s="770" t="s">
        <v>3763</v>
      </c>
      <c r="IJ533" s="770" t="s">
        <v>1835</v>
      </c>
      <c r="IK533" s="770" t="s">
        <v>2639</v>
      </c>
      <c r="IL533" s="770" t="s">
        <v>3764</v>
      </c>
      <c r="IM533" s="770">
        <v>2010</v>
      </c>
      <c r="IN533" s="770" t="s">
        <v>3764</v>
      </c>
      <c r="IO533" s="296">
        <v>19875</v>
      </c>
      <c r="IP533" s="770" t="s">
        <v>478</v>
      </c>
      <c r="IQ533" s="769" t="s">
        <v>1882</v>
      </c>
      <c r="IR533" s="770" t="s">
        <v>2716</v>
      </c>
      <c r="IS533" s="770" t="s">
        <v>1879</v>
      </c>
      <c r="IT533" s="770"/>
      <c r="IU533" s="770" t="s">
        <v>1208</v>
      </c>
      <c r="IV533" s="770"/>
      <c r="IW533" s="770" t="s">
        <v>3761</v>
      </c>
      <c r="IX533" s="770"/>
      <c r="IY533" s="770" t="s">
        <v>3759</v>
      </c>
      <c r="IZ533" s="770"/>
      <c r="JA533" s="770" t="s">
        <v>12775</v>
      </c>
      <c r="JB533" s="770" t="s">
        <v>1918</v>
      </c>
      <c r="JC533" s="770"/>
      <c r="JD533" s="302">
        <v>1500</v>
      </c>
      <c r="JE533" s="770"/>
      <c r="JF533" s="770"/>
      <c r="JG533" s="770"/>
      <c r="JH533" s="307"/>
      <c r="JI533" s="307"/>
      <c r="JJ533" s="770"/>
      <c r="JK533" s="770"/>
      <c r="JL533" s="770"/>
      <c r="JM533" s="770"/>
      <c r="JN533" s="770"/>
      <c r="JO533" s="770"/>
      <c r="JP533" s="770"/>
      <c r="JQ533" s="770"/>
      <c r="JR533" s="770"/>
      <c r="JS533" s="770"/>
      <c r="JT533" s="766"/>
      <c r="JU533" s="766"/>
      <c r="JV533" s="766"/>
      <c r="JW533" s="766"/>
      <c r="JX533" s="770"/>
      <c r="JY533" s="770"/>
      <c r="JZ533" s="770"/>
      <c r="KA533" s="770"/>
      <c r="KB533" s="770"/>
      <c r="KC533" s="770"/>
      <c r="KD533" s="770"/>
      <c r="KE533" s="770"/>
      <c r="KF533" s="770"/>
      <c r="KG533" s="770"/>
      <c r="KH533" s="770"/>
      <c r="KI533" s="770"/>
      <c r="KJ533" s="770"/>
      <c r="KK533" s="770"/>
      <c r="KL533" s="770"/>
      <c r="KM533" s="770"/>
      <c r="KN533" s="770"/>
      <c r="KO533" s="770"/>
      <c r="KP533" s="770"/>
      <c r="KQ533" s="770"/>
      <c r="KR533" s="770"/>
      <c r="KS533" s="770"/>
      <c r="KT533" s="770"/>
      <c r="KU533" s="770"/>
      <c r="KV533" s="770"/>
      <c r="KW533" s="770"/>
      <c r="KX533" s="770"/>
      <c r="KY533" s="770"/>
      <c r="KZ533" s="770"/>
      <c r="LA533" s="770"/>
      <c r="LB533" s="770"/>
      <c r="LC533" s="770"/>
      <c r="LD533" s="770"/>
      <c r="LE533" s="770"/>
      <c r="LF533" s="770"/>
      <c r="LG533" s="770"/>
      <c r="LH533" s="770"/>
      <c r="LI533" s="770"/>
      <c r="LJ533" s="770"/>
      <c r="LK533" s="770"/>
      <c r="LL533" s="770"/>
      <c r="LM533" s="770"/>
      <c r="LN533" s="766"/>
      <c r="LO533" s="766"/>
      <c r="LP533" s="770"/>
      <c r="LQ533" s="770"/>
      <c r="LR533" s="770"/>
      <c r="LS533" s="770"/>
      <c r="LT533" s="770"/>
      <c r="LU533" s="770"/>
      <c r="LV533" s="770"/>
      <c r="LW533" s="770"/>
      <c r="LX533" s="769"/>
      <c r="LY533" s="766" t="str">
        <f t="shared" si="135"/>
        <v/>
      </c>
      <c r="LZ533" s="1709"/>
      <c r="MA533" s="1709"/>
      <c r="MB533" s="1709"/>
      <c r="MC533" s="1679">
        <f t="shared" si="133"/>
        <v>0</v>
      </c>
      <c r="MD533" s="1709"/>
      <c r="ME533" s="1709"/>
      <c r="MF533" s="1709"/>
      <c r="MG533" s="1680">
        <f t="shared" si="149"/>
        <v>0</v>
      </c>
      <c r="MH533" s="770"/>
      <c r="MI533" s="302"/>
      <c r="MJ533" s="302"/>
      <c r="MK533" s="302"/>
      <c r="ML533" s="302"/>
      <c r="MM533" s="302"/>
      <c r="MN533" s="302"/>
      <c r="MO533" s="302"/>
      <c r="MP533" s="302"/>
      <c r="MQ533" s="302"/>
      <c r="MR533" s="302"/>
      <c r="MS533" s="302"/>
      <c r="MT533" s="302"/>
      <c r="MU533" s="302"/>
      <c r="MV533" s="302"/>
      <c r="MW533" s="302"/>
      <c r="MX533" s="302"/>
      <c r="MY533" s="1682">
        <f t="shared" si="147"/>
        <v>0</v>
      </c>
      <c r="MZ533" s="770"/>
      <c r="NA533" s="770"/>
      <c r="NB533" s="770"/>
      <c r="NC533" s="770"/>
      <c r="ND533" s="770"/>
      <c r="NE533" s="770"/>
      <c r="NF533" s="770"/>
      <c r="NG533" s="770"/>
      <c r="NH533" s="770"/>
      <c r="NI533" s="770"/>
      <c r="NJ533" s="770"/>
      <c r="NK533" s="770"/>
      <c r="NL533" s="770"/>
      <c r="NM533" s="770"/>
      <c r="NN533" s="770"/>
      <c r="NO533" s="770"/>
      <c r="NP533" s="770"/>
      <c r="NQ533" s="770"/>
      <c r="NR533" s="770"/>
      <c r="NS533" s="770"/>
      <c r="NT533" s="770"/>
      <c r="NU533" s="770"/>
      <c r="NV533" s="770"/>
      <c r="NW533" s="770"/>
      <c r="NX533" s="770"/>
      <c r="NY533" s="770"/>
      <c r="NZ533" s="770"/>
      <c r="OA533" s="770"/>
      <c r="OB533" s="770"/>
      <c r="OC533" s="770"/>
      <c r="OD533" s="770"/>
      <c r="OE533" s="770"/>
      <c r="OF533" s="770"/>
      <c r="OG533" s="770"/>
      <c r="OH533" s="770"/>
      <c r="OI533" s="770"/>
      <c r="OJ533" s="770"/>
      <c r="OK533" s="770"/>
      <c r="OL533" s="770"/>
      <c r="OM533" s="770"/>
      <c r="ON533" s="770"/>
      <c r="OO533" s="770"/>
      <c r="OP533" s="770"/>
      <c r="OQ533" s="770"/>
      <c r="OR533" s="770"/>
      <c r="OS533" s="770"/>
      <c r="OT533" s="770"/>
      <c r="OU533" s="770"/>
      <c r="OV533" s="770"/>
      <c r="OW533" s="770"/>
      <c r="OX533" s="770"/>
      <c r="OY533" s="770"/>
      <c r="OZ533" s="770"/>
      <c r="PA533" s="770"/>
      <c r="PB533" s="770"/>
      <c r="PC533" s="770"/>
      <c r="PD533" s="770"/>
      <c r="PE533" s="770"/>
      <c r="PF533" s="770"/>
      <c r="PG533" s="770"/>
      <c r="PH533" s="770"/>
      <c r="PI533" s="770"/>
      <c r="PJ533" s="770"/>
      <c r="PK533" s="770"/>
      <c r="PL533" s="770"/>
      <c r="PM533" s="770"/>
      <c r="PN533" s="770"/>
      <c r="PO533" s="770"/>
      <c r="PP533" s="770"/>
      <c r="PQ533" s="770"/>
      <c r="PR533" s="770"/>
      <c r="PS533" s="770"/>
      <c r="PT533" s="770"/>
      <c r="PU533" s="770"/>
      <c r="PV533" s="770"/>
      <c r="PW533" s="770"/>
      <c r="PX533" s="770"/>
      <c r="PY533" s="770"/>
      <c r="PZ533" s="770"/>
      <c r="QA533" s="770"/>
      <c r="QB533" s="770"/>
      <c r="QC533" s="770"/>
      <c r="QD533" s="770"/>
      <c r="QE533" s="770"/>
      <c r="QF533" s="770"/>
      <c r="QG533" s="770"/>
      <c r="QH533" s="770"/>
      <c r="QI533" s="770"/>
      <c r="QJ533" s="770"/>
      <c r="QK533" s="770"/>
      <c r="QL533" s="770"/>
      <c r="QM533" s="770"/>
      <c r="QN533" s="770"/>
      <c r="QO533" s="770"/>
      <c r="QP533" s="770"/>
      <c r="QQ533" s="770"/>
      <c r="QR533" s="770"/>
      <c r="QS533" s="770"/>
      <c r="QT533" s="770"/>
      <c r="QU533" s="770"/>
      <c r="QV533" s="770"/>
      <c r="QW533" s="770"/>
      <c r="QX533" s="770"/>
      <c r="QY533" s="770"/>
      <c r="QZ533" s="770"/>
      <c r="RA533" s="770"/>
      <c r="RB533" s="770"/>
      <c r="RC533" s="770"/>
      <c r="RD533" s="770"/>
      <c r="RE533" s="770"/>
      <c r="RF533" s="304"/>
      <c r="RG533" s="770"/>
      <c r="RH533" s="302"/>
      <c r="RI533" s="770"/>
      <c r="RJ533" s="770" t="s">
        <v>3764</v>
      </c>
      <c r="RK533" s="770" t="s">
        <v>13544</v>
      </c>
      <c r="RL533" s="1710"/>
      <c r="RM533" s="12"/>
      <c r="RN533" s="1711"/>
      <c r="RO533" s="133" t="s">
        <v>3757</v>
      </c>
      <c r="RP533" s="11"/>
      <c r="RQ533" s="11"/>
      <c r="RR533" s="17"/>
      <c r="RS533" s="767"/>
      <c r="RT533" s="11"/>
      <c r="RU533" s="11"/>
      <c r="RV533" s="771" t="s">
        <v>13704</v>
      </c>
      <c r="RW533" s="11" t="s">
        <v>7885</v>
      </c>
      <c r="RX533" s="11" t="s">
        <v>2955</v>
      </c>
      <c r="RY533" s="11"/>
      <c r="RZ533" s="11" t="s">
        <v>1101</v>
      </c>
      <c r="SA533" s="771"/>
      <c r="SB533" s="11"/>
      <c r="SC533" s="11"/>
    </row>
    <row r="534" spans="1:497" ht="12.75" hidden="1" customHeight="1">
      <c r="A534" s="343" t="s">
        <v>14215</v>
      </c>
      <c r="B534" s="753" t="s">
        <v>7718</v>
      </c>
      <c r="C534" s="133" t="s">
        <v>3757</v>
      </c>
      <c r="D534" s="14" t="s">
        <v>488</v>
      </c>
      <c r="E534" s="766" t="s">
        <v>3739</v>
      </c>
      <c r="F534" s="770"/>
      <c r="G534" s="770"/>
      <c r="H534" s="295"/>
      <c r="I534" s="295"/>
      <c r="J534" s="94"/>
      <c r="K534" s="766"/>
      <c r="L534" s="766"/>
      <c r="M534" s="770"/>
      <c r="N534" s="770"/>
      <c r="O534" s="770"/>
      <c r="P534" s="770"/>
      <c r="Q534" s="1088"/>
      <c r="R534" s="297"/>
      <c r="S534" s="770"/>
      <c r="T534" s="295"/>
      <c r="U534" s="298"/>
      <c r="V534" s="770"/>
      <c r="W534" s="770"/>
      <c r="X534" s="770"/>
      <c r="Y534" s="770"/>
      <c r="Z534" s="770"/>
      <c r="AA534" s="770"/>
      <c r="AB534" s="770"/>
      <c r="AC534" s="770"/>
      <c r="AD534" s="770"/>
      <c r="AE534" s="770"/>
      <c r="AF534" s="770"/>
      <c r="AG534" s="770"/>
      <c r="AH534" s="770"/>
      <c r="AI534" s="770"/>
      <c r="AJ534" s="770"/>
      <c r="AK534" s="770" t="s">
        <v>1899</v>
      </c>
      <c r="AL534" s="531"/>
      <c r="AM534" s="780"/>
      <c r="AN534" s="532"/>
      <c r="AO534" s="766"/>
      <c r="AP534" s="766"/>
      <c r="AQ534" s="766"/>
      <c r="AR534" s="766"/>
      <c r="AS534" s="769"/>
      <c r="AT534" s="770"/>
      <c r="AU534" s="770"/>
      <c r="AV534" s="770"/>
      <c r="AW534" s="770"/>
      <c r="AX534" s="770"/>
      <c r="AY534" s="770"/>
      <c r="AZ534" s="770"/>
      <c r="BA534" s="770"/>
      <c r="BB534" s="770"/>
      <c r="BC534" s="770"/>
      <c r="BD534" s="770"/>
      <c r="BE534" s="770"/>
      <c r="BF534" s="302"/>
      <c r="BG534" s="302"/>
      <c r="BH534" s="770"/>
      <c r="BI534" s="770"/>
      <c r="BJ534" s="770"/>
      <c r="BK534" s="770"/>
      <c r="BL534" s="770"/>
      <c r="BM534" s="770" t="s">
        <v>1238</v>
      </c>
      <c r="BN534" s="770" t="s">
        <v>1256</v>
      </c>
      <c r="BO534" s="770"/>
      <c r="BP534" s="765"/>
      <c r="BQ534" s="773"/>
      <c r="BR534" s="774"/>
      <c r="BS534" s="766" t="s">
        <v>1105</v>
      </c>
      <c r="BT534" s="770"/>
      <c r="BU534" s="770"/>
      <c r="BV534" s="770"/>
      <c r="BW534" s="770"/>
      <c r="BX534" s="302"/>
      <c r="BY534" s="770"/>
      <c r="BZ534" s="302"/>
      <c r="CA534" s="770"/>
      <c r="CB534" s="770"/>
      <c r="CC534" s="770"/>
      <c r="CD534" s="770"/>
      <c r="CE534" s="770"/>
      <c r="CF534" s="1753"/>
      <c r="CG534" s="1754"/>
      <c r="CH534" s="770"/>
      <c r="CI534" s="770"/>
      <c r="CJ534" s="770"/>
      <c r="CK534" s="770"/>
      <c r="CL534" s="770"/>
      <c r="CM534" s="770"/>
      <c r="CN534" s="770"/>
      <c r="CO534" s="770"/>
      <c r="CP534" s="770"/>
      <c r="CQ534" s="770"/>
      <c r="CR534" s="302"/>
      <c r="CS534" s="770"/>
      <c r="CT534" s="770"/>
      <c r="CU534" s="305"/>
      <c r="CV534" s="770"/>
      <c r="CW534" s="770"/>
      <c r="CX534" s="770"/>
      <c r="CY534" s="770"/>
      <c r="CZ534" s="770"/>
      <c r="DA534" s="306"/>
      <c r="DB534" s="770"/>
      <c r="DC534" s="770"/>
      <c r="DD534" s="770"/>
      <c r="DE534" s="300"/>
      <c r="DF534" s="770"/>
      <c r="DG534" s="770"/>
      <c r="DH534" s="770"/>
      <c r="DI534" s="770"/>
      <c r="DJ534" s="770"/>
      <c r="DK534" s="770"/>
      <c r="DL534" s="770"/>
      <c r="DM534" s="770"/>
      <c r="DN534" s="322"/>
      <c r="DO534" s="770"/>
      <c r="DP534" s="770"/>
      <c r="DQ534" s="770"/>
      <c r="DR534" s="770"/>
      <c r="DS534" s="307"/>
      <c r="DT534" s="770"/>
      <c r="DU534" s="770"/>
      <c r="DV534" s="770"/>
      <c r="DW534" s="306"/>
      <c r="DX534" s="306"/>
      <c r="DY534" s="770"/>
      <c r="DZ534" s="770"/>
      <c r="EA534" s="770"/>
      <c r="EB534" s="770"/>
      <c r="EC534" s="770"/>
      <c r="ED534" s="770"/>
      <c r="EE534" s="770"/>
      <c r="EF534" s="770"/>
      <c r="EG534" s="770"/>
      <c r="EH534" s="770"/>
      <c r="EI534" s="770"/>
      <c r="EJ534" s="770"/>
      <c r="EK534" s="770"/>
      <c r="EL534" s="770"/>
      <c r="EM534" s="770"/>
      <c r="EN534" s="770"/>
      <c r="EO534" s="770"/>
      <c r="EP534" s="94"/>
      <c r="EQ534" s="770"/>
      <c r="ER534" s="770"/>
      <c r="ES534" s="770"/>
      <c r="ET534" s="770"/>
      <c r="EU534" s="770"/>
      <c r="EV534" s="770"/>
      <c r="EW534" s="770"/>
      <c r="EX534" s="770"/>
      <c r="EY534" s="770"/>
      <c r="EZ534" s="770"/>
      <c r="FA534" s="770"/>
      <c r="FB534" s="770"/>
      <c r="FC534" s="770"/>
      <c r="FD534" s="302"/>
      <c r="FE534" s="770"/>
      <c r="FF534" s="770"/>
      <c r="FG534" s="770"/>
      <c r="FH534" s="770"/>
      <c r="FI534" s="770"/>
      <c r="FJ534" s="770"/>
      <c r="FK534" s="770"/>
      <c r="FL534" s="770"/>
      <c r="FM534" s="302"/>
      <c r="FN534" s="302"/>
      <c r="FO534" s="302"/>
      <c r="FP534" s="770"/>
      <c r="FQ534" s="770"/>
      <c r="FR534" s="770"/>
      <c r="FS534" s="770"/>
      <c r="FT534" s="770"/>
      <c r="FU534" s="770"/>
      <c r="FV534" s="770"/>
      <c r="FW534" s="770"/>
      <c r="FX534" s="770"/>
      <c r="FY534" s="770"/>
      <c r="FZ534" s="770"/>
      <c r="GA534" s="770"/>
      <c r="GB534" s="770"/>
      <c r="GC534" s="308"/>
      <c r="GD534" s="297"/>
      <c r="GE534" s="770"/>
      <c r="GF534" s="302"/>
      <c r="GG534" s="302"/>
      <c r="GH534" s="1774"/>
      <c r="GI534" s="770"/>
      <c r="GJ534" s="770"/>
      <c r="GK534" s="770"/>
      <c r="GL534" s="770"/>
      <c r="GM534" s="770"/>
      <c r="GN534" s="299"/>
      <c r="GO534" s="770"/>
      <c r="GP534" s="770"/>
      <c r="GQ534" s="770"/>
      <c r="GR534" s="770"/>
      <c r="GS534" s="770"/>
      <c r="GT534" s="770"/>
      <c r="GU534" s="770"/>
      <c r="GV534" s="770"/>
      <c r="GW534" s="770"/>
      <c r="GX534" s="770"/>
      <c r="GY534" s="770"/>
      <c r="GZ534" s="770"/>
      <c r="HA534" s="770"/>
      <c r="HB534" s="770"/>
      <c r="HC534" s="770"/>
      <c r="HD534" s="770"/>
      <c r="HE534" s="770"/>
      <c r="HF534" s="770"/>
      <c r="HG534" s="770"/>
      <c r="HH534" s="770"/>
      <c r="HI534" s="770"/>
      <c r="HJ534" s="770"/>
      <c r="HK534" s="770"/>
      <c r="HL534" s="770"/>
      <c r="HM534" s="770"/>
      <c r="HN534" s="770"/>
      <c r="HO534" s="770"/>
      <c r="HP534" s="770"/>
      <c r="HQ534" s="770"/>
      <c r="HR534" s="770"/>
      <c r="HS534" s="770"/>
      <c r="HT534" s="770"/>
      <c r="HU534" s="770"/>
      <c r="HV534" s="770"/>
      <c r="HW534" s="770"/>
      <c r="HX534" s="770"/>
      <c r="HY534" s="770"/>
      <c r="HZ534" s="770"/>
      <c r="IA534" s="770"/>
      <c r="IB534" s="770"/>
      <c r="IC534" s="770"/>
      <c r="ID534" s="770"/>
      <c r="IE534" s="770"/>
      <c r="IF534" s="770"/>
      <c r="IG534" s="770"/>
      <c r="IH534" s="770"/>
      <c r="II534" s="770"/>
      <c r="IJ534" s="770"/>
      <c r="IK534" s="770"/>
      <c r="IL534" s="770"/>
      <c r="IM534" s="770"/>
      <c r="IN534" s="770"/>
      <c r="IO534" s="296"/>
      <c r="IP534" s="770"/>
      <c r="IQ534" s="770"/>
      <c r="IR534" s="770"/>
      <c r="IS534" s="770"/>
      <c r="IT534" s="770"/>
      <c r="IU534" s="770"/>
      <c r="IV534" s="770"/>
      <c r="IW534" s="770"/>
      <c r="IX534" s="770"/>
      <c r="IY534" s="770"/>
      <c r="IZ534" s="770"/>
      <c r="JA534" s="770"/>
      <c r="JB534" s="770"/>
      <c r="JC534" s="770"/>
      <c r="JD534" s="302"/>
      <c r="JE534" s="770"/>
      <c r="JF534" s="770"/>
      <c r="JG534" s="770"/>
      <c r="JH534" s="307"/>
      <c r="JI534" s="307"/>
      <c r="JJ534" s="770"/>
      <c r="JK534" s="770"/>
      <c r="JL534" s="770"/>
      <c r="JM534" s="770"/>
      <c r="JN534" s="770"/>
      <c r="JO534" s="770"/>
      <c r="JP534" s="770"/>
      <c r="JQ534" s="770"/>
      <c r="JR534" s="770"/>
      <c r="JS534" s="770"/>
      <c r="JT534" s="766"/>
      <c r="JU534" s="766"/>
      <c r="JV534" s="766"/>
      <c r="JW534" s="766"/>
      <c r="JX534" s="770"/>
      <c r="JY534" s="770"/>
      <c r="JZ534" s="770"/>
      <c r="KA534" s="770"/>
      <c r="KB534" s="770"/>
      <c r="KC534" s="770"/>
      <c r="KD534" s="770"/>
      <c r="KE534" s="770"/>
      <c r="KF534" s="770"/>
      <c r="KG534" s="770"/>
      <c r="KH534" s="770"/>
      <c r="KI534" s="770"/>
      <c r="KJ534" s="770"/>
      <c r="KK534" s="770"/>
      <c r="KL534" s="770"/>
      <c r="KM534" s="770"/>
      <c r="KN534" s="770"/>
      <c r="KO534" s="770"/>
      <c r="KP534" s="770"/>
      <c r="KQ534" s="770"/>
      <c r="KR534" s="770"/>
      <c r="KS534" s="770"/>
      <c r="KT534" s="770"/>
      <c r="KU534" s="770"/>
      <c r="KV534" s="770"/>
      <c r="KW534" s="770"/>
      <c r="KX534" s="770"/>
      <c r="KY534" s="770"/>
      <c r="KZ534" s="770"/>
      <c r="LA534" s="770"/>
      <c r="LB534" s="770"/>
      <c r="LC534" s="770"/>
      <c r="LD534" s="770"/>
      <c r="LE534" s="770"/>
      <c r="LF534" s="770"/>
      <c r="LG534" s="770"/>
      <c r="LH534" s="770"/>
      <c r="LI534" s="770"/>
      <c r="LJ534" s="770"/>
      <c r="LK534" s="770"/>
      <c r="LL534" s="770"/>
      <c r="LM534" s="770"/>
      <c r="LN534" s="766"/>
      <c r="LO534" s="766"/>
      <c r="LP534" s="770"/>
      <c r="LQ534" s="770"/>
      <c r="LR534" s="770"/>
      <c r="LS534" s="770"/>
      <c r="LT534" s="770"/>
      <c r="LU534" s="770"/>
      <c r="LV534" s="770"/>
      <c r="LW534" s="770"/>
      <c r="LX534" s="769"/>
      <c r="LY534" s="766" t="str">
        <f t="shared" si="135"/>
        <v/>
      </c>
      <c r="LZ534" s="1709"/>
      <c r="MA534" s="1709"/>
      <c r="MB534" s="1709"/>
      <c r="MC534" s="1679">
        <f t="shared" si="133"/>
        <v>0</v>
      </c>
      <c r="MD534" s="1709"/>
      <c r="ME534" s="1709"/>
      <c r="MF534" s="1709"/>
      <c r="MG534" s="1680">
        <f t="shared" si="149"/>
        <v>0</v>
      </c>
      <c r="MH534" s="770"/>
      <c r="MI534" s="302"/>
      <c r="MJ534" s="302"/>
      <c r="MK534" s="302"/>
      <c r="ML534" s="302"/>
      <c r="MM534" s="302"/>
      <c r="MN534" s="302"/>
      <c r="MO534" s="302"/>
      <c r="MP534" s="302"/>
      <c r="MQ534" s="302"/>
      <c r="MR534" s="302"/>
      <c r="MS534" s="302"/>
      <c r="MT534" s="302"/>
      <c r="MU534" s="302"/>
      <c r="MV534" s="302"/>
      <c r="MW534" s="302"/>
      <c r="MX534" s="302"/>
      <c r="MY534" s="1682">
        <f t="shared" si="147"/>
        <v>0</v>
      </c>
      <c r="MZ534" s="770"/>
      <c r="NA534" s="770"/>
      <c r="NB534" s="770"/>
      <c r="NC534" s="770"/>
      <c r="ND534" s="770"/>
      <c r="NE534" s="770"/>
      <c r="NF534" s="770"/>
      <c r="NG534" s="770"/>
      <c r="NH534" s="770"/>
      <c r="NI534" s="770"/>
      <c r="NJ534" s="770"/>
      <c r="NK534" s="770"/>
      <c r="NL534" s="770"/>
      <c r="NM534" s="770"/>
      <c r="NN534" s="770"/>
      <c r="NO534" s="770"/>
      <c r="NP534" s="770"/>
      <c r="NQ534" s="770"/>
      <c r="NR534" s="770"/>
      <c r="NS534" s="770"/>
      <c r="NT534" s="770"/>
      <c r="NU534" s="770"/>
      <c r="NV534" s="770"/>
      <c r="NW534" s="770"/>
      <c r="NX534" s="770"/>
      <c r="NY534" s="770"/>
      <c r="NZ534" s="770"/>
      <c r="OA534" s="770"/>
      <c r="OB534" s="770"/>
      <c r="OC534" s="770"/>
      <c r="OD534" s="770"/>
      <c r="OE534" s="770"/>
      <c r="OF534" s="770"/>
      <c r="OG534" s="770"/>
      <c r="OH534" s="770"/>
      <c r="OI534" s="770"/>
      <c r="OJ534" s="770"/>
      <c r="OK534" s="770"/>
      <c r="OL534" s="770"/>
      <c r="OM534" s="770"/>
      <c r="ON534" s="770"/>
      <c r="OO534" s="770"/>
      <c r="OP534" s="770"/>
      <c r="OQ534" s="770"/>
      <c r="OR534" s="770"/>
      <c r="OS534" s="770"/>
      <c r="OT534" s="770"/>
      <c r="OU534" s="770"/>
      <c r="OV534" s="770"/>
      <c r="OW534" s="770"/>
      <c r="OX534" s="770"/>
      <c r="OY534" s="770"/>
      <c r="OZ534" s="770"/>
      <c r="PA534" s="770"/>
      <c r="PB534" s="770"/>
      <c r="PC534" s="770"/>
      <c r="PD534" s="770"/>
      <c r="PE534" s="770"/>
      <c r="PF534" s="770"/>
      <c r="PG534" s="770"/>
      <c r="PH534" s="770"/>
      <c r="PI534" s="770"/>
      <c r="PJ534" s="770"/>
      <c r="PK534" s="770"/>
      <c r="PL534" s="770"/>
      <c r="PM534" s="770"/>
      <c r="PN534" s="770"/>
      <c r="PO534" s="770"/>
      <c r="PP534" s="770"/>
      <c r="PQ534" s="770"/>
      <c r="PR534" s="770"/>
      <c r="PS534" s="770"/>
      <c r="PT534" s="770"/>
      <c r="PU534" s="770"/>
      <c r="PV534" s="770"/>
      <c r="PW534" s="770"/>
      <c r="PX534" s="770"/>
      <c r="PY534" s="770"/>
      <c r="PZ534" s="770"/>
      <c r="QA534" s="770"/>
      <c r="QB534" s="770"/>
      <c r="QC534" s="770"/>
      <c r="QD534" s="770"/>
      <c r="QE534" s="770"/>
      <c r="QF534" s="770"/>
      <c r="QG534" s="770"/>
      <c r="QH534" s="770"/>
      <c r="QI534" s="770"/>
      <c r="QJ534" s="770"/>
      <c r="QK534" s="770"/>
      <c r="QL534" s="770"/>
      <c r="QM534" s="770"/>
      <c r="QN534" s="770"/>
      <c r="QO534" s="770"/>
      <c r="QP534" s="770"/>
      <c r="QQ534" s="770"/>
      <c r="QR534" s="770"/>
      <c r="QS534" s="770"/>
      <c r="QT534" s="770"/>
      <c r="QU534" s="770"/>
      <c r="QV534" s="770"/>
      <c r="QW534" s="770"/>
      <c r="QX534" s="770"/>
      <c r="QY534" s="770"/>
      <c r="QZ534" s="770"/>
      <c r="RA534" s="770"/>
      <c r="RB534" s="770"/>
      <c r="RC534" s="770"/>
      <c r="RD534" s="770"/>
      <c r="RE534" s="770"/>
      <c r="RF534" s="304"/>
      <c r="RG534" s="770"/>
      <c r="RH534" s="302"/>
      <c r="RI534" s="770"/>
      <c r="RJ534" s="770"/>
      <c r="RK534" s="770"/>
      <c r="RL534" s="1710"/>
      <c r="RM534" s="12"/>
      <c r="RN534" s="1711"/>
      <c r="RO534" s="133" t="s">
        <v>3757</v>
      </c>
      <c r="RP534" s="11"/>
      <c r="RQ534" s="11"/>
      <c r="RR534" s="17"/>
      <c r="RS534" s="767"/>
      <c r="RT534" s="11"/>
      <c r="RU534" s="11"/>
      <c r="RV534" s="771" t="s">
        <v>7421</v>
      </c>
      <c r="RW534" s="11" t="s">
        <v>7709</v>
      </c>
      <c r="RX534" s="11" t="s">
        <v>3737</v>
      </c>
      <c r="RY534" s="11"/>
      <c r="RZ534" s="11"/>
      <c r="SA534" s="771"/>
      <c r="SB534" s="11"/>
      <c r="SC534" s="11"/>
    </row>
    <row r="535" spans="1:497">
      <c r="A535" s="19" t="s">
        <v>7421</v>
      </c>
      <c r="B535" s="752" t="s">
        <v>7994</v>
      </c>
      <c r="C535" s="132" t="s">
        <v>3765</v>
      </c>
      <c r="D535" s="94" t="s">
        <v>3766</v>
      </c>
      <c r="E535" s="766" t="s">
        <v>3767</v>
      </c>
      <c r="F535" s="770" t="s">
        <v>20</v>
      </c>
      <c r="G535" s="770" t="s">
        <v>18</v>
      </c>
      <c r="H535" s="770"/>
      <c r="I535" s="295" t="s">
        <v>3768</v>
      </c>
      <c r="J535" s="94" t="s">
        <v>3766</v>
      </c>
      <c r="K535" s="766" t="s">
        <v>3769</v>
      </c>
      <c r="L535" s="766" t="s">
        <v>3434</v>
      </c>
      <c r="M535" s="770" t="s">
        <v>1238</v>
      </c>
      <c r="N535" s="770"/>
      <c r="O535" s="770" t="s">
        <v>3760</v>
      </c>
      <c r="P535" s="94" t="s">
        <v>3770</v>
      </c>
      <c r="Q535" s="1088">
        <v>28595</v>
      </c>
      <c r="R535" s="297">
        <v>38</v>
      </c>
      <c r="S535" s="770" t="s">
        <v>18</v>
      </c>
      <c r="T535" s="770"/>
      <c r="U535" s="295" t="s">
        <v>3768</v>
      </c>
      <c r="V535" s="770" t="s">
        <v>707</v>
      </c>
      <c r="W535" s="770"/>
      <c r="X535" s="770"/>
      <c r="Y535" s="770" t="s">
        <v>3767</v>
      </c>
      <c r="Z535" s="770" t="s">
        <v>708</v>
      </c>
      <c r="AA535" s="770" t="s">
        <v>709</v>
      </c>
      <c r="AB535" s="295" t="s">
        <v>744</v>
      </c>
      <c r="AC535" s="770" t="s">
        <v>1071</v>
      </c>
      <c r="AD535" s="770" t="s">
        <v>716</v>
      </c>
      <c r="AE535" s="770"/>
      <c r="AF535" s="770" t="s">
        <v>712</v>
      </c>
      <c r="AG535" s="766" t="s">
        <v>1095</v>
      </c>
      <c r="AH535" s="766" t="s">
        <v>1096</v>
      </c>
      <c r="AI535" s="770" t="s">
        <v>3294</v>
      </c>
      <c r="AJ535" s="770"/>
      <c r="AK535" s="770" t="s">
        <v>1101</v>
      </c>
      <c r="AL535" s="531">
        <v>43.4</v>
      </c>
      <c r="AM535" s="780">
        <v>8.5</v>
      </c>
      <c r="AN535" s="532">
        <f t="shared" ref="AN535:AN544" si="154">AM535/AL535</f>
        <v>0.19585253456221199</v>
      </c>
      <c r="AO535" s="766" t="s">
        <v>1109</v>
      </c>
      <c r="AP535" s="766"/>
      <c r="AQ535" s="766"/>
      <c r="AR535" s="766"/>
      <c r="AS535" s="769"/>
      <c r="AT535" s="770"/>
      <c r="AU535" s="770"/>
      <c r="AV535" s="770"/>
      <c r="AW535" s="770"/>
      <c r="AX535" s="770"/>
      <c r="AY535" s="770"/>
      <c r="AZ535" s="770"/>
      <c r="BA535" s="770"/>
      <c r="BB535" s="770"/>
      <c r="BC535" s="770"/>
      <c r="BD535" s="770"/>
      <c r="BE535" s="770"/>
      <c r="BF535" s="302"/>
      <c r="BG535" s="302"/>
      <c r="BH535" s="770"/>
      <c r="BI535" s="770"/>
      <c r="BJ535" s="770"/>
      <c r="BK535" s="770" t="s">
        <v>1095</v>
      </c>
      <c r="BL535" s="94" t="s">
        <v>3766</v>
      </c>
      <c r="BM535" s="766" t="s">
        <v>1096</v>
      </c>
      <c r="BN535" s="770" t="s">
        <v>1230</v>
      </c>
      <c r="BO535" s="766" t="s">
        <v>1246</v>
      </c>
      <c r="BP535" s="1109">
        <v>43.4</v>
      </c>
      <c r="BQ535" s="773">
        <v>8.5</v>
      </c>
      <c r="BR535" s="774">
        <f t="shared" ref="BR535:BR543" si="155">BQ535/BP535</f>
        <v>0.19585253456221199</v>
      </c>
      <c r="BS535" s="766" t="s">
        <v>1242</v>
      </c>
      <c r="BT535" s="766" t="s">
        <v>8133</v>
      </c>
      <c r="BU535" s="770" t="s">
        <v>1249</v>
      </c>
      <c r="BV535" s="766" t="s">
        <v>1243</v>
      </c>
      <c r="BW535" s="770">
        <v>2015</v>
      </c>
      <c r="BX535" s="302">
        <v>300000</v>
      </c>
      <c r="BY535" s="770" t="s">
        <v>1214</v>
      </c>
      <c r="BZ535" s="302"/>
      <c r="CA535" s="770" t="s">
        <v>3771</v>
      </c>
      <c r="CB535" s="770" t="s">
        <v>1207</v>
      </c>
      <c r="CC535" s="94" t="s">
        <v>3770</v>
      </c>
      <c r="CD535" s="770">
        <v>1980</v>
      </c>
      <c r="CE535" s="770"/>
      <c r="CF535" s="1753">
        <v>6</v>
      </c>
      <c r="CG535" s="1754">
        <v>5.5</v>
      </c>
      <c r="CH535" s="770" t="s">
        <v>3772</v>
      </c>
      <c r="CI535" s="770"/>
      <c r="CJ535" s="770"/>
      <c r="CK535" s="770">
        <v>5</v>
      </c>
      <c r="CL535" s="770" t="s">
        <v>1240</v>
      </c>
      <c r="CM535" s="770"/>
      <c r="CN535" s="770"/>
      <c r="CO535" s="770"/>
      <c r="CP535" s="770"/>
      <c r="CQ535" s="770"/>
      <c r="CR535" s="302"/>
      <c r="CS535" s="770"/>
      <c r="CT535" s="770"/>
      <c r="CU535" s="305"/>
      <c r="CV535" s="770"/>
      <c r="CW535" s="770"/>
      <c r="CX535" s="770"/>
      <c r="CY535" s="770"/>
      <c r="CZ535" s="770"/>
      <c r="DA535" s="306"/>
      <c r="DB535" s="770"/>
      <c r="DC535" s="770"/>
      <c r="DD535" s="770"/>
      <c r="DE535" s="300"/>
      <c r="DF535" s="770"/>
      <c r="DG535" s="770"/>
      <c r="DH535" s="770"/>
      <c r="DI535" s="770"/>
      <c r="DJ535" s="770"/>
      <c r="DK535" s="770"/>
      <c r="DL535" s="770"/>
      <c r="DM535" s="770"/>
      <c r="DN535" s="322"/>
      <c r="DO535" s="770"/>
      <c r="DP535" s="770"/>
      <c r="DQ535" s="770"/>
      <c r="DR535" s="770"/>
      <c r="DS535" s="307"/>
      <c r="DT535" s="770"/>
      <c r="DU535" s="770"/>
      <c r="DV535" s="770"/>
      <c r="DW535" s="306"/>
      <c r="DX535" s="306"/>
      <c r="DY535" s="770"/>
      <c r="DZ535" s="770"/>
      <c r="EA535" s="770"/>
      <c r="EB535" s="770"/>
      <c r="EC535" s="770"/>
      <c r="ED535" s="770"/>
      <c r="EE535" s="770"/>
      <c r="EF535" s="770"/>
      <c r="EG535" s="770"/>
      <c r="EH535" s="770"/>
      <c r="EI535" s="770"/>
      <c r="EJ535" s="770"/>
      <c r="EK535" s="770"/>
      <c r="EL535" s="770"/>
      <c r="EM535" s="770"/>
      <c r="EN535" s="770"/>
      <c r="EO535" s="770"/>
      <c r="EP535" s="94"/>
      <c r="EQ535" s="770"/>
      <c r="ER535" s="770"/>
      <c r="ES535" s="770"/>
      <c r="ET535" s="770"/>
      <c r="EU535" s="770"/>
      <c r="EV535" s="770"/>
      <c r="EW535" s="770"/>
      <c r="EX535" s="770"/>
      <c r="EY535" s="770"/>
      <c r="EZ535" s="770"/>
      <c r="FA535" s="770"/>
      <c r="FB535" s="770"/>
      <c r="FC535" s="770"/>
      <c r="FD535" s="302"/>
      <c r="FE535" s="770"/>
      <c r="FF535" s="770"/>
      <c r="FG535" s="770"/>
      <c r="FH535" s="770" t="s">
        <v>478</v>
      </c>
      <c r="FI535" s="770">
        <v>1</v>
      </c>
      <c r="FJ535" s="770"/>
      <c r="FK535" s="770"/>
      <c r="FL535" s="770"/>
      <c r="FM535" s="302"/>
      <c r="FN535" s="302"/>
      <c r="FO535" s="302"/>
      <c r="FP535" s="770" t="s">
        <v>1600</v>
      </c>
      <c r="FQ535" s="770" t="s">
        <v>1642</v>
      </c>
      <c r="FR535" s="770" t="s">
        <v>1214</v>
      </c>
      <c r="FS535" s="770"/>
      <c r="FT535" s="770"/>
      <c r="FU535" s="770"/>
      <c r="FV535" s="770"/>
      <c r="FW535" s="770"/>
      <c r="FX535" s="770"/>
      <c r="FY535" s="770"/>
      <c r="FZ535" s="770"/>
      <c r="GA535" s="770"/>
      <c r="GB535" s="770" t="s">
        <v>1734</v>
      </c>
      <c r="GC535" s="308"/>
      <c r="GD535" s="297"/>
      <c r="GE535" s="770" t="s">
        <v>1214</v>
      </c>
      <c r="GF535" s="302"/>
      <c r="GG535" s="302"/>
      <c r="GH535" s="770"/>
      <c r="GI535" s="770"/>
      <c r="GJ535" s="770"/>
      <c r="GK535" s="770"/>
      <c r="GL535" s="770"/>
      <c r="GM535" s="770"/>
      <c r="GN535" s="299"/>
      <c r="GO535" s="770"/>
      <c r="GP535" s="770"/>
      <c r="GQ535" s="770"/>
      <c r="GR535" s="770"/>
      <c r="GS535" s="770"/>
      <c r="GT535" s="770"/>
      <c r="GU535" s="770"/>
      <c r="GV535" s="770"/>
      <c r="GW535" s="770"/>
      <c r="GX535" s="770"/>
      <c r="GY535" s="770"/>
      <c r="GZ535" s="770"/>
      <c r="HA535" s="770"/>
      <c r="HB535" s="770"/>
      <c r="HC535" s="770"/>
      <c r="HD535" s="770"/>
      <c r="HE535" s="770"/>
      <c r="HF535" s="770"/>
      <c r="HG535" s="770"/>
      <c r="HH535" s="770"/>
      <c r="HI535" s="770"/>
      <c r="HJ535" s="770"/>
      <c r="HK535" s="770"/>
      <c r="HL535" s="770"/>
      <c r="HM535" s="770"/>
      <c r="HN535" s="770"/>
      <c r="HO535" s="770"/>
      <c r="HP535" s="770"/>
      <c r="HQ535" s="770"/>
      <c r="HR535" s="770"/>
      <c r="HS535" s="770"/>
      <c r="HT535" s="770"/>
      <c r="HU535" s="770"/>
      <c r="HV535" s="770"/>
      <c r="HW535" s="770"/>
      <c r="HX535" s="770"/>
      <c r="HY535" s="770"/>
      <c r="HZ535" s="770"/>
      <c r="IA535" s="770"/>
      <c r="IB535" s="14" t="e">
        <f>IF(#REF!&gt;0,IF(#REF!&lt;=10000,"Y",""),"")</f>
        <v>#REF!</v>
      </c>
      <c r="IC535" s="770" t="s">
        <v>1207</v>
      </c>
      <c r="ID535" s="770"/>
      <c r="IE535" s="770"/>
      <c r="IF535" s="770"/>
      <c r="IG535" s="770"/>
      <c r="IH535" s="770"/>
      <c r="II535" s="770"/>
      <c r="IJ535" s="770"/>
      <c r="IK535" s="770"/>
      <c r="IL535" s="770"/>
      <c r="IM535" s="770"/>
      <c r="IN535" s="770"/>
      <c r="IO535" s="296"/>
      <c r="IP535" s="770"/>
      <c r="IQ535" s="770"/>
      <c r="IR535" s="770"/>
      <c r="IS535" s="770"/>
      <c r="IT535" s="770"/>
      <c r="IU535" s="770"/>
      <c r="IV535" s="770"/>
      <c r="IW535" s="770"/>
      <c r="IX535" s="770"/>
      <c r="IY535" s="770"/>
      <c r="IZ535" s="770"/>
      <c r="JA535" s="770"/>
      <c r="JB535" s="770"/>
      <c r="JC535" s="770"/>
      <c r="JD535" s="302"/>
      <c r="JE535" s="770"/>
      <c r="JF535" s="770"/>
      <c r="JG535" s="770"/>
      <c r="JH535" s="307"/>
      <c r="JI535" s="712" t="str">
        <f>IF(SUM(JT535,JU535)=JJ535,"ok","review")</f>
        <v>ok</v>
      </c>
      <c r="JJ535" s="770">
        <v>5</v>
      </c>
      <c r="JK535" s="1139" t="s">
        <v>3773</v>
      </c>
      <c r="JL535" s="770"/>
      <c r="JM535" s="770">
        <v>2</v>
      </c>
      <c r="JN535" s="770">
        <v>1</v>
      </c>
      <c r="JO535" s="770">
        <v>2</v>
      </c>
      <c r="JP535" s="770"/>
      <c r="JQ535" s="770"/>
      <c r="JR535" s="770"/>
      <c r="JS535" s="770"/>
      <c r="JT535" s="766">
        <f>SUM(JP535,JN535,JL535,JR535)</f>
        <v>1</v>
      </c>
      <c r="JU535" s="766">
        <f>SUM(JQ535,JO535,JM535,JS535)</f>
        <v>4</v>
      </c>
      <c r="JV535" s="712" t="str">
        <f>IF(JT535=KJ535,"ok","male")</f>
        <v>ok</v>
      </c>
      <c r="JW535" s="712" t="str">
        <f>IF(JU535=KK535,"ok","female")</f>
        <v>ok</v>
      </c>
      <c r="JX535" s="770"/>
      <c r="JY535" s="770"/>
      <c r="JZ535" s="770"/>
      <c r="KA535" s="770">
        <v>2</v>
      </c>
      <c r="KB535" s="770"/>
      <c r="KC535" s="770">
        <v>1</v>
      </c>
      <c r="KD535" s="770">
        <v>1</v>
      </c>
      <c r="KE535" s="770">
        <v>1</v>
      </c>
      <c r="KF535" s="770"/>
      <c r="KG535" s="770"/>
      <c r="KH535" s="770"/>
      <c r="KI535" s="770"/>
      <c r="KJ535" s="770">
        <f t="shared" si="153"/>
        <v>1</v>
      </c>
      <c r="KK535" s="770">
        <f t="shared" si="153"/>
        <v>4</v>
      </c>
      <c r="KL535" s="712" t="str">
        <f>IF(KJ535=LN535,"ok","male")</f>
        <v>ok</v>
      </c>
      <c r="KM535" s="712" t="str">
        <f>IF(KK535=LO535,"ok","female")</f>
        <v>ok</v>
      </c>
      <c r="KN535" s="770" t="s">
        <v>707</v>
      </c>
      <c r="KO535" s="770"/>
      <c r="KP535" s="770"/>
      <c r="KQ535" s="770"/>
      <c r="KR535" s="770"/>
      <c r="KS535" s="770"/>
      <c r="KT535" s="770"/>
      <c r="KU535" s="770">
        <v>2</v>
      </c>
      <c r="KV535" s="770"/>
      <c r="KW535" s="770"/>
      <c r="KX535" s="770"/>
      <c r="KY535" s="770">
        <v>1</v>
      </c>
      <c r="KZ535" s="770"/>
      <c r="LA535" s="770"/>
      <c r="LB535" s="770">
        <v>1</v>
      </c>
      <c r="LC535" s="770"/>
      <c r="LD535" s="770"/>
      <c r="LE535" s="770">
        <v>1</v>
      </c>
      <c r="LF535" s="770"/>
      <c r="LG535" s="770"/>
      <c r="LH535" s="770"/>
      <c r="LI535" s="770"/>
      <c r="LJ535" s="770"/>
      <c r="LK535" s="770"/>
      <c r="LL535" s="770"/>
      <c r="LM535" s="770"/>
      <c r="LN535" s="766">
        <f t="shared" si="134"/>
        <v>1</v>
      </c>
      <c r="LO535" s="766">
        <f t="shared" si="134"/>
        <v>4</v>
      </c>
      <c r="LP535" s="770">
        <v>2</v>
      </c>
      <c r="LQ535" s="770">
        <v>1</v>
      </c>
      <c r="LR535" s="770"/>
      <c r="LS535" s="770">
        <v>1</v>
      </c>
      <c r="LT535" s="712" t="str">
        <f>IF(LQ535=SUM(LU535:LW535),"OK","REV")</f>
        <v>OK</v>
      </c>
      <c r="LU535" s="770">
        <v>1</v>
      </c>
      <c r="LV535" s="770"/>
      <c r="LW535" s="770"/>
      <c r="LX535" s="769">
        <v>1</v>
      </c>
      <c r="LY535" s="766" t="str">
        <f t="shared" si="135"/>
        <v>within the BRGY</v>
      </c>
      <c r="LZ535" s="1709">
        <v>1200</v>
      </c>
      <c r="MA535" s="1709"/>
      <c r="MB535" s="1709">
        <v>500</v>
      </c>
      <c r="MC535" s="1679">
        <f t="shared" si="133"/>
        <v>1700</v>
      </c>
      <c r="MD535" s="1709">
        <v>7200</v>
      </c>
      <c r="ME535" s="1709"/>
      <c r="MF535" s="1709">
        <v>2000</v>
      </c>
      <c r="MG535" s="1680">
        <f>SUM(MD535:MF535)</f>
        <v>9200</v>
      </c>
      <c r="MH535" s="770" t="s">
        <v>3774</v>
      </c>
      <c r="MI535" s="302">
        <v>4500</v>
      </c>
      <c r="MJ535" s="302">
        <v>1700</v>
      </c>
      <c r="MK535" s="302">
        <f>4000/12</f>
        <v>333.33333333333331</v>
      </c>
      <c r="ML535" s="302">
        <f>2000/12</f>
        <v>166.66666666666666</v>
      </c>
      <c r="MM535" s="302">
        <v>800</v>
      </c>
      <c r="MN535" s="302"/>
      <c r="MO535" s="302">
        <v>350</v>
      </c>
      <c r="MP535" s="302">
        <v>350</v>
      </c>
      <c r="MQ535" s="302">
        <v>150</v>
      </c>
      <c r="MR535" s="302">
        <v>400</v>
      </c>
      <c r="MS535" s="302">
        <v>416</v>
      </c>
      <c r="MT535" s="302"/>
      <c r="MU535" s="302"/>
      <c r="MV535" s="302"/>
      <c r="MW535" s="302"/>
      <c r="MX535" s="302"/>
      <c r="MY535" s="1682">
        <f t="shared" si="147"/>
        <v>9166</v>
      </c>
      <c r="MZ535" s="770" t="s">
        <v>13370</v>
      </c>
      <c r="NA535" s="770" t="s">
        <v>13230</v>
      </c>
      <c r="NB535" s="770" t="s">
        <v>13016</v>
      </c>
      <c r="NC535" s="770" t="s">
        <v>13602</v>
      </c>
      <c r="ND535" s="770">
        <v>0</v>
      </c>
      <c r="NE535" s="770">
        <v>1</v>
      </c>
      <c r="NF535" s="770">
        <v>1</v>
      </c>
      <c r="NG535" s="770">
        <v>3</v>
      </c>
      <c r="NH535" s="770">
        <v>1</v>
      </c>
      <c r="NI535" s="770">
        <v>0</v>
      </c>
      <c r="NJ535" s="770">
        <v>1</v>
      </c>
      <c r="NK535" s="770">
        <v>0</v>
      </c>
      <c r="NL535" s="770">
        <v>0</v>
      </c>
      <c r="NM535" s="770">
        <v>0</v>
      </c>
      <c r="NN535" s="770">
        <v>0</v>
      </c>
      <c r="NO535" s="770">
        <v>0</v>
      </c>
      <c r="NP535" s="770">
        <v>0</v>
      </c>
      <c r="NQ535" s="770">
        <v>0</v>
      </c>
      <c r="NR535" s="770">
        <v>0</v>
      </c>
      <c r="NS535" s="770">
        <v>0</v>
      </c>
      <c r="NT535" s="770">
        <v>0</v>
      </c>
      <c r="NU535" s="770">
        <v>0</v>
      </c>
      <c r="NV535" s="770">
        <v>0</v>
      </c>
      <c r="NW535" s="770">
        <v>1</v>
      </c>
      <c r="NX535" s="770">
        <v>0</v>
      </c>
      <c r="NY535" s="770" t="s">
        <v>1208</v>
      </c>
      <c r="NZ535" s="770" t="s">
        <v>1208</v>
      </c>
      <c r="OA535" s="770" t="s">
        <v>1208</v>
      </c>
      <c r="OB535" s="770" t="s">
        <v>1208</v>
      </c>
      <c r="OC535" s="770" t="s">
        <v>1208</v>
      </c>
      <c r="OD535" s="770" t="s">
        <v>1208</v>
      </c>
      <c r="OE535" s="770"/>
      <c r="OF535" s="770"/>
      <c r="OG535" s="770"/>
      <c r="OH535" s="770"/>
      <c r="OI535" s="770"/>
      <c r="OJ535" s="770"/>
      <c r="OK535" s="770"/>
      <c r="OL535" s="770"/>
      <c r="OM535" s="770"/>
      <c r="ON535" s="770"/>
      <c r="OO535" s="770"/>
      <c r="OP535" s="770"/>
      <c r="OQ535" s="770"/>
      <c r="OR535" s="770"/>
      <c r="OS535" s="770"/>
      <c r="OT535" s="770"/>
      <c r="OU535" s="770"/>
      <c r="OV535" s="770"/>
      <c r="OW535" s="770"/>
      <c r="OX535" s="770"/>
      <c r="OY535" s="770"/>
      <c r="OZ535" s="770"/>
      <c r="PA535" s="770"/>
      <c r="PB535" s="770"/>
      <c r="PC535" s="770"/>
      <c r="PD535" s="770"/>
      <c r="PE535" s="770"/>
      <c r="PF535" s="770"/>
      <c r="PG535" s="770"/>
      <c r="PH535" s="770" t="s">
        <v>1208</v>
      </c>
      <c r="PI535" s="770"/>
      <c r="PJ535" s="770"/>
      <c r="PK535" s="770" t="s">
        <v>1208</v>
      </c>
      <c r="PL535" s="770"/>
      <c r="PM535" s="770"/>
      <c r="PN535" s="770"/>
      <c r="PO535" s="770"/>
      <c r="PP535" s="770"/>
      <c r="PQ535" s="770"/>
      <c r="PR535" s="770"/>
      <c r="PS535" s="770"/>
      <c r="PT535" s="770"/>
      <c r="PU535" s="770"/>
      <c r="PV535" s="770"/>
      <c r="PW535" s="770"/>
      <c r="PX535" s="770"/>
      <c r="PY535" s="770"/>
      <c r="PZ535" s="770"/>
      <c r="QA535" s="770"/>
      <c r="QB535" s="770"/>
      <c r="QC535" s="770"/>
      <c r="QD535" s="770"/>
      <c r="QE535" s="770"/>
      <c r="QF535" s="770"/>
      <c r="QG535" s="770"/>
      <c r="QH535" s="770"/>
      <c r="QI535" s="770"/>
      <c r="QJ535" s="770"/>
      <c r="QK535" s="770"/>
      <c r="QL535" s="770"/>
      <c r="QM535" s="770"/>
      <c r="QN535" s="770"/>
      <c r="QO535" s="770"/>
      <c r="QP535" s="770"/>
      <c r="QQ535" s="770"/>
      <c r="QR535" s="770"/>
      <c r="QS535" s="770"/>
      <c r="QT535" s="770"/>
      <c r="QU535" s="770"/>
      <c r="QV535" s="770"/>
      <c r="QW535" s="770"/>
      <c r="QX535" s="770"/>
      <c r="QY535" s="770"/>
      <c r="QZ535" s="770"/>
      <c r="RA535" s="770"/>
      <c r="RB535" s="770" t="s">
        <v>1214</v>
      </c>
      <c r="RC535" s="770"/>
      <c r="RD535" s="770"/>
      <c r="RE535" s="770"/>
      <c r="RF535" s="304"/>
      <c r="RG535" s="770"/>
      <c r="RH535" s="302"/>
      <c r="RI535" s="770"/>
      <c r="RJ535" s="770" t="s">
        <v>13705</v>
      </c>
      <c r="RK535" s="770" t="s">
        <v>13556</v>
      </c>
      <c r="RL535" s="1710"/>
      <c r="RM535" s="12"/>
      <c r="RN535" s="1711"/>
      <c r="RO535" s="132" t="s">
        <v>3765</v>
      </c>
      <c r="RP535" s="11"/>
      <c r="RQ535" s="11"/>
      <c r="RR535" s="19" t="s">
        <v>7421</v>
      </c>
      <c r="RS535" s="1139" t="s">
        <v>12980</v>
      </c>
      <c r="RT535" s="11"/>
      <c r="RU535" s="11"/>
      <c r="RV535" s="771" t="s">
        <v>7419</v>
      </c>
      <c r="RW535" s="11" t="s">
        <v>7804</v>
      </c>
      <c r="RX535" s="11" t="s">
        <v>3757</v>
      </c>
      <c r="RY535" s="11"/>
      <c r="RZ535" s="11" t="s">
        <v>1101</v>
      </c>
      <c r="SA535" s="771"/>
      <c r="SB535" s="11"/>
      <c r="SC535" s="11"/>
    </row>
    <row r="536" spans="1:497" ht="12.75" customHeight="1">
      <c r="A536" s="19" t="s">
        <v>7421</v>
      </c>
      <c r="B536" s="752" t="s">
        <v>14264</v>
      </c>
      <c r="C536" s="132" t="s">
        <v>3775</v>
      </c>
      <c r="D536" s="94" t="s">
        <v>3776</v>
      </c>
      <c r="E536" s="766" t="s">
        <v>3777</v>
      </c>
      <c r="F536" s="770" t="s">
        <v>28</v>
      </c>
      <c r="G536" s="770" t="s">
        <v>10</v>
      </c>
      <c r="H536" s="770"/>
      <c r="I536" s="295" t="s">
        <v>3778</v>
      </c>
      <c r="J536" s="94" t="s">
        <v>3776</v>
      </c>
      <c r="K536" s="766" t="s">
        <v>3779</v>
      </c>
      <c r="L536" s="766" t="s">
        <v>2429</v>
      </c>
      <c r="M536" s="770" t="s">
        <v>1238</v>
      </c>
      <c r="N536" s="770"/>
      <c r="O536" s="770" t="s">
        <v>3760</v>
      </c>
      <c r="P536" s="94" t="s">
        <v>3780</v>
      </c>
      <c r="Q536" s="1088">
        <v>30209</v>
      </c>
      <c r="R536" s="297">
        <v>35</v>
      </c>
      <c r="S536" s="770" t="s">
        <v>10</v>
      </c>
      <c r="T536" s="770"/>
      <c r="U536" s="295" t="s">
        <v>3778</v>
      </c>
      <c r="V536" s="770" t="s">
        <v>707</v>
      </c>
      <c r="W536" s="770"/>
      <c r="X536" s="770"/>
      <c r="Y536" s="770" t="s">
        <v>3777</v>
      </c>
      <c r="Z536" s="770" t="s">
        <v>708</v>
      </c>
      <c r="AA536" s="770" t="s">
        <v>709</v>
      </c>
      <c r="AB536" s="770" t="s">
        <v>710</v>
      </c>
      <c r="AC536" s="770" t="s">
        <v>724</v>
      </c>
      <c r="AD536" s="770" t="s">
        <v>711</v>
      </c>
      <c r="AE536" s="770"/>
      <c r="AF536" s="770" t="s">
        <v>712</v>
      </c>
      <c r="AG536" s="766" t="s">
        <v>1165</v>
      </c>
      <c r="AH536" s="766" t="s">
        <v>1096</v>
      </c>
      <c r="AI536" s="770" t="s">
        <v>3294</v>
      </c>
      <c r="AJ536" s="770"/>
      <c r="AK536" s="770" t="s">
        <v>1101</v>
      </c>
      <c r="AL536" s="531">
        <v>50.4</v>
      </c>
      <c r="AM536" s="780">
        <v>17.100000000000001</v>
      </c>
      <c r="AN536" s="532">
        <f t="shared" si="154"/>
        <v>0.3392857142857143</v>
      </c>
      <c r="AO536" s="766" t="s">
        <v>1149</v>
      </c>
      <c r="AP536" s="766"/>
      <c r="AQ536" s="766"/>
      <c r="AR536" s="766"/>
      <c r="AS536" s="769"/>
      <c r="AT536" s="770"/>
      <c r="AU536" s="770"/>
      <c r="AV536" s="770"/>
      <c r="AW536" s="770"/>
      <c r="AX536" s="770"/>
      <c r="AY536" s="770"/>
      <c r="AZ536" s="770"/>
      <c r="BA536" s="770"/>
      <c r="BB536" s="770"/>
      <c r="BC536" s="770"/>
      <c r="BD536" s="770"/>
      <c r="BE536" s="770"/>
      <c r="BF536" s="302"/>
      <c r="BG536" s="302"/>
      <c r="BH536" s="770"/>
      <c r="BI536" s="770"/>
      <c r="BJ536" s="770"/>
      <c r="BK536" s="770" t="s">
        <v>1095</v>
      </c>
      <c r="BL536" s="770" t="s">
        <v>3781</v>
      </c>
      <c r="BM536" s="766" t="s">
        <v>1096</v>
      </c>
      <c r="BN536" s="770" t="s">
        <v>1230</v>
      </c>
      <c r="BO536" s="766" t="s">
        <v>1246</v>
      </c>
      <c r="BP536" s="1109">
        <v>50.94</v>
      </c>
      <c r="BQ536" s="773">
        <v>17.100000000000001</v>
      </c>
      <c r="BR536" s="774">
        <f t="shared" si="155"/>
        <v>0.33568904593639581</v>
      </c>
      <c r="BS536" s="766" t="s">
        <v>1149</v>
      </c>
      <c r="BT536" s="766" t="s">
        <v>8133</v>
      </c>
      <c r="BU536" s="769"/>
      <c r="BV536" s="769"/>
      <c r="BW536" s="769"/>
      <c r="BX536" s="302"/>
      <c r="BY536" s="770"/>
      <c r="BZ536" s="302"/>
      <c r="CA536" s="770"/>
      <c r="CB536" s="770" t="s">
        <v>1207</v>
      </c>
      <c r="CC536" s="94" t="s">
        <v>3780</v>
      </c>
      <c r="CD536" s="770"/>
      <c r="CE536" s="770"/>
      <c r="CF536" s="1753">
        <v>6</v>
      </c>
      <c r="CG536" s="1754">
        <v>5.5</v>
      </c>
      <c r="CH536" s="770" t="s">
        <v>3772</v>
      </c>
      <c r="CI536" s="770"/>
      <c r="CJ536" s="770"/>
      <c r="CK536" s="770">
        <v>5</v>
      </c>
      <c r="CL536" s="770" t="s">
        <v>1240</v>
      </c>
      <c r="CM536" s="770"/>
      <c r="CN536" s="770"/>
      <c r="CO536" s="770"/>
      <c r="CP536" s="770"/>
      <c r="CQ536" s="770"/>
      <c r="CR536" s="302"/>
      <c r="CS536" s="770"/>
      <c r="CT536" s="770"/>
      <c r="CU536" s="305"/>
      <c r="CV536" s="770"/>
      <c r="CW536" s="770"/>
      <c r="CX536" s="770"/>
      <c r="CY536" s="770"/>
      <c r="CZ536" s="770"/>
      <c r="DA536" s="306"/>
      <c r="DB536" s="770"/>
      <c r="DC536" s="770"/>
      <c r="DD536" s="770"/>
      <c r="DE536" s="300"/>
      <c r="DF536" s="770"/>
      <c r="DG536" s="770"/>
      <c r="DH536" s="770"/>
      <c r="DI536" s="770"/>
      <c r="DJ536" s="770"/>
      <c r="DK536" s="770"/>
      <c r="DL536" s="770"/>
      <c r="DM536" s="770"/>
      <c r="DN536" s="322"/>
      <c r="DO536" s="770"/>
      <c r="DP536" s="770"/>
      <c r="DQ536" s="770"/>
      <c r="DR536" s="770"/>
      <c r="DS536" s="307"/>
      <c r="DT536" s="770"/>
      <c r="DU536" s="770"/>
      <c r="DV536" s="770"/>
      <c r="DW536" s="306"/>
      <c r="DX536" s="306"/>
      <c r="DY536" s="770"/>
      <c r="DZ536" s="770"/>
      <c r="EA536" s="770"/>
      <c r="EB536" s="770"/>
      <c r="EC536" s="770"/>
      <c r="ED536" s="770"/>
      <c r="EE536" s="770"/>
      <c r="EF536" s="770"/>
      <c r="EG536" s="770"/>
      <c r="EH536" s="770"/>
      <c r="EI536" s="770"/>
      <c r="EJ536" s="770"/>
      <c r="EK536" s="770"/>
      <c r="EL536" s="770"/>
      <c r="EM536" s="770"/>
      <c r="EN536" s="770"/>
      <c r="EO536" s="770"/>
      <c r="EP536" s="94"/>
      <c r="EQ536" s="770"/>
      <c r="ER536" s="770"/>
      <c r="ES536" s="770"/>
      <c r="ET536" s="770"/>
      <c r="EU536" s="770"/>
      <c r="EV536" s="770"/>
      <c r="EW536" s="770"/>
      <c r="EX536" s="770"/>
      <c r="EY536" s="770"/>
      <c r="EZ536" s="770"/>
      <c r="FA536" s="770"/>
      <c r="FB536" s="770"/>
      <c r="FC536" s="770"/>
      <c r="FD536" s="302"/>
      <c r="FE536" s="770"/>
      <c r="FF536" s="770"/>
      <c r="FG536" s="770"/>
      <c r="FH536" s="770" t="s">
        <v>478</v>
      </c>
      <c r="FI536" s="770">
        <v>1</v>
      </c>
      <c r="FJ536" s="770"/>
      <c r="FK536" s="770"/>
      <c r="FL536" s="770"/>
      <c r="FM536" s="302"/>
      <c r="FN536" s="302"/>
      <c r="FO536" s="302"/>
      <c r="FP536" s="770" t="s">
        <v>1600</v>
      </c>
      <c r="FQ536" s="770" t="s">
        <v>1642</v>
      </c>
      <c r="FR536" s="770" t="s">
        <v>1207</v>
      </c>
      <c r="FS536" s="770"/>
      <c r="FT536" s="770"/>
      <c r="FU536" s="770" t="s">
        <v>1208</v>
      </c>
      <c r="FV536" s="770"/>
      <c r="FW536" s="770"/>
      <c r="FX536" s="770"/>
      <c r="FY536" s="770"/>
      <c r="FZ536" s="770"/>
      <c r="GA536" s="770"/>
      <c r="GB536" s="770" t="s">
        <v>3782</v>
      </c>
      <c r="GC536" s="308" t="s">
        <v>3783</v>
      </c>
      <c r="GD536" s="297"/>
      <c r="GE536" s="770" t="s">
        <v>1214</v>
      </c>
      <c r="GF536" s="302"/>
      <c r="GG536" s="302"/>
      <c r="GH536" s="766" t="s">
        <v>3650</v>
      </c>
      <c r="GI536" s="770"/>
      <c r="GJ536" s="770"/>
      <c r="GK536" s="770"/>
      <c r="GL536" s="770"/>
      <c r="GM536" s="770"/>
      <c r="GN536" s="299"/>
      <c r="GO536" s="770"/>
      <c r="GP536" s="770"/>
      <c r="GQ536" s="770"/>
      <c r="GR536" s="770"/>
      <c r="GS536" s="770"/>
      <c r="GT536" s="770"/>
      <c r="GU536" s="770"/>
      <c r="GV536" s="770"/>
      <c r="GW536" s="770"/>
      <c r="GX536" s="770"/>
      <c r="GY536" s="770"/>
      <c r="GZ536" s="770"/>
      <c r="HA536" s="770"/>
      <c r="HB536" s="770"/>
      <c r="HC536" s="770"/>
      <c r="HD536" s="770"/>
      <c r="HE536" s="770"/>
      <c r="HF536" s="770"/>
      <c r="HG536" s="770"/>
      <c r="HH536" s="770"/>
      <c r="HI536" s="770"/>
      <c r="HJ536" s="770"/>
      <c r="HK536" s="770"/>
      <c r="HL536" s="770"/>
      <c r="HM536" s="770"/>
      <c r="HN536" s="770"/>
      <c r="HO536" s="770"/>
      <c r="HP536" s="770"/>
      <c r="HQ536" s="770"/>
      <c r="HR536" s="770"/>
      <c r="HS536" s="770"/>
      <c r="HT536" s="770"/>
      <c r="HU536" s="770"/>
      <c r="HV536" s="770"/>
      <c r="HW536" s="770"/>
      <c r="HX536" s="770"/>
      <c r="HY536" s="770"/>
      <c r="HZ536" s="770"/>
      <c r="IA536" s="770"/>
      <c r="IB536" s="14" t="e">
        <f>IF(#REF!&gt;0,IF(#REF!&lt;=10000,"Y",""),"")</f>
        <v>#REF!</v>
      </c>
      <c r="IC536" s="770"/>
      <c r="ID536" s="770"/>
      <c r="IE536" s="770"/>
      <c r="IF536" s="770"/>
      <c r="IG536" s="770"/>
      <c r="IH536" s="770"/>
      <c r="II536" s="770"/>
      <c r="IJ536" s="770"/>
      <c r="IK536" s="770"/>
      <c r="IL536" s="770"/>
      <c r="IM536" s="770"/>
      <c r="IN536" s="770"/>
      <c r="IO536" s="296"/>
      <c r="IP536" s="770"/>
      <c r="IQ536" s="770"/>
      <c r="IR536" s="770"/>
      <c r="IS536" s="770"/>
      <c r="IT536" s="770"/>
      <c r="IU536" s="770"/>
      <c r="IV536" s="770"/>
      <c r="IW536" s="770"/>
      <c r="IX536" s="770"/>
      <c r="IY536" s="770"/>
      <c r="IZ536" s="770"/>
      <c r="JA536" s="770"/>
      <c r="JB536" s="770"/>
      <c r="JC536" s="770"/>
      <c r="JD536" s="302"/>
      <c r="JE536" s="770"/>
      <c r="JF536" s="770"/>
      <c r="JG536" s="770"/>
      <c r="JH536" s="307"/>
      <c r="JI536" s="307"/>
      <c r="JJ536" s="94"/>
      <c r="JK536" s="1047" t="s">
        <v>6871</v>
      </c>
      <c r="JL536" s="770"/>
      <c r="JM536" s="770"/>
      <c r="JN536" s="770"/>
      <c r="JO536" s="770"/>
      <c r="JP536" s="770"/>
      <c r="JQ536" s="770"/>
      <c r="JR536" s="770"/>
      <c r="JS536" s="770"/>
      <c r="JT536" s="766"/>
      <c r="JU536" s="766"/>
      <c r="JV536" s="712" t="str">
        <f>IF(JT536=KJ536,"ok","male")</f>
        <v>ok</v>
      </c>
      <c r="JW536" s="712" t="str">
        <f>IF(JU536=KK536,"ok","female")</f>
        <v>ok</v>
      </c>
      <c r="JX536" s="770"/>
      <c r="JY536" s="770"/>
      <c r="JZ536" s="770"/>
      <c r="KA536" s="770"/>
      <c r="KB536" s="770"/>
      <c r="KC536" s="770"/>
      <c r="KD536" s="770"/>
      <c r="KE536" s="770"/>
      <c r="KF536" s="770"/>
      <c r="KG536" s="770"/>
      <c r="KH536" s="770"/>
      <c r="KI536" s="770"/>
      <c r="KJ536" s="770"/>
      <c r="KK536" s="770"/>
      <c r="KL536" s="712" t="str">
        <f>IF(KJ536=LN536,"ok","male")</f>
        <v>ok</v>
      </c>
      <c r="KM536" s="712" t="str">
        <f>IF(KK536=LO536,"ok","female")</f>
        <v>ok</v>
      </c>
      <c r="KN536" s="770"/>
      <c r="KO536" s="770"/>
      <c r="KP536" s="770"/>
      <c r="KQ536" s="770"/>
      <c r="KR536" s="770"/>
      <c r="KS536" s="770"/>
      <c r="KT536" s="770"/>
      <c r="KU536" s="770"/>
      <c r="KV536" s="770"/>
      <c r="KW536" s="770"/>
      <c r="KX536" s="770"/>
      <c r="KY536" s="770"/>
      <c r="KZ536" s="770"/>
      <c r="LA536" s="770"/>
      <c r="LB536" s="770"/>
      <c r="LC536" s="770"/>
      <c r="LD536" s="770"/>
      <c r="LE536" s="770"/>
      <c r="LF536" s="770"/>
      <c r="LG536" s="770"/>
      <c r="LH536" s="770"/>
      <c r="LI536" s="770"/>
      <c r="LJ536" s="770"/>
      <c r="LK536" s="770"/>
      <c r="LL536" s="770"/>
      <c r="LM536" s="770"/>
      <c r="LN536" s="766"/>
      <c r="LO536" s="766"/>
      <c r="LP536" s="770"/>
      <c r="LQ536" s="770"/>
      <c r="LR536" s="770"/>
      <c r="LS536" s="770"/>
      <c r="LT536" s="712" t="str">
        <f>IF(LQ536=SUM(LU536:LW536),"OK","REV")</f>
        <v>OK</v>
      </c>
      <c r="LU536" s="770"/>
      <c r="LV536" s="770"/>
      <c r="LW536" s="770"/>
      <c r="LX536" s="769"/>
      <c r="LY536" s="766" t="str">
        <f t="shared" si="135"/>
        <v/>
      </c>
      <c r="LZ536" s="1709"/>
      <c r="MA536" s="1709"/>
      <c r="MB536" s="1709"/>
      <c r="MC536" s="1679">
        <f t="shared" si="133"/>
        <v>0</v>
      </c>
      <c r="MD536" s="1709"/>
      <c r="ME536" s="1709"/>
      <c r="MF536" s="1709"/>
      <c r="MG536" s="1680">
        <v>0</v>
      </c>
      <c r="MH536" s="770"/>
      <c r="MI536" s="302"/>
      <c r="MJ536" s="302"/>
      <c r="MK536" s="302"/>
      <c r="ML536" s="302"/>
      <c r="MM536" s="302"/>
      <c r="MN536" s="302"/>
      <c r="MO536" s="302"/>
      <c r="MP536" s="302"/>
      <c r="MQ536" s="302"/>
      <c r="MR536" s="302"/>
      <c r="MS536" s="302"/>
      <c r="MT536" s="302"/>
      <c r="MU536" s="302"/>
      <c r="MV536" s="302"/>
      <c r="MW536" s="302"/>
      <c r="MX536" s="302"/>
      <c r="MY536" s="1682"/>
      <c r="MZ536" s="770"/>
      <c r="NA536" s="770"/>
      <c r="NB536" s="770"/>
      <c r="NC536" s="770"/>
      <c r="ND536" s="770"/>
      <c r="NE536" s="770"/>
      <c r="NF536" s="770"/>
      <c r="NG536" s="770"/>
      <c r="NH536" s="770"/>
      <c r="NI536" s="770"/>
      <c r="NJ536" s="770"/>
      <c r="NK536" s="770"/>
      <c r="NL536" s="770"/>
      <c r="NM536" s="770"/>
      <c r="NN536" s="770"/>
      <c r="NO536" s="770"/>
      <c r="NP536" s="770"/>
      <c r="NQ536" s="770"/>
      <c r="NR536" s="770"/>
      <c r="NS536" s="770"/>
      <c r="NT536" s="770"/>
      <c r="NU536" s="770"/>
      <c r="NV536" s="770"/>
      <c r="NW536" s="770"/>
      <c r="NX536" s="770"/>
      <c r="NY536" s="770"/>
      <c r="NZ536" s="770"/>
      <c r="OA536" s="770"/>
      <c r="OB536" s="770"/>
      <c r="OC536" s="770"/>
      <c r="OD536" s="770"/>
      <c r="OE536" s="770"/>
      <c r="OF536" s="770"/>
      <c r="OG536" s="770"/>
      <c r="OH536" s="770"/>
      <c r="OI536" s="770"/>
      <c r="OJ536" s="770"/>
      <c r="OK536" s="770"/>
      <c r="OL536" s="770"/>
      <c r="OM536" s="770"/>
      <c r="ON536" s="770"/>
      <c r="OO536" s="770"/>
      <c r="OP536" s="770"/>
      <c r="OQ536" s="770"/>
      <c r="OR536" s="770"/>
      <c r="OS536" s="770"/>
      <c r="OT536" s="770"/>
      <c r="OU536" s="770"/>
      <c r="OV536" s="770"/>
      <c r="OW536" s="770"/>
      <c r="OX536" s="770"/>
      <c r="OY536" s="770"/>
      <c r="OZ536" s="770"/>
      <c r="PA536" s="770"/>
      <c r="PB536" s="770"/>
      <c r="PC536" s="770"/>
      <c r="PD536" s="770"/>
      <c r="PE536" s="770"/>
      <c r="PF536" s="770"/>
      <c r="PG536" s="770"/>
      <c r="PH536" s="770"/>
      <c r="PI536" s="770"/>
      <c r="PJ536" s="770"/>
      <c r="PK536" s="770"/>
      <c r="PL536" s="770"/>
      <c r="PM536" s="770"/>
      <c r="PN536" s="770"/>
      <c r="PO536" s="770"/>
      <c r="PP536" s="770"/>
      <c r="PQ536" s="770"/>
      <c r="PR536" s="770"/>
      <c r="PS536" s="770"/>
      <c r="PT536" s="770"/>
      <c r="PU536" s="770"/>
      <c r="PV536" s="770"/>
      <c r="PW536" s="770"/>
      <c r="PX536" s="770"/>
      <c r="PY536" s="770"/>
      <c r="PZ536" s="770"/>
      <c r="QA536" s="770"/>
      <c r="QB536" s="770"/>
      <c r="QC536" s="770"/>
      <c r="QD536" s="770"/>
      <c r="QE536" s="770"/>
      <c r="QF536" s="770"/>
      <c r="QG536" s="770"/>
      <c r="QH536" s="770"/>
      <c r="QI536" s="770"/>
      <c r="QJ536" s="770"/>
      <c r="QK536" s="770"/>
      <c r="QL536" s="770"/>
      <c r="QM536" s="770"/>
      <c r="QN536" s="770"/>
      <c r="QO536" s="770"/>
      <c r="QP536" s="770"/>
      <c r="QQ536" s="770"/>
      <c r="QR536" s="770"/>
      <c r="QS536" s="770"/>
      <c r="QT536" s="770"/>
      <c r="QU536" s="770"/>
      <c r="QV536" s="770"/>
      <c r="QW536" s="770"/>
      <c r="QX536" s="770"/>
      <c r="QY536" s="770"/>
      <c r="QZ536" s="770"/>
      <c r="RA536" s="770"/>
      <c r="RB536" s="770"/>
      <c r="RC536" s="770"/>
      <c r="RD536" s="770"/>
      <c r="RE536" s="770"/>
      <c r="RF536" s="304"/>
      <c r="RG536" s="770"/>
      <c r="RH536" s="302"/>
      <c r="RI536" s="770"/>
      <c r="RJ536" s="770" t="s">
        <v>13706</v>
      </c>
      <c r="RK536" s="770" t="s">
        <v>13550</v>
      </c>
      <c r="RL536" s="1710"/>
      <c r="RM536" s="12"/>
      <c r="RN536" s="1711"/>
      <c r="RO536" s="132" t="s">
        <v>3775</v>
      </c>
      <c r="RP536" s="11"/>
      <c r="RQ536" s="11"/>
      <c r="RR536" s="19" t="s">
        <v>7421</v>
      </c>
      <c r="RS536" s="1139" t="s">
        <v>12980</v>
      </c>
      <c r="RT536" s="11"/>
      <c r="RU536" s="11"/>
      <c r="RV536" s="6" t="s">
        <v>13707</v>
      </c>
      <c r="RW536" s="11" t="s">
        <v>7718</v>
      </c>
      <c r="RX536" s="11" t="s">
        <v>3757</v>
      </c>
      <c r="RY536" s="11"/>
      <c r="RZ536" s="11" t="s">
        <v>1101</v>
      </c>
      <c r="SA536" s="6"/>
      <c r="SB536" s="11"/>
      <c r="SC536" s="11"/>
    </row>
    <row r="537" spans="1:497" ht="12.75" hidden="1" customHeight="1">
      <c r="A537" s="343" t="s">
        <v>7419</v>
      </c>
      <c r="B537" s="752" t="s">
        <v>7805</v>
      </c>
      <c r="C537" s="132" t="s">
        <v>3784</v>
      </c>
      <c r="D537" s="94" t="s">
        <v>3785</v>
      </c>
      <c r="E537" s="766" t="s">
        <v>3786</v>
      </c>
      <c r="F537" s="770" t="s">
        <v>28</v>
      </c>
      <c r="G537" s="770" t="s">
        <v>10</v>
      </c>
      <c r="H537" s="770"/>
      <c r="I537" s="295" t="s">
        <v>3787</v>
      </c>
      <c r="J537" s="94" t="s">
        <v>3785</v>
      </c>
      <c r="K537" s="766" t="s">
        <v>3788</v>
      </c>
      <c r="L537" s="766" t="s">
        <v>2704</v>
      </c>
      <c r="M537" s="770" t="s">
        <v>1238</v>
      </c>
      <c r="N537" s="770"/>
      <c r="O537" s="770" t="s">
        <v>3760</v>
      </c>
      <c r="P537" s="94" t="s">
        <v>3791</v>
      </c>
      <c r="Q537" s="1088">
        <v>23403</v>
      </c>
      <c r="R537" s="297">
        <v>53</v>
      </c>
      <c r="S537" s="770" t="s">
        <v>10</v>
      </c>
      <c r="T537" s="770"/>
      <c r="U537" s="295" t="s">
        <v>3787</v>
      </c>
      <c r="V537" s="770" t="s">
        <v>722</v>
      </c>
      <c r="W537" s="770"/>
      <c r="X537" s="770"/>
      <c r="Y537" s="770" t="s">
        <v>3786</v>
      </c>
      <c r="Z537" s="770" t="s">
        <v>708</v>
      </c>
      <c r="AA537" s="770" t="s">
        <v>739</v>
      </c>
      <c r="AB537" s="295" t="s">
        <v>710</v>
      </c>
      <c r="AC537" s="770" t="s">
        <v>724</v>
      </c>
      <c r="AD537" s="770" t="s">
        <v>716</v>
      </c>
      <c r="AE537" s="770"/>
      <c r="AF537" s="770" t="s">
        <v>712</v>
      </c>
      <c r="AG537" s="766" t="s">
        <v>1165</v>
      </c>
      <c r="AH537" s="766" t="s">
        <v>1096</v>
      </c>
      <c r="AI537" s="770" t="s">
        <v>3294</v>
      </c>
      <c r="AJ537" s="770"/>
      <c r="AK537" s="770" t="s">
        <v>1097</v>
      </c>
      <c r="AL537" s="531">
        <v>12.58</v>
      </c>
      <c r="AM537" s="780">
        <v>12.58</v>
      </c>
      <c r="AN537" s="532">
        <f t="shared" si="154"/>
        <v>1</v>
      </c>
      <c r="AO537" s="766" t="s">
        <v>1122</v>
      </c>
      <c r="AP537" s="766" t="s">
        <v>5364</v>
      </c>
      <c r="AQ537" s="766" t="s">
        <v>7418</v>
      </c>
      <c r="AR537" s="766"/>
      <c r="AS537" s="769"/>
      <c r="AT537" s="770"/>
      <c r="AU537" s="770"/>
      <c r="AV537" s="770"/>
      <c r="AW537" s="770"/>
      <c r="AX537" s="770"/>
      <c r="AY537" s="770"/>
      <c r="AZ537" s="770"/>
      <c r="BA537" s="770"/>
      <c r="BB537" s="770"/>
      <c r="BC537" s="770"/>
      <c r="BD537" s="770"/>
      <c r="BE537" s="770"/>
      <c r="BF537" s="302"/>
      <c r="BG537" s="302"/>
      <c r="BH537" s="770"/>
      <c r="BI537" s="770"/>
      <c r="BJ537" s="770"/>
      <c r="BK537" s="770" t="s">
        <v>1095</v>
      </c>
      <c r="BL537" s="770" t="s">
        <v>3792</v>
      </c>
      <c r="BM537" s="766" t="s">
        <v>1096</v>
      </c>
      <c r="BN537" s="770" t="s">
        <v>1230</v>
      </c>
      <c r="BO537" s="766" t="s">
        <v>1246</v>
      </c>
      <c r="BP537" s="765">
        <v>12.58</v>
      </c>
      <c r="BQ537" s="773">
        <v>12.58</v>
      </c>
      <c r="BR537" s="774">
        <f t="shared" si="155"/>
        <v>1</v>
      </c>
      <c r="BS537" s="766" t="s">
        <v>1257</v>
      </c>
      <c r="BT537" s="766" t="s">
        <v>1326</v>
      </c>
      <c r="BU537" s="766" t="s">
        <v>1264</v>
      </c>
      <c r="BV537" s="770" t="s">
        <v>1247</v>
      </c>
      <c r="BW537" s="770">
        <v>2000</v>
      </c>
      <c r="BX537" s="302">
        <v>30000</v>
      </c>
      <c r="BY537" s="770" t="s">
        <v>1207</v>
      </c>
      <c r="BZ537" s="302"/>
      <c r="CA537" s="770"/>
      <c r="CB537" s="770" t="s">
        <v>1207</v>
      </c>
      <c r="CC537" s="94" t="s">
        <v>3791</v>
      </c>
      <c r="CD537" s="770"/>
      <c r="CE537" s="770"/>
      <c r="CF537" s="1783">
        <v>1.2</v>
      </c>
      <c r="CG537" s="1784">
        <v>2</v>
      </c>
      <c r="CH537" s="770"/>
      <c r="CI537" s="770"/>
      <c r="CJ537" s="770" t="s">
        <v>2545</v>
      </c>
      <c r="CK537" s="770">
        <v>3</v>
      </c>
      <c r="CL537" s="770" t="s">
        <v>1249</v>
      </c>
      <c r="CM537" s="770" t="s">
        <v>3399</v>
      </c>
      <c r="CN537" s="770"/>
      <c r="CO537" s="770"/>
      <c r="CP537" s="770"/>
      <c r="CQ537" s="770"/>
      <c r="CR537" s="302"/>
      <c r="CS537" s="770"/>
      <c r="CT537" s="770"/>
      <c r="CU537" s="305"/>
      <c r="CV537" s="770"/>
      <c r="CW537" s="770"/>
      <c r="CX537" s="770"/>
      <c r="CY537" s="770"/>
      <c r="CZ537" s="770"/>
      <c r="DA537" s="306"/>
      <c r="DB537" s="770"/>
      <c r="DC537" s="770"/>
      <c r="DD537" s="770"/>
      <c r="DE537" s="300"/>
      <c r="DF537" s="770"/>
      <c r="DG537" s="770"/>
      <c r="DH537" s="770"/>
      <c r="DI537" s="770"/>
      <c r="DJ537" s="770"/>
      <c r="DK537" s="770"/>
      <c r="DL537" s="770"/>
      <c r="DM537" s="770"/>
      <c r="DN537" s="322"/>
      <c r="DO537" s="770"/>
      <c r="DP537" s="770"/>
      <c r="DQ537" s="770"/>
      <c r="DR537" s="770"/>
      <c r="DS537" s="307"/>
      <c r="DT537" s="770"/>
      <c r="DU537" s="770"/>
      <c r="DV537" s="770"/>
      <c r="DW537" s="306"/>
      <c r="DX537" s="306"/>
      <c r="DY537" s="770"/>
      <c r="DZ537" s="770"/>
      <c r="EA537" s="770"/>
      <c r="EB537" s="770"/>
      <c r="EC537" s="770"/>
      <c r="ED537" s="770"/>
      <c r="EE537" s="770"/>
      <c r="EF537" s="770"/>
      <c r="EG537" s="770"/>
      <c r="EH537" s="770"/>
      <c r="EI537" s="770"/>
      <c r="EJ537" s="770"/>
      <c r="EK537" s="770"/>
      <c r="EL537" s="770"/>
      <c r="EM537" s="770"/>
      <c r="EN537" s="770"/>
      <c r="EO537" s="770"/>
      <c r="EP537" s="94"/>
      <c r="EQ537" s="770"/>
      <c r="ER537" s="770"/>
      <c r="ES537" s="770"/>
      <c r="ET537" s="770"/>
      <c r="EU537" s="770"/>
      <c r="EV537" s="770"/>
      <c r="EW537" s="770"/>
      <c r="EX537" s="770"/>
      <c r="EY537" s="770"/>
      <c r="EZ537" s="770"/>
      <c r="FA537" s="770"/>
      <c r="FB537" s="770"/>
      <c r="FC537" s="770"/>
      <c r="FD537" s="302"/>
      <c r="FE537" s="770"/>
      <c r="FF537" s="770"/>
      <c r="FG537" s="770"/>
      <c r="FH537" s="770" t="s">
        <v>478</v>
      </c>
      <c r="FI537" s="770">
        <v>1</v>
      </c>
      <c r="FJ537" s="770"/>
      <c r="FK537" s="770"/>
      <c r="FL537" s="770"/>
      <c r="FM537" s="302"/>
      <c r="FN537" s="302"/>
      <c r="FO537" s="302"/>
      <c r="FP537" s="766" t="s">
        <v>1602</v>
      </c>
      <c r="FQ537" s="766" t="s">
        <v>1660</v>
      </c>
      <c r="FR537" s="770" t="s">
        <v>1214</v>
      </c>
      <c r="FS537" s="770"/>
      <c r="FT537" s="770"/>
      <c r="FU537" s="770"/>
      <c r="FV537" s="770"/>
      <c r="FW537" s="770"/>
      <c r="FX537" s="770"/>
      <c r="FY537" s="770"/>
      <c r="FZ537" s="770"/>
      <c r="GA537" s="770"/>
      <c r="GB537" s="770" t="s">
        <v>1734</v>
      </c>
      <c r="GC537" s="308"/>
      <c r="GD537" s="297">
        <v>2000</v>
      </c>
      <c r="GE537" s="770" t="s">
        <v>1214</v>
      </c>
      <c r="GF537" s="302"/>
      <c r="GG537" s="302"/>
      <c r="GH537" s="1774" t="s">
        <v>1791</v>
      </c>
      <c r="GI537" s="770" t="s">
        <v>2352</v>
      </c>
      <c r="GJ537" s="770" t="s">
        <v>3209</v>
      </c>
      <c r="GK537" s="770" t="s">
        <v>2345</v>
      </c>
      <c r="GL537" s="770"/>
      <c r="GM537" s="770" t="s">
        <v>1835</v>
      </c>
      <c r="GN537" s="299">
        <v>60</v>
      </c>
      <c r="GO537" s="770" t="s">
        <v>2760</v>
      </c>
      <c r="GP537" s="770"/>
      <c r="GQ537" s="770" t="s">
        <v>1208</v>
      </c>
      <c r="GR537" s="770"/>
      <c r="GS537" s="770"/>
      <c r="GT537" s="770"/>
      <c r="GU537" s="770"/>
      <c r="GV537" s="770"/>
      <c r="GW537" s="770" t="s">
        <v>1207</v>
      </c>
      <c r="GX537" s="770"/>
      <c r="GY537" s="770" t="s">
        <v>1208</v>
      </c>
      <c r="GZ537" s="770"/>
      <c r="HA537" s="770"/>
      <c r="HB537" s="770" t="s">
        <v>1208</v>
      </c>
      <c r="HC537" s="770" t="s">
        <v>1208</v>
      </c>
      <c r="HD537" s="770" t="s">
        <v>1208</v>
      </c>
      <c r="HE537" s="770" t="s">
        <v>1208</v>
      </c>
      <c r="HF537" s="770"/>
      <c r="HG537" s="770"/>
      <c r="HH537" s="770"/>
      <c r="HI537" s="770" t="s">
        <v>1214</v>
      </c>
      <c r="HJ537" s="770"/>
      <c r="HK537" s="770"/>
      <c r="HL537" s="770" t="s">
        <v>1214</v>
      </c>
      <c r="HM537" s="770"/>
      <c r="HN537" s="770"/>
      <c r="HO537" s="770"/>
      <c r="HP537" s="770"/>
      <c r="HQ537" s="770"/>
      <c r="HR537" s="770">
        <v>1</v>
      </c>
      <c r="HS537" s="770"/>
      <c r="HT537" s="770"/>
      <c r="HU537" s="770"/>
      <c r="HV537" s="770"/>
      <c r="HW537" s="770"/>
      <c r="HX537" s="770"/>
      <c r="HY537" s="770"/>
      <c r="HZ537" s="770"/>
      <c r="IA537" s="770"/>
      <c r="IB537" s="14" t="e">
        <f>IF(#REF!&gt;0,IF(#REF!&lt;=10000,"Y",""),"")</f>
        <v>#REF!</v>
      </c>
      <c r="IC537" s="770"/>
      <c r="ID537" s="770"/>
      <c r="IE537" s="770"/>
      <c r="IF537" s="770"/>
      <c r="IG537" s="770"/>
      <c r="IH537" s="770"/>
      <c r="II537" s="770"/>
      <c r="IJ537" s="770"/>
      <c r="IK537" s="770"/>
      <c r="IL537" s="770"/>
      <c r="IM537" s="770"/>
      <c r="IN537" s="770"/>
      <c r="IO537" s="296"/>
      <c r="IP537" s="770"/>
      <c r="IQ537" s="770"/>
      <c r="IR537" s="770"/>
      <c r="IS537" s="770"/>
      <c r="IT537" s="770"/>
      <c r="IU537" s="770"/>
      <c r="IV537" s="770"/>
      <c r="IW537" s="770"/>
      <c r="IX537" s="770"/>
      <c r="IY537" s="770"/>
      <c r="IZ537" s="770"/>
      <c r="JA537" s="770"/>
      <c r="JB537" s="770"/>
      <c r="JC537" s="770"/>
      <c r="JD537" s="302"/>
      <c r="JE537" s="770"/>
      <c r="JF537" s="770"/>
      <c r="JG537" s="770"/>
      <c r="JH537" s="307"/>
      <c r="JI537" s="712" t="str">
        <f>IF(SUM(JT537,JU537)=JJ537,"ok","review")</f>
        <v>ok</v>
      </c>
      <c r="JJ537" s="770">
        <v>2</v>
      </c>
      <c r="JK537" s="1139" t="s">
        <v>3790</v>
      </c>
      <c r="JL537" s="770"/>
      <c r="JM537" s="770"/>
      <c r="JN537" s="770">
        <v>1</v>
      </c>
      <c r="JO537" s="770">
        <v>1</v>
      </c>
      <c r="JP537" s="770"/>
      <c r="JQ537" s="770"/>
      <c r="JR537" s="770"/>
      <c r="JS537" s="770"/>
      <c r="JT537" s="766">
        <f t="shared" ref="JT537:JU554" si="156">SUM(JP537,JN537,JL537,JR537)</f>
        <v>1</v>
      </c>
      <c r="JU537" s="766">
        <f t="shared" si="156"/>
        <v>1</v>
      </c>
      <c r="JV537" s="712" t="str">
        <f>IF(JT537=KJ537,"ok","male")</f>
        <v>ok</v>
      </c>
      <c r="JW537" s="712" t="str">
        <f>IF(JU537=KK537,"ok","female")</f>
        <v>ok</v>
      </c>
      <c r="JX537" s="770"/>
      <c r="JY537" s="770"/>
      <c r="JZ537" s="770"/>
      <c r="KA537" s="770"/>
      <c r="KB537" s="770"/>
      <c r="KC537" s="770"/>
      <c r="KD537" s="770">
        <v>1</v>
      </c>
      <c r="KE537" s="770">
        <v>1</v>
      </c>
      <c r="KF537" s="770"/>
      <c r="KG537" s="770"/>
      <c r="KH537" s="770"/>
      <c r="KI537" s="770"/>
      <c r="KJ537" s="770">
        <f t="shared" si="153"/>
        <v>1</v>
      </c>
      <c r="KK537" s="770">
        <f t="shared" si="153"/>
        <v>1</v>
      </c>
      <c r="KL537" s="712" t="str">
        <f>IF(KJ537=LN537,"ok","male")</f>
        <v>ok</v>
      </c>
      <c r="KM537" s="712" t="str">
        <f>IF(KK537=LO537,"ok","female")</f>
        <v>ok</v>
      </c>
      <c r="KN537" s="770" t="s">
        <v>722</v>
      </c>
      <c r="KO537" s="770"/>
      <c r="KP537" s="770"/>
      <c r="KQ537" s="770"/>
      <c r="KR537" s="770"/>
      <c r="KS537" s="770"/>
      <c r="KT537" s="770"/>
      <c r="KU537" s="770"/>
      <c r="KV537" s="770"/>
      <c r="KW537" s="770">
        <v>1</v>
      </c>
      <c r="KX537" s="770">
        <v>1</v>
      </c>
      <c r="KY537" s="770"/>
      <c r="KZ537" s="770"/>
      <c r="LA537" s="770"/>
      <c r="LB537" s="770"/>
      <c r="LC537" s="770"/>
      <c r="LD537" s="770"/>
      <c r="LE537" s="770"/>
      <c r="LF537" s="770"/>
      <c r="LG537" s="770"/>
      <c r="LH537" s="770"/>
      <c r="LI537" s="770"/>
      <c r="LJ537" s="770"/>
      <c r="LK537" s="770"/>
      <c r="LL537" s="770"/>
      <c r="LM537" s="770"/>
      <c r="LN537" s="766">
        <f t="shared" si="134"/>
        <v>1</v>
      </c>
      <c r="LO537" s="766">
        <f t="shared" si="134"/>
        <v>1</v>
      </c>
      <c r="LP537" s="770">
        <v>2</v>
      </c>
      <c r="LQ537" s="770">
        <v>1</v>
      </c>
      <c r="LR537" s="770"/>
      <c r="LS537" s="770">
        <v>1</v>
      </c>
      <c r="LT537" s="712" t="str">
        <f>IF(LQ537=SUM(LU537:LW537),"OK","REV")</f>
        <v>OK</v>
      </c>
      <c r="LU537" s="770"/>
      <c r="LV537" s="770"/>
      <c r="LW537" s="770">
        <v>1</v>
      </c>
      <c r="LX537" s="769">
        <v>1</v>
      </c>
      <c r="LY537" s="766" t="str">
        <f t="shared" si="135"/>
        <v>within the BRGY</v>
      </c>
      <c r="LZ537" s="1709">
        <f>SUM(30*26,30*26)</f>
        <v>1560</v>
      </c>
      <c r="MA537" s="1709"/>
      <c r="MB537" s="1709"/>
      <c r="MC537" s="1679">
        <f t="shared" si="133"/>
        <v>1560</v>
      </c>
      <c r="MD537" s="1709">
        <f>1500*4</f>
        <v>6000</v>
      </c>
      <c r="ME537" s="1709"/>
      <c r="MF537" s="1709">
        <f>600*4</f>
        <v>2400</v>
      </c>
      <c r="MG537" s="1680">
        <f>SUM(MD537:MF537)</f>
        <v>8400</v>
      </c>
      <c r="MH537" s="770" t="s">
        <v>3789</v>
      </c>
      <c r="MI537" s="302">
        <v>4500</v>
      </c>
      <c r="MJ537" s="302">
        <v>1800</v>
      </c>
      <c r="MK537" s="302">
        <v>25</v>
      </c>
      <c r="ML537" s="302">
        <v>83</v>
      </c>
      <c r="MM537" s="302"/>
      <c r="MN537" s="302"/>
      <c r="MO537" s="302"/>
      <c r="MP537" s="302"/>
      <c r="MQ537" s="302">
        <v>400</v>
      </c>
      <c r="MR537" s="302">
        <v>400</v>
      </c>
      <c r="MS537" s="302"/>
      <c r="MT537" s="302"/>
      <c r="MU537" s="302"/>
      <c r="MV537" s="302"/>
      <c r="MW537" s="302"/>
      <c r="MX537" s="302"/>
      <c r="MY537" s="1682">
        <f t="shared" si="147"/>
        <v>7208</v>
      </c>
      <c r="MZ537" s="770" t="s">
        <v>13708</v>
      </c>
      <c r="NA537" s="770" t="s">
        <v>1249</v>
      </c>
      <c r="NB537" s="770" t="s">
        <v>13033</v>
      </c>
      <c r="NC537" s="770" t="s">
        <v>13135</v>
      </c>
      <c r="ND537" s="770">
        <v>0</v>
      </c>
      <c r="NE537" s="770">
        <v>0</v>
      </c>
      <c r="NF537" s="770">
        <v>0</v>
      </c>
      <c r="NG537" s="770">
        <v>0</v>
      </c>
      <c r="NH537" s="770">
        <v>0</v>
      </c>
      <c r="NI537" s="770">
        <v>1</v>
      </c>
      <c r="NJ537" s="770">
        <v>0</v>
      </c>
      <c r="NK537" s="770">
        <v>0</v>
      </c>
      <c r="NL537" s="770">
        <v>0</v>
      </c>
      <c r="NM537" s="770">
        <v>0</v>
      </c>
      <c r="NN537" s="770">
        <v>0</v>
      </c>
      <c r="NO537" s="770">
        <v>0</v>
      </c>
      <c r="NP537" s="770">
        <v>0</v>
      </c>
      <c r="NQ537" s="770">
        <v>0</v>
      </c>
      <c r="NR537" s="770">
        <v>0</v>
      </c>
      <c r="NS537" s="770">
        <v>0</v>
      </c>
      <c r="NT537" s="770">
        <v>0</v>
      </c>
      <c r="NU537" s="770">
        <v>0</v>
      </c>
      <c r="NV537" s="770">
        <v>0</v>
      </c>
      <c r="NW537" s="770">
        <v>0</v>
      </c>
      <c r="NX537" s="770">
        <v>0</v>
      </c>
      <c r="NY537" s="770" t="s">
        <v>1208</v>
      </c>
      <c r="NZ537" s="770"/>
      <c r="OA537" s="770"/>
      <c r="OB537" s="770" t="s">
        <v>1208</v>
      </c>
      <c r="OC537" s="770" t="s">
        <v>1208</v>
      </c>
      <c r="OD537" s="770" t="s">
        <v>1208</v>
      </c>
      <c r="OE537" s="770"/>
      <c r="OF537" s="770"/>
      <c r="OG537" s="770"/>
      <c r="OH537" s="770"/>
      <c r="OI537" s="770"/>
      <c r="OJ537" s="770"/>
      <c r="OK537" s="770"/>
      <c r="OL537" s="770"/>
      <c r="OM537" s="770"/>
      <c r="ON537" s="770"/>
      <c r="OO537" s="770"/>
      <c r="OP537" s="770"/>
      <c r="OQ537" s="770"/>
      <c r="OR537" s="770"/>
      <c r="OS537" s="770"/>
      <c r="OT537" s="770"/>
      <c r="OU537" s="770"/>
      <c r="OV537" s="770"/>
      <c r="OW537" s="770"/>
      <c r="OX537" s="770"/>
      <c r="OY537" s="770"/>
      <c r="OZ537" s="770"/>
      <c r="PA537" s="770"/>
      <c r="PB537" s="770"/>
      <c r="PC537" s="770"/>
      <c r="PD537" s="770"/>
      <c r="PE537" s="770"/>
      <c r="PF537" s="770"/>
      <c r="PG537" s="770" t="s">
        <v>1208</v>
      </c>
      <c r="PH537" s="770"/>
      <c r="PI537" s="770"/>
      <c r="PJ537" s="770"/>
      <c r="PK537" s="770" t="s">
        <v>1208</v>
      </c>
      <c r="PL537" s="770"/>
      <c r="PM537" s="770"/>
      <c r="PN537" s="770"/>
      <c r="PO537" s="770"/>
      <c r="PP537" s="770"/>
      <c r="PQ537" s="770"/>
      <c r="PR537" s="770"/>
      <c r="PS537" s="770" t="s">
        <v>1208</v>
      </c>
      <c r="PT537" s="770"/>
      <c r="PU537" s="770"/>
      <c r="PV537" s="770"/>
      <c r="PW537" s="770"/>
      <c r="PX537" s="770"/>
      <c r="PY537" s="770"/>
      <c r="PZ537" s="770"/>
      <c r="QA537" s="770"/>
      <c r="QB537" s="770"/>
      <c r="QC537" s="770"/>
      <c r="QD537" s="770"/>
      <c r="QE537" s="770"/>
      <c r="QF537" s="770"/>
      <c r="QG537" s="770"/>
      <c r="QH537" s="770"/>
      <c r="QI537" s="770"/>
      <c r="QJ537" s="770"/>
      <c r="QK537" s="770"/>
      <c r="QL537" s="770"/>
      <c r="QM537" s="770"/>
      <c r="QN537" s="770"/>
      <c r="QO537" s="770"/>
      <c r="QP537" s="770"/>
      <c r="QQ537" s="770"/>
      <c r="QR537" s="770"/>
      <c r="QS537" s="770"/>
      <c r="QT537" s="770"/>
      <c r="QU537" s="770"/>
      <c r="QV537" s="770"/>
      <c r="QW537" s="770"/>
      <c r="QX537" s="770"/>
      <c r="QY537" s="770"/>
      <c r="QZ537" s="770"/>
      <c r="RA537" s="770"/>
      <c r="RB537" s="770" t="s">
        <v>1207</v>
      </c>
      <c r="RC537" s="770">
        <v>2013</v>
      </c>
      <c r="RD537" s="770" t="s">
        <v>13251</v>
      </c>
      <c r="RE537" s="770" t="s">
        <v>12999</v>
      </c>
      <c r="RF537" s="304">
        <v>0.5</v>
      </c>
      <c r="RG537" s="770" t="s">
        <v>13047</v>
      </c>
      <c r="RH537" s="302">
        <v>1000</v>
      </c>
      <c r="RI537" s="770">
        <v>3</v>
      </c>
      <c r="RJ537" s="770" t="s">
        <v>3790</v>
      </c>
      <c r="RK537" s="770" t="s">
        <v>13556</v>
      </c>
      <c r="RL537" s="1710"/>
      <c r="RM537" s="12"/>
      <c r="RN537" s="1711"/>
      <c r="RO537" s="132" t="s">
        <v>3784</v>
      </c>
      <c r="RP537" s="11"/>
      <c r="RQ537" s="11"/>
      <c r="RR537" s="343" t="s">
        <v>7419</v>
      </c>
      <c r="RS537" s="1139" t="s">
        <v>12980</v>
      </c>
      <c r="RT537" s="11"/>
      <c r="RU537" s="11"/>
      <c r="RV537" s="771" t="s">
        <v>7421</v>
      </c>
      <c r="RW537" s="11" t="s">
        <v>7994</v>
      </c>
      <c r="RX537" s="11" t="s">
        <v>3765</v>
      </c>
      <c r="RY537" s="11"/>
      <c r="RZ537" s="11" t="s">
        <v>1101</v>
      </c>
      <c r="SA537" s="771"/>
      <c r="SB537" s="11"/>
      <c r="SC537" s="11"/>
    </row>
    <row r="538" spans="1:497" ht="12.75" hidden="1" customHeight="1">
      <c r="A538" s="343" t="s">
        <v>7419</v>
      </c>
      <c r="B538" s="752" t="s">
        <v>7806</v>
      </c>
      <c r="C538" s="132" t="s">
        <v>3793</v>
      </c>
      <c r="D538" s="94" t="s">
        <v>3794</v>
      </c>
      <c r="E538" s="766" t="s">
        <v>3786</v>
      </c>
      <c r="F538" s="770" t="s">
        <v>28</v>
      </c>
      <c r="G538" s="770" t="s">
        <v>10</v>
      </c>
      <c r="H538" s="770"/>
      <c r="I538" s="295" t="s">
        <v>3795</v>
      </c>
      <c r="J538" s="94" t="s">
        <v>3794</v>
      </c>
      <c r="K538" s="766" t="s">
        <v>3769</v>
      </c>
      <c r="L538" s="766" t="s">
        <v>3254</v>
      </c>
      <c r="M538" s="770" t="s">
        <v>1238</v>
      </c>
      <c r="N538" s="770"/>
      <c r="O538" s="770" t="s">
        <v>3760</v>
      </c>
      <c r="P538" s="94" t="s">
        <v>3796</v>
      </c>
      <c r="Q538" s="1088">
        <v>23554</v>
      </c>
      <c r="R538" s="297">
        <v>53</v>
      </c>
      <c r="S538" s="770" t="s">
        <v>10</v>
      </c>
      <c r="T538" s="770"/>
      <c r="U538" s="295" t="s">
        <v>3795</v>
      </c>
      <c r="V538" s="770" t="s">
        <v>768</v>
      </c>
      <c r="W538" s="770"/>
      <c r="X538" s="770"/>
      <c r="Y538" s="770" t="s">
        <v>3786</v>
      </c>
      <c r="Z538" s="770" t="s">
        <v>3797</v>
      </c>
      <c r="AA538" s="770" t="s">
        <v>709</v>
      </c>
      <c r="AB538" s="770" t="s">
        <v>710</v>
      </c>
      <c r="AC538" s="770"/>
      <c r="AD538" s="770" t="s">
        <v>711</v>
      </c>
      <c r="AE538" s="770"/>
      <c r="AF538" s="770" t="s">
        <v>712</v>
      </c>
      <c r="AG538" s="766" t="s">
        <v>1165</v>
      </c>
      <c r="AH538" s="766" t="s">
        <v>1096</v>
      </c>
      <c r="AI538" s="770" t="s">
        <v>3294</v>
      </c>
      <c r="AJ538" s="770"/>
      <c r="AK538" s="770" t="s">
        <v>1097</v>
      </c>
      <c r="AL538" s="531">
        <v>12.58</v>
      </c>
      <c r="AM538" s="780">
        <v>12.58</v>
      </c>
      <c r="AN538" s="532">
        <f t="shared" si="154"/>
        <v>1</v>
      </c>
      <c r="AO538" s="766" t="s">
        <v>1122</v>
      </c>
      <c r="AP538" s="766" t="s">
        <v>5364</v>
      </c>
      <c r="AQ538" s="766" t="s">
        <v>7418</v>
      </c>
      <c r="AR538" s="766"/>
      <c r="AS538" s="769"/>
      <c r="AT538" s="770"/>
      <c r="AU538" s="770"/>
      <c r="AV538" s="770"/>
      <c r="AW538" s="770"/>
      <c r="AX538" s="770"/>
      <c r="AY538" s="770"/>
      <c r="AZ538" s="770"/>
      <c r="BA538" s="770"/>
      <c r="BB538" s="770"/>
      <c r="BC538" s="770"/>
      <c r="BD538" s="770"/>
      <c r="BE538" s="770"/>
      <c r="BF538" s="302"/>
      <c r="BG538" s="302"/>
      <c r="BH538" s="770"/>
      <c r="BI538" s="770"/>
      <c r="BJ538" s="770"/>
      <c r="BK538" s="770" t="s">
        <v>1095</v>
      </c>
      <c r="BL538" s="770" t="s">
        <v>3798</v>
      </c>
      <c r="BM538" s="766" t="s">
        <v>1096</v>
      </c>
      <c r="BN538" s="770" t="s">
        <v>1230</v>
      </c>
      <c r="BO538" s="766" t="s">
        <v>1246</v>
      </c>
      <c r="BP538" s="765">
        <v>12.58</v>
      </c>
      <c r="BQ538" s="773">
        <v>12.58</v>
      </c>
      <c r="BR538" s="774">
        <f t="shared" si="155"/>
        <v>1</v>
      </c>
      <c r="BS538" s="766" t="s">
        <v>1257</v>
      </c>
      <c r="BT538" s="766" t="s">
        <v>1326</v>
      </c>
      <c r="BU538" s="766" t="s">
        <v>1264</v>
      </c>
      <c r="BV538" s="770" t="s">
        <v>1291</v>
      </c>
      <c r="BW538" s="770">
        <v>2000</v>
      </c>
      <c r="BX538" s="302"/>
      <c r="BY538" s="770"/>
      <c r="BZ538" s="302"/>
      <c r="CA538" s="770"/>
      <c r="CB538" s="770" t="s">
        <v>1207</v>
      </c>
      <c r="CC538" s="94" t="s">
        <v>3796</v>
      </c>
      <c r="CD538" s="770"/>
      <c r="CE538" s="770"/>
      <c r="CF538" s="1783">
        <v>1.2</v>
      </c>
      <c r="CG538" s="1784">
        <v>6</v>
      </c>
      <c r="CH538" s="770" t="s">
        <v>2545</v>
      </c>
      <c r="CI538" s="770"/>
      <c r="CJ538" s="770" t="s">
        <v>2545</v>
      </c>
      <c r="CK538" s="770">
        <v>10</v>
      </c>
      <c r="CL538" s="770" t="s">
        <v>1249</v>
      </c>
      <c r="CM538" s="770" t="s">
        <v>3378</v>
      </c>
      <c r="CN538" s="770"/>
      <c r="CO538" s="770"/>
      <c r="CP538" s="770"/>
      <c r="CQ538" s="770"/>
      <c r="CR538" s="302"/>
      <c r="CS538" s="770"/>
      <c r="CT538" s="770"/>
      <c r="CU538" s="305"/>
      <c r="CV538" s="770"/>
      <c r="CW538" s="770"/>
      <c r="CX538" s="770"/>
      <c r="CY538" s="770"/>
      <c r="CZ538" s="770"/>
      <c r="DA538" s="306"/>
      <c r="DB538" s="770"/>
      <c r="DC538" s="770"/>
      <c r="DD538" s="770"/>
      <c r="DE538" s="300"/>
      <c r="DF538" s="770"/>
      <c r="DG538" s="770"/>
      <c r="DH538" s="770"/>
      <c r="DI538" s="770"/>
      <c r="DJ538" s="770"/>
      <c r="DK538" s="770"/>
      <c r="DL538" s="770"/>
      <c r="DM538" s="770"/>
      <c r="DN538" s="322"/>
      <c r="DO538" s="770"/>
      <c r="DP538" s="770"/>
      <c r="DQ538" s="770"/>
      <c r="DR538" s="770"/>
      <c r="DS538" s="307"/>
      <c r="DT538" s="770"/>
      <c r="DU538" s="770"/>
      <c r="DV538" s="770"/>
      <c r="DW538" s="306"/>
      <c r="DX538" s="306"/>
      <c r="DY538" s="770"/>
      <c r="DZ538" s="770"/>
      <c r="EA538" s="770"/>
      <c r="EB538" s="770"/>
      <c r="EC538" s="770"/>
      <c r="ED538" s="770"/>
      <c r="EE538" s="770"/>
      <c r="EF538" s="770"/>
      <c r="EG538" s="770"/>
      <c r="EH538" s="770"/>
      <c r="EI538" s="770"/>
      <c r="EJ538" s="770"/>
      <c r="EK538" s="770"/>
      <c r="EL538" s="770"/>
      <c r="EM538" s="770"/>
      <c r="EN538" s="770"/>
      <c r="EO538" s="770"/>
      <c r="EP538" s="94"/>
      <c r="EQ538" s="770"/>
      <c r="ER538" s="770"/>
      <c r="ES538" s="770"/>
      <c r="ET538" s="770"/>
      <c r="EU538" s="770"/>
      <c r="EV538" s="770"/>
      <c r="EW538" s="770"/>
      <c r="EX538" s="770"/>
      <c r="EY538" s="770"/>
      <c r="EZ538" s="770"/>
      <c r="FA538" s="770"/>
      <c r="FB538" s="770"/>
      <c r="FC538" s="770"/>
      <c r="FD538" s="302"/>
      <c r="FE538" s="770"/>
      <c r="FF538" s="770"/>
      <c r="FG538" s="770"/>
      <c r="FH538" s="770" t="s">
        <v>478</v>
      </c>
      <c r="FI538" s="770">
        <v>1</v>
      </c>
      <c r="FJ538" s="770"/>
      <c r="FK538" s="770"/>
      <c r="FL538" s="770"/>
      <c r="FM538" s="302"/>
      <c r="FN538" s="302"/>
      <c r="FO538" s="302"/>
      <c r="FP538" s="770" t="s">
        <v>1602</v>
      </c>
      <c r="FQ538" s="770" t="s">
        <v>1660</v>
      </c>
      <c r="FR538" s="770" t="s">
        <v>1214</v>
      </c>
      <c r="FS538" s="770"/>
      <c r="FT538" s="770"/>
      <c r="FU538" s="770"/>
      <c r="FV538" s="770"/>
      <c r="FW538" s="770"/>
      <c r="FX538" s="770"/>
      <c r="FY538" s="770"/>
      <c r="FZ538" s="770"/>
      <c r="GA538" s="770"/>
      <c r="GB538" s="770" t="s">
        <v>1734</v>
      </c>
      <c r="GC538" s="308"/>
      <c r="GD538" s="297">
        <v>2000</v>
      </c>
      <c r="GE538" s="770" t="s">
        <v>1214</v>
      </c>
      <c r="GF538" s="302"/>
      <c r="GG538" s="302"/>
      <c r="GH538" s="1774" t="s">
        <v>1791</v>
      </c>
      <c r="GI538" s="770" t="s">
        <v>2352</v>
      </c>
      <c r="GJ538" s="770" t="s">
        <v>3799</v>
      </c>
      <c r="GK538" s="770" t="s">
        <v>2345</v>
      </c>
      <c r="GL538" s="770"/>
      <c r="GM538" s="770"/>
      <c r="GN538" s="299">
        <v>90</v>
      </c>
      <c r="GO538" s="770" t="s">
        <v>2770</v>
      </c>
      <c r="GP538" s="770" t="s">
        <v>1208</v>
      </c>
      <c r="GQ538" s="770"/>
      <c r="GR538" s="770"/>
      <c r="GS538" s="770"/>
      <c r="GT538" s="770"/>
      <c r="GU538" s="770"/>
      <c r="GV538" s="770"/>
      <c r="GW538" s="770" t="s">
        <v>1207</v>
      </c>
      <c r="GX538" s="770"/>
      <c r="GY538" s="770" t="s">
        <v>1208</v>
      </c>
      <c r="GZ538" s="770" t="s">
        <v>1208</v>
      </c>
      <c r="HA538" s="770" t="s">
        <v>1208</v>
      </c>
      <c r="HB538" s="770"/>
      <c r="HC538" s="770" t="s">
        <v>1208</v>
      </c>
      <c r="HD538" s="770"/>
      <c r="HE538" s="770"/>
      <c r="HF538" s="770"/>
      <c r="HG538" s="770"/>
      <c r="HH538" s="770"/>
      <c r="HI538" s="770" t="s">
        <v>1214</v>
      </c>
      <c r="HJ538" s="770"/>
      <c r="HK538" s="770"/>
      <c r="HL538" s="770"/>
      <c r="HM538" s="770"/>
      <c r="HN538" s="770"/>
      <c r="HO538" s="770"/>
      <c r="HP538" s="770"/>
      <c r="HQ538" s="770"/>
      <c r="HR538" s="770">
        <v>1</v>
      </c>
      <c r="HS538" s="770">
        <v>1</v>
      </c>
      <c r="HT538" s="770"/>
      <c r="HU538" s="770"/>
      <c r="HV538" s="770"/>
      <c r="HW538" s="770"/>
      <c r="HX538" s="770"/>
      <c r="HY538" s="770"/>
      <c r="HZ538" s="770"/>
      <c r="IA538" s="770"/>
      <c r="IB538" s="770"/>
      <c r="IC538" s="770"/>
      <c r="ID538" s="770"/>
      <c r="IE538" s="770"/>
      <c r="IF538" s="770"/>
      <c r="IG538" s="770"/>
      <c r="IH538" s="770"/>
      <c r="II538" s="770"/>
      <c r="IJ538" s="770"/>
      <c r="IK538" s="770"/>
      <c r="IL538" s="770"/>
      <c r="IM538" s="770"/>
      <c r="IN538" s="770"/>
      <c r="IO538" s="296"/>
      <c r="IP538" s="770"/>
      <c r="IQ538" s="770"/>
      <c r="IR538" s="770"/>
      <c r="IS538" s="770"/>
      <c r="IT538" s="770"/>
      <c r="IU538" s="770"/>
      <c r="IV538" s="770"/>
      <c r="IW538" s="770"/>
      <c r="IX538" s="770"/>
      <c r="IY538" s="770"/>
      <c r="IZ538" s="770"/>
      <c r="JA538" s="770"/>
      <c r="JB538" s="770"/>
      <c r="JC538" s="770"/>
      <c r="JD538" s="302"/>
      <c r="JE538" s="770"/>
      <c r="JF538" s="770"/>
      <c r="JG538" s="770"/>
      <c r="JH538" s="307"/>
      <c r="JI538" s="307"/>
      <c r="JJ538" s="770">
        <v>7</v>
      </c>
      <c r="JK538" s="770" t="s">
        <v>13709</v>
      </c>
      <c r="JL538" s="770">
        <v>1</v>
      </c>
      <c r="JM538" s="770"/>
      <c r="JN538" s="770">
        <v>4</v>
      </c>
      <c r="JO538" s="770">
        <v>2</v>
      </c>
      <c r="JP538" s="770"/>
      <c r="JQ538" s="770"/>
      <c r="JR538" s="770"/>
      <c r="JS538" s="770"/>
      <c r="JT538" s="766">
        <f t="shared" si="156"/>
        <v>5</v>
      </c>
      <c r="JU538" s="766">
        <f t="shared" si="156"/>
        <v>2</v>
      </c>
      <c r="JV538" s="766"/>
      <c r="JW538" s="766"/>
      <c r="JX538" s="770"/>
      <c r="JY538" s="770"/>
      <c r="JZ538" s="770">
        <v>1</v>
      </c>
      <c r="KA538" s="770"/>
      <c r="KB538" s="770">
        <v>3</v>
      </c>
      <c r="KC538" s="770">
        <v>2</v>
      </c>
      <c r="KD538" s="770">
        <v>1</v>
      </c>
      <c r="KE538" s="770"/>
      <c r="KF538" s="770"/>
      <c r="KG538" s="770"/>
      <c r="KH538" s="770"/>
      <c r="KI538" s="770"/>
      <c r="KJ538" s="770">
        <f t="shared" si="153"/>
        <v>5</v>
      </c>
      <c r="KK538" s="770">
        <f t="shared" si="153"/>
        <v>2</v>
      </c>
      <c r="KL538" s="770"/>
      <c r="KM538" s="770"/>
      <c r="KN538" s="770" t="s">
        <v>768</v>
      </c>
      <c r="KO538" s="770"/>
      <c r="KP538" s="770"/>
      <c r="KQ538" s="770"/>
      <c r="KR538" s="770">
        <v>1</v>
      </c>
      <c r="KS538" s="770"/>
      <c r="KT538" s="770">
        <v>1</v>
      </c>
      <c r="KU538" s="770">
        <v>1</v>
      </c>
      <c r="KV538" s="770">
        <v>1</v>
      </c>
      <c r="KW538" s="770"/>
      <c r="KX538" s="770">
        <v>2</v>
      </c>
      <c r="KY538" s="770">
        <v>1</v>
      </c>
      <c r="KZ538" s="770">
        <v>1</v>
      </c>
      <c r="LA538" s="770"/>
      <c r="LB538" s="770"/>
      <c r="LC538" s="770"/>
      <c r="LD538" s="770"/>
      <c r="LE538" s="770"/>
      <c r="LF538" s="770"/>
      <c r="LG538" s="770"/>
      <c r="LH538" s="770"/>
      <c r="LI538" s="770"/>
      <c r="LJ538" s="770"/>
      <c r="LK538" s="770"/>
      <c r="LL538" s="770"/>
      <c r="LM538" s="770"/>
      <c r="LN538" s="766">
        <f t="shared" si="134"/>
        <v>6</v>
      </c>
      <c r="LO538" s="766">
        <f t="shared" si="134"/>
        <v>2</v>
      </c>
      <c r="LP538" s="770">
        <v>4</v>
      </c>
      <c r="LQ538" s="770">
        <v>4</v>
      </c>
      <c r="LR538" s="770"/>
      <c r="LS538" s="770">
        <v>3</v>
      </c>
      <c r="LT538" s="770"/>
      <c r="LU538" s="770">
        <v>1</v>
      </c>
      <c r="LV538" s="770"/>
      <c r="LW538" s="770"/>
      <c r="LX538" s="769">
        <v>3</v>
      </c>
      <c r="LY538" s="766" t="str">
        <f t="shared" si="135"/>
        <v>within the PROVINCE</v>
      </c>
      <c r="LZ538" s="1709">
        <f>SUM(62,100)</f>
        <v>162</v>
      </c>
      <c r="MA538" s="1709"/>
      <c r="MB538" s="1709"/>
      <c r="MC538" s="1679">
        <f t="shared" si="133"/>
        <v>162</v>
      </c>
      <c r="MD538" s="1709">
        <f>SUM(1800*4,459*26,400*26,300*26)</f>
        <v>37334</v>
      </c>
      <c r="ME538" s="1709"/>
      <c r="MF538" s="1709"/>
      <c r="MG538" s="1680">
        <f t="shared" si="149"/>
        <v>37334</v>
      </c>
      <c r="MH538" s="770" t="s">
        <v>2198</v>
      </c>
      <c r="MI538" s="302">
        <v>8000</v>
      </c>
      <c r="MJ538" s="302">
        <v>160</v>
      </c>
      <c r="MK538" s="302">
        <v>500</v>
      </c>
      <c r="ML538" s="302">
        <v>30</v>
      </c>
      <c r="MM538" s="302">
        <v>250</v>
      </c>
      <c r="MN538" s="302"/>
      <c r="MO538" s="302">
        <v>15</v>
      </c>
      <c r="MP538" s="302">
        <v>800</v>
      </c>
      <c r="MQ538" s="302"/>
      <c r="MR538" s="302">
        <v>300</v>
      </c>
      <c r="MS538" s="302"/>
      <c r="MT538" s="302"/>
      <c r="MU538" s="302"/>
      <c r="MV538" s="302"/>
      <c r="MW538" s="302"/>
      <c r="MX538" s="302"/>
      <c r="MY538" s="1682">
        <f t="shared" si="147"/>
        <v>10055</v>
      </c>
      <c r="MZ538" s="770" t="s">
        <v>13398</v>
      </c>
      <c r="NA538" s="770" t="s">
        <v>1249</v>
      </c>
      <c r="NB538" s="770" t="s">
        <v>13161</v>
      </c>
      <c r="NC538" s="770" t="s">
        <v>13602</v>
      </c>
      <c r="ND538" s="770">
        <v>0</v>
      </c>
      <c r="NE538" s="770">
        <v>0</v>
      </c>
      <c r="NF538" s="770">
        <v>0</v>
      </c>
      <c r="NG538" s="770">
        <v>1</v>
      </c>
      <c r="NH538" s="770">
        <v>1</v>
      </c>
      <c r="NI538" s="770">
        <v>0</v>
      </c>
      <c r="NJ538" s="770">
        <v>0</v>
      </c>
      <c r="NK538" s="770">
        <v>0</v>
      </c>
      <c r="NL538" s="770">
        <v>0</v>
      </c>
      <c r="NM538" s="770">
        <v>0</v>
      </c>
      <c r="NN538" s="770">
        <v>0</v>
      </c>
      <c r="NO538" s="770">
        <v>0</v>
      </c>
      <c r="NP538" s="770">
        <v>0</v>
      </c>
      <c r="NQ538" s="770">
        <v>0</v>
      </c>
      <c r="NR538" s="770">
        <v>0</v>
      </c>
      <c r="NS538" s="770">
        <v>0</v>
      </c>
      <c r="NT538" s="770">
        <v>0</v>
      </c>
      <c r="NU538" s="770">
        <v>0</v>
      </c>
      <c r="NV538" s="770">
        <v>0</v>
      </c>
      <c r="NW538" s="770">
        <v>0</v>
      </c>
      <c r="NX538" s="770">
        <v>0</v>
      </c>
      <c r="NY538" s="770"/>
      <c r="NZ538" s="770"/>
      <c r="OA538" s="770"/>
      <c r="OB538" s="770"/>
      <c r="OC538" s="770" t="s">
        <v>1208</v>
      </c>
      <c r="OD538" s="770"/>
      <c r="OE538" s="770"/>
      <c r="OF538" s="770" t="s">
        <v>2143</v>
      </c>
      <c r="OG538" s="770"/>
      <c r="OH538" s="770"/>
      <c r="OI538" s="770"/>
      <c r="OJ538" s="770"/>
      <c r="OK538" s="770" t="s">
        <v>1208</v>
      </c>
      <c r="OL538" s="770" t="s">
        <v>13710</v>
      </c>
      <c r="OM538" s="770" t="s">
        <v>13711</v>
      </c>
      <c r="ON538" s="770"/>
      <c r="OO538" s="770" t="s">
        <v>1214</v>
      </c>
      <c r="OP538" s="770"/>
      <c r="OQ538" s="770"/>
      <c r="OR538" s="770"/>
      <c r="OS538" s="770"/>
      <c r="OT538" s="770"/>
      <c r="OU538" s="770"/>
      <c r="OV538" s="770"/>
      <c r="OW538" s="770"/>
      <c r="OX538" s="770"/>
      <c r="OY538" s="770"/>
      <c r="OZ538" s="770"/>
      <c r="PA538" s="770"/>
      <c r="PB538" s="770"/>
      <c r="PC538" s="770"/>
      <c r="PD538" s="770"/>
      <c r="PE538" s="770"/>
      <c r="PF538" s="770" t="s">
        <v>1208</v>
      </c>
      <c r="PG538" s="770"/>
      <c r="PH538" s="770"/>
      <c r="PI538" s="770"/>
      <c r="PJ538" s="770"/>
      <c r="PK538" s="770" t="s">
        <v>1208</v>
      </c>
      <c r="PL538" s="770"/>
      <c r="PM538" s="770"/>
      <c r="PN538" s="770"/>
      <c r="PO538" s="770"/>
      <c r="PP538" s="770"/>
      <c r="PQ538" s="770"/>
      <c r="PR538" s="770"/>
      <c r="PS538" s="770" t="s">
        <v>1208</v>
      </c>
      <c r="PT538" s="770" t="s">
        <v>1208</v>
      </c>
      <c r="PU538" s="770"/>
      <c r="PV538" s="770"/>
      <c r="PW538" s="770"/>
      <c r="PX538" s="770"/>
      <c r="PY538" s="770"/>
      <c r="PZ538" s="770"/>
      <c r="QA538" s="770"/>
      <c r="QB538" s="770"/>
      <c r="QC538" s="770"/>
      <c r="QD538" s="770"/>
      <c r="QE538" s="770"/>
      <c r="QF538" s="770"/>
      <c r="QG538" s="770"/>
      <c r="QH538" s="770"/>
      <c r="QI538" s="770"/>
      <c r="QJ538" s="770"/>
      <c r="QK538" s="770"/>
      <c r="QL538" s="770"/>
      <c r="QM538" s="770"/>
      <c r="QN538" s="770"/>
      <c r="QO538" s="770"/>
      <c r="QP538" s="770"/>
      <c r="QQ538" s="770"/>
      <c r="QR538" s="770"/>
      <c r="QS538" s="770"/>
      <c r="QT538" s="770"/>
      <c r="QU538" s="770"/>
      <c r="QV538" s="770"/>
      <c r="QW538" s="770"/>
      <c r="QX538" s="770"/>
      <c r="QY538" s="770"/>
      <c r="QZ538" s="770"/>
      <c r="RA538" s="770"/>
      <c r="RB538" s="770" t="s">
        <v>1207</v>
      </c>
      <c r="RC538" s="770">
        <v>2014</v>
      </c>
      <c r="RD538" s="770" t="s">
        <v>13036</v>
      </c>
      <c r="RE538" s="770" t="s">
        <v>12999</v>
      </c>
      <c r="RF538" s="304">
        <v>2</v>
      </c>
      <c r="RG538" s="770" t="s">
        <v>13047</v>
      </c>
      <c r="RH538" s="302" t="s">
        <v>13712</v>
      </c>
      <c r="RI538" s="770">
        <v>48</v>
      </c>
      <c r="RJ538" s="770" t="s">
        <v>13713</v>
      </c>
      <c r="RK538" s="770" t="s">
        <v>13544</v>
      </c>
      <c r="RL538" s="1710"/>
      <c r="RM538" s="12"/>
      <c r="RN538" s="1711"/>
      <c r="RO538" s="132" t="s">
        <v>3793</v>
      </c>
      <c r="RP538" s="11"/>
      <c r="RQ538" s="11"/>
      <c r="RR538" s="17"/>
      <c r="RS538" s="767"/>
      <c r="RT538" s="11"/>
      <c r="RU538" s="11"/>
      <c r="RV538" s="771" t="s">
        <v>7421</v>
      </c>
      <c r="RW538" s="11" t="s">
        <v>7793</v>
      </c>
      <c r="RX538" s="11" t="s">
        <v>3775</v>
      </c>
      <c r="RY538" s="11"/>
      <c r="RZ538" s="11" t="s">
        <v>1101</v>
      </c>
      <c r="SA538" s="771"/>
      <c r="SB538" s="11"/>
      <c r="SC538" s="11"/>
    </row>
    <row r="539" spans="1:497" ht="12.75" hidden="1" customHeight="1">
      <c r="A539" s="343" t="s">
        <v>7419</v>
      </c>
      <c r="B539" s="752" t="s">
        <v>7396</v>
      </c>
      <c r="C539" s="132" t="s">
        <v>3800</v>
      </c>
      <c r="D539" s="94" t="s">
        <v>3802</v>
      </c>
      <c r="E539" s="766" t="s">
        <v>3786</v>
      </c>
      <c r="F539" s="770" t="s">
        <v>28</v>
      </c>
      <c r="G539" s="770" t="s">
        <v>18</v>
      </c>
      <c r="H539" s="770"/>
      <c r="I539" s="295" t="s">
        <v>3804</v>
      </c>
      <c r="J539" s="94" t="s">
        <v>3802</v>
      </c>
      <c r="K539" s="766" t="s">
        <v>3803</v>
      </c>
      <c r="L539" s="766" t="s">
        <v>2704</v>
      </c>
      <c r="M539" s="770" t="s">
        <v>1238</v>
      </c>
      <c r="N539" s="770"/>
      <c r="O539" s="770" t="s">
        <v>3760</v>
      </c>
      <c r="P539" s="94" t="s">
        <v>3805</v>
      </c>
      <c r="Q539" s="1088">
        <v>21418</v>
      </c>
      <c r="R539" s="297">
        <v>58</v>
      </c>
      <c r="S539" s="770" t="s">
        <v>18</v>
      </c>
      <c r="T539" s="770"/>
      <c r="U539" s="295" t="s">
        <v>3804</v>
      </c>
      <c r="V539" s="770" t="s">
        <v>2970</v>
      </c>
      <c r="W539" s="770"/>
      <c r="X539" s="770"/>
      <c r="Y539" s="770" t="s">
        <v>3786</v>
      </c>
      <c r="Z539" s="770" t="s">
        <v>708</v>
      </c>
      <c r="AA539" s="770" t="s">
        <v>709</v>
      </c>
      <c r="AB539" s="12" t="s">
        <v>710</v>
      </c>
      <c r="AC539" s="770" t="s">
        <v>724</v>
      </c>
      <c r="AD539" s="770" t="s">
        <v>711</v>
      </c>
      <c r="AE539" s="770"/>
      <c r="AF539" s="770" t="s">
        <v>712</v>
      </c>
      <c r="AG539" s="766" t="s">
        <v>1095</v>
      </c>
      <c r="AH539" s="766" t="s">
        <v>1096</v>
      </c>
      <c r="AI539" s="770" t="s">
        <v>3294</v>
      </c>
      <c r="AJ539" s="770"/>
      <c r="AK539" s="770" t="s">
        <v>1097</v>
      </c>
      <c r="AL539" s="531">
        <v>23.8</v>
      </c>
      <c r="AM539" s="780">
        <v>8.6</v>
      </c>
      <c r="AN539" s="532">
        <f t="shared" si="154"/>
        <v>0.36134453781512604</v>
      </c>
      <c r="AO539" s="766" t="s">
        <v>1149</v>
      </c>
      <c r="AP539" s="766" t="s">
        <v>5364</v>
      </c>
      <c r="AQ539" s="766" t="s">
        <v>7418</v>
      </c>
      <c r="AR539" s="766"/>
      <c r="AS539" s="769"/>
      <c r="AT539" s="770"/>
      <c r="AU539" s="770"/>
      <c r="AV539" s="770"/>
      <c r="AW539" s="770"/>
      <c r="AX539" s="770"/>
      <c r="AY539" s="770"/>
      <c r="AZ539" s="770"/>
      <c r="BA539" s="770"/>
      <c r="BB539" s="770"/>
      <c r="BC539" s="770"/>
      <c r="BD539" s="770"/>
      <c r="BE539" s="770"/>
      <c r="BF539" s="302"/>
      <c r="BG539" s="302"/>
      <c r="BH539" s="770"/>
      <c r="BI539" s="770"/>
      <c r="BJ539" s="770"/>
      <c r="BK539" s="770" t="s">
        <v>1095</v>
      </c>
      <c r="BL539" s="770" t="s">
        <v>3806</v>
      </c>
      <c r="BM539" s="766" t="s">
        <v>1096</v>
      </c>
      <c r="BN539" s="770" t="s">
        <v>1230</v>
      </c>
      <c r="BO539" s="766" t="s">
        <v>1239</v>
      </c>
      <c r="BP539" s="765">
        <v>47.6</v>
      </c>
      <c r="BQ539" s="773">
        <v>17.2</v>
      </c>
      <c r="BR539" s="774">
        <f t="shared" si="155"/>
        <v>0.36134453781512604</v>
      </c>
      <c r="BS539" s="6" t="s">
        <v>1149</v>
      </c>
      <c r="BT539" s="766" t="s">
        <v>2040</v>
      </c>
      <c r="BU539" s="770" t="s">
        <v>1249</v>
      </c>
      <c r="BV539" s="770" t="s">
        <v>1247</v>
      </c>
      <c r="BW539" s="769"/>
      <c r="BX539" s="302"/>
      <c r="BY539" s="770"/>
      <c r="BZ539" s="302"/>
      <c r="CA539" s="770"/>
      <c r="CB539" s="770"/>
      <c r="CC539" s="770"/>
      <c r="CD539" s="770"/>
      <c r="CE539" s="770"/>
      <c r="CF539" s="1783"/>
      <c r="CG539" s="1784"/>
      <c r="CH539" s="770"/>
      <c r="CI539" s="770"/>
      <c r="CJ539" s="770"/>
      <c r="CK539" s="770"/>
      <c r="CL539" s="770"/>
      <c r="CM539" s="770"/>
      <c r="CN539" s="770"/>
      <c r="CO539" s="770"/>
      <c r="CP539" s="770"/>
      <c r="CQ539" s="770"/>
      <c r="CR539" s="302"/>
      <c r="CS539" s="770"/>
      <c r="CT539" s="770"/>
      <c r="CU539" s="305"/>
      <c r="CV539" s="770"/>
      <c r="CW539" s="770"/>
      <c r="CX539" s="770"/>
      <c r="CY539" s="770"/>
      <c r="CZ539" s="770"/>
      <c r="DA539" s="306"/>
      <c r="DB539" s="770"/>
      <c r="DC539" s="770"/>
      <c r="DD539" s="770"/>
      <c r="DE539" s="300"/>
      <c r="DF539" s="770"/>
      <c r="DG539" s="770"/>
      <c r="DH539" s="770"/>
      <c r="DI539" s="770"/>
      <c r="DJ539" s="770"/>
      <c r="DK539" s="770"/>
      <c r="DL539" s="770"/>
      <c r="DM539" s="770"/>
      <c r="DN539" s="322"/>
      <c r="DO539" s="770"/>
      <c r="DP539" s="770"/>
      <c r="DQ539" s="770"/>
      <c r="DR539" s="770"/>
      <c r="DS539" s="307"/>
      <c r="DT539" s="770"/>
      <c r="DU539" s="770"/>
      <c r="DV539" s="770"/>
      <c r="DW539" s="306"/>
      <c r="DX539" s="306"/>
      <c r="DY539" s="770"/>
      <c r="DZ539" s="770"/>
      <c r="EA539" s="770"/>
      <c r="EB539" s="770"/>
      <c r="EC539" s="770"/>
      <c r="ED539" s="770"/>
      <c r="EE539" s="770"/>
      <c r="EF539" s="770"/>
      <c r="EG539" s="770"/>
      <c r="EH539" s="770"/>
      <c r="EI539" s="770"/>
      <c r="EJ539" s="770"/>
      <c r="EK539" s="770"/>
      <c r="EL539" s="770"/>
      <c r="EM539" s="770"/>
      <c r="EN539" s="770"/>
      <c r="EO539" s="770"/>
      <c r="EP539" s="94"/>
      <c r="EQ539" s="770"/>
      <c r="ER539" s="770"/>
      <c r="ES539" s="770"/>
      <c r="ET539" s="770"/>
      <c r="EU539" s="770"/>
      <c r="EV539" s="770"/>
      <c r="EW539" s="770"/>
      <c r="EX539" s="770"/>
      <c r="EY539" s="770"/>
      <c r="EZ539" s="770"/>
      <c r="FA539" s="770"/>
      <c r="FB539" s="770"/>
      <c r="FC539" s="770"/>
      <c r="FD539" s="302"/>
      <c r="FE539" s="770"/>
      <c r="FF539" s="770"/>
      <c r="FG539" s="770"/>
      <c r="FH539" s="770" t="s">
        <v>478</v>
      </c>
      <c r="FI539" s="770">
        <v>1</v>
      </c>
      <c r="FJ539" s="770"/>
      <c r="FK539" s="770"/>
      <c r="FL539" s="770"/>
      <c r="FM539" s="302"/>
      <c r="FN539" s="302"/>
      <c r="FO539" s="302"/>
      <c r="FP539" s="770" t="s">
        <v>1602</v>
      </c>
      <c r="FQ539" s="770" t="s">
        <v>1660</v>
      </c>
      <c r="FR539" s="770" t="s">
        <v>1214</v>
      </c>
      <c r="FS539" s="770"/>
      <c r="FT539" s="770"/>
      <c r="FU539" s="770"/>
      <c r="FV539" s="770"/>
      <c r="FW539" s="770"/>
      <c r="FX539" s="770"/>
      <c r="FY539" s="770"/>
      <c r="FZ539" s="770"/>
      <c r="GA539" s="770"/>
      <c r="GB539" s="770" t="s">
        <v>1734</v>
      </c>
      <c r="GC539" s="308"/>
      <c r="GD539" s="297">
        <v>2015</v>
      </c>
      <c r="GE539" s="770" t="s">
        <v>1214</v>
      </c>
      <c r="GF539" s="302"/>
      <c r="GG539" s="302"/>
      <c r="GH539" s="1774" t="s">
        <v>1791</v>
      </c>
      <c r="GI539" s="770" t="s">
        <v>1008</v>
      </c>
      <c r="GJ539" s="770"/>
      <c r="GK539" s="770"/>
      <c r="GL539" s="770"/>
      <c r="GM539" s="770"/>
      <c r="GN539" s="299"/>
      <c r="GO539" s="770"/>
      <c r="GP539" s="770"/>
      <c r="GQ539" s="770"/>
      <c r="GR539" s="770"/>
      <c r="GS539" s="770"/>
      <c r="GT539" s="770"/>
      <c r="GU539" s="770"/>
      <c r="GV539" s="770"/>
      <c r="GW539" s="770" t="s">
        <v>1207</v>
      </c>
      <c r="GX539" s="770"/>
      <c r="GY539" s="770"/>
      <c r="GZ539" s="770"/>
      <c r="HA539" s="770" t="s">
        <v>1208</v>
      </c>
      <c r="HB539" s="770"/>
      <c r="HC539" s="770"/>
      <c r="HD539" s="770" t="s">
        <v>1208</v>
      </c>
      <c r="HE539" s="770" t="s">
        <v>1208</v>
      </c>
      <c r="HF539" s="770"/>
      <c r="HG539" s="770"/>
      <c r="HH539" s="770"/>
      <c r="HI539" s="770" t="s">
        <v>1214</v>
      </c>
      <c r="HJ539" s="770"/>
      <c r="HK539" s="770"/>
      <c r="HL539" s="770" t="s">
        <v>1214</v>
      </c>
      <c r="HM539" s="770"/>
      <c r="HN539" s="770"/>
      <c r="HO539" s="770"/>
      <c r="HP539" s="770"/>
      <c r="HQ539" s="770"/>
      <c r="HR539" s="770">
        <v>1</v>
      </c>
      <c r="HS539" s="770"/>
      <c r="HT539" s="770"/>
      <c r="HU539" s="770"/>
      <c r="HV539" s="770"/>
      <c r="HW539" s="770"/>
      <c r="HX539" s="770"/>
      <c r="HY539" s="770"/>
      <c r="HZ539" s="770"/>
      <c r="IA539" s="770"/>
      <c r="IB539" s="770"/>
      <c r="IC539" s="770" t="s">
        <v>1207</v>
      </c>
      <c r="ID539" s="770">
        <v>2</v>
      </c>
      <c r="IE539" s="770">
        <v>2</v>
      </c>
      <c r="IF539" s="770"/>
      <c r="IG539" s="770"/>
      <c r="IH539" s="770"/>
      <c r="II539" s="770"/>
      <c r="IJ539" s="770"/>
      <c r="IK539" s="770"/>
      <c r="IL539" s="770"/>
      <c r="IM539" s="770"/>
      <c r="IN539" s="770"/>
      <c r="IO539" s="296"/>
      <c r="IP539" s="770"/>
      <c r="IQ539" s="770"/>
      <c r="IR539" s="770"/>
      <c r="IS539" s="770"/>
      <c r="IT539" s="770"/>
      <c r="IU539" s="770"/>
      <c r="IV539" s="770"/>
      <c r="IW539" s="770"/>
      <c r="IX539" s="770"/>
      <c r="IY539" s="770"/>
      <c r="IZ539" s="770"/>
      <c r="JA539" s="770"/>
      <c r="JB539" s="770"/>
      <c r="JC539" s="770"/>
      <c r="JD539" s="302"/>
      <c r="JE539" s="770"/>
      <c r="JF539" s="770"/>
      <c r="JG539" s="770"/>
      <c r="JH539" s="307"/>
      <c r="JI539" s="307"/>
      <c r="JJ539" s="770">
        <v>12</v>
      </c>
      <c r="JK539" s="770" t="s">
        <v>13714</v>
      </c>
      <c r="JL539" s="770">
        <v>1</v>
      </c>
      <c r="JM539" s="770"/>
      <c r="JN539" s="770">
        <v>5</v>
      </c>
      <c r="JO539" s="770">
        <v>4</v>
      </c>
      <c r="JP539" s="770">
        <v>1</v>
      </c>
      <c r="JQ539" s="770">
        <v>1</v>
      </c>
      <c r="JR539" s="770"/>
      <c r="JS539" s="770"/>
      <c r="JT539" s="766">
        <f t="shared" si="156"/>
        <v>7</v>
      </c>
      <c r="JU539" s="766">
        <f t="shared" si="156"/>
        <v>5</v>
      </c>
      <c r="JV539" s="766"/>
      <c r="JW539" s="766"/>
      <c r="JX539" s="770"/>
      <c r="JY539" s="770"/>
      <c r="JZ539" s="770">
        <v>1</v>
      </c>
      <c r="KA539" s="770"/>
      <c r="KB539" s="770">
        <v>1</v>
      </c>
      <c r="KC539" s="770"/>
      <c r="KD539" s="770">
        <v>4</v>
      </c>
      <c r="KE539" s="770">
        <v>4</v>
      </c>
      <c r="KF539" s="770">
        <v>1</v>
      </c>
      <c r="KG539" s="770">
        <v>1</v>
      </c>
      <c r="KH539" s="770"/>
      <c r="KI539" s="770"/>
      <c r="KJ539" s="770">
        <f t="shared" si="153"/>
        <v>7</v>
      </c>
      <c r="KK539" s="770">
        <f t="shared" si="153"/>
        <v>5</v>
      </c>
      <c r="KL539" s="770"/>
      <c r="KM539" s="770"/>
      <c r="KN539" s="770" t="s">
        <v>783</v>
      </c>
      <c r="KO539" s="770"/>
      <c r="KP539" s="770"/>
      <c r="KQ539" s="770"/>
      <c r="KR539" s="770"/>
      <c r="KS539" s="770"/>
      <c r="KT539" s="770">
        <v>1</v>
      </c>
      <c r="KU539" s="770">
        <v>1</v>
      </c>
      <c r="KV539" s="770">
        <v>4</v>
      </c>
      <c r="KW539" s="770"/>
      <c r="KX539" s="770"/>
      <c r="KY539" s="770"/>
      <c r="KZ539" s="770"/>
      <c r="LA539" s="770">
        <v>3</v>
      </c>
      <c r="LB539" s="770">
        <v>1</v>
      </c>
      <c r="LC539" s="770"/>
      <c r="LD539" s="770"/>
      <c r="LE539" s="770"/>
      <c r="LF539" s="770"/>
      <c r="LG539" s="770"/>
      <c r="LH539" s="770"/>
      <c r="LI539" s="770">
        <v>1</v>
      </c>
      <c r="LJ539" s="770"/>
      <c r="LK539" s="770"/>
      <c r="LL539" s="770"/>
      <c r="LM539" s="770"/>
      <c r="LN539" s="766">
        <f t="shared" si="134"/>
        <v>6</v>
      </c>
      <c r="LO539" s="766">
        <f t="shared" si="134"/>
        <v>5</v>
      </c>
      <c r="LP539" s="770">
        <v>3</v>
      </c>
      <c r="LQ539" s="770">
        <v>2</v>
      </c>
      <c r="LR539" s="770"/>
      <c r="LS539" s="770">
        <v>1</v>
      </c>
      <c r="LT539" s="770"/>
      <c r="LU539" s="770">
        <v>1</v>
      </c>
      <c r="LV539" s="770"/>
      <c r="LW539" s="770">
        <v>1</v>
      </c>
      <c r="LX539" s="769">
        <v>1</v>
      </c>
      <c r="LY539" s="766" t="str">
        <f t="shared" si="135"/>
        <v>within the BRGY</v>
      </c>
      <c r="LZ539" s="1709">
        <v>480</v>
      </c>
      <c r="MA539" s="1709"/>
      <c r="MB539" s="1709"/>
      <c r="MC539" s="1679">
        <f t="shared" si="133"/>
        <v>480</v>
      </c>
      <c r="MD539" s="1709">
        <f>SUM(14400,13830)</f>
        <v>28230</v>
      </c>
      <c r="ME539" s="1709"/>
      <c r="MF539" s="1709">
        <v>6000</v>
      </c>
      <c r="MG539" s="1680">
        <f t="shared" si="149"/>
        <v>34230</v>
      </c>
      <c r="MH539" s="770" t="s">
        <v>2968</v>
      </c>
      <c r="MI539" s="1785">
        <v>6000</v>
      </c>
      <c r="MJ539" s="1785">
        <v>810</v>
      </c>
      <c r="MK539" s="1785">
        <v>500</v>
      </c>
      <c r="ML539" s="1785">
        <v>4680</v>
      </c>
      <c r="MM539" s="1785">
        <v>3333</v>
      </c>
      <c r="MN539" s="1785"/>
      <c r="MO539" s="1785">
        <v>100</v>
      </c>
      <c r="MP539" s="1785">
        <v>500</v>
      </c>
      <c r="MQ539" s="1785"/>
      <c r="MR539" s="1785">
        <v>930</v>
      </c>
      <c r="MS539" s="1785"/>
      <c r="MT539" s="1785"/>
      <c r="MU539" s="1785"/>
      <c r="MV539" s="1785"/>
      <c r="MW539" s="1785"/>
      <c r="MX539" s="1785"/>
      <c r="MY539" s="1682">
        <f t="shared" si="147"/>
        <v>16853</v>
      </c>
      <c r="MZ539" s="770" t="s">
        <v>13395</v>
      </c>
      <c r="NA539" s="770" t="s">
        <v>1249</v>
      </c>
      <c r="NB539" s="770" t="s">
        <v>13016</v>
      </c>
      <c r="NC539" s="770" t="s">
        <v>13602</v>
      </c>
      <c r="ND539" s="770">
        <v>0</v>
      </c>
      <c r="NE539" s="770">
        <v>0</v>
      </c>
      <c r="NF539" s="770">
        <v>0</v>
      </c>
      <c r="NG539" s="770">
        <v>4</v>
      </c>
      <c r="NH539" s="770">
        <v>2</v>
      </c>
      <c r="NI539" s="770">
        <v>1</v>
      </c>
      <c r="NJ539" s="770">
        <v>1</v>
      </c>
      <c r="NK539" s="770">
        <v>0</v>
      </c>
      <c r="NL539" s="770">
        <v>0</v>
      </c>
      <c r="NM539" s="770">
        <v>0</v>
      </c>
      <c r="NN539" s="770">
        <v>0</v>
      </c>
      <c r="NO539" s="770">
        <v>0</v>
      </c>
      <c r="NP539" s="770">
        <v>0</v>
      </c>
      <c r="NQ539" s="770">
        <v>0</v>
      </c>
      <c r="NR539" s="770">
        <v>0</v>
      </c>
      <c r="NS539" s="770">
        <v>0</v>
      </c>
      <c r="NT539" s="770">
        <v>0</v>
      </c>
      <c r="NU539" s="770">
        <v>0</v>
      </c>
      <c r="NV539" s="770">
        <v>0</v>
      </c>
      <c r="NW539" s="770">
        <v>0</v>
      </c>
      <c r="NX539" s="770">
        <v>0</v>
      </c>
      <c r="NY539" s="770" t="s">
        <v>1208</v>
      </c>
      <c r="NZ539" s="770" t="s">
        <v>1208</v>
      </c>
      <c r="OA539" s="770" t="s">
        <v>1208</v>
      </c>
      <c r="OB539" s="770"/>
      <c r="OC539" s="770" t="s">
        <v>1208</v>
      </c>
      <c r="OD539" s="770"/>
      <c r="OE539" s="770"/>
      <c r="OF539" s="770" t="s">
        <v>2143</v>
      </c>
      <c r="OG539" s="770"/>
      <c r="OH539" s="770"/>
      <c r="OI539" s="770"/>
      <c r="OJ539" s="770"/>
      <c r="OK539" s="770"/>
      <c r="OL539" s="770"/>
      <c r="OM539" s="770"/>
      <c r="ON539" s="770"/>
      <c r="OO539" s="770"/>
      <c r="OP539" s="770"/>
      <c r="OQ539" s="770"/>
      <c r="OR539" s="770"/>
      <c r="OS539" s="770"/>
      <c r="OT539" s="770"/>
      <c r="OU539" s="770"/>
      <c r="OV539" s="770"/>
      <c r="OW539" s="770"/>
      <c r="OX539" s="770"/>
      <c r="OY539" s="770"/>
      <c r="OZ539" s="770"/>
      <c r="PA539" s="770"/>
      <c r="PB539" s="770"/>
      <c r="PC539" s="770"/>
      <c r="PD539" s="770"/>
      <c r="PE539" s="770"/>
      <c r="PF539" s="770"/>
      <c r="PG539" s="770"/>
      <c r="PH539" s="770"/>
      <c r="PI539" s="770"/>
      <c r="PJ539" s="770" t="s">
        <v>1208</v>
      </c>
      <c r="PK539" s="770"/>
      <c r="PL539" s="770"/>
      <c r="PM539" s="770"/>
      <c r="PN539" s="770"/>
      <c r="PO539" s="770"/>
      <c r="PP539" s="770"/>
      <c r="PQ539" s="770"/>
      <c r="PR539" s="770"/>
      <c r="PS539" s="770"/>
      <c r="PT539" s="770"/>
      <c r="PU539" s="770"/>
      <c r="PV539" s="770"/>
      <c r="PW539" s="770"/>
      <c r="PX539" s="770"/>
      <c r="PY539" s="770"/>
      <c r="PZ539" s="770"/>
      <c r="QA539" s="770"/>
      <c r="QB539" s="770"/>
      <c r="QC539" s="770"/>
      <c r="QD539" s="770"/>
      <c r="QE539" s="770"/>
      <c r="QF539" s="770"/>
      <c r="QG539" s="770"/>
      <c r="QH539" s="770"/>
      <c r="QI539" s="770"/>
      <c r="QJ539" s="770"/>
      <c r="QK539" s="770"/>
      <c r="QL539" s="770"/>
      <c r="QM539" s="770"/>
      <c r="QN539" s="770"/>
      <c r="QO539" s="770"/>
      <c r="QP539" s="770"/>
      <c r="QQ539" s="770"/>
      <c r="QR539" s="770"/>
      <c r="QS539" s="770"/>
      <c r="QT539" s="770"/>
      <c r="QU539" s="770"/>
      <c r="QV539" s="770"/>
      <c r="QW539" s="770"/>
      <c r="QX539" s="770"/>
      <c r="QY539" s="770"/>
      <c r="QZ539" s="770"/>
      <c r="RA539" s="770"/>
      <c r="RB539" s="770" t="s">
        <v>1214</v>
      </c>
      <c r="RC539" s="770"/>
      <c r="RD539" s="770"/>
      <c r="RE539" s="770"/>
      <c r="RF539" s="304"/>
      <c r="RG539" s="770"/>
      <c r="RH539" s="302"/>
      <c r="RI539" s="770"/>
      <c r="RJ539" s="770" t="s">
        <v>3801</v>
      </c>
      <c r="RK539" s="770" t="s">
        <v>13550</v>
      </c>
      <c r="RL539" s="1710"/>
      <c r="RM539" s="12"/>
      <c r="RN539" s="1711"/>
      <c r="RO539" s="132" t="s">
        <v>3800</v>
      </c>
      <c r="RP539" s="11"/>
      <c r="RQ539" s="11"/>
      <c r="RR539" s="17"/>
      <c r="RS539" s="767"/>
      <c r="RT539" s="11"/>
      <c r="RU539" s="11"/>
      <c r="RV539" s="771" t="s">
        <v>7419</v>
      </c>
      <c r="RW539" s="11" t="s">
        <v>7805</v>
      </c>
      <c r="RX539" s="11" t="s">
        <v>3784</v>
      </c>
      <c r="RY539" s="11"/>
      <c r="RZ539" s="11" t="s">
        <v>1101</v>
      </c>
      <c r="SA539" s="771"/>
      <c r="SB539" s="11"/>
      <c r="SC539" s="11"/>
    </row>
    <row r="540" spans="1:497" ht="12.75" hidden="1" customHeight="1">
      <c r="A540" s="343" t="s">
        <v>7419</v>
      </c>
      <c r="B540" s="752" t="s">
        <v>7710</v>
      </c>
      <c r="C540" s="132" t="s">
        <v>3807</v>
      </c>
      <c r="D540" s="94" t="s">
        <v>3808</v>
      </c>
      <c r="E540" s="766" t="s">
        <v>3786</v>
      </c>
      <c r="F540" s="770" t="s">
        <v>28</v>
      </c>
      <c r="G540" s="770" t="s">
        <v>18</v>
      </c>
      <c r="H540" s="770"/>
      <c r="I540" s="295" t="s">
        <v>3809</v>
      </c>
      <c r="J540" s="94" t="s">
        <v>3808</v>
      </c>
      <c r="K540" s="766" t="s">
        <v>3810</v>
      </c>
      <c r="L540" s="766" t="s">
        <v>3254</v>
      </c>
      <c r="M540" s="770" t="s">
        <v>1238</v>
      </c>
      <c r="N540" s="770"/>
      <c r="O540" s="770" t="s">
        <v>3760</v>
      </c>
      <c r="P540" s="94" t="s">
        <v>3811</v>
      </c>
      <c r="Q540" s="1088">
        <v>24112</v>
      </c>
      <c r="R540" s="297">
        <v>51</v>
      </c>
      <c r="S540" s="770" t="s">
        <v>18</v>
      </c>
      <c r="T540" s="770"/>
      <c r="U540" s="295" t="s">
        <v>3809</v>
      </c>
      <c r="V540" s="770" t="s">
        <v>707</v>
      </c>
      <c r="W540" s="770"/>
      <c r="X540" s="770"/>
      <c r="Y540" s="770" t="s">
        <v>3786</v>
      </c>
      <c r="Z540" s="770" t="s">
        <v>708</v>
      </c>
      <c r="AA540" s="770" t="s">
        <v>759</v>
      </c>
      <c r="AB540" s="12" t="s">
        <v>710</v>
      </c>
      <c r="AC540" s="770"/>
      <c r="AD540" s="770" t="s">
        <v>716</v>
      </c>
      <c r="AE540" s="770"/>
      <c r="AF540" s="770" t="s">
        <v>712</v>
      </c>
      <c r="AG540" s="766" t="s">
        <v>1165</v>
      </c>
      <c r="AH540" s="766" t="s">
        <v>1096</v>
      </c>
      <c r="AI540" s="770" t="s">
        <v>3294</v>
      </c>
      <c r="AJ540" s="770"/>
      <c r="AK540" s="770" t="s">
        <v>1097</v>
      </c>
      <c r="AL540" s="531">
        <v>37.200000000000003</v>
      </c>
      <c r="AM540" s="780">
        <v>15.84</v>
      </c>
      <c r="AN540" s="532">
        <f t="shared" si="154"/>
        <v>0.4258064516129032</v>
      </c>
      <c r="AO540" s="766" t="s">
        <v>1149</v>
      </c>
      <c r="AP540" s="766" t="s">
        <v>5364</v>
      </c>
      <c r="AQ540" s="766" t="s">
        <v>7418</v>
      </c>
      <c r="AR540" s="766"/>
      <c r="AS540" s="769"/>
      <c r="AT540" s="770"/>
      <c r="AU540" s="770"/>
      <c r="AV540" s="770"/>
      <c r="AW540" s="770"/>
      <c r="AX540" s="770"/>
      <c r="AY540" s="770"/>
      <c r="AZ540" s="770"/>
      <c r="BA540" s="770"/>
      <c r="BB540" s="770"/>
      <c r="BC540" s="770"/>
      <c r="BD540" s="770"/>
      <c r="BE540" s="770"/>
      <c r="BF540" s="302"/>
      <c r="BG540" s="302"/>
      <c r="BH540" s="770"/>
      <c r="BI540" s="770"/>
      <c r="BJ540" s="770"/>
      <c r="BK540" s="770" t="s">
        <v>1095</v>
      </c>
      <c r="BL540" s="770" t="s">
        <v>3812</v>
      </c>
      <c r="BM540" s="766" t="s">
        <v>1096</v>
      </c>
      <c r="BN540" s="770" t="s">
        <v>1230</v>
      </c>
      <c r="BO540" s="766" t="s">
        <v>1239</v>
      </c>
      <c r="BP540" s="765">
        <v>74.400000000000006</v>
      </c>
      <c r="BQ540" s="773">
        <v>31.68</v>
      </c>
      <c r="BR540" s="774">
        <f t="shared" si="155"/>
        <v>0.4258064516129032</v>
      </c>
      <c r="BS540" s="6" t="s">
        <v>1149</v>
      </c>
      <c r="BT540" s="766" t="s">
        <v>2040</v>
      </c>
      <c r="BU540" s="770" t="s">
        <v>1249</v>
      </c>
      <c r="BV540" s="770" t="s">
        <v>1247</v>
      </c>
      <c r="BW540" s="770">
        <v>2015</v>
      </c>
      <c r="BX540" s="302">
        <v>500000</v>
      </c>
      <c r="BY540" s="770"/>
      <c r="BZ540" s="302"/>
      <c r="CA540" s="770"/>
      <c r="CB540" s="770"/>
      <c r="CC540" s="770"/>
      <c r="CD540" s="770"/>
      <c r="CE540" s="770"/>
      <c r="CF540" s="1783"/>
      <c r="CG540" s="1784"/>
      <c r="CH540" s="770"/>
      <c r="CI540" s="770"/>
      <c r="CJ540" s="770"/>
      <c r="CK540" s="770"/>
      <c r="CL540" s="770"/>
      <c r="CM540" s="770"/>
      <c r="CN540" s="770"/>
      <c r="CO540" s="770"/>
      <c r="CP540" s="770"/>
      <c r="CQ540" s="770"/>
      <c r="CR540" s="302"/>
      <c r="CS540" s="770"/>
      <c r="CT540" s="770"/>
      <c r="CU540" s="305"/>
      <c r="CV540" s="770"/>
      <c r="CW540" s="770"/>
      <c r="CX540" s="770"/>
      <c r="CY540" s="770"/>
      <c r="CZ540" s="770"/>
      <c r="DA540" s="306"/>
      <c r="DB540" s="770"/>
      <c r="DC540" s="770"/>
      <c r="DD540" s="770"/>
      <c r="DE540" s="300"/>
      <c r="DF540" s="770"/>
      <c r="DG540" s="770"/>
      <c r="DH540" s="770"/>
      <c r="DI540" s="770"/>
      <c r="DJ540" s="770"/>
      <c r="DK540" s="770"/>
      <c r="DL540" s="770"/>
      <c r="DM540" s="770"/>
      <c r="DN540" s="322"/>
      <c r="DO540" s="770"/>
      <c r="DP540" s="770"/>
      <c r="DQ540" s="770"/>
      <c r="DR540" s="770"/>
      <c r="DS540" s="307"/>
      <c r="DT540" s="770"/>
      <c r="DU540" s="770"/>
      <c r="DV540" s="770"/>
      <c r="DW540" s="306"/>
      <c r="DX540" s="306"/>
      <c r="DY540" s="770"/>
      <c r="DZ540" s="770"/>
      <c r="EA540" s="770"/>
      <c r="EB540" s="770"/>
      <c r="EC540" s="770"/>
      <c r="ED540" s="770"/>
      <c r="EE540" s="770"/>
      <c r="EF540" s="770"/>
      <c r="EG540" s="770"/>
      <c r="EH540" s="770"/>
      <c r="EI540" s="770"/>
      <c r="EJ540" s="770"/>
      <c r="EK540" s="770"/>
      <c r="EL540" s="770"/>
      <c r="EM540" s="770"/>
      <c r="EN540" s="770"/>
      <c r="EO540" s="770"/>
      <c r="EP540" s="94"/>
      <c r="EQ540" s="770"/>
      <c r="ER540" s="770"/>
      <c r="ES540" s="770"/>
      <c r="ET540" s="770"/>
      <c r="EU540" s="770"/>
      <c r="EV540" s="770"/>
      <c r="EW540" s="770"/>
      <c r="EX540" s="770"/>
      <c r="EY540" s="770"/>
      <c r="EZ540" s="770"/>
      <c r="FA540" s="770"/>
      <c r="FB540" s="770"/>
      <c r="FC540" s="770"/>
      <c r="FD540" s="302"/>
      <c r="FE540" s="770"/>
      <c r="FF540" s="770"/>
      <c r="FG540" s="770"/>
      <c r="FH540" s="770" t="s">
        <v>478</v>
      </c>
      <c r="FI540" s="770">
        <v>1</v>
      </c>
      <c r="FJ540" s="770"/>
      <c r="FK540" s="770"/>
      <c r="FL540" s="770"/>
      <c r="FM540" s="302"/>
      <c r="FN540" s="302"/>
      <c r="FO540" s="302"/>
      <c r="FP540" s="766" t="s">
        <v>1602</v>
      </c>
      <c r="FQ540" s="766" t="s">
        <v>1660</v>
      </c>
      <c r="FR540" s="770" t="s">
        <v>1214</v>
      </c>
      <c r="FS540" s="770"/>
      <c r="FT540" s="770"/>
      <c r="FU540" s="770"/>
      <c r="FV540" s="770"/>
      <c r="FW540" s="770"/>
      <c r="FX540" s="770"/>
      <c r="FY540" s="770"/>
      <c r="FZ540" s="770"/>
      <c r="GA540" s="770"/>
      <c r="GB540" s="770" t="s">
        <v>1734</v>
      </c>
      <c r="GC540" s="308"/>
      <c r="GD540" s="297">
        <v>2000</v>
      </c>
      <c r="GE540" s="770" t="s">
        <v>1214</v>
      </c>
      <c r="GF540" s="302"/>
      <c r="GG540" s="302"/>
      <c r="GH540" s="766" t="s">
        <v>14260</v>
      </c>
      <c r="GI540" s="770"/>
      <c r="GJ540" s="770"/>
      <c r="GK540" s="770"/>
      <c r="GL540" s="770"/>
      <c r="GM540" s="770"/>
      <c r="GN540" s="299"/>
      <c r="GO540" s="770"/>
      <c r="GP540" s="770"/>
      <c r="GQ540" s="770"/>
      <c r="GR540" s="770"/>
      <c r="GS540" s="770"/>
      <c r="GT540" s="770"/>
      <c r="GU540" s="770"/>
      <c r="GV540" s="770"/>
      <c r="GW540" s="770"/>
      <c r="GX540" s="770"/>
      <c r="GY540" s="770"/>
      <c r="GZ540" s="770"/>
      <c r="HA540" s="770"/>
      <c r="HB540" s="770"/>
      <c r="HC540" s="770"/>
      <c r="HD540" s="770"/>
      <c r="HE540" s="770"/>
      <c r="HF540" s="770"/>
      <c r="HG540" s="770"/>
      <c r="HH540" s="770"/>
      <c r="HI540" s="770" t="s">
        <v>1214</v>
      </c>
      <c r="HJ540" s="770"/>
      <c r="HK540" s="770"/>
      <c r="HL540" s="770" t="s">
        <v>1214</v>
      </c>
      <c r="HM540" s="770"/>
      <c r="HN540" s="770"/>
      <c r="HO540" s="770"/>
      <c r="HP540" s="770"/>
      <c r="HQ540" s="770"/>
      <c r="HR540" s="770">
        <v>1</v>
      </c>
      <c r="HS540" s="770"/>
      <c r="HT540" s="770"/>
      <c r="HU540" s="770"/>
      <c r="HV540" s="770"/>
      <c r="HW540" s="770"/>
      <c r="HX540" s="770"/>
      <c r="HY540" s="770"/>
      <c r="HZ540" s="770"/>
      <c r="IA540" s="770"/>
      <c r="IB540" s="14" t="e">
        <f>IF(#REF!&gt;0,IF(#REF!&lt;=10000,"Y",""),"")</f>
        <v>#REF!</v>
      </c>
      <c r="IC540" s="770" t="s">
        <v>1207</v>
      </c>
      <c r="ID540" s="770"/>
      <c r="IE540" s="770"/>
      <c r="IF540" s="770"/>
      <c r="IG540" s="770"/>
      <c r="IH540" s="770"/>
      <c r="II540" s="770"/>
      <c r="IJ540" s="770"/>
      <c r="IK540" s="770"/>
      <c r="IL540" s="770"/>
      <c r="IM540" s="770"/>
      <c r="IN540" s="770"/>
      <c r="IO540" s="296"/>
      <c r="IP540" s="770"/>
      <c r="IQ540" s="770"/>
      <c r="IR540" s="770"/>
      <c r="IS540" s="770"/>
      <c r="IT540" s="770"/>
      <c r="IU540" s="770"/>
      <c r="IV540" s="770"/>
      <c r="IW540" s="770"/>
      <c r="IX540" s="770"/>
      <c r="IY540" s="770"/>
      <c r="IZ540" s="770"/>
      <c r="JA540" s="770"/>
      <c r="JB540" s="770"/>
      <c r="JC540" s="770"/>
      <c r="JD540" s="302"/>
      <c r="JE540" s="770"/>
      <c r="JF540" s="770"/>
      <c r="JG540" s="770"/>
      <c r="JH540" s="307"/>
      <c r="JI540" s="307"/>
      <c r="JJ540" s="770">
        <v>5</v>
      </c>
      <c r="JK540" s="1139" t="s">
        <v>3813</v>
      </c>
      <c r="JL540" s="770"/>
      <c r="JM540" s="770">
        <v>1</v>
      </c>
      <c r="JN540" s="770">
        <v>2</v>
      </c>
      <c r="JO540" s="770">
        <v>2</v>
      </c>
      <c r="JP540" s="770"/>
      <c r="JQ540" s="770"/>
      <c r="JR540" s="770"/>
      <c r="JS540" s="770"/>
      <c r="JT540" s="766">
        <f t="shared" si="156"/>
        <v>2</v>
      </c>
      <c r="JU540" s="766">
        <f t="shared" si="156"/>
        <v>3</v>
      </c>
      <c r="JV540" s="712" t="str">
        <f>IF(JT540=KJ540,"ok","male")</f>
        <v>ok</v>
      </c>
      <c r="JW540" s="712" t="str">
        <f>IF(JU540=KK540,"ok","female")</f>
        <v>ok</v>
      </c>
      <c r="JX540" s="770"/>
      <c r="JY540" s="770">
        <v>1</v>
      </c>
      <c r="JZ540" s="770"/>
      <c r="KA540" s="770"/>
      <c r="KB540" s="770">
        <v>2</v>
      </c>
      <c r="KC540" s="770">
        <v>1</v>
      </c>
      <c r="KD540" s="770"/>
      <c r="KE540" s="770">
        <v>1</v>
      </c>
      <c r="KF540" s="770"/>
      <c r="KG540" s="770"/>
      <c r="KH540" s="770"/>
      <c r="KI540" s="770"/>
      <c r="KJ540" s="770">
        <f t="shared" si="153"/>
        <v>2</v>
      </c>
      <c r="KK540" s="770">
        <f t="shared" si="153"/>
        <v>3</v>
      </c>
      <c r="KL540" s="712" t="str">
        <f>IF(KJ540=LN540,"ok","male")</f>
        <v>ok</v>
      </c>
      <c r="KM540" s="712" t="str">
        <f>IF(KK540=LO540,"ok","female")</f>
        <v>ok</v>
      </c>
      <c r="KN540" s="770" t="s">
        <v>707</v>
      </c>
      <c r="KO540" s="770"/>
      <c r="KP540" s="770"/>
      <c r="KQ540" s="770"/>
      <c r="KR540" s="770"/>
      <c r="KS540" s="770">
        <v>1</v>
      </c>
      <c r="KT540" s="770"/>
      <c r="KU540" s="770"/>
      <c r="KV540" s="770"/>
      <c r="KW540" s="770"/>
      <c r="KX540" s="770"/>
      <c r="KY540" s="770">
        <v>1</v>
      </c>
      <c r="KZ540" s="770">
        <v>1</v>
      </c>
      <c r="LA540" s="770"/>
      <c r="LB540" s="770">
        <v>1</v>
      </c>
      <c r="LC540" s="770">
        <v>1</v>
      </c>
      <c r="LD540" s="770"/>
      <c r="LE540" s="770"/>
      <c r="LF540" s="770"/>
      <c r="LG540" s="770"/>
      <c r="LH540" s="770"/>
      <c r="LI540" s="770"/>
      <c r="LJ540" s="770"/>
      <c r="LK540" s="770"/>
      <c r="LL540" s="770"/>
      <c r="LM540" s="770"/>
      <c r="LN540" s="766">
        <f t="shared" si="134"/>
        <v>2</v>
      </c>
      <c r="LO540" s="766">
        <f t="shared" si="134"/>
        <v>3</v>
      </c>
      <c r="LP540" s="770">
        <v>2</v>
      </c>
      <c r="LQ540" s="770">
        <v>1</v>
      </c>
      <c r="LR540" s="770"/>
      <c r="LS540" s="770">
        <v>1</v>
      </c>
      <c r="LT540" s="712" t="str">
        <f>IF(LQ540=SUM(LU540:LW540),"OK","REV")</f>
        <v>OK</v>
      </c>
      <c r="LU540" s="770">
        <v>1</v>
      </c>
      <c r="LV540" s="770"/>
      <c r="LW540" s="770"/>
      <c r="LX540" s="769">
        <v>2</v>
      </c>
      <c r="LY540" s="766" t="str">
        <f t="shared" si="135"/>
        <v>within the MUNICIPALITY</v>
      </c>
      <c r="LZ540" s="1728">
        <f>30*30</f>
        <v>900</v>
      </c>
      <c r="MA540" s="12"/>
      <c r="MB540" s="12"/>
      <c r="MC540" s="1679">
        <f t="shared" si="133"/>
        <v>900</v>
      </c>
      <c r="MD540" s="1709">
        <v>12000</v>
      </c>
      <c r="ME540" s="1709"/>
      <c r="MF540" s="1709">
        <v>15000</v>
      </c>
      <c r="MG540" s="1680">
        <f>SUM(MD540:MF540)</f>
        <v>27000</v>
      </c>
      <c r="MH540" s="770" t="s">
        <v>2968</v>
      </c>
      <c r="MI540" s="775">
        <v>9000</v>
      </c>
      <c r="MJ540" s="775">
        <v>6000</v>
      </c>
      <c r="MK540" s="775">
        <v>66</v>
      </c>
      <c r="ML540" s="775">
        <v>106</v>
      </c>
      <c r="MM540" s="775">
        <v>335</v>
      </c>
      <c r="MN540" s="775"/>
      <c r="MO540" s="775">
        <v>500</v>
      </c>
      <c r="MP540" s="775">
        <v>3500</v>
      </c>
      <c r="MQ540" s="775">
        <v>450</v>
      </c>
      <c r="MR540" s="775">
        <v>320</v>
      </c>
      <c r="MS540" s="775">
        <v>333</v>
      </c>
      <c r="MT540" s="775"/>
      <c r="MU540" s="775"/>
      <c r="MV540" s="775"/>
      <c r="MW540" s="775"/>
      <c r="MX540" s="775"/>
      <c r="MY540" s="1682">
        <f t="shared" si="147"/>
        <v>20610</v>
      </c>
      <c r="MZ540" s="770" t="s">
        <v>13395</v>
      </c>
      <c r="NA540" s="770" t="s">
        <v>13005</v>
      </c>
      <c r="NB540" s="770" t="s">
        <v>13016</v>
      </c>
      <c r="NC540" s="770" t="s">
        <v>13602</v>
      </c>
      <c r="ND540" s="770">
        <v>0</v>
      </c>
      <c r="NE540" s="770">
        <v>1</v>
      </c>
      <c r="NF540" s="770">
        <v>1</v>
      </c>
      <c r="NG540" s="770">
        <v>1</v>
      </c>
      <c r="NH540" s="770">
        <v>1</v>
      </c>
      <c r="NI540" s="770">
        <v>1</v>
      </c>
      <c r="NJ540" s="770">
        <v>1</v>
      </c>
      <c r="NK540" s="770">
        <v>0</v>
      </c>
      <c r="NL540" s="770">
        <v>1</v>
      </c>
      <c r="NM540" s="770">
        <v>0</v>
      </c>
      <c r="NN540" s="770">
        <v>0</v>
      </c>
      <c r="NO540" s="770">
        <v>0</v>
      </c>
      <c r="NP540" s="770">
        <v>0</v>
      </c>
      <c r="NQ540" s="770">
        <v>0</v>
      </c>
      <c r="NR540" s="770">
        <v>0</v>
      </c>
      <c r="NS540" s="770">
        <v>0</v>
      </c>
      <c r="NT540" s="770">
        <v>0</v>
      </c>
      <c r="NU540" s="770">
        <v>0</v>
      </c>
      <c r="NV540" s="770">
        <v>0</v>
      </c>
      <c r="NW540" s="770">
        <v>0</v>
      </c>
      <c r="NX540" s="770">
        <v>0</v>
      </c>
      <c r="NY540" s="770" t="s">
        <v>1208</v>
      </c>
      <c r="NZ540" s="770" t="s">
        <v>1208</v>
      </c>
      <c r="OA540" s="770" t="s">
        <v>1208</v>
      </c>
      <c r="OB540" s="770" t="s">
        <v>1208</v>
      </c>
      <c r="OC540" s="770" t="s">
        <v>1208</v>
      </c>
      <c r="OD540" s="770" t="s">
        <v>1208</v>
      </c>
      <c r="OE540" s="770"/>
      <c r="OF540" s="770"/>
      <c r="OG540" s="770"/>
      <c r="OH540" s="770"/>
      <c r="OI540" s="770"/>
      <c r="OJ540" s="770"/>
      <c r="OK540" s="770"/>
      <c r="OL540" s="770"/>
      <c r="OM540" s="770"/>
      <c r="ON540" s="770"/>
      <c r="OO540" s="770"/>
      <c r="OP540" s="770"/>
      <c r="OQ540" s="770"/>
      <c r="OR540" s="770"/>
      <c r="OS540" s="770"/>
      <c r="OT540" s="770"/>
      <c r="OU540" s="770"/>
      <c r="OV540" s="770"/>
      <c r="OW540" s="770"/>
      <c r="OX540" s="770"/>
      <c r="OY540" s="770"/>
      <c r="OZ540" s="770"/>
      <c r="PA540" s="770"/>
      <c r="PB540" s="770"/>
      <c r="PC540" s="770"/>
      <c r="PD540" s="770"/>
      <c r="PE540" s="770"/>
      <c r="PF540" s="770"/>
      <c r="PG540" s="770"/>
      <c r="PH540" s="770"/>
      <c r="PI540" s="770"/>
      <c r="PJ540" s="770"/>
      <c r="PK540" s="770" t="s">
        <v>1208</v>
      </c>
      <c r="PL540" s="770"/>
      <c r="PM540" s="770"/>
      <c r="PN540" s="770"/>
      <c r="PO540" s="770"/>
      <c r="PP540" s="770"/>
      <c r="PQ540" s="770"/>
      <c r="PR540" s="770"/>
      <c r="PS540" s="770" t="s">
        <v>1208</v>
      </c>
      <c r="PT540" s="770" t="s">
        <v>1208</v>
      </c>
      <c r="PU540" s="770"/>
      <c r="PV540" s="770"/>
      <c r="PW540" s="770"/>
      <c r="PX540" s="770"/>
      <c r="PY540" s="770"/>
      <c r="PZ540" s="770"/>
      <c r="QA540" s="770"/>
      <c r="QB540" s="770"/>
      <c r="QC540" s="770"/>
      <c r="QD540" s="770"/>
      <c r="QE540" s="770"/>
      <c r="QF540" s="770"/>
      <c r="QG540" s="770"/>
      <c r="QH540" s="770"/>
      <c r="QI540" s="770"/>
      <c r="QJ540" s="770"/>
      <c r="QK540" s="770"/>
      <c r="QL540" s="770"/>
      <c r="QM540" s="770"/>
      <c r="QN540" s="770"/>
      <c r="QO540" s="770"/>
      <c r="QP540" s="770"/>
      <c r="QQ540" s="770"/>
      <c r="QR540" s="770"/>
      <c r="QS540" s="770"/>
      <c r="QT540" s="770"/>
      <c r="QU540" s="770"/>
      <c r="QV540" s="770"/>
      <c r="QW540" s="770"/>
      <c r="QX540" s="770"/>
      <c r="QY540" s="770"/>
      <c r="QZ540" s="770"/>
      <c r="RA540" s="770"/>
      <c r="RB540" s="770" t="s">
        <v>1207</v>
      </c>
      <c r="RC540" s="770">
        <v>2014</v>
      </c>
      <c r="RD540" s="770" t="s">
        <v>13046</v>
      </c>
      <c r="RE540" s="770"/>
      <c r="RF540" s="304">
        <v>1.5</v>
      </c>
      <c r="RG540" s="770" t="s">
        <v>13715</v>
      </c>
      <c r="RH540" s="302">
        <v>0</v>
      </c>
      <c r="RI540" s="770">
        <v>5</v>
      </c>
      <c r="RJ540" s="770" t="s">
        <v>13716</v>
      </c>
      <c r="RK540" s="770" t="s">
        <v>13552</v>
      </c>
      <c r="RL540" s="1710"/>
      <c r="RM540" s="12"/>
      <c r="RN540" s="1711"/>
      <c r="RO540" s="132" t="s">
        <v>3807</v>
      </c>
      <c r="RP540" s="11"/>
      <c r="RQ540" s="11"/>
      <c r="RR540" s="343" t="s">
        <v>7419</v>
      </c>
      <c r="RS540" s="1139" t="s">
        <v>12980</v>
      </c>
      <c r="RT540" s="11"/>
      <c r="RU540" s="11"/>
      <c r="RV540" s="771" t="s">
        <v>7419</v>
      </c>
      <c r="RW540" s="11" t="s">
        <v>7806</v>
      </c>
      <c r="RX540" s="11" t="s">
        <v>3793</v>
      </c>
      <c r="RY540" s="11"/>
      <c r="RZ540" s="11" t="s">
        <v>1101</v>
      </c>
      <c r="SA540" s="771"/>
      <c r="SB540" s="11"/>
      <c r="SC540" s="11"/>
    </row>
    <row r="541" spans="1:497" ht="12.75" customHeight="1">
      <c r="A541" s="19" t="s">
        <v>7421</v>
      </c>
      <c r="B541" s="752" t="s">
        <v>7787</v>
      </c>
      <c r="C541" s="132" t="s">
        <v>3814</v>
      </c>
      <c r="D541" s="94" t="s">
        <v>3815</v>
      </c>
      <c r="E541" s="766" t="s">
        <v>3816</v>
      </c>
      <c r="F541" s="770" t="s">
        <v>28</v>
      </c>
      <c r="G541" s="770" t="s">
        <v>18</v>
      </c>
      <c r="H541" s="5" t="s">
        <v>3817</v>
      </c>
      <c r="I541" s="295"/>
      <c r="J541" s="94" t="s">
        <v>3815</v>
      </c>
      <c r="K541" s="766" t="s">
        <v>3818</v>
      </c>
      <c r="L541" s="766" t="s">
        <v>2721</v>
      </c>
      <c r="M541" s="770" t="s">
        <v>1238</v>
      </c>
      <c r="N541" s="770"/>
      <c r="O541" s="770" t="s">
        <v>3760</v>
      </c>
      <c r="P541" s="94" t="s">
        <v>3819</v>
      </c>
      <c r="Q541" s="1088">
        <v>20009</v>
      </c>
      <c r="R541" s="297">
        <v>62</v>
      </c>
      <c r="S541" s="770" t="s">
        <v>18</v>
      </c>
      <c r="T541" s="295" t="s">
        <v>3817</v>
      </c>
      <c r="U541" s="298"/>
      <c r="V541" s="770" t="s">
        <v>719</v>
      </c>
      <c r="W541" s="770"/>
      <c r="X541" s="770"/>
      <c r="Y541" s="770" t="s">
        <v>3816</v>
      </c>
      <c r="Z541" s="770" t="s">
        <v>708</v>
      </c>
      <c r="AA541" s="770" t="s">
        <v>709</v>
      </c>
      <c r="AB541" s="12" t="s">
        <v>710</v>
      </c>
      <c r="AC541" s="770"/>
      <c r="AD541" s="770" t="s">
        <v>711</v>
      </c>
      <c r="AE541" s="770"/>
      <c r="AF541" s="770" t="s">
        <v>712</v>
      </c>
      <c r="AG541" s="766" t="s">
        <v>1095</v>
      </c>
      <c r="AH541" s="766" t="s">
        <v>1096</v>
      </c>
      <c r="AI541" s="770" t="s">
        <v>3294</v>
      </c>
      <c r="AJ541" s="770" t="s">
        <v>1137</v>
      </c>
      <c r="AK541" s="770" t="s">
        <v>1101</v>
      </c>
      <c r="AL541" s="531">
        <v>12.9</v>
      </c>
      <c r="AM541" s="780">
        <v>9.4499999999999993</v>
      </c>
      <c r="AN541" s="532">
        <f t="shared" si="154"/>
        <v>0.73255813953488369</v>
      </c>
      <c r="AO541" s="766" t="s">
        <v>1105</v>
      </c>
      <c r="AP541" s="766"/>
      <c r="AQ541" s="766"/>
      <c r="AR541" s="766"/>
      <c r="AS541" s="769"/>
      <c r="AT541" s="770"/>
      <c r="AU541" s="770"/>
      <c r="AV541" s="770"/>
      <c r="AW541" s="770"/>
      <c r="AX541" s="770"/>
      <c r="AY541" s="770"/>
      <c r="AZ541" s="770"/>
      <c r="BA541" s="770"/>
      <c r="BB541" s="770"/>
      <c r="BC541" s="770"/>
      <c r="BD541" s="770"/>
      <c r="BE541" s="770"/>
      <c r="BF541" s="302"/>
      <c r="BG541" s="302"/>
      <c r="BH541" s="770"/>
      <c r="BI541" s="770"/>
      <c r="BJ541" s="770"/>
      <c r="BK541" s="770" t="s">
        <v>1095</v>
      </c>
      <c r="BL541" s="770" t="s">
        <v>3820</v>
      </c>
      <c r="BM541" s="766" t="s">
        <v>1096</v>
      </c>
      <c r="BN541" s="770" t="s">
        <v>1230</v>
      </c>
      <c r="BO541" s="766" t="s">
        <v>1246</v>
      </c>
      <c r="BP541" s="1109">
        <v>12.9</v>
      </c>
      <c r="BQ541" s="773">
        <v>9.4499999999999993</v>
      </c>
      <c r="BR541" s="774">
        <f t="shared" si="155"/>
        <v>0.73255813953488369</v>
      </c>
      <c r="BS541" s="766" t="s">
        <v>1105</v>
      </c>
      <c r="BT541" s="766" t="s">
        <v>8133</v>
      </c>
      <c r="BU541" s="770" t="s">
        <v>1249</v>
      </c>
      <c r="BV541" s="766" t="s">
        <v>1243</v>
      </c>
      <c r="BW541" s="770">
        <v>2007</v>
      </c>
      <c r="BX541" s="302">
        <v>200000</v>
      </c>
      <c r="BY541" s="770" t="s">
        <v>1207</v>
      </c>
      <c r="BZ541" s="302" t="s">
        <v>2769</v>
      </c>
      <c r="CA541" s="770"/>
      <c r="CB541" s="770" t="s">
        <v>1207</v>
      </c>
      <c r="CC541" s="94" t="s">
        <v>3819</v>
      </c>
      <c r="CD541" s="770">
        <v>2007</v>
      </c>
      <c r="CE541" s="770"/>
      <c r="CF541" s="1783">
        <v>1.2</v>
      </c>
      <c r="CG541" s="1784">
        <v>8</v>
      </c>
      <c r="CH541" s="770" t="s">
        <v>3821</v>
      </c>
      <c r="CI541" s="770"/>
      <c r="CJ541" s="770"/>
      <c r="CK541" s="770">
        <v>4</v>
      </c>
      <c r="CL541" s="770" t="s">
        <v>1240</v>
      </c>
      <c r="CM541" s="770"/>
      <c r="CN541" s="770"/>
      <c r="CO541" s="770"/>
      <c r="CP541" s="770"/>
      <c r="CQ541" s="770"/>
      <c r="CR541" s="302"/>
      <c r="CS541" s="770"/>
      <c r="CT541" s="770"/>
      <c r="CU541" s="305"/>
      <c r="CV541" s="770"/>
      <c r="CW541" s="770"/>
      <c r="CX541" s="770"/>
      <c r="CY541" s="770"/>
      <c r="CZ541" s="770"/>
      <c r="DA541" s="306"/>
      <c r="DB541" s="770"/>
      <c r="DC541" s="770"/>
      <c r="DD541" s="770"/>
      <c r="DE541" s="300"/>
      <c r="DF541" s="770"/>
      <c r="DG541" s="770"/>
      <c r="DH541" s="770"/>
      <c r="DI541" s="770"/>
      <c r="DJ541" s="770"/>
      <c r="DK541" s="770"/>
      <c r="DL541" s="770"/>
      <c r="DM541" s="770"/>
      <c r="DN541" s="322"/>
      <c r="DO541" s="770"/>
      <c r="DP541" s="770"/>
      <c r="DQ541" s="770"/>
      <c r="DR541" s="770"/>
      <c r="DS541" s="307"/>
      <c r="DT541" s="770"/>
      <c r="DU541" s="770"/>
      <c r="DV541" s="770"/>
      <c r="DW541" s="306"/>
      <c r="DX541" s="306"/>
      <c r="DY541" s="770"/>
      <c r="DZ541" s="770"/>
      <c r="EA541" s="770"/>
      <c r="EB541" s="770"/>
      <c r="EC541" s="770"/>
      <c r="ED541" s="770"/>
      <c r="EE541" s="770"/>
      <c r="EF541" s="770"/>
      <c r="EG541" s="770"/>
      <c r="EH541" s="770"/>
      <c r="EI541" s="770"/>
      <c r="EJ541" s="770"/>
      <c r="EK541" s="770"/>
      <c r="EL541" s="770"/>
      <c r="EM541" s="770"/>
      <c r="EN541" s="770"/>
      <c r="EO541" s="770"/>
      <c r="EP541" s="94"/>
      <c r="EQ541" s="770"/>
      <c r="ER541" s="770"/>
      <c r="ES541" s="770"/>
      <c r="ET541" s="770"/>
      <c r="EU541" s="770"/>
      <c r="EV541" s="770"/>
      <c r="EW541" s="770"/>
      <c r="EX541" s="770"/>
      <c r="EY541" s="770"/>
      <c r="EZ541" s="770" t="s">
        <v>3822</v>
      </c>
      <c r="FA541" s="770" t="s">
        <v>3823</v>
      </c>
      <c r="FB541" s="770"/>
      <c r="FC541" s="770"/>
      <c r="FD541" s="302"/>
      <c r="FE541" s="770"/>
      <c r="FF541" s="770"/>
      <c r="FG541" s="770" t="s">
        <v>14059</v>
      </c>
      <c r="FH541" s="770" t="s">
        <v>478</v>
      </c>
      <c r="FI541" s="770">
        <v>1</v>
      </c>
      <c r="FJ541" s="770"/>
      <c r="FK541" s="770"/>
      <c r="FL541" s="770"/>
      <c r="FM541" s="302"/>
      <c r="FN541" s="302"/>
      <c r="FO541" s="302"/>
      <c r="FP541" s="766" t="s">
        <v>1602</v>
      </c>
      <c r="FQ541" s="766" t="s">
        <v>1660</v>
      </c>
      <c r="FR541" s="770" t="s">
        <v>1214</v>
      </c>
      <c r="FS541" s="770"/>
      <c r="FT541" s="770"/>
      <c r="FU541" s="770"/>
      <c r="FV541" s="770"/>
      <c r="FW541" s="770"/>
      <c r="FX541" s="770" t="s">
        <v>1208</v>
      </c>
      <c r="FY541" s="770"/>
      <c r="FZ541" s="770"/>
      <c r="GA541" s="770"/>
      <c r="GB541" s="770" t="s">
        <v>1734</v>
      </c>
      <c r="GC541" s="308"/>
      <c r="GD541" s="297">
        <v>2007</v>
      </c>
      <c r="GE541" s="770" t="s">
        <v>1214</v>
      </c>
      <c r="GF541" s="302"/>
      <c r="GG541" s="302"/>
      <c r="GH541" s="712" t="s">
        <v>14260</v>
      </c>
      <c r="GI541" s="770"/>
      <c r="GJ541" s="770" t="s">
        <v>3824</v>
      </c>
      <c r="GK541" s="770"/>
      <c r="GL541" s="770"/>
      <c r="GM541" s="770"/>
      <c r="GN541" s="299"/>
      <c r="GO541" s="770"/>
      <c r="GP541" s="770"/>
      <c r="GQ541" s="770"/>
      <c r="GR541" s="770"/>
      <c r="GS541" s="770"/>
      <c r="GT541" s="770"/>
      <c r="GU541" s="770"/>
      <c r="GV541" s="770"/>
      <c r="GW541" s="770"/>
      <c r="GX541" s="770"/>
      <c r="GY541" s="770"/>
      <c r="GZ541" s="770"/>
      <c r="HA541" s="770"/>
      <c r="HB541" s="770"/>
      <c r="HC541" s="770"/>
      <c r="HD541" s="770"/>
      <c r="HE541" s="770"/>
      <c r="HF541" s="770"/>
      <c r="HG541" s="770"/>
      <c r="HH541" s="770"/>
      <c r="HI541" s="770" t="s">
        <v>1214</v>
      </c>
      <c r="HJ541" s="770"/>
      <c r="HK541" s="770"/>
      <c r="HL541" s="770" t="s">
        <v>1214</v>
      </c>
      <c r="HM541" s="770"/>
      <c r="HN541" s="770"/>
      <c r="HO541" s="770"/>
      <c r="HP541" s="770"/>
      <c r="HQ541" s="770"/>
      <c r="HR541" s="770">
        <v>2</v>
      </c>
      <c r="HS541" s="770"/>
      <c r="HT541" s="770">
        <v>1</v>
      </c>
      <c r="HU541" s="770"/>
      <c r="HV541" s="770"/>
      <c r="HW541" s="770"/>
      <c r="HX541" s="770"/>
      <c r="HY541" s="770"/>
      <c r="HZ541" s="770"/>
      <c r="IA541" s="770"/>
      <c r="IB541" s="14" t="e">
        <f>IF(#REF!&gt;0,IF(#REF!&lt;=10000,"Y",""),"")</f>
        <v>#REF!</v>
      </c>
      <c r="IC541" s="770" t="s">
        <v>1207</v>
      </c>
      <c r="ID541" s="770">
        <v>2</v>
      </c>
      <c r="IE541" s="770">
        <v>1</v>
      </c>
      <c r="IF541" s="770"/>
      <c r="IG541" s="770"/>
      <c r="IH541" s="770"/>
      <c r="II541" s="770"/>
      <c r="IJ541" s="770"/>
      <c r="IK541" s="770"/>
      <c r="IL541" s="770"/>
      <c r="IM541" s="770"/>
      <c r="IN541" s="770"/>
      <c r="IO541" s="296"/>
      <c r="IP541" s="770"/>
      <c r="IQ541" s="770"/>
      <c r="IR541" s="770"/>
      <c r="IS541" s="770"/>
      <c r="IT541" s="770"/>
      <c r="IU541" s="770"/>
      <c r="IV541" s="770"/>
      <c r="IW541" s="770"/>
      <c r="IX541" s="770"/>
      <c r="IY541" s="770"/>
      <c r="IZ541" s="770"/>
      <c r="JA541" s="770"/>
      <c r="JB541" s="770"/>
      <c r="JC541" s="770"/>
      <c r="JD541" s="302"/>
      <c r="JE541" s="770"/>
      <c r="JF541" s="770"/>
      <c r="JG541" s="770"/>
      <c r="JH541" s="307"/>
      <c r="JI541" s="712" t="str">
        <f>IF(SUM(JT541,JU541)=JJ541,"ok","review")</f>
        <v>ok</v>
      </c>
      <c r="JJ541" s="770">
        <v>3</v>
      </c>
      <c r="JK541" s="1139" t="s">
        <v>3825</v>
      </c>
      <c r="JL541" s="770"/>
      <c r="JM541" s="770"/>
      <c r="JN541" s="770">
        <v>1</v>
      </c>
      <c r="JO541" s="770">
        <v>1</v>
      </c>
      <c r="JP541" s="770"/>
      <c r="JQ541" s="770">
        <v>1</v>
      </c>
      <c r="JR541" s="770"/>
      <c r="JS541" s="770"/>
      <c r="JT541" s="766">
        <f t="shared" si="156"/>
        <v>1</v>
      </c>
      <c r="JU541" s="766">
        <f t="shared" si="156"/>
        <v>2</v>
      </c>
      <c r="JV541" s="712" t="str">
        <f>IF(JT541=KJ541,"ok","male")</f>
        <v>ok</v>
      </c>
      <c r="JW541" s="712" t="str">
        <f>IF(JU541=KK541,"ok","female")</f>
        <v>ok</v>
      </c>
      <c r="JX541" s="770"/>
      <c r="JY541" s="770"/>
      <c r="JZ541" s="770"/>
      <c r="KA541" s="770"/>
      <c r="KB541" s="770"/>
      <c r="KC541" s="770"/>
      <c r="KD541" s="770">
        <v>1</v>
      </c>
      <c r="KE541" s="770"/>
      <c r="KF541" s="770"/>
      <c r="KG541" s="770">
        <v>2</v>
      </c>
      <c r="KH541" s="770"/>
      <c r="KI541" s="770"/>
      <c r="KJ541" s="770">
        <f t="shared" si="153"/>
        <v>1</v>
      </c>
      <c r="KK541" s="770">
        <f t="shared" si="153"/>
        <v>2</v>
      </c>
      <c r="KL541" s="712" t="str">
        <f>IF(KJ541=LN541,"ok","male")</f>
        <v>ok</v>
      </c>
      <c r="KM541" s="712" t="str">
        <f>IF(KK541=LO541,"ok","female")</f>
        <v>ok</v>
      </c>
      <c r="KN541" s="770" t="s">
        <v>719</v>
      </c>
      <c r="KO541" s="770"/>
      <c r="KP541" s="770"/>
      <c r="KQ541" s="770"/>
      <c r="KR541" s="770"/>
      <c r="KS541" s="770"/>
      <c r="KT541" s="770"/>
      <c r="KU541" s="770"/>
      <c r="KV541" s="770"/>
      <c r="KW541" s="770">
        <v>1</v>
      </c>
      <c r="KX541" s="770"/>
      <c r="KY541" s="770"/>
      <c r="KZ541" s="770"/>
      <c r="LA541" s="770">
        <v>1</v>
      </c>
      <c r="LB541" s="770">
        <v>1</v>
      </c>
      <c r="LC541" s="770"/>
      <c r="LD541" s="770"/>
      <c r="LE541" s="770"/>
      <c r="LF541" s="770"/>
      <c r="LG541" s="770"/>
      <c r="LH541" s="770"/>
      <c r="LI541" s="770"/>
      <c r="LJ541" s="770"/>
      <c r="LK541" s="770"/>
      <c r="LL541" s="770"/>
      <c r="LM541" s="770"/>
      <c r="LN541" s="766">
        <f t="shared" si="134"/>
        <v>1</v>
      </c>
      <c r="LO541" s="766">
        <f t="shared" si="134"/>
        <v>2</v>
      </c>
      <c r="LP541" s="770">
        <v>0</v>
      </c>
      <c r="LQ541" s="770"/>
      <c r="LR541" s="770"/>
      <c r="LS541" s="770"/>
      <c r="LT541" s="712" t="str">
        <f>IF(LQ541=SUM(LU541:LW541),"OK","REV")</f>
        <v>OK</v>
      </c>
      <c r="LU541" s="770"/>
      <c r="LV541" s="770"/>
      <c r="LW541" s="770"/>
      <c r="LX541" s="769">
        <v>0</v>
      </c>
      <c r="LY541" s="766">
        <f t="shared" si="135"/>
        <v>0</v>
      </c>
      <c r="LZ541" s="1728"/>
      <c r="MA541" s="12"/>
      <c r="MB541" s="12"/>
      <c r="MC541" s="1679">
        <f t="shared" si="133"/>
        <v>0</v>
      </c>
      <c r="MD541" s="1709"/>
      <c r="ME541" s="1709"/>
      <c r="MF541" s="1709"/>
      <c r="MG541" s="1680">
        <v>0</v>
      </c>
      <c r="MH541" s="770" t="s">
        <v>13717</v>
      </c>
      <c r="MI541" s="775">
        <v>900</v>
      </c>
      <c r="MJ541" s="775">
        <v>300</v>
      </c>
      <c r="MK541" s="775">
        <v>233</v>
      </c>
      <c r="ML541" s="775">
        <v>5000</v>
      </c>
      <c r="MM541" s="775"/>
      <c r="MN541" s="775"/>
      <c r="MO541" s="775"/>
      <c r="MP541" s="775">
        <v>400</v>
      </c>
      <c r="MQ541" s="775"/>
      <c r="MR541" s="775">
        <v>400</v>
      </c>
      <c r="MS541" s="775">
        <v>200</v>
      </c>
      <c r="MT541" s="775"/>
      <c r="MU541" s="775"/>
      <c r="MV541" s="775"/>
      <c r="MW541" s="775"/>
      <c r="MX541" s="775"/>
      <c r="MY541" s="1682">
        <f t="shared" si="147"/>
        <v>7433</v>
      </c>
      <c r="MZ541" s="770" t="s">
        <v>13370</v>
      </c>
      <c r="NA541" s="770" t="s">
        <v>1604</v>
      </c>
      <c r="NB541" s="770" t="s">
        <v>13016</v>
      </c>
      <c r="NC541" s="770" t="s">
        <v>13602</v>
      </c>
      <c r="ND541" s="770">
        <v>0</v>
      </c>
      <c r="NE541" s="770">
        <v>0</v>
      </c>
      <c r="NF541" s="770">
        <v>0</v>
      </c>
      <c r="NG541" s="770">
        <v>1</v>
      </c>
      <c r="NH541" s="770">
        <v>1</v>
      </c>
      <c r="NI541" s="770">
        <v>1</v>
      </c>
      <c r="NJ541" s="770">
        <v>0</v>
      </c>
      <c r="NK541" s="770">
        <v>0</v>
      </c>
      <c r="NL541" s="770">
        <v>0</v>
      </c>
      <c r="NM541" s="770">
        <v>0</v>
      </c>
      <c r="NN541" s="770">
        <v>0</v>
      </c>
      <c r="NO541" s="770">
        <v>0</v>
      </c>
      <c r="NP541" s="770">
        <v>0</v>
      </c>
      <c r="NQ541" s="770">
        <v>0</v>
      </c>
      <c r="NR541" s="770">
        <v>0</v>
      </c>
      <c r="NS541" s="770">
        <v>0</v>
      </c>
      <c r="NT541" s="770">
        <v>0</v>
      </c>
      <c r="NU541" s="770">
        <v>0</v>
      </c>
      <c r="NV541" s="770">
        <v>0</v>
      </c>
      <c r="NW541" s="770">
        <v>1</v>
      </c>
      <c r="NX541" s="770">
        <v>0</v>
      </c>
      <c r="NY541" s="770" t="s">
        <v>1208</v>
      </c>
      <c r="NZ541" s="770"/>
      <c r="OA541" s="770" t="s">
        <v>1208</v>
      </c>
      <c r="OB541" s="770" t="s">
        <v>1208</v>
      </c>
      <c r="OC541" s="770" t="s">
        <v>1208</v>
      </c>
      <c r="OD541" s="770" t="s">
        <v>1208</v>
      </c>
      <c r="OE541" s="770"/>
      <c r="OF541" s="770"/>
      <c r="OG541" s="770"/>
      <c r="OH541" s="770"/>
      <c r="OI541" s="770"/>
      <c r="OJ541" s="770"/>
      <c r="OK541" s="770"/>
      <c r="OL541" s="770"/>
      <c r="OM541" s="770"/>
      <c r="ON541" s="770"/>
      <c r="OO541" s="770"/>
      <c r="OP541" s="770"/>
      <c r="OQ541" s="770"/>
      <c r="OR541" s="770"/>
      <c r="OS541" s="770"/>
      <c r="OT541" s="770"/>
      <c r="OU541" s="770"/>
      <c r="OV541" s="770"/>
      <c r="OW541" s="770"/>
      <c r="OX541" s="770"/>
      <c r="OY541" s="770"/>
      <c r="OZ541" s="770"/>
      <c r="PA541" s="770"/>
      <c r="PB541" s="770"/>
      <c r="PC541" s="770"/>
      <c r="PD541" s="770"/>
      <c r="PE541" s="770"/>
      <c r="PF541" s="770"/>
      <c r="PG541" s="770"/>
      <c r="PH541" s="770"/>
      <c r="PI541" s="770"/>
      <c r="PJ541" s="770"/>
      <c r="PK541" s="770" t="s">
        <v>1208</v>
      </c>
      <c r="PL541" s="770"/>
      <c r="PM541" s="770"/>
      <c r="PN541" s="770"/>
      <c r="PO541" s="770"/>
      <c r="PP541" s="770"/>
      <c r="PQ541" s="770"/>
      <c r="PR541" s="770"/>
      <c r="PS541" s="770" t="s">
        <v>1208</v>
      </c>
      <c r="PT541" s="770"/>
      <c r="PU541" s="770"/>
      <c r="PV541" s="770"/>
      <c r="PW541" s="770"/>
      <c r="PX541" s="770"/>
      <c r="PY541" s="770"/>
      <c r="PZ541" s="770"/>
      <c r="QA541" s="770"/>
      <c r="QB541" s="770"/>
      <c r="QC541" s="770"/>
      <c r="QD541" s="770"/>
      <c r="QE541" s="770"/>
      <c r="QF541" s="770"/>
      <c r="QG541" s="770"/>
      <c r="QH541" s="770"/>
      <c r="QI541" s="770"/>
      <c r="QJ541" s="770"/>
      <c r="QK541" s="770"/>
      <c r="QL541" s="770"/>
      <c r="QM541" s="770"/>
      <c r="QN541" s="770"/>
      <c r="QO541" s="770"/>
      <c r="QP541" s="770"/>
      <c r="QQ541" s="770"/>
      <c r="QR541" s="770"/>
      <c r="QS541" s="770"/>
      <c r="QT541" s="770"/>
      <c r="QU541" s="770"/>
      <c r="QV541" s="770"/>
      <c r="QW541" s="770"/>
      <c r="QX541" s="770"/>
      <c r="QY541" s="770"/>
      <c r="QZ541" s="770"/>
      <c r="RA541" s="770"/>
      <c r="RB541" s="770" t="s">
        <v>1207</v>
      </c>
      <c r="RC541" s="770">
        <v>2013</v>
      </c>
      <c r="RD541" s="770" t="s">
        <v>13251</v>
      </c>
      <c r="RE541" s="770" t="s">
        <v>13008</v>
      </c>
      <c r="RF541" s="304">
        <f>CONVERT(4,"ft","m")</f>
        <v>1.2192000000000001</v>
      </c>
      <c r="RG541" s="770" t="s">
        <v>13047</v>
      </c>
      <c r="RH541" s="302">
        <v>500</v>
      </c>
      <c r="RI541" s="770">
        <v>3</v>
      </c>
      <c r="RJ541" s="770" t="s">
        <v>3822</v>
      </c>
      <c r="RK541" s="770" t="s">
        <v>13556</v>
      </c>
      <c r="RL541" s="1710"/>
      <c r="RM541" s="12"/>
      <c r="RN541" s="1711"/>
      <c r="RO541" s="132" t="s">
        <v>3814</v>
      </c>
      <c r="RP541" s="11"/>
      <c r="RQ541" s="11"/>
      <c r="RR541" s="19" t="s">
        <v>7421</v>
      </c>
      <c r="RS541" s="1139" t="s">
        <v>12980</v>
      </c>
      <c r="RT541" s="11"/>
      <c r="RU541" s="11"/>
      <c r="RV541" s="771" t="s">
        <v>7419</v>
      </c>
      <c r="RW541" s="11" t="s">
        <v>7396</v>
      </c>
      <c r="RX541" s="11" t="s">
        <v>3800</v>
      </c>
      <c r="RY541" s="11"/>
      <c r="RZ541" s="11" t="s">
        <v>1101</v>
      </c>
      <c r="SA541" s="771"/>
      <c r="SB541" s="11"/>
      <c r="SC541" s="11"/>
    </row>
    <row r="542" spans="1:497" ht="12.75" customHeight="1">
      <c r="A542" s="19" t="s">
        <v>7421</v>
      </c>
      <c r="B542" s="1007" t="s">
        <v>7711</v>
      </c>
      <c r="C542" s="132" t="s">
        <v>2781</v>
      </c>
      <c r="D542" s="94" t="s">
        <v>2782</v>
      </c>
      <c r="E542" s="766" t="s">
        <v>3631</v>
      </c>
      <c r="F542" s="770" t="s">
        <v>28</v>
      </c>
      <c r="G542" s="770" t="s">
        <v>18</v>
      </c>
      <c r="H542" s="12"/>
      <c r="I542" s="295" t="s">
        <v>2783</v>
      </c>
      <c r="J542" s="94" t="s">
        <v>2784</v>
      </c>
      <c r="K542" s="766" t="s">
        <v>7890</v>
      </c>
      <c r="L542" s="766" t="s">
        <v>2721</v>
      </c>
      <c r="M542" s="770" t="s">
        <v>1238</v>
      </c>
      <c r="N542" s="770"/>
      <c r="O542" s="770" t="s">
        <v>3760</v>
      </c>
      <c r="P542" s="94" t="s">
        <v>2785</v>
      </c>
      <c r="Q542" s="1088">
        <v>19568</v>
      </c>
      <c r="R542" s="297">
        <v>63</v>
      </c>
      <c r="S542" s="770" t="s">
        <v>10</v>
      </c>
      <c r="T542" s="770"/>
      <c r="U542" s="295" t="s">
        <v>2783</v>
      </c>
      <c r="V542" s="770" t="s">
        <v>707</v>
      </c>
      <c r="W542" s="770"/>
      <c r="X542" s="770"/>
      <c r="Y542" s="770" t="s">
        <v>3631</v>
      </c>
      <c r="Z542" s="770"/>
      <c r="AA542" s="770" t="s">
        <v>709</v>
      </c>
      <c r="AB542" s="770" t="s">
        <v>710</v>
      </c>
      <c r="AC542" s="770" t="s">
        <v>724</v>
      </c>
      <c r="AD542" s="770" t="s">
        <v>711</v>
      </c>
      <c r="AE542" s="770"/>
      <c r="AF542" s="770" t="s">
        <v>712</v>
      </c>
      <c r="AG542" s="766" t="s">
        <v>1095</v>
      </c>
      <c r="AH542" s="766" t="s">
        <v>1096</v>
      </c>
      <c r="AI542" s="770" t="s">
        <v>3294</v>
      </c>
      <c r="AJ542" s="770"/>
      <c r="AK542" s="1828" t="s">
        <v>1097</v>
      </c>
      <c r="AL542" s="531">
        <v>35</v>
      </c>
      <c r="AM542" s="780">
        <v>1.5</v>
      </c>
      <c r="AN542" s="532">
        <f t="shared" si="154"/>
        <v>4.2857142857142858E-2</v>
      </c>
      <c r="AO542" s="766" t="s">
        <v>1098</v>
      </c>
      <c r="AP542" s="766"/>
      <c r="AQ542" s="766"/>
      <c r="AR542" s="766"/>
      <c r="AS542" s="769"/>
      <c r="AT542" s="770"/>
      <c r="AU542" s="770"/>
      <c r="AV542" s="770"/>
      <c r="AW542" s="770"/>
      <c r="AX542" s="770"/>
      <c r="AY542" s="770"/>
      <c r="AZ542" s="770"/>
      <c r="BA542" s="770"/>
      <c r="BB542" s="770"/>
      <c r="BC542" s="770"/>
      <c r="BD542" s="770"/>
      <c r="BE542" s="770"/>
      <c r="BF542" s="302"/>
      <c r="BG542" s="302"/>
      <c r="BH542" s="770"/>
      <c r="BI542" s="770"/>
      <c r="BJ542" s="770"/>
      <c r="BK542" s="770" t="s">
        <v>1095</v>
      </c>
      <c r="BL542" s="770" t="s">
        <v>2786</v>
      </c>
      <c r="BM542" s="766" t="s">
        <v>1096</v>
      </c>
      <c r="BN542" s="770" t="s">
        <v>1230</v>
      </c>
      <c r="BO542" s="766" t="s">
        <v>1239</v>
      </c>
      <c r="BP542" s="1109">
        <v>70</v>
      </c>
      <c r="BQ542" s="773">
        <v>3</v>
      </c>
      <c r="BR542" s="774">
        <f t="shared" si="155"/>
        <v>4.2857142857142858E-2</v>
      </c>
      <c r="BS542" s="766" t="s">
        <v>1242</v>
      </c>
      <c r="BT542" s="766" t="s">
        <v>2040</v>
      </c>
      <c r="BU542" s="770" t="s">
        <v>1249</v>
      </c>
      <c r="BV542" s="770" t="s">
        <v>1247</v>
      </c>
      <c r="BW542" s="770">
        <v>1975</v>
      </c>
      <c r="BX542" s="302"/>
      <c r="BY542" s="770"/>
      <c r="BZ542" s="302"/>
      <c r="CA542" s="770"/>
      <c r="CB542" s="770"/>
      <c r="CC542" s="770"/>
      <c r="CD542" s="770"/>
      <c r="CE542" s="770"/>
      <c r="CF542" s="1753"/>
      <c r="CG542" s="1754"/>
      <c r="CH542" s="770"/>
      <c r="CI542" s="770"/>
      <c r="CJ542" s="770"/>
      <c r="CK542" s="770"/>
      <c r="CL542" s="770"/>
      <c r="CM542" s="770"/>
      <c r="CN542" s="770"/>
      <c r="CO542" s="770"/>
      <c r="CP542" s="770"/>
      <c r="CQ542" s="770"/>
      <c r="CR542" s="302"/>
      <c r="CS542" s="770"/>
      <c r="CT542" s="770"/>
      <c r="CU542" s="305"/>
      <c r="CV542" s="770"/>
      <c r="CW542" s="770"/>
      <c r="CX542" s="770"/>
      <c r="CY542" s="770"/>
      <c r="CZ542" s="770"/>
      <c r="DA542" s="306"/>
      <c r="DB542" s="770"/>
      <c r="DC542" s="770"/>
      <c r="DD542" s="770"/>
      <c r="DE542" s="300"/>
      <c r="DF542" s="770"/>
      <c r="DG542" s="770"/>
      <c r="DH542" s="770"/>
      <c r="DI542" s="770"/>
      <c r="DJ542" s="770"/>
      <c r="DK542" s="770"/>
      <c r="DL542" s="770"/>
      <c r="DM542" s="770"/>
      <c r="DN542" s="322"/>
      <c r="DO542" s="770"/>
      <c r="DP542" s="770"/>
      <c r="DQ542" s="770"/>
      <c r="DR542" s="770"/>
      <c r="DS542" s="307"/>
      <c r="DT542" s="770"/>
      <c r="DU542" s="770"/>
      <c r="DV542" s="770"/>
      <c r="DW542" s="306"/>
      <c r="DX542" s="306"/>
      <c r="DY542" s="770"/>
      <c r="DZ542" s="770"/>
      <c r="EA542" s="770"/>
      <c r="EB542" s="770"/>
      <c r="EC542" s="770"/>
      <c r="ED542" s="770"/>
      <c r="EE542" s="770"/>
      <c r="EF542" s="770"/>
      <c r="EG542" s="770"/>
      <c r="EH542" s="770"/>
      <c r="EI542" s="770"/>
      <c r="EJ542" s="770"/>
      <c r="EK542" s="770"/>
      <c r="EL542" s="770"/>
      <c r="EM542" s="770"/>
      <c r="EN542" s="770"/>
      <c r="EO542" s="770"/>
      <c r="EP542" s="94"/>
      <c r="EQ542" s="770"/>
      <c r="ER542" s="770"/>
      <c r="ES542" s="770"/>
      <c r="ET542" s="770"/>
      <c r="EU542" s="770"/>
      <c r="EV542" s="770"/>
      <c r="EW542" s="770"/>
      <c r="EX542" s="770"/>
      <c r="EY542" s="770"/>
      <c r="EZ542" s="770"/>
      <c r="FA542" s="770"/>
      <c r="FB542" s="770"/>
      <c r="FC542" s="770"/>
      <c r="FD542" s="302"/>
      <c r="FE542" s="770"/>
      <c r="FF542" s="770"/>
      <c r="FG542" s="770"/>
      <c r="FH542" s="770" t="s">
        <v>478</v>
      </c>
      <c r="FI542" s="770">
        <v>1</v>
      </c>
      <c r="FJ542" s="770"/>
      <c r="FK542" s="770"/>
      <c r="FL542" s="770"/>
      <c r="FM542" s="302"/>
      <c r="FN542" s="302"/>
      <c r="FO542" s="302"/>
      <c r="FP542" s="770" t="s">
        <v>1600</v>
      </c>
      <c r="FQ542" s="770" t="s">
        <v>1642</v>
      </c>
      <c r="FR542" s="770" t="s">
        <v>1214</v>
      </c>
      <c r="FS542" s="770"/>
      <c r="FT542" s="770"/>
      <c r="FU542" s="770"/>
      <c r="FV542" s="770"/>
      <c r="FW542" s="770"/>
      <c r="FX542" s="770"/>
      <c r="FY542" s="770"/>
      <c r="FZ542" s="770"/>
      <c r="GA542" s="770"/>
      <c r="GB542" s="770" t="s">
        <v>1734</v>
      </c>
      <c r="GC542" s="308"/>
      <c r="GD542" s="297">
        <v>1975</v>
      </c>
      <c r="GE542" s="770" t="s">
        <v>1214</v>
      </c>
      <c r="GF542" s="302"/>
      <c r="GG542" s="302"/>
      <c r="GH542" s="770"/>
      <c r="GI542" s="770"/>
      <c r="GJ542" s="770"/>
      <c r="GK542" s="770"/>
      <c r="GL542" s="770"/>
      <c r="GM542" s="770"/>
      <c r="GN542" s="299"/>
      <c r="GO542" s="770"/>
      <c r="GP542" s="770"/>
      <c r="GQ542" s="770"/>
      <c r="GR542" s="770"/>
      <c r="GS542" s="770"/>
      <c r="GT542" s="770"/>
      <c r="GU542" s="770"/>
      <c r="GV542" s="770"/>
      <c r="GW542" s="770"/>
      <c r="GX542" s="770"/>
      <c r="GY542" s="770"/>
      <c r="GZ542" s="770"/>
      <c r="HA542" s="770"/>
      <c r="HB542" s="770"/>
      <c r="HC542" s="770"/>
      <c r="HD542" s="770"/>
      <c r="HE542" s="770"/>
      <c r="HF542" s="770"/>
      <c r="HG542" s="770"/>
      <c r="HH542" s="770"/>
      <c r="HI542" s="770"/>
      <c r="HJ542" s="770"/>
      <c r="HK542" s="770"/>
      <c r="HL542" s="770"/>
      <c r="HM542" s="770"/>
      <c r="HN542" s="770"/>
      <c r="HO542" s="770"/>
      <c r="HP542" s="770"/>
      <c r="HQ542" s="770"/>
      <c r="HR542" s="770"/>
      <c r="HS542" s="770"/>
      <c r="HT542" s="770"/>
      <c r="HU542" s="770"/>
      <c r="HV542" s="770"/>
      <c r="HW542" s="770"/>
      <c r="HX542" s="770"/>
      <c r="HY542" s="770"/>
      <c r="HZ542" s="770"/>
      <c r="IA542" s="770"/>
      <c r="IB542" s="14" t="e">
        <f>IF(#REF!&gt;0,IF(#REF!&lt;=10000,"Y",""),"")</f>
        <v>#REF!</v>
      </c>
      <c r="IC542" s="770"/>
      <c r="ID542" s="770">
        <v>2</v>
      </c>
      <c r="IE542" s="770"/>
      <c r="IF542" s="770"/>
      <c r="IG542" s="770"/>
      <c r="IH542" s="770"/>
      <c r="II542" s="770"/>
      <c r="IJ542" s="770"/>
      <c r="IK542" s="770"/>
      <c r="IL542" s="770"/>
      <c r="IM542" s="770"/>
      <c r="IN542" s="770"/>
      <c r="IO542" s="296"/>
      <c r="IP542" s="770"/>
      <c r="IQ542" s="770"/>
      <c r="IR542" s="770"/>
      <c r="IS542" s="770"/>
      <c r="IT542" s="770"/>
      <c r="IU542" s="770"/>
      <c r="IV542" s="770"/>
      <c r="IW542" s="770"/>
      <c r="IX542" s="770"/>
      <c r="IY542" s="770"/>
      <c r="IZ542" s="770"/>
      <c r="JA542" s="770"/>
      <c r="JB542" s="770"/>
      <c r="JC542" s="770"/>
      <c r="JD542" s="302"/>
      <c r="JE542" s="770"/>
      <c r="JF542" s="770"/>
      <c r="JG542" s="770"/>
      <c r="JH542" s="307"/>
      <c r="JI542" s="307"/>
      <c r="JJ542" s="770">
        <v>5</v>
      </c>
      <c r="JK542" s="1139" t="s">
        <v>3826</v>
      </c>
      <c r="JL542" s="770"/>
      <c r="JM542" s="770">
        <v>1</v>
      </c>
      <c r="JN542" s="770">
        <v>2</v>
      </c>
      <c r="JO542" s="770">
        <v>2</v>
      </c>
      <c r="JP542" s="770"/>
      <c r="JQ542" s="770"/>
      <c r="JR542" s="770"/>
      <c r="JS542" s="770"/>
      <c r="JT542" s="766">
        <f t="shared" si="156"/>
        <v>2</v>
      </c>
      <c r="JU542" s="766">
        <f t="shared" si="156"/>
        <v>3</v>
      </c>
      <c r="JV542" s="712" t="str">
        <f>IF(JT542=KJ542,"ok","male")</f>
        <v>ok</v>
      </c>
      <c r="JW542" s="712" t="str">
        <f>IF(JU542=KK542,"ok","female")</f>
        <v>ok</v>
      </c>
      <c r="JX542" s="770"/>
      <c r="JY542" s="770"/>
      <c r="JZ542" s="770"/>
      <c r="KA542" s="770">
        <v>1</v>
      </c>
      <c r="KB542" s="770"/>
      <c r="KC542" s="770"/>
      <c r="KD542" s="770">
        <v>1</v>
      </c>
      <c r="KE542" s="770">
        <v>1</v>
      </c>
      <c r="KF542" s="770">
        <v>1</v>
      </c>
      <c r="KG542" s="770">
        <v>1</v>
      </c>
      <c r="KH542" s="770"/>
      <c r="KI542" s="770"/>
      <c r="KJ542" s="770">
        <f t="shared" si="153"/>
        <v>2</v>
      </c>
      <c r="KK542" s="770">
        <f t="shared" si="153"/>
        <v>3</v>
      </c>
      <c r="KL542" s="712" t="str">
        <f>IF(KJ542=LN542,"ok","male")</f>
        <v>ok</v>
      </c>
      <c r="KM542" s="712" t="str">
        <f>IF(KK542=LO542,"ok","female")</f>
        <v>ok</v>
      </c>
      <c r="KN542" s="770" t="s">
        <v>707</v>
      </c>
      <c r="KO542" s="770"/>
      <c r="KP542" s="770"/>
      <c r="KQ542" s="770"/>
      <c r="KR542" s="770"/>
      <c r="KS542" s="770"/>
      <c r="KT542" s="770"/>
      <c r="KU542" s="770"/>
      <c r="KV542" s="770"/>
      <c r="KW542" s="770">
        <v>1</v>
      </c>
      <c r="KX542" s="770"/>
      <c r="KY542" s="770"/>
      <c r="KZ542" s="770"/>
      <c r="LA542" s="770"/>
      <c r="LB542" s="770"/>
      <c r="LC542" s="770"/>
      <c r="LD542" s="770">
        <v>2</v>
      </c>
      <c r="LE542" s="770">
        <v>2</v>
      </c>
      <c r="LF542" s="770"/>
      <c r="LG542" s="770"/>
      <c r="LH542" s="770"/>
      <c r="LI542" s="770"/>
      <c r="LJ542" s="770"/>
      <c r="LK542" s="770"/>
      <c r="LL542" s="770"/>
      <c r="LM542" s="770"/>
      <c r="LN542" s="766">
        <f t="shared" si="134"/>
        <v>2</v>
      </c>
      <c r="LO542" s="766">
        <f t="shared" si="134"/>
        <v>3</v>
      </c>
      <c r="LP542" s="770">
        <v>3</v>
      </c>
      <c r="LQ542" s="770">
        <v>3</v>
      </c>
      <c r="LR542" s="770"/>
      <c r="LS542" s="770"/>
      <c r="LT542" s="712" t="str">
        <f>IF(LQ542=SUM(LU542:LW542),"OK","REV")</f>
        <v>OK</v>
      </c>
      <c r="LU542" s="770">
        <v>3</v>
      </c>
      <c r="LV542" s="770"/>
      <c r="LW542" s="770"/>
      <c r="LX542" s="769">
        <v>3</v>
      </c>
      <c r="LY542" s="766" t="str">
        <f t="shared" si="135"/>
        <v>within the PROVINCE</v>
      </c>
      <c r="LZ542" s="1709"/>
      <c r="MA542" s="1709"/>
      <c r="MB542" s="1709"/>
      <c r="MC542" s="1679">
        <f t="shared" si="133"/>
        <v>0</v>
      </c>
      <c r="MD542" s="1709">
        <f>SUM(400*26,400*26,400*26)</f>
        <v>31200</v>
      </c>
      <c r="ME542" s="1709"/>
      <c r="MF542" s="1709"/>
      <c r="MG542" s="1680">
        <f>SUM(MD542:MF542)</f>
        <v>31200</v>
      </c>
      <c r="MH542" s="770" t="s">
        <v>1985</v>
      </c>
      <c r="MI542" s="1786" t="s">
        <v>13718</v>
      </c>
      <c r="MJ542" s="302"/>
      <c r="MK542" s="302"/>
      <c r="ML542" s="302"/>
      <c r="MM542" s="302"/>
      <c r="MN542" s="302"/>
      <c r="MO542" s="302"/>
      <c r="MP542" s="302"/>
      <c r="MQ542" s="302"/>
      <c r="MR542" s="302"/>
      <c r="MS542" s="302"/>
      <c r="MT542" s="302"/>
      <c r="MU542" s="302"/>
      <c r="MV542" s="302"/>
      <c r="MW542" s="302"/>
      <c r="MX542" s="302"/>
      <c r="MY542" s="1682"/>
      <c r="MZ542" s="770" t="s">
        <v>13370</v>
      </c>
      <c r="NA542" s="770" t="s">
        <v>13230</v>
      </c>
      <c r="NB542" s="770" t="s">
        <v>13016</v>
      </c>
      <c r="NC542" s="770" t="s">
        <v>13602</v>
      </c>
      <c r="ND542" s="770">
        <v>0</v>
      </c>
      <c r="NE542" s="770">
        <v>0</v>
      </c>
      <c r="NF542" s="770">
        <v>1</v>
      </c>
      <c r="NG542" s="770">
        <v>2</v>
      </c>
      <c r="NH542" s="770">
        <v>1</v>
      </c>
      <c r="NI542" s="770">
        <v>0</v>
      </c>
      <c r="NJ542" s="770">
        <v>0</v>
      </c>
      <c r="NK542" s="770">
        <v>0</v>
      </c>
      <c r="NL542" s="770">
        <v>0</v>
      </c>
      <c r="NM542" s="770">
        <v>0</v>
      </c>
      <c r="NN542" s="770">
        <v>0</v>
      </c>
      <c r="NO542" s="770">
        <v>0</v>
      </c>
      <c r="NP542" s="770">
        <v>0</v>
      </c>
      <c r="NQ542" s="770">
        <v>0</v>
      </c>
      <c r="NR542" s="770">
        <v>0</v>
      </c>
      <c r="NS542" s="770">
        <v>0</v>
      </c>
      <c r="NT542" s="770">
        <v>0</v>
      </c>
      <c r="NU542" s="770">
        <v>0</v>
      </c>
      <c r="NV542" s="770">
        <v>0</v>
      </c>
      <c r="NW542" s="770">
        <v>0</v>
      </c>
      <c r="NX542" s="770">
        <v>0</v>
      </c>
      <c r="NY542" s="770"/>
      <c r="NZ542" s="770"/>
      <c r="OA542" s="770"/>
      <c r="OB542" s="770"/>
      <c r="OC542" s="770"/>
      <c r="OD542" s="770"/>
      <c r="OE542" s="770"/>
      <c r="OF542" s="770"/>
      <c r="OG542" s="770"/>
      <c r="OH542" s="770"/>
      <c r="OI542" s="770"/>
      <c r="OJ542" s="770"/>
      <c r="OK542" s="770"/>
      <c r="OL542" s="770"/>
      <c r="OM542" s="770"/>
      <c r="ON542" s="770"/>
      <c r="OO542" s="770"/>
      <c r="OP542" s="770"/>
      <c r="OQ542" s="770"/>
      <c r="OR542" s="770"/>
      <c r="OS542" s="770"/>
      <c r="OT542" s="770"/>
      <c r="OU542" s="770"/>
      <c r="OV542" s="770"/>
      <c r="OW542" s="770"/>
      <c r="OX542" s="770"/>
      <c r="OY542" s="770"/>
      <c r="OZ542" s="770"/>
      <c r="PA542" s="770"/>
      <c r="PB542" s="770"/>
      <c r="PC542" s="770"/>
      <c r="PD542" s="770"/>
      <c r="PE542" s="770"/>
      <c r="PF542" s="770"/>
      <c r="PG542" s="770"/>
      <c r="PH542" s="770"/>
      <c r="PI542" s="770"/>
      <c r="PJ542" s="770"/>
      <c r="PK542" s="770" t="s">
        <v>1208</v>
      </c>
      <c r="PL542" s="770"/>
      <c r="PM542" s="770"/>
      <c r="PN542" s="770"/>
      <c r="PO542" s="770"/>
      <c r="PP542" s="770"/>
      <c r="PQ542" s="770"/>
      <c r="PR542" s="770"/>
      <c r="PS542" s="770" t="s">
        <v>1208</v>
      </c>
      <c r="PT542" s="770"/>
      <c r="PU542" s="770"/>
      <c r="PV542" s="770"/>
      <c r="PW542" s="770"/>
      <c r="PX542" s="770"/>
      <c r="PY542" s="770"/>
      <c r="PZ542" s="770"/>
      <c r="QA542" s="770"/>
      <c r="QB542" s="770"/>
      <c r="QC542" s="770"/>
      <c r="QD542" s="770"/>
      <c r="QE542" s="770"/>
      <c r="QF542" s="770"/>
      <c r="QG542" s="770"/>
      <c r="QH542" s="770"/>
      <c r="QI542" s="770"/>
      <c r="QJ542" s="770"/>
      <c r="QK542" s="770"/>
      <c r="QL542" s="770"/>
      <c r="QM542" s="770"/>
      <c r="QN542" s="770"/>
      <c r="QO542" s="770"/>
      <c r="QP542" s="770"/>
      <c r="QQ542" s="770"/>
      <c r="QR542" s="770"/>
      <c r="QS542" s="770"/>
      <c r="QT542" s="770"/>
      <c r="QU542" s="770"/>
      <c r="QV542" s="770"/>
      <c r="QW542" s="770"/>
      <c r="QX542" s="770"/>
      <c r="QY542" s="770"/>
      <c r="QZ542" s="770"/>
      <c r="RA542" s="770"/>
      <c r="RB542" s="770" t="s">
        <v>1207</v>
      </c>
      <c r="RC542" s="770"/>
      <c r="RD542" s="770"/>
      <c r="RE542" s="770"/>
      <c r="RF542" s="304"/>
      <c r="RG542" s="770" t="s">
        <v>13047</v>
      </c>
      <c r="RH542" s="302"/>
      <c r="RI542" s="770"/>
      <c r="RJ542" s="770" t="s">
        <v>3827</v>
      </c>
      <c r="RK542" s="770" t="s">
        <v>13556</v>
      </c>
      <c r="RL542" s="1710"/>
      <c r="RM542" s="12"/>
      <c r="RN542" s="1711"/>
      <c r="RO542" s="132" t="s">
        <v>2781</v>
      </c>
      <c r="RP542" s="11"/>
      <c r="RQ542" s="11"/>
      <c r="RR542" s="19" t="s">
        <v>7421</v>
      </c>
      <c r="RS542" s="1139" t="s">
        <v>12980</v>
      </c>
      <c r="RT542" s="11"/>
      <c r="RU542" s="11"/>
      <c r="RV542" s="771" t="s">
        <v>7419</v>
      </c>
      <c r="RW542" s="11" t="s">
        <v>7710</v>
      </c>
      <c r="RX542" s="11" t="s">
        <v>3807</v>
      </c>
      <c r="RY542" s="11"/>
      <c r="RZ542" s="11" t="s">
        <v>1101</v>
      </c>
      <c r="SA542" s="771"/>
      <c r="SB542" s="11"/>
      <c r="SC542" s="11"/>
    </row>
    <row r="543" spans="1:497" ht="12.75" hidden="1" customHeight="1">
      <c r="A543" s="343" t="s">
        <v>7419</v>
      </c>
      <c r="B543" s="752" t="s">
        <v>7712</v>
      </c>
      <c r="C543" s="132" t="s">
        <v>2701</v>
      </c>
      <c r="D543" s="94" t="s">
        <v>2702</v>
      </c>
      <c r="E543" s="766" t="s">
        <v>3631</v>
      </c>
      <c r="F543" s="770" t="s">
        <v>28</v>
      </c>
      <c r="G543" s="770" t="s">
        <v>10</v>
      </c>
      <c r="H543" s="295"/>
      <c r="I543" s="295"/>
      <c r="J543" s="94" t="s">
        <v>2702</v>
      </c>
      <c r="K543" s="766" t="s">
        <v>2703</v>
      </c>
      <c r="L543" s="766" t="s">
        <v>2704</v>
      </c>
      <c r="M543" s="770" t="s">
        <v>1238</v>
      </c>
      <c r="N543" s="770"/>
      <c r="O543" s="770" t="s">
        <v>2705</v>
      </c>
      <c r="P543" s="770" t="s">
        <v>2706</v>
      </c>
      <c r="Q543" s="1088"/>
      <c r="R543" s="297"/>
      <c r="S543" s="770" t="s">
        <v>10</v>
      </c>
      <c r="T543" s="770"/>
      <c r="U543" s="298"/>
      <c r="V543" s="770" t="s">
        <v>707</v>
      </c>
      <c r="W543" s="770"/>
      <c r="X543" s="770"/>
      <c r="Y543" s="770" t="s">
        <v>3631</v>
      </c>
      <c r="Z543" s="770" t="s">
        <v>708</v>
      </c>
      <c r="AA543" s="770" t="s">
        <v>709</v>
      </c>
      <c r="AB543" s="770" t="s">
        <v>710</v>
      </c>
      <c r="AC543" s="770"/>
      <c r="AD543" s="770" t="s">
        <v>711</v>
      </c>
      <c r="AE543" s="770"/>
      <c r="AF543" s="770" t="s">
        <v>712</v>
      </c>
      <c r="AG543" s="766" t="s">
        <v>1095</v>
      </c>
      <c r="AH543" s="766" t="s">
        <v>1096</v>
      </c>
      <c r="AI543" s="770" t="s">
        <v>3294</v>
      </c>
      <c r="AJ543" s="770"/>
      <c r="AK543" s="770" t="s">
        <v>1097</v>
      </c>
      <c r="AL543" s="531">
        <v>63.66</v>
      </c>
      <c r="AM543" s="780">
        <v>2.02</v>
      </c>
      <c r="AN543" s="532">
        <f t="shared" si="154"/>
        <v>3.1731071316368209E-2</v>
      </c>
      <c r="AO543" s="766" t="s">
        <v>1098</v>
      </c>
      <c r="AP543" s="766" t="s">
        <v>5364</v>
      </c>
      <c r="AQ543" s="766" t="s">
        <v>7418</v>
      </c>
      <c r="AR543" s="766"/>
      <c r="AS543" s="769"/>
      <c r="AT543" s="770"/>
      <c r="AU543" s="770"/>
      <c r="AV543" s="770"/>
      <c r="AW543" s="770"/>
      <c r="AX543" s="13"/>
      <c r="AY543" s="770" t="s">
        <v>1208</v>
      </c>
      <c r="AZ543" s="770"/>
      <c r="BA543" s="770"/>
      <c r="BB543" s="770"/>
      <c r="BC543" s="770"/>
      <c r="BD543" s="770"/>
      <c r="BE543" s="770"/>
      <c r="BF543" s="302"/>
      <c r="BG543" s="302"/>
      <c r="BH543" s="770"/>
      <c r="BI543" s="770"/>
      <c r="BJ543" s="770"/>
      <c r="BK543" s="770" t="s">
        <v>1095</v>
      </c>
      <c r="BL543" s="770" t="s">
        <v>2707</v>
      </c>
      <c r="BM543" s="766" t="s">
        <v>1096</v>
      </c>
      <c r="BN543" s="770" t="s">
        <v>1230</v>
      </c>
      <c r="BO543" s="766" t="s">
        <v>1239</v>
      </c>
      <c r="BP543" s="765">
        <v>127.26</v>
      </c>
      <c r="BQ543" s="773">
        <v>4.04</v>
      </c>
      <c r="BR543" s="774">
        <f t="shared" si="155"/>
        <v>3.1746031746031744E-2</v>
      </c>
      <c r="BS543" s="766" t="s">
        <v>1242</v>
      </c>
      <c r="BT543" s="766" t="s">
        <v>2040</v>
      </c>
      <c r="BU543" s="770" t="s">
        <v>1249</v>
      </c>
      <c r="BV543" s="770" t="s">
        <v>1247</v>
      </c>
      <c r="BW543" s="770">
        <v>1983</v>
      </c>
      <c r="BX543" s="302"/>
      <c r="BY543" s="770"/>
      <c r="BZ543" s="302"/>
      <c r="CA543" s="770"/>
      <c r="CB543" s="770"/>
      <c r="CC543" s="770"/>
      <c r="CD543" s="770"/>
      <c r="CE543" s="770"/>
      <c r="CF543" s="1753"/>
      <c r="CG543" s="1754"/>
      <c r="CH543" s="770"/>
      <c r="CI543" s="770"/>
      <c r="CJ543" s="770"/>
      <c r="CK543" s="770"/>
      <c r="CL543" s="770"/>
      <c r="CM543" s="770"/>
      <c r="CN543" s="770"/>
      <c r="CO543" s="770"/>
      <c r="CP543" s="770"/>
      <c r="CQ543" s="770"/>
      <c r="CR543" s="302"/>
      <c r="CS543" s="770"/>
      <c r="CT543" s="770"/>
      <c r="CU543" s="305"/>
      <c r="CV543" s="770"/>
      <c r="CW543" s="770"/>
      <c r="CX543" s="770"/>
      <c r="CY543" s="770"/>
      <c r="CZ543" s="770"/>
      <c r="DA543" s="306"/>
      <c r="DB543" s="770"/>
      <c r="DC543" s="770"/>
      <c r="DD543" s="770"/>
      <c r="DE543" s="300"/>
      <c r="DF543" s="770"/>
      <c r="DG543" s="770"/>
      <c r="DH543" s="770"/>
      <c r="DI543" s="770"/>
      <c r="DJ543" s="770"/>
      <c r="DK543" s="770"/>
      <c r="DL543" s="770"/>
      <c r="DM543" s="770"/>
      <c r="DN543" s="322"/>
      <c r="DO543" s="770"/>
      <c r="DP543" s="770"/>
      <c r="DQ543" s="770"/>
      <c r="DR543" s="770"/>
      <c r="DS543" s="307"/>
      <c r="DT543" s="770"/>
      <c r="DU543" s="770"/>
      <c r="DV543" s="770"/>
      <c r="DW543" s="306"/>
      <c r="DX543" s="306"/>
      <c r="DY543" s="770"/>
      <c r="DZ543" s="770"/>
      <c r="EA543" s="770"/>
      <c r="EB543" s="770"/>
      <c r="EC543" s="770"/>
      <c r="ED543" s="770"/>
      <c r="EE543" s="770"/>
      <c r="EF543" s="770"/>
      <c r="EG543" s="770"/>
      <c r="EH543" s="770"/>
      <c r="EI543" s="770"/>
      <c r="EJ543" s="770"/>
      <c r="EK543" s="770"/>
      <c r="EL543" s="770"/>
      <c r="EM543" s="770"/>
      <c r="EN543" s="770"/>
      <c r="EO543" s="770"/>
      <c r="EP543" s="94"/>
      <c r="EQ543" s="770"/>
      <c r="ER543" s="770"/>
      <c r="ES543" s="770"/>
      <c r="ET543" s="770"/>
      <c r="EU543" s="770"/>
      <c r="EV543" s="770"/>
      <c r="EW543" s="770"/>
      <c r="EX543" s="770"/>
      <c r="EY543" s="770"/>
      <c r="EZ543" s="770"/>
      <c r="FA543" s="770"/>
      <c r="FB543" s="770"/>
      <c r="FC543" s="770"/>
      <c r="FD543" s="302"/>
      <c r="FE543" s="770"/>
      <c r="FF543" s="770"/>
      <c r="FG543" s="770"/>
      <c r="FH543" s="770" t="s">
        <v>478</v>
      </c>
      <c r="FI543" s="770">
        <v>1</v>
      </c>
      <c r="FJ543" s="770"/>
      <c r="FK543" s="770"/>
      <c r="FL543" s="770"/>
      <c r="FM543" s="302"/>
      <c r="FN543" s="302"/>
      <c r="FO543" s="302"/>
      <c r="FP543" s="770" t="s">
        <v>1600</v>
      </c>
      <c r="FQ543" s="770" t="s">
        <v>1642</v>
      </c>
      <c r="FR543" s="770" t="s">
        <v>1214</v>
      </c>
      <c r="FS543" s="770"/>
      <c r="FT543" s="770"/>
      <c r="FU543" s="770"/>
      <c r="FV543" s="770"/>
      <c r="FW543" s="770"/>
      <c r="FX543" s="770"/>
      <c r="FY543" s="770"/>
      <c r="FZ543" s="770"/>
      <c r="GA543" s="770"/>
      <c r="GB543" s="770" t="s">
        <v>1734</v>
      </c>
      <c r="GC543" s="308"/>
      <c r="GD543" s="297">
        <v>1983</v>
      </c>
      <c r="GE543" s="770" t="s">
        <v>1214</v>
      </c>
      <c r="GF543" s="302"/>
      <c r="GG543" s="302"/>
      <c r="GH543" s="770"/>
      <c r="GI543" s="770"/>
      <c r="GJ543" s="770"/>
      <c r="GK543" s="770"/>
      <c r="GL543" s="770"/>
      <c r="GM543" s="770"/>
      <c r="GN543" s="299"/>
      <c r="GO543" s="770"/>
      <c r="GP543" s="770"/>
      <c r="GQ543" s="770"/>
      <c r="GR543" s="770"/>
      <c r="GS543" s="770"/>
      <c r="GT543" s="770"/>
      <c r="GU543" s="770"/>
      <c r="GV543" s="770"/>
      <c r="GW543" s="770"/>
      <c r="GX543" s="770"/>
      <c r="GY543" s="770"/>
      <c r="GZ543" s="770"/>
      <c r="HA543" s="770"/>
      <c r="HB543" s="770"/>
      <c r="HC543" s="770"/>
      <c r="HD543" s="770"/>
      <c r="HE543" s="770"/>
      <c r="HF543" s="770"/>
      <c r="HG543" s="770"/>
      <c r="HH543" s="770"/>
      <c r="HI543" s="770"/>
      <c r="HJ543" s="770"/>
      <c r="HK543" s="770"/>
      <c r="HL543" s="770"/>
      <c r="HM543" s="770"/>
      <c r="HN543" s="770"/>
      <c r="HO543" s="770"/>
      <c r="HP543" s="770"/>
      <c r="HQ543" s="770"/>
      <c r="HR543" s="770">
        <v>3</v>
      </c>
      <c r="HS543" s="770"/>
      <c r="HT543" s="770"/>
      <c r="HU543" s="770"/>
      <c r="HV543" s="770"/>
      <c r="HW543" s="770"/>
      <c r="HX543" s="770"/>
      <c r="HY543" s="770"/>
      <c r="HZ543" s="770"/>
      <c r="IA543" s="770"/>
      <c r="IB543" s="770" t="s">
        <v>1207</v>
      </c>
      <c r="IC543" s="770"/>
      <c r="ID543" s="770"/>
      <c r="IE543" s="770"/>
      <c r="IF543" s="770"/>
      <c r="IG543" s="770"/>
      <c r="IH543" s="770"/>
      <c r="II543" s="770"/>
      <c r="IJ543" s="770"/>
      <c r="IK543" s="770"/>
      <c r="IL543" s="770"/>
      <c r="IM543" s="770"/>
      <c r="IN543" s="770"/>
      <c r="IO543" s="296"/>
      <c r="IP543" s="770"/>
      <c r="IQ543" s="770"/>
      <c r="IR543" s="770"/>
      <c r="IS543" s="770"/>
      <c r="IT543" s="770"/>
      <c r="IU543" s="770"/>
      <c r="IV543" s="770"/>
      <c r="IW543" s="770"/>
      <c r="IX543" s="770"/>
      <c r="IY543" s="770"/>
      <c r="IZ543" s="770"/>
      <c r="JA543" s="770"/>
      <c r="JB543" s="770"/>
      <c r="JC543" s="770"/>
      <c r="JD543" s="302"/>
      <c r="JE543" s="770"/>
      <c r="JF543" s="770"/>
      <c r="JG543" s="770"/>
      <c r="JH543" s="307"/>
      <c r="JI543" s="307"/>
      <c r="JJ543" s="770">
        <v>5</v>
      </c>
      <c r="JK543" s="770" t="s">
        <v>2708</v>
      </c>
      <c r="JL543" s="770"/>
      <c r="JM543" s="770">
        <v>1</v>
      </c>
      <c r="JN543" s="770">
        <v>2</v>
      </c>
      <c r="JO543" s="770">
        <v>2</v>
      </c>
      <c r="JP543" s="770"/>
      <c r="JQ543" s="770"/>
      <c r="JR543" s="770"/>
      <c r="JS543" s="770"/>
      <c r="JT543" s="766">
        <f t="shared" si="156"/>
        <v>2</v>
      </c>
      <c r="JU543" s="766">
        <f t="shared" si="156"/>
        <v>3</v>
      </c>
      <c r="JV543" s="766"/>
      <c r="JW543" s="766"/>
      <c r="JX543" s="770"/>
      <c r="JY543" s="770"/>
      <c r="JZ543" s="770"/>
      <c r="KA543" s="770">
        <v>1</v>
      </c>
      <c r="KB543" s="770"/>
      <c r="KC543" s="770">
        <v>2</v>
      </c>
      <c r="KD543" s="770">
        <v>2</v>
      </c>
      <c r="KE543" s="770"/>
      <c r="KF543" s="770"/>
      <c r="KG543" s="770"/>
      <c r="KH543" s="770"/>
      <c r="KI543" s="770"/>
      <c r="KJ543" s="770">
        <f t="shared" si="153"/>
        <v>2</v>
      </c>
      <c r="KK543" s="770">
        <f t="shared" si="153"/>
        <v>3</v>
      </c>
      <c r="KL543" s="770"/>
      <c r="KM543" s="770"/>
      <c r="KN543" s="770" t="s">
        <v>707</v>
      </c>
      <c r="KO543" s="770"/>
      <c r="KP543" s="770"/>
      <c r="KQ543" s="770"/>
      <c r="KR543" s="770"/>
      <c r="KS543" s="770"/>
      <c r="KT543" s="770"/>
      <c r="KU543" s="770">
        <v>1</v>
      </c>
      <c r="KV543" s="770"/>
      <c r="KW543" s="770"/>
      <c r="KX543" s="770"/>
      <c r="KY543" s="770"/>
      <c r="KZ543" s="770"/>
      <c r="LA543" s="770"/>
      <c r="LB543" s="770">
        <v>1</v>
      </c>
      <c r="LC543" s="770"/>
      <c r="LD543" s="770">
        <v>1</v>
      </c>
      <c r="LE543" s="770">
        <v>2</v>
      </c>
      <c r="LF543" s="770"/>
      <c r="LG543" s="770"/>
      <c r="LH543" s="770"/>
      <c r="LI543" s="770"/>
      <c r="LJ543" s="770"/>
      <c r="LK543" s="770"/>
      <c r="LL543" s="770"/>
      <c r="LM543" s="770"/>
      <c r="LN543" s="766">
        <f t="shared" si="134"/>
        <v>2</v>
      </c>
      <c r="LO543" s="766">
        <f t="shared" si="134"/>
        <v>3</v>
      </c>
      <c r="LP543" s="770">
        <v>2</v>
      </c>
      <c r="LQ543" s="770">
        <v>2</v>
      </c>
      <c r="LR543" s="770"/>
      <c r="LS543" s="770"/>
      <c r="LT543" s="770"/>
      <c r="LU543" s="770">
        <v>2</v>
      </c>
      <c r="LV543" s="770"/>
      <c r="LW543" s="770"/>
      <c r="LX543" s="769"/>
      <c r="LY543" s="766" t="str">
        <f t="shared" si="135"/>
        <v/>
      </c>
      <c r="LZ543" s="1709">
        <f>SUM(104,104)</f>
        <v>208</v>
      </c>
      <c r="MA543" s="1709"/>
      <c r="MB543" s="1709"/>
      <c r="MC543" s="1679">
        <f t="shared" si="133"/>
        <v>208</v>
      </c>
      <c r="MD543" s="1709">
        <f>SUM(18000,18000)</f>
        <v>36000</v>
      </c>
      <c r="ME543" s="1709"/>
      <c r="MF543" s="1709"/>
      <c r="MG543" s="1680">
        <f t="shared" si="149"/>
        <v>36000</v>
      </c>
      <c r="MH543" s="770" t="s">
        <v>2226</v>
      </c>
      <c r="MI543" s="302">
        <v>15000</v>
      </c>
      <c r="MJ543" s="302">
        <v>104</v>
      </c>
      <c r="MK543" s="302">
        <v>2000</v>
      </c>
      <c r="ML543" s="302">
        <v>2000</v>
      </c>
      <c r="MM543" s="302">
        <v>2500</v>
      </c>
      <c r="MN543" s="302"/>
      <c r="MO543" s="302">
        <v>600</v>
      </c>
      <c r="MP543" s="302">
        <v>1500</v>
      </c>
      <c r="MQ543" s="302">
        <v>2500</v>
      </c>
      <c r="MR543" s="302">
        <v>500</v>
      </c>
      <c r="MS543" s="302"/>
      <c r="MT543" s="302"/>
      <c r="MU543" s="302"/>
      <c r="MV543" s="302"/>
      <c r="MW543" s="302"/>
      <c r="MX543" s="302"/>
      <c r="MY543" s="1682">
        <f t="shared" si="147"/>
        <v>26704</v>
      </c>
      <c r="MZ543" s="770" t="s">
        <v>13370</v>
      </c>
      <c r="NA543" s="770" t="s">
        <v>13230</v>
      </c>
      <c r="NB543" s="770" t="s">
        <v>13016</v>
      </c>
      <c r="NC543" s="770" t="s">
        <v>13602</v>
      </c>
      <c r="ND543" s="770">
        <v>0</v>
      </c>
      <c r="NE543" s="770">
        <v>0</v>
      </c>
      <c r="NF543" s="770">
        <v>1</v>
      </c>
      <c r="NG543" s="770">
        <v>1</v>
      </c>
      <c r="NH543" s="770">
        <v>1</v>
      </c>
      <c r="NI543" s="770">
        <v>0</v>
      </c>
      <c r="NJ543" s="770">
        <v>0</v>
      </c>
      <c r="NK543" s="770">
        <v>0</v>
      </c>
      <c r="NL543" s="770">
        <v>1</v>
      </c>
      <c r="NM543" s="770">
        <v>1</v>
      </c>
      <c r="NN543" s="770">
        <v>0</v>
      </c>
      <c r="NO543" s="770">
        <v>0</v>
      </c>
      <c r="NP543" s="770">
        <v>0</v>
      </c>
      <c r="NQ543" s="770">
        <v>0</v>
      </c>
      <c r="NR543" s="770">
        <v>0</v>
      </c>
      <c r="NS543" s="770">
        <v>0</v>
      </c>
      <c r="NT543" s="770">
        <v>0</v>
      </c>
      <c r="NU543" s="770">
        <v>0</v>
      </c>
      <c r="NV543" s="770">
        <v>0</v>
      </c>
      <c r="NW543" s="770">
        <v>0</v>
      </c>
      <c r="NX543" s="770">
        <v>0</v>
      </c>
      <c r="NY543" s="770"/>
      <c r="NZ543" s="770"/>
      <c r="OA543" s="770"/>
      <c r="OB543" s="770"/>
      <c r="OC543" s="770" t="s">
        <v>1208</v>
      </c>
      <c r="OD543" s="770"/>
      <c r="OE543" s="770"/>
      <c r="OF543" s="770"/>
      <c r="OG543" s="770"/>
      <c r="OH543" s="770"/>
      <c r="OI543" s="770"/>
      <c r="OJ543" s="770"/>
      <c r="OK543" s="770"/>
      <c r="OL543" s="770"/>
      <c r="OM543" s="770"/>
      <c r="ON543" s="770"/>
      <c r="OO543" s="770"/>
      <c r="OP543" s="770"/>
      <c r="OQ543" s="770"/>
      <c r="OR543" s="770"/>
      <c r="OS543" s="770"/>
      <c r="OT543" s="770"/>
      <c r="OU543" s="770"/>
      <c r="OV543" s="770"/>
      <c r="OW543" s="770"/>
      <c r="OX543" s="770"/>
      <c r="OY543" s="770"/>
      <c r="OZ543" s="770"/>
      <c r="PA543" s="770"/>
      <c r="PB543" s="770"/>
      <c r="PC543" s="770"/>
      <c r="PD543" s="770"/>
      <c r="PE543" s="770"/>
      <c r="PF543" s="770"/>
      <c r="PG543" s="770"/>
      <c r="PH543" s="770"/>
      <c r="PI543" s="770"/>
      <c r="PJ543" s="770"/>
      <c r="PK543" s="770" t="s">
        <v>1208</v>
      </c>
      <c r="PL543" s="770"/>
      <c r="PM543" s="770"/>
      <c r="PN543" s="770"/>
      <c r="PO543" s="770"/>
      <c r="PP543" s="770"/>
      <c r="PQ543" s="770"/>
      <c r="PR543" s="770"/>
      <c r="PS543" s="770"/>
      <c r="PT543" s="770"/>
      <c r="PU543" s="770"/>
      <c r="PV543" s="770"/>
      <c r="PW543" s="770"/>
      <c r="PX543" s="770"/>
      <c r="PY543" s="770"/>
      <c r="PZ543" s="770"/>
      <c r="QA543" s="770"/>
      <c r="QB543" s="770"/>
      <c r="QC543" s="770"/>
      <c r="QD543" s="770"/>
      <c r="QE543" s="770"/>
      <c r="QF543" s="770"/>
      <c r="QG543" s="770"/>
      <c r="QH543" s="770"/>
      <c r="QI543" s="770"/>
      <c r="QJ543" s="770"/>
      <c r="QK543" s="770"/>
      <c r="QL543" s="770"/>
      <c r="QM543" s="770"/>
      <c r="QN543" s="770"/>
      <c r="QO543" s="770"/>
      <c r="QP543" s="770"/>
      <c r="QQ543" s="770"/>
      <c r="QR543" s="770"/>
      <c r="QS543" s="770"/>
      <c r="QT543" s="770"/>
      <c r="QU543" s="770"/>
      <c r="QV543" s="770"/>
      <c r="QW543" s="770"/>
      <c r="QX543" s="770"/>
      <c r="QY543" s="770"/>
      <c r="QZ543" s="770"/>
      <c r="RA543" s="770"/>
      <c r="RB543" s="770" t="s">
        <v>1214</v>
      </c>
      <c r="RC543" s="770"/>
      <c r="RD543" s="770"/>
      <c r="RE543" s="770"/>
      <c r="RF543" s="304"/>
      <c r="RG543" s="770"/>
      <c r="RH543" s="302"/>
      <c r="RI543" s="770"/>
      <c r="RJ543" s="770" t="s">
        <v>2708</v>
      </c>
      <c r="RK543" s="770" t="s">
        <v>13544</v>
      </c>
      <c r="RL543" s="1710"/>
      <c r="RM543" s="12"/>
      <c r="RN543" s="1711"/>
      <c r="RO543" s="132" t="s">
        <v>2701</v>
      </c>
      <c r="RP543" s="11"/>
      <c r="RQ543" s="11"/>
      <c r="RR543" s="17"/>
      <c r="RS543" s="767"/>
      <c r="RT543" s="11"/>
      <c r="RU543" s="11"/>
      <c r="RV543" s="771" t="s">
        <v>7421</v>
      </c>
      <c r="RW543" s="11" t="s">
        <v>7787</v>
      </c>
      <c r="RX543" s="11" t="s">
        <v>3814</v>
      </c>
      <c r="RY543" s="11"/>
      <c r="RZ543" s="11" t="s">
        <v>1101</v>
      </c>
      <c r="SA543" s="771"/>
      <c r="SB543" s="11"/>
      <c r="SC543" s="11"/>
    </row>
    <row r="544" spans="1:497" ht="12.75" hidden="1" customHeight="1">
      <c r="A544" s="17" t="s">
        <v>7419</v>
      </c>
      <c r="B544" s="752" t="s">
        <v>7788</v>
      </c>
      <c r="C544" s="133" t="s">
        <v>2709</v>
      </c>
      <c r="D544" s="94" t="s">
        <v>3025</v>
      </c>
      <c r="E544" s="766" t="s">
        <v>2713</v>
      </c>
      <c r="F544" s="770" t="s">
        <v>28</v>
      </c>
      <c r="G544" s="770" t="s">
        <v>10</v>
      </c>
      <c r="H544" s="5" t="s">
        <v>2710</v>
      </c>
      <c r="I544" s="295"/>
      <c r="J544" s="94" t="s">
        <v>3025</v>
      </c>
      <c r="K544" s="766" t="s">
        <v>2720</v>
      </c>
      <c r="L544" s="766" t="s">
        <v>2721</v>
      </c>
      <c r="M544" s="770" t="s">
        <v>1238</v>
      </c>
      <c r="N544" s="770"/>
      <c r="O544" s="770" t="s">
        <v>2705</v>
      </c>
      <c r="P544" s="770" t="s">
        <v>2711</v>
      </c>
      <c r="Q544" s="1088">
        <v>22963</v>
      </c>
      <c r="R544" s="297">
        <v>55</v>
      </c>
      <c r="S544" s="770" t="s">
        <v>10</v>
      </c>
      <c r="T544" s="295" t="s">
        <v>2710</v>
      </c>
      <c r="U544" s="298"/>
      <c r="V544" s="770"/>
      <c r="W544" s="770"/>
      <c r="X544" s="770"/>
      <c r="Y544" s="770" t="s">
        <v>2729</v>
      </c>
      <c r="Z544" s="770" t="s">
        <v>708</v>
      </c>
      <c r="AA544" s="770" t="s">
        <v>709</v>
      </c>
      <c r="AB544" s="770" t="s">
        <v>710</v>
      </c>
      <c r="AC544" s="770" t="s">
        <v>724</v>
      </c>
      <c r="AD544" s="770" t="s">
        <v>711</v>
      </c>
      <c r="AE544" s="770" t="s">
        <v>1073</v>
      </c>
      <c r="AF544" s="770" t="s">
        <v>712</v>
      </c>
      <c r="AG544" s="766" t="s">
        <v>1095</v>
      </c>
      <c r="AH544" s="766" t="s">
        <v>1096</v>
      </c>
      <c r="AI544" s="770" t="s">
        <v>3294</v>
      </c>
      <c r="AJ544" s="770"/>
      <c r="AK544" s="770" t="s">
        <v>1097</v>
      </c>
      <c r="AL544" s="531">
        <v>27.52</v>
      </c>
      <c r="AM544" s="780">
        <v>18.059999999999999</v>
      </c>
      <c r="AN544" s="532">
        <f t="shared" si="154"/>
        <v>0.65625</v>
      </c>
      <c r="AO544" s="766" t="s">
        <v>1105</v>
      </c>
      <c r="AP544" s="766" t="s">
        <v>5364</v>
      </c>
      <c r="AQ544" s="766" t="s">
        <v>7418</v>
      </c>
      <c r="AR544" s="766"/>
      <c r="AS544" s="770"/>
      <c r="AT544" s="770"/>
      <c r="AU544" s="770"/>
      <c r="AV544" s="770"/>
      <c r="AW544" s="770"/>
      <c r="AX544" s="770"/>
      <c r="AY544" s="770"/>
      <c r="AZ544" s="770"/>
      <c r="BA544" s="770"/>
      <c r="BB544" s="770"/>
      <c r="BC544" s="770"/>
      <c r="BD544" s="770"/>
      <c r="BE544" s="770"/>
      <c r="BF544" s="302"/>
      <c r="BG544" s="302"/>
      <c r="BH544" s="770"/>
      <c r="BI544" s="770"/>
      <c r="BJ544" s="770"/>
      <c r="BK544" s="770"/>
      <c r="BL544" s="770"/>
      <c r="BM544" s="770" t="s">
        <v>1238</v>
      </c>
      <c r="BN544" s="770" t="s">
        <v>1299</v>
      </c>
      <c r="BO544" s="774"/>
      <c r="BP544" s="774"/>
      <c r="BQ544" s="774"/>
      <c r="BR544" s="774"/>
      <c r="BS544" s="766" t="s">
        <v>1242</v>
      </c>
      <c r="BT544" s="774"/>
      <c r="BU544" s="774"/>
      <c r="BV544" s="774"/>
      <c r="BW544" s="774"/>
      <c r="BX544" s="302"/>
      <c r="BY544" s="770"/>
      <c r="BZ544" s="302"/>
      <c r="CA544" s="770"/>
      <c r="CB544" s="770"/>
      <c r="CC544" s="770"/>
      <c r="CD544" s="770"/>
      <c r="CE544" s="770"/>
      <c r="CF544" s="1753"/>
      <c r="CG544" s="1754"/>
      <c r="CH544" s="770"/>
      <c r="CI544" s="770"/>
      <c r="CJ544" s="770"/>
      <c r="CK544" s="770"/>
      <c r="CL544" s="770"/>
      <c r="CM544" s="770"/>
      <c r="CN544" s="770"/>
      <c r="CO544" s="770"/>
      <c r="CP544" s="770"/>
      <c r="CQ544" s="770"/>
      <c r="CR544" s="302"/>
      <c r="CS544" s="770"/>
      <c r="CT544" s="770"/>
      <c r="CU544" s="305"/>
      <c r="CV544" s="770"/>
      <c r="CW544" s="770"/>
      <c r="CX544" s="770"/>
      <c r="CY544" s="770"/>
      <c r="CZ544" s="770"/>
      <c r="DA544" s="306"/>
      <c r="DB544" s="770"/>
      <c r="DC544" s="770"/>
      <c r="DD544" s="770"/>
      <c r="DE544" s="300"/>
      <c r="DF544" s="770"/>
      <c r="DG544" s="770"/>
      <c r="DH544" s="770"/>
      <c r="DI544" s="770"/>
      <c r="DJ544" s="770"/>
      <c r="DK544" s="770"/>
      <c r="DL544" s="770"/>
      <c r="DM544" s="770"/>
      <c r="DN544" s="322"/>
      <c r="DO544" s="770"/>
      <c r="DP544" s="770"/>
      <c r="DQ544" s="770"/>
      <c r="DR544" s="770"/>
      <c r="DS544" s="307"/>
      <c r="DT544" s="770"/>
      <c r="DU544" s="770"/>
      <c r="DV544" s="770"/>
      <c r="DW544" s="306"/>
      <c r="DX544" s="306"/>
      <c r="DY544" s="770"/>
      <c r="DZ544" s="770"/>
      <c r="EA544" s="770"/>
      <c r="EB544" s="770"/>
      <c r="EC544" s="770"/>
      <c r="ED544" s="770"/>
      <c r="EE544" s="770"/>
      <c r="EF544" s="770"/>
      <c r="EG544" s="770"/>
      <c r="EH544" s="770"/>
      <c r="EI544" s="770"/>
      <c r="EJ544" s="770"/>
      <c r="EK544" s="770"/>
      <c r="EL544" s="770"/>
      <c r="EM544" s="770"/>
      <c r="EN544" s="770"/>
      <c r="EO544" s="770"/>
      <c r="EP544" s="94"/>
      <c r="EQ544" s="770"/>
      <c r="ER544" s="770"/>
      <c r="ES544" s="770"/>
      <c r="ET544" s="770"/>
      <c r="EU544" s="770"/>
      <c r="EV544" s="770"/>
      <c r="EW544" s="770"/>
      <c r="EX544" s="770"/>
      <c r="EY544" s="770"/>
      <c r="EZ544" s="770"/>
      <c r="FA544" s="770"/>
      <c r="FB544" s="770"/>
      <c r="FC544" s="770"/>
      <c r="FD544" s="302"/>
      <c r="FE544" s="770"/>
      <c r="FF544" s="770"/>
      <c r="FG544" s="770"/>
      <c r="FH544" s="770" t="s">
        <v>7891</v>
      </c>
      <c r="FI544" s="770"/>
      <c r="FJ544" s="770"/>
      <c r="FK544" s="770"/>
      <c r="FL544" s="770"/>
      <c r="FM544" s="302"/>
      <c r="FN544" s="302"/>
      <c r="FO544" s="302"/>
      <c r="FP544" s="770"/>
      <c r="FQ544" s="770"/>
      <c r="FR544" s="770" t="s">
        <v>1214</v>
      </c>
      <c r="FS544" s="770"/>
      <c r="FT544" s="770"/>
      <c r="FU544" s="770"/>
      <c r="FV544" s="770"/>
      <c r="FW544" s="770"/>
      <c r="FX544" s="770"/>
      <c r="FY544" s="770"/>
      <c r="FZ544" s="770"/>
      <c r="GA544" s="770"/>
      <c r="GB544" s="770"/>
      <c r="GC544" s="308"/>
      <c r="GD544" s="297"/>
      <c r="GE544" s="770"/>
      <c r="GF544" s="302"/>
      <c r="GG544" s="302"/>
      <c r="GH544" s="766" t="s">
        <v>14260</v>
      </c>
      <c r="GI544" s="770"/>
      <c r="GJ544" s="770" t="s">
        <v>2712</v>
      </c>
      <c r="GK544" s="770"/>
      <c r="GL544" s="770"/>
      <c r="GM544" s="770"/>
      <c r="GN544" s="299"/>
      <c r="GO544" s="770"/>
      <c r="GP544" s="770"/>
      <c r="GQ544" s="770"/>
      <c r="GR544" s="770"/>
      <c r="GS544" s="770"/>
      <c r="GT544" s="770"/>
      <c r="GU544" s="770"/>
      <c r="GV544" s="770"/>
      <c r="GW544" s="770"/>
      <c r="GX544" s="770"/>
      <c r="GY544" s="770"/>
      <c r="GZ544" s="770"/>
      <c r="HA544" s="770"/>
      <c r="HB544" s="770"/>
      <c r="HC544" s="770"/>
      <c r="HD544" s="770"/>
      <c r="HE544" s="770"/>
      <c r="HF544" s="770"/>
      <c r="HG544" s="770"/>
      <c r="HH544" s="770"/>
      <c r="HI544" s="770" t="s">
        <v>1214</v>
      </c>
      <c r="HJ544" s="770"/>
      <c r="HK544" s="770"/>
      <c r="HL544" s="770" t="s">
        <v>1214</v>
      </c>
      <c r="HM544" s="770"/>
      <c r="HN544" s="770"/>
      <c r="HO544" s="770"/>
      <c r="HP544" s="770"/>
      <c r="HQ544" s="770"/>
      <c r="HR544" s="770"/>
      <c r="HS544" s="770"/>
      <c r="HT544" s="770"/>
      <c r="HU544" s="770"/>
      <c r="HV544" s="770"/>
      <c r="HW544" s="770"/>
      <c r="HX544" s="770"/>
      <c r="HY544" s="770"/>
      <c r="HZ544" s="770"/>
      <c r="IA544" s="770"/>
      <c r="IB544" s="770" t="s">
        <v>1207</v>
      </c>
      <c r="IC544" s="770"/>
      <c r="ID544" s="770"/>
      <c r="IE544" s="770">
        <v>1</v>
      </c>
      <c r="IF544" s="770" t="s">
        <v>3026</v>
      </c>
      <c r="IG544" s="770" t="s">
        <v>10</v>
      </c>
      <c r="IH544" s="770" t="s">
        <v>478</v>
      </c>
      <c r="II544" s="770" t="s">
        <v>2713</v>
      </c>
      <c r="IJ544" s="770" t="s">
        <v>2714</v>
      </c>
      <c r="IK544" s="770" t="s">
        <v>2639</v>
      </c>
      <c r="IL544" s="770" t="s">
        <v>2715</v>
      </c>
      <c r="IM544" s="770">
        <v>2007</v>
      </c>
      <c r="IN544" s="770" t="s">
        <v>2715</v>
      </c>
      <c r="IO544" s="296">
        <v>22963</v>
      </c>
      <c r="IP544" s="770" t="s">
        <v>478</v>
      </c>
      <c r="IQ544" s="769" t="s">
        <v>2727</v>
      </c>
      <c r="IR544" s="770" t="s">
        <v>2716</v>
      </c>
      <c r="IS544" s="770" t="s">
        <v>1879</v>
      </c>
      <c r="IT544" s="770"/>
      <c r="IU544" s="770" t="s">
        <v>1208</v>
      </c>
      <c r="IV544" s="770"/>
      <c r="IW544" s="770" t="s">
        <v>2711</v>
      </c>
      <c r="IX544" s="770" t="s">
        <v>2710</v>
      </c>
      <c r="IY544" s="770"/>
      <c r="IZ544" s="770"/>
      <c r="JA544" s="770" t="s">
        <v>1880</v>
      </c>
      <c r="JB544" s="770" t="s">
        <v>1901</v>
      </c>
      <c r="JC544" s="770"/>
      <c r="JD544" s="302">
        <f>800*30</f>
        <v>24000</v>
      </c>
      <c r="JE544" s="770"/>
      <c r="JF544" s="770"/>
      <c r="JG544" s="770"/>
      <c r="JH544" s="307"/>
      <c r="JI544" s="307"/>
      <c r="JJ544" s="770">
        <v>4</v>
      </c>
      <c r="JK544" s="770" t="s">
        <v>2715</v>
      </c>
      <c r="JL544" s="770"/>
      <c r="JM544" s="770"/>
      <c r="JN544" s="770">
        <v>2</v>
      </c>
      <c r="JO544" s="770">
        <v>2</v>
      </c>
      <c r="JP544" s="770"/>
      <c r="JQ544" s="770"/>
      <c r="JR544" s="770"/>
      <c r="JS544" s="770"/>
      <c r="JT544" s="766">
        <f t="shared" si="156"/>
        <v>2</v>
      </c>
      <c r="JU544" s="766">
        <f t="shared" si="156"/>
        <v>2</v>
      </c>
      <c r="JV544" s="766"/>
      <c r="JW544" s="766"/>
      <c r="JX544" s="770"/>
      <c r="JY544" s="770"/>
      <c r="JZ544" s="770"/>
      <c r="KA544" s="770"/>
      <c r="KB544" s="770">
        <v>1</v>
      </c>
      <c r="KC544" s="770">
        <v>1</v>
      </c>
      <c r="KD544" s="770">
        <v>1</v>
      </c>
      <c r="KE544" s="770">
        <v>1</v>
      </c>
      <c r="KF544" s="770"/>
      <c r="KG544" s="770"/>
      <c r="KH544" s="770"/>
      <c r="KI544" s="770"/>
      <c r="KJ544" s="770">
        <f t="shared" si="153"/>
        <v>2</v>
      </c>
      <c r="KK544" s="770">
        <f t="shared" si="153"/>
        <v>2</v>
      </c>
      <c r="KL544" s="770"/>
      <c r="KM544" s="770"/>
      <c r="KN544" s="770" t="s">
        <v>707</v>
      </c>
      <c r="KO544" s="770"/>
      <c r="KP544" s="770"/>
      <c r="KQ544" s="770"/>
      <c r="KR544" s="770"/>
      <c r="KS544" s="770"/>
      <c r="KT544" s="770"/>
      <c r="KU544" s="770">
        <v>1</v>
      </c>
      <c r="KV544" s="770"/>
      <c r="KW544" s="770"/>
      <c r="KX544" s="770">
        <v>2</v>
      </c>
      <c r="KY544" s="770"/>
      <c r="KZ544" s="770"/>
      <c r="LA544" s="770"/>
      <c r="LB544" s="770"/>
      <c r="LC544" s="770">
        <v>1</v>
      </c>
      <c r="LD544" s="770"/>
      <c r="LE544" s="770"/>
      <c r="LF544" s="770"/>
      <c r="LG544" s="770"/>
      <c r="LH544" s="770"/>
      <c r="LI544" s="770"/>
      <c r="LJ544" s="770"/>
      <c r="LK544" s="770"/>
      <c r="LL544" s="770"/>
      <c r="LM544" s="770"/>
      <c r="LN544" s="766">
        <f t="shared" si="134"/>
        <v>2</v>
      </c>
      <c r="LO544" s="766">
        <f t="shared" si="134"/>
        <v>2</v>
      </c>
      <c r="LP544" s="770">
        <v>3</v>
      </c>
      <c r="LQ544" s="770"/>
      <c r="LR544" s="770"/>
      <c r="LS544" s="770">
        <v>3</v>
      </c>
      <c r="LT544" s="770"/>
      <c r="LU544" s="770"/>
      <c r="LV544" s="770"/>
      <c r="LW544" s="770"/>
      <c r="LX544" s="769">
        <v>1</v>
      </c>
      <c r="LY544" s="766" t="str">
        <f t="shared" si="135"/>
        <v>within the BRGY</v>
      </c>
      <c r="LZ544" s="1709"/>
      <c r="MA544" s="1709"/>
      <c r="MB544" s="1709">
        <v>400</v>
      </c>
      <c r="MC544" s="1679">
        <f t="shared" si="133"/>
        <v>400</v>
      </c>
      <c r="MD544" s="1709"/>
      <c r="ME544" s="1709"/>
      <c r="MF544" s="1709">
        <f>SUM(24000,3800,7500)</f>
        <v>35300</v>
      </c>
      <c r="MG544" s="1680">
        <f t="shared" si="149"/>
        <v>35300</v>
      </c>
      <c r="MH544" s="770" t="s">
        <v>2971</v>
      </c>
      <c r="MI544" s="302">
        <v>3750</v>
      </c>
      <c r="MJ544" s="302">
        <v>400</v>
      </c>
      <c r="MK544" s="302">
        <v>250</v>
      </c>
      <c r="ML544" s="302">
        <v>180</v>
      </c>
      <c r="MM544" s="302">
        <v>700</v>
      </c>
      <c r="MN544" s="302"/>
      <c r="MO544" s="302">
        <v>200</v>
      </c>
      <c r="MP544" s="302">
        <v>800</v>
      </c>
      <c r="MQ544" s="302">
        <v>180</v>
      </c>
      <c r="MR544" s="302">
        <v>500</v>
      </c>
      <c r="MS544" s="302"/>
      <c r="MT544" s="302"/>
      <c r="MU544" s="302"/>
      <c r="MV544" s="302"/>
      <c r="MW544" s="302"/>
      <c r="MX544" s="302"/>
      <c r="MY544" s="1682">
        <f t="shared" si="147"/>
        <v>6960</v>
      </c>
      <c r="MZ544" s="770" t="s">
        <v>13370</v>
      </c>
      <c r="NA544" s="770" t="s">
        <v>13230</v>
      </c>
      <c r="NB544" s="770" t="s">
        <v>13016</v>
      </c>
      <c r="NC544" s="770" t="s">
        <v>13602</v>
      </c>
      <c r="ND544" s="770">
        <v>0</v>
      </c>
      <c r="NE544" s="770">
        <v>0</v>
      </c>
      <c r="NF544" s="770">
        <v>0</v>
      </c>
      <c r="NG544" s="770">
        <v>2</v>
      </c>
      <c r="NH544" s="770">
        <v>1</v>
      </c>
      <c r="NI544" s="770">
        <v>1</v>
      </c>
      <c r="NJ544" s="770">
        <v>0</v>
      </c>
      <c r="NK544" s="770">
        <v>0</v>
      </c>
      <c r="NL544" s="770">
        <v>0</v>
      </c>
      <c r="NM544" s="770">
        <v>0</v>
      </c>
      <c r="NN544" s="770">
        <v>0</v>
      </c>
      <c r="NO544" s="770">
        <v>0</v>
      </c>
      <c r="NP544" s="770">
        <v>0</v>
      </c>
      <c r="NQ544" s="770">
        <v>0</v>
      </c>
      <c r="NR544" s="770">
        <v>0</v>
      </c>
      <c r="NS544" s="770">
        <v>0</v>
      </c>
      <c r="NT544" s="770">
        <v>0</v>
      </c>
      <c r="NU544" s="770">
        <v>0</v>
      </c>
      <c r="NV544" s="770">
        <v>0</v>
      </c>
      <c r="NW544" s="770">
        <v>0</v>
      </c>
      <c r="NX544" s="770">
        <v>0</v>
      </c>
      <c r="NY544" s="770"/>
      <c r="NZ544" s="770"/>
      <c r="OA544" s="770"/>
      <c r="OB544" s="770"/>
      <c r="OC544" s="770" t="s">
        <v>1208</v>
      </c>
      <c r="OD544" s="770"/>
      <c r="OE544" s="770"/>
      <c r="OF544" s="770" t="s">
        <v>2143</v>
      </c>
      <c r="OG544" s="770"/>
      <c r="OH544" s="770"/>
      <c r="OI544" s="770"/>
      <c r="OJ544" s="770"/>
      <c r="OK544" s="770" t="s">
        <v>1208</v>
      </c>
      <c r="OL544" s="770"/>
      <c r="OM544" s="770"/>
      <c r="ON544" s="770"/>
      <c r="OO544" s="770" t="s">
        <v>1214</v>
      </c>
      <c r="OP544" s="770"/>
      <c r="OQ544" s="770"/>
      <c r="OR544" s="770"/>
      <c r="OS544" s="770"/>
      <c r="OT544" s="770"/>
      <c r="OU544" s="770"/>
      <c r="OV544" s="770"/>
      <c r="OW544" s="770"/>
      <c r="OX544" s="770"/>
      <c r="OY544" s="770"/>
      <c r="OZ544" s="770"/>
      <c r="PA544" s="770"/>
      <c r="PB544" s="770"/>
      <c r="PC544" s="770"/>
      <c r="PD544" s="770"/>
      <c r="PE544" s="770"/>
      <c r="PF544" s="770"/>
      <c r="PG544" s="770"/>
      <c r="PH544" s="770" t="s">
        <v>1208</v>
      </c>
      <c r="PI544" s="770"/>
      <c r="PJ544" s="770"/>
      <c r="PK544" s="770" t="s">
        <v>1208</v>
      </c>
      <c r="PL544" s="770"/>
      <c r="PM544" s="770" t="s">
        <v>1208</v>
      </c>
      <c r="PN544" s="770"/>
      <c r="PO544" s="770"/>
      <c r="PP544" s="770"/>
      <c r="PQ544" s="770"/>
      <c r="PR544" s="770"/>
      <c r="PS544" s="770"/>
      <c r="PT544" s="770"/>
      <c r="PU544" s="770"/>
      <c r="PV544" s="770"/>
      <c r="PW544" s="770"/>
      <c r="PX544" s="770"/>
      <c r="PY544" s="770"/>
      <c r="PZ544" s="770"/>
      <c r="QA544" s="770"/>
      <c r="QB544" s="770"/>
      <c r="QC544" s="770"/>
      <c r="QD544" s="770"/>
      <c r="QE544" s="770"/>
      <c r="QF544" s="770"/>
      <c r="QG544" s="770"/>
      <c r="QH544" s="770"/>
      <c r="QI544" s="770"/>
      <c r="QJ544" s="770"/>
      <c r="QK544" s="770"/>
      <c r="QL544" s="770"/>
      <c r="QM544" s="770"/>
      <c r="QN544" s="770"/>
      <c r="QO544" s="770"/>
      <c r="QP544" s="770"/>
      <c r="QQ544" s="770"/>
      <c r="QR544" s="770"/>
      <c r="QS544" s="770"/>
      <c r="QT544" s="770"/>
      <c r="QU544" s="770"/>
      <c r="QV544" s="770"/>
      <c r="QW544" s="770"/>
      <c r="QX544" s="770"/>
      <c r="QY544" s="770"/>
      <c r="QZ544" s="770"/>
      <c r="RA544" s="770"/>
      <c r="RB544" s="770" t="s">
        <v>1214</v>
      </c>
      <c r="RC544" s="770"/>
      <c r="RD544" s="770"/>
      <c r="RE544" s="770"/>
      <c r="RF544" s="304"/>
      <c r="RG544" s="770"/>
      <c r="RH544" s="302"/>
      <c r="RI544" s="770"/>
      <c r="RJ544" s="770" t="s">
        <v>13719</v>
      </c>
      <c r="RK544" s="770" t="s">
        <v>13556</v>
      </c>
      <c r="RL544" s="1710"/>
      <c r="RM544" s="12"/>
      <c r="RN544" s="1711"/>
      <c r="RO544" s="133" t="s">
        <v>2709</v>
      </c>
      <c r="RP544" s="11"/>
      <c r="RQ544" s="11"/>
      <c r="RR544" s="17"/>
      <c r="RS544" s="767"/>
      <c r="RT544" s="11"/>
      <c r="RU544" s="11"/>
      <c r="RV544" s="771" t="s">
        <v>7421</v>
      </c>
      <c r="RW544" s="11" t="s">
        <v>7711</v>
      </c>
      <c r="RX544" s="11" t="s">
        <v>2781</v>
      </c>
      <c r="RY544" s="11"/>
      <c r="RZ544" s="11"/>
      <c r="SA544" s="771"/>
      <c r="SB544" s="11"/>
      <c r="SC544" s="11"/>
    </row>
    <row r="545" spans="1:497" ht="12.75" hidden="1" customHeight="1">
      <c r="A545" s="17" t="s">
        <v>14216</v>
      </c>
      <c r="B545" s="752" t="s">
        <v>7789</v>
      </c>
      <c r="C545" s="133" t="s">
        <v>3828</v>
      </c>
      <c r="D545" s="94" t="s">
        <v>2717</v>
      </c>
      <c r="E545" s="766" t="s">
        <v>2718</v>
      </c>
      <c r="F545" s="770" t="s">
        <v>28</v>
      </c>
      <c r="G545" s="770" t="s">
        <v>10</v>
      </c>
      <c r="H545" s="14" t="s">
        <v>5319</v>
      </c>
      <c r="I545" s="295"/>
      <c r="J545" s="94" t="s">
        <v>2719</v>
      </c>
      <c r="K545" s="766" t="s">
        <v>2720</v>
      </c>
      <c r="L545" s="766" t="s">
        <v>2721</v>
      </c>
      <c r="M545" s="770" t="s">
        <v>1238</v>
      </c>
      <c r="N545" s="770"/>
      <c r="O545" s="770" t="s">
        <v>2705</v>
      </c>
      <c r="P545" s="770" t="s">
        <v>2722</v>
      </c>
      <c r="Q545" s="1088">
        <v>30701</v>
      </c>
      <c r="R545" s="297">
        <v>33</v>
      </c>
      <c r="S545" s="770" t="s">
        <v>10</v>
      </c>
      <c r="T545" s="770" t="s">
        <v>5319</v>
      </c>
      <c r="U545" s="295" t="s">
        <v>2728</v>
      </c>
      <c r="V545" s="770" t="s">
        <v>707</v>
      </c>
      <c r="W545" s="770"/>
      <c r="X545" s="770"/>
      <c r="Y545" s="770" t="s">
        <v>2718</v>
      </c>
      <c r="Z545" s="770" t="s">
        <v>708</v>
      </c>
      <c r="AA545" s="770" t="s">
        <v>709</v>
      </c>
      <c r="AB545" s="770" t="s">
        <v>710</v>
      </c>
      <c r="AC545" s="770" t="s">
        <v>724</v>
      </c>
      <c r="AD545" s="770" t="s">
        <v>711</v>
      </c>
      <c r="AE545" s="770"/>
      <c r="AF545" s="770" t="s">
        <v>712</v>
      </c>
      <c r="AG545" s="766" t="s">
        <v>1095</v>
      </c>
      <c r="AH545" s="766" t="s">
        <v>1096</v>
      </c>
      <c r="AI545" s="770" t="s">
        <v>3294</v>
      </c>
      <c r="AJ545" s="770"/>
      <c r="AK545" s="770" t="s">
        <v>5454</v>
      </c>
      <c r="AL545" s="531"/>
      <c r="AM545" s="780"/>
      <c r="AN545" s="532"/>
      <c r="AO545" s="766"/>
      <c r="AP545" s="766" t="s">
        <v>5364</v>
      </c>
      <c r="AQ545" s="766"/>
      <c r="AR545" s="766"/>
      <c r="AS545" s="769"/>
      <c r="AT545" s="770"/>
      <c r="AU545" s="770"/>
      <c r="AV545" s="770"/>
      <c r="AW545" s="770"/>
      <c r="AX545" s="770"/>
      <c r="AY545" s="770"/>
      <c r="AZ545" s="770"/>
      <c r="BA545" s="770"/>
      <c r="BB545" s="770"/>
      <c r="BC545" s="770"/>
      <c r="BD545" s="770"/>
      <c r="BE545" s="770"/>
      <c r="BF545" s="302"/>
      <c r="BG545" s="302"/>
      <c r="BH545" s="770"/>
      <c r="BI545" s="770"/>
      <c r="BJ545" s="770"/>
      <c r="BK545" s="770" t="s">
        <v>1095</v>
      </c>
      <c r="BL545" s="770" t="s">
        <v>2723</v>
      </c>
      <c r="BM545" s="766" t="s">
        <v>1096</v>
      </c>
      <c r="BN545" s="770" t="s">
        <v>1230</v>
      </c>
      <c r="BO545" s="770" t="s">
        <v>1275</v>
      </c>
      <c r="BP545" s="765">
        <v>82.56</v>
      </c>
      <c r="BQ545" s="773">
        <v>54.18</v>
      </c>
      <c r="BR545" s="774">
        <f>BQ545/BP545</f>
        <v>0.65625</v>
      </c>
      <c r="BS545" s="766" t="s">
        <v>1105</v>
      </c>
      <c r="BT545" s="766" t="s">
        <v>2040</v>
      </c>
      <c r="BU545" s="770" t="s">
        <v>1241</v>
      </c>
      <c r="BV545" s="770" t="s">
        <v>2724</v>
      </c>
      <c r="BW545" s="770">
        <v>2009</v>
      </c>
      <c r="BX545" s="302">
        <v>800000</v>
      </c>
      <c r="BY545" s="770"/>
      <c r="BZ545" s="302"/>
      <c r="CA545" s="770"/>
      <c r="CB545" s="770"/>
      <c r="CC545" s="770"/>
      <c r="CD545" s="770"/>
      <c r="CE545" s="770"/>
      <c r="CF545" s="1753"/>
      <c r="CG545" s="1754"/>
      <c r="CH545" s="770"/>
      <c r="CI545" s="770"/>
      <c r="CJ545" s="770"/>
      <c r="CK545" s="770"/>
      <c r="CL545" s="770"/>
      <c r="CM545" s="770"/>
      <c r="CN545" s="770"/>
      <c r="CO545" s="770"/>
      <c r="CP545" s="770"/>
      <c r="CQ545" s="770"/>
      <c r="CR545" s="302"/>
      <c r="CS545" s="770"/>
      <c r="CT545" s="770"/>
      <c r="CU545" s="305"/>
      <c r="CV545" s="770"/>
      <c r="CW545" s="770"/>
      <c r="CX545" s="770"/>
      <c r="CY545" s="770"/>
      <c r="CZ545" s="770"/>
      <c r="DA545" s="306"/>
      <c r="DB545" s="770"/>
      <c r="DC545" s="770"/>
      <c r="DD545" s="770"/>
      <c r="DE545" s="300"/>
      <c r="DF545" s="770"/>
      <c r="DG545" s="770"/>
      <c r="DH545" s="770"/>
      <c r="DI545" s="770"/>
      <c r="DJ545" s="770"/>
      <c r="DK545" s="770"/>
      <c r="DL545" s="770"/>
      <c r="DM545" s="770"/>
      <c r="DN545" s="322"/>
      <c r="DO545" s="770"/>
      <c r="DP545" s="770"/>
      <c r="DQ545" s="770"/>
      <c r="DR545" s="770"/>
      <c r="DS545" s="307"/>
      <c r="DT545" s="770"/>
      <c r="DU545" s="770"/>
      <c r="DV545" s="770"/>
      <c r="DW545" s="306"/>
      <c r="DX545" s="306"/>
      <c r="DY545" s="770"/>
      <c r="DZ545" s="770"/>
      <c r="EA545" s="770"/>
      <c r="EB545" s="770"/>
      <c r="EC545" s="770"/>
      <c r="ED545" s="770"/>
      <c r="EE545" s="770"/>
      <c r="EF545" s="770"/>
      <c r="EG545" s="770"/>
      <c r="EH545" s="770"/>
      <c r="EI545" s="770"/>
      <c r="EJ545" s="770"/>
      <c r="EK545" s="770"/>
      <c r="EL545" s="770"/>
      <c r="EM545" s="770"/>
      <c r="EN545" s="770"/>
      <c r="EO545" s="770"/>
      <c r="EP545" s="94"/>
      <c r="EQ545" s="770"/>
      <c r="ER545" s="770"/>
      <c r="ES545" s="770"/>
      <c r="ET545" s="770"/>
      <c r="EU545" s="770"/>
      <c r="EV545" s="770"/>
      <c r="EW545" s="770"/>
      <c r="EX545" s="770"/>
      <c r="EY545" s="770"/>
      <c r="EZ545" s="770"/>
      <c r="FA545" s="770"/>
      <c r="FB545" s="770"/>
      <c r="FC545" s="770"/>
      <c r="FD545" s="302"/>
      <c r="FE545" s="770"/>
      <c r="FF545" s="770"/>
      <c r="FG545" s="770"/>
      <c r="FH545" s="770" t="s">
        <v>478</v>
      </c>
      <c r="FI545" s="770">
        <v>1</v>
      </c>
      <c r="FJ545" s="770"/>
      <c r="FK545" s="770"/>
      <c r="FL545" s="770"/>
      <c r="FM545" s="302"/>
      <c r="FN545" s="302"/>
      <c r="FO545" s="302"/>
      <c r="FP545" s="770" t="s">
        <v>1602</v>
      </c>
      <c r="FQ545" s="770" t="s">
        <v>1660</v>
      </c>
      <c r="FR545" s="770" t="s">
        <v>1214</v>
      </c>
      <c r="FS545" s="770"/>
      <c r="FT545" s="770"/>
      <c r="FU545" s="770"/>
      <c r="FV545" s="770"/>
      <c r="FW545" s="770"/>
      <c r="FX545" s="770"/>
      <c r="FY545" s="770"/>
      <c r="FZ545" s="770"/>
      <c r="GA545" s="770" t="s">
        <v>2725</v>
      </c>
      <c r="GB545" s="770" t="s">
        <v>1734</v>
      </c>
      <c r="GC545" s="308"/>
      <c r="GD545" s="297">
        <v>2009</v>
      </c>
      <c r="GE545" s="770" t="s">
        <v>1214</v>
      </c>
      <c r="GF545" s="302"/>
      <c r="GG545" s="302"/>
      <c r="GH545" s="766" t="s">
        <v>14260</v>
      </c>
      <c r="GI545" s="770"/>
      <c r="GJ545" s="770"/>
      <c r="GK545" s="770"/>
      <c r="GL545" s="770"/>
      <c r="GM545" s="770"/>
      <c r="GN545" s="299"/>
      <c r="GO545" s="770"/>
      <c r="GP545" s="770"/>
      <c r="GQ545" s="770"/>
      <c r="GR545" s="770"/>
      <c r="GS545" s="770"/>
      <c r="GT545" s="770"/>
      <c r="GU545" s="770"/>
      <c r="GV545" s="770"/>
      <c r="GW545" s="770"/>
      <c r="GX545" s="770"/>
      <c r="GY545" s="770"/>
      <c r="GZ545" s="770"/>
      <c r="HA545" s="770"/>
      <c r="HB545" s="770"/>
      <c r="HC545" s="770"/>
      <c r="HD545" s="770"/>
      <c r="HE545" s="770"/>
      <c r="HF545" s="770"/>
      <c r="HG545" s="770"/>
      <c r="HH545" s="770"/>
      <c r="HI545" s="770" t="s">
        <v>1214</v>
      </c>
      <c r="HJ545" s="770"/>
      <c r="HK545" s="770"/>
      <c r="HL545" s="770" t="s">
        <v>1214</v>
      </c>
      <c r="HM545" s="770"/>
      <c r="HN545" s="770"/>
      <c r="HO545" s="770"/>
      <c r="HP545" s="770"/>
      <c r="HQ545" s="770"/>
      <c r="HR545" s="770"/>
      <c r="HS545" s="770"/>
      <c r="HT545" s="770"/>
      <c r="HU545" s="770"/>
      <c r="HV545" s="770"/>
      <c r="HW545" s="770"/>
      <c r="HX545" s="770"/>
      <c r="HY545" s="770"/>
      <c r="HZ545" s="770"/>
      <c r="IA545" s="770"/>
      <c r="IB545" s="770"/>
      <c r="IC545" s="770"/>
      <c r="ID545" s="770"/>
      <c r="IE545" s="770"/>
      <c r="IF545" s="770" t="s">
        <v>2717</v>
      </c>
      <c r="IG545" s="770" t="s">
        <v>10</v>
      </c>
      <c r="IH545" s="770" t="s">
        <v>478</v>
      </c>
      <c r="II545" s="770" t="s">
        <v>2718</v>
      </c>
      <c r="IJ545" s="770" t="s">
        <v>2726</v>
      </c>
      <c r="IK545" s="770" t="s">
        <v>2639</v>
      </c>
      <c r="IL545" s="770" t="s">
        <v>2723</v>
      </c>
      <c r="IM545" s="770">
        <v>1997</v>
      </c>
      <c r="IN545" s="770" t="s">
        <v>2723</v>
      </c>
      <c r="IO545" s="296">
        <v>30701</v>
      </c>
      <c r="IP545" s="770" t="s">
        <v>478</v>
      </c>
      <c r="IQ545" s="769" t="s">
        <v>2727</v>
      </c>
      <c r="IR545" s="770" t="s">
        <v>2716</v>
      </c>
      <c r="IS545" s="770" t="s">
        <v>1883</v>
      </c>
      <c r="IT545" s="770"/>
      <c r="IU545" s="770" t="s">
        <v>1208</v>
      </c>
      <c r="IV545" s="770"/>
      <c r="IW545" s="770" t="s">
        <v>13720</v>
      </c>
      <c r="IX545" s="770"/>
      <c r="IY545" s="770" t="s">
        <v>2728</v>
      </c>
      <c r="IZ545" s="770"/>
      <c r="JA545" s="770" t="s">
        <v>1880</v>
      </c>
      <c r="JB545" s="770" t="s">
        <v>12766</v>
      </c>
      <c r="JC545" s="1772" t="s">
        <v>12778</v>
      </c>
      <c r="JD545" s="302">
        <v>30000</v>
      </c>
      <c r="JE545" s="770">
        <v>2</v>
      </c>
      <c r="JF545" s="770">
        <v>2</v>
      </c>
      <c r="JG545" s="770"/>
      <c r="JH545" s="307">
        <f>SUM(2500,1500)</f>
        <v>4000</v>
      </c>
      <c r="JI545" s="307"/>
      <c r="JJ545" s="770">
        <v>5</v>
      </c>
      <c r="JK545" s="770" t="s">
        <v>2723</v>
      </c>
      <c r="JL545" s="770"/>
      <c r="JM545" s="770">
        <v>1</v>
      </c>
      <c r="JN545" s="770">
        <v>3</v>
      </c>
      <c r="JO545" s="770">
        <v>1</v>
      </c>
      <c r="JP545" s="770"/>
      <c r="JQ545" s="770"/>
      <c r="JR545" s="770"/>
      <c r="JS545" s="770"/>
      <c r="JT545" s="766">
        <f t="shared" si="156"/>
        <v>3</v>
      </c>
      <c r="JU545" s="766">
        <f t="shared" si="156"/>
        <v>2</v>
      </c>
      <c r="JV545" s="766"/>
      <c r="JW545" s="766"/>
      <c r="JX545" s="770"/>
      <c r="JY545" s="770"/>
      <c r="JZ545" s="770"/>
      <c r="KA545" s="770">
        <v>1</v>
      </c>
      <c r="KB545" s="770">
        <v>2</v>
      </c>
      <c r="KC545" s="770"/>
      <c r="KD545" s="770">
        <v>1</v>
      </c>
      <c r="KE545" s="770">
        <v>1</v>
      </c>
      <c r="KF545" s="770"/>
      <c r="KG545" s="770"/>
      <c r="KH545" s="770"/>
      <c r="KI545" s="770"/>
      <c r="KJ545" s="770">
        <f t="shared" si="153"/>
        <v>3</v>
      </c>
      <c r="KK545" s="770">
        <f t="shared" si="153"/>
        <v>2</v>
      </c>
      <c r="KL545" s="770"/>
      <c r="KM545" s="770"/>
      <c r="KN545" s="770" t="s">
        <v>707</v>
      </c>
      <c r="KO545" s="770"/>
      <c r="KP545" s="770"/>
      <c r="KQ545" s="770"/>
      <c r="KR545" s="770"/>
      <c r="KS545" s="770"/>
      <c r="KT545" s="770"/>
      <c r="KU545" s="770"/>
      <c r="KV545" s="770"/>
      <c r="KW545" s="770"/>
      <c r="KX545" s="770">
        <v>2</v>
      </c>
      <c r="KY545" s="770">
        <v>1</v>
      </c>
      <c r="KZ545" s="770"/>
      <c r="LA545" s="770"/>
      <c r="LB545" s="770"/>
      <c r="LC545" s="770"/>
      <c r="LD545" s="770">
        <v>1</v>
      </c>
      <c r="LE545" s="770">
        <v>1</v>
      </c>
      <c r="LF545" s="770"/>
      <c r="LG545" s="770"/>
      <c r="LH545" s="770"/>
      <c r="LI545" s="770"/>
      <c r="LJ545" s="770"/>
      <c r="LK545" s="770"/>
      <c r="LL545" s="770"/>
      <c r="LM545" s="770"/>
      <c r="LN545" s="766">
        <f t="shared" si="134"/>
        <v>3</v>
      </c>
      <c r="LO545" s="766">
        <f t="shared" si="134"/>
        <v>2</v>
      </c>
      <c r="LP545" s="770">
        <v>1</v>
      </c>
      <c r="LQ545" s="770"/>
      <c r="LR545" s="770">
        <v>1</v>
      </c>
      <c r="LS545" s="770"/>
      <c r="LT545" s="770"/>
      <c r="LU545" s="770"/>
      <c r="LV545" s="770"/>
      <c r="LW545" s="770"/>
      <c r="LX545" s="769">
        <v>1</v>
      </c>
      <c r="LY545" s="766" t="str">
        <f t="shared" si="135"/>
        <v>within the BRGY</v>
      </c>
      <c r="LZ545" s="1709"/>
      <c r="MA545" s="1709"/>
      <c r="MB545" s="1709"/>
      <c r="MC545" s="1679">
        <f t="shared" si="133"/>
        <v>0</v>
      </c>
      <c r="MD545" s="1709"/>
      <c r="ME545" s="1709"/>
      <c r="MF545" s="1709">
        <v>30000</v>
      </c>
      <c r="MG545" s="1680">
        <f t="shared" si="149"/>
        <v>30000</v>
      </c>
      <c r="MH545" s="770" t="s">
        <v>13721</v>
      </c>
      <c r="MI545" s="302">
        <v>5000</v>
      </c>
      <c r="MJ545" s="302">
        <v>3000</v>
      </c>
      <c r="MK545" s="302">
        <v>335</v>
      </c>
      <c r="ML545" s="302">
        <v>2000</v>
      </c>
      <c r="MM545" s="302">
        <v>2000</v>
      </c>
      <c r="MN545" s="302"/>
      <c r="MO545" s="302">
        <v>2100</v>
      </c>
      <c r="MP545" s="302">
        <v>600</v>
      </c>
      <c r="MQ545" s="302">
        <v>1000</v>
      </c>
      <c r="MR545" s="302">
        <v>400</v>
      </c>
      <c r="MS545" s="302"/>
      <c r="MT545" s="302"/>
      <c r="MU545" s="302"/>
      <c r="MV545" s="302"/>
      <c r="MW545" s="302"/>
      <c r="MX545" s="302"/>
      <c r="MY545" s="1682">
        <f t="shared" si="147"/>
        <v>16435</v>
      </c>
      <c r="MZ545" s="770" t="s">
        <v>13370</v>
      </c>
      <c r="NA545" s="770" t="s">
        <v>13005</v>
      </c>
      <c r="NB545" s="770" t="s">
        <v>13016</v>
      </c>
      <c r="NC545" s="770" t="s">
        <v>13602</v>
      </c>
      <c r="ND545" s="770">
        <v>0</v>
      </c>
      <c r="NE545" s="770">
        <v>1</v>
      </c>
      <c r="NF545" s="770">
        <v>0</v>
      </c>
      <c r="NG545" s="770">
        <v>1</v>
      </c>
      <c r="NH545" s="770">
        <v>1</v>
      </c>
      <c r="NI545" s="770">
        <v>0</v>
      </c>
      <c r="NJ545" s="770">
        <v>0</v>
      </c>
      <c r="NK545" s="770">
        <v>0</v>
      </c>
      <c r="NL545" s="770">
        <v>0</v>
      </c>
      <c r="NM545" s="770">
        <v>1</v>
      </c>
      <c r="NN545" s="770">
        <v>0</v>
      </c>
      <c r="NO545" s="770">
        <v>0</v>
      </c>
      <c r="NP545" s="770">
        <v>1</v>
      </c>
      <c r="NQ545" s="770">
        <v>0</v>
      </c>
      <c r="NR545" s="770">
        <v>0</v>
      </c>
      <c r="NS545" s="770">
        <v>0</v>
      </c>
      <c r="NT545" s="770">
        <v>0</v>
      </c>
      <c r="NU545" s="770">
        <v>0</v>
      </c>
      <c r="NV545" s="770">
        <v>0</v>
      </c>
      <c r="NW545" s="770">
        <v>0</v>
      </c>
      <c r="NX545" s="770">
        <v>0</v>
      </c>
      <c r="NY545" s="770" t="s">
        <v>1208</v>
      </c>
      <c r="NZ545" s="770" t="s">
        <v>1208</v>
      </c>
      <c r="OA545" s="770"/>
      <c r="OB545" s="770"/>
      <c r="OC545" s="770" t="s">
        <v>1208</v>
      </c>
      <c r="OD545" s="770" t="s">
        <v>1208</v>
      </c>
      <c r="OE545" s="770"/>
      <c r="OF545" s="770" t="s">
        <v>2143</v>
      </c>
      <c r="OG545" s="770"/>
      <c r="OH545" s="770"/>
      <c r="OI545" s="770"/>
      <c r="OJ545" s="770"/>
      <c r="OK545" s="770"/>
      <c r="OL545" s="770"/>
      <c r="OM545" s="770"/>
      <c r="ON545" s="770"/>
      <c r="OO545" s="770"/>
      <c r="OP545" s="770"/>
      <c r="OQ545" s="770"/>
      <c r="OR545" s="770"/>
      <c r="OS545" s="770"/>
      <c r="OT545" s="770"/>
      <c r="OU545" s="770"/>
      <c r="OV545" s="770"/>
      <c r="OW545" s="770"/>
      <c r="OX545" s="770"/>
      <c r="OY545" s="770"/>
      <c r="OZ545" s="770"/>
      <c r="PA545" s="770"/>
      <c r="PB545" s="770"/>
      <c r="PC545" s="770"/>
      <c r="PD545" s="770"/>
      <c r="PE545" s="770"/>
      <c r="PF545" s="770"/>
      <c r="PG545" s="770"/>
      <c r="PH545" s="770"/>
      <c r="PI545" s="770"/>
      <c r="PJ545" s="770"/>
      <c r="PK545" s="770"/>
      <c r="PL545" s="770"/>
      <c r="PM545" s="770"/>
      <c r="PN545" s="770"/>
      <c r="PO545" s="770"/>
      <c r="PP545" s="770"/>
      <c r="PQ545" s="770"/>
      <c r="PR545" s="770"/>
      <c r="PS545" s="770"/>
      <c r="PT545" s="770"/>
      <c r="PU545" s="770"/>
      <c r="PV545" s="770"/>
      <c r="PW545" s="770"/>
      <c r="PX545" s="770"/>
      <c r="PY545" s="770"/>
      <c r="PZ545" s="770"/>
      <c r="QA545" s="770"/>
      <c r="QB545" s="770"/>
      <c r="QC545" s="770"/>
      <c r="QD545" s="770"/>
      <c r="QE545" s="770"/>
      <c r="QF545" s="770"/>
      <c r="QG545" s="770"/>
      <c r="QH545" s="770"/>
      <c r="QI545" s="770"/>
      <c r="QJ545" s="770"/>
      <c r="QK545" s="770"/>
      <c r="QL545" s="770"/>
      <c r="QM545" s="770"/>
      <c r="QN545" s="770"/>
      <c r="QO545" s="770"/>
      <c r="QP545" s="770"/>
      <c r="QQ545" s="770"/>
      <c r="QR545" s="770"/>
      <c r="QS545" s="770"/>
      <c r="QT545" s="770"/>
      <c r="QU545" s="770"/>
      <c r="QV545" s="770"/>
      <c r="QW545" s="770"/>
      <c r="QX545" s="770"/>
      <c r="QY545" s="770"/>
      <c r="QZ545" s="770"/>
      <c r="RA545" s="770"/>
      <c r="RB545" s="770" t="s">
        <v>1214</v>
      </c>
      <c r="RC545" s="770"/>
      <c r="RD545" s="770"/>
      <c r="RE545" s="770"/>
      <c r="RF545" s="304"/>
      <c r="RG545" s="770"/>
      <c r="RH545" s="302"/>
      <c r="RI545" s="770"/>
      <c r="RJ545" s="770" t="s">
        <v>13722</v>
      </c>
      <c r="RK545" s="770" t="s">
        <v>13550</v>
      </c>
      <c r="RL545" s="1710">
        <v>42831</v>
      </c>
      <c r="RM545" s="12"/>
      <c r="RN545" s="1711"/>
      <c r="RO545" s="133" t="s">
        <v>3828</v>
      </c>
      <c r="RP545" s="11"/>
      <c r="RQ545" s="11"/>
      <c r="RR545" s="17"/>
      <c r="RS545" s="767"/>
      <c r="RT545" s="11"/>
      <c r="RU545" s="11"/>
      <c r="RV545" s="771" t="s">
        <v>7419</v>
      </c>
      <c r="RW545" s="11" t="s">
        <v>7712</v>
      </c>
      <c r="RX545" s="11" t="s">
        <v>2701</v>
      </c>
      <c r="RY545" s="11"/>
      <c r="RZ545" s="11" t="s">
        <v>1101</v>
      </c>
      <c r="SA545" s="771"/>
      <c r="SB545" s="11"/>
      <c r="SC545" s="11"/>
    </row>
    <row r="546" spans="1:497" ht="12.75" hidden="1" customHeight="1">
      <c r="A546" s="17" t="s">
        <v>14217</v>
      </c>
      <c r="B546" s="752" t="s">
        <v>7790</v>
      </c>
      <c r="C546" s="133" t="s">
        <v>3830</v>
      </c>
      <c r="D546" s="94" t="s">
        <v>2975</v>
      </c>
      <c r="E546" s="766" t="s">
        <v>2713</v>
      </c>
      <c r="F546" s="770" t="s">
        <v>28</v>
      </c>
      <c r="G546" s="770" t="s">
        <v>10</v>
      </c>
      <c r="H546" s="770"/>
      <c r="I546" s="770"/>
      <c r="J546" s="94" t="s">
        <v>2975</v>
      </c>
      <c r="K546" s="766" t="s">
        <v>2720</v>
      </c>
      <c r="L546" s="766" t="s">
        <v>2721</v>
      </c>
      <c r="M546" s="770" t="s">
        <v>1238</v>
      </c>
      <c r="N546" s="770"/>
      <c r="O546" s="770" t="s">
        <v>2705</v>
      </c>
      <c r="P546" s="770" t="s">
        <v>2730</v>
      </c>
      <c r="Q546" s="1088">
        <v>18171</v>
      </c>
      <c r="R546" s="297">
        <v>67</v>
      </c>
      <c r="S546" s="770" t="s">
        <v>10</v>
      </c>
      <c r="T546" s="770"/>
      <c r="U546" s="298"/>
      <c r="V546" s="770" t="s">
        <v>707</v>
      </c>
      <c r="W546" s="770"/>
      <c r="X546" s="770"/>
      <c r="Y546" s="770" t="s">
        <v>2729</v>
      </c>
      <c r="Z546" s="770" t="s">
        <v>708</v>
      </c>
      <c r="AA546" s="770" t="s">
        <v>709</v>
      </c>
      <c r="AB546" s="770" t="s">
        <v>710</v>
      </c>
      <c r="AC546" s="770"/>
      <c r="AD546" s="770" t="s">
        <v>711</v>
      </c>
      <c r="AE546" s="770" t="s">
        <v>1073</v>
      </c>
      <c r="AF546" s="770" t="s">
        <v>712</v>
      </c>
      <c r="AG546" s="766" t="s">
        <v>1095</v>
      </c>
      <c r="AH546" s="766" t="s">
        <v>1096</v>
      </c>
      <c r="AI546" s="770" t="s">
        <v>3294</v>
      </c>
      <c r="AJ546" s="770"/>
      <c r="AK546" s="770" t="s">
        <v>5454</v>
      </c>
      <c r="AL546" s="531"/>
      <c r="AM546" s="780"/>
      <c r="AN546" s="532"/>
      <c r="AO546" s="766"/>
      <c r="AP546" s="766"/>
      <c r="AQ546" s="766"/>
      <c r="AR546" s="766"/>
      <c r="AS546" s="770"/>
      <c r="AT546" s="770"/>
      <c r="AU546" s="770"/>
      <c r="AV546" s="770"/>
      <c r="AW546" s="770"/>
      <c r="AX546" s="770"/>
      <c r="AY546" s="770"/>
      <c r="AZ546" s="770"/>
      <c r="BA546" s="770"/>
      <c r="BB546" s="770"/>
      <c r="BC546" s="770"/>
      <c r="BD546" s="770"/>
      <c r="BE546" s="770"/>
      <c r="BF546" s="302"/>
      <c r="BG546" s="302"/>
      <c r="BH546" s="770"/>
      <c r="BI546" s="770"/>
      <c r="BJ546" s="770"/>
      <c r="BK546" s="770"/>
      <c r="BL546" s="770"/>
      <c r="BM546" s="770" t="s">
        <v>1238</v>
      </c>
      <c r="BN546" s="770" t="s">
        <v>1299</v>
      </c>
      <c r="BO546" s="770"/>
      <c r="BP546" s="765"/>
      <c r="BQ546" s="773"/>
      <c r="BR546" s="774"/>
      <c r="BS546" s="766" t="s">
        <v>1105</v>
      </c>
      <c r="BT546" s="770"/>
      <c r="BU546" s="770"/>
      <c r="BV546" s="770"/>
      <c r="BW546" s="770"/>
      <c r="BX546" s="302"/>
      <c r="BY546" s="770"/>
      <c r="BZ546" s="302"/>
      <c r="CA546" s="770"/>
      <c r="CB546" s="770"/>
      <c r="CC546" s="770"/>
      <c r="CD546" s="770"/>
      <c r="CE546" s="770"/>
      <c r="CF546" s="1753"/>
      <c r="CG546" s="1754"/>
      <c r="CH546" s="770"/>
      <c r="CI546" s="770"/>
      <c r="CJ546" s="770"/>
      <c r="CK546" s="770"/>
      <c r="CL546" s="770"/>
      <c r="CM546" s="770"/>
      <c r="CN546" s="770"/>
      <c r="CO546" s="770"/>
      <c r="CP546" s="770"/>
      <c r="CQ546" s="770"/>
      <c r="CR546" s="302"/>
      <c r="CS546" s="770"/>
      <c r="CT546" s="770"/>
      <c r="CU546" s="305"/>
      <c r="CV546" s="770"/>
      <c r="CW546" s="770"/>
      <c r="CX546" s="770"/>
      <c r="CY546" s="770"/>
      <c r="CZ546" s="770"/>
      <c r="DA546" s="306"/>
      <c r="DB546" s="770"/>
      <c r="DC546" s="770"/>
      <c r="DD546" s="770"/>
      <c r="DE546" s="300"/>
      <c r="DF546" s="770"/>
      <c r="DG546" s="770"/>
      <c r="DH546" s="770"/>
      <c r="DI546" s="770"/>
      <c r="DJ546" s="770"/>
      <c r="DK546" s="770"/>
      <c r="DL546" s="770"/>
      <c r="DM546" s="770"/>
      <c r="DN546" s="322"/>
      <c r="DO546" s="770"/>
      <c r="DP546" s="770"/>
      <c r="DQ546" s="770"/>
      <c r="DR546" s="770"/>
      <c r="DS546" s="307"/>
      <c r="DT546" s="770"/>
      <c r="DU546" s="770"/>
      <c r="DV546" s="770"/>
      <c r="DW546" s="306"/>
      <c r="DX546" s="306"/>
      <c r="DY546" s="770"/>
      <c r="DZ546" s="770"/>
      <c r="EA546" s="770"/>
      <c r="EB546" s="770"/>
      <c r="EC546" s="770"/>
      <c r="ED546" s="770"/>
      <c r="EE546" s="770"/>
      <c r="EF546" s="770"/>
      <c r="EG546" s="770"/>
      <c r="EH546" s="770"/>
      <c r="EI546" s="770"/>
      <c r="EJ546" s="770"/>
      <c r="EK546" s="770"/>
      <c r="EL546" s="770"/>
      <c r="EM546" s="770"/>
      <c r="EN546" s="770"/>
      <c r="EO546" s="770"/>
      <c r="EP546" s="94"/>
      <c r="EQ546" s="770"/>
      <c r="ER546" s="770"/>
      <c r="ES546" s="770"/>
      <c r="ET546" s="770"/>
      <c r="EU546" s="770"/>
      <c r="EV546" s="770"/>
      <c r="EW546" s="770"/>
      <c r="EX546" s="770"/>
      <c r="EY546" s="770"/>
      <c r="EZ546" s="770"/>
      <c r="FA546" s="770"/>
      <c r="FB546" s="770"/>
      <c r="FC546" s="770"/>
      <c r="FD546" s="302"/>
      <c r="FE546" s="770"/>
      <c r="FF546" s="770"/>
      <c r="FG546" s="770"/>
      <c r="FH546" s="770"/>
      <c r="FI546" s="770"/>
      <c r="FJ546" s="770"/>
      <c r="FK546" s="770"/>
      <c r="FL546" s="770"/>
      <c r="FM546" s="302"/>
      <c r="FN546" s="302"/>
      <c r="FO546" s="302"/>
      <c r="FP546" s="770"/>
      <c r="FQ546" s="770"/>
      <c r="FR546" s="770" t="s">
        <v>1214</v>
      </c>
      <c r="FS546" s="770"/>
      <c r="FT546" s="770"/>
      <c r="FU546" s="770"/>
      <c r="FV546" s="770"/>
      <c r="FW546" s="770"/>
      <c r="FX546" s="770"/>
      <c r="FY546" s="770"/>
      <c r="FZ546" s="770"/>
      <c r="GA546" s="770"/>
      <c r="GB546" s="770"/>
      <c r="GC546" s="308"/>
      <c r="GD546" s="297"/>
      <c r="GE546" s="770"/>
      <c r="GF546" s="302"/>
      <c r="GG546" s="302"/>
      <c r="GH546" s="766" t="s">
        <v>14260</v>
      </c>
      <c r="GI546" s="770"/>
      <c r="GJ546" s="770"/>
      <c r="GK546" s="770"/>
      <c r="GL546" s="770"/>
      <c r="GM546" s="770"/>
      <c r="GN546" s="299"/>
      <c r="GO546" s="770"/>
      <c r="GP546" s="770"/>
      <c r="GQ546" s="770"/>
      <c r="GR546" s="770"/>
      <c r="GS546" s="770"/>
      <c r="GT546" s="770"/>
      <c r="GU546" s="770"/>
      <c r="GV546" s="770"/>
      <c r="GW546" s="770"/>
      <c r="GX546" s="770"/>
      <c r="GY546" s="770"/>
      <c r="GZ546" s="770"/>
      <c r="HA546" s="770"/>
      <c r="HB546" s="770"/>
      <c r="HC546" s="770"/>
      <c r="HD546" s="770"/>
      <c r="HE546" s="770"/>
      <c r="HF546" s="770"/>
      <c r="HG546" s="770"/>
      <c r="HH546" s="770"/>
      <c r="HI546" s="770"/>
      <c r="HJ546" s="770"/>
      <c r="HK546" s="770"/>
      <c r="HL546" s="770"/>
      <c r="HM546" s="770"/>
      <c r="HN546" s="770"/>
      <c r="HO546" s="770"/>
      <c r="HP546" s="770"/>
      <c r="HQ546" s="770"/>
      <c r="HR546" s="770"/>
      <c r="HS546" s="770"/>
      <c r="HT546" s="770"/>
      <c r="HU546" s="770"/>
      <c r="HV546" s="770"/>
      <c r="HW546" s="770"/>
      <c r="HX546" s="770"/>
      <c r="HY546" s="770"/>
      <c r="HZ546" s="770"/>
      <c r="IA546" s="770"/>
      <c r="IB546" s="770" t="s">
        <v>1207</v>
      </c>
      <c r="IC546" s="770"/>
      <c r="ID546" s="770">
        <v>2</v>
      </c>
      <c r="IE546" s="770">
        <v>1</v>
      </c>
      <c r="IF546" s="770" t="s">
        <v>2975</v>
      </c>
      <c r="IG546" s="770" t="s">
        <v>10</v>
      </c>
      <c r="IH546" s="770" t="s">
        <v>478</v>
      </c>
      <c r="II546" s="770" t="s">
        <v>2729</v>
      </c>
      <c r="IJ546" s="770" t="s">
        <v>2731</v>
      </c>
      <c r="IK546" s="770" t="s">
        <v>2639</v>
      </c>
      <c r="IL546" s="770" t="s">
        <v>2732</v>
      </c>
      <c r="IM546" s="770">
        <v>1997</v>
      </c>
      <c r="IN546" s="770" t="s">
        <v>2732</v>
      </c>
      <c r="IO546" s="296">
        <v>18171</v>
      </c>
      <c r="IP546" s="770" t="s">
        <v>478</v>
      </c>
      <c r="IQ546" s="769" t="s">
        <v>2727</v>
      </c>
      <c r="IR546" s="770" t="s">
        <v>2716</v>
      </c>
      <c r="IS546" s="770" t="s">
        <v>1883</v>
      </c>
      <c r="IT546" s="770"/>
      <c r="IU546" s="770" t="s">
        <v>1208</v>
      </c>
      <c r="IV546" s="770"/>
      <c r="IW546" s="770" t="s">
        <v>13723</v>
      </c>
      <c r="IX546" s="770" t="s">
        <v>2710</v>
      </c>
      <c r="IY546" s="770"/>
      <c r="IZ546" s="770"/>
      <c r="JA546" s="770" t="s">
        <v>1880</v>
      </c>
      <c r="JB546" s="770" t="s">
        <v>12766</v>
      </c>
      <c r="JC546" s="770"/>
      <c r="JD546" s="302">
        <v>10000</v>
      </c>
      <c r="JE546" s="770"/>
      <c r="JF546" s="770"/>
      <c r="JG546" s="770"/>
      <c r="JH546" s="307"/>
      <c r="JI546" s="307"/>
      <c r="JJ546" s="770">
        <v>2</v>
      </c>
      <c r="JK546" s="770" t="s">
        <v>2973</v>
      </c>
      <c r="JL546" s="770"/>
      <c r="JM546" s="770"/>
      <c r="JN546" s="770"/>
      <c r="JO546" s="770"/>
      <c r="JP546" s="770">
        <v>1</v>
      </c>
      <c r="JQ546" s="770">
        <v>1</v>
      </c>
      <c r="JR546" s="770"/>
      <c r="JS546" s="770"/>
      <c r="JT546" s="766">
        <f t="shared" si="156"/>
        <v>1</v>
      </c>
      <c r="JU546" s="766">
        <f t="shared" si="156"/>
        <v>1</v>
      </c>
      <c r="JV546" s="766"/>
      <c r="JW546" s="766"/>
      <c r="JX546" s="770"/>
      <c r="JY546" s="770"/>
      <c r="JZ546" s="770"/>
      <c r="KA546" s="770"/>
      <c r="KB546" s="770"/>
      <c r="KC546" s="770"/>
      <c r="KD546" s="770"/>
      <c r="KE546" s="770"/>
      <c r="KF546" s="770">
        <v>1</v>
      </c>
      <c r="KG546" s="770">
        <v>1</v>
      </c>
      <c r="KH546" s="770"/>
      <c r="KI546" s="770"/>
      <c r="KJ546" s="770">
        <f t="shared" si="153"/>
        <v>1</v>
      </c>
      <c r="KK546" s="770">
        <f t="shared" si="153"/>
        <v>1</v>
      </c>
      <c r="KL546" s="770"/>
      <c r="KM546" s="770"/>
      <c r="KN546" s="770" t="s">
        <v>707</v>
      </c>
      <c r="KO546" s="770"/>
      <c r="KP546" s="770"/>
      <c r="KQ546" s="770"/>
      <c r="KR546" s="770"/>
      <c r="KS546" s="770"/>
      <c r="KT546" s="770"/>
      <c r="KU546" s="770"/>
      <c r="KV546" s="770"/>
      <c r="KW546" s="770"/>
      <c r="KX546" s="770"/>
      <c r="KY546" s="770"/>
      <c r="KZ546" s="770">
        <v>1</v>
      </c>
      <c r="LA546" s="770"/>
      <c r="LB546" s="770"/>
      <c r="LC546" s="770"/>
      <c r="LD546" s="770"/>
      <c r="LE546" s="770">
        <v>1</v>
      </c>
      <c r="LF546" s="770"/>
      <c r="LG546" s="770"/>
      <c r="LH546" s="770"/>
      <c r="LI546" s="770"/>
      <c r="LJ546" s="770"/>
      <c r="LK546" s="770"/>
      <c r="LL546" s="770"/>
      <c r="LM546" s="770"/>
      <c r="LN546" s="766">
        <f t="shared" si="134"/>
        <v>1</v>
      </c>
      <c r="LO546" s="766">
        <f t="shared" si="134"/>
        <v>1</v>
      </c>
      <c r="LP546" s="770">
        <v>1</v>
      </c>
      <c r="LQ546" s="770"/>
      <c r="LR546" s="770"/>
      <c r="LS546" s="770">
        <v>1</v>
      </c>
      <c r="LT546" s="770"/>
      <c r="LU546" s="770"/>
      <c r="LV546" s="770"/>
      <c r="LW546" s="770"/>
      <c r="LX546" s="769">
        <v>1</v>
      </c>
      <c r="LY546" s="766" t="str">
        <f t="shared" si="135"/>
        <v>within the BRGY</v>
      </c>
      <c r="LZ546" s="1709"/>
      <c r="MA546" s="1709"/>
      <c r="MB546" s="1709"/>
      <c r="MC546" s="1679">
        <f t="shared" si="133"/>
        <v>0</v>
      </c>
      <c r="MD546" s="1709"/>
      <c r="ME546" s="1709"/>
      <c r="MF546" s="1709">
        <v>10000</v>
      </c>
      <c r="MG546" s="1680">
        <f t="shared" si="149"/>
        <v>10000</v>
      </c>
      <c r="MH546" s="770" t="s">
        <v>2731</v>
      </c>
      <c r="MI546" s="302">
        <v>15000</v>
      </c>
      <c r="MJ546" s="302"/>
      <c r="MK546" s="302"/>
      <c r="ML546" s="302">
        <v>15000</v>
      </c>
      <c r="MM546" s="302"/>
      <c r="MN546" s="302"/>
      <c r="MO546" s="302"/>
      <c r="MP546" s="302">
        <v>1000</v>
      </c>
      <c r="MQ546" s="302">
        <v>2000</v>
      </c>
      <c r="MR546" s="302">
        <v>500</v>
      </c>
      <c r="MS546" s="302"/>
      <c r="MT546" s="302"/>
      <c r="MU546" s="302"/>
      <c r="MV546" s="302"/>
      <c r="MW546" s="302"/>
      <c r="MX546" s="302"/>
      <c r="MY546" s="1682">
        <f t="shared" si="147"/>
        <v>33500</v>
      </c>
      <c r="MZ546" s="770" t="s">
        <v>13370</v>
      </c>
      <c r="NA546" s="770" t="s">
        <v>13005</v>
      </c>
      <c r="NB546" s="770" t="s">
        <v>13016</v>
      </c>
      <c r="NC546" s="770" t="s">
        <v>13602</v>
      </c>
      <c r="ND546" s="770">
        <v>0</v>
      </c>
      <c r="NE546" s="770">
        <v>0</v>
      </c>
      <c r="NF546" s="770">
        <v>0</v>
      </c>
      <c r="NG546" s="770">
        <v>1</v>
      </c>
      <c r="NH546" s="770">
        <v>1</v>
      </c>
      <c r="NI546" s="770">
        <v>0</v>
      </c>
      <c r="NJ546" s="770">
        <v>0</v>
      </c>
      <c r="NK546" s="770">
        <v>0</v>
      </c>
      <c r="NL546" s="770">
        <v>1</v>
      </c>
      <c r="NM546" s="770">
        <v>1</v>
      </c>
      <c r="NN546" s="770">
        <v>0</v>
      </c>
      <c r="NO546" s="770">
        <v>0</v>
      </c>
      <c r="NP546" s="770">
        <v>0</v>
      </c>
      <c r="NQ546" s="770">
        <v>0</v>
      </c>
      <c r="NR546" s="770">
        <v>0</v>
      </c>
      <c r="NS546" s="770">
        <v>0</v>
      </c>
      <c r="NT546" s="770">
        <v>0</v>
      </c>
      <c r="NU546" s="770">
        <v>0</v>
      </c>
      <c r="NV546" s="770">
        <v>0</v>
      </c>
      <c r="NW546" s="770">
        <v>0</v>
      </c>
      <c r="NX546" s="770">
        <v>0</v>
      </c>
      <c r="NY546" s="770"/>
      <c r="NZ546" s="770"/>
      <c r="OA546" s="770"/>
      <c r="OB546" s="770"/>
      <c r="OC546" s="770" t="s">
        <v>1208</v>
      </c>
      <c r="OD546" s="770"/>
      <c r="OE546" s="770"/>
      <c r="OF546" s="770"/>
      <c r="OG546" s="770"/>
      <c r="OH546" s="770"/>
      <c r="OI546" s="770"/>
      <c r="OJ546" s="770"/>
      <c r="OK546" s="770"/>
      <c r="OL546" s="770"/>
      <c r="OM546" s="770"/>
      <c r="ON546" s="770"/>
      <c r="OO546" s="770"/>
      <c r="OP546" s="770"/>
      <c r="OQ546" s="770"/>
      <c r="OR546" s="770"/>
      <c r="OS546" s="770"/>
      <c r="OT546" s="770"/>
      <c r="OU546" s="770"/>
      <c r="OV546" s="770"/>
      <c r="OW546" s="770"/>
      <c r="OX546" s="770"/>
      <c r="OY546" s="770"/>
      <c r="OZ546" s="770"/>
      <c r="PA546" s="770"/>
      <c r="PB546" s="770"/>
      <c r="PC546" s="770"/>
      <c r="PD546" s="770"/>
      <c r="PE546" s="770"/>
      <c r="PF546" s="770"/>
      <c r="PG546" s="770"/>
      <c r="PH546" s="770" t="s">
        <v>1208</v>
      </c>
      <c r="PI546" s="770"/>
      <c r="PJ546" s="770"/>
      <c r="PK546" s="770"/>
      <c r="PL546" s="770"/>
      <c r="PM546" s="770" t="s">
        <v>1208</v>
      </c>
      <c r="PN546" s="770" t="s">
        <v>1208</v>
      </c>
      <c r="PO546" s="770"/>
      <c r="PP546" s="770"/>
      <c r="PQ546" s="770"/>
      <c r="PR546" s="770"/>
      <c r="PS546" s="770"/>
      <c r="PT546" s="770"/>
      <c r="PU546" s="770"/>
      <c r="PV546" s="770"/>
      <c r="PW546" s="770"/>
      <c r="PX546" s="770"/>
      <c r="PY546" s="770"/>
      <c r="PZ546" s="770"/>
      <c r="QA546" s="770"/>
      <c r="QB546" s="770"/>
      <c r="QC546" s="770"/>
      <c r="QD546" s="770"/>
      <c r="QE546" s="770"/>
      <c r="QF546" s="770"/>
      <c r="QG546" s="770" t="s">
        <v>1208</v>
      </c>
      <c r="QH546" s="770"/>
      <c r="QI546" s="770"/>
      <c r="QJ546" s="770"/>
      <c r="QK546" s="770"/>
      <c r="QL546" s="770"/>
      <c r="QM546" s="770"/>
      <c r="QN546" s="770"/>
      <c r="QO546" s="770"/>
      <c r="QP546" s="770"/>
      <c r="QQ546" s="770"/>
      <c r="QR546" s="770"/>
      <c r="QS546" s="770"/>
      <c r="QT546" s="770"/>
      <c r="QU546" s="770"/>
      <c r="QV546" s="770"/>
      <c r="QW546" s="770"/>
      <c r="QX546" s="770"/>
      <c r="QY546" s="770"/>
      <c r="QZ546" s="770"/>
      <c r="RA546" s="770"/>
      <c r="RB546" s="770" t="s">
        <v>1214</v>
      </c>
      <c r="RC546" s="770"/>
      <c r="RD546" s="770"/>
      <c r="RE546" s="770"/>
      <c r="RF546" s="304"/>
      <c r="RG546" s="770"/>
      <c r="RH546" s="302"/>
      <c r="RI546" s="770"/>
      <c r="RJ546" s="770" t="s">
        <v>13071</v>
      </c>
      <c r="RK546" s="770" t="s">
        <v>13544</v>
      </c>
      <c r="RL546" s="1710"/>
      <c r="RM546" s="12"/>
      <c r="RN546" s="1711"/>
      <c r="RO546" s="133" t="s">
        <v>3830</v>
      </c>
      <c r="RP546" s="11"/>
      <c r="RQ546" s="11"/>
      <c r="RR546" s="17"/>
      <c r="RS546" s="767"/>
      <c r="RT546" s="11"/>
      <c r="RU546" s="11"/>
      <c r="RV546" s="771" t="s">
        <v>7419</v>
      </c>
      <c r="RW546" s="11" t="s">
        <v>7788</v>
      </c>
      <c r="RX546" s="11" t="s">
        <v>2709</v>
      </c>
      <c r="RY546" s="11"/>
      <c r="RZ546" s="11"/>
      <c r="SA546" s="771"/>
      <c r="SB546" s="11"/>
      <c r="SC546" s="11"/>
    </row>
    <row r="547" spans="1:497" ht="12.75" hidden="1" customHeight="1">
      <c r="A547" s="343" t="s">
        <v>7419</v>
      </c>
      <c r="B547" s="1007" t="s">
        <v>7713</v>
      </c>
      <c r="C547" s="132" t="s">
        <v>2733</v>
      </c>
      <c r="D547" s="94" t="s">
        <v>2734</v>
      </c>
      <c r="E547" s="766" t="s">
        <v>2735</v>
      </c>
      <c r="F547" s="770" t="s">
        <v>42</v>
      </c>
      <c r="G547" s="770" t="s">
        <v>10</v>
      </c>
      <c r="H547" s="766" t="s">
        <v>5320</v>
      </c>
      <c r="I547" s="295" t="s">
        <v>5322</v>
      </c>
      <c r="J547" s="94" t="s">
        <v>2736</v>
      </c>
      <c r="K547" s="766" t="s">
        <v>2737</v>
      </c>
      <c r="L547" s="766" t="s">
        <v>2738</v>
      </c>
      <c r="M547" s="770" t="s">
        <v>1238</v>
      </c>
      <c r="N547" s="770"/>
      <c r="O547" s="770" t="s">
        <v>2705</v>
      </c>
      <c r="P547" s="770" t="s">
        <v>2739</v>
      </c>
      <c r="Q547" s="1088">
        <v>18596</v>
      </c>
      <c r="R547" s="297">
        <v>66</v>
      </c>
      <c r="S547" s="770" t="s">
        <v>10</v>
      </c>
      <c r="T547" s="770">
        <v>2857496</v>
      </c>
      <c r="U547" s="298">
        <v>9065750117</v>
      </c>
      <c r="V547" s="770" t="s">
        <v>707</v>
      </c>
      <c r="W547" s="770"/>
      <c r="X547" s="770"/>
      <c r="Y547" s="770" t="s">
        <v>2735</v>
      </c>
      <c r="Z547" s="770" t="s">
        <v>708</v>
      </c>
      <c r="AA547" s="770" t="s">
        <v>732</v>
      </c>
      <c r="AB547" s="770" t="s">
        <v>744</v>
      </c>
      <c r="AC547" s="770" t="s">
        <v>724</v>
      </c>
      <c r="AD547" s="770" t="s">
        <v>711</v>
      </c>
      <c r="AE547" s="770"/>
      <c r="AF547" s="770" t="s">
        <v>712</v>
      </c>
      <c r="AG547" s="766" t="s">
        <v>1095</v>
      </c>
      <c r="AH547" s="766" t="s">
        <v>1096</v>
      </c>
      <c r="AI547" s="770" t="s">
        <v>3294</v>
      </c>
      <c r="AJ547" s="770"/>
      <c r="AK547" s="770" t="s">
        <v>1097</v>
      </c>
      <c r="AL547" s="531">
        <v>22.77</v>
      </c>
      <c r="AM547" s="780">
        <v>5.59</v>
      </c>
      <c r="AN547" s="532">
        <f>AM547/AL547</f>
        <v>0.24549846288976723</v>
      </c>
      <c r="AO547" s="766" t="s">
        <v>1149</v>
      </c>
      <c r="AP547" s="766" t="s">
        <v>5364</v>
      </c>
      <c r="AQ547" s="766"/>
      <c r="AR547" s="766"/>
      <c r="AS547" s="770"/>
      <c r="AT547" s="770"/>
      <c r="AU547" s="770"/>
      <c r="AV547" s="770"/>
      <c r="AW547" s="770"/>
      <c r="AX547" s="770"/>
      <c r="AY547" s="770"/>
      <c r="AZ547" s="770"/>
      <c r="BA547" s="770"/>
      <c r="BB547" s="770"/>
      <c r="BC547" s="770"/>
      <c r="BD547" s="770"/>
      <c r="BE547" s="770"/>
      <c r="BF547" s="302"/>
      <c r="BG547" s="302"/>
      <c r="BH547" s="770"/>
      <c r="BI547" s="770"/>
      <c r="BJ547" s="770"/>
      <c r="BK547" s="770" t="s">
        <v>1095</v>
      </c>
      <c r="BL547" s="770" t="s">
        <v>2740</v>
      </c>
      <c r="BM547" s="766" t="s">
        <v>1096</v>
      </c>
      <c r="BN547" s="770" t="s">
        <v>1230</v>
      </c>
      <c r="BO547" s="770" t="s">
        <v>1275</v>
      </c>
      <c r="BP547" s="776">
        <v>68.319999999999993</v>
      </c>
      <c r="BQ547" s="773">
        <v>17.079999999999998</v>
      </c>
      <c r="BR547" s="774">
        <f t="shared" ref="BR547:BR553" si="157">BQ547/BP547</f>
        <v>0.25</v>
      </c>
      <c r="BS547" s="6" t="s">
        <v>1149</v>
      </c>
      <c r="BT547" s="766" t="s">
        <v>2040</v>
      </c>
      <c r="BU547" s="770" t="s">
        <v>1241</v>
      </c>
      <c r="BV547" s="766" t="s">
        <v>1243</v>
      </c>
      <c r="BW547" s="770">
        <v>2003</v>
      </c>
      <c r="BX547" s="302">
        <v>2000000</v>
      </c>
      <c r="BY547" s="770"/>
      <c r="BZ547" s="302"/>
      <c r="CA547" s="770"/>
      <c r="CB547" s="770"/>
      <c r="CC547" s="770"/>
      <c r="CD547" s="770"/>
      <c r="CE547" s="770"/>
      <c r="CF547" s="1753"/>
      <c r="CG547" s="1754"/>
      <c r="CH547" s="770"/>
      <c r="CI547" s="770"/>
      <c r="CJ547" s="770"/>
      <c r="CK547" s="770"/>
      <c r="CL547" s="770"/>
      <c r="CM547" s="770"/>
      <c r="CN547" s="770"/>
      <c r="CO547" s="770"/>
      <c r="CP547" s="770"/>
      <c r="CQ547" s="770"/>
      <c r="CR547" s="302"/>
      <c r="CS547" s="770"/>
      <c r="CT547" s="770"/>
      <c r="CU547" s="305"/>
      <c r="CV547" s="770"/>
      <c r="CW547" s="770"/>
      <c r="CX547" s="770"/>
      <c r="CY547" s="770"/>
      <c r="CZ547" s="770"/>
      <c r="DA547" s="306"/>
      <c r="DB547" s="770"/>
      <c r="DC547" s="770"/>
      <c r="DD547" s="770"/>
      <c r="DE547" s="300"/>
      <c r="DF547" s="770"/>
      <c r="DG547" s="770"/>
      <c r="DH547" s="770"/>
      <c r="DI547" s="770"/>
      <c r="DJ547" s="770"/>
      <c r="DK547" s="770"/>
      <c r="DL547" s="770"/>
      <c r="DM547" s="770"/>
      <c r="DN547" s="322"/>
      <c r="DO547" s="770"/>
      <c r="DP547" s="770"/>
      <c r="DQ547" s="770"/>
      <c r="DR547" s="770"/>
      <c r="DS547" s="307"/>
      <c r="DT547" s="770"/>
      <c r="DU547" s="770"/>
      <c r="DV547" s="770"/>
      <c r="DW547" s="306"/>
      <c r="DX547" s="306"/>
      <c r="DY547" s="770"/>
      <c r="DZ547" s="770"/>
      <c r="EA547" s="770"/>
      <c r="EB547" s="770"/>
      <c r="EC547" s="770"/>
      <c r="ED547" s="770"/>
      <c r="EE547" s="770"/>
      <c r="EF547" s="770"/>
      <c r="EG547" s="770"/>
      <c r="EH547" s="770"/>
      <c r="EI547" s="770"/>
      <c r="EJ547" s="770"/>
      <c r="EK547" s="770"/>
      <c r="EL547" s="770"/>
      <c r="EM547" s="770"/>
      <c r="EN547" s="770"/>
      <c r="EO547" s="770"/>
      <c r="EP547" s="94"/>
      <c r="EQ547" s="770"/>
      <c r="ER547" s="770"/>
      <c r="ES547" s="770"/>
      <c r="ET547" s="770"/>
      <c r="EU547" s="770"/>
      <c r="EV547" s="770"/>
      <c r="EW547" s="770"/>
      <c r="EX547" s="770"/>
      <c r="EY547" s="770"/>
      <c r="EZ547" s="770"/>
      <c r="FA547" s="770"/>
      <c r="FB547" s="770"/>
      <c r="FC547" s="770"/>
      <c r="FD547" s="302"/>
      <c r="FE547" s="770"/>
      <c r="FF547" s="770"/>
      <c r="FG547" s="770"/>
      <c r="FH547" s="770" t="s">
        <v>478</v>
      </c>
      <c r="FI547" s="770">
        <v>1</v>
      </c>
      <c r="FJ547" s="770"/>
      <c r="FK547" s="770"/>
      <c r="FL547" s="770"/>
      <c r="FM547" s="302"/>
      <c r="FN547" s="302"/>
      <c r="FO547" s="302"/>
      <c r="FP547" s="770" t="s">
        <v>1602</v>
      </c>
      <c r="FQ547" s="770" t="s">
        <v>1660</v>
      </c>
      <c r="FR547" s="770" t="s">
        <v>1207</v>
      </c>
      <c r="FS547" s="770"/>
      <c r="FT547" s="770"/>
      <c r="FU547" s="770"/>
      <c r="FV547" s="770"/>
      <c r="FW547" s="770"/>
      <c r="FX547" s="770" t="s">
        <v>1208</v>
      </c>
      <c r="FY547" s="770"/>
      <c r="FZ547" s="770"/>
      <c r="GA547" s="770"/>
      <c r="GB547" s="770" t="s">
        <v>2741</v>
      </c>
      <c r="GC547" s="308" t="s">
        <v>3831</v>
      </c>
      <c r="GD547" s="297">
        <v>2003</v>
      </c>
      <c r="GE547" s="770" t="s">
        <v>1214</v>
      </c>
      <c r="GF547" s="302"/>
      <c r="GG547" s="302"/>
      <c r="GH547" s="766" t="s">
        <v>14260</v>
      </c>
      <c r="GI547" s="770"/>
      <c r="GJ547" s="770"/>
      <c r="GK547" s="770"/>
      <c r="GL547" s="770"/>
      <c r="GM547" s="770"/>
      <c r="GN547" s="299"/>
      <c r="GO547" s="770"/>
      <c r="GP547" s="770"/>
      <c r="GQ547" s="770"/>
      <c r="GR547" s="770"/>
      <c r="GS547" s="770"/>
      <c r="GT547" s="770"/>
      <c r="GU547" s="770"/>
      <c r="GV547" s="770"/>
      <c r="GW547" s="770"/>
      <c r="GX547" s="770"/>
      <c r="GY547" s="770"/>
      <c r="GZ547" s="770"/>
      <c r="HA547" s="770"/>
      <c r="HB547" s="770"/>
      <c r="HC547" s="770"/>
      <c r="HD547" s="770"/>
      <c r="HE547" s="770"/>
      <c r="HF547" s="770"/>
      <c r="HG547" s="770"/>
      <c r="HH547" s="770"/>
      <c r="HI547" s="770" t="s">
        <v>1214</v>
      </c>
      <c r="HJ547" s="770"/>
      <c r="HK547" s="770"/>
      <c r="HL547" s="770"/>
      <c r="HM547" s="770"/>
      <c r="HN547" s="770"/>
      <c r="HO547" s="770"/>
      <c r="HP547" s="770"/>
      <c r="HQ547" s="770"/>
      <c r="HR547" s="770">
        <v>4</v>
      </c>
      <c r="HS547" s="770"/>
      <c r="HT547" s="770"/>
      <c r="HU547" s="770"/>
      <c r="HV547" s="770"/>
      <c r="HW547" s="770"/>
      <c r="HX547" s="770"/>
      <c r="HY547" s="770"/>
      <c r="HZ547" s="770"/>
      <c r="IA547" s="770"/>
      <c r="IB547" s="770" t="s">
        <v>1207</v>
      </c>
      <c r="IC547" s="770"/>
      <c r="ID547" s="770">
        <v>2</v>
      </c>
      <c r="IE547" s="770">
        <v>2</v>
      </c>
      <c r="IF547" s="770"/>
      <c r="IG547" s="770"/>
      <c r="IH547" s="770"/>
      <c r="II547" s="770"/>
      <c r="IJ547" s="770"/>
      <c r="IK547" s="770"/>
      <c r="IL547" s="770"/>
      <c r="IM547" s="770"/>
      <c r="IN547" s="770"/>
      <c r="IO547" s="296"/>
      <c r="IP547" s="770"/>
      <c r="IQ547" s="770"/>
      <c r="IR547" s="770"/>
      <c r="IS547" s="770"/>
      <c r="IT547" s="770"/>
      <c r="IU547" s="770"/>
      <c r="IV547" s="770"/>
      <c r="IW547" s="770"/>
      <c r="IX547" s="770"/>
      <c r="IY547" s="770"/>
      <c r="IZ547" s="770"/>
      <c r="JA547" s="770"/>
      <c r="JB547" s="770"/>
      <c r="JC547" s="770"/>
      <c r="JD547" s="302"/>
      <c r="JE547" s="770"/>
      <c r="JF547" s="770"/>
      <c r="JG547" s="770"/>
      <c r="JH547" s="307"/>
      <c r="JI547" s="307"/>
      <c r="JJ547" s="770">
        <v>3</v>
      </c>
      <c r="JK547" s="770" t="s">
        <v>3832</v>
      </c>
      <c r="JL547" s="770"/>
      <c r="JM547" s="770"/>
      <c r="JN547" s="770">
        <v>1</v>
      </c>
      <c r="JO547" s="770">
        <v>1</v>
      </c>
      <c r="JP547" s="770">
        <v>1</v>
      </c>
      <c r="JQ547" s="770"/>
      <c r="JR547" s="770"/>
      <c r="JS547" s="770"/>
      <c r="JT547" s="766">
        <f t="shared" si="156"/>
        <v>2</v>
      </c>
      <c r="JU547" s="766">
        <f t="shared" si="156"/>
        <v>1</v>
      </c>
      <c r="JV547" s="766"/>
      <c r="JW547" s="766"/>
      <c r="JX547" s="770"/>
      <c r="JY547" s="770"/>
      <c r="JZ547" s="770"/>
      <c r="KA547" s="770"/>
      <c r="KB547" s="770"/>
      <c r="KC547" s="770"/>
      <c r="KD547" s="770">
        <v>1</v>
      </c>
      <c r="KE547" s="770"/>
      <c r="KF547" s="770">
        <v>1</v>
      </c>
      <c r="KG547" s="770">
        <v>1</v>
      </c>
      <c r="KH547" s="770"/>
      <c r="KI547" s="770"/>
      <c r="KJ547" s="770">
        <f t="shared" si="153"/>
        <v>2</v>
      </c>
      <c r="KK547" s="770">
        <f t="shared" si="153"/>
        <v>1</v>
      </c>
      <c r="KL547" s="770"/>
      <c r="KM547" s="770"/>
      <c r="KN547" s="770" t="s">
        <v>707</v>
      </c>
      <c r="KO547" s="770"/>
      <c r="KP547" s="770"/>
      <c r="KQ547" s="770"/>
      <c r="KR547" s="770"/>
      <c r="KS547" s="770"/>
      <c r="KT547" s="770"/>
      <c r="KU547" s="770"/>
      <c r="KV547" s="770"/>
      <c r="KW547" s="770"/>
      <c r="KX547" s="770"/>
      <c r="KY547" s="770"/>
      <c r="KZ547" s="770"/>
      <c r="LA547" s="770"/>
      <c r="LB547" s="770">
        <v>1</v>
      </c>
      <c r="LC547" s="770"/>
      <c r="LD547" s="770">
        <v>1</v>
      </c>
      <c r="LE547" s="770">
        <v>1</v>
      </c>
      <c r="LF547" s="770"/>
      <c r="LG547" s="770"/>
      <c r="LH547" s="770"/>
      <c r="LI547" s="770"/>
      <c r="LJ547" s="770"/>
      <c r="LK547" s="770"/>
      <c r="LL547" s="770"/>
      <c r="LM547" s="770"/>
      <c r="LN547" s="766">
        <f t="shared" si="134"/>
        <v>2</v>
      </c>
      <c r="LO547" s="766">
        <f t="shared" si="134"/>
        <v>1</v>
      </c>
      <c r="LP547" s="770">
        <v>2</v>
      </c>
      <c r="LQ547" s="770">
        <v>1</v>
      </c>
      <c r="LR547" s="770"/>
      <c r="LS547" s="770"/>
      <c r="LT547" s="770"/>
      <c r="LU547" s="770"/>
      <c r="LV547" s="770">
        <v>1</v>
      </c>
      <c r="LW547" s="770"/>
      <c r="LX547" s="769">
        <v>2</v>
      </c>
      <c r="LY547" s="766" t="str">
        <f t="shared" si="135"/>
        <v>within the MUNICIPALITY</v>
      </c>
      <c r="LZ547" s="1709">
        <f>16*26</f>
        <v>416</v>
      </c>
      <c r="MA547" s="1709"/>
      <c r="MB547" s="1709"/>
      <c r="MC547" s="1679">
        <f t="shared" si="133"/>
        <v>416</v>
      </c>
      <c r="MD547" s="1709">
        <v>6000</v>
      </c>
      <c r="ME547" s="1709"/>
      <c r="MF547" s="1709"/>
      <c r="MG547" s="1680">
        <f t="shared" si="149"/>
        <v>6000</v>
      </c>
      <c r="MH547" s="770" t="s">
        <v>1985</v>
      </c>
      <c r="MI547" s="302">
        <v>15500</v>
      </c>
      <c r="MJ547" s="302">
        <v>1500</v>
      </c>
      <c r="MK547" s="302">
        <v>1666</v>
      </c>
      <c r="ML547" s="302">
        <v>166.6</v>
      </c>
      <c r="MM547" s="302"/>
      <c r="MN547" s="302"/>
      <c r="MO547" s="302">
        <v>1850</v>
      </c>
      <c r="MP547" s="302">
        <v>1500</v>
      </c>
      <c r="MQ547" s="302">
        <v>1300</v>
      </c>
      <c r="MR547" s="302">
        <v>300</v>
      </c>
      <c r="MS547" s="302">
        <v>5000</v>
      </c>
      <c r="MT547" s="302"/>
      <c r="MU547" s="302"/>
      <c r="MV547" s="302"/>
      <c r="MW547" s="302"/>
      <c r="MX547" s="302"/>
      <c r="MY547" s="1682">
        <f t="shared" si="147"/>
        <v>28782.6</v>
      </c>
      <c r="MZ547" s="770" t="s">
        <v>13370</v>
      </c>
      <c r="NA547" s="770" t="s">
        <v>13005</v>
      </c>
      <c r="NB547" s="770" t="s">
        <v>13016</v>
      </c>
      <c r="NC547" s="770" t="s">
        <v>13602</v>
      </c>
      <c r="ND547" s="770">
        <v>0</v>
      </c>
      <c r="NE547" s="770">
        <v>0</v>
      </c>
      <c r="NF547" s="770">
        <v>1</v>
      </c>
      <c r="NG547" s="770">
        <v>1</v>
      </c>
      <c r="NH547" s="770">
        <v>1</v>
      </c>
      <c r="NI547" s="770">
        <v>1</v>
      </c>
      <c r="NJ547" s="770">
        <v>1</v>
      </c>
      <c r="NK547" s="770">
        <v>0</v>
      </c>
      <c r="NL547" s="770">
        <v>1</v>
      </c>
      <c r="NM547" s="770">
        <v>1</v>
      </c>
      <c r="NN547" s="770">
        <v>0</v>
      </c>
      <c r="NO547" s="770">
        <v>0</v>
      </c>
      <c r="NP547" s="770">
        <v>0</v>
      </c>
      <c r="NQ547" s="770">
        <v>0</v>
      </c>
      <c r="NR547" s="770">
        <v>0</v>
      </c>
      <c r="NS547" s="770">
        <v>0</v>
      </c>
      <c r="NT547" s="770">
        <v>0</v>
      </c>
      <c r="NU547" s="770">
        <v>0</v>
      </c>
      <c r="NV547" s="770">
        <v>0</v>
      </c>
      <c r="NW547" s="770">
        <v>0</v>
      </c>
      <c r="NX547" s="770">
        <v>0</v>
      </c>
      <c r="NY547" s="770" t="s">
        <v>1208</v>
      </c>
      <c r="NZ547" s="770"/>
      <c r="OA547" s="770"/>
      <c r="OB547" s="770"/>
      <c r="OC547" s="770" t="s">
        <v>1208</v>
      </c>
      <c r="OD547" s="770" t="s">
        <v>1208</v>
      </c>
      <c r="OE547" s="770"/>
      <c r="OF547" s="770"/>
      <c r="OG547" s="770"/>
      <c r="OH547" s="770"/>
      <c r="OI547" s="770"/>
      <c r="OJ547" s="770"/>
      <c r="OK547" s="770"/>
      <c r="OL547" s="770"/>
      <c r="OM547" s="770"/>
      <c r="ON547" s="770"/>
      <c r="OO547" s="770"/>
      <c r="OP547" s="770"/>
      <c r="OQ547" s="770"/>
      <c r="OR547" s="770"/>
      <c r="OS547" s="770"/>
      <c r="OT547" s="770"/>
      <c r="OU547" s="770"/>
      <c r="OV547" s="770"/>
      <c r="OW547" s="770"/>
      <c r="OX547" s="770"/>
      <c r="OY547" s="770"/>
      <c r="OZ547" s="770"/>
      <c r="PA547" s="770"/>
      <c r="PB547" s="770"/>
      <c r="PC547" s="770"/>
      <c r="PD547" s="770"/>
      <c r="PE547" s="770"/>
      <c r="PF547" s="770"/>
      <c r="PG547" s="770"/>
      <c r="PH547" s="770"/>
      <c r="PI547" s="770"/>
      <c r="PJ547" s="770"/>
      <c r="PK547" s="770" t="s">
        <v>1208</v>
      </c>
      <c r="PL547" s="770"/>
      <c r="PM547" s="770"/>
      <c r="PN547" s="770"/>
      <c r="PO547" s="770"/>
      <c r="PP547" s="770"/>
      <c r="PQ547" s="770"/>
      <c r="PR547" s="770"/>
      <c r="PS547" s="770" t="s">
        <v>1208</v>
      </c>
      <c r="PT547" s="770"/>
      <c r="PU547" s="770"/>
      <c r="PV547" s="770"/>
      <c r="PW547" s="770"/>
      <c r="PX547" s="770"/>
      <c r="PY547" s="770"/>
      <c r="PZ547" s="770"/>
      <c r="QA547" s="770"/>
      <c r="QB547" s="770"/>
      <c r="QC547" s="770"/>
      <c r="QD547" s="770"/>
      <c r="QE547" s="770"/>
      <c r="QF547" s="770"/>
      <c r="QG547" s="770" t="s">
        <v>1208</v>
      </c>
      <c r="QH547" s="770"/>
      <c r="QI547" s="770"/>
      <c r="QJ547" s="770"/>
      <c r="QK547" s="770"/>
      <c r="QL547" s="770"/>
      <c r="QM547" s="770"/>
      <c r="QN547" s="770"/>
      <c r="QO547" s="770"/>
      <c r="QP547" s="770"/>
      <c r="QQ547" s="770"/>
      <c r="QR547" s="770"/>
      <c r="QS547" s="770"/>
      <c r="QT547" s="770"/>
      <c r="QU547" s="770"/>
      <c r="QV547" s="770"/>
      <c r="QW547" s="770"/>
      <c r="QX547" s="770"/>
      <c r="QY547" s="770"/>
      <c r="QZ547" s="770"/>
      <c r="RA547" s="770"/>
      <c r="RB547" s="770" t="s">
        <v>1207</v>
      </c>
      <c r="RC547" s="770">
        <v>2014</v>
      </c>
      <c r="RD547" s="770" t="s">
        <v>13046</v>
      </c>
      <c r="RE547" s="770"/>
      <c r="RF547" s="304">
        <v>1</v>
      </c>
      <c r="RG547" s="770" t="s">
        <v>13724</v>
      </c>
      <c r="RH547" s="302">
        <v>0</v>
      </c>
      <c r="RI547" s="770">
        <v>1</v>
      </c>
      <c r="RJ547" s="770" t="s">
        <v>13725</v>
      </c>
      <c r="RK547" s="770" t="s">
        <v>13552</v>
      </c>
      <c r="RL547" s="1710"/>
      <c r="RM547" s="12"/>
      <c r="RN547" s="1711"/>
      <c r="RO547" s="132" t="s">
        <v>2733</v>
      </c>
      <c r="RP547" s="11"/>
      <c r="RQ547" s="11"/>
      <c r="RR547" s="17"/>
      <c r="RS547" s="767"/>
      <c r="RT547" s="11"/>
      <c r="RU547" s="11"/>
      <c r="RV547" s="771" t="s">
        <v>13726</v>
      </c>
      <c r="RW547" s="11" t="s">
        <v>7789</v>
      </c>
      <c r="RX547" s="11" t="s">
        <v>3828</v>
      </c>
      <c r="RY547" s="11"/>
      <c r="RZ547" s="11" t="s">
        <v>1101</v>
      </c>
      <c r="SA547" s="771"/>
      <c r="SB547" s="11"/>
      <c r="SC547" s="11"/>
    </row>
    <row r="548" spans="1:497" ht="12.75" customHeight="1">
      <c r="A548" s="17" t="s">
        <v>7421</v>
      </c>
      <c r="B548" s="752" t="s">
        <v>7714</v>
      </c>
      <c r="C548" s="132" t="s">
        <v>2742</v>
      </c>
      <c r="D548" s="94" t="s">
        <v>2747</v>
      </c>
      <c r="E548" s="766" t="s">
        <v>2735</v>
      </c>
      <c r="F548" s="770" t="s">
        <v>28</v>
      </c>
      <c r="G548" s="770" t="s">
        <v>18</v>
      </c>
      <c r="H548" s="770"/>
      <c r="I548" s="295" t="s">
        <v>2743</v>
      </c>
      <c r="J548" s="94" t="s">
        <v>2747</v>
      </c>
      <c r="K548" s="766" t="s">
        <v>2744</v>
      </c>
      <c r="L548" s="766" t="s">
        <v>2745</v>
      </c>
      <c r="M548" s="770" t="s">
        <v>1238</v>
      </c>
      <c r="N548" s="770"/>
      <c r="O548" s="770" t="s">
        <v>2705</v>
      </c>
      <c r="P548" s="94" t="s">
        <v>2748</v>
      </c>
      <c r="Q548" s="1088">
        <v>33540</v>
      </c>
      <c r="R548" s="297">
        <v>25</v>
      </c>
      <c r="S548" s="770" t="s">
        <v>18</v>
      </c>
      <c r="T548" s="770"/>
      <c r="U548" s="295" t="s">
        <v>2743</v>
      </c>
      <c r="V548" s="770" t="s">
        <v>768</v>
      </c>
      <c r="W548" s="770"/>
      <c r="X548" s="770"/>
      <c r="Y548" s="770" t="s">
        <v>2735</v>
      </c>
      <c r="Z548" s="770" t="s">
        <v>708</v>
      </c>
      <c r="AA548" s="770" t="s">
        <v>739</v>
      </c>
      <c r="AB548" s="770" t="s">
        <v>710</v>
      </c>
      <c r="AC548" s="770" t="s">
        <v>724</v>
      </c>
      <c r="AD548" s="770" t="s">
        <v>711</v>
      </c>
      <c r="AE548" s="770"/>
      <c r="AF548" s="770" t="s">
        <v>712</v>
      </c>
      <c r="AG548" s="766" t="s">
        <v>1095</v>
      </c>
      <c r="AH548" s="766" t="s">
        <v>1096</v>
      </c>
      <c r="AI548" s="770" t="s">
        <v>3294</v>
      </c>
      <c r="AJ548" s="770"/>
      <c r="AK548" s="1828" t="s">
        <v>1101</v>
      </c>
      <c r="AL548" s="531">
        <v>21.75</v>
      </c>
      <c r="AM548" s="780">
        <v>3.4</v>
      </c>
      <c r="AN548" s="532">
        <f>AM548/AL548</f>
        <v>0.15632183908045977</v>
      </c>
      <c r="AO548" s="766" t="s">
        <v>1109</v>
      </c>
      <c r="AP548" s="766"/>
      <c r="AQ548" s="766"/>
      <c r="AR548" s="766"/>
      <c r="AS548" s="769"/>
      <c r="AT548" s="770"/>
      <c r="AU548" s="770"/>
      <c r="AV548" s="770"/>
      <c r="AW548" s="770"/>
      <c r="AX548" s="770"/>
      <c r="AY548" s="770"/>
      <c r="AZ548" s="770"/>
      <c r="BA548" s="770"/>
      <c r="BB548" s="770"/>
      <c r="BC548" s="770"/>
      <c r="BD548" s="770"/>
      <c r="BE548" s="770"/>
      <c r="BF548" s="302"/>
      <c r="BG548" s="302"/>
      <c r="BH548" s="770"/>
      <c r="BI548" s="770"/>
      <c r="BJ548" s="770"/>
      <c r="BK548" s="770" t="s">
        <v>1095</v>
      </c>
      <c r="BL548" s="770" t="s">
        <v>2749</v>
      </c>
      <c r="BM548" s="766" t="s">
        <v>1096</v>
      </c>
      <c r="BN548" s="770" t="s">
        <v>1230</v>
      </c>
      <c r="BO548" s="766" t="s">
        <v>1246</v>
      </c>
      <c r="BP548" s="1109">
        <v>21.76</v>
      </c>
      <c r="BQ548" s="773">
        <v>3.4</v>
      </c>
      <c r="BR548" s="774">
        <f t="shared" si="157"/>
        <v>0.15624999999999997</v>
      </c>
      <c r="BS548" s="766" t="s">
        <v>1242</v>
      </c>
      <c r="BT548" s="766" t="s">
        <v>8133</v>
      </c>
      <c r="BU548" s="769"/>
      <c r="BV548" s="769"/>
      <c r="BW548" s="770" t="s">
        <v>2746</v>
      </c>
      <c r="BX548" s="302"/>
      <c r="BY548" s="770"/>
      <c r="BZ548" s="302"/>
      <c r="CA548" s="770"/>
      <c r="CB548" s="770"/>
      <c r="CC548" s="770"/>
      <c r="CD548" s="770"/>
      <c r="CE548" s="770"/>
      <c r="CF548" s="1753"/>
      <c r="CG548" s="1754"/>
      <c r="CH548" s="770"/>
      <c r="CI548" s="770"/>
      <c r="CJ548" s="770"/>
      <c r="CK548" s="770"/>
      <c r="CL548" s="770"/>
      <c r="CM548" s="770"/>
      <c r="CN548" s="770"/>
      <c r="CO548" s="770"/>
      <c r="CP548" s="770"/>
      <c r="CQ548" s="770"/>
      <c r="CR548" s="302"/>
      <c r="CS548" s="770"/>
      <c r="CT548" s="770"/>
      <c r="CU548" s="305"/>
      <c r="CV548" s="770"/>
      <c r="CW548" s="770"/>
      <c r="CX548" s="770"/>
      <c r="CY548" s="770"/>
      <c r="CZ548" s="770"/>
      <c r="DA548" s="306"/>
      <c r="DB548" s="770"/>
      <c r="DC548" s="770"/>
      <c r="DD548" s="770"/>
      <c r="DE548" s="300"/>
      <c r="DF548" s="770"/>
      <c r="DG548" s="770"/>
      <c r="DH548" s="770"/>
      <c r="DI548" s="770"/>
      <c r="DJ548" s="770"/>
      <c r="DK548" s="770"/>
      <c r="DL548" s="770"/>
      <c r="DM548" s="770"/>
      <c r="DN548" s="322"/>
      <c r="DO548" s="770"/>
      <c r="DP548" s="770"/>
      <c r="DQ548" s="770"/>
      <c r="DR548" s="770"/>
      <c r="DS548" s="307"/>
      <c r="DT548" s="770"/>
      <c r="DU548" s="770"/>
      <c r="DV548" s="770"/>
      <c r="DW548" s="306"/>
      <c r="DX548" s="306"/>
      <c r="DY548" s="770"/>
      <c r="DZ548" s="770"/>
      <c r="EA548" s="770"/>
      <c r="EB548" s="770"/>
      <c r="EC548" s="770"/>
      <c r="ED548" s="770"/>
      <c r="EE548" s="770"/>
      <c r="EF548" s="770"/>
      <c r="EG548" s="770"/>
      <c r="EH548" s="770"/>
      <c r="EI548" s="770"/>
      <c r="EJ548" s="770"/>
      <c r="EK548" s="770"/>
      <c r="EL548" s="770"/>
      <c r="EM548" s="770"/>
      <c r="EN548" s="770"/>
      <c r="EO548" s="770"/>
      <c r="EP548" s="94"/>
      <c r="EQ548" s="770"/>
      <c r="ER548" s="770"/>
      <c r="ES548" s="770"/>
      <c r="ET548" s="770"/>
      <c r="EU548" s="770"/>
      <c r="EV548" s="770"/>
      <c r="EW548" s="770"/>
      <c r="EX548" s="770"/>
      <c r="EY548" s="770"/>
      <c r="EZ548" s="770"/>
      <c r="FA548" s="770"/>
      <c r="FB548" s="770"/>
      <c r="FC548" s="770"/>
      <c r="FD548" s="302"/>
      <c r="FE548" s="770"/>
      <c r="FF548" s="770"/>
      <c r="FG548" s="770"/>
      <c r="FH548" s="770" t="s">
        <v>478</v>
      </c>
      <c r="FI548" s="770">
        <v>1</v>
      </c>
      <c r="FJ548" s="770"/>
      <c r="FK548" s="770"/>
      <c r="FL548" s="770"/>
      <c r="FM548" s="302"/>
      <c r="FN548" s="302"/>
      <c r="FO548" s="302"/>
      <c r="FP548" s="766" t="s">
        <v>1600</v>
      </c>
      <c r="FQ548" s="766" t="s">
        <v>1642</v>
      </c>
      <c r="FR548" s="770" t="s">
        <v>1214</v>
      </c>
      <c r="FS548" s="770"/>
      <c r="FT548" s="770"/>
      <c r="FU548" s="770"/>
      <c r="FV548" s="770"/>
      <c r="FW548" s="770"/>
      <c r="FX548" s="770"/>
      <c r="FY548" s="770"/>
      <c r="FZ548" s="770"/>
      <c r="GA548" s="770"/>
      <c r="GB548" s="770" t="s">
        <v>853</v>
      </c>
      <c r="GC548" s="308"/>
      <c r="GD548" s="297"/>
      <c r="GE548" s="770" t="s">
        <v>1214</v>
      </c>
      <c r="GF548" s="302"/>
      <c r="GG548" s="302"/>
      <c r="GH548" s="770" t="s">
        <v>1791</v>
      </c>
      <c r="GI548" s="770" t="s">
        <v>1008</v>
      </c>
      <c r="GJ548" s="770"/>
      <c r="GK548" s="770" t="s">
        <v>2345</v>
      </c>
      <c r="GL548" s="770"/>
      <c r="GM548" s="770"/>
      <c r="GN548" s="299"/>
      <c r="GO548" s="770"/>
      <c r="GP548" s="770" t="s">
        <v>1208</v>
      </c>
      <c r="GQ548" s="770" t="s">
        <v>1208</v>
      </c>
      <c r="GR548" s="770" t="s">
        <v>1208</v>
      </c>
      <c r="GS548" s="770" t="s">
        <v>1208</v>
      </c>
      <c r="GT548" s="770" t="s">
        <v>1208</v>
      </c>
      <c r="GU548" s="770"/>
      <c r="GV548" s="770"/>
      <c r="GW548" s="770" t="s">
        <v>1207</v>
      </c>
      <c r="GX548" s="770"/>
      <c r="GY548" s="770" t="s">
        <v>1208</v>
      </c>
      <c r="GZ548" s="770"/>
      <c r="HA548" s="770" t="s">
        <v>1208</v>
      </c>
      <c r="HB548" s="770"/>
      <c r="HC548" s="770" t="s">
        <v>1208</v>
      </c>
      <c r="HD548" s="770"/>
      <c r="HE548" s="770" t="s">
        <v>1208</v>
      </c>
      <c r="HF548" s="770"/>
      <c r="HG548" s="770"/>
      <c r="HH548" s="770"/>
      <c r="HI548" s="770" t="s">
        <v>1214</v>
      </c>
      <c r="HJ548" s="770"/>
      <c r="HK548" s="770"/>
      <c r="HL548" s="770" t="s">
        <v>1214</v>
      </c>
      <c r="HM548" s="770"/>
      <c r="HN548" s="770"/>
      <c r="HO548" s="770"/>
      <c r="HP548" s="770"/>
      <c r="HQ548" s="770"/>
      <c r="HR548" s="770"/>
      <c r="HS548" s="770"/>
      <c r="HT548" s="770"/>
      <c r="HU548" s="770"/>
      <c r="HV548" s="770"/>
      <c r="HW548" s="770"/>
      <c r="HX548" s="770"/>
      <c r="HY548" s="770"/>
      <c r="HZ548" s="770"/>
      <c r="IA548" s="770"/>
      <c r="IB548" s="14" t="e">
        <f>IF(#REF!&gt;0,IF(#REF!&lt;=10000,"Y",""),"")</f>
        <v>#REF!</v>
      </c>
      <c r="IC548" s="770" t="s">
        <v>1207</v>
      </c>
      <c r="ID548" s="770"/>
      <c r="IE548" s="770"/>
      <c r="IF548" s="770"/>
      <c r="IG548" s="770"/>
      <c r="IH548" s="770"/>
      <c r="II548" s="770"/>
      <c r="IJ548" s="770"/>
      <c r="IK548" s="770"/>
      <c r="IL548" s="770"/>
      <c r="IM548" s="770"/>
      <c r="IN548" s="770"/>
      <c r="IO548" s="296"/>
      <c r="IP548" s="770"/>
      <c r="IQ548" s="770"/>
      <c r="IR548" s="770"/>
      <c r="IS548" s="770"/>
      <c r="IT548" s="770"/>
      <c r="IU548" s="770"/>
      <c r="IV548" s="770"/>
      <c r="IW548" s="770"/>
      <c r="IX548" s="770"/>
      <c r="IY548" s="770"/>
      <c r="IZ548" s="770"/>
      <c r="JA548" s="770"/>
      <c r="JB548" s="770"/>
      <c r="JC548" s="770"/>
      <c r="JD548" s="302"/>
      <c r="JE548" s="770"/>
      <c r="JF548" s="770"/>
      <c r="JG548" s="770"/>
      <c r="JH548" s="307"/>
      <c r="JI548" s="712" t="str">
        <f>IF(SUM(JT548,JU548)=JJ548,"ok","review")</f>
        <v>ok</v>
      </c>
      <c r="JJ548" s="770">
        <v>2</v>
      </c>
      <c r="JK548" s="1139" t="s">
        <v>3833</v>
      </c>
      <c r="JL548" s="770">
        <v>1</v>
      </c>
      <c r="JM548" s="770"/>
      <c r="JN548" s="770"/>
      <c r="JO548" s="770">
        <v>1</v>
      </c>
      <c r="JP548" s="770"/>
      <c r="JQ548" s="770"/>
      <c r="JR548" s="770"/>
      <c r="JS548" s="770"/>
      <c r="JT548" s="766">
        <f t="shared" si="156"/>
        <v>1</v>
      </c>
      <c r="JU548" s="766">
        <f t="shared" si="156"/>
        <v>1</v>
      </c>
      <c r="JV548" s="712" t="str">
        <f>IF(JT548=KJ548,"ok","male")</f>
        <v>ok</v>
      </c>
      <c r="JW548" s="712" t="str">
        <f>IF(JU548=KK548,"ok","female")</f>
        <v>ok</v>
      </c>
      <c r="JX548" s="770"/>
      <c r="JY548" s="770"/>
      <c r="JZ548" s="770">
        <v>1</v>
      </c>
      <c r="KA548" s="770"/>
      <c r="KB548" s="770"/>
      <c r="KC548" s="770">
        <v>1</v>
      </c>
      <c r="KD548" s="770"/>
      <c r="KE548" s="770"/>
      <c r="KF548" s="770"/>
      <c r="KG548" s="770"/>
      <c r="KH548" s="770"/>
      <c r="KI548" s="770"/>
      <c r="KJ548" s="770">
        <f t="shared" si="153"/>
        <v>1</v>
      </c>
      <c r="KK548" s="770">
        <f t="shared" si="153"/>
        <v>1</v>
      </c>
      <c r="KL548" s="712" t="str">
        <f>IF(KJ548=LN548,"ok","male")</f>
        <v>ok</v>
      </c>
      <c r="KM548" s="712" t="str">
        <f>IF(KK548=LO548,"ok","female")</f>
        <v>ok</v>
      </c>
      <c r="KN548" s="770" t="s">
        <v>768</v>
      </c>
      <c r="KO548" s="770"/>
      <c r="KP548" s="770"/>
      <c r="KQ548" s="770"/>
      <c r="KR548" s="770"/>
      <c r="KS548" s="770"/>
      <c r="KT548" s="770">
        <v>1</v>
      </c>
      <c r="KU548" s="770"/>
      <c r="KV548" s="770"/>
      <c r="KW548" s="770"/>
      <c r="KX548" s="770"/>
      <c r="KY548" s="770"/>
      <c r="KZ548" s="770"/>
      <c r="LA548" s="770"/>
      <c r="LB548" s="770"/>
      <c r="LC548" s="770">
        <v>1</v>
      </c>
      <c r="LD548" s="770"/>
      <c r="LE548" s="770"/>
      <c r="LF548" s="770"/>
      <c r="LG548" s="770"/>
      <c r="LH548" s="770"/>
      <c r="LI548" s="770"/>
      <c r="LJ548" s="770"/>
      <c r="LK548" s="770"/>
      <c r="LL548" s="770"/>
      <c r="LM548" s="770"/>
      <c r="LN548" s="766">
        <f t="shared" si="134"/>
        <v>1</v>
      </c>
      <c r="LO548" s="766">
        <f t="shared" si="134"/>
        <v>1</v>
      </c>
      <c r="LP548" s="770">
        <v>1</v>
      </c>
      <c r="LQ548" s="770">
        <v>1</v>
      </c>
      <c r="LR548" s="770"/>
      <c r="LS548" s="770"/>
      <c r="LT548" s="712" t="str">
        <f>IF(LQ548=SUM(LU548:LW548),"OK","REV")</f>
        <v>OK</v>
      </c>
      <c r="LU548" s="770"/>
      <c r="LV548" s="770">
        <v>1</v>
      </c>
      <c r="LW548" s="770"/>
      <c r="LX548" s="769">
        <v>2</v>
      </c>
      <c r="LY548" s="766" t="str">
        <f t="shared" si="135"/>
        <v>within the MUNICIPALITY</v>
      </c>
      <c r="LZ548" s="1709">
        <v>5400</v>
      </c>
      <c r="MA548" s="1709"/>
      <c r="MB548" s="1709"/>
      <c r="MC548" s="1679">
        <f t="shared" si="133"/>
        <v>5400</v>
      </c>
      <c r="MD548" s="1709">
        <v>18000</v>
      </c>
      <c r="ME548" s="1709"/>
      <c r="MF548" s="1709"/>
      <c r="MG548" s="1680">
        <f>SUM(MD548:MF548)</f>
        <v>18000</v>
      </c>
      <c r="MH548" s="770" t="s">
        <v>2229</v>
      </c>
      <c r="MI548" s="302">
        <v>6500</v>
      </c>
      <c r="MJ548" s="302">
        <v>3000</v>
      </c>
      <c r="MK548" s="302">
        <v>4000</v>
      </c>
      <c r="ML548" s="302">
        <v>3000</v>
      </c>
      <c r="MM548" s="302">
        <v>3000</v>
      </c>
      <c r="MN548" s="302"/>
      <c r="MO548" s="302">
        <v>1000</v>
      </c>
      <c r="MP548" s="302">
        <v>1500</v>
      </c>
      <c r="MQ548" s="302">
        <v>1200</v>
      </c>
      <c r="MR548" s="302">
        <v>1100</v>
      </c>
      <c r="MS548" s="302">
        <v>8000</v>
      </c>
      <c r="MT548" s="302"/>
      <c r="MU548" s="302"/>
      <c r="MV548" s="302"/>
      <c r="MW548" s="302"/>
      <c r="MX548" s="302"/>
      <c r="MY548" s="1682">
        <f t="shared" si="147"/>
        <v>32300</v>
      </c>
      <c r="MZ548" s="770" t="s">
        <v>13370</v>
      </c>
      <c r="NA548" s="770" t="s">
        <v>13005</v>
      </c>
      <c r="NB548" s="770" t="s">
        <v>13016</v>
      </c>
      <c r="NC548" s="770" t="s">
        <v>13602</v>
      </c>
      <c r="ND548" s="770">
        <v>0</v>
      </c>
      <c r="NE548" s="770">
        <v>0</v>
      </c>
      <c r="NF548" s="770">
        <v>1</v>
      </c>
      <c r="NG548" s="770">
        <v>3</v>
      </c>
      <c r="NH548" s="770">
        <v>1</v>
      </c>
      <c r="NI548" s="770">
        <v>0</v>
      </c>
      <c r="NJ548" s="770">
        <v>1</v>
      </c>
      <c r="NK548" s="770">
        <v>0</v>
      </c>
      <c r="NL548" s="770">
        <v>1</v>
      </c>
      <c r="NM548" s="770">
        <v>1</v>
      </c>
      <c r="NN548" s="770">
        <v>0</v>
      </c>
      <c r="NO548" s="770">
        <v>0</v>
      </c>
      <c r="NP548" s="770">
        <v>0</v>
      </c>
      <c r="NQ548" s="770">
        <v>0</v>
      </c>
      <c r="NR548" s="770">
        <v>0</v>
      </c>
      <c r="NS548" s="770">
        <v>0</v>
      </c>
      <c r="NT548" s="770">
        <v>0</v>
      </c>
      <c r="NU548" s="770">
        <v>0</v>
      </c>
      <c r="NV548" s="770">
        <v>0</v>
      </c>
      <c r="NW548" s="770">
        <v>0</v>
      </c>
      <c r="NX548" s="770">
        <v>0</v>
      </c>
      <c r="NY548" s="770" t="s">
        <v>1208</v>
      </c>
      <c r="NZ548" s="770" t="s">
        <v>1208</v>
      </c>
      <c r="OA548" s="770" t="s">
        <v>1208</v>
      </c>
      <c r="OB548" s="770"/>
      <c r="OC548" s="770" t="s">
        <v>1208</v>
      </c>
      <c r="OD548" s="770"/>
      <c r="OE548" s="770"/>
      <c r="OF548" s="770"/>
      <c r="OG548" s="770"/>
      <c r="OH548" s="770"/>
      <c r="OI548" s="770"/>
      <c r="OJ548" s="770"/>
      <c r="OK548" s="770"/>
      <c r="OL548" s="770"/>
      <c r="OM548" s="770"/>
      <c r="ON548" s="770"/>
      <c r="OO548" s="770"/>
      <c r="OP548" s="770"/>
      <c r="OQ548" s="770"/>
      <c r="OR548" s="770"/>
      <c r="OS548" s="770"/>
      <c r="OT548" s="770"/>
      <c r="OU548" s="770"/>
      <c r="OV548" s="770"/>
      <c r="OW548" s="770"/>
      <c r="OX548" s="770"/>
      <c r="OY548" s="770"/>
      <c r="OZ548" s="770"/>
      <c r="PA548" s="770"/>
      <c r="PB548" s="770"/>
      <c r="PC548" s="770"/>
      <c r="PD548" s="770"/>
      <c r="PE548" s="770"/>
      <c r="PF548" s="770"/>
      <c r="PG548" s="770"/>
      <c r="PH548" s="770"/>
      <c r="PI548" s="770"/>
      <c r="PJ548" s="770"/>
      <c r="PK548" s="770"/>
      <c r="PL548" s="770"/>
      <c r="PM548" s="770"/>
      <c r="PN548" s="770"/>
      <c r="PO548" s="770"/>
      <c r="PP548" s="770"/>
      <c r="PQ548" s="770"/>
      <c r="PR548" s="770" t="s">
        <v>1208</v>
      </c>
      <c r="PS548" s="770"/>
      <c r="PT548" s="770"/>
      <c r="PU548" s="770"/>
      <c r="PV548" s="770"/>
      <c r="PW548" s="770"/>
      <c r="PX548" s="770"/>
      <c r="PY548" s="770"/>
      <c r="PZ548" s="770"/>
      <c r="QA548" s="770"/>
      <c r="QB548" s="770"/>
      <c r="QC548" s="770"/>
      <c r="QD548" s="770"/>
      <c r="QE548" s="770"/>
      <c r="QF548" s="770"/>
      <c r="QG548" s="770"/>
      <c r="QH548" s="770"/>
      <c r="QI548" s="770"/>
      <c r="QJ548" s="770"/>
      <c r="QK548" s="770"/>
      <c r="QL548" s="770"/>
      <c r="QM548" s="770"/>
      <c r="QN548" s="770"/>
      <c r="QO548" s="770"/>
      <c r="QP548" s="770"/>
      <c r="QQ548" s="770"/>
      <c r="QR548" s="770"/>
      <c r="QS548" s="770"/>
      <c r="QT548" s="770"/>
      <c r="QU548" s="770"/>
      <c r="QV548" s="770"/>
      <c r="QW548" s="770"/>
      <c r="QX548" s="770"/>
      <c r="QY548" s="770"/>
      <c r="QZ548" s="770"/>
      <c r="RA548" s="770"/>
      <c r="RB548" s="770" t="s">
        <v>1214</v>
      </c>
      <c r="RC548" s="770"/>
      <c r="RD548" s="770"/>
      <c r="RE548" s="770"/>
      <c r="RF548" s="304"/>
      <c r="RG548" s="770"/>
      <c r="RH548" s="302"/>
      <c r="RI548" s="770"/>
      <c r="RJ548" s="770" t="s">
        <v>13727</v>
      </c>
      <c r="RK548" s="770" t="s">
        <v>13550</v>
      </c>
      <c r="RL548" s="1710"/>
      <c r="RM548" s="12"/>
      <c r="RN548" s="1711"/>
      <c r="RO548" s="132" t="s">
        <v>2742</v>
      </c>
      <c r="RP548" s="11"/>
      <c r="RQ548" s="11"/>
      <c r="RR548" s="17" t="s">
        <v>7421</v>
      </c>
      <c r="RS548" s="1139" t="s">
        <v>12980</v>
      </c>
      <c r="RT548" s="11"/>
      <c r="RU548" s="11"/>
      <c r="RV548" s="771" t="s">
        <v>13726</v>
      </c>
      <c r="RW548" s="11" t="s">
        <v>7790</v>
      </c>
      <c r="RX548" s="11" t="s">
        <v>3830</v>
      </c>
      <c r="RY548" s="11"/>
      <c r="RZ548" s="11" t="s">
        <v>1101</v>
      </c>
      <c r="SA548" s="771"/>
      <c r="SB548" s="11"/>
      <c r="SC548" s="11"/>
    </row>
    <row r="549" spans="1:497" ht="12.75" customHeight="1">
      <c r="A549" s="17" t="s">
        <v>7421</v>
      </c>
      <c r="B549" s="752" t="s">
        <v>7715</v>
      </c>
      <c r="C549" s="132" t="s">
        <v>2750</v>
      </c>
      <c r="D549" s="94" t="s">
        <v>2751</v>
      </c>
      <c r="E549" s="766" t="s">
        <v>7931</v>
      </c>
      <c r="F549" s="770" t="s">
        <v>42</v>
      </c>
      <c r="G549" s="770" t="s">
        <v>10</v>
      </c>
      <c r="H549" s="770"/>
      <c r="I549" s="295" t="s">
        <v>2752</v>
      </c>
      <c r="J549" s="94" t="s">
        <v>2753</v>
      </c>
      <c r="K549" s="766" t="s">
        <v>2754</v>
      </c>
      <c r="L549" s="766" t="s">
        <v>2755</v>
      </c>
      <c r="M549" s="770" t="s">
        <v>1238</v>
      </c>
      <c r="N549" s="770"/>
      <c r="O549" s="770" t="s">
        <v>2705</v>
      </c>
      <c r="P549" s="94" t="s">
        <v>2756</v>
      </c>
      <c r="Q549" s="1088">
        <v>15575</v>
      </c>
      <c r="R549" s="297">
        <v>74</v>
      </c>
      <c r="S549" s="770" t="s">
        <v>18</v>
      </c>
      <c r="T549" s="770"/>
      <c r="U549" s="295" t="s">
        <v>2752</v>
      </c>
      <c r="V549" s="770" t="s">
        <v>719</v>
      </c>
      <c r="W549" s="770"/>
      <c r="X549" s="770"/>
      <c r="Y549" s="770" t="s">
        <v>3973</v>
      </c>
      <c r="Z549" s="770" t="s">
        <v>708</v>
      </c>
      <c r="AA549" s="770" t="s">
        <v>732</v>
      </c>
      <c r="AB549" s="770" t="s">
        <v>710</v>
      </c>
      <c r="AC549" s="770" t="s">
        <v>724</v>
      </c>
      <c r="AD549" s="770"/>
      <c r="AE549" s="770"/>
      <c r="AF549" s="770" t="s">
        <v>712</v>
      </c>
      <c r="AG549" s="766" t="s">
        <v>1095</v>
      </c>
      <c r="AH549" s="766" t="s">
        <v>1096</v>
      </c>
      <c r="AI549" s="770" t="s">
        <v>3294</v>
      </c>
      <c r="AJ549" s="770"/>
      <c r="AK549" s="770" t="s">
        <v>1101</v>
      </c>
      <c r="AL549" s="531"/>
      <c r="AM549" s="780"/>
      <c r="AN549" s="532"/>
      <c r="AO549" s="766"/>
      <c r="AP549" s="766"/>
      <c r="AQ549" s="766"/>
      <c r="AR549" s="766"/>
      <c r="AS549" s="770"/>
      <c r="AT549" s="770"/>
      <c r="AU549" s="770"/>
      <c r="AV549" s="770"/>
      <c r="AW549" s="770"/>
      <c r="AX549" s="770"/>
      <c r="AY549" s="770"/>
      <c r="AZ549" s="770"/>
      <c r="BA549" s="770"/>
      <c r="BB549" s="770"/>
      <c r="BC549" s="770"/>
      <c r="BD549" s="770"/>
      <c r="BE549" s="770"/>
      <c r="BF549" s="302"/>
      <c r="BG549" s="302"/>
      <c r="BH549" s="770"/>
      <c r="BI549" s="770"/>
      <c r="BJ549" s="770"/>
      <c r="BK549" s="770" t="s">
        <v>1095</v>
      </c>
      <c r="BL549" s="770" t="s">
        <v>2757</v>
      </c>
      <c r="BM549" s="766" t="s">
        <v>1096</v>
      </c>
      <c r="BN549" s="770" t="s">
        <v>1230</v>
      </c>
      <c r="BO549" s="766" t="s">
        <v>1239</v>
      </c>
      <c r="BP549" s="1109">
        <v>21.76</v>
      </c>
      <c r="BQ549" s="773">
        <v>3.4</v>
      </c>
      <c r="BR549" s="774">
        <f t="shared" si="157"/>
        <v>0.15624999999999997</v>
      </c>
      <c r="BS549" s="766" t="s">
        <v>1242</v>
      </c>
      <c r="BT549" s="766" t="s">
        <v>8133</v>
      </c>
      <c r="BU549" s="770" t="s">
        <v>1249</v>
      </c>
      <c r="BV549" s="766" t="s">
        <v>1243</v>
      </c>
      <c r="BW549" s="770">
        <v>2014</v>
      </c>
      <c r="BX549" s="302">
        <v>80000</v>
      </c>
      <c r="BY549" s="770"/>
      <c r="BZ549" s="302"/>
      <c r="CA549" s="770"/>
      <c r="CB549" s="770"/>
      <c r="CC549" s="770"/>
      <c r="CD549" s="770"/>
      <c r="CE549" s="770"/>
      <c r="CF549" s="1753"/>
      <c r="CG549" s="1754"/>
      <c r="CH549" s="770"/>
      <c r="CI549" s="770"/>
      <c r="CJ549" s="770"/>
      <c r="CK549" s="770"/>
      <c r="CL549" s="770"/>
      <c r="CM549" s="770"/>
      <c r="CN549" s="770"/>
      <c r="CO549" s="770"/>
      <c r="CP549" s="770"/>
      <c r="CQ549" s="770"/>
      <c r="CR549" s="302"/>
      <c r="CS549" s="770"/>
      <c r="CT549" s="770"/>
      <c r="CU549" s="305"/>
      <c r="CV549" s="770"/>
      <c r="CW549" s="770"/>
      <c r="CX549" s="770"/>
      <c r="CY549" s="770"/>
      <c r="CZ549" s="770"/>
      <c r="DA549" s="306"/>
      <c r="DB549" s="770"/>
      <c r="DC549" s="770"/>
      <c r="DD549" s="770"/>
      <c r="DE549" s="300"/>
      <c r="DF549" s="770"/>
      <c r="DG549" s="770"/>
      <c r="DH549" s="770"/>
      <c r="DI549" s="770"/>
      <c r="DJ549" s="770"/>
      <c r="DK549" s="770"/>
      <c r="DL549" s="770"/>
      <c r="DM549" s="770"/>
      <c r="DN549" s="322"/>
      <c r="DO549" s="770"/>
      <c r="DP549" s="770"/>
      <c r="DQ549" s="770"/>
      <c r="DR549" s="770"/>
      <c r="DS549" s="307"/>
      <c r="DT549" s="770"/>
      <c r="DU549" s="770"/>
      <c r="DV549" s="770"/>
      <c r="DW549" s="306"/>
      <c r="DX549" s="306"/>
      <c r="DY549" s="770"/>
      <c r="DZ549" s="770"/>
      <c r="EA549" s="770"/>
      <c r="EB549" s="770"/>
      <c r="EC549" s="770"/>
      <c r="ED549" s="770"/>
      <c r="EE549" s="770"/>
      <c r="EF549" s="770"/>
      <c r="EG549" s="770"/>
      <c r="EH549" s="770"/>
      <c r="EI549" s="770"/>
      <c r="EJ549" s="770"/>
      <c r="EK549" s="770"/>
      <c r="EL549" s="770"/>
      <c r="EM549" s="770"/>
      <c r="EN549" s="770"/>
      <c r="EO549" s="770"/>
      <c r="EP549" s="94"/>
      <c r="EQ549" s="770"/>
      <c r="ER549" s="770"/>
      <c r="ES549" s="770"/>
      <c r="ET549" s="770"/>
      <c r="EU549" s="770"/>
      <c r="EV549" s="770"/>
      <c r="EW549" s="770"/>
      <c r="EX549" s="770"/>
      <c r="EY549" s="770"/>
      <c r="EZ549" s="770"/>
      <c r="FA549" s="770"/>
      <c r="FB549" s="770"/>
      <c r="FC549" s="770"/>
      <c r="FD549" s="302"/>
      <c r="FE549" s="770"/>
      <c r="FF549" s="770"/>
      <c r="FG549" s="770"/>
      <c r="FH549" s="770" t="s">
        <v>478</v>
      </c>
      <c r="FI549" s="770">
        <v>1</v>
      </c>
      <c r="FJ549" s="770"/>
      <c r="FK549" s="770"/>
      <c r="FL549" s="770"/>
      <c r="FM549" s="302"/>
      <c r="FN549" s="302"/>
      <c r="FO549" s="302"/>
      <c r="FP549" s="766" t="s">
        <v>1600</v>
      </c>
      <c r="FQ549" s="766" t="s">
        <v>1642</v>
      </c>
      <c r="FR549" s="770" t="s">
        <v>1207</v>
      </c>
      <c r="FS549" s="770" t="s">
        <v>1208</v>
      </c>
      <c r="FT549" s="770"/>
      <c r="FU549" s="770"/>
      <c r="FV549" s="770"/>
      <c r="FW549" s="770"/>
      <c r="FX549" s="770"/>
      <c r="FY549" s="770"/>
      <c r="FZ549" s="770"/>
      <c r="GA549" s="770"/>
      <c r="GB549" s="770" t="s">
        <v>796</v>
      </c>
      <c r="GC549" s="308" t="s">
        <v>2757</v>
      </c>
      <c r="GD549" s="297"/>
      <c r="GE549" s="770" t="s">
        <v>1214</v>
      </c>
      <c r="GF549" s="302"/>
      <c r="GG549" s="302"/>
      <c r="GH549" s="770" t="s">
        <v>1791</v>
      </c>
      <c r="GI549" s="770" t="s">
        <v>2758</v>
      </c>
      <c r="GJ549" s="770" t="s">
        <v>2759</v>
      </c>
      <c r="GK549" s="770" t="s">
        <v>2345</v>
      </c>
      <c r="GL549" s="770"/>
      <c r="GM549" s="770"/>
      <c r="GN549" s="299">
        <f>300*30</f>
        <v>9000</v>
      </c>
      <c r="GO549" s="770" t="s">
        <v>2760</v>
      </c>
      <c r="GP549" s="770"/>
      <c r="GQ549" s="770" t="s">
        <v>1208</v>
      </c>
      <c r="GR549" s="770"/>
      <c r="GS549" s="770"/>
      <c r="GT549" s="770"/>
      <c r="GU549" s="770"/>
      <c r="GV549" s="770"/>
      <c r="GW549" s="770" t="s">
        <v>1207</v>
      </c>
      <c r="GX549" s="770"/>
      <c r="GY549" s="770" t="s">
        <v>1208</v>
      </c>
      <c r="GZ549" s="770" t="s">
        <v>1208</v>
      </c>
      <c r="HA549" s="770" t="s">
        <v>1208</v>
      </c>
      <c r="HB549" s="770" t="s">
        <v>1208</v>
      </c>
      <c r="HC549" s="770" t="s">
        <v>1208</v>
      </c>
      <c r="HD549" s="770" t="s">
        <v>1208</v>
      </c>
      <c r="HE549" s="770" t="s">
        <v>1208</v>
      </c>
      <c r="HF549" s="770"/>
      <c r="HG549" s="770"/>
      <c r="HH549" s="770"/>
      <c r="HI549" s="770" t="s">
        <v>1214</v>
      </c>
      <c r="HJ549" s="770"/>
      <c r="HK549" s="770"/>
      <c r="HL549" s="770" t="s">
        <v>1214</v>
      </c>
      <c r="HM549" s="770"/>
      <c r="HN549" s="770"/>
      <c r="HO549" s="770"/>
      <c r="HP549" s="770"/>
      <c r="HQ549" s="770"/>
      <c r="HR549" s="770"/>
      <c r="HS549" s="770"/>
      <c r="HT549" s="770"/>
      <c r="HU549" s="770"/>
      <c r="HV549" s="770"/>
      <c r="HW549" s="770"/>
      <c r="HX549" s="770"/>
      <c r="HY549" s="770"/>
      <c r="HZ549" s="770"/>
      <c r="IA549" s="770"/>
      <c r="IB549" s="14" t="e">
        <f>IF(#REF!&gt;0,IF(#REF!&lt;=10000,"Y",""),"")</f>
        <v>#REF!</v>
      </c>
      <c r="IC549" s="770" t="s">
        <v>1207</v>
      </c>
      <c r="ID549" s="770">
        <v>1</v>
      </c>
      <c r="IE549" s="770">
        <v>2</v>
      </c>
      <c r="IF549" s="770"/>
      <c r="IG549" s="770"/>
      <c r="IH549" s="770"/>
      <c r="II549" s="770"/>
      <c r="IJ549" s="770"/>
      <c r="IK549" s="770"/>
      <c r="IL549" s="770"/>
      <c r="IM549" s="770"/>
      <c r="IN549" s="770"/>
      <c r="IO549" s="296"/>
      <c r="IP549" s="770"/>
      <c r="IQ549" s="770"/>
      <c r="IR549" s="770"/>
      <c r="IS549" s="770"/>
      <c r="IT549" s="770"/>
      <c r="IU549" s="770"/>
      <c r="IV549" s="770"/>
      <c r="IW549" s="770"/>
      <c r="IX549" s="770"/>
      <c r="IY549" s="770"/>
      <c r="IZ549" s="770"/>
      <c r="JA549" s="770"/>
      <c r="JB549" s="770"/>
      <c r="JC549" s="770"/>
      <c r="JD549" s="302"/>
      <c r="JE549" s="770"/>
      <c r="JF549" s="770"/>
      <c r="JG549" s="770"/>
      <c r="JH549" s="307"/>
      <c r="JI549" s="307"/>
      <c r="JJ549" s="770">
        <v>5</v>
      </c>
      <c r="JK549" s="1139" t="s">
        <v>2757</v>
      </c>
      <c r="JL549" s="770">
        <v>1</v>
      </c>
      <c r="JM549" s="770">
        <v>1</v>
      </c>
      <c r="JN549" s="770">
        <v>1</v>
      </c>
      <c r="JO549" s="770">
        <v>1</v>
      </c>
      <c r="JP549" s="770"/>
      <c r="JQ549" s="770">
        <v>1</v>
      </c>
      <c r="JR549" s="770"/>
      <c r="JS549" s="770"/>
      <c r="JT549" s="766">
        <f t="shared" si="156"/>
        <v>2</v>
      </c>
      <c r="JU549" s="766">
        <f t="shared" si="156"/>
        <v>3</v>
      </c>
      <c r="JV549" s="712" t="str">
        <f>IF(JT549=KJ549,"ok","male")</f>
        <v>ok</v>
      </c>
      <c r="JW549" s="712" t="str">
        <f>IF(JU549=KK549,"ok","female")</f>
        <v>ok</v>
      </c>
      <c r="JX549" s="770"/>
      <c r="JY549" s="770"/>
      <c r="JZ549" s="770">
        <v>1</v>
      </c>
      <c r="KA549" s="770">
        <v>1</v>
      </c>
      <c r="KB549" s="770"/>
      <c r="KC549" s="770"/>
      <c r="KD549" s="770">
        <v>1</v>
      </c>
      <c r="KE549" s="770">
        <v>1</v>
      </c>
      <c r="KF549" s="770"/>
      <c r="KG549" s="770">
        <v>1</v>
      </c>
      <c r="KH549" s="770"/>
      <c r="KI549" s="770"/>
      <c r="KJ549" s="770">
        <f t="shared" si="153"/>
        <v>2</v>
      </c>
      <c r="KK549" s="770">
        <f t="shared" si="153"/>
        <v>3</v>
      </c>
      <c r="KL549" s="712" t="str">
        <f>IF(KJ549=LN549,"ok","male")</f>
        <v>ok</v>
      </c>
      <c r="KM549" s="712" t="str">
        <f>IF(KK549=LO549,"ok","female")</f>
        <v>ok</v>
      </c>
      <c r="KN549" s="770" t="s">
        <v>719</v>
      </c>
      <c r="KO549" s="770"/>
      <c r="KP549" s="770"/>
      <c r="KQ549" s="770"/>
      <c r="KR549" s="770"/>
      <c r="KS549" s="770"/>
      <c r="KT549" s="770">
        <v>1</v>
      </c>
      <c r="KU549" s="770"/>
      <c r="KV549" s="770"/>
      <c r="KW549" s="770">
        <v>1</v>
      </c>
      <c r="KX549" s="770"/>
      <c r="KY549" s="770">
        <v>1</v>
      </c>
      <c r="KZ549" s="770">
        <v>1</v>
      </c>
      <c r="LA549" s="770">
        <v>1</v>
      </c>
      <c r="LB549" s="770"/>
      <c r="LC549" s="770"/>
      <c r="LD549" s="770"/>
      <c r="LE549" s="770"/>
      <c r="LF549" s="770"/>
      <c r="LG549" s="770"/>
      <c r="LH549" s="770"/>
      <c r="LI549" s="770"/>
      <c r="LJ549" s="770"/>
      <c r="LK549" s="770"/>
      <c r="LL549" s="770"/>
      <c r="LM549" s="770"/>
      <c r="LN549" s="766">
        <f t="shared" si="134"/>
        <v>2</v>
      </c>
      <c r="LO549" s="766">
        <f t="shared" si="134"/>
        <v>3</v>
      </c>
      <c r="LP549" s="770">
        <v>1</v>
      </c>
      <c r="LQ549" s="770">
        <v>1</v>
      </c>
      <c r="LR549" s="770"/>
      <c r="LS549" s="770"/>
      <c r="LT549" s="712" t="str">
        <f>IF(LQ549=SUM(LU549:LW549),"OK","REV")</f>
        <v>OK</v>
      </c>
      <c r="LU549" s="770">
        <v>1</v>
      </c>
      <c r="LV549" s="770"/>
      <c r="LW549" s="770"/>
      <c r="LX549" s="769">
        <v>3</v>
      </c>
      <c r="LY549" s="766" t="str">
        <f t="shared" si="135"/>
        <v>within the PROVINCE</v>
      </c>
      <c r="LZ549" s="1709">
        <v>7500</v>
      </c>
      <c r="MA549" s="1709"/>
      <c r="MB549" s="1709"/>
      <c r="MC549" s="1679">
        <f t="shared" ref="MC549:MC612" si="158">SUM(LZ549:MB549)</f>
        <v>7500</v>
      </c>
      <c r="MD549" s="1709">
        <v>10000</v>
      </c>
      <c r="ME549" s="1709"/>
      <c r="MF549" s="1709"/>
      <c r="MG549" s="1680">
        <f>SUM(MD549:MF549)</f>
        <v>10000</v>
      </c>
      <c r="MH549" s="770" t="s">
        <v>1835</v>
      </c>
      <c r="MI549" s="302">
        <v>15000</v>
      </c>
      <c r="MJ549" s="302">
        <v>9000</v>
      </c>
      <c r="MK549" s="302">
        <v>85</v>
      </c>
      <c r="ML549" s="302">
        <v>7000</v>
      </c>
      <c r="MM549" s="302">
        <v>800</v>
      </c>
      <c r="MN549" s="302"/>
      <c r="MO549" s="302">
        <v>200</v>
      </c>
      <c r="MP549" s="302">
        <v>1200</v>
      </c>
      <c r="MQ549" s="302">
        <v>500</v>
      </c>
      <c r="MR549" s="302">
        <v>1000</v>
      </c>
      <c r="MS549" s="302">
        <v>450</v>
      </c>
      <c r="MT549" s="302"/>
      <c r="MU549" s="302"/>
      <c r="MV549" s="302"/>
      <c r="MW549" s="302"/>
      <c r="MX549" s="302"/>
      <c r="MY549" s="1682">
        <f t="shared" si="147"/>
        <v>35235</v>
      </c>
      <c r="MZ549" s="770" t="s">
        <v>13370</v>
      </c>
      <c r="NA549" s="770" t="s">
        <v>13005</v>
      </c>
      <c r="NB549" s="770" t="s">
        <v>13016</v>
      </c>
      <c r="NC549" s="770" t="s">
        <v>13602</v>
      </c>
      <c r="ND549" s="770">
        <v>0</v>
      </c>
      <c r="NE549" s="770">
        <v>0</v>
      </c>
      <c r="NF549" s="770">
        <v>0</v>
      </c>
      <c r="NG549" s="770">
        <v>3</v>
      </c>
      <c r="NH549" s="770">
        <v>1</v>
      </c>
      <c r="NI549" s="770">
        <v>2</v>
      </c>
      <c r="NJ549" s="770">
        <v>0</v>
      </c>
      <c r="NK549" s="770">
        <v>0</v>
      </c>
      <c r="NL549" s="770">
        <v>1</v>
      </c>
      <c r="NM549" s="770">
        <v>1</v>
      </c>
      <c r="NN549" s="770">
        <v>0</v>
      </c>
      <c r="NO549" s="770">
        <v>0</v>
      </c>
      <c r="NP549" s="770">
        <v>0</v>
      </c>
      <c r="NQ549" s="770">
        <v>2</v>
      </c>
      <c r="NR549" s="770">
        <v>3</v>
      </c>
      <c r="NS549" s="770">
        <v>0</v>
      </c>
      <c r="NT549" s="770">
        <v>0</v>
      </c>
      <c r="NU549" s="770">
        <v>0</v>
      </c>
      <c r="NV549" s="770">
        <v>0</v>
      </c>
      <c r="NW549" s="770">
        <v>0</v>
      </c>
      <c r="NX549" s="770">
        <v>0</v>
      </c>
      <c r="NY549" s="770"/>
      <c r="NZ549" s="770"/>
      <c r="OA549" s="770"/>
      <c r="OB549" s="770"/>
      <c r="OC549" s="770"/>
      <c r="OD549" s="770"/>
      <c r="OE549" s="770"/>
      <c r="OF549" s="770"/>
      <c r="OG549" s="770"/>
      <c r="OH549" s="770"/>
      <c r="OI549" s="770"/>
      <c r="OJ549" s="770"/>
      <c r="OK549" s="770"/>
      <c r="OL549" s="770"/>
      <c r="OM549" s="770"/>
      <c r="ON549" s="770"/>
      <c r="OO549" s="770"/>
      <c r="OP549" s="770"/>
      <c r="OQ549" s="770"/>
      <c r="OR549" s="770"/>
      <c r="OS549" s="770"/>
      <c r="OT549" s="770"/>
      <c r="OU549" s="770"/>
      <c r="OV549" s="770"/>
      <c r="OW549" s="770"/>
      <c r="OX549" s="770"/>
      <c r="OY549" s="770"/>
      <c r="OZ549" s="770"/>
      <c r="PA549" s="770"/>
      <c r="PB549" s="770"/>
      <c r="PC549" s="770"/>
      <c r="PD549" s="770"/>
      <c r="PE549" s="770"/>
      <c r="PF549" s="770"/>
      <c r="PG549" s="770"/>
      <c r="PH549" s="770"/>
      <c r="PI549" s="770"/>
      <c r="PJ549" s="770"/>
      <c r="PK549" s="770"/>
      <c r="PL549" s="770"/>
      <c r="PM549" s="770"/>
      <c r="PN549" s="770"/>
      <c r="PO549" s="770"/>
      <c r="PP549" s="770"/>
      <c r="PQ549" s="770"/>
      <c r="PR549" s="770"/>
      <c r="PS549" s="770"/>
      <c r="PT549" s="770"/>
      <c r="PU549" s="770"/>
      <c r="PV549" s="770"/>
      <c r="PW549" s="770"/>
      <c r="PX549" s="770"/>
      <c r="PY549" s="770"/>
      <c r="PZ549" s="770"/>
      <c r="QA549" s="770"/>
      <c r="QB549" s="770"/>
      <c r="QC549" s="770"/>
      <c r="QD549" s="770"/>
      <c r="QE549" s="770"/>
      <c r="QF549" s="770"/>
      <c r="QG549" s="770"/>
      <c r="QH549" s="770"/>
      <c r="QI549" s="770"/>
      <c r="QJ549" s="770"/>
      <c r="QK549" s="770"/>
      <c r="QL549" s="770"/>
      <c r="QM549" s="770"/>
      <c r="QN549" s="770"/>
      <c r="QO549" s="770"/>
      <c r="QP549" s="770"/>
      <c r="QQ549" s="770"/>
      <c r="QR549" s="770"/>
      <c r="QS549" s="770"/>
      <c r="QT549" s="770"/>
      <c r="QU549" s="770"/>
      <c r="QV549" s="770"/>
      <c r="QW549" s="770"/>
      <c r="QX549" s="770"/>
      <c r="QY549" s="770"/>
      <c r="QZ549" s="770"/>
      <c r="RA549" s="770"/>
      <c r="RB549" s="770"/>
      <c r="RC549" s="770"/>
      <c r="RD549" s="770"/>
      <c r="RE549" s="770"/>
      <c r="RF549" s="304"/>
      <c r="RG549" s="770"/>
      <c r="RH549" s="302"/>
      <c r="RI549" s="770"/>
      <c r="RJ549" s="770" t="s">
        <v>2761</v>
      </c>
      <c r="RK549" s="770" t="s">
        <v>13556</v>
      </c>
      <c r="RL549" s="1710"/>
      <c r="RM549" s="12"/>
      <c r="RN549" s="1711"/>
      <c r="RO549" s="132" t="s">
        <v>2750</v>
      </c>
      <c r="RP549" s="11"/>
      <c r="RQ549" s="11"/>
      <c r="RR549" s="17" t="s">
        <v>7421</v>
      </c>
      <c r="RS549" s="1139" t="s">
        <v>12980</v>
      </c>
      <c r="RT549" s="11"/>
      <c r="RU549" s="11"/>
      <c r="RV549" s="771" t="s">
        <v>7419</v>
      </c>
      <c r="RW549" s="11" t="s">
        <v>7713</v>
      </c>
      <c r="RX549" s="11" t="s">
        <v>2733</v>
      </c>
      <c r="RY549" s="11"/>
      <c r="RZ549" s="11" t="s">
        <v>1101</v>
      </c>
      <c r="SA549" s="771"/>
      <c r="SB549" s="11"/>
      <c r="SC549" s="11"/>
    </row>
    <row r="550" spans="1:497" ht="12.75" customHeight="1">
      <c r="A550" s="17" t="s">
        <v>7421</v>
      </c>
      <c r="B550" s="752" t="s">
        <v>7716</v>
      </c>
      <c r="C550" s="132" t="s">
        <v>2762</v>
      </c>
      <c r="D550" s="94" t="s">
        <v>2763</v>
      </c>
      <c r="E550" s="766" t="s">
        <v>2735</v>
      </c>
      <c r="F550" s="770" t="s">
        <v>28</v>
      </c>
      <c r="G550" s="770" t="s">
        <v>18</v>
      </c>
      <c r="H550" s="770"/>
      <c r="I550" s="295" t="s">
        <v>2764</v>
      </c>
      <c r="J550" s="94" t="s">
        <v>2763</v>
      </c>
      <c r="K550" s="766" t="s">
        <v>2765</v>
      </c>
      <c r="L550" s="766" t="s">
        <v>2766</v>
      </c>
      <c r="M550" s="770" t="s">
        <v>1238</v>
      </c>
      <c r="N550" s="770"/>
      <c r="O550" s="770" t="s">
        <v>2705</v>
      </c>
      <c r="P550" s="94" t="s">
        <v>2767</v>
      </c>
      <c r="Q550" s="1088">
        <v>30825</v>
      </c>
      <c r="R550" s="297">
        <v>32</v>
      </c>
      <c r="S550" s="770" t="s">
        <v>18</v>
      </c>
      <c r="T550" s="770"/>
      <c r="U550" s="295" t="s">
        <v>2764</v>
      </c>
      <c r="V550" s="770"/>
      <c r="W550" s="770"/>
      <c r="X550" s="770"/>
      <c r="Y550" s="770" t="s">
        <v>2735</v>
      </c>
      <c r="Z550" s="770" t="s">
        <v>793</v>
      </c>
      <c r="AA550" s="770" t="s">
        <v>709</v>
      </c>
      <c r="AB550" s="766" t="s">
        <v>7274</v>
      </c>
      <c r="AC550" s="770"/>
      <c r="AD550" s="770" t="s">
        <v>711</v>
      </c>
      <c r="AE550" s="770"/>
      <c r="AF550" s="770" t="s">
        <v>798</v>
      </c>
      <c r="AG550" s="766" t="s">
        <v>1132</v>
      </c>
      <c r="AH550" s="766" t="s">
        <v>1096</v>
      </c>
      <c r="AI550" s="770" t="s">
        <v>3294</v>
      </c>
      <c r="AJ550" s="770" t="s">
        <v>1137</v>
      </c>
      <c r="AK550" s="770" t="s">
        <v>1101</v>
      </c>
      <c r="AL550" s="531">
        <v>4.5</v>
      </c>
      <c r="AM550" s="780">
        <v>4.5</v>
      </c>
      <c r="AN550" s="532">
        <f>AM550/AL550</f>
        <v>1</v>
      </c>
      <c r="AO550" s="766" t="s">
        <v>1122</v>
      </c>
      <c r="AP550" s="766"/>
      <c r="AQ550" s="766"/>
      <c r="AR550" s="766"/>
      <c r="AS550" s="770"/>
      <c r="AT550" s="770"/>
      <c r="AU550" s="770"/>
      <c r="AV550" s="770"/>
      <c r="AW550" s="770"/>
      <c r="AX550" s="770"/>
      <c r="AY550" s="770"/>
      <c r="AZ550" s="770"/>
      <c r="BA550" s="770"/>
      <c r="BB550" s="770"/>
      <c r="BC550" s="770"/>
      <c r="BD550" s="770"/>
      <c r="BE550" s="770"/>
      <c r="BF550" s="302"/>
      <c r="BG550" s="302"/>
      <c r="BH550" s="770"/>
      <c r="BI550" s="770"/>
      <c r="BJ550" s="770"/>
      <c r="BK550" s="770" t="s">
        <v>1095</v>
      </c>
      <c r="BL550" s="770" t="s">
        <v>2768</v>
      </c>
      <c r="BM550" s="766" t="s">
        <v>1096</v>
      </c>
      <c r="BN550" s="770" t="s">
        <v>1230</v>
      </c>
      <c r="BO550" s="766" t="s">
        <v>1246</v>
      </c>
      <c r="BP550" s="1109">
        <v>4.5</v>
      </c>
      <c r="BQ550" s="773">
        <v>4.5</v>
      </c>
      <c r="BR550" s="774">
        <f t="shared" si="157"/>
        <v>1</v>
      </c>
      <c r="BS550" s="766" t="s">
        <v>1257</v>
      </c>
      <c r="BT550" s="766" t="s">
        <v>1326</v>
      </c>
      <c r="BU550" s="766" t="s">
        <v>1264</v>
      </c>
      <c r="BV550" s="770" t="s">
        <v>1291</v>
      </c>
      <c r="BW550" s="770">
        <v>2011</v>
      </c>
      <c r="BX550" s="302" t="s">
        <v>2769</v>
      </c>
      <c r="BY550" s="770" t="s">
        <v>1207</v>
      </c>
      <c r="BZ550" s="302" t="s">
        <v>2769</v>
      </c>
      <c r="CA550" s="770"/>
      <c r="CB550" s="770"/>
      <c r="CC550" s="770"/>
      <c r="CD550" s="770"/>
      <c r="CE550" s="770"/>
      <c r="CF550" s="1753"/>
      <c r="CG550" s="1754"/>
      <c r="CH550" s="770"/>
      <c r="CI550" s="770"/>
      <c r="CJ550" s="770"/>
      <c r="CK550" s="770"/>
      <c r="CL550" s="770"/>
      <c r="CM550" s="770"/>
      <c r="CN550" s="770"/>
      <c r="CO550" s="770"/>
      <c r="CP550" s="770"/>
      <c r="CQ550" s="770"/>
      <c r="CR550" s="302"/>
      <c r="CS550" s="770"/>
      <c r="CT550" s="770"/>
      <c r="CU550" s="305"/>
      <c r="CV550" s="770"/>
      <c r="CW550" s="770"/>
      <c r="CX550" s="770"/>
      <c r="CY550" s="770"/>
      <c r="CZ550" s="770"/>
      <c r="DA550" s="306"/>
      <c r="DB550" s="770"/>
      <c r="DC550" s="770"/>
      <c r="DD550" s="770"/>
      <c r="DE550" s="300"/>
      <c r="DF550" s="770"/>
      <c r="DG550" s="770"/>
      <c r="DH550" s="770"/>
      <c r="DI550" s="770"/>
      <c r="DJ550" s="770"/>
      <c r="DK550" s="770"/>
      <c r="DL550" s="770"/>
      <c r="DM550" s="770"/>
      <c r="DN550" s="322"/>
      <c r="DO550" s="770"/>
      <c r="DP550" s="770"/>
      <c r="DQ550" s="770"/>
      <c r="DR550" s="770"/>
      <c r="DS550" s="307"/>
      <c r="DT550" s="770"/>
      <c r="DU550" s="770"/>
      <c r="DV550" s="770"/>
      <c r="DW550" s="306"/>
      <c r="DX550" s="306"/>
      <c r="DY550" s="770"/>
      <c r="DZ550" s="770"/>
      <c r="EA550" s="770"/>
      <c r="EB550" s="770"/>
      <c r="EC550" s="770"/>
      <c r="ED550" s="770"/>
      <c r="EE550" s="770"/>
      <c r="EF550" s="770"/>
      <c r="EG550" s="770"/>
      <c r="EH550" s="770"/>
      <c r="EI550" s="770"/>
      <c r="EJ550" s="770"/>
      <c r="EK550" s="770"/>
      <c r="EL550" s="770"/>
      <c r="EM550" s="770"/>
      <c r="EN550" s="770"/>
      <c r="EO550" s="770"/>
      <c r="EP550" s="94"/>
      <c r="EQ550" s="770"/>
      <c r="ER550" s="770"/>
      <c r="ES550" s="770"/>
      <c r="ET550" s="770"/>
      <c r="EU550" s="770"/>
      <c r="EV550" s="770"/>
      <c r="EW550" s="770"/>
      <c r="EX550" s="770"/>
      <c r="EY550" s="770"/>
      <c r="EZ550" s="770"/>
      <c r="FA550" s="770"/>
      <c r="FB550" s="770"/>
      <c r="FC550" s="770"/>
      <c r="FD550" s="302"/>
      <c r="FE550" s="770"/>
      <c r="FF550" s="770"/>
      <c r="FG550" s="770"/>
      <c r="FH550" s="770" t="s">
        <v>478</v>
      </c>
      <c r="FI550" s="770">
        <v>1</v>
      </c>
      <c r="FJ550" s="770"/>
      <c r="FK550" s="770"/>
      <c r="FL550" s="770"/>
      <c r="FM550" s="302"/>
      <c r="FN550" s="302"/>
      <c r="FO550" s="302"/>
      <c r="FP550" s="766" t="s">
        <v>1602</v>
      </c>
      <c r="FQ550" s="766" t="s">
        <v>1660</v>
      </c>
      <c r="FR550" s="770" t="s">
        <v>1214</v>
      </c>
      <c r="FS550" s="770"/>
      <c r="FT550" s="770"/>
      <c r="FU550" s="770"/>
      <c r="FV550" s="770"/>
      <c r="FW550" s="770"/>
      <c r="FX550" s="770"/>
      <c r="FY550" s="770"/>
      <c r="FZ550" s="770"/>
      <c r="GA550" s="770"/>
      <c r="GB550" s="770" t="s">
        <v>2741</v>
      </c>
      <c r="GC550" s="308"/>
      <c r="GD550" s="308">
        <v>2011</v>
      </c>
      <c r="GE550" s="770" t="s">
        <v>1214</v>
      </c>
      <c r="GF550" s="302"/>
      <c r="GG550" s="302"/>
      <c r="GH550" s="712" t="s">
        <v>1791</v>
      </c>
      <c r="GI550" s="770" t="s">
        <v>1008</v>
      </c>
      <c r="GJ550" s="770"/>
      <c r="GK550" s="770" t="s">
        <v>2345</v>
      </c>
      <c r="GL550" s="770"/>
      <c r="GM550" s="770"/>
      <c r="GN550" s="299">
        <f>100*30</f>
        <v>3000</v>
      </c>
      <c r="GO550" s="770" t="s">
        <v>2770</v>
      </c>
      <c r="GP550" s="770" t="s">
        <v>1208</v>
      </c>
      <c r="GQ550" s="770" t="s">
        <v>1208</v>
      </c>
      <c r="GR550" s="770" t="s">
        <v>1208</v>
      </c>
      <c r="GS550" s="770" t="s">
        <v>1208</v>
      </c>
      <c r="GT550" s="770" t="s">
        <v>1208</v>
      </c>
      <c r="GU550" s="770"/>
      <c r="GV550" s="770"/>
      <c r="GW550" s="770"/>
      <c r="GX550" s="770"/>
      <c r="GY550" s="770" t="s">
        <v>1208</v>
      </c>
      <c r="GZ550" s="770" t="s">
        <v>1208</v>
      </c>
      <c r="HA550" s="770" t="s">
        <v>1208</v>
      </c>
      <c r="HB550" s="770" t="s">
        <v>1208</v>
      </c>
      <c r="HC550" s="770" t="s">
        <v>1208</v>
      </c>
      <c r="HD550" s="770" t="s">
        <v>1208</v>
      </c>
      <c r="HE550" s="770" t="s">
        <v>1208</v>
      </c>
      <c r="HF550" s="770"/>
      <c r="HG550" s="770"/>
      <c r="HH550" s="770"/>
      <c r="HI550" s="770" t="s">
        <v>1214</v>
      </c>
      <c r="HJ550" s="770"/>
      <c r="HK550" s="770"/>
      <c r="HL550" s="770" t="s">
        <v>1214</v>
      </c>
      <c r="HM550" s="770"/>
      <c r="HN550" s="770"/>
      <c r="HO550" s="770"/>
      <c r="HP550" s="770"/>
      <c r="HQ550" s="770"/>
      <c r="HR550" s="770"/>
      <c r="HS550" s="770"/>
      <c r="HT550" s="770"/>
      <c r="HU550" s="770"/>
      <c r="HV550" s="770"/>
      <c r="HW550" s="770"/>
      <c r="HX550" s="770"/>
      <c r="HY550" s="770"/>
      <c r="HZ550" s="770"/>
      <c r="IA550" s="770"/>
      <c r="IB550" s="14" t="e">
        <f>IF(#REF!&gt;0,IF(#REF!&lt;=10000,"Y",""),"")</f>
        <v>#REF!</v>
      </c>
      <c r="IC550" s="770" t="s">
        <v>1207</v>
      </c>
      <c r="ID550" s="770"/>
      <c r="IE550" s="770">
        <v>1</v>
      </c>
      <c r="IF550" s="770"/>
      <c r="IG550" s="770"/>
      <c r="IH550" s="770"/>
      <c r="II550" s="770"/>
      <c r="IJ550" s="770"/>
      <c r="IK550" s="770"/>
      <c r="IL550" s="770"/>
      <c r="IM550" s="770"/>
      <c r="IN550" s="770"/>
      <c r="IO550" s="296"/>
      <c r="IP550" s="770"/>
      <c r="IQ550" s="770"/>
      <c r="IR550" s="770"/>
      <c r="IS550" s="770"/>
      <c r="IT550" s="770"/>
      <c r="IU550" s="770"/>
      <c r="IV550" s="770"/>
      <c r="IW550" s="770"/>
      <c r="IX550" s="770"/>
      <c r="IY550" s="770"/>
      <c r="IZ550" s="770"/>
      <c r="JA550" s="770"/>
      <c r="JB550" s="770"/>
      <c r="JC550" s="770"/>
      <c r="JD550" s="302"/>
      <c r="JE550" s="770"/>
      <c r="JF550" s="770"/>
      <c r="JG550" s="770"/>
      <c r="JH550" s="307"/>
      <c r="JI550" s="307"/>
      <c r="JJ550" s="770">
        <v>5</v>
      </c>
      <c r="JK550" s="1139" t="s">
        <v>2771</v>
      </c>
      <c r="JL550" s="770">
        <v>3</v>
      </c>
      <c r="JM550" s="770">
        <v>1</v>
      </c>
      <c r="JN550" s="770"/>
      <c r="JO550" s="770">
        <v>1</v>
      </c>
      <c r="JP550" s="770"/>
      <c r="JQ550" s="770"/>
      <c r="JR550" s="770"/>
      <c r="JS550" s="770"/>
      <c r="JT550" s="766">
        <f t="shared" si="156"/>
        <v>3</v>
      </c>
      <c r="JU550" s="766">
        <f t="shared" si="156"/>
        <v>2</v>
      </c>
      <c r="JV550" s="712" t="str">
        <f>IF(JT550=KJ550,"ok","male")</f>
        <v>ok</v>
      </c>
      <c r="JW550" s="712" t="str">
        <f>IF(JU550=KK550,"ok","female")</f>
        <v>ok</v>
      </c>
      <c r="JX550" s="770">
        <v>1</v>
      </c>
      <c r="JY550" s="770"/>
      <c r="JZ550" s="770">
        <v>2</v>
      </c>
      <c r="KA550" s="770">
        <v>1</v>
      </c>
      <c r="KB550" s="770"/>
      <c r="KC550" s="770"/>
      <c r="KD550" s="770"/>
      <c r="KE550" s="770">
        <v>1</v>
      </c>
      <c r="KF550" s="770"/>
      <c r="KG550" s="770"/>
      <c r="KH550" s="770"/>
      <c r="KI550" s="770"/>
      <c r="KJ550" s="770">
        <f t="shared" si="153"/>
        <v>3</v>
      </c>
      <c r="KK550" s="770">
        <f t="shared" si="153"/>
        <v>2</v>
      </c>
      <c r="KL550" s="712" t="str">
        <f>IF(KJ550=LN550,"ok","male")</f>
        <v>ok</v>
      </c>
      <c r="KM550" s="712" t="str">
        <f>IF(KK550=LO550,"ok","female")</f>
        <v>ok</v>
      </c>
      <c r="KN550" s="770" t="s">
        <v>783</v>
      </c>
      <c r="KO550" s="770"/>
      <c r="KP550" s="770"/>
      <c r="KQ550" s="770"/>
      <c r="KR550" s="770"/>
      <c r="KS550" s="770"/>
      <c r="KT550" s="770">
        <v>1</v>
      </c>
      <c r="KU550" s="770">
        <v>1</v>
      </c>
      <c r="KV550" s="770">
        <v>1</v>
      </c>
      <c r="KW550" s="770">
        <v>1</v>
      </c>
      <c r="KX550" s="770"/>
      <c r="KY550" s="770"/>
      <c r="KZ550" s="770"/>
      <c r="LA550" s="770"/>
      <c r="LB550" s="770"/>
      <c r="LC550" s="770"/>
      <c r="LD550" s="770"/>
      <c r="LE550" s="770"/>
      <c r="LF550" s="770"/>
      <c r="LG550" s="770"/>
      <c r="LH550" s="770"/>
      <c r="LI550" s="770"/>
      <c r="LJ550" s="770">
        <v>1</v>
      </c>
      <c r="LK550" s="770"/>
      <c r="LL550" s="770"/>
      <c r="LM550" s="770"/>
      <c r="LN550" s="766">
        <f t="shared" si="134"/>
        <v>3</v>
      </c>
      <c r="LO550" s="766">
        <f t="shared" si="134"/>
        <v>2</v>
      </c>
      <c r="LP550" s="770">
        <v>1</v>
      </c>
      <c r="LQ550" s="770">
        <v>1</v>
      </c>
      <c r="LR550" s="770"/>
      <c r="LS550" s="770"/>
      <c r="LT550" s="712" t="str">
        <f>IF(LQ550=SUM(LU550:LW550),"OK","REV")</f>
        <v>OK</v>
      </c>
      <c r="LU550" s="770"/>
      <c r="LV550" s="770">
        <v>1</v>
      </c>
      <c r="LW550" s="770"/>
      <c r="LX550" s="769">
        <v>1</v>
      </c>
      <c r="LY550" s="766" t="str">
        <f t="shared" si="135"/>
        <v>within the BRGY</v>
      </c>
      <c r="LZ550" s="1709">
        <v>1000</v>
      </c>
      <c r="MA550" s="1709"/>
      <c r="MB550" s="1709"/>
      <c r="MC550" s="1679">
        <f t="shared" si="158"/>
        <v>1000</v>
      </c>
      <c r="MD550" s="1709">
        <v>6000</v>
      </c>
      <c r="ME550" s="1709"/>
      <c r="MF550" s="1709"/>
      <c r="MG550" s="1680">
        <f>SUM(MD550:MF550)</f>
        <v>6000</v>
      </c>
      <c r="MH550" s="770" t="s">
        <v>13728</v>
      </c>
      <c r="MI550" s="302">
        <v>4800</v>
      </c>
      <c r="MJ550" s="302"/>
      <c r="MK550" s="302">
        <v>2000</v>
      </c>
      <c r="ML550" s="302">
        <v>1000</v>
      </c>
      <c r="MM550" s="302">
        <v>180</v>
      </c>
      <c r="MN550" s="302"/>
      <c r="MO550" s="302">
        <v>100</v>
      </c>
      <c r="MP550" s="302">
        <v>200</v>
      </c>
      <c r="MQ550" s="302">
        <v>800</v>
      </c>
      <c r="MR550" s="302">
        <v>200</v>
      </c>
      <c r="MS550" s="302">
        <v>4500</v>
      </c>
      <c r="MT550" s="302"/>
      <c r="MU550" s="302"/>
      <c r="MV550" s="302"/>
      <c r="MW550" s="302"/>
      <c r="MX550" s="302"/>
      <c r="MY550" s="1682">
        <f t="shared" si="147"/>
        <v>13780</v>
      </c>
      <c r="MZ550" s="770" t="s">
        <v>13395</v>
      </c>
      <c r="NA550" s="770" t="s">
        <v>13005</v>
      </c>
      <c r="NB550" s="770" t="s">
        <v>13016</v>
      </c>
      <c r="NC550" s="770" t="s">
        <v>13621</v>
      </c>
      <c r="ND550" s="770">
        <v>0</v>
      </c>
      <c r="NE550" s="770">
        <v>0</v>
      </c>
      <c r="NF550" s="770">
        <v>0</v>
      </c>
      <c r="NG550" s="770">
        <v>1</v>
      </c>
      <c r="NH550" s="770">
        <v>0</v>
      </c>
      <c r="NI550" s="770">
        <v>0</v>
      </c>
      <c r="NJ550" s="770">
        <v>0</v>
      </c>
      <c r="NK550" s="770">
        <v>0</v>
      </c>
      <c r="NL550" s="770">
        <v>0</v>
      </c>
      <c r="NM550" s="770">
        <v>1</v>
      </c>
      <c r="NN550" s="770">
        <v>0</v>
      </c>
      <c r="NO550" s="770">
        <v>0</v>
      </c>
      <c r="NP550" s="770">
        <v>0</v>
      </c>
      <c r="NQ550" s="770">
        <v>0</v>
      </c>
      <c r="NR550" s="770">
        <v>0</v>
      </c>
      <c r="NS550" s="770">
        <v>0</v>
      </c>
      <c r="NT550" s="770">
        <v>0</v>
      </c>
      <c r="NU550" s="770">
        <v>0</v>
      </c>
      <c r="NV550" s="770">
        <v>0</v>
      </c>
      <c r="NW550" s="770">
        <v>0</v>
      </c>
      <c r="NX550" s="770">
        <v>0</v>
      </c>
      <c r="NY550" s="770" t="s">
        <v>1208</v>
      </c>
      <c r="NZ550" s="770" t="s">
        <v>1208</v>
      </c>
      <c r="OA550" s="770" t="s">
        <v>1208</v>
      </c>
      <c r="OB550" s="770" t="s">
        <v>1208</v>
      </c>
      <c r="OC550" s="770" t="s">
        <v>1208</v>
      </c>
      <c r="OD550" s="770"/>
      <c r="OE550" s="770"/>
      <c r="OF550" s="770"/>
      <c r="OG550" s="770"/>
      <c r="OH550" s="770"/>
      <c r="OI550" s="770"/>
      <c r="OJ550" s="770"/>
      <c r="OK550" s="770" t="s">
        <v>1208</v>
      </c>
      <c r="OL550" s="770"/>
      <c r="OM550" s="770"/>
      <c r="ON550" s="770"/>
      <c r="OO550" s="770" t="s">
        <v>1207</v>
      </c>
      <c r="OP550" s="770" t="s">
        <v>13532</v>
      </c>
      <c r="OQ550" s="770" t="s">
        <v>13153</v>
      </c>
      <c r="OR550" s="770"/>
      <c r="OS550" s="770"/>
      <c r="OT550" s="770"/>
      <c r="OU550" s="770"/>
      <c r="OV550" s="770" t="s">
        <v>1208</v>
      </c>
      <c r="OW550" s="770"/>
      <c r="OX550" s="770"/>
      <c r="OY550" s="770"/>
      <c r="OZ550" s="770"/>
      <c r="PA550" s="770"/>
      <c r="PB550" s="770"/>
      <c r="PC550" s="770"/>
      <c r="PD550" s="770"/>
      <c r="PE550" s="770"/>
      <c r="PF550" s="770"/>
      <c r="PG550" s="770"/>
      <c r="PH550" s="770" t="s">
        <v>1208</v>
      </c>
      <c r="PI550" s="770"/>
      <c r="PJ550" s="770"/>
      <c r="PK550" s="770" t="s">
        <v>1208</v>
      </c>
      <c r="PL550" s="770"/>
      <c r="PM550" s="770"/>
      <c r="PN550" s="770" t="s">
        <v>1208</v>
      </c>
      <c r="PO550" s="770"/>
      <c r="PP550" s="770"/>
      <c r="PQ550" s="770"/>
      <c r="PR550" s="770"/>
      <c r="PS550" s="770" t="s">
        <v>1208</v>
      </c>
      <c r="PT550" s="770" t="s">
        <v>1208</v>
      </c>
      <c r="PU550" s="770"/>
      <c r="PV550" s="770"/>
      <c r="PW550" s="770"/>
      <c r="PX550" s="770"/>
      <c r="PY550" s="770"/>
      <c r="PZ550" s="770"/>
      <c r="QA550" s="770"/>
      <c r="QB550" s="770"/>
      <c r="QC550" s="770"/>
      <c r="QD550" s="770"/>
      <c r="QE550" s="770"/>
      <c r="QF550" s="770"/>
      <c r="QG550" s="770"/>
      <c r="QH550" s="770"/>
      <c r="QI550" s="770"/>
      <c r="QJ550" s="770"/>
      <c r="QK550" s="770"/>
      <c r="QL550" s="770"/>
      <c r="QM550" s="770"/>
      <c r="QN550" s="770"/>
      <c r="QO550" s="770"/>
      <c r="QP550" s="770"/>
      <c r="QQ550" s="770"/>
      <c r="QR550" s="770"/>
      <c r="QS550" s="770"/>
      <c r="QT550" s="770"/>
      <c r="QU550" s="770"/>
      <c r="QV550" s="770"/>
      <c r="QW550" s="770"/>
      <c r="QX550" s="770"/>
      <c r="QY550" s="770"/>
      <c r="QZ550" s="770"/>
      <c r="RA550" s="770"/>
      <c r="RB550" s="770" t="s">
        <v>1207</v>
      </c>
      <c r="RC550" s="770">
        <v>20114</v>
      </c>
      <c r="RD550" s="770" t="s">
        <v>13046</v>
      </c>
      <c r="RE550" s="770" t="s">
        <v>12999</v>
      </c>
      <c r="RF550" s="304">
        <v>0.5</v>
      </c>
      <c r="RG550" s="770" t="s">
        <v>13047</v>
      </c>
      <c r="RH550" s="302">
        <v>0</v>
      </c>
      <c r="RI550" s="770">
        <v>4</v>
      </c>
      <c r="RJ550" s="770" t="s">
        <v>2771</v>
      </c>
      <c r="RK550" s="770" t="s">
        <v>13729</v>
      </c>
      <c r="RL550" s="1710"/>
      <c r="RM550" s="12"/>
      <c r="RN550" s="1711"/>
      <c r="RO550" s="132" t="s">
        <v>2762</v>
      </c>
      <c r="RP550" s="11"/>
      <c r="RQ550" s="11"/>
      <c r="RR550" s="17" t="s">
        <v>7421</v>
      </c>
      <c r="RS550" s="1139" t="s">
        <v>12980</v>
      </c>
      <c r="RT550" s="11"/>
      <c r="RU550" s="11"/>
      <c r="RV550" s="771" t="s">
        <v>7421</v>
      </c>
      <c r="RW550" s="11" t="s">
        <v>7714</v>
      </c>
      <c r="RX550" s="11" t="s">
        <v>2742</v>
      </c>
      <c r="RY550" s="11"/>
      <c r="RZ550" s="11" t="s">
        <v>1101</v>
      </c>
      <c r="SA550" s="771"/>
      <c r="SB550" s="11"/>
      <c r="SC550" s="11"/>
    </row>
    <row r="551" spans="1:497" ht="12.75" customHeight="1">
      <c r="A551" s="17" t="s">
        <v>7421</v>
      </c>
      <c r="B551" s="752" t="s">
        <v>7717</v>
      </c>
      <c r="C551" s="132" t="s">
        <v>2772</v>
      </c>
      <c r="D551" s="94" t="s">
        <v>2773</v>
      </c>
      <c r="E551" s="766" t="s">
        <v>2735</v>
      </c>
      <c r="F551" s="770" t="s">
        <v>20</v>
      </c>
      <c r="G551" s="770" t="s">
        <v>18</v>
      </c>
      <c r="H551" s="770"/>
      <c r="I551" s="295" t="s">
        <v>2774</v>
      </c>
      <c r="J551" s="94" t="s">
        <v>2775</v>
      </c>
      <c r="K551" s="766" t="s">
        <v>2776</v>
      </c>
      <c r="L551" s="766" t="s">
        <v>2777</v>
      </c>
      <c r="M551" s="770" t="s">
        <v>1238</v>
      </c>
      <c r="N551" s="770"/>
      <c r="O551" s="770" t="s">
        <v>2705</v>
      </c>
      <c r="P551" s="94" t="s">
        <v>2778</v>
      </c>
      <c r="Q551" s="1088">
        <v>30787</v>
      </c>
      <c r="R551" s="297">
        <v>33</v>
      </c>
      <c r="S551" s="770" t="s">
        <v>10</v>
      </c>
      <c r="T551" s="770"/>
      <c r="U551" s="295" t="s">
        <v>2774</v>
      </c>
      <c r="V551" s="770" t="s">
        <v>722</v>
      </c>
      <c r="W551" s="770"/>
      <c r="X551" s="770"/>
      <c r="Y551" s="770" t="s">
        <v>2735</v>
      </c>
      <c r="Z551" s="770"/>
      <c r="AA551" s="770" t="s">
        <v>709</v>
      </c>
      <c r="AB551" s="770" t="s">
        <v>710</v>
      </c>
      <c r="AC551" s="770" t="s">
        <v>1071</v>
      </c>
      <c r="AD551" s="770" t="s">
        <v>711</v>
      </c>
      <c r="AE551" s="770"/>
      <c r="AF551" s="770" t="s">
        <v>712</v>
      </c>
      <c r="AG551" s="766" t="s">
        <v>1132</v>
      </c>
      <c r="AH551" s="766" t="s">
        <v>1096</v>
      </c>
      <c r="AI551" s="770" t="s">
        <v>3294</v>
      </c>
      <c r="AJ551" s="770" t="s">
        <v>1137</v>
      </c>
      <c r="AK551" s="770" t="s">
        <v>1101</v>
      </c>
      <c r="AL551" s="531">
        <v>7.8</v>
      </c>
      <c r="AM551" s="780">
        <v>7.8</v>
      </c>
      <c r="AN551" s="532">
        <f>AM551/AL551</f>
        <v>1</v>
      </c>
      <c r="AO551" s="766" t="s">
        <v>1122</v>
      </c>
      <c r="AP551" s="766"/>
      <c r="AQ551" s="766"/>
      <c r="AR551" s="766"/>
      <c r="AS551" s="770"/>
      <c r="AT551" s="770"/>
      <c r="AU551" s="770"/>
      <c r="AV551" s="770"/>
      <c r="AW551" s="770"/>
      <c r="AX551" s="770"/>
      <c r="AY551" s="770"/>
      <c r="AZ551" s="770"/>
      <c r="BA551" s="770"/>
      <c r="BB551" s="770"/>
      <c r="BC551" s="770"/>
      <c r="BD551" s="770"/>
      <c r="BE551" s="770"/>
      <c r="BF551" s="302"/>
      <c r="BG551" s="302"/>
      <c r="BH551" s="770"/>
      <c r="BI551" s="770"/>
      <c r="BJ551" s="770"/>
      <c r="BK551" s="770" t="s">
        <v>1095</v>
      </c>
      <c r="BL551" s="770" t="s">
        <v>2779</v>
      </c>
      <c r="BM551" s="766" t="s">
        <v>1096</v>
      </c>
      <c r="BN551" s="770" t="s">
        <v>1230</v>
      </c>
      <c r="BO551" s="766" t="s">
        <v>1246</v>
      </c>
      <c r="BP551" s="1109">
        <v>7.8</v>
      </c>
      <c r="BQ551" s="773">
        <v>7.8</v>
      </c>
      <c r="BR551" s="774">
        <f t="shared" si="157"/>
        <v>1</v>
      </c>
      <c r="BS551" s="766" t="s">
        <v>1257</v>
      </c>
      <c r="BT551" s="766" t="s">
        <v>1326</v>
      </c>
      <c r="BU551" s="766" t="s">
        <v>1264</v>
      </c>
      <c r="BV551" s="770" t="s">
        <v>2432</v>
      </c>
      <c r="BW551" s="770">
        <v>2011</v>
      </c>
      <c r="BX551" s="302"/>
      <c r="BY551" s="770"/>
      <c r="BZ551" s="302"/>
      <c r="CA551" s="770"/>
      <c r="CB551" s="770"/>
      <c r="CC551" s="770"/>
      <c r="CD551" s="770"/>
      <c r="CE551" s="770"/>
      <c r="CF551" s="1753"/>
      <c r="CG551" s="1754"/>
      <c r="CH551" s="770"/>
      <c r="CI551" s="770"/>
      <c r="CJ551" s="770"/>
      <c r="CK551" s="770"/>
      <c r="CL551" s="770"/>
      <c r="CM551" s="770"/>
      <c r="CN551" s="770"/>
      <c r="CO551" s="770"/>
      <c r="CP551" s="770"/>
      <c r="CQ551" s="770"/>
      <c r="CR551" s="302"/>
      <c r="CS551" s="770"/>
      <c r="CT551" s="770"/>
      <c r="CU551" s="305"/>
      <c r="CV551" s="770"/>
      <c r="CW551" s="770"/>
      <c r="CX551" s="770"/>
      <c r="CY551" s="770"/>
      <c r="CZ551" s="770"/>
      <c r="DA551" s="306"/>
      <c r="DB551" s="770"/>
      <c r="DC551" s="770"/>
      <c r="DD551" s="770"/>
      <c r="DE551" s="300"/>
      <c r="DF551" s="770"/>
      <c r="DG551" s="770"/>
      <c r="DH551" s="770"/>
      <c r="DI551" s="770"/>
      <c r="DJ551" s="770"/>
      <c r="DK551" s="770"/>
      <c r="DL551" s="770"/>
      <c r="DM551" s="770"/>
      <c r="DN551" s="322"/>
      <c r="DO551" s="770"/>
      <c r="DP551" s="770"/>
      <c r="DQ551" s="770"/>
      <c r="DR551" s="770"/>
      <c r="DS551" s="307"/>
      <c r="DT551" s="770"/>
      <c r="DU551" s="770"/>
      <c r="DV551" s="770"/>
      <c r="DW551" s="306"/>
      <c r="DX551" s="306"/>
      <c r="DY551" s="770"/>
      <c r="DZ551" s="770"/>
      <c r="EA551" s="770"/>
      <c r="EB551" s="770"/>
      <c r="EC551" s="770"/>
      <c r="ED551" s="770"/>
      <c r="EE551" s="770"/>
      <c r="EF551" s="770"/>
      <c r="EG551" s="770"/>
      <c r="EH551" s="770"/>
      <c r="EI551" s="770"/>
      <c r="EJ551" s="770"/>
      <c r="EK551" s="770"/>
      <c r="EL551" s="770"/>
      <c r="EM551" s="770"/>
      <c r="EN551" s="770"/>
      <c r="EO551" s="770"/>
      <c r="EP551" s="94"/>
      <c r="EQ551" s="770"/>
      <c r="ER551" s="770"/>
      <c r="ES551" s="770"/>
      <c r="ET551" s="770"/>
      <c r="EU551" s="770"/>
      <c r="EV551" s="770"/>
      <c r="EW551" s="770"/>
      <c r="EX551" s="770"/>
      <c r="EY551" s="770"/>
      <c r="EZ551" s="770"/>
      <c r="FA551" s="770"/>
      <c r="FB551" s="770"/>
      <c r="FC551" s="770"/>
      <c r="FD551" s="302"/>
      <c r="FE551" s="770"/>
      <c r="FF551" s="770"/>
      <c r="FG551" s="770"/>
      <c r="FH551" s="770" t="s">
        <v>478</v>
      </c>
      <c r="FI551" s="770">
        <v>1</v>
      </c>
      <c r="FJ551" s="770"/>
      <c r="FK551" s="770"/>
      <c r="FL551" s="770"/>
      <c r="FM551" s="302"/>
      <c r="FN551" s="302"/>
      <c r="FO551" s="302"/>
      <c r="FP551" s="766" t="s">
        <v>1602</v>
      </c>
      <c r="FQ551" s="766" t="s">
        <v>1660</v>
      </c>
      <c r="FR551" s="770" t="s">
        <v>1214</v>
      </c>
      <c r="FS551" s="770"/>
      <c r="FT551" s="770"/>
      <c r="FU551" s="770"/>
      <c r="FV551" s="770"/>
      <c r="FW551" s="770"/>
      <c r="FX551" s="770"/>
      <c r="FY551" s="770"/>
      <c r="FZ551" s="770"/>
      <c r="GA551" s="770"/>
      <c r="GB551" s="770" t="s">
        <v>2741</v>
      </c>
      <c r="GC551" s="308"/>
      <c r="GD551" s="308">
        <v>2011</v>
      </c>
      <c r="GE551" s="770" t="s">
        <v>1214</v>
      </c>
      <c r="GF551" s="302"/>
      <c r="GG551" s="302"/>
      <c r="GH551" s="1811" t="s">
        <v>1791</v>
      </c>
      <c r="GI551" s="770"/>
      <c r="GJ551" s="770" t="s">
        <v>2780</v>
      </c>
      <c r="GK551" s="770"/>
      <c r="GL551" s="770"/>
      <c r="GM551" s="770"/>
      <c r="GN551" s="299"/>
      <c r="GO551" s="770" t="s">
        <v>2770</v>
      </c>
      <c r="GP551" s="770" t="s">
        <v>1208</v>
      </c>
      <c r="GQ551" s="770" t="s">
        <v>1208</v>
      </c>
      <c r="GR551" s="770" t="s">
        <v>1208</v>
      </c>
      <c r="GS551" s="770" t="s">
        <v>1208</v>
      </c>
      <c r="GT551" s="770" t="s">
        <v>1208</v>
      </c>
      <c r="GU551" s="770"/>
      <c r="GV551" s="770"/>
      <c r="GW551" s="770" t="s">
        <v>1207</v>
      </c>
      <c r="GX551" s="770"/>
      <c r="GY551" s="770" t="s">
        <v>1208</v>
      </c>
      <c r="GZ551" s="770" t="s">
        <v>1208</v>
      </c>
      <c r="HA551" s="770" t="s">
        <v>1208</v>
      </c>
      <c r="HB551" s="770" t="s">
        <v>1208</v>
      </c>
      <c r="HC551" s="770" t="s">
        <v>1208</v>
      </c>
      <c r="HD551" s="770" t="s">
        <v>1208</v>
      </c>
      <c r="HE551" s="770" t="s">
        <v>1208</v>
      </c>
      <c r="HF551" s="770"/>
      <c r="HG551" s="770"/>
      <c r="HH551" s="770"/>
      <c r="HI551" s="770" t="s">
        <v>1214</v>
      </c>
      <c r="HJ551" s="770"/>
      <c r="HK551" s="770"/>
      <c r="HL551" s="770"/>
      <c r="HM551" s="770"/>
      <c r="HN551" s="770"/>
      <c r="HO551" s="770"/>
      <c r="HP551" s="770"/>
      <c r="HQ551" s="770"/>
      <c r="HR551" s="770"/>
      <c r="HS551" s="770"/>
      <c r="HT551" s="770"/>
      <c r="HU551" s="770"/>
      <c r="HV551" s="770"/>
      <c r="HW551" s="770"/>
      <c r="HX551" s="770"/>
      <c r="HY551" s="770"/>
      <c r="HZ551" s="770"/>
      <c r="IA551" s="770"/>
      <c r="IB551" s="14" t="e">
        <f>IF(#REF!&gt;0,IF(#REF!&lt;=10000,"Y",""),"")</f>
        <v>#REF!</v>
      </c>
      <c r="IC551" s="770"/>
      <c r="ID551" s="770"/>
      <c r="IE551" s="770">
        <v>1</v>
      </c>
      <c r="IF551" s="770"/>
      <c r="IG551" s="770"/>
      <c r="IH551" s="770"/>
      <c r="II551" s="770"/>
      <c r="IJ551" s="770"/>
      <c r="IK551" s="770"/>
      <c r="IL551" s="770"/>
      <c r="IM551" s="770"/>
      <c r="IN551" s="770"/>
      <c r="IO551" s="296"/>
      <c r="IP551" s="770"/>
      <c r="IQ551" s="770"/>
      <c r="IR551" s="770"/>
      <c r="IS551" s="770"/>
      <c r="IT551" s="770"/>
      <c r="IU551" s="770"/>
      <c r="IV551" s="770"/>
      <c r="IW551" s="770"/>
      <c r="IX551" s="770"/>
      <c r="IY551" s="770"/>
      <c r="IZ551" s="770"/>
      <c r="JA551" s="770"/>
      <c r="JB551" s="770"/>
      <c r="JC551" s="770"/>
      <c r="JD551" s="302"/>
      <c r="JE551" s="770"/>
      <c r="JF551" s="770"/>
      <c r="JG551" s="770"/>
      <c r="JH551" s="307"/>
      <c r="JI551" s="307"/>
      <c r="JJ551" s="770">
        <v>5</v>
      </c>
      <c r="JK551" s="1139" t="s">
        <v>3834</v>
      </c>
      <c r="JL551" s="770">
        <v>3</v>
      </c>
      <c r="JM551" s="770"/>
      <c r="JN551" s="770">
        <v>1</v>
      </c>
      <c r="JO551" s="770">
        <v>1</v>
      </c>
      <c r="JP551" s="770"/>
      <c r="JQ551" s="770"/>
      <c r="JR551" s="770"/>
      <c r="JS551" s="770"/>
      <c r="JT551" s="766">
        <f t="shared" si="156"/>
        <v>4</v>
      </c>
      <c r="JU551" s="766">
        <f t="shared" si="156"/>
        <v>1</v>
      </c>
      <c r="JV551" s="712" t="str">
        <f>IF(JT551=KJ551,"ok","male")</f>
        <v>ok</v>
      </c>
      <c r="JW551" s="712" t="str">
        <f>IF(JU551=KK551,"ok","female")</f>
        <v>ok</v>
      </c>
      <c r="JX551" s="770">
        <v>2</v>
      </c>
      <c r="JY551" s="770"/>
      <c r="JZ551" s="770">
        <v>1</v>
      </c>
      <c r="KA551" s="770"/>
      <c r="KB551" s="770"/>
      <c r="KC551" s="770">
        <v>1</v>
      </c>
      <c r="KD551" s="770">
        <v>1</v>
      </c>
      <c r="KE551" s="770"/>
      <c r="KF551" s="770"/>
      <c r="KG551" s="770"/>
      <c r="KH551" s="770"/>
      <c r="KI551" s="770"/>
      <c r="KJ551" s="770">
        <f t="shared" si="153"/>
        <v>4</v>
      </c>
      <c r="KK551" s="770">
        <f t="shared" si="153"/>
        <v>1</v>
      </c>
      <c r="KL551" s="712" t="str">
        <f>IF(KJ551=LN551,"ok","male")</f>
        <v>ok</v>
      </c>
      <c r="KM551" s="712" t="str">
        <f>IF(KK551=LO551,"ok","female")</f>
        <v>ok</v>
      </c>
      <c r="KN551" s="770" t="s">
        <v>722</v>
      </c>
      <c r="KO551" s="770"/>
      <c r="KP551" s="770"/>
      <c r="KQ551" s="770"/>
      <c r="KR551" s="770"/>
      <c r="KS551" s="770"/>
      <c r="KT551" s="770">
        <v>1</v>
      </c>
      <c r="KU551" s="770"/>
      <c r="KV551" s="770"/>
      <c r="KW551" s="770">
        <v>1</v>
      </c>
      <c r="KX551" s="770"/>
      <c r="KY551" s="770"/>
      <c r="KZ551" s="770">
        <v>1</v>
      </c>
      <c r="LA551" s="770"/>
      <c r="LB551" s="770"/>
      <c r="LC551" s="770"/>
      <c r="LD551" s="770"/>
      <c r="LE551" s="770"/>
      <c r="LF551" s="770"/>
      <c r="LG551" s="770"/>
      <c r="LH551" s="770"/>
      <c r="LI551" s="770"/>
      <c r="LJ551" s="770">
        <v>2</v>
      </c>
      <c r="LK551" s="770"/>
      <c r="LL551" s="770"/>
      <c r="LM551" s="770"/>
      <c r="LN551" s="766">
        <f t="shared" ref="LN551:LO614" si="159">SUM(KP551,KR551,KT551,KV551,KX551,KZ551,LB551,LD551,LF551,LH551,LJ551,LL551)</f>
        <v>4</v>
      </c>
      <c r="LO551" s="766">
        <f t="shared" si="159"/>
        <v>1</v>
      </c>
      <c r="LP551" s="770">
        <v>1</v>
      </c>
      <c r="LQ551" s="770"/>
      <c r="LR551" s="770"/>
      <c r="LS551" s="770">
        <v>1</v>
      </c>
      <c r="LT551" s="712" t="str">
        <f>IF(LQ551=SUM(LU551:LW551),"OK","REV")</f>
        <v>OK</v>
      </c>
      <c r="LU551" s="770"/>
      <c r="LV551" s="770"/>
      <c r="LW551" s="770"/>
      <c r="LX551" s="769">
        <v>1</v>
      </c>
      <c r="LY551" s="766" t="str">
        <f t="shared" si="135"/>
        <v>within the BRGY</v>
      </c>
      <c r="LZ551" s="1709"/>
      <c r="MA551" s="1709"/>
      <c r="MB551" s="1709"/>
      <c r="MC551" s="1679">
        <f t="shared" si="158"/>
        <v>0</v>
      </c>
      <c r="MD551" s="1709"/>
      <c r="ME551" s="1709"/>
      <c r="MF551" s="1709">
        <v>10000</v>
      </c>
      <c r="MG551" s="1680">
        <f>SUM(MD551:MF551)</f>
        <v>10000</v>
      </c>
      <c r="MH551" s="770" t="s">
        <v>13510</v>
      </c>
      <c r="MI551" s="302">
        <v>6000</v>
      </c>
      <c r="MJ551" s="302"/>
      <c r="MK551" s="302">
        <v>140</v>
      </c>
      <c r="ML551" s="302">
        <v>1500</v>
      </c>
      <c r="MM551" s="302">
        <v>1000</v>
      </c>
      <c r="MN551" s="302"/>
      <c r="MO551" s="302">
        <v>3500</v>
      </c>
      <c r="MP551" s="302">
        <v>1500</v>
      </c>
      <c r="MQ551" s="302">
        <v>1500</v>
      </c>
      <c r="MR551" s="302">
        <v>1800</v>
      </c>
      <c r="MS551" s="302"/>
      <c r="MT551" s="302"/>
      <c r="MU551" s="302"/>
      <c r="MV551" s="302"/>
      <c r="MW551" s="302"/>
      <c r="MX551" s="302"/>
      <c r="MY551" s="1682">
        <f t="shared" si="147"/>
        <v>16940</v>
      </c>
      <c r="MZ551" s="770" t="s">
        <v>13395</v>
      </c>
      <c r="NA551" s="770" t="s">
        <v>13230</v>
      </c>
      <c r="NB551" s="770" t="s">
        <v>13016</v>
      </c>
      <c r="NC551" s="770" t="s">
        <v>13621</v>
      </c>
      <c r="ND551" s="770">
        <v>0</v>
      </c>
      <c r="NE551" s="770">
        <v>0</v>
      </c>
      <c r="NF551" s="770">
        <v>0</v>
      </c>
      <c r="NG551" s="770">
        <v>1</v>
      </c>
      <c r="NH551" s="770">
        <v>1</v>
      </c>
      <c r="NI551" s="770">
        <v>0</v>
      </c>
      <c r="NJ551" s="770">
        <v>0</v>
      </c>
      <c r="NK551" s="770">
        <v>0</v>
      </c>
      <c r="NL551" s="770">
        <v>0</v>
      </c>
      <c r="NM551" s="770">
        <v>1</v>
      </c>
      <c r="NN551" s="770">
        <v>0</v>
      </c>
      <c r="NO551" s="770">
        <v>0</v>
      </c>
      <c r="NP551" s="770">
        <v>0</v>
      </c>
      <c r="NQ551" s="770">
        <v>0</v>
      </c>
      <c r="NR551" s="770">
        <v>0</v>
      </c>
      <c r="NS551" s="770">
        <v>0</v>
      </c>
      <c r="NT551" s="770">
        <v>0</v>
      </c>
      <c r="NU551" s="770">
        <v>0</v>
      </c>
      <c r="NV551" s="770">
        <v>0</v>
      </c>
      <c r="NW551" s="770">
        <v>0</v>
      </c>
      <c r="NX551" s="770">
        <v>0</v>
      </c>
      <c r="NY551" s="770" t="s">
        <v>1208</v>
      </c>
      <c r="NZ551" s="770" t="s">
        <v>1208</v>
      </c>
      <c r="OA551" s="770" t="s">
        <v>1208</v>
      </c>
      <c r="OB551" s="770" t="s">
        <v>1208</v>
      </c>
      <c r="OC551" s="770" t="s">
        <v>1208</v>
      </c>
      <c r="OD551" s="770"/>
      <c r="OE551" s="770"/>
      <c r="OF551" s="770" t="s">
        <v>2143</v>
      </c>
      <c r="OG551" s="770"/>
      <c r="OH551" s="770"/>
      <c r="OI551" s="770"/>
      <c r="OJ551" s="770"/>
      <c r="OK551" s="770" t="s">
        <v>1208</v>
      </c>
      <c r="OL551" s="770" t="s">
        <v>13532</v>
      </c>
      <c r="OM551" s="770" t="s">
        <v>13548</v>
      </c>
      <c r="ON551" s="770"/>
      <c r="OO551" s="770" t="s">
        <v>1207</v>
      </c>
      <c r="OP551" s="770" t="s">
        <v>13532</v>
      </c>
      <c r="OQ551" s="770" t="s">
        <v>13548</v>
      </c>
      <c r="OR551" s="770" t="s">
        <v>12888</v>
      </c>
      <c r="OS551" s="770" t="s">
        <v>13579</v>
      </c>
      <c r="OT551" s="770" t="s">
        <v>12885</v>
      </c>
      <c r="OU551" s="770" t="s">
        <v>12888</v>
      </c>
      <c r="OV551" s="770" t="s">
        <v>1208</v>
      </c>
      <c r="OW551" s="770"/>
      <c r="OX551" s="770" t="s">
        <v>1208</v>
      </c>
      <c r="OY551" s="770" t="s">
        <v>1208</v>
      </c>
      <c r="OZ551" s="770"/>
      <c r="PA551" s="770"/>
      <c r="PB551" s="770"/>
      <c r="PC551" s="770"/>
      <c r="PD551" s="770"/>
      <c r="PE551" s="770"/>
      <c r="PF551" s="770"/>
      <c r="PG551" s="770" t="s">
        <v>1208</v>
      </c>
      <c r="PH551" s="770"/>
      <c r="PI551" s="770"/>
      <c r="PJ551" s="770"/>
      <c r="PK551" s="770" t="s">
        <v>1208</v>
      </c>
      <c r="PL551" s="770" t="s">
        <v>1208</v>
      </c>
      <c r="PM551" s="770"/>
      <c r="PN551" s="770"/>
      <c r="PO551" s="770"/>
      <c r="PP551" s="770"/>
      <c r="PQ551" s="770"/>
      <c r="PR551" s="770"/>
      <c r="PS551" s="770"/>
      <c r="PT551" s="770"/>
      <c r="PU551" s="770"/>
      <c r="PV551" s="770"/>
      <c r="PW551" s="770"/>
      <c r="PX551" s="770"/>
      <c r="PY551" s="770"/>
      <c r="PZ551" s="770"/>
      <c r="QA551" s="770"/>
      <c r="QB551" s="770"/>
      <c r="QC551" s="770"/>
      <c r="QD551" s="770"/>
      <c r="QE551" s="770"/>
      <c r="QF551" s="770"/>
      <c r="QG551" s="770"/>
      <c r="QH551" s="770"/>
      <c r="QI551" s="770"/>
      <c r="QJ551" s="770"/>
      <c r="QK551" s="770"/>
      <c r="QL551" s="770"/>
      <c r="QM551" s="770"/>
      <c r="QN551" s="770"/>
      <c r="QO551" s="770"/>
      <c r="QP551" s="770"/>
      <c r="QQ551" s="770"/>
      <c r="QR551" s="770"/>
      <c r="QS551" s="770"/>
      <c r="QT551" s="770"/>
      <c r="QU551" s="770"/>
      <c r="QV551" s="770"/>
      <c r="QW551" s="770"/>
      <c r="QX551" s="770"/>
      <c r="QY551" s="770"/>
      <c r="QZ551" s="770"/>
      <c r="RA551" s="770"/>
      <c r="RB551" s="770" t="s">
        <v>1207</v>
      </c>
      <c r="RC551" s="770">
        <v>2016</v>
      </c>
      <c r="RD551" s="770" t="s">
        <v>13615</v>
      </c>
      <c r="RE551" s="770" t="s">
        <v>12999</v>
      </c>
      <c r="RF551" s="304">
        <v>2</v>
      </c>
      <c r="RG551" s="770" t="s">
        <v>13047</v>
      </c>
      <c r="RH551" s="302">
        <v>0</v>
      </c>
      <c r="RI551" s="770">
        <v>24</v>
      </c>
      <c r="RJ551" s="770" t="s">
        <v>13730</v>
      </c>
      <c r="RK551" s="770" t="s">
        <v>13544</v>
      </c>
      <c r="RL551" s="1710"/>
      <c r="RM551" s="12"/>
      <c r="RN551" s="1711"/>
      <c r="RO551" s="132" t="s">
        <v>2772</v>
      </c>
      <c r="RP551" s="11"/>
      <c r="RQ551" s="11"/>
      <c r="RR551" s="17" t="s">
        <v>7421</v>
      </c>
      <c r="RS551" s="1139" t="s">
        <v>12980</v>
      </c>
      <c r="RT551" s="11"/>
      <c r="RU551" s="11"/>
      <c r="RV551" s="771" t="s">
        <v>7421</v>
      </c>
      <c r="RW551" s="11" t="s">
        <v>7715</v>
      </c>
      <c r="RX551" s="11" t="s">
        <v>2750</v>
      </c>
      <c r="RY551" s="11"/>
      <c r="RZ551" s="11" t="s">
        <v>1101</v>
      </c>
      <c r="SA551" s="771"/>
      <c r="SB551" s="11"/>
      <c r="SC551" s="11"/>
    </row>
    <row r="552" spans="1:497" ht="12.75" customHeight="1">
      <c r="A552" s="17" t="s">
        <v>7421</v>
      </c>
      <c r="B552" s="752" t="s">
        <v>7894</v>
      </c>
      <c r="C552" s="133" t="s">
        <v>2787</v>
      </c>
      <c r="D552" s="94" t="s">
        <v>2789</v>
      </c>
      <c r="E552" s="766" t="s">
        <v>2735</v>
      </c>
      <c r="F552" s="770" t="s">
        <v>28</v>
      </c>
      <c r="G552" s="770" t="s">
        <v>10</v>
      </c>
      <c r="H552" s="770"/>
      <c r="I552" s="295" t="s">
        <v>2790</v>
      </c>
      <c r="J552" s="94" t="s">
        <v>2789</v>
      </c>
      <c r="K552" s="766" t="s">
        <v>2765</v>
      </c>
      <c r="L552" s="766" t="s">
        <v>2745</v>
      </c>
      <c r="M552" s="770" t="s">
        <v>1238</v>
      </c>
      <c r="N552" s="770"/>
      <c r="O552" s="770" t="s">
        <v>2705</v>
      </c>
      <c r="P552" s="94" t="s">
        <v>2788</v>
      </c>
      <c r="Q552" s="1088">
        <v>29924</v>
      </c>
      <c r="R552" s="297">
        <v>36</v>
      </c>
      <c r="S552" s="770" t="s">
        <v>10</v>
      </c>
      <c r="T552" s="770"/>
      <c r="U552" s="295" t="s">
        <v>2790</v>
      </c>
      <c r="V552" s="770" t="s">
        <v>722</v>
      </c>
      <c r="W552" s="770"/>
      <c r="X552" s="770"/>
      <c r="Y552" s="770" t="s">
        <v>2735</v>
      </c>
      <c r="Z552" s="770" t="s">
        <v>708</v>
      </c>
      <c r="AA552" s="770" t="s">
        <v>709</v>
      </c>
      <c r="AB552" s="295" t="s">
        <v>7275</v>
      </c>
      <c r="AC552" s="770"/>
      <c r="AD552" s="770" t="s">
        <v>711</v>
      </c>
      <c r="AE552" s="770"/>
      <c r="AF552" s="770" t="s">
        <v>712</v>
      </c>
      <c r="AG552" s="766" t="s">
        <v>1095</v>
      </c>
      <c r="AH552" s="766" t="s">
        <v>1096</v>
      </c>
      <c r="AI552" s="770" t="s">
        <v>3294</v>
      </c>
      <c r="AJ552" s="770" t="s">
        <v>1137</v>
      </c>
      <c r="AK552" s="770" t="s">
        <v>1101</v>
      </c>
      <c r="AL552" s="531">
        <v>12.93</v>
      </c>
      <c r="AM552" s="780">
        <v>12.93</v>
      </c>
      <c r="AN552" s="532">
        <f>AM552/AL552</f>
        <v>1</v>
      </c>
      <c r="AO552" s="766" t="s">
        <v>1122</v>
      </c>
      <c r="AP552" s="766"/>
      <c r="AQ552" s="766"/>
      <c r="AR552" s="766"/>
      <c r="AS552" s="769"/>
      <c r="AT552" s="770"/>
      <c r="AU552" s="770"/>
      <c r="AV552" s="770"/>
      <c r="AW552" s="770"/>
      <c r="AX552" s="770"/>
      <c r="AY552" s="770"/>
      <c r="AZ552" s="770"/>
      <c r="BA552" s="770"/>
      <c r="BB552" s="770"/>
      <c r="BC552" s="770"/>
      <c r="BD552" s="770"/>
      <c r="BE552" s="770"/>
      <c r="BF552" s="302"/>
      <c r="BG552" s="302"/>
      <c r="BH552" s="770"/>
      <c r="BI552" s="770"/>
      <c r="BJ552" s="770"/>
      <c r="BK552" s="770" t="s">
        <v>1095</v>
      </c>
      <c r="BL552" s="770" t="s">
        <v>2791</v>
      </c>
      <c r="BM552" s="770" t="s">
        <v>8108</v>
      </c>
      <c r="BN552" s="770" t="s">
        <v>1230</v>
      </c>
      <c r="BO552" s="766" t="s">
        <v>1246</v>
      </c>
      <c r="BP552" s="1109">
        <v>12.93</v>
      </c>
      <c r="BQ552" s="773">
        <v>12.93</v>
      </c>
      <c r="BR552" s="774">
        <f t="shared" si="157"/>
        <v>1</v>
      </c>
      <c r="BS552" s="766" t="s">
        <v>1257</v>
      </c>
      <c r="BT552" s="770" t="s">
        <v>1326</v>
      </c>
      <c r="BU552" s="766" t="s">
        <v>1264</v>
      </c>
      <c r="BV552" s="770" t="s">
        <v>2432</v>
      </c>
      <c r="BW552" s="770">
        <v>2011</v>
      </c>
      <c r="BX552" s="302"/>
      <c r="BY552" s="770"/>
      <c r="BZ552" s="302"/>
      <c r="CA552" s="770"/>
      <c r="CB552" s="770"/>
      <c r="CC552" s="770"/>
      <c r="CD552" s="770"/>
      <c r="CE552" s="770"/>
      <c r="CF552" s="1753"/>
      <c r="CG552" s="1754"/>
      <c r="CH552" s="770"/>
      <c r="CI552" s="770"/>
      <c r="CJ552" s="770"/>
      <c r="CK552" s="770"/>
      <c r="CL552" s="770"/>
      <c r="CM552" s="770"/>
      <c r="CN552" s="770"/>
      <c r="CO552" s="770"/>
      <c r="CP552" s="770"/>
      <c r="CQ552" s="770"/>
      <c r="CR552" s="302"/>
      <c r="CS552" s="770"/>
      <c r="CT552" s="770"/>
      <c r="CU552" s="305"/>
      <c r="CV552" s="770"/>
      <c r="CW552" s="770"/>
      <c r="CX552" s="770"/>
      <c r="CY552" s="770"/>
      <c r="CZ552" s="770"/>
      <c r="DA552" s="306"/>
      <c r="DB552" s="770"/>
      <c r="DC552" s="770"/>
      <c r="DD552" s="770"/>
      <c r="DE552" s="300"/>
      <c r="DF552" s="770"/>
      <c r="DG552" s="770"/>
      <c r="DH552" s="770"/>
      <c r="DI552" s="770"/>
      <c r="DJ552" s="770"/>
      <c r="DK552" s="770"/>
      <c r="DL552" s="770"/>
      <c r="DM552" s="770"/>
      <c r="DN552" s="322"/>
      <c r="DO552" s="770"/>
      <c r="DP552" s="770"/>
      <c r="DQ552" s="770"/>
      <c r="DR552" s="770"/>
      <c r="DS552" s="307"/>
      <c r="DT552" s="770"/>
      <c r="DU552" s="770"/>
      <c r="DV552" s="770"/>
      <c r="DW552" s="306"/>
      <c r="DX552" s="306"/>
      <c r="DY552" s="770"/>
      <c r="DZ552" s="770"/>
      <c r="EA552" s="770"/>
      <c r="EB552" s="770"/>
      <c r="EC552" s="770"/>
      <c r="ED552" s="770"/>
      <c r="EE552" s="770"/>
      <c r="EF552" s="770"/>
      <c r="EG552" s="770"/>
      <c r="EH552" s="770"/>
      <c r="EI552" s="770"/>
      <c r="EJ552" s="770"/>
      <c r="EK552" s="770"/>
      <c r="EL552" s="770"/>
      <c r="EM552" s="770"/>
      <c r="EN552" s="770"/>
      <c r="EO552" s="770"/>
      <c r="EP552" s="94"/>
      <c r="EQ552" s="770"/>
      <c r="ER552" s="770"/>
      <c r="ES552" s="770"/>
      <c r="ET552" s="770"/>
      <c r="EU552" s="770"/>
      <c r="EV552" s="770"/>
      <c r="EW552" s="770"/>
      <c r="EX552" s="770"/>
      <c r="EY552" s="770"/>
      <c r="EZ552" s="770"/>
      <c r="FA552" s="770"/>
      <c r="FB552" s="770"/>
      <c r="FC552" s="770"/>
      <c r="FD552" s="302"/>
      <c r="FE552" s="770"/>
      <c r="FF552" s="770"/>
      <c r="FG552" s="770"/>
      <c r="FH552" s="770" t="s">
        <v>478</v>
      </c>
      <c r="FI552" s="770">
        <v>1</v>
      </c>
      <c r="FJ552" s="770"/>
      <c r="FK552" s="770"/>
      <c r="FL552" s="770"/>
      <c r="FM552" s="302"/>
      <c r="FN552" s="302"/>
      <c r="FO552" s="302"/>
      <c r="FP552" s="766" t="s">
        <v>1602</v>
      </c>
      <c r="FQ552" s="766" t="s">
        <v>1660</v>
      </c>
      <c r="FR552" s="770" t="s">
        <v>1214</v>
      </c>
      <c r="FS552" s="770"/>
      <c r="FT552" s="770"/>
      <c r="FU552" s="770"/>
      <c r="FV552" s="770"/>
      <c r="FW552" s="770"/>
      <c r="FX552" s="770"/>
      <c r="FY552" s="770"/>
      <c r="FZ552" s="770"/>
      <c r="GA552" s="770"/>
      <c r="GB552" s="770" t="s">
        <v>2741</v>
      </c>
      <c r="GC552" s="308"/>
      <c r="GD552" s="297">
        <v>2011</v>
      </c>
      <c r="GE552" s="770" t="s">
        <v>1214</v>
      </c>
      <c r="GF552" s="302"/>
      <c r="GG552" s="302"/>
      <c r="GH552" s="712" t="s">
        <v>1791</v>
      </c>
      <c r="GI552" s="770"/>
      <c r="GJ552" s="770"/>
      <c r="GK552" s="770" t="s">
        <v>2345</v>
      </c>
      <c r="GL552" s="770" t="s">
        <v>2407</v>
      </c>
      <c r="GM552" s="770" t="s">
        <v>2792</v>
      </c>
      <c r="GN552" s="299" t="s">
        <v>2618</v>
      </c>
      <c r="GO552" s="770"/>
      <c r="GP552" s="770"/>
      <c r="GQ552" s="770"/>
      <c r="GR552" s="770"/>
      <c r="GS552" s="770"/>
      <c r="GT552" s="770"/>
      <c r="GU552" s="770"/>
      <c r="GV552" s="770"/>
      <c r="GW552" s="770"/>
      <c r="GX552" s="770"/>
      <c r="GY552" s="770"/>
      <c r="GZ552" s="770"/>
      <c r="HA552" s="770"/>
      <c r="HB552" s="770"/>
      <c r="HC552" s="770"/>
      <c r="HD552" s="770"/>
      <c r="HE552" s="770"/>
      <c r="HF552" s="770"/>
      <c r="HG552" s="770"/>
      <c r="HH552" s="770"/>
      <c r="HI552" s="770" t="s">
        <v>1214</v>
      </c>
      <c r="HJ552" s="770"/>
      <c r="HK552" s="770"/>
      <c r="HL552" s="770" t="s">
        <v>1214</v>
      </c>
      <c r="HM552" s="770"/>
      <c r="HN552" s="770"/>
      <c r="HO552" s="770"/>
      <c r="HP552" s="770"/>
      <c r="HQ552" s="770"/>
      <c r="HR552" s="770">
        <v>1</v>
      </c>
      <c r="HS552" s="770"/>
      <c r="HT552" s="770"/>
      <c r="HU552" s="770"/>
      <c r="HV552" s="770"/>
      <c r="HW552" s="770"/>
      <c r="HX552" s="770"/>
      <c r="HY552" s="770"/>
      <c r="HZ552" s="770"/>
      <c r="IA552" s="770"/>
      <c r="IB552" s="14" t="e">
        <f>IF(#REF!&gt;0,IF(#REF!&lt;=10000,"Y",""),"")</f>
        <v>#REF!</v>
      </c>
      <c r="IC552" s="770"/>
      <c r="ID552" s="770"/>
      <c r="IE552" s="770"/>
      <c r="IF552" s="770" t="s">
        <v>2793</v>
      </c>
      <c r="IG552" s="770" t="s">
        <v>18</v>
      </c>
      <c r="IH552" s="770" t="s">
        <v>478</v>
      </c>
      <c r="II552" s="770" t="s">
        <v>2735</v>
      </c>
      <c r="IJ552" s="770" t="s">
        <v>2794</v>
      </c>
      <c r="IK552" s="770" t="s">
        <v>2639</v>
      </c>
      <c r="IL552" s="770" t="s">
        <v>2795</v>
      </c>
      <c r="IM552" s="770">
        <v>2011</v>
      </c>
      <c r="IN552" s="770" t="s">
        <v>2795</v>
      </c>
      <c r="IO552" s="296"/>
      <c r="IP552" s="770" t="s">
        <v>478</v>
      </c>
      <c r="IQ552" s="13" t="s">
        <v>1909</v>
      </c>
      <c r="IR552" s="770" t="s">
        <v>1964</v>
      </c>
      <c r="IS552" s="770" t="s">
        <v>1879</v>
      </c>
      <c r="IT552" s="770"/>
      <c r="IU552" s="770" t="s">
        <v>1208</v>
      </c>
      <c r="IV552" s="770"/>
      <c r="IW552" s="770" t="s">
        <v>13731</v>
      </c>
      <c r="IX552" s="770"/>
      <c r="IY552" s="770" t="s">
        <v>12794</v>
      </c>
      <c r="IZ552" s="770"/>
      <c r="JA552" s="770" t="s">
        <v>1880</v>
      </c>
      <c r="JB552" s="770" t="s">
        <v>12766</v>
      </c>
      <c r="JC552" s="770"/>
      <c r="JD552" s="302">
        <v>2000</v>
      </c>
      <c r="JE552" s="770"/>
      <c r="JF552" s="770"/>
      <c r="JG552" s="770"/>
      <c r="JH552" s="307"/>
      <c r="JI552" s="712" t="str">
        <f>IF(SUM(JT552,JU552)=JJ552,"ok","review")</f>
        <v>ok</v>
      </c>
      <c r="JJ552" s="770">
        <v>3</v>
      </c>
      <c r="JK552" s="1139" t="s">
        <v>2796</v>
      </c>
      <c r="JL552" s="770"/>
      <c r="JM552" s="770">
        <v>1</v>
      </c>
      <c r="JN552" s="770">
        <v>1</v>
      </c>
      <c r="JO552" s="770">
        <v>1</v>
      </c>
      <c r="JP552" s="770"/>
      <c r="JQ552" s="770"/>
      <c r="JR552" s="770"/>
      <c r="JS552" s="770"/>
      <c r="JT552" s="766">
        <f t="shared" si="156"/>
        <v>1</v>
      </c>
      <c r="JU552" s="766">
        <f t="shared" si="156"/>
        <v>2</v>
      </c>
      <c r="JV552" s="712" t="str">
        <f>IF(JT552=KJ552,"ok","male")</f>
        <v>ok</v>
      </c>
      <c r="JW552" s="712" t="str">
        <f>IF(JU552=KK552,"ok","female")</f>
        <v>ok</v>
      </c>
      <c r="JX552" s="770"/>
      <c r="JY552" s="770"/>
      <c r="JZ552" s="770"/>
      <c r="KA552" s="770">
        <v>1</v>
      </c>
      <c r="KB552" s="770"/>
      <c r="KC552" s="770">
        <v>1</v>
      </c>
      <c r="KD552" s="770">
        <v>1</v>
      </c>
      <c r="KE552" s="770"/>
      <c r="KF552" s="770"/>
      <c r="KG552" s="770"/>
      <c r="KH552" s="770"/>
      <c r="KI552" s="770"/>
      <c r="KJ552" s="770">
        <f t="shared" si="153"/>
        <v>1</v>
      </c>
      <c r="KK552" s="770">
        <f t="shared" si="153"/>
        <v>2</v>
      </c>
      <c r="KL552" s="712" t="str">
        <f>IF(KJ552=LN552,"ok","male")</f>
        <v>ok</v>
      </c>
      <c r="KM552" s="712" t="str">
        <f>IF(KK552=LO552,"ok","female")</f>
        <v>ok</v>
      </c>
      <c r="KN552" s="770" t="s">
        <v>722</v>
      </c>
      <c r="KO552" s="770"/>
      <c r="KP552" s="770"/>
      <c r="KQ552" s="770"/>
      <c r="KR552" s="770"/>
      <c r="KS552" s="770"/>
      <c r="KT552" s="770"/>
      <c r="KU552" s="770"/>
      <c r="KV552" s="770"/>
      <c r="KW552" s="770">
        <v>1</v>
      </c>
      <c r="KX552" s="770">
        <v>1</v>
      </c>
      <c r="KY552" s="770"/>
      <c r="KZ552" s="770"/>
      <c r="LA552" s="770">
        <v>1</v>
      </c>
      <c r="LB552" s="770"/>
      <c r="LC552" s="770"/>
      <c r="LD552" s="770"/>
      <c r="LE552" s="770"/>
      <c r="LF552" s="770"/>
      <c r="LG552" s="770"/>
      <c r="LH552" s="770"/>
      <c r="LI552" s="770"/>
      <c r="LJ552" s="770"/>
      <c r="LK552" s="770"/>
      <c r="LL552" s="770"/>
      <c r="LM552" s="770"/>
      <c r="LN552" s="766">
        <f t="shared" si="159"/>
        <v>1</v>
      </c>
      <c r="LO552" s="766">
        <f t="shared" si="159"/>
        <v>2</v>
      </c>
      <c r="LP552" s="770">
        <v>2</v>
      </c>
      <c r="LQ552" s="770">
        <v>1</v>
      </c>
      <c r="LR552" s="770"/>
      <c r="LS552" s="770">
        <v>1</v>
      </c>
      <c r="LT552" s="712" t="str">
        <f>IF(LQ552=SUM(LU552:LW552),"OK","REV")</f>
        <v>OK</v>
      </c>
      <c r="LU552" s="770">
        <v>1</v>
      </c>
      <c r="LV552" s="770"/>
      <c r="LW552" s="770"/>
      <c r="LX552" s="769">
        <v>1</v>
      </c>
      <c r="LY552" s="766" t="str">
        <f t="shared" si="135"/>
        <v>within the BRGY</v>
      </c>
      <c r="LZ552" s="1709"/>
      <c r="MA552" s="1709"/>
      <c r="MB552" s="1709"/>
      <c r="MC552" s="1679">
        <f t="shared" si="158"/>
        <v>0</v>
      </c>
      <c r="MD552" s="1696">
        <v>14000</v>
      </c>
      <c r="ME552" s="1696"/>
      <c r="MF552" s="1696">
        <v>20000</v>
      </c>
      <c r="MG552" s="1680">
        <f>SUM(MD552:MF552)</f>
        <v>34000</v>
      </c>
      <c r="MH552" s="770" t="s">
        <v>3401</v>
      </c>
      <c r="MI552" s="1785">
        <v>15000</v>
      </c>
      <c r="MJ552" s="1785">
        <v>3000</v>
      </c>
      <c r="MK552" s="1785">
        <v>125</v>
      </c>
      <c r="ML552" s="1785">
        <v>1500</v>
      </c>
      <c r="MM552" s="1785">
        <v>1000</v>
      </c>
      <c r="MN552" s="1785"/>
      <c r="MO552" s="1785">
        <v>600</v>
      </c>
      <c r="MP552" s="1785">
        <v>600</v>
      </c>
      <c r="MQ552" s="1785">
        <v>350</v>
      </c>
      <c r="MR552" s="1785">
        <v>750</v>
      </c>
      <c r="MS552" s="1785">
        <v>170</v>
      </c>
      <c r="MT552" s="1785"/>
      <c r="MU552" s="1785"/>
      <c r="MV552" s="1785"/>
      <c r="MW552" s="1785"/>
      <c r="MX552" s="1785">
        <v>480</v>
      </c>
      <c r="MY552" s="1682">
        <f t="shared" si="147"/>
        <v>23575</v>
      </c>
      <c r="MZ552" s="770" t="s">
        <v>13370</v>
      </c>
      <c r="NA552" s="770" t="s">
        <v>13005</v>
      </c>
      <c r="NB552" s="770" t="s">
        <v>13016</v>
      </c>
      <c r="NC552" s="770" t="s">
        <v>13602</v>
      </c>
      <c r="ND552" s="770">
        <v>0</v>
      </c>
      <c r="NE552" s="770">
        <v>0</v>
      </c>
      <c r="NF552" s="770">
        <v>0</v>
      </c>
      <c r="NG552" s="770">
        <v>2</v>
      </c>
      <c r="NH552" s="770">
        <v>1</v>
      </c>
      <c r="NI552" s="770">
        <v>0</v>
      </c>
      <c r="NJ552" s="770">
        <v>4</v>
      </c>
      <c r="NK552" s="770">
        <v>0</v>
      </c>
      <c r="NL552" s="770">
        <v>0</v>
      </c>
      <c r="NM552" s="770">
        <v>1</v>
      </c>
      <c r="NN552" s="770">
        <v>0</v>
      </c>
      <c r="NO552" s="770">
        <v>0</v>
      </c>
      <c r="NP552" s="770">
        <v>0</v>
      </c>
      <c r="NQ552" s="770">
        <v>0</v>
      </c>
      <c r="NR552" s="770">
        <v>0</v>
      </c>
      <c r="NS552" s="770">
        <v>0</v>
      </c>
      <c r="NT552" s="770">
        <v>0</v>
      </c>
      <c r="NU552" s="770">
        <v>0</v>
      </c>
      <c r="NV552" s="770">
        <v>0</v>
      </c>
      <c r="NW552" s="770">
        <v>0</v>
      </c>
      <c r="NX552" s="770">
        <v>0</v>
      </c>
      <c r="NY552" s="770" t="s">
        <v>1208</v>
      </c>
      <c r="NZ552" s="770" t="s">
        <v>1208</v>
      </c>
      <c r="OA552" s="770" t="s">
        <v>1208</v>
      </c>
      <c r="OB552" s="770" t="s">
        <v>1208</v>
      </c>
      <c r="OC552" s="770" t="s">
        <v>1208</v>
      </c>
      <c r="OD552" s="770"/>
      <c r="OE552" s="770"/>
      <c r="OF552" s="770" t="s">
        <v>2143</v>
      </c>
      <c r="OG552" s="770"/>
      <c r="OH552" s="770"/>
      <c r="OI552" s="770"/>
      <c r="OJ552" s="770"/>
      <c r="OK552" s="770" t="s">
        <v>1208</v>
      </c>
      <c r="OL552" s="770"/>
      <c r="OM552" s="770"/>
      <c r="ON552" s="770"/>
      <c r="OO552" s="770" t="s">
        <v>1207</v>
      </c>
      <c r="OP552" s="770"/>
      <c r="OQ552" s="770"/>
      <c r="OR552" s="770"/>
      <c r="OS552" s="770"/>
      <c r="OT552" s="770"/>
      <c r="OU552" s="770"/>
      <c r="OV552" s="770" t="s">
        <v>1208</v>
      </c>
      <c r="OW552" s="770"/>
      <c r="OX552" s="770"/>
      <c r="OY552" s="770"/>
      <c r="OZ552" s="770"/>
      <c r="PA552" s="770" t="s">
        <v>1208</v>
      </c>
      <c r="PB552" s="770"/>
      <c r="PC552" s="770"/>
      <c r="PD552" s="770"/>
      <c r="PE552" s="770"/>
      <c r="PF552" s="770"/>
      <c r="PG552" s="770"/>
      <c r="PH552" s="770" t="s">
        <v>1208</v>
      </c>
      <c r="PI552" s="770" t="s">
        <v>1208</v>
      </c>
      <c r="PJ552" s="770"/>
      <c r="PK552" s="770" t="s">
        <v>1208</v>
      </c>
      <c r="PL552" s="770"/>
      <c r="PM552" s="770"/>
      <c r="PN552" s="770"/>
      <c r="PO552" s="770"/>
      <c r="PP552" s="770"/>
      <c r="PQ552" s="770"/>
      <c r="PR552" s="770"/>
      <c r="PS552" s="770"/>
      <c r="PT552" s="770"/>
      <c r="PU552" s="770"/>
      <c r="PV552" s="770"/>
      <c r="PW552" s="770"/>
      <c r="PX552" s="770"/>
      <c r="PY552" s="770"/>
      <c r="PZ552" s="770"/>
      <c r="QA552" s="770"/>
      <c r="QB552" s="770"/>
      <c r="QC552" s="770"/>
      <c r="QD552" s="770"/>
      <c r="QE552" s="770"/>
      <c r="QF552" s="770"/>
      <c r="QG552" s="770"/>
      <c r="QH552" s="770"/>
      <c r="QI552" s="770"/>
      <c r="QJ552" s="770"/>
      <c r="QK552" s="770"/>
      <c r="QL552" s="770"/>
      <c r="QM552" s="770"/>
      <c r="QN552" s="770"/>
      <c r="QO552" s="770"/>
      <c r="QP552" s="770"/>
      <c r="QQ552" s="770"/>
      <c r="QR552" s="770"/>
      <c r="QS552" s="770"/>
      <c r="QT552" s="770"/>
      <c r="QU552" s="770"/>
      <c r="QV552" s="770"/>
      <c r="QW552" s="770"/>
      <c r="QX552" s="770"/>
      <c r="QY552" s="770"/>
      <c r="QZ552" s="770"/>
      <c r="RA552" s="770"/>
      <c r="RB552" s="770" t="s">
        <v>1207</v>
      </c>
      <c r="RC552" s="770">
        <v>2016</v>
      </c>
      <c r="RD552" s="770" t="s">
        <v>13615</v>
      </c>
      <c r="RE552" s="770" t="s">
        <v>13008</v>
      </c>
      <c r="RF552" s="304">
        <v>2</v>
      </c>
      <c r="RG552" s="770" t="s">
        <v>13047</v>
      </c>
      <c r="RH552" s="302">
        <v>0</v>
      </c>
      <c r="RI552" s="770">
        <v>2</v>
      </c>
      <c r="RJ552" s="770" t="s">
        <v>2796</v>
      </c>
      <c r="RK552" s="770" t="s">
        <v>13544</v>
      </c>
      <c r="RL552" s="1710"/>
      <c r="RM552" s="12"/>
      <c r="RN552" s="1711"/>
      <c r="RO552" s="133" t="s">
        <v>2787</v>
      </c>
      <c r="RP552" s="11"/>
      <c r="RQ552" s="11"/>
      <c r="RR552" s="17" t="s">
        <v>7421</v>
      </c>
      <c r="RS552" s="1139" t="s">
        <v>12980</v>
      </c>
      <c r="RT552" s="11"/>
      <c r="RU552" s="11"/>
      <c r="RV552" s="771" t="s">
        <v>7421</v>
      </c>
      <c r="RW552" s="11" t="s">
        <v>7716</v>
      </c>
      <c r="RX552" s="11" t="s">
        <v>2762</v>
      </c>
      <c r="RY552" s="11"/>
      <c r="RZ552" s="11" t="s">
        <v>1101</v>
      </c>
      <c r="SA552" s="771"/>
      <c r="SB552" s="11"/>
      <c r="SC552" s="11"/>
    </row>
    <row r="553" spans="1:497" ht="12.75" hidden="1" customHeight="1">
      <c r="A553" s="343" t="s">
        <v>7419</v>
      </c>
      <c r="B553" s="752" t="s">
        <v>7502</v>
      </c>
      <c r="C553" s="132" t="s">
        <v>2797</v>
      </c>
      <c r="D553" s="94" t="s">
        <v>2798</v>
      </c>
      <c r="E553" s="766" t="s">
        <v>2799</v>
      </c>
      <c r="F553" s="770" t="s">
        <v>28</v>
      </c>
      <c r="G553" s="770" t="s">
        <v>18</v>
      </c>
      <c r="H553" s="5" t="s">
        <v>2800</v>
      </c>
      <c r="I553" s="295"/>
      <c r="J553" s="94" t="s">
        <v>2798</v>
      </c>
      <c r="K553" s="766" t="s">
        <v>2754</v>
      </c>
      <c r="L553" s="766" t="s">
        <v>2801</v>
      </c>
      <c r="M553" s="770" t="s">
        <v>1238</v>
      </c>
      <c r="N553" s="770"/>
      <c r="O553" s="770" t="s">
        <v>2705</v>
      </c>
      <c r="P553" s="770" t="s">
        <v>2802</v>
      </c>
      <c r="Q553" s="1088">
        <v>14641</v>
      </c>
      <c r="R553" s="297">
        <v>77</v>
      </c>
      <c r="S553" s="770" t="s">
        <v>18</v>
      </c>
      <c r="T553" s="295" t="s">
        <v>2800</v>
      </c>
      <c r="U553" s="298"/>
      <c r="V553" s="770" t="s">
        <v>707</v>
      </c>
      <c r="W553" s="770"/>
      <c r="X553" s="770"/>
      <c r="Y553" s="770" t="s">
        <v>2799</v>
      </c>
      <c r="Z553" s="770" t="s">
        <v>708</v>
      </c>
      <c r="AA553" s="770" t="s">
        <v>759</v>
      </c>
      <c r="AB553" s="770" t="s">
        <v>710</v>
      </c>
      <c r="AC553" s="770"/>
      <c r="AD553" s="770" t="s">
        <v>711</v>
      </c>
      <c r="AE553" s="770" t="s">
        <v>1073</v>
      </c>
      <c r="AF553" s="770" t="s">
        <v>712</v>
      </c>
      <c r="AG553" s="766" t="s">
        <v>1095</v>
      </c>
      <c r="AH553" s="766" t="s">
        <v>1096</v>
      </c>
      <c r="AI553" s="770" t="s">
        <v>3294</v>
      </c>
      <c r="AJ553" s="770" t="s">
        <v>1137</v>
      </c>
      <c r="AK553" s="770" t="s">
        <v>1097</v>
      </c>
      <c r="AL553" s="531">
        <v>165.2</v>
      </c>
      <c r="AM553" s="780">
        <v>22.422000000000001</v>
      </c>
      <c r="AN553" s="532">
        <f>AM553/AL553</f>
        <v>0.13572639225181599</v>
      </c>
      <c r="AO553" s="766" t="s">
        <v>1109</v>
      </c>
      <c r="AP553" s="766" t="s">
        <v>5364</v>
      </c>
      <c r="AQ553" s="766" t="s">
        <v>7418</v>
      </c>
      <c r="AR553" s="766"/>
      <c r="AS553" s="769"/>
      <c r="AT553" s="770"/>
      <c r="AU553" s="770"/>
      <c r="AV553" s="770"/>
      <c r="AW553" s="770"/>
      <c r="AX553" s="770"/>
      <c r="AY553" s="770"/>
      <c r="AZ553" s="770"/>
      <c r="BA553" s="770"/>
      <c r="BB553" s="770"/>
      <c r="BC553" s="770"/>
      <c r="BD553" s="770"/>
      <c r="BE553" s="770"/>
      <c r="BF553" s="302"/>
      <c r="BG553" s="302"/>
      <c r="BH553" s="770"/>
      <c r="BI553" s="770"/>
      <c r="BJ553" s="770"/>
      <c r="BK553" s="770" t="s">
        <v>1095</v>
      </c>
      <c r="BL553" s="770" t="s">
        <v>2803</v>
      </c>
      <c r="BM553" s="766" t="s">
        <v>1096</v>
      </c>
      <c r="BN553" s="770" t="s">
        <v>1230</v>
      </c>
      <c r="BO553" s="766" t="s">
        <v>1239</v>
      </c>
      <c r="BP553" s="765">
        <v>273.83999999999997</v>
      </c>
      <c r="BQ553" s="773">
        <v>22.422000000000001</v>
      </c>
      <c r="BR553" s="774">
        <f t="shared" si="157"/>
        <v>8.1879929886064864E-2</v>
      </c>
      <c r="BS553" s="766" t="s">
        <v>1242</v>
      </c>
      <c r="BT553" s="766" t="s">
        <v>2040</v>
      </c>
      <c r="BU553" s="770" t="s">
        <v>1249</v>
      </c>
      <c r="BV553" s="770" t="s">
        <v>1247</v>
      </c>
      <c r="BW553" s="770">
        <v>1977</v>
      </c>
      <c r="BX553" s="302">
        <v>1000000</v>
      </c>
      <c r="BY553" s="770"/>
      <c r="BZ553" s="302"/>
      <c r="CA553" s="770"/>
      <c r="CB553" s="770" t="s">
        <v>1207</v>
      </c>
      <c r="CC553" s="94" t="s">
        <v>2798</v>
      </c>
      <c r="CD553" s="770">
        <v>1077</v>
      </c>
      <c r="CE553" s="770"/>
      <c r="CF553" s="1753">
        <v>1.2</v>
      </c>
      <c r="CG553" s="1754">
        <v>5</v>
      </c>
      <c r="CH553" s="770" t="s">
        <v>2804</v>
      </c>
      <c r="CI553" s="770"/>
      <c r="CJ553" s="770"/>
      <c r="CK553" s="770">
        <v>3</v>
      </c>
      <c r="CL553" s="770" t="s">
        <v>1240</v>
      </c>
      <c r="CM553" s="770"/>
      <c r="CN553" s="770"/>
      <c r="CO553" s="770"/>
      <c r="CP553" s="770"/>
      <c r="CQ553" s="770"/>
      <c r="CR553" s="302"/>
      <c r="CS553" s="770"/>
      <c r="CT553" s="770"/>
      <c r="CU553" s="305"/>
      <c r="CV553" s="770"/>
      <c r="CW553" s="770"/>
      <c r="CX553" s="770"/>
      <c r="CY553" s="770"/>
      <c r="CZ553" s="770"/>
      <c r="DA553" s="306"/>
      <c r="DB553" s="770"/>
      <c r="DC553" s="770"/>
      <c r="DD553" s="770"/>
      <c r="DE553" s="300"/>
      <c r="DF553" s="770"/>
      <c r="DG553" s="770"/>
      <c r="DH553" s="770"/>
      <c r="DI553" s="770"/>
      <c r="DJ553" s="770"/>
      <c r="DK553" s="770"/>
      <c r="DL553" s="770"/>
      <c r="DM553" s="770"/>
      <c r="DN553" s="322"/>
      <c r="DO553" s="770"/>
      <c r="DP553" s="770"/>
      <c r="DQ553" s="770"/>
      <c r="DR553" s="770"/>
      <c r="DS553" s="307"/>
      <c r="DT553" s="770"/>
      <c r="DU553" s="770"/>
      <c r="DV553" s="770"/>
      <c r="DW553" s="306"/>
      <c r="DX553" s="306"/>
      <c r="DY553" s="770"/>
      <c r="DZ553" s="770"/>
      <c r="EA553" s="770"/>
      <c r="EB553" s="770"/>
      <c r="EC553" s="770"/>
      <c r="ED553" s="770"/>
      <c r="EE553" s="770"/>
      <c r="EF553" s="770"/>
      <c r="EG553" s="770"/>
      <c r="EH553" s="770"/>
      <c r="EI553" s="770"/>
      <c r="EJ553" s="770"/>
      <c r="EK553" s="770"/>
      <c r="EL553" s="770"/>
      <c r="EM553" s="770"/>
      <c r="EN553" s="770"/>
      <c r="EO553" s="770"/>
      <c r="EP553" s="94"/>
      <c r="EQ553" s="770"/>
      <c r="ER553" s="770"/>
      <c r="ES553" s="770"/>
      <c r="ET553" s="770"/>
      <c r="EU553" s="770"/>
      <c r="EV553" s="770"/>
      <c r="EW553" s="770"/>
      <c r="EX553" s="770"/>
      <c r="EY553" s="770"/>
      <c r="EZ553" s="770"/>
      <c r="FA553" s="770"/>
      <c r="FB553" s="770"/>
      <c r="FC553" s="770"/>
      <c r="FD553" s="302"/>
      <c r="FE553" s="770"/>
      <c r="FF553" s="770"/>
      <c r="FG553" s="770"/>
      <c r="FH553" s="770" t="s">
        <v>478</v>
      </c>
      <c r="FI553" s="770">
        <v>3</v>
      </c>
      <c r="FJ553" s="770"/>
      <c r="FK553" s="770"/>
      <c r="FL553" s="770"/>
      <c r="FM553" s="302"/>
      <c r="FN553" s="302"/>
      <c r="FO553" s="302"/>
      <c r="FP553" s="770" t="s">
        <v>1600</v>
      </c>
      <c r="FQ553" s="770" t="s">
        <v>1642</v>
      </c>
      <c r="FR553" s="770" t="s">
        <v>1214</v>
      </c>
      <c r="FS553" s="770"/>
      <c r="FT553" s="770"/>
      <c r="FU553" s="770"/>
      <c r="FV553" s="770"/>
      <c r="FW553" s="770"/>
      <c r="FX553" s="770"/>
      <c r="FY553" s="770"/>
      <c r="FZ553" s="770"/>
      <c r="GA553" s="770"/>
      <c r="GB553" s="770" t="s">
        <v>796</v>
      </c>
      <c r="GC553" s="308"/>
      <c r="GD553" s="297">
        <v>1977</v>
      </c>
      <c r="GE553" s="770" t="s">
        <v>1214</v>
      </c>
      <c r="GF553" s="302"/>
      <c r="GG553" s="302"/>
      <c r="GH553" s="770"/>
      <c r="GI553" s="770"/>
      <c r="GJ553" s="770"/>
      <c r="GK553" s="770"/>
      <c r="GL553" s="770"/>
      <c r="GM553" s="770"/>
      <c r="GN553" s="299"/>
      <c r="GO553" s="770"/>
      <c r="GP553" s="770"/>
      <c r="GQ553" s="770"/>
      <c r="GR553" s="770"/>
      <c r="GS553" s="770"/>
      <c r="GT553" s="770"/>
      <c r="GU553" s="770"/>
      <c r="GV553" s="770"/>
      <c r="GW553" s="770"/>
      <c r="GX553" s="770"/>
      <c r="GY553" s="770"/>
      <c r="GZ553" s="770"/>
      <c r="HA553" s="770"/>
      <c r="HB553" s="770"/>
      <c r="HC553" s="770"/>
      <c r="HD553" s="770"/>
      <c r="HE553" s="770"/>
      <c r="HF553" s="770"/>
      <c r="HG553" s="770"/>
      <c r="HH553" s="770"/>
      <c r="HI553" s="770"/>
      <c r="HJ553" s="770"/>
      <c r="HK553" s="770"/>
      <c r="HL553" s="770"/>
      <c r="HM553" s="770"/>
      <c r="HN553" s="770"/>
      <c r="HO553" s="770"/>
      <c r="HP553" s="770"/>
      <c r="HQ553" s="770"/>
      <c r="HR553" s="770">
        <v>2</v>
      </c>
      <c r="HS553" s="770">
        <v>2</v>
      </c>
      <c r="HT553" s="770"/>
      <c r="HU553" s="770"/>
      <c r="HV553" s="770"/>
      <c r="HW553" s="770"/>
      <c r="HX553" s="770"/>
      <c r="HY553" s="770"/>
      <c r="HZ553" s="770"/>
      <c r="IA553" s="770"/>
      <c r="IB553" s="770" t="s">
        <v>1207</v>
      </c>
      <c r="IC553" s="770" t="s">
        <v>1207</v>
      </c>
      <c r="ID553" s="770">
        <v>2</v>
      </c>
      <c r="IE553" s="770">
        <v>1</v>
      </c>
      <c r="IF553" s="770"/>
      <c r="IG553" s="770"/>
      <c r="IH553" s="770"/>
      <c r="II553" s="770"/>
      <c r="IJ553" s="770"/>
      <c r="IK553" s="770"/>
      <c r="IL553" s="770"/>
      <c r="IM553" s="770"/>
      <c r="IN553" s="770"/>
      <c r="IO553" s="296"/>
      <c r="IP553" s="770"/>
      <c r="IQ553" s="770"/>
      <c r="IR553" s="770"/>
      <c r="IS553" s="770"/>
      <c r="IT553" s="770"/>
      <c r="IU553" s="770"/>
      <c r="IV553" s="770"/>
      <c r="IW553" s="770"/>
      <c r="IX553" s="770"/>
      <c r="IY553" s="770"/>
      <c r="IZ553" s="770"/>
      <c r="JA553" s="770"/>
      <c r="JB553" s="770"/>
      <c r="JC553" s="770"/>
      <c r="JD553" s="302"/>
      <c r="JE553" s="770"/>
      <c r="JF553" s="770"/>
      <c r="JG553" s="770"/>
      <c r="JH553" s="307"/>
      <c r="JI553" s="307"/>
      <c r="JJ553" s="770">
        <v>12</v>
      </c>
      <c r="JK553" s="770" t="s">
        <v>3835</v>
      </c>
      <c r="JL553" s="770"/>
      <c r="JM553" s="770">
        <v>2</v>
      </c>
      <c r="JN553" s="770">
        <v>4</v>
      </c>
      <c r="JO553" s="770">
        <v>5</v>
      </c>
      <c r="JP553" s="770"/>
      <c r="JQ553" s="770">
        <v>1</v>
      </c>
      <c r="JR553" s="770"/>
      <c r="JS553" s="770"/>
      <c r="JT553" s="766">
        <f t="shared" si="156"/>
        <v>4</v>
      </c>
      <c r="JU553" s="766">
        <f t="shared" si="156"/>
        <v>8</v>
      </c>
      <c r="JV553" s="766"/>
      <c r="JW553" s="766"/>
      <c r="JX553" s="770"/>
      <c r="JY553" s="770">
        <v>2</v>
      </c>
      <c r="JZ553" s="770"/>
      <c r="KA553" s="770">
        <v>1</v>
      </c>
      <c r="KB553" s="770">
        <v>2</v>
      </c>
      <c r="KC553" s="770">
        <v>2</v>
      </c>
      <c r="KD553" s="770">
        <v>2</v>
      </c>
      <c r="KE553" s="770">
        <v>2</v>
      </c>
      <c r="KF553" s="770"/>
      <c r="KG553" s="770">
        <v>1</v>
      </c>
      <c r="KH553" s="770"/>
      <c r="KI553" s="770"/>
      <c r="KJ553" s="770">
        <f t="shared" si="153"/>
        <v>4</v>
      </c>
      <c r="KK553" s="770">
        <f t="shared" si="153"/>
        <v>8</v>
      </c>
      <c r="KL553" s="770"/>
      <c r="KM553" s="770"/>
      <c r="KN553" s="770" t="s">
        <v>707</v>
      </c>
      <c r="KO553" s="770"/>
      <c r="KP553" s="770"/>
      <c r="KQ553" s="770"/>
      <c r="KR553" s="770"/>
      <c r="KS553" s="770">
        <v>1</v>
      </c>
      <c r="KT553" s="770"/>
      <c r="KU553" s="770">
        <v>1</v>
      </c>
      <c r="KV553" s="770"/>
      <c r="KW553" s="770">
        <v>1</v>
      </c>
      <c r="KX553" s="770">
        <v>2</v>
      </c>
      <c r="KY553" s="770"/>
      <c r="KZ553" s="770"/>
      <c r="LA553" s="770">
        <v>2</v>
      </c>
      <c r="LB553" s="770">
        <v>1</v>
      </c>
      <c r="LC553" s="770"/>
      <c r="LD553" s="770">
        <v>2</v>
      </c>
      <c r="LE553" s="770">
        <v>2</v>
      </c>
      <c r="LF553" s="770"/>
      <c r="LG553" s="770"/>
      <c r="LH553" s="770"/>
      <c r="LI553" s="770"/>
      <c r="LJ553" s="770"/>
      <c r="LK553" s="770"/>
      <c r="LL553" s="770"/>
      <c r="LM553" s="770"/>
      <c r="LN553" s="766">
        <f t="shared" si="159"/>
        <v>5</v>
      </c>
      <c r="LO553" s="766">
        <f t="shared" si="159"/>
        <v>7</v>
      </c>
      <c r="LP553" s="770">
        <v>3</v>
      </c>
      <c r="LQ553" s="770">
        <v>3</v>
      </c>
      <c r="LR553" s="770"/>
      <c r="LS553" s="770"/>
      <c r="LT553" s="770"/>
      <c r="LU553" s="770">
        <v>3</v>
      </c>
      <c r="LV553" s="770"/>
      <c r="LW553" s="770"/>
      <c r="LX553" s="769"/>
      <c r="LY553" s="766" t="str">
        <f t="shared" si="135"/>
        <v/>
      </c>
      <c r="LZ553" s="1709">
        <f>SUM(150,200,200)</f>
        <v>550</v>
      </c>
      <c r="MA553" s="1709"/>
      <c r="MB553" s="1709"/>
      <c r="MC553" s="1679">
        <f t="shared" si="158"/>
        <v>550</v>
      </c>
      <c r="MD553" s="1709">
        <f>SUM(2000,30000,20000)</f>
        <v>52000</v>
      </c>
      <c r="ME553" s="1709"/>
      <c r="MF553" s="1709"/>
      <c r="MG553" s="1680">
        <f t="shared" si="149"/>
        <v>52000</v>
      </c>
      <c r="MH553" s="770" t="s">
        <v>3337</v>
      </c>
      <c r="MI553" s="302">
        <v>10000</v>
      </c>
      <c r="MJ553" s="302">
        <v>3000</v>
      </c>
      <c r="MK553" s="302">
        <v>5000</v>
      </c>
      <c r="ML553" s="302">
        <v>3000</v>
      </c>
      <c r="MM553" s="302">
        <v>100000</v>
      </c>
      <c r="MN553" s="302"/>
      <c r="MO553" s="302">
        <v>2000</v>
      </c>
      <c r="MP553" s="302">
        <v>4000</v>
      </c>
      <c r="MQ553" s="302">
        <v>1000</v>
      </c>
      <c r="MR553" s="302">
        <v>1000</v>
      </c>
      <c r="MS553" s="302">
        <v>20000</v>
      </c>
      <c r="MT553" s="302"/>
      <c r="MU553" s="302"/>
      <c r="MV553" s="302"/>
      <c r="MW553" s="302"/>
      <c r="MX553" s="302"/>
      <c r="MY553" s="1682">
        <f t="shared" si="147"/>
        <v>149000</v>
      </c>
      <c r="MZ553" s="770" t="s">
        <v>13370</v>
      </c>
      <c r="NA553" s="770" t="s">
        <v>13005</v>
      </c>
      <c r="NB553" s="770" t="s">
        <v>13016</v>
      </c>
      <c r="NC553" s="770" t="s">
        <v>13602</v>
      </c>
      <c r="ND553" s="770">
        <v>0</v>
      </c>
      <c r="NE553" s="770">
        <v>0</v>
      </c>
      <c r="NF553" s="770">
        <v>1</v>
      </c>
      <c r="NG553" s="770">
        <v>1</v>
      </c>
      <c r="NH553" s="770">
        <v>1</v>
      </c>
      <c r="NI553" s="770">
        <v>1</v>
      </c>
      <c r="NJ553" s="770">
        <v>1</v>
      </c>
      <c r="NK553" s="770">
        <v>0</v>
      </c>
      <c r="NL553" s="770">
        <v>1</v>
      </c>
      <c r="NM553" s="770">
        <v>1</v>
      </c>
      <c r="NN553" s="770">
        <v>0</v>
      </c>
      <c r="NO553" s="770">
        <v>0</v>
      </c>
      <c r="NP553" s="770">
        <v>0</v>
      </c>
      <c r="NQ553" s="770">
        <v>0</v>
      </c>
      <c r="NR553" s="770">
        <v>0</v>
      </c>
      <c r="NS553" s="770">
        <v>0</v>
      </c>
      <c r="NT553" s="770">
        <v>0</v>
      </c>
      <c r="NU553" s="770">
        <v>0</v>
      </c>
      <c r="NV553" s="770">
        <v>0</v>
      </c>
      <c r="NW553" s="770">
        <v>0</v>
      </c>
      <c r="NX553" s="770">
        <v>0</v>
      </c>
      <c r="NY553" s="770"/>
      <c r="NZ553" s="770"/>
      <c r="OA553" s="770"/>
      <c r="OB553" s="770"/>
      <c r="OC553" s="770"/>
      <c r="OD553" s="770"/>
      <c r="OE553" s="770"/>
      <c r="OF553" s="770"/>
      <c r="OG553" s="770"/>
      <c r="OH553" s="770"/>
      <c r="OI553" s="770"/>
      <c r="OJ553" s="770"/>
      <c r="OK553" s="770"/>
      <c r="OL553" s="770"/>
      <c r="OM553" s="770"/>
      <c r="ON553" s="770"/>
      <c r="OO553" s="770"/>
      <c r="OP553" s="770"/>
      <c r="OQ553" s="770"/>
      <c r="OR553" s="770"/>
      <c r="OS553" s="770"/>
      <c r="OT553" s="770"/>
      <c r="OU553" s="770"/>
      <c r="OV553" s="770"/>
      <c r="OW553" s="770"/>
      <c r="OX553" s="770"/>
      <c r="OY553" s="770"/>
      <c r="OZ553" s="770"/>
      <c r="PA553" s="770"/>
      <c r="PB553" s="770"/>
      <c r="PC553" s="770"/>
      <c r="PD553" s="770"/>
      <c r="PE553" s="770"/>
      <c r="PF553" s="770"/>
      <c r="PG553" s="770"/>
      <c r="PH553" s="770"/>
      <c r="PI553" s="770"/>
      <c r="PJ553" s="770" t="s">
        <v>1208</v>
      </c>
      <c r="PK553" s="770" t="s">
        <v>1208</v>
      </c>
      <c r="PL553" s="770"/>
      <c r="PM553" s="770" t="s">
        <v>1208</v>
      </c>
      <c r="PN553" s="770"/>
      <c r="PO553" s="770"/>
      <c r="PP553" s="770"/>
      <c r="PQ553" s="770"/>
      <c r="PR553" s="770"/>
      <c r="PS553" s="770"/>
      <c r="PT553" s="770"/>
      <c r="PU553" s="770"/>
      <c r="PV553" s="770"/>
      <c r="PW553" s="770"/>
      <c r="PX553" s="770"/>
      <c r="PY553" s="770"/>
      <c r="PZ553" s="770"/>
      <c r="QA553" s="770"/>
      <c r="QB553" s="770"/>
      <c r="QC553" s="770"/>
      <c r="QD553" s="770"/>
      <c r="QE553" s="770"/>
      <c r="QF553" s="770"/>
      <c r="QG553" s="770"/>
      <c r="QH553" s="770"/>
      <c r="QI553" s="770"/>
      <c r="QJ553" s="770"/>
      <c r="QK553" s="770"/>
      <c r="QL553" s="770"/>
      <c r="QM553" s="770"/>
      <c r="QN553" s="770"/>
      <c r="QO553" s="770"/>
      <c r="QP553" s="770"/>
      <c r="QQ553" s="770"/>
      <c r="QR553" s="770"/>
      <c r="QS553" s="770"/>
      <c r="QT553" s="770"/>
      <c r="QU553" s="770"/>
      <c r="QV553" s="770"/>
      <c r="QW553" s="770"/>
      <c r="QX553" s="770"/>
      <c r="QY553" s="770"/>
      <c r="QZ553" s="770"/>
      <c r="RA553" s="770" t="s">
        <v>13732</v>
      </c>
      <c r="RB553" s="770" t="s">
        <v>1207</v>
      </c>
      <c r="RC553" s="770">
        <v>2014</v>
      </c>
      <c r="RD553" s="770" t="s">
        <v>13046</v>
      </c>
      <c r="RE553" s="770"/>
      <c r="RF553" s="304">
        <f>CONVERT(2,"ft","m")</f>
        <v>0.60960000000000003</v>
      </c>
      <c r="RG553" s="770" t="s">
        <v>13715</v>
      </c>
      <c r="RH553" s="302">
        <v>5000</v>
      </c>
      <c r="RI553" s="770">
        <v>1</v>
      </c>
      <c r="RJ553" s="770" t="s">
        <v>13733</v>
      </c>
      <c r="RK553" s="770" t="s">
        <v>13552</v>
      </c>
      <c r="RL553" s="1710"/>
      <c r="RM553" s="12"/>
      <c r="RN553" s="1711"/>
      <c r="RO553" s="132" t="s">
        <v>2797</v>
      </c>
      <c r="RP553" s="11"/>
      <c r="RQ553" s="11"/>
      <c r="RR553" s="17"/>
      <c r="RS553" s="767"/>
      <c r="RT553" s="11"/>
      <c r="RU553" s="11"/>
      <c r="RV553" s="771" t="s">
        <v>7421</v>
      </c>
      <c r="RW553" s="11" t="s">
        <v>7717</v>
      </c>
      <c r="RX553" s="11" t="s">
        <v>2772</v>
      </c>
      <c r="RY553" s="11"/>
      <c r="RZ553" s="11" t="s">
        <v>1101</v>
      </c>
      <c r="SA553" s="771"/>
      <c r="SB553" s="11"/>
      <c r="SC553" s="11"/>
    </row>
    <row r="554" spans="1:497" ht="12.75" hidden="1" customHeight="1">
      <c r="A554" s="343" t="s">
        <v>14218</v>
      </c>
      <c r="B554" s="752" t="s">
        <v>7791</v>
      </c>
      <c r="C554" s="132" t="s">
        <v>2797</v>
      </c>
      <c r="D554" s="94" t="s">
        <v>2806</v>
      </c>
      <c r="E554" s="766" t="s">
        <v>2799</v>
      </c>
      <c r="F554" s="770" t="s">
        <v>20</v>
      </c>
      <c r="G554" s="770" t="s">
        <v>18</v>
      </c>
      <c r="H554" s="770"/>
      <c r="I554" s="295" t="s">
        <v>2805</v>
      </c>
      <c r="J554" s="94" t="s">
        <v>2808</v>
      </c>
      <c r="K554" s="766" t="s">
        <v>2754</v>
      </c>
      <c r="L554" s="766" t="s">
        <v>2801</v>
      </c>
      <c r="M554" s="770" t="s">
        <v>1238</v>
      </c>
      <c r="N554" s="770"/>
      <c r="O554" s="770" t="s">
        <v>2705</v>
      </c>
      <c r="P554" s="770" t="s">
        <v>2807</v>
      </c>
      <c r="Q554" s="1088">
        <v>30094</v>
      </c>
      <c r="R554" s="297">
        <v>35</v>
      </c>
      <c r="S554" s="770" t="s">
        <v>10</v>
      </c>
      <c r="T554" s="770"/>
      <c r="U554" s="295" t="s">
        <v>2805</v>
      </c>
      <c r="V554" s="770" t="s">
        <v>707</v>
      </c>
      <c r="W554" s="770"/>
      <c r="X554" s="770"/>
      <c r="Y554" s="770" t="s">
        <v>2799</v>
      </c>
      <c r="Z554" s="770" t="s">
        <v>708</v>
      </c>
      <c r="AA554" s="770" t="s">
        <v>2809</v>
      </c>
      <c r="AB554" s="770" t="s">
        <v>7273</v>
      </c>
      <c r="AC554" s="770"/>
      <c r="AD554" s="770" t="s">
        <v>716</v>
      </c>
      <c r="AE554" s="770"/>
      <c r="AF554" s="770" t="s">
        <v>798</v>
      </c>
      <c r="AG554" s="770"/>
      <c r="AH554" s="770"/>
      <c r="AI554" s="770"/>
      <c r="AJ554" s="770"/>
      <c r="AK554" s="770" t="s">
        <v>3214</v>
      </c>
      <c r="AL554" s="531"/>
      <c r="AM554" s="780"/>
      <c r="AN554" s="532"/>
      <c r="AO554" s="766"/>
      <c r="AP554" s="766"/>
      <c r="AQ554" s="766"/>
      <c r="AR554" s="766"/>
      <c r="AS554" s="770"/>
      <c r="AT554" s="770"/>
      <c r="AU554" s="770"/>
      <c r="AV554" s="770"/>
      <c r="AW554" s="770"/>
      <c r="AX554" s="770"/>
      <c r="AY554" s="770"/>
      <c r="AZ554" s="770"/>
      <c r="BA554" s="770"/>
      <c r="BB554" s="770"/>
      <c r="BC554" s="770"/>
      <c r="BD554" s="770"/>
      <c r="BE554" s="770"/>
      <c r="BF554" s="302"/>
      <c r="BG554" s="302"/>
      <c r="BH554" s="770"/>
      <c r="BI554" s="770"/>
      <c r="BJ554" s="770"/>
      <c r="BK554" s="770"/>
      <c r="BL554" s="770"/>
      <c r="BM554" s="770" t="s">
        <v>1238</v>
      </c>
      <c r="BN554" s="770" t="s">
        <v>1263</v>
      </c>
      <c r="BO554" s="770"/>
      <c r="BP554" s="765"/>
      <c r="BQ554" s="773"/>
      <c r="BR554" s="774"/>
      <c r="BS554" s="766" t="s">
        <v>1242</v>
      </c>
      <c r="BT554" s="766"/>
      <c r="BU554" s="770"/>
      <c r="BV554" s="770"/>
      <c r="BW554" s="770"/>
      <c r="BX554" s="302"/>
      <c r="BY554" s="770"/>
      <c r="BZ554" s="302"/>
      <c r="CA554" s="770"/>
      <c r="CB554" s="770"/>
      <c r="CC554" s="770"/>
      <c r="CD554" s="770"/>
      <c r="CE554" s="770"/>
      <c r="CF554" s="1753"/>
      <c r="CG554" s="1754"/>
      <c r="CH554" s="770"/>
      <c r="CI554" s="770"/>
      <c r="CJ554" s="770"/>
      <c r="CK554" s="770"/>
      <c r="CL554" s="770"/>
      <c r="CM554" s="770"/>
      <c r="CN554" s="770"/>
      <c r="CO554" s="770"/>
      <c r="CP554" s="770"/>
      <c r="CQ554" s="770"/>
      <c r="CR554" s="302"/>
      <c r="CS554" s="770"/>
      <c r="CT554" s="770"/>
      <c r="CU554" s="305"/>
      <c r="CV554" s="770"/>
      <c r="CW554" s="770"/>
      <c r="CX554" s="770"/>
      <c r="CY554" s="770"/>
      <c r="CZ554" s="770"/>
      <c r="DA554" s="306"/>
      <c r="DB554" s="770"/>
      <c r="DC554" s="770"/>
      <c r="DD554" s="770"/>
      <c r="DE554" s="300"/>
      <c r="DF554" s="770"/>
      <c r="DG554" s="770"/>
      <c r="DH554" s="770"/>
      <c r="DI554" s="770"/>
      <c r="DJ554" s="770"/>
      <c r="DK554" s="770"/>
      <c r="DL554" s="770"/>
      <c r="DM554" s="770"/>
      <c r="DN554" s="322"/>
      <c r="DO554" s="770"/>
      <c r="DP554" s="770"/>
      <c r="DQ554" s="770"/>
      <c r="DR554" s="770"/>
      <c r="DS554" s="307"/>
      <c r="DT554" s="770"/>
      <c r="DU554" s="770"/>
      <c r="DV554" s="770"/>
      <c r="DW554" s="306"/>
      <c r="DX554" s="306"/>
      <c r="DY554" s="770"/>
      <c r="DZ554" s="770"/>
      <c r="EA554" s="770"/>
      <c r="EB554" s="770"/>
      <c r="EC554" s="770"/>
      <c r="ED554" s="770"/>
      <c r="EE554" s="770"/>
      <c r="EF554" s="770"/>
      <c r="EG554" s="770"/>
      <c r="EH554" s="770"/>
      <c r="EI554" s="770"/>
      <c r="EJ554" s="770"/>
      <c r="EK554" s="770"/>
      <c r="EL554" s="770"/>
      <c r="EM554" s="770"/>
      <c r="EN554" s="770"/>
      <c r="EO554" s="770"/>
      <c r="EP554" s="94"/>
      <c r="EQ554" s="770"/>
      <c r="ER554" s="770"/>
      <c r="ES554" s="770"/>
      <c r="ET554" s="770"/>
      <c r="EU554" s="770"/>
      <c r="EV554" s="770"/>
      <c r="EW554" s="770"/>
      <c r="EX554" s="770"/>
      <c r="EY554" s="770"/>
      <c r="EZ554" s="770"/>
      <c r="FA554" s="770"/>
      <c r="FB554" s="770"/>
      <c r="FC554" s="770"/>
      <c r="FD554" s="302"/>
      <c r="FE554" s="770"/>
      <c r="FF554" s="770"/>
      <c r="FG554" s="770"/>
      <c r="FH554" s="770" t="s">
        <v>1263</v>
      </c>
      <c r="FI554" s="770">
        <v>1</v>
      </c>
      <c r="FJ554" s="770" t="s">
        <v>2810</v>
      </c>
      <c r="FK554" s="770" t="s">
        <v>2800</v>
      </c>
      <c r="FL554" s="770" t="s">
        <v>2799</v>
      </c>
      <c r="FM554" s="302"/>
      <c r="FN554" s="302">
        <v>250</v>
      </c>
      <c r="FO554" s="302">
        <v>250</v>
      </c>
      <c r="FP554" s="770" t="s">
        <v>1602</v>
      </c>
      <c r="FQ554" s="770" t="s">
        <v>1660</v>
      </c>
      <c r="FR554" s="770"/>
      <c r="FS554" s="770"/>
      <c r="FT554" s="770"/>
      <c r="FU554" s="770"/>
      <c r="FV554" s="770"/>
      <c r="FW554" s="770"/>
      <c r="FX554" s="770"/>
      <c r="FY554" s="770"/>
      <c r="FZ554" s="770"/>
      <c r="GA554" s="770"/>
      <c r="GB554" s="770"/>
      <c r="GC554" s="308"/>
      <c r="GD554" s="297"/>
      <c r="GE554" s="770"/>
      <c r="GF554" s="302"/>
      <c r="GG554" s="302"/>
      <c r="GH554" s="770"/>
      <c r="GI554" s="770"/>
      <c r="GJ554" s="770"/>
      <c r="GK554" s="770"/>
      <c r="GL554" s="770"/>
      <c r="GM554" s="770"/>
      <c r="GN554" s="299"/>
      <c r="GO554" s="770"/>
      <c r="GP554" s="770"/>
      <c r="GQ554" s="770"/>
      <c r="GR554" s="770"/>
      <c r="GS554" s="770"/>
      <c r="GT554" s="770"/>
      <c r="GU554" s="770"/>
      <c r="GV554" s="770"/>
      <c r="GW554" s="770"/>
      <c r="GX554" s="770"/>
      <c r="GY554" s="770"/>
      <c r="GZ554" s="770"/>
      <c r="HA554" s="770"/>
      <c r="HB554" s="770"/>
      <c r="HC554" s="770"/>
      <c r="HD554" s="770"/>
      <c r="HE554" s="770"/>
      <c r="HF554" s="770"/>
      <c r="HG554" s="770"/>
      <c r="HH554" s="770"/>
      <c r="HI554" s="770"/>
      <c r="HJ554" s="770"/>
      <c r="HK554" s="770"/>
      <c r="HL554" s="770"/>
      <c r="HM554" s="770"/>
      <c r="HN554" s="770"/>
      <c r="HO554" s="770"/>
      <c r="HP554" s="770"/>
      <c r="HQ554" s="770"/>
      <c r="HR554" s="770"/>
      <c r="HS554" s="770"/>
      <c r="HT554" s="770"/>
      <c r="HU554" s="770"/>
      <c r="HV554" s="770"/>
      <c r="HW554" s="770"/>
      <c r="HX554" s="770"/>
      <c r="HY554" s="770"/>
      <c r="HZ554" s="770"/>
      <c r="IA554" s="770"/>
      <c r="IB554" s="770" t="s">
        <v>1207</v>
      </c>
      <c r="IC554" s="770"/>
      <c r="ID554" s="770"/>
      <c r="IE554" s="770"/>
      <c r="IF554" s="770"/>
      <c r="IG554" s="770"/>
      <c r="IH554" s="770"/>
      <c r="II554" s="770"/>
      <c r="IJ554" s="770"/>
      <c r="IK554" s="770"/>
      <c r="IL554" s="770"/>
      <c r="IM554" s="770"/>
      <c r="IN554" s="770"/>
      <c r="IO554" s="296"/>
      <c r="IP554" s="770"/>
      <c r="IQ554" s="770"/>
      <c r="IR554" s="770"/>
      <c r="IS554" s="770"/>
      <c r="IT554" s="770"/>
      <c r="IU554" s="770"/>
      <c r="IV554" s="770"/>
      <c r="IW554" s="770"/>
      <c r="IX554" s="770"/>
      <c r="IY554" s="770"/>
      <c r="IZ554" s="770"/>
      <c r="JA554" s="770"/>
      <c r="JB554" s="770"/>
      <c r="JC554" s="770"/>
      <c r="JD554" s="302"/>
      <c r="JE554" s="770"/>
      <c r="JF554" s="770"/>
      <c r="JG554" s="770"/>
      <c r="JH554" s="307"/>
      <c r="JI554" s="307"/>
      <c r="JJ554" s="770">
        <v>3</v>
      </c>
      <c r="JK554" s="770" t="s">
        <v>3836</v>
      </c>
      <c r="JL554" s="770"/>
      <c r="JM554" s="770">
        <v>1</v>
      </c>
      <c r="JN554" s="770">
        <v>1</v>
      </c>
      <c r="JO554" s="770">
        <v>1</v>
      </c>
      <c r="JP554" s="770"/>
      <c r="JQ554" s="770"/>
      <c r="JR554" s="770"/>
      <c r="JS554" s="770"/>
      <c r="JT554" s="766">
        <f t="shared" si="156"/>
        <v>1</v>
      </c>
      <c r="JU554" s="766">
        <f t="shared" si="156"/>
        <v>2</v>
      </c>
      <c r="JV554" s="766"/>
      <c r="JW554" s="766"/>
      <c r="JX554" s="770"/>
      <c r="JY554" s="770">
        <v>1</v>
      </c>
      <c r="JZ554" s="770"/>
      <c r="KA554" s="770"/>
      <c r="KB554" s="770"/>
      <c r="KC554" s="770">
        <v>1</v>
      </c>
      <c r="KD554" s="770">
        <v>1</v>
      </c>
      <c r="KE554" s="770"/>
      <c r="KF554" s="770"/>
      <c r="KG554" s="770"/>
      <c r="KH554" s="770"/>
      <c r="KI554" s="770"/>
      <c r="KJ554" s="770">
        <f t="shared" si="153"/>
        <v>1</v>
      </c>
      <c r="KK554" s="770">
        <f t="shared" si="153"/>
        <v>2</v>
      </c>
      <c r="KL554" s="770"/>
      <c r="KM554" s="770"/>
      <c r="KN554" s="770" t="s">
        <v>707</v>
      </c>
      <c r="KO554" s="770"/>
      <c r="KP554" s="770"/>
      <c r="KQ554" s="770"/>
      <c r="KR554" s="770"/>
      <c r="KS554" s="770"/>
      <c r="KT554" s="770"/>
      <c r="KU554" s="770"/>
      <c r="KV554" s="770"/>
      <c r="KW554" s="770"/>
      <c r="KX554" s="770"/>
      <c r="KY554" s="770"/>
      <c r="KZ554" s="770">
        <v>1</v>
      </c>
      <c r="LA554" s="770">
        <v>1</v>
      </c>
      <c r="LB554" s="770"/>
      <c r="LC554" s="770"/>
      <c r="LD554" s="770"/>
      <c r="LE554" s="770"/>
      <c r="LF554" s="770"/>
      <c r="LG554" s="770"/>
      <c r="LH554" s="770"/>
      <c r="LI554" s="770"/>
      <c r="LJ554" s="770"/>
      <c r="LK554" s="770">
        <v>1</v>
      </c>
      <c r="LL554" s="770"/>
      <c r="LM554" s="770"/>
      <c r="LN554" s="766">
        <f t="shared" si="159"/>
        <v>1</v>
      </c>
      <c r="LO554" s="766">
        <f t="shared" si="159"/>
        <v>2</v>
      </c>
      <c r="LP554" s="770">
        <v>1</v>
      </c>
      <c r="LQ554" s="770">
        <v>1</v>
      </c>
      <c r="LR554" s="770"/>
      <c r="LS554" s="770"/>
      <c r="LT554" s="770"/>
      <c r="LU554" s="770">
        <v>1</v>
      </c>
      <c r="LV554" s="770"/>
      <c r="LW554" s="770"/>
      <c r="LX554" s="769">
        <v>1</v>
      </c>
      <c r="LY554" s="766" t="str">
        <f t="shared" si="135"/>
        <v>within the BRGY</v>
      </c>
      <c r="LZ554" s="1709"/>
      <c r="MA554" s="1709"/>
      <c r="MB554" s="1709"/>
      <c r="MC554" s="1679">
        <f t="shared" si="158"/>
        <v>0</v>
      </c>
      <c r="MD554" s="1709">
        <v>5000</v>
      </c>
      <c r="ME554" s="1709"/>
      <c r="MF554" s="1709"/>
      <c r="MG554" s="1680">
        <f t="shared" si="149"/>
        <v>5000</v>
      </c>
      <c r="MH554" s="770" t="s">
        <v>3837</v>
      </c>
      <c r="MI554" s="302">
        <v>3000</v>
      </c>
      <c r="MJ554" s="302"/>
      <c r="MK554" s="302">
        <v>2000</v>
      </c>
      <c r="ML554" s="302">
        <v>1000</v>
      </c>
      <c r="MM554" s="302"/>
      <c r="MN554" s="302"/>
      <c r="MO554" s="302">
        <v>500</v>
      </c>
      <c r="MP554" s="302">
        <v>250</v>
      </c>
      <c r="MQ554" s="302">
        <v>1500</v>
      </c>
      <c r="MR554" s="302">
        <v>250</v>
      </c>
      <c r="MS554" s="302">
        <f>1000/12</f>
        <v>83.333333333333329</v>
      </c>
      <c r="MT554" s="302"/>
      <c r="MU554" s="302"/>
      <c r="MV554" s="302"/>
      <c r="MW554" s="302"/>
      <c r="MX554" s="302"/>
      <c r="MY554" s="1682">
        <f t="shared" si="147"/>
        <v>8583.3333333333339</v>
      </c>
      <c r="MZ554" s="770" t="s">
        <v>13395</v>
      </c>
      <c r="NA554" s="770" t="s">
        <v>13005</v>
      </c>
      <c r="NB554" s="770" t="s">
        <v>13016</v>
      </c>
      <c r="NC554" s="770" t="s">
        <v>13621</v>
      </c>
      <c r="ND554" s="770">
        <v>0</v>
      </c>
      <c r="NE554" s="770">
        <v>0</v>
      </c>
      <c r="NF554" s="770">
        <v>0</v>
      </c>
      <c r="NG554" s="770">
        <v>1</v>
      </c>
      <c r="NH554" s="770">
        <v>1</v>
      </c>
      <c r="NI554" s="770">
        <v>0</v>
      </c>
      <c r="NJ554" s="770">
        <v>0</v>
      </c>
      <c r="NK554" s="770">
        <v>0</v>
      </c>
      <c r="NL554" s="770">
        <v>0</v>
      </c>
      <c r="NM554" s="770">
        <v>0</v>
      </c>
      <c r="NN554" s="770">
        <v>0</v>
      </c>
      <c r="NO554" s="770">
        <v>0</v>
      </c>
      <c r="NP554" s="770">
        <v>0</v>
      </c>
      <c r="NQ554" s="770">
        <v>0</v>
      </c>
      <c r="NR554" s="770">
        <v>0</v>
      </c>
      <c r="NS554" s="770">
        <v>0</v>
      </c>
      <c r="NT554" s="770">
        <v>0</v>
      </c>
      <c r="NU554" s="770">
        <v>0</v>
      </c>
      <c r="NV554" s="770">
        <v>0</v>
      </c>
      <c r="NW554" s="770">
        <v>0</v>
      </c>
      <c r="NX554" s="770">
        <v>0</v>
      </c>
      <c r="NY554" s="770" t="s">
        <v>1208</v>
      </c>
      <c r="NZ554" s="770"/>
      <c r="OA554" s="770" t="s">
        <v>1208</v>
      </c>
      <c r="OB554" s="770" t="s">
        <v>1208</v>
      </c>
      <c r="OC554" s="770" t="s">
        <v>1208</v>
      </c>
      <c r="OD554" s="770" t="s">
        <v>1208</v>
      </c>
      <c r="OE554" s="770"/>
      <c r="OF554" s="770"/>
      <c r="OG554" s="770"/>
      <c r="OH554" s="770"/>
      <c r="OI554" s="770"/>
      <c r="OJ554" s="770"/>
      <c r="OK554" s="770"/>
      <c r="OL554" s="770"/>
      <c r="OM554" s="770"/>
      <c r="ON554" s="770"/>
      <c r="OO554" s="770"/>
      <c r="OP554" s="770"/>
      <c r="OQ554" s="770"/>
      <c r="OR554" s="770"/>
      <c r="OS554" s="770"/>
      <c r="OT554" s="770"/>
      <c r="OU554" s="770"/>
      <c r="OV554" s="770"/>
      <c r="OW554" s="770"/>
      <c r="OX554" s="770"/>
      <c r="OY554" s="770"/>
      <c r="OZ554" s="770"/>
      <c r="PA554" s="770"/>
      <c r="PB554" s="770"/>
      <c r="PC554" s="770"/>
      <c r="PD554" s="770"/>
      <c r="PE554" s="770"/>
      <c r="PF554" s="770"/>
      <c r="PG554" s="770"/>
      <c r="PH554" s="770" t="s">
        <v>1208</v>
      </c>
      <c r="PI554" s="770"/>
      <c r="PJ554" s="770"/>
      <c r="PK554" s="770" t="s">
        <v>1208</v>
      </c>
      <c r="PL554" s="770"/>
      <c r="PM554" s="770"/>
      <c r="PN554" s="770"/>
      <c r="PO554" s="770"/>
      <c r="PP554" s="770"/>
      <c r="PQ554" s="770"/>
      <c r="PR554" s="770"/>
      <c r="PS554" s="770" t="s">
        <v>1208</v>
      </c>
      <c r="PT554" s="770" t="s">
        <v>1208</v>
      </c>
      <c r="PU554" s="770"/>
      <c r="PV554" s="770"/>
      <c r="PW554" s="770"/>
      <c r="PX554" s="770"/>
      <c r="PY554" s="770"/>
      <c r="PZ554" s="770"/>
      <c r="QA554" s="770"/>
      <c r="QB554" s="770"/>
      <c r="QC554" s="770"/>
      <c r="QD554" s="770"/>
      <c r="QE554" s="770"/>
      <c r="QF554" s="770"/>
      <c r="QG554" s="770"/>
      <c r="QH554" s="770"/>
      <c r="QI554" s="770"/>
      <c r="QJ554" s="770"/>
      <c r="QK554" s="770"/>
      <c r="QL554" s="770"/>
      <c r="QM554" s="770"/>
      <c r="QN554" s="770"/>
      <c r="QO554" s="770"/>
      <c r="QP554" s="770"/>
      <c r="QQ554" s="770"/>
      <c r="QR554" s="770"/>
      <c r="QS554" s="770"/>
      <c r="QT554" s="770"/>
      <c r="QU554" s="770"/>
      <c r="QV554" s="770"/>
      <c r="QW554" s="770"/>
      <c r="QX554" s="770"/>
      <c r="QY554" s="770"/>
      <c r="QZ554" s="770"/>
      <c r="RA554" s="770"/>
      <c r="RB554" s="770" t="s">
        <v>1207</v>
      </c>
      <c r="RC554" s="770">
        <v>2014</v>
      </c>
      <c r="RD554" s="770" t="s">
        <v>13046</v>
      </c>
      <c r="RE554" s="770"/>
      <c r="RF554" s="304">
        <f>CONVERT(2,"ft","m")</f>
        <v>0.60960000000000003</v>
      </c>
      <c r="RG554" s="770" t="s">
        <v>13715</v>
      </c>
      <c r="RH554" s="302">
        <v>0</v>
      </c>
      <c r="RI554" s="770">
        <v>2</v>
      </c>
      <c r="RJ554" s="770" t="s">
        <v>13734</v>
      </c>
      <c r="RK554" s="770" t="s">
        <v>13552</v>
      </c>
      <c r="RL554" s="1710"/>
      <c r="RM554" s="12"/>
      <c r="RN554" s="1711"/>
      <c r="RO554" s="132" t="s">
        <v>2797</v>
      </c>
      <c r="RP554" s="11"/>
      <c r="RQ554" s="11"/>
      <c r="RR554" s="17"/>
      <c r="RS554" s="767"/>
      <c r="RT554" s="11"/>
      <c r="RU554" s="11"/>
      <c r="RV554" s="771" t="s">
        <v>7421</v>
      </c>
      <c r="RW554" s="11" t="s">
        <v>7894</v>
      </c>
      <c r="RX554" s="11" t="s">
        <v>2787</v>
      </c>
      <c r="RY554" s="11"/>
      <c r="RZ554" s="11"/>
      <c r="SA554" s="771"/>
      <c r="SB554" s="11"/>
      <c r="SC554" s="11"/>
    </row>
    <row r="555" spans="1:497" ht="12.75" hidden="1" customHeight="1">
      <c r="A555" s="343" t="s">
        <v>7419</v>
      </c>
      <c r="B555" s="752" t="s">
        <v>7807</v>
      </c>
      <c r="C555" s="133" t="s">
        <v>2811</v>
      </c>
      <c r="D555" s="94" t="s">
        <v>2813</v>
      </c>
      <c r="E555" s="766" t="s">
        <v>2812</v>
      </c>
      <c r="F555" s="770" t="s">
        <v>28</v>
      </c>
      <c r="G555" s="770" t="s">
        <v>10</v>
      </c>
      <c r="H555" s="770"/>
      <c r="I555" s="295"/>
      <c r="J555" s="94" t="s">
        <v>2813</v>
      </c>
      <c r="K555" s="766" t="s">
        <v>2814</v>
      </c>
      <c r="L555" s="766" t="s">
        <v>2721</v>
      </c>
      <c r="M555" s="770" t="s">
        <v>1238</v>
      </c>
      <c r="N555" s="770"/>
      <c r="O555" s="770" t="s">
        <v>2705</v>
      </c>
      <c r="P555" s="770" t="s">
        <v>2815</v>
      </c>
      <c r="Q555" s="1088">
        <v>27668</v>
      </c>
      <c r="R555" s="297">
        <v>42</v>
      </c>
      <c r="S555" s="770" t="s">
        <v>10</v>
      </c>
      <c r="T555" s="770"/>
      <c r="U555" s="298"/>
      <c r="V555" s="770" t="s">
        <v>722</v>
      </c>
      <c r="W555" s="770"/>
      <c r="X555" s="770"/>
      <c r="Y555" s="770" t="s">
        <v>2812</v>
      </c>
      <c r="Z555" s="770" t="s">
        <v>708</v>
      </c>
      <c r="AA555" s="770" t="s">
        <v>709</v>
      </c>
      <c r="AB555" s="770" t="s">
        <v>710</v>
      </c>
      <c r="AC555" s="770" t="s">
        <v>724</v>
      </c>
      <c r="AD555" s="770" t="s">
        <v>711</v>
      </c>
      <c r="AE555" s="770"/>
      <c r="AF555" s="770" t="s">
        <v>712</v>
      </c>
      <c r="AG555" s="766" t="s">
        <v>1095</v>
      </c>
      <c r="AH555" s="766" t="s">
        <v>1096</v>
      </c>
      <c r="AI555" s="770" t="s">
        <v>3294</v>
      </c>
      <c r="AJ555" s="770" t="s">
        <v>1137</v>
      </c>
      <c r="AK555" s="770" t="s">
        <v>1097</v>
      </c>
      <c r="AL555" s="531">
        <v>15.975</v>
      </c>
      <c r="AM555" s="780">
        <v>8.0924999999999994</v>
      </c>
      <c r="AN555" s="532">
        <f>AM555/AL555</f>
        <v>0.50657276995305156</v>
      </c>
      <c r="AO555" s="766" t="s">
        <v>1105</v>
      </c>
      <c r="AP555" s="766" t="s">
        <v>5364</v>
      </c>
      <c r="AQ555" s="766" t="s">
        <v>7418</v>
      </c>
      <c r="AR555" s="766"/>
      <c r="AS555" s="770"/>
      <c r="AT555" s="770"/>
      <c r="AU555" s="770"/>
      <c r="AV555" s="770"/>
      <c r="AW555" s="770"/>
      <c r="AX555" s="770"/>
      <c r="AY555" s="770"/>
      <c r="AZ555" s="770"/>
      <c r="BA555" s="770"/>
      <c r="BB555" s="770"/>
      <c r="BC555" s="770"/>
      <c r="BD555" s="770"/>
      <c r="BE555" s="770"/>
      <c r="BF555" s="302"/>
      <c r="BG555" s="302"/>
      <c r="BH555" s="770"/>
      <c r="BI555" s="770"/>
      <c r="BJ555" s="770"/>
      <c r="BK555" s="770" t="s">
        <v>1095</v>
      </c>
      <c r="BL555" s="770" t="s">
        <v>2816</v>
      </c>
      <c r="BM555" s="766" t="s">
        <v>8108</v>
      </c>
      <c r="BN555" s="770" t="s">
        <v>1230</v>
      </c>
      <c r="BO555" s="766" t="s">
        <v>1246</v>
      </c>
      <c r="BP555" s="765">
        <v>15.975</v>
      </c>
      <c r="BQ555" s="773">
        <v>8.0924999999999994</v>
      </c>
      <c r="BR555" s="774">
        <f>BQ555/BP555</f>
        <v>0.50657276995305156</v>
      </c>
      <c r="BS555" s="766" t="s">
        <v>1105</v>
      </c>
      <c r="BT555" s="766" t="s">
        <v>2040</v>
      </c>
      <c r="BU555" s="769"/>
      <c r="BV555" s="769"/>
      <c r="BW555" s="770">
        <v>1997</v>
      </c>
      <c r="BX555" s="302"/>
      <c r="BY555" s="770"/>
      <c r="BZ555" s="302"/>
      <c r="CA555" s="770"/>
      <c r="CB555" s="770"/>
      <c r="CC555" s="770"/>
      <c r="CD555" s="770"/>
      <c r="CE555" s="770"/>
      <c r="CF555" s="1753"/>
      <c r="CG555" s="1754"/>
      <c r="CH555" s="770"/>
      <c r="CI555" s="770"/>
      <c r="CJ555" s="770"/>
      <c r="CK555" s="770"/>
      <c r="CL555" s="770"/>
      <c r="CM555" s="770"/>
      <c r="CN555" s="770"/>
      <c r="CO555" s="770"/>
      <c r="CP555" s="770"/>
      <c r="CQ555" s="770"/>
      <c r="CR555" s="302"/>
      <c r="CS555" s="770"/>
      <c r="CT555" s="770"/>
      <c r="CU555" s="305"/>
      <c r="CV555" s="770"/>
      <c r="CW555" s="770"/>
      <c r="CX555" s="770"/>
      <c r="CY555" s="770"/>
      <c r="CZ555" s="770"/>
      <c r="DA555" s="306"/>
      <c r="DB555" s="770"/>
      <c r="DC555" s="770"/>
      <c r="DD555" s="770"/>
      <c r="DE555" s="300"/>
      <c r="DF555" s="770"/>
      <c r="DG555" s="770"/>
      <c r="DH555" s="770"/>
      <c r="DI555" s="770"/>
      <c r="DJ555" s="770"/>
      <c r="DK555" s="770"/>
      <c r="DL555" s="770"/>
      <c r="DM555" s="770"/>
      <c r="DN555" s="322"/>
      <c r="DO555" s="770"/>
      <c r="DP555" s="770"/>
      <c r="DQ555" s="770"/>
      <c r="DR555" s="770"/>
      <c r="DS555" s="307"/>
      <c r="DT555" s="770"/>
      <c r="DU555" s="770"/>
      <c r="DV555" s="770"/>
      <c r="DW555" s="306"/>
      <c r="DX555" s="306"/>
      <c r="DY555" s="770"/>
      <c r="DZ555" s="770"/>
      <c r="EA555" s="770"/>
      <c r="EB555" s="770"/>
      <c r="EC555" s="770"/>
      <c r="ED555" s="770"/>
      <c r="EE555" s="770"/>
      <c r="EF555" s="770"/>
      <c r="EG555" s="770"/>
      <c r="EH555" s="770"/>
      <c r="EI555" s="770"/>
      <c r="EJ555" s="770"/>
      <c r="EK555" s="770"/>
      <c r="EL555" s="770"/>
      <c r="EM555" s="770"/>
      <c r="EN555" s="770"/>
      <c r="EO555" s="770"/>
      <c r="EP555" s="94"/>
      <c r="EQ555" s="770"/>
      <c r="ER555" s="770"/>
      <c r="ES555" s="770"/>
      <c r="ET555" s="770"/>
      <c r="EU555" s="770"/>
      <c r="EV555" s="770"/>
      <c r="EW555" s="770"/>
      <c r="EX555" s="770"/>
      <c r="EY555" s="770"/>
      <c r="EZ555" s="770"/>
      <c r="FA555" s="770"/>
      <c r="FB555" s="770"/>
      <c r="FC555" s="770"/>
      <c r="FD555" s="302"/>
      <c r="FE555" s="770"/>
      <c r="FF555" s="770"/>
      <c r="FG555" s="770"/>
      <c r="FH555" s="770" t="s">
        <v>478</v>
      </c>
      <c r="FI555" s="770">
        <v>1</v>
      </c>
      <c r="FJ555" s="770"/>
      <c r="FK555" s="770"/>
      <c r="FL555" s="770"/>
      <c r="FM555" s="302"/>
      <c r="FN555" s="302"/>
      <c r="FO555" s="302"/>
      <c r="FP555" s="770" t="s">
        <v>1602</v>
      </c>
      <c r="FQ555" s="770" t="s">
        <v>1660</v>
      </c>
      <c r="FR555" s="770" t="s">
        <v>1214</v>
      </c>
      <c r="FS555" s="770"/>
      <c r="FT555" s="770"/>
      <c r="FU555" s="770"/>
      <c r="FV555" s="770"/>
      <c r="FW555" s="770"/>
      <c r="FX555" s="770"/>
      <c r="FY555" s="770"/>
      <c r="FZ555" s="770"/>
      <c r="GA555" s="770"/>
      <c r="GB555" s="770" t="s">
        <v>1734</v>
      </c>
      <c r="GC555" s="308"/>
      <c r="GD555" s="297">
        <v>1997</v>
      </c>
      <c r="GE555" s="770" t="s">
        <v>1214</v>
      </c>
      <c r="GF555" s="302"/>
      <c r="GG555" s="302"/>
      <c r="GH555" s="766"/>
      <c r="GI555" s="770"/>
      <c r="GJ555" s="770"/>
      <c r="GK555" s="770"/>
      <c r="GL555" s="770"/>
      <c r="GM555" s="770"/>
      <c r="GN555" s="299"/>
      <c r="GO555" s="770"/>
      <c r="GP555" s="770"/>
      <c r="GQ555" s="770"/>
      <c r="GR555" s="770"/>
      <c r="GS555" s="770"/>
      <c r="GT555" s="770"/>
      <c r="GU555" s="770"/>
      <c r="GV555" s="770"/>
      <c r="GW555" s="770"/>
      <c r="GX555" s="770"/>
      <c r="GY555" s="770"/>
      <c r="GZ555" s="770"/>
      <c r="HA555" s="770"/>
      <c r="HB555" s="770"/>
      <c r="HC555" s="770"/>
      <c r="HD555" s="770"/>
      <c r="HE555" s="770"/>
      <c r="HF555" s="770"/>
      <c r="HG555" s="770"/>
      <c r="HH555" s="770"/>
      <c r="HI555" s="770"/>
      <c r="HJ555" s="770"/>
      <c r="HK555" s="770"/>
      <c r="HL555" s="770"/>
      <c r="HM555" s="770"/>
      <c r="HN555" s="770"/>
      <c r="HO555" s="770"/>
      <c r="HP555" s="770"/>
      <c r="HQ555" s="770"/>
      <c r="HR555" s="770"/>
      <c r="HS555" s="770"/>
      <c r="HT555" s="770"/>
      <c r="HU555" s="770"/>
      <c r="HV555" s="770"/>
      <c r="HW555" s="770"/>
      <c r="HX555" s="770"/>
      <c r="HY555" s="770"/>
      <c r="HZ555" s="770"/>
      <c r="IA555" s="770"/>
      <c r="IB555" s="770" t="s">
        <v>1207</v>
      </c>
      <c r="IC555" s="770"/>
      <c r="ID555" s="770"/>
      <c r="IE555" s="770"/>
      <c r="IF555" s="770" t="s">
        <v>2817</v>
      </c>
      <c r="IG555" s="770" t="s">
        <v>10</v>
      </c>
      <c r="IH555" s="770"/>
      <c r="II555" s="770" t="s">
        <v>2812</v>
      </c>
      <c r="IJ555" s="770" t="s">
        <v>2818</v>
      </c>
      <c r="IK555" s="770" t="s">
        <v>2639</v>
      </c>
      <c r="IL555" s="770" t="s">
        <v>2819</v>
      </c>
      <c r="IM555" s="770">
        <v>2017</v>
      </c>
      <c r="IN555" s="770" t="s">
        <v>2820</v>
      </c>
      <c r="IO555" s="296"/>
      <c r="IP555" s="770" t="s">
        <v>1306</v>
      </c>
      <c r="IQ555" s="769" t="s">
        <v>7889</v>
      </c>
      <c r="IR555" s="770" t="s">
        <v>2716</v>
      </c>
      <c r="IS555" s="770"/>
      <c r="IT555" s="770"/>
      <c r="IU555" s="770"/>
      <c r="IV555" s="770"/>
      <c r="IW555" s="770" t="s">
        <v>13735</v>
      </c>
      <c r="IX555" s="770"/>
      <c r="IY555" s="770"/>
      <c r="IZ555" s="770"/>
      <c r="JA555" s="770" t="s">
        <v>1880</v>
      </c>
      <c r="JB555" s="770"/>
      <c r="JC555" s="770"/>
      <c r="JD555" s="302"/>
      <c r="JE555" s="770"/>
      <c r="JF555" s="770"/>
      <c r="JG555" s="770"/>
      <c r="JH555" s="307"/>
      <c r="JI555" s="307"/>
      <c r="JJ555" s="770"/>
      <c r="JK555" s="770"/>
      <c r="JL555" s="770"/>
      <c r="JM555" s="770"/>
      <c r="JN555" s="770"/>
      <c r="JO555" s="770"/>
      <c r="JP555" s="770"/>
      <c r="JQ555" s="770"/>
      <c r="JR555" s="770"/>
      <c r="JS555" s="770"/>
      <c r="JT555" s="766"/>
      <c r="JU555" s="766"/>
      <c r="JV555" s="766"/>
      <c r="JW555" s="766"/>
      <c r="JX555" s="770"/>
      <c r="JY555" s="770"/>
      <c r="JZ555" s="770"/>
      <c r="KA555" s="770"/>
      <c r="KB555" s="770"/>
      <c r="KC555" s="770"/>
      <c r="KD555" s="770"/>
      <c r="KE555" s="770"/>
      <c r="KF555" s="770"/>
      <c r="KG555" s="770"/>
      <c r="KH555" s="770"/>
      <c r="KI555" s="770"/>
      <c r="KJ555" s="770"/>
      <c r="KK555" s="770"/>
      <c r="KL555" s="770"/>
      <c r="KM555" s="770"/>
      <c r="KN555" s="770"/>
      <c r="KO555" s="770"/>
      <c r="KP555" s="770"/>
      <c r="KQ555" s="770"/>
      <c r="KR555" s="770"/>
      <c r="KS555" s="770"/>
      <c r="KT555" s="770"/>
      <c r="KU555" s="770"/>
      <c r="KV555" s="770"/>
      <c r="KW555" s="770"/>
      <c r="KX555" s="770"/>
      <c r="KY555" s="770"/>
      <c r="KZ555" s="770"/>
      <c r="LA555" s="770"/>
      <c r="LB555" s="770"/>
      <c r="LC555" s="770"/>
      <c r="LD555" s="770"/>
      <c r="LE555" s="770"/>
      <c r="LF555" s="770"/>
      <c r="LG555" s="770"/>
      <c r="LH555" s="770"/>
      <c r="LI555" s="770"/>
      <c r="LJ555" s="770"/>
      <c r="LK555" s="770"/>
      <c r="LL555" s="770"/>
      <c r="LM555" s="770"/>
      <c r="LN555" s="766"/>
      <c r="LO555" s="766"/>
      <c r="LP555" s="770"/>
      <c r="LQ555" s="770"/>
      <c r="LR555" s="770"/>
      <c r="LS555" s="770"/>
      <c r="LT555" s="770"/>
      <c r="LU555" s="770"/>
      <c r="LV555" s="770"/>
      <c r="LW555" s="770"/>
      <c r="LX555" s="769"/>
      <c r="LY555" s="766" t="str">
        <f t="shared" ref="LY555:LY618" si="160">IF(ISBLANK(LX555)=TRUE,"",LOOKUP(LX555,RT:RU))</f>
        <v/>
      </c>
      <c r="LZ555" s="1709"/>
      <c r="MA555" s="1709"/>
      <c r="MB555" s="1709"/>
      <c r="MC555" s="1679">
        <f t="shared" si="158"/>
        <v>0</v>
      </c>
      <c r="MD555" s="1709"/>
      <c r="ME555" s="1709"/>
      <c r="MF555" s="1709"/>
      <c r="MG555" s="1680">
        <f t="shared" si="149"/>
        <v>0</v>
      </c>
      <c r="MH555" s="770"/>
      <c r="MI555" s="302"/>
      <c r="MJ555" s="302"/>
      <c r="MK555" s="302"/>
      <c r="ML555" s="302"/>
      <c r="MM555" s="302"/>
      <c r="MN555" s="302"/>
      <c r="MO555" s="302"/>
      <c r="MP555" s="302"/>
      <c r="MQ555" s="302"/>
      <c r="MR555" s="302"/>
      <c r="MS555" s="302"/>
      <c r="MT555" s="302"/>
      <c r="MU555" s="302"/>
      <c r="MV555" s="302"/>
      <c r="MW555" s="302"/>
      <c r="MX555" s="302"/>
      <c r="MY555" s="1682">
        <f t="shared" si="147"/>
        <v>0</v>
      </c>
      <c r="MZ555" s="770"/>
      <c r="NA555" s="770"/>
      <c r="NB555" s="770"/>
      <c r="NC555" s="770"/>
      <c r="ND555" s="770"/>
      <c r="NE555" s="770"/>
      <c r="NF555" s="770"/>
      <c r="NG555" s="770"/>
      <c r="NH555" s="770"/>
      <c r="NI555" s="770"/>
      <c r="NJ555" s="770"/>
      <c r="NK555" s="770"/>
      <c r="NL555" s="770"/>
      <c r="NM555" s="770"/>
      <c r="NN555" s="770"/>
      <c r="NO555" s="770"/>
      <c r="NP555" s="770"/>
      <c r="NQ555" s="770"/>
      <c r="NR555" s="770"/>
      <c r="NS555" s="770"/>
      <c r="NT555" s="770"/>
      <c r="NU555" s="770"/>
      <c r="NV555" s="770"/>
      <c r="NW555" s="770"/>
      <c r="NX555" s="770"/>
      <c r="NY555" s="770"/>
      <c r="NZ555" s="770"/>
      <c r="OA555" s="770"/>
      <c r="OB555" s="770"/>
      <c r="OC555" s="770"/>
      <c r="OD555" s="770"/>
      <c r="OE555" s="770"/>
      <c r="OF555" s="770"/>
      <c r="OG555" s="770"/>
      <c r="OH555" s="770"/>
      <c r="OI555" s="770"/>
      <c r="OJ555" s="770"/>
      <c r="OK555" s="770"/>
      <c r="OL555" s="770"/>
      <c r="OM555" s="770"/>
      <c r="ON555" s="770"/>
      <c r="OO555" s="770"/>
      <c r="OP555" s="770"/>
      <c r="OQ555" s="770"/>
      <c r="OR555" s="770"/>
      <c r="OS555" s="770"/>
      <c r="OT555" s="770"/>
      <c r="OU555" s="770"/>
      <c r="OV555" s="770"/>
      <c r="OW555" s="770"/>
      <c r="OX555" s="770"/>
      <c r="OY555" s="770"/>
      <c r="OZ555" s="770"/>
      <c r="PA555" s="770"/>
      <c r="PB555" s="770"/>
      <c r="PC555" s="770"/>
      <c r="PD555" s="770"/>
      <c r="PE555" s="770"/>
      <c r="PF555" s="770"/>
      <c r="PG555" s="770"/>
      <c r="PH555" s="770"/>
      <c r="PI555" s="770"/>
      <c r="PJ555" s="770"/>
      <c r="PK555" s="770"/>
      <c r="PL555" s="770"/>
      <c r="PM555" s="770"/>
      <c r="PN555" s="770"/>
      <c r="PO555" s="770"/>
      <c r="PP555" s="770"/>
      <c r="PQ555" s="770"/>
      <c r="PR555" s="770"/>
      <c r="PS555" s="770"/>
      <c r="PT555" s="770"/>
      <c r="PU555" s="770"/>
      <c r="PV555" s="770"/>
      <c r="PW555" s="770"/>
      <c r="PX555" s="770"/>
      <c r="PY555" s="770"/>
      <c r="PZ555" s="770"/>
      <c r="QA555" s="770"/>
      <c r="QB555" s="770"/>
      <c r="QC555" s="770"/>
      <c r="QD555" s="770"/>
      <c r="QE555" s="770"/>
      <c r="QF555" s="770"/>
      <c r="QG555" s="770"/>
      <c r="QH555" s="770"/>
      <c r="QI555" s="770"/>
      <c r="QJ555" s="770"/>
      <c r="QK555" s="770"/>
      <c r="QL555" s="770"/>
      <c r="QM555" s="770"/>
      <c r="QN555" s="770"/>
      <c r="QO555" s="770"/>
      <c r="QP555" s="770"/>
      <c r="QQ555" s="770"/>
      <c r="QR555" s="770"/>
      <c r="QS555" s="770"/>
      <c r="QT555" s="770"/>
      <c r="QU555" s="770"/>
      <c r="QV555" s="770"/>
      <c r="QW555" s="770"/>
      <c r="QX555" s="770"/>
      <c r="QY555" s="770"/>
      <c r="QZ555" s="770"/>
      <c r="RA555" s="770"/>
      <c r="RB555" s="770"/>
      <c r="RC555" s="770"/>
      <c r="RD555" s="770"/>
      <c r="RE555" s="770"/>
      <c r="RF555" s="304"/>
      <c r="RG555" s="770"/>
      <c r="RH555" s="302"/>
      <c r="RI555" s="770"/>
      <c r="RJ555" s="770" t="s">
        <v>2821</v>
      </c>
      <c r="RK555" s="770" t="s">
        <v>13544</v>
      </c>
      <c r="RL555" s="1710"/>
      <c r="RM555" s="12"/>
      <c r="RN555" s="1711"/>
      <c r="RO555" s="133" t="s">
        <v>2811</v>
      </c>
      <c r="RP555" s="11"/>
      <c r="RQ555" s="11"/>
      <c r="RR555" s="17"/>
      <c r="RS555" s="767"/>
      <c r="RT555" s="11"/>
      <c r="RU555" s="11"/>
      <c r="RV555" s="771" t="s">
        <v>7419</v>
      </c>
      <c r="RW555" s="11" t="s">
        <v>7502</v>
      </c>
      <c r="RX555" s="11" t="s">
        <v>2797</v>
      </c>
      <c r="RY555" s="11"/>
      <c r="RZ555" s="11" t="s">
        <v>1101</v>
      </c>
      <c r="SA555" s="771"/>
      <c r="SB555" s="11"/>
      <c r="SC555" s="11"/>
    </row>
    <row r="556" spans="1:497" ht="12.75" hidden="1" customHeight="1">
      <c r="A556" s="343" t="s">
        <v>14219</v>
      </c>
      <c r="B556" s="752" t="s">
        <v>14265</v>
      </c>
      <c r="C556" s="133" t="s">
        <v>2811</v>
      </c>
      <c r="D556" s="94" t="s">
        <v>3027</v>
      </c>
      <c r="E556" s="766" t="s">
        <v>2812</v>
      </c>
      <c r="F556" s="770" t="s">
        <v>28</v>
      </c>
      <c r="G556" s="770" t="s">
        <v>18</v>
      </c>
      <c r="H556" s="770"/>
      <c r="I556" s="295"/>
      <c r="J556" s="94" t="s">
        <v>3027</v>
      </c>
      <c r="K556" s="766" t="s">
        <v>2814</v>
      </c>
      <c r="L556" s="766" t="s">
        <v>2721</v>
      </c>
      <c r="M556" s="770" t="s">
        <v>1238</v>
      </c>
      <c r="N556" s="770"/>
      <c r="O556" s="770" t="s">
        <v>2705</v>
      </c>
      <c r="P556" s="770" t="s">
        <v>2822</v>
      </c>
      <c r="Q556" s="1088">
        <v>19089</v>
      </c>
      <c r="R556" s="297">
        <v>65</v>
      </c>
      <c r="S556" s="770" t="s">
        <v>18</v>
      </c>
      <c r="T556" s="770"/>
      <c r="U556" s="298"/>
      <c r="V556" s="770"/>
      <c r="W556" s="770"/>
      <c r="X556" s="770"/>
      <c r="Y556" s="770" t="s">
        <v>2812</v>
      </c>
      <c r="Z556" s="770" t="s">
        <v>708</v>
      </c>
      <c r="AA556" s="770" t="s">
        <v>759</v>
      </c>
      <c r="AB556" s="770" t="s">
        <v>710</v>
      </c>
      <c r="AC556" s="770" t="s">
        <v>724</v>
      </c>
      <c r="AD556" s="770" t="s">
        <v>711</v>
      </c>
      <c r="AE556" s="770"/>
      <c r="AF556" s="770" t="s">
        <v>712</v>
      </c>
      <c r="AG556" s="770"/>
      <c r="AH556" s="770"/>
      <c r="AI556" s="770"/>
      <c r="AJ556" s="770"/>
      <c r="AK556" s="770" t="s">
        <v>1899</v>
      </c>
      <c r="AL556" s="531"/>
      <c r="AM556" s="780"/>
      <c r="AN556" s="532"/>
      <c r="AO556" s="766"/>
      <c r="AP556" s="766"/>
      <c r="AQ556" s="766"/>
      <c r="AR556" s="766"/>
      <c r="AS556" s="770"/>
      <c r="AT556" s="770"/>
      <c r="AU556" s="770"/>
      <c r="AV556" s="770"/>
      <c r="AW556" s="770"/>
      <c r="AX556" s="770"/>
      <c r="AY556" s="770"/>
      <c r="AZ556" s="770"/>
      <c r="BA556" s="770"/>
      <c r="BB556" s="770"/>
      <c r="BC556" s="770"/>
      <c r="BD556" s="770"/>
      <c r="BE556" s="770"/>
      <c r="BF556" s="302"/>
      <c r="BG556" s="302"/>
      <c r="BH556" s="770"/>
      <c r="BI556" s="770"/>
      <c r="BJ556" s="770"/>
      <c r="BK556" s="770"/>
      <c r="BL556" s="770"/>
      <c r="BM556" s="770" t="s">
        <v>12423</v>
      </c>
      <c r="BN556" s="770" t="s">
        <v>1260</v>
      </c>
      <c r="BO556" s="770"/>
      <c r="BP556" s="773"/>
      <c r="BQ556" s="773"/>
      <c r="BR556" s="773"/>
      <c r="BS556" s="766" t="s">
        <v>1105</v>
      </c>
      <c r="BT556" s="766"/>
      <c r="BU556" s="766"/>
      <c r="BV556" s="766"/>
      <c r="BW556" s="770"/>
      <c r="BX556" s="302"/>
      <c r="BY556" s="770"/>
      <c r="BZ556" s="302"/>
      <c r="CA556" s="770"/>
      <c r="CB556" s="770"/>
      <c r="CC556" s="770"/>
      <c r="CD556" s="770"/>
      <c r="CE556" s="770"/>
      <c r="CF556" s="1753"/>
      <c r="CG556" s="1754"/>
      <c r="CH556" s="770"/>
      <c r="CI556" s="770"/>
      <c r="CJ556" s="770"/>
      <c r="CK556" s="770"/>
      <c r="CL556" s="770"/>
      <c r="CM556" s="770"/>
      <c r="CN556" s="770"/>
      <c r="CO556" s="770"/>
      <c r="CP556" s="770"/>
      <c r="CQ556" s="770"/>
      <c r="CR556" s="302"/>
      <c r="CS556" s="770"/>
      <c r="CT556" s="770"/>
      <c r="CU556" s="305"/>
      <c r="CV556" s="770"/>
      <c r="CW556" s="770"/>
      <c r="CX556" s="770"/>
      <c r="CY556" s="770"/>
      <c r="CZ556" s="770"/>
      <c r="DA556" s="306"/>
      <c r="DB556" s="770"/>
      <c r="DC556" s="770"/>
      <c r="DD556" s="770"/>
      <c r="DE556" s="300"/>
      <c r="DF556" s="770"/>
      <c r="DG556" s="770"/>
      <c r="DH556" s="770"/>
      <c r="DI556" s="770"/>
      <c r="DJ556" s="770"/>
      <c r="DK556" s="770"/>
      <c r="DL556" s="770"/>
      <c r="DM556" s="770"/>
      <c r="DN556" s="322"/>
      <c r="DO556" s="770"/>
      <c r="DP556" s="770"/>
      <c r="DQ556" s="770"/>
      <c r="DR556" s="770"/>
      <c r="DS556" s="307"/>
      <c r="DT556" s="770"/>
      <c r="DU556" s="770"/>
      <c r="DV556" s="770"/>
      <c r="DW556" s="306"/>
      <c r="DX556" s="306"/>
      <c r="DY556" s="770"/>
      <c r="DZ556" s="770"/>
      <c r="EA556" s="770"/>
      <c r="EB556" s="770"/>
      <c r="EC556" s="770"/>
      <c r="ED556" s="770"/>
      <c r="EE556" s="770"/>
      <c r="EF556" s="770"/>
      <c r="EG556" s="770"/>
      <c r="EH556" s="770"/>
      <c r="EI556" s="770"/>
      <c r="EJ556" s="770"/>
      <c r="EK556" s="770"/>
      <c r="EL556" s="770"/>
      <c r="EM556" s="770"/>
      <c r="EN556" s="770"/>
      <c r="EO556" s="770"/>
      <c r="EP556" s="94"/>
      <c r="EQ556" s="770"/>
      <c r="ER556" s="770"/>
      <c r="ES556" s="770"/>
      <c r="ET556" s="770"/>
      <c r="EU556" s="770"/>
      <c r="EV556" s="770"/>
      <c r="EW556" s="770"/>
      <c r="EX556" s="770"/>
      <c r="EY556" s="770"/>
      <c r="EZ556" s="770"/>
      <c r="FA556" s="770"/>
      <c r="FB556" s="770"/>
      <c r="FC556" s="770"/>
      <c r="FD556" s="302"/>
      <c r="FE556" s="770"/>
      <c r="FF556" s="770"/>
      <c r="FG556" s="770"/>
      <c r="FH556" s="770" t="s">
        <v>1306</v>
      </c>
      <c r="FI556" s="770">
        <v>1</v>
      </c>
      <c r="FJ556" s="770" t="s">
        <v>2821</v>
      </c>
      <c r="FK556" s="770"/>
      <c r="FL556" s="770" t="s">
        <v>2812</v>
      </c>
      <c r="FM556" s="302"/>
      <c r="FN556" s="302"/>
      <c r="FO556" s="302"/>
      <c r="FP556" s="770" t="s">
        <v>1602</v>
      </c>
      <c r="FQ556" s="770" t="s">
        <v>1660</v>
      </c>
      <c r="FR556" s="770"/>
      <c r="FS556" s="770"/>
      <c r="FT556" s="770"/>
      <c r="FU556" s="770"/>
      <c r="FV556" s="770"/>
      <c r="FW556" s="770"/>
      <c r="FX556" s="770"/>
      <c r="FY556" s="770"/>
      <c r="FZ556" s="770"/>
      <c r="GA556" s="770"/>
      <c r="GB556" s="770"/>
      <c r="GC556" s="308"/>
      <c r="GD556" s="297"/>
      <c r="GE556" s="770"/>
      <c r="GF556" s="302"/>
      <c r="GG556" s="302"/>
      <c r="GH556" s="766"/>
      <c r="GI556" s="770"/>
      <c r="GJ556" s="770"/>
      <c r="GK556" s="770"/>
      <c r="GL556" s="770"/>
      <c r="GM556" s="770"/>
      <c r="GN556" s="299"/>
      <c r="GO556" s="770"/>
      <c r="GP556" s="770"/>
      <c r="GQ556" s="770"/>
      <c r="GR556" s="770"/>
      <c r="GS556" s="770"/>
      <c r="GT556" s="770"/>
      <c r="GU556" s="770"/>
      <c r="GV556" s="770"/>
      <c r="GW556" s="770"/>
      <c r="GX556" s="770"/>
      <c r="GY556" s="770"/>
      <c r="GZ556" s="770"/>
      <c r="HA556" s="770"/>
      <c r="HB556" s="770"/>
      <c r="HC556" s="770"/>
      <c r="HD556" s="770"/>
      <c r="HE556" s="770"/>
      <c r="HF556" s="770"/>
      <c r="HG556" s="770"/>
      <c r="HH556" s="770"/>
      <c r="HI556" s="770"/>
      <c r="HJ556" s="770"/>
      <c r="HK556" s="770"/>
      <c r="HL556" s="770"/>
      <c r="HM556" s="770"/>
      <c r="HN556" s="770"/>
      <c r="HO556" s="770"/>
      <c r="HP556" s="770"/>
      <c r="HQ556" s="770"/>
      <c r="HR556" s="770"/>
      <c r="HS556" s="770"/>
      <c r="HT556" s="770"/>
      <c r="HU556" s="770"/>
      <c r="HV556" s="770"/>
      <c r="HW556" s="770"/>
      <c r="HX556" s="770"/>
      <c r="HY556" s="770"/>
      <c r="HZ556" s="770"/>
      <c r="IA556" s="770"/>
      <c r="IB556" s="770" t="s">
        <v>1207</v>
      </c>
      <c r="IC556" s="770" t="s">
        <v>1207</v>
      </c>
      <c r="ID556" s="770"/>
      <c r="IE556" s="770"/>
      <c r="IF556" s="770" t="s">
        <v>3028</v>
      </c>
      <c r="IG556" s="770" t="s">
        <v>18</v>
      </c>
      <c r="IH556" s="770" t="s">
        <v>478</v>
      </c>
      <c r="II556" s="770" t="s">
        <v>2812</v>
      </c>
      <c r="IJ556" s="770" t="s">
        <v>2818</v>
      </c>
      <c r="IK556" s="770" t="s">
        <v>2823</v>
      </c>
      <c r="IL556" s="770" t="s">
        <v>2819</v>
      </c>
      <c r="IM556" s="770"/>
      <c r="IN556" s="770" t="s">
        <v>2824</v>
      </c>
      <c r="IO556" s="296">
        <v>19089</v>
      </c>
      <c r="IP556" s="770" t="s">
        <v>1306</v>
      </c>
      <c r="IQ556" s="769" t="s">
        <v>7889</v>
      </c>
      <c r="IR556" s="770" t="s">
        <v>2716</v>
      </c>
      <c r="IS556" s="770" t="s">
        <v>1883</v>
      </c>
      <c r="IT556" s="770" t="s">
        <v>1208</v>
      </c>
      <c r="IU556" s="770"/>
      <c r="IV556" s="770" t="s">
        <v>2825</v>
      </c>
      <c r="IW556" s="770" t="s">
        <v>13736</v>
      </c>
      <c r="IX556" s="770" t="s">
        <v>12795</v>
      </c>
      <c r="IY556" s="770"/>
      <c r="IZ556" s="770"/>
      <c r="JA556" s="770" t="s">
        <v>1950</v>
      </c>
      <c r="JB556" s="770" t="s">
        <v>1951</v>
      </c>
      <c r="JC556" s="770" t="s">
        <v>12796</v>
      </c>
      <c r="JD556" s="302">
        <v>100000</v>
      </c>
      <c r="JE556" s="770">
        <v>6</v>
      </c>
      <c r="JF556" s="770">
        <v>1</v>
      </c>
      <c r="JG556" s="770">
        <v>2</v>
      </c>
      <c r="JH556" s="307">
        <f>400*4</f>
        <v>1600</v>
      </c>
      <c r="JI556" s="307"/>
      <c r="JJ556" s="770"/>
      <c r="JK556" s="770"/>
      <c r="JL556" s="770"/>
      <c r="JM556" s="770"/>
      <c r="JN556" s="770"/>
      <c r="JO556" s="770"/>
      <c r="JP556" s="770"/>
      <c r="JQ556" s="770"/>
      <c r="JR556" s="770"/>
      <c r="JS556" s="770"/>
      <c r="JT556" s="766"/>
      <c r="JU556" s="766"/>
      <c r="JV556" s="766"/>
      <c r="JW556" s="766"/>
      <c r="JX556" s="770"/>
      <c r="JY556" s="770"/>
      <c r="JZ556" s="770"/>
      <c r="KA556" s="770"/>
      <c r="KB556" s="770"/>
      <c r="KC556" s="770"/>
      <c r="KD556" s="770"/>
      <c r="KE556" s="770"/>
      <c r="KF556" s="770"/>
      <c r="KG556" s="770"/>
      <c r="KH556" s="770"/>
      <c r="KI556" s="770"/>
      <c r="KJ556" s="770"/>
      <c r="KK556" s="770"/>
      <c r="KL556" s="770"/>
      <c r="KM556" s="770"/>
      <c r="KN556" s="770"/>
      <c r="KO556" s="770"/>
      <c r="KP556" s="770"/>
      <c r="KQ556" s="770"/>
      <c r="KR556" s="770"/>
      <c r="KS556" s="770"/>
      <c r="KT556" s="770"/>
      <c r="KU556" s="770"/>
      <c r="KV556" s="770"/>
      <c r="KW556" s="770"/>
      <c r="KX556" s="770"/>
      <c r="KY556" s="770"/>
      <c r="KZ556" s="770"/>
      <c r="LA556" s="770"/>
      <c r="LB556" s="770"/>
      <c r="LC556" s="770"/>
      <c r="LD556" s="770"/>
      <c r="LE556" s="770"/>
      <c r="LF556" s="770"/>
      <c r="LG556" s="770"/>
      <c r="LH556" s="770"/>
      <c r="LI556" s="770"/>
      <c r="LJ556" s="770"/>
      <c r="LK556" s="770"/>
      <c r="LL556" s="770"/>
      <c r="LM556" s="770"/>
      <c r="LN556" s="766"/>
      <c r="LO556" s="766"/>
      <c r="LP556" s="770"/>
      <c r="LQ556" s="770"/>
      <c r="LR556" s="770"/>
      <c r="LS556" s="770"/>
      <c r="LT556" s="770"/>
      <c r="LU556" s="770"/>
      <c r="LV556" s="770"/>
      <c r="LW556" s="770"/>
      <c r="LX556" s="769"/>
      <c r="LY556" s="766" t="str">
        <f t="shared" si="160"/>
        <v/>
      </c>
      <c r="LZ556" s="1709"/>
      <c r="MA556" s="1709"/>
      <c r="MB556" s="1709"/>
      <c r="MC556" s="1679">
        <f t="shared" si="158"/>
        <v>0</v>
      </c>
      <c r="MD556" s="1709"/>
      <c r="ME556" s="1709"/>
      <c r="MF556" s="1709"/>
      <c r="MG556" s="1680">
        <f t="shared" si="149"/>
        <v>0</v>
      </c>
      <c r="MH556" s="770"/>
      <c r="MI556" s="302"/>
      <c r="MJ556" s="302"/>
      <c r="MK556" s="302"/>
      <c r="ML556" s="302"/>
      <c r="MM556" s="302"/>
      <c r="MN556" s="302"/>
      <c r="MO556" s="302"/>
      <c r="MP556" s="302"/>
      <c r="MQ556" s="302"/>
      <c r="MR556" s="302"/>
      <c r="MS556" s="302"/>
      <c r="MT556" s="302"/>
      <c r="MU556" s="302"/>
      <c r="MV556" s="302"/>
      <c r="MW556" s="302"/>
      <c r="MX556" s="302"/>
      <c r="MY556" s="1682">
        <f t="shared" si="147"/>
        <v>0</v>
      </c>
      <c r="MZ556" s="770"/>
      <c r="NA556" s="770"/>
      <c r="NB556" s="770"/>
      <c r="NC556" s="770"/>
      <c r="ND556" s="770"/>
      <c r="NE556" s="770"/>
      <c r="NF556" s="770"/>
      <c r="NG556" s="770"/>
      <c r="NH556" s="770"/>
      <c r="NI556" s="770"/>
      <c r="NJ556" s="770"/>
      <c r="NK556" s="770"/>
      <c r="NL556" s="770"/>
      <c r="NM556" s="770"/>
      <c r="NN556" s="770"/>
      <c r="NO556" s="770"/>
      <c r="NP556" s="770"/>
      <c r="NQ556" s="770"/>
      <c r="NR556" s="770"/>
      <c r="NS556" s="770"/>
      <c r="NT556" s="770"/>
      <c r="NU556" s="770"/>
      <c r="NV556" s="770"/>
      <c r="NW556" s="770"/>
      <c r="NX556" s="770"/>
      <c r="NY556" s="770"/>
      <c r="NZ556" s="770"/>
      <c r="OA556" s="770"/>
      <c r="OB556" s="770"/>
      <c r="OC556" s="770"/>
      <c r="OD556" s="770"/>
      <c r="OE556" s="770"/>
      <c r="OF556" s="770"/>
      <c r="OG556" s="770"/>
      <c r="OH556" s="770"/>
      <c r="OI556" s="770"/>
      <c r="OJ556" s="770"/>
      <c r="OK556" s="770"/>
      <c r="OL556" s="770"/>
      <c r="OM556" s="770"/>
      <c r="ON556" s="770"/>
      <c r="OO556" s="770"/>
      <c r="OP556" s="770"/>
      <c r="OQ556" s="770"/>
      <c r="OR556" s="770"/>
      <c r="OS556" s="770"/>
      <c r="OT556" s="770"/>
      <c r="OU556" s="770"/>
      <c r="OV556" s="770"/>
      <c r="OW556" s="770"/>
      <c r="OX556" s="770"/>
      <c r="OY556" s="770"/>
      <c r="OZ556" s="770"/>
      <c r="PA556" s="770"/>
      <c r="PB556" s="770"/>
      <c r="PC556" s="770"/>
      <c r="PD556" s="770"/>
      <c r="PE556" s="770"/>
      <c r="PF556" s="770"/>
      <c r="PG556" s="770"/>
      <c r="PH556" s="770"/>
      <c r="PI556" s="770"/>
      <c r="PJ556" s="770"/>
      <c r="PK556" s="770"/>
      <c r="PL556" s="770"/>
      <c r="PM556" s="770"/>
      <c r="PN556" s="770"/>
      <c r="PO556" s="770"/>
      <c r="PP556" s="770"/>
      <c r="PQ556" s="770"/>
      <c r="PR556" s="770"/>
      <c r="PS556" s="770"/>
      <c r="PT556" s="770"/>
      <c r="PU556" s="770"/>
      <c r="PV556" s="770"/>
      <c r="PW556" s="770"/>
      <c r="PX556" s="770"/>
      <c r="PY556" s="770"/>
      <c r="PZ556" s="770"/>
      <c r="QA556" s="770"/>
      <c r="QB556" s="770"/>
      <c r="QC556" s="770"/>
      <c r="QD556" s="770"/>
      <c r="QE556" s="770"/>
      <c r="QF556" s="770"/>
      <c r="QG556" s="770"/>
      <c r="QH556" s="770"/>
      <c r="QI556" s="770"/>
      <c r="QJ556" s="770"/>
      <c r="QK556" s="770"/>
      <c r="QL556" s="770"/>
      <c r="QM556" s="770"/>
      <c r="QN556" s="770"/>
      <c r="QO556" s="770"/>
      <c r="QP556" s="770"/>
      <c r="QQ556" s="770"/>
      <c r="QR556" s="770"/>
      <c r="QS556" s="770"/>
      <c r="QT556" s="770"/>
      <c r="QU556" s="770"/>
      <c r="QV556" s="770"/>
      <c r="QW556" s="770"/>
      <c r="QX556" s="770"/>
      <c r="QY556" s="770"/>
      <c r="QZ556" s="770"/>
      <c r="RA556" s="770"/>
      <c r="RB556" s="770"/>
      <c r="RC556" s="770"/>
      <c r="RD556" s="770"/>
      <c r="RE556" s="770"/>
      <c r="RF556" s="304"/>
      <c r="RG556" s="770"/>
      <c r="RH556" s="302"/>
      <c r="RI556" s="770"/>
      <c r="RJ556" s="770" t="s">
        <v>13737</v>
      </c>
      <c r="RK556" s="770" t="s">
        <v>13544</v>
      </c>
      <c r="RL556" s="1710"/>
      <c r="RM556" s="12"/>
      <c r="RN556" s="1711"/>
      <c r="RO556" s="133" t="s">
        <v>2811</v>
      </c>
      <c r="RP556" s="11"/>
      <c r="RQ556" s="11"/>
      <c r="RR556" s="17"/>
      <c r="RS556" s="767"/>
      <c r="RT556" s="11"/>
      <c r="RU556" s="11"/>
      <c r="RV556" s="771" t="s">
        <v>13738</v>
      </c>
      <c r="RW556" s="11" t="s">
        <v>7791</v>
      </c>
      <c r="RX556" s="11" t="s">
        <v>2797</v>
      </c>
      <c r="RY556" s="11"/>
      <c r="RZ556" s="11"/>
      <c r="SA556" s="771"/>
      <c r="SB556" s="11"/>
      <c r="SC556" s="11"/>
    </row>
    <row r="557" spans="1:497" ht="12.75" hidden="1" customHeight="1">
      <c r="A557" s="343" t="s">
        <v>14219</v>
      </c>
      <c r="B557" s="752" t="s">
        <v>7503</v>
      </c>
      <c r="C557" s="132" t="s">
        <v>2826</v>
      </c>
      <c r="D557" s="94" t="s">
        <v>2827</v>
      </c>
      <c r="E557" s="766" t="s">
        <v>2812</v>
      </c>
      <c r="F557" s="770" t="s">
        <v>20</v>
      </c>
      <c r="G557" s="770" t="s">
        <v>18</v>
      </c>
      <c r="H557" s="770"/>
      <c r="I557" s="295" t="s">
        <v>2828</v>
      </c>
      <c r="J557" s="94" t="s">
        <v>2829</v>
      </c>
      <c r="K557" s="766" t="s">
        <v>2830</v>
      </c>
      <c r="L557" s="766" t="s">
        <v>2721</v>
      </c>
      <c r="M557" s="770" t="s">
        <v>1238</v>
      </c>
      <c r="N557" s="770"/>
      <c r="O557" s="770" t="s">
        <v>2705</v>
      </c>
      <c r="P557" s="94" t="s">
        <v>2831</v>
      </c>
      <c r="Q557" s="1088">
        <v>31034</v>
      </c>
      <c r="R557" s="297">
        <v>32</v>
      </c>
      <c r="S557" s="770" t="s">
        <v>10</v>
      </c>
      <c r="T557" s="770"/>
      <c r="U557" s="295" t="s">
        <v>2828</v>
      </c>
      <c r="V557" s="770" t="s">
        <v>722</v>
      </c>
      <c r="W557" s="770"/>
      <c r="X557" s="770"/>
      <c r="Y557" s="770" t="s">
        <v>2812</v>
      </c>
      <c r="Z557" s="770" t="s">
        <v>708</v>
      </c>
      <c r="AA557" s="770" t="s">
        <v>709</v>
      </c>
      <c r="AB557" s="770" t="s">
        <v>7273</v>
      </c>
      <c r="AC557" s="770"/>
      <c r="AD557" s="770" t="s">
        <v>711</v>
      </c>
      <c r="AE557" s="770"/>
      <c r="AF557" s="770" t="s">
        <v>712</v>
      </c>
      <c r="AG557" s="770"/>
      <c r="AH557" s="770"/>
      <c r="AI557" s="770"/>
      <c r="AJ557" s="770"/>
      <c r="AK557" s="770" t="s">
        <v>5454</v>
      </c>
      <c r="AL557" s="531"/>
      <c r="AM557" s="780"/>
      <c r="AN557" s="532"/>
      <c r="AO557" s="766"/>
      <c r="AP557" s="766"/>
      <c r="AQ557" s="766"/>
      <c r="AR557" s="766"/>
      <c r="AS557" s="770"/>
      <c r="AT557" s="770"/>
      <c r="AU557" s="770"/>
      <c r="AV557" s="770"/>
      <c r="AW557" s="770"/>
      <c r="AX557" s="770"/>
      <c r="AY557" s="770"/>
      <c r="AZ557" s="770"/>
      <c r="BA557" s="770"/>
      <c r="BB557" s="770"/>
      <c r="BC557" s="770"/>
      <c r="BD557" s="770"/>
      <c r="BE557" s="770"/>
      <c r="BF557" s="302"/>
      <c r="BG557" s="302"/>
      <c r="BH557" s="770"/>
      <c r="BI557" s="770"/>
      <c r="BJ557" s="770"/>
      <c r="BK557" s="770" t="s">
        <v>1095</v>
      </c>
      <c r="BL557" s="94" t="s">
        <v>2827</v>
      </c>
      <c r="BM557" s="766" t="s">
        <v>1096</v>
      </c>
      <c r="BN557" s="770" t="s">
        <v>1230</v>
      </c>
      <c r="BO557" s="766" t="s">
        <v>1246</v>
      </c>
      <c r="BP557" s="765">
        <v>15.975</v>
      </c>
      <c r="BQ557" s="773">
        <v>8.0924999999999994</v>
      </c>
      <c r="BR557" s="774">
        <f>BQ557/BP557</f>
        <v>0.50657276995305156</v>
      </c>
      <c r="BS557" s="766" t="s">
        <v>1105</v>
      </c>
      <c r="BT557" s="766" t="s">
        <v>2040</v>
      </c>
      <c r="BU557" s="769"/>
      <c r="BV557" s="770" t="s">
        <v>1247</v>
      </c>
      <c r="BW557" s="770">
        <v>2011</v>
      </c>
      <c r="BX557" s="302"/>
      <c r="BY557" s="770"/>
      <c r="BZ557" s="302"/>
      <c r="CA557" s="770"/>
      <c r="CB557" s="770"/>
      <c r="CC557" s="770"/>
      <c r="CD557" s="770"/>
      <c r="CE557" s="770"/>
      <c r="CF557" s="1753"/>
      <c r="CG557" s="1754"/>
      <c r="CH557" s="770"/>
      <c r="CI557" s="770"/>
      <c r="CJ557" s="770"/>
      <c r="CK557" s="770"/>
      <c r="CL557" s="770"/>
      <c r="CM557" s="770"/>
      <c r="CN557" s="770"/>
      <c r="CO557" s="770"/>
      <c r="CP557" s="770"/>
      <c r="CQ557" s="770"/>
      <c r="CR557" s="302"/>
      <c r="CS557" s="770"/>
      <c r="CT557" s="770"/>
      <c r="CU557" s="305"/>
      <c r="CV557" s="770"/>
      <c r="CW557" s="770"/>
      <c r="CX557" s="770"/>
      <c r="CY557" s="770"/>
      <c r="CZ557" s="770"/>
      <c r="DA557" s="306"/>
      <c r="DB557" s="770"/>
      <c r="DC557" s="770"/>
      <c r="DD557" s="770"/>
      <c r="DE557" s="300"/>
      <c r="DF557" s="770"/>
      <c r="DG557" s="770"/>
      <c r="DH557" s="770"/>
      <c r="DI557" s="770"/>
      <c r="DJ557" s="770"/>
      <c r="DK557" s="770"/>
      <c r="DL557" s="770"/>
      <c r="DM557" s="770"/>
      <c r="DN557" s="322"/>
      <c r="DO557" s="770"/>
      <c r="DP557" s="770"/>
      <c r="DQ557" s="770"/>
      <c r="DR557" s="770"/>
      <c r="DS557" s="307"/>
      <c r="DT557" s="770"/>
      <c r="DU557" s="770"/>
      <c r="DV557" s="770"/>
      <c r="DW557" s="306"/>
      <c r="DX557" s="306"/>
      <c r="DY557" s="770"/>
      <c r="DZ557" s="770"/>
      <c r="EA557" s="770"/>
      <c r="EB557" s="770"/>
      <c r="EC557" s="770"/>
      <c r="ED557" s="770"/>
      <c r="EE557" s="770"/>
      <c r="EF557" s="770"/>
      <c r="EG557" s="770"/>
      <c r="EH557" s="770"/>
      <c r="EI557" s="770"/>
      <c r="EJ557" s="770"/>
      <c r="EK557" s="770"/>
      <c r="EL557" s="770"/>
      <c r="EM557" s="770"/>
      <c r="EN557" s="770"/>
      <c r="EO557" s="770"/>
      <c r="EP557" s="94"/>
      <c r="EQ557" s="770"/>
      <c r="ER557" s="770"/>
      <c r="ES557" s="770"/>
      <c r="ET557" s="770"/>
      <c r="EU557" s="770"/>
      <c r="EV557" s="770"/>
      <c r="EW557" s="770"/>
      <c r="EX557" s="770"/>
      <c r="EY557" s="770"/>
      <c r="EZ557" s="770"/>
      <c r="FA557" s="770"/>
      <c r="FB557" s="770"/>
      <c r="FC557" s="770"/>
      <c r="FD557" s="302"/>
      <c r="FE557" s="770"/>
      <c r="FF557" s="770"/>
      <c r="FG557" s="770"/>
      <c r="FH557" s="770" t="s">
        <v>478</v>
      </c>
      <c r="FI557" s="770">
        <v>1</v>
      </c>
      <c r="FJ557" s="770"/>
      <c r="FK557" s="770"/>
      <c r="FL557" s="770"/>
      <c r="FM557" s="302"/>
      <c r="FN557" s="302"/>
      <c r="FO557" s="302"/>
      <c r="FP557" s="766" t="s">
        <v>1602</v>
      </c>
      <c r="FQ557" s="766" t="s">
        <v>1660</v>
      </c>
      <c r="FR557" s="770" t="s">
        <v>1214</v>
      </c>
      <c r="FS557" s="770"/>
      <c r="FT557" s="770"/>
      <c r="FU557" s="770"/>
      <c r="FV557" s="770"/>
      <c r="FW557" s="770"/>
      <c r="FX557" s="770"/>
      <c r="FY557" s="770"/>
      <c r="FZ557" s="770"/>
      <c r="GA557" s="770"/>
      <c r="GB557" s="770" t="s">
        <v>1734</v>
      </c>
      <c r="GC557" s="308"/>
      <c r="GD557" s="297">
        <v>2013</v>
      </c>
      <c r="GE557" s="770" t="s">
        <v>1214</v>
      </c>
      <c r="GF557" s="302"/>
      <c r="GG557" s="302"/>
      <c r="GH557" s="1774" t="s">
        <v>1791</v>
      </c>
      <c r="GI557" s="770" t="s">
        <v>2407</v>
      </c>
      <c r="GJ557" s="770"/>
      <c r="GK557" s="770" t="s">
        <v>2345</v>
      </c>
      <c r="GL557" s="770"/>
      <c r="GM557" s="770"/>
      <c r="GN557" s="299">
        <v>300</v>
      </c>
      <c r="GO557" s="770" t="s">
        <v>2770</v>
      </c>
      <c r="GP557" s="770" t="s">
        <v>1208</v>
      </c>
      <c r="GQ557" s="770" t="s">
        <v>1208</v>
      </c>
      <c r="GR557" s="770" t="s">
        <v>1208</v>
      </c>
      <c r="GS557" s="770" t="s">
        <v>1208</v>
      </c>
      <c r="GT557" s="770" t="s">
        <v>1208</v>
      </c>
      <c r="GU557" s="770"/>
      <c r="GV557" s="770"/>
      <c r="GW557" s="770" t="s">
        <v>1207</v>
      </c>
      <c r="GX557" s="770"/>
      <c r="GY557" s="770" t="s">
        <v>1208</v>
      </c>
      <c r="GZ557" s="770" t="s">
        <v>1208</v>
      </c>
      <c r="HA557" s="770" t="s">
        <v>1208</v>
      </c>
      <c r="HB557" s="770" t="s">
        <v>1208</v>
      </c>
      <c r="HC557" s="770" t="s">
        <v>1208</v>
      </c>
      <c r="HD557" s="770" t="s">
        <v>1208</v>
      </c>
      <c r="HE557" s="770" t="s">
        <v>1208</v>
      </c>
      <c r="HF557" s="770"/>
      <c r="HG557" s="770"/>
      <c r="HH557" s="770"/>
      <c r="HI557" s="770" t="s">
        <v>1214</v>
      </c>
      <c r="HJ557" s="770"/>
      <c r="HK557" s="770"/>
      <c r="HL557" s="770"/>
      <c r="HM557" s="770"/>
      <c r="HN557" s="770"/>
      <c r="HO557" s="770"/>
      <c r="HP557" s="770"/>
      <c r="HQ557" s="770"/>
      <c r="HR557" s="770"/>
      <c r="HS557" s="770"/>
      <c r="HT557" s="770"/>
      <c r="HU557" s="770"/>
      <c r="HV557" s="770"/>
      <c r="HW557" s="770"/>
      <c r="HX557" s="770"/>
      <c r="HY557" s="770"/>
      <c r="HZ557" s="770"/>
      <c r="IA557" s="770"/>
      <c r="IB557" s="14" t="e">
        <f>IF(#REF!&gt;0,IF(#REF!&lt;=10000,"Y",""),"")</f>
        <v>#REF!</v>
      </c>
      <c r="IC557" s="770" t="s">
        <v>1207</v>
      </c>
      <c r="ID557" s="770"/>
      <c r="IE557" s="770">
        <v>1</v>
      </c>
      <c r="IF557" s="770"/>
      <c r="IG557" s="770"/>
      <c r="IH557" s="770"/>
      <c r="II557" s="770"/>
      <c r="IJ557" s="770"/>
      <c r="IK557" s="770"/>
      <c r="IL557" s="770"/>
      <c r="IM557" s="770"/>
      <c r="IN557" s="770"/>
      <c r="IO557" s="296"/>
      <c r="IP557" s="770"/>
      <c r="IQ557" s="770"/>
      <c r="IR557" s="770"/>
      <c r="IS557" s="770"/>
      <c r="IT557" s="770"/>
      <c r="IU557" s="770"/>
      <c r="IV557" s="770"/>
      <c r="IW557" s="770"/>
      <c r="IX557" s="770"/>
      <c r="IY557" s="770"/>
      <c r="IZ557" s="770"/>
      <c r="JA557" s="770"/>
      <c r="JB557" s="770"/>
      <c r="JC557" s="770"/>
      <c r="JD557" s="302"/>
      <c r="JE557" s="770"/>
      <c r="JF557" s="770"/>
      <c r="JG557" s="770"/>
      <c r="JH557" s="307"/>
      <c r="JI557" s="307"/>
      <c r="JJ557" s="770">
        <v>6</v>
      </c>
      <c r="JK557" s="1139" t="s">
        <v>3838</v>
      </c>
      <c r="JL557" s="770">
        <v>3</v>
      </c>
      <c r="JM557" s="770">
        <v>1</v>
      </c>
      <c r="JN557" s="770">
        <v>1</v>
      </c>
      <c r="JO557" s="770">
        <v>1</v>
      </c>
      <c r="JP557" s="770"/>
      <c r="JQ557" s="770"/>
      <c r="JR557" s="770"/>
      <c r="JS557" s="770"/>
      <c r="JT557" s="766">
        <f>SUM(JP557,JN557,JL557,JR557)</f>
        <v>4</v>
      </c>
      <c r="JU557" s="766">
        <f>SUM(JQ557,JO557,JM557,JS557)</f>
        <v>2</v>
      </c>
      <c r="JV557" s="712" t="str">
        <f>IF(JT557=KJ557,"ok","male")</f>
        <v>ok</v>
      </c>
      <c r="JW557" s="712" t="str">
        <f>IF(JU557=KK557,"ok","female")</f>
        <v>ok</v>
      </c>
      <c r="JX557" s="770">
        <v>2</v>
      </c>
      <c r="JY557" s="770">
        <v>1</v>
      </c>
      <c r="JZ557" s="770">
        <v>1</v>
      </c>
      <c r="KA557" s="770"/>
      <c r="KB557" s="770"/>
      <c r="KC557" s="770"/>
      <c r="KD557" s="770">
        <v>1</v>
      </c>
      <c r="KE557" s="770">
        <v>1</v>
      </c>
      <c r="KF557" s="770"/>
      <c r="KG557" s="770"/>
      <c r="KH557" s="770"/>
      <c r="KI557" s="770"/>
      <c r="KJ557" s="770">
        <f t="shared" si="153"/>
        <v>4</v>
      </c>
      <c r="KK557" s="770">
        <f t="shared" si="153"/>
        <v>2</v>
      </c>
      <c r="KL557" s="712" t="str">
        <f>IF(KJ557=LN557,"ok","male")</f>
        <v>ok</v>
      </c>
      <c r="KM557" s="712" t="str">
        <f>IF(KK557=LO557,"ok","female")</f>
        <v>ok</v>
      </c>
      <c r="KN557" s="770" t="s">
        <v>722</v>
      </c>
      <c r="KO557" s="770"/>
      <c r="KP557" s="770">
        <v>2</v>
      </c>
      <c r="KQ557" s="770">
        <v>1</v>
      </c>
      <c r="KR557" s="770"/>
      <c r="KS557" s="770"/>
      <c r="KT557" s="770">
        <v>1</v>
      </c>
      <c r="KU557" s="770"/>
      <c r="KV557" s="770"/>
      <c r="KW557" s="770"/>
      <c r="KX557" s="770"/>
      <c r="KY557" s="770"/>
      <c r="KZ557" s="770"/>
      <c r="LA557" s="770">
        <v>1</v>
      </c>
      <c r="LB557" s="770">
        <v>1</v>
      </c>
      <c r="LC557" s="770"/>
      <c r="LD557" s="770"/>
      <c r="LE557" s="770"/>
      <c r="LF557" s="770"/>
      <c r="LG557" s="770"/>
      <c r="LH557" s="770"/>
      <c r="LI557" s="770"/>
      <c r="LJ557" s="770"/>
      <c r="LK557" s="770"/>
      <c r="LL557" s="770"/>
      <c r="LM557" s="770"/>
      <c r="LN557" s="766">
        <f t="shared" si="159"/>
        <v>4</v>
      </c>
      <c r="LO557" s="766">
        <f t="shared" si="159"/>
        <v>2</v>
      </c>
      <c r="LP557" s="770">
        <v>1</v>
      </c>
      <c r="LQ557" s="770">
        <v>1</v>
      </c>
      <c r="LR557" s="770"/>
      <c r="LS557" s="770"/>
      <c r="LT557" s="712" t="str">
        <f>IF(LQ557=SUM(LU557:LW557),"OK","REV")</f>
        <v>OK</v>
      </c>
      <c r="LU557" s="770"/>
      <c r="LV557" s="770">
        <v>1</v>
      </c>
      <c r="LW557" s="770"/>
      <c r="LX557" s="769">
        <v>3</v>
      </c>
      <c r="LY557" s="766" t="str">
        <f t="shared" si="160"/>
        <v>within the PROVINCE</v>
      </c>
      <c r="LZ557" s="1709">
        <v>50</v>
      </c>
      <c r="MA557" s="1709"/>
      <c r="MB557" s="1709"/>
      <c r="MC557" s="1679">
        <f t="shared" si="158"/>
        <v>50</v>
      </c>
      <c r="MD557" s="1709">
        <v>6500</v>
      </c>
      <c r="ME557" s="1709"/>
      <c r="MF557" s="1709"/>
      <c r="MG557" s="1680">
        <f>SUM(MD557:MF557)</f>
        <v>6500</v>
      </c>
      <c r="MH557" s="770" t="s">
        <v>3839</v>
      </c>
      <c r="MI557" s="302">
        <v>2000</v>
      </c>
      <c r="MJ557" s="302">
        <v>1000</v>
      </c>
      <c r="MK557" s="302">
        <v>500</v>
      </c>
      <c r="ML557" s="302">
        <v>1500</v>
      </c>
      <c r="MM557" s="302">
        <f>2500/12</f>
        <v>208.33333333333334</v>
      </c>
      <c r="MN557" s="302"/>
      <c r="MO557" s="302">
        <v>100</v>
      </c>
      <c r="MP557" s="302">
        <v>1500</v>
      </c>
      <c r="MQ557" s="302">
        <v>1000</v>
      </c>
      <c r="MR557" s="302">
        <v>800</v>
      </c>
      <c r="MS557" s="302">
        <v>1500</v>
      </c>
      <c r="MT557" s="302"/>
      <c r="MU557" s="302"/>
      <c r="MV557" s="302"/>
      <c r="MW557" s="302"/>
      <c r="MX557" s="302"/>
      <c r="MY557" s="1682">
        <f t="shared" si="147"/>
        <v>10108.333333333332</v>
      </c>
      <c r="MZ557" s="770" t="s">
        <v>13370</v>
      </c>
      <c r="NA557" s="770" t="s">
        <v>13585</v>
      </c>
      <c r="NB557" s="770" t="s">
        <v>13016</v>
      </c>
      <c r="NC557" s="770" t="s">
        <v>13602</v>
      </c>
      <c r="ND557" s="770">
        <v>0</v>
      </c>
      <c r="NE557" s="770">
        <v>0</v>
      </c>
      <c r="NF557" s="770">
        <v>0</v>
      </c>
      <c r="NG557" s="770">
        <v>1</v>
      </c>
      <c r="NH557" s="770">
        <v>1</v>
      </c>
      <c r="NI557" s="770">
        <v>0</v>
      </c>
      <c r="NJ557" s="770">
        <v>1</v>
      </c>
      <c r="NK557" s="770">
        <v>0</v>
      </c>
      <c r="NL557" s="770">
        <v>0</v>
      </c>
      <c r="NM557" s="770">
        <v>0</v>
      </c>
      <c r="NN557" s="770">
        <v>0</v>
      </c>
      <c r="NO557" s="770">
        <v>0</v>
      </c>
      <c r="NP557" s="770">
        <v>0</v>
      </c>
      <c r="NQ557" s="770">
        <v>0</v>
      </c>
      <c r="NR557" s="770">
        <v>0</v>
      </c>
      <c r="NS557" s="770">
        <v>0</v>
      </c>
      <c r="NT557" s="770">
        <v>0</v>
      </c>
      <c r="NU557" s="770">
        <v>0</v>
      </c>
      <c r="NV557" s="770">
        <v>0</v>
      </c>
      <c r="NW557" s="770">
        <v>0</v>
      </c>
      <c r="NX557" s="770">
        <v>0</v>
      </c>
      <c r="NY557" s="770" t="s">
        <v>1208</v>
      </c>
      <c r="NZ557" s="770" t="s">
        <v>1208</v>
      </c>
      <c r="OA557" s="770" t="s">
        <v>1208</v>
      </c>
      <c r="OB557" s="770" t="s">
        <v>1208</v>
      </c>
      <c r="OC557" s="770" t="s">
        <v>1208</v>
      </c>
      <c r="OD557" s="770" t="s">
        <v>1208</v>
      </c>
      <c r="OE557" s="770"/>
      <c r="OF557" s="770"/>
      <c r="OG557" s="770"/>
      <c r="OH557" s="770"/>
      <c r="OI557" s="770"/>
      <c r="OJ557" s="770"/>
      <c r="OK557" s="770"/>
      <c r="OL557" s="770"/>
      <c r="OM557" s="770"/>
      <c r="ON557" s="770"/>
      <c r="OO557" s="770"/>
      <c r="OP557" s="770"/>
      <c r="OQ557" s="770"/>
      <c r="OR557" s="770"/>
      <c r="OS557" s="770"/>
      <c r="OT557" s="770"/>
      <c r="OU557" s="770"/>
      <c r="OV557" s="770"/>
      <c r="OW557" s="770"/>
      <c r="OX557" s="770"/>
      <c r="OY557" s="770"/>
      <c r="OZ557" s="770"/>
      <c r="PA557" s="770"/>
      <c r="PB557" s="770"/>
      <c r="PC557" s="770"/>
      <c r="PD557" s="770"/>
      <c r="PE557" s="770"/>
      <c r="PF557" s="770"/>
      <c r="PG557" s="770"/>
      <c r="PH557" s="770" t="s">
        <v>1208</v>
      </c>
      <c r="PI557" s="770"/>
      <c r="PJ557" s="770" t="s">
        <v>1208</v>
      </c>
      <c r="PK557" s="770" t="s">
        <v>1208</v>
      </c>
      <c r="PL557" s="770"/>
      <c r="PM557" s="770"/>
      <c r="PN557" s="770"/>
      <c r="PO557" s="770"/>
      <c r="PP557" s="770"/>
      <c r="PQ557" s="770"/>
      <c r="PR557" s="770"/>
      <c r="PS557" s="770" t="s">
        <v>1208</v>
      </c>
      <c r="PT557" s="770" t="s">
        <v>1208</v>
      </c>
      <c r="PU557" s="770"/>
      <c r="PV557" s="770"/>
      <c r="PW557" s="770"/>
      <c r="PX557" s="770"/>
      <c r="PY557" s="770"/>
      <c r="PZ557" s="770"/>
      <c r="QA557" s="770"/>
      <c r="QB557" s="770"/>
      <c r="QC557" s="770"/>
      <c r="QD557" s="770"/>
      <c r="QE557" s="770"/>
      <c r="QF557" s="770"/>
      <c r="QG557" s="770"/>
      <c r="QH557" s="770"/>
      <c r="QI557" s="770"/>
      <c r="QJ557" s="770"/>
      <c r="QK557" s="770"/>
      <c r="QL557" s="770"/>
      <c r="QM557" s="770"/>
      <c r="QN557" s="770"/>
      <c r="QO557" s="770"/>
      <c r="QP557" s="770"/>
      <c r="QQ557" s="770"/>
      <c r="QR557" s="770"/>
      <c r="QS557" s="770"/>
      <c r="QT557" s="770"/>
      <c r="QU557" s="770"/>
      <c r="QV557" s="770"/>
      <c r="QW557" s="770"/>
      <c r="QX557" s="770"/>
      <c r="QY557" s="770"/>
      <c r="QZ557" s="770"/>
      <c r="RA557" s="770"/>
      <c r="RB557" s="770" t="s">
        <v>1207</v>
      </c>
      <c r="RC557" s="770">
        <v>2014</v>
      </c>
      <c r="RD557" s="770" t="s">
        <v>13046</v>
      </c>
      <c r="RE557" s="770"/>
      <c r="RF557" s="304">
        <f>CONVERT(2,"ft","m")</f>
        <v>0.60960000000000003</v>
      </c>
      <c r="RG557" s="770" t="s">
        <v>13617</v>
      </c>
      <c r="RH557" s="302">
        <v>0</v>
      </c>
      <c r="RI557" s="770">
        <v>2</v>
      </c>
      <c r="RJ557" s="770" t="s">
        <v>2832</v>
      </c>
      <c r="RK557" s="770" t="s">
        <v>13552</v>
      </c>
      <c r="RL557" s="1710"/>
      <c r="RM557" s="12"/>
      <c r="RN557" s="1711"/>
      <c r="RO557" s="132" t="s">
        <v>2826</v>
      </c>
      <c r="RP557" s="11"/>
      <c r="RQ557" s="11"/>
      <c r="RR557" s="343" t="s">
        <v>7419</v>
      </c>
      <c r="RS557" s="1139" t="s">
        <v>12980</v>
      </c>
      <c r="RT557" s="11"/>
      <c r="RU557" s="11"/>
      <c r="RV557" s="771" t="s">
        <v>7419</v>
      </c>
      <c r="RW557" s="11" t="s">
        <v>7807</v>
      </c>
      <c r="RX557" s="11" t="s">
        <v>2811</v>
      </c>
      <c r="RY557" s="11"/>
      <c r="RZ557" s="11"/>
      <c r="SA557" s="771"/>
      <c r="SB557" s="11"/>
      <c r="SC557" s="11"/>
    </row>
    <row r="558" spans="1:497" ht="12.75" customHeight="1">
      <c r="A558" s="17" t="s">
        <v>7421</v>
      </c>
      <c r="B558" s="752" t="s">
        <v>7403</v>
      </c>
      <c r="C558" s="132" t="s">
        <v>3840</v>
      </c>
      <c r="D558" s="94" t="s">
        <v>14121</v>
      </c>
      <c r="E558" s="766" t="s">
        <v>3841</v>
      </c>
      <c r="F558" s="770" t="s">
        <v>28</v>
      </c>
      <c r="G558" s="770" t="s">
        <v>10</v>
      </c>
      <c r="H558" s="770"/>
      <c r="I558" s="295" t="s">
        <v>3842</v>
      </c>
      <c r="J558" s="94" t="s">
        <v>14121</v>
      </c>
      <c r="K558" s="766" t="s">
        <v>3843</v>
      </c>
      <c r="L558" s="766" t="s">
        <v>2755</v>
      </c>
      <c r="M558" s="770" t="s">
        <v>2402</v>
      </c>
      <c r="N558" s="770"/>
      <c r="O558" s="770" t="s">
        <v>3844</v>
      </c>
      <c r="P558" s="94" t="s">
        <v>14122</v>
      </c>
      <c r="Q558" s="1088">
        <v>26708</v>
      </c>
      <c r="R558" s="297">
        <v>41</v>
      </c>
      <c r="S558" s="770" t="s">
        <v>10</v>
      </c>
      <c r="T558" s="770"/>
      <c r="U558" s="295" t="s">
        <v>3842</v>
      </c>
      <c r="V558" s="770" t="s">
        <v>722</v>
      </c>
      <c r="W558" s="770"/>
      <c r="X558" s="770"/>
      <c r="Y558" s="770" t="s">
        <v>3841</v>
      </c>
      <c r="Z558" s="770" t="s">
        <v>708</v>
      </c>
      <c r="AA558" s="770" t="s">
        <v>739</v>
      </c>
      <c r="AB558" s="766" t="s">
        <v>7274</v>
      </c>
      <c r="AC558" s="770" t="s">
        <v>724</v>
      </c>
      <c r="AD558" s="770" t="s">
        <v>711</v>
      </c>
      <c r="AE558" s="770"/>
      <c r="AF558" s="770" t="s">
        <v>712</v>
      </c>
      <c r="AG558" s="766" t="s">
        <v>1095</v>
      </c>
      <c r="AH558" s="766" t="s">
        <v>1096</v>
      </c>
      <c r="AI558" s="770" t="s">
        <v>3294</v>
      </c>
      <c r="AJ558" s="770"/>
      <c r="AK558" s="770" t="s">
        <v>1101</v>
      </c>
      <c r="AL558" s="531">
        <v>7.82</v>
      </c>
      <c r="AM558" s="780">
        <v>7.82</v>
      </c>
      <c r="AN558" s="532">
        <f>AM558/AL558</f>
        <v>1</v>
      </c>
      <c r="AO558" s="766" t="s">
        <v>1122</v>
      </c>
      <c r="AP558" s="766"/>
      <c r="AQ558" s="766"/>
      <c r="AR558" s="766"/>
      <c r="AS558" s="769"/>
      <c r="AT558" s="770"/>
      <c r="AU558" s="770"/>
      <c r="AV558" s="770"/>
      <c r="AW558" s="770"/>
      <c r="AX558" s="770"/>
      <c r="AY558" s="770"/>
      <c r="AZ558" s="770"/>
      <c r="BA558" s="770"/>
      <c r="BB558" s="770"/>
      <c r="BC558" s="770"/>
      <c r="BD558" s="770"/>
      <c r="BE558" s="770"/>
      <c r="BF558" s="302"/>
      <c r="BG558" s="302"/>
      <c r="BH558" s="770"/>
      <c r="BI558" s="770"/>
      <c r="BJ558" s="770"/>
      <c r="BK558" s="770" t="s">
        <v>1095</v>
      </c>
      <c r="BL558" s="770" t="s">
        <v>8125</v>
      </c>
      <c r="BM558" s="766" t="s">
        <v>1096</v>
      </c>
      <c r="BN558" s="770" t="s">
        <v>1230</v>
      </c>
      <c r="BO558" s="766" t="s">
        <v>1246</v>
      </c>
      <c r="BP558" s="1109">
        <v>7.82</v>
      </c>
      <c r="BQ558" s="773">
        <v>7.82</v>
      </c>
      <c r="BR558" s="774">
        <f>BQ558/BP558</f>
        <v>1</v>
      </c>
      <c r="BS558" s="766" t="s">
        <v>1257</v>
      </c>
      <c r="BT558" s="766" t="s">
        <v>8133</v>
      </c>
      <c r="BU558" s="766" t="s">
        <v>1264</v>
      </c>
      <c r="BV558" s="770" t="s">
        <v>2432</v>
      </c>
      <c r="BW558" s="770">
        <v>2013</v>
      </c>
      <c r="BX558" s="302" t="s">
        <v>2769</v>
      </c>
      <c r="BY558" s="770" t="s">
        <v>1207</v>
      </c>
      <c r="BZ558" s="302" t="s">
        <v>2769</v>
      </c>
      <c r="CA558" s="770"/>
      <c r="CB558" s="770"/>
      <c r="CC558" s="770"/>
      <c r="CD558" s="770"/>
      <c r="CE558" s="770"/>
      <c r="CF558" s="1753"/>
      <c r="CG558" s="1754"/>
      <c r="CH558" s="770"/>
      <c r="CI558" s="770"/>
      <c r="CJ558" s="770"/>
      <c r="CK558" s="770"/>
      <c r="CL558" s="770"/>
      <c r="CM558" s="770"/>
      <c r="CN558" s="770"/>
      <c r="CO558" s="770"/>
      <c r="CP558" s="770"/>
      <c r="CQ558" s="770"/>
      <c r="CR558" s="302"/>
      <c r="CS558" s="770"/>
      <c r="CT558" s="770"/>
      <c r="CU558" s="305"/>
      <c r="CV558" s="770"/>
      <c r="CW558" s="770"/>
      <c r="CX558" s="770"/>
      <c r="CY558" s="770"/>
      <c r="CZ558" s="770"/>
      <c r="DA558" s="306"/>
      <c r="DB558" s="770"/>
      <c r="DC558" s="770"/>
      <c r="DD558" s="770"/>
      <c r="DE558" s="300"/>
      <c r="DF558" s="770"/>
      <c r="DG558" s="770"/>
      <c r="DH558" s="770"/>
      <c r="DI558" s="770"/>
      <c r="DJ558" s="770"/>
      <c r="DK558" s="770"/>
      <c r="DL558" s="770"/>
      <c r="DM558" s="770"/>
      <c r="DN558" s="322"/>
      <c r="DO558" s="770"/>
      <c r="DP558" s="770"/>
      <c r="DQ558" s="770"/>
      <c r="DR558" s="770"/>
      <c r="DS558" s="307"/>
      <c r="DT558" s="770"/>
      <c r="DU558" s="770"/>
      <c r="DV558" s="770"/>
      <c r="DW558" s="306"/>
      <c r="DX558" s="306"/>
      <c r="DY558" s="770"/>
      <c r="DZ558" s="770"/>
      <c r="EA558" s="770"/>
      <c r="EB558" s="770"/>
      <c r="EC558" s="770"/>
      <c r="ED558" s="770"/>
      <c r="EE558" s="770"/>
      <c r="EF558" s="770"/>
      <c r="EG558" s="770"/>
      <c r="EH558" s="770"/>
      <c r="EI558" s="770"/>
      <c r="EJ558" s="770"/>
      <c r="EK558" s="770"/>
      <c r="EL558" s="770"/>
      <c r="EM558" s="770"/>
      <c r="EN558" s="770"/>
      <c r="EO558" s="770"/>
      <c r="EP558" s="94"/>
      <c r="EQ558" s="770"/>
      <c r="ER558" s="770"/>
      <c r="ES558" s="770"/>
      <c r="ET558" s="770"/>
      <c r="EU558" s="770"/>
      <c r="EV558" s="770"/>
      <c r="EW558" s="770"/>
      <c r="EX558" s="770"/>
      <c r="EY558" s="770"/>
      <c r="EZ558" s="770"/>
      <c r="FA558" s="770"/>
      <c r="FB558" s="770"/>
      <c r="FC558" s="770"/>
      <c r="FD558" s="302"/>
      <c r="FE558" s="770"/>
      <c r="FF558" s="770"/>
      <c r="FG558" s="770"/>
      <c r="FH558" s="770" t="s">
        <v>478</v>
      </c>
      <c r="FI558" s="770">
        <v>1</v>
      </c>
      <c r="FJ558" s="770"/>
      <c r="FK558" s="770"/>
      <c r="FL558" s="770"/>
      <c r="FM558" s="302"/>
      <c r="FN558" s="302"/>
      <c r="FO558" s="302"/>
      <c r="FP558" s="766" t="s">
        <v>1602</v>
      </c>
      <c r="FQ558" s="766" t="s">
        <v>1660</v>
      </c>
      <c r="FR558" s="770" t="s">
        <v>1214</v>
      </c>
      <c r="FS558" s="770"/>
      <c r="FT558" s="770"/>
      <c r="FU558" s="770"/>
      <c r="FV558" s="770"/>
      <c r="FW558" s="770"/>
      <c r="FX558" s="770"/>
      <c r="FY558" s="770"/>
      <c r="FZ558" s="770"/>
      <c r="GA558" s="770"/>
      <c r="GB558" s="770" t="s">
        <v>1734</v>
      </c>
      <c r="GC558" s="308"/>
      <c r="GD558" s="297">
        <v>2013</v>
      </c>
      <c r="GE558" s="770" t="s">
        <v>1214</v>
      </c>
      <c r="GF558" s="302"/>
      <c r="GG558" s="302"/>
      <c r="GH558" s="712" t="s">
        <v>1791</v>
      </c>
      <c r="GI558" s="770" t="s">
        <v>2352</v>
      </c>
      <c r="GJ558" s="770"/>
      <c r="GK558" s="770" t="s">
        <v>2345</v>
      </c>
      <c r="GL558" s="770"/>
      <c r="GM558" s="770"/>
      <c r="GN558" s="299">
        <v>150</v>
      </c>
      <c r="GO558" s="770"/>
      <c r="GP558" s="770"/>
      <c r="GQ558" s="770"/>
      <c r="GR558" s="770"/>
      <c r="GS558" s="770"/>
      <c r="GT558" s="770"/>
      <c r="GU558" s="770"/>
      <c r="GV558" s="770"/>
      <c r="GW558" s="770"/>
      <c r="GX558" s="770"/>
      <c r="GY558" s="770"/>
      <c r="GZ558" s="770"/>
      <c r="HA558" s="770"/>
      <c r="HB558" s="770"/>
      <c r="HC558" s="770"/>
      <c r="HD558" s="770"/>
      <c r="HE558" s="770"/>
      <c r="HF558" s="770"/>
      <c r="HG558" s="770"/>
      <c r="HH558" s="770"/>
      <c r="HI558" s="770" t="s">
        <v>1214</v>
      </c>
      <c r="HJ558" s="770"/>
      <c r="HK558" s="770"/>
      <c r="HL558" s="770" t="s">
        <v>1214</v>
      </c>
      <c r="HM558" s="770"/>
      <c r="HN558" s="770"/>
      <c r="HO558" s="770"/>
      <c r="HP558" s="770"/>
      <c r="HQ558" s="770"/>
      <c r="HR558" s="770"/>
      <c r="HS558" s="770"/>
      <c r="HT558" s="770"/>
      <c r="HU558" s="770"/>
      <c r="HV558" s="770"/>
      <c r="HW558" s="770"/>
      <c r="HX558" s="770"/>
      <c r="HY558" s="770"/>
      <c r="HZ558" s="770"/>
      <c r="IA558" s="770"/>
      <c r="IB558" s="14" t="e">
        <f>IF(#REF!&gt;0,IF(#REF!&lt;=10000,"Y",""),"")</f>
        <v>#REF!</v>
      </c>
      <c r="IC558" s="770"/>
      <c r="ID558" s="770"/>
      <c r="IE558" s="770"/>
      <c r="IF558" s="770"/>
      <c r="IG558" s="770"/>
      <c r="IH558" s="770"/>
      <c r="II558" s="770"/>
      <c r="IJ558" s="770"/>
      <c r="IK558" s="770"/>
      <c r="IL558" s="770"/>
      <c r="IM558" s="770"/>
      <c r="IN558" s="770"/>
      <c r="IO558" s="296"/>
      <c r="IP558" s="770"/>
      <c r="IQ558" s="770"/>
      <c r="IR558" s="770"/>
      <c r="IS558" s="770"/>
      <c r="IT558" s="770"/>
      <c r="IU558" s="770"/>
      <c r="IV558" s="770"/>
      <c r="IW558" s="770"/>
      <c r="IX558" s="770"/>
      <c r="IY558" s="770"/>
      <c r="IZ558" s="770"/>
      <c r="JA558" s="770"/>
      <c r="JB558" s="770"/>
      <c r="JC558" s="770"/>
      <c r="JD558" s="302"/>
      <c r="JE558" s="770"/>
      <c r="JF558" s="770"/>
      <c r="JG558" s="770"/>
      <c r="JH558" s="307"/>
      <c r="JI558" s="307"/>
      <c r="JJ558" s="770">
        <v>5</v>
      </c>
      <c r="JK558" s="1139" t="s">
        <v>13739</v>
      </c>
      <c r="JL558" s="770">
        <v>1</v>
      </c>
      <c r="JM558" s="770"/>
      <c r="JN558" s="770">
        <v>3</v>
      </c>
      <c r="JO558" s="770">
        <v>1</v>
      </c>
      <c r="JP558" s="770"/>
      <c r="JQ558" s="770"/>
      <c r="JR558" s="770"/>
      <c r="JS558" s="770"/>
      <c r="JT558" s="766">
        <f>SUM(JP558,JN558,JL558,JR558)</f>
        <v>4</v>
      </c>
      <c r="JU558" s="766">
        <f>SUM(JQ558,JO558,JM558,JS558)</f>
        <v>1</v>
      </c>
      <c r="JV558" s="712" t="str">
        <f>IF(JT558=KJ558,"ok","male")</f>
        <v>ok</v>
      </c>
      <c r="JW558" s="712" t="str">
        <f>IF(JU558=KK558,"ok","female")</f>
        <v>ok</v>
      </c>
      <c r="JX558" s="770">
        <v>1</v>
      </c>
      <c r="JY558" s="770"/>
      <c r="JZ558" s="770"/>
      <c r="KA558" s="770"/>
      <c r="KB558" s="770">
        <v>2</v>
      </c>
      <c r="KC558" s="770"/>
      <c r="KD558" s="770">
        <v>1</v>
      </c>
      <c r="KE558" s="770">
        <v>1</v>
      </c>
      <c r="KF558" s="770"/>
      <c r="KG558" s="770"/>
      <c r="KH558" s="770"/>
      <c r="KI558" s="770"/>
      <c r="KJ558" s="770">
        <f t="shared" si="153"/>
        <v>4</v>
      </c>
      <c r="KK558" s="770">
        <f t="shared" si="153"/>
        <v>1</v>
      </c>
      <c r="KL558" s="712" t="str">
        <f>IF(KJ558=LN558,"ok","male")</f>
        <v>ok</v>
      </c>
      <c r="KM558" s="712" t="str">
        <f>IF(KK558=LO558,"ok","female")</f>
        <v>ok</v>
      </c>
      <c r="KN558" s="770" t="s">
        <v>722</v>
      </c>
      <c r="KO558" s="770"/>
      <c r="KP558" s="770"/>
      <c r="KQ558" s="770"/>
      <c r="KR558" s="770"/>
      <c r="KS558" s="770"/>
      <c r="KT558" s="770">
        <v>1</v>
      </c>
      <c r="KU558" s="770"/>
      <c r="KV558" s="770">
        <v>1</v>
      </c>
      <c r="KW558" s="770"/>
      <c r="KX558" s="770"/>
      <c r="KY558" s="770"/>
      <c r="KZ558" s="770">
        <v>1</v>
      </c>
      <c r="LA558" s="770">
        <v>1</v>
      </c>
      <c r="LB558" s="770"/>
      <c r="LC558" s="770"/>
      <c r="LD558" s="770"/>
      <c r="LE558" s="770"/>
      <c r="LF558" s="770"/>
      <c r="LG558" s="770"/>
      <c r="LH558" s="770"/>
      <c r="LI558" s="770"/>
      <c r="LJ558" s="770">
        <v>1</v>
      </c>
      <c r="LK558" s="770"/>
      <c r="LL558" s="770"/>
      <c r="LM558" s="770"/>
      <c r="LN558" s="766">
        <f t="shared" si="159"/>
        <v>4</v>
      </c>
      <c r="LO558" s="766">
        <f t="shared" si="159"/>
        <v>1</v>
      </c>
      <c r="LP558" s="770">
        <v>3</v>
      </c>
      <c r="LQ558" s="770">
        <v>3</v>
      </c>
      <c r="LR558" s="770"/>
      <c r="LS558" s="770"/>
      <c r="LT558" s="712" t="str">
        <f>IF(LQ558=SUM(LU558:LW558),"OK","REV")</f>
        <v>OK</v>
      </c>
      <c r="LU558" s="770"/>
      <c r="LV558" s="770"/>
      <c r="LW558" s="770">
        <v>3</v>
      </c>
      <c r="LX558" s="769">
        <v>1</v>
      </c>
      <c r="LY558" s="766" t="str">
        <f t="shared" si="160"/>
        <v>within the BRGY</v>
      </c>
      <c r="LZ558" s="1709"/>
      <c r="MA558" s="1709"/>
      <c r="MB558" s="1709"/>
      <c r="MC558" s="1679">
        <f t="shared" si="158"/>
        <v>0</v>
      </c>
      <c r="MD558" s="1709">
        <f>SUM(6000,6000,6000)</f>
        <v>18000</v>
      </c>
      <c r="ME558" s="1709"/>
      <c r="MF558" s="1728"/>
      <c r="MG558" s="1680">
        <f>SUM(MD558:MF558)</f>
        <v>18000</v>
      </c>
      <c r="MH558" s="770" t="s">
        <v>13740</v>
      </c>
      <c r="MI558" s="302">
        <v>3000</v>
      </c>
      <c r="MJ558" s="302"/>
      <c r="MK558" s="302">
        <f>15000/12</f>
        <v>1250</v>
      </c>
      <c r="ML558" s="302">
        <v>2000</v>
      </c>
      <c r="MM558" s="302"/>
      <c r="MN558" s="302"/>
      <c r="MO558" s="302">
        <v>200</v>
      </c>
      <c r="MP558" s="302">
        <v>300</v>
      </c>
      <c r="MQ558" s="302">
        <v>50</v>
      </c>
      <c r="MR558" s="302">
        <v>100</v>
      </c>
      <c r="MS558" s="302">
        <v>1200</v>
      </c>
      <c r="MT558" s="302"/>
      <c r="MU558" s="302"/>
      <c r="MV558" s="302"/>
      <c r="MW558" s="302"/>
      <c r="MX558" s="302"/>
      <c r="MY558" s="1682">
        <f t="shared" si="147"/>
        <v>8100</v>
      </c>
      <c r="MZ558" s="770" t="s">
        <v>13370</v>
      </c>
      <c r="NA558" s="770" t="s">
        <v>1249</v>
      </c>
      <c r="NB558" s="770" t="s">
        <v>13016</v>
      </c>
      <c r="NC558" s="770" t="s">
        <v>13621</v>
      </c>
      <c r="ND558" s="770">
        <v>0</v>
      </c>
      <c r="NE558" s="770">
        <v>0</v>
      </c>
      <c r="NF558" s="770">
        <v>0</v>
      </c>
      <c r="NG558" s="770">
        <v>1</v>
      </c>
      <c r="NH558" s="770">
        <v>1</v>
      </c>
      <c r="NI558" s="770">
        <v>1</v>
      </c>
      <c r="NJ558" s="770">
        <v>1</v>
      </c>
      <c r="NK558" s="770">
        <v>0</v>
      </c>
      <c r="NL558" s="770">
        <v>1</v>
      </c>
      <c r="NM558" s="770">
        <v>0</v>
      </c>
      <c r="NN558" s="770">
        <v>0</v>
      </c>
      <c r="NO558" s="770">
        <v>0</v>
      </c>
      <c r="NP558" s="770">
        <v>0</v>
      </c>
      <c r="NQ558" s="770">
        <v>0</v>
      </c>
      <c r="NR558" s="770">
        <v>0</v>
      </c>
      <c r="NS558" s="770">
        <v>0</v>
      </c>
      <c r="NT558" s="770">
        <v>0</v>
      </c>
      <c r="NU558" s="770">
        <v>0</v>
      </c>
      <c r="NV558" s="770">
        <v>0</v>
      </c>
      <c r="NW558" s="770">
        <v>0</v>
      </c>
      <c r="NX558" s="770">
        <v>0</v>
      </c>
      <c r="NY558" s="770" t="s">
        <v>1208</v>
      </c>
      <c r="NZ558" s="770" t="s">
        <v>1208</v>
      </c>
      <c r="OA558" s="770" t="s">
        <v>1208</v>
      </c>
      <c r="OB558" s="770" t="s">
        <v>1208</v>
      </c>
      <c r="OC558" s="770" t="s">
        <v>1208</v>
      </c>
      <c r="OD558" s="770" t="s">
        <v>1208</v>
      </c>
      <c r="OE558" s="770"/>
      <c r="OF558" s="770"/>
      <c r="OG558" s="770"/>
      <c r="OH558" s="770"/>
      <c r="OI558" s="770"/>
      <c r="OJ558" s="770"/>
      <c r="OK558" s="770"/>
      <c r="OL558" s="770"/>
      <c r="OM558" s="770"/>
      <c r="ON558" s="770"/>
      <c r="OO558" s="770"/>
      <c r="OP558" s="770"/>
      <c r="OQ558" s="770"/>
      <c r="OR558" s="770"/>
      <c r="OS558" s="770"/>
      <c r="OT558" s="770"/>
      <c r="OU558" s="770"/>
      <c r="OV558" s="770"/>
      <c r="OW558" s="770"/>
      <c r="OX558" s="770"/>
      <c r="OY558" s="770"/>
      <c r="OZ558" s="770"/>
      <c r="PA558" s="770"/>
      <c r="PB558" s="770"/>
      <c r="PC558" s="770"/>
      <c r="PD558" s="770"/>
      <c r="PE558" s="770"/>
      <c r="PF558" s="770" t="s">
        <v>1208</v>
      </c>
      <c r="PG558" s="770"/>
      <c r="PH558" s="770" t="s">
        <v>1208</v>
      </c>
      <c r="PI558" s="770"/>
      <c r="PJ558" s="770" t="s">
        <v>1208</v>
      </c>
      <c r="PK558" s="770" t="s">
        <v>1208</v>
      </c>
      <c r="PL558" s="770"/>
      <c r="PM558" s="770"/>
      <c r="PN558" s="770"/>
      <c r="PO558" s="770"/>
      <c r="PP558" s="770"/>
      <c r="PQ558" s="770"/>
      <c r="PR558" s="770" t="s">
        <v>1208</v>
      </c>
      <c r="PS558" s="770" t="s">
        <v>1208</v>
      </c>
      <c r="PT558" s="770" t="s">
        <v>1208</v>
      </c>
      <c r="PU558" s="770"/>
      <c r="PV558" s="770"/>
      <c r="PW558" s="770"/>
      <c r="PX558" s="770"/>
      <c r="PY558" s="770"/>
      <c r="PZ558" s="770"/>
      <c r="QA558" s="770"/>
      <c r="QB558" s="770"/>
      <c r="QC558" s="770"/>
      <c r="QD558" s="770"/>
      <c r="QE558" s="770"/>
      <c r="QF558" s="770"/>
      <c r="QG558" s="770"/>
      <c r="QH558" s="770"/>
      <c r="QI558" s="770"/>
      <c r="QJ558" s="770"/>
      <c r="QK558" s="770"/>
      <c r="QL558" s="770"/>
      <c r="QM558" s="770"/>
      <c r="QN558" s="770"/>
      <c r="QO558" s="770"/>
      <c r="QP558" s="770"/>
      <c r="QQ558" s="770"/>
      <c r="QR558" s="770"/>
      <c r="QS558" s="770"/>
      <c r="QT558" s="770"/>
      <c r="QU558" s="770"/>
      <c r="QV558" s="770"/>
      <c r="QW558" s="770"/>
      <c r="QX558" s="770"/>
      <c r="QY558" s="770"/>
      <c r="QZ558" s="770"/>
      <c r="RA558" s="770"/>
      <c r="RB558" s="770" t="s">
        <v>1207</v>
      </c>
      <c r="RC558" s="770">
        <v>2014</v>
      </c>
      <c r="RD558" s="770" t="s">
        <v>13046</v>
      </c>
      <c r="RE558" s="770"/>
      <c r="RF558" s="304">
        <v>1</v>
      </c>
      <c r="RG558" s="770" t="s">
        <v>13047</v>
      </c>
      <c r="RH558" s="302">
        <v>0</v>
      </c>
      <c r="RI558" s="770">
        <v>1</v>
      </c>
      <c r="RJ558" s="770" t="s">
        <v>14060</v>
      </c>
      <c r="RK558" s="770" t="s">
        <v>13552</v>
      </c>
      <c r="RL558" s="1710"/>
      <c r="RM558" s="12"/>
      <c r="RN558" s="1711"/>
      <c r="RO558" s="132" t="s">
        <v>3840</v>
      </c>
      <c r="RP558" s="11"/>
      <c r="RQ558" s="11"/>
      <c r="RR558" s="17" t="s">
        <v>7421</v>
      </c>
      <c r="RS558" s="1139" t="s">
        <v>12980</v>
      </c>
      <c r="RT558" s="11"/>
      <c r="RU558" s="11"/>
      <c r="RV558" s="771" t="s">
        <v>13741</v>
      </c>
      <c r="RW558" s="11" t="s">
        <v>7895</v>
      </c>
      <c r="RX558" s="11" t="s">
        <v>2811</v>
      </c>
      <c r="RY558" s="11"/>
      <c r="RZ558" s="11" t="s">
        <v>1101</v>
      </c>
      <c r="SA558" s="771"/>
      <c r="SB558" s="11"/>
      <c r="SC558" s="11"/>
    </row>
    <row r="559" spans="1:497" ht="12.75" hidden="1" customHeight="1">
      <c r="A559" s="343" t="s">
        <v>7419</v>
      </c>
      <c r="B559" s="752" t="s">
        <v>7808</v>
      </c>
      <c r="C559" s="133" t="s">
        <v>3846</v>
      </c>
      <c r="D559" s="94" t="s">
        <v>3847</v>
      </c>
      <c r="E559" s="766" t="s">
        <v>3848</v>
      </c>
      <c r="F559" s="770" t="s">
        <v>28</v>
      </c>
      <c r="G559" s="770" t="s">
        <v>10</v>
      </c>
      <c r="H559" s="770"/>
      <c r="I559" s="295" t="s">
        <v>3849</v>
      </c>
      <c r="J559" s="94" t="s">
        <v>3847</v>
      </c>
      <c r="K559" s="766" t="s">
        <v>3850</v>
      </c>
      <c r="L559" s="766" t="s">
        <v>2777</v>
      </c>
      <c r="M559" s="770" t="s">
        <v>2402</v>
      </c>
      <c r="N559" s="770"/>
      <c r="O559" s="770" t="s">
        <v>3844</v>
      </c>
      <c r="P559" s="94" t="s">
        <v>3847</v>
      </c>
      <c r="Q559" s="1088">
        <v>32966</v>
      </c>
      <c r="R559" s="297">
        <v>27</v>
      </c>
      <c r="S559" s="770" t="s">
        <v>10</v>
      </c>
      <c r="T559" s="770"/>
      <c r="U559" s="295" t="s">
        <v>3849</v>
      </c>
      <c r="V559" s="770" t="s">
        <v>768</v>
      </c>
      <c r="W559" s="770"/>
      <c r="X559" s="770"/>
      <c r="Y559" s="770" t="s">
        <v>3848</v>
      </c>
      <c r="Z559" s="770" t="s">
        <v>708</v>
      </c>
      <c r="AA559" s="770" t="s">
        <v>709</v>
      </c>
      <c r="AB559" s="770" t="s">
        <v>7275</v>
      </c>
      <c r="AC559" s="770" t="s">
        <v>724</v>
      </c>
      <c r="AD559" s="770" t="s">
        <v>711</v>
      </c>
      <c r="AE559" s="770"/>
      <c r="AF559" s="770" t="s">
        <v>712</v>
      </c>
      <c r="AG559" s="766" t="s">
        <v>1095</v>
      </c>
      <c r="AH559" s="766" t="s">
        <v>1096</v>
      </c>
      <c r="AI559" s="770" t="s">
        <v>3294</v>
      </c>
      <c r="AJ559" s="770"/>
      <c r="AK559" s="770" t="s">
        <v>1097</v>
      </c>
      <c r="AL559" s="531">
        <v>35.380000000000003</v>
      </c>
      <c r="AM559" s="780">
        <v>4.6900000000000004</v>
      </c>
      <c r="AN559" s="532">
        <f>AM559/AL559</f>
        <v>0.1325607687959299</v>
      </c>
      <c r="AO559" s="766" t="s">
        <v>1098</v>
      </c>
      <c r="AP559" s="766" t="s">
        <v>5364</v>
      </c>
      <c r="AQ559" s="766" t="s">
        <v>7418</v>
      </c>
      <c r="AR559" s="766"/>
      <c r="AS559" s="770"/>
      <c r="AT559" s="770"/>
      <c r="AU559" s="770"/>
      <c r="AV559" s="770"/>
      <c r="AW559" s="770"/>
      <c r="AX559" s="13"/>
      <c r="AY559" s="770"/>
      <c r="AZ559" s="770"/>
      <c r="BA559" s="770"/>
      <c r="BB559" s="770"/>
      <c r="BC559" s="770"/>
      <c r="BD559" s="770"/>
      <c r="BE559" s="770" t="s">
        <v>1207</v>
      </c>
      <c r="BF559" s="302">
        <v>1900</v>
      </c>
      <c r="BG559" s="302">
        <f>BF559*12</f>
        <v>22800</v>
      </c>
      <c r="BH559" s="770"/>
      <c r="BI559" s="770"/>
      <c r="BJ559" s="770"/>
      <c r="BK559" s="770" t="s">
        <v>1095</v>
      </c>
      <c r="BL559" s="770" t="s">
        <v>3851</v>
      </c>
      <c r="BM559" s="766" t="s">
        <v>1096</v>
      </c>
      <c r="BN559" s="770" t="s">
        <v>1230</v>
      </c>
      <c r="BO559" s="766" t="s">
        <v>1239</v>
      </c>
      <c r="BP559" s="765">
        <v>35.380000000000003</v>
      </c>
      <c r="BQ559" s="773">
        <v>4.6900000000000004</v>
      </c>
      <c r="BR559" s="774">
        <f>BQ559/BP559</f>
        <v>0.1325607687959299</v>
      </c>
      <c r="BS559" s="766" t="s">
        <v>1242</v>
      </c>
      <c r="BT559" s="766" t="s">
        <v>2040</v>
      </c>
      <c r="BU559" s="770" t="s">
        <v>1249</v>
      </c>
      <c r="BV559" s="770" t="s">
        <v>1247</v>
      </c>
      <c r="BW559" s="770">
        <v>1968</v>
      </c>
      <c r="BX559" s="302"/>
      <c r="BY559" s="770"/>
      <c r="BZ559" s="302"/>
      <c r="CA559" s="770"/>
      <c r="CB559" s="770"/>
      <c r="CC559" s="770"/>
      <c r="CD559" s="770"/>
      <c r="CE559" s="770"/>
      <c r="CF559" s="1753"/>
      <c r="CG559" s="1754"/>
      <c r="CH559" s="770"/>
      <c r="CI559" s="770"/>
      <c r="CJ559" s="770"/>
      <c r="CK559" s="770"/>
      <c r="CL559" s="770"/>
      <c r="CM559" s="770"/>
      <c r="CN559" s="770"/>
      <c r="CO559" s="770"/>
      <c r="CP559" s="770"/>
      <c r="CQ559" s="770"/>
      <c r="CR559" s="302"/>
      <c r="CS559" s="770"/>
      <c r="CT559" s="770"/>
      <c r="CU559" s="305"/>
      <c r="CV559" s="770"/>
      <c r="CW559" s="770"/>
      <c r="CX559" s="770"/>
      <c r="CY559" s="770"/>
      <c r="CZ559" s="770"/>
      <c r="DA559" s="306"/>
      <c r="DB559" s="770"/>
      <c r="DC559" s="770"/>
      <c r="DD559" s="770"/>
      <c r="DE559" s="300"/>
      <c r="DF559" s="770"/>
      <c r="DG559" s="770"/>
      <c r="DH559" s="770"/>
      <c r="DI559" s="770"/>
      <c r="DJ559" s="770"/>
      <c r="DK559" s="770"/>
      <c r="DL559" s="770"/>
      <c r="DM559" s="770"/>
      <c r="DN559" s="322"/>
      <c r="DO559" s="770"/>
      <c r="DP559" s="770"/>
      <c r="DQ559" s="770"/>
      <c r="DR559" s="770"/>
      <c r="DS559" s="307"/>
      <c r="DT559" s="770"/>
      <c r="DU559" s="770"/>
      <c r="DV559" s="770"/>
      <c r="DW559" s="306"/>
      <c r="DX559" s="306"/>
      <c r="DY559" s="770"/>
      <c r="DZ559" s="770"/>
      <c r="EA559" s="770"/>
      <c r="EB559" s="770"/>
      <c r="EC559" s="770"/>
      <c r="ED559" s="770"/>
      <c r="EE559" s="770"/>
      <c r="EF559" s="770"/>
      <c r="EG559" s="770"/>
      <c r="EH559" s="770"/>
      <c r="EI559" s="770"/>
      <c r="EJ559" s="770"/>
      <c r="EK559" s="770"/>
      <c r="EL559" s="770"/>
      <c r="EM559" s="770"/>
      <c r="EN559" s="770"/>
      <c r="EO559" s="770"/>
      <c r="EP559" s="94"/>
      <c r="EQ559" s="770"/>
      <c r="ER559" s="770"/>
      <c r="ES559" s="770"/>
      <c r="ET559" s="770"/>
      <c r="EU559" s="770"/>
      <c r="EV559" s="770"/>
      <c r="EW559" s="770"/>
      <c r="EX559" s="770"/>
      <c r="EY559" s="770"/>
      <c r="EZ559" s="770"/>
      <c r="FA559" s="770"/>
      <c r="FB559" s="770"/>
      <c r="FC559" s="770"/>
      <c r="FD559" s="302"/>
      <c r="FE559" s="770"/>
      <c r="FF559" s="770"/>
      <c r="FG559" s="770"/>
      <c r="FH559" s="770" t="s">
        <v>478</v>
      </c>
      <c r="FI559" s="770">
        <v>1</v>
      </c>
      <c r="FJ559" s="770"/>
      <c r="FK559" s="770"/>
      <c r="FL559" s="770"/>
      <c r="FM559" s="302"/>
      <c r="FN559" s="302"/>
      <c r="FO559" s="302"/>
      <c r="FP559" s="770" t="s">
        <v>1602</v>
      </c>
      <c r="FQ559" s="770" t="s">
        <v>1660</v>
      </c>
      <c r="FR559" s="770" t="s">
        <v>1214</v>
      </c>
      <c r="FS559" s="770"/>
      <c r="FT559" s="770"/>
      <c r="FU559" s="770"/>
      <c r="FV559" s="770"/>
      <c r="FW559" s="770"/>
      <c r="FX559" s="770"/>
      <c r="FY559" s="770"/>
      <c r="FZ559" s="770"/>
      <c r="GA559" s="770"/>
      <c r="GB559" s="770" t="s">
        <v>1734</v>
      </c>
      <c r="GC559" s="308"/>
      <c r="GD559" s="297">
        <v>1968</v>
      </c>
      <c r="GE559" s="770" t="s">
        <v>1214</v>
      </c>
      <c r="GF559" s="302"/>
      <c r="GG559" s="302"/>
      <c r="GH559" s="770" t="s">
        <v>1791</v>
      </c>
      <c r="GI559" s="770"/>
      <c r="GJ559" s="770"/>
      <c r="GK559" s="770" t="s">
        <v>2345</v>
      </c>
      <c r="GL559" s="770" t="s">
        <v>2335</v>
      </c>
      <c r="GM559" s="770"/>
      <c r="GN559" s="299">
        <v>60</v>
      </c>
      <c r="GO559" s="770" t="s">
        <v>2770</v>
      </c>
      <c r="GP559" s="770" t="s">
        <v>1208</v>
      </c>
      <c r="GQ559" s="770" t="s">
        <v>1208</v>
      </c>
      <c r="GR559" s="770" t="s">
        <v>1208</v>
      </c>
      <c r="GS559" s="770" t="s">
        <v>1208</v>
      </c>
      <c r="GT559" s="770" t="s">
        <v>1208</v>
      </c>
      <c r="GU559" s="770"/>
      <c r="GV559" s="770"/>
      <c r="GW559" s="770" t="s">
        <v>1207</v>
      </c>
      <c r="GX559" s="770"/>
      <c r="GY559" s="770" t="s">
        <v>1208</v>
      </c>
      <c r="GZ559" s="770" t="s">
        <v>1208</v>
      </c>
      <c r="HA559" s="770" t="s">
        <v>1208</v>
      </c>
      <c r="HB559" s="770"/>
      <c r="HC559" s="770" t="s">
        <v>1208</v>
      </c>
      <c r="HD559" s="770" t="s">
        <v>1208</v>
      </c>
      <c r="HE559" s="770" t="s">
        <v>1208</v>
      </c>
      <c r="HF559" s="770"/>
      <c r="HG559" s="770"/>
      <c r="HH559" s="770"/>
      <c r="HI559" s="770" t="s">
        <v>1214</v>
      </c>
      <c r="HJ559" s="770"/>
      <c r="HK559" s="770"/>
      <c r="HL559" s="770"/>
      <c r="HM559" s="770"/>
      <c r="HN559" s="770"/>
      <c r="HO559" s="770"/>
      <c r="HP559" s="770"/>
      <c r="HQ559" s="770"/>
      <c r="HR559" s="770"/>
      <c r="HS559" s="770"/>
      <c r="HT559" s="770"/>
      <c r="HU559" s="770"/>
      <c r="HV559" s="770"/>
      <c r="HW559" s="770"/>
      <c r="HX559" s="770"/>
      <c r="HY559" s="770"/>
      <c r="HZ559" s="770"/>
      <c r="IA559" s="770"/>
      <c r="IB559" s="770"/>
      <c r="IC559" s="770"/>
      <c r="ID559" s="770"/>
      <c r="IE559" s="770"/>
      <c r="IF559" s="770" t="s">
        <v>3852</v>
      </c>
      <c r="IG559" s="770" t="s">
        <v>10</v>
      </c>
      <c r="IH559" s="770" t="s">
        <v>478</v>
      </c>
      <c r="II559" s="770" t="s">
        <v>3853</v>
      </c>
      <c r="IJ559" s="770" t="s">
        <v>1835</v>
      </c>
      <c r="IK559" s="770" t="s">
        <v>2639</v>
      </c>
      <c r="IL559" s="770" t="s">
        <v>3854</v>
      </c>
      <c r="IM559" s="770">
        <v>2009</v>
      </c>
      <c r="IN559" s="770" t="s">
        <v>3854</v>
      </c>
      <c r="IO559" s="296">
        <v>32966</v>
      </c>
      <c r="IP559" s="770" t="s">
        <v>478</v>
      </c>
      <c r="IQ559" s="769" t="s">
        <v>1882</v>
      </c>
      <c r="IR559" s="770" t="s">
        <v>2716</v>
      </c>
      <c r="IS559" s="770" t="s">
        <v>1879</v>
      </c>
      <c r="IT559" s="770"/>
      <c r="IU559" s="770" t="s">
        <v>1208</v>
      </c>
      <c r="IV559" s="770"/>
      <c r="IW559" s="770" t="s">
        <v>3847</v>
      </c>
      <c r="IX559" s="770"/>
      <c r="IY559" s="770" t="s">
        <v>3849</v>
      </c>
      <c r="IZ559" s="770"/>
      <c r="JA559" s="770"/>
      <c r="JB559" s="770"/>
      <c r="JC559" s="770"/>
      <c r="JD559" s="302">
        <v>1900</v>
      </c>
      <c r="JE559" s="770"/>
      <c r="JF559" s="770"/>
      <c r="JG559" s="770"/>
      <c r="JH559" s="307"/>
      <c r="JI559" s="307"/>
      <c r="JJ559" s="770"/>
      <c r="JK559" s="770"/>
      <c r="JL559" s="770"/>
      <c r="JM559" s="770"/>
      <c r="JN559" s="770"/>
      <c r="JO559" s="770"/>
      <c r="JP559" s="770"/>
      <c r="JQ559" s="770"/>
      <c r="JR559" s="770"/>
      <c r="JS559" s="770"/>
      <c r="JT559" s="766"/>
      <c r="JU559" s="766"/>
      <c r="JV559" s="766"/>
      <c r="JW559" s="766"/>
      <c r="JX559" s="770"/>
      <c r="JY559" s="770"/>
      <c r="JZ559" s="770"/>
      <c r="KA559" s="770"/>
      <c r="KB559" s="770"/>
      <c r="KC559" s="770"/>
      <c r="KD559" s="770"/>
      <c r="KE559" s="770"/>
      <c r="KF559" s="770"/>
      <c r="KG559" s="770"/>
      <c r="KH559" s="770"/>
      <c r="KI559" s="770"/>
      <c r="KJ559" s="770"/>
      <c r="KK559" s="770"/>
      <c r="KL559" s="770"/>
      <c r="KM559" s="770"/>
      <c r="KN559" s="770"/>
      <c r="KO559" s="770"/>
      <c r="KP559" s="770"/>
      <c r="KQ559" s="770"/>
      <c r="KR559" s="770"/>
      <c r="KS559" s="770"/>
      <c r="KT559" s="770"/>
      <c r="KU559" s="770"/>
      <c r="KV559" s="770"/>
      <c r="KW559" s="770"/>
      <c r="KX559" s="770"/>
      <c r="KY559" s="770"/>
      <c r="KZ559" s="770"/>
      <c r="LA559" s="770"/>
      <c r="LB559" s="770"/>
      <c r="LC559" s="770"/>
      <c r="LD559" s="770"/>
      <c r="LE559" s="770"/>
      <c r="LF559" s="770"/>
      <c r="LG559" s="770"/>
      <c r="LH559" s="770"/>
      <c r="LI559" s="770"/>
      <c r="LJ559" s="770"/>
      <c r="LK559" s="770"/>
      <c r="LL559" s="770"/>
      <c r="LM559" s="770"/>
      <c r="LN559" s="766"/>
      <c r="LO559" s="766"/>
      <c r="LP559" s="770"/>
      <c r="LQ559" s="770"/>
      <c r="LR559" s="770"/>
      <c r="LS559" s="770"/>
      <c r="LT559" s="770"/>
      <c r="LU559" s="770"/>
      <c r="LV559" s="770"/>
      <c r="LW559" s="770"/>
      <c r="LX559" s="769"/>
      <c r="LY559" s="766" t="str">
        <f t="shared" si="160"/>
        <v/>
      </c>
      <c r="LZ559" s="1709"/>
      <c r="MA559" s="1709"/>
      <c r="MB559" s="1709"/>
      <c r="MC559" s="1679">
        <f t="shared" si="158"/>
        <v>0</v>
      </c>
      <c r="MD559" s="1709"/>
      <c r="ME559" s="1709"/>
      <c r="MF559" s="1728"/>
      <c r="MG559" s="1680">
        <f t="shared" si="149"/>
        <v>0</v>
      </c>
      <c r="MH559" s="770"/>
      <c r="MI559" s="302"/>
      <c r="MJ559" s="302"/>
      <c r="MK559" s="302"/>
      <c r="ML559" s="302"/>
      <c r="MM559" s="302"/>
      <c r="MN559" s="302"/>
      <c r="MO559" s="302"/>
      <c r="MP559" s="302"/>
      <c r="MQ559" s="302"/>
      <c r="MR559" s="302"/>
      <c r="MS559" s="302"/>
      <c r="MT559" s="302"/>
      <c r="MU559" s="302"/>
      <c r="MV559" s="302"/>
      <c r="MW559" s="302"/>
      <c r="MX559" s="302"/>
      <c r="MY559" s="1682">
        <f t="shared" si="147"/>
        <v>0</v>
      </c>
      <c r="MZ559" s="770"/>
      <c r="NA559" s="770"/>
      <c r="NB559" s="770"/>
      <c r="NC559" s="770"/>
      <c r="ND559" s="770"/>
      <c r="NE559" s="770"/>
      <c r="NF559" s="770"/>
      <c r="NG559" s="770"/>
      <c r="NH559" s="770"/>
      <c r="NI559" s="770"/>
      <c r="NJ559" s="770"/>
      <c r="NK559" s="770"/>
      <c r="NL559" s="770"/>
      <c r="NM559" s="770"/>
      <c r="NN559" s="770"/>
      <c r="NO559" s="770"/>
      <c r="NP559" s="770"/>
      <c r="NQ559" s="770"/>
      <c r="NR559" s="770"/>
      <c r="NS559" s="770"/>
      <c r="NT559" s="770"/>
      <c r="NU559" s="770"/>
      <c r="NV559" s="770"/>
      <c r="NW559" s="770"/>
      <c r="NX559" s="770"/>
      <c r="NY559" s="770"/>
      <c r="NZ559" s="770"/>
      <c r="OA559" s="770"/>
      <c r="OB559" s="770"/>
      <c r="OC559" s="770"/>
      <c r="OD559" s="770"/>
      <c r="OE559" s="770"/>
      <c r="OF559" s="770"/>
      <c r="OG559" s="770"/>
      <c r="OH559" s="770"/>
      <c r="OI559" s="770"/>
      <c r="OJ559" s="770"/>
      <c r="OK559" s="770"/>
      <c r="OL559" s="770"/>
      <c r="OM559" s="770"/>
      <c r="ON559" s="770"/>
      <c r="OO559" s="770"/>
      <c r="OP559" s="770"/>
      <c r="OQ559" s="770"/>
      <c r="OR559" s="770"/>
      <c r="OS559" s="770"/>
      <c r="OT559" s="770"/>
      <c r="OU559" s="770"/>
      <c r="OV559" s="770"/>
      <c r="OW559" s="770"/>
      <c r="OX559" s="770"/>
      <c r="OY559" s="770"/>
      <c r="OZ559" s="770"/>
      <c r="PA559" s="770"/>
      <c r="PB559" s="770"/>
      <c r="PC559" s="770"/>
      <c r="PD559" s="770"/>
      <c r="PE559" s="770"/>
      <c r="PF559" s="770"/>
      <c r="PG559" s="770"/>
      <c r="PH559" s="770"/>
      <c r="PI559" s="770"/>
      <c r="PJ559" s="770"/>
      <c r="PK559" s="770"/>
      <c r="PL559" s="770"/>
      <c r="PM559" s="770"/>
      <c r="PN559" s="770"/>
      <c r="PO559" s="770"/>
      <c r="PP559" s="770"/>
      <c r="PQ559" s="770"/>
      <c r="PR559" s="770"/>
      <c r="PS559" s="770"/>
      <c r="PT559" s="770"/>
      <c r="PU559" s="770"/>
      <c r="PV559" s="770"/>
      <c r="PW559" s="770"/>
      <c r="PX559" s="770"/>
      <c r="PY559" s="770"/>
      <c r="PZ559" s="770"/>
      <c r="QA559" s="770"/>
      <c r="QB559" s="770"/>
      <c r="QC559" s="770"/>
      <c r="QD559" s="770"/>
      <c r="QE559" s="770"/>
      <c r="QF559" s="770"/>
      <c r="QG559" s="770"/>
      <c r="QH559" s="770"/>
      <c r="QI559" s="770"/>
      <c r="QJ559" s="770"/>
      <c r="QK559" s="770"/>
      <c r="QL559" s="770"/>
      <c r="QM559" s="770"/>
      <c r="QN559" s="770"/>
      <c r="QO559" s="770"/>
      <c r="QP559" s="770"/>
      <c r="QQ559" s="770"/>
      <c r="QR559" s="770"/>
      <c r="QS559" s="770"/>
      <c r="QT559" s="770"/>
      <c r="QU559" s="770"/>
      <c r="QV559" s="770"/>
      <c r="QW559" s="770"/>
      <c r="QX559" s="770"/>
      <c r="QY559" s="770"/>
      <c r="QZ559" s="770"/>
      <c r="RA559" s="770"/>
      <c r="RB559" s="770"/>
      <c r="RC559" s="770"/>
      <c r="RD559" s="770"/>
      <c r="RE559" s="770"/>
      <c r="RF559" s="304"/>
      <c r="RG559" s="770"/>
      <c r="RH559" s="302"/>
      <c r="RI559" s="770"/>
      <c r="RJ559" s="770" t="s">
        <v>3854</v>
      </c>
      <c r="RK559" s="770" t="s">
        <v>13544</v>
      </c>
      <c r="RL559" s="1710"/>
      <c r="RM559" s="12"/>
      <c r="RN559" s="1711"/>
      <c r="RO559" s="133" t="s">
        <v>3846</v>
      </c>
      <c r="RP559" s="11"/>
      <c r="RQ559" s="11"/>
      <c r="RR559" s="17"/>
      <c r="RS559" s="767"/>
      <c r="RT559" s="11"/>
      <c r="RU559" s="11"/>
      <c r="RV559" s="771" t="s">
        <v>7419</v>
      </c>
      <c r="RW559" s="11" t="s">
        <v>7503</v>
      </c>
      <c r="RX559" s="11" t="s">
        <v>2826</v>
      </c>
      <c r="RY559" s="11"/>
      <c r="RZ559" s="11" t="s">
        <v>1101</v>
      </c>
      <c r="SA559" s="771"/>
      <c r="SB559" s="11"/>
      <c r="SC559" s="11"/>
    </row>
    <row r="560" spans="1:497" ht="12.75" customHeight="1">
      <c r="A560" s="17" t="s">
        <v>7421</v>
      </c>
      <c r="B560" s="752" t="s">
        <v>7404</v>
      </c>
      <c r="C560" s="132" t="s">
        <v>3855</v>
      </c>
      <c r="D560" s="94" t="s">
        <v>3856</v>
      </c>
      <c r="E560" s="766" t="s">
        <v>3857</v>
      </c>
      <c r="F560" s="770" t="s">
        <v>28</v>
      </c>
      <c r="G560" s="770" t="s">
        <v>18</v>
      </c>
      <c r="H560" s="770"/>
      <c r="I560" s="295"/>
      <c r="J560" s="94" t="s">
        <v>3856</v>
      </c>
      <c r="K560" s="766" t="s">
        <v>3858</v>
      </c>
      <c r="L560" s="766" t="s">
        <v>2755</v>
      </c>
      <c r="M560" s="770" t="s">
        <v>2402</v>
      </c>
      <c r="N560" s="770"/>
      <c r="O560" s="770" t="s">
        <v>3844</v>
      </c>
      <c r="P560" s="94" t="s">
        <v>3859</v>
      </c>
      <c r="Q560" s="1088">
        <v>28624</v>
      </c>
      <c r="R560" s="297">
        <v>39</v>
      </c>
      <c r="S560" s="770" t="s">
        <v>18</v>
      </c>
      <c r="T560" s="770"/>
      <c r="U560" s="295"/>
      <c r="V560" s="770" t="s">
        <v>722</v>
      </c>
      <c r="W560" s="770"/>
      <c r="X560" s="770"/>
      <c r="Y560" s="770" t="s">
        <v>3857</v>
      </c>
      <c r="Z560" s="770" t="s">
        <v>708</v>
      </c>
      <c r="AA560" s="770" t="s">
        <v>709</v>
      </c>
      <c r="AB560" s="12" t="s">
        <v>710</v>
      </c>
      <c r="AC560" s="770"/>
      <c r="AD560" s="770" t="s">
        <v>711</v>
      </c>
      <c r="AE560" s="770"/>
      <c r="AF560" s="770" t="s">
        <v>712</v>
      </c>
      <c r="AG560" s="766" t="s">
        <v>1095</v>
      </c>
      <c r="AH560" s="766" t="s">
        <v>1096</v>
      </c>
      <c r="AI560" s="770" t="s">
        <v>3294</v>
      </c>
      <c r="AJ560" s="770" t="s">
        <v>1137</v>
      </c>
      <c r="AK560" s="770" t="s">
        <v>1101</v>
      </c>
      <c r="AL560" s="531">
        <v>18.48</v>
      </c>
      <c r="AM560" s="780">
        <v>18.48</v>
      </c>
      <c r="AN560" s="532">
        <f>AM560/AL560</f>
        <v>1</v>
      </c>
      <c r="AO560" s="766" t="s">
        <v>1122</v>
      </c>
      <c r="AP560" s="766"/>
      <c r="AQ560" s="766"/>
      <c r="AR560" s="766"/>
      <c r="AS560" s="769"/>
      <c r="AT560" s="770"/>
      <c r="AU560" s="770"/>
      <c r="AV560" s="770"/>
      <c r="AW560" s="770"/>
      <c r="AX560" s="770"/>
      <c r="AY560" s="770"/>
      <c r="AZ560" s="770"/>
      <c r="BA560" s="770"/>
      <c r="BB560" s="770"/>
      <c r="BC560" s="770"/>
      <c r="BD560" s="770"/>
      <c r="BE560" s="770"/>
      <c r="BF560" s="302"/>
      <c r="BG560" s="302"/>
      <c r="BH560" s="770"/>
      <c r="BI560" s="770"/>
      <c r="BJ560" s="770"/>
      <c r="BK560" s="770" t="s">
        <v>1095</v>
      </c>
      <c r="BL560" s="770" t="s">
        <v>3860</v>
      </c>
      <c r="BM560" s="766" t="s">
        <v>1096</v>
      </c>
      <c r="BN560" s="770" t="s">
        <v>1230</v>
      </c>
      <c r="BO560" s="766" t="s">
        <v>1239</v>
      </c>
      <c r="BP560" s="1109">
        <v>18.48</v>
      </c>
      <c r="BQ560" s="773">
        <v>18.48</v>
      </c>
      <c r="BR560" s="774">
        <f>BQ560/BP560</f>
        <v>1</v>
      </c>
      <c r="BS560" s="766" t="s">
        <v>1257</v>
      </c>
      <c r="BT560" s="766" t="s">
        <v>8133</v>
      </c>
      <c r="BU560" s="770" t="s">
        <v>1249</v>
      </c>
      <c r="BV560" s="766" t="s">
        <v>1243</v>
      </c>
      <c r="BW560" s="770">
        <v>1978</v>
      </c>
      <c r="BX560" s="302"/>
      <c r="BY560" s="770"/>
      <c r="BZ560" s="302"/>
      <c r="CA560" s="770"/>
      <c r="CB560" s="770"/>
      <c r="CC560" s="770"/>
      <c r="CD560" s="770"/>
      <c r="CE560" s="770"/>
      <c r="CF560" s="1753"/>
      <c r="CG560" s="1754"/>
      <c r="CH560" s="770"/>
      <c r="CI560" s="770"/>
      <c r="CJ560" s="770"/>
      <c r="CK560" s="770"/>
      <c r="CL560" s="770"/>
      <c r="CM560" s="770"/>
      <c r="CN560" s="770"/>
      <c r="CO560" s="770"/>
      <c r="CP560" s="770"/>
      <c r="CQ560" s="770"/>
      <c r="CR560" s="302"/>
      <c r="CS560" s="770"/>
      <c r="CT560" s="770"/>
      <c r="CU560" s="305"/>
      <c r="CV560" s="770"/>
      <c r="CW560" s="770"/>
      <c r="CX560" s="770"/>
      <c r="CY560" s="770"/>
      <c r="CZ560" s="770"/>
      <c r="DA560" s="306"/>
      <c r="DB560" s="770"/>
      <c r="DC560" s="770"/>
      <c r="DD560" s="770"/>
      <c r="DE560" s="300"/>
      <c r="DF560" s="770"/>
      <c r="DG560" s="770"/>
      <c r="DH560" s="770"/>
      <c r="DI560" s="770"/>
      <c r="DJ560" s="770"/>
      <c r="DK560" s="770"/>
      <c r="DL560" s="770"/>
      <c r="DM560" s="770"/>
      <c r="DN560" s="322"/>
      <c r="DO560" s="770"/>
      <c r="DP560" s="770"/>
      <c r="DQ560" s="770"/>
      <c r="DR560" s="770"/>
      <c r="DS560" s="307"/>
      <c r="DT560" s="770"/>
      <c r="DU560" s="770"/>
      <c r="DV560" s="770"/>
      <c r="DW560" s="306"/>
      <c r="DX560" s="306"/>
      <c r="DY560" s="770"/>
      <c r="DZ560" s="770"/>
      <c r="EA560" s="770"/>
      <c r="EB560" s="770"/>
      <c r="EC560" s="770"/>
      <c r="ED560" s="770"/>
      <c r="EE560" s="770"/>
      <c r="EF560" s="770"/>
      <c r="EG560" s="770"/>
      <c r="EH560" s="770"/>
      <c r="EI560" s="770"/>
      <c r="EJ560" s="770"/>
      <c r="EK560" s="770"/>
      <c r="EL560" s="770"/>
      <c r="EM560" s="770"/>
      <c r="EN560" s="770"/>
      <c r="EO560" s="770"/>
      <c r="EP560" s="94"/>
      <c r="EQ560" s="770"/>
      <c r="ER560" s="770"/>
      <c r="ES560" s="770"/>
      <c r="ET560" s="770"/>
      <c r="EU560" s="770"/>
      <c r="EV560" s="770"/>
      <c r="EW560" s="770"/>
      <c r="EX560" s="770"/>
      <c r="EY560" s="770"/>
      <c r="EZ560" s="770"/>
      <c r="FA560" s="770"/>
      <c r="FB560" s="770"/>
      <c r="FC560" s="770"/>
      <c r="FD560" s="302"/>
      <c r="FE560" s="770"/>
      <c r="FF560" s="770"/>
      <c r="FG560" s="770"/>
      <c r="FH560" s="770" t="s">
        <v>478</v>
      </c>
      <c r="FI560" s="770">
        <v>1</v>
      </c>
      <c r="FJ560" s="770"/>
      <c r="FK560" s="770"/>
      <c r="FL560" s="770"/>
      <c r="FM560" s="302"/>
      <c r="FN560" s="302"/>
      <c r="FO560" s="302"/>
      <c r="FP560" s="766" t="s">
        <v>1602</v>
      </c>
      <c r="FQ560" s="766" t="s">
        <v>1660</v>
      </c>
      <c r="FR560" s="770" t="s">
        <v>1214</v>
      </c>
      <c r="FS560" s="770"/>
      <c r="FT560" s="770"/>
      <c r="FU560" s="770"/>
      <c r="FV560" s="770"/>
      <c r="FW560" s="770"/>
      <c r="FX560" s="770"/>
      <c r="FY560" s="770"/>
      <c r="FZ560" s="770"/>
      <c r="GA560" s="770"/>
      <c r="GB560" s="770" t="s">
        <v>3861</v>
      </c>
      <c r="GC560" s="308"/>
      <c r="GD560" s="297">
        <v>1978</v>
      </c>
      <c r="GE560" s="770" t="s">
        <v>1214</v>
      </c>
      <c r="GF560" s="302"/>
      <c r="GG560" s="302"/>
      <c r="GH560" s="712" t="s">
        <v>1791</v>
      </c>
      <c r="GI560" s="770" t="s">
        <v>2352</v>
      </c>
      <c r="GJ560" s="770"/>
      <c r="GK560" s="770" t="s">
        <v>2345</v>
      </c>
      <c r="GL560" s="766" t="s">
        <v>2693</v>
      </c>
      <c r="GM560" s="770"/>
      <c r="GN560" s="299" t="s">
        <v>3862</v>
      </c>
      <c r="GO560" s="770" t="s">
        <v>2770</v>
      </c>
      <c r="GP560" s="770" t="s">
        <v>1208</v>
      </c>
      <c r="GQ560" s="770"/>
      <c r="GR560" s="770"/>
      <c r="GS560" s="770"/>
      <c r="GT560" s="770"/>
      <c r="GU560" s="770"/>
      <c r="GV560" s="770"/>
      <c r="GW560" s="770" t="s">
        <v>1207</v>
      </c>
      <c r="GX560" s="770"/>
      <c r="GY560" s="770" t="s">
        <v>1208</v>
      </c>
      <c r="GZ560" s="770" t="s">
        <v>1208</v>
      </c>
      <c r="HA560" s="770" t="s">
        <v>1208</v>
      </c>
      <c r="HB560" s="770" t="s">
        <v>1208</v>
      </c>
      <c r="HC560" s="770" t="s">
        <v>1208</v>
      </c>
      <c r="HD560" s="770" t="s">
        <v>1208</v>
      </c>
      <c r="HE560" s="770"/>
      <c r="HF560" s="770"/>
      <c r="HG560" s="770"/>
      <c r="HH560" s="770"/>
      <c r="HI560" s="770" t="s">
        <v>1214</v>
      </c>
      <c r="HJ560" s="770"/>
      <c r="HK560" s="770"/>
      <c r="HL560" s="770" t="s">
        <v>1214</v>
      </c>
      <c r="HM560" s="770"/>
      <c r="HN560" s="770"/>
      <c r="HO560" s="770"/>
      <c r="HP560" s="770"/>
      <c r="HQ560" s="770"/>
      <c r="HR560" s="770"/>
      <c r="HS560" s="770"/>
      <c r="HT560" s="770"/>
      <c r="HU560" s="770"/>
      <c r="HV560" s="770"/>
      <c r="HW560" s="770"/>
      <c r="HX560" s="770"/>
      <c r="HY560" s="770"/>
      <c r="HZ560" s="770"/>
      <c r="IA560" s="770"/>
      <c r="IB560" s="14" t="e">
        <f>IF(#REF!&gt;0,IF(#REF!&lt;=10000,"Y",""),"")</f>
        <v>#REF!</v>
      </c>
      <c r="IC560" s="770" t="s">
        <v>1207</v>
      </c>
      <c r="ID560" s="770"/>
      <c r="IE560" s="770"/>
      <c r="IF560" s="770"/>
      <c r="IG560" s="770"/>
      <c r="IH560" s="770"/>
      <c r="II560" s="770"/>
      <c r="IJ560" s="770"/>
      <c r="IK560" s="770"/>
      <c r="IL560" s="770"/>
      <c r="IM560" s="770"/>
      <c r="IN560" s="770"/>
      <c r="IO560" s="296"/>
      <c r="IP560" s="770"/>
      <c r="IQ560" s="770"/>
      <c r="IR560" s="770"/>
      <c r="IS560" s="770"/>
      <c r="IT560" s="770"/>
      <c r="IU560" s="770"/>
      <c r="IV560" s="770"/>
      <c r="IW560" s="770"/>
      <c r="IX560" s="770"/>
      <c r="IY560" s="770"/>
      <c r="IZ560" s="770"/>
      <c r="JA560" s="770"/>
      <c r="JB560" s="770"/>
      <c r="JC560" s="770"/>
      <c r="JD560" s="302"/>
      <c r="JE560" s="770"/>
      <c r="JF560" s="770"/>
      <c r="JG560" s="770"/>
      <c r="JH560" s="307"/>
      <c r="JI560" s="307"/>
      <c r="JJ560" s="770">
        <v>7</v>
      </c>
      <c r="JK560" s="1139" t="s">
        <v>3863</v>
      </c>
      <c r="JL560" s="770">
        <v>1</v>
      </c>
      <c r="JM560" s="770"/>
      <c r="JN560" s="770">
        <v>5</v>
      </c>
      <c r="JO560" s="770">
        <v>1</v>
      </c>
      <c r="JP560" s="770"/>
      <c r="JQ560" s="770"/>
      <c r="JR560" s="770"/>
      <c r="JS560" s="770"/>
      <c r="JT560" s="766">
        <f t="shared" ref="JT560:JU564" si="161">SUM(JP560,JN560,JL560,JR560)</f>
        <v>6</v>
      </c>
      <c r="JU560" s="766">
        <f t="shared" si="161"/>
        <v>1</v>
      </c>
      <c r="JV560" s="712" t="str">
        <f>IF(JT560=KJ560,"ok","male")</f>
        <v>ok</v>
      </c>
      <c r="JW560" s="712" t="str">
        <f>IF(JU560=KK560,"ok","female")</f>
        <v>ok</v>
      </c>
      <c r="JX560" s="770"/>
      <c r="JY560" s="770"/>
      <c r="JZ560" s="770">
        <v>1</v>
      </c>
      <c r="KA560" s="770"/>
      <c r="KB560" s="770">
        <v>3</v>
      </c>
      <c r="KC560" s="770"/>
      <c r="KD560" s="770">
        <v>2</v>
      </c>
      <c r="KE560" s="770"/>
      <c r="KF560" s="770"/>
      <c r="KG560" s="770">
        <v>1</v>
      </c>
      <c r="KH560" s="770"/>
      <c r="KI560" s="770"/>
      <c r="KJ560" s="770">
        <f t="shared" si="153"/>
        <v>6</v>
      </c>
      <c r="KK560" s="770">
        <f t="shared" si="153"/>
        <v>1</v>
      </c>
      <c r="KL560" s="712" t="str">
        <f>IF(KJ560=LN560,"ok","male")</f>
        <v>ok</v>
      </c>
      <c r="KM560" s="712" t="str">
        <f>IF(KK560=LO560,"ok","female")</f>
        <v>ok</v>
      </c>
      <c r="KN560" s="770" t="s">
        <v>722</v>
      </c>
      <c r="KO560" s="770"/>
      <c r="KP560" s="770"/>
      <c r="KQ560" s="770"/>
      <c r="KR560" s="770"/>
      <c r="KS560" s="770"/>
      <c r="KT560" s="770">
        <v>1</v>
      </c>
      <c r="KU560" s="770"/>
      <c r="KV560" s="770"/>
      <c r="KW560" s="770"/>
      <c r="KX560" s="770"/>
      <c r="KY560" s="770"/>
      <c r="KZ560" s="770">
        <v>3</v>
      </c>
      <c r="LA560" s="770">
        <v>1</v>
      </c>
      <c r="LB560" s="770">
        <v>1</v>
      </c>
      <c r="LC560" s="770"/>
      <c r="LD560" s="770">
        <v>1</v>
      </c>
      <c r="LE560" s="770"/>
      <c r="LF560" s="770"/>
      <c r="LG560" s="770"/>
      <c r="LH560" s="770"/>
      <c r="LI560" s="770"/>
      <c r="LJ560" s="770"/>
      <c r="LK560" s="770"/>
      <c r="LL560" s="770"/>
      <c r="LM560" s="770"/>
      <c r="LN560" s="766">
        <f t="shared" si="159"/>
        <v>6</v>
      </c>
      <c r="LO560" s="766">
        <f t="shared" si="159"/>
        <v>1</v>
      </c>
      <c r="LP560" s="770">
        <v>5</v>
      </c>
      <c r="LQ560" s="770">
        <v>5</v>
      </c>
      <c r="LR560" s="770"/>
      <c r="LS560" s="770"/>
      <c r="LT560" s="712" t="str">
        <f>IF(LQ560=SUM(LU560:LW560),"OK","REV")</f>
        <v>OK</v>
      </c>
      <c r="LU560" s="770">
        <v>3</v>
      </c>
      <c r="LV560" s="770">
        <v>2</v>
      </c>
      <c r="LW560" s="770"/>
      <c r="LX560" s="769">
        <v>1</v>
      </c>
      <c r="LY560" s="766" t="str">
        <f t="shared" si="160"/>
        <v>within the BRGY</v>
      </c>
      <c r="LZ560" s="1709">
        <v>1020</v>
      </c>
      <c r="MA560" s="1709"/>
      <c r="MB560" s="1709"/>
      <c r="MC560" s="1679">
        <f t="shared" si="158"/>
        <v>1020</v>
      </c>
      <c r="MD560" s="1709"/>
      <c r="ME560" s="1709"/>
      <c r="MF560" s="1728"/>
      <c r="MG560" s="1680">
        <v>0</v>
      </c>
      <c r="MH560" s="770"/>
      <c r="MI560" s="302">
        <v>15000</v>
      </c>
      <c r="MJ560" s="302">
        <v>4200</v>
      </c>
      <c r="MK560" s="302">
        <v>835</v>
      </c>
      <c r="ML560" s="302">
        <v>1900</v>
      </c>
      <c r="MM560" s="302">
        <v>3900</v>
      </c>
      <c r="MN560" s="302"/>
      <c r="MO560" s="302">
        <v>2000</v>
      </c>
      <c r="MP560" s="302">
        <v>1200</v>
      </c>
      <c r="MQ560" s="302">
        <v>340</v>
      </c>
      <c r="MR560" s="302">
        <v>1200</v>
      </c>
      <c r="MS560" s="302">
        <v>835</v>
      </c>
      <c r="MT560" s="302"/>
      <c r="MU560" s="302"/>
      <c r="MV560" s="302"/>
      <c r="MW560" s="302"/>
      <c r="MX560" s="302"/>
      <c r="MY560" s="1682">
        <f t="shared" si="147"/>
        <v>31410</v>
      </c>
      <c r="MZ560" s="770" t="s">
        <v>13214</v>
      </c>
      <c r="NA560" s="770" t="s">
        <v>13005</v>
      </c>
      <c r="NB560" s="770" t="s">
        <v>13016</v>
      </c>
      <c r="NC560" s="770" t="s">
        <v>13602</v>
      </c>
      <c r="ND560" s="770">
        <v>0</v>
      </c>
      <c r="NE560" s="770">
        <v>0</v>
      </c>
      <c r="NF560" s="770">
        <v>0</v>
      </c>
      <c r="NG560" s="770">
        <v>4</v>
      </c>
      <c r="NH560" s="770">
        <v>1</v>
      </c>
      <c r="NI560" s="770">
        <v>2</v>
      </c>
      <c r="NJ560" s="770">
        <v>1</v>
      </c>
      <c r="NK560" s="770">
        <v>0</v>
      </c>
      <c r="NL560" s="770">
        <v>1</v>
      </c>
      <c r="NM560" s="770">
        <v>1</v>
      </c>
      <c r="NN560" s="770">
        <v>0</v>
      </c>
      <c r="NO560" s="770">
        <v>0</v>
      </c>
      <c r="NP560" s="770">
        <v>0</v>
      </c>
      <c r="NQ560" s="770">
        <v>0</v>
      </c>
      <c r="NR560" s="770">
        <v>0</v>
      </c>
      <c r="NS560" s="770">
        <v>0</v>
      </c>
      <c r="NT560" s="770">
        <v>0</v>
      </c>
      <c r="NU560" s="770">
        <v>0</v>
      </c>
      <c r="NV560" s="770">
        <v>0</v>
      </c>
      <c r="NW560" s="770">
        <v>0</v>
      </c>
      <c r="NX560" s="770">
        <v>0</v>
      </c>
      <c r="NY560" s="770" t="s">
        <v>1208</v>
      </c>
      <c r="NZ560" s="770" t="s">
        <v>1208</v>
      </c>
      <c r="OA560" s="770" t="s">
        <v>1208</v>
      </c>
      <c r="OB560" s="770" t="s">
        <v>1208</v>
      </c>
      <c r="OC560" s="770" t="s">
        <v>1208</v>
      </c>
      <c r="OD560" s="770"/>
      <c r="OE560" s="770"/>
      <c r="OF560" s="770"/>
      <c r="OG560" s="770"/>
      <c r="OH560" s="770"/>
      <c r="OI560" s="770"/>
      <c r="OJ560" s="770"/>
      <c r="OK560" s="770"/>
      <c r="OL560" s="770"/>
      <c r="OM560" s="770"/>
      <c r="ON560" s="770"/>
      <c r="OO560" s="770"/>
      <c r="OP560" s="770"/>
      <c r="OQ560" s="770"/>
      <c r="OR560" s="770"/>
      <c r="OS560" s="770"/>
      <c r="OT560" s="770"/>
      <c r="OU560" s="770"/>
      <c r="OV560" s="770"/>
      <c r="OW560" s="770"/>
      <c r="OX560" s="770"/>
      <c r="OY560" s="770"/>
      <c r="OZ560" s="770"/>
      <c r="PA560" s="770"/>
      <c r="PB560" s="770"/>
      <c r="PC560" s="770"/>
      <c r="PD560" s="770"/>
      <c r="PE560" s="770"/>
      <c r="PF560" s="770"/>
      <c r="PG560" s="770"/>
      <c r="PH560" s="770"/>
      <c r="PI560" s="770"/>
      <c r="PJ560" s="770"/>
      <c r="PK560" s="770" t="s">
        <v>1208</v>
      </c>
      <c r="PL560" s="770"/>
      <c r="PM560" s="770"/>
      <c r="PN560" s="770"/>
      <c r="PO560" s="770"/>
      <c r="PP560" s="770"/>
      <c r="PQ560" s="770"/>
      <c r="PR560" s="770"/>
      <c r="PS560" s="770"/>
      <c r="PT560" s="770"/>
      <c r="PU560" s="770"/>
      <c r="PV560" s="770"/>
      <c r="PW560" s="770"/>
      <c r="PX560" s="770"/>
      <c r="PY560" s="770"/>
      <c r="PZ560" s="770"/>
      <c r="QA560" s="770"/>
      <c r="QB560" s="770"/>
      <c r="QC560" s="770"/>
      <c r="QD560" s="770"/>
      <c r="QE560" s="770"/>
      <c r="QF560" s="770"/>
      <c r="QG560" s="770"/>
      <c r="QH560" s="770"/>
      <c r="QI560" s="770"/>
      <c r="QJ560" s="770"/>
      <c r="QK560" s="770"/>
      <c r="QL560" s="770"/>
      <c r="QM560" s="770"/>
      <c r="QN560" s="770"/>
      <c r="QO560" s="770"/>
      <c r="QP560" s="770"/>
      <c r="QQ560" s="770"/>
      <c r="QR560" s="770"/>
      <c r="QS560" s="770"/>
      <c r="QT560" s="770"/>
      <c r="QU560" s="770"/>
      <c r="QV560" s="770"/>
      <c r="QW560" s="770"/>
      <c r="QX560" s="770"/>
      <c r="QY560" s="770"/>
      <c r="QZ560" s="770"/>
      <c r="RA560" s="770"/>
      <c r="RB560" s="770" t="s">
        <v>1214</v>
      </c>
      <c r="RC560" s="770"/>
      <c r="RD560" s="770"/>
      <c r="RE560" s="770"/>
      <c r="RF560" s="304"/>
      <c r="RG560" s="770"/>
      <c r="RH560" s="302"/>
      <c r="RI560" s="770"/>
      <c r="RJ560" s="770" t="s">
        <v>3863</v>
      </c>
      <c r="RK560" s="770" t="s">
        <v>13544</v>
      </c>
      <c r="RL560" s="1710"/>
      <c r="RM560" s="12"/>
      <c r="RN560" s="1711"/>
      <c r="RO560" s="132" t="s">
        <v>3855</v>
      </c>
      <c r="RP560" s="11"/>
      <c r="RQ560" s="11"/>
      <c r="RR560" s="17" t="s">
        <v>7421</v>
      </c>
      <c r="RS560" s="1139" t="s">
        <v>12980</v>
      </c>
      <c r="RT560" s="11"/>
      <c r="RU560" s="11"/>
      <c r="RV560" s="771" t="s">
        <v>7421</v>
      </c>
      <c r="RW560" s="11" t="s">
        <v>7403</v>
      </c>
      <c r="RX560" s="11" t="s">
        <v>3840</v>
      </c>
      <c r="RY560" s="11"/>
      <c r="RZ560" s="11" t="s">
        <v>1101</v>
      </c>
      <c r="SA560" s="771"/>
      <c r="SB560" s="11"/>
      <c r="SC560" s="11"/>
    </row>
    <row r="561" spans="1:497" ht="12.75" hidden="1" customHeight="1">
      <c r="A561" s="343" t="s">
        <v>7419</v>
      </c>
      <c r="B561" s="752" t="s">
        <v>7405</v>
      </c>
      <c r="C561" s="132" t="s">
        <v>3870</v>
      </c>
      <c r="D561" s="94" t="s">
        <v>3871</v>
      </c>
      <c r="E561" s="766" t="s">
        <v>3867</v>
      </c>
      <c r="F561" s="770" t="s">
        <v>28</v>
      </c>
      <c r="G561" s="770" t="s">
        <v>10</v>
      </c>
      <c r="H561" s="770"/>
      <c r="I561" s="295"/>
      <c r="J561" s="94" t="s">
        <v>3871</v>
      </c>
      <c r="K561" s="766" t="s">
        <v>3850</v>
      </c>
      <c r="L561" s="766" t="s">
        <v>2777</v>
      </c>
      <c r="M561" s="770" t="s">
        <v>2402</v>
      </c>
      <c r="N561" s="770"/>
      <c r="O561" s="770" t="s">
        <v>3844</v>
      </c>
      <c r="P561" s="94" t="s">
        <v>3872</v>
      </c>
      <c r="Q561" s="1088">
        <v>34077</v>
      </c>
      <c r="R561" s="297">
        <v>24</v>
      </c>
      <c r="S561" s="770" t="s">
        <v>10</v>
      </c>
      <c r="T561" s="770"/>
      <c r="U561" s="295"/>
      <c r="V561" s="770" t="s">
        <v>768</v>
      </c>
      <c r="W561" s="770"/>
      <c r="X561" s="770"/>
      <c r="Y561" s="770" t="s">
        <v>3867</v>
      </c>
      <c r="Z561" s="770" t="s">
        <v>708</v>
      </c>
      <c r="AA561" s="770" t="s">
        <v>709</v>
      </c>
      <c r="AB561" s="12" t="s">
        <v>710</v>
      </c>
      <c r="AC561" s="770"/>
      <c r="AD561" s="770" t="s">
        <v>711</v>
      </c>
      <c r="AE561" s="770"/>
      <c r="AF561" s="770" t="s">
        <v>712</v>
      </c>
      <c r="AG561" s="766" t="s">
        <v>1095</v>
      </c>
      <c r="AH561" s="766" t="s">
        <v>1096</v>
      </c>
      <c r="AI561" s="770" t="s">
        <v>3294</v>
      </c>
      <c r="AJ561" s="770"/>
      <c r="AK561" s="770" t="s">
        <v>1097</v>
      </c>
      <c r="AL561" s="531">
        <v>11.55</v>
      </c>
      <c r="AM561" s="780">
        <v>11.55</v>
      </c>
      <c r="AN561" s="532">
        <f>AM561/AL561</f>
        <v>1</v>
      </c>
      <c r="AO561" s="766" t="s">
        <v>1122</v>
      </c>
      <c r="AP561" s="766" t="s">
        <v>5364</v>
      </c>
      <c r="AQ561" s="766" t="s">
        <v>7418</v>
      </c>
      <c r="AR561" s="766"/>
      <c r="AS561" s="769"/>
      <c r="AT561" s="770"/>
      <c r="AU561" s="770"/>
      <c r="AV561" s="770"/>
      <c r="AW561" s="770"/>
      <c r="AX561" s="770"/>
      <c r="AY561" s="770"/>
      <c r="AZ561" s="770"/>
      <c r="BA561" s="770"/>
      <c r="BB561" s="770"/>
      <c r="BC561" s="770"/>
      <c r="BD561" s="770"/>
      <c r="BE561" s="770"/>
      <c r="BF561" s="302"/>
      <c r="BG561" s="302"/>
      <c r="BH561" s="770"/>
      <c r="BI561" s="770"/>
      <c r="BJ561" s="770"/>
      <c r="BK561" s="770" t="s">
        <v>1095</v>
      </c>
      <c r="BL561" s="770" t="s">
        <v>3873</v>
      </c>
      <c r="BM561" s="766" t="s">
        <v>1096</v>
      </c>
      <c r="BN561" s="770" t="s">
        <v>1230</v>
      </c>
      <c r="BO561" s="766" t="s">
        <v>1246</v>
      </c>
      <c r="BP561" s="765">
        <v>11.55</v>
      </c>
      <c r="BQ561" s="773">
        <v>2.64</v>
      </c>
      <c r="BR561" s="774">
        <f>BQ561/BP561</f>
        <v>0.22857142857142856</v>
      </c>
      <c r="BS561" s="6" t="s">
        <v>1149</v>
      </c>
      <c r="BT561" s="770" t="s">
        <v>8133</v>
      </c>
      <c r="BU561" s="770" t="s">
        <v>1249</v>
      </c>
      <c r="BV561" s="770" t="s">
        <v>1247</v>
      </c>
      <c r="BW561" s="769"/>
      <c r="BX561" s="302"/>
      <c r="BY561" s="770"/>
      <c r="BZ561" s="302"/>
      <c r="CA561" s="770"/>
      <c r="CB561" s="770"/>
      <c r="CC561" s="770"/>
      <c r="CD561" s="770"/>
      <c r="CE561" s="770"/>
      <c r="CF561" s="1753"/>
      <c r="CG561" s="1754"/>
      <c r="CH561" s="770"/>
      <c r="CI561" s="770"/>
      <c r="CJ561" s="770"/>
      <c r="CK561" s="770"/>
      <c r="CL561" s="770"/>
      <c r="CM561" s="770"/>
      <c r="CN561" s="770"/>
      <c r="CO561" s="770"/>
      <c r="CP561" s="770"/>
      <c r="CQ561" s="770"/>
      <c r="CR561" s="302"/>
      <c r="CS561" s="770"/>
      <c r="CT561" s="770"/>
      <c r="CU561" s="305"/>
      <c r="CV561" s="770"/>
      <c r="CW561" s="770"/>
      <c r="CX561" s="770"/>
      <c r="CY561" s="770"/>
      <c r="CZ561" s="770"/>
      <c r="DA561" s="306"/>
      <c r="DB561" s="770"/>
      <c r="DC561" s="770"/>
      <c r="DD561" s="770"/>
      <c r="DE561" s="300"/>
      <c r="DF561" s="770"/>
      <c r="DG561" s="770"/>
      <c r="DH561" s="770"/>
      <c r="DI561" s="770"/>
      <c r="DJ561" s="770"/>
      <c r="DK561" s="770"/>
      <c r="DL561" s="770"/>
      <c r="DM561" s="770"/>
      <c r="DN561" s="322"/>
      <c r="DO561" s="770"/>
      <c r="DP561" s="770"/>
      <c r="DQ561" s="770"/>
      <c r="DR561" s="770"/>
      <c r="DS561" s="307"/>
      <c r="DT561" s="770"/>
      <c r="DU561" s="770"/>
      <c r="DV561" s="770"/>
      <c r="DW561" s="306"/>
      <c r="DX561" s="306"/>
      <c r="DY561" s="770"/>
      <c r="DZ561" s="770"/>
      <c r="EA561" s="770"/>
      <c r="EB561" s="770"/>
      <c r="EC561" s="770"/>
      <c r="ED561" s="770"/>
      <c r="EE561" s="770"/>
      <c r="EF561" s="770"/>
      <c r="EG561" s="770"/>
      <c r="EH561" s="770"/>
      <c r="EI561" s="770"/>
      <c r="EJ561" s="770"/>
      <c r="EK561" s="770"/>
      <c r="EL561" s="770"/>
      <c r="EM561" s="770"/>
      <c r="EN561" s="770"/>
      <c r="EO561" s="770"/>
      <c r="EP561" s="94"/>
      <c r="EQ561" s="770"/>
      <c r="ER561" s="770"/>
      <c r="ES561" s="770"/>
      <c r="ET561" s="770"/>
      <c r="EU561" s="770"/>
      <c r="EV561" s="770"/>
      <c r="EW561" s="770"/>
      <c r="EX561" s="770"/>
      <c r="EY561" s="770"/>
      <c r="EZ561" s="770"/>
      <c r="FA561" s="770"/>
      <c r="FB561" s="770"/>
      <c r="FC561" s="770"/>
      <c r="FD561" s="302"/>
      <c r="FE561" s="770"/>
      <c r="FF561" s="770"/>
      <c r="FG561" s="770"/>
      <c r="FH561" s="770" t="s">
        <v>478</v>
      </c>
      <c r="FI561" s="770"/>
      <c r="FJ561" s="770"/>
      <c r="FK561" s="770"/>
      <c r="FL561" s="770"/>
      <c r="FM561" s="302"/>
      <c r="FN561" s="302"/>
      <c r="FO561" s="302"/>
      <c r="FP561" s="770" t="s">
        <v>1602</v>
      </c>
      <c r="FQ561" s="770" t="s">
        <v>1660</v>
      </c>
      <c r="FR561" s="770" t="s">
        <v>1214</v>
      </c>
      <c r="FS561" s="770"/>
      <c r="FT561" s="770"/>
      <c r="FU561" s="770"/>
      <c r="FV561" s="770"/>
      <c r="FW561" s="770"/>
      <c r="FX561" s="770"/>
      <c r="FY561" s="770"/>
      <c r="FZ561" s="770"/>
      <c r="GA561" s="770"/>
      <c r="GB561" s="770" t="s">
        <v>1696</v>
      </c>
      <c r="GC561" s="308"/>
      <c r="GD561" s="297">
        <v>2000</v>
      </c>
      <c r="GE561" s="770" t="s">
        <v>1214</v>
      </c>
      <c r="GF561" s="302"/>
      <c r="GG561" s="302"/>
      <c r="GH561" s="1774" t="s">
        <v>1791</v>
      </c>
      <c r="GI561" s="770" t="s">
        <v>2352</v>
      </c>
      <c r="GJ561" s="770" t="s">
        <v>3874</v>
      </c>
      <c r="GK561" s="766" t="s">
        <v>2693</v>
      </c>
      <c r="GL561" s="766"/>
      <c r="GM561" s="770"/>
      <c r="GN561" s="299"/>
      <c r="GO561" s="770" t="s">
        <v>2770</v>
      </c>
      <c r="GP561" s="770"/>
      <c r="GQ561" s="770"/>
      <c r="GR561" s="770" t="s">
        <v>1208</v>
      </c>
      <c r="GS561" s="770" t="s">
        <v>1208</v>
      </c>
      <c r="GT561" s="770" t="s">
        <v>1208</v>
      </c>
      <c r="GU561" s="770"/>
      <c r="GV561" s="770"/>
      <c r="GW561" s="770" t="s">
        <v>1207</v>
      </c>
      <c r="GX561" s="770"/>
      <c r="GY561" s="770"/>
      <c r="GZ561" s="770"/>
      <c r="HA561" s="770"/>
      <c r="HB561" s="770"/>
      <c r="HC561" s="770"/>
      <c r="HD561" s="770"/>
      <c r="HE561" s="770"/>
      <c r="HF561" s="770"/>
      <c r="HG561" s="770"/>
      <c r="HH561" s="770"/>
      <c r="HI561" s="770" t="s">
        <v>1214</v>
      </c>
      <c r="HJ561" s="770"/>
      <c r="HK561" s="770"/>
      <c r="HL561" s="770"/>
      <c r="HM561" s="770"/>
      <c r="HN561" s="770"/>
      <c r="HO561" s="770"/>
      <c r="HP561" s="770"/>
      <c r="HQ561" s="770"/>
      <c r="HR561" s="770"/>
      <c r="HS561" s="770"/>
      <c r="HT561" s="770"/>
      <c r="HU561" s="770"/>
      <c r="HV561" s="770"/>
      <c r="HW561" s="770"/>
      <c r="HX561" s="770"/>
      <c r="HY561" s="770"/>
      <c r="HZ561" s="770"/>
      <c r="IA561" s="770"/>
      <c r="IB561" s="770"/>
      <c r="IC561" s="770"/>
      <c r="ID561" s="770"/>
      <c r="IE561" s="770"/>
      <c r="IF561" s="770"/>
      <c r="IG561" s="770"/>
      <c r="IH561" s="770"/>
      <c r="II561" s="770"/>
      <c r="IJ561" s="770"/>
      <c r="IK561" s="770"/>
      <c r="IL561" s="770"/>
      <c r="IM561" s="770"/>
      <c r="IN561" s="770"/>
      <c r="IO561" s="296"/>
      <c r="IP561" s="770"/>
      <c r="IQ561" s="770"/>
      <c r="IR561" s="770"/>
      <c r="IS561" s="770"/>
      <c r="IT561" s="770"/>
      <c r="IU561" s="770"/>
      <c r="IV561" s="770"/>
      <c r="IW561" s="770"/>
      <c r="IX561" s="770"/>
      <c r="IY561" s="770"/>
      <c r="IZ561" s="770"/>
      <c r="JA561" s="770"/>
      <c r="JB561" s="770"/>
      <c r="JC561" s="770"/>
      <c r="JD561" s="302"/>
      <c r="JE561" s="770"/>
      <c r="JF561" s="770"/>
      <c r="JG561" s="770"/>
      <c r="JH561" s="307"/>
      <c r="JI561" s="307"/>
      <c r="JJ561" s="770">
        <v>2</v>
      </c>
      <c r="JK561" s="770" t="s">
        <v>3875</v>
      </c>
      <c r="JL561" s="770"/>
      <c r="JM561" s="770"/>
      <c r="JN561" s="770">
        <v>1</v>
      </c>
      <c r="JO561" s="770">
        <v>1</v>
      </c>
      <c r="JP561" s="770"/>
      <c r="JQ561" s="770"/>
      <c r="JR561" s="770"/>
      <c r="JS561" s="770"/>
      <c r="JT561" s="766">
        <f t="shared" si="161"/>
        <v>1</v>
      </c>
      <c r="JU561" s="766">
        <f t="shared" si="161"/>
        <v>1</v>
      </c>
      <c r="JV561" s="766"/>
      <c r="JW561" s="766"/>
      <c r="JX561" s="770"/>
      <c r="JY561" s="770"/>
      <c r="JZ561" s="770"/>
      <c r="KA561" s="770"/>
      <c r="KB561" s="770">
        <v>1</v>
      </c>
      <c r="KC561" s="770"/>
      <c r="KD561" s="770"/>
      <c r="KE561" s="770">
        <v>1</v>
      </c>
      <c r="KF561" s="770"/>
      <c r="KG561" s="770"/>
      <c r="KH561" s="770"/>
      <c r="KI561" s="770"/>
      <c r="KJ561" s="770">
        <f t="shared" si="153"/>
        <v>1</v>
      </c>
      <c r="KK561" s="770">
        <f t="shared" si="153"/>
        <v>1</v>
      </c>
      <c r="KL561" s="770"/>
      <c r="KM561" s="770"/>
      <c r="KN561" s="770" t="s">
        <v>768</v>
      </c>
      <c r="KO561" s="770"/>
      <c r="KP561" s="770"/>
      <c r="KQ561" s="770"/>
      <c r="KR561" s="770"/>
      <c r="KS561" s="770"/>
      <c r="KT561" s="770"/>
      <c r="KU561" s="770"/>
      <c r="KV561" s="770"/>
      <c r="KW561" s="770"/>
      <c r="KX561" s="770"/>
      <c r="KY561" s="770"/>
      <c r="KZ561" s="770"/>
      <c r="LA561" s="770"/>
      <c r="LB561" s="770"/>
      <c r="LC561" s="770">
        <v>1</v>
      </c>
      <c r="LD561" s="770">
        <v>1</v>
      </c>
      <c r="LE561" s="770"/>
      <c r="LF561" s="770"/>
      <c r="LG561" s="770"/>
      <c r="LH561" s="770"/>
      <c r="LI561" s="770"/>
      <c r="LJ561" s="770"/>
      <c r="LK561" s="770"/>
      <c r="LL561" s="770"/>
      <c r="LM561" s="770"/>
      <c r="LN561" s="766">
        <f t="shared" si="159"/>
        <v>1</v>
      </c>
      <c r="LO561" s="766">
        <f t="shared" si="159"/>
        <v>1</v>
      </c>
      <c r="LP561" s="770">
        <v>1</v>
      </c>
      <c r="LQ561" s="770">
        <v>1</v>
      </c>
      <c r="LR561" s="770"/>
      <c r="LS561" s="770"/>
      <c r="LT561" s="770"/>
      <c r="LU561" s="770"/>
      <c r="LV561" s="770">
        <v>1</v>
      </c>
      <c r="LW561" s="770"/>
      <c r="LX561" s="769">
        <v>3</v>
      </c>
      <c r="LY561" s="766" t="str">
        <f t="shared" si="160"/>
        <v>within the PROVINCE</v>
      </c>
      <c r="LZ561" s="1709">
        <v>300</v>
      </c>
      <c r="MA561" s="1709"/>
      <c r="MB561" s="1709"/>
      <c r="MC561" s="1679">
        <f t="shared" si="158"/>
        <v>300</v>
      </c>
      <c r="MD561" s="1709">
        <v>12000</v>
      </c>
      <c r="ME561" s="1709"/>
      <c r="MF561" s="1728"/>
      <c r="MG561" s="1680">
        <f t="shared" si="149"/>
        <v>12000</v>
      </c>
      <c r="MH561" s="770" t="s">
        <v>2230</v>
      </c>
      <c r="MI561" s="1785">
        <v>9000</v>
      </c>
      <c r="MJ561" s="1785">
        <v>3000</v>
      </c>
      <c r="MK561" s="1785">
        <v>170</v>
      </c>
      <c r="ML561" s="1785"/>
      <c r="MM561" s="1785"/>
      <c r="MN561" s="1785"/>
      <c r="MO561" s="1785">
        <v>700</v>
      </c>
      <c r="MP561" s="1785">
        <v>800</v>
      </c>
      <c r="MQ561" s="1785"/>
      <c r="MR561" s="1785">
        <v>1000</v>
      </c>
      <c r="MS561" s="1785">
        <v>2085</v>
      </c>
      <c r="MT561" s="1785"/>
      <c r="MU561" s="1785"/>
      <c r="MV561" s="1785"/>
      <c r="MW561" s="1785"/>
      <c r="MX561" s="1785">
        <v>2000</v>
      </c>
      <c r="MY561" s="1682">
        <f t="shared" si="147"/>
        <v>18755</v>
      </c>
      <c r="MZ561" s="770" t="s">
        <v>13370</v>
      </c>
      <c r="NA561" s="770" t="s">
        <v>13005</v>
      </c>
      <c r="NB561" s="770" t="s">
        <v>13016</v>
      </c>
      <c r="NC561" s="770" t="s">
        <v>13602</v>
      </c>
      <c r="ND561" s="770">
        <v>0</v>
      </c>
      <c r="NE561" s="770">
        <v>0</v>
      </c>
      <c r="NF561" s="770">
        <v>1</v>
      </c>
      <c r="NG561" s="770">
        <v>1</v>
      </c>
      <c r="NH561" s="770">
        <v>1</v>
      </c>
      <c r="NI561" s="770">
        <v>1</v>
      </c>
      <c r="NJ561" s="770">
        <v>1</v>
      </c>
      <c r="NK561" s="770">
        <v>0</v>
      </c>
      <c r="NL561" s="770">
        <v>0</v>
      </c>
      <c r="NM561" s="770">
        <v>1</v>
      </c>
      <c r="NN561" s="770">
        <v>0</v>
      </c>
      <c r="NO561" s="770">
        <v>0</v>
      </c>
      <c r="NP561" s="770">
        <v>0</v>
      </c>
      <c r="NQ561" s="770">
        <v>0</v>
      </c>
      <c r="NR561" s="770">
        <v>0</v>
      </c>
      <c r="NS561" s="770">
        <v>0</v>
      </c>
      <c r="NT561" s="770">
        <v>0</v>
      </c>
      <c r="NU561" s="770">
        <v>0</v>
      </c>
      <c r="NV561" s="770">
        <v>0</v>
      </c>
      <c r="NW561" s="770">
        <v>0</v>
      </c>
      <c r="NX561" s="770">
        <v>0</v>
      </c>
      <c r="NY561" s="770"/>
      <c r="NZ561" s="770"/>
      <c r="OA561" s="770"/>
      <c r="OB561" s="770"/>
      <c r="OC561" s="770"/>
      <c r="OD561" s="770"/>
      <c r="OE561" s="770"/>
      <c r="OF561" s="770"/>
      <c r="OG561" s="770"/>
      <c r="OH561" s="770"/>
      <c r="OI561" s="770"/>
      <c r="OJ561" s="770"/>
      <c r="OK561" s="770"/>
      <c r="OL561" s="770"/>
      <c r="OM561" s="770"/>
      <c r="ON561" s="770"/>
      <c r="OO561" s="770"/>
      <c r="OP561" s="770"/>
      <c r="OQ561" s="770"/>
      <c r="OR561" s="770"/>
      <c r="OS561" s="770"/>
      <c r="OT561" s="770"/>
      <c r="OU561" s="770"/>
      <c r="OV561" s="770"/>
      <c r="OW561" s="770"/>
      <c r="OX561" s="770"/>
      <c r="OY561" s="770"/>
      <c r="OZ561" s="770"/>
      <c r="PA561" s="770"/>
      <c r="PB561" s="770"/>
      <c r="PC561" s="770"/>
      <c r="PD561" s="770"/>
      <c r="PE561" s="770"/>
      <c r="PF561" s="770"/>
      <c r="PG561" s="770"/>
      <c r="PH561" s="770"/>
      <c r="PI561" s="770"/>
      <c r="PJ561" s="770"/>
      <c r="PK561" s="770" t="s">
        <v>1208</v>
      </c>
      <c r="PL561" s="770"/>
      <c r="PM561" s="770"/>
      <c r="PN561" s="770"/>
      <c r="PO561" s="770"/>
      <c r="PP561" s="770"/>
      <c r="PQ561" s="770"/>
      <c r="PR561" s="770"/>
      <c r="PS561" s="770"/>
      <c r="PT561" s="770"/>
      <c r="PU561" s="770"/>
      <c r="PV561" s="770"/>
      <c r="PW561" s="770"/>
      <c r="PX561" s="770"/>
      <c r="PY561" s="770"/>
      <c r="PZ561" s="770"/>
      <c r="QA561" s="770"/>
      <c r="QB561" s="770"/>
      <c r="QC561" s="770"/>
      <c r="QD561" s="770"/>
      <c r="QE561" s="770"/>
      <c r="QF561" s="770"/>
      <c r="QG561" s="770"/>
      <c r="QH561" s="770"/>
      <c r="QI561" s="770"/>
      <c r="QJ561" s="770"/>
      <c r="QK561" s="770"/>
      <c r="QL561" s="770"/>
      <c r="QM561" s="770"/>
      <c r="QN561" s="770"/>
      <c r="QO561" s="770"/>
      <c r="QP561" s="770"/>
      <c r="QQ561" s="770"/>
      <c r="QR561" s="770"/>
      <c r="QS561" s="770"/>
      <c r="QT561" s="770"/>
      <c r="QU561" s="770"/>
      <c r="QV561" s="770"/>
      <c r="QW561" s="770"/>
      <c r="QX561" s="770"/>
      <c r="QY561" s="770"/>
      <c r="QZ561" s="770"/>
      <c r="RA561" s="770"/>
      <c r="RB561" s="770" t="s">
        <v>1207</v>
      </c>
      <c r="RC561" s="770">
        <v>2014</v>
      </c>
      <c r="RD561" s="770" t="s">
        <v>13036</v>
      </c>
      <c r="RE561" s="770"/>
      <c r="RF561" s="304"/>
      <c r="RG561" s="770"/>
      <c r="RH561" s="302"/>
      <c r="RI561" s="770"/>
      <c r="RJ561" s="770" t="s">
        <v>3875</v>
      </c>
      <c r="RK561" s="770" t="s">
        <v>13544</v>
      </c>
      <c r="RL561" s="1710"/>
      <c r="RM561" s="12"/>
      <c r="RN561" s="1711"/>
      <c r="RO561" s="132" t="s">
        <v>3870</v>
      </c>
      <c r="RP561" s="11"/>
      <c r="RQ561" s="11"/>
      <c r="RR561" s="17"/>
      <c r="RS561" s="767"/>
      <c r="RT561" s="11"/>
      <c r="RU561" s="11"/>
      <c r="RV561" s="771" t="s">
        <v>7419</v>
      </c>
      <c r="RW561" s="11" t="s">
        <v>7808</v>
      </c>
      <c r="RX561" s="11" t="s">
        <v>3846</v>
      </c>
      <c r="RY561" s="11"/>
      <c r="RZ561" s="11" t="s">
        <v>1101</v>
      </c>
      <c r="SA561" s="771"/>
      <c r="SB561" s="11"/>
      <c r="SC561" s="11"/>
    </row>
    <row r="562" spans="1:497" ht="12.75" hidden="1" customHeight="1">
      <c r="A562" s="343" t="s">
        <v>14220</v>
      </c>
      <c r="B562" s="752" t="s">
        <v>7406</v>
      </c>
      <c r="C562" s="132" t="s">
        <v>3864</v>
      </c>
      <c r="D562" s="94" t="s">
        <v>3866</v>
      </c>
      <c r="E562" s="766" t="s">
        <v>3867</v>
      </c>
      <c r="F562" s="770" t="s">
        <v>28</v>
      </c>
      <c r="G562" s="770" t="s">
        <v>10</v>
      </c>
      <c r="H562" s="770"/>
      <c r="I562" s="295"/>
      <c r="J562" s="94" t="s">
        <v>3866</v>
      </c>
      <c r="K562" s="766" t="s">
        <v>3868</v>
      </c>
      <c r="L562" s="766" t="s">
        <v>2704</v>
      </c>
      <c r="M562" s="770" t="s">
        <v>2402</v>
      </c>
      <c r="N562" s="770"/>
      <c r="O562" s="770" t="s">
        <v>3844</v>
      </c>
      <c r="P562" s="94" t="s">
        <v>3869</v>
      </c>
      <c r="Q562" s="1088"/>
      <c r="R562" s="297">
        <v>56</v>
      </c>
      <c r="S562" s="770" t="s">
        <v>10</v>
      </c>
      <c r="T562" s="770"/>
      <c r="U562" s="295"/>
      <c r="V562" s="770" t="s">
        <v>707</v>
      </c>
      <c r="W562" s="770"/>
      <c r="X562" s="770"/>
      <c r="Y562" s="770" t="s">
        <v>3867</v>
      </c>
      <c r="Z562" s="770"/>
      <c r="AA562" s="770" t="s">
        <v>709</v>
      </c>
      <c r="AB562" s="12" t="s">
        <v>710</v>
      </c>
      <c r="AC562" s="770"/>
      <c r="AD562" s="770" t="s">
        <v>711</v>
      </c>
      <c r="AE562" s="770"/>
      <c r="AF562" s="770" t="s">
        <v>712</v>
      </c>
      <c r="AG562" s="770"/>
      <c r="AH562" s="770"/>
      <c r="AI562" s="770"/>
      <c r="AJ562" s="770"/>
      <c r="AK562" s="770" t="s">
        <v>5454</v>
      </c>
      <c r="AL562" s="531"/>
      <c r="AM562" s="780"/>
      <c r="AN562" s="532"/>
      <c r="AO562" s="766"/>
      <c r="AP562" s="766"/>
      <c r="AQ562" s="766"/>
      <c r="AR562" s="766"/>
      <c r="AS562" s="770"/>
      <c r="AT562" s="770"/>
      <c r="AU562" s="770"/>
      <c r="AV562" s="770"/>
      <c r="AW562" s="770"/>
      <c r="AX562" s="770"/>
      <c r="AY562" s="770"/>
      <c r="AZ562" s="770"/>
      <c r="BA562" s="770"/>
      <c r="BB562" s="770"/>
      <c r="BC562" s="770"/>
      <c r="BD562" s="770"/>
      <c r="BE562" s="770"/>
      <c r="BF562" s="302"/>
      <c r="BG562" s="302"/>
      <c r="BH562" s="770"/>
      <c r="BI562" s="770"/>
      <c r="BJ562" s="770"/>
      <c r="BK562" s="770"/>
      <c r="BL562" s="770"/>
      <c r="BM562" s="770" t="s">
        <v>1238</v>
      </c>
      <c r="BN562" s="770" t="s">
        <v>1230</v>
      </c>
      <c r="BO562" s="766"/>
      <c r="BP562" s="765"/>
      <c r="BQ562" s="773"/>
      <c r="BR562" s="774"/>
      <c r="BS562" s="6" t="s">
        <v>1149</v>
      </c>
      <c r="BT562" s="766"/>
      <c r="BU562" s="770"/>
      <c r="BV562" s="770"/>
      <c r="BW562" s="770"/>
      <c r="BX562" s="302"/>
      <c r="BY562" s="770"/>
      <c r="BZ562" s="302"/>
      <c r="CA562" s="770"/>
      <c r="CB562" s="770"/>
      <c r="CC562" s="770"/>
      <c r="CD562" s="770"/>
      <c r="CE562" s="770"/>
      <c r="CF562" s="1753"/>
      <c r="CG562" s="1754"/>
      <c r="CH562" s="770"/>
      <c r="CI562" s="770"/>
      <c r="CJ562" s="770"/>
      <c r="CK562" s="770"/>
      <c r="CL562" s="770"/>
      <c r="CM562" s="770"/>
      <c r="CN562" s="770"/>
      <c r="CO562" s="770"/>
      <c r="CP562" s="770"/>
      <c r="CQ562" s="770"/>
      <c r="CR562" s="302"/>
      <c r="CS562" s="770"/>
      <c r="CT562" s="770"/>
      <c r="CU562" s="305"/>
      <c r="CV562" s="770"/>
      <c r="CW562" s="770"/>
      <c r="CX562" s="770"/>
      <c r="CY562" s="770"/>
      <c r="CZ562" s="770"/>
      <c r="DA562" s="306"/>
      <c r="DB562" s="770"/>
      <c r="DC562" s="770"/>
      <c r="DD562" s="770"/>
      <c r="DE562" s="300"/>
      <c r="DF562" s="770"/>
      <c r="DG562" s="770"/>
      <c r="DH562" s="770"/>
      <c r="DI562" s="770"/>
      <c r="DJ562" s="770"/>
      <c r="DK562" s="770"/>
      <c r="DL562" s="770"/>
      <c r="DM562" s="770"/>
      <c r="DN562" s="322"/>
      <c r="DO562" s="770"/>
      <c r="DP562" s="770"/>
      <c r="DQ562" s="770"/>
      <c r="DR562" s="770"/>
      <c r="DS562" s="307"/>
      <c r="DT562" s="770"/>
      <c r="DU562" s="770"/>
      <c r="DV562" s="770"/>
      <c r="DW562" s="306"/>
      <c r="DX562" s="306"/>
      <c r="DY562" s="770"/>
      <c r="DZ562" s="770"/>
      <c r="EA562" s="770"/>
      <c r="EB562" s="770"/>
      <c r="EC562" s="770"/>
      <c r="ED562" s="770"/>
      <c r="EE562" s="770"/>
      <c r="EF562" s="770"/>
      <c r="EG562" s="770"/>
      <c r="EH562" s="770"/>
      <c r="EI562" s="770"/>
      <c r="EJ562" s="770"/>
      <c r="EK562" s="770"/>
      <c r="EL562" s="770"/>
      <c r="EM562" s="770"/>
      <c r="EN562" s="770"/>
      <c r="EO562" s="770"/>
      <c r="EP562" s="94"/>
      <c r="EQ562" s="770"/>
      <c r="ER562" s="770"/>
      <c r="ES562" s="770"/>
      <c r="ET562" s="770"/>
      <c r="EU562" s="770"/>
      <c r="EV562" s="770"/>
      <c r="EW562" s="770"/>
      <c r="EX562" s="770"/>
      <c r="EY562" s="770"/>
      <c r="EZ562" s="770"/>
      <c r="FA562" s="770"/>
      <c r="FB562" s="770"/>
      <c r="FC562" s="770"/>
      <c r="FD562" s="302"/>
      <c r="FE562" s="770"/>
      <c r="FF562" s="770"/>
      <c r="FG562" s="770"/>
      <c r="FH562" s="770" t="s">
        <v>478</v>
      </c>
      <c r="FI562" s="770">
        <v>2</v>
      </c>
      <c r="FJ562" s="770"/>
      <c r="FK562" s="770"/>
      <c r="FL562" s="770"/>
      <c r="FM562" s="302"/>
      <c r="FN562" s="302"/>
      <c r="FO562" s="302"/>
      <c r="FP562" s="766" t="s">
        <v>1602</v>
      </c>
      <c r="FQ562" s="766" t="s">
        <v>1660</v>
      </c>
      <c r="FR562" s="770" t="s">
        <v>1214</v>
      </c>
      <c r="FS562" s="770"/>
      <c r="FT562" s="770"/>
      <c r="FU562" s="770"/>
      <c r="FV562" s="770"/>
      <c r="FW562" s="770"/>
      <c r="FX562" s="770"/>
      <c r="FY562" s="770"/>
      <c r="FZ562" s="770"/>
      <c r="GA562" s="770"/>
      <c r="GB562" s="770" t="s">
        <v>1696</v>
      </c>
      <c r="GC562" s="308"/>
      <c r="GD562" s="297">
        <v>2000</v>
      </c>
      <c r="GE562" s="770" t="s">
        <v>1214</v>
      </c>
      <c r="GF562" s="302"/>
      <c r="GG562" s="302"/>
      <c r="GH562" s="1774" t="s">
        <v>1791</v>
      </c>
      <c r="GI562" s="770"/>
      <c r="GJ562" s="770"/>
      <c r="GK562" s="770" t="s">
        <v>2345</v>
      </c>
      <c r="GL562" s="766"/>
      <c r="GM562" s="770"/>
      <c r="GN562" s="299">
        <v>180</v>
      </c>
      <c r="GO562" s="770"/>
      <c r="GP562" s="770" t="s">
        <v>1208</v>
      </c>
      <c r="GQ562" s="770"/>
      <c r="GR562" s="770"/>
      <c r="GS562" s="770"/>
      <c r="GT562" s="770"/>
      <c r="GU562" s="770"/>
      <c r="GV562" s="770"/>
      <c r="GW562" s="770" t="s">
        <v>1207</v>
      </c>
      <c r="GX562" s="770"/>
      <c r="GY562" s="770" t="s">
        <v>1208</v>
      </c>
      <c r="GZ562" s="770" t="s">
        <v>1208</v>
      </c>
      <c r="HA562" s="770" t="s">
        <v>1208</v>
      </c>
      <c r="HB562" s="770" t="s">
        <v>1208</v>
      </c>
      <c r="HC562" s="770" t="s">
        <v>1208</v>
      </c>
      <c r="HD562" s="770" t="s">
        <v>1208</v>
      </c>
      <c r="HE562" s="770" t="s">
        <v>1208</v>
      </c>
      <c r="HF562" s="770"/>
      <c r="HG562" s="770"/>
      <c r="HH562" s="770"/>
      <c r="HI562" s="770"/>
      <c r="HJ562" s="770"/>
      <c r="HK562" s="770"/>
      <c r="HL562" s="770" t="s">
        <v>1214</v>
      </c>
      <c r="HM562" s="770"/>
      <c r="HN562" s="770"/>
      <c r="HO562" s="770"/>
      <c r="HP562" s="770"/>
      <c r="HQ562" s="770"/>
      <c r="HR562" s="770"/>
      <c r="HS562" s="770"/>
      <c r="HT562" s="770"/>
      <c r="HU562" s="770"/>
      <c r="HV562" s="770"/>
      <c r="HW562" s="770"/>
      <c r="HX562" s="770"/>
      <c r="HY562" s="770"/>
      <c r="HZ562" s="770"/>
      <c r="IA562" s="770"/>
      <c r="IB562" s="14" t="e">
        <f>IF(#REF!&gt;0,IF(#REF!&lt;=10000,"Y",""),"")</f>
        <v>#REF!</v>
      </c>
      <c r="IC562" s="770"/>
      <c r="ID562" s="770">
        <v>1</v>
      </c>
      <c r="IE562" s="770"/>
      <c r="IF562" s="770"/>
      <c r="IG562" s="770"/>
      <c r="IH562" s="770"/>
      <c r="II562" s="770"/>
      <c r="IJ562" s="770"/>
      <c r="IK562" s="770"/>
      <c r="IL562" s="770"/>
      <c r="IM562" s="770"/>
      <c r="IN562" s="770"/>
      <c r="IO562" s="296"/>
      <c r="IP562" s="770"/>
      <c r="IQ562" s="770"/>
      <c r="IR562" s="770"/>
      <c r="IS562" s="770"/>
      <c r="IT562" s="770"/>
      <c r="IU562" s="770"/>
      <c r="IV562" s="770"/>
      <c r="IW562" s="770"/>
      <c r="IX562" s="770"/>
      <c r="IY562" s="770"/>
      <c r="IZ562" s="770"/>
      <c r="JA562" s="770"/>
      <c r="JB562" s="770"/>
      <c r="JC562" s="770"/>
      <c r="JD562" s="302"/>
      <c r="JE562" s="770"/>
      <c r="JF562" s="770"/>
      <c r="JG562" s="770"/>
      <c r="JH562" s="307"/>
      <c r="JI562" s="307"/>
      <c r="JJ562" s="770">
        <v>13</v>
      </c>
      <c r="JK562" s="1139" t="s">
        <v>3865</v>
      </c>
      <c r="JL562" s="770">
        <v>2</v>
      </c>
      <c r="JM562" s="770">
        <v>5</v>
      </c>
      <c r="JN562" s="770">
        <v>3</v>
      </c>
      <c r="JO562" s="770">
        <v>3</v>
      </c>
      <c r="JP562" s="770"/>
      <c r="JQ562" s="770"/>
      <c r="JR562" s="770"/>
      <c r="JS562" s="770"/>
      <c r="JT562" s="766">
        <f t="shared" si="161"/>
        <v>5</v>
      </c>
      <c r="JU562" s="766">
        <f t="shared" si="161"/>
        <v>8</v>
      </c>
      <c r="JV562" s="712" t="str">
        <f>IF(JT562=KJ562,"ok","male")</f>
        <v>ok</v>
      </c>
      <c r="JW562" s="712" t="str">
        <f>IF(JU562=KK562,"ok","female")</f>
        <v>ok</v>
      </c>
      <c r="JX562" s="770">
        <v>1</v>
      </c>
      <c r="JY562" s="770">
        <v>4</v>
      </c>
      <c r="JZ562" s="770">
        <v>1</v>
      </c>
      <c r="KA562" s="770">
        <v>1</v>
      </c>
      <c r="KB562" s="770">
        <v>2</v>
      </c>
      <c r="KC562" s="770">
        <v>3</v>
      </c>
      <c r="KD562" s="770">
        <v>1</v>
      </c>
      <c r="KE562" s="770"/>
      <c r="KF562" s="770"/>
      <c r="KG562" s="770"/>
      <c r="KH562" s="770"/>
      <c r="KI562" s="770"/>
      <c r="KJ562" s="770">
        <f t="shared" si="153"/>
        <v>5</v>
      </c>
      <c r="KK562" s="770">
        <f t="shared" si="153"/>
        <v>8</v>
      </c>
      <c r="KL562" s="712" t="str">
        <f>IF(KJ562=LN562,"ok","male")</f>
        <v>ok</v>
      </c>
      <c r="KM562" s="712" t="str">
        <f>IF(KK562=LO562,"ok","female")</f>
        <v>ok</v>
      </c>
      <c r="KN562" s="770" t="s">
        <v>707</v>
      </c>
      <c r="KO562" s="770"/>
      <c r="KP562" s="770"/>
      <c r="KQ562" s="770"/>
      <c r="KR562" s="770"/>
      <c r="KS562" s="770"/>
      <c r="KT562" s="770">
        <v>1</v>
      </c>
      <c r="KU562" s="770">
        <v>1</v>
      </c>
      <c r="KV562" s="770">
        <v>1</v>
      </c>
      <c r="KW562" s="770"/>
      <c r="KX562" s="770">
        <v>2</v>
      </c>
      <c r="KY562" s="770">
        <v>3</v>
      </c>
      <c r="KZ562" s="770">
        <v>1</v>
      </c>
      <c r="LA562" s="770"/>
      <c r="LB562" s="770"/>
      <c r="LC562" s="770"/>
      <c r="LD562" s="770"/>
      <c r="LE562" s="770"/>
      <c r="LF562" s="770"/>
      <c r="LG562" s="770"/>
      <c r="LH562" s="770"/>
      <c r="LI562" s="770">
        <v>4</v>
      </c>
      <c r="LJ562" s="770"/>
      <c r="LK562" s="770"/>
      <c r="LL562" s="770"/>
      <c r="LM562" s="770"/>
      <c r="LN562" s="766">
        <f t="shared" si="159"/>
        <v>5</v>
      </c>
      <c r="LO562" s="766">
        <f t="shared" si="159"/>
        <v>8</v>
      </c>
      <c r="LP562" s="770">
        <v>3</v>
      </c>
      <c r="LQ562" s="770">
        <v>2</v>
      </c>
      <c r="LR562" s="770"/>
      <c r="LS562" s="770">
        <v>1</v>
      </c>
      <c r="LT562" s="712" t="str">
        <f>IF(LQ562=SUM(LU562:LW562),"OK","REV")</f>
        <v>OK</v>
      </c>
      <c r="LU562" s="770">
        <v>1</v>
      </c>
      <c r="LV562" s="770">
        <v>1</v>
      </c>
      <c r="LW562" s="770"/>
      <c r="LX562" s="769">
        <v>1</v>
      </c>
      <c r="LY562" s="766" t="str">
        <f t="shared" si="160"/>
        <v>within the BRGY</v>
      </c>
      <c r="LZ562" s="1709"/>
      <c r="MA562" s="1709"/>
      <c r="MB562" s="1709"/>
      <c r="MC562" s="1679">
        <f t="shared" si="158"/>
        <v>0</v>
      </c>
      <c r="MD562" s="1709">
        <f>SUM(8000,5000)</f>
        <v>13000</v>
      </c>
      <c r="ME562" s="1709"/>
      <c r="MF562" s="1728">
        <v>5250</v>
      </c>
      <c r="MG562" s="1680">
        <f>SUM(MD562:MF562)</f>
        <v>18250</v>
      </c>
      <c r="MH562" s="770" t="s">
        <v>3401</v>
      </c>
      <c r="MI562" s="302">
        <v>10800</v>
      </c>
      <c r="MJ562" s="302">
        <v>6800</v>
      </c>
      <c r="MK562" s="302">
        <v>150</v>
      </c>
      <c r="ML562" s="302">
        <v>1000</v>
      </c>
      <c r="MM562" s="302">
        <v>1400</v>
      </c>
      <c r="MN562" s="302"/>
      <c r="MO562" s="302"/>
      <c r="MP562" s="302">
        <v>100</v>
      </c>
      <c r="MQ562" s="302"/>
      <c r="MR562" s="302">
        <v>600</v>
      </c>
      <c r="MS562" s="302"/>
      <c r="MT562" s="302"/>
      <c r="MU562" s="302"/>
      <c r="MV562" s="302"/>
      <c r="MW562" s="302"/>
      <c r="MX562" s="302"/>
      <c r="MY562" s="1682">
        <f t="shared" si="147"/>
        <v>20850</v>
      </c>
      <c r="MZ562" s="770"/>
      <c r="NA562" s="770"/>
      <c r="NB562" s="770"/>
      <c r="NC562" s="770"/>
      <c r="ND562" s="770"/>
      <c r="NE562" s="770"/>
      <c r="NF562" s="770"/>
      <c r="NG562" s="770"/>
      <c r="NH562" s="770"/>
      <c r="NI562" s="770"/>
      <c r="NJ562" s="770"/>
      <c r="NK562" s="770"/>
      <c r="NL562" s="770"/>
      <c r="NM562" s="770"/>
      <c r="NN562" s="770"/>
      <c r="NO562" s="770"/>
      <c r="NP562" s="770"/>
      <c r="NQ562" s="770"/>
      <c r="NR562" s="770"/>
      <c r="NS562" s="770"/>
      <c r="NT562" s="770"/>
      <c r="NU562" s="770"/>
      <c r="NV562" s="770"/>
      <c r="NW562" s="770"/>
      <c r="NX562" s="770"/>
      <c r="NY562" s="770"/>
      <c r="NZ562" s="770"/>
      <c r="OA562" s="770"/>
      <c r="OB562" s="770"/>
      <c r="OC562" s="770"/>
      <c r="OD562" s="770"/>
      <c r="OE562" s="770"/>
      <c r="OF562" s="770"/>
      <c r="OG562" s="770"/>
      <c r="OH562" s="770"/>
      <c r="OI562" s="770"/>
      <c r="OJ562" s="770"/>
      <c r="OK562" s="770"/>
      <c r="OL562" s="770"/>
      <c r="OM562" s="770"/>
      <c r="ON562" s="770"/>
      <c r="OO562" s="770"/>
      <c r="OP562" s="770"/>
      <c r="OQ562" s="770"/>
      <c r="OR562" s="770"/>
      <c r="OS562" s="770"/>
      <c r="OT562" s="770"/>
      <c r="OU562" s="770"/>
      <c r="OV562" s="770"/>
      <c r="OW562" s="770"/>
      <c r="OX562" s="770"/>
      <c r="OY562" s="770"/>
      <c r="OZ562" s="770"/>
      <c r="PA562" s="770"/>
      <c r="PB562" s="770"/>
      <c r="PC562" s="770"/>
      <c r="PD562" s="770"/>
      <c r="PE562" s="770"/>
      <c r="PF562" s="770"/>
      <c r="PG562" s="770"/>
      <c r="PH562" s="770"/>
      <c r="PI562" s="770"/>
      <c r="PJ562" s="770"/>
      <c r="PK562" s="770" t="s">
        <v>1208</v>
      </c>
      <c r="PL562" s="770"/>
      <c r="PM562" s="770"/>
      <c r="PN562" s="770"/>
      <c r="PO562" s="770"/>
      <c r="PP562" s="770"/>
      <c r="PQ562" s="770"/>
      <c r="PR562" s="770"/>
      <c r="PS562" s="770"/>
      <c r="PT562" s="770"/>
      <c r="PU562" s="770"/>
      <c r="PV562" s="770"/>
      <c r="PW562" s="770"/>
      <c r="PX562" s="770"/>
      <c r="PY562" s="770"/>
      <c r="PZ562" s="770"/>
      <c r="QA562" s="770"/>
      <c r="QB562" s="770"/>
      <c r="QC562" s="770"/>
      <c r="QD562" s="770"/>
      <c r="QE562" s="770"/>
      <c r="QF562" s="770"/>
      <c r="QG562" s="770"/>
      <c r="QH562" s="770"/>
      <c r="QI562" s="770"/>
      <c r="QJ562" s="770"/>
      <c r="QK562" s="770"/>
      <c r="QL562" s="770"/>
      <c r="QM562" s="770"/>
      <c r="QN562" s="770"/>
      <c r="QO562" s="770"/>
      <c r="QP562" s="770"/>
      <c r="QQ562" s="770"/>
      <c r="QR562" s="770"/>
      <c r="QS562" s="770"/>
      <c r="QT562" s="770"/>
      <c r="QU562" s="770"/>
      <c r="QV562" s="770"/>
      <c r="QW562" s="770"/>
      <c r="QX562" s="770"/>
      <c r="QY562" s="770"/>
      <c r="QZ562" s="770"/>
      <c r="RA562" s="770"/>
      <c r="RB562" s="770" t="s">
        <v>1214</v>
      </c>
      <c r="RC562" s="770"/>
      <c r="RD562" s="770"/>
      <c r="RE562" s="770"/>
      <c r="RF562" s="304"/>
      <c r="RG562" s="770"/>
      <c r="RH562" s="302"/>
      <c r="RI562" s="770"/>
      <c r="RJ562" s="770" t="s">
        <v>13742</v>
      </c>
      <c r="RK562" s="770" t="s">
        <v>13401</v>
      </c>
      <c r="RL562" s="1710"/>
      <c r="RM562" s="12"/>
      <c r="RN562" s="1711"/>
      <c r="RO562" s="132" t="s">
        <v>3864</v>
      </c>
      <c r="RP562" s="11"/>
      <c r="RQ562" s="11"/>
      <c r="RR562" s="343" t="s">
        <v>7419</v>
      </c>
      <c r="RS562" s="1139" t="s">
        <v>12980</v>
      </c>
      <c r="RT562" s="11"/>
      <c r="RU562" s="11"/>
      <c r="RV562" s="771" t="s">
        <v>7421</v>
      </c>
      <c r="RW562" s="11" t="s">
        <v>7404</v>
      </c>
      <c r="RX562" s="11" t="s">
        <v>3855</v>
      </c>
      <c r="RY562" s="11"/>
      <c r="RZ562" s="11" t="s">
        <v>1101</v>
      </c>
      <c r="SA562" s="771"/>
      <c r="SB562" s="11"/>
      <c r="SC562" s="11"/>
    </row>
    <row r="563" spans="1:497" ht="12.75" hidden="1" customHeight="1">
      <c r="A563" s="343" t="s">
        <v>14220</v>
      </c>
      <c r="B563" s="752" t="s">
        <v>7719</v>
      </c>
      <c r="C563" s="132" t="s">
        <v>3876</v>
      </c>
      <c r="D563" s="94" t="s">
        <v>3877</v>
      </c>
      <c r="E563" s="766" t="s">
        <v>3878</v>
      </c>
      <c r="F563" s="770" t="s">
        <v>20</v>
      </c>
      <c r="G563" s="770" t="s">
        <v>18</v>
      </c>
      <c r="H563" s="770"/>
      <c r="I563" s="295" t="s">
        <v>3879</v>
      </c>
      <c r="J563" s="94" t="s">
        <v>3880</v>
      </c>
      <c r="K563" s="766" t="s">
        <v>3868</v>
      </c>
      <c r="L563" s="766" t="s">
        <v>2704</v>
      </c>
      <c r="M563" s="770" t="s">
        <v>2402</v>
      </c>
      <c r="N563" s="770"/>
      <c r="O563" s="770" t="s">
        <v>3844</v>
      </c>
      <c r="P563" s="94" t="s">
        <v>3881</v>
      </c>
      <c r="Q563" s="1088">
        <v>33308</v>
      </c>
      <c r="R563" s="297">
        <v>26</v>
      </c>
      <c r="S563" s="770" t="s">
        <v>10</v>
      </c>
      <c r="T563" s="770"/>
      <c r="U563" s="295" t="s">
        <v>3879</v>
      </c>
      <c r="V563" s="770" t="s">
        <v>707</v>
      </c>
      <c r="W563" s="770"/>
      <c r="X563" s="770"/>
      <c r="Y563" s="770" t="s">
        <v>3878</v>
      </c>
      <c r="Z563" s="770" t="s">
        <v>708</v>
      </c>
      <c r="AA563" s="770" t="s">
        <v>709</v>
      </c>
      <c r="AB563" s="770" t="s">
        <v>7275</v>
      </c>
      <c r="AC563" s="770"/>
      <c r="AD563" s="770" t="s">
        <v>716</v>
      </c>
      <c r="AE563" s="770"/>
      <c r="AF563" s="770" t="s">
        <v>798</v>
      </c>
      <c r="AG563" s="770"/>
      <c r="AH563" s="770"/>
      <c r="AI563" s="770"/>
      <c r="AJ563" s="770"/>
      <c r="AK563" s="770" t="s">
        <v>3214</v>
      </c>
      <c r="AL563" s="531"/>
      <c r="AM563" s="780"/>
      <c r="AN563" s="532"/>
      <c r="AO563" s="766"/>
      <c r="AP563" s="766"/>
      <c r="AQ563" s="766"/>
      <c r="AR563" s="766"/>
      <c r="AS563" s="770"/>
      <c r="AT563" s="770"/>
      <c r="AU563" s="770"/>
      <c r="AV563" s="770"/>
      <c r="AW563" s="770"/>
      <c r="AX563" s="770"/>
      <c r="AY563" s="770"/>
      <c r="AZ563" s="770"/>
      <c r="BA563" s="770"/>
      <c r="BB563" s="770"/>
      <c r="BC563" s="770"/>
      <c r="BD563" s="770"/>
      <c r="BE563" s="770"/>
      <c r="BF563" s="302"/>
      <c r="BG563" s="302"/>
      <c r="BH563" s="770"/>
      <c r="BI563" s="770"/>
      <c r="BJ563" s="770"/>
      <c r="BK563" s="770"/>
      <c r="BL563" s="770"/>
      <c r="BM563" s="770" t="s">
        <v>1238</v>
      </c>
      <c r="BN563" s="770" t="s">
        <v>1263</v>
      </c>
      <c r="BO563" s="766"/>
      <c r="BP563" s="765">
        <v>6</v>
      </c>
      <c r="BQ563" s="773"/>
      <c r="BR563" s="774"/>
      <c r="BS563" s="6" t="s">
        <v>1149</v>
      </c>
      <c r="BT563" s="770"/>
      <c r="BU563" s="770"/>
      <c r="BV563" s="770"/>
      <c r="BW563" s="770"/>
      <c r="BX563" s="302"/>
      <c r="BY563" s="770"/>
      <c r="BZ563" s="302"/>
      <c r="CA563" s="770"/>
      <c r="CB563" s="770"/>
      <c r="CC563" s="770"/>
      <c r="CD563" s="770"/>
      <c r="CE563" s="770"/>
      <c r="CF563" s="1753"/>
      <c r="CG563" s="1754"/>
      <c r="CH563" s="770"/>
      <c r="CI563" s="770"/>
      <c r="CJ563" s="770"/>
      <c r="CK563" s="770"/>
      <c r="CL563" s="770"/>
      <c r="CM563" s="770"/>
      <c r="CN563" s="770"/>
      <c r="CO563" s="770"/>
      <c r="CP563" s="770"/>
      <c r="CQ563" s="770"/>
      <c r="CR563" s="302"/>
      <c r="CS563" s="770"/>
      <c r="CT563" s="770"/>
      <c r="CU563" s="305"/>
      <c r="CV563" s="770"/>
      <c r="CW563" s="770"/>
      <c r="CX563" s="770"/>
      <c r="CY563" s="770"/>
      <c r="CZ563" s="770"/>
      <c r="DA563" s="306"/>
      <c r="DB563" s="770"/>
      <c r="DC563" s="770"/>
      <c r="DD563" s="770"/>
      <c r="DE563" s="300"/>
      <c r="DF563" s="770"/>
      <c r="DG563" s="770"/>
      <c r="DH563" s="770"/>
      <c r="DI563" s="770"/>
      <c r="DJ563" s="770"/>
      <c r="DK563" s="770"/>
      <c r="DL563" s="770"/>
      <c r="DM563" s="770"/>
      <c r="DN563" s="322"/>
      <c r="DO563" s="770"/>
      <c r="DP563" s="770"/>
      <c r="DQ563" s="770"/>
      <c r="DR563" s="770"/>
      <c r="DS563" s="307"/>
      <c r="DT563" s="770"/>
      <c r="DU563" s="770"/>
      <c r="DV563" s="770"/>
      <c r="DW563" s="306"/>
      <c r="DX563" s="306"/>
      <c r="DY563" s="770"/>
      <c r="DZ563" s="770"/>
      <c r="EA563" s="770"/>
      <c r="EB563" s="770"/>
      <c r="EC563" s="770"/>
      <c r="ED563" s="770"/>
      <c r="EE563" s="770"/>
      <c r="EF563" s="770"/>
      <c r="EG563" s="770"/>
      <c r="EH563" s="770"/>
      <c r="EI563" s="770"/>
      <c r="EJ563" s="770"/>
      <c r="EK563" s="770"/>
      <c r="EL563" s="770"/>
      <c r="EM563" s="770"/>
      <c r="EN563" s="770"/>
      <c r="EO563" s="770"/>
      <c r="EP563" s="94"/>
      <c r="EQ563" s="770"/>
      <c r="ER563" s="770"/>
      <c r="ES563" s="770"/>
      <c r="ET563" s="770"/>
      <c r="EU563" s="770"/>
      <c r="EV563" s="770"/>
      <c r="EW563" s="770"/>
      <c r="EX563" s="770"/>
      <c r="EY563" s="770"/>
      <c r="EZ563" s="770"/>
      <c r="FA563" s="770"/>
      <c r="FB563" s="770"/>
      <c r="FC563" s="770"/>
      <c r="FD563" s="302"/>
      <c r="FE563" s="770"/>
      <c r="FF563" s="770"/>
      <c r="FG563" s="770"/>
      <c r="FH563" s="770" t="s">
        <v>1299</v>
      </c>
      <c r="FI563" s="770">
        <v>1</v>
      </c>
      <c r="FJ563" s="770" t="s">
        <v>3882</v>
      </c>
      <c r="FK563" s="770"/>
      <c r="FL563" s="770"/>
      <c r="FM563" s="302"/>
      <c r="FN563" s="302"/>
      <c r="FO563" s="302"/>
      <c r="FP563" s="770"/>
      <c r="FQ563" s="770"/>
      <c r="FR563" s="770" t="s">
        <v>1214</v>
      </c>
      <c r="FS563" s="770"/>
      <c r="FT563" s="770"/>
      <c r="FU563" s="770"/>
      <c r="FV563" s="770"/>
      <c r="FW563" s="770"/>
      <c r="FX563" s="770"/>
      <c r="FY563" s="770"/>
      <c r="FZ563" s="770"/>
      <c r="GA563" s="770"/>
      <c r="GB563" s="770"/>
      <c r="GC563" s="308"/>
      <c r="GD563" s="297"/>
      <c r="GE563" s="770" t="s">
        <v>1214</v>
      </c>
      <c r="GF563" s="302"/>
      <c r="GG563" s="302"/>
      <c r="GH563" s="770" t="s">
        <v>1791</v>
      </c>
      <c r="GI563" s="770" t="s">
        <v>2352</v>
      </c>
      <c r="GJ563" s="770"/>
      <c r="GK563" s="770" t="s">
        <v>2345</v>
      </c>
      <c r="GL563" s="766"/>
      <c r="GM563" s="770"/>
      <c r="GN563" s="299" t="s">
        <v>3883</v>
      </c>
      <c r="GO563" s="770"/>
      <c r="GP563" s="770" t="s">
        <v>1208</v>
      </c>
      <c r="GQ563" s="770" t="s">
        <v>1208</v>
      </c>
      <c r="GR563" s="770" t="s">
        <v>1208</v>
      </c>
      <c r="GS563" s="770" t="s">
        <v>1208</v>
      </c>
      <c r="GT563" s="770" t="s">
        <v>1208</v>
      </c>
      <c r="GU563" s="770"/>
      <c r="GV563" s="770"/>
      <c r="GW563" s="770"/>
      <c r="GX563" s="770"/>
      <c r="GY563" s="770" t="s">
        <v>1208</v>
      </c>
      <c r="GZ563" s="770" t="s">
        <v>1208</v>
      </c>
      <c r="HA563" s="770" t="s">
        <v>1208</v>
      </c>
      <c r="HB563" s="770" t="s">
        <v>1208</v>
      </c>
      <c r="HC563" s="770" t="s">
        <v>1208</v>
      </c>
      <c r="HD563" s="770" t="s">
        <v>1208</v>
      </c>
      <c r="HE563" s="770" t="s">
        <v>1208</v>
      </c>
      <c r="HF563" s="770"/>
      <c r="HG563" s="770"/>
      <c r="HH563" s="770"/>
      <c r="HI563" s="770" t="s">
        <v>1214</v>
      </c>
      <c r="HJ563" s="770"/>
      <c r="HK563" s="770"/>
      <c r="HL563" s="770" t="s">
        <v>1214</v>
      </c>
      <c r="HM563" s="770"/>
      <c r="HN563" s="770"/>
      <c r="HO563" s="770"/>
      <c r="HP563" s="770"/>
      <c r="HQ563" s="770"/>
      <c r="HR563" s="770"/>
      <c r="HS563" s="770"/>
      <c r="HT563" s="770"/>
      <c r="HU563" s="770"/>
      <c r="HV563" s="770"/>
      <c r="HW563" s="770"/>
      <c r="HX563" s="770"/>
      <c r="HY563" s="770"/>
      <c r="HZ563" s="770"/>
      <c r="IA563" s="770"/>
      <c r="IB563" s="770" t="s">
        <v>1207</v>
      </c>
      <c r="IC563" s="770"/>
      <c r="ID563" s="770"/>
      <c r="IE563" s="770"/>
      <c r="IF563" s="770"/>
      <c r="IG563" s="770"/>
      <c r="IH563" s="770"/>
      <c r="II563" s="770"/>
      <c r="IJ563" s="770"/>
      <c r="IK563" s="770"/>
      <c r="IL563" s="770"/>
      <c r="IM563" s="770"/>
      <c r="IN563" s="770"/>
      <c r="IO563" s="296"/>
      <c r="IP563" s="770"/>
      <c r="IQ563" s="770"/>
      <c r="IR563" s="770"/>
      <c r="IS563" s="770"/>
      <c r="IT563" s="770"/>
      <c r="IU563" s="770"/>
      <c r="IV563" s="770"/>
      <c r="IW563" s="770"/>
      <c r="IX563" s="770"/>
      <c r="IY563" s="770"/>
      <c r="IZ563" s="770"/>
      <c r="JA563" s="770"/>
      <c r="JB563" s="770"/>
      <c r="JC563" s="770"/>
      <c r="JD563" s="302"/>
      <c r="JE563" s="770"/>
      <c r="JF563" s="770"/>
      <c r="JG563" s="770"/>
      <c r="JH563" s="307"/>
      <c r="JI563" s="307"/>
      <c r="JJ563" s="770">
        <v>4</v>
      </c>
      <c r="JK563" s="770" t="s">
        <v>3884</v>
      </c>
      <c r="JL563" s="770">
        <v>1</v>
      </c>
      <c r="JM563" s="770">
        <v>1</v>
      </c>
      <c r="JN563" s="770">
        <v>1</v>
      </c>
      <c r="JO563" s="770">
        <v>1</v>
      </c>
      <c r="JP563" s="770"/>
      <c r="JQ563" s="770"/>
      <c r="JR563" s="770"/>
      <c r="JS563" s="770"/>
      <c r="JT563" s="766">
        <f t="shared" si="161"/>
        <v>2</v>
      </c>
      <c r="JU563" s="766">
        <f t="shared" si="161"/>
        <v>2</v>
      </c>
      <c r="JV563" s="766"/>
      <c r="JW563" s="766"/>
      <c r="JX563" s="770">
        <v>1</v>
      </c>
      <c r="JY563" s="770"/>
      <c r="JZ563" s="770"/>
      <c r="KA563" s="770">
        <v>1</v>
      </c>
      <c r="KB563" s="770">
        <v>1</v>
      </c>
      <c r="KC563" s="770">
        <v>1</v>
      </c>
      <c r="KD563" s="770"/>
      <c r="KE563" s="770"/>
      <c r="KF563" s="770"/>
      <c r="KG563" s="770"/>
      <c r="KH563" s="770"/>
      <c r="KI563" s="770"/>
      <c r="KJ563" s="770">
        <f t="shared" si="153"/>
        <v>2</v>
      </c>
      <c r="KK563" s="770">
        <f t="shared" si="153"/>
        <v>2</v>
      </c>
      <c r="KL563" s="770"/>
      <c r="KM563" s="770"/>
      <c r="KN563" s="770" t="s">
        <v>707</v>
      </c>
      <c r="KO563" s="770"/>
      <c r="KP563" s="770"/>
      <c r="KQ563" s="770"/>
      <c r="KR563" s="770">
        <v>1</v>
      </c>
      <c r="KS563" s="770"/>
      <c r="KT563" s="770"/>
      <c r="KU563" s="770">
        <v>1</v>
      </c>
      <c r="KV563" s="770"/>
      <c r="KW563" s="770"/>
      <c r="KX563" s="770"/>
      <c r="KY563" s="770"/>
      <c r="KZ563" s="770">
        <v>1</v>
      </c>
      <c r="LA563" s="770">
        <v>1</v>
      </c>
      <c r="LB563" s="770"/>
      <c r="LC563" s="770"/>
      <c r="LD563" s="770"/>
      <c r="LE563" s="770"/>
      <c r="LF563" s="770"/>
      <c r="LG563" s="770"/>
      <c r="LH563" s="770"/>
      <c r="LI563" s="770"/>
      <c r="LJ563" s="770"/>
      <c r="LK563" s="770"/>
      <c r="LL563" s="770"/>
      <c r="LM563" s="770"/>
      <c r="LN563" s="766">
        <f t="shared" si="159"/>
        <v>2</v>
      </c>
      <c r="LO563" s="766">
        <f t="shared" si="159"/>
        <v>2</v>
      </c>
      <c r="LP563" s="770">
        <v>1</v>
      </c>
      <c r="LQ563" s="770"/>
      <c r="LR563" s="770"/>
      <c r="LS563" s="770">
        <v>1</v>
      </c>
      <c r="LT563" s="770"/>
      <c r="LU563" s="770"/>
      <c r="LV563" s="770"/>
      <c r="LW563" s="770"/>
      <c r="LX563" s="769">
        <v>1</v>
      </c>
      <c r="LY563" s="766" t="str">
        <f t="shared" si="160"/>
        <v>within the BRGY</v>
      </c>
      <c r="LZ563" s="1709"/>
      <c r="MA563" s="1709"/>
      <c r="MB563" s="1709"/>
      <c r="MC563" s="1679">
        <f t="shared" si="158"/>
        <v>0</v>
      </c>
      <c r="MD563" s="1709"/>
      <c r="ME563" s="1709"/>
      <c r="MF563" s="1728">
        <v>2500</v>
      </c>
      <c r="MG563" s="1680">
        <f t="shared" si="149"/>
        <v>2500</v>
      </c>
      <c r="MH563" s="770" t="s">
        <v>2243</v>
      </c>
      <c r="MI563" s="1785">
        <v>1500</v>
      </c>
      <c r="MJ563" s="1785"/>
      <c r="MK563" s="1785">
        <v>250</v>
      </c>
      <c r="ML563" s="1785">
        <v>3000</v>
      </c>
      <c r="MM563" s="1785">
        <v>4000</v>
      </c>
      <c r="MN563" s="1785"/>
      <c r="MO563" s="1785">
        <v>1500</v>
      </c>
      <c r="MP563" s="1785">
        <v>1500</v>
      </c>
      <c r="MQ563" s="1785">
        <v>1000</v>
      </c>
      <c r="MR563" s="1785">
        <v>1000</v>
      </c>
      <c r="MS563" s="1785">
        <v>5000</v>
      </c>
      <c r="MT563" s="1785"/>
      <c r="MU563" s="1785"/>
      <c r="MV563" s="1785"/>
      <c r="MW563" s="1785"/>
      <c r="MX563" s="1785"/>
      <c r="MY563" s="1682">
        <f t="shared" si="147"/>
        <v>18750</v>
      </c>
      <c r="MZ563" s="770" t="s">
        <v>13395</v>
      </c>
      <c r="NA563" s="770" t="s">
        <v>13585</v>
      </c>
      <c r="NB563" s="770" t="s">
        <v>13016</v>
      </c>
      <c r="NC563" s="770" t="s">
        <v>13621</v>
      </c>
      <c r="ND563" s="770">
        <v>0</v>
      </c>
      <c r="NE563" s="770">
        <v>0</v>
      </c>
      <c r="NF563" s="770">
        <v>0</v>
      </c>
      <c r="NG563" s="770">
        <v>1</v>
      </c>
      <c r="NH563" s="770">
        <v>1</v>
      </c>
      <c r="NI563" s="770">
        <v>0</v>
      </c>
      <c r="NJ563" s="770">
        <v>1</v>
      </c>
      <c r="NK563" s="770">
        <v>0</v>
      </c>
      <c r="NL563" s="770">
        <v>0</v>
      </c>
      <c r="NM563" s="770">
        <v>0</v>
      </c>
      <c r="NN563" s="770">
        <v>0</v>
      </c>
      <c r="NO563" s="770">
        <v>0</v>
      </c>
      <c r="NP563" s="770">
        <v>0</v>
      </c>
      <c r="NQ563" s="770">
        <v>0</v>
      </c>
      <c r="NR563" s="770">
        <v>0</v>
      </c>
      <c r="NS563" s="770">
        <v>0</v>
      </c>
      <c r="NT563" s="770">
        <v>0</v>
      </c>
      <c r="NU563" s="770">
        <v>0</v>
      </c>
      <c r="NV563" s="770">
        <v>0</v>
      </c>
      <c r="NW563" s="770">
        <v>0</v>
      </c>
      <c r="NX563" s="770">
        <v>0</v>
      </c>
      <c r="NY563" s="770"/>
      <c r="NZ563" s="770"/>
      <c r="OA563" s="770"/>
      <c r="OB563" s="770"/>
      <c r="OC563" s="770"/>
      <c r="OD563" s="770"/>
      <c r="OE563" s="770"/>
      <c r="OF563" s="770"/>
      <c r="OG563" s="770"/>
      <c r="OH563" s="770"/>
      <c r="OI563" s="770"/>
      <c r="OJ563" s="770"/>
      <c r="OK563" s="770"/>
      <c r="OL563" s="770"/>
      <c r="OM563" s="770"/>
      <c r="ON563" s="770"/>
      <c r="OO563" s="770"/>
      <c r="OP563" s="770"/>
      <c r="OQ563" s="770"/>
      <c r="OR563" s="770"/>
      <c r="OS563" s="770"/>
      <c r="OT563" s="770"/>
      <c r="OU563" s="770"/>
      <c r="OV563" s="770"/>
      <c r="OW563" s="770"/>
      <c r="OX563" s="770"/>
      <c r="OY563" s="770"/>
      <c r="OZ563" s="770"/>
      <c r="PA563" s="770"/>
      <c r="PB563" s="770"/>
      <c r="PC563" s="770"/>
      <c r="PD563" s="770"/>
      <c r="PE563" s="770"/>
      <c r="PF563" s="770"/>
      <c r="PG563" s="770"/>
      <c r="PH563" s="770"/>
      <c r="PI563" s="770"/>
      <c r="PJ563" s="770"/>
      <c r="PK563" s="770" t="s">
        <v>1208</v>
      </c>
      <c r="PL563" s="770"/>
      <c r="PM563" s="770"/>
      <c r="PN563" s="770"/>
      <c r="PO563" s="770"/>
      <c r="PP563" s="770"/>
      <c r="PQ563" s="770"/>
      <c r="PR563" s="770" t="s">
        <v>1208</v>
      </c>
      <c r="PS563" s="770" t="s">
        <v>1208</v>
      </c>
      <c r="PT563" s="770" t="s">
        <v>1208</v>
      </c>
      <c r="PU563" s="770"/>
      <c r="PV563" s="770"/>
      <c r="PW563" s="770"/>
      <c r="PX563" s="770"/>
      <c r="PY563" s="770"/>
      <c r="PZ563" s="770"/>
      <c r="QA563" s="770"/>
      <c r="QB563" s="770"/>
      <c r="QC563" s="770"/>
      <c r="QD563" s="770"/>
      <c r="QE563" s="770"/>
      <c r="QF563" s="770"/>
      <c r="QG563" s="770"/>
      <c r="QH563" s="770"/>
      <c r="QI563" s="770"/>
      <c r="QJ563" s="770"/>
      <c r="QK563" s="770"/>
      <c r="QL563" s="770"/>
      <c r="QM563" s="770"/>
      <c r="QN563" s="770"/>
      <c r="QO563" s="770"/>
      <c r="QP563" s="770"/>
      <c r="QQ563" s="770"/>
      <c r="QR563" s="770"/>
      <c r="QS563" s="770"/>
      <c r="QT563" s="770"/>
      <c r="QU563" s="770"/>
      <c r="QV563" s="770"/>
      <c r="QW563" s="770"/>
      <c r="QX563" s="770"/>
      <c r="QY563" s="770"/>
      <c r="QZ563" s="770"/>
      <c r="RA563" s="770"/>
      <c r="RB563" s="770" t="s">
        <v>1214</v>
      </c>
      <c r="RC563" s="770"/>
      <c r="RD563" s="770"/>
      <c r="RE563" s="770"/>
      <c r="RF563" s="304"/>
      <c r="RG563" s="770"/>
      <c r="RH563" s="302"/>
      <c r="RI563" s="770"/>
      <c r="RJ563" s="770" t="s">
        <v>13743</v>
      </c>
      <c r="RK563" s="770" t="s">
        <v>13552</v>
      </c>
      <c r="RL563" s="1710"/>
      <c r="RM563" s="12"/>
      <c r="RN563" s="1711"/>
      <c r="RO563" s="132" t="s">
        <v>3876</v>
      </c>
      <c r="RP563" s="11"/>
      <c r="RQ563" s="11"/>
      <c r="RR563" s="17"/>
      <c r="RS563" s="767"/>
      <c r="RT563" s="11"/>
      <c r="RU563" s="11"/>
      <c r="RV563" s="771" t="s">
        <v>7419</v>
      </c>
      <c r="RW563" s="11" t="s">
        <v>7405</v>
      </c>
      <c r="RX563" s="11" t="s">
        <v>3870</v>
      </c>
      <c r="RY563" s="11"/>
      <c r="RZ563" s="11"/>
      <c r="SA563" s="771"/>
      <c r="SB563" s="11"/>
      <c r="SC563" s="11"/>
    </row>
    <row r="564" spans="1:497" ht="12.75" hidden="1" customHeight="1">
      <c r="A564" s="343" t="s">
        <v>7419</v>
      </c>
      <c r="B564" s="752" t="s">
        <v>7810</v>
      </c>
      <c r="C564" s="133" t="s">
        <v>2874</v>
      </c>
      <c r="D564" s="94" t="s">
        <v>3887</v>
      </c>
      <c r="E564" s="766" t="s">
        <v>3888</v>
      </c>
      <c r="F564" s="770" t="s">
        <v>28</v>
      </c>
      <c r="G564" s="770" t="s">
        <v>18</v>
      </c>
      <c r="H564" s="770"/>
      <c r="I564" s="1826" t="s">
        <v>3889</v>
      </c>
      <c r="J564" s="94" t="s">
        <v>3890</v>
      </c>
      <c r="K564" s="766" t="s">
        <v>3843</v>
      </c>
      <c r="L564" s="766" t="s">
        <v>3050</v>
      </c>
      <c r="M564" s="770" t="s">
        <v>1238</v>
      </c>
      <c r="N564" s="770"/>
      <c r="O564" s="770" t="s">
        <v>3896</v>
      </c>
      <c r="P564" s="94" t="s">
        <v>3891</v>
      </c>
      <c r="Q564" s="1088">
        <v>16035</v>
      </c>
      <c r="R564" s="297">
        <v>74</v>
      </c>
      <c r="S564" s="770" t="s">
        <v>18</v>
      </c>
      <c r="T564" s="770"/>
      <c r="U564" s="1827">
        <v>997993384</v>
      </c>
      <c r="V564" s="770" t="s">
        <v>707</v>
      </c>
      <c r="W564" s="770"/>
      <c r="X564" s="770"/>
      <c r="Y564" s="770" t="s">
        <v>3888</v>
      </c>
      <c r="Z564" s="770" t="s">
        <v>708</v>
      </c>
      <c r="AA564" s="770" t="s">
        <v>709</v>
      </c>
      <c r="AB564" s="770" t="s">
        <v>710</v>
      </c>
      <c r="AC564" s="770"/>
      <c r="AD564" s="770" t="s">
        <v>711</v>
      </c>
      <c r="AE564" s="770"/>
      <c r="AF564" s="770" t="s">
        <v>712</v>
      </c>
      <c r="AG564" s="766" t="s">
        <v>1095</v>
      </c>
      <c r="AH564" s="766" t="s">
        <v>1096</v>
      </c>
      <c r="AI564" s="770" t="s">
        <v>3294</v>
      </c>
      <c r="AJ564" s="770"/>
      <c r="AK564" s="770" t="s">
        <v>1097</v>
      </c>
      <c r="AL564" s="531">
        <v>54.4</v>
      </c>
      <c r="AM564" s="780">
        <v>21.76</v>
      </c>
      <c r="AN564" s="532">
        <f>AM564/AL564</f>
        <v>0.4</v>
      </c>
      <c r="AO564" s="766" t="s">
        <v>1149</v>
      </c>
      <c r="AP564" s="766" t="s">
        <v>5364</v>
      </c>
      <c r="AQ564" s="766" t="s">
        <v>7418</v>
      </c>
      <c r="AR564" s="766"/>
      <c r="AS564" s="770"/>
      <c r="AT564" s="770"/>
      <c r="AU564" s="770"/>
      <c r="AV564" s="770"/>
      <c r="AW564" s="770"/>
      <c r="AX564" s="770"/>
      <c r="AY564" s="770"/>
      <c r="AZ564" s="770"/>
      <c r="BA564" s="770"/>
      <c r="BB564" s="770"/>
      <c r="BC564" s="770"/>
      <c r="BD564" s="770"/>
      <c r="BE564" s="770"/>
      <c r="BF564" s="302"/>
      <c r="BG564" s="302"/>
      <c r="BH564" s="770"/>
      <c r="BI564" s="770"/>
      <c r="BJ564" s="770"/>
      <c r="BK564" s="770" t="s">
        <v>1095</v>
      </c>
      <c r="BL564" s="770" t="s">
        <v>3892</v>
      </c>
      <c r="BM564" s="770" t="s">
        <v>8108</v>
      </c>
      <c r="BN564" s="770" t="s">
        <v>1230</v>
      </c>
      <c r="BO564" s="766" t="s">
        <v>1239</v>
      </c>
      <c r="BP564" s="765">
        <v>108.8</v>
      </c>
      <c r="BQ564" s="773">
        <v>43.52</v>
      </c>
      <c r="BR564" s="774">
        <f>BQ564/BP564</f>
        <v>0.4</v>
      </c>
      <c r="BS564" s="6" t="s">
        <v>1149</v>
      </c>
      <c r="BT564" s="766" t="s">
        <v>2040</v>
      </c>
      <c r="BU564" s="770" t="s">
        <v>1249</v>
      </c>
      <c r="BV564" s="770" t="s">
        <v>1247</v>
      </c>
      <c r="BW564" s="770">
        <v>2011</v>
      </c>
      <c r="BX564" s="302">
        <v>400000</v>
      </c>
      <c r="BY564" s="770" t="s">
        <v>1207</v>
      </c>
      <c r="BZ564" s="302"/>
      <c r="CA564" s="770"/>
      <c r="CB564" s="770"/>
      <c r="CC564" s="770"/>
      <c r="CD564" s="770"/>
      <c r="CE564" s="770"/>
      <c r="CF564" s="1753"/>
      <c r="CG564" s="1754"/>
      <c r="CH564" s="770"/>
      <c r="CI564" s="770"/>
      <c r="CJ564" s="770"/>
      <c r="CK564" s="770"/>
      <c r="CL564" s="770"/>
      <c r="CM564" s="770"/>
      <c r="CN564" s="770"/>
      <c r="CO564" s="770"/>
      <c r="CP564" s="770"/>
      <c r="CQ564" s="770"/>
      <c r="CR564" s="302"/>
      <c r="CS564" s="770"/>
      <c r="CT564" s="770"/>
      <c r="CU564" s="305"/>
      <c r="CV564" s="770"/>
      <c r="CW564" s="770"/>
      <c r="CX564" s="770"/>
      <c r="CY564" s="770"/>
      <c r="CZ564" s="770"/>
      <c r="DA564" s="306"/>
      <c r="DB564" s="770"/>
      <c r="DC564" s="770"/>
      <c r="DD564" s="770"/>
      <c r="DE564" s="300"/>
      <c r="DF564" s="770"/>
      <c r="DG564" s="770"/>
      <c r="DH564" s="770"/>
      <c r="DI564" s="770"/>
      <c r="DJ564" s="770"/>
      <c r="DK564" s="770"/>
      <c r="DL564" s="770"/>
      <c r="DM564" s="770"/>
      <c r="DN564" s="322"/>
      <c r="DO564" s="770"/>
      <c r="DP564" s="770"/>
      <c r="DQ564" s="770"/>
      <c r="DR564" s="770"/>
      <c r="DS564" s="307"/>
      <c r="DT564" s="770"/>
      <c r="DU564" s="770"/>
      <c r="DV564" s="770"/>
      <c r="DW564" s="306"/>
      <c r="DX564" s="306"/>
      <c r="DY564" s="770"/>
      <c r="DZ564" s="770"/>
      <c r="EA564" s="770"/>
      <c r="EB564" s="770"/>
      <c r="EC564" s="770"/>
      <c r="ED564" s="770"/>
      <c r="EE564" s="770"/>
      <c r="EF564" s="770"/>
      <c r="EG564" s="770"/>
      <c r="EH564" s="770"/>
      <c r="EI564" s="770"/>
      <c r="EJ564" s="770"/>
      <c r="EK564" s="770"/>
      <c r="EL564" s="770"/>
      <c r="EM564" s="770"/>
      <c r="EN564" s="770"/>
      <c r="EO564" s="770"/>
      <c r="EP564" s="94"/>
      <c r="EQ564" s="770"/>
      <c r="ER564" s="770"/>
      <c r="ES564" s="770"/>
      <c r="ET564" s="770"/>
      <c r="EU564" s="770"/>
      <c r="EV564" s="770"/>
      <c r="EW564" s="770"/>
      <c r="EX564" s="770"/>
      <c r="EY564" s="770"/>
      <c r="EZ564" s="770"/>
      <c r="FA564" s="770"/>
      <c r="FB564" s="770"/>
      <c r="FC564" s="770"/>
      <c r="FD564" s="302"/>
      <c r="FE564" s="770"/>
      <c r="FF564" s="770"/>
      <c r="FG564" s="770"/>
      <c r="FH564" s="770" t="s">
        <v>478</v>
      </c>
      <c r="FI564" s="770">
        <v>1</v>
      </c>
      <c r="FJ564" s="770"/>
      <c r="FK564" s="770"/>
      <c r="FL564" s="770"/>
      <c r="FM564" s="302"/>
      <c r="FN564" s="302"/>
      <c r="FO564" s="302"/>
      <c r="FP564" s="770" t="s">
        <v>1600</v>
      </c>
      <c r="FQ564" s="770" t="s">
        <v>1642</v>
      </c>
      <c r="FR564" s="770" t="s">
        <v>1214</v>
      </c>
      <c r="FS564" s="770"/>
      <c r="FT564" s="770"/>
      <c r="FU564" s="770"/>
      <c r="FV564" s="770"/>
      <c r="FW564" s="770"/>
      <c r="FX564" s="770"/>
      <c r="FY564" s="770"/>
      <c r="FZ564" s="770"/>
      <c r="GA564" s="770"/>
      <c r="GB564" s="770" t="s">
        <v>1696</v>
      </c>
      <c r="GC564" s="308"/>
      <c r="GD564" s="297">
        <v>2011</v>
      </c>
      <c r="GE564" s="770" t="s">
        <v>1214</v>
      </c>
      <c r="GF564" s="302"/>
      <c r="GG564" s="302"/>
      <c r="GH564" s="1774" t="s">
        <v>1791</v>
      </c>
      <c r="GI564" s="770" t="s">
        <v>2352</v>
      </c>
      <c r="GJ564" s="770"/>
      <c r="GK564" s="770" t="s">
        <v>2345</v>
      </c>
      <c r="GL564" s="770"/>
      <c r="GM564" s="770"/>
      <c r="GN564" s="299"/>
      <c r="GO564" s="770"/>
      <c r="GP564" s="770" t="s">
        <v>1208</v>
      </c>
      <c r="GQ564" s="770" t="s">
        <v>1208</v>
      </c>
      <c r="GR564" s="770" t="s">
        <v>1208</v>
      </c>
      <c r="GS564" s="770" t="s">
        <v>1208</v>
      </c>
      <c r="GT564" s="770" t="s">
        <v>1208</v>
      </c>
      <c r="GU564" s="770"/>
      <c r="GV564" s="770"/>
      <c r="GW564" s="770" t="s">
        <v>1207</v>
      </c>
      <c r="GX564" s="770"/>
      <c r="GY564" s="770" t="s">
        <v>1208</v>
      </c>
      <c r="GZ564" s="770" t="s">
        <v>1208</v>
      </c>
      <c r="HA564" s="770" t="s">
        <v>1208</v>
      </c>
      <c r="HB564" s="770" t="s">
        <v>1208</v>
      </c>
      <c r="HC564" s="770" t="s">
        <v>1208</v>
      </c>
      <c r="HD564" s="770" t="s">
        <v>1208</v>
      </c>
      <c r="HE564" s="770" t="s">
        <v>1208</v>
      </c>
      <c r="HF564" s="770"/>
      <c r="HG564" s="770"/>
      <c r="HH564" s="770"/>
      <c r="HI564" s="770" t="s">
        <v>1214</v>
      </c>
      <c r="HJ564" s="770"/>
      <c r="HK564" s="770"/>
      <c r="HL564" s="770" t="s">
        <v>1214</v>
      </c>
      <c r="HM564" s="770"/>
      <c r="HN564" s="770"/>
      <c r="HO564" s="770"/>
      <c r="HP564" s="770"/>
      <c r="HQ564" s="770"/>
      <c r="HR564" s="770">
        <v>1</v>
      </c>
      <c r="HS564" s="770"/>
      <c r="HT564" s="770">
        <v>1</v>
      </c>
      <c r="HU564" s="770"/>
      <c r="HV564" s="770"/>
      <c r="HW564" s="770"/>
      <c r="HX564" s="770"/>
      <c r="HY564" s="770"/>
      <c r="HZ564" s="770"/>
      <c r="IA564" s="770"/>
      <c r="IB564" s="14" t="e">
        <f>IF(#REF!&gt;0,IF(#REF!&lt;=10000,"Y",""),"")</f>
        <v>#REF!</v>
      </c>
      <c r="IC564" s="770" t="s">
        <v>1207</v>
      </c>
      <c r="ID564" s="770">
        <v>1</v>
      </c>
      <c r="IE564" s="770">
        <v>1</v>
      </c>
      <c r="IF564" s="1828" t="s">
        <v>3890</v>
      </c>
      <c r="IG564" s="770" t="s">
        <v>18</v>
      </c>
      <c r="IH564" s="770" t="s">
        <v>1306</v>
      </c>
      <c r="II564" s="770" t="s">
        <v>3888</v>
      </c>
      <c r="IJ564" s="770" t="s">
        <v>1835</v>
      </c>
      <c r="IK564" s="770" t="s">
        <v>2639</v>
      </c>
      <c r="IL564" s="770" t="s">
        <v>3885</v>
      </c>
      <c r="IM564" s="770"/>
      <c r="IN564" s="770" t="s">
        <v>3893</v>
      </c>
      <c r="IO564" s="296">
        <v>24015</v>
      </c>
      <c r="IP564" s="770" t="s">
        <v>478</v>
      </c>
      <c r="IQ564" s="769" t="s">
        <v>1909</v>
      </c>
      <c r="IR564" s="770" t="s">
        <v>1964</v>
      </c>
      <c r="IS564" s="770" t="s">
        <v>1879</v>
      </c>
      <c r="IT564" s="770"/>
      <c r="IU564" s="770" t="s">
        <v>1208</v>
      </c>
      <c r="IV564" s="770"/>
      <c r="IW564" s="770" t="s">
        <v>13744</v>
      </c>
      <c r="IX564" s="770"/>
      <c r="IY564" s="13"/>
      <c r="IZ564" s="770"/>
      <c r="JA564" s="770" t="s">
        <v>1880</v>
      </c>
      <c r="JB564" s="770" t="s">
        <v>1901</v>
      </c>
      <c r="JC564" s="770"/>
      <c r="JD564" s="302">
        <v>3000</v>
      </c>
      <c r="JE564" s="770"/>
      <c r="JF564" s="770"/>
      <c r="JG564" s="770"/>
      <c r="JH564" s="307"/>
      <c r="JI564" s="307"/>
      <c r="JJ564" s="770">
        <v>7</v>
      </c>
      <c r="JK564" s="1139" t="s">
        <v>13745</v>
      </c>
      <c r="JL564" s="770">
        <v>1</v>
      </c>
      <c r="JM564" s="770"/>
      <c r="JN564" s="770">
        <v>1</v>
      </c>
      <c r="JO564" s="770">
        <v>5</v>
      </c>
      <c r="JP564" s="770"/>
      <c r="JQ564" s="770"/>
      <c r="JR564" s="770"/>
      <c r="JS564" s="770"/>
      <c r="JT564" s="766">
        <f t="shared" si="161"/>
        <v>2</v>
      </c>
      <c r="JU564" s="766">
        <f t="shared" si="161"/>
        <v>5</v>
      </c>
      <c r="JV564" s="712" t="str">
        <f>IF(JT564=KJ564,"ok","male")</f>
        <v>ok</v>
      </c>
      <c r="JW564" s="712" t="str">
        <f>IF(JU564=KK564,"ok","female")</f>
        <v>ok</v>
      </c>
      <c r="JX564" s="770"/>
      <c r="JY564" s="770"/>
      <c r="JZ564" s="770">
        <v>1</v>
      </c>
      <c r="KA564" s="770"/>
      <c r="KB564" s="770">
        <v>1</v>
      </c>
      <c r="KC564" s="770">
        <v>2</v>
      </c>
      <c r="KD564" s="770"/>
      <c r="KE564" s="770">
        <v>2</v>
      </c>
      <c r="KF564" s="770"/>
      <c r="KG564" s="770">
        <v>1</v>
      </c>
      <c r="KH564" s="770"/>
      <c r="KI564" s="770"/>
      <c r="KJ564" s="770">
        <f t="shared" si="153"/>
        <v>2</v>
      </c>
      <c r="KK564" s="770">
        <f t="shared" si="153"/>
        <v>5</v>
      </c>
      <c r="KL564" s="712" t="str">
        <f>IF(KJ564=LN564,"ok","male")</f>
        <v>ok</v>
      </c>
      <c r="KM564" s="712" t="str">
        <f>IF(KK564=LO564,"ok","female")</f>
        <v>ok</v>
      </c>
      <c r="KN564" s="770" t="s">
        <v>707</v>
      </c>
      <c r="KO564" s="770"/>
      <c r="KP564" s="770"/>
      <c r="KQ564" s="770"/>
      <c r="KR564" s="770"/>
      <c r="KS564" s="770"/>
      <c r="KT564" s="770">
        <v>1</v>
      </c>
      <c r="KU564" s="770">
        <v>1</v>
      </c>
      <c r="KV564" s="770"/>
      <c r="KW564" s="770"/>
      <c r="KX564" s="770"/>
      <c r="KY564" s="770"/>
      <c r="KZ564" s="770">
        <v>1</v>
      </c>
      <c r="LA564" s="770">
        <v>3</v>
      </c>
      <c r="LB564" s="770"/>
      <c r="LC564" s="770">
        <v>1</v>
      </c>
      <c r="LD564" s="770"/>
      <c r="LE564" s="770"/>
      <c r="LF564" s="770"/>
      <c r="LG564" s="770"/>
      <c r="LH564" s="770"/>
      <c r="LI564" s="770"/>
      <c r="LJ564" s="770"/>
      <c r="LK564" s="770"/>
      <c r="LL564" s="770"/>
      <c r="LM564" s="770"/>
      <c r="LN564" s="766">
        <f t="shared" si="159"/>
        <v>2</v>
      </c>
      <c r="LO564" s="766">
        <f t="shared" si="159"/>
        <v>5</v>
      </c>
      <c r="LP564" s="770">
        <v>1</v>
      </c>
      <c r="LQ564" s="770"/>
      <c r="LR564" s="770"/>
      <c r="LS564" s="770">
        <v>3</v>
      </c>
      <c r="LT564" s="712" t="str">
        <f>IF(LQ564=SUM(LU564:LW564),"OK","REV")</f>
        <v>OK</v>
      </c>
      <c r="LU564" s="770"/>
      <c r="LV564" s="770"/>
      <c r="LW564" s="770"/>
      <c r="LX564" s="769">
        <v>1</v>
      </c>
      <c r="LY564" s="766" t="str">
        <f t="shared" si="160"/>
        <v>within the BRGY</v>
      </c>
      <c r="LZ564" s="1709"/>
      <c r="MA564" s="1709"/>
      <c r="MB564" s="1709"/>
      <c r="MC564" s="1679">
        <f t="shared" si="158"/>
        <v>0</v>
      </c>
      <c r="MD564" s="1709"/>
      <c r="ME564" s="1709"/>
      <c r="MF564" s="1709">
        <v>3000</v>
      </c>
      <c r="MG564" s="1680">
        <f>SUM(MD564:MF564)</f>
        <v>3000</v>
      </c>
      <c r="MH564" s="770" t="s">
        <v>1928</v>
      </c>
      <c r="MI564" s="302">
        <v>5000</v>
      </c>
      <c r="MJ564" s="302">
        <v>900</v>
      </c>
      <c r="MK564" s="302">
        <v>4500</v>
      </c>
      <c r="ML564" s="302">
        <v>4000</v>
      </c>
      <c r="MM564" s="302">
        <v>585</v>
      </c>
      <c r="MN564" s="302"/>
      <c r="MO564" s="302">
        <v>900</v>
      </c>
      <c r="MP564" s="302"/>
      <c r="MQ564" s="302">
        <v>800</v>
      </c>
      <c r="MR564" s="302"/>
      <c r="MS564" s="302">
        <v>835</v>
      </c>
      <c r="MT564" s="302"/>
      <c r="MU564" s="302"/>
      <c r="MV564" s="302"/>
      <c r="MW564" s="302"/>
      <c r="MX564" s="302"/>
      <c r="MY564" s="1682">
        <f t="shared" si="147"/>
        <v>17520</v>
      </c>
      <c r="MZ564" s="770" t="s">
        <v>13395</v>
      </c>
      <c r="NA564" s="770" t="s">
        <v>13585</v>
      </c>
      <c r="NB564" s="770" t="s">
        <v>13033</v>
      </c>
      <c r="NC564" s="770" t="s">
        <v>13602</v>
      </c>
      <c r="ND564" s="770">
        <v>0</v>
      </c>
      <c r="NE564" s="770">
        <v>0</v>
      </c>
      <c r="NF564" s="770">
        <v>1</v>
      </c>
      <c r="NG564" s="770">
        <v>1</v>
      </c>
      <c r="NH564" s="770">
        <v>1</v>
      </c>
      <c r="NI564" s="770">
        <v>1</v>
      </c>
      <c r="NJ564" s="770">
        <v>1</v>
      </c>
      <c r="NK564" s="770">
        <v>0</v>
      </c>
      <c r="NL564" s="770">
        <v>1</v>
      </c>
      <c r="NM564" s="770">
        <v>0</v>
      </c>
      <c r="NN564" s="770">
        <v>0</v>
      </c>
      <c r="NO564" s="770">
        <v>0</v>
      </c>
      <c r="NP564" s="770">
        <v>0</v>
      </c>
      <c r="NQ564" s="770">
        <v>0</v>
      </c>
      <c r="NR564" s="770">
        <v>0</v>
      </c>
      <c r="NS564" s="770">
        <v>0</v>
      </c>
      <c r="NT564" s="770">
        <v>0</v>
      </c>
      <c r="NU564" s="770">
        <v>0</v>
      </c>
      <c r="NV564" s="770">
        <v>0</v>
      </c>
      <c r="NW564" s="770">
        <v>0</v>
      </c>
      <c r="NX564" s="770">
        <v>0</v>
      </c>
      <c r="NY564" s="770" t="s">
        <v>1208</v>
      </c>
      <c r="NZ564" s="770" t="s">
        <v>1208</v>
      </c>
      <c r="OA564" s="770" t="s">
        <v>1208</v>
      </c>
      <c r="OB564" s="770" t="s">
        <v>1208</v>
      </c>
      <c r="OC564" s="770" t="s">
        <v>1208</v>
      </c>
      <c r="OD564" s="770"/>
      <c r="OE564" s="770"/>
      <c r="OF564" s="1834" t="s">
        <v>13034</v>
      </c>
      <c r="OG564" s="770"/>
      <c r="OH564" s="770"/>
      <c r="OI564" s="770"/>
      <c r="OJ564" s="770"/>
      <c r="OK564" s="766"/>
      <c r="OL564" s="770"/>
      <c r="OM564" s="770"/>
      <c r="ON564" s="770"/>
      <c r="OO564" s="770" t="s">
        <v>1214</v>
      </c>
      <c r="OP564" s="770"/>
      <c r="OQ564" s="770"/>
      <c r="OR564" s="770"/>
      <c r="OS564" s="770"/>
      <c r="OT564" s="770"/>
      <c r="OU564" s="770"/>
      <c r="OV564" s="770"/>
      <c r="OW564" s="770"/>
      <c r="OX564" s="770"/>
      <c r="OY564" s="770"/>
      <c r="OZ564" s="770"/>
      <c r="PA564" s="770"/>
      <c r="PB564" s="770"/>
      <c r="PC564" s="770"/>
      <c r="PD564" s="770"/>
      <c r="PE564" s="770"/>
      <c r="PF564" s="770"/>
      <c r="PG564" s="770"/>
      <c r="PH564" s="770"/>
      <c r="PI564" s="770"/>
      <c r="PJ564" s="770"/>
      <c r="PK564" s="770" t="s">
        <v>1208</v>
      </c>
      <c r="PL564" s="770"/>
      <c r="PM564" s="770"/>
      <c r="PN564" s="770"/>
      <c r="PO564" s="770"/>
      <c r="PP564" s="770"/>
      <c r="PQ564" s="770"/>
      <c r="PR564" s="770"/>
      <c r="PS564" s="770" t="s">
        <v>1208</v>
      </c>
      <c r="PT564" s="770" t="s">
        <v>1208</v>
      </c>
      <c r="PU564" s="770"/>
      <c r="PV564" s="770"/>
      <c r="PW564" s="770"/>
      <c r="PX564" s="770"/>
      <c r="PY564" s="770"/>
      <c r="PZ564" s="770"/>
      <c r="QA564" s="770"/>
      <c r="QB564" s="770"/>
      <c r="QC564" s="770"/>
      <c r="QD564" s="770"/>
      <c r="QE564" s="770"/>
      <c r="QF564" s="770"/>
      <c r="QG564" s="770"/>
      <c r="QH564" s="770"/>
      <c r="QI564" s="770"/>
      <c r="QJ564" s="770"/>
      <c r="QK564" s="770"/>
      <c r="QL564" s="770"/>
      <c r="QM564" s="770"/>
      <c r="QN564" s="770"/>
      <c r="QO564" s="770"/>
      <c r="QP564" s="770"/>
      <c r="QQ564" s="770"/>
      <c r="QR564" s="770"/>
      <c r="QS564" s="770"/>
      <c r="QT564" s="770"/>
      <c r="QU564" s="770"/>
      <c r="QV564" s="770"/>
      <c r="QW564" s="770"/>
      <c r="QX564" s="770"/>
      <c r="QY564" s="770"/>
      <c r="QZ564" s="770"/>
      <c r="RA564" s="770"/>
      <c r="RB564" s="770" t="s">
        <v>1214</v>
      </c>
      <c r="RC564" s="770"/>
      <c r="RD564" s="770"/>
      <c r="RE564" s="770"/>
      <c r="RF564" s="304"/>
      <c r="RG564" s="770"/>
      <c r="RH564" s="302"/>
      <c r="RI564" s="770"/>
      <c r="RJ564" s="770" t="s">
        <v>3886</v>
      </c>
      <c r="RK564" s="770" t="s">
        <v>13552</v>
      </c>
      <c r="RL564" s="1710"/>
      <c r="RM564" s="12"/>
      <c r="RN564" s="1711"/>
      <c r="RO564" s="133" t="s">
        <v>2874</v>
      </c>
      <c r="RP564" s="11"/>
      <c r="RQ564" s="11"/>
      <c r="RR564" s="343" t="s">
        <v>7419</v>
      </c>
      <c r="RS564" s="1139" t="s">
        <v>12980</v>
      </c>
      <c r="RT564" s="11"/>
      <c r="RU564" s="11"/>
      <c r="RV564" s="771" t="s">
        <v>7419</v>
      </c>
      <c r="RW564" s="11" t="s">
        <v>7406</v>
      </c>
      <c r="RX564" s="11" t="s">
        <v>3864</v>
      </c>
      <c r="RY564" s="11"/>
      <c r="RZ564" s="11" t="s">
        <v>1101</v>
      </c>
      <c r="SA564" s="771"/>
      <c r="SB564" s="11"/>
      <c r="SC564" s="11"/>
    </row>
    <row r="565" spans="1:497" ht="12.75" hidden="1" customHeight="1">
      <c r="A565" s="343" t="s">
        <v>14221</v>
      </c>
      <c r="B565" s="752" t="s">
        <v>7811</v>
      </c>
      <c r="C565" s="133" t="s">
        <v>2874</v>
      </c>
      <c r="D565" s="94" t="s">
        <v>2875</v>
      </c>
      <c r="E565" s="766" t="s">
        <v>2876</v>
      </c>
      <c r="F565" s="770" t="s">
        <v>28</v>
      </c>
      <c r="G565" s="770" t="s">
        <v>10</v>
      </c>
      <c r="H565" s="770"/>
      <c r="I565" s="295"/>
      <c r="J565" s="94" t="s">
        <v>2875</v>
      </c>
      <c r="K565" s="766" t="s">
        <v>3843</v>
      </c>
      <c r="L565" s="766" t="s">
        <v>3050</v>
      </c>
      <c r="M565" s="770" t="s">
        <v>1238</v>
      </c>
      <c r="N565" s="770"/>
      <c r="O565" s="770" t="s">
        <v>3896</v>
      </c>
      <c r="P565" s="770" t="s">
        <v>2877</v>
      </c>
      <c r="Q565" s="1088">
        <v>25626</v>
      </c>
      <c r="R565" s="297">
        <v>47</v>
      </c>
      <c r="S565" s="770" t="s">
        <v>10</v>
      </c>
      <c r="T565" s="770"/>
      <c r="U565" s="295"/>
      <c r="V565" s="770" t="s">
        <v>707</v>
      </c>
      <c r="W565" s="770"/>
      <c r="X565" s="770"/>
      <c r="Y565" s="770" t="s">
        <v>2876</v>
      </c>
      <c r="Z565" s="770" t="s">
        <v>708</v>
      </c>
      <c r="AA565" s="770" t="s">
        <v>709</v>
      </c>
      <c r="AB565" s="770" t="s">
        <v>710</v>
      </c>
      <c r="AC565" s="770"/>
      <c r="AD565" s="770" t="s">
        <v>711</v>
      </c>
      <c r="AE565" s="770"/>
      <c r="AF565" s="770" t="s">
        <v>712</v>
      </c>
      <c r="AG565" s="770"/>
      <c r="AH565" s="770"/>
      <c r="AI565" s="770"/>
      <c r="AJ565" s="770"/>
      <c r="AK565" s="770" t="s">
        <v>5454</v>
      </c>
      <c r="AL565" s="531"/>
      <c r="AM565" s="780"/>
      <c r="AN565" s="532"/>
      <c r="AO565" s="766"/>
      <c r="AP565" s="766"/>
      <c r="AQ565" s="766"/>
      <c r="AR565" s="766"/>
      <c r="AS565" s="770"/>
      <c r="AT565" s="770"/>
      <c r="AU565" s="770"/>
      <c r="AV565" s="770"/>
      <c r="AW565" s="770"/>
      <c r="AX565" s="770"/>
      <c r="AY565" s="770"/>
      <c r="AZ565" s="770"/>
      <c r="BA565" s="770"/>
      <c r="BB565" s="770"/>
      <c r="BC565" s="770"/>
      <c r="BD565" s="770"/>
      <c r="BE565" s="770"/>
      <c r="BF565" s="302"/>
      <c r="BG565" s="302"/>
      <c r="BH565" s="770"/>
      <c r="BI565" s="770"/>
      <c r="BJ565" s="770"/>
      <c r="BK565" s="770"/>
      <c r="BL565" s="770"/>
      <c r="BM565" s="770" t="s">
        <v>1238</v>
      </c>
      <c r="BN565" s="770" t="s">
        <v>1230</v>
      </c>
      <c r="BO565" s="770"/>
      <c r="BP565" s="559"/>
      <c r="BQ565" s="559"/>
      <c r="BR565" s="559"/>
      <c r="BS565" s="6" t="s">
        <v>1149</v>
      </c>
      <c r="BT565" s="766"/>
      <c r="BU565" s="766"/>
      <c r="BV565" s="766"/>
      <c r="BW565" s="770"/>
      <c r="BX565" s="302"/>
      <c r="BY565" s="770"/>
      <c r="BZ565" s="302"/>
      <c r="CA565" s="770"/>
      <c r="CB565" s="770"/>
      <c r="CC565" s="770"/>
      <c r="CD565" s="770"/>
      <c r="CE565" s="770"/>
      <c r="CF565" s="1753"/>
      <c r="CG565" s="1754"/>
      <c r="CH565" s="770"/>
      <c r="CI565" s="770"/>
      <c r="CJ565" s="770"/>
      <c r="CK565" s="770"/>
      <c r="CL565" s="770"/>
      <c r="CM565" s="770"/>
      <c r="CN565" s="770"/>
      <c r="CO565" s="770"/>
      <c r="CP565" s="770"/>
      <c r="CQ565" s="770"/>
      <c r="CR565" s="302"/>
      <c r="CS565" s="770"/>
      <c r="CT565" s="770"/>
      <c r="CU565" s="305"/>
      <c r="CV565" s="770"/>
      <c r="CW565" s="770"/>
      <c r="CX565" s="770"/>
      <c r="CY565" s="770"/>
      <c r="CZ565" s="770"/>
      <c r="DA565" s="306"/>
      <c r="DB565" s="770"/>
      <c r="DC565" s="770"/>
      <c r="DD565" s="770"/>
      <c r="DE565" s="300"/>
      <c r="DF565" s="770"/>
      <c r="DG565" s="770"/>
      <c r="DH565" s="770"/>
      <c r="DI565" s="770"/>
      <c r="DJ565" s="770"/>
      <c r="DK565" s="770"/>
      <c r="DL565" s="770"/>
      <c r="DM565" s="770"/>
      <c r="DN565" s="322"/>
      <c r="DO565" s="770"/>
      <c r="DP565" s="770"/>
      <c r="DQ565" s="770"/>
      <c r="DR565" s="770"/>
      <c r="DS565" s="307"/>
      <c r="DT565" s="770"/>
      <c r="DU565" s="770"/>
      <c r="DV565" s="770"/>
      <c r="DW565" s="306"/>
      <c r="DX565" s="306"/>
      <c r="DY565" s="770"/>
      <c r="DZ565" s="770"/>
      <c r="EA565" s="770"/>
      <c r="EB565" s="770"/>
      <c r="EC565" s="770"/>
      <c r="ED565" s="770"/>
      <c r="EE565" s="770"/>
      <c r="EF565" s="770"/>
      <c r="EG565" s="770"/>
      <c r="EH565" s="770"/>
      <c r="EI565" s="770"/>
      <c r="EJ565" s="770"/>
      <c r="EK565" s="770"/>
      <c r="EL565" s="770"/>
      <c r="EM565" s="770"/>
      <c r="EN565" s="770"/>
      <c r="EO565" s="770"/>
      <c r="EP565" s="94"/>
      <c r="EQ565" s="770"/>
      <c r="ER565" s="770"/>
      <c r="ES565" s="770"/>
      <c r="ET565" s="770"/>
      <c r="EU565" s="770"/>
      <c r="EV565" s="770"/>
      <c r="EW565" s="770"/>
      <c r="EX565" s="770"/>
      <c r="EY565" s="770"/>
      <c r="EZ565" s="770"/>
      <c r="FA565" s="770"/>
      <c r="FB565" s="770"/>
      <c r="FC565" s="770"/>
      <c r="FD565" s="302"/>
      <c r="FE565" s="770"/>
      <c r="FF565" s="770"/>
      <c r="FG565" s="770"/>
      <c r="FH565" s="770"/>
      <c r="FI565" s="770"/>
      <c r="FJ565" s="770"/>
      <c r="FK565" s="770"/>
      <c r="FL565" s="770"/>
      <c r="FM565" s="302"/>
      <c r="FN565" s="302"/>
      <c r="FO565" s="302"/>
      <c r="FP565" s="770"/>
      <c r="FQ565" s="770"/>
      <c r="FR565" s="770" t="s">
        <v>1214</v>
      </c>
      <c r="FS565" s="770"/>
      <c r="FT565" s="770"/>
      <c r="FU565" s="770"/>
      <c r="FV565" s="770"/>
      <c r="FW565" s="770"/>
      <c r="FX565" s="770"/>
      <c r="FY565" s="770"/>
      <c r="FZ565" s="770"/>
      <c r="GA565" s="770"/>
      <c r="GB565" s="770"/>
      <c r="GC565" s="308"/>
      <c r="GD565" s="297"/>
      <c r="GE565" s="770"/>
      <c r="GF565" s="302"/>
      <c r="GG565" s="302"/>
      <c r="GH565" s="770"/>
      <c r="GI565" s="770"/>
      <c r="GJ565" s="770"/>
      <c r="GK565" s="770"/>
      <c r="GL565" s="770"/>
      <c r="GM565" s="770"/>
      <c r="GN565" s="299"/>
      <c r="GO565" s="770"/>
      <c r="GP565" s="770"/>
      <c r="GQ565" s="770"/>
      <c r="GR565" s="770"/>
      <c r="GS565" s="770"/>
      <c r="GT565" s="770"/>
      <c r="GU565" s="770"/>
      <c r="GV565" s="770"/>
      <c r="GW565" s="770"/>
      <c r="GX565" s="770"/>
      <c r="GY565" s="770"/>
      <c r="GZ565" s="770"/>
      <c r="HA565" s="770"/>
      <c r="HB565" s="770"/>
      <c r="HC565" s="770"/>
      <c r="HD565" s="770"/>
      <c r="HE565" s="770"/>
      <c r="HF565" s="770"/>
      <c r="HG565" s="770"/>
      <c r="HH565" s="770"/>
      <c r="HI565" s="770"/>
      <c r="HJ565" s="770"/>
      <c r="HK565" s="770"/>
      <c r="HL565" s="770"/>
      <c r="HM565" s="770"/>
      <c r="HN565" s="770"/>
      <c r="HO565" s="770"/>
      <c r="HP565" s="770"/>
      <c r="HQ565" s="770"/>
      <c r="HR565" s="770"/>
      <c r="HS565" s="770"/>
      <c r="HT565" s="770"/>
      <c r="HU565" s="770"/>
      <c r="HV565" s="770"/>
      <c r="HW565" s="770"/>
      <c r="HX565" s="770"/>
      <c r="HY565" s="770"/>
      <c r="HZ565" s="770"/>
      <c r="IA565" s="770"/>
      <c r="IB565" s="770" t="s">
        <v>1207</v>
      </c>
      <c r="IC565" s="770" t="s">
        <v>1207</v>
      </c>
      <c r="ID565" s="770"/>
      <c r="IE565" s="770"/>
      <c r="IF565" s="770" t="s">
        <v>2875</v>
      </c>
      <c r="IG565" s="770" t="s">
        <v>10</v>
      </c>
      <c r="IH565" s="770" t="s">
        <v>478</v>
      </c>
      <c r="II565" s="770" t="s">
        <v>2876</v>
      </c>
      <c r="IJ565" s="770" t="s">
        <v>2879</v>
      </c>
      <c r="IK565" s="770" t="s">
        <v>2639</v>
      </c>
      <c r="IL565" s="770" t="s">
        <v>2878</v>
      </c>
      <c r="IM565" s="770">
        <f>2017-31</f>
        <v>1986</v>
      </c>
      <c r="IN565" s="770" t="s">
        <v>2878</v>
      </c>
      <c r="IO565" s="296"/>
      <c r="IP565" s="770" t="s">
        <v>478</v>
      </c>
      <c r="IQ565" s="769" t="s">
        <v>7889</v>
      </c>
      <c r="IR565" s="770" t="s">
        <v>2716</v>
      </c>
      <c r="IS565" s="770" t="s">
        <v>1883</v>
      </c>
      <c r="IT565" s="770"/>
      <c r="IU565" s="770" t="s">
        <v>1208</v>
      </c>
      <c r="IV565" s="770"/>
      <c r="IW565" s="770" t="s">
        <v>13746</v>
      </c>
      <c r="IX565" s="770"/>
      <c r="IY565" s="770" t="s">
        <v>12797</v>
      </c>
      <c r="IZ565" s="770"/>
      <c r="JA565" s="770" t="s">
        <v>12775</v>
      </c>
      <c r="JB565" s="770" t="s">
        <v>1918</v>
      </c>
      <c r="JC565" s="770" t="s">
        <v>12778</v>
      </c>
      <c r="JD565" s="302"/>
      <c r="JE565" s="770">
        <v>4</v>
      </c>
      <c r="JF565" s="770">
        <v>1</v>
      </c>
      <c r="JG565" s="770"/>
      <c r="JH565" s="307">
        <f>400*4</f>
        <v>1600</v>
      </c>
      <c r="JI565" s="307"/>
      <c r="JJ565" s="770"/>
      <c r="JK565" s="770"/>
      <c r="JL565" s="770"/>
      <c r="JM565" s="770"/>
      <c r="JN565" s="770"/>
      <c r="JO565" s="770"/>
      <c r="JP565" s="770"/>
      <c r="JQ565" s="770"/>
      <c r="JR565" s="770"/>
      <c r="JS565" s="770"/>
      <c r="JT565" s="766"/>
      <c r="JU565" s="766"/>
      <c r="JV565" s="766"/>
      <c r="JW565" s="766"/>
      <c r="JX565" s="770"/>
      <c r="JY565" s="770"/>
      <c r="JZ565" s="770"/>
      <c r="KA565" s="770"/>
      <c r="KB565" s="770"/>
      <c r="KC565" s="770"/>
      <c r="KD565" s="770"/>
      <c r="KE565" s="770"/>
      <c r="KF565" s="770"/>
      <c r="KG565" s="770"/>
      <c r="KH565" s="770"/>
      <c r="KI565" s="770"/>
      <c r="KJ565" s="770"/>
      <c r="KK565" s="770"/>
      <c r="KL565" s="770"/>
      <c r="KM565" s="770"/>
      <c r="KN565" s="770"/>
      <c r="KO565" s="770"/>
      <c r="KP565" s="770"/>
      <c r="KQ565" s="770"/>
      <c r="KR565" s="770"/>
      <c r="KS565" s="770"/>
      <c r="KT565" s="770"/>
      <c r="KU565" s="770"/>
      <c r="KV565" s="770"/>
      <c r="KW565" s="770"/>
      <c r="KX565" s="770"/>
      <c r="KY565" s="770"/>
      <c r="KZ565" s="770"/>
      <c r="LA565" s="770"/>
      <c r="LB565" s="770"/>
      <c r="LC565" s="770"/>
      <c r="LD565" s="770"/>
      <c r="LE565" s="770"/>
      <c r="LF565" s="770"/>
      <c r="LG565" s="770"/>
      <c r="LH565" s="770"/>
      <c r="LI565" s="770"/>
      <c r="LJ565" s="770"/>
      <c r="LK565" s="770"/>
      <c r="LL565" s="770"/>
      <c r="LM565" s="770"/>
      <c r="LN565" s="766"/>
      <c r="LO565" s="766"/>
      <c r="LP565" s="770"/>
      <c r="LQ565" s="770"/>
      <c r="LR565" s="770"/>
      <c r="LS565" s="770"/>
      <c r="LT565" s="770"/>
      <c r="LU565" s="770"/>
      <c r="LV565" s="770"/>
      <c r="LW565" s="770"/>
      <c r="LX565" s="769"/>
      <c r="LY565" s="766" t="str">
        <f t="shared" si="160"/>
        <v/>
      </c>
      <c r="LZ565" s="1709"/>
      <c r="MA565" s="1709"/>
      <c r="MB565" s="1709"/>
      <c r="MC565" s="1679">
        <f t="shared" si="158"/>
        <v>0</v>
      </c>
      <c r="MD565" s="1709"/>
      <c r="ME565" s="1709"/>
      <c r="MF565" s="1709"/>
      <c r="MG565" s="1680">
        <f t="shared" si="149"/>
        <v>0</v>
      </c>
      <c r="MH565" s="770"/>
      <c r="MI565" s="302"/>
      <c r="MJ565" s="302"/>
      <c r="MK565" s="302"/>
      <c r="ML565" s="302"/>
      <c r="MM565" s="302"/>
      <c r="MN565" s="302"/>
      <c r="MO565" s="302"/>
      <c r="MP565" s="302"/>
      <c r="MQ565" s="302"/>
      <c r="MR565" s="302"/>
      <c r="MS565" s="302"/>
      <c r="MT565" s="302"/>
      <c r="MU565" s="302"/>
      <c r="MV565" s="302"/>
      <c r="MW565" s="302"/>
      <c r="MX565" s="302"/>
      <c r="MY565" s="1682">
        <f t="shared" si="147"/>
        <v>0</v>
      </c>
      <c r="MZ565" s="770"/>
      <c r="NA565" s="770"/>
      <c r="NB565" s="770"/>
      <c r="NC565" s="770"/>
      <c r="ND565" s="770"/>
      <c r="NE565" s="770"/>
      <c r="NF565" s="770"/>
      <c r="NG565" s="770"/>
      <c r="NH565" s="770"/>
      <c r="NI565" s="770"/>
      <c r="NJ565" s="770"/>
      <c r="NK565" s="770"/>
      <c r="NL565" s="770"/>
      <c r="NM565" s="770"/>
      <c r="NN565" s="770"/>
      <c r="NO565" s="770"/>
      <c r="NP565" s="770"/>
      <c r="NQ565" s="770"/>
      <c r="NR565" s="770"/>
      <c r="NS565" s="770"/>
      <c r="NT565" s="770"/>
      <c r="NU565" s="770"/>
      <c r="NV565" s="770"/>
      <c r="NW565" s="770"/>
      <c r="NX565" s="770"/>
      <c r="NY565" s="770"/>
      <c r="NZ565" s="770"/>
      <c r="OA565" s="770"/>
      <c r="OB565" s="770"/>
      <c r="OC565" s="770"/>
      <c r="OD565" s="770"/>
      <c r="OE565" s="770"/>
      <c r="OF565" s="770"/>
      <c r="OG565" s="770"/>
      <c r="OH565" s="770"/>
      <c r="OI565" s="770"/>
      <c r="OJ565" s="770"/>
      <c r="OK565" s="770"/>
      <c r="OL565" s="770"/>
      <c r="OM565" s="770"/>
      <c r="ON565" s="770"/>
      <c r="OO565" s="770"/>
      <c r="OP565" s="770"/>
      <c r="OQ565" s="770"/>
      <c r="OR565" s="770"/>
      <c r="OS565" s="770"/>
      <c r="OT565" s="770"/>
      <c r="OU565" s="770"/>
      <c r="OV565" s="770"/>
      <c r="OW565" s="770"/>
      <c r="OX565" s="770"/>
      <c r="OY565" s="770"/>
      <c r="OZ565" s="770"/>
      <c r="PA565" s="770"/>
      <c r="PB565" s="770"/>
      <c r="PC565" s="770"/>
      <c r="PD565" s="770"/>
      <c r="PE565" s="770"/>
      <c r="PF565" s="770"/>
      <c r="PG565" s="770"/>
      <c r="PH565" s="770"/>
      <c r="PI565" s="770"/>
      <c r="PJ565" s="770"/>
      <c r="PK565" s="770"/>
      <c r="PL565" s="770"/>
      <c r="PM565" s="770"/>
      <c r="PN565" s="770"/>
      <c r="PO565" s="770"/>
      <c r="PP565" s="770"/>
      <c r="PQ565" s="770"/>
      <c r="PR565" s="770"/>
      <c r="PS565" s="770"/>
      <c r="PT565" s="770"/>
      <c r="PU565" s="770"/>
      <c r="PV565" s="770"/>
      <c r="PW565" s="770"/>
      <c r="PX565" s="770"/>
      <c r="PY565" s="770"/>
      <c r="PZ565" s="770"/>
      <c r="QA565" s="770"/>
      <c r="QB565" s="770"/>
      <c r="QC565" s="770"/>
      <c r="QD565" s="770"/>
      <c r="QE565" s="770"/>
      <c r="QF565" s="770"/>
      <c r="QG565" s="770"/>
      <c r="QH565" s="770"/>
      <c r="QI565" s="770"/>
      <c r="QJ565" s="770"/>
      <c r="QK565" s="770"/>
      <c r="QL565" s="770"/>
      <c r="QM565" s="770"/>
      <c r="QN565" s="770"/>
      <c r="QO565" s="770"/>
      <c r="QP565" s="770"/>
      <c r="QQ565" s="770"/>
      <c r="QR565" s="770"/>
      <c r="QS565" s="770"/>
      <c r="QT565" s="770"/>
      <c r="QU565" s="770"/>
      <c r="QV565" s="770"/>
      <c r="QW565" s="770"/>
      <c r="QX565" s="770"/>
      <c r="QY565" s="770"/>
      <c r="QZ565" s="770"/>
      <c r="RA565" s="770"/>
      <c r="RB565" s="770"/>
      <c r="RC565" s="770"/>
      <c r="RD565" s="770"/>
      <c r="RE565" s="770"/>
      <c r="RF565" s="304"/>
      <c r="RG565" s="770"/>
      <c r="RH565" s="302"/>
      <c r="RI565" s="770"/>
      <c r="RJ565" s="770" t="s">
        <v>13747</v>
      </c>
      <c r="RK565" s="770" t="s">
        <v>13544</v>
      </c>
      <c r="RL565" s="1710"/>
      <c r="RM565" s="12"/>
      <c r="RN565" s="1711"/>
      <c r="RO565" s="133" t="s">
        <v>2874</v>
      </c>
      <c r="RP565" s="11"/>
      <c r="RQ565" s="11"/>
      <c r="RR565" s="17"/>
      <c r="RS565" s="767"/>
      <c r="RT565" s="11"/>
      <c r="RU565" s="11"/>
      <c r="RV565" s="771" t="s">
        <v>13748</v>
      </c>
      <c r="RW565" s="11" t="s">
        <v>7719</v>
      </c>
      <c r="RX565" s="11" t="s">
        <v>3876</v>
      </c>
      <c r="RY565" s="11"/>
      <c r="RZ565" s="11"/>
      <c r="SA565" s="771"/>
      <c r="SB565" s="11"/>
      <c r="SC565" s="11"/>
    </row>
    <row r="566" spans="1:497" ht="12.75" hidden="1" customHeight="1">
      <c r="A566" s="343" t="s">
        <v>14221</v>
      </c>
      <c r="B566" s="752" t="s">
        <v>7812</v>
      </c>
      <c r="C566" s="133" t="s">
        <v>2874</v>
      </c>
      <c r="D566" s="94" t="s">
        <v>2880</v>
      </c>
      <c r="E566" s="766" t="s">
        <v>2876</v>
      </c>
      <c r="F566" s="770" t="s">
        <v>28</v>
      </c>
      <c r="G566" s="770" t="s">
        <v>10</v>
      </c>
      <c r="H566" s="770"/>
      <c r="I566" s="295"/>
      <c r="J566" s="94" t="s">
        <v>2881</v>
      </c>
      <c r="K566" s="766" t="s">
        <v>3843</v>
      </c>
      <c r="L566" s="766" t="s">
        <v>3050</v>
      </c>
      <c r="M566" s="770"/>
      <c r="N566" s="770"/>
      <c r="O566" s="770"/>
      <c r="P566" s="770" t="s">
        <v>2882</v>
      </c>
      <c r="Q566" s="1088">
        <v>13322</v>
      </c>
      <c r="R566" s="297">
        <v>51</v>
      </c>
      <c r="S566" s="770" t="s">
        <v>10</v>
      </c>
      <c r="T566" s="770"/>
      <c r="U566" s="295"/>
      <c r="V566" s="770" t="s">
        <v>707</v>
      </c>
      <c r="W566" s="770"/>
      <c r="X566" s="770"/>
      <c r="Y566" s="770" t="s">
        <v>2876</v>
      </c>
      <c r="Z566" s="770" t="s">
        <v>708</v>
      </c>
      <c r="AA566" s="770" t="s">
        <v>781</v>
      </c>
      <c r="AB566" s="770" t="s">
        <v>710</v>
      </c>
      <c r="AC566" s="770"/>
      <c r="AD566" s="770" t="s">
        <v>711</v>
      </c>
      <c r="AE566" s="770"/>
      <c r="AF566" s="770" t="s">
        <v>712</v>
      </c>
      <c r="AG566" s="770"/>
      <c r="AH566" s="770"/>
      <c r="AI566" s="770"/>
      <c r="AJ566" s="770"/>
      <c r="AK566" s="770" t="s">
        <v>5454</v>
      </c>
      <c r="AL566" s="531"/>
      <c r="AM566" s="780"/>
      <c r="AN566" s="532"/>
      <c r="AO566" s="766"/>
      <c r="AP566" s="766"/>
      <c r="AQ566" s="766"/>
      <c r="AR566" s="766"/>
      <c r="AS566" s="770"/>
      <c r="AT566" s="770"/>
      <c r="AU566" s="770"/>
      <c r="AV566" s="770"/>
      <c r="AW566" s="770"/>
      <c r="AX566" s="770"/>
      <c r="AY566" s="770"/>
      <c r="AZ566" s="770"/>
      <c r="BA566" s="770"/>
      <c r="BB566" s="770"/>
      <c r="BC566" s="770"/>
      <c r="BD566" s="770"/>
      <c r="BE566" s="770"/>
      <c r="BF566" s="302"/>
      <c r="BG566" s="302"/>
      <c r="BH566" s="770"/>
      <c r="BI566" s="770"/>
      <c r="BJ566" s="770"/>
      <c r="BK566" s="770"/>
      <c r="BL566" s="770"/>
      <c r="BM566" s="770" t="s">
        <v>1238</v>
      </c>
      <c r="BN566" s="770" t="s">
        <v>1299</v>
      </c>
      <c r="BO566" s="770"/>
      <c r="BP566" s="765"/>
      <c r="BQ566" s="773"/>
      <c r="BR566" s="774"/>
      <c r="BS566" s="6" t="s">
        <v>1149</v>
      </c>
      <c r="BT566" s="770"/>
      <c r="BU566" s="770"/>
      <c r="BV566" s="770"/>
      <c r="BW566" s="770"/>
      <c r="BX566" s="302"/>
      <c r="BY566" s="770"/>
      <c r="BZ566" s="302"/>
      <c r="CA566" s="770"/>
      <c r="CB566" s="770"/>
      <c r="CC566" s="770"/>
      <c r="CD566" s="770"/>
      <c r="CE566" s="770"/>
      <c r="CF566" s="1753"/>
      <c r="CG566" s="1754"/>
      <c r="CH566" s="770"/>
      <c r="CI566" s="770"/>
      <c r="CJ566" s="770"/>
      <c r="CK566" s="770"/>
      <c r="CL566" s="770"/>
      <c r="CM566" s="770"/>
      <c r="CN566" s="770"/>
      <c r="CO566" s="770"/>
      <c r="CP566" s="770"/>
      <c r="CQ566" s="770"/>
      <c r="CR566" s="302"/>
      <c r="CS566" s="770"/>
      <c r="CT566" s="770"/>
      <c r="CU566" s="305"/>
      <c r="CV566" s="770"/>
      <c r="CW566" s="770"/>
      <c r="CX566" s="770"/>
      <c r="CY566" s="770"/>
      <c r="CZ566" s="770"/>
      <c r="DA566" s="306"/>
      <c r="DB566" s="770"/>
      <c r="DC566" s="770"/>
      <c r="DD566" s="770"/>
      <c r="DE566" s="300"/>
      <c r="DF566" s="770"/>
      <c r="DG566" s="770"/>
      <c r="DH566" s="770"/>
      <c r="DI566" s="770"/>
      <c r="DJ566" s="770"/>
      <c r="DK566" s="770"/>
      <c r="DL566" s="770"/>
      <c r="DM566" s="770"/>
      <c r="DN566" s="322"/>
      <c r="DO566" s="770"/>
      <c r="DP566" s="770"/>
      <c r="DQ566" s="770"/>
      <c r="DR566" s="770"/>
      <c r="DS566" s="307"/>
      <c r="DT566" s="770"/>
      <c r="DU566" s="770"/>
      <c r="DV566" s="770"/>
      <c r="DW566" s="306"/>
      <c r="DX566" s="306"/>
      <c r="DY566" s="770"/>
      <c r="DZ566" s="770"/>
      <c r="EA566" s="770"/>
      <c r="EB566" s="770"/>
      <c r="EC566" s="770"/>
      <c r="ED566" s="770"/>
      <c r="EE566" s="770"/>
      <c r="EF566" s="770"/>
      <c r="EG566" s="770"/>
      <c r="EH566" s="770"/>
      <c r="EI566" s="770"/>
      <c r="EJ566" s="770"/>
      <c r="EK566" s="770"/>
      <c r="EL566" s="770"/>
      <c r="EM566" s="770"/>
      <c r="EN566" s="770"/>
      <c r="EO566" s="770"/>
      <c r="EP566" s="94"/>
      <c r="EQ566" s="770"/>
      <c r="ER566" s="770"/>
      <c r="ES566" s="770"/>
      <c r="ET566" s="770"/>
      <c r="EU566" s="770"/>
      <c r="EV566" s="770"/>
      <c r="EW566" s="770"/>
      <c r="EX566" s="770"/>
      <c r="EY566" s="770"/>
      <c r="EZ566" s="770"/>
      <c r="FA566" s="770"/>
      <c r="FB566" s="770"/>
      <c r="FC566" s="770"/>
      <c r="FD566" s="302"/>
      <c r="FE566" s="770"/>
      <c r="FF566" s="770"/>
      <c r="FG566" s="770"/>
      <c r="FH566" s="770" t="s">
        <v>1985</v>
      </c>
      <c r="FI566" s="770">
        <v>1</v>
      </c>
      <c r="FJ566" s="770" t="s">
        <v>2878</v>
      </c>
      <c r="FK566" s="770"/>
      <c r="FL566" s="770" t="s">
        <v>2883</v>
      </c>
      <c r="FM566" s="302"/>
      <c r="FN566" s="302"/>
      <c r="FO566" s="302"/>
      <c r="FP566" s="770" t="s">
        <v>1602</v>
      </c>
      <c r="FQ566" s="770" t="s">
        <v>1660</v>
      </c>
      <c r="FR566" s="770" t="s">
        <v>1214</v>
      </c>
      <c r="FS566" s="770"/>
      <c r="FT566" s="770"/>
      <c r="FU566" s="770"/>
      <c r="FV566" s="770"/>
      <c r="FW566" s="770"/>
      <c r="FX566" s="770"/>
      <c r="FY566" s="770"/>
      <c r="FZ566" s="770"/>
      <c r="GA566" s="770"/>
      <c r="GB566" s="770"/>
      <c r="GC566" s="308"/>
      <c r="GD566" s="297"/>
      <c r="GE566" s="770"/>
      <c r="GF566" s="302"/>
      <c r="GG566" s="302"/>
      <c r="GH566" s="770" t="s">
        <v>1791</v>
      </c>
      <c r="GI566" s="770" t="s">
        <v>2352</v>
      </c>
      <c r="GJ566" s="770"/>
      <c r="GK566" s="770" t="s">
        <v>2345</v>
      </c>
      <c r="GL566" s="770"/>
      <c r="GM566" s="770" t="s">
        <v>2976</v>
      </c>
      <c r="GN566" s="299"/>
      <c r="GO566" s="770" t="s">
        <v>2770</v>
      </c>
      <c r="GP566" s="770"/>
      <c r="GQ566" s="770" t="s">
        <v>1208</v>
      </c>
      <c r="GR566" s="770" t="s">
        <v>1208</v>
      </c>
      <c r="GS566" s="770" t="s">
        <v>1208</v>
      </c>
      <c r="GT566" s="770" t="s">
        <v>1208</v>
      </c>
      <c r="GU566" s="770"/>
      <c r="GV566" s="770"/>
      <c r="GW566" s="770" t="s">
        <v>1207</v>
      </c>
      <c r="GX566" s="770"/>
      <c r="GY566" s="770" t="s">
        <v>1208</v>
      </c>
      <c r="GZ566" s="770" t="s">
        <v>1208</v>
      </c>
      <c r="HA566" s="770" t="s">
        <v>1208</v>
      </c>
      <c r="HB566" s="770" t="s">
        <v>1208</v>
      </c>
      <c r="HC566" s="770"/>
      <c r="HD566" s="770"/>
      <c r="HE566" s="770"/>
      <c r="HF566" s="770"/>
      <c r="HG566" s="770"/>
      <c r="HH566" s="770"/>
      <c r="HI566" s="770" t="s">
        <v>1214</v>
      </c>
      <c r="HJ566" s="770"/>
      <c r="HK566" s="770"/>
      <c r="HL566" s="770"/>
      <c r="HM566" s="770"/>
      <c r="HN566" s="770"/>
      <c r="HO566" s="770"/>
      <c r="HP566" s="770"/>
      <c r="HQ566" s="770"/>
      <c r="HR566" s="770"/>
      <c r="HS566" s="770"/>
      <c r="HT566" s="770"/>
      <c r="HU566" s="770"/>
      <c r="HV566" s="770"/>
      <c r="HW566" s="770"/>
      <c r="HX566" s="770"/>
      <c r="HY566" s="770"/>
      <c r="HZ566" s="770"/>
      <c r="IA566" s="770"/>
      <c r="IB566" s="770" t="s">
        <v>1207</v>
      </c>
      <c r="IC566" s="770" t="s">
        <v>1207</v>
      </c>
      <c r="ID566" s="770"/>
      <c r="IE566" s="770"/>
      <c r="IF566" s="770"/>
      <c r="IG566" s="770"/>
      <c r="IH566" s="770"/>
      <c r="II566" s="770"/>
      <c r="IJ566" s="770"/>
      <c r="IK566" s="770"/>
      <c r="IL566" s="770"/>
      <c r="IM566" s="770"/>
      <c r="IN566" s="770"/>
      <c r="IO566" s="296"/>
      <c r="IP566" s="770"/>
      <c r="IQ566" s="770"/>
      <c r="IR566" s="770"/>
      <c r="IS566" s="770"/>
      <c r="IT566" s="770"/>
      <c r="IU566" s="770"/>
      <c r="IV566" s="770"/>
      <c r="IW566" s="770"/>
      <c r="IX566" s="770"/>
      <c r="IY566" s="770"/>
      <c r="IZ566" s="770"/>
      <c r="JA566" s="770"/>
      <c r="JB566" s="770"/>
      <c r="JC566" s="770"/>
      <c r="JD566" s="302"/>
      <c r="JE566" s="770"/>
      <c r="JF566" s="770"/>
      <c r="JG566" s="770"/>
      <c r="JH566" s="307"/>
      <c r="JI566" s="307"/>
      <c r="JJ566" s="770">
        <v>8</v>
      </c>
      <c r="JK566" s="770" t="s">
        <v>2977</v>
      </c>
      <c r="JL566" s="770">
        <v>1</v>
      </c>
      <c r="JM566" s="770">
        <v>1</v>
      </c>
      <c r="JN566" s="770">
        <v>4</v>
      </c>
      <c r="JO566" s="770">
        <v>2</v>
      </c>
      <c r="JP566" s="770"/>
      <c r="JQ566" s="770"/>
      <c r="JR566" s="770"/>
      <c r="JS566" s="770"/>
      <c r="JT566" s="766">
        <f t="shared" ref="JT566:JU570" si="162">SUM(JP566,JN566,JL566,JR566)</f>
        <v>5</v>
      </c>
      <c r="JU566" s="766">
        <f t="shared" si="162"/>
        <v>3</v>
      </c>
      <c r="JV566" s="766"/>
      <c r="JW566" s="766"/>
      <c r="JX566" s="770">
        <v>1</v>
      </c>
      <c r="JY566" s="770">
        <v>1</v>
      </c>
      <c r="JZ566" s="770"/>
      <c r="KA566" s="770"/>
      <c r="KB566" s="770">
        <v>3</v>
      </c>
      <c r="KC566" s="770">
        <v>1</v>
      </c>
      <c r="KD566" s="770">
        <v>1</v>
      </c>
      <c r="KE566" s="770">
        <v>1</v>
      </c>
      <c r="KF566" s="770"/>
      <c r="KG566" s="770"/>
      <c r="KH566" s="770"/>
      <c r="KI566" s="770"/>
      <c r="KJ566" s="770">
        <f t="shared" si="153"/>
        <v>5</v>
      </c>
      <c r="KK566" s="770">
        <f t="shared" si="153"/>
        <v>3</v>
      </c>
      <c r="KL566" s="770"/>
      <c r="KM566" s="770"/>
      <c r="KN566" s="770" t="s">
        <v>707</v>
      </c>
      <c r="KO566" s="770"/>
      <c r="KP566" s="770"/>
      <c r="KQ566" s="770"/>
      <c r="KR566" s="770"/>
      <c r="KS566" s="770"/>
      <c r="KT566" s="770"/>
      <c r="KU566" s="770"/>
      <c r="KV566" s="770">
        <v>1</v>
      </c>
      <c r="KW566" s="770"/>
      <c r="KX566" s="770"/>
      <c r="KY566" s="770"/>
      <c r="KZ566" s="770">
        <v>1</v>
      </c>
      <c r="LA566" s="770">
        <v>2</v>
      </c>
      <c r="LB566" s="770">
        <v>1</v>
      </c>
      <c r="LC566" s="770"/>
      <c r="LD566" s="770">
        <v>1</v>
      </c>
      <c r="LE566" s="770"/>
      <c r="LF566" s="770"/>
      <c r="LG566" s="770"/>
      <c r="LH566" s="770"/>
      <c r="LI566" s="770"/>
      <c r="LJ566" s="770">
        <v>1</v>
      </c>
      <c r="LK566" s="770">
        <v>1</v>
      </c>
      <c r="LL566" s="770"/>
      <c r="LM566" s="770"/>
      <c r="LN566" s="766">
        <f t="shared" si="159"/>
        <v>5</v>
      </c>
      <c r="LO566" s="766">
        <f t="shared" si="159"/>
        <v>3</v>
      </c>
      <c r="LP566" s="770">
        <v>4</v>
      </c>
      <c r="LQ566" s="770">
        <v>4</v>
      </c>
      <c r="LR566" s="770"/>
      <c r="LS566" s="770"/>
      <c r="LT566" s="770"/>
      <c r="LU566" s="770">
        <v>2</v>
      </c>
      <c r="LV566" s="770">
        <v>2</v>
      </c>
      <c r="LW566" s="770"/>
      <c r="LX566" s="769">
        <v>1</v>
      </c>
      <c r="LY566" s="766" t="str">
        <f t="shared" si="160"/>
        <v>within the BRGY</v>
      </c>
      <c r="LZ566" s="1709">
        <v>200</v>
      </c>
      <c r="MA566" s="1709"/>
      <c r="MB566" s="1709"/>
      <c r="MC566" s="1679">
        <f t="shared" si="158"/>
        <v>200</v>
      </c>
      <c r="MD566" s="1709">
        <f>SUM(400*20,800,350*26)</f>
        <v>17900</v>
      </c>
      <c r="ME566" s="1709"/>
      <c r="MF566" s="1709"/>
      <c r="MG566" s="1680">
        <f t="shared" si="149"/>
        <v>17900</v>
      </c>
      <c r="MH566" s="770" t="s">
        <v>2978</v>
      </c>
      <c r="MI566" s="302">
        <v>200</v>
      </c>
      <c r="MJ566" s="302">
        <v>200</v>
      </c>
      <c r="MK566" s="302">
        <v>2500</v>
      </c>
      <c r="ML566" s="302">
        <v>500</v>
      </c>
      <c r="MM566" s="302">
        <v>150</v>
      </c>
      <c r="MN566" s="302"/>
      <c r="MO566" s="302">
        <v>100</v>
      </c>
      <c r="MP566" s="302">
        <v>3800</v>
      </c>
      <c r="MQ566" s="302">
        <v>180</v>
      </c>
      <c r="MR566" s="302">
        <v>40</v>
      </c>
      <c r="MS566" s="302"/>
      <c r="MT566" s="302"/>
      <c r="MU566" s="302"/>
      <c r="MV566" s="302"/>
      <c r="MW566" s="302"/>
      <c r="MX566" s="302"/>
      <c r="MY566" s="1682">
        <f t="shared" si="147"/>
        <v>7670</v>
      </c>
      <c r="MZ566" s="770" t="s">
        <v>13370</v>
      </c>
      <c r="NA566" s="770" t="s">
        <v>13005</v>
      </c>
      <c r="NB566" s="770" t="s">
        <v>13016</v>
      </c>
      <c r="NC566" s="770" t="s">
        <v>13602</v>
      </c>
      <c r="ND566" s="770">
        <v>0</v>
      </c>
      <c r="NE566" s="770">
        <v>0</v>
      </c>
      <c r="NF566" s="770">
        <v>0</v>
      </c>
      <c r="NG566" s="770">
        <v>2</v>
      </c>
      <c r="NH566" s="770">
        <v>2</v>
      </c>
      <c r="NI566" s="770">
        <v>1</v>
      </c>
      <c r="NJ566" s="770">
        <v>1</v>
      </c>
      <c r="NK566" s="770">
        <v>0</v>
      </c>
      <c r="NL566" s="770">
        <v>0</v>
      </c>
      <c r="NM566" s="770">
        <v>1</v>
      </c>
      <c r="NN566" s="770">
        <v>0</v>
      </c>
      <c r="NO566" s="770">
        <v>0</v>
      </c>
      <c r="NP566" s="770">
        <v>0</v>
      </c>
      <c r="NQ566" s="770">
        <v>0</v>
      </c>
      <c r="NR566" s="770">
        <v>0</v>
      </c>
      <c r="NS566" s="770">
        <v>0</v>
      </c>
      <c r="NT566" s="770">
        <v>0</v>
      </c>
      <c r="NU566" s="770">
        <v>0</v>
      </c>
      <c r="NV566" s="770">
        <v>0</v>
      </c>
      <c r="NW566" s="770">
        <v>0</v>
      </c>
      <c r="NX566" s="770">
        <v>0</v>
      </c>
      <c r="NY566" s="770" t="s">
        <v>1208</v>
      </c>
      <c r="NZ566" s="770" t="s">
        <v>1208</v>
      </c>
      <c r="OA566" s="770" t="s">
        <v>1208</v>
      </c>
      <c r="OB566" s="770" t="s">
        <v>1208</v>
      </c>
      <c r="OC566" s="770" t="s">
        <v>1208</v>
      </c>
      <c r="OD566" s="770"/>
      <c r="OE566" s="770"/>
      <c r="OF566" s="770" t="s">
        <v>2143</v>
      </c>
      <c r="OG566" s="770"/>
      <c r="OH566" s="770"/>
      <c r="OI566" s="770"/>
      <c r="OJ566" s="770"/>
      <c r="OK566" s="770" t="s">
        <v>1208</v>
      </c>
      <c r="OL566" s="770" t="s">
        <v>13429</v>
      </c>
      <c r="OM566" s="770" t="s">
        <v>13548</v>
      </c>
      <c r="ON566" s="770"/>
      <c r="OO566" s="770" t="s">
        <v>1207</v>
      </c>
      <c r="OP566" s="770" t="s">
        <v>13429</v>
      </c>
      <c r="OQ566" s="770" t="s">
        <v>13548</v>
      </c>
      <c r="OR566" s="770"/>
      <c r="OS566" s="770" t="s">
        <v>12885</v>
      </c>
      <c r="OT566" s="770" t="s">
        <v>13579</v>
      </c>
      <c r="OU566" s="770" t="s">
        <v>12890</v>
      </c>
      <c r="OV566" s="770" t="s">
        <v>1208</v>
      </c>
      <c r="OW566" s="770"/>
      <c r="OX566" s="770" t="s">
        <v>1208</v>
      </c>
      <c r="OY566" s="770"/>
      <c r="OZ566" s="770" t="s">
        <v>1208</v>
      </c>
      <c r="PA566" s="770" t="s">
        <v>1208</v>
      </c>
      <c r="PB566" s="770"/>
      <c r="PC566" s="770"/>
      <c r="PD566" s="770"/>
      <c r="PE566" s="770"/>
      <c r="PF566" s="770"/>
      <c r="PG566" s="770"/>
      <c r="PH566" s="770"/>
      <c r="PI566" s="770"/>
      <c r="PJ566" s="770"/>
      <c r="PK566" s="770"/>
      <c r="PL566" s="770"/>
      <c r="PM566" s="770"/>
      <c r="PN566" s="770"/>
      <c r="PO566" s="770"/>
      <c r="PP566" s="770"/>
      <c r="PQ566" s="770"/>
      <c r="PR566" s="770" t="s">
        <v>1208</v>
      </c>
      <c r="PS566" s="770"/>
      <c r="PT566" s="770"/>
      <c r="PU566" s="770"/>
      <c r="PV566" s="770"/>
      <c r="PW566" s="770"/>
      <c r="PX566" s="770"/>
      <c r="PY566" s="770"/>
      <c r="PZ566" s="770"/>
      <c r="QA566" s="770"/>
      <c r="QB566" s="770"/>
      <c r="QC566" s="770"/>
      <c r="QD566" s="770"/>
      <c r="QE566" s="770"/>
      <c r="QF566" s="770"/>
      <c r="QG566" s="770"/>
      <c r="QH566" s="770"/>
      <c r="QI566" s="770"/>
      <c r="QJ566" s="770"/>
      <c r="QK566" s="770"/>
      <c r="QL566" s="770"/>
      <c r="QM566" s="770"/>
      <c r="QN566" s="770"/>
      <c r="QO566" s="770"/>
      <c r="QP566" s="770"/>
      <c r="QQ566" s="770"/>
      <c r="QR566" s="770"/>
      <c r="QS566" s="770"/>
      <c r="QT566" s="770"/>
      <c r="QU566" s="770"/>
      <c r="QV566" s="770"/>
      <c r="QW566" s="770"/>
      <c r="QX566" s="770"/>
      <c r="QY566" s="770"/>
      <c r="QZ566" s="770"/>
      <c r="RA566" s="770"/>
      <c r="RB566" s="770" t="s">
        <v>1207</v>
      </c>
      <c r="RC566" s="770">
        <v>2016</v>
      </c>
      <c r="RD566" s="770" t="s">
        <v>13036</v>
      </c>
      <c r="RE566" s="770" t="s">
        <v>12999</v>
      </c>
      <c r="RF566" s="304">
        <v>1</v>
      </c>
      <c r="RG566" s="770" t="s">
        <v>13047</v>
      </c>
      <c r="RH566" s="302" t="s">
        <v>13749</v>
      </c>
      <c r="RI566" s="770"/>
      <c r="RJ566" s="770" t="s">
        <v>13750</v>
      </c>
      <c r="RK566" s="770" t="s">
        <v>13544</v>
      </c>
      <c r="RL566" s="1710"/>
      <c r="RM566" s="12"/>
      <c r="RN566" s="1711"/>
      <c r="RO566" s="133" t="s">
        <v>2874</v>
      </c>
      <c r="RP566" s="11"/>
      <c r="RQ566" s="11"/>
      <c r="RR566" s="17"/>
      <c r="RS566" s="767"/>
      <c r="RT566" s="11"/>
      <c r="RU566" s="11"/>
      <c r="RV566" s="771" t="s">
        <v>7419</v>
      </c>
      <c r="RW566" s="11" t="s">
        <v>7810</v>
      </c>
      <c r="RX566" s="11" t="s">
        <v>2874</v>
      </c>
      <c r="RY566" s="11"/>
      <c r="RZ566" s="11"/>
      <c r="SA566" s="771"/>
      <c r="SB566" s="11"/>
      <c r="SC566" s="11"/>
    </row>
    <row r="567" spans="1:497" ht="12.75" hidden="1" customHeight="1">
      <c r="A567" s="343" t="s">
        <v>7419</v>
      </c>
      <c r="B567" s="752" t="s">
        <v>7813</v>
      </c>
      <c r="C567" s="133" t="s">
        <v>2884</v>
      </c>
      <c r="D567" s="94" t="s">
        <v>3894</v>
      </c>
      <c r="E567" s="766" t="s">
        <v>2885</v>
      </c>
      <c r="F567" s="770" t="s">
        <v>28</v>
      </c>
      <c r="G567" s="770" t="s">
        <v>18</v>
      </c>
      <c r="H567" s="770"/>
      <c r="I567" s="295"/>
      <c r="J567" s="94" t="s">
        <v>3894</v>
      </c>
      <c r="K567" s="766" t="s">
        <v>3895</v>
      </c>
      <c r="L567" s="766" t="s">
        <v>2745</v>
      </c>
      <c r="M567" s="770" t="s">
        <v>1238</v>
      </c>
      <c r="N567" s="770"/>
      <c r="O567" s="770" t="s">
        <v>3897</v>
      </c>
      <c r="P567" s="770" t="s">
        <v>3898</v>
      </c>
      <c r="Q567" s="1088"/>
      <c r="R567" s="297">
        <v>60</v>
      </c>
      <c r="S567" s="770" t="s">
        <v>10</v>
      </c>
      <c r="T567" s="770"/>
      <c r="U567" s="295"/>
      <c r="V567" s="770" t="s">
        <v>707</v>
      </c>
      <c r="W567" s="770"/>
      <c r="X567" s="770"/>
      <c r="Y567" s="770" t="s">
        <v>2885</v>
      </c>
      <c r="Z567" s="770" t="s">
        <v>708</v>
      </c>
      <c r="AA567" s="770" t="s">
        <v>709</v>
      </c>
      <c r="AB567" s="770" t="s">
        <v>710</v>
      </c>
      <c r="AC567" s="770"/>
      <c r="AD567" s="770"/>
      <c r="AE567" s="770" t="s">
        <v>1073</v>
      </c>
      <c r="AF567" s="770"/>
      <c r="AG567" s="766" t="s">
        <v>1095</v>
      </c>
      <c r="AH567" s="766" t="s">
        <v>1096</v>
      </c>
      <c r="AI567" s="770" t="s">
        <v>3294</v>
      </c>
      <c r="AJ567" s="770"/>
      <c r="AK567" s="770" t="s">
        <v>1097</v>
      </c>
      <c r="AL567" s="531">
        <v>75</v>
      </c>
      <c r="AM567" s="780">
        <v>6</v>
      </c>
      <c r="AN567" s="532">
        <f>AM567/AL567</f>
        <v>0.08</v>
      </c>
      <c r="AO567" s="766" t="s">
        <v>1098</v>
      </c>
      <c r="AP567" s="766" t="s">
        <v>5364</v>
      </c>
      <c r="AQ567" s="766" t="s">
        <v>7418</v>
      </c>
      <c r="AR567" s="766"/>
      <c r="AS567" s="769"/>
      <c r="AT567" s="770"/>
      <c r="AU567" s="770"/>
      <c r="AV567" s="770"/>
      <c r="AW567" s="770"/>
      <c r="AX567" s="770"/>
      <c r="AY567" s="770"/>
      <c r="AZ567" s="770"/>
      <c r="BA567" s="770"/>
      <c r="BB567" s="770"/>
      <c r="BC567" s="770"/>
      <c r="BD567" s="770"/>
      <c r="BE567" s="770"/>
      <c r="BF567" s="302"/>
      <c r="BG567" s="302"/>
      <c r="BH567" s="770"/>
      <c r="BI567" s="770"/>
      <c r="BJ567" s="770"/>
      <c r="BK567" s="770" t="s">
        <v>1095</v>
      </c>
      <c r="BL567" s="770" t="s">
        <v>3899</v>
      </c>
      <c r="BM567" s="770" t="s">
        <v>8108</v>
      </c>
      <c r="BN567" s="770" t="s">
        <v>1230</v>
      </c>
      <c r="BO567" s="770" t="s">
        <v>1275</v>
      </c>
      <c r="BP567" s="765">
        <v>75</v>
      </c>
      <c r="BQ567" s="773">
        <v>6</v>
      </c>
      <c r="BR567" s="774">
        <f>BQ567/BP567</f>
        <v>0.08</v>
      </c>
      <c r="BS567" s="766" t="s">
        <v>1242</v>
      </c>
      <c r="BT567" s="766" t="s">
        <v>2040</v>
      </c>
      <c r="BU567" s="770" t="s">
        <v>1249</v>
      </c>
      <c r="BV567" s="770" t="s">
        <v>1247</v>
      </c>
      <c r="BW567" s="770">
        <v>2008</v>
      </c>
      <c r="BX567" s="302">
        <v>400000</v>
      </c>
      <c r="BY567" s="770"/>
      <c r="BZ567" s="302"/>
      <c r="CA567" s="770"/>
      <c r="CB567" s="770" t="s">
        <v>1207</v>
      </c>
      <c r="CC567" s="94" t="s">
        <v>3894</v>
      </c>
      <c r="CD567" s="770"/>
      <c r="CE567" s="770"/>
      <c r="CF567" s="1753">
        <v>1.5</v>
      </c>
      <c r="CG567" s="1754">
        <v>3</v>
      </c>
      <c r="CH567" s="770" t="s">
        <v>2545</v>
      </c>
      <c r="CI567" s="770"/>
      <c r="CJ567" s="770" t="s">
        <v>3900</v>
      </c>
      <c r="CK567" s="770">
        <v>4</v>
      </c>
      <c r="CL567" s="770" t="s">
        <v>1240</v>
      </c>
      <c r="CM567" s="770" t="s">
        <v>3399</v>
      </c>
      <c r="CN567" s="770"/>
      <c r="CO567" s="770"/>
      <c r="CP567" s="770"/>
      <c r="CQ567" s="770">
        <v>1920</v>
      </c>
      <c r="CR567" s="302"/>
      <c r="CS567" s="770"/>
      <c r="CT567" s="770" t="s">
        <v>1469</v>
      </c>
      <c r="CU567" s="305">
        <v>10</v>
      </c>
      <c r="CV567" s="770"/>
      <c r="CW567" s="770"/>
      <c r="CX567" s="770"/>
      <c r="CY567" s="770" t="s">
        <v>2893</v>
      </c>
      <c r="CZ567" s="770">
        <v>2016</v>
      </c>
      <c r="DA567" s="306"/>
      <c r="DB567" s="770"/>
      <c r="DC567" s="306" t="s">
        <v>3901</v>
      </c>
      <c r="DD567" s="770"/>
      <c r="DE567" s="300">
        <v>115</v>
      </c>
      <c r="DF567" s="770">
        <v>1</v>
      </c>
      <c r="DG567" s="770" t="s">
        <v>1257</v>
      </c>
      <c r="DH567" s="770"/>
      <c r="DI567" s="770"/>
      <c r="DJ567" s="770"/>
      <c r="DK567" s="770"/>
      <c r="DL567" s="770"/>
      <c r="DM567" s="770"/>
      <c r="DN567" s="322"/>
      <c r="DO567" s="770"/>
      <c r="DP567" s="770"/>
      <c r="DQ567" s="770"/>
      <c r="DR567" s="770"/>
      <c r="DS567" s="307"/>
      <c r="DT567" s="770"/>
      <c r="DU567" s="770"/>
      <c r="DV567" s="770"/>
      <c r="DW567" s="306"/>
      <c r="DX567" s="306"/>
      <c r="DY567" s="770"/>
      <c r="DZ567" s="770"/>
      <c r="EA567" s="770"/>
      <c r="EB567" s="770"/>
      <c r="EC567" s="770"/>
      <c r="ED567" s="770"/>
      <c r="EE567" s="770"/>
      <c r="EF567" s="770"/>
      <c r="EG567" s="770"/>
      <c r="EH567" s="770"/>
      <c r="EI567" s="770"/>
      <c r="EJ567" s="770"/>
      <c r="EK567" s="770"/>
      <c r="EL567" s="770"/>
      <c r="EM567" s="770"/>
      <c r="EN567" s="770"/>
      <c r="EO567" s="770"/>
      <c r="EP567" s="94"/>
      <c r="EQ567" s="770"/>
      <c r="ER567" s="770"/>
      <c r="ES567" s="770"/>
      <c r="ET567" s="770"/>
      <c r="EU567" s="770"/>
      <c r="EV567" s="770"/>
      <c r="EW567" s="770"/>
      <c r="EX567" s="770"/>
      <c r="EY567" s="770"/>
      <c r="EZ567" s="770"/>
      <c r="FA567" s="770"/>
      <c r="FB567" s="770"/>
      <c r="FC567" s="770"/>
      <c r="FD567" s="302"/>
      <c r="FE567" s="770"/>
      <c r="FF567" s="770"/>
      <c r="FG567" s="770"/>
      <c r="FH567" s="770" t="s">
        <v>478</v>
      </c>
      <c r="FI567" s="770">
        <v>1</v>
      </c>
      <c r="FJ567" s="770"/>
      <c r="FK567" s="770"/>
      <c r="FL567" s="770"/>
      <c r="FM567" s="302"/>
      <c r="FN567" s="302"/>
      <c r="FO567" s="302"/>
      <c r="FP567" s="770" t="s">
        <v>1600</v>
      </c>
      <c r="FQ567" s="770" t="s">
        <v>3940</v>
      </c>
      <c r="FR567" s="770" t="s">
        <v>1214</v>
      </c>
      <c r="FS567" s="770"/>
      <c r="FT567" s="770"/>
      <c r="FU567" s="770"/>
      <c r="FV567" s="770"/>
      <c r="FW567" s="770"/>
      <c r="FX567" s="770"/>
      <c r="FY567" s="770"/>
      <c r="FZ567" s="770"/>
      <c r="GA567" s="770"/>
      <c r="GB567" s="770" t="s">
        <v>3902</v>
      </c>
      <c r="GC567" s="308"/>
      <c r="GD567" s="297">
        <v>2008</v>
      </c>
      <c r="GE567" s="770" t="s">
        <v>1214</v>
      </c>
      <c r="GF567" s="302"/>
      <c r="GG567" s="302"/>
      <c r="GH567" s="770"/>
      <c r="GI567" s="770"/>
      <c r="GJ567" s="770"/>
      <c r="GK567" s="770"/>
      <c r="GL567" s="770"/>
      <c r="GM567" s="770"/>
      <c r="GN567" s="299"/>
      <c r="GO567" s="770"/>
      <c r="GP567" s="770"/>
      <c r="GQ567" s="770"/>
      <c r="GR567" s="770"/>
      <c r="GS567" s="770"/>
      <c r="GT567" s="770"/>
      <c r="GU567" s="770"/>
      <c r="GV567" s="770"/>
      <c r="GW567" s="770"/>
      <c r="GX567" s="770"/>
      <c r="GY567" s="770"/>
      <c r="GZ567" s="770"/>
      <c r="HA567" s="770"/>
      <c r="HB567" s="770"/>
      <c r="HC567" s="770"/>
      <c r="HD567" s="770"/>
      <c r="HE567" s="770"/>
      <c r="HF567" s="770"/>
      <c r="HG567" s="770"/>
      <c r="HH567" s="770"/>
      <c r="HI567" s="770"/>
      <c r="HJ567" s="770"/>
      <c r="HK567" s="770"/>
      <c r="HL567" s="770"/>
      <c r="HM567" s="770"/>
      <c r="HN567" s="770"/>
      <c r="HO567" s="770"/>
      <c r="HP567" s="770"/>
      <c r="HQ567" s="770"/>
      <c r="HR567" s="770">
        <v>3</v>
      </c>
      <c r="HS567" s="770"/>
      <c r="HT567" s="770"/>
      <c r="HU567" s="770"/>
      <c r="HV567" s="770"/>
      <c r="HW567" s="770"/>
      <c r="HX567" s="770"/>
      <c r="HY567" s="770"/>
      <c r="HZ567" s="770"/>
      <c r="IA567" s="770"/>
      <c r="IB567" s="770"/>
      <c r="IC567" s="770"/>
      <c r="ID567" s="770">
        <v>1</v>
      </c>
      <c r="IE567" s="770">
        <v>1</v>
      </c>
      <c r="IF567" s="770"/>
      <c r="IG567" s="770"/>
      <c r="IH567" s="770"/>
      <c r="II567" s="770"/>
      <c r="IJ567" s="770"/>
      <c r="IK567" s="770"/>
      <c r="IL567" s="770"/>
      <c r="IM567" s="770"/>
      <c r="IN567" s="770"/>
      <c r="IO567" s="296"/>
      <c r="IP567" s="770"/>
      <c r="IQ567" s="770"/>
      <c r="IR567" s="770"/>
      <c r="IS567" s="770"/>
      <c r="IT567" s="770"/>
      <c r="IU567" s="770"/>
      <c r="IV567" s="770"/>
      <c r="IW567" s="770"/>
      <c r="IX567" s="770"/>
      <c r="IY567" s="770"/>
      <c r="IZ567" s="770"/>
      <c r="JA567" s="770"/>
      <c r="JB567" s="770"/>
      <c r="JC567" s="770"/>
      <c r="JD567" s="302"/>
      <c r="JE567" s="770"/>
      <c r="JF567" s="770"/>
      <c r="JG567" s="770"/>
      <c r="JH567" s="307"/>
      <c r="JI567" s="307"/>
      <c r="JJ567" s="770">
        <v>4</v>
      </c>
      <c r="JK567" s="770" t="s">
        <v>3903</v>
      </c>
      <c r="JL567" s="770"/>
      <c r="JM567" s="770"/>
      <c r="JN567" s="770">
        <v>2</v>
      </c>
      <c r="JO567" s="770">
        <v>2</v>
      </c>
      <c r="JP567" s="770"/>
      <c r="JQ567" s="770"/>
      <c r="JR567" s="770"/>
      <c r="JS567" s="770"/>
      <c r="JT567" s="766">
        <f t="shared" si="162"/>
        <v>2</v>
      </c>
      <c r="JU567" s="766">
        <f t="shared" si="162"/>
        <v>2</v>
      </c>
      <c r="JV567" s="766"/>
      <c r="JW567" s="766"/>
      <c r="JX567" s="770"/>
      <c r="JY567" s="770"/>
      <c r="JZ567" s="770"/>
      <c r="KA567" s="770"/>
      <c r="KB567" s="770">
        <v>1</v>
      </c>
      <c r="KC567" s="770">
        <v>1</v>
      </c>
      <c r="KD567" s="770">
        <v>1</v>
      </c>
      <c r="KE567" s="770">
        <v>1</v>
      </c>
      <c r="KF567" s="770"/>
      <c r="KG567" s="770"/>
      <c r="KH567" s="770"/>
      <c r="KI567" s="770"/>
      <c r="KJ567" s="770">
        <f t="shared" si="153"/>
        <v>2</v>
      </c>
      <c r="KK567" s="770">
        <f t="shared" si="153"/>
        <v>2</v>
      </c>
      <c r="KL567" s="770"/>
      <c r="KM567" s="770"/>
      <c r="KN567" s="770" t="s">
        <v>707</v>
      </c>
      <c r="KO567" s="770"/>
      <c r="KP567" s="770"/>
      <c r="KQ567" s="770"/>
      <c r="KR567" s="770"/>
      <c r="KS567" s="770"/>
      <c r="KT567" s="770"/>
      <c r="KU567" s="770"/>
      <c r="KV567" s="770"/>
      <c r="KW567" s="770"/>
      <c r="KX567" s="770"/>
      <c r="KY567" s="770"/>
      <c r="KZ567" s="770"/>
      <c r="LA567" s="770">
        <v>1</v>
      </c>
      <c r="LB567" s="770">
        <v>1</v>
      </c>
      <c r="LC567" s="770">
        <v>1</v>
      </c>
      <c r="LD567" s="770">
        <v>1</v>
      </c>
      <c r="LE567" s="770"/>
      <c r="LF567" s="770"/>
      <c r="LG567" s="770"/>
      <c r="LH567" s="770"/>
      <c r="LI567" s="770"/>
      <c r="LJ567" s="770"/>
      <c r="LK567" s="770"/>
      <c r="LL567" s="770"/>
      <c r="LM567" s="770"/>
      <c r="LN567" s="766">
        <f t="shared" si="159"/>
        <v>2</v>
      </c>
      <c r="LO567" s="766">
        <f t="shared" si="159"/>
        <v>2</v>
      </c>
      <c r="LP567" s="770">
        <v>3</v>
      </c>
      <c r="LQ567" s="770">
        <v>2</v>
      </c>
      <c r="LR567" s="770"/>
      <c r="LS567" s="770">
        <v>2</v>
      </c>
      <c r="LT567" s="770"/>
      <c r="LU567" s="770"/>
      <c r="LV567" s="770">
        <v>2</v>
      </c>
      <c r="LW567" s="770"/>
      <c r="LX567" s="769">
        <v>1</v>
      </c>
      <c r="LY567" s="766" t="str">
        <f t="shared" si="160"/>
        <v>within the BRGY</v>
      </c>
      <c r="LZ567" s="1709"/>
      <c r="MA567" s="1709"/>
      <c r="MB567" s="1709"/>
      <c r="MC567" s="1679">
        <f t="shared" si="158"/>
        <v>0</v>
      </c>
      <c r="MD567" s="1709">
        <f>SUM(5200,7000)</f>
        <v>12200</v>
      </c>
      <c r="ME567" s="1709"/>
      <c r="MF567" s="1709">
        <f>SUM(6000,3000)</f>
        <v>9000</v>
      </c>
      <c r="MG567" s="1680">
        <f t="shared" si="149"/>
        <v>21200</v>
      </c>
      <c r="MH567" s="770" t="s">
        <v>13751</v>
      </c>
      <c r="MI567" s="302">
        <v>15000</v>
      </c>
      <c r="MJ567" s="302">
        <v>800</v>
      </c>
      <c r="MK567" s="302">
        <v>400</v>
      </c>
      <c r="ML567" s="302">
        <v>450</v>
      </c>
      <c r="MM567" s="302"/>
      <c r="MN567" s="302"/>
      <c r="MO567" s="302">
        <v>200</v>
      </c>
      <c r="MP567" s="302">
        <v>450</v>
      </c>
      <c r="MQ567" s="302">
        <v>3000</v>
      </c>
      <c r="MR567" s="302">
        <v>480</v>
      </c>
      <c r="MS567" s="302"/>
      <c r="MT567" s="302"/>
      <c r="MU567" s="302"/>
      <c r="MV567" s="302"/>
      <c r="MW567" s="302"/>
      <c r="MX567" s="302"/>
      <c r="MY567" s="1682">
        <f t="shared" si="147"/>
        <v>20780</v>
      </c>
      <c r="MZ567" s="770" t="s">
        <v>13370</v>
      </c>
      <c r="NA567" s="770"/>
      <c r="NB567" s="770"/>
      <c r="NC567" s="770"/>
      <c r="ND567" s="770">
        <v>0</v>
      </c>
      <c r="NE567" s="770">
        <v>1</v>
      </c>
      <c r="NF567" s="770">
        <v>1</v>
      </c>
      <c r="NG567" s="770">
        <v>3</v>
      </c>
      <c r="NH567" s="770">
        <v>1</v>
      </c>
      <c r="NI567" s="770">
        <v>1</v>
      </c>
      <c r="NJ567" s="770">
        <v>0</v>
      </c>
      <c r="NK567" s="770">
        <v>0</v>
      </c>
      <c r="NL567" s="770">
        <v>1</v>
      </c>
      <c r="NM567" s="770">
        <v>1</v>
      </c>
      <c r="NN567" s="770">
        <v>0</v>
      </c>
      <c r="NO567" s="770">
        <v>0</v>
      </c>
      <c r="NP567" s="770">
        <v>0</v>
      </c>
      <c r="NQ567" s="770">
        <v>0</v>
      </c>
      <c r="NR567" s="770">
        <v>0</v>
      </c>
      <c r="NS567" s="770">
        <v>0</v>
      </c>
      <c r="NT567" s="770">
        <v>0</v>
      </c>
      <c r="NU567" s="770">
        <v>0</v>
      </c>
      <c r="NV567" s="770">
        <v>0</v>
      </c>
      <c r="NW567" s="770">
        <v>0</v>
      </c>
      <c r="NX567" s="770">
        <v>0</v>
      </c>
      <c r="NY567" s="770" t="s">
        <v>1208</v>
      </c>
      <c r="NZ567" s="770"/>
      <c r="OA567" s="770" t="s">
        <v>1208</v>
      </c>
      <c r="OB567" s="770" t="s">
        <v>1208</v>
      </c>
      <c r="OC567" s="770" t="s">
        <v>1208</v>
      </c>
      <c r="OD567" s="770" t="s">
        <v>1208</v>
      </c>
      <c r="OE567" s="770"/>
      <c r="OF567" s="770" t="s">
        <v>2143</v>
      </c>
      <c r="OG567" s="770"/>
      <c r="OH567" s="770"/>
      <c r="OI567" s="770"/>
      <c r="OJ567" s="770"/>
      <c r="OK567" s="770" t="s">
        <v>1208</v>
      </c>
      <c r="OL567" s="770"/>
      <c r="OM567" s="770"/>
      <c r="ON567" s="770"/>
      <c r="OO567" s="770" t="s">
        <v>1214</v>
      </c>
      <c r="OP567" s="770"/>
      <c r="OQ567" s="770"/>
      <c r="OR567" s="770"/>
      <c r="OS567" s="770"/>
      <c r="OT567" s="770"/>
      <c r="OU567" s="770"/>
      <c r="OV567" s="770"/>
      <c r="OW567" s="770"/>
      <c r="OX567" s="770"/>
      <c r="OY567" s="770"/>
      <c r="OZ567" s="770"/>
      <c r="PA567" s="770"/>
      <c r="PB567" s="770"/>
      <c r="PC567" s="770"/>
      <c r="PD567" s="770"/>
      <c r="PE567" s="770"/>
      <c r="PF567" s="770"/>
      <c r="PG567" s="770"/>
      <c r="PH567" s="770"/>
      <c r="PI567" s="770"/>
      <c r="PJ567" s="770"/>
      <c r="PK567" s="770"/>
      <c r="PL567" s="770"/>
      <c r="PM567" s="770"/>
      <c r="PN567" s="770"/>
      <c r="PO567" s="770"/>
      <c r="PP567" s="770"/>
      <c r="PQ567" s="770"/>
      <c r="PR567" s="770"/>
      <c r="PS567" s="770"/>
      <c r="PT567" s="770"/>
      <c r="PU567" s="770"/>
      <c r="PV567" s="770"/>
      <c r="PW567" s="770"/>
      <c r="PX567" s="770"/>
      <c r="PY567" s="770"/>
      <c r="PZ567" s="770"/>
      <c r="QA567" s="770"/>
      <c r="QB567" s="770"/>
      <c r="QC567" s="770"/>
      <c r="QD567" s="770"/>
      <c r="QE567" s="770"/>
      <c r="QF567" s="770"/>
      <c r="QG567" s="770"/>
      <c r="QH567" s="770"/>
      <c r="QI567" s="770"/>
      <c r="QJ567" s="770"/>
      <c r="QK567" s="770"/>
      <c r="QL567" s="770"/>
      <c r="QM567" s="770"/>
      <c r="QN567" s="770"/>
      <c r="QO567" s="770"/>
      <c r="QP567" s="770"/>
      <c r="QQ567" s="770"/>
      <c r="QR567" s="770"/>
      <c r="QS567" s="770"/>
      <c r="QT567" s="770"/>
      <c r="QU567" s="770"/>
      <c r="QV567" s="770"/>
      <c r="QW567" s="770"/>
      <c r="QX567" s="770"/>
      <c r="QY567" s="770"/>
      <c r="QZ567" s="770"/>
      <c r="RA567" s="770"/>
      <c r="RB567" s="770" t="s">
        <v>1214</v>
      </c>
      <c r="RC567" s="770"/>
      <c r="RD567" s="770"/>
      <c r="RE567" s="770"/>
      <c r="RF567" s="304"/>
      <c r="RG567" s="770"/>
      <c r="RH567" s="302"/>
      <c r="RI567" s="770"/>
      <c r="RJ567" s="770" t="s">
        <v>2893</v>
      </c>
      <c r="RK567" s="770" t="s">
        <v>13401</v>
      </c>
      <c r="RL567" s="1710"/>
      <c r="RM567" s="12"/>
      <c r="RN567" s="1711"/>
      <c r="RO567" s="133" t="s">
        <v>2884</v>
      </c>
      <c r="RP567" s="11"/>
      <c r="RQ567" s="11"/>
      <c r="RR567" s="17"/>
      <c r="RS567" s="767"/>
      <c r="RT567" s="11"/>
      <c r="RU567" s="11"/>
      <c r="RV567" s="771" t="s">
        <v>13752</v>
      </c>
      <c r="RW567" s="11" t="s">
        <v>7811</v>
      </c>
      <c r="RX567" s="11" t="s">
        <v>2874</v>
      </c>
      <c r="RY567" s="11"/>
      <c r="RZ567" s="11" t="s">
        <v>1101</v>
      </c>
      <c r="SA567" s="771"/>
      <c r="SB567" s="11"/>
      <c r="SC567" s="11"/>
    </row>
    <row r="568" spans="1:497" ht="12.75" hidden="1" customHeight="1">
      <c r="A568" s="343" t="s">
        <v>14222</v>
      </c>
      <c r="B568" s="752" t="s">
        <v>7814</v>
      </c>
      <c r="C568" s="133" t="s">
        <v>2884</v>
      </c>
      <c r="D568" s="94" t="s">
        <v>3894</v>
      </c>
      <c r="E568" s="766" t="s">
        <v>2885</v>
      </c>
      <c r="F568" s="770" t="s">
        <v>28</v>
      </c>
      <c r="G568" s="770" t="s">
        <v>18</v>
      </c>
      <c r="H568" s="770"/>
      <c r="I568" s="295" t="s">
        <v>2886</v>
      </c>
      <c r="J568" s="94" t="s">
        <v>2887</v>
      </c>
      <c r="K568" s="766" t="s">
        <v>3895</v>
      </c>
      <c r="L568" s="766" t="s">
        <v>2745</v>
      </c>
      <c r="M568" s="770" t="s">
        <v>1238</v>
      </c>
      <c r="N568" s="770"/>
      <c r="O568" s="770" t="s">
        <v>3897</v>
      </c>
      <c r="P568" s="770" t="s">
        <v>2980</v>
      </c>
      <c r="Q568" s="1088">
        <v>32841</v>
      </c>
      <c r="R568" s="297">
        <v>28</v>
      </c>
      <c r="S568" s="770" t="s">
        <v>10</v>
      </c>
      <c r="T568" s="770"/>
      <c r="U568" s="295" t="s">
        <v>2886</v>
      </c>
      <c r="V568" s="770" t="s">
        <v>722</v>
      </c>
      <c r="W568" s="770"/>
      <c r="X568" s="770"/>
      <c r="Y568" s="770" t="s">
        <v>2885</v>
      </c>
      <c r="Z568" s="770" t="s">
        <v>708</v>
      </c>
      <c r="AA568" s="770" t="s">
        <v>709</v>
      </c>
      <c r="AB568" s="770" t="s">
        <v>710</v>
      </c>
      <c r="AC568" s="770"/>
      <c r="AD568" s="770" t="s">
        <v>711</v>
      </c>
      <c r="AE568" s="770"/>
      <c r="AF568" s="770" t="s">
        <v>712</v>
      </c>
      <c r="AG568" s="770"/>
      <c r="AH568" s="770"/>
      <c r="AI568" s="770"/>
      <c r="AJ568" s="770"/>
      <c r="AK568" s="770" t="s">
        <v>5454</v>
      </c>
      <c r="AL568" s="531"/>
      <c r="AM568" s="780"/>
      <c r="AN568" s="532"/>
      <c r="AO568" s="766"/>
      <c r="AP568" s="766"/>
      <c r="AQ568" s="766"/>
      <c r="AR568" s="766"/>
      <c r="AS568" s="770"/>
      <c r="AT568" s="770"/>
      <c r="AU568" s="770"/>
      <c r="AV568" s="770"/>
      <c r="AW568" s="770"/>
      <c r="AX568" s="770"/>
      <c r="AY568" s="770"/>
      <c r="AZ568" s="770"/>
      <c r="BA568" s="770"/>
      <c r="BB568" s="770"/>
      <c r="BC568" s="770"/>
      <c r="BD568" s="770"/>
      <c r="BE568" s="770"/>
      <c r="BF568" s="302"/>
      <c r="BG568" s="302"/>
      <c r="BH568" s="770"/>
      <c r="BI568" s="770"/>
      <c r="BJ568" s="770"/>
      <c r="BK568" s="770"/>
      <c r="BL568" s="770"/>
      <c r="BM568" s="770" t="s">
        <v>1238</v>
      </c>
      <c r="BN568" s="770" t="s">
        <v>1299</v>
      </c>
      <c r="BO568" s="770"/>
      <c r="BP568" s="765"/>
      <c r="BQ568" s="773"/>
      <c r="BR568" s="774"/>
      <c r="BS568" s="766" t="s">
        <v>1242</v>
      </c>
      <c r="BT568" s="766"/>
      <c r="BU568" s="770"/>
      <c r="BV568" s="770"/>
      <c r="BW568" s="770"/>
      <c r="BX568" s="302"/>
      <c r="BY568" s="770"/>
      <c r="BZ568" s="302"/>
      <c r="CA568" s="770"/>
      <c r="CB568" s="770"/>
      <c r="CC568" s="770"/>
      <c r="CD568" s="770"/>
      <c r="CE568" s="770"/>
      <c r="CF568" s="1753"/>
      <c r="CG568" s="1754"/>
      <c r="CH568" s="770"/>
      <c r="CI568" s="770"/>
      <c r="CJ568" s="770"/>
      <c r="CK568" s="770"/>
      <c r="CL568" s="770"/>
      <c r="CM568" s="770"/>
      <c r="CN568" s="770"/>
      <c r="CO568" s="770"/>
      <c r="CP568" s="770"/>
      <c r="CQ568" s="770"/>
      <c r="CR568" s="302"/>
      <c r="CS568" s="770"/>
      <c r="CT568" s="770"/>
      <c r="CU568" s="305"/>
      <c r="CV568" s="770"/>
      <c r="CW568" s="770"/>
      <c r="CX568" s="770"/>
      <c r="CY568" s="770"/>
      <c r="CZ568" s="770"/>
      <c r="DA568" s="306"/>
      <c r="DB568" s="770"/>
      <c r="DC568" s="770"/>
      <c r="DD568" s="770"/>
      <c r="DE568" s="300"/>
      <c r="DF568" s="770"/>
      <c r="DG568" s="770"/>
      <c r="DH568" s="770"/>
      <c r="DI568" s="770"/>
      <c r="DJ568" s="770"/>
      <c r="DK568" s="770"/>
      <c r="DL568" s="770"/>
      <c r="DM568" s="770"/>
      <c r="DN568" s="322"/>
      <c r="DO568" s="770"/>
      <c r="DP568" s="770"/>
      <c r="DQ568" s="770"/>
      <c r="DR568" s="770"/>
      <c r="DS568" s="307"/>
      <c r="DT568" s="770"/>
      <c r="DU568" s="770"/>
      <c r="DV568" s="770"/>
      <c r="DW568" s="306"/>
      <c r="DX568" s="306"/>
      <c r="DY568" s="770"/>
      <c r="DZ568" s="770"/>
      <c r="EA568" s="770"/>
      <c r="EB568" s="770"/>
      <c r="EC568" s="770"/>
      <c r="ED568" s="770"/>
      <c r="EE568" s="770"/>
      <c r="EF568" s="770"/>
      <c r="EG568" s="770"/>
      <c r="EH568" s="770"/>
      <c r="EI568" s="770"/>
      <c r="EJ568" s="770"/>
      <c r="EK568" s="770"/>
      <c r="EL568" s="770"/>
      <c r="EM568" s="770"/>
      <c r="EN568" s="770"/>
      <c r="EO568" s="770"/>
      <c r="EP568" s="94"/>
      <c r="EQ568" s="770"/>
      <c r="ER568" s="770"/>
      <c r="ES568" s="770"/>
      <c r="ET568" s="770"/>
      <c r="EU568" s="770"/>
      <c r="EV568" s="770"/>
      <c r="EW568" s="770"/>
      <c r="EX568" s="770"/>
      <c r="EY568" s="770"/>
      <c r="EZ568" s="770"/>
      <c r="FA568" s="770"/>
      <c r="FB568" s="770"/>
      <c r="FC568" s="770"/>
      <c r="FD568" s="302"/>
      <c r="FE568" s="770"/>
      <c r="FF568" s="770"/>
      <c r="FG568" s="770"/>
      <c r="FH568" s="770" t="s">
        <v>1299</v>
      </c>
      <c r="FI568" s="770">
        <v>1</v>
      </c>
      <c r="FJ568" s="770" t="s">
        <v>2892</v>
      </c>
      <c r="FK568" s="770"/>
      <c r="FL568" s="770" t="s">
        <v>2885</v>
      </c>
      <c r="FM568" s="302"/>
      <c r="FN568" s="302"/>
      <c r="FO568" s="302"/>
      <c r="FP568" s="770"/>
      <c r="FQ568" s="770"/>
      <c r="FR568" s="770"/>
      <c r="FS568" s="770"/>
      <c r="FT568" s="770"/>
      <c r="FU568" s="770"/>
      <c r="FV568" s="770"/>
      <c r="FW568" s="770"/>
      <c r="FX568" s="770"/>
      <c r="FY568" s="770"/>
      <c r="FZ568" s="770"/>
      <c r="GA568" s="770"/>
      <c r="GB568" s="770"/>
      <c r="GC568" s="308"/>
      <c r="GD568" s="297"/>
      <c r="GE568" s="770"/>
      <c r="GF568" s="302"/>
      <c r="GG568" s="302"/>
      <c r="GH568" s="770"/>
      <c r="GI568" s="770"/>
      <c r="GJ568" s="770"/>
      <c r="GK568" s="770"/>
      <c r="GL568" s="770"/>
      <c r="GM568" s="770"/>
      <c r="GN568" s="299"/>
      <c r="GO568" s="770"/>
      <c r="GP568" s="770"/>
      <c r="GQ568" s="770"/>
      <c r="GR568" s="770"/>
      <c r="GS568" s="770"/>
      <c r="GT568" s="770"/>
      <c r="GU568" s="770"/>
      <c r="GV568" s="770"/>
      <c r="GW568" s="770"/>
      <c r="GX568" s="770"/>
      <c r="GY568" s="770"/>
      <c r="GZ568" s="770"/>
      <c r="HA568" s="770"/>
      <c r="HB568" s="770"/>
      <c r="HC568" s="770"/>
      <c r="HD568" s="770"/>
      <c r="HE568" s="770"/>
      <c r="HF568" s="770"/>
      <c r="HG568" s="770"/>
      <c r="HH568" s="770"/>
      <c r="HI568" s="770"/>
      <c r="HJ568" s="770"/>
      <c r="HK568" s="770"/>
      <c r="HL568" s="770"/>
      <c r="HM568" s="770"/>
      <c r="HN568" s="770"/>
      <c r="HO568" s="770"/>
      <c r="HP568" s="770"/>
      <c r="HQ568" s="770"/>
      <c r="HR568" s="770"/>
      <c r="HS568" s="770"/>
      <c r="HT568" s="770"/>
      <c r="HU568" s="770"/>
      <c r="HV568" s="770"/>
      <c r="HW568" s="770"/>
      <c r="HX568" s="770"/>
      <c r="HY568" s="770"/>
      <c r="HZ568" s="770"/>
      <c r="IA568" s="770"/>
      <c r="IB568" s="770" t="s">
        <v>1207</v>
      </c>
      <c r="IC568" s="770"/>
      <c r="ID568" s="770"/>
      <c r="IE568" s="770"/>
      <c r="IF568" s="770"/>
      <c r="IG568" s="770"/>
      <c r="IH568" s="770"/>
      <c r="II568" s="770"/>
      <c r="IJ568" s="770"/>
      <c r="IK568" s="770"/>
      <c r="IL568" s="770"/>
      <c r="IM568" s="770"/>
      <c r="IN568" s="770"/>
      <c r="IO568" s="296"/>
      <c r="IP568" s="770"/>
      <c r="IQ568" s="770"/>
      <c r="IR568" s="770"/>
      <c r="IS568" s="770"/>
      <c r="IT568" s="770"/>
      <c r="IU568" s="770"/>
      <c r="IV568" s="770"/>
      <c r="IW568" s="770"/>
      <c r="IX568" s="770"/>
      <c r="IY568" s="770"/>
      <c r="IZ568" s="770"/>
      <c r="JA568" s="770"/>
      <c r="JB568" s="770"/>
      <c r="JC568" s="770"/>
      <c r="JD568" s="302"/>
      <c r="JE568" s="770"/>
      <c r="JF568" s="770"/>
      <c r="JG568" s="770"/>
      <c r="JH568" s="307"/>
      <c r="JI568" s="307"/>
      <c r="JJ568" s="770">
        <v>4</v>
      </c>
      <c r="JK568" s="766" t="s">
        <v>13753</v>
      </c>
      <c r="JL568" s="766">
        <v>1</v>
      </c>
      <c r="JM568" s="766">
        <v>1</v>
      </c>
      <c r="JN568" s="766">
        <v>1</v>
      </c>
      <c r="JO568" s="766">
        <v>1</v>
      </c>
      <c r="JP568" s="766"/>
      <c r="JQ568" s="766"/>
      <c r="JR568" s="766"/>
      <c r="JS568" s="766"/>
      <c r="JT568" s="766">
        <f t="shared" si="162"/>
        <v>2</v>
      </c>
      <c r="JU568" s="766">
        <f t="shared" si="162"/>
        <v>2</v>
      </c>
      <c r="JV568" s="766"/>
      <c r="JW568" s="766"/>
      <c r="JX568" s="766"/>
      <c r="JY568" s="766"/>
      <c r="JZ568" s="766"/>
      <c r="KA568" s="766"/>
      <c r="KB568" s="766">
        <v>1</v>
      </c>
      <c r="KC568" s="766">
        <v>1</v>
      </c>
      <c r="KD568" s="766">
        <v>1</v>
      </c>
      <c r="KE568" s="766">
        <v>1</v>
      </c>
      <c r="KF568" s="766"/>
      <c r="KG568" s="766"/>
      <c r="KH568" s="766"/>
      <c r="KI568" s="766"/>
      <c r="KJ568" s="770">
        <f t="shared" si="153"/>
        <v>2</v>
      </c>
      <c r="KK568" s="770">
        <f t="shared" si="153"/>
        <v>2</v>
      </c>
      <c r="KL568" s="770"/>
      <c r="KM568" s="770"/>
      <c r="KN568" s="766" t="s">
        <v>722</v>
      </c>
      <c r="KO568" s="766"/>
      <c r="KP568" s="766"/>
      <c r="KQ568" s="766"/>
      <c r="KR568" s="766"/>
      <c r="KS568" s="766"/>
      <c r="KT568" s="766"/>
      <c r="KU568" s="766"/>
      <c r="KV568" s="770"/>
      <c r="KW568" s="770"/>
      <c r="KX568" s="770"/>
      <c r="KY568" s="770"/>
      <c r="KZ568" s="770"/>
      <c r="LA568" s="770"/>
      <c r="LB568" s="770">
        <v>1</v>
      </c>
      <c r="LC568" s="770">
        <v>1</v>
      </c>
      <c r="LD568" s="770"/>
      <c r="LE568" s="770"/>
      <c r="LF568" s="770"/>
      <c r="LG568" s="770"/>
      <c r="LH568" s="770"/>
      <c r="LI568" s="770"/>
      <c r="LJ568" s="770">
        <v>1</v>
      </c>
      <c r="LK568" s="770">
        <v>1</v>
      </c>
      <c r="LL568" s="770"/>
      <c r="LM568" s="770"/>
      <c r="LN568" s="766">
        <f t="shared" si="159"/>
        <v>2</v>
      </c>
      <c r="LO568" s="766">
        <f t="shared" si="159"/>
        <v>2</v>
      </c>
      <c r="LP568" s="770">
        <v>1</v>
      </c>
      <c r="LQ568" s="770">
        <v>1</v>
      </c>
      <c r="LR568" s="770"/>
      <c r="LS568" s="770"/>
      <c r="LT568" s="770"/>
      <c r="LU568" s="770"/>
      <c r="LV568" s="770">
        <v>1</v>
      </c>
      <c r="LW568" s="770"/>
      <c r="LX568" s="769">
        <v>2</v>
      </c>
      <c r="LY568" s="766" t="str">
        <f t="shared" si="160"/>
        <v>within the MUNICIPALITY</v>
      </c>
      <c r="LZ568" s="1709"/>
      <c r="MA568" s="1709"/>
      <c r="MB568" s="1709"/>
      <c r="MC568" s="1679">
        <f t="shared" si="158"/>
        <v>0</v>
      </c>
      <c r="MD568" s="1709">
        <f>490*26</f>
        <v>12740</v>
      </c>
      <c r="ME568" s="1709"/>
      <c r="MF568" s="1709"/>
      <c r="MG568" s="1680">
        <f t="shared" si="149"/>
        <v>12740</v>
      </c>
      <c r="MH568" s="770" t="s">
        <v>2981</v>
      </c>
      <c r="MI568" s="302">
        <f>300*30</f>
        <v>9000</v>
      </c>
      <c r="MJ568" s="302"/>
      <c r="MK568" s="302">
        <v>1000</v>
      </c>
      <c r="ML568" s="302">
        <v>100</v>
      </c>
      <c r="MM568" s="302"/>
      <c r="MN568" s="302"/>
      <c r="MO568" s="302">
        <f>20*30</f>
        <v>600</v>
      </c>
      <c r="MP568" s="302"/>
      <c r="MQ568" s="302">
        <v>200</v>
      </c>
      <c r="MR568" s="302">
        <v>60</v>
      </c>
      <c r="MS568" s="302"/>
      <c r="MT568" s="302"/>
      <c r="MU568" s="302"/>
      <c r="MV568" s="302"/>
      <c r="MW568" s="302"/>
      <c r="MX568" s="302"/>
      <c r="MY568" s="1682">
        <f t="shared" si="147"/>
        <v>10960</v>
      </c>
      <c r="MZ568" s="770" t="s">
        <v>13370</v>
      </c>
      <c r="NA568" s="770" t="s">
        <v>13005</v>
      </c>
      <c r="NB568" s="770" t="s">
        <v>13033</v>
      </c>
      <c r="NC568" s="770" t="s">
        <v>13602</v>
      </c>
      <c r="ND568" s="770">
        <v>0</v>
      </c>
      <c r="NE568" s="770">
        <v>1</v>
      </c>
      <c r="NF568" s="770">
        <v>0</v>
      </c>
      <c r="NG568" s="770">
        <v>1</v>
      </c>
      <c r="NH568" s="770">
        <v>1</v>
      </c>
      <c r="NI568" s="770">
        <v>0</v>
      </c>
      <c r="NJ568" s="770">
        <v>0</v>
      </c>
      <c r="NK568" s="770">
        <v>0</v>
      </c>
      <c r="NL568" s="770">
        <v>0</v>
      </c>
      <c r="NM568" s="770">
        <v>1</v>
      </c>
      <c r="NN568" s="770">
        <v>0</v>
      </c>
      <c r="NO568" s="770">
        <v>0</v>
      </c>
      <c r="NP568" s="770">
        <v>0</v>
      </c>
      <c r="NQ568" s="770">
        <v>0</v>
      </c>
      <c r="NR568" s="770">
        <v>0</v>
      </c>
      <c r="NS568" s="770">
        <v>0</v>
      </c>
      <c r="NT568" s="770">
        <v>0</v>
      </c>
      <c r="NU568" s="770">
        <v>0</v>
      </c>
      <c r="NV568" s="770">
        <v>0</v>
      </c>
      <c r="NW568" s="770">
        <v>0</v>
      </c>
      <c r="NX568" s="770">
        <v>0</v>
      </c>
      <c r="NY568" s="770"/>
      <c r="NZ568" s="770" t="s">
        <v>1208</v>
      </c>
      <c r="OA568" s="770" t="s">
        <v>1208</v>
      </c>
      <c r="OB568" s="770"/>
      <c r="OC568" s="770" t="s">
        <v>1208</v>
      </c>
      <c r="OD568" s="770"/>
      <c r="OE568" s="770"/>
      <c r="OF568" s="770"/>
      <c r="OG568" s="770"/>
      <c r="OH568" s="770"/>
      <c r="OI568" s="770"/>
      <c r="OJ568" s="770"/>
      <c r="OK568" s="770"/>
      <c r="OL568" s="770"/>
      <c r="OM568" s="770"/>
      <c r="ON568" s="770"/>
      <c r="OO568" s="770"/>
      <c r="OP568" s="770"/>
      <c r="OQ568" s="770"/>
      <c r="OR568" s="770"/>
      <c r="OS568" s="770"/>
      <c r="OT568" s="770"/>
      <c r="OU568" s="770"/>
      <c r="OV568" s="770"/>
      <c r="OW568" s="770"/>
      <c r="OX568" s="770"/>
      <c r="OY568" s="770"/>
      <c r="OZ568" s="770"/>
      <c r="PA568" s="770"/>
      <c r="PB568" s="770"/>
      <c r="PC568" s="770"/>
      <c r="PD568" s="770"/>
      <c r="PE568" s="770"/>
      <c r="PF568" s="770"/>
      <c r="PG568" s="770"/>
      <c r="PH568" s="770" t="s">
        <v>1208</v>
      </c>
      <c r="PI568" s="770"/>
      <c r="PJ568" s="770"/>
      <c r="PK568" s="770" t="s">
        <v>1208</v>
      </c>
      <c r="PL568" s="770"/>
      <c r="PM568" s="770"/>
      <c r="PN568" s="770"/>
      <c r="PO568" s="770"/>
      <c r="PP568" s="770"/>
      <c r="PQ568" s="770"/>
      <c r="PR568" s="770"/>
      <c r="PS568" s="770"/>
      <c r="PT568" s="770" t="s">
        <v>1208</v>
      </c>
      <c r="PU568" s="770"/>
      <c r="PV568" s="770"/>
      <c r="PW568" s="770"/>
      <c r="PX568" s="770"/>
      <c r="PY568" s="770"/>
      <c r="PZ568" s="770"/>
      <c r="QA568" s="770"/>
      <c r="QB568" s="770"/>
      <c r="QC568" s="770"/>
      <c r="QD568" s="770"/>
      <c r="QE568" s="770"/>
      <c r="QF568" s="770"/>
      <c r="QG568" s="770"/>
      <c r="QH568" s="770"/>
      <c r="QI568" s="770"/>
      <c r="QJ568" s="770"/>
      <c r="QK568" s="770"/>
      <c r="QL568" s="770"/>
      <c r="QM568" s="770"/>
      <c r="QN568" s="770"/>
      <c r="QO568" s="770"/>
      <c r="QP568" s="770"/>
      <c r="QQ568" s="770"/>
      <c r="QR568" s="770"/>
      <c r="QS568" s="770"/>
      <c r="QT568" s="770"/>
      <c r="QU568" s="770"/>
      <c r="QV568" s="770"/>
      <c r="QW568" s="770"/>
      <c r="QX568" s="770"/>
      <c r="QY568" s="770"/>
      <c r="QZ568" s="770"/>
      <c r="RA568" s="770"/>
      <c r="RB568" s="770" t="s">
        <v>1214</v>
      </c>
      <c r="RC568" s="770"/>
      <c r="RD568" s="770"/>
      <c r="RE568" s="770"/>
      <c r="RF568" s="304"/>
      <c r="RG568" s="770"/>
      <c r="RH568" s="302"/>
      <c r="RI568" s="770"/>
      <c r="RJ568" s="770" t="s">
        <v>2893</v>
      </c>
      <c r="RK568" s="770" t="s">
        <v>13544</v>
      </c>
      <c r="RL568" s="1710"/>
      <c r="RM568" s="12"/>
      <c r="RN568" s="1711"/>
      <c r="RO568" s="133" t="s">
        <v>2884</v>
      </c>
      <c r="RP568" s="11"/>
      <c r="RQ568" s="11"/>
      <c r="RR568" s="17"/>
      <c r="RS568" s="771"/>
      <c r="RT568" s="11"/>
      <c r="RU568" s="11"/>
      <c r="RV568" s="771" t="s">
        <v>13752</v>
      </c>
      <c r="RW568" s="11" t="s">
        <v>7812</v>
      </c>
      <c r="RX568" s="11" t="s">
        <v>2874</v>
      </c>
      <c r="RY568" s="11"/>
      <c r="RZ568" s="11"/>
      <c r="SA568" s="771"/>
      <c r="SB568" s="11"/>
      <c r="SC568" s="11"/>
    </row>
    <row r="569" spans="1:497" ht="12.75" hidden="1" customHeight="1">
      <c r="A569" s="343" t="s">
        <v>14222</v>
      </c>
      <c r="B569" s="752" t="s">
        <v>7814</v>
      </c>
      <c r="C569" s="133" t="s">
        <v>2884</v>
      </c>
      <c r="D569" s="94" t="s">
        <v>2890</v>
      </c>
      <c r="E569" s="766" t="s">
        <v>2885</v>
      </c>
      <c r="F569" s="770" t="s">
        <v>28</v>
      </c>
      <c r="G569" s="770" t="s">
        <v>18</v>
      </c>
      <c r="H569" s="770"/>
      <c r="I569" s="295" t="s">
        <v>2891</v>
      </c>
      <c r="J569" s="94" t="s">
        <v>2888</v>
      </c>
      <c r="K569" s="766" t="s">
        <v>3895</v>
      </c>
      <c r="L569" s="766" t="s">
        <v>2745</v>
      </c>
      <c r="M569" s="770" t="s">
        <v>1238</v>
      </c>
      <c r="N569" s="770"/>
      <c r="O569" s="770" t="s">
        <v>3897</v>
      </c>
      <c r="P569" s="770" t="s">
        <v>2889</v>
      </c>
      <c r="Q569" s="1088">
        <v>30384</v>
      </c>
      <c r="R569" s="297">
        <v>34</v>
      </c>
      <c r="S569" s="770" t="s">
        <v>18</v>
      </c>
      <c r="T569" s="770"/>
      <c r="U569" s="295" t="s">
        <v>2891</v>
      </c>
      <c r="V569" s="770" t="s">
        <v>707</v>
      </c>
      <c r="W569" s="770"/>
      <c r="X569" s="770"/>
      <c r="Y569" s="770" t="s">
        <v>2885</v>
      </c>
      <c r="Z569" s="770" t="s">
        <v>708</v>
      </c>
      <c r="AA569" s="770" t="s">
        <v>709</v>
      </c>
      <c r="AB569" s="770" t="s">
        <v>710</v>
      </c>
      <c r="AC569" s="770"/>
      <c r="AD569" s="770" t="s">
        <v>711</v>
      </c>
      <c r="AE569" s="770"/>
      <c r="AF569" s="770" t="s">
        <v>712</v>
      </c>
      <c r="AG569" s="770"/>
      <c r="AH569" s="770"/>
      <c r="AI569" s="770"/>
      <c r="AJ569" s="770"/>
      <c r="AK569" s="770" t="s">
        <v>5454</v>
      </c>
      <c r="AL569" s="531"/>
      <c r="AM569" s="780"/>
      <c r="AN569" s="532"/>
      <c r="AO569" s="766"/>
      <c r="AP569" s="766"/>
      <c r="AQ569" s="766"/>
      <c r="AR569" s="766"/>
      <c r="AS569" s="770"/>
      <c r="AT569" s="770"/>
      <c r="AU569" s="770"/>
      <c r="AV569" s="770"/>
      <c r="AW569" s="770"/>
      <c r="AX569" s="770"/>
      <c r="AY569" s="770"/>
      <c r="AZ569" s="770"/>
      <c r="BA569" s="770"/>
      <c r="BB569" s="770"/>
      <c r="BC569" s="770"/>
      <c r="BD569" s="770"/>
      <c r="BE569" s="770"/>
      <c r="BF569" s="302"/>
      <c r="BG569" s="302"/>
      <c r="BH569" s="770"/>
      <c r="BI569" s="770"/>
      <c r="BJ569" s="770"/>
      <c r="BK569" s="770"/>
      <c r="BL569" s="770"/>
      <c r="BM569" s="770" t="s">
        <v>1238</v>
      </c>
      <c r="BN569" s="770" t="s">
        <v>1299</v>
      </c>
      <c r="BO569" s="770"/>
      <c r="BP569" s="765"/>
      <c r="BQ569" s="773"/>
      <c r="BR569" s="774"/>
      <c r="BS569" s="766" t="s">
        <v>1242</v>
      </c>
      <c r="BT569" s="770"/>
      <c r="BU569" s="770"/>
      <c r="BV569" s="770"/>
      <c r="BW569" s="770"/>
      <c r="BX569" s="302"/>
      <c r="BY569" s="770"/>
      <c r="BZ569" s="302"/>
      <c r="CA569" s="770"/>
      <c r="CB569" s="770"/>
      <c r="CC569" s="770"/>
      <c r="CD569" s="770"/>
      <c r="CE569" s="770"/>
      <c r="CF569" s="1753"/>
      <c r="CG569" s="1754"/>
      <c r="CH569" s="770"/>
      <c r="CI569" s="770"/>
      <c r="CJ569" s="770"/>
      <c r="CK569" s="770"/>
      <c r="CL569" s="770"/>
      <c r="CM569" s="770"/>
      <c r="CN569" s="770"/>
      <c r="CO569" s="770"/>
      <c r="CP569" s="770"/>
      <c r="CQ569" s="770"/>
      <c r="CR569" s="302"/>
      <c r="CS569" s="770"/>
      <c r="CT569" s="770"/>
      <c r="CU569" s="305"/>
      <c r="CV569" s="770"/>
      <c r="CW569" s="770"/>
      <c r="CX569" s="770"/>
      <c r="CY569" s="770"/>
      <c r="CZ569" s="770"/>
      <c r="DA569" s="306"/>
      <c r="DB569" s="770"/>
      <c r="DC569" s="770"/>
      <c r="DD569" s="770"/>
      <c r="DE569" s="300"/>
      <c r="DF569" s="770"/>
      <c r="DG569" s="770"/>
      <c r="DH569" s="770"/>
      <c r="DI569" s="770"/>
      <c r="DJ569" s="770"/>
      <c r="DK569" s="770"/>
      <c r="DL569" s="770"/>
      <c r="DM569" s="770"/>
      <c r="DN569" s="322"/>
      <c r="DO569" s="770"/>
      <c r="DP569" s="770"/>
      <c r="DQ569" s="770"/>
      <c r="DR569" s="770"/>
      <c r="DS569" s="307"/>
      <c r="DT569" s="770"/>
      <c r="DU569" s="770"/>
      <c r="DV569" s="770"/>
      <c r="DW569" s="306"/>
      <c r="DX569" s="306"/>
      <c r="DY569" s="770"/>
      <c r="DZ569" s="770"/>
      <c r="EA569" s="770"/>
      <c r="EB569" s="770"/>
      <c r="EC569" s="770"/>
      <c r="ED569" s="770"/>
      <c r="EE569" s="770"/>
      <c r="EF569" s="770"/>
      <c r="EG569" s="770"/>
      <c r="EH569" s="770"/>
      <c r="EI569" s="770"/>
      <c r="EJ569" s="770"/>
      <c r="EK569" s="770"/>
      <c r="EL569" s="770"/>
      <c r="EM569" s="770"/>
      <c r="EN569" s="770"/>
      <c r="EO569" s="770"/>
      <c r="EP569" s="94"/>
      <c r="EQ569" s="770"/>
      <c r="ER569" s="770"/>
      <c r="ES569" s="770"/>
      <c r="ET569" s="770"/>
      <c r="EU569" s="770"/>
      <c r="EV569" s="770"/>
      <c r="EW569" s="770"/>
      <c r="EX569" s="770"/>
      <c r="EY569" s="770"/>
      <c r="EZ569" s="770"/>
      <c r="FA569" s="770"/>
      <c r="FB569" s="770"/>
      <c r="FC569" s="770"/>
      <c r="FD569" s="302"/>
      <c r="FE569" s="770"/>
      <c r="FF569" s="770"/>
      <c r="FG569" s="770"/>
      <c r="FH569" s="770" t="s">
        <v>1299</v>
      </c>
      <c r="FI569" s="770">
        <v>1</v>
      </c>
      <c r="FJ569" s="770" t="s">
        <v>2892</v>
      </c>
      <c r="FK569" s="770"/>
      <c r="FL569" s="770" t="s">
        <v>2885</v>
      </c>
      <c r="FM569" s="302"/>
      <c r="FN569" s="302"/>
      <c r="FO569" s="302"/>
      <c r="FP569" s="770"/>
      <c r="FQ569" s="770"/>
      <c r="FR569" s="770"/>
      <c r="FS569" s="770"/>
      <c r="FT569" s="770"/>
      <c r="FU569" s="770"/>
      <c r="FV569" s="770"/>
      <c r="FW569" s="770"/>
      <c r="FX569" s="770"/>
      <c r="FY569" s="770"/>
      <c r="FZ569" s="770"/>
      <c r="GA569" s="770"/>
      <c r="GB569" s="770"/>
      <c r="GC569" s="308"/>
      <c r="GD569" s="297"/>
      <c r="GE569" s="770"/>
      <c r="GF569" s="302"/>
      <c r="GG569" s="302"/>
      <c r="GH569" s="770"/>
      <c r="GI569" s="770"/>
      <c r="GJ569" s="770"/>
      <c r="GK569" s="770"/>
      <c r="GL569" s="770"/>
      <c r="GM569" s="770"/>
      <c r="GN569" s="299"/>
      <c r="GO569" s="770"/>
      <c r="GP569" s="770"/>
      <c r="GQ569" s="770"/>
      <c r="GR569" s="770"/>
      <c r="GS569" s="770"/>
      <c r="GT569" s="770"/>
      <c r="GU569" s="770"/>
      <c r="GV569" s="770"/>
      <c r="GW569" s="770"/>
      <c r="GX569" s="770"/>
      <c r="GY569" s="770"/>
      <c r="GZ569" s="770"/>
      <c r="HA569" s="770"/>
      <c r="HB569" s="770"/>
      <c r="HC569" s="770"/>
      <c r="HD569" s="770"/>
      <c r="HE569" s="770"/>
      <c r="HF569" s="770"/>
      <c r="HG569" s="770"/>
      <c r="HH569" s="770"/>
      <c r="HI569" s="770"/>
      <c r="HJ569" s="770"/>
      <c r="HK569" s="770"/>
      <c r="HL569" s="770"/>
      <c r="HM569" s="770"/>
      <c r="HN569" s="770"/>
      <c r="HO569" s="770"/>
      <c r="HP569" s="770"/>
      <c r="HQ569" s="770"/>
      <c r="HR569" s="770"/>
      <c r="HS569" s="770"/>
      <c r="HT569" s="770"/>
      <c r="HU569" s="770"/>
      <c r="HV569" s="770"/>
      <c r="HW569" s="770"/>
      <c r="HX569" s="770"/>
      <c r="HY569" s="770"/>
      <c r="HZ569" s="770"/>
      <c r="IA569" s="770"/>
      <c r="IB569" s="770"/>
      <c r="IC569" s="770"/>
      <c r="ID569" s="770">
        <v>1</v>
      </c>
      <c r="IE569" s="770"/>
      <c r="IF569" s="770"/>
      <c r="IG569" s="770"/>
      <c r="IH569" s="770"/>
      <c r="II569" s="770"/>
      <c r="IJ569" s="770"/>
      <c r="IK569" s="770"/>
      <c r="IL569" s="770"/>
      <c r="IM569" s="770"/>
      <c r="IN569" s="770"/>
      <c r="IO569" s="296"/>
      <c r="IP569" s="770"/>
      <c r="IQ569" s="770"/>
      <c r="IR569" s="770"/>
      <c r="IS569" s="770"/>
      <c r="IT569" s="770"/>
      <c r="IU569" s="770"/>
      <c r="IV569" s="770"/>
      <c r="IW569" s="770"/>
      <c r="IX569" s="770"/>
      <c r="IY569" s="770"/>
      <c r="IZ569" s="770"/>
      <c r="JA569" s="770"/>
      <c r="JB569" s="770"/>
      <c r="JC569" s="770"/>
      <c r="JD569" s="302"/>
      <c r="JE569" s="770"/>
      <c r="JF569" s="770"/>
      <c r="JG569" s="770"/>
      <c r="JH569" s="307"/>
      <c r="JI569" s="307"/>
      <c r="JJ569" s="770">
        <v>4</v>
      </c>
      <c r="JK569" s="766" t="s">
        <v>13754</v>
      </c>
      <c r="JL569" s="766">
        <v>1</v>
      </c>
      <c r="JM569" s="766">
        <v>1</v>
      </c>
      <c r="JN569" s="766">
        <v>1</v>
      </c>
      <c r="JO569" s="766">
        <v>1</v>
      </c>
      <c r="JP569" s="766"/>
      <c r="JQ569" s="766"/>
      <c r="JR569" s="766"/>
      <c r="JS569" s="766"/>
      <c r="JT569" s="766">
        <f t="shared" si="162"/>
        <v>2</v>
      </c>
      <c r="JU569" s="766">
        <f t="shared" si="162"/>
        <v>2</v>
      </c>
      <c r="JV569" s="766"/>
      <c r="JW569" s="766"/>
      <c r="JX569" s="766">
        <v>1</v>
      </c>
      <c r="JY569" s="766"/>
      <c r="JZ569" s="766"/>
      <c r="KA569" s="766">
        <v>1</v>
      </c>
      <c r="KB569" s="766"/>
      <c r="KC569" s="766"/>
      <c r="KD569" s="766">
        <v>1</v>
      </c>
      <c r="KE569" s="766">
        <v>1</v>
      </c>
      <c r="KF569" s="766"/>
      <c r="KG569" s="766"/>
      <c r="KH569" s="766"/>
      <c r="KI569" s="766"/>
      <c r="KJ569" s="770">
        <f t="shared" si="153"/>
        <v>2</v>
      </c>
      <c r="KK569" s="770">
        <f t="shared" si="153"/>
        <v>2</v>
      </c>
      <c r="KL569" s="770"/>
      <c r="KM569" s="770"/>
      <c r="KN569" s="766" t="s">
        <v>707</v>
      </c>
      <c r="KO569" s="766"/>
      <c r="KP569" s="766"/>
      <c r="KQ569" s="766"/>
      <c r="KR569" s="766"/>
      <c r="KS569" s="766"/>
      <c r="KT569" s="766"/>
      <c r="KU569" s="766">
        <v>1</v>
      </c>
      <c r="KV569" s="770"/>
      <c r="KW569" s="770"/>
      <c r="KX569" s="770"/>
      <c r="KY569" s="770"/>
      <c r="KZ569" s="770"/>
      <c r="LA569" s="770">
        <v>1</v>
      </c>
      <c r="LB569" s="770"/>
      <c r="LC569" s="770"/>
      <c r="LD569" s="770">
        <v>1</v>
      </c>
      <c r="LE569" s="770"/>
      <c r="LF569" s="770"/>
      <c r="LG569" s="770"/>
      <c r="LH569" s="770"/>
      <c r="LI569" s="770"/>
      <c r="LJ569" s="770">
        <v>1</v>
      </c>
      <c r="LK569" s="770"/>
      <c r="LL569" s="770"/>
      <c r="LM569" s="770"/>
      <c r="LN569" s="766">
        <f t="shared" si="159"/>
        <v>2</v>
      </c>
      <c r="LO569" s="766">
        <f t="shared" si="159"/>
        <v>2</v>
      </c>
      <c r="LP569" s="770">
        <v>1</v>
      </c>
      <c r="LQ569" s="770">
        <v>1</v>
      </c>
      <c r="LR569" s="770"/>
      <c r="LS569" s="770"/>
      <c r="LT569" s="770"/>
      <c r="LU569" s="770">
        <v>1</v>
      </c>
      <c r="LV569" s="770"/>
      <c r="LW569" s="770"/>
      <c r="LX569" s="769">
        <v>3</v>
      </c>
      <c r="LY569" s="766" t="str">
        <f t="shared" si="160"/>
        <v>within the PROVINCE</v>
      </c>
      <c r="LZ569" s="1709">
        <f>10*26</f>
        <v>260</v>
      </c>
      <c r="MA569" s="1709"/>
      <c r="MB569" s="1709"/>
      <c r="MC569" s="1679">
        <f t="shared" si="158"/>
        <v>260</v>
      </c>
      <c r="MD569" s="1709">
        <v>30000</v>
      </c>
      <c r="ME569" s="1709"/>
      <c r="MF569" s="1709"/>
      <c r="MG569" s="1680">
        <f t="shared" si="149"/>
        <v>30000</v>
      </c>
      <c r="MH569" s="770" t="s">
        <v>13755</v>
      </c>
      <c r="MI569" s="302">
        <f>600*30</f>
        <v>18000</v>
      </c>
      <c r="MJ569" s="302">
        <f>10*30</f>
        <v>300</v>
      </c>
      <c r="MK569" s="302">
        <f>200*30</f>
        <v>6000</v>
      </c>
      <c r="ML569" s="302">
        <f>150*30</f>
        <v>4500</v>
      </c>
      <c r="MM569" s="302">
        <f>100*30</f>
        <v>3000</v>
      </c>
      <c r="MN569" s="302"/>
      <c r="MO569" s="302">
        <f>50*30</f>
        <v>1500</v>
      </c>
      <c r="MP569" s="302">
        <v>1000</v>
      </c>
      <c r="MQ569" s="302">
        <v>500</v>
      </c>
      <c r="MR569" s="302">
        <v>100</v>
      </c>
      <c r="MS569" s="302">
        <v>500</v>
      </c>
      <c r="MT569" s="302"/>
      <c r="MU569" s="302"/>
      <c r="MV569" s="302"/>
      <c r="MW569" s="302"/>
      <c r="MX569" s="302"/>
      <c r="MY569" s="1682">
        <f t="shared" si="147"/>
        <v>35400</v>
      </c>
      <c r="MZ569" s="770" t="s">
        <v>13370</v>
      </c>
      <c r="NA569" s="770" t="s">
        <v>13005</v>
      </c>
      <c r="NB569" s="770" t="s">
        <v>13016</v>
      </c>
      <c r="NC569" s="770" t="s">
        <v>13602</v>
      </c>
      <c r="ND569" s="770">
        <v>0</v>
      </c>
      <c r="NE569" s="770">
        <v>1</v>
      </c>
      <c r="NF569" s="770">
        <v>0</v>
      </c>
      <c r="NG569" s="770">
        <v>2</v>
      </c>
      <c r="NH569" s="770">
        <v>1</v>
      </c>
      <c r="NI569" s="770">
        <v>0</v>
      </c>
      <c r="NJ569" s="770">
        <v>0</v>
      </c>
      <c r="NK569" s="770">
        <v>0</v>
      </c>
      <c r="NL569" s="770">
        <v>1</v>
      </c>
      <c r="NM569" s="770">
        <v>1</v>
      </c>
      <c r="NN569" s="770">
        <v>0</v>
      </c>
      <c r="NO569" s="770">
        <v>0</v>
      </c>
      <c r="NP569" s="770">
        <v>0</v>
      </c>
      <c r="NQ569" s="770">
        <v>0</v>
      </c>
      <c r="NR569" s="770">
        <v>0</v>
      </c>
      <c r="NS569" s="770">
        <v>0</v>
      </c>
      <c r="NT569" s="770">
        <v>0</v>
      </c>
      <c r="NU569" s="770">
        <v>0</v>
      </c>
      <c r="NV569" s="770">
        <v>0</v>
      </c>
      <c r="NW569" s="770">
        <v>0</v>
      </c>
      <c r="NX569" s="770">
        <v>0</v>
      </c>
      <c r="NY569" s="770" t="s">
        <v>1208</v>
      </c>
      <c r="NZ569" s="770" t="s">
        <v>1208</v>
      </c>
      <c r="OA569" s="770" t="s">
        <v>1208</v>
      </c>
      <c r="OB569" s="770" t="s">
        <v>1208</v>
      </c>
      <c r="OC569" s="770" t="s">
        <v>1208</v>
      </c>
      <c r="OD569" s="770"/>
      <c r="OE569" s="770"/>
      <c r="OF569" s="770"/>
      <c r="OG569" s="770"/>
      <c r="OH569" s="770"/>
      <c r="OI569" s="770"/>
      <c r="OJ569" s="770"/>
      <c r="OK569" s="770"/>
      <c r="OL569" s="770"/>
      <c r="OM569" s="770"/>
      <c r="ON569" s="770"/>
      <c r="OO569" s="770"/>
      <c r="OP569" s="770"/>
      <c r="OQ569" s="770"/>
      <c r="OR569" s="770"/>
      <c r="OS569" s="770"/>
      <c r="OT569" s="770"/>
      <c r="OU569" s="770"/>
      <c r="OV569" s="770"/>
      <c r="OW569" s="770"/>
      <c r="OX569" s="770"/>
      <c r="OY569" s="770"/>
      <c r="OZ569" s="770"/>
      <c r="PA569" s="770"/>
      <c r="PB569" s="770"/>
      <c r="PC569" s="770"/>
      <c r="PD569" s="770"/>
      <c r="PE569" s="770"/>
      <c r="PF569" s="770"/>
      <c r="PG569" s="770"/>
      <c r="PH569" s="770" t="s">
        <v>1208</v>
      </c>
      <c r="PI569" s="770"/>
      <c r="PJ569" s="770"/>
      <c r="PK569" s="770"/>
      <c r="PL569" s="770"/>
      <c r="PM569" s="770"/>
      <c r="PN569" s="770"/>
      <c r="PO569" s="770"/>
      <c r="PP569" s="770"/>
      <c r="PQ569" s="770"/>
      <c r="PR569" s="770"/>
      <c r="PS569" s="770"/>
      <c r="PT569" s="770"/>
      <c r="PU569" s="770"/>
      <c r="PV569" s="770"/>
      <c r="PW569" s="770"/>
      <c r="PX569" s="770"/>
      <c r="PY569" s="770"/>
      <c r="PZ569" s="770"/>
      <c r="QA569" s="770"/>
      <c r="QB569" s="770"/>
      <c r="QC569" s="770"/>
      <c r="QD569" s="770"/>
      <c r="QE569" s="770"/>
      <c r="QF569" s="770"/>
      <c r="QG569" s="770"/>
      <c r="QH569" s="770"/>
      <c r="QI569" s="770"/>
      <c r="QJ569" s="770"/>
      <c r="QK569" s="770"/>
      <c r="QL569" s="770"/>
      <c r="QM569" s="770"/>
      <c r="QN569" s="770"/>
      <c r="QO569" s="770"/>
      <c r="QP569" s="770"/>
      <c r="QQ569" s="770"/>
      <c r="QR569" s="770"/>
      <c r="QS569" s="770"/>
      <c r="QT569" s="770"/>
      <c r="QU569" s="770"/>
      <c r="QV569" s="770"/>
      <c r="QW569" s="770" t="s">
        <v>1208</v>
      </c>
      <c r="QX569" s="770" t="s">
        <v>1208</v>
      </c>
      <c r="QY569" s="770"/>
      <c r="QZ569" s="770"/>
      <c r="RA569" s="770"/>
      <c r="RB569" s="770" t="s">
        <v>1207</v>
      </c>
      <c r="RC569" s="770">
        <v>2016</v>
      </c>
      <c r="RD569" s="770"/>
      <c r="RE569" s="770" t="s">
        <v>12999</v>
      </c>
      <c r="RF569" s="304">
        <v>0.5</v>
      </c>
      <c r="RG569" s="770" t="s">
        <v>13047</v>
      </c>
      <c r="RH569" s="302">
        <v>2000</v>
      </c>
      <c r="RI569" s="770">
        <v>1</v>
      </c>
      <c r="RJ569" s="770" t="s">
        <v>13756</v>
      </c>
      <c r="RK569" s="770" t="s">
        <v>13544</v>
      </c>
      <c r="RL569" s="1710"/>
      <c r="RM569" s="12"/>
      <c r="RN569" s="1711"/>
      <c r="RO569" s="133" t="s">
        <v>2884</v>
      </c>
      <c r="RP569" s="11"/>
      <c r="RQ569" s="11"/>
      <c r="RR569" s="17"/>
      <c r="RS569" s="771"/>
      <c r="RT569" s="11"/>
      <c r="RU569" s="11"/>
      <c r="RV569" s="771" t="s">
        <v>7419</v>
      </c>
      <c r="RW569" s="11" t="s">
        <v>7813</v>
      </c>
      <c r="RX569" s="11" t="s">
        <v>2884</v>
      </c>
      <c r="RY569" s="11"/>
      <c r="RZ569" s="11"/>
      <c r="SA569" s="771"/>
      <c r="SB569" s="11"/>
      <c r="SC569" s="11"/>
    </row>
    <row r="570" spans="1:497" ht="12.75" hidden="1" customHeight="1">
      <c r="A570" s="343" t="s">
        <v>14222</v>
      </c>
      <c r="B570" s="752" t="s">
        <v>7720</v>
      </c>
      <c r="C570" s="133" t="s">
        <v>2884</v>
      </c>
      <c r="D570" s="94" t="s">
        <v>2894</v>
      </c>
      <c r="E570" s="766" t="s">
        <v>2885</v>
      </c>
      <c r="F570" s="770" t="s">
        <v>28</v>
      </c>
      <c r="G570" s="770" t="s">
        <v>10</v>
      </c>
      <c r="H570" s="770"/>
      <c r="I570" s="295" t="s">
        <v>2898</v>
      </c>
      <c r="J570" s="94" t="s">
        <v>2894</v>
      </c>
      <c r="K570" s="766" t="s">
        <v>3895</v>
      </c>
      <c r="L570" s="766" t="s">
        <v>2745</v>
      </c>
      <c r="M570" s="770" t="s">
        <v>1238</v>
      </c>
      <c r="N570" s="770"/>
      <c r="O570" s="770" t="s">
        <v>3897</v>
      </c>
      <c r="P570" s="1732" t="s">
        <v>2894</v>
      </c>
      <c r="Q570" s="1088">
        <v>29644</v>
      </c>
      <c r="R570" s="770">
        <v>36</v>
      </c>
      <c r="S570" s="770" t="s">
        <v>10</v>
      </c>
      <c r="T570" s="770"/>
      <c r="U570" s="295" t="s">
        <v>2898</v>
      </c>
      <c r="V570" s="770" t="s">
        <v>707</v>
      </c>
      <c r="W570" s="770"/>
      <c r="X570" s="770"/>
      <c r="Y570" s="770" t="s">
        <v>2885</v>
      </c>
      <c r="Z570" s="770" t="s">
        <v>708</v>
      </c>
      <c r="AA570" s="770" t="s">
        <v>709</v>
      </c>
      <c r="AB570" s="770" t="s">
        <v>710</v>
      </c>
      <c r="AC570" s="770"/>
      <c r="AD570" s="770" t="s">
        <v>711</v>
      </c>
      <c r="AE570" s="770"/>
      <c r="AF570" s="770" t="s">
        <v>712</v>
      </c>
      <c r="AG570" s="770"/>
      <c r="AH570" s="770"/>
      <c r="AI570" s="770"/>
      <c r="AJ570" s="770"/>
      <c r="AK570" s="770" t="s">
        <v>5454</v>
      </c>
      <c r="AL570" s="531"/>
      <c r="AM570" s="780"/>
      <c r="AN570" s="532"/>
      <c r="AO570" s="766"/>
      <c r="AP570" s="766"/>
      <c r="AQ570" s="766"/>
      <c r="AR570" s="766"/>
      <c r="AS570" s="770"/>
      <c r="AT570" s="770"/>
      <c r="AU570" s="770"/>
      <c r="AV570" s="770"/>
      <c r="AW570" s="770"/>
      <c r="AX570" s="770"/>
      <c r="AY570" s="770"/>
      <c r="AZ570" s="770"/>
      <c r="BA570" s="770"/>
      <c r="BB570" s="770"/>
      <c r="BC570" s="770"/>
      <c r="BD570" s="770"/>
      <c r="BE570" s="770"/>
      <c r="BF570" s="302"/>
      <c r="BG570" s="302"/>
      <c r="BH570" s="770"/>
      <c r="BI570" s="770"/>
      <c r="BJ570" s="770"/>
      <c r="BK570" s="770"/>
      <c r="BL570" s="770"/>
      <c r="BM570" s="770" t="s">
        <v>1238</v>
      </c>
      <c r="BN570" s="770" t="s">
        <v>1299</v>
      </c>
      <c r="BO570" s="770"/>
      <c r="BP570" s="765"/>
      <c r="BQ570" s="773"/>
      <c r="BR570" s="774"/>
      <c r="BS570" s="766" t="s">
        <v>1242</v>
      </c>
      <c r="BT570" s="770"/>
      <c r="BU570" s="770"/>
      <c r="BV570" s="770"/>
      <c r="BW570" s="770"/>
      <c r="BX570" s="302"/>
      <c r="BY570" s="770"/>
      <c r="BZ570" s="302"/>
      <c r="CA570" s="770"/>
      <c r="CB570" s="770"/>
      <c r="CC570" s="770"/>
      <c r="CD570" s="770"/>
      <c r="CE570" s="770"/>
      <c r="CF570" s="1753"/>
      <c r="CG570" s="1754"/>
      <c r="CH570" s="770"/>
      <c r="CI570" s="770"/>
      <c r="CJ570" s="770"/>
      <c r="CK570" s="770"/>
      <c r="CL570" s="770"/>
      <c r="CM570" s="770"/>
      <c r="CN570" s="770"/>
      <c r="CO570" s="770"/>
      <c r="CP570" s="770"/>
      <c r="CQ570" s="770"/>
      <c r="CR570" s="302"/>
      <c r="CS570" s="770"/>
      <c r="CT570" s="770"/>
      <c r="CU570" s="305"/>
      <c r="CV570" s="770"/>
      <c r="CW570" s="770"/>
      <c r="CX570" s="770"/>
      <c r="CY570" s="770"/>
      <c r="CZ570" s="770"/>
      <c r="DA570" s="306"/>
      <c r="DB570" s="770"/>
      <c r="DC570" s="770"/>
      <c r="DD570" s="770"/>
      <c r="DE570" s="300"/>
      <c r="DF570" s="770"/>
      <c r="DG570" s="770"/>
      <c r="DH570" s="770"/>
      <c r="DI570" s="770"/>
      <c r="DJ570" s="770"/>
      <c r="DK570" s="770"/>
      <c r="DL570" s="770"/>
      <c r="DM570" s="770"/>
      <c r="DN570" s="322"/>
      <c r="DO570" s="770"/>
      <c r="DP570" s="770"/>
      <c r="DQ570" s="770"/>
      <c r="DR570" s="770"/>
      <c r="DS570" s="307"/>
      <c r="DT570" s="770"/>
      <c r="DU570" s="770"/>
      <c r="DV570" s="770"/>
      <c r="DW570" s="306"/>
      <c r="DX570" s="306"/>
      <c r="DY570" s="770"/>
      <c r="DZ570" s="770"/>
      <c r="EA570" s="770"/>
      <c r="EB570" s="770"/>
      <c r="EC570" s="770"/>
      <c r="ED570" s="770"/>
      <c r="EE570" s="770"/>
      <c r="EF570" s="770"/>
      <c r="EG570" s="770"/>
      <c r="EH570" s="770"/>
      <c r="EI570" s="770"/>
      <c r="EJ570" s="770"/>
      <c r="EK570" s="770"/>
      <c r="EL570" s="770"/>
      <c r="EM570" s="770"/>
      <c r="EN570" s="770"/>
      <c r="EO570" s="770"/>
      <c r="EP570" s="94"/>
      <c r="EQ570" s="770"/>
      <c r="ER570" s="770"/>
      <c r="ES570" s="770"/>
      <c r="ET570" s="770"/>
      <c r="EU570" s="770"/>
      <c r="EV570" s="770"/>
      <c r="EW570" s="770"/>
      <c r="EX570" s="770"/>
      <c r="EY570" s="770"/>
      <c r="EZ570" s="770"/>
      <c r="FA570" s="770"/>
      <c r="FB570" s="770"/>
      <c r="FC570" s="770"/>
      <c r="FD570" s="302"/>
      <c r="FE570" s="770"/>
      <c r="FF570" s="770"/>
      <c r="FG570" s="770"/>
      <c r="FH570" s="770" t="s">
        <v>478</v>
      </c>
      <c r="FI570" s="770">
        <v>1</v>
      </c>
      <c r="FJ570" s="770"/>
      <c r="FK570" s="770"/>
      <c r="FL570" s="770"/>
      <c r="FM570" s="302"/>
      <c r="FN570" s="302"/>
      <c r="FO570" s="302"/>
      <c r="FP570" s="770"/>
      <c r="FQ570" s="770"/>
      <c r="FR570" s="770"/>
      <c r="FS570" s="770"/>
      <c r="FT570" s="770"/>
      <c r="FU570" s="770"/>
      <c r="FV570" s="770"/>
      <c r="FW570" s="770"/>
      <c r="FX570" s="770"/>
      <c r="FY570" s="770"/>
      <c r="FZ570" s="770"/>
      <c r="GA570" s="770"/>
      <c r="GB570" s="770"/>
      <c r="GC570" s="308"/>
      <c r="GD570" s="297"/>
      <c r="GE570" s="770"/>
      <c r="GF570" s="302"/>
      <c r="GG570" s="302"/>
      <c r="GH570" s="770"/>
      <c r="GI570" s="770"/>
      <c r="GJ570" s="770"/>
      <c r="GK570" s="770"/>
      <c r="GL570" s="770"/>
      <c r="GM570" s="770"/>
      <c r="GN570" s="299"/>
      <c r="GO570" s="770"/>
      <c r="GP570" s="770"/>
      <c r="GQ570" s="770"/>
      <c r="GR570" s="770"/>
      <c r="GS570" s="770"/>
      <c r="GT570" s="770"/>
      <c r="GU570" s="770"/>
      <c r="GV570" s="770"/>
      <c r="GW570" s="770"/>
      <c r="GX570" s="770"/>
      <c r="GY570" s="770"/>
      <c r="GZ570" s="770"/>
      <c r="HA570" s="770"/>
      <c r="HB570" s="770"/>
      <c r="HC570" s="770"/>
      <c r="HD570" s="770"/>
      <c r="HE570" s="770"/>
      <c r="HF570" s="770"/>
      <c r="HG570" s="770"/>
      <c r="HH570" s="770"/>
      <c r="HI570" s="770"/>
      <c r="HJ570" s="770"/>
      <c r="HK570" s="770"/>
      <c r="HL570" s="770"/>
      <c r="HM570" s="770"/>
      <c r="HN570" s="770"/>
      <c r="HO570" s="770"/>
      <c r="HP570" s="770"/>
      <c r="HQ570" s="770"/>
      <c r="HR570" s="770"/>
      <c r="HS570" s="770"/>
      <c r="HT570" s="770"/>
      <c r="HU570" s="770"/>
      <c r="HV570" s="770"/>
      <c r="HW570" s="770"/>
      <c r="HX570" s="770"/>
      <c r="HY570" s="770"/>
      <c r="HZ570" s="770"/>
      <c r="IA570" s="770"/>
      <c r="IB570" s="770" t="s">
        <v>1207</v>
      </c>
      <c r="IC570" s="770"/>
      <c r="ID570" s="770"/>
      <c r="IE570" s="770"/>
      <c r="IF570" s="770" t="s">
        <v>2894</v>
      </c>
      <c r="IG570" s="770" t="s">
        <v>10</v>
      </c>
      <c r="IH570" s="770" t="s">
        <v>478</v>
      </c>
      <c r="II570" s="770" t="s">
        <v>2885</v>
      </c>
      <c r="IJ570" s="770" t="s">
        <v>2895</v>
      </c>
      <c r="IK570" s="770" t="s">
        <v>1876</v>
      </c>
      <c r="IL570" s="770" t="s">
        <v>2896</v>
      </c>
      <c r="IM570" s="770">
        <v>2014</v>
      </c>
      <c r="IN570" s="770" t="s">
        <v>2896</v>
      </c>
      <c r="IO570" s="296">
        <v>29644</v>
      </c>
      <c r="IP570" s="770" t="s">
        <v>478</v>
      </c>
      <c r="IQ570" s="769" t="s">
        <v>1909</v>
      </c>
      <c r="IR570" s="770" t="s">
        <v>2716</v>
      </c>
      <c r="IS570" s="770" t="s">
        <v>2897</v>
      </c>
      <c r="IT570" s="770"/>
      <c r="IU570" s="770" t="s">
        <v>1208</v>
      </c>
      <c r="IV570" s="770"/>
      <c r="IW570" s="770" t="s">
        <v>13757</v>
      </c>
      <c r="IX570" s="770"/>
      <c r="IY570" s="770" t="s">
        <v>2898</v>
      </c>
      <c r="IZ570" s="770"/>
      <c r="JA570" s="770" t="s">
        <v>1880</v>
      </c>
      <c r="JB570" s="770" t="s">
        <v>12766</v>
      </c>
      <c r="JC570" s="770" t="s">
        <v>12778</v>
      </c>
      <c r="JD570" s="302"/>
      <c r="JE570" s="770"/>
      <c r="JF570" s="770"/>
      <c r="JG570" s="770"/>
      <c r="JH570" s="307"/>
      <c r="JI570" s="307"/>
      <c r="JJ570" s="770">
        <v>4</v>
      </c>
      <c r="JK570" s="766" t="s">
        <v>2982</v>
      </c>
      <c r="JL570" s="766">
        <v>1</v>
      </c>
      <c r="JM570" s="766">
        <v>1</v>
      </c>
      <c r="JN570" s="766">
        <v>1</v>
      </c>
      <c r="JO570" s="766">
        <v>1</v>
      </c>
      <c r="JP570" s="766"/>
      <c r="JQ570" s="766"/>
      <c r="JR570" s="766"/>
      <c r="JS570" s="766"/>
      <c r="JT570" s="766">
        <f t="shared" si="162"/>
        <v>2</v>
      </c>
      <c r="JU570" s="766">
        <f t="shared" si="162"/>
        <v>2</v>
      </c>
      <c r="JV570" s="766"/>
      <c r="JW570" s="766"/>
      <c r="JX570" s="766"/>
      <c r="JY570" s="766"/>
      <c r="JZ570" s="766">
        <v>1</v>
      </c>
      <c r="KA570" s="766">
        <v>1</v>
      </c>
      <c r="KB570" s="766"/>
      <c r="KC570" s="766"/>
      <c r="KD570" s="766">
        <v>1</v>
      </c>
      <c r="KE570" s="766">
        <v>1</v>
      </c>
      <c r="KF570" s="766"/>
      <c r="KG570" s="766"/>
      <c r="KH570" s="766"/>
      <c r="KI570" s="766"/>
      <c r="KJ570" s="770">
        <f t="shared" si="153"/>
        <v>2</v>
      </c>
      <c r="KK570" s="770">
        <f t="shared" si="153"/>
        <v>2</v>
      </c>
      <c r="KL570" s="770"/>
      <c r="KM570" s="770"/>
      <c r="KN570" s="766" t="s">
        <v>707</v>
      </c>
      <c r="KO570" s="766"/>
      <c r="KP570" s="766"/>
      <c r="KQ570" s="766"/>
      <c r="KR570" s="766"/>
      <c r="KS570" s="766"/>
      <c r="KT570" s="766"/>
      <c r="KU570" s="766">
        <v>1</v>
      </c>
      <c r="KV570" s="770">
        <v>1</v>
      </c>
      <c r="KW570" s="770"/>
      <c r="KX570" s="770"/>
      <c r="KY570" s="770"/>
      <c r="KZ570" s="770"/>
      <c r="LA570" s="770"/>
      <c r="LB570" s="770">
        <v>1</v>
      </c>
      <c r="LC570" s="770"/>
      <c r="LD570" s="770"/>
      <c r="LE570" s="770">
        <v>1</v>
      </c>
      <c r="LF570" s="770"/>
      <c r="LG570" s="770"/>
      <c r="LH570" s="770"/>
      <c r="LI570" s="770"/>
      <c r="LJ570" s="770"/>
      <c r="LK570" s="770"/>
      <c r="LL570" s="770"/>
      <c r="LM570" s="770"/>
      <c r="LN570" s="766">
        <f t="shared" si="159"/>
        <v>2</v>
      </c>
      <c r="LO570" s="766">
        <f t="shared" si="159"/>
        <v>2</v>
      </c>
      <c r="LP570" s="770">
        <v>1</v>
      </c>
      <c r="LQ570" s="770"/>
      <c r="LR570" s="770"/>
      <c r="LS570" s="770">
        <v>1</v>
      </c>
      <c r="LT570" s="770"/>
      <c r="LU570" s="770"/>
      <c r="LV570" s="770"/>
      <c r="LW570" s="770"/>
      <c r="LX570" s="769">
        <v>1</v>
      </c>
      <c r="LY570" s="766" t="str">
        <f t="shared" si="160"/>
        <v>within the BRGY</v>
      </c>
      <c r="LZ570" s="1709"/>
      <c r="MA570" s="1709"/>
      <c r="MB570" s="1709"/>
      <c r="MC570" s="1679">
        <f t="shared" si="158"/>
        <v>0</v>
      </c>
      <c r="MD570" s="1709"/>
      <c r="ME570" s="1709"/>
      <c r="MF570" s="1709">
        <v>8000</v>
      </c>
      <c r="MG570" s="1680">
        <f t="shared" si="149"/>
        <v>8000</v>
      </c>
      <c r="MH570" s="770" t="s">
        <v>1928</v>
      </c>
      <c r="MI570" s="302">
        <f>500*30</f>
        <v>15000</v>
      </c>
      <c r="MJ570" s="302">
        <f>50*30</f>
        <v>1500</v>
      </c>
      <c r="MK570" s="302">
        <f>2500/12</f>
        <v>208.33333333333334</v>
      </c>
      <c r="ML570" s="302">
        <v>3000</v>
      </c>
      <c r="MM570" s="302">
        <f>16000/12</f>
        <v>1333.3333333333333</v>
      </c>
      <c r="MN570" s="302"/>
      <c r="MO570" s="302">
        <f>100*30</f>
        <v>3000</v>
      </c>
      <c r="MP570" s="302">
        <v>2200</v>
      </c>
      <c r="MQ570" s="302">
        <v>11000</v>
      </c>
      <c r="MR570" s="302">
        <f>40*30</f>
        <v>1200</v>
      </c>
      <c r="MS570" s="302">
        <v>1000</v>
      </c>
      <c r="MT570" s="302"/>
      <c r="MU570" s="302"/>
      <c r="MV570" s="302"/>
      <c r="MW570" s="302"/>
      <c r="MX570" s="302"/>
      <c r="MY570" s="1682">
        <f t="shared" si="147"/>
        <v>39441.666666666664</v>
      </c>
      <c r="MZ570" s="770" t="s">
        <v>13395</v>
      </c>
      <c r="NA570" s="770" t="s">
        <v>13005</v>
      </c>
      <c r="NB570" s="770" t="s">
        <v>13033</v>
      </c>
      <c r="NC570" s="770" t="s">
        <v>13602</v>
      </c>
      <c r="ND570" s="770">
        <v>0</v>
      </c>
      <c r="NE570" s="770">
        <v>0</v>
      </c>
      <c r="NF570" s="770">
        <v>1</v>
      </c>
      <c r="NG570" s="770">
        <v>1</v>
      </c>
      <c r="NH570" s="770">
        <v>1</v>
      </c>
      <c r="NI570" s="770">
        <v>0</v>
      </c>
      <c r="NJ570" s="770">
        <v>1</v>
      </c>
      <c r="NK570" s="770">
        <v>0</v>
      </c>
      <c r="NL570" s="770">
        <v>1</v>
      </c>
      <c r="NM570" s="770">
        <v>1</v>
      </c>
      <c r="NN570" s="770">
        <v>0</v>
      </c>
      <c r="NO570" s="770">
        <v>0</v>
      </c>
      <c r="NP570" s="770">
        <v>0</v>
      </c>
      <c r="NQ570" s="770">
        <v>0</v>
      </c>
      <c r="NR570" s="770">
        <v>0</v>
      </c>
      <c r="NS570" s="770">
        <v>0</v>
      </c>
      <c r="NT570" s="770">
        <v>0</v>
      </c>
      <c r="NU570" s="770">
        <v>0</v>
      </c>
      <c r="NV570" s="770">
        <v>0</v>
      </c>
      <c r="NW570" s="770">
        <v>0</v>
      </c>
      <c r="NX570" s="770">
        <v>0</v>
      </c>
      <c r="NY570" s="770" t="s">
        <v>1208</v>
      </c>
      <c r="NZ570" s="770" t="s">
        <v>1208</v>
      </c>
      <c r="OA570" s="770" t="s">
        <v>1208</v>
      </c>
      <c r="OB570" s="770" t="s">
        <v>1208</v>
      </c>
      <c r="OC570" s="770" t="s">
        <v>1208</v>
      </c>
      <c r="OD570" s="770" t="s">
        <v>1208</v>
      </c>
      <c r="OE570" s="770"/>
      <c r="OF570" s="770" t="s">
        <v>2143</v>
      </c>
      <c r="OG570" s="770"/>
      <c r="OH570" s="770"/>
      <c r="OI570" s="770"/>
      <c r="OJ570" s="770"/>
      <c r="OK570" s="770" t="s">
        <v>1208</v>
      </c>
      <c r="OL570" s="770" t="s">
        <v>13758</v>
      </c>
      <c r="OM570" s="770" t="s">
        <v>13455</v>
      </c>
      <c r="ON570" s="770"/>
      <c r="OO570" s="770"/>
      <c r="OP570" s="770"/>
      <c r="OQ570" s="770"/>
      <c r="OR570" s="770"/>
      <c r="OS570" s="770"/>
      <c r="OT570" s="770"/>
      <c r="OU570" s="770"/>
      <c r="OV570" s="770"/>
      <c r="OW570" s="770"/>
      <c r="OX570" s="770"/>
      <c r="OY570" s="770"/>
      <c r="OZ570" s="770"/>
      <c r="PA570" s="770"/>
      <c r="PB570" s="770"/>
      <c r="PC570" s="770"/>
      <c r="PD570" s="770"/>
      <c r="PE570" s="770"/>
      <c r="PF570" s="770"/>
      <c r="PG570" s="770"/>
      <c r="PH570" s="770"/>
      <c r="PI570" s="770"/>
      <c r="PJ570" s="770"/>
      <c r="PK570" s="770"/>
      <c r="PL570" s="770"/>
      <c r="PM570" s="770"/>
      <c r="PN570" s="770"/>
      <c r="PO570" s="770"/>
      <c r="PP570" s="770"/>
      <c r="PQ570" s="770"/>
      <c r="PR570" s="770"/>
      <c r="PS570" s="770"/>
      <c r="PT570" s="770"/>
      <c r="PU570" s="770"/>
      <c r="PV570" s="770"/>
      <c r="PW570" s="770"/>
      <c r="PX570" s="770"/>
      <c r="PY570" s="770"/>
      <c r="PZ570" s="770"/>
      <c r="QA570" s="770"/>
      <c r="QB570" s="770"/>
      <c r="QC570" s="770"/>
      <c r="QD570" s="770"/>
      <c r="QE570" s="770"/>
      <c r="QF570" s="770"/>
      <c r="QG570" s="770"/>
      <c r="QH570" s="770"/>
      <c r="QI570" s="770"/>
      <c r="QJ570" s="770"/>
      <c r="QK570" s="770"/>
      <c r="QL570" s="770"/>
      <c r="QM570" s="770"/>
      <c r="QN570" s="770"/>
      <c r="QO570" s="770"/>
      <c r="QP570" s="770"/>
      <c r="QQ570" s="770"/>
      <c r="QR570" s="770"/>
      <c r="QS570" s="770"/>
      <c r="QT570" s="770"/>
      <c r="QU570" s="770"/>
      <c r="QV570" s="770"/>
      <c r="QW570" s="770"/>
      <c r="QX570" s="770"/>
      <c r="QY570" s="770"/>
      <c r="QZ570" s="770"/>
      <c r="RA570" s="770"/>
      <c r="RB570" s="770" t="s">
        <v>1207</v>
      </c>
      <c r="RC570" s="770">
        <v>2014</v>
      </c>
      <c r="RD570" s="770" t="s">
        <v>13046</v>
      </c>
      <c r="RE570" s="770"/>
      <c r="RF570" s="304">
        <v>1.5</v>
      </c>
      <c r="RG570" s="770" t="s">
        <v>13047</v>
      </c>
      <c r="RH570" s="302">
        <v>0</v>
      </c>
      <c r="RI570" s="770">
        <v>8</v>
      </c>
      <c r="RJ570" s="770" t="s">
        <v>13759</v>
      </c>
      <c r="RK570" s="770" t="s">
        <v>13552</v>
      </c>
      <c r="RL570" s="1710"/>
      <c r="RM570" s="12"/>
      <c r="RN570" s="1711"/>
      <c r="RO570" s="133" t="s">
        <v>2884</v>
      </c>
      <c r="RP570" s="11"/>
      <c r="RQ570" s="11"/>
      <c r="RR570" s="17"/>
      <c r="RS570" s="771"/>
      <c r="RT570" s="11"/>
      <c r="RU570" s="11"/>
      <c r="RV570" s="771" t="s">
        <v>13760</v>
      </c>
      <c r="RW570" s="11" t="s">
        <v>7814</v>
      </c>
      <c r="RX570" s="11" t="s">
        <v>2884</v>
      </c>
      <c r="RY570" s="11"/>
      <c r="RZ570" s="11"/>
      <c r="SA570" s="771"/>
      <c r="SB570" s="11"/>
      <c r="SC570" s="11"/>
    </row>
    <row r="571" spans="1:497" ht="12.75" hidden="1" customHeight="1">
      <c r="A571" s="17" t="s">
        <v>7419</v>
      </c>
      <c r="B571" s="753" t="s">
        <v>7815</v>
      </c>
      <c r="C571" s="133" t="s">
        <v>3904</v>
      </c>
      <c r="D571" s="94" t="s">
        <v>3905</v>
      </c>
      <c r="E571" s="766" t="s">
        <v>5840</v>
      </c>
      <c r="F571" s="770"/>
      <c r="G571" s="770"/>
      <c r="H571" s="770"/>
      <c r="I571" s="295"/>
      <c r="J571" s="94"/>
      <c r="K571" s="766"/>
      <c r="L571" s="766"/>
      <c r="M571" s="770" t="s">
        <v>1238</v>
      </c>
      <c r="N571" s="770"/>
      <c r="O571" s="770" t="s">
        <v>3897</v>
      </c>
      <c r="P571" s="1732"/>
      <c r="Q571" s="1088"/>
      <c r="R571" s="770"/>
      <c r="S571" s="770"/>
      <c r="T571" s="770"/>
      <c r="U571" s="295"/>
      <c r="V571" s="770"/>
      <c r="W571" s="770"/>
      <c r="X571" s="770"/>
      <c r="Y571" s="770"/>
      <c r="Z571" s="770"/>
      <c r="AA571" s="770"/>
      <c r="AB571" s="770"/>
      <c r="AC571" s="770"/>
      <c r="AD571" s="770"/>
      <c r="AE571" s="770"/>
      <c r="AF571" s="770"/>
      <c r="AG571" s="766" t="s">
        <v>1095</v>
      </c>
      <c r="AH571" s="770" t="s">
        <v>1119</v>
      </c>
      <c r="AI571" s="770"/>
      <c r="AJ571" s="770"/>
      <c r="AK571" s="770" t="s">
        <v>1097</v>
      </c>
      <c r="AL571" s="531"/>
      <c r="AM571" s="780"/>
      <c r="AN571" s="532"/>
      <c r="AO571" s="766"/>
      <c r="AP571" s="766" t="s">
        <v>11906</v>
      </c>
      <c r="AQ571" s="766"/>
      <c r="AR571" s="766"/>
      <c r="AS571" s="770"/>
      <c r="AT571" s="770"/>
      <c r="AU571" s="770"/>
      <c r="AV571" s="770"/>
      <c r="AW571" s="770"/>
      <c r="AX571" s="770"/>
      <c r="AY571" s="770"/>
      <c r="AZ571" s="770"/>
      <c r="BA571" s="770"/>
      <c r="BB571" s="770"/>
      <c r="BC571" s="770"/>
      <c r="BD571" s="770"/>
      <c r="BE571" s="770"/>
      <c r="BF571" s="302"/>
      <c r="BG571" s="302"/>
      <c r="BH571" s="770"/>
      <c r="BI571" s="770"/>
      <c r="BJ571" s="770"/>
      <c r="BK571" s="770"/>
      <c r="BL571" s="770"/>
      <c r="BM571" s="770"/>
      <c r="BN571" s="770"/>
      <c r="BO571" s="770"/>
      <c r="BP571" s="1109"/>
      <c r="BQ571" s="773"/>
      <c r="BR571" s="774"/>
      <c r="BS571" s="766"/>
      <c r="BT571" s="770"/>
      <c r="BU571" s="770"/>
      <c r="BV571" s="770"/>
      <c r="BW571" s="770"/>
      <c r="BX571" s="302"/>
      <c r="BY571" s="770"/>
      <c r="BZ571" s="302"/>
      <c r="CA571" s="770"/>
      <c r="CB571" s="770" t="s">
        <v>1207</v>
      </c>
      <c r="CC571" s="94" t="s">
        <v>3905</v>
      </c>
      <c r="CD571" s="770"/>
      <c r="CE571" s="770"/>
      <c r="CF571" s="1787"/>
      <c r="CG571" s="1788"/>
      <c r="CH571" s="769"/>
      <c r="CI571" s="770"/>
      <c r="CJ571" s="770"/>
      <c r="CK571" s="770"/>
      <c r="CL571" s="770"/>
      <c r="CM571" s="770"/>
      <c r="CN571" s="770"/>
      <c r="CO571" s="770"/>
      <c r="CP571" s="770"/>
      <c r="CQ571" s="770"/>
      <c r="CR571" s="302"/>
      <c r="CS571" s="770"/>
      <c r="CT571" s="770"/>
      <c r="CU571" s="305"/>
      <c r="CV571" s="770"/>
      <c r="CW571" s="770"/>
      <c r="CX571" s="770"/>
      <c r="CY571" s="770"/>
      <c r="CZ571" s="770"/>
      <c r="DA571" s="306"/>
      <c r="DB571" s="770"/>
      <c r="DC571" s="770"/>
      <c r="DD571" s="770"/>
      <c r="DE571" s="300"/>
      <c r="DF571" s="770"/>
      <c r="DG571" s="770"/>
      <c r="DH571" s="770"/>
      <c r="DI571" s="770"/>
      <c r="DJ571" s="770"/>
      <c r="DK571" s="770"/>
      <c r="DL571" s="770"/>
      <c r="DM571" s="770"/>
      <c r="DN571" s="322"/>
      <c r="DO571" s="770"/>
      <c r="DP571" s="770"/>
      <c r="DQ571" s="770"/>
      <c r="DR571" s="770"/>
      <c r="DS571" s="307"/>
      <c r="DT571" s="770"/>
      <c r="DU571" s="770"/>
      <c r="DV571" s="770"/>
      <c r="DW571" s="306"/>
      <c r="DX571" s="306"/>
      <c r="DY571" s="770"/>
      <c r="DZ571" s="770"/>
      <c r="EA571" s="770"/>
      <c r="EB571" s="770"/>
      <c r="EC571" s="770"/>
      <c r="ED571" s="770"/>
      <c r="EE571" s="770"/>
      <c r="EF571" s="770"/>
      <c r="EG571" s="770"/>
      <c r="EH571" s="770"/>
      <c r="EI571" s="770"/>
      <c r="EJ571" s="770"/>
      <c r="EK571" s="770"/>
      <c r="EL571" s="770"/>
      <c r="EM571" s="770"/>
      <c r="EN571" s="770"/>
      <c r="EO571" s="770"/>
      <c r="EP571" s="94"/>
      <c r="EQ571" s="770"/>
      <c r="ER571" s="770"/>
      <c r="ES571" s="770"/>
      <c r="ET571" s="770"/>
      <c r="EU571" s="770"/>
      <c r="EV571" s="770"/>
      <c r="EW571" s="770"/>
      <c r="EX571" s="770"/>
      <c r="EY571" s="770"/>
      <c r="EZ571" s="770"/>
      <c r="FA571" s="770"/>
      <c r="FB571" s="770"/>
      <c r="FC571" s="770"/>
      <c r="FD571" s="302"/>
      <c r="FE571" s="770"/>
      <c r="FF571" s="770"/>
      <c r="FG571" s="770"/>
      <c r="FH571" s="770"/>
      <c r="FI571" s="770"/>
      <c r="FJ571" s="770"/>
      <c r="FK571" s="770"/>
      <c r="FL571" s="770"/>
      <c r="FM571" s="302"/>
      <c r="FN571" s="302"/>
      <c r="FO571" s="302"/>
      <c r="FP571" s="770"/>
      <c r="FQ571" s="770"/>
      <c r="FR571" s="770"/>
      <c r="FS571" s="770"/>
      <c r="FT571" s="770"/>
      <c r="FU571" s="770"/>
      <c r="FV571" s="770"/>
      <c r="FW571" s="770"/>
      <c r="FX571" s="770"/>
      <c r="FY571" s="770"/>
      <c r="FZ571" s="770"/>
      <c r="GA571" s="770"/>
      <c r="GB571" s="770"/>
      <c r="GC571" s="308"/>
      <c r="GD571" s="297"/>
      <c r="GE571" s="770"/>
      <c r="GF571" s="302"/>
      <c r="GG571" s="302"/>
      <c r="GH571" s="770"/>
      <c r="GI571" s="770"/>
      <c r="GJ571" s="770"/>
      <c r="GK571" s="770"/>
      <c r="GL571" s="770"/>
      <c r="GM571" s="770"/>
      <c r="GN571" s="299"/>
      <c r="GO571" s="770"/>
      <c r="GP571" s="770"/>
      <c r="GQ571" s="770"/>
      <c r="GR571" s="770"/>
      <c r="GS571" s="770"/>
      <c r="GT571" s="770"/>
      <c r="GU571" s="770"/>
      <c r="GV571" s="770"/>
      <c r="GW571" s="770"/>
      <c r="GX571" s="770"/>
      <c r="GY571" s="770"/>
      <c r="GZ571" s="770"/>
      <c r="HA571" s="770"/>
      <c r="HB571" s="770"/>
      <c r="HC571" s="770"/>
      <c r="HD571" s="770"/>
      <c r="HE571" s="770"/>
      <c r="HF571" s="770"/>
      <c r="HG571" s="770"/>
      <c r="HH571" s="770"/>
      <c r="HI571" s="770"/>
      <c r="HJ571" s="770"/>
      <c r="HK571" s="770"/>
      <c r="HL571" s="770"/>
      <c r="HM571" s="770"/>
      <c r="HN571" s="770"/>
      <c r="HO571" s="770"/>
      <c r="HP571" s="770"/>
      <c r="HQ571" s="770"/>
      <c r="HR571" s="770"/>
      <c r="HS571" s="770"/>
      <c r="HT571" s="770"/>
      <c r="HU571" s="770"/>
      <c r="HV571" s="770"/>
      <c r="HW571" s="770"/>
      <c r="HX571" s="770"/>
      <c r="HY571" s="770"/>
      <c r="HZ571" s="770"/>
      <c r="IA571" s="770"/>
      <c r="IB571" s="770"/>
      <c r="IC571" s="770"/>
      <c r="ID571" s="770"/>
      <c r="IE571" s="770"/>
      <c r="IF571" s="12"/>
      <c r="IG571" s="770"/>
      <c r="IH571" s="770"/>
      <c r="II571" s="770"/>
      <c r="IJ571" s="770"/>
      <c r="IK571" s="770"/>
      <c r="IL571" s="770"/>
      <c r="IM571" s="770"/>
      <c r="IN571" s="770"/>
      <c r="IO571" s="296"/>
      <c r="IP571" s="770"/>
      <c r="IQ571" s="766"/>
      <c r="IR571" s="770"/>
      <c r="IS571" s="770"/>
      <c r="IT571" s="770"/>
      <c r="IU571" s="770"/>
      <c r="IV571" s="770"/>
      <c r="IW571" s="770"/>
      <c r="IX571" s="770"/>
      <c r="IY571" s="770"/>
      <c r="IZ571" s="770"/>
      <c r="JA571" s="770"/>
      <c r="JB571" s="770"/>
      <c r="JC571" s="770"/>
      <c r="JD571" s="302"/>
      <c r="JE571" s="770"/>
      <c r="JF571" s="770"/>
      <c r="JG571" s="770"/>
      <c r="JH571" s="307"/>
      <c r="JI571" s="307"/>
      <c r="JJ571" s="770"/>
      <c r="JK571" s="766"/>
      <c r="JL571" s="766"/>
      <c r="JM571" s="766"/>
      <c r="JN571" s="766"/>
      <c r="JO571" s="766"/>
      <c r="JP571" s="766"/>
      <c r="JQ571" s="766"/>
      <c r="JR571" s="766"/>
      <c r="JS571" s="766"/>
      <c r="JT571" s="766"/>
      <c r="JU571" s="766"/>
      <c r="JV571" s="766"/>
      <c r="JW571" s="766"/>
      <c r="JX571" s="766"/>
      <c r="JY571" s="766"/>
      <c r="JZ571" s="766"/>
      <c r="KA571" s="766"/>
      <c r="KB571" s="766"/>
      <c r="KC571" s="766"/>
      <c r="KD571" s="766"/>
      <c r="KE571" s="766"/>
      <c r="KF571" s="766"/>
      <c r="KG571" s="766"/>
      <c r="KH571" s="766"/>
      <c r="KI571" s="766"/>
      <c r="KJ571" s="770"/>
      <c r="KK571" s="770"/>
      <c r="KL571" s="770"/>
      <c r="KM571" s="770"/>
      <c r="KN571" s="766"/>
      <c r="KO571" s="766"/>
      <c r="KP571" s="766"/>
      <c r="KQ571" s="766"/>
      <c r="KR571" s="766"/>
      <c r="KS571" s="766"/>
      <c r="KT571" s="766"/>
      <c r="KU571" s="766"/>
      <c r="KV571" s="770"/>
      <c r="KW571" s="770"/>
      <c r="KX571" s="770"/>
      <c r="KY571" s="770"/>
      <c r="KZ571" s="770"/>
      <c r="LA571" s="770"/>
      <c r="LB571" s="770"/>
      <c r="LC571" s="770"/>
      <c r="LD571" s="770"/>
      <c r="LE571" s="770"/>
      <c r="LF571" s="770"/>
      <c r="LG571" s="770"/>
      <c r="LH571" s="770"/>
      <c r="LI571" s="770"/>
      <c r="LJ571" s="770"/>
      <c r="LK571" s="770"/>
      <c r="LL571" s="770"/>
      <c r="LM571" s="770"/>
      <c r="LN571" s="766"/>
      <c r="LO571" s="766"/>
      <c r="LP571" s="770"/>
      <c r="LQ571" s="770"/>
      <c r="LR571" s="770"/>
      <c r="LS571" s="770"/>
      <c r="LT571" s="770"/>
      <c r="LU571" s="770"/>
      <c r="LV571" s="770"/>
      <c r="LW571" s="770"/>
      <c r="LX571" s="769"/>
      <c r="LY571" s="766" t="str">
        <f t="shared" si="160"/>
        <v/>
      </c>
      <c r="LZ571" s="1709"/>
      <c r="MA571" s="1709"/>
      <c r="MB571" s="1709"/>
      <c r="MC571" s="1679">
        <f t="shared" si="158"/>
        <v>0</v>
      </c>
      <c r="MD571" s="1709"/>
      <c r="ME571" s="1709"/>
      <c r="MF571" s="1709"/>
      <c r="MG571" s="1680">
        <f t="shared" si="149"/>
        <v>0</v>
      </c>
      <c r="MH571" s="770"/>
      <c r="MI571" s="302"/>
      <c r="MJ571" s="302"/>
      <c r="MK571" s="302"/>
      <c r="ML571" s="302"/>
      <c r="MM571" s="302"/>
      <c r="MN571" s="302"/>
      <c r="MO571" s="302"/>
      <c r="MP571" s="302"/>
      <c r="MQ571" s="302"/>
      <c r="MR571" s="302"/>
      <c r="MS571" s="302"/>
      <c r="MT571" s="302"/>
      <c r="MU571" s="302"/>
      <c r="MV571" s="302"/>
      <c r="MW571" s="302"/>
      <c r="MX571" s="302"/>
      <c r="MY571" s="1682">
        <f t="shared" si="147"/>
        <v>0</v>
      </c>
      <c r="MZ571" s="770"/>
      <c r="NA571" s="770"/>
      <c r="NB571" s="770"/>
      <c r="NC571" s="770"/>
      <c r="ND571" s="770"/>
      <c r="NE571" s="770"/>
      <c r="NF571" s="770"/>
      <c r="NG571" s="770"/>
      <c r="NH571" s="770"/>
      <c r="NI571" s="770"/>
      <c r="NJ571" s="770"/>
      <c r="NK571" s="770"/>
      <c r="NL571" s="770"/>
      <c r="NM571" s="770"/>
      <c r="NN571" s="770"/>
      <c r="NO571" s="770"/>
      <c r="NP571" s="770"/>
      <c r="NQ571" s="770"/>
      <c r="NR571" s="770"/>
      <c r="NS571" s="770"/>
      <c r="NT571" s="770"/>
      <c r="NU571" s="770"/>
      <c r="NV571" s="770"/>
      <c r="NW571" s="770"/>
      <c r="NX571" s="770"/>
      <c r="NY571" s="770"/>
      <c r="NZ571" s="770"/>
      <c r="OA571" s="770"/>
      <c r="OB571" s="770"/>
      <c r="OC571" s="770"/>
      <c r="OD571" s="770"/>
      <c r="OE571" s="770"/>
      <c r="OF571" s="770"/>
      <c r="OG571" s="770"/>
      <c r="OH571" s="770"/>
      <c r="OI571" s="770"/>
      <c r="OJ571" s="770"/>
      <c r="OK571" s="770"/>
      <c r="OL571" s="770"/>
      <c r="OM571" s="770"/>
      <c r="ON571" s="770"/>
      <c r="OO571" s="770"/>
      <c r="OP571" s="770"/>
      <c r="OQ571" s="770"/>
      <c r="OR571" s="770"/>
      <c r="OS571" s="770"/>
      <c r="OT571" s="770"/>
      <c r="OU571" s="770"/>
      <c r="OV571" s="770"/>
      <c r="OW571" s="770"/>
      <c r="OX571" s="770"/>
      <c r="OY571" s="770"/>
      <c r="OZ571" s="770"/>
      <c r="PA571" s="770"/>
      <c r="PB571" s="770"/>
      <c r="PC571" s="770"/>
      <c r="PD571" s="770"/>
      <c r="PE571" s="770"/>
      <c r="PF571" s="770"/>
      <c r="PG571" s="770"/>
      <c r="PH571" s="770"/>
      <c r="PI571" s="770"/>
      <c r="PJ571" s="770"/>
      <c r="PK571" s="770"/>
      <c r="PL571" s="770"/>
      <c r="PM571" s="770"/>
      <c r="PN571" s="770"/>
      <c r="PO571" s="770"/>
      <c r="PP571" s="770"/>
      <c r="PQ571" s="770"/>
      <c r="PR571" s="770"/>
      <c r="PS571" s="770"/>
      <c r="PT571" s="770"/>
      <c r="PU571" s="770"/>
      <c r="PV571" s="770"/>
      <c r="PW571" s="770"/>
      <c r="PX571" s="770"/>
      <c r="PY571" s="770"/>
      <c r="PZ571" s="770"/>
      <c r="QA571" s="770"/>
      <c r="QB571" s="770"/>
      <c r="QC571" s="770"/>
      <c r="QD571" s="770"/>
      <c r="QE571" s="770"/>
      <c r="QF571" s="770"/>
      <c r="QG571" s="770"/>
      <c r="QH571" s="770"/>
      <c r="QI571" s="770"/>
      <c r="QJ571" s="770"/>
      <c r="QK571" s="770"/>
      <c r="QL571" s="770"/>
      <c r="QM571" s="770"/>
      <c r="QN571" s="770"/>
      <c r="QO571" s="770"/>
      <c r="QP571" s="770"/>
      <c r="QQ571" s="770"/>
      <c r="QR571" s="770"/>
      <c r="QS571" s="770"/>
      <c r="QT571" s="770"/>
      <c r="QU571" s="770"/>
      <c r="QV571" s="770"/>
      <c r="QW571" s="770"/>
      <c r="QX571" s="770"/>
      <c r="QY571" s="770"/>
      <c r="QZ571" s="770"/>
      <c r="RA571" s="770"/>
      <c r="RB571" s="770"/>
      <c r="RC571" s="770"/>
      <c r="RD571" s="770"/>
      <c r="RE571" s="770"/>
      <c r="RF571" s="304"/>
      <c r="RG571" s="770"/>
      <c r="RH571" s="302"/>
      <c r="RI571" s="770"/>
      <c r="RJ571" s="770" t="s">
        <v>13761</v>
      </c>
      <c r="RK571" s="770" t="s">
        <v>13761</v>
      </c>
      <c r="RL571" s="1710"/>
      <c r="RM571" s="12"/>
      <c r="RN571" s="1711"/>
      <c r="RO571" s="133" t="s">
        <v>3904</v>
      </c>
      <c r="RP571" s="11"/>
      <c r="RQ571" s="11"/>
      <c r="RR571" s="17"/>
      <c r="RS571" s="771"/>
      <c r="RT571" s="11"/>
      <c r="RU571" s="11"/>
      <c r="RV571" s="771" t="s">
        <v>13760</v>
      </c>
      <c r="RW571" s="11" t="s">
        <v>7814</v>
      </c>
      <c r="RX571" s="11" t="s">
        <v>2884</v>
      </c>
      <c r="RY571" s="11"/>
      <c r="RZ571" s="11" t="s">
        <v>1101</v>
      </c>
      <c r="SA571" s="771"/>
      <c r="SB571" s="11"/>
      <c r="SC571" s="11"/>
    </row>
    <row r="572" spans="1:497" ht="12.75" hidden="1" customHeight="1">
      <c r="A572" s="17" t="s">
        <v>7419</v>
      </c>
      <c r="B572" s="752" t="s">
        <v>7816</v>
      </c>
      <c r="C572" s="133" t="s">
        <v>3906</v>
      </c>
      <c r="D572" s="94" t="s">
        <v>3907</v>
      </c>
      <c r="E572" s="766" t="s">
        <v>2836</v>
      </c>
      <c r="F572" s="770" t="s">
        <v>28</v>
      </c>
      <c r="G572" s="770" t="s">
        <v>10</v>
      </c>
      <c r="H572" s="770"/>
      <c r="I572" s="295"/>
      <c r="J572" s="94" t="s">
        <v>3907</v>
      </c>
      <c r="K572" s="766" t="s">
        <v>3908</v>
      </c>
      <c r="L572" s="766" t="s">
        <v>3050</v>
      </c>
      <c r="M572" s="770" t="s">
        <v>1238</v>
      </c>
      <c r="N572" s="770"/>
      <c r="O572" s="770" t="s">
        <v>3897</v>
      </c>
      <c r="P572" s="1732" t="s">
        <v>3909</v>
      </c>
      <c r="Q572" s="1088"/>
      <c r="R572" s="770">
        <v>53</v>
      </c>
      <c r="S572" s="770" t="s">
        <v>10</v>
      </c>
      <c r="T572" s="770"/>
      <c r="U572" s="295"/>
      <c r="V572" s="770" t="s">
        <v>707</v>
      </c>
      <c r="W572" s="770"/>
      <c r="X572" s="770"/>
      <c r="Y572" s="770" t="s">
        <v>2836</v>
      </c>
      <c r="Z572" s="770" t="s">
        <v>708</v>
      </c>
      <c r="AA572" s="770" t="s">
        <v>709</v>
      </c>
      <c r="AB572" s="770" t="s">
        <v>710</v>
      </c>
      <c r="AC572" s="770"/>
      <c r="AD572" s="770" t="s">
        <v>711</v>
      </c>
      <c r="AE572" s="770"/>
      <c r="AF572" s="770"/>
      <c r="AG572" s="766" t="s">
        <v>1095</v>
      </c>
      <c r="AH572" s="766" t="s">
        <v>1096</v>
      </c>
      <c r="AI572" s="770" t="s">
        <v>3294</v>
      </c>
      <c r="AJ572" s="770"/>
      <c r="AK572" s="770" t="s">
        <v>1097</v>
      </c>
      <c r="AL572" s="531">
        <v>2.97</v>
      </c>
      <c r="AM572" s="780">
        <v>1.08</v>
      </c>
      <c r="AN572" s="532">
        <f>AM572/AL572</f>
        <v>0.36363636363636365</v>
      </c>
      <c r="AO572" s="766" t="s">
        <v>1149</v>
      </c>
      <c r="AP572" s="766" t="s">
        <v>5364</v>
      </c>
      <c r="AQ572" s="766" t="s">
        <v>7418</v>
      </c>
      <c r="AR572" s="766"/>
      <c r="AS572" s="769"/>
      <c r="AT572" s="770"/>
      <c r="AU572" s="770"/>
      <c r="AV572" s="770"/>
      <c r="AW572" s="770"/>
      <c r="AX572" s="770"/>
      <c r="AY572" s="770"/>
      <c r="AZ572" s="770"/>
      <c r="BA572" s="770"/>
      <c r="BB572" s="770"/>
      <c r="BC572" s="770"/>
      <c r="BD572" s="770"/>
      <c r="BE572" s="770"/>
      <c r="BF572" s="302"/>
      <c r="BG572" s="302"/>
      <c r="BH572" s="770"/>
      <c r="BI572" s="770"/>
      <c r="BJ572" s="770"/>
      <c r="BK572" s="770" t="s">
        <v>1095</v>
      </c>
      <c r="BL572" s="770" t="s">
        <v>3910</v>
      </c>
      <c r="BM572" s="770" t="s">
        <v>1119</v>
      </c>
      <c r="BN572" s="770" t="s">
        <v>1230</v>
      </c>
      <c r="BO572" s="766" t="s">
        <v>1239</v>
      </c>
      <c r="BP572" s="765">
        <v>5.94</v>
      </c>
      <c r="BQ572" s="773">
        <v>2.16</v>
      </c>
      <c r="BR572" s="774">
        <f>BQ572/BP572</f>
        <v>0.36363636363636365</v>
      </c>
      <c r="BS572" s="6" t="s">
        <v>1149</v>
      </c>
      <c r="BT572" s="766" t="s">
        <v>2040</v>
      </c>
      <c r="BU572" s="770"/>
      <c r="BV572" s="770" t="s">
        <v>2724</v>
      </c>
      <c r="BW572" s="770">
        <v>1987</v>
      </c>
      <c r="BX572" s="302"/>
      <c r="BY572" s="770"/>
      <c r="BZ572" s="302"/>
      <c r="CA572" s="770"/>
      <c r="CB572" s="770" t="s">
        <v>1207</v>
      </c>
      <c r="CC572" s="770"/>
      <c r="CD572" s="770"/>
      <c r="CE572" s="770"/>
      <c r="CF572" s="1753"/>
      <c r="CG572" s="1754"/>
      <c r="CH572" s="770"/>
      <c r="CI572" s="770"/>
      <c r="CJ572" s="770"/>
      <c r="CK572" s="770"/>
      <c r="CL572" s="770"/>
      <c r="CM572" s="770"/>
      <c r="CN572" s="770"/>
      <c r="CO572" s="770"/>
      <c r="CP572" s="770"/>
      <c r="CQ572" s="770"/>
      <c r="CR572" s="302"/>
      <c r="CS572" s="770"/>
      <c r="CT572" s="770"/>
      <c r="CU572" s="305"/>
      <c r="CV572" s="770"/>
      <c r="CW572" s="770"/>
      <c r="CX572" s="770"/>
      <c r="CY572" s="770"/>
      <c r="CZ572" s="770"/>
      <c r="DA572" s="306"/>
      <c r="DB572" s="770"/>
      <c r="DC572" s="770"/>
      <c r="DD572" s="770"/>
      <c r="DE572" s="300"/>
      <c r="DF572" s="770"/>
      <c r="DG572" s="770"/>
      <c r="DH572" s="770"/>
      <c r="DI572" s="770"/>
      <c r="DJ572" s="770"/>
      <c r="DK572" s="770"/>
      <c r="DL572" s="770"/>
      <c r="DM572" s="770"/>
      <c r="DN572" s="322"/>
      <c r="DO572" s="770"/>
      <c r="DP572" s="770"/>
      <c r="DQ572" s="770"/>
      <c r="DR572" s="770"/>
      <c r="DS572" s="307"/>
      <c r="DT572" s="770"/>
      <c r="DU572" s="770"/>
      <c r="DV572" s="770"/>
      <c r="DW572" s="306"/>
      <c r="DX572" s="306"/>
      <c r="DY572" s="770"/>
      <c r="DZ572" s="770"/>
      <c r="EA572" s="770"/>
      <c r="EB572" s="770"/>
      <c r="EC572" s="770"/>
      <c r="ED572" s="770"/>
      <c r="EE572" s="770"/>
      <c r="EF572" s="770"/>
      <c r="EG572" s="770"/>
      <c r="EH572" s="770"/>
      <c r="EI572" s="770"/>
      <c r="EJ572" s="770"/>
      <c r="EK572" s="770"/>
      <c r="EL572" s="770"/>
      <c r="EM572" s="770"/>
      <c r="EN572" s="770"/>
      <c r="EO572" s="770"/>
      <c r="EP572" s="94"/>
      <c r="EQ572" s="770"/>
      <c r="ER572" s="770"/>
      <c r="ES572" s="770"/>
      <c r="ET572" s="770"/>
      <c r="EU572" s="770"/>
      <c r="EV572" s="770"/>
      <c r="EW572" s="770"/>
      <c r="EX572" s="770"/>
      <c r="EY572" s="770"/>
      <c r="EZ572" s="770" t="s">
        <v>3911</v>
      </c>
      <c r="FA572" s="770" t="s">
        <v>3912</v>
      </c>
      <c r="FB572" s="770" t="s">
        <v>1242</v>
      </c>
      <c r="FC572" s="770"/>
      <c r="FD572" s="302"/>
      <c r="FE572" s="770"/>
      <c r="FF572" s="770"/>
      <c r="FG572" s="770" t="s">
        <v>3913</v>
      </c>
      <c r="FH572" s="770" t="s">
        <v>478</v>
      </c>
      <c r="FI572" s="770">
        <v>1</v>
      </c>
      <c r="FJ572" s="770"/>
      <c r="FK572" s="770"/>
      <c r="FL572" s="770"/>
      <c r="FM572" s="302"/>
      <c r="FN572" s="302"/>
      <c r="FO572" s="302"/>
      <c r="FP572" s="770" t="s">
        <v>1602</v>
      </c>
      <c r="FQ572" s="770" t="s">
        <v>1660</v>
      </c>
      <c r="FR572" s="770" t="s">
        <v>1207</v>
      </c>
      <c r="FS572" s="770"/>
      <c r="FT572" s="770"/>
      <c r="FU572" s="770"/>
      <c r="FV572" s="770"/>
      <c r="FW572" s="770" t="s">
        <v>1208</v>
      </c>
      <c r="FX572" s="770"/>
      <c r="FY572" s="770"/>
      <c r="FZ572" s="770"/>
      <c r="GA572" s="770"/>
      <c r="GB572" s="770" t="s">
        <v>2208</v>
      </c>
      <c r="GC572" s="308" t="s">
        <v>3914</v>
      </c>
      <c r="GD572" s="297">
        <v>2012</v>
      </c>
      <c r="GE572" s="770" t="s">
        <v>1207</v>
      </c>
      <c r="GF572" s="302">
        <v>3500</v>
      </c>
      <c r="GG572" s="302">
        <f>GF572*12</f>
        <v>42000</v>
      </c>
      <c r="GH572" s="1774" t="s">
        <v>1791</v>
      </c>
      <c r="GI572" s="770" t="s">
        <v>1008</v>
      </c>
      <c r="GJ572" s="770" t="s">
        <v>3915</v>
      </c>
      <c r="GK572" s="770" t="s">
        <v>3334</v>
      </c>
      <c r="GL572" s="770"/>
      <c r="GM572" s="770"/>
      <c r="GN572" s="299"/>
      <c r="GO572" s="770"/>
      <c r="GP572" s="770"/>
      <c r="GQ572" s="770"/>
      <c r="GR572" s="770"/>
      <c r="GS572" s="770"/>
      <c r="GT572" s="770"/>
      <c r="GU572" s="770"/>
      <c r="GV572" s="770"/>
      <c r="GW572" s="770" t="s">
        <v>1207</v>
      </c>
      <c r="GX572" s="770"/>
      <c r="GY572" s="770" t="s">
        <v>1208</v>
      </c>
      <c r="GZ572" s="770" t="s">
        <v>1208</v>
      </c>
      <c r="HA572" s="770" t="s">
        <v>1208</v>
      </c>
      <c r="HB572" s="770" t="s">
        <v>1208</v>
      </c>
      <c r="HC572" s="770" t="s">
        <v>1208</v>
      </c>
      <c r="HD572" s="770" t="s">
        <v>1208</v>
      </c>
      <c r="HE572" s="770"/>
      <c r="HF572" s="770"/>
      <c r="HG572" s="770"/>
      <c r="HH572" s="770"/>
      <c r="HI572" s="770" t="s">
        <v>1214</v>
      </c>
      <c r="HJ572" s="770"/>
      <c r="HK572" s="770"/>
      <c r="HL572" s="770" t="s">
        <v>1214</v>
      </c>
      <c r="HM572" s="770"/>
      <c r="HN572" s="770"/>
      <c r="HO572" s="770"/>
      <c r="HP572" s="770"/>
      <c r="HQ572" s="770"/>
      <c r="HR572" s="770"/>
      <c r="HS572" s="770"/>
      <c r="HT572" s="770"/>
      <c r="HU572" s="770"/>
      <c r="HV572" s="770"/>
      <c r="HW572" s="770"/>
      <c r="HX572" s="770"/>
      <c r="HY572" s="770"/>
      <c r="HZ572" s="770"/>
      <c r="IA572" s="770"/>
      <c r="IB572" s="770"/>
      <c r="IC572" s="770"/>
      <c r="ID572" s="770"/>
      <c r="IE572" s="770"/>
      <c r="IF572" s="94"/>
      <c r="IG572" s="770"/>
      <c r="IH572" s="770"/>
      <c r="II572" s="770"/>
      <c r="IJ572" s="770"/>
      <c r="IK572" s="770"/>
      <c r="IL572" s="770"/>
      <c r="IM572" s="770"/>
      <c r="IN572" s="770"/>
      <c r="IO572" s="296"/>
      <c r="IP572" s="770"/>
      <c r="IQ572" s="770"/>
      <c r="IR572" s="770"/>
      <c r="IS572" s="770"/>
      <c r="IT572" s="770"/>
      <c r="IU572" s="770"/>
      <c r="IV572" s="770"/>
      <c r="IW572" s="770"/>
      <c r="IX572" s="770"/>
      <c r="IY572" s="770"/>
      <c r="IZ572" s="770"/>
      <c r="JA572" s="770"/>
      <c r="JB572" s="770"/>
      <c r="JC572" s="770"/>
      <c r="JD572" s="302"/>
      <c r="JE572" s="770"/>
      <c r="JF572" s="770"/>
      <c r="JG572" s="770"/>
      <c r="JH572" s="307"/>
      <c r="JI572" s="307"/>
      <c r="JJ572" s="770">
        <v>2</v>
      </c>
      <c r="JK572" s="766" t="s">
        <v>3916</v>
      </c>
      <c r="JL572" s="766"/>
      <c r="JM572" s="766"/>
      <c r="JN572" s="766">
        <v>2</v>
      </c>
      <c r="JO572" s="766"/>
      <c r="JP572" s="766"/>
      <c r="JQ572" s="766"/>
      <c r="JR572" s="766"/>
      <c r="JS572" s="766"/>
      <c r="JT572" s="766">
        <f t="shared" ref="JT572:JU577" si="163">SUM(JP572,JN572,JL572,JR572)</f>
        <v>2</v>
      </c>
      <c r="JU572" s="766">
        <f t="shared" si="163"/>
        <v>0</v>
      </c>
      <c r="JV572" s="766"/>
      <c r="JW572" s="766"/>
      <c r="JX572" s="766"/>
      <c r="JY572" s="766"/>
      <c r="JZ572" s="766"/>
      <c r="KA572" s="766"/>
      <c r="KB572" s="766">
        <v>1</v>
      </c>
      <c r="KC572" s="766"/>
      <c r="KD572" s="766">
        <v>1</v>
      </c>
      <c r="KE572" s="766"/>
      <c r="KF572" s="766"/>
      <c r="KG572" s="766"/>
      <c r="KH572" s="766"/>
      <c r="KI572" s="766"/>
      <c r="KJ572" s="770">
        <f t="shared" si="153"/>
        <v>2</v>
      </c>
      <c r="KK572" s="770">
        <f t="shared" si="153"/>
        <v>0</v>
      </c>
      <c r="KL572" s="770"/>
      <c r="KM572" s="770"/>
      <c r="KN572" s="766" t="s">
        <v>707</v>
      </c>
      <c r="KO572" s="766"/>
      <c r="KP572" s="766"/>
      <c r="KQ572" s="766"/>
      <c r="KR572" s="766"/>
      <c r="KS572" s="766"/>
      <c r="KT572" s="766"/>
      <c r="KU572" s="766"/>
      <c r="KV572" s="770"/>
      <c r="KW572" s="770"/>
      <c r="KX572" s="770"/>
      <c r="KY572" s="770"/>
      <c r="KZ572" s="770"/>
      <c r="LA572" s="770"/>
      <c r="LB572" s="770">
        <v>2</v>
      </c>
      <c r="LC572" s="770"/>
      <c r="LD572" s="770"/>
      <c r="LE572" s="770"/>
      <c r="LF572" s="770"/>
      <c r="LG572" s="770"/>
      <c r="LH572" s="770"/>
      <c r="LI572" s="770"/>
      <c r="LJ572" s="770"/>
      <c r="LK572" s="770"/>
      <c r="LL572" s="770"/>
      <c r="LM572" s="770"/>
      <c r="LN572" s="766">
        <f t="shared" si="159"/>
        <v>2</v>
      </c>
      <c r="LO572" s="766">
        <f t="shared" si="159"/>
        <v>0</v>
      </c>
      <c r="LP572" s="770">
        <v>1</v>
      </c>
      <c r="LQ572" s="770">
        <v>1</v>
      </c>
      <c r="LR572" s="770"/>
      <c r="LS572" s="770">
        <v>1</v>
      </c>
      <c r="LT572" s="770"/>
      <c r="LU572" s="770"/>
      <c r="LV572" s="770"/>
      <c r="LW572" s="770">
        <v>1</v>
      </c>
      <c r="LX572" s="769">
        <v>1</v>
      </c>
      <c r="LY572" s="766" t="str">
        <f t="shared" si="160"/>
        <v>within the BRGY</v>
      </c>
      <c r="LZ572" s="1709"/>
      <c r="MA572" s="1709"/>
      <c r="MB572" s="1709"/>
      <c r="MC572" s="1679">
        <f t="shared" si="158"/>
        <v>0</v>
      </c>
      <c r="MD572" s="1709">
        <v>11500</v>
      </c>
      <c r="ME572" s="1709"/>
      <c r="MF572" s="1709">
        <v>3500</v>
      </c>
      <c r="MG572" s="1680">
        <f t="shared" si="149"/>
        <v>15000</v>
      </c>
      <c r="MH572" s="770" t="s">
        <v>13762</v>
      </c>
      <c r="MI572" s="302">
        <v>4500</v>
      </c>
      <c r="MJ572" s="302">
        <v>100</v>
      </c>
      <c r="MK572" s="302">
        <v>250</v>
      </c>
      <c r="ML572" s="302">
        <v>450</v>
      </c>
      <c r="MM572" s="302"/>
      <c r="MN572" s="302"/>
      <c r="MO572" s="302">
        <v>160</v>
      </c>
      <c r="MP572" s="302">
        <v>1800</v>
      </c>
      <c r="MQ572" s="302">
        <v>160</v>
      </c>
      <c r="MR572" s="302">
        <v>500</v>
      </c>
      <c r="MS572" s="302"/>
      <c r="MT572" s="302"/>
      <c r="MU572" s="302"/>
      <c r="MV572" s="302"/>
      <c r="MW572" s="302"/>
      <c r="MX572" s="302"/>
      <c r="MY572" s="1682">
        <f t="shared" si="147"/>
        <v>7920</v>
      </c>
      <c r="MZ572" s="770" t="s">
        <v>13370</v>
      </c>
      <c r="NA572" s="770" t="s">
        <v>13585</v>
      </c>
      <c r="NB572" s="770" t="s">
        <v>13016</v>
      </c>
      <c r="NC572" s="770" t="s">
        <v>13621</v>
      </c>
      <c r="ND572" s="770">
        <v>0</v>
      </c>
      <c r="NE572" s="770">
        <v>0</v>
      </c>
      <c r="NF572" s="770">
        <v>0</v>
      </c>
      <c r="NG572" s="770">
        <v>1</v>
      </c>
      <c r="NH572" s="770">
        <v>1</v>
      </c>
      <c r="NI572" s="770">
        <v>1</v>
      </c>
      <c r="NJ572" s="770">
        <v>0</v>
      </c>
      <c r="NK572" s="770">
        <v>0</v>
      </c>
      <c r="NL572" s="770">
        <v>0</v>
      </c>
      <c r="NM572" s="770">
        <v>0</v>
      </c>
      <c r="NN572" s="770">
        <v>0</v>
      </c>
      <c r="NO572" s="770">
        <v>0</v>
      </c>
      <c r="NP572" s="770">
        <v>0</v>
      </c>
      <c r="NQ572" s="770">
        <v>0</v>
      </c>
      <c r="NR572" s="770">
        <v>0</v>
      </c>
      <c r="NS572" s="770">
        <v>0</v>
      </c>
      <c r="NT572" s="770">
        <v>0</v>
      </c>
      <c r="NU572" s="770">
        <v>0</v>
      </c>
      <c r="NV572" s="770">
        <v>0</v>
      </c>
      <c r="NW572" s="770">
        <v>0</v>
      </c>
      <c r="NX572" s="770">
        <v>0</v>
      </c>
      <c r="NY572" s="770"/>
      <c r="NZ572" s="770"/>
      <c r="OA572" s="770"/>
      <c r="OB572" s="770"/>
      <c r="OC572" s="770"/>
      <c r="OD572" s="770"/>
      <c r="OE572" s="770"/>
      <c r="OF572" s="770"/>
      <c r="OG572" s="770"/>
      <c r="OH572" s="770"/>
      <c r="OI572" s="770"/>
      <c r="OJ572" s="770"/>
      <c r="OK572" s="770"/>
      <c r="OL572" s="770"/>
      <c r="OM572" s="770"/>
      <c r="ON572" s="770"/>
      <c r="OO572" s="770"/>
      <c r="OP572" s="770"/>
      <c r="OQ572" s="770"/>
      <c r="OR572" s="770"/>
      <c r="OS572" s="770"/>
      <c r="OT572" s="770"/>
      <c r="OU572" s="770"/>
      <c r="OV572" s="770"/>
      <c r="OW572" s="770"/>
      <c r="OX572" s="770"/>
      <c r="OY572" s="770"/>
      <c r="OZ572" s="770"/>
      <c r="PA572" s="770"/>
      <c r="PB572" s="770"/>
      <c r="PC572" s="770"/>
      <c r="PD572" s="770"/>
      <c r="PE572" s="770"/>
      <c r="PF572" s="770"/>
      <c r="PG572" s="770"/>
      <c r="PH572" s="770"/>
      <c r="PI572" s="770"/>
      <c r="PJ572" s="770"/>
      <c r="PK572" s="770" t="s">
        <v>1208</v>
      </c>
      <c r="PL572" s="770"/>
      <c r="PM572" s="770"/>
      <c r="PN572" s="770"/>
      <c r="PO572" s="770"/>
      <c r="PP572" s="770"/>
      <c r="PQ572" s="770"/>
      <c r="PR572" s="770"/>
      <c r="PS572" s="770"/>
      <c r="PT572" s="770"/>
      <c r="PU572" s="770"/>
      <c r="PV572" s="770"/>
      <c r="PW572" s="770"/>
      <c r="PX572" s="770"/>
      <c r="PY572" s="770"/>
      <c r="PZ572" s="770"/>
      <c r="QA572" s="770"/>
      <c r="QB572" s="770"/>
      <c r="QC572" s="770"/>
      <c r="QD572" s="770"/>
      <c r="QE572" s="770"/>
      <c r="QF572" s="770"/>
      <c r="QG572" s="770"/>
      <c r="QH572" s="770"/>
      <c r="QI572" s="770"/>
      <c r="QJ572" s="770"/>
      <c r="QK572" s="770"/>
      <c r="QL572" s="770"/>
      <c r="QM572" s="770"/>
      <c r="QN572" s="770"/>
      <c r="QO572" s="770"/>
      <c r="QP572" s="770"/>
      <c r="QQ572" s="770"/>
      <c r="QR572" s="770"/>
      <c r="QS572" s="770"/>
      <c r="QT572" s="770"/>
      <c r="QU572" s="770"/>
      <c r="QV572" s="770"/>
      <c r="QW572" s="770"/>
      <c r="QX572" s="770"/>
      <c r="QY572" s="770"/>
      <c r="QZ572" s="770"/>
      <c r="RA572" s="770"/>
      <c r="RB572" s="770"/>
      <c r="RC572" s="770"/>
      <c r="RD572" s="770"/>
      <c r="RE572" s="770"/>
      <c r="RF572" s="304"/>
      <c r="RG572" s="770"/>
      <c r="RH572" s="302"/>
      <c r="RI572" s="770"/>
      <c r="RJ572" s="770" t="s">
        <v>3911</v>
      </c>
      <c r="RK572" s="770" t="s">
        <v>13401</v>
      </c>
      <c r="RL572" s="1710"/>
      <c r="RM572" s="12"/>
      <c r="RN572" s="1711"/>
      <c r="RO572" s="133" t="s">
        <v>3906</v>
      </c>
      <c r="RP572" s="11"/>
      <c r="RQ572" s="11"/>
      <c r="RR572" s="17"/>
      <c r="RS572" s="771"/>
      <c r="RT572" s="11"/>
      <c r="RU572" s="11"/>
      <c r="RV572" s="771" t="s">
        <v>13760</v>
      </c>
      <c r="RW572" s="11" t="s">
        <v>7720</v>
      </c>
      <c r="RX572" s="11" t="s">
        <v>2884</v>
      </c>
      <c r="RY572" s="11"/>
      <c r="RZ572" s="11" t="s">
        <v>1101</v>
      </c>
      <c r="SA572" s="771"/>
      <c r="SB572" s="11"/>
      <c r="SC572" s="11"/>
    </row>
    <row r="573" spans="1:497" ht="12.75" customHeight="1">
      <c r="A573" s="17" t="s">
        <v>7421</v>
      </c>
      <c r="B573" s="752" t="s">
        <v>7817</v>
      </c>
      <c r="C573" s="133" t="s">
        <v>3917</v>
      </c>
      <c r="D573" s="94" t="s">
        <v>3923</v>
      </c>
      <c r="E573" s="766" t="s">
        <v>3918</v>
      </c>
      <c r="F573" s="770" t="s">
        <v>28</v>
      </c>
      <c r="G573" s="770" t="s">
        <v>10</v>
      </c>
      <c r="H573" s="770"/>
      <c r="I573" s="295" t="s">
        <v>3919</v>
      </c>
      <c r="J573" s="94" t="s">
        <v>3923</v>
      </c>
      <c r="K573" s="766" t="s">
        <v>3920</v>
      </c>
      <c r="L573" s="766" t="s">
        <v>3921</v>
      </c>
      <c r="M573" s="770" t="s">
        <v>1238</v>
      </c>
      <c r="N573" s="770"/>
      <c r="O573" s="770" t="s">
        <v>3897</v>
      </c>
      <c r="P573" s="94" t="s">
        <v>3922</v>
      </c>
      <c r="Q573" s="1088">
        <v>20697</v>
      </c>
      <c r="R573" s="770">
        <v>60</v>
      </c>
      <c r="S573" s="770" t="s">
        <v>10</v>
      </c>
      <c r="T573" s="770"/>
      <c r="U573" s="295" t="s">
        <v>3919</v>
      </c>
      <c r="V573" s="770" t="s">
        <v>707</v>
      </c>
      <c r="W573" s="770" t="s">
        <v>11614</v>
      </c>
      <c r="X573" s="1829">
        <v>22395</v>
      </c>
      <c r="Y573" s="770" t="s">
        <v>3918</v>
      </c>
      <c r="Z573" s="770" t="s">
        <v>708</v>
      </c>
      <c r="AA573" s="770" t="s">
        <v>759</v>
      </c>
      <c r="AB573" s="770" t="s">
        <v>710</v>
      </c>
      <c r="AC573" s="770" t="s">
        <v>724</v>
      </c>
      <c r="AD573" s="770" t="s">
        <v>711</v>
      </c>
      <c r="AE573" s="770"/>
      <c r="AF573" s="770" t="s">
        <v>712</v>
      </c>
      <c r="AG573" s="766" t="s">
        <v>1095</v>
      </c>
      <c r="AH573" s="770" t="s">
        <v>1119</v>
      </c>
      <c r="AI573" s="770" t="s">
        <v>3294</v>
      </c>
      <c r="AJ573" s="770"/>
      <c r="AK573" s="770" t="s">
        <v>1101</v>
      </c>
      <c r="AL573" s="531">
        <v>4.29</v>
      </c>
      <c r="AM573" s="780">
        <v>4.29</v>
      </c>
      <c r="AN573" s="532">
        <f>AM573/AL573</f>
        <v>1</v>
      </c>
      <c r="AO573" s="766" t="s">
        <v>1122</v>
      </c>
      <c r="AP573" s="766"/>
      <c r="AQ573" s="766"/>
      <c r="AR573" s="766"/>
      <c r="AS573" s="770"/>
      <c r="AT573" s="770"/>
      <c r="AU573" s="770"/>
      <c r="AV573" s="770"/>
      <c r="AW573" s="770"/>
      <c r="AX573" s="770"/>
      <c r="AY573" s="770"/>
      <c r="AZ573" s="770"/>
      <c r="BA573" s="770"/>
      <c r="BB573" s="770"/>
      <c r="BC573" s="770"/>
      <c r="BD573" s="770"/>
      <c r="BE573" s="770"/>
      <c r="BF573" s="302"/>
      <c r="BG573" s="302"/>
      <c r="BH573" s="770"/>
      <c r="BI573" s="770"/>
      <c r="BJ573" s="770"/>
      <c r="BK573" s="770" t="s">
        <v>1095</v>
      </c>
      <c r="BL573" s="770" t="s">
        <v>3924</v>
      </c>
      <c r="BM573" s="766" t="s">
        <v>1096</v>
      </c>
      <c r="BN573" s="770" t="s">
        <v>1230</v>
      </c>
      <c r="BO573" s="766" t="s">
        <v>1246</v>
      </c>
      <c r="BP573" s="1109">
        <v>4.29</v>
      </c>
      <c r="BQ573" s="773">
        <v>4.29</v>
      </c>
      <c r="BR573" s="774">
        <f>BQ573/BP573</f>
        <v>1</v>
      </c>
      <c r="BS573" s="766" t="s">
        <v>1257</v>
      </c>
      <c r="BT573" s="766" t="s">
        <v>1326</v>
      </c>
      <c r="BU573" s="766" t="s">
        <v>1264</v>
      </c>
      <c r="BV573" s="770" t="s">
        <v>2432</v>
      </c>
      <c r="BW573" s="770">
        <v>2010</v>
      </c>
      <c r="BX573" s="302"/>
      <c r="BY573" s="770"/>
      <c r="BZ573" s="302"/>
      <c r="CA573" s="770"/>
      <c r="CB573" s="770" t="s">
        <v>1207</v>
      </c>
      <c r="CC573" s="770" t="s">
        <v>3925</v>
      </c>
      <c r="CD573" s="770"/>
      <c r="CE573" s="770"/>
      <c r="CF573" s="1753">
        <v>1.2</v>
      </c>
      <c r="CG573" s="1754">
        <v>9</v>
      </c>
      <c r="CH573" s="770" t="s">
        <v>2545</v>
      </c>
      <c r="CI573" s="770"/>
      <c r="CJ573" s="770" t="s">
        <v>3926</v>
      </c>
      <c r="CK573" s="770">
        <v>5</v>
      </c>
      <c r="CL573" s="770"/>
      <c r="CM573" s="770" t="s">
        <v>3633</v>
      </c>
      <c r="CN573" s="770"/>
      <c r="CO573" s="770"/>
      <c r="CP573" s="770"/>
      <c r="CQ573" s="770"/>
      <c r="CR573" s="302"/>
      <c r="CS573" s="770"/>
      <c r="CT573" s="770"/>
      <c r="CU573" s="305"/>
      <c r="CV573" s="770"/>
      <c r="CW573" s="770"/>
      <c r="CX573" s="770"/>
      <c r="CY573" s="770"/>
      <c r="CZ573" s="770"/>
      <c r="DA573" s="306"/>
      <c r="DB573" s="770"/>
      <c r="DC573" s="770"/>
      <c r="DD573" s="770"/>
      <c r="DE573" s="300"/>
      <c r="DF573" s="770"/>
      <c r="DG573" s="770"/>
      <c r="DH573" s="770"/>
      <c r="DI573" s="770"/>
      <c r="DJ573" s="770"/>
      <c r="DK573" s="770"/>
      <c r="DL573" s="770"/>
      <c r="DM573" s="770"/>
      <c r="DN573" s="322"/>
      <c r="DO573" s="770"/>
      <c r="DP573" s="770"/>
      <c r="DQ573" s="770"/>
      <c r="DR573" s="770"/>
      <c r="DS573" s="307"/>
      <c r="DT573" s="770"/>
      <c r="DU573" s="770"/>
      <c r="DV573" s="770"/>
      <c r="DW573" s="306"/>
      <c r="DX573" s="306"/>
      <c r="DY573" s="770"/>
      <c r="DZ573" s="770"/>
      <c r="EA573" s="770"/>
      <c r="EB573" s="770"/>
      <c r="EC573" s="770"/>
      <c r="ED573" s="770"/>
      <c r="EE573" s="770"/>
      <c r="EF573" s="770"/>
      <c r="EG573" s="770"/>
      <c r="EH573" s="770"/>
      <c r="EI573" s="770"/>
      <c r="EJ573" s="770"/>
      <c r="EK573" s="770"/>
      <c r="EL573" s="770"/>
      <c r="EM573" s="770"/>
      <c r="EN573" s="770"/>
      <c r="EO573" s="770"/>
      <c r="EP573" s="94"/>
      <c r="EQ573" s="770"/>
      <c r="ER573" s="770"/>
      <c r="ES573" s="770"/>
      <c r="ET573" s="770"/>
      <c r="EU573" s="770"/>
      <c r="EV573" s="770"/>
      <c r="EW573" s="770"/>
      <c r="EX573" s="770"/>
      <c r="EY573" s="770"/>
      <c r="EZ573" s="770"/>
      <c r="FA573" s="770"/>
      <c r="FB573" s="770"/>
      <c r="FC573" s="770"/>
      <c r="FD573" s="302"/>
      <c r="FE573" s="770"/>
      <c r="FF573" s="770"/>
      <c r="FG573" s="770"/>
      <c r="FH573" s="770" t="s">
        <v>478</v>
      </c>
      <c r="FI573" s="770">
        <v>1</v>
      </c>
      <c r="FJ573" s="770"/>
      <c r="FK573" s="770"/>
      <c r="FL573" s="770"/>
      <c r="FM573" s="302"/>
      <c r="FN573" s="302"/>
      <c r="FO573" s="302"/>
      <c r="FP573" s="766" t="s">
        <v>1602</v>
      </c>
      <c r="FQ573" s="766" t="s">
        <v>1660</v>
      </c>
      <c r="FR573" s="770" t="s">
        <v>1214</v>
      </c>
      <c r="FS573" s="770"/>
      <c r="FT573" s="770"/>
      <c r="FU573" s="770"/>
      <c r="FV573" s="770"/>
      <c r="FW573" s="770"/>
      <c r="FX573" s="770"/>
      <c r="FY573" s="770"/>
      <c r="FZ573" s="770"/>
      <c r="GA573" s="770"/>
      <c r="GB573" s="770" t="s">
        <v>1734</v>
      </c>
      <c r="GC573" s="308"/>
      <c r="GD573" s="297">
        <v>2010</v>
      </c>
      <c r="GE573" s="770" t="s">
        <v>1214</v>
      </c>
      <c r="GF573" s="302"/>
      <c r="GG573" s="302"/>
      <c r="GH573" s="712" t="s">
        <v>3650</v>
      </c>
      <c r="GI573" s="770"/>
      <c r="GJ573" s="770"/>
      <c r="GK573" s="770"/>
      <c r="GL573" s="770"/>
      <c r="GM573" s="770"/>
      <c r="GN573" s="299"/>
      <c r="GO573" s="770"/>
      <c r="GP573" s="770"/>
      <c r="GQ573" s="770"/>
      <c r="GR573" s="770"/>
      <c r="GS573" s="770"/>
      <c r="GT573" s="770"/>
      <c r="GU573" s="770"/>
      <c r="GV573" s="770"/>
      <c r="GW573" s="770"/>
      <c r="GX573" s="770"/>
      <c r="GY573" s="770"/>
      <c r="GZ573" s="770"/>
      <c r="HA573" s="770"/>
      <c r="HB573" s="770"/>
      <c r="HC573" s="770"/>
      <c r="HD573" s="770"/>
      <c r="HE573" s="770"/>
      <c r="HF573" s="770"/>
      <c r="HG573" s="770"/>
      <c r="HH573" s="770"/>
      <c r="HI573" s="770"/>
      <c r="HJ573" s="770"/>
      <c r="HK573" s="770"/>
      <c r="HL573" s="770"/>
      <c r="HM573" s="770"/>
      <c r="HN573" s="770"/>
      <c r="HO573" s="770"/>
      <c r="HP573" s="770"/>
      <c r="HQ573" s="770"/>
      <c r="HR573" s="770"/>
      <c r="HS573" s="770"/>
      <c r="HT573" s="770"/>
      <c r="HU573" s="770"/>
      <c r="HV573" s="770"/>
      <c r="HW573" s="770"/>
      <c r="HX573" s="770"/>
      <c r="HY573" s="770"/>
      <c r="HZ573" s="770"/>
      <c r="IA573" s="770"/>
      <c r="IB573" s="14" t="e">
        <f>IF(#REF!&gt;0,IF(#REF!&lt;=10000,"Y",""),"")</f>
        <v>#REF!</v>
      </c>
      <c r="IC573" s="770"/>
      <c r="ID573" s="770">
        <v>1</v>
      </c>
      <c r="IE573" s="770"/>
      <c r="IF573" s="1839" t="s">
        <v>3923</v>
      </c>
      <c r="IG573" s="770" t="s">
        <v>10</v>
      </c>
      <c r="IH573" s="770" t="s">
        <v>478</v>
      </c>
      <c r="II573" s="770" t="s">
        <v>3918</v>
      </c>
      <c r="IJ573" s="770" t="s">
        <v>3927</v>
      </c>
      <c r="IK573" s="770" t="s">
        <v>2639</v>
      </c>
      <c r="IL573" s="770" t="s">
        <v>3925</v>
      </c>
      <c r="IM573" s="770">
        <v>2010</v>
      </c>
      <c r="IN573" s="770" t="s">
        <v>3925</v>
      </c>
      <c r="IO573" s="296">
        <v>20697</v>
      </c>
      <c r="IP573" s="770" t="s">
        <v>478</v>
      </c>
      <c r="IQ573" s="13" t="s">
        <v>7889</v>
      </c>
      <c r="IR573" s="770" t="s">
        <v>3928</v>
      </c>
      <c r="IS573" s="770" t="s">
        <v>951</v>
      </c>
      <c r="IT573" s="770"/>
      <c r="IU573" s="770" t="s">
        <v>1208</v>
      </c>
      <c r="IV573" s="770"/>
      <c r="IW573" s="770" t="s">
        <v>13763</v>
      </c>
      <c r="IX573" s="770"/>
      <c r="IY573" s="770" t="s">
        <v>3919</v>
      </c>
      <c r="IZ573" s="770"/>
      <c r="JA573" s="770" t="s">
        <v>1880</v>
      </c>
      <c r="JB573" s="770" t="s">
        <v>1918</v>
      </c>
      <c r="JC573" s="770" t="s">
        <v>12778</v>
      </c>
      <c r="JD573" s="302" t="s">
        <v>3650</v>
      </c>
      <c r="JE573" s="770">
        <v>8</v>
      </c>
      <c r="JF573" s="770">
        <v>1</v>
      </c>
      <c r="JG573" s="770"/>
      <c r="JH573" s="307">
        <f>SUM(300,350*5,250*2)</f>
        <v>2550</v>
      </c>
      <c r="JI573" s="307"/>
      <c r="JJ573" s="770">
        <v>3</v>
      </c>
      <c r="JK573" s="1139" t="s">
        <v>13764</v>
      </c>
      <c r="JL573" s="766"/>
      <c r="JM573" s="766"/>
      <c r="JN573" s="766">
        <v>2</v>
      </c>
      <c r="JO573" s="766">
        <v>1</v>
      </c>
      <c r="JP573" s="766"/>
      <c r="JQ573" s="766"/>
      <c r="JR573" s="766"/>
      <c r="JS573" s="766"/>
      <c r="JT573" s="766">
        <f t="shared" si="163"/>
        <v>2</v>
      </c>
      <c r="JU573" s="766">
        <f t="shared" si="163"/>
        <v>1</v>
      </c>
      <c r="JV573" s="712" t="str">
        <f>IF(JT573=KJ573,"ok","male")</f>
        <v>ok</v>
      </c>
      <c r="JW573" s="712" t="str">
        <f>IF(JU573=KK573,"ok","female")</f>
        <v>ok</v>
      </c>
      <c r="JX573" s="766"/>
      <c r="JY573" s="766"/>
      <c r="JZ573" s="766"/>
      <c r="KA573" s="766"/>
      <c r="KB573" s="766"/>
      <c r="KC573" s="766"/>
      <c r="KD573" s="766">
        <v>1</v>
      </c>
      <c r="KE573" s="766">
        <v>1</v>
      </c>
      <c r="KF573" s="766">
        <v>1</v>
      </c>
      <c r="KG573" s="766"/>
      <c r="KH573" s="766"/>
      <c r="KI573" s="766"/>
      <c r="KJ573" s="770">
        <f t="shared" si="153"/>
        <v>2</v>
      </c>
      <c r="KK573" s="770">
        <f t="shared" si="153"/>
        <v>1</v>
      </c>
      <c r="KL573" s="712" t="str">
        <f>IF(KJ573=LN573,"ok","male")</f>
        <v>ok</v>
      </c>
      <c r="KM573" s="712" t="str">
        <f>IF(KK573=LO573,"ok","female")</f>
        <v>ok</v>
      </c>
      <c r="KN573" s="766" t="s">
        <v>707</v>
      </c>
      <c r="KO573" s="766"/>
      <c r="KP573" s="766"/>
      <c r="KQ573" s="766"/>
      <c r="KR573" s="766"/>
      <c r="KS573" s="766"/>
      <c r="KT573" s="766"/>
      <c r="KU573" s="766"/>
      <c r="KV573" s="770">
        <v>1</v>
      </c>
      <c r="KW573" s="770">
        <v>1</v>
      </c>
      <c r="KX573" s="770"/>
      <c r="KY573" s="770"/>
      <c r="KZ573" s="770"/>
      <c r="LA573" s="770"/>
      <c r="LB573" s="770"/>
      <c r="LC573" s="770"/>
      <c r="LD573" s="770">
        <v>1</v>
      </c>
      <c r="LE573" s="770"/>
      <c r="LF573" s="770"/>
      <c r="LG573" s="770"/>
      <c r="LH573" s="770"/>
      <c r="LI573" s="770"/>
      <c r="LJ573" s="770"/>
      <c r="LK573" s="770"/>
      <c r="LL573" s="770"/>
      <c r="LM573" s="770"/>
      <c r="LN573" s="766">
        <f t="shared" si="159"/>
        <v>2</v>
      </c>
      <c r="LO573" s="766">
        <f t="shared" si="159"/>
        <v>1</v>
      </c>
      <c r="LP573" s="770">
        <v>2</v>
      </c>
      <c r="LQ573" s="770">
        <v>1</v>
      </c>
      <c r="LR573" s="770">
        <v>1</v>
      </c>
      <c r="LS573" s="770"/>
      <c r="LT573" s="712" t="str">
        <f>IF(LQ573=SUM(LU573:LW573),"OK","REV")</f>
        <v>OK</v>
      </c>
      <c r="LU573" s="770">
        <v>1</v>
      </c>
      <c r="LV573" s="770"/>
      <c r="LW573" s="770"/>
      <c r="LX573" s="769">
        <v>1</v>
      </c>
      <c r="LY573" s="766" t="str">
        <f t="shared" si="160"/>
        <v>within the BRGY</v>
      </c>
      <c r="LZ573" s="1709"/>
      <c r="MA573" s="1709"/>
      <c r="MB573" s="1709"/>
      <c r="MC573" s="1679">
        <f t="shared" si="158"/>
        <v>0</v>
      </c>
      <c r="MD573" s="1709">
        <v>9000</v>
      </c>
      <c r="ME573" s="1709">
        <v>20000</v>
      </c>
      <c r="MF573" s="1709"/>
      <c r="MG573" s="1680">
        <f>SUM(MD573:MF573)</f>
        <v>29000</v>
      </c>
      <c r="MH573" s="770" t="s">
        <v>3490</v>
      </c>
      <c r="MI573" s="302">
        <v>1300</v>
      </c>
      <c r="MJ573" s="302"/>
      <c r="MK573" s="302">
        <v>200</v>
      </c>
      <c r="ML573" s="302">
        <v>750</v>
      </c>
      <c r="MM573" s="302">
        <v>3000</v>
      </c>
      <c r="MN573" s="302">
        <v>4000</v>
      </c>
      <c r="MO573" s="302">
        <v>900</v>
      </c>
      <c r="MP573" s="302">
        <v>4000</v>
      </c>
      <c r="MQ573" s="302"/>
      <c r="MR573" s="302">
        <v>100</v>
      </c>
      <c r="MS573" s="302">
        <v>10000</v>
      </c>
      <c r="MT573" s="302"/>
      <c r="MU573" s="302"/>
      <c r="MV573" s="302"/>
      <c r="MW573" s="302"/>
      <c r="MX573" s="302"/>
      <c r="MY573" s="1682">
        <f t="shared" si="147"/>
        <v>24250</v>
      </c>
      <c r="MZ573" s="770" t="s">
        <v>13370</v>
      </c>
      <c r="NA573" s="770" t="s">
        <v>1249</v>
      </c>
      <c r="NB573" s="770" t="s">
        <v>13765</v>
      </c>
      <c r="NC573" s="770" t="s">
        <v>13602</v>
      </c>
      <c r="ND573" s="770">
        <v>0</v>
      </c>
      <c r="NE573" s="770">
        <v>1</v>
      </c>
      <c r="NF573" s="770">
        <v>0</v>
      </c>
      <c r="NG573" s="770">
        <v>2</v>
      </c>
      <c r="NH573" s="770">
        <v>1</v>
      </c>
      <c r="NI573" s="770">
        <v>1</v>
      </c>
      <c r="NJ573" s="770">
        <v>0</v>
      </c>
      <c r="NK573" s="770">
        <v>0</v>
      </c>
      <c r="NL573" s="770">
        <v>0</v>
      </c>
      <c r="NM573" s="770">
        <v>0</v>
      </c>
      <c r="NN573" s="770">
        <v>0</v>
      </c>
      <c r="NO573" s="770">
        <v>0</v>
      </c>
      <c r="NP573" s="770">
        <v>0</v>
      </c>
      <c r="NQ573" s="770">
        <v>0</v>
      </c>
      <c r="NR573" s="770">
        <v>1</v>
      </c>
      <c r="NS573" s="770">
        <v>0</v>
      </c>
      <c r="NT573" s="770">
        <v>0</v>
      </c>
      <c r="NU573" s="770">
        <v>0</v>
      </c>
      <c r="NV573" s="770">
        <v>0</v>
      </c>
      <c r="NW573" s="770">
        <v>0</v>
      </c>
      <c r="NX573" s="770">
        <v>0</v>
      </c>
      <c r="NY573" s="770" t="s">
        <v>1208</v>
      </c>
      <c r="NZ573" s="770" t="s">
        <v>1208</v>
      </c>
      <c r="OA573" s="770"/>
      <c r="OB573" s="770"/>
      <c r="OC573" s="770" t="s">
        <v>1208</v>
      </c>
      <c r="OD573" s="770"/>
      <c r="OE573" s="770"/>
      <c r="OF573" s="1828" t="s">
        <v>2143</v>
      </c>
      <c r="OG573" s="770"/>
      <c r="OH573" s="770"/>
      <c r="OI573" s="770"/>
      <c r="OJ573" s="770"/>
      <c r="OK573" s="1828" t="s">
        <v>1208</v>
      </c>
      <c r="OL573" s="1828" t="s">
        <v>13766</v>
      </c>
      <c r="OM573" s="770" t="s">
        <v>13758</v>
      </c>
      <c r="ON573" s="770"/>
      <c r="OO573" s="770"/>
      <c r="OP573" s="770"/>
      <c r="OQ573" s="770"/>
      <c r="OR573" s="770"/>
      <c r="OS573" s="770"/>
      <c r="OT573" s="770"/>
      <c r="OU573" s="770"/>
      <c r="OV573" s="770"/>
      <c r="OW573" s="770"/>
      <c r="OX573" s="770"/>
      <c r="OY573" s="770"/>
      <c r="OZ573" s="770"/>
      <c r="PA573" s="770"/>
      <c r="PB573" s="770"/>
      <c r="PC573" s="770"/>
      <c r="PD573" s="770"/>
      <c r="PE573" s="770"/>
      <c r="PF573" s="770"/>
      <c r="PG573" s="770"/>
      <c r="PH573" s="770"/>
      <c r="PI573" s="770"/>
      <c r="PJ573" s="770"/>
      <c r="PK573" s="770" t="s">
        <v>1208</v>
      </c>
      <c r="PL573" s="770"/>
      <c r="PM573" s="770"/>
      <c r="PN573" s="770"/>
      <c r="PO573" s="770"/>
      <c r="PP573" s="770"/>
      <c r="PQ573" s="770"/>
      <c r="PR573" s="770"/>
      <c r="PS573" s="770"/>
      <c r="PT573" s="770"/>
      <c r="PU573" s="770"/>
      <c r="PV573" s="770"/>
      <c r="PW573" s="770"/>
      <c r="PX573" s="770"/>
      <c r="PY573" s="770"/>
      <c r="PZ573" s="770"/>
      <c r="QA573" s="770"/>
      <c r="QB573" s="770"/>
      <c r="QC573" s="770"/>
      <c r="QD573" s="770"/>
      <c r="QE573" s="770"/>
      <c r="QF573" s="770"/>
      <c r="QG573" s="770"/>
      <c r="QH573" s="770"/>
      <c r="QI573" s="770"/>
      <c r="QJ573" s="770"/>
      <c r="QK573" s="770"/>
      <c r="QL573" s="770"/>
      <c r="QM573" s="770"/>
      <c r="QN573" s="770"/>
      <c r="QO573" s="770"/>
      <c r="QP573" s="770"/>
      <c r="QQ573" s="770"/>
      <c r="QR573" s="770"/>
      <c r="QS573" s="770"/>
      <c r="QT573" s="770"/>
      <c r="QU573" s="770"/>
      <c r="QV573" s="770"/>
      <c r="QW573" s="770"/>
      <c r="QX573" s="770"/>
      <c r="QY573" s="770"/>
      <c r="QZ573" s="770"/>
      <c r="RA573" s="770"/>
      <c r="RB573" s="770" t="s">
        <v>1207</v>
      </c>
      <c r="RC573" s="770">
        <v>2012</v>
      </c>
      <c r="RD573" s="770" t="s">
        <v>13767</v>
      </c>
      <c r="RE573" s="770" t="s">
        <v>12999</v>
      </c>
      <c r="RF573" s="304">
        <v>1</v>
      </c>
      <c r="RG573" s="770" t="s">
        <v>13037</v>
      </c>
      <c r="RH573" s="302">
        <v>3500</v>
      </c>
      <c r="RI573" s="770">
        <v>2</v>
      </c>
      <c r="RJ573" s="770" t="s">
        <v>3925</v>
      </c>
      <c r="RK573" s="770" t="s">
        <v>13552</v>
      </c>
      <c r="RL573" s="1710">
        <v>42832</v>
      </c>
      <c r="RM573" s="12"/>
      <c r="RN573" s="1711"/>
      <c r="RO573" s="133" t="s">
        <v>3917</v>
      </c>
      <c r="RP573" s="11"/>
      <c r="RQ573" s="11"/>
      <c r="RR573" s="17" t="s">
        <v>7421</v>
      </c>
      <c r="RS573" s="1139" t="s">
        <v>12980</v>
      </c>
      <c r="RT573" s="11"/>
      <c r="RU573" s="11"/>
      <c r="RV573" s="771" t="s">
        <v>7419</v>
      </c>
      <c r="RW573" s="11" t="s">
        <v>7815</v>
      </c>
      <c r="RX573" s="11" t="s">
        <v>3904</v>
      </c>
      <c r="RY573" s="11"/>
      <c r="RZ573" s="11" t="s">
        <v>1101</v>
      </c>
      <c r="SA573" s="771"/>
      <c r="SB573" s="11"/>
      <c r="SC573" s="11"/>
    </row>
    <row r="574" spans="1:497" ht="12.75" hidden="1" customHeight="1">
      <c r="A574" s="343" t="s">
        <v>7419</v>
      </c>
      <c r="B574" s="752" t="s">
        <v>7721</v>
      </c>
      <c r="C574" s="132" t="s">
        <v>2834</v>
      </c>
      <c r="D574" s="94" t="s">
        <v>3929</v>
      </c>
      <c r="E574" s="766" t="s">
        <v>3930</v>
      </c>
      <c r="F574" s="770" t="s">
        <v>28</v>
      </c>
      <c r="G574" s="770" t="s">
        <v>10</v>
      </c>
      <c r="H574" s="770"/>
      <c r="I574" s="295" t="s">
        <v>3931</v>
      </c>
      <c r="J574" s="94" t="s">
        <v>3929</v>
      </c>
      <c r="K574" s="766" t="s">
        <v>3932</v>
      </c>
      <c r="L574" s="766" t="s">
        <v>3933</v>
      </c>
      <c r="M574" s="770" t="s">
        <v>1238</v>
      </c>
      <c r="N574" s="770"/>
      <c r="O574" s="770" t="s">
        <v>3897</v>
      </c>
      <c r="P574" s="1732" t="s">
        <v>3934</v>
      </c>
      <c r="Q574" s="1088">
        <v>20151</v>
      </c>
      <c r="R574" s="770">
        <v>62</v>
      </c>
      <c r="S574" s="770" t="s">
        <v>10</v>
      </c>
      <c r="T574" s="770"/>
      <c r="U574" s="295" t="s">
        <v>3931</v>
      </c>
      <c r="V574" s="770" t="s">
        <v>707</v>
      </c>
      <c r="W574" s="770"/>
      <c r="X574" s="770"/>
      <c r="Y574" s="770" t="s">
        <v>3930</v>
      </c>
      <c r="Z574" s="770" t="s">
        <v>708</v>
      </c>
      <c r="AA574" s="770" t="s">
        <v>709</v>
      </c>
      <c r="AB574" s="12" t="s">
        <v>710</v>
      </c>
      <c r="AC574" s="770"/>
      <c r="AD574" s="770" t="s">
        <v>711</v>
      </c>
      <c r="AE574" s="770"/>
      <c r="AF574" s="770"/>
      <c r="AG574" s="766" t="s">
        <v>1095</v>
      </c>
      <c r="AH574" s="766" t="s">
        <v>1096</v>
      </c>
      <c r="AI574" s="770" t="s">
        <v>3294</v>
      </c>
      <c r="AJ574" s="770"/>
      <c r="AK574" s="1828" t="s">
        <v>1097</v>
      </c>
      <c r="AL574" s="531">
        <v>59.4</v>
      </c>
      <c r="AM574" s="780">
        <v>3</v>
      </c>
      <c r="AN574" s="532">
        <f>AM574/AL574</f>
        <v>5.0505050505050504E-2</v>
      </c>
      <c r="AO574" s="766" t="s">
        <v>1098</v>
      </c>
      <c r="AP574" s="766" t="s">
        <v>5364</v>
      </c>
      <c r="AQ574" s="766" t="s">
        <v>7418</v>
      </c>
      <c r="AR574" s="766"/>
      <c r="AS574" s="770"/>
      <c r="AT574" s="770"/>
      <c r="AU574" s="770"/>
      <c r="AV574" s="770"/>
      <c r="AW574" s="770"/>
      <c r="AX574" s="770"/>
      <c r="AY574" s="770"/>
      <c r="AZ574" s="770"/>
      <c r="BA574" s="770"/>
      <c r="BB574" s="770"/>
      <c r="BC574" s="770"/>
      <c r="BD574" s="770"/>
      <c r="BE574" s="770"/>
      <c r="BF574" s="302"/>
      <c r="BG574" s="302"/>
      <c r="BH574" s="770"/>
      <c r="BI574" s="770"/>
      <c r="BJ574" s="770"/>
      <c r="BK574" s="770" t="s">
        <v>1095</v>
      </c>
      <c r="BL574" s="770" t="s">
        <v>2839</v>
      </c>
      <c r="BM574" s="766" t="s">
        <v>1096</v>
      </c>
      <c r="BN574" s="770" t="s">
        <v>1230</v>
      </c>
      <c r="BO574" s="766" t="s">
        <v>8135</v>
      </c>
      <c r="BP574" s="765">
        <v>59.04</v>
      </c>
      <c r="BQ574" s="773">
        <v>3</v>
      </c>
      <c r="BR574" s="774">
        <f>BQ574/BP574</f>
        <v>5.08130081300813E-2</v>
      </c>
      <c r="BS574" s="766" t="s">
        <v>1242</v>
      </c>
      <c r="BT574" s="766" t="s">
        <v>2040</v>
      </c>
      <c r="BU574" s="770"/>
      <c r="BV574" s="770" t="s">
        <v>2724</v>
      </c>
      <c r="BW574" s="770">
        <v>2008</v>
      </c>
      <c r="BX574" s="302">
        <v>700000</v>
      </c>
      <c r="BY574" s="770"/>
      <c r="BZ574" s="302"/>
      <c r="CA574" s="770"/>
      <c r="CB574" s="770" t="s">
        <v>1207</v>
      </c>
      <c r="CC574" s="94" t="s">
        <v>3929</v>
      </c>
      <c r="CD574" s="770"/>
      <c r="CE574" s="770"/>
      <c r="CF574" s="1753">
        <v>9</v>
      </c>
      <c r="CG574" s="1754">
        <v>5</v>
      </c>
      <c r="CH574" s="770" t="s">
        <v>2545</v>
      </c>
      <c r="CI574" s="770"/>
      <c r="CJ574" s="770" t="s">
        <v>2545</v>
      </c>
      <c r="CK574" s="770">
        <v>5</v>
      </c>
      <c r="CL574" s="770"/>
      <c r="CM574" s="770" t="s">
        <v>3378</v>
      </c>
      <c r="CN574" s="770"/>
      <c r="CO574" s="770"/>
      <c r="CP574" s="770"/>
      <c r="CQ574" s="770"/>
      <c r="CR574" s="302"/>
      <c r="CS574" s="770"/>
      <c r="CT574" s="770"/>
      <c r="CU574" s="305"/>
      <c r="CV574" s="770"/>
      <c r="CW574" s="770"/>
      <c r="CX574" s="770"/>
      <c r="CY574" s="770"/>
      <c r="CZ574" s="770"/>
      <c r="DA574" s="306"/>
      <c r="DB574" s="770"/>
      <c r="DC574" s="770"/>
      <c r="DD574" s="770"/>
      <c r="DE574" s="300"/>
      <c r="DF574" s="770"/>
      <c r="DG574" s="770"/>
      <c r="DH574" s="770"/>
      <c r="DI574" s="770"/>
      <c r="DJ574" s="770"/>
      <c r="DK574" s="770"/>
      <c r="DL574" s="770"/>
      <c r="DM574" s="770"/>
      <c r="DN574" s="322"/>
      <c r="DO574" s="770"/>
      <c r="DP574" s="770"/>
      <c r="DQ574" s="770"/>
      <c r="DR574" s="770"/>
      <c r="DS574" s="307"/>
      <c r="DT574" s="770"/>
      <c r="DU574" s="770"/>
      <c r="DV574" s="770"/>
      <c r="DW574" s="306"/>
      <c r="DX574" s="306"/>
      <c r="DY574" s="770"/>
      <c r="DZ574" s="770"/>
      <c r="EA574" s="770"/>
      <c r="EB574" s="770"/>
      <c r="EC574" s="770"/>
      <c r="ED574" s="770"/>
      <c r="EE574" s="770"/>
      <c r="EF574" s="770"/>
      <c r="EG574" s="770"/>
      <c r="EH574" s="770"/>
      <c r="EI574" s="770"/>
      <c r="EJ574" s="770"/>
      <c r="EK574" s="770"/>
      <c r="EL574" s="770"/>
      <c r="EM574" s="770"/>
      <c r="EN574" s="770"/>
      <c r="EO574" s="770"/>
      <c r="EP574" s="94"/>
      <c r="EQ574" s="770"/>
      <c r="ER574" s="770"/>
      <c r="ES574" s="770"/>
      <c r="ET574" s="770"/>
      <c r="EU574" s="770"/>
      <c r="EV574" s="770"/>
      <c r="EW574" s="770"/>
      <c r="EX574" s="770"/>
      <c r="EY574" s="770"/>
      <c r="EZ574" s="770"/>
      <c r="FA574" s="770"/>
      <c r="FB574" s="770"/>
      <c r="FC574" s="770"/>
      <c r="FD574" s="302"/>
      <c r="FE574" s="770"/>
      <c r="FF574" s="770"/>
      <c r="FG574" s="770"/>
      <c r="FH574" s="770" t="s">
        <v>478</v>
      </c>
      <c r="FI574" s="770">
        <v>3</v>
      </c>
      <c r="FJ574" s="770"/>
      <c r="FK574" s="770"/>
      <c r="FL574" s="770"/>
      <c r="FM574" s="302"/>
      <c r="FN574" s="302"/>
      <c r="FO574" s="302"/>
      <c r="FP574" s="770" t="s">
        <v>1600</v>
      </c>
      <c r="FQ574" s="770" t="s">
        <v>1642</v>
      </c>
      <c r="FR574" s="770" t="s">
        <v>1214</v>
      </c>
      <c r="FS574" s="770"/>
      <c r="FT574" s="770"/>
      <c r="FU574" s="770"/>
      <c r="FV574" s="770"/>
      <c r="FW574" s="770"/>
      <c r="FX574" s="770" t="s">
        <v>1208</v>
      </c>
      <c r="FY574" s="770"/>
      <c r="FZ574" s="770"/>
      <c r="GA574" s="770"/>
      <c r="GB574" s="770" t="s">
        <v>1734</v>
      </c>
      <c r="GC574" s="308"/>
      <c r="GD574" s="297">
        <v>2015</v>
      </c>
      <c r="GE574" s="770" t="s">
        <v>1214</v>
      </c>
      <c r="GF574" s="302"/>
      <c r="GG574" s="302"/>
      <c r="GH574" s="770"/>
      <c r="GI574" s="770"/>
      <c r="GJ574" s="770"/>
      <c r="GK574" s="770"/>
      <c r="GL574" s="770"/>
      <c r="GM574" s="770"/>
      <c r="GN574" s="299"/>
      <c r="GO574" s="770"/>
      <c r="GP574" s="770"/>
      <c r="GQ574" s="770"/>
      <c r="GR574" s="770"/>
      <c r="GS574" s="770"/>
      <c r="GT574" s="770"/>
      <c r="GU574" s="770"/>
      <c r="GV574" s="770"/>
      <c r="GW574" s="770"/>
      <c r="GX574" s="770"/>
      <c r="GY574" s="770"/>
      <c r="GZ574" s="770"/>
      <c r="HA574" s="770"/>
      <c r="HB574" s="770"/>
      <c r="HC574" s="770"/>
      <c r="HD574" s="770"/>
      <c r="HE574" s="770"/>
      <c r="HF574" s="770"/>
      <c r="HG574" s="770"/>
      <c r="HH574" s="770"/>
      <c r="HI574" s="770"/>
      <c r="HJ574" s="770"/>
      <c r="HK574" s="770"/>
      <c r="HL574" s="770"/>
      <c r="HM574" s="770"/>
      <c r="HN574" s="770"/>
      <c r="HO574" s="770"/>
      <c r="HP574" s="770"/>
      <c r="HQ574" s="770"/>
      <c r="HR574" s="770">
        <v>2</v>
      </c>
      <c r="HS574" s="770"/>
      <c r="HT574" s="770"/>
      <c r="HU574" s="770"/>
      <c r="HV574" s="770"/>
      <c r="HW574" s="770"/>
      <c r="HX574" s="770"/>
      <c r="HY574" s="770"/>
      <c r="HZ574" s="770"/>
      <c r="IA574" s="770"/>
      <c r="IB574" s="770"/>
      <c r="IC574" s="770"/>
      <c r="ID574" s="770">
        <v>1</v>
      </c>
      <c r="IE574" s="770">
        <v>1</v>
      </c>
      <c r="IF574" s="94"/>
      <c r="IG574" s="770"/>
      <c r="IH574" s="770"/>
      <c r="II574" s="770"/>
      <c r="IJ574" s="770"/>
      <c r="IK574" s="770"/>
      <c r="IL574" s="770"/>
      <c r="IM574" s="770"/>
      <c r="IN574" s="770"/>
      <c r="IO574" s="296"/>
      <c r="IP574" s="770"/>
      <c r="IQ574" s="770"/>
      <c r="IR574" s="770"/>
      <c r="IS574" s="770"/>
      <c r="IT574" s="770"/>
      <c r="IU574" s="770"/>
      <c r="IV574" s="770"/>
      <c r="IW574" s="770"/>
      <c r="IX574" s="770"/>
      <c r="IY574" s="770"/>
      <c r="IZ574" s="770"/>
      <c r="JA574" s="770"/>
      <c r="JB574" s="770"/>
      <c r="JC574" s="770"/>
      <c r="JD574" s="302"/>
      <c r="JE574" s="770"/>
      <c r="JF574" s="770"/>
      <c r="JG574" s="770"/>
      <c r="JH574" s="307"/>
      <c r="JI574" s="307"/>
      <c r="JJ574" s="770">
        <v>6</v>
      </c>
      <c r="JK574" s="766" t="s">
        <v>2840</v>
      </c>
      <c r="JL574" s="766">
        <v>1</v>
      </c>
      <c r="JM574" s="766"/>
      <c r="JN574" s="766">
        <v>2</v>
      </c>
      <c r="JO574" s="766">
        <v>3</v>
      </c>
      <c r="JP574" s="766"/>
      <c r="JQ574" s="766"/>
      <c r="JR574" s="766"/>
      <c r="JS574" s="766"/>
      <c r="JT574" s="766">
        <f t="shared" si="163"/>
        <v>3</v>
      </c>
      <c r="JU574" s="766">
        <f t="shared" si="163"/>
        <v>3</v>
      </c>
      <c r="JV574" s="766"/>
      <c r="JW574" s="766"/>
      <c r="JX574" s="766">
        <v>1</v>
      </c>
      <c r="JY574" s="766"/>
      <c r="JZ574" s="766"/>
      <c r="KA574" s="766"/>
      <c r="KB574" s="766"/>
      <c r="KC574" s="766"/>
      <c r="KD574" s="766">
        <v>1</v>
      </c>
      <c r="KE574" s="766">
        <v>3</v>
      </c>
      <c r="KF574" s="766">
        <v>1</v>
      </c>
      <c r="KG574" s="766"/>
      <c r="KH574" s="766"/>
      <c r="KI574" s="766"/>
      <c r="KJ574" s="770">
        <f t="shared" si="153"/>
        <v>3</v>
      </c>
      <c r="KK574" s="770">
        <f t="shared" si="153"/>
        <v>3</v>
      </c>
      <c r="KL574" s="770"/>
      <c r="KM574" s="770"/>
      <c r="KN574" s="766" t="s">
        <v>707</v>
      </c>
      <c r="KO574" s="766"/>
      <c r="KP574" s="766"/>
      <c r="KQ574" s="766"/>
      <c r="KR574" s="766"/>
      <c r="KS574" s="766"/>
      <c r="KT574" s="766"/>
      <c r="KU574" s="766">
        <v>1</v>
      </c>
      <c r="KV574" s="770"/>
      <c r="KW574" s="770">
        <v>1</v>
      </c>
      <c r="KX574" s="770"/>
      <c r="KY574" s="770"/>
      <c r="KZ574" s="770">
        <v>1</v>
      </c>
      <c r="LA574" s="770"/>
      <c r="LB574" s="770"/>
      <c r="LC574" s="770">
        <v>1</v>
      </c>
      <c r="LD574" s="770">
        <v>1</v>
      </c>
      <c r="LE574" s="770"/>
      <c r="LF574" s="770"/>
      <c r="LG574" s="770"/>
      <c r="LH574" s="770"/>
      <c r="LI574" s="770"/>
      <c r="LJ574" s="770">
        <v>1</v>
      </c>
      <c r="LK574" s="770"/>
      <c r="LL574" s="770"/>
      <c r="LM574" s="770"/>
      <c r="LN574" s="766">
        <f t="shared" si="159"/>
        <v>3</v>
      </c>
      <c r="LO574" s="766">
        <f t="shared" si="159"/>
        <v>3</v>
      </c>
      <c r="LP574" s="770">
        <v>2</v>
      </c>
      <c r="LQ574" s="770">
        <v>1</v>
      </c>
      <c r="LR574" s="770"/>
      <c r="LS574" s="770"/>
      <c r="LT574" s="770"/>
      <c r="LU574" s="770">
        <v>1</v>
      </c>
      <c r="LV574" s="770"/>
      <c r="LW574" s="770">
        <v>1</v>
      </c>
      <c r="LX574" s="769">
        <v>1</v>
      </c>
      <c r="LY574" s="766" t="str">
        <f t="shared" si="160"/>
        <v>within the BRGY</v>
      </c>
      <c r="LZ574" s="1709"/>
      <c r="MA574" s="1709"/>
      <c r="MB574" s="1709"/>
      <c r="MC574" s="1679">
        <f t="shared" si="158"/>
        <v>0</v>
      </c>
      <c r="MD574" s="1709">
        <v>2000</v>
      </c>
      <c r="ME574" s="1709"/>
      <c r="MF574" s="1709"/>
      <c r="MG574" s="1680">
        <f t="shared" si="149"/>
        <v>2000</v>
      </c>
      <c r="MH574" s="770" t="s">
        <v>1985</v>
      </c>
      <c r="MI574" s="302">
        <v>10000</v>
      </c>
      <c r="MJ574" s="302">
        <v>100</v>
      </c>
      <c r="MK574" s="302">
        <v>200</v>
      </c>
      <c r="ML574" s="302">
        <v>2500</v>
      </c>
      <c r="MM574" s="302"/>
      <c r="MN574" s="302"/>
      <c r="MO574" s="302">
        <v>200</v>
      </c>
      <c r="MP574" s="302">
        <v>2000</v>
      </c>
      <c r="MQ574" s="302">
        <v>300</v>
      </c>
      <c r="MR574" s="302">
        <v>800</v>
      </c>
      <c r="MS574" s="302"/>
      <c r="MT574" s="302"/>
      <c r="MU574" s="302"/>
      <c r="MV574" s="302"/>
      <c r="MW574" s="302"/>
      <c r="MX574" s="302"/>
      <c r="MY574" s="1682">
        <f t="shared" si="147"/>
        <v>16100</v>
      </c>
      <c r="MZ574" s="770" t="s">
        <v>13370</v>
      </c>
      <c r="NA574" s="770"/>
      <c r="NB574" s="770"/>
      <c r="NC574" s="770"/>
      <c r="ND574" s="770">
        <v>0</v>
      </c>
      <c r="NE574" s="770">
        <v>1</v>
      </c>
      <c r="NF574" s="770">
        <v>0</v>
      </c>
      <c r="NG574" s="770">
        <v>2</v>
      </c>
      <c r="NH574" s="770">
        <v>2</v>
      </c>
      <c r="NI574" s="770">
        <v>0</v>
      </c>
      <c r="NJ574" s="770">
        <v>1</v>
      </c>
      <c r="NK574" s="770">
        <v>0</v>
      </c>
      <c r="NL574" s="770">
        <v>1</v>
      </c>
      <c r="NM574" s="770">
        <v>1</v>
      </c>
      <c r="NN574" s="770">
        <v>0</v>
      </c>
      <c r="NO574" s="770">
        <v>0</v>
      </c>
      <c r="NP574" s="770">
        <v>0</v>
      </c>
      <c r="NQ574" s="770">
        <v>0</v>
      </c>
      <c r="NR574" s="770">
        <v>0</v>
      </c>
      <c r="NS574" s="770">
        <v>0</v>
      </c>
      <c r="NT574" s="770">
        <v>0</v>
      </c>
      <c r="NU574" s="770">
        <v>0</v>
      </c>
      <c r="NV574" s="770">
        <v>0</v>
      </c>
      <c r="NW574" s="770">
        <v>0</v>
      </c>
      <c r="NX574" s="770">
        <v>0</v>
      </c>
      <c r="NY574" s="770"/>
      <c r="NZ574" s="770"/>
      <c r="OA574" s="770"/>
      <c r="OB574" s="770"/>
      <c r="OC574" s="770"/>
      <c r="OD574" s="770"/>
      <c r="OE574" s="770"/>
      <c r="OF574" s="770"/>
      <c r="OG574" s="770"/>
      <c r="OH574" s="770"/>
      <c r="OI574" s="770"/>
      <c r="OJ574" s="770"/>
      <c r="OK574" s="770"/>
      <c r="OL574" s="770"/>
      <c r="OM574" s="770"/>
      <c r="ON574" s="770"/>
      <c r="OO574" s="770"/>
      <c r="OP574" s="770"/>
      <c r="OQ574" s="770"/>
      <c r="OR574" s="770"/>
      <c r="OS574" s="770"/>
      <c r="OT574" s="770"/>
      <c r="OU574" s="770"/>
      <c r="OV574" s="770"/>
      <c r="OW574" s="770"/>
      <c r="OX574" s="770"/>
      <c r="OY574" s="770"/>
      <c r="OZ574" s="770"/>
      <c r="PA574" s="770"/>
      <c r="PB574" s="770"/>
      <c r="PC574" s="770"/>
      <c r="PD574" s="770"/>
      <c r="PE574" s="770"/>
      <c r="PF574" s="770"/>
      <c r="PG574" s="770"/>
      <c r="PH574" s="770"/>
      <c r="PI574" s="770"/>
      <c r="PJ574" s="770"/>
      <c r="PK574" s="770"/>
      <c r="PL574" s="770"/>
      <c r="PM574" s="770"/>
      <c r="PN574" s="770"/>
      <c r="PO574" s="770"/>
      <c r="PP574" s="770"/>
      <c r="PQ574" s="770"/>
      <c r="PR574" s="770"/>
      <c r="PS574" s="770"/>
      <c r="PT574" s="770"/>
      <c r="PU574" s="770"/>
      <c r="PV574" s="770"/>
      <c r="PW574" s="770"/>
      <c r="PX574" s="770"/>
      <c r="PY574" s="770"/>
      <c r="PZ574" s="770"/>
      <c r="QA574" s="770"/>
      <c r="QB574" s="770"/>
      <c r="QC574" s="770"/>
      <c r="QD574" s="770"/>
      <c r="QE574" s="770"/>
      <c r="QF574" s="770"/>
      <c r="QG574" s="770"/>
      <c r="QH574" s="770"/>
      <c r="QI574" s="770"/>
      <c r="QJ574" s="770"/>
      <c r="QK574" s="770"/>
      <c r="QL574" s="770"/>
      <c r="QM574" s="770"/>
      <c r="QN574" s="770"/>
      <c r="QO574" s="770"/>
      <c r="QP574" s="770"/>
      <c r="QQ574" s="770"/>
      <c r="QR574" s="770"/>
      <c r="QS574" s="770"/>
      <c r="QT574" s="770"/>
      <c r="QU574" s="770"/>
      <c r="QV574" s="770"/>
      <c r="QW574" s="770"/>
      <c r="QX574" s="770"/>
      <c r="QY574" s="770"/>
      <c r="QZ574" s="770"/>
      <c r="RA574" s="770"/>
      <c r="RB574" s="770" t="s">
        <v>1214</v>
      </c>
      <c r="RC574" s="770"/>
      <c r="RD574" s="770"/>
      <c r="RE574" s="770"/>
      <c r="RF574" s="304"/>
      <c r="RG574" s="770"/>
      <c r="RH574" s="302"/>
      <c r="RI574" s="770"/>
      <c r="RJ574" s="770" t="s">
        <v>2840</v>
      </c>
      <c r="RK574" s="770" t="s">
        <v>13401</v>
      </c>
      <c r="RL574" s="1710"/>
      <c r="RM574" s="12"/>
      <c r="RN574" s="1711"/>
      <c r="RO574" s="132" t="s">
        <v>2834</v>
      </c>
      <c r="RP574" s="11"/>
      <c r="RQ574" s="11"/>
      <c r="RR574" s="17"/>
      <c r="RS574" s="771"/>
      <c r="RT574" s="11"/>
      <c r="RU574" s="11"/>
      <c r="RV574" s="771" t="s">
        <v>7419</v>
      </c>
      <c r="RW574" s="11" t="s">
        <v>7816</v>
      </c>
      <c r="RX574" s="11" t="s">
        <v>3906</v>
      </c>
      <c r="RY574" s="11"/>
      <c r="RZ574" s="11" t="s">
        <v>1101</v>
      </c>
      <c r="SA574" s="771"/>
      <c r="SB574" s="11"/>
      <c r="SC574" s="11"/>
    </row>
    <row r="575" spans="1:497" ht="12.75" hidden="1" customHeight="1">
      <c r="A575" s="343" t="s">
        <v>14223</v>
      </c>
      <c r="B575" s="752" t="s">
        <v>7818</v>
      </c>
      <c r="C575" s="132" t="s">
        <v>2834</v>
      </c>
      <c r="D575" s="94" t="s">
        <v>2835</v>
      </c>
      <c r="E575" s="766" t="s">
        <v>2836</v>
      </c>
      <c r="F575" s="770" t="s">
        <v>28</v>
      </c>
      <c r="G575" s="770" t="s">
        <v>10</v>
      </c>
      <c r="H575" s="770"/>
      <c r="I575" s="295" t="s">
        <v>2837</v>
      </c>
      <c r="J575" s="94" t="s">
        <v>2835</v>
      </c>
      <c r="K575" s="766" t="s">
        <v>3932</v>
      </c>
      <c r="L575" s="766" t="s">
        <v>3933</v>
      </c>
      <c r="M575" s="770" t="s">
        <v>1238</v>
      </c>
      <c r="N575" s="770"/>
      <c r="O575" s="770" t="s">
        <v>3897</v>
      </c>
      <c r="P575" s="770" t="s">
        <v>2838</v>
      </c>
      <c r="Q575" s="1088">
        <v>30358</v>
      </c>
      <c r="R575" s="297">
        <v>34</v>
      </c>
      <c r="S575" s="770" t="s">
        <v>10</v>
      </c>
      <c r="T575" s="770"/>
      <c r="U575" s="295" t="s">
        <v>2837</v>
      </c>
      <c r="V575" s="770" t="s">
        <v>707</v>
      </c>
      <c r="W575" s="770"/>
      <c r="X575" s="770"/>
      <c r="Y575" s="770" t="s">
        <v>2836</v>
      </c>
      <c r="Z575" s="770" t="s">
        <v>708</v>
      </c>
      <c r="AA575" s="770" t="s">
        <v>709</v>
      </c>
      <c r="AB575" s="295" t="s">
        <v>710</v>
      </c>
      <c r="AC575" s="770"/>
      <c r="AD575" s="770" t="s">
        <v>711</v>
      </c>
      <c r="AE575" s="770"/>
      <c r="AF575" s="770" t="s">
        <v>712</v>
      </c>
      <c r="AG575" s="770"/>
      <c r="AH575" s="770"/>
      <c r="AI575" s="770"/>
      <c r="AJ575" s="770"/>
      <c r="AK575" s="770" t="s">
        <v>5454</v>
      </c>
      <c r="AL575" s="531"/>
      <c r="AM575" s="780"/>
      <c r="AN575" s="532"/>
      <c r="AO575" s="766"/>
      <c r="AP575" s="766"/>
      <c r="AQ575" s="766"/>
      <c r="AR575" s="766"/>
      <c r="AS575" s="770"/>
      <c r="AT575" s="770"/>
      <c r="AU575" s="770"/>
      <c r="AV575" s="770"/>
      <c r="AW575" s="770"/>
      <c r="AX575" s="770"/>
      <c r="AY575" s="770"/>
      <c r="AZ575" s="770"/>
      <c r="BA575" s="770"/>
      <c r="BB575" s="770"/>
      <c r="BC575" s="770"/>
      <c r="BD575" s="770"/>
      <c r="BE575" s="770"/>
      <c r="BF575" s="302"/>
      <c r="BG575" s="302"/>
      <c r="BH575" s="770"/>
      <c r="BI575" s="770"/>
      <c r="BJ575" s="770"/>
      <c r="BK575" s="770"/>
      <c r="BL575" s="770"/>
      <c r="BM575" s="770" t="s">
        <v>1238</v>
      </c>
      <c r="BN575" s="770" t="s">
        <v>3230</v>
      </c>
      <c r="BO575" s="770"/>
      <c r="BP575" s="765"/>
      <c r="BQ575" s="773"/>
      <c r="BR575" s="774"/>
      <c r="BS575" s="766" t="s">
        <v>1242</v>
      </c>
      <c r="BT575" s="766"/>
      <c r="BU575" s="770"/>
      <c r="BV575" s="770"/>
      <c r="BW575" s="770"/>
      <c r="BX575" s="302"/>
      <c r="BY575" s="770"/>
      <c r="BZ575" s="302"/>
      <c r="CA575" s="770"/>
      <c r="CB575" s="770"/>
      <c r="CC575" s="770"/>
      <c r="CD575" s="770"/>
      <c r="CE575" s="770"/>
      <c r="CF575" s="1753"/>
      <c r="CG575" s="1754"/>
      <c r="CH575" s="770"/>
      <c r="CI575" s="770"/>
      <c r="CJ575" s="770"/>
      <c r="CK575" s="770"/>
      <c r="CL575" s="770"/>
      <c r="CM575" s="770"/>
      <c r="CN575" s="770"/>
      <c r="CO575" s="770"/>
      <c r="CP575" s="770"/>
      <c r="CQ575" s="770"/>
      <c r="CR575" s="302"/>
      <c r="CS575" s="770"/>
      <c r="CT575" s="770"/>
      <c r="CU575" s="305"/>
      <c r="CV575" s="770"/>
      <c r="CW575" s="770"/>
      <c r="CX575" s="770"/>
      <c r="CY575" s="770"/>
      <c r="CZ575" s="770"/>
      <c r="DA575" s="306"/>
      <c r="DB575" s="770"/>
      <c r="DC575" s="770"/>
      <c r="DD575" s="770"/>
      <c r="DE575" s="300"/>
      <c r="DF575" s="770"/>
      <c r="DG575" s="770"/>
      <c r="DH575" s="770"/>
      <c r="DI575" s="770"/>
      <c r="DJ575" s="770"/>
      <c r="DK575" s="770"/>
      <c r="DL575" s="770"/>
      <c r="DM575" s="770"/>
      <c r="DN575" s="322"/>
      <c r="DO575" s="770"/>
      <c r="DP575" s="770"/>
      <c r="DQ575" s="770"/>
      <c r="DR575" s="770"/>
      <c r="DS575" s="307"/>
      <c r="DT575" s="770"/>
      <c r="DU575" s="770"/>
      <c r="DV575" s="770"/>
      <c r="DW575" s="306"/>
      <c r="DX575" s="306"/>
      <c r="DY575" s="770"/>
      <c r="DZ575" s="770"/>
      <c r="EA575" s="770"/>
      <c r="EB575" s="770"/>
      <c r="EC575" s="770"/>
      <c r="ED575" s="770"/>
      <c r="EE575" s="770"/>
      <c r="EF575" s="770"/>
      <c r="EG575" s="770"/>
      <c r="EH575" s="770"/>
      <c r="EI575" s="770"/>
      <c r="EJ575" s="770"/>
      <c r="EK575" s="770"/>
      <c r="EL575" s="770"/>
      <c r="EM575" s="770"/>
      <c r="EN575" s="770"/>
      <c r="EO575" s="770"/>
      <c r="EP575" s="94"/>
      <c r="EQ575" s="770"/>
      <c r="ER575" s="770"/>
      <c r="ES575" s="770"/>
      <c r="ET575" s="770"/>
      <c r="EU575" s="770"/>
      <c r="EV575" s="770"/>
      <c r="EW575" s="770"/>
      <c r="EX575" s="770"/>
      <c r="EY575" s="770"/>
      <c r="EZ575" s="770"/>
      <c r="FA575" s="770"/>
      <c r="FB575" s="770"/>
      <c r="FC575" s="770"/>
      <c r="FD575" s="302"/>
      <c r="FE575" s="770"/>
      <c r="FF575" s="770"/>
      <c r="FG575" s="770"/>
      <c r="FH575" s="770" t="s">
        <v>1299</v>
      </c>
      <c r="FI575" s="770">
        <v>1</v>
      </c>
      <c r="FJ575" s="770" t="s">
        <v>2840</v>
      </c>
      <c r="FK575" s="770" t="s">
        <v>2836</v>
      </c>
      <c r="FL575" s="770"/>
      <c r="FM575" s="302"/>
      <c r="FN575" s="302">
        <v>1000</v>
      </c>
      <c r="FO575" s="302">
        <v>700</v>
      </c>
      <c r="FP575" s="770"/>
      <c r="FQ575" s="770"/>
      <c r="FR575" s="770"/>
      <c r="FS575" s="770"/>
      <c r="FT575" s="770"/>
      <c r="FU575" s="770"/>
      <c r="FV575" s="770"/>
      <c r="FW575" s="770"/>
      <c r="FX575" s="770"/>
      <c r="FY575" s="770"/>
      <c r="FZ575" s="770"/>
      <c r="GA575" s="770"/>
      <c r="GB575" s="770"/>
      <c r="GC575" s="308"/>
      <c r="GD575" s="297"/>
      <c r="GE575" s="770"/>
      <c r="GF575" s="302"/>
      <c r="GG575" s="302"/>
      <c r="GH575" s="770"/>
      <c r="GI575" s="770"/>
      <c r="GJ575" s="770"/>
      <c r="GK575" s="770"/>
      <c r="GL575" s="770"/>
      <c r="GM575" s="770"/>
      <c r="GN575" s="299"/>
      <c r="GO575" s="770"/>
      <c r="GP575" s="770"/>
      <c r="GQ575" s="770"/>
      <c r="GR575" s="770"/>
      <c r="GS575" s="770"/>
      <c r="GT575" s="770"/>
      <c r="GU575" s="770"/>
      <c r="GV575" s="770"/>
      <c r="GW575" s="770"/>
      <c r="GX575" s="770"/>
      <c r="GY575" s="770"/>
      <c r="GZ575" s="770"/>
      <c r="HA575" s="770"/>
      <c r="HB575" s="770"/>
      <c r="HC575" s="770"/>
      <c r="HD575" s="770"/>
      <c r="HE575" s="770"/>
      <c r="HF575" s="770"/>
      <c r="HG575" s="770"/>
      <c r="HH575" s="770"/>
      <c r="HI575" s="770"/>
      <c r="HJ575" s="770"/>
      <c r="HK575" s="770"/>
      <c r="HL575" s="770"/>
      <c r="HM575" s="770"/>
      <c r="HN575" s="770"/>
      <c r="HO575" s="770"/>
      <c r="HP575" s="770"/>
      <c r="HQ575" s="770"/>
      <c r="HR575" s="770"/>
      <c r="HS575" s="770"/>
      <c r="HT575" s="770"/>
      <c r="HU575" s="770"/>
      <c r="HV575" s="770"/>
      <c r="HW575" s="770"/>
      <c r="HX575" s="770"/>
      <c r="HY575" s="770"/>
      <c r="HZ575" s="770"/>
      <c r="IA575" s="770"/>
      <c r="IB575" s="770"/>
      <c r="IC575" s="770" t="s">
        <v>1207</v>
      </c>
      <c r="ID575" s="770"/>
      <c r="IE575" s="770"/>
      <c r="IF575" s="770"/>
      <c r="IG575" s="770"/>
      <c r="IH575" s="770"/>
      <c r="II575" s="770"/>
      <c r="IJ575" s="770"/>
      <c r="IK575" s="770"/>
      <c r="IL575" s="770"/>
      <c r="IM575" s="770"/>
      <c r="IN575" s="770"/>
      <c r="IO575" s="296"/>
      <c r="IP575" s="770"/>
      <c r="IQ575" s="770"/>
      <c r="IR575" s="770"/>
      <c r="IS575" s="770"/>
      <c r="IT575" s="770"/>
      <c r="IU575" s="770"/>
      <c r="IV575" s="770"/>
      <c r="IW575" s="770"/>
      <c r="IX575" s="770"/>
      <c r="IY575" s="770"/>
      <c r="IZ575" s="770"/>
      <c r="JA575" s="770"/>
      <c r="JB575" s="770"/>
      <c r="JC575" s="770"/>
      <c r="JD575" s="302"/>
      <c r="JE575" s="770"/>
      <c r="JF575" s="770"/>
      <c r="JG575" s="770"/>
      <c r="JH575" s="307"/>
      <c r="JI575" s="307"/>
      <c r="JJ575" s="770">
        <v>5</v>
      </c>
      <c r="JK575" s="766" t="s">
        <v>2983</v>
      </c>
      <c r="JL575" s="766">
        <v>2</v>
      </c>
      <c r="JM575" s="766">
        <v>1</v>
      </c>
      <c r="JN575" s="766">
        <v>1</v>
      </c>
      <c r="JO575" s="766">
        <v>1</v>
      </c>
      <c r="JP575" s="766"/>
      <c r="JQ575" s="766"/>
      <c r="JR575" s="766"/>
      <c r="JS575" s="766"/>
      <c r="JT575" s="766">
        <f t="shared" si="163"/>
        <v>3</v>
      </c>
      <c r="JU575" s="766">
        <f t="shared" si="163"/>
        <v>2</v>
      </c>
      <c r="JV575" s="766"/>
      <c r="JW575" s="766"/>
      <c r="JX575" s="766">
        <v>1</v>
      </c>
      <c r="JY575" s="766">
        <v>1</v>
      </c>
      <c r="JZ575" s="766">
        <v>1</v>
      </c>
      <c r="KA575" s="766"/>
      <c r="KB575" s="766"/>
      <c r="KC575" s="766">
        <v>1</v>
      </c>
      <c r="KD575" s="766">
        <v>1</v>
      </c>
      <c r="KE575" s="766"/>
      <c r="KF575" s="766"/>
      <c r="KG575" s="766"/>
      <c r="KH575" s="766"/>
      <c r="KI575" s="766"/>
      <c r="KJ575" s="770">
        <f t="shared" si="153"/>
        <v>3</v>
      </c>
      <c r="KK575" s="770">
        <f t="shared" si="153"/>
        <v>2</v>
      </c>
      <c r="KL575" s="770"/>
      <c r="KM575" s="770"/>
      <c r="KN575" s="766" t="s">
        <v>707</v>
      </c>
      <c r="KO575" s="766"/>
      <c r="KP575" s="766"/>
      <c r="KQ575" s="766"/>
      <c r="KR575" s="766"/>
      <c r="KS575" s="766"/>
      <c r="KT575" s="766">
        <v>1</v>
      </c>
      <c r="KU575" s="766"/>
      <c r="KV575" s="770"/>
      <c r="KW575" s="770"/>
      <c r="KX575" s="770"/>
      <c r="KY575" s="770">
        <v>1</v>
      </c>
      <c r="KZ575" s="770">
        <v>1</v>
      </c>
      <c r="LA575" s="770"/>
      <c r="LB575" s="770"/>
      <c r="LC575" s="770"/>
      <c r="LD575" s="770"/>
      <c r="LE575" s="770"/>
      <c r="LF575" s="770"/>
      <c r="LG575" s="770"/>
      <c r="LH575" s="770"/>
      <c r="LI575" s="770"/>
      <c r="LJ575" s="770">
        <v>1</v>
      </c>
      <c r="LK575" s="770">
        <v>1</v>
      </c>
      <c r="LL575" s="770"/>
      <c r="LM575" s="770"/>
      <c r="LN575" s="766">
        <f t="shared" si="159"/>
        <v>3</v>
      </c>
      <c r="LO575" s="766">
        <f t="shared" si="159"/>
        <v>2</v>
      </c>
      <c r="LP575" s="770">
        <v>1</v>
      </c>
      <c r="LQ575" s="770"/>
      <c r="LR575" s="770"/>
      <c r="LS575" s="770">
        <v>1</v>
      </c>
      <c r="LT575" s="770"/>
      <c r="LU575" s="770"/>
      <c r="LV575" s="770"/>
      <c r="LW575" s="770"/>
      <c r="LX575" s="769">
        <v>1</v>
      </c>
      <c r="LY575" s="766" t="str">
        <f t="shared" si="160"/>
        <v>within the BRGY</v>
      </c>
      <c r="LZ575" s="1709"/>
      <c r="MA575" s="1709"/>
      <c r="MB575" s="1709"/>
      <c r="MC575" s="1679">
        <f t="shared" si="158"/>
        <v>0</v>
      </c>
      <c r="MD575" s="1709">
        <f>350*26</f>
        <v>9100</v>
      </c>
      <c r="ME575" s="1709"/>
      <c r="MF575" s="1709"/>
      <c r="MG575" s="1680">
        <f t="shared" si="149"/>
        <v>9100</v>
      </c>
      <c r="MH575" s="770" t="s">
        <v>2984</v>
      </c>
      <c r="MI575" s="302">
        <f>200*30</f>
        <v>6000</v>
      </c>
      <c r="MJ575" s="302">
        <f>50*30</f>
        <v>1500</v>
      </c>
      <c r="MK575" s="302">
        <v>200</v>
      </c>
      <c r="ML575" s="302">
        <f>400*4</f>
        <v>1600</v>
      </c>
      <c r="MM575" s="302">
        <f>50*30</f>
        <v>1500</v>
      </c>
      <c r="MN575" s="302"/>
      <c r="MO575" s="302">
        <f>30*30</f>
        <v>900</v>
      </c>
      <c r="MP575" s="302">
        <v>700</v>
      </c>
      <c r="MQ575" s="302">
        <f>170*4</f>
        <v>680</v>
      </c>
      <c r="MR575" s="302">
        <v>1000</v>
      </c>
      <c r="MS575" s="302">
        <f>350*5</f>
        <v>1750</v>
      </c>
      <c r="MT575" s="302"/>
      <c r="MU575" s="302"/>
      <c r="MV575" s="302"/>
      <c r="MW575" s="302"/>
      <c r="MX575" s="302"/>
      <c r="MY575" s="1682">
        <f t="shared" si="147"/>
        <v>15830</v>
      </c>
      <c r="MZ575" s="770" t="s">
        <v>13370</v>
      </c>
      <c r="NA575" s="770" t="s">
        <v>13005</v>
      </c>
      <c r="NB575" s="770" t="s">
        <v>13016</v>
      </c>
      <c r="NC575" s="770" t="s">
        <v>13602</v>
      </c>
      <c r="ND575" s="770">
        <v>0</v>
      </c>
      <c r="NE575" s="770">
        <v>0</v>
      </c>
      <c r="NF575" s="770">
        <v>0</v>
      </c>
      <c r="NG575" s="770">
        <v>2</v>
      </c>
      <c r="NH575" s="770">
        <v>1</v>
      </c>
      <c r="NI575" s="770">
        <v>0</v>
      </c>
      <c r="NJ575" s="770">
        <v>0</v>
      </c>
      <c r="NK575" s="770">
        <v>0</v>
      </c>
      <c r="NL575" s="770">
        <v>0</v>
      </c>
      <c r="NM575" s="770">
        <v>0</v>
      </c>
      <c r="NN575" s="770">
        <v>0</v>
      </c>
      <c r="NO575" s="770">
        <v>0</v>
      </c>
      <c r="NP575" s="770">
        <v>0</v>
      </c>
      <c r="NQ575" s="770">
        <v>0</v>
      </c>
      <c r="NR575" s="770">
        <v>0</v>
      </c>
      <c r="NS575" s="770">
        <v>0</v>
      </c>
      <c r="NT575" s="770">
        <v>0</v>
      </c>
      <c r="NU575" s="770">
        <v>0</v>
      </c>
      <c r="NV575" s="770">
        <v>0</v>
      </c>
      <c r="NW575" s="770">
        <v>0</v>
      </c>
      <c r="NX575" s="770">
        <v>0</v>
      </c>
      <c r="NY575" s="770" t="s">
        <v>1208</v>
      </c>
      <c r="NZ575" s="770" t="s">
        <v>1208</v>
      </c>
      <c r="OA575" s="770" t="s">
        <v>1208</v>
      </c>
      <c r="OB575" s="770" t="s">
        <v>1208</v>
      </c>
      <c r="OC575" s="770" t="s">
        <v>1208</v>
      </c>
      <c r="OD575" s="770"/>
      <c r="OE575" s="770"/>
      <c r="OF575" s="770"/>
      <c r="OG575" s="770"/>
      <c r="OH575" s="770"/>
      <c r="OI575" s="770"/>
      <c r="OJ575" s="770"/>
      <c r="OK575" s="770"/>
      <c r="OL575" s="770"/>
      <c r="OM575" s="770"/>
      <c r="ON575" s="770"/>
      <c r="OO575" s="770" t="s">
        <v>1214</v>
      </c>
      <c r="OP575" s="770"/>
      <c r="OQ575" s="770"/>
      <c r="OR575" s="770"/>
      <c r="OS575" s="770"/>
      <c r="OT575" s="770"/>
      <c r="OU575" s="770"/>
      <c r="OV575" s="770"/>
      <c r="OW575" s="770"/>
      <c r="OX575" s="770"/>
      <c r="OY575" s="770"/>
      <c r="OZ575" s="770"/>
      <c r="PA575" s="770"/>
      <c r="PB575" s="770"/>
      <c r="PC575" s="770"/>
      <c r="PD575" s="770"/>
      <c r="PE575" s="770"/>
      <c r="PF575" s="770"/>
      <c r="PG575" s="770"/>
      <c r="PH575" s="770"/>
      <c r="PI575" s="770"/>
      <c r="PJ575" s="770"/>
      <c r="PK575" s="770"/>
      <c r="PL575" s="770"/>
      <c r="PM575" s="770"/>
      <c r="PN575" s="770"/>
      <c r="PO575" s="770"/>
      <c r="PP575" s="770"/>
      <c r="PQ575" s="770"/>
      <c r="PR575" s="770" t="s">
        <v>1208</v>
      </c>
      <c r="PS575" s="770"/>
      <c r="PT575" s="770"/>
      <c r="PU575" s="770"/>
      <c r="PV575" s="770"/>
      <c r="PW575" s="770"/>
      <c r="PX575" s="770"/>
      <c r="PY575" s="770"/>
      <c r="PZ575" s="770"/>
      <c r="QA575" s="770"/>
      <c r="QB575" s="770"/>
      <c r="QC575" s="770"/>
      <c r="QD575" s="770"/>
      <c r="QE575" s="770"/>
      <c r="QF575" s="770"/>
      <c r="QG575" s="770"/>
      <c r="QH575" s="770"/>
      <c r="QI575" s="770"/>
      <c r="QJ575" s="770"/>
      <c r="QK575" s="770"/>
      <c r="QL575" s="770"/>
      <c r="QM575" s="770"/>
      <c r="QN575" s="770"/>
      <c r="QO575" s="770"/>
      <c r="QP575" s="770"/>
      <c r="QQ575" s="770"/>
      <c r="QR575" s="770"/>
      <c r="QS575" s="770"/>
      <c r="QT575" s="770"/>
      <c r="QU575" s="770"/>
      <c r="QV575" s="770"/>
      <c r="QW575" s="770"/>
      <c r="QX575" s="770"/>
      <c r="QY575" s="770"/>
      <c r="QZ575" s="770"/>
      <c r="RA575" s="770"/>
      <c r="RB575" s="770" t="s">
        <v>1214</v>
      </c>
      <c r="RC575" s="770"/>
      <c r="RD575" s="770"/>
      <c r="RE575" s="770"/>
      <c r="RF575" s="304"/>
      <c r="RG575" s="770"/>
      <c r="RH575" s="302"/>
      <c r="RI575" s="770"/>
      <c r="RJ575" s="770" t="s">
        <v>2841</v>
      </c>
      <c r="RK575" s="770" t="s">
        <v>13544</v>
      </c>
      <c r="RL575" s="1710"/>
      <c r="RM575" s="12"/>
      <c r="RN575" s="1711"/>
      <c r="RO575" s="132" t="s">
        <v>2834</v>
      </c>
      <c r="RP575" s="11"/>
      <c r="RQ575" s="11"/>
      <c r="RR575" s="17"/>
      <c r="RS575" s="771"/>
      <c r="RT575" s="11"/>
      <c r="RU575" s="11"/>
      <c r="RV575" s="771" t="s">
        <v>7421</v>
      </c>
      <c r="RW575" s="11" t="s">
        <v>7817</v>
      </c>
      <c r="RX575" s="11" t="s">
        <v>3917</v>
      </c>
      <c r="RY575" s="11"/>
      <c r="RZ575" s="11"/>
      <c r="SA575" s="771"/>
      <c r="SB575" s="11"/>
      <c r="SC575" s="11"/>
    </row>
    <row r="576" spans="1:497" ht="12.75" hidden="1" customHeight="1">
      <c r="A576" s="343" t="s">
        <v>14223</v>
      </c>
      <c r="B576" s="752" t="s">
        <v>7818</v>
      </c>
      <c r="C576" s="132" t="s">
        <v>2834</v>
      </c>
      <c r="D576" s="94" t="s">
        <v>2842</v>
      </c>
      <c r="E576" s="766" t="s">
        <v>2836</v>
      </c>
      <c r="F576" s="770" t="s">
        <v>20</v>
      </c>
      <c r="G576" s="770" t="s">
        <v>18</v>
      </c>
      <c r="H576" s="770"/>
      <c r="I576" s="295" t="s">
        <v>2843</v>
      </c>
      <c r="J576" s="94" t="s">
        <v>2844</v>
      </c>
      <c r="K576" s="766" t="s">
        <v>3932</v>
      </c>
      <c r="L576" s="766" t="s">
        <v>3933</v>
      </c>
      <c r="M576" s="770" t="s">
        <v>1238</v>
      </c>
      <c r="N576" s="770"/>
      <c r="O576" s="770" t="s">
        <v>3897</v>
      </c>
      <c r="P576" s="770" t="s">
        <v>2844</v>
      </c>
      <c r="Q576" s="1088">
        <v>31269</v>
      </c>
      <c r="R576" s="297">
        <v>31</v>
      </c>
      <c r="S576" s="770" t="s">
        <v>768</v>
      </c>
      <c r="T576" s="770"/>
      <c r="U576" s="295" t="s">
        <v>2843</v>
      </c>
      <c r="V576" s="770" t="s">
        <v>768</v>
      </c>
      <c r="W576" s="770"/>
      <c r="X576" s="770"/>
      <c r="Y576" s="770" t="s">
        <v>2836</v>
      </c>
      <c r="Z576" s="770" t="s">
        <v>708</v>
      </c>
      <c r="AA576" s="770" t="s">
        <v>709</v>
      </c>
      <c r="AB576" s="770" t="s">
        <v>744</v>
      </c>
      <c r="AC576" s="770"/>
      <c r="AD576" s="770" t="s">
        <v>711</v>
      </c>
      <c r="AE576" s="770"/>
      <c r="AF576" s="770" t="s">
        <v>712</v>
      </c>
      <c r="AG576" s="770"/>
      <c r="AH576" s="770"/>
      <c r="AI576" s="770"/>
      <c r="AJ576" s="770"/>
      <c r="AK576" s="770" t="s">
        <v>5454</v>
      </c>
      <c r="AL576" s="531"/>
      <c r="AM576" s="780"/>
      <c r="AN576" s="532"/>
      <c r="AO576" s="766"/>
      <c r="AP576" s="766"/>
      <c r="AQ576" s="766"/>
      <c r="AR576" s="766"/>
      <c r="AS576" s="770"/>
      <c r="AT576" s="770"/>
      <c r="AU576" s="770"/>
      <c r="AV576" s="770"/>
      <c r="AW576" s="770"/>
      <c r="AX576" s="770"/>
      <c r="AY576" s="770"/>
      <c r="AZ576" s="770"/>
      <c r="BA576" s="770"/>
      <c r="BB576" s="770"/>
      <c r="BC576" s="770"/>
      <c r="BD576" s="770"/>
      <c r="BE576" s="770"/>
      <c r="BF576" s="302"/>
      <c r="BG576" s="302"/>
      <c r="BH576" s="770"/>
      <c r="BI576" s="770"/>
      <c r="BJ576" s="770"/>
      <c r="BK576" s="770"/>
      <c r="BL576" s="770"/>
      <c r="BM576" s="770" t="s">
        <v>1238</v>
      </c>
      <c r="BN576" s="770" t="s">
        <v>3230</v>
      </c>
      <c r="BO576" s="770"/>
      <c r="BP576" s="765"/>
      <c r="BQ576" s="773"/>
      <c r="BR576" s="774"/>
      <c r="BS576" s="766" t="s">
        <v>1242</v>
      </c>
      <c r="BT576" s="770"/>
      <c r="BU576" s="770"/>
      <c r="BV576" s="770"/>
      <c r="BW576" s="770"/>
      <c r="BX576" s="302"/>
      <c r="BY576" s="770" t="s">
        <v>1207</v>
      </c>
      <c r="BZ576" s="302" t="s">
        <v>2769</v>
      </c>
      <c r="CA576" s="770"/>
      <c r="CB576" s="770"/>
      <c r="CC576" s="770"/>
      <c r="CD576" s="770"/>
      <c r="CE576" s="770"/>
      <c r="CF576" s="1753"/>
      <c r="CG576" s="1754"/>
      <c r="CH576" s="770"/>
      <c r="CI576" s="770"/>
      <c r="CJ576" s="770"/>
      <c r="CK576" s="770"/>
      <c r="CL576" s="770"/>
      <c r="CM576" s="770"/>
      <c r="CN576" s="770"/>
      <c r="CO576" s="770"/>
      <c r="CP576" s="770"/>
      <c r="CQ576" s="770"/>
      <c r="CR576" s="302"/>
      <c r="CS576" s="770"/>
      <c r="CT576" s="770"/>
      <c r="CU576" s="305"/>
      <c r="CV576" s="770"/>
      <c r="CW576" s="770"/>
      <c r="CX576" s="770"/>
      <c r="CY576" s="770"/>
      <c r="CZ576" s="770"/>
      <c r="DA576" s="306"/>
      <c r="DB576" s="770"/>
      <c r="DC576" s="770"/>
      <c r="DD576" s="770"/>
      <c r="DE576" s="300"/>
      <c r="DF576" s="770"/>
      <c r="DG576" s="770"/>
      <c r="DH576" s="770"/>
      <c r="DI576" s="770"/>
      <c r="DJ576" s="770"/>
      <c r="DK576" s="770"/>
      <c r="DL576" s="770"/>
      <c r="DM576" s="770"/>
      <c r="DN576" s="322"/>
      <c r="DO576" s="770"/>
      <c r="DP576" s="770"/>
      <c r="DQ576" s="770"/>
      <c r="DR576" s="770"/>
      <c r="DS576" s="307"/>
      <c r="DT576" s="770"/>
      <c r="DU576" s="770"/>
      <c r="DV576" s="770"/>
      <c r="DW576" s="306"/>
      <c r="DX576" s="306"/>
      <c r="DY576" s="770"/>
      <c r="DZ576" s="770"/>
      <c r="EA576" s="770"/>
      <c r="EB576" s="770"/>
      <c r="EC576" s="770"/>
      <c r="ED576" s="770"/>
      <c r="EE576" s="770"/>
      <c r="EF576" s="770"/>
      <c r="EG576" s="770"/>
      <c r="EH576" s="770"/>
      <c r="EI576" s="770"/>
      <c r="EJ576" s="770"/>
      <c r="EK576" s="770"/>
      <c r="EL576" s="770"/>
      <c r="EM576" s="770"/>
      <c r="EN576" s="770"/>
      <c r="EO576" s="770"/>
      <c r="EP576" s="94"/>
      <c r="EQ576" s="770"/>
      <c r="ER576" s="770"/>
      <c r="ES576" s="770"/>
      <c r="ET576" s="770"/>
      <c r="EU576" s="770"/>
      <c r="EV576" s="770"/>
      <c r="EW576" s="770"/>
      <c r="EX576" s="770"/>
      <c r="EY576" s="770"/>
      <c r="EZ576" s="770"/>
      <c r="FA576" s="770"/>
      <c r="FB576" s="770"/>
      <c r="FC576" s="770"/>
      <c r="FD576" s="302"/>
      <c r="FE576" s="770"/>
      <c r="FF576" s="770"/>
      <c r="FG576" s="770"/>
      <c r="FH576" s="770" t="s">
        <v>478</v>
      </c>
      <c r="FI576" s="770">
        <v>1</v>
      </c>
      <c r="FJ576" s="770"/>
      <c r="FK576" s="770"/>
      <c r="FL576" s="770"/>
      <c r="FM576" s="302"/>
      <c r="FN576" s="302"/>
      <c r="FO576" s="302"/>
      <c r="FP576" s="770"/>
      <c r="FQ576" s="770"/>
      <c r="FR576" s="770"/>
      <c r="FS576" s="770"/>
      <c r="FT576" s="770"/>
      <c r="FU576" s="770"/>
      <c r="FV576" s="770"/>
      <c r="FW576" s="770"/>
      <c r="FX576" s="770"/>
      <c r="FY576" s="770"/>
      <c r="FZ576" s="770"/>
      <c r="GA576" s="770"/>
      <c r="GB576" s="770"/>
      <c r="GC576" s="308"/>
      <c r="GD576" s="297"/>
      <c r="GE576" s="770"/>
      <c r="GF576" s="302"/>
      <c r="GG576" s="302"/>
      <c r="GH576" s="770"/>
      <c r="GI576" s="770"/>
      <c r="GJ576" s="770"/>
      <c r="GK576" s="770"/>
      <c r="GL576" s="770"/>
      <c r="GM576" s="770"/>
      <c r="GN576" s="299"/>
      <c r="GO576" s="770"/>
      <c r="GP576" s="770"/>
      <c r="GQ576" s="770"/>
      <c r="GR576" s="770"/>
      <c r="GS576" s="770"/>
      <c r="GT576" s="770"/>
      <c r="GU576" s="770"/>
      <c r="GV576" s="770"/>
      <c r="GW576" s="770"/>
      <c r="GX576" s="770"/>
      <c r="GY576" s="770"/>
      <c r="GZ576" s="770"/>
      <c r="HA576" s="770"/>
      <c r="HB576" s="770"/>
      <c r="HC576" s="770"/>
      <c r="HD576" s="770"/>
      <c r="HE576" s="770"/>
      <c r="HF576" s="770"/>
      <c r="HG576" s="770"/>
      <c r="HH576" s="770"/>
      <c r="HI576" s="770"/>
      <c r="HJ576" s="770"/>
      <c r="HK576" s="770"/>
      <c r="HL576" s="770"/>
      <c r="HM576" s="770"/>
      <c r="HN576" s="770"/>
      <c r="HO576" s="770"/>
      <c r="HP576" s="770"/>
      <c r="HQ576" s="770"/>
      <c r="HR576" s="770"/>
      <c r="HS576" s="770"/>
      <c r="HT576" s="770"/>
      <c r="HU576" s="770"/>
      <c r="HV576" s="770"/>
      <c r="HW576" s="770"/>
      <c r="HX576" s="770"/>
      <c r="HY576" s="770"/>
      <c r="HZ576" s="770"/>
      <c r="IA576" s="770"/>
      <c r="IB576" s="770" t="s">
        <v>1207</v>
      </c>
      <c r="IC576" s="770"/>
      <c r="ID576" s="770"/>
      <c r="IE576" s="770"/>
      <c r="IF576" s="770"/>
      <c r="IG576" s="770"/>
      <c r="IH576" s="770"/>
      <c r="II576" s="770"/>
      <c r="IJ576" s="770"/>
      <c r="IK576" s="770"/>
      <c r="IL576" s="770"/>
      <c r="IM576" s="770"/>
      <c r="IN576" s="770"/>
      <c r="IO576" s="296"/>
      <c r="IP576" s="770"/>
      <c r="IQ576" s="770"/>
      <c r="IR576" s="770"/>
      <c r="IS576" s="770"/>
      <c r="IT576" s="770"/>
      <c r="IU576" s="770"/>
      <c r="IV576" s="770"/>
      <c r="IW576" s="770"/>
      <c r="IX576" s="770"/>
      <c r="IY576" s="770"/>
      <c r="IZ576" s="770"/>
      <c r="JA576" s="770"/>
      <c r="JB576" s="770"/>
      <c r="JC576" s="770"/>
      <c r="JD576" s="302"/>
      <c r="JE576" s="770"/>
      <c r="JF576" s="770"/>
      <c r="JG576" s="770"/>
      <c r="JH576" s="307"/>
      <c r="JI576" s="307"/>
      <c r="JJ576" s="770">
        <v>4</v>
      </c>
      <c r="JK576" s="770" t="s">
        <v>2985</v>
      </c>
      <c r="JL576" s="770">
        <v>2</v>
      </c>
      <c r="JM576" s="770"/>
      <c r="JN576" s="770">
        <v>1</v>
      </c>
      <c r="JO576" s="770">
        <v>1</v>
      </c>
      <c r="JP576" s="770"/>
      <c r="JQ576" s="770"/>
      <c r="JR576" s="770"/>
      <c r="JS576" s="770"/>
      <c r="JT576" s="766">
        <f t="shared" si="163"/>
        <v>3</v>
      </c>
      <c r="JU576" s="766">
        <f t="shared" si="163"/>
        <v>1</v>
      </c>
      <c r="JV576" s="766"/>
      <c r="JW576" s="766"/>
      <c r="JX576" s="770">
        <v>1</v>
      </c>
      <c r="JY576" s="770"/>
      <c r="JZ576" s="770">
        <v>1</v>
      </c>
      <c r="KA576" s="770"/>
      <c r="KB576" s="770"/>
      <c r="KC576" s="770">
        <v>1</v>
      </c>
      <c r="KD576" s="770">
        <v>1</v>
      </c>
      <c r="KE576" s="770"/>
      <c r="KF576" s="770"/>
      <c r="KG576" s="770"/>
      <c r="KH576" s="770"/>
      <c r="KI576" s="770"/>
      <c r="KJ576" s="770">
        <f t="shared" si="153"/>
        <v>3</v>
      </c>
      <c r="KK576" s="770">
        <f t="shared" si="153"/>
        <v>1</v>
      </c>
      <c r="KL576" s="770"/>
      <c r="KM576" s="770"/>
      <c r="KN576" s="770" t="s">
        <v>722</v>
      </c>
      <c r="KO576" s="770"/>
      <c r="KP576" s="770"/>
      <c r="KQ576" s="770"/>
      <c r="KR576" s="770">
        <v>1</v>
      </c>
      <c r="KS576" s="770"/>
      <c r="KT576" s="770"/>
      <c r="KU576" s="770"/>
      <c r="KV576" s="770"/>
      <c r="KW576" s="770"/>
      <c r="KX576" s="770"/>
      <c r="KY576" s="770"/>
      <c r="KZ576" s="770"/>
      <c r="LA576" s="770"/>
      <c r="LB576" s="770"/>
      <c r="LC576" s="770">
        <v>1</v>
      </c>
      <c r="LD576" s="770">
        <v>1</v>
      </c>
      <c r="LE576" s="770"/>
      <c r="LF576" s="770"/>
      <c r="LG576" s="770"/>
      <c r="LH576" s="770"/>
      <c r="LI576" s="770"/>
      <c r="LJ576" s="770">
        <v>1</v>
      </c>
      <c r="LK576" s="770"/>
      <c r="LL576" s="770"/>
      <c r="LM576" s="770"/>
      <c r="LN576" s="766">
        <f t="shared" si="159"/>
        <v>3</v>
      </c>
      <c r="LO576" s="766">
        <f t="shared" si="159"/>
        <v>1</v>
      </c>
      <c r="LP576" s="770">
        <v>2</v>
      </c>
      <c r="LQ576" s="770">
        <v>1</v>
      </c>
      <c r="LR576" s="770"/>
      <c r="LS576" s="770">
        <v>1</v>
      </c>
      <c r="LT576" s="770"/>
      <c r="LU576" s="770"/>
      <c r="LV576" s="770">
        <v>1</v>
      </c>
      <c r="LW576" s="770"/>
      <c r="LX576" s="769">
        <v>2</v>
      </c>
      <c r="LY576" s="766" t="str">
        <f t="shared" si="160"/>
        <v>within the MUNICIPALITY</v>
      </c>
      <c r="LZ576" s="1709">
        <f>150*26</f>
        <v>3900</v>
      </c>
      <c r="MA576" s="1709"/>
      <c r="MB576" s="1709"/>
      <c r="MC576" s="1679">
        <f t="shared" si="158"/>
        <v>3900</v>
      </c>
      <c r="MD576" s="1709">
        <f>450*26</f>
        <v>11700</v>
      </c>
      <c r="ME576" s="1709"/>
      <c r="MF576" s="1709">
        <v>300</v>
      </c>
      <c r="MG576" s="1680">
        <f t="shared" ref="MG576:MG639" si="164">SUM(MD576:MF576)</f>
        <v>12000</v>
      </c>
      <c r="MH576" s="770" t="s">
        <v>2245</v>
      </c>
      <c r="MI576" s="302">
        <v>2000</v>
      </c>
      <c r="MJ576" s="302">
        <v>3500</v>
      </c>
      <c r="MK576" s="302">
        <v>4000</v>
      </c>
      <c r="ML576" s="302">
        <v>1000</v>
      </c>
      <c r="MM576" s="302"/>
      <c r="MN576" s="302"/>
      <c r="MO576" s="302">
        <v>300</v>
      </c>
      <c r="MP576" s="302">
        <v>400</v>
      </c>
      <c r="MQ576" s="302">
        <v>600</v>
      </c>
      <c r="MR576" s="302">
        <v>500</v>
      </c>
      <c r="MS576" s="302">
        <f>10000/12</f>
        <v>833.33333333333337</v>
      </c>
      <c r="MT576" s="302"/>
      <c r="MU576" s="302"/>
      <c r="MV576" s="302"/>
      <c r="MW576" s="302"/>
      <c r="MX576" s="302"/>
      <c r="MY576" s="1682">
        <f t="shared" si="147"/>
        <v>13133.333333333334</v>
      </c>
      <c r="MZ576" s="770" t="s">
        <v>13395</v>
      </c>
      <c r="NA576" s="770" t="s">
        <v>13005</v>
      </c>
      <c r="NB576" s="770" t="s">
        <v>13016</v>
      </c>
      <c r="NC576" s="770" t="s">
        <v>13602</v>
      </c>
      <c r="ND576" s="770">
        <v>0</v>
      </c>
      <c r="NE576" s="770">
        <v>0</v>
      </c>
      <c r="NF576" s="770">
        <v>0</v>
      </c>
      <c r="NG576" s="770">
        <v>1</v>
      </c>
      <c r="NH576" s="770">
        <v>1</v>
      </c>
      <c r="NI576" s="770">
        <v>1</v>
      </c>
      <c r="NJ576" s="770">
        <v>0</v>
      </c>
      <c r="NK576" s="770">
        <v>0</v>
      </c>
      <c r="NL576" s="770">
        <v>0</v>
      </c>
      <c r="NM576" s="770">
        <v>1</v>
      </c>
      <c r="NN576" s="770">
        <v>0</v>
      </c>
      <c r="NO576" s="770">
        <v>0</v>
      </c>
      <c r="NP576" s="770">
        <v>0</v>
      </c>
      <c r="NQ576" s="770">
        <v>0</v>
      </c>
      <c r="NR576" s="770">
        <v>0</v>
      </c>
      <c r="NS576" s="770">
        <v>0</v>
      </c>
      <c r="NT576" s="770">
        <v>0</v>
      </c>
      <c r="NU576" s="770">
        <v>0</v>
      </c>
      <c r="NV576" s="770">
        <v>0</v>
      </c>
      <c r="NW576" s="770">
        <v>0</v>
      </c>
      <c r="NX576" s="770">
        <v>0</v>
      </c>
      <c r="NY576" s="770" t="s">
        <v>1208</v>
      </c>
      <c r="NZ576" s="770" t="s">
        <v>1208</v>
      </c>
      <c r="OA576" s="770" t="s">
        <v>1208</v>
      </c>
      <c r="OB576" s="770" t="s">
        <v>1208</v>
      </c>
      <c r="OC576" s="770" t="s">
        <v>1208</v>
      </c>
      <c r="OD576" s="770" t="s">
        <v>1208</v>
      </c>
      <c r="OE576" s="770"/>
      <c r="OF576" s="770"/>
      <c r="OG576" s="770"/>
      <c r="OH576" s="770"/>
      <c r="OI576" s="770"/>
      <c r="OJ576" s="770"/>
      <c r="OK576" s="770"/>
      <c r="OL576" s="770"/>
      <c r="OM576" s="770"/>
      <c r="ON576" s="770"/>
      <c r="OO576" s="770"/>
      <c r="OP576" s="770"/>
      <c r="OQ576" s="770"/>
      <c r="OR576" s="770"/>
      <c r="OS576" s="770"/>
      <c r="OT576" s="770"/>
      <c r="OU576" s="770"/>
      <c r="OV576" s="770"/>
      <c r="OW576" s="770"/>
      <c r="OX576" s="770"/>
      <c r="OY576" s="770"/>
      <c r="OZ576" s="770"/>
      <c r="PA576" s="770"/>
      <c r="PB576" s="770"/>
      <c r="PC576" s="770"/>
      <c r="PD576" s="770"/>
      <c r="PE576" s="770"/>
      <c r="PF576" s="770"/>
      <c r="PG576" s="770"/>
      <c r="PH576" s="770"/>
      <c r="PI576" s="770"/>
      <c r="PJ576" s="770"/>
      <c r="PK576" s="770" t="s">
        <v>1208</v>
      </c>
      <c r="PL576" s="770"/>
      <c r="PM576" s="770"/>
      <c r="PN576" s="770"/>
      <c r="PO576" s="770"/>
      <c r="PP576" s="770"/>
      <c r="PQ576" s="770"/>
      <c r="PR576" s="770"/>
      <c r="PS576" s="770" t="s">
        <v>1208</v>
      </c>
      <c r="PT576" s="770" t="s">
        <v>1208</v>
      </c>
      <c r="PU576" s="770"/>
      <c r="PV576" s="770"/>
      <c r="PW576" s="770"/>
      <c r="PX576" s="770"/>
      <c r="PY576" s="770"/>
      <c r="PZ576" s="770"/>
      <c r="QA576" s="770"/>
      <c r="QB576" s="770"/>
      <c r="QC576" s="770"/>
      <c r="QD576" s="770"/>
      <c r="QE576" s="770"/>
      <c r="QF576" s="770"/>
      <c r="QG576" s="770"/>
      <c r="QH576" s="770"/>
      <c r="QI576" s="770"/>
      <c r="QJ576" s="770"/>
      <c r="QK576" s="770"/>
      <c r="QL576" s="770"/>
      <c r="QM576" s="770"/>
      <c r="QN576" s="770"/>
      <c r="QO576" s="770"/>
      <c r="QP576" s="770"/>
      <c r="QQ576" s="770"/>
      <c r="QR576" s="770"/>
      <c r="QS576" s="770"/>
      <c r="QT576" s="770"/>
      <c r="QU576" s="770"/>
      <c r="QV576" s="770"/>
      <c r="QW576" s="770"/>
      <c r="QX576" s="770"/>
      <c r="QY576" s="770"/>
      <c r="QZ576" s="770"/>
      <c r="RA576" s="770"/>
      <c r="RB576" s="770" t="s">
        <v>1207</v>
      </c>
      <c r="RC576" s="770">
        <v>2014</v>
      </c>
      <c r="RD576" s="770" t="s">
        <v>13046</v>
      </c>
      <c r="RE576" s="770"/>
      <c r="RF576" s="304">
        <v>1.5</v>
      </c>
      <c r="RG576" s="770" t="s">
        <v>13047</v>
      </c>
      <c r="RH576" s="302">
        <v>0</v>
      </c>
      <c r="RI576" s="770">
        <v>2</v>
      </c>
      <c r="RJ576" s="770" t="s">
        <v>13768</v>
      </c>
      <c r="RK576" s="770" t="s">
        <v>13552</v>
      </c>
      <c r="RL576" s="1710"/>
      <c r="RM576" s="12"/>
      <c r="RN576" s="1711"/>
      <c r="RO576" s="132" t="s">
        <v>2834</v>
      </c>
      <c r="RP576" s="11"/>
      <c r="RQ576" s="11"/>
      <c r="RR576" s="17"/>
      <c r="RS576" s="767"/>
      <c r="RT576" s="11"/>
      <c r="RU576" s="11"/>
      <c r="RV576" s="771" t="s">
        <v>7419</v>
      </c>
      <c r="RW576" s="11" t="s">
        <v>7721</v>
      </c>
      <c r="RX576" s="11" t="s">
        <v>2834</v>
      </c>
      <c r="RY576" s="11"/>
      <c r="RZ576" s="11"/>
      <c r="SA576" s="771"/>
      <c r="SB576" s="11"/>
      <c r="SC576" s="11"/>
    </row>
    <row r="577" spans="1:497" ht="12.75" hidden="1" customHeight="1">
      <c r="A577" s="343" t="s">
        <v>7419</v>
      </c>
      <c r="B577" s="127" t="s">
        <v>7819</v>
      </c>
      <c r="C577" s="132" t="s">
        <v>3935</v>
      </c>
      <c r="D577" s="94" t="s">
        <v>3936</v>
      </c>
      <c r="E577" s="766" t="s">
        <v>2836</v>
      </c>
      <c r="F577" s="770" t="s">
        <v>28</v>
      </c>
      <c r="G577" s="770" t="s">
        <v>10</v>
      </c>
      <c r="H577" s="770"/>
      <c r="I577" s="295"/>
      <c r="J577" s="94" t="s">
        <v>3936</v>
      </c>
      <c r="K577" s="766" t="s">
        <v>3937</v>
      </c>
      <c r="L577" s="766" t="s">
        <v>3938</v>
      </c>
      <c r="M577" s="770" t="s">
        <v>1238</v>
      </c>
      <c r="N577" s="770"/>
      <c r="O577" s="770" t="s">
        <v>3897</v>
      </c>
      <c r="P577" s="770" t="s">
        <v>3939</v>
      </c>
      <c r="Q577" s="1088">
        <v>22618</v>
      </c>
      <c r="R577" s="297">
        <v>55</v>
      </c>
      <c r="S577" s="770" t="s">
        <v>10</v>
      </c>
      <c r="T577" s="770"/>
      <c r="U577" s="295"/>
      <c r="V577" s="770" t="s">
        <v>707</v>
      </c>
      <c r="W577" s="770"/>
      <c r="X577" s="770"/>
      <c r="Y577" s="770" t="s">
        <v>2836</v>
      </c>
      <c r="Z577" s="770" t="s">
        <v>708</v>
      </c>
      <c r="AA577" s="770" t="s">
        <v>709</v>
      </c>
      <c r="AB577" s="770" t="s">
        <v>710</v>
      </c>
      <c r="AC577" s="770"/>
      <c r="AD577" s="770" t="s">
        <v>711</v>
      </c>
      <c r="AE577" s="770"/>
      <c r="AF577" s="770" t="s">
        <v>712</v>
      </c>
      <c r="AG577" s="770"/>
      <c r="AH577" s="770"/>
      <c r="AI577" s="770"/>
      <c r="AJ577" s="770"/>
      <c r="AK577" s="770" t="s">
        <v>5454</v>
      </c>
      <c r="AL577" s="531">
        <v>59.4</v>
      </c>
      <c r="AM577" s="780">
        <v>3</v>
      </c>
      <c r="AN577" s="532">
        <f>AM577/AL577</f>
        <v>5.0505050505050504E-2</v>
      </c>
      <c r="AO577" s="766" t="s">
        <v>1098</v>
      </c>
      <c r="AP577" s="766"/>
      <c r="AQ577" s="766"/>
      <c r="AR577" s="766"/>
      <c r="AS577" s="770"/>
      <c r="AT577" s="770"/>
      <c r="AU577" s="770"/>
      <c r="AV577" s="770"/>
      <c r="AW577" s="770"/>
      <c r="AX577" s="770"/>
      <c r="AY577" s="770"/>
      <c r="AZ577" s="770"/>
      <c r="BA577" s="770"/>
      <c r="BB577" s="770"/>
      <c r="BC577" s="770"/>
      <c r="BD577" s="770"/>
      <c r="BE577" s="770"/>
      <c r="BF577" s="302"/>
      <c r="BG577" s="302"/>
      <c r="BH577" s="770"/>
      <c r="BI577" s="770"/>
      <c r="BJ577" s="770"/>
      <c r="BK577" s="770"/>
      <c r="BL577" s="770"/>
      <c r="BM577" s="770" t="s">
        <v>1238</v>
      </c>
      <c r="BN577" s="770" t="s">
        <v>3230</v>
      </c>
      <c r="BO577" s="770"/>
      <c r="BP577" s="765"/>
      <c r="BQ577" s="773"/>
      <c r="BR577" s="774"/>
      <c r="BS577" s="766" t="s">
        <v>1242</v>
      </c>
      <c r="BT577" s="770"/>
      <c r="BU577" s="770"/>
      <c r="BV577" s="770"/>
      <c r="BW577" s="770"/>
      <c r="BX577" s="302"/>
      <c r="BY577" s="770"/>
      <c r="BZ577" s="302"/>
      <c r="CA577" s="770"/>
      <c r="CB577" s="770"/>
      <c r="CC577" s="770"/>
      <c r="CD577" s="770"/>
      <c r="CE577" s="770"/>
      <c r="CF577" s="1753"/>
      <c r="CG577" s="1754"/>
      <c r="CH577" s="770"/>
      <c r="CI577" s="770"/>
      <c r="CJ577" s="770"/>
      <c r="CK577" s="770"/>
      <c r="CL577" s="770"/>
      <c r="CM577" s="770"/>
      <c r="CN577" s="770"/>
      <c r="CO577" s="770"/>
      <c r="CP577" s="770"/>
      <c r="CQ577" s="770"/>
      <c r="CR577" s="302"/>
      <c r="CS577" s="770"/>
      <c r="CT577" s="770"/>
      <c r="CU577" s="305"/>
      <c r="CV577" s="770"/>
      <c r="CW577" s="770"/>
      <c r="CX577" s="770"/>
      <c r="CY577" s="770"/>
      <c r="CZ577" s="770"/>
      <c r="DA577" s="306"/>
      <c r="DB577" s="770"/>
      <c r="DC577" s="770"/>
      <c r="DD577" s="770"/>
      <c r="DE577" s="300"/>
      <c r="DF577" s="770"/>
      <c r="DG577" s="770"/>
      <c r="DH577" s="770"/>
      <c r="DI577" s="770"/>
      <c r="DJ577" s="770"/>
      <c r="DK577" s="770"/>
      <c r="DL577" s="770"/>
      <c r="DM577" s="770"/>
      <c r="DN577" s="322"/>
      <c r="DO577" s="770"/>
      <c r="DP577" s="770"/>
      <c r="DQ577" s="770"/>
      <c r="DR577" s="770"/>
      <c r="DS577" s="307"/>
      <c r="DT577" s="770"/>
      <c r="DU577" s="770"/>
      <c r="DV577" s="770"/>
      <c r="DW577" s="306"/>
      <c r="DX577" s="306"/>
      <c r="DY577" s="770"/>
      <c r="DZ577" s="770"/>
      <c r="EA577" s="770"/>
      <c r="EB577" s="770"/>
      <c r="EC577" s="770"/>
      <c r="ED577" s="770"/>
      <c r="EE577" s="770"/>
      <c r="EF577" s="770"/>
      <c r="EG577" s="770"/>
      <c r="EH577" s="770"/>
      <c r="EI577" s="770"/>
      <c r="EJ577" s="770"/>
      <c r="EK577" s="770"/>
      <c r="EL577" s="770"/>
      <c r="EM577" s="770"/>
      <c r="EN577" s="770"/>
      <c r="EO577" s="770"/>
      <c r="EP577" s="94"/>
      <c r="EQ577" s="770"/>
      <c r="ER577" s="770"/>
      <c r="ES577" s="770"/>
      <c r="ET577" s="770"/>
      <c r="EU577" s="770"/>
      <c r="EV577" s="770"/>
      <c r="EW577" s="770"/>
      <c r="EX577" s="770"/>
      <c r="EY577" s="770"/>
      <c r="EZ577" s="770"/>
      <c r="FA577" s="770"/>
      <c r="FB577" s="770"/>
      <c r="FC577" s="770"/>
      <c r="FD577" s="302"/>
      <c r="FE577" s="770"/>
      <c r="FF577" s="770"/>
      <c r="FG577" s="770"/>
      <c r="FH577" s="770" t="s">
        <v>478</v>
      </c>
      <c r="FI577" s="770">
        <v>1</v>
      </c>
      <c r="FJ577" s="770"/>
      <c r="FK577" s="770"/>
      <c r="FL577" s="770"/>
      <c r="FM577" s="302"/>
      <c r="FN577" s="302"/>
      <c r="FO577" s="302"/>
      <c r="FP577" s="770" t="s">
        <v>1600</v>
      </c>
      <c r="FQ577" s="770" t="s">
        <v>3940</v>
      </c>
      <c r="FR577" s="770" t="s">
        <v>1214</v>
      </c>
      <c r="FS577" s="770"/>
      <c r="FT577" s="770"/>
      <c r="FU577" s="770"/>
      <c r="FV577" s="770"/>
      <c r="FW577" s="770"/>
      <c r="FX577" s="770"/>
      <c r="FY577" s="770"/>
      <c r="FZ577" s="770"/>
      <c r="GA577" s="770"/>
      <c r="GB577" s="770" t="s">
        <v>1734</v>
      </c>
      <c r="GC577" s="308"/>
      <c r="GD577" s="297">
        <v>2008</v>
      </c>
      <c r="GE577" s="770" t="s">
        <v>1214</v>
      </c>
      <c r="GF577" s="302"/>
      <c r="GG577" s="302"/>
      <c r="GH577" s="770"/>
      <c r="GI577" s="770"/>
      <c r="GJ577" s="770"/>
      <c r="GK577" s="770"/>
      <c r="GL577" s="770"/>
      <c r="GM577" s="770"/>
      <c r="GN577" s="299"/>
      <c r="GO577" s="770"/>
      <c r="GP577" s="770"/>
      <c r="GQ577" s="770"/>
      <c r="GR577" s="770"/>
      <c r="GS577" s="770"/>
      <c r="GT577" s="770"/>
      <c r="GU577" s="770"/>
      <c r="GV577" s="770"/>
      <c r="GW577" s="770"/>
      <c r="GX577" s="770"/>
      <c r="GY577" s="770"/>
      <c r="GZ577" s="770"/>
      <c r="HA577" s="770"/>
      <c r="HB577" s="770"/>
      <c r="HC577" s="770"/>
      <c r="HD577" s="770"/>
      <c r="HE577" s="770"/>
      <c r="HF577" s="770"/>
      <c r="HG577" s="770"/>
      <c r="HH577" s="770"/>
      <c r="HI577" s="770"/>
      <c r="HJ577" s="770"/>
      <c r="HK577" s="770"/>
      <c r="HL577" s="770"/>
      <c r="HM577" s="770"/>
      <c r="HN577" s="770"/>
      <c r="HO577" s="770"/>
      <c r="HP577" s="770"/>
      <c r="HQ577" s="770"/>
      <c r="HR577" s="770"/>
      <c r="HS577" s="770"/>
      <c r="HT577" s="770"/>
      <c r="HU577" s="770"/>
      <c r="HV577" s="770"/>
      <c r="HW577" s="770"/>
      <c r="HX577" s="770"/>
      <c r="HY577" s="770"/>
      <c r="HZ577" s="770"/>
      <c r="IA577" s="770"/>
      <c r="IB577" s="770" t="s">
        <v>1207</v>
      </c>
      <c r="IC577" s="770"/>
      <c r="ID577" s="770"/>
      <c r="IE577" s="770"/>
      <c r="IF577" s="770"/>
      <c r="IG577" s="770"/>
      <c r="IH577" s="770"/>
      <c r="II577" s="770"/>
      <c r="IJ577" s="770"/>
      <c r="IK577" s="770"/>
      <c r="IL577" s="770"/>
      <c r="IM577" s="770"/>
      <c r="IN577" s="770"/>
      <c r="IO577" s="296"/>
      <c r="IP577" s="770"/>
      <c r="IQ577" s="770"/>
      <c r="IR577" s="770"/>
      <c r="IS577" s="770"/>
      <c r="IT577" s="770"/>
      <c r="IU577" s="770"/>
      <c r="IV577" s="770"/>
      <c r="IW577" s="770"/>
      <c r="IX577" s="770"/>
      <c r="IY577" s="770"/>
      <c r="IZ577" s="770"/>
      <c r="JA577" s="770"/>
      <c r="JB577" s="770"/>
      <c r="JC577" s="770"/>
      <c r="JD577" s="302"/>
      <c r="JE577" s="770"/>
      <c r="JF577" s="770"/>
      <c r="JG577" s="770"/>
      <c r="JH577" s="307"/>
      <c r="JI577" s="307"/>
      <c r="JJ577" s="770">
        <v>9</v>
      </c>
      <c r="JK577" s="770" t="s">
        <v>3941</v>
      </c>
      <c r="JL577" s="770">
        <v>1</v>
      </c>
      <c r="JM577" s="770">
        <v>1</v>
      </c>
      <c r="JN577" s="770">
        <v>3</v>
      </c>
      <c r="JO577" s="770">
        <v>4</v>
      </c>
      <c r="JP577" s="770"/>
      <c r="JQ577" s="770"/>
      <c r="JR577" s="770"/>
      <c r="JS577" s="770"/>
      <c r="JT577" s="766">
        <f t="shared" si="163"/>
        <v>4</v>
      </c>
      <c r="JU577" s="766">
        <f t="shared" si="163"/>
        <v>5</v>
      </c>
      <c r="JV577" s="766"/>
      <c r="JW577" s="766"/>
      <c r="JX577" s="770"/>
      <c r="JY577" s="770"/>
      <c r="JZ577" s="770">
        <v>1</v>
      </c>
      <c r="KA577" s="770">
        <v>1</v>
      </c>
      <c r="KB577" s="770"/>
      <c r="KC577" s="770">
        <v>1</v>
      </c>
      <c r="KD577" s="770">
        <v>3</v>
      </c>
      <c r="KE577" s="770">
        <v>3</v>
      </c>
      <c r="KF577" s="770"/>
      <c r="KG577" s="770"/>
      <c r="KH577" s="770"/>
      <c r="KI577" s="770"/>
      <c r="KJ577" s="770">
        <f t="shared" si="153"/>
        <v>4</v>
      </c>
      <c r="KK577" s="770">
        <f t="shared" si="153"/>
        <v>5</v>
      </c>
      <c r="KL577" s="770"/>
      <c r="KM577" s="770"/>
      <c r="KN577" s="770" t="s">
        <v>707</v>
      </c>
      <c r="KO577" s="770"/>
      <c r="KP577" s="770"/>
      <c r="KQ577" s="770"/>
      <c r="KR577" s="770"/>
      <c r="KS577" s="770"/>
      <c r="KT577" s="770"/>
      <c r="KU577" s="770">
        <v>1</v>
      </c>
      <c r="KV577" s="770">
        <v>1</v>
      </c>
      <c r="KW577" s="770"/>
      <c r="KX577" s="770"/>
      <c r="KY577" s="770">
        <v>2</v>
      </c>
      <c r="KZ577" s="770">
        <v>1</v>
      </c>
      <c r="LA577" s="770"/>
      <c r="LB577" s="770">
        <v>1</v>
      </c>
      <c r="LC577" s="770">
        <v>1</v>
      </c>
      <c r="LD577" s="770">
        <v>1</v>
      </c>
      <c r="LE577" s="770">
        <v>1</v>
      </c>
      <c r="LF577" s="770"/>
      <c r="LG577" s="770"/>
      <c r="LH577" s="770"/>
      <c r="LI577" s="770"/>
      <c r="LJ577" s="770"/>
      <c r="LK577" s="770"/>
      <c r="LL577" s="770"/>
      <c r="LM577" s="770"/>
      <c r="LN577" s="766">
        <f t="shared" si="159"/>
        <v>4</v>
      </c>
      <c r="LO577" s="766">
        <f t="shared" si="159"/>
        <v>5</v>
      </c>
      <c r="LP577" s="770">
        <v>4</v>
      </c>
      <c r="LQ577" s="770">
        <v>4</v>
      </c>
      <c r="LR577" s="770"/>
      <c r="LS577" s="770"/>
      <c r="LT577" s="770"/>
      <c r="LU577" s="770">
        <v>2</v>
      </c>
      <c r="LV577" s="770">
        <v>2</v>
      </c>
      <c r="LW577" s="770"/>
      <c r="LX577" s="769">
        <v>3</v>
      </c>
      <c r="LY577" s="766" t="str">
        <f t="shared" si="160"/>
        <v>within the PROVINCE</v>
      </c>
      <c r="LZ577" s="1709">
        <f>SUM(100*26,100*26,24*26)</f>
        <v>5824</v>
      </c>
      <c r="MA577" s="1709"/>
      <c r="MB577" s="1709"/>
      <c r="MC577" s="1679">
        <f t="shared" si="158"/>
        <v>5824</v>
      </c>
      <c r="MD577" s="1709">
        <f>SUM(10000,480*26)</f>
        <v>22480</v>
      </c>
      <c r="ME577" s="1709"/>
      <c r="MF577" s="1709"/>
      <c r="MG577" s="1680">
        <f t="shared" si="164"/>
        <v>22480</v>
      </c>
      <c r="MH577" s="770" t="s">
        <v>2984</v>
      </c>
      <c r="MI577" s="302">
        <f>350*30</f>
        <v>10500</v>
      </c>
      <c r="MJ577" s="302">
        <f>224*30</f>
        <v>6720</v>
      </c>
      <c r="MK577" s="302">
        <v>300</v>
      </c>
      <c r="ML577" s="302">
        <v>500</v>
      </c>
      <c r="MM577" s="302">
        <f>60*30</f>
        <v>1800</v>
      </c>
      <c r="MN577" s="302"/>
      <c r="MO577" s="302"/>
      <c r="MP577" s="302">
        <v>2000</v>
      </c>
      <c r="MQ577" s="302">
        <v>200</v>
      </c>
      <c r="MR577" s="302">
        <v>350</v>
      </c>
      <c r="MS577" s="302"/>
      <c r="MT577" s="302"/>
      <c r="MU577" s="302"/>
      <c r="MV577" s="302"/>
      <c r="MW577" s="302"/>
      <c r="MX577" s="302">
        <v>300</v>
      </c>
      <c r="MY577" s="1682">
        <f t="shared" ref="MY577:MY640" si="165">IF(ISBLANK(MI577:MX577)=TRUE,"",SUM(MI577:MX577))</f>
        <v>22670</v>
      </c>
      <c r="MZ577" s="770" t="s">
        <v>13370</v>
      </c>
      <c r="NA577" s="770" t="s">
        <v>13005</v>
      </c>
      <c r="NB577" s="770" t="s">
        <v>13016</v>
      </c>
      <c r="NC577" s="770" t="s">
        <v>13602</v>
      </c>
      <c r="ND577" s="770">
        <v>0</v>
      </c>
      <c r="NE577" s="770">
        <v>0</v>
      </c>
      <c r="NF577" s="770">
        <v>0</v>
      </c>
      <c r="NG577" s="770">
        <v>3</v>
      </c>
      <c r="NH577" s="770">
        <v>1</v>
      </c>
      <c r="NI577" s="770">
        <v>0</v>
      </c>
      <c r="NJ577" s="770">
        <v>0</v>
      </c>
      <c r="NK577" s="770">
        <v>0</v>
      </c>
      <c r="NL577" s="770">
        <v>1</v>
      </c>
      <c r="NM577" s="770">
        <v>0</v>
      </c>
      <c r="NN577" s="770">
        <v>0</v>
      </c>
      <c r="NO577" s="770">
        <v>0</v>
      </c>
      <c r="NP577" s="770">
        <v>0</v>
      </c>
      <c r="NQ577" s="770">
        <v>0</v>
      </c>
      <c r="NR577" s="770">
        <v>0</v>
      </c>
      <c r="NS577" s="770">
        <v>0</v>
      </c>
      <c r="NT577" s="770">
        <v>0</v>
      </c>
      <c r="NU577" s="770">
        <v>0</v>
      </c>
      <c r="NV577" s="770">
        <v>0</v>
      </c>
      <c r="NW577" s="770">
        <v>0</v>
      </c>
      <c r="NX577" s="770">
        <v>0</v>
      </c>
      <c r="NY577" s="770" t="s">
        <v>1208</v>
      </c>
      <c r="NZ577" s="770"/>
      <c r="OA577" s="770"/>
      <c r="OB577" s="770"/>
      <c r="OC577" s="770" t="s">
        <v>1208</v>
      </c>
      <c r="OD577" s="770"/>
      <c r="OE577" s="770"/>
      <c r="OF577" s="770"/>
      <c r="OG577" s="770"/>
      <c r="OH577" s="770"/>
      <c r="OI577" s="770"/>
      <c r="OJ577" s="770"/>
      <c r="OK577" s="770"/>
      <c r="OL577" s="770"/>
      <c r="OM577" s="770"/>
      <c r="ON577" s="770"/>
      <c r="OO577" s="770"/>
      <c r="OP577" s="770"/>
      <c r="OQ577" s="770"/>
      <c r="OR577" s="770"/>
      <c r="OS577" s="770"/>
      <c r="OT577" s="770"/>
      <c r="OU577" s="770"/>
      <c r="OV577" s="770"/>
      <c r="OW577" s="770"/>
      <c r="OX577" s="770"/>
      <c r="OY577" s="770"/>
      <c r="OZ577" s="770"/>
      <c r="PA577" s="770"/>
      <c r="PB577" s="770"/>
      <c r="PC577" s="770"/>
      <c r="PD577" s="770"/>
      <c r="PE577" s="770"/>
      <c r="PF577" s="770" t="s">
        <v>1208</v>
      </c>
      <c r="PG577" s="770"/>
      <c r="PH577" s="770"/>
      <c r="PI577" s="770" t="s">
        <v>1208</v>
      </c>
      <c r="PJ577" s="770"/>
      <c r="PK577" s="770"/>
      <c r="PL577" s="770"/>
      <c r="PM577" s="770"/>
      <c r="PN577" s="770"/>
      <c r="PO577" s="770"/>
      <c r="PP577" s="770"/>
      <c r="PQ577" s="770"/>
      <c r="PR577" s="770" t="s">
        <v>1208</v>
      </c>
      <c r="PS577" s="770"/>
      <c r="PT577" s="770"/>
      <c r="PU577" s="770"/>
      <c r="PV577" s="770"/>
      <c r="PW577" s="770"/>
      <c r="PX577" s="770"/>
      <c r="PY577" s="770"/>
      <c r="PZ577" s="770"/>
      <c r="QA577" s="770"/>
      <c r="QB577" s="770"/>
      <c r="QC577" s="770"/>
      <c r="QD577" s="770"/>
      <c r="QE577" s="770"/>
      <c r="QF577" s="770"/>
      <c r="QG577" s="770"/>
      <c r="QH577" s="770"/>
      <c r="QI577" s="770"/>
      <c r="QJ577" s="770"/>
      <c r="QK577" s="770"/>
      <c r="QL577" s="770"/>
      <c r="QM577" s="770"/>
      <c r="QN577" s="770"/>
      <c r="QO577" s="770"/>
      <c r="QP577" s="770"/>
      <c r="QQ577" s="770"/>
      <c r="QR577" s="770"/>
      <c r="QS577" s="770"/>
      <c r="QT577" s="770"/>
      <c r="QU577" s="770"/>
      <c r="QV577" s="770"/>
      <c r="QW577" s="770"/>
      <c r="QX577" s="770"/>
      <c r="QY577" s="770"/>
      <c r="QZ577" s="770"/>
      <c r="RA577" s="770"/>
      <c r="RB577" s="770" t="s">
        <v>1207</v>
      </c>
      <c r="RC577" s="770">
        <v>2014</v>
      </c>
      <c r="RD577" s="770" t="s">
        <v>13036</v>
      </c>
      <c r="RE577" s="770"/>
      <c r="RF577" s="304"/>
      <c r="RG577" s="770"/>
      <c r="RH577" s="302"/>
      <c r="RI577" s="770"/>
      <c r="RJ577" s="770" t="s">
        <v>3942</v>
      </c>
      <c r="RK577" s="770" t="s">
        <v>13544</v>
      </c>
      <c r="RL577" s="1710"/>
      <c r="RM577" s="12"/>
      <c r="RN577" s="1711"/>
      <c r="RO577" s="132" t="s">
        <v>3935</v>
      </c>
      <c r="RP577" s="11"/>
      <c r="RQ577" s="11"/>
      <c r="RR577" s="17"/>
      <c r="RS577" s="767"/>
      <c r="RT577" s="11"/>
      <c r="RU577" s="11"/>
      <c r="RV577" s="771" t="s">
        <v>13769</v>
      </c>
      <c r="RW577" s="11" t="s">
        <v>7818</v>
      </c>
      <c r="RX577" s="11" t="s">
        <v>2834</v>
      </c>
      <c r="RY577" s="11"/>
      <c r="RZ577" s="11" t="s">
        <v>1101</v>
      </c>
      <c r="SA577" s="771"/>
      <c r="SB577" s="11"/>
      <c r="SC577" s="11"/>
    </row>
    <row r="578" spans="1:497" ht="12.75" customHeight="1">
      <c r="A578" s="17" t="s">
        <v>7421</v>
      </c>
      <c r="B578" s="127" t="s">
        <v>7820</v>
      </c>
      <c r="C578" s="132" t="s">
        <v>3943</v>
      </c>
      <c r="D578" s="94" t="s">
        <v>3944</v>
      </c>
      <c r="E578" s="766" t="s">
        <v>2836</v>
      </c>
      <c r="F578" s="770" t="s">
        <v>28</v>
      </c>
      <c r="G578" s="770" t="s">
        <v>10</v>
      </c>
      <c r="H578" s="770"/>
      <c r="I578" s="295" t="s">
        <v>3945</v>
      </c>
      <c r="J578" s="94" t="s">
        <v>3944</v>
      </c>
      <c r="K578" s="766" t="s">
        <v>3946</v>
      </c>
      <c r="L578" s="766" t="s">
        <v>3947</v>
      </c>
      <c r="M578" s="770" t="s">
        <v>1238</v>
      </c>
      <c r="N578" s="770"/>
      <c r="O578" s="770" t="s">
        <v>3897</v>
      </c>
      <c r="P578" s="770" t="s">
        <v>3948</v>
      </c>
      <c r="Q578" s="1088">
        <v>28738</v>
      </c>
      <c r="R578" s="297">
        <v>38</v>
      </c>
      <c r="S578" s="770" t="s">
        <v>10</v>
      </c>
      <c r="T578" s="770"/>
      <c r="U578" s="295" t="s">
        <v>3945</v>
      </c>
      <c r="V578" s="770" t="s">
        <v>707</v>
      </c>
      <c r="W578" s="770"/>
      <c r="X578" s="770"/>
      <c r="Y578" s="770" t="s">
        <v>2836</v>
      </c>
      <c r="Z578" s="770" t="s">
        <v>708</v>
      </c>
      <c r="AA578" s="770" t="s">
        <v>709</v>
      </c>
      <c r="AB578" s="770" t="s">
        <v>710</v>
      </c>
      <c r="AC578" s="770"/>
      <c r="AD578" s="770" t="s">
        <v>711</v>
      </c>
      <c r="AE578" s="770"/>
      <c r="AF578" s="770" t="s">
        <v>712</v>
      </c>
      <c r="AG578" s="766" t="s">
        <v>1095</v>
      </c>
      <c r="AH578" s="766" t="s">
        <v>1096</v>
      </c>
      <c r="AI578" s="770" t="s">
        <v>3294</v>
      </c>
      <c r="AJ578" s="770"/>
      <c r="AK578" s="1828" t="s">
        <v>1101</v>
      </c>
      <c r="AL578" s="531">
        <v>34.15</v>
      </c>
      <c r="AM578" s="780">
        <v>3</v>
      </c>
      <c r="AN578" s="532">
        <f>AM578/AL578</f>
        <v>8.7847730600292828E-2</v>
      </c>
      <c r="AO578" s="766" t="s">
        <v>1098</v>
      </c>
      <c r="AP578" s="766"/>
      <c r="AQ578" s="766"/>
      <c r="AR578" s="766"/>
      <c r="AS578" s="770"/>
      <c r="AT578" s="770"/>
      <c r="AU578" s="770"/>
      <c r="AV578" s="770"/>
      <c r="AW578" s="770"/>
      <c r="AX578" s="770"/>
      <c r="AY578" s="770"/>
      <c r="AZ578" s="770"/>
      <c r="BA578" s="770"/>
      <c r="BB578" s="770"/>
      <c r="BC578" s="770"/>
      <c r="BD578" s="770"/>
      <c r="BE578" s="770"/>
      <c r="BF578" s="302"/>
      <c r="BG578" s="302"/>
      <c r="BH578" s="770"/>
      <c r="BI578" s="770"/>
      <c r="BJ578" s="770"/>
      <c r="BK578" s="770"/>
      <c r="BL578" s="770"/>
      <c r="BM578" s="770"/>
      <c r="BN578" s="712"/>
      <c r="BO578" s="770"/>
      <c r="BP578" s="1109"/>
      <c r="BQ578" s="773"/>
      <c r="BR578" s="774"/>
      <c r="BS578" s="766" t="s">
        <v>1242</v>
      </c>
      <c r="BT578" s="770"/>
      <c r="BU578" s="770"/>
      <c r="BV578" s="770"/>
      <c r="BW578" s="770"/>
      <c r="BX578" s="302"/>
      <c r="BY578" s="770"/>
      <c r="BZ578" s="302"/>
      <c r="CA578" s="770"/>
      <c r="CB578" s="770" t="s">
        <v>1207</v>
      </c>
      <c r="CC578" s="770"/>
      <c r="CD578" s="770"/>
      <c r="CE578" s="770"/>
      <c r="CF578" s="1753"/>
      <c r="CG578" s="1754"/>
      <c r="CH578" s="770"/>
      <c r="CI578" s="770"/>
      <c r="CJ578" s="770"/>
      <c r="CK578" s="770"/>
      <c r="CL578" s="770"/>
      <c r="CM578" s="770"/>
      <c r="CN578" s="770"/>
      <c r="CO578" s="770"/>
      <c r="CP578" s="770"/>
      <c r="CQ578" s="770"/>
      <c r="CR578" s="302"/>
      <c r="CS578" s="770"/>
      <c r="CT578" s="770"/>
      <c r="CU578" s="305"/>
      <c r="CV578" s="770"/>
      <c r="CW578" s="770"/>
      <c r="CX578" s="770"/>
      <c r="CY578" s="770"/>
      <c r="CZ578" s="770"/>
      <c r="DA578" s="306"/>
      <c r="DB578" s="770"/>
      <c r="DC578" s="770"/>
      <c r="DD578" s="770"/>
      <c r="DE578" s="300"/>
      <c r="DF578" s="770"/>
      <c r="DG578" s="770"/>
      <c r="DH578" s="770"/>
      <c r="DI578" s="770"/>
      <c r="DJ578" s="770"/>
      <c r="DK578" s="770"/>
      <c r="DL578" s="770"/>
      <c r="DM578" s="770"/>
      <c r="DN578" s="322"/>
      <c r="DO578" s="770"/>
      <c r="DP578" s="770"/>
      <c r="DQ578" s="770"/>
      <c r="DR578" s="770"/>
      <c r="DS578" s="307"/>
      <c r="DT578" s="770"/>
      <c r="DU578" s="770"/>
      <c r="DV578" s="770"/>
      <c r="DW578" s="306"/>
      <c r="DX578" s="306"/>
      <c r="DY578" s="770"/>
      <c r="DZ578" s="770"/>
      <c r="EA578" s="770"/>
      <c r="EB578" s="770"/>
      <c r="EC578" s="770"/>
      <c r="ED578" s="770"/>
      <c r="EE578" s="770"/>
      <c r="EF578" s="770"/>
      <c r="EG578" s="770"/>
      <c r="EH578" s="770"/>
      <c r="EI578" s="770"/>
      <c r="EJ578" s="770"/>
      <c r="EK578" s="770"/>
      <c r="EL578" s="770"/>
      <c r="EM578" s="770"/>
      <c r="EN578" s="770"/>
      <c r="EO578" s="770"/>
      <c r="EP578" s="94"/>
      <c r="EQ578" s="770"/>
      <c r="ER578" s="770"/>
      <c r="ES578" s="770"/>
      <c r="ET578" s="770"/>
      <c r="EU578" s="770"/>
      <c r="EV578" s="770"/>
      <c r="EW578" s="770"/>
      <c r="EX578" s="770"/>
      <c r="EY578" s="770"/>
      <c r="EZ578" s="770" t="s">
        <v>3949</v>
      </c>
      <c r="FA578" s="770" t="s">
        <v>3950</v>
      </c>
      <c r="FB578" s="770"/>
      <c r="FC578" s="770"/>
      <c r="FD578" s="302"/>
      <c r="FE578" s="770" t="s">
        <v>3951</v>
      </c>
      <c r="FF578" s="770" t="s">
        <v>3952</v>
      </c>
      <c r="FG578" s="770" t="s">
        <v>3953</v>
      </c>
      <c r="FH578" s="770" t="s">
        <v>478</v>
      </c>
      <c r="FI578" s="770">
        <v>1</v>
      </c>
      <c r="FJ578" s="770"/>
      <c r="FK578" s="770"/>
      <c r="FL578" s="770"/>
      <c r="FM578" s="302"/>
      <c r="FN578" s="302"/>
      <c r="FO578" s="302"/>
      <c r="FP578" s="770" t="s">
        <v>1600</v>
      </c>
      <c r="FQ578" s="770" t="s">
        <v>3940</v>
      </c>
      <c r="FR578" s="770" t="s">
        <v>1214</v>
      </c>
      <c r="FS578" s="770"/>
      <c r="FT578" s="770"/>
      <c r="FU578" s="770"/>
      <c r="FV578" s="770"/>
      <c r="FW578" s="770"/>
      <c r="FX578" s="770"/>
      <c r="FY578" s="770"/>
      <c r="FZ578" s="770"/>
      <c r="GA578" s="770"/>
      <c r="GB578" s="770" t="s">
        <v>1734</v>
      </c>
      <c r="GC578" s="308"/>
      <c r="GD578" s="297">
        <v>2007</v>
      </c>
      <c r="GE578" s="770" t="s">
        <v>1214</v>
      </c>
      <c r="GF578" s="302"/>
      <c r="GG578" s="302"/>
      <c r="GH578" s="770"/>
      <c r="GI578" s="770"/>
      <c r="GJ578" s="770"/>
      <c r="GK578" s="770"/>
      <c r="GL578" s="770"/>
      <c r="GM578" s="770"/>
      <c r="GN578" s="299"/>
      <c r="GO578" s="770"/>
      <c r="GP578" s="770"/>
      <c r="GQ578" s="770"/>
      <c r="GR578" s="770"/>
      <c r="GS578" s="770"/>
      <c r="GT578" s="770"/>
      <c r="GU578" s="770"/>
      <c r="GV578" s="770"/>
      <c r="GW578" s="770"/>
      <c r="GX578" s="770"/>
      <c r="GY578" s="770"/>
      <c r="GZ578" s="770"/>
      <c r="HA578" s="770"/>
      <c r="HB578" s="770"/>
      <c r="HC578" s="770"/>
      <c r="HD578" s="770"/>
      <c r="HE578" s="770"/>
      <c r="HF578" s="770"/>
      <c r="HG578" s="770"/>
      <c r="HH578" s="770"/>
      <c r="HI578" s="770"/>
      <c r="HJ578" s="770"/>
      <c r="HK578" s="770"/>
      <c r="HL578" s="770"/>
      <c r="HM578" s="770"/>
      <c r="HN578" s="770"/>
      <c r="HO578" s="770"/>
      <c r="HP578" s="770"/>
      <c r="HQ578" s="770"/>
      <c r="HR578" s="770"/>
      <c r="HS578" s="770"/>
      <c r="HT578" s="770"/>
      <c r="HU578" s="770"/>
      <c r="HV578" s="770"/>
      <c r="HW578" s="770"/>
      <c r="HX578" s="770"/>
      <c r="HY578" s="770"/>
      <c r="HZ578" s="770"/>
      <c r="IA578" s="770"/>
      <c r="IB578" s="770"/>
      <c r="IC578" s="770"/>
      <c r="ID578" s="770"/>
      <c r="IE578" s="770">
        <v>1</v>
      </c>
      <c r="IF578" s="770"/>
      <c r="IG578" s="770"/>
      <c r="IH578" s="770"/>
      <c r="II578" s="770"/>
      <c r="IJ578" s="770"/>
      <c r="IK578" s="770"/>
      <c r="IL578" s="770"/>
      <c r="IM578" s="770"/>
      <c r="IN578" s="770"/>
      <c r="IO578" s="296"/>
      <c r="IP578" s="770"/>
      <c r="IQ578" s="770"/>
      <c r="IR578" s="770"/>
      <c r="IS578" s="770"/>
      <c r="IT578" s="770"/>
      <c r="IU578" s="770"/>
      <c r="IV578" s="770"/>
      <c r="IW578" s="770"/>
      <c r="IX578" s="770"/>
      <c r="IY578" s="770"/>
      <c r="IZ578" s="770"/>
      <c r="JA578" s="770"/>
      <c r="JB578" s="770"/>
      <c r="JC578" s="770"/>
      <c r="JD578" s="302"/>
      <c r="JE578" s="770"/>
      <c r="JF578" s="770"/>
      <c r="JG578" s="770"/>
      <c r="JH578" s="307"/>
      <c r="JI578" s="307"/>
      <c r="JJ578" s="770"/>
      <c r="JK578" s="770"/>
      <c r="JL578" s="770"/>
      <c r="JM578" s="770"/>
      <c r="JN578" s="770"/>
      <c r="JO578" s="770"/>
      <c r="JP578" s="770"/>
      <c r="JQ578" s="770"/>
      <c r="JR578" s="770"/>
      <c r="JS578" s="770"/>
      <c r="JT578" s="766"/>
      <c r="JU578" s="766"/>
      <c r="JV578" s="766"/>
      <c r="JW578" s="766"/>
      <c r="JX578" s="770"/>
      <c r="JY578" s="770"/>
      <c r="JZ578" s="770"/>
      <c r="KA578" s="770"/>
      <c r="KB578" s="770"/>
      <c r="KC578" s="770"/>
      <c r="KD578" s="770"/>
      <c r="KE578" s="770"/>
      <c r="KF578" s="770"/>
      <c r="KG578" s="770"/>
      <c r="KH578" s="770"/>
      <c r="KI578" s="770"/>
      <c r="KJ578" s="770"/>
      <c r="KK578" s="770"/>
      <c r="KL578" s="770"/>
      <c r="KM578" s="770"/>
      <c r="KN578" s="770"/>
      <c r="KO578" s="770"/>
      <c r="KP578" s="770"/>
      <c r="KQ578" s="770"/>
      <c r="KR578" s="770"/>
      <c r="KS578" s="770"/>
      <c r="KT578" s="770"/>
      <c r="KU578" s="770"/>
      <c r="KV578" s="770"/>
      <c r="KW578" s="770"/>
      <c r="KX578" s="770"/>
      <c r="KY578" s="770"/>
      <c r="KZ578" s="770"/>
      <c r="LA578" s="770"/>
      <c r="LB578" s="770"/>
      <c r="LC578" s="770"/>
      <c r="LD578" s="770"/>
      <c r="LE578" s="770"/>
      <c r="LF578" s="770"/>
      <c r="LG578" s="770"/>
      <c r="LH578" s="770"/>
      <c r="LI578" s="770"/>
      <c r="LJ578" s="770"/>
      <c r="LK578" s="770"/>
      <c r="LL578" s="770"/>
      <c r="LM578" s="770"/>
      <c r="LN578" s="766"/>
      <c r="LO578" s="766"/>
      <c r="LP578" s="770"/>
      <c r="LQ578" s="770"/>
      <c r="LR578" s="770"/>
      <c r="LS578" s="770"/>
      <c r="LT578" s="770"/>
      <c r="LU578" s="770"/>
      <c r="LV578" s="770"/>
      <c r="LW578" s="770"/>
      <c r="LX578" s="769"/>
      <c r="LY578" s="766" t="str">
        <f t="shared" si="160"/>
        <v/>
      </c>
      <c r="LZ578" s="1709"/>
      <c r="MA578" s="1709"/>
      <c r="MB578" s="1709"/>
      <c r="MC578" s="1679">
        <f t="shared" si="158"/>
        <v>0</v>
      </c>
      <c r="MD578" s="1709"/>
      <c r="ME578" s="1709"/>
      <c r="MF578" s="1709"/>
      <c r="MG578" s="1680">
        <f t="shared" si="164"/>
        <v>0</v>
      </c>
      <c r="MH578" s="770"/>
      <c r="MI578" s="302"/>
      <c r="MJ578" s="302"/>
      <c r="MK578" s="302"/>
      <c r="ML578" s="302"/>
      <c r="MM578" s="302"/>
      <c r="MN578" s="302"/>
      <c r="MO578" s="302"/>
      <c r="MP578" s="302"/>
      <c r="MQ578" s="302"/>
      <c r="MR578" s="302"/>
      <c r="MS578" s="302"/>
      <c r="MT578" s="302"/>
      <c r="MU578" s="302"/>
      <c r="MV578" s="302"/>
      <c r="MW578" s="302"/>
      <c r="MX578" s="302"/>
      <c r="MY578" s="1682">
        <f t="shared" si="165"/>
        <v>0</v>
      </c>
      <c r="MZ578" s="770"/>
      <c r="NA578" s="770"/>
      <c r="NB578" s="770"/>
      <c r="NC578" s="770"/>
      <c r="ND578" s="770"/>
      <c r="NE578" s="770"/>
      <c r="NF578" s="770"/>
      <c r="NG578" s="770"/>
      <c r="NH578" s="770"/>
      <c r="NI578" s="770"/>
      <c r="NJ578" s="770"/>
      <c r="NK578" s="770"/>
      <c r="NL578" s="770"/>
      <c r="NM578" s="770"/>
      <c r="NN578" s="770"/>
      <c r="NO578" s="770"/>
      <c r="NP578" s="770"/>
      <c r="NQ578" s="770"/>
      <c r="NR578" s="770"/>
      <c r="NS578" s="770"/>
      <c r="NT578" s="770"/>
      <c r="NU578" s="770"/>
      <c r="NV578" s="770"/>
      <c r="NW578" s="770"/>
      <c r="NX578" s="770"/>
      <c r="NY578" s="770"/>
      <c r="NZ578" s="770"/>
      <c r="OA578" s="770"/>
      <c r="OB578" s="770"/>
      <c r="OC578" s="770"/>
      <c r="OD578" s="770"/>
      <c r="OE578" s="770"/>
      <c r="OF578" s="770" t="s">
        <v>2143</v>
      </c>
      <c r="OG578" s="770"/>
      <c r="OH578" s="770"/>
      <c r="OI578" s="770"/>
      <c r="OJ578" s="770"/>
      <c r="OK578" s="770"/>
      <c r="OL578" s="770"/>
      <c r="OM578" s="770"/>
      <c r="ON578" s="770"/>
      <c r="OO578" s="770"/>
      <c r="OP578" s="770"/>
      <c r="OQ578" s="770"/>
      <c r="OR578" s="770"/>
      <c r="OS578" s="770"/>
      <c r="OT578" s="770"/>
      <c r="OU578" s="770"/>
      <c r="OV578" s="770"/>
      <c r="OW578" s="770"/>
      <c r="OX578" s="770"/>
      <c r="OY578" s="770"/>
      <c r="OZ578" s="770"/>
      <c r="PA578" s="770"/>
      <c r="PB578" s="770"/>
      <c r="PC578" s="770"/>
      <c r="PD578" s="770"/>
      <c r="PE578" s="770"/>
      <c r="PF578" s="770"/>
      <c r="PG578" s="770"/>
      <c r="PH578" s="770"/>
      <c r="PI578" s="770"/>
      <c r="PJ578" s="770"/>
      <c r="PK578" s="770"/>
      <c r="PL578" s="770"/>
      <c r="PM578" s="770"/>
      <c r="PN578" s="770"/>
      <c r="PO578" s="770"/>
      <c r="PP578" s="770"/>
      <c r="PQ578" s="770"/>
      <c r="PR578" s="770"/>
      <c r="PS578" s="770"/>
      <c r="PT578" s="770"/>
      <c r="PU578" s="770"/>
      <c r="PV578" s="770"/>
      <c r="PW578" s="770"/>
      <c r="PX578" s="770"/>
      <c r="PY578" s="770"/>
      <c r="PZ578" s="770"/>
      <c r="QA578" s="770"/>
      <c r="QB578" s="770"/>
      <c r="QC578" s="770"/>
      <c r="QD578" s="770"/>
      <c r="QE578" s="770"/>
      <c r="QF578" s="770"/>
      <c r="QG578" s="770"/>
      <c r="QH578" s="770"/>
      <c r="QI578" s="770"/>
      <c r="QJ578" s="770"/>
      <c r="QK578" s="770"/>
      <c r="QL578" s="770"/>
      <c r="QM578" s="770"/>
      <c r="QN578" s="770"/>
      <c r="QO578" s="770"/>
      <c r="QP578" s="770"/>
      <c r="QQ578" s="770"/>
      <c r="QR578" s="770"/>
      <c r="QS578" s="770"/>
      <c r="QT578" s="770"/>
      <c r="QU578" s="770"/>
      <c r="QV578" s="770"/>
      <c r="QW578" s="770"/>
      <c r="QX578" s="770"/>
      <c r="QY578" s="770"/>
      <c r="QZ578" s="770"/>
      <c r="RA578" s="770"/>
      <c r="RB578" s="770" t="s">
        <v>1207</v>
      </c>
      <c r="RC578" s="770">
        <v>2014</v>
      </c>
      <c r="RD578" s="770" t="s">
        <v>13251</v>
      </c>
      <c r="RE578" s="770" t="s">
        <v>12999</v>
      </c>
      <c r="RF578" s="304">
        <v>0.5</v>
      </c>
      <c r="RG578" s="770" t="s">
        <v>13047</v>
      </c>
      <c r="RH578" s="302">
        <v>0</v>
      </c>
      <c r="RI578" s="770">
        <v>2</v>
      </c>
      <c r="RJ578" s="770" t="s">
        <v>13770</v>
      </c>
      <c r="RK578" s="770" t="s">
        <v>13550</v>
      </c>
      <c r="RL578" s="1710"/>
      <c r="RM578" s="12"/>
      <c r="RN578" s="1711"/>
      <c r="RO578" s="132" t="s">
        <v>3943</v>
      </c>
      <c r="RP578" s="11"/>
      <c r="RQ578" s="11"/>
      <c r="RR578" s="17"/>
      <c r="RS578" s="767"/>
      <c r="RT578" s="11"/>
      <c r="RU578" s="11"/>
      <c r="RV578" s="771" t="s">
        <v>13769</v>
      </c>
      <c r="RW578" s="11" t="s">
        <v>7818</v>
      </c>
      <c r="RX578" s="11" t="s">
        <v>2834</v>
      </c>
      <c r="RY578" s="11"/>
      <c r="RZ578" s="11" t="s">
        <v>1101</v>
      </c>
      <c r="SA578" s="771"/>
      <c r="SB578" s="11"/>
      <c r="SC578" s="11"/>
    </row>
    <row r="579" spans="1:497" ht="12.75" hidden="1" customHeight="1">
      <c r="A579" s="343" t="s">
        <v>14139</v>
      </c>
      <c r="B579" s="127" t="s">
        <v>12370</v>
      </c>
      <c r="C579" s="132" t="s">
        <v>2853</v>
      </c>
      <c r="D579" s="94"/>
      <c r="E579" s="766" t="s">
        <v>2836</v>
      </c>
      <c r="F579" s="770"/>
      <c r="G579" s="770"/>
      <c r="H579" s="770"/>
      <c r="I579" s="295"/>
      <c r="J579" s="94"/>
      <c r="K579" s="766"/>
      <c r="L579" s="766"/>
      <c r="M579" s="770"/>
      <c r="N579" s="770"/>
      <c r="O579" s="770"/>
      <c r="P579" s="770"/>
      <c r="Q579" s="1088"/>
      <c r="R579" s="297"/>
      <c r="S579" s="770"/>
      <c r="T579" s="770"/>
      <c r="U579" s="295"/>
      <c r="V579" s="770"/>
      <c r="W579" s="770"/>
      <c r="X579" s="770"/>
      <c r="Y579" s="770"/>
      <c r="Z579" s="770"/>
      <c r="AA579" s="770"/>
      <c r="AB579" s="770"/>
      <c r="AC579" s="770"/>
      <c r="AD579" s="770"/>
      <c r="AE579" s="770"/>
      <c r="AF579" s="770"/>
      <c r="AG579" s="766" t="s">
        <v>1095</v>
      </c>
      <c r="AH579" s="766" t="s">
        <v>1096</v>
      </c>
      <c r="AI579" s="770" t="s">
        <v>3294</v>
      </c>
      <c r="AJ579" s="770"/>
      <c r="AK579" s="770" t="s">
        <v>1101</v>
      </c>
      <c r="AL579" s="531"/>
      <c r="AM579" s="780"/>
      <c r="AN579" s="532"/>
      <c r="AO579" s="766"/>
      <c r="AP579" s="766" t="s">
        <v>5364</v>
      </c>
      <c r="AQ579" s="766" t="s">
        <v>7418</v>
      </c>
      <c r="AR579" s="766"/>
      <c r="AS579" s="770"/>
      <c r="AT579" s="770"/>
      <c r="AU579" s="770"/>
      <c r="AV579" s="770"/>
      <c r="AW579" s="770"/>
      <c r="AX579" s="770"/>
      <c r="AY579" s="770"/>
      <c r="AZ579" s="770"/>
      <c r="BA579" s="770"/>
      <c r="BB579" s="770"/>
      <c r="BC579" s="770"/>
      <c r="BD579" s="770"/>
      <c r="BE579" s="770"/>
      <c r="BF579" s="302"/>
      <c r="BG579" s="302"/>
      <c r="BH579" s="770"/>
      <c r="BI579" s="770"/>
      <c r="BJ579" s="770"/>
      <c r="BK579" s="770" t="s">
        <v>1095</v>
      </c>
      <c r="BL579" s="770" t="s">
        <v>2847</v>
      </c>
      <c r="BM579" s="766" t="s">
        <v>1096</v>
      </c>
      <c r="BN579" s="770" t="s">
        <v>1230</v>
      </c>
      <c r="BO579" s="770" t="s">
        <v>2851</v>
      </c>
      <c r="BP579" s="773">
        <v>25.245000000000001</v>
      </c>
      <c r="BQ579" s="773">
        <v>5.9669999999999996</v>
      </c>
      <c r="BR579" s="42">
        <f>BQ579/BP579</f>
        <v>0.23636363636363633</v>
      </c>
      <c r="BS579" s="766" t="s">
        <v>1257</v>
      </c>
      <c r="BT579" s="65" t="s">
        <v>8133</v>
      </c>
      <c r="BU579" s="65" t="s">
        <v>1249</v>
      </c>
      <c r="BV579" s="770" t="s">
        <v>1247</v>
      </c>
      <c r="BW579" s="559"/>
      <c r="BX579" s="302"/>
      <c r="BY579" s="770"/>
      <c r="BZ579" s="302"/>
      <c r="CA579" s="770"/>
      <c r="CB579" s="770"/>
      <c r="CC579" s="770"/>
      <c r="CD579" s="770"/>
      <c r="CE579" s="770"/>
      <c r="CF579" s="1753"/>
      <c r="CG579" s="1754"/>
      <c r="CH579" s="770"/>
      <c r="CI579" s="770"/>
      <c r="CJ579" s="770"/>
      <c r="CK579" s="770"/>
      <c r="CL579" s="770"/>
      <c r="CM579" s="770"/>
      <c r="CN579" s="770"/>
      <c r="CO579" s="770"/>
      <c r="CP579" s="770"/>
      <c r="CQ579" s="770"/>
      <c r="CR579" s="302"/>
      <c r="CS579" s="770"/>
      <c r="CT579" s="770"/>
      <c r="CU579" s="305"/>
      <c r="CV579" s="770"/>
      <c r="CW579" s="770"/>
      <c r="CX579" s="770"/>
      <c r="CY579" s="770"/>
      <c r="CZ579" s="770"/>
      <c r="DA579" s="306"/>
      <c r="DB579" s="770"/>
      <c r="DC579" s="770"/>
      <c r="DD579" s="770"/>
      <c r="DE579" s="300"/>
      <c r="DF579" s="770"/>
      <c r="DG579" s="770"/>
      <c r="DH579" s="770"/>
      <c r="DI579" s="770"/>
      <c r="DJ579" s="770"/>
      <c r="DK579" s="770"/>
      <c r="DL579" s="770"/>
      <c r="DM579" s="770"/>
      <c r="DN579" s="322"/>
      <c r="DO579" s="770"/>
      <c r="DP579" s="770"/>
      <c r="DQ579" s="770"/>
      <c r="DR579" s="770"/>
      <c r="DS579" s="307"/>
      <c r="DT579" s="770"/>
      <c r="DU579" s="770"/>
      <c r="DV579" s="770"/>
      <c r="DW579" s="306"/>
      <c r="DX579" s="306"/>
      <c r="DY579" s="770"/>
      <c r="DZ579" s="770"/>
      <c r="EA579" s="770"/>
      <c r="EB579" s="770"/>
      <c r="EC579" s="770"/>
      <c r="ED579" s="770"/>
      <c r="EE579" s="770"/>
      <c r="EF579" s="770"/>
      <c r="EG579" s="770"/>
      <c r="EH579" s="770"/>
      <c r="EI579" s="770"/>
      <c r="EJ579" s="770"/>
      <c r="EK579" s="770"/>
      <c r="EL579" s="770"/>
      <c r="EM579" s="770"/>
      <c r="EN579" s="770"/>
      <c r="EO579" s="770"/>
      <c r="EP579" s="94"/>
      <c r="EQ579" s="770"/>
      <c r="ER579" s="770"/>
      <c r="ES579" s="770"/>
      <c r="ET579" s="770"/>
      <c r="EU579" s="770"/>
      <c r="EV579" s="770"/>
      <c r="EW579" s="770"/>
      <c r="EX579" s="770"/>
      <c r="EY579" s="770"/>
      <c r="EZ579" s="770"/>
      <c r="FA579" s="770"/>
      <c r="FB579" s="770"/>
      <c r="FC579" s="770"/>
      <c r="FD579" s="302"/>
      <c r="FE579" s="770"/>
      <c r="FF579" s="770"/>
      <c r="FG579" s="770"/>
      <c r="FH579" s="770"/>
      <c r="FI579" s="770"/>
      <c r="FJ579" s="770"/>
      <c r="FK579" s="770"/>
      <c r="FL579" s="770"/>
      <c r="FM579" s="302"/>
      <c r="FN579" s="302"/>
      <c r="FO579" s="302"/>
      <c r="FP579" s="770"/>
      <c r="FQ579" s="770"/>
      <c r="FR579" s="770"/>
      <c r="FS579" s="770"/>
      <c r="FT579" s="770"/>
      <c r="FU579" s="770"/>
      <c r="FV579" s="770"/>
      <c r="FW579" s="770"/>
      <c r="FX579" s="770"/>
      <c r="FY579" s="770"/>
      <c r="FZ579" s="770"/>
      <c r="GA579" s="770"/>
      <c r="GB579" s="770"/>
      <c r="GC579" s="308"/>
      <c r="GD579" s="297"/>
      <c r="GE579" s="770"/>
      <c r="GF579" s="302"/>
      <c r="GG579" s="302"/>
      <c r="GH579" s="770"/>
      <c r="GI579" s="770"/>
      <c r="GJ579" s="770"/>
      <c r="GK579" s="770"/>
      <c r="GL579" s="770"/>
      <c r="GM579" s="770"/>
      <c r="GN579" s="299"/>
      <c r="GO579" s="770"/>
      <c r="GP579" s="770"/>
      <c r="GQ579" s="770"/>
      <c r="GR579" s="770"/>
      <c r="GS579" s="770"/>
      <c r="GT579" s="770"/>
      <c r="GU579" s="770"/>
      <c r="GV579" s="770"/>
      <c r="GW579" s="770"/>
      <c r="GX579" s="770"/>
      <c r="GY579" s="770"/>
      <c r="GZ579" s="770"/>
      <c r="HA579" s="770"/>
      <c r="HB579" s="770"/>
      <c r="HC579" s="770"/>
      <c r="HD579" s="770"/>
      <c r="HE579" s="770"/>
      <c r="HF579" s="770"/>
      <c r="HG579" s="770"/>
      <c r="HH579" s="770"/>
      <c r="HI579" s="770"/>
      <c r="HJ579" s="770"/>
      <c r="HK579" s="770"/>
      <c r="HL579" s="770"/>
      <c r="HM579" s="770"/>
      <c r="HN579" s="770"/>
      <c r="HO579" s="770"/>
      <c r="HP579" s="770"/>
      <c r="HQ579" s="770"/>
      <c r="HR579" s="770"/>
      <c r="HS579" s="770"/>
      <c r="HT579" s="770"/>
      <c r="HU579" s="770"/>
      <c r="HV579" s="770"/>
      <c r="HW579" s="770"/>
      <c r="HX579" s="770"/>
      <c r="HY579" s="770"/>
      <c r="HZ579" s="770"/>
      <c r="IA579" s="770"/>
      <c r="IB579" s="770"/>
      <c r="IC579" s="770"/>
      <c r="ID579" s="770"/>
      <c r="IE579" s="770"/>
      <c r="IF579" s="770"/>
      <c r="IG579" s="770"/>
      <c r="IH579" s="770"/>
      <c r="II579" s="770"/>
      <c r="IJ579" s="770"/>
      <c r="IK579" s="770"/>
      <c r="IL579" s="770"/>
      <c r="IM579" s="770"/>
      <c r="IN579" s="770"/>
      <c r="IO579" s="296"/>
      <c r="IP579" s="770"/>
      <c r="IQ579" s="770"/>
      <c r="IR579" s="770"/>
      <c r="IS579" s="770"/>
      <c r="IT579" s="770"/>
      <c r="IU579" s="770"/>
      <c r="IV579" s="770"/>
      <c r="IW579" s="770"/>
      <c r="IX579" s="770"/>
      <c r="IY579" s="770"/>
      <c r="IZ579" s="770"/>
      <c r="JA579" s="770"/>
      <c r="JB579" s="770"/>
      <c r="JC579" s="770"/>
      <c r="JD579" s="302"/>
      <c r="JE579" s="770"/>
      <c r="JF579" s="770"/>
      <c r="JG579" s="770"/>
      <c r="JH579" s="307"/>
      <c r="JI579" s="307"/>
      <c r="JJ579" s="770"/>
      <c r="JK579" s="770"/>
      <c r="JL579" s="770"/>
      <c r="JM579" s="770"/>
      <c r="JN579" s="770"/>
      <c r="JO579" s="770"/>
      <c r="JP579" s="770"/>
      <c r="JQ579" s="770"/>
      <c r="JR579" s="770"/>
      <c r="JS579" s="770"/>
      <c r="JT579" s="766"/>
      <c r="JU579" s="766"/>
      <c r="JV579" s="766"/>
      <c r="JW579" s="766"/>
      <c r="JX579" s="770"/>
      <c r="JY579" s="770"/>
      <c r="JZ579" s="770"/>
      <c r="KA579" s="770"/>
      <c r="KB579" s="770"/>
      <c r="KC579" s="770"/>
      <c r="KD579" s="770"/>
      <c r="KE579" s="770"/>
      <c r="KF579" s="770"/>
      <c r="KG579" s="770"/>
      <c r="KH579" s="770"/>
      <c r="KI579" s="770"/>
      <c r="KJ579" s="770"/>
      <c r="KK579" s="770"/>
      <c r="KL579" s="770"/>
      <c r="KM579" s="770"/>
      <c r="KN579" s="770"/>
      <c r="KO579" s="770"/>
      <c r="KP579" s="770"/>
      <c r="KQ579" s="770"/>
      <c r="KR579" s="770"/>
      <c r="KS579" s="770"/>
      <c r="KT579" s="770"/>
      <c r="KU579" s="770"/>
      <c r="KV579" s="770"/>
      <c r="KW579" s="770"/>
      <c r="KX579" s="770"/>
      <c r="KY579" s="770"/>
      <c r="KZ579" s="770"/>
      <c r="LA579" s="770"/>
      <c r="LB579" s="770"/>
      <c r="LC579" s="770"/>
      <c r="LD579" s="770"/>
      <c r="LE579" s="770"/>
      <c r="LF579" s="770"/>
      <c r="LG579" s="770"/>
      <c r="LH579" s="770"/>
      <c r="LI579" s="770"/>
      <c r="LJ579" s="770"/>
      <c r="LK579" s="770"/>
      <c r="LL579" s="770"/>
      <c r="LM579" s="770"/>
      <c r="LN579" s="766"/>
      <c r="LO579" s="766"/>
      <c r="LP579" s="770"/>
      <c r="LQ579" s="770"/>
      <c r="LR579" s="770"/>
      <c r="LS579" s="770"/>
      <c r="LT579" s="770"/>
      <c r="LU579" s="770"/>
      <c r="LV579" s="770"/>
      <c r="LW579" s="770"/>
      <c r="LX579" s="769"/>
      <c r="LY579" s="766" t="str">
        <f t="shared" si="160"/>
        <v/>
      </c>
      <c r="LZ579" s="1709"/>
      <c r="MA579" s="1709"/>
      <c r="MB579" s="1709"/>
      <c r="MC579" s="1679">
        <f t="shared" si="158"/>
        <v>0</v>
      </c>
      <c r="MD579" s="1709"/>
      <c r="ME579" s="1709"/>
      <c r="MF579" s="1709"/>
      <c r="MG579" s="1680">
        <f t="shared" si="164"/>
        <v>0</v>
      </c>
      <c r="MH579" s="770"/>
      <c r="MI579" s="302"/>
      <c r="MJ579" s="302"/>
      <c r="MK579" s="302"/>
      <c r="ML579" s="302"/>
      <c r="MM579" s="302"/>
      <c r="MN579" s="302"/>
      <c r="MO579" s="302"/>
      <c r="MP579" s="302"/>
      <c r="MQ579" s="302"/>
      <c r="MR579" s="302"/>
      <c r="MS579" s="302"/>
      <c r="MT579" s="302"/>
      <c r="MU579" s="302"/>
      <c r="MV579" s="302"/>
      <c r="MW579" s="302"/>
      <c r="MX579" s="302"/>
      <c r="MY579" s="1682">
        <f t="shared" si="165"/>
        <v>0</v>
      </c>
      <c r="MZ579" s="770"/>
      <c r="NA579" s="770"/>
      <c r="NB579" s="770"/>
      <c r="NC579" s="770"/>
      <c r="ND579" s="770"/>
      <c r="NE579" s="770"/>
      <c r="NF579" s="770"/>
      <c r="NG579" s="770"/>
      <c r="NH579" s="770"/>
      <c r="NI579" s="770"/>
      <c r="NJ579" s="770"/>
      <c r="NK579" s="770"/>
      <c r="NL579" s="770"/>
      <c r="NM579" s="770"/>
      <c r="NN579" s="770"/>
      <c r="NO579" s="770"/>
      <c r="NP579" s="770"/>
      <c r="NQ579" s="770"/>
      <c r="NR579" s="770"/>
      <c r="NS579" s="770"/>
      <c r="NT579" s="770"/>
      <c r="NU579" s="770"/>
      <c r="NV579" s="770"/>
      <c r="NW579" s="770"/>
      <c r="NX579" s="770"/>
      <c r="NY579" s="770"/>
      <c r="NZ579" s="770"/>
      <c r="OA579" s="770"/>
      <c r="OB579" s="770"/>
      <c r="OC579" s="770"/>
      <c r="OD579" s="770"/>
      <c r="OE579" s="770"/>
      <c r="OF579" s="770"/>
      <c r="OG579" s="770"/>
      <c r="OH579" s="770"/>
      <c r="OI579" s="770"/>
      <c r="OJ579" s="770"/>
      <c r="OK579" s="770"/>
      <c r="OL579" s="770"/>
      <c r="OM579" s="770"/>
      <c r="ON579" s="770"/>
      <c r="OO579" s="770"/>
      <c r="OP579" s="770"/>
      <c r="OQ579" s="770"/>
      <c r="OR579" s="770"/>
      <c r="OS579" s="770"/>
      <c r="OT579" s="770"/>
      <c r="OU579" s="770"/>
      <c r="OV579" s="770"/>
      <c r="OW579" s="770"/>
      <c r="OX579" s="770"/>
      <c r="OY579" s="770"/>
      <c r="OZ579" s="770"/>
      <c r="PA579" s="770"/>
      <c r="PB579" s="770"/>
      <c r="PC579" s="770"/>
      <c r="PD579" s="770"/>
      <c r="PE579" s="770"/>
      <c r="PF579" s="770"/>
      <c r="PG579" s="770"/>
      <c r="PH579" s="770"/>
      <c r="PI579" s="770"/>
      <c r="PJ579" s="770"/>
      <c r="PK579" s="770"/>
      <c r="PL579" s="770"/>
      <c r="PM579" s="770"/>
      <c r="PN579" s="770"/>
      <c r="PO579" s="770"/>
      <c r="PP579" s="770"/>
      <c r="PQ579" s="770"/>
      <c r="PR579" s="770"/>
      <c r="PS579" s="770"/>
      <c r="PT579" s="770"/>
      <c r="PU579" s="770"/>
      <c r="PV579" s="770"/>
      <c r="PW579" s="770"/>
      <c r="PX579" s="770"/>
      <c r="PY579" s="770"/>
      <c r="PZ579" s="770"/>
      <c r="QA579" s="770"/>
      <c r="QB579" s="770"/>
      <c r="QC579" s="770"/>
      <c r="QD579" s="770"/>
      <c r="QE579" s="770"/>
      <c r="QF579" s="770"/>
      <c r="QG579" s="770"/>
      <c r="QH579" s="770"/>
      <c r="QI579" s="770"/>
      <c r="QJ579" s="770"/>
      <c r="QK579" s="770"/>
      <c r="QL579" s="770"/>
      <c r="QM579" s="770"/>
      <c r="QN579" s="770"/>
      <c r="QO579" s="770"/>
      <c r="QP579" s="770"/>
      <c r="QQ579" s="770"/>
      <c r="QR579" s="770"/>
      <c r="QS579" s="770"/>
      <c r="QT579" s="770"/>
      <c r="QU579" s="770"/>
      <c r="QV579" s="770"/>
      <c r="QW579" s="770"/>
      <c r="QX579" s="770"/>
      <c r="QY579" s="770"/>
      <c r="QZ579" s="770"/>
      <c r="RA579" s="770"/>
      <c r="RB579" s="770"/>
      <c r="RC579" s="770"/>
      <c r="RD579" s="770"/>
      <c r="RE579" s="770"/>
      <c r="RF579" s="304"/>
      <c r="RG579" s="770"/>
      <c r="RH579" s="302"/>
      <c r="RI579" s="770"/>
      <c r="RJ579" s="770"/>
      <c r="RK579" s="770"/>
      <c r="RL579" s="1710"/>
      <c r="RM579" s="12"/>
      <c r="RN579" s="1711"/>
      <c r="RO579" s="132" t="s">
        <v>2853</v>
      </c>
      <c r="RP579" s="11"/>
      <c r="RQ579" s="11"/>
      <c r="RR579" s="17"/>
      <c r="RS579" s="767"/>
      <c r="RT579" s="11"/>
      <c r="RU579" s="11"/>
      <c r="RV579" s="771" t="s">
        <v>13769</v>
      </c>
      <c r="RW579" s="11" t="s">
        <v>7819</v>
      </c>
      <c r="RX579" s="11" t="s">
        <v>3935</v>
      </c>
      <c r="RY579" s="11"/>
      <c r="RZ579" s="11" t="s">
        <v>1101</v>
      </c>
      <c r="SA579" s="771"/>
      <c r="SB579" s="11"/>
      <c r="SC579" s="11"/>
    </row>
    <row r="580" spans="1:497" ht="15" hidden="1" customHeight="1">
      <c r="A580" s="343" t="s">
        <v>14224</v>
      </c>
      <c r="B580" s="752" t="s">
        <v>7504</v>
      </c>
      <c r="C580" s="132" t="s">
        <v>2853</v>
      </c>
      <c r="D580" s="94" t="s">
        <v>3029</v>
      </c>
      <c r="E580" s="766" t="s">
        <v>2836</v>
      </c>
      <c r="F580" s="770" t="s">
        <v>28</v>
      </c>
      <c r="G580" s="770" t="s">
        <v>18</v>
      </c>
      <c r="H580" s="770"/>
      <c r="I580" s="295" t="s">
        <v>2845</v>
      </c>
      <c r="J580" s="94" t="s">
        <v>3029</v>
      </c>
      <c r="K580" s="770" t="s">
        <v>14123</v>
      </c>
      <c r="L580" s="770"/>
      <c r="M580" s="770" t="s">
        <v>1238</v>
      </c>
      <c r="N580" s="770"/>
      <c r="O580" s="770" t="s">
        <v>3897</v>
      </c>
      <c r="P580" s="770" t="s">
        <v>2846</v>
      </c>
      <c r="Q580" s="1088">
        <v>22184</v>
      </c>
      <c r="R580" s="297">
        <v>56</v>
      </c>
      <c r="S580" s="770" t="s">
        <v>783</v>
      </c>
      <c r="T580" s="770"/>
      <c r="U580" s="295" t="s">
        <v>2845</v>
      </c>
      <c r="V580" s="770" t="s">
        <v>2970</v>
      </c>
      <c r="W580" s="770"/>
      <c r="X580" s="770"/>
      <c r="Y580" s="770" t="s">
        <v>2836</v>
      </c>
      <c r="Z580" s="770" t="s">
        <v>708</v>
      </c>
      <c r="AA580" s="770" t="s">
        <v>709</v>
      </c>
      <c r="AB580" s="770" t="s">
        <v>7273</v>
      </c>
      <c r="AC580" s="770" t="s">
        <v>948</v>
      </c>
      <c r="AD580" s="770" t="s">
        <v>711</v>
      </c>
      <c r="AE580" s="770"/>
      <c r="AF580" s="770" t="s">
        <v>712</v>
      </c>
      <c r="AG580" s="770"/>
      <c r="AH580" s="770"/>
      <c r="AI580" s="770"/>
      <c r="AJ580" s="770"/>
      <c r="AK580" s="770" t="s">
        <v>1899</v>
      </c>
      <c r="AL580" s="531"/>
      <c r="AM580" s="780"/>
      <c r="AN580" s="532"/>
      <c r="AO580" s="766"/>
      <c r="AP580" s="766"/>
      <c r="AQ580" s="766"/>
      <c r="AR580" s="766"/>
      <c r="AS580" s="770"/>
      <c r="AT580" s="770"/>
      <c r="AU580" s="770"/>
      <c r="AV580" s="770"/>
      <c r="AW580" s="770"/>
      <c r="AX580" s="770"/>
      <c r="AY580" s="770"/>
      <c r="AZ580" s="770"/>
      <c r="BA580" s="770"/>
      <c r="BB580" s="770"/>
      <c r="BC580" s="770"/>
      <c r="BD580" s="770"/>
      <c r="BE580" s="770"/>
      <c r="BF580" s="302"/>
      <c r="BG580" s="302"/>
      <c r="BH580" s="770"/>
      <c r="BI580" s="770"/>
      <c r="BJ580" s="770"/>
      <c r="BK580" s="770"/>
      <c r="BL580" s="770"/>
      <c r="BM580" s="770" t="s">
        <v>1238</v>
      </c>
      <c r="BN580" s="770" t="s">
        <v>1256</v>
      </c>
      <c r="BO580" s="770"/>
      <c r="BP580" s="765"/>
      <c r="BQ580" s="773"/>
      <c r="BR580" s="774"/>
      <c r="BS580" s="766" t="s">
        <v>1257</v>
      </c>
      <c r="BT580" s="770"/>
      <c r="BU580" s="770"/>
      <c r="BV580" s="770"/>
      <c r="BW580" s="770"/>
      <c r="BX580" s="302"/>
      <c r="BY580" s="770"/>
      <c r="BZ580" s="302"/>
      <c r="CA580" s="770"/>
      <c r="CB580" s="770"/>
      <c r="CC580" s="770"/>
      <c r="CD580" s="770"/>
      <c r="CE580" s="770"/>
      <c r="CF580" s="1753"/>
      <c r="CG580" s="1754"/>
      <c r="CH580" s="770"/>
      <c r="CI580" s="770"/>
      <c r="CJ580" s="770"/>
      <c r="CK580" s="770"/>
      <c r="CL580" s="770"/>
      <c r="CM580" s="770"/>
      <c r="CN580" s="770"/>
      <c r="CO580" s="770"/>
      <c r="CP580" s="770"/>
      <c r="CQ580" s="770"/>
      <c r="CR580" s="302"/>
      <c r="CS580" s="770"/>
      <c r="CT580" s="770"/>
      <c r="CU580" s="305"/>
      <c r="CV580" s="770"/>
      <c r="CW580" s="770"/>
      <c r="CX580" s="770"/>
      <c r="CY580" s="770"/>
      <c r="CZ580" s="770"/>
      <c r="DA580" s="306"/>
      <c r="DB580" s="770"/>
      <c r="DC580" s="770"/>
      <c r="DD580" s="770"/>
      <c r="DE580" s="300"/>
      <c r="DF580" s="770"/>
      <c r="DG580" s="770"/>
      <c r="DH580" s="770"/>
      <c r="DI580" s="770"/>
      <c r="DJ580" s="770"/>
      <c r="DK580" s="770"/>
      <c r="DL580" s="770"/>
      <c r="DM580" s="770"/>
      <c r="DN580" s="322"/>
      <c r="DO580" s="770"/>
      <c r="DP580" s="770"/>
      <c r="DQ580" s="770"/>
      <c r="DR580" s="770"/>
      <c r="DS580" s="307"/>
      <c r="DT580" s="770"/>
      <c r="DU580" s="770"/>
      <c r="DV580" s="770"/>
      <c r="DW580" s="306"/>
      <c r="DX580" s="306"/>
      <c r="DY580" s="770"/>
      <c r="DZ580" s="770"/>
      <c r="EA580" s="770"/>
      <c r="EB580" s="770"/>
      <c r="EC580" s="770"/>
      <c r="ED580" s="770"/>
      <c r="EE580" s="770"/>
      <c r="EF580" s="770"/>
      <c r="EG580" s="770"/>
      <c r="EH580" s="770"/>
      <c r="EI580" s="770"/>
      <c r="EJ580" s="770"/>
      <c r="EK580" s="770"/>
      <c r="EL580" s="770"/>
      <c r="EM580" s="770"/>
      <c r="EN580" s="770"/>
      <c r="EO580" s="770"/>
      <c r="EP580" s="94"/>
      <c r="EQ580" s="770"/>
      <c r="ER580" s="770"/>
      <c r="ES580" s="770"/>
      <c r="ET580" s="770"/>
      <c r="EU580" s="770"/>
      <c r="EV580" s="770"/>
      <c r="EW580" s="770"/>
      <c r="EX580" s="770"/>
      <c r="EY580" s="770"/>
      <c r="EZ580" s="770"/>
      <c r="FA580" s="770"/>
      <c r="FB580" s="770"/>
      <c r="FC580" s="770"/>
      <c r="FD580" s="302"/>
      <c r="FE580" s="770"/>
      <c r="FF580" s="770"/>
      <c r="FG580" s="770"/>
      <c r="FH580" s="770" t="s">
        <v>1306</v>
      </c>
      <c r="FI580" s="770">
        <v>1</v>
      </c>
      <c r="FJ580" s="770" t="s">
        <v>2847</v>
      </c>
      <c r="FK580" s="770"/>
      <c r="FL580" s="770" t="s">
        <v>2852</v>
      </c>
      <c r="FM580" s="147">
        <v>2000</v>
      </c>
      <c r="FN580" s="302">
        <v>260</v>
      </c>
      <c r="FO580" s="302">
        <v>150</v>
      </c>
      <c r="FP580" s="770"/>
      <c r="FQ580" s="770"/>
      <c r="FR580" s="770"/>
      <c r="FS580" s="770"/>
      <c r="FT580" s="770"/>
      <c r="FU580" s="770"/>
      <c r="FV580" s="770"/>
      <c r="FW580" s="770"/>
      <c r="FX580" s="770"/>
      <c r="FY580" s="770"/>
      <c r="FZ580" s="770"/>
      <c r="GA580" s="770"/>
      <c r="GB580" s="770"/>
      <c r="GC580" s="308"/>
      <c r="GD580" s="297"/>
      <c r="GE580" s="770"/>
      <c r="GF580" s="302"/>
      <c r="GG580" s="302"/>
      <c r="GH580" s="770"/>
      <c r="GI580" s="770"/>
      <c r="GJ580" s="770"/>
      <c r="GK580" s="770"/>
      <c r="GL580" s="770"/>
      <c r="GM580" s="770"/>
      <c r="GN580" s="299"/>
      <c r="GO580" s="770"/>
      <c r="GP580" s="770"/>
      <c r="GQ580" s="770"/>
      <c r="GR580" s="770"/>
      <c r="GS580" s="770"/>
      <c r="GT580" s="770"/>
      <c r="GU580" s="770"/>
      <c r="GV580" s="770"/>
      <c r="GW580" s="770"/>
      <c r="GX580" s="770"/>
      <c r="GY580" s="770"/>
      <c r="GZ580" s="770"/>
      <c r="HA580" s="770"/>
      <c r="HB580" s="770"/>
      <c r="HC580" s="770"/>
      <c r="HD580" s="770"/>
      <c r="HE580" s="770"/>
      <c r="HF580" s="770"/>
      <c r="HG580" s="770"/>
      <c r="HH580" s="770"/>
      <c r="HI580" s="770"/>
      <c r="HJ580" s="770"/>
      <c r="HK580" s="770"/>
      <c r="HL580" s="770"/>
      <c r="HM580" s="770"/>
      <c r="HN580" s="770"/>
      <c r="HO580" s="770"/>
      <c r="HP580" s="770"/>
      <c r="HQ580" s="770"/>
      <c r="HR580" s="770"/>
      <c r="HS580" s="770"/>
      <c r="HT580" s="770"/>
      <c r="HU580" s="770"/>
      <c r="HV580" s="770"/>
      <c r="HW580" s="770"/>
      <c r="HX580" s="770"/>
      <c r="HY580" s="770"/>
      <c r="HZ580" s="770"/>
      <c r="IA580" s="770"/>
      <c r="IB580" s="770" t="s">
        <v>1207</v>
      </c>
      <c r="IC580" s="770" t="s">
        <v>1207</v>
      </c>
      <c r="ID580" s="770"/>
      <c r="IE580" s="770"/>
      <c r="IF580" s="770"/>
      <c r="IG580" s="770"/>
      <c r="IH580" s="770"/>
      <c r="II580" s="770"/>
      <c r="IJ580" s="770"/>
      <c r="IK580" s="770"/>
      <c r="IL580" s="770"/>
      <c r="IM580" s="770"/>
      <c r="IN580" s="770"/>
      <c r="IO580" s="296"/>
      <c r="IP580" s="770"/>
      <c r="IQ580" s="770"/>
      <c r="IR580" s="770"/>
      <c r="IS580" s="770"/>
      <c r="IT580" s="770"/>
      <c r="IU580" s="770"/>
      <c r="IV580" s="770"/>
      <c r="IW580" s="770"/>
      <c r="IX580" s="770"/>
      <c r="IY580" s="770"/>
      <c r="IZ580" s="770"/>
      <c r="JA580" s="770"/>
      <c r="JB580" s="770"/>
      <c r="JC580" s="770"/>
      <c r="JD580" s="302"/>
      <c r="JE580" s="770"/>
      <c r="JF580" s="770"/>
      <c r="JG580" s="770"/>
      <c r="JH580" s="307"/>
      <c r="JI580" s="307"/>
      <c r="JJ580" s="770">
        <v>3</v>
      </c>
      <c r="JK580" s="770" t="s">
        <v>2848</v>
      </c>
      <c r="JL580" s="770"/>
      <c r="JM580" s="770"/>
      <c r="JN580" s="770">
        <v>1</v>
      </c>
      <c r="JO580" s="770">
        <v>2</v>
      </c>
      <c r="JP580" s="770"/>
      <c r="JQ580" s="770"/>
      <c r="JR580" s="770"/>
      <c r="JS580" s="770"/>
      <c r="JT580" s="766">
        <f>SUM(JP580,JN580,JL580,JR580)</f>
        <v>1</v>
      </c>
      <c r="JU580" s="766">
        <f>SUM(JQ580,JO580,JM580,JS580)</f>
        <v>2</v>
      </c>
      <c r="JV580" s="766"/>
      <c r="JW580" s="766"/>
      <c r="JX580" s="770"/>
      <c r="JY580" s="770"/>
      <c r="JZ580" s="770"/>
      <c r="KA580" s="770"/>
      <c r="KB580" s="770">
        <v>1</v>
      </c>
      <c r="KC580" s="770">
        <v>1</v>
      </c>
      <c r="KD580" s="770"/>
      <c r="KE580" s="770">
        <v>1</v>
      </c>
      <c r="KF580" s="770"/>
      <c r="KG580" s="770"/>
      <c r="KH580" s="770"/>
      <c r="KI580" s="770"/>
      <c r="KJ580" s="770">
        <f t="shared" si="153"/>
        <v>1</v>
      </c>
      <c r="KK580" s="770">
        <f t="shared" si="153"/>
        <v>2</v>
      </c>
      <c r="KL580" s="770"/>
      <c r="KM580" s="770"/>
      <c r="KN580" s="770" t="s">
        <v>783</v>
      </c>
      <c r="KO580" s="770"/>
      <c r="KP580" s="770"/>
      <c r="KQ580" s="770"/>
      <c r="KR580" s="770"/>
      <c r="KS580" s="770"/>
      <c r="KT580" s="770"/>
      <c r="KU580" s="770"/>
      <c r="KV580" s="770"/>
      <c r="KW580" s="770"/>
      <c r="KX580" s="770">
        <v>1</v>
      </c>
      <c r="KY580" s="770">
        <v>2</v>
      </c>
      <c r="KZ580" s="770"/>
      <c r="LA580" s="770"/>
      <c r="LB580" s="770"/>
      <c r="LC580" s="770"/>
      <c r="LD580" s="770"/>
      <c r="LE580" s="770"/>
      <c r="LF580" s="770"/>
      <c r="LG580" s="770"/>
      <c r="LH580" s="770"/>
      <c r="LI580" s="770"/>
      <c r="LJ580" s="770"/>
      <c r="LK580" s="770"/>
      <c r="LL580" s="770"/>
      <c r="LM580" s="770"/>
      <c r="LN580" s="766">
        <f t="shared" si="159"/>
        <v>1</v>
      </c>
      <c r="LO580" s="766">
        <f t="shared" si="159"/>
        <v>2</v>
      </c>
      <c r="LP580" s="770">
        <v>2</v>
      </c>
      <c r="LQ580" s="770">
        <v>1</v>
      </c>
      <c r="LR580" s="770"/>
      <c r="LS580" s="770">
        <v>1</v>
      </c>
      <c r="LT580" s="770"/>
      <c r="LU580" s="770">
        <v>1</v>
      </c>
      <c r="LV580" s="770"/>
      <c r="LW580" s="770"/>
      <c r="LX580" s="769">
        <v>1</v>
      </c>
      <c r="LY580" s="766" t="str">
        <f t="shared" si="160"/>
        <v>within the BRGY</v>
      </c>
      <c r="LZ580" s="1709"/>
      <c r="MA580" s="1709"/>
      <c r="MB580" s="1709">
        <f>100*4</f>
        <v>400</v>
      </c>
      <c r="MC580" s="1679">
        <f t="shared" si="158"/>
        <v>400</v>
      </c>
      <c r="MD580" s="1709">
        <f>480*26</f>
        <v>12480</v>
      </c>
      <c r="ME580" s="1709"/>
      <c r="MF580" s="1709">
        <f>4000+350</f>
        <v>4350</v>
      </c>
      <c r="MG580" s="1680">
        <f t="shared" si="164"/>
        <v>16830</v>
      </c>
      <c r="MH580" s="770" t="s">
        <v>2972</v>
      </c>
      <c r="MI580" s="302">
        <f>300*30</f>
        <v>9000</v>
      </c>
      <c r="MJ580" s="302">
        <v>400</v>
      </c>
      <c r="MK580" s="302">
        <v>3000</v>
      </c>
      <c r="ML580" s="302"/>
      <c r="MM580" s="302"/>
      <c r="MN580" s="302">
        <v>2000</v>
      </c>
      <c r="MO580" s="302">
        <v>300</v>
      </c>
      <c r="MP580" s="302">
        <v>150</v>
      </c>
      <c r="MQ580" s="302">
        <v>140</v>
      </c>
      <c r="MR580" s="302">
        <v>130</v>
      </c>
      <c r="MS580" s="302"/>
      <c r="MT580" s="302"/>
      <c r="MU580" s="302"/>
      <c r="MV580" s="302"/>
      <c r="MW580" s="302"/>
      <c r="MX580" s="302"/>
      <c r="MY580" s="1682">
        <f t="shared" si="165"/>
        <v>15120</v>
      </c>
      <c r="MZ580" s="770" t="s">
        <v>13395</v>
      </c>
      <c r="NA580" s="770" t="s">
        <v>13230</v>
      </c>
      <c r="NB580" s="770" t="s">
        <v>13016</v>
      </c>
      <c r="NC580" s="770" t="s">
        <v>13602</v>
      </c>
      <c r="ND580" s="770">
        <v>0</v>
      </c>
      <c r="NE580" s="770">
        <v>0</v>
      </c>
      <c r="NF580" s="770">
        <v>0</v>
      </c>
      <c r="NG580" s="770">
        <v>1</v>
      </c>
      <c r="NH580" s="770">
        <v>1</v>
      </c>
      <c r="NI580" s="770">
        <v>0</v>
      </c>
      <c r="NJ580" s="770">
        <v>0</v>
      </c>
      <c r="NK580" s="770">
        <v>0</v>
      </c>
      <c r="NL580" s="770">
        <v>0</v>
      </c>
      <c r="NM580" s="770">
        <v>1</v>
      </c>
      <c r="NN580" s="770">
        <v>0</v>
      </c>
      <c r="NO580" s="770">
        <v>0</v>
      </c>
      <c r="NP580" s="770">
        <v>0</v>
      </c>
      <c r="NQ580" s="770">
        <v>0</v>
      </c>
      <c r="NR580" s="770">
        <v>0</v>
      </c>
      <c r="NS580" s="770">
        <v>0</v>
      </c>
      <c r="NT580" s="770">
        <v>0</v>
      </c>
      <c r="NU580" s="770">
        <v>0</v>
      </c>
      <c r="NV580" s="770">
        <v>0</v>
      </c>
      <c r="NW580" s="770">
        <v>0</v>
      </c>
      <c r="NX580" s="770">
        <v>0</v>
      </c>
      <c r="NY580" s="770" t="s">
        <v>1208</v>
      </c>
      <c r="NZ580" s="770"/>
      <c r="OA580" s="770"/>
      <c r="OB580" s="770" t="s">
        <v>1208</v>
      </c>
      <c r="OC580" s="770" t="s">
        <v>1208</v>
      </c>
      <c r="OD580" s="770" t="s">
        <v>1208</v>
      </c>
      <c r="OE580" s="770"/>
      <c r="OF580" s="770"/>
      <c r="OG580" s="770"/>
      <c r="OH580" s="770"/>
      <c r="OI580" s="770"/>
      <c r="OJ580" s="770"/>
      <c r="OK580" s="770"/>
      <c r="OL580" s="770"/>
      <c r="OM580" s="770"/>
      <c r="ON580" s="770"/>
      <c r="OO580" s="770"/>
      <c r="OP580" s="770"/>
      <c r="OQ580" s="770"/>
      <c r="OR580" s="770"/>
      <c r="OS580" s="770"/>
      <c r="OT580" s="770"/>
      <c r="OU580" s="770"/>
      <c r="OV580" s="770"/>
      <c r="OW580" s="770"/>
      <c r="OX580" s="770"/>
      <c r="OY580" s="770"/>
      <c r="OZ580" s="770"/>
      <c r="PA580" s="770"/>
      <c r="PB580" s="770"/>
      <c r="PC580" s="770"/>
      <c r="PD580" s="770"/>
      <c r="PE580" s="770"/>
      <c r="PF580" s="770"/>
      <c r="PG580" s="770"/>
      <c r="PH580" s="770"/>
      <c r="PI580" s="770"/>
      <c r="PJ580" s="770"/>
      <c r="PK580" s="770" t="s">
        <v>1208</v>
      </c>
      <c r="PL580" s="770"/>
      <c r="PM580" s="770"/>
      <c r="PN580" s="770"/>
      <c r="PO580" s="770"/>
      <c r="PP580" s="770"/>
      <c r="PQ580" s="770"/>
      <c r="PR580" s="770"/>
      <c r="PS580" s="770" t="s">
        <v>1208</v>
      </c>
      <c r="PT580" s="770"/>
      <c r="PU580" s="770"/>
      <c r="PV580" s="770"/>
      <c r="PW580" s="770"/>
      <c r="PX580" s="770"/>
      <c r="PY580" s="770"/>
      <c r="PZ580" s="770"/>
      <c r="QA580" s="770"/>
      <c r="QB580" s="770"/>
      <c r="QC580" s="770"/>
      <c r="QD580" s="770"/>
      <c r="QE580" s="770"/>
      <c r="QF580" s="770"/>
      <c r="QG580" s="770"/>
      <c r="QH580" s="770"/>
      <c r="QI580" s="770"/>
      <c r="QJ580" s="770"/>
      <c r="QK580" s="770"/>
      <c r="QL580" s="770"/>
      <c r="QM580" s="770"/>
      <c r="QN580" s="770"/>
      <c r="QO580" s="770"/>
      <c r="QP580" s="770"/>
      <c r="QQ580" s="770"/>
      <c r="QR580" s="770"/>
      <c r="QS580" s="770"/>
      <c r="QT580" s="770"/>
      <c r="QU580" s="770"/>
      <c r="QV580" s="770"/>
      <c r="QW580" s="770"/>
      <c r="QX580" s="770"/>
      <c r="QY580" s="770"/>
      <c r="QZ580" s="770"/>
      <c r="RA580" s="770"/>
      <c r="RB580" s="770" t="s">
        <v>1207</v>
      </c>
      <c r="RC580" s="770">
        <v>2009</v>
      </c>
      <c r="RD580" s="770" t="s">
        <v>13036</v>
      </c>
      <c r="RE580" s="770"/>
      <c r="RF580" s="304">
        <v>2</v>
      </c>
      <c r="RG580" s="770" t="s">
        <v>13047</v>
      </c>
      <c r="RH580" s="302">
        <v>0</v>
      </c>
      <c r="RI580" s="770">
        <v>10</v>
      </c>
      <c r="RJ580" s="770" t="s">
        <v>2848</v>
      </c>
      <c r="RK580" s="770" t="s">
        <v>13556</v>
      </c>
      <c r="RL580" s="1710"/>
      <c r="RM580" s="12"/>
      <c r="RN580" s="1711"/>
      <c r="RO580" s="132" t="s">
        <v>2853</v>
      </c>
      <c r="RP580" s="11"/>
      <c r="RQ580" s="11"/>
      <c r="RR580" s="17"/>
      <c r="RS580" s="767"/>
      <c r="RT580" s="11"/>
      <c r="RU580" s="11"/>
      <c r="RV580" s="771" t="s">
        <v>7421</v>
      </c>
      <c r="RW580" s="11" t="s">
        <v>7820</v>
      </c>
      <c r="RX580" s="11" t="s">
        <v>3943</v>
      </c>
      <c r="RY580" s="11"/>
      <c r="RZ580" s="11"/>
      <c r="SA580" s="771"/>
      <c r="SB580" s="11"/>
      <c r="SC580" s="11"/>
    </row>
    <row r="581" spans="1:497" ht="15" hidden="1" customHeight="1">
      <c r="A581" s="343" t="s">
        <v>14224</v>
      </c>
      <c r="B581" s="752" t="s">
        <v>7505</v>
      </c>
      <c r="C581" s="132" t="s">
        <v>2853</v>
      </c>
      <c r="D581" s="94" t="s">
        <v>3030</v>
      </c>
      <c r="E581" s="766" t="s">
        <v>2849</v>
      </c>
      <c r="F581" s="770" t="s">
        <v>28</v>
      </c>
      <c r="G581" s="770" t="s">
        <v>18</v>
      </c>
      <c r="H581" s="770"/>
      <c r="I581" s="295"/>
      <c r="J581" s="94" t="s">
        <v>3030</v>
      </c>
      <c r="K581" s="770" t="s">
        <v>14123</v>
      </c>
      <c r="L581" s="770"/>
      <c r="M581" s="770" t="s">
        <v>1238</v>
      </c>
      <c r="N581" s="770"/>
      <c r="O581" s="770" t="s">
        <v>3897</v>
      </c>
      <c r="P581" s="94" t="s">
        <v>3031</v>
      </c>
      <c r="Q581" s="1088">
        <v>25417</v>
      </c>
      <c r="R581" s="297">
        <v>48</v>
      </c>
      <c r="S581" s="770" t="s">
        <v>18</v>
      </c>
      <c r="T581" s="770"/>
      <c r="U581" s="298" t="s">
        <v>2850</v>
      </c>
      <c r="V581" s="770" t="s">
        <v>722</v>
      </c>
      <c r="W581" s="770"/>
      <c r="X581" s="770"/>
      <c r="Y581" s="770" t="s">
        <v>2849</v>
      </c>
      <c r="Z581" s="770" t="s">
        <v>708</v>
      </c>
      <c r="AA581" s="770" t="s">
        <v>732</v>
      </c>
      <c r="AB581" s="766" t="s">
        <v>7274</v>
      </c>
      <c r="AC581" s="770" t="s">
        <v>724</v>
      </c>
      <c r="AD581" s="770"/>
      <c r="AE581" s="770"/>
      <c r="AF581" s="770" t="s">
        <v>712</v>
      </c>
      <c r="AG581" s="770"/>
      <c r="AH581" s="770"/>
      <c r="AI581" s="770"/>
      <c r="AJ581" s="770"/>
      <c r="AK581" s="770" t="s">
        <v>1899</v>
      </c>
      <c r="AL581" s="531"/>
      <c r="AM581" s="780"/>
      <c r="AN581" s="532"/>
      <c r="AO581" s="766"/>
      <c r="AP581" s="766"/>
      <c r="AQ581" s="766"/>
      <c r="AR581" s="766"/>
      <c r="AS581" s="770"/>
      <c r="AT581" s="770"/>
      <c r="AU581" s="770"/>
      <c r="AV581" s="770"/>
      <c r="AW581" s="770"/>
      <c r="AX581" s="770"/>
      <c r="AY581" s="770"/>
      <c r="AZ581" s="770"/>
      <c r="BA581" s="770"/>
      <c r="BB581" s="770"/>
      <c r="BC581" s="770"/>
      <c r="BD581" s="770"/>
      <c r="BE581" s="770"/>
      <c r="BF581" s="302"/>
      <c r="BG581" s="302"/>
      <c r="BH581" s="770"/>
      <c r="BI581" s="770"/>
      <c r="BJ581" s="770"/>
      <c r="BK581" s="770"/>
      <c r="BL581" s="770"/>
      <c r="BM581" s="770" t="s">
        <v>1238</v>
      </c>
      <c r="BN581" s="770" t="s">
        <v>1256</v>
      </c>
      <c r="BO581" s="770"/>
      <c r="BP581" s="765"/>
      <c r="BQ581" s="773"/>
      <c r="BR581" s="774"/>
      <c r="BS581" s="766" t="s">
        <v>1257</v>
      </c>
      <c r="BT581" s="770"/>
      <c r="BU581" s="770"/>
      <c r="BV581" s="770"/>
      <c r="BW581" s="770"/>
      <c r="BX581" s="302"/>
      <c r="BY581" s="770"/>
      <c r="BZ581" s="302"/>
      <c r="CA581" s="770"/>
      <c r="CB581" s="770"/>
      <c r="CC581" s="770"/>
      <c r="CD581" s="770"/>
      <c r="CE581" s="770"/>
      <c r="CF581" s="1753"/>
      <c r="CG581" s="1754"/>
      <c r="CH581" s="770"/>
      <c r="CI581" s="770"/>
      <c r="CJ581" s="770"/>
      <c r="CK581" s="770"/>
      <c r="CL581" s="770"/>
      <c r="CM581" s="770"/>
      <c r="CN581" s="770"/>
      <c r="CO581" s="770"/>
      <c r="CP581" s="770"/>
      <c r="CQ581" s="770"/>
      <c r="CR581" s="302"/>
      <c r="CS581" s="770"/>
      <c r="CT581" s="770"/>
      <c r="CU581" s="305"/>
      <c r="CV581" s="770"/>
      <c r="CW581" s="770"/>
      <c r="CX581" s="770"/>
      <c r="CY581" s="770"/>
      <c r="CZ581" s="770"/>
      <c r="DA581" s="306"/>
      <c r="DB581" s="770"/>
      <c r="DC581" s="770"/>
      <c r="DD581" s="770"/>
      <c r="DE581" s="300"/>
      <c r="DF581" s="770"/>
      <c r="DG581" s="770"/>
      <c r="DH581" s="770"/>
      <c r="DI581" s="770"/>
      <c r="DJ581" s="770"/>
      <c r="DK581" s="770"/>
      <c r="DL581" s="770"/>
      <c r="DM581" s="770"/>
      <c r="DN581" s="322"/>
      <c r="DO581" s="770"/>
      <c r="DP581" s="770"/>
      <c r="DQ581" s="770"/>
      <c r="DR581" s="770"/>
      <c r="DS581" s="307"/>
      <c r="DT581" s="770"/>
      <c r="DU581" s="770"/>
      <c r="DV581" s="770"/>
      <c r="DW581" s="306"/>
      <c r="DX581" s="306"/>
      <c r="DY581" s="770"/>
      <c r="DZ581" s="770"/>
      <c r="EA581" s="770"/>
      <c r="EB581" s="770"/>
      <c r="EC581" s="770"/>
      <c r="ED581" s="770"/>
      <c r="EE581" s="770"/>
      <c r="EF581" s="770"/>
      <c r="EG581" s="770"/>
      <c r="EH581" s="770"/>
      <c r="EI581" s="770"/>
      <c r="EJ581" s="770"/>
      <c r="EK581" s="770"/>
      <c r="EL581" s="770"/>
      <c r="EM581" s="770"/>
      <c r="EN581" s="770"/>
      <c r="EO581" s="770"/>
      <c r="EP581" s="94"/>
      <c r="EQ581" s="770"/>
      <c r="ER581" s="770"/>
      <c r="ES581" s="770"/>
      <c r="ET581" s="770"/>
      <c r="EU581" s="770"/>
      <c r="EV581" s="770"/>
      <c r="EW581" s="770"/>
      <c r="EX581" s="770"/>
      <c r="EY581" s="770"/>
      <c r="EZ581" s="770"/>
      <c r="FA581" s="770"/>
      <c r="FB581" s="770"/>
      <c r="FC581" s="770"/>
      <c r="FD581" s="302"/>
      <c r="FE581" s="770"/>
      <c r="FF581" s="770"/>
      <c r="FG581" s="770"/>
      <c r="FH581" s="770" t="s">
        <v>1306</v>
      </c>
      <c r="FI581" s="770">
        <v>1</v>
      </c>
      <c r="FJ581" s="770" t="s">
        <v>2847</v>
      </c>
      <c r="FK581" s="770"/>
      <c r="FL581" s="770" t="s">
        <v>2852</v>
      </c>
      <c r="FM581" s="147">
        <v>1200</v>
      </c>
      <c r="FN581" s="302">
        <v>2800</v>
      </c>
      <c r="FO581" s="302">
        <v>100</v>
      </c>
      <c r="FP581" s="770" t="s">
        <v>1602</v>
      </c>
      <c r="FQ581" s="770" t="s">
        <v>1660</v>
      </c>
      <c r="FR581" s="770"/>
      <c r="FS581" s="770"/>
      <c r="FT581" s="770"/>
      <c r="FU581" s="770"/>
      <c r="FV581" s="770"/>
      <c r="FW581" s="770"/>
      <c r="FX581" s="770"/>
      <c r="FY581" s="770"/>
      <c r="FZ581" s="770"/>
      <c r="GA581" s="770"/>
      <c r="GB581" s="770"/>
      <c r="GC581" s="308"/>
      <c r="GD581" s="297"/>
      <c r="GE581" s="770"/>
      <c r="GF581" s="302"/>
      <c r="GG581" s="302"/>
      <c r="GH581" s="770"/>
      <c r="GI581" s="770"/>
      <c r="GJ581" s="770"/>
      <c r="GK581" s="770"/>
      <c r="GL581" s="770"/>
      <c r="GM581" s="770"/>
      <c r="GN581" s="299"/>
      <c r="GO581" s="770"/>
      <c r="GP581" s="770"/>
      <c r="GQ581" s="770"/>
      <c r="GR581" s="770"/>
      <c r="GS581" s="770"/>
      <c r="GT581" s="770"/>
      <c r="GU581" s="770"/>
      <c r="GV581" s="770"/>
      <c r="GW581" s="770"/>
      <c r="GX581" s="770"/>
      <c r="GY581" s="770"/>
      <c r="GZ581" s="770"/>
      <c r="HA581" s="770"/>
      <c r="HB581" s="770"/>
      <c r="HC581" s="770"/>
      <c r="HD581" s="770"/>
      <c r="HE581" s="770"/>
      <c r="HF581" s="770"/>
      <c r="HG581" s="770"/>
      <c r="HH581" s="770"/>
      <c r="HI581" s="770"/>
      <c r="HJ581" s="770"/>
      <c r="HK581" s="770"/>
      <c r="HL581" s="770"/>
      <c r="HM581" s="770"/>
      <c r="HN581" s="770"/>
      <c r="HO581" s="770"/>
      <c r="HP581" s="770"/>
      <c r="HQ581" s="770"/>
      <c r="HR581" s="770"/>
      <c r="HS581" s="770"/>
      <c r="HT581" s="770"/>
      <c r="HU581" s="770"/>
      <c r="HV581" s="770"/>
      <c r="HW581" s="770"/>
      <c r="HX581" s="770"/>
      <c r="HY581" s="770"/>
      <c r="HZ581" s="770"/>
      <c r="IA581" s="770"/>
      <c r="IB581" s="770" t="s">
        <v>1207</v>
      </c>
      <c r="IC581" s="770" t="s">
        <v>1207</v>
      </c>
      <c r="ID581" s="770"/>
      <c r="IE581" s="770"/>
      <c r="IF581" s="770"/>
      <c r="IG581" s="770"/>
      <c r="IH581" s="770"/>
      <c r="II581" s="770"/>
      <c r="IJ581" s="770"/>
      <c r="IK581" s="770"/>
      <c r="IL581" s="770"/>
      <c r="IM581" s="770"/>
      <c r="IN581" s="770"/>
      <c r="IO581" s="296"/>
      <c r="IP581" s="770"/>
      <c r="IQ581" s="770"/>
      <c r="IR581" s="770"/>
      <c r="IS581" s="770"/>
      <c r="IT581" s="770"/>
      <c r="IU581" s="770"/>
      <c r="IV581" s="770"/>
      <c r="IW581" s="770"/>
      <c r="IX581" s="770"/>
      <c r="IY581" s="770"/>
      <c r="IZ581" s="770"/>
      <c r="JA581" s="770"/>
      <c r="JB581" s="770"/>
      <c r="JC581" s="770"/>
      <c r="JD581" s="302"/>
      <c r="JE581" s="770"/>
      <c r="JF581" s="770"/>
      <c r="JG581" s="770"/>
      <c r="JH581" s="307"/>
      <c r="JI581" s="307"/>
      <c r="JJ581" s="770">
        <v>3</v>
      </c>
      <c r="JK581" s="770" t="s">
        <v>3032</v>
      </c>
      <c r="JL581" s="770"/>
      <c r="JM581" s="770"/>
      <c r="JN581" s="770">
        <v>2</v>
      </c>
      <c r="JO581" s="770">
        <v>1</v>
      </c>
      <c r="JP581" s="770"/>
      <c r="JQ581" s="770"/>
      <c r="JR581" s="770"/>
      <c r="JS581" s="770"/>
      <c r="JT581" s="766">
        <f>SUM(JP581,JN581,JL581,JR581)</f>
        <v>2</v>
      </c>
      <c r="JU581" s="766">
        <f>SUM(JQ581,JO581,JM581,JS581)</f>
        <v>1</v>
      </c>
      <c r="JV581" s="766"/>
      <c r="JW581" s="766"/>
      <c r="JX581" s="770"/>
      <c r="JY581" s="770"/>
      <c r="JZ581" s="770"/>
      <c r="KA581" s="770"/>
      <c r="KB581" s="770">
        <v>1</v>
      </c>
      <c r="KC581" s="770"/>
      <c r="KD581" s="770">
        <v>1</v>
      </c>
      <c r="KE581" s="770">
        <v>1</v>
      </c>
      <c r="KF581" s="770"/>
      <c r="KG581" s="770"/>
      <c r="KH581" s="770"/>
      <c r="KI581" s="770"/>
      <c r="KJ581" s="770">
        <f t="shared" si="153"/>
        <v>2</v>
      </c>
      <c r="KK581" s="770">
        <f t="shared" si="153"/>
        <v>1</v>
      </c>
      <c r="KL581" s="770"/>
      <c r="KM581" s="770"/>
      <c r="KN581" s="770" t="s">
        <v>722</v>
      </c>
      <c r="KO581" s="770"/>
      <c r="KP581" s="770"/>
      <c r="KQ581" s="770"/>
      <c r="KR581" s="770"/>
      <c r="KS581" s="770"/>
      <c r="KT581" s="770"/>
      <c r="KU581" s="770"/>
      <c r="KV581" s="770">
        <v>2</v>
      </c>
      <c r="KW581" s="770">
        <v>1</v>
      </c>
      <c r="KX581" s="770"/>
      <c r="KY581" s="770"/>
      <c r="KZ581" s="770"/>
      <c r="LA581" s="770"/>
      <c r="LB581" s="770"/>
      <c r="LC581" s="770"/>
      <c r="LD581" s="770"/>
      <c r="LE581" s="770"/>
      <c r="LF581" s="770"/>
      <c r="LG581" s="770"/>
      <c r="LH581" s="770"/>
      <c r="LI581" s="770"/>
      <c r="LJ581" s="770"/>
      <c r="LK581" s="770"/>
      <c r="LL581" s="770"/>
      <c r="LM581" s="770"/>
      <c r="LN581" s="766">
        <f t="shared" si="159"/>
        <v>2</v>
      </c>
      <c r="LO581" s="766">
        <f t="shared" si="159"/>
        <v>1</v>
      </c>
      <c r="LP581" s="770">
        <v>2</v>
      </c>
      <c r="LQ581" s="770">
        <v>1</v>
      </c>
      <c r="LR581" s="770"/>
      <c r="LS581" s="770">
        <v>1</v>
      </c>
      <c r="LT581" s="770"/>
      <c r="LU581" s="770">
        <v>1</v>
      </c>
      <c r="LV581" s="770"/>
      <c r="LW581" s="770"/>
      <c r="LX581" s="769">
        <v>3</v>
      </c>
      <c r="LY581" s="766" t="str">
        <f t="shared" si="160"/>
        <v>within the PROVINCE</v>
      </c>
      <c r="LZ581" s="1709"/>
      <c r="MA581" s="1709"/>
      <c r="MB581" s="1709"/>
      <c r="MC581" s="1679">
        <f t="shared" si="158"/>
        <v>0</v>
      </c>
      <c r="MD581" s="1709">
        <f>230*30</f>
        <v>6900</v>
      </c>
      <c r="ME581" s="1709"/>
      <c r="MF581" s="1709">
        <f>700*30</f>
        <v>21000</v>
      </c>
      <c r="MG581" s="1680">
        <f t="shared" si="164"/>
        <v>27900</v>
      </c>
      <c r="MH581" s="770" t="s">
        <v>2986</v>
      </c>
      <c r="MI581" s="302">
        <f>200*30</f>
        <v>6000</v>
      </c>
      <c r="MJ581" s="302"/>
      <c r="MK581" s="302">
        <v>200</v>
      </c>
      <c r="ML581" s="302"/>
      <c r="MM581" s="302"/>
      <c r="MN581" s="302">
        <v>1200</v>
      </c>
      <c r="MO581" s="302">
        <v>200</v>
      </c>
      <c r="MP581" s="302">
        <v>400</v>
      </c>
      <c r="MQ581" s="302">
        <v>70</v>
      </c>
      <c r="MR581" s="302">
        <v>260</v>
      </c>
      <c r="MS581" s="302"/>
      <c r="MT581" s="302"/>
      <c r="MU581" s="302"/>
      <c r="MV581" s="302"/>
      <c r="MW581" s="302"/>
      <c r="MX581" s="302"/>
      <c r="MY581" s="1682">
        <f t="shared" si="165"/>
        <v>8330</v>
      </c>
      <c r="MZ581" s="770" t="s">
        <v>13370</v>
      </c>
      <c r="NA581" s="770" t="s">
        <v>13230</v>
      </c>
      <c r="NB581" s="770" t="s">
        <v>13016</v>
      </c>
      <c r="NC581" s="770" t="s">
        <v>13602</v>
      </c>
      <c r="ND581" s="770">
        <v>0</v>
      </c>
      <c r="NE581" s="770">
        <v>0</v>
      </c>
      <c r="NF581" s="770">
        <v>0</v>
      </c>
      <c r="NG581" s="770">
        <v>1</v>
      </c>
      <c r="NH581" s="770">
        <v>0</v>
      </c>
      <c r="NI581" s="770">
        <v>0</v>
      </c>
      <c r="NJ581" s="770">
        <v>0</v>
      </c>
      <c r="NK581" s="770">
        <v>0</v>
      </c>
      <c r="NL581" s="770">
        <v>0</v>
      </c>
      <c r="NM581" s="770">
        <v>0</v>
      </c>
      <c r="NN581" s="770">
        <v>0</v>
      </c>
      <c r="NO581" s="770">
        <v>0</v>
      </c>
      <c r="NP581" s="770">
        <v>0</v>
      </c>
      <c r="NQ581" s="770">
        <v>0</v>
      </c>
      <c r="NR581" s="770">
        <v>0</v>
      </c>
      <c r="NS581" s="770">
        <v>0</v>
      </c>
      <c r="NT581" s="770">
        <v>0</v>
      </c>
      <c r="NU581" s="770">
        <v>0</v>
      </c>
      <c r="NV581" s="770">
        <v>0</v>
      </c>
      <c r="NW581" s="770">
        <v>0</v>
      </c>
      <c r="NX581" s="770">
        <v>0</v>
      </c>
      <c r="NY581" s="770" t="s">
        <v>1208</v>
      </c>
      <c r="NZ581" s="770"/>
      <c r="OA581" s="770"/>
      <c r="OB581" s="770"/>
      <c r="OC581" s="770"/>
      <c r="OD581" s="770"/>
      <c r="OE581" s="770"/>
      <c r="OF581" s="770" t="s">
        <v>2143</v>
      </c>
      <c r="OG581" s="770"/>
      <c r="OH581" s="770"/>
      <c r="OI581" s="770"/>
      <c r="OJ581" s="770"/>
      <c r="OK581" s="770" t="s">
        <v>1208</v>
      </c>
      <c r="OL581" s="770"/>
      <c r="OM581" s="770"/>
      <c r="ON581" s="770"/>
      <c r="OO581" s="770"/>
      <c r="OP581" s="770"/>
      <c r="OQ581" s="770"/>
      <c r="OR581" s="770"/>
      <c r="OS581" s="770"/>
      <c r="OT581" s="770"/>
      <c r="OU581" s="770"/>
      <c r="OV581" s="770"/>
      <c r="OW581" s="770"/>
      <c r="OX581" s="770"/>
      <c r="OY581" s="770"/>
      <c r="OZ581" s="770"/>
      <c r="PA581" s="770"/>
      <c r="PB581" s="770"/>
      <c r="PC581" s="770"/>
      <c r="PD581" s="770"/>
      <c r="PE581" s="770"/>
      <c r="PF581" s="770"/>
      <c r="PG581" s="770"/>
      <c r="PH581" s="770" t="s">
        <v>1208</v>
      </c>
      <c r="PI581" s="770"/>
      <c r="PJ581" s="770"/>
      <c r="PK581" s="770" t="s">
        <v>1208</v>
      </c>
      <c r="PL581" s="770"/>
      <c r="PM581" s="770"/>
      <c r="PN581" s="770"/>
      <c r="PO581" s="770"/>
      <c r="PP581" s="770"/>
      <c r="PQ581" s="770"/>
      <c r="PR581" s="770"/>
      <c r="PS581" s="770" t="s">
        <v>1208</v>
      </c>
      <c r="PT581" s="770"/>
      <c r="PU581" s="770"/>
      <c r="PV581" s="770"/>
      <c r="PW581" s="770"/>
      <c r="PX581" s="770"/>
      <c r="PY581" s="770"/>
      <c r="PZ581" s="770"/>
      <c r="QA581" s="770"/>
      <c r="QB581" s="770"/>
      <c r="QC581" s="770"/>
      <c r="QD581" s="770"/>
      <c r="QE581" s="770"/>
      <c r="QF581" s="770"/>
      <c r="QG581" s="770"/>
      <c r="QH581" s="770"/>
      <c r="QI581" s="770"/>
      <c r="QJ581" s="770"/>
      <c r="QK581" s="770"/>
      <c r="QL581" s="770"/>
      <c r="QM581" s="770"/>
      <c r="QN581" s="770"/>
      <c r="QO581" s="770"/>
      <c r="QP581" s="770"/>
      <c r="QQ581" s="770"/>
      <c r="QR581" s="770"/>
      <c r="QS581" s="770"/>
      <c r="QT581" s="770"/>
      <c r="QU581" s="770"/>
      <c r="QV581" s="770"/>
      <c r="QW581" s="770"/>
      <c r="QX581" s="770"/>
      <c r="QY581" s="770"/>
      <c r="QZ581" s="770"/>
      <c r="RA581" s="770"/>
      <c r="RB581" s="770" t="s">
        <v>1207</v>
      </c>
      <c r="RC581" s="770" t="s">
        <v>13771</v>
      </c>
      <c r="RD581" s="770" t="s">
        <v>13771</v>
      </c>
      <c r="RE581" s="770" t="s">
        <v>12999</v>
      </c>
      <c r="RF581" s="304">
        <v>1</v>
      </c>
      <c r="RG581" s="770" t="s">
        <v>13047</v>
      </c>
      <c r="RH581" s="302">
        <v>0</v>
      </c>
      <c r="RI581" s="770">
        <v>12</v>
      </c>
      <c r="RJ581" s="770" t="s">
        <v>13772</v>
      </c>
      <c r="RK581" s="770" t="s">
        <v>13544</v>
      </c>
      <c r="RL581" s="1710"/>
      <c r="RM581" s="12"/>
      <c r="RN581" s="1711"/>
      <c r="RO581" s="132" t="s">
        <v>2853</v>
      </c>
      <c r="RP581" s="11"/>
      <c r="RQ581" s="11"/>
      <c r="RR581" s="17"/>
      <c r="RS581" s="767"/>
      <c r="RT581" s="11"/>
      <c r="RU581" s="11"/>
      <c r="RV581" s="771" t="s">
        <v>7419</v>
      </c>
      <c r="RW581" s="11" t="s">
        <v>12370</v>
      </c>
      <c r="RX581" s="11" t="s">
        <v>2853</v>
      </c>
      <c r="RY581" s="11"/>
      <c r="RZ581" s="11"/>
      <c r="SA581" s="771"/>
      <c r="SB581" s="11"/>
      <c r="SC581" s="11"/>
    </row>
    <row r="582" spans="1:497" ht="15" hidden="1" customHeight="1">
      <c r="A582" s="343" t="s">
        <v>14224</v>
      </c>
      <c r="B582" s="752" t="s">
        <v>7821</v>
      </c>
      <c r="C582" s="132" t="s">
        <v>2853</v>
      </c>
      <c r="D582" s="94" t="s">
        <v>2854</v>
      </c>
      <c r="E582" s="766" t="s">
        <v>2836</v>
      </c>
      <c r="F582" s="770" t="s">
        <v>28</v>
      </c>
      <c r="G582" s="770" t="s">
        <v>10</v>
      </c>
      <c r="H582" s="770"/>
      <c r="I582" s="295" t="s">
        <v>2855</v>
      </c>
      <c r="J582" s="94" t="s">
        <v>2854</v>
      </c>
      <c r="K582" s="770" t="s">
        <v>14123</v>
      </c>
      <c r="L582" s="770"/>
      <c r="M582" s="770" t="s">
        <v>1238</v>
      </c>
      <c r="N582" s="770"/>
      <c r="O582" s="770" t="s">
        <v>3897</v>
      </c>
      <c r="P582" s="770" t="s">
        <v>2856</v>
      </c>
      <c r="Q582" s="1088">
        <v>27562</v>
      </c>
      <c r="R582" s="297">
        <v>41</v>
      </c>
      <c r="S582" s="770" t="s">
        <v>10</v>
      </c>
      <c r="T582" s="770"/>
      <c r="U582" s="295" t="s">
        <v>2855</v>
      </c>
      <c r="V582" s="770" t="s">
        <v>707</v>
      </c>
      <c r="W582" s="770"/>
      <c r="X582" s="770"/>
      <c r="Y582" s="770" t="s">
        <v>2836</v>
      </c>
      <c r="Z582" s="770" t="s">
        <v>708</v>
      </c>
      <c r="AA582" s="770" t="s">
        <v>2463</v>
      </c>
      <c r="AB582" s="295" t="s">
        <v>710</v>
      </c>
      <c r="AC582" s="770" t="s">
        <v>724</v>
      </c>
      <c r="AD582" s="770" t="s">
        <v>711</v>
      </c>
      <c r="AE582" s="770"/>
      <c r="AF582" s="770" t="s">
        <v>712</v>
      </c>
      <c r="AG582" s="770"/>
      <c r="AH582" s="770"/>
      <c r="AI582" s="770"/>
      <c r="AJ582" s="770"/>
      <c r="AK582" s="770" t="s">
        <v>1899</v>
      </c>
      <c r="AL582" s="531"/>
      <c r="AM582" s="780"/>
      <c r="AN582" s="532"/>
      <c r="AO582" s="766"/>
      <c r="AP582" s="766"/>
      <c r="AQ582" s="766"/>
      <c r="AR582" s="766"/>
      <c r="AS582" s="770"/>
      <c r="AT582" s="770"/>
      <c r="AU582" s="770"/>
      <c r="AV582" s="770"/>
      <c r="AW582" s="770"/>
      <c r="AX582" s="770"/>
      <c r="AY582" s="770"/>
      <c r="AZ582" s="770"/>
      <c r="BA582" s="770"/>
      <c r="BB582" s="770"/>
      <c r="BC582" s="770"/>
      <c r="BD582" s="770"/>
      <c r="BE582" s="770"/>
      <c r="BF582" s="302"/>
      <c r="BG582" s="302"/>
      <c r="BH582" s="770"/>
      <c r="BI582" s="770"/>
      <c r="BJ582" s="770"/>
      <c r="BK582" s="770"/>
      <c r="BL582" s="770"/>
      <c r="BM582" s="770" t="s">
        <v>1238</v>
      </c>
      <c r="BN582" s="770" t="s">
        <v>1256</v>
      </c>
      <c r="BO582" s="770"/>
      <c r="BP582" s="765"/>
      <c r="BQ582" s="773"/>
      <c r="BR582" s="774"/>
      <c r="BS582" s="766" t="s">
        <v>1257</v>
      </c>
      <c r="BT582" s="770"/>
      <c r="BU582" s="770"/>
      <c r="BV582" s="770"/>
      <c r="BW582" s="770"/>
      <c r="BX582" s="302"/>
      <c r="BY582" s="770"/>
      <c r="BZ582" s="302"/>
      <c r="CA582" s="770"/>
      <c r="CB582" s="770"/>
      <c r="CC582" s="770"/>
      <c r="CD582" s="770"/>
      <c r="CE582" s="770"/>
      <c r="CF582" s="1753"/>
      <c r="CG582" s="1754"/>
      <c r="CH582" s="770"/>
      <c r="CI582" s="770"/>
      <c r="CJ582" s="770"/>
      <c r="CK582" s="770"/>
      <c r="CL582" s="770"/>
      <c r="CM582" s="770"/>
      <c r="CN582" s="770"/>
      <c r="CO582" s="770"/>
      <c r="CP582" s="770"/>
      <c r="CQ582" s="770"/>
      <c r="CR582" s="302"/>
      <c r="CS582" s="770"/>
      <c r="CT582" s="770"/>
      <c r="CU582" s="305"/>
      <c r="CV582" s="770"/>
      <c r="CW582" s="770"/>
      <c r="CX582" s="770"/>
      <c r="CY582" s="770"/>
      <c r="CZ582" s="770"/>
      <c r="DA582" s="306"/>
      <c r="DB582" s="770"/>
      <c r="DC582" s="770"/>
      <c r="DD582" s="770"/>
      <c r="DE582" s="300"/>
      <c r="DF582" s="770"/>
      <c r="DG582" s="770"/>
      <c r="DH582" s="770"/>
      <c r="DI582" s="770"/>
      <c r="DJ582" s="770"/>
      <c r="DK582" s="770"/>
      <c r="DL582" s="770"/>
      <c r="DM582" s="770"/>
      <c r="DN582" s="322"/>
      <c r="DO582" s="770"/>
      <c r="DP582" s="770"/>
      <c r="DQ582" s="770"/>
      <c r="DR582" s="770"/>
      <c r="DS582" s="307"/>
      <c r="DT582" s="770"/>
      <c r="DU582" s="770"/>
      <c r="DV582" s="770"/>
      <c r="DW582" s="306"/>
      <c r="DX582" s="306"/>
      <c r="DY582" s="770"/>
      <c r="DZ582" s="770"/>
      <c r="EA582" s="770"/>
      <c r="EB582" s="770"/>
      <c r="EC582" s="770"/>
      <c r="ED582" s="770"/>
      <c r="EE582" s="770"/>
      <c r="EF582" s="770"/>
      <c r="EG582" s="770"/>
      <c r="EH582" s="770"/>
      <c r="EI582" s="770"/>
      <c r="EJ582" s="770"/>
      <c r="EK582" s="770"/>
      <c r="EL582" s="770"/>
      <c r="EM582" s="770"/>
      <c r="EN582" s="770"/>
      <c r="EO582" s="770"/>
      <c r="EP582" s="94"/>
      <c r="EQ582" s="770"/>
      <c r="ER582" s="770"/>
      <c r="ES582" s="770"/>
      <c r="ET582" s="770"/>
      <c r="EU582" s="770"/>
      <c r="EV582" s="770"/>
      <c r="EW582" s="770"/>
      <c r="EX582" s="770"/>
      <c r="EY582" s="770"/>
      <c r="EZ582" s="770"/>
      <c r="FA582" s="770"/>
      <c r="FB582" s="770"/>
      <c r="FC582" s="770"/>
      <c r="FD582" s="302"/>
      <c r="FE582" s="770"/>
      <c r="FF582" s="770"/>
      <c r="FG582" s="770"/>
      <c r="FH582" s="770" t="s">
        <v>1306</v>
      </c>
      <c r="FI582" s="770">
        <v>1</v>
      </c>
      <c r="FJ582" s="770" t="s">
        <v>2847</v>
      </c>
      <c r="FK582" s="770"/>
      <c r="FL582" s="770" t="s">
        <v>2852</v>
      </c>
      <c r="FM582" s="147">
        <v>700</v>
      </c>
      <c r="FN582" s="302">
        <v>200</v>
      </c>
      <c r="FO582" s="302">
        <v>100</v>
      </c>
      <c r="FP582" s="770"/>
      <c r="FQ582" s="770"/>
      <c r="FR582" s="770"/>
      <c r="FS582" s="770"/>
      <c r="FT582" s="770"/>
      <c r="FU582" s="770"/>
      <c r="FV582" s="770"/>
      <c r="FW582" s="770"/>
      <c r="FX582" s="770"/>
      <c r="FY582" s="770"/>
      <c r="FZ582" s="770"/>
      <c r="GA582" s="770"/>
      <c r="GB582" s="770"/>
      <c r="GC582" s="308"/>
      <c r="GD582" s="297"/>
      <c r="GE582" s="770"/>
      <c r="GF582" s="302"/>
      <c r="GG582" s="302"/>
      <c r="GH582" s="770"/>
      <c r="GI582" s="770"/>
      <c r="GJ582" s="770"/>
      <c r="GK582" s="770"/>
      <c r="GL582" s="770"/>
      <c r="GM582" s="770"/>
      <c r="GN582" s="299"/>
      <c r="GO582" s="770"/>
      <c r="GP582" s="770"/>
      <c r="GQ582" s="770"/>
      <c r="GR582" s="770"/>
      <c r="GS582" s="770"/>
      <c r="GT582" s="770"/>
      <c r="GU582" s="770"/>
      <c r="GV582" s="770"/>
      <c r="GW582" s="770"/>
      <c r="GX582" s="770"/>
      <c r="GY582" s="770"/>
      <c r="GZ582" s="770"/>
      <c r="HA582" s="770"/>
      <c r="HB582" s="770"/>
      <c r="HC582" s="770"/>
      <c r="HD582" s="770"/>
      <c r="HE582" s="770"/>
      <c r="HF582" s="770"/>
      <c r="HG582" s="770"/>
      <c r="HH582" s="770"/>
      <c r="HI582" s="770"/>
      <c r="HJ582" s="770"/>
      <c r="HK582" s="770"/>
      <c r="HL582" s="770"/>
      <c r="HM582" s="770"/>
      <c r="HN582" s="770"/>
      <c r="HO582" s="770"/>
      <c r="HP582" s="770"/>
      <c r="HQ582" s="770"/>
      <c r="HR582" s="770"/>
      <c r="HS582" s="770"/>
      <c r="HT582" s="770"/>
      <c r="HU582" s="770"/>
      <c r="HV582" s="770"/>
      <c r="HW582" s="770"/>
      <c r="HX582" s="770"/>
      <c r="HY582" s="770"/>
      <c r="HZ582" s="770"/>
      <c r="IA582" s="770"/>
      <c r="IB582" s="770"/>
      <c r="IC582" s="770"/>
      <c r="ID582" s="770"/>
      <c r="IE582" s="770"/>
      <c r="IF582" s="770"/>
      <c r="IG582" s="770"/>
      <c r="IH582" s="770"/>
      <c r="II582" s="770"/>
      <c r="IJ582" s="770"/>
      <c r="IK582" s="770"/>
      <c r="IL582" s="770"/>
      <c r="IM582" s="770"/>
      <c r="IN582" s="770"/>
      <c r="IO582" s="296"/>
      <c r="IP582" s="770"/>
      <c r="IQ582" s="770"/>
      <c r="IR582" s="770"/>
      <c r="IS582" s="770"/>
      <c r="IT582" s="770"/>
      <c r="IU582" s="770"/>
      <c r="IV582" s="770"/>
      <c r="IW582" s="770"/>
      <c r="IX582" s="770"/>
      <c r="IY582" s="770"/>
      <c r="IZ582" s="770"/>
      <c r="JA582" s="770"/>
      <c r="JB582" s="770"/>
      <c r="JC582" s="770"/>
      <c r="JD582" s="302"/>
      <c r="JE582" s="770"/>
      <c r="JF582" s="770"/>
      <c r="JG582" s="770"/>
      <c r="JH582" s="307"/>
      <c r="JI582" s="307"/>
      <c r="JJ582" s="770"/>
      <c r="JK582" s="770"/>
      <c r="JL582" s="770"/>
      <c r="JM582" s="770"/>
      <c r="JN582" s="770"/>
      <c r="JO582" s="770"/>
      <c r="JP582" s="770"/>
      <c r="JQ582" s="770"/>
      <c r="JR582" s="770"/>
      <c r="JS582" s="770"/>
      <c r="JT582" s="766"/>
      <c r="JU582" s="766"/>
      <c r="JV582" s="766"/>
      <c r="JW582" s="766"/>
      <c r="JX582" s="770"/>
      <c r="JY582" s="770"/>
      <c r="JZ582" s="770"/>
      <c r="KA582" s="770"/>
      <c r="KB582" s="770"/>
      <c r="KC582" s="770"/>
      <c r="KD582" s="770"/>
      <c r="KE582" s="770"/>
      <c r="KF582" s="770"/>
      <c r="KG582" s="770"/>
      <c r="KH582" s="770"/>
      <c r="KI582" s="770"/>
      <c r="KJ582" s="770"/>
      <c r="KK582" s="770"/>
      <c r="KL582" s="770"/>
      <c r="KM582" s="770"/>
      <c r="KN582" s="770"/>
      <c r="KO582" s="770"/>
      <c r="KP582" s="770"/>
      <c r="KQ582" s="770"/>
      <c r="KR582" s="770"/>
      <c r="KS582" s="770"/>
      <c r="KT582" s="770"/>
      <c r="KU582" s="770"/>
      <c r="KV582" s="770"/>
      <c r="KW582" s="770"/>
      <c r="KX582" s="770"/>
      <c r="KY582" s="770"/>
      <c r="KZ582" s="770"/>
      <c r="LA582" s="770"/>
      <c r="LB582" s="770"/>
      <c r="LC582" s="770"/>
      <c r="LD582" s="770"/>
      <c r="LE582" s="770"/>
      <c r="LF582" s="770"/>
      <c r="LG582" s="770"/>
      <c r="LH582" s="770"/>
      <c r="LI582" s="770"/>
      <c r="LJ582" s="770"/>
      <c r="LK582" s="770"/>
      <c r="LL582" s="770"/>
      <c r="LM582" s="770"/>
      <c r="LN582" s="766"/>
      <c r="LO582" s="766"/>
      <c r="LP582" s="770"/>
      <c r="LQ582" s="770"/>
      <c r="LR582" s="770"/>
      <c r="LS582" s="770"/>
      <c r="LT582" s="770"/>
      <c r="LU582" s="770"/>
      <c r="LV582" s="770"/>
      <c r="LW582" s="770"/>
      <c r="LX582" s="769"/>
      <c r="LY582" s="766" t="str">
        <f t="shared" si="160"/>
        <v/>
      </c>
      <c r="LZ582" s="1709"/>
      <c r="MA582" s="1709"/>
      <c r="MB582" s="1709"/>
      <c r="MC582" s="1679">
        <f t="shared" si="158"/>
        <v>0</v>
      </c>
      <c r="MD582" s="1709"/>
      <c r="ME582" s="1709"/>
      <c r="MF582" s="1709"/>
      <c r="MG582" s="1680">
        <f t="shared" si="164"/>
        <v>0</v>
      </c>
      <c r="MH582" s="770"/>
      <c r="MI582" s="302"/>
      <c r="MJ582" s="302"/>
      <c r="MK582" s="302"/>
      <c r="ML582" s="302"/>
      <c r="MM582" s="302"/>
      <c r="MN582" s="302"/>
      <c r="MO582" s="302"/>
      <c r="MP582" s="302"/>
      <c r="MQ582" s="302"/>
      <c r="MR582" s="302"/>
      <c r="MS582" s="302"/>
      <c r="MT582" s="302"/>
      <c r="MU582" s="302"/>
      <c r="MV582" s="302"/>
      <c r="MW582" s="302"/>
      <c r="MX582" s="302"/>
      <c r="MY582" s="1682">
        <f t="shared" si="165"/>
        <v>0</v>
      </c>
      <c r="MZ582" s="770"/>
      <c r="NA582" s="770"/>
      <c r="NB582" s="770"/>
      <c r="NC582" s="770"/>
      <c r="ND582" s="770"/>
      <c r="NE582" s="770"/>
      <c r="NF582" s="770"/>
      <c r="NG582" s="770"/>
      <c r="NH582" s="770"/>
      <c r="NI582" s="770"/>
      <c r="NJ582" s="770"/>
      <c r="NK582" s="770"/>
      <c r="NL582" s="770"/>
      <c r="NM582" s="770"/>
      <c r="NN582" s="770"/>
      <c r="NO582" s="770"/>
      <c r="NP582" s="770"/>
      <c r="NQ582" s="770"/>
      <c r="NR582" s="770"/>
      <c r="NS582" s="770"/>
      <c r="NT582" s="770"/>
      <c r="NU582" s="770"/>
      <c r="NV582" s="770"/>
      <c r="NW582" s="770"/>
      <c r="NX582" s="770"/>
      <c r="NY582" s="770"/>
      <c r="NZ582" s="770"/>
      <c r="OA582" s="770"/>
      <c r="OB582" s="770"/>
      <c r="OC582" s="770"/>
      <c r="OD582" s="770"/>
      <c r="OE582" s="770"/>
      <c r="OF582" s="770"/>
      <c r="OG582" s="770"/>
      <c r="OH582" s="770"/>
      <c r="OI582" s="770"/>
      <c r="OJ582" s="770"/>
      <c r="OK582" s="770"/>
      <c r="OL582" s="770"/>
      <c r="OM582" s="770"/>
      <c r="ON582" s="770"/>
      <c r="OO582" s="770"/>
      <c r="OP582" s="770"/>
      <c r="OQ582" s="770"/>
      <c r="OR582" s="770"/>
      <c r="OS582" s="770"/>
      <c r="OT582" s="770"/>
      <c r="OU582" s="770"/>
      <c r="OV582" s="770"/>
      <c r="OW582" s="770"/>
      <c r="OX582" s="770"/>
      <c r="OY582" s="770"/>
      <c r="OZ582" s="770"/>
      <c r="PA582" s="770"/>
      <c r="PB582" s="770"/>
      <c r="PC582" s="770"/>
      <c r="PD582" s="770"/>
      <c r="PE582" s="770"/>
      <c r="PF582" s="770"/>
      <c r="PG582" s="770"/>
      <c r="PH582" s="770"/>
      <c r="PI582" s="770"/>
      <c r="PJ582" s="770"/>
      <c r="PK582" s="770"/>
      <c r="PL582" s="770"/>
      <c r="PM582" s="770"/>
      <c r="PN582" s="770"/>
      <c r="PO582" s="770"/>
      <c r="PP582" s="770"/>
      <c r="PQ582" s="770"/>
      <c r="PR582" s="770"/>
      <c r="PS582" s="770"/>
      <c r="PT582" s="770"/>
      <c r="PU582" s="770"/>
      <c r="PV582" s="770"/>
      <c r="PW582" s="770"/>
      <c r="PX582" s="770"/>
      <c r="PY582" s="770"/>
      <c r="PZ582" s="770"/>
      <c r="QA582" s="770"/>
      <c r="QB582" s="770"/>
      <c r="QC582" s="770"/>
      <c r="QD582" s="770"/>
      <c r="QE582" s="770"/>
      <c r="QF582" s="770"/>
      <c r="QG582" s="770"/>
      <c r="QH582" s="770"/>
      <c r="QI582" s="770"/>
      <c r="QJ582" s="770"/>
      <c r="QK582" s="770"/>
      <c r="QL582" s="770"/>
      <c r="QM582" s="770"/>
      <c r="QN582" s="770"/>
      <c r="QO582" s="770"/>
      <c r="QP582" s="770"/>
      <c r="QQ582" s="770"/>
      <c r="QR582" s="770"/>
      <c r="QS582" s="770"/>
      <c r="QT582" s="770"/>
      <c r="QU582" s="770"/>
      <c r="QV582" s="770"/>
      <c r="QW582" s="770"/>
      <c r="QX582" s="770"/>
      <c r="QY582" s="770"/>
      <c r="QZ582" s="770"/>
      <c r="RA582" s="770"/>
      <c r="RB582" s="770"/>
      <c r="RC582" s="770"/>
      <c r="RD582" s="770"/>
      <c r="RE582" s="770"/>
      <c r="RF582" s="304"/>
      <c r="RG582" s="770"/>
      <c r="RH582" s="302"/>
      <c r="RI582" s="770"/>
      <c r="RJ582" s="770" t="s">
        <v>13773</v>
      </c>
      <c r="RK582" s="770" t="s">
        <v>13556</v>
      </c>
      <c r="RL582" s="1710"/>
      <c r="RM582" s="12"/>
      <c r="RN582" s="1711"/>
      <c r="RO582" s="132" t="s">
        <v>2853</v>
      </c>
      <c r="RP582" s="11"/>
      <c r="RQ582" s="11"/>
      <c r="RR582" s="17"/>
      <c r="RS582" s="767"/>
      <c r="RT582" s="11"/>
      <c r="RU582" s="11"/>
      <c r="RV582" s="771" t="s">
        <v>13774</v>
      </c>
      <c r="RW582" s="11" t="s">
        <v>7504</v>
      </c>
      <c r="RX582" s="11" t="s">
        <v>2853</v>
      </c>
      <c r="RY582" s="11"/>
      <c r="RZ582" s="11"/>
      <c r="SA582" s="771"/>
      <c r="SB582" s="11"/>
      <c r="SC582" s="11"/>
    </row>
    <row r="583" spans="1:497" ht="15" hidden="1" customHeight="1">
      <c r="A583" s="343" t="s">
        <v>14224</v>
      </c>
      <c r="B583" s="752" t="s">
        <v>7506</v>
      </c>
      <c r="C583" s="132" t="s">
        <v>2853</v>
      </c>
      <c r="D583" s="94" t="s">
        <v>2857</v>
      </c>
      <c r="E583" s="766" t="s">
        <v>2836</v>
      </c>
      <c r="F583" s="770" t="s">
        <v>28</v>
      </c>
      <c r="G583" s="770" t="s">
        <v>10</v>
      </c>
      <c r="H583" s="770"/>
      <c r="I583" s="295" t="s">
        <v>2858</v>
      </c>
      <c r="J583" s="94" t="s">
        <v>2857</v>
      </c>
      <c r="K583" s="770" t="s">
        <v>14123</v>
      </c>
      <c r="L583" s="770"/>
      <c r="M583" s="770" t="s">
        <v>1238</v>
      </c>
      <c r="N583" s="770"/>
      <c r="O583" s="770" t="s">
        <v>3897</v>
      </c>
      <c r="P583" s="94" t="s">
        <v>2859</v>
      </c>
      <c r="Q583" s="1088" t="s">
        <v>2860</v>
      </c>
      <c r="R583" s="297">
        <v>20</v>
      </c>
      <c r="S583" s="770" t="s">
        <v>10</v>
      </c>
      <c r="T583" s="770"/>
      <c r="U583" s="295" t="s">
        <v>2858</v>
      </c>
      <c r="V583" s="770" t="s">
        <v>722</v>
      </c>
      <c r="W583" s="770"/>
      <c r="X583" s="770"/>
      <c r="Y583" s="770" t="s">
        <v>2836</v>
      </c>
      <c r="Z583" s="770" t="s">
        <v>708</v>
      </c>
      <c r="AA583" s="770" t="s">
        <v>709</v>
      </c>
      <c r="AB583" s="770" t="s">
        <v>710</v>
      </c>
      <c r="AC583" s="770" t="s">
        <v>1071</v>
      </c>
      <c r="AD583" s="770" t="s">
        <v>711</v>
      </c>
      <c r="AE583" s="770"/>
      <c r="AF583" s="770" t="s">
        <v>712</v>
      </c>
      <c r="AG583" s="770"/>
      <c r="AH583" s="770"/>
      <c r="AI583" s="770"/>
      <c r="AJ583" s="770"/>
      <c r="AK583" s="770" t="s">
        <v>1899</v>
      </c>
      <c r="AL583" s="531"/>
      <c r="AM583" s="780"/>
      <c r="AN583" s="532"/>
      <c r="AO583" s="766"/>
      <c r="AP583" s="766"/>
      <c r="AQ583" s="766"/>
      <c r="AR583" s="766"/>
      <c r="AS583" s="770"/>
      <c r="AT583" s="770"/>
      <c r="AU583" s="770"/>
      <c r="AV583" s="770"/>
      <c r="AW583" s="770"/>
      <c r="AX583" s="770"/>
      <c r="AY583" s="770"/>
      <c r="AZ583" s="770"/>
      <c r="BA583" s="770"/>
      <c r="BB583" s="770"/>
      <c r="BC583" s="770"/>
      <c r="BD583" s="770"/>
      <c r="BE583" s="770"/>
      <c r="BF583" s="302"/>
      <c r="BG583" s="302"/>
      <c r="BH583" s="770"/>
      <c r="BI583" s="770"/>
      <c r="BJ583" s="770"/>
      <c r="BK583" s="770"/>
      <c r="BL583" s="770"/>
      <c r="BM583" s="770" t="s">
        <v>1238</v>
      </c>
      <c r="BN583" s="770" t="s">
        <v>1256</v>
      </c>
      <c r="BO583" s="770"/>
      <c r="BP583" s="765"/>
      <c r="BQ583" s="773"/>
      <c r="BR583" s="774"/>
      <c r="BS583" s="766" t="s">
        <v>1257</v>
      </c>
      <c r="BT583" s="770"/>
      <c r="BU583" s="770"/>
      <c r="BV583" s="770"/>
      <c r="BW583" s="770"/>
      <c r="BX583" s="302"/>
      <c r="BY583" s="770"/>
      <c r="BZ583" s="302"/>
      <c r="CA583" s="770"/>
      <c r="CB583" s="770"/>
      <c r="CC583" s="770"/>
      <c r="CD583" s="770"/>
      <c r="CE583" s="770"/>
      <c r="CF583" s="1753"/>
      <c r="CG583" s="1754"/>
      <c r="CH583" s="770"/>
      <c r="CI583" s="770"/>
      <c r="CJ583" s="770"/>
      <c r="CK583" s="770"/>
      <c r="CL583" s="770"/>
      <c r="CM583" s="770"/>
      <c r="CN583" s="770"/>
      <c r="CO583" s="770"/>
      <c r="CP583" s="770"/>
      <c r="CQ583" s="770"/>
      <c r="CR583" s="302"/>
      <c r="CS583" s="770"/>
      <c r="CT583" s="770"/>
      <c r="CU583" s="305"/>
      <c r="CV583" s="770"/>
      <c r="CW583" s="770"/>
      <c r="CX583" s="770"/>
      <c r="CY583" s="770"/>
      <c r="CZ583" s="770"/>
      <c r="DA583" s="306"/>
      <c r="DB583" s="770"/>
      <c r="DC583" s="770"/>
      <c r="DD583" s="770"/>
      <c r="DE583" s="300"/>
      <c r="DF583" s="770"/>
      <c r="DG583" s="770"/>
      <c r="DH583" s="770"/>
      <c r="DI583" s="770"/>
      <c r="DJ583" s="770"/>
      <c r="DK583" s="770"/>
      <c r="DL583" s="770"/>
      <c r="DM583" s="770"/>
      <c r="DN583" s="322"/>
      <c r="DO583" s="770"/>
      <c r="DP583" s="770"/>
      <c r="DQ583" s="770"/>
      <c r="DR583" s="770"/>
      <c r="DS583" s="307"/>
      <c r="DT583" s="770"/>
      <c r="DU583" s="770"/>
      <c r="DV583" s="770"/>
      <c r="DW583" s="306"/>
      <c r="DX583" s="306"/>
      <c r="DY583" s="770"/>
      <c r="DZ583" s="770"/>
      <c r="EA583" s="770"/>
      <c r="EB583" s="770"/>
      <c r="EC583" s="770"/>
      <c r="ED583" s="770"/>
      <c r="EE583" s="770"/>
      <c r="EF583" s="770"/>
      <c r="EG583" s="770"/>
      <c r="EH583" s="770"/>
      <c r="EI583" s="770"/>
      <c r="EJ583" s="770"/>
      <c r="EK583" s="770"/>
      <c r="EL583" s="770"/>
      <c r="EM583" s="770"/>
      <c r="EN583" s="770"/>
      <c r="EO583" s="770"/>
      <c r="EP583" s="94"/>
      <c r="EQ583" s="770"/>
      <c r="ER583" s="770"/>
      <c r="ES583" s="770"/>
      <c r="ET583" s="770"/>
      <c r="EU583" s="770"/>
      <c r="EV583" s="770"/>
      <c r="EW583" s="770"/>
      <c r="EX583" s="770"/>
      <c r="EY583" s="770"/>
      <c r="EZ583" s="770"/>
      <c r="FA583" s="770"/>
      <c r="FB583" s="770"/>
      <c r="FC583" s="770"/>
      <c r="FD583" s="302"/>
      <c r="FE583" s="770"/>
      <c r="FF583" s="770"/>
      <c r="FG583" s="770"/>
      <c r="FH583" s="770" t="s">
        <v>1306</v>
      </c>
      <c r="FI583" s="770">
        <v>1</v>
      </c>
      <c r="FJ583" s="770" t="s">
        <v>2847</v>
      </c>
      <c r="FK583" s="770"/>
      <c r="FL583" s="770" t="s">
        <v>2852</v>
      </c>
      <c r="FM583" s="147">
        <v>1200</v>
      </c>
      <c r="FN583" s="302">
        <v>120</v>
      </c>
      <c r="FO583" s="302">
        <v>300</v>
      </c>
      <c r="FP583" s="766" t="s">
        <v>1602</v>
      </c>
      <c r="FQ583" s="766" t="s">
        <v>1660</v>
      </c>
      <c r="FR583" s="770"/>
      <c r="FS583" s="770"/>
      <c r="FT583" s="770"/>
      <c r="FU583" s="770"/>
      <c r="FV583" s="770"/>
      <c r="FW583" s="770"/>
      <c r="FX583" s="770"/>
      <c r="FY583" s="770"/>
      <c r="FZ583" s="770"/>
      <c r="GA583" s="770"/>
      <c r="GB583" s="770"/>
      <c r="GC583" s="308"/>
      <c r="GD583" s="297"/>
      <c r="GE583" s="770"/>
      <c r="GF583" s="302"/>
      <c r="GG583" s="302"/>
      <c r="GH583" s="770"/>
      <c r="GI583" s="770"/>
      <c r="GJ583" s="770"/>
      <c r="GK583" s="770"/>
      <c r="GL583" s="770"/>
      <c r="GM583" s="770"/>
      <c r="GN583" s="299"/>
      <c r="GO583" s="770"/>
      <c r="GP583" s="770"/>
      <c r="GQ583" s="770"/>
      <c r="GR583" s="770"/>
      <c r="GS583" s="770"/>
      <c r="GT583" s="770"/>
      <c r="GU583" s="770"/>
      <c r="GV583" s="770"/>
      <c r="GW583" s="770"/>
      <c r="GX583" s="770"/>
      <c r="GY583" s="770"/>
      <c r="GZ583" s="770"/>
      <c r="HA583" s="770"/>
      <c r="HB583" s="770"/>
      <c r="HC583" s="770"/>
      <c r="HD583" s="770"/>
      <c r="HE583" s="770"/>
      <c r="HF583" s="770"/>
      <c r="HG583" s="770"/>
      <c r="HH583" s="770"/>
      <c r="HI583" s="770"/>
      <c r="HJ583" s="770"/>
      <c r="HK583" s="770"/>
      <c r="HL583" s="770"/>
      <c r="HM583" s="770"/>
      <c r="HN583" s="770"/>
      <c r="HO583" s="770"/>
      <c r="HP583" s="770"/>
      <c r="HQ583" s="770"/>
      <c r="HR583" s="770"/>
      <c r="HS583" s="770"/>
      <c r="HT583" s="770"/>
      <c r="HU583" s="770"/>
      <c r="HV583" s="770"/>
      <c r="HW583" s="770"/>
      <c r="HX583" s="770"/>
      <c r="HY583" s="770"/>
      <c r="HZ583" s="770"/>
      <c r="IA583" s="770"/>
      <c r="IB583" s="14" t="e">
        <f>IF(#REF!&gt;0,IF(#REF!&lt;=10000,"Y",""),"")</f>
        <v>#REF!</v>
      </c>
      <c r="IC583" s="770"/>
      <c r="ID583" s="770"/>
      <c r="IE583" s="770"/>
      <c r="IF583" s="770"/>
      <c r="IG583" s="770"/>
      <c r="IH583" s="770"/>
      <c r="II583" s="770"/>
      <c r="IJ583" s="770"/>
      <c r="IK583" s="770"/>
      <c r="IL583" s="770"/>
      <c r="IM583" s="770"/>
      <c r="IN583" s="770"/>
      <c r="IO583" s="296"/>
      <c r="IP583" s="770"/>
      <c r="IQ583" s="770"/>
      <c r="IR583" s="770"/>
      <c r="IS583" s="770"/>
      <c r="IT583" s="770"/>
      <c r="IU583" s="770"/>
      <c r="IV583" s="770"/>
      <c r="IW583" s="770"/>
      <c r="IX583" s="770"/>
      <c r="IY583" s="770"/>
      <c r="IZ583" s="770"/>
      <c r="JA583" s="770"/>
      <c r="JB583" s="770"/>
      <c r="JC583" s="770"/>
      <c r="JD583" s="302"/>
      <c r="JE583" s="770"/>
      <c r="JF583" s="770"/>
      <c r="JG583" s="770"/>
      <c r="JH583" s="307"/>
      <c r="JI583" s="712" t="str">
        <f>IF(SUM(JT583,JU583)=JJ583,"ok","review")</f>
        <v>ok</v>
      </c>
      <c r="JJ583" s="770">
        <v>2</v>
      </c>
      <c r="JK583" s="1139" t="s">
        <v>2861</v>
      </c>
      <c r="JL583" s="770"/>
      <c r="JM583" s="770"/>
      <c r="JN583" s="770">
        <v>1</v>
      </c>
      <c r="JO583" s="770">
        <v>1</v>
      </c>
      <c r="JP583" s="770"/>
      <c r="JQ583" s="770"/>
      <c r="JR583" s="770"/>
      <c r="JS583" s="770"/>
      <c r="JT583" s="766">
        <f>SUM(JP583,JN583,JL583,JR583)</f>
        <v>1</v>
      </c>
      <c r="JU583" s="766">
        <f>SUM(JQ583,JO583,JM583,JS583)</f>
        <v>1</v>
      </c>
      <c r="JV583" s="712" t="str">
        <f>IF(JT583=KJ583,"ok","male")</f>
        <v>ok</v>
      </c>
      <c r="JW583" s="712" t="str">
        <f>IF(JU583=KK583,"ok","female")</f>
        <v>ok</v>
      </c>
      <c r="JX583" s="770"/>
      <c r="JY583" s="770"/>
      <c r="JZ583" s="770"/>
      <c r="KA583" s="770"/>
      <c r="KB583" s="770">
        <v>1</v>
      </c>
      <c r="KC583" s="770">
        <v>1</v>
      </c>
      <c r="KD583" s="770"/>
      <c r="KE583" s="770"/>
      <c r="KF583" s="770"/>
      <c r="KG583" s="770"/>
      <c r="KH583" s="770"/>
      <c r="KI583" s="770"/>
      <c r="KJ583" s="770">
        <f t="shared" si="153"/>
        <v>1</v>
      </c>
      <c r="KK583" s="770">
        <f t="shared" si="153"/>
        <v>1</v>
      </c>
      <c r="KL583" s="712" t="str">
        <f>IF(KJ583=LN583,"ok","male")</f>
        <v>ok</v>
      </c>
      <c r="KM583" s="712" t="str">
        <f>IF(KK583=LO583,"ok","female")</f>
        <v>ok</v>
      </c>
      <c r="KN583" s="770" t="s">
        <v>722</v>
      </c>
      <c r="KO583" s="770"/>
      <c r="KP583" s="770"/>
      <c r="KQ583" s="770"/>
      <c r="KR583" s="770"/>
      <c r="KS583" s="770"/>
      <c r="KT583" s="770"/>
      <c r="KU583" s="770"/>
      <c r="KV583" s="770"/>
      <c r="KW583" s="770"/>
      <c r="KX583" s="770"/>
      <c r="KY583" s="770"/>
      <c r="KZ583" s="770">
        <v>1</v>
      </c>
      <c r="LA583" s="770">
        <v>1</v>
      </c>
      <c r="LB583" s="770"/>
      <c r="LC583" s="770"/>
      <c r="LD583" s="770"/>
      <c r="LE583" s="770"/>
      <c r="LF583" s="770"/>
      <c r="LG583" s="770"/>
      <c r="LH583" s="770"/>
      <c r="LI583" s="770"/>
      <c r="LJ583" s="770"/>
      <c r="LK583" s="770"/>
      <c r="LL583" s="770"/>
      <c r="LM583" s="770"/>
      <c r="LN583" s="766">
        <f t="shared" si="159"/>
        <v>1</v>
      </c>
      <c r="LO583" s="766">
        <f t="shared" si="159"/>
        <v>1</v>
      </c>
      <c r="LP583" s="770">
        <v>2</v>
      </c>
      <c r="LQ583" s="770">
        <v>2</v>
      </c>
      <c r="LR583" s="770"/>
      <c r="LS583" s="770"/>
      <c r="LT583" s="712" t="str">
        <f>IF(LQ583=SUM(LU583:LW583),"OK","REV")</f>
        <v>OK</v>
      </c>
      <c r="LU583" s="770">
        <v>1</v>
      </c>
      <c r="LV583" s="770"/>
      <c r="LW583" s="770">
        <v>1</v>
      </c>
      <c r="LX583" s="769">
        <v>1</v>
      </c>
      <c r="LY583" s="766" t="str">
        <f t="shared" si="160"/>
        <v>within the BRGY</v>
      </c>
      <c r="LZ583" s="1709"/>
      <c r="MA583" s="1709"/>
      <c r="MB583" s="1709">
        <v>480</v>
      </c>
      <c r="MC583" s="1679">
        <f t="shared" si="158"/>
        <v>480</v>
      </c>
      <c r="MD583" s="1709">
        <v>8400</v>
      </c>
      <c r="ME583" s="1709"/>
      <c r="MF583" s="1709">
        <v>7500</v>
      </c>
      <c r="MG583" s="1680">
        <f>SUM(MD583:MF583)</f>
        <v>15900</v>
      </c>
      <c r="MH583" s="770" t="s">
        <v>2222</v>
      </c>
      <c r="MI583" s="302">
        <v>3000</v>
      </c>
      <c r="MJ583" s="302">
        <v>480</v>
      </c>
      <c r="MK583" s="302">
        <v>3000</v>
      </c>
      <c r="ML583" s="302">
        <v>1000</v>
      </c>
      <c r="MM583" s="302"/>
      <c r="MN583" s="302">
        <v>1200</v>
      </c>
      <c r="MO583" s="302">
        <v>500</v>
      </c>
      <c r="MP583" s="302">
        <v>300</v>
      </c>
      <c r="MQ583" s="302"/>
      <c r="MR583" s="302">
        <v>120</v>
      </c>
      <c r="MS583" s="302">
        <v>120</v>
      </c>
      <c r="MT583" s="302"/>
      <c r="MU583" s="302"/>
      <c r="MV583" s="302"/>
      <c r="MW583" s="302"/>
      <c r="MX583" s="302"/>
      <c r="MY583" s="1682">
        <f t="shared" si="165"/>
        <v>9720</v>
      </c>
      <c r="MZ583" s="770" t="s">
        <v>13395</v>
      </c>
      <c r="NA583" s="770" t="s">
        <v>13585</v>
      </c>
      <c r="NB583" s="770" t="s">
        <v>13016</v>
      </c>
      <c r="NC583" s="770" t="s">
        <v>13602</v>
      </c>
      <c r="ND583" s="770">
        <v>0</v>
      </c>
      <c r="NE583" s="770">
        <v>1</v>
      </c>
      <c r="NF583" s="770">
        <v>0</v>
      </c>
      <c r="NG583" s="770">
        <v>1</v>
      </c>
      <c r="NH583" s="770">
        <v>1</v>
      </c>
      <c r="NI583" s="770">
        <v>0</v>
      </c>
      <c r="NJ583" s="770">
        <v>0</v>
      </c>
      <c r="NK583" s="770">
        <v>0</v>
      </c>
      <c r="NL583" s="770">
        <v>0</v>
      </c>
      <c r="NM583" s="770">
        <v>1</v>
      </c>
      <c r="NN583" s="770">
        <v>0</v>
      </c>
      <c r="NO583" s="770">
        <v>0</v>
      </c>
      <c r="NP583" s="770">
        <v>0</v>
      </c>
      <c r="NQ583" s="770">
        <v>0</v>
      </c>
      <c r="NR583" s="770">
        <v>0</v>
      </c>
      <c r="NS583" s="770">
        <v>0</v>
      </c>
      <c r="NT583" s="770">
        <v>0</v>
      </c>
      <c r="NU583" s="770">
        <v>0</v>
      </c>
      <c r="NV583" s="770">
        <v>0</v>
      </c>
      <c r="NW583" s="770">
        <v>0</v>
      </c>
      <c r="NX583" s="770">
        <v>0</v>
      </c>
      <c r="NY583" s="770" t="s">
        <v>1208</v>
      </c>
      <c r="NZ583" s="770"/>
      <c r="OA583" s="770"/>
      <c r="OB583" s="770"/>
      <c r="OC583" s="770" t="s">
        <v>1208</v>
      </c>
      <c r="OD583" s="770" t="s">
        <v>1208</v>
      </c>
      <c r="OE583" s="770"/>
      <c r="OF583" s="770"/>
      <c r="OG583" s="770"/>
      <c r="OH583" s="770"/>
      <c r="OI583" s="770"/>
      <c r="OJ583" s="770"/>
      <c r="OK583" s="770"/>
      <c r="OL583" s="770"/>
      <c r="OM583" s="770"/>
      <c r="ON583" s="770"/>
      <c r="OO583" s="770"/>
      <c r="OP583" s="770"/>
      <c r="OQ583" s="770"/>
      <c r="OR583" s="770"/>
      <c r="OS583" s="770"/>
      <c r="OT583" s="770"/>
      <c r="OU583" s="770"/>
      <c r="OV583" s="770"/>
      <c r="OW583" s="770"/>
      <c r="OX583" s="770"/>
      <c r="OY583" s="770"/>
      <c r="OZ583" s="770"/>
      <c r="PA583" s="770"/>
      <c r="PB583" s="770"/>
      <c r="PC583" s="770"/>
      <c r="PD583" s="770"/>
      <c r="PE583" s="770"/>
      <c r="PF583" s="770"/>
      <c r="PG583" s="770"/>
      <c r="PH583" s="770"/>
      <c r="PI583" s="770"/>
      <c r="PJ583" s="770"/>
      <c r="PK583" s="770"/>
      <c r="PL583" s="770"/>
      <c r="PM583" s="770"/>
      <c r="PN583" s="770"/>
      <c r="PO583" s="770"/>
      <c r="PP583" s="770"/>
      <c r="PQ583" s="770"/>
      <c r="PR583" s="770"/>
      <c r="PS583" s="770"/>
      <c r="PT583" s="770"/>
      <c r="PU583" s="770"/>
      <c r="PV583" s="770"/>
      <c r="PW583" s="770"/>
      <c r="PX583" s="770"/>
      <c r="PY583" s="770"/>
      <c r="PZ583" s="770"/>
      <c r="QA583" s="770"/>
      <c r="QB583" s="770"/>
      <c r="QC583" s="770"/>
      <c r="QD583" s="770"/>
      <c r="QE583" s="770"/>
      <c r="QF583" s="770"/>
      <c r="QG583" s="770"/>
      <c r="QH583" s="770"/>
      <c r="QI583" s="770"/>
      <c r="QJ583" s="770"/>
      <c r="QK583" s="770"/>
      <c r="QL583" s="770"/>
      <c r="QM583" s="770"/>
      <c r="QN583" s="770"/>
      <c r="QO583" s="770"/>
      <c r="QP583" s="770"/>
      <c r="QQ583" s="770"/>
      <c r="QR583" s="770"/>
      <c r="QS583" s="770"/>
      <c r="QT583" s="770"/>
      <c r="QU583" s="770"/>
      <c r="QV583" s="770"/>
      <c r="QW583" s="770"/>
      <c r="QX583" s="770"/>
      <c r="QY583" s="770"/>
      <c r="QZ583" s="770"/>
      <c r="RA583" s="770"/>
      <c r="RB583" s="770" t="s">
        <v>1207</v>
      </c>
      <c r="RC583" s="770">
        <v>2017</v>
      </c>
      <c r="RD583" s="770" t="s">
        <v>13589</v>
      </c>
      <c r="RE583" s="770" t="s">
        <v>12999</v>
      </c>
      <c r="RF583" s="304">
        <v>0.25</v>
      </c>
      <c r="RG583" s="770" t="s">
        <v>13047</v>
      </c>
      <c r="RH583" s="302">
        <v>0</v>
      </c>
      <c r="RI583" s="770">
        <v>2</v>
      </c>
      <c r="RJ583" s="770" t="s">
        <v>2861</v>
      </c>
      <c r="RK583" s="770" t="s">
        <v>13550</v>
      </c>
      <c r="RL583" s="1710"/>
      <c r="RM583" s="12"/>
      <c r="RN583" s="1711"/>
      <c r="RO583" s="132" t="s">
        <v>2853</v>
      </c>
      <c r="RP583" s="11"/>
      <c r="RQ583" s="11"/>
      <c r="RR583" s="343" t="s">
        <v>12458</v>
      </c>
      <c r="RS583" s="1139" t="s">
        <v>12980</v>
      </c>
      <c r="RT583" s="11"/>
      <c r="RU583" s="11"/>
      <c r="RV583" s="771" t="s">
        <v>13774</v>
      </c>
      <c r="RW583" s="11" t="s">
        <v>7505</v>
      </c>
      <c r="RX583" s="11" t="s">
        <v>2853</v>
      </c>
      <c r="RY583" s="11"/>
      <c r="RZ583" s="11"/>
      <c r="SA583" s="771"/>
      <c r="SB583" s="11"/>
      <c r="SC583" s="11"/>
    </row>
    <row r="584" spans="1:497" ht="15" hidden="1" customHeight="1">
      <c r="A584" s="343" t="s">
        <v>14224</v>
      </c>
      <c r="B584" s="752" t="s">
        <v>7507</v>
      </c>
      <c r="C584" s="132" t="s">
        <v>2853</v>
      </c>
      <c r="D584" s="94" t="s">
        <v>2862</v>
      </c>
      <c r="E584" s="766" t="s">
        <v>2836</v>
      </c>
      <c r="F584" s="770" t="s">
        <v>20</v>
      </c>
      <c r="G584" s="770" t="s">
        <v>18</v>
      </c>
      <c r="H584" s="770"/>
      <c r="I584" s="295" t="s">
        <v>2863</v>
      </c>
      <c r="J584" s="94" t="s">
        <v>2864</v>
      </c>
      <c r="K584" s="770" t="s">
        <v>14123</v>
      </c>
      <c r="L584" s="770"/>
      <c r="M584" s="770" t="s">
        <v>1238</v>
      </c>
      <c r="N584" s="770"/>
      <c r="O584" s="770" t="s">
        <v>3897</v>
      </c>
      <c r="P584" s="770" t="s">
        <v>2865</v>
      </c>
      <c r="Q584" s="1088">
        <v>28759</v>
      </c>
      <c r="R584" s="297">
        <v>36</v>
      </c>
      <c r="S584" s="770" t="s">
        <v>10</v>
      </c>
      <c r="T584" s="770"/>
      <c r="U584" s="295" t="s">
        <v>2863</v>
      </c>
      <c r="V584" s="770"/>
      <c r="W584" s="770"/>
      <c r="X584" s="770"/>
      <c r="Y584" s="770" t="s">
        <v>2836</v>
      </c>
      <c r="Z584" s="770" t="s">
        <v>708</v>
      </c>
      <c r="AA584" s="770" t="s">
        <v>781</v>
      </c>
      <c r="AB584" s="770" t="s">
        <v>7273</v>
      </c>
      <c r="AC584" s="770" t="s">
        <v>724</v>
      </c>
      <c r="AD584" s="770" t="s">
        <v>711</v>
      </c>
      <c r="AE584" s="770"/>
      <c r="AF584" s="770" t="s">
        <v>712</v>
      </c>
      <c r="AG584" s="770"/>
      <c r="AH584" s="770"/>
      <c r="AI584" s="770"/>
      <c r="AJ584" s="770"/>
      <c r="AK584" s="770" t="s">
        <v>1899</v>
      </c>
      <c r="AL584" s="531"/>
      <c r="AM584" s="780"/>
      <c r="AN584" s="532"/>
      <c r="AO584" s="766"/>
      <c r="AP584" s="766"/>
      <c r="AQ584" s="766"/>
      <c r="AR584" s="766"/>
      <c r="AS584" s="770"/>
      <c r="AT584" s="770"/>
      <c r="AU584" s="770"/>
      <c r="AV584" s="770"/>
      <c r="AW584" s="770"/>
      <c r="AX584" s="770"/>
      <c r="AY584" s="770"/>
      <c r="AZ584" s="770"/>
      <c r="BA584" s="770"/>
      <c r="BB584" s="770"/>
      <c r="BC584" s="770"/>
      <c r="BD584" s="770"/>
      <c r="BE584" s="770"/>
      <c r="BF584" s="302"/>
      <c r="BG584" s="302"/>
      <c r="BH584" s="770"/>
      <c r="BI584" s="770"/>
      <c r="BJ584" s="770"/>
      <c r="BK584" s="770"/>
      <c r="BL584" s="770"/>
      <c r="BM584" s="770" t="s">
        <v>1238</v>
      </c>
      <c r="BN584" s="770" t="s">
        <v>1256</v>
      </c>
      <c r="BO584" s="770"/>
      <c r="BP584" s="765"/>
      <c r="BQ584" s="773"/>
      <c r="BR584" s="774"/>
      <c r="BS584" s="766" t="s">
        <v>1257</v>
      </c>
      <c r="BT584" s="770"/>
      <c r="BU584" s="770"/>
      <c r="BV584" s="770"/>
      <c r="BW584" s="770"/>
      <c r="BX584" s="302"/>
      <c r="BY584" s="770"/>
      <c r="BZ584" s="302"/>
      <c r="CA584" s="770"/>
      <c r="CB584" s="770"/>
      <c r="CC584" s="770"/>
      <c r="CD584" s="770"/>
      <c r="CE584" s="770"/>
      <c r="CF584" s="1753"/>
      <c r="CG584" s="1754"/>
      <c r="CH584" s="770"/>
      <c r="CI584" s="770"/>
      <c r="CJ584" s="770"/>
      <c r="CK584" s="770"/>
      <c r="CL584" s="770"/>
      <c r="CM584" s="770"/>
      <c r="CN584" s="770"/>
      <c r="CO584" s="770"/>
      <c r="CP584" s="770"/>
      <c r="CQ584" s="770"/>
      <c r="CR584" s="302"/>
      <c r="CS584" s="770"/>
      <c r="CT584" s="770"/>
      <c r="CU584" s="305"/>
      <c r="CV584" s="770"/>
      <c r="CW584" s="770"/>
      <c r="CX584" s="770"/>
      <c r="CY584" s="770"/>
      <c r="CZ584" s="770"/>
      <c r="DA584" s="306"/>
      <c r="DB584" s="770"/>
      <c r="DC584" s="770"/>
      <c r="DD584" s="770"/>
      <c r="DE584" s="300"/>
      <c r="DF584" s="770"/>
      <c r="DG584" s="770"/>
      <c r="DH584" s="770"/>
      <c r="DI584" s="770"/>
      <c r="DJ584" s="770"/>
      <c r="DK584" s="770"/>
      <c r="DL584" s="770"/>
      <c r="DM584" s="770"/>
      <c r="DN584" s="322"/>
      <c r="DO584" s="770"/>
      <c r="DP584" s="770"/>
      <c r="DQ584" s="770"/>
      <c r="DR584" s="770"/>
      <c r="DS584" s="307"/>
      <c r="DT584" s="770"/>
      <c r="DU584" s="770"/>
      <c r="DV584" s="770"/>
      <c r="DW584" s="306"/>
      <c r="DX584" s="306"/>
      <c r="DY584" s="770"/>
      <c r="DZ584" s="770"/>
      <c r="EA584" s="770"/>
      <c r="EB584" s="770"/>
      <c r="EC584" s="770"/>
      <c r="ED584" s="770"/>
      <c r="EE584" s="770"/>
      <c r="EF584" s="770"/>
      <c r="EG584" s="770"/>
      <c r="EH584" s="770"/>
      <c r="EI584" s="770"/>
      <c r="EJ584" s="770"/>
      <c r="EK584" s="770"/>
      <c r="EL584" s="770"/>
      <c r="EM584" s="770"/>
      <c r="EN584" s="770"/>
      <c r="EO584" s="770"/>
      <c r="EP584" s="94"/>
      <c r="EQ584" s="770"/>
      <c r="ER584" s="770"/>
      <c r="ES584" s="770"/>
      <c r="ET584" s="770"/>
      <c r="EU584" s="770"/>
      <c r="EV584" s="770"/>
      <c r="EW584" s="770"/>
      <c r="EX584" s="770"/>
      <c r="EY584" s="770"/>
      <c r="EZ584" s="770"/>
      <c r="FA584" s="770"/>
      <c r="FB584" s="770"/>
      <c r="FC584" s="770"/>
      <c r="FD584" s="302"/>
      <c r="FE584" s="770"/>
      <c r="FF584" s="770"/>
      <c r="FG584" s="770"/>
      <c r="FH584" s="770" t="s">
        <v>1306</v>
      </c>
      <c r="FI584" s="770">
        <v>1</v>
      </c>
      <c r="FJ584" s="770" t="s">
        <v>2847</v>
      </c>
      <c r="FK584" s="770"/>
      <c r="FL584" s="770" t="s">
        <v>2852</v>
      </c>
      <c r="FM584" s="147">
        <v>1700</v>
      </c>
      <c r="FN584" s="302">
        <v>150</v>
      </c>
      <c r="FO584" s="302">
        <v>100</v>
      </c>
      <c r="FP584" s="770"/>
      <c r="FQ584" s="770"/>
      <c r="FR584" s="770"/>
      <c r="FS584" s="770"/>
      <c r="FT584" s="770"/>
      <c r="FU584" s="770"/>
      <c r="FV584" s="770"/>
      <c r="FW584" s="770"/>
      <c r="FX584" s="770"/>
      <c r="FY584" s="770"/>
      <c r="FZ584" s="770"/>
      <c r="GA584" s="770"/>
      <c r="GB584" s="770"/>
      <c r="GC584" s="308"/>
      <c r="GD584" s="297"/>
      <c r="GE584" s="770"/>
      <c r="GF584" s="302"/>
      <c r="GG584" s="302"/>
      <c r="GH584" s="770"/>
      <c r="GI584" s="770"/>
      <c r="GJ584" s="770"/>
      <c r="GK584" s="770"/>
      <c r="GL584" s="770"/>
      <c r="GM584" s="770"/>
      <c r="GN584" s="299"/>
      <c r="GO584" s="770"/>
      <c r="GP584" s="770"/>
      <c r="GQ584" s="770"/>
      <c r="GR584" s="770"/>
      <c r="GS584" s="770"/>
      <c r="GT584" s="770"/>
      <c r="GU584" s="770"/>
      <c r="GV584" s="770"/>
      <c r="GW584" s="770"/>
      <c r="GX584" s="770"/>
      <c r="GY584" s="770"/>
      <c r="GZ584" s="770"/>
      <c r="HA584" s="770"/>
      <c r="HB584" s="770"/>
      <c r="HC584" s="770"/>
      <c r="HD584" s="770"/>
      <c r="HE584" s="770"/>
      <c r="HF584" s="770"/>
      <c r="HG584" s="770"/>
      <c r="HH584" s="770"/>
      <c r="HI584" s="770"/>
      <c r="HJ584" s="770"/>
      <c r="HK584" s="770"/>
      <c r="HL584" s="770"/>
      <c r="HM584" s="770"/>
      <c r="HN584" s="770"/>
      <c r="HO584" s="770"/>
      <c r="HP584" s="770"/>
      <c r="HQ584" s="770"/>
      <c r="HR584" s="770"/>
      <c r="HS584" s="770"/>
      <c r="HT584" s="770"/>
      <c r="HU584" s="770"/>
      <c r="HV584" s="770"/>
      <c r="HW584" s="770"/>
      <c r="HX584" s="770"/>
      <c r="HY584" s="770"/>
      <c r="HZ584" s="770"/>
      <c r="IA584" s="770"/>
      <c r="IB584" s="770"/>
      <c r="IC584" s="770"/>
      <c r="ID584" s="770"/>
      <c r="IE584" s="770"/>
      <c r="IF584" s="770"/>
      <c r="IG584" s="770"/>
      <c r="IH584" s="770"/>
      <c r="II584" s="770"/>
      <c r="IJ584" s="770"/>
      <c r="IK584" s="770"/>
      <c r="IL584" s="770"/>
      <c r="IM584" s="770"/>
      <c r="IN584" s="770"/>
      <c r="IO584" s="296"/>
      <c r="IP584" s="770"/>
      <c r="IQ584" s="770"/>
      <c r="IR584" s="770"/>
      <c r="IS584" s="770"/>
      <c r="IT584" s="770"/>
      <c r="IU584" s="770"/>
      <c r="IV584" s="770"/>
      <c r="IW584" s="770"/>
      <c r="IX584" s="770"/>
      <c r="IY584" s="770"/>
      <c r="IZ584" s="770"/>
      <c r="JA584" s="770"/>
      <c r="JB584" s="770"/>
      <c r="JC584" s="770"/>
      <c r="JD584" s="302"/>
      <c r="JE584" s="770"/>
      <c r="JF584" s="770"/>
      <c r="JG584" s="770"/>
      <c r="JH584" s="307"/>
      <c r="JI584" s="307"/>
      <c r="JJ584" s="770"/>
      <c r="JK584" s="770"/>
      <c r="JL584" s="770"/>
      <c r="JM584" s="770"/>
      <c r="JN584" s="770"/>
      <c r="JO584" s="770"/>
      <c r="JP584" s="770"/>
      <c r="JQ584" s="770"/>
      <c r="JR584" s="770"/>
      <c r="JS584" s="770"/>
      <c r="JT584" s="766"/>
      <c r="JU584" s="766"/>
      <c r="JV584" s="766"/>
      <c r="JW584" s="766"/>
      <c r="JX584" s="770"/>
      <c r="JY584" s="770"/>
      <c r="JZ584" s="770"/>
      <c r="KA584" s="770"/>
      <c r="KB584" s="770"/>
      <c r="KC584" s="770"/>
      <c r="KD584" s="770"/>
      <c r="KE584" s="770"/>
      <c r="KF584" s="770"/>
      <c r="KG584" s="770"/>
      <c r="KH584" s="770"/>
      <c r="KI584" s="770"/>
      <c r="KJ584" s="770"/>
      <c r="KK584" s="770"/>
      <c r="KL584" s="770"/>
      <c r="KM584" s="770"/>
      <c r="KN584" s="770"/>
      <c r="KO584" s="770"/>
      <c r="KP584" s="770"/>
      <c r="KQ584" s="770"/>
      <c r="KR584" s="770"/>
      <c r="KS584" s="770"/>
      <c r="KT584" s="770"/>
      <c r="KU584" s="770"/>
      <c r="KV584" s="770"/>
      <c r="KW584" s="770"/>
      <c r="KX584" s="770"/>
      <c r="KY584" s="770"/>
      <c r="KZ584" s="770"/>
      <c r="LA584" s="770"/>
      <c r="LB584" s="770"/>
      <c r="LC584" s="770"/>
      <c r="LD584" s="770"/>
      <c r="LE584" s="770"/>
      <c r="LF584" s="770"/>
      <c r="LG584" s="770"/>
      <c r="LH584" s="770"/>
      <c r="LI584" s="770"/>
      <c r="LJ584" s="770"/>
      <c r="LK584" s="770"/>
      <c r="LL584" s="770"/>
      <c r="LM584" s="770"/>
      <c r="LN584" s="766"/>
      <c r="LO584" s="766"/>
      <c r="LP584" s="770"/>
      <c r="LQ584" s="770"/>
      <c r="LR584" s="770"/>
      <c r="LS584" s="770"/>
      <c r="LT584" s="770"/>
      <c r="LU584" s="770"/>
      <c r="LV584" s="770"/>
      <c r="LW584" s="770"/>
      <c r="LX584" s="769"/>
      <c r="LY584" s="766" t="str">
        <f t="shared" si="160"/>
        <v/>
      </c>
      <c r="LZ584" s="1709"/>
      <c r="MA584" s="1709"/>
      <c r="MB584" s="1709"/>
      <c r="MC584" s="1679">
        <f t="shared" si="158"/>
        <v>0</v>
      </c>
      <c r="MD584" s="1709"/>
      <c r="ME584" s="1709"/>
      <c r="MF584" s="1709"/>
      <c r="MG584" s="1680">
        <f t="shared" si="164"/>
        <v>0</v>
      </c>
      <c r="MH584" s="770"/>
      <c r="MI584" s="302"/>
      <c r="MJ584" s="302"/>
      <c r="MK584" s="302"/>
      <c r="ML584" s="302"/>
      <c r="MM584" s="302"/>
      <c r="MN584" s="302"/>
      <c r="MO584" s="302"/>
      <c r="MP584" s="302"/>
      <c r="MQ584" s="302"/>
      <c r="MR584" s="302"/>
      <c r="MS584" s="302"/>
      <c r="MT584" s="302"/>
      <c r="MU584" s="302"/>
      <c r="MV584" s="302"/>
      <c r="MW584" s="302"/>
      <c r="MX584" s="302"/>
      <c r="MY584" s="1682">
        <f t="shared" si="165"/>
        <v>0</v>
      </c>
      <c r="MZ584" s="770"/>
      <c r="NA584" s="770"/>
      <c r="NB584" s="770"/>
      <c r="NC584" s="770"/>
      <c r="ND584" s="770"/>
      <c r="NE584" s="770"/>
      <c r="NF584" s="770"/>
      <c r="NG584" s="770"/>
      <c r="NH584" s="770"/>
      <c r="NI584" s="770"/>
      <c r="NJ584" s="770"/>
      <c r="NK584" s="770"/>
      <c r="NL584" s="770"/>
      <c r="NM584" s="770"/>
      <c r="NN584" s="770"/>
      <c r="NO584" s="770"/>
      <c r="NP584" s="770"/>
      <c r="NQ584" s="770"/>
      <c r="NR584" s="770"/>
      <c r="NS584" s="770"/>
      <c r="NT584" s="770"/>
      <c r="NU584" s="770"/>
      <c r="NV584" s="770"/>
      <c r="NW584" s="770"/>
      <c r="NX584" s="770"/>
      <c r="NY584" s="770"/>
      <c r="NZ584" s="770"/>
      <c r="OA584" s="770"/>
      <c r="OB584" s="770"/>
      <c r="OC584" s="770"/>
      <c r="OD584" s="770"/>
      <c r="OE584" s="770"/>
      <c r="OF584" s="770"/>
      <c r="OG584" s="770"/>
      <c r="OH584" s="770"/>
      <c r="OI584" s="770"/>
      <c r="OJ584" s="770"/>
      <c r="OK584" s="770"/>
      <c r="OL584" s="770"/>
      <c r="OM584" s="770"/>
      <c r="ON584" s="770"/>
      <c r="OO584" s="770"/>
      <c r="OP584" s="770"/>
      <c r="OQ584" s="770"/>
      <c r="OR584" s="770"/>
      <c r="OS584" s="770"/>
      <c r="OT584" s="770"/>
      <c r="OU584" s="770"/>
      <c r="OV584" s="770"/>
      <c r="OW584" s="770"/>
      <c r="OX584" s="770"/>
      <c r="OY584" s="770"/>
      <c r="OZ584" s="770"/>
      <c r="PA584" s="770"/>
      <c r="PB584" s="770"/>
      <c r="PC584" s="770"/>
      <c r="PD584" s="770"/>
      <c r="PE584" s="770"/>
      <c r="PF584" s="770"/>
      <c r="PG584" s="770"/>
      <c r="PH584" s="770"/>
      <c r="PI584" s="770"/>
      <c r="PJ584" s="770"/>
      <c r="PK584" s="770"/>
      <c r="PL584" s="770"/>
      <c r="PM584" s="770"/>
      <c r="PN584" s="770"/>
      <c r="PO584" s="770"/>
      <c r="PP584" s="770"/>
      <c r="PQ584" s="770"/>
      <c r="PR584" s="770"/>
      <c r="PS584" s="770"/>
      <c r="PT584" s="770"/>
      <c r="PU584" s="770"/>
      <c r="PV584" s="770"/>
      <c r="PW584" s="770"/>
      <c r="PX584" s="770"/>
      <c r="PY584" s="770"/>
      <c r="PZ584" s="770"/>
      <c r="QA584" s="770"/>
      <c r="QB584" s="770"/>
      <c r="QC584" s="770"/>
      <c r="QD584" s="770"/>
      <c r="QE584" s="770"/>
      <c r="QF584" s="770"/>
      <c r="QG584" s="770"/>
      <c r="QH584" s="770"/>
      <c r="QI584" s="770"/>
      <c r="QJ584" s="770"/>
      <c r="QK584" s="770"/>
      <c r="QL584" s="770"/>
      <c r="QM584" s="770"/>
      <c r="QN584" s="770"/>
      <c r="QO584" s="770"/>
      <c r="QP584" s="770"/>
      <c r="QQ584" s="770"/>
      <c r="QR584" s="770"/>
      <c r="QS584" s="770"/>
      <c r="QT584" s="770"/>
      <c r="QU584" s="770"/>
      <c r="QV584" s="770"/>
      <c r="QW584" s="770"/>
      <c r="QX584" s="770"/>
      <c r="QY584" s="770"/>
      <c r="QZ584" s="770"/>
      <c r="RA584" s="770"/>
      <c r="RB584" s="770"/>
      <c r="RC584" s="770"/>
      <c r="RD584" s="770"/>
      <c r="RE584" s="770"/>
      <c r="RF584" s="304"/>
      <c r="RG584" s="770"/>
      <c r="RH584" s="302"/>
      <c r="RI584" s="770"/>
      <c r="RJ584" s="770" t="s">
        <v>13775</v>
      </c>
      <c r="RK584" s="770" t="s">
        <v>13556</v>
      </c>
      <c r="RL584" s="1710"/>
      <c r="RM584" s="12"/>
      <c r="RN584" s="1711"/>
      <c r="RO584" s="132" t="s">
        <v>2853</v>
      </c>
      <c r="RP584" s="11"/>
      <c r="RQ584" s="11"/>
      <c r="RR584" s="17"/>
      <c r="RS584" s="767"/>
      <c r="RT584" s="11"/>
      <c r="RU584" s="11"/>
      <c r="RV584" s="771" t="s">
        <v>13774</v>
      </c>
      <c r="RW584" s="11" t="s">
        <v>7821</v>
      </c>
      <c r="RX584" s="11" t="s">
        <v>2853</v>
      </c>
      <c r="RY584" s="11"/>
      <c r="RZ584" s="11"/>
      <c r="SA584" s="771"/>
      <c r="SB584" s="11"/>
      <c r="SC584" s="11"/>
    </row>
    <row r="585" spans="1:497" ht="15" hidden="1" customHeight="1">
      <c r="A585" s="343" t="s">
        <v>14224</v>
      </c>
      <c r="B585" s="752" t="s">
        <v>7508</v>
      </c>
      <c r="C585" s="132" t="s">
        <v>2853</v>
      </c>
      <c r="D585" s="94" t="s">
        <v>2866</v>
      </c>
      <c r="E585" s="766" t="s">
        <v>2836</v>
      </c>
      <c r="F585" s="770" t="s">
        <v>28</v>
      </c>
      <c r="G585" s="770" t="s">
        <v>10</v>
      </c>
      <c r="H585" s="770"/>
      <c r="I585" s="295" t="s">
        <v>2855</v>
      </c>
      <c r="J585" s="94" t="s">
        <v>2854</v>
      </c>
      <c r="K585" s="770" t="s">
        <v>14123</v>
      </c>
      <c r="L585" s="770"/>
      <c r="M585" s="770" t="s">
        <v>1238</v>
      </c>
      <c r="N585" s="770"/>
      <c r="O585" s="770" t="s">
        <v>3897</v>
      </c>
      <c r="P585" s="770" t="s">
        <v>2867</v>
      </c>
      <c r="Q585" s="1088">
        <v>27687</v>
      </c>
      <c r="R585" s="297">
        <v>41</v>
      </c>
      <c r="S585" s="770" t="s">
        <v>10</v>
      </c>
      <c r="T585" s="770"/>
      <c r="U585" s="295" t="s">
        <v>2855</v>
      </c>
      <c r="V585" s="770" t="s">
        <v>707</v>
      </c>
      <c r="W585" s="770"/>
      <c r="X585" s="770"/>
      <c r="Y585" s="770" t="s">
        <v>2836</v>
      </c>
      <c r="Z585" s="770" t="s">
        <v>708</v>
      </c>
      <c r="AA585" s="770" t="s">
        <v>2463</v>
      </c>
      <c r="AB585" s="770" t="s">
        <v>710</v>
      </c>
      <c r="AC585" s="770" t="s">
        <v>724</v>
      </c>
      <c r="AD585" s="770" t="s">
        <v>1019</v>
      </c>
      <c r="AE585" s="770"/>
      <c r="AF585" s="770" t="s">
        <v>712</v>
      </c>
      <c r="AG585" s="770"/>
      <c r="AH585" s="770"/>
      <c r="AI585" s="770"/>
      <c r="AJ585" s="770"/>
      <c r="AK585" s="770" t="s">
        <v>1899</v>
      </c>
      <c r="AL585" s="531"/>
      <c r="AM585" s="780"/>
      <c r="AN585" s="532"/>
      <c r="AO585" s="766"/>
      <c r="AP585" s="766"/>
      <c r="AQ585" s="766"/>
      <c r="AR585" s="766"/>
      <c r="AS585" s="770"/>
      <c r="AT585" s="770"/>
      <c r="AU585" s="770"/>
      <c r="AV585" s="770"/>
      <c r="AW585" s="770"/>
      <c r="AX585" s="770"/>
      <c r="AY585" s="770"/>
      <c r="AZ585" s="770"/>
      <c r="BA585" s="770"/>
      <c r="BB585" s="770"/>
      <c r="BC585" s="770"/>
      <c r="BD585" s="770"/>
      <c r="BE585" s="770"/>
      <c r="BF585" s="302"/>
      <c r="BG585" s="302"/>
      <c r="BH585" s="770"/>
      <c r="BI585" s="770"/>
      <c r="BJ585" s="770"/>
      <c r="BK585" s="770"/>
      <c r="BL585" s="770"/>
      <c r="BM585" s="770" t="s">
        <v>1238</v>
      </c>
      <c r="BN585" s="770" t="s">
        <v>1256</v>
      </c>
      <c r="BO585" s="770"/>
      <c r="BP585" s="765"/>
      <c r="BQ585" s="773"/>
      <c r="BR585" s="774"/>
      <c r="BS585" s="766" t="s">
        <v>1257</v>
      </c>
      <c r="BT585" s="770"/>
      <c r="BU585" s="770"/>
      <c r="BV585" s="770"/>
      <c r="BW585" s="770"/>
      <c r="BX585" s="302"/>
      <c r="BY585" s="770"/>
      <c r="BZ585" s="302"/>
      <c r="CA585" s="770"/>
      <c r="CB585" s="770"/>
      <c r="CC585" s="770"/>
      <c r="CD585" s="770"/>
      <c r="CE585" s="770"/>
      <c r="CF585" s="1753"/>
      <c r="CG585" s="1754"/>
      <c r="CH585" s="770"/>
      <c r="CI585" s="770"/>
      <c r="CJ585" s="770"/>
      <c r="CK585" s="770"/>
      <c r="CL585" s="770"/>
      <c r="CM585" s="770"/>
      <c r="CN585" s="770"/>
      <c r="CO585" s="770"/>
      <c r="CP585" s="770"/>
      <c r="CQ585" s="770"/>
      <c r="CR585" s="302"/>
      <c r="CS585" s="770"/>
      <c r="CT585" s="770"/>
      <c r="CU585" s="305"/>
      <c r="CV585" s="770"/>
      <c r="CW585" s="770"/>
      <c r="CX585" s="770"/>
      <c r="CY585" s="770"/>
      <c r="CZ585" s="770"/>
      <c r="DA585" s="306"/>
      <c r="DB585" s="770"/>
      <c r="DC585" s="770"/>
      <c r="DD585" s="770"/>
      <c r="DE585" s="300"/>
      <c r="DF585" s="770"/>
      <c r="DG585" s="770"/>
      <c r="DH585" s="770"/>
      <c r="DI585" s="770"/>
      <c r="DJ585" s="770"/>
      <c r="DK585" s="770"/>
      <c r="DL585" s="770"/>
      <c r="DM585" s="770"/>
      <c r="DN585" s="322"/>
      <c r="DO585" s="770"/>
      <c r="DP585" s="770"/>
      <c r="DQ585" s="770"/>
      <c r="DR585" s="770"/>
      <c r="DS585" s="307"/>
      <c r="DT585" s="770"/>
      <c r="DU585" s="770"/>
      <c r="DV585" s="770"/>
      <c r="DW585" s="306"/>
      <c r="DX585" s="306"/>
      <c r="DY585" s="770"/>
      <c r="DZ585" s="770"/>
      <c r="EA585" s="770"/>
      <c r="EB585" s="770"/>
      <c r="EC585" s="770"/>
      <c r="ED585" s="770"/>
      <c r="EE585" s="770"/>
      <c r="EF585" s="770"/>
      <c r="EG585" s="770"/>
      <c r="EH585" s="770"/>
      <c r="EI585" s="770"/>
      <c r="EJ585" s="770"/>
      <c r="EK585" s="770"/>
      <c r="EL585" s="770"/>
      <c r="EM585" s="770"/>
      <c r="EN585" s="770"/>
      <c r="EO585" s="770"/>
      <c r="EP585" s="94"/>
      <c r="EQ585" s="770"/>
      <c r="ER585" s="770"/>
      <c r="ES585" s="770"/>
      <c r="ET585" s="770"/>
      <c r="EU585" s="770"/>
      <c r="EV585" s="770"/>
      <c r="EW585" s="770"/>
      <c r="EX585" s="770"/>
      <c r="EY585" s="770"/>
      <c r="EZ585" s="770"/>
      <c r="FA585" s="770"/>
      <c r="FB585" s="770"/>
      <c r="FC585" s="770"/>
      <c r="FD585" s="302"/>
      <c r="FE585" s="770"/>
      <c r="FF585" s="770"/>
      <c r="FG585" s="770"/>
      <c r="FH585" s="770" t="s">
        <v>1306</v>
      </c>
      <c r="FI585" s="770">
        <v>1</v>
      </c>
      <c r="FJ585" s="770" t="s">
        <v>2847</v>
      </c>
      <c r="FK585" s="770"/>
      <c r="FL585" s="770" t="s">
        <v>2852</v>
      </c>
      <c r="FM585" s="147">
        <v>1500</v>
      </c>
      <c r="FN585" s="302">
        <v>500</v>
      </c>
      <c r="FO585" s="302">
        <v>100</v>
      </c>
      <c r="FP585" s="770"/>
      <c r="FQ585" s="770"/>
      <c r="FR585" s="770"/>
      <c r="FS585" s="770"/>
      <c r="FT585" s="770"/>
      <c r="FU585" s="770"/>
      <c r="FV585" s="770"/>
      <c r="FW585" s="770"/>
      <c r="FX585" s="770"/>
      <c r="FY585" s="770"/>
      <c r="FZ585" s="770"/>
      <c r="GA585" s="770"/>
      <c r="GB585" s="770"/>
      <c r="GC585" s="308"/>
      <c r="GD585" s="297"/>
      <c r="GE585" s="770"/>
      <c r="GF585" s="302"/>
      <c r="GG585" s="302"/>
      <c r="GH585" s="770"/>
      <c r="GI585" s="770"/>
      <c r="GJ585" s="770"/>
      <c r="GK585" s="770"/>
      <c r="GL585" s="770"/>
      <c r="GM585" s="770"/>
      <c r="GN585" s="299"/>
      <c r="GO585" s="770"/>
      <c r="GP585" s="770"/>
      <c r="GQ585" s="770"/>
      <c r="GR585" s="770"/>
      <c r="GS585" s="770"/>
      <c r="GT585" s="770"/>
      <c r="GU585" s="770"/>
      <c r="GV585" s="770"/>
      <c r="GW585" s="770"/>
      <c r="GX585" s="770"/>
      <c r="GY585" s="770"/>
      <c r="GZ585" s="770"/>
      <c r="HA585" s="770"/>
      <c r="HB585" s="770"/>
      <c r="HC585" s="770"/>
      <c r="HD585" s="770"/>
      <c r="HE585" s="770"/>
      <c r="HF585" s="770"/>
      <c r="HG585" s="770"/>
      <c r="HH585" s="770"/>
      <c r="HI585" s="770"/>
      <c r="HJ585" s="770"/>
      <c r="HK585" s="770"/>
      <c r="HL585" s="770"/>
      <c r="HM585" s="770"/>
      <c r="HN585" s="770"/>
      <c r="HO585" s="770"/>
      <c r="HP585" s="770"/>
      <c r="HQ585" s="770"/>
      <c r="HR585" s="770"/>
      <c r="HS585" s="770"/>
      <c r="HT585" s="770"/>
      <c r="HU585" s="770"/>
      <c r="HV585" s="770"/>
      <c r="HW585" s="770"/>
      <c r="HX585" s="770"/>
      <c r="HY585" s="770"/>
      <c r="HZ585" s="770"/>
      <c r="IA585" s="770"/>
      <c r="IB585" s="770"/>
      <c r="IC585" s="770"/>
      <c r="ID585" s="770"/>
      <c r="IE585" s="770"/>
      <c r="IF585" s="770"/>
      <c r="IG585" s="770"/>
      <c r="IH585" s="770"/>
      <c r="II585" s="770"/>
      <c r="IJ585" s="770"/>
      <c r="IK585" s="770"/>
      <c r="IL585" s="770"/>
      <c r="IM585" s="770"/>
      <c r="IN585" s="770"/>
      <c r="IO585" s="296"/>
      <c r="IP585" s="770"/>
      <c r="IQ585" s="770"/>
      <c r="IR585" s="770"/>
      <c r="IS585" s="770"/>
      <c r="IT585" s="770"/>
      <c r="IU585" s="770"/>
      <c r="IV585" s="770"/>
      <c r="IW585" s="770"/>
      <c r="IX585" s="770"/>
      <c r="IY585" s="770"/>
      <c r="IZ585" s="770"/>
      <c r="JA585" s="770"/>
      <c r="JB585" s="770"/>
      <c r="JC585" s="770"/>
      <c r="JD585" s="302"/>
      <c r="JE585" s="770"/>
      <c r="JF585" s="770"/>
      <c r="JG585" s="770"/>
      <c r="JH585" s="307"/>
      <c r="JI585" s="307"/>
      <c r="JJ585" s="770"/>
      <c r="JK585" s="770"/>
      <c r="JL585" s="770"/>
      <c r="JM585" s="770"/>
      <c r="JN585" s="770"/>
      <c r="JO585" s="770"/>
      <c r="JP585" s="770"/>
      <c r="JQ585" s="770"/>
      <c r="JR585" s="770"/>
      <c r="JS585" s="770"/>
      <c r="JT585" s="766"/>
      <c r="JU585" s="766"/>
      <c r="JV585" s="766"/>
      <c r="JW585" s="766"/>
      <c r="JX585" s="770"/>
      <c r="JY585" s="770"/>
      <c r="JZ585" s="770"/>
      <c r="KA585" s="770"/>
      <c r="KB585" s="770"/>
      <c r="KC585" s="770"/>
      <c r="KD585" s="770"/>
      <c r="KE585" s="770"/>
      <c r="KF585" s="770"/>
      <c r="KG585" s="770"/>
      <c r="KH585" s="770"/>
      <c r="KI585" s="770"/>
      <c r="KJ585" s="770"/>
      <c r="KK585" s="770"/>
      <c r="KL585" s="770"/>
      <c r="KM585" s="770"/>
      <c r="KN585" s="770"/>
      <c r="KO585" s="770"/>
      <c r="KP585" s="770"/>
      <c r="KQ585" s="770"/>
      <c r="KR585" s="770"/>
      <c r="KS585" s="770"/>
      <c r="KT585" s="770"/>
      <c r="KU585" s="770"/>
      <c r="KV585" s="770"/>
      <c r="KW585" s="770"/>
      <c r="KX585" s="770"/>
      <c r="KY585" s="770"/>
      <c r="KZ585" s="770"/>
      <c r="LA585" s="770"/>
      <c r="LB585" s="770"/>
      <c r="LC585" s="770"/>
      <c r="LD585" s="770"/>
      <c r="LE585" s="770"/>
      <c r="LF585" s="770"/>
      <c r="LG585" s="770"/>
      <c r="LH585" s="770"/>
      <c r="LI585" s="770"/>
      <c r="LJ585" s="770"/>
      <c r="LK585" s="770"/>
      <c r="LL585" s="770"/>
      <c r="LM585" s="770"/>
      <c r="LN585" s="766"/>
      <c r="LO585" s="766"/>
      <c r="LP585" s="770"/>
      <c r="LQ585" s="770"/>
      <c r="LR585" s="770"/>
      <c r="LS585" s="770"/>
      <c r="LT585" s="770"/>
      <c r="LU585" s="770"/>
      <c r="LV585" s="770"/>
      <c r="LW585" s="770"/>
      <c r="LX585" s="769"/>
      <c r="LY585" s="766" t="str">
        <f t="shared" si="160"/>
        <v/>
      </c>
      <c r="LZ585" s="1709"/>
      <c r="MA585" s="1709"/>
      <c r="MB585" s="1709"/>
      <c r="MC585" s="1679">
        <f t="shared" si="158"/>
        <v>0</v>
      </c>
      <c r="MD585" s="1709"/>
      <c r="ME585" s="1709"/>
      <c r="MF585" s="1709"/>
      <c r="MG585" s="1680">
        <f t="shared" si="164"/>
        <v>0</v>
      </c>
      <c r="MH585" s="770"/>
      <c r="MI585" s="302"/>
      <c r="MJ585" s="302"/>
      <c r="MK585" s="302"/>
      <c r="ML585" s="302"/>
      <c r="MM585" s="302"/>
      <c r="MN585" s="302"/>
      <c r="MO585" s="302"/>
      <c r="MP585" s="302"/>
      <c r="MQ585" s="302"/>
      <c r="MR585" s="302"/>
      <c r="MS585" s="302"/>
      <c r="MT585" s="302"/>
      <c r="MU585" s="302"/>
      <c r="MV585" s="302"/>
      <c r="MW585" s="302"/>
      <c r="MX585" s="302"/>
      <c r="MY585" s="1682">
        <f t="shared" si="165"/>
        <v>0</v>
      </c>
      <c r="MZ585" s="770"/>
      <c r="NA585" s="770"/>
      <c r="NB585" s="770"/>
      <c r="NC585" s="770"/>
      <c r="ND585" s="770"/>
      <c r="NE585" s="770"/>
      <c r="NF585" s="770"/>
      <c r="NG585" s="770"/>
      <c r="NH585" s="770"/>
      <c r="NI585" s="770"/>
      <c r="NJ585" s="770"/>
      <c r="NK585" s="770"/>
      <c r="NL585" s="770"/>
      <c r="NM585" s="770"/>
      <c r="NN585" s="770"/>
      <c r="NO585" s="770"/>
      <c r="NP585" s="770"/>
      <c r="NQ585" s="770"/>
      <c r="NR585" s="770"/>
      <c r="NS585" s="770"/>
      <c r="NT585" s="770"/>
      <c r="NU585" s="770"/>
      <c r="NV585" s="770"/>
      <c r="NW585" s="770"/>
      <c r="NX585" s="770"/>
      <c r="NY585" s="770"/>
      <c r="NZ585" s="770"/>
      <c r="OA585" s="770"/>
      <c r="OB585" s="770"/>
      <c r="OC585" s="770"/>
      <c r="OD585" s="770"/>
      <c r="OE585" s="770"/>
      <c r="OF585" s="770"/>
      <c r="OG585" s="770"/>
      <c r="OH585" s="770"/>
      <c r="OI585" s="770"/>
      <c r="OJ585" s="770"/>
      <c r="OK585" s="770"/>
      <c r="OL585" s="770"/>
      <c r="OM585" s="770"/>
      <c r="ON585" s="770"/>
      <c r="OO585" s="770"/>
      <c r="OP585" s="770"/>
      <c r="OQ585" s="770"/>
      <c r="OR585" s="770"/>
      <c r="OS585" s="770"/>
      <c r="OT585" s="770"/>
      <c r="OU585" s="770"/>
      <c r="OV585" s="770"/>
      <c r="OW585" s="770"/>
      <c r="OX585" s="770"/>
      <c r="OY585" s="770"/>
      <c r="OZ585" s="770"/>
      <c r="PA585" s="770"/>
      <c r="PB585" s="770"/>
      <c r="PC585" s="770"/>
      <c r="PD585" s="770"/>
      <c r="PE585" s="770"/>
      <c r="PF585" s="770"/>
      <c r="PG585" s="770"/>
      <c r="PH585" s="770"/>
      <c r="PI585" s="770"/>
      <c r="PJ585" s="770"/>
      <c r="PK585" s="770"/>
      <c r="PL585" s="770"/>
      <c r="PM585" s="770"/>
      <c r="PN585" s="770"/>
      <c r="PO585" s="770"/>
      <c r="PP585" s="770"/>
      <c r="PQ585" s="770"/>
      <c r="PR585" s="770"/>
      <c r="PS585" s="770"/>
      <c r="PT585" s="770"/>
      <c r="PU585" s="770"/>
      <c r="PV585" s="770"/>
      <c r="PW585" s="770"/>
      <c r="PX585" s="770"/>
      <c r="PY585" s="770"/>
      <c r="PZ585" s="770"/>
      <c r="QA585" s="770"/>
      <c r="QB585" s="770"/>
      <c r="QC585" s="770"/>
      <c r="QD585" s="770"/>
      <c r="QE585" s="770"/>
      <c r="QF585" s="770"/>
      <c r="QG585" s="770"/>
      <c r="QH585" s="770"/>
      <c r="QI585" s="770"/>
      <c r="QJ585" s="770"/>
      <c r="QK585" s="770"/>
      <c r="QL585" s="770"/>
      <c r="QM585" s="770"/>
      <c r="QN585" s="770"/>
      <c r="QO585" s="770"/>
      <c r="QP585" s="770"/>
      <c r="QQ585" s="770"/>
      <c r="QR585" s="770"/>
      <c r="QS585" s="770"/>
      <c r="QT585" s="770"/>
      <c r="QU585" s="770"/>
      <c r="QV585" s="770"/>
      <c r="QW585" s="770"/>
      <c r="QX585" s="770"/>
      <c r="QY585" s="770"/>
      <c r="QZ585" s="770"/>
      <c r="RA585" s="770"/>
      <c r="RB585" s="770"/>
      <c r="RC585" s="770"/>
      <c r="RD585" s="770"/>
      <c r="RE585" s="770"/>
      <c r="RF585" s="304"/>
      <c r="RG585" s="770"/>
      <c r="RH585" s="302"/>
      <c r="RI585" s="770"/>
      <c r="RJ585" s="770" t="s">
        <v>13773</v>
      </c>
      <c r="RK585" s="770" t="s">
        <v>13556</v>
      </c>
      <c r="RL585" s="1710"/>
      <c r="RM585" s="12"/>
      <c r="RN585" s="1711"/>
      <c r="RO585" s="132" t="s">
        <v>2853</v>
      </c>
      <c r="RP585" s="11"/>
      <c r="RQ585" s="11"/>
      <c r="RR585" s="17"/>
      <c r="RS585" s="767"/>
      <c r="RT585" s="11"/>
      <c r="RU585" s="11"/>
      <c r="RV585" s="771" t="s">
        <v>12458</v>
      </c>
      <c r="RW585" s="11" t="s">
        <v>7506</v>
      </c>
      <c r="RX585" s="11" t="s">
        <v>2853</v>
      </c>
      <c r="RY585" s="11"/>
      <c r="RZ585" s="11"/>
      <c r="SA585" s="771"/>
      <c r="SB585" s="11"/>
      <c r="SC585" s="11"/>
    </row>
    <row r="586" spans="1:497" ht="15" hidden="1" customHeight="1">
      <c r="A586" s="343" t="s">
        <v>14224</v>
      </c>
      <c r="B586" s="752" t="s">
        <v>7509</v>
      </c>
      <c r="C586" s="132" t="s">
        <v>2853</v>
      </c>
      <c r="D586" s="94" t="s">
        <v>2868</v>
      </c>
      <c r="E586" s="766" t="s">
        <v>2836</v>
      </c>
      <c r="F586" s="770" t="s">
        <v>28</v>
      </c>
      <c r="G586" s="770" t="s">
        <v>10</v>
      </c>
      <c r="H586" s="770"/>
      <c r="I586" s="295" t="s">
        <v>2869</v>
      </c>
      <c r="J586" s="94" t="s">
        <v>2868</v>
      </c>
      <c r="K586" s="770" t="s">
        <v>14123</v>
      </c>
      <c r="L586" s="770"/>
      <c r="M586" s="770" t="s">
        <v>1238</v>
      </c>
      <c r="N586" s="770"/>
      <c r="O586" s="770" t="s">
        <v>3897</v>
      </c>
      <c r="P586" s="770" t="s">
        <v>2870</v>
      </c>
      <c r="Q586" s="1088">
        <v>35009</v>
      </c>
      <c r="R586" s="297">
        <v>21</v>
      </c>
      <c r="S586" s="770" t="s">
        <v>10</v>
      </c>
      <c r="T586" s="770"/>
      <c r="U586" s="295" t="s">
        <v>2869</v>
      </c>
      <c r="V586" s="770"/>
      <c r="W586" s="770"/>
      <c r="X586" s="770"/>
      <c r="Y586" s="770" t="s">
        <v>2836</v>
      </c>
      <c r="Z586" s="770" t="s">
        <v>708</v>
      </c>
      <c r="AA586" s="770" t="s">
        <v>709</v>
      </c>
      <c r="AB586" s="770" t="s">
        <v>744</v>
      </c>
      <c r="AC586" s="770" t="s">
        <v>724</v>
      </c>
      <c r="AD586" s="770" t="s">
        <v>711</v>
      </c>
      <c r="AE586" s="770"/>
      <c r="AF586" s="770" t="s">
        <v>712</v>
      </c>
      <c r="AG586" s="770"/>
      <c r="AH586" s="770"/>
      <c r="AI586" s="770"/>
      <c r="AJ586" s="770"/>
      <c r="AK586" s="770" t="s">
        <v>1899</v>
      </c>
      <c r="AL586" s="531"/>
      <c r="AM586" s="780"/>
      <c r="AN586" s="532"/>
      <c r="AO586" s="766"/>
      <c r="AP586" s="766"/>
      <c r="AQ586" s="766"/>
      <c r="AR586" s="766"/>
      <c r="AS586" s="770"/>
      <c r="AT586" s="770"/>
      <c r="AU586" s="770"/>
      <c r="AV586" s="770"/>
      <c r="AW586" s="770"/>
      <c r="AX586" s="770"/>
      <c r="AY586" s="770"/>
      <c r="AZ586" s="770"/>
      <c r="BA586" s="770"/>
      <c r="BB586" s="770"/>
      <c r="BC586" s="770"/>
      <c r="BD586" s="770"/>
      <c r="BE586" s="770"/>
      <c r="BF586" s="302"/>
      <c r="BG586" s="302"/>
      <c r="BH586" s="770"/>
      <c r="BI586" s="770"/>
      <c r="BJ586" s="770"/>
      <c r="BK586" s="770"/>
      <c r="BL586" s="770"/>
      <c r="BM586" s="770" t="s">
        <v>1238</v>
      </c>
      <c r="BN586" s="770" t="s">
        <v>1256</v>
      </c>
      <c r="BO586" s="770"/>
      <c r="BP586" s="765"/>
      <c r="BQ586" s="773"/>
      <c r="BR586" s="774"/>
      <c r="BS586" s="766" t="s">
        <v>1257</v>
      </c>
      <c r="BT586" s="770"/>
      <c r="BU586" s="770"/>
      <c r="BV586" s="770"/>
      <c r="BW586" s="770"/>
      <c r="BX586" s="302"/>
      <c r="BY586" s="770"/>
      <c r="BZ586" s="302"/>
      <c r="CA586" s="770"/>
      <c r="CB586" s="770"/>
      <c r="CC586" s="770"/>
      <c r="CD586" s="770"/>
      <c r="CE586" s="770"/>
      <c r="CF586" s="1753"/>
      <c r="CG586" s="1754"/>
      <c r="CH586" s="770"/>
      <c r="CI586" s="770"/>
      <c r="CJ586" s="770"/>
      <c r="CK586" s="770"/>
      <c r="CL586" s="770"/>
      <c r="CM586" s="770"/>
      <c r="CN586" s="770"/>
      <c r="CO586" s="770"/>
      <c r="CP586" s="770"/>
      <c r="CQ586" s="770"/>
      <c r="CR586" s="302"/>
      <c r="CS586" s="770"/>
      <c r="CT586" s="770"/>
      <c r="CU586" s="305"/>
      <c r="CV586" s="770"/>
      <c r="CW586" s="770"/>
      <c r="CX586" s="770"/>
      <c r="CY586" s="770"/>
      <c r="CZ586" s="770"/>
      <c r="DA586" s="306"/>
      <c r="DB586" s="770"/>
      <c r="DC586" s="770"/>
      <c r="DD586" s="770"/>
      <c r="DE586" s="300"/>
      <c r="DF586" s="770"/>
      <c r="DG586" s="770"/>
      <c r="DH586" s="770"/>
      <c r="DI586" s="770"/>
      <c r="DJ586" s="770"/>
      <c r="DK586" s="770"/>
      <c r="DL586" s="770"/>
      <c r="DM586" s="770"/>
      <c r="DN586" s="322"/>
      <c r="DO586" s="770"/>
      <c r="DP586" s="770"/>
      <c r="DQ586" s="770"/>
      <c r="DR586" s="770"/>
      <c r="DS586" s="307"/>
      <c r="DT586" s="770"/>
      <c r="DU586" s="770"/>
      <c r="DV586" s="770"/>
      <c r="DW586" s="306"/>
      <c r="DX586" s="306"/>
      <c r="DY586" s="770"/>
      <c r="DZ586" s="770"/>
      <c r="EA586" s="770"/>
      <c r="EB586" s="770"/>
      <c r="EC586" s="770"/>
      <c r="ED586" s="770"/>
      <c r="EE586" s="770"/>
      <c r="EF586" s="770"/>
      <c r="EG586" s="770"/>
      <c r="EH586" s="770"/>
      <c r="EI586" s="770"/>
      <c r="EJ586" s="770"/>
      <c r="EK586" s="770"/>
      <c r="EL586" s="770"/>
      <c r="EM586" s="770"/>
      <c r="EN586" s="770"/>
      <c r="EO586" s="770"/>
      <c r="EP586" s="94"/>
      <c r="EQ586" s="770"/>
      <c r="ER586" s="770"/>
      <c r="ES586" s="770"/>
      <c r="ET586" s="770"/>
      <c r="EU586" s="770"/>
      <c r="EV586" s="770"/>
      <c r="EW586" s="770"/>
      <c r="EX586" s="770"/>
      <c r="EY586" s="770"/>
      <c r="EZ586" s="770"/>
      <c r="FA586" s="770"/>
      <c r="FB586" s="770"/>
      <c r="FC586" s="770"/>
      <c r="FD586" s="302"/>
      <c r="FE586" s="770"/>
      <c r="FF586" s="770"/>
      <c r="FG586" s="770"/>
      <c r="FH586" s="770" t="s">
        <v>1306</v>
      </c>
      <c r="FI586" s="770">
        <v>1</v>
      </c>
      <c r="FJ586" s="770"/>
      <c r="FK586" s="770"/>
      <c r="FL586" s="770"/>
      <c r="FM586" s="302"/>
      <c r="FN586" s="302"/>
      <c r="FO586" s="302"/>
      <c r="FP586" s="770" t="s">
        <v>1602</v>
      </c>
      <c r="FQ586" s="770" t="s">
        <v>1660</v>
      </c>
      <c r="FR586" s="770" t="s">
        <v>1214</v>
      </c>
      <c r="FS586" s="770"/>
      <c r="FT586" s="770"/>
      <c r="FU586" s="770"/>
      <c r="FV586" s="770"/>
      <c r="FW586" s="770"/>
      <c r="FX586" s="770"/>
      <c r="FY586" s="770"/>
      <c r="FZ586" s="770"/>
      <c r="GA586" s="770"/>
      <c r="GB586" s="770"/>
      <c r="GC586" s="308"/>
      <c r="GD586" s="297"/>
      <c r="GE586" s="770"/>
      <c r="GF586" s="302"/>
      <c r="GG586" s="302"/>
      <c r="GH586" s="770"/>
      <c r="GI586" s="770"/>
      <c r="GJ586" s="770"/>
      <c r="GK586" s="770"/>
      <c r="GL586" s="770"/>
      <c r="GM586" s="770"/>
      <c r="GN586" s="299"/>
      <c r="GO586" s="770"/>
      <c r="GP586" s="770"/>
      <c r="GQ586" s="770"/>
      <c r="GR586" s="770"/>
      <c r="GS586" s="770"/>
      <c r="GT586" s="770"/>
      <c r="GU586" s="770"/>
      <c r="GV586" s="770"/>
      <c r="GW586" s="770"/>
      <c r="GX586" s="770"/>
      <c r="GY586" s="770"/>
      <c r="GZ586" s="770"/>
      <c r="HA586" s="770"/>
      <c r="HB586" s="770"/>
      <c r="HC586" s="770"/>
      <c r="HD586" s="770"/>
      <c r="HE586" s="770"/>
      <c r="HF586" s="770"/>
      <c r="HG586" s="770"/>
      <c r="HH586" s="770"/>
      <c r="HI586" s="770"/>
      <c r="HJ586" s="770"/>
      <c r="HK586" s="770"/>
      <c r="HL586" s="770"/>
      <c r="HM586" s="770"/>
      <c r="HN586" s="770"/>
      <c r="HO586" s="770"/>
      <c r="HP586" s="770"/>
      <c r="HQ586" s="770"/>
      <c r="HR586" s="770"/>
      <c r="HS586" s="770"/>
      <c r="HT586" s="770"/>
      <c r="HU586" s="770"/>
      <c r="HV586" s="770"/>
      <c r="HW586" s="770"/>
      <c r="HX586" s="770"/>
      <c r="HY586" s="770"/>
      <c r="HZ586" s="770"/>
      <c r="IA586" s="770"/>
      <c r="IB586" s="770" t="s">
        <v>1207</v>
      </c>
      <c r="IC586" s="770"/>
      <c r="ID586" s="770"/>
      <c r="IE586" s="770"/>
      <c r="IF586" s="770"/>
      <c r="IG586" s="770"/>
      <c r="IH586" s="770"/>
      <c r="II586" s="770"/>
      <c r="IJ586" s="770"/>
      <c r="IK586" s="770"/>
      <c r="IL586" s="770"/>
      <c r="IM586" s="770"/>
      <c r="IN586" s="770"/>
      <c r="IO586" s="296"/>
      <c r="IP586" s="770"/>
      <c r="IQ586" s="770"/>
      <c r="IR586" s="770"/>
      <c r="IS586" s="770"/>
      <c r="IT586" s="770"/>
      <c r="IU586" s="770"/>
      <c r="IV586" s="770"/>
      <c r="IW586" s="770"/>
      <c r="IX586" s="770"/>
      <c r="IY586" s="770"/>
      <c r="IZ586" s="770"/>
      <c r="JA586" s="770"/>
      <c r="JB586" s="770"/>
      <c r="JC586" s="770"/>
      <c r="JD586" s="302"/>
      <c r="JE586" s="770"/>
      <c r="JF586" s="770"/>
      <c r="JG586" s="770"/>
      <c r="JH586" s="307"/>
      <c r="JI586" s="307"/>
      <c r="JJ586" s="770"/>
      <c r="JK586" s="770"/>
      <c r="JL586" s="770"/>
      <c r="JM586" s="770"/>
      <c r="JN586" s="770"/>
      <c r="JO586" s="770"/>
      <c r="JP586" s="770"/>
      <c r="JQ586" s="770"/>
      <c r="JR586" s="770"/>
      <c r="JS586" s="770"/>
      <c r="JT586" s="766"/>
      <c r="JU586" s="766"/>
      <c r="JV586" s="766"/>
      <c r="JW586" s="766"/>
      <c r="JX586" s="770"/>
      <c r="JY586" s="770"/>
      <c r="JZ586" s="770"/>
      <c r="KA586" s="770"/>
      <c r="KB586" s="770"/>
      <c r="KC586" s="770"/>
      <c r="KD586" s="770"/>
      <c r="KE586" s="770"/>
      <c r="KF586" s="770"/>
      <c r="KG586" s="770"/>
      <c r="KH586" s="770"/>
      <c r="KI586" s="770"/>
      <c r="KJ586" s="770"/>
      <c r="KK586" s="770"/>
      <c r="KL586" s="770"/>
      <c r="KM586" s="770"/>
      <c r="KN586" s="770"/>
      <c r="KO586" s="770"/>
      <c r="KP586" s="770"/>
      <c r="KQ586" s="770"/>
      <c r="KR586" s="770"/>
      <c r="KS586" s="770"/>
      <c r="KT586" s="770"/>
      <c r="KU586" s="770"/>
      <c r="KV586" s="770"/>
      <c r="KW586" s="770"/>
      <c r="KX586" s="770"/>
      <c r="KY586" s="770"/>
      <c r="KZ586" s="770"/>
      <c r="LA586" s="770"/>
      <c r="LB586" s="770"/>
      <c r="LC586" s="770"/>
      <c r="LD586" s="770"/>
      <c r="LE586" s="770"/>
      <c r="LF586" s="770"/>
      <c r="LG586" s="770"/>
      <c r="LH586" s="770"/>
      <c r="LI586" s="770"/>
      <c r="LJ586" s="770"/>
      <c r="LK586" s="770"/>
      <c r="LL586" s="770"/>
      <c r="LM586" s="770"/>
      <c r="LN586" s="766"/>
      <c r="LO586" s="766"/>
      <c r="LP586" s="770"/>
      <c r="LQ586" s="770"/>
      <c r="LR586" s="770"/>
      <c r="LS586" s="770"/>
      <c r="LT586" s="770"/>
      <c r="LU586" s="770"/>
      <c r="LV586" s="770"/>
      <c r="LW586" s="770"/>
      <c r="LX586" s="769"/>
      <c r="LY586" s="766" t="str">
        <f t="shared" si="160"/>
        <v/>
      </c>
      <c r="LZ586" s="1709"/>
      <c r="MA586" s="1709"/>
      <c r="MB586" s="1709"/>
      <c r="MC586" s="1679">
        <f t="shared" si="158"/>
        <v>0</v>
      </c>
      <c r="MD586" s="1709"/>
      <c r="ME586" s="1709"/>
      <c r="MF586" s="1709"/>
      <c r="MG586" s="1680">
        <f t="shared" si="164"/>
        <v>0</v>
      </c>
      <c r="MH586" s="770"/>
      <c r="MI586" s="302"/>
      <c r="MJ586" s="302"/>
      <c r="MK586" s="302"/>
      <c r="ML586" s="302"/>
      <c r="MM586" s="302"/>
      <c r="MN586" s="302"/>
      <c r="MO586" s="302"/>
      <c r="MP586" s="302"/>
      <c r="MQ586" s="302"/>
      <c r="MR586" s="302"/>
      <c r="MS586" s="302"/>
      <c r="MT586" s="302"/>
      <c r="MU586" s="302"/>
      <c r="MV586" s="302"/>
      <c r="MW586" s="302"/>
      <c r="MX586" s="302"/>
      <c r="MY586" s="1682">
        <f t="shared" si="165"/>
        <v>0</v>
      </c>
      <c r="MZ586" s="770"/>
      <c r="NA586" s="770"/>
      <c r="NB586" s="770"/>
      <c r="NC586" s="770"/>
      <c r="ND586" s="770"/>
      <c r="NE586" s="770"/>
      <c r="NF586" s="770"/>
      <c r="NG586" s="770"/>
      <c r="NH586" s="770"/>
      <c r="NI586" s="770"/>
      <c r="NJ586" s="770"/>
      <c r="NK586" s="770"/>
      <c r="NL586" s="770"/>
      <c r="NM586" s="770"/>
      <c r="NN586" s="770"/>
      <c r="NO586" s="770"/>
      <c r="NP586" s="770"/>
      <c r="NQ586" s="770"/>
      <c r="NR586" s="770"/>
      <c r="NS586" s="770"/>
      <c r="NT586" s="770"/>
      <c r="NU586" s="770"/>
      <c r="NV586" s="770"/>
      <c r="NW586" s="770"/>
      <c r="NX586" s="770"/>
      <c r="NY586" s="770"/>
      <c r="NZ586" s="770"/>
      <c r="OA586" s="770"/>
      <c r="OB586" s="770"/>
      <c r="OC586" s="770"/>
      <c r="OD586" s="770"/>
      <c r="OE586" s="770"/>
      <c r="OF586" s="770"/>
      <c r="OG586" s="770"/>
      <c r="OH586" s="770"/>
      <c r="OI586" s="770"/>
      <c r="OJ586" s="770"/>
      <c r="OK586" s="770"/>
      <c r="OL586" s="770"/>
      <c r="OM586" s="770"/>
      <c r="ON586" s="770"/>
      <c r="OO586" s="770"/>
      <c r="OP586" s="770"/>
      <c r="OQ586" s="770"/>
      <c r="OR586" s="770"/>
      <c r="OS586" s="770"/>
      <c r="OT586" s="770"/>
      <c r="OU586" s="770"/>
      <c r="OV586" s="770"/>
      <c r="OW586" s="770"/>
      <c r="OX586" s="770"/>
      <c r="OY586" s="770"/>
      <c r="OZ586" s="770"/>
      <c r="PA586" s="770"/>
      <c r="PB586" s="770"/>
      <c r="PC586" s="770"/>
      <c r="PD586" s="770"/>
      <c r="PE586" s="770"/>
      <c r="PF586" s="770"/>
      <c r="PG586" s="770"/>
      <c r="PH586" s="770"/>
      <c r="PI586" s="770"/>
      <c r="PJ586" s="770"/>
      <c r="PK586" s="770"/>
      <c r="PL586" s="770"/>
      <c r="PM586" s="770"/>
      <c r="PN586" s="770"/>
      <c r="PO586" s="770"/>
      <c r="PP586" s="770"/>
      <c r="PQ586" s="770"/>
      <c r="PR586" s="770"/>
      <c r="PS586" s="770"/>
      <c r="PT586" s="770"/>
      <c r="PU586" s="770"/>
      <c r="PV586" s="770"/>
      <c r="PW586" s="770"/>
      <c r="PX586" s="770"/>
      <c r="PY586" s="770"/>
      <c r="PZ586" s="770"/>
      <c r="QA586" s="770"/>
      <c r="QB586" s="770"/>
      <c r="QC586" s="770"/>
      <c r="QD586" s="770"/>
      <c r="QE586" s="770"/>
      <c r="QF586" s="770"/>
      <c r="QG586" s="770"/>
      <c r="QH586" s="770"/>
      <c r="QI586" s="770"/>
      <c r="QJ586" s="770"/>
      <c r="QK586" s="770"/>
      <c r="QL586" s="770"/>
      <c r="QM586" s="770"/>
      <c r="QN586" s="770"/>
      <c r="QO586" s="770"/>
      <c r="QP586" s="770"/>
      <c r="QQ586" s="770"/>
      <c r="QR586" s="770"/>
      <c r="QS586" s="770"/>
      <c r="QT586" s="770"/>
      <c r="QU586" s="770"/>
      <c r="QV586" s="770"/>
      <c r="QW586" s="770"/>
      <c r="QX586" s="770"/>
      <c r="QY586" s="770"/>
      <c r="QZ586" s="770"/>
      <c r="RA586" s="770"/>
      <c r="RB586" s="770"/>
      <c r="RC586" s="770"/>
      <c r="RD586" s="770"/>
      <c r="RE586" s="770"/>
      <c r="RF586" s="304"/>
      <c r="RG586" s="770"/>
      <c r="RH586" s="302"/>
      <c r="RI586" s="770"/>
      <c r="RJ586" s="770" t="s">
        <v>13776</v>
      </c>
      <c r="RK586" s="770" t="s">
        <v>13550</v>
      </c>
      <c r="RL586" s="1710"/>
      <c r="RM586" s="12"/>
      <c r="RN586" s="1711"/>
      <c r="RO586" s="132" t="s">
        <v>2853</v>
      </c>
      <c r="RP586" s="11"/>
      <c r="RQ586" s="11"/>
      <c r="RR586" s="17"/>
      <c r="RS586" s="767"/>
      <c r="RT586" s="11"/>
      <c r="RU586" s="11"/>
      <c r="RV586" s="771" t="s">
        <v>13774</v>
      </c>
      <c r="RW586" s="11" t="s">
        <v>7507</v>
      </c>
      <c r="RX586" s="11" t="s">
        <v>2853</v>
      </c>
      <c r="RY586" s="11"/>
      <c r="RZ586" s="11"/>
      <c r="SA586" s="771"/>
      <c r="SB586" s="11"/>
      <c r="SC586" s="11"/>
    </row>
    <row r="587" spans="1:497" ht="12.75" hidden="1" customHeight="1">
      <c r="A587" s="343" t="s">
        <v>14224</v>
      </c>
      <c r="B587" s="753" t="s">
        <v>7510</v>
      </c>
      <c r="C587" s="132" t="s">
        <v>2853</v>
      </c>
      <c r="D587" s="1118" t="s">
        <v>2871</v>
      </c>
      <c r="E587" s="766" t="s">
        <v>5840</v>
      </c>
      <c r="F587" s="770"/>
      <c r="G587" s="770"/>
      <c r="H587" s="770"/>
      <c r="I587" s="295"/>
      <c r="J587" s="94"/>
      <c r="K587" s="770"/>
      <c r="L587" s="770"/>
      <c r="M587" s="770"/>
      <c r="N587" s="770"/>
      <c r="O587" s="770"/>
      <c r="P587" s="770"/>
      <c r="Q587" s="1088"/>
      <c r="R587" s="297"/>
      <c r="S587" s="770"/>
      <c r="T587" s="770"/>
      <c r="U587" s="298"/>
      <c r="V587" s="770"/>
      <c r="W587" s="770"/>
      <c r="X587" s="770"/>
      <c r="Y587" s="770"/>
      <c r="Z587" s="770"/>
      <c r="AA587" s="770"/>
      <c r="AB587" s="770"/>
      <c r="AC587" s="770"/>
      <c r="AD587" s="770"/>
      <c r="AE587" s="770"/>
      <c r="AF587" s="770"/>
      <c r="AG587" s="770"/>
      <c r="AH587" s="770"/>
      <c r="AI587" s="770"/>
      <c r="AJ587" s="770"/>
      <c r="AK587" s="770" t="s">
        <v>1899</v>
      </c>
      <c r="AL587" s="531"/>
      <c r="AM587" s="780"/>
      <c r="AN587" s="532"/>
      <c r="AO587" s="766"/>
      <c r="AP587" s="766"/>
      <c r="AQ587" s="766"/>
      <c r="AR587" s="766"/>
      <c r="AS587" s="770"/>
      <c r="AT587" s="770"/>
      <c r="AU587" s="770"/>
      <c r="AV587" s="770"/>
      <c r="AW587" s="770"/>
      <c r="AX587" s="770"/>
      <c r="AY587" s="770"/>
      <c r="AZ587" s="770"/>
      <c r="BA587" s="770"/>
      <c r="BB587" s="770"/>
      <c r="BC587" s="770"/>
      <c r="BD587" s="770"/>
      <c r="BE587" s="770"/>
      <c r="BF587" s="302"/>
      <c r="BG587" s="302"/>
      <c r="BH587" s="770"/>
      <c r="BI587" s="770"/>
      <c r="BJ587" s="770"/>
      <c r="BK587" s="770"/>
      <c r="BL587" s="770"/>
      <c r="BM587" s="770" t="s">
        <v>1238</v>
      </c>
      <c r="BN587" s="770" t="s">
        <v>1256</v>
      </c>
      <c r="BO587" s="770"/>
      <c r="BP587" s="765"/>
      <c r="BQ587" s="773"/>
      <c r="BR587" s="774"/>
      <c r="BS587" s="766" t="s">
        <v>1257</v>
      </c>
      <c r="BT587" s="770"/>
      <c r="BU587" s="770"/>
      <c r="BV587" s="770"/>
      <c r="BW587" s="770"/>
      <c r="BX587" s="302"/>
      <c r="BY587" s="770"/>
      <c r="BZ587" s="302"/>
      <c r="CA587" s="770"/>
      <c r="CB587" s="770"/>
      <c r="CC587" s="770"/>
      <c r="CD587" s="770"/>
      <c r="CE587" s="770"/>
      <c r="CF587" s="1753"/>
      <c r="CG587" s="1754"/>
      <c r="CH587" s="770"/>
      <c r="CI587" s="770"/>
      <c r="CJ587" s="770"/>
      <c r="CK587" s="770"/>
      <c r="CL587" s="770"/>
      <c r="CM587" s="770"/>
      <c r="CN587" s="770"/>
      <c r="CO587" s="770"/>
      <c r="CP587" s="770"/>
      <c r="CQ587" s="770"/>
      <c r="CR587" s="302"/>
      <c r="CS587" s="770"/>
      <c r="CT587" s="770"/>
      <c r="CU587" s="305"/>
      <c r="CV587" s="770"/>
      <c r="CW587" s="770"/>
      <c r="CX587" s="770"/>
      <c r="CY587" s="770"/>
      <c r="CZ587" s="770"/>
      <c r="DA587" s="306"/>
      <c r="DB587" s="770"/>
      <c r="DC587" s="770"/>
      <c r="DD587" s="770"/>
      <c r="DE587" s="300"/>
      <c r="DF587" s="770"/>
      <c r="DG587" s="770"/>
      <c r="DH587" s="770"/>
      <c r="DI587" s="770"/>
      <c r="DJ587" s="770"/>
      <c r="DK587" s="770"/>
      <c r="DL587" s="770"/>
      <c r="DM587" s="770"/>
      <c r="DN587" s="322"/>
      <c r="DO587" s="770"/>
      <c r="DP587" s="770"/>
      <c r="DQ587" s="770"/>
      <c r="DR587" s="770"/>
      <c r="DS587" s="307"/>
      <c r="DT587" s="770"/>
      <c r="DU587" s="770"/>
      <c r="DV587" s="770"/>
      <c r="DW587" s="306"/>
      <c r="DX587" s="306"/>
      <c r="DY587" s="770"/>
      <c r="DZ587" s="770"/>
      <c r="EA587" s="770"/>
      <c r="EB587" s="770"/>
      <c r="EC587" s="770"/>
      <c r="ED587" s="770"/>
      <c r="EE587" s="770"/>
      <c r="EF587" s="770"/>
      <c r="EG587" s="770"/>
      <c r="EH587" s="770"/>
      <c r="EI587" s="770"/>
      <c r="EJ587" s="770"/>
      <c r="EK587" s="770"/>
      <c r="EL587" s="770"/>
      <c r="EM587" s="770"/>
      <c r="EN587" s="770"/>
      <c r="EO587" s="770"/>
      <c r="EP587" s="94"/>
      <c r="EQ587" s="770"/>
      <c r="ER587" s="770"/>
      <c r="ES587" s="770"/>
      <c r="ET587" s="770"/>
      <c r="EU587" s="770"/>
      <c r="EV587" s="770"/>
      <c r="EW587" s="770"/>
      <c r="EX587" s="770"/>
      <c r="EY587" s="770"/>
      <c r="EZ587" s="770"/>
      <c r="FA587" s="770"/>
      <c r="FB587" s="770"/>
      <c r="FC587" s="770"/>
      <c r="FD587" s="302"/>
      <c r="FE587" s="770"/>
      <c r="FF587" s="770"/>
      <c r="FG587" s="770"/>
      <c r="FH587" s="770"/>
      <c r="FI587" s="770"/>
      <c r="FJ587" s="770"/>
      <c r="FK587" s="770"/>
      <c r="FL587" s="770"/>
      <c r="FM587" s="302"/>
      <c r="FN587" s="302"/>
      <c r="FO587" s="302"/>
      <c r="FP587" s="770"/>
      <c r="FQ587" s="770"/>
      <c r="FR587" s="770"/>
      <c r="FS587" s="770"/>
      <c r="FT587" s="770"/>
      <c r="FU587" s="770"/>
      <c r="FV587" s="770"/>
      <c r="FW587" s="770"/>
      <c r="FX587" s="770"/>
      <c r="FY587" s="770"/>
      <c r="FZ587" s="770"/>
      <c r="GA587" s="770"/>
      <c r="GB587" s="770"/>
      <c r="GC587" s="308"/>
      <c r="GD587" s="297"/>
      <c r="GE587" s="770"/>
      <c r="GF587" s="302"/>
      <c r="GG587" s="302"/>
      <c r="GH587" s="770"/>
      <c r="GI587" s="770"/>
      <c r="GJ587" s="770"/>
      <c r="GK587" s="770"/>
      <c r="GL587" s="770"/>
      <c r="GM587" s="770"/>
      <c r="GN587" s="299"/>
      <c r="GO587" s="770"/>
      <c r="GP587" s="770"/>
      <c r="GQ587" s="770"/>
      <c r="GR587" s="770"/>
      <c r="GS587" s="770"/>
      <c r="GT587" s="770"/>
      <c r="GU587" s="770"/>
      <c r="GV587" s="770"/>
      <c r="GW587" s="770"/>
      <c r="GX587" s="770"/>
      <c r="GY587" s="770"/>
      <c r="GZ587" s="770"/>
      <c r="HA587" s="770"/>
      <c r="HB587" s="770"/>
      <c r="HC587" s="770"/>
      <c r="HD587" s="770"/>
      <c r="HE587" s="770"/>
      <c r="HF587" s="770"/>
      <c r="HG587" s="770"/>
      <c r="HH587" s="770"/>
      <c r="HI587" s="770"/>
      <c r="HJ587" s="770"/>
      <c r="HK587" s="770"/>
      <c r="HL587" s="770"/>
      <c r="HM587" s="770"/>
      <c r="HN587" s="770"/>
      <c r="HO587" s="770"/>
      <c r="HP587" s="770"/>
      <c r="HQ587" s="770"/>
      <c r="HR587" s="770"/>
      <c r="HS587" s="770"/>
      <c r="HT587" s="770"/>
      <c r="HU587" s="770"/>
      <c r="HV587" s="770"/>
      <c r="HW587" s="770"/>
      <c r="HX587" s="770"/>
      <c r="HY587" s="770"/>
      <c r="HZ587" s="770"/>
      <c r="IA587" s="770"/>
      <c r="IB587" s="770"/>
      <c r="IC587" s="770"/>
      <c r="ID587" s="770"/>
      <c r="IE587" s="770"/>
      <c r="IF587" s="770"/>
      <c r="IG587" s="770"/>
      <c r="IH587" s="770"/>
      <c r="II587" s="770"/>
      <c r="IJ587" s="770"/>
      <c r="IK587" s="770"/>
      <c r="IL587" s="770"/>
      <c r="IM587" s="770"/>
      <c r="IN587" s="770"/>
      <c r="IO587" s="296"/>
      <c r="IP587" s="770"/>
      <c r="IQ587" s="770"/>
      <c r="IR587" s="770"/>
      <c r="IS587" s="770"/>
      <c r="IT587" s="770"/>
      <c r="IU587" s="770"/>
      <c r="IV587" s="770"/>
      <c r="IW587" s="770"/>
      <c r="IX587" s="770"/>
      <c r="IY587" s="770"/>
      <c r="IZ587" s="770"/>
      <c r="JA587" s="770"/>
      <c r="JB587" s="770"/>
      <c r="JC587" s="770"/>
      <c r="JD587" s="302"/>
      <c r="JE587" s="770"/>
      <c r="JF587" s="770"/>
      <c r="JG587" s="770"/>
      <c r="JH587" s="307"/>
      <c r="JI587" s="307"/>
      <c r="JJ587" s="770"/>
      <c r="JK587" s="770"/>
      <c r="JL587" s="770"/>
      <c r="JM587" s="770"/>
      <c r="JN587" s="770"/>
      <c r="JO587" s="770"/>
      <c r="JP587" s="770"/>
      <c r="JQ587" s="770"/>
      <c r="JR587" s="770"/>
      <c r="JS587" s="770"/>
      <c r="JT587" s="766"/>
      <c r="JU587" s="766"/>
      <c r="JV587" s="766"/>
      <c r="JW587" s="766"/>
      <c r="JX587" s="770"/>
      <c r="JY587" s="770"/>
      <c r="JZ587" s="770"/>
      <c r="KA587" s="770"/>
      <c r="KB587" s="770"/>
      <c r="KC587" s="770"/>
      <c r="KD587" s="770"/>
      <c r="KE587" s="770"/>
      <c r="KF587" s="770"/>
      <c r="KG587" s="770"/>
      <c r="KH587" s="770"/>
      <c r="KI587" s="770"/>
      <c r="KJ587" s="770"/>
      <c r="KK587" s="770"/>
      <c r="KL587" s="770"/>
      <c r="KM587" s="770"/>
      <c r="KN587" s="770"/>
      <c r="KO587" s="770"/>
      <c r="KP587" s="770"/>
      <c r="KQ587" s="770"/>
      <c r="KR587" s="770"/>
      <c r="KS587" s="770"/>
      <c r="KT587" s="770"/>
      <c r="KU587" s="770"/>
      <c r="KV587" s="770"/>
      <c r="KW587" s="770"/>
      <c r="KX587" s="770"/>
      <c r="KY587" s="770"/>
      <c r="KZ587" s="770"/>
      <c r="LA587" s="770"/>
      <c r="LB587" s="770"/>
      <c r="LC587" s="770"/>
      <c r="LD587" s="770"/>
      <c r="LE587" s="770"/>
      <c r="LF587" s="770"/>
      <c r="LG587" s="770"/>
      <c r="LH587" s="770"/>
      <c r="LI587" s="770"/>
      <c r="LJ587" s="770"/>
      <c r="LK587" s="770"/>
      <c r="LL587" s="770"/>
      <c r="LM587" s="770"/>
      <c r="LN587" s="766"/>
      <c r="LO587" s="766"/>
      <c r="LP587" s="770"/>
      <c r="LQ587" s="770"/>
      <c r="LR587" s="770"/>
      <c r="LS587" s="770"/>
      <c r="LT587" s="770"/>
      <c r="LU587" s="770"/>
      <c r="LV587" s="770"/>
      <c r="LW587" s="770"/>
      <c r="LX587" s="769"/>
      <c r="LY587" s="766" t="str">
        <f t="shared" si="160"/>
        <v/>
      </c>
      <c r="LZ587" s="1709"/>
      <c r="MA587" s="1709"/>
      <c r="MB587" s="1709"/>
      <c r="MC587" s="1679">
        <f t="shared" si="158"/>
        <v>0</v>
      </c>
      <c r="MD587" s="1709"/>
      <c r="ME587" s="1709"/>
      <c r="MF587" s="1709"/>
      <c r="MG587" s="1680">
        <f t="shared" si="164"/>
        <v>0</v>
      </c>
      <c r="MH587" s="770"/>
      <c r="MI587" s="302"/>
      <c r="MJ587" s="302"/>
      <c r="MK587" s="302"/>
      <c r="ML587" s="302"/>
      <c r="MM587" s="302"/>
      <c r="MN587" s="302"/>
      <c r="MO587" s="302"/>
      <c r="MP587" s="302"/>
      <c r="MQ587" s="302"/>
      <c r="MR587" s="302"/>
      <c r="MS587" s="302"/>
      <c r="MT587" s="302"/>
      <c r="MU587" s="302"/>
      <c r="MV587" s="302"/>
      <c r="MW587" s="302"/>
      <c r="MX587" s="302"/>
      <c r="MY587" s="1682">
        <f t="shared" si="165"/>
        <v>0</v>
      </c>
      <c r="MZ587" s="770"/>
      <c r="NA587" s="770"/>
      <c r="NB587" s="770"/>
      <c r="NC587" s="770"/>
      <c r="ND587" s="770"/>
      <c r="NE587" s="770"/>
      <c r="NF587" s="770"/>
      <c r="NG587" s="770"/>
      <c r="NH587" s="770"/>
      <c r="NI587" s="770"/>
      <c r="NJ587" s="770"/>
      <c r="NK587" s="770"/>
      <c r="NL587" s="770"/>
      <c r="NM587" s="770"/>
      <c r="NN587" s="770"/>
      <c r="NO587" s="770"/>
      <c r="NP587" s="770"/>
      <c r="NQ587" s="770"/>
      <c r="NR587" s="770"/>
      <c r="NS587" s="770"/>
      <c r="NT587" s="770"/>
      <c r="NU587" s="770"/>
      <c r="NV587" s="770"/>
      <c r="NW587" s="770"/>
      <c r="NX587" s="770"/>
      <c r="NY587" s="770"/>
      <c r="NZ587" s="770"/>
      <c r="OA587" s="770"/>
      <c r="OB587" s="770"/>
      <c r="OC587" s="770"/>
      <c r="OD587" s="770"/>
      <c r="OE587" s="770"/>
      <c r="OF587" s="770"/>
      <c r="OG587" s="770"/>
      <c r="OH587" s="770"/>
      <c r="OI587" s="770"/>
      <c r="OJ587" s="770"/>
      <c r="OK587" s="770"/>
      <c r="OL587" s="770"/>
      <c r="OM587" s="770"/>
      <c r="ON587" s="770"/>
      <c r="OO587" s="770"/>
      <c r="OP587" s="770"/>
      <c r="OQ587" s="770"/>
      <c r="OR587" s="770"/>
      <c r="OS587" s="770"/>
      <c r="OT587" s="770"/>
      <c r="OU587" s="770"/>
      <c r="OV587" s="770"/>
      <c r="OW587" s="770"/>
      <c r="OX587" s="770"/>
      <c r="OY587" s="770"/>
      <c r="OZ587" s="770"/>
      <c r="PA587" s="770"/>
      <c r="PB587" s="770"/>
      <c r="PC587" s="770"/>
      <c r="PD587" s="770"/>
      <c r="PE587" s="770"/>
      <c r="PF587" s="770"/>
      <c r="PG587" s="770"/>
      <c r="PH587" s="770"/>
      <c r="PI587" s="770"/>
      <c r="PJ587" s="770"/>
      <c r="PK587" s="770"/>
      <c r="PL587" s="770"/>
      <c r="PM587" s="770"/>
      <c r="PN587" s="770"/>
      <c r="PO587" s="770"/>
      <c r="PP587" s="770"/>
      <c r="PQ587" s="770"/>
      <c r="PR587" s="770"/>
      <c r="PS587" s="770"/>
      <c r="PT587" s="770"/>
      <c r="PU587" s="770"/>
      <c r="PV587" s="770"/>
      <c r="PW587" s="770"/>
      <c r="PX587" s="770"/>
      <c r="PY587" s="770"/>
      <c r="PZ587" s="770"/>
      <c r="QA587" s="770"/>
      <c r="QB587" s="770"/>
      <c r="QC587" s="770"/>
      <c r="QD587" s="770"/>
      <c r="QE587" s="770"/>
      <c r="QF587" s="770"/>
      <c r="QG587" s="770"/>
      <c r="QH587" s="770"/>
      <c r="QI587" s="770"/>
      <c r="QJ587" s="770"/>
      <c r="QK587" s="770"/>
      <c r="QL587" s="770"/>
      <c r="QM587" s="770"/>
      <c r="QN587" s="770"/>
      <c r="QO587" s="770"/>
      <c r="QP587" s="770"/>
      <c r="QQ587" s="770"/>
      <c r="QR587" s="770"/>
      <c r="QS587" s="770"/>
      <c r="QT587" s="770"/>
      <c r="QU587" s="770"/>
      <c r="QV587" s="770"/>
      <c r="QW587" s="770"/>
      <c r="QX587" s="770"/>
      <c r="QY587" s="770"/>
      <c r="QZ587" s="770"/>
      <c r="RA587" s="770"/>
      <c r="RB587" s="770"/>
      <c r="RC587" s="770"/>
      <c r="RD587" s="770"/>
      <c r="RE587" s="770"/>
      <c r="RF587" s="304"/>
      <c r="RG587" s="770"/>
      <c r="RH587" s="302"/>
      <c r="RI587" s="770"/>
      <c r="RJ587" s="770"/>
      <c r="RK587" s="770"/>
      <c r="RL587" s="1710"/>
      <c r="RM587" s="12"/>
      <c r="RN587" s="1711"/>
      <c r="RO587" s="132" t="s">
        <v>2853</v>
      </c>
      <c r="RP587" s="11"/>
      <c r="RQ587" s="11"/>
      <c r="RR587" s="17"/>
      <c r="RS587" s="767"/>
      <c r="RT587" s="11"/>
      <c r="RU587" s="11"/>
      <c r="RV587" s="771" t="s">
        <v>13774</v>
      </c>
      <c r="RW587" s="11" t="s">
        <v>7508</v>
      </c>
      <c r="RX587" s="11" t="s">
        <v>2853</v>
      </c>
      <c r="RY587" s="11"/>
      <c r="RZ587" s="11"/>
      <c r="SA587" s="771"/>
      <c r="SB587" s="11"/>
      <c r="SC587" s="11"/>
    </row>
    <row r="588" spans="1:497" ht="15" hidden="1" customHeight="1">
      <c r="A588" s="343" t="s">
        <v>14224</v>
      </c>
      <c r="B588" s="752" t="s">
        <v>7511</v>
      </c>
      <c r="C588" s="132" t="s">
        <v>2853</v>
      </c>
      <c r="D588" s="94" t="s">
        <v>2872</v>
      </c>
      <c r="E588" s="766" t="s">
        <v>2836</v>
      </c>
      <c r="F588" s="770" t="s">
        <v>28</v>
      </c>
      <c r="G588" s="770" t="s">
        <v>10</v>
      </c>
      <c r="H588" s="770"/>
      <c r="I588" s="295"/>
      <c r="J588" s="94" t="s">
        <v>2872</v>
      </c>
      <c r="K588" s="770" t="s">
        <v>14123</v>
      </c>
      <c r="L588" s="770"/>
      <c r="M588" s="770" t="s">
        <v>1238</v>
      </c>
      <c r="N588" s="770"/>
      <c r="O588" s="770" t="s">
        <v>3897</v>
      </c>
      <c r="P588" s="770" t="s">
        <v>2873</v>
      </c>
      <c r="Q588" s="1088">
        <v>24311</v>
      </c>
      <c r="R588" s="297">
        <v>50</v>
      </c>
      <c r="S588" s="770" t="s">
        <v>10</v>
      </c>
      <c r="T588" s="770"/>
      <c r="U588" s="298"/>
      <c r="V588" s="770" t="s">
        <v>707</v>
      </c>
      <c r="W588" s="770"/>
      <c r="X588" s="770"/>
      <c r="Y588" s="770" t="s">
        <v>2836</v>
      </c>
      <c r="Z588" s="770" t="s">
        <v>708</v>
      </c>
      <c r="AA588" s="770" t="s">
        <v>2463</v>
      </c>
      <c r="AB588" s="770" t="s">
        <v>7275</v>
      </c>
      <c r="AC588" s="770" t="s">
        <v>815</v>
      </c>
      <c r="AD588" s="770"/>
      <c r="AE588" s="770"/>
      <c r="AF588" s="770" t="s">
        <v>798</v>
      </c>
      <c r="AG588" s="770"/>
      <c r="AH588" s="770"/>
      <c r="AI588" s="770"/>
      <c r="AJ588" s="770"/>
      <c r="AK588" s="770" t="s">
        <v>1899</v>
      </c>
      <c r="AL588" s="531"/>
      <c r="AM588" s="780"/>
      <c r="AN588" s="532"/>
      <c r="AO588" s="766"/>
      <c r="AP588" s="766"/>
      <c r="AQ588" s="766"/>
      <c r="AR588" s="766"/>
      <c r="AS588" s="770"/>
      <c r="AT588" s="770"/>
      <c r="AU588" s="770"/>
      <c r="AV588" s="770"/>
      <c r="AW588" s="770"/>
      <c r="AX588" s="770"/>
      <c r="AY588" s="770"/>
      <c r="AZ588" s="770"/>
      <c r="BA588" s="770"/>
      <c r="BB588" s="770"/>
      <c r="BC588" s="770"/>
      <c r="BD588" s="770"/>
      <c r="BE588" s="770"/>
      <c r="BF588" s="302"/>
      <c r="BG588" s="302"/>
      <c r="BH588" s="770"/>
      <c r="BI588" s="770"/>
      <c r="BJ588" s="770"/>
      <c r="BK588" s="770"/>
      <c r="BL588" s="770"/>
      <c r="BM588" s="770" t="s">
        <v>1238</v>
      </c>
      <c r="BN588" s="770" t="s">
        <v>1256</v>
      </c>
      <c r="BO588" s="770"/>
      <c r="BP588" s="765"/>
      <c r="BQ588" s="773"/>
      <c r="BR588" s="774"/>
      <c r="BS588" s="766" t="s">
        <v>1257</v>
      </c>
      <c r="BT588" s="770"/>
      <c r="BU588" s="770"/>
      <c r="BV588" s="770"/>
      <c r="BW588" s="770"/>
      <c r="BX588" s="302"/>
      <c r="BY588" s="770"/>
      <c r="BZ588" s="302"/>
      <c r="CA588" s="770"/>
      <c r="CB588" s="770"/>
      <c r="CC588" s="770"/>
      <c r="CD588" s="770"/>
      <c r="CE588" s="770"/>
      <c r="CF588" s="1753"/>
      <c r="CG588" s="1754"/>
      <c r="CH588" s="770"/>
      <c r="CI588" s="770"/>
      <c r="CJ588" s="770"/>
      <c r="CK588" s="770"/>
      <c r="CL588" s="770"/>
      <c r="CM588" s="770"/>
      <c r="CN588" s="770"/>
      <c r="CO588" s="770"/>
      <c r="CP588" s="770"/>
      <c r="CQ588" s="770"/>
      <c r="CR588" s="302"/>
      <c r="CS588" s="770"/>
      <c r="CT588" s="770"/>
      <c r="CU588" s="305"/>
      <c r="CV588" s="770"/>
      <c r="CW588" s="770"/>
      <c r="CX588" s="770"/>
      <c r="CY588" s="770"/>
      <c r="CZ588" s="770"/>
      <c r="DA588" s="306"/>
      <c r="DB588" s="770"/>
      <c r="DC588" s="770"/>
      <c r="DD588" s="770"/>
      <c r="DE588" s="300"/>
      <c r="DF588" s="770"/>
      <c r="DG588" s="770"/>
      <c r="DH588" s="770"/>
      <c r="DI588" s="770"/>
      <c r="DJ588" s="770"/>
      <c r="DK588" s="770"/>
      <c r="DL588" s="770"/>
      <c r="DM588" s="770"/>
      <c r="DN588" s="322"/>
      <c r="DO588" s="770"/>
      <c r="DP588" s="770"/>
      <c r="DQ588" s="770"/>
      <c r="DR588" s="770"/>
      <c r="DS588" s="307"/>
      <c r="DT588" s="770"/>
      <c r="DU588" s="770"/>
      <c r="DV588" s="770"/>
      <c r="DW588" s="306"/>
      <c r="DX588" s="306"/>
      <c r="DY588" s="770"/>
      <c r="DZ588" s="770"/>
      <c r="EA588" s="770"/>
      <c r="EB588" s="770"/>
      <c r="EC588" s="770"/>
      <c r="ED588" s="770"/>
      <c r="EE588" s="770"/>
      <c r="EF588" s="770"/>
      <c r="EG588" s="770"/>
      <c r="EH588" s="770"/>
      <c r="EI588" s="770"/>
      <c r="EJ588" s="770"/>
      <c r="EK588" s="770"/>
      <c r="EL588" s="770"/>
      <c r="EM588" s="770"/>
      <c r="EN588" s="770"/>
      <c r="EO588" s="770"/>
      <c r="EP588" s="94"/>
      <c r="EQ588" s="770"/>
      <c r="ER588" s="770"/>
      <c r="ES588" s="770"/>
      <c r="ET588" s="770"/>
      <c r="EU588" s="770"/>
      <c r="EV588" s="770"/>
      <c r="EW588" s="770"/>
      <c r="EX588" s="770"/>
      <c r="EY588" s="770"/>
      <c r="EZ588" s="770"/>
      <c r="FA588" s="770"/>
      <c r="FB588" s="770"/>
      <c r="FC588" s="770"/>
      <c r="FD588" s="302"/>
      <c r="FE588" s="770"/>
      <c r="FF588" s="770"/>
      <c r="FG588" s="770"/>
      <c r="FH588" s="770" t="s">
        <v>1306</v>
      </c>
      <c r="FI588" s="770"/>
      <c r="FJ588" s="770" t="s">
        <v>2847</v>
      </c>
      <c r="FK588" s="770"/>
      <c r="FL588" s="770" t="s">
        <v>2852</v>
      </c>
      <c r="FM588" s="147">
        <v>1200</v>
      </c>
      <c r="FN588" s="302">
        <v>300</v>
      </c>
      <c r="FO588" s="302">
        <v>500</v>
      </c>
      <c r="FP588" s="770"/>
      <c r="FQ588" s="770"/>
      <c r="FR588" s="770"/>
      <c r="FS588" s="770"/>
      <c r="FT588" s="770"/>
      <c r="FU588" s="770"/>
      <c r="FV588" s="770"/>
      <c r="FW588" s="770"/>
      <c r="FX588" s="770"/>
      <c r="FY588" s="770"/>
      <c r="FZ588" s="770"/>
      <c r="GA588" s="770"/>
      <c r="GB588" s="770"/>
      <c r="GC588" s="308"/>
      <c r="GD588" s="297"/>
      <c r="GE588" s="770"/>
      <c r="GF588" s="302"/>
      <c r="GG588" s="302"/>
      <c r="GH588" s="770"/>
      <c r="GI588" s="770"/>
      <c r="GJ588" s="770"/>
      <c r="GK588" s="770"/>
      <c r="GL588" s="770"/>
      <c r="GM588" s="770"/>
      <c r="GN588" s="299"/>
      <c r="GO588" s="770"/>
      <c r="GP588" s="770"/>
      <c r="GQ588" s="770"/>
      <c r="GR588" s="770"/>
      <c r="GS588" s="770"/>
      <c r="GT588" s="770"/>
      <c r="GU588" s="770"/>
      <c r="GV588" s="770"/>
      <c r="GW588" s="770"/>
      <c r="GX588" s="770"/>
      <c r="GY588" s="770"/>
      <c r="GZ588" s="770"/>
      <c r="HA588" s="770"/>
      <c r="HB588" s="770"/>
      <c r="HC588" s="770"/>
      <c r="HD588" s="770"/>
      <c r="HE588" s="770"/>
      <c r="HF588" s="770"/>
      <c r="HG588" s="770"/>
      <c r="HH588" s="770"/>
      <c r="HI588" s="770"/>
      <c r="HJ588" s="770"/>
      <c r="HK588" s="770"/>
      <c r="HL588" s="770"/>
      <c r="HM588" s="770"/>
      <c r="HN588" s="770"/>
      <c r="HO588" s="770"/>
      <c r="HP588" s="770"/>
      <c r="HQ588" s="770"/>
      <c r="HR588" s="770"/>
      <c r="HS588" s="770"/>
      <c r="HT588" s="770"/>
      <c r="HU588" s="770"/>
      <c r="HV588" s="770"/>
      <c r="HW588" s="770"/>
      <c r="HX588" s="770"/>
      <c r="HY588" s="770"/>
      <c r="HZ588" s="770"/>
      <c r="IA588" s="770"/>
      <c r="IB588" s="770" t="s">
        <v>1207</v>
      </c>
      <c r="IC588" s="770" t="s">
        <v>1207</v>
      </c>
      <c r="ID588" s="770"/>
      <c r="IE588" s="770">
        <v>1</v>
      </c>
      <c r="IF588" s="770"/>
      <c r="IG588" s="770"/>
      <c r="IH588" s="770"/>
      <c r="II588" s="770"/>
      <c r="IJ588" s="770"/>
      <c r="IK588" s="770"/>
      <c r="IL588" s="770"/>
      <c r="IM588" s="770"/>
      <c r="IN588" s="770"/>
      <c r="IO588" s="296"/>
      <c r="IP588" s="770"/>
      <c r="IQ588" s="770"/>
      <c r="IR588" s="770"/>
      <c r="IS588" s="770"/>
      <c r="IT588" s="770"/>
      <c r="IU588" s="770"/>
      <c r="IV588" s="770"/>
      <c r="IW588" s="770"/>
      <c r="IX588" s="770"/>
      <c r="IY588" s="770"/>
      <c r="IZ588" s="770"/>
      <c r="JA588" s="770"/>
      <c r="JB588" s="770"/>
      <c r="JC588" s="770"/>
      <c r="JD588" s="302"/>
      <c r="JE588" s="770"/>
      <c r="JF588" s="770"/>
      <c r="JG588" s="770"/>
      <c r="JH588" s="307"/>
      <c r="JI588" s="307"/>
      <c r="JJ588" s="770"/>
      <c r="JK588" s="770"/>
      <c r="JL588" s="770"/>
      <c r="JM588" s="770"/>
      <c r="JN588" s="770"/>
      <c r="JO588" s="770"/>
      <c r="JP588" s="770"/>
      <c r="JQ588" s="770"/>
      <c r="JR588" s="770"/>
      <c r="JS588" s="770"/>
      <c r="JT588" s="766"/>
      <c r="JU588" s="766"/>
      <c r="JV588" s="766"/>
      <c r="JW588" s="766"/>
      <c r="JX588" s="770"/>
      <c r="JY588" s="770"/>
      <c r="JZ588" s="770"/>
      <c r="KA588" s="770"/>
      <c r="KB588" s="770"/>
      <c r="KC588" s="770"/>
      <c r="KD588" s="770"/>
      <c r="KE588" s="770"/>
      <c r="KF588" s="770"/>
      <c r="KG588" s="770"/>
      <c r="KH588" s="770"/>
      <c r="KI588" s="770"/>
      <c r="KJ588" s="770"/>
      <c r="KK588" s="770"/>
      <c r="KL588" s="770"/>
      <c r="KM588" s="770"/>
      <c r="KN588" s="770"/>
      <c r="KO588" s="770"/>
      <c r="KP588" s="770"/>
      <c r="KQ588" s="770"/>
      <c r="KR588" s="770"/>
      <c r="KS588" s="770"/>
      <c r="KT588" s="770"/>
      <c r="KU588" s="770"/>
      <c r="KV588" s="770"/>
      <c r="KW588" s="770"/>
      <c r="KX588" s="770"/>
      <c r="KY588" s="770"/>
      <c r="KZ588" s="770"/>
      <c r="LA588" s="770"/>
      <c r="LB588" s="770"/>
      <c r="LC588" s="770"/>
      <c r="LD588" s="770"/>
      <c r="LE588" s="770"/>
      <c r="LF588" s="770"/>
      <c r="LG588" s="770"/>
      <c r="LH588" s="770"/>
      <c r="LI588" s="770"/>
      <c r="LJ588" s="770"/>
      <c r="LK588" s="770"/>
      <c r="LL588" s="770"/>
      <c r="LM588" s="770"/>
      <c r="LN588" s="766"/>
      <c r="LO588" s="766"/>
      <c r="LP588" s="770"/>
      <c r="LQ588" s="770"/>
      <c r="LR588" s="770"/>
      <c r="LS588" s="770"/>
      <c r="LT588" s="770"/>
      <c r="LU588" s="770"/>
      <c r="LV588" s="770"/>
      <c r="LW588" s="770"/>
      <c r="LX588" s="769"/>
      <c r="LY588" s="766" t="str">
        <f t="shared" si="160"/>
        <v/>
      </c>
      <c r="LZ588" s="1709"/>
      <c r="MA588" s="1709"/>
      <c r="MB588" s="1709"/>
      <c r="MC588" s="1679">
        <f t="shared" si="158"/>
        <v>0</v>
      </c>
      <c r="MD588" s="1709"/>
      <c r="ME588" s="1709"/>
      <c r="MF588" s="1709"/>
      <c r="MG588" s="1680">
        <f t="shared" si="164"/>
        <v>0</v>
      </c>
      <c r="MH588" s="770"/>
      <c r="MI588" s="302"/>
      <c r="MJ588" s="302"/>
      <c r="MK588" s="302"/>
      <c r="ML588" s="302"/>
      <c r="MM588" s="302"/>
      <c r="MN588" s="302"/>
      <c r="MO588" s="302"/>
      <c r="MP588" s="302"/>
      <c r="MQ588" s="302"/>
      <c r="MR588" s="302"/>
      <c r="MS588" s="302"/>
      <c r="MT588" s="302"/>
      <c r="MU588" s="302"/>
      <c r="MV588" s="302"/>
      <c r="MW588" s="302"/>
      <c r="MX588" s="302"/>
      <c r="MY588" s="1682">
        <f t="shared" si="165"/>
        <v>0</v>
      </c>
      <c r="MZ588" s="770"/>
      <c r="NA588" s="770"/>
      <c r="NB588" s="770"/>
      <c r="NC588" s="770"/>
      <c r="ND588" s="770"/>
      <c r="NE588" s="770"/>
      <c r="NF588" s="770"/>
      <c r="NG588" s="770"/>
      <c r="NH588" s="770"/>
      <c r="NI588" s="770"/>
      <c r="NJ588" s="770"/>
      <c r="NK588" s="770"/>
      <c r="NL588" s="770"/>
      <c r="NM588" s="770"/>
      <c r="NN588" s="770"/>
      <c r="NO588" s="770"/>
      <c r="NP588" s="770"/>
      <c r="NQ588" s="770"/>
      <c r="NR588" s="770"/>
      <c r="NS588" s="770"/>
      <c r="NT588" s="770"/>
      <c r="NU588" s="770"/>
      <c r="NV588" s="770"/>
      <c r="NW588" s="770"/>
      <c r="NX588" s="770"/>
      <c r="NY588" s="770"/>
      <c r="NZ588" s="770"/>
      <c r="OA588" s="770"/>
      <c r="OB588" s="770"/>
      <c r="OC588" s="770"/>
      <c r="OD588" s="770"/>
      <c r="OE588" s="770"/>
      <c r="OF588" s="770"/>
      <c r="OG588" s="770"/>
      <c r="OH588" s="770"/>
      <c r="OI588" s="770"/>
      <c r="OJ588" s="770"/>
      <c r="OK588" s="770" t="s">
        <v>1208</v>
      </c>
      <c r="OL588" s="770" t="s">
        <v>13777</v>
      </c>
      <c r="OM588" s="770" t="s">
        <v>13778</v>
      </c>
      <c r="ON588" s="770" t="s">
        <v>13579</v>
      </c>
      <c r="OO588" s="770"/>
      <c r="OP588" s="770"/>
      <c r="OQ588" s="770"/>
      <c r="OR588" s="770"/>
      <c r="OS588" s="770"/>
      <c r="OT588" s="770"/>
      <c r="OU588" s="770"/>
      <c r="OV588" s="770"/>
      <c r="OW588" s="770"/>
      <c r="OX588" s="770"/>
      <c r="OY588" s="770"/>
      <c r="OZ588" s="770"/>
      <c r="PA588" s="770"/>
      <c r="PB588" s="770"/>
      <c r="PC588" s="770"/>
      <c r="PD588" s="770"/>
      <c r="PE588" s="770"/>
      <c r="PF588" s="770"/>
      <c r="PG588" s="770"/>
      <c r="PH588" s="770"/>
      <c r="PI588" s="770"/>
      <c r="PJ588" s="770"/>
      <c r="PK588" s="770"/>
      <c r="PL588" s="770"/>
      <c r="PM588" s="770"/>
      <c r="PN588" s="770"/>
      <c r="PO588" s="770"/>
      <c r="PP588" s="770"/>
      <c r="PQ588" s="770"/>
      <c r="PR588" s="770"/>
      <c r="PS588" s="770"/>
      <c r="PT588" s="770"/>
      <c r="PU588" s="770"/>
      <c r="PV588" s="770"/>
      <c r="PW588" s="770"/>
      <c r="PX588" s="770"/>
      <c r="PY588" s="770"/>
      <c r="PZ588" s="770"/>
      <c r="QA588" s="770"/>
      <c r="QB588" s="770"/>
      <c r="QC588" s="770"/>
      <c r="QD588" s="770"/>
      <c r="QE588" s="770"/>
      <c r="QF588" s="770"/>
      <c r="QG588" s="770"/>
      <c r="QH588" s="770"/>
      <c r="QI588" s="770"/>
      <c r="QJ588" s="770"/>
      <c r="QK588" s="770"/>
      <c r="QL588" s="770"/>
      <c r="QM588" s="770"/>
      <c r="QN588" s="770"/>
      <c r="QO588" s="770"/>
      <c r="QP588" s="770"/>
      <c r="QQ588" s="770"/>
      <c r="QR588" s="770"/>
      <c r="QS588" s="770"/>
      <c r="QT588" s="770"/>
      <c r="QU588" s="770"/>
      <c r="QV588" s="770"/>
      <c r="QW588" s="770"/>
      <c r="QX588" s="770"/>
      <c r="QY588" s="770"/>
      <c r="QZ588" s="770"/>
      <c r="RA588" s="770"/>
      <c r="RB588" s="770"/>
      <c r="RC588" s="770"/>
      <c r="RD588" s="770"/>
      <c r="RE588" s="770"/>
      <c r="RF588" s="304"/>
      <c r="RG588" s="770"/>
      <c r="RH588" s="302"/>
      <c r="RI588" s="770"/>
      <c r="RJ588" s="770" t="s">
        <v>13779</v>
      </c>
      <c r="RK588" s="770" t="s">
        <v>13552</v>
      </c>
      <c r="RL588" s="1710"/>
      <c r="RM588" s="12"/>
      <c r="RN588" s="1711"/>
      <c r="RO588" s="132" t="s">
        <v>2853</v>
      </c>
      <c r="RP588" s="11"/>
      <c r="RQ588" s="11"/>
      <c r="RR588" s="17"/>
      <c r="RS588" s="767"/>
      <c r="RT588" s="11"/>
      <c r="RU588" s="11"/>
      <c r="RV588" s="771" t="s">
        <v>13774</v>
      </c>
      <c r="RW588" s="11" t="s">
        <v>7509</v>
      </c>
      <c r="RX588" s="11" t="s">
        <v>2853</v>
      </c>
      <c r="RY588" s="11"/>
      <c r="RZ588" s="11" t="s">
        <v>1101</v>
      </c>
      <c r="SA588" s="771"/>
      <c r="SB588" s="11"/>
      <c r="SC588" s="11"/>
    </row>
    <row r="589" spans="1:497" ht="12.75" hidden="1" customHeight="1">
      <c r="A589" s="343" t="s">
        <v>7419</v>
      </c>
      <c r="B589" s="752" t="s">
        <v>7401</v>
      </c>
      <c r="C589" s="132" t="s">
        <v>3979</v>
      </c>
      <c r="D589" s="94" t="s">
        <v>3980</v>
      </c>
      <c r="E589" s="766" t="s">
        <v>3981</v>
      </c>
      <c r="F589" s="770" t="s">
        <v>28</v>
      </c>
      <c r="G589" s="770" t="s">
        <v>10</v>
      </c>
      <c r="H589" s="770"/>
      <c r="I589" s="295" t="s">
        <v>3982</v>
      </c>
      <c r="J589" s="94" t="s">
        <v>3980</v>
      </c>
      <c r="K589" s="766" t="s">
        <v>3946</v>
      </c>
      <c r="L589" s="766" t="s">
        <v>3983</v>
      </c>
      <c r="M589" s="770" t="s">
        <v>1238</v>
      </c>
      <c r="N589" s="770"/>
      <c r="O589" s="770" t="s">
        <v>3897</v>
      </c>
      <c r="P589" s="770" t="s">
        <v>3984</v>
      </c>
      <c r="Q589" s="1088">
        <v>32293</v>
      </c>
      <c r="R589" s="297">
        <v>28</v>
      </c>
      <c r="S589" s="770" t="s">
        <v>10</v>
      </c>
      <c r="T589" s="770">
        <v>3525472</v>
      </c>
      <c r="U589" s="295" t="s">
        <v>3982</v>
      </c>
      <c r="V589" s="770" t="s">
        <v>722</v>
      </c>
      <c r="W589" s="770"/>
      <c r="X589" s="770"/>
      <c r="Y589" s="770" t="s">
        <v>3981</v>
      </c>
      <c r="Z589" s="770" t="s">
        <v>708</v>
      </c>
      <c r="AA589" s="770" t="s">
        <v>2463</v>
      </c>
      <c r="AB589" s="12" t="s">
        <v>710</v>
      </c>
      <c r="AC589" s="770" t="s">
        <v>724</v>
      </c>
      <c r="AD589" s="770" t="s">
        <v>711</v>
      </c>
      <c r="AE589" s="770"/>
      <c r="AF589" s="770" t="s">
        <v>712</v>
      </c>
      <c r="AG589" s="766" t="s">
        <v>1095</v>
      </c>
      <c r="AH589" s="766" t="s">
        <v>1096</v>
      </c>
      <c r="AI589" s="770" t="s">
        <v>3294</v>
      </c>
      <c r="AJ589" s="770"/>
      <c r="AK589" s="770" t="s">
        <v>1097</v>
      </c>
      <c r="AL589" s="531">
        <v>15.6</v>
      </c>
      <c r="AM589" s="780">
        <v>7.4</v>
      </c>
      <c r="AN589" s="532">
        <f>AM589/AL589</f>
        <v>0.47435897435897439</v>
      </c>
      <c r="AO589" s="766" t="s">
        <v>1149</v>
      </c>
      <c r="AP589" s="766" t="s">
        <v>5364</v>
      </c>
      <c r="AQ589" s="766"/>
      <c r="AR589" s="766"/>
      <c r="AS589" s="770"/>
      <c r="AT589" s="770"/>
      <c r="AU589" s="770"/>
      <c r="AV589" s="770"/>
      <c r="AW589" s="770"/>
      <c r="AX589" s="770"/>
      <c r="AY589" s="770"/>
      <c r="AZ589" s="770"/>
      <c r="BA589" s="770"/>
      <c r="BB589" s="770"/>
      <c r="BC589" s="770"/>
      <c r="BD589" s="770"/>
      <c r="BE589" s="770"/>
      <c r="BF589" s="302"/>
      <c r="BG589" s="302"/>
      <c r="BH589" s="770"/>
      <c r="BI589" s="770"/>
      <c r="BJ589" s="770"/>
      <c r="BK589" s="770" t="s">
        <v>1095</v>
      </c>
      <c r="BL589" s="770" t="s">
        <v>3985</v>
      </c>
      <c r="BM589" s="766" t="s">
        <v>1096</v>
      </c>
      <c r="BN589" s="770" t="s">
        <v>1230</v>
      </c>
      <c r="BO589" s="766" t="s">
        <v>1239</v>
      </c>
      <c r="BP589" s="429">
        <v>24.4</v>
      </c>
      <c r="BQ589" s="773">
        <v>7.4</v>
      </c>
      <c r="BR589" s="774">
        <f t="shared" ref="BR589:BR597" si="166">BQ589/BP589</f>
        <v>0.30327868852459022</v>
      </c>
      <c r="BS589" s="6" t="s">
        <v>1149</v>
      </c>
      <c r="BT589" s="766" t="s">
        <v>2040</v>
      </c>
      <c r="BU589" s="770" t="s">
        <v>1249</v>
      </c>
      <c r="BV589" s="770" t="s">
        <v>1247</v>
      </c>
      <c r="BW589" s="770">
        <v>2006</v>
      </c>
      <c r="BX589" s="302">
        <v>40000</v>
      </c>
      <c r="BY589" s="770" t="s">
        <v>1207</v>
      </c>
      <c r="BZ589" s="302">
        <v>40000</v>
      </c>
      <c r="CA589" s="770"/>
      <c r="CB589" s="770"/>
      <c r="CC589" s="770"/>
      <c r="CD589" s="770"/>
      <c r="CE589" s="770"/>
      <c r="CF589" s="1753"/>
      <c r="CG589" s="1754"/>
      <c r="CH589" s="770"/>
      <c r="CI589" s="770"/>
      <c r="CJ589" s="770"/>
      <c r="CK589" s="770"/>
      <c r="CL589" s="770"/>
      <c r="CM589" s="770"/>
      <c r="CN589" s="770"/>
      <c r="CO589" s="770"/>
      <c r="CP589" s="770"/>
      <c r="CQ589" s="770"/>
      <c r="CR589" s="302"/>
      <c r="CS589" s="770"/>
      <c r="CT589" s="770"/>
      <c r="CU589" s="305"/>
      <c r="CV589" s="770"/>
      <c r="CW589" s="770"/>
      <c r="CX589" s="770"/>
      <c r="CY589" s="770"/>
      <c r="CZ589" s="770"/>
      <c r="DA589" s="306"/>
      <c r="DB589" s="770"/>
      <c r="DC589" s="770"/>
      <c r="DD589" s="770"/>
      <c r="DE589" s="300"/>
      <c r="DF589" s="770"/>
      <c r="DG589" s="770"/>
      <c r="DH589" s="770"/>
      <c r="DI589" s="770"/>
      <c r="DJ589" s="770"/>
      <c r="DK589" s="770"/>
      <c r="DL589" s="770"/>
      <c r="DM589" s="770"/>
      <c r="DN589" s="322"/>
      <c r="DO589" s="770"/>
      <c r="DP589" s="770"/>
      <c r="DQ589" s="770"/>
      <c r="DR589" s="770"/>
      <c r="DS589" s="307"/>
      <c r="DT589" s="770"/>
      <c r="DU589" s="770"/>
      <c r="DV589" s="770"/>
      <c r="DW589" s="306"/>
      <c r="DX589" s="306"/>
      <c r="DY589" s="770"/>
      <c r="DZ589" s="770"/>
      <c r="EA589" s="770"/>
      <c r="EB589" s="770"/>
      <c r="EC589" s="770"/>
      <c r="ED589" s="770"/>
      <c r="EE589" s="770"/>
      <c r="EF589" s="770"/>
      <c r="EG589" s="770"/>
      <c r="EH589" s="770"/>
      <c r="EI589" s="770"/>
      <c r="EJ589" s="770"/>
      <c r="EK589" s="770"/>
      <c r="EL589" s="770"/>
      <c r="EM589" s="770"/>
      <c r="EN589" s="770"/>
      <c r="EO589" s="770"/>
      <c r="EP589" s="94"/>
      <c r="EQ589" s="770"/>
      <c r="ER589" s="770"/>
      <c r="ES589" s="770"/>
      <c r="ET589" s="770"/>
      <c r="EU589" s="770"/>
      <c r="EV589" s="770"/>
      <c r="EW589" s="770"/>
      <c r="EX589" s="770"/>
      <c r="EY589" s="770"/>
      <c r="EZ589" s="770"/>
      <c r="FA589" s="770"/>
      <c r="FB589" s="770"/>
      <c r="FC589" s="770"/>
      <c r="FD589" s="302"/>
      <c r="FE589" s="770"/>
      <c r="FF589" s="770"/>
      <c r="FG589" s="770"/>
      <c r="FH589" s="770" t="s">
        <v>478</v>
      </c>
      <c r="FI589" s="770">
        <v>1</v>
      </c>
      <c r="FJ589" s="770"/>
      <c r="FK589" s="770"/>
      <c r="FL589" s="770"/>
      <c r="FM589" s="302"/>
      <c r="FN589" s="302"/>
      <c r="FO589" s="302"/>
      <c r="FP589" s="770" t="s">
        <v>1602</v>
      </c>
      <c r="FQ589" s="770" t="s">
        <v>1660</v>
      </c>
      <c r="FR589" s="770" t="s">
        <v>1214</v>
      </c>
      <c r="FS589" s="770"/>
      <c r="FT589" s="770"/>
      <c r="FU589" s="770"/>
      <c r="FV589" s="770"/>
      <c r="FW589" s="770"/>
      <c r="FX589" s="770"/>
      <c r="FY589" s="770"/>
      <c r="FZ589" s="770"/>
      <c r="GA589" s="770"/>
      <c r="GB589" s="770" t="s">
        <v>1696</v>
      </c>
      <c r="GC589" s="308"/>
      <c r="GD589" s="297">
        <v>2006</v>
      </c>
      <c r="GE589" s="770" t="s">
        <v>1214</v>
      </c>
      <c r="GF589" s="302"/>
      <c r="GG589" s="302"/>
      <c r="GH589" s="1774" t="s">
        <v>1791</v>
      </c>
      <c r="GI589" s="770" t="s">
        <v>2352</v>
      </c>
      <c r="GJ589" s="770" t="s">
        <v>3209</v>
      </c>
      <c r="GK589" s="770" t="s">
        <v>2345</v>
      </c>
      <c r="GL589" s="770"/>
      <c r="GM589" s="770"/>
      <c r="GN589" s="299">
        <v>70</v>
      </c>
      <c r="GO589" s="770" t="s">
        <v>2760</v>
      </c>
      <c r="GP589" s="770"/>
      <c r="GQ589" s="770" t="s">
        <v>1208</v>
      </c>
      <c r="GR589" s="770"/>
      <c r="GS589" s="770"/>
      <c r="GT589" s="770"/>
      <c r="GU589" s="770"/>
      <c r="GV589" s="770"/>
      <c r="GW589" s="770" t="s">
        <v>1207</v>
      </c>
      <c r="GX589" s="770"/>
      <c r="GY589" s="770" t="s">
        <v>1208</v>
      </c>
      <c r="GZ589" s="770"/>
      <c r="HA589" s="770" t="s">
        <v>1208</v>
      </c>
      <c r="HB589" s="770" t="s">
        <v>1208</v>
      </c>
      <c r="HC589" s="770" t="s">
        <v>1208</v>
      </c>
      <c r="HD589" s="770" t="s">
        <v>1208</v>
      </c>
      <c r="HE589" s="770" t="s">
        <v>1208</v>
      </c>
      <c r="HF589" s="770"/>
      <c r="HG589" s="770"/>
      <c r="HH589" s="770"/>
      <c r="HI589" s="770" t="s">
        <v>1214</v>
      </c>
      <c r="HJ589" s="770"/>
      <c r="HK589" s="770"/>
      <c r="HL589" s="770" t="s">
        <v>1214</v>
      </c>
      <c r="HM589" s="770"/>
      <c r="HN589" s="770"/>
      <c r="HO589" s="770"/>
      <c r="HP589" s="770"/>
      <c r="HQ589" s="770"/>
      <c r="HR589" s="770"/>
      <c r="HS589" s="770"/>
      <c r="HT589" s="770"/>
      <c r="HU589" s="770"/>
      <c r="HV589" s="770"/>
      <c r="HW589" s="770"/>
      <c r="HX589" s="770"/>
      <c r="HY589" s="770"/>
      <c r="HZ589" s="770"/>
      <c r="IA589" s="770"/>
      <c r="IB589" s="770"/>
      <c r="IC589" s="770"/>
      <c r="ID589" s="770">
        <v>1</v>
      </c>
      <c r="IE589" s="770"/>
      <c r="IF589" s="770"/>
      <c r="IG589" s="770"/>
      <c r="IH589" s="770"/>
      <c r="II589" s="770"/>
      <c r="IJ589" s="770"/>
      <c r="IK589" s="770"/>
      <c r="IL589" s="770"/>
      <c r="IM589" s="770"/>
      <c r="IN589" s="770"/>
      <c r="IO589" s="296"/>
      <c r="IP589" s="770"/>
      <c r="IQ589" s="770"/>
      <c r="IR589" s="770"/>
      <c r="IS589" s="770"/>
      <c r="IT589" s="770"/>
      <c r="IU589" s="770"/>
      <c r="IV589" s="770"/>
      <c r="IW589" s="770"/>
      <c r="IX589" s="770"/>
      <c r="IY589" s="770"/>
      <c r="IZ589" s="770"/>
      <c r="JA589" s="770"/>
      <c r="JB589" s="770"/>
      <c r="JC589" s="770"/>
      <c r="JD589" s="302"/>
      <c r="JE589" s="770"/>
      <c r="JF589" s="770"/>
      <c r="JG589" s="770"/>
      <c r="JH589" s="307"/>
      <c r="JI589" s="307"/>
      <c r="JJ589" s="770">
        <v>2</v>
      </c>
      <c r="JK589" s="770" t="s">
        <v>3986</v>
      </c>
      <c r="JL589" s="770"/>
      <c r="JM589" s="770"/>
      <c r="JN589" s="770">
        <v>1</v>
      </c>
      <c r="JO589" s="770">
        <v>1</v>
      </c>
      <c r="JP589" s="770"/>
      <c r="JQ589" s="770"/>
      <c r="JR589" s="770"/>
      <c r="JS589" s="770"/>
      <c r="JT589" s="766">
        <f t="shared" ref="JT589:JU594" si="167">SUM(JP589,JN589,JL589,JR589)</f>
        <v>1</v>
      </c>
      <c r="JU589" s="766">
        <f t="shared" si="167"/>
        <v>1</v>
      </c>
      <c r="JV589" s="766"/>
      <c r="JW589" s="766"/>
      <c r="JX589" s="770"/>
      <c r="JY589" s="770"/>
      <c r="JZ589" s="770"/>
      <c r="KA589" s="770"/>
      <c r="KB589" s="770">
        <v>1</v>
      </c>
      <c r="KC589" s="770">
        <v>1</v>
      </c>
      <c r="KD589" s="770"/>
      <c r="KE589" s="770"/>
      <c r="KF589" s="770"/>
      <c r="KG589" s="770"/>
      <c r="KH589" s="770"/>
      <c r="KI589" s="770"/>
      <c r="KJ589" s="770">
        <f t="shared" ref="KJ589:KK651" si="168">SUM(KF589,KD589,KB589,JZ589,JX589,KH589)</f>
        <v>1</v>
      </c>
      <c r="KK589" s="770">
        <f t="shared" si="168"/>
        <v>1</v>
      </c>
      <c r="KL589" s="770"/>
      <c r="KM589" s="770"/>
      <c r="KN589" s="770" t="s">
        <v>722</v>
      </c>
      <c r="KO589" s="770"/>
      <c r="KP589" s="770"/>
      <c r="KQ589" s="770"/>
      <c r="KR589" s="770"/>
      <c r="KS589" s="770"/>
      <c r="KT589" s="770"/>
      <c r="KU589" s="770"/>
      <c r="KV589" s="770"/>
      <c r="KW589" s="770"/>
      <c r="KX589" s="770"/>
      <c r="KY589" s="770"/>
      <c r="KZ589" s="770">
        <v>1</v>
      </c>
      <c r="LA589" s="770">
        <v>1</v>
      </c>
      <c r="LB589" s="770"/>
      <c r="LC589" s="770"/>
      <c r="LD589" s="770"/>
      <c r="LE589" s="770"/>
      <c r="LF589" s="770"/>
      <c r="LG589" s="770"/>
      <c r="LH589" s="770"/>
      <c r="LI589" s="770"/>
      <c r="LJ589" s="770"/>
      <c r="LK589" s="770"/>
      <c r="LL589" s="770"/>
      <c r="LM589" s="770"/>
      <c r="LN589" s="766">
        <f t="shared" si="159"/>
        <v>1</v>
      </c>
      <c r="LO589" s="766">
        <f t="shared" si="159"/>
        <v>1</v>
      </c>
      <c r="LP589" s="770">
        <v>1</v>
      </c>
      <c r="LQ589" s="770">
        <v>1</v>
      </c>
      <c r="LR589" s="770"/>
      <c r="LS589" s="770"/>
      <c r="LT589" s="770"/>
      <c r="LU589" s="770">
        <v>1</v>
      </c>
      <c r="LV589" s="770"/>
      <c r="LW589" s="770"/>
      <c r="LX589" s="769">
        <v>2</v>
      </c>
      <c r="LY589" s="766" t="str">
        <f t="shared" si="160"/>
        <v>within the MUNICIPALITY</v>
      </c>
      <c r="LZ589" s="1709">
        <f>32*26</f>
        <v>832</v>
      </c>
      <c r="MA589" s="1709"/>
      <c r="MB589" s="1709"/>
      <c r="MC589" s="1679">
        <f t="shared" si="158"/>
        <v>832</v>
      </c>
      <c r="MD589" s="1709">
        <v>12000</v>
      </c>
      <c r="ME589" s="1709"/>
      <c r="MF589" s="1709"/>
      <c r="MG589" s="1680">
        <f t="shared" si="164"/>
        <v>12000</v>
      </c>
      <c r="MH589" s="770" t="s">
        <v>2966</v>
      </c>
      <c r="MI589" s="302">
        <f>200*30</f>
        <v>6000</v>
      </c>
      <c r="MJ589" s="302">
        <f>48*30</f>
        <v>1440</v>
      </c>
      <c r="MK589" s="302">
        <v>300</v>
      </c>
      <c r="ML589" s="302">
        <v>150</v>
      </c>
      <c r="MM589" s="302">
        <v>800</v>
      </c>
      <c r="MN589" s="302">
        <v>2400</v>
      </c>
      <c r="MO589" s="302">
        <v>500</v>
      </c>
      <c r="MP589" s="302">
        <v>560</v>
      </c>
      <c r="MQ589" s="302">
        <v>150</v>
      </c>
      <c r="MR589" s="302">
        <v>2000</v>
      </c>
      <c r="MS589" s="302">
        <v>1500</v>
      </c>
      <c r="MT589" s="302"/>
      <c r="MU589" s="302"/>
      <c r="MV589" s="302"/>
      <c r="MW589" s="302"/>
      <c r="MX589" s="302"/>
      <c r="MY589" s="1682">
        <f t="shared" si="165"/>
        <v>15800</v>
      </c>
      <c r="MZ589" s="770" t="s">
        <v>13395</v>
      </c>
      <c r="NA589" s="770" t="s">
        <v>13005</v>
      </c>
      <c r="NB589" s="770" t="s">
        <v>13016</v>
      </c>
      <c r="NC589" s="770" t="s">
        <v>13602</v>
      </c>
      <c r="ND589" s="770">
        <v>0</v>
      </c>
      <c r="NE589" s="770">
        <v>0</v>
      </c>
      <c r="NF589" s="770">
        <v>0</v>
      </c>
      <c r="NG589" s="770">
        <v>3</v>
      </c>
      <c r="NH589" s="770">
        <v>2</v>
      </c>
      <c r="NI589" s="770">
        <v>0</v>
      </c>
      <c r="NJ589" s="770">
        <v>0</v>
      </c>
      <c r="NK589" s="770">
        <v>0</v>
      </c>
      <c r="NL589" s="770">
        <v>0</v>
      </c>
      <c r="NM589" s="770">
        <v>0</v>
      </c>
      <c r="NN589" s="770">
        <v>0</v>
      </c>
      <c r="NO589" s="770">
        <v>0</v>
      </c>
      <c r="NP589" s="770">
        <v>0</v>
      </c>
      <c r="NQ589" s="770">
        <v>0</v>
      </c>
      <c r="NR589" s="770">
        <v>0</v>
      </c>
      <c r="NS589" s="770">
        <v>0</v>
      </c>
      <c r="NT589" s="770">
        <v>0</v>
      </c>
      <c r="NU589" s="770">
        <v>0</v>
      </c>
      <c r="NV589" s="770">
        <v>0</v>
      </c>
      <c r="NW589" s="770">
        <v>0</v>
      </c>
      <c r="NX589" s="770">
        <v>0</v>
      </c>
      <c r="NY589" s="770"/>
      <c r="NZ589" s="770"/>
      <c r="OA589" s="770"/>
      <c r="OB589" s="770"/>
      <c r="OC589" s="770" t="s">
        <v>1208</v>
      </c>
      <c r="OD589" s="770"/>
      <c r="OE589" s="770"/>
      <c r="OF589" s="770"/>
      <c r="OG589" s="770"/>
      <c r="OH589" s="770"/>
      <c r="OI589" s="770"/>
      <c r="OJ589" s="770"/>
      <c r="OK589" s="770"/>
      <c r="OL589" s="770"/>
      <c r="OM589" s="770"/>
      <c r="ON589" s="770"/>
      <c r="OO589" s="770"/>
      <c r="OP589" s="770"/>
      <c r="OQ589" s="770"/>
      <c r="OR589" s="770"/>
      <c r="OS589" s="770"/>
      <c r="OT589" s="770"/>
      <c r="OU589" s="770"/>
      <c r="OV589" s="770"/>
      <c r="OW589" s="770"/>
      <c r="OX589" s="770"/>
      <c r="OY589" s="770"/>
      <c r="OZ589" s="770"/>
      <c r="PA589" s="770"/>
      <c r="PB589" s="770"/>
      <c r="PC589" s="770"/>
      <c r="PD589" s="770"/>
      <c r="PE589" s="770"/>
      <c r="PF589" s="770"/>
      <c r="PG589" s="770"/>
      <c r="PH589" s="770"/>
      <c r="PI589" s="770"/>
      <c r="PJ589" s="770" t="s">
        <v>1208</v>
      </c>
      <c r="PK589" s="770" t="s">
        <v>1208</v>
      </c>
      <c r="PL589" s="770"/>
      <c r="PM589" s="770"/>
      <c r="PN589" s="770"/>
      <c r="PO589" s="770"/>
      <c r="PP589" s="770"/>
      <c r="PQ589" s="770"/>
      <c r="PR589" s="770"/>
      <c r="PS589" s="770"/>
      <c r="PT589" s="770"/>
      <c r="PU589" s="770"/>
      <c r="PV589" s="770"/>
      <c r="PW589" s="770"/>
      <c r="PX589" s="770"/>
      <c r="PY589" s="770"/>
      <c r="PZ589" s="770"/>
      <c r="QA589" s="770"/>
      <c r="QB589" s="770"/>
      <c r="QC589" s="770"/>
      <c r="QD589" s="770"/>
      <c r="QE589" s="770"/>
      <c r="QF589" s="770"/>
      <c r="QG589" s="770"/>
      <c r="QH589" s="770"/>
      <c r="QI589" s="770"/>
      <c r="QJ589" s="770"/>
      <c r="QK589" s="770"/>
      <c r="QL589" s="770"/>
      <c r="QM589" s="770"/>
      <c r="QN589" s="770"/>
      <c r="QO589" s="770"/>
      <c r="QP589" s="770"/>
      <c r="QQ589" s="770"/>
      <c r="QR589" s="770"/>
      <c r="QS589" s="770"/>
      <c r="QT589" s="770"/>
      <c r="QU589" s="770"/>
      <c r="QV589" s="770"/>
      <c r="QW589" s="770"/>
      <c r="QX589" s="770"/>
      <c r="QY589" s="770"/>
      <c r="QZ589" s="770"/>
      <c r="RA589" s="770"/>
      <c r="RB589" s="770" t="s">
        <v>1207</v>
      </c>
      <c r="RC589" s="770">
        <v>2009</v>
      </c>
      <c r="RD589" s="770" t="s">
        <v>13036</v>
      </c>
      <c r="RE589" s="770" t="s">
        <v>12999</v>
      </c>
      <c r="RF589" s="304">
        <v>0.5</v>
      </c>
      <c r="RG589" s="770" t="s">
        <v>13047</v>
      </c>
      <c r="RH589" s="302">
        <v>0</v>
      </c>
      <c r="RI589" s="770">
        <v>3</v>
      </c>
      <c r="RJ589" s="770" t="s">
        <v>13780</v>
      </c>
      <c r="RK589" s="770" t="s">
        <v>13556</v>
      </c>
      <c r="RL589" s="1710">
        <v>42832</v>
      </c>
      <c r="RM589" s="12"/>
      <c r="RN589" s="1711"/>
      <c r="RO589" s="132" t="s">
        <v>3979</v>
      </c>
      <c r="RP589" s="11"/>
      <c r="RQ589" s="11"/>
      <c r="RR589" s="17"/>
      <c r="RS589" s="767"/>
      <c r="RT589" s="11"/>
      <c r="RU589" s="11"/>
      <c r="RV589" s="771" t="s">
        <v>13774</v>
      </c>
      <c r="RW589" s="11" t="s">
        <v>7510</v>
      </c>
      <c r="RX589" s="11" t="s">
        <v>2853</v>
      </c>
      <c r="RY589" s="11"/>
      <c r="RZ589" s="11" t="s">
        <v>1101</v>
      </c>
      <c r="SA589" s="771"/>
      <c r="SB589" s="11"/>
      <c r="SC589" s="11"/>
    </row>
    <row r="590" spans="1:497" ht="12.75" customHeight="1">
      <c r="A590" s="17" t="s">
        <v>7421</v>
      </c>
      <c r="B590" s="752" t="s">
        <v>7822</v>
      </c>
      <c r="C590" s="132" t="s">
        <v>3987</v>
      </c>
      <c r="D590" s="94" t="s">
        <v>3989</v>
      </c>
      <c r="E590" s="766" t="s">
        <v>3981</v>
      </c>
      <c r="F590" s="770" t="s">
        <v>28</v>
      </c>
      <c r="G590" s="770" t="s">
        <v>10</v>
      </c>
      <c r="H590" s="770"/>
      <c r="I590" s="295" t="s">
        <v>3990</v>
      </c>
      <c r="J590" s="94" t="s">
        <v>3989</v>
      </c>
      <c r="K590" s="766" t="s">
        <v>3991</v>
      </c>
      <c r="L590" s="766" t="s">
        <v>3050</v>
      </c>
      <c r="M590" s="770" t="s">
        <v>1238</v>
      </c>
      <c r="N590" s="770"/>
      <c r="O590" s="770" t="s">
        <v>3897</v>
      </c>
      <c r="P590" s="94" t="s">
        <v>3992</v>
      </c>
      <c r="Q590" s="1088">
        <v>31612</v>
      </c>
      <c r="R590" s="297">
        <v>30</v>
      </c>
      <c r="S590" s="770" t="s">
        <v>10</v>
      </c>
      <c r="T590" s="770"/>
      <c r="U590" s="295" t="s">
        <v>3990</v>
      </c>
      <c r="V590" s="12" t="s">
        <v>722</v>
      </c>
      <c r="W590" s="12"/>
      <c r="X590" s="12"/>
      <c r="Y590" s="770" t="s">
        <v>3981</v>
      </c>
      <c r="Z590" s="770" t="s">
        <v>708</v>
      </c>
      <c r="AA590" s="770" t="s">
        <v>3993</v>
      </c>
      <c r="AB590" s="770" t="s">
        <v>7275</v>
      </c>
      <c r="AC590" s="770"/>
      <c r="AD590" s="770" t="s">
        <v>711</v>
      </c>
      <c r="AE590" s="770"/>
      <c r="AF590" s="770" t="s">
        <v>3994</v>
      </c>
      <c r="AG590" s="766" t="s">
        <v>1132</v>
      </c>
      <c r="AH590" s="766" t="s">
        <v>1096</v>
      </c>
      <c r="AI590" s="770" t="s">
        <v>3294</v>
      </c>
      <c r="AJ590" s="770" t="s">
        <v>1137</v>
      </c>
      <c r="AK590" s="770" t="s">
        <v>1101</v>
      </c>
      <c r="AL590" s="531">
        <v>10.44</v>
      </c>
      <c r="AM590" s="780">
        <v>10.44</v>
      </c>
      <c r="AN590" s="532">
        <f>AM590/AL590</f>
        <v>1</v>
      </c>
      <c r="AO590" s="766" t="s">
        <v>1122</v>
      </c>
      <c r="AP590" s="766"/>
      <c r="AQ590" s="766"/>
      <c r="AR590" s="766"/>
      <c r="AS590" s="769"/>
      <c r="AT590" s="770"/>
      <c r="AU590" s="770"/>
      <c r="AV590" s="770"/>
      <c r="AW590" s="770"/>
      <c r="AX590" s="770"/>
      <c r="AY590" s="770"/>
      <c r="AZ590" s="770"/>
      <c r="BA590" s="770"/>
      <c r="BB590" s="770"/>
      <c r="BC590" s="770"/>
      <c r="BD590" s="770"/>
      <c r="BE590" s="770"/>
      <c r="BF590" s="302"/>
      <c r="BG590" s="302"/>
      <c r="BH590" s="770"/>
      <c r="BI590" s="770"/>
      <c r="BJ590" s="770"/>
      <c r="BK590" s="770" t="s">
        <v>1095</v>
      </c>
      <c r="BL590" s="770" t="s">
        <v>3995</v>
      </c>
      <c r="BM590" s="766" t="s">
        <v>1096</v>
      </c>
      <c r="BN590" s="770" t="s">
        <v>1230</v>
      </c>
      <c r="BO590" s="766" t="s">
        <v>1246</v>
      </c>
      <c r="BP590" s="1109">
        <v>10.44</v>
      </c>
      <c r="BQ590" s="773">
        <v>10.44</v>
      </c>
      <c r="BR590" s="774">
        <f t="shared" si="166"/>
        <v>1</v>
      </c>
      <c r="BS590" s="766" t="s">
        <v>1257</v>
      </c>
      <c r="BT590" s="766" t="s">
        <v>8133</v>
      </c>
      <c r="BU590" s="770" t="s">
        <v>1249</v>
      </c>
      <c r="BV590" s="770" t="s">
        <v>1247</v>
      </c>
      <c r="BW590" s="770">
        <v>2012</v>
      </c>
      <c r="BX590" s="302"/>
      <c r="BY590" s="770"/>
      <c r="BZ590" s="302"/>
      <c r="CA590" s="770"/>
      <c r="CB590" s="770" t="s">
        <v>1207</v>
      </c>
      <c r="CC590" s="94" t="s">
        <v>3989</v>
      </c>
      <c r="CD590" s="770"/>
      <c r="CE590" s="770"/>
      <c r="CF590" s="1753"/>
      <c r="CG590" s="1754">
        <v>5</v>
      </c>
      <c r="CH590" s="770"/>
      <c r="CI590" s="770"/>
      <c r="CJ590" s="770"/>
      <c r="CK590" s="770"/>
      <c r="CL590" s="770"/>
      <c r="CM590" s="770"/>
      <c r="CN590" s="770"/>
      <c r="CO590" s="770"/>
      <c r="CP590" s="770"/>
      <c r="CQ590" s="770"/>
      <c r="CR590" s="302"/>
      <c r="CS590" s="770"/>
      <c r="CT590" s="770"/>
      <c r="CU590" s="305"/>
      <c r="CV590" s="770"/>
      <c r="CW590" s="770"/>
      <c r="CX590" s="770"/>
      <c r="CY590" s="770"/>
      <c r="CZ590" s="770"/>
      <c r="DA590" s="306"/>
      <c r="DB590" s="770"/>
      <c r="DC590" s="770"/>
      <c r="DD590" s="770"/>
      <c r="DE590" s="300"/>
      <c r="DF590" s="770"/>
      <c r="DG590" s="770"/>
      <c r="DH590" s="770"/>
      <c r="DI590" s="770"/>
      <c r="DJ590" s="770"/>
      <c r="DK590" s="770"/>
      <c r="DL590" s="770"/>
      <c r="DM590" s="770"/>
      <c r="DN590" s="322"/>
      <c r="DO590" s="770"/>
      <c r="DP590" s="770"/>
      <c r="DQ590" s="770"/>
      <c r="DR590" s="770"/>
      <c r="DS590" s="307"/>
      <c r="DT590" s="770"/>
      <c r="DU590" s="770"/>
      <c r="DV590" s="770"/>
      <c r="DW590" s="306"/>
      <c r="DX590" s="306"/>
      <c r="DY590" s="770"/>
      <c r="DZ590" s="770"/>
      <c r="EA590" s="770"/>
      <c r="EB590" s="770"/>
      <c r="EC590" s="770"/>
      <c r="ED590" s="770"/>
      <c r="EE590" s="770"/>
      <c r="EF590" s="770"/>
      <c r="EG590" s="770"/>
      <c r="EH590" s="770"/>
      <c r="EI590" s="770"/>
      <c r="EJ590" s="770"/>
      <c r="EK590" s="770"/>
      <c r="EL590" s="770"/>
      <c r="EM590" s="770"/>
      <c r="EN590" s="770"/>
      <c r="EO590" s="770"/>
      <c r="EP590" s="94"/>
      <c r="EQ590" s="770"/>
      <c r="ER590" s="770"/>
      <c r="ES590" s="770"/>
      <c r="ET590" s="770"/>
      <c r="EU590" s="770"/>
      <c r="EV590" s="770"/>
      <c r="EW590" s="770"/>
      <c r="EX590" s="770"/>
      <c r="EY590" s="770"/>
      <c r="EZ590" s="770" t="s">
        <v>3988</v>
      </c>
      <c r="FA590" s="770" t="s">
        <v>3996</v>
      </c>
      <c r="FB590" s="770"/>
      <c r="FC590" s="770"/>
      <c r="FD590" s="302"/>
      <c r="FE590" s="770"/>
      <c r="FF590" s="770" t="s">
        <v>3997</v>
      </c>
      <c r="FG590" s="770" t="s">
        <v>3998</v>
      </c>
      <c r="FH590" s="770" t="s">
        <v>478</v>
      </c>
      <c r="FI590" s="770">
        <v>2</v>
      </c>
      <c r="FJ590" s="770"/>
      <c r="FK590" s="770"/>
      <c r="FL590" s="770"/>
      <c r="FM590" s="302"/>
      <c r="FN590" s="302"/>
      <c r="FO590" s="302"/>
      <c r="FP590" s="766" t="s">
        <v>1602</v>
      </c>
      <c r="FQ590" s="766" t="s">
        <v>1660</v>
      </c>
      <c r="FR590" s="770" t="s">
        <v>1214</v>
      </c>
      <c r="FS590" s="770"/>
      <c r="FT590" s="770"/>
      <c r="FU590" s="770"/>
      <c r="FV590" s="770"/>
      <c r="FW590" s="770"/>
      <c r="FX590" s="770"/>
      <c r="FY590" s="770"/>
      <c r="FZ590" s="770"/>
      <c r="GA590" s="770"/>
      <c r="GB590" s="770" t="s">
        <v>1696</v>
      </c>
      <c r="GC590" s="308"/>
      <c r="GD590" s="297">
        <v>2012</v>
      </c>
      <c r="GE590" s="770" t="s">
        <v>1214</v>
      </c>
      <c r="GF590" s="302"/>
      <c r="GG590" s="302"/>
      <c r="GH590" s="712" t="s">
        <v>1791</v>
      </c>
      <c r="GI590" s="770" t="s">
        <v>2352</v>
      </c>
      <c r="GJ590" s="770"/>
      <c r="GK590" s="770" t="s">
        <v>2345</v>
      </c>
      <c r="GL590" s="770"/>
      <c r="GM590" s="770"/>
      <c r="GN590" s="299"/>
      <c r="GO590" s="770"/>
      <c r="GP590" s="770" t="s">
        <v>1208</v>
      </c>
      <c r="GQ590" s="770" t="s">
        <v>1208</v>
      </c>
      <c r="GR590" s="770" t="s">
        <v>1208</v>
      </c>
      <c r="GS590" s="770" t="s">
        <v>1208</v>
      </c>
      <c r="GT590" s="770" t="s">
        <v>1208</v>
      </c>
      <c r="GU590" s="770"/>
      <c r="GV590" s="770"/>
      <c r="GW590" s="770"/>
      <c r="GX590" s="770"/>
      <c r="GY590" s="770" t="s">
        <v>1208</v>
      </c>
      <c r="GZ590" s="770" t="s">
        <v>1208</v>
      </c>
      <c r="HA590" s="770" t="s">
        <v>1208</v>
      </c>
      <c r="HB590" s="770" t="s">
        <v>1208</v>
      </c>
      <c r="HC590" s="770" t="s">
        <v>1208</v>
      </c>
      <c r="HD590" s="770" t="s">
        <v>1208</v>
      </c>
      <c r="HE590" s="770" t="s">
        <v>1208</v>
      </c>
      <c r="HF590" s="770"/>
      <c r="HG590" s="770"/>
      <c r="HH590" s="770"/>
      <c r="HI590" s="770" t="s">
        <v>1214</v>
      </c>
      <c r="HJ590" s="770"/>
      <c r="HK590" s="770"/>
      <c r="HL590" s="770" t="s">
        <v>1214</v>
      </c>
      <c r="HM590" s="770"/>
      <c r="HN590" s="770"/>
      <c r="HO590" s="770"/>
      <c r="HP590" s="770"/>
      <c r="HQ590" s="770"/>
      <c r="HR590" s="770"/>
      <c r="HS590" s="770"/>
      <c r="HT590" s="770"/>
      <c r="HU590" s="770"/>
      <c r="HV590" s="770"/>
      <c r="HW590" s="770"/>
      <c r="HX590" s="770"/>
      <c r="HY590" s="770"/>
      <c r="HZ590" s="770"/>
      <c r="IA590" s="770"/>
      <c r="IB590" s="14" t="e">
        <f>IF(#REF!&gt;0,IF(#REF!&lt;=10000,"Y",""),"")</f>
        <v>#REF!</v>
      </c>
      <c r="IC590" s="770"/>
      <c r="ID590" s="770"/>
      <c r="IE590" s="770"/>
      <c r="IF590" s="770"/>
      <c r="IG590" s="770"/>
      <c r="IH590" s="770"/>
      <c r="II590" s="770"/>
      <c r="IJ590" s="770"/>
      <c r="IK590" s="770"/>
      <c r="IL590" s="770"/>
      <c r="IM590" s="770"/>
      <c r="IN590" s="770"/>
      <c r="IO590" s="296"/>
      <c r="IP590" s="770"/>
      <c r="IQ590" s="770"/>
      <c r="IR590" s="770"/>
      <c r="IS590" s="770"/>
      <c r="IT590" s="770"/>
      <c r="IU590" s="770"/>
      <c r="IV590" s="770"/>
      <c r="IW590" s="770"/>
      <c r="IX590" s="770"/>
      <c r="IY590" s="770"/>
      <c r="IZ590" s="770"/>
      <c r="JA590" s="770"/>
      <c r="JB590" s="770"/>
      <c r="JC590" s="770"/>
      <c r="JD590" s="302"/>
      <c r="JE590" s="770"/>
      <c r="JF590" s="770"/>
      <c r="JG590" s="770"/>
      <c r="JH590" s="307"/>
      <c r="JI590" s="307"/>
      <c r="JJ590" s="770">
        <v>3</v>
      </c>
      <c r="JK590" s="1139" t="s">
        <v>3988</v>
      </c>
      <c r="JL590" s="770">
        <v>1</v>
      </c>
      <c r="JM590" s="770"/>
      <c r="JN590" s="770">
        <v>1</v>
      </c>
      <c r="JO590" s="770">
        <v>1</v>
      </c>
      <c r="JP590" s="770"/>
      <c r="JQ590" s="770"/>
      <c r="JR590" s="770"/>
      <c r="JS590" s="770"/>
      <c r="JT590" s="766">
        <f t="shared" si="167"/>
        <v>2</v>
      </c>
      <c r="JU590" s="766">
        <f t="shared" si="167"/>
        <v>1</v>
      </c>
      <c r="JV590" s="712" t="str">
        <f>IF(JT590=KJ590,"ok","male")</f>
        <v>ok</v>
      </c>
      <c r="JW590" s="712" t="str">
        <f>IF(JU590=KK590,"ok","female")</f>
        <v>ok</v>
      </c>
      <c r="JX590" s="770">
        <v>1</v>
      </c>
      <c r="JY590" s="770"/>
      <c r="JZ590" s="770"/>
      <c r="KA590" s="770"/>
      <c r="KB590" s="770">
        <v>1</v>
      </c>
      <c r="KC590" s="770">
        <v>1</v>
      </c>
      <c r="KD590" s="770"/>
      <c r="KE590" s="770"/>
      <c r="KF590" s="770"/>
      <c r="KG590" s="770"/>
      <c r="KH590" s="770"/>
      <c r="KI590" s="770"/>
      <c r="KJ590" s="770">
        <f t="shared" si="168"/>
        <v>2</v>
      </c>
      <c r="KK590" s="770">
        <f t="shared" si="168"/>
        <v>1</v>
      </c>
      <c r="KL590" s="712" t="str">
        <f>IF(KJ590=LN590,"ok","male")</f>
        <v>ok</v>
      </c>
      <c r="KM590" s="712" t="str">
        <f>IF(KK590=LO590,"ok","female")</f>
        <v>ok</v>
      </c>
      <c r="KN590" s="770" t="s">
        <v>722</v>
      </c>
      <c r="KO590" s="770"/>
      <c r="KP590" s="770"/>
      <c r="KQ590" s="770"/>
      <c r="KR590" s="770">
        <v>1</v>
      </c>
      <c r="KS590" s="770"/>
      <c r="KT590" s="770"/>
      <c r="KU590" s="770"/>
      <c r="KV590" s="770"/>
      <c r="KW590" s="770"/>
      <c r="KX590" s="770"/>
      <c r="KY590" s="770"/>
      <c r="KZ590" s="770">
        <v>1</v>
      </c>
      <c r="LA590" s="770">
        <v>1</v>
      </c>
      <c r="LB590" s="770"/>
      <c r="LC590" s="770"/>
      <c r="LD590" s="770"/>
      <c r="LE590" s="770"/>
      <c r="LF590" s="770"/>
      <c r="LG590" s="770"/>
      <c r="LH590" s="770"/>
      <c r="LI590" s="770"/>
      <c r="LJ590" s="770"/>
      <c r="LK590" s="770"/>
      <c r="LL590" s="770"/>
      <c r="LM590" s="770"/>
      <c r="LN590" s="766">
        <f t="shared" si="159"/>
        <v>2</v>
      </c>
      <c r="LO590" s="766">
        <f t="shared" si="159"/>
        <v>1</v>
      </c>
      <c r="LP590" s="770">
        <v>2</v>
      </c>
      <c r="LQ590" s="770">
        <v>2</v>
      </c>
      <c r="LR590" s="770"/>
      <c r="LS590" s="770"/>
      <c r="LT590" s="712" t="str">
        <f>IF(LQ590=SUM(LU590:LW590),"OK","REV")</f>
        <v>OK</v>
      </c>
      <c r="LU590" s="770">
        <v>1</v>
      </c>
      <c r="LV590" s="770">
        <v>1</v>
      </c>
      <c r="LW590" s="770"/>
      <c r="LX590" s="769">
        <v>3</v>
      </c>
      <c r="LY590" s="766" t="str">
        <f t="shared" si="160"/>
        <v>within the PROVINCE</v>
      </c>
      <c r="LZ590" s="1709">
        <f>50*26</f>
        <v>1300</v>
      </c>
      <c r="MA590" s="1709"/>
      <c r="MB590" s="1709"/>
      <c r="MC590" s="1679">
        <f t="shared" si="158"/>
        <v>1300</v>
      </c>
      <c r="MD590" s="1709">
        <f>491*26</f>
        <v>12766</v>
      </c>
      <c r="ME590" s="1709"/>
      <c r="MF590" s="1709"/>
      <c r="MG590" s="1680">
        <f>SUM(MD590:MF590)</f>
        <v>12766</v>
      </c>
      <c r="MH590" s="770" t="s">
        <v>2222</v>
      </c>
      <c r="MI590" s="302">
        <f>300*30</f>
        <v>9000</v>
      </c>
      <c r="MJ590" s="302">
        <v>3000</v>
      </c>
      <c r="MK590" s="302">
        <v>5000</v>
      </c>
      <c r="ML590" s="302">
        <v>500</v>
      </c>
      <c r="MM590" s="302">
        <v>5000</v>
      </c>
      <c r="MN590" s="302"/>
      <c r="MO590" s="302">
        <v>600</v>
      </c>
      <c r="MP590" s="302">
        <v>500</v>
      </c>
      <c r="MQ590" s="302">
        <v>600</v>
      </c>
      <c r="MR590" s="302">
        <v>300</v>
      </c>
      <c r="MS590" s="302">
        <v>5000</v>
      </c>
      <c r="MT590" s="302"/>
      <c r="MU590" s="302"/>
      <c r="MV590" s="302"/>
      <c r="MW590" s="302"/>
      <c r="MX590" s="302"/>
      <c r="MY590" s="1682">
        <f t="shared" si="165"/>
        <v>29500</v>
      </c>
      <c r="MZ590" s="770" t="s">
        <v>13395</v>
      </c>
      <c r="NA590" s="770" t="s">
        <v>13005</v>
      </c>
      <c r="NB590" s="770" t="s">
        <v>13016</v>
      </c>
      <c r="NC590" s="770" t="s">
        <v>13602</v>
      </c>
      <c r="ND590" s="770">
        <v>0</v>
      </c>
      <c r="NE590" s="770">
        <v>1</v>
      </c>
      <c r="NF590" s="770">
        <v>0</v>
      </c>
      <c r="NG590" s="770">
        <v>1</v>
      </c>
      <c r="NH590" s="770">
        <v>1</v>
      </c>
      <c r="NI590" s="770">
        <v>1</v>
      </c>
      <c r="NJ590" s="770">
        <v>0</v>
      </c>
      <c r="NK590" s="770">
        <v>0</v>
      </c>
      <c r="NL590" s="770">
        <v>0</v>
      </c>
      <c r="NM590" s="770">
        <v>1</v>
      </c>
      <c r="NN590" s="770">
        <v>0</v>
      </c>
      <c r="NO590" s="770">
        <v>0</v>
      </c>
      <c r="NP590" s="770">
        <v>0</v>
      </c>
      <c r="NQ590" s="770">
        <v>0</v>
      </c>
      <c r="NR590" s="770">
        <v>0</v>
      </c>
      <c r="NS590" s="770">
        <v>0</v>
      </c>
      <c r="NT590" s="770">
        <v>0</v>
      </c>
      <c r="NU590" s="770">
        <v>0</v>
      </c>
      <c r="NV590" s="770">
        <v>0</v>
      </c>
      <c r="NW590" s="770">
        <v>0</v>
      </c>
      <c r="NX590" s="770">
        <v>0</v>
      </c>
      <c r="NY590" s="770" t="s">
        <v>1208</v>
      </c>
      <c r="NZ590" s="770" t="s">
        <v>1208</v>
      </c>
      <c r="OA590" s="770"/>
      <c r="OB590" s="770" t="s">
        <v>1208</v>
      </c>
      <c r="OC590" s="770"/>
      <c r="OD590" s="770" t="s">
        <v>1208</v>
      </c>
      <c r="OE590" s="770"/>
      <c r="OF590" s="770"/>
      <c r="OG590" s="770"/>
      <c r="OH590" s="770"/>
      <c r="OI590" s="770"/>
      <c r="OJ590" s="770"/>
      <c r="OK590" s="770"/>
      <c r="OL590" s="770"/>
      <c r="OM590" s="770"/>
      <c r="ON590" s="770"/>
      <c r="OO590" s="770"/>
      <c r="OP590" s="770"/>
      <c r="OQ590" s="770"/>
      <c r="OR590" s="770"/>
      <c r="OS590" s="770"/>
      <c r="OT590" s="770"/>
      <c r="OU590" s="770"/>
      <c r="OV590" s="770"/>
      <c r="OW590" s="770"/>
      <c r="OX590" s="770"/>
      <c r="OY590" s="770"/>
      <c r="OZ590" s="770"/>
      <c r="PA590" s="770"/>
      <c r="PB590" s="770"/>
      <c r="PC590" s="770"/>
      <c r="PD590" s="770"/>
      <c r="PE590" s="770"/>
      <c r="PF590" s="770"/>
      <c r="PG590" s="770"/>
      <c r="PH590" s="770" t="s">
        <v>1208</v>
      </c>
      <c r="PI590" s="770" t="s">
        <v>1208</v>
      </c>
      <c r="PJ590" s="770"/>
      <c r="PK590" s="770" t="s">
        <v>1208</v>
      </c>
      <c r="PL590" s="770"/>
      <c r="PM590" s="770"/>
      <c r="PN590" s="770"/>
      <c r="PO590" s="770"/>
      <c r="PP590" s="770"/>
      <c r="PQ590" s="770"/>
      <c r="PR590" s="770"/>
      <c r="PS590" s="770" t="s">
        <v>1208</v>
      </c>
      <c r="PT590" s="770" t="s">
        <v>1208</v>
      </c>
      <c r="PU590" s="770"/>
      <c r="PV590" s="770"/>
      <c r="PW590" s="770"/>
      <c r="PX590" s="770"/>
      <c r="PY590" s="770"/>
      <c r="PZ590" s="770"/>
      <c r="QA590" s="770"/>
      <c r="QB590" s="770"/>
      <c r="QC590" s="770"/>
      <c r="QD590" s="770"/>
      <c r="QE590" s="770"/>
      <c r="QF590" s="770"/>
      <c r="QG590" s="770"/>
      <c r="QH590" s="770"/>
      <c r="QI590" s="770"/>
      <c r="QJ590" s="770"/>
      <c r="QK590" s="770"/>
      <c r="QL590" s="770"/>
      <c r="QM590" s="770"/>
      <c r="QN590" s="770"/>
      <c r="QO590" s="770"/>
      <c r="QP590" s="770"/>
      <c r="QQ590" s="770"/>
      <c r="QR590" s="770"/>
      <c r="QS590" s="770"/>
      <c r="QT590" s="770"/>
      <c r="QU590" s="770"/>
      <c r="QV590" s="770"/>
      <c r="QW590" s="770"/>
      <c r="QX590" s="770"/>
      <c r="QY590" s="770"/>
      <c r="QZ590" s="770"/>
      <c r="RA590" s="770"/>
      <c r="RB590" s="770" t="s">
        <v>1207</v>
      </c>
      <c r="RC590" s="770">
        <v>2013</v>
      </c>
      <c r="RD590" s="770" t="s">
        <v>13046</v>
      </c>
      <c r="RE590" s="770" t="s">
        <v>12999</v>
      </c>
      <c r="RF590" s="304">
        <f>CONVERT(2,"ft","m")</f>
        <v>0.60960000000000003</v>
      </c>
      <c r="RG590" s="770" t="s">
        <v>13047</v>
      </c>
      <c r="RH590" s="302">
        <v>0</v>
      </c>
      <c r="RI590" s="770">
        <v>6</v>
      </c>
      <c r="RJ590" s="770" t="s">
        <v>13781</v>
      </c>
      <c r="RK590" s="770" t="s">
        <v>13552</v>
      </c>
      <c r="RL590" s="1710">
        <v>42832</v>
      </c>
      <c r="RM590" s="12"/>
      <c r="RN590" s="1711"/>
      <c r="RO590" s="132" t="s">
        <v>3987</v>
      </c>
      <c r="RP590" s="11"/>
      <c r="RQ590" s="11"/>
      <c r="RR590" s="17" t="s">
        <v>7421</v>
      </c>
      <c r="RS590" s="1139" t="s">
        <v>12980</v>
      </c>
      <c r="RT590" s="11"/>
      <c r="RU590" s="11"/>
      <c r="RV590" s="771" t="s">
        <v>13774</v>
      </c>
      <c r="RW590" s="11" t="s">
        <v>7511</v>
      </c>
      <c r="RX590" s="11" t="s">
        <v>2853</v>
      </c>
      <c r="RY590" s="11"/>
      <c r="RZ590" s="11" t="s">
        <v>1101</v>
      </c>
      <c r="SA590" s="771"/>
      <c r="SB590" s="11"/>
      <c r="SC590" s="11"/>
    </row>
    <row r="591" spans="1:497" ht="12.75" customHeight="1">
      <c r="A591" s="17" t="s">
        <v>7421</v>
      </c>
      <c r="B591" s="752" t="s">
        <v>7402</v>
      </c>
      <c r="C591" s="132" t="s">
        <v>3999</v>
      </c>
      <c r="D591" s="94" t="s">
        <v>4000</v>
      </c>
      <c r="E591" s="766" t="s">
        <v>3981</v>
      </c>
      <c r="F591" s="770" t="s">
        <v>28</v>
      </c>
      <c r="G591" s="770" t="s">
        <v>18</v>
      </c>
      <c r="H591" s="770"/>
      <c r="I591" s="295" t="s">
        <v>4001</v>
      </c>
      <c r="J591" s="94" t="s">
        <v>4000</v>
      </c>
      <c r="K591" s="766" t="s">
        <v>4002</v>
      </c>
      <c r="L591" s="766" t="s">
        <v>3050</v>
      </c>
      <c r="M591" s="770" t="s">
        <v>1238</v>
      </c>
      <c r="N591" s="770"/>
      <c r="O591" s="770" t="s">
        <v>3844</v>
      </c>
      <c r="P591" s="94" t="s">
        <v>4003</v>
      </c>
      <c r="Q591" s="1088">
        <v>27621</v>
      </c>
      <c r="R591" s="297">
        <v>41</v>
      </c>
      <c r="S591" s="770" t="s">
        <v>18</v>
      </c>
      <c r="T591" s="770"/>
      <c r="U591" s="295" t="s">
        <v>4001</v>
      </c>
      <c r="V591" s="12" t="s">
        <v>2970</v>
      </c>
      <c r="W591" s="12"/>
      <c r="X591" s="12"/>
      <c r="Y591" s="770" t="s">
        <v>3981</v>
      </c>
      <c r="Z591" s="770" t="s">
        <v>708</v>
      </c>
      <c r="AA591" s="770" t="s">
        <v>732</v>
      </c>
      <c r="AB591" s="12" t="s">
        <v>744</v>
      </c>
      <c r="AC591" s="770" t="s">
        <v>724</v>
      </c>
      <c r="AD591" s="770" t="s">
        <v>711</v>
      </c>
      <c r="AE591" s="770"/>
      <c r="AF591" s="770" t="s">
        <v>712</v>
      </c>
      <c r="AG591" s="766" t="s">
        <v>1095</v>
      </c>
      <c r="AH591" s="766" t="s">
        <v>1096</v>
      </c>
      <c r="AI591" s="770" t="s">
        <v>3294</v>
      </c>
      <c r="AJ591" s="770"/>
      <c r="AK591" s="1828" t="s">
        <v>1101</v>
      </c>
      <c r="AL591" s="531">
        <v>14.395</v>
      </c>
      <c r="AM591" s="780">
        <v>14.395</v>
      </c>
      <c r="AN591" s="532">
        <f>AM591/AL591</f>
        <v>1</v>
      </c>
      <c r="AO591" s="766" t="s">
        <v>1122</v>
      </c>
      <c r="AP591" s="766"/>
      <c r="AQ591" s="766"/>
      <c r="AR591" s="766"/>
      <c r="AS591" s="769"/>
      <c r="AT591" s="770"/>
      <c r="AU591" s="770"/>
      <c r="AV591" s="770"/>
      <c r="AW591" s="770"/>
      <c r="AX591" s="770"/>
      <c r="AY591" s="770"/>
      <c r="AZ591" s="770"/>
      <c r="BA591" s="770"/>
      <c r="BB591" s="770"/>
      <c r="BC591" s="770"/>
      <c r="BD591" s="770"/>
      <c r="BE591" s="770"/>
      <c r="BF591" s="302"/>
      <c r="BG591" s="302"/>
      <c r="BH591" s="770"/>
      <c r="BI591" s="770"/>
      <c r="BJ591" s="770"/>
      <c r="BK591" s="770" t="s">
        <v>1095</v>
      </c>
      <c r="BL591" s="770" t="s">
        <v>7722</v>
      </c>
      <c r="BM591" s="766" t="s">
        <v>1096</v>
      </c>
      <c r="BN591" s="770" t="s">
        <v>1230</v>
      </c>
      <c r="BO591" s="766" t="s">
        <v>1246</v>
      </c>
      <c r="BP591" s="1109">
        <v>14.395</v>
      </c>
      <c r="BQ591" s="773">
        <v>14.395</v>
      </c>
      <c r="BR591" s="774">
        <f t="shared" si="166"/>
        <v>1</v>
      </c>
      <c r="BS591" s="766" t="s">
        <v>1257</v>
      </c>
      <c r="BT591" s="766" t="s">
        <v>8133</v>
      </c>
      <c r="BU591" s="770" t="s">
        <v>1249</v>
      </c>
      <c r="BV591" s="770" t="s">
        <v>1247</v>
      </c>
      <c r="BW591" s="770">
        <v>2016</v>
      </c>
      <c r="BX591" s="302">
        <v>30000</v>
      </c>
      <c r="BY591" s="770" t="s">
        <v>1207</v>
      </c>
      <c r="BZ591" s="302" t="s">
        <v>2746</v>
      </c>
      <c r="CA591" s="770"/>
      <c r="CB591" s="770"/>
      <c r="CC591" s="770"/>
      <c r="CD591" s="770"/>
      <c r="CE591" s="770"/>
      <c r="CF591" s="1753"/>
      <c r="CG591" s="1754"/>
      <c r="CH591" s="770"/>
      <c r="CI591" s="770"/>
      <c r="CJ591" s="770"/>
      <c r="CK591" s="770"/>
      <c r="CL591" s="770"/>
      <c r="CM591" s="770"/>
      <c r="CN591" s="770"/>
      <c r="CO591" s="770"/>
      <c r="CP591" s="770"/>
      <c r="CQ591" s="770"/>
      <c r="CR591" s="302"/>
      <c r="CS591" s="770"/>
      <c r="CT591" s="770"/>
      <c r="CU591" s="305"/>
      <c r="CV591" s="770"/>
      <c r="CW591" s="770"/>
      <c r="CX591" s="770"/>
      <c r="CY591" s="770"/>
      <c r="CZ591" s="770"/>
      <c r="DA591" s="306"/>
      <c r="DB591" s="770"/>
      <c r="DC591" s="770"/>
      <c r="DD591" s="770"/>
      <c r="DE591" s="300"/>
      <c r="DF591" s="770"/>
      <c r="DG591" s="770"/>
      <c r="DH591" s="770"/>
      <c r="DI591" s="770"/>
      <c r="DJ591" s="770"/>
      <c r="DK591" s="770"/>
      <c r="DL591" s="770"/>
      <c r="DM591" s="770"/>
      <c r="DN591" s="322"/>
      <c r="DO591" s="770"/>
      <c r="DP591" s="770"/>
      <c r="DQ591" s="770"/>
      <c r="DR591" s="770"/>
      <c r="DS591" s="307"/>
      <c r="DT591" s="770"/>
      <c r="DU591" s="770"/>
      <c r="DV591" s="770"/>
      <c r="DW591" s="306"/>
      <c r="DX591" s="306"/>
      <c r="DY591" s="770"/>
      <c r="DZ591" s="770"/>
      <c r="EA591" s="770"/>
      <c r="EB591" s="770"/>
      <c r="EC591" s="770"/>
      <c r="ED591" s="770"/>
      <c r="EE591" s="770"/>
      <c r="EF591" s="770"/>
      <c r="EG591" s="770"/>
      <c r="EH591" s="770"/>
      <c r="EI591" s="770"/>
      <c r="EJ591" s="770"/>
      <c r="EK591" s="770"/>
      <c r="EL591" s="770"/>
      <c r="EM591" s="770"/>
      <c r="EN591" s="770"/>
      <c r="EO591" s="770"/>
      <c r="EP591" s="94"/>
      <c r="EQ591" s="770"/>
      <c r="ER591" s="770"/>
      <c r="ES591" s="770"/>
      <c r="ET591" s="770"/>
      <c r="EU591" s="770"/>
      <c r="EV591" s="770"/>
      <c r="EW591" s="770"/>
      <c r="EX591" s="770"/>
      <c r="EY591" s="770"/>
      <c r="EZ591" s="770"/>
      <c r="FA591" s="770"/>
      <c r="FB591" s="770"/>
      <c r="FC591" s="770"/>
      <c r="FD591" s="302"/>
      <c r="FE591" s="770"/>
      <c r="FF591" s="770"/>
      <c r="FG591" s="770"/>
      <c r="FH591" s="770" t="s">
        <v>478</v>
      </c>
      <c r="FI591" s="770">
        <v>1</v>
      </c>
      <c r="FJ591" s="770"/>
      <c r="FK591" s="770"/>
      <c r="FL591" s="770"/>
      <c r="FM591" s="302"/>
      <c r="FN591" s="302"/>
      <c r="FO591" s="302"/>
      <c r="FP591" s="766" t="s">
        <v>1602</v>
      </c>
      <c r="FQ591" s="766" t="s">
        <v>1660</v>
      </c>
      <c r="FR591" s="770" t="s">
        <v>1214</v>
      </c>
      <c r="FS591" s="770"/>
      <c r="FT591" s="770"/>
      <c r="FU591" s="770"/>
      <c r="FV591" s="770"/>
      <c r="FW591" s="770"/>
      <c r="FX591" s="770"/>
      <c r="FY591" s="770"/>
      <c r="FZ591" s="770"/>
      <c r="GA591" s="770"/>
      <c r="GB591" s="770" t="s">
        <v>1211</v>
      </c>
      <c r="GC591" s="308"/>
      <c r="GD591" s="297"/>
      <c r="GE591" s="770"/>
      <c r="GF591" s="302"/>
      <c r="GG591" s="302"/>
      <c r="GH591" s="712" t="s">
        <v>1791</v>
      </c>
      <c r="GI591" s="770" t="s">
        <v>2352</v>
      </c>
      <c r="GJ591" s="770" t="s">
        <v>3209</v>
      </c>
      <c r="GK591" s="770" t="s">
        <v>2345</v>
      </c>
      <c r="GL591" s="770"/>
      <c r="GM591" s="770"/>
      <c r="GN591" s="299">
        <v>150</v>
      </c>
      <c r="GO591" s="770" t="s">
        <v>2760</v>
      </c>
      <c r="GP591" s="770"/>
      <c r="GQ591" s="770" t="s">
        <v>1208</v>
      </c>
      <c r="GR591" s="770"/>
      <c r="GS591" s="770"/>
      <c r="GT591" s="770"/>
      <c r="GU591" s="770"/>
      <c r="GV591" s="770"/>
      <c r="GW591" s="770" t="s">
        <v>1207</v>
      </c>
      <c r="GX591" s="770"/>
      <c r="GY591" s="770" t="s">
        <v>1208</v>
      </c>
      <c r="GZ591" s="770"/>
      <c r="HA591" s="770" t="s">
        <v>1208</v>
      </c>
      <c r="HB591" s="770" t="s">
        <v>1208</v>
      </c>
      <c r="HC591" s="770" t="s">
        <v>1208</v>
      </c>
      <c r="HD591" s="770" t="s">
        <v>1208</v>
      </c>
      <c r="HE591" s="770" t="s">
        <v>1208</v>
      </c>
      <c r="HF591" s="770"/>
      <c r="HG591" s="770"/>
      <c r="HH591" s="770"/>
      <c r="HI591" s="770" t="s">
        <v>1214</v>
      </c>
      <c r="HJ591" s="770"/>
      <c r="HK591" s="770"/>
      <c r="HL591" s="770" t="s">
        <v>1214</v>
      </c>
      <c r="HM591" s="770"/>
      <c r="HN591" s="770"/>
      <c r="HO591" s="770"/>
      <c r="HP591" s="770"/>
      <c r="HQ591" s="770"/>
      <c r="HR591" s="770"/>
      <c r="HS591" s="770"/>
      <c r="HT591" s="770"/>
      <c r="HU591" s="770"/>
      <c r="HV591" s="770"/>
      <c r="HW591" s="770"/>
      <c r="HX591" s="770"/>
      <c r="HY591" s="770"/>
      <c r="HZ591" s="770"/>
      <c r="IA591" s="770"/>
      <c r="IB591" s="14" t="e">
        <f>IF(#REF!&gt;0,IF(#REF!&lt;=10000,"Y",""),"")</f>
        <v>#REF!</v>
      </c>
      <c r="IC591" s="770" t="s">
        <v>1207</v>
      </c>
      <c r="ID591" s="770"/>
      <c r="IE591" s="770">
        <v>2</v>
      </c>
      <c r="IF591" s="770"/>
      <c r="IG591" s="770"/>
      <c r="IH591" s="770"/>
      <c r="II591" s="770"/>
      <c r="IJ591" s="770"/>
      <c r="IK591" s="770"/>
      <c r="IL591" s="770"/>
      <c r="IM591" s="770"/>
      <c r="IN591" s="770"/>
      <c r="IO591" s="296"/>
      <c r="IP591" s="770"/>
      <c r="IQ591" s="770"/>
      <c r="IR591" s="770"/>
      <c r="IS591" s="770"/>
      <c r="IT591" s="770"/>
      <c r="IU591" s="770"/>
      <c r="IV591" s="770"/>
      <c r="IW591" s="770"/>
      <c r="IX591" s="770"/>
      <c r="IY591" s="770"/>
      <c r="IZ591" s="770"/>
      <c r="JA591" s="770"/>
      <c r="JB591" s="770"/>
      <c r="JC591" s="770"/>
      <c r="JD591" s="302"/>
      <c r="JE591" s="770"/>
      <c r="JF591" s="770"/>
      <c r="JG591" s="770"/>
      <c r="JH591" s="307"/>
      <c r="JI591" s="307"/>
      <c r="JJ591" s="770">
        <v>6</v>
      </c>
      <c r="JK591" s="1139" t="s">
        <v>4004</v>
      </c>
      <c r="JL591" s="770">
        <v>2</v>
      </c>
      <c r="JM591" s="770">
        <v>2</v>
      </c>
      <c r="JN591" s="770">
        <v>1</v>
      </c>
      <c r="JO591" s="770">
        <v>1</v>
      </c>
      <c r="JP591" s="770"/>
      <c r="JQ591" s="770"/>
      <c r="JR591" s="770"/>
      <c r="JS591" s="770"/>
      <c r="JT591" s="766">
        <f t="shared" si="167"/>
        <v>3</v>
      </c>
      <c r="JU591" s="766">
        <f t="shared" si="167"/>
        <v>3</v>
      </c>
      <c r="JV591" s="712" t="str">
        <f>IF(JT591=KJ591,"ok","male")</f>
        <v>ok</v>
      </c>
      <c r="JW591" s="712" t="str">
        <f>IF(JU591=KK591,"ok","female")</f>
        <v>ok</v>
      </c>
      <c r="JX591" s="770"/>
      <c r="JY591" s="770"/>
      <c r="JZ591" s="770">
        <v>2</v>
      </c>
      <c r="KA591" s="770">
        <v>2</v>
      </c>
      <c r="KB591" s="770">
        <v>1</v>
      </c>
      <c r="KC591" s="770"/>
      <c r="KD591" s="770"/>
      <c r="KE591" s="770">
        <v>1</v>
      </c>
      <c r="KF591" s="770"/>
      <c r="KG591" s="770"/>
      <c r="KH591" s="770"/>
      <c r="KI591" s="770"/>
      <c r="KJ591" s="770">
        <f t="shared" si="168"/>
        <v>3</v>
      </c>
      <c r="KK591" s="770">
        <f t="shared" si="168"/>
        <v>3</v>
      </c>
      <c r="KL591" s="712" t="str">
        <f>IF(KJ591=LN591,"ok","male")</f>
        <v>ok</v>
      </c>
      <c r="KM591" s="712" t="str">
        <f>IF(KK591=LO591,"ok","female")</f>
        <v>ok</v>
      </c>
      <c r="KN591" s="770" t="s">
        <v>783</v>
      </c>
      <c r="KO591" s="770"/>
      <c r="KP591" s="770">
        <v>1</v>
      </c>
      <c r="KQ591" s="770"/>
      <c r="KR591" s="770"/>
      <c r="KS591" s="770"/>
      <c r="KT591" s="770">
        <v>1</v>
      </c>
      <c r="KU591" s="770">
        <v>1</v>
      </c>
      <c r="KV591" s="770"/>
      <c r="KW591" s="770"/>
      <c r="KX591" s="770">
        <v>1</v>
      </c>
      <c r="KY591" s="770">
        <v>1</v>
      </c>
      <c r="KZ591" s="770"/>
      <c r="LA591" s="770">
        <v>1</v>
      </c>
      <c r="LB591" s="770"/>
      <c r="LC591" s="770"/>
      <c r="LD591" s="770"/>
      <c r="LE591" s="770"/>
      <c r="LF591" s="770"/>
      <c r="LG591" s="770"/>
      <c r="LH591" s="770"/>
      <c r="LI591" s="770"/>
      <c r="LJ591" s="770"/>
      <c r="LK591" s="770"/>
      <c r="LL591" s="770"/>
      <c r="LM591" s="770"/>
      <c r="LN591" s="766">
        <f t="shared" si="159"/>
        <v>3</v>
      </c>
      <c r="LO591" s="766">
        <f t="shared" si="159"/>
        <v>3</v>
      </c>
      <c r="LP591" s="770">
        <v>1</v>
      </c>
      <c r="LQ591" s="770"/>
      <c r="LR591" s="770"/>
      <c r="LS591" s="770">
        <v>1</v>
      </c>
      <c r="LT591" s="712" t="str">
        <f>IF(LQ591=SUM(LU591:LW591),"OK","REV")</f>
        <v>OK</v>
      </c>
      <c r="LU591" s="770"/>
      <c r="LV591" s="770"/>
      <c r="LW591" s="770"/>
      <c r="LX591" s="769">
        <v>1</v>
      </c>
      <c r="LY591" s="766" t="str">
        <f t="shared" si="160"/>
        <v>within the BRGY</v>
      </c>
      <c r="LZ591" s="1728"/>
      <c r="MA591" s="1709"/>
      <c r="MB591" s="1709">
        <f>16*30</f>
        <v>480</v>
      </c>
      <c r="MC591" s="1679">
        <f t="shared" si="158"/>
        <v>480</v>
      </c>
      <c r="MD591" s="1728"/>
      <c r="ME591" s="1709"/>
      <c r="MF591" s="1709">
        <f>500*30</f>
        <v>15000</v>
      </c>
      <c r="MG591" s="1680">
        <f>SUM(MD591:MF591)</f>
        <v>15000</v>
      </c>
      <c r="MH591" s="770" t="s">
        <v>13782</v>
      </c>
      <c r="MI591" s="302">
        <f>400*30</f>
        <v>12000</v>
      </c>
      <c r="MJ591" s="302">
        <f>44*30</f>
        <v>1320</v>
      </c>
      <c r="MK591" s="302">
        <v>10000</v>
      </c>
      <c r="ML591" s="302"/>
      <c r="MM591" s="302">
        <v>1500</v>
      </c>
      <c r="MN591" s="12"/>
      <c r="MO591" s="302">
        <v>100</v>
      </c>
      <c r="MP591" s="302">
        <v>500</v>
      </c>
      <c r="MQ591" s="302">
        <v>800</v>
      </c>
      <c r="MR591" s="302">
        <v>200</v>
      </c>
      <c r="MS591" s="302"/>
      <c r="MT591" s="302"/>
      <c r="MU591" s="302"/>
      <c r="MV591" s="302"/>
      <c r="MW591" s="302"/>
      <c r="MX591" s="302"/>
      <c r="MY591" s="1682">
        <f t="shared" si="165"/>
        <v>26420</v>
      </c>
      <c r="MZ591" s="770" t="s">
        <v>13370</v>
      </c>
      <c r="NA591" s="770" t="s">
        <v>13005</v>
      </c>
      <c r="NB591" s="770" t="s">
        <v>13016</v>
      </c>
      <c r="NC591" s="770" t="s">
        <v>13602</v>
      </c>
      <c r="ND591" s="770">
        <v>0</v>
      </c>
      <c r="NE591" s="770">
        <v>0</v>
      </c>
      <c r="NF591" s="770">
        <v>0</v>
      </c>
      <c r="NG591" s="770">
        <v>2</v>
      </c>
      <c r="NH591" s="770">
        <v>1</v>
      </c>
      <c r="NI591" s="770">
        <v>0</v>
      </c>
      <c r="NJ591" s="770">
        <v>0</v>
      </c>
      <c r="NK591" s="770">
        <v>0</v>
      </c>
      <c r="NL591" s="770">
        <v>0</v>
      </c>
      <c r="NM591" s="770">
        <v>0</v>
      </c>
      <c r="NN591" s="770">
        <v>0</v>
      </c>
      <c r="NO591" s="770">
        <v>0</v>
      </c>
      <c r="NP591" s="770">
        <v>0</v>
      </c>
      <c r="NQ591" s="770">
        <v>0</v>
      </c>
      <c r="NR591" s="770">
        <v>0</v>
      </c>
      <c r="NS591" s="770">
        <v>0</v>
      </c>
      <c r="NT591" s="770">
        <v>0</v>
      </c>
      <c r="NU591" s="770">
        <v>0</v>
      </c>
      <c r="NV591" s="770">
        <v>0</v>
      </c>
      <c r="NW591" s="770">
        <v>0</v>
      </c>
      <c r="NX591" s="770">
        <v>0</v>
      </c>
      <c r="NY591" s="770" t="s">
        <v>1208</v>
      </c>
      <c r="NZ591" s="770" t="s">
        <v>1208</v>
      </c>
      <c r="OA591" s="770" t="s">
        <v>1208</v>
      </c>
      <c r="OB591" s="770" t="s">
        <v>1208</v>
      </c>
      <c r="OC591" s="770" t="s">
        <v>1208</v>
      </c>
      <c r="OD591" s="770" t="s">
        <v>1208</v>
      </c>
      <c r="OE591" s="770"/>
      <c r="OF591" s="770"/>
      <c r="OG591" s="770"/>
      <c r="OH591" s="770"/>
      <c r="OI591" s="770"/>
      <c r="OJ591" s="770"/>
      <c r="OK591" s="770"/>
      <c r="OL591" s="770"/>
      <c r="OM591" s="770"/>
      <c r="ON591" s="770"/>
      <c r="OO591" s="770"/>
      <c r="OP591" s="770"/>
      <c r="OQ591" s="770"/>
      <c r="OR591" s="770"/>
      <c r="OS591" s="770"/>
      <c r="OT591" s="770"/>
      <c r="OU591" s="770"/>
      <c r="OV591" s="770"/>
      <c r="OW591" s="770"/>
      <c r="OX591" s="770"/>
      <c r="OY591" s="770"/>
      <c r="OZ591" s="770"/>
      <c r="PA591" s="770"/>
      <c r="PB591" s="770"/>
      <c r="PC591" s="770"/>
      <c r="PD591" s="770"/>
      <c r="PE591" s="770"/>
      <c r="PF591" s="770" t="s">
        <v>1208</v>
      </c>
      <c r="PG591" s="770"/>
      <c r="PH591" s="770"/>
      <c r="PI591" s="770"/>
      <c r="PJ591" s="770"/>
      <c r="PK591" s="770" t="s">
        <v>1208</v>
      </c>
      <c r="PL591" s="770"/>
      <c r="PM591" s="770"/>
      <c r="PN591" s="770"/>
      <c r="PO591" s="770"/>
      <c r="PP591" s="770"/>
      <c r="PQ591" s="770"/>
      <c r="PR591" s="770"/>
      <c r="PS591" s="770" t="s">
        <v>1208</v>
      </c>
      <c r="PT591" s="770"/>
      <c r="PU591" s="770"/>
      <c r="PV591" s="770"/>
      <c r="PW591" s="770"/>
      <c r="PX591" s="770"/>
      <c r="PY591" s="770"/>
      <c r="PZ591" s="770"/>
      <c r="QA591" s="770"/>
      <c r="QB591" s="770"/>
      <c r="QC591" s="770"/>
      <c r="QD591" s="770"/>
      <c r="QE591" s="770"/>
      <c r="QF591" s="770"/>
      <c r="QG591" s="770"/>
      <c r="QH591" s="770"/>
      <c r="QI591" s="770"/>
      <c r="QJ591" s="770"/>
      <c r="QK591" s="770"/>
      <c r="QL591" s="770"/>
      <c r="QM591" s="770"/>
      <c r="QN591" s="770"/>
      <c r="QO591" s="770"/>
      <c r="QP591" s="770"/>
      <c r="QQ591" s="770"/>
      <c r="QR591" s="770"/>
      <c r="QS591" s="770"/>
      <c r="QT591" s="770"/>
      <c r="QU591" s="770"/>
      <c r="QV591" s="770"/>
      <c r="QW591" s="770"/>
      <c r="QX591" s="770"/>
      <c r="QY591" s="770"/>
      <c r="QZ591" s="770"/>
      <c r="RA591" s="770"/>
      <c r="RB591" s="770" t="s">
        <v>1207</v>
      </c>
      <c r="RC591" s="770">
        <v>2016</v>
      </c>
      <c r="RD591" s="770" t="s">
        <v>13582</v>
      </c>
      <c r="RE591" s="770" t="s">
        <v>12999</v>
      </c>
      <c r="RF591" s="304">
        <v>0.5</v>
      </c>
      <c r="RG591" s="770" t="s">
        <v>13047</v>
      </c>
      <c r="RH591" s="302">
        <v>5000</v>
      </c>
      <c r="RI591" s="770">
        <v>48</v>
      </c>
      <c r="RJ591" s="770" t="s">
        <v>4004</v>
      </c>
      <c r="RK591" s="770" t="s">
        <v>13556</v>
      </c>
      <c r="RL591" s="1710">
        <v>42832</v>
      </c>
      <c r="RM591" s="12"/>
      <c r="RN591" s="1711"/>
      <c r="RO591" s="132" t="s">
        <v>3999</v>
      </c>
      <c r="RP591" s="11"/>
      <c r="RQ591" s="11"/>
      <c r="RR591" s="17" t="s">
        <v>7421</v>
      </c>
      <c r="RS591" s="1139" t="s">
        <v>12980</v>
      </c>
      <c r="RT591" s="11"/>
      <c r="RU591" s="11"/>
      <c r="RV591" s="771" t="s">
        <v>7419</v>
      </c>
      <c r="RW591" s="11" t="s">
        <v>7401</v>
      </c>
      <c r="RX591" s="11" t="s">
        <v>3979</v>
      </c>
      <c r="RY591" s="11"/>
      <c r="RZ591" s="11" t="s">
        <v>1101</v>
      </c>
      <c r="SA591" s="771"/>
      <c r="SB591" s="11"/>
      <c r="SC591" s="11"/>
    </row>
    <row r="592" spans="1:497" ht="12.75" hidden="1" customHeight="1">
      <c r="A592" s="343" t="s">
        <v>7419</v>
      </c>
      <c r="B592" s="752" t="s">
        <v>7724</v>
      </c>
      <c r="C592" s="132" t="s">
        <v>4005</v>
      </c>
      <c r="D592" s="94" t="s">
        <v>4009</v>
      </c>
      <c r="E592" s="766" t="s">
        <v>3981</v>
      </c>
      <c r="F592" s="770" t="s">
        <v>20</v>
      </c>
      <c r="G592" s="770" t="s">
        <v>18</v>
      </c>
      <c r="H592" s="770"/>
      <c r="I592" s="295" t="s">
        <v>4010</v>
      </c>
      <c r="J592" s="94" t="s">
        <v>4011</v>
      </c>
      <c r="K592" s="766" t="s">
        <v>4002</v>
      </c>
      <c r="L592" s="766" t="s">
        <v>3983</v>
      </c>
      <c r="M592" s="770" t="s">
        <v>1238</v>
      </c>
      <c r="N592" s="770"/>
      <c r="O592" s="770" t="s">
        <v>3844</v>
      </c>
      <c r="P592" s="94" t="s">
        <v>4012</v>
      </c>
      <c r="Q592" s="1088">
        <v>28222</v>
      </c>
      <c r="R592" s="297">
        <v>40</v>
      </c>
      <c r="S592" s="770" t="s">
        <v>10</v>
      </c>
      <c r="T592" s="770"/>
      <c r="U592" s="295" t="s">
        <v>4013</v>
      </c>
      <c r="V592" s="12" t="s">
        <v>722</v>
      </c>
      <c r="W592" s="12"/>
      <c r="X592" s="12"/>
      <c r="Y592" s="770" t="s">
        <v>3981</v>
      </c>
      <c r="Z592" s="770" t="s">
        <v>708</v>
      </c>
      <c r="AA592" s="770" t="s">
        <v>781</v>
      </c>
      <c r="AB592" s="12" t="s">
        <v>710</v>
      </c>
      <c r="AC592" s="770" t="s">
        <v>724</v>
      </c>
      <c r="AD592" s="770" t="s">
        <v>711</v>
      </c>
      <c r="AE592" s="770"/>
      <c r="AF592" s="770" t="s">
        <v>712</v>
      </c>
      <c r="AG592" s="766" t="s">
        <v>1095</v>
      </c>
      <c r="AH592" s="766" t="s">
        <v>1096</v>
      </c>
      <c r="AI592" s="770" t="s">
        <v>3294</v>
      </c>
      <c r="AJ592" s="770"/>
      <c r="AK592" s="1828" t="s">
        <v>1097</v>
      </c>
      <c r="AL592" s="531"/>
      <c r="AM592" s="780"/>
      <c r="AN592" s="532"/>
      <c r="AO592" s="766" t="s">
        <v>1109</v>
      </c>
      <c r="AP592" s="766" t="s">
        <v>5364</v>
      </c>
      <c r="AQ592" s="766" t="s">
        <v>7418</v>
      </c>
      <c r="AR592" s="766"/>
      <c r="AS592" s="769"/>
      <c r="AT592" s="770"/>
      <c r="AU592" s="770"/>
      <c r="AV592" s="770"/>
      <c r="AW592" s="770"/>
      <c r="AX592" s="770"/>
      <c r="AY592" s="770"/>
      <c r="AZ592" s="770"/>
      <c r="BA592" s="770"/>
      <c r="BB592" s="770"/>
      <c r="BC592" s="770"/>
      <c r="BD592" s="770"/>
      <c r="BE592" s="770"/>
      <c r="BF592" s="302"/>
      <c r="BG592" s="302"/>
      <c r="BH592" s="770"/>
      <c r="BI592" s="770"/>
      <c r="BJ592" s="770"/>
      <c r="BK592" s="770" t="s">
        <v>1095</v>
      </c>
      <c r="BL592" s="770" t="s">
        <v>4014</v>
      </c>
      <c r="BM592" s="766" t="s">
        <v>1096</v>
      </c>
      <c r="BN592" s="770" t="s">
        <v>1230</v>
      </c>
      <c r="BO592" s="770" t="s">
        <v>1333</v>
      </c>
      <c r="BP592" s="765">
        <v>22.4</v>
      </c>
      <c r="BQ592" s="773">
        <v>3.6</v>
      </c>
      <c r="BR592" s="774">
        <f t="shared" si="166"/>
        <v>0.16071428571428573</v>
      </c>
      <c r="BS592" s="766" t="s">
        <v>1242</v>
      </c>
      <c r="BT592" s="770" t="s">
        <v>1326</v>
      </c>
      <c r="BU592" s="766" t="s">
        <v>1264</v>
      </c>
      <c r="BV592" s="770" t="s">
        <v>1247</v>
      </c>
      <c r="BW592" s="770">
        <v>2012</v>
      </c>
      <c r="BX592" s="302"/>
      <c r="BY592" s="770"/>
      <c r="BZ592" s="302"/>
      <c r="CA592" s="770"/>
      <c r="CB592" s="770"/>
      <c r="CC592" s="770"/>
      <c r="CD592" s="770"/>
      <c r="CE592" s="770"/>
      <c r="CF592" s="1753"/>
      <c r="CG592" s="1754"/>
      <c r="CH592" s="770"/>
      <c r="CI592" s="770"/>
      <c r="CJ592" s="770"/>
      <c r="CK592" s="770"/>
      <c r="CL592" s="770"/>
      <c r="CM592" s="770"/>
      <c r="CN592" s="770"/>
      <c r="CO592" s="770"/>
      <c r="CP592" s="770"/>
      <c r="CQ592" s="770"/>
      <c r="CR592" s="302"/>
      <c r="CS592" s="770"/>
      <c r="CT592" s="770"/>
      <c r="CU592" s="305"/>
      <c r="CV592" s="770"/>
      <c r="CW592" s="770"/>
      <c r="CX592" s="770"/>
      <c r="CY592" s="770"/>
      <c r="CZ592" s="770"/>
      <c r="DA592" s="306"/>
      <c r="DB592" s="770"/>
      <c r="DC592" s="770"/>
      <c r="DD592" s="770"/>
      <c r="DE592" s="300"/>
      <c r="DF592" s="770"/>
      <c r="DG592" s="770"/>
      <c r="DH592" s="770"/>
      <c r="DI592" s="770"/>
      <c r="DJ592" s="770"/>
      <c r="DK592" s="770"/>
      <c r="DL592" s="770"/>
      <c r="DM592" s="770"/>
      <c r="DN592" s="322"/>
      <c r="DO592" s="770"/>
      <c r="DP592" s="770"/>
      <c r="DQ592" s="770"/>
      <c r="DR592" s="770"/>
      <c r="DS592" s="307"/>
      <c r="DT592" s="770"/>
      <c r="DU592" s="770"/>
      <c r="DV592" s="770"/>
      <c r="DW592" s="306"/>
      <c r="DX592" s="306"/>
      <c r="DY592" s="770"/>
      <c r="DZ592" s="770"/>
      <c r="EA592" s="770"/>
      <c r="EB592" s="770"/>
      <c r="EC592" s="770"/>
      <c r="ED592" s="770"/>
      <c r="EE592" s="770"/>
      <c r="EF592" s="770"/>
      <c r="EG592" s="770"/>
      <c r="EH592" s="770"/>
      <c r="EI592" s="770"/>
      <c r="EJ592" s="770"/>
      <c r="EK592" s="770"/>
      <c r="EL592" s="770"/>
      <c r="EM592" s="770"/>
      <c r="EN592" s="770"/>
      <c r="EO592" s="770"/>
      <c r="EP592" s="94"/>
      <c r="EQ592" s="770"/>
      <c r="ER592" s="770"/>
      <c r="ES592" s="770"/>
      <c r="ET592" s="770"/>
      <c r="EU592" s="770"/>
      <c r="EV592" s="770"/>
      <c r="EW592" s="770"/>
      <c r="EX592" s="770"/>
      <c r="EY592" s="770"/>
      <c r="EZ592" s="770"/>
      <c r="FA592" s="770"/>
      <c r="FB592" s="770"/>
      <c r="FC592" s="770"/>
      <c r="FD592" s="302"/>
      <c r="FE592" s="770"/>
      <c r="FF592" s="770"/>
      <c r="FG592" s="770"/>
      <c r="FH592" s="770" t="s">
        <v>478</v>
      </c>
      <c r="FI592" s="770">
        <v>1</v>
      </c>
      <c r="FJ592" s="770"/>
      <c r="FK592" s="770"/>
      <c r="FL592" s="770"/>
      <c r="FM592" s="302"/>
      <c r="FN592" s="302"/>
      <c r="FO592" s="302"/>
      <c r="FP592" s="770" t="s">
        <v>1602</v>
      </c>
      <c r="FQ592" s="770" t="s">
        <v>1660</v>
      </c>
      <c r="FR592" s="770" t="s">
        <v>1207</v>
      </c>
      <c r="FS592" s="770"/>
      <c r="FT592" s="770"/>
      <c r="FU592" s="770"/>
      <c r="FV592" s="770"/>
      <c r="FW592" s="770"/>
      <c r="FX592" s="770" t="s">
        <v>1208</v>
      </c>
      <c r="FY592" s="770"/>
      <c r="FZ592" s="770" t="s">
        <v>1208</v>
      </c>
      <c r="GA592" s="770"/>
      <c r="GB592" s="770"/>
      <c r="GC592" s="308" t="s">
        <v>4007</v>
      </c>
      <c r="GD592" s="297">
        <v>2013</v>
      </c>
      <c r="GE592" s="770" t="s">
        <v>1214</v>
      </c>
      <c r="GF592" s="302"/>
      <c r="GG592" s="302"/>
      <c r="GH592" s="770" t="s">
        <v>1791</v>
      </c>
      <c r="GI592" s="770" t="s">
        <v>1008</v>
      </c>
      <c r="GJ592" s="770"/>
      <c r="GK592" s="770" t="s">
        <v>2345</v>
      </c>
      <c r="GL592" s="770"/>
      <c r="GM592" s="770" t="s">
        <v>2384</v>
      </c>
      <c r="GN592" s="299"/>
      <c r="GO592" s="770" t="s">
        <v>4015</v>
      </c>
      <c r="GP592" s="770" t="s">
        <v>1208</v>
      </c>
      <c r="GQ592" s="770" t="s">
        <v>1208</v>
      </c>
      <c r="GR592" s="770" t="s">
        <v>1208</v>
      </c>
      <c r="GS592" s="770" t="s">
        <v>1208</v>
      </c>
      <c r="GT592" s="770" t="s">
        <v>1208</v>
      </c>
      <c r="GU592" s="770"/>
      <c r="GV592" s="770"/>
      <c r="GW592" s="770" t="s">
        <v>1207</v>
      </c>
      <c r="GX592" s="770"/>
      <c r="GY592" s="770" t="s">
        <v>1208</v>
      </c>
      <c r="GZ592" s="770" t="s">
        <v>1208</v>
      </c>
      <c r="HA592" s="770" t="s">
        <v>1208</v>
      </c>
      <c r="HB592" s="770" t="s">
        <v>1208</v>
      </c>
      <c r="HC592" s="770" t="s">
        <v>1208</v>
      </c>
      <c r="HD592" s="770" t="s">
        <v>1208</v>
      </c>
      <c r="HE592" s="770" t="s">
        <v>1208</v>
      </c>
      <c r="HF592" s="770"/>
      <c r="HG592" s="770"/>
      <c r="HH592" s="770"/>
      <c r="HI592" s="770" t="s">
        <v>1207</v>
      </c>
      <c r="HJ592" s="770" t="s">
        <v>2384</v>
      </c>
      <c r="HK592" s="770" t="s">
        <v>3981</v>
      </c>
      <c r="HL592" s="770" t="s">
        <v>1214</v>
      </c>
      <c r="HM592" s="770"/>
      <c r="HN592" s="770"/>
      <c r="HO592" s="770"/>
      <c r="HP592" s="770"/>
      <c r="HQ592" s="770"/>
      <c r="HR592" s="770"/>
      <c r="HS592" s="770"/>
      <c r="HT592" s="770"/>
      <c r="HU592" s="770"/>
      <c r="HV592" s="770"/>
      <c r="HW592" s="770"/>
      <c r="HX592" s="770"/>
      <c r="HY592" s="770"/>
      <c r="HZ592" s="770"/>
      <c r="IA592" s="770"/>
      <c r="IB592" s="770"/>
      <c r="IC592" s="770"/>
      <c r="ID592" s="770"/>
      <c r="IE592" s="770"/>
      <c r="IF592" s="770"/>
      <c r="IG592" s="770"/>
      <c r="IH592" s="770"/>
      <c r="II592" s="770"/>
      <c r="IJ592" s="770"/>
      <c r="IK592" s="770"/>
      <c r="IL592" s="770"/>
      <c r="IM592" s="770"/>
      <c r="IN592" s="770"/>
      <c r="IO592" s="296"/>
      <c r="IP592" s="770"/>
      <c r="IQ592" s="770"/>
      <c r="IR592" s="770"/>
      <c r="IS592" s="770"/>
      <c r="IT592" s="770"/>
      <c r="IU592" s="770"/>
      <c r="IV592" s="770"/>
      <c r="IW592" s="770"/>
      <c r="IX592" s="770"/>
      <c r="IY592" s="770"/>
      <c r="IZ592" s="770"/>
      <c r="JA592" s="770"/>
      <c r="JB592" s="770"/>
      <c r="JC592" s="770"/>
      <c r="JD592" s="302"/>
      <c r="JE592" s="770"/>
      <c r="JF592" s="770"/>
      <c r="JG592" s="770"/>
      <c r="JH592" s="307"/>
      <c r="JI592" s="307"/>
      <c r="JJ592" s="770">
        <v>7</v>
      </c>
      <c r="JK592" s="770" t="s">
        <v>4006</v>
      </c>
      <c r="JL592" s="770">
        <v>2</v>
      </c>
      <c r="JM592" s="770">
        <v>2</v>
      </c>
      <c r="JN592" s="770">
        <v>1</v>
      </c>
      <c r="JO592" s="770">
        <v>2</v>
      </c>
      <c r="JP592" s="770"/>
      <c r="JQ592" s="770"/>
      <c r="JR592" s="770"/>
      <c r="JS592" s="770"/>
      <c r="JT592" s="766">
        <f t="shared" si="167"/>
        <v>3</v>
      </c>
      <c r="JU592" s="766">
        <f t="shared" si="167"/>
        <v>4</v>
      </c>
      <c r="JV592" s="766"/>
      <c r="JW592" s="766"/>
      <c r="JX592" s="770"/>
      <c r="JY592" s="770"/>
      <c r="JZ592" s="770">
        <v>2</v>
      </c>
      <c r="KA592" s="770">
        <v>2</v>
      </c>
      <c r="KB592" s="770"/>
      <c r="KC592" s="770"/>
      <c r="KD592" s="770">
        <v>1</v>
      </c>
      <c r="KE592" s="770">
        <v>2</v>
      </c>
      <c r="KF592" s="770"/>
      <c r="KG592" s="770"/>
      <c r="KH592" s="770"/>
      <c r="KI592" s="770"/>
      <c r="KJ592" s="770">
        <f t="shared" si="168"/>
        <v>3</v>
      </c>
      <c r="KK592" s="770">
        <f t="shared" si="168"/>
        <v>4</v>
      </c>
      <c r="KL592" s="770"/>
      <c r="KM592" s="770"/>
      <c r="KN592" s="770" t="s">
        <v>722</v>
      </c>
      <c r="KO592" s="770"/>
      <c r="KP592" s="770"/>
      <c r="KQ592" s="770"/>
      <c r="KR592" s="770"/>
      <c r="KS592" s="770"/>
      <c r="KT592" s="770">
        <v>2</v>
      </c>
      <c r="KU592" s="770"/>
      <c r="KV592" s="770"/>
      <c r="KW592" s="770">
        <v>2</v>
      </c>
      <c r="KX592" s="770"/>
      <c r="KY592" s="770"/>
      <c r="KZ592" s="770"/>
      <c r="LA592" s="770"/>
      <c r="LB592" s="770"/>
      <c r="LC592" s="770">
        <v>2</v>
      </c>
      <c r="LD592" s="770">
        <v>1</v>
      </c>
      <c r="LE592" s="770"/>
      <c r="LF592" s="770"/>
      <c r="LG592" s="770"/>
      <c r="LH592" s="770"/>
      <c r="LI592" s="770"/>
      <c r="LJ592" s="770"/>
      <c r="LK592" s="770"/>
      <c r="LL592" s="770"/>
      <c r="LM592" s="770"/>
      <c r="LN592" s="766">
        <f t="shared" si="159"/>
        <v>3</v>
      </c>
      <c r="LO592" s="766">
        <f t="shared" si="159"/>
        <v>4</v>
      </c>
      <c r="LP592" s="770">
        <v>2</v>
      </c>
      <c r="LQ592" s="770">
        <v>1</v>
      </c>
      <c r="LR592" s="770"/>
      <c r="LS592" s="770">
        <v>1</v>
      </c>
      <c r="LT592" s="770"/>
      <c r="LU592" s="770">
        <v>1</v>
      </c>
      <c r="LV592" s="770"/>
      <c r="LW592" s="770"/>
      <c r="LX592" s="769">
        <v>3</v>
      </c>
      <c r="LY592" s="766" t="str">
        <f t="shared" si="160"/>
        <v>within the PROVINCE</v>
      </c>
      <c r="LZ592" s="1728">
        <v>960</v>
      </c>
      <c r="MA592" s="1709"/>
      <c r="MB592" s="1709"/>
      <c r="MC592" s="1679">
        <f t="shared" si="158"/>
        <v>960</v>
      </c>
      <c r="MD592" s="1728">
        <v>12000</v>
      </c>
      <c r="ME592" s="1709"/>
      <c r="MF592" s="1709">
        <v>5000</v>
      </c>
      <c r="MG592" s="1680">
        <f t="shared" si="164"/>
        <v>17000</v>
      </c>
      <c r="MH592" s="770" t="s">
        <v>4008</v>
      </c>
      <c r="MI592" s="302">
        <v>6000</v>
      </c>
      <c r="MJ592" s="302">
        <v>1500</v>
      </c>
      <c r="MK592" s="302">
        <v>1000</v>
      </c>
      <c r="ML592" s="302">
        <v>1000</v>
      </c>
      <c r="MM592" s="302">
        <v>5000</v>
      </c>
      <c r="MN592" s="12"/>
      <c r="MO592" s="302">
        <v>100</v>
      </c>
      <c r="MP592" s="302">
        <v>1000</v>
      </c>
      <c r="MQ592" s="302">
        <v>400</v>
      </c>
      <c r="MR592" s="302">
        <v>400</v>
      </c>
      <c r="MS592" s="302">
        <v>1000</v>
      </c>
      <c r="MT592" s="302"/>
      <c r="MU592" s="302"/>
      <c r="MV592" s="302"/>
      <c r="MW592" s="302"/>
      <c r="MX592" s="302"/>
      <c r="MY592" s="1682">
        <f t="shared" si="165"/>
        <v>17400</v>
      </c>
      <c r="MZ592" s="770" t="s">
        <v>13395</v>
      </c>
      <c r="NA592" s="770" t="s">
        <v>13005</v>
      </c>
      <c r="NB592" s="770" t="s">
        <v>13016</v>
      </c>
      <c r="NC592" s="770" t="s">
        <v>13621</v>
      </c>
      <c r="ND592" s="770">
        <v>0</v>
      </c>
      <c r="NE592" s="770">
        <v>0</v>
      </c>
      <c r="NF592" s="770">
        <v>0</v>
      </c>
      <c r="NG592" s="770">
        <v>1</v>
      </c>
      <c r="NH592" s="770">
        <v>1</v>
      </c>
      <c r="NI592" s="770">
        <v>0</v>
      </c>
      <c r="NJ592" s="770">
        <v>1</v>
      </c>
      <c r="NK592" s="770">
        <v>0</v>
      </c>
      <c r="NL592" s="770">
        <v>0</v>
      </c>
      <c r="NM592" s="770">
        <v>0</v>
      </c>
      <c r="NN592" s="770">
        <v>0</v>
      </c>
      <c r="NO592" s="770">
        <v>0</v>
      </c>
      <c r="NP592" s="770">
        <v>0</v>
      </c>
      <c r="NQ592" s="770">
        <v>0</v>
      </c>
      <c r="NR592" s="770">
        <v>0</v>
      </c>
      <c r="NS592" s="770">
        <v>0</v>
      </c>
      <c r="NT592" s="770">
        <v>0</v>
      </c>
      <c r="NU592" s="770">
        <v>0</v>
      </c>
      <c r="NV592" s="770">
        <v>0</v>
      </c>
      <c r="NW592" s="770">
        <v>0</v>
      </c>
      <c r="NX592" s="770">
        <v>0</v>
      </c>
      <c r="NY592" s="770"/>
      <c r="NZ592" s="770" t="s">
        <v>1208</v>
      </c>
      <c r="OA592" s="770" t="s">
        <v>1208</v>
      </c>
      <c r="OB592" s="770" t="s">
        <v>1208</v>
      </c>
      <c r="OC592" s="770" t="s">
        <v>1208</v>
      </c>
      <c r="OD592" s="770"/>
      <c r="OE592" s="770"/>
      <c r="OF592" s="770"/>
      <c r="OG592" s="770"/>
      <c r="OH592" s="770"/>
      <c r="OI592" s="770"/>
      <c r="OJ592" s="770"/>
      <c r="OK592" s="770"/>
      <c r="OL592" s="770"/>
      <c r="OM592" s="770"/>
      <c r="ON592" s="770"/>
      <c r="OO592" s="770"/>
      <c r="OP592" s="770"/>
      <c r="OQ592" s="770"/>
      <c r="OR592" s="770"/>
      <c r="OS592" s="770"/>
      <c r="OT592" s="770"/>
      <c r="OU592" s="770"/>
      <c r="OV592" s="770"/>
      <c r="OW592" s="770"/>
      <c r="OX592" s="770"/>
      <c r="OY592" s="770"/>
      <c r="OZ592" s="770"/>
      <c r="PA592" s="770"/>
      <c r="PB592" s="770"/>
      <c r="PC592" s="770"/>
      <c r="PD592" s="770"/>
      <c r="PE592" s="770"/>
      <c r="PF592" s="770"/>
      <c r="PG592" s="770"/>
      <c r="PH592" s="770"/>
      <c r="PI592" s="770"/>
      <c r="PJ592" s="770"/>
      <c r="PK592" s="770"/>
      <c r="PL592" s="770"/>
      <c r="PM592" s="770"/>
      <c r="PN592" s="770"/>
      <c r="PO592" s="770"/>
      <c r="PP592" s="770"/>
      <c r="PQ592" s="770"/>
      <c r="PR592" s="770"/>
      <c r="PS592" s="770"/>
      <c r="PT592" s="770"/>
      <c r="PU592" s="770"/>
      <c r="PV592" s="770"/>
      <c r="PW592" s="770"/>
      <c r="PX592" s="770"/>
      <c r="PY592" s="770"/>
      <c r="PZ592" s="770"/>
      <c r="QA592" s="770"/>
      <c r="QB592" s="770"/>
      <c r="QC592" s="770"/>
      <c r="QD592" s="770"/>
      <c r="QE592" s="770"/>
      <c r="QF592" s="770"/>
      <c r="QG592" s="770"/>
      <c r="QH592" s="770"/>
      <c r="QI592" s="770"/>
      <c r="QJ592" s="770"/>
      <c r="QK592" s="770"/>
      <c r="QL592" s="770"/>
      <c r="QM592" s="770"/>
      <c r="QN592" s="770"/>
      <c r="QO592" s="770"/>
      <c r="QP592" s="770"/>
      <c r="QQ592" s="770"/>
      <c r="QR592" s="770"/>
      <c r="QS592" s="770"/>
      <c r="QT592" s="770"/>
      <c r="QU592" s="770"/>
      <c r="QV592" s="770"/>
      <c r="QW592" s="770"/>
      <c r="QX592" s="770"/>
      <c r="QY592" s="770"/>
      <c r="QZ592" s="770"/>
      <c r="RA592" s="770"/>
      <c r="RB592" s="770" t="s">
        <v>1214</v>
      </c>
      <c r="RC592" s="770"/>
      <c r="RD592" s="770"/>
      <c r="RE592" s="770"/>
      <c r="RF592" s="304"/>
      <c r="RG592" s="770"/>
      <c r="RH592" s="302"/>
      <c r="RI592" s="770"/>
      <c r="RJ592" s="770" t="s">
        <v>13783</v>
      </c>
      <c r="RK592" s="770" t="s">
        <v>13550</v>
      </c>
      <c r="RL592" s="1710">
        <v>42832</v>
      </c>
      <c r="RM592" s="12"/>
      <c r="RN592" s="1711"/>
      <c r="RO592" s="132" t="s">
        <v>4005</v>
      </c>
      <c r="RP592" s="11"/>
      <c r="RQ592" s="11"/>
      <c r="RR592" s="17"/>
      <c r="RS592" s="767"/>
      <c r="RT592" s="11"/>
      <c r="RU592" s="11"/>
      <c r="RV592" s="771" t="s">
        <v>7421</v>
      </c>
      <c r="RW592" s="11" t="s">
        <v>7822</v>
      </c>
      <c r="RX592" s="11" t="s">
        <v>3987</v>
      </c>
      <c r="RY592" s="11"/>
      <c r="RZ592" s="11" t="s">
        <v>1101</v>
      </c>
      <c r="SA592" s="771"/>
      <c r="SB592" s="11"/>
      <c r="SC592" s="11"/>
    </row>
    <row r="593" spans="1:497" ht="12.75" hidden="1" customHeight="1">
      <c r="A593" s="343" t="s">
        <v>7419</v>
      </c>
      <c r="B593" s="752" t="s">
        <v>7723</v>
      </c>
      <c r="C593" s="133" t="s">
        <v>4016</v>
      </c>
      <c r="D593" s="94" t="s">
        <v>4017</v>
      </c>
      <c r="E593" s="766" t="s">
        <v>4018</v>
      </c>
      <c r="F593" s="770" t="s">
        <v>28</v>
      </c>
      <c r="G593" s="770" t="s">
        <v>10</v>
      </c>
      <c r="H593" s="770"/>
      <c r="I593" s="295" t="s">
        <v>4019</v>
      </c>
      <c r="J593" s="94" t="s">
        <v>4017</v>
      </c>
      <c r="K593" s="766" t="s">
        <v>4020</v>
      </c>
      <c r="L593" s="766" t="s">
        <v>3050</v>
      </c>
      <c r="M593" s="770" t="s">
        <v>1238</v>
      </c>
      <c r="N593" s="770"/>
      <c r="O593" s="770" t="s">
        <v>3844</v>
      </c>
      <c r="P593" s="94" t="s">
        <v>4021</v>
      </c>
      <c r="Q593" s="1088">
        <v>28733</v>
      </c>
      <c r="R593" s="297">
        <v>38</v>
      </c>
      <c r="S593" s="770" t="s">
        <v>10</v>
      </c>
      <c r="T593" s="770"/>
      <c r="U593" s="295" t="s">
        <v>5353</v>
      </c>
      <c r="V593" s="12" t="s">
        <v>722</v>
      </c>
      <c r="W593" s="12"/>
      <c r="X593" s="12"/>
      <c r="Y593" s="770" t="s">
        <v>4018</v>
      </c>
      <c r="Z593" s="770" t="s">
        <v>708</v>
      </c>
      <c r="AA593" s="770" t="s">
        <v>709</v>
      </c>
      <c r="AB593" s="770" t="s">
        <v>710</v>
      </c>
      <c r="AC593" s="770" t="s">
        <v>724</v>
      </c>
      <c r="AD593" s="770" t="s">
        <v>711</v>
      </c>
      <c r="AE593" s="770"/>
      <c r="AF593" s="770" t="s">
        <v>712</v>
      </c>
      <c r="AG593" s="766" t="s">
        <v>1095</v>
      </c>
      <c r="AH593" s="766" t="s">
        <v>1096</v>
      </c>
      <c r="AI593" s="770" t="s">
        <v>3294</v>
      </c>
      <c r="AJ593" s="770"/>
      <c r="AK593" s="770" t="s">
        <v>1097</v>
      </c>
      <c r="AL593" s="531"/>
      <c r="AM593" s="780">
        <v>16</v>
      </c>
      <c r="AN593" s="532"/>
      <c r="AO593" s="766"/>
      <c r="AP593" s="766" t="s">
        <v>5364</v>
      </c>
      <c r="AQ593" s="766" t="s">
        <v>7418</v>
      </c>
      <c r="AR593" s="766"/>
      <c r="AS593" s="769"/>
      <c r="AT593" s="770"/>
      <c r="AU593" s="770"/>
      <c r="AV593" s="770"/>
      <c r="AW593" s="770"/>
      <c r="AX593" s="770"/>
      <c r="AY593" s="770"/>
      <c r="AZ593" s="770"/>
      <c r="BA593" s="770"/>
      <c r="BB593" s="770"/>
      <c r="BC593" s="770"/>
      <c r="BD593" s="770"/>
      <c r="BE593" s="770"/>
      <c r="BF593" s="302"/>
      <c r="BG593" s="302"/>
      <c r="BH593" s="770"/>
      <c r="BI593" s="770"/>
      <c r="BJ593" s="770"/>
      <c r="BK593" s="770" t="s">
        <v>1095</v>
      </c>
      <c r="BL593" s="770" t="s">
        <v>4022</v>
      </c>
      <c r="BM593" s="766" t="s">
        <v>1096</v>
      </c>
      <c r="BN593" s="770" t="s">
        <v>1230</v>
      </c>
      <c r="BO593" s="766" t="s">
        <v>1246</v>
      </c>
      <c r="BP593" s="765">
        <v>6.3825000000000003</v>
      </c>
      <c r="BQ593" s="773">
        <v>6.3825000000000003</v>
      </c>
      <c r="BR593" s="774">
        <f t="shared" si="166"/>
        <v>1</v>
      </c>
      <c r="BS593" s="766" t="s">
        <v>1257</v>
      </c>
      <c r="BT593" s="770" t="s">
        <v>1326</v>
      </c>
      <c r="BU593" s="766" t="s">
        <v>1264</v>
      </c>
      <c r="BV593" s="770" t="s">
        <v>2432</v>
      </c>
      <c r="BW593" s="770">
        <v>2012</v>
      </c>
      <c r="BX593" s="302">
        <v>20000</v>
      </c>
      <c r="BY593" s="770" t="s">
        <v>1207</v>
      </c>
      <c r="BZ593" s="302"/>
      <c r="CA593" s="770"/>
      <c r="CB593" s="770"/>
      <c r="CC593" s="770"/>
      <c r="CD593" s="770"/>
      <c r="CE593" s="770"/>
      <c r="CF593" s="1753"/>
      <c r="CG593" s="1754"/>
      <c r="CH593" s="770"/>
      <c r="CI593" s="770"/>
      <c r="CJ593" s="770"/>
      <c r="CK593" s="770"/>
      <c r="CL593" s="770"/>
      <c r="CM593" s="770"/>
      <c r="CN593" s="770"/>
      <c r="CO593" s="770"/>
      <c r="CP593" s="770"/>
      <c r="CQ593" s="770"/>
      <c r="CR593" s="302"/>
      <c r="CS593" s="770"/>
      <c r="CT593" s="770"/>
      <c r="CU593" s="305"/>
      <c r="CV593" s="770"/>
      <c r="CW593" s="770"/>
      <c r="CX593" s="770"/>
      <c r="CY593" s="770"/>
      <c r="CZ593" s="770"/>
      <c r="DA593" s="306"/>
      <c r="DB593" s="770"/>
      <c r="DC593" s="770"/>
      <c r="DD593" s="770"/>
      <c r="DE593" s="300"/>
      <c r="DF593" s="770"/>
      <c r="DG593" s="770"/>
      <c r="DH593" s="770"/>
      <c r="DI593" s="770"/>
      <c r="DJ593" s="770"/>
      <c r="DK593" s="770"/>
      <c r="DL593" s="770"/>
      <c r="DM593" s="770"/>
      <c r="DN593" s="322"/>
      <c r="DO593" s="770"/>
      <c r="DP593" s="770"/>
      <c r="DQ593" s="770"/>
      <c r="DR593" s="770"/>
      <c r="DS593" s="307"/>
      <c r="DT593" s="770"/>
      <c r="DU593" s="770"/>
      <c r="DV593" s="770"/>
      <c r="DW593" s="306"/>
      <c r="DX593" s="306"/>
      <c r="DY593" s="770"/>
      <c r="DZ593" s="770"/>
      <c r="EA593" s="770"/>
      <c r="EB593" s="770"/>
      <c r="EC593" s="770"/>
      <c r="ED593" s="770"/>
      <c r="EE593" s="770"/>
      <c r="EF593" s="770"/>
      <c r="EG593" s="770"/>
      <c r="EH593" s="770"/>
      <c r="EI593" s="770"/>
      <c r="EJ593" s="770"/>
      <c r="EK593" s="770"/>
      <c r="EL593" s="770"/>
      <c r="EM593" s="770"/>
      <c r="EN593" s="770"/>
      <c r="EO593" s="770"/>
      <c r="EP593" s="94"/>
      <c r="EQ593" s="770"/>
      <c r="ER593" s="770"/>
      <c r="ES593" s="770"/>
      <c r="ET593" s="770"/>
      <c r="EU593" s="770"/>
      <c r="EV593" s="770"/>
      <c r="EW593" s="770"/>
      <c r="EX593" s="770"/>
      <c r="EY593" s="770"/>
      <c r="EZ593" s="770"/>
      <c r="FA593" s="770"/>
      <c r="FB593" s="770"/>
      <c r="FC593" s="770"/>
      <c r="FD593" s="302"/>
      <c r="FE593" s="770"/>
      <c r="FF593" s="770"/>
      <c r="FG593" s="770"/>
      <c r="FH593" s="770" t="s">
        <v>478</v>
      </c>
      <c r="FI593" s="770">
        <v>1</v>
      </c>
      <c r="FJ593" s="770"/>
      <c r="FK593" s="770"/>
      <c r="FL593" s="770"/>
      <c r="FM593" s="302"/>
      <c r="FN593" s="302"/>
      <c r="FO593" s="302"/>
      <c r="FP593" s="766" t="s">
        <v>1602</v>
      </c>
      <c r="FQ593" s="766" t="s">
        <v>1660</v>
      </c>
      <c r="FR593" s="770" t="s">
        <v>1214</v>
      </c>
      <c r="FS593" s="770"/>
      <c r="FT593" s="770"/>
      <c r="FU593" s="770"/>
      <c r="FV593" s="770"/>
      <c r="FW593" s="770"/>
      <c r="FX593" s="770"/>
      <c r="FY593" s="770"/>
      <c r="FZ593" s="770"/>
      <c r="GA593" s="770"/>
      <c r="GB593" s="770" t="s">
        <v>1734</v>
      </c>
      <c r="GC593" s="308"/>
      <c r="GD593" s="297">
        <v>2012</v>
      </c>
      <c r="GE593" s="770" t="s">
        <v>1214</v>
      </c>
      <c r="GF593" s="302"/>
      <c r="GG593" s="302"/>
      <c r="GH593" s="1774" t="s">
        <v>1791</v>
      </c>
      <c r="GI593" s="770" t="s">
        <v>2352</v>
      </c>
      <c r="GJ593" s="770" t="s">
        <v>3209</v>
      </c>
      <c r="GK593" s="770" t="s">
        <v>2345</v>
      </c>
      <c r="GL593" s="770"/>
      <c r="GM593" s="770" t="s">
        <v>1008</v>
      </c>
      <c r="GN593" s="299">
        <v>100</v>
      </c>
      <c r="GO593" s="770" t="s">
        <v>2760</v>
      </c>
      <c r="GP593" s="770"/>
      <c r="GQ593" s="770" t="s">
        <v>1208</v>
      </c>
      <c r="GR593" s="770"/>
      <c r="GS593" s="770"/>
      <c r="GT593" s="770"/>
      <c r="GU593" s="770"/>
      <c r="GV593" s="770"/>
      <c r="GW593" s="770" t="s">
        <v>1207</v>
      </c>
      <c r="GX593" s="770"/>
      <c r="GY593" s="770" t="s">
        <v>1208</v>
      </c>
      <c r="GZ593" s="770"/>
      <c r="HA593" s="770" t="s">
        <v>1208</v>
      </c>
      <c r="HB593" s="770" t="s">
        <v>1208</v>
      </c>
      <c r="HC593" s="770" t="s">
        <v>1208</v>
      </c>
      <c r="HD593" s="770" t="s">
        <v>1208</v>
      </c>
      <c r="HE593" s="770" t="s">
        <v>1208</v>
      </c>
      <c r="HF593" s="770"/>
      <c r="HG593" s="770"/>
      <c r="HH593" s="770"/>
      <c r="HI593" s="770" t="s">
        <v>1214</v>
      </c>
      <c r="HJ593" s="770"/>
      <c r="HK593" s="770"/>
      <c r="HL593" s="770" t="s">
        <v>1214</v>
      </c>
      <c r="HM593" s="770"/>
      <c r="HN593" s="770"/>
      <c r="HO593" s="770"/>
      <c r="HP593" s="770"/>
      <c r="HQ593" s="770"/>
      <c r="HR593" s="770"/>
      <c r="HS593" s="770"/>
      <c r="HT593" s="770"/>
      <c r="HU593" s="770"/>
      <c r="HV593" s="770"/>
      <c r="HW593" s="770"/>
      <c r="HX593" s="770"/>
      <c r="HY593" s="770"/>
      <c r="HZ593" s="770"/>
      <c r="IA593" s="770"/>
      <c r="IB593" s="14" t="e">
        <f>IF(#REF!&gt;0,IF(#REF!&lt;=10000,"Y",""),"")</f>
        <v>#REF!</v>
      </c>
      <c r="IC593" s="770"/>
      <c r="ID593" s="770"/>
      <c r="IE593" s="770"/>
      <c r="IF593" s="770" t="s">
        <v>4017</v>
      </c>
      <c r="IG593" s="770" t="s">
        <v>10</v>
      </c>
      <c r="IH593" s="770" t="s">
        <v>478</v>
      </c>
      <c r="II593" s="770" t="s">
        <v>4018</v>
      </c>
      <c r="IJ593" s="770" t="s">
        <v>4023</v>
      </c>
      <c r="IK593" s="770" t="s">
        <v>2639</v>
      </c>
      <c r="IL593" s="770" t="s">
        <v>4024</v>
      </c>
      <c r="IM593" s="770">
        <v>2001</v>
      </c>
      <c r="IN593" s="770" t="s">
        <v>4024</v>
      </c>
      <c r="IO593" s="296">
        <v>28733</v>
      </c>
      <c r="IP593" s="770" t="s">
        <v>478</v>
      </c>
      <c r="IQ593" s="769" t="s">
        <v>7889</v>
      </c>
      <c r="IR593" s="770" t="s">
        <v>3729</v>
      </c>
      <c r="IS593" s="770" t="s">
        <v>1883</v>
      </c>
      <c r="IT593" s="770" t="s">
        <v>1208</v>
      </c>
      <c r="IU593" s="770"/>
      <c r="IV593" s="770" t="s">
        <v>4025</v>
      </c>
      <c r="IW593" s="770" t="s">
        <v>13784</v>
      </c>
      <c r="IX593" s="770"/>
      <c r="IY593" s="770" t="s">
        <v>12798</v>
      </c>
      <c r="IZ593" s="770"/>
      <c r="JA593" s="770"/>
      <c r="JB593" s="770" t="s">
        <v>12766</v>
      </c>
      <c r="JC593" s="770"/>
      <c r="JD593" s="302">
        <v>30000</v>
      </c>
      <c r="JE593" s="770"/>
      <c r="JF593" s="770"/>
      <c r="JG593" s="770"/>
      <c r="JH593" s="307"/>
      <c r="JI593" s="307"/>
      <c r="JJ593" s="770">
        <v>7</v>
      </c>
      <c r="JK593" s="1139" t="s">
        <v>4024</v>
      </c>
      <c r="JL593" s="770">
        <v>2</v>
      </c>
      <c r="JM593" s="770">
        <v>1</v>
      </c>
      <c r="JN593" s="770">
        <v>3</v>
      </c>
      <c r="JO593" s="770">
        <v>1</v>
      </c>
      <c r="JP593" s="770"/>
      <c r="JQ593" s="770"/>
      <c r="JR593" s="770"/>
      <c r="JS593" s="770"/>
      <c r="JT593" s="766">
        <f t="shared" si="167"/>
        <v>5</v>
      </c>
      <c r="JU593" s="766">
        <f t="shared" si="167"/>
        <v>2</v>
      </c>
      <c r="JV593" s="712" t="str">
        <f>IF(JT593=KJ593,"ok","male")</f>
        <v>ok</v>
      </c>
      <c r="JW593" s="712" t="str">
        <f>IF(JU593=KK593,"ok","female")</f>
        <v>ok</v>
      </c>
      <c r="JX593" s="770">
        <v>1</v>
      </c>
      <c r="JY593" s="770"/>
      <c r="JZ593" s="770">
        <v>1</v>
      </c>
      <c r="KA593" s="770">
        <v>1</v>
      </c>
      <c r="KB593" s="770">
        <v>2</v>
      </c>
      <c r="KC593" s="770"/>
      <c r="KD593" s="770">
        <v>1</v>
      </c>
      <c r="KE593" s="770">
        <v>1</v>
      </c>
      <c r="KF593" s="770"/>
      <c r="KG593" s="770"/>
      <c r="KH593" s="770"/>
      <c r="KI593" s="770"/>
      <c r="KJ593" s="770">
        <f t="shared" si="168"/>
        <v>5</v>
      </c>
      <c r="KK593" s="770">
        <f t="shared" si="168"/>
        <v>2</v>
      </c>
      <c r="KL593" s="712" t="str">
        <f>IF(KJ593=LN593,"ok","male")</f>
        <v>ok</v>
      </c>
      <c r="KM593" s="712" t="str">
        <f>IF(KK593=LO593,"ok","female")</f>
        <v>ok</v>
      </c>
      <c r="KN593" s="770" t="s">
        <v>722</v>
      </c>
      <c r="KO593" s="770"/>
      <c r="KP593" s="770"/>
      <c r="KQ593" s="770"/>
      <c r="KR593" s="770">
        <v>1</v>
      </c>
      <c r="KS593" s="770"/>
      <c r="KT593" s="770">
        <v>1</v>
      </c>
      <c r="KU593" s="770">
        <v>1</v>
      </c>
      <c r="KV593" s="770"/>
      <c r="KW593" s="770"/>
      <c r="KX593" s="770">
        <v>1</v>
      </c>
      <c r="KY593" s="770"/>
      <c r="KZ593" s="770">
        <v>1</v>
      </c>
      <c r="LA593" s="770"/>
      <c r="LB593" s="770">
        <v>1</v>
      </c>
      <c r="LC593" s="770">
        <v>1</v>
      </c>
      <c r="LD593" s="770"/>
      <c r="LE593" s="770"/>
      <c r="LF593" s="770"/>
      <c r="LG593" s="770"/>
      <c r="LH593" s="770"/>
      <c r="LI593" s="770"/>
      <c r="LJ593" s="770"/>
      <c r="LK593" s="770"/>
      <c r="LL593" s="770"/>
      <c r="LM593" s="770"/>
      <c r="LN593" s="766">
        <f t="shared" si="159"/>
        <v>5</v>
      </c>
      <c r="LO593" s="766">
        <f t="shared" si="159"/>
        <v>2</v>
      </c>
      <c r="LP593" s="770">
        <v>2</v>
      </c>
      <c r="LQ593" s="770"/>
      <c r="LR593" s="770">
        <v>1</v>
      </c>
      <c r="LS593" s="770">
        <v>1</v>
      </c>
      <c r="LT593" s="712" t="str">
        <f>IF(LQ593=SUM(LU593:LW593),"OK","REV")</f>
        <v>OK</v>
      </c>
      <c r="LU593" s="770"/>
      <c r="LV593" s="770"/>
      <c r="LW593" s="770"/>
      <c r="LX593" s="769">
        <v>1</v>
      </c>
      <c r="LY593" s="766" t="str">
        <f t="shared" si="160"/>
        <v>within the BRGY</v>
      </c>
      <c r="LZ593" s="1728"/>
      <c r="MA593" s="1709">
        <v>10000</v>
      </c>
      <c r="MB593" s="1709">
        <f>16*26</f>
        <v>416</v>
      </c>
      <c r="MC593" s="1679">
        <f t="shared" si="158"/>
        <v>10416</v>
      </c>
      <c r="MD593" s="1728"/>
      <c r="ME593" s="1709">
        <v>30000</v>
      </c>
      <c r="MF593" s="1709">
        <f>1200*4</f>
        <v>4800</v>
      </c>
      <c r="MG593" s="1680">
        <f>SUM(MD593:MF593)</f>
        <v>34800</v>
      </c>
      <c r="MH593" s="770" t="s">
        <v>13785</v>
      </c>
      <c r="MI593" s="302">
        <f>500*30</f>
        <v>15000</v>
      </c>
      <c r="MJ593" s="302">
        <f>200*30</f>
        <v>6000</v>
      </c>
      <c r="MK593" s="302">
        <f>6000/12</f>
        <v>500</v>
      </c>
      <c r="ML593" s="302">
        <v>1500</v>
      </c>
      <c r="MM593" s="302">
        <v>14000</v>
      </c>
      <c r="MN593" s="12"/>
      <c r="MO593" s="302">
        <v>500</v>
      </c>
      <c r="MP593" s="302">
        <v>1300</v>
      </c>
      <c r="MQ593" s="302">
        <v>200</v>
      </c>
      <c r="MR593" s="302">
        <v>550</v>
      </c>
      <c r="MS593" s="302">
        <v>1200</v>
      </c>
      <c r="MT593" s="302"/>
      <c r="MU593" s="302"/>
      <c r="MV593" s="302"/>
      <c r="MW593" s="302"/>
      <c r="MX593" s="302"/>
      <c r="MY593" s="1682">
        <f t="shared" si="165"/>
        <v>40750</v>
      </c>
      <c r="MZ593" s="770" t="s">
        <v>13395</v>
      </c>
      <c r="NA593" s="770" t="s">
        <v>13230</v>
      </c>
      <c r="NB593" s="770" t="s">
        <v>13016</v>
      </c>
      <c r="NC593" s="770" t="s">
        <v>13621</v>
      </c>
      <c r="ND593" s="770">
        <v>0</v>
      </c>
      <c r="NE593" s="770">
        <v>0</v>
      </c>
      <c r="NF593" s="770">
        <v>1</v>
      </c>
      <c r="NG593" s="770">
        <v>2</v>
      </c>
      <c r="NH593" s="770">
        <v>1</v>
      </c>
      <c r="NI593" s="770">
        <v>1</v>
      </c>
      <c r="NJ593" s="770">
        <v>1</v>
      </c>
      <c r="NK593" s="770">
        <v>0</v>
      </c>
      <c r="NL593" s="770">
        <v>0</v>
      </c>
      <c r="NM593" s="770">
        <v>0</v>
      </c>
      <c r="NN593" s="770">
        <v>0</v>
      </c>
      <c r="NO593" s="770">
        <v>0</v>
      </c>
      <c r="NP593" s="770">
        <v>0</v>
      </c>
      <c r="NQ593" s="770">
        <v>0</v>
      </c>
      <c r="NR593" s="770">
        <v>0</v>
      </c>
      <c r="NS593" s="770">
        <v>0</v>
      </c>
      <c r="NT593" s="770">
        <v>0</v>
      </c>
      <c r="NU593" s="770">
        <v>0</v>
      </c>
      <c r="NV593" s="770">
        <v>0</v>
      </c>
      <c r="NW593" s="770">
        <v>0</v>
      </c>
      <c r="NX593" s="770">
        <v>0</v>
      </c>
      <c r="NY593" s="770" t="s">
        <v>1208</v>
      </c>
      <c r="NZ593" s="770" t="s">
        <v>1208</v>
      </c>
      <c r="OA593" s="770" t="s">
        <v>1208</v>
      </c>
      <c r="OB593" s="770" t="s">
        <v>1208</v>
      </c>
      <c r="OC593" s="770" t="s">
        <v>1208</v>
      </c>
      <c r="OD593" s="770" t="s">
        <v>1208</v>
      </c>
      <c r="OE593" s="770"/>
      <c r="OF593" s="770" t="s">
        <v>2143</v>
      </c>
      <c r="OG593" s="770"/>
      <c r="OH593" s="770"/>
      <c r="OI593" s="770"/>
      <c r="OJ593" s="770"/>
      <c r="OK593" s="770" t="s">
        <v>1208</v>
      </c>
      <c r="OL593" s="770"/>
      <c r="OM593" s="770"/>
      <c r="ON593" s="770"/>
      <c r="OO593" s="770" t="s">
        <v>1207</v>
      </c>
      <c r="OP593" s="770" t="s">
        <v>2139</v>
      </c>
      <c r="OQ593" s="770" t="s">
        <v>13153</v>
      </c>
      <c r="OR593" s="770"/>
      <c r="OS593" s="770" t="s">
        <v>12885</v>
      </c>
      <c r="OT593" s="770"/>
      <c r="OU593" s="770"/>
      <c r="OV593" s="770" t="s">
        <v>1208</v>
      </c>
      <c r="OW593" s="770"/>
      <c r="OX593" s="770"/>
      <c r="OY593" s="770"/>
      <c r="OZ593" s="770"/>
      <c r="PA593" s="770"/>
      <c r="PB593" s="770"/>
      <c r="PC593" s="770"/>
      <c r="PD593" s="770"/>
      <c r="PE593" s="770"/>
      <c r="PF593" s="770"/>
      <c r="PG593" s="770"/>
      <c r="PH593" s="770" t="s">
        <v>1208</v>
      </c>
      <c r="PI593" s="770"/>
      <c r="PJ593" s="770" t="s">
        <v>1208</v>
      </c>
      <c r="PK593" s="770" t="s">
        <v>1208</v>
      </c>
      <c r="PL593" s="770"/>
      <c r="PM593" s="770"/>
      <c r="PN593" s="770"/>
      <c r="PO593" s="770"/>
      <c r="PP593" s="770"/>
      <c r="PQ593" s="770"/>
      <c r="PR593" s="770"/>
      <c r="PS593" s="770" t="s">
        <v>1208</v>
      </c>
      <c r="PT593" s="770"/>
      <c r="PU593" s="770"/>
      <c r="PV593" s="770"/>
      <c r="PW593" s="770"/>
      <c r="PX593" s="770"/>
      <c r="PY593" s="770"/>
      <c r="PZ593" s="770"/>
      <c r="QA593" s="770"/>
      <c r="QB593" s="770"/>
      <c r="QC593" s="770"/>
      <c r="QD593" s="770"/>
      <c r="QE593" s="770"/>
      <c r="QF593" s="770"/>
      <c r="QG593" s="770"/>
      <c r="QH593" s="770"/>
      <c r="QI593" s="770"/>
      <c r="QJ593" s="770"/>
      <c r="QK593" s="770"/>
      <c r="QL593" s="770"/>
      <c r="QM593" s="770"/>
      <c r="QN593" s="770"/>
      <c r="QO593" s="770"/>
      <c r="QP593" s="770"/>
      <c r="QQ593" s="770"/>
      <c r="QR593" s="770"/>
      <c r="QS593" s="770"/>
      <c r="QT593" s="770"/>
      <c r="QU593" s="770"/>
      <c r="QV593" s="770"/>
      <c r="QW593" s="770"/>
      <c r="QX593" s="770"/>
      <c r="QY593" s="770"/>
      <c r="QZ593" s="770"/>
      <c r="RA593" s="770"/>
      <c r="RB593" s="770" t="s">
        <v>1207</v>
      </c>
      <c r="RC593" s="770">
        <v>2013</v>
      </c>
      <c r="RD593" s="770" t="s">
        <v>13251</v>
      </c>
      <c r="RE593" s="770" t="s">
        <v>12999</v>
      </c>
      <c r="RF593" s="304">
        <v>0.5</v>
      </c>
      <c r="RG593" s="770" t="s">
        <v>13047</v>
      </c>
      <c r="RH593" s="302">
        <v>10000</v>
      </c>
      <c r="RI593" s="770">
        <v>12</v>
      </c>
      <c r="RJ593" s="770" t="s">
        <v>13786</v>
      </c>
      <c r="RK593" s="770" t="s">
        <v>13556</v>
      </c>
      <c r="RL593" s="1710">
        <v>42833</v>
      </c>
      <c r="RM593" s="12"/>
      <c r="RN593" s="1711"/>
      <c r="RO593" s="133" t="s">
        <v>4016</v>
      </c>
      <c r="RP593" s="11"/>
      <c r="RQ593" s="11"/>
      <c r="RR593" s="343" t="s">
        <v>7419</v>
      </c>
      <c r="RS593" s="1139" t="s">
        <v>12980</v>
      </c>
      <c r="RT593" s="11"/>
      <c r="RU593" s="11"/>
      <c r="RV593" s="771" t="s">
        <v>7421</v>
      </c>
      <c r="RW593" s="11" t="s">
        <v>7402</v>
      </c>
      <c r="RX593" s="11" t="s">
        <v>3999</v>
      </c>
      <c r="RY593" s="11"/>
      <c r="RZ593" s="11" t="s">
        <v>1101</v>
      </c>
      <c r="SA593" s="771"/>
      <c r="SB593" s="11"/>
      <c r="SC593" s="11"/>
    </row>
    <row r="594" spans="1:497" ht="12.75" hidden="1" customHeight="1">
      <c r="A594" s="343" t="s">
        <v>7419</v>
      </c>
      <c r="B594" s="752" t="s">
        <v>7823</v>
      </c>
      <c r="C594" s="132" t="s">
        <v>4026</v>
      </c>
      <c r="D594" s="94" t="s">
        <v>4027</v>
      </c>
      <c r="E594" s="766" t="s">
        <v>4028</v>
      </c>
      <c r="F594" s="770" t="s">
        <v>28</v>
      </c>
      <c r="G594" s="770" t="s">
        <v>10</v>
      </c>
      <c r="H594" s="770"/>
      <c r="I594" s="295" t="s">
        <v>4029</v>
      </c>
      <c r="J594" s="94" t="s">
        <v>4027</v>
      </c>
      <c r="K594" s="766" t="s">
        <v>4030</v>
      </c>
      <c r="L594" s="766" t="s">
        <v>3711</v>
      </c>
      <c r="M594" s="770" t="s">
        <v>1238</v>
      </c>
      <c r="N594" s="770"/>
      <c r="O594" s="770" t="s">
        <v>3844</v>
      </c>
      <c r="P594" s="770" t="s">
        <v>4031</v>
      </c>
      <c r="Q594" s="1088">
        <v>13369</v>
      </c>
      <c r="R594" s="297">
        <v>81</v>
      </c>
      <c r="S594" s="770" t="s">
        <v>10</v>
      </c>
      <c r="T594" s="770"/>
      <c r="U594" s="295" t="s">
        <v>4029</v>
      </c>
      <c r="V594" s="12" t="s">
        <v>719</v>
      </c>
      <c r="W594" s="12"/>
      <c r="X594" s="12"/>
      <c r="Y594" s="770" t="s">
        <v>4028</v>
      </c>
      <c r="Z594" s="770" t="s">
        <v>708</v>
      </c>
      <c r="AA594" s="770" t="s">
        <v>709</v>
      </c>
      <c r="AB594" s="770" t="s">
        <v>710</v>
      </c>
      <c r="AC594" s="770" t="s">
        <v>724</v>
      </c>
      <c r="AD594" s="770" t="s">
        <v>711</v>
      </c>
      <c r="AE594" s="770"/>
      <c r="AF594" s="770" t="s">
        <v>712</v>
      </c>
      <c r="AG594" s="766" t="s">
        <v>1095</v>
      </c>
      <c r="AH594" s="766" t="s">
        <v>1096</v>
      </c>
      <c r="AI594" s="770" t="s">
        <v>3294</v>
      </c>
      <c r="AJ594" s="770"/>
      <c r="AK594" s="770" t="s">
        <v>1097</v>
      </c>
      <c r="AL594" s="531">
        <v>34.58</v>
      </c>
      <c r="AM594" s="780">
        <v>11.97</v>
      </c>
      <c r="AN594" s="532">
        <f>AM594/AL594</f>
        <v>0.3461538461538462</v>
      </c>
      <c r="AO594" s="766" t="s">
        <v>1149</v>
      </c>
      <c r="AP594" s="766" t="s">
        <v>5364</v>
      </c>
      <c r="AQ594" s="766" t="s">
        <v>7418</v>
      </c>
      <c r="AR594" s="766"/>
      <c r="AS594" s="769"/>
      <c r="AT594" s="770"/>
      <c r="AU594" s="770"/>
      <c r="AV594" s="770"/>
      <c r="AW594" s="770"/>
      <c r="AX594" s="770"/>
      <c r="AY594" s="770"/>
      <c r="AZ594" s="770"/>
      <c r="BA594" s="770"/>
      <c r="BB594" s="770"/>
      <c r="BC594" s="770"/>
      <c r="BD594" s="770"/>
      <c r="BE594" s="770"/>
      <c r="BF594" s="302"/>
      <c r="BG594" s="302"/>
      <c r="BH594" s="770"/>
      <c r="BI594" s="770"/>
      <c r="BJ594" s="770"/>
      <c r="BK594" s="770" t="s">
        <v>1095</v>
      </c>
      <c r="BL594" s="770" t="s">
        <v>4032</v>
      </c>
      <c r="BM594" s="766" t="s">
        <v>1096</v>
      </c>
      <c r="BN594" s="770" t="s">
        <v>1230</v>
      </c>
      <c r="BO594" s="766" t="s">
        <v>1239</v>
      </c>
      <c r="BP594" s="765">
        <v>69.16</v>
      </c>
      <c r="BQ594" s="773">
        <v>23.94</v>
      </c>
      <c r="BR594" s="774">
        <f t="shared" si="166"/>
        <v>0.3461538461538462</v>
      </c>
      <c r="BS594" s="6" t="s">
        <v>1149</v>
      </c>
      <c r="BT594" s="766" t="s">
        <v>2040</v>
      </c>
      <c r="BU594" s="770" t="s">
        <v>1249</v>
      </c>
      <c r="BV594" s="770" t="s">
        <v>1247</v>
      </c>
      <c r="BW594" s="770">
        <v>1992</v>
      </c>
      <c r="BX594" s="302">
        <v>300000</v>
      </c>
      <c r="BY594" s="770"/>
      <c r="BZ594" s="302"/>
      <c r="CA594" s="770"/>
      <c r="CB594" s="770" t="s">
        <v>1207</v>
      </c>
      <c r="CC594" s="94" t="s">
        <v>4027</v>
      </c>
      <c r="CD594" s="770"/>
      <c r="CE594" s="770"/>
      <c r="CF594" s="1753">
        <v>1.2</v>
      </c>
      <c r="CG594" s="1754">
        <v>1</v>
      </c>
      <c r="CH594" s="770" t="s">
        <v>3772</v>
      </c>
      <c r="CI594" s="770"/>
      <c r="CJ594" s="770" t="s">
        <v>1531</v>
      </c>
      <c r="CK594" s="770"/>
      <c r="CL594" s="770" t="s">
        <v>1240</v>
      </c>
      <c r="CM594" s="770"/>
      <c r="CN594" s="770"/>
      <c r="CO594" s="770"/>
      <c r="CP594" s="770"/>
      <c r="CQ594" s="770"/>
      <c r="CR594" s="302"/>
      <c r="CS594" s="770"/>
      <c r="CT594" s="770"/>
      <c r="CU594" s="305"/>
      <c r="CV594" s="770"/>
      <c r="CW594" s="770"/>
      <c r="CX594" s="770"/>
      <c r="CY594" s="770"/>
      <c r="CZ594" s="770"/>
      <c r="DA594" s="306"/>
      <c r="DB594" s="770"/>
      <c r="DC594" s="770"/>
      <c r="DD594" s="770"/>
      <c r="DE594" s="300"/>
      <c r="DF594" s="770"/>
      <c r="DG594" s="770"/>
      <c r="DH594" s="770"/>
      <c r="DI594" s="770"/>
      <c r="DJ594" s="770"/>
      <c r="DK594" s="770"/>
      <c r="DL594" s="770"/>
      <c r="DM594" s="770"/>
      <c r="DN594" s="322"/>
      <c r="DO594" s="770"/>
      <c r="DP594" s="770"/>
      <c r="DQ594" s="770"/>
      <c r="DR594" s="770"/>
      <c r="DS594" s="307"/>
      <c r="DT594" s="770"/>
      <c r="DU594" s="770"/>
      <c r="DV594" s="770"/>
      <c r="DW594" s="306"/>
      <c r="DX594" s="306"/>
      <c r="DY594" s="770"/>
      <c r="DZ594" s="770"/>
      <c r="EA594" s="770"/>
      <c r="EB594" s="770"/>
      <c r="EC594" s="770"/>
      <c r="ED594" s="770"/>
      <c r="EE594" s="770"/>
      <c r="EF594" s="770"/>
      <c r="EG594" s="770"/>
      <c r="EH594" s="770"/>
      <c r="EI594" s="770"/>
      <c r="EJ594" s="770"/>
      <c r="EK594" s="770"/>
      <c r="EL594" s="770"/>
      <c r="EM594" s="770"/>
      <c r="EN594" s="770"/>
      <c r="EO594" s="770"/>
      <c r="EP594" s="94"/>
      <c r="EQ594" s="770"/>
      <c r="ER594" s="770"/>
      <c r="ES594" s="770"/>
      <c r="ET594" s="770"/>
      <c r="EU594" s="770"/>
      <c r="EV594" s="770"/>
      <c r="EW594" s="770"/>
      <c r="EX594" s="770"/>
      <c r="EY594" s="770"/>
      <c r="EZ594" s="770" t="s">
        <v>4033</v>
      </c>
      <c r="FA594" s="770" t="s">
        <v>3996</v>
      </c>
      <c r="FB594" s="770" t="s">
        <v>1257</v>
      </c>
      <c r="FC594" s="770"/>
      <c r="FD594" s="302"/>
      <c r="FE594" s="770" t="s">
        <v>4034</v>
      </c>
      <c r="FF594" s="770"/>
      <c r="FG594" s="770"/>
      <c r="FH594" s="770" t="s">
        <v>478</v>
      </c>
      <c r="FI594" s="770">
        <v>1</v>
      </c>
      <c r="FJ594" s="770"/>
      <c r="FK594" s="770"/>
      <c r="FL594" s="770"/>
      <c r="FM594" s="302"/>
      <c r="FN594" s="302"/>
      <c r="FO594" s="302"/>
      <c r="FP594" s="770" t="s">
        <v>1602</v>
      </c>
      <c r="FQ594" s="770" t="s">
        <v>1660</v>
      </c>
      <c r="FR594" s="770" t="s">
        <v>1214</v>
      </c>
      <c r="FS594" s="770"/>
      <c r="FT594" s="770"/>
      <c r="FU594" s="770"/>
      <c r="FV594" s="770"/>
      <c r="FW594" s="770"/>
      <c r="FX594" s="770"/>
      <c r="FY594" s="770"/>
      <c r="FZ594" s="770"/>
      <c r="GA594" s="770"/>
      <c r="GB594" s="770" t="s">
        <v>4035</v>
      </c>
      <c r="GC594" s="308"/>
      <c r="GD594" s="297">
        <v>1992</v>
      </c>
      <c r="GE594" s="770" t="s">
        <v>1214</v>
      </c>
      <c r="GF594" s="302"/>
      <c r="GG594" s="302"/>
      <c r="GH594" s="766" t="s">
        <v>14260</v>
      </c>
      <c r="GI594" s="770"/>
      <c r="GJ594" s="770"/>
      <c r="GK594" s="770"/>
      <c r="GL594" s="770"/>
      <c r="GM594" s="770"/>
      <c r="GN594" s="299"/>
      <c r="GO594" s="770"/>
      <c r="GP594" s="770"/>
      <c r="GQ594" s="770"/>
      <c r="GR594" s="770"/>
      <c r="GS594" s="770"/>
      <c r="GT594" s="770"/>
      <c r="GU594" s="770"/>
      <c r="GV594" s="770"/>
      <c r="GW594" s="770"/>
      <c r="GX594" s="770"/>
      <c r="GY594" s="770"/>
      <c r="GZ594" s="770"/>
      <c r="HA594" s="770"/>
      <c r="HB594" s="770"/>
      <c r="HC594" s="770"/>
      <c r="HD594" s="770"/>
      <c r="HE594" s="770"/>
      <c r="HF594" s="770"/>
      <c r="HG594" s="770"/>
      <c r="HH594" s="770"/>
      <c r="HI594" s="770" t="s">
        <v>1214</v>
      </c>
      <c r="HJ594" s="770"/>
      <c r="HK594" s="770"/>
      <c r="HL594" s="770" t="s">
        <v>1214</v>
      </c>
      <c r="HM594" s="770"/>
      <c r="HN594" s="770"/>
      <c r="HO594" s="770"/>
      <c r="HP594" s="770"/>
      <c r="HQ594" s="770"/>
      <c r="HR594" s="770">
        <v>2</v>
      </c>
      <c r="HS594" s="770"/>
      <c r="HT594" s="770"/>
      <c r="HU594" s="770"/>
      <c r="HV594" s="770"/>
      <c r="HW594" s="770"/>
      <c r="HX594" s="770"/>
      <c r="HY594" s="770"/>
      <c r="HZ594" s="770"/>
      <c r="IA594" s="770"/>
      <c r="IB594" s="770"/>
      <c r="IC594" s="770"/>
      <c r="ID594" s="770">
        <v>1</v>
      </c>
      <c r="IE594" s="770"/>
      <c r="IF594" s="770"/>
      <c r="IG594" s="770"/>
      <c r="IH594" s="770"/>
      <c r="II594" s="770"/>
      <c r="IJ594" s="770"/>
      <c r="IK594" s="770"/>
      <c r="IL594" s="770"/>
      <c r="IM594" s="770"/>
      <c r="IN594" s="770"/>
      <c r="IO594" s="296"/>
      <c r="IP594" s="770"/>
      <c r="IQ594" s="770"/>
      <c r="IR594" s="770"/>
      <c r="IS594" s="770"/>
      <c r="IT594" s="770"/>
      <c r="IU594" s="770"/>
      <c r="IV594" s="770"/>
      <c r="IW594" s="770"/>
      <c r="IX594" s="770"/>
      <c r="IY594" s="770"/>
      <c r="IZ594" s="770"/>
      <c r="JA594" s="770"/>
      <c r="JB594" s="770"/>
      <c r="JC594" s="770"/>
      <c r="JD594" s="302"/>
      <c r="JE594" s="770"/>
      <c r="JF594" s="770"/>
      <c r="JG594" s="770"/>
      <c r="JH594" s="307"/>
      <c r="JI594" s="307"/>
      <c r="JJ594" s="770">
        <v>11</v>
      </c>
      <c r="JK594" s="770" t="s">
        <v>4033</v>
      </c>
      <c r="JL594" s="770">
        <v>3</v>
      </c>
      <c r="JM594" s="770">
        <v>1</v>
      </c>
      <c r="JN594" s="770">
        <v>6</v>
      </c>
      <c r="JO594" s="770">
        <v>6</v>
      </c>
      <c r="JP594" s="770">
        <v>1</v>
      </c>
      <c r="JQ594" s="770"/>
      <c r="JR594" s="770"/>
      <c r="JS594" s="770"/>
      <c r="JT594" s="766">
        <f t="shared" si="167"/>
        <v>10</v>
      </c>
      <c r="JU594" s="766">
        <f t="shared" si="167"/>
        <v>7</v>
      </c>
      <c r="JV594" s="766"/>
      <c r="JW594" s="766"/>
      <c r="JX594" s="770">
        <v>3</v>
      </c>
      <c r="JY594" s="770"/>
      <c r="JZ594" s="770"/>
      <c r="KA594" s="770">
        <v>1</v>
      </c>
      <c r="KB594" s="770">
        <v>2</v>
      </c>
      <c r="KC594" s="770">
        <v>3</v>
      </c>
      <c r="KD594" s="770">
        <v>4</v>
      </c>
      <c r="KE594" s="770">
        <v>3</v>
      </c>
      <c r="KF594" s="770">
        <v>1</v>
      </c>
      <c r="KG594" s="770"/>
      <c r="KH594" s="770"/>
      <c r="KI594" s="770"/>
      <c r="KJ594" s="770">
        <f t="shared" si="168"/>
        <v>10</v>
      </c>
      <c r="KK594" s="770">
        <f t="shared" si="168"/>
        <v>7</v>
      </c>
      <c r="KL594" s="770"/>
      <c r="KM594" s="770"/>
      <c r="KN594" s="770" t="s">
        <v>719</v>
      </c>
      <c r="KO594" s="770"/>
      <c r="KP594" s="770"/>
      <c r="KQ594" s="770"/>
      <c r="KR594" s="770"/>
      <c r="KS594" s="770"/>
      <c r="KT594" s="770">
        <v>1</v>
      </c>
      <c r="KU594" s="770">
        <v>1</v>
      </c>
      <c r="KV594" s="770"/>
      <c r="KW594" s="770">
        <v>1</v>
      </c>
      <c r="KX594" s="770">
        <v>1</v>
      </c>
      <c r="KY594" s="770"/>
      <c r="KZ594" s="770">
        <v>3</v>
      </c>
      <c r="LA594" s="770">
        <v>2</v>
      </c>
      <c r="LB594" s="770">
        <v>1</v>
      </c>
      <c r="LC594" s="770">
        <v>2</v>
      </c>
      <c r="LD594" s="770"/>
      <c r="LE594" s="770">
        <v>2</v>
      </c>
      <c r="LF594" s="770"/>
      <c r="LG594" s="770"/>
      <c r="LH594" s="770"/>
      <c r="LI594" s="770"/>
      <c r="LJ594" s="770">
        <v>3</v>
      </c>
      <c r="LK594" s="770"/>
      <c r="LL594" s="770"/>
      <c r="LM594" s="770"/>
      <c r="LN594" s="766">
        <f t="shared" si="159"/>
        <v>9</v>
      </c>
      <c r="LO594" s="766">
        <f t="shared" si="159"/>
        <v>8</v>
      </c>
      <c r="LP594" s="770">
        <v>4</v>
      </c>
      <c r="LQ594" s="770">
        <v>4</v>
      </c>
      <c r="LR594" s="770"/>
      <c r="LS594" s="770"/>
      <c r="LT594" s="770"/>
      <c r="LU594" s="770">
        <v>4</v>
      </c>
      <c r="LV594" s="770"/>
      <c r="LW594" s="770"/>
      <c r="LX594" s="769"/>
      <c r="LY594" s="766" t="str">
        <f t="shared" si="160"/>
        <v/>
      </c>
      <c r="LZ594" s="1709">
        <f>SUM(480,590)</f>
        <v>1070</v>
      </c>
      <c r="MA594" s="1709"/>
      <c r="MB594" s="1709"/>
      <c r="MC594" s="1679">
        <f t="shared" si="158"/>
        <v>1070</v>
      </c>
      <c r="MD594" s="1728">
        <f>12000*4</f>
        <v>48000</v>
      </c>
      <c r="ME594" s="1709"/>
      <c r="MF594" s="1709"/>
      <c r="MG594" s="1680">
        <f t="shared" si="164"/>
        <v>48000</v>
      </c>
      <c r="MH594" s="770" t="s">
        <v>2226</v>
      </c>
      <c r="MI594" s="302">
        <v>5000</v>
      </c>
      <c r="MJ594" s="302">
        <v>3000</v>
      </c>
      <c r="MK594" s="302">
        <v>2000</v>
      </c>
      <c r="ML594" s="302">
        <v>6000</v>
      </c>
      <c r="MM594" s="302">
        <v>2000</v>
      </c>
      <c r="MN594" s="12"/>
      <c r="MO594" s="302">
        <v>1000</v>
      </c>
      <c r="MP594" s="302">
        <v>2500</v>
      </c>
      <c r="MQ594" s="302">
        <v>1200</v>
      </c>
      <c r="MR594" s="302">
        <v>1500</v>
      </c>
      <c r="MS594" s="302">
        <v>2500</v>
      </c>
      <c r="MT594" s="302"/>
      <c r="MU594" s="302"/>
      <c r="MV594" s="302"/>
      <c r="MW594" s="302"/>
      <c r="MX594" s="302"/>
      <c r="MY594" s="1682">
        <f t="shared" si="165"/>
        <v>26700</v>
      </c>
      <c r="MZ594" s="770" t="s">
        <v>13370</v>
      </c>
      <c r="NA594" s="770" t="s">
        <v>13787</v>
      </c>
      <c r="NB594" s="770" t="s">
        <v>13016</v>
      </c>
      <c r="NC594" s="770" t="s">
        <v>13602</v>
      </c>
      <c r="ND594" s="770">
        <v>0</v>
      </c>
      <c r="NE594" s="770">
        <v>2</v>
      </c>
      <c r="NF594" s="770">
        <v>1</v>
      </c>
      <c r="NG594" s="770">
        <v>4</v>
      </c>
      <c r="NH594" s="770">
        <v>2</v>
      </c>
      <c r="NI594" s="770">
        <v>2</v>
      </c>
      <c r="NJ594" s="770">
        <v>1</v>
      </c>
      <c r="NK594" s="770">
        <v>0</v>
      </c>
      <c r="NL594" s="770">
        <v>1</v>
      </c>
      <c r="NM594" s="770">
        <v>1</v>
      </c>
      <c r="NN594" s="770">
        <v>0</v>
      </c>
      <c r="NO594" s="770">
        <v>0</v>
      </c>
      <c r="NP594" s="770">
        <v>0</v>
      </c>
      <c r="NQ594" s="770">
        <v>0</v>
      </c>
      <c r="NR594" s="770">
        <v>0</v>
      </c>
      <c r="NS594" s="770">
        <v>0</v>
      </c>
      <c r="NT594" s="770">
        <v>0</v>
      </c>
      <c r="NU594" s="770">
        <v>0</v>
      </c>
      <c r="NV594" s="770">
        <v>0</v>
      </c>
      <c r="NW594" s="770">
        <v>0</v>
      </c>
      <c r="NX594" s="770">
        <v>0</v>
      </c>
      <c r="NY594" s="770"/>
      <c r="NZ594" s="770"/>
      <c r="OA594" s="770"/>
      <c r="OB594" s="770"/>
      <c r="OC594" s="770"/>
      <c r="OD594" s="770"/>
      <c r="OE594" s="770"/>
      <c r="OF594" s="770" t="s">
        <v>2143</v>
      </c>
      <c r="OG594" s="770"/>
      <c r="OH594" s="770"/>
      <c r="OI594" s="770"/>
      <c r="OJ594" s="770"/>
      <c r="OK594" s="770" t="s">
        <v>1208</v>
      </c>
      <c r="OL594" s="770" t="s">
        <v>696</v>
      </c>
      <c r="OM594" s="770" t="s">
        <v>13153</v>
      </c>
      <c r="ON594" s="770" t="s">
        <v>13532</v>
      </c>
      <c r="OO594" s="770" t="s">
        <v>1207</v>
      </c>
      <c r="OP594" s="770"/>
      <c r="OQ594" s="770"/>
      <c r="OR594" s="770"/>
      <c r="OS594" s="770"/>
      <c r="OT594" s="770"/>
      <c r="OU594" s="770"/>
      <c r="OV594" s="770"/>
      <c r="OW594" s="770"/>
      <c r="OX594" s="770"/>
      <c r="OY594" s="770"/>
      <c r="OZ594" s="770"/>
      <c r="PA594" s="770"/>
      <c r="PB594" s="770"/>
      <c r="PC594" s="770"/>
      <c r="PD594" s="770"/>
      <c r="PE594" s="770"/>
      <c r="PF594" s="770"/>
      <c r="PG594" s="770"/>
      <c r="PH594" s="770"/>
      <c r="PI594" s="770"/>
      <c r="PJ594" s="770" t="s">
        <v>1208</v>
      </c>
      <c r="PK594" s="770"/>
      <c r="PL594" s="770"/>
      <c r="PM594" s="770"/>
      <c r="PN594" s="770"/>
      <c r="PO594" s="770"/>
      <c r="PP594" s="770"/>
      <c r="PQ594" s="770"/>
      <c r="PR594" s="770"/>
      <c r="PS594" s="770"/>
      <c r="PT594" s="770"/>
      <c r="PU594" s="770"/>
      <c r="PV594" s="770"/>
      <c r="PW594" s="770"/>
      <c r="PX594" s="770"/>
      <c r="PY594" s="770"/>
      <c r="PZ594" s="770"/>
      <c r="QA594" s="770"/>
      <c r="QB594" s="770"/>
      <c r="QC594" s="770"/>
      <c r="QD594" s="770"/>
      <c r="QE594" s="770"/>
      <c r="QF594" s="770"/>
      <c r="QG594" s="770"/>
      <c r="QH594" s="770"/>
      <c r="QI594" s="770"/>
      <c r="QJ594" s="770"/>
      <c r="QK594" s="770"/>
      <c r="QL594" s="770"/>
      <c r="QM594" s="770"/>
      <c r="QN594" s="770"/>
      <c r="QO594" s="770"/>
      <c r="QP594" s="770"/>
      <c r="QQ594" s="770"/>
      <c r="QR594" s="770"/>
      <c r="QS594" s="770"/>
      <c r="QT594" s="770"/>
      <c r="QU594" s="770"/>
      <c r="QV594" s="770"/>
      <c r="QW594" s="770"/>
      <c r="QX594" s="770"/>
      <c r="QY594" s="770"/>
      <c r="QZ594" s="770"/>
      <c r="RA594" s="770"/>
      <c r="RB594" s="770" t="s">
        <v>1207</v>
      </c>
      <c r="RC594" s="770">
        <v>2016</v>
      </c>
      <c r="RD594" s="770" t="s">
        <v>13646</v>
      </c>
      <c r="RE594" s="770"/>
      <c r="RF594" s="304">
        <f>CONVERT(2,"ft","m")</f>
        <v>0.60960000000000003</v>
      </c>
      <c r="RG594" s="770" t="s">
        <v>13047</v>
      </c>
      <c r="RH594" s="302">
        <v>1000</v>
      </c>
      <c r="RI594" s="770">
        <v>1</v>
      </c>
      <c r="RJ594" s="770" t="s">
        <v>4033</v>
      </c>
      <c r="RK594" s="770" t="s">
        <v>13550</v>
      </c>
      <c r="RL594" s="1710">
        <v>42833</v>
      </c>
      <c r="RM594" s="12"/>
      <c r="RN594" s="1711"/>
      <c r="RO594" s="132" t="s">
        <v>4026</v>
      </c>
      <c r="RP594" s="11"/>
      <c r="RQ594" s="11"/>
      <c r="RR594" s="17"/>
      <c r="RS594" s="767"/>
      <c r="RT594" s="11"/>
      <c r="RU594" s="11"/>
      <c r="RV594" s="771" t="s">
        <v>7419</v>
      </c>
      <c r="RW594" s="11" t="s">
        <v>7724</v>
      </c>
      <c r="RX594" s="11" t="s">
        <v>4005</v>
      </c>
      <c r="RY594" s="11"/>
      <c r="RZ594" s="11" t="s">
        <v>1101</v>
      </c>
      <c r="SA594" s="771"/>
      <c r="SB594" s="11"/>
      <c r="SC594" s="11"/>
    </row>
    <row r="595" spans="1:497" ht="12.75" hidden="1" customHeight="1">
      <c r="A595" s="343" t="s">
        <v>7419</v>
      </c>
      <c r="B595" s="752" t="s">
        <v>7918</v>
      </c>
      <c r="C595" s="132" t="s">
        <v>4036</v>
      </c>
      <c r="D595" s="94" t="s">
        <v>4037</v>
      </c>
      <c r="E595" s="766" t="s">
        <v>4038</v>
      </c>
      <c r="F595" s="770" t="s">
        <v>4039</v>
      </c>
      <c r="G595" s="770" t="s">
        <v>18</v>
      </c>
      <c r="H595" s="770"/>
      <c r="I595" s="295" t="s">
        <v>4040</v>
      </c>
      <c r="J595" s="94" t="s">
        <v>4041</v>
      </c>
      <c r="K595" s="766" t="s">
        <v>4030</v>
      </c>
      <c r="L595" s="766" t="s">
        <v>2745</v>
      </c>
      <c r="M595" s="770" t="s">
        <v>1238</v>
      </c>
      <c r="N595" s="770"/>
      <c r="O595" s="770" t="s">
        <v>3844</v>
      </c>
      <c r="P595" s="770"/>
      <c r="Q595" s="1088"/>
      <c r="R595" s="297"/>
      <c r="S595" s="770"/>
      <c r="T595" s="770"/>
      <c r="U595" s="295"/>
      <c r="V595" s="12"/>
      <c r="W595" s="12"/>
      <c r="X595" s="12"/>
      <c r="Y595" s="770"/>
      <c r="Z595" s="770"/>
      <c r="AA595" s="770"/>
      <c r="AB595" s="12"/>
      <c r="AC595" s="770"/>
      <c r="AD595" s="770"/>
      <c r="AE595" s="770"/>
      <c r="AF595" s="770"/>
      <c r="AG595" s="766" t="s">
        <v>1095</v>
      </c>
      <c r="AH595" s="766" t="s">
        <v>1096</v>
      </c>
      <c r="AI595" s="770" t="s">
        <v>3294</v>
      </c>
      <c r="AJ595" s="770"/>
      <c r="AK595" s="770" t="s">
        <v>1097</v>
      </c>
      <c r="AL595" s="531">
        <v>19.344999999999999</v>
      </c>
      <c r="AM595" s="780">
        <v>5.4749999999999996</v>
      </c>
      <c r="AN595" s="532">
        <f>AM595/AL595</f>
        <v>0.28301886792452829</v>
      </c>
      <c r="AO595" s="766" t="s">
        <v>1149</v>
      </c>
      <c r="AP595" s="766" t="s">
        <v>5364</v>
      </c>
      <c r="AQ595" s="766" t="s">
        <v>7418</v>
      </c>
      <c r="AR595" s="766"/>
      <c r="AS595" s="769"/>
      <c r="AT595" s="770"/>
      <c r="AU595" s="770"/>
      <c r="AV595" s="770"/>
      <c r="AW595" s="770"/>
      <c r="AX595" s="770"/>
      <c r="AY595" s="770"/>
      <c r="AZ595" s="770"/>
      <c r="BA595" s="770"/>
      <c r="BB595" s="770"/>
      <c r="BC595" s="770"/>
      <c r="BD595" s="770"/>
      <c r="BE595" s="770"/>
      <c r="BF595" s="302"/>
      <c r="BG595" s="302"/>
      <c r="BH595" s="770"/>
      <c r="BI595" s="770"/>
      <c r="BJ595" s="770"/>
      <c r="BK595" s="770" t="s">
        <v>1095</v>
      </c>
      <c r="BL595" s="770" t="s">
        <v>7914</v>
      </c>
      <c r="BM595" s="766" t="s">
        <v>1096</v>
      </c>
      <c r="BN595" s="770" t="s">
        <v>1230</v>
      </c>
      <c r="BO595" s="766" t="s">
        <v>1246</v>
      </c>
      <c r="BP595" s="765">
        <v>19.344999999999999</v>
      </c>
      <c r="BQ595" s="773">
        <v>5.4749999999999996</v>
      </c>
      <c r="BR595" s="774">
        <f t="shared" si="166"/>
        <v>0.28301886792452829</v>
      </c>
      <c r="BS595" s="6" t="s">
        <v>1149</v>
      </c>
      <c r="BT595" s="766" t="s">
        <v>2040</v>
      </c>
      <c r="BU595" s="770" t="s">
        <v>1249</v>
      </c>
      <c r="BV595" s="770" t="s">
        <v>1247</v>
      </c>
      <c r="BW595" s="770" t="s">
        <v>2746</v>
      </c>
      <c r="BX595" s="302"/>
      <c r="BY595" s="770"/>
      <c r="BZ595" s="302"/>
      <c r="CA595" s="770"/>
      <c r="CB595" s="770"/>
      <c r="CC595" s="770"/>
      <c r="CD595" s="770"/>
      <c r="CE595" s="770"/>
      <c r="CF595" s="1753"/>
      <c r="CG595" s="1754"/>
      <c r="CH595" s="770"/>
      <c r="CI595" s="770"/>
      <c r="CJ595" s="770"/>
      <c r="CK595" s="770"/>
      <c r="CL595" s="770"/>
      <c r="CM595" s="770"/>
      <c r="CN595" s="770"/>
      <c r="CO595" s="770"/>
      <c r="CP595" s="770"/>
      <c r="CQ595" s="770"/>
      <c r="CR595" s="302"/>
      <c r="CS595" s="770"/>
      <c r="CT595" s="770"/>
      <c r="CU595" s="305"/>
      <c r="CV595" s="770"/>
      <c r="CW595" s="770"/>
      <c r="CX595" s="770"/>
      <c r="CY595" s="770"/>
      <c r="CZ595" s="770"/>
      <c r="DA595" s="306"/>
      <c r="DB595" s="770"/>
      <c r="DC595" s="770"/>
      <c r="DD595" s="770"/>
      <c r="DE595" s="300"/>
      <c r="DF595" s="770"/>
      <c r="DG595" s="770"/>
      <c r="DH595" s="770"/>
      <c r="DI595" s="770"/>
      <c r="DJ595" s="770"/>
      <c r="DK595" s="770"/>
      <c r="DL595" s="770"/>
      <c r="DM595" s="770"/>
      <c r="DN595" s="322"/>
      <c r="DO595" s="770"/>
      <c r="DP595" s="770"/>
      <c r="DQ595" s="770"/>
      <c r="DR595" s="770"/>
      <c r="DS595" s="307"/>
      <c r="DT595" s="770"/>
      <c r="DU595" s="770"/>
      <c r="DV595" s="770"/>
      <c r="DW595" s="306"/>
      <c r="DX595" s="306"/>
      <c r="DY595" s="770"/>
      <c r="DZ595" s="770"/>
      <c r="EA595" s="770"/>
      <c r="EB595" s="770"/>
      <c r="EC595" s="770"/>
      <c r="ED595" s="770"/>
      <c r="EE595" s="770"/>
      <c r="EF595" s="770"/>
      <c r="EG595" s="770"/>
      <c r="EH595" s="770"/>
      <c r="EI595" s="770"/>
      <c r="EJ595" s="770"/>
      <c r="EK595" s="770"/>
      <c r="EL595" s="770"/>
      <c r="EM595" s="770"/>
      <c r="EN595" s="770"/>
      <c r="EO595" s="770"/>
      <c r="EP595" s="94"/>
      <c r="EQ595" s="770"/>
      <c r="ER595" s="770"/>
      <c r="ES595" s="770"/>
      <c r="ET595" s="770"/>
      <c r="EU595" s="770"/>
      <c r="EV595" s="770"/>
      <c r="EW595" s="770"/>
      <c r="EX595" s="770"/>
      <c r="EY595" s="770"/>
      <c r="EZ595" s="770"/>
      <c r="FA595" s="770"/>
      <c r="FB595" s="770"/>
      <c r="FC595" s="770"/>
      <c r="FD595" s="302"/>
      <c r="FE595" s="770"/>
      <c r="FF595" s="770"/>
      <c r="FG595" s="770"/>
      <c r="FH595" s="770" t="s">
        <v>3230</v>
      </c>
      <c r="FI595" s="770"/>
      <c r="FJ595" s="770" t="s">
        <v>4042</v>
      </c>
      <c r="FK595" s="770"/>
      <c r="FL595" s="770" t="s">
        <v>4043</v>
      </c>
      <c r="FM595" s="302"/>
      <c r="FN595" s="302"/>
      <c r="FO595" s="302"/>
      <c r="FP595" s="770" t="s">
        <v>1600</v>
      </c>
      <c r="FQ595" s="770" t="s">
        <v>1642</v>
      </c>
      <c r="FR595" s="770" t="s">
        <v>1214</v>
      </c>
      <c r="FS595" s="770"/>
      <c r="FT595" s="770"/>
      <c r="FU595" s="770"/>
      <c r="FV595" s="770"/>
      <c r="FW595" s="770"/>
      <c r="FX595" s="770"/>
      <c r="FY595" s="770"/>
      <c r="FZ595" s="770"/>
      <c r="GA595" s="770"/>
      <c r="GB595" s="770" t="s">
        <v>853</v>
      </c>
      <c r="GC595" s="308"/>
      <c r="GD595" s="297"/>
      <c r="GE595" s="770" t="s">
        <v>1214</v>
      </c>
      <c r="GF595" s="302"/>
      <c r="GG595" s="302"/>
      <c r="GH595" s="1774"/>
      <c r="GI595" s="770"/>
      <c r="GJ595" s="770"/>
      <c r="GK595" s="770"/>
      <c r="GL595" s="770"/>
      <c r="GM595" s="770"/>
      <c r="GN595" s="299"/>
      <c r="GO595" s="770"/>
      <c r="GP595" s="770"/>
      <c r="GQ595" s="770"/>
      <c r="GR595" s="770"/>
      <c r="GS595" s="770"/>
      <c r="GT595" s="770"/>
      <c r="GU595" s="770"/>
      <c r="GV595" s="770"/>
      <c r="GW595" s="770"/>
      <c r="GX595" s="770"/>
      <c r="GY595" s="770"/>
      <c r="GZ595" s="770"/>
      <c r="HA595" s="770"/>
      <c r="HB595" s="770"/>
      <c r="HC595" s="770"/>
      <c r="HD595" s="770"/>
      <c r="HE595" s="770"/>
      <c r="HF595" s="770"/>
      <c r="HG595" s="770"/>
      <c r="HH595" s="770"/>
      <c r="HI595" s="770"/>
      <c r="HJ595" s="770"/>
      <c r="HK595" s="770"/>
      <c r="HL595" s="770"/>
      <c r="HM595" s="770"/>
      <c r="HN595" s="770"/>
      <c r="HO595" s="770"/>
      <c r="HP595" s="770"/>
      <c r="HQ595" s="770"/>
      <c r="HR595" s="770"/>
      <c r="HS595" s="770"/>
      <c r="HT595" s="770"/>
      <c r="HU595" s="770"/>
      <c r="HV595" s="770"/>
      <c r="HW595" s="770"/>
      <c r="HX595" s="770"/>
      <c r="HY595" s="770"/>
      <c r="HZ595" s="770"/>
      <c r="IA595" s="770"/>
      <c r="IB595" s="770"/>
      <c r="IC595" s="770"/>
      <c r="ID595" s="770"/>
      <c r="IE595" s="770"/>
      <c r="IF595" s="770"/>
      <c r="IG595" s="770"/>
      <c r="IH595" s="770"/>
      <c r="II595" s="770"/>
      <c r="IJ595" s="770"/>
      <c r="IK595" s="770"/>
      <c r="IL595" s="770"/>
      <c r="IM595" s="770"/>
      <c r="IN595" s="770"/>
      <c r="IO595" s="296"/>
      <c r="IP595" s="770"/>
      <c r="IQ595" s="770"/>
      <c r="IR595" s="770"/>
      <c r="IS595" s="770"/>
      <c r="IT595" s="770"/>
      <c r="IU595" s="770"/>
      <c r="IV595" s="770"/>
      <c r="IW595" s="770"/>
      <c r="IX595" s="770"/>
      <c r="IY595" s="770"/>
      <c r="IZ595" s="770"/>
      <c r="JA595" s="770"/>
      <c r="JB595" s="770"/>
      <c r="JC595" s="770"/>
      <c r="JD595" s="302"/>
      <c r="JE595" s="770"/>
      <c r="JF595" s="770"/>
      <c r="JG595" s="770"/>
      <c r="JH595" s="307"/>
      <c r="JI595" s="307"/>
      <c r="JJ595" s="770"/>
      <c r="JK595" s="770" t="s">
        <v>13788</v>
      </c>
      <c r="JL595" s="770"/>
      <c r="JM595" s="770"/>
      <c r="JN595" s="770"/>
      <c r="JO595" s="770"/>
      <c r="JP595" s="770"/>
      <c r="JQ595" s="770"/>
      <c r="JR595" s="770"/>
      <c r="JS595" s="770"/>
      <c r="JT595" s="766"/>
      <c r="JU595" s="766"/>
      <c r="JV595" s="766"/>
      <c r="JW595" s="766"/>
      <c r="JX595" s="770"/>
      <c r="JY595" s="770"/>
      <c r="JZ595" s="770"/>
      <c r="KA595" s="770"/>
      <c r="KB595" s="770"/>
      <c r="KC595" s="770"/>
      <c r="KD595" s="770"/>
      <c r="KE595" s="770"/>
      <c r="KF595" s="770"/>
      <c r="KG595" s="770"/>
      <c r="KH595" s="770"/>
      <c r="KI595" s="770"/>
      <c r="KJ595" s="770"/>
      <c r="KK595" s="770"/>
      <c r="KL595" s="770"/>
      <c r="KM595" s="770"/>
      <c r="KN595" s="770"/>
      <c r="KO595" s="770"/>
      <c r="KP595" s="770"/>
      <c r="KQ595" s="770"/>
      <c r="KR595" s="770"/>
      <c r="KS595" s="770"/>
      <c r="KT595" s="770"/>
      <c r="KU595" s="770"/>
      <c r="KV595" s="770"/>
      <c r="KW595" s="770"/>
      <c r="KX595" s="770"/>
      <c r="KY595" s="770"/>
      <c r="KZ595" s="770"/>
      <c r="LA595" s="770"/>
      <c r="LB595" s="770"/>
      <c r="LC595" s="770"/>
      <c r="LD595" s="770"/>
      <c r="LE595" s="770"/>
      <c r="LF595" s="770"/>
      <c r="LG595" s="770"/>
      <c r="LH595" s="770"/>
      <c r="LI595" s="770"/>
      <c r="LJ595" s="770"/>
      <c r="LK595" s="770"/>
      <c r="LL595" s="770"/>
      <c r="LM595" s="770"/>
      <c r="LN595" s="766"/>
      <c r="LO595" s="766"/>
      <c r="LP595" s="770"/>
      <c r="LQ595" s="770"/>
      <c r="LR595" s="770"/>
      <c r="LS595" s="770"/>
      <c r="LT595" s="770"/>
      <c r="LU595" s="770"/>
      <c r="LV595" s="770"/>
      <c r="LW595" s="770"/>
      <c r="LX595" s="769"/>
      <c r="LY595" s="766" t="str">
        <f t="shared" si="160"/>
        <v/>
      </c>
      <c r="LZ595" s="1728"/>
      <c r="MA595" s="1709"/>
      <c r="MB595" s="1709"/>
      <c r="MC595" s="1679">
        <f t="shared" si="158"/>
        <v>0</v>
      </c>
      <c r="MD595" s="1728"/>
      <c r="ME595" s="1709"/>
      <c r="MF595" s="1709"/>
      <c r="MG595" s="1680">
        <f t="shared" si="164"/>
        <v>0</v>
      </c>
      <c r="MH595" s="770"/>
      <c r="MI595" s="302"/>
      <c r="MJ595" s="302"/>
      <c r="MK595" s="302"/>
      <c r="ML595" s="302"/>
      <c r="MM595" s="302"/>
      <c r="MN595" s="12"/>
      <c r="MO595" s="302"/>
      <c r="MP595" s="302"/>
      <c r="MQ595" s="302"/>
      <c r="MR595" s="302"/>
      <c r="MS595" s="302"/>
      <c r="MT595" s="302"/>
      <c r="MU595" s="302"/>
      <c r="MV595" s="302"/>
      <c r="MW595" s="302"/>
      <c r="MX595" s="302"/>
      <c r="MY595" s="1682">
        <f t="shared" si="165"/>
        <v>0</v>
      </c>
      <c r="MZ595" s="770"/>
      <c r="NA595" s="770"/>
      <c r="NB595" s="770"/>
      <c r="NC595" s="770"/>
      <c r="ND595" s="770"/>
      <c r="NE595" s="770"/>
      <c r="NF595" s="770"/>
      <c r="NG595" s="770"/>
      <c r="NH595" s="770"/>
      <c r="NI595" s="770"/>
      <c r="NJ595" s="770"/>
      <c r="NK595" s="770"/>
      <c r="NL595" s="770"/>
      <c r="NM595" s="770"/>
      <c r="NN595" s="770"/>
      <c r="NO595" s="770"/>
      <c r="NP595" s="770"/>
      <c r="NQ595" s="770"/>
      <c r="NR595" s="770"/>
      <c r="NS595" s="770"/>
      <c r="NT595" s="770"/>
      <c r="NU595" s="770"/>
      <c r="NV595" s="770"/>
      <c r="NW595" s="770"/>
      <c r="NX595" s="770"/>
      <c r="NY595" s="770"/>
      <c r="NZ595" s="770"/>
      <c r="OA595" s="770"/>
      <c r="OB595" s="770"/>
      <c r="OC595" s="770"/>
      <c r="OD595" s="770"/>
      <c r="OE595" s="770"/>
      <c r="OF595" s="770"/>
      <c r="OG595" s="770"/>
      <c r="OH595" s="770"/>
      <c r="OI595" s="770"/>
      <c r="OJ595" s="770"/>
      <c r="OK595" s="770"/>
      <c r="OL595" s="770"/>
      <c r="OM595" s="770"/>
      <c r="ON595" s="770"/>
      <c r="OO595" s="770"/>
      <c r="OP595" s="770"/>
      <c r="OQ595" s="770"/>
      <c r="OR595" s="770"/>
      <c r="OS595" s="770"/>
      <c r="OT595" s="770"/>
      <c r="OU595" s="770"/>
      <c r="OV595" s="770"/>
      <c r="OW595" s="770"/>
      <c r="OX595" s="770"/>
      <c r="OY595" s="770"/>
      <c r="OZ595" s="770"/>
      <c r="PA595" s="770"/>
      <c r="PB595" s="770"/>
      <c r="PC595" s="770"/>
      <c r="PD595" s="770"/>
      <c r="PE595" s="770"/>
      <c r="PF595" s="770"/>
      <c r="PG595" s="770"/>
      <c r="PH595" s="770"/>
      <c r="PI595" s="770"/>
      <c r="PJ595" s="770"/>
      <c r="PK595" s="770"/>
      <c r="PL595" s="770"/>
      <c r="PM595" s="770"/>
      <c r="PN595" s="770"/>
      <c r="PO595" s="770"/>
      <c r="PP595" s="770"/>
      <c r="PQ595" s="770"/>
      <c r="PR595" s="770"/>
      <c r="PS595" s="770"/>
      <c r="PT595" s="770"/>
      <c r="PU595" s="770"/>
      <c r="PV595" s="770"/>
      <c r="PW595" s="770"/>
      <c r="PX595" s="770"/>
      <c r="PY595" s="770"/>
      <c r="PZ595" s="770"/>
      <c r="QA595" s="770"/>
      <c r="QB595" s="770"/>
      <c r="QC595" s="770"/>
      <c r="QD595" s="770"/>
      <c r="QE595" s="770"/>
      <c r="QF595" s="770"/>
      <c r="QG595" s="770"/>
      <c r="QH595" s="770"/>
      <c r="QI595" s="770"/>
      <c r="QJ595" s="770"/>
      <c r="QK595" s="770"/>
      <c r="QL595" s="770"/>
      <c r="QM595" s="770"/>
      <c r="QN595" s="770"/>
      <c r="QO595" s="770"/>
      <c r="QP595" s="770"/>
      <c r="QQ595" s="770"/>
      <c r="QR595" s="770"/>
      <c r="QS595" s="770"/>
      <c r="QT595" s="770"/>
      <c r="QU595" s="770"/>
      <c r="QV595" s="770"/>
      <c r="QW595" s="770"/>
      <c r="QX595" s="770"/>
      <c r="QY595" s="770"/>
      <c r="QZ595" s="770"/>
      <c r="RA595" s="770"/>
      <c r="RB595" s="770"/>
      <c r="RC595" s="770"/>
      <c r="RD595" s="770"/>
      <c r="RE595" s="770"/>
      <c r="RF595" s="304"/>
      <c r="RG595" s="770"/>
      <c r="RH595" s="302"/>
      <c r="RI595" s="770"/>
      <c r="RJ595" s="770" t="s">
        <v>13789</v>
      </c>
      <c r="RK595" s="770" t="s">
        <v>13556</v>
      </c>
      <c r="RL595" s="1710">
        <v>42833</v>
      </c>
      <c r="RM595" s="12"/>
      <c r="RN595" s="1711"/>
      <c r="RO595" s="132" t="s">
        <v>4036</v>
      </c>
      <c r="RP595" s="11"/>
      <c r="RQ595" s="11"/>
      <c r="RR595" s="17"/>
      <c r="RS595" s="767"/>
      <c r="RT595" s="11"/>
      <c r="RU595" s="11"/>
      <c r="RV595" s="771" t="s">
        <v>7419</v>
      </c>
      <c r="RW595" s="11" t="s">
        <v>7723</v>
      </c>
      <c r="RX595" s="11" t="s">
        <v>4016</v>
      </c>
      <c r="RY595" s="11"/>
      <c r="RZ595" s="11" t="s">
        <v>1101</v>
      </c>
      <c r="SA595" s="771"/>
      <c r="SB595" s="11"/>
      <c r="SC595" s="11"/>
    </row>
    <row r="596" spans="1:497" ht="12.75" customHeight="1">
      <c r="A596" s="17" t="s">
        <v>7421</v>
      </c>
      <c r="B596" s="752" t="s">
        <v>7824</v>
      </c>
      <c r="C596" s="133" t="s">
        <v>4044</v>
      </c>
      <c r="D596" s="94" t="s">
        <v>14061</v>
      </c>
      <c r="E596" s="766" t="s">
        <v>2989</v>
      </c>
      <c r="F596" s="770" t="s">
        <v>28</v>
      </c>
      <c r="G596" s="770" t="s">
        <v>10</v>
      </c>
      <c r="H596" s="770"/>
      <c r="I596" s="295"/>
      <c r="J596" s="94" t="s">
        <v>14061</v>
      </c>
      <c r="K596" s="766" t="s">
        <v>3965</v>
      </c>
      <c r="L596" s="766" t="s">
        <v>3050</v>
      </c>
      <c r="M596" s="770" t="s">
        <v>1238</v>
      </c>
      <c r="N596" s="770"/>
      <c r="O596" s="770" t="s">
        <v>3844</v>
      </c>
      <c r="P596" s="94" t="s">
        <v>14124</v>
      </c>
      <c r="Q596" s="1088">
        <v>16421</v>
      </c>
      <c r="R596" s="297">
        <v>72</v>
      </c>
      <c r="S596" s="770" t="s">
        <v>10</v>
      </c>
      <c r="T596" s="770"/>
      <c r="U596" s="295"/>
      <c r="V596" s="12" t="s">
        <v>707</v>
      </c>
      <c r="W596" s="12"/>
      <c r="X596" s="12"/>
      <c r="Y596" s="770" t="s">
        <v>2989</v>
      </c>
      <c r="Z596" s="770" t="s">
        <v>708</v>
      </c>
      <c r="AA596" s="770" t="s">
        <v>709</v>
      </c>
      <c r="AB596" s="770" t="s">
        <v>710</v>
      </c>
      <c r="AC596" s="770" t="s">
        <v>724</v>
      </c>
      <c r="AD596" s="770" t="s">
        <v>711</v>
      </c>
      <c r="AE596" s="770"/>
      <c r="AF596" s="770" t="s">
        <v>712</v>
      </c>
      <c r="AG596" s="766" t="s">
        <v>1095</v>
      </c>
      <c r="AH596" s="766" t="s">
        <v>1096</v>
      </c>
      <c r="AI596" s="770" t="s">
        <v>3294</v>
      </c>
      <c r="AJ596" s="770"/>
      <c r="AK596" s="770" t="s">
        <v>1101</v>
      </c>
      <c r="AL596" s="531">
        <v>12.54</v>
      </c>
      <c r="AM596" s="780">
        <v>9.69</v>
      </c>
      <c r="AN596" s="532">
        <f>AM596/AL596</f>
        <v>0.77272727272727271</v>
      </c>
      <c r="AO596" s="766" t="s">
        <v>1105</v>
      </c>
      <c r="AP596" s="766"/>
      <c r="AQ596" s="766"/>
      <c r="AR596" s="766"/>
      <c r="AS596" s="769"/>
      <c r="AT596" s="770"/>
      <c r="AU596" s="770"/>
      <c r="AV596" s="770"/>
      <c r="AW596" s="770"/>
      <c r="AX596" s="770"/>
      <c r="AY596" s="770"/>
      <c r="AZ596" s="770"/>
      <c r="BA596" s="770"/>
      <c r="BB596" s="770"/>
      <c r="BC596" s="770"/>
      <c r="BD596" s="770"/>
      <c r="BE596" s="770"/>
      <c r="BF596" s="302"/>
      <c r="BG596" s="302"/>
      <c r="BH596" s="770"/>
      <c r="BI596" s="770"/>
      <c r="BJ596" s="770"/>
      <c r="BK596" s="770" t="s">
        <v>1095</v>
      </c>
      <c r="BL596" s="770" t="s">
        <v>8126</v>
      </c>
      <c r="BM596" s="766" t="s">
        <v>1096</v>
      </c>
      <c r="BN596" s="770" t="s">
        <v>1256</v>
      </c>
      <c r="BO596" s="766" t="s">
        <v>1239</v>
      </c>
      <c r="BP596" s="1109">
        <v>25.08</v>
      </c>
      <c r="BQ596" s="773">
        <v>19.38</v>
      </c>
      <c r="BR596" s="774">
        <f t="shared" si="166"/>
        <v>0.77272727272727271</v>
      </c>
      <c r="BS596" s="766" t="s">
        <v>1105</v>
      </c>
      <c r="BT596" s="766" t="s">
        <v>8133</v>
      </c>
      <c r="BU596" s="770" t="s">
        <v>1249</v>
      </c>
      <c r="BV596" s="770" t="s">
        <v>1247</v>
      </c>
      <c r="BW596" s="770">
        <v>1968</v>
      </c>
      <c r="BX596" s="302"/>
      <c r="BY596" s="770"/>
      <c r="BZ596" s="302"/>
      <c r="CA596" s="770"/>
      <c r="CB596" s="770" t="s">
        <v>1207</v>
      </c>
      <c r="CC596" s="770"/>
      <c r="CD596" s="770"/>
      <c r="CE596" s="770"/>
      <c r="CF596" s="1753"/>
      <c r="CG596" s="1754"/>
      <c r="CH596" s="770"/>
      <c r="CI596" s="770"/>
      <c r="CJ596" s="770"/>
      <c r="CK596" s="770"/>
      <c r="CL596" s="770"/>
      <c r="CM596" s="770"/>
      <c r="CN596" s="770"/>
      <c r="CO596" s="770"/>
      <c r="CP596" s="94" t="s">
        <v>14061</v>
      </c>
      <c r="CQ596" s="770">
        <v>1968</v>
      </c>
      <c r="CR596" s="302"/>
      <c r="CS596" s="770"/>
      <c r="CT596" s="770" t="s">
        <v>4045</v>
      </c>
      <c r="CU596" s="305">
        <v>20</v>
      </c>
      <c r="CV596" s="770">
        <v>1</v>
      </c>
      <c r="CW596" s="770"/>
      <c r="CX596" s="770"/>
      <c r="CY596" s="770"/>
      <c r="CZ596" s="770"/>
      <c r="DA596" s="306"/>
      <c r="DB596" s="770"/>
      <c r="DC596" s="770"/>
      <c r="DD596" s="770"/>
      <c r="DE596" s="300"/>
      <c r="DF596" s="770"/>
      <c r="DG596" s="770"/>
      <c r="DH596" s="770"/>
      <c r="DI596" s="770"/>
      <c r="DJ596" s="770"/>
      <c r="DK596" s="770"/>
      <c r="DL596" s="770"/>
      <c r="DM596" s="770"/>
      <c r="DN596" s="322"/>
      <c r="DO596" s="770"/>
      <c r="DP596" s="770"/>
      <c r="DQ596" s="770"/>
      <c r="DR596" s="770"/>
      <c r="DS596" s="307"/>
      <c r="DT596" s="770"/>
      <c r="DU596" s="770"/>
      <c r="DV596" s="770"/>
      <c r="DW596" s="306"/>
      <c r="DX596" s="306"/>
      <c r="DY596" s="770"/>
      <c r="DZ596" s="770"/>
      <c r="EA596" s="770"/>
      <c r="EB596" s="770"/>
      <c r="EC596" s="770"/>
      <c r="ED596" s="770"/>
      <c r="EE596" s="770"/>
      <c r="EF596" s="770"/>
      <c r="EG596" s="770"/>
      <c r="EH596" s="770"/>
      <c r="EI596" s="770"/>
      <c r="EJ596" s="770"/>
      <c r="EK596" s="770"/>
      <c r="EL596" s="770"/>
      <c r="EM596" s="770"/>
      <c r="EN596" s="770"/>
      <c r="EO596" s="770"/>
      <c r="EP596" s="94"/>
      <c r="EQ596" s="770"/>
      <c r="ER596" s="770"/>
      <c r="ES596" s="770"/>
      <c r="ET596" s="770"/>
      <c r="EU596" s="770"/>
      <c r="EV596" s="770"/>
      <c r="EW596" s="770"/>
      <c r="EX596" s="770"/>
      <c r="EY596" s="770"/>
      <c r="EZ596" s="770"/>
      <c r="FA596" s="770"/>
      <c r="FB596" s="770"/>
      <c r="FC596" s="770"/>
      <c r="FD596" s="302"/>
      <c r="FE596" s="770"/>
      <c r="FF596" s="770"/>
      <c r="FG596" s="770"/>
      <c r="FH596" s="770" t="s">
        <v>478</v>
      </c>
      <c r="FI596" s="770">
        <v>1</v>
      </c>
      <c r="FJ596" s="770"/>
      <c r="FK596" s="770"/>
      <c r="FL596" s="770"/>
      <c r="FM596" s="302"/>
      <c r="FN596" s="302"/>
      <c r="FO596" s="302"/>
      <c r="FP596" s="766" t="s">
        <v>1602</v>
      </c>
      <c r="FQ596" s="766" t="s">
        <v>1660</v>
      </c>
      <c r="FR596" s="770" t="s">
        <v>1214</v>
      </c>
      <c r="FS596" s="770"/>
      <c r="FT596" s="770"/>
      <c r="FU596" s="770"/>
      <c r="FV596" s="770"/>
      <c r="FW596" s="770"/>
      <c r="FX596" s="770"/>
      <c r="FY596" s="770"/>
      <c r="FZ596" s="770"/>
      <c r="GA596" s="770"/>
      <c r="GB596" s="770" t="s">
        <v>1734</v>
      </c>
      <c r="GC596" s="308"/>
      <c r="GD596" s="297">
        <v>1968</v>
      </c>
      <c r="GE596" s="770" t="s">
        <v>1214</v>
      </c>
      <c r="GF596" s="302"/>
      <c r="GG596" s="302"/>
      <c r="GH596" s="712" t="s">
        <v>1791</v>
      </c>
      <c r="GI596" s="770"/>
      <c r="GJ596" s="770"/>
      <c r="GK596" s="770" t="s">
        <v>2335</v>
      </c>
      <c r="GL596" s="770"/>
      <c r="GM596" s="770"/>
      <c r="GN596" s="299" t="s">
        <v>3862</v>
      </c>
      <c r="GO596" s="770" t="s">
        <v>2770</v>
      </c>
      <c r="GP596" s="770" t="s">
        <v>1208</v>
      </c>
      <c r="GQ596" s="770" t="s">
        <v>1208</v>
      </c>
      <c r="GR596" s="770" t="s">
        <v>1208</v>
      </c>
      <c r="GS596" s="770" t="s">
        <v>1208</v>
      </c>
      <c r="GT596" s="770" t="s">
        <v>1208</v>
      </c>
      <c r="GU596" s="770"/>
      <c r="GV596" s="770"/>
      <c r="GW596" s="770" t="s">
        <v>1207</v>
      </c>
      <c r="GX596" s="770"/>
      <c r="GY596" s="770" t="s">
        <v>1208</v>
      </c>
      <c r="GZ596" s="770" t="s">
        <v>1208</v>
      </c>
      <c r="HA596" s="770" t="s">
        <v>1208</v>
      </c>
      <c r="HB596" s="770" t="s">
        <v>1208</v>
      </c>
      <c r="HC596" s="770" t="s">
        <v>1208</v>
      </c>
      <c r="HD596" s="770" t="s">
        <v>1208</v>
      </c>
      <c r="HE596" s="770" t="s">
        <v>1208</v>
      </c>
      <c r="HF596" s="770"/>
      <c r="HG596" s="770"/>
      <c r="HH596" s="770"/>
      <c r="HI596" s="770" t="s">
        <v>1214</v>
      </c>
      <c r="HJ596" s="770"/>
      <c r="HK596" s="770"/>
      <c r="HL596" s="770" t="s">
        <v>1214</v>
      </c>
      <c r="HM596" s="770"/>
      <c r="HN596" s="770"/>
      <c r="HO596" s="770"/>
      <c r="HP596" s="770"/>
      <c r="HQ596" s="770"/>
      <c r="HR596" s="770">
        <v>1</v>
      </c>
      <c r="HS596" s="770"/>
      <c r="HT596" s="770">
        <v>1</v>
      </c>
      <c r="HU596" s="770"/>
      <c r="HV596" s="770"/>
      <c r="HW596" s="770"/>
      <c r="HX596" s="770"/>
      <c r="HY596" s="770"/>
      <c r="HZ596" s="770"/>
      <c r="IA596" s="770"/>
      <c r="IB596" s="14" t="e">
        <f>IF(#REF!&gt;0,IF(#REF!&lt;=10000,"Y",""),"")</f>
        <v>#REF!</v>
      </c>
      <c r="IC596" s="770"/>
      <c r="ID596" s="770">
        <v>2</v>
      </c>
      <c r="IE596" s="770"/>
      <c r="IF596" s="1839" t="s">
        <v>14061</v>
      </c>
      <c r="IG596" s="770" t="s">
        <v>10</v>
      </c>
      <c r="IH596" s="770" t="s">
        <v>478</v>
      </c>
      <c r="II596" s="770" t="s">
        <v>2989</v>
      </c>
      <c r="IJ596" s="770" t="s">
        <v>1909</v>
      </c>
      <c r="IK596" s="770" t="s">
        <v>2639</v>
      </c>
      <c r="IL596" s="94" t="s">
        <v>14062</v>
      </c>
      <c r="IM596" s="770">
        <v>2014</v>
      </c>
      <c r="IN596" s="94" t="s">
        <v>14062</v>
      </c>
      <c r="IO596" s="296">
        <v>16421</v>
      </c>
      <c r="IP596" s="770" t="s">
        <v>478</v>
      </c>
      <c r="IQ596" s="13" t="s">
        <v>1909</v>
      </c>
      <c r="IR596" s="770" t="s">
        <v>1964</v>
      </c>
      <c r="IS596" s="770" t="s">
        <v>951</v>
      </c>
      <c r="IT596" s="770"/>
      <c r="IU596" s="770" t="s">
        <v>1208</v>
      </c>
      <c r="IV596" s="770"/>
      <c r="IW596" s="94" t="s">
        <v>14063</v>
      </c>
      <c r="IX596" s="770"/>
      <c r="IY596" s="770"/>
      <c r="IZ596" s="770"/>
      <c r="JA596" s="770" t="s">
        <v>1880</v>
      </c>
      <c r="JB596" s="770" t="s">
        <v>1901</v>
      </c>
      <c r="JC596" s="770"/>
      <c r="JD596" s="302">
        <v>5000</v>
      </c>
      <c r="JE596" s="770"/>
      <c r="JF596" s="770"/>
      <c r="JG596" s="770"/>
      <c r="JH596" s="307"/>
      <c r="JI596" s="307"/>
      <c r="JJ596" s="770">
        <v>4</v>
      </c>
      <c r="JK596" s="1139" t="s">
        <v>13790</v>
      </c>
      <c r="JL596" s="770"/>
      <c r="JM596" s="770"/>
      <c r="JN596" s="770">
        <v>1</v>
      </c>
      <c r="JO596" s="770">
        <v>1</v>
      </c>
      <c r="JP596" s="770">
        <v>1</v>
      </c>
      <c r="JQ596" s="770">
        <v>1</v>
      </c>
      <c r="JR596" s="770"/>
      <c r="JS596" s="770"/>
      <c r="JT596" s="766">
        <f>SUM(JP596,JN596,JL596,JR596)</f>
        <v>2</v>
      </c>
      <c r="JU596" s="766">
        <f>SUM(JQ596,JO596,JM596,JS596)</f>
        <v>2</v>
      </c>
      <c r="JV596" s="712" t="str">
        <f t="shared" ref="JV596:JV602" si="169">IF(JT596=KJ596,"ok","male")</f>
        <v>ok</v>
      </c>
      <c r="JW596" s="712" t="str">
        <f t="shared" ref="JW596:JW602" si="170">IF(JU596=KK596,"ok","female")</f>
        <v>ok</v>
      </c>
      <c r="JX596" s="770"/>
      <c r="JY596" s="770"/>
      <c r="JZ596" s="770"/>
      <c r="KA596" s="770"/>
      <c r="KB596" s="770">
        <v>1</v>
      </c>
      <c r="KC596" s="770"/>
      <c r="KD596" s="770"/>
      <c r="KE596" s="770">
        <v>1</v>
      </c>
      <c r="KF596" s="770">
        <v>1</v>
      </c>
      <c r="KG596" s="770">
        <v>1</v>
      </c>
      <c r="KH596" s="770"/>
      <c r="KI596" s="770"/>
      <c r="KJ596" s="770">
        <f t="shared" si="168"/>
        <v>2</v>
      </c>
      <c r="KK596" s="770">
        <f t="shared" si="168"/>
        <v>2</v>
      </c>
      <c r="KL596" s="712" t="str">
        <f t="shared" ref="KL596:KL602" si="171">IF(KJ596=LN596,"ok","male")</f>
        <v>ok</v>
      </c>
      <c r="KM596" s="712" t="str">
        <f t="shared" ref="KM596:KM602" si="172">IF(KK596=LO596,"ok","female")</f>
        <v>ok</v>
      </c>
      <c r="KN596" s="770" t="s">
        <v>707</v>
      </c>
      <c r="KO596" s="770"/>
      <c r="KP596" s="770"/>
      <c r="KQ596" s="770"/>
      <c r="KR596" s="770"/>
      <c r="KS596" s="770"/>
      <c r="KT596" s="770">
        <v>1</v>
      </c>
      <c r="KU596" s="770">
        <v>1</v>
      </c>
      <c r="KV596" s="770"/>
      <c r="KW596" s="770"/>
      <c r="KX596" s="770"/>
      <c r="KY596" s="770"/>
      <c r="KZ596" s="770"/>
      <c r="LA596" s="770"/>
      <c r="LB596" s="770"/>
      <c r="LC596" s="770"/>
      <c r="LD596" s="770">
        <v>1</v>
      </c>
      <c r="LE596" s="770">
        <v>1</v>
      </c>
      <c r="LF596" s="770"/>
      <c r="LG596" s="770"/>
      <c r="LH596" s="770"/>
      <c r="LI596" s="770"/>
      <c r="LJ596" s="770"/>
      <c r="LK596" s="770"/>
      <c r="LL596" s="770"/>
      <c r="LM596" s="770"/>
      <c r="LN596" s="766">
        <f t="shared" si="159"/>
        <v>2</v>
      </c>
      <c r="LO596" s="766">
        <f t="shared" si="159"/>
        <v>2</v>
      </c>
      <c r="LP596" s="770">
        <v>2</v>
      </c>
      <c r="LQ596" s="770">
        <v>1</v>
      </c>
      <c r="LR596" s="770"/>
      <c r="LS596" s="770">
        <v>1</v>
      </c>
      <c r="LT596" s="712" t="str">
        <f t="shared" ref="LT596:LT602" si="173">IF(LQ596=SUM(LU596:LW596),"OK","REV")</f>
        <v>OK</v>
      </c>
      <c r="LU596" s="770"/>
      <c r="LV596" s="770">
        <v>1</v>
      </c>
      <c r="LW596" s="770"/>
      <c r="LX596" s="769">
        <v>1</v>
      </c>
      <c r="LY596" s="766" t="str">
        <f t="shared" si="160"/>
        <v>within the BRGY</v>
      </c>
      <c r="LZ596" s="1728"/>
      <c r="MA596" s="1709"/>
      <c r="MB596" s="1709"/>
      <c r="MC596" s="1679">
        <f t="shared" si="158"/>
        <v>0</v>
      </c>
      <c r="MD596" s="1789"/>
      <c r="ME596" s="1696"/>
      <c r="MF596" s="1696">
        <v>5000</v>
      </c>
      <c r="MG596" s="1680">
        <f t="shared" ref="MG596:MG602" si="174">SUM(MD596:MF596)</f>
        <v>5000</v>
      </c>
      <c r="MH596" s="770" t="s">
        <v>1928</v>
      </c>
      <c r="MI596" s="302">
        <f>300*30</f>
        <v>9000</v>
      </c>
      <c r="MJ596" s="302">
        <f>43*4*30</f>
        <v>5160</v>
      </c>
      <c r="MK596" s="302">
        <v>400</v>
      </c>
      <c r="ML596" s="302">
        <v>300</v>
      </c>
      <c r="MM596" s="302"/>
      <c r="MN596" s="12"/>
      <c r="MO596" s="302"/>
      <c r="MP596" s="302">
        <v>1000</v>
      </c>
      <c r="MQ596" s="302">
        <v>400</v>
      </c>
      <c r="MR596" s="302">
        <v>300</v>
      </c>
      <c r="MS596" s="302"/>
      <c r="MT596" s="302"/>
      <c r="MU596" s="302"/>
      <c r="MV596" s="302"/>
      <c r="MW596" s="302"/>
      <c r="MX596" s="302"/>
      <c r="MY596" s="1682">
        <f t="shared" si="165"/>
        <v>16560</v>
      </c>
      <c r="MZ596" s="770" t="s">
        <v>13370</v>
      </c>
      <c r="NA596" s="770" t="s">
        <v>13005</v>
      </c>
      <c r="NB596" s="770" t="s">
        <v>13016</v>
      </c>
      <c r="NC596" s="770" t="s">
        <v>13602</v>
      </c>
      <c r="ND596" s="770">
        <v>0</v>
      </c>
      <c r="NE596" s="770">
        <v>0</v>
      </c>
      <c r="NF596" s="770">
        <v>0</v>
      </c>
      <c r="NG596" s="770">
        <v>2</v>
      </c>
      <c r="NH596" s="770">
        <v>2</v>
      </c>
      <c r="NI596" s="770">
        <v>1</v>
      </c>
      <c r="NJ596" s="770">
        <v>0</v>
      </c>
      <c r="NK596" s="770">
        <v>0</v>
      </c>
      <c r="NL596" s="770">
        <v>1</v>
      </c>
      <c r="NM596" s="770">
        <v>1</v>
      </c>
      <c r="NN596" s="770">
        <v>0</v>
      </c>
      <c r="NO596" s="770">
        <v>0</v>
      </c>
      <c r="NP596" s="770">
        <v>0</v>
      </c>
      <c r="NQ596" s="770">
        <v>0</v>
      </c>
      <c r="NR596" s="770">
        <v>0</v>
      </c>
      <c r="NS596" s="770">
        <v>0</v>
      </c>
      <c r="NT596" s="770">
        <v>0</v>
      </c>
      <c r="NU596" s="770">
        <v>0</v>
      </c>
      <c r="NV596" s="770">
        <v>0</v>
      </c>
      <c r="NW596" s="770">
        <v>0</v>
      </c>
      <c r="NX596" s="770">
        <v>0</v>
      </c>
      <c r="NY596" s="770"/>
      <c r="NZ596" s="770"/>
      <c r="OA596" s="770"/>
      <c r="OB596" s="770"/>
      <c r="OC596" s="770" t="s">
        <v>1208</v>
      </c>
      <c r="OD596" s="770" t="s">
        <v>1208</v>
      </c>
      <c r="OE596" s="770"/>
      <c r="OF596" s="1828" t="s">
        <v>2143</v>
      </c>
      <c r="OG596" s="770"/>
      <c r="OH596" s="770"/>
      <c r="OI596" s="770"/>
      <c r="OJ596" s="770"/>
      <c r="OK596" s="1828" t="s">
        <v>1208</v>
      </c>
      <c r="OL596" s="1828" t="s">
        <v>13429</v>
      </c>
      <c r="OM596" s="770" t="s">
        <v>13791</v>
      </c>
      <c r="ON596" s="770"/>
      <c r="OO596" s="770" t="s">
        <v>1207</v>
      </c>
      <c r="OP596" s="770" t="s">
        <v>13429</v>
      </c>
      <c r="OQ596" s="770" t="s">
        <v>13758</v>
      </c>
      <c r="OR596" s="770"/>
      <c r="OS596" s="770"/>
      <c r="OT596" s="770"/>
      <c r="OU596" s="770"/>
      <c r="OV596" s="770" t="s">
        <v>1208</v>
      </c>
      <c r="OW596" s="770" t="s">
        <v>1208</v>
      </c>
      <c r="OX596" s="770"/>
      <c r="OY596" s="770"/>
      <c r="OZ596" s="770"/>
      <c r="PA596" s="770"/>
      <c r="PB596" s="770"/>
      <c r="PC596" s="770"/>
      <c r="PD596" s="770"/>
      <c r="PE596" s="770"/>
      <c r="PF596" s="770"/>
      <c r="PG596" s="770"/>
      <c r="PH596" s="770"/>
      <c r="PI596" s="770"/>
      <c r="PJ596" s="770"/>
      <c r="PK596" s="770"/>
      <c r="PL596" s="770"/>
      <c r="PM596" s="770"/>
      <c r="PN596" s="770"/>
      <c r="PO596" s="770"/>
      <c r="PP596" s="770"/>
      <c r="PQ596" s="770"/>
      <c r="PR596" s="770"/>
      <c r="PS596" s="770"/>
      <c r="PT596" s="770"/>
      <c r="PU596" s="770"/>
      <c r="PV596" s="770"/>
      <c r="PW596" s="770"/>
      <c r="PX596" s="770"/>
      <c r="PY596" s="770"/>
      <c r="PZ596" s="770"/>
      <c r="QA596" s="770"/>
      <c r="QB596" s="770"/>
      <c r="QC596" s="770"/>
      <c r="QD596" s="770"/>
      <c r="QE596" s="770"/>
      <c r="QF596" s="770"/>
      <c r="QG596" s="770"/>
      <c r="QH596" s="770"/>
      <c r="QI596" s="770"/>
      <c r="QJ596" s="770"/>
      <c r="QK596" s="770"/>
      <c r="QL596" s="770"/>
      <c r="QM596" s="770"/>
      <c r="QN596" s="770"/>
      <c r="QO596" s="770"/>
      <c r="QP596" s="770"/>
      <c r="QQ596" s="770"/>
      <c r="QR596" s="770"/>
      <c r="QS596" s="770"/>
      <c r="QT596" s="770"/>
      <c r="QU596" s="770"/>
      <c r="QV596" s="770"/>
      <c r="QW596" s="770"/>
      <c r="QX596" s="770"/>
      <c r="QY596" s="770"/>
      <c r="QZ596" s="770"/>
      <c r="RA596" s="770"/>
      <c r="RB596" s="770" t="s">
        <v>1214</v>
      </c>
      <c r="RC596" s="770"/>
      <c r="RD596" s="770"/>
      <c r="RE596" s="770"/>
      <c r="RF596" s="304"/>
      <c r="RG596" s="770"/>
      <c r="RH596" s="302"/>
      <c r="RI596" s="770"/>
      <c r="RJ596" s="770" t="s">
        <v>14062</v>
      </c>
      <c r="RK596" s="770" t="s">
        <v>13544</v>
      </c>
      <c r="RL596" s="1710">
        <v>42833</v>
      </c>
      <c r="RM596" s="12"/>
      <c r="RN596" s="1711"/>
      <c r="RO596" s="133" t="s">
        <v>4044</v>
      </c>
      <c r="RP596" s="11"/>
      <c r="RQ596" s="11"/>
      <c r="RR596" s="17" t="s">
        <v>7421</v>
      </c>
      <c r="RS596" s="1139" t="s">
        <v>12980</v>
      </c>
      <c r="RT596" s="11"/>
      <c r="RU596" s="11"/>
      <c r="RV596" s="771" t="s">
        <v>7419</v>
      </c>
      <c r="RW596" s="11" t="s">
        <v>7823</v>
      </c>
      <c r="RX596" s="11" t="s">
        <v>4026</v>
      </c>
      <c r="RY596" s="11"/>
      <c r="RZ596" s="11" t="s">
        <v>1101</v>
      </c>
      <c r="SA596" s="771"/>
      <c r="SB596" s="11"/>
      <c r="SC596" s="11"/>
    </row>
    <row r="597" spans="1:497" ht="12.75" customHeight="1">
      <c r="A597" s="17" t="s">
        <v>7421</v>
      </c>
      <c r="B597" s="752" t="s">
        <v>7825</v>
      </c>
      <c r="C597" s="133" t="s">
        <v>2987</v>
      </c>
      <c r="D597" s="94" t="s">
        <v>2988</v>
      </c>
      <c r="E597" s="766" t="s">
        <v>2989</v>
      </c>
      <c r="F597" s="770" t="s">
        <v>28</v>
      </c>
      <c r="G597" s="770" t="s">
        <v>10</v>
      </c>
      <c r="H597" s="770"/>
      <c r="I597" s="295" t="s">
        <v>5342</v>
      </c>
      <c r="J597" s="94" t="s">
        <v>2988</v>
      </c>
      <c r="K597" s="766" t="s">
        <v>7892</v>
      </c>
      <c r="L597" s="766" t="s">
        <v>2801</v>
      </c>
      <c r="M597" s="770" t="s">
        <v>1238</v>
      </c>
      <c r="N597" s="770"/>
      <c r="O597" s="770" t="s">
        <v>3844</v>
      </c>
      <c r="P597" s="94" t="s">
        <v>2991</v>
      </c>
      <c r="Q597" s="1088">
        <v>29601</v>
      </c>
      <c r="R597" s="297">
        <v>26</v>
      </c>
      <c r="S597" s="770" t="s">
        <v>10</v>
      </c>
      <c r="T597" s="770"/>
      <c r="U597" s="295" t="s">
        <v>2990</v>
      </c>
      <c r="V597" s="770" t="s">
        <v>2970</v>
      </c>
      <c r="W597" s="770"/>
      <c r="X597" s="770"/>
      <c r="Y597" s="770" t="s">
        <v>2989</v>
      </c>
      <c r="Z597" s="770" t="s">
        <v>708</v>
      </c>
      <c r="AA597" s="770" t="s">
        <v>781</v>
      </c>
      <c r="AB597" s="770" t="s">
        <v>7275</v>
      </c>
      <c r="AC597" s="770" t="s">
        <v>948</v>
      </c>
      <c r="AD597" s="770"/>
      <c r="AE597" s="770"/>
      <c r="AF597" s="770" t="s">
        <v>712</v>
      </c>
      <c r="AG597" s="766" t="s">
        <v>1095</v>
      </c>
      <c r="AH597" s="766" t="s">
        <v>1096</v>
      </c>
      <c r="AI597" s="770" t="s">
        <v>3294</v>
      </c>
      <c r="AJ597" s="770"/>
      <c r="AK597" s="770" t="s">
        <v>1101</v>
      </c>
      <c r="AL597" s="531">
        <v>80.64</v>
      </c>
      <c r="AM597" s="780">
        <v>14.4</v>
      </c>
      <c r="AN597" s="532">
        <f>AM597/AL597</f>
        <v>0.17857142857142858</v>
      </c>
      <c r="AO597" s="766" t="s">
        <v>1109</v>
      </c>
      <c r="AP597" s="766"/>
      <c r="AQ597" s="766"/>
      <c r="AR597" s="766"/>
      <c r="AS597" s="769"/>
      <c r="AT597" s="770"/>
      <c r="AU597" s="770"/>
      <c r="AV597" s="770"/>
      <c r="AW597" s="770"/>
      <c r="AX597" s="770"/>
      <c r="AY597" s="770"/>
      <c r="AZ597" s="770"/>
      <c r="BA597" s="770"/>
      <c r="BB597" s="770"/>
      <c r="BC597" s="770"/>
      <c r="BD597" s="770"/>
      <c r="BE597" s="770"/>
      <c r="BF597" s="302"/>
      <c r="BG597" s="302"/>
      <c r="BH597" s="770"/>
      <c r="BI597" s="770"/>
      <c r="BJ597" s="770"/>
      <c r="BK597" s="770" t="s">
        <v>1095</v>
      </c>
      <c r="BL597" s="770" t="s">
        <v>7915</v>
      </c>
      <c r="BM597" s="766" t="s">
        <v>1096</v>
      </c>
      <c r="BN597" s="770" t="s">
        <v>3230</v>
      </c>
      <c r="BO597" s="766" t="s">
        <v>1239</v>
      </c>
      <c r="BP597" s="1109">
        <v>161.28</v>
      </c>
      <c r="BQ597" s="773">
        <v>28.8</v>
      </c>
      <c r="BR597" s="774">
        <f t="shared" si="166"/>
        <v>0.17857142857142858</v>
      </c>
      <c r="BS597" s="766" t="s">
        <v>1242</v>
      </c>
      <c r="BT597" s="766" t="s">
        <v>8133</v>
      </c>
      <c r="BU597" s="770" t="s">
        <v>1249</v>
      </c>
      <c r="BV597" s="770" t="s">
        <v>1247</v>
      </c>
      <c r="BW597" s="769"/>
      <c r="BX597" s="302"/>
      <c r="BY597" s="770"/>
      <c r="BZ597" s="302"/>
      <c r="CA597" s="770"/>
      <c r="CB597" s="770" t="s">
        <v>1207</v>
      </c>
      <c r="CC597" s="94" t="s">
        <v>7900</v>
      </c>
      <c r="CD597" s="770"/>
      <c r="CE597" s="770"/>
      <c r="CF597" s="1753">
        <v>2</v>
      </c>
      <c r="CG597" s="1754">
        <v>7</v>
      </c>
      <c r="CH597" s="770" t="s">
        <v>1247</v>
      </c>
      <c r="CI597" s="12"/>
      <c r="CJ597" s="770" t="s">
        <v>1496</v>
      </c>
      <c r="CK597" s="770">
        <v>8</v>
      </c>
      <c r="CL597" s="770" t="s">
        <v>1249</v>
      </c>
      <c r="CM597" s="770" t="s">
        <v>3399</v>
      </c>
      <c r="CN597" s="770"/>
      <c r="CO597" s="770" t="s">
        <v>1257</v>
      </c>
      <c r="CP597" s="770"/>
      <c r="CQ597" s="770"/>
      <c r="CR597" s="302"/>
      <c r="CS597" s="770"/>
      <c r="CT597" s="770"/>
      <c r="CU597" s="305"/>
      <c r="CV597" s="770"/>
      <c r="CW597" s="770"/>
      <c r="CX597" s="770"/>
      <c r="CY597" s="770"/>
      <c r="CZ597" s="770"/>
      <c r="DA597" s="306"/>
      <c r="DB597" s="770"/>
      <c r="DC597" s="770"/>
      <c r="DD597" s="770"/>
      <c r="DE597" s="300"/>
      <c r="DF597" s="770"/>
      <c r="DG597" s="770"/>
      <c r="DH597" s="770"/>
      <c r="DI597" s="770"/>
      <c r="DJ597" s="770"/>
      <c r="DK597" s="770"/>
      <c r="DL597" s="770"/>
      <c r="DM597" s="770"/>
      <c r="DN597" s="322"/>
      <c r="DO597" s="770"/>
      <c r="DP597" s="770"/>
      <c r="DQ597" s="770"/>
      <c r="DR597" s="770"/>
      <c r="DS597" s="307"/>
      <c r="DT597" s="770"/>
      <c r="DU597" s="770"/>
      <c r="DV597" s="770"/>
      <c r="DW597" s="306"/>
      <c r="DX597" s="306"/>
      <c r="DY597" s="770"/>
      <c r="DZ597" s="770"/>
      <c r="EA597" s="770"/>
      <c r="EB597" s="770"/>
      <c r="EC597" s="770"/>
      <c r="ED597" s="770"/>
      <c r="EE597" s="770"/>
      <c r="EF597" s="770"/>
      <c r="EG597" s="770"/>
      <c r="EH597" s="770"/>
      <c r="EI597" s="770"/>
      <c r="EJ597" s="770"/>
      <c r="EK597" s="770"/>
      <c r="EL597" s="770"/>
      <c r="EM597" s="770"/>
      <c r="EN597" s="770"/>
      <c r="EO597" s="770"/>
      <c r="EP597" s="94"/>
      <c r="EQ597" s="770"/>
      <c r="ER597" s="770"/>
      <c r="ES597" s="770"/>
      <c r="ET597" s="770"/>
      <c r="EU597" s="770"/>
      <c r="EV597" s="770"/>
      <c r="EW597" s="770"/>
      <c r="EX597" s="770"/>
      <c r="EY597" s="770"/>
      <c r="EZ597" s="94" t="s">
        <v>7900</v>
      </c>
      <c r="FA597" s="770" t="s">
        <v>3099</v>
      </c>
      <c r="FB597" s="770" t="s">
        <v>3400</v>
      </c>
      <c r="FC597" s="12"/>
      <c r="FD597" s="302"/>
      <c r="FE597" s="770" t="s">
        <v>7901</v>
      </c>
      <c r="FF597" s="770"/>
      <c r="FG597" s="770"/>
      <c r="FH597" s="770" t="s">
        <v>478</v>
      </c>
      <c r="FI597" s="770">
        <v>1</v>
      </c>
      <c r="FJ597" s="770" t="s">
        <v>7917</v>
      </c>
      <c r="FK597" s="770"/>
      <c r="FL597" s="770"/>
      <c r="FM597" s="147">
        <v>1500</v>
      </c>
      <c r="FN597" s="302">
        <v>500</v>
      </c>
      <c r="FO597" s="302">
        <v>300</v>
      </c>
      <c r="FP597" s="770" t="s">
        <v>1600</v>
      </c>
      <c r="FQ597" s="770" t="s">
        <v>1642</v>
      </c>
      <c r="FR597" s="770"/>
      <c r="FS597" s="770"/>
      <c r="FT597" s="770"/>
      <c r="FU597" s="770"/>
      <c r="FV597" s="770"/>
      <c r="FW597" s="770"/>
      <c r="FX597" s="770"/>
      <c r="FY597" s="770"/>
      <c r="FZ597" s="770"/>
      <c r="GA597" s="770"/>
      <c r="GB597" s="770"/>
      <c r="GC597" s="308"/>
      <c r="GD597" s="297"/>
      <c r="GE597" s="770"/>
      <c r="GF597" s="302"/>
      <c r="GG597" s="302"/>
      <c r="GH597" s="770"/>
      <c r="GI597" s="770"/>
      <c r="GJ597" s="770"/>
      <c r="GK597" s="770"/>
      <c r="GL597" s="770"/>
      <c r="GM597" s="770"/>
      <c r="GN597" s="299"/>
      <c r="GO597" s="770"/>
      <c r="GP597" s="770"/>
      <c r="GQ597" s="770"/>
      <c r="GR597" s="770"/>
      <c r="GS597" s="770"/>
      <c r="GT597" s="770"/>
      <c r="GU597" s="770"/>
      <c r="GV597" s="770"/>
      <c r="GW597" s="770"/>
      <c r="GX597" s="770"/>
      <c r="GY597" s="770"/>
      <c r="GZ597" s="770"/>
      <c r="HA597" s="770"/>
      <c r="HB597" s="770"/>
      <c r="HC597" s="770"/>
      <c r="HD597" s="770"/>
      <c r="HE597" s="770"/>
      <c r="HF597" s="770"/>
      <c r="HG597" s="770"/>
      <c r="HH597" s="770"/>
      <c r="HI597" s="770"/>
      <c r="HJ597" s="770"/>
      <c r="HK597" s="770"/>
      <c r="HL597" s="770"/>
      <c r="HM597" s="770"/>
      <c r="HN597" s="770"/>
      <c r="HO597" s="770"/>
      <c r="HP597" s="770"/>
      <c r="HQ597" s="770"/>
      <c r="HR597" s="770"/>
      <c r="HS597" s="770"/>
      <c r="HT597" s="770"/>
      <c r="HU597" s="770"/>
      <c r="HV597" s="770"/>
      <c r="HW597" s="770"/>
      <c r="HX597" s="770"/>
      <c r="HY597" s="770"/>
      <c r="HZ597" s="770"/>
      <c r="IA597" s="770"/>
      <c r="IB597" s="14" t="e">
        <f>IF(#REF!&gt;0,IF(#REF!&lt;=10000,"Y",""),"")</f>
        <v>#REF!</v>
      </c>
      <c r="IC597" s="770"/>
      <c r="ID597" s="770"/>
      <c r="IE597" s="770"/>
      <c r="IF597" s="770"/>
      <c r="IG597" s="770"/>
      <c r="IH597" s="770"/>
      <c r="II597" s="770"/>
      <c r="IJ597" s="770"/>
      <c r="IK597" s="770"/>
      <c r="IL597" s="770"/>
      <c r="IM597" s="770"/>
      <c r="IN597" s="770"/>
      <c r="IO597" s="296"/>
      <c r="IP597" s="770"/>
      <c r="IQ597" s="770"/>
      <c r="IR597" s="770"/>
      <c r="IS597" s="770"/>
      <c r="IT597" s="770"/>
      <c r="IU597" s="770"/>
      <c r="IV597" s="770"/>
      <c r="IW597" s="770"/>
      <c r="IX597" s="770"/>
      <c r="IY597" s="770"/>
      <c r="IZ597" s="770"/>
      <c r="JA597" s="770"/>
      <c r="JB597" s="770"/>
      <c r="JC597" s="770"/>
      <c r="JD597" s="302"/>
      <c r="JE597" s="770"/>
      <c r="JF597" s="770"/>
      <c r="JG597" s="770"/>
      <c r="JH597" s="307"/>
      <c r="JI597" s="307"/>
      <c r="JJ597" s="94"/>
      <c r="JK597" s="1047" t="s">
        <v>13792</v>
      </c>
      <c r="JL597" s="12"/>
      <c r="JM597" s="12"/>
      <c r="JN597" s="12"/>
      <c r="JO597" s="12"/>
      <c r="JP597" s="12"/>
      <c r="JQ597" s="12"/>
      <c r="JR597" s="12"/>
      <c r="JS597" s="12"/>
      <c r="JT597" s="766"/>
      <c r="JU597" s="766"/>
      <c r="JV597" s="712" t="str">
        <f t="shared" si="169"/>
        <v>ok</v>
      </c>
      <c r="JW597" s="712" t="str">
        <f t="shared" si="170"/>
        <v>ok</v>
      </c>
      <c r="JX597" s="12"/>
      <c r="JY597" s="12"/>
      <c r="JZ597" s="12"/>
      <c r="KA597" s="12"/>
      <c r="KB597" s="12"/>
      <c r="KC597" s="12"/>
      <c r="KD597" s="12"/>
      <c r="KE597" s="12"/>
      <c r="KF597" s="12"/>
      <c r="KG597" s="12"/>
      <c r="KH597" s="12"/>
      <c r="KI597" s="12"/>
      <c r="KJ597" s="770"/>
      <c r="KK597" s="770"/>
      <c r="KL597" s="712" t="str">
        <f t="shared" si="171"/>
        <v>ok</v>
      </c>
      <c r="KM597" s="712" t="str">
        <f t="shared" si="172"/>
        <v>ok</v>
      </c>
      <c r="KN597" s="12"/>
      <c r="KO597" s="12"/>
      <c r="KP597" s="12"/>
      <c r="KQ597" s="12"/>
      <c r="KR597" s="12"/>
      <c r="KS597" s="12"/>
      <c r="KT597" s="12"/>
      <c r="KU597" s="12"/>
      <c r="KV597" s="12"/>
      <c r="KW597" s="12"/>
      <c r="KX597" s="12"/>
      <c r="KY597" s="12"/>
      <c r="KZ597" s="12"/>
      <c r="LA597" s="12"/>
      <c r="LB597" s="12"/>
      <c r="LC597" s="12"/>
      <c r="LD597" s="12"/>
      <c r="LE597" s="12"/>
      <c r="LF597" s="12"/>
      <c r="LG597" s="12"/>
      <c r="LH597" s="12"/>
      <c r="LI597" s="12"/>
      <c r="LJ597" s="12"/>
      <c r="LK597" s="12"/>
      <c r="LL597" s="12"/>
      <c r="LM597" s="12"/>
      <c r="LN597" s="766"/>
      <c r="LO597" s="766"/>
      <c r="LP597" s="12"/>
      <c r="LQ597" s="12"/>
      <c r="LR597" s="12"/>
      <c r="LS597" s="12"/>
      <c r="LT597" s="712" t="str">
        <f t="shared" si="173"/>
        <v>OK</v>
      </c>
      <c r="LU597" s="12"/>
      <c r="LV597" s="12"/>
      <c r="LW597" s="12"/>
      <c r="LX597" s="769"/>
      <c r="LY597" s="766" t="str">
        <f t="shared" si="160"/>
        <v/>
      </c>
      <c r="LZ597" s="12"/>
      <c r="MA597" s="12"/>
      <c r="MB597" s="12"/>
      <c r="MC597" s="1679">
        <f t="shared" si="158"/>
        <v>0</v>
      </c>
      <c r="MD597" s="1709"/>
      <c r="ME597" s="1709"/>
      <c r="MF597" s="1709"/>
      <c r="MG597" s="1680">
        <v>0</v>
      </c>
      <c r="MH597" s="770"/>
      <c r="MI597" s="302"/>
      <c r="MJ597" s="302"/>
      <c r="MK597" s="302"/>
      <c r="ML597" s="302"/>
      <c r="MM597" s="302"/>
      <c r="MN597" s="302"/>
      <c r="MO597" s="302"/>
      <c r="MP597" s="302"/>
      <c r="MQ597" s="302"/>
      <c r="MR597" s="302"/>
      <c r="MS597" s="302"/>
      <c r="MT597" s="302"/>
      <c r="MU597" s="302"/>
      <c r="MV597" s="302"/>
      <c r="MW597" s="302"/>
      <c r="MX597" s="302"/>
      <c r="MY597" s="1682"/>
      <c r="MZ597" s="770"/>
      <c r="NA597" s="770"/>
      <c r="NB597" s="770"/>
      <c r="NC597" s="770"/>
      <c r="ND597" s="770"/>
      <c r="NE597" s="770"/>
      <c r="NF597" s="770"/>
      <c r="NG597" s="770"/>
      <c r="NH597" s="770"/>
      <c r="NI597" s="770"/>
      <c r="NJ597" s="770"/>
      <c r="NK597" s="770"/>
      <c r="NL597" s="770"/>
      <c r="NM597" s="770"/>
      <c r="NN597" s="770"/>
      <c r="NO597" s="770"/>
      <c r="NP597" s="770"/>
      <c r="NQ597" s="770"/>
      <c r="NR597" s="770"/>
      <c r="NS597" s="770"/>
      <c r="NT597" s="770"/>
      <c r="NU597" s="770"/>
      <c r="NV597" s="770"/>
      <c r="NW597" s="770"/>
      <c r="NX597" s="770"/>
      <c r="NY597" s="770"/>
      <c r="NZ597" s="770"/>
      <c r="OA597" s="770"/>
      <c r="OB597" s="770"/>
      <c r="OC597" s="770"/>
      <c r="OD597" s="770"/>
      <c r="OE597" s="770"/>
      <c r="OF597" s="770"/>
      <c r="OG597" s="770"/>
      <c r="OH597" s="770"/>
      <c r="OI597" s="770"/>
      <c r="OJ597" s="770"/>
      <c r="OK597" s="770"/>
      <c r="OL597" s="770"/>
      <c r="OM597" s="770"/>
      <c r="ON597" s="770"/>
      <c r="OO597" s="770"/>
      <c r="OP597" s="770"/>
      <c r="OQ597" s="770"/>
      <c r="OR597" s="770"/>
      <c r="OS597" s="770"/>
      <c r="OT597" s="770"/>
      <c r="OU597" s="770"/>
      <c r="OV597" s="770"/>
      <c r="OW597" s="770"/>
      <c r="OX597" s="770"/>
      <c r="OY597" s="770"/>
      <c r="OZ597" s="770"/>
      <c r="PA597" s="770"/>
      <c r="PB597" s="770"/>
      <c r="PC597" s="770"/>
      <c r="PD597" s="770"/>
      <c r="PE597" s="770"/>
      <c r="PF597" s="770"/>
      <c r="PG597" s="770"/>
      <c r="PH597" s="770"/>
      <c r="PI597" s="770"/>
      <c r="PJ597" s="770"/>
      <c r="PK597" s="770"/>
      <c r="PL597" s="770"/>
      <c r="PM597" s="770"/>
      <c r="PN597" s="770"/>
      <c r="PO597" s="770"/>
      <c r="PP597" s="770"/>
      <c r="PQ597" s="770"/>
      <c r="PR597" s="770"/>
      <c r="PS597" s="770"/>
      <c r="PT597" s="770"/>
      <c r="PU597" s="770"/>
      <c r="PV597" s="770"/>
      <c r="PW597" s="770"/>
      <c r="PX597" s="770"/>
      <c r="PY597" s="770"/>
      <c r="PZ597" s="770"/>
      <c r="QA597" s="770"/>
      <c r="QB597" s="770"/>
      <c r="QC597" s="770"/>
      <c r="QD597" s="770"/>
      <c r="QE597" s="770"/>
      <c r="QF597" s="770"/>
      <c r="QG597" s="770"/>
      <c r="QH597" s="770"/>
      <c r="QI597" s="770"/>
      <c r="QJ597" s="770"/>
      <c r="QK597" s="770"/>
      <c r="QL597" s="770"/>
      <c r="QM597" s="770"/>
      <c r="QN597" s="770"/>
      <c r="QO597" s="770"/>
      <c r="QP597" s="770"/>
      <c r="QQ597" s="770"/>
      <c r="QR597" s="770"/>
      <c r="QS597" s="770"/>
      <c r="QT597" s="770"/>
      <c r="QU597" s="770"/>
      <c r="QV597" s="770"/>
      <c r="QW597" s="770"/>
      <c r="QX597" s="770"/>
      <c r="QY597" s="770"/>
      <c r="QZ597" s="770"/>
      <c r="RA597" s="770"/>
      <c r="RB597" s="770"/>
      <c r="RC597" s="770"/>
      <c r="RD597" s="770"/>
      <c r="RE597" s="770"/>
      <c r="RF597" s="304"/>
      <c r="RG597" s="770"/>
      <c r="RH597" s="302"/>
      <c r="RI597" s="770"/>
      <c r="RJ597" s="770" t="s">
        <v>13793</v>
      </c>
      <c r="RK597" s="770" t="s">
        <v>13556</v>
      </c>
      <c r="RL597" s="1710"/>
      <c r="RM597" s="12"/>
      <c r="RN597" s="1711"/>
      <c r="RO597" s="133" t="s">
        <v>2987</v>
      </c>
      <c r="RP597" s="11"/>
      <c r="RQ597" s="11"/>
      <c r="RR597" s="17" t="s">
        <v>7421</v>
      </c>
      <c r="RS597" s="1139" t="s">
        <v>12980</v>
      </c>
      <c r="RT597" s="11"/>
      <c r="RU597" s="11"/>
      <c r="RV597" s="6" t="s">
        <v>7419</v>
      </c>
      <c r="RW597" s="11" t="s">
        <v>7918</v>
      </c>
      <c r="RX597" s="11" t="s">
        <v>4036</v>
      </c>
      <c r="RY597" s="11"/>
      <c r="RZ597" s="11" t="s">
        <v>1101</v>
      </c>
      <c r="SA597" s="6"/>
      <c r="SB597" s="11"/>
      <c r="SC597" s="11"/>
    </row>
    <row r="598" spans="1:497" ht="12.75" customHeight="1">
      <c r="A598" s="311" t="s">
        <v>14225</v>
      </c>
      <c r="B598" s="752" t="s">
        <v>7825</v>
      </c>
      <c r="C598" s="133" t="s">
        <v>2987</v>
      </c>
      <c r="D598" s="94" t="s">
        <v>7896</v>
      </c>
      <c r="E598" s="766" t="s">
        <v>2989</v>
      </c>
      <c r="F598" s="770" t="s">
        <v>28</v>
      </c>
      <c r="G598" s="770" t="s">
        <v>18</v>
      </c>
      <c r="H598" s="770"/>
      <c r="I598" s="295" t="s">
        <v>7897</v>
      </c>
      <c r="J598" s="94" t="s">
        <v>7896</v>
      </c>
      <c r="K598" s="766" t="s">
        <v>7892</v>
      </c>
      <c r="L598" s="766" t="s">
        <v>2801</v>
      </c>
      <c r="M598" s="770" t="s">
        <v>1238</v>
      </c>
      <c r="N598" s="770"/>
      <c r="O598" s="770" t="s">
        <v>3844</v>
      </c>
      <c r="P598" s="94" t="s">
        <v>7898</v>
      </c>
      <c r="Q598" s="1088">
        <v>20631</v>
      </c>
      <c r="R598" s="297">
        <v>60</v>
      </c>
      <c r="S598" s="770" t="s">
        <v>18</v>
      </c>
      <c r="T598" s="770"/>
      <c r="U598" s="295" t="s">
        <v>7897</v>
      </c>
      <c r="V598" s="770" t="s">
        <v>768</v>
      </c>
      <c r="W598" s="770"/>
      <c r="X598" s="770"/>
      <c r="Y598" s="770" t="s">
        <v>2989</v>
      </c>
      <c r="Z598" s="770" t="s">
        <v>708</v>
      </c>
      <c r="AA598" s="770" t="s">
        <v>709</v>
      </c>
      <c r="AB598" s="770" t="s">
        <v>710</v>
      </c>
      <c r="AC598" s="770" t="s">
        <v>7899</v>
      </c>
      <c r="AD598" s="770"/>
      <c r="AE598" s="770"/>
      <c r="AF598" s="770" t="s">
        <v>712</v>
      </c>
      <c r="AG598" s="770"/>
      <c r="AH598" s="770"/>
      <c r="AI598" s="770"/>
      <c r="AJ598" s="770"/>
      <c r="AK598" s="770" t="s">
        <v>1101</v>
      </c>
      <c r="AL598" s="531"/>
      <c r="AM598" s="780"/>
      <c r="AN598" s="532"/>
      <c r="AO598" s="766"/>
      <c r="AP598" s="766"/>
      <c r="AQ598" s="766"/>
      <c r="AR598" s="766"/>
      <c r="AS598" s="769"/>
      <c r="AT598" s="770"/>
      <c r="AU598" s="770"/>
      <c r="AV598" s="770"/>
      <c r="AW598" s="770"/>
      <c r="AX598" s="770"/>
      <c r="AY598" s="770"/>
      <c r="AZ598" s="770"/>
      <c r="BA598" s="770"/>
      <c r="BB598" s="770"/>
      <c r="BC598" s="770"/>
      <c r="BD598" s="770"/>
      <c r="BE598" s="770"/>
      <c r="BF598" s="302"/>
      <c r="BG598" s="302"/>
      <c r="BH598" s="770"/>
      <c r="BI598" s="770"/>
      <c r="BJ598" s="770"/>
      <c r="BK598" s="770"/>
      <c r="BL598" s="770"/>
      <c r="BM598" s="770" t="s">
        <v>1238</v>
      </c>
      <c r="BN598" s="770" t="s">
        <v>3230</v>
      </c>
      <c r="BO598" s="770"/>
      <c r="BP598" s="765"/>
      <c r="BQ598" s="773"/>
      <c r="BR598" s="774"/>
      <c r="BS598" s="766" t="s">
        <v>1242</v>
      </c>
      <c r="BT598" s="770"/>
      <c r="BU598" s="770"/>
      <c r="BV598" s="770"/>
      <c r="BW598" s="770"/>
      <c r="BX598" s="302"/>
      <c r="BY598" s="770"/>
      <c r="BZ598" s="302"/>
      <c r="CA598" s="770"/>
      <c r="CB598" s="770"/>
      <c r="CC598" s="770"/>
      <c r="CD598" s="770"/>
      <c r="CE598" s="770"/>
      <c r="CF598" s="1753"/>
      <c r="CG598" s="1754"/>
      <c r="CH598" s="770"/>
      <c r="CI598" s="770"/>
      <c r="CJ598" s="770"/>
      <c r="CK598" s="770"/>
      <c r="CL598" s="770"/>
      <c r="CM598" s="770"/>
      <c r="CN598" s="770"/>
      <c r="CO598" s="770"/>
      <c r="CP598" s="770"/>
      <c r="CQ598" s="770"/>
      <c r="CR598" s="302"/>
      <c r="CS598" s="770"/>
      <c r="CT598" s="770"/>
      <c r="CU598" s="305"/>
      <c r="CV598" s="770"/>
      <c r="CW598" s="770"/>
      <c r="CX598" s="770"/>
      <c r="CY598" s="770"/>
      <c r="CZ598" s="770"/>
      <c r="DA598" s="306"/>
      <c r="DB598" s="770"/>
      <c r="DC598" s="770"/>
      <c r="DD598" s="770"/>
      <c r="DE598" s="300"/>
      <c r="DF598" s="770"/>
      <c r="DG598" s="770"/>
      <c r="DH598" s="770"/>
      <c r="DI598" s="770"/>
      <c r="DJ598" s="770"/>
      <c r="DK598" s="770"/>
      <c r="DL598" s="770"/>
      <c r="DM598" s="770"/>
      <c r="DN598" s="322"/>
      <c r="DO598" s="770"/>
      <c r="DP598" s="770"/>
      <c r="DQ598" s="770"/>
      <c r="DR598" s="770"/>
      <c r="DS598" s="307"/>
      <c r="DT598" s="770"/>
      <c r="DU598" s="770"/>
      <c r="DV598" s="770"/>
      <c r="DW598" s="306"/>
      <c r="DX598" s="306"/>
      <c r="DY598" s="770"/>
      <c r="DZ598" s="770"/>
      <c r="EA598" s="770"/>
      <c r="EB598" s="770"/>
      <c r="EC598" s="770"/>
      <c r="ED598" s="770"/>
      <c r="EE598" s="770"/>
      <c r="EF598" s="770"/>
      <c r="EG598" s="770"/>
      <c r="EH598" s="770"/>
      <c r="EI598" s="770"/>
      <c r="EJ598" s="770"/>
      <c r="EK598" s="770"/>
      <c r="EL598" s="770"/>
      <c r="EM598" s="770"/>
      <c r="EN598" s="770"/>
      <c r="EO598" s="770"/>
      <c r="EP598" s="94"/>
      <c r="EQ598" s="770"/>
      <c r="ER598" s="770"/>
      <c r="ES598" s="770"/>
      <c r="ET598" s="770"/>
      <c r="EU598" s="770"/>
      <c r="EV598" s="770"/>
      <c r="EW598" s="770"/>
      <c r="EX598" s="770"/>
      <c r="EY598" s="770"/>
      <c r="EZ598" s="770"/>
      <c r="FA598" s="770"/>
      <c r="FB598" s="770"/>
      <c r="FC598" s="770"/>
      <c r="FD598" s="302"/>
      <c r="FE598" s="770"/>
      <c r="FF598" s="770"/>
      <c r="FG598" s="770"/>
      <c r="FH598" s="770" t="s">
        <v>3230</v>
      </c>
      <c r="FI598" s="770">
        <v>1</v>
      </c>
      <c r="FJ598" s="770" t="s">
        <v>7917</v>
      </c>
      <c r="FK598" s="770"/>
      <c r="FL598" s="770"/>
      <c r="FM598" s="147"/>
      <c r="FN598" s="302"/>
      <c r="FO598" s="302"/>
      <c r="FP598" s="770" t="s">
        <v>1600</v>
      </c>
      <c r="FQ598" s="770" t="s">
        <v>1642</v>
      </c>
      <c r="FR598" s="770"/>
      <c r="FS598" s="770"/>
      <c r="FT598" s="770"/>
      <c r="FU598" s="770"/>
      <c r="FV598" s="770"/>
      <c r="FW598" s="770"/>
      <c r="FX598" s="770"/>
      <c r="FY598" s="770"/>
      <c r="FZ598" s="770"/>
      <c r="GA598" s="770"/>
      <c r="GB598" s="770"/>
      <c r="GC598" s="308"/>
      <c r="GD598" s="297"/>
      <c r="GE598" s="770"/>
      <c r="GF598" s="302"/>
      <c r="GG598" s="302"/>
      <c r="GH598" s="770"/>
      <c r="GI598" s="770"/>
      <c r="GJ598" s="770"/>
      <c r="GK598" s="770"/>
      <c r="GL598" s="770"/>
      <c r="GM598" s="770"/>
      <c r="GN598" s="299"/>
      <c r="GO598" s="770"/>
      <c r="GP598" s="770"/>
      <c r="GQ598" s="770"/>
      <c r="GR598" s="770"/>
      <c r="GS598" s="770"/>
      <c r="GT598" s="770"/>
      <c r="GU598" s="770"/>
      <c r="GV598" s="770"/>
      <c r="GW598" s="770"/>
      <c r="GX598" s="770"/>
      <c r="GY598" s="770"/>
      <c r="GZ598" s="770"/>
      <c r="HA598" s="770"/>
      <c r="HB598" s="770"/>
      <c r="HC598" s="770"/>
      <c r="HD598" s="770"/>
      <c r="HE598" s="770"/>
      <c r="HF598" s="770"/>
      <c r="HG598" s="770"/>
      <c r="HH598" s="770"/>
      <c r="HI598" s="770"/>
      <c r="HJ598" s="770"/>
      <c r="HK598" s="770"/>
      <c r="HL598" s="770"/>
      <c r="HM598" s="770"/>
      <c r="HN598" s="770"/>
      <c r="HO598" s="770"/>
      <c r="HP598" s="770"/>
      <c r="HQ598" s="770"/>
      <c r="HR598" s="770"/>
      <c r="HS598" s="770"/>
      <c r="HT598" s="770"/>
      <c r="HU598" s="770"/>
      <c r="HV598" s="770"/>
      <c r="HW598" s="770"/>
      <c r="HX598" s="770"/>
      <c r="HY598" s="770"/>
      <c r="HZ598" s="770"/>
      <c r="IA598" s="770"/>
      <c r="IB598" s="14" t="e">
        <f>IF(#REF!&gt;0,IF(#REF!&lt;=10000,"Y",""),"")</f>
        <v>#REF!</v>
      </c>
      <c r="IC598" s="770" t="s">
        <v>1207</v>
      </c>
      <c r="ID598" s="770">
        <v>1</v>
      </c>
      <c r="IE598" s="770"/>
      <c r="IF598" s="770"/>
      <c r="IG598" s="770"/>
      <c r="IH598" s="770"/>
      <c r="II598" s="770"/>
      <c r="IJ598" s="770"/>
      <c r="IK598" s="770"/>
      <c r="IL598" s="770"/>
      <c r="IM598" s="770"/>
      <c r="IN598" s="770"/>
      <c r="IO598" s="296"/>
      <c r="IP598" s="770"/>
      <c r="IQ598" s="770"/>
      <c r="IR598" s="770"/>
      <c r="IS598" s="770"/>
      <c r="IT598" s="770"/>
      <c r="IU598" s="770"/>
      <c r="IV598" s="770"/>
      <c r="IW598" s="770"/>
      <c r="IX598" s="770"/>
      <c r="IY598" s="770"/>
      <c r="IZ598" s="770"/>
      <c r="JA598" s="770"/>
      <c r="JB598" s="770"/>
      <c r="JC598" s="770"/>
      <c r="JD598" s="302"/>
      <c r="JE598" s="770"/>
      <c r="JF598" s="770"/>
      <c r="JG598" s="770"/>
      <c r="JH598" s="307"/>
      <c r="JI598" s="307"/>
      <c r="JJ598" s="770">
        <v>1</v>
      </c>
      <c r="JK598" s="1139" t="s">
        <v>13794</v>
      </c>
      <c r="JL598" s="770"/>
      <c r="JM598" s="770"/>
      <c r="JN598" s="770"/>
      <c r="JO598" s="770">
        <v>1</v>
      </c>
      <c r="JP598" s="770"/>
      <c r="JQ598" s="770"/>
      <c r="JR598" s="770"/>
      <c r="JS598" s="770"/>
      <c r="JT598" s="766">
        <f t="shared" ref="JT598:JU600" si="175">SUM(JP598,JN598,JL598,JR598)</f>
        <v>0</v>
      </c>
      <c r="JU598" s="766">
        <f t="shared" si="175"/>
        <v>1</v>
      </c>
      <c r="JV598" s="712" t="str">
        <f t="shared" si="169"/>
        <v>ok</v>
      </c>
      <c r="JW598" s="712" t="str">
        <f t="shared" si="170"/>
        <v>ok</v>
      </c>
      <c r="JX598" s="770"/>
      <c r="JY598" s="770"/>
      <c r="JZ598" s="770"/>
      <c r="KA598" s="770"/>
      <c r="KB598" s="770"/>
      <c r="KC598" s="770"/>
      <c r="KD598" s="770"/>
      <c r="KE598" s="770"/>
      <c r="KF598" s="770"/>
      <c r="KG598" s="770">
        <v>1</v>
      </c>
      <c r="KH598" s="770"/>
      <c r="KI598" s="770"/>
      <c r="KJ598" s="770">
        <f t="shared" si="168"/>
        <v>0</v>
      </c>
      <c r="KK598" s="770">
        <f t="shared" si="168"/>
        <v>1</v>
      </c>
      <c r="KL598" s="712" t="str">
        <f t="shared" si="171"/>
        <v>ok</v>
      </c>
      <c r="KM598" s="712" t="str">
        <f t="shared" si="172"/>
        <v>ok</v>
      </c>
      <c r="KN598" s="770" t="s">
        <v>768</v>
      </c>
      <c r="KO598" s="770"/>
      <c r="KP598" s="770"/>
      <c r="KQ598" s="770"/>
      <c r="KR598" s="770"/>
      <c r="KS598" s="770"/>
      <c r="KT598" s="770"/>
      <c r="KU598" s="770"/>
      <c r="KV598" s="770"/>
      <c r="KW598" s="770"/>
      <c r="KX598" s="770"/>
      <c r="KY598" s="770">
        <v>1</v>
      </c>
      <c r="KZ598" s="770"/>
      <c r="LA598" s="770"/>
      <c r="LB598" s="770"/>
      <c r="LC598" s="770"/>
      <c r="LD598" s="770"/>
      <c r="LE598" s="770"/>
      <c r="LF598" s="770"/>
      <c r="LG598" s="770"/>
      <c r="LH598" s="770"/>
      <c r="LI598" s="770"/>
      <c r="LJ598" s="770"/>
      <c r="LK598" s="770"/>
      <c r="LL598" s="770"/>
      <c r="LM598" s="770"/>
      <c r="LN598" s="766">
        <f t="shared" si="159"/>
        <v>0</v>
      </c>
      <c r="LO598" s="766">
        <f t="shared" si="159"/>
        <v>1</v>
      </c>
      <c r="LP598" s="770">
        <v>1</v>
      </c>
      <c r="LQ598" s="770"/>
      <c r="LR598" s="770"/>
      <c r="LS598" s="770">
        <v>1</v>
      </c>
      <c r="LT598" s="712" t="str">
        <f t="shared" si="173"/>
        <v>OK</v>
      </c>
      <c r="LU598" s="770"/>
      <c r="LV598" s="770"/>
      <c r="LW598" s="770"/>
      <c r="LX598" s="769">
        <v>1</v>
      </c>
      <c r="LY598" s="766" t="str">
        <f t="shared" si="160"/>
        <v>within the BRGY</v>
      </c>
      <c r="LZ598" s="1709"/>
      <c r="MA598" s="1709"/>
      <c r="MB598" s="1709"/>
      <c r="MC598" s="1679">
        <f t="shared" si="158"/>
        <v>0</v>
      </c>
      <c r="MD598" s="1709"/>
      <c r="ME598" s="1709"/>
      <c r="MF598" s="1709">
        <f>200*26</f>
        <v>5200</v>
      </c>
      <c r="MG598" s="1680">
        <f t="shared" si="174"/>
        <v>5200</v>
      </c>
      <c r="MH598" s="770"/>
      <c r="MI598" s="302"/>
      <c r="MJ598" s="302">
        <f>60*30</f>
        <v>1800</v>
      </c>
      <c r="MK598" s="302"/>
      <c r="ML598" s="302"/>
      <c r="MM598" s="302"/>
      <c r="MN598" s="302"/>
      <c r="MO598" s="302">
        <v>50</v>
      </c>
      <c r="MP598" s="302"/>
      <c r="MQ598" s="302">
        <v>120</v>
      </c>
      <c r="MR598" s="302">
        <v>20</v>
      </c>
      <c r="MS598" s="302"/>
      <c r="MT598" s="302"/>
      <c r="MU598" s="302"/>
      <c r="MV598" s="302"/>
      <c r="MW598" s="302"/>
      <c r="MX598" s="302"/>
      <c r="MY598" s="1682">
        <f t="shared" si="165"/>
        <v>1990</v>
      </c>
      <c r="MZ598" s="770" t="s">
        <v>13398</v>
      </c>
      <c r="NA598" s="770" t="s">
        <v>13230</v>
      </c>
      <c r="NB598" s="770" t="s">
        <v>13033</v>
      </c>
      <c r="NC598" s="770" t="s">
        <v>13621</v>
      </c>
      <c r="ND598" s="770">
        <v>0</v>
      </c>
      <c r="NE598" s="770">
        <v>0</v>
      </c>
      <c r="NF598" s="770">
        <v>0</v>
      </c>
      <c r="NG598" s="770">
        <v>0</v>
      </c>
      <c r="NH598" s="770">
        <v>0</v>
      </c>
      <c r="NI598" s="770">
        <v>0</v>
      </c>
      <c r="NJ598" s="770">
        <v>0</v>
      </c>
      <c r="NK598" s="770">
        <v>0</v>
      </c>
      <c r="NL598" s="770">
        <v>0</v>
      </c>
      <c r="NM598" s="770">
        <v>0</v>
      </c>
      <c r="NN598" s="770">
        <v>0</v>
      </c>
      <c r="NO598" s="770">
        <v>0</v>
      </c>
      <c r="NP598" s="770">
        <v>0</v>
      </c>
      <c r="NQ598" s="770">
        <v>0</v>
      </c>
      <c r="NR598" s="770">
        <v>0</v>
      </c>
      <c r="NS598" s="770">
        <v>0</v>
      </c>
      <c r="NT598" s="770">
        <v>0</v>
      </c>
      <c r="NU598" s="770">
        <v>0</v>
      </c>
      <c r="NV598" s="770">
        <v>0</v>
      </c>
      <c r="NW598" s="770">
        <v>0</v>
      </c>
      <c r="NX598" s="770">
        <v>0</v>
      </c>
      <c r="NY598" s="770"/>
      <c r="NZ598" s="770"/>
      <c r="OA598" s="770"/>
      <c r="OB598" s="770"/>
      <c r="OC598" s="770"/>
      <c r="OD598" s="770"/>
      <c r="OE598" s="770"/>
      <c r="OF598" s="770" t="s">
        <v>2143</v>
      </c>
      <c r="OG598" s="770"/>
      <c r="OH598" s="770"/>
      <c r="OI598" s="770"/>
      <c r="OJ598" s="770"/>
      <c r="OK598" s="770"/>
      <c r="OL598" s="770"/>
      <c r="OM598" s="770"/>
      <c r="ON598" s="770"/>
      <c r="OO598" s="770"/>
      <c r="OP598" s="770"/>
      <c r="OQ598" s="770"/>
      <c r="OR598" s="770"/>
      <c r="OS598" s="770"/>
      <c r="OT598" s="770"/>
      <c r="OU598" s="770"/>
      <c r="OV598" s="770"/>
      <c r="OW598" s="770"/>
      <c r="OX598" s="770"/>
      <c r="OY598" s="770"/>
      <c r="OZ598" s="770"/>
      <c r="PA598" s="770"/>
      <c r="PB598" s="770"/>
      <c r="PC598" s="770"/>
      <c r="PD598" s="770"/>
      <c r="PE598" s="770"/>
      <c r="PF598" s="770"/>
      <c r="PG598" s="770"/>
      <c r="PH598" s="770"/>
      <c r="PI598" s="770"/>
      <c r="PJ598" s="770"/>
      <c r="PK598" s="770"/>
      <c r="PL598" s="770"/>
      <c r="PM598" s="770"/>
      <c r="PN598" s="770"/>
      <c r="PO598" s="770"/>
      <c r="PP598" s="770"/>
      <c r="PQ598" s="770"/>
      <c r="PR598" s="770"/>
      <c r="PS598" s="770"/>
      <c r="PT598" s="770"/>
      <c r="PU598" s="770"/>
      <c r="PV598" s="770"/>
      <c r="PW598" s="770"/>
      <c r="PX598" s="770"/>
      <c r="PY598" s="770"/>
      <c r="PZ598" s="770"/>
      <c r="QA598" s="770"/>
      <c r="QB598" s="770"/>
      <c r="QC598" s="770"/>
      <c r="QD598" s="770"/>
      <c r="QE598" s="770"/>
      <c r="QF598" s="770"/>
      <c r="QG598" s="770"/>
      <c r="QH598" s="770"/>
      <c r="QI598" s="770"/>
      <c r="QJ598" s="770"/>
      <c r="QK598" s="770"/>
      <c r="QL598" s="770"/>
      <c r="QM598" s="770"/>
      <c r="QN598" s="770"/>
      <c r="QO598" s="770"/>
      <c r="QP598" s="770"/>
      <c r="QQ598" s="770"/>
      <c r="QR598" s="770"/>
      <c r="QS598" s="770"/>
      <c r="QT598" s="770"/>
      <c r="QU598" s="770"/>
      <c r="QV598" s="770"/>
      <c r="QW598" s="770"/>
      <c r="QX598" s="770"/>
      <c r="QY598" s="770"/>
      <c r="QZ598" s="770"/>
      <c r="RA598" s="770"/>
      <c r="RB598" s="770"/>
      <c r="RC598" s="770"/>
      <c r="RD598" s="770"/>
      <c r="RE598" s="770"/>
      <c r="RF598" s="304"/>
      <c r="RG598" s="770"/>
      <c r="RH598" s="302"/>
      <c r="RI598" s="770"/>
      <c r="RJ598" s="770" t="s">
        <v>7902</v>
      </c>
      <c r="RK598" s="770" t="s">
        <v>13795</v>
      </c>
      <c r="RL598" s="1710">
        <v>42895</v>
      </c>
      <c r="RM598" s="12"/>
      <c r="RN598" s="1711"/>
      <c r="RO598" s="133" t="s">
        <v>2987</v>
      </c>
      <c r="RP598" s="11"/>
      <c r="RQ598" s="11"/>
      <c r="RR598" s="311" t="s">
        <v>12353</v>
      </c>
      <c r="RS598" s="1139" t="s">
        <v>12980</v>
      </c>
      <c r="RT598" s="11"/>
      <c r="RU598" s="11"/>
      <c r="RV598" s="771" t="s">
        <v>7421</v>
      </c>
      <c r="RW598" s="11" t="s">
        <v>7824</v>
      </c>
      <c r="RX598" s="11" t="s">
        <v>4044</v>
      </c>
      <c r="RY598" s="11"/>
      <c r="RZ598" s="11"/>
      <c r="SA598" s="771"/>
      <c r="SB598" s="11"/>
      <c r="SC598" s="11"/>
    </row>
    <row r="599" spans="1:497" ht="12.75" customHeight="1">
      <c r="A599" s="311" t="s">
        <v>14225</v>
      </c>
      <c r="B599" s="752" t="s">
        <v>7825</v>
      </c>
      <c r="C599" s="133" t="s">
        <v>2987</v>
      </c>
      <c r="D599" s="94" t="s">
        <v>7903</v>
      </c>
      <c r="E599" s="766" t="s">
        <v>2989</v>
      </c>
      <c r="F599" s="770" t="s">
        <v>28</v>
      </c>
      <c r="G599" s="770" t="s">
        <v>18</v>
      </c>
      <c r="H599" s="770"/>
      <c r="I599" s="295" t="s">
        <v>7907</v>
      </c>
      <c r="J599" s="94"/>
      <c r="K599" s="766" t="s">
        <v>7892</v>
      </c>
      <c r="L599" s="766" t="s">
        <v>2801</v>
      </c>
      <c r="M599" s="770" t="s">
        <v>1238</v>
      </c>
      <c r="N599" s="770"/>
      <c r="O599" s="770" t="s">
        <v>3844</v>
      </c>
      <c r="P599" s="94" t="s">
        <v>7904</v>
      </c>
      <c r="Q599" s="1088">
        <v>24279</v>
      </c>
      <c r="R599" s="297">
        <v>51</v>
      </c>
      <c r="S599" s="770" t="s">
        <v>10</v>
      </c>
      <c r="T599" s="770"/>
      <c r="U599" s="295"/>
      <c r="V599" s="770" t="s">
        <v>707</v>
      </c>
      <c r="W599" s="770"/>
      <c r="X599" s="770"/>
      <c r="Y599" s="770" t="s">
        <v>2989</v>
      </c>
      <c r="Z599" s="770" t="s">
        <v>708</v>
      </c>
      <c r="AA599" s="770" t="s">
        <v>748</v>
      </c>
      <c r="AB599" s="770" t="s">
        <v>7275</v>
      </c>
      <c r="AC599" s="770" t="s">
        <v>7899</v>
      </c>
      <c r="AD599" s="770"/>
      <c r="AE599" s="770"/>
      <c r="AF599" s="770" t="s">
        <v>712</v>
      </c>
      <c r="AG599" s="770"/>
      <c r="AH599" s="770"/>
      <c r="AI599" s="770"/>
      <c r="AJ599" s="770"/>
      <c r="AK599" s="770" t="s">
        <v>1101</v>
      </c>
      <c r="AL599" s="531"/>
      <c r="AM599" s="780"/>
      <c r="AN599" s="532"/>
      <c r="AO599" s="766"/>
      <c r="AP599" s="766"/>
      <c r="AQ599" s="766"/>
      <c r="AR599" s="766"/>
      <c r="AS599" s="769"/>
      <c r="AT599" s="770"/>
      <c r="AU599" s="770"/>
      <c r="AV599" s="770"/>
      <c r="AW599" s="770"/>
      <c r="AX599" s="770"/>
      <c r="AY599" s="770"/>
      <c r="AZ599" s="770"/>
      <c r="BA599" s="770"/>
      <c r="BB599" s="770"/>
      <c r="BC599" s="770"/>
      <c r="BD599" s="770"/>
      <c r="BE599" s="770"/>
      <c r="BF599" s="302"/>
      <c r="BG599" s="302"/>
      <c r="BH599" s="770"/>
      <c r="BI599" s="770"/>
      <c r="BJ599" s="770"/>
      <c r="BK599" s="770"/>
      <c r="BL599" s="770"/>
      <c r="BM599" s="770" t="s">
        <v>1238</v>
      </c>
      <c r="BN599" s="770" t="s">
        <v>3230</v>
      </c>
      <c r="BO599" s="770"/>
      <c r="BP599" s="765"/>
      <c r="BQ599" s="773"/>
      <c r="BR599" s="774"/>
      <c r="BS599" s="766" t="s">
        <v>1242</v>
      </c>
      <c r="BT599" s="770"/>
      <c r="BU599" s="770"/>
      <c r="BV599" s="770"/>
      <c r="BW599" s="770"/>
      <c r="BX599" s="302"/>
      <c r="BY599" s="770"/>
      <c r="BZ599" s="302"/>
      <c r="CA599" s="770"/>
      <c r="CB599" s="770"/>
      <c r="CC599" s="770"/>
      <c r="CD599" s="770"/>
      <c r="CE599" s="770"/>
      <c r="CF599" s="1753"/>
      <c r="CG599" s="1754"/>
      <c r="CH599" s="770"/>
      <c r="CI599" s="770"/>
      <c r="CJ599" s="770"/>
      <c r="CK599" s="770"/>
      <c r="CL599" s="770"/>
      <c r="CM599" s="770"/>
      <c r="CN599" s="770"/>
      <c r="CO599" s="770"/>
      <c r="CP599" s="770"/>
      <c r="CQ599" s="770"/>
      <c r="CR599" s="302"/>
      <c r="CS599" s="770"/>
      <c r="CT599" s="770"/>
      <c r="CU599" s="305"/>
      <c r="CV599" s="770"/>
      <c r="CW599" s="770"/>
      <c r="CX599" s="770"/>
      <c r="CY599" s="770"/>
      <c r="CZ599" s="770"/>
      <c r="DA599" s="306"/>
      <c r="DB599" s="770"/>
      <c r="DC599" s="770"/>
      <c r="DD599" s="770"/>
      <c r="DE599" s="300"/>
      <c r="DF599" s="770"/>
      <c r="DG599" s="770"/>
      <c r="DH599" s="770"/>
      <c r="DI599" s="770"/>
      <c r="DJ599" s="770"/>
      <c r="DK599" s="770"/>
      <c r="DL599" s="770"/>
      <c r="DM599" s="770"/>
      <c r="DN599" s="322"/>
      <c r="DO599" s="770"/>
      <c r="DP599" s="770"/>
      <c r="DQ599" s="770"/>
      <c r="DR599" s="770"/>
      <c r="DS599" s="307"/>
      <c r="DT599" s="770"/>
      <c r="DU599" s="770"/>
      <c r="DV599" s="770"/>
      <c r="DW599" s="306"/>
      <c r="DX599" s="306"/>
      <c r="DY599" s="770"/>
      <c r="DZ599" s="770"/>
      <c r="EA599" s="770"/>
      <c r="EB599" s="770"/>
      <c r="EC599" s="770"/>
      <c r="ED599" s="770"/>
      <c r="EE599" s="770"/>
      <c r="EF599" s="770"/>
      <c r="EG599" s="770"/>
      <c r="EH599" s="770"/>
      <c r="EI599" s="770"/>
      <c r="EJ599" s="770"/>
      <c r="EK599" s="770"/>
      <c r="EL599" s="770"/>
      <c r="EM599" s="770"/>
      <c r="EN599" s="770"/>
      <c r="EO599" s="770"/>
      <c r="EP599" s="94"/>
      <c r="EQ599" s="770"/>
      <c r="ER599" s="770"/>
      <c r="ES599" s="770"/>
      <c r="ET599" s="770"/>
      <c r="EU599" s="770"/>
      <c r="EV599" s="770"/>
      <c r="EW599" s="770"/>
      <c r="EX599" s="770"/>
      <c r="EY599" s="770"/>
      <c r="EZ599" s="770"/>
      <c r="FA599" s="770"/>
      <c r="FB599" s="770"/>
      <c r="FC599" s="770"/>
      <c r="FD599" s="302"/>
      <c r="FE599" s="770"/>
      <c r="FF599" s="770"/>
      <c r="FG599" s="770"/>
      <c r="FH599" s="770" t="s">
        <v>3230</v>
      </c>
      <c r="FI599" s="770">
        <v>1</v>
      </c>
      <c r="FJ599" s="770" t="s">
        <v>7917</v>
      </c>
      <c r="FK599" s="770"/>
      <c r="FL599" s="770"/>
      <c r="FM599" s="147"/>
      <c r="FN599" s="302"/>
      <c r="FO599" s="302"/>
      <c r="FP599" s="770" t="s">
        <v>1600</v>
      </c>
      <c r="FQ599" s="770" t="s">
        <v>1642</v>
      </c>
      <c r="FR599" s="770"/>
      <c r="FS599" s="770"/>
      <c r="FT599" s="770"/>
      <c r="FU599" s="770"/>
      <c r="FV599" s="770"/>
      <c r="FW599" s="770"/>
      <c r="FX599" s="770"/>
      <c r="FY599" s="770"/>
      <c r="FZ599" s="770"/>
      <c r="GA599" s="770"/>
      <c r="GB599" s="770"/>
      <c r="GC599" s="308"/>
      <c r="GD599" s="297"/>
      <c r="GE599" s="770"/>
      <c r="GF599" s="302"/>
      <c r="GG599" s="302"/>
      <c r="GH599" s="770"/>
      <c r="GI599" s="770"/>
      <c r="GJ599" s="770"/>
      <c r="GK599" s="770"/>
      <c r="GL599" s="770"/>
      <c r="GM599" s="770"/>
      <c r="GN599" s="299"/>
      <c r="GO599" s="770"/>
      <c r="GP599" s="770"/>
      <c r="GQ599" s="770"/>
      <c r="GR599" s="770"/>
      <c r="GS599" s="770"/>
      <c r="GT599" s="770"/>
      <c r="GU599" s="770"/>
      <c r="GV599" s="770"/>
      <c r="GW599" s="770"/>
      <c r="GX599" s="770"/>
      <c r="GY599" s="770"/>
      <c r="GZ599" s="770"/>
      <c r="HA599" s="770"/>
      <c r="HB599" s="770"/>
      <c r="HC599" s="770"/>
      <c r="HD599" s="770"/>
      <c r="HE599" s="770"/>
      <c r="HF599" s="770"/>
      <c r="HG599" s="770"/>
      <c r="HH599" s="770"/>
      <c r="HI599" s="770"/>
      <c r="HJ599" s="770"/>
      <c r="HK599" s="770"/>
      <c r="HL599" s="770"/>
      <c r="HM599" s="770"/>
      <c r="HN599" s="770"/>
      <c r="HO599" s="770"/>
      <c r="HP599" s="770"/>
      <c r="HQ599" s="770"/>
      <c r="HR599" s="770"/>
      <c r="HS599" s="770"/>
      <c r="HT599" s="770"/>
      <c r="HU599" s="770"/>
      <c r="HV599" s="770"/>
      <c r="HW599" s="770"/>
      <c r="HX599" s="770"/>
      <c r="HY599" s="770"/>
      <c r="HZ599" s="770"/>
      <c r="IA599" s="770"/>
      <c r="IB599" s="14" t="e">
        <f>IF(#REF!&gt;0,IF(#REF!&lt;=10000,"Y",""),"")</f>
        <v>#REF!</v>
      </c>
      <c r="IC599" s="770"/>
      <c r="ID599" s="770"/>
      <c r="IE599" s="770"/>
      <c r="IF599" s="770"/>
      <c r="IG599" s="770"/>
      <c r="IH599" s="770"/>
      <c r="II599" s="770"/>
      <c r="IJ599" s="770"/>
      <c r="IK599" s="770"/>
      <c r="IL599" s="770"/>
      <c r="IM599" s="770"/>
      <c r="IN599" s="770"/>
      <c r="IO599" s="296"/>
      <c r="IP599" s="770"/>
      <c r="IQ599" s="770"/>
      <c r="IR599" s="770"/>
      <c r="IS599" s="770"/>
      <c r="IT599" s="770"/>
      <c r="IU599" s="770"/>
      <c r="IV599" s="770"/>
      <c r="IW599" s="770"/>
      <c r="IX599" s="770"/>
      <c r="IY599" s="770"/>
      <c r="IZ599" s="770"/>
      <c r="JA599" s="770"/>
      <c r="JB599" s="770"/>
      <c r="JC599" s="770"/>
      <c r="JD599" s="302"/>
      <c r="JE599" s="770"/>
      <c r="JF599" s="770"/>
      <c r="JG599" s="770"/>
      <c r="JH599" s="307"/>
      <c r="JI599" s="307"/>
      <c r="JJ599" s="770">
        <v>5</v>
      </c>
      <c r="JK599" s="1139" t="s">
        <v>7905</v>
      </c>
      <c r="JL599" s="770"/>
      <c r="JM599" s="770"/>
      <c r="JN599" s="770">
        <v>2</v>
      </c>
      <c r="JO599" s="770">
        <v>3</v>
      </c>
      <c r="JP599" s="770"/>
      <c r="JQ599" s="770"/>
      <c r="JR599" s="770"/>
      <c r="JS599" s="770"/>
      <c r="JT599" s="766">
        <f t="shared" si="175"/>
        <v>2</v>
      </c>
      <c r="JU599" s="766">
        <f t="shared" si="175"/>
        <v>3</v>
      </c>
      <c r="JV599" s="712" t="str">
        <f t="shared" si="169"/>
        <v>ok</v>
      </c>
      <c r="JW599" s="712" t="str">
        <f t="shared" si="170"/>
        <v>ok</v>
      </c>
      <c r="JX599" s="770"/>
      <c r="JY599" s="770"/>
      <c r="JZ599" s="770"/>
      <c r="KA599" s="770"/>
      <c r="KB599" s="770">
        <v>1</v>
      </c>
      <c r="KC599" s="770">
        <v>2</v>
      </c>
      <c r="KD599" s="770">
        <v>1</v>
      </c>
      <c r="KE599" s="770">
        <v>1</v>
      </c>
      <c r="KF599" s="770"/>
      <c r="KG599" s="770"/>
      <c r="KH599" s="770"/>
      <c r="KI599" s="770"/>
      <c r="KJ599" s="770">
        <f t="shared" si="168"/>
        <v>2</v>
      </c>
      <c r="KK599" s="770">
        <f t="shared" si="168"/>
        <v>3</v>
      </c>
      <c r="KL599" s="712" t="str">
        <f t="shared" si="171"/>
        <v>ok</v>
      </c>
      <c r="KM599" s="712" t="str">
        <f t="shared" si="172"/>
        <v>ok</v>
      </c>
      <c r="KN599" s="770" t="s">
        <v>707</v>
      </c>
      <c r="KO599" s="770"/>
      <c r="KP599" s="770"/>
      <c r="KQ599" s="770"/>
      <c r="KR599" s="770"/>
      <c r="KS599" s="770"/>
      <c r="KT599" s="770"/>
      <c r="KU599" s="770"/>
      <c r="KV599" s="770"/>
      <c r="KW599" s="770"/>
      <c r="KX599" s="770">
        <v>1</v>
      </c>
      <c r="KY599" s="770">
        <v>1</v>
      </c>
      <c r="KZ599" s="770"/>
      <c r="LA599" s="770">
        <v>1</v>
      </c>
      <c r="LB599" s="770"/>
      <c r="LC599" s="770">
        <v>1</v>
      </c>
      <c r="LD599" s="770">
        <v>1</v>
      </c>
      <c r="LE599" s="770"/>
      <c r="LF599" s="770"/>
      <c r="LG599" s="770"/>
      <c r="LH599" s="770"/>
      <c r="LI599" s="770"/>
      <c r="LJ599" s="770"/>
      <c r="LK599" s="770"/>
      <c r="LL599" s="770"/>
      <c r="LM599" s="770"/>
      <c r="LN599" s="766">
        <f t="shared" si="159"/>
        <v>2</v>
      </c>
      <c r="LO599" s="766">
        <f t="shared" si="159"/>
        <v>3</v>
      </c>
      <c r="LP599" s="770">
        <v>2</v>
      </c>
      <c r="LQ599" s="770">
        <v>2</v>
      </c>
      <c r="LR599" s="770"/>
      <c r="LS599" s="770"/>
      <c r="LT599" s="712" t="str">
        <f t="shared" si="173"/>
        <v>OK</v>
      </c>
      <c r="LU599" s="770">
        <v>2</v>
      </c>
      <c r="LV599" s="770"/>
      <c r="LW599" s="770"/>
      <c r="LX599" s="769">
        <v>1</v>
      </c>
      <c r="LY599" s="766" t="str">
        <f t="shared" si="160"/>
        <v>within the BRGY</v>
      </c>
      <c r="LZ599" s="1709">
        <v>1500</v>
      </c>
      <c r="MA599" s="1709"/>
      <c r="MB599" s="1709"/>
      <c r="MC599" s="1679">
        <f t="shared" si="158"/>
        <v>1500</v>
      </c>
      <c r="MD599" s="1709">
        <f>14000+12000</f>
        <v>26000</v>
      </c>
      <c r="ME599" s="1709"/>
      <c r="MF599" s="1709"/>
      <c r="MG599" s="1680">
        <f t="shared" si="174"/>
        <v>26000</v>
      </c>
      <c r="MH599" s="770"/>
      <c r="MI599" s="302">
        <v>5000</v>
      </c>
      <c r="MJ599" s="302">
        <v>5000</v>
      </c>
      <c r="MK599" s="302">
        <v>500</v>
      </c>
      <c r="ML599" s="302">
        <v>8000</v>
      </c>
      <c r="MM599" s="302">
        <v>10000</v>
      </c>
      <c r="MN599" s="302">
        <v>1300</v>
      </c>
      <c r="MO599" s="302">
        <v>200</v>
      </c>
      <c r="MP599" s="302"/>
      <c r="MQ599" s="302">
        <v>400</v>
      </c>
      <c r="MR599" s="302">
        <v>100</v>
      </c>
      <c r="MS599" s="302"/>
      <c r="MT599" s="302"/>
      <c r="MU599" s="302"/>
      <c r="MV599" s="302"/>
      <c r="MW599" s="302"/>
      <c r="MX599" s="302"/>
      <c r="MY599" s="1682">
        <f t="shared" si="165"/>
        <v>30500</v>
      </c>
      <c r="MZ599" s="770" t="s">
        <v>1604</v>
      </c>
      <c r="NA599" s="770" t="s">
        <v>13005</v>
      </c>
      <c r="NB599" s="770" t="s">
        <v>13033</v>
      </c>
      <c r="NC599" s="770" t="s">
        <v>13621</v>
      </c>
      <c r="ND599" s="770">
        <v>0</v>
      </c>
      <c r="NE599" s="770">
        <v>0</v>
      </c>
      <c r="NF599" s="770">
        <v>0</v>
      </c>
      <c r="NG599" s="770">
        <v>1</v>
      </c>
      <c r="NH599" s="770">
        <v>1</v>
      </c>
      <c r="NI599" s="770">
        <v>0</v>
      </c>
      <c r="NJ599" s="770">
        <v>0</v>
      </c>
      <c r="NK599" s="770">
        <v>0</v>
      </c>
      <c r="NL599" s="770">
        <v>0</v>
      </c>
      <c r="NM599" s="770">
        <v>0</v>
      </c>
      <c r="NN599" s="770">
        <v>0</v>
      </c>
      <c r="NO599" s="770">
        <v>0</v>
      </c>
      <c r="NP599" s="770">
        <v>0</v>
      </c>
      <c r="NQ599" s="770">
        <v>0</v>
      </c>
      <c r="NR599" s="770">
        <v>0</v>
      </c>
      <c r="NS599" s="770">
        <v>0</v>
      </c>
      <c r="NT599" s="770">
        <v>0</v>
      </c>
      <c r="NU599" s="770">
        <v>0</v>
      </c>
      <c r="NV599" s="770">
        <v>0</v>
      </c>
      <c r="NW599" s="770">
        <v>0</v>
      </c>
      <c r="NX599" s="770">
        <v>0</v>
      </c>
      <c r="NY599" s="770"/>
      <c r="NZ599" s="770" t="s">
        <v>1208</v>
      </c>
      <c r="OA599" s="770" t="s">
        <v>1208</v>
      </c>
      <c r="OB599" s="770"/>
      <c r="OC599" s="770"/>
      <c r="OD599" s="770"/>
      <c r="OE599" s="770"/>
      <c r="OF599" s="770"/>
      <c r="OG599" s="770"/>
      <c r="OH599" s="770"/>
      <c r="OI599" s="770"/>
      <c r="OJ599" s="770"/>
      <c r="OK599" s="770"/>
      <c r="OL599" s="770"/>
      <c r="OM599" s="770"/>
      <c r="ON599" s="770"/>
      <c r="OO599" s="770"/>
      <c r="OP599" s="770"/>
      <c r="OQ599" s="770"/>
      <c r="OR599" s="770"/>
      <c r="OS599" s="770"/>
      <c r="OT599" s="770"/>
      <c r="OU599" s="770"/>
      <c r="OV599" s="770"/>
      <c r="OW599" s="770"/>
      <c r="OX599" s="770"/>
      <c r="OY599" s="770"/>
      <c r="OZ599" s="770"/>
      <c r="PA599" s="770"/>
      <c r="PB599" s="770"/>
      <c r="PC599" s="770"/>
      <c r="PD599" s="770"/>
      <c r="PE599" s="770"/>
      <c r="PF599" s="770"/>
      <c r="PG599" s="770"/>
      <c r="PH599" s="770"/>
      <c r="PI599" s="770"/>
      <c r="PJ599" s="770"/>
      <c r="PK599" s="770"/>
      <c r="PL599" s="770"/>
      <c r="PM599" s="770"/>
      <c r="PN599" s="770"/>
      <c r="PO599" s="770"/>
      <c r="PP599" s="770"/>
      <c r="PQ599" s="770"/>
      <c r="PR599" s="770"/>
      <c r="PS599" s="770" t="s">
        <v>1208</v>
      </c>
      <c r="PT599" s="770" t="s">
        <v>1208</v>
      </c>
      <c r="PU599" s="770"/>
      <c r="PV599" s="770"/>
      <c r="PW599" s="770"/>
      <c r="PX599" s="770"/>
      <c r="PY599" s="770"/>
      <c r="PZ599" s="770"/>
      <c r="QA599" s="770"/>
      <c r="QB599" s="770"/>
      <c r="QC599" s="770"/>
      <c r="QD599" s="770"/>
      <c r="QE599" s="770"/>
      <c r="QF599" s="770"/>
      <c r="QG599" s="770"/>
      <c r="QH599" s="770"/>
      <c r="QI599" s="770"/>
      <c r="QJ599" s="770"/>
      <c r="QK599" s="770"/>
      <c r="QL599" s="770"/>
      <c r="QM599" s="770"/>
      <c r="QN599" s="770"/>
      <c r="QO599" s="770"/>
      <c r="QP599" s="770"/>
      <c r="QQ599" s="770"/>
      <c r="QR599" s="770"/>
      <c r="QS599" s="770"/>
      <c r="QT599" s="770"/>
      <c r="QU599" s="770"/>
      <c r="QV599" s="770"/>
      <c r="QW599" s="770"/>
      <c r="QX599" s="770"/>
      <c r="QY599" s="770"/>
      <c r="QZ599" s="770"/>
      <c r="RA599" s="770"/>
      <c r="RB599" s="770" t="s">
        <v>1214</v>
      </c>
      <c r="RC599" s="770"/>
      <c r="RD599" s="770"/>
      <c r="RE599" s="770"/>
      <c r="RF599" s="304"/>
      <c r="RG599" s="770"/>
      <c r="RH599" s="302"/>
      <c r="RI599" s="770"/>
      <c r="RJ599" s="770" t="s">
        <v>7906</v>
      </c>
      <c r="RK599" s="770" t="s">
        <v>13795</v>
      </c>
      <c r="RL599" s="1710">
        <v>42895</v>
      </c>
      <c r="RM599" s="12"/>
      <c r="RN599" s="1711"/>
      <c r="RO599" s="133" t="s">
        <v>2987</v>
      </c>
      <c r="RP599" s="11"/>
      <c r="RQ599" s="11"/>
      <c r="RR599" s="311" t="s">
        <v>12353</v>
      </c>
      <c r="RS599" s="1139" t="s">
        <v>12980</v>
      </c>
      <c r="RT599" s="11"/>
      <c r="RU599" s="11"/>
      <c r="RV599" s="771" t="s">
        <v>7421</v>
      </c>
      <c r="RW599" s="11" t="s">
        <v>7825</v>
      </c>
      <c r="RX599" s="11" t="s">
        <v>2987</v>
      </c>
      <c r="RY599" s="11"/>
      <c r="RZ599" s="11"/>
      <c r="SA599" s="771"/>
      <c r="SB599" s="11"/>
      <c r="SC599" s="11"/>
    </row>
    <row r="600" spans="1:497" ht="12.75" customHeight="1">
      <c r="A600" s="311" t="s">
        <v>14225</v>
      </c>
      <c r="B600" s="752" t="s">
        <v>7825</v>
      </c>
      <c r="C600" s="133" t="s">
        <v>2987</v>
      </c>
      <c r="D600" s="94" t="s">
        <v>7908</v>
      </c>
      <c r="E600" s="766" t="s">
        <v>2989</v>
      </c>
      <c r="F600" s="770" t="s">
        <v>28</v>
      </c>
      <c r="G600" s="770" t="s">
        <v>10</v>
      </c>
      <c r="H600" s="770"/>
      <c r="I600" s="295"/>
      <c r="J600" s="94" t="s">
        <v>7908</v>
      </c>
      <c r="K600" s="766" t="s">
        <v>7892</v>
      </c>
      <c r="L600" s="766" t="s">
        <v>2801</v>
      </c>
      <c r="M600" s="770" t="s">
        <v>1238</v>
      </c>
      <c r="N600" s="770"/>
      <c r="O600" s="770" t="s">
        <v>3844</v>
      </c>
      <c r="P600" s="94" t="s">
        <v>7909</v>
      </c>
      <c r="Q600" s="1088">
        <v>25932</v>
      </c>
      <c r="R600" s="297">
        <v>46</v>
      </c>
      <c r="S600" s="770" t="s">
        <v>10</v>
      </c>
      <c r="T600" s="770"/>
      <c r="U600" s="295"/>
      <c r="V600" s="770"/>
      <c r="W600" s="770"/>
      <c r="X600" s="770"/>
      <c r="Y600" s="770"/>
      <c r="Z600" s="770"/>
      <c r="AA600" s="770"/>
      <c r="AB600" s="770"/>
      <c r="AC600" s="770"/>
      <c r="AD600" s="770"/>
      <c r="AE600" s="770"/>
      <c r="AF600" s="770"/>
      <c r="AG600" s="770"/>
      <c r="AH600" s="770"/>
      <c r="AI600" s="770"/>
      <c r="AJ600" s="770"/>
      <c r="AK600" s="770" t="s">
        <v>1101</v>
      </c>
      <c r="AL600" s="531"/>
      <c r="AM600" s="780"/>
      <c r="AN600" s="532"/>
      <c r="AO600" s="766"/>
      <c r="AP600" s="766"/>
      <c r="AQ600" s="766"/>
      <c r="AR600" s="766"/>
      <c r="AS600" s="769"/>
      <c r="AT600" s="770"/>
      <c r="AU600" s="770"/>
      <c r="AV600" s="770"/>
      <c r="AW600" s="770"/>
      <c r="AX600" s="770"/>
      <c r="AY600" s="770"/>
      <c r="AZ600" s="770"/>
      <c r="BA600" s="770"/>
      <c r="BB600" s="770"/>
      <c r="BC600" s="770"/>
      <c r="BD600" s="770"/>
      <c r="BE600" s="770"/>
      <c r="BF600" s="302"/>
      <c r="BG600" s="302"/>
      <c r="BH600" s="770"/>
      <c r="BI600" s="770"/>
      <c r="BJ600" s="770"/>
      <c r="BK600" s="770"/>
      <c r="BL600" s="770"/>
      <c r="BM600" s="770" t="s">
        <v>1238</v>
      </c>
      <c r="BN600" s="770" t="s">
        <v>3230</v>
      </c>
      <c r="BO600" s="770"/>
      <c r="BP600" s="765"/>
      <c r="BQ600" s="773"/>
      <c r="BR600" s="774"/>
      <c r="BS600" s="766" t="s">
        <v>1242</v>
      </c>
      <c r="BT600" s="770"/>
      <c r="BU600" s="770"/>
      <c r="BV600" s="770"/>
      <c r="BW600" s="770"/>
      <c r="BX600" s="302"/>
      <c r="BY600" s="770"/>
      <c r="BZ600" s="302"/>
      <c r="CA600" s="770"/>
      <c r="CB600" s="770"/>
      <c r="CC600" s="770"/>
      <c r="CD600" s="770"/>
      <c r="CE600" s="770"/>
      <c r="CF600" s="1753"/>
      <c r="CG600" s="1754"/>
      <c r="CH600" s="770"/>
      <c r="CI600" s="770"/>
      <c r="CJ600" s="770"/>
      <c r="CK600" s="770"/>
      <c r="CL600" s="770"/>
      <c r="CM600" s="770"/>
      <c r="CN600" s="770"/>
      <c r="CO600" s="770"/>
      <c r="CP600" s="770"/>
      <c r="CQ600" s="770"/>
      <c r="CR600" s="302"/>
      <c r="CS600" s="770"/>
      <c r="CT600" s="770"/>
      <c r="CU600" s="305"/>
      <c r="CV600" s="770"/>
      <c r="CW600" s="770"/>
      <c r="CX600" s="770"/>
      <c r="CY600" s="770"/>
      <c r="CZ600" s="770"/>
      <c r="DA600" s="306"/>
      <c r="DB600" s="770"/>
      <c r="DC600" s="770"/>
      <c r="DD600" s="770"/>
      <c r="DE600" s="300"/>
      <c r="DF600" s="770"/>
      <c r="DG600" s="770"/>
      <c r="DH600" s="770"/>
      <c r="DI600" s="770"/>
      <c r="DJ600" s="770"/>
      <c r="DK600" s="770"/>
      <c r="DL600" s="770"/>
      <c r="DM600" s="770"/>
      <c r="DN600" s="322"/>
      <c r="DO600" s="770"/>
      <c r="DP600" s="770"/>
      <c r="DQ600" s="770"/>
      <c r="DR600" s="770"/>
      <c r="DS600" s="307"/>
      <c r="DT600" s="770"/>
      <c r="DU600" s="770"/>
      <c r="DV600" s="770"/>
      <c r="DW600" s="306"/>
      <c r="DX600" s="306"/>
      <c r="DY600" s="770"/>
      <c r="DZ600" s="770"/>
      <c r="EA600" s="770"/>
      <c r="EB600" s="770"/>
      <c r="EC600" s="770"/>
      <c r="ED600" s="770"/>
      <c r="EE600" s="770"/>
      <c r="EF600" s="770"/>
      <c r="EG600" s="770"/>
      <c r="EH600" s="770"/>
      <c r="EI600" s="770"/>
      <c r="EJ600" s="770"/>
      <c r="EK600" s="770"/>
      <c r="EL600" s="770"/>
      <c r="EM600" s="770"/>
      <c r="EN600" s="770"/>
      <c r="EO600" s="770"/>
      <c r="EP600" s="94"/>
      <c r="EQ600" s="770"/>
      <c r="ER600" s="770"/>
      <c r="ES600" s="770"/>
      <c r="ET600" s="770"/>
      <c r="EU600" s="770"/>
      <c r="EV600" s="770"/>
      <c r="EW600" s="770"/>
      <c r="EX600" s="770"/>
      <c r="EY600" s="770"/>
      <c r="EZ600" s="770"/>
      <c r="FA600" s="770"/>
      <c r="FB600" s="770"/>
      <c r="FC600" s="770"/>
      <c r="FD600" s="302"/>
      <c r="FE600" s="770"/>
      <c r="FF600" s="770"/>
      <c r="FG600" s="770"/>
      <c r="FH600" s="770" t="s">
        <v>3230</v>
      </c>
      <c r="FI600" s="770">
        <v>1</v>
      </c>
      <c r="FJ600" s="770" t="s">
        <v>7917</v>
      </c>
      <c r="FK600" s="770"/>
      <c r="FL600" s="770"/>
      <c r="FM600" s="147"/>
      <c r="FN600" s="302"/>
      <c r="FO600" s="302"/>
      <c r="FP600" s="770" t="s">
        <v>1600</v>
      </c>
      <c r="FQ600" s="770" t="s">
        <v>1642</v>
      </c>
      <c r="FR600" s="770"/>
      <c r="FS600" s="770"/>
      <c r="FT600" s="770"/>
      <c r="FU600" s="770"/>
      <c r="FV600" s="770"/>
      <c r="FW600" s="770"/>
      <c r="FX600" s="770"/>
      <c r="FY600" s="770"/>
      <c r="FZ600" s="770"/>
      <c r="GA600" s="770"/>
      <c r="GB600" s="770"/>
      <c r="GC600" s="308"/>
      <c r="GD600" s="297"/>
      <c r="GE600" s="770"/>
      <c r="GF600" s="302"/>
      <c r="GG600" s="302"/>
      <c r="GH600" s="770"/>
      <c r="GI600" s="770"/>
      <c r="GJ600" s="770"/>
      <c r="GK600" s="770"/>
      <c r="GL600" s="770"/>
      <c r="GM600" s="770"/>
      <c r="GN600" s="299"/>
      <c r="GO600" s="770"/>
      <c r="GP600" s="770"/>
      <c r="GQ600" s="770"/>
      <c r="GR600" s="770"/>
      <c r="GS600" s="770"/>
      <c r="GT600" s="770"/>
      <c r="GU600" s="770"/>
      <c r="GV600" s="770"/>
      <c r="GW600" s="770"/>
      <c r="GX600" s="770"/>
      <c r="GY600" s="770"/>
      <c r="GZ600" s="770"/>
      <c r="HA600" s="770"/>
      <c r="HB600" s="770"/>
      <c r="HC600" s="770"/>
      <c r="HD600" s="770"/>
      <c r="HE600" s="770"/>
      <c r="HF600" s="770"/>
      <c r="HG600" s="770"/>
      <c r="HH600" s="770"/>
      <c r="HI600" s="770"/>
      <c r="HJ600" s="770"/>
      <c r="HK600" s="770"/>
      <c r="HL600" s="770"/>
      <c r="HM600" s="770"/>
      <c r="HN600" s="770"/>
      <c r="HO600" s="770"/>
      <c r="HP600" s="770"/>
      <c r="HQ600" s="770"/>
      <c r="HR600" s="770"/>
      <c r="HS600" s="770"/>
      <c r="HT600" s="770"/>
      <c r="HU600" s="770"/>
      <c r="HV600" s="770"/>
      <c r="HW600" s="770"/>
      <c r="HX600" s="770"/>
      <c r="HY600" s="770"/>
      <c r="HZ600" s="770"/>
      <c r="IA600" s="770"/>
      <c r="IB600" s="14" t="e">
        <f>IF(#REF!&gt;0,IF(#REF!&lt;=10000,"Y",""),"")</f>
        <v>#REF!</v>
      </c>
      <c r="IC600" s="770"/>
      <c r="ID600" s="770"/>
      <c r="IE600" s="770"/>
      <c r="IF600" s="770"/>
      <c r="IG600" s="770"/>
      <c r="IH600" s="770"/>
      <c r="II600" s="770"/>
      <c r="IJ600" s="770"/>
      <c r="IK600" s="770"/>
      <c r="IL600" s="770"/>
      <c r="IM600" s="770"/>
      <c r="IN600" s="770"/>
      <c r="IO600" s="296"/>
      <c r="IP600" s="770"/>
      <c r="IQ600" s="770"/>
      <c r="IR600" s="770"/>
      <c r="IS600" s="770"/>
      <c r="IT600" s="770"/>
      <c r="IU600" s="770"/>
      <c r="IV600" s="770"/>
      <c r="IW600" s="770"/>
      <c r="IX600" s="770"/>
      <c r="IY600" s="770"/>
      <c r="IZ600" s="770"/>
      <c r="JA600" s="770"/>
      <c r="JB600" s="770"/>
      <c r="JC600" s="770"/>
      <c r="JD600" s="302"/>
      <c r="JE600" s="770"/>
      <c r="JF600" s="770"/>
      <c r="JG600" s="770"/>
      <c r="JH600" s="307"/>
      <c r="JI600" s="307"/>
      <c r="JJ600" s="770">
        <v>4</v>
      </c>
      <c r="JK600" s="1139" t="s">
        <v>7910</v>
      </c>
      <c r="JL600" s="770">
        <v>1</v>
      </c>
      <c r="JM600" s="770"/>
      <c r="JN600" s="770">
        <v>2</v>
      </c>
      <c r="JO600" s="770">
        <v>1</v>
      </c>
      <c r="JP600" s="770"/>
      <c r="JQ600" s="770"/>
      <c r="JR600" s="770"/>
      <c r="JS600" s="770"/>
      <c r="JT600" s="766">
        <f t="shared" si="175"/>
        <v>3</v>
      </c>
      <c r="JU600" s="766">
        <f t="shared" si="175"/>
        <v>1</v>
      </c>
      <c r="JV600" s="712" t="str">
        <f t="shared" si="169"/>
        <v>ok</v>
      </c>
      <c r="JW600" s="712" t="str">
        <f t="shared" si="170"/>
        <v>ok</v>
      </c>
      <c r="JX600" s="770"/>
      <c r="JY600" s="770"/>
      <c r="JZ600" s="770">
        <v>1</v>
      </c>
      <c r="KA600" s="770"/>
      <c r="KB600" s="770">
        <v>1</v>
      </c>
      <c r="KC600" s="770"/>
      <c r="KD600" s="770">
        <v>1</v>
      </c>
      <c r="KE600" s="770">
        <v>1</v>
      </c>
      <c r="KF600" s="770"/>
      <c r="KG600" s="770"/>
      <c r="KH600" s="770"/>
      <c r="KI600" s="770"/>
      <c r="KJ600" s="770">
        <f t="shared" si="168"/>
        <v>3</v>
      </c>
      <c r="KK600" s="770">
        <f t="shared" si="168"/>
        <v>1</v>
      </c>
      <c r="KL600" s="712" t="str">
        <f t="shared" si="171"/>
        <v>ok</v>
      </c>
      <c r="KM600" s="712" t="str">
        <f t="shared" si="172"/>
        <v>ok</v>
      </c>
      <c r="KN600" s="770" t="s">
        <v>707</v>
      </c>
      <c r="KO600" s="770"/>
      <c r="KP600" s="770"/>
      <c r="KQ600" s="770"/>
      <c r="KR600" s="770"/>
      <c r="KS600" s="770"/>
      <c r="KT600" s="770"/>
      <c r="KU600" s="770"/>
      <c r="KV600" s="770">
        <v>1</v>
      </c>
      <c r="KW600" s="770">
        <v>1</v>
      </c>
      <c r="KX600" s="770"/>
      <c r="KY600" s="770"/>
      <c r="KZ600" s="770"/>
      <c r="LA600" s="770"/>
      <c r="LB600" s="770">
        <v>2</v>
      </c>
      <c r="LC600" s="770"/>
      <c r="LD600" s="770"/>
      <c r="LE600" s="770"/>
      <c r="LF600" s="770"/>
      <c r="LG600" s="770"/>
      <c r="LH600" s="770"/>
      <c r="LI600" s="770"/>
      <c r="LJ600" s="770"/>
      <c r="LK600" s="770"/>
      <c r="LL600" s="770"/>
      <c r="LM600" s="770"/>
      <c r="LN600" s="766">
        <f t="shared" si="159"/>
        <v>3</v>
      </c>
      <c r="LO600" s="766">
        <f t="shared" si="159"/>
        <v>1</v>
      </c>
      <c r="LP600" s="770">
        <v>2</v>
      </c>
      <c r="LQ600" s="770">
        <v>1</v>
      </c>
      <c r="LR600" s="770"/>
      <c r="LS600" s="770">
        <v>1</v>
      </c>
      <c r="LT600" s="712" t="str">
        <f t="shared" si="173"/>
        <v>OK</v>
      </c>
      <c r="LU600" s="770"/>
      <c r="LV600" s="770">
        <v>1</v>
      </c>
      <c r="LW600" s="770"/>
      <c r="LX600" s="769">
        <v>3</v>
      </c>
      <c r="LY600" s="766" t="str">
        <f t="shared" si="160"/>
        <v>within the PROVINCE</v>
      </c>
      <c r="LZ600" s="1709">
        <v>800</v>
      </c>
      <c r="MA600" s="1709"/>
      <c r="MB600" s="1709"/>
      <c r="MC600" s="1679">
        <f t="shared" si="158"/>
        <v>800</v>
      </c>
      <c r="MD600" s="1709">
        <v>12000</v>
      </c>
      <c r="ME600" s="1709"/>
      <c r="MF600" s="1709">
        <f>400*26</f>
        <v>10400</v>
      </c>
      <c r="MG600" s="1680">
        <f t="shared" si="174"/>
        <v>22400</v>
      </c>
      <c r="MH600" s="770" t="s">
        <v>7911</v>
      </c>
      <c r="MI600" s="302">
        <v>15000</v>
      </c>
      <c r="MJ600" s="302"/>
      <c r="MK600" s="302"/>
      <c r="ML600" s="302"/>
      <c r="MM600" s="302">
        <v>6000</v>
      </c>
      <c r="MN600" s="302">
        <v>1200</v>
      </c>
      <c r="MO600" s="302">
        <v>50</v>
      </c>
      <c r="MP600" s="302">
        <v>200</v>
      </c>
      <c r="MQ600" s="302">
        <v>700</v>
      </c>
      <c r="MR600" s="302">
        <v>350</v>
      </c>
      <c r="MS600" s="302"/>
      <c r="MT600" s="302"/>
      <c r="MU600" s="302"/>
      <c r="MV600" s="302"/>
      <c r="MW600" s="302"/>
      <c r="MX600" s="302"/>
      <c r="MY600" s="1682">
        <f t="shared" si="165"/>
        <v>23500</v>
      </c>
      <c r="MZ600" s="770" t="s">
        <v>1604</v>
      </c>
      <c r="NA600" s="770" t="s">
        <v>13005</v>
      </c>
      <c r="NB600" s="770" t="s">
        <v>13016</v>
      </c>
      <c r="NC600" s="770" t="s">
        <v>13621</v>
      </c>
      <c r="ND600" s="770">
        <v>0</v>
      </c>
      <c r="NE600" s="770">
        <v>1</v>
      </c>
      <c r="NF600" s="770">
        <v>0</v>
      </c>
      <c r="NG600" s="770">
        <v>2</v>
      </c>
      <c r="NH600" s="770">
        <v>0</v>
      </c>
      <c r="NI600" s="770">
        <v>0</v>
      </c>
      <c r="NJ600" s="770">
        <v>0</v>
      </c>
      <c r="NK600" s="770">
        <v>0</v>
      </c>
      <c r="NL600" s="770">
        <v>0</v>
      </c>
      <c r="NM600" s="770">
        <v>0</v>
      </c>
      <c r="NN600" s="770">
        <v>0</v>
      </c>
      <c r="NO600" s="770">
        <v>0</v>
      </c>
      <c r="NP600" s="770">
        <v>0</v>
      </c>
      <c r="NQ600" s="770">
        <v>0</v>
      </c>
      <c r="NR600" s="770">
        <v>0</v>
      </c>
      <c r="NS600" s="770">
        <v>0</v>
      </c>
      <c r="NT600" s="770">
        <v>0</v>
      </c>
      <c r="NU600" s="770">
        <v>0</v>
      </c>
      <c r="NV600" s="770">
        <v>0</v>
      </c>
      <c r="NW600" s="770">
        <v>0</v>
      </c>
      <c r="NX600" s="770">
        <v>0</v>
      </c>
      <c r="NY600" s="770" t="s">
        <v>1208</v>
      </c>
      <c r="NZ600" s="770"/>
      <c r="OA600" s="770"/>
      <c r="OB600" s="770" t="s">
        <v>1208</v>
      </c>
      <c r="OC600" s="770" t="s">
        <v>1208</v>
      </c>
      <c r="OD600" s="770"/>
      <c r="OE600" s="770"/>
      <c r="OF600" s="770"/>
      <c r="OG600" s="770"/>
      <c r="OH600" s="770"/>
      <c r="OI600" s="770"/>
      <c r="OJ600" s="770"/>
      <c r="OK600" s="770"/>
      <c r="OL600" s="770"/>
      <c r="OM600" s="770"/>
      <c r="ON600" s="770"/>
      <c r="OO600" s="770"/>
      <c r="OP600" s="770"/>
      <c r="OQ600" s="770"/>
      <c r="OR600" s="770"/>
      <c r="OS600" s="770"/>
      <c r="OT600" s="770"/>
      <c r="OU600" s="770"/>
      <c r="OV600" s="770"/>
      <c r="OW600" s="770"/>
      <c r="OX600" s="770"/>
      <c r="OY600" s="770"/>
      <c r="OZ600" s="770"/>
      <c r="PA600" s="770"/>
      <c r="PB600" s="770"/>
      <c r="PC600" s="770"/>
      <c r="PD600" s="770"/>
      <c r="PE600" s="770"/>
      <c r="PF600" s="770"/>
      <c r="PG600" s="770"/>
      <c r="PH600" s="770"/>
      <c r="PI600" s="770"/>
      <c r="PJ600" s="770" t="s">
        <v>1208</v>
      </c>
      <c r="PK600" s="770"/>
      <c r="PL600" s="770"/>
      <c r="PM600" s="770"/>
      <c r="PN600" s="770"/>
      <c r="PO600" s="770"/>
      <c r="PP600" s="770"/>
      <c r="PQ600" s="770"/>
      <c r="PR600" s="770"/>
      <c r="PS600" s="770"/>
      <c r="PT600" s="770"/>
      <c r="PU600" s="770"/>
      <c r="PV600" s="770"/>
      <c r="PW600" s="770"/>
      <c r="PX600" s="770"/>
      <c r="PY600" s="770" t="s">
        <v>1208</v>
      </c>
      <c r="PZ600" s="770"/>
      <c r="QA600" s="770"/>
      <c r="QB600" s="770"/>
      <c r="QC600" s="770"/>
      <c r="QD600" s="770"/>
      <c r="QE600" s="770"/>
      <c r="QF600" s="770"/>
      <c r="QG600" s="770"/>
      <c r="QH600" s="770"/>
      <c r="QI600" s="770"/>
      <c r="QJ600" s="770"/>
      <c r="QK600" s="770"/>
      <c r="QL600" s="770"/>
      <c r="QM600" s="770"/>
      <c r="QN600" s="770"/>
      <c r="QO600" s="770"/>
      <c r="QP600" s="770"/>
      <c r="QQ600" s="770"/>
      <c r="QR600" s="770"/>
      <c r="QS600" s="770"/>
      <c r="QT600" s="770"/>
      <c r="QU600" s="770"/>
      <c r="QV600" s="770"/>
      <c r="QW600" s="770"/>
      <c r="QX600" s="770"/>
      <c r="QY600" s="770"/>
      <c r="QZ600" s="770"/>
      <c r="RA600" s="770"/>
      <c r="RB600" s="770" t="s">
        <v>1207</v>
      </c>
      <c r="RC600" s="770" t="s">
        <v>13796</v>
      </c>
      <c r="RD600" s="770" t="s">
        <v>13054</v>
      </c>
      <c r="RE600" s="770" t="s">
        <v>12999</v>
      </c>
      <c r="RF600" s="304">
        <v>4</v>
      </c>
      <c r="RG600" s="770" t="s">
        <v>13047</v>
      </c>
      <c r="RH600" s="302">
        <v>500</v>
      </c>
      <c r="RI600" s="770">
        <v>24</v>
      </c>
      <c r="RJ600" s="770" t="s">
        <v>7910</v>
      </c>
      <c r="RK600" s="770" t="s">
        <v>13544</v>
      </c>
      <c r="RL600" s="1710">
        <v>42895</v>
      </c>
      <c r="RM600" s="12"/>
      <c r="RN600" s="1711"/>
      <c r="RO600" s="133" t="s">
        <v>2987</v>
      </c>
      <c r="RP600" s="11"/>
      <c r="RQ600" s="11"/>
      <c r="RR600" s="311" t="s">
        <v>12353</v>
      </c>
      <c r="RS600" s="1139" t="s">
        <v>12980</v>
      </c>
      <c r="RT600" s="11"/>
      <c r="RU600" s="11"/>
      <c r="RV600" s="771" t="s">
        <v>12353</v>
      </c>
      <c r="RW600" s="11" t="s">
        <v>7825</v>
      </c>
      <c r="RX600" s="11" t="s">
        <v>2987</v>
      </c>
      <c r="RY600" s="11"/>
      <c r="RZ600" s="11"/>
      <c r="SA600" s="771"/>
      <c r="SB600" s="11"/>
      <c r="SC600" s="11"/>
    </row>
    <row r="601" spans="1:497" ht="12.75" customHeight="1">
      <c r="A601" s="17" t="s">
        <v>7421</v>
      </c>
      <c r="B601" s="752" t="s">
        <v>7809</v>
      </c>
      <c r="C601" s="133" t="s">
        <v>2992</v>
      </c>
      <c r="D601" s="94" t="s">
        <v>2993</v>
      </c>
      <c r="E601" s="766" t="s">
        <v>2994</v>
      </c>
      <c r="F601" s="770" t="s">
        <v>28</v>
      </c>
      <c r="G601" s="770" t="s">
        <v>18</v>
      </c>
      <c r="H601" s="770"/>
      <c r="I601" s="295" t="s">
        <v>2995</v>
      </c>
      <c r="J601" s="94" t="s">
        <v>2993</v>
      </c>
      <c r="K601" s="766" t="s">
        <v>7893</v>
      </c>
      <c r="L601" s="766" t="s">
        <v>3947</v>
      </c>
      <c r="M601" s="770" t="s">
        <v>1238</v>
      </c>
      <c r="N601" s="770"/>
      <c r="O601" s="770" t="s">
        <v>3844</v>
      </c>
      <c r="P601" s="94" t="s">
        <v>2996</v>
      </c>
      <c r="Q601" s="1088">
        <v>35223</v>
      </c>
      <c r="R601" s="297">
        <v>20</v>
      </c>
      <c r="S601" s="770" t="s">
        <v>18</v>
      </c>
      <c r="T601" s="770"/>
      <c r="U601" s="295" t="s">
        <v>2995</v>
      </c>
      <c r="V601" s="770" t="s">
        <v>722</v>
      </c>
      <c r="W601" s="770"/>
      <c r="X601" s="770"/>
      <c r="Y601" s="770" t="s">
        <v>2994</v>
      </c>
      <c r="Z601" s="770" t="s">
        <v>708</v>
      </c>
      <c r="AA601" s="770" t="s">
        <v>709</v>
      </c>
      <c r="AB601" s="770" t="s">
        <v>740</v>
      </c>
      <c r="AC601" s="770"/>
      <c r="AD601" s="770" t="s">
        <v>711</v>
      </c>
      <c r="AE601" s="770"/>
      <c r="AF601" s="770" t="s">
        <v>712</v>
      </c>
      <c r="AG601" s="766" t="s">
        <v>1095</v>
      </c>
      <c r="AH601" s="766" t="s">
        <v>1096</v>
      </c>
      <c r="AI601" s="770" t="s">
        <v>3294</v>
      </c>
      <c r="AJ601" s="770"/>
      <c r="AK601" s="770" t="s">
        <v>1101</v>
      </c>
      <c r="AL601" s="531">
        <v>8.9600000000000009</v>
      </c>
      <c r="AM601" s="531">
        <v>8.9600000000000009</v>
      </c>
      <c r="AN601" s="532">
        <f>AM601/AL601</f>
        <v>1</v>
      </c>
      <c r="AO601" s="766" t="s">
        <v>1122</v>
      </c>
      <c r="AP601" s="766"/>
      <c r="AQ601" s="766"/>
      <c r="AR601" s="766"/>
      <c r="AS601" s="770"/>
      <c r="AT601" s="770"/>
      <c r="AU601" s="770"/>
      <c r="AV601" s="770"/>
      <c r="AW601" s="770"/>
      <c r="AX601" s="770"/>
      <c r="AY601" s="770"/>
      <c r="AZ601" s="770"/>
      <c r="BA601" s="770"/>
      <c r="BB601" s="770"/>
      <c r="BC601" s="770"/>
      <c r="BD601" s="770"/>
      <c r="BE601" s="770"/>
      <c r="BF601" s="302"/>
      <c r="BG601" s="302"/>
      <c r="BH601" s="770"/>
      <c r="BI601" s="770"/>
      <c r="BJ601" s="770"/>
      <c r="BK601" s="770" t="s">
        <v>1095</v>
      </c>
      <c r="BL601" s="94" t="s">
        <v>2993</v>
      </c>
      <c r="BM601" s="766" t="s">
        <v>1096</v>
      </c>
      <c r="BN601" s="770" t="s">
        <v>1230</v>
      </c>
      <c r="BO601" s="766" t="s">
        <v>1246</v>
      </c>
      <c r="BP601" s="1109">
        <v>8.9600000000000009</v>
      </c>
      <c r="BQ601" s="765">
        <v>8.9600000000000009</v>
      </c>
      <c r="BR601" s="774">
        <f>BQ601/BP601</f>
        <v>1</v>
      </c>
      <c r="BS601" s="766" t="s">
        <v>1257</v>
      </c>
      <c r="BT601" s="770" t="s">
        <v>1326</v>
      </c>
      <c r="BU601" s="770" t="s">
        <v>1249</v>
      </c>
      <c r="BV601" s="770" t="s">
        <v>1247</v>
      </c>
      <c r="BW601" s="770">
        <v>2015</v>
      </c>
      <c r="BX601" s="302">
        <v>6000</v>
      </c>
      <c r="BY601" s="770" t="s">
        <v>1207</v>
      </c>
      <c r="BZ601" s="302" t="s">
        <v>2746</v>
      </c>
      <c r="CA601" s="770"/>
      <c r="CB601" s="770"/>
      <c r="CC601" s="770"/>
      <c r="CD601" s="770"/>
      <c r="CE601" s="770"/>
      <c r="CF601" s="1753"/>
      <c r="CG601" s="1754"/>
      <c r="CH601" s="770"/>
      <c r="CI601" s="770"/>
      <c r="CJ601" s="770"/>
      <c r="CK601" s="770"/>
      <c r="CL601" s="770"/>
      <c r="CM601" s="770"/>
      <c r="CN601" s="770"/>
      <c r="CO601" s="770"/>
      <c r="CP601" s="770"/>
      <c r="CQ601" s="770"/>
      <c r="CR601" s="302"/>
      <c r="CS601" s="770"/>
      <c r="CT601" s="770"/>
      <c r="CU601" s="305"/>
      <c r="CV601" s="770"/>
      <c r="CW601" s="770"/>
      <c r="CX601" s="770"/>
      <c r="CY601" s="770"/>
      <c r="CZ601" s="770"/>
      <c r="DA601" s="306"/>
      <c r="DB601" s="770"/>
      <c r="DC601" s="770"/>
      <c r="DD601" s="770"/>
      <c r="DE601" s="300"/>
      <c r="DF601" s="770"/>
      <c r="DG601" s="770"/>
      <c r="DH601" s="770"/>
      <c r="DI601" s="770"/>
      <c r="DJ601" s="770"/>
      <c r="DK601" s="770"/>
      <c r="DL601" s="770"/>
      <c r="DM601" s="770"/>
      <c r="DN601" s="322"/>
      <c r="DO601" s="770"/>
      <c r="DP601" s="770"/>
      <c r="DQ601" s="770"/>
      <c r="DR601" s="770"/>
      <c r="DS601" s="307"/>
      <c r="DT601" s="770"/>
      <c r="DU601" s="770"/>
      <c r="DV601" s="770"/>
      <c r="DW601" s="306"/>
      <c r="DX601" s="306"/>
      <c r="DY601" s="770"/>
      <c r="DZ601" s="770"/>
      <c r="EA601" s="770"/>
      <c r="EB601" s="770"/>
      <c r="EC601" s="770"/>
      <c r="ED601" s="770"/>
      <c r="EE601" s="770"/>
      <c r="EF601" s="770"/>
      <c r="EG601" s="770"/>
      <c r="EH601" s="770"/>
      <c r="EI601" s="770"/>
      <c r="EJ601" s="770"/>
      <c r="EK601" s="770"/>
      <c r="EL601" s="770"/>
      <c r="EM601" s="770"/>
      <c r="EN601" s="770"/>
      <c r="EO601" s="770"/>
      <c r="EP601" s="94"/>
      <c r="EQ601" s="770"/>
      <c r="ER601" s="770"/>
      <c r="ES601" s="770"/>
      <c r="ET601" s="770"/>
      <c r="EU601" s="770"/>
      <c r="EV601" s="770"/>
      <c r="EW601" s="770"/>
      <c r="EX601" s="770"/>
      <c r="EY601" s="770"/>
      <c r="EZ601" s="770"/>
      <c r="FA601" s="770"/>
      <c r="FB601" s="770"/>
      <c r="FC601" s="770"/>
      <c r="FD601" s="302"/>
      <c r="FE601" s="770"/>
      <c r="FF601" s="770"/>
      <c r="FG601" s="770"/>
      <c r="FH601" s="770" t="s">
        <v>478</v>
      </c>
      <c r="FI601" s="770">
        <v>1</v>
      </c>
      <c r="FJ601" s="770" t="s">
        <v>7916</v>
      </c>
      <c r="FK601" s="770" t="s">
        <v>2998</v>
      </c>
      <c r="FL601" s="770" t="s">
        <v>2999</v>
      </c>
      <c r="FM601" s="147">
        <v>1500</v>
      </c>
      <c r="FN601" s="302">
        <v>200</v>
      </c>
      <c r="FO601" s="302">
        <v>300</v>
      </c>
      <c r="FP601" s="766" t="s">
        <v>1602</v>
      </c>
      <c r="FQ601" s="766" t="s">
        <v>1660</v>
      </c>
      <c r="FR601" s="770"/>
      <c r="FS601" s="770"/>
      <c r="FT601" s="770"/>
      <c r="FU601" s="770"/>
      <c r="FV601" s="770"/>
      <c r="FW601" s="770"/>
      <c r="FX601" s="770"/>
      <c r="FY601" s="770"/>
      <c r="FZ601" s="770"/>
      <c r="GA601" s="770"/>
      <c r="GB601" s="770"/>
      <c r="GC601" s="308"/>
      <c r="GD601" s="297"/>
      <c r="GE601" s="770"/>
      <c r="GF601" s="302"/>
      <c r="GG601" s="302"/>
      <c r="GH601" s="712" t="s">
        <v>3650</v>
      </c>
      <c r="GI601" s="13"/>
      <c r="GJ601" s="13"/>
      <c r="GK601" s="13"/>
      <c r="GL601" s="13"/>
      <c r="GM601" s="13"/>
      <c r="GN601" s="1790"/>
      <c r="GO601" s="13"/>
      <c r="GP601" s="13"/>
      <c r="GQ601" s="13"/>
      <c r="GR601" s="13"/>
      <c r="GS601" s="13"/>
      <c r="GT601" s="13"/>
      <c r="GU601" s="13"/>
      <c r="GV601" s="13"/>
      <c r="GW601" s="13"/>
      <c r="GX601" s="13"/>
      <c r="GY601" s="13"/>
      <c r="GZ601" s="13"/>
      <c r="HA601" s="13"/>
      <c r="HB601" s="13"/>
      <c r="HC601" s="13"/>
      <c r="HD601" s="13"/>
      <c r="HE601" s="13"/>
      <c r="HF601" s="13"/>
      <c r="HG601" s="13"/>
      <c r="HH601" s="13"/>
      <c r="HI601" s="13"/>
      <c r="HJ601" s="13"/>
      <c r="HK601" s="13"/>
      <c r="HL601" s="13"/>
      <c r="HM601" s="13"/>
      <c r="HN601" s="13"/>
      <c r="HO601" s="13"/>
      <c r="HP601" s="13"/>
      <c r="HQ601" s="13"/>
      <c r="HR601" s="770"/>
      <c r="HS601" s="770"/>
      <c r="HT601" s="770"/>
      <c r="HU601" s="770"/>
      <c r="HV601" s="770"/>
      <c r="HW601" s="770"/>
      <c r="HX601" s="770"/>
      <c r="HY601" s="770"/>
      <c r="HZ601" s="770"/>
      <c r="IA601" s="770"/>
      <c r="IB601" s="14" t="e">
        <f>IF(#REF!&gt;0,IF(#REF!&lt;=10000,"Y",""),"")</f>
        <v>#REF!</v>
      </c>
      <c r="IC601" s="770" t="s">
        <v>1207</v>
      </c>
      <c r="ID601" s="770"/>
      <c r="IE601" s="770"/>
      <c r="IF601" s="770"/>
      <c r="IG601" s="770"/>
      <c r="IH601" s="770"/>
      <c r="II601" s="770"/>
      <c r="IJ601" s="770"/>
      <c r="IK601" s="770"/>
      <c r="IL601" s="770"/>
      <c r="IM601" s="770"/>
      <c r="IN601" s="770"/>
      <c r="IO601" s="296"/>
      <c r="IP601" s="770"/>
      <c r="IQ601" s="770"/>
      <c r="IR601" s="770"/>
      <c r="IS601" s="770"/>
      <c r="IT601" s="770"/>
      <c r="IU601" s="770"/>
      <c r="IV601" s="770"/>
      <c r="IW601" s="770"/>
      <c r="IX601" s="770"/>
      <c r="IY601" s="770"/>
      <c r="IZ601" s="770"/>
      <c r="JA601" s="770"/>
      <c r="JB601" s="770"/>
      <c r="JC601" s="770"/>
      <c r="JD601" s="302"/>
      <c r="JE601" s="770"/>
      <c r="JF601" s="770"/>
      <c r="JG601" s="770"/>
      <c r="JH601" s="307"/>
      <c r="JI601" s="307"/>
      <c r="JJ601" s="94"/>
      <c r="JK601" s="1047" t="s">
        <v>10249</v>
      </c>
      <c r="JL601" s="770"/>
      <c r="JM601" s="770"/>
      <c r="JN601" s="770"/>
      <c r="JO601" s="770"/>
      <c r="JP601" s="770"/>
      <c r="JQ601" s="770"/>
      <c r="JR601" s="770"/>
      <c r="JS601" s="770"/>
      <c r="JT601" s="766"/>
      <c r="JU601" s="766"/>
      <c r="JV601" s="712" t="str">
        <f t="shared" si="169"/>
        <v>ok</v>
      </c>
      <c r="JW601" s="712" t="str">
        <f t="shared" si="170"/>
        <v>ok</v>
      </c>
      <c r="JX601" s="770"/>
      <c r="JY601" s="770"/>
      <c r="JZ601" s="770"/>
      <c r="KA601" s="770"/>
      <c r="KB601" s="770"/>
      <c r="KC601" s="770"/>
      <c r="KD601" s="770"/>
      <c r="KE601" s="770"/>
      <c r="KF601" s="770"/>
      <c r="KG601" s="770"/>
      <c r="KH601" s="770"/>
      <c r="KI601" s="770"/>
      <c r="KJ601" s="770"/>
      <c r="KK601" s="770"/>
      <c r="KL601" s="712" t="str">
        <f t="shared" si="171"/>
        <v>ok</v>
      </c>
      <c r="KM601" s="712" t="str">
        <f t="shared" si="172"/>
        <v>ok</v>
      </c>
      <c r="KN601" s="770"/>
      <c r="KO601" s="770"/>
      <c r="KP601" s="770"/>
      <c r="KQ601" s="770"/>
      <c r="KR601" s="770"/>
      <c r="KS601" s="770"/>
      <c r="KT601" s="770"/>
      <c r="KU601" s="770"/>
      <c r="KV601" s="770"/>
      <c r="KW601" s="770"/>
      <c r="KX601" s="770"/>
      <c r="KY601" s="770"/>
      <c r="KZ601" s="770"/>
      <c r="LA601" s="770"/>
      <c r="LB601" s="770"/>
      <c r="LC601" s="770"/>
      <c r="LD601" s="770"/>
      <c r="LE601" s="770"/>
      <c r="LF601" s="770"/>
      <c r="LG601" s="770"/>
      <c r="LH601" s="770"/>
      <c r="LI601" s="770"/>
      <c r="LJ601" s="770"/>
      <c r="LK601" s="770"/>
      <c r="LL601" s="770"/>
      <c r="LM601" s="770"/>
      <c r="LN601" s="766"/>
      <c r="LO601" s="766"/>
      <c r="LP601" s="770"/>
      <c r="LQ601" s="770"/>
      <c r="LR601" s="770"/>
      <c r="LS601" s="770"/>
      <c r="LT601" s="712" t="str">
        <f t="shared" si="173"/>
        <v>OK</v>
      </c>
      <c r="LU601" s="770"/>
      <c r="LV601" s="770"/>
      <c r="LW601" s="770"/>
      <c r="LX601" s="769"/>
      <c r="LY601" s="766" t="str">
        <f t="shared" si="160"/>
        <v/>
      </c>
      <c r="LZ601" s="1709"/>
      <c r="MA601" s="1709"/>
      <c r="MB601" s="1709"/>
      <c r="MC601" s="1679">
        <f t="shared" si="158"/>
        <v>0</v>
      </c>
      <c r="MD601" s="1709"/>
      <c r="ME601" s="1709"/>
      <c r="MF601" s="1709"/>
      <c r="MG601" s="1680">
        <v>0</v>
      </c>
      <c r="MH601" s="770"/>
      <c r="MI601" s="302"/>
      <c r="MJ601" s="302"/>
      <c r="MK601" s="302"/>
      <c r="ML601" s="302"/>
      <c r="MM601" s="302"/>
      <c r="MN601" s="302"/>
      <c r="MO601" s="302"/>
      <c r="MP601" s="302"/>
      <c r="MQ601" s="302"/>
      <c r="MR601" s="302"/>
      <c r="MS601" s="302"/>
      <c r="MT601" s="302"/>
      <c r="MU601" s="302"/>
      <c r="MV601" s="302"/>
      <c r="MW601" s="302"/>
      <c r="MX601" s="302"/>
      <c r="MY601" s="1682"/>
      <c r="MZ601" s="770"/>
      <c r="NA601" s="770"/>
      <c r="NB601" s="770"/>
      <c r="NC601" s="770"/>
      <c r="ND601" s="770"/>
      <c r="NE601" s="770"/>
      <c r="NF601" s="770"/>
      <c r="NG601" s="770"/>
      <c r="NH601" s="770"/>
      <c r="NI601" s="770"/>
      <c r="NJ601" s="770"/>
      <c r="NK601" s="770"/>
      <c r="NL601" s="770"/>
      <c r="NM601" s="770"/>
      <c r="NN601" s="770"/>
      <c r="NO601" s="770"/>
      <c r="NP601" s="770"/>
      <c r="NQ601" s="770"/>
      <c r="NR601" s="770"/>
      <c r="NS601" s="770"/>
      <c r="NT601" s="770"/>
      <c r="NU601" s="770"/>
      <c r="NV601" s="770"/>
      <c r="NW601" s="770"/>
      <c r="NX601" s="770"/>
      <c r="NY601" s="770"/>
      <c r="NZ601" s="770"/>
      <c r="OA601" s="770"/>
      <c r="OB601" s="770"/>
      <c r="OC601" s="770"/>
      <c r="OD601" s="770"/>
      <c r="OE601" s="770"/>
      <c r="OF601" s="770"/>
      <c r="OG601" s="770"/>
      <c r="OH601" s="770"/>
      <c r="OI601" s="770"/>
      <c r="OJ601" s="770"/>
      <c r="OK601" s="770"/>
      <c r="OL601" s="770"/>
      <c r="OM601" s="770"/>
      <c r="ON601" s="770"/>
      <c r="OO601" s="770"/>
      <c r="OP601" s="770"/>
      <c r="OQ601" s="770"/>
      <c r="OR601" s="770"/>
      <c r="OS601" s="770"/>
      <c r="OT601" s="770"/>
      <c r="OU601" s="770"/>
      <c r="OV601" s="770"/>
      <c r="OW601" s="770"/>
      <c r="OX601" s="770"/>
      <c r="OY601" s="770"/>
      <c r="OZ601" s="770"/>
      <c r="PA601" s="770"/>
      <c r="PB601" s="770"/>
      <c r="PC601" s="770"/>
      <c r="PD601" s="770"/>
      <c r="PE601" s="770"/>
      <c r="PF601" s="770"/>
      <c r="PG601" s="770"/>
      <c r="PH601" s="770"/>
      <c r="PI601" s="770"/>
      <c r="PJ601" s="770"/>
      <c r="PK601" s="770"/>
      <c r="PL601" s="770"/>
      <c r="PM601" s="770"/>
      <c r="PN601" s="770"/>
      <c r="PO601" s="770"/>
      <c r="PP601" s="770"/>
      <c r="PQ601" s="770"/>
      <c r="PR601" s="770"/>
      <c r="PS601" s="770"/>
      <c r="PT601" s="770"/>
      <c r="PU601" s="770"/>
      <c r="PV601" s="770"/>
      <c r="PW601" s="770"/>
      <c r="PX601" s="770"/>
      <c r="PY601" s="770"/>
      <c r="PZ601" s="770"/>
      <c r="QA601" s="770"/>
      <c r="QB601" s="770"/>
      <c r="QC601" s="770"/>
      <c r="QD601" s="770"/>
      <c r="QE601" s="770"/>
      <c r="QF601" s="770"/>
      <c r="QG601" s="770"/>
      <c r="QH601" s="770"/>
      <c r="QI601" s="770"/>
      <c r="QJ601" s="770"/>
      <c r="QK601" s="770"/>
      <c r="QL601" s="770"/>
      <c r="QM601" s="770"/>
      <c r="QN601" s="770"/>
      <c r="QO601" s="770"/>
      <c r="QP601" s="770"/>
      <c r="QQ601" s="770"/>
      <c r="QR601" s="770"/>
      <c r="QS601" s="770"/>
      <c r="QT601" s="770"/>
      <c r="QU601" s="770"/>
      <c r="QV601" s="770"/>
      <c r="QW601" s="770"/>
      <c r="QX601" s="770"/>
      <c r="QY601" s="770"/>
      <c r="QZ601" s="770"/>
      <c r="RA601" s="770"/>
      <c r="RB601" s="770"/>
      <c r="RC601" s="770"/>
      <c r="RD601" s="770"/>
      <c r="RE601" s="770"/>
      <c r="RF601" s="304"/>
      <c r="RG601" s="770"/>
      <c r="RH601" s="302"/>
      <c r="RI601" s="770"/>
      <c r="RJ601" s="770" t="s">
        <v>13797</v>
      </c>
      <c r="RK601" s="770" t="s">
        <v>13552</v>
      </c>
      <c r="RL601" s="1710"/>
      <c r="RM601" s="12"/>
      <c r="RN601" s="1711"/>
      <c r="RO601" s="133" t="s">
        <v>2992</v>
      </c>
      <c r="RP601" s="11"/>
      <c r="RQ601" s="11"/>
      <c r="RR601" s="17" t="s">
        <v>7421</v>
      </c>
      <c r="RS601" s="1139" t="s">
        <v>12980</v>
      </c>
      <c r="RT601" s="11"/>
      <c r="RU601" s="11"/>
      <c r="RV601" s="6" t="s">
        <v>12353</v>
      </c>
      <c r="RW601" s="11" t="s">
        <v>7825</v>
      </c>
      <c r="RX601" s="11" t="s">
        <v>2987</v>
      </c>
      <c r="RY601" s="11"/>
      <c r="RZ601" s="11" t="s">
        <v>1101</v>
      </c>
      <c r="SA601" s="6"/>
      <c r="SB601" s="11"/>
      <c r="SC601" s="11"/>
    </row>
    <row r="602" spans="1:497" ht="12.75" hidden="1" customHeight="1">
      <c r="A602" s="343" t="s">
        <v>7419</v>
      </c>
      <c r="B602" s="752" t="s">
        <v>7921</v>
      </c>
      <c r="C602" s="133" t="s">
        <v>3000</v>
      </c>
      <c r="D602" s="94" t="s">
        <v>4048</v>
      </c>
      <c r="E602" s="766" t="s">
        <v>2994</v>
      </c>
      <c r="F602" s="770" t="s">
        <v>28</v>
      </c>
      <c r="G602" s="770" t="s">
        <v>10</v>
      </c>
      <c r="H602" s="770"/>
      <c r="I602" s="295" t="s">
        <v>2998</v>
      </c>
      <c r="J602" s="94" t="s">
        <v>4048</v>
      </c>
      <c r="K602" s="766" t="s">
        <v>4050</v>
      </c>
      <c r="L602" s="766" t="s">
        <v>3976</v>
      </c>
      <c r="M602" s="770" t="s">
        <v>1238</v>
      </c>
      <c r="N602" s="770"/>
      <c r="O602" s="770" t="s">
        <v>3844</v>
      </c>
      <c r="P602" s="94" t="s">
        <v>4051</v>
      </c>
      <c r="Q602" s="1088">
        <v>25702</v>
      </c>
      <c r="R602" s="297">
        <v>46</v>
      </c>
      <c r="S602" s="770" t="s">
        <v>10</v>
      </c>
      <c r="T602" s="770"/>
      <c r="U602" s="295" t="s">
        <v>2998</v>
      </c>
      <c r="V602" s="770" t="s">
        <v>707</v>
      </c>
      <c r="W602" s="770"/>
      <c r="X602" s="770"/>
      <c r="Y602" s="770" t="s">
        <v>2994</v>
      </c>
      <c r="Z602" s="770" t="s">
        <v>708</v>
      </c>
      <c r="AA602" s="770" t="s">
        <v>709</v>
      </c>
      <c r="AB602" s="12" t="s">
        <v>710</v>
      </c>
      <c r="AC602" s="770" t="s">
        <v>724</v>
      </c>
      <c r="AD602" s="770" t="s">
        <v>711</v>
      </c>
      <c r="AE602" s="770"/>
      <c r="AF602" s="770" t="s">
        <v>712</v>
      </c>
      <c r="AG602" s="766" t="s">
        <v>1095</v>
      </c>
      <c r="AH602" s="766" t="s">
        <v>1096</v>
      </c>
      <c r="AI602" s="770" t="s">
        <v>3294</v>
      </c>
      <c r="AJ602" s="770"/>
      <c r="AK602" s="770" t="s">
        <v>1097</v>
      </c>
      <c r="AL602" s="531">
        <v>16.899999999999999</v>
      </c>
      <c r="AM602" s="780">
        <v>6</v>
      </c>
      <c r="AN602" s="532">
        <f>AM602/AL602</f>
        <v>0.3550295857988166</v>
      </c>
      <c r="AO602" s="766" t="s">
        <v>1149</v>
      </c>
      <c r="AP602" s="766" t="s">
        <v>5364</v>
      </c>
      <c r="AQ602" s="766" t="s">
        <v>7418</v>
      </c>
      <c r="AR602" s="766"/>
      <c r="AS602" s="769"/>
      <c r="AT602" s="770"/>
      <c r="AU602" s="770"/>
      <c r="AV602" s="770"/>
      <c r="AW602" s="770"/>
      <c r="AX602" s="770"/>
      <c r="AY602" s="770"/>
      <c r="AZ602" s="770"/>
      <c r="BA602" s="770"/>
      <c r="BB602" s="770"/>
      <c r="BC602" s="770"/>
      <c r="BD602" s="770"/>
      <c r="BE602" s="770"/>
      <c r="BF602" s="302"/>
      <c r="BG602" s="302"/>
      <c r="BH602" s="770"/>
      <c r="BI602" s="770"/>
      <c r="BJ602" s="770"/>
      <c r="BK602" s="770" t="s">
        <v>1095</v>
      </c>
      <c r="BL602" s="770" t="s">
        <v>4052</v>
      </c>
      <c r="BM602" s="766" t="s">
        <v>1096</v>
      </c>
      <c r="BN602" s="770" t="s">
        <v>3230</v>
      </c>
      <c r="BO602" s="770" t="s">
        <v>1275</v>
      </c>
      <c r="BP602" s="765">
        <v>50.805</v>
      </c>
      <c r="BQ602" s="773">
        <v>18</v>
      </c>
      <c r="BR602" s="774">
        <f>BQ602/BP602</f>
        <v>0.35429583702391498</v>
      </c>
      <c r="BS602" s="6" t="s">
        <v>1149</v>
      </c>
      <c r="BT602" s="766" t="s">
        <v>2040</v>
      </c>
      <c r="BU602" s="770" t="s">
        <v>1249</v>
      </c>
      <c r="BV602" s="770" t="s">
        <v>1247</v>
      </c>
      <c r="BW602" s="770">
        <v>2013</v>
      </c>
      <c r="BX602" s="302">
        <v>400000</v>
      </c>
      <c r="BY602" s="770"/>
      <c r="BZ602" s="302"/>
      <c r="CA602" s="770"/>
      <c r="CB602" s="770"/>
      <c r="CC602" s="770"/>
      <c r="CD602" s="770"/>
      <c r="CE602" s="770"/>
      <c r="CF602" s="1753"/>
      <c r="CG602" s="1754"/>
      <c r="CH602" s="770"/>
      <c r="CI602" s="770"/>
      <c r="CJ602" s="770"/>
      <c r="CK602" s="770"/>
      <c r="CL602" s="770"/>
      <c r="CM602" s="770"/>
      <c r="CN602" s="770"/>
      <c r="CO602" s="770"/>
      <c r="CP602" s="770"/>
      <c r="CQ602" s="770"/>
      <c r="CR602" s="302"/>
      <c r="CS602" s="770"/>
      <c r="CT602" s="770"/>
      <c r="CU602" s="305"/>
      <c r="CV602" s="770"/>
      <c r="CW602" s="770"/>
      <c r="CX602" s="770"/>
      <c r="CY602" s="770"/>
      <c r="CZ602" s="770"/>
      <c r="DA602" s="306"/>
      <c r="DB602" s="770"/>
      <c r="DC602" s="770"/>
      <c r="DD602" s="770"/>
      <c r="DE602" s="300"/>
      <c r="DF602" s="770"/>
      <c r="DG602" s="770"/>
      <c r="DH602" s="770"/>
      <c r="DI602" s="770"/>
      <c r="DJ602" s="770"/>
      <c r="DK602" s="770"/>
      <c r="DL602" s="770"/>
      <c r="DM602" s="770"/>
      <c r="DN602" s="322"/>
      <c r="DO602" s="770"/>
      <c r="DP602" s="770"/>
      <c r="DQ602" s="770"/>
      <c r="DR602" s="770"/>
      <c r="DS602" s="307"/>
      <c r="DT602" s="770"/>
      <c r="DU602" s="770"/>
      <c r="DV602" s="770"/>
      <c r="DW602" s="306"/>
      <c r="DX602" s="306"/>
      <c r="DY602" s="770"/>
      <c r="DZ602" s="770"/>
      <c r="EA602" s="770"/>
      <c r="EB602" s="770"/>
      <c r="EC602" s="770"/>
      <c r="ED602" s="770"/>
      <c r="EE602" s="770"/>
      <c r="EF602" s="770"/>
      <c r="EG602" s="770"/>
      <c r="EH602" s="770"/>
      <c r="EI602" s="770"/>
      <c r="EJ602" s="770"/>
      <c r="EK602" s="770"/>
      <c r="EL602" s="770"/>
      <c r="EM602" s="770"/>
      <c r="EN602" s="770"/>
      <c r="EO602" s="770"/>
      <c r="EP602" s="94"/>
      <c r="EQ602" s="770"/>
      <c r="ER602" s="770"/>
      <c r="ES602" s="770"/>
      <c r="ET602" s="770"/>
      <c r="EU602" s="770"/>
      <c r="EV602" s="770"/>
      <c r="EW602" s="770"/>
      <c r="EX602" s="770"/>
      <c r="EY602" s="770"/>
      <c r="EZ602" s="770"/>
      <c r="FA602" s="770"/>
      <c r="FB602" s="770"/>
      <c r="FC602" s="770"/>
      <c r="FD602" s="302"/>
      <c r="FE602" s="770"/>
      <c r="FF602" s="770"/>
      <c r="FG602" s="770"/>
      <c r="FH602" s="770" t="s">
        <v>3230</v>
      </c>
      <c r="FI602" s="770">
        <v>3</v>
      </c>
      <c r="FJ602" s="770" t="s">
        <v>4049</v>
      </c>
      <c r="FK602" s="770" t="s">
        <v>3005</v>
      </c>
      <c r="FL602" s="770" t="s">
        <v>3006</v>
      </c>
      <c r="FM602" s="302"/>
      <c r="FN602" s="302"/>
      <c r="FO602" s="302"/>
      <c r="FP602" s="766" t="s">
        <v>1602</v>
      </c>
      <c r="FQ602" s="766" t="s">
        <v>1660</v>
      </c>
      <c r="FR602" s="770" t="s">
        <v>1214</v>
      </c>
      <c r="FS602" s="770"/>
      <c r="FT602" s="770"/>
      <c r="FU602" s="770"/>
      <c r="FV602" s="770"/>
      <c r="FW602" s="770"/>
      <c r="FX602" s="770"/>
      <c r="FY602" s="770"/>
      <c r="FZ602" s="770"/>
      <c r="GA602" s="770"/>
      <c r="GB602" s="770" t="s">
        <v>1734</v>
      </c>
      <c r="GC602" s="308"/>
      <c r="GD602" s="297">
        <v>2013</v>
      </c>
      <c r="GE602" s="770" t="s">
        <v>1207</v>
      </c>
      <c r="GF602" s="302"/>
      <c r="GG602" s="302"/>
      <c r="GH602" s="766" t="s">
        <v>14260</v>
      </c>
      <c r="GI602" s="770"/>
      <c r="GJ602" s="770" t="s">
        <v>3209</v>
      </c>
      <c r="GK602" s="770"/>
      <c r="GL602" s="770"/>
      <c r="GM602" s="770"/>
      <c r="GN602" s="299"/>
      <c r="GO602" s="770"/>
      <c r="GP602" s="770"/>
      <c r="GQ602" s="770"/>
      <c r="GR602" s="770"/>
      <c r="GS602" s="770"/>
      <c r="GT602" s="770"/>
      <c r="GU602" s="770"/>
      <c r="GV602" s="770"/>
      <c r="GW602" s="770"/>
      <c r="GX602" s="770"/>
      <c r="GY602" s="770"/>
      <c r="GZ602" s="770"/>
      <c r="HA602" s="770"/>
      <c r="HB602" s="770"/>
      <c r="HC602" s="770"/>
      <c r="HD602" s="770"/>
      <c r="HE602" s="770"/>
      <c r="HF602" s="770"/>
      <c r="HG602" s="770"/>
      <c r="HH602" s="770"/>
      <c r="HI602" s="770" t="s">
        <v>1207</v>
      </c>
      <c r="HJ602" s="770" t="s">
        <v>2384</v>
      </c>
      <c r="HK602" s="770" t="s">
        <v>2994</v>
      </c>
      <c r="HL602" s="770" t="s">
        <v>1214</v>
      </c>
      <c r="HM602" s="770"/>
      <c r="HN602" s="770"/>
      <c r="HO602" s="770"/>
      <c r="HP602" s="770"/>
      <c r="HQ602" s="770"/>
      <c r="HR602" s="770"/>
      <c r="HS602" s="770"/>
      <c r="HT602" s="770"/>
      <c r="HU602" s="770"/>
      <c r="HV602" s="770"/>
      <c r="HW602" s="770"/>
      <c r="HX602" s="770"/>
      <c r="HY602" s="770"/>
      <c r="HZ602" s="770"/>
      <c r="IA602" s="770"/>
      <c r="IB602" s="14" t="e">
        <f>IF(#REF!&gt;0,IF(#REF!&lt;=10000,"Y",""),"")</f>
        <v>#REF!</v>
      </c>
      <c r="IC602" s="770"/>
      <c r="ID602" s="770"/>
      <c r="IE602" s="770"/>
      <c r="IF602" s="770" t="s">
        <v>4048</v>
      </c>
      <c r="IG602" s="770" t="s">
        <v>10</v>
      </c>
      <c r="IH602" s="770" t="s">
        <v>478</v>
      </c>
      <c r="II602" s="770" t="s">
        <v>2994</v>
      </c>
      <c r="IJ602" s="770" t="s">
        <v>1835</v>
      </c>
      <c r="IK602" s="770" t="s">
        <v>2639</v>
      </c>
      <c r="IL602" s="770" t="s">
        <v>4053</v>
      </c>
      <c r="IM602" s="770">
        <v>2015</v>
      </c>
      <c r="IN602" s="770" t="s">
        <v>2997</v>
      </c>
      <c r="IO602" s="296">
        <v>25702</v>
      </c>
      <c r="IP602" s="770" t="s">
        <v>478</v>
      </c>
      <c r="IQ602" s="769" t="s">
        <v>1882</v>
      </c>
      <c r="IR602" s="770" t="s">
        <v>2716</v>
      </c>
      <c r="IS602" s="770" t="s">
        <v>1879</v>
      </c>
      <c r="IT602" s="770"/>
      <c r="IU602" s="770" t="s">
        <v>1208</v>
      </c>
      <c r="IV602" s="770"/>
      <c r="IW602" s="770" t="s">
        <v>13798</v>
      </c>
      <c r="IX602" s="770"/>
      <c r="IY602" s="770" t="s">
        <v>2998</v>
      </c>
      <c r="IZ602" s="770"/>
      <c r="JA602" s="770" t="s">
        <v>1880</v>
      </c>
      <c r="JB602" s="770" t="s">
        <v>12766</v>
      </c>
      <c r="JC602" s="770"/>
      <c r="JD602" s="302">
        <v>4000</v>
      </c>
      <c r="JE602" s="770"/>
      <c r="JF602" s="770"/>
      <c r="JG602" s="770"/>
      <c r="JH602" s="307"/>
      <c r="JI602" s="307"/>
      <c r="JJ602" s="770">
        <v>6</v>
      </c>
      <c r="JK602" s="1139" t="s">
        <v>2997</v>
      </c>
      <c r="JL602" s="770"/>
      <c r="JM602" s="770">
        <v>2</v>
      </c>
      <c r="JN602" s="770">
        <v>2</v>
      </c>
      <c r="JO602" s="770">
        <v>1</v>
      </c>
      <c r="JP602" s="770"/>
      <c r="JQ602" s="770">
        <v>1</v>
      </c>
      <c r="JR602" s="770"/>
      <c r="JS602" s="770"/>
      <c r="JT602" s="766">
        <f>SUM(JP602,JN602,JL602,JR602)</f>
        <v>2</v>
      </c>
      <c r="JU602" s="766">
        <f>SUM(JQ602,JO602,JM602,JS602)</f>
        <v>4</v>
      </c>
      <c r="JV602" s="712" t="str">
        <f t="shared" si="169"/>
        <v>ok</v>
      </c>
      <c r="JW602" s="712" t="str">
        <f t="shared" si="170"/>
        <v>ok</v>
      </c>
      <c r="JX602" s="770"/>
      <c r="JY602" s="770"/>
      <c r="JZ602" s="770"/>
      <c r="KA602" s="770">
        <v>2</v>
      </c>
      <c r="KB602" s="770">
        <v>1</v>
      </c>
      <c r="KC602" s="770"/>
      <c r="KD602" s="770">
        <v>1</v>
      </c>
      <c r="KE602" s="770">
        <v>1</v>
      </c>
      <c r="KF602" s="770"/>
      <c r="KG602" s="770">
        <v>1</v>
      </c>
      <c r="KH602" s="770"/>
      <c r="KI602" s="770"/>
      <c r="KJ602" s="770">
        <f t="shared" si="168"/>
        <v>2</v>
      </c>
      <c r="KK602" s="770">
        <f t="shared" si="168"/>
        <v>4</v>
      </c>
      <c r="KL602" s="712" t="str">
        <f t="shared" si="171"/>
        <v>ok</v>
      </c>
      <c r="KM602" s="712" t="str">
        <f t="shared" si="172"/>
        <v>ok</v>
      </c>
      <c r="KN602" s="770" t="s">
        <v>707</v>
      </c>
      <c r="KO602" s="770"/>
      <c r="KP602" s="770"/>
      <c r="KQ602" s="770"/>
      <c r="KR602" s="770"/>
      <c r="KS602" s="770"/>
      <c r="KT602" s="770"/>
      <c r="KU602" s="770">
        <v>2</v>
      </c>
      <c r="KV602" s="770"/>
      <c r="KW602" s="770">
        <v>1</v>
      </c>
      <c r="KX602" s="770">
        <v>1</v>
      </c>
      <c r="KY602" s="770"/>
      <c r="KZ602" s="770"/>
      <c r="LA602" s="770">
        <v>1</v>
      </c>
      <c r="LB602" s="770"/>
      <c r="LC602" s="770"/>
      <c r="LD602" s="770"/>
      <c r="LE602" s="770"/>
      <c r="LF602" s="770">
        <v>1</v>
      </c>
      <c r="LG602" s="770"/>
      <c r="LH602" s="770"/>
      <c r="LI602" s="770"/>
      <c r="LJ602" s="770"/>
      <c r="LK602" s="770"/>
      <c r="LL602" s="770"/>
      <c r="LM602" s="770"/>
      <c r="LN602" s="766">
        <f t="shared" si="159"/>
        <v>2</v>
      </c>
      <c r="LO602" s="766">
        <f t="shared" si="159"/>
        <v>4</v>
      </c>
      <c r="LP602" s="770">
        <v>1</v>
      </c>
      <c r="LQ602" s="770">
        <v>1</v>
      </c>
      <c r="LR602" s="770"/>
      <c r="LS602" s="770">
        <v>1</v>
      </c>
      <c r="LT602" s="712" t="str">
        <f t="shared" si="173"/>
        <v>OK</v>
      </c>
      <c r="LU602" s="770"/>
      <c r="LV602" s="770">
        <v>1</v>
      </c>
      <c r="LW602" s="770"/>
      <c r="LX602" s="769">
        <v>2</v>
      </c>
      <c r="LY602" s="766" t="str">
        <f t="shared" si="160"/>
        <v>within the MUNICIPALITY</v>
      </c>
      <c r="LZ602" s="1709"/>
      <c r="MA602" s="1709"/>
      <c r="MB602" s="1709"/>
      <c r="MC602" s="1679">
        <f t="shared" si="158"/>
        <v>0</v>
      </c>
      <c r="MD602" s="1709">
        <f>30*26</f>
        <v>780</v>
      </c>
      <c r="ME602" s="1709"/>
      <c r="MF602" s="1709">
        <v>5500</v>
      </c>
      <c r="MG602" s="1680">
        <f t="shared" si="174"/>
        <v>6280</v>
      </c>
      <c r="MH602" s="770" t="s">
        <v>13799</v>
      </c>
      <c r="MI602" s="302">
        <f>250*30</f>
        <v>7500</v>
      </c>
      <c r="MJ602" s="302">
        <f>120*30</f>
        <v>3600</v>
      </c>
      <c r="MK602" s="302">
        <f>2500/12</f>
        <v>208.33333333333334</v>
      </c>
      <c r="ML602" s="302">
        <v>3000</v>
      </c>
      <c r="MM602" s="302">
        <v>100</v>
      </c>
      <c r="MN602" s="302"/>
      <c r="MO602" s="302">
        <f>60*4</f>
        <v>240</v>
      </c>
      <c r="MP602" s="302">
        <v>1500</v>
      </c>
      <c r="MQ602" s="302">
        <v>200</v>
      </c>
      <c r="MR602" s="302">
        <v>350</v>
      </c>
      <c r="MS602" s="302">
        <v>10000</v>
      </c>
      <c r="MT602" s="302"/>
      <c r="MU602" s="302"/>
      <c r="MV602" s="302"/>
      <c r="MW602" s="302"/>
      <c r="MX602" s="302"/>
      <c r="MY602" s="1682">
        <f t="shared" si="165"/>
        <v>26698.333333333336</v>
      </c>
      <c r="MZ602" s="770" t="s">
        <v>13395</v>
      </c>
      <c r="NA602" s="770" t="s">
        <v>13005</v>
      </c>
      <c r="NB602" s="770" t="s">
        <v>13016</v>
      </c>
      <c r="NC602" s="770" t="s">
        <v>13602</v>
      </c>
      <c r="ND602" s="770">
        <v>0</v>
      </c>
      <c r="NE602" s="770">
        <v>0</v>
      </c>
      <c r="NF602" s="770">
        <v>0</v>
      </c>
      <c r="NG602" s="770">
        <v>3</v>
      </c>
      <c r="NH602" s="770">
        <v>1</v>
      </c>
      <c r="NI602" s="770">
        <v>1</v>
      </c>
      <c r="NJ602" s="770">
        <v>0</v>
      </c>
      <c r="NK602" s="770">
        <v>0</v>
      </c>
      <c r="NL602" s="770">
        <v>1</v>
      </c>
      <c r="NM602" s="770">
        <v>0</v>
      </c>
      <c r="NN602" s="770">
        <v>0</v>
      </c>
      <c r="NO602" s="770">
        <v>0</v>
      </c>
      <c r="NP602" s="770">
        <v>0</v>
      </c>
      <c r="NQ602" s="770">
        <v>0</v>
      </c>
      <c r="NR602" s="770">
        <v>0</v>
      </c>
      <c r="NS602" s="770">
        <v>0</v>
      </c>
      <c r="NT602" s="770">
        <v>0</v>
      </c>
      <c r="NU602" s="770">
        <v>0</v>
      </c>
      <c r="NV602" s="770">
        <v>0</v>
      </c>
      <c r="NW602" s="770">
        <v>0</v>
      </c>
      <c r="NX602" s="770">
        <v>0</v>
      </c>
      <c r="NY602" s="770"/>
      <c r="NZ602" s="770"/>
      <c r="OA602" s="770"/>
      <c r="OB602" s="770"/>
      <c r="OC602" s="770" t="s">
        <v>1208</v>
      </c>
      <c r="OD602" s="770"/>
      <c r="OE602" s="770"/>
      <c r="OF602" s="770"/>
      <c r="OG602" s="770"/>
      <c r="OH602" s="770"/>
      <c r="OI602" s="770"/>
      <c r="OJ602" s="770"/>
      <c r="OK602" s="770"/>
      <c r="OL602" s="770"/>
      <c r="OM602" s="770"/>
      <c r="ON602" s="770"/>
      <c r="OO602" s="770"/>
      <c r="OP602" s="770"/>
      <c r="OQ602" s="770"/>
      <c r="OR602" s="770"/>
      <c r="OS602" s="770"/>
      <c r="OT602" s="770"/>
      <c r="OU602" s="770"/>
      <c r="OV602" s="770"/>
      <c r="OW602" s="770"/>
      <c r="OX602" s="770"/>
      <c r="OY602" s="770"/>
      <c r="OZ602" s="770"/>
      <c r="PA602" s="770"/>
      <c r="PB602" s="770"/>
      <c r="PC602" s="770"/>
      <c r="PD602" s="770"/>
      <c r="PE602" s="770"/>
      <c r="PF602" s="770"/>
      <c r="PG602" s="770"/>
      <c r="PH602" s="770"/>
      <c r="PI602" s="770"/>
      <c r="PJ602" s="770"/>
      <c r="PK602" s="770"/>
      <c r="PL602" s="770"/>
      <c r="PM602" s="770"/>
      <c r="PN602" s="770"/>
      <c r="PO602" s="770"/>
      <c r="PP602" s="770"/>
      <c r="PQ602" s="770"/>
      <c r="PR602" s="770"/>
      <c r="PS602" s="770" t="s">
        <v>1208</v>
      </c>
      <c r="PT602" s="770"/>
      <c r="PU602" s="770"/>
      <c r="PV602" s="770"/>
      <c r="PW602" s="770"/>
      <c r="PX602" s="770"/>
      <c r="PY602" s="770"/>
      <c r="PZ602" s="770"/>
      <c r="QA602" s="770"/>
      <c r="QB602" s="770"/>
      <c r="QC602" s="770"/>
      <c r="QD602" s="770"/>
      <c r="QE602" s="770"/>
      <c r="QF602" s="770"/>
      <c r="QG602" s="770" t="s">
        <v>1208</v>
      </c>
      <c r="QH602" s="770"/>
      <c r="QI602" s="770"/>
      <c r="QJ602" s="770"/>
      <c r="QK602" s="770"/>
      <c r="QL602" s="770"/>
      <c r="QM602" s="770"/>
      <c r="QN602" s="770"/>
      <c r="QO602" s="770"/>
      <c r="QP602" s="770"/>
      <c r="QQ602" s="770"/>
      <c r="QR602" s="770"/>
      <c r="QS602" s="770"/>
      <c r="QT602" s="770"/>
      <c r="QU602" s="770"/>
      <c r="QV602" s="770"/>
      <c r="QW602" s="770"/>
      <c r="QX602" s="770"/>
      <c r="QY602" s="770"/>
      <c r="QZ602" s="770"/>
      <c r="RA602" s="770"/>
      <c r="RB602" s="770" t="s">
        <v>1214</v>
      </c>
      <c r="RC602" s="770"/>
      <c r="RD602" s="770"/>
      <c r="RE602" s="770"/>
      <c r="RF602" s="304"/>
      <c r="RG602" s="770"/>
      <c r="RH602" s="302"/>
      <c r="RI602" s="770"/>
      <c r="RJ602" s="770" t="s">
        <v>13800</v>
      </c>
      <c r="RK602" s="770" t="s">
        <v>13556</v>
      </c>
      <c r="RL602" s="1710">
        <v>42833</v>
      </c>
      <c r="RM602" s="12"/>
      <c r="RN602" s="1711"/>
      <c r="RO602" s="133" t="s">
        <v>3000</v>
      </c>
      <c r="RP602" s="11"/>
      <c r="RQ602" s="11"/>
      <c r="RR602" s="343" t="s">
        <v>7419</v>
      </c>
      <c r="RS602" s="1139" t="s">
        <v>12980</v>
      </c>
      <c r="RT602" s="11"/>
      <c r="RU602" s="11"/>
      <c r="RV602" s="771" t="s">
        <v>12353</v>
      </c>
      <c r="RW602" s="11" t="s">
        <v>7825</v>
      </c>
      <c r="RX602" s="11" t="s">
        <v>2987</v>
      </c>
      <c r="RY602" s="11"/>
      <c r="RZ602" s="11" t="s">
        <v>1101</v>
      </c>
      <c r="SA602" s="771"/>
      <c r="SB602" s="11"/>
      <c r="SC602" s="11"/>
    </row>
    <row r="603" spans="1:497" ht="12.75" hidden="1" customHeight="1">
      <c r="A603" s="343" t="s">
        <v>14226</v>
      </c>
      <c r="B603" s="752" t="s">
        <v>7513</v>
      </c>
      <c r="C603" s="133" t="s">
        <v>3000</v>
      </c>
      <c r="D603" s="94" t="s">
        <v>3007</v>
      </c>
      <c r="E603" s="766" t="s">
        <v>4057</v>
      </c>
      <c r="F603" s="770" t="s">
        <v>20</v>
      </c>
      <c r="G603" s="770" t="s">
        <v>18</v>
      </c>
      <c r="H603" s="770"/>
      <c r="I603" s="295"/>
      <c r="J603" s="94" t="s">
        <v>3008</v>
      </c>
      <c r="K603" s="766" t="s">
        <v>4050</v>
      </c>
      <c r="L603" s="766" t="s">
        <v>3976</v>
      </c>
      <c r="M603" s="770" t="s">
        <v>1238</v>
      </c>
      <c r="N603" s="770"/>
      <c r="O603" s="770" t="s">
        <v>3844</v>
      </c>
      <c r="P603" s="770" t="s">
        <v>3009</v>
      </c>
      <c r="Q603" s="1088">
        <v>27514</v>
      </c>
      <c r="R603" s="297">
        <v>37</v>
      </c>
      <c r="S603" s="770" t="s">
        <v>10</v>
      </c>
      <c r="T603" s="770"/>
      <c r="U603" s="298"/>
      <c r="V603" s="770" t="s">
        <v>722</v>
      </c>
      <c r="W603" s="770"/>
      <c r="X603" s="770"/>
      <c r="Y603" s="770"/>
      <c r="Z603" s="770" t="s">
        <v>708</v>
      </c>
      <c r="AA603" s="770" t="s">
        <v>748</v>
      </c>
      <c r="AB603" s="770" t="s">
        <v>7275</v>
      </c>
      <c r="AC603" s="770" t="s">
        <v>724</v>
      </c>
      <c r="AD603" s="770" t="s">
        <v>937</v>
      </c>
      <c r="AE603" s="770"/>
      <c r="AF603" s="770" t="s">
        <v>712</v>
      </c>
      <c r="AG603" s="770"/>
      <c r="AH603" s="770"/>
      <c r="AI603" s="770"/>
      <c r="AJ603" s="770"/>
      <c r="AK603" s="770" t="s">
        <v>1899</v>
      </c>
      <c r="AL603" s="531"/>
      <c r="AM603" s="780"/>
      <c r="AN603" s="532"/>
      <c r="AO603" s="766"/>
      <c r="AP603" s="766"/>
      <c r="AQ603" s="766"/>
      <c r="AR603" s="766"/>
      <c r="AS603" s="770"/>
      <c r="AT603" s="770"/>
      <c r="AU603" s="770"/>
      <c r="AV603" s="770"/>
      <c r="AW603" s="770"/>
      <c r="AX603" s="770"/>
      <c r="AY603" s="770"/>
      <c r="AZ603" s="770"/>
      <c r="BA603" s="770"/>
      <c r="BB603" s="770"/>
      <c r="BC603" s="770"/>
      <c r="BD603" s="770"/>
      <c r="BE603" s="770"/>
      <c r="BF603" s="302"/>
      <c r="BG603" s="302"/>
      <c r="BH603" s="770"/>
      <c r="BI603" s="770"/>
      <c r="BJ603" s="770"/>
      <c r="BK603" s="770"/>
      <c r="BL603" s="770"/>
      <c r="BM603" s="770" t="s">
        <v>1238</v>
      </c>
      <c r="BN603" s="770" t="s">
        <v>1256</v>
      </c>
      <c r="BO603" s="770"/>
      <c r="BP603" s="765"/>
      <c r="BQ603" s="773"/>
      <c r="BR603" s="774"/>
      <c r="BS603" s="6" t="s">
        <v>1149</v>
      </c>
      <c r="BT603" s="770"/>
      <c r="BU603" s="770"/>
      <c r="BV603" s="770"/>
      <c r="BW603" s="770"/>
      <c r="BX603" s="302"/>
      <c r="BY603" s="770"/>
      <c r="BZ603" s="302"/>
      <c r="CA603" s="770"/>
      <c r="CB603" s="770"/>
      <c r="CC603" s="770"/>
      <c r="CD603" s="770"/>
      <c r="CE603" s="770"/>
      <c r="CF603" s="1753"/>
      <c r="CG603" s="1754"/>
      <c r="CH603" s="770"/>
      <c r="CI603" s="770"/>
      <c r="CJ603" s="770"/>
      <c r="CK603" s="770"/>
      <c r="CL603" s="770"/>
      <c r="CM603" s="770"/>
      <c r="CN603" s="770"/>
      <c r="CO603" s="770"/>
      <c r="CP603" s="770"/>
      <c r="CQ603" s="770"/>
      <c r="CR603" s="302"/>
      <c r="CS603" s="770"/>
      <c r="CT603" s="770"/>
      <c r="CU603" s="305"/>
      <c r="CV603" s="770"/>
      <c r="CW603" s="770"/>
      <c r="CX603" s="770"/>
      <c r="CY603" s="770"/>
      <c r="CZ603" s="770"/>
      <c r="DA603" s="306"/>
      <c r="DB603" s="770"/>
      <c r="DC603" s="770"/>
      <c r="DD603" s="770"/>
      <c r="DE603" s="300"/>
      <c r="DF603" s="770"/>
      <c r="DG603" s="770"/>
      <c r="DH603" s="770"/>
      <c r="DI603" s="770"/>
      <c r="DJ603" s="770"/>
      <c r="DK603" s="770"/>
      <c r="DL603" s="770"/>
      <c r="DM603" s="770"/>
      <c r="DN603" s="322"/>
      <c r="DO603" s="770"/>
      <c r="DP603" s="770"/>
      <c r="DQ603" s="770"/>
      <c r="DR603" s="770"/>
      <c r="DS603" s="307"/>
      <c r="DT603" s="770"/>
      <c r="DU603" s="770"/>
      <c r="DV603" s="770"/>
      <c r="DW603" s="306"/>
      <c r="DX603" s="306"/>
      <c r="DY603" s="770"/>
      <c r="DZ603" s="770"/>
      <c r="EA603" s="770"/>
      <c r="EB603" s="770"/>
      <c r="EC603" s="770"/>
      <c r="ED603" s="770"/>
      <c r="EE603" s="770"/>
      <c r="EF603" s="770"/>
      <c r="EG603" s="770"/>
      <c r="EH603" s="770"/>
      <c r="EI603" s="770"/>
      <c r="EJ603" s="770"/>
      <c r="EK603" s="770"/>
      <c r="EL603" s="770"/>
      <c r="EM603" s="770"/>
      <c r="EN603" s="770"/>
      <c r="EO603" s="770"/>
      <c r="EP603" s="94"/>
      <c r="EQ603" s="770"/>
      <c r="ER603" s="770"/>
      <c r="ES603" s="770"/>
      <c r="ET603" s="770"/>
      <c r="EU603" s="770"/>
      <c r="EV603" s="770"/>
      <c r="EW603" s="770"/>
      <c r="EX603" s="770"/>
      <c r="EY603" s="770"/>
      <c r="EZ603" s="770"/>
      <c r="FA603" s="770"/>
      <c r="FB603" s="770"/>
      <c r="FC603" s="770"/>
      <c r="FD603" s="302"/>
      <c r="FE603" s="770"/>
      <c r="FF603" s="770"/>
      <c r="FG603" s="770"/>
      <c r="FH603" s="770" t="s">
        <v>1306</v>
      </c>
      <c r="FI603" s="770">
        <v>1</v>
      </c>
      <c r="FJ603" s="770" t="s">
        <v>4049</v>
      </c>
      <c r="FK603" s="770" t="s">
        <v>3005</v>
      </c>
      <c r="FL603" s="770" t="s">
        <v>3006</v>
      </c>
      <c r="FM603" s="147">
        <v>1900</v>
      </c>
      <c r="FN603" s="302"/>
      <c r="FO603" s="302"/>
      <c r="FP603" s="13" t="s">
        <v>1600</v>
      </c>
      <c r="FQ603" s="13" t="s">
        <v>1642</v>
      </c>
      <c r="FR603" s="770"/>
      <c r="FS603" s="770"/>
      <c r="FT603" s="770"/>
      <c r="FU603" s="770"/>
      <c r="FV603" s="770"/>
      <c r="FW603" s="770"/>
      <c r="FX603" s="770"/>
      <c r="FY603" s="770"/>
      <c r="FZ603" s="770"/>
      <c r="GA603" s="770"/>
      <c r="GB603" s="770"/>
      <c r="GC603" s="308"/>
      <c r="GD603" s="297"/>
      <c r="GE603" s="770"/>
      <c r="GF603" s="302"/>
      <c r="GG603" s="302"/>
      <c r="GH603" s="770"/>
      <c r="GI603" s="770"/>
      <c r="GJ603" s="770"/>
      <c r="GK603" s="770"/>
      <c r="GL603" s="770"/>
      <c r="GM603" s="770"/>
      <c r="GN603" s="299"/>
      <c r="GO603" s="770"/>
      <c r="GP603" s="770"/>
      <c r="GQ603" s="770"/>
      <c r="GR603" s="770"/>
      <c r="GS603" s="770"/>
      <c r="GT603" s="770"/>
      <c r="GU603" s="770"/>
      <c r="GV603" s="770"/>
      <c r="GW603" s="770"/>
      <c r="GX603" s="770"/>
      <c r="GY603" s="770"/>
      <c r="GZ603" s="770"/>
      <c r="HA603" s="770"/>
      <c r="HB603" s="770"/>
      <c r="HC603" s="770"/>
      <c r="HD603" s="770"/>
      <c r="HE603" s="770"/>
      <c r="HF603" s="770"/>
      <c r="HG603" s="770"/>
      <c r="HH603" s="770"/>
      <c r="HI603" s="770"/>
      <c r="HJ603" s="770"/>
      <c r="HK603" s="770"/>
      <c r="HL603" s="770"/>
      <c r="HM603" s="770"/>
      <c r="HN603" s="770"/>
      <c r="HO603" s="770"/>
      <c r="HP603" s="770"/>
      <c r="HQ603" s="770"/>
      <c r="HR603" s="770"/>
      <c r="HS603" s="770"/>
      <c r="HT603" s="770"/>
      <c r="HU603" s="770"/>
      <c r="HV603" s="770"/>
      <c r="HW603" s="770"/>
      <c r="HX603" s="770"/>
      <c r="HY603" s="770"/>
      <c r="HZ603" s="770"/>
      <c r="IA603" s="770"/>
      <c r="IB603" s="770" t="s">
        <v>1207</v>
      </c>
      <c r="IC603" s="770"/>
      <c r="ID603" s="770"/>
      <c r="IE603" s="770"/>
      <c r="IF603" s="770"/>
      <c r="IG603" s="770"/>
      <c r="IH603" s="770"/>
      <c r="II603" s="770"/>
      <c r="IJ603" s="770"/>
      <c r="IK603" s="770"/>
      <c r="IL603" s="770"/>
      <c r="IM603" s="770"/>
      <c r="IN603" s="770"/>
      <c r="IO603" s="296"/>
      <c r="IP603" s="770"/>
      <c r="IQ603" s="770"/>
      <c r="IR603" s="770"/>
      <c r="IS603" s="770"/>
      <c r="IT603" s="770"/>
      <c r="IU603" s="770"/>
      <c r="IV603" s="770"/>
      <c r="IW603" s="770"/>
      <c r="IX603" s="770"/>
      <c r="IY603" s="770"/>
      <c r="IZ603" s="770"/>
      <c r="JA603" s="770"/>
      <c r="JB603" s="770"/>
      <c r="JC603" s="770"/>
      <c r="JD603" s="302"/>
      <c r="JE603" s="770"/>
      <c r="JF603" s="770"/>
      <c r="JG603" s="770"/>
      <c r="JH603" s="307"/>
      <c r="JI603" s="307"/>
      <c r="JJ603" s="770"/>
      <c r="JK603" s="770"/>
      <c r="JL603" s="770"/>
      <c r="JM603" s="770"/>
      <c r="JN603" s="770"/>
      <c r="JO603" s="770"/>
      <c r="JP603" s="770"/>
      <c r="JQ603" s="770"/>
      <c r="JR603" s="770"/>
      <c r="JS603" s="770"/>
      <c r="JT603" s="766"/>
      <c r="JU603" s="766"/>
      <c r="JV603" s="766"/>
      <c r="JW603" s="766"/>
      <c r="JX603" s="770"/>
      <c r="JY603" s="770"/>
      <c r="JZ603" s="770"/>
      <c r="KA603" s="770"/>
      <c r="KB603" s="770"/>
      <c r="KC603" s="770"/>
      <c r="KD603" s="770"/>
      <c r="KE603" s="770"/>
      <c r="KF603" s="770"/>
      <c r="KG603" s="770"/>
      <c r="KH603" s="770"/>
      <c r="KI603" s="770"/>
      <c r="KJ603" s="770"/>
      <c r="KK603" s="770"/>
      <c r="KL603" s="770"/>
      <c r="KM603" s="770"/>
      <c r="KN603" s="770"/>
      <c r="KO603" s="770"/>
      <c r="KP603" s="770"/>
      <c r="KQ603" s="770"/>
      <c r="KR603" s="770"/>
      <c r="KS603" s="770"/>
      <c r="KT603" s="770"/>
      <c r="KU603" s="770"/>
      <c r="KV603" s="770"/>
      <c r="KW603" s="770"/>
      <c r="KX603" s="770"/>
      <c r="KY603" s="770"/>
      <c r="KZ603" s="770"/>
      <c r="LA603" s="770"/>
      <c r="LB603" s="770"/>
      <c r="LC603" s="770"/>
      <c r="LD603" s="770"/>
      <c r="LE603" s="770"/>
      <c r="LF603" s="770"/>
      <c r="LG603" s="770"/>
      <c r="LH603" s="770"/>
      <c r="LI603" s="770"/>
      <c r="LJ603" s="770"/>
      <c r="LK603" s="770"/>
      <c r="LL603" s="770"/>
      <c r="LM603" s="770"/>
      <c r="LN603" s="766"/>
      <c r="LO603" s="766"/>
      <c r="LP603" s="770"/>
      <c r="LQ603" s="770"/>
      <c r="LR603" s="770"/>
      <c r="LS603" s="770"/>
      <c r="LT603" s="770"/>
      <c r="LU603" s="770"/>
      <c r="LV603" s="770"/>
      <c r="LW603" s="770"/>
      <c r="LX603" s="769"/>
      <c r="LY603" s="766" t="str">
        <f t="shared" si="160"/>
        <v/>
      </c>
      <c r="LZ603" s="1709"/>
      <c r="MA603" s="1709"/>
      <c r="MB603" s="1709"/>
      <c r="MC603" s="1679">
        <f t="shared" si="158"/>
        <v>0</v>
      </c>
      <c r="MD603" s="1709"/>
      <c r="ME603" s="1709"/>
      <c r="MF603" s="1709"/>
      <c r="MG603" s="1680">
        <f t="shared" si="164"/>
        <v>0</v>
      </c>
      <c r="MH603" s="770"/>
      <c r="MI603" s="302"/>
      <c r="MJ603" s="302"/>
      <c r="MK603" s="302"/>
      <c r="ML603" s="302"/>
      <c r="MM603" s="302"/>
      <c r="MN603" s="302"/>
      <c r="MO603" s="302"/>
      <c r="MP603" s="302"/>
      <c r="MQ603" s="302"/>
      <c r="MR603" s="302"/>
      <c r="MS603" s="302"/>
      <c r="MT603" s="302"/>
      <c r="MU603" s="302"/>
      <c r="MV603" s="302"/>
      <c r="MW603" s="302"/>
      <c r="MX603" s="302"/>
      <c r="MY603" s="1682">
        <f t="shared" si="165"/>
        <v>0</v>
      </c>
      <c r="MZ603" s="770"/>
      <c r="NA603" s="770"/>
      <c r="NB603" s="770"/>
      <c r="NC603" s="770"/>
      <c r="ND603" s="770"/>
      <c r="NE603" s="770"/>
      <c r="NF603" s="770"/>
      <c r="NG603" s="770"/>
      <c r="NH603" s="770"/>
      <c r="NI603" s="770"/>
      <c r="NJ603" s="770"/>
      <c r="NK603" s="770"/>
      <c r="NL603" s="770"/>
      <c r="NM603" s="770"/>
      <c r="NN603" s="770"/>
      <c r="NO603" s="770"/>
      <c r="NP603" s="770"/>
      <c r="NQ603" s="770"/>
      <c r="NR603" s="770"/>
      <c r="NS603" s="770"/>
      <c r="NT603" s="770"/>
      <c r="NU603" s="770"/>
      <c r="NV603" s="770"/>
      <c r="NW603" s="770"/>
      <c r="NX603" s="770"/>
      <c r="NY603" s="770"/>
      <c r="NZ603" s="770"/>
      <c r="OA603" s="770"/>
      <c r="OB603" s="770"/>
      <c r="OC603" s="770"/>
      <c r="OD603" s="770"/>
      <c r="OE603" s="770"/>
      <c r="OF603" s="770"/>
      <c r="OG603" s="770"/>
      <c r="OH603" s="770"/>
      <c r="OI603" s="770"/>
      <c r="OJ603" s="770"/>
      <c r="OK603" s="770"/>
      <c r="OL603" s="770"/>
      <c r="OM603" s="770"/>
      <c r="ON603" s="770"/>
      <c r="OO603" s="770"/>
      <c r="OP603" s="770"/>
      <c r="OQ603" s="770"/>
      <c r="OR603" s="770"/>
      <c r="OS603" s="770"/>
      <c r="OT603" s="770"/>
      <c r="OU603" s="770"/>
      <c r="OV603" s="770"/>
      <c r="OW603" s="770"/>
      <c r="OX603" s="770"/>
      <c r="OY603" s="770"/>
      <c r="OZ603" s="770"/>
      <c r="PA603" s="770"/>
      <c r="PB603" s="770"/>
      <c r="PC603" s="770"/>
      <c r="PD603" s="770"/>
      <c r="PE603" s="770"/>
      <c r="PF603" s="770"/>
      <c r="PG603" s="770"/>
      <c r="PH603" s="770"/>
      <c r="PI603" s="770"/>
      <c r="PJ603" s="770"/>
      <c r="PK603" s="770"/>
      <c r="PL603" s="770"/>
      <c r="PM603" s="770"/>
      <c r="PN603" s="770"/>
      <c r="PO603" s="770"/>
      <c r="PP603" s="770"/>
      <c r="PQ603" s="770"/>
      <c r="PR603" s="770"/>
      <c r="PS603" s="770"/>
      <c r="PT603" s="770"/>
      <c r="PU603" s="770"/>
      <c r="PV603" s="770"/>
      <c r="PW603" s="770"/>
      <c r="PX603" s="770"/>
      <c r="PY603" s="770"/>
      <c r="PZ603" s="770"/>
      <c r="QA603" s="770"/>
      <c r="QB603" s="770"/>
      <c r="QC603" s="770"/>
      <c r="QD603" s="770"/>
      <c r="QE603" s="770"/>
      <c r="QF603" s="770"/>
      <c r="QG603" s="770"/>
      <c r="QH603" s="770"/>
      <c r="QI603" s="770"/>
      <c r="QJ603" s="770"/>
      <c r="QK603" s="770"/>
      <c r="QL603" s="770"/>
      <c r="QM603" s="770"/>
      <c r="QN603" s="770"/>
      <c r="QO603" s="770"/>
      <c r="QP603" s="770"/>
      <c r="QQ603" s="770"/>
      <c r="QR603" s="770"/>
      <c r="QS603" s="770"/>
      <c r="QT603" s="770"/>
      <c r="QU603" s="770"/>
      <c r="QV603" s="770"/>
      <c r="QW603" s="770"/>
      <c r="QX603" s="770"/>
      <c r="QY603" s="770"/>
      <c r="QZ603" s="770"/>
      <c r="RA603" s="770"/>
      <c r="RB603" s="770"/>
      <c r="RC603" s="770"/>
      <c r="RD603" s="770"/>
      <c r="RE603" s="770"/>
      <c r="RF603" s="304"/>
      <c r="RG603" s="770"/>
      <c r="RH603" s="302"/>
      <c r="RI603" s="770"/>
      <c r="RJ603" s="770" t="s">
        <v>13801</v>
      </c>
      <c r="RK603" s="770" t="s">
        <v>13556</v>
      </c>
      <c r="RL603" s="1710"/>
      <c r="RM603" s="12"/>
      <c r="RN603" s="1711"/>
      <c r="RO603" s="133" t="s">
        <v>3000</v>
      </c>
      <c r="RP603" s="11"/>
      <c r="RQ603" s="11"/>
      <c r="RR603" s="17"/>
      <c r="RS603" s="767"/>
      <c r="RT603" s="11"/>
      <c r="RU603" s="11"/>
      <c r="RV603" s="771" t="s">
        <v>7421</v>
      </c>
      <c r="RW603" s="11" t="s">
        <v>7809</v>
      </c>
      <c r="RX603" s="11" t="s">
        <v>2992</v>
      </c>
      <c r="RY603" s="11"/>
      <c r="RZ603" s="11"/>
      <c r="SA603" s="771"/>
      <c r="SB603" s="11"/>
      <c r="SC603" s="11"/>
    </row>
    <row r="604" spans="1:497" ht="12.75" hidden="1" customHeight="1">
      <c r="A604" s="343" t="s">
        <v>14226</v>
      </c>
      <c r="B604" s="752" t="s">
        <v>7512</v>
      </c>
      <c r="C604" s="133" t="s">
        <v>3000</v>
      </c>
      <c r="D604" s="94" t="s">
        <v>3003</v>
      </c>
      <c r="E604" s="766" t="s">
        <v>2994</v>
      </c>
      <c r="F604" s="770" t="s">
        <v>28</v>
      </c>
      <c r="G604" s="770" t="s">
        <v>18</v>
      </c>
      <c r="H604" s="770"/>
      <c r="I604" s="295" t="s">
        <v>3001</v>
      </c>
      <c r="J604" s="94" t="s">
        <v>3002</v>
      </c>
      <c r="K604" s="766" t="s">
        <v>4050</v>
      </c>
      <c r="L604" s="766" t="s">
        <v>3976</v>
      </c>
      <c r="M604" s="770" t="s">
        <v>1238</v>
      </c>
      <c r="N604" s="770"/>
      <c r="O604" s="770" t="s">
        <v>3844</v>
      </c>
      <c r="P604" s="770" t="s">
        <v>3004</v>
      </c>
      <c r="Q604" s="1088">
        <v>30267</v>
      </c>
      <c r="R604" s="297">
        <v>35</v>
      </c>
      <c r="S604" s="770" t="s">
        <v>18</v>
      </c>
      <c r="T604" s="770"/>
      <c r="U604" s="295" t="s">
        <v>3001</v>
      </c>
      <c r="V604" s="770"/>
      <c r="W604" s="770"/>
      <c r="X604" s="770"/>
      <c r="Y604" s="770" t="s">
        <v>2994</v>
      </c>
      <c r="Z604" s="770" t="s">
        <v>708</v>
      </c>
      <c r="AA604" s="770" t="s">
        <v>709</v>
      </c>
      <c r="AB604" s="770" t="s">
        <v>7273</v>
      </c>
      <c r="AC604" s="770" t="s">
        <v>948</v>
      </c>
      <c r="AD604" s="770" t="s">
        <v>711</v>
      </c>
      <c r="AE604" s="770"/>
      <c r="AF604" s="770" t="s">
        <v>798</v>
      </c>
      <c r="AG604" s="770"/>
      <c r="AH604" s="770"/>
      <c r="AI604" s="770"/>
      <c r="AJ604" s="770"/>
      <c r="AK604" s="770" t="s">
        <v>1899</v>
      </c>
      <c r="AL604" s="531"/>
      <c r="AM604" s="780"/>
      <c r="AN604" s="532"/>
      <c r="AO604" s="766"/>
      <c r="AP604" s="766"/>
      <c r="AQ604" s="766"/>
      <c r="AR604" s="766"/>
      <c r="AS604" s="769"/>
      <c r="AT604" s="770"/>
      <c r="AU604" s="770"/>
      <c r="AV604" s="770"/>
      <c r="AW604" s="770"/>
      <c r="AX604" s="770"/>
      <c r="AY604" s="770"/>
      <c r="AZ604" s="770"/>
      <c r="BA604" s="770"/>
      <c r="BB604" s="770"/>
      <c r="BC604" s="770"/>
      <c r="BD604" s="770"/>
      <c r="BE604" s="770"/>
      <c r="BF604" s="302"/>
      <c r="BG604" s="302"/>
      <c r="BH604" s="770"/>
      <c r="BI604" s="770"/>
      <c r="BJ604" s="770"/>
      <c r="BK604" s="770"/>
      <c r="BL604" s="770"/>
      <c r="BM604" s="770" t="s">
        <v>1238</v>
      </c>
      <c r="BN604" s="770" t="s">
        <v>1256</v>
      </c>
      <c r="BO604" s="770"/>
      <c r="BP604" s="765"/>
      <c r="BQ604" s="773"/>
      <c r="BR604" s="774"/>
      <c r="BS604" s="6" t="s">
        <v>1149</v>
      </c>
      <c r="BT604" s="770"/>
      <c r="BU604" s="770"/>
      <c r="BV604" s="770"/>
      <c r="BW604" s="770"/>
      <c r="BX604" s="302"/>
      <c r="BY604" s="770"/>
      <c r="BZ604" s="302"/>
      <c r="CA604" s="770"/>
      <c r="CB604" s="770"/>
      <c r="CC604" s="770"/>
      <c r="CD604" s="770"/>
      <c r="CE604" s="770"/>
      <c r="CF604" s="1753"/>
      <c r="CG604" s="1754"/>
      <c r="CH604" s="770"/>
      <c r="CI604" s="770"/>
      <c r="CJ604" s="770"/>
      <c r="CK604" s="770"/>
      <c r="CL604" s="770"/>
      <c r="CM604" s="770"/>
      <c r="CN604" s="770"/>
      <c r="CO604" s="770"/>
      <c r="CP604" s="770"/>
      <c r="CQ604" s="770"/>
      <c r="CR604" s="302"/>
      <c r="CS604" s="770"/>
      <c r="CT604" s="770"/>
      <c r="CU604" s="305"/>
      <c r="CV604" s="770"/>
      <c r="CW604" s="770"/>
      <c r="CX604" s="770"/>
      <c r="CY604" s="770"/>
      <c r="CZ604" s="770"/>
      <c r="DA604" s="306"/>
      <c r="DB604" s="770"/>
      <c r="DC604" s="770"/>
      <c r="DD604" s="770"/>
      <c r="DE604" s="300"/>
      <c r="DF604" s="770"/>
      <c r="DG604" s="770"/>
      <c r="DH604" s="770"/>
      <c r="DI604" s="770"/>
      <c r="DJ604" s="770"/>
      <c r="DK604" s="770"/>
      <c r="DL604" s="770"/>
      <c r="DM604" s="770"/>
      <c r="DN604" s="322"/>
      <c r="DO604" s="770"/>
      <c r="DP604" s="770"/>
      <c r="DQ604" s="770"/>
      <c r="DR604" s="770"/>
      <c r="DS604" s="307"/>
      <c r="DT604" s="770"/>
      <c r="DU604" s="770"/>
      <c r="DV604" s="770"/>
      <c r="DW604" s="306"/>
      <c r="DX604" s="306"/>
      <c r="DY604" s="770"/>
      <c r="DZ604" s="770"/>
      <c r="EA604" s="770"/>
      <c r="EB604" s="770"/>
      <c r="EC604" s="770"/>
      <c r="ED604" s="770"/>
      <c r="EE604" s="770"/>
      <c r="EF604" s="770"/>
      <c r="EG604" s="770"/>
      <c r="EH604" s="770"/>
      <c r="EI604" s="770"/>
      <c r="EJ604" s="770"/>
      <c r="EK604" s="770"/>
      <c r="EL604" s="770"/>
      <c r="EM604" s="770"/>
      <c r="EN604" s="770"/>
      <c r="EO604" s="770"/>
      <c r="EP604" s="94"/>
      <c r="EQ604" s="770"/>
      <c r="ER604" s="770"/>
      <c r="ES604" s="770"/>
      <c r="ET604" s="770"/>
      <c r="EU604" s="770"/>
      <c r="EV604" s="770"/>
      <c r="EW604" s="770"/>
      <c r="EX604" s="770"/>
      <c r="EY604" s="770"/>
      <c r="EZ604" s="770"/>
      <c r="FA604" s="770"/>
      <c r="FB604" s="770"/>
      <c r="FC604" s="770"/>
      <c r="FD604" s="302"/>
      <c r="FE604" s="770"/>
      <c r="FF604" s="770"/>
      <c r="FG604" s="770"/>
      <c r="FH604" s="770" t="s">
        <v>1306</v>
      </c>
      <c r="FI604" s="770">
        <v>1</v>
      </c>
      <c r="FJ604" s="770" t="s">
        <v>4049</v>
      </c>
      <c r="FK604" s="770" t="s">
        <v>3005</v>
      </c>
      <c r="FL604" s="770" t="s">
        <v>3006</v>
      </c>
      <c r="FM604" s="147">
        <v>3000</v>
      </c>
      <c r="FN604" s="302">
        <v>150</v>
      </c>
      <c r="FO604" s="302">
        <v>200</v>
      </c>
      <c r="FP604" s="13" t="s">
        <v>1600</v>
      </c>
      <c r="FQ604" s="13" t="s">
        <v>1642</v>
      </c>
      <c r="FR604" s="770"/>
      <c r="FS604" s="770"/>
      <c r="FT604" s="770"/>
      <c r="FU604" s="770"/>
      <c r="FV604" s="770"/>
      <c r="FW604" s="770"/>
      <c r="FX604" s="770"/>
      <c r="FY604" s="770"/>
      <c r="FZ604" s="770"/>
      <c r="GA604" s="770"/>
      <c r="GB604" s="770"/>
      <c r="GC604" s="308"/>
      <c r="GD604" s="297"/>
      <c r="GE604" s="770"/>
      <c r="GF604" s="302"/>
      <c r="GG604" s="302"/>
      <c r="GH604" s="770"/>
      <c r="GI604" s="770"/>
      <c r="GJ604" s="770"/>
      <c r="GK604" s="770"/>
      <c r="GL604" s="770"/>
      <c r="GM604" s="770"/>
      <c r="GN604" s="299"/>
      <c r="GO604" s="770"/>
      <c r="GP604" s="770"/>
      <c r="GQ604" s="770"/>
      <c r="GR604" s="770"/>
      <c r="GS604" s="770"/>
      <c r="GT604" s="770"/>
      <c r="GU604" s="770"/>
      <c r="GV604" s="770"/>
      <c r="GW604" s="770"/>
      <c r="GX604" s="770"/>
      <c r="GY604" s="770"/>
      <c r="GZ604" s="770"/>
      <c r="HA604" s="770"/>
      <c r="HB604" s="770"/>
      <c r="HC604" s="770"/>
      <c r="HD604" s="770"/>
      <c r="HE604" s="770"/>
      <c r="HF604" s="770"/>
      <c r="HG604" s="770"/>
      <c r="HH604" s="770"/>
      <c r="HI604" s="770"/>
      <c r="HJ604" s="770"/>
      <c r="HK604" s="770"/>
      <c r="HL604" s="770"/>
      <c r="HM604" s="770"/>
      <c r="HN604" s="770"/>
      <c r="HO604" s="770"/>
      <c r="HP604" s="770"/>
      <c r="HQ604" s="770"/>
      <c r="HR604" s="770"/>
      <c r="HS604" s="770"/>
      <c r="HT604" s="770"/>
      <c r="HU604" s="770"/>
      <c r="HV604" s="770"/>
      <c r="HW604" s="770"/>
      <c r="HX604" s="770"/>
      <c r="HY604" s="770"/>
      <c r="HZ604" s="770"/>
      <c r="IA604" s="770"/>
      <c r="IB604" s="770" t="s">
        <v>1207</v>
      </c>
      <c r="IC604" s="770" t="s">
        <v>1207</v>
      </c>
      <c r="ID604" s="770"/>
      <c r="IE604" s="770">
        <v>1</v>
      </c>
      <c r="IF604" s="770"/>
      <c r="IG604" s="770"/>
      <c r="IH604" s="770"/>
      <c r="II604" s="770"/>
      <c r="IJ604" s="770"/>
      <c r="IK604" s="770"/>
      <c r="IL604" s="770"/>
      <c r="IM604" s="770"/>
      <c r="IN604" s="770"/>
      <c r="IO604" s="296"/>
      <c r="IP604" s="770"/>
      <c r="IQ604" s="770"/>
      <c r="IR604" s="770"/>
      <c r="IS604" s="770"/>
      <c r="IT604" s="770"/>
      <c r="IU604" s="770"/>
      <c r="IV604" s="770"/>
      <c r="IW604" s="770"/>
      <c r="IX604" s="770"/>
      <c r="IY604" s="770"/>
      <c r="IZ604" s="770"/>
      <c r="JA604" s="770"/>
      <c r="JB604" s="770"/>
      <c r="JC604" s="770"/>
      <c r="JD604" s="302"/>
      <c r="JE604" s="770"/>
      <c r="JF604" s="770"/>
      <c r="JG604" s="770"/>
      <c r="JH604" s="307"/>
      <c r="JI604" s="307"/>
      <c r="JJ604" s="770"/>
      <c r="JK604" s="770"/>
      <c r="JL604" s="770"/>
      <c r="JM604" s="770"/>
      <c r="JN604" s="770"/>
      <c r="JO604" s="770"/>
      <c r="JP604" s="770"/>
      <c r="JQ604" s="770"/>
      <c r="JR604" s="770"/>
      <c r="JS604" s="770"/>
      <c r="JT604" s="766"/>
      <c r="JU604" s="766"/>
      <c r="JV604" s="766"/>
      <c r="JW604" s="766"/>
      <c r="JX604" s="770"/>
      <c r="JY604" s="770"/>
      <c r="JZ604" s="770"/>
      <c r="KA604" s="770"/>
      <c r="KB604" s="770"/>
      <c r="KC604" s="770"/>
      <c r="KD604" s="770"/>
      <c r="KE604" s="770"/>
      <c r="KF604" s="770"/>
      <c r="KG604" s="770"/>
      <c r="KH604" s="770"/>
      <c r="KI604" s="770"/>
      <c r="KJ604" s="770"/>
      <c r="KK604" s="770"/>
      <c r="KL604" s="770"/>
      <c r="KM604" s="770"/>
      <c r="KN604" s="770"/>
      <c r="KO604" s="770"/>
      <c r="KP604" s="770"/>
      <c r="KQ604" s="770"/>
      <c r="KR604" s="770"/>
      <c r="KS604" s="770"/>
      <c r="KT604" s="770"/>
      <c r="KU604" s="770"/>
      <c r="KV604" s="770"/>
      <c r="KW604" s="770"/>
      <c r="KX604" s="770"/>
      <c r="KY604" s="770"/>
      <c r="KZ604" s="770"/>
      <c r="LA604" s="770"/>
      <c r="LB604" s="770"/>
      <c r="LC604" s="770"/>
      <c r="LD604" s="770"/>
      <c r="LE604" s="770"/>
      <c r="LF604" s="770"/>
      <c r="LG604" s="770"/>
      <c r="LH604" s="770"/>
      <c r="LI604" s="770"/>
      <c r="LJ604" s="770"/>
      <c r="LK604" s="770"/>
      <c r="LL604" s="770"/>
      <c r="LM604" s="770"/>
      <c r="LN604" s="766"/>
      <c r="LO604" s="766"/>
      <c r="LP604" s="770"/>
      <c r="LQ604" s="770"/>
      <c r="LR604" s="770"/>
      <c r="LS604" s="770"/>
      <c r="LT604" s="770"/>
      <c r="LU604" s="770"/>
      <c r="LV604" s="770"/>
      <c r="LW604" s="770"/>
      <c r="LX604" s="769"/>
      <c r="LY604" s="766" t="str">
        <f t="shared" si="160"/>
        <v/>
      </c>
      <c r="LZ604" s="1709"/>
      <c r="MA604" s="1709"/>
      <c r="MB604" s="1709"/>
      <c r="MC604" s="1679">
        <f t="shared" si="158"/>
        <v>0</v>
      </c>
      <c r="MD604" s="1709"/>
      <c r="ME604" s="1709"/>
      <c r="MF604" s="1709"/>
      <c r="MG604" s="1680">
        <f t="shared" si="164"/>
        <v>0</v>
      </c>
      <c r="MH604" s="770"/>
      <c r="MI604" s="302"/>
      <c r="MJ604" s="302"/>
      <c r="MK604" s="302"/>
      <c r="ML604" s="302"/>
      <c r="MM604" s="302"/>
      <c r="MN604" s="302"/>
      <c r="MO604" s="302"/>
      <c r="MP604" s="302"/>
      <c r="MQ604" s="302"/>
      <c r="MR604" s="302"/>
      <c r="MS604" s="302"/>
      <c r="MT604" s="302"/>
      <c r="MU604" s="302"/>
      <c r="MV604" s="302"/>
      <c r="MW604" s="302"/>
      <c r="MX604" s="302"/>
      <c r="MY604" s="1682">
        <f t="shared" si="165"/>
        <v>0</v>
      </c>
      <c r="MZ604" s="770"/>
      <c r="NA604" s="770"/>
      <c r="NB604" s="770"/>
      <c r="NC604" s="770"/>
      <c r="ND604" s="770"/>
      <c r="NE604" s="770"/>
      <c r="NF604" s="770"/>
      <c r="NG604" s="770"/>
      <c r="NH604" s="770"/>
      <c r="NI604" s="770"/>
      <c r="NJ604" s="770"/>
      <c r="NK604" s="770"/>
      <c r="NL604" s="770"/>
      <c r="NM604" s="770"/>
      <c r="NN604" s="770"/>
      <c r="NO604" s="770"/>
      <c r="NP604" s="770"/>
      <c r="NQ604" s="770"/>
      <c r="NR604" s="770"/>
      <c r="NS604" s="770"/>
      <c r="NT604" s="770"/>
      <c r="NU604" s="770"/>
      <c r="NV604" s="770"/>
      <c r="NW604" s="770"/>
      <c r="NX604" s="770"/>
      <c r="NY604" s="770"/>
      <c r="NZ604" s="770"/>
      <c r="OA604" s="770"/>
      <c r="OB604" s="770"/>
      <c r="OC604" s="770"/>
      <c r="OD604" s="770"/>
      <c r="OE604" s="770"/>
      <c r="OF604" s="770"/>
      <c r="OG604" s="770"/>
      <c r="OH604" s="770"/>
      <c r="OI604" s="770"/>
      <c r="OJ604" s="770"/>
      <c r="OK604" s="770"/>
      <c r="OL604" s="770"/>
      <c r="OM604" s="770"/>
      <c r="ON604" s="770"/>
      <c r="OO604" s="770"/>
      <c r="OP604" s="770"/>
      <c r="OQ604" s="770"/>
      <c r="OR604" s="770"/>
      <c r="OS604" s="770"/>
      <c r="OT604" s="770"/>
      <c r="OU604" s="770"/>
      <c r="OV604" s="770"/>
      <c r="OW604" s="770"/>
      <c r="OX604" s="770"/>
      <c r="OY604" s="770"/>
      <c r="OZ604" s="770"/>
      <c r="PA604" s="770"/>
      <c r="PB604" s="770"/>
      <c r="PC604" s="770"/>
      <c r="PD604" s="770"/>
      <c r="PE604" s="770"/>
      <c r="PF604" s="770"/>
      <c r="PG604" s="770"/>
      <c r="PH604" s="770"/>
      <c r="PI604" s="770"/>
      <c r="PJ604" s="770"/>
      <c r="PK604" s="770"/>
      <c r="PL604" s="770"/>
      <c r="PM604" s="770"/>
      <c r="PN604" s="770"/>
      <c r="PO604" s="770"/>
      <c r="PP604" s="770"/>
      <c r="PQ604" s="770"/>
      <c r="PR604" s="770"/>
      <c r="PS604" s="770"/>
      <c r="PT604" s="770"/>
      <c r="PU604" s="770"/>
      <c r="PV604" s="770"/>
      <c r="PW604" s="770"/>
      <c r="PX604" s="770"/>
      <c r="PY604" s="770"/>
      <c r="PZ604" s="770"/>
      <c r="QA604" s="770"/>
      <c r="QB604" s="770"/>
      <c r="QC604" s="770"/>
      <c r="QD604" s="770"/>
      <c r="QE604" s="770"/>
      <c r="QF604" s="770"/>
      <c r="QG604" s="770"/>
      <c r="QH604" s="770"/>
      <c r="QI604" s="770"/>
      <c r="QJ604" s="770"/>
      <c r="QK604" s="770"/>
      <c r="QL604" s="770"/>
      <c r="QM604" s="770"/>
      <c r="QN604" s="770"/>
      <c r="QO604" s="770"/>
      <c r="QP604" s="770"/>
      <c r="QQ604" s="770"/>
      <c r="QR604" s="770"/>
      <c r="QS604" s="770"/>
      <c r="QT604" s="770"/>
      <c r="QU604" s="770"/>
      <c r="QV604" s="770"/>
      <c r="QW604" s="770"/>
      <c r="QX604" s="770"/>
      <c r="QY604" s="770"/>
      <c r="QZ604" s="770"/>
      <c r="RA604" s="770"/>
      <c r="RB604" s="770"/>
      <c r="RC604" s="770"/>
      <c r="RD604" s="770"/>
      <c r="RE604" s="770"/>
      <c r="RF604" s="304"/>
      <c r="RG604" s="770"/>
      <c r="RH604" s="302"/>
      <c r="RI604" s="770"/>
      <c r="RJ604" s="770" t="s">
        <v>13802</v>
      </c>
      <c r="RK604" s="770" t="s">
        <v>13556</v>
      </c>
      <c r="RL604" s="1710"/>
      <c r="RM604" s="12"/>
      <c r="RN604" s="1711"/>
      <c r="RO604" s="133" t="s">
        <v>3000</v>
      </c>
      <c r="RP604" s="11"/>
      <c r="RQ604" s="11"/>
      <c r="RR604" s="17"/>
      <c r="RS604" s="767"/>
      <c r="RT604" s="11"/>
      <c r="RU604" s="11"/>
      <c r="RV604" s="771" t="s">
        <v>7419</v>
      </c>
      <c r="RW604" s="11" t="s">
        <v>7921</v>
      </c>
      <c r="RX604" s="11" t="s">
        <v>3000</v>
      </c>
      <c r="RY604" s="11"/>
      <c r="RZ604" s="11"/>
      <c r="SA604" s="771"/>
      <c r="SB604" s="11"/>
      <c r="SC604" s="11"/>
    </row>
    <row r="605" spans="1:497" ht="12.75" hidden="1" customHeight="1">
      <c r="A605" s="343" t="s">
        <v>7419</v>
      </c>
      <c r="B605" s="127" t="s">
        <v>7919</v>
      </c>
      <c r="C605" s="132" t="s">
        <v>4054</v>
      </c>
      <c r="D605" s="94" t="s">
        <v>4056</v>
      </c>
      <c r="E605" s="766" t="s">
        <v>4057</v>
      </c>
      <c r="F605" s="770" t="s">
        <v>28</v>
      </c>
      <c r="G605" s="770" t="s">
        <v>18</v>
      </c>
      <c r="H605" s="770"/>
      <c r="I605" s="295" t="s">
        <v>4058</v>
      </c>
      <c r="J605" s="94" t="s">
        <v>4056</v>
      </c>
      <c r="K605" s="766" t="s">
        <v>4059</v>
      </c>
      <c r="L605" s="766" t="s">
        <v>4060</v>
      </c>
      <c r="M605" s="770" t="s">
        <v>1238</v>
      </c>
      <c r="N605" s="770"/>
      <c r="O605" s="770" t="s">
        <v>3844</v>
      </c>
      <c r="P605" s="770" t="s">
        <v>4061</v>
      </c>
      <c r="Q605" s="1088">
        <v>24315</v>
      </c>
      <c r="R605" s="297">
        <v>50</v>
      </c>
      <c r="S605" s="770" t="s">
        <v>18</v>
      </c>
      <c r="T605" s="770"/>
      <c r="U605" s="295" t="s">
        <v>4058</v>
      </c>
      <c r="V605" s="770" t="s">
        <v>719</v>
      </c>
      <c r="W605" s="770"/>
      <c r="X605" s="770"/>
      <c r="Y605" s="766" t="s">
        <v>4057</v>
      </c>
      <c r="Z605" s="770" t="s">
        <v>708</v>
      </c>
      <c r="AA605" s="770" t="s">
        <v>709</v>
      </c>
      <c r="AB605" s="770" t="s">
        <v>710</v>
      </c>
      <c r="AC605" s="770" t="s">
        <v>724</v>
      </c>
      <c r="AD605" s="770" t="s">
        <v>711</v>
      </c>
      <c r="AE605" s="770"/>
      <c r="AF605" s="770" t="s">
        <v>712</v>
      </c>
      <c r="AG605" s="766" t="s">
        <v>1095</v>
      </c>
      <c r="AH605" s="766" t="s">
        <v>1096</v>
      </c>
      <c r="AI605" s="770" t="s">
        <v>3294</v>
      </c>
      <c r="AJ605" s="770"/>
      <c r="AK605" s="770" t="s">
        <v>1097</v>
      </c>
      <c r="AL605" s="531">
        <v>21.5</v>
      </c>
      <c r="AM605" s="780">
        <v>3.25</v>
      </c>
      <c r="AN605" s="532">
        <f t="shared" ref="AN605:AN612" si="176">AM605/AL605</f>
        <v>0.15116279069767441</v>
      </c>
      <c r="AO605" s="766" t="s">
        <v>1109</v>
      </c>
      <c r="AP605" s="766" t="s">
        <v>5364</v>
      </c>
      <c r="AQ605" s="766" t="s">
        <v>7418</v>
      </c>
      <c r="AR605" s="766"/>
      <c r="AS605" s="769"/>
      <c r="AT605" s="770"/>
      <c r="AU605" s="770"/>
      <c r="AV605" s="770"/>
      <c r="AW605" s="770"/>
      <c r="AX605" s="770"/>
      <c r="AY605" s="770"/>
      <c r="AZ605" s="770"/>
      <c r="BA605" s="770"/>
      <c r="BB605" s="770"/>
      <c r="BC605" s="770"/>
      <c r="BD605" s="770"/>
      <c r="BE605" s="770"/>
      <c r="BF605" s="302"/>
      <c r="BG605" s="302"/>
      <c r="BH605" s="770"/>
      <c r="BI605" s="770"/>
      <c r="BJ605" s="770"/>
      <c r="BK605" s="770" t="s">
        <v>1095</v>
      </c>
      <c r="BL605" s="770" t="s">
        <v>4062</v>
      </c>
      <c r="BM605" s="766" t="s">
        <v>1096</v>
      </c>
      <c r="BN605" s="770" t="s">
        <v>1230</v>
      </c>
      <c r="BO605" s="766" t="s">
        <v>1239</v>
      </c>
      <c r="BP605" s="765">
        <v>43</v>
      </c>
      <c r="BQ605" s="773">
        <v>6.5</v>
      </c>
      <c r="BR605" s="774">
        <f t="shared" ref="BR605:BR612" si="177">BQ605/BP605</f>
        <v>0.15116279069767441</v>
      </c>
      <c r="BS605" s="766" t="s">
        <v>1242</v>
      </c>
      <c r="BT605" s="766" t="s">
        <v>2040</v>
      </c>
      <c r="BU605" s="770" t="s">
        <v>1249</v>
      </c>
      <c r="BV605" s="770" t="s">
        <v>1247</v>
      </c>
      <c r="BW605" s="769"/>
      <c r="BX605" s="302"/>
      <c r="BY605" s="770"/>
      <c r="BZ605" s="302"/>
      <c r="CA605" s="770"/>
      <c r="CB605" s="770"/>
      <c r="CC605" s="770"/>
      <c r="CD605" s="770"/>
      <c r="CE605" s="770"/>
      <c r="CF605" s="1753"/>
      <c r="CG605" s="1754"/>
      <c r="CH605" s="770"/>
      <c r="CI605" s="770"/>
      <c r="CJ605" s="770"/>
      <c r="CK605" s="770"/>
      <c r="CL605" s="770"/>
      <c r="CM605" s="770"/>
      <c r="CN605" s="770"/>
      <c r="CO605" s="770"/>
      <c r="CP605" s="770"/>
      <c r="CQ605" s="770"/>
      <c r="CR605" s="302"/>
      <c r="CS605" s="770"/>
      <c r="CT605" s="770"/>
      <c r="CU605" s="305"/>
      <c r="CV605" s="770"/>
      <c r="CW605" s="770"/>
      <c r="CX605" s="770"/>
      <c r="CY605" s="770"/>
      <c r="CZ605" s="770"/>
      <c r="DA605" s="306"/>
      <c r="DB605" s="770"/>
      <c r="DC605" s="770"/>
      <c r="DD605" s="770"/>
      <c r="DE605" s="300"/>
      <c r="DF605" s="770"/>
      <c r="DG605" s="770"/>
      <c r="DH605" s="770"/>
      <c r="DI605" s="770"/>
      <c r="DJ605" s="770"/>
      <c r="DK605" s="770"/>
      <c r="DL605" s="770"/>
      <c r="DM605" s="770"/>
      <c r="DN605" s="322"/>
      <c r="DO605" s="770"/>
      <c r="DP605" s="770"/>
      <c r="DQ605" s="770"/>
      <c r="DR605" s="770"/>
      <c r="DS605" s="307"/>
      <c r="DT605" s="770"/>
      <c r="DU605" s="770"/>
      <c r="DV605" s="770"/>
      <c r="DW605" s="306"/>
      <c r="DX605" s="306"/>
      <c r="DY605" s="770"/>
      <c r="DZ605" s="770"/>
      <c r="EA605" s="770"/>
      <c r="EB605" s="770"/>
      <c r="EC605" s="770"/>
      <c r="ED605" s="770"/>
      <c r="EE605" s="770"/>
      <c r="EF605" s="770"/>
      <c r="EG605" s="770"/>
      <c r="EH605" s="770"/>
      <c r="EI605" s="770"/>
      <c r="EJ605" s="770"/>
      <c r="EK605" s="770"/>
      <c r="EL605" s="770"/>
      <c r="EM605" s="770"/>
      <c r="EN605" s="770"/>
      <c r="EO605" s="770"/>
      <c r="EP605" s="94"/>
      <c r="EQ605" s="770"/>
      <c r="ER605" s="770"/>
      <c r="ES605" s="770"/>
      <c r="ET605" s="770"/>
      <c r="EU605" s="770"/>
      <c r="EV605" s="770"/>
      <c r="EW605" s="770"/>
      <c r="EX605" s="770"/>
      <c r="EY605" s="770"/>
      <c r="EZ605" s="770"/>
      <c r="FA605" s="770"/>
      <c r="FB605" s="770"/>
      <c r="FC605" s="770"/>
      <c r="FD605" s="302"/>
      <c r="FE605" s="770"/>
      <c r="FF605" s="770"/>
      <c r="FG605" s="770"/>
      <c r="FH605" s="770" t="s">
        <v>1263</v>
      </c>
      <c r="FI605" s="770">
        <v>1</v>
      </c>
      <c r="FJ605" s="770" t="s">
        <v>4063</v>
      </c>
      <c r="FK605" s="770"/>
      <c r="FL605" s="770"/>
      <c r="FM605" s="302"/>
      <c r="FN605" s="302"/>
      <c r="FO605" s="302"/>
      <c r="FP605" s="770" t="s">
        <v>1600</v>
      </c>
      <c r="FQ605" s="770" t="s">
        <v>1642</v>
      </c>
      <c r="FR605" s="770" t="s">
        <v>1214</v>
      </c>
      <c r="FS605" s="770"/>
      <c r="FT605" s="770"/>
      <c r="FU605" s="770"/>
      <c r="FV605" s="770"/>
      <c r="FW605" s="770"/>
      <c r="FX605" s="770"/>
      <c r="FY605" s="770"/>
      <c r="FZ605" s="770"/>
      <c r="GA605" s="770"/>
      <c r="GB605" s="770" t="s">
        <v>1734</v>
      </c>
      <c r="GC605" s="308"/>
      <c r="GD605" s="297">
        <v>2012</v>
      </c>
      <c r="GE605" s="770" t="s">
        <v>1214</v>
      </c>
      <c r="GF605" s="302"/>
      <c r="GG605" s="302"/>
      <c r="GH605" s="766" t="s">
        <v>14260</v>
      </c>
      <c r="GI605" s="770"/>
      <c r="GJ605" s="770"/>
      <c r="GK605" s="770"/>
      <c r="GL605" s="770"/>
      <c r="GM605" s="770"/>
      <c r="GN605" s="299"/>
      <c r="GO605" s="770"/>
      <c r="GP605" s="770"/>
      <c r="GQ605" s="770"/>
      <c r="GR605" s="770"/>
      <c r="GS605" s="770"/>
      <c r="GT605" s="770"/>
      <c r="GU605" s="770"/>
      <c r="GV605" s="770"/>
      <c r="GW605" s="770"/>
      <c r="GX605" s="770"/>
      <c r="GY605" s="770"/>
      <c r="GZ605" s="770"/>
      <c r="HA605" s="770"/>
      <c r="HB605" s="770"/>
      <c r="HC605" s="770"/>
      <c r="HD605" s="770"/>
      <c r="HE605" s="770"/>
      <c r="HF605" s="770"/>
      <c r="HG605" s="770"/>
      <c r="HH605" s="770"/>
      <c r="HI605" s="770" t="s">
        <v>1214</v>
      </c>
      <c r="HJ605" s="770"/>
      <c r="HK605" s="770"/>
      <c r="HL605" s="770" t="s">
        <v>1214</v>
      </c>
      <c r="HM605" s="770"/>
      <c r="HN605" s="770"/>
      <c r="HO605" s="770"/>
      <c r="HP605" s="770"/>
      <c r="HQ605" s="770"/>
      <c r="HR605" s="770"/>
      <c r="HS605" s="770"/>
      <c r="HT605" s="770"/>
      <c r="HU605" s="770"/>
      <c r="HV605" s="770"/>
      <c r="HW605" s="770"/>
      <c r="HX605" s="770"/>
      <c r="HY605" s="770"/>
      <c r="HZ605" s="770"/>
      <c r="IA605" s="770"/>
      <c r="IB605" s="770" t="s">
        <v>1207</v>
      </c>
      <c r="IC605" s="770" t="s">
        <v>1207</v>
      </c>
      <c r="ID605" s="770"/>
      <c r="IE605" s="770"/>
      <c r="IF605" s="770"/>
      <c r="IG605" s="770"/>
      <c r="IH605" s="770"/>
      <c r="II605" s="770"/>
      <c r="IJ605" s="770"/>
      <c r="IK605" s="770"/>
      <c r="IL605" s="770"/>
      <c r="IM605" s="770"/>
      <c r="IN605" s="770"/>
      <c r="IO605" s="296"/>
      <c r="IP605" s="770"/>
      <c r="IQ605" s="770"/>
      <c r="IR605" s="770"/>
      <c r="IS605" s="770"/>
      <c r="IT605" s="770"/>
      <c r="IU605" s="770"/>
      <c r="IV605" s="770"/>
      <c r="IW605" s="770"/>
      <c r="IX605" s="770"/>
      <c r="IY605" s="770"/>
      <c r="IZ605" s="770"/>
      <c r="JA605" s="770"/>
      <c r="JB605" s="770"/>
      <c r="JC605" s="770"/>
      <c r="JD605" s="302"/>
      <c r="JE605" s="770"/>
      <c r="JF605" s="770"/>
      <c r="JG605" s="770"/>
      <c r="JH605" s="307"/>
      <c r="JI605" s="307"/>
      <c r="JJ605" s="770">
        <v>2</v>
      </c>
      <c r="JK605" s="770" t="s">
        <v>4055</v>
      </c>
      <c r="JL605" s="770"/>
      <c r="JM605" s="770"/>
      <c r="JN605" s="770">
        <v>1</v>
      </c>
      <c r="JO605" s="770">
        <v>1</v>
      </c>
      <c r="JP605" s="770"/>
      <c r="JQ605" s="770"/>
      <c r="JR605" s="770"/>
      <c r="JS605" s="770"/>
      <c r="JT605" s="766">
        <f>SUM(JP605,JN605,JL605,JR605)</f>
        <v>1</v>
      </c>
      <c r="JU605" s="766">
        <f>SUM(JQ605,JO605,JM605,JS605)</f>
        <v>1</v>
      </c>
      <c r="JV605" s="766"/>
      <c r="JW605" s="766"/>
      <c r="JX605" s="770"/>
      <c r="JY605" s="770"/>
      <c r="JZ605" s="770"/>
      <c r="KA605" s="770"/>
      <c r="KB605" s="770">
        <v>1</v>
      </c>
      <c r="KC605" s="770"/>
      <c r="KD605" s="770"/>
      <c r="KE605" s="770">
        <v>1</v>
      </c>
      <c r="KF605" s="770"/>
      <c r="KG605" s="770"/>
      <c r="KH605" s="770"/>
      <c r="KI605" s="770"/>
      <c r="KJ605" s="770">
        <f t="shared" si="168"/>
        <v>1</v>
      </c>
      <c r="KK605" s="770">
        <f t="shared" si="168"/>
        <v>1</v>
      </c>
      <c r="KL605" s="770"/>
      <c r="KM605" s="770"/>
      <c r="KN605" s="770" t="s">
        <v>719</v>
      </c>
      <c r="KO605" s="770"/>
      <c r="KP605" s="770"/>
      <c r="KQ605" s="770"/>
      <c r="KR605" s="770"/>
      <c r="KS605" s="770"/>
      <c r="KT605" s="770"/>
      <c r="KU605" s="770"/>
      <c r="KV605" s="770"/>
      <c r="KW605" s="770"/>
      <c r="KX605" s="770"/>
      <c r="KY605" s="770"/>
      <c r="KZ605" s="770"/>
      <c r="LA605" s="770"/>
      <c r="LB605" s="770">
        <v>1</v>
      </c>
      <c r="LC605" s="770"/>
      <c r="LD605" s="770"/>
      <c r="LE605" s="770"/>
      <c r="LF605" s="770"/>
      <c r="LG605" s="770">
        <v>1</v>
      </c>
      <c r="LH605" s="770"/>
      <c r="LI605" s="770"/>
      <c r="LJ605" s="770"/>
      <c r="LK605" s="770"/>
      <c r="LL605" s="770"/>
      <c r="LM605" s="770"/>
      <c r="LN605" s="766">
        <f t="shared" si="159"/>
        <v>1</v>
      </c>
      <c r="LO605" s="766">
        <f t="shared" si="159"/>
        <v>1</v>
      </c>
      <c r="LP605" s="770">
        <v>0</v>
      </c>
      <c r="LQ605" s="770"/>
      <c r="LR605" s="770"/>
      <c r="LS605" s="770"/>
      <c r="LT605" s="770"/>
      <c r="LU605" s="770"/>
      <c r="LV605" s="770"/>
      <c r="LW605" s="770"/>
      <c r="LX605" s="769">
        <v>0</v>
      </c>
      <c r="LY605" s="766">
        <f t="shared" si="160"/>
        <v>0</v>
      </c>
      <c r="LZ605" s="1709"/>
      <c r="MA605" s="1709"/>
      <c r="MB605" s="1709"/>
      <c r="MC605" s="1679">
        <f t="shared" si="158"/>
        <v>0</v>
      </c>
      <c r="MD605" s="1709"/>
      <c r="ME605" s="1709"/>
      <c r="MF605" s="1709"/>
      <c r="MG605" s="1680">
        <f t="shared" si="164"/>
        <v>0</v>
      </c>
      <c r="MH605" s="770"/>
      <c r="MI605" s="302">
        <v>3000</v>
      </c>
      <c r="MJ605" s="302"/>
      <c r="MK605" s="302"/>
      <c r="ML605" s="302">
        <v>1500</v>
      </c>
      <c r="MM605" s="302"/>
      <c r="MN605" s="302"/>
      <c r="MO605" s="302">
        <v>3000</v>
      </c>
      <c r="MP605" s="302">
        <v>300</v>
      </c>
      <c r="MQ605" s="302">
        <v>650</v>
      </c>
      <c r="MR605" s="302">
        <v>800</v>
      </c>
      <c r="MS605" s="302">
        <v>200</v>
      </c>
      <c r="MT605" s="302"/>
      <c r="MU605" s="302"/>
      <c r="MV605" s="302"/>
      <c r="MW605" s="302"/>
      <c r="MX605" s="302"/>
      <c r="MY605" s="1682">
        <f t="shared" si="165"/>
        <v>9450</v>
      </c>
      <c r="MZ605" s="770" t="s">
        <v>13370</v>
      </c>
      <c r="NA605" s="770" t="s">
        <v>13803</v>
      </c>
      <c r="NB605" s="770" t="s">
        <v>13016</v>
      </c>
      <c r="NC605" s="770" t="s">
        <v>13602</v>
      </c>
      <c r="ND605" s="770">
        <v>0</v>
      </c>
      <c r="NE605" s="770">
        <v>0</v>
      </c>
      <c r="NF605" s="770">
        <v>0</v>
      </c>
      <c r="NG605" s="770">
        <v>2</v>
      </c>
      <c r="NH605" s="770">
        <v>1</v>
      </c>
      <c r="NI605" s="770">
        <v>1</v>
      </c>
      <c r="NJ605" s="770">
        <v>1</v>
      </c>
      <c r="NK605" s="770">
        <v>0</v>
      </c>
      <c r="NL605" s="770">
        <v>1</v>
      </c>
      <c r="NM605" s="770">
        <v>1</v>
      </c>
      <c r="NN605" s="770">
        <v>0</v>
      </c>
      <c r="NO605" s="770">
        <v>0</v>
      </c>
      <c r="NP605" s="770">
        <v>0</v>
      </c>
      <c r="NQ605" s="770">
        <v>0</v>
      </c>
      <c r="NR605" s="770">
        <v>0</v>
      </c>
      <c r="NS605" s="770">
        <v>0</v>
      </c>
      <c r="NT605" s="770">
        <v>0</v>
      </c>
      <c r="NU605" s="770">
        <v>0</v>
      </c>
      <c r="NV605" s="770">
        <v>0</v>
      </c>
      <c r="NW605" s="770">
        <v>0</v>
      </c>
      <c r="NX605" s="770">
        <v>0</v>
      </c>
      <c r="NY605" s="770" t="s">
        <v>1208</v>
      </c>
      <c r="NZ605" s="770"/>
      <c r="OA605" s="770"/>
      <c r="OB605" s="770"/>
      <c r="OC605" s="770" t="s">
        <v>1208</v>
      </c>
      <c r="OD605" s="770"/>
      <c r="OE605" s="770"/>
      <c r="OF605" s="770"/>
      <c r="OG605" s="770"/>
      <c r="OH605" s="770"/>
      <c r="OI605" s="770"/>
      <c r="OJ605" s="770"/>
      <c r="OK605" s="770"/>
      <c r="OL605" s="770"/>
      <c r="OM605" s="770"/>
      <c r="ON605" s="770"/>
      <c r="OO605" s="770"/>
      <c r="OP605" s="770"/>
      <c r="OQ605" s="770"/>
      <c r="OR605" s="770"/>
      <c r="OS605" s="770"/>
      <c r="OT605" s="770"/>
      <c r="OU605" s="770"/>
      <c r="OV605" s="770"/>
      <c r="OW605" s="770"/>
      <c r="OX605" s="770"/>
      <c r="OY605" s="770"/>
      <c r="OZ605" s="770"/>
      <c r="PA605" s="770"/>
      <c r="PB605" s="770"/>
      <c r="PC605" s="770"/>
      <c r="PD605" s="770"/>
      <c r="PE605" s="770"/>
      <c r="PF605" s="770"/>
      <c r="PG605" s="770"/>
      <c r="PH605" s="770"/>
      <c r="PI605" s="770"/>
      <c r="PJ605" s="770"/>
      <c r="PK605" s="770"/>
      <c r="PL605" s="770"/>
      <c r="PM605" s="770" t="s">
        <v>1208</v>
      </c>
      <c r="PN605" s="770"/>
      <c r="PO605" s="770"/>
      <c r="PP605" s="770"/>
      <c r="PQ605" s="770"/>
      <c r="PR605" s="770"/>
      <c r="PS605" s="770"/>
      <c r="PT605" s="770"/>
      <c r="PU605" s="770"/>
      <c r="PV605" s="770"/>
      <c r="PW605" s="770"/>
      <c r="PX605" s="770"/>
      <c r="PY605" s="770"/>
      <c r="PZ605" s="770"/>
      <c r="QA605" s="770"/>
      <c r="QB605" s="770"/>
      <c r="QC605" s="770"/>
      <c r="QD605" s="770"/>
      <c r="QE605" s="770"/>
      <c r="QF605" s="770"/>
      <c r="QG605" s="770" t="s">
        <v>1208</v>
      </c>
      <c r="QH605" s="770"/>
      <c r="QI605" s="770"/>
      <c r="QJ605" s="770"/>
      <c r="QK605" s="770"/>
      <c r="QL605" s="770"/>
      <c r="QM605" s="770"/>
      <c r="QN605" s="770"/>
      <c r="QO605" s="770"/>
      <c r="QP605" s="770"/>
      <c r="QQ605" s="770"/>
      <c r="QR605" s="770" t="s">
        <v>1208</v>
      </c>
      <c r="QS605" s="770"/>
      <c r="QT605" s="770"/>
      <c r="QU605" s="770"/>
      <c r="QV605" s="770"/>
      <c r="QW605" s="770"/>
      <c r="QX605" s="770"/>
      <c r="QY605" s="770"/>
      <c r="QZ605" s="770"/>
      <c r="RA605" s="770"/>
      <c r="RB605" s="770" t="s">
        <v>1214</v>
      </c>
      <c r="RC605" s="770"/>
      <c r="RD605" s="770"/>
      <c r="RE605" s="770"/>
      <c r="RF605" s="304"/>
      <c r="RG605" s="770"/>
      <c r="RH605" s="302"/>
      <c r="RI605" s="770"/>
      <c r="RJ605" s="770" t="s">
        <v>13804</v>
      </c>
      <c r="RK605" s="770" t="s">
        <v>13550</v>
      </c>
      <c r="RL605" s="1710">
        <v>42833</v>
      </c>
      <c r="RM605" s="12"/>
      <c r="RN605" s="1711"/>
      <c r="RO605" s="132" t="s">
        <v>4054</v>
      </c>
      <c r="RP605" s="11"/>
      <c r="RQ605" s="11"/>
      <c r="RR605" s="17"/>
      <c r="RS605" s="767"/>
      <c r="RT605" s="11"/>
      <c r="RU605" s="11"/>
      <c r="RV605" s="771" t="s">
        <v>13805</v>
      </c>
      <c r="RW605" s="11" t="s">
        <v>7513</v>
      </c>
      <c r="RX605" s="11" t="s">
        <v>3000</v>
      </c>
      <c r="RY605" s="11"/>
      <c r="RZ605" s="11" t="s">
        <v>1101</v>
      </c>
      <c r="SA605" s="771"/>
      <c r="SB605" s="11"/>
      <c r="SC605" s="11"/>
    </row>
    <row r="606" spans="1:497" ht="12.75" hidden="1" customHeight="1">
      <c r="A606" s="343" t="s">
        <v>7419</v>
      </c>
      <c r="B606" s="127" t="s">
        <v>7920</v>
      </c>
      <c r="C606" s="132" t="s">
        <v>4064</v>
      </c>
      <c r="D606" s="94" t="s">
        <v>4056</v>
      </c>
      <c r="E606" s="766" t="s">
        <v>5841</v>
      </c>
      <c r="F606" s="770" t="s">
        <v>28</v>
      </c>
      <c r="G606" s="770" t="s">
        <v>18</v>
      </c>
      <c r="H606" s="770"/>
      <c r="I606" s="295" t="s">
        <v>4058</v>
      </c>
      <c r="J606" s="94" t="s">
        <v>4056</v>
      </c>
      <c r="K606" s="766" t="s">
        <v>3959</v>
      </c>
      <c r="L606" s="766" t="s">
        <v>4060</v>
      </c>
      <c r="M606" s="770" t="s">
        <v>1238</v>
      </c>
      <c r="N606" s="770"/>
      <c r="O606" s="770" t="s">
        <v>3844</v>
      </c>
      <c r="P606" s="770" t="s">
        <v>4065</v>
      </c>
      <c r="Q606" s="1088">
        <v>23943</v>
      </c>
      <c r="R606" s="297">
        <v>51</v>
      </c>
      <c r="S606" s="770" t="s">
        <v>18</v>
      </c>
      <c r="T606" s="770"/>
      <c r="U606" s="295">
        <v>9465897447</v>
      </c>
      <c r="V606" s="770" t="s">
        <v>707</v>
      </c>
      <c r="W606" s="770"/>
      <c r="X606" s="770"/>
      <c r="Y606" s="770" t="s">
        <v>4068</v>
      </c>
      <c r="Z606" s="770" t="s">
        <v>708</v>
      </c>
      <c r="AA606" s="770" t="s">
        <v>709</v>
      </c>
      <c r="AB606" s="770" t="s">
        <v>710</v>
      </c>
      <c r="AC606" s="770" t="s">
        <v>724</v>
      </c>
      <c r="AD606" s="770"/>
      <c r="AE606" s="770"/>
      <c r="AF606" s="770" t="s">
        <v>712</v>
      </c>
      <c r="AG606" s="766" t="s">
        <v>1095</v>
      </c>
      <c r="AH606" s="766" t="s">
        <v>1096</v>
      </c>
      <c r="AI606" s="770" t="s">
        <v>3294</v>
      </c>
      <c r="AJ606" s="770"/>
      <c r="AK606" s="770" t="s">
        <v>1097</v>
      </c>
      <c r="AL606" s="531">
        <v>23.23</v>
      </c>
      <c r="AM606" s="780">
        <v>2.99</v>
      </c>
      <c r="AN606" s="532">
        <f t="shared" si="176"/>
        <v>0.12871287128712872</v>
      </c>
      <c r="AO606" s="766" t="s">
        <v>1109</v>
      </c>
      <c r="AP606" s="766" t="s">
        <v>5364</v>
      </c>
      <c r="AQ606" s="766" t="s">
        <v>7418</v>
      </c>
      <c r="AR606" s="766"/>
      <c r="AS606" s="769"/>
      <c r="AT606" s="770"/>
      <c r="AU606" s="770"/>
      <c r="AV606" s="770"/>
      <c r="AW606" s="770"/>
      <c r="AX606" s="770"/>
      <c r="AY606" s="770"/>
      <c r="AZ606" s="770"/>
      <c r="BA606" s="770"/>
      <c r="BB606" s="770"/>
      <c r="BC606" s="770"/>
      <c r="BD606" s="770"/>
      <c r="BE606" s="770"/>
      <c r="BF606" s="302"/>
      <c r="BG606" s="302"/>
      <c r="BH606" s="770"/>
      <c r="BI606" s="770"/>
      <c r="BJ606" s="770"/>
      <c r="BK606" s="770" t="s">
        <v>1095</v>
      </c>
      <c r="BL606" s="770" t="s">
        <v>4066</v>
      </c>
      <c r="BM606" s="766" t="s">
        <v>1096</v>
      </c>
      <c r="BN606" s="770" t="s">
        <v>1230</v>
      </c>
      <c r="BO606" s="766" t="s">
        <v>1239</v>
      </c>
      <c r="BP606" s="765">
        <v>23.23</v>
      </c>
      <c r="BQ606" s="773">
        <v>2.99</v>
      </c>
      <c r="BR606" s="774">
        <f t="shared" si="177"/>
        <v>0.12871287128712872</v>
      </c>
      <c r="BS606" s="766" t="s">
        <v>1242</v>
      </c>
      <c r="BT606" s="770" t="s">
        <v>8133</v>
      </c>
      <c r="BU606" s="770" t="s">
        <v>1249</v>
      </c>
      <c r="BV606" s="770" t="s">
        <v>1247</v>
      </c>
      <c r="BW606" s="769"/>
      <c r="BX606" s="302"/>
      <c r="BY606" s="770"/>
      <c r="BZ606" s="302"/>
      <c r="CA606" s="770"/>
      <c r="CB606" s="770"/>
      <c r="CC606" s="770"/>
      <c r="CD606" s="770"/>
      <c r="CE606" s="770"/>
      <c r="CF606" s="1753"/>
      <c r="CG606" s="1754"/>
      <c r="CH606" s="770"/>
      <c r="CI606" s="770"/>
      <c r="CJ606" s="770"/>
      <c r="CK606" s="770"/>
      <c r="CL606" s="770"/>
      <c r="CM606" s="770"/>
      <c r="CN606" s="770"/>
      <c r="CO606" s="770"/>
      <c r="CP606" s="770"/>
      <c r="CQ606" s="770"/>
      <c r="CR606" s="302"/>
      <c r="CS606" s="770"/>
      <c r="CT606" s="770"/>
      <c r="CU606" s="305"/>
      <c r="CV606" s="770"/>
      <c r="CW606" s="770"/>
      <c r="CX606" s="770"/>
      <c r="CY606" s="770"/>
      <c r="CZ606" s="770"/>
      <c r="DA606" s="306"/>
      <c r="DB606" s="770"/>
      <c r="DC606" s="770"/>
      <c r="DD606" s="770"/>
      <c r="DE606" s="300"/>
      <c r="DF606" s="770"/>
      <c r="DG606" s="770"/>
      <c r="DH606" s="770"/>
      <c r="DI606" s="770"/>
      <c r="DJ606" s="770"/>
      <c r="DK606" s="770"/>
      <c r="DL606" s="770"/>
      <c r="DM606" s="770"/>
      <c r="DN606" s="322"/>
      <c r="DO606" s="770"/>
      <c r="DP606" s="770"/>
      <c r="DQ606" s="770"/>
      <c r="DR606" s="770"/>
      <c r="DS606" s="307"/>
      <c r="DT606" s="770"/>
      <c r="DU606" s="770"/>
      <c r="DV606" s="770"/>
      <c r="DW606" s="306"/>
      <c r="DX606" s="306"/>
      <c r="DY606" s="770"/>
      <c r="DZ606" s="770"/>
      <c r="EA606" s="770"/>
      <c r="EB606" s="770"/>
      <c r="EC606" s="770"/>
      <c r="ED606" s="770"/>
      <c r="EE606" s="770"/>
      <c r="EF606" s="770"/>
      <c r="EG606" s="770"/>
      <c r="EH606" s="770"/>
      <c r="EI606" s="770"/>
      <c r="EJ606" s="770"/>
      <c r="EK606" s="770"/>
      <c r="EL606" s="770"/>
      <c r="EM606" s="770"/>
      <c r="EN606" s="770"/>
      <c r="EO606" s="770"/>
      <c r="EP606" s="94"/>
      <c r="EQ606" s="770"/>
      <c r="ER606" s="770"/>
      <c r="ES606" s="770"/>
      <c r="ET606" s="770"/>
      <c r="EU606" s="770"/>
      <c r="EV606" s="770"/>
      <c r="EW606" s="770"/>
      <c r="EX606" s="770"/>
      <c r="EY606" s="770"/>
      <c r="EZ606" s="770"/>
      <c r="FA606" s="770"/>
      <c r="FB606" s="770"/>
      <c r="FC606" s="770"/>
      <c r="FD606" s="302"/>
      <c r="FE606" s="770"/>
      <c r="FF606" s="770"/>
      <c r="FG606" s="770"/>
      <c r="FH606" s="770" t="s">
        <v>478</v>
      </c>
      <c r="FI606" s="770">
        <v>1</v>
      </c>
      <c r="FJ606" s="770" t="s">
        <v>4067</v>
      </c>
      <c r="FK606" s="770"/>
      <c r="FL606" s="770" t="s">
        <v>4068</v>
      </c>
      <c r="FM606" s="147">
        <v>2200</v>
      </c>
      <c r="FN606" s="302">
        <v>800</v>
      </c>
      <c r="FO606" s="302">
        <v>300</v>
      </c>
      <c r="FP606" s="770" t="s">
        <v>1600</v>
      </c>
      <c r="FQ606" s="770" t="s">
        <v>1642</v>
      </c>
      <c r="FR606" s="770" t="s">
        <v>1214</v>
      </c>
      <c r="FS606" s="770"/>
      <c r="FT606" s="770"/>
      <c r="FU606" s="770"/>
      <c r="FV606" s="770"/>
      <c r="FW606" s="770"/>
      <c r="FX606" s="770"/>
      <c r="FY606" s="770"/>
      <c r="FZ606" s="770"/>
      <c r="GA606" s="770"/>
      <c r="GB606" s="770" t="s">
        <v>1734</v>
      </c>
      <c r="GC606" s="308"/>
      <c r="GD606" s="297" t="s">
        <v>2769</v>
      </c>
      <c r="GE606" s="770"/>
      <c r="GF606" s="302"/>
      <c r="GG606" s="302"/>
      <c r="GH606" s="766"/>
      <c r="GI606" s="770"/>
      <c r="GJ606" s="770"/>
      <c r="GK606" s="770"/>
      <c r="GL606" s="770"/>
      <c r="GM606" s="770"/>
      <c r="GN606" s="299"/>
      <c r="GO606" s="770"/>
      <c r="GP606" s="770"/>
      <c r="GQ606" s="770"/>
      <c r="GR606" s="770"/>
      <c r="GS606" s="770"/>
      <c r="GT606" s="770"/>
      <c r="GU606" s="770"/>
      <c r="GV606" s="770"/>
      <c r="GW606" s="770"/>
      <c r="GX606" s="770"/>
      <c r="GY606" s="770"/>
      <c r="GZ606" s="770"/>
      <c r="HA606" s="770"/>
      <c r="HB606" s="770"/>
      <c r="HC606" s="770"/>
      <c r="HD606" s="770"/>
      <c r="HE606" s="770"/>
      <c r="HF606" s="770"/>
      <c r="HG606" s="770"/>
      <c r="HH606" s="770"/>
      <c r="HI606" s="770"/>
      <c r="HJ606" s="770"/>
      <c r="HK606" s="770"/>
      <c r="HL606" s="770"/>
      <c r="HM606" s="770"/>
      <c r="HN606" s="770"/>
      <c r="HO606" s="770"/>
      <c r="HP606" s="770"/>
      <c r="HQ606" s="770"/>
      <c r="HR606" s="770">
        <v>3</v>
      </c>
      <c r="HS606" s="770"/>
      <c r="HT606" s="770">
        <v>4</v>
      </c>
      <c r="HU606" s="770"/>
      <c r="HV606" s="770"/>
      <c r="HW606" s="770"/>
      <c r="HX606" s="770"/>
      <c r="HY606" s="770"/>
      <c r="HZ606" s="770"/>
      <c r="IA606" s="770"/>
      <c r="IB606" s="770"/>
      <c r="IC606" s="770"/>
      <c r="ID606" s="770"/>
      <c r="IE606" s="770"/>
      <c r="IF606" s="770"/>
      <c r="IG606" s="770"/>
      <c r="IH606" s="770"/>
      <c r="II606" s="770"/>
      <c r="IJ606" s="770"/>
      <c r="IK606" s="770"/>
      <c r="IL606" s="770"/>
      <c r="IM606" s="770"/>
      <c r="IN606" s="770"/>
      <c r="IO606" s="296"/>
      <c r="IP606" s="770"/>
      <c r="IQ606" s="770"/>
      <c r="IR606" s="770"/>
      <c r="IS606" s="770"/>
      <c r="IT606" s="770"/>
      <c r="IU606" s="770"/>
      <c r="IV606" s="770"/>
      <c r="IW606" s="770"/>
      <c r="IX606" s="770"/>
      <c r="IY606" s="770"/>
      <c r="IZ606" s="770"/>
      <c r="JA606" s="770"/>
      <c r="JB606" s="770"/>
      <c r="JC606" s="770"/>
      <c r="JD606" s="302"/>
      <c r="JE606" s="770"/>
      <c r="JF606" s="770"/>
      <c r="JG606" s="770"/>
      <c r="JH606" s="307"/>
      <c r="JI606" s="307"/>
      <c r="JJ606" s="770"/>
      <c r="JK606" s="770"/>
      <c r="JL606" s="770"/>
      <c r="JM606" s="770"/>
      <c r="JN606" s="770"/>
      <c r="JO606" s="770"/>
      <c r="JP606" s="770"/>
      <c r="JQ606" s="770"/>
      <c r="JR606" s="770"/>
      <c r="JS606" s="770"/>
      <c r="JT606" s="766"/>
      <c r="JU606" s="766"/>
      <c r="JV606" s="766"/>
      <c r="JW606" s="766"/>
      <c r="JX606" s="770"/>
      <c r="JY606" s="770"/>
      <c r="JZ606" s="770"/>
      <c r="KA606" s="770"/>
      <c r="KB606" s="770"/>
      <c r="KC606" s="770"/>
      <c r="KD606" s="770"/>
      <c r="KE606" s="770"/>
      <c r="KF606" s="770"/>
      <c r="KG606" s="770"/>
      <c r="KH606" s="770"/>
      <c r="KI606" s="770"/>
      <c r="KJ606" s="770"/>
      <c r="KK606" s="770"/>
      <c r="KL606" s="770"/>
      <c r="KM606" s="770"/>
      <c r="KN606" s="770"/>
      <c r="KO606" s="770"/>
      <c r="KP606" s="770"/>
      <c r="KQ606" s="770"/>
      <c r="KR606" s="770"/>
      <c r="KS606" s="770"/>
      <c r="KT606" s="770"/>
      <c r="KU606" s="770"/>
      <c r="KV606" s="770"/>
      <c r="KW606" s="770"/>
      <c r="KX606" s="770"/>
      <c r="KY606" s="770"/>
      <c r="KZ606" s="770"/>
      <c r="LA606" s="770"/>
      <c r="LB606" s="770"/>
      <c r="LC606" s="770"/>
      <c r="LD606" s="770"/>
      <c r="LE606" s="770"/>
      <c r="LF606" s="770"/>
      <c r="LG606" s="770"/>
      <c r="LH606" s="770"/>
      <c r="LI606" s="770"/>
      <c r="LJ606" s="770"/>
      <c r="LK606" s="770"/>
      <c r="LL606" s="770"/>
      <c r="LM606" s="770"/>
      <c r="LN606" s="766"/>
      <c r="LO606" s="766"/>
      <c r="LP606" s="770"/>
      <c r="LQ606" s="770"/>
      <c r="LR606" s="770"/>
      <c r="LS606" s="770"/>
      <c r="LT606" s="770"/>
      <c r="LU606" s="770"/>
      <c r="LV606" s="770"/>
      <c r="LW606" s="770"/>
      <c r="LX606" s="769"/>
      <c r="LY606" s="766" t="str">
        <f t="shared" si="160"/>
        <v/>
      </c>
      <c r="LZ606" s="1709"/>
      <c r="MA606" s="1709"/>
      <c r="MB606" s="1709"/>
      <c r="MC606" s="1679">
        <f t="shared" si="158"/>
        <v>0</v>
      </c>
      <c r="MD606" s="1709"/>
      <c r="ME606" s="1709"/>
      <c r="MF606" s="1709"/>
      <c r="MG606" s="1680">
        <f t="shared" si="164"/>
        <v>0</v>
      </c>
      <c r="MH606" s="770"/>
      <c r="MI606" s="302"/>
      <c r="MJ606" s="302"/>
      <c r="MK606" s="302"/>
      <c r="ML606" s="302"/>
      <c r="MM606" s="302"/>
      <c r="MN606" s="302"/>
      <c r="MO606" s="302"/>
      <c r="MP606" s="302"/>
      <c r="MQ606" s="302"/>
      <c r="MR606" s="302"/>
      <c r="MS606" s="302"/>
      <c r="MT606" s="302"/>
      <c r="MU606" s="302"/>
      <c r="MV606" s="302"/>
      <c r="MW606" s="302"/>
      <c r="MX606" s="302"/>
      <c r="MY606" s="1682">
        <f t="shared" si="165"/>
        <v>0</v>
      </c>
      <c r="MZ606" s="770"/>
      <c r="NA606" s="770"/>
      <c r="NB606" s="770"/>
      <c r="NC606" s="770"/>
      <c r="ND606" s="770"/>
      <c r="NE606" s="770"/>
      <c r="NF606" s="770"/>
      <c r="NG606" s="770"/>
      <c r="NH606" s="770"/>
      <c r="NI606" s="770"/>
      <c r="NJ606" s="770"/>
      <c r="NK606" s="770"/>
      <c r="NL606" s="770"/>
      <c r="NM606" s="770"/>
      <c r="NN606" s="770"/>
      <c r="NO606" s="770"/>
      <c r="NP606" s="770"/>
      <c r="NQ606" s="770"/>
      <c r="NR606" s="770"/>
      <c r="NS606" s="770"/>
      <c r="NT606" s="770"/>
      <c r="NU606" s="770"/>
      <c r="NV606" s="770"/>
      <c r="NW606" s="770"/>
      <c r="NX606" s="770"/>
      <c r="NY606" s="770"/>
      <c r="NZ606" s="770"/>
      <c r="OA606" s="770"/>
      <c r="OB606" s="770"/>
      <c r="OC606" s="770"/>
      <c r="OD606" s="770"/>
      <c r="OE606" s="770"/>
      <c r="OF606" s="770"/>
      <c r="OG606" s="770"/>
      <c r="OH606" s="770"/>
      <c r="OI606" s="770"/>
      <c r="OJ606" s="770"/>
      <c r="OK606" s="770"/>
      <c r="OL606" s="770"/>
      <c r="OM606" s="770"/>
      <c r="ON606" s="770"/>
      <c r="OO606" s="770"/>
      <c r="OP606" s="770"/>
      <c r="OQ606" s="770"/>
      <c r="OR606" s="770"/>
      <c r="OS606" s="770"/>
      <c r="OT606" s="770"/>
      <c r="OU606" s="770"/>
      <c r="OV606" s="770"/>
      <c r="OW606" s="770"/>
      <c r="OX606" s="770"/>
      <c r="OY606" s="770"/>
      <c r="OZ606" s="770"/>
      <c r="PA606" s="770"/>
      <c r="PB606" s="770"/>
      <c r="PC606" s="770"/>
      <c r="PD606" s="770"/>
      <c r="PE606" s="770"/>
      <c r="PF606" s="770"/>
      <c r="PG606" s="770"/>
      <c r="PH606" s="770"/>
      <c r="PI606" s="770"/>
      <c r="PJ606" s="770"/>
      <c r="PK606" s="770"/>
      <c r="PL606" s="770"/>
      <c r="PM606" s="770"/>
      <c r="PN606" s="770"/>
      <c r="PO606" s="770"/>
      <c r="PP606" s="770"/>
      <c r="PQ606" s="770"/>
      <c r="PR606" s="770"/>
      <c r="PS606" s="770"/>
      <c r="PT606" s="770"/>
      <c r="PU606" s="770"/>
      <c r="PV606" s="770"/>
      <c r="PW606" s="770"/>
      <c r="PX606" s="770"/>
      <c r="PY606" s="770"/>
      <c r="PZ606" s="770"/>
      <c r="QA606" s="770"/>
      <c r="QB606" s="770"/>
      <c r="QC606" s="770"/>
      <c r="QD606" s="770"/>
      <c r="QE606" s="770"/>
      <c r="QF606" s="770"/>
      <c r="QG606" s="770"/>
      <c r="QH606" s="770"/>
      <c r="QI606" s="770"/>
      <c r="QJ606" s="770"/>
      <c r="QK606" s="770"/>
      <c r="QL606" s="770"/>
      <c r="QM606" s="770"/>
      <c r="QN606" s="770"/>
      <c r="QO606" s="770"/>
      <c r="QP606" s="770"/>
      <c r="QQ606" s="770"/>
      <c r="QR606" s="770"/>
      <c r="QS606" s="770"/>
      <c r="QT606" s="770"/>
      <c r="QU606" s="770"/>
      <c r="QV606" s="770"/>
      <c r="QW606" s="770"/>
      <c r="QX606" s="770"/>
      <c r="QY606" s="770"/>
      <c r="QZ606" s="770"/>
      <c r="RA606" s="770"/>
      <c r="RB606" s="770"/>
      <c r="RC606" s="770"/>
      <c r="RD606" s="770"/>
      <c r="RE606" s="770"/>
      <c r="RF606" s="304"/>
      <c r="RG606" s="770"/>
      <c r="RH606" s="302"/>
      <c r="RI606" s="770"/>
      <c r="RJ606" s="770" t="s">
        <v>13804</v>
      </c>
      <c r="RK606" s="770" t="s">
        <v>13544</v>
      </c>
      <c r="RL606" s="1710">
        <v>42833</v>
      </c>
      <c r="RM606" s="12"/>
      <c r="RN606" s="1711"/>
      <c r="RO606" s="132" t="s">
        <v>4064</v>
      </c>
      <c r="RP606" s="11"/>
      <c r="RQ606" s="11"/>
      <c r="RR606" s="17"/>
      <c r="RS606" s="767"/>
      <c r="RT606" s="11"/>
      <c r="RU606" s="11"/>
      <c r="RV606" s="771" t="s">
        <v>13805</v>
      </c>
      <c r="RW606" s="11" t="s">
        <v>7512</v>
      </c>
      <c r="RX606" s="11" t="s">
        <v>3000</v>
      </c>
      <c r="RY606" s="11"/>
      <c r="RZ606" s="11" t="s">
        <v>1101</v>
      </c>
      <c r="SA606" s="771"/>
      <c r="SB606" s="11"/>
      <c r="SC606" s="11"/>
    </row>
    <row r="607" spans="1:497" ht="12.75" customHeight="1">
      <c r="A607" s="17" t="s">
        <v>7421</v>
      </c>
      <c r="B607" s="127" t="s">
        <v>7400</v>
      </c>
      <c r="C607" s="132" t="s">
        <v>4069</v>
      </c>
      <c r="D607" s="94" t="s">
        <v>4071</v>
      </c>
      <c r="E607" s="766" t="s">
        <v>5842</v>
      </c>
      <c r="F607" s="770" t="s">
        <v>28</v>
      </c>
      <c r="G607" s="770" t="s">
        <v>10</v>
      </c>
      <c r="H607" s="770"/>
      <c r="I607" s="295" t="s">
        <v>4073</v>
      </c>
      <c r="J607" s="94" t="s">
        <v>4071</v>
      </c>
      <c r="K607" s="766" t="s">
        <v>4074</v>
      </c>
      <c r="L607" s="766" t="s">
        <v>4075</v>
      </c>
      <c r="M607" s="770" t="s">
        <v>1238</v>
      </c>
      <c r="N607" s="770"/>
      <c r="O607" s="770" t="s">
        <v>3844</v>
      </c>
      <c r="P607" s="94" t="s">
        <v>4076</v>
      </c>
      <c r="Q607" s="1088">
        <v>35335</v>
      </c>
      <c r="R607" s="297">
        <v>20</v>
      </c>
      <c r="S607" s="770" t="s">
        <v>10</v>
      </c>
      <c r="T607" s="770"/>
      <c r="U607" s="295" t="s">
        <v>4073</v>
      </c>
      <c r="V607" s="770" t="s">
        <v>768</v>
      </c>
      <c r="W607" s="770"/>
      <c r="X607" s="770"/>
      <c r="Y607" s="766" t="s">
        <v>4072</v>
      </c>
      <c r="Z607" s="770" t="s">
        <v>708</v>
      </c>
      <c r="AA607" s="770" t="s">
        <v>709</v>
      </c>
      <c r="AB607" s="770" t="s">
        <v>7275</v>
      </c>
      <c r="AC607" s="770" t="s">
        <v>724</v>
      </c>
      <c r="AD607" s="770"/>
      <c r="AE607" s="770"/>
      <c r="AF607" s="770" t="s">
        <v>712</v>
      </c>
      <c r="AG607" s="766" t="s">
        <v>1132</v>
      </c>
      <c r="AH607" s="766" t="s">
        <v>1096</v>
      </c>
      <c r="AI607" s="770"/>
      <c r="AJ607" s="770" t="s">
        <v>1137</v>
      </c>
      <c r="AK607" s="770" t="s">
        <v>1101</v>
      </c>
      <c r="AL607" s="531">
        <v>9.9</v>
      </c>
      <c r="AM607" s="780">
        <v>9.9</v>
      </c>
      <c r="AN607" s="532">
        <f t="shared" si="176"/>
        <v>1</v>
      </c>
      <c r="AO607" s="766" t="s">
        <v>1122</v>
      </c>
      <c r="AP607" s="766"/>
      <c r="AQ607" s="766"/>
      <c r="AR607" s="766"/>
      <c r="AS607" s="770"/>
      <c r="AT607" s="770"/>
      <c r="AU607" s="770"/>
      <c r="AV607" s="770"/>
      <c r="AW607" s="770"/>
      <c r="AX607" s="770"/>
      <c r="AY607" s="770"/>
      <c r="AZ607" s="770"/>
      <c r="BA607" s="770"/>
      <c r="BB607" s="770"/>
      <c r="BC607" s="770"/>
      <c r="BD607" s="770"/>
      <c r="BE607" s="770"/>
      <c r="BF607" s="302"/>
      <c r="BG607" s="302"/>
      <c r="BH607" s="770"/>
      <c r="BI607" s="770"/>
      <c r="BJ607" s="770"/>
      <c r="BK607" s="770" t="s">
        <v>1095</v>
      </c>
      <c r="BL607" s="770" t="s">
        <v>4077</v>
      </c>
      <c r="BM607" s="766" t="s">
        <v>1096</v>
      </c>
      <c r="BN607" s="770" t="s">
        <v>1230</v>
      </c>
      <c r="BO607" s="766" t="s">
        <v>1246</v>
      </c>
      <c r="BP607" s="1109">
        <v>9.9</v>
      </c>
      <c r="BQ607" s="773">
        <v>9.9</v>
      </c>
      <c r="BR607" s="774">
        <f t="shared" si="177"/>
        <v>1</v>
      </c>
      <c r="BS607" s="766" t="s">
        <v>1257</v>
      </c>
      <c r="BT607" s="770" t="s">
        <v>1326</v>
      </c>
      <c r="BU607" s="770" t="s">
        <v>1249</v>
      </c>
      <c r="BV607" s="770" t="s">
        <v>2432</v>
      </c>
      <c r="BW607" s="770">
        <v>2009</v>
      </c>
      <c r="BX607" s="302"/>
      <c r="BY607" s="770"/>
      <c r="BZ607" s="302"/>
      <c r="CA607" s="770"/>
      <c r="CB607" s="770"/>
      <c r="CC607" s="770"/>
      <c r="CD607" s="770"/>
      <c r="CE607" s="770"/>
      <c r="CF607" s="1753"/>
      <c r="CG607" s="1754"/>
      <c r="CH607" s="770"/>
      <c r="CI607" s="770"/>
      <c r="CJ607" s="770"/>
      <c r="CK607" s="770"/>
      <c r="CL607" s="770"/>
      <c r="CM607" s="770"/>
      <c r="CN607" s="770"/>
      <c r="CO607" s="770"/>
      <c r="CP607" s="770"/>
      <c r="CQ607" s="770"/>
      <c r="CR607" s="302"/>
      <c r="CS607" s="770"/>
      <c r="CT607" s="770"/>
      <c r="CU607" s="305"/>
      <c r="CV607" s="770"/>
      <c r="CW607" s="770"/>
      <c r="CX607" s="770"/>
      <c r="CY607" s="770"/>
      <c r="CZ607" s="770"/>
      <c r="DA607" s="306"/>
      <c r="DB607" s="770"/>
      <c r="DC607" s="770"/>
      <c r="DD607" s="770"/>
      <c r="DE607" s="300"/>
      <c r="DF607" s="770"/>
      <c r="DG607" s="770"/>
      <c r="DH607" s="770"/>
      <c r="DI607" s="770"/>
      <c r="DJ607" s="770"/>
      <c r="DK607" s="770"/>
      <c r="DL607" s="770"/>
      <c r="DM607" s="770"/>
      <c r="DN607" s="322"/>
      <c r="DO607" s="770"/>
      <c r="DP607" s="770"/>
      <c r="DQ607" s="770"/>
      <c r="DR607" s="770"/>
      <c r="DS607" s="307"/>
      <c r="DT607" s="770"/>
      <c r="DU607" s="770"/>
      <c r="DV607" s="770"/>
      <c r="DW607" s="306"/>
      <c r="DX607" s="306"/>
      <c r="DY607" s="770"/>
      <c r="DZ607" s="770"/>
      <c r="EA607" s="770"/>
      <c r="EB607" s="770"/>
      <c r="EC607" s="770"/>
      <c r="ED607" s="770"/>
      <c r="EE607" s="770"/>
      <c r="EF607" s="770"/>
      <c r="EG607" s="770"/>
      <c r="EH607" s="770"/>
      <c r="EI607" s="770"/>
      <c r="EJ607" s="770"/>
      <c r="EK607" s="770"/>
      <c r="EL607" s="770"/>
      <c r="EM607" s="770"/>
      <c r="EN607" s="770"/>
      <c r="EO607" s="770"/>
      <c r="EP607" s="94"/>
      <c r="EQ607" s="770"/>
      <c r="ER607" s="770"/>
      <c r="ES607" s="770"/>
      <c r="ET607" s="770"/>
      <c r="EU607" s="770"/>
      <c r="EV607" s="770"/>
      <c r="EW607" s="770"/>
      <c r="EX607" s="770"/>
      <c r="EY607" s="770"/>
      <c r="EZ607" s="770"/>
      <c r="FA607" s="770"/>
      <c r="FB607" s="770"/>
      <c r="FC607" s="770"/>
      <c r="FD607" s="302"/>
      <c r="FE607" s="770"/>
      <c r="FF607" s="770"/>
      <c r="FG607" s="770"/>
      <c r="FH607" s="770" t="s">
        <v>478</v>
      </c>
      <c r="FI607" s="770">
        <v>1</v>
      </c>
      <c r="FJ607" s="770"/>
      <c r="FK607" s="770"/>
      <c r="FL607" s="770"/>
      <c r="FM607" s="302"/>
      <c r="FN607" s="302"/>
      <c r="FO607" s="302"/>
      <c r="FP607" s="766" t="s">
        <v>1602</v>
      </c>
      <c r="FQ607" s="766" t="s">
        <v>1660</v>
      </c>
      <c r="FR607" s="770" t="s">
        <v>1214</v>
      </c>
      <c r="FS607" s="770"/>
      <c r="FT607" s="770"/>
      <c r="FU607" s="770"/>
      <c r="FV607" s="770"/>
      <c r="FW607" s="770"/>
      <c r="FX607" s="770"/>
      <c r="FY607" s="770"/>
      <c r="FZ607" s="770"/>
      <c r="GA607" s="770"/>
      <c r="GB607" s="770" t="s">
        <v>1734</v>
      </c>
      <c r="GC607" s="308"/>
      <c r="GD607" s="297">
        <v>2009</v>
      </c>
      <c r="GE607" s="770" t="s">
        <v>1214</v>
      </c>
      <c r="GF607" s="302"/>
      <c r="GG607" s="302"/>
      <c r="GH607" s="712" t="s">
        <v>1791</v>
      </c>
      <c r="GI607" s="770"/>
      <c r="GJ607" s="770"/>
      <c r="GK607" s="770" t="s">
        <v>2345</v>
      </c>
      <c r="GL607" s="770"/>
      <c r="GM607" s="770"/>
      <c r="GN607" s="299"/>
      <c r="GO607" s="770"/>
      <c r="GP607" s="770" t="s">
        <v>1208</v>
      </c>
      <c r="GQ607" s="770" t="s">
        <v>1208</v>
      </c>
      <c r="GR607" s="770" t="s">
        <v>1208</v>
      </c>
      <c r="GS607" s="770" t="s">
        <v>1208</v>
      </c>
      <c r="GT607" s="770" t="s">
        <v>1208</v>
      </c>
      <c r="GU607" s="770"/>
      <c r="GV607" s="770"/>
      <c r="GW607" s="770" t="s">
        <v>1207</v>
      </c>
      <c r="GX607" s="770"/>
      <c r="GY607" s="770" t="s">
        <v>1208</v>
      </c>
      <c r="GZ607" s="770" t="s">
        <v>1208</v>
      </c>
      <c r="HA607" s="770" t="s">
        <v>1208</v>
      </c>
      <c r="HB607" s="770" t="s">
        <v>1208</v>
      </c>
      <c r="HC607" s="770" t="s">
        <v>1208</v>
      </c>
      <c r="HD607" s="770" t="s">
        <v>1208</v>
      </c>
      <c r="HE607" s="770" t="s">
        <v>1208</v>
      </c>
      <c r="HF607" s="770"/>
      <c r="HG607" s="770"/>
      <c r="HH607" s="770"/>
      <c r="HI607" s="770" t="s">
        <v>1214</v>
      </c>
      <c r="HJ607" s="770"/>
      <c r="HK607" s="770"/>
      <c r="HL607" s="770"/>
      <c r="HM607" s="770"/>
      <c r="HN607" s="770"/>
      <c r="HO607" s="770"/>
      <c r="HP607" s="770"/>
      <c r="HQ607" s="770"/>
      <c r="HR607" s="770"/>
      <c r="HS607" s="770"/>
      <c r="HT607" s="770"/>
      <c r="HU607" s="770"/>
      <c r="HV607" s="770"/>
      <c r="HW607" s="770"/>
      <c r="HX607" s="770"/>
      <c r="HY607" s="770"/>
      <c r="HZ607" s="770"/>
      <c r="IA607" s="770"/>
      <c r="IB607" s="14" t="e">
        <f>IF(#REF!&gt;0,IF(#REF!&lt;=10000,"Y",""),"")</f>
        <v>#REF!</v>
      </c>
      <c r="IC607" s="770"/>
      <c r="ID607" s="770"/>
      <c r="IE607" s="770"/>
      <c r="IF607" s="770"/>
      <c r="IG607" s="770"/>
      <c r="IH607" s="770"/>
      <c r="II607" s="770"/>
      <c r="IJ607" s="770"/>
      <c r="IK607" s="770"/>
      <c r="IL607" s="770"/>
      <c r="IM607" s="770"/>
      <c r="IN607" s="770"/>
      <c r="IO607" s="296"/>
      <c r="IP607" s="770"/>
      <c r="IQ607" s="770"/>
      <c r="IR607" s="770"/>
      <c r="IS607" s="770"/>
      <c r="IT607" s="770"/>
      <c r="IU607" s="770"/>
      <c r="IV607" s="770"/>
      <c r="IW607" s="770"/>
      <c r="IX607" s="770"/>
      <c r="IY607" s="770"/>
      <c r="IZ607" s="770"/>
      <c r="JA607" s="770"/>
      <c r="JB607" s="770"/>
      <c r="JC607" s="770"/>
      <c r="JD607" s="302"/>
      <c r="JE607" s="770"/>
      <c r="JF607" s="770"/>
      <c r="JG607" s="770"/>
      <c r="JH607" s="307"/>
      <c r="JI607" s="712" t="str">
        <f>IF(SUM(JT607,JU607)=JJ607,"ok","review")</f>
        <v>ok</v>
      </c>
      <c r="JJ607" s="770">
        <v>1</v>
      </c>
      <c r="JK607" s="1139" t="s">
        <v>4070</v>
      </c>
      <c r="JL607" s="770"/>
      <c r="JM607" s="770"/>
      <c r="JN607" s="770">
        <v>1</v>
      </c>
      <c r="JO607" s="770"/>
      <c r="JP607" s="770"/>
      <c r="JQ607" s="770"/>
      <c r="JR607" s="770"/>
      <c r="JS607" s="770"/>
      <c r="JT607" s="766">
        <f t="shared" ref="JT607:JU612" si="178">SUM(JP607,JN607,JL607,JR607)</f>
        <v>1</v>
      </c>
      <c r="JU607" s="766">
        <f t="shared" si="178"/>
        <v>0</v>
      </c>
      <c r="JV607" s="712" t="str">
        <f t="shared" ref="JV607:JV612" si="179">IF(JT607=KJ607,"ok","male")</f>
        <v>ok</v>
      </c>
      <c r="JW607" s="712" t="str">
        <f t="shared" ref="JW607:JW612" si="180">IF(JU607=KK607,"ok","female")</f>
        <v>ok</v>
      </c>
      <c r="JX607" s="770"/>
      <c r="JY607" s="770"/>
      <c r="JZ607" s="770"/>
      <c r="KA607" s="770"/>
      <c r="KB607" s="770">
        <v>1</v>
      </c>
      <c r="KC607" s="770"/>
      <c r="KD607" s="770"/>
      <c r="KE607" s="770"/>
      <c r="KF607" s="770"/>
      <c r="KG607" s="770"/>
      <c r="KH607" s="770"/>
      <c r="KI607" s="770"/>
      <c r="KJ607" s="770">
        <f t="shared" si="168"/>
        <v>1</v>
      </c>
      <c r="KK607" s="770">
        <f t="shared" si="168"/>
        <v>0</v>
      </c>
      <c r="KL607" s="712" t="str">
        <f t="shared" ref="KL607:KL612" si="181">IF(KJ607=LN607,"ok","male")</f>
        <v>ok</v>
      </c>
      <c r="KM607" s="712" t="str">
        <f t="shared" ref="KM607:KM612" si="182">IF(KK607=LO607,"ok","female")</f>
        <v>ok</v>
      </c>
      <c r="KN607" s="770" t="s">
        <v>768</v>
      </c>
      <c r="KO607" s="770"/>
      <c r="KP607" s="770"/>
      <c r="KQ607" s="770"/>
      <c r="KR607" s="770"/>
      <c r="KS607" s="770"/>
      <c r="KT607" s="770"/>
      <c r="KU607" s="770"/>
      <c r="KV607" s="770"/>
      <c r="KW607" s="770"/>
      <c r="KX607" s="770"/>
      <c r="KY607" s="770"/>
      <c r="KZ607" s="770">
        <v>1</v>
      </c>
      <c r="LA607" s="770"/>
      <c r="LB607" s="770"/>
      <c r="LC607" s="770"/>
      <c r="LD607" s="770"/>
      <c r="LE607" s="770"/>
      <c r="LF607" s="770"/>
      <c r="LG607" s="770"/>
      <c r="LH607" s="770"/>
      <c r="LI607" s="770"/>
      <c r="LJ607" s="770"/>
      <c r="LK607" s="770"/>
      <c r="LL607" s="770"/>
      <c r="LM607" s="770"/>
      <c r="LN607" s="766">
        <f t="shared" si="159"/>
        <v>1</v>
      </c>
      <c r="LO607" s="766">
        <f t="shared" si="159"/>
        <v>0</v>
      </c>
      <c r="LP607" s="770">
        <v>1</v>
      </c>
      <c r="LQ607" s="770"/>
      <c r="LR607" s="770">
        <v>1</v>
      </c>
      <c r="LS607" s="770"/>
      <c r="LT607" s="712" t="str">
        <f t="shared" ref="LT607:LT612" si="183">IF(LQ607=SUM(LU607:LW607),"OK","REV")</f>
        <v>OK</v>
      </c>
      <c r="LU607" s="770"/>
      <c r="LV607" s="770"/>
      <c r="LW607" s="770"/>
      <c r="LX607" s="769">
        <v>1</v>
      </c>
      <c r="LY607" s="766" t="str">
        <f t="shared" si="160"/>
        <v>within the BRGY</v>
      </c>
      <c r="LZ607" s="1709"/>
      <c r="MA607" s="1709"/>
      <c r="MB607" s="1709"/>
      <c r="MC607" s="1679">
        <f t="shared" si="158"/>
        <v>0</v>
      </c>
      <c r="MD607" s="1709"/>
      <c r="ME607" s="1709"/>
      <c r="MF607" s="1709">
        <v>6000</v>
      </c>
      <c r="MG607" s="1680">
        <f t="shared" ref="MG607:MG612" si="184">SUM(MD607:MF607)</f>
        <v>6000</v>
      </c>
      <c r="MH607" s="770" t="s">
        <v>13510</v>
      </c>
      <c r="MI607" s="302">
        <v>3000</v>
      </c>
      <c r="MJ607" s="302"/>
      <c r="MK607" s="302">
        <v>1000</v>
      </c>
      <c r="ML607" s="302">
        <v>400</v>
      </c>
      <c r="MM607" s="302">
        <v>3000</v>
      </c>
      <c r="MN607" s="302"/>
      <c r="MO607" s="302">
        <v>70</v>
      </c>
      <c r="MP607" s="302">
        <v>100</v>
      </c>
      <c r="MQ607" s="302">
        <v>200</v>
      </c>
      <c r="MR607" s="302">
        <v>50</v>
      </c>
      <c r="MS607" s="302">
        <v>50</v>
      </c>
      <c r="MT607" s="302"/>
      <c r="MU607" s="302"/>
      <c r="MV607" s="302"/>
      <c r="MW607" s="302"/>
      <c r="MX607" s="302"/>
      <c r="MY607" s="1682">
        <f t="shared" si="165"/>
        <v>7870</v>
      </c>
      <c r="MZ607" s="770" t="s">
        <v>13395</v>
      </c>
      <c r="NA607" s="770"/>
      <c r="NB607" s="770"/>
      <c r="NC607" s="770"/>
      <c r="ND607" s="770">
        <v>1</v>
      </c>
      <c r="NE607" s="770">
        <v>0</v>
      </c>
      <c r="NF607" s="770">
        <v>0</v>
      </c>
      <c r="NG607" s="770">
        <v>1</v>
      </c>
      <c r="NH607" s="770">
        <v>1</v>
      </c>
      <c r="NI607" s="770">
        <v>0</v>
      </c>
      <c r="NJ607" s="770">
        <v>1</v>
      </c>
      <c r="NK607" s="770">
        <v>0</v>
      </c>
      <c r="NL607" s="770">
        <v>0</v>
      </c>
      <c r="NM607" s="770">
        <v>0</v>
      </c>
      <c r="NN607" s="770">
        <v>0</v>
      </c>
      <c r="NO607" s="770">
        <v>0</v>
      </c>
      <c r="NP607" s="770">
        <v>0</v>
      </c>
      <c r="NQ607" s="770">
        <v>0</v>
      </c>
      <c r="NR607" s="770">
        <v>0</v>
      </c>
      <c r="NS607" s="770">
        <v>0</v>
      </c>
      <c r="NT607" s="770">
        <v>0</v>
      </c>
      <c r="NU607" s="770">
        <v>0</v>
      </c>
      <c r="NV607" s="770">
        <v>0</v>
      </c>
      <c r="NW607" s="770">
        <v>0</v>
      </c>
      <c r="NX607" s="770">
        <v>0</v>
      </c>
      <c r="NY607" s="770"/>
      <c r="NZ607" s="770"/>
      <c r="OA607" s="770"/>
      <c r="OB607" s="770"/>
      <c r="OC607" s="770"/>
      <c r="OD607" s="770"/>
      <c r="OE607" s="770"/>
      <c r="OF607" s="770"/>
      <c r="OG607" s="770"/>
      <c r="OH607" s="770"/>
      <c r="OI607" s="770"/>
      <c r="OJ607" s="770"/>
      <c r="OK607" s="770"/>
      <c r="OL607" s="770"/>
      <c r="OM607" s="770"/>
      <c r="ON607" s="770"/>
      <c r="OO607" s="770"/>
      <c r="OP607" s="770"/>
      <c r="OQ607" s="770"/>
      <c r="OR607" s="770"/>
      <c r="OS607" s="770"/>
      <c r="OT607" s="770"/>
      <c r="OU607" s="770"/>
      <c r="OV607" s="770"/>
      <c r="OW607" s="770"/>
      <c r="OX607" s="770"/>
      <c r="OY607" s="770"/>
      <c r="OZ607" s="770"/>
      <c r="PA607" s="770"/>
      <c r="PB607" s="770"/>
      <c r="PC607" s="770"/>
      <c r="PD607" s="770"/>
      <c r="PE607" s="770"/>
      <c r="PF607" s="770"/>
      <c r="PG607" s="770"/>
      <c r="PH607" s="770"/>
      <c r="PI607" s="770"/>
      <c r="PJ607" s="770"/>
      <c r="PK607" s="770"/>
      <c r="PL607" s="770"/>
      <c r="PM607" s="770"/>
      <c r="PN607" s="770"/>
      <c r="PO607" s="770"/>
      <c r="PP607" s="770"/>
      <c r="PQ607" s="770"/>
      <c r="PR607" s="770"/>
      <c r="PS607" s="770"/>
      <c r="PT607" s="770" t="s">
        <v>1208</v>
      </c>
      <c r="PU607" s="770"/>
      <c r="PV607" s="770"/>
      <c r="PW607" s="770"/>
      <c r="PX607" s="770"/>
      <c r="PY607" s="770" t="s">
        <v>1208</v>
      </c>
      <c r="PZ607" s="770"/>
      <c r="QA607" s="770"/>
      <c r="QB607" s="770"/>
      <c r="QC607" s="770"/>
      <c r="QD607" s="770"/>
      <c r="QE607" s="770"/>
      <c r="QF607" s="770"/>
      <c r="QG607" s="770"/>
      <c r="QH607" s="770"/>
      <c r="QI607" s="770"/>
      <c r="QJ607" s="770"/>
      <c r="QK607" s="770"/>
      <c r="QL607" s="770"/>
      <c r="QM607" s="770"/>
      <c r="QN607" s="770" t="s">
        <v>1208</v>
      </c>
      <c r="QO607" s="770"/>
      <c r="QP607" s="770"/>
      <c r="QQ607" s="770"/>
      <c r="QR607" s="770"/>
      <c r="QS607" s="770"/>
      <c r="QT607" s="770"/>
      <c r="QU607" s="770"/>
      <c r="QV607" s="770"/>
      <c r="QW607" s="770"/>
      <c r="QX607" s="770"/>
      <c r="QY607" s="770"/>
      <c r="QZ607" s="770"/>
      <c r="RA607" s="770"/>
      <c r="RB607" s="770" t="s">
        <v>1207</v>
      </c>
      <c r="RC607" s="770">
        <v>2014</v>
      </c>
      <c r="RD607" s="770" t="s">
        <v>13046</v>
      </c>
      <c r="RE607" s="770"/>
      <c r="RF607" s="304">
        <f>CONVERT(2,"ft","m")</f>
        <v>0.60960000000000003</v>
      </c>
      <c r="RG607" s="770" t="s">
        <v>13724</v>
      </c>
      <c r="RH607" s="302">
        <v>0</v>
      </c>
      <c r="RI607" s="770">
        <v>1</v>
      </c>
      <c r="RJ607" s="770" t="s">
        <v>4070</v>
      </c>
      <c r="RK607" s="770" t="s">
        <v>13552</v>
      </c>
      <c r="RL607" s="1710">
        <v>42833</v>
      </c>
      <c r="RM607" s="12"/>
      <c r="RN607" s="1711"/>
      <c r="RO607" s="132" t="s">
        <v>4069</v>
      </c>
      <c r="RP607" s="11"/>
      <c r="RQ607" s="11"/>
      <c r="RR607" s="17" t="s">
        <v>7421</v>
      </c>
      <c r="RS607" s="1139" t="s">
        <v>12980</v>
      </c>
      <c r="RT607" s="11"/>
      <c r="RU607" s="11"/>
      <c r="RV607" s="771" t="s">
        <v>7419</v>
      </c>
      <c r="RW607" s="11" t="s">
        <v>7919</v>
      </c>
      <c r="RX607" s="11" t="s">
        <v>4054</v>
      </c>
      <c r="RY607" s="11"/>
      <c r="RZ607" s="11" t="s">
        <v>1101</v>
      </c>
      <c r="SA607" s="771"/>
      <c r="SB607" s="11"/>
      <c r="SC607" s="11"/>
    </row>
    <row r="608" spans="1:497" ht="12.75" customHeight="1">
      <c r="A608" s="17" t="s">
        <v>7421</v>
      </c>
      <c r="B608" s="127" t="s">
        <v>7725</v>
      </c>
      <c r="C608" s="132" t="s">
        <v>4078</v>
      </c>
      <c r="D608" s="94" t="s">
        <v>4085</v>
      </c>
      <c r="E608" s="766" t="s">
        <v>4079</v>
      </c>
      <c r="F608" s="770" t="s">
        <v>2371</v>
      </c>
      <c r="G608" s="770" t="s">
        <v>18</v>
      </c>
      <c r="H608" s="770"/>
      <c r="I608" s="295" t="s">
        <v>4080</v>
      </c>
      <c r="J608" s="94" t="s">
        <v>4081</v>
      </c>
      <c r="K608" s="766" t="s">
        <v>3959</v>
      </c>
      <c r="L608" s="766" t="s">
        <v>3947</v>
      </c>
      <c r="M608" s="770" t="s">
        <v>1238</v>
      </c>
      <c r="N608" s="770"/>
      <c r="O608" s="770" t="s">
        <v>3844</v>
      </c>
      <c r="P608" s="94" t="s">
        <v>4082</v>
      </c>
      <c r="Q608" s="1088">
        <v>28269</v>
      </c>
      <c r="R608" s="297">
        <v>50</v>
      </c>
      <c r="S608" s="770" t="s">
        <v>10</v>
      </c>
      <c r="T608" s="770"/>
      <c r="U608" s="295" t="s">
        <v>4080</v>
      </c>
      <c r="V608" s="770" t="s">
        <v>707</v>
      </c>
      <c r="W608" s="770"/>
      <c r="X608" s="770"/>
      <c r="Y608" s="766" t="s">
        <v>4079</v>
      </c>
      <c r="Z608" s="770" t="s">
        <v>708</v>
      </c>
      <c r="AA608" s="770" t="s">
        <v>709</v>
      </c>
      <c r="AB608" s="770" t="s">
        <v>710</v>
      </c>
      <c r="AC608" s="770"/>
      <c r="AD608" s="770" t="s">
        <v>711</v>
      </c>
      <c r="AE608" s="770"/>
      <c r="AF608" s="770" t="s">
        <v>712</v>
      </c>
      <c r="AG608" s="766" t="s">
        <v>1132</v>
      </c>
      <c r="AH608" s="766" t="s">
        <v>1096</v>
      </c>
      <c r="AI608" s="770"/>
      <c r="AJ608" s="770" t="s">
        <v>1137</v>
      </c>
      <c r="AK608" s="770" t="s">
        <v>1101</v>
      </c>
      <c r="AL608" s="531">
        <v>24.012499999999999</v>
      </c>
      <c r="AM608" s="780">
        <v>3.0369999999999999</v>
      </c>
      <c r="AN608" s="532">
        <f t="shared" si="176"/>
        <v>0.12647579385736596</v>
      </c>
      <c r="AO608" s="766" t="s">
        <v>1109</v>
      </c>
      <c r="AP608" s="766"/>
      <c r="AQ608" s="766"/>
      <c r="AR608" s="766"/>
      <c r="AS608" s="770"/>
      <c r="AT608" s="770"/>
      <c r="AU608" s="770"/>
      <c r="AV608" s="770"/>
      <c r="AW608" s="770"/>
      <c r="AX608" s="770"/>
      <c r="AY608" s="770"/>
      <c r="AZ608" s="770"/>
      <c r="BA608" s="770"/>
      <c r="BB608" s="770"/>
      <c r="BC608" s="770"/>
      <c r="BD608" s="770"/>
      <c r="BE608" s="770"/>
      <c r="BF608" s="302"/>
      <c r="BG608" s="302"/>
      <c r="BH608" s="770"/>
      <c r="BI608" s="770"/>
      <c r="BJ608" s="770"/>
      <c r="BK608" s="770" t="s">
        <v>1095</v>
      </c>
      <c r="BL608" s="770" t="s">
        <v>4083</v>
      </c>
      <c r="BM608" s="766" t="s">
        <v>1096</v>
      </c>
      <c r="BN608" s="770" t="s">
        <v>1230</v>
      </c>
      <c r="BO608" s="766" t="s">
        <v>1246</v>
      </c>
      <c r="BP608" s="1109">
        <v>24.012499999999999</v>
      </c>
      <c r="BQ608" s="773">
        <v>3.0369999999999999</v>
      </c>
      <c r="BR608" s="774">
        <f t="shared" si="177"/>
        <v>0.12647579385736596</v>
      </c>
      <c r="BS608" s="766" t="s">
        <v>1242</v>
      </c>
      <c r="BT608" s="766" t="s">
        <v>8133</v>
      </c>
      <c r="BU608" s="770" t="s">
        <v>1249</v>
      </c>
      <c r="BV608" s="770" t="s">
        <v>1247</v>
      </c>
      <c r="BW608" s="770">
        <v>2001</v>
      </c>
      <c r="BX608" s="302"/>
      <c r="BY608" s="770"/>
      <c r="BZ608" s="302"/>
      <c r="CA608" s="770"/>
      <c r="CB608" s="770"/>
      <c r="CC608" s="770"/>
      <c r="CD608" s="770"/>
      <c r="CE608" s="770"/>
      <c r="CF608" s="1753"/>
      <c r="CG608" s="1754"/>
      <c r="CH608" s="770"/>
      <c r="CI608" s="770"/>
      <c r="CJ608" s="770"/>
      <c r="CK608" s="770"/>
      <c r="CL608" s="770"/>
      <c r="CM608" s="770"/>
      <c r="CN608" s="770"/>
      <c r="CO608" s="770"/>
      <c r="CP608" s="770"/>
      <c r="CQ608" s="770"/>
      <c r="CR608" s="302"/>
      <c r="CS608" s="770"/>
      <c r="CT608" s="770"/>
      <c r="CU608" s="305"/>
      <c r="CV608" s="770"/>
      <c r="CW608" s="770"/>
      <c r="CX608" s="770"/>
      <c r="CY608" s="770"/>
      <c r="CZ608" s="770"/>
      <c r="DA608" s="306"/>
      <c r="DB608" s="770"/>
      <c r="DC608" s="770"/>
      <c r="DD608" s="770"/>
      <c r="DE608" s="300"/>
      <c r="DF608" s="770"/>
      <c r="DG608" s="770"/>
      <c r="DH608" s="770"/>
      <c r="DI608" s="770"/>
      <c r="DJ608" s="770"/>
      <c r="DK608" s="770"/>
      <c r="DL608" s="770"/>
      <c r="DM608" s="770"/>
      <c r="DN608" s="322"/>
      <c r="DO608" s="770"/>
      <c r="DP608" s="770"/>
      <c r="DQ608" s="770"/>
      <c r="DR608" s="770"/>
      <c r="DS608" s="307"/>
      <c r="DT608" s="770"/>
      <c r="DU608" s="770"/>
      <c r="DV608" s="770"/>
      <c r="DW608" s="306"/>
      <c r="DX608" s="306"/>
      <c r="DY608" s="770"/>
      <c r="DZ608" s="770"/>
      <c r="EA608" s="770"/>
      <c r="EB608" s="770"/>
      <c r="EC608" s="770"/>
      <c r="ED608" s="770"/>
      <c r="EE608" s="770"/>
      <c r="EF608" s="770"/>
      <c r="EG608" s="770"/>
      <c r="EH608" s="770"/>
      <c r="EI608" s="770"/>
      <c r="EJ608" s="770"/>
      <c r="EK608" s="770"/>
      <c r="EL608" s="770"/>
      <c r="EM608" s="770"/>
      <c r="EN608" s="770"/>
      <c r="EO608" s="770"/>
      <c r="EP608" s="94"/>
      <c r="EQ608" s="770"/>
      <c r="ER608" s="770"/>
      <c r="ES608" s="770"/>
      <c r="ET608" s="770"/>
      <c r="EU608" s="770"/>
      <c r="EV608" s="770"/>
      <c r="EW608" s="770"/>
      <c r="EX608" s="770"/>
      <c r="EY608" s="770"/>
      <c r="EZ608" s="770"/>
      <c r="FA608" s="770"/>
      <c r="FB608" s="770"/>
      <c r="FC608" s="770"/>
      <c r="FD608" s="302"/>
      <c r="FE608" s="770"/>
      <c r="FF608" s="770"/>
      <c r="FG608" s="770"/>
      <c r="FH608" s="770" t="s">
        <v>478</v>
      </c>
      <c r="FI608" s="770">
        <v>1</v>
      </c>
      <c r="FJ608" s="770"/>
      <c r="FK608" s="770"/>
      <c r="FL608" s="770"/>
      <c r="FM608" s="302"/>
      <c r="FN608" s="302"/>
      <c r="FO608" s="302"/>
      <c r="FP608" s="770" t="s">
        <v>1600</v>
      </c>
      <c r="FQ608" s="770" t="s">
        <v>1642</v>
      </c>
      <c r="FR608" s="770" t="s">
        <v>1214</v>
      </c>
      <c r="FS608" s="770"/>
      <c r="FT608" s="770"/>
      <c r="FU608" s="770"/>
      <c r="FV608" s="770"/>
      <c r="FW608" s="770"/>
      <c r="FX608" s="770"/>
      <c r="FY608" s="770"/>
      <c r="FZ608" s="770"/>
      <c r="GA608" s="770"/>
      <c r="GB608" s="770" t="s">
        <v>1696</v>
      </c>
      <c r="GC608" s="308"/>
      <c r="GD608" s="297">
        <v>2001</v>
      </c>
      <c r="GE608" s="770" t="s">
        <v>1214</v>
      </c>
      <c r="GF608" s="302"/>
      <c r="GG608" s="302"/>
      <c r="GH608" s="766"/>
      <c r="GI608" s="770"/>
      <c r="GJ608" s="770"/>
      <c r="GK608" s="770"/>
      <c r="GL608" s="770"/>
      <c r="GM608" s="770"/>
      <c r="GN608" s="299"/>
      <c r="GO608" s="770"/>
      <c r="GP608" s="770"/>
      <c r="GQ608" s="770"/>
      <c r="GR608" s="770"/>
      <c r="GS608" s="770"/>
      <c r="GT608" s="770"/>
      <c r="GU608" s="770"/>
      <c r="GV608" s="770"/>
      <c r="GW608" s="770"/>
      <c r="GX608" s="770"/>
      <c r="GY608" s="770"/>
      <c r="GZ608" s="770"/>
      <c r="HA608" s="770"/>
      <c r="HB608" s="770"/>
      <c r="HC608" s="770"/>
      <c r="HD608" s="770"/>
      <c r="HE608" s="770"/>
      <c r="HF608" s="770"/>
      <c r="HG608" s="770"/>
      <c r="HH608" s="770"/>
      <c r="HI608" s="770"/>
      <c r="HJ608" s="770"/>
      <c r="HK608" s="770"/>
      <c r="HL608" s="770"/>
      <c r="HM608" s="770"/>
      <c r="HN608" s="770"/>
      <c r="HO608" s="770"/>
      <c r="HP608" s="770"/>
      <c r="HQ608" s="770"/>
      <c r="HR608" s="770">
        <v>1</v>
      </c>
      <c r="HS608" s="770"/>
      <c r="HT608" s="770"/>
      <c r="HU608" s="770"/>
      <c r="HV608" s="770"/>
      <c r="HW608" s="770"/>
      <c r="HX608" s="770"/>
      <c r="HY608" s="770"/>
      <c r="HZ608" s="770"/>
      <c r="IA608" s="770"/>
      <c r="IB608" s="14" t="e">
        <f>IF(#REF!&gt;0,IF(#REF!&lt;=10000,"Y",""),"")</f>
        <v>#REF!</v>
      </c>
      <c r="IC608" s="770"/>
      <c r="ID608" s="770"/>
      <c r="IE608" s="770"/>
      <c r="IF608" s="770"/>
      <c r="IG608" s="770"/>
      <c r="IH608" s="770"/>
      <c r="II608" s="770"/>
      <c r="IJ608" s="770"/>
      <c r="IK608" s="770"/>
      <c r="IL608" s="770"/>
      <c r="IM608" s="770"/>
      <c r="IN608" s="770"/>
      <c r="IO608" s="296"/>
      <c r="IP608" s="770"/>
      <c r="IQ608" s="770"/>
      <c r="IR608" s="770"/>
      <c r="IS608" s="770"/>
      <c r="IT608" s="770"/>
      <c r="IU608" s="770"/>
      <c r="IV608" s="770"/>
      <c r="IW608" s="770"/>
      <c r="IX608" s="770"/>
      <c r="IY608" s="770"/>
      <c r="IZ608" s="770"/>
      <c r="JA608" s="770"/>
      <c r="JB608" s="770"/>
      <c r="JC608" s="770"/>
      <c r="JD608" s="302"/>
      <c r="JE608" s="770"/>
      <c r="JF608" s="770"/>
      <c r="JG608" s="770"/>
      <c r="JH608" s="307"/>
      <c r="JI608" s="307"/>
      <c r="JJ608" s="770">
        <v>4</v>
      </c>
      <c r="JK608" s="1139" t="s">
        <v>4084</v>
      </c>
      <c r="JL608" s="770"/>
      <c r="JM608" s="770"/>
      <c r="JN608" s="770">
        <v>2</v>
      </c>
      <c r="JO608" s="770">
        <v>2</v>
      </c>
      <c r="JP608" s="770"/>
      <c r="JQ608" s="770"/>
      <c r="JR608" s="770"/>
      <c r="JS608" s="770"/>
      <c r="JT608" s="766">
        <f t="shared" si="178"/>
        <v>2</v>
      </c>
      <c r="JU608" s="766">
        <f t="shared" si="178"/>
        <v>2</v>
      </c>
      <c r="JV608" s="712" t="str">
        <f t="shared" si="179"/>
        <v>ok</v>
      </c>
      <c r="JW608" s="712" t="str">
        <f t="shared" si="180"/>
        <v>ok</v>
      </c>
      <c r="JX608" s="770"/>
      <c r="JY608" s="770"/>
      <c r="JZ608" s="770"/>
      <c r="KA608" s="770"/>
      <c r="KB608" s="770">
        <v>1</v>
      </c>
      <c r="KC608" s="770">
        <v>1</v>
      </c>
      <c r="KD608" s="770">
        <v>1</v>
      </c>
      <c r="KE608" s="770">
        <v>1</v>
      </c>
      <c r="KF608" s="770"/>
      <c r="KG608" s="770"/>
      <c r="KH608" s="770"/>
      <c r="KI608" s="770"/>
      <c r="KJ608" s="770">
        <f t="shared" si="168"/>
        <v>2</v>
      </c>
      <c r="KK608" s="770">
        <f t="shared" si="168"/>
        <v>2</v>
      </c>
      <c r="KL608" s="712" t="str">
        <f t="shared" si="181"/>
        <v>ok</v>
      </c>
      <c r="KM608" s="712" t="str">
        <f t="shared" si="182"/>
        <v>ok</v>
      </c>
      <c r="KN608" s="770" t="s">
        <v>707</v>
      </c>
      <c r="KO608" s="770"/>
      <c r="KP608" s="770"/>
      <c r="KQ608" s="770"/>
      <c r="KR608" s="770"/>
      <c r="KS608" s="770"/>
      <c r="KT608" s="770"/>
      <c r="KU608" s="770"/>
      <c r="KV608" s="770"/>
      <c r="KW608" s="770"/>
      <c r="KX608" s="770"/>
      <c r="KY608" s="770"/>
      <c r="KZ608" s="770">
        <v>1</v>
      </c>
      <c r="LA608" s="770"/>
      <c r="LB608" s="770">
        <v>1</v>
      </c>
      <c r="LC608" s="770">
        <v>2</v>
      </c>
      <c r="LD608" s="770"/>
      <c r="LE608" s="770"/>
      <c r="LF608" s="770"/>
      <c r="LG608" s="770"/>
      <c r="LH608" s="770"/>
      <c r="LI608" s="770"/>
      <c r="LJ608" s="770"/>
      <c r="LK608" s="770"/>
      <c r="LL608" s="770"/>
      <c r="LM608" s="770"/>
      <c r="LN608" s="766">
        <f t="shared" si="159"/>
        <v>2</v>
      </c>
      <c r="LO608" s="766">
        <f t="shared" si="159"/>
        <v>2</v>
      </c>
      <c r="LP608" s="770">
        <v>2</v>
      </c>
      <c r="LQ608" s="770">
        <v>2</v>
      </c>
      <c r="LR608" s="770"/>
      <c r="LS608" s="770"/>
      <c r="LT608" s="712" t="str">
        <f t="shared" si="183"/>
        <v>OK</v>
      </c>
      <c r="LU608" s="770">
        <v>2</v>
      </c>
      <c r="LV608" s="770"/>
      <c r="LW608" s="770"/>
      <c r="LX608" s="769">
        <v>2</v>
      </c>
      <c r="LY608" s="766" t="str">
        <f t="shared" si="160"/>
        <v>within the MUNICIPALITY</v>
      </c>
      <c r="LZ608" s="1709">
        <f>32*26</f>
        <v>832</v>
      </c>
      <c r="MA608" s="1709"/>
      <c r="MB608" s="1709"/>
      <c r="MC608" s="1679">
        <f t="shared" si="158"/>
        <v>832</v>
      </c>
      <c r="MD608" s="1709">
        <v>33000</v>
      </c>
      <c r="ME608" s="1709"/>
      <c r="MF608" s="1709"/>
      <c r="MG608" s="1680">
        <f t="shared" si="184"/>
        <v>33000</v>
      </c>
      <c r="MH608" s="770" t="s">
        <v>3388</v>
      </c>
      <c r="MI608" s="302" t="s">
        <v>1217</v>
      </c>
      <c r="MJ608" s="302"/>
      <c r="MK608" s="302"/>
      <c r="ML608" s="302"/>
      <c r="MM608" s="302"/>
      <c r="MN608" s="302"/>
      <c r="MO608" s="302"/>
      <c r="MP608" s="302"/>
      <c r="MQ608" s="302"/>
      <c r="MR608" s="302"/>
      <c r="MS608" s="302"/>
      <c r="MT608" s="302"/>
      <c r="MU608" s="302"/>
      <c r="MV608" s="302"/>
      <c r="MW608" s="302"/>
      <c r="MX608" s="302"/>
      <c r="MY608" s="1682"/>
      <c r="MZ608" s="770" t="s">
        <v>13370</v>
      </c>
      <c r="NA608" s="770" t="s">
        <v>13005</v>
      </c>
      <c r="NB608" s="770" t="s">
        <v>13016</v>
      </c>
      <c r="NC608" s="770" t="s">
        <v>13602</v>
      </c>
      <c r="ND608" s="770">
        <v>0</v>
      </c>
      <c r="NE608" s="770">
        <v>0</v>
      </c>
      <c r="NF608" s="770">
        <v>1</v>
      </c>
      <c r="NG608" s="770">
        <v>1</v>
      </c>
      <c r="NH608" s="770">
        <v>1</v>
      </c>
      <c r="NI608" s="770">
        <v>0</v>
      </c>
      <c r="NJ608" s="770">
        <v>0</v>
      </c>
      <c r="NK608" s="770">
        <v>0</v>
      </c>
      <c r="NL608" s="770">
        <v>0</v>
      </c>
      <c r="NM608" s="770">
        <v>1</v>
      </c>
      <c r="NN608" s="770">
        <v>0</v>
      </c>
      <c r="NO608" s="770">
        <v>0</v>
      </c>
      <c r="NP608" s="770">
        <v>0</v>
      </c>
      <c r="NQ608" s="770">
        <v>0</v>
      </c>
      <c r="NR608" s="770">
        <v>0</v>
      </c>
      <c r="NS608" s="770">
        <v>0</v>
      </c>
      <c r="NT608" s="770">
        <v>0</v>
      </c>
      <c r="NU608" s="770">
        <v>0</v>
      </c>
      <c r="NV608" s="770">
        <v>0</v>
      </c>
      <c r="NW608" s="770">
        <v>0</v>
      </c>
      <c r="NX608" s="770">
        <v>0</v>
      </c>
      <c r="NY608" s="770" t="s">
        <v>1208</v>
      </c>
      <c r="NZ608" s="770" t="s">
        <v>1208</v>
      </c>
      <c r="OA608" s="770" t="s">
        <v>1208</v>
      </c>
      <c r="OB608" s="770" t="s">
        <v>1208</v>
      </c>
      <c r="OC608" s="770" t="s">
        <v>1208</v>
      </c>
      <c r="OD608" s="770"/>
      <c r="OE608" s="770"/>
      <c r="OF608" s="770"/>
      <c r="OG608" s="770"/>
      <c r="OH608" s="770"/>
      <c r="OI608" s="770"/>
      <c r="OJ608" s="770"/>
      <c r="OK608" s="770"/>
      <c r="OL608" s="770"/>
      <c r="OM608" s="770"/>
      <c r="ON608" s="770"/>
      <c r="OO608" s="770"/>
      <c r="OP608" s="770"/>
      <c r="OQ608" s="770"/>
      <c r="OR608" s="770"/>
      <c r="OS608" s="770"/>
      <c r="OT608" s="770"/>
      <c r="OU608" s="770"/>
      <c r="OV608" s="770"/>
      <c r="OW608" s="770"/>
      <c r="OX608" s="770"/>
      <c r="OY608" s="770"/>
      <c r="OZ608" s="770"/>
      <c r="PA608" s="770"/>
      <c r="PB608" s="770"/>
      <c r="PC608" s="770"/>
      <c r="PD608" s="770"/>
      <c r="PE608" s="770"/>
      <c r="PF608" s="770"/>
      <c r="PG608" s="770"/>
      <c r="PH608" s="770" t="s">
        <v>1208</v>
      </c>
      <c r="PI608" s="770"/>
      <c r="PJ608" s="770"/>
      <c r="PK608" s="770" t="s">
        <v>1208</v>
      </c>
      <c r="PL608" s="770"/>
      <c r="PM608" s="770"/>
      <c r="PN608" s="770"/>
      <c r="PO608" s="770"/>
      <c r="PP608" s="770"/>
      <c r="PQ608" s="770"/>
      <c r="PR608" s="770"/>
      <c r="PS608" s="770"/>
      <c r="PT608" s="770"/>
      <c r="PU608" s="770"/>
      <c r="PV608" s="770"/>
      <c r="PW608" s="770"/>
      <c r="PX608" s="770"/>
      <c r="PY608" s="770"/>
      <c r="PZ608" s="770"/>
      <c r="QA608" s="770"/>
      <c r="QB608" s="770"/>
      <c r="QC608" s="770"/>
      <c r="QD608" s="770"/>
      <c r="QE608" s="770"/>
      <c r="QF608" s="770"/>
      <c r="QG608" s="770"/>
      <c r="QH608" s="770"/>
      <c r="QI608" s="770"/>
      <c r="QJ608" s="770"/>
      <c r="QK608" s="770"/>
      <c r="QL608" s="770"/>
      <c r="QM608" s="770"/>
      <c r="QN608" s="770"/>
      <c r="QO608" s="770"/>
      <c r="QP608" s="770"/>
      <c r="QQ608" s="770"/>
      <c r="QR608" s="770"/>
      <c r="QS608" s="770"/>
      <c r="QT608" s="770"/>
      <c r="QU608" s="770"/>
      <c r="QV608" s="770"/>
      <c r="QW608" s="770"/>
      <c r="QX608" s="770"/>
      <c r="QY608" s="770"/>
      <c r="QZ608" s="770"/>
      <c r="RA608" s="770"/>
      <c r="RB608" s="770" t="s">
        <v>1214</v>
      </c>
      <c r="RC608" s="770"/>
      <c r="RD608" s="770"/>
      <c r="RE608" s="770"/>
      <c r="RF608" s="304"/>
      <c r="RG608" s="770"/>
      <c r="RH608" s="302"/>
      <c r="RI608" s="770"/>
      <c r="RJ608" s="770" t="s">
        <v>13806</v>
      </c>
      <c r="RK608" s="770" t="s">
        <v>13544</v>
      </c>
      <c r="RL608" s="1710">
        <v>42835</v>
      </c>
      <c r="RM608" s="12"/>
      <c r="RN608" s="1711"/>
      <c r="RO608" s="132" t="s">
        <v>4078</v>
      </c>
      <c r="RP608" s="11"/>
      <c r="RQ608" s="11"/>
      <c r="RR608" s="17" t="s">
        <v>7421</v>
      </c>
      <c r="RS608" s="1139" t="s">
        <v>12980</v>
      </c>
      <c r="RT608" s="11"/>
      <c r="RU608" s="11"/>
      <c r="RV608" s="771" t="s">
        <v>7419</v>
      </c>
      <c r="RW608" s="11" t="s">
        <v>7920</v>
      </c>
      <c r="RX608" s="11" t="s">
        <v>4064</v>
      </c>
      <c r="RY608" s="11"/>
      <c r="RZ608" s="11" t="s">
        <v>1101</v>
      </c>
      <c r="SA608" s="771"/>
      <c r="SB608" s="11"/>
      <c r="SC608" s="11"/>
    </row>
    <row r="609" spans="1:495" s="35" customFormat="1" ht="12.75" customHeight="1">
      <c r="A609" s="17" t="s">
        <v>14227</v>
      </c>
      <c r="B609" s="752" t="s">
        <v>7726</v>
      </c>
      <c r="C609" s="132" t="s">
        <v>3955</v>
      </c>
      <c r="D609" s="14" t="s">
        <v>3956</v>
      </c>
      <c r="E609" s="766" t="s">
        <v>3957</v>
      </c>
      <c r="F609" s="766" t="s">
        <v>28</v>
      </c>
      <c r="G609" s="766" t="s">
        <v>10</v>
      </c>
      <c r="H609" s="761"/>
      <c r="I609" s="5" t="s">
        <v>3958</v>
      </c>
      <c r="J609" s="14" t="s">
        <v>3956</v>
      </c>
      <c r="K609" s="766" t="s">
        <v>3959</v>
      </c>
      <c r="L609" s="766" t="s">
        <v>3947</v>
      </c>
      <c r="M609" s="770" t="s">
        <v>1238</v>
      </c>
      <c r="N609" s="770"/>
      <c r="O609" s="770" t="s">
        <v>3844</v>
      </c>
      <c r="P609" s="14" t="s">
        <v>3960</v>
      </c>
      <c r="Q609" s="1085">
        <v>21201</v>
      </c>
      <c r="R609" s="25">
        <v>49</v>
      </c>
      <c r="S609" s="766" t="s">
        <v>10</v>
      </c>
      <c r="T609" s="766"/>
      <c r="U609" s="5" t="s">
        <v>3958</v>
      </c>
      <c r="V609" s="766" t="s">
        <v>768</v>
      </c>
      <c r="W609" s="766"/>
      <c r="X609" s="766"/>
      <c r="Y609" s="770" t="s">
        <v>3957</v>
      </c>
      <c r="Z609" s="766" t="s">
        <v>708</v>
      </c>
      <c r="AA609" s="766" t="s">
        <v>723</v>
      </c>
      <c r="AB609" s="761" t="s">
        <v>710</v>
      </c>
      <c r="AC609" s="770" t="s">
        <v>724</v>
      </c>
      <c r="AD609" s="770" t="s">
        <v>937</v>
      </c>
      <c r="AE609" s="770"/>
      <c r="AF609" s="770" t="s">
        <v>712</v>
      </c>
      <c r="AG609" s="770"/>
      <c r="AH609" s="770"/>
      <c r="AI609" s="766"/>
      <c r="AJ609" s="766" t="s">
        <v>1137</v>
      </c>
      <c r="AK609" s="766" t="s">
        <v>1101</v>
      </c>
      <c r="AL609" s="120">
        <v>24.012499999999999</v>
      </c>
      <c r="AM609" s="773">
        <v>3.0369999999999999</v>
      </c>
      <c r="AN609" s="37">
        <f t="shared" si="176"/>
        <v>0.12647579385736596</v>
      </c>
      <c r="AO609" s="766" t="s">
        <v>1109</v>
      </c>
      <c r="AP609" s="766"/>
      <c r="AQ609" s="766"/>
      <c r="AR609" s="766"/>
      <c r="AS609" s="766"/>
      <c r="AT609" s="766"/>
      <c r="AU609" s="766"/>
      <c r="AV609" s="766"/>
      <c r="AW609" s="766"/>
      <c r="AX609" s="766"/>
      <c r="AY609" s="766"/>
      <c r="AZ609" s="766"/>
      <c r="BA609" s="766"/>
      <c r="BB609" s="766"/>
      <c r="BC609" s="766"/>
      <c r="BD609" s="766"/>
      <c r="BE609" s="766"/>
      <c r="BF609" s="775"/>
      <c r="BG609" s="775"/>
      <c r="BH609" s="766"/>
      <c r="BI609" s="766"/>
      <c r="BJ609" s="766"/>
      <c r="BK609" s="766" t="s">
        <v>1095</v>
      </c>
      <c r="BL609" s="766" t="s">
        <v>3961</v>
      </c>
      <c r="BM609" s="766" t="s">
        <v>1096</v>
      </c>
      <c r="BN609" s="770" t="s">
        <v>1230</v>
      </c>
      <c r="BO609" s="766" t="s">
        <v>1246</v>
      </c>
      <c r="BP609" s="1109">
        <v>24.012499999999999</v>
      </c>
      <c r="BQ609" s="773">
        <v>3.0369999999999999</v>
      </c>
      <c r="BR609" s="774">
        <f>BQ609/BP609</f>
        <v>0.12647579385736596</v>
      </c>
      <c r="BS609" s="766" t="s">
        <v>1242</v>
      </c>
      <c r="BT609" s="766" t="s">
        <v>8133</v>
      </c>
      <c r="BU609" s="770" t="s">
        <v>1249</v>
      </c>
      <c r="BV609" s="770" t="s">
        <v>1247</v>
      </c>
      <c r="BW609" s="770">
        <v>2001</v>
      </c>
      <c r="BX609" s="775"/>
      <c r="BY609" s="766"/>
      <c r="BZ609" s="775"/>
      <c r="CA609" s="766"/>
      <c r="CB609" s="766"/>
      <c r="CC609" s="766"/>
      <c r="CD609" s="766"/>
      <c r="CE609" s="766"/>
      <c r="CF609" s="1783"/>
      <c r="CG609" s="1784"/>
      <c r="CH609" s="766"/>
      <c r="CI609" s="766"/>
      <c r="CJ609" s="766"/>
      <c r="CK609" s="766"/>
      <c r="CL609" s="766"/>
      <c r="CM609" s="766"/>
      <c r="CN609" s="766"/>
      <c r="CO609" s="766"/>
      <c r="CP609" s="766"/>
      <c r="CQ609" s="766"/>
      <c r="CR609" s="775"/>
      <c r="CS609" s="766"/>
      <c r="CT609" s="766"/>
      <c r="CU609" s="129"/>
      <c r="CV609" s="766"/>
      <c r="CW609" s="766"/>
      <c r="CX609" s="766"/>
      <c r="CY609" s="766"/>
      <c r="CZ609" s="766"/>
      <c r="DA609" s="66"/>
      <c r="DB609" s="766"/>
      <c r="DC609" s="766"/>
      <c r="DD609" s="766"/>
      <c r="DE609" s="772"/>
      <c r="DF609" s="766"/>
      <c r="DG609" s="766"/>
      <c r="DH609" s="766"/>
      <c r="DI609" s="766"/>
      <c r="DJ609" s="766"/>
      <c r="DK609" s="766"/>
      <c r="DL609" s="766"/>
      <c r="DM609" s="766"/>
      <c r="DN609" s="44"/>
      <c r="DO609" s="766"/>
      <c r="DP609" s="766"/>
      <c r="DQ609" s="766"/>
      <c r="DR609" s="766"/>
      <c r="DS609" s="59"/>
      <c r="DT609" s="766"/>
      <c r="DU609" s="766"/>
      <c r="DV609" s="766"/>
      <c r="DW609" s="66"/>
      <c r="DX609" s="66"/>
      <c r="DY609" s="766"/>
      <c r="DZ609" s="766"/>
      <c r="EA609" s="766"/>
      <c r="EB609" s="766"/>
      <c r="EC609" s="766"/>
      <c r="ED609" s="766"/>
      <c r="EE609" s="766"/>
      <c r="EF609" s="766"/>
      <c r="EG609" s="766"/>
      <c r="EH609" s="766"/>
      <c r="EI609" s="766"/>
      <c r="EJ609" s="766"/>
      <c r="EK609" s="766"/>
      <c r="EL609" s="766"/>
      <c r="EM609" s="766"/>
      <c r="EN609" s="766"/>
      <c r="EO609" s="766"/>
      <c r="EP609" s="14"/>
      <c r="EQ609" s="766"/>
      <c r="ER609" s="766"/>
      <c r="ES609" s="766"/>
      <c r="ET609" s="766"/>
      <c r="EU609" s="766"/>
      <c r="EV609" s="766"/>
      <c r="EW609" s="766"/>
      <c r="EX609" s="766"/>
      <c r="EY609" s="766"/>
      <c r="EZ609" s="766"/>
      <c r="FA609" s="766"/>
      <c r="FB609" s="766"/>
      <c r="FC609" s="766"/>
      <c r="FD609" s="775"/>
      <c r="FE609" s="766"/>
      <c r="FF609" s="766"/>
      <c r="FG609" s="766"/>
      <c r="FH609" s="766" t="s">
        <v>478</v>
      </c>
      <c r="FI609" s="766">
        <v>1</v>
      </c>
      <c r="FJ609" s="766"/>
      <c r="FK609" s="766"/>
      <c r="FL609" s="766"/>
      <c r="FM609" s="775"/>
      <c r="FN609" s="775"/>
      <c r="FO609" s="775"/>
      <c r="FP609" s="766" t="s">
        <v>1600</v>
      </c>
      <c r="FQ609" s="766" t="s">
        <v>1642</v>
      </c>
      <c r="FR609" s="766" t="s">
        <v>1214</v>
      </c>
      <c r="FS609" s="766"/>
      <c r="FT609" s="766"/>
      <c r="FU609" s="766"/>
      <c r="FV609" s="766"/>
      <c r="FW609" s="766"/>
      <c r="FX609" s="766"/>
      <c r="FY609" s="766"/>
      <c r="FZ609" s="766"/>
      <c r="GA609" s="766"/>
      <c r="GB609" s="766" t="s">
        <v>1734</v>
      </c>
      <c r="GC609" s="75"/>
      <c r="GD609" s="25">
        <v>1980</v>
      </c>
      <c r="GE609" s="766" t="s">
        <v>1214</v>
      </c>
      <c r="GF609" s="775"/>
      <c r="GG609" s="775"/>
      <c r="GH609" s="766"/>
      <c r="GI609" s="766"/>
      <c r="GJ609" s="766"/>
      <c r="GK609" s="766"/>
      <c r="GL609" s="766"/>
      <c r="GM609" s="766"/>
      <c r="GN609" s="121"/>
      <c r="GO609" s="766"/>
      <c r="GP609" s="766"/>
      <c r="GQ609" s="766"/>
      <c r="GR609" s="766"/>
      <c r="GS609" s="766"/>
      <c r="GT609" s="766"/>
      <c r="GU609" s="766"/>
      <c r="GV609" s="766"/>
      <c r="GW609" s="766"/>
      <c r="GX609" s="766"/>
      <c r="GY609" s="766"/>
      <c r="GZ609" s="766"/>
      <c r="HA609" s="766"/>
      <c r="HB609" s="766"/>
      <c r="HC609" s="766"/>
      <c r="HD609" s="766"/>
      <c r="HE609" s="766"/>
      <c r="HF609" s="766"/>
      <c r="HG609" s="766"/>
      <c r="HH609" s="766"/>
      <c r="HI609" s="766"/>
      <c r="HJ609" s="766"/>
      <c r="HK609" s="766"/>
      <c r="HL609" s="766"/>
      <c r="HM609" s="766"/>
      <c r="HN609" s="766"/>
      <c r="HO609" s="766"/>
      <c r="HP609" s="766"/>
      <c r="HQ609" s="766"/>
      <c r="HR609" s="766"/>
      <c r="HS609" s="766"/>
      <c r="HT609" s="766"/>
      <c r="HU609" s="766"/>
      <c r="HV609" s="766"/>
      <c r="HW609" s="766"/>
      <c r="HX609" s="766"/>
      <c r="HY609" s="766"/>
      <c r="HZ609" s="766"/>
      <c r="IA609" s="766"/>
      <c r="IB609" s="14" t="e">
        <f>IF(#REF!&gt;0,IF(#REF!&lt;=10000,"Y",""),"")</f>
        <v>#REF!</v>
      </c>
      <c r="IC609" s="766"/>
      <c r="ID609" s="766">
        <v>1</v>
      </c>
      <c r="IE609" s="766"/>
      <c r="IF609" s="766"/>
      <c r="IG609" s="766"/>
      <c r="IH609" s="766"/>
      <c r="II609" s="766"/>
      <c r="IJ609" s="766"/>
      <c r="IK609" s="766"/>
      <c r="IL609" s="766"/>
      <c r="IM609" s="766"/>
      <c r="IN609" s="766"/>
      <c r="IO609" s="24"/>
      <c r="IP609" s="766"/>
      <c r="IQ609" s="766"/>
      <c r="IR609" s="766"/>
      <c r="IS609" s="766"/>
      <c r="IT609" s="766"/>
      <c r="IU609" s="766"/>
      <c r="IV609" s="766"/>
      <c r="IW609" s="766"/>
      <c r="IX609" s="766"/>
      <c r="IY609" s="766"/>
      <c r="IZ609" s="766"/>
      <c r="JA609" s="766"/>
      <c r="JB609" s="766"/>
      <c r="JC609" s="766"/>
      <c r="JD609" s="775"/>
      <c r="JE609" s="766"/>
      <c r="JF609" s="766"/>
      <c r="JG609" s="766"/>
      <c r="JH609" s="59"/>
      <c r="JI609" s="712" t="str">
        <f>IF(SUM(JT609,JU609)=JJ609,"ok","review")</f>
        <v>ok</v>
      </c>
      <c r="JJ609" s="766">
        <v>2</v>
      </c>
      <c r="JK609" s="1139" t="s">
        <v>3962</v>
      </c>
      <c r="JL609" s="766"/>
      <c r="JM609" s="766"/>
      <c r="JN609" s="766">
        <v>1</v>
      </c>
      <c r="JO609" s="766"/>
      <c r="JP609" s="766"/>
      <c r="JQ609" s="766">
        <v>1</v>
      </c>
      <c r="JR609" s="766"/>
      <c r="JS609" s="766"/>
      <c r="JT609" s="766">
        <f t="shared" si="178"/>
        <v>1</v>
      </c>
      <c r="JU609" s="766">
        <f t="shared" si="178"/>
        <v>1</v>
      </c>
      <c r="JV609" s="712" t="str">
        <f t="shared" si="179"/>
        <v>ok</v>
      </c>
      <c r="JW609" s="712" t="str">
        <f t="shared" si="180"/>
        <v>ok</v>
      </c>
      <c r="JX609" s="770"/>
      <c r="JY609" s="770"/>
      <c r="JZ609" s="770"/>
      <c r="KA609" s="770"/>
      <c r="KB609" s="770"/>
      <c r="KC609" s="770"/>
      <c r="KD609" s="770">
        <v>1</v>
      </c>
      <c r="KE609" s="770"/>
      <c r="KF609" s="770"/>
      <c r="KG609" s="770">
        <v>1</v>
      </c>
      <c r="KH609" s="770"/>
      <c r="KI609" s="770"/>
      <c r="KJ609" s="770">
        <f t="shared" si="168"/>
        <v>1</v>
      </c>
      <c r="KK609" s="770">
        <f t="shared" si="168"/>
        <v>1</v>
      </c>
      <c r="KL609" s="712" t="str">
        <f t="shared" si="181"/>
        <v>ok</v>
      </c>
      <c r="KM609" s="712" t="str">
        <f t="shared" si="182"/>
        <v>ok</v>
      </c>
      <c r="KN609" s="766" t="s">
        <v>768</v>
      </c>
      <c r="KO609" s="766"/>
      <c r="KP609" s="766"/>
      <c r="KQ609" s="766"/>
      <c r="KR609" s="766"/>
      <c r="KS609" s="766"/>
      <c r="KT609" s="766"/>
      <c r="KU609" s="766"/>
      <c r="KV609" s="766"/>
      <c r="KW609" s="766"/>
      <c r="KX609" s="766"/>
      <c r="KY609" s="766"/>
      <c r="KZ609" s="766">
        <v>1</v>
      </c>
      <c r="LA609" s="766">
        <v>1</v>
      </c>
      <c r="LB609" s="766"/>
      <c r="LC609" s="766"/>
      <c r="LD609" s="766"/>
      <c r="LE609" s="766"/>
      <c r="LF609" s="766"/>
      <c r="LG609" s="766"/>
      <c r="LH609" s="766"/>
      <c r="LI609" s="766"/>
      <c r="LJ609" s="766"/>
      <c r="LK609" s="766"/>
      <c r="LL609" s="766"/>
      <c r="LM609" s="766"/>
      <c r="LN609" s="766">
        <f t="shared" si="159"/>
        <v>1</v>
      </c>
      <c r="LO609" s="766">
        <f t="shared" si="159"/>
        <v>1</v>
      </c>
      <c r="LP609" s="766">
        <v>0</v>
      </c>
      <c r="LQ609" s="766"/>
      <c r="LR609" s="766"/>
      <c r="LS609" s="766"/>
      <c r="LT609" s="712" t="str">
        <f t="shared" si="183"/>
        <v>OK</v>
      </c>
      <c r="LU609" s="766"/>
      <c r="LV609" s="766"/>
      <c r="LW609" s="766"/>
      <c r="LX609" s="769"/>
      <c r="LY609" s="766" t="str">
        <f t="shared" si="160"/>
        <v/>
      </c>
      <c r="LZ609" s="1696"/>
      <c r="MA609" s="1696"/>
      <c r="MB609" s="1696"/>
      <c r="MC609" s="1679">
        <f t="shared" si="158"/>
        <v>0</v>
      </c>
      <c r="MD609" s="1696"/>
      <c r="ME609" s="1696"/>
      <c r="MF609" s="1696"/>
      <c r="MG609" s="1680">
        <v>0</v>
      </c>
      <c r="MH609" s="766"/>
      <c r="MI609" s="775">
        <v>3000</v>
      </c>
      <c r="MJ609" s="775"/>
      <c r="MK609" s="775">
        <v>100</v>
      </c>
      <c r="ML609" s="775">
        <v>2000</v>
      </c>
      <c r="MM609" s="775"/>
      <c r="MN609" s="775"/>
      <c r="MO609" s="775">
        <v>200</v>
      </c>
      <c r="MP609" s="775">
        <v>285</v>
      </c>
      <c r="MQ609" s="775">
        <v>400</v>
      </c>
      <c r="MR609" s="775"/>
      <c r="MS609" s="775"/>
      <c r="MT609" s="775"/>
      <c r="MU609" s="775"/>
      <c r="MV609" s="775"/>
      <c r="MW609" s="775"/>
      <c r="MX609" s="775"/>
      <c r="MY609" s="1682">
        <f t="shared" si="165"/>
        <v>5985</v>
      </c>
      <c r="MZ609" s="766" t="s">
        <v>13370</v>
      </c>
      <c r="NA609" s="766" t="s">
        <v>13005</v>
      </c>
      <c r="NB609" s="766" t="s">
        <v>13033</v>
      </c>
      <c r="NC609" s="770" t="s">
        <v>13602</v>
      </c>
      <c r="ND609" s="766">
        <v>0</v>
      </c>
      <c r="NE609" s="766">
        <v>0</v>
      </c>
      <c r="NF609" s="766">
        <v>0</v>
      </c>
      <c r="NG609" s="766">
        <v>4</v>
      </c>
      <c r="NH609" s="766">
        <v>1</v>
      </c>
      <c r="NI609" s="766">
        <v>1</v>
      </c>
      <c r="NJ609" s="766">
        <v>0</v>
      </c>
      <c r="NK609" s="766">
        <v>0</v>
      </c>
      <c r="NL609" s="766">
        <v>0</v>
      </c>
      <c r="NM609" s="766">
        <v>1</v>
      </c>
      <c r="NN609" s="766">
        <v>0</v>
      </c>
      <c r="NO609" s="766">
        <v>0</v>
      </c>
      <c r="NP609" s="766">
        <v>0</v>
      </c>
      <c r="NQ609" s="766">
        <v>0</v>
      </c>
      <c r="NR609" s="766">
        <v>0</v>
      </c>
      <c r="NS609" s="766">
        <v>0</v>
      </c>
      <c r="NT609" s="766">
        <v>0</v>
      </c>
      <c r="NU609" s="766">
        <v>0</v>
      </c>
      <c r="NV609" s="766">
        <v>0</v>
      </c>
      <c r="NW609" s="766">
        <v>0</v>
      </c>
      <c r="NX609" s="766">
        <v>0</v>
      </c>
      <c r="NY609" s="766" t="s">
        <v>1208</v>
      </c>
      <c r="NZ609" s="766"/>
      <c r="OA609" s="766"/>
      <c r="OB609" s="766"/>
      <c r="OC609" s="766" t="s">
        <v>1208</v>
      </c>
      <c r="OD609" s="766"/>
      <c r="OE609" s="766"/>
      <c r="OF609" s="766"/>
      <c r="OG609" s="766"/>
      <c r="OH609" s="766"/>
      <c r="OI609" s="766"/>
      <c r="OJ609" s="766"/>
      <c r="OK609" s="766"/>
      <c r="OL609" s="766"/>
      <c r="OM609" s="766"/>
      <c r="ON609" s="766"/>
      <c r="OO609" s="766"/>
      <c r="OP609" s="766"/>
      <c r="OQ609" s="766"/>
      <c r="OR609" s="766"/>
      <c r="OS609" s="766"/>
      <c r="OT609" s="766"/>
      <c r="OU609" s="766"/>
      <c r="OV609" s="766"/>
      <c r="OW609" s="766"/>
      <c r="OX609" s="766"/>
      <c r="OY609" s="766"/>
      <c r="OZ609" s="766"/>
      <c r="PA609" s="766"/>
      <c r="PB609" s="766"/>
      <c r="PC609" s="766"/>
      <c r="PD609" s="766"/>
      <c r="PE609" s="766"/>
      <c r="PF609" s="766"/>
      <c r="PG609" s="766"/>
      <c r="PH609" s="766"/>
      <c r="PI609" s="766"/>
      <c r="PJ609" s="766" t="s">
        <v>1208</v>
      </c>
      <c r="PK609" s="766"/>
      <c r="PL609" s="766"/>
      <c r="PM609" s="766"/>
      <c r="PN609" s="766"/>
      <c r="PO609" s="766"/>
      <c r="PP609" s="766"/>
      <c r="PQ609" s="766"/>
      <c r="PR609" s="766"/>
      <c r="PS609" s="766"/>
      <c r="PT609" s="766"/>
      <c r="PU609" s="766"/>
      <c r="PV609" s="766"/>
      <c r="PW609" s="766"/>
      <c r="PX609" s="766"/>
      <c r="PY609" s="766"/>
      <c r="PZ609" s="766"/>
      <c r="QA609" s="766"/>
      <c r="QB609" s="766"/>
      <c r="QC609" s="766"/>
      <c r="QD609" s="766"/>
      <c r="QE609" s="766"/>
      <c r="QF609" s="766"/>
      <c r="QG609" s="766"/>
      <c r="QH609" s="766"/>
      <c r="QI609" s="766"/>
      <c r="QJ609" s="766"/>
      <c r="QK609" s="766"/>
      <c r="QL609" s="766"/>
      <c r="QM609" s="766"/>
      <c r="QN609" s="766"/>
      <c r="QO609" s="766"/>
      <c r="QP609" s="766"/>
      <c r="QQ609" s="766"/>
      <c r="QR609" s="766"/>
      <c r="QS609" s="766"/>
      <c r="QT609" s="766"/>
      <c r="QU609" s="766"/>
      <c r="QV609" s="766"/>
      <c r="QW609" s="766"/>
      <c r="QX609" s="766"/>
      <c r="QY609" s="766"/>
      <c r="QZ609" s="766"/>
      <c r="RA609" s="766"/>
      <c r="RB609" s="766" t="s">
        <v>1214</v>
      </c>
      <c r="RC609" s="766"/>
      <c r="RD609" s="766"/>
      <c r="RE609" s="766"/>
      <c r="RF609" s="777"/>
      <c r="RG609" s="766"/>
      <c r="RH609" s="775"/>
      <c r="RI609" s="766"/>
      <c r="RJ609" s="766" t="s">
        <v>3962</v>
      </c>
      <c r="RK609" s="766" t="s">
        <v>13550</v>
      </c>
      <c r="RL609" s="1683"/>
      <c r="RM609" s="761"/>
      <c r="RN609" s="1791"/>
      <c r="RO609" s="132" t="s">
        <v>3955</v>
      </c>
      <c r="RR609" s="311" t="s">
        <v>7421</v>
      </c>
      <c r="RS609" s="1139" t="s">
        <v>12980</v>
      </c>
      <c r="RV609" s="771" t="s">
        <v>7421</v>
      </c>
      <c r="RW609" s="35" t="s">
        <v>7400</v>
      </c>
      <c r="RX609" s="35" t="s">
        <v>4069</v>
      </c>
      <c r="SA609" s="771"/>
    </row>
    <row r="610" spans="1:495" s="35" customFormat="1" ht="12.75" customHeight="1">
      <c r="A610" s="771" t="s">
        <v>7421</v>
      </c>
      <c r="B610" s="752" t="s">
        <v>7399</v>
      </c>
      <c r="C610" s="133" t="s">
        <v>3963</v>
      </c>
      <c r="D610" s="14" t="s">
        <v>3964</v>
      </c>
      <c r="E610" s="766" t="s">
        <v>3957</v>
      </c>
      <c r="F610" s="766" t="s">
        <v>28</v>
      </c>
      <c r="G610" s="766" t="s">
        <v>10</v>
      </c>
      <c r="H610" s="761"/>
      <c r="I610" s="5"/>
      <c r="J610" s="94" t="str">
        <f ca="1">IF(F610="Head",CELL("contents",D610))</f>
        <v>Lambungan, Francis Atchiles</v>
      </c>
      <c r="K610" s="766" t="s">
        <v>3965</v>
      </c>
      <c r="L610" s="766" t="s">
        <v>3966</v>
      </c>
      <c r="M610" s="770" t="s">
        <v>1238</v>
      </c>
      <c r="N610" s="770"/>
      <c r="O610" s="770" t="s">
        <v>3967</v>
      </c>
      <c r="P610" s="14" t="s">
        <v>3968</v>
      </c>
      <c r="Q610" s="1085">
        <v>23070</v>
      </c>
      <c r="R610" s="25">
        <f>2017-1963</f>
        <v>54</v>
      </c>
      <c r="S610" s="766" t="s">
        <v>10</v>
      </c>
      <c r="T610" s="766"/>
      <c r="U610" s="5"/>
      <c r="V610" s="766" t="s">
        <v>722</v>
      </c>
      <c r="W610" s="766"/>
      <c r="X610" s="766"/>
      <c r="Y610" s="770" t="s">
        <v>3957</v>
      </c>
      <c r="Z610" s="766" t="s">
        <v>708</v>
      </c>
      <c r="AA610" s="766" t="s">
        <v>709</v>
      </c>
      <c r="AB610" s="761" t="s">
        <v>710</v>
      </c>
      <c r="AC610" s="770" t="s">
        <v>724</v>
      </c>
      <c r="AD610" s="770"/>
      <c r="AE610" s="770"/>
      <c r="AF610" s="770" t="s">
        <v>712</v>
      </c>
      <c r="AG610" s="766" t="s">
        <v>1132</v>
      </c>
      <c r="AH610" s="766" t="s">
        <v>1096</v>
      </c>
      <c r="AI610" s="766"/>
      <c r="AJ610" s="766" t="s">
        <v>1137</v>
      </c>
      <c r="AK610" s="766" t="s">
        <v>1101</v>
      </c>
      <c r="AL610" s="120">
        <v>9.84</v>
      </c>
      <c r="AM610" s="773">
        <v>8.1199999999999992</v>
      </c>
      <c r="AN610" s="37">
        <f t="shared" si="176"/>
        <v>0.82520325203252021</v>
      </c>
      <c r="AO610" s="766" t="s">
        <v>1105</v>
      </c>
      <c r="AP610" s="766"/>
      <c r="AQ610" s="766"/>
      <c r="AR610" s="766"/>
      <c r="AS610" s="766"/>
      <c r="AT610" s="766"/>
      <c r="AU610" s="766"/>
      <c r="AV610" s="766"/>
      <c r="AW610" s="766"/>
      <c r="AX610" s="766"/>
      <c r="AY610" s="766"/>
      <c r="AZ610" s="766"/>
      <c r="BA610" s="766"/>
      <c r="BB610" s="766"/>
      <c r="BC610" s="766"/>
      <c r="BD610" s="766"/>
      <c r="BE610" s="766"/>
      <c r="BF610" s="775"/>
      <c r="BG610" s="775"/>
      <c r="BH610" s="766"/>
      <c r="BI610" s="766"/>
      <c r="BJ610" s="766"/>
      <c r="BK610" s="766" t="s">
        <v>1095</v>
      </c>
      <c r="BL610" s="766" t="s">
        <v>3969</v>
      </c>
      <c r="BM610" s="766" t="s">
        <v>1096</v>
      </c>
      <c r="BN610" s="770" t="s">
        <v>1230</v>
      </c>
      <c r="BO610" s="766" t="s">
        <v>1246</v>
      </c>
      <c r="BP610" s="1109">
        <v>9.5399999999999991</v>
      </c>
      <c r="BQ610" s="773">
        <v>8.1999999999999993</v>
      </c>
      <c r="BR610" s="774">
        <f t="shared" si="177"/>
        <v>0.85953878406708595</v>
      </c>
      <c r="BS610" s="766" t="s">
        <v>1105</v>
      </c>
      <c r="BT610" s="770" t="s">
        <v>1326</v>
      </c>
      <c r="BU610" s="766" t="s">
        <v>1264</v>
      </c>
      <c r="BV610" s="766"/>
      <c r="BW610" s="766">
        <v>2009</v>
      </c>
      <c r="BX610" s="775"/>
      <c r="BY610" s="766"/>
      <c r="BZ610" s="775"/>
      <c r="CA610" s="766"/>
      <c r="CB610" s="766"/>
      <c r="CC610" s="766"/>
      <c r="CD610" s="766"/>
      <c r="CE610" s="766"/>
      <c r="CF610" s="1783"/>
      <c r="CG610" s="1784"/>
      <c r="CH610" s="766"/>
      <c r="CI610" s="766"/>
      <c r="CJ610" s="766"/>
      <c r="CK610" s="766"/>
      <c r="CL610" s="766"/>
      <c r="CM610" s="766"/>
      <c r="CN610" s="766"/>
      <c r="CO610" s="766"/>
      <c r="CP610" s="766"/>
      <c r="CQ610" s="766"/>
      <c r="CR610" s="775"/>
      <c r="CS610" s="766"/>
      <c r="CT610" s="766"/>
      <c r="CU610" s="129"/>
      <c r="CV610" s="766"/>
      <c r="CW610" s="766"/>
      <c r="CX610" s="766"/>
      <c r="CY610" s="766"/>
      <c r="CZ610" s="766"/>
      <c r="DA610" s="66"/>
      <c r="DB610" s="766"/>
      <c r="DC610" s="766"/>
      <c r="DD610" s="766"/>
      <c r="DE610" s="772"/>
      <c r="DF610" s="766"/>
      <c r="DG610" s="766"/>
      <c r="DH610" s="766"/>
      <c r="DI610" s="766"/>
      <c r="DJ610" s="766"/>
      <c r="DK610" s="766"/>
      <c r="DL610" s="766"/>
      <c r="DM610" s="766"/>
      <c r="DN610" s="44"/>
      <c r="DO610" s="766"/>
      <c r="DP610" s="766"/>
      <c r="DQ610" s="766"/>
      <c r="DR610" s="766"/>
      <c r="DS610" s="59"/>
      <c r="DT610" s="766"/>
      <c r="DU610" s="766"/>
      <c r="DV610" s="766"/>
      <c r="DW610" s="66"/>
      <c r="DX610" s="66"/>
      <c r="DY610" s="766"/>
      <c r="DZ610" s="766"/>
      <c r="EA610" s="766"/>
      <c r="EB610" s="766"/>
      <c r="EC610" s="766"/>
      <c r="ED610" s="766"/>
      <c r="EE610" s="766"/>
      <c r="EF610" s="766"/>
      <c r="EG610" s="766"/>
      <c r="EH610" s="766"/>
      <c r="EI610" s="766"/>
      <c r="EJ610" s="766"/>
      <c r="EK610" s="766"/>
      <c r="EL610" s="766"/>
      <c r="EM610" s="766"/>
      <c r="EN610" s="766"/>
      <c r="EO610" s="766"/>
      <c r="EP610" s="14"/>
      <c r="EQ610" s="766"/>
      <c r="ER610" s="766"/>
      <c r="ES610" s="766"/>
      <c r="ET610" s="766"/>
      <c r="EU610" s="766"/>
      <c r="EV610" s="766"/>
      <c r="EW610" s="766"/>
      <c r="EX610" s="766"/>
      <c r="EY610" s="766"/>
      <c r="EZ610" s="766"/>
      <c r="FA610" s="766"/>
      <c r="FB610" s="766"/>
      <c r="FC610" s="766"/>
      <c r="FD610" s="775"/>
      <c r="FE610" s="766"/>
      <c r="FF610" s="766"/>
      <c r="FG610" s="766"/>
      <c r="FH610" s="766" t="s">
        <v>478</v>
      </c>
      <c r="FI610" s="766">
        <v>1</v>
      </c>
      <c r="FJ610" s="766"/>
      <c r="FK610" s="766"/>
      <c r="FL610" s="766"/>
      <c r="FM610" s="775"/>
      <c r="FN610" s="775"/>
      <c r="FO610" s="775"/>
      <c r="FP610" s="766" t="s">
        <v>1602</v>
      </c>
      <c r="FQ610" s="766" t="s">
        <v>1660</v>
      </c>
      <c r="FR610" s="766" t="s">
        <v>1214</v>
      </c>
      <c r="FS610" s="766"/>
      <c r="FT610" s="766"/>
      <c r="FU610" s="766"/>
      <c r="FV610" s="766"/>
      <c r="FW610" s="766"/>
      <c r="FX610" s="766"/>
      <c r="FY610" s="766"/>
      <c r="FZ610" s="766"/>
      <c r="GA610" s="766"/>
      <c r="GB610" s="766" t="s">
        <v>1696</v>
      </c>
      <c r="GC610" s="75"/>
      <c r="GD610" s="25">
        <v>2009</v>
      </c>
      <c r="GE610" s="766" t="s">
        <v>1214</v>
      </c>
      <c r="GF610" s="775"/>
      <c r="GG610" s="775"/>
      <c r="GH610" s="712" t="s">
        <v>14260</v>
      </c>
      <c r="GI610" s="766"/>
      <c r="GJ610" s="766"/>
      <c r="GK610" s="766"/>
      <c r="GL610" s="766"/>
      <c r="GM610" s="766"/>
      <c r="GN610" s="121"/>
      <c r="GO610" s="766"/>
      <c r="GP610" s="766"/>
      <c r="GQ610" s="766"/>
      <c r="GR610" s="766"/>
      <c r="GS610" s="766"/>
      <c r="GT610" s="766"/>
      <c r="GU610" s="766"/>
      <c r="GV610" s="766"/>
      <c r="GW610" s="766"/>
      <c r="GX610" s="766"/>
      <c r="GY610" s="766"/>
      <c r="GZ610" s="766"/>
      <c r="HA610" s="766"/>
      <c r="HB610" s="766"/>
      <c r="HC610" s="766"/>
      <c r="HD610" s="766"/>
      <c r="HE610" s="766"/>
      <c r="HF610" s="766"/>
      <c r="HG610" s="766"/>
      <c r="HH610" s="766"/>
      <c r="HI610" s="766" t="s">
        <v>1207</v>
      </c>
      <c r="HJ610" s="766" t="s">
        <v>3970</v>
      </c>
      <c r="HK610" s="770" t="s">
        <v>3957</v>
      </c>
      <c r="HL610" s="766" t="s">
        <v>1214</v>
      </c>
      <c r="HM610" s="766"/>
      <c r="HN610" s="766"/>
      <c r="HO610" s="766"/>
      <c r="HP610" s="766"/>
      <c r="HQ610" s="766"/>
      <c r="HR610" s="766"/>
      <c r="HS610" s="766"/>
      <c r="HT610" s="766"/>
      <c r="HU610" s="766"/>
      <c r="HV610" s="766"/>
      <c r="HW610" s="766"/>
      <c r="HX610" s="766"/>
      <c r="HY610" s="766"/>
      <c r="HZ610" s="766"/>
      <c r="IA610" s="766"/>
      <c r="IB610" s="14" t="e">
        <f>IF(#REF!&gt;0,IF(#REF!&lt;=10000,"Y",""),"")</f>
        <v>#REF!</v>
      </c>
      <c r="IC610" s="766"/>
      <c r="ID610" s="766"/>
      <c r="IE610" s="766"/>
      <c r="IF610" s="766"/>
      <c r="IG610" s="766"/>
      <c r="IH610" s="766"/>
      <c r="II610" s="770"/>
      <c r="IJ610" s="766"/>
      <c r="IK610" s="770"/>
      <c r="IL610" s="766"/>
      <c r="IM610" s="766"/>
      <c r="IN610" s="766"/>
      <c r="IO610" s="24"/>
      <c r="IP610" s="766"/>
      <c r="IQ610" s="766"/>
      <c r="IR610" s="766"/>
      <c r="IS610" s="766"/>
      <c r="IT610" s="766"/>
      <c r="IU610" s="766"/>
      <c r="IV610" s="766"/>
      <c r="IW610" s="766"/>
      <c r="IX610" s="766"/>
      <c r="IY610" s="766"/>
      <c r="IZ610" s="761"/>
      <c r="JA610" s="766"/>
      <c r="JB610" s="770"/>
      <c r="JC610" s="766"/>
      <c r="JD610" s="775"/>
      <c r="JE610" s="766"/>
      <c r="JF610" s="766"/>
      <c r="JG610" s="766"/>
      <c r="JH610" s="59"/>
      <c r="JI610" s="712" t="str">
        <f>IF(SUM(JT610,JU610)=JJ610,"ok","review")</f>
        <v>ok</v>
      </c>
      <c r="JJ610" s="766">
        <v>3</v>
      </c>
      <c r="JK610" s="1139" t="s">
        <v>3972</v>
      </c>
      <c r="JL610" s="766"/>
      <c r="JM610" s="766"/>
      <c r="JN610" s="766">
        <v>1</v>
      </c>
      <c r="JO610" s="766">
        <v>2</v>
      </c>
      <c r="JP610" s="766"/>
      <c r="JQ610" s="766"/>
      <c r="JR610" s="766"/>
      <c r="JS610" s="766"/>
      <c r="JT610" s="766">
        <f t="shared" si="178"/>
        <v>1</v>
      </c>
      <c r="JU610" s="766">
        <f t="shared" si="178"/>
        <v>2</v>
      </c>
      <c r="JV610" s="712" t="str">
        <f t="shared" si="179"/>
        <v>ok</v>
      </c>
      <c r="JW610" s="712" t="str">
        <f t="shared" si="180"/>
        <v>ok</v>
      </c>
      <c r="JX610" s="770"/>
      <c r="JY610" s="770"/>
      <c r="JZ610" s="770"/>
      <c r="KA610" s="770"/>
      <c r="KB610" s="770"/>
      <c r="KC610" s="770">
        <v>1</v>
      </c>
      <c r="KD610" s="770">
        <v>1</v>
      </c>
      <c r="KE610" s="770">
        <v>1</v>
      </c>
      <c r="KF610" s="770"/>
      <c r="KG610" s="770"/>
      <c r="KH610" s="770"/>
      <c r="KI610" s="770"/>
      <c r="KJ610" s="770">
        <f t="shared" si="168"/>
        <v>1</v>
      </c>
      <c r="KK610" s="770">
        <f t="shared" si="168"/>
        <v>2</v>
      </c>
      <c r="KL610" s="712" t="str">
        <f t="shared" si="181"/>
        <v>ok</v>
      </c>
      <c r="KM610" s="712" t="str">
        <f t="shared" si="182"/>
        <v>ok</v>
      </c>
      <c r="KN610" s="766" t="s">
        <v>722</v>
      </c>
      <c r="KO610" s="766"/>
      <c r="KP610" s="766"/>
      <c r="KQ610" s="766"/>
      <c r="KR610" s="766"/>
      <c r="KS610" s="766"/>
      <c r="KT610" s="766"/>
      <c r="KU610" s="766"/>
      <c r="KV610" s="766"/>
      <c r="KW610" s="766"/>
      <c r="KX610" s="766"/>
      <c r="KY610" s="766"/>
      <c r="KZ610" s="766">
        <v>1</v>
      </c>
      <c r="LA610" s="766">
        <v>1</v>
      </c>
      <c r="LB610" s="766"/>
      <c r="LC610" s="766">
        <v>1</v>
      </c>
      <c r="LD610" s="766"/>
      <c r="LE610" s="766"/>
      <c r="LF610" s="766"/>
      <c r="LG610" s="766"/>
      <c r="LH610" s="766"/>
      <c r="LI610" s="766"/>
      <c r="LJ610" s="766"/>
      <c r="LK610" s="766"/>
      <c r="LL610" s="766"/>
      <c r="LM610" s="766"/>
      <c r="LN610" s="766">
        <f t="shared" si="159"/>
        <v>1</v>
      </c>
      <c r="LO610" s="766">
        <f t="shared" si="159"/>
        <v>2</v>
      </c>
      <c r="LP610" s="766">
        <v>2</v>
      </c>
      <c r="LQ610" s="766">
        <v>1</v>
      </c>
      <c r="LR610" s="766"/>
      <c r="LS610" s="766">
        <v>1</v>
      </c>
      <c r="LT610" s="712" t="str">
        <f t="shared" si="183"/>
        <v>OK</v>
      </c>
      <c r="LU610" s="766">
        <v>1</v>
      </c>
      <c r="LV610" s="766"/>
      <c r="LW610" s="766"/>
      <c r="LX610" s="769">
        <v>1</v>
      </c>
      <c r="LY610" s="766" t="str">
        <f t="shared" si="160"/>
        <v>within the BRGY</v>
      </c>
      <c r="LZ610" s="1696"/>
      <c r="MA610" s="1696"/>
      <c r="MB610" s="1696"/>
      <c r="MC610" s="1679">
        <f t="shared" si="158"/>
        <v>0</v>
      </c>
      <c r="MD610" s="1696">
        <v>6000</v>
      </c>
      <c r="ME610" s="1696"/>
      <c r="MF610" s="1696">
        <v>10000</v>
      </c>
      <c r="MG610" s="1680">
        <f t="shared" si="184"/>
        <v>16000</v>
      </c>
      <c r="MH610" s="766" t="s">
        <v>3971</v>
      </c>
      <c r="MI610" s="775">
        <v>15000</v>
      </c>
      <c r="MJ610" s="775"/>
      <c r="MK610" s="775">
        <v>500</v>
      </c>
      <c r="ML610" s="775">
        <v>600</v>
      </c>
      <c r="MM610" s="775">
        <v>2800</v>
      </c>
      <c r="MN610" s="775"/>
      <c r="MO610" s="775">
        <v>900</v>
      </c>
      <c r="MP610" s="775">
        <v>1300</v>
      </c>
      <c r="MQ610" s="775">
        <v>2000</v>
      </c>
      <c r="MR610" s="775">
        <v>700</v>
      </c>
      <c r="MS610" s="775"/>
      <c r="MT610" s="775"/>
      <c r="MU610" s="775"/>
      <c r="MV610" s="775"/>
      <c r="MW610" s="775"/>
      <c r="MX610" s="775"/>
      <c r="MY610" s="1682">
        <f t="shared" si="165"/>
        <v>23800</v>
      </c>
      <c r="MZ610" s="766" t="s">
        <v>13370</v>
      </c>
      <c r="NA610" s="770" t="s">
        <v>13005</v>
      </c>
      <c r="NB610" s="770" t="s">
        <v>13016</v>
      </c>
      <c r="NC610" s="770" t="s">
        <v>13602</v>
      </c>
      <c r="ND610" s="766">
        <v>0</v>
      </c>
      <c r="NE610" s="766">
        <v>0</v>
      </c>
      <c r="NF610" s="766">
        <v>0</v>
      </c>
      <c r="NG610" s="766">
        <v>3</v>
      </c>
      <c r="NH610" s="766">
        <v>2</v>
      </c>
      <c r="NI610" s="766">
        <v>1</v>
      </c>
      <c r="NJ610" s="766">
        <v>0</v>
      </c>
      <c r="NK610" s="766">
        <v>0</v>
      </c>
      <c r="NL610" s="766">
        <v>0</v>
      </c>
      <c r="NM610" s="766">
        <v>1</v>
      </c>
      <c r="NN610" s="766">
        <v>0</v>
      </c>
      <c r="NO610" s="766">
        <v>0</v>
      </c>
      <c r="NP610" s="766">
        <v>0</v>
      </c>
      <c r="NQ610" s="766">
        <v>0</v>
      </c>
      <c r="NR610" s="766">
        <v>0</v>
      </c>
      <c r="NS610" s="766">
        <v>0</v>
      </c>
      <c r="NT610" s="766">
        <v>0</v>
      </c>
      <c r="NU610" s="766">
        <v>0</v>
      </c>
      <c r="NV610" s="766">
        <v>0</v>
      </c>
      <c r="NW610" s="766">
        <v>0</v>
      </c>
      <c r="NX610" s="766">
        <v>0</v>
      </c>
      <c r="NY610" s="766" t="s">
        <v>1208</v>
      </c>
      <c r="NZ610" s="766" t="s">
        <v>1208</v>
      </c>
      <c r="OA610" s="766" t="s">
        <v>1208</v>
      </c>
      <c r="OB610" s="766" t="s">
        <v>1208</v>
      </c>
      <c r="OC610" s="766" t="s">
        <v>1208</v>
      </c>
      <c r="OD610" s="766"/>
      <c r="OE610" s="766"/>
      <c r="OF610" s="770" t="s">
        <v>2143</v>
      </c>
      <c r="OG610" s="766"/>
      <c r="OH610" s="766"/>
      <c r="OI610" s="766"/>
      <c r="OJ610" s="766"/>
      <c r="OK610" s="766" t="s">
        <v>1208</v>
      </c>
      <c r="OL610" s="766"/>
      <c r="OM610" s="766"/>
      <c r="ON610" s="766"/>
      <c r="OO610" s="766"/>
      <c r="OP610" s="766"/>
      <c r="OQ610" s="766"/>
      <c r="OR610" s="766"/>
      <c r="OS610" s="766"/>
      <c r="OT610" s="766"/>
      <c r="OU610" s="766"/>
      <c r="OV610" s="766"/>
      <c r="OW610" s="766"/>
      <c r="OX610" s="766"/>
      <c r="OY610" s="766"/>
      <c r="OZ610" s="766"/>
      <c r="PA610" s="766"/>
      <c r="PB610" s="766"/>
      <c r="PC610" s="766"/>
      <c r="PD610" s="766"/>
      <c r="PE610" s="766"/>
      <c r="PF610" s="766"/>
      <c r="PG610" s="766"/>
      <c r="PH610" s="766"/>
      <c r="PI610" s="766"/>
      <c r="PJ610" s="766" t="s">
        <v>1208</v>
      </c>
      <c r="PK610" s="766"/>
      <c r="PL610" s="766"/>
      <c r="PM610" s="766"/>
      <c r="PN610" s="766"/>
      <c r="PO610" s="766"/>
      <c r="PP610" s="766"/>
      <c r="PQ610" s="766"/>
      <c r="PR610" s="766"/>
      <c r="PS610" s="766"/>
      <c r="PT610" s="766"/>
      <c r="PU610" s="766"/>
      <c r="PV610" s="766"/>
      <c r="PW610" s="766"/>
      <c r="PX610" s="766"/>
      <c r="PY610" s="766"/>
      <c r="PZ610" s="766"/>
      <c r="QA610" s="766"/>
      <c r="QB610" s="766"/>
      <c r="QC610" s="766"/>
      <c r="QD610" s="766"/>
      <c r="QE610" s="766"/>
      <c r="QF610" s="766"/>
      <c r="QG610" s="766"/>
      <c r="QH610" s="766"/>
      <c r="QI610" s="766"/>
      <c r="QJ610" s="766"/>
      <c r="QK610" s="766"/>
      <c r="QL610" s="766"/>
      <c r="QM610" s="766"/>
      <c r="QN610" s="766"/>
      <c r="QO610" s="766"/>
      <c r="QP610" s="766"/>
      <c r="QQ610" s="766"/>
      <c r="QR610" s="766"/>
      <c r="QS610" s="766"/>
      <c r="QT610" s="766"/>
      <c r="QU610" s="766"/>
      <c r="QV610" s="766"/>
      <c r="QW610" s="766"/>
      <c r="QX610" s="766"/>
      <c r="QY610" s="766"/>
      <c r="QZ610" s="766"/>
      <c r="RA610" s="766"/>
      <c r="RB610" s="766" t="s">
        <v>1207</v>
      </c>
      <c r="RC610" s="766" t="s">
        <v>13796</v>
      </c>
      <c r="RD610" s="766" t="s">
        <v>13582</v>
      </c>
      <c r="RE610" s="766"/>
      <c r="RF610" s="777">
        <v>0.4</v>
      </c>
      <c r="RG610" s="766" t="s">
        <v>13047</v>
      </c>
      <c r="RH610" s="775">
        <v>0</v>
      </c>
      <c r="RI610" s="766">
        <v>10</v>
      </c>
      <c r="RJ610" s="766" t="s">
        <v>13807</v>
      </c>
      <c r="RK610" s="770" t="s">
        <v>13544</v>
      </c>
      <c r="RL610" s="1683">
        <v>42833</v>
      </c>
      <c r="RM610" s="761"/>
      <c r="RN610" s="1791"/>
      <c r="RO610" s="133" t="s">
        <v>3963</v>
      </c>
      <c r="RR610" s="17" t="s">
        <v>7421</v>
      </c>
      <c r="RS610" s="1139" t="s">
        <v>12980</v>
      </c>
      <c r="RV610" s="771" t="s">
        <v>7421</v>
      </c>
      <c r="RW610" s="35" t="s">
        <v>7725</v>
      </c>
      <c r="RX610" s="35" t="s">
        <v>4078</v>
      </c>
      <c r="RZ610" s="35" t="s">
        <v>1101</v>
      </c>
      <c r="SA610" s="771"/>
    </row>
    <row r="611" spans="1:495" s="35" customFormat="1" ht="12.75" customHeight="1">
      <c r="A611" s="771" t="s">
        <v>7421</v>
      </c>
      <c r="B611" s="752" t="s">
        <v>7398</v>
      </c>
      <c r="C611" s="132" t="s">
        <v>4086</v>
      </c>
      <c r="D611" s="14" t="s">
        <v>4087</v>
      </c>
      <c r="E611" s="766" t="s">
        <v>4088</v>
      </c>
      <c r="F611" s="766" t="s">
        <v>28</v>
      </c>
      <c r="G611" s="766" t="s">
        <v>10</v>
      </c>
      <c r="H611" s="761"/>
      <c r="I611" s="5" t="s">
        <v>4089</v>
      </c>
      <c r="J611" s="14" t="s">
        <v>4087</v>
      </c>
      <c r="K611" s="766" t="s">
        <v>4090</v>
      </c>
      <c r="L611" s="766" t="s">
        <v>3966</v>
      </c>
      <c r="M611" s="770" t="s">
        <v>1238</v>
      </c>
      <c r="N611" s="770"/>
      <c r="O611" s="770" t="s">
        <v>3967</v>
      </c>
      <c r="P611" s="14" t="s">
        <v>4091</v>
      </c>
      <c r="Q611" s="1085">
        <v>30731</v>
      </c>
      <c r="R611" s="25">
        <v>33</v>
      </c>
      <c r="S611" s="766" t="s">
        <v>10</v>
      </c>
      <c r="T611" s="766"/>
      <c r="U611" s="5" t="s">
        <v>4089</v>
      </c>
      <c r="V611" s="766" t="s">
        <v>722</v>
      </c>
      <c r="W611" s="766"/>
      <c r="X611" s="766"/>
      <c r="Y611" s="770" t="s">
        <v>4088</v>
      </c>
      <c r="Z611" s="766" t="s">
        <v>708</v>
      </c>
      <c r="AA611" s="766" t="s">
        <v>759</v>
      </c>
      <c r="AB611" s="761" t="s">
        <v>710</v>
      </c>
      <c r="AC611" s="770"/>
      <c r="AD611" s="770" t="s">
        <v>711</v>
      </c>
      <c r="AE611" s="770"/>
      <c r="AF611" s="770" t="s">
        <v>712</v>
      </c>
      <c r="AG611" s="766" t="s">
        <v>1132</v>
      </c>
      <c r="AH611" s="766" t="s">
        <v>1096</v>
      </c>
      <c r="AI611" s="766"/>
      <c r="AJ611" s="766" t="s">
        <v>1137</v>
      </c>
      <c r="AK611" s="766" t="s">
        <v>1101</v>
      </c>
      <c r="AL611" s="120">
        <v>9.1999999999999993</v>
      </c>
      <c r="AM611" s="773">
        <v>9.1999999999999993</v>
      </c>
      <c r="AN611" s="37">
        <f t="shared" si="176"/>
        <v>1</v>
      </c>
      <c r="AO611" s="766" t="s">
        <v>1122</v>
      </c>
      <c r="AP611" s="766"/>
      <c r="AQ611" s="766"/>
      <c r="AR611" s="766"/>
      <c r="AS611" s="766"/>
      <c r="AT611" s="766"/>
      <c r="AU611" s="766"/>
      <c r="AV611" s="766"/>
      <c r="AW611" s="766"/>
      <c r="AX611" s="766"/>
      <c r="AY611" s="766"/>
      <c r="AZ611" s="766"/>
      <c r="BA611" s="766"/>
      <c r="BB611" s="766"/>
      <c r="BC611" s="766"/>
      <c r="BD611" s="766"/>
      <c r="BE611" s="766"/>
      <c r="BF611" s="775"/>
      <c r="BG611" s="775"/>
      <c r="BH611" s="766"/>
      <c r="BI611" s="766"/>
      <c r="BJ611" s="766"/>
      <c r="BK611" s="766" t="s">
        <v>1095</v>
      </c>
      <c r="BL611" s="766" t="s">
        <v>4092</v>
      </c>
      <c r="BM611" s="766" t="s">
        <v>1096</v>
      </c>
      <c r="BN611" s="770" t="s">
        <v>1230</v>
      </c>
      <c r="BO611" s="766" t="s">
        <v>1246</v>
      </c>
      <c r="BP611" s="1109">
        <v>9.1999999999999993</v>
      </c>
      <c r="BQ611" s="773">
        <v>9.1999999999999993</v>
      </c>
      <c r="BR611" s="774">
        <f t="shared" si="177"/>
        <v>1</v>
      </c>
      <c r="BS611" s="766" t="s">
        <v>1257</v>
      </c>
      <c r="BT611" s="766" t="s">
        <v>8133</v>
      </c>
      <c r="BU611" s="766" t="s">
        <v>1249</v>
      </c>
      <c r="BV611" s="766" t="s">
        <v>1247</v>
      </c>
      <c r="BW611" s="766">
        <f>2017-30</f>
        <v>1987</v>
      </c>
      <c r="BX611" s="775"/>
      <c r="BY611" s="766"/>
      <c r="BZ611" s="775"/>
      <c r="CA611" s="766"/>
      <c r="CB611" s="766"/>
      <c r="CC611" s="766"/>
      <c r="CD611" s="766"/>
      <c r="CE611" s="766"/>
      <c r="CF611" s="1783"/>
      <c r="CG611" s="1784"/>
      <c r="CH611" s="766"/>
      <c r="CI611" s="766"/>
      <c r="CJ611" s="766"/>
      <c r="CK611" s="766"/>
      <c r="CL611" s="766"/>
      <c r="CM611" s="766"/>
      <c r="CN611" s="766"/>
      <c r="CO611" s="766"/>
      <c r="CP611" s="766"/>
      <c r="CQ611" s="766"/>
      <c r="CR611" s="775"/>
      <c r="CS611" s="766"/>
      <c r="CT611" s="766"/>
      <c r="CU611" s="129"/>
      <c r="CV611" s="766"/>
      <c r="CW611" s="766"/>
      <c r="CX611" s="766"/>
      <c r="CY611" s="766"/>
      <c r="CZ611" s="766"/>
      <c r="DA611" s="66"/>
      <c r="DB611" s="766"/>
      <c r="DC611" s="766"/>
      <c r="DD611" s="766"/>
      <c r="DE611" s="772"/>
      <c r="DF611" s="766"/>
      <c r="DG611" s="766"/>
      <c r="DH611" s="766"/>
      <c r="DI611" s="766"/>
      <c r="DJ611" s="766"/>
      <c r="DK611" s="766"/>
      <c r="DL611" s="766"/>
      <c r="DM611" s="766"/>
      <c r="DN611" s="44"/>
      <c r="DO611" s="766"/>
      <c r="DP611" s="766"/>
      <c r="DQ611" s="766"/>
      <c r="DR611" s="766"/>
      <c r="DS611" s="59"/>
      <c r="DT611" s="766"/>
      <c r="DU611" s="766"/>
      <c r="DV611" s="766"/>
      <c r="DW611" s="66"/>
      <c r="DX611" s="66"/>
      <c r="DY611" s="766"/>
      <c r="DZ611" s="766"/>
      <c r="EA611" s="766"/>
      <c r="EB611" s="766"/>
      <c r="EC611" s="766"/>
      <c r="ED611" s="766"/>
      <c r="EE611" s="766"/>
      <c r="EF611" s="766"/>
      <c r="EG611" s="766"/>
      <c r="EH611" s="766"/>
      <c r="EI611" s="766"/>
      <c r="EJ611" s="766"/>
      <c r="EK611" s="766"/>
      <c r="EL611" s="766"/>
      <c r="EM611" s="766"/>
      <c r="EN611" s="766"/>
      <c r="EO611" s="766"/>
      <c r="EP611" s="14"/>
      <c r="EQ611" s="766"/>
      <c r="ER611" s="766"/>
      <c r="ES611" s="766"/>
      <c r="ET611" s="766"/>
      <c r="EU611" s="766"/>
      <c r="EV611" s="766"/>
      <c r="EW611" s="766"/>
      <c r="EX611" s="766"/>
      <c r="EY611" s="766"/>
      <c r="EZ611" s="766"/>
      <c r="FA611" s="766"/>
      <c r="FB611" s="766"/>
      <c r="FC611" s="766"/>
      <c r="FD611" s="775"/>
      <c r="FE611" s="766"/>
      <c r="FF611" s="766"/>
      <c r="FG611" s="766"/>
      <c r="FH611" s="766" t="s">
        <v>478</v>
      </c>
      <c r="FI611" s="766">
        <v>1</v>
      </c>
      <c r="FJ611" s="766"/>
      <c r="FK611" s="766"/>
      <c r="FL611" s="766"/>
      <c r="FM611" s="775"/>
      <c r="FN611" s="775"/>
      <c r="FO611" s="775"/>
      <c r="FP611" s="766" t="s">
        <v>1602</v>
      </c>
      <c r="FQ611" s="766" t="s">
        <v>1660</v>
      </c>
      <c r="FR611" s="766" t="s">
        <v>1214</v>
      </c>
      <c r="FS611" s="766"/>
      <c r="FT611" s="766"/>
      <c r="FU611" s="766"/>
      <c r="FV611" s="766"/>
      <c r="FW611" s="766"/>
      <c r="FX611" s="766"/>
      <c r="FY611" s="766"/>
      <c r="FZ611" s="766"/>
      <c r="GA611" s="766"/>
      <c r="GB611" s="766" t="s">
        <v>4093</v>
      </c>
      <c r="GC611" s="75" t="s">
        <v>4094</v>
      </c>
      <c r="GD611" s="25">
        <v>1987</v>
      </c>
      <c r="GE611" s="766" t="s">
        <v>1214</v>
      </c>
      <c r="GF611" s="775"/>
      <c r="GG611" s="775"/>
      <c r="GH611" s="712" t="s">
        <v>1791</v>
      </c>
      <c r="GI611" s="766"/>
      <c r="GJ611" s="766"/>
      <c r="GK611" s="770" t="s">
        <v>2345</v>
      </c>
      <c r="GL611" s="766"/>
      <c r="GM611" s="766"/>
      <c r="GN611" s="121">
        <v>50</v>
      </c>
      <c r="GO611" s="766"/>
      <c r="GP611" s="766" t="s">
        <v>1208</v>
      </c>
      <c r="GQ611" s="766" t="s">
        <v>1208</v>
      </c>
      <c r="GR611" s="766" t="s">
        <v>1208</v>
      </c>
      <c r="GS611" s="766" t="s">
        <v>1208</v>
      </c>
      <c r="GT611" s="766" t="s">
        <v>1208</v>
      </c>
      <c r="GU611" s="766"/>
      <c r="GV611" s="766"/>
      <c r="GW611" s="766" t="s">
        <v>1207</v>
      </c>
      <c r="GX611" s="766"/>
      <c r="GY611" s="766" t="s">
        <v>1208</v>
      </c>
      <c r="GZ611" s="766" t="s">
        <v>1208</v>
      </c>
      <c r="HA611" s="766" t="s">
        <v>1208</v>
      </c>
      <c r="HB611" s="766" t="s">
        <v>1208</v>
      </c>
      <c r="HC611" s="766" t="s">
        <v>1208</v>
      </c>
      <c r="HD611" s="766" t="s">
        <v>1208</v>
      </c>
      <c r="HE611" s="766" t="s">
        <v>1208</v>
      </c>
      <c r="HF611" s="766"/>
      <c r="HG611" s="766"/>
      <c r="HH611" s="766"/>
      <c r="HI611" s="766" t="s">
        <v>1214</v>
      </c>
      <c r="HJ611" s="766"/>
      <c r="HK611" s="770"/>
      <c r="HL611" s="766" t="s">
        <v>1214</v>
      </c>
      <c r="HM611" s="766"/>
      <c r="HN611" s="766"/>
      <c r="HO611" s="766"/>
      <c r="HP611" s="766"/>
      <c r="HQ611" s="766"/>
      <c r="HR611" s="766"/>
      <c r="HS611" s="766"/>
      <c r="HT611" s="766"/>
      <c r="HU611" s="766"/>
      <c r="HV611" s="766"/>
      <c r="HW611" s="766"/>
      <c r="HX611" s="766"/>
      <c r="HY611" s="766"/>
      <c r="HZ611" s="766"/>
      <c r="IA611" s="766"/>
      <c r="IB611" s="14" t="e">
        <f>IF(#REF!&gt;0,IF(#REF!&lt;=10000,"Y",""),"")</f>
        <v>#REF!</v>
      </c>
      <c r="IC611" s="766"/>
      <c r="ID611" s="766"/>
      <c r="IE611" s="766"/>
      <c r="IF611" s="766"/>
      <c r="IG611" s="766"/>
      <c r="IH611" s="766"/>
      <c r="II611" s="770"/>
      <c r="IJ611" s="766"/>
      <c r="IK611" s="770"/>
      <c r="IL611" s="766"/>
      <c r="IM611" s="766"/>
      <c r="IN611" s="766"/>
      <c r="IO611" s="24"/>
      <c r="IP611" s="766"/>
      <c r="IQ611" s="766"/>
      <c r="IR611" s="766"/>
      <c r="IS611" s="766"/>
      <c r="IT611" s="766"/>
      <c r="IU611" s="766"/>
      <c r="IV611" s="766"/>
      <c r="IW611" s="766"/>
      <c r="IX611" s="766"/>
      <c r="IY611" s="766"/>
      <c r="IZ611" s="761"/>
      <c r="JA611" s="766"/>
      <c r="JB611" s="770"/>
      <c r="JC611" s="766"/>
      <c r="JD611" s="775"/>
      <c r="JE611" s="766"/>
      <c r="JF611" s="766"/>
      <c r="JG611" s="766"/>
      <c r="JH611" s="59"/>
      <c r="JI611" s="712" t="str">
        <f>IF(SUM(JT611,JU611)=JJ611,"ok","review")</f>
        <v>ok</v>
      </c>
      <c r="JJ611" s="766">
        <v>2</v>
      </c>
      <c r="JK611" s="1139" t="s">
        <v>4095</v>
      </c>
      <c r="JL611" s="766"/>
      <c r="JM611" s="766"/>
      <c r="JN611" s="766">
        <v>1</v>
      </c>
      <c r="JO611" s="766">
        <v>1</v>
      </c>
      <c r="JP611" s="766"/>
      <c r="JQ611" s="766"/>
      <c r="JR611" s="766"/>
      <c r="JS611" s="766"/>
      <c r="JT611" s="766">
        <f t="shared" si="178"/>
        <v>1</v>
      </c>
      <c r="JU611" s="766">
        <f t="shared" si="178"/>
        <v>1</v>
      </c>
      <c r="JV611" s="712" t="str">
        <f t="shared" si="179"/>
        <v>ok</v>
      </c>
      <c r="JW611" s="712" t="str">
        <f t="shared" si="180"/>
        <v>ok</v>
      </c>
      <c r="JX611" s="770"/>
      <c r="JY611" s="770"/>
      <c r="JZ611" s="770"/>
      <c r="KA611" s="770"/>
      <c r="KB611" s="770"/>
      <c r="KC611" s="770"/>
      <c r="KD611" s="770">
        <v>1</v>
      </c>
      <c r="KE611" s="770">
        <v>1</v>
      </c>
      <c r="KF611" s="770"/>
      <c r="KG611" s="770"/>
      <c r="KH611" s="770"/>
      <c r="KI611" s="770"/>
      <c r="KJ611" s="770">
        <f t="shared" si="168"/>
        <v>1</v>
      </c>
      <c r="KK611" s="770">
        <f t="shared" si="168"/>
        <v>1</v>
      </c>
      <c r="KL611" s="712" t="str">
        <f t="shared" si="181"/>
        <v>ok</v>
      </c>
      <c r="KM611" s="712" t="str">
        <f t="shared" si="182"/>
        <v>ok</v>
      </c>
      <c r="KN611" s="766" t="s">
        <v>722</v>
      </c>
      <c r="KO611" s="766"/>
      <c r="KP611" s="766"/>
      <c r="KQ611" s="766"/>
      <c r="KR611" s="766"/>
      <c r="KS611" s="766"/>
      <c r="KT611" s="766"/>
      <c r="KU611" s="766"/>
      <c r="KV611" s="766"/>
      <c r="KW611" s="766"/>
      <c r="KX611" s="766"/>
      <c r="KY611" s="766"/>
      <c r="KZ611" s="766">
        <v>1</v>
      </c>
      <c r="LA611" s="766">
        <v>1</v>
      </c>
      <c r="LB611" s="766"/>
      <c r="LC611" s="766"/>
      <c r="LD611" s="766"/>
      <c r="LE611" s="766"/>
      <c r="LF611" s="766"/>
      <c r="LG611" s="766"/>
      <c r="LH611" s="766"/>
      <c r="LI611" s="766"/>
      <c r="LJ611" s="766"/>
      <c r="LK611" s="766"/>
      <c r="LL611" s="766"/>
      <c r="LM611" s="766"/>
      <c r="LN611" s="766">
        <f t="shared" si="159"/>
        <v>1</v>
      </c>
      <c r="LO611" s="766">
        <f t="shared" si="159"/>
        <v>1</v>
      </c>
      <c r="LP611" s="766">
        <v>1</v>
      </c>
      <c r="LQ611" s="766">
        <v>1</v>
      </c>
      <c r="LR611" s="766"/>
      <c r="LS611" s="766"/>
      <c r="LT611" s="712" t="str">
        <f t="shared" si="183"/>
        <v>OK</v>
      </c>
      <c r="LU611" s="766">
        <v>1</v>
      </c>
      <c r="LV611" s="766"/>
      <c r="LW611" s="766"/>
      <c r="LX611" s="769">
        <v>1</v>
      </c>
      <c r="LY611" s="766" t="str">
        <f t="shared" si="160"/>
        <v>within the BRGY</v>
      </c>
      <c r="LZ611" s="1696"/>
      <c r="MA611" s="1696"/>
      <c r="MB611" s="1696"/>
      <c r="MC611" s="1679">
        <f t="shared" si="158"/>
        <v>0</v>
      </c>
      <c r="MD611" s="1696">
        <v>12000</v>
      </c>
      <c r="ME611" s="1696"/>
      <c r="MF611" s="1696"/>
      <c r="MG611" s="1680">
        <f t="shared" si="184"/>
        <v>12000</v>
      </c>
      <c r="MH611" s="766" t="s">
        <v>2986</v>
      </c>
      <c r="MI611" s="775">
        <v>3000</v>
      </c>
      <c r="MJ611" s="775">
        <v>240</v>
      </c>
      <c r="MK611" s="775">
        <v>1000</v>
      </c>
      <c r="ML611" s="775">
        <v>500</v>
      </c>
      <c r="MM611" s="775"/>
      <c r="MN611" s="775"/>
      <c r="MO611" s="775">
        <v>150</v>
      </c>
      <c r="MP611" s="775">
        <v>480</v>
      </c>
      <c r="MQ611" s="775">
        <v>300</v>
      </c>
      <c r="MR611" s="775">
        <v>550</v>
      </c>
      <c r="MS611" s="775">
        <f>500/12</f>
        <v>41.666666666666664</v>
      </c>
      <c r="MT611" s="775"/>
      <c r="MU611" s="775"/>
      <c r="MV611" s="775"/>
      <c r="MW611" s="775"/>
      <c r="MX611" s="775"/>
      <c r="MY611" s="1682">
        <f t="shared" si="165"/>
        <v>6261.666666666667</v>
      </c>
      <c r="MZ611" s="770" t="s">
        <v>13370</v>
      </c>
      <c r="NA611" s="770" t="s">
        <v>13005</v>
      </c>
      <c r="NB611" s="770" t="s">
        <v>13016</v>
      </c>
      <c r="NC611" s="770" t="s">
        <v>13602</v>
      </c>
      <c r="ND611" s="766">
        <v>0</v>
      </c>
      <c r="NE611" s="766">
        <v>0</v>
      </c>
      <c r="NF611" s="766">
        <v>0</v>
      </c>
      <c r="NG611" s="766">
        <v>1</v>
      </c>
      <c r="NH611" s="766">
        <v>0</v>
      </c>
      <c r="NI611" s="766">
        <v>1</v>
      </c>
      <c r="NJ611" s="766">
        <v>0</v>
      </c>
      <c r="NK611" s="766">
        <v>0</v>
      </c>
      <c r="NL611" s="766">
        <v>0</v>
      </c>
      <c r="NM611" s="766">
        <v>0</v>
      </c>
      <c r="NN611" s="766">
        <v>0</v>
      </c>
      <c r="NO611" s="766">
        <v>0</v>
      </c>
      <c r="NP611" s="766">
        <v>0</v>
      </c>
      <c r="NQ611" s="766">
        <v>0</v>
      </c>
      <c r="NR611" s="766">
        <v>0</v>
      </c>
      <c r="NS611" s="766">
        <v>0</v>
      </c>
      <c r="NT611" s="766">
        <v>0</v>
      </c>
      <c r="NU611" s="766">
        <v>0</v>
      </c>
      <c r="NV611" s="766">
        <v>0</v>
      </c>
      <c r="NW611" s="766">
        <v>0</v>
      </c>
      <c r="NX611" s="766">
        <v>0</v>
      </c>
      <c r="NY611" s="766" t="s">
        <v>1208</v>
      </c>
      <c r="NZ611" s="766"/>
      <c r="OA611" s="766"/>
      <c r="OB611" s="766" t="s">
        <v>1208</v>
      </c>
      <c r="OC611" s="766" t="s">
        <v>1208</v>
      </c>
      <c r="OD611" s="766" t="s">
        <v>1208</v>
      </c>
      <c r="OE611" s="766"/>
      <c r="OF611" s="770"/>
      <c r="OG611" s="766"/>
      <c r="OH611" s="766"/>
      <c r="OI611" s="766"/>
      <c r="OJ611" s="766"/>
      <c r="OK611" s="766"/>
      <c r="OL611" s="766"/>
      <c r="OM611" s="766"/>
      <c r="ON611" s="766"/>
      <c r="OO611" s="766"/>
      <c r="OP611" s="766"/>
      <c r="OQ611" s="766"/>
      <c r="OR611" s="766"/>
      <c r="OS611" s="766"/>
      <c r="OT611" s="766"/>
      <c r="OU611" s="766"/>
      <c r="OV611" s="766"/>
      <c r="OW611" s="766"/>
      <c r="OX611" s="766"/>
      <c r="OY611" s="766"/>
      <c r="OZ611" s="766"/>
      <c r="PA611" s="766"/>
      <c r="PB611" s="766"/>
      <c r="PC611" s="766"/>
      <c r="PD611" s="766"/>
      <c r="PE611" s="766"/>
      <c r="PF611" s="766"/>
      <c r="PG611" s="766"/>
      <c r="PH611" s="766"/>
      <c r="PI611" s="766"/>
      <c r="PJ611" s="766"/>
      <c r="PK611" s="766" t="s">
        <v>1208</v>
      </c>
      <c r="PL611" s="766"/>
      <c r="PM611" s="766"/>
      <c r="PN611" s="766"/>
      <c r="PO611" s="766"/>
      <c r="PP611" s="766"/>
      <c r="PQ611" s="766"/>
      <c r="PR611" s="766"/>
      <c r="PS611" s="766" t="s">
        <v>1208</v>
      </c>
      <c r="PT611" s="766" t="s">
        <v>1208</v>
      </c>
      <c r="PU611" s="766"/>
      <c r="PV611" s="766"/>
      <c r="PW611" s="766"/>
      <c r="PX611" s="766"/>
      <c r="PY611" s="766"/>
      <c r="PZ611" s="766"/>
      <c r="QA611" s="766"/>
      <c r="QB611" s="766"/>
      <c r="QC611" s="766"/>
      <c r="QD611" s="766"/>
      <c r="QE611" s="766"/>
      <c r="QF611" s="766"/>
      <c r="QG611" s="766"/>
      <c r="QH611" s="766"/>
      <c r="QI611" s="766"/>
      <c r="QJ611" s="766"/>
      <c r="QK611" s="766"/>
      <c r="QL611" s="766"/>
      <c r="QM611" s="766"/>
      <c r="QN611" s="766"/>
      <c r="QO611" s="766"/>
      <c r="QP611" s="766"/>
      <c r="QQ611" s="766"/>
      <c r="QR611" s="766"/>
      <c r="QS611" s="766"/>
      <c r="QT611" s="766"/>
      <c r="QU611" s="766"/>
      <c r="QV611" s="766"/>
      <c r="QW611" s="766"/>
      <c r="QX611" s="766"/>
      <c r="QY611" s="766"/>
      <c r="QZ611" s="766"/>
      <c r="RA611" s="766"/>
      <c r="RB611" s="766" t="s">
        <v>1207</v>
      </c>
      <c r="RC611" s="766">
        <v>2014</v>
      </c>
      <c r="RD611" s="766" t="s">
        <v>13046</v>
      </c>
      <c r="RE611" s="766"/>
      <c r="RF611" s="304">
        <f>CONVERT(2,"ft","m")</f>
        <v>0.60960000000000003</v>
      </c>
      <c r="RG611" s="766" t="s">
        <v>13724</v>
      </c>
      <c r="RH611" s="775">
        <v>0</v>
      </c>
      <c r="RI611" s="766">
        <v>5</v>
      </c>
      <c r="RJ611" s="766" t="s">
        <v>4095</v>
      </c>
      <c r="RK611" s="770" t="s">
        <v>13552</v>
      </c>
      <c r="RL611" s="1683">
        <v>42833</v>
      </c>
      <c r="RM611" s="761"/>
      <c r="RN611" s="1791"/>
      <c r="RO611" s="132" t="s">
        <v>4086</v>
      </c>
      <c r="RR611" s="17" t="s">
        <v>7421</v>
      </c>
      <c r="RS611" s="1139" t="s">
        <v>12980</v>
      </c>
      <c r="RV611" s="771" t="s">
        <v>13808</v>
      </c>
      <c r="RW611" s="35" t="s">
        <v>7726</v>
      </c>
      <c r="RX611" s="35" t="s">
        <v>3955</v>
      </c>
      <c r="RZ611" s="35" t="s">
        <v>1101</v>
      </c>
      <c r="SA611" s="771"/>
    </row>
    <row r="612" spans="1:495" s="35" customFormat="1" ht="12.75" customHeight="1">
      <c r="A612" s="771" t="s">
        <v>7421</v>
      </c>
      <c r="B612" s="752" t="s">
        <v>7397</v>
      </c>
      <c r="C612" s="132" t="s">
        <v>4096</v>
      </c>
      <c r="D612" s="14" t="s">
        <v>4098</v>
      </c>
      <c r="E612" s="766" t="s">
        <v>4099</v>
      </c>
      <c r="F612" s="766" t="s">
        <v>28</v>
      </c>
      <c r="G612" s="766" t="s">
        <v>18</v>
      </c>
      <c r="H612" s="761"/>
      <c r="I612" s="5"/>
      <c r="J612" s="14" t="s">
        <v>4098</v>
      </c>
      <c r="K612" s="766" t="s">
        <v>3965</v>
      </c>
      <c r="L612" s="766" t="s">
        <v>3966</v>
      </c>
      <c r="M612" s="770" t="s">
        <v>1238</v>
      </c>
      <c r="N612" s="770"/>
      <c r="O612" s="770" t="s">
        <v>3967</v>
      </c>
      <c r="P612" s="14" t="s">
        <v>4100</v>
      </c>
      <c r="Q612" s="1085">
        <v>35798</v>
      </c>
      <c r="R612" s="25">
        <v>19</v>
      </c>
      <c r="S612" s="766" t="s">
        <v>18</v>
      </c>
      <c r="T612" s="766"/>
      <c r="U612" s="5"/>
      <c r="V612" s="766" t="s">
        <v>768</v>
      </c>
      <c r="W612" s="766"/>
      <c r="X612" s="766"/>
      <c r="Y612" s="770" t="s">
        <v>4099</v>
      </c>
      <c r="Z612" s="766" t="s">
        <v>708</v>
      </c>
      <c r="AA612" s="766" t="s">
        <v>709</v>
      </c>
      <c r="AB612" s="766" t="s">
        <v>7273</v>
      </c>
      <c r="AC612" s="770" t="s">
        <v>724</v>
      </c>
      <c r="AD612" s="770"/>
      <c r="AE612" s="770"/>
      <c r="AF612" s="770" t="s">
        <v>712</v>
      </c>
      <c r="AG612" s="766" t="s">
        <v>1132</v>
      </c>
      <c r="AH612" s="766" t="s">
        <v>1096</v>
      </c>
      <c r="AI612" s="766"/>
      <c r="AJ612" s="766" t="s">
        <v>1137</v>
      </c>
      <c r="AK612" s="766" t="s">
        <v>1101</v>
      </c>
      <c r="AL612" s="120">
        <v>7.38</v>
      </c>
      <c r="AM612" s="773">
        <v>7.38</v>
      </c>
      <c r="AN612" s="37">
        <f t="shared" si="176"/>
        <v>1</v>
      </c>
      <c r="AO612" s="766" t="s">
        <v>1122</v>
      </c>
      <c r="AP612" s="766"/>
      <c r="AQ612" s="766"/>
      <c r="AR612" s="766"/>
      <c r="AS612" s="766"/>
      <c r="AT612" s="766"/>
      <c r="AU612" s="766"/>
      <c r="AV612" s="766"/>
      <c r="AW612" s="766"/>
      <c r="AX612" s="766"/>
      <c r="AY612" s="766"/>
      <c r="AZ612" s="766"/>
      <c r="BA612" s="766"/>
      <c r="BB612" s="766"/>
      <c r="BC612" s="766"/>
      <c r="BD612" s="766"/>
      <c r="BE612" s="766"/>
      <c r="BF612" s="775"/>
      <c r="BG612" s="775"/>
      <c r="BH612" s="766"/>
      <c r="BI612" s="766"/>
      <c r="BJ612" s="766"/>
      <c r="BK612" s="766" t="s">
        <v>1095</v>
      </c>
      <c r="BL612" s="766" t="s">
        <v>4101</v>
      </c>
      <c r="BM612" s="766" t="s">
        <v>1096</v>
      </c>
      <c r="BN612" s="770" t="s">
        <v>1230</v>
      </c>
      <c r="BO612" s="766" t="s">
        <v>1246</v>
      </c>
      <c r="BP612" s="1109">
        <v>7.38</v>
      </c>
      <c r="BQ612" s="773">
        <v>7.38</v>
      </c>
      <c r="BR612" s="774">
        <f t="shared" si="177"/>
        <v>1</v>
      </c>
      <c r="BS612" s="766" t="s">
        <v>1257</v>
      </c>
      <c r="BT612" s="766" t="s">
        <v>1326</v>
      </c>
      <c r="BU612" s="766" t="s">
        <v>1264</v>
      </c>
      <c r="BV612" s="766" t="s">
        <v>1291</v>
      </c>
      <c r="BW612" s="766">
        <v>2012</v>
      </c>
      <c r="BX612" s="775"/>
      <c r="BY612" s="766"/>
      <c r="BZ612" s="775"/>
      <c r="CA612" s="766"/>
      <c r="CB612" s="766"/>
      <c r="CC612" s="766"/>
      <c r="CD612" s="766"/>
      <c r="CE612" s="766"/>
      <c r="CF612" s="1783"/>
      <c r="CG612" s="1784"/>
      <c r="CH612" s="766"/>
      <c r="CI612" s="766"/>
      <c r="CJ612" s="766"/>
      <c r="CK612" s="766"/>
      <c r="CL612" s="766"/>
      <c r="CM612" s="766"/>
      <c r="CN612" s="766"/>
      <c r="CO612" s="766"/>
      <c r="CP612" s="766"/>
      <c r="CQ612" s="766"/>
      <c r="CR612" s="775"/>
      <c r="CS612" s="766"/>
      <c r="CT612" s="766"/>
      <c r="CU612" s="129"/>
      <c r="CV612" s="766"/>
      <c r="CW612" s="766"/>
      <c r="CX612" s="766"/>
      <c r="CY612" s="766"/>
      <c r="CZ612" s="766"/>
      <c r="DA612" s="66"/>
      <c r="DB612" s="766"/>
      <c r="DC612" s="766"/>
      <c r="DD612" s="766"/>
      <c r="DE612" s="772"/>
      <c r="DF612" s="766"/>
      <c r="DG612" s="766"/>
      <c r="DH612" s="766"/>
      <c r="DI612" s="766"/>
      <c r="DJ612" s="766"/>
      <c r="DK612" s="766"/>
      <c r="DL612" s="766"/>
      <c r="DM612" s="766"/>
      <c r="DN612" s="44"/>
      <c r="DO612" s="766"/>
      <c r="DP612" s="766"/>
      <c r="DQ612" s="766"/>
      <c r="DR612" s="766"/>
      <c r="DS612" s="59"/>
      <c r="DT612" s="766"/>
      <c r="DU612" s="766"/>
      <c r="DV612" s="766"/>
      <c r="DW612" s="66"/>
      <c r="DX612" s="66"/>
      <c r="DY612" s="766"/>
      <c r="DZ612" s="766"/>
      <c r="EA612" s="766"/>
      <c r="EB612" s="766"/>
      <c r="EC612" s="766"/>
      <c r="ED612" s="766"/>
      <c r="EE612" s="766"/>
      <c r="EF612" s="766"/>
      <c r="EG612" s="766"/>
      <c r="EH612" s="766"/>
      <c r="EI612" s="766"/>
      <c r="EJ612" s="766"/>
      <c r="EK612" s="766"/>
      <c r="EL612" s="766"/>
      <c r="EM612" s="766"/>
      <c r="EN612" s="766"/>
      <c r="EO612" s="766"/>
      <c r="EP612" s="14"/>
      <c r="EQ612" s="766"/>
      <c r="ER612" s="766"/>
      <c r="ES612" s="766"/>
      <c r="ET612" s="766"/>
      <c r="EU612" s="766"/>
      <c r="EV612" s="766"/>
      <c r="EW612" s="766"/>
      <c r="EX612" s="766"/>
      <c r="EY612" s="766"/>
      <c r="EZ612" s="766"/>
      <c r="FA612" s="766"/>
      <c r="FB612" s="766"/>
      <c r="FC612" s="766"/>
      <c r="FD612" s="775"/>
      <c r="FE612" s="766"/>
      <c r="FF612" s="766"/>
      <c r="FG612" s="766"/>
      <c r="FH612" s="766" t="s">
        <v>478</v>
      </c>
      <c r="FI612" s="766">
        <v>1</v>
      </c>
      <c r="FJ612" s="766"/>
      <c r="FK612" s="766"/>
      <c r="FL612" s="766"/>
      <c r="FM612" s="775"/>
      <c r="FN612" s="775"/>
      <c r="FO612" s="775"/>
      <c r="FP612" s="766" t="s">
        <v>1602</v>
      </c>
      <c r="FQ612" s="766" t="s">
        <v>1660</v>
      </c>
      <c r="FR612" s="766" t="s">
        <v>1214</v>
      </c>
      <c r="FS612" s="766"/>
      <c r="FT612" s="766"/>
      <c r="FU612" s="766"/>
      <c r="FV612" s="766"/>
      <c r="FW612" s="766"/>
      <c r="FX612" s="766"/>
      <c r="FY612" s="766"/>
      <c r="FZ612" s="766"/>
      <c r="GA612" s="766"/>
      <c r="GB612" s="766" t="s">
        <v>1734</v>
      </c>
      <c r="GC612" s="75"/>
      <c r="GD612" s="25">
        <v>2012</v>
      </c>
      <c r="GE612" s="766" t="s">
        <v>1214</v>
      </c>
      <c r="GF612" s="775"/>
      <c r="GG612" s="775"/>
      <c r="GH612" s="712" t="s">
        <v>1791</v>
      </c>
      <c r="GI612" s="766"/>
      <c r="GJ612" s="766"/>
      <c r="GK612" s="770" t="s">
        <v>2345</v>
      </c>
      <c r="GL612" s="766"/>
      <c r="GM612" s="766"/>
      <c r="GN612" s="121"/>
      <c r="GO612" s="770" t="s">
        <v>2770</v>
      </c>
      <c r="GP612" s="766"/>
      <c r="GQ612" s="766"/>
      <c r="GR612" s="766"/>
      <c r="GS612" s="766"/>
      <c r="GT612" s="766"/>
      <c r="GU612" s="766"/>
      <c r="GV612" s="766"/>
      <c r="GW612" s="766" t="s">
        <v>1207</v>
      </c>
      <c r="GX612" s="766"/>
      <c r="GY612" s="766"/>
      <c r="GZ612" s="766"/>
      <c r="HA612" s="766"/>
      <c r="HB612" s="766"/>
      <c r="HC612" s="766"/>
      <c r="HD612" s="766"/>
      <c r="HE612" s="766"/>
      <c r="HF612" s="766"/>
      <c r="HG612" s="766"/>
      <c r="HH612" s="766"/>
      <c r="HI612" s="766" t="s">
        <v>1207</v>
      </c>
      <c r="HJ612" s="766" t="s">
        <v>3970</v>
      </c>
      <c r="HK612" s="770" t="s">
        <v>4102</v>
      </c>
      <c r="HL612" s="766" t="s">
        <v>1214</v>
      </c>
      <c r="HM612" s="766"/>
      <c r="HN612" s="766"/>
      <c r="HO612" s="766" t="s">
        <v>1207</v>
      </c>
      <c r="HP612" s="766" t="s">
        <v>3970</v>
      </c>
      <c r="HQ612" s="766" t="s">
        <v>4103</v>
      </c>
      <c r="HR612" s="766"/>
      <c r="HS612" s="766"/>
      <c r="HT612" s="766"/>
      <c r="HU612" s="766"/>
      <c r="HV612" s="766"/>
      <c r="HW612" s="766"/>
      <c r="HX612" s="766"/>
      <c r="HY612" s="766"/>
      <c r="HZ612" s="766"/>
      <c r="IA612" s="766"/>
      <c r="IB612" s="14" t="e">
        <f>IF(#REF!&gt;0,IF(#REF!&lt;=10000,"Y",""),"")</f>
        <v>#REF!</v>
      </c>
      <c r="IC612" s="766" t="s">
        <v>1207</v>
      </c>
      <c r="ID612" s="766"/>
      <c r="IE612" s="766"/>
      <c r="IF612" s="766"/>
      <c r="IG612" s="766"/>
      <c r="IH612" s="766"/>
      <c r="II612" s="770"/>
      <c r="IJ612" s="766"/>
      <c r="IK612" s="770"/>
      <c r="IL612" s="766"/>
      <c r="IM612" s="766"/>
      <c r="IN612" s="766"/>
      <c r="IO612" s="24"/>
      <c r="IP612" s="766"/>
      <c r="IQ612" s="766"/>
      <c r="IR612" s="766"/>
      <c r="IS612" s="766"/>
      <c r="IT612" s="766"/>
      <c r="IU612" s="766"/>
      <c r="IV612" s="766"/>
      <c r="IW612" s="766"/>
      <c r="IX612" s="766"/>
      <c r="IY612" s="766"/>
      <c r="IZ612" s="761"/>
      <c r="JA612" s="766"/>
      <c r="JB612" s="770"/>
      <c r="JC612" s="766"/>
      <c r="JD612" s="775"/>
      <c r="JE612" s="766"/>
      <c r="JF612" s="766"/>
      <c r="JG612" s="766"/>
      <c r="JH612" s="59"/>
      <c r="JI612" s="59"/>
      <c r="JJ612" s="766">
        <v>6</v>
      </c>
      <c r="JK612" s="1139" t="s">
        <v>4097</v>
      </c>
      <c r="JL612" s="766">
        <v>1</v>
      </c>
      <c r="JM612" s="766">
        <v>2</v>
      </c>
      <c r="JN612" s="766">
        <v>1</v>
      </c>
      <c r="JO612" s="766">
        <v>2</v>
      </c>
      <c r="JP612" s="766"/>
      <c r="JQ612" s="766"/>
      <c r="JR612" s="766"/>
      <c r="JS612" s="766"/>
      <c r="JT612" s="766">
        <f t="shared" si="178"/>
        <v>2</v>
      </c>
      <c r="JU612" s="766">
        <f t="shared" si="178"/>
        <v>4</v>
      </c>
      <c r="JV612" s="712" t="str">
        <f t="shared" si="179"/>
        <v>ok</v>
      </c>
      <c r="JW612" s="712" t="str">
        <f t="shared" si="180"/>
        <v>ok</v>
      </c>
      <c r="JX612" s="770"/>
      <c r="JY612" s="770">
        <v>1</v>
      </c>
      <c r="JZ612" s="770">
        <v>1</v>
      </c>
      <c r="KA612" s="770">
        <v>2</v>
      </c>
      <c r="KB612" s="770"/>
      <c r="KC612" s="770">
        <v>1</v>
      </c>
      <c r="KD612" s="770">
        <v>1</v>
      </c>
      <c r="KE612" s="770"/>
      <c r="KF612" s="770"/>
      <c r="KG612" s="770"/>
      <c r="KH612" s="770"/>
      <c r="KI612" s="770"/>
      <c r="KJ612" s="770">
        <f t="shared" si="168"/>
        <v>2</v>
      </c>
      <c r="KK612" s="770">
        <f t="shared" si="168"/>
        <v>4</v>
      </c>
      <c r="KL612" s="712" t="str">
        <f t="shared" si="181"/>
        <v>ok</v>
      </c>
      <c r="KM612" s="712" t="str">
        <f t="shared" si="182"/>
        <v>ok</v>
      </c>
      <c r="KN612" s="766" t="s">
        <v>768</v>
      </c>
      <c r="KO612" s="766"/>
      <c r="KP612" s="766"/>
      <c r="KQ612" s="766"/>
      <c r="KR612" s="766"/>
      <c r="KS612" s="766"/>
      <c r="KT612" s="766">
        <v>1</v>
      </c>
      <c r="KU612" s="766">
        <v>1</v>
      </c>
      <c r="KV612" s="766"/>
      <c r="KW612" s="766"/>
      <c r="KX612" s="766"/>
      <c r="KY612" s="766"/>
      <c r="KZ612" s="766">
        <v>1</v>
      </c>
      <c r="LA612" s="766">
        <v>1</v>
      </c>
      <c r="LB612" s="766"/>
      <c r="LC612" s="766">
        <v>1</v>
      </c>
      <c r="LD612" s="766"/>
      <c r="LE612" s="766"/>
      <c r="LF612" s="766"/>
      <c r="LG612" s="766"/>
      <c r="LH612" s="766"/>
      <c r="LI612" s="766"/>
      <c r="LJ612" s="766"/>
      <c r="LK612" s="766">
        <v>1</v>
      </c>
      <c r="LL612" s="766"/>
      <c r="LM612" s="766"/>
      <c r="LN612" s="766">
        <f t="shared" si="159"/>
        <v>2</v>
      </c>
      <c r="LO612" s="766">
        <f t="shared" si="159"/>
        <v>4</v>
      </c>
      <c r="LP612" s="766">
        <v>2</v>
      </c>
      <c r="LQ612" s="766">
        <v>2</v>
      </c>
      <c r="LR612" s="766"/>
      <c r="LS612" s="766"/>
      <c r="LT612" s="712" t="str">
        <f t="shared" si="183"/>
        <v>OK</v>
      </c>
      <c r="LU612" s="766">
        <v>2</v>
      </c>
      <c r="LV612" s="766"/>
      <c r="LW612" s="766"/>
      <c r="LX612" s="769">
        <v>3</v>
      </c>
      <c r="LY612" s="766" t="str">
        <f t="shared" si="160"/>
        <v>within the PROVINCE</v>
      </c>
      <c r="LZ612" s="1696">
        <f>32*26</f>
        <v>832</v>
      </c>
      <c r="MA612" s="1696"/>
      <c r="MB612" s="1696"/>
      <c r="MC612" s="1679">
        <f t="shared" si="158"/>
        <v>832</v>
      </c>
      <c r="MD612" s="1696">
        <f>SUM(2500*4,3000*4)</f>
        <v>22000</v>
      </c>
      <c r="ME612" s="1696"/>
      <c r="MF612" s="1696"/>
      <c r="MG612" s="1680">
        <f t="shared" si="184"/>
        <v>22000</v>
      </c>
      <c r="MH612" s="766" t="s">
        <v>2225</v>
      </c>
      <c r="MI612" s="775">
        <v>12000</v>
      </c>
      <c r="MJ612" s="775">
        <f>32*30</f>
        <v>960</v>
      </c>
      <c r="MK612" s="775">
        <v>3000</v>
      </c>
      <c r="ML612" s="775"/>
      <c r="MM612" s="775">
        <f>200*30</f>
        <v>6000</v>
      </c>
      <c r="MN612" s="761"/>
      <c r="MO612" s="775"/>
      <c r="MP612" s="775">
        <f>45*30</f>
        <v>1350</v>
      </c>
      <c r="MQ612" s="775">
        <v>300</v>
      </c>
      <c r="MR612" s="775">
        <v>140</v>
      </c>
      <c r="MS612" s="775">
        <v>200</v>
      </c>
      <c r="MT612" s="761"/>
      <c r="MU612" s="775"/>
      <c r="MV612" s="775"/>
      <c r="MW612" s="775"/>
      <c r="MX612" s="775"/>
      <c r="MY612" s="1682">
        <f t="shared" si="165"/>
        <v>23950</v>
      </c>
      <c r="MZ612" s="770" t="s">
        <v>13395</v>
      </c>
      <c r="NA612" s="770" t="s">
        <v>13005</v>
      </c>
      <c r="NB612" s="770" t="s">
        <v>13016</v>
      </c>
      <c r="NC612" s="770" t="s">
        <v>13621</v>
      </c>
      <c r="ND612" s="766">
        <v>0</v>
      </c>
      <c r="NE612" s="766">
        <v>0</v>
      </c>
      <c r="NF612" s="766">
        <v>0</v>
      </c>
      <c r="NG612" s="766">
        <v>2</v>
      </c>
      <c r="NH612" s="766">
        <v>1</v>
      </c>
      <c r="NI612" s="766">
        <v>0</v>
      </c>
      <c r="NJ612" s="766">
        <v>0</v>
      </c>
      <c r="NK612" s="766">
        <v>0</v>
      </c>
      <c r="NL612" s="766">
        <v>0</v>
      </c>
      <c r="NM612" s="766">
        <v>1</v>
      </c>
      <c r="NN612" s="766">
        <v>0</v>
      </c>
      <c r="NO612" s="766">
        <v>0</v>
      </c>
      <c r="NP612" s="766">
        <v>0</v>
      </c>
      <c r="NQ612" s="766">
        <v>0</v>
      </c>
      <c r="NR612" s="766">
        <v>0</v>
      </c>
      <c r="NS612" s="766">
        <v>0</v>
      </c>
      <c r="NT612" s="766">
        <v>0</v>
      </c>
      <c r="NU612" s="766">
        <v>0</v>
      </c>
      <c r="NV612" s="766">
        <v>0</v>
      </c>
      <c r="NW612" s="766">
        <v>0</v>
      </c>
      <c r="NX612" s="766">
        <v>0</v>
      </c>
      <c r="NY612" s="766"/>
      <c r="NZ612" s="766"/>
      <c r="OA612" s="766"/>
      <c r="OB612" s="766"/>
      <c r="OC612" s="766" t="s">
        <v>1208</v>
      </c>
      <c r="OD612" s="766"/>
      <c r="OE612" s="766"/>
      <c r="OF612" s="770"/>
      <c r="OG612" s="766"/>
      <c r="OH612" s="766"/>
      <c r="OI612" s="766"/>
      <c r="OJ612" s="766"/>
      <c r="OK612" s="766"/>
      <c r="OL612" s="766"/>
      <c r="OM612" s="766"/>
      <c r="ON612" s="766"/>
      <c r="OO612" s="766"/>
      <c r="OP612" s="766"/>
      <c r="OQ612" s="766"/>
      <c r="OR612" s="766"/>
      <c r="OS612" s="766"/>
      <c r="OT612" s="766"/>
      <c r="OU612" s="766"/>
      <c r="OV612" s="766"/>
      <c r="OW612" s="766"/>
      <c r="OX612" s="766"/>
      <c r="OY612" s="766"/>
      <c r="OZ612" s="766"/>
      <c r="PA612" s="766"/>
      <c r="PB612" s="766"/>
      <c r="PC612" s="766"/>
      <c r="PD612" s="766"/>
      <c r="PE612" s="766"/>
      <c r="PF612" s="766"/>
      <c r="PG612" s="766"/>
      <c r="PH612" s="766"/>
      <c r="PI612" s="766"/>
      <c r="PJ612" s="766"/>
      <c r="PK612" s="766" t="s">
        <v>1208</v>
      </c>
      <c r="PL612" s="766"/>
      <c r="PM612" s="766"/>
      <c r="PN612" s="766"/>
      <c r="PO612" s="766"/>
      <c r="PP612" s="766"/>
      <c r="PQ612" s="766"/>
      <c r="PR612" s="766"/>
      <c r="PS612" s="766"/>
      <c r="PT612" s="766"/>
      <c r="PU612" s="766"/>
      <c r="PV612" s="766"/>
      <c r="PW612" s="766"/>
      <c r="PX612" s="766"/>
      <c r="PY612" s="766"/>
      <c r="PZ612" s="766"/>
      <c r="QA612" s="766"/>
      <c r="QB612" s="766"/>
      <c r="QC612" s="766"/>
      <c r="QD612" s="766"/>
      <c r="QE612" s="766"/>
      <c r="QF612" s="766"/>
      <c r="QG612" s="766"/>
      <c r="QH612" s="766"/>
      <c r="QI612" s="766"/>
      <c r="QJ612" s="766"/>
      <c r="QK612" s="766"/>
      <c r="QL612" s="766"/>
      <c r="QM612" s="766"/>
      <c r="QN612" s="766"/>
      <c r="QO612" s="766"/>
      <c r="QP612" s="766"/>
      <c r="QQ612" s="766"/>
      <c r="QR612" s="766"/>
      <c r="QS612" s="766"/>
      <c r="QT612" s="766"/>
      <c r="QU612" s="766"/>
      <c r="QV612" s="766"/>
      <c r="QW612" s="766"/>
      <c r="QX612" s="766"/>
      <c r="QY612" s="766"/>
      <c r="QZ612" s="766"/>
      <c r="RA612" s="766"/>
      <c r="RB612" s="766" t="s">
        <v>1207</v>
      </c>
      <c r="RC612" s="766">
        <v>2016</v>
      </c>
      <c r="RD612" s="766" t="s">
        <v>13036</v>
      </c>
      <c r="RE612" s="766" t="s">
        <v>12999</v>
      </c>
      <c r="RF612" s="304">
        <v>1</v>
      </c>
      <c r="RG612" s="766" t="s">
        <v>13047</v>
      </c>
      <c r="RH612" s="775">
        <v>0</v>
      </c>
      <c r="RI612" s="766">
        <v>2</v>
      </c>
      <c r="RJ612" s="766" t="s">
        <v>13809</v>
      </c>
      <c r="RK612" s="770" t="s">
        <v>13544</v>
      </c>
      <c r="RL612" s="1683">
        <v>42835</v>
      </c>
      <c r="RM612" s="761"/>
      <c r="RN612" s="1791"/>
      <c r="RO612" s="132" t="s">
        <v>4096</v>
      </c>
      <c r="RR612" s="17" t="s">
        <v>7421</v>
      </c>
      <c r="RS612" s="1139" t="s">
        <v>12980</v>
      </c>
      <c r="RV612" s="771" t="s">
        <v>7421</v>
      </c>
      <c r="RW612" s="35" t="s">
        <v>7399</v>
      </c>
      <c r="RX612" s="35" t="s">
        <v>3963</v>
      </c>
      <c r="RZ612" s="35" t="s">
        <v>1101</v>
      </c>
      <c r="SA612" s="771"/>
    </row>
    <row r="613" spans="1:495" s="35" customFormat="1" ht="12.75" customHeight="1">
      <c r="A613" s="771" t="s">
        <v>7421</v>
      </c>
      <c r="B613" s="1081" t="s">
        <v>7995</v>
      </c>
      <c r="C613" s="514" t="s">
        <v>4104</v>
      </c>
      <c r="D613" s="843" t="s">
        <v>4105</v>
      </c>
      <c r="E613" s="6" t="s">
        <v>5840</v>
      </c>
      <c r="F613" s="6"/>
      <c r="G613" s="6"/>
      <c r="H613" s="875"/>
      <c r="I613" s="1012"/>
      <c r="J613" s="843"/>
      <c r="K613" s="6" t="s">
        <v>11003</v>
      </c>
      <c r="L613" s="6" t="s">
        <v>4060</v>
      </c>
      <c r="M613" s="1019" t="s">
        <v>2402</v>
      </c>
      <c r="N613" s="1019" t="s">
        <v>11409</v>
      </c>
      <c r="O613" s="1019" t="s">
        <v>11410</v>
      </c>
      <c r="P613" s="6"/>
      <c r="Q613" s="1086"/>
      <c r="R613" s="1015"/>
      <c r="S613" s="6"/>
      <c r="T613" s="6"/>
      <c r="U613" s="1012"/>
      <c r="V613" s="6"/>
      <c r="W613" s="1012"/>
      <c r="X613" s="1086"/>
      <c r="Y613" s="1019"/>
      <c r="Z613" s="6"/>
      <c r="AA613" s="6"/>
      <c r="AB613" s="6"/>
      <c r="AC613" s="1019"/>
      <c r="AD613" s="1019"/>
      <c r="AE613" s="1019"/>
      <c r="AF613" s="1019"/>
      <c r="AG613" s="1019" t="s">
        <v>1132</v>
      </c>
      <c r="AH613" s="1019" t="s">
        <v>1119</v>
      </c>
      <c r="AI613" s="6"/>
      <c r="AJ613" s="6" t="s">
        <v>1137</v>
      </c>
      <c r="AK613" s="6"/>
      <c r="AL613" s="1017"/>
      <c r="AM613" s="46"/>
      <c r="AN613" s="1018"/>
      <c r="AO613" s="6"/>
      <c r="AP613" s="6" t="s">
        <v>11906</v>
      </c>
      <c r="AQ613" s="6"/>
      <c r="AR613" s="6"/>
      <c r="AS613" s="6"/>
      <c r="AT613" s="6"/>
      <c r="AU613" s="6"/>
      <c r="AV613" s="6"/>
      <c r="AW613" s="6"/>
      <c r="AX613" s="6"/>
      <c r="AY613" s="6"/>
      <c r="AZ613" s="6"/>
      <c r="BA613" s="6"/>
      <c r="BB613" s="6"/>
      <c r="BC613" s="6"/>
      <c r="BD613" s="6"/>
      <c r="BE613" s="6"/>
      <c r="BF613" s="64"/>
      <c r="BG613" s="64"/>
      <c r="BH613" s="6"/>
      <c r="BI613" s="6"/>
      <c r="BJ613" s="6"/>
      <c r="BK613" s="6"/>
      <c r="BL613" s="6"/>
      <c r="BM613" s="6"/>
      <c r="BN613" s="1019"/>
      <c r="BO613" s="6"/>
      <c r="BP613" s="1116"/>
      <c r="BQ613" s="46"/>
      <c r="BR613" s="47"/>
      <c r="BS613" s="6"/>
      <c r="BT613" s="6"/>
      <c r="BU613" s="6"/>
      <c r="BV613" s="6"/>
      <c r="BW613" s="6"/>
      <c r="BX613" s="64"/>
      <c r="BY613" s="6"/>
      <c r="BZ613" s="64"/>
      <c r="CA613" s="6"/>
      <c r="CB613" s="6" t="s">
        <v>1207</v>
      </c>
      <c r="CC613" s="6" t="s">
        <v>11411</v>
      </c>
      <c r="CD613" s="6"/>
      <c r="CE613" s="6"/>
      <c r="CF613" s="1792">
        <v>6</v>
      </c>
      <c r="CG613" s="1793">
        <v>25</v>
      </c>
      <c r="CH613" s="6" t="s">
        <v>11412</v>
      </c>
      <c r="CI613" s="6"/>
      <c r="CJ613" s="6"/>
      <c r="CK613" s="6">
        <v>5</v>
      </c>
      <c r="CL613" s="6" t="s">
        <v>1240</v>
      </c>
      <c r="CM613" s="6"/>
      <c r="CN613" s="6"/>
      <c r="CO613" s="6" t="s">
        <v>1257</v>
      </c>
      <c r="CP613" s="6"/>
      <c r="CQ613" s="6"/>
      <c r="CR613" s="64"/>
      <c r="CS613" s="6"/>
      <c r="CT613" s="6"/>
      <c r="CU613" s="1022"/>
      <c r="CV613" s="6"/>
      <c r="CW613" s="6"/>
      <c r="CX613" s="6"/>
      <c r="CY613" s="6"/>
      <c r="CZ613" s="6"/>
      <c r="DA613" s="1024"/>
      <c r="DB613" s="6"/>
      <c r="DC613" s="6"/>
      <c r="DD613" s="6"/>
      <c r="DE613" s="45"/>
      <c r="DF613" s="6"/>
      <c r="DG613" s="6"/>
      <c r="DH613" s="6"/>
      <c r="DI613" s="6"/>
      <c r="DJ613" s="6"/>
      <c r="DK613" s="6"/>
      <c r="DL613" s="6"/>
      <c r="DM613" s="6"/>
      <c r="DN613" s="1126"/>
      <c r="DO613" s="6"/>
      <c r="DP613" s="6"/>
      <c r="DQ613" s="6"/>
      <c r="DR613" s="6"/>
      <c r="DS613" s="1023"/>
      <c r="DT613" s="6"/>
      <c r="DU613" s="6"/>
      <c r="DV613" s="6"/>
      <c r="DW613" s="1024"/>
      <c r="DX613" s="1024"/>
      <c r="DY613" s="6"/>
      <c r="DZ613" s="6"/>
      <c r="EA613" s="6"/>
      <c r="EB613" s="6"/>
      <c r="EC613" s="6"/>
      <c r="ED613" s="6"/>
      <c r="EE613" s="6"/>
      <c r="EF613" s="6"/>
      <c r="EG613" s="6"/>
      <c r="EH613" s="6"/>
      <c r="EI613" s="6"/>
      <c r="EJ613" s="6"/>
      <c r="EK613" s="6"/>
      <c r="EL613" s="6"/>
      <c r="EM613" s="6"/>
      <c r="EN613" s="6"/>
      <c r="EO613" s="6"/>
      <c r="EP613" s="843"/>
      <c r="EQ613" s="6"/>
      <c r="ER613" s="6"/>
      <c r="ES613" s="6"/>
      <c r="ET613" s="6"/>
      <c r="EU613" s="6"/>
      <c r="EV613" s="6"/>
      <c r="EW613" s="6"/>
      <c r="EX613" s="6"/>
      <c r="EY613" s="6"/>
      <c r="EZ613" s="6"/>
      <c r="FA613" s="6"/>
      <c r="FB613" s="6"/>
      <c r="FC613" s="6"/>
      <c r="FD613" s="64"/>
      <c r="FE613" s="6"/>
      <c r="FF613" s="6"/>
      <c r="FG613" s="6"/>
      <c r="FH613" s="6"/>
      <c r="FI613" s="6"/>
      <c r="FJ613" s="6"/>
      <c r="FK613" s="6"/>
      <c r="FL613" s="6"/>
      <c r="FM613" s="64"/>
      <c r="FN613" s="64"/>
      <c r="FO613" s="64"/>
      <c r="FP613" s="6"/>
      <c r="FQ613" s="6"/>
      <c r="FR613" s="6"/>
      <c r="FS613" s="6"/>
      <c r="FT613" s="6"/>
      <c r="FU613" s="6"/>
      <c r="FV613" s="6"/>
      <c r="FW613" s="6"/>
      <c r="FX613" s="6"/>
      <c r="FY613" s="6"/>
      <c r="FZ613" s="6"/>
      <c r="GA613" s="6"/>
      <c r="GB613" s="6"/>
      <c r="GC613" s="1028"/>
      <c r="GD613" s="1015"/>
      <c r="GE613" s="6"/>
      <c r="GF613" s="64"/>
      <c r="GG613" s="64"/>
      <c r="GH613" s="6"/>
      <c r="GI613" s="6"/>
      <c r="GJ613" s="6"/>
      <c r="GK613" s="1019"/>
      <c r="GL613" s="6"/>
      <c r="GM613" s="6"/>
      <c r="GN613" s="124"/>
      <c r="GO613" s="1019"/>
      <c r="GP613" s="6"/>
      <c r="GQ613" s="6"/>
      <c r="GR613" s="6"/>
      <c r="GS613" s="6"/>
      <c r="GT613" s="6"/>
      <c r="GU613" s="6"/>
      <c r="GV613" s="6"/>
      <c r="GW613" s="6"/>
      <c r="GX613" s="6"/>
      <c r="GY613" s="6"/>
      <c r="GZ613" s="6"/>
      <c r="HA613" s="6"/>
      <c r="HB613" s="6"/>
      <c r="HC613" s="6"/>
      <c r="HD613" s="6"/>
      <c r="HE613" s="6"/>
      <c r="HF613" s="6"/>
      <c r="HG613" s="6"/>
      <c r="HH613" s="6"/>
      <c r="HI613" s="6"/>
      <c r="HJ613" s="6"/>
      <c r="HK613" s="1019"/>
      <c r="HL613" s="6"/>
      <c r="HM613" s="6"/>
      <c r="HN613" s="6"/>
      <c r="HO613" s="6"/>
      <c r="HP613" s="6"/>
      <c r="HQ613" s="6"/>
      <c r="HR613" s="6"/>
      <c r="HS613" s="6"/>
      <c r="HT613" s="6"/>
      <c r="HU613" s="6"/>
      <c r="HV613" s="6"/>
      <c r="HW613" s="6"/>
      <c r="HX613" s="6"/>
      <c r="HY613" s="6"/>
      <c r="HZ613" s="6"/>
      <c r="IA613" s="6"/>
      <c r="IB613" s="6"/>
      <c r="IC613" s="6"/>
      <c r="ID613" s="6"/>
      <c r="IE613" s="6"/>
      <c r="IF613" s="6"/>
      <c r="IG613" s="6"/>
      <c r="IH613" s="6"/>
      <c r="II613" s="1019" t="s">
        <v>11413</v>
      </c>
      <c r="IJ613" s="6" t="s">
        <v>11411</v>
      </c>
      <c r="IK613" s="1019"/>
      <c r="IL613" s="6"/>
      <c r="IM613" s="6"/>
      <c r="IN613" s="6"/>
      <c r="IO613" s="1014"/>
      <c r="IP613" s="6"/>
      <c r="IQ613" s="6"/>
      <c r="IR613" s="6" t="s">
        <v>3729</v>
      </c>
      <c r="IS613" s="6"/>
      <c r="IT613" s="6"/>
      <c r="IU613" s="6"/>
      <c r="IV613" s="6"/>
      <c r="IW613" s="6"/>
      <c r="IX613" s="6"/>
      <c r="IY613" s="6"/>
      <c r="IZ613" s="875"/>
      <c r="JA613" s="6"/>
      <c r="JB613" s="1019"/>
      <c r="JC613" s="6"/>
      <c r="JD613" s="64"/>
      <c r="JE613" s="6"/>
      <c r="JF613" s="6"/>
      <c r="JG613" s="6"/>
      <c r="JH613" s="1023"/>
      <c r="JI613" s="1023"/>
      <c r="JJ613" s="6"/>
      <c r="JK613" s="6"/>
      <c r="JL613" s="6"/>
      <c r="JM613" s="6"/>
      <c r="JN613" s="6"/>
      <c r="JO613" s="6"/>
      <c r="JP613" s="6"/>
      <c r="JQ613" s="6"/>
      <c r="JR613" s="6"/>
      <c r="JS613" s="6"/>
      <c r="JT613" s="766"/>
      <c r="JU613" s="766"/>
      <c r="JV613" s="766"/>
      <c r="JW613" s="766"/>
      <c r="JX613" s="1019"/>
      <c r="JY613" s="1019"/>
      <c r="JZ613" s="1019"/>
      <c r="KA613" s="1019"/>
      <c r="KB613" s="1019"/>
      <c r="KC613" s="1019"/>
      <c r="KD613" s="1019"/>
      <c r="KE613" s="1019"/>
      <c r="KF613" s="1019"/>
      <c r="KG613" s="1019"/>
      <c r="KH613" s="1019"/>
      <c r="KI613" s="1019"/>
      <c r="KJ613" s="770"/>
      <c r="KK613" s="770"/>
      <c r="KL613" s="770"/>
      <c r="KM613" s="770"/>
      <c r="KN613" s="6"/>
      <c r="KO613" s="6"/>
      <c r="KP613" s="6"/>
      <c r="KQ613" s="6"/>
      <c r="KR613" s="6"/>
      <c r="KS613" s="6"/>
      <c r="KT613" s="6"/>
      <c r="KU613" s="6"/>
      <c r="KV613" s="6"/>
      <c r="KW613" s="6"/>
      <c r="KX613" s="6"/>
      <c r="KY613" s="6"/>
      <c r="KZ613" s="6"/>
      <c r="LA613" s="6"/>
      <c r="LB613" s="6"/>
      <c r="LC613" s="6"/>
      <c r="LD613" s="6"/>
      <c r="LE613" s="6"/>
      <c r="LF613" s="6"/>
      <c r="LG613" s="6"/>
      <c r="LH613" s="6"/>
      <c r="LI613" s="6"/>
      <c r="LJ613" s="6"/>
      <c r="LK613" s="6"/>
      <c r="LL613" s="6"/>
      <c r="LM613" s="6"/>
      <c r="LN613" s="766"/>
      <c r="LO613" s="766"/>
      <c r="LP613" s="6"/>
      <c r="LQ613" s="6"/>
      <c r="LR613" s="6"/>
      <c r="LS613" s="6"/>
      <c r="LT613" s="6"/>
      <c r="LU613" s="6"/>
      <c r="LV613" s="6"/>
      <c r="LW613" s="6"/>
      <c r="LX613" s="1693"/>
      <c r="LY613" s="766" t="str">
        <f t="shared" si="160"/>
        <v/>
      </c>
      <c r="LZ613" s="1694"/>
      <c r="MA613" s="1694"/>
      <c r="MB613" s="1694"/>
      <c r="MC613" s="1679">
        <f t="shared" ref="MC613:MC676" si="185">SUM(LZ613:MB613)</f>
        <v>0</v>
      </c>
      <c r="MD613" s="1694"/>
      <c r="ME613" s="1694"/>
      <c r="MF613" s="1694"/>
      <c r="MG613" s="1680">
        <f t="shared" si="164"/>
        <v>0</v>
      </c>
      <c r="MH613" s="6"/>
      <c r="MI613" s="64"/>
      <c r="MJ613" s="64"/>
      <c r="MK613" s="64"/>
      <c r="ML613" s="64"/>
      <c r="MM613" s="64"/>
      <c r="MN613" s="875"/>
      <c r="MO613" s="64"/>
      <c r="MP613" s="64"/>
      <c r="MQ613" s="64"/>
      <c r="MR613" s="64"/>
      <c r="MS613" s="64"/>
      <c r="MT613" s="875"/>
      <c r="MU613" s="64"/>
      <c r="MV613" s="64"/>
      <c r="MW613" s="64"/>
      <c r="MX613" s="64"/>
      <c r="MY613" s="1682">
        <f t="shared" si="165"/>
        <v>0</v>
      </c>
      <c r="MZ613" s="1019"/>
      <c r="NA613" s="1019"/>
      <c r="NB613" s="1019"/>
      <c r="NC613" s="1019"/>
      <c r="ND613" s="6"/>
      <c r="NE613" s="6"/>
      <c r="NF613" s="6"/>
      <c r="NG613" s="6"/>
      <c r="NH613" s="6"/>
      <c r="NI613" s="6"/>
      <c r="NJ613" s="6"/>
      <c r="NK613" s="6"/>
      <c r="NL613" s="6"/>
      <c r="NM613" s="6"/>
      <c r="NN613" s="6"/>
      <c r="NO613" s="6"/>
      <c r="NP613" s="6"/>
      <c r="NQ613" s="6"/>
      <c r="NR613" s="6"/>
      <c r="NS613" s="6"/>
      <c r="NT613" s="6"/>
      <c r="NU613" s="6"/>
      <c r="NV613" s="6"/>
      <c r="NW613" s="6"/>
      <c r="NX613" s="6"/>
      <c r="NY613" s="6"/>
      <c r="NZ613" s="6"/>
      <c r="OA613" s="6"/>
      <c r="OB613" s="6"/>
      <c r="OC613" s="6"/>
      <c r="OD613" s="6"/>
      <c r="OE613" s="6"/>
      <c r="OF613" s="1019"/>
      <c r="OG613" s="6"/>
      <c r="OH613" s="6"/>
      <c r="OI613" s="6"/>
      <c r="OJ613" s="6"/>
      <c r="OK613" s="6"/>
      <c r="OL613" s="6"/>
      <c r="OM613" s="6"/>
      <c r="ON613" s="6"/>
      <c r="OO613" s="6"/>
      <c r="OP613" s="6"/>
      <c r="OQ613" s="6"/>
      <c r="OR613" s="6"/>
      <c r="OS613" s="6"/>
      <c r="OT613" s="6"/>
      <c r="OU613" s="6"/>
      <c r="OV613" s="6"/>
      <c r="OW613" s="6"/>
      <c r="OX613" s="6"/>
      <c r="OY613" s="6"/>
      <c r="OZ613" s="6"/>
      <c r="PA613" s="6"/>
      <c r="PB613" s="6"/>
      <c r="PC613" s="6"/>
      <c r="PD613" s="6"/>
      <c r="PE613" s="6"/>
      <c r="PF613" s="6"/>
      <c r="PG613" s="6"/>
      <c r="PH613" s="6"/>
      <c r="PI613" s="6"/>
      <c r="PJ613" s="6"/>
      <c r="PK613" s="6"/>
      <c r="PL613" s="6"/>
      <c r="PM613" s="6"/>
      <c r="PN613" s="6"/>
      <c r="PO613" s="6"/>
      <c r="PP613" s="6"/>
      <c r="PQ613" s="6"/>
      <c r="PR613" s="6"/>
      <c r="PS613" s="6"/>
      <c r="PT613" s="6"/>
      <c r="PU613" s="6"/>
      <c r="PV613" s="6"/>
      <c r="PW613" s="6"/>
      <c r="PX613" s="6"/>
      <c r="PY613" s="6"/>
      <c r="PZ613" s="6"/>
      <c r="QA613" s="6"/>
      <c r="QB613" s="6"/>
      <c r="QC613" s="6"/>
      <c r="QD613" s="6"/>
      <c r="QE613" s="6"/>
      <c r="QF613" s="6"/>
      <c r="QG613" s="6"/>
      <c r="QH613" s="6"/>
      <c r="QI613" s="6"/>
      <c r="QJ613" s="6"/>
      <c r="QK613" s="6"/>
      <c r="QL613" s="6"/>
      <c r="QM613" s="6"/>
      <c r="QN613" s="6"/>
      <c r="QO613" s="6"/>
      <c r="QP613" s="6"/>
      <c r="QQ613" s="6"/>
      <c r="QR613" s="6"/>
      <c r="QS613" s="6"/>
      <c r="QT613" s="6"/>
      <c r="QU613" s="6"/>
      <c r="QV613" s="6"/>
      <c r="QW613" s="6"/>
      <c r="QX613" s="6"/>
      <c r="QY613" s="6"/>
      <c r="QZ613" s="6"/>
      <c r="RA613" s="6"/>
      <c r="RB613" s="6"/>
      <c r="RC613" s="6"/>
      <c r="RD613" s="6"/>
      <c r="RE613" s="6"/>
      <c r="RF613" s="1794"/>
      <c r="RG613" s="6"/>
      <c r="RH613" s="64"/>
      <c r="RI613" s="6"/>
      <c r="RJ613" s="6"/>
      <c r="RK613" s="1019"/>
      <c r="RL613" s="1691"/>
      <c r="RM613" s="843"/>
      <c r="RN613" s="1795"/>
      <c r="RO613" s="514" t="s">
        <v>4104</v>
      </c>
      <c r="RR613" s="771"/>
      <c r="RS613" s="93"/>
      <c r="RV613" s="93" t="s">
        <v>7421</v>
      </c>
      <c r="RW613" s="35" t="s">
        <v>7398</v>
      </c>
      <c r="RX613" s="35" t="s">
        <v>4086</v>
      </c>
      <c r="RZ613" s="35" t="s">
        <v>1101</v>
      </c>
      <c r="SA613" s="93"/>
    </row>
    <row r="614" spans="1:495" s="35" customFormat="1" ht="12.75" customHeight="1">
      <c r="A614" s="1117" t="s">
        <v>1101</v>
      </c>
      <c r="B614" s="1079" t="s">
        <v>11414</v>
      </c>
      <c r="C614" s="533" t="s">
        <v>11415</v>
      </c>
      <c r="D614" s="1714" t="s">
        <v>11416</v>
      </c>
      <c r="E614" s="1019" t="s">
        <v>11417</v>
      </c>
      <c r="F614" s="1019" t="s">
        <v>20</v>
      </c>
      <c r="G614" s="1019" t="s">
        <v>18</v>
      </c>
      <c r="H614" s="1714"/>
      <c r="I614" s="1830" t="s">
        <v>11418</v>
      </c>
      <c r="J614" s="1714" t="s">
        <v>11419</v>
      </c>
      <c r="K614" s="6" t="s">
        <v>11420</v>
      </c>
      <c r="L614" s="6" t="s">
        <v>11421</v>
      </c>
      <c r="M614" s="1019" t="s">
        <v>2402</v>
      </c>
      <c r="N614" s="1019" t="s">
        <v>11422</v>
      </c>
      <c r="O614" s="1019" t="s">
        <v>11423</v>
      </c>
      <c r="P614" s="1714" t="s">
        <v>11424</v>
      </c>
      <c r="Q614" s="1831">
        <v>29207</v>
      </c>
      <c r="R614" s="1718">
        <v>37</v>
      </c>
      <c r="S614" s="1019" t="s">
        <v>10</v>
      </c>
      <c r="T614" s="1019"/>
      <c r="U614" s="1830" t="s">
        <v>11418</v>
      </c>
      <c r="V614" s="1019" t="s">
        <v>707</v>
      </c>
      <c r="W614" s="1012" t="s">
        <v>11425</v>
      </c>
      <c r="X614" s="1086">
        <v>28817</v>
      </c>
      <c r="Y614" s="1019" t="s">
        <v>11417</v>
      </c>
      <c r="Z614" s="1019" t="s">
        <v>708</v>
      </c>
      <c r="AA614" s="1019" t="s">
        <v>709</v>
      </c>
      <c r="AB614" s="1019" t="s">
        <v>710</v>
      </c>
      <c r="AC614" s="1019" t="s">
        <v>724</v>
      </c>
      <c r="AD614" s="1019" t="s">
        <v>711</v>
      </c>
      <c r="AE614" s="1019"/>
      <c r="AF614" s="1019" t="s">
        <v>712</v>
      </c>
      <c r="AG614" s="1019" t="s">
        <v>1132</v>
      </c>
      <c r="AH614" s="766" t="s">
        <v>1096</v>
      </c>
      <c r="AI614" s="6"/>
      <c r="AJ614" s="6" t="s">
        <v>1137</v>
      </c>
      <c r="AK614" s="1019" t="s">
        <v>1101</v>
      </c>
      <c r="AL614" s="1770">
        <v>12.92</v>
      </c>
      <c r="AM614" s="1108">
        <v>9.18</v>
      </c>
      <c r="AN614" s="1078">
        <f t="shared" ref="AN614:AN639" si="186">AM614/AL614</f>
        <v>0.71052631578947367</v>
      </c>
      <c r="AO614" s="6" t="s">
        <v>1105</v>
      </c>
      <c r="AP614" s="6"/>
      <c r="AQ614" s="6"/>
      <c r="AR614" s="6"/>
      <c r="AS614" s="6"/>
      <c r="AT614" s="6"/>
      <c r="AU614" s="6"/>
      <c r="AV614" s="6"/>
      <c r="AW614" s="6"/>
      <c r="AX614" s="6"/>
      <c r="AY614" s="6"/>
      <c r="AZ614" s="6"/>
      <c r="BA614" s="6"/>
      <c r="BB614" s="1019"/>
      <c r="BC614" s="1019"/>
      <c r="BD614" s="1019"/>
      <c r="BE614" s="1019"/>
      <c r="BF614" s="1027"/>
      <c r="BG614" s="1027"/>
      <c r="BH614" s="1019"/>
      <c r="BI614" s="1019"/>
      <c r="BJ614" s="1019"/>
      <c r="BK614" s="6" t="s">
        <v>1095</v>
      </c>
      <c r="BL614" s="6" t="s">
        <v>11426</v>
      </c>
      <c r="BM614" s="6" t="s">
        <v>1096</v>
      </c>
      <c r="BN614" s="1019" t="s">
        <v>1230</v>
      </c>
      <c r="BO614" s="6" t="s">
        <v>1252</v>
      </c>
      <c r="BP614" s="60">
        <v>25.84</v>
      </c>
      <c r="BQ614" s="46">
        <v>18.36</v>
      </c>
      <c r="BR614" s="47">
        <f>BQ614/BP614</f>
        <v>0.71052631578947367</v>
      </c>
      <c r="BS614" s="6" t="s">
        <v>1105</v>
      </c>
      <c r="BT614" s="6" t="s">
        <v>1355</v>
      </c>
      <c r="BU614" s="6" t="s">
        <v>1249</v>
      </c>
      <c r="BV614" s="6" t="s">
        <v>1247</v>
      </c>
      <c r="BW614" s="1019">
        <v>11979</v>
      </c>
      <c r="BX614" s="1027" t="s">
        <v>2769</v>
      </c>
      <c r="BY614" s="1019"/>
      <c r="BZ614" s="1027"/>
      <c r="CA614" s="1019"/>
      <c r="CB614" s="1019" t="s">
        <v>1207</v>
      </c>
      <c r="CC614" s="1019" t="s">
        <v>11427</v>
      </c>
      <c r="CD614" s="1019"/>
      <c r="CE614" s="1027"/>
      <c r="CF614" s="1796">
        <v>1.2</v>
      </c>
      <c r="CG614" s="1797">
        <v>12</v>
      </c>
      <c r="CH614" s="1019" t="s">
        <v>11428</v>
      </c>
      <c r="CI614" s="1019"/>
      <c r="CJ614" s="1019" t="s">
        <v>11428</v>
      </c>
      <c r="CK614" s="1019">
        <v>15</v>
      </c>
      <c r="CL614" s="1019" t="s">
        <v>1249</v>
      </c>
      <c r="CM614" s="1019" t="s">
        <v>3399</v>
      </c>
      <c r="CN614" s="1019"/>
      <c r="CO614" s="1019" t="s">
        <v>1257</v>
      </c>
      <c r="CP614" s="1019"/>
      <c r="CQ614" s="1019"/>
      <c r="CR614" s="1027"/>
      <c r="CS614" s="1019"/>
      <c r="CT614" s="1019"/>
      <c r="CU614" s="1798"/>
      <c r="CV614" s="1019"/>
      <c r="CW614" s="1019"/>
      <c r="CX614" s="1019"/>
      <c r="CY614" s="1019"/>
      <c r="CZ614" s="1019"/>
      <c r="DA614" s="1799"/>
      <c r="DB614" s="1019"/>
      <c r="DC614" s="1019"/>
      <c r="DD614" s="1019"/>
      <c r="DE614" s="1800"/>
      <c r="DF614" s="1019"/>
      <c r="DG614" s="1019"/>
      <c r="DH614" s="1019"/>
      <c r="DI614" s="1019"/>
      <c r="DJ614" s="1019"/>
      <c r="DK614" s="1019"/>
      <c r="DL614" s="1019"/>
      <c r="DM614" s="1019"/>
      <c r="DN614" s="1801"/>
      <c r="DO614" s="1019"/>
      <c r="DP614" s="1019"/>
      <c r="DQ614" s="1019"/>
      <c r="DR614" s="1019"/>
      <c r="DS614" s="1802"/>
      <c r="DT614" s="1019"/>
      <c r="DU614" s="1019"/>
      <c r="DV614" s="1019"/>
      <c r="DW614" s="1799"/>
      <c r="DX614" s="1799"/>
      <c r="DY614" s="1803"/>
      <c r="DZ614" s="1019"/>
      <c r="EA614" s="1019"/>
      <c r="EB614" s="1019"/>
      <c r="EC614" s="1019"/>
      <c r="ED614" s="1019"/>
      <c r="EE614" s="1019"/>
      <c r="EF614" s="1019"/>
      <c r="EG614" s="1019"/>
      <c r="EH614" s="1019"/>
      <c r="EI614" s="1019"/>
      <c r="EJ614" s="1019"/>
      <c r="EK614" s="1019"/>
      <c r="EL614" s="1019"/>
      <c r="EM614" s="1019"/>
      <c r="EN614" s="1019"/>
      <c r="EO614" s="1019"/>
      <c r="EP614" s="1714"/>
      <c r="EQ614" s="1019"/>
      <c r="ER614" s="1019"/>
      <c r="ES614" s="1019"/>
      <c r="ET614" s="1019"/>
      <c r="EU614" s="1019"/>
      <c r="EV614" s="1019"/>
      <c r="EW614" s="1019"/>
      <c r="EX614" s="1019"/>
      <c r="EY614" s="1019"/>
      <c r="EZ614" s="1019"/>
      <c r="FA614" s="1019"/>
      <c r="FB614" s="1019"/>
      <c r="FC614" s="1019"/>
      <c r="FD614" s="1027"/>
      <c r="FE614" s="1019"/>
      <c r="FF614" s="1019"/>
      <c r="FG614" s="1019"/>
      <c r="FH614" s="1019" t="s">
        <v>478</v>
      </c>
      <c r="FI614" s="1019">
        <v>1</v>
      </c>
      <c r="FJ614" s="1019"/>
      <c r="FK614" s="1019"/>
      <c r="FL614" s="1019"/>
      <c r="FM614" s="1027"/>
      <c r="FN614" s="1027"/>
      <c r="FO614" s="1027"/>
      <c r="FP614" s="766" t="s">
        <v>1602</v>
      </c>
      <c r="FQ614" s="766" t="s">
        <v>1660</v>
      </c>
      <c r="FR614" s="1019" t="s">
        <v>1214</v>
      </c>
      <c r="FS614" s="1019"/>
      <c r="FT614" s="1019"/>
      <c r="FU614" s="1019"/>
      <c r="FV614" s="1019"/>
      <c r="FW614" s="1019"/>
      <c r="FX614" s="1019"/>
      <c r="FY614" s="1019"/>
      <c r="FZ614" s="1019"/>
      <c r="GA614" s="1019"/>
      <c r="GB614" s="1019" t="s">
        <v>853</v>
      </c>
      <c r="GC614" s="1717"/>
      <c r="GD614" s="1718"/>
      <c r="GE614" s="1019" t="s">
        <v>1214</v>
      </c>
      <c r="GF614" s="1027"/>
      <c r="GG614" s="1027"/>
      <c r="GH614" s="712" t="s">
        <v>14260</v>
      </c>
      <c r="GI614" s="1019"/>
      <c r="GJ614" s="1019" t="s">
        <v>11429</v>
      </c>
      <c r="GK614" s="1019"/>
      <c r="GL614" s="1019"/>
      <c r="GM614" s="1019"/>
      <c r="GN614" s="1804"/>
      <c r="GO614" s="1019"/>
      <c r="GP614" s="1019"/>
      <c r="GQ614" s="1019"/>
      <c r="GR614" s="1019"/>
      <c r="GS614" s="1019"/>
      <c r="GT614" s="1019"/>
      <c r="GU614" s="1019"/>
      <c r="GV614" s="1019"/>
      <c r="GW614" s="1019"/>
      <c r="GX614" s="1019"/>
      <c r="GY614" s="1019"/>
      <c r="GZ614" s="1019"/>
      <c r="HA614" s="1019"/>
      <c r="HB614" s="1019"/>
      <c r="HC614" s="1019"/>
      <c r="HD614" s="1019"/>
      <c r="HE614" s="1019"/>
      <c r="HF614" s="1019"/>
      <c r="HG614" s="1019"/>
      <c r="HH614" s="1019"/>
      <c r="HI614" s="1019" t="s">
        <v>1214</v>
      </c>
      <c r="HJ614" s="1019"/>
      <c r="HK614" s="1019"/>
      <c r="HL614" s="1019"/>
      <c r="HM614" s="1019"/>
      <c r="HN614" s="1019"/>
      <c r="HO614" s="1019"/>
      <c r="HP614" s="1019"/>
      <c r="HQ614" s="1019"/>
      <c r="HR614" s="1019"/>
      <c r="HS614" s="1019"/>
      <c r="HT614" s="1019"/>
      <c r="HU614" s="1019"/>
      <c r="HV614" s="1019"/>
      <c r="HW614" s="1019"/>
      <c r="HX614" s="1019"/>
      <c r="HY614" s="1019"/>
      <c r="HZ614" s="1019"/>
      <c r="IA614" s="1019"/>
      <c r="IB614" s="14" t="e">
        <f>IF(#REF!&gt;0,IF(#REF!&lt;=10000,"Y",""),"")</f>
        <v>#REF!</v>
      </c>
      <c r="IC614" s="1019"/>
      <c r="ID614" s="1019"/>
      <c r="IE614" s="1019"/>
      <c r="IF614" s="1019" t="s">
        <v>11416</v>
      </c>
      <c r="IG614" s="1019" t="s">
        <v>18</v>
      </c>
      <c r="IH614" s="1019" t="s">
        <v>478</v>
      </c>
      <c r="II614" s="1019" t="s">
        <v>11430</v>
      </c>
      <c r="IJ614" s="1019" t="s">
        <v>1835</v>
      </c>
      <c r="IK614" s="1019" t="s">
        <v>2639</v>
      </c>
      <c r="IL614" s="1019" t="s">
        <v>11431</v>
      </c>
      <c r="IM614" s="1019">
        <v>2009</v>
      </c>
      <c r="IN614" s="1019" t="s">
        <v>11431</v>
      </c>
      <c r="IO614" s="1805">
        <v>28817</v>
      </c>
      <c r="IP614" s="1019" t="s">
        <v>478</v>
      </c>
      <c r="IQ614" s="1019" t="s">
        <v>11432</v>
      </c>
      <c r="IR614" s="1019" t="s">
        <v>2716</v>
      </c>
      <c r="IS614" s="6" t="s">
        <v>1879</v>
      </c>
      <c r="IT614" s="1019"/>
      <c r="IU614" s="1019" t="s">
        <v>1208</v>
      </c>
      <c r="IV614" s="1019"/>
      <c r="IW614" s="1019" t="s">
        <v>11416</v>
      </c>
      <c r="IX614" s="1019"/>
      <c r="IY614" s="1019"/>
      <c r="IZ614" s="1019"/>
      <c r="JA614" s="1019" t="s">
        <v>12799</v>
      </c>
      <c r="JB614" s="1019"/>
      <c r="JC614" s="1019"/>
      <c r="JD614" s="1027">
        <v>7000</v>
      </c>
      <c r="JE614" s="1019"/>
      <c r="JF614" s="1019"/>
      <c r="JG614" s="1019"/>
      <c r="JH614" s="1802"/>
      <c r="JI614" s="1802"/>
      <c r="JJ614" s="1698">
        <v>5</v>
      </c>
      <c r="JK614" s="1806" t="s">
        <v>11433</v>
      </c>
      <c r="JL614" s="1019">
        <v>1</v>
      </c>
      <c r="JM614" s="1019">
        <v>2</v>
      </c>
      <c r="JN614" s="1019">
        <v>1</v>
      </c>
      <c r="JO614" s="1019">
        <v>1</v>
      </c>
      <c r="JP614" s="1019"/>
      <c r="JQ614" s="1019"/>
      <c r="JR614" s="1019"/>
      <c r="JS614" s="1019"/>
      <c r="JT614" s="766">
        <f>SUM(JP614,JN614,JL614,JR614)</f>
        <v>2</v>
      </c>
      <c r="JU614" s="766">
        <f>SUM(JQ614,JO614,JM614,JS614)</f>
        <v>3</v>
      </c>
      <c r="JV614" s="712" t="str">
        <f>IF(JT614=KJ614,"ok","male")</f>
        <v>ok</v>
      </c>
      <c r="JW614" s="712" t="str">
        <f>IF(JU614=KK614,"ok","female")</f>
        <v>ok</v>
      </c>
      <c r="JX614" s="1019"/>
      <c r="JY614" s="1019"/>
      <c r="JZ614" s="1019">
        <v>1</v>
      </c>
      <c r="KA614" s="1019">
        <v>2</v>
      </c>
      <c r="KB614" s="1019"/>
      <c r="KC614" s="1019"/>
      <c r="KD614" s="1019">
        <v>1</v>
      </c>
      <c r="KE614" s="1019">
        <v>1</v>
      </c>
      <c r="KF614" s="1019"/>
      <c r="KG614" s="1019"/>
      <c r="KH614" s="1019"/>
      <c r="KI614" s="1019"/>
      <c r="KJ614" s="770">
        <f t="shared" si="168"/>
        <v>2</v>
      </c>
      <c r="KK614" s="770">
        <f t="shared" si="168"/>
        <v>3</v>
      </c>
      <c r="KL614" s="712" t="str">
        <f>IF(KJ614=LN614,"ok","male")</f>
        <v>ok</v>
      </c>
      <c r="KM614" s="712" t="str">
        <f>IF(KK614=LO614,"ok","female")</f>
        <v>ok</v>
      </c>
      <c r="KN614" s="1019" t="s">
        <v>722</v>
      </c>
      <c r="KO614" s="1019"/>
      <c r="KP614" s="1019"/>
      <c r="KQ614" s="1019"/>
      <c r="KR614" s="1019"/>
      <c r="KS614" s="1019"/>
      <c r="KT614" s="1019"/>
      <c r="KU614" s="1019">
        <v>1</v>
      </c>
      <c r="KV614" s="1019"/>
      <c r="KW614" s="1019"/>
      <c r="KX614" s="1019">
        <v>1</v>
      </c>
      <c r="KY614" s="1019">
        <v>1</v>
      </c>
      <c r="KZ614" s="1019"/>
      <c r="LA614" s="1019">
        <v>1</v>
      </c>
      <c r="LB614" s="1019">
        <v>1</v>
      </c>
      <c r="LC614" s="1019"/>
      <c r="LD614" s="1019"/>
      <c r="LE614" s="1019"/>
      <c r="LF614" s="1019"/>
      <c r="LG614" s="1019"/>
      <c r="LH614" s="1019"/>
      <c r="LI614" s="1019"/>
      <c r="LJ614" s="1019"/>
      <c r="LK614" s="1019"/>
      <c r="LL614" s="1019"/>
      <c r="LM614" s="1019"/>
      <c r="LN614" s="766">
        <f t="shared" si="159"/>
        <v>2</v>
      </c>
      <c r="LO614" s="766">
        <f t="shared" si="159"/>
        <v>3</v>
      </c>
      <c r="LP614" s="1019">
        <v>2</v>
      </c>
      <c r="LQ614" s="1019">
        <v>1</v>
      </c>
      <c r="LR614" s="1019"/>
      <c r="LS614" s="1019">
        <v>1</v>
      </c>
      <c r="LT614" s="712" t="str">
        <f>IF(LQ614=SUM(LU614:LW614),"OK","REV")</f>
        <v>OK</v>
      </c>
      <c r="LU614" s="1019"/>
      <c r="LV614" s="1019">
        <v>1</v>
      </c>
      <c r="LW614" s="1019"/>
      <c r="LX614" s="1693">
        <v>2</v>
      </c>
      <c r="LY614" s="766" t="str">
        <f t="shared" si="160"/>
        <v>within the MUNICIPALITY</v>
      </c>
      <c r="LZ614" s="1807">
        <v>1600</v>
      </c>
      <c r="MA614" s="1807"/>
      <c r="MB614" s="1807"/>
      <c r="MC614" s="1679">
        <f t="shared" si="185"/>
        <v>1600</v>
      </c>
      <c r="MD614" s="1807">
        <v>12000</v>
      </c>
      <c r="ME614" s="1807"/>
      <c r="MF614" s="1807">
        <v>15000</v>
      </c>
      <c r="MG614" s="1680">
        <f>SUM(MD614:MF614)</f>
        <v>27000</v>
      </c>
      <c r="MH614" s="1019" t="s">
        <v>13810</v>
      </c>
      <c r="MI614" s="64">
        <v>6000</v>
      </c>
      <c r="MJ614" s="1027">
        <v>1600</v>
      </c>
      <c r="MK614" s="1027">
        <v>1500</v>
      </c>
      <c r="ML614" s="1027">
        <v>1000</v>
      </c>
      <c r="MM614" s="1027">
        <v>6000</v>
      </c>
      <c r="MN614" s="1027"/>
      <c r="MO614" s="1027">
        <v>2000</v>
      </c>
      <c r="MP614" s="1027">
        <v>2800</v>
      </c>
      <c r="MQ614" s="1027">
        <v>1000</v>
      </c>
      <c r="MR614" s="1027">
        <v>600</v>
      </c>
      <c r="MS614" s="1027"/>
      <c r="MT614" s="1027"/>
      <c r="MU614" s="1027"/>
      <c r="MV614" s="1027"/>
      <c r="MW614" s="1027"/>
      <c r="MX614" s="1027"/>
      <c r="MY614" s="1682">
        <f t="shared" si="165"/>
        <v>22500</v>
      </c>
      <c r="MZ614" s="1019" t="s">
        <v>13811</v>
      </c>
      <c r="NA614" s="1019" t="s">
        <v>13005</v>
      </c>
      <c r="NB614" s="1019" t="s">
        <v>13016</v>
      </c>
      <c r="NC614" s="1019" t="s">
        <v>13602</v>
      </c>
      <c r="ND614" s="1019">
        <v>0</v>
      </c>
      <c r="NE614" s="1019">
        <v>0</v>
      </c>
      <c r="NF614" s="1019">
        <v>1</v>
      </c>
      <c r="NG614" s="1019">
        <v>4</v>
      </c>
      <c r="NH614" s="1019">
        <v>1</v>
      </c>
      <c r="NI614" s="1019">
        <v>1</v>
      </c>
      <c r="NJ614" s="1019">
        <v>1</v>
      </c>
      <c r="NK614" s="1019">
        <v>0</v>
      </c>
      <c r="NL614" s="1019">
        <v>1</v>
      </c>
      <c r="NM614" s="1019">
        <v>0</v>
      </c>
      <c r="NN614" s="1019">
        <v>0</v>
      </c>
      <c r="NO614" s="1019">
        <v>0</v>
      </c>
      <c r="NP614" s="1019">
        <v>0</v>
      </c>
      <c r="NQ614" s="1019">
        <v>0</v>
      </c>
      <c r="NR614" s="1019">
        <v>0</v>
      </c>
      <c r="NS614" s="1019">
        <v>0</v>
      </c>
      <c r="NT614" s="1019">
        <v>0</v>
      </c>
      <c r="NU614" s="1019">
        <v>0</v>
      </c>
      <c r="NV614" s="1019">
        <v>0</v>
      </c>
      <c r="NW614" s="1019">
        <v>0</v>
      </c>
      <c r="NX614" s="1019">
        <v>0</v>
      </c>
      <c r="NY614" s="1019" t="s">
        <v>1208</v>
      </c>
      <c r="NZ614" s="1019" t="s">
        <v>1208</v>
      </c>
      <c r="OA614" s="1019" t="s">
        <v>1208</v>
      </c>
      <c r="OB614" s="1019" t="s">
        <v>1208</v>
      </c>
      <c r="OC614" s="1019" t="s">
        <v>1208</v>
      </c>
      <c r="OD614" s="1019"/>
      <c r="OE614" s="1019"/>
      <c r="OF614" s="1019" t="s">
        <v>2143</v>
      </c>
      <c r="OG614" s="1019"/>
      <c r="OH614" s="1019"/>
      <c r="OI614" s="1019"/>
      <c r="OJ614" s="1019"/>
      <c r="OK614" s="1019" t="s">
        <v>1208</v>
      </c>
      <c r="OL614" s="1019"/>
      <c r="OM614" s="1019"/>
      <c r="ON614" s="1019"/>
      <c r="OO614" s="1019"/>
      <c r="OP614" s="1019"/>
      <c r="OQ614" s="1019"/>
      <c r="OR614" s="1019"/>
      <c r="OS614" s="1019"/>
      <c r="OT614" s="1019"/>
      <c r="OU614" s="1019"/>
      <c r="OV614" s="1019"/>
      <c r="OW614" s="1019"/>
      <c r="OX614" s="1019"/>
      <c r="OY614" s="1019"/>
      <c r="OZ614" s="1019"/>
      <c r="PA614" s="1019"/>
      <c r="PB614" s="1019"/>
      <c r="PC614" s="1019"/>
      <c r="PD614" s="1019"/>
      <c r="PE614" s="1019"/>
      <c r="PF614" s="1019"/>
      <c r="PG614" s="1019"/>
      <c r="PH614" s="1019" t="s">
        <v>1208</v>
      </c>
      <c r="PI614" s="1019"/>
      <c r="PJ614" s="1019"/>
      <c r="PK614" s="1019" t="s">
        <v>1208</v>
      </c>
      <c r="PL614" s="1019"/>
      <c r="PM614" s="1019"/>
      <c r="PN614" s="1019"/>
      <c r="PO614" s="1019"/>
      <c r="PP614" s="1019"/>
      <c r="PQ614" s="1019"/>
      <c r="PR614" s="1019"/>
      <c r="PS614" s="1019"/>
      <c r="PT614" s="1019"/>
      <c r="PU614" s="1019"/>
      <c r="PV614" s="1019"/>
      <c r="PW614" s="1019"/>
      <c r="PX614" s="1019"/>
      <c r="PY614" s="1019"/>
      <c r="PZ614" s="1019"/>
      <c r="QA614" s="1019"/>
      <c r="QB614" s="1019"/>
      <c r="QC614" s="1019"/>
      <c r="QD614" s="1019"/>
      <c r="QE614" s="1019"/>
      <c r="QF614" s="1019"/>
      <c r="QG614" s="1019"/>
      <c r="QH614" s="1019"/>
      <c r="QI614" s="1019"/>
      <c r="QJ614" s="1019"/>
      <c r="QK614" s="1019"/>
      <c r="QL614" s="1019"/>
      <c r="QM614" s="1019"/>
      <c r="QN614" s="1019"/>
      <c r="QO614" s="1019"/>
      <c r="QP614" s="1019"/>
      <c r="QQ614" s="1019"/>
      <c r="QR614" s="1019"/>
      <c r="QS614" s="1019"/>
      <c r="QT614" s="1019"/>
      <c r="QU614" s="1019"/>
      <c r="QV614" s="1019"/>
      <c r="QW614" s="1019"/>
      <c r="QX614" s="1019"/>
      <c r="QY614" s="1019"/>
      <c r="QZ614" s="1019"/>
      <c r="RA614" s="1019"/>
      <c r="RB614" s="1019" t="s">
        <v>1207</v>
      </c>
      <c r="RC614" s="1019" t="s">
        <v>13812</v>
      </c>
      <c r="RD614" s="1019" t="s">
        <v>13615</v>
      </c>
      <c r="RE614" s="1019" t="s">
        <v>13125</v>
      </c>
      <c r="RF614" s="1794">
        <v>1.5</v>
      </c>
      <c r="RG614" s="1019" t="s">
        <v>13047</v>
      </c>
      <c r="RH614" s="1799">
        <v>0</v>
      </c>
      <c r="RI614" s="1019">
        <v>12</v>
      </c>
      <c r="RJ614" s="1714" t="s">
        <v>11431</v>
      </c>
      <c r="RK614" s="1019"/>
      <c r="RL614" s="1808"/>
      <c r="RM614" s="1714" t="s">
        <v>13813</v>
      </c>
      <c r="RN614" s="1724"/>
      <c r="RO614" s="533" t="s">
        <v>11415</v>
      </c>
      <c r="RR614" s="311" t="s">
        <v>7421</v>
      </c>
      <c r="RS614" s="1139" t="s">
        <v>12980</v>
      </c>
      <c r="RV614" s="1712" t="s">
        <v>7421</v>
      </c>
      <c r="RW614" s="35" t="s">
        <v>7397</v>
      </c>
      <c r="RX614" s="35" t="s">
        <v>4096</v>
      </c>
      <c r="RZ614" s="35" t="s">
        <v>1101</v>
      </c>
      <c r="SA614" s="1712"/>
    </row>
    <row r="615" spans="1:495" s="35" customFormat="1" ht="12.75" customHeight="1">
      <c r="A615" s="1117" t="s">
        <v>1101</v>
      </c>
      <c r="B615" s="1079" t="s">
        <v>11434</v>
      </c>
      <c r="C615" s="533" t="s">
        <v>11435</v>
      </c>
      <c r="D615" s="1714" t="s">
        <v>488</v>
      </c>
      <c r="E615" s="1019" t="s">
        <v>4134</v>
      </c>
      <c r="F615" s="1019"/>
      <c r="G615" s="1019"/>
      <c r="H615" s="1714"/>
      <c r="I615" s="1012"/>
      <c r="J615" s="1714"/>
      <c r="K615" s="6" t="s">
        <v>11436</v>
      </c>
      <c r="L615" s="6" t="s">
        <v>11437</v>
      </c>
      <c r="M615" s="1019" t="s">
        <v>2402</v>
      </c>
      <c r="N615" s="1019" t="s">
        <v>11438</v>
      </c>
      <c r="O615" s="1019" t="s">
        <v>11423</v>
      </c>
      <c r="P615" s="1019"/>
      <c r="Q615" s="1831"/>
      <c r="R615" s="1718"/>
      <c r="S615" s="1019"/>
      <c r="T615" s="1019"/>
      <c r="U615" s="1830"/>
      <c r="V615" s="1019"/>
      <c r="W615" s="1012"/>
      <c r="X615" s="1086"/>
      <c r="Y615" s="1019"/>
      <c r="Z615" s="1019"/>
      <c r="AA615" s="1019"/>
      <c r="AB615" s="1019"/>
      <c r="AC615" s="1019"/>
      <c r="AD615" s="1019"/>
      <c r="AE615" s="1019"/>
      <c r="AF615" s="1019"/>
      <c r="AG615" s="1019"/>
      <c r="AH615" s="6"/>
      <c r="AI615" s="6"/>
      <c r="AJ615" s="6"/>
      <c r="AK615" s="1019" t="s">
        <v>1101</v>
      </c>
      <c r="AL615" s="1770">
        <v>51.29</v>
      </c>
      <c r="AM615" s="1108">
        <v>3.99</v>
      </c>
      <c r="AN615" s="1078">
        <f t="shared" si="186"/>
        <v>7.7792942093975442E-2</v>
      </c>
      <c r="AO615" s="6" t="s">
        <v>1098</v>
      </c>
      <c r="AP615" s="6"/>
      <c r="AQ615" s="6"/>
      <c r="AR615" s="6"/>
      <c r="AS615" s="6"/>
      <c r="AT615" s="6"/>
      <c r="AU615" s="6"/>
      <c r="AV615" s="6"/>
      <c r="AW615" s="6"/>
      <c r="AX615" s="6"/>
      <c r="AY615" s="6"/>
      <c r="AZ615" s="6"/>
      <c r="BA615" s="6"/>
      <c r="BB615" s="1019"/>
      <c r="BC615" s="1019"/>
      <c r="BD615" s="1019"/>
      <c r="BE615" s="1019"/>
      <c r="BF615" s="1027"/>
      <c r="BG615" s="1027"/>
      <c r="BH615" s="1019"/>
      <c r="BI615" s="1019"/>
      <c r="BJ615" s="1019"/>
      <c r="BK615" s="6"/>
      <c r="BL615" s="6"/>
      <c r="BM615" s="6"/>
      <c r="BN615" s="1019"/>
      <c r="BO615" s="6"/>
      <c r="BP615" s="60"/>
      <c r="BQ615" s="46"/>
      <c r="BR615" s="47"/>
      <c r="BS615" s="6"/>
      <c r="BT615" s="6"/>
      <c r="BU615" s="6"/>
      <c r="BV615" s="6"/>
      <c r="BW615" s="1019"/>
      <c r="BX615" s="1027"/>
      <c r="BY615" s="1019"/>
      <c r="BZ615" s="1027"/>
      <c r="CA615" s="1019"/>
      <c r="CB615" s="1019" t="s">
        <v>1207</v>
      </c>
      <c r="CC615" s="1019" t="s">
        <v>11439</v>
      </c>
      <c r="CD615" s="1019"/>
      <c r="CE615" s="1027"/>
      <c r="CF615" s="1796">
        <v>2</v>
      </c>
      <c r="CG615" s="1797">
        <v>15</v>
      </c>
      <c r="CH615" s="6" t="s">
        <v>11412</v>
      </c>
      <c r="CI615" s="1019"/>
      <c r="CJ615" s="1019"/>
      <c r="CK615" s="1019">
        <v>7</v>
      </c>
      <c r="CL615" s="1019" t="s">
        <v>1240</v>
      </c>
      <c r="CM615" s="1019"/>
      <c r="CN615" s="1019"/>
      <c r="CO615" s="1019" t="s">
        <v>1149</v>
      </c>
      <c r="CP615" s="1019"/>
      <c r="CQ615" s="1019"/>
      <c r="CR615" s="1027"/>
      <c r="CS615" s="1019"/>
      <c r="CT615" s="1019"/>
      <c r="CU615" s="1798"/>
      <c r="CV615" s="1019"/>
      <c r="CW615" s="1019"/>
      <c r="CX615" s="1019"/>
      <c r="CY615" s="1019"/>
      <c r="CZ615" s="1019"/>
      <c r="DA615" s="1799"/>
      <c r="DB615" s="1019"/>
      <c r="DC615" s="1019"/>
      <c r="DD615" s="1019"/>
      <c r="DE615" s="1800"/>
      <c r="DF615" s="1019"/>
      <c r="DG615" s="1019"/>
      <c r="DH615" s="1019"/>
      <c r="DI615" s="1019"/>
      <c r="DJ615" s="1019"/>
      <c r="DK615" s="1019"/>
      <c r="DL615" s="1019"/>
      <c r="DM615" s="1019"/>
      <c r="DN615" s="1801"/>
      <c r="DO615" s="1019"/>
      <c r="DP615" s="1019"/>
      <c r="DQ615" s="1019"/>
      <c r="DR615" s="1019"/>
      <c r="DS615" s="1802"/>
      <c r="DT615" s="1019"/>
      <c r="DU615" s="1019"/>
      <c r="DV615" s="1019"/>
      <c r="DW615" s="1799"/>
      <c r="DX615" s="1799"/>
      <c r="DY615" s="1803"/>
      <c r="DZ615" s="1019"/>
      <c r="EA615" s="1019"/>
      <c r="EB615" s="1019"/>
      <c r="EC615" s="1019"/>
      <c r="ED615" s="1019"/>
      <c r="EE615" s="1019"/>
      <c r="EF615" s="1019"/>
      <c r="EG615" s="1019"/>
      <c r="EH615" s="1019"/>
      <c r="EI615" s="1019"/>
      <c r="EJ615" s="1019"/>
      <c r="EK615" s="1019"/>
      <c r="EL615" s="1019"/>
      <c r="EM615" s="1019"/>
      <c r="EN615" s="1019"/>
      <c r="EO615" s="1019"/>
      <c r="EP615" s="1714"/>
      <c r="EQ615" s="1019"/>
      <c r="ER615" s="1019"/>
      <c r="ES615" s="1019"/>
      <c r="ET615" s="1019"/>
      <c r="EU615" s="1019"/>
      <c r="EV615" s="1019"/>
      <c r="EW615" s="1019"/>
      <c r="EX615" s="1019"/>
      <c r="EY615" s="1019"/>
      <c r="EZ615" s="1019"/>
      <c r="FA615" s="1019"/>
      <c r="FB615" s="1019"/>
      <c r="FC615" s="1019"/>
      <c r="FD615" s="1027"/>
      <c r="FE615" s="1019"/>
      <c r="FF615" s="1019"/>
      <c r="FG615" s="1019"/>
      <c r="FH615" s="1019"/>
      <c r="FI615" s="1019"/>
      <c r="FJ615" s="1019"/>
      <c r="FK615" s="1019"/>
      <c r="FL615" s="1019"/>
      <c r="FM615" s="1027"/>
      <c r="FN615" s="1027"/>
      <c r="FO615" s="1027"/>
      <c r="FP615" s="6"/>
      <c r="FQ615" s="6"/>
      <c r="FR615" s="1019"/>
      <c r="FS615" s="1019"/>
      <c r="FT615" s="1019"/>
      <c r="FU615" s="1019"/>
      <c r="FV615" s="1019"/>
      <c r="FW615" s="1019"/>
      <c r="FX615" s="1019"/>
      <c r="FY615" s="1019"/>
      <c r="FZ615" s="1019"/>
      <c r="GA615" s="1019"/>
      <c r="GB615" s="1019"/>
      <c r="GC615" s="1717"/>
      <c r="GD615" s="1718"/>
      <c r="GE615" s="1019"/>
      <c r="GF615" s="1027"/>
      <c r="GG615" s="1027"/>
      <c r="GH615" s="1019"/>
      <c r="GI615" s="1019"/>
      <c r="GJ615" s="1019"/>
      <c r="GK615" s="1019"/>
      <c r="GL615" s="1019"/>
      <c r="GM615" s="1019"/>
      <c r="GN615" s="1804"/>
      <c r="GO615" s="1019"/>
      <c r="GP615" s="1019"/>
      <c r="GQ615" s="1019"/>
      <c r="GR615" s="1019"/>
      <c r="GS615" s="1019"/>
      <c r="GT615" s="1019"/>
      <c r="GU615" s="1019"/>
      <c r="GV615" s="1019"/>
      <c r="GW615" s="1019"/>
      <c r="GX615" s="1019"/>
      <c r="GY615" s="1019"/>
      <c r="GZ615" s="1019"/>
      <c r="HA615" s="1019"/>
      <c r="HB615" s="1019"/>
      <c r="HC615" s="1019"/>
      <c r="HD615" s="1019"/>
      <c r="HE615" s="1019"/>
      <c r="HF615" s="1019"/>
      <c r="HG615" s="1019"/>
      <c r="HH615" s="1019"/>
      <c r="HI615" s="1019"/>
      <c r="HJ615" s="1019"/>
      <c r="HK615" s="1019"/>
      <c r="HL615" s="1019"/>
      <c r="HM615" s="1019"/>
      <c r="HN615" s="1019"/>
      <c r="HO615" s="1019"/>
      <c r="HP615" s="1019"/>
      <c r="HQ615" s="1019"/>
      <c r="HR615" s="1019"/>
      <c r="HS615" s="1019"/>
      <c r="HT615" s="1019"/>
      <c r="HU615" s="1019"/>
      <c r="HV615" s="1019"/>
      <c r="HW615" s="1019"/>
      <c r="HX615" s="1019"/>
      <c r="HY615" s="1019"/>
      <c r="HZ615" s="1019"/>
      <c r="IA615" s="1019"/>
      <c r="IB615" s="1019"/>
      <c r="IC615" s="1019"/>
      <c r="ID615" s="1019"/>
      <c r="IE615" s="1019"/>
      <c r="IF615" s="1019"/>
      <c r="IG615" s="1019"/>
      <c r="IH615" s="1019"/>
      <c r="II615" s="1019"/>
      <c r="IJ615" s="1019"/>
      <c r="IK615" s="1019"/>
      <c r="IL615" s="1019"/>
      <c r="IM615" s="1019"/>
      <c r="IN615" s="1019"/>
      <c r="IO615" s="1805"/>
      <c r="IP615" s="1019"/>
      <c r="IQ615" s="1019"/>
      <c r="IR615" s="1019"/>
      <c r="IS615" s="6"/>
      <c r="IT615" s="1019"/>
      <c r="IU615" s="1019"/>
      <c r="IV615" s="1019"/>
      <c r="IW615" s="1019"/>
      <c r="IX615" s="1019"/>
      <c r="IY615" s="1019"/>
      <c r="IZ615" s="1019"/>
      <c r="JA615" s="1019"/>
      <c r="JB615" s="1019"/>
      <c r="JC615" s="1019"/>
      <c r="JD615" s="1027"/>
      <c r="JE615" s="1019"/>
      <c r="JF615" s="1019"/>
      <c r="JG615" s="1019"/>
      <c r="JH615" s="1802"/>
      <c r="JI615" s="1802"/>
      <c r="JJ615" s="1019"/>
      <c r="JK615" s="1809"/>
      <c r="JL615" s="1019"/>
      <c r="JM615" s="1019"/>
      <c r="JN615" s="1019"/>
      <c r="JO615" s="1019"/>
      <c r="JP615" s="1019"/>
      <c r="JQ615" s="1019"/>
      <c r="JR615" s="1019"/>
      <c r="JS615" s="1019"/>
      <c r="JT615" s="766"/>
      <c r="JU615" s="766"/>
      <c r="JV615" s="766"/>
      <c r="JW615" s="766"/>
      <c r="JX615" s="1019"/>
      <c r="JY615" s="1019"/>
      <c r="JZ615" s="1019"/>
      <c r="KA615" s="1019"/>
      <c r="KB615" s="1019"/>
      <c r="KC615" s="1019"/>
      <c r="KD615" s="1019"/>
      <c r="KE615" s="1019"/>
      <c r="KF615" s="1019"/>
      <c r="KG615" s="1019"/>
      <c r="KH615" s="1019"/>
      <c r="KI615" s="1019"/>
      <c r="KJ615" s="770"/>
      <c r="KK615" s="770"/>
      <c r="KL615" s="770"/>
      <c r="KM615" s="770"/>
      <c r="KN615" s="1019"/>
      <c r="KO615" s="1019"/>
      <c r="KP615" s="1019"/>
      <c r="KQ615" s="1019"/>
      <c r="KR615" s="1019"/>
      <c r="KS615" s="1019"/>
      <c r="KT615" s="1019"/>
      <c r="KU615" s="1019"/>
      <c r="KV615" s="1019"/>
      <c r="KW615" s="1019"/>
      <c r="KX615" s="1019"/>
      <c r="KY615" s="1019"/>
      <c r="KZ615" s="1019"/>
      <c r="LA615" s="1019"/>
      <c r="LB615" s="1019"/>
      <c r="LC615" s="1019"/>
      <c r="LD615" s="1019"/>
      <c r="LE615" s="1019"/>
      <c r="LF615" s="1019"/>
      <c r="LG615" s="1019"/>
      <c r="LH615" s="1019"/>
      <c r="LI615" s="1019"/>
      <c r="LJ615" s="1019"/>
      <c r="LK615" s="1019"/>
      <c r="LL615" s="1019"/>
      <c r="LM615" s="1019"/>
      <c r="LN615" s="766"/>
      <c r="LO615" s="766"/>
      <c r="LP615" s="1019"/>
      <c r="LQ615" s="1019"/>
      <c r="LR615" s="1019"/>
      <c r="LS615" s="1019"/>
      <c r="LT615" s="1019"/>
      <c r="LU615" s="1019"/>
      <c r="LV615" s="1019"/>
      <c r="LW615" s="1019"/>
      <c r="LX615" s="1693"/>
      <c r="LY615" s="766" t="str">
        <f t="shared" si="160"/>
        <v/>
      </c>
      <c r="LZ615" s="1807"/>
      <c r="MA615" s="1807"/>
      <c r="MB615" s="1807"/>
      <c r="MC615" s="1679">
        <f t="shared" si="185"/>
        <v>0</v>
      </c>
      <c r="MD615" s="1807"/>
      <c r="ME615" s="1807"/>
      <c r="MF615" s="1807"/>
      <c r="MG615" s="1680">
        <f t="shared" si="164"/>
        <v>0</v>
      </c>
      <c r="MH615" s="1019"/>
      <c r="MI615" s="64"/>
      <c r="MJ615" s="1027"/>
      <c r="MK615" s="1027"/>
      <c r="ML615" s="1027"/>
      <c r="MM615" s="1027"/>
      <c r="MN615" s="1027"/>
      <c r="MO615" s="1027"/>
      <c r="MP615" s="1027"/>
      <c r="MQ615" s="1027"/>
      <c r="MR615" s="1027"/>
      <c r="MS615" s="1027"/>
      <c r="MT615" s="1027"/>
      <c r="MU615" s="1027"/>
      <c r="MV615" s="1027"/>
      <c r="MW615" s="1027"/>
      <c r="MX615" s="1027"/>
      <c r="MY615" s="1682">
        <f t="shared" si="165"/>
        <v>0</v>
      </c>
      <c r="MZ615" s="1019"/>
      <c r="NA615" s="1019"/>
      <c r="NB615" s="1019"/>
      <c r="NC615" s="1019"/>
      <c r="ND615" s="1019"/>
      <c r="NE615" s="1019"/>
      <c r="NF615" s="1019"/>
      <c r="NG615" s="1019"/>
      <c r="NH615" s="1019"/>
      <c r="NI615" s="1019"/>
      <c r="NJ615" s="1019"/>
      <c r="NK615" s="1019"/>
      <c r="NL615" s="1019"/>
      <c r="NM615" s="1019"/>
      <c r="NN615" s="1019"/>
      <c r="NO615" s="1019"/>
      <c r="NP615" s="1019"/>
      <c r="NQ615" s="1019"/>
      <c r="NR615" s="1019"/>
      <c r="NS615" s="1019"/>
      <c r="NT615" s="1019"/>
      <c r="NU615" s="1019"/>
      <c r="NV615" s="1019"/>
      <c r="NW615" s="1019"/>
      <c r="NX615" s="1019"/>
      <c r="NY615" s="1019"/>
      <c r="NZ615" s="1019"/>
      <c r="OA615" s="1019"/>
      <c r="OB615" s="1019"/>
      <c r="OC615" s="1019"/>
      <c r="OD615" s="1019"/>
      <c r="OE615" s="1019"/>
      <c r="OF615" s="1019"/>
      <c r="OG615" s="1019"/>
      <c r="OH615" s="1019"/>
      <c r="OI615" s="1019"/>
      <c r="OJ615" s="1019"/>
      <c r="OK615" s="1019"/>
      <c r="OL615" s="1019"/>
      <c r="OM615" s="1019"/>
      <c r="ON615" s="1019"/>
      <c r="OO615" s="1019"/>
      <c r="OP615" s="1019"/>
      <c r="OQ615" s="1019"/>
      <c r="OR615" s="1019"/>
      <c r="OS615" s="1019"/>
      <c r="OT615" s="1019"/>
      <c r="OU615" s="1019"/>
      <c r="OV615" s="1019"/>
      <c r="OW615" s="1019"/>
      <c r="OX615" s="1019"/>
      <c r="OY615" s="1019"/>
      <c r="OZ615" s="1019"/>
      <c r="PA615" s="1019"/>
      <c r="PB615" s="1019"/>
      <c r="PC615" s="1019"/>
      <c r="PD615" s="1019"/>
      <c r="PE615" s="1019"/>
      <c r="PF615" s="1019"/>
      <c r="PG615" s="1019"/>
      <c r="PH615" s="1019"/>
      <c r="PI615" s="1019"/>
      <c r="PJ615" s="1019"/>
      <c r="PK615" s="1019"/>
      <c r="PL615" s="1019"/>
      <c r="PM615" s="1019"/>
      <c r="PN615" s="1019"/>
      <c r="PO615" s="1019"/>
      <c r="PP615" s="1019"/>
      <c r="PQ615" s="1019"/>
      <c r="PR615" s="1019"/>
      <c r="PS615" s="1019"/>
      <c r="PT615" s="1019"/>
      <c r="PU615" s="1019"/>
      <c r="PV615" s="1019"/>
      <c r="PW615" s="1019"/>
      <c r="PX615" s="1019"/>
      <c r="PY615" s="1019"/>
      <c r="PZ615" s="1019"/>
      <c r="QA615" s="1019"/>
      <c r="QB615" s="1019"/>
      <c r="QC615" s="1019"/>
      <c r="QD615" s="1019"/>
      <c r="QE615" s="1019"/>
      <c r="QF615" s="1019"/>
      <c r="QG615" s="1019"/>
      <c r="QH615" s="1019"/>
      <c r="QI615" s="1019"/>
      <c r="QJ615" s="1019"/>
      <c r="QK615" s="1019"/>
      <c r="QL615" s="1019"/>
      <c r="QM615" s="1019"/>
      <c r="QN615" s="1019"/>
      <c r="QO615" s="1019"/>
      <c r="QP615" s="1019"/>
      <c r="QQ615" s="1019"/>
      <c r="QR615" s="1019"/>
      <c r="QS615" s="1019"/>
      <c r="QT615" s="1019"/>
      <c r="QU615" s="1019"/>
      <c r="QV615" s="1019"/>
      <c r="QW615" s="1019"/>
      <c r="QX615" s="1019"/>
      <c r="QY615" s="1019"/>
      <c r="QZ615" s="1019"/>
      <c r="RA615" s="1019"/>
      <c r="RB615" s="1019"/>
      <c r="RC615" s="1019"/>
      <c r="RD615" s="1019"/>
      <c r="RE615" s="1019"/>
      <c r="RF615" s="1794"/>
      <c r="RG615" s="1019"/>
      <c r="RH615" s="1799"/>
      <c r="RI615" s="1019"/>
      <c r="RJ615" s="1714"/>
      <c r="RK615" s="1019"/>
      <c r="RL615" s="1808"/>
      <c r="RM615" s="1714" t="s">
        <v>13814</v>
      </c>
      <c r="RN615" s="1724">
        <v>42893</v>
      </c>
      <c r="RO615" s="533" t="s">
        <v>11435</v>
      </c>
      <c r="RS615" s="1713"/>
      <c r="RV615" s="1712" t="s">
        <v>7419</v>
      </c>
      <c r="RW615" s="35" t="s">
        <v>7995</v>
      </c>
      <c r="RX615" s="35" t="s">
        <v>4104</v>
      </c>
      <c r="SA615" s="1712"/>
    </row>
    <row r="616" spans="1:495" s="35" customFormat="1" ht="12.75" customHeight="1">
      <c r="A616" s="771" t="s">
        <v>7421</v>
      </c>
      <c r="B616" s="1082" t="s">
        <v>7827</v>
      </c>
      <c r="C616" s="533" t="s">
        <v>4106</v>
      </c>
      <c r="D616" s="843" t="s">
        <v>11440</v>
      </c>
      <c r="E616" s="1019" t="s">
        <v>4108</v>
      </c>
      <c r="F616" s="6" t="s">
        <v>20</v>
      </c>
      <c r="G616" s="6" t="s">
        <v>10</v>
      </c>
      <c r="H616" s="875"/>
      <c r="I616" s="1012"/>
      <c r="J616" s="843" t="s">
        <v>4107</v>
      </c>
      <c r="K616" s="6" t="s">
        <v>4109</v>
      </c>
      <c r="L616" s="6" t="s">
        <v>3933</v>
      </c>
      <c r="M616" s="1019" t="s">
        <v>1238</v>
      </c>
      <c r="N616" s="1019" t="s">
        <v>11438</v>
      </c>
      <c r="O616" s="1019" t="s">
        <v>11423</v>
      </c>
      <c r="P616" s="843" t="s">
        <v>11441</v>
      </c>
      <c r="Q616" s="1086">
        <v>26390</v>
      </c>
      <c r="R616" s="1015">
        <v>45</v>
      </c>
      <c r="S616" s="6" t="s">
        <v>10</v>
      </c>
      <c r="T616" s="6"/>
      <c r="U616" s="1012" t="s">
        <v>11442</v>
      </c>
      <c r="V616" s="6" t="s">
        <v>707</v>
      </c>
      <c r="W616" s="843" t="s">
        <v>11440</v>
      </c>
      <c r="X616" s="1086"/>
      <c r="Y616" s="1019" t="s">
        <v>4108</v>
      </c>
      <c r="Z616" s="6" t="s">
        <v>708</v>
      </c>
      <c r="AA616" s="6" t="s">
        <v>709</v>
      </c>
      <c r="AB616" s="6" t="s">
        <v>710</v>
      </c>
      <c r="AC616" s="1019" t="s">
        <v>724</v>
      </c>
      <c r="AD616" s="1019" t="s">
        <v>711</v>
      </c>
      <c r="AE616" s="1019"/>
      <c r="AF616" s="1019" t="s">
        <v>712</v>
      </c>
      <c r="AG616" s="6" t="s">
        <v>11443</v>
      </c>
      <c r="AH616" s="766" t="s">
        <v>1096</v>
      </c>
      <c r="AI616" s="6"/>
      <c r="AJ616" s="6" t="s">
        <v>1137</v>
      </c>
      <c r="AK616" s="6"/>
      <c r="AL616" s="1017">
        <v>16</v>
      </c>
      <c r="AM616" s="46">
        <v>16</v>
      </c>
      <c r="AN616" s="1018">
        <f t="shared" si="186"/>
        <v>1</v>
      </c>
      <c r="AO616" s="6" t="s">
        <v>1122</v>
      </c>
      <c r="AP616" s="6"/>
      <c r="AQ616" s="6"/>
      <c r="AR616" s="6"/>
      <c r="AS616" s="6"/>
      <c r="AT616" s="6"/>
      <c r="AU616" s="6"/>
      <c r="AV616" s="6"/>
      <c r="AW616" s="6"/>
      <c r="AX616" s="6"/>
      <c r="AY616" s="6"/>
      <c r="AZ616" s="6"/>
      <c r="BA616" s="6"/>
      <c r="BB616" s="6"/>
      <c r="BC616" s="6"/>
      <c r="BD616" s="6"/>
      <c r="BE616" s="6"/>
      <c r="BF616" s="64"/>
      <c r="BG616" s="64"/>
      <c r="BH616" s="6"/>
      <c r="BI616" s="6"/>
      <c r="BJ616" s="6"/>
      <c r="BK616" s="6"/>
      <c r="BL616" s="6"/>
      <c r="BM616" s="1019"/>
      <c r="BN616" s="1019"/>
      <c r="BO616" s="6"/>
      <c r="BP616" s="1116"/>
      <c r="BQ616" s="46"/>
      <c r="BR616" s="47"/>
      <c r="BS616" s="6"/>
      <c r="BT616" s="6"/>
      <c r="BU616" s="6"/>
      <c r="BV616" s="6"/>
      <c r="BW616" s="6"/>
      <c r="BX616" s="64"/>
      <c r="BY616" s="6"/>
      <c r="BZ616" s="64"/>
      <c r="CA616" s="6"/>
      <c r="CB616" s="1019" t="s">
        <v>1207</v>
      </c>
      <c r="CC616" s="6" t="s">
        <v>11444</v>
      </c>
      <c r="CD616" s="6"/>
      <c r="CE616" s="6"/>
      <c r="CF616" s="1792">
        <v>1</v>
      </c>
      <c r="CG616" s="1793">
        <v>14.9</v>
      </c>
      <c r="CH616" s="6" t="s">
        <v>3525</v>
      </c>
      <c r="CI616" s="6"/>
      <c r="CJ616" s="6"/>
      <c r="CK616" s="6">
        <v>7</v>
      </c>
      <c r="CL616" s="6" t="s">
        <v>1249</v>
      </c>
      <c r="CM616" s="6" t="s">
        <v>3633</v>
      </c>
      <c r="CN616" s="6"/>
      <c r="CO616" s="6" t="s">
        <v>1257</v>
      </c>
      <c r="CP616" s="6"/>
      <c r="CQ616" s="6"/>
      <c r="CR616" s="64"/>
      <c r="CS616" s="6"/>
      <c r="CT616" s="6"/>
      <c r="CU616" s="1022"/>
      <c r="CV616" s="6"/>
      <c r="CW616" s="6"/>
      <c r="CX616" s="6"/>
      <c r="CY616" s="6"/>
      <c r="CZ616" s="6"/>
      <c r="DA616" s="1024"/>
      <c r="DB616" s="6"/>
      <c r="DC616" s="6"/>
      <c r="DD616" s="6"/>
      <c r="DE616" s="45"/>
      <c r="DF616" s="6"/>
      <c r="DG616" s="6"/>
      <c r="DH616" s="6"/>
      <c r="DI616" s="6"/>
      <c r="DJ616" s="6"/>
      <c r="DK616" s="6"/>
      <c r="DL616" s="6"/>
      <c r="DM616" s="6"/>
      <c r="DN616" s="1126"/>
      <c r="DO616" s="6"/>
      <c r="DP616" s="6"/>
      <c r="DQ616" s="6"/>
      <c r="DR616" s="6"/>
      <c r="DS616" s="1023"/>
      <c r="DT616" s="6"/>
      <c r="DU616" s="6"/>
      <c r="DV616" s="6"/>
      <c r="DW616" s="1024"/>
      <c r="DX616" s="1024"/>
      <c r="DY616" s="6"/>
      <c r="DZ616" s="6"/>
      <c r="EA616" s="6"/>
      <c r="EB616" s="6"/>
      <c r="EC616" s="6"/>
      <c r="ED616" s="6"/>
      <c r="EE616" s="6"/>
      <c r="EF616" s="6"/>
      <c r="EG616" s="6"/>
      <c r="EH616" s="6"/>
      <c r="EI616" s="6"/>
      <c r="EJ616" s="6"/>
      <c r="EK616" s="6"/>
      <c r="EL616" s="6"/>
      <c r="EM616" s="6"/>
      <c r="EN616" s="6"/>
      <c r="EO616" s="6"/>
      <c r="EP616" s="843"/>
      <c r="EQ616" s="6"/>
      <c r="ER616" s="6"/>
      <c r="ES616" s="6"/>
      <c r="ET616" s="6"/>
      <c r="EU616" s="6"/>
      <c r="EV616" s="6"/>
      <c r="EW616" s="6"/>
      <c r="EX616" s="6"/>
      <c r="EY616" s="6"/>
      <c r="EZ616" s="6"/>
      <c r="FA616" s="6"/>
      <c r="FB616" s="6"/>
      <c r="FC616" s="6"/>
      <c r="FD616" s="64"/>
      <c r="FE616" s="6"/>
      <c r="FF616" s="6"/>
      <c r="FG616" s="6"/>
      <c r="FH616" s="6" t="s">
        <v>478</v>
      </c>
      <c r="FI616" s="6">
        <v>1</v>
      </c>
      <c r="FJ616" s="6"/>
      <c r="FK616" s="6"/>
      <c r="FL616" s="6"/>
      <c r="FM616" s="64"/>
      <c r="FN616" s="64"/>
      <c r="FO616" s="64"/>
      <c r="FP616" s="6"/>
      <c r="FQ616" s="6"/>
      <c r="FR616" s="6" t="s">
        <v>1214</v>
      </c>
      <c r="FS616" s="6"/>
      <c r="FT616" s="6"/>
      <c r="FU616" s="6"/>
      <c r="FV616" s="6"/>
      <c r="FW616" s="6"/>
      <c r="FX616" s="6"/>
      <c r="FY616" s="6"/>
      <c r="FZ616" s="6"/>
      <c r="GA616" s="6"/>
      <c r="GB616" s="6" t="s">
        <v>1734</v>
      </c>
      <c r="GC616" s="1028"/>
      <c r="GD616" s="1015">
        <v>1974</v>
      </c>
      <c r="GE616" s="6" t="s">
        <v>1214</v>
      </c>
      <c r="GF616" s="64"/>
      <c r="GG616" s="64"/>
      <c r="GH616" s="6"/>
      <c r="GI616" s="6"/>
      <c r="GJ616" s="6"/>
      <c r="GK616" s="1019"/>
      <c r="GL616" s="6"/>
      <c r="GM616" s="6"/>
      <c r="GN616" s="124"/>
      <c r="GO616" s="1019"/>
      <c r="GP616" s="6"/>
      <c r="GQ616" s="6"/>
      <c r="GR616" s="6"/>
      <c r="GS616" s="6"/>
      <c r="GT616" s="6"/>
      <c r="GU616" s="6"/>
      <c r="GV616" s="6"/>
      <c r="GW616" s="6"/>
      <c r="GX616" s="6"/>
      <c r="GY616" s="6"/>
      <c r="GZ616" s="6"/>
      <c r="HA616" s="6"/>
      <c r="HB616" s="6"/>
      <c r="HC616" s="6"/>
      <c r="HD616" s="6"/>
      <c r="HE616" s="6"/>
      <c r="HF616" s="6"/>
      <c r="HG616" s="6"/>
      <c r="HH616" s="6"/>
      <c r="HI616" s="6"/>
      <c r="HJ616" s="6"/>
      <c r="HK616" s="1019"/>
      <c r="HL616" s="6"/>
      <c r="HM616" s="6"/>
      <c r="HN616" s="6"/>
      <c r="HO616" s="6"/>
      <c r="HP616" s="6"/>
      <c r="HQ616" s="6"/>
      <c r="HR616" s="6">
        <v>2</v>
      </c>
      <c r="HS616" s="6"/>
      <c r="HT616" s="6">
        <v>1</v>
      </c>
      <c r="HU616" s="6"/>
      <c r="HV616" s="6"/>
      <c r="HW616" s="6"/>
      <c r="HX616" s="6"/>
      <c r="HY616" s="6"/>
      <c r="HZ616" s="6"/>
      <c r="IA616" s="6"/>
      <c r="IB616" s="6"/>
      <c r="IC616" s="6"/>
      <c r="ID616" s="6"/>
      <c r="IE616" s="6"/>
      <c r="IF616" s="6"/>
      <c r="IG616" s="6"/>
      <c r="IH616" s="6"/>
      <c r="II616" s="1019"/>
      <c r="IJ616" s="6"/>
      <c r="IK616" s="1019"/>
      <c r="IL616" s="6"/>
      <c r="IM616" s="6"/>
      <c r="IN616" s="6"/>
      <c r="IO616" s="1014"/>
      <c r="IP616" s="6"/>
      <c r="IQ616" s="6"/>
      <c r="IR616" s="6"/>
      <c r="IS616" s="6"/>
      <c r="IT616" s="6"/>
      <c r="IU616" s="6"/>
      <c r="IV616" s="6"/>
      <c r="IW616" s="6"/>
      <c r="IX616" s="6"/>
      <c r="IY616" s="6"/>
      <c r="IZ616" s="875"/>
      <c r="JA616" s="6"/>
      <c r="JB616" s="1019"/>
      <c r="JC616" s="6"/>
      <c r="JD616" s="64"/>
      <c r="JE616" s="6"/>
      <c r="JF616" s="6"/>
      <c r="JG616" s="6"/>
      <c r="JH616" s="1023"/>
      <c r="JI616" s="1023"/>
      <c r="JJ616" s="6"/>
      <c r="JK616" s="6"/>
      <c r="JL616" s="6"/>
      <c r="JM616" s="6"/>
      <c r="JN616" s="6"/>
      <c r="JO616" s="6"/>
      <c r="JP616" s="6"/>
      <c r="JQ616" s="6"/>
      <c r="JR616" s="6"/>
      <c r="JS616" s="6"/>
      <c r="JT616" s="766"/>
      <c r="JU616" s="766"/>
      <c r="JV616" s="766"/>
      <c r="JW616" s="766"/>
      <c r="JX616" s="1019"/>
      <c r="JY616" s="1019"/>
      <c r="JZ616" s="1019"/>
      <c r="KA616" s="1019"/>
      <c r="KB616" s="1019"/>
      <c r="KC616" s="1019"/>
      <c r="KD616" s="1019"/>
      <c r="KE616" s="1019"/>
      <c r="KF616" s="1019"/>
      <c r="KG616" s="1019"/>
      <c r="KH616" s="1019"/>
      <c r="KI616" s="1019"/>
      <c r="KJ616" s="770"/>
      <c r="KK616" s="770"/>
      <c r="KL616" s="770"/>
      <c r="KM616" s="770"/>
      <c r="KN616" s="6"/>
      <c r="KO616" s="6"/>
      <c r="KP616" s="6"/>
      <c r="KQ616" s="6"/>
      <c r="KR616" s="6"/>
      <c r="KS616" s="6"/>
      <c r="KT616" s="6"/>
      <c r="KU616" s="6"/>
      <c r="KV616" s="6"/>
      <c r="KW616" s="6"/>
      <c r="KX616" s="6"/>
      <c r="KY616" s="6"/>
      <c r="KZ616" s="6"/>
      <c r="LA616" s="6"/>
      <c r="LB616" s="6"/>
      <c r="LC616" s="6"/>
      <c r="LD616" s="6"/>
      <c r="LE616" s="6"/>
      <c r="LF616" s="6"/>
      <c r="LG616" s="6"/>
      <c r="LH616" s="6"/>
      <c r="LI616" s="6"/>
      <c r="LJ616" s="6"/>
      <c r="LK616" s="6"/>
      <c r="LL616" s="6"/>
      <c r="LM616" s="6"/>
      <c r="LN616" s="766"/>
      <c r="LO616" s="766"/>
      <c r="LP616" s="6"/>
      <c r="LQ616" s="6"/>
      <c r="LR616" s="6"/>
      <c r="LS616" s="6"/>
      <c r="LT616" s="6"/>
      <c r="LU616" s="6"/>
      <c r="LV616" s="6"/>
      <c r="LW616" s="6"/>
      <c r="LX616" s="1693"/>
      <c r="LY616" s="766" t="str">
        <f t="shared" si="160"/>
        <v/>
      </c>
      <c r="LZ616" s="1694"/>
      <c r="MA616" s="1694"/>
      <c r="MB616" s="1694"/>
      <c r="MC616" s="1679">
        <f t="shared" si="185"/>
        <v>0</v>
      </c>
      <c r="MD616" s="1694"/>
      <c r="ME616" s="1694"/>
      <c r="MF616" s="1694"/>
      <c r="MG616" s="1680">
        <f t="shared" si="164"/>
        <v>0</v>
      </c>
      <c r="MH616" s="6"/>
      <c r="MI616" s="64"/>
      <c r="MJ616" s="64"/>
      <c r="MK616" s="64"/>
      <c r="ML616" s="64"/>
      <c r="MM616" s="64"/>
      <c r="MN616" s="875"/>
      <c r="MO616" s="64"/>
      <c r="MP616" s="64"/>
      <c r="MQ616" s="64"/>
      <c r="MR616" s="64"/>
      <c r="MS616" s="64"/>
      <c r="MT616" s="875"/>
      <c r="MU616" s="64"/>
      <c r="MV616" s="64"/>
      <c r="MW616" s="64"/>
      <c r="MX616" s="64"/>
      <c r="MY616" s="1682">
        <f t="shared" si="165"/>
        <v>0</v>
      </c>
      <c r="MZ616" s="1019"/>
      <c r="NA616" s="1019"/>
      <c r="NB616" s="1019"/>
      <c r="NC616" s="1019"/>
      <c r="ND616" s="6"/>
      <c r="NE616" s="6"/>
      <c r="NF616" s="6"/>
      <c r="NG616" s="6"/>
      <c r="NH616" s="6"/>
      <c r="NI616" s="6"/>
      <c r="NJ616" s="6"/>
      <c r="NK616" s="6"/>
      <c r="NL616" s="6"/>
      <c r="NM616" s="6"/>
      <c r="NN616" s="6"/>
      <c r="NO616" s="6"/>
      <c r="NP616" s="6"/>
      <c r="NQ616" s="6"/>
      <c r="NR616" s="6"/>
      <c r="NS616" s="6"/>
      <c r="NT616" s="6"/>
      <c r="NU616" s="6"/>
      <c r="NV616" s="6"/>
      <c r="NW616" s="6"/>
      <c r="NX616" s="6"/>
      <c r="NY616" s="6"/>
      <c r="NZ616" s="6"/>
      <c r="OA616" s="6"/>
      <c r="OB616" s="6"/>
      <c r="OC616" s="6"/>
      <c r="OD616" s="6"/>
      <c r="OE616" s="6"/>
      <c r="OF616" s="1019"/>
      <c r="OG616" s="6"/>
      <c r="OH616" s="6"/>
      <c r="OI616" s="6"/>
      <c r="OJ616" s="6"/>
      <c r="OK616" s="6"/>
      <c r="OL616" s="6"/>
      <c r="OM616" s="6"/>
      <c r="ON616" s="6"/>
      <c r="OO616" s="6"/>
      <c r="OP616" s="6"/>
      <c r="OQ616" s="6"/>
      <c r="OR616" s="6"/>
      <c r="OS616" s="6"/>
      <c r="OT616" s="6"/>
      <c r="OU616" s="6"/>
      <c r="OV616" s="6"/>
      <c r="OW616" s="6"/>
      <c r="OX616" s="6"/>
      <c r="OY616" s="6"/>
      <c r="OZ616" s="6"/>
      <c r="PA616" s="6"/>
      <c r="PB616" s="6"/>
      <c r="PC616" s="6"/>
      <c r="PD616" s="6"/>
      <c r="PE616" s="6"/>
      <c r="PF616" s="6"/>
      <c r="PG616" s="6"/>
      <c r="PH616" s="6"/>
      <c r="PI616" s="6"/>
      <c r="PJ616" s="6"/>
      <c r="PK616" s="6"/>
      <c r="PL616" s="6"/>
      <c r="PM616" s="6"/>
      <c r="PN616" s="6"/>
      <c r="PO616" s="6"/>
      <c r="PP616" s="6"/>
      <c r="PQ616" s="6"/>
      <c r="PR616" s="6"/>
      <c r="PS616" s="6"/>
      <c r="PT616" s="6"/>
      <c r="PU616" s="6"/>
      <c r="PV616" s="6"/>
      <c r="PW616" s="6"/>
      <c r="PX616" s="6"/>
      <c r="PY616" s="6"/>
      <c r="PZ616" s="6"/>
      <c r="QA616" s="6"/>
      <c r="QB616" s="6"/>
      <c r="QC616" s="6"/>
      <c r="QD616" s="6"/>
      <c r="QE616" s="6"/>
      <c r="QF616" s="6"/>
      <c r="QG616" s="6"/>
      <c r="QH616" s="6"/>
      <c r="QI616" s="6"/>
      <c r="QJ616" s="6"/>
      <c r="QK616" s="6"/>
      <c r="QL616" s="6"/>
      <c r="QM616" s="6"/>
      <c r="QN616" s="6"/>
      <c r="QO616" s="6"/>
      <c r="QP616" s="6"/>
      <c r="QQ616" s="6"/>
      <c r="QR616" s="6"/>
      <c r="QS616" s="6"/>
      <c r="QT616" s="6"/>
      <c r="QU616" s="6"/>
      <c r="QV616" s="6"/>
      <c r="QW616" s="6"/>
      <c r="QX616" s="6"/>
      <c r="QY616" s="6"/>
      <c r="QZ616" s="6"/>
      <c r="RA616" s="6"/>
      <c r="RB616" s="6"/>
      <c r="RC616" s="6"/>
      <c r="RD616" s="6"/>
      <c r="RE616" s="6"/>
      <c r="RF616" s="1794"/>
      <c r="RG616" s="6"/>
      <c r="RH616" s="64"/>
      <c r="RI616" s="6"/>
      <c r="RJ616" s="6" t="s">
        <v>13815</v>
      </c>
      <c r="RK616" s="1019" t="s">
        <v>13550</v>
      </c>
      <c r="RL616" s="1691">
        <v>42835</v>
      </c>
      <c r="RM616" s="843" t="s">
        <v>13816</v>
      </c>
      <c r="RN616" s="1795"/>
      <c r="RO616" s="533" t="s">
        <v>4106</v>
      </c>
      <c r="RR616" s="771"/>
      <c r="RS616" s="93"/>
      <c r="RV616" s="93"/>
      <c r="RW616" s="35" t="s">
        <v>11414</v>
      </c>
      <c r="RX616" s="35" t="s">
        <v>11415</v>
      </c>
      <c r="RZ616" s="35" t="s">
        <v>1101</v>
      </c>
      <c r="SA616" s="93"/>
    </row>
    <row r="617" spans="1:495" s="35" customFormat="1" ht="12.75" customHeight="1">
      <c r="A617" s="19" t="s">
        <v>7421</v>
      </c>
      <c r="B617" s="1082" t="s">
        <v>7826</v>
      </c>
      <c r="C617" s="533" t="s">
        <v>3010</v>
      </c>
      <c r="D617" s="1714" t="s">
        <v>3015</v>
      </c>
      <c r="E617" s="1019" t="s">
        <v>11445</v>
      </c>
      <c r="F617" s="1019" t="s">
        <v>28</v>
      </c>
      <c r="G617" s="1019" t="s">
        <v>10</v>
      </c>
      <c r="H617" s="1019"/>
      <c r="I617" s="1812" t="s">
        <v>3011</v>
      </c>
      <c r="J617" s="1714" t="s">
        <v>3015</v>
      </c>
      <c r="K617" s="6" t="s">
        <v>11446</v>
      </c>
      <c r="L617" s="6" t="s">
        <v>11447</v>
      </c>
      <c r="M617" s="1019" t="s">
        <v>2402</v>
      </c>
      <c r="N617" s="1019" t="s">
        <v>11438</v>
      </c>
      <c r="O617" s="1019" t="s">
        <v>11422</v>
      </c>
      <c r="P617" s="1019" t="s">
        <v>11448</v>
      </c>
      <c r="Q617" s="1831">
        <v>19245</v>
      </c>
      <c r="R617" s="1718">
        <v>65</v>
      </c>
      <c r="S617" s="1019" t="s">
        <v>10</v>
      </c>
      <c r="T617" s="1019"/>
      <c r="U617" s="1825" t="s">
        <v>3011</v>
      </c>
      <c r="V617" s="1019" t="s">
        <v>707</v>
      </c>
      <c r="W617" s="1825"/>
      <c r="X617" s="1805"/>
      <c r="Y617" s="1019" t="s">
        <v>11445</v>
      </c>
      <c r="Z617" s="1019" t="s">
        <v>708</v>
      </c>
      <c r="AA617" s="1019" t="s">
        <v>748</v>
      </c>
      <c r="AB617" s="1019" t="s">
        <v>710</v>
      </c>
      <c r="AC617" s="1019" t="s">
        <v>724</v>
      </c>
      <c r="AD617" s="1019"/>
      <c r="AE617" s="1019" t="s">
        <v>1073</v>
      </c>
      <c r="AF617" s="1019"/>
      <c r="AG617" s="1019" t="s">
        <v>1095</v>
      </c>
      <c r="AH617" s="766" t="s">
        <v>1096</v>
      </c>
      <c r="AI617" s="1019" t="s">
        <v>3012</v>
      </c>
      <c r="AJ617" s="1019"/>
      <c r="AK617" s="1019" t="s">
        <v>1097</v>
      </c>
      <c r="AL617" s="1770">
        <v>50</v>
      </c>
      <c r="AM617" s="1108">
        <v>35</v>
      </c>
      <c r="AN617" s="1078">
        <f t="shared" si="186"/>
        <v>0.7</v>
      </c>
      <c r="AO617" s="6" t="s">
        <v>1105</v>
      </c>
      <c r="AP617" s="6"/>
      <c r="AQ617" s="6"/>
      <c r="AR617" s="6"/>
      <c r="AS617" s="1019" t="s">
        <v>1207</v>
      </c>
      <c r="AT617" s="1019" t="s">
        <v>1208</v>
      </c>
      <c r="AU617" s="1019"/>
      <c r="AV617" s="1019"/>
      <c r="AW617" s="1019"/>
      <c r="AX617" s="1032"/>
      <c r="AY617" s="1019"/>
      <c r="AZ617" s="1019"/>
      <c r="BA617" s="1019"/>
      <c r="BB617" s="1019"/>
      <c r="BC617" s="1019" t="s">
        <v>796</v>
      </c>
      <c r="BD617" s="1019"/>
      <c r="BE617" s="1019"/>
      <c r="BF617" s="1027"/>
      <c r="BG617" s="1027"/>
      <c r="BH617" s="1019"/>
      <c r="BI617" s="1019"/>
      <c r="BJ617" s="1019"/>
      <c r="BK617" s="1019"/>
      <c r="BL617" s="1019"/>
      <c r="BM617" s="1019"/>
      <c r="BN617" s="1019"/>
      <c r="BO617" s="1019"/>
      <c r="BP617" s="1116"/>
      <c r="BQ617" s="46"/>
      <c r="BR617" s="47"/>
      <c r="BS617" s="6"/>
      <c r="BT617" s="1019"/>
      <c r="BU617" s="1019"/>
      <c r="BV617" s="1019"/>
      <c r="BW617" s="1019"/>
      <c r="BX617" s="1027"/>
      <c r="BY617" s="1019"/>
      <c r="BZ617" s="1027"/>
      <c r="CA617" s="1019"/>
      <c r="CB617" s="1019" t="s">
        <v>1207</v>
      </c>
      <c r="CC617" s="1019" t="s">
        <v>3012</v>
      </c>
      <c r="CD617" s="1019"/>
      <c r="CE617" s="1019"/>
      <c r="CF617" s="1796">
        <v>1</v>
      </c>
      <c r="CG617" s="1797">
        <v>20</v>
      </c>
      <c r="CH617" s="1019" t="s">
        <v>11449</v>
      </c>
      <c r="CI617" s="1019"/>
      <c r="CJ617" s="1019" t="s">
        <v>11026</v>
      </c>
      <c r="CK617" s="1019">
        <v>5</v>
      </c>
      <c r="CL617" s="1019" t="s">
        <v>1249</v>
      </c>
      <c r="CM617" s="6" t="s">
        <v>3399</v>
      </c>
      <c r="CN617" s="1019"/>
      <c r="CO617" s="1019" t="s">
        <v>1105</v>
      </c>
      <c r="CP617" s="1019"/>
      <c r="CQ617" s="1019"/>
      <c r="CR617" s="1027"/>
      <c r="CS617" s="1019"/>
      <c r="CT617" s="1019"/>
      <c r="CU617" s="1798"/>
      <c r="CV617" s="1019"/>
      <c r="CW617" s="1019"/>
      <c r="CX617" s="1019"/>
      <c r="CY617" s="1019"/>
      <c r="CZ617" s="1019"/>
      <c r="DA617" s="1799"/>
      <c r="DB617" s="1019"/>
      <c r="DC617" s="1019"/>
      <c r="DD617" s="1019"/>
      <c r="DE617" s="1800"/>
      <c r="DF617" s="1019"/>
      <c r="DG617" s="1019"/>
      <c r="DH617" s="1019"/>
      <c r="DI617" s="1019"/>
      <c r="DJ617" s="1019"/>
      <c r="DK617" s="1019"/>
      <c r="DL617" s="1019"/>
      <c r="DM617" s="1019"/>
      <c r="DN617" s="1801"/>
      <c r="DO617" s="1019"/>
      <c r="DP617" s="1019"/>
      <c r="DQ617" s="1019"/>
      <c r="DR617" s="1019"/>
      <c r="DS617" s="1802"/>
      <c r="DT617" s="1019"/>
      <c r="DU617" s="1019"/>
      <c r="DV617" s="1019"/>
      <c r="DW617" s="1799"/>
      <c r="DX617" s="1799"/>
      <c r="DY617" s="1019"/>
      <c r="DZ617" s="1019"/>
      <c r="EA617" s="1019"/>
      <c r="EB617" s="1019"/>
      <c r="EC617" s="1019"/>
      <c r="ED617" s="1019"/>
      <c r="EE617" s="1019"/>
      <c r="EF617" s="1019"/>
      <c r="EG617" s="1019"/>
      <c r="EH617" s="1019"/>
      <c r="EI617" s="1019"/>
      <c r="EJ617" s="1019"/>
      <c r="EK617" s="1019"/>
      <c r="EL617" s="1019"/>
      <c r="EM617" s="1019"/>
      <c r="EN617" s="1019"/>
      <c r="EO617" s="1019"/>
      <c r="EP617" s="1714"/>
      <c r="EQ617" s="1019"/>
      <c r="ER617" s="1019"/>
      <c r="ES617" s="1019"/>
      <c r="ET617" s="1019"/>
      <c r="EU617" s="1019"/>
      <c r="EV617" s="1019"/>
      <c r="EW617" s="1019"/>
      <c r="EX617" s="1019"/>
      <c r="EY617" s="1019"/>
      <c r="EZ617" s="1019" t="s">
        <v>3012</v>
      </c>
      <c r="FA617" s="1019" t="s">
        <v>11450</v>
      </c>
      <c r="FB617" s="1019"/>
      <c r="FC617" s="1019"/>
      <c r="FD617" s="1027"/>
      <c r="FE617" s="1019" t="s">
        <v>11451</v>
      </c>
      <c r="FF617" s="1019"/>
      <c r="FG617" s="1019"/>
      <c r="FH617" s="1019"/>
      <c r="FI617" s="1019"/>
      <c r="FJ617" s="1019"/>
      <c r="FK617" s="1019"/>
      <c r="FL617" s="1019"/>
      <c r="FM617" s="1027"/>
      <c r="FN617" s="1027"/>
      <c r="FO617" s="1027"/>
      <c r="FP617" s="1019"/>
      <c r="FQ617" s="1019"/>
      <c r="FR617" s="1019" t="s">
        <v>1207</v>
      </c>
      <c r="FS617" s="1019" t="s">
        <v>1208</v>
      </c>
      <c r="FT617" s="1019" t="s">
        <v>1208</v>
      </c>
      <c r="FU617" s="1019"/>
      <c r="FV617" s="1019"/>
      <c r="FW617" s="1019"/>
      <c r="FX617" s="1019"/>
      <c r="FY617" s="1019"/>
      <c r="FZ617" s="1019"/>
      <c r="GA617" s="1019"/>
      <c r="GB617" s="1019" t="s">
        <v>796</v>
      </c>
      <c r="GC617" s="1717" t="s">
        <v>3013</v>
      </c>
      <c r="GD617" s="1718">
        <v>2016</v>
      </c>
      <c r="GE617" s="1019" t="s">
        <v>1207</v>
      </c>
      <c r="GF617" s="1027">
        <v>4500</v>
      </c>
      <c r="GG617" s="1027">
        <f>GF617*12</f>
        <v>54000</v>
      </c>
      <c r="GH617" s="1019"/>
      <c r="GI617" s="1019"/>
      <c r="GJ617" s="1019"/>
      <c r="GK617" s="1019"/>
      <c r="GL617" s="1019"/>
      <c r="GM617" s="1019"/>
      <c r="GN617" s="1804"/>
      <c r="GO617" s="1019"/>
      <c r="GP617" s="1019"/>
      <c r="GQ617" s="1019"/>
      <c r="GR617" s="1019"/>
      <c r="GS617" s="1019"/>
      <c r="GT617" s="1019"/>
      <c r="GU617" s="1019"/>
      <c r="GV617" s="1019"/>
      <c r="GW617" s="1019"/>
      <c r="GX617" s="1019"/>
      <c r="GY617" s="1019"/>
      <c r="GZ617" s="1019"/>
      <c r="HA617" s="1019"/>
      <c r="HB617" s="1019"/>
      <c r="HC617" s="1019"/>
      <c r="HD617" s="1019"/>
      <c r="HE617" s="1019"/>
      <c r="HF617" s="1019"/>
      <c r="HG617" s="1019"/>
      <c r="HH617" s="1019"/>
      <c r="HI617" s="1019"/>
      <c r="HJ617" s="1019"/>
      <c r="HK617" s="1019"/>
      <c r="HL617" s="1019"/>
      <c r="HM617" s="1019"/>
      <c r="HN617" s="1019"/>
      <c r="HO617" s="1019"/>
      <c r="HP617" s="1019"/>
      <c r="HQ617" s="1019"/>
      <c r="HR617" s="1019"/>
      <c r="HS617" s="1019"/>
      <c r="HT617" s="1019"/>
      <c r="HU617" s="1019"/>
      <c r="HV617" s="1019"/>
      <c r="HW617" s="1019"/>
      <c r="HX617" s="1019"/>
      <c r="HY617" s="1019"/>
      <c r="HZ617" s="1019"/>
      <c r="IA617" s="1019"/>
      <c r="IB617" s="1019"/>
      <c r="IC617" s="1019"/>
      <c r="ID617" s="1019"/>
      <c r="IE617" s="1019"/>
      <c r="IF617" s="1019"/>
      <c r="IG617" s="1019"/>
      <c r="IH617" s="1019"/>
      <c r="II617" s="1019"/>
      <c r="IJ617" s="1019"/>
      <c r="IK617" s="1019"/>
      <c r="IL617" s="1019"/>
      <c r="IM617" s="1019"/>
      <c r="IN617" s="1019"/>
      <c r="IO617" s="1805"/>
      <c r="IP617" s="1019"/>
      <c r="IQ617" s="1019"/>
      <c r="IR617" s="1019"/>
      <c r="IS617" s="1019"/>
      <c r="IT617" s="1019"/>
      <c r="IU617" s="1019"/>
      <c r="IV617" s="1019"/>
      <c r="IW617" s="1019"/>
      <c r="IX617" s="1019"/>
      <c r="IY617" s="1019"/>
      <c r="IZ617" s="1019"/>
      <c r="JA617" s="1019"/>
      <c r="JB617" s="1019"/>
      <c r="JC617" s="1019"/>
      <c r="JD617" s="1027"/>
      <c r="JE617" s="1019"/>
      <c r="JF617" s="1019"/>
      <c r="JG617" s="1019"/>
      <c r="JH617" s="1802"/>
      <c r="JI617" s="1802"/>
      <c r="JJ617" s="1019"/>
      <c r="JK617" s="1019"/>
      <c r="JL617" s="1019"/>
      <c r="JM617" s="1019"/>
      <c r="JN617" s="1019"/>
      <c r="JO617" s="1019"/>
      <c r="JP617" s="1019"/>
      <c r="JQ617" s="1019"/>
      <c r="JR617" s="1019"/>
      <c r="JS617" s="1019"/>
      <c r="JT617" s="766"/>
      <c r="JU617" s="766"/>
      <c r="JV617" s="766"/>
      <c r="JW617" s="766"/>
      <c r="JX617" s="1019"/>
      <c r="JY617" s="1019"/>
      <c r="JZ617" s="1019"/>
      <c r="KA617" s="1019"/>
      <c r="KB617" s="1019"/>
      <c r="KC617" s="1019"/>
      <c r="KD617" s="1019"/>
      <c r="KE617" s="1019"/>
      <c r="KF617" s="1019"/>
      <c r="KG617" s="1019"/>
      <c r="KH617" s="1019"/>
      <c r="KI617" s="1019"/>
      <c r="KJ617" s="770"/>
      <c r="KK617" s="770"/>
      <c r="KL617" s="770"/>
      <c r="KM617" s="770"/>
      <c r="KN617" s="1019"/>
      <c r="KO617" s="1019"/>
      <c r="KP617" s="1019"/>
      <c r="KQ617" s="1019"/>
      <c r="KR617" s="1019"/>
      <c r="KS617" s="1019"/>
      <c r="KT617" s="1019"/>
      <c r="KU617" s="1019"/>
      <c r="KV617" s="1019"/>
      <c r="KW617" s="1019"/>
      <c r="KX617" s="1019"/>
      <c r="KY617" s="1019"/>
      <c r="KZ617" s="1019"/>
      <c r="LA617" s="1019"/>
      <c r="LB617" s="1019"/>
      <c r="LC617" s="1019"/>
      <c r="LD617" s="1019"/>
      <c r="LE617" s="1019"/>
      <c r="LF617" s="1019"/>
      <c r="LG617" s="1019"/>
      <c r="LH617" s="1019"/>
      <c r="LI617" s="1019"/>
      <c r="LJ617" s="1019"/>
      <c r="LK617" s="1019"/>
      <c r="LL617" s="1019"/>
      <c r="LM617" s="1019"/>
      <c r="LN617" s="766"/>
      <c r="LO617" s="766"/>
      <c r="LP617" s="1019"/>
      <c r="LQ617" s="1019"/>
      <c r="LR617" s="1019"/>
      <c r="LS617" s="1019"/>
      <c r="LT617" s="1019"/>
      <c r="LU617" s="1019"/>
      <c r="LV617" s="1019"/>
      <c r="LW617" s="1019"/>
      <c r="LX617" s="1693"/>
      <c r="LY617" s="766" t="str">
        <f t="shared" si="160"/>
        <v/>
      </c>
      <c r="LZ617" s="1807"/>
      <c r="MA617" s="1807"/>
      <c r="MB617" s="1807"/>
      <c r="MC617" s="1679">
        <f t="shared" si="185"/>
        <v>0</v>
      </c>
      <c r="MD617" s="1807"/>
      <c r="ME617" s="1807"/>
      <c r="MF617" s="1807"/>
      <c r="MG617" s="1680">
        <f t="shared" si="164"/>
        <v>0</v>
      </c>
      <c r="MH617" s="1019"/>
      <c r="MI617" s="64"/>
      <c r="MJ617" s="1027"/>
      <c r="MK617" s="1027"/>
      <c r="ML617" s="1027"/>
      <c r="MM617" s="1027"/>
      <c r="MN617" s="1027"/>
      <c r="MO617" s="1027"/>
      <c r="MP617" s="1027"/>
      <c r="MQ617" s="1027"/>
      <c r="MR617" s="1027"/>
      <c r="MS617" s="1027"/>
      <c r="MT617" s="1027"/>
      <c r="MU617" s="1027"/>
      <c r="MV617" s="1027"/>
      <c r="MW617" s="1027"/>
      <c r="MX617" s="1027"/>
      <c r="MY617" s="1682">
        <f t="shared" si="165"/>
        <v>0</v>
      </c>
      <c r="MZ617" s="1019"/>
      <c r="NA617" s="1019"/>
      <c r="NB617" s="1019"/>
      <c r="NC617" s="1019"/>
      <c r="ND617" s="1019"/>
      <c r="NE617" s="1019"/>
      <c r="NF617" s="1019"/>
      <c r="NG617" s="1019"/>
      <c r="NH617" s="1019"/>
      <c r="NI617" s="1019"/>
      <c r="NJ617" s="1019"/>
      <c r="NK617" s="1019"/>
      <c r="NL617" s="1019"/>
      <c r="NM617" s="1019"/>
      <c r="NN617" s="1019"/>
      <c r="NO617" s="1019"/>
      <c r="NP617" s="1019"/>
      <c r="NQ617" s="1019"/>
      <c r="NR617" s="1019"/>
      <c r="NS617" s="1019"/>
      <c r="NT617" s="1019"/>
      <c r="NU617" s="1019"/>
      <c r="NV617" s="1019"/>
      <c r="NW617" s="1019"/>
      <c r="NX617" s="1019"/>
      <c r="NY617" s="1019"/>
      <c r="NZ617" s="1019"/>
      <c r="OA617" s="1019"/>
      <c r="OB617" s="1019"/>
      <c r="OC617" s="1019"/>
      <c r="OD617" s="1019"/>
      <c r="OE617" s="1019"/>
      <c r="OF617" s="1019"/>
      <c r="OG617" s="1019"/>
      <c r="OH617" s="1019"/>
      <c r="OI617" s="1019"/>
      <c r="OJ617" s="1019"/>
      <c r="OK617" s="1019"/>
      <c r="OL617" s="1019"/>
      <c r="OM617" s="1019"/>
      <c r="ON617" s="1019"/>
      <c r="OO617" s="1019"/>
      <c r="OP617" s="1019"/>
      <c r="OQ617" s="1019"/>
      <c r="OR617" s="1019"/>
      <c r="OS617" s="1019"/>
      <c r="OT617" s="1019"/>
      <c r="OU617" s="1019"/>
      <c r="OV617" s="1019"/>
      <c r="OW617" s="1019"/>
      <c r="OX617" s="1019"/>
      <c r="OY617" s="1019"/>
      <c r="OZ617" s="1019"/>
      <c r="PA617" s="1019"/>
      <c r="PB617" s="1019"/>
      <c r="PC617" s="1019"/>
      <c r="PD617" s="1019"/>
      <c r="PE617" s="1019"/>
      <c r="PF617" s="1019"/>
      <c r="PG617" s="1019"/>
      <c r="PH617" s="1019"/>
      <c r="PI617" s="1019"/>
      <c r="PJ617" s="1019"/>
      <c r="PK617" s="1019"/>
      <c r="PL617" s="1019"/>
      <c r="PM617" s="1019"/>
      <c r="PN617" s="1019"/>
      <c r="PO617" s="1019"/>
      <c r="PP617" s="1019"/>
      <c r="PQ617" s="1019"/>
      <c r="PR617" s="1019"/>
      <c r="PS617" s="1019"/>
      <c r="PT617" s="1019"/>
      <c r="PU617" s="1019"/>
      <c r="PV617" s="1019"/>
      <c r="PW617" s="1019"/>
      <c r="PX617" s="1019"/>
      <c r="PY617" s="1019"/>
      <c r="PZ617" s="1019"/>
      <c r="QA617" s="1019"/>
      <c r="QB617" s="1019"/>
      <c r="QC617" s="1019"/>
      <c r="QD617" s="1019"/>
      <c r="QE617" s="1019"/>
      <c r="QF617" s="1019"/>
      <c r="QG617" s="1019"/>
      <c r="QH617" s="1019"/>
      <c r="QI617" s="1019"/>
      <c r="QJ617" s="1019"/>
      <c r="QK617" s="1019"/>
      <c r="QL617" s="1019"/>
      <c r="QM617" s="1019"/>
      <c r="QN617" s="1019"/>
      <c r="QO617" s="1019"/>
      <c r="QP617" s="1019"/>
      <c r="QQ617" s="1019"/>
      <c r="QR617" s="1019"/>
      <c r="QS617" s="1019"/>
      <c r="QT617" s="1019"/>
      <c r="QU617" s="1019"/>
      <c r="QV617" s="1019"/>
      <c r="QW617" s="1019"/>
      <c r="QX617" s="1019"/>
      <c r="QY617" s="1019"/>
      <c r="QZ617" s="1019"/>
      <c r="RA617" s="1019"/>
      <c r="RB617" s="1019"/>
      <c r="RC617" s="1019"/>
      <c r="RD617" s="1019"/>
      <c r="RE617" s="1019"/>
      <c r="RF617" s="1794"/>
      <c r="RG617" s="1019"/>
      <c r="RH617" s="1027"/>
      <c r="RI617" s="1019"/>
      <c r="RJ617" s="1019" t="s">
        <v>13817</v>
      </c>
      <c r="RK617" s="1019" t="s">
        <v>13556</v>
      </c>
      <c r="RL617" s="1810"/>
      <c r="RM617" s="1714"/>
      <c r="RN617" s="1724"/>
      <c r="RO617" s="533" t="s">
        <v>3010</v>
      </c>
      <c r="RR617" s="17"/>
      <c r="RS617" s="1013"/>
      <c r="RV617" s="93"/>
      <c r="RW617" s="35" t="s">
        <v>11434</v>
      </c>
      <c r="RX617" s="35" t="s">
        <v>11435</v>
      </c>
      <c r="RZ617" s="35" t="s">
        <v>1101</v>
      </c>
      <c r="SA617" s="93"/>
    </row>
    <row r="618" spans="1:495" s="35" customFormat="1" ht="12.75" customHeight="1">
      <c r="A618" s="19" t="s">
        <v>7421</v>
      </c>
      <c r="B618" s="1082" t="s">
        <v>7407</v>
      </c>
      <c r="C618" s="533" t="s">
        <v>4110</v>
      </c>
      <c r="D618" s="1714" t="s">
        <v>4111</v>
      </c>
      <c r="E618" s="1019" t="s">
        <v>4112</v>
      </c>
      <c r="F618" s="1019" t="s">
        <v>20</v>
      </c>
      <c r="G618" s="1019" t="s">
        <v>18</v>
      </c>
      <c r="H618" s="1019"/>
      <c r="I618" s="1812"/>
      <c r="J618" s="1714" t="s">
        <v>4113</v>
      </c>
      <c r="K618" s="6" t="s">
        <v>4114</v>
      </c>
      <c r="L618" s="6" t="s">
        <v>4115</v>
      </c>
      <c r="M618" s="1019" t="s">
        <v>1238</v>
      </c>
      <c r="N618" s="1019" t="s">
        <v>11438</v>
      </c>
      <c r="O618" s="1019" t="s">
        <v>11422</v>
      </c>
      <c r="P618" s="1714" t="s">
        <v>4116</v>
      </c>
      <c r="Q618" s="1831">
        <v>24783</v>
      </c>
      <c r="R618" s="1718">
        <v>49</v>
      </c>
      <c r="S618" s="1019" t="s">
        <v>10</v>
      </c>
      <c r="T618" s="1825" t="s">
        <v>4117</v>
      </c>
      <c r="U618" s="1825"/>
      <c r="V618" s="1019" t="s">
        <v>707</v>
      </c>
      <c r="W618" s="1825" t="s">
        <v>11452</v>
      </c>
      <c r="X618" s="1805"/>
      <c r="Y618" s="1019" t="s">
        <v>4112</v>
      </c>
      <c r="Z618" s="1019" t="s">
        <v>708</v>
      </c>
      <c r="AA618" s="1019" t="s">
        <v>732</v>
      </c>
      <c r="AB618" s="1019" t="s">
        <v>710</v>
      </c>
      <c r="AC618" s="1019" t="s">
        <v>724</v>
      </c>
      <c r="AD618" s="1019" t="s">
        <v>711</v>
      </c>
      <c r="AE618" s="1019"/>
      <c r="AF618" s="1019" t="s">
        <v>712</v>
      </c>
      <c r="AG618" s="1019" t="s">
        <v>1132</v>
      </c>
      <c r="AH618" s="766" t="s">
        <v>1096</v>
      </c>
      <c r="AI618" s="1019"/>
      <c r="AJ618" s="1019" t="s">
        <v>1137</v>
      </c>
      <c r="AK618" s="1019" t="s">
        <v>1101</v>
      </c>
      <c r="AL618" s="1770">
        <v>18.585000000000001</v>
      </c>
      <c r="AM618" s="1108">
        <v>6.51</v>
      </c>
      <c r="AN618" s="1078">
        <f t="shared" si="186"/>
        <v>0.35028248587570621</v>
      </c>
      <c r="AO618" s="6" t="s">
        <v>1149</v>
      </c>
      <c r="AP618" s="6"/>
      <c r="AQ618" s="6"/>
      <c r="AR618" s="6"/>
      <c r="AS618" s="1019"/>
      <c r="AT618" s="1019"/>
      <c r="AU618" s="1019"/>
      <c r="AV618" s="1019"/>
      <c r="AW618" s="1019"/>
      <c r="AX618" s="1019"/>
      <c r="AY618" s="1019"/>
      <c r="AZ618" s="1019"/>
      <c r="BA618" s="1019"/>
      <c r="BB618" s="1019"/>
      <c r="BC618" s="1019"/>
      <c r="BD618" s="1019"/>
      <c r="BE618" s="1019"/>
      <c r="BF618" s="1027"/>
      <c r="BG618" s="1027"/>
      <c r="BH618" s="1019"/>
      <c r="BI618" s="1019"/>
      <c r="BJ618" s="1019"/>
      <c r="BK618" s="1019" t="s">
        <v>1095</v>
      </c>
      <c r="BL618" s="1019" t="s">
        <v>4118</v>
      </c>
      <c r="BM618" s="1019" t="s">
        <v>1096</v>
      </c>
      <c r="BN618" s="1811" t="s">
        <v>1230</v>
      </c>
      <c r="BO618" s="1019" t="s">
        <v>1252</v>
      </c>
      <c r="BP618" s="1116">
        <v>37.17</v>
      </c>
      <c r="BQ618" s="46">
        <v>13.02</v>
      </c>
      <c r="BR618" s="47">
        <f>BQ618/BP618</f>
        <v>0.35028248587570621</v>
      </c>
      <c r="BS618" s="766" t="s">
        <v>1149</v>
      </c>
      <c r="BT618" s="1019" t="s">
        <v>1355</v>
      </c>
      <c r="BU618" s="1019" t="s">
        <v>1249</v>
      </c>
      <c r="BV618" s="1019" t="s">
        <v>1247</v>
      </c>
      <c r="BW618" s="1019"/>
      <c r="BX618" s="1027"/>
      <c r="BY618" s="1019"/>
      <c r="BZ618" s="1027"/>
      <c r="CA618" s="1019"/>
      <c r="CB618" s="1019"/>
      <c r="CC618" s="1019"/>
      <c r="CD618" s="1019"/>
      <c r="CE618" s="1019"/>
      <c r="CF618" s="1796"/>
      <c r="CG618" s="1797"/>
      <c r="CH618" s="1019"/>
      <c r="CI618" s="1019"/>
      <c r="CJ618" s="1019"/>
      <c r="CK618" s="1019"/>
      <c r="CL618" s="1019"/>
      <c r="CM618" s="1019"/>
      <c r="CN618" s="1019"/>
      <c r="CO618" s="1019"/>
      <c r="CP618" s="1019"/>
      <c r="CQ618" s="1019"/>
      <c r="CR618" s="1027"/>
      <c r="CS618" s="1019"/>
      <c r="CT618" s="1019"/>
      <c r="CU618" s="1798"/>
      <c r="CV618" s="1019"/>
      <c r="CW618" s="1019"/>
      <c r="CX618" s="1019"/>
      <c r="CY618" s="1019"/>
      <c r="CZ618" s="1019"/>
      <c r="DA618" s="1799"/>
      <c r="DB618" s="1019"/>
      <c r="DC618" s="1019"/>
      <c r="DD618" s="1019"/>
      <c r="DE618" s="1800"/>
      <c r="DF618" s="1019"/>
      <c r="DG618" s="1019"/>
      <c r="DH618" s="1019"/>
      <c r="DI618" s="1019"/>
      <c r="DJ618" s="1019"/>
      <c r="DK618" s="1019"/>
      <c r="DL618" s="1019"/>
      <c r="DM618" s="1019"/>
      <c r="DN618" s="1801"/>
      <c r="DO618" s="1019"/>
      <c r="DP618" s="1019"/>
      <c r="DQ618" s="1019"/>
      <c r="DR618" s="1019"/>
      <c r="DS618" s="1802"/>
      <c r="DT618" s="1019"/>
      <c r="DU618" s="1019"/>
      <c r="DV618" s="1019"/>
      <c r="DW618" s="1799"/>
      <c r="DX618" s="1799"/>
      <c r="DY618" s="1019"/>
      <c r="DZ618" s="1019"/>
      <c r="EA618" s="1019"/>
      <c r="EB618" s="1019"/>
      <c r="EC618" s="1019"/>
      <c r="ED618" s="1019"/>
      <c r="EE618" s="1019"/>
      <c r="EF618" s="1019"/>
      <c r="EG618" s="1019"/>
      <c r="EH618" s="1019"/>
      <c r="EI618" s="1019"/>
      <c r="EJ618" s="1019"/>
      <c r="EK618" s="1019"/>
      <c r="EL618" s="1019"/>
      <c r="EM618" s="1019"/>
      <c r="EN618" s="1019"/>
      <c r="EO618" s="1019"/>
      <c r="EP618" s="1714"/>
      <c r="EQ618" s="1019"/>
      <c r="ER618" s="1019"/>
      <c r="ES618" s="1019"/>
      <c r="ET618" s="1019"/>
      <c r="EU618" s="1019"/>
      <c r="EV618" s="1019"/>
      <c r="EW618" s="1019"/>
      <c r="EX618" s="1019"/>
      <c r="EY618" s="1019"/>
      <c r="EZ618" s="1019"/>
      <c r="FA618" s="1019"/>
      <c r="FB618" s="1019"/>
      <c r="FC618" s="1019"/>
      <c r="FD618" s="1027"/>
      <c r="FE618" s="1019"/>
      <c r="FF618" s="1019"/>
      <c r="FG618" s="1019"/>
      <c r="FH618" s="1019" t="s">
        <v>478</v>
      </c>
      <c r="FI618" s="1019">
        <v>1</v>
      </c>
      <c r="FJ618" s="1019" t="s">
        <v>4119</v>
      </c>
      <c r="FK618" s="1019"/>
      <c r="FL618" s="1019" t="s">
        <v>4112</v>
      </c>
      <c r="FM618" s="1027"/>
      <c r="FN618" s="1027"/>
      <c r="FO618" s="1027"/>
      <c r="FP618" s="766" t="s">
        <v>1602</v>
      </c>
      <c r="FQ618" s="766" t="s">
        <v>1660</v>
      </c>
      <c r="FR618" s="1019" t="s">
        <v>1214</v>
      </c>
      <c r="FS618" s="1019"/>
      <c r="FT618" s="1019"/>
      <c r="FU618" s="1019"/>
      <c r="FV618" s="1019"/>
      <c r="FW618" s="1019"/>
      <c r="FX618" s="1019"/>
      <c r="FY618" s="1019"/>
      <c r="FZ618" s="1019"/>
      <c r="GA618" s="1019"/>
      <c r="GB618" s="1019" t="s">
        <v>853</v>
      </c>
      <c r="GC618" s="1717" t="s">
        <v>4121</v>
      </c>
      <c r="GD618" s="1718"/>
      <c r="GE618" s="1019" t="s">
        <v>1214</v>
      </c>
      <c r="GF618" s="1027"/>
      <c r="GG618" s="1027"/>
      <c r="GH618" s="712" t="s">
        <v>14260</v>
      </c>
      <c r="GI618" s="1019"/>
      <c r="GJ618" s="1019"/>
      <c r="GK618" s="1019"/>
      <c r="GL618" s="1019"/>
      <c r="GM618" s="1019"/>
      <c r="GN618" s="1804"/>
      <c r="GO618" s="1019" t="s">
        <v>2770</v>
      </c>
      <c r="GP618" s="1019" t="s">
        <v>1208</v>
      </c>
      <c r="GQ618" s="1019" t="s">
        <v>1208</v>
      </c>
      <c r="GR618" s="1019" t="s">
        <v>1208</v>
      </c>
      <c r="GS618" s="1019"/>
      <c r="GT618" s="1019"/>
      <c r="GU618" s="1019"/>
      <c r="GV618" s="1019"/>
      <c r="GW618" s="1019" t="s">
        <v>1207</v>
      </c>
      <c r="GX618" s="1019"/>
      <c r="GY618" s="1019"/>
      <c r="GZ618" s="1019"/>
      <c r="HA618" s="1019"/>
      <c r="HB618" s="1019"/>
      <c r="HC618" s="1019"/>
      <c r="HD618" s="1019"/>
      <c r="HE618" s="1019"/>
      <c r="HF618" s="1019"/>
      <c r="HG618" s="1019"/>
      <c r="HH618" s="1019"/>
      <c r="HI618" s="1019" t="s">
        <v>1214</v>
      </c>
      <c r="HJ618" s="1019"/>
      <c r="HK618" s="1019"/>
      <c r="HL618" s="1019"/>
      <c r="HM618" s="1019"/>
      <c r="HN618" s="1019"/>
      <c r="HO618" s="1019"/>
      <c r="HP618" s="1019"/>
      <c r="HQ618" s="1019"/>
      <c r="HR618" s="1019"/>
      <c r="HS618" s="1019"/>
      <c r="HT618" s="1019"/>
      <c r="HU618" s="1019"/>
      <c r="HV618" s="1019"/>
      <c r="HW618" s="1019"/>
      <c r="HX618" s="1019"/>
      <c r="HY618" s="1019"/>
      <c r="HZ618" s="1019"/>
      <c r="IA618" s="1019"/>
      <c r="IB618" s="14" t="e">
        <f>IF(#REF!&gt;0,IF(#REF!&lt;=10000,"Y",""),"")</f>
        <v>#REF!</v>
      </c>
      <c r="IC618" s="1019"/>
      <c r="ID618" s="1019"/>
      <c r="IE618" s="1019"/>
      <c r="IF618" s="1019"/>
      <c r="IG618" s="1019"/>
      <c r="IH618" s="1019"/>
      <c r="II618" s="1019"/>
      <c r="IJ618" s="1019"/>
      <c r="IK618" s="1019"/>
      <c r="IL618" s="1019"/>
      <c r="IM618" s="1019"/>
      <c r="IN618" s="1019"/>
      <c r="IO618" s="1805"/>
      <c r="IP618" s="1019"/>
      <c r="IQ618" s="1019"/>
      <c r="IR618" s="1019"/>
      <c r="IS618" s="1019"/>
      <c r="IT618" s="1019"/>
      <c r="IU618" s="1019"/>
      <c r="IV618" s="1019"/>
      <c r="IW618" s="1019"/>
      <c r="IX618" s="1019"/>
      <c r="IY618" s="1019"/>
      <c r="IZ618" s="1019"/>
      <c r="JA618" s="1019"/>
      <c r="JB618" s="1019"/>
      <c r="JC618" s="1019"/>
      <c r="JD618" s="1027"/>
      <c r="JE618" s="1019"/>
      <c r="JF618" s="1019"/>
      <c r="JG618" s="1019"/>
      <c r="JH618" s="1802"/>
      <c r="JI618" s="712" t="str">
        <f>IF(SUM(JT618,JU618)=JJ618,"ok","review")</f>
        <v>ok</v>
      </c>
      <c r="JJ618" s="1698">
        <v>4</v>
      </c>
      <c r="JK618" s="1047" t="s">
        <v>4119</v>
      </c>
      <c r="JL618" s="1019"/>
      <c r="JM618" s="1019"/>
      <c r="JN618" s="1019">
        <v>1</v>
      </c>
      <c r="JO618" s="1019">
        <v>3</v>
      </c>
      <c r="JP618" s="1019"/>
      <c r="JQ618" s="1019"/>
      <c r="JR618" s="1019"/>
      <c r="JS618" s="1019"/>
      <c r="JT618" s="766">
        <f>SUM(JP618,JN618,JL618,JR618)</f>
        <v>1</v>
      </c>
      <c r="JU618" s="766">
        <f>SUM(JQ618,JO618,JM618,JS618)</f>
        <v>3</v>
      </c>
      <c r="JV618" s="712" t="str">
        <f>IF(JT618=KJ618,"ok","male")</f>
        <v>ok</v>
      </c>
      <c r="JW618" s="712" t="str">
        <f>IF(JU618=KK618,"ok","female")</f>
        <v>ok</v>
      </c>
      <c r="JX618" s="1019"/>
      <c r="JY618" s="1019"/>
      <c r="JZ618" s="1019"/>
      <c r="KA618" s="1019"/>
      <c r="KB618" s="1019"/>
      <c r="KC618" s="1019">
        <v>2</v>
      </c>
      <c r="KD618" s="1019">
        <v>1</v>
      </c>
      <c r="KE618" s="1019">
        <v>1</v>
      </c>
      <c r="KF618" s="1019"/>
      <c r="KG618" s="1019"/>
      <c r="KH618" s="1019"/>
      <c r="KI618" s="1019"/>
      <c r="KJ618" s="770">
        <f t="shared" si="168"/>
        <v>1</v>
      </c>
      <c r="KK618" s="770">
        <f t="shared" si="168"/>
        <v>3</v>
      </c>
      <c r="KL618" s="712" t="str">
        <f>IF(KJ618=LN618,"ok","male")</f>
        <v>ok</v>
      </c>
      <c r="KM618" s="712" t="str">
        <f>IF(KK618=LO618,"ok","female")</f>
        <v>ok</v>
      </c>
      <c r="KN618" s="1019" t="s">
        <v>707</v>
      </c>
      <c r="KO618" s="1019"/>
      <c r="KP618" s="1019"/>
      <c r="KQ618" s="1019"/>
      <c r="KR618" s="1019"/>
      <c r="KS618" s="1019"/>
      <c r="KT618" s="1019"/>
      <c r="KU618" s="1019"/>
      <c r="KV618" s="1019"/>
      <c r="KW618" s="1019"/>
      <c r="KX618" s="1019"/>
      <c r="KY618" s="1019"/>
      <c r="KZ618" s="1019"/>
      <c r="LA618" s="1019"/>
      <c r="LB618" s="1019"/>
      <c r="LC618" s="1019">
        <v>1</v>
      </c>
      <c r="LD618" s="1019">
        <v>1</v>
      </c>
      <c r="LE618" s="1019">
        <v>2</v>
      </c>
      <c r="LF618" s="1019"/>
      <c r="LG618" s="1019"/>
      <c r="LH618" s="1019"/>
      <c r="LI618" s="1019"/>
      <c r="LJ618" s="1019"/>
      <c r="LK618" s="1019"/>
      <c r="LL618" s="1019"/>
      <c r="LM618" s="1019"/>
      <c r="LN618" s="766">
        <f>SUM(KP618,KR618,KT618,KV618,KX618,KZ618,LB618,LD618,LF618,LH618,LJ618,LL618)</f>
        <v>1</v>
      </c>
      <c r="LO618" s="766">
        <f>SUM(KQ618,KS618,KU618,KW618,KY618,LA618,LC618,LE618,LG618,LI618,LK618,LM618)</f>
        <v>3</v>
      </c>
      <c r="LP618" s="1019">
        <v>2</v>
      </c>
      <c r="LQ618" s="1019">
        <v>1</v>
      </c>
      <c r="LR618" s="1019"/>
      <c r="LS618" s="1019">
        <v>1</v>
      </c>
      <c r="LT618" s="712" t="str">
        <f>IF(LQ618=SUM(LU618:LW618),"OK","REV")</f>
        <v>OK</v>
      </c>
      <c r="LU618" s="1019">
        <v>1</v>
      </c>
      <c r="LV618" s="1019"/>
      <c r="LW618" s="1019"/>
      <c r="LX618" s="1693">
        <v>3</v>
      </c>
      <c r="LY618" s="766" t="str">
        <f t="shared" si="160"/>
        <v>within the PROVINCE</v>
      </c>
      <c r="LZ618" s="1807"/>
      <c r="MA618" s="1807"/>
      <c r="MB618" s="1807"/>
      <c r="MC618" s="1679">
        <f t="shared" si="185"/>
        <v>0</v>
      </c>
      <c r="MD618" s="1807">
        <f>500*26</f>
        <v>13000</v>
      </c>
      <c r="ME618" s="1807"/>
      <c r="MF618" s="1807">
        <f>5000*4</f>
        <v>20000</v>
      </c>
      <c r="MG618" s="1680">
        <f>SUM(MD618:MF618)</f>
        <v>33000</v>
      </c>
      <c r="MH618" s="1019" t="s">
        <v>13818</v>
      </c>
      <c r="MI618" s="64">
        <f>200*30</f>
        <v>6000</v>
      </c>
      <c r="MJ618" s="1027"/>
      <c r="MK618" s="1027">
        <v>1000</v>
      </c>
      <c r="ML618" s="1027">
        <v>2000</v>
      </c>
      <c r="MM618" s="1027">
        <f>250*30</f>
        <v>7500</v>
      </c>
      <c r="MN618" s="1027"/>
      <c r="MO618" s="1027">
        <f>500*4</f>
        <v>2000</v>
      </c>
      <c r="MP618" s="1027">
        <v>2000</v>
      </c>
      <c r="MQ618" s="1027">
        <v>600</v>
      </c>
      <c r="MR618" s="1027">
        <v>400</v>
      </c>
      <c r="MS618" s="1027">
        <v>10000</v>
      </c>
      <c r="MT618" s="1027"/>
      <c r="MU618" s="1027"/>
      <c r="MV618" s="1027"/>
      <c r="MW618" s="1027"/>
      <c r="MX618" s="1027"/>
      <c r="MY618" s="1682">
        <f t="shared" si="165"/>
        <v>31500</v>
      </c>
      <c r="MZ618" s="1019" t="s">
        <v>13370</v>
      </c>
      <c r="NA618" s="1019" t="s">
        <v>13005</v>
      </c>
      <c r="NB618" s="1019" t="s">
        <v>13016</v>
      </c>
      <c r="NC618" s="1019" t="s">
        <v>13602</v>
      </c>
      <c r="ND618" s="1019">
        <v>0</v>
      </c>
      <c r="NE618" s="1019">
        <v>0</v>
      </c>
      <c r="NF618" s="1019">
        <v>1</v>
      </c>
      <c r="NG618" s="1019">
        <v>3</v>
      </c>
      <c r="NH618" s="1019">
        <v>2</v>
      </c>
      <c r="NI618" s="1019">
        <v>2</v>
      </c>
      <c r="NJ618" s="1019">
        <v>1</v>
      </c>
      <c r="NK618" s="1019">
        <v>0</v>
      </c>
      <c r="NL618" s="1019">
        <v>1</v>
      </c>
      <c r="NM618" s="1019">
        <v>1</v>
      </c>
      <c r="NN618" s="1019">
        <v>0</v>
      </c>
      <c r="NO618" s="1019">
        <v>0</v>
      </c>
      <c r="NP618" s="1019">
        <v>0</v>
      </c>
      <c r="NQ618" s="1019">
        <v>0</v>
      </c>
      <c r="NR618" s="1019">
        <v>0</v>
      </c>
      <c r="NS618" s="1019">
        <v>0</v>
      </c>
      <c r="NT618" s="1019">
        <v>0</v>
      </c>
      <c r="NU618" s="1019">
        <v>0</v>
      </c>
      <c r="NV618" s="1019">
        <v>0</v>
      </c>
      <c r="NW618" s="1019">
        <v>0</v>
      </c>
      <c r="NX618" s="1019">
        <v>0</v>
      </c>
      <c r="NY618" s="1019" t="s">
        <v>1208</v>
      </c>
      <c r="NZ618" s="1019" t="s">
        <v>1208</v>
      </c>
      <c r="OA618" s="1019" t="s">
        <v>1208</v>
      </c>
      <c r="OB618" s="1019" t="s">
        <v>1208</v>
      </c>
      <c r="OC618" s="1019" t="s">
        <v>1208</v>
      </c>
      <c r="OD618" s="1019"/>
      <c r="OE618" s="1019"/>
      <c r="OF618" s="1019"/>
      <c r="OG618" s="1019"/>
      <c r="OH618" s="1019"/>
      <c r="OI618" s="1019"/>
      <c r="OJ618" s="1019"/>
      <c r="OK618" s="1019"/>
      <c r="OL618" s="1019"/>
      <c r="OM618" s="1019"/>
      <c r="ON618" s="1019"/>
      <c r="OO618" s="1019"/>
      <c r="OP618" s="1019"/>
      <c r="OQ618" s="1019"/>
      <c r="OR618" s="1019"/>
      <c r="OS618" s="1019"/>
      <c r="OT618" s="1019"/>
      <c r="OU618" s="1019"/>
      <c r="OV618" s="1019"/>
      <c r="OW618" s="1019"/>
      <c r="OX618" s="1019"/>
      <c r="OY618" s="1019"/>
      <c r="OZ618" s="1019"/>
      <c r="PA618" s="1019"/>
      <c r="PB618" s="1019"/>
      <c r="PC618" s="1019"/>
      <c r="PD618" s="1019"/>
      <c r="PE618" s="1019"/>
      <c r="PF618" s="1019" t="s">
        <v>1208</v>
      </c>
      <c r="PG618" s="1019"/>
      <c r="PH618" s="1019" t="s">
        <v>1208</v>
      </c>
      <c r="PI618" s="1019" t="s">
        <v>1208</v>
      </c>
      <c r="PJ618" s="1019" t="s">
        <v>1208</v>
      </c>
      <c r="PK618" s="1019"/>
      <c r="PL618" s="1019"/>
      <c r="PM618" s="1019" t="s">
        <v>1208</v>
      </c>
      <c r="PN618" s="1019"/>
      <c r="PO618" s="1019"/>
      <c r="PP618" s="1019"/>
      <c r="PQ618" s="1019"/>
      <c r="PR618" s="1019"/>
      <c r="PS618" s="1019"/>
      <c r="PT618" s="1019"/>
      <c r="PU618" s="1019"/>
      <c r="PV618" s="1019"/>
      <c r="PW618" s="1019"/>
      <c r="PX618" s="1019"/>
      <c r="PY618" s="1019"/>
      <c r="PZ618" s="1019"/>
      <c r="QA618" s="1019"/>
      <c r="QB618" s="1019"/>
      <c r="QC618" s="1019"/>
      <c r="QD618" s="1019"/>
      <c r="QE618" s="1019"/>
      <c r="QF618" s="1019"/>
      <c r="QG618" s="1019"/>
      <c r="QH618" s="1019"/>
      <c r="QI618" s="1019"/>
      <c r="QJ618" s="1019"/>
      <c r="QK618" s="1019"/>
      <c r="QL618" s="1019"/>
      <c r="QM618" s="1019"/>
      <c r="QN618" s="1019"/>
      <c r="QO618" s="1019"/>
      <c r="QP618" s="1019"/>
      <c r="QQ618" s="1019"/>
      <c r="QR618" s="1019"/>
      <c r="QS618" s="1019"/>
      <c r="QT618" s="1019"/>
      <c r="QU618" s="1019"/>
      <c r="QV618" s="1019"/>
      <c r="QW618" s="1019"/>
      <c r="QX618" s="1019"/>
      <c r="QY618" s="1019"/>
      <c r="QZ618" s="1019"/>
      <c r="RA618" s="1019"/>
      <c r="RB618" s="1019" t="s">
        <v>1207</v>
      </c>
      <c r="RC618" s="1019" t="s">
        <v>13796</v>
      </c>
      <c r="RD618" s="1019" t="s">
        <v>13615</v>
      </c>
      <c r="RE618" s="1019" t="s">
        <v>12999</v>
      </c>
      <c r="RF618" s="1794">
        <v>1.5</v>
      </c>
      <c r="RG618" s="1019" t="s">
        <v>13047</v>
      </c>
      <c r="RH618" s="1027">
        <v>2000</v>
      </c>
      <c r="RI618" s="1019"/>
      <c r="RJ618" s="1019" t="s">
        <v>4122</v>
      </c>
      <c r="RK618" s="1019" t="s">
        <v>13544</v>
      </c>
      <c r="RL618" s="1810">
        <v>42835</v>
      </c>
      <c r="RM618" s="1714" t="s">
        <v>13814</v>
      </c>
      <c r="RN618" s="1724">
        <v>42893</v>
      </c>
      <c r="RO618" s="533" t="s">
        <v>4110</v>
      </c>
      <c r="RR618" s="19" t="s">
        <v>7421</v>
      </c>
      <c r="RS618" s="1139" t="s">
        <v>12980</v>
      </c>
      <c r="RV618" s="93" t="s">
        <v>7421</v>
      </c>
      <c r="RW618" s="35" t="s">
        <v>7827</v>
      </c>
      <c r="RX618" s="35" t="s">
        <v>4106</v>
      </c>
      <c r="RZ618" s="35" t="s">
        <v>1101</v>
      </c>
      <c r="SA618" s="93"/>
    </row>
    <row r="619" spans="1:495" s="35" customFormat="1" ht="12.75" customHeight="1">
      <c r="A619" s="19" t="s">
        <v>7421</v>
      </c>
      <c r="B619" s="1082" t="s">
        <v>7727</v>
      </c>
      <c r="C619" s="533" t="s">
        <v>4123</v>
      </c>
      <c r="D619" s="1714" t="s">
        <v>4131</v>
      </c>
      <c r="E619" s="1019" t="s">
        <v>4124</v>
      </c>
      <c r="F619" s="1019" t="s">
        <v>20</v>
      </c>
      <c r="G619" s="1019" t="s">
        <v>18</v>
      </c>
      <c r="H619" s="1019"/>
      <c r="I619" s="1812" t="s">
        <v>4125</v>
      </c>
      <c r="J619" s="1714" t="s">
        <v>4126</v>
      </c>
      <c r="K619" s="6" t="s">
        <v>4114</v>
      </c>
      <c r="L619" s="6" t="s">
        <v>4127</v>
      </c>
      <c r="M619" s="1019" t="s">
        <v>1238</v>
      </c>
      <c r="N619" s="1019" t="s">
        <v>11438</v>
      </c>
      <c r="O619" s="1019" t="s">
        <v>11422</v>
      </c>
      <c r="P619" s="1714" t="s">
        <v>4126</v>
      </c>
      <c r="Q619" s="1831">
        <v>24948</v>
      </c>
      <c r="R619" s="1718">
        <v>54</v>
      </c>
      <c r="S619" s="1019" t="s">
        <v>10</v>
      </c>
      <c r="T619" s="1019"/>
      <c r="U619" s="1825" t="s">
        <v>4128</v>
      </c>
      <c r="V619" s="1019" t="s">
        <v>707</v>
      </c>
      <c r="W619" s="1825" t="s">
        <v>4131</v>
      </c>
      <c r="X619" s="1805">
        <v>24900</v>
      </c>
      <c r="Y619" s="1019" t="s">
        <v>4124</v>
      </c>
      <c r="Z619" s="1019" t="s">
        <v>708</v>
      </c>
      <c r="AA619" s="1019" t="s">
        <v>709</v>
      </c>
      <c r="AB619" s="1019" t="s">
        <v>710</v>
      </c>
      <c r="AC619" s="1019" t="s">
        <v>724</v>
      </c>
      <c r="AD619" s="1019" t="s">
        <v>711</v>
      </c>
      <c r="AE619" s="1019"/>
      <c r="AF619" s="1019" t="s">
        <v>712</v>
      </c>
      <c r="AG619" s="1019" t="s">
        <v>1132</v>
      </c>
      <c r="AH619" s="766" t="s">
        <v>1096</v>
      </c>
      <c r="AI619" s="1019"/>
      <c r="AJ619" s="1019" t="s">
        <v>1137</v>
      </c>
      <c r="AK619" s="1019" t="s">
        <v>1101</v>
      </c>
      <c r="AL619" s="1770">
        <v>25.4</v>
      </c>
      <c r="AM619" s="1108">
        <v>6.02</v>
      </c>
      <c r="AN619" s="1078">
        <f t="shared" si="186"/>
        <v>0.23700787401574802</v>
      </c>
      <c r="AO619" s="6" t="s">
        <v>1149</v>
      </c>
      <c r="AP619" s="6"/>
      <c r="AQ619" s="6"/>
      <c r="AR619" s="6"/>
      <c r="AS619" s="1019"/>
      <c r="AT619" s="1019"/>
      <c r="AU619" s="1019"/>
      <c r="AV619" s="1019"/>
      <c r="AW619" s="1019"/>
      <c r="AX619" s="1019"/>
      <c r="AY619" s="1019"/>
      <c r="AZ619" s="1019"/>
      <c r="BA619" s="1019"/>
      <c r="BB619" s="1019"/>
      <c r="BC619" s="1019"/>
      <c r="BD619" s="1019"/>
      <c r="BE619" s="1019"/>
      <c r="BF619" s="1027"/>
      <c r="BG619" s="1027"/>
      <c r="BH619" s="1019"/>
      <c r="BI619" s="1019"/>
      <c r="BJ619" s="1019"/>
      <c r="BK619" s="1019" t="s">
        <v>1095</v>
      </c>
      <c r="BL619" s="1019" t="s">
        <v>4129</v>
      </c>
      <c r="BM619" s="1019" t="s">
        <v>1096</v>
      </c>
      <c r="BN619" s="1811" t="s">
        <v>1230</v>
      </c>
      <c r="BO619" s="1019" t="s">
        <v>1252</v>
      </c>
      <c r="BP619" s="1116">
        <v>51</v>
      </c>
      <c r="BQ619" s="46">
        <v>19.22</v>
      </c>
      <c r="BR619" s="47">
        <f>BQ619/BP619</f>
        <v>0.37686274509803919</v>
      </c>
      <c r="BS619" s="766" t="s">
        <v>1149</v>
      </c>
      <c r="BT619" s="1019" t="s">
        <v>1355</v>
      </c>
      <c r="BU619" s="1019" t="s">
        <v>1249</v>
      </c>
      <c r="BV619" s="1019" t="s">
        <v>1247</v>
      </c>
      <c r="BW619" s="1019">
        <v>2017</v>
      </c>
      <c r="BX619" s="1027"/>
      <c r="BY619" s="1019"/>
      <c r="BZ619" s="1027"/>
      <c r="CA619" s="1019"/>
      <c r="CB619" s="1019"/>
      <c r="CC619" s="1019"/>
      <c r="CD619" s="1019"/>
      <c r="CE619" s="1019"/>
      <c r="CF619" s="1796"/>
      <c r="CG619" s="1797"/>
      <c r="CH619" s="1019"/>
      <c r="CI619" s="1019"/>
      <c r="CJ619" s="1019"/>
      <c r="CK619" s="1019"/>
      <c r="CL619" s="1019"/>
      <c r="CM619" s="1019"/>
      <c r="CN619" s="1019"/>
      <c r="CO619" s="1019"/>
      <c r="CP619" s="1019"/>
      <c r="CQ619" s="1019"/>
      <c r="CR619" s="1027"/>
      <c r="CS619" s="1019"/>
      <c r="CT619" s="1019"/>
      <c r="CU619" s="1798"/>
      <c r="CV619" s="1019"/>
      <c r="CW619" s="1019"/>
      <c r="CX619" s="1019"/>
      <c r="CY619" s="1019"/>
      <c r="CZ619" s="1019"/>
      <c r="DA619" s="1799"/>
      <c r="DB619" s="1019"/>
      <c r="DC619" s="1019"/>
      <c r="DD619" s="1019"/>
      <c r="DE619" s="1800"/>
      <c r="DF619" s="1019"/>
      <c r="DG619" s="1019"/>
      <c r="DH619" s="1019"/>
      <c r="DI619" s="1019"/>
      <c r="DJ619" s="1019"/>
      <c r="DK619" s="1019"/>
      <c r="DL619" s="1019"/>
      <c r="DM619" s="1019"/>
      <c r="DN619" s="1801"/>
      <c r="DO619" s="1019"/>
      <c r="DP619" s="1019"/>
      <c r="DQ619" s="1019"/>
      <c r="DR619" s="1019"/>
      <c r="DS619" s="1802"/>
      <c r="DT619" s="1019"/>
      <c r="DU619" s="1019"/>
      <c r="DV619" s="1019"/>
      <c r="DW619" s="1799"/>
      <c r="DX619" s="1799"/>
      <c r="DY619" s="1019"/>
      <c r="DZ619" s="1019"/>
      <c r="EA619" s="1019"/>
      <c r="EB619" s="1019"/>
      <c r="EC619" s="1019"/>
      <c r="ED619" s="1019"/>
      <c r="EE619" s="1019"/>
      <c r="EF619" s="1019"/>
      <c r="EG619" s="1019"/>
      <c r="EH619" s="1019"/>
      <c r="EI619" s="1019"/>
      <c r="EJ619" s="1019"/>
      <c r="EK619" s="1019"/>
      <c r="EL619" s="1019"/>
      <c r="EM619" s="1019"/>
      <c r="EN619" s="1019"/>
      <c r="EO619" s="1019"/>
      <c r="EP619" s="1714"/>
      <c r="EQ619" s="1019"/>
      <c r="ER619" s="1019"/>
      <c r="ES619" s="1019"/>
      <c r="ET619" s="1019"/>
      <c r="EU619" s="1019"/>
      <c r="EV619" s="1019"/>
      <c r="EW619" s="1019"/>
      <c r="EX619" s="1019"/>
      <c r="EY619" s="1019"/>
      <c r="EZ619" s="1019"/>
      <c r="FA619" s="1019"/>
      <c r="FB619" s="1019"/>
      <c r="FC619" s="1019"/>
      <c r="FD619" s="1027"/>
      <c r="FE619" s="1019"/>
      <c r="FF619" s="1019"/>
      <c r="FG619" s="1019"/>
      <c r="FH619" s="1019" t="s">
        <v>478</v>
      </c>
      <c r="FI619" s="1019">
        <v>1</v>
      </c>
      <c r="FJ619" s="1019"/>
      <c r="FK619" s="1019"/>
      <c r="FL619" s="1019"/>
      <c r="FM619" s="1027"/>
      <c r="FN619" s="1027"/>
      <c r="FO619" s="1027"/>
      <c r="FP619" s="766" t="s">
        <v>1602</v>
      </c>
      <c r="FQ619" s="766" t="s">
        <v>1660</v>
      </c>
      <c r="FR619" s="1019" t="s">
        <v>1214</v>
      </c>
      <c r="FS619" s="1019"/>
      <c r="FT619" s="1019"/>
      <c r="FU619" s="1019"/>
      <c r="FV619" s="1019"/>
      <c r="FW619" s="1019"/>
      <c r="FX619" s="1019"/>
      <c r="FY619" s="1019"/>
      <c r="FZ619" s="1019"/>
      <c r="GA619" s="1019"/>
      <c r="GB619" s="1019" t="s">
        <v>1734</v>
      </c>
      <c r="GC619" s="1717"/>
      <c r="GD619" s="1718">
        <v>2017</v>
      </c>
      <c r="GE619" s="1019" t="s">
        <v>1214</v>
      </c>
      <c r="GF619" s="1027"/>
      <c r="GG619" s="1027"/>
      <c r="GH619" s="712" t="s">
        <v>14260</v>
      </c>
      <c r="GI619" s="1019"/>
      <c r="GJ619" s="1019"/>
      <c r="GK619" s="1019"/>
      <c r="GL619" s="1019"/>
      <c r="GM619" s="1019"/>
      <c r="GN619" s="1804"/>
      <c r="GO619" s="1019"/>
      <c r="GP619" s="1019"/>
      <c r="GQ619" s="1019"/>
      <c r="GR619" s="1019"/>
      <c r="GS619" s="1019"/>
      <c r="GT619" s="1019"/>
      <c r="GU619" s="1019"/>
      <c r="GV619" s="1019"/>
      <c r="GW619" s="1019"/>
      <c r="GX619" s="1019"/>
      <c r="GY619" s="1019"/>
      <c r="GZ619" s="1019"/>
      <c r="HA619" s="1019"/>
      <c r="HB619" s="1019"/>
      <c r="HC619" s="1019"/>
      <c r="HD619" s="1019"/>
      <c r="HE619" s="1019"/>
      <c r="HF619" s="1019"/>
      <c r="HG619" s="1019"/>
      <c r="HH619" s="1019"/>
      <c r="HI619" s="1019"/>
      <c r="HJ619" s="1019"/>
      <c r="HK619" s="1019"/>
      <c r="HL619" s="1019"/>
      <c r="HM619" s="1019"/>
      <c r="HN619" s="1019"/>
      <c r="HO619" s="1019"/>
      <c r="HP619" s="1019"/>
      <c r="HQ619" s="1019"/>
      <c r="HR619" s="1019"/>
      <c r="HS619" s="1019"/>
      <c r="HT619" s="1019"/>
      <c r="HU619" s="1019"/>
      <c r="HV619" s="1019"/>
      <c r="HW619" s="1019"/>
      <c r="HX619" s="1019"/>
      <c r="HY619" s="1019"/>
      <c r="HZ619" s="1019"/>
      <c r="IA619" s="1019"/>
      <c r="IB619" s="14" t="e">
        <f>IF(#REF!&gt;0,IF(#REF!&lt;=10000,"Y",""),"")</f>
        <v>#REF!</v>
      </c>
      <c r="IC619" s="1019"/>
      <c r="ID619" s="1019"/>
      <c r="IE619" s="1019"/>
      <c r="IF619" s="1019"/>
      <c r="IG619" s="1019"/>
      <c r="IH619" s="1019"/>
      <c r="II619" s="1019"/>
      <c r="IJ619" s="1019"/>
      <c r="IK619" s="1019"/>
      <c r="IL619" s="1019"/>
      <c r="IM619" s="1019"/>
      <c r="IN619" s="1019"/>
      <c r="IO619" s="1805"/>
      <c r="IP619" s="1019"/>
      <c r="IQ619" s="1019"/>
      <c r="IR619" s="1019"/>
      <c r="IS619" s="1019"/>
      <c r="IT619" s="1019"/>
      <c r="IU619" s="1019"/>
      <c r="IV619" s="1019"/>
      <c r="IW619" s="1019"/>
      <c r="IX619" s="1019"/>
      <c r="IY619" s="1019"/>
      <c r="IZ619" s="1019"/>
      <c r="JA619" s="1019"/>
      <c r="JB619" s="1019"/>
      <c r="JC619" s="1019"/>
      <c r="JD619" s="1027"/>
      <c r="JE619" s="1019"/>
      <c r="JF619" s="1019"/>
      <c r="JG619" s="1019"/>
      <c r="JH619" s="1802"/>
      <c r="JI619" s="1802"/>
      <c r="JJ619" s="1698">
        <v>6</v>
      </c>
      <c r="JK619" s="1047" t="s">
        <v>4130</v>
      </c>
      <c r="JL619" s="1019">
        <v>1</v>
      </c>
      <c r="JM619" s="1019"/>
      <c r="JN619" s="1019">
        <v>2</v>
      </c>
      <c r="JO619" s="1019">
        <v>3</v>
      </c>
      <c r="JP619" s="1019"/>
      <c r="JQ619" s="1019"/>
      <c r="JR619" s="1019"/>
      <c r="JS619" s="1019"/>
      <c r="JT619" s="766">
        <f>SUM(JP619,JN619,JL619,JR619)</f>
        <v>3</v>
      </c>
      <c r="JU619" s="766">
        <f>SUM(JQ619,JO619,JM619,JS619)</f>
        <v>3</v>
      </c>
      <c r="JV619" s="712" t="str">
        <f>IF(JT619=KJ619,"ok","male")</f>
        <v>ok</v>
      </c>
      <c r="JW619" s="712" t="str">
        <f>IF(JU619=KK619,"ok","female")</f>
        <v>ok</v>
      </c>
      <c r="JX619" s="1019">
        <v>1</v>
      </c>
      <c r="JY619" s="1019"/>
      <c r="JZ619" s="1019"/>
      <c r="KA619" s="1019"/>
      <c r="KB619" s="1019">
        <v>1</v>
      </c>
      <c r="KC619" s="1019">
        <v>2</v>
      </c>
      <c r="KD619" s="1019">
        <v>1</v>
      </c>
      <c r="KE619" s="1019">
        <v>1</v>
      </c>
      <c r="KF619" s="1019"/>
      <c r="KG619" s="1019"/>
      <c r="KH619" s="1019"/>
      <c r="KI619" s="1019"/>
      <c r="KJ619" s="770">
        <f t="shared" si="168"/>
        <v>3</v>
      </c>
      <c r="KK619" s="770">
        <f t="shared" si="168"/>
        <v>3</v>
      </c>
      <c r="KL619" s="712" t="str">
        <f>IF(KJ619=LN619,"ok","male")</f>
        <v>ok</v>
      </c>
      <c r="KM619" s="712" t="str">
        <f>IF(KK619=LO619,"ok","female")</f>
        <v>ok</v>
      </c>
      <c r="KN619" s="1019" t="s">
        <v>707</v>
      </c>
      <c r="KO619" s="1019"/>
      <c r="KP619" s="1019"/>
      <c r="KQ619" s="1019"/>
      <c r="KR619" s="1019"/>
      <c r="KS619" s="1019"/>
      <c r="KT619" s="1019"/>
      <c r="KU619" s="1019"/>
      <c r="KV619" s="1019"/>
      <c r="KW619" s="1019"/>
      <c r="KX619" s="1019"/>
      <c r="KY619" s="1019"/>
      <c r="KZ619" s="1019"/>
      <c r="LA619" s="1019">
        <v>1</v>
      </c>
      <c r="LB619" s="1019">
        <v>1</v>
      </c>
      <c r="LC619" s="1019">
        <v>2</v>
      </c>
      <c r="LD619" s="1019">
        <v>1</v>
      </c>
      <c r="LE619" s="1019"/>
      <c r="LF619" s="1019"/>
      <c r="LG619" s="1019"/>
      <c r="LH619" s="1019"/>
      <c r="LI619" s="1019"/>
      <c r="LJ619" s="1019">
        <v>1</v>
      </c>
      <c r="LK619" s="1019"/>
      <c r="LL619" s="1019"/>
      <c r="LM619" s="1019"/>
      <c r="LN619" s="766">
        <f>SUM(KP619,KR619,KT619,KV619,KX619,KZ619,LB619,LD619,LF619,LH619,LJ619,LL619)</f>
        <v>3</v>
      </c>
      <c r="LO619" s="766">
        <f>SUM(KQ619,KS619,KU619,KW619,KY619,LA619,LC619,LE619,LG619,LI619,LK619,LM619)</f>
        <v>3</v>
      </c>
      <c r="LP619" s="1019">
        <v>3</v>
      </c>
      <c r="LQ619" s="1019">
        <v>3</v>
      </c>
      <c r="LR619" s="1019"/>
      <c r="LS619" s="1019"/>
      <c r="LT619" s="712" t="str">
        <f>IF(LQ619=SUM(LU619:LW619),"OK","REV")</f>
        <v>OK</v>
      </c>
      <c r="LU619" s="1019">
        <v>2</v>
      </c>
      <c r="LV619" s="1019">
        <v>1</v>
      </c>
      <c r="LW619" s="1019"/>
      <c r="LX619" s="1693">
        <v>3</v>
      </c>
      <c r="LY619" s="766" t="str">
        <f t="shared" ref="LY619:LY682" si="187">IF(ISBLANK(LX619)=TRUE,"",LOOKUP(LX619,RT:RU))</f>
        <v>within the PROVINCE</v>
      </c>
      <c r="LZ619" s="1807">
        <f>SUM(1500,1200)</f>
        <v>2700</v>
      </c>
      <c r="MA619" s="1807"/>
      <c r="MB619" s="1807"/>
      <c r="MC619" s="1679">
        <f t="shared" si="185"/>
        <v>2700</v>
      </c>
      <c r="MD619" s="1807">
        <f>SUM(16500,14000,12000)</f>
        <v>42500</v>
      </c>
      <c r="ME619" s="1807"/>
      <c r="MF619" s="1807"/>
      <c r="MG619" s="1680">
        <f>SUM(MD619:MF619)</f>
        <v>42500</v>
      </c>
      <c r="MH619" s="1019" t="s">
        <v>13819</v>
      </c>
      <c r="MI619" s="64">
        <v>9000</v>
      </c>
      <c r="MJ619" s="1027">
        <v>2700</v>
      </c>
      <c r="MK619" s="1027">
        <f>5000/12</f>
        <v>416.66666666666669</v>
      </c>
      <c r="ML619" s="1027"/>
      <c r="MM619" s="1027">
        <v>3500</v>
      </c>
      <c r="MN619" s="1027"/>
      <c r="MO619" s="1027"/>
      <c r="MP619" s="1027">
        <v>2000</v>
      </c>
      <c r="MQ619" s="1027">
        <v>550</v>
      </c>
      <c r="MR619" s="1027">
        <v>400</v>
      </c>
      <c r="MS619" s="1027"/>
      <c r="MT619" s="1027"/>
      <c r="MU619" s="1027"/>
      <c r="MV619" s="1027"/>
      <c r="MW619" s="1027"/>
      <c r="MX619" s="1027"/>
      <c r="MY619" s="1682">
        <f t="shared" si="165"/>
        <v>18566.666666666664</v>
      </c>
      <c r="MZ619" s="1019" t="s">
        <v>13370</v>
      </c>
      <c r="NA619" s="1019" t="s">
        <v>13005</v>
      </c>
      <c r="NB619" s="1019" t="s">
        <v>13016</v>
      </c>
      <c r="NC619" s="1019" t="s">
        <v>13602</v>
      </c>
      <c r="ND619" s="1019">
        <v>0</v>
      </c>
      <c r="NE619" s="1019">
        <v>0</v>
      </c>
      <c r="NF619" s="1019">
        <v>1</v>
      </c>
      <c r="NG619" s="1019">
        <v>4</v>
      </c>
      <c r="NH619" s="1019">
        <v>2</v>
      </c>
      <c r="NI619" s="1019">
        <v>1</v>
      </c>
      <c r="NJ619" s="1019">
        <v>1</v>
      </c>
      <c r="NK619" s="1019">
        <v>0</v>
      </c>
      <c r="NL619" s="1019">
        <v>0</v>
      </c>
      <c r="NM619" s="1019">
        <v>1</v>
      </c>
      <c r="NN619" s="1019">
        <v>0</v>
      </c>
      <c r="NO619" s="1019">
        <v>0</v>
      </c>
      <c r="NP619" s="1019">
        <v>0</v>
      </c>
      <c r="NQ619" s="1019">
        <v>0</v>
      </c>
      <c r="NR619" s="1019">
        <v>0</v>
      </c>
      <c r="NS619" s="1019">
        <v>0</v>
      </c>
      <c r="NT619" s="1019">
        <v>0</v>
      </c>
      <c r="NU619" s="1019">
        <v>0</v>
      </c>
      <c r="NV619" s="1019">
        <v>0</v>
      </c>
      <c r="NW619" s="1019">
        <v>0</v>
      </c>
      <c r="NX619" s="1019">
        <v>0</v>
      </c>
      <c r="NY619" s="1019" t="s">
        <v>1208</v>
      </c>
      <c r="NZ619" s="1019" t="s">
        <v>1208</v>
      </c>
      <c r="OA619" s="1019"/>
      <c r="OB619" s="1019"/>
      <c r="OC619" s="1019" t="s">
        <v>1208</v>
      </c>
      <c r="OD619" s="1019" t="s">
        <v>1208</v>
      </c>
      <c r="OE619" s="1019"/>
      <c r="OF619" s="1019"/>
      <c r="OG619" s="1019"/>
      <c r="OH619" s="1019"/>
      <c r="OI619" s="1019"/>
      <c r="OJ619" s="1019"/>
      <c r="OK619" s="1019"/>
      <c r="OL619" s="1019"/>
      <c r="OM619" s="1019"/>
      <c r="ON619" s="1019"/>
      <c r="OO619" s="1019"/>
      <c r="OP619" s="1019"/>
      <c r="OQ619" s="1019"/>
      <c r="OR619" s="1019"/>
      <c r="OS619" s="1019"/>
      <c r="OT619" s="1019"/>
      <c r="OU619" s="1019"/>
      <c r="OV619" s="1019"/>
      <c r="OW619" s="1019"/>
      <c r="OX619" s="1019"/>
      <c r="OY619" s="1019"/>
      <c r="OZ619" s="1019"/>
      <c r="PA619" s="1019"/>
      <c r="PB619" s="1019"/>
      <c r="PC619" s="1019"/>
      <c r="PD619" s="1019"/>
      <c r="PE619" s="1019"/>
      <c r="PF619" s="1019"/>
      <c r="PG619" s="1019"/>
      <c r="PH619" s="1019"/>
      <c r="PI619" s="1019"/>
      <c r="PJ619" s="1019"/>
      <c r="PK619" s="1019"/>
      <c r="PL619" s="1019"/>
      <c r="PM619" s="1019"/>
      <c r="PN619" s="1019"/>
      <c r="PO619" s="1019"/>
      <c r="PP619" s="1019"/>
      <c r="PQ619" s="1019"/>
      <c r="PR619" s="1019" t="s">
        <v>1208</v>
      </c>
      <c r="PS619" s="1019"/>
      <c r="PT619" s="1019"/>
      <c r="PU619" s="1019"/>
      <c r="PV619" s="1019"/>
      <c r="PW619" s="1019"/>
      <c r="PX619" s="1019"/>
      <c r="PY619" s="1019"/>
      <c r="PZ619" s="1019"/>
      <c r="QA619" s="1019"/>
      <c r="QB619" s="1019"/>
      <c r="QC619" s="1019"/>
      <c r="QD619" s="1019"/>
      <c r="QE619" s="1019"/>
      <c r="QF619" s="1019"/>
      <c r="QG619" s="1019"/>
      <c r="QH619" s="1019"/>
      <c r="QI619" s="1019"/>
      <c r="QJ619" s="1019"/>
      <c r="QK619" s="1019"/>
      <c r="QL619" s="1019"/>
      <c r="QM619" s="1019"/>
      <c r="QN619" s="1019"/>
      <c r="QO619" s="1019"/>
      <c r="QP619" s="1019"/>
      <c r="QQ619" s="1019"/>
      <c r="QR619" s="1019"/>
      <c r="QS619" s="1019"/>
      <c r="QT619" s="1019"/>
      <c r="QU619" s="1019"/>
      <c r="QV619" s="1019"/>
      <c r="QW619" s="1019"/>
      <c r="QX619" s="1019"/>
      <c r="QY619" s="1019"/>
      <c r="QZ619" s="1019"/>
      <c r="RA619" s="1019"/>
      <c r="RB619" s="1019" t="s">
        <v>1207</v>
      </c>
      <c r="RC619" s="1019">
        <v>2014</v>
      </c>
      <c r="RD619" s="1019" t="s">
        <v>13820</v>
      </c>
      <c r="RE619" s="1019" t="s">
        <v>12999</v>
      </c>
      <c r="RF619" s="1794">
        <f>CONVERT(3,"ft","m")</f>
        <v>0.91439999999999999</v>
      </c>
      <c r="RG619" s="1019" t="s">
        <v>13047</v>
      </c>
      <c r="RH619" s="1027">
        <v>0</v>
      </c>
      <c r="RI619" s="1019">
        <v>2</v>
      </c>
      <c r="RJ619" s="1019" t="s">
        <v>13821</v>
      </c>
      <c r="RK619" s="1019" t="s">
        <v>13550</v>
      </c>
      <c r="RL619" s="1810">
        <v>42835</v>
      </c>
      <c r="RM619" s="843" t="s">
        <v>13816</v>
      </c>
      <c r="RN619" s="1724"/>
      <c r="RO619" s="533" t="s">
        <v>4123</v>
      </c>
      <c r="RR619" s="19" t="s">
        <v>7421</v>
      </c>
      <c r="RS619" s="1139" t="s">
        <v>12980</v>
      </c>
      <c r="RV619" s="93" t="s">
        <v>7421</v>
      </c>
      <c r="RW619" s="35" t="s">
        <v>7826</v>
      </c>
      <c r="RX619" s="35" t="s">
        <v>3010</v>
      </c>
      <c r="RZ619" s="35" t="s">
        <v>1101</v>
      </c>
      <c r="SA619" s="93"/>
    </row>
    <row r="620" spans="1:495" s="35" customFormat="1" ht="12.75" customHeight="1">
      <c r="A620" s="19" t="s">
        <v>7421</v>
      </c>
      <c r="B620" s="1082" t="s">
        <v>7991</v>
      </c>
      <c r="C620" s="514" t="s">
        <v>4132</v>
      </c>
      <c r="D620" s="1714" t="s">
        <v>4133</v>
      </c>
      <c r="E620" s="1019" t="s">
        <v>4134</v>
      </c>
      <c r="F620" s="1019" t="s">
        <v>28</v>
      </c>
      <c r="G620" s="1019" t="s">
        <v>10</v>
      </c>
      <c r="H620" s="1019"/>
      <c r="I620" s="1812" t="s">
        <v>4145</v>
      </c>
      <c r="J620" s="1714" t="s">
        <v>4133</v>
      </c>
      <c r="K620" s="6" t="s">
        <v>4135</v>
      </c>
      <c r="L620" s="6" t="s">
        <v>2638</v>
      </c>
      <c r="M620" s="1019" t="s">
        <v>1238</v>
      </c>
      <c r="N620" s="1019" t="s">
        <v>11438</v>
      </c>
      <c r="O620" s="1019" t="s">
        <v>11422</v>
      </c>
      <c r="P620" s="1019"/>
      <c r="Q620" s="1831"/>
      <c r="R620" s="1718"/>
      <c r="S620" s="1019"/>
      <c r="T620" s="1019"/>
      <c r="U620" s="1825"/>
      <c r="V620" s="1019"/>
      <c r="W620" s="1825"/>
      <c r="X620" s="1805"/>
      <c r="Y620" s="1019"/>
      <c r="Z620" s="1019"/>
      <c r="AA620" s="1019"/>
      <c r="AB620" s="1019"/>
      <c r="AC620" s="1019"/>
      <c r="AD620" s="1019"/>
      <c r="AE620" s="1019"/>
      <c r="AF620" s="1019"/>
      <c r="AG620" s="1019" t="s">
        <v>1132</v>
      </c>
      <c r="AH620" s="766" t="s">
        <v>1120</v>
      </c>
      <c r="AI620" s="1019"/>
      <c r="AJ620" s="1019" t="s">
        <v>1137</v>
      </c>
      <c r="AK620" s="1019" t="s">
        <v>1101</v>
      </c>
      <c r="AL620" s="1770">
        <v>155.52000000000001</v>
      </c>
      <c r="AM620" s="1108">
        <v>64.400000000000006</v>
      </c>
      <c r="AN620" s="1078">
        <f t="shared" si="186"/>
        <v>0.41409465020576131</v>
      </c>
      <c r="AO620" s="6" t="s">
        <v>1149</v>
      </c>
      <c r="AP620" s="6"/>
      <c r="AQ620" s="6"/>
      <c r="AR620" s="6"/>
      <c r="AS620" s="1019"/>
      <c r="AT620" s="1019"/>
      <c r="AU620" s="1019"/>
      <c r="AV620" s="1019"/>
      <c r="AW620" s="1019"/>
      <c r="AX620" s="1019"/>
      <c r="AY620" s="1019"/>
      <c r="AZ620" s="1019"/>
      <c r="BA620" s="1019"/>
      <c r="BB620" s="1019"/>
      <c r="BC620" s="1019"/>
      <c r="BD620" s="1019"/>
      <c r="BE620" s="1019"/>
      <c r="BF620" s="1027"/>
      <c r="BG620" s="1027"/>
      <c r="BH620" s="1019"/>
      <c r="BI620" s="1019"/>
      <c r="BJ620" s="1019"/>
      <c r="BK620" s="1019" t="s">
        <v>1095</v>
      </c>
      <c r="BL620" s="1019" t="s">
        <v>11453</v>
      </c>
      <c r="BM620" s="1019" t="s">
        <v>1120</v>
      </c>
      <c r="BN620" s="1019" t="s">
        <v>1272</v>
      </c>
      <c r="BO620" s="1019" t="s">
        <v>1275</v>
      </c>
      <c r="BP620" s="1116">
        <v>466.56</v>
      </c>
      <c r="BQ620" s="46">
        <v>193.185</v>
      </c>
      <c r="BR620" s="47">
        <f>BQ620/BP620</f>
        <v>0.4140625</v>
      </c>
      <c r="BS620" s="6" t="s">
        <v>1149</v>
      </c>
      <c r="BT620" s="1019" t="s">
        <v>1240</v>
      </c>
      <c r="BU620" s="1019" t="s">
        <v>1249</v>
      </c>
      <c r="BV620" s="1019" t="s">
        <v>1247</v>
      </c>
      <c r="BW620" s="1019">
        <v>2017</v>
      </c>
      <c r="BX620" s="1027"/>
      <c r="BY620" s="1019"/>
      <c r="BZ620" s="1027"/>
      <c r="CA620" s="1019"/>
      <c r="CB620" s="1019" t="s">
        <v>1207</v>
      </c>
      <c r="CC620" s="1019"/>
      <c r="CD620" s="1019"/>
      <c r="CE620" s="1019"/>
      <c r="CF620" s="1796"/>
      <c r="CG620" s="1797"/>
      <c r="CH620" s="1019"/>
      <c r="CI620" s="1019"/>
      <c r="CJ620" s="1019"/>
      <c r="CK620" s="1019"/>
      <c r="CL620" s="1019"/>
      <c r="CM620" s="1019"/>
      <c r="CN620" s="1019"/>
      <c r="CO620" s="1019"/>
      <c r="CP620" s="1019"/>
      <c r="CQ620" s="1019"/>
      <c r="CR620" s="1027"/>
      <c r="CS620" s="1019"/>
      <c r="CT620" s="1019"/>
      <c r="CU620" s="1798"/>
      <c r="CV620" s="1019"/>
      <c r="CW620" s="1019"/>
      <c r="CX620" s="1019"/>
      <c r="CY620" s="1019"/>
      <c r="CZ620" s="1019"/>
      <c r="DA620" s="1799"/>
      <c r="DB620" s="1019"/>
      <c r="DC620" s="1019"/>
      <c r="DD620" s="1019"/>
      <c r="DE620" s="1800"/>
      <c r="DF620" s="1019"/>
      <c r="DG620" s="1019"/>
      <c r="DH620" s="1019"/>
      <c r="DI620" s="1019"/>
      <c r="DJ620" s="1019"/>
      <c r="DK620" s="1019"/>
      <c r="DL620" s="1019"/>
      <c r="DM620" s="1019"/>
      <c r="DN620" s="1801"/>
      <c r="DO620" s="1019"/>
      <c r="DP620" s="1019"/>
      <c r="DQ620" s="1019"/>
      <c r="DR620" s="1019"/>
      <c r="DS620" s="1802"/>
      <c r="DT620" s="1716"/>
      <c r="DU620" s="1019"/>
      <c r="DV620" s="1019"/>
      <c r="DW620" s="1799"/>
      <c r="DX620" s="1799"/>
      <c r="DY620" s="1019"/>
      <c r="DZ620" s="1019"/>
      <c r="EA620" s="1019"/>
      <c r="EB620" s="1019"/>
      <c r="EC620" s="1019"/>
      <c r="ED620" s="1019"/>
      <c r="EE620" s="1019"/>
      <c r="EF620" s="1019"/>
      <c r="EG620" s="1019"/>
      <c r="EH620" s="1019"/>
      <c r="EI620" s="1019"/>
      <c r="EJ620" s="1019"/>
      <c r="EK620" s="1019"/>
      <c r="EL620" s="1019"/>
      <c r="EM620" s="1019"/>
      <c r="EN620" s="1019"/>
      <c r="EO620" s="1019"/>
      <c r="EP620" s="1714"/>
      <c r="EQ620" s="1019"/>
      <c r="ER620" s="1019"/>
      <c r="ES620" s="1019"/>
      <c r="ET620" s="1019"/>
      <c r="EU620" s="1019"/>
      <c r="EV620" s="1019"/>
      <c r="EW620" s="1019"/>
      <c r="EX620" s="1019"/>
      <c r="EY620" s="1019"/>
      <c r="EZ620" s="1019" t="s">
        <v>11454</v>
      </c>
      <c r="FA620" s="1019" t="s">
        <v>4139</v>
      </c>
      <c r="FB620" s="1019" t="s">
        <v>1257</v>
      </c>
      <c r="FC620" s="1019">
        <v>2015</v>
      </c>
      <c r="FD620" s="1027"/>
      <c r="FE620" s="1019"/>
      <c r="FF620" s="1019" t="s">
        <v>4140</v>
      </c>
      <c r="FG620" s="1019" t="s">
        <v>11455</v>
      </c>
      <c r="FH620" s="1019"/>
      <c r="FI620" s="1019"/>
      <c r="FJ620" s="1019"/>
      <c r="FK620" s="1019"/>
      <c r="FL620" s="1019"/>
      <c r="FM620" s="1027"/>
      <c r="FN620" s="1027"/>
      <c r="FO620" s="1027"/>
      <c r="FP620" s="6" t="s">
        <v>1602</v>
      </c>
      <c r="FQ620" s="6" t="s">
        <v>1660</v>
      </c>
      <c r="FR620" s="1019" t="s">
        <v>1207</v>
      </c>
      <c r="FS620" s="1019"/>
      <c r="FT620" s="1019"/>
      <c r="FU620" s="1019"/>
      <c r="FV620" s="1019"/>
      <c r="FW620" s="1019" t="s">
        <v>1208</v>
      </c>
      <c r="FX620" s="1019"/>
      <c r="FY620" s="1019"/>
      <c r="FZ620" s="1019"/>
      <c r="GA620" s="1019"/>
      <c r="GB620" s="1019" t="s">
        <v>1734</v>
      </c>
      <c r="GC620" s="1717"/>
      <c r="GD620" s="1718">
        <v>2007</v>
      </c>
      <c r="GE620" s="1019"/>
      <c r="GF620" s="1027"/>
      <c r="GG620" s="1027"/>
      <c r="GH620" s="1019"/>
      <c r="GI620" s="1019"/>
      <c r="GJ620" s="1019"/>
      <c r="GK620" s="1019"/>
      <c r="GL620" s="1019"/>
      <c r="GM620" s="1019"/>
      <c r="GN620" s="1804"/>
      <c r="GO620" s="1019"/>
      <c r="GP620" s="1019"/>
      <c r="GQ620" s="1019"/>
      <c r="GR620" s="1019"/>
      <c r="GS620" s="1019"/>
      <c r="GT620" s="1019"/>
      <c r="GU620" s="1019"/>
      <c r="GV620" s="1019"/>
      <c r="GW620" s="1019"/>
      <c r="GX620" s="1019"/>
      <c r="GY620" s="1019"/>
      <c r="GZ620" s="1019"/>
      <c r="HA620" s="1019"/>
      <c r="HB620" s="1019"/>
      <c r="HC620" s="1019"/>
      <c r="HD620" s="1019"/>
      <c r="HE620" s="1019"/>
      <c r="HF620" s="1019"/>
      <c r="HG620" s="1019"/>
      <c r="HH620" s="1019"/>
      <c r="HI620" s="1019"/>
      <c r="HJ620" s="1019"/>
      <c r="HK620" s="1019"/>
      <c r="HL620" s="1019"/>
      <c r="HM620" s="1019"/>
      <c r="HN620" s="1019"/>
      <c r="HO620" s="1019"/>
      <c r="HP620" s="1019"/>
      <c r="HQ620" s="1019"/>
      <c r="HR620" s="1019"/>
      <c r="HS620" s="1019"/>
      <c r="HT620" s="1019"/>
      <c r="HU620" s="1019"/>
      <c r="HV620" s="1019"/>
      <c r="HW620" s="1019"/>
      <c r="HX620" s="1019"/>
      <c r="HY620" s="1019"/>
      <c r="HZ620" s="1019"/>
      <c r="IA620" s="1019"/>
      <c r="IB620" s="1019"/>
      <c r="IC620" s="1019"/>
      <c r="ID620" s="1019"/>
      <c r="IE620" s="1019"/>
      <c r="IF620" s="1019"/>
      <c r="IG620" s="1019"/>
      <c r="IH620" s="1019"/>
      <c r="II620" s="1019"/>
      <c r="IJ620" s="1019"/>
      <c r="IK620" s="1019"/>
      <c r="IL620" s="1019"/>
      <c r="IM620" s="1019"/>
      <c r="IN620" s="1019"/>
      <c r="IO620" s="1805"/>
      <c r="IP620" s="1019"/>
      <c r="IQ620" s="1716"/>
      <c r="IR620" s="1019"/>
      <c r="IS620" s="1019"/>
      <c r="IT620" s="1019"/>
      <c r="IU620" s="1019"/>
      <c r="IV620" s="1019"/>
      <c r="IW620" s="1019"/>
      <c r="IX620" s="1019"/>
      <c r="IY620" s="1812"/>
      <c r="IZ620" s="1019"/>
      <c r="JA620" s="1019"/>
      <c r="JB620" s="1019"/>
      <c r="JC620" s="1019"/>
      <c r="JD620" s="1027"/>
      <c r="JE620" s="1019"/>
      <c r="JF620" s="1019"/>
      <c r="JG620" s="1019"/>
      <c r="JH620" s="1802"/>
      <c r="JI620" s="1802"/>
      <c r="JJ620" s="1019"/>
      <c r="JK620" s="1019"/>
      <c r="JL620" s="1019"/>
      <c r="JM620" s="1019"/>
      <c r="JN620" s="1019"/>
      <c r="JO620" s="1019"/>
      <c r="JP620" s="1019"/>
      <c r="JQ620" s="1019"/>
      <c r="JR620" s="1019"/>
      <c r="JS620" s="1019"/>
      <c r="JT620" s="766"/>
      <c r="JU620" s="766"/>
      <c r="JV620" s="766"/>
      <c r="JW620" s="766"/>
      <c r="JX620" s="1019"/>
      <c r="JY620" s="1019"/>
      <c r="JZ620" s="1019"/>
      <c r="KA620" s="1019"/>
      <c r="KB620" s="1019"/>
      <c r="KC620" s="1019"/>
      <c r="KD620" s="1019"/>
      <c r="KE620" s="1019"/>
      <c r="KF620" s="1019"/>
      <c r="KG620" s="1019"/>
      <c r="KH620" s="1019"/>
      <c r="KI620" s="1019"/>
      <c r="KJ620" s="770"/>
      <c r="KK620" s="770"/>
      <c r="KL620" s="770"/>
      <c r="KM620" s="770"/>
      <c r="KN620" s="1019"/>
      <c r="KO620" s="1019"/>
      <c r="KP620" s="1019"/>
      <c r="KQ620" s="1019"/>
      <c r="KR620" s="1019"/>
      <c r="KS620" s="1019"/>
      <c r="KT620" s="1019"/>
      <c r="KU620" s="1019"/>
      <c r="KV620" s="1019"/>
      <c r="KW620" s="1019"/>
      <c r="KX620" s="1019"/>
      <c r="KY620" s="1019"/>
      <c r="KZ620" s="1019"/>
      <c r="LA620" s="1019"/>
      <c r="LB620" s="1019"/>
      <c r="LC620" s="1019"/>
      <c r="LD620" s="1019"/>
      <c r="LE620" s="1019"/>
      <c r="LF620" s="1019"/>
      <c r="LG620" s="1019"/>
      <c r="LH620" s="1019"/>
      <c r="LI620" s="1019"/>
      <c r="LJ620" s="1019"/>
      <c r="LK620" s="1019"/>
      <c r="LL620" s="1019"/>
      <c r="LM620" s="1019"/>
      <c r="LN620" s="766"/>
      <c r="LO620" s="766"/>
      <c r="LP620" s="1019"/>
      <c r="LQ620" s="1019"/>
      <c r="LR620" s="1019"/>
      <c r="LS620" s="1019"/>
      <c r="LT620" s="1019"/>
      <c r="LU620" s="1019"/>
      <c r="LV620" s="1019"/>
      <c r="LW620" s="1019"/>
      <c r="LX620" s="1693"/>
      <c r="LY620" s="766" t="str">
        <f t="shared" si="187"/>
        <v/>
      </c>
      <c r="LZ620" s="1807"/>
      <c r="MA620" s="1807"/>
      <c r="MB620" s="1807"/>
      <c r="MC620" s="1679">
        <f t="shared" si="185"/>
        <v>0</v>
      </c>
      <c r="MD620" s="1807"/>
      <c r="ME620" s="1807"/>
      <c r="MF620" s="1807"/>
      <c r="MG620" s="1680">
        <f t="shared" si="164"/>
        <v>0</v>
      </c>
      <c r="MH620" s="1019"/>
      <c r="MI620" s="64"/>
      <c r="MJ620" s="1027"/>
      <c r="MK620" s="1027"/>
      <c r="ML620" s="1027"/>
      <c r="MM620" s="1027"/>
      <c r="MN620" s="1027"/>
      <c r="MO620" s="1027"/>
      <c r="MP620" s="1027"/>
      <c r="MQ620" s="1027"/>
      <c r="MR620" s="1027"/>
      <c r="MS620" s="1027"/>
      <c r="MT620" s="1027"/>
      <c r="MU620" s="1027"/>
      <c r="MV620" s="1027"/>
      <c r="MW620" s="1027"/>
      <c r="MX620" s="1027"/>
      <c r="MY620" s="1682">
        <f t="shared" si="165"/>
        <v>0</v>
      </c>
      <c r="MZ620" s="1019"/>
      <c r="NA620" s="1019"/>
      <c r="NB620" s="1019"/>
      <c r="NC620" s="1019"/>
      <c r="ND620" s="1019"/>
      <c r="NE620" s="1019"/>
      <c r="NF620" s="1019"/>
      <c r="NG620" s="1019"/>
      <c r="NH620" s="1019"/>
      <c r="NI620" s="1019"/>
      <c r="NJ620" s="1019"/>
      <c r="NK620" s="1019"/>
      <c r="NL620" s="1019"/>
      <c r="NM620" s="1019"/>
      <c r="NN620" s="1019"/>
      <c r="NO620" s="1019"/>
      <c r="NP620" s="1019"/>
      <c r="NQ620" s="1019"/>
      <c r="NR620" s="1019"/>
      <c r="NS620" s="1019"/>
      <c r="NT620" s="1019"/>
      <c r="NU620" s="1019"/>
      <c r="NV620" s="1019"/>
      <c r="NW620" s="1019"/>
      <c r="NX620" s="1019"/>
      <c r="NY620" s="1019"/>
      <c r="NZ620" s="1019"/>
      <c r="OA620" s="1019"/>
      <c r="OB620" s="1019"/>
      <c r="OC620" s="1019"/>
      <c r="OD620" s="1019"/>
      <c r="OE620" s="1019"/>
      <c r="OF620" s="1019"/>
      <c r="OG620" s="1019"/>
      <c r="OH620" s="1019"/>
      <c r="OI620" s="1019"/>
      <c r="OJ620" s="1019"/>
      <c r="OK620" s="1019"/>
      <c r="OL620" s="1019"/>
      <c r="OM620" s="1019"/>
      <c r="ON620" s="1019"/>
      <c r="OO620" s="1019"/>
      <c r="OP620" s="1019"/>
      <c r="OQ620" s="1019"/>
      <c r="OR620" s="1019"/>
      <c r="OS620" s="1019"/>
      <c r="OT620" s="1019"/>
      <c r="OU620" s="1019"/>
      <c r="OV620" s="1019"/>
      <c r="OW620" s="1019"/>
      <c r="OX620" s="1019"/>
      <c r="OY620" s="1019"/>
      <c r="OZ620" s="1019"/>
      <c r="PA620" s="1019"/>
      <c r="PB620" s="1019"/>
      <c r="PC620" s="1019"/>
      <c r="PD620" s="1019"/>
      <c r="PE620" s="1019"/>
      <c r="PF620" s="1019"/>
      <c r="PG620" s="1019"/>
      <c r="PH620" s="1019"/>
      <c r="PI620" s="1019"/>
      <c r="PJ620" s="1019"/>
      <c r="PK620" s="1019"/>
      <c r="PL620" s="1019"/>
      <c r="PM620" s="1019"/>
      <c r="PN620" s="1019"/>
      <c r="PO620" s="1019"/>
      <c r="PP620" s="1019"/>
      <c r="PQ620" s="1019"/>
      <c r="PR620" s="1019"/>
      <c r="PS620" s="1019"/>
      <c r="PT620" s="1019"/>
      <c r="PU620" s="1019"/>
      <c r="PV620" s="1019"/>
      <c r="PW620" s="1019"/>
      <c r="PX620" s="1019"/>
      <c r="PY620" s="1019"/>
      <c r="PZ620" s="1019"/>
      <c r="QA620" s="1019"/>
      <c r="QB620" s="1019"/>
      <c r="QC620" s="1019"/>
      <c r="QD620" s="1019"/>
      <c r="QE620" s="1019"/>
      <c r="QF620" s="1019"/>
      <c r="QG620" s="1019"/>
      <c r="QH620" s="1019"/>
      <c r="QI620" s="1019"/>
      <c r="QJ620" s="1019"/>
      <c r="QK620" s="1019"/>
      <c r="QL620" s="1019"/>
      <c r="QM620" s="1019"/>
      <c r="QN620" s="1019"/>
      <c r="QO620" s="1019"/>
      <c r="QP620" s="1019"/>
      <c r="QQ620" s="1019"/>
      <c r="QR620" s="1019"/>
      <c r="QS620" s="1019"/>
      <c r="QT620" s="1019"/>
      <c r="QU620" s="1019"/>
      <c r="QV620" s="1019"/>
      <c r="QW620" s="1019"/>
      <c r="QX620" s="1019"/>
      <c r="QY620" s="1019"/>
      <c r="QZ620" s="1019"/>
      <c r="RA620" s="1019"/>
      <c r="RB620" s="1019"/>
      <c r="RC620" s="1019"/>
      <c r="RD620" s="1019"/>
      <c r="RE620" s="1019"/>
      <c r="RF620" s="1794"/>
      <c r="RG620" s="1019"/>
      <c r="RH620" s="1027"/>
      <c r="RI620" s="1019"/>
      <c r="RJ620" s="1019" t="s">
        <v>13822</v>
      </c>
      <c r="RK620" s="1019" t="s">
        <v>13544</v>
      </c>
      <c r="RL620" s="1810">
        <v>42835</v>
      </c>
      <c r="RM620" s="1714" t="s">
        <v>13814</v>
      </c>
      <c r="RN620" s="1724">
        <v>42893</v>
      </c>
      <c r="RO620" s="514" t="s">
        <v>4132</v>
      </c>
      <c r="RR620" s="17"/>
      <c r="RS620" s="1013"/>
      <c r="RV620" s="93" t="s">
        <v>7421</v>
      </c>
      <c r="RW620" s="35" t="s">
        <v>7407</v>
      </c>
      <c r="RX620" s="35" t="s">
        <v>4110</v>
      </c>
      <c r="RZ620" s="35" t="s">
        <v>1101</v>
      </c>
      <c r="SA620" s="93"/>
    </row>
    <row r="621" spans="1:495" s="35" customFormat="1" ht="12.75" customHeight="1">
      <c r="A621" s="19" t="s">
        <v>7421</v>
      </c>
      <c r="B621" s="1082" t="s">
        <v>7992</v>
      </c>
      <c r="C621" s="514" t="s">
        <v>4142</v>
      </c>
      <c r="D621" s="1714" t="s">
        <v>4133</v>
      </c>
      <c r="E621" s="1019" t="s">
        <v>4143</v>
      </c>
      <c r="F621" s="1019" t="s">
        <v>28</v>
      </c>
      <c r="G621" s="1019" t="s">
        <v>10</v>
      </c>
      <c r="H621" s="1019"/>
      <c r="I621" s="1812" t="s">
        <v>4145</v>
      </c>
      <c r="J621" s="1714" t="s">
        <v>4133</v>
      </c>
      <c r="K621" s="6" t="s">
        <v>4144</v>
      </c>
      <c r="L621" s="6" t="s">
        <v>4127</v>
      </c>
      <c r="M621" s="1019" t="s">
        <v>1238</v>
      </c>
      <c r="N621" s="1019" t="s">
        <v>11456</v>
      </c>
      <c r="O621" s="1019" t="s">
        <v>11438</v>
      </c>
      <c r="P621" s="1019"/>
      <c r="Q621" s="1831"/>
      <c r="R621" s="1718"/>
      <c r="S621" s="1019"/>
      <c r="T621" s="1019"/>
      <c r="U621" s="1825"/>
      <c r="V621" s="1019"/>
      <c r="W621" s="1825"/>
      <c r="X621" s="1805"/>
      <c r="Y621" s="1019"/>
      <c r="Z621" s="1019"/>
      <c r="AA621" s="1019"/>
      <c r="AB621" s="1019"/>
      <c r="AC621" s="1019"/>
      <c r="AD621" s="1019"/>
      <c r="AE621" s="1019"/>
      <c r="AF621" s="1019"/>
      <c r="AG621" s="1019" t="s">
        <v>1132</v>
      </c>
      <c r="AH621" s="766" t="s">
        <v>1120</v>
      </c>
      <c r="AI621" s="1019"/>
      <c r="AJ621" s="1019" t="s">
        <v>1137</v>
      </c>
      <c r="AK621" s="1019" t="s">
        <v>1101</v>
      </c>
      <c r="AL621" s="1770">
        <v>25.492799999999999</v>
      </c>
      <c r="AM621" s="1108">
        <v>15.66</v>
      </c>
      <c r="AN621" s="1078">
        <f t="shared" si="186"/>
        <v>0.6142910939559405</v>
      </c>
      <c r="AO621" s="6" t="s">
        <v>1105</v>
      </c>
      <c r="AP621" s="6"/>
      <c r="AQ621" s="6"/>
      <c r="AR621" s="6"/>
      <c r="AS621" s="1019"/>
      <c r="AT621" s="1019"/>
      <c r="AU621" s="1019"/>
      <c r="AV621" s="1019"/>
      <c r="AW621" s="1019"/>
      <c r="AX621" s="1019"/>
      <c r="AY621" s="1019"/>
      <c r="AZ621" s="1019"/>
      <c r="BA621" s="1019"/>
      <c r="BB621" s="1019"/>
      <c r="BC621" s="1019"/>
      <c r="BD621" s="1019"/>
      <c r="BE621" s="1019"/>
      <c r="BF621" s="1027"/>
      <c r="BG621" s="1027"/>
      <c r="BH621" s="1019"/>
      <c r="BI621" s="1019"/>
      <c r="BJ621" s="1019"/>
      <c r="BK621" s="1019"/>
      <c r="BL621" s="1019"/>
      <c r="BM621" s="1019"/>
      <c r="BN621" s="1019"/>
      <c r="BO621" s="1019"/>
      <c r="BP621" s="1116"/>
      <c r="BQ621" s="46"/>
      <c r="BR621" s="47"/>
      <c r="BS621" s="6"/>
      <c r="BT621" s="1019"/>
      <c r="BU621" s="1019" t="s">
        <v>1249</v>
      </c>
      <c r="BV621" s="1019" t="s">
        <v>1247</v>
      </c>
      <c r="BW621" s="1019">
        <v>2015</v>
      </c>
      <c r="BX621" s="1027"/>
      <c r="BY621" s="1019"/>
      <c r="BZ621" s="1027"/>
      <c r="CA621" s="1019"/>
      <c r="CB621" s="1019"/>
      <c r="CC621" s="1019"/>
      <c r="CD621" s="1019"/>
      <c r="CE621" s="1019"/>
      <c r="CF621" s="1796"/>
      <c r="CG621" s="1797"/>
      <c r="CH621" s="1019"/>
      <c r="CI621" s="1019"/>
      <c r="CJ621" s="1019"/>
      <c r="CK621" s="1019"/>
      <c r="CL621" s="1019"/>
      <c r="CM621" s="1019"/>
      <c r="CN621" s="1019"/>
      <c r="CO621" s="1019"/>
      <c r="CP621" s="1019"/>
      <c r="CQ621" s="1019"/>
      <c r="CR621" s="1027"/>
      <c r="CS621" s="1019"/>
      <c r="CT621" s="1019"/>
      <c r="CU621" s="1798"/>
      <c r="CV621" s="1019"/>
      <c r="CW621" s="1019"/>
      <c r="CX621" s="1019"/>
      <c r="CY621" s="1019"/>
      <c r="CZ621" s="1019"/>
      <c r="DA621" s="1799"/>
      <c r="DB621" s="1019"/>
      <c r="DC621" s="1019"/>
      <c r="DD621" s="1019"/>
      <c r="DE621" s="1800"/>
      <c r="DF621" s="1019"/>
      <c r="DG621" s="1019"/>
      <c r="DH621" s="1019"/>
      <c r="DI621" s="1019"/>
      <c r="DJ621" s="1019"/>
      <c r="DK621" s="1019"/>
      <c r="DL621" s="1019"/>
      <c r="DM621" s="1019"/>
      <c r="DN621" s="1801"/>
      <c r="DO621" s="1019"/>
      <c r="DP621" s="1019"/>
      <c r="DQ621" s="1019" t="s">
        <v>11454</v>
      </c>
      <c r="DR621" s="1019">
        <v>2013</v>
      </c>
      <c r="DS621" s="1802"/>
      <c r="DT621" s="1716" t="s">
        <v>4136</v>
      </c>
      <c r="DU621" s="1019" t="s">
        <v>11457</v>
      </c>
      <c r="DV621" s="1019" t="s">
        <v>11458</v>
      </c>
      <c r="DW621" s="1799">
        <v>232.17750000000001</v>
      </c>
      <c r="DX621" s="1799"/>
      <c r="DY621" s="1019" t="s">
        <v>1257</v>
      </c>
      <c r="DZ621" s="1019"/>
      <c r="EA621" s="1019"/>
      <c r="EB621" s="1019"/>
      <c r="EC621" s="1019"/>
      <c r="ED621" s="1019"/>
      <c r="EE621" s="1019"/>
      <c r="EF621" s="1019"/>
      <c r="EG621" s="1019"/>
      <c r="EH621" s="1019"/>
      <c r="EI621" s="1019"/>
      <c r="EJ621" s="1019"/>
      <c r="EK621" s="1019"/>
      <c r="EL621" s="1019"/>
      <c r="EM621" s="1019"/>
      <c r="EN621" s="1019"/>
      <c r="EO621" s="1019"/>
      <c r="EP621" s="1714"/>
      <c r="EQ621" s="1019"/>
      <c r="ER621" s="1019"/>
      <c r="ES621" s="1019"/>
      <c r="ET621" s="1019"/>
      <c r="EU621" s="1019"/>
      <c r="EV621" s="1019"/>
      <c r="EW621" s="1019"/>
      <c r="EX621" s="1019"/>
      <c r="EY621" s="1019"/>
      <c r="EZ621" s="1019"/>
      <c r="FA621" s="1019"/>
      <c r="FB621" s="1019"/>
      <c r="FC621" s="1019"/>
      <c r="FD621" s="1027"/>
      <c r="FE621" s="1019"/>
      <c r="FF621" s="1019"/>
      <c r="FG621" s="1019"/>
      <c r="FH621" s="1019"/>
      <c r="FI621" s="1019"/>
      <c r="FJ621" s="1019"/>
      <c r="FK621" s="1019"/>
      <c r="FL621" s="1019"/>
      <c r="FM621" s="1027"/>
      <c r="FN621" s="1027"/>
      <c r="FO621" s="1027"/>
      <c r="FP621" s="1019"/>
      <c r="FQ621" s="1019"/>
      <c r="FR621" s="1019" t="s">
        <v>1214</v>
      </c>
      <c r="FS621" s="1019"/>
      <c r="FT621" s="1019"/>
      <c r="FU621" s="1019"/>
      <c r="FV621" s="1019"/>
      <c r="FW621" s="1019"/>
      <c r="FX621" s="1019"/>
      <c r="FY621" s="1019"/>
      <c r="FZ621" s="1019"/>
      <c r="GA621" s="1019"/>
      <c r="GB621" s="1019" t="s">
        <v>1734</v>
      </c>
      <c r="GC621" s="1717"/>
      <c r="GD621" s="1718">
        <v>2015</v>
      </c>
      <c r="GE621" s="1019" t="s">
        <v>1214</v>
      </c>
      <c r="GF621" s="1027"/>
      <c r="GG621" s="1027"/>
      <c r="GH621" s="1019"/>
      <c r="GI621" s="1019"/>
      <c r="GJ621" s="1019"/>
      <c r="GK621" s="1019"/>
      <c r="GL621" s="1019"/>
      <c r="GM621" s="1019"/>
      <c r="GN621" s="1804"/>
      <c r="GO621" s="1019"/>
      <c r="GP621" s="1019"/>
      <c r="GQ621" s="1019"/>
      <c r="GR621" s="1019"/>
      <c r="GS621" s="1019"/>
      <c r="GT621" s="1019"/>
      <c r="GU621" s="1019"/>
      <c r="GV621" s="1019"/>
      <c r="GW621" s="1019"/>
      <c r="GX621" s="1019"/>
      <c r="GY621" s="1019"/>
      <c r="GZ621" s="1019"/>
      <c r="HA621" s="1019"/>
      <c r="HB621" s="1019"/>
      <c r="HC621" s="1019"/>
      <c r="HD621" s="1019"/>
      <c r="HE621" s="1019"/>
      <c r="HF621" s="1019"/>
      <c r="HG621" s="1019"/>
      <c r="HH621" s="1019"/>
      <c r="HI621" s="1019"/>
      <c r="HJ621" s="1019"/>
      <c r="HK621" s="1019"/>
      <c r="HL621" s="1019"/>
      <c r="HM621" s="1019"/>
      <c r="HN621" s="1019"/>
      <c r="HO621" s="1019"/>
      <c r="HP621" s="1019"/>
      <c r="HQ621" s="1019"/>
      <c r="HR621" s="1019"/>
      <c r="HS621" s="1019"/>
      <c r="HT621" s="1019"/>
      <c r="HU621" s="1019"/>
      <c r="HV621" s="1019"/>
      <c r="HW621" s="1019"/>
      <c r="HX621" s="1019"/>
      <c r="HY621" s="1019"/>
      <c r="HZ621" s="1019"/>
      <c r="IA621" s="1019"/>
      <c r="IB621" s="1019"/>
      <c r="IC621" s="1019"/>
      <c r="ID621" s="1019"/>
      <c r="IE621" s="1019"/>
      <c r="IF621" s="1019" t="s">
        <v>4133</v>
      </c>
      <c r="IG621" s="1019" t="s">
        <v>10</v>
      </c>
      <c r="IH621" s="1019" t="s">
        <v>4141</v>
      </c>
      <c r="II621" s="1019" t="s">
        <v>4134</v>
      </c>
      <c r="IJ621" s="1019" t="s">
        <v>4146</v>
      </c>
      <c r="IK621" s="1019"/>
      <c r="IL621" s="1019" t="s">
        <v>4147</v>
      </c>
      <c r="IM621" s="1019">
        <v>2015</v>
      </c>
      <c r="IN621" s="1019" t="s">
        <v>4147</v>
      </c>
      <c r="IO621" s="1805"/>
      <c r="IP621" s="1019" t="s">
        <v>156</v>
      </c>
      <c r="IQ621" s="1716"/>
      <c r="IR621" s="1019"/>
      <c r="IS621" s="1019" t="s">
        <v>1931</v>
      </c>
      <c r="IT621" s="1019"/>
      <c r="IU621" s="1019"/>
      <c r="IV621" s="1019"/>
      <c r="IW621" s="1019"/>
      <c r="IX621" s="1019"/>
      <c r="IY621" s="1812" t="s">
        <v>4145</v>
      </c>
      <c r="IZ621" s="1019"/>
      <c r="JA621" s="1019"/>
      <c r="JB621" s="1019"/>
      <c r="JC621" s="1019"/>
      <c r="JD621" s="1027"/>
      <c r="JE621" s="1019"/>
      <c r="JF621" s="1019"/>
      <c r="JG621" s="1019"/>
      <c r="JH621" s="1802"/>
      <c r="JI621" s="1802"/>
      <c r="JJ621" s="1019"/>
      <c r="JK621" s="1019"/>
      <c r="JL621" s="1019"/>
      <c r="JM621" s="1019"/>
      <c r="JN621" s="1019"/>
      <c r="JO621" s="1019"/>
      <c r="JP621" s="1019"/>
      <c r="JQ621" s="1019"/>
      <c r="JR621" s="1019"/>
      <c r="JS621" s="1019"/>
      <c r="JT621" s="766"/>
      <c r="JU621" s="766"/>
      <c r="JV621" s="766"/>
      <c r="JW621" s="766"/>
      <c r="JX621" s="1019"/>
      <c r="JY621" s="1019"/>
      <c r="JZ621" s="1019"/>
      <c r="KA621" s="1019"/>
      <c r="KB621" s="1019"/>
      <c r="KC621" s="1019"/>
      <c r="KD621" s="1019"/>
      <c r="KE621" s="1019"/>
      <c r="KF621" s="1019"/>
      <c r="KG621" s="1019"/>
      <c r="KH621" s="1019"/>
      <c r="KI621" s="1019"/>
      <c r="KJ621" s="770"/>
      <c r="KK621" s="770"/>
      <c r="KL621" s="770"/>
      <c r="KM621" s="770"/>
      <c r="KN621" s="1019"/>
      <c r="KO621" s="1019"/>
      <c r="KP621" s="1019"/>
      <c r="KQ621" s="1019"/>
      <c r="KR621" s="1019"/>
      <c r="KS621" s="1019"/>
      <c r="KT621" s="1019"/>
      <c r="KU621" s="1019"/>
      <c r="KV621" s="1019"/>
      <c r="KW621" s="1019"/>
      <c r="KX621" s="1019"/>
      <c r="KY621" s="1019"/>
      <c r="KZ621" s="1019"/>
      <c r="LA621" s="1019"/>
      <c r="LB621" s="1019"/>
      <c r="LC621" s="1019"/>
      <c r="LD621" s="1019"/>
      <c r="LE621" s="1019"/>
      <c r="LF621" s="1019"/>
      <c r="LG621" s="1019"/>
      <c r="LH621" s="1019"/>
      <c r="LI621" s="1019"/>
      <c r="LJ621" s="1019"/>
      <c r="LK621" s="1019"/>
      <c r="LL621" s="1019"/>
      <c r="LM621" s="1019"/>
      <c r="LN621" s="766"/>
      <c r="LO621" s="766"/>
      <c r="LP621" s="1019"/>
      <c r="LQ621" s="1019"/>
      <c r="LR621" s="1019"/>
      <c r="LS621" s="1019"/>
      <c r="LT621" s="1019"/>
      <c r="LU621" s="1019"/>
      <c r="LV621" s="1019"/>
      <c r="LW621" s="1019"/>
      <c r="LX621" s="1693"/>
      <c r="LY621" s="766" t="str">
        <f t="shared" si="187"/>
        <v/>
      </c>
      <c r="LZ621" s="1807"/>
      <c r="MA621" s="1807"/>
      <c r="MB621" s="1807"/>
      <c r="MC621" s="1679">
        <f t="shared" si="185"/>
        <v>0</v>
      </c>
      <c r="MD621" s="1807"/>
      <c r="ME621" s="1807"/>
      <c r="MF621" s="1807"/>
      <c r="MG621" s="1680">
        <f t="shared" si="164"/>
        <v>0</v>
      </c>
      <c r="MH621" s="1019"/>
      <c r="MI621" s="64"/>
      <c r="MJ621" s="1027"/>
      <c r="MK621" s="1027"/>
      <c r="ML621" s="1027"/>
      <c r="MM621" s="1027"/>
      <c r="MN621" s="1027"/>
      <c r="MO621" s="1027"/>
      <c r="MP621" s="1027"/>
      <c r="MQ621" s="1027"/>
      <c r="MR621" s="1027"/>
      <c r="MS621" s="1027"/>
      <c r="MT621" s="1027"/>
      <c r="MU621" s="1027"/>
      <c r="MV621" s="1027"/>
      <c r="MW621" s="1027"/>
      <c r="MX621" s="1027"/>
      <c r="MY621" s="1682">
        <f t="shared" si="165"/>
        <v>0</v>
      </c>
      <c r="MZ621" s="1019"/>
      <c r="NA621" s="1019"/>
      <c r="NB621" s="1019"/>
      <c r="NC621" s="1019"/>
      <c r="ND621" s="1019"/>
      <c r="NE621" s="1019"/>
      <c r="NF621" s="1019"/>
      <c r="NG621" s="1019"/>
      <c r="NH621" s="1019"/>
      <c r="NI621" s="1019"/>
      <c r="NJ621" s="1019"/>
      <c r="NK621" s="1019"/>
      <c r="NL621" s="1019"/>
      <c r="NM621" s="1019"/>
      <c r="NN621" s="1019"/>
      <c r="NO621" s="1019"/>
      <c r="NP621" s="1019"/>
      <c r="NQ621" s="1019"/>
      <c r="NR621" s="1019"/>
      <c r="NS621" s="1019"/>
      <c r="NT621" s="1019"/>
      <c r="NU621" s="1019"/>
      <c r="NV621" s="1019"/>
      <c r="NW621" s="1019"/>
      <c r="NX621" s="1019"/>
      <c r="NY621" s="1019"/>
      <c r="NZ621" s="1019"/>
      <c r="OA621" s="1019"/>
      <c r="OB621" s="1019"/>
      <c r="OC621" s="1019"/>
      <c r="OD621" s="1019"/>
      <c r="OE621" s="1019"/>
      <c r="OF621" s="1019"/>
      <c r="OG621" s="1019"/>
      <c r="OH621" s="1019"/>
      <c r="OI621" s="1019"/>
      <c r="OJ621" s="1019"/>
      <c r="OK621" s="1019"/>
      <c r="OL621" s="1019"/>
      <c r="OM621" s="1019"/>
      <c r="ON621" s="1019"/>
      <c r="OO621" s="1019"/>
      <c r="OP621" s="1019"/>
      <c r="OQ621" s="1019"/>
      <c r="OR621" s="1019"/>
      <c r="OS621" s="1019"/>
      <c r="OT621" s="1019"/>
      <c r="OU621" s="1019"/>
      <c r="OV621" s="1019"/>
      <c r="OW621" s="1019"/>
      <c r="OX621" s="1019"/>
      <c r="OY621" s="1019"/>
      <c r="OZ621" s="1019"/>
      <c r="PA621" s="1019"/>
      <c r="PB621" s="1019"/>
      <c r="PC621" s="1019"/>
      <c r="PD621" s="1019"/>
      <c r="PE621" s="1019"/>
      <c r="PF621" s="1019"/>
      <c r="PG621" s="1019"/>
      <c r="PH621" s="1019"/>
      <c r="PI621" s="1019"/>
      <c r="PJ621" s="1019"/>
      <c r="PK621" s="1019"/>
      <c r="PL621" s="1019"/>
      <c r="PM621" s="1019"/>
      <c r="PN621" s="1019"/>
      <c r="PO621" s="1019"/>
      <c r="PP621" s="1019"/>
      <c r="PQ621" s="1019"/>
      <c r="PR621" s="1019"/>
      <c r="PS621" s="1019"/>
      <c r="PT621" s="1019"/>
      <c r="PU621" s="1019"/>
      <c r="PV621" s="1019"/>
      <c r="PW621" s="1019"/>
      <c r="PX621" s="1019"/>
      <c r="PY621" s="1019"/>
      <c r="PZ621" s="1019"/>
      <c r="QA621" s="1019"/>
      <c r="QB621" s="1019"/>
      <c r="QC621" s="1019"/>
      <c r="QD621" s="1019"/>
      <c r="QE621" s="1019"/>
      <c r="QF621" s="1019"/>
      <c r="QG621" s="1019"/>
      <c r="QH621" s="1019"/>
      <c r="QI621" s="1019"/>
      <c r="QJ621" s="1019"/>
      <c r="QK621" s="1019"/>
      <c r="QL621" s="1019"/>
      <c r="QM621" s="1019"/>
      <c r="QN621" s="1019"/>
      <c r="QO621" s="1019"/>
      <c r="QP621" s="1019"/>
      <c r="QQ621" s="1019"/>
      <c r="QR621" s="1019"/>
      <c r="QS621" s="1019"/>
      <c r="QT621" s="1019"/>
      <c r="QU621" s="1019"/>
      <c r="QV621" s="1019"/>
      <c r="QW621" s="1019"/>
      <c r="QX621" s="1019"/>
      <c r="QY621" s="1019"/>
      <c r="QZ621" s="1019"/>
      <c r="RA621" s="1019"/>
      <c r="RB621" s="1019"/>
      <c r="RC621" s="1019"/>
      <c r="RD621" s="1019"/>
      <c r="RE621" s="1019"/>
      <c r="RF621" s="1794"/>
      <c r="RG621" s="1019"/>
      <c r="RH621" s="1027"/>
      <c r="RI621" s="1019"/>
      <c r="RJ621" s="1019" t="s">
        <v>13822</v>
      </c>
      <c r="RK621" s="1019" t="s">
        <v>13544</v>
      </c>
      <c r="RL621" s="1810">
        <v>42835</v>
      </c>
      <c r="RM621" s="1714" t="s">
        <v>13814</v>
      </c>
      <c r="RN621" s="1724">
        <v>42893</v>
      </c>
      <c r="RO621" s="514" t="s">
        <v>4142</v>
      </c>
      <c r="RR621" s="17"/>
      <c r="RS621" s="1013"/>
      <c r="RV621" s="93" t="s">
        <v>7421</v>
      </c>
      <c r="RW621" s="35" t="s">
        <v>7727</v>
      </c>
      <c r="RX621" s="35" t="s">
        <v>4123</v>
      </c>
      <c r="RZ621" s="35" t="s">
        <v>1101</v>
      </c>
      <c r="SA621" s="93"/>
    </row>
    <row r="622" spans="1:495" s="35" customFormat="1" ht="12.75" customHeight="1">
      <c r="A622" s="19" t="s">
        <v>7421</v>
      </c>
      <c r="B622" s="1080" t="s">
        <v>10302</v>
      </c>
      <c r="C622" s="514" t="s">
        <v>10303</v>
      </c>
      <c r="D622" s="1714" t="s">
        <v>11459</v>
      </c>
      <c r="E622" s="1019" t="s">
        <v>11460</v>
      </c>
      <c r="F622" s="1019" t="s">
        <v>28</v>
      </c>
      <c r="G622" s="1019" t="s">
        <v>10</v>
      </c>
      <c r="H622" s="1019"/>
      <c r="I622" s="1812"/>
      <c r="J622" s="1714" t="s">
        <v>11459</v>
      </c>
      <c r="K622" s="6" t="s">
        <v>11420</v>
      </c>
      <c r="L622" s="6" t="s">
        <v>11461</v>
      </c>
      <c r="M622" s="1019" t="s">
        <v>2402</v>
      </c>
      <c r="N622" s="1019" t="s">
        <v>11456</v>
      </c>
      <c r="O622" s="1019" t="s">
        <v>11438</v>
      </c>
      <c r="P622" s="1714" t="s">
        <v>11462</v>
      </c>
      <c r="Q622" s="1831">
        <v>31234</v>
      </c>
      <c r="R622" s="1718">
        <v>31</v>
      </c>
      <c r="S622" s="1019" t="s">
        <v>10</v>
      </c>
      <c r="T622" s="1019"/>
      <c r="U622" s="1825" t="s">
        <v>11463</v>
      </c>
      <c r="V622" s="1019" t="s">
        <v>722</v>
      </c>
      <c r="W622" s="1825" t="s">
        <v>11464</v>
      </c>
      <c r="X622" s="1805">
        <v>31772</v>
      </c>
      <c r="Y622" s="1019" t="s">
        <v>11460</v>
      </c>
      <c r="Z622" s="1019" t="s">
        <v>708</v>
      </c>
      <c r="AA622" s="1019" t="s">
        <v>709</v>
      </c>
      <c r="AB622" s="1019" t="s">
        <v>11465</v>
      </c>
      <c r="AC622" s="1019"/>
      <c r="AD622" s="1019"/>
      <c r="AE622" s="1019" t="s">
        <v>1073</v>
      </c>
      <c r="AF622" s="1019" t="s">
        <v>712</v>
      </c>
      <c r="AG622" s="1019" t="s">
        <v>1132</v>
      </c>
      <c r="AH622" s="766" t="s">
        <v>1096</v>
      </c>
      <c r="AI622" s="1019"/>
      <c r="AJ622" s="1019" t="s">
        <v>1137</v>
      </c>
      <c r="AK622" s="1019" t="s">
        <v>1101</v>
      </c>
      <c r="AL622" s="1770">
        <v>16.5</v>
      </c>
      <c r="AM622" s="1108">
        <v>9</v>
      </c>
      <c r="AN622" s="1078">
        <f t="shared" si="186"/>
        <v>0.54545454545454541</v>
      </c>
      <c r="AO622" s="6" t="s">
        <v>1105</v>
      </c>
      <c r="AP622" s="6"/>
      <c r="AQ622" s="6"/>
      <c r="AR622" s="6"/>
      <c r="AS622" s="1019"/>
      <c r="AT622" s="1019"/>
      <c r="AU622" s="1019"/>
      <c r="AV622" s="1019"/>
      <c r="AW622" s="1019"/>
      <c r="AX622" s="1019"/>
      <c r="AY622" s="1019"/>
      <c r="AZ622" s="1019"/>
      <c r="BA622" s="1019"/>
      <c r="BB622" s="1019"/>
      <c r="BC622" s="1019"/>
      <c r="BD622" s="1019"/>
      <c r="BE622" s="1019"/>
      <c r="BF622" s="1027"/>
      <c r="BG622" s="1027"/>
      <c r="BH622" s="1019"/>
      <c r="BI622" s="1019"/>
      <c r="BJ622" s="1019"/>
      <c r="BK622" s="1019" t="s">
        <v>1095</v>
      </c>
      <c r="BL622" s="1019" t="s">
        <v>11466</v>
      </c>
      <c r="BM622" s="1019" t="s">
        <v>1096</v>
      </c>
      <c r="BN622" s="1019" t="s">
        <v>1230</v>
      </c>
      <c r="BO622" s="1019" t="s">
        <v>1252</v>
      </c>
      <c r="BP622" s="1116">
        <v>18.149999999999999</v>
      </c>
      <c r="BQ622" s="46">
        <v>10.26</v>
      </c>
      <c r="BR622" s="47">
        <f t="shared" ref="BR622:BR629" si="188">BQ622/BP622</f>
        <v>0.56528925619834713</v>
      </c>
      <c r="BS622" s="6" t="s">
        <v>1105</v>
      </c>
      <c r="BT622" s="1019" t="s">
        <v>1355</v>
      </c>
      <c r="BU622" s="1019" t="s">
        <v>1249</v>
      </c>
      <c r="BV622" s="1019" t="s">
        <v>1247</v>
      </c>
      <c r="BW622" s="1019"/>
      <c r="BX622" s="1027"/>
      <c r="BY622" s="1019"/>
      <c r="BZ622" s="1027"/>
      <c r="CA622" s="1019"/>
      <c r="CB622" s="1019"/>
      <c r="CC622" s="1019"/>
      <c r="CD622" s="1019"/>
      <c r="CE622" s="1019"/>
      <c r="CF622" s="1796"/>
      <c r="CG622" s="1797"/>
      <c r="CH622" s="1019"/>
      <c r="CI622" s="1019"/>
      <c r="CJ622" s="1019"/>
      <c r="CK622" s="1019"/>
      <c r="CL622" s="1019"/>
      <c r="CM622" s="1019"/>
      <c r="CN622" s="1019"/>
      <c r="CO622" s="1019"/>
      <c r="CP622" s="1019"/>
      <c r="CQ622" s="1019"/>
      <c r="CR622" s="1027"/>
      <c r="CS622" s="1019"/>
      <c r="CT622" s="1019"/>
      <c r="CU622" s="1798"/>
      <c r="CV622" s="1019"/>
      <c r="CW622" s="1019"/>
      <c r="CX622" s="1019"/>
      <c r="CY622" s="1019"/>
      <c r="CZ622" s="1019"/>
      <c r="DA622" s="1799"/>
      <c r="DB622" s="1019"/>
      <c r="DC622" s="1019"/>
      <c r="DD622" s="1019"/>
      <c r="DE622" s="1800"/>
      <c r="DF622" s="1019"/>
      <c r="DG622" s="1019"/>
      <c r="DH622" s="1019"/>
      <c r="DI622" s="1019"/>
      <c r="DJ622" s="1019"/>
      <c r="DK622" s="1019"/>
      <c r="DL622" s="1019"/>
      <c r="DM622" s="1019"/>
      <c r="DN622" s="1801"/>
      <c r="DO622" s="1019"/>
      <c r="DP622" s="1019"/>
      <c r="DQ622" s="1019"/>
      <c r="DR622" s="1019"/>
      <c r="DS622" s="1802"/>
      <c r="DT622" s="1716"/>
      <c r="DU622" s="1019"/>
      <c r="DV622" s="1019"/>
      <c r="DW622" s="1799"/>
      <c r="DX622" s="1799"/>
      <c r="DY622" s="1019"/>
      <c r="DZ622" s="1019"/>
      <c r="EA622" s="1019"/>
      <c r="EB622" s="1019"/>
      <c r="EC622" s="1019"/>
      <c r="ED622" s="1019"/>
      <c r="EE622" s="1019"/>
      <c r="EF622" s="1019"/>
      <c r="EG622" s="1019"/>
      <c r="EH622" s="1019"/>
      <c r="EI622" s="1019"/>
      <c r="EJ622" s="1019"/>
      <c r="EK622" s="1019"/>
      <c r="EL622" s="1019"/>
      <c r="EM622" s="1019"/>
      <c r="EN622" s="1019"/>
      <c r="EO622" s="1019"/>
      <c r="EP622" s="1714"/>
      <c r="EQ622" s="1019"/>
      <c r="ER622" s="1019"/>
      <c r="ES622" s="1019"/>
      <c r="ET622" s="1019"/>
      <c r="EU622" s="1019"/>
      <c r="EV622" s="1019"/>
      <c r="EW622" s="1019"/>
      <c r="EX622" s="1019"/>
      <c r="EY622" s="1019"/>
      <c r="EZ622" s="1019"/>
      <c r="FA622" s="1019"/>
      <c r="FB622" s="1019"/>
      <c r="FC622" s="1019"/>
      <c r="FD622" s="1027"/>
      <c r="FE622" s="1019"/>
      <c r="FF622" s="1019"/>
      <c r="FG622" s="1019"/>
      <c r="FH622" s="1019" t="s">
        <v>478</v>
      </c>
      <c r="FI622" s="1019">
        <v>1</v>
      </c>
      <c r="FJ622" s="1019"/>
      <c r="FK622" s="1019"/>
      <c r="FL622" s="1019"/>
      <c r="FM622" s="1027"/>
      <c r="FN622" s="1027"/>
      <c r="FO622" s="1027"/>
      <c r="FP622" s="766" t="s">
        <v>1602</v>
      </c>
      <c r="FQ622" s="766" t="s">
        <v>1660</v>
      </c>
      <c r="FR622" s="1019" t="s">
        <v>1207</v>
      </c>
      <c r="FS622" s="1019"/>
      <c r="FT622" s="1019"/>
      <c r="FU622" s="1019" t="s">
        <v>1208</v>
      </c>
      <c r="FV622" s="1019"/>
      <c r="FW622" s="1019"/>
      <c r="FX622" s="1019"/>
      <c r="FY622" s="1019"/>
      <c r="FZ622" s="1019"/>
      <c r="GA622" s="1019"/>
      <c r="GB622" s="1019" t="s">
        <v>796</v>
      </c>
      <c r="GC622" s="1717" t="s">
        <v>11467</v>
      </c>
      <c r="GD622" s="1718">
        <v>2015</v>
      </c>
      <c r="GE622" s="1019" t="s">
        <v>1214</v>
      </c>
      <c r="GF622" s="1027"/>
      <c r="GG622" s="1027"/>
      <c r="GH622" s="712" t="s">
        <v>3650</v>
      </c>
      <c r="GI622" s="1019"/>
      <c r="GJ622" s="1019"/>
      <c r="GK622" s="1019"/>
      <c r="GL622" s="1019"/>
      <c r="GM622" s="1019"/>
      <c r="GN622" s="1804"/>
      <c r="GO622" s="1019"/>
      <c r="GP622" s="1019"/>
      <c r="GQ622" s="1019"/>
      <c r="GR622" s="1019"/>
      <c r="GS622" s="1019"/>
      <c r="GT622" s="1019"/>
      <c r="GU622" s="1019"/>
      <c r="GV622" s="1019"/>
      <c r="GW622" s="1019"/>
      <c r="GX622" s="1019"/>
      <c r="GY622" s="1019"/>
      <c r="GZ622" s="1019"/>
      <c r="HA622" s="1019"/>
      <c r="HB622" s="1019"/>
      <c r="HC622" s="1019"/>
      <c r="HD622" s="1019"/>
      <c r="HE622" s="1019"/>
      <c r="HF622" s="1019"/>
      <c r="HG622" s="1019"/>
      <c r="HH622" s="1019"/>
      <c r="HI622" s="1019" t="s">
        <v>1214</v>
      </c>
      <c r="HJ622" s="1019"/>
      <c r="HK622" s="1019"/>
      <c r="HL622" s="1019"/>
      <c r="HM622" s="1019"/>
      <c r="HN622" s="1019"/>
      <c r="HO622" s="1019"/>
      <c r="HP622" s="1019"/>
      <c r="HQ622" s="1019"/>
      <c r="HR622" s="1019"/>
      <c r="HS622" s="1019"/>
      <c r="HT622" s="1019"/>
      <c r="HU622" s="1019"/>
      <c r="HV622" s="1019"/>
      <c r="HW622" s="1019"/>
      <c r="HX622" s="1019"/>
      <c r="HY622" s="1019"/>
      <c r="HZ622" s="1019"/>
      <c r="IA622" s="1019"/>
      <c r="IB622" s="14" t="e">
        <f>IF(#REF!&gt;0,IF(#REF!&lt;=10000,"Y",""),"")</f>
        <v>#REF!</v>
      </c>
      <c r="IC622" s="1019"/>
      <c r="ID622" s="1019"/>
      <c r="IE622" s="1019"/>
      <c r="IF622" s="1019"/>
      <c r="IG622" s="1019"/>
      <c r="IH622" s="1019"/>
      <c r="II622" s="1019"/>
      <c r="IJ622" s="1019"/>
      <c r="IK622" s="1019"/>
      <c r="IL622" s="1019"/>
      <c r="IM622" s="1019"/>
      <c r="IN622" s="1019"/>
      <c r="IO622" s="1805"/>
      <c r="IP622" s="1019"/>
      <c r="IQ622" s="1716"/>
      <c r="IR622" s="1019"/>
      <c r="IS622" s="1019"/>
      <c r="IT622" s="1019"/>
      <c r="IU622" s="1019"/>
      <c r="IV622" s="1019"/>
      <c r="IW622" s="1019"/>
      <c r="IX622" s="1019"/>
      <c r="IY622" s="1812"/>
      <c r="IZ622" s="1019"/>
      <c r="JA622" s="1019"/>
      <c r="JB622" s="1019"/>
      <c r="JC622" s="1019"/>
      <c r="JD622" s="1027"/>
      <c r="JE622" s="1019"/>
      <c r="JF622" s="1019"/>
      <c r="JG622" s="1019"/>
      <c r="JH622" s="1802"/>
      <c r="JI622" s="1802"/>
      <c r="JJ622" s="1698">
        <v>8</v>
      </c>
      <c r="JK622" s="1047" t="s">
        <v>10304</v>
      </c>
      <c r="JL622" s="1019"/>
      <c r="JM622" s="1019">
        <v>2</v>
      </c>
      <c r="JN622" s="1019">
        <v>3</v>
      </c>
      <c r="JO622" s="1019">
        <v>3</v>
      </c>
      <c r="JP622" s="1019"/>
      <c r="JQ622" s="1019"/>
      <c r="JR622" s="1019"/>
      <c r="JS622" s="1019"/>
      <c r="JT622" s="766">
        <f>SUM(JP622,JN622,JL622,JR622)</f>
        <v>3</v>
      </c>
      <c r="JU622" s="766">
        <f>SUM(JQ622,JO622,JM622,JS622)</f>
        <v>5</v>
      </c>
      <c r="JV622" s="712" t="str">
        <f>IF(JT622=KJ622,"ok","male")</f>
        <v>ok</v>
      </c>
      <c r="JW622" s="712" t="str">
        <f>IF(JU622=KK622,"ok","female")</f>
        <v>ok</v>
      </c>
      <c r="JX622" s="1019"/>
      <c r="JY622" s="1019">
        <v>1</v>
      </c>
      <c r="JZ622" s="1019"/>
      <c r="KA622" s="1019">
        <v>1</v>
      </c>
      <c r="KB622" s="1019"/>
      <c r="KC622" s="1019">
        <v>1</v>
      </c>
      <c r="KD622" s="1019">
        <v>2</v>
      </c>
      <c r="KE622" s="1019">
        <v>2</v>
      </c>
      <c r="KF622" s="1019">
        <v>1</v>
      </c>
      <c r="KG622" s="1019"/>
      <c r="KH622" s="1019"/>
      <c r="KI622" s="1019"/>
      <c r="KJ622" s="770">
        <f t="shared" si="168"/>
        <v>3</v>
      </c>
      <c r="KK622" s="770">
        <f t="shared" si="168"/>
        <v>5</v>
      </c>
      <c r="KL622" s="712" t="str">
        <f>IF(KJ622=LN622,"ok","male")</f>
        <v>ok</v>
      </c>
      <c r="KM622" s="712" t="str">
        <f>IF(KK622=LO622,"ok","female")</f>
        <v>ok</v>
      </c>
      <c r="KN622" s="1019" t="s">
        <v>722</v>
      </c>
      <c r="KO622" s="1019"/>
      <c r="KP622" s="1019"/>
      <c r="KQ622" s="1019"/>
      <c r="KR622" s="1019"/>
      <c r="KS622" s="1019">
        <v>1</v>
      </c>
      <c r="KT622" s="1019"/>
      <c r="KU622" s="1019">
        <v>1</v>
      </c>
      <c r="KV622" s="1019"/>
      <c r="KW622" s="1019"/>
      <c r="KX622" s="1019">
        <v>1</v>
      </c>
      <c r="KY622" s="1019">
        <v>1</v>
      </c>
      <c r="KZ622" s="1019">
        <v>2</v>
      </c>
      <c r="LA622" s="1019">
        <v>1</v>
      </c>
      <c r="LB622" s="1019"/>
      <c r="LC622" s="1019">
        <v>1</v>
      </c>
      <c r="LD622" s="1019"/>
      <c r="LE622" s="1019"/>
      <c r="LF622" s="1019"/>
      <c r="LG622" s="1019"/>
      <c r="LH622" s="1019"/>
      <c r="LI622" s="1019"/>
      <c r="LJ622" s="1019"/>
      <c r="LK622" s="1019"/>
      <c r="LL622" s="1019"/>
      <c r="LM622" s="1019"/>
      <c r="LN622" s="766">
        <f>SUM(KP622,KR622,KT622,KV622,KX622,KZ622,LB622,LD622,LF622,LH622,LJ622,LL622)</f>
        <v>3</v>
      </c>
      <c r="LO622" s="766">
        <f>SUM(KQ622,KS622,KU622,KW622,KY622,LA622,LC622,LE622,LG622,LI622,LK622,LM622)</f>
        <v>5</v>
      </c>
      <c r="LP622" s="1019">
        <v>2</v>
      </c>
      <c r="LQ622" s="1019"/>
      <c r="LR622" s="1019"/>
      <c r="LS622" s="1019">
        <v>2</v>
      </c>
      <c r="LT622" s="712" t="str">
        <f>IF(LQ622=SUM(LU622:LW622),"OK","REV")</f>
        <v>OK</v>
      </c>
      <c r="LU622" s="1019"/>
      <c r="LV622" s="1019"/>
      <c r="LW622" s="1019"/>
      <c r="LX622" s="1693">
        <v>1</v>
      </c>
      <c r="LY622" s="766" t="str">
        <f t="shared" si="187"/>
        <v>within the BRGY</v>
      </c>
      <c r="LZ622" s="875"/>
      <c r="MA622" s="1694"/>
      <c r="MB622" s="1694">
        <f>2400+480</f>
        <v>2880</v>
      </c>
      <c r="MC622" s="1679">
        <f t="shared" si="185"/>
        <v>2880</v>
      </c>
      <c r="MD622" s="1807"/>
      <c r="ME622" s="1807"/>
      <c r="MF622" s="1807">
        <f>12000+9000</f>
        <v>21000</v>
      </c>
      <c r="MG622" s="1680">
        <f>SUM(MD622:MF622)</f>
        <v>21000</v>
      </c>
      <c r="MH622" s="1019" t="s">
        <v>2968</v>
      </c>
      <c r="MI622" s="64">
        <v>12000</v>
      </c>
      <c r="MJ622" s="1027">
        <f>46*30</f>
        <v>1380</v>
      </c>
      <c r="MK622" s="1027">
        <v>5000</v>
      </c>
      <c r="ML622" s="1027">
        <f>950*4</f>
        <v>3800</v>
      </c>
      <c r="MM622" s="1027">
        <v>2000</v>
      </c>
      <c r="MN622" s="1027"/>
      <c r="MO622" s="1027">
        <v>70</v>
      </c>
      <c r="MP622" s="1027">
        <v>2000</v>
      </c>
      <c r="MQ622" s="1027">
        <v>300</v>
      </c>
      <c r="MR622" s="1027">
        <v>1800</v>
      </c>
      <c r="MS622" s="1027"/>
      <c r="MT622" s="1027"/>
      <c r="MU622" s="1027"/>
      <c r="MV622" s="1027"/>
      <c r="MW622" s="1027"/>
      <c r="MX622" s="1027"/>
      <c r="MY622" s="1682">
        <f t="shared" si="165"/>
        <v>28350</v>
      </c>
      <c r="MZ622" s="1019" t="s">
        <v>13370</v>
      </c>
      <c r="NA622" s="1019" t="s">
        <v>13005</v>
      </c>
      <c r="NB622" s="1019" t="s">
        <v>13016</v>
      </c>
      <c r="NC622" s="1019" t="s">
        <v>13602</v>
      </c>
      <c r="ND622" s="1019">
        <v>0</v>
      </c>
      <c r="NE622" s="1019">
        <v>0</v>
      </c>
      <c r="NF622" s="1019">
        <v>0</v>
      </c>
      <c r="NG622" s="1019">
        <v>3</v>
      </c>
      <c r="NH622" s="1019">
        <v>2</v>
      </c>
      <c r="NI622" s="1019">
        <v>1</v>
      </c>
      <c r="NJ622" s="1019">
        <v>0</v>
      </c>
      <c r="NK622" s="1019">
        <v>0</v>
      </c>
      <c r="NL622" s="1019">
        <v>0</v>
      </c>
      <c r="NM622" s="1019">
        <v>0</v>
      </c>
      <c r="NN622" s="1019">
        <v>0</v>
      </c>
      <c r="NO622" s="1019">
        <v>0</v>
      </c>
      <c r="NP622" s="1019">
        <v>0</v>
      </c>
      <c r="NQ622" s="1019">
        <v>0</v>
      </c>
      <c r="NR622" s="1019">
        <v>0</v>
      </c>
      <c r="NS622" s="1019">
        <v>0</v>
      </c>
      <c r="NT622" s="1019">
        <v>0</v>
      </c>
      <c r="NU622" s="1019">
        <v>0</v>
      </c>
      <c r="NV622" s="1019">
        <v>0</v>
      </c>
      <c r="NW622" s="1019">
        <v>0</v>
      </c>
      <c r="NX622" s="1019">
        <v>0</v>
      </c>
      <c r="NY622" s="1019"/>
      <c r="NZ622" s="1019" t="s">
        <v>1208</v>
      </c>
      <c r="OA622" s="1019" t="s">
        <v>1208</v>
      </c>
      <c r="OB622" s="1019" t="s">
        <v>1208</v>
      </c>
      <c r="OC622" s="1019"/>
      <c r="OD622" s="1019"/>
      <c r="OE622" s="1019"/>
      <c r="OF622" s="1019"/>
      <c r="OG622" s="1019"/>
      <c r="OH622" s="1019"/>
      <c r="OI622" s="1019"/>
      <c r="OJ622" s="1019"/>
      <c r="OK622" s="1019"/>
      <c r="OL622" s="1019"/>
      <c r="OM622" s="1019"/>
      <c r="ON622" s="1019"/>
      <c r="OO622" s="1019"/>
      <c r="OP622" s="1019"/>
      <c r="OQ622" s="1019"/>
      <c r="OR622" s="1019"/>
      <c r="OS622" s="1019"/>
      <c r="OT622" s="1019"/>
      <c r="OU622" s="1019"/>
      <c r="OV622" s="1019"/>
      <c r="OW622" s="1019"/>
      <c r="OX622" s="1019"/>
      <c r="OY622" s="1019"/>
      <c r="OZ622" s="1019"/>
      <c r="PA622" s="1019"/>
      <c r="PB622" s="1019"/>
      <c r="PC622" s="1019"/>
      <c r="PD622" s="1019"/>
      <c r="PE622" s="1019"/>
      <c r="PF622" s="1019"/>
      <c r="PG622" s="1019"/>
      <c r="PH622" s="1019"/>
      <c r="PI622" s="1019"/>
      <c r="PJ622" s="1019"/>
      <c r="PK622" s="1019"/>
      <c r="PL622" s="1019"/>
      <c r="PM622" s="1019"/>
      <c r="PN622" s="1019"/>
      <c r="PO622" s="1019"/>
      <c r="PP622" s="1019"/>
      <c r="PQ622" s="1019"/>
      <c r="PR622" s="1019"/>
      <c r="PS622" s="1019" t="s">
        <v>1208</v>
      </c>
      <c r="PT622" s="1019" t="s">
        <v>1208</v>
      </c>
      <c r="PU622" s="1019"/>
      <c r="PV622" s="1019"/>
      <c r="PW622" s="1019"/>
      <c r="PX622" s="1019"/>
      <c r="PY622" s="1019"/>
      <c r="PZ622" s="1019"/>
      <c r="QA622" s="1019"/>
      <c r="QB622" s="1019"/>
      <c r="QC622" s="1019"/>
      <c r="QD622" s="1019"/>
      <c r="QE622" s="1019"/>
      <c r="QF622" s="1019"/>
      <c r="QG622" s="1019"/>
      <c r="QH622" s="1019"/>
      <c r="QI622" s="1019"/>
      <c r="QJ622" s="1019"/>
      <c r="QK622" s="1019"/>
      <c r="QL622" s="1019"/>
      <c r="QM622" s="1019"/>
      <c r="QN622" s="1019"/>
      <c r="QO622" s="1019"/>
      <c r="QP622" s="1019"/>
      <c r="QQ622" s="1019"/>
      <c r="QR622" s="1019"/>
      <c r="QS622" s="1019"/>
      <c r="QT622" s="1019"/>
      <c r="QU622" s="1019"/>
      <c r="QV622" s="1019"/>
      <c r="QW622" s="1019"/>
      <c r="QX622" s="1019"/>
      <c r="QY622" s="1019"/>
      <c r="QZ622" s="1019"/>
      <c r="RA622" s="1019"/>
      <c r="RB622" s="1019" t="s">
        <v>1207</v>
      </c>
      <c r="RC622" s="1019">
        <v>2016</v>
      </c>
      <c r="RD622" s="1019" t="s">
        <v>13046</v>
      </c>
      <c r="RE622" s="1019" t="s">
        <v>13008</v>
      </c>
      <c r="RF622" s="1794"/>
      <c r="RG622" s="1019"/>
      <c r="RH622" s="1027"/>
      <c r="RI622" s="1019">
        <v>24</v>
      </c>
      <c r="RJ622" s="1019" t="s">
        <v>13823</v>
      </c>
      <c r="RK622" s="1019" t="s">
        <v>13010</v>
      </c>
      <c r="RL622" s="1810">
        <v>42895</v>
      </c>
      <c r="RM622" s="1714"/>
      <c r="RN622" s="1724"/>
      <c r="RO622" s="514" t="s">
        <v>10303</v>
      </c>
      <c r="RR622" s="19" t="s">
        <v>7421</v>
      </c>
      <c r="RS622" s="1139" t="s">
        <v>12980</v>
      </c>
      <c r="RV622" s="93" t="s">
        <v>7421</v>
      </c>
      <c r="RW622" s="35" t="s">
        <v>7991</v>
      </c>
      <c r="RX622" s="35" t="s">
        <v>4132</v>
      </c>
      <c r="RZ622" s="35" t="s">
        <v>1101</v>
      </c>
      <c r="SA622" s="93"/>
    </row>
    <row r="623" spans="1:495" s="35" customFormat="1" ht="12.75" customHeight="1">
      <c r="A623" s="19" t="s">
        <v>7421</v>
      </c>
      <c r="B623" s="1080" t="s">
        <v>11468</v>
      </c>
      <c r="C623" s="514" t="s">
        <v>10314</v>
      </c>
      <c r="D623" s="1714" t="s">
        <v>11469</v>
      </c>
      <c r="E623" s="1019" t="s">
        <v>11470</v>
      </c>
      <c r="F623" s="1019" t="s">
        <v>20</v>
      </c>
      <c r="G623" s="1019" t="s">
        <v>18</v>
      </c>
      <c r="H623" s="1019"/>
      <c r="I623" s="1812"/>
      <c r="J623" s="1714" t="s">
        <v>11471</v>
      </c>
      <c r="K623" s="6" t="s">
        <v>11472</v>
      </c>
      <c r="L623" s="6" t="s">
        <v>11447</v>
      </c>
      <c r="M623" s="1019" t="s">
        <v>2402</v>
      </c>
      <c r="N623" s="1019" t="s">
        <v>11456</v>
      </c>
      <c r="O623" s="1019" t="s">
        <v>11438</v>
      </c>
      <c r="P623" s="1714" t="s">
        <v>11473</v>
      </c>
      <c r="Q623" s="1831">
        <v>29793</v>
      </c>
      <c r="R623" s="1718">
        <v>36</v>
      </c>
      <c r="S623" s="1019" t="s">
        <v>10</v>
      </c>
      <c r="T623" s="1019"/>
      <c r="U623" s="1825" t="s">
        <v>11474</v>
      </c>
      <c r="V623" s="1019" t="s">
        <v>707</v>
      </c>
      <c r="W623" s="1714" t="s">
        <v>11469</v>
      </c>
      <c r="X623" s="1805">
        <v>29560</v>
      </c>
      <c r="Y623" s="1019" t="s">
        <v>11470</v>
      </c>
      <c r="Z623" s="1019" t="s">
        <v>708</v>
      </c>
      <c r="AA623" s="1019" t="s">
        <v>723</v>
      </c>
      <c r="AB623" s="1019" t="s">
        <v>744</v>
      </c>
      <c r="AC623" s="1019"/>
      <c r="AD623" s="1019" t="s">
        <v>711</v>
      </c>
      <c r="AE623" s="1019"/>
      <c r="AF623" s="1019"/>
      <c r="AG623" s="1019" t="s">
        <v>1132</v>
      </c>
      <c r="AH623" s="766" t="s">
        <v>1096</v>
      </c>
      <c r="AI623" s="1019"/>
      <c r="AJ623" s="1019" t="s">
        <v>1137</v>
      </c>
      <c r="AK623" s="1019" t="s">
        <v>1101</v>
      </c>
      <c r="AL623" s="1770">
        <v>23.05</v>
      </c>
      <c r="AM623" s="1108">
        <v>7.6550000000000002</v>
      </c>
      <c r="AN623" s="1078">
        <f t="shared" si="186"/>
        <v>0.33210412147505425</v>
      </c>
      <c r="AO623" s="6" t="s">
        <v>11475</v>
      </c>
      <c r="AP623" s="6"/>
      <c r="AQ623" s="6"/>
      <c r="AR623" s="6"/>
      <c r="AS623" s="1019"/>
      <c r="AT623" s="1019"/>
      <c r="AU623" s="1019"/>
      <c r="AV623" s="1019"/>
      <c r="AW623" s="1019"/>
      <c r="AX623" s="1019"/>
      <c r="AY623" s="1019"/>
      <c r="AZ623" s="1019"/>
      <c r="BA623" s="1019"/>
      <c r="BB623" s="1019"/>
      <c r="BC623" s="1019"/>
      <c r="BD623" s="1019"/>
      <c r="BE623" s="1019"/>
      <c r="BF623" s="1027"/>
      <c r="BG623" s="1027"/>
      <c r="BH623" s="1019"/>
      <c r="BI623" s="1019"/>
      <c r="BJ623" s="1019"/>
      <c r="BK623" s="1019" t="s">
        <v>1095</v>
      </c>
      <c r="BL623" s="1019" t="s">
        <v>11476</v>
      </c>
      <c r="BM623" s="1019" t="s">
        <v>1096</v>
      </c>
      <c r="BN623" s="1019" t="s">
        <v>1230</v>
      </c>
      <c r="BO623" s="1019" t="s">
        <v>1252</v>
      </c>
      <c r="BP623" s="1116">
        <v>46.1</v>
      </c>
      <c r="BQ623" s="46">
        <v>15.31</v>
      </c>
      <c r="BR623" s="47">
        <f t="shared" si="188"/>
        <v>0.33210412147505425</v>
      </c>
      <c r="BS623" s="6" t="s">
        <v>1105</v>
      </c>
      <c r="BT623" s="1019" t="s">
        <v>1240</v>
      </c>
      <c r="BU623" s="1019" t="s">
        <v>1241</v>
      </c>
      <c r="BV623" s="1019" t="s">
        <v>1262</v>
      </c>
      <c r="BW623" s="1019">
        <v>2014</v>
      </c>
      <c r="BX623" s="1027"/>
      <c r="BY623" s="1019"/>
      <c r="BZ623" s="1027"/>
      <c r="CA623" s="1019"/>
      <c r="CB623" s="1019"/>
      <c r="CC623" s="1019"/>
      <c r="CD623" s="1019"/>
      <c r="CE623" s="1019"/>
      <c r="CF623" s="1796"/>
      <c r="CG623" s="1797"/>
      <c r="CH623" s="1019"/>
      <c r="CI623" s="1019"/>
      <c r="CJ623" s="1019"/>
      <c r="CK623" s="1019"/>
      <c r="CL623" s="1019"/>
      <c r="CM623" s="1019"/>
      <c r="CN623" s="1019"/>
      <c r="CO623" s="1019"/>
      <c r="CP623" s="1019"/>
      <c r="CQ623" s="1019"/>
      <c r="CR623" s="1027"/>
      <c r="CS623" s="1019"/>
      <c r="CT623" s="1019"/>
      <c r="CU623" s="1798"/>
      <c r="CV623" s="1019"/>
      <c r="CW623" s="1019"/>
      <c r="CX623" s="1019"/>
      <c r="CY623" s="1019"/>
      <c r="CZ623" s="1019"/>
      <c r="DA623" s="1799"/>
      <c r="DB623" s="1019"/>
      <c r="DC623" s="1019"/>
      <c r="DD623" s="1019"/>
      <c r="DE623" s="1800"/>
      <c r="DF623" s="1019"/>
      <c r="DG623" s="1019"/>
      <c r="DH623" s="1019"/>
      <c r="DI623" s="1019"/>
      <c r="DJ623" s="1019"/>
      <c r="DK623" s="1019"/>
      <c r="DL623" s="1019"/>
      <c r="DM623" s="1019"/>
      <c r="DN623" s="1801"/>
      <c r="DO623" s="1019"/>
      <c r="DP623" s="1019"/>
      <c r="DQ623" s="1019"/>
      <c r="DR623" s="1019"/>
      <c r="DS623" s="1802"/>
      <c r="DT623" s="1716"/>
      <c r="DU623" s="1019"/>
      <c r="DV623" s="1019"/>
      <c r="DW623" s="1799"/>
      <c r="DX623" s="1799"/>
      <c r="DY623" s="1019"/>
      <c r="DZ623" s="1019"/>
      <c r="EA623" s="1019"/>
      <c r="EB623" s="1019"/>
      <c r="EC623" s="1019"/>
      <c r="ED623" s="1019"/>
      <c r="EE623" s="1019"/>
      <c r="EF623" s="1019"/>
      <c r="EG623" s="1019"/>
      <c r="EH623" s="1019"/>
      <c r="EI623" s="1019"/>
      <c r="EJ623" s="1019"/>
      <c r="EK623" s="1019"/>
      <c r="EL623" s="1019"/>
      <c r="EM623" s="1019"/>
      <c r="EN623" s="1019"/>
      <c r="EO623" s="1019"/>
      <c r="EP623" s="1714"/>
      <c r="EQ623" s="1019"/>
      <c r="ER623" s="1019"/>
      <c r="ES623" s="1019"/>
      <c r="ET623" s="1019"/>
      <c r="EU623" s="1019"/>
      <c r="EV623" s="1019"/>
      <c r="EW623" s="1019"/>
      <c r="EX623" s="1019"/>
      <c r="EY623" s="1019"/>
      <c r="EZ623" s="1019"/>
      <c r="FA623" s="1019"/>
      <c r="FB623" s="1019"/>
      <c r="FC623" s="1019"/>
      <c r="FD623" s="1027"/>
      <c r="FE623" s="1019"/>
      <c r="FF623" s="1019"/>
      <c r="FG623" s="1019"/>
      <c r="FH623" s="1019" t="s">
        <v>478</v>
      </c>
      <c r="FI623" s="1019">
        <v>1</v>
      </c>
      <c r="FJ623" s="1019"/>
      <c r="FK623" s="1019"/>
      <c r="FL623" s="1019"/>
      <c r="FM623" s="1027"/>
      <c r="FN623" s="1027"/>
      <c r="FO623" s="1027"/>
      <c r="FP623" s="766" t="s">
        <v>1602</v>
      </c>
      <c r="FQ623" s="766" t="s">
        <v>1660</v>
      </c>
      <c r="FR623" s="1019" t="s">
        <v>1207</v>
      </c>
      <c r="FS623" s="1019"/>
      <c r="FT623" s="1019"/>
      <c r="FU623" s="1019"/>
      <c r="FV623" s="1019"/>
      <c r="FW623" s="1019"/>
      <c r="FX623" s="1019"/>
      <c r="FY623" s="1019"/>
      <c r="FZ623" s="1019"/>
      <c r="GA623" s="1019" t="s">
        <v>11477</v>
      </c>
      <c r="GB623" s="1019" t="s">
        <v>796</v>
      </c>
      <c r="GC623" s="1717" t="s">
        <v>10315</v>
      </c>
      <c r="GD623" s="1718">
        <v>2014</v>
      </c>
      <c r="GE623" s="1019" t="s">
        <v>1214</v>
      </c>
      <c r="GF623" s="1027"/>
      <c r="GG623" s="1027"/>
      <c r="GH623" s="712" t="s">
        <v>14260</v>
      </c>
      <c r="GI623" s="1019"/>
      <c r="GJ623" s="1019" t="s">
        <v>11478</v>
      </c>
      <c r="GK623" s="1019"/>
      <c r="GL623" s="1019"/>
      <c r="GM623" s="1019"/>
      <c r="GN623" s="1804"/>
      <c r="GO623" s="1019"/>
      <c r="GP623" s="1019"/>
      <c r="GQ623" s="1019"/>
      <c r="GR623" s="1019"/>
      <c r="GS623" s="1019"/>
      <c r="GT623" s="1019"/>
      <c r="GU623" s="1019"/>
      <c r="GV623" s="1019"/>
      <c r="GW623" s="1019"/>
      <c r="GX623" s="1019"/>
      <c r="GY623" s="1019"/>
      <c r="GZ623" s="1019"/>
      <c r="HA623" s="1019"/>
      <c r="HB623" s="1019"/>
      <c r="HC623" s="1019"/>
      <c r="HD623" s="1019"/>
      <c r="HE623" s="1019"/>
      <c r="HF623" s="1019"/>
      <c r="HG623" s="1019"/>
      <c r="HH623" s="1019"/>
      <c r="HI623" s="1019" t="s">
        <v>1214</v>
      </c>
      <c r="HJ623" s="1019"/>
      <c r="HK623" s="1019"/>
      <c r="HL623" s="1019"/>
      <c r="HM623" s="1019"/>
      <c r="HN623" s="1019"/>
      <c r="HO623" s="1019"/>
      <c r="HP623" s="1019"/>
      <c r="HQ623" s="1019"/>
      <c r="HR623" s="1019"/>
      <c r="HS623" s="1019"/>
      <c r="HT623" s="1019"/>
      <c r="HU623" s="1019"/>
      <c r="HV623" s="1019"/>
      <c r="HW623" s="1019"/>
      <c r="HX623" s="1019"/>
      <c r="HY623" s="1019"/>
      <c r="HZ623" s="1019"/>
      <c r="IA623" s="1019"/>
      <c r="IB623" s="14" t="e">
        <f>IF(#REF!&gt;0,IF(#REF!&lt;=10000,"Y",""),"")</f>
        <v>#REF!</v>
      </c>
      <c r="IC623" s="1019"/>
      <c r="ID623" s="1019"/>
      <c r="IE623" s="1019"/>
      <c r="IF623" s="1019"/>
      <c r="IG623" s="1019"/>
      <c r="IH623" s="1019"/>
      <c r="II623" s="1019"/>
      <c r="IJ623" s="1019"/>
      <c r="IK623" s="1019"/>
      <c r="IL623" s="1019"/>
      <c r="IM623" s="1019"/>
      <c r="IN623" s="1019"/>
      <c r="IO623" s="1805"/>
      <c r="IP623" s="1019"/>
      <c r="IQ623" s="1716"/>
      <c r="IR623" s="1019"/>
      <c r="IS623" s="1019"/>
      <c r="IT623" s="1019"/>
      <c r="IU623" s="1019"/>
      <c r="IV623" s="1019"/>
      <c r="IW623" s="1019"/>
      <c r="IX623" s="1019"/>
      <c r="IY623" s="1812"/>
      <c r="IZ623" s="1019"/>
      <c r="JA623" s="1019"/>
      <c r="JB623" s="1019"/>
      <c r="JC623" s="1019"/>
      <c r="JD623" s="1027"/>
      <c r="JE623" s="1019"/>
      <c r="JF623" s="1019"/>
      <c r="JG623" s="1019"/>
      <c r="JH623" s="1802"/>
      <c r="JI623" s="1802"/>
      <c r="JJ623" s="1698">
        <v>4</v>
      </c>
      <c r="JK623" s="1047" t="s">
        <v>10315</v>
      </c>
      <c r="JL623" s="1019">
        <v>1</v>
      </c>
      <c r="JM623" s="1019">
        <v>1</v>
      </c>
      <c r="JN623" s="1019">
        <v>1</v>
      </c>
      <c r="JO623" s="1019">
        <v>1</v>
      </c>
      <c r="JP623" s="1019"/>
      <c r="JQ623" s="1019"/>
      <c r="JR623" s="1019"/>
      <c r="JS623" s="1019"/>
      <c r="JT623" s="766">
        <f>SUM(JP623,JN623,JL623,JR623)</f>
        <v>2</v>
      </c>
      <c r="JU623" s="766">
        <f>SUM(JQ623,JO623,JM623,JS623)</f>
        <v>2</v>
      </c>
      <c r="JV623" s="712" t="str">
        <f>IF(JT623=KJ623,"ok","male")</f>
        <v>ok</v>
      </c>
      <c r="JW623" s="712" t="str">
        <f>IF(JU623=KK623,"ok","female")</f>
        <v>ok</v>
      </c>
      <c r="JX623" s="1019"/>
      <c r="JY623" s="1019"/>
      <c r="JZ623" s="1019">
        <v>1</v>
      </c>
      <c r="KA623" s="1019">
        <v>1</v>
      </c>
      <c r="KB623" s="1019"/>
      <c r="KC623" s="1019"/>
      <c r="KD623" s="1019">
        <v>1</v>
      </c>
      <c r="KE623" s="1019">
        <v>1</v>
      </c>
      <c r="KF623" s="1019"/>
      <c r="KG623" s="1019"/>
      <c r="KH623" s="1019"/>
      <c r="KI623" s="1019"/>
      <c r="KJ623" s="770">
        <f t="shared" si="168"/>
        <v>2</v>
      </c>
      <c r="KK623" s="770">
        <f t="shared" si="168"/>
        <v>2</v>
      </c>
      <c r="KL623" s="712" t="str">
        <f>IF(KJ623=LN623,"ok","male")</f>
        <v>ok</v>
      </c>
      <c r="KM623" s="712" t="str">
        <f>IF(KK623=LO623,"ok","female")</f>
        <v>ok</v>
      </c>
      <c r="KN623" s="1019" t="s">
        <v>707</v>
      </c>
      <c r="KO623" s="1019"/>
      <c r="KP623" s="1019"/>
      <c r="KQ623" s="1019"/>
      <c r="KR623" s="1019"/>
      <c r="KS623" s="1019"/>
      <c r="KT623" s="1019">
        <v>1</v>
      </c>
      <c r="KU623" s="1019">
        <v>1</v>
      </c>
      <c r="KV623" s="1019"/>
      <c r="KW623" s="1019"/>
      <c r="KX623" s="1019"/>
      <c r="KY623" s="1019"/>
      <c r="KZ623" s="1019"/>
      <c r="LA623" s="1019"/>
      <c r="LB623" s="1019"/>
      <c r="LC623" s="1019"/>
      <c r="LD623" s="1019">
        <v>1</v>
      </c>
      <c r="LE623" s="1019">
        <v>1</v>
      </c>
      <c r="LF623" s="1019"/>
      <c r="LG623" s="1019"/>
      <c r="LH623" s="1019"/>
      <c r="LI623" s="1019"/>
      <c r="LJ623" s="1019"/>
      <c r="LK623" s="1019"/>
      <c r="LL623" s="1019"/>
      <c r="LM623" s="1019"/>
      <c r="LN623" s="766">
        <f>SUM(KP623,KR623,KT623,KV623,KX623,KZ623,LB623,LD623,LF623,LH623,LJ623,LL623)</f>
        <v>2</v>
      </c>
      <c r="LO623" s="766">
        <f>SUM(KQ623,KS623,KU623,KW623,KY623,LA623,LC623,LE623,LG623,LI623,LK623,LM623)</f>
        <v>2</v>
      </c>
      <c r="LP623" s="1019">
        <v>1</v>
      </c>
      <c r="LQ623" s="1019">
        <v>1</v>
      </c>
      <c r="LR623" s="1019"/>
      <c r="LS623" s="1019"/>
      <c r="LT623" s="712" t="str">
        <f>IF(LQ623=SUM(LU623:LW623),"OK","REV")</f>
        <v>OK</v>
      </c>
      <c r="LU623" s="1019"/>
      <c r="LV623" s="1019">
        <v>1</v>
      </c>
      <c r="LW623" s="1019"/>
      <c r="LX623" s="1693">
        <v>5</v>
      </c>
      <c r="LY623" s="766" t="str">
        <f t="shared" si="187"/>
        <v>OVERSEAS Worker</v>
      </c>
      <c r="LZ623" s="1807"/>
      <c r="MA623" s="1807"/>
      <c r="MB623" s="1807"/>
      <c r="MC623" s="1679">
        <f t="shared" si="185"/>
        <v>0</v>
      </c>
      <c r="MD623" s="1807">
        <v>35000</v>
      </c>
      <c r="ME623" s="1807"/>
      <c r="MF623" s="1807"/>
      <c r="MG623" s="1680">
        <f>SUM(MD623:MF623)</f>
        <v>35000</v>
      </c>
      <c r="MH623" s="1019" t="s">
        <v>2210</v>
      </c>
      <c r="MI623" s="64">
        <v>5000</v>
      </c>
      <c r="MJ623" s="1027">
        <v>1000</v>
      </c>
      <c r="MK623" s="1027">
        <f>3000/12</f>
        <v>250</v>
      </c>
      <c r="ML623" s="1027">
        <v>2000</v>
      </c>
      <c r="MM623" s="1027"/>
      <c r="MN623" s="1027"/>
      <c r="MO623" s="1027">
        <v>280</v>
      </c>
      <c r="MP623" s="1027">
        <v>5000</v>
      </c>
      <c r="MQ623" s="1027">
        <v>150</v>
      </c>
      <c r="MR623" s="1027">
        <v>115</v>
      </c>
      <c r="MS623" s="1027"/>
      <c r="MT623" s="1027"/>
      <c r="MU623" s="1027"/>
      <c r="MV623" s="1027"/>
      <c r="MW623" s="1027"/>
      <c r="MX623" s="1027"/>
      <c r="MY623" s="1682">
        <f t="shared" si="165"/>
        <v>13795</v>
      </c>
      <c r="MZ623" s="1019" t="s">
        <v>13370</v>
      </c>
      <c r="NA623" s="1019" t="s">
        <v>13005</v>
      </c>
      <c r="NB623" s="1019" t="s">
        <v>13016</v>
      </c>
      <c r="NC623" s="1019" t="s">
        <v>13602</v>
      </c>
      <c r="ND623" s="1019">
        <v>0</v>
      </c>
      <c r="NE623" s="1019">
        <v>1</v>
      </c>
      <c r="NF623" s="1019">
        <v>1</v>
      </c>
      <c r="NG623" s="1019">
        <v>3</v>
      </c>
      <c r="NH623" s="1019">
        <v>1</v>
      </c>
      <c r="NI623" s="1019">
        <v>0</v>
      </c>
      <c r="NJ623" s="1019">
        <v>0</v>
      </c>
      <c r="NK623" s="1019">
        <v>0</v>
      </c>
      <c r="NL623" s="1019">
        <v>1</v>
      </c>
      <c r="NM623" s="1019">
        <v>0</v>
      </c>
      <c r="NN623" s="1019">
        <v>0</v>
      </c>
      <c r="NO623" s="1019">
        <v>0</v>
      </c>
      <c r="NP623" s="1019">
        <v>0</v>
      </c>
      <c r="NQ623" s="1019">
        <v>0</v>
      </c>
      <c r="NR623" s="1019">
        <v>0</v>
      </c>
      <c r="NS623" s="1019">
        <v>0</v>
      </c>
      <c r="NT623" s="1019">
        <v>0</v>
      </c>
      <c r="NU623" s="1019">
        <v>0</v>
      </c>
      <c r="NV623" s="1019">
        <v>1</v>
      </c>
      <c r="NW623" s="1019">
        <v>1</v>
      </c>
      <c r="NX623" s="1019">
        <v>0</v>
      </c>
      <c r="NY623" s="1019" t="s">
        <v>1208</v>
      </c>
      <c r="NZ623" s="1019" t="s">
        <v>1208</v>
      </c>
      <c r="OA623" s="1019" t="s">
        <v>1208</v>
      </c>
      <c r="OB623" s="1019" t="s">
        <v>1208</v>
      </c>
      <c r="OC623" s="1019" t="s">
        <v>1208</v>
      </c>
      <c r="OD623" s="1019" t="s">
        <v>1208</v>
      </c>
      <c r="OE623" s="1019"/>
      <c r="OF623" s="1019"/>
      <c r="OG623" s="1019"/>
      <c r="OH623" s="1019"/>
      <c r="OI623" s="1019"/>
      <c r="OJ623" s="1019"/>
      <c r="OK623" s="1019"/>
      <c r="OL623" s="1019"/>
      <c r="OM623" s="1019"/>
      <c r="ON623" s="1019"/>
      <c r="OO623" s="1019"/>
      <c r="OP623" s="1019"/>
      <c r="OQ623" s="1019"/>
      <c r="OR623" s="1019"/>
      <c r="OS623" s="1019"/>
      <c r="OT623" s="1019"/>
      <c r="OU623" s="1019"/>
      <c r="OV623" s="1019"/>
      <c r="OW623" s="1019"/>
      <c r="OX623" s="1019"/>
      <c r="OY623" s="1019"/>
      <c r="OZ623" s="1019"/>
      <c r="PA623" s="1019"/>
      <c r="PB623" s="1019"/>
      <c r="PC623" s="1019"/>
      <c r="PD623" s="1019"/>
      <c r="PE623" s="1019"/>
      <c r="PF623" s="1019"/>
      <c r="PG623" s="1019"/>
      <c r="PH623" s="1019"/>
      <c r="PI623" s="1019"/>
      <c r="PJ623" s="1019"/>
      <c r="PK623" s="1019" t="s">
        <v>1208</v>
      </c>
      <c r="PL623" s="1019"/>
      <c r="PM623" s="1019"/>
      <c r="PN623" s="1019"/>
      <c r="PO623" s="1019"/>
      <c r="PP623" s="1019"/>
      <c r="PQ623" s="1019"/>
      <c r="PR623" s="1019"/>
      <c r="PS623" s="1019"/>
      <c r="PT623" s="1019" t="s">
        <v>1208</v>
      </c>
      <c r="PU623" s="1019"/>
      <c r="PV623" s="1019"/>
      <c r="PW623" s="1019"/>
      <c r="PX623" s="1019"/>
      <c r="PY623" s="1019"/>
      <c r="PZ623" s="1019"/>
      <c r="QA623" s="1019"/>
      <c r="QB623" s="1019"/>
      <c r="QC623" s="1019"/>
      <c r="QD623" s="1019"/>
      <c r="QE623" s="1019"/>
      <c r="QF623" s="1019"/>
      <c r="QG623" s="1019"/>
      <c r="QH623" s="1019"/>
      <c r="QI623" s="1019"/>
      <c r="QJ623" s="1019"/>
      <c r="QK623" s="1019"/>
      <c r="QL623" s="1019"/>
      <c r="QM623" s="1019"/>
      <c r="QN623" s="1019"/>
      <c r="QO623" s="1019"/>
      <c r="QP623" s="1019"/>
      <c r="QQ623" s="1019"/>
      <c r="QR623" s="1019"/>
      <c r="QS623" s="1019"/>
      <c r="QT623" s="1019"/>
      <c r="QU623" s="1019"/>
      <c r="QV623" s="1019"/>
      <c r="QW623" s="1019"/>
      <c r="QX623" s="1019"/>
      <c r="QY623" s="1019"/>
      <c r="QZ623" s="1019"/>
      <c r="RA623" s="1019"/>
      <c r="RB623" s="1019" t="s">
        <v>1207</v>
      </c>
      <c r="RC623" s="1019">
        <v>2014</v>
      </c>
      <c r="RD623" s="1019" t="s">
        <v>13251</v>
      </c>
      <c r="RE623" s="1019" t="s">
        <v>12999</v>
      </c>
      <c r="RF623" s="1794">
        <v>0.25</v>
      </c>
      <c r="RG623" s="1019" t="s">
        <v>13047</v>
      </c>
      <c r="RH623" s="1027">
        <v>0</v>
      </c>
      <c r="RI623" s="1019">
        <v>1</v>
      </c>
      <c r="RJ623" s="1019" t="s">
        <v>13824</v>
      </c>
      <c r="RK623" s="1019" t="s">
        <v>13013</v>
      </c>
      <c r="RL623" s="1810">
        <v>42895</v>
      </c>
      <c r="RM623" s="1714" t="s">
        <v>13814</v>
      </c>
      <c r="RN623" s="1810">
        <v>42895</v>
      </c>
      <c r="RO623" s="514" t="s">
        <v>10314</v>
      </c>
      <c r="RR623" s="19" t="s">
        <v>7421</v>
      </c>
      <c r="RS623" s="1139" t="s">
        <v>12980</v>
      </c>
      <c r="RV623" s="93" t="s">
        <v>7421</v>
      </c>
      <c r="RW623" s="35" t="s">
        <v>7992</v>
      </c>
      <c r="RX623" s="35" t="s">
        <v>4142</v>
      </c>
      <c r="RZ623" s="35" t="s">
        <v>1101</v>
      </c>
      <c r="SA623" s="93"/>
    </row>
    <row r="624" spans="1:495" s="35" customFormat="1" ht="12.75" customHeight="1">
      <c r="A624" s="19" t="s">
        <v>7421</v>
      </c>
      <c r="B624" s="1080" t="s">
        <v>11479</v>
      </c>
      <c r="C624" s="514" t="s">
        <v>11480</v>
      </c>
      <c r="D624" s="1714" t="s">
        <v>11481</v>
      </c>
      <c r="E624" s="1019" t="s">
        <v>11482</v>
      </c>
      <c r="F624" s="1019" t="s">
        <v>11483</v>
      </c>
      <c r="G624" s="1019" t="s">
        <v>10</v>
      </c>
      <c r="H624" s="1019"/>
      <c r="I624" s="1812"/>
      <c r="J624" s="1714"/>
      <c r="K624" s="6" t="s">
        <v>11484</v>
      </c>
      <c r="L624" s="6" t="s">
        <v>11485</v>
      </c>
      <c r="M624" s="1019" t="s">
        <v>2402</v>
      </c>
      <c r="N624" s="1019" t="s">
        <v>11456</v>
      </c>
      <c r="O624" s="1019" t="s">
        <v>11438</v>
      </c>
      <c r="P624" s="1019"/>
      <c r="Q624" s="1831"/>
      <c r="R624" s="1718"/>
      <c r="S624" s="1019"/>
      <c r="T624" s="1019"/>
      <c r="U624" s="1825"/>
      <c r="V624" s="1019"/>
      <c r="W624" s="1825"/>
      <c r="X624" s="1805"/>
      <c r="Y624" s="1019"/>
      <c r="Z624" s="1019"/>
      <c r="AA624" s="1019"/>
      <c r="AB624" s="1019"/>
      <c r="AC624" s="1019"/>
      <c r="AD624" s="1019"/>
      <c r="AE624" s="1019"/>
      <c r="AF624" s="1019"/>
      <c r="AG624" s="1019" t="s">
        <v>1132</v>
      </c>
      <c r="AH624" s="766" t="s">
        <v>1120</v>
      </c>
      <c r="AI624" s="1019"/>
      <c r="AJ624" s="1019" t="s">
        <v>1137</v>
      </c>
      <c r="AK624" s="1019" t="s">
        <v>1101</v>
      </c>
      <c r="AL624" s="1770">
        <v>25.8</v>
      </c>
      <c r="AM624" s="1108">
        <v>9.0299999999999994</v>
      </c>
      <c r="AN624" s="1078">
        <f t="shared" si="186"/>
        <v>0.35</v>
      </c>
      <c r="AO624" s="6" t="s">
        <v>1149</v>
      </c>
      <c r="AP624" s="6"/>
      <c r="AQ624" s="6"/>
      <c r="AR624" s="6"/>
      <c r="AS624" s="1019"/>
      <c r="AT624" s="1019"/>
      <c r="AU624" s="1019"/>
      <c r="AV624" s="1019"/>
      <c r="AW624" s="1019"/>
      <c r="AX624" s="1019"/>
      <c r="AY624" s="1019"/>
      <c r="AZ624" s="1019"/>
      <c r="BA624" s="1019"/>
      <c r="BB624" s="1019"/>
      <c r="BC624" s="1019"/>
      <c r="BD624" s="1019"/>
      <c r="BE624" s="1019"/>
      <c r="BF624" s="1027"/>
      <c r="BG624" s="1027"/>
      <c r="BH624" s="1019"/>
      <c r="BI624" s="1019"/>
      <c r="BJ624" s="1019"/>
      <c r="BK624" s="1019" t="s">
        <v>1095</v>
      </c>
      <c r="BL624" s="1019" t="s">
        <v>11486</v>
      </c>
      <c r="BM624" s="1019" t="s">
        <v>1120</v>
      </c>
      <c r="BN624" s="1019" t="s">
        <v>1272</v>
      </c>
      <c r="BO624" s="1019" t="s">
        <v>11487</v>
      </c>
      <c r="BP624" s="1116">
        <v>24.19</v>
      </c>
      <c r="BQ624" s="46">
        <v>8.61</v>
      </c>
      <c r="BR624" s="47">
        <f t="shared" si="188"/>
        <v>0.35593220338983045</v>
      </c>
      <c r="BS624" s="6" t="s">
        <v>1149</v>
      </c>
      <c r="BT624" s="1019" t="s">
        <v>1240</v>
      </c>
      <c r="BU624" s="1019" t="s">
        <v>1249</v>
      </c>
      <c r="BV624" s="1019" t="s">
        <v>1247</v>
      </c>
      <c r="BW624" s="1019"/>
      <c r="BX624" s="1027"/>
      <c r="BY624" s="1019"/>
      <c r="BZ624" s="1027"/>
      <c r="CA624" s="1019"/>
      <c r="CB624" s="1019"/>
      <c r="CC624" s="1019"/>
      <c r="CD624" s="1019"/>
      <c r="CE624" s="1019"/>
      <c r="CF624" s="1796"/>
      <c r="CG624" s="1797"/>
      <c r="CH624" s="1019"/>
      <c r="CI624" s="1019"/>
      <c r="CJ624" s="1019"/>
      <c r="CK624" s="1019"/>
      <c r="CL624" s="1019"/>
      <c r="CM624" s="1019"/>
      <c r="CN624" s="1019"/>
      <c r="CO624" s="1019"/>
      <c r="CP624" s="1019"/>
      <c r="CQ624" s="1019"/>
      <c r="CR624" s="1027"/>
      <c r="CS624" s="1019"/>
      <c r="CT624" s="1019"/>
      <c r="CU624" s="1798"/>
      <c r="CV624" s="1019"/>
      <c r="CW624" s="1019"/>
      <c r="CX624" s="1019"/>
      <c r="CY624" s="1019"/>
      <c r="CZ624" s="1019"/>
      <c r="DA624" s="1799"/>
      <c r="DB624" s="1019"/>
      <c r="DC624" s="1019"/>
      <c r="DD624" s="1019"/>
      <c r="DE624" s="1800"/>
      <c r="DF624" s="1019"/>
      <c r="DG624" s="1019"/>
      <c r="DH624" s="1019"/>
      <c r="DI624" s="1019"/>
      <c r="DJ624" s="1019"/>
      <c r="DK624" s="1019"/>
      <c r="DL624" s="1019"/>
      <c r="DM624" s="1019"/>
      <c r="DN624" s="1801"/>
      <c r="DO624" s="1019"/>
      <c r="DP624" s="1019"/>
      <c r="DQ624" s="1019"/>
      <c r="DR624" s="1019"/>
      <c r="DS624" s="1802"/>
      <c r="DT624" s="1716"/>
      <c r="DU624" s="1019"/>
      <c r="DV624" s="1019"/>
      <c r="DW624" s="1799"/>
      <c r="DX624" s="1799"/>
      <c r="DY624" s="1019"/>
      <c r="DZ624" s="1019"/>
      <c r="EA624" s="1019"/>
      <c r="EB624" s="1019"/>
      <c r="EC624" s="1019"/>
      <c r="ED624" s="1019"/>
      <c r="EE624" s="1019"/>
      <c r="EF624" s="1019"/>
      <c r="EG624" s="1019"/>
      <c r="EH624" s="1019"/>
      <c r="EI624" s="1019"/>
      <c r="EJ624" s="1019"/>
      <c r="EK624" s="1019"/>
      <c r="EL624" s="1019"/>
      <c r="EM624" s="1019"/>
      <c r="EN624" s="1019"/>
      <c r="EO624" s="1019"/>
      <c r="EP624" s="1714"/>
      <c r="EQ624" s="1019"/>
      <c r="ER624" s="1019"/>
      <c r="ES624" s="1019"/>
      <c r="ET624" s="1019"/>
      <c r="EU624" s="1019"/>
      <c r="EV624" s="1019"/>
      <c r="EW624" s="1019"/>
      <c r="EX624" s="1019"/>
      <c r="EY624" s="1019"/>
      <c r="EZ624" s="1019"/>
      <c r="FA624" s="1019"/>
      <c r="FB624" s="1019"/>
      <c r="FC624" s="1019"/>
      <c r="FD624" s="1027"/>
      <c r="FE624" s="1019"/>
      <c r="FF624" s="1019"/>
      <c r="FG624" s="1019"/>
      <c r="FH624" s="1019"/>
      <c r="FI624" s="1019"/>
      <c r="FJ624" s="1019"/>
      <c r="FK624" s="1019"/>
      <c r="FL624" s="1019"/>
      <c r="FM624" s="1027"/>
      <c r="FN624" s="1027"/>
      <c r="FO624" s="1027"/>
      <c r="FP624" s="1019" t="s">
        <v>1602</v>
      </c>
      <c r="FQ624" s="1019" t="s">
        <v>1660</v>
      </c>
      <c r="FR624" s="1019" t="s">
        <v>1207</v>
      </c>
      <c r="FS624" s="1019"/>
      <c r="FT624" s="1019" t="s">
        <v>1208</v>
      </c>
      <c r="FU624" s="1019"/>
      <c r="FV624" s="1019"/>
      <c r="FW624" s="1019"/>
      <c r="FX624" s="1019"/>
      <c r="FY624" s="1019"/>
      <c r="FZ624" s="1019"/>
      <c r="GA624" s="1019"/>
      <c r="GB624" s="1019" t="s">
        <v>11488</v>
      </c>
      <c r="GC624" s="1717" t="s">
        <v>11489</v>
      </c>
      <c r="GD624" s="1718">
        <v>2006</v>
      </c>
      <c r="GE624" s="1019" t="s">
        <v>1214</v>
      </c>
      <c r="GF624" s="1027"/>
      <c r="GG624" s="1027"/>
      <c r="GH624" s="1019"/>
      <c r="GI624" s="1019"/>
      <c r="GJ624" s="1019"/>
      <c r="GK624" s="1019"/>
      <c r="GL624" s="1019"/>
      <c r="GM624" s="1019"/>
      <c r="GN624" s="1804"/>
      <c r="GO624" s="1019"/>
      <c r="GP624" s="1019"/>
      <c r="GQ624" s="1019"/>
      <c r="GR624" s="1019"/>
      <c r="GS624" s="1019"/>
      <c r="GT624" s="1019"/>
      <c r="GU624" s="1019"/>
      <c r="GV624" s="1019"/>
      <c r="GW624" s="1019"/>
      <c r="GX624" s="1019"/>
      <c r="GY624" s="1019"/>
      <c r="GZ624" s="1019"/>
      <c r="HA624" s="1019"/>
      <c r="HB624" s="1019"/>
      <c r="HC624" s="1019"/>
      <c r="HD624" s="1019"/>
      <c r="HE624" s="1019"/>
      <c r="HF624" s="1019"/>
      <c r="HG624" s="1019"/>
      <c r="HH624" s="1019"/>
      <c r="HI624" s="1019"/>
      <c r="HJ624" s="1019"/>
      <c r="HK624" s="1019"/>
      <c r="HL624" s="1019"/>
      <c r="HM624" s="1019"/>
      <c r="HN624" s="1019"/>
      <c r="HO624" s="1019"/>
      <c r="HP624" s="1019"/>
      <c r="HQ624" s="1019"/>
      <c r="HR624" s="1019"/>
      <c r="HS624" s="1019"/>
      <c r="HT624" s="1019"/>
      <c r="HU624" s="1019"/>
      <c r="HV624" s="1019"/>
      <c r="HW624" s="1019"/>
      <c r="HX624" s="1019"/>
      <c r="HY624" s="1019"/>
      <c r="HZ624" s="1019"/>
      <c r="IA624" s="1019"/>
      <c r="IB624" s="1019"/>
      <c r="IC624" s="1019"/>
      <c r="ID624" s="1019"/>
      <c r="IE624" s="1019"/>
      <c r="IF624" s="1019" t="s">
        <v>11490</v>
      </c>
      <c r="IG624" s="1019" t="s">
        <v>18</v>
      </c>
      <c r="IH624" s="1019" t="s">
        <v>11483</v>
      </c>
      <c r="II624" s="1019" t="s">
        <v>11482</v>
      </c>
      <c r="IJ624" s="1019" t="s">
        <v>11489</v>
      </c>
      <c r="IK624" s="1019"/>
      <c r="IL624" s="1019" t="s">
        <v>10321</v>
      </c>
      <c r="IM624" s="1019">
        <v>2006</v>
      </c>
      <c r="IN624" s="1019"/>
      <c r="IO624" s="1805"/>
      <c r="IP624" s="1019" t="s">
        <v>478</v>
      </c>
      <c r="IQ624" s="1716"/>
      <c r="IR624" s="1019"/>
      <c r="IS624" s="1019" t="s">
        <v>1883</v>
      </c>
      <c r="IT624" s="1019"/>
      <c r="IU624" s="1019"/>
      <c r="IV624" s="1019"/>
      <c r="IW624" s="1019"/>
      <c r="IX624" s="1019"/>
      <c r="IY624" s="1812"/>
      <c r="IZ624" s="1019"/>
      <c r="JA624" s="1019"/>
      <c r="JB624" s="1019"/>
      <c r="JC624" s="1019"/>
      <c r="JD624" s="1027"/>
      <c r="JE624" s="1019"/>
      <c r="JF624" s="1019"/>
      <c r="JG624" s="1019"/>
      <c r="JH624" s="1802"/>
      <c r="JI624" s="1802"/>
      <c r="JJ624" s="1019"/>
      <c r="JK624" s="1019"/>
      <c r="JL624" s="1019"/>
      <c r="JM624" s="1019"/>
      <c r="JN624" s="1019"/>
      <c r="JO624" s="1019"/>
      <c r="JP624" s="1019"/>
      <c r="JQ624" s="1019"/>
      <c r="JR624" s="1019"/>
      <c r="JS624" s="1019"/>
      <c r="JT624" s="766"/>
      <c r="JU624" s="766"/>
      <c r="JV624" s="766"/>
      <c r="JW624" s="766"/>
      <c r="JX624" s="1019"/>
      <c r="JY624" s="1019"/>
      <c r="JZ624" s="1019"/>
      <c r="KA624" s="1019"/>
      <c r="KB624" s="1019"/>
      <c r="KC624" s="1019"/>
      <c r="KD624" s="1019"/>
      <c r="KE624" s="1019"/>
      <c r="KF624" s="1019"/>
      <c r="KG624" s="1019"/>
      <c r="KH624" s="1019"/>
      <c r="KI624" s="1019"/>
      <c r="KJ624" s="770"/>
      <c r="KK624" s="770"/>
      <c r="KL624" s="770"/>
      <c r="KM624" s="770"/>
      <c r="KN624" s="1019"/>
      <c r="KO624" s="1019"/>
      <c r="KP624" s="1019"/>
      <c r="KQ624" s="1019"/>
      <c r="KR624" s="1019"/>
      <c r="KS624" s="1019"/>
      <c r="KT624" s="1019"/>
      <c r="KU624" s="1019"/>
      <c r="KV624" s="1019"/>
      <c r="KW624" s="1019"/>
      <c r="KX624" s="1019"/>
      <c r="KY624" s="1019"/>
      <c r="KZ624" s="1019"/>
      <c r="LA624" s="1019"/>
      <c r="LB624" s="1019"/>
      <c r="LC624" s="1019"/>
      <c r="LD624" s="1019"/>
      <c r="LE624" s="1019"/>
      <c r="LF624" s="1019"/>
      <c r="LG624" s="1019"/>
      <c r="LH624" s="1019"/>
      <c r="LI624" s="1019"/>
      <c r="LJ624" s="1019"/>
      <c r="LK624" s="1019"/>
      <c r="LL624" s="1019"/>
      <c r="LM624" s="1019"/>
      <c r="LN624" s="766"/>
      <c r="LO624" s="766"/>
      <c r="LP624" s="1019"/>
      <c r="LQ624" s="1019"/>
      <c r="LR624" s="1019"/>
      <c r="LS624" s="1019"/>
      <c r="LT624" s="1019"/>
      <c r="LU624" s="1019"/>
      <c r="LV624" s="1019"/>
      <c r="LW624" s="1019"/>
      <c r="LX624" s="1693"/>
      <c r="LY624" s="766" t="str">
        <f t="shared" si="187"/>
        <v/>
      </c>
      <c r="LZ624" s="1807"/>
      <c r="MA624" s="1807"/>
      <c r="MB624" s="1807"/>
      <c r="MC624" s="1679">
        <f t="shared" si="185"/>
        <v>0</v>
      </c>
      <c r="MD624" s="1807"/>
      <c r="ME624" s="1807"/>
      <c r="MF624" s="1807"/>
      <c r="MG624" s="1680">
        <f t="shared" si="164"/>
        <v>0</v>
      </c>
      <c r="MH624" s="1019"/>
      <c r="MI624" s="64"/>
      <c r="MJ624" s="1027"/>
      <c r="MK624" s="1027"/>
      <c r="ML624" s="1027"/>
      <c r="MM624" s="1027"/>
      <c r="MN624" s="1027"/>
      <c r="MO624" s="1027"/>
      <c r="MP624" s="1027"/>
      <c r="MQ624" s="1027"/>
      <c r="MR624" s="1027"/>
      <c r="MS624" s="1027"/>
      <c r="MT624" s="1027"/>
      <c r="MU624" s="1027"/>
      <c r="MV624" s="1027"/>
      <c r="MW624" s="1027"/>
      <c r="MX624" s="1027"/>
      <c r="MY624" s="1682">
        <f t="shared" si="165"/>
        <v>0</v>
      </c>
      <c r="MZ624" s="1019"/>
      <c r="NA624" s="1019"/>
      <c r="NB624" s="1019"/>
      <c r="NC624" s="1019"/>
      <c r="ND624" s="1019"/>
      <c r="NE624" s="1019"/>
      <c r="NF624" s="1019"/>
      <c r="NG624" s="1019"/>
      <c r="NH624" s="1019"/>
      <c r="NI624" s="1019"/>
      <c r="NJ624" s="1019"/>
      <c r="NK624" s="1019"/>
      <c r="NL624" s="1019"/>
      <c r="NM624" s="1019"/>
      <c r="NN624" s="1019"/>
      <c r="NO624" s="1019"/>
      <c r="NP624" s="1019"/>
      <c r="NQ624" s="1019"/>
      <c r="NR624" s="1019"/>
      <c r="NS624" s="1019"/>
      <c r="NT624" s="1019"/>
      <c r="NU624" s="1019"/>
      <c r="NV624" s="1019"/>
      <c r="NW624" s="1019"/>
      <c r="NX624" s="1019"/>
      <c r="NY624" s="1019"/>
      <c r="NZ624" s="1019"/>
      <c r="OA624" s="1019"/>
      <c r="OB624" s="1019"/>
      <c r="OC624" s="1019"/>
      <c r="OD624" s="1019"/>
      <c r="OE624" s="1019"/>
      <c r="OF624" s="1019"/>
      <c r="OG624" s="1019"/>
      <c r="OH624" s="1019"/>
      <c r="OI624" s="1019"/>
      <c r="OJ624" s="1019"/>
      <c r="OK624" s="1019"/>
      <c r="OL624" s="1019"/>
      <c r="OM624" s="1019"/>
      <c r="ON624" s="1019"/>
      <c r="OO624" s="1019"/>
      <c r="OP624" s="1019"/>
      <c r="OQ624" s="1019"/>
      <c r="OR624" s="1019"/>
      <c r="OS624" s="1019"/>
      <c r="OT624" s="1019"/>
      <c r="OU624" s="1019"/>
      <c r="OV624" s="1019"/>
      <c r="OW624" s="1019"/>
      <c r="OX624" s="1019"/>
      <c r="OY624" s="1019"/>
      <c r="OZ624" s="1019"/>
      <c r="PA624" s="1019"/>
      <c r="PB624" s="1019"/>
      <c r="PC624" s="1019"/>
      <c r="PD624" s="1019"/>
      <c r="PE624" s="1019"/>
      <c r="PF624" s="1019"/>
      <c r="PG624" s="1019"/>
      <c r="PH624" s="1019"/>
      <c r="PI624" s="1019"/>
      <c r="PJ624" s="1019"/>
      <c r="PK624" s="1019"/>
      <c r="PL624" s="1019"/>
      <c r="PM624" s="1019"/>
      <c r="PN624" s="1019"/>
      <c r="PO624" s="1019"/>
      <c r="PP624" s="1019"/>
      <c r="PQ624" s="1019"/>
      <c r="PR624" s="1019"/>
      <c r="PS624" s="1019"/>
      <c r="PT624" s="1019"/>
      <c r="PU624" s="1019"/>
      <c r="PV624" s="1019"/>
      <c r="PW624" s="1019"/>
      <c r="PX624" s="1019"/>
      <c r="PY624" s="1019"/>
      <c r="PZ624" s="1019"/>
      <c r="QA624" s="1019"/>
      <c r="QB624" s="1019"/>
      <c r="QC624" s="1019"/>
      <c r="QD624" s="1019"/>
      <c r="QE624" s="1019"/>
      <c r="QF624" s="1019"/>
      <c r="QG624" s="1019"/>
      <c r="QH624" s="1019"/>
      <c r="QI624" s="1019"/>
      <c r="QJ624" s="1019"/>
      <c r="QK624" s="1019"/>
      <c r="QL624" s="1019"/>
      <c r="QM624" s="1019"/>
      <c r="QN624" s="1019"/>
      <c r="QO624" s="1019"/>
      <c r="QP624" s="1019"/>
      <c r="QQ624" s="1019"/>
      <c r="QR624" s="1019"/>
      <c r="QS624" s="1019"/>
      <c r="QT624" s="1019"/>
      <c r="QU624" s="1019"/>
      <c r="QV624" s="1019"/>
      <c r="QW624" s="1019"/>
      <c r="QX624" s="1019"/>
      <c r="QY624" s="1019"/>
      <c r="QZ624" s="1019"/>
      <c r="RA624" s="1019"/>
      <c r="RB624" s="1019"/>
      <c r="RC624" s="1019"/>
      <c r="RD624" s="1019"/>
      <c r="RE624" s="1019"/>
      <c r="RF624" s="1794"/>
      <c r="RG624" s="1019"/>
      <c r="RH624" s="1027"/>
      <c r="RI624" s="1019"/>
      <c r="RJ624" s="1019" t="s">
        <v>13825</v>
      </c>
      <c r="RK624" s="1019"/>
      <c r="RL624" s="1810"/>
      <c r="RM624" s="843" t="s">
        <v>13816</v>
      </c>
      <c r="RN624" s="1724"/>
      <c r="RO624" s="514" t="s">
        <v>11480</v>
      </c>
      <c r="RR624" s="17"/>
      <c r="RS624" s="1013"/>
      <c r="RV624" s="93" t="s">
        <v>7421</v>
      </c>
      <c r="RW624" s="35" t="s">
        <v>10302</v>
      </c>
      <c r="RX624" s="35" t="s">
        <v>10303</v>
      </c>
      <c r="RZ624" s="35" t="s">
        <v>1101</v>
      </c>
      <c r="SA624" s="93"/>
    </row>
    <row r="625" spans="1:495" s="35" customFormat="1" ht="12.75" customHeight="1">
      <c r="A625" s="19" t="s">
        <v>7421</v>
      </c>
      <c r="B625" s="1080" t="s">
        <v>11491</v>
      </c>
      <c r="C625" s="514" t="s">
        <v>10320</v>
      </c>
      <c r="D625" s="1714" t="s">
        <v>11492</v>
      </c>
      <c r="E625" s="1019" t="s">
        <v>11482</v>
      </c>
      <c r="F625" s="1019" t="s">
        <v>20</v>
      </c>
      <c r="G625" s="1019" t="s">
        <v>18</v>
      </c>
      <c r="H625" s="1019"/>
      <c r="I625" s="1812" t="s">
        <v>11493</v>
      </c>
      <c r="J625" s="1714" t="s">
        <v>11481</v>
      </c>
      <c r="K625" s="6" t="s">
        <v>11494</v>
      </c>
      <c r="L625" s="6" t="s">
        <v>11485</v>
      </c>
      <c r="M625" s="1019" t="s">
        <v>2402</v>
      </c>
      <c r="N625" s="1019" t="s">
        <v>11456</v>
      </c>
      <c r="O625" s="1019" t="s">
        <v>11438</v>
      </c>
      <c r="P625" s="1714" t="s">
        <v>11495</v>
      </c>
      <c r="Q625" s="1831">
        <v>20783</v>
      </c>
      <c r="R625" s="1718">
        <v>60</v>
      </c>
      <c r="S625" s="1019" t="s">
        <v>10</v>
      </c>
      <c r="T625" s="1019"/>
      <c r="U625" s="1825" t="s">
        <v>11496</v>
      </c>
      <c r="V625" s="1019" t="s">
        <v>722</v>
      </c>
      <c r="W625" s="1714" t="s">
        <v>11492</v>
      </c>
      <c r="X625" s="1805">
        <v>26889</v>
      </c>
      <c r="Y625" s="1019" t="s">
        <v>11482</v>
      </c>
      <c r="Z625" s="1019" t="s">
        <v>708</v>
      </c>
      <c r="AA625" s="1019" t="s">
        <v>709</v>
      </c>
      <c r="AB625" s="1019" t="s">
        <v>11497</v>
      </c>
      <c r="AC625" s="1019"/>
      <c r="AD625" s="1019" t="s">
        <v>711</v>
      </c>
      <c r="AE625" s="1019"/>
      <c r="AF625" s="1019" t="s">
        <v>712</v>
      </c>
      <c r="AG625" s="1019" t="s">
        <v>1132</v>
      </c>
      <c r="AH625" s="766" t="s">
        <v>1096</v>
      </c>
      <c r="AI625" s="1019"/>
      <c r="AJ625" s="1019" t="s">
        <v>1137</v>
      </c>
      <c r="AK625" s="1019" t="s">
        <v>1101</v>
      </c>
      <c r="AL625" s="1770">
        <v>9.77</v>
      </c>
      <c r="AM625" s="1108">
        <v>5.3280000000000003</v>
      </c>
      <c r="AN625" s="1078">
        <f t="shared" si="186"/>
        <v>0.54534288638689876</v>
      </c>
      <c r="AO625" s="6" t="s">
        <v>1105</v>
      </c>
      <c r="AP625" s="6"/>
      <c r="AQ625" s="6"/>
      <c r="AR625" s="6"/>
      <c r="AS625" s="1019"/>
      <c r="AT625" s="1019"/>
      <c r="AU625" s="1019"/>
      <c r="AV625" s="1019"/>
      <c r="AW625" s="1019"/>
      <c r="AX625" s="1019"/>
      <c r="AY625" s="1019"/>
      <c r="AZ625" s="1019"/>
      <c r="BA625" s="1019"/>
      <c r="BB625" s="1019"/>
      <c r="BC625" s="1019"/>
      <c r="BD625" s="1019"/>
      <c r="BE625" s="1019"/>
      <c r="BF625" s="1027"/>
      <c r="BG625" s="1027"/>
      <c r="BH625" s="1019"/>
      <c r="BI625" s="1019"/>
      <c r="BJ625" s="1019"/>
      <c r="BK625" s="1019" t="s">
        <v>1095</v>
      </c>
      <c r="BL625" s="1019" t="s">
        <v>11498</v>
      </c>
      <c r="BM625" s="1019" t="s">
        <v>1096</v>
      </c>
      <c r="BN625" s="1019" t="s">
        <v>1230</v>
      </c>
      <c r="BO625" s="1019" t="s">
        <v>1252</v>
      </c>
      <c r="BP625" s="1116">
        <v>19.54</v>
      </c>
      <c r="BQ625" s="46">
        <v>10.66</v>
      </c>
      <c r="BR625" s="47">
        <f t="shared" si="188"/>
        <v>0.54554759467758451</v>
      </c>
      <c r="BS625" s="6" t="s">
        <v>1105</v>
      </c>
      <c r="BT625" s="1019" t="s">
        <v>1355</v>
      </c>
      <c r="BU625" s="1019" t="s">
        <v>1249</v>
      </c>
      <c r="BV625" s="1019" t="s">
        <v>1247</v>
      </c>
      <c r="BW625" s="1019">
        <v>1997</v>
      </c>
      <c r="BX625" s="1027"/>
      <c r="BY625" s="1019"/>
      <c r="BZ625" s="1027"/>
      <c r="CA625" s="1019"/>
      <c r="CB625" s="1019"/>
      <c r="CC625" s="1019"/>
      <c r="CD625" s="1019"/>
      <c r="CE625" s="1019"/>
      <c r="CF625" s="1796"/>
      <c r="CG625" s="1797"/>
      <c r="CH625" s="1019"/>
      <c r="CI625" s="1019"/>
      <c r="CJ625" s="1019"/>
      <c r="CK625" s="1019"/>
      <c r="CL625" s="1019"/>
      <c r="CM625" s="1019"/>
      <c r="CN625" s="1019"/>
      <c r="CO625" s="1019"/>
      <c r="CP625" s="1019"/>
      <c r="CQ625" s="1019"/>
      <c r="CR625" s="1027"/>
      <c r="CS625" s="1019"/>
      <c r="CT625" s="1019"/>
      <c r="CU625" s="1798"/>
      <c r="CV625" s="1019"/>
      <c r="CW625" s="1019"/>
      <c r="CX625" s="1019"/>
      <c r="CY625" s="1019"/>
      <c r="CZ625" s="1019"/>
      <c r="DA625" s="1799"/>
      <c r="DB625" s="1019"/>
      <c r="DC625" s="1019"/>
      <c r="DD625" s="1019"/>
      <c r="DE625" s="1800"/>
      <c r="DF625" s="1019"/>
      <c r="DG625" s="1019"/>
      <c r="DH625" s="1019"/>
      <c r="DI625" s="1019"/>
      <c r="DJ625" s="1019"/>
      <c r="DK625" s="1019"/>
      <c r="DL625" s="1019"/>
      <c r="DM625" s="1019"/>
      <c r="DN625" s="1801"/>
      <c r="DO625" s="1019"/>
      <c r="DP625" s="1019"/>
      <c r="DQ625" s="1019"/>
      <c r="DR625" s="1019"/>
      <c r="DS625" s="1802"/>
      <c r="DT625" s="1716"/>
      <c r="DU625" s="1019"/>
      <c r="DV625" s="1019"/>
      <c r="DW625" s="1799"/>
      <c r="DX625" s="1799"/>
      <c r="DY625" s="1019"/>
      <c r="DZ625" s="1019"/>
      <c r="EA625" s="1019"/>
      <c r="EB625" s="1019"/>
      <c r="EC625" s="1019"/>
      <c r="ED625" s="1019"/>
      <c r="EE625" s="1019"/>
      <c r="EF625" s="1019"/>
      <c r="EG625" s="1019"/>
      <c r="EH625" s="1019"/>
      <c r="EI625" s="1019"/>
      <c r="EJ625" s="1019"/>
      <c r="EK625" s="1019"/>
      <c r="EL625" s="1019"/>
      <c r="EM625" s="1019"/>
      <c r="EN625" s="1019"/>
      <c r="EO625" s="1019"/>
      <c r="EP625" s="1714"/>
      <c r="EQ625" s="1019"/>
      <c r="ER625" s="1019"/>
      <c r="ES625" s="1019"/>
      <c r="ET625" s="1019"/>
      <c r="EU625" s="1019"/>
      <c r="EV625" s="1019"/>
      <c r="EW625" s="1019"/>
      <c r="EX625" s="1019"/>
      <c r="EY625" s="1019"/>
      <c r="EZ625" s="1019"/>
      <c r="FA625" s="1019"/>
      <c r="FB625" s="1019"/>
      <c r="FC625" s="1019"/>
      <c r="FD625" s="1027"/>
      <c r="FE625" s="1019"/>
      <c r="FF625" s="1019"/>
      <c r="FG625" s="1019"/>
      <c r="FH625" s="1019" t="s">
        <v>478</v>
      </c>
      <c r="FI625" s="1019">
        <v>2</v>
      </c>
      <c r="FJ625" s="1019"/>
      <c r="FK625" s="1019"/>
      <c r="FL625" s="1019"/>
      <c r="FM625" s="1027"/>
      <c r="FN625" s="1027"/>
      <c r="FO625" s="1027"/>
      <c r="FP625" s="766" t="s">
        <v>1602</v>
      </c>
      <c r="FQ625" s="766" t="s">
        <v>1660</v>
      </c>
      <c r="FR625" s="1019" t="s">
        <v>1214</v>
      </c>
      <c r="FS625" s="1019"/>
      <c r="FT625" s="1019"/>
      <c r="FU625" s="1019"/>
      <c r="FV625" s="1019"/>
      <c r="FW625" s="1019"/>
      <c r="FX625" s="1019"/>
      <c r="FY625" s="1019"/>
      <c r="FZ625" s="1019"/>
      <c r="GA625" s="1019"/>
      <c r="GB625" s="1019" t="s">
        <v>1734</v>
      </c>
      <c r="GC625" s="1717"/>
      <c r="GD625" s="1718">
        <v>1997</v>
      </c>
      <c r="GE625" s="1019" t="s">
        <v>1214</v>
      </c>
      <c r="GF625" s="1027"/>
      <c r="GG625" s="1027"/>
      <c r="GH625" s="1811" t="s">
        <v>1791</v>
      </c>
      <c r="GI625" s="1019"/>
      <c r="GJ625" s="1019" t="s">
        <v>11499</v>
      </c>
      <c r="GK625" s="1019" t="s">
        <v>2345</v>
      </c>
      <c r="GL625" s="1019"/>
      <c r="GM625" s="1019"/>
      <c r="GN625" s="1804">
        <v>100</v>
      </c>
      <c r="GO625" s="1019"/>
      <c r="GP625" s="1019" t="s">
        <v>1208</v>
      </c>
      <c r="GQ625" s="1019" t="s">
        <v>1208</v>
      </c>
      <c r="GR625" s="1019"/>
      <c r="GS625" s="1019"/>
      <c r="GT625" s="1019"/>
      <c r="GU625" s="1019"/>
      <c r="GV625" s="1019"/>
      <c r="GW625" s="1019" t="s">
        <v>1207</v>
      </c>
      <c r="GX625" s="1019"/>
      <c r="GY625" s="1019"/>
      <c r="GZ625" s="1019"/>
      <c r="HA625" s="1019" t="s">
        <v>1208</v>
      </c>
      <c r="HB625" s="1019" t="s">
        <v>1208</v>
      </c>
      <c r="HC625" s="1019"/>
      <c r="HD625" s="1019"/>
      <c r="HE625" s="1019"/>
      <c r="HF625" s="1019"/>
      <c r="HG625" s="1019"/>
      <c r="HH625" s="1019"/>
      <c r="HI625" s="1019" t="s">
        <v>1214</v>
      </c>
      <c r="HJ625" s="1019"/>
      <c r="HK625" s="1019"/>
      <c r="HL625" s="1019"/>
      <c r="HM625" s="1019"/>
      <c r="HN625" s="1019"/>
      <c r="HO625" s="1019"/>
      <c r="HP625" s="1019"/>
      <c r="HQ625" s="1019"/>
      <c r="HR625" s="1019">
        <v>1</v>
      </c>
      <c r="HS625" s="1019">
        <v>1</v>
      </c>
      <c r="HT625" s="1019"/>
      <c r="HU625" s="1019"/>
      <c r="HV625" s="1019"/>
      <c r="HW625" s="1019"/>
      <c r="HX625" s="1019"/>
      <c r="HY625" s="1019"/>
      <c r="HZ625" s="1019"/>
      <c r="IA625" s="1019"/>
      <c r="IB625" s="14" t="e">
        <f>IF(#REF!&gt;0,IF(#REF!&lt;=10000,"Y",""),"")</f>
        <v>#REF!</v>
      </c>
      <c r="IC625" s="1019"/>
      <c r="ID625" s="1019">
        <v>1</v>
      </c>
      <c r="IE625" s="1019">
        <v>1</v>
      </c>
      <c r="IF625" s="1019"/>
      <c r="IG625" s="1019"/>
      <c r="IH625" s="1019"/>
      <c r="II625" s="1019"/>
      <c r="IJ625" s="1019"/>
      <c r="IK625" s="1019"/>
      <c r="IL625" s="1019"/>
      <c r="IM625" s="1019"/>
      <c r="IN625" s="1019"/>
      <c r="IO625" s="1805"/>
      <c r="IP625" s="1019"/>
      <c r="IQ625" s="1716"/>
      <c r="IR625" s="1019"/>
      <c r="IS625" s="1019"/>
      <c r="IT625" s="1019"/>
      <c r="IU625" s="1019"/>
      <c r="IV625" s="1019"/>
      <c r="IW625" s="1019"/>
      <c r="IX625" s="1019"/>
      <c r="IY625" s="1812"/>
      <c r="IZ625" s="1019"/>
      <c r="JA625" s="1019"/>
      <c r="JB625" s="1019"/>
      <c r="JC625" s="1019"/>
      <c r="JD625" s="1027"/>
      <c r="JE625" s="1019"/>
      <c r="JF625" s="1019"/>
      <c r="JG625" s="1019"/>
      <c r="JH625" s="1802"/>
      <c r="JI625" s="712" t="str">
        <f>IF(SUM(JT625,JU625)=JJ625,"ok","review")</f>
        <v>ok</v>
      </c>
      <c r="JJ625" s="1698">
        <v>2</v>
      </c>
      <c r="JK625" s="1047" t="s">
        <v>13826</v>
      </c>
      <c r="JL625" s="1019"/>
      <c r="JM625" s="1019"/>
      <c r="JN625" s="1019">
        <v>1</v>
      </c>
      <c r="JO625" s="1019">
        <v>1</v>
      </c>
      <c r="JP625" s="1019"/>
      <c r="JQ625" s="1019"/>
      <c r="JR625" s="1019"/>
      <c r="JS625" s="1019"/>
      <c r="JT625" s="766">
        <f t="shared" ref="JT625:JU627" si="189">SUM(JP625,JN625,JL625,JR625)</f>
        <v>1</v>
      </c>
      <c r="JU625" s="766">
        <f t="shared" si="189"/>
        <v>1</v>
      </c>
      <c r="JV625" s="712" t="str">
        <f t="shared" ref="JV625:JV632" si="190">IF(JT625=KJ625,"ok","male")</f>
        <v>ok</v>
      </c>
      <c r="JW625" s="712" t="str">
        <f t="shared" ref="JW625:JW632" si="191">IF(JU625=KK625,"ok","female")</f>
        <v>ok</v>
      </c>
      <c r="JX625" s="1019"/>
      <c r="JY625" s="1019"/>
      <c r="JZ625" s="1019"/>
      <c r="KA625" s="1019"/>
      <c r="KB625" s="1019"/>
      <c r="KC625" s="1019"/>
      <c r="KD625" s="1019"/>
      <c r="KE625" s="1019">
        <v>1</v>
      </c>
      <c r="KF625" s="1019">
        <v>1</v>
      </c>
      <c r="KG625" s="1019"/>
      <c r="KH625" s="1019"/>
      <c r="KI625" s="1019"/>
      <c r="KJ625" s="770">
        <f t="shared" si="168"/>
        <v>1</v>
      </c>
      <c r="KK625" s="770">
        <f t="shared" si="168"/>
        <v>1</v>
      </c>
      <c r="KL625" s="712" t="str">
        <f t="shared" ref="KL625:KL632" si="192">IF(KJ625=LN625,"ok","male")</f>
        <v>ok</v>
      </c>
      <c r="KM625" s="712" t="str">
        <f t="shared" ref="KM625:KM632" si="193">IF(KK625=LO625,"ok","female")</f>
        <v>ok</v>
      </c>
      <c r="KN625" s="1019" t="s">
        <v>722</v>
      </c>
      <c r="KO625" s="1019"/>
      <c r="KP625" s="1019"/>
      <c r="KQ625" s="1019"/>
      <c r="KR625" s="1019"/>
      <c r="KS625" s="1019"/>
      <c r="KT625" s="1019"/>
      <c r="KU625" s="1019"/>
      <c r="KV625" s="1019"/>
      <c r="KW625" s="1019"/>
      <c r="KX625" s="1019"/>
      <c r="KY625" s="1019"/>
      <c r="KZ625" s="1019"/>
      <c r="LA625" s="1019">
        <v>1</v>
      </c>
      <c r="LB625" s="1019"/>
      <c r="LC625" s="1019"/>
      <c r="LD625" s="1019">
        <v>1</v>
      </c>
      <c r="LE625" s="1019"/>
      <c r="LF625" s="1019"/>
      <c r="LG625" s="1019"/>
      <c r="LH625" s="1019"/>
      <c r="LI625" s="1019"/>
      <c r="LJ625" s="1019"/>
      <c r="LK625" s="1019"/>
      <c r="LL625" s="1019"/>
      <c r="LM625" s="1019"/>
      <c r="LN625" s="766">
        <f t="shared" ref="LN625:LO627" si="194">SUM(KP625,KR625,KT625,KV625,KX625,KZ625,LB625,LD625,LF625,LH625,LJ625,LL625)</f>
        <v>1</v>
      </c>
      <c r="LO625" s="766">
        <f t="shared" si="194"/>
        <v>1</v>
      </c>
      <c r="LP625" s="1019">
        <v>1</v>
      </c>
      <c r="LQ625" s="1019">
        <v>1</v>
      </c>
      <c r="LR625" s="1019"/>
      <c r="LS625" s="1019"/>
      <c r="LT625" s="712" t="str">
        <f t="shared" ref="LT625:LT632" si="195">IF(LQ625=SUM(LU625:LW625),"OK","REV")</f>
        <v>OK</v>
      </c>
      <c r="LU625" s="1019"/>
      <c r="LV625" s="1019">
        <v>1</v>
      </c>
      <c r="LW625" s="1019"/>
      <c r="LX625" s="1693">
        <v>1</v>
      </c>
      <c r="LY625" s="766" t="str">
        <f t="shared" si="187"/>
        <v>within the BRGY</v>
      </c>
      <c r="LZ625" s="1807">
        <f>60*20</f>
        <v>1200</v>
      </c>
      <c r="MA625" s="1807"/>
      <c r="MB625" s="1807"/>
      <c r="MC625" s="1679">
        <f t="shared" si="185"/>
        <v>1200</v>
      </c>
      <c r="MD625" s="1807">
        <f>AVERAGE(15000,3000)</f>
        <v>9000</v>
      </c>
      <c r="ME625" s="1807"/>
      <c r="MF625" s="1807"/>
      <c r="MG625" s="1680">
        <f t="shared" ref="MG625:MG632" si="196">SUM(MD625:MF625)</f>
        <v>9000</v>
      </c>
      <c r="MH625" s="1019" t="s">
        <v>10322</v>
      </c>
      <c r="MI625" s="64">
        <f>300*30</f>
        <v>9000</v>
      </c>
      <c r="MJ625" s="1027">
        <f>60*20</f>
        <v>1200</v>
      </c>
      <c r="MK625" s="1027">
        <f>1000/12</f>
        <v>83.333333333333329</v>
      </c>
      <c r="ML625" s="1027">
        <f>1000/12</f>
        <v>83.333333333333329</v>
      </c>
      <c r="MM625" s="1027">
        <f>100*26</f>
        <v>2600</v>
      </c>
      <c r="MN625" s="1027"/>
      <c r="MO625" s="1027">
        <f>200*30</f>
        <v>6000</v>
      </c>
      <c r="MP625" s="1027">
        <v>1500</v>
      </c>
      <c r="MQ625" s="1027"/>
      <c r="MR625" s="1027">
        <v>200</v>
      </c>
      <c r="MS625" s="1027">
        <v>300</v>
      </c>
      <c r="MT625" s="1027"/>
      <c r="MU625" s="1027"/>
      <c r="MV625" s="1027"/>
      <c r="MW625" s="1027"/>
      <c r="MX625" s="1027"/>
      <c r="MY625" s="1682">
        <f t="shared" si="165"/>
        <v>20966.666666666668</v>
      </c>
      <c r="MZ625" s="1019" t="s">
        <v>13395</v>
      </c>
      <c r="NA625" s="1019" t="s">
        <v>1249</v>
      </c>
      <c r="NB625" s="1019" t="s">
        <v>13016</v>
      </c>
      <c r="NC625" s="1019" t="s">
        <v>13135</v>
      </c>
      <c r="ND625" s="1019">
        <v>0</v>
      </c>
      <c r="NE625" s="1019">
        <v>0</v>
      </c>
      <c r="NF625" s="1019">
        <v>0</v>
      </c>
      <c r="NG625" s="1019">
        <v>0</v>
      </c>
      <c r="NH625" s="1019">
        <v>1</v>
      </c>
      <c r="NI625" s="1019">
        <v>0</v>
      </c>
      <c r="NJ625" s="1019">
        <v>0</v>
      </c>
      <c r="NK625" s="1019">
        <v>0</v>
      </c>
      <c r="NL625" s="1019">
        <v>0</v>
      </c>
      <c r="NM625" s="1019">
        <v>0</v>
      </c>
      <c r="NN625" s="1019">
        <v>0</v>
      </c>
      <c r="NO625" s="1019">
        <v>0</v>
      </c>
      <c r="NP625" s="1019">
        <v>0</v>
      </c>
      <c r="NQ625" s="1019">
        <v>0</v>
      </c>
      <c r="NR625" s="1019">
        <v>0</v>
      </c>
      <c r="NS625" s="1019">
        <v>0</v>
      </c>
      <c r="NT625" s="1019">
        <v>0</v>
      </c>
      <c r="NU625" s="1019">
        <v>0</v>
      </c>
      <c r="NV625" s="1019">
        <v>0</v>
      </c>
      <c r="NW625" s="1019">
        <v>0</v>
      </c>
      <c r="NX625" s="1019">
        <v>0</v>
      </c>
      <c r="NY625" s="1019" t="s">
        <v>1208</v>
      </c>
      <c r="NZ625" s="1019" t="s">
        <v>1208</v>
      </c>
      <c r="OA625" s="1019" t="s">
        <v>1208</v>
      </c>
      <c r="OB625" s="1019" t="s">
        <v>1208</v>
      </c>
      <c r="OC625" s="1019" t="s">
        <v>1208</v>
      </c>
      <c r="OD625" s="1019" t="s">
        <v>1208</v>
      </c>
      <c r="OE625" s="1019"/>
      <c r="OF625" s="1019"/>
      <c r="OG625" s="1019"/>
      <c r="OH625" s="1019"/>
      <c r="OI625" s="1019"/>
      <c r="OJ625" s="1019"/>
      <c r="OK625" s="1019"/>
      <c r="OL625" s="1019"/>
      <c r="OM625" s="1019"/>
      <c r="ON625" s="1019"/>
      <c r="OO625" s="1019"/>
      <c r="OP625" s="1019"/>
      <c r="OQ625" s="1019"/>
      <c r="OR625" s="1019"/>
      <c r="OS625" s="1019"/>
      <c r="OT625" s="1019"/>
      <c r="OU625" s="1019"/>
      <c r="OV625" s="1019"/>
      <c r="OW625" s="1019"/>
      <c r="OX625" s="1019"/>
      <c r="OY625" s="1019"/>
      <c r="OZ625" s="1019"/>
      <c r="PA625" s="1019"/>
      <c r="PB625" s="1019"/>
      <c r="PC625" s="1019"/>
      <c r="PD625" s="1019"/>
      <c r="PE625" s="1019"/>
      <c r="PF625" s="1019"/>
      <c r="PG625" s="1019"/>
      <c r="PH625" s="1019"/>
      <c r="PI625" s="1019"/>
      <c r="PJ625" s="1019"/>
      <c r="PK625" s="1019"/>
      <c r="PL625" s="1019"/>
      <c r="PM625" s="1019"/>
      <c r="PN625" s="1019"/>
      <c r="PO625" s="1019"/>
      <c r="PP625" s="1019"/>
      <c r="PQ625" s="1019"/>
      <c r="PR625" s="1019"/>
      <c r="PS625" s="1019"/>
      <c r="PT625" s="1019"/>
      <c r="PU625" s="1019"/>
      <c r="PV625" s="1019"/>
      <c r="PW625" s="1019"/>
      <c r="PX625" s="1019"/>
      <c r="PY625" s="1019"/>
      <c r="PZ625" s="1019"/>
      <c r="QA625" s="1019"/>
      <c r="QB625" s="1019"/>
      <c r="QC625" s="1019"/>
      <c r="QD625" s="1019"/>
      <c r="QE625" s="1019"/>
      <c r="QF625" s="1019"/>
      <c r="QG625" s="1019"/>
      <c r="QH625" s="1019"/>
      <c r="QI625" s="1019"/>
      <c r="QJ625" s="1019"/>
      <c r="QK625" s="1019"/>
      <c r="QL625" s="1019"/>
      <c r="QM625" s="1019"/>
      <c r="QN625" s="1019"/>
      <c r="QO625" s="1019"/>
      <c r="QP625" s="1019"/>
      <c r="QQ625" s="1019"/>
      <c r="QR625" s="1019"/>
      <c r="QS625" s="1019"/>
      <c r="QT625" s="1019"/>
      <c r="QU625" s="1019"/>
      <c r="QV625" s="1019" t="s">
        <v>1208</v>
      </c>
      <c r="QW625" s="1019"/>
      <c r="QX625" s="1019"/>
      <c r="QY625" s="1019"/>
      <c r="QZ625" s="1019"/>
      <c r="RA625" s="1019"/>
      <c r="RB625" s="1019" t="s">
        <v>1207</v>
      </c>
      <c r="RC625" s="1019">
        <v>2014</v>
      </c>
      <c r="RD625" s="1019" t="s">
        <v>13827</v>
      </c>
      <c r="RE625" s="1019" t="s">
        <v>12990</v>
      </c>
      <c r="RF625" s="1794">
        <v>3</v>
      </c>
      <c r="RG625" s="1019" t="s">
        <v>13047</v>
      </c>
      <c r="RH625" s="1027">
        <v>0</v>
      </c>
      <c r="RI625" s="1019" t="s">
        <v>13656</v>
      </c>
      <c r="RJ625" s="1019" t="s">
        <v>10325</v>
      </c>
      <c r="RK625" s="1019" t="s">
        <v>13042</v>
      </c>
      <c r="RL625" s="1810">
        <v>42895</v>
      </c>
      <c r="RM625" s="1714"/>
      <c r="RN625" s="1724"/>
      <c r="RO625" s="514" t="s">
        <v>10320</v>
      </c>
      <c r="RR625" s="19" t="s">
        <v>7421</v>
      </c>
      <c r="RS625" s="1139" t="s">
        <v>12980</v>
      </c>
      <c r="RV625" s="93" t="s">
        <v>7421</v>
      </c>
      <c r="RW625" s="35" t="s">
        <v>11468</v>
      </c>
      <c r="RX625" s="35" t="s">
        <v>10314</v>
      </c>
      <c r="RZ625" s="35" t="s">
        <v>1101</v>
      </c>
      <c r="SA625" s="93"/>
    </row>
    <row r="626" spans="1:495" s="35" customFormat="1" ht="12.75" customHeight="1">
      <c r="A626" s="1117" t="s">
        <v>14228</v>
      </c>
      <c r="B626" s="1080" t="s">
        <v>11500</v>
      </c>
      <c r="C626" s="514" t="s">
        <v>10320</v>
      </c>
      <c r="D626" s="1714" t="s">
        <v>11501</v>
      </c>
      <c r="E626" s="1019" t="s">
        <v>11482</v>
      </c>
      <c r="F626" s="1019" t="s">
        <v>20</v>
      </c>
      <c r="G626" s="1716" t="s">
        <v>18</v>
      </c>
      <c r="H626" s="1019"/>
      <c r="I626" s="1812" t="s">
        <v>11502</v>
      </c>
      <c r="J626" s="1019" t="s">
        <v>11503</v>
      </c>
      <c r="K626" s="6" t="s">
        <v>11494</v>
      </c>
      <c r="L626" s="6" t="s">
        <v>11485</v>
      </c>
      <c r="M626" s="1019" t="s">
        <v>2402</v>
      </c>
      <c r="N626" s="1019" t="s">
        <v>11456</v>
      </c>
      <c r="O626" s="1019" t="s">
        <v>11438</v>
      </c>
      <c r="P626" s="1714" t="s">
        <v>11504</v>
      </c>
      <c r="Q626" s="1831">
        <v>33476</v>
      </c>
      <c r="R626" s="1718">
        <v>23</v>
      </c>
      <c r="S626" s="1019" t="s">
        <v>10</v>
      </c>
      <c r="T626" s="1019"/>
      <c r="U626" s="1812" t="s">
        <v>11502</v>
      </c>
      <c r="V626" s="1019" t="s">
        <v>707</v>
      </c>
      <c r="W626" s="1714" t="s">
        <v>11501</v>
      </c>
      <c r="X626" s="1805"/>
      <c r="Y626" s="1019" t="s">
        <v>11482</v>
      </c>
      <c r="Z626" s="1019" t="s">
        <v>708</v>
      </c>
      <c r="AA626" s="1019" t="s">
        <v>709</v>
      </c>
      <c r="AB626" s="1019" t="s">
        <v>11497</v>
      </c>
      <c r="AC626" s="1019"/>
      <c r="AD626" s="1019" t="s">
        <v>711</v>
      </c>
      <c r="AE626" s="1019"/>
      <c r="AF626" s="1019" t="s">
        <v>712</v>
      </c>
      <c r="AG626" s="1019" t="s">
        <v>1132</v>
      </c>
      <c r="AH626" s="766" t="s">
        <v>1096</v>
      </c>
      <c r="AI626" s="1019"/>
      <c r="AJ626" s="1019" t="s">
        <v>1137</v>
      </c>
      <c r="AK626" s="1019" t="s">
        <v>1101</v>
      </c>
      <c r="AL626" s="1770">
        <v>9.77</v>
      </c>
      <c r="AM626" s="1108">
        <v>5.3280000000000003</v>
      </c>
      <c r="AN626" s="1078">
        <f t="shared" si="186"/>
        <v>0.54534288638689876</v>
      </c>
      <c r="AO626" s="6" t="s">
        <v>1105</v>
      </c>
      <c r="AP626" s="6"/>
      <c r="AQ626" s="6"/>
      <c r="AR626" s="6"/>
      <c r="AS626" s="1019"/>
      <c r="AT626" s="1019"/>
      <c r="AU626" s="1019"/>
      <c r="AV626" s="1019"/>
      <c r="AW626" s="1019"/>
      <c r="AX626" s="1019"/>
      <c r="AY626" s="1019"/>
      <c r="AZ626" s="1019"/>
      <c r="BA626" s="1019"/>
      <c r="BB626" s="1019"/>
      <c r="BC626" s="1019"/>
      <c r="BD626" s="1019"/>
      <c r="BE626" s="1019"/>
      <c r="BF626" s="1027"/>
      <c r="BG626" s="1027"/>
      <c r="BH626" s="1019"/>
      <c r="BI626" s="1019"/>
      <c r="BJ626" s="1019"/>
      <c r="BK626" s="1019"/>
      <c r="BL626" s="1019"/>
      <c r="BM626" s="1019" t="s">
        <v>1238</v>
      </c>
      <c r="BN626" s="1019" t="s">
        <v>1299</v>
      </c>
      <c r="BO626" s="1019"/>
      <c r="BP626" s="1033"/>
      <c r="BQ626" s="46"/>
      <c r="BR626" s="47"/>
      <c r="BS626" s="6" t="s">
        <v>1105</v>
      </c>
      <c r="BT626" s="1019"/>
      <c r="BU626" s="1019"/>
      <c r="BV626" s="1019"/>
      <c r="BW626" s="1019"/>
      <c r="BX626" s="1027"/>
      <c r="BY626" s="1019"/>
      <c r="BZ626" s="1027"/>
      <c r="CA626" s="1019"/>
      <c r="CB626" s="1019"/>
      <c r="CC626" s="1019"/>
      <c r="CD626" s="1019"/>
      <c r="CE626" s="1019"/>
      <c r="CF626" s="1796"/>
      <c r="CG626" s="1797"/>
      <c r="CH626" s="1019"/>
      <c r="CI626" s="1019"/>
      <c r="CJ626" s="1019"/>
      <c r="CK626" s="1019"/>
      <c r="CL626" s="1019"/>
      <c r="CM626" s="1019"/>
      <c r="CN626" s="1019"/>
      <c r="CO626" s="1019"/>
      <c r="CP626" s="1019"/>
      <c r="CQ626" s="1019"/>
      <c r="CR626" s="1027"/>
      <c r="CS626" s="1019"/>
      <c r="CT626" s="1019"/>
      <c r="CU626" s="1798"/>
      <c r="CV626" s="1019"/>
      <c r="CW626" s="1019"/>
      <c r="CX626" s="1019"/>
      <c r="CY626" s="1019"/>
      <c r="CZ626" s="1019"/>
      <c r="DA626" s="1799"/>
      <c r="DB626" s="1019"/>
      <c r="DC626" s="1019"/>
      <c r="DD626" s="1019"/>
      <c r="DE626" s="1800"/>
      <c r="DF626" s="1019"/>
      <c r="DG626" s="1019"/>
      <c r="DH626" s="1019"/>
      <c r="DI626" s="1019"/>
      <c r="DJ626" s="1019"/>
      <c r="DK626" s="1019"/>
      <c r="DL626" s="1019"/>
      <c r="DM626" s="1019"/>
      <c r="DN626" s="1801"/>
      <c r="DO626" s="1019"/>
      <c r="DP626" s="1019"/>
      <c r="DQ626" s="1019"/>
      <c r="DR626" s="1019"/>
      <c r="DS626" s="1802"/>
      <c r="DT626" s="1716"/>
      <c r="DU626" s="1019"/>
      <c r="DV626" s="1019"/>
      <c r="DW626" s="1799"/>
      <c r="DX626" s="1799"/>
      <c r="DY626" s="1019"/>
      <c r="DZ626" s="1019"/>
      <c r="EA626" s="1019"/>
      <c r="EB626" s="1019"/>
      <c r="EC626" s="1019"/>
      <c r="ED626" s="1019"/>
      <c r="EE626" s="1019"/>
      <c r="EF626" s="1019"/>
      <c r="EG626" s="1019"/>
      <c r="EH626" s="1019"/>
      <c r="EI626" s="1019"/>
      <c r="EJ626" s="1019"/>
      <c r="EK626" s="1019"/>
      <c r="EL626" s="1019"/>
      <c r="EM626" s="1019"/>
      <c r="EN626" s="1019"/>
      <c r="EO626" s="1019"/>
      <c r="EP626" s="1714"/>
      <c r="EQ626" s="1019"/>
      <c r="ER626" s="1019"/>
      <c r="ES626" s="1019"/>
      <c r="ET626" s="1019"/>
      <c r="EU626" s="1019"/>
      <c r="EV626" s="1019"/>
      <c r="EW626" s="1019"/>
      <c r="EX626" s="1019"/>
      <c r="EY626" s="1019"/>
      <c r="EZ626" s="1019"/>
      <c r="FA626" s="1019"/>
      <c r="FB626" s="1019"/>
      <c r="FC626" s="1019"/>
      <c r="FD626" s="1027"/>
      <c r="FE626" s="1019"/>
      <c r="FF626" s="1019"/>
      <c r="FG626" s="1019"/>
      <c r="FH626" s="1019" t="s">
        <v>1299</v>
      </c>
      <c r="FI626" s="1019"/>
      <c r="FJ626" s="1019"/>
      <c r="FK626" s="1019"/>
      <c r="FL626" s="1019"/>
      <c r="FM626" s="1027"/>
      <c r="FN626" s="1027"/>
      <c r="FO626" s="1027"/>
      <c r="FP626" s="766" t="s">
        <v>1602</v>
      </c>
      <c r="FQ626" s="766" t="s">
        <v>1660</v>
      </c>
      <c r="FR626" s="1019"/>
      <c r="FS626" s="1019"/>
      <c r="FT626" s="1019"/>
      <c r="FU626" s="1019"/>
      <c r="FV626" s="1019"/>
      <c r="FW626" s="1019"/>
      <c r="FX626" s="1019"/>
      <c r="FY626" s="1019"/>
      <c r="FZ626" s="1019"/>
      <c r="GA626" s="1019"/>
      <c r="GB626" s="1019"/>
      <c r="GC626" s="1717"/>
      <c r="GD626" s="1718"/>
      <c r="GE626" s="1019"/>
      <c r="GF626" s="1027"/>
      <c r="GG626" s="1027"/>
      <c r="GH626" s="1019" t="s">
        <v>1791</v>
      </c>
      <c r="GI626" s="1019"/>
      <c r="GJ626" s="1019" t="s">
        <v>724</v>
      </c>
      <c r="GK626" s="1019" t="s">
        <v>2345</v>
      </c>
      <c r="GL626" s="1019"/>
      <c r="GM626" s="1019"/>
      <c r="GN626" s="1804"/>
      <c r="GO626" s="1019" t="s">
        <v>2770</v>
      </c>
      <c r="GP626" s="1019" t="s">
        <v>1208</v>
      </c>
      <c r="GQ626" s="1019" t="s">
        <v>1208</v>
      </c>
      <c r="GR626" s="1019" t="s">
        <v>1208</v>
      </c>
      <c r="GS626" s="1019" t="s">
        <v>1208</v>
      </c>
      <c r="GT626" s="1019" t="s">
        <v>1208</v>
      </c>
      <c r="GU626" s="1019"/>
      <c r="GV626" s="1019"/>
      <c r="GW626" s="1019" t="s">
        <v>1207</v>
      </c>
      <c r="GX626" s="1019"/>
      <c r="GY626" s="1019" t="s">
        <v>1208</v>
      </c>
      <c r="GZ626" s="1019" t="s">
        <v>1208</v>
      </c>
      <c r="HA626" s="1019" t="s">
        <v>1208</v>
      </c>
      <c r="HB626" s="1019" t="s">
        <v>1208</v>
      </c>
      <c r="HC626" s="1019" t="s">
        <v>1208</v>
      </c>
      <c r="HD626" s="1019"/>
      <c r="HE626" s="1019"/>
      <c r="HF626" s="1019"/>
      <c r="HG626" s="1019"/>
      <c r="HH626" s="1019"/>
      <c r="HI626" s="1019" t="s">
        <v>1214</v>
      </c>
      <c r="HJ626" s="1019"/>
      <c r="HK626" s="1019"/>
      <c r="HL626" s="1019"/>
      <c r="HM626" s="1019"/>
      <c r="HN626" s="1019"/>
      <c r="HO626" s="1019"/>
      <c r="HP626" s="1019"/>
      <c r="HQ626" s="1019"/>
      <c r="HR626" s="1019"/>
      <c r="HS626" s="1019"/>
      <c r="HT626" s="1019"/>
      <c r="HU626" s="1019"/>
      <c r="HV626" s="1019"/>
      <c r="HW626" s="1019"/>
      <c r="HX626" s="1019"/>
      <c r="HY626" s="1019"/>
      <c r="HZ626" s="1019"/>
      <c r="IA626" s="1019"/>
      <c r="IB626" s="14" t="e">
        <f>IF(#REF!&gt;0,IF(#REF!&lt;=10000,"Y",""),"")</f>
        <v>#REF!</v>
      </c>
      <c r="IC626" s="1019"/>
      <c r="ID626" s="1019"/>
      <c r="IE626" s="1019"/>
      <c r="IF626" s="1019"/>
      <c r="IG626" s="1019"/>
      <c r="IH626" s="1019"/>
      <c r="II626" s="1019"/>
      <c r="IJ626" s="1019"/>
      <c r="IK626" s="1019"/>
      <c r="IL626" s="1019"/>
      <c r="IM626" s="1019"/>
      <c r="IN626" s="1019"/>
      <c r="IO626" s="1805"/>
      <c r="IP626" s="1019"/>
      <c r="IQ626" s="1716"/>
      <c r="IR626" s="1019"/>
      <c r="IS626" s="1019"/>
      <c r="IT626" s="1019"/>
      <c r="IU626" s="1019"/>
      <c r="IV626" s="1019"/>
      <c r="IW626" s="1019"/>
      <c r="IX626" s="1019"/>
      <c r="IY626" s="1812"/>
      <c r="IZ626" s="1019"/>
      <c r="JA626" s="1019"/>
      <c r="JB626" s="1019"/>
      <c r="JC626" s="1019"/>
      <c r="JD626" s="1027"/>
      <c r="JE626" s="1019"/>
      <c r="JF626" s="1019"/>
      <c r="JG626" s="1019"/>
      <c r="JH626" s="1802"/>
      <c r="JI626" s="712" t="str">
        <f>IF(SUM(JT626,JU626)=JJ626,"ok","review")</f>
        <v>ok</v>
      </c>
      <c r="JJ626" s="1698">
        <v>3</v>
      </c>
      <c r="JK626" s="1047" t="s">
        <v>10327</v>
      </c>
      <c r="JL626" s="1019"/>
      <c r="JM626" s="1019">
        <v>1</v>
      </c>
      <c r="JN626" s="1019">
        <v>1</v>
      </c>
      <c r="JO626" s="1019">
        <v>1</v>
      </c>
      <c r="JP626" s="1019"/>
      <c r="JQ626" s="1019"/>
      <c r="JR626" s="1019"/>
      <c r="JS626" s="1019"/>
      <c r="JT626" s="766">
        <f t="shared" si="189"/>
        <v>1</v>
      </c>
      <c r="JU626" s="766">
        <f t="shared" si="189"/>
        <v>2</v>
      </c>
      <c r="JV626" s="712" t="str">
        <f t="shared" si="190"/>
        <v>ok</v>
      </c>
      <c r="JW626" s="712" t="str">
        <f t="shared" si="191"/>
        <v>ok</v>
      </c>
      <c r="JX626" s="1019"/>
      <c r="JY626" s="1019">
        <v>1</v>
      </c>
      <c r="JZ626" s="1019"/>
      <c r="KA626" s="1019"/>
      <c r="KB626" s="1019">
        <v>1</v>
      </c>
      <c r="KC626" s="1019">
        <v>1</v>
      </c>
      <c r="KD626" s="1019"/>
      <c r="KE626" s="1019"/>
      <c r="KF626" s="1019"/>
      <c r="KG626" s="1019"/>
      <c r="KH626" s="1019"/>
      <c r="KI626" s="1019"/>
      <c r="KJ626" s="770">
        <f t="shared" si="168"/>
        <v>1</v>
      </c>
      <c r="KK626" s="770">
        <f t="shared" si="168"/>
        <v>2</v>
      </c>
      <c r="KL626" s="712" t="str">
        <f t="shared" si="192"/>
        <v>ok</v>
      </c>
      <c r="KM626" s="712" t="str">
        <f t="shared" si="193"/>
        <v>ok</v>
      </c>
      <c r="KN626" s="1019" t="s">
        <v>707</v>
      </c>
      <c r="KO626" s="1019"/>
      <c r="KP626" s="1019"/>
      <c r="KQ626" s="1019"/>
      <c r="KR626" s="1019"/>
      <c r="KS626" s="1019"/>
      <c r="KT626" s="1019"/>
      <c r="KU626" s="1019"/>
      <c r="KV626" s="1019"/>
      <c r="KW626" s="1019"/>
      <c r="KX626" s="1019"/>
      <c r="KY626" s="1019"/>
      <c r="KZ626" s="1019"/>
      <c r="LA626" s="1019"/>
      <c r="LB626" s="1019"/>
      <c r="LC626" s="1019">
        <v>1</v>
      </c>
      <c r="LD626" s="1019">
        <v>1</v>
      </c>
      <c r="LE626" s="1019"/>
      <c r="LF626" s="1019"/>
      <c r="LG626" s="1019"/>
      <c r="LH626" s="1019"/>
      <c r="LI626" s="1019"/>
      <c r="LJ626" s="1019"/>
      <c r="LK626" s="1019">
        <v>1</v>
      </c>
      <c r="LL626" s="1019"/>
      <c r="LM626" s="1019"/>
      <c r="LN626" s="766">
        <f t="shared" si="194"/>
        <v>1</v>
      </c>
      <c r="LO626" s="766">
        <f t="shared" si="194"/>
        <v>2</v>
      </c>
      <c r="LP626" s="1019">
        <v>1</v>
      </c>
      <c r="LQ626" s="1019">
        <v>1</v>
      </c>
      <c r="LR626" s="1019"/>
      <c r="LS626" s="1019"/>
      <c r="LT626" s="712" t="str">
        <f t="shared" si="195"/>
        <v>OK</v>
      </c>
      <c r="LU626" s="1019">
        <v>1</v>
      </c>
      <c r="LV626" s="1019"/>
      <c r="LW626" s="1019"/>
      <c r="LX626" s="1693">
        <v>2</v>
      </c>
      <c r="LY626" s="766" t="str">
        <f t="shared" si="187"/>
        <v>within the MUNICIPALITY</v>
      </c>
      <c r="LZ626" s="1807">
        <f>50*26</f>
        <v>1300</v>
      </c>
      <c r="MA626" s="1807"/>
      <c r="MB626" s="1807"/>
      <c r="MC626" s="1679">
        <f t="shared" si="185"/>
        <v>1300</v>
      </c>
      <c r="MD626" s="1807">
        <v>12000</v>
      </c>
      <c r="ME626" s="1807"/>
      <c r="MF626" s="1807"/>
      <c r="MG626" s="1680">
        <f t="shared" si="196"/>
        <v>12000</v>
      </c>
      <c r="MH626" s="1019" t="s">
        <v>13828</v>
      </c>
      <c r="MI626" s="64">
        <v>9000</v>
      </c>
      <c r="MJ626" s="1027">
        <v>2000</v>
      </c>
      <c r="MK626" s="1027">
        <v>150</v>
      </c>
      <c r="ML626" s="1027">
        <v>500</v>
      </c>
      <c r="MM626" s="1027"/>
      <c r="MN626" s="1027"/>
      <c r="MO626" s="1027">
        <v>100</v>
      </c>
      <c r="MP626" s="1027">
        <v>1200</v>
      </c>
      <c r="MQ626" s="1027">
        <v>554</v>
      </c>
      <c r="MR626" s="1027">
        <v>500</v>
      </c>
      <c r="MS626" s="1027"/>
      <c r="MT626" s="1027"/>
      <c r="MU626" s="1027"/>
      <c r="MV626" s="1027"/>
      <c r="MW626" s="1027"/>
      <c r="MX626" s="1027"/>
      <c r="MY626" s="1682">
        <f t="shared" si="165"/>
        <v>14004</v>
      </c>
      <c r="MZ626" s="1019" t="s">
        <v>13370</v>
      </c>
      <c r="NA626" s="1019" t="s">
        <v>13005</v>
      </c>
      <c r="NB626" s="1019" t="s">
        <v>13016</v>
      </c>
      <c r="NC626" s="1019" t="s">
        <v>13135</v>
      </c>
      <c r="ND626" s="1019">
        <v>0</v>
      </c>
      <c r="NE626" s="1019">
        <v>0</v>
      </c>
      <c r="NF626" s="1019">
        <v>1</v>
      </c>
      <c r="NG626" s="1019">
        <v>2</v>
      </c>
      <c r="NH626" s="1019">
        <v>1</v>
      </c>
      <c r="NI626" s="1019">
        <v>0</v>
      </c>
      <c r="NJ626" s="1019">
        <v>1</v>
      </c>
      <c r="NK626" s="1019">
        <v>0</v>
      </c>
      <c r="NL626" s="1019">
        <v>1</v>
      </c>
      <c r="NM626" s="1019">
        <v>1</v>
      </c>
      <c r="NN626" s="1019">
        <v>0</v>
      </c>
      <c r="NO626" s="1019">
        <v>0</v>
      </c>
      <c r="NP626" s="1019">
        <v>0</v>
      </c>
      <c r="NQ626" s="1019">
        <v>0</v>
      </c>
      <c r="NR626" s="1019">
        <v>0</v>
      </c>
      <c r="NS626" s="1019">
        <v>0</v>
      </c>
      <c r="NT626" s="1019">
        <v>0</v>
      </c>
      <c r="NU626" s="1019">
        <v>0</v>
      </c>
      <c r="NV626" s="1019">
        <v>0</v>
      </c>
      <c r="NW626" s="1019">
        <v>0</v>
      </c>
      <c r="NX626" s="1019">
        <v>0</v>
      </c>
      <c r="NY626" s="1019" t="s">
        <v>1208</v>
      </c>
      <c r="NZ626" s="1019"/>
      <c r="OA626" s="1019" t="s">
        <v>1208</v>
      </c>
      <c r="OB626" s="1019" t="s">
        <v>1208</v>
      </c>
      <c r="OC626" s="1019" t="s">
        <v>1208</v>
      </c>
      <c r="OD626" s="1019"/>
      <c r="OE626" s="1019"/>
      <c r="OF626" s="1019"/>
      <c r="OG626" s="1019"/>
      <c r="OH626" s="1019"/>
      <c r="OI626" s="1019"/>
      <c r="OJ626" s="1019"/>
      <c r="OK626" s="1019"/>
      <c r="OL626" s="1019"/>
      <c r="OM626" s="1019"/>
      <c r="ON626" s="1019"/>
      <c r="OO626" s="1019"/>
      <c r="OP626" s="1019"/>
      <c r="OQ626" s="1019"/>
      <c r="OR626" s="1019"/>
      <c r="OS626" s="1019"/>
      <c r="OT626" s="1019"/>
      <c r="OU626" s="1019"/>
      <c r="OV626" s="1019"/>
      <c r="OW626" s="1019"/>
      <c r="OX626" s="1019"/>
      <c r="OY626" s="1019"/>
      <c r="OZ626" s="1019"/>
      <c r="PA626" s="1019"/>
      <c r="PB626" s="1019"/>
      <c r="PC626" s="1019"/>
      <c r="PD626" s="1019"/>
      <c r="PE626" s="1019"/>
      <c r="PF626" s="1019"/>
      <c r="PG626" s="1019"/>
      <c r="PH626" s="1019"/>
      <c r="PI626" s="1019"/>
      <c r="PJ626" s="1019"/>
      <c r="PK626" s="1019"/>
      <c r="PL626" s="1019"/>
      <c r="PM626" s="1019"/>
      <c r="PN626" s="1019"/>
      <c r="PO626" s="1019"/>
      <c r="PP626" s="1019"/>
      <c r="PQ626" s="1019"/>
      <c r="PR626" s="1019"/>
      <c r="PS626" s="1019"/>
      <c r="PT626" s="1019"/>
      <c r="PU626" s="1019"/>
      <c r="PV626" s="1019"/>
      <c r="PW626" s="1019"/>
      <c r="PX626" s="1019"/>
      <c r="PY626" s="1019"/>
      <c r="PZ626" s="1019"/>
      <c r="QA626" s="1019"/>
      <c r="QB626" s="1019"/>
      <c r="QC626" s="1019"/>
      <c r="QD626" s="1019"/>
      <c r="QE626" s="1019"/>
      <c r="QF626" s="1019"/>
      <c r="QG626" s="1019"/>
      <c r="QH626" s="1019"/>
      <c r="QI626" s="1019"/>
      <c r="QJ626" s="1019"/>
      <c r="QK626" s="1019"/>
      <c r="QL626" s="1019"/>
      <c r="QM626" s="1019"/>
      <c r="QN626" s="1019"/>
      <c r="QO626" s="1019"/>
      <c r="QP626" s="1019"/>
      <c r="QQ626" s="1019"/>
      <c r="QR626" s="1019"/>
      <c r="QS626" s="1019"/>
      <c r="QT626" s="1019"/>
      <c r="QU626" s="1019"/>
      <c r="QV626" s="1019"/>
      <c r="QW626" s="1019"/>
      <c r="QX626" s="1019"/>
      <c r="QY626" s="1019"/>
      <c r="QZ626" s="1019"/>
      <c r="RA626" s="1019"/>
      <c r="RB626" s="1019" t="s">
        <v>1214</v>
      </c>
      <c r="RC626" s="1019"/>
      <c r="RD626" s="1019"/>
      <c r="RE626" s="1019"/>
      <c r="RF626" s="1794"/>
      <c r="RG626" s="1019"/>
      <c r="RH626" s="1027"/>
      <c r="RI626" s="1019"/>
      <c r="RJ626" s="1019" t="s">
        <v>10329</v>
      </c>
      <c r="RK626" s="1019" t="s">
        <v>13544</v>
      </c>
      <c r="RL626" s="1810">
        <v>42918</v>
      </c>
      <c r="RM626" s="1714"/>
      <c r="RN626" s="1724"/>
      <c r="RO626" s="514" t="s">
        <v>10320</v>
      </c>
      <c r="RR626" s="311" t="s">
        <v>13829</v>
      </c>
      <c r="RS626" s="1139" t="s">
        <v>12980</v>
      </c>
      <c r="RV626" s="93" t="s">
        <v>7421</v>
      </c>
      <c r="RW626" s="35" t="s">
        <v>11479</v>
      </c>
      <c r="RX626" s="35" t="s">
        <v>11480</v>
      </c>
      <c r="SA626" s="93"/>
    </row>
    <row r="627" spans="1:495" s="35" customFormat="1" ht="12.75" customHeight="1">
      <c r="A627" s="19" t="s">
        <v>7421</v>
      </c>
      <c r="B627" s="1080" t="s">
        <v>10332</v>
      </c>
      <c r="C627" s="514" t="s">
        <v>10331</v>
      </c>
      <c r="D627" s="1714" t="s">
        <v>11509</v>
      </c>
      <c r="E627" s="1019" t="s">
        <v>11505</v>
      </c>
      <c r="F627" s="1019" t="s">
        <v>28</v>
      </c>
      <c r="G627" s="1019" t="s">
        <v>10</v>
      </c>
      <c r="H627" s="1019"/>
      <c r="I627" s="1812" t="s">
        <v>11510</v>
      </c>
      <c r="J627" s="1714" t="s">
        <v>11509</v>
      </c>
      <c r="K627" s="6" t="s">
        <v>11507</v>
      </c>
      <c r="L627" s="6" t="s">
        <v>11508</v>
      </c>
      <c r="M627" s="1019" t="s">
        <v>2402</v>
      </c>
      <c r="N627" s="1019" t="s">
        <v>11456</v>
      </c>
      <c r="O627" s="1019" t="s">
        <v>11438</v>
      </c>
      <c r="P627" s="1714" t="s">
        <v>11511</v>
      </c>
      <c r="Q627" s="1831">
        <v>31755</v>
      </c>
      <c r="R627" s="1718">
        <v>30</v>
      </c>
      <c r="S627" s="1019" t="s">
        <v>10</v>
      </c>
      <c r="T627" s="1019"/>
      <c r="U627" s="1825" t="s">
        <v>11510</v>
      </c>
      <c r="V627" s="1019" t="s">
        <v>722</v>
      </c>
      <c r="W627" s="1825" t="s">
        <v>11512</v>
      </c>
      <c r="X627" s="1805">
        <v>33411</v>
      </c>
      <c r="Y627" s="1019" t="s">
        <v>11505</v>
      </c>
      <c r="Z627" s="1019" t="s">
        <v>708</v>
      </c>
      <c r="AA627" s="1019" t="s">
        <v>709</v>
      </c>
      <c r="AB627" s="1019" t="s">
        <v>11513</v>
      </c>
      <c r="AC627" s="1019" t="s">
        <v>815</v>
      </c>
      <c r="AD627" s="1019"/>
      <c r="AE627" s="1019"/>
      <c r="AF627" s="1019" t="s">
        <v>712</v>
      </c>
      <c r="AG627" s="1019" t="s">
        <v>1132</v>
      </c>
      <c r="AH627" s="766" t="s">
        <v>1096</v>
      </c>
      <c r="AI627" s="1019"/>
      <c r="AJ627" s="1019" t="s">
        <v>1137</v>
      </c>
      <c r="AK627" s="1019" t="s">
        <v>1101</v>
      </c>
      <c r="AL627" s="1770">
        <v>23.05</v>
      </c>
      <c r="AM627" s="1108">
        <v>7.6550000000000002</v>
      </c>
      <c r="AN627" s="1078">
        <f t="shared" si="186"/>
        <v>0.33210412147505425</v>
      </c>
      <c r="AO627" s="6" t="s">
        <v>1149</v>
      </c>
      <c r="AP627" s="6"/>
      <c r="AQ627" s="6"/>
      <c r="AR627" s="6"/>
      <c r="AS627" s="1019"/>
      <c r="AT627" s="1019"/>
      <c r="AU627" s="1019"/>
      <c r="AV627" s="1019"/>
      <c r="AW627" s="1019"/>
      <c r="AX627" s="1019"/>
      <c r="AY627" s="1019"/>
      <c r="AZ627" s="1019"/>
      <c r="BA627" s="1019"/>
      <c r="BB627" s="1019"/>
      <c r="BC627" s="1019"/>
      <c r="BD627" s="1019"/>
      <c r="BE627" s="1019"/>
      <c r="BF627" s="1027"/>
      <c r="BG627" s="1027"/>
      <c r="BH627" s="1019"/>
      <c r="BI627" s="1019"/>
      <c r="BJ627" s="1019"/>
      <c r="BK627" s="1019" t="s">
        <v>1095</v>
      </c>
      <c r="BL627" s="1714" t="s">
        <v>11509</v>
      </c>
      <c r="BM627" s="1019" t="s">
        <v>1096</v>
      </c>
      <c r="BN627" s="1019" t="s">
        <v>1230</v>
      </c>
      <c r="BO627" s="1019" t="s">
        <v>1252</v>
      </c>
      <c r="BP627" s="1116">
        <v>46.1</v>
      </c>
      <c r="BQ627" s="46">
        <v>15.31</v>
      </c>
      <c r="BR627" s="47">
        <f t="shared" si="188"/>
        <v>0.33210412147505425</v>
      </c>
      <c r="BS627" s="766" t="s">
        <v>1149</v>
      </c>
      <c r="BT627" s="1019"/>
      <c r="BU627" s="1019"/>
      <c r="BV627" s="1019"/>
      <c r="BW627" s="1019"/>
      <c r="BX627" s="1027"/>
      <c r="BY627" s="1019"/>
      <c r="BZ627" s="1027"/>
      <c r="CA627" s="1019"/>
      <c r="CB627" s="1019"/>
      <c r="CC627" s="1019"/>
      <c r="CD627" s="1019"/>
      <c r="CE627" s="1019"/>
      <c r="CF627" s="1796"/>
      <c r="CG627" s="1797"/>
      <c r="CH627" s="1019"/>
      <c r="CI627" s="1019"/>
      <c r="CJ627" s="1019"/>
      <c r="CK627" s="1019"/>
      <c r="CL627" s="1019"/>
      <c r="CM627" s="1019"/>
      <c r="CN627" s="1019"/>
      <c r="CO627" s="1019"/>
      <c r="CP627" s="1019"/>
      <c r="CQ627" s="1019"/>
      <c r="CR627" s="1027"/>
      <c r="CS627" s="1019"/>
      <c r="CT627" s="1019"/>
      <c r="CU627" s="1798"/>
      <c r="CV627" s="1019"/>
      <c r="CW627" s="1019"/>
      <c r="CX627" s="1019"/>
      <c r="CY627" s="1019"/>
      <c r="CZ627" s="1019"/>
      <c r="DA627" s="1799"/>
      <c r="DB627" s="1019"/>
      <c r="DC627" s="1019"/>
      <c r="DD627" s="1019"/>
      <c r="DE627" s="1800"/>
      <c r="DF627" s="1019"/>
      <c r="DG627" s="1019"/>
      <c r="DH627" s="1019"/>
      <c r="DI627" s="1019"/>
      <c r="DJ627" s="1019"/>
      <c r="DK627" s="1019"/>
      <c r="DL627" s="1019"/>
      <c r="DM627" s="1019"/>
      <c r="DN627" s="1801"/>
      <c r="DO627" s="1019"/>
      <c r="DP627" s="1019"/>
      <c r="DQ627" s="1019"/>
      <c r="DR627" s="1019"/>
      <c r="DS627" s="1802"/>
      <c r="DT627" s="1716"/>
      <c r="DU627" s="1019"/>
      <c r="DV627" s="1019"/>
      <c r="DW627" s="1799"/>
      <c r="DX627" s="1799"/>
      <c r="DY627" s="1019"/>
      <c r="DZ627" s="1019"/>
      <c r="EA627" s="1019"/>
      <c r="EB627" s="1019"/>
      <c r="EC627" s="1019"/>
      <c r="ED627" s="1019"/>
      <c r="EE627" s="1019"/>
      <c r="EF627" s="1019"/>
      <c r="EG627" s="1019"/>
      <c r="EH627" s="1019"/>
      <c r="EI627" s="1019"/>
      <c r="EJ627" s="1019"/>
      <c r="EK627" s="1019"/>
      <c r="EL627" s="1019"/>
      <c r="EM627" s="1019"/>
      <c r="EN627" s="1019"/>
      <c r="EO627" s="1019"/>
      <c r="EP627" s="1714"/>
      <c r="EQ627" s="1019"/>
      <c r="ER627" s="1019"/>
      <c r="ES627" s="1019"/>
      <c r="ET627" s="1019"/>
      <c r="EU627" s="1019"/>
      <c r="EV627" s="1019"/>
      <c r="EW627" s="1019"/>
      <c r="EX627" s="1019"/>
      <c r="EY627" s="1019"/>
      <c r="EZ627" s="1019"/>
      <c r="FA627" s="1019"/>
      <c r="FB627" s="1019"/>
      <c r="FC627" s="1019"/>
      <c r="FD627" s="1027"/>
      <c r="FE627" s="1019"/>
      <c r="FF627" s="1019"/>
      <c r="FG627" s="1019"/>
      <c r="FH627" s="1019" t="s">
        <v>1306</v>
      </c>
      <c r="FI627" s="1019"/>
      <c r="FJ627" s="1019" t="s">
        <v>11514</v>
      </c>
      <c r="FK627" s="1019" t="s">
        <v>11506</v>
      </c>
      <c r="FL627" s="1019"/>
      <c r="FM627" s="1034">
        <v>4000</v>
      </c>
      <c r="FN627" s="1027">
        <v>500</v>
      </c>
      <c r="FO627" s="1027">
        <v>3500</v>
      </c>
      <c r="FP627" s="766" t="s">
        <v>1602</v>
      </c>
      <c r="FQ627" s="766" t="s">
        <v>1660</v>
      </c>
      <c r="FR627" s="1019" t="s">
        <v>1214</v>
      </c>
      <c r="FS627" s="1019"/>
      <c r="FT627" s="1019"/>
      <c r="FU627" s="1019"/>
      <c r="FV627" s="1019"/>
      <c r="FW627" s="1019"/>
      <c r="FX627" s="1019"/>
      <c r="FY627" s="1019"/>
      <c r="FZ627" s="1019"/>
      <c r="GA627" s="1019"/>
      <c r="GB627" s="1019"/>
      <c r="GC627" s="1717"/>
      <c r="GD627" s="1718"/>
      <c r="GE627" s="1019"/>
      <c r="GF627" s="1027"/>
      <c r="GG627" s="1027"/>
      <c r="GH627" s="1811" t="s">
        <v>1791</v>
      </c>
      <c r="GI627" s="1019" t="s">
        <v>2407</v>
      </c>
      <c r="GJ627" s="1019" t="s">
        <v>11515</v>
      </c>
      <c r="GK627" s="1019" t="s">
        <v>2407</v>
      </c>
      <c r="GL627" s="1019"/>
      <c r="GM627" s="1019"/>
      <c r="GN627" s="1804"/>
      <c r="GO627" s="1019"/>
      <c r="GP627" s="1019"/>
      <c r="GQ627" s="1019"/>
      <c r="GR627" s="1019"/>
      <c r="GS627" s="1019"/>
      <c r="GT627" s="1019"/>
      <c r="GU627" s="1019"/>
      <c r="GV627" s="1019"/>
      <c r="GW627" s="1019"/>
      <c r="GX627" s="1019"/>
      <c r="GY627" s="1019"/>
      <c r="GZ627" s="1019"/>
      <c r="HA627" s="1019"/>
      <c r="HB627" s="1019"/>
      <c r="HC627" s="1019"/>
      <c r="HD627" s="1019"/>
      <c r="HE627" s="1019"/>
      <c r="HF627" s="1019"/>
      <c r="HG627" s="1019"/>
      <c r="HH627" s="1019"/>
      <c r="HI627" s="1019" t="s">
        <v>1214</v>
      </c>
      <c r="HJ627" s="1019"/>
      <c r="HK627" s="1019"/>
      <c r="HL627" s="1019"/>
      <c r="HM627" s="1019"/>
      <c r="HN627" s="1019"/>
      <c r="HO627" s="1019"/>
      <c r="HP627" s="1019"/>
      <c r="HQ627" s="1019"/>
      <c r="HR627" s="1019"/>
      <c r="HS627" s="1019"/>
      <c r="HT627" s="1019"/>
      <c r="HU627" s="1019"/>
      <c r="HV627" s="1019"/>
      <c r="HW627" s="1019"/>
      <c r="HX627" s="1019"/>
      <c r="HY627" s="1019"/>
      <c r="HZ627" s="1019"/>
      <c r="IA627" s="1019"/>
      <c r="IB627" s="14" t="e">
        <f>IF(#REF!&gt;0,IF(#REF!&lt;=10000,"Y",""),"")</f>
        <v>#REF!</v>
      </c>
      <c r="IC627" s="1019"/>
      <c r="ID627" s="1019"/>
      <c r="IE627" s="1019"/>
      <c r="IF627" s="1019"/>
      <c r="IG627" s="1019"/>
      <c r="IH627" s="1019"/>
      <c r="II627" s="1019"/>
      <c r="IJ627" s="1019"/>
      <c r="IK627" s="1019"/>
      <c r="IL627" s="1019"/>
      <c r="IM627" s="1019"/>
      <c r="IN627" s="1019"/>
      <c r="IO627" s="1805"/>
      <c r="IP627" s="1019"/>
      <c r="IQ627" s="1716"/>
      <c r="IR627" s="1019"/>
      <c r="IS627" s="1019"/>
      <c r="IT627" s="1019"/>
      <c r="IU627" s="1019"/>
      <c r="IV627" s="1019"/>
      <c r="IW627" s="1019"/>
      <c r="IX627" s="1019"/>
      <c r="IY627" s="1812"/>
      <c r="IZ627" s="1019"/>
      <c r="JA627" s="1019"/>
      <c r="JB627" s="1019"/>
      <c r="JC627" s="1019"/>
      <c r="JD627" s="1027"/>
      <c r="JE627" s="1019"/>
      <c r="JF627" s="1019"/>
      <c r="JG627" s="1019"/>
      <c r="JH627" s="1802"/>
      <c r="JI627" s="1802"/>
      <c r="JJ627" s="1698">
        <v>6</v>
      </c>
      <c r="JK627" s="1047" t="s">
        <v>10333</v>
      </c>
      <c r="JL627" s="1019"/>
      <c r="JM627" s="1019">
        <v>2</v>
      </c>
      <c r="JN627" s="1019">
        <v>2</v>
      </c>
      <c r="JO627" s="1019">
        <v>2</v>
      </c>
      <c r="JP627" s="1019"/>
      <c r="JQ627" s="1019"/>
      <c r="JR627" s="1019"/>
      <c r="JS627" s="1019"/>
      <c r="JT627" s="766">
        <f t="shared" si="189"/>
        <v>2</v>
      </c>
      <c r="JU627" s="766">
        <f t="shared" si="189"/>
        <v>4</v>
      </c>
      <c r="JV627" s="712" t="str">
        <f t="shared" si="190"/>
        <v>ok</v>
      </c>
      <c r="JW627" s="712" t="str">
        <f t="shared" si="191"/>
        <v>ok</v>
      </c>
      <c r="JX627" s="1019"/>
      <c r="JY627" s="1019">
        <v>2</v>
      </c>
      <c r="JZ627" s="1019"/>
      <c r="KA627" s="1019"/>
      <c r="KB627" s="1019">
        <v>2</v>
      </c>
      <c r="KC627" s="1019">
        <v>2</v>
      </c>
      <c r="KD627" s="1019"/>
      <c r="KE627" s="1019"/>
      <c r="KF627" s="1019"/>
      <c r="KG627" s="1019"/>
      <c r="KH627" s="1019"/>
      <c r="KI627" s="1019"/>
      <c r="KJ627" s="770">
        <f t="shared" si="168"/>
        <v>2</v>
      </c>
      <c r="KK627" s="770">
        <f t="shared" si="168"/>
        <v>4</v>
      </c>
      <c r="KL627" s="712" t="str">
        <f t="shared" si="192"/>
        <v>ok</v>
      </c>
      <c r="KM627" s="712" t="str">
        <f t="shared" si="193"/>
        <v>ok</v>
      </c>
      <c r="KN627" s="1019" t="s">
        <v>722</v>
      </c>
      <c r="KO627" s="1019"/>
      <c r="KP627" s="1019"/>
      <c r="KQ627" s="1019"/>
      <c r="KR627" s="1019"/>
      <c r="KS627" s="1019"/>
      <c r="KT627" s="1019"/>
      <c r="KU627" s="1019"/>
      <c r="KV627" s="1019"/>
      <c r="KW627" s="1019"/>
      <c r="KX627" s="1019"/>
      <c r="KY627" s="1019"/>
      <c r="KZ627" s="1019"/>
      <c r="LA627" s="1019"/>
      <c r="LB627" s="1019"/>
      <c r="LC627" s="1019"/>
      <c r="LD627" s="1019"/>
      <c r="LE627" s="1019"/>
      <c r="LF627" s="1019"/>
      <c r="LG627" s="1019"/>
      <c r="LH627" s="1019">
        <v>2</v>
      </c>
      <c r="LI627" s="1019">
        <v>2</v>
      </c>
      <c r="LJ627" s="1019"/>
      <c r="LK627" s="1019">
        <v>2</v>
      </c>
      <c r="LL627" s="1019"/>
      <c r="LM627" s="1019"/>
      <c r="LN627" s="766">
        <f t="shared" si="194"/>
        <v>2</v>
      </c>
      <c r="LO627" s="766">
        <f t="shared" si="194"/>
        <v>4</v>
      </c>
      <c r="LP627" s="1019">
        <v>2</v>
      </c>
      <c r="LQ627" s="1019">
        <v>2</v>
      </c>
      <c r="LR627" s="1019"/>
      <c r="LS627" s="1019"/>
      <c r="LT627" s="712" t="str">
        <f t="shared" si="195"/>
        <v>OK</v>
      </c>
      <c r="LU627" s="1019">
        <v>1</v>
      </c>
      <c r="LV627" s="1019"/>
      <c r="LW627" s="1019">
        <v>1</v>
      </c>
      <c r="LX627" s="1693">
        <v>3</v>
      </c>
      <c r="LY627" s="766" t="str">
        <f t="shared" si="187"/>
        <v>within the PROVINCE</v>
      </c>
      <c r="LZ627" s="1807">
        <f>3000+3000</f>
        <v>6000</v>
      </c>
      <c r="MA627" s="1807"/>
      <c r="MB627" s="1807"/>
      <c r="MC627" s="1679">
        <f t="shared" si="185"/>
        <v>6000</v>
      </c>
      <c r="MD627" s="1807">
        <f>10000+5000</f>
        <v>15000</v>
      </c>
      <c r="ME627" s="1807"/>
      <c r="MF627" s="1807"/>
      <c r="MG627" s="1680">
        <f t="shared" si="196"/>
        <v>15000</v>
      </c>
      <c r="MH627" s="1019" t="s">
        <v>10334</v>
      </c>
      <c r="MI627" s="64">
        <v>4000</v>
      </c>
      <c r="MJ627" s="1027">
        <v>6000</v>
      </c>
      <c r="MK627" s="1027">
        <v>1000</v>
      </c>
      <c r="ML627" s="1027">
        <v>300</v>
      </c>
      <c r="MM627" s="1027"/>
      <c r="MN627" s="1027">
        <v>4000</v>
      </c>
      <c r="MO627" s="1027">
        <v>1000</v>
      </c>
      <c r="MP627" s="1027">
        <v>3500</v>
      </c>
      <c r="MQ627" s="1027">
        <v>600</v>
      </c>
      <c r="MR627" s="1027">
        <v>500</v>
      </c>
      <c r="MS627" s="1027"/>
      <c r="MT627" s="1027"/>
      <c r="MU627" s="1027"/>
      <c r="MV627" s="1027"/>
      <c r="MW627" s="1027"/>
      <c r="MX627" s="1027"/>
      <c r="MY627" s="1682">
        <f t="shared" si="165"/>
        <v>20900</v>
      </c>
      <c r="MZ627" s="1019" t="s">
        <v>13370</v>
      </c>
      <c r="NA627" s="1019" t="s">
        <v>13005</v>
      </c>
      <c r="NB627" s="1019" t="s">
        <v>13016</v>
      </c>
      <c r="NC627" s="1019" t="s">
        <v>13135</v>
      </c>
      <c r="ND627" s="1019">
        <v>0</v>
      </c>
      <c r="NE627" s="1019">
        <v>0</v>
      </c>
      <c r="NF627" s="1019">
        <v>1</v>
      </c>
      <c r="NG627" s="1019">
        <v>2</v>
      </c>
      <c r="NH627" s="1019">
        <v>1</v>
      </c>
      <c r="NI627" s="1019">
        <v>1</v>
      </c>
      <c r="NJ627" s="1019">
        <v>0</v>
      </c>
      <c r="NK627" s="1019">
        <v>0</v>
      </c>
      <c r="NL627" s="1019">
        <v>1</v>
      </c>
      <c r="NM627" s="1019">
        <v>0</v>
      </c>
      <c r="NN627" s="1019">
        <v>0</v>
      </c>
      <c r="NO627" s="1019">
        <v>0</v>
      </c>
      <c r="NP627" s="1019">
        <v>0</v>
      </c>
      <c r="NQ627" s="1019">
        <v>0</v>
      </c>
      <c r="NR627" s="1019">
        <v>0</v>
      </c>
      <c r="NS627" s="1019">
        <v>0</v>
      </c>
      <c r="NT627" s="1019">
        <v>0</v>
      </c>
      <c r="NU627" s="1019">
        <v>0</v>
      </c>
      <c r="NV627" s="1019">
        <v>0</v>
      </c>
      <c r="NW627" s="1019">
        <v>0</v>
      </c>
      <c r="NX627" s="1019">
        <v>0</v>
      </c>
      <c r="NY627" s="1019"/>
      <c r="NZ627" s="1019"/>
      <c r="OA627" s="1019" t="s">
        <v>1208</v>
      </c>
      <c r="OB627" s="1019"/>
      <c r="OC627" s="1019"/>
      <c r="OD627" s="1019"/>
      <c r="OE627" s="1019"/>
      <c r="OF627" s="1019"/>
      <c r="OG627" s="1019"/>
      <c r="OH627" s="1019"/>
      <c r="OI627" s="1019"/>
      <c r="OJ627" s="1019"/>
      <c r="OK627" s="1019"/>
      <c r="OL627" s="1019"/>
      <c r="OM627" s="1019"/>
      <c r="ON627" s="1019"/>
      <c r="OO627" s="1019"/>
      <c r="OP627" s="1019"/>
      <c r="OQ627" s="1019"/>
      <c r="OR627" s="1019"/>
      <c r="OS627" s="1019"/>
      <c r="OT627" s="1019"/>
      <c r="OU627" s="1019"/>
      <c r="OV627" s="1019"/>
      <c r="OW627" s="1019"/>
      <c r="OX627" s="1019"/>
      <c r="OY627" s="1019"/>
      <c r="OZ627" s="1019"/>
      <c r="PA627" s="1019"/>
      <c r="PB627" s="1019"/>
      <c r="PC627" s="1019"/>
      <c r="PD627" s="1019"/>
      <c r="PE627" s="1019"/>
      <c r="PF627" s="1019"/>
      <c r="PG627" s="1019"/>
      <c r="PH627" s="1019"/>
      <c r="PI627" s="1019"/>
      <c r="PJ627" s="1019"/>
      <c r="PK627" s="1019"/>
      <c r="PL627" s="1019"/>
      <c r="PM627" s="1019"/>
      <c r="PN627" s="1019"/>
      <c r="PO627" s="1019"/>
      <c r="PP627" s="1019"/>
      <c r="PQ627" s="1019"/>
      <c r="PR627" s="1019"/>
      <c r="PS627" s="1019"/>
      <c r="PT627" s="1019"/>
      <c r="PU627" s="1019"/>
      <c r="PV627" s="1019"/>
      <c r="PW627" s="1019"/>
      <c r="PX627" s="1019"/>
      <c r="PY627" s="1019"/>
      <c r="PZ627" s="1019"/>
      <c r="QA627" s="1019"/>
      <c r="QB627" s="1019"/>
      <c r="QC627" s="1019"/>
      <c r="QD627" s="1019"/>
      <c r="QE627" s="1019"/>
      <c r="QF627" s="1019"/>
      <c r="QG627" s="1019"/>
      <c r="QH627" s="1019"/>
      <c r="QI627" s="1019"/>
      <c r="QJ627" s="1019"/>
      <c r="QK627" s="1019"/>
      <c r="QL627" s="1019"/>
      <c r="QM627" s="1019"/>
      <c r="QN627" s="1019"/>
      <c r="QO627" s="1019"/>
      <c r="QP627" s="1019"/>
      <c r="QQ627" s="1019"/>
      <c r="QR627" s="1019"/>
      <c r="QS627" s="1019"/>
      <c r="QT627" s="1019"/>
      <c r="QU627" s="1019"/>
      <c r="QV627" s="1019"/>
      <c r="QW627" s="1019"/>
      <c r="QX627" s="1019"/>
      <c r="QY627" s="1019"/>
      <c r="QZ627" s="1019"/>
      <c r="RA627" s="1019"/>
      <c r="RB627" s="1019" t="s">
        <v>1207</v>
      </c>
      <c r="RC627" s="1019">
        <v>2016</v>
      </c>
      <c r="RD627" s="1019" t="s">
        <v>13046</v>
      </c>
      <c r="RE627" s="1019" t="s">
        <v>13008</v>
      </c>
      <c r="RF627" s="1794">
        <v>0.2</v>
      </c>
      <c r="RG627" s="1019" t="s">
        <v>13047</v>
      </c>
      <c r="RH627" s="1027"/>
      <c r="RI627" s="1019">
        <v>24</v>
      </c>
      <c r="RJ627" s="1019" t="s">
        <v>13830</v>
      </c>
      <c r="RK627" s="1019" t="s">
        <v>13010</v>
      </c>
      <c r="RL627" s="1810">
        <v>42895</v>
      </c>
      <c r="RM627" s="1714"/>
      <c r="RN627" s="1724"/>
      <c r="RO627" s="514" t="s">
        <v>10331</v>
      </c>
      <c r="RR627" s="19" t="s">
        <v>7421</v>
      </c>
      <c r="RS627" s="1139" t="s">
        <v>12980</v>
      </c>
      <c r="RV627" s="93" t="s">
        <v>7421</v>
      </c>
      <c r="RW627" s="35" t="s">
        <v>11491</v>
      </c>
      <c r="RX627" s="35" t="s">
        <v>10320</v>
      </c>
      <c r="SA627" s="93"/>
    </row>
    <row r="628" spans="1:495" s="35" customFormat="1" ht="12.75" customHeight="1">
      <c r="A628" s="19" t="s">
        <v>12356</v>
      </c>
      <c r="B628" s="1080" t="s">
        <v>11516</v>
      </c>
      <c r="C628" s="514" t="s">
        <v>11517</v>
      </c>
      <c r="D628" s="1714" t="s">
        <v>4133</v>
      </c>
      <c r="E628" s="1019" t="s">
        <v>11518</v>
      </c>
      <c r="F628" s="1019" t="s">
        <v>1263</v>
      </c>
      <c r="G628" s="1019" t="s">
        <v>10</v>
      </c>
      <c r="H628" s="1019"/>
      <c r="I628" s="1812" t="s">
        <v>4145</v>
      </c>
      <c r="J628" s="1714" t="s">
        <v>11519</v>
      </c>
      <c r="K628" s="6" t="s">
        <v>11520</v>
      </c>
      <c r="L628" s="6" t="s">
        <v>11485</v>
      </c>
      <c r="M628" s="1019" t="s">
        <v>2402</v>
      </c>
      <c r="N628" s="1019" t="s">
        <v>11456</v>
      </c>
      <c r="O628" s="1019" t="s">
        <v>11438</v>
      </c>
      <c r="P628" s="1714"/>
      <c r="Q628" s="1831"/>
      <c r="R628" s="1718"/>
      <c r="S628" s="1019"/>
      <c r="T628" s="1019"/>
      <c r="U628" s="1825"/>
      <c r="V628" s="1019"/>
      <c r="W628" s="1825"/>
      <c r="X628" s="1805"/>
      <c r="Y628" s="1019"/>
      <c r="Z628" s="1019"/>
      <c r="AA628" s="1019"/>
      <c r="AB628" s="1019"/>
      <c r="AC628" s="1019"/>
      <c r="AD628" s="1019"/>
      <c r="AE628" s="1019"/>
      <c r="AF628" s="1019"/>
      <c r="AG628" s="1019" t="s">
        <v>1132</v>
      </c>
      <c r="AH628" s="766" t="s">
        <v>1096</v>
      </c>
      <c r="AI628" s="1019"/>
      <c r="AJ628" s="1019" t="s">
        <v>1137</v>
      </c>
      <c r="AK628" s="1019" t="s">
        <v>1101</v>
      </c>
      <c r="AL628" s="1770">
        <v>58.997</v>
      </c>
      <c r="AM628" s="1108">
        <v>4.1760000000000002</v>
      </c>
      <c r="AN628" s="1078">
        <f t="shared" si="186"/>
        <v>7.0783260165771147E-2</v>
      </c>
      <c r="AO628" s="6" t="s">
        <v>1098</v>
      </c>
      <c r="AP628" s="6"/>
      <c r="AQ628" s="6"/>
      <c r="AR628" s="6"/>
      <c r="AS628" s="1019"/>
      <c r="AT628" s="1019"/>
      <c r="AU628" s="1019"/>
      <c r="AV628" s="1019"/>
      <c r="AW628" s="1019"/>
      <c r="AX628" s="1019"/>
      <c r="AY628" s="1019"/>
      <c r="AZ628" s="1019"/>
      <c r="BA628" s="1019"/>
      <c r="BB628" s="1019"/>
      <c r="BC628" s="1019"/>
      <c r="BD628" s="1019"/>
      <c r="BE628" s="1019"/>
      <c r="BF628" s="1027"/>
      <c r="BG628" s="1027"/>
      <c r="BH628" s="1019"/>
      <c r="BI628" s="1019"/>
      <c r="BJ628" s="1019"/>
      <c r="BK628" s="1019" t="s">
        <v>1095</v>
      </c>
      <c r="BL628" s="1019" t="s">
        <v>11521</v>
      </c>
      <c r="BM628" s="1019" t="s">
        <v>1096</v>
      </c>
      <c r="BN628" s="1019" t="s">
        <v>1230</v>
      </c>
      <c r="BO628" s="1019" t="s">
        <v>11487</v>
      </c>
      <c r="BP628" s="1116">
        <v>58.997</v>
      </c>
      <c r="BQ628" s="46">
        <v>4.1760000000000002</v>
      </c>
      <c r="BR628" s="47">
        <f t="shared" si="188"/>
        <v>7.0783260165771147E-2</v>
      </c>
      <c r="BS628" s="766" t="s">
        <v>1242</v>
      </c>
      <c r="BT628" s="1019" t="s">
        <v>1240</v>
      </c>
      <c r="BU628" s="1019" t="s">
        <v>1241</v>
      </c>
      <c r="BV628" s="1019" t="s">
        <v>1262</v>
      </c>
      <c r="BW628" s="1019">
        <v>2013</v>
      </c>
      <c r="BX628" s="1027">
        <v>1400000</v>
      </c>
      <c r="BY628" s="1019" t="s">
        <v>1207</v>
      </c>
      <c r="BZ628" s="1027">
        <v>65000</v>
      </c>
      <c r="CA628" s="1019"/>
      <c r="CB628" s="1019" t="s">
        <v>1207</v>
      </c>
      <c r="CC628" s="1019" t="s">
        <v>11522</v>
      </c>
      <c r="CD628" s="1019"/>
      <c r="CE628" s="1019"/>
      <c r="CF628" s="1796"/>
      <c r="CG628" s="1797"/>
      <c r="CH628" s="1019"/>
      <c r="CI628" s="1019"/>
      <c r="CJ628" s="1019" t="s">
        <v>5088</v>
      </c>
      <c r="CK628" s="1019"/>
      <c r="CL628" s="1019"/>
      <c r="CM628" s="1019"/>
      <c r="CN628" s="1019"/>
      <c r="CO628" s="1019" t="s">
        <v>1257</v>
      </c>
      <c r="CP628" s="1019"/>
      <c r="CQ628" s="1019"/>
      <c r="CR628" s="1027"/>
      <c r="CS628" s="1019"/>
      <c r="CT628" s="1019"/>
      <c r="CU628" s="1798"/>
      <c r="CV628" s="1019"/>
      <c r="CW628" s="1019"/>
      <c r="CX628" s="1019"/>
      <c r="CY628" s="1019"/>
      <c r="CZ628" s="1019"/>
      <c r="DA628" s="1799"/>
      <c r="DB628" s="1019"/>
      <c r="DC628" s="1019"/>
      <c r="DD628" s="1019"/>
      <c r="DE628" s="1800"/>
      <c r="DF628" s="1019"/>
      <c r="DG628" s="1019"/>
      <c r="DH628" s="1019"/>
      <c r="DI628" s="1019"/>
      <c r="DJ628" s="1019"/>
      <c r="DK628" s="1019"/>
      <c r="DL628" s="1019"/>
      <c r="DM628" s="1019"/>
      <c r="DN628" s="1801"/>
      <c r="DO628" s="1019"/>
      <c r="DP628" s="1019"/>
      <c r="DQ628" s="1019"/>
      <c r="DR628" s="1019"/>
      <c r="DS628" s="1802"/>
      <c r="DT628" s="1716"/>
      <c r="DU628" s="1019"/>
      <c r="DV628" s="1019"/>
      <c r="DW628" s="1799"/>
      <c r="DX628" s="1799"/>
      <c r="DY628" s="1019"/>
      <c r="DZ628" s="1019"/>
      <c r="EA628" s="1019"/>
      <c r="EB628" s="1019"/>
      <c r="EC628" s="1019"/>
      <c r="ED628" s="1019"/>
      <c r="EE628" s="1019"/>
      <c r="EF628" s="1019"/>
      <c r="EG628" s="1019"/>
      <c r="EH628" s="1019"/>
      <c r="EI628" s="1019"/>
      <c r="EJ628" s="1019"/>
      <c r="EK628" s="1019"/>
      <c r="EL628" s="1019"/>
      <c r="EM628" s="1019"/>
      <c r="EN628" s="1019"/>
      <c r="EO628" s="1019"/>
      <c r="EP628" s="1714"/>
      <c r="EQ628" s="1019"/>
      <c r="ER628" s="1019"/>
      <c r="ES628" s="1019"/>
      <c r="ET628" s="1019"/>
      <c r="EU628" s="1019"/>
      <c r="EV628" s="1019"/>
      <c r="EW628" s="1019"/>
      <c r="EX628" s="1019"/>
      <c r="EY628" s="1019"/>
      <c r="EZ628" s="1019"/>
      <c r="FA628" s="1019"/>
      <c r="FB628" s="1019"/>
      <c r="FC628" s="1019"/>
      <c r="FD628" s="1027"/>
      <c r="FE628" s="1019"/>
      <c r="FF628" s="1019"/>
      <c r="FG628" s="1019"/>
      <c r="FH628" s="1019" t="s">
        <v>1263</v>
      </c>
      <c r="FI628" s="1019">
        <v>1</v>
      </c>
      <c r="FJ628" s="1019" t="s">
        <v>11523</v>
      </c>
      <c r="FK628" s="1019" t="s">
        <v>11524</v>
      </c>
      <c r="FL628" s="1019" t="s">
        <v>11525</v>
      </c>
      <c r="FM628" s="1027"/>
      <c r="FN628" s="1027"/>
      <c r="FO628" s="1027"/>
      <c r="FP628" s="1019" t="s">
        <v>1600</v>
      </c>
      <c r="FQ628" s="1019" t="s">
        <v>1642</v>
      </c>
      <c r="FR628" s="1019" t="s">
        <v>1214</v>
      </c>
      <c r="FS628" s="1019"/>
      <c r="FT628" s="1019"/>
      <c r="FU628" s="1019"/>
      <c r="FV628" s="1019"/>
      <c r="FW628" s="1019"/>
      <c r="FX628" s="1019"/>
      <c r="FY628" s="1019"/>
      <c r="FZ628" s="1019"/>
      <c r="GA628" s="1019"/>
      <c r="GB628" s="1019" t="s">
        <v>1734</v>
      </c>
      <c r="GC628" s="1717"/>
      <c r="GD628" s="1718">
        <v>2013</v>
      </c>
      <c r="GE628" s="1019" t="s">
        <v>1214</v>
      </c>
      <c r="GF628" s="1027"/>
      <c r="GG628" s="1027"/>
      <c r="GH628" s="1019"/>
      <c r="GI628" s="1019"/>
      <c r="GJ628" s="1019"/>
      <c r="GK628" s="1019"/>
      <c r="GL628" s="1019"/>
      <c r="GM628" s="1019"/>
      <c r="GN628" s="1804"/>
      <c r="GO628" s="1019"/>
      <c r="GP628" s="1019"/>
      <c r="GQ628" s="1019"/>
      <c r="GR628" s="1019"/>
      <c r="GS628" s="1019"/>
      <c r="GT628" s="1019"/>
      <c r="GU628" s="1019"/>
      <c r="GV628" s="1019"/>
      <c r="GW628" s="1019"/>
      <c r="GX628" s="1019"/>
      <c r="GY628" s="1019"/>
      <c r="GZ628" s="1019"/>
      <c r="HA628" s="1019"/>
      <c r="HB628" s="1019"/>
      <c r="HC628" s="1019"/>
      <c r="HD628" s="1019"/>
      <c r="HE628" s="1019"/>
      <c r="HF628" s="1019"/>
      <c r="HG628" s="1019"/>
      <c r="HH628" s="1019"/>
      <c r="HI628" s="1019"/>
      <c r="HJ628" s="1019"/>
      <c r="HK628" s="1019"/>
      <c r="HL628" s="1019"/>
      <c r="HM628" s="1019"/>
      <c r="HN628" s="1019"/>
      <c r="HO628" s="1019"/>
      <c r="HP628" s="1019"/>
      <c r="HQ628" s="1019"/>
      <c r="HR628" s="1019"/>
      <c r="HS628" s="1019"/>
      <c r="HT628" s="1019"/>
      <c r="HU628" s="1019"/>
      <c r="HV628" s="1019"/>
      <c r="HW628" s="1019"/>
      <c r="HX628" s="1019"/>
      <c r="HY628" s="1019"/>
      <c r="HZ628" s="1019"/>
      <c r="IA628" s="1019"/>
      <c r="IB628" s="14" t="e">
        <f>IF(#REF!&gt;0,IF(#REF!&lt;=10000,"Y",""),"")</f>
        <v>#REF!</v>
      </c>
      <c r="IC628" s="1019"/>
      <c r="ID628" s="1019"/>
      <c r="IE628" s="1019"/>
      <c r="IF628" s="1019"/>
      <c r="IG628" s="1019"/>
      <c r="IH628" s="1019"/>
      <c r="II628" s="1019"/>
      <c r="IJ628" s="1019"/>
      <c r="IK628" s="1019"/>
      <c r="IL628" s="1019"/>
      <c r="IM628" s="1019"/>
      <c r="IN628" s="1019"/>
      <c r="IO628" s="1805"/>
      <c r="IP628" s="1019"/>
      <c r="IQ628" s="1716"/>
      <c r="IR628" s="1019"/>
      <c r="IS628" s="1019"/>
      <c r="IT628" s="1019"/>
      <c r="IU628" s="1019"/>
      <c r="IV628" s="1019"/>
      <c r="IW628" s="1019"/>
      <c r="IX628" s="1019"/>
      <c r="IY628" s="1812"/>
      <c r="IZ628" s="1019"/>
      <c r="JA628" s="1019"/>
      <c r="JB628" s="1019"/>
      <c r="JC628" s="1019"/>
      <c r="JD628" s="1027"/>
      <c r="JE628" s="1019"/>
      <c r="JF628" s="1019"/>
      <c r="JG628" s="1019"/>
      <c r="JH628" s="1802"/>
      <c r="JI628" s="1802"/>
      <c r="JJ628" s="1714"/>
      <c r="JK628" s="1047" t="s">
        <v>13831</v>
      </c>
      <c r="JL628" s="1019"/>
      <c r="JM628" s="1019"/>
      <c r="JN628" s="1019"/>
      <c r="JO628" s="1019"/>
      <c r="JP628" s="1019"/>
      <c r="JQ628" s="1019"/>
      <c r="JR628" s="1019"/>
      <c r="JS628" s="1019"/>
      <c r="JT628" s="766"/>
      <c r="JU628" s="766"/>
      <c r="JV628" s="712" t="str">
        <f t="shared" si="190"/>
        <v>ok</v>
      </c>
      <c r="JW628" s="712" t="str">
        <f t="shared" si="191"/>
        <v>ok</v>
      </c>
      <c r="JX628" s="1019"/>
      <c r="JY628" s="1019"/>
      <c r="JZ628" s="1019"/>
      <c r="KA628" s="1019"/>
      <c r="KB628" s="1019"/>
      <c r="KC628" s="1019"/>
      <c r="KD628" s="1019"/>
      <c r="KE628" s="1019"/>
      <c r="KF628" s="1019"/>
      <c r="KG628" s="1019"/>
      <c r="KH628" s="1019"/>
      <c r="KI628" s="1019"/>
      <c r="KJ628" s="770"/>
      <c r="KK628" s="770"/>
      <c r="KL628" s="712" t="str">
        <f t="shared" si="192"/>
        <v>ok</v>
      </c>
      <c r="KM628" s="712" t="str">
        <f t="shared" si="193"/>
        <v>ok</v>
      </c>
      <c r="KN628" s="1019"/>
      <c r="KO628" s="1019"/>
      <c r="KP628" s="1019"/>
      <c r="KQ628" s="1019"/>
      <c r="KR628" s="1019"/>
      <c r="KS628" s="1019"/>
      <c r="KT628" s="1019"/>
      <c r="KU628" s="1019"/>
      <c r="KV628" s="1019"/>
      <c r="KW628" s="1019"/>
      <c r="KX628" s="1019"/>
      <c r="KY628" s="1019"/>
      <c r="KZ628" s="1019"/>
      <c r="LA628" s="1019"/>
      <c r="LB628" s="1019"/>
      <c r="LC628" s="1019"/>
      <c r="LD628" s="1019"/>
      <c r="LE628" s="1019"/>
      <c r="LF628" s="1019"/>
      <c r="LG628" s="1019"/>
      <c r="LH628" s="1019"/>
      <c r="LI628" s="1019"/>
      <c r="LJ628" s="1019"/>
      <c r="LK628" s="1019"/>
      <c r="LL628" s="1019"/>
      <c r="LM628" s="1019"/>
      <c r="LN628" s="766"/>
      <c r="LO628" s="766"/>
      <c r="LP628" s="1019"/>
      <c r="LQ628" s="1019"/>
      <c r="LR628" s="1019"/>
      <c r="LS628" s="1019"/>
      <c r="LT628" s="712" t="str">
        <f t="shared" si="195"/>
        <v>OK</v>
      </c>
      <c r="LU628" s="1019"/>
      <c r="LV628" s="1019"/>
      <c r="LW628" s="1019"/>
      <c r="LX628" s="1693"/>
      <c r="LY628" s="766" t="str">
        <f t="shared" si="187"/>
        <v/>
      </c>
      <c r="LZ628" s="1807"/>
      <c r="MA628" s="1807"/>
      <c r="MB628" s="1807"/>
      <c r="MC628" s="1679">
        <f t="shared" si="185"/>
        <v>0</v>
      </c>
      <c r="MD628" s="1807"/>
      <c r="ME628" s="1807"/>
      <c r="MF628" s="1807"/>
      <c r="MG628" s="1680">
        <v>0</v>
      </c>
      <c r="MH628" s="1019"/>
      <c r="MI628" s="64"/>
      <c r="MJ628" s="1027"/>
      <c r="MK628" s="1027"/>
      <c r="ML628" s="1027"/>
      <c r="MM628" s="1027"/>
      <c r="MN628" s="1027"/>
      <c r="MO628" s="1027"/>
      <c r="MP628" s="1027"/>
      <c r="MQ628" s="1027"/>
      <c r="MR628" s="1027"/>
      <c r="MS628" s="1027"/>
      <c r="MT628" s="1027"/>
      <c r="MU628" s="1027"/>
      <c r="MV628" s="1027"/>
      <c r="MW628" s="1027"/>
      <c r="MX628" s="1027"/>
      <c r="MY628" s="1682"/>
      <c r="MZ628" s="1019"/>
      <c r="NA628" s="1019"/>
      <c r="NB628" s="1019"/>
      <c r="NC628" s="1019"/>
      <c r="ND628" s="1019"/>
      <c r="NE628" s="1019"/>
      <c r="NF628" s="1019"/>
      <c r="NG628" s="1019"/>
      <c r="NH628" s="1019"/>
      <c r="NI628" s="1019"/>
      <c r="NJ628" s="1019"/>
      <c r="NK628" s="1019"/>
      <c r="NL628" s="1019"/>
      <c r="NM628" s="1019"/>
      <c r="NN628" s="1019"/>
      <c r="NO628" s="1019"/>
      <c r="NP628" s="1019"/>
      <c r="NQ628" s="1019"/>
      <c r="NR628" s="1019"/>
      <c r="NS628" s="1019"/>
      <c r="NT628" s="1019"/>
      <c r="NU628" s="1019"/>
      <c r="NV628" s="1019"/>
      <c r="NW628" s="1019"/>
      <c r="NX628" s="1019"/>
      <c r="NY628" s="1019"/>
      <c r="NZ628" s="1019"/>
      <c r="OA628" s="1019"/>
      <c r="OB628" s="1019"/>
      <c r="OC628" s="1019"/>
      <c r="OD628" s="1019"/>
      <c r="OE628" s="1019"/>
      <c r="OF628" s="1019"/>
      <c r="OG628" s="1019"/>
      <c r="OH628" s="1019"/>
      <c r="OI628" s="1019"/>
      <c r="OJ628" s="1019"/>
      <c r="OK628" s="1019"/>
      <c r="OL628" s="1019"/>
      <c r="OM628" s="1019"/>
      <c r="ON628" s="1019"/>
      <c r="OO628" s="1019"/>
      <c r="OP628" s="1019"/>
      <c r="OQ628" s="1019"/>
      <c r="OR628" s="1019"/>
      <c r="OS628" s="1019"/>
      <c r="OT628" s="1019"/>
      <c r="OU628" s="1019"/>
      <c r="OV628" s="1019"/>
      <c r="OW628" s="1019"/>
      <c r="OX628" s="1019"/>
      <c r="OY628" s="1019"/>
      <c r="OZ628" s="1019"/>
      <c r="PA628" s="1019"/>
      <c r="PB628" s="1019"/>
      <c r="PC628" s="1019"/>
      <c r="PD628" s="1019"/>
      <c r="PE628" s="1019"/>
      <c r="PF628" s="1019"/>
      <c r="PG628" s="1019"/>
      <c r="PH628" s="1019"/>
      <c r="PI628" s="1019"/>
      <c r="PJ628" s="1019"/>
      <c r="PK628" s="1019"/>
      <c r="PL628" s="1019"/>
      <c r="PM628" s="1019"/>
      <c r="PN628" s="1019"/>
      <c r="PO628" s="1019"/>
      <c r="PP628" s="1019"/>
      <c r="PQ628" s="1019"/>
      <c r="PR628" s="1019"/>
      <c r="PS628" s="1019"/>
      <c r="PT628" s="1019"/>
      <c r="PU628" s="1019"/>
      <c r="PV628" s="1019"/>
      <c r="PW628" s="1019"/>
      <c r="PX628" s="1019"/>
      <c r="PY628" s="1019"/>
      <c r="PZ628" s="1019"/>
      <c r="QA628" s="1019"/>
      <c r="QB628" s="1019"/>
      <c r="QC628" s="1019"/>
      <c r="QD628" s="1019"/>
      <c r="QE628" s="1019"/>
      <c r="QF628" s="1019"/>
      <c r="QG628" s="1019"/>
      <c r="QH628" s="1019"/>
      <c r="QI628" s="1019"/>
      <c r="QJ628" s="1019"/>
      <c r="QK628" s="1019"/>
      <c r="QL628" s="1019"/>
      <c r="QM628" s="1019"/>
      <c r="QN628" s="1019"/>
      <c r="QO628" s="1019"/>
      <c r="QP628" s="1019"/>
      <c r="QQ628" s="1019"/>
      <c r="QR628" s="1019"/>
      <c r="QS628" s="1019"/>
      <c r="QT628" s="1019"/>
      <c r="QU628" s="1019"/>
      <c r="QV628" s="1019"/>
      <c r="QW628" s="1019"/>
      <c r="QX628" s="1019"/>
      <c r="QY628" s="1019"/>
      <c r="QZ628" s="1019"/>
      <c r="RA628" s="1019"/>
      <c r="RB628" s="1019"/>
      <c r="RC628" s="1019"/>
      <c r="RD628" s="1019"/>
      <c r="RE628" s="1019"/>
      <c r="RF628" s="1794"/>
      <c r="RG628" s="1019"/>
      <c r="RH628" s="1027"/>
      <c r="RI628" s="1019"/>
      <c r="RJ628" s="1019" t="s">
        <v>13832</v>
      </c>
      <c r="RK628" s="1019"/>
      <c r="RL628" s="1810"/>
      <c r="RM628" s="1714" t="s">
        <v>13814</v>
      </c>
      <c r="RN628" s="1724">
        <v>42895</v>
      </c>
      <c r="RO628" s="514" t="s">
        <v>11517</v>
      </c>
      <c r="RR628" s="19" t="s">
        <v>7421</v>
      </c>
      <c r="RS628" s="1139" t="s">
        <v>12980</v>
      </c>
      <c r="RV628" s="6" t="s">
        <v>12356</v>
      </c>
      <c r="RW628" s="35" t="s">
        <v>11500</v>
      </c>
      <c r="RX628" s="35" t="s">
        <v>10320</v>
      </c>
      <c r="SA628" s="6"/>
    </row>
    <row r="629" spans="1:495" s="35" customFormat="1" ht="12.75" customHeight="1">
      <c r="A629" s="19" t="s">
        <v>7421</v>
      </c>
      <c r="B629" s="1080" t="s">
        <v>10340</v>
      </c>
      <c r="C629" s="514" t="s">
        <v>10341</v>
      </c>
      <c r="D629" s="1714" t="s">
        <v>11526</v>
      </c>
      <c r="E629" s="1019" t="s">
        <v>11527</v>
      </c>
      <c r="F629" s="1019" t="s">
        <v>28</v>
      </c>
      <c r="G629" s="1019" t="s">
        <v>10</v>
      </c>
      <c r="H629" s="1019"/>
      <c r="I629" s="1812" t="s">
        <v>11528</v>
      </c>
      <c r="J629" s="1714" t="s">
        <v>11529</v>
      </c>
      <c r="K629" s="6" t="s">
        <v>11530</v>
      </c>
      <c r="L629" s="6" t="s">
        <v>11508</v>
      </c>
      <c r="M629" s="1019" t="s">
        <v>2402</v>
      </c>
      <c r="N629" s="1019" t="s">
        <v>11456</v>
      </c>
      <c r="O629" s="1019" t="s">
        <v>11438</v>
      </c>
      <c r="P629" s="1714" t="s">
        <v>11531</v>
      </c>
      <c r="Q629" s="1831">
        <v>17601</v>
      </c>
      <c r="R629" s="1718">
        <v>69</v>
      </c>
      <c r="S629" s="1019" t="s">
        <v>10</v>
      </c>
      <c r="T629" s="1019"/>
      <c r="U629" s="1825" t="s">
        <v>11532</v>
      </c>
      <c r="V629" s="1019" t="s">
        <v>707</v>
      </c>
      <c r="W629" s="1825" t="s">
        <v>11533</v>
      </c>
      <c r="X629" s="1805">
        <v>17318</v>
      </c>
      <c r="Y629" s="1019" t="s">
        <v>11527</v>
      </c>
      <c r="Z629" s="1019" t="s">
        <v>708</v>
      </c>
      <c r="AA629" s="1019" t="s">
        <v>709</v>
      </c>
      <c r="AB629" s="1019" t="s">
        <v>710</v>
      </c>
      <c r="AC629" s="1019" t="s">
        <v>991</v>
      </c>
      <c r="AD629" s="1019" t="s">
        <v>711</v>
      </c>
      <c r="AE629" s="1019"/>
      <c r="AF629" s="1019" t="s">
        <v>712</v>
      </c>
      <c r="AG629" s="1019" t="s">
        <v>1132</v>
      </c>
      <c r="AH629" s="766" t="s">
        <v>1096</v>
      </c>
      <c r="AI629" s="1019"/>
      <c r="AJ629" s="1019" t="s">
        <v>1137</v>
      </c>
      <c r="AK629" s="1019" t="s">
        <v>1101</v>
      </c>
      <c r="AL629" s="1770">
        <v>17.260000000000002</v>
      </c>
      <c r="AM629" s="1108">
        <v>2.5514999999999999</v>
      </c>
      <c r="AN629" s="1078">
        <f t="shared" si="186"/>
        <v>0.14782734646581691</v>
      </c>
      <c r="AO629" s="6" t="s">
        <v>1109</v>
      </c>
      <c r="AP629" s="6"/>
      <c r="AQ629" s="6"/>
      <c r="AR629" s="6"/>
      <c r="AS629" s="1019"/>
      <c r="AT629" s="1019"/>
      <c r="AU629" s="1019"/>
      <c r="AV629" s="1019"/>
      <c r="AW629" s="1019"/>
      <c r="AX629" s="1019"/>
      <c r="AY629" s="1019"/>
      <c r="AZ629" s="1019"/>
      <c r="BA629" s="1019"/>
      <c r="BB629" s="1019"/>
      <c r="BC629" s="1019"/>
      <c r="BD629" s="1019"/>
      <c r="BE629" s="1019"/>
      <c r="BF629" s="1027"/>
      <c r="BG629" s="1027"/>
      <c r="BH629" s="1019"/>
      <c r="BI629" s="1019"/>
      <c r="BJ629" s="1019"/>
      <c r="BK629" s="1019" t="s">
        <v>1095</v>
      </c>
      <c r="BL629" s="1019" t="s">
        <v>10342</v>
      </c>
      <c r="BM629" s="1019" t="s">
        <v>1096</v>
      </c>
      <c r="BN629" s="1019" t="s">
        <v>1230</v>
      </c>
      <c r="BO629" s="1019" t="s">
        <v>1252</v>
      </c>
      <c r="BP629" s="1116">
        <v>31.11</v>
      </c>
      <c r="BQ629" s="46">
        <v>4.74</v>
      </c>
      <c r="BR629" s="47">
        <f t="shared" si="188"/>
        <v>0.1523625843780135</v>
      </c>
      <c r="BS629" s="766" t="s">
        <v>1242</v>
      </c>
      <c r="BT629" s="1019" t="s">
        <v>1355</v>
      </c>
      <c r="BU629" s="1019" t="s">
        <v>1249</v>
      </c>
      <c r="BV629" s="1019" t="s">
        <v>1247</v>
      </c>
      <c r="BW629" s="1019">
        <v>1946</v>
      </c>
      <c r="BX629" s="1027"/>
      <c r="BY629" s="1019"/>
      <c r="BZ629" s="1027"/>
      <c r="CA629" s="1019"/>
      <c r="CB629" s="1019" t="s">
        <v>1207</v>
      </c>
      <c r="CC629" s="1019" t="s">
        <v>11534</v>
      </c>
      <c r="CD629" s="1019">
        <v>2014</v>
      </c>
      <c r="CE629" s="1019"/>
      <c r="CF629" s="1796">
        <v>1.2</v>
      </c>
      <c r="CG629" s="1797">
        <v>11.5</v>
      </c>
      <c r="CH629" s="1019" t="s">
        <v>11535</v>
      </c>
      <c r="CI629" s="1019"/>
      <c r="CJ629" s="1019" t="s">
        <v>11428</v>
      </c>
      <c r="CK629" s="1019">
        <v>6</v>
      </c>
      <c r="CL629" s="1019" t="s">
        <v>1249</v>
      </c>
      <c r="CM629" s="1019" t="s">
        <v>3378</v>
      </c>
      <c r="CN629" s="1019"/>
      <c r="CO629" s="1019" t="s">
        <v>1257</v>
      </c>
      <c r="CP629" s="1019"/>
      <c r="CQ629" s="1019"/>
      <c r="CR629" s="1027"/>
      <c r="CS629" s="1019"/>
      <c r="CT629" s="1019"/>
      <c r="CU629" s="1798"/>
      <c r="CV629" s="1019"/>
      <c r="CW629" s="1019"/>
      <c r="CX629" s="1019"/>
      <c r="CY629" s="1019"/>
      <c r="CZ629" s="1019"/>
      <c r="DA629" s="1799"/>
      <c r="DB629" s="1019"/>
      <c r="DC629" s="1019"/>
      <c r="DD629" s="1019"/>
      <c r="DE629" s="1800"/>
      <c r="DF629" s="1019"/>
      <c r="DG629" s="1019"/>
      <c r="DH629" s="1019"/>
      <c r="DI629" s="1019"/>
      <c r="DJ629" s="1019"/>
      <c r="DK629" s="1019"/>
      <c r="DL629" s="1019"/>
      <c r="DM629" s="1019"/>
      <c r="DN629" s="1801"/>
      <c r="DO629" s="1019"/>
      <c r="DP629" s="1019"/>
      <c r="DQ629" s="1019"/>
      <c r="DR629" s="1019"/>
      <c r="DS629" s="1802"/>
      <c r="DT629" s="1716"/>
      <c r="DU629" s="1019"/>
      <c r="DV629" s="1019"/>
      <c r="DW629" s="1799"/>
      <c r="DX629" s="1799"/>
      <c r="DY629" s="1019"/>
      <c r="DZ629" s="1019"/>
      <c r="EA629" s="1019"/>
      <c r="EB629" s="1019"/>
      <c r="EC629" s="1019"/>
      <c r="ED629" s="1019"/>
      <c r="EE629" s="1019"/>
      <c r="EF629" s="1019"/>
      <c r="EG629" s="1019"/>
      <c r="EH629" s="1019"/>
      <c r="EI629" s="1019"/>
      <c r="EJ629" s="1019"/>
      <c r="EK629" s="1019"/>
      <c r="EL629" s="1019"/>
      <c r="EM629" s="1019"/>
      <c r="EN629" s="1019"/>
      <c r="EO629" s="1019"/>
      <c r="EP629" s="1714"/>
      <c r="EQ629" s="1019"/>
      <c r="ER629" s="1019"/>
      <c r="ES629" s="1019"/>
      <c r="ET629" s="1019"/>
      <c r="EU629" s="1019"/>
      <c r="EV629" s="1019"/>
      <c r="EW629" s="1019"/>
      <c r="EX629" s="1019"/>
      <c r="EY629" s="1019"/>
      <c r="EZ629" s="1019" t="s">
        <v>10342</v>
      </c>
      <c r="FA629" s="1019" t="s">
        <v>4153</v>
      </c>
      <c r="FB629" s="1019" t="s">
        <v>1257</v>
      </c>
      <c r="FC629" s="1019"/>
      <c r="FD629" s="1027"/>
      <c r="FE629" s="1019"/>
      <c r="FF629" s="1019"/>
      <c r="FG629" s="1019"/>
      <c r="FH629" s="1019" t="s">
        <v>478</v>
      </c>
      <c r="FI629" s="1019">
        <v>2</v>
      </c>
      <c r="FJ629" s="1019"/>
      <c r="FK629" s="1019"/>
      <c r="FL629" s="1019"/>
      <c r="FM629" s="1027"/>
      <c r="FN629" s="1027"/>
      <c r="FO629" s="1027"/>
      <c r="FP629" s="1019" t="s">
        <v>1600</v>
      </c>
      <c r="FQ629" s="1019" t="s">
        <v>3940</v>
      </c>
      <c r="FR629" s="1019" t="s">
        <v>1214</v>
      </c>
      <c r="FS629" s="1019"/>
      <c r="FT629" s="1019"/>
      <c r="FU629" s="1019"/>
      <c r="FV629" s="1019"/>
      <c r="FW629" s="1019"/>
      <c r="FX629" s="1019"/>
      <c r="FY629" s="1019"/>
      <c r="FZ629" s="1019"/>
      <c r="GA629" s="1019"/>
      <c r="GB629" s="1019"/>
      <c r="GC629" s="1717"/>
      <c r="GD629" s="1718"/>
      <c r="GE629" s="1019"/>
      <c r="GF629" s="1027"/>
      <c r="GG629" s="1027"/>
      <c r="GH629" s="1019"/>
      <c r="GI629" s="1019"/>
      <c r="GJ629" s="1019"/>
      <c r="GK629" s="1019"/>
      <c r="GL629" s="1019"/>
      <c r="GM629" s="1019"/>
      <c r="GN629" s="1804"/>
      <c r="GO629" s="1019"/>
      <c r="GP629" s="1019"/>
      <c r="GQ629" s="1019"/>
      <c r="GR629" s="1019"/>
      <c r="GS629" s="1019"/>
      <c r="GT629" s="1019"/>
      <c r="GU629" s="1019"/>
      <c r="GV629" s="1019"/>
      <c r="GW629" s="1019"/>
      <c r="GX629" s="1019"/>
      <c r="GY629" s="1019"/>
      <c r="GZ629" s="1019"/>
      <c r="HA629" s="1019"/>
      <c r="HB629" s="1019"/>
      <c r="HC629" s="1019"/>
      <c r="HD629" s="1019"/>
      <c r="HE629" s="1019"/>
      <c r="HF629" s="1019"/>
      <c r="HG629" s="1019"/>
      <c r="HH629" s="1019"/>
      <c r="HI629" s="1019"/>
      <c r="HJ629" s="1019"/>
      <c r="HK629" s="1019"/>
      <c r="HL629" s="1019"/>
      <c r="HM629" s="1019"/>
      <c r="HN629" s="1019"/>
      <c r="HO629" s="1019"/>
      <c r="HP629" s="1019"/>
      <c r="HQ629" s="1019"/>
      <c r="HR629" s="1019"/>
      <c r="HS629" s="1019"/>
      <c r="HT629" s="1019"/>
      <c r="HU629" s="1019"/>
      <c r="HV629" s="1019"/>
      <c r="HW629" s="1019"/>
      <c r="HX629" s="1019"/>
      <c r="HY629" s="1019"/>
      <c r="HZ629" s="1019"/>
      <c r="IA629" s="1019"/>
      <c r="IB629" s="14" t="e">
        <f>IF(#REF!&gt;0,IF(#REF!&lt;=10000,"Y",""),"")</f>
        <v>#REF!</v>
      </c>
      <c r="IC629" s="1019"/>
      <c r="ID629" s="1019">
        <v>3</v>
      </c>
      <c r="IE629" s="1019">
        <v>1</v>
      </c>
      <c r="IF629" s="1019"/>
      <c r="IG629" s="1019"/>
      <c r="IH629" s="1019"/>
      <c r="II629" s="1019"/>
      <c r="IJ629" s="1019"/>
      <c r="IK629" s="1019"/>
      <c r="IL629" s="1019"/>
      <c r="IM629" s="1019"/>
      <c r="IN629" s="1019"/>
      <c r="IO629" s="1805"/>
      <c r="IP629" s="1019"/>
      <c r="IQ629" s="1716"/>
      <c r="IR629" s="1019"/>
      <c r="IS629" s="1019"/>
      <c r="IT629" s="1019"/>
      <c r="IU629" s="1019"/>
      <c r="IV629" s="1019"/>
      <c r="IW629" s="1019"/>
      <c r="IX629" s="1019"/>
      <c r="IY629" s="1812"/>
      <c r="IZ629" s="1019"/>
      <c r="JA629" s="1019"/>
      <c r="JB629" s="1019"/>
      <c r="JC629" s="1019"/>
      <c r="JD629" s="1027"/>
      <c r="JE629" s="1019"/>
      <c r="JF629" s="1019"/>
      <c r="JG629" s="1019"/>
      <c r="JH629" s="1802"/>
      <c r="JI629" s="1802"/>
      <c r="JJ629" s="1698">
        <v>8</v>
      </c>
      <c r="JK629" s="1047" t="s">
        <v>10342</v>
      </c>
      <c r="JL629" s="1019"/>
      <c r="JM629" s="1019"/>
      <c r="JN629" s="1019">
        <v>3</v>
      </c>
      <c r="JO629" s="1019">
        <v>2</v>
      </c>
      <c r="JP629" s="1019">
        <v>1</v>
      </c>
      <c r="JQ629" s="1019">
        <v>2</v>
      </c>
      <c r="JR629" s="1019"/>
      <c r="JS629" s="1019"/>
      <c r="JT629" s="766">
        <f t="shared" ref="JT629:JU632" si="197">SUM(JP629,JN629,JL629,JR629)</f>
        <v>4</v>
      </c>
      <c r="JU629" s="766">
        <f t="shared" si="197"/>
        <v>4</v>
      </c>
      <c r="JV629" s="712" t="str">
        <f t="shared" si="190"/>
        <v>ok</v>
      </c>
      <c r="JW629" s="712" t="str">
        <f t="shared" si="191"/>
        <v>ok</v>
      </c>
      <c r="JX629" s="1019"/>
      <c r="JY629" s="1019"/>
      <c r="JZ629" s="1019"/>
      <c r="KA629" s="1019"/>
      <c r="KB629" s="1019">
        <v>1</v>
      </c>
      <c r="KC629" s="1019">
        <v>1</v>
      </c>
      <c r="KD629" s="1019">
        <v>2</v>
      </c>
      <c r="KE629" s="1019">
        <v>1</v>
      </c>
      <c r="KF629" s="1019">
        <v>1</v>
      </c>
      <c r="KG629" s="1019">
        <v>2</v>
      </c>
      <c r="KH629" s="1019"/>
      <c r="KI629" s="1019"/>
      <c r="KJ629" s="770">
        <f t="shared" si="168"/>
        <v>4</v>
      </c>
      <c r="KK629" s="770">
        <f t="shared" si="168"/>
        <v>4</v>
      </c>
      <c r="KL629" s="712" t="str">
        <f t="shared" si="192"/>
        <v>ok</v>
      </c>
      <c r="KM629" s="712" t="str">
        <f t="shared" si="193"/>
        <v>ok</v>
      </c>
      <c r="KN629" s="1019" t="s">
        <v>707</v>
      </c>
      <c r="KO629" s="1019"/>
      <c r="KP629" s="1019"/>
      <c r="KQ629" s="1019"/>
      <c r="KR629" s="1019"/>
      <c r="KS629" s="1019"/>
      <c r="KT629" s="1019"/>
      <c r="KU629" s="1019"/>
      <c r="KV629" s="1019"/>
      <c r="KW629" s="1019"/>
      <c r="KX629" s="1019">
        <v>3</v>
      </c>
      <c r="KY629" s="1019">
        <v>3</v>
      </c>
      <c r="KZ629" s="1019"/>
      <c r="LA629" s="1019"/>
      <c r="LB629" s="1019"/>
      <c r="LC629" s="1019">
        <v>1</v>
      </c>
      <c r="LD629" s="1019"/>
      <c r="LE629" s="1019"/>
      <c r="LF629" s="1019"/>
      <c r="LG629" s="1019"/>
      <c r="LH629" s="1019">
        <v>1</v>
      </c>
      <c r="LI629" s="1019"/>
      <c r="LJ629" s="1019"/>
      <c r="LK629" s="1019"/>
      <c r="LL629" s="1019"/>
      <c r="LM629" s="1019"/>
      <c r="LN629" s="766">
        <f t="shared" ref="LN629:LO632" si="198">SUM(KP629,KR629,KT629,KV629,KX629,KZ629,LB629,LD629,LF629,LH629,LJ629,LL629)</f>
        <v>4</v>
      </c>
      <c r="LO629" s="766">
        <f t="shared" si="198"/>
        <v>4</v>
      </c>
      <c r="LP629" s="1019">
        <v>3</v>
      </c>
      <c r="LQ629" s="1019">
        <v>1</v>
      </c>
      <c r="LR629" s="1019"/>
      <c r="LS629" s="1019">
        <v>2</v>
      </c>
      <c r="LT629" s="712" t="str">
        <f t="shared" si="195"/>
        <v>OK</v>
      </c>
      <c r="LU629" s="1019"/>
      <c r="LV629" s="1019">
        <v>1</v>
      </c>
      <c r="LW629" s="1019"/>
      <c r="LX629" s="1693">
        <v>2</v>
      </c>
      <c r="LY629" s="766" t="str">
        <f t="shared" si="187"/>
        <v>within the MUNICIPALITY</v>
      </c>
      <c r="LZ629" s="1807">
        <v>2000</v>
      </c>
      <c r="MA629" s="1807"/>
      <c r="MB629" s="1807">
        <v>3000</v>
      </c>
      <c r="MC629" s="1679">
        <f t="shared" si="185"/>
        <v>5000</v>
      </c>
      <c r="MD629" s="1807">
        <v>12000</v>
      </c>
      <c r="ME629" s="1807"/>
      <c r="MF629" s="1807">
        <f>7000+10000</f>
        <v>17000</v>
      </c>
      <c r="MG629" s="1680">
        <f t="shared" si="196"/>
        <v>29000</v>
      </c>
      <c r="MH629" s="1019" t="s">
        <v>2198</v>
      </c>
      <c r="MI629" s="64">
        <v>5000</v>
      </c>
      <c r="MJ629" s="1027">
        <v>4000</v>
      </c>
      <c r="MK629" s="1027">
        <f>5000/12</f>
        <v>416.66666666666669</v>
      </c>
      <c r="ML629" s="1027">
        <v>1000</v>
      </c>
      <c r="MM629" s="1027"/>
      <c r="MN629" s="1027">
        <v>500</v>
      </c>
      <c r="MO629" s="1027">
        <v>2500</v>
      </c>
      <c r="MP629" s="1027">
        <v>600</v>
      </c>
      <c r="MQ629" s="1027">
        <v>200</v>
      </c>
      <c r="MR629" s="1027"/>
      <c r="MS629" s="1027"/>
      <c r="MT629" s="1027"/>
      <c r="MU629" s="1027"/>
      <c r="MV629" s="1027"/>
      <c r="MW629" s="1027"/>
      <c r="MX629" s="1027"/>
      <c r="MY629" s="1682">
        <f t="shared" si="165"/>
        <v>14216.666666666666</v>
      </c>
      <c r="MZ629" s="1019" t="s">
        <v>13370</v>
      </c>
      <c r="NA629" s="1019" t="s">
        <v>13230</v>
      </c>
      <c r="NB629" s="1019" t="s">
        <v>13016</v>
      </c>
      <c r="NC629" s="1019" t="s">
        <v>13135</v>
      </c>
      <c r="ND629" s="1019">
        <v>0</v>
      </c>
      <c r="NE629" s="1019">
        <v>0</v>
      </c>
      <c r="NF629" s="1019">
        <v>1</v>
      </c>
      <c r="NG629" s="1019">
        <v>2</v>
      </c>
      <c r="NH629" s="1019">
        <v>2</v>
      </c>
      <c r="NI629" s="1019">
        <v>1</v>
      </c>
      <c r="NJ629" s="1019">
        <v>0</v>
      </c>
      <c r="NK629" s="1019">
        <v>0</v>
      </c>
      <c r="NL629" s="1019">
        <v>1</v>
      </c>
      <c r="NM629" s="1019">
        <v>0</v>
      </c>
      <c r="NN629" s="1019">
        <v>1</v>
      </c>
      <c r="NO629" s="1019">
        <v>0</v>
      </c>
      <c r="NP629" s="1019">
        <v>0</v>
      </c>
      <c r="NQ629" s="1019">
        <v>0</v>
      </c>
      <c r="NR629" s="1019">
        <v>0</v>
      </c>
      <c r="NS629" s="1019">
        <v>0</v>
      </c>
      <c r="NT629" s="1019">
        <v>0</v>
      </c>
      <c r="NU629" s="1019">
        <v>0</v>
      </c>
      <c r="NV629" s="1019">
        <v>0</v>
      </c>
      <c r="NW629" s="1019">
        <v>0</v>
      </c>
      <c r="NX629" s="1019">
        <v>0</v>
      </c>
      <c r="NY629" s="1019" t="s">
        <v>1208</v>
      </c>
      <c r="NZ629" s="1019" t="s">
        <v>1208</v>
      </c>
      <c r="OA629" s="1019" t="s">
        <v>1208</v>
      </c>
      <c r="OB629" s="1019" t="s">
        <v>1208</v>
      </c>
      <c r="OC629" s="1019" t="s">
        <v>1208</v>
      </c>
      <c r="OD629" s="1019" t="s">
        <v>1208</v>
      </c>
      <c r="OE629" s="1019"/>
      <c r="OF629" s="1019"/>
      <c r="OG629" s="1019"/>
      <c r="OH629" s="1019"/>
      <c r="OI629" s="1019"/>
      <c r="OJ629" s="1019"/>
      <c r="OK629" s="1019"/>
      <c r="OL629" s="1019"/>
      <c r="OM629" s="1019"/>
      <c r="ON629" s="1019"/>
      <c r="OO629" s="1019"/>
      <c r="OP629" s="1019"/>
      <c r="OQ629" s="1019"/>
      <c r="OR629" s="1019"/>
      <c r="OS629" s="1019"/>
      <c r="OT629" s="1019"/>
      <c r="OU629" s="1019"/>
      <c r="OV629" s="1019"/>
      <c r="OW629" s="1019"/>
      <c r="OX629" s="1019"/>
      <c r="OY629" s="1019"/>
      <c r="OZ629" s="1019"/>
      <c r="PA629" s="1019"/>
      <c r="PB629" s="1019"/>
      <c r="PC629" s="1019"/>
      <c r="PD629" s="1019"/>
      <c r="PE629" s="1019"/>
      <c r="PF629" s="1019"/>
      <c r="PG629" s="1019"/>
      <c r="PH629" s="1019"/>
      <c r="PI629" s="1019"/>
      <c r="PJ629" s="1019"/>
      <c r="PK629" s="1019" t="s">
        <v>1208</v>
      </c>
      <c r="PL629" s="1019"/>
      <c r="PM629" s="1019"/>
      <c r="PN629" s="1019"/>
      <c r="PO629" s="1019"/>
      <c r="PP629" s="1019"/>
      <c r="PQ629" s="1019"/>
      <c r="PR629" s="1019"/>
      <c r="PS629" s="1019" t="s">
        <v>1208</v>
      </c>
      <c r="PT629" s="1019" t="s">
        <v>1208</v>
      </c>
      <c r="PU629" s="1019"/>
      <c r="PV629" s="1019"/>
      <c r="PW629" s="1019"/>
      <c r="PX629" s="1019"/>
      <c r="PY629" s="1019"/>
      <c r="PZ629" s="1019"/>
      <c r="QA629" s="1019"/>
      <c r="QB629" s="1019"/>
      <c r="QC629" s="1019"/>
      <c r="QD629" s="1019"/>
      <c r="QE629" s="1019"/>
      <c r="QF629" s="1019"/>
      <c r="QG629" s="1019"/>
      <c r="QH629" s="1019"/>
      <c r="QI629" s="1019"/>
      <c r="QJ629" s="1019"/>
      <c r="QK629" s="1019"/>
      <c r="QL629" s="1019"/>
      <c r="QM629" s="1019"/>
      <c r="QN629" s="1019"/>
      <c r="QO629" s="1019"/>
      <c r="QP629" s="1019"/>
      <c r="QQ629" s="1019"/>
      <c r="QR629" s="1019"/>
      <c r="QS629" s="1019"/>
      <c r="QT629" s="1019"/>
      <c r="QU629" s="1019"/>
      <c r="QV629" s="1019"/>
      <c r="QW629" s="1019"/>
      <c r="QX629" s="1019"/>
      <c r="QY629" s="1019"/>
      <c r="QZ629" s="1019"/>
      <c r="RA629" s="1019"/>
      <c r="RB629" s="1019" t="s">
        <v>1207</v>
      </c>
      <c r="RC629" s="1019">
        <v>2015</v>
      </c>
      <c r="RD629" s="1019" t="s">
        <v>13251</v>
      </c>
      <c r="RE629" s="1019" t="s">
        <v>12999</v>
      </c>
      <c r="RF629" s="1794">
        <v>0.5</v>
      </c>
      <c r="RG629" s="1019" t="s">
        <v>13267</v>
      </c>
      <c r="RH629" s="1027">
        <v>0</v>
      </c>
      <c r="RI629" s="1019">
        <v>0.5</v>
      </c>
      <c r="RJ629" s="1019" t="s">
        <v>10342</v>
      </c>
      <c r="RK629" s="1019" t="s">
        <v>13556</v>
      </c>
      <c r="RL629" s="1810">
        <v>42895</v>
      </c>
      <c r="RM629" s="1714"/>
      <c r="RN629" s="1724"/>
      <c r="RO629" s="514" t="s">
        <v>10341</v>
      </c>
      <c r="RR629" s="19" t="s">
        <v>7421</v>
      </c>
      <c r="RS629" s="1139" t="s">
        <v>12980</v>
      </c>
      <c r="RV629" s="93" t="s">
        <v>7421</v>
      </c>
      <c r="RW629" s="35" t="s">
        <v>10332</v>
      </c>
      <c r="RX629" s="35" t="s">
        <v>10331</v>
      </c>
      <c r="RZ629" s="35" t="s">
        <v>1101</v>
      </c>
      <c r="SA629" s="93"/>
    </row>
    <row r="630" spans="1:495" s="35" customFormat="1" ht="12.75" customHeight="1">
      <c r="A630" s="19" t="s">
        <v>7421</v>
      </c>
      <c r="B630" s="1082" t="s">
        <v>11708</v>
      </c>
      <c r="C630" s="533" t="s">
        <v>4148</v>
      </c>
      <c r="D630" s="1714" t="s">
        <v>11536</v>
      </c>
      <c r="E630" s="1019" t="s">
        <v>4149</v>
      </c>
      <c r="F630" s="1019" t="s">
        <v>28</v>
      </c>
      <c r="G630" s="1019" t="s">
        <v>10</v>
      </c>
      <c r="H630" s="1019"/>
      <c r="I630" s="1812" t="s">
        <v>4150</v>
      </c>
      <c r="J630" s="1714" t="s">
        <v>11536</v>
      </c>
      <c r="K630" s="6" t="s">
        <v>4151</v>
      </c>
      <c r="L630" s="6" t="s">
        <v>2638</v>
      </c>
      <c r="M630" s="1019" t="s">
        <v>2402</v>
      </c>
      <c r="N630" s="1019" t="s">
        <v>11537</v>
      </c>
      <c r="O630" s="1019" t="s">
        <v>11456</v>
      </c>
      <c r="P630" s="1714" t="s">
        <v>4152</v>
      </c>
      <c r="Q630" s="1831">
        <v>22396</v>
      </c>
      <c r="R630" s="1718">
        <v>54</v>
      </c>
      <c r="S630" s="1019" t="s">
        <v>10</v>
      </c>
      <c r="T630" s="1019"/>
      <c r="U630" s="1812" t="s">
        <v>4150</v>
      </c>
      <c r="V630" s="1019" t="s">
        <v>2970</v>
      </c>
      <c r="W630" s="1812"/>
      <c r="X630" s="1831"/>
      <c r="Y630" s="1019" t="s">
        <v>4149</v>
      </c>
      <c r="Z630" s="1019" t="s">
        <v>708</v>
      </c>
      <c r="AA630" s="1019" t="s">
        <v>2463</v>
      </c>
      <c r="AB630" s="1019" t="s">
        <v>710</v>
      </c>
      <c r="AC630" s="1019" t="s">
        <v>724</v>
      </c>
      <c r="AD630" s="1019"/>
      <c r="AE630" s="1019"/>
      <c r="AF630" s="1019" t="s">
        <v>712</v>
      </c>
      <c r="AG630" s="1019" t="s">
        <v>1132</v>
      </c>
      <c r="AH630" s="1019" t="s">
        <v>1096</v>
      </c>
      <c r="AI630" s="1019"/>
      <c r="AJ630" s="1019" t="s">
        <v>1137</v>
      </c>
      <c r="AK630" s="1019" t="s">
        <v>1101</v>
      </c>
      <c r="AL630" s="1770">
        <v>12.285</v>
      </c>
      <c r="AM630" s="1108">
        <v>0.97199999999999998</v>
      </c>
      <c r="AN630" s="1078">
        <f t="shared" si="186"/>
        <v>7.9120879120879117E-2</v>
      </c>
      <c r="AO630" s="6" t="s">
        <v>1098</v>
      </c>
      <c r="AP630" s="6"/>
      <c r="AQ630" s="6"/>
      <c r="AR630" s="6"/>
      <c r="AS630" s="1019"/>
      <c r="AT630" s="1019"/>
      <c r="AU630" s="1019"/>
      <c r="AV630" s="1019"/>
      <c r="AW630" s="1019"/>
      <c r="AX630" s="1019"/>
      <c r="AY630" s="1019"/>
      <c r="AZ630" s="1019"/>
      <c r="BA630" s="1019"/>
      <c r="BB630" s="1019"/>
      <c r="BC630" s="1019"/>
      <c r="BD630" s="1019"/>
      <c r="BE630" s="1019"/>
      <c r="BF630" s="1027"/>
      <c r="BG630" s="1027"/>
      <c r="BH630" s="1019"/>
      <c r="BI630" s="1019"/>
      <c r="BJ630" s="1019"/>
      <c r="BK630" s="1019" t="s">
        <v>1095</v>
      </c>
      <c r="BL630" s="1019" t="s">
        <v>4154</v>
      </c>
      <c r="BM630" s="1019" t="s">
        <v>1096</v>
      </c>
      <c r="BN630" s="1019" t="s">
        <v>1230</v>
      </c>
      <c r="BO630" s="1019" t="s">
        <v>1252</v>
      </c>
      <c r="BP630" s="1116">
        <v>36.854999999999997</v>
      </c>
      <c r="BQ630" s="46">
        <v>2.9159999999999999</v>
      </c>
      <c r="BR630" s="47">
        <f>BQ630/BP630</f>
        <v>7.9120879120879131E-2</v>
      </c>
      <c r="BS630" s="766" t="s">
        <v>1242</v>
      </c>
      <c r="BT630" s="1019"/>
      <c r="BU630" s="1019"/>
      <c r="BV630" s="1019"/>
      <c r="BW630" s="1019"/>
      <c r="BX630" s="1027"/>
      <c r="BY630" s="1019"/>
      <c r="BZ630" s="1027"/>
      <c r="CA630" s="1019"/>
      <c r="CB630" s="1019" t="s">
        <v>1207</v>
      </c>
      <c r="CC630" s="1019"/>
      <c r="CD630" s="1019"/>
      <c r="CE630" s="1019"/>
      <c r="CF630" s="1796"/>
      <c r="CG630" s="1797"/>
      <c r="CH630" s="1019"/>
      <c r="CI630" s="1019"/>
      <c r="CJ630" s="1019"/>
      <c r="CK630" s="1019"/>
      <c r="CL630" s="1019"/>
      <c r="CM630" s="1019"/>
      <c r="CN630" s="1019"/>
      <c r="CO630" s="1019"/>
      <c r="CP630" s="1019"/>
      <c r="CQ630" s="1019"/>
      <c r="CR630" s="1027"/>
      <c r="CS630" s="1019"/>
      <c r="CT630" s="1019"/>
      <c r="CU630" s="1798"/>
      <c r="CV630" s="1019"/>
      <c r="CW630" s="1019"/>
      <c r="CX630" s="1019"/>
      <c r="CY630" s="1019"/>
      <c r="CZ630" s="1019"/>
      <c r="DA630" s="1799"/>
      <c r="DB630" s="1019"/>
      <c r="DC630" s="1019"/>
      <c r="DD630" s="1019"/>
      <c r="DE630" s="1800"/>
      <c r="DF630" s="1019"/>
      <c r="DG630" s="1019"/>
      <c r="DH630" s="1019"/>
      <c r="DI630" s="1019"/>
      <c r="DJ630" s="1019"/>
      <c r="DK630" s="1019"/>
      <c r="DL630" s="1019"/>
      <c r="DM630" s="1019"/>
      <c r="DN630" s="1801"/>
      <c r="DO630" s="1019"/>
      <c r="DP630" s="1019"/>
      <c r="DQ630" s="1019"/>
      <c r="DR630" s="1019"/>
      <c r="DS630" s="1802"/>
      <c r="DT630" s="1716"/>
      <c r="DU630" s="1019"/>
      <c r="DV630" s="1019"/>
      <c r="DW630" s="1799"/>
      <c r="DX630" s="1799"/>
      <c r="DY630" s="1019"/>
      <c r="DZ630" s="1019"/>
      <c r="EA630" s="1019"/>
      <c r="EB630" s="1019"/>
      <c r="EC630" s="1019"/>
      <c r="ED630" s="1019"/>
      <c r="EE630" s="1019"/>
      <c r="EF630" s="1019"/>
      <c r="EG630" s="1019"/>
      <c r="EH630" s="1019"/>
      <c r="EI630" s="1019"/>
      <c r="EJ630" s="1019"/>
      <c r="EK630" s="1019"/>
      <c r="EL630" s="1019"/>
      <c r="EM630" s="1019"/>
      <c r="EN630" s="1019"/>
      <c r="EO630" s="1019"/>
      <c r="EP630" s="1714"/>
      <c r="EQ630" s="1019"/>
      <c r="ER630" s="1019"/>
      <c r="ES630" s="1019"/>
      <c r="ET630" s="1019"/>
      <c r="EU630" s="1019"/>
      <c r="EV630" s="1019"/>
      <c r="EW630" s="1019"/>
      <c r="EX630" s="1019"/>
      <c r="EY630" s="1019"/>
      <c r="EZ630" s="1019" t="s">
        <v>4154</v>
      </c>
      <c r="FA630" s="1019" t="s">
        <v>4155</v>
      </c>
      <c r="FB630" s="1019"/>
      <c r="FC630" s="1019"/>
      <c r="FD630" s="1027"/>
      <c r="FE630" s="1019" t="s">
        <v>4156</v>
      </c>
      <c r="FF630" s="1019"/>
      <c r="FG630" s="1019" t="s">
        <v>4157</v>
      </c>
      <c r="FH630" s="1019" t="s">
        <v>478</v>
      </c>
      <c r="FI630" s="1019">
        <v>1</v>
      </c>
      <c r="FJ630" s="1019"/>
      <c r="FK630" s="1019"/>
      <c r="FL630" s="1019"/>
      <c r="FM630" s="1027"/>
      <c r="FN630" s="1027"/>
      <c r="FO630" s="1027"/>
      <c r="FP630" s="1019" t="s">
        <v>1600</v>
      </c>
      <c r="FQ630" s="1019" t="s">
        <v>3940</v>
      </c>
      <c r="FR630" s="1019" t="s">
        <v>1214</v>
      </c>
      <c r="FS630" s="1019"/>
      <c r="FT630" s="1019"/>
      <c r="FU630" s="1019"/>
      <c r="FV630" s="1019"/>
      <c r="FW630" s="1019"/>
      <c r="FX630" s="1019"/>
      <c r="FY630" s="1019"/>
      <c r="FZ630" s="1019"/>
      <c r="GA630" s="1019"/>
      <c r="GB630" s="1019" t="s">
        <v>1734</v>
      </c>
      <c r="GC630" s="1717"/>
      <c r="GD630" s="1718">
        <v>1997</v>
      </c>
      <c r="GE630" s="1019" t="s">
        <v>1214</v>
      </c>
      <c r="GF630" s="1027"/>
      <c r="GG630" s="1027"/>
      <c r="GH630" s="1019"/>
      <c r="GI630" s="1019"/>
      <c r="GJ630" s="1019"/>
      <c r="GK630" s="1019"/>
      <c r="GL630" s="1019"/>
      <c r="GM630" s="1019"/>
      <c r="GN630" s="1804"/>
      <c r="GO630" s="1019"/>
      <c r="GP630" s="1019"/>
      <c r="GQ630" s="1019"/>
      <c r="GR630" s="1019"/>
      <c r="GS630" s="1019"/>
      <c r="GT630" s="1019"/>
      <c r="GU630" s="1019"/>
      <c r="GV630" s="1019"/>
      <c r="GW630" s="1019"/>
      <c r="GX630" s="1019"/>
      <c r="GY630" s="1019"/>
      <c r="GZ630" s="1019"/>
      <c r="HA630" s="1019"/>
      <c r="HB630" s="1019"/>
      <c r="HC630" s="1019"/>
      <c r="HD630" s="1019"/>
      <c r="HE630" s="1019"/>
      <c r="HF630" s="1019"/>
      <c r="HG630" s="1019"/>
      <c r="HH630" s="1019"/>
      <c r="HI630" s="1019"/>
      <c r="HJ630" s="1019"/>
      <c r="HK630" s="1019"/>
      <c r="HL630" s="1019"/>
      <c r="HM630" s="1019"/>
      <c r="HN630" s="1019"/>
      <c r="HO630" s="1019"/>
      <c r="HP630" s="1019"/>
      <c r="HQ630" s="1019"/>
      <c r="HR630" s="1019"/>
      <c r="HS630" s="1019"/>
      <c r="HT630" s="1019"/>
      <c r="HU630" s="1019"/>
      <c r="HV630" s="1019"/>
      <c r="HW630" s="1019"/>
      <c r="HX630" s="1019"/>
      <c r="HY630" s="1019"/>
      <c r="HZ630" s="1019"/>
      <c r="IA630" s="1019"/>
      <c r="IB630" s="14" t="e">
        <f>IF(#REF!&gt;0,IF(#REF!&lt;=10000,"Y",""),"")</f>
        <v>#REF!</v>
      </c>
      <c r="IC630" s="1019"/>
      <c r="ID630" s="1019"/>
      <c r="IE630" s="1019"/>
      <c r="IF630" s="1019"/>
      <c r="IG630" s="1019"/>
      <c r="IH630" s="1019"/>
      <c r="II630" s="1019"/>
      <c r="IJ630" s="1019"/>
      <c r="IK630" s="1019"/>
      <c r="IL630" s="1019"/>
      <c r="IM630" s="1019"/>
      <c r="IN630" s="1019"/>
      <c r="IO630" s="1805"/>
      <c r="IP630" s="1019"/>
      <c r="IQ630" s="1019"/>
      <c r="IR630" s="1019"/>
      <c r="IS630" s="1019"/>
      <c r="IT630" s="1019"/>
      <c r="IU630" s="1019"/>
      <c r="IV630" s="1019"/>
      <c r="IW630" s="1019"/>
      <c r="IX630" s="1019"/>
      <c r="IY630" s="1812"/>
      <c r="IZ630" s="1019"/>
      <c r="JA630" s="1019"/>
      <c r="JB630" s="1019"/>
      <c r="JC630" s="1019"/>
      <c r="JD630" s="1027"/>
      <c r="JE630" s="1019"/>
      <c r="JF630" s="1019"/>
      <c r="JG630" s="1019"/>
      <c r="JH630" s="1802"/>
      <c r="JI630" s="1802"/>
      <c r="JJ630" s="1714">
        <v>3</v>
      </c>
      <c r="JK630" s="1047" t="s">
        <v>13833</v>
      </c>
      <c r="JL630" s="1019">
        <v>1</v>
      </c>
      <c r="JM630" s="1019"/>
      <c r="JN630" s="1019">
        <v>1</v>
      </c>
      <c r="JO630" s="1019">
        <v>1</v>
      </c>
      <c r="JP630" s="1019"/>
      <c r="JQ630" s="1019"/>
      <c r="JR630" s="1019"/>
      <c r="JS630" s="1019"/>
      <c r="JT630" s="766">
        <f t="shared" si="197"/>
        <v>2</v>
      </c>
      <c r="JU630" s="766">
        <f t="shared" si="197"/>
        <v>1</v>
      </c>
      <c r="JV630" s="712" t="str">
        <f t="shared" si="190"/>
        <v>ok</v>
      </c>
      <c r="JW630" s="712" t="str">
        <f t="shared" si="191"/>
        <v>ok</v>
      </c>
      <c r="JX630" s="1019"/>
      <c r="JY630" s="1019"/>
      <c r="JZ630" s="1019">
        <v>1</v>
      </c>
      <c r="KA630" s="1019"/>
      <c r="KB630" s="1019"/>
      <c r="KC630" s="1019">
        <v>1</v>
      </c>
      <c r="KD630" s="1019">
        <v>1</v>
      </c>
      <c r="KE630" s="1019"/>
      <c r="KF630" s="1019"/>
      <c r="KG630" s="1019"/>
      <c r="KH630" s="1019"/>
      <c r="KI630" s="1019"/>
      <c r="KJ630" s="770">
        <f t="shared" si="168"/>
        <v>2</v>
      </c>
      <c r="KK630" s="770">
        <f t="shared" si="168"/>
        <v>1</v>
      </c>
      <c r="KL630" s="712" t="str">
        <f t="shared" si="192"/>
        <v>ok</v>
      </c>
      <c r="KM630" s="712" t="str">
        <f t="shared" si="193"/>
        <v>ok</v>
      </c>
      <c r="KN630" s="1019" t="s">
        <v>783</v>
      </c>
      <c r="KO630" s="1019"/>
      <c r="KP630" s="1019"/>
      <c r="KQ630" s="1019"/>
      <c r="KR630" s="1019"/>
      <c r="KS630" s="1019"/>
      <c r="KT630" s="1019"/>
      <c r="KU630" s="1019"/>
      <c r="KV630" s="1019">
        <v>1</v>
      </c>
      <c r="KW630" s="1019"/>
      <c r="KX630" s="1019"/>
      <c r="KY630" s="1019"/>
      <c r="KZ630" s="1019">
        <v>1</v>
      </c>
      <c r="LA630" s="1019"/>
      <c r="LB630" s="1019"/>
      <c r="LC630" s="1019">
        <v>1</v>
      </c>
      <c r="LD630" s="1019"/>
      <c r="LE630" s="1019"/>
      <c r="LF630" s="1019"/>
      <c r="LG630" s="1019"/>
      <c r="LH630" s="1019"/>
      <c r="LI630" s="1019"/>
      <c r="LJ630" s="1019"/>
      <c r="LK630" s="1019"/>
      <c r="LL630" s="1019"/>
      <c r="LM630" s="1019"/>
      <c r="LN630" s="766">
        <f t="shared" si="198"/>
        <v>2</v>
      </c>
      <c r="LO630" s="766">
        <f t="shared" si="198"/>
        <v>1</v>
      </c>
      <c r="LP630" s="1019">
        <v>1</v>
      </c>
      <c r="LQ630" s="1019"/>
      <c r="LR630" s="1019"/>
      <c r="LS630" s="1019">
        <v>1</v>
      </c>
      <c r="LT630" s="712" t="str">
        <f t="shared" si="195"/>
        <v>OK</v>
      </c>
      <c r="LU630" s="1019"/>
      <c r="LV630" s="1019"/>
      <c r="LW630" s="1019"/>
      <c r="LX630" s="1693">
        <v>1</v>
      </c>
      <c r="LY630" s="766" t="str">
        <f t="shared" si="187"/>
        <v>within the BRGY</v>
      </c>
      <c r="LZ630" s="1807"/>
      <c r="MA630" s="1807"/>
      <c r="MB630" s="1807">
        <v>6000</v>
      </c>
      <c r="MC630" s="1679">
        <f t="shared" si="185"/>
        <v>6000</v>
      </c>
      <c r="MD630" s="1807"/>
      <c r="ME630" s="1807"/>
      <c r="MF630" s="1807">
        <v>12000</v>
      </c>
      <c r="MG630" s="1680">
        <f t="shared" si="196"/>
        <v>12000</v>
      </c>
      <c r="MH630" s="1019" t="s">
        <v>2968</v>
      </c>
      <c r="MI630" s="64">
        <v>4500</v>
      </c>
      <c r="MJ630" s="1027">
        <v>1500</v>
      </c>
      <c r="MK630" s="1027">
        <v>1600</v>
      </c>
      <c r="ML630" s="1027">
        <v>1000</v>
      </c>
      <c r="MM630" s="1027">
        <v>1500</v>
      </c>
      <c r="MN630" s="1027"/>
      <c r="MO630" s="1027">
        <v>200</v>
      </c>
      <c r="MP630" s="1027">
        <v>800</v>
      </c>
      <c r="MQ630" s="1027">
        <v>600</v>
      </c>
      <c r="MR630" s="1027">
        <v>300</v>
      </c>
      <c r="MS630" s="1027">
        <v>1000</v>
      </c>
      <c r="MT630" s="1027"/>
      <c r="MU630" s="1027"/>
      <c r="MV630" s="1027"/>
      <c r="MW630" s="1027"/>
      <c r="MX630" s="1027"/>
      <c r="MY630" s="1682">
        <f t="shared" si="165"/>
        <v>13000</v>
      </c>
      <c r="MZ630" s="1019" t="s">
        <v>13834</v>
      </c>
      <c r="NA630" s="1019" t="s">
        <v>13005</v>
      </c>
      <c r="NB630" s="1019" t="s">
        <v>13016</v>
      </c>
      <c r="NC630" s="1019" t="s">
        <v>13602</v>
      </c>
      <c r="ND630" s="1019">
        <v>0</v>
      </c>
      <c r="NE630" s="1019">
        <v>0</v>
      </c>
      <c r="NF630" s="1019">
        <v>0</v>
      </c>
      <c r="NG630" s="1019">
        <v>2</v>
      </c>
      <c r="NH630" s="1019">
        <v>1</v>
      </c>
      <c r="NI630" s="1019">
        <v>0</v>
      </c>
      <c r="NJ630" s="1019">
        <v>0</v>
      </c>
      <c r="NK630" s="1019">
        <v>0</v>
      </c>
      <c r="NL630" s="1019">
        <v>1</v>
      </c>
      <c r="NM630" s="1019">
        <v>1</v>
      </c>
      <c r="NN630" s="1019">
        <v>0</v>
      </c>
      <c r="NO630" s="1019">
        <v>0</v>
      </c>
      <c r="NP630" s="1019">
        <v>0</v>
      </c>
      <c r="NQ630" s="1019">
        <v>0</v>
      </c>
      <c r="NR630" s="1019">
        <v>0</v>
      </c>
      <c r="NS630" s="1019">
        <v>0</v>
      </c>
      <c r="NT630" s="1019">
        <v>0</v>
      </c>
      <c r="NU630" s="1019">
        <v>0</v>
      </c>
      <c r="NV630" s="1019">
        <v>0</v>
      </c>
      <c r="NW630" s="1019">
        <v>0</v>
      </c>
      <c r="NX630" s="1019">
        <v>0</v>
      </c>
      <c r="NY630" s="1019" t="s">
        <v>1208</v>
      </c>
      <c r="NZ630" s="1019"/>
      <c r="OA630" s="1019"/>
      <c r="OB630" s="1019"/>
      <c r="OC630" s="1019" t="s">
        <v>1208</v>
      </c>
      <c r="OD630" s="1019"/>
      <c r="OE630" s="1019"/>
      <c r="OF630" s="1019"/>
      <c r="OG630" s="1019"/>
      <c r="OH630" s="1019"/>
      <c r="OI630" s="1019"/>
      <c r="OJ630" s="1019"/>
      <c r="OK630" s="1019"/>
      <c r="OL630" s="1019"/>
      <c r="OM630" s="1019"/>
      <c r="ON630" s="1019"/>
      <c r="OO630" s="1019"/>
      <c r="OP630" s="1019"/>
      <c r="OQ630" s="1019"/>
      <c r="OR630" s="1019"/>
      <c r="OS630" s="1019"/>
      <c r="OT630" s="1019"/>
      <c r="OU630" s="1019"/>
      <c r="OV630" s="1019"/>
      <c r="OW630" s="1019"/>
      <c r="OX630" s="1019"/>
      <c r="OY630" s="1019"/>
      <c r="OZ630" s="1019"/>
      <c r="PA630" s="1019"/>
      <c r="PB630" s="1019"/>
      <c r="PC630" s="1019"/>
      <c r="PD630" s="1019"/>
      <c r="PE630" s="1019"/>
      <c r="PF630" s="1019"/>
      <c r="PG630" s="1019"/>
      <c r="PH630" s="1019"/>
      <c r="PI630" s="1019"/>
      <c r="PJ630" s="1019"/>
      <c r="PK630" s="1019"/>
      <c r="PL630" s="1019" t="s">
        <v>1208</v>
      </c>
      <c r="PM630" s="1019"/>
      <c r="PN630" s="1019"/>
      <c r="PO630" s="1019"/>
      <c r="PP630" s="1019"/>
      <c r="PQ630" s="1019" t="s">
        <v>1208</v>
      </c>
      <c r="PR630" s="1019"/>
      <c r="PS630" s="1019"/>
      <c r="PT630" s="1019"/>
      <c r="PU630" s="1019"/>
      <c r="PV630" s="1019"/>
      <c r="PW630" s="1019"/>
      <c r="PX630" s="1019"/>
      <c r="PY630" s="1019"/>
      <c r="PZ630" s="1019"/>
      <c r="QA630" s="1019"/>
      <c r="QB630" s="1019"/>
      <c r="QC630" s="1019"/>
      <c r="QD630" s="1019"/>
      <c r="QE630" s="1019"/>
      <c r="QF630" s="1019"/>
      <c r="QG630" s="1019"/>
      <c r="QH630" s="1019"/>
      <c r="QI630" s="1019"/>
      <c r="QJ630" s="1019"/>
      <c r="QK630" s="1019"/>
      <c r="QL630" s="1019"/>
      <c r="QM630" s="1019"/>
      <c r="QN630" s="1019"/>
      <c r="QO630" s="1019"/>
      <c r="QP630" s="1019"/>
      <c r="QQ630" s="1019"/>
      <c r="QR630" s="1019"/>
      <c r="QS630" s="1019"/>
      <c r="QT630" s="1019"/>
      <c r="QU630" s="1019"/>
      <c r="QV630" s="1019"/>
      <c r="QW630" s="1019"/>
      <c r="QX630" s="1019"/>
      <c r="QY630" s="1019"/>
      <c r="QZ630" s="1019"/>
      <c r="RA630" s="1019"/>
      <c r="RB630" s="1019" t="s">
        <v>1207</v>
      </c>
      <c r="RC630" s="1019">
        <v>2014</v>
      </c>
      <c r="RD630" s="1019" t="s">
        <v>13251</v>
      </c>
      <c r="RE630" s="1019" t="s">
        <v>12999</v>
      </c>
      <c r="RF630" s="1794">
        <v>0.5</v>
      </c>
      <c r="RG630" s="1019" t="s">
        <v>13047</v>
      </c>
      <c r="RH630" s="1027">
        <v>0</v>
      </c>
      <c r="RI630" s="1019">
        <v>2</v>
      </c>
      <c r="RJ630" s="1019" t="s">
        <v>4154</v>
      </c>
      <c r="RK630" s="1019" t="s">
        <v>13550</v>
      </c>
      <c r="RL630" s="1810">
        <v>42835</v>
      </c>
      <c r="RM630" s="1714"/>
      <c r="RN630" s="1724"/>
      <c r="RO630" s="533" t="s">
        <v>4148</v>
      </c>
      <c r="RR630" s="19" t="s">
        <v>7421</v>
      </c>
      <c r="RS630" s="1139" t="s">
        <v>12980</v>
      </c>
      <c r="RV630" s="6" t="s">
        <v>7421</v>
      </c>
      <c r="RW630" s="35" t="s">
        <v>11516</v>
      </c>
      <c r="RX630" s="35" t="s">
        <v>11517</v>
      </c>
      <c r="RZ630" s="35" t="s">
        <v>1101</v>
      </c>
      <c r="SA630" s="6"/>
    </row>
    <row r="631" spans="1:495" s="35" customFormat="1" ht="12.75" customHeight="1">
      <c r="A631" s="1117" t="s">
        <v>14229</v>
      </c>
      <c r="B631" s="1080" t="s">
        <v>11538</v>
      </c>
      <c r="C631" s="533" t="s">
        <v>4148</v>
      </c>
      <c r="D631" s="1714" t="s">
        <v>11539</v>
      </c>
      <c r="E631" s="1019" t="s">
        <v>11540</v>
      </c>
      <c r="F631" s="1019" t="s">
        <v>20</v>
      </c>
      <c r="G631" s="1019" t="s">
        <v>18</v>
      </c>
      <c r="H631" s="1019"/>
      <c r="I631" s="1812"/>
      <c r="J631" s="1714" t="s">
        <v>11541</v>
      </c>
      <c r="K631" s="6" t="s">
        <v>4151</v>
      </c>
      <c r="L631" s="6" t="s">
        <v>2638</v>
      </c>
      <c r="M631" s="1019" t="s">
        <v>2402</v>
      </c>
      <c r="N631" s="1019" t="s">
        <v>11537</v>
      </c>
      <c r="O631" s="1019" t="s">
        <v>11456</v>
      </c>
      <c r="P631" s="1714" t="s">
        <v>11542</v>
      </c>
      <c r="Q631" s="1831">
        <v>31980</v>
      </c>
      <c r="R631" s="1718">
        <v>30</v>
      </c>
      <c r="S631" s="1019" t="s">
        <v>10</v>
      </c>
      <c r="T631" s="1019"/>
      <c r="U631" s="1812"/>
      <c r="V631" s="1019" t="s">
        <v>722</v>
      </c>
      <c r="W631" s="1812" t="s">
        <v>11539</v>
      </c>
      <c r="X631" s="1831">
        <v>31575</v>
      </c>
      <c r="Y631" s="1019" t="s">
        <v>11540</v>
      </c>
      <c r="Z631" s="1019" t="s">
        <v>708</v>
      </c>
      <c r="AA631" s="1019" t="s">
        <v>759</v>
      </c>
      <c r="AB631" s="1019" t="s">
        <v>710</v>
      </c>
      <c r="AC631" s="1019"/>
      <c r="AD631" s="1019" t="s">
        <v>711</v>
      </c>
      <c r="AE631" s="1019"/>
      <c r="AF631" s="1019" t="s">
        <v>712</v>
      </c>
      <c r="AG631" s="1019" t="s">
        <v>1132</v>
      </c>
      <c r="AH631" s="766" t="s">
        <v>1096</v>
      </c>
      <c r="AI631" s="1019"/>
      <c r="AJ631" s="1019" t="s">
        <v>1137</v>
      </c>
      <c r="AK631" s="1019" t="s">
        <v>1101</v>
      </c>
      <c r="AL631" s="1770">
        <v>12.285</v>
      </c>
      <c r="AM631" s="1108">
        <v>0.97199999999999998</v>
      </c>
      <c r="AN631" s="1078">
        <f t="shared" si="186"/>
        <v>7.9120879120879117E-2</v>
      </c>
      <c r="AO631" s="6" t="s">
        <v>1098</v>
      </c>
      <c r="AP631" s="6"/>
      <c r="AQ631" s="6"/>
      <c r="AR631" s="6"/>
      <c r="AS631" s="1019"/>
      <c r="AT631" s="1019"/>
      <c r="AU631" s="1019"/>
      <c r="AV631" s="1019"/>
      <c r="AW631" s="1019"/>
      <c r="AX631" s="1019"/>
      <c r="AY631" s="1019"/>
      <c r="AZ631" s="1019"/>
      <c r="BA631" s="1019"/>
      <c r="BB631" s="1019"/>
      <c r="BC631" s="1019"/>
      <c r="BD631" s="1019"/>
      <c r="BE631" s="1019"/>
      <c r="BF631" s="1027"/>
      <c r="BG631" s="1027"/>
      <c r="BH631" s="1019"/>
      <c r="BI631" s="1019"/>
      <c r="BJ631" s="1019"/>
      <c r="BK631" s="1019"/>
      <c r="BL631" s="1019"/>
      <c r="BM631" s="770" t="s">
        <v>1238</v>
      </c>
      <c r="BN631" s="1019" t="s">
        <v>1299</v>
      </c>
      <c r="BO631" s="1019"/>
      <c r="BP631" s="1033"/>
      <c r="BQ631" s="46"/>
      <c r="BR631" s="47"/>
      <c r="BS631" s="6" t="s">
        <v>1242</v>
      </c>
      <c r="BT631" s="1019"/>
      <c r="BU631" s="1019"/>
      <c r="BV631" s="1019"/>
      <c r="BW631" s="1019"/>
      <c r="BX631" s="1027"/>
      <c r="BY631" s="1019"/>
      <c r="BZ631" s="1027"/>
      <c r="CA631" s="1019"/>
      <c r="CB631" s="1019"/>
      <c r="CC631" s="1019"/>
      <c r="CD631" s="1019"/>
      <c r="CE631" s="1019"/>
      <c r="CF631" s="1796"/>
      <c r="CG631" s="1797"/>
      <c r="CH631" s="1019"/>
      <c r="CI631" s="1019"/>
      <c r="CJ631" s="1019"/>
      <c r="CK631" s="1019"/>
      <c r="CL631" s="1019"/>
      <c r="CM631" s="1019"/>
      <c r="CN631" s="1019"/>
      <c r="CO631" s="1019"/>
      <c r="CP631" s="1019"/>
      <c r="CQ631" s="1019"/>
      <c r="CR631" s="1027"/>
      <c r="CS631" s="1019"/>
      <c r="CT631" s="1019"/>
      <c r="CU631" s="1798"/>
      <c r="CV631" s="1019"/>
      <c r="CW631" s="1019"/>
      <c r="CX631" s="1019"/>
      <c r="CY631" s="1019"/>
      <c r="CZ631" s="1019"/>
      <c r="DA631" s="1799"/>
      <c r="DB631" s="1019"/>
      <c r="DC631" s="1019"/>
      <c r="DD631" s="1019"/>
      <c r="DE631" s="1800"/>
      <c r="DF631" s="1019"/>
      <c r="DG631" s="1019"/>
      <c r="DH631" s="1019"/>
      <c r="DI631" s="1019"/>
      <c r="DJ631" s="1019"/>
      <c r="DK631" s="1019"/>
      <c r="DL631" s="1019"/>
      <c r="DM631" s="1019"/>
      <c r="DN631" s="1801"/>
      <c r="DO631" s="1019"/>
      <c r="DP631" s="1019"/>
      <c r="DQ631" s="1019"/>
      <c r="DR631" s="1019"/>
      <c r="DS631" s="1802"/>
      <c r="DT631" s="1716"/>
      <c r="DU631" s="1019"/>
      <c r="DV631" s="1019"/>
      <c r="DW631" s="1799"/>
      <c r="DX631" s="1799"/>
      <c r="DY631" s="1019"/>
      <c r="DZ631" s="1019"/>
      <c r="EA631" s="1019"/>
      <c r="EB631" s="1019"/>
      <c r="EC631" s="1019"/>
      <c r="ED631" s="1019"/>
      <c r="EE631" s="1019"/>
      <c r="EF631" s="1019"/>
      <c r="EG631" s="1019"/>
      <c r="EH631" s="1019"/>
      <c r="EI631" s="1019"/>
      <c r="EJ631" s="1019"/>
      <c r="EK631" s="1019"/>
      <c r="EL631" s="1019"/>
      <c r="EM631" s="1019"/>
      <c r="EN631" s="1019"/>
      <c r="EO631" s="1019"/>
      <c r="EP631" s="1714"/>
      <c r="EQ631" s="1019"/>
      <c r="ER631" s="1019"/>
      <c r="ES631" s="1019"/>
      <c r="ET631" s="1019"/>
      <c r="EU631" s="1019"/>
      <c r="EV631" s="1019"/>
      <c r="EW631" s="1019"/>
      <c r="EX631" s="1019"/>
      <c r="EY631" s="1019"/>
      <c r="EZ631" s="1019"/>
      <c r="FA631" s="1019"/>
      <c r="FB631" s="1019"/>
      <c r="FC631" s="1019"/>
      <c r="FD631" s="1027"/>
      <c r="FE631" s="1019"/>
      <c r="FF631" s="1019"/>
      <c r="FG631" s="1019"/>
      <c r="FH631" s="1019" t="s">
        <v>1299</v>
      </c>
      <c r="FI631" s="1019"/>
      <c r="FJ631" s="1019"/>
      <c r="FK631" s="1019"/>
      <c r="FL631" s="1019"/>
      <c r="FM631" s="1027"/>
      <c r="FN631" s="1027"/>
      <c r="FO631" s="1027"/>
      <c r="FP631" s="766" t="s">
        <v>1600</v>
      </c>
      <c r="FQ631" s="766" t="s">
        <v>1642</v>
      </c>
      <c r="FR631" s="1019"/>
      <c r="FS631" s="1019"/>
      <c r="FT631" s="1019"/>
      <c r="FU631" s="1019"/>
      <c r="FV631" s="1019"/>
      <c r="FW631" s="1019"/>
      <c r="FX631" s="1019"/>
      <c r="FY631" s="1019"/>
      <c r="FZ631" s="1019"/>
      <c r="GA631" s="1019"/>
      <c r="GB631" s="1019"/>
      <c r="GC631" s="1717"/>
      <c r="GD631" s="1718"/>
      <c r="GE631" s="1019"/>
      <c r="GF631" s="1027"/>
      <c r="GG631" s="1027"/>
      <c r="GH631" s="1019"/>
      <c r="GI631" s="1019"/>
      <c r="GJ631" s="1019"/>
      <c r="GK631" s="1019"/>
      <c r="GL631" s="1019"/>
      <c r="GM631" s="1019"/>
      <c r="GN631" s="1804"/>
      <c r="GO631" s="1019"/>
      <c r="GP631" s="1019"/>
      <c r="GQ631" s="1019"/>
      <c r="GR631" s="1019"/>
      <c r="GS631" s="1019"/>
      <c r="GT631" s="1019"/>
      <c r="GU631" s="1019"/>
      <c r="GV631" s="1019"/>
      <c r="GW631" s="1019"/>
      <c r="GX631" s="1019"/>
      <c r="GY631" s="1019"/>
      <c r="GZ631" s="1019"/>
      <c r="HA631" s="1019"/>
      <c r="HB631" s="1019"/>
      <c r="HC631" s="1019"/>
      <c r="HD631" s="1019"/>
      <c r="HE631" s="1019"/>
      <c r="HF631" s="1019"/>
      <c r="HG631" s="1019"/>
      <c r="HH631" s="1019"/>
      <c r="HI631" s="1019"/>
      <c r="HJ631" s="1019"/>
      <c r="HK631" s="1019"/>
      <c r="HL631" s="1019"/>
      <c r="HM631" s="1019"/>
      <c r="HN631" s="1019"/>
      <c r="HO631" s="1019"/>
      <c r="HP631" s="1019"/>
      <c r="HQ631" s="1019"/>
      <c r="HR631" s="1019"/>
      <c r="HS631" s="1019"/>
      <c r="HT631" s="1019"/>
      <c r="HU631" s="1019"/>
      <c r="HV631" s="1019"/>
      <c r="HW631" s="1019"/>
      <c r="HX631" s="1019"/>
      <c r="HY631" s="1019"/>
      <c r="HZ631" s="1019"/>
      <c r="IA631" s="1019"/>
      <c r="IB631" s="14" t="e">
        <f>IF(#REF!&gt;0,IF(#REF!&lt;=10000,"Y",""),"")</f>
        <v>#REF!</v>
      </c>
      <c r="IC631" s="1019"/>
      <c r="ID631" s="1019">
        <v>1</v>
      </c>
      <c r="IE631" s="1019"/>
      <c r="IF631" s="1019"/>
      <c r="IG631" s="1019"/>
      <c r="IH631" s="1019"/>
      <c r="II631" s="1019"/>
      <c r="IJ631" s="1019"/>
      <c r="IK631" s="1019"/>
      <c r="IL631" s="1019"/>
      <c r="IM631" s="1019"/>
      <c r="IN631" s="1019"/>
      <c r="IO631" s="1805"/>
      <c r="IP631" s="1019"/>
      <c r="IQ631" s="1019"/>
      <c r="IR631" s="1019"/>
      <c r="IS631" s="1019"/>
      <c r="IT631" s="1019"/>
      <c r="IU631" s="1019"/>
      <c r="IV631" s="1019"/>
      <c r="IW631" s="1019"/>
      <c r="IX631" s="1019"/>
      <c r="IY631" s="1812"/>
      <c r="IZ631" s="1019"/>
      <c r="JA631" s="1019"/>
      <c r="JB631" s="1019"/>
      <c r="JC631" s="1019"/>
      <c r="JD631" s="1027"/>
      <c r="JE631" s="1019"/>
      <c r="JF631" s="1019"/>
      <c r="JG631" s="1019"/>
      <c r="JH631" s="1802"/>
      <c r="JI631" s="712" t="str">
        <f>IF(SUM(JT631,JU631)=JJ631,"ok","review")</f>
        <v>ok</v>
      </c>
      <c r="JJ631" s="1019">
        <v>3</v>
      </c>
      <c r="JK631" s="1047" t="s">
        <v>13835</v>
      </c>
      <c r="JL631" s="1019"/>
      <c r="JM631" s="1019"/>
      <c r="JN631" s="1019">
        <v>1</v>
      </c>
      <c r="JO631" s="1019">
        <v>1</v>
      </c>
      <c r="JP631" s="1019"/>
      <c r="JQ631" s="1019">
        <v>1</v>
      </c>
      <c r="JR631" s="1019"/>
      <c r="JS631" s="1019"/>
      <c r="JT631" s="766">
        <f t="shared" si="197"/>
        <v>1</v>
      </c>
      <c r="JU631" s="766">
        <f t="shared" si="197"/>
        <v>2</v>
      </c>
      <c r="JV631" s="712" t="str">
        <f t="shared" si="190"/>
        <v>ok</v>
      </c>
      <c r="JW631" s="712" t="str">
        <f t="shared" si="191"/>
        <v>ok</v>
      </c>
      <c r="JX631" s="1019"/>
      <c r="JY631" s="1019"/>
      <c r="JZ631" s="1019"/>
      <c r="KA631" s="1019"/>
      <c r="KB631" s="1019">
        <v>1</v>
      </c>
      <c r="KC631" s="1019"/>
      <c r="KD631" s="1019"/>
      <c r="KE631" s="1019">
        <v>1</v>
      </c>
      <c r="KF631" s="1019"/>
      <c r="KG631" s="1019">
        <v>1</v>
      </c>
      <c r="KH631" s="1019"/>
      <c r="KI631" s="1019"/>
      <c r="KJ631" s="770">
        <f t="shared" si="168"/>
        <v>1</v>
      </c>
      <c r="KK631" s="770">
        <f t="shared" si="168"/>
        <v>2</v>
      </c>
      <c r="KL631" s="712" t="str">
        <f t="shared" si="192"/>
        <v>ok</v>
      </c>
      <c r="KM631" s="712" t="str">
        <f t="shared" si="193"/>
        <v>ok</v>
      </c>
      <c r="KN631" s="1019" t="s">
        <v>722</v>
      </c>
      <c r="KO631" s="1019"/>
      <c r="KP631" s="1019"/>
      <c r="KQ631" s="1019"/>
      <c r="KR631" s="1019"/>
      <c r="KS631" s="1019"/>
      <c r="KT631" s="1019"/>
      <c r="KU631" s="1019"/>
      <c r="KV631" s="1019"/>
      <c r="KW631" s="1019"/>
      <c r="KX631" s="1019"/>
      <c r="KY631" s="1019"/>
      <c r="KZ631" s="1019">
        <v>1</v>
      </c>
      <c r="LA631" s="1019">
        <v>1</v>
      </c>
      <c r="LB631" s="1019"/>
      <c r="LC631" s="1019"/>
      <c r="LD631" s="1019"/>
      <c r="LE631" s="1019">
        <v>1</v>
      </c>
      <c r="LF631" s="1019"/>
      <c r="LG631" s="1019"/>
      <c r="LH631" s="1019"/>
      <c r="LI631" s="1019"/>
      <c r="LJ631" s="1019"/>
      <c r="LK631" s="1019"/>
      <c r="LL631" s="1019"/>
      <c r="LM631" s="1019"/>
      <c r="LN631" s="766">
        <f t="shared" si="198"/>
        <v>1</v>
      </c>
      <c r="LO631" s="766">
        <f t="shared" si="198"/>
        <v>2</v>
      </c>
      <c r="LP631" s="1019"/>
      <c r="LQ631" s="1019"/>
      <c r="LR631" s="1019"/>
      <c r="LS631" s="1019"/>
      <c r="LT631" s="712" t="str">
        <f t="shared" si="195"/>
        <v>OK</v>
      </c>
      <c r="LU631" s="1019"/>
      <c r="LV631" s="1019"/>
      <c r="LW631" s="1019"/>
      <c r="LX631" s="1693"/>
      <c r="LY631" s="766" t="str">
        <f t="shared" si="187"/>
        <v/>
      </c>
      <c r="LZ631" s="1807"/>
      <c r="MA631" s="1807"/>
      <c r="MB631" s="1807"/>
      <c r="MC631" s="1679">
        <f t="shared" si="185"/>
        <v>0</v>
      </c>
      <c r="MD631" s="1807">
        <v>16000</v>
      </c>
      <c r="ME631" s="1807"/>
      <c r="MF631" s="1807"/>
      <c r="MG631" s="1680">
        <f t="shared" si="196"/>
        <v>16000</v>
      </c>
      <c r="MH631" s="1019" t="s">
        <v>13836</v>
      </c>
      <c r="MI631" s="64">
        <v>9000</v>
      </c>
      <c r="MJ631" s="1027">
        <v>4000</v>
      </c>
      <c r="MK631" s="1027"/>
      <c r="ML631" s="1027">
        <v>1500</v>
      </c>
      <c r="MM631" s="1027"/>
      <c r="MN631" s="1027"/>
      <c r="MO631" s="1027"/>
      <c r="MP631" s="1027">
        <v>1000</v>
      </c>
      <c r="MQ631" s="1027">
        <v>1600</v>
      </c>
      <c r="MR631" s="1027">
        <v>1200</v>
      </c>
      <c r="MS631" s="1027"/>
      <c r="MT631" s="1027"/>
      <c r="MU631" s="1027"/>
      <c r="MV631" s="1027"/>
      <c r="MW631" s="1027"/>
      <c r="MX631" s="1027"/>
      <c r="MY631" s="1682">
        <f t="shared" si="165"/>
        <v>18300</v>
      </c>
      <c r="MZ631" s="1019" t="s">
        <v>13370</v>
      </c>
      <c r="NA631" s="1019" t="s">
        <v>13230</v>
      </c>
      <c r="NB631" s="1019" t="s">
        <v>13016</v>
      </c>
      <c r="NC631" s="1019" t="s">
        <v>13602</v>
      </c>
      <c r="ND631" s="1019">
        <v>0</v>
      </c>
      <c r="NE631" s="1019">
        <v>0</v>
      </c>
      <c r="NF631" s="1019">
        <v>0</v>
      </c>
      <c r="NG631" s="1019">
        <v>2</v>
      </c>
      <c r="NH631" s="1019">
        <v>1</v>
      </c>
      <c r="NI631" s="1019">
        <v>0</v>
      </c>
      <c r="NJ631" s="1019">
        <v>0</v>
      </c>
      <c r="NK631" s="1019">
        <v>0</v>
      </c>
      <c r="NL631" s="1019">
        <v>0</v>
      </c>
      <c r="NM631" s="1019">
        <v>0</v>
      </c>
      <c r="NN631" s="1019">
        <v>0</v>
      </c>
      <c r="NO631" s="1019">
        <v>0</v>
      </c>
      <c r="NP631" s="1019">
        <v>0</v>
      </c>
      <c r="NQ631" s="1019">
        <v>0</v>
      </c>
      <c r="NR631" s="1019">
        <v>0</v>
      </c>
      <c r="NS631" s="1019">
        <v>0</v>
      </c>
      <c r="NT631" s="1019">
        <v>0</v>
      </c>
      <c r="NU631" s="1019">
        <v>0</v>
      </c>
      <c r="NV631" s="1019">
        <v>0</v>
      </c>
      <c r="NW631" s="1019">
        <v>1</v>
      </c>
      <c r="NX631" s="1019">
        <v>0</v>
      </c>
      <c r="NY631" s="1019" t="s">
        <v>1208</v>
      </c>
      <c r="NZ631" s="1019" t="s">
        <v>1208</v>
      </c>
      <c r="OA631" s="1019"/>
      <c r="OB631" s="1019"/>
      <c r="OC631" s="1019" t="s">
        <v>1208</v>
      </c>
      <c r="OD631" s="1019"/>
      <c r="OE631" s="1019"/>
      <c r="OF631" s="1019"/>
      <c r="OG631" s="1019"/>
      <c r="OH631" s="1019"/>
      <c r="OI631" s="1019"/>
      <c r="OJ631" s="1019"/>
      <c r="OK631" s="1019"/>
      <c r="OL631" s="1019"/>
      <c r="OM631" s="1019"/>
      <c r="ON631" s="1019"/>
      <c r="OO631" s="1019"/>
      <c r="OP631" s="1019"/>
      <c r="OQ631" s="1019"/>
      <c r="OR631" s="1019"/>
      <c r="OS631" s="1019"/>
      <c r="OT631" s="1019"/>
      <c r="OU631" s="1019"/>
      <c r="OV631" s="1019"/>
      <c r="OW631" s="1019"/>
      <c r="OX631" s="1019"/>
      <c r="OY631" s="1019"/>
      <c r="OZ631" s="1019"/>
      <c r="PA631" s="1019"/>
      <c r="PB631" s="1019"/>
      <c r="PC631" s="1019"/>
      <c r="PD631" s="1019"/>
      <c r="PE631" s="1019"/>
      <c r="PF631" s="1019"/>
      <c r="PG631" s="1019"/>
      <c r="PH631" s="1019"/>
      <c r="PI631" s="1019"/>
      <c r="PJ631" s="1019"/>
      <c r="PK631" s="1019"/>
      <c r="PL631" s="1019"/>
      <c r="PM631" s="1019"/>
      <c r="PN631" s="1019"/>
      <c r="PO631" s="1019"/>
      <c r="PP631" s="1019"/>
      <c r="PQ631" s="1019"/>
      <c r="PR631" s="1019"/>
      <c r="PS631" s="1019"/>
      <c r="PT631" s="1019"/>
      <c r="PU631" s="1019"/>
      <c r="PV631" s="1019"/>
      <c r="PW631" s="1019"/>
      <c r="PX631" s="1019"/>
      <c r="PY631" s="1019"/>
      <c r="PZ631" s="1019"/>
      <c r="QA631" s="1019"/>
      <c r="QB631" s="1019"/>
      <c r="QC631" s="1019"/>
      <c r="QD631" s="1019"/>
      <c r="QE631" s="1019"/>
      <c r="QF631" s="1019"/>
      <c r="QG631" s="1019"/>
      <c r="QH631" s="1019"/>
      <c r="QI631" s="1019"/>
      <c r="QJ631" s="1019"/>
      <c r="QK631" s="1019"/>
      <c r="QL631" s="1019"/>
      <c r="QM631" s="1019"/>
      <c r="QN631" s="1019"/>
      <c r="QO631" s="1019"/>
      <c r="QP631" s="1019"/>
      <c r="QQ631" s="1019"/>
      <c r="QR631" s="1019"/>
      <c r="QS631" s="1019"/>
      <c r="QT631" s="1019"/>
      <c r="QU631" s="1019"/>
      <c r="QV631" s="1019"/>
      <c r="QW631" s="1019"/>
      <c r="QX631" s="1019"/>
      <c r="QY631" s="1019"/>
      <c r="QZ631" s="1019"/>
      <c r="RA631" s="1019"/>
      <c r="RB631" s="1019" t="s">
        <v>1207</v>
      </c>
      <c r="RC631" s="1019">
        <v>2014</v>
      </c>
      <c r="RD631" s="1019" t="s">
        <v>13251</v>
      </c>
      <c r="RE631" s="1019" t="s">
        <v>12999</v>
      </c>
      <c r="RF631" s="1794">
        <v>1.5</v>
      </c>
      <c r="RG631" s="1019" t="s">
        <v>13047</v>
      </c>
      <c r="RH631" s="1027">
        <v>5500</v>
      </c>
      <c r="RI631" s="1019">
        <v>3</v>
      </c>
      <c r="RJ631" s="1019" t="s">
        <v>13837</v>
      </c>
      <c r="RK631" s="1019" t="s">
        <v>13544</v>
      </c>
      <c r="RL631" s="1810"/>
      <c r="RM631" s="1714"/>
      <c r="RN631" s="1724"/>
      <c r="RO631" s="533" t="s">
        <v>4148</v>
      </c>
      <c r="RR631" s="311" t="s">
        <v>12355</v>
      </c>
      <c r="RS631" s="1139" t="s">
        <v>12980</v>
      </c>
      <c r="RV631" s="6" t="s">
        <v>7421</v>
      </c>
      <c r="RW631" s="35" t="s">
        <v>10340</v>
      </c>
      <c r="RX631" s="35" t="s">
        <v>10341</v>
      </c>
      <c r="SA631" s="6"/>
    </row>
    <row r="632" spans="1:495" s="35" customFormat="1" ht="12.75" customHeight="1">
      <c r="A632" s="19" t="s">
        <v>7421</v>
      </c>
      <c r="B632" s="1082" t="s">
        <v>7828</v>
      </c>
      <c r="C632" s="533" t="s">
        <v>4158</v>
      </c>
      <c r="D632" s="1714" t="s">
        <v>11543</v>
      </c>
      <c r="E632" s="1019" t="s">
        <v>4160</v>
      </c>
      <c r="F632" s="1019" t="s">
        <v>20</v>
      </c>
      <c r="G632" s="1019" t="s">
        <v>10</v>
      </c>
      <c r="H632" s="1019"/>
      <c r="I632" s="1812" t="s">
        <v>4161</v>
      </c>
      <c r="J632" s="1714" t="s">
        <v>4159</v>
      </c>
      <c r="K632" s="6" t="s">
        <v>4162</v>
      </c>
      <c r="L632" s="6" t="s">
        <v>4163</v>
      </c>
      <c r="M632" s="1019" t="s">
        <v>2402</v>
      </c>
      <c r="N632" s="1019" t="s">
        <v>11537</v>
      </c>
      <c r="O632" s="1019" t="s">
        <v>11456</v>
      </c>
      <c r="P632" s="1714" t="s">
        <v>11544</v>
      </c>
      <c r="Q632" s="1831">
        <v>20498</v>
      </c>
      <c r="R632" s="1718">
        <v>61</v>
      </c>
      <c r="S632" s="1019" t="s">
        <v>10</v>
      </c>
      <c r="T632" s="1019"/>
      <c r="U632" s="1812" t="s">
        <v>4161</v>
      </c>
      <c r="V632" s="1019" t="s">
        <v>707</v>
      </c>
      <c r="W632" s="1812" t="s">
        <v>11543</v>
      </c>
      <c r="X632" s="1831"/>
      <c r="Y632" s="1019" t="s">
        <v>4160</v>
      </c>
      <c r="Z632" s="1019" t="s">
        <v>708</v>
      </c>
      <c r="AA632" s="1019" t="s">
        <v>709</v>
      </c>
      <c r="AB632" s="1019"/>
      <c r="AC632" s="1019"/>
      <c r="AD632" s="1019"/>
      <c r="AE632" s="1019"/>
      <c r="AF632" s="1019"/>
      <c r="AG632" s="1019" t="s">
        <v>1132</v>
      </c>
      <c r="AH632" s="766" t="s">
        <v>1096</v>
      </c>
      <c r="AI632" s="1019"/>
      <c r="AJ632" s="1019" t="s">
        <v>1137</v>
      </c>
      <c r="AK632" s="1019" t="s">
        <v>1101</v>
      </c>
      <c r="AL632" s="1770">
        <v>19.8</v>
      </c>
      <c r="AM632" s="1108">
        <v>1.375</v>
      </c>
      <c r="AN632" s="1078">
        <f t="shared" si="186"/>
        <v>6.9444444444444448E-2</v>
      </c>
      <c r="AO632" s="6" t="s">
        <v>1098</v>
      </c>
      <c r="AP632" s="6"/>
      <c r="AQ632" s="6"/>
      <c r="AR632" s="6"/>
      <c r="AS632" s="1019"/>
      <c r="AT632" s="1019"/>
      <c r="AU632" s="1019"/>
      <c r="AV632" s="1019"/>
      <c r="AW632" s="1019"/>
      <c r="AX632" s="1019"/>
      <c r="AY632" s="1019"/>
      <c r="AZ632" s="1019"/>
      <c r="BA632" s="1019"/>
      <c r="BB632" s="1019"/>
      <c r="BC632" s="1019"/>
      <c r="BD632" s="1019"/>
      <c r="BE632" s="1019"/>
      <c r="BF632" s="1027"/>
      <c r="BG632" s="1027"/>
      <c r="BH632" s="1019"/>
      <c r="BI632" s="1019"/>
      <c r="BJ632" s="1019"/>
      <c r="BK632" s="1019" t="s">
        <v>1095</v>
      </c>
      <c r="BL632" s="1019" t="s">
        <v>4165</v>
      </c>
      <c r="BM632" s="1019" t="s">
        <v>1096</v>
      </c>
      <c r="BN632" s="1019" t="s">
        <v>1230</v>
      </c>
      <c r="BO632" s="1019" t="s">
        <v>1252</v>
      </c>
      <c r="BP632" s="1116">
        <v>59.4</v>
      </c>
      <c r="BQ632" s="46">
        <v>4.12</v>
      </c>
      <c r="BR632" s="47">
        <f>BQ632/BP632</f>
        <v>6.9360269360269358E-2</v>
      </c>
      <c r="BS632" s="766" t="s">
        <v>1242</v>
      </c>
      <c r="BT632" s="1019" t="s">
        <v>1240</v>
      </c>
      <c r="BU632" s="1019" t="s">
        <v>1241</v>
      </c>
      <c r="BV632" s="1019" t="s">
        <v>1262</v>
      </c>
      <c r="BW632" s="1019">
        <v>1979</v>
      </c>
      <c r="BX632" s="1027"/>
      <c r="BY632" s="1019"/>
      <c r="BZ632" s="1027"/>
      <c r="CA632" s="1019"/>
      <c r="CB632" s="1019" t="s">
        <v>1207</v>
      </c>
      <c r="CC632" s="1019"/>
      <c r="CD632" s="1019"/>
      <c r="CE632" s="1019"/>
      <c r="CF632" s="1796"/>
      <c r="CG632" s="1797"/>
      <c r="CH632" s="1019"/>
      <c r="CI632" s="1019"/>
      <c r="CJ632" s="1019"/>
      <c r="CK632" s="1019"/>
      <c r="CL632" s="1019"/>
      <c r="CM632" s="1019"/>
      <c r="CN632" s="1019"/>
      <c r="CO632" s="1019"/>
      <c r="CP632" s="1019"/>
      <c r="CQ632" s="1019"/>
      <c r="CR632" s="1027"/>
      <c r="CS632" s="1019"/>
      <c r="CT632" s="1019"/>
      <c r="CU632" s="1798"/>
      <c r="CV632" s="1019"/>
      <c r="CW632" s="1019"/>
      <c r="CX632" s="1019"/>
      <c r="CY632" s="1019"/>
      <c r="CZ632" s="1019"/>
      <c r="DA632" s="1799"/>
      <c r="DB632" s="1019"/>
      <c r="DC632" s="1019"/>
      <c r="DD632" s="1019"/>
      <c r="DE632" s="1800"/>
      <c r="DF632" s="1019"/>
      <c r="DG632" s="1019"/>
      <c r="DH632" s="1019"/>
      <c r="DI632" s="1019"/>
      <c r="DJ632" s="1019"/>
      <c r="DK632" s="1019"/>
      <c r="DL632" s="1019"/>
      <c r="DM632" s="1019"/>
      <c r="DN632" s="1801"/>
      <c r="DO632" s="1019"/>
      <c r="DP632" s="1019"/>
      <c r="DQ632" s="1019"/>
      <c r="DR632" s="1019"/>
      <c r="DS632" s="1802"/>
      <c r="DT632" s="1716"/>
      <c r="DU632" s="1019"/>
      <c r="DV632" s="1019"/>
      <c r="DW632" s="1799"/>
      <c r="DX632" s="1799"/>
      <c r="DY632" s="1019"/>
      <c r="DZ632" s="1019"/>
      <c r="EA632" s="1019"/>
      <c r="EB632" s="1019"/>
      <c r="EC632" s="1019"/>
      <c r="ED632" s="1019"/>
      <c r="EE632" s="1019"/>
      <c r="EF632" s="1019"/>
      <c r="EG632" s="1019"/>
      <c r="EH632" s="1019"/>
      <c r="EI632" s="1019"/>
      <c r="EJ632" s="1019"/>
      <c r="EK632" s="1019"/>
      <c r="EL632" s="1019"/>
      <c r="EM632" s="1019"/>
      <c r="EN632" s="1019"/>
      <c r="EO632" s="1019"/>
      <c r="EP632" s="1714"/>
      <c r="EQ632" s="1019"/>
      <c r="ER632" s="1019"/>
      <c r="ES632" s="1019"/>
      <c r="ET632" s="1019"/>
      <c r="EU632" s="1019"/>
      <c r="EV632" s="1019"/>
      <c r="EW632" s="1019"/>
      <c r="EX632" s="1019"/>
      <c r="EY632" s="1019"/>
      <c r="EZ632" s="1019" t="s">
        <v>4164</v>
      </c>
      <c r="FA632" s="1019" t="s">
        <v>3996</v>
      </c>
      <c r="FB632" s="1019" t="s">
        <v>1257</v>
      </c>
      <c r="FC632" s="1019"/>
      <c r="FD632" s="1027"/>
      <c r="FE632" s="1019" t="s">
        <v>11545</v>
      </c>
      <c r="FF632" s="1019"/>
      <c r="FG632" s="1019" t="s">
        <v>11546</v>
      </c>
      <c r="FH632" s="1019" t="s">
        <v>478</v>
      </c>
      <c r="FI632" s="1019">
        <v>1</v>
      </c>
      <c r="FJ632" s="1019"/>
      <c r="FK632" s="1019"/>
      <c r="FL632" s="1019"/>
      <c r="FM632" s="1027"/>
      <c r="FN632" s="1027"/>
      <c r="FO632" s="1027"/>
      <c r="FP632" s="766" t="s">
        <v>1600</v>
      </c>
      <c r="FQ632" s="766" t="s">
        <v>1642</v>
      </c>
      <c r="FR632" s="1019" t="s">
        <v>1214</v>
      </c>
      <c r="FS632" s="1019"/>
      <c r="FT632" s="1019"/>
      <c r="FU632" s="1019"/>
      <c r="FV632" s="1019"/>
      <c r="FW632" s="1019"/>
      <c r="FX632" s="1019"/>
      <c r="FY632" s="1019"/>
      <c r="FZ632" s="1019"/>
      <c r="GA632" s="1019"/>
      <c r="GB632" s="1019" t="s">
        <v>1734</v>
      </c>
      <c r="GC632" s="1717"/>
      <c r="GD632" s="1718">
        <f>2017-30</f>
        <v>1987</v>
      </c>
      <c r="GE632" s="1019" t="s">
        <v>1214</v>
      </c>
      <c r="GF632" s="1027"/>
      <c r="GG632" s="1027"/>
      <c r="GH632" s="1019" t="s">
        <v>1791</v>
      </c>
      <c r="GI632" s="1019"/>
      <c r="GJ632" s="1019" t="s">
        <v>12573</v>
      </c>
      <c r="GK632" s="1019" t="s">
        <v>12574</v>
      </c>
      <c r="GL632" s="1019"/>
      <c r="GM632" s="1019"/>
      <c r="GN632" s="1804"/>
      <c r="GO632" s="1019" t="s">
        <v>11391</v>
      </c>
      <c r="GP632" s="1019" t="s">
        <v>1208</v>
      </c>
      <c r="GQ632" s="1019" t="s">
        <v>1208</v>
      </c>
      <c r="GR632" s="1019" t="s">
        <v>1208</v>
      </c>
      <c r="GS632" s="1019" t="s">
        <v>1208</v>
      </c>
      <c r="GT632" s="1019" t="s">
        <v>1208</v>
      </c>
      <c r="GU632" s="1019"/>
      <c r="GV632" s="1019"/>
      <c r="GW632" s="1019" t="s">
        <v>1207</v>
      </c>
      <c r="GX632" s="1019"/>
      <c r="GY632" s="1019" t="s">
        <v>1208</v>
      </c>
      <c r="GZ632" s="1019" t="s">
        <v>1208</v>
      </c>
      <c r="HA632" s="1019" t="s">
        <v>1208</v>
      </c>
      <c r="HB632" s="1019" t="s">
        <v>1208</v>
      </c>
      <c r="HC632" s="1019" t="s">
        <v>1208</v>
      </c>
      <c r="HD632" s="1019" t="s">
        <v>1208</v>
      </c>
      <c r="HE632" s="1019"/>
      <c r="HF632" s="1019"/>
      <c r="HG632" s="1019"/>
      <c r="HH632" s="1019"/>
      <c r="HI632" s="1019" t="s">
        <v>1214</v>
      </c>
      <c r="HJ632" s="1019"/>
      <c r="HK632" s="1019"/>
      <c r="HL632" s="1019" t="s">
        <v>1214</v>
      </c>
      <c r="HM632" s="1019"/>
      <c r="HN632" s="1019"/>
      <c r="HO632" s="1019"/>
      <c r="HP632" s="1019"/>
      <c r="HQ632" s="1019"/>
      <c r="HR632" s="1019"/>
      <c r="HS632" s="1019"/>
      <c r="HT632" s="1019"/>
      <c r="HU632" s="1019"/>
      <c r="HV632" s="1019"/>
      <c r="HW632" s="1019"/>
      <c r="HX632" s="1019"/>
      <c r="HY632" s="1019"/>
      <c r="HZ632" s="1019"/>
      <c r="IA632" s="1019"/>
      <c r="IB632" s="14" t="e">
        <f>IF(#REF!&gt;0,IF(#REF!&lt;=10000,"Y",""),"")</f>
        <v>#REF!</v>
      </c>
      <c r="IC632" s="1019"/>
      <c r="ID632" s="1019"/>
      <c r="IE632" s="1019"/>
      <c r="IF632" s="1019"/>
      <c r="IG632" s="1019"/>
      <c r="IH632" s="1019"/>
      <c r="II632" s="1019"/>
      <c r="IJ632" s="1019"/>
      <c r="IK632" s="1019"/>
      <c r="IL632" s="1019"/>
      <c r="IM632" s="1019"/>
      <c r="IN632" s="1019"/>
      <c r="IO632" s="1805"/>
      <c r="IP632" s="1019"/>
      <c r="IQ632" s="1019"/>
      <c r="IR632" s="1019"/>
      <c r="IS632" s="1019"/>
      <c r="IT632" s="1019"/>
      <c r="IU632" s="1019"/>
      <c r="IV632" s="1019"/>
      <c r="IW632" s="1019"/>
      <c r="IX632" s="1019"/>
      <c r="IY632" s="1812"/>
      <c r="IZ632" s="1019"/>
      <c r="JA632" s="1019"/>
      <c r="JB632" s="1019"/>
      <c r="JC632" s="1019"/>
      <c r="JD632" s="1027"/>
      <c r="JE632" s="1019"/>
      <c r="JF632" s="1019"/>
      <c r="JG632" s="1019"/>
      <c r="JH632" s="1802"/>
      <c r="JI632" s="1802"/>
      <c r="JJ632" s="1019">
        <v>7</v>
      </c>
      <c r="JK632" s="1047" t="s">
        <v>13838</v>
      </c>
      <c r="JL632" s="1019">
        <v>3</v>
      </c>
      <c r="JM632" s="1019"/>
      <c r="JN632" s="1019">
        <v>2</v>
      </c>
      <c r="JO632" s="1019">
        <v>2</v>
      </c>
      <c r="JP632" s="1019"/>
      <c r="JQ632" s="1019"/>
      <c r="JR632" s="1019"/>
      <c r="JS632" s="1019"/>
      <c r="JT632" s="766">
        <f t="shared" si="197"/>
        <v>5</v>
      </c>
      <c r="JU632" s="766">
        <f t="shared" si="197"/>
        <v>2</v>
      </c>
      <c r="JV632" s="712" t="str">
        <f t="shared" si="190"/>
        <v>ok</v>
      </c>
      <c r="JW632" s="712" t="str">
        <f t="shared" si="191"/>
        <v>ok</v>
      </c>
      <c r="JX632" s="1019"/>
      <c r="JY632" s="1019"/>
      <c r="JZ632" s="1019">
        <v>3</v>
      </c>
      <c r="KA632" s="1019"/>
      <c r="KB632" s="1019">
        <v>1</v>
      </c>
      <c r="KC632" s="1019">
        <v>1</v>
      </c>
      <c r="KD632" s="1019"/>
      <c r="KE632" s="1019"/>
      <c r="KF632" s="1019">
        <v>1</v>
      </c>
      <c r="KG632" s="1019">
        <v>1</v>
      </c>
      <c r="KH632" s="1019"/>
      <c r="KI632" s="1019"/>
      <c r="KJ632" s="770">
        <f t="shared" si="168"/>
        <v>5</v>
      </c>
      <c r="KK632" s="770">
        <f t="shared" si="168"/>
        <v>2</v>
      </c>
      <c r="KL632" s="712" t="str">
        <f t="shared" si="192"/>
        <v>ok</v>
      </c>
      <c r="KM632" s="712" t="str">
        <f t="shared" si="193"/>
        <v>ok</v>
      </c>
      <c r="KN632" s="1019" t="s">
        <v>707</v>
      </c>
      <c r="KO632" s="1019"/>
      <c r="KP632" s="1019"/>
      <c r="KQ632" s="1019"/>
      <c r="KR632" s="1019"/>
      <c r="KS632" s="1019"/>
      <c r="KT632" s="1019">
        <v>2</v>
      </c>
      <c r="KU632" s="1019"/>
      <c r="KV632" s="1019"/>
      <c r="KW632" s="1019"/>
      <c r="KX632" s="1019">
        <v>1</v>
      </c>
      <c r="KY632" s="1019"/>
      <c r="KZ632" s="1019"/>
      <c r="LA632" s="1019">
        <v>1</v>
      </c>
      <c r="LB632" s="1019">
        <v>1</v>
      </c>
      <c r="LC632" s="1019">
        <v>1</v>
      </c>
      <c r="LD632" s="1019">
        <v>1</v>
      </c>
      <c r="LE632" s="1019"/>
      <c r="LF632" s="1019"/>
      <c r="LG632" s="1019"/>
      <c r="LH632" s="1019"/>
      <c r="LI632" s="1019"/>
      <c r="LJ632" s="1019"/>
      <c r="LK632" s="1019"/>
      <c r="LL632" s="1019"/>
      <c r="LM632" s="1019"/>
      <c r="LN632" s="766">
        <f t="shared" si="198"/>
        <v>5</v>
      </c>
      <c r="LO632" s="766">
        <f t="shared" si="198"/>
        <v>2</v>
      </c>
      <c r="LP632" s="1019"/>
      <c r="LQ632" s="1019"/>
      <c r="LR632" s="1019"/>
      <c r="LS632" s="1019"/>
      <c r="LT632" s="712" t="str">
        <f t="shared" si="195"/>
        <v>OK</v>
      </c>
      <c r="LU632" s="1019"/>
      <c r="LV632" s="1019"/>
      <c r="LW632" s="1019"/>
      <c r="LX632" s="1693">
        <v>2</v>
      </c>
      <c r="LY632" s="766" t="str">
        <f t="shared" si="187"/>
        <v>within the MUNICIPALITY</v>
      </c>
      <c r="LZ632" s="1807">
        <f>9000+9000</f>
        <v>18000</v>
      </c>
      <c r="MA632" s="1807"/>
      <c r="MB632" s="1807"/>
      <c r="MC632" s="1679">
        <f t="shared" si="185"/>
        <v>18000</v>
      </c>
      <c r="MD632" s="1807">
        <v>18000</v>
      </c>
      <c r="ME632" s="1807"/>
      <c r="MF632" s="1807"/>
      <c r="MG632" s="1680">
        <f t="shared" si="196"/>
        <v>18000</v>
      </c>
      <c r="MH632" s="1019" t="s">
        <v>13839</v>
      </c>
      <c r="MI632" s="64">
        <v>15000</v>
      </c>
      <c r="MJ632" s="1027">
        <v>12000</v>
      </c>
      <c r="MK632" s="1027">
        <v>6000</v>
      </c>
      <c r="ML632" s="1027">
        <v>4500</v>
      </c>
      <c r="MM632" s="1027"/>
      <c r="MN632" s="1027"/>
      <c r="MO632" s="1027">
        <v>1700</v>
      </c>
      <c r="MP632" s="1027">
        <v>3500</v>
      </c>
      <c r="MQ632" s="1027">
        <v>500</v>
      </c>
      <c r="MR632" s="1027">
        <v>1400</v>
      </c>
      <c r="MS632" s="1027">
        <v>6000</v>
      </c>
      <c r="MT632" s="1027"/>
      <c r="MU632" s="1027"/>
      <c r="MV632" s="1027"/>
      <c r="MW632" s="1027"/>
      <c r="MX632" s="1027"/>
      <c r="MY632" s="1682">
        <f t="shared" si="165"/>
        <v>50600</v>
      </c>
      <c r="MZ632" s="1019" t="s">
        <v>13370</v>
      </c>
      <c r="NA632" s="1019" t="s">
        <v>13005</v>
      </c>
      <c r="NB632" s="1019" t="s">
        <v>13016</v>
      </c>
      <c r="NC632" s="1019" t="s">
        <v>13602</v>
      </c>
      <c r="ND632" s="1019">
        <v>0</v>
      </c>
      <c r="NE632" s="1019">
        <v>1</v>
      </c>
      <c r="NF632" s="1019">
        <v>0</v>
      </c>
      <c r="NG632" s="1019">
        <v>4</v>
      </c>
      <c r="NH632" s="1019">
        <v>3</v>
      </c>
      <c r="NI632" s="1019">
        <v>1</v>
      </c>
      <c r="NJ632" s="1019">
        <v>2</v>
      </c>
      <c r="NK632" s="1019">
        <v>0</v>
      </c>
      <c r="NL632" s="1019">
        <v>2</v>
      </c>
      <c r="NM632" s="1019">
        <v>2</v>
      </c>
      <c r="NN632" s="1019">
        <v>0</v>
      </c>
      <c r="NO632" s="1019">
        <v>0</v>
      </c>
      <c r="NP632" s="1019">
        <v>0</v>
      </c>
      <c r="NQ632" s="1019">
        <v>0</v>
      </c>
      <c r="NR632" s="1019">
        <v>0</v>
      </c>
      <c r="NS632" s="1019">
        <v>0</v>
      </c>
      <c r="NT632" s="1019">
        <v>0</v>
      </c>
      <c r="NU632" s="1019">
        <v>0</v>
      </c>
      <c r="NV632" s="1019">
        <v>0</v>
      </c>
      <c r="NW632" s="1019">
        <v>0</v>
      </c>
      <c r="NX632" s="1019">
        <v>0</v>
      </c>
      <c r="NY632" s="1019" t="s">
        <v>1208</v>
      </c>
      <c r="NZ632" s="1019" t="s">
        <v>1208</v>
      </c>
      <c r="OA632" s="1019" t="s">
        <v>1208</v>
      </c>
      <c r="OB632" s="1019"/>
      <c r="OC632" s="1019" t="s">
        <v>1208</v>
      </c>
      <c r="OD632" s="1019"/>
      <c r="OE632" s="1019"/>
      <c r="OF632" s="1019"/>
      <c r="OG632" s="1019"/>
      <c r="OH632" s="1019"/>
      <c r="OI632" s="1019"/>
      <c r="OJ632" s="1019"/>
      <c r="OK632" s="1019"/>
      <c r="OL632" s="1019"/>
      <c r="OM632" s="1019"/>
      <c r="ON632" s="1019"/>
      <c r="OO632" s="1019"/>
      <c r="OP632" s="1019"/>
      <c r="OQ632" s="1019"/>
      <c r="OR632" s="1019"/>
      <c r="OS632" s="1019"/>
      <c r="OT632" s="1019"/>
      <c r="OU632" s="1019"/>
      <c r="OV632" s="1019"/>
      <c r="OW632" s="1019"/>
      <c r="OX632" s="1019"/>
      <c r="OY632" s="1019"/>
      <c r="OZ632" s="1019"/>
      <c r="PA632" s="1019"/>
      <c r="PB632" s="1019"/>
      <c r="PC632" s="1019"/>
      <c r="PD632" s="1019"/>
      <c r="PE632" s="1019"/>
      <c r="PF632" s="1019"/>
      <c r="PG632" s="1019"/>
      <c r="PH632" s="1019"/>
      <c r="PI632" s="1019"/>
      <c r="PJ632" s="1019"/>
      <c r="PK632" s="1019"/>
      <c r="PL632" s="1019"/>
      <c r="PM632" s="1019"/>
      <c r="PN632" s="1019"/>
      <c r="PO632" s="1019"/>
      <c r="PP632" s="1019"/>
      <c r="PQ632" s="1019"/>
      <c r="PR632" s="1019"/>
      <c r="PS632" s="1019"/>
      <c r="PT632" s="1019"/>
      <c r="PU632" s="1019"/>
      <c r="PV632" s="1019"/>
      <c r="PW632" s="1019"/>
      <c r="PX632" s="1019"/>
      <c r="PY632" s="1019"/>
      <c r="PZ632" s="1019"/>
      <c r="QA632" s="1019"/>
      <c r="QB632" s="1019"/>
      <c r="QC632" s="1019"/>
      <c r="QD632" s="1019"/>
      <c r="QE632" s="1019"/>
      <c r="QF632" s="1019"/>
      <c r="QG632" s="1019"/>
      <c r="QH632" s="1019"/>
      <c r="QI632" s="1019"/>
      <c r="QJ632" s="1019"/>
      <c r="QK632" s="1019"/>
      <c r="QL632" s="1019"/>
      <c r="QM632" s="1019"/>
      <c r="QN632" s="1019"/>
      <c r="QO632" s="1019"/>
      <c r="QP632" s="1019"/>
      <c r="QQ632" s="1019"/>
      <c r="QR632" s="1019"/>
      <c r="QS632" s="1019"/>
      <c r="QT632" s="1019"/>
      <c r="QU632" s="1019"/>
      <c r="QV632" s="1019"/>
      <c r="QW632" s="1019"/>
      <c r="QX632" s="1019"/>
      <c r="QY632" s="1019"/>
      <c r="QZ632" s="1019"/>
      <c r="RA632" s="1019"/>
      <c r="RB632" s="1019" t="s">
        <v>1207</v>
      </c>
      <c r="RC632" s="1019">
        <v>2013</v>
      </c>
      <c r="RD632" s="1019" t="s">
        <v>13251</v>
      </c>
      <c r="RE632" s="1019" t="s">
        <v>12999</v>
      </c>
      <c r="RF632" s="1794">
        <v>0.25</v>
      </c>
      <c r="RG632" s="1019" t="s">
        <v>13047</v>
      </c>
      <c r="RH632" s="1027">
        <v>0</v>
      </c>
      <c r="RI632" s="1019">
        <v>2</v>
      </c>
      <c r="RJ632" s="1019" t="s">
        <v>4165</v>
      </c>
      <c r="RK632" s="1019" t="s">
        <v>13550</v>
      </c>
      <c r="RL632" s="1810">
        <v>42835</v>
      </c>
      <c r="RM632" s="843" t="s">
        <v>13816</v>
      </c>
      <c r="RN632" s="1724"/>
      <c r="RO632" s="533" t="s">
        <v>4158</v>
      </c>
      <c r="RR632" s="19" t="s">
        <v>7421</v>
      </c>
      <c r="RS632" s="1139" t="s">
        <v>12980</v>
      </c>
      <c r="RV632" s="6" t="s">
        <v>7421</v>
      </c>
      <c r="RW632" s="35" t="s">
        <v>11708</v>
      </c>
      <c r="RX632" s="35" t="s">
        <v>4148</v>
      </c>
      <c r="RZ632" s="35" t="s">
        <v>1101</v>
      </c>
      <c r="SA632" s="6"/>
    </row>
    <row r="633" spans="1:495" s="35" customFormat="1" ht="12.75" customHeight="1">
      <c r="A633" s="19" t="s">
        <v>7421</v>
      </c>
      <c r="B633" s="1080" t="s">
        <v>11548</v>
      </c>
      <c r="C633" s="533" t="s">
        <v>11549</v>
      </c>
      <c r="D633" s="1714" t="s">
        <v>11550</v>
      </c>
      <c r="E633" s="1019" t="s">
        <v>11551</v>
      </c>
      <c r="F633" s="1019" t="s">
        <v>42</v>
      </c>
      <c r="G633" s="1019" t="s">
        <v>10</v>
      </c>
      <c r="H633" s="1019"/>
      <c r="I633" s="1812"/>
      <c r="J633" s="1714" t="s">
        <v>11552</v>
      </c>
      <c r="K633" s="6" t="s">
        <v>11553</v>
      </c>
      <c r="L633" s="6" t="s">
        <v>11554</v>
      </c>
      <c r="M633" s="1019" t="s">
        <v>2402</v>
      </c>
      <c r="N633" s="1019" t="s">
        <v>11537</v>
      </c>
      <c r="O633" s="1019" t="s">
        <v>11456</v>
      </c>
      <c r="P633" s="1019" t="s">
        <v>11555</v>
      </c>
      <c r="Q633" s="1831">
        <v>32117</v>
      </c>
      <c r="R633" s="1718">
        <v>30</v>
      </c>
      <c r="S633" s="1019" t="s">
        <v>10</v>
      </c>
      <c r="T633" s="1019"/>
      <c r="U633" s="1812"/>
      <c r="V633" s="1019" t="s">
        <v>722</v>
      </c>
      <c r="W633" s="1812"/>
      <c r="X633" s="1831"/>
      <c r="Y633" s="1019" t="s">
        <v>11551</v>
      </c>
      <c r="Z633" s="1019" t="s">
        <v>708</v>
      </c>
      <c r="AA633" s="1019" t="s">
        <v>709</v>
      </c>
      <c r="AB633" s="1019" t="s">
        <v>710</v>
      </c>
      <c r="AC633" s="1019"/>
      <c r="AD633" s="1019" t="s">
        <v>711</v>
      </c>
      <c r="AE633" s="1019"/>
      <c r="AF633" s="1019" t="s">
        <v>712</v>
      </c>
      <c r="AG633" s="1019" t="s">
        <v>1132</v>
      </c>
      <c r="AH633" s="766" t="s">
        <v>1096</v>
      </c>
      <c r="AI633" s="1019"/>
      <c r="AJ633" s="1019" t="s">
        <v>1137</v>
      </c>
      <c r="AK633" s="1019" t="s">
        <v>1101</v>
      </c>
      <c r="AL633" s="1770">
        <v>11.4</v>
      </c>
      <c r="AM633" s="1108">
        <v>9.69</v>
      </c>
      <c r="AN633" s="1078">
        <f t="shared" si="186"/>
        <v>0.85</v>
      </c>
      <c r="AO633" s="6" t="s">
        <v>1105</v>
      </c>
      <c r="AP633" s="6"/>
      <c r="AQ633" s="6"/>
      <c r="AR633" s="6"/>
      <c r="AS633" s="1019"/>
      <c r="AT633" s="1019"/>
      <c r="AU633" s="1019"/>
      <c r="AV633" s="1019"/>
      <c r="AW633" s="1019"/>
      <c r="AX633" s="1019"/>
      <c r="AY633" s="1019"/>
      <c r="AZ633" s="1019"/>
      <c r="BA633" s="1019"/>
      <c r="BB633" s="1019"/>
      <c r="BC633" s="1019"/>
      <c r="BD633" s="1019"/>
      <c r="BE633" s="1019"/>
      <c r="BF633" s="1027"/>
      <c r="BG633" s="1027"/>
      <c r="BH633" s="1019"/>
      <c r="BI633" s="1019"/>
      <c r="BJ633" s="1019"/>
      <c r="BK633" s="1019"/>
      <c r="BL633" s="1019"/>
      <c r="BM633" s="1019"/>
      <c r="BN633" s="1019"/>
      <c r="BO633" s="1019"/>
      <c r="BP633" s="1033"/>
      <c r="BQ633" s="46"/>
      <c r="BR633" s="47"/>
      <c r="BS633" s="6"/>
      <c r="BT633" s="1019"/>
      <c r="BU633" s="1019"/>
      <c r="BV633" s="1019"/>
      <c r="BW633" s="1019"/>
      <c r="BX633" s="1027"/>
      <c r="BY633" s="1019"/>
      <c r="BZ633" s="1027"/>
      <c r="CA633" s="1019"/>
      <c r="CB633" s="1019" t="s">
        <v>1207</v>
      </c>
      <c r="CC633" s="1019" t="s">
        <v>11556</v>
      </c>
      <c r="CD633" s="1019">
        <v>2014</v>
      </c>
      <c r="CE633" s="1019"/>
      <c r="CF633" s="1796">
        <v>1.2</v>
      </c>
      <c r="CG633" s="1797">
        <v>8</v>
      </c>
      <c r="CH633" s="1019" t="s">
        <v>3684</v>
      </c>
      <c r="CI633" s="1019"/>
      <c r="CJ633" s="1019" t="s">
        <v>11557</v>
      </c>
      <c r="CK633" s="1019">
        <v>7</v>
      </c>
      <c r="CL633" s="1716" t="s">
        <v>1249</v>
      </c>
      <c r="CM633" s="1019" t="s">
        <v>3378</v>
      </c>
      <c r="CN633" s="1019"/>
      <c r="CO633" s="1019" t="s">
        <v>1257</v>
      </c>
      <c r="CP633" s="1019"/>
      <c r="CQ633" s="1019"/>
      <c r="CR633" s="1027"/>
      <c r="CS633" s="1019"/>
      <c r="CT633" s="1019"/>
      <c r="CU633" s="1798"/>
      <c r="CV633" s="1019"/>
      <c r="CW633" s="1019"/>
      <c r="CX633" s="1019"/>
      <c r="CY633" s="1019"/>
      <c r="CZ633" s="1019"/>
      <c r="DA633" s="1799"/>
      <c r="DB633" s="1019"/>
      <c r="DC633" s="1019"/>
      <c r="DD633" s="1019"/>
      <c r="DE633" s="1800"/>
      <c r="DF633" s="1019"/>
      <c r="DG633" s="1019"/>
      <c r="DH633" s="1019"/>
      <c r="DI633" s="1019"/>
      <c r="DJ633" s="1019"/>
      <c r="DK633" s="1019"/>
      <c r="DL633" s="1019"/>
      <c r="DM633" s="1019"/>
      <c r="DN633" s="1801"/>
      <c r="DO633" s="1019"/>
      <c r="DP633" s="1019"/>
      <c r="DQ633" s="1019"/>
      <c r="DR633" s="1019"/>
      <c r="DS633" s="1802"/>
      <c r="DT633" s="1716"/>
      <c r="DU633" s="1019"/>
      <c r="DV633" s="1019"/>
      <c r="DW633" s="1799"/>
      <c r="DX633" s="1799"/>
      <c r="DY633" s="1019"/>
      <c r="DZ633" s="1019"/>
      <c r="EA633" s="1019"/>
      <c r="EB633" s="1019"/>
      <c r="EC633" s="1019"/>
      <c r="ED633" s="1019"/>
      <c r="EE633" s="1019"/>
      <c r="EF633" s="1019"/>
      <c r="EG633" s="1019"/>
      <c r="EH633" s="1019"/>
      <c r="EI633" s="1019"/>
      <c r="EJ633" s="1019"/>
      <c r="EK633" s="1019"/>
      <c r="EL633" s="1019"/>
      <c r="EM633" s="1019"/>
      <c r="EN633" s="1019"/>
      <c r="EO633" s="1019"/>
      <c r="EP633" s="1714"/>
      <c r="EQ633" s="1019"/>
      <c r="ER633" s="1019"/>
      <c r="ES633" s="1019"/>
      <c r="ET633" s="1019"/>
      <c r="EU633" s="1019"/>
      <c r="EV633" s="1019"/>
      <c r="EW633" s="1019"/>
      <c r="EX633" s="1019"/>
      <c r="EY633" s="1019"/>
      <c r="EZ633" s="1019" t="s">
        <v>11556</v>
      </c>
      <c r="FA633" s="1019" t="s">
        <v>3092</v>
      </c>
      <c r="FB633" s="1019" t="s">
        <v>1257</v>
      </c>
      <c r="FC633" s="1019"/>
      <c r="FD633" s="1027"/>
      <c r="FE633" s="1019" t="s">
        <v>11558</v>
      </c>
      <c r="FF633" s="1019"/>
      <c r="FG633" s="1019" t="s">
        <v>11559</v>
      </c>
      <c r="FH633" s="1019"/>
      <c r="FI633" s="1019"/>
      <c r="FJ633" s="1019"/>
      <c r="FK633" s="1019"/>
      <c r="FL633" s="1019"/>
      <c r="FM633" s="1027"/>
      <c r="FN633" s="1027"/>
      <c r="FO633" s="1027"/>
      <c r="FP633" s="1019"/>
      <c r="FQ633" s="1019"/>
      <c r="FR633" s="1019"/>
      <c r="FS633" s="1019"/>
      <c r="FT633" s="1019"/>
      <c r="FU633" s="1019"/>
      <c r="FV633" s="1019"/>
      <c r="FW633" s="1019"/>
      <c r="FX633" s="1019"/>
      <c r="FY633" s="1019"/>
      <c r="FZ633" s="1019"/>
      <c r="GA633" s="1019"/>
      <c r="GB633" s="1019"/>
      <c r="GC633" s="1717"/>
      <c r="GD633" s="1718"/>
      <c r="GE633" s="1019"/>
      <c r="GF633" s="1027"/>
      <c r="GG633" s="1027"/>
      <c r="GH633" s="1019"/>
      <c r="GI633" s="1019"/>
      <c r="GJ633" s="1019"/>
      <c r="GK633" s="1019"/>
      <c r="GL633" s="1019"/>
      <c r="GM633" s="1019"/>
      <c r="GN633" s="1804"/>
      <c r="GO633" s="1019"/>
      <c r="GP633" s="1019"/>
      <c r="GQ633" s="1019"/>
      <c r="GR633" s="1019"/>
      <c r="GS633" s="1019"/>
      <c r="GT633" s="1019"/>
      <c r="GU633" s="1019"/>
      <c r="GV633" s="1019"/>
      <c r="GW633" s="1019"/>
      <c r="GX633" s="1019"/>
      <c r="GY633" s="1019"/>
      <c r="GZ633" s="1019"/>
      <c r="HA633" s="1019"/>
      <c r="HB633" s="1019"/>
      <c r="HC633" s="1019"/>
      <c r="HD633" s="1019"/>
      <c r="HE633" s="1019"/>
      <c r="HF633" s="1019"/>
      <c r="HG633" s="1019"/>
      <c r="HH633" s="1019"/>
      <c r="HI633" s="1019"/>
      <c r="HJ633" s="1019"/>
      <c r="HK633" s="1019"/>
      <c r="HL633" s="1019"/>
      <c r="HM633" s="1019"/>
      <c r="HN633" s="1019"/>
      <c r="HO633" s="1019"/>
      <c r="HP633" s="1019"/>
      <c r="HQ633" s="1019"/>
      <c r="HR633" s="1019"/>
      <c r="HS633" s="1019"/>
      <c r="HT633" s="1019"/>
      <c r="HU633" s="1019"/>
      <c r="HV633" s="1019"/>
      <c r="HW633" s="1019"/>
      <c r="HX633" s="1019"/>
      <c r="HY633" s="1019"/>
      <c r="HZ633" s="1019"/>
      <c r="IA633" s="1019"/>
      <c r="IB633" s="1019"/>
      <c r="IC633" s="1019"/>
      <c r="ID633" s="1019">
        <v>1</v>
      </c>
      <c r="IE633" s="1019"/>
      <c r="IF633" s="1019"/>
      <c r="IG633" s="1019"/>
      <c r="IH633" s="1019"/>
      <c r="II633" s="1019"/>
      <c r="IJ633" s="1019"/>
      <c r="IK633" s="1019"/>
      <c r="IL633" s="1019"/>
      <c r="IM633" s="1019"/>
      <c r="IN633" s="1019"/>
      <c r="IO633" s="1805"/>
      <c r="IP633" s="1019"/>
      <c r="IQ633" s="1019"/>
      <c r="IR633" s="1019"/>
      <c r="IS633" s="1019"/>
      <c r="IT633" s="1019"/>
      <c r="IU633" s="1019"/>
      <c r="IV633" s="1019"/>
      <c r="IW633" s="1019"/>
      <c r="IX633" s="1019"/>
      <c r="IY633" s="1812"/>
      <c r="IZ633" s="1019"/>
      <c r="JA633" s="1019"/>
      <c r="JB633" s="1019"/>
      <c r="JC633" s="1019"/>
      <c r="JD633" s="1027"/>
      <c r="JE633" s="1019"/>
      <c r="JF633" s="1019"/>
      <c r="JG633" s="1019"/>
      <c r="JH633" s="1802"/>
      <c r="JI633" s="1802"/>
      <c r="JJ633" s="1019"/>
      <c r="JK633" s="1019"/>
      <c r="JL633" s="1019"/>
      <c r="JM633" s="1019"/>
      <c r="JN633" s="1019"/>
      <c r="JO633" s="1019"/>
      <c r="JP633" s="1019"/>
      <c r="JQ633" s="1019"/>
      <c r="JR633" s="1019"/>
      <c r="JS633" s="1019"/>
      <c r="JT633" s="766"/>
      <c r="JU633" s="766"/>
      <c r="JV633" s="766"/>
      <c r="JW633" s="766"/>
      <c r="JX633" s="1019"/>
      <c r="JY633" s="1019"/>
      <c r="JZ633" s="1019"/>
      <c r="KA633" s="1019"/>
      <c r="KB633" s="1019"/>
      <c r="KC633" s="1019"/>
      <c r="KD633" s="1019"/>
      <c r="KE633" s="1019"/>
      <c r="KF633" s="1019"/>
      <c r="KG633" s="1019"/>
      <c r="KH633" s="1019"/>
      <c r="KI633" s="1019"/>
      <c r="KJ633" s="770"/>
      <c r="KK633" s="770"/>
      <c r="KL633" s="770"/>
      <c r="KM633" s="770"/>
      <c r="KN633" s="1019"/>
      <c r="KO633" s="1019"/>
      <c r="KP633" s="1019"/>
      <c r="KQ633" s="1019"/>
      <c r="KR633" s="1019"/>
      <c r="KS633" s="1019"/>
      <c r="KT633" s="1019"/>
      <c r="KU633" s="1019"/>
      <c r="KV633" s="1019"/>
      <c r="KW633" s="1019"/>
      <c r="KX633" s="1019"/>
      <c r="KY633" s="1019"/>
      <c r="KZ633" s="1019"/>
      <c r="LA633" s="1019"/>
      <c r="LB633" s="1019"/>
      <c r="LC633" s="1019"/>
      <c r="LD633" s="1019"/>
      <c r="LE633" s="1019"/>
      <c r="LF633" s="1019"/>
      <c r="LG633" s="1019"/>
      <c r="LH633" s="1019"/>
      <c r="LI633" s="1019"/>
      <c r="LJ633" s="1019"/>
      <c r="LK633" s="1019"/>
      <c r="LL633" s="1019"/>
      <c r="LM633" s="1019"/>
      <c r="LN633" s="766"/>
      <c r="LO633" s="766"/>
      <c r="LP633" s="1019"/>
      <c r="LQ633" s="1019"/>
      <c r="LR633" s="1019"/>
      <c r="LS633" s="1019"/>
      <c r="LT633" s="1019"/>
      <c r="LU633" s="1019"/>
      <c r="LV633" s="1019"/>
      <c r="LW633" s="1019"/>
      <c r="LX633" s="1693"/>
      <c r="LY633" s="766" t="str">
        <f t="shared" si="187"/>
        <v/>
      </c>
      <c r="LZ633" s="1807"/>
      <c r="MA633" s="1807"/>
      <c r="MB633" s="1807"/>
      <c r="MC633" s="1679">
        <f t="shared" si="185"/>
        <v>0</v>
      </c>
      <c r="MD633" s="1807"/>
      <c r="ME633" s="1807"/>
      <c r="MF633" s="1807"/>
      <c r="MG633" s="1680">
        <f t="shared" si="164"/>
        <v>0</v>
      </c>
      <c r="MH633" s="1019"/>
      <c r="MI633" s="64"/>
      <c r="MJ633" s="1027"/>
      <c r="MK633" s="1027"/>
      <c r="ML633" s="1027"/>
      <c r="MM633" s="1027"/>
      <c r="MN633" s="1027"/>
      <c r="MO633" s="1027"/>
      <c r="MP633" s="1027"/>
      <c r="MQ633" s="1027"/>
      <c r="MR633" s="1027"/>
      <c r="MS633" s="1027"/>
      <c r="MT633" s="1027"/>
      <c r="MU633" s="1027"/>
      <c r="MV633" s="1027"/>
      <c r="MW633" s="1027"/>
      <c r="MX633" s="1027"/>
      <c r="MY633" s="1682">
        <f t="shared" si="165"/>
        <v>0</v>
      </c>
      <c r="MZ633" s="1019"/>
      <c r="NA633" s="1019"/>
      <c r="NB633" s="1019"/>
      <c r="NC633" s="1019"/>
      <c r="ND633" s="1019"/>
      <c r="NE633" s="1019"/>
      <c r="NF633" s="1019"/>
      <c r="NG633" s="1019"/>
      <c r="NH633" s="1019"/>
      <c r="NI633" s="1019"/>
      <c r="NJ633" s="1019"/>
      <c r="NK633" s="1019"/>
      <c r="NL633" s="1019"/>
      <c r="NM633" s="1019"/>
      <c r="NN633" s="1019"/>
      <c r="NO633" s="1019"/>
      <c r="NP633" s="1019"/>
      <c r="NQ633" s="1019"/>
      <c r="NR633" s="1019"/>
      <c r="NS633" s="1019"/>
      <c r="NT633" s="1019"/>
      <c r="NU633" s="1019"/>
      <c r="NV633" s="1019"/>
      <c r="NW633" s="1019"/>
      <c r="NX633" s="1019"/>
      <c r="NY633" s="1019"/>
      <c r="NZ633" s="1019"/>
      <c r="OA633" s="1019"/>
      <c r="OB633" s="1019"/>
      <c r="OC633" s="1019"/>
      <c r="OD633" s="1019"/>
      <c r="OE633" s="1019"/>
      <c r="OF633" s="1019"/>
      <c r="OG633" s="1019"/>
      <c r="OH633" s="1019"/>
      <c r="OI633" s="1019"/>
      <c r="OJ633" s="1019"/>
      <c r="OK633" s="1019"/>
      <c r="OL633" s="1019"/>
      <c r="OM633" s="1019"/>
      <c r="ON633" s="1019"/>
      <c r="OO633" s="1019"/>
      <c r="OP633" s="1019"/>
      <c r="OQ633" s="1019"/>
      <c r="OR633" s="1019"/>
      <c r="OS633" s="1019"/>
      <c r="OT633" s="1019"/>
      <c r="OU633" s="1019"/>
      <c r="OV633" s="1019"/>
      <c r="OW633" s="1019"/>
      <c r="OX633" s="1019"/>
      <c r="OY633" s="1019"/>
      <c r="OZ633" s="1019"/>
      <c r="PA633" s="1019"/>
      <c r="PB633" s="1019"/>
      <c r="PC633" s="1019"/>
      <c r="PD633" s="1019"/>
      <c r="PE633" s="1019"/>
      <c r="PF633" s="1019"/>
      <c r="PG633" s="1019"/>
      <c r="PH633" s="1019"/>
      <c r="PI633" s="1019"/>
      <c r="PJ633" s="1019"/>
      <c r="PK633" s="1019"/>
      <c r="PL633" s="1019"/>
      <c r="PM633" s="1019"/>
      <c r="PN633" s="1019"/>
      <c r="PO633" s="1019"/>
      <c r="PP633" s="1019"/>
      <c r="PQ633" s="1019"/>
      <c r="PR633" s="1019"/>
      <c r="PS633" s="1019"/>
      <c r="PT633" s="1019"/>
      <c r="PU633" s="1019"/>
      <c r="PV633" s="1019"/>
      <c r="PW633" s="1019"/>
      <c r="PX633" s="1019"/>
      <c r="PY633" s="1019"/>
      <c r="PZ633" s="1019"/>
      <c r="QA633" s="1019"/>
      <c r="QB633" s="1019"/>
      <c r="QC633" s="1019"/>
      <c r="QD633" s="1019"/>
      <c r="QE633" s="1019"/>
      <c r="QF633" s="1019"/>
      <c r="QG633" s="1019"/>
      <c r="QH633" s="1019"/>
      <c r="QI633" s="1019"/>
      <c r="QJ633" s="1019"/>
      <c r="QK633" s="1019"/>
      <c r="QL633" s="1019"/>
      <c r="QM633" s="1019"/>
      <c r="QN633" s="1019"/>
      <c r="QO633" s="1019"/>
      <c r="QP633" s="1019"/>
      <c r="QQ633" s="1019"/>
      <c r="QR633" s="1019"/>
      <c r="QS633" s="1019"/>
      <c r="QT633" s="1019"/>
      <c r="QU633" s="1019"/>
      <c r="QV633" s="1019"/>
      <c r="QW633" s="1019"/>
      <c r="QX633" s="1019"/>
      <c r="QY633" s="1019"/>
      <c r="QZ633" s="1019"/>
      <c r="RA633" s="1019"/>
      <c r="RB633" s="1019"/>
      <c r="RC633" s="1019"/>
      <c r="RD633" s="1019"/>
      <c r="RE633" s="1019"/>
      <c r="RF633" s="1794"/>
      <c r="RG633" s="1019"/>
      <c r="RH633" s="1027"/>
      <c r="RI633" s="1019"/>
      <c r="RJ633" s="1019" t="s">
        <v>11556</v>
      </c>
      <c r="RK633" s="1019"/>
      <c r="RL633" s="1810"/>
      <c r="RM633" s="1714" t="s">
        <v>13814</v>
      </c>
      <c r="RN633" s="1724">
        <v>42895</v>
      </c>
      <c r="RO633" s="533" t="s">
        <v>11549</v>
      </c>
      <c r="RS633" s="1013"/>
      <c r="RV633" s="93"/>
      <c r="RW633" s="35" t="s">
        <v>11538</v>
      </c>
      <c r="RX633" s="35" t="s">
        <v>4148</v>
      </c>
      <c r="RZ633" s="35" t="s">
        <v>1101</v>
      </c>
      <c r="SA633" s="93"/>
    </row>
    <row r="634" spans="1:495" s="35" customFormat="1" ht="12.75" customHeight="1">
      <c r="A634" s="19" t="s">
        <v>7421</v>
      </c>
      <c r="B634" s="1080" t="s">
        <v>11560</v>
      </c>
      <c r="C634" s="533" t="s">
        <v>11561</v>
      </c>
      <c r="D634" s="1714" t="s">
        <v>11562</v>
      </c>
      <c r="E634" s="1019" t="s">
        <v>11551</v>
      </c>
      <c r="F634" s="1019" t="s">
        <v>2371</v>
      </c>
      <c r="G634" s="1019" t="s">
        <v>18</v>
      </c>
      <c r="H634" s="1019"/>
      <c r="I634" s="1812"/>
      <c r="J634" s="1714" t="s">
        <v>11563</v>
      </c>
      <c r="K634" s="6" t="s">
        <v>11564</v>
      </c>
      <c r="L634" s="6" t="s">
        <v>11554</v>
      </c>
      <c r="M634" s="1019" t="s">
        <v>2402</v>
      </c>
      <c r="N634" s="1019" t="s">
        <v>11537</v>
      </c>
      <c r="O634" s="1019" t="s">
        <v>11456</v>
      </c>
      <c r="P634" s="1019" t="s">
        <v>11565</v>
      </c>
      <c r="Q634" s="1831">
        <v>27120</v>
      </c>
      <c r="R634" s="1718">
        <v>43</v>
      </c>
      <c r="S634" s="1019" t="s">
        <v>10</v>
      </c>
      <c r="T634" s="1019"/>
      <c r="U634" s="1812" t="s">
        <v>11566</v>
      </c>
      <c r="V634" s="1019" t="s">
        <v>722</v>
      </c>
      <c r="W634" s="1812"/>
      <c r="X634" s="1831"/>
      <c r="Y634" s="1019" t="s">
        <v>11551</v>
      </c>
      <c r="Z634" s="1019" t="s">
        <v>708</v>
      </c>
      <c r="AA634" s="1019" t="s">
        <v>709</v>
      </c>
      <c r="AB634" s="1019" t="s">
        <v>7274</v>
      </c>
      <c r="AC634" s="1019" t="s">
        <v>724</v>
      </c>
      <c r="AD634" s="1019" t="s">
        <v>711</v>
      </c>
      <c r="AE634" s="1019"/>
      <c r="AF634" s="1019" t="s">
        <v>712</v>
      </c>
      <c r="AG634" s="1019" t="s">
        <v>1132</v>
      </c>
      <c r="AH634" s="766" t="s">
        <v>1096</v>
      </c>
      <c r="AI634" s="1019"/>
      <c r="AJ634" s="1019" t="s">
        <v>1137</v>
      </c>
      <c r="AK634" s="1019" t="s">
        <v>1101</v>
      </c>
      <c r="AL634" s="1770">
        <v>12.88</v>
      </c>
      <c r="AM634" s="1108">
        <v>11.76</v>
      </c>
      <c r="AN634" s="1078">
        <f t="shared" si="186"/>
        <v>0.91304347826086951</v>
      </c>
      <c r="AO634" s="6" t="s">
        <v>1122</v>
      </c>
      <c r="AP634" s="6"/>
      <c r="AQ634" s="6"/>
      <c r="AR634" s="6"/>
      <c r="AS634" s="1019"/>
      <c r="AT634" s="1019"/>
      <c r="AU634" s="1019"/>
      <c r="AV634" s="1019"/>
      <c r="AW634" s="1019"/>
      <c r="AX634" s="1019"/>
      <c r="AY634" s="1019"/>
      <c r="AZ634" s="1019"/>
      <c r="BA634" s="1019"/>
      <c r="BB634" s="1019"/>
      <c r="BC634" s="1019"/>
      <c r="BD634" s="1019"/>
      <c r="BE634" s="1019"/>
      <c r="BF634" s="1027"/>
      <c r="BG634" s="1027"/>
      <c r="BH634" s="1019"/>
      <c r="BI634" s="1019"/>
      <c r="BJ634" s="1019"/>
      <c r="BK634" s="1019"/>
      <c r="BL634" s="1019"/>
      <c r="BM634" s="1019"/>
      <c r="BN634" s="1019"/>
      <c r="BO634" s="1019"/>
      <c r="BP634" s="1033"/>
      <c r="BQ634" s="46"/>
      <c r="BR634" s="47"/>
      <c r="BS634" s="6"/>
      <c r="BT634" s="1019"/>
      <c r="BU634" s="1019"/>
      <c r="BV634" s="1019"/>
      <c r="BW634" s="1019"/>
      <c r="BX634" s="1027"/>
      <c r="BY634" s="1019"/>
      <c r="BZ634" s="1027"/>
      <c r="CA634" s="1019"/>
      <c r="CB634" s="1019" t="s">
        <v>1207</v>
      </c>
      <c r="CC634" s="1019"/>
      <c r="CD634" s="1019"/>
      <c r="CE634" s="1019"/>
      <c r="CF634" s="1796"/>
      <c r="CG634" s="1797"/>
      <c r="CH634" s="1019"/>
      <c r="CI634" s="1019"/>
      <c r="CJ634" s="1019"/>
      <c r="CK634" s="1019"/>
      <c r="CL634" s="1716"/>
      <c r="CM634" s="1019"/>
      <c r="CN634" s="1019"/>
      <c r="CO634" s="1019"/>
      <c r="CP634" s="1019"/>
      <c r="CQ634" s="1019"/>
      <c r="CR634" s="1027"/>
      <c r="CS634" s="1019"/>
      <c r="CT634" s="1019"/>
      <c r="CU634" s="1798"/>
      <c r="CV634" s="1019"/>
      <c r="CW634" s="1019"/>
      <c r="CX634" s="1019"/>
      <c r="CY634" s="1019"/>
      <c r="CZ634" s="1019"/>
      <c r="DA634" s="1799"/>
      <c r="DB634" s="1019"/>
      <c r="DC634" s="1019"/>
      <c r="DD634" s="1019"/>
      <c r="DE634" s="1800"/>
      <c r="DF634" s="1019"/>
      <c r="DG634" s="1019"/>
      <c r="DH634" s="1019"/>
      <c r="DI634" s="1019"/>
      <c r="DJ634" s="1019"/>
      <c r="DK634" s="1019"/>
      <c r="DL634" s="1019"/>
      <c r="DM634" s="1019"/>
      <c r="DN634" s="1801"/>
      <c r="DO634" s="1019"/>
      <c r="DP634" s="1019"/>
      <c r="DQ634" s="1019"/>
      <c r="DR634" s="1019"/>
      <c r="DS634" s="1802"/>
      <c r="DT634" s="1716"/>
      <c r="DU634" s="1019"/>
      <c r="DV634" s="1019"/>
      <c r="DW634" s="1799"/>
      <c r="DX634" s="1799"/>
      <c r="DY634" s="1019"/>
      <c r="DZ634" s="1019"/>
      <c r="EA634" s="1019"/>
      <c r="EB634" s="1019"/>
      <c r="EC634" s="1019"/>
      <c r="ED634" s="1019"/>
      <c r="EE634" s="1019"/>
      <c r="EF634" s="1019"/>
      <c r="EG634" s="1019"/>
      <c r="EH634" s="1019"/>
      <c r="EI634" s="1019"/>
      <c r="EJ634" s="1019"/>
      <c r="EK634" s="1019"/>
      <c r="EL634" s="1019"/>
      <c r="EM634" s="1019"/>
      <c r="EN634" s="1019"/>
      <c r="EO634" s="1019"/>
      <c r="EP634" s="1714"/>
      <c r="EQ634" s="1019"/>
      <c r="ER634" s="1019"/>
      <c r="ES634" s="1019"/>
      <c r="ET634" s="1019"/>
      <c r="EU634" s="1019"/>
      <c r="EV634" s="1019"/>
      <c r="EW634" s="1019"/>
      <c r="EX634" s="1019"/>
      <c r="EY634" s="1019"/>
      <c r="EZ634" s="1019" t="s">
        <v>11567</v>
      </c>
      <c r="FA634" s="1019" t="s">
        <v>3092</v>
      </c>
      <c r="FB634" s="1019" t="s">
        <v>1257</v>
      </c>
      <c r="FC634" s="1019"/>
      <c r="FD634" s="1027"/>
      <c r="FE634" s="1019" t="s">
        <v>11568</v>
      </c>
      <c r="FF634" s="1019"/>
      <c r="FG634" s="1019" t="s">
        <v>11569</v>
      </c>
      <c r="FH634" s="1019"/>
      <c r="FI634" s="1019"/>
      <c r="FJ634" s="1019"/>
      <c r="FK634" s="1019"/>
      <c r="FL634" s="1019"/>
      <c r="FM634" s="1027"/>
      <c r="FN634" s="1027"/>
      <c r="FO634" s="1027"/>
      <c r="FP634" s="1019"/>
      <c r="FQ634" s="1019"/>
      <c r="FR634" s="1019"/>
      <c r="FS634" s="1019"/>
      <c r="FT634" s="1019"/>
      <c r="FU634" s="1019"/>
      <c r="FV634" s="1019"/>
      <c r="FW634" s="1019"/>
      <c r="FX634" s="1019"/>
      <c r="FY634" s="1019"/>
      <c r="FZ634" s="1019"/>
      <c r="GA634" s="1019"/>
      <c r="GB634" s="1019"/>
      <c r="GC634" s="1717"/>
      <c r="GD634" s="1718"/>
      <c r="GE634" s="1019"/>
      <c r="GF634" s="1027"/>
      <c r="GG634" s="1027"/>
      <c r="GH634" s="1019"/>
      <c r="GI634" s="1019"/>
      <c r="GJ634" s="1019"/>
      <c r="GK634" s="1019"/>
      <c r="GL634" s="1019"/>
      <c r="GM634" s="1019"/>
      <c r="GN634" s="1804"/>
      <c r="GO634" s="1019"/>
      <c r="GP634" s="1019"/>
      <c r="GQ634" s="1019"/>
      <c r="GR634" s="1019"/>
      <c r="GS634" s="1019"/>
      <c r="GT634" s="1019"/>
      <c r="GU634" s="1019"/>
      <c r="GV634" s="1019"/>
      <c r="GW634" s="1019"/>
      <c r="GX634" s="1019"/>
      <c r="GY634" s="1019"/>
      <c r="GZ634" s="1019"/>
      <c r="HA634" s="1019"/>
      <c r="HB634" s="1019"/>
      <c r="HC634" s="1019"/>
      <c r="HD634" s="1019"/>
      <c r="HE634" s="1019"/>
      <c r="HF634" s="1019"/>
      <c r="HG634" s="1019"/>
      <c r="HH634" s="1019"/>
      <c r="HI634" s="1019"/>
      <c r="HJ634" s="1019"/>
      <c r="HK634" s="1019"/>
      <c r="HL634" s="1019"/>
      <c r="HM634" s="1019"/>
      <c r="HN634" s="1019"/>
      <c r="HO634" s="1019"/>
      <c r="HP634" s="1019"/>
      <c r="HQ634" s="1019"/>
      <c r="HR634" s="1019"/>
      <c r="HS634" s="1019">
        <v>2</v>
      </c>
      <c r="HT634" s="1019">
        <v>2</v>
      </c>
      <c r="HU634" s="1019"/>
      <c r="HV634" s="1019"/>
      <c r="HW634" s="1019"/>
      <c r="HX634" s="1019"/>
      <c r="HY634" s="1019"/>
      <c r="HZ634" s="1019"/>
      <c r="IA634" s="1019"/>
      <c r="IB634" s="1019" t="s">
        <v>1207</v>
      </c>
      <c r="IC634" s="1019"/>
      <c r="ID634" s="1019"/>
      <c r="IE634" s="1019"/>
      <c r="IF634" s="1019"/>
      <c r="IG634" s="1019"/>
      <c r="IH634" s="1019"/>
      <c r="II634" s="1019"/>
      <c r="IJ634" s="1019"/>
      <c r="IK634" s="1019"/>
      <c r="IL634" s="1019"/>
      <c r="IM634" s="1019"/>
      <c r="IN634" s="1019"/>
      <c r="IO634" s="1805"/>
      <c r="IP634" s="1019"/>
      <c r="IQ634" s="1019"/>
      <c r="IR634" s="1019"/>
      <c r="IS634" s="1019"/>
      <c r="IT634" s="1019"/>
      <c r="IU634" s="1019"/>
      <c r="IV634" s="1019"/>
      <c r="IW634" s="1019"/>
      <c r="IX634" s="1019"/>
      <c r="IY634" s="1812"/>
      <c r="IZ634" s="1019"/>
      <c r="JA634" s="1019"/>
      <c r="JB634" s="1019"/>
      <c r="JC634" s="1019"/>
      <c r="JD634" s="1027"/>
      <c r="JE634" s="1019"/>
      <c r="JF634" s="1019"/>
      <c r="JG634" s="1019"/>
      <c r="JH634" s="1802"/>
      <c r="JI634" s="1802"/>
      <c r="JJ634" s="1019"/>
      <c r="JK634" s="1019"/>
      <c r="JL634" s="1019"/>
      <c r="JM634" s="1019"/>
      <c r="JN634" s="1019"/>
      <c r="JO634" s="1019"/>
      <c r="JP634" s="1019"/>
      <c r="JQ634" s="1019"/>
      <c r="JR634" s="1019"/>
      <c r="JS634" s="1019"/>
      <c r="JT634" s="766"/>
      <c r="JU634" s="766"/>
      <c r="JV634" s="766"/>
      <c r="JW634" s="766"/>
      <c r="JX634" s="1019"/>
      <c r="JY634" s="1019"/>
      <c r="JZ634" s="1019"/>
      <c r="KA634" s="1019"/>
      <c r="KB634" s="1019"/>
      <c r="KC634" s="1019"/>
      <c r="KD634" s="1019"/>
      <c r="KE634" s="1019"/>
      <c r="KF634" s="1019"/>
      <c r="KG634" s="1019"/>
      <c r="KH634" s="1019"/>
      <c r="KI634" s="1019"/>
      <c r="KJ634" s="770"/>
      <c r="KK634" s="770"/>
      <c r="KL634" s="770"/>
      <c r="KM634" s="770"/>
      <c r="KN634" s="1019"/>
      <c r="KO634" s="1019"/>
      <c r="KP634" s="1019"/>
      <c r="KQ634" s="1019"/>
      <c r="KR634" s="1019"/>
      <c r="KS634" s="1019"/>
      <c r="KT634" s="1019"/>
      <c r="KU634" s="1019"/>
      <c r="KV634" s="1019"/>
      <c r="KW634" s="1019"/>
      <c r="KX634" s="1019"/>
      <c r="KY634" s="1019"/>
      <c r="KZ634" s="1019"/>
      <c r="LA634" s="1019"/>
      <c r="LB634" s="1019"/>
      <c r="LC634" s="1019"/>
      <c r="LD634" s="1019"/>
      <c r="LE634" s="1019"/>
      <c r="LF634" s="1019"/>
      <c r="LG634" s="1019"/>
      <c r="LH634" s="1019"/>
      <c r="LI634" s="1019"/>
      <c r="LJ634" s="1019"/>
      <c r="LK634" s="1019"/>
      <c r="LL634" s="1019"/>
      <c r="LM634" s="1019"/>
      <c r="LN634" s="766"/>
      <c r="LO634" s="766"/>
      <c r="LP634" s="1019"/>
      <c r="LQ634" s="1019"/>
      <c r="LR634" s="1019"/>
      <c r="LS634" s="1019"/>
      <c r="LT634" s="1019"/>
      <c r="LU634" s="1019"/>
      <c r="LV634" s="1019"/>
      <c r="LW634" s="1019"/>
      <c r="LX634" s="1693"/>
      <c r="LY634" s="766" t="str">
        <f t="shared" si="187"/>
        <v/>
      </c>
      <c r="LZ634" s="1807"/>
      <c r="MA634" s="1807"/>
      <c r="MB634" s="1807"/>
      <c r="MC634" s="1679">
        <f t="shared" si="185"/>
        <v>0</v>
      </c>
      <c r="MD634" s="1807"/>
      <c r="ME634" s="1807"/>
      <c r="MF634" s="1807"/>
      <c r="MG634" s="1680">
        <f t="shared" si="164"/>
        <v>0</v>
      </c>
      <c r="MH634" s="1019"/>
      <c r="MI634" s="64"/>
      <c r="MJ634" s="1027"/>
      <c r="MK634" s="1027"/>
      <c r="ML634" s="1027"/>
      <c r="MM634" s="1027"/>
      <c r="MN634" s="1027"/>
      <c r="MO634" s="1027"/>
      <c r="MP634" s="1027"/>
      <c r="MQ634" s="1027"/>
      <c r="MR634" s="1027"/>
      <c r="MS634" s="1027"/>
      <c r="MT634" s="1027"/>
      <c r="MU634" s="1027"/>
      <c r="MV634" s="1027"/>
      <c r="MW634" s="1027"/>
      <c r="MX634" s="1027"/>
      <c r="MY634" s="1682">
        <f t="shared" si="165"/>
        <v>0</v>
      </c>
      <c r="MZ634" s="1019"/>
      <c r="NA634" s="1019"/>
      <c r="NB634" s="1019"/>
      <c r="NC634" s="1019"/>
      <c r="ND634" s="1019"/>
      <c r="NE634" s="1019"/>
      <c r="NF634" s="1019"/>
      <c r="NG634" s="1019"/>
      <c r="NH634" s="1019"/>
      <c r="NI634" s="1019"/>
      <c r="NJ634" s="1019"/>
      <c r="NK634" s="1019"/>
      <c r="NL634" s="1019"/>
      <c r="NM634" s="1019"/>
      <c r="NN634" s="1019"/>
      <c r="NO634" s="1019"/>
      <c r="NP634" s="1019"/>
      <c r="NQ634" s="1019"/>
      <c r="NR634" s="1019"/>
      <c r="NS634" s="1019"/>
      <c r="NT634" s="1019"/>
      <c r="NU634" s="1019"/>
      <c r="NV634" s="1019"/>
      <c r="NW634" s="1019"/>
      <c r="NX634" s="1019"/>
      <c r="NY634" s="1019"/>
      <c r="NZ634" s="1019"/>
      <c r="OA634" s="1019"/>
      <c r="OB634" s="1019"/>
      <c r="OC634" s="1019"/>
      <c r="OD634" s="1019"/>
      <c r="OE634" s="1019"/>
      <c r="OF634" s="1019"/>
      <c r="OG634" s="1019"/>
      <c r="OH634" s="1019"/>
      <c r="OI634" s="1019"/>
      <c r="OJ634" s="1019"/>
      <c r="OK634" s="1019"/>
      <c r="OL634" s="1019"/>
      <c r="OM634" s="1019"/>
      <c r="ON634" s="1019"/>
      <c r="OO634" s="1019"/>
      <c r="OP634" s="1019"/>
      <c r="OQ634" s="1019"/>
      <c r="OR634" s="1019"/>
      <c r="OS634" s="1019"/>
      <c r="OT634" s="1019"/>
      <c r="OU634" s="1019"/>
      <c r="OV634" s="1019"/>
      <c r="OW634" s="1019"/>
      <c r="OX634" s="1019"/>
      <c r="OY634" s="1019"/>
      <c r="OZ634" s="1019"/>
      <c r="PA634" s="1019"/>
      <c r="PB634" s="1019"/>
      <c r="PC634" s="1019"/>
      <c r="PD634" s="1019"/>
      <c r="PE634" s="1019"/>
      <c r="PF634" s="1019"/>
      <c r="PG634" s="1019"/>
      <c r="PH634" s="1019"/>
      <c r="PI634" s="1019"/>
      <c r="PJ634" s="1019"/>
      <c r="PK634" s="1019"/>
      <c r="PL634" s="1019"/>
      <c r="PM634" s="1019"/>
      <c r="PN634" s="1019"/>
      <c r="PO634" s="1019"/>
      <c r="PP634" s="1019"/>
      <c r="PQ634" s="1019"/>
      <c r="PR634" s="1019"/>
      <c r="PS634" s="1019"/>
      <c r="PT634" s="1019"/>
      <c r="PU634" s="1019"/>
      <c r="PV634" s="1019"/>
      <c r="PW634" s="1019"/>
      <c r="PX634" s="1019"/>
      <c r="PY634" s="1019"/>
      <c r="PZ634" s="1019"/>
      <c r="QA634" s="1019"/>
      <c r="QB634" s="1019"/>
      <c r="QC634" s="1019"/>
      <c r="QD634" s="1019"/>
      <c r="QE634" s="1019"/>
      <c r="QF634" s="1019"/>
      <c r="QG634" s="1019"/>
      <c r="QH634" s="1019"/>
      <c r="QI634" s="1019"/>
      <c r="QJ634" s="1019"/>
      <c r="QK634" s="1019"/>
      <c r="QL634" s="1019"/>
      <c r="QM634" s="1019"/>
      <c r="QN634" s="1019"/>
      <c r="QO634" s="1019"/>
      <c r="QP634" s="1019"/>
      <c r="QQ634" s="1019"/>
      <c r="QR634" s="1019"/>
      <c r="QS634" s="1019"/>
      <c r="QT634" s="1019"/>
      <c r="QU634" s="1019"/>
      <c r="QV634" s="1019"/>
      <c r="QW634" s="1019"/>
      <c r="QX634" s="1019"/>
      <c r="QY634" s="1019"/>
      <c r="QZ634" s="1019"/>
      <c r="RA634" s="1019"/>
      <c r="RB634" s="1019"/>
      <c r="RC634" s="1019"/>
      <c r="RD634" s="1019"/>
      <c r="RE634" s="1019"/>
      <c r="RF634" s="1794"/>
      <c r="RG634" s="1019"/>
      <c r="RH634" s="1027"/>
      <c r="RI634" s="1019"/>
      <c r="RJ634" s="1019" t="s">
        <v>13840</v>
      </c>
      <c r="RK634" s="1019"/>
      <c r="RL634" s="1810"/>
      <c r="RM634" s="843" t="s">
        <v>13816</v>
      </c>
      <c r="RN634" s="1724"/>
      <c r="RO634" s="533" t="s">
        <v>11561</v>
      </c>
      <c r="RS634" s="1013"/>
      <c r="RV634" s="93" t="s">
        <v>7421</v>
      </c>
      <c r="RW634" s="35" t="s">
        <v>7828</v>
      </c>
      <c r="RX634" s="35" t="s">
        <v>4158</v>
      </c>
      <c r="RZ634" s="35" t="s">
        <v>1101</v>
      </c>
      <c r="SA634" s="93"/>
    </row>
    <row r="635" spans="1:495" s="35" customFormat="1" ht="12.75" customHeight="1">
      <c r="A635" s="19" t="s">
        <v>7421</v>
      </c>
      <c r="B635" s="1080" t="s">
        <v>11570</v>
      </c>
      <c r="C635" s="533" t="s">
        <v>11571</v>
      </c>
      <c r="D635" s="1714" t="s">
        <v>11572</v>
      </c>
      <c r="E635" s="6" t="s">
        <v>11573</v>
      </c>
      <c r="F635" s="1019" t="s">
        <v>28</v>
      </c>
      <c r="G635" s="1019" t="s">
        <v>10</v>
      </c>
      <c r="H635" s="1019" t="s">
        <v>11574</v>
      </c>
      <c r="I635" s="1812"/>
      <c r="J635" s="1714" t="s">
        <v>11572</v>
      </c>
      <c r="K635" s="6" t="s">
        <v>11575</v>
      </c>
      <c r="L635" s="6" t="s">
        <v>11508</v>
      </c>
      <c r="M635" s="1019" t="s">
        <v>2402</v>
      </c>
      <c r="N635" s="1019" t="s">
        <v>11537</v>
      </c>
      <c r="O635" s="1019" t="s">
        <v>11456</v>
      </c>
      <c r="P635" s="1019" t="s">
        <v>11576</v>
      </c>
      <c r="Q635" s="1831">
        <v>22473</v>
      </c>
      <c r="R635" s="1718">
        <v>55</v>
      </c>
      <c r="S635" s="1019" t="s">
        <v>10</v>
      </c>
      <c r="T635" s="1019" t="s">
        <v>11574</v>
      </c>
      <c r="U635" s="1812"/>
      <c r="V635" s="1019" t="s">
        <v>707</v>
      </c>
      <c r="W635" s="1812"/>
      <c r="X635" s="1831"/>
      <c r="Y635" s="1019" t="s">
        <v>11577</v>
      </c>
      <c r="Z635" s="1019" t="s">
        <v>708</v>
      </c>
      <c r="AA635" s="1019" t="s">
        <v>709</v>
      </c>
      <c r="AB635" s="1019" t="s">
        <v>710</v>
      </c>
      <c r="AC635" s="1019" t="s">
        <v>724</v>
      </c>
      <c r="AD635" s="1019"/>
      <c r="AE635" s="1019"/>
      <c r="AF635" s="1019" t="s">
        <v>712</v>
      </c>
      <c r="AG635" s="1019" t="s">
        <v>1132</v>
      </c>
      <c r="AH635" s="766" t="s">
        <v>1096</v>
      </c>
      <c r="AI635" s="1019"/>
      <c r="AJ635" s="1019" t="s">
        <v>1137</v>
      </c>
      <c r="AK635" s="1019" t="s">
        <v>1101</v>
      </c>
      <c r="AL635" s="1770">
        <v>23.29</v>
      </c>
      <c r="AM635" s="1108">
        <v>11.645</v>
      </c>
      <c r="AN635" s="1078">
        <f t="shared" si="186"/>
        <v>0.5</v>
      </c>
      <c r="AO635" s="6" t="s">
        <v>4429</v>
      </c>
      <c r="AP635" s="6"/>
      <c r="AQ635" s="6"/>
      <c r="AR635" s="6"/>
      <c r="AS635" s="1019"/>
      <c r="AT635" s="1019"/>
      <c r="AU635" s="1019"/>
      <c r="AV635" s="1019"/>
      <c r="AW635" s="1019"/>
      <c r="AX635" s="1019"/>
      <c r="AY635" s="1019"/>
      <c r="AZ635" s="1019"/>
      <c r="BA635" s="1019"/>
      <c r="BB635" s="1019"/>
      <c r="BC635" s="1019"/>
      <c r="BD635" s="1019"/>
      <c r="BE635" s="1019"/>
      <c r="BF635" s="1027"/>
      <c r="BG635" s="1027"/>
      <c r="BH635" s="1019"/>
      <c r="BI635" s="1019"/>
      <c r="BJ635" s="1019"/>
      <c r="BK635" s="1019"/>
      <c r="BL635" s="1019"/>
      <c r="BM635" s="1019"/>
      <c r="BN635" s="1019"/>
      <c r="BO635" s="1019"/>
      <c r="BP635" s="1033"/>
      <c r="BQ635" s="46"/>
      <c r="BR635" s="47"/>
      <c r="BS635" s="6"/>
      <c r="BT635" s="1019"/>
      <c r="BU635" s="1019"/>
      <c r="BV635" s="1019"/>
      <c r="BW635" s="1019"/>
      <c r="BX635" s="1027"/>
      <c r="BY635" s="1019"/>
      <c r="BZ635" s="1027"/>
      <c r="CA635" s="1019"/>
      <c r="CB635" s="1019" t="s">
        <v>1207</v>
      </c>
      <c r="CC635" s="1716"/>
      <c r="CD635" s="1019"/>
      <c r="CE635" s="1019"/>
      <c r="CF635" s="1796"/>
      <c r="CG635" s="1797"/>
      <c r="CH635" s="1019"/>
      <c r="CI635" s="1019"/>
      <c r="CJ635" s="1019"/>
      <c r="CK635" s="1019"/>
      <c r="CL635" s="1716"/>
      <c r="CM635" s="1019"/>
      <c r="CN635" s="1019"/>
      <c r="CO635" s="1019"/>
      <c r="CP635" s="1019"/>
      <c r="CQ635" s="1019"/>
      <c r="CR635" s="1027"/>
      <c r="CS635" s="1019"/>
      <c r="CT635" s="1019"/>
      <c r="CU635" s="1798"/>
      <c r="CV635" s="1019"/>
      <c r="CW635" s="1019"/>
      <c r="CX635" s="1019"/>
      <c r="CY635" s="1019"/>
      <c r="CZ635" s="1019"/>
      <c r="DA635" s="1799"/>
      <c r="DB635" s="1019"/>
      <c r="DC635" s="1019"/>
      <c r="DD635" s="1019"/>
      <c r="DE635" s="1800"/>
      <c r="DF635" s="1019"/>
      <c r="DG635" s="1019"/>
      <c r="DH635" s="1019"/>
      <c r="DI635" s="1019"/>
      <c r="DJ635" s="1019"/>
      <c r="DK635" s="1019"/>
      <c r="DL635" s="1019"/>
      <c r="DM635" s="1019"/>
      <c r="DN635" s="1801"/>
      <c r="DO635" s="1019"/>
      <c r="DP635" s="1019"/>
      <c r="DQ635" s="1019"/>
      <c r="DR635" s="1019"/>
      <c r="DS635" s="1802"/>
      <c r="DT635" s="1716"/>
      <c r="DU635" s="1019"/>
      <c r="DV635" s="1019"/>
      <c r="DW635" s="1799"/>
      <c r="DX635" s="1799"/>
      <c r="DY635" s="1019"/>
      <c r="DZ635" s="1019"/>
      <c r="EA635" s="1019"/>
      <c r="EB635" s="1019"/>
      <c r="EC635" s="1019"/>
      <c r="ED635" s="1019"/>
      <c r="EE635" s="1019"/>
      <c r="EF635" s="1019"/>
      <c r="EG635" s="1019"/>
      <c r="EH635" s="1019"/>
      <c r="EI635" s="1019"/>
      <c r="EJ635" s="1019"/>
      <c r="EK635" s="1019"/>
      <c r="EL635" s="1019"/>
      <c r="EM635" s="1019"/>
      <c r="EN635" s="1019"/>
      <c r="EO635" s="1019"/>
      <c r="EP635" s="1714"/>
      <c r="EQ635" s="1019"/>
      <c r="ER635" s="1019"/>
      <c r="ES635" s="1019"/>
      <c r="ET635" s="1019"/>
      <c r="EU635" s="1019"/>
      <c r="EV635" s="1019"/>
      <c r="EW635" s="1019"/>
      <c r="EX635" s="1019"/>
      <c r="EY635" s="1019"/>
      <c r="EZ635" s="1019" t="s">
        <v>11578</v>
      </c>
      <c r="FA635" s="1019" t="s">
        <v>4153</v>
      </c>
      <c r="FB635" s="1019" t="s">
        <v>1105</v>
      </c>
      <c r="FC635" s="1019"/>
      <c r="FD635" s="1027"/>
      <c r="FE635" s="1019" t="s">
        <v>11579</v>
      </c>
      <c r="FF635" s="1019"/>
      <c r="FG635" s="1019" t="s">
        <v>11580</v>
      </c>
      <c r="FH635" s="1019"/>
      <c r="FI635" s="1019"/>
      <c r="FJ635" s="1019"/>
      <c r="FK635" s="1019"/>
      <c r="FL635" s="1019"/>
      <c r="FM635" s="1027"/>
      <c r="FN635" s="1027"/>
      <c r="FO635" s="1027"/>
      <c r="FP635" s="1019"/>
      <c r="FQ635" s="1019"/>
      <c r="FR635" s="1019"/>
      <c r="FS635" s="1019"/>
      <c r="FT635" s="1019"/>
      <c r="FU635" s="1019"/>
      <c r="FV635" s="1019"/>
      <c r="FW635" s="1019"/>
      <c r="FX635" s="1019"/>
      <c r="FY635" s="1019"/>
      <c r="FZ635" s="1019"/>
      <c r="GA635" s="1019"/>
      <c r="GB635" s="1019"/>
      <c r="GC635" s="1717"/>
      <c r="GD635" s="1718"/>
      <c r="GE635" s="1019"/>
      <c r="GF635" s="1027"/>
      <c r="GG635" s="1027"/>
      <c r="GH635" s="1019"/>
      <c r="GI635" s="1019"/>
      <c r="GJ635" s="1019"/>
      <c r="GK635" s="1019"/>
      <c r="GL635" s="1019"/>
      <c r="GM635" s="1019"/>
      <c r="GN635" s="1804"/>
      <c r="GO635" s="1019"/>
      <c r="GP635" s="1019"/>
      <c r="GQ635" s="1019"/>
      <c r="GR635" s="1019"/>
      <c r="GS635" s="1019"/>
      <c r="GT635" s="1019"/>
      <c r="GU635" s="1019"/>
      <c r="GV635" s="1019"/>
      <c r="GW635" s="1019"/>
      <c r="GX635" s="1019"/>
      <c r="GY635" s="1019"/>
      <c r="GZ635" s="1019"/>
      <c r="HA635" s="1019"/>
      <c r="HB635" s="1019"/>
      <c r="HC635" s="1019"/>
      <c r="HD635" s="1019"/>
      <c r="HE635" s="1019"/>
      <c r="HF635" s="1019"/>
      <c r="HG635" s="1019"/>
      <c r="HH635" s="1019"/>
      <c r="HI635" s="1019"/>
      <c r="HJ635" s="1019"/>
      <c r="HK635" s="1019"/>
      <c r="HL635" s="1019"/>
      <c r="HM635" s="1019"/>
      <c r="HN635" s="1019"/>
      <c r="HO635" s="1019"/>
      <c r="HP635" s="1019"/>
      <c r="HQ635" s="1019"/>
      <c r="HR635" s="1019">
        <v>1</v>
      </c>
      <c r="HS635" s="1019"/>
      <c r="HT635" s="1019"/>
      <c r="HU635" s="1019"/>
      <c r="HV635" s="1019"/>
      <c r="HW635" s="1019"/>
      <c r="HX635" s="1019"/>
      <c r="HY635" s="1019"/>
      <c r="HZ635" s="1019"/>
      <c r="IA635" s="1019"/>
      <c r="IB635" s="1019"/>
      <c r="IC635" s="1019"/>
      <c r="ID635" s="1019"/>
      <c r="IE635" s="1019"/>
      <c r="IF635" s="1019"/>
      <c r="IG635" s="1019"/>
      <c r="IH635" s="1019"/>
      <c r="II635" s="1019"/>
      <c r="IJ635" s="1019"/>
      <c r="IK635" s="1019"/>
      <c r="IL635" s="1019"/>
      <c r="IM635" s="1019"/>
      <c r="IN635" s="1019"/>
      <c r="IO635" s="1805"/>
      <c r="IP635" s="1019"/>
      <c r="IQ635" s="1019"/>
      <c r="IR635" s="1019"/>
      <c r="IS635" s="1019"/>
      <c r="IT635" s="1019"/>
      <c r="IU635" s="1019"/>
      <c r="IV635" s="1019"/>
      <c r="IW635" s="1019"/>
      <c r="IX635" s="1019"/>
      <c r="IY635" s="1812"/>
      <c r="IZ635" s="1019"/>
      <c r="JA635" s="1019"/>
      <c r="JB635" s="1019"/>
      <c r="JC635" s="1019"/>
      <c r="JD635" s="1027"/>
      <c r="JE635" s="1019"/>
      <c r="JF635" s="1019"/>
      <c r="JG635" s="1019"/>
      <c r="JH635" s="1802"/>
      <c r="JI635" s="1802"/>
      <c r="JJ635" s="1019"/>
      <c r="JK635" s="1019"/>
      <c r="JL635" s="1019"/>
      <c r="JM635" s="1019"/>
      <c r="JN635" s="1019"/>
      <c r="JO635" s="1019"/>
      <c r="JP635" s="1019"/>
      <c r="JQ635" s="1019"/>
      <c r="JR635" s="1019"/>
      <c r="JS635" s="1019"/>
      <c r="JT635" s="766"/>
      <c r="JU635" s="766"/>
      <c r="JV635" s="766"/>
      <c r="JW635" s="766"/>
      <c r="JX635" s="1019"/>
      <c r="JY635" s="1019"/>
      <c r="JZ635" s="1019"/>
      <c r="KA635" s="1019"/>
      <c r="KB635" s="1019"/>
      <c r="KC635" s="1019"/>
      <c r="KD635" s="1019"/>
      <c r="KE635" s="1019"/>
      <c r="KF635" s="1019"/>
      <c r="KG635" s="1019"/>
      <c r="KH635" s="1019"/>
      <c r="KI635" s="1019"/>
      <c r="KJ635" s="770"/>
      <c r="KK635" s="770"/>
      <c r="KL635" s="770"/>
      <c r="KM635" s="770"/>
      <c r="KN635" s="1019"/>
      <c r="KO635" s="1019"/>
      <c r="KP635" s="1019"/>
      <c r="KQ635" s="1019"/>
      <c r="KR635" s="1019"/>
      <c r="KS635" s="1019"/>
      <c r="KT635" s="1019"/>
      <c r="KU635" s="1019"/>
      <c r="KV635" s="1019"/>
      <c r="KW635" s="1019"/>
      <c r="KX635" s="1019"/>
      <c r="KY635" s="1019"/>
      <c r="KZ635" s="1019"/>
      <c r="LA635" s="1019"/>
      <c r="LB635" s="1019"/>
      <c r="LC635" s="1019"/>
      <c r="LD635" s="1019"/>
      <c r="LE635" s="1019"/>
      <c r="LF635" s="1019"/>
      <c r="LG635" s="1019"/>
      <c r="LH635" s="1019"/>
      <c r="LI635" s="1019"/>
      <c r="LJ635" s="1019"/>
      <c r="LK635" s="1019"/>
      <c r="LL635" s="1019"/>
      <c r="LM635" s="1019"/>
      <c r="LN635" s="766"/>
      <c r="LO635" s="766"/>
      <c r="LP635" s="1019"/>
      <c r="LQ635" s="1019"/>
      <c r="LR635" s="1019"/>
      <c r="LS635" s="1019"/>
      <c r="LT635" s="1019"/>
      <c r="LU635" s="1019"/>
      <c r="LV635" s="1019"/>
      <c r="LW635" s="1019"/>
      <c r="LX635" s="1693"/>
      <c r="LY635" s="766" t="str">
        <f t="shared" si="187"/>
        <v/>
      </c>
      <c r="LZ635" s="1807"/>
      <c r="MA635" s="1807"/>
      <c r="MB635" s="1807"/>
      <c r="MC635" s="1679">
        <f t="shared" si="185"/>
        <v>0</v>
      </c>
      <c r="MD635" s="1807"/>
      <c r="ME635" s="1807"/>
      <c r="MF635" s="1807"/>
      <c r="MG635" s="1680">
        <f t="shared" si="164"/>
        <v>0</v>
      </c>
      <c r="MH635" s="1019"/>
      <c r="MI635" s="64"/>
      <c r="MJ635" s="1027"/>
      <c r="MK635" s="1027"/>
      <c r="ML635" s="1027"/>
      <c r="MM635" s="1027"/>
      <c r="MN635" s="1027"/>
      <c r="MO635" s="1027"/>
      <c r="MP635" s="1027"/>
      <c r="MQ635" s="1027"/>
      <c r="MR635" s="1027"/>
      <c r="MS635" s="1027"/>
      <c r="MT635" s="1027"/>
      <c r="MU635" s="1027"/>
      <c r="MV635" s="1027"/>
      <c r="MW635" s="1027"/>
      <c r="MX635" s="1027"/>
      <c r="MY635" s="1682">
        <f t="shared" si="165"/>
        <v>0</v>
      </c>
      <c r="MZ635" s="1019"/>
      <c r="NA635" s="1019"/>
      <c r="NB635" s="1019"/>
      <c r="NC635" s="1019"/>
      <c r="ND635" s="1019"/>
      <c r="NE635" s="1019"/>
      <c r="NF635" s="1019"/>
      <c r="NG635" s="1019"/>
      <c r="NH635" s="1019"/>
      <c r="NI635" s="1019"/>
      <c r="NJ635" s="1019"/>
      <c r="NK635" s="1019"/>
      <c r="NL635" s="1019"/>
      <c r="NM635" s="1019"/>
      <c r="NN635" s="1019"/>
      <c r="NO635" s="1019"/>
      <c r="NP635" s="1019"/>
      <c r="NQ635" s="1019"/>
      <c r="NR635" s="1019"/>
      <c r="NS635" s="1019"/>
      <c r="NT635" s="1019"/>
      <c r="NU635" s="1019"/>
      <c r="NV635" s="1019"/>
      <c r="NW635" s="1019"/>
      <c r="NX635" s="1019"/>
      <c r="NY635" s="1019"/>
      <c r="NZ635" s="1019"/>
      <c r="OA635" s="1019"/>
      <c r="OB635" s="1019"/>
      <c r="OC635" s="1019"/>
      <c r="OD635" s="1019"/>
      <c r="OE635" s="1019"/>
      <c r="OF635" s="1019"/>
      <c r="OG635" s="1019"/>
      <c r="OH635" s="1019"/>
      <c r="OI635" s="1019"/>
      <c r="OJ635" s="1019"/>
      <c r="OK635" s="1019"/>
      <c r="OL635" s="1019"/>
      <c r="OM635" s="1019"/>
      <c r="ON635" s="1019"/>
      <c r="OO635" s="1019"/>
      <c r="OP635" s="1019"/>
      <c r="OQ635" s="1019"/>
      <c r="OR635" s="1019"/>
      <c r="OS635" s="1019"/>
      <c r="OT635" s="1019"/>
      <c r="OU635" s="1019"/>
      <c r="OV635" s="1019"/>
      <c r="OW635" s="1019"/>
      <c r="OX635" s="1019"/>
      <c r="OY635" s="1019"/>
      <c r="OZ635" s="1019"/>
      <c r="PA635" s="1019"/>
      <c r="PB635" s="1019"/>
      <c r="PC635" s="1019"/>
      <c r="PD635" s="1019"/>
      <c r="PE635" s="1019"/>
      <c r="PF635" s="1019"/>
      <c r="PG635" s="1019"/>
      <c r="PH635" s="1019"/>
      <c r="PI635" s="1019"/>
      <c r="PJ635" s="1019"/>
      <c r="PK635" s="1019"/>
      <c r="PL635" s="1019"/>
      <c r="PM635" s="1019"/>
      <c r="PN635" s="1019"/>
      <c r="PO635" s="1019"/>
      <c r="PP635" s="1019"/>
      <c r="PQ635" s="1019"/>
      <c r="PR635" s="1019"/>
      <c r="PS635" s="1019"/>
      <c r="PT635" s="1019"/>
      <c r="PU635" s="1019"/>
      <c r="PV635" s="1019"/>
      <c r="PW635" s="1019"/>
      <c r="PX635" s="1019"/>
      <c r="PY635" s="1019"/>
      <c r="PZ635" s="1019"/>
      <c r="QA635" s="1019"/>
      <c r="QB635" s="1019"/>
      <c r="QC635" s="1019"/>
      <c r="QD635" s="1019"/>
      <c r="QE635" s="1019"/>
      <c r="QF635" s="1019"/>
      <c r="QG635" s="1019"/>
      <c r="QH635" s="1019"/>
      <c r="QI635" s="1019"/>
      <c r="QJ635" s="1019"/>
      <c r="QK635" s="1019"/>
      <c r="QL635" s="1019"/>
      <c r="QM635" s="1019"/>
      <c r="QN635" s="1019"/>
      <c r="QO635" s="1019"/>
      <c r="QP635" s="1019"/>
      <c r="QQ635" s="1019"/>
      <c r="QR635" s="1019"/>
      <c r="QS635" s="1019"/>
      <c r="QT635" s="1019"/>
      <c r="QU635" s="1019"/>
      <c r="QV635" s="1019"/>
      <c r="QW635" s="1019"/>
      <c r="QX635" s="1019"/>
      <c r="QY635" s="1019"/>
      <c r="QZ635" s="1019"/>
      <c r="RA635" s="1019"/>
      <c r="RB635" s="1019"/>
      <c r="RC635" s="1019"/>
      <c r="RD635" s="1019"/>
      <c r="RE635" s="1019"/>
      <c r="RF635" s="1794"/>
      <c r="RG635" s="1019"/>
      <c r="RH635" s="1027"/>
      <c r="RI635" s="1019"/>
      <c r="RJ635" s="1019" t="s">
        <v>11578</v>
      </c>
      <c r="RK635" s="1019"/>
      <c r="RL635" s="1810"/>
      <c r="RM635" s="1714" t="s">
        <v>13814</v>
      </c>
      <c r="RN635" s="1724">
        <v>42895</v>
      </c>
      <c r="RO635" s="533" t="s">
        <v>11571</v>
      </c>
      <c r="RS635" s="1013"/>
      <c r="RV635" s="93"/>
      <c r="RW635" s="35" t="s">
        <v>11548</v>
      </c>
      <c r="RX635" s="35" t="s">
        <v>11549</v>
      </c>
      <c r="RZ635" s="35" t="s">
        <v>1101</v>
      </c>
      <c r="SA635" s="93"/>
    </row>
    <row r="636" spans="1:495" s="35" customFormat="1" ht="12.75" customHeight="1">
      <c r="A636" s="19" t="s">
        <v>7421</v>
      </c>
      <c r="B636" s="1082" t="s">
        <v>7829</v>
      </c>
      <c r="C636" s="533" t="s">
        <v>4166</v>
      </c>
      <c r="D636" s="1714" t="s">
        <v>11581</v>
      </c>
      <c r="E636" s="6" t="s">
        <v>11582</v>
      </c>
      <c r="F636" s="1019" t="s">
        <v>28</v>
      </c>
      <c r="G636" s="1019" t="s">
        <v>10</v>
      </c>
      <c r="H636" s="1019"/>
      <c r="I636" s="1812"/>
      <c r="J636" s="1714" t="s">
        <v>11581</v>
      </c>
      <c r="K636" s="6" t="s">
        <v>4167</v>
      </c>
      <c r="L636" s="6" t="s">
        <v>2552</v>
      </c>
      <c r="M636" s="1019" t="s">
        <v>2402</v>
      </c>
      <c r="N636" s="1019" t="s">
        <v>11583</v>
      </c>
      <c r="O636" s="1019" t="s">
        <v>11584</v>
      </c>
      <c r="P636" s="1019" t="s">
        <v>11585</v>
      </c>
      <c r="Q636" s="1831">
        <v>22945</v>
      </c>
      <c r="R636" s="1718">
        <v>54</v>
      </c>
      <c r="S636" s="1019" t="s">
        <v>10</v>
      </c>
      <c r="T636" s="1019"/>
      <c r="U636" s="1812"/>
      <c r="V636" s="1019" t="s">
        <v>783</v>
      </c>
      <c r="W636" s="1812"/>
      <c r="X636" s="1831"/>
      <c r="Y636" s="1019" t="s">
        <v>11586</v>
      </c>
      <c r="Z636" s="1019" t="s">
        <v>708</v>
      </c>
      <c r="AA636" s="1019" t="s">
        <v>709</v>
      </c>
      <c r="AB636" s="1019" t="s">
        <v>710</v>
      </c>
      <c r="AC636" s="1019"/>
      <c r="AD636" s="1019" t="s">
        <v>711</v>
      </c>
      <c r="AE636" s="1019"/>
      <c r="AF636" s="1019" t="s">
        <v>712</v>
      </c>
      <c r="AG636" s="1019" t="s">
        <v>1132</v>
      </c>
      <c r="AH636" s="766" t="s">
        <v>1096</v>
      </c>
      <c r="AI636" s="1019"/>
      <c r="AJ636" s="1019" t="s">
        <v>1137</v>
      </c>
      <c r="AK636" s="1019" t="s">
        <v>1101</v>
      </c>
      <c r="AL636" s="1770">
        <v>29.75</v>
      </c>
      <c r="AM636" s="1108">
        <v>21.5</v>
      </c>
      <c r="AN636" s="1078">
        <f t="shared" si="186"/>
        <v>0.72268907563025209</v>
      </c>
      <c r="AO636" s="6" t="s">
        <v>1105</v>
      </c>
      <c r="AP636" s="6"/>
      <c r="AQ636" s="6"/>
      <c r="AR636" s="6"/>
      <c r="AS636" s="1019"/>
      <c r="AT636" s="1019"/>
      <c r="AU636" s="1019"/>
      <c r="AV636" s="1019"/>
      <c r="AW636" s="1019"/>
      <c r="AX636" s="1019"/>
      <c r="AY636" s="1019"/>
      <c r="AZ636" s="1019"/>
      <c r="BA636" s="1019"/>
      <c r="BB636" s="1019"/>
      <c r="BC636" s="1019"/>
      <c r="BD636" s="1019"/>
      <c r="BE636" s="1019"/>
      <c r="BF636" s="1027"/>
      <c r="BG636" s="1027"/>
      <c r="BH636" s="1019"/>
      <c r="BI636" s="1019"/>
      <c r="BJ636" s="1019"/>
      <c r="BK636" s="1019"/>
      <c r="BL636" s="1019"/>
      <c r="BM636" s="1019"/>
      <c r="BN636" s="1019"/>
      <c r="BO636" s="1019"/>
      <c r="BP636" s="1116"/>
      <c r="BQ636" s="46"/>
      <c r="BR636" s="47"/>
      <c r="BS636" s="6"/>
      <c r="BT636" s="1019"/>
      <c r="BU636" s="1019"/>
      <c r="BV636" s="1019"/>
      <c r="BW636" s="1019"/>
      <c r="BX636" s="1027"/>
      <c r="BY636" s="1019"/>
      <c r="BZ636" s="1027"/>
      <c r="CA636" s="1019"/>
      <c r="CB636" s="1019" t="s">
        <v>1207</v>
      </c>
      <c r="CC636" s="1019" t="s">
        <v>11587</v>
      </c>
      <c r="CD636" s="1019">
        <v>2016</v>
      </c>
      <c r="CE636" s="1019"/>
      <c r="CF636" s="1796">
        <v>1</v>
      </c>
      <c r="CG636" s="1797">
        <v>20</v>
      </c>
      <c r="CH636" s="1019" t="s">
        <v>2545</v>
      </c>
      <c r="CI636" s="1019"/>
      <c r="CJ636" s="1019"/>
      <c r="CK636" s="1019">
        <v>5</v>
      </c>
      <c r="CL636" s="1019" t="s">
        <v>1249</v>
      </c>
      <c r="CM636" s="1019" t="s">
        <v>3399</v>
      </c>
      <c r="CN636" s="1019"/>
      <c r="CO636" s="1019" t="s">
        <v>1105</v>
      </c>
      <c r="CP636" s="1019"/>
      <c r="CQ636" s="1019"/>
      <c r="CR636" s="1027"/>
      <c r="CS636" s="1019"/>
      <c r="CT636" s="1019"/>
      <c r="CU636" s="1798"/>
      <c r="CV636" s="1019"/>
      <c r="CW636" s="1019"/>
      <c r="CX636" s="1019"/>
      <c r="CY636" s="1019"/>
      <c r="CZ636" s="1019"/>
      <c r="DA636" s="1799"/>
      <c r="DB636" s="1019"/>
      <c r="DC636" s="1019"/>
      <c r="DD636" s="1019"/>
      <c r="DE636" s="1800"/>
      <c r="DF636" s="1019"/>
      <c r="DG636" s="1019"/>
      <c r="DH636" s="1019"/>
      <c r="DI636" s="1019"/>
      <c r="DJ636" s="1019"/>
      <c r="DK636" s="1019"/>
      <c r="DL636" s="1019"/>
      <c r="DM636" s="1019"/>
      <c r="DN636" s="1801"/>
      <c r="DO636" s="1019"/>
      <c r="DP636" s="1019"/>
      <c r="DQ636" s="1019"/>
      <c r="DR636" s="1019"/>
      <c r="DS636" s="1802"/>
      <c r="DT636" s="1716"/>
      <c r="DU636" s="1019"/>
      <c r="DV636" s="1019"/>
      <c r="DW636" s="1799"/>
      <c r="DX636" s="1799"/>
      <c r="DY636" s="1019"/>
      <c r="DZ636" s="1019"/>
      <c r="EA636" s="1019"/>
      <c r="EB636" s="1019"/>
      <c r="EC636" s="1019"/>
      <c r="ED636" s="1019"/>
      <c r="EE636" s="1019"/>
      <c r="EF636" s="1019"/>
      <c r="EG636" s="1019"/>
      <c r="EH636" s="1019"/>
      <c r="EI636" s="1019"/>
      <c r="EJ636" s="1019"/>
      <c r="EK636" s="1019"/>
      <c r="EL636" s="1019"/>
      <c r="EM636" s="1019"/>
      <c r="EN636" s="1019"/>
      <c r="EO636" s="1019"/>
      <c r="EP636" s="1714"/>
      <c r="EQ636" s="1019"/>
      <c r="ER636" s="1019"/>
      <c r="ES636" s="1019"/>
      <c r="ET636" s="1019"/>
      <c r="EU636" s="1019"/>
      <c r="EV636" s="1019"/>
      <c r="EW636" s="1019"/>
      <c r="EX636" s="1019"/>
      <c r="EY636" s="1019"/>
      <c r="EZ636" s="1019"/>
      <c r="FA636" s="1019"/>
      <c r="FB636" s="1019"/>
      <c r="FC636" s="1019"/>
      <c r="FD636" s="1027"/>
      <c r="FE636" s="1019"/>
      <c r="FF636" s="1019"/>
      <c r="FG636" s="1019"/>
      <c r="FH636" s="1019" t="s">
        <v>478</v>
      </c>
      <c r="FI636" s="1019">
        <v>1</v>
      </c>
      <c r="FJ636" s="1019"/>
      <c r="FK636" s="1019"/>
      <c r="FL636" s="1019"/>
      <c r="FM636" s="1027"/>
      <c r="FN636" s="1027"/>
      <c r="FO636" s="1027"/>
      <c r="FP636" s="1019"/>
      <c r="FQ636" s="1019"/>
      <c r="FR636" s="1019" t="s">
        <v>1214</v>
      </c>
      <c r="FS636" s="1019"/>
      <c r="FT636" s="1019"/>
      <c r="FU636" s="1019"/>
      <c r="FV636" s="1019"/>
      <c r="FW636" s="1019"/>
      <c r="FX636" s="1019"/>
      <c r="FY636" s="1019"/>
      <c r="FZ636" s="1019"/>
      <c r="GA636" s="1019"/>
      <c r="GB636" s="1019" t="s">
        <v>1734</v>
      </c>
      <c r="GC636" s="1717"/>
      <c r="GD636" s="1718">
        <v>2016</v>
      </c>
      <c r="GE636" s="1019" t="s">
        <v>1214</v>
      </c>
      <c r="GF636" s="1027"/>
      <c r="GG636" s="1027"/>
      <c r="GH636" s="1019"/>
      <c r="GI636" s="1019"/>
      <c r="GJ636" s="1019"/>
      <c r="GK636" s="1019"/>
      <c r="GL636" s="1019"/>
      <c r="GM636" s="1019"/>
      <c r="GN636" s="1804"/>
      <c r="GO636" s="1019"/>
      <c r="GP636" s="1019"/>
      <c r="GQ636" s="1019"/>
      <c r="GR636" s="1019"/>
      <c r="GS636" s="1019"/>
      <c r="GT636" s="1019"/>
      <c r="GU636" s="1019"/>
      <c r="GV636" s="1019"/>
      <c r="GW636" s="1019"/>
      <c r="GX636" s="1019"/>
      <c r="GY636" s="1019"/>
      <c r="GZ636" s="1019"/>
      <c r="HA636" s="1019"/>
      <c r="HB636" s="1019"/>
      <c r="HC636" s="1019"/>
      <c r="HD636" s="1019"/>
      <c r="HE636" s="1019"/>
      <c r="HF636" s="1019"/>
      <c r="HG636" s="1019"/>
      <c r="HH636" s="1019"/>
      <c r="HI636" s="1019"/>
      <c r="HJ636" s="1019"/>
      <c r="HK636" s="1019"/>
      <c r="HL636" s="1019"/>
      <c r="HM636" s="1019"/>
      <c r="HN636" s="1019"/>
      <c r="HO636" s="1019"/>
      <c r="HP636" s="1019"/>
      <c r="HQ636" s="1019"/>
      <c r="HR636" s="1019"/>
      <c r="HS636" s="1019"/>
      <c r="HT636" s="1019"/>
      <c r="HU636" s="1019"/>
      <c r="HV636" s="1019"/>
      <c r="HW636" s="1019"/>
      <c r="HX636" s="1019"/>
      <c r="HY636" s="1019"/>
      <c r="HZ636" s="1019"/>
      <c r="IA636" s="1019"/>
      <c r="IB636" s="1019"/>
      <c r="IC636" s="1019"/>
      <c r="ID636" s="1019"/>
      <c r="IE636" s="1019"/>
      <c r="IF636" s="1019"/>
      <c r="IG636" s="1019"/>
      <c r="IH636" s="1019"/>
      <c r="II636" s="1019"/>
      <c r="IJ636" s="1019"/>
      <c r="IK636" s="1019"/>
      <c r="IL636" s="1019"/>
      <c r="IM636" s="1019"/>
      <c r="IN636" s="1019"/>
      <c r="IO636" s="1805"/>
      <c r="IP636" s="1019"/>
      <c r="IQ636" s="1019"/>
      <c r="IR636" s="1019"/>
      <c r="IS636" s="1019"/>
      <c r="IT636" s="1019"/>
      <c r="IU636" s="1019"/>
      <c r="IV636" s="1019"/>
      <c r="IW636" s="1019"/>
      <c r="IX636" s="1019"/>
      <c r="IY636" s="1812"/>
      <c r="IZ636" s="1019"/>
      <c r="JA636" s="1019"/>
      <c r="JB636" s="1019"/>
      <c r="JC636" s="1019"/>
      <c r="JD636" s="1027"/>
      <c r="JE636" s="1019"/>
      <c r="JF636" s="1019"/>
      <c r="JG636" s="1019"/>
      <c r="JH636" s="1802"/>
      <c r="JI636" s="1802"/>
      <c r="JJ636" s="1019"/>
      <c r="JK636" s="1019"/>
      <c r="JL636" s="1019"/>
      <c r="JM636" s="1019"/>
      <c r="JN636" s="1019"/>
      <c r="JO636" s="1019"/>
      <c r="JP636" s="1019"/>
      <c r="JQ636" s="1019"/>
      <c r="JR636" s="1019"/>
      <c r="JS636" s="1019"/>
      <c r="JT636" s="766"/>
      <c r="JU636" s="766"/>
      <c r="JV636" s="766"/>
      <c r="JW636" s="766"/>
      <c r="JX636" s="1019"/>
      <c r="JY636" s="1019"/>
      <c r="JZ636" s="1019"/>
      <c r="KA636" s="1019"/>
      <c r="KB636" s="1019"/>
      <c r="KC636" s="1019"/>
      <c r="KD636" s="1019"/>
      <c r="KE636" s="1019"/>
      <c r="KF636" s="1019"/>
      <c r="KG636" s="1019"/>
      <c r="KH636" s="1019"/>
      <c r="KI636" s="1019"/>
      <c r="KJ636" s="770"/>
      <c r="KK636" s="770"/>
      <c r="KL636" s="770"/>
      <c r="KM636" s="770"/>
      <c r="KN636" s="1019"/>
      <c r="KO636" s="1019"/>
      <c r="KP636" s="1019"/>
      <c r="KQ636" s="1019"/>
      <c r="KR636" s="1019"/>
      <c r="KS636" s="1019"/>
      <c r="KT636" s="1019"/>
      <c r="KU636" s="1019"/>
      <c r="KV636" s="1019"/>
      <c r="KW636" s="1019"/>
      <c r="KX636" s="1019"/>
      <c r="KY636" s="1019"/>
      <c r="KZ636" s="1019"/>
      <c r="LA636" s="1019"/>
      <c r="LB636" s="1019"/>
      <c r="LC636" s="1019"/>
      <c r="LD636" s="1019"/>
      <c r="LE636" s="1019"/>
      <c r="LF636" s="1019"/>
      <c r="LG636" s="1019"/>
      <c r="LH636" s="1019"/>
      <c r="LI636" s="1019"/>
      <c r="LJ636" s="1019"/>
      <c r="LK636" s="1019"/>
      <c r="LL636" s="1019"/>
      <c r="LM636" s="1019"/>
      <c r="LN636" s="766"/>
      <c r="LO636" s="766"/>
      <c r="LP636" s="1019"/>
      <c r="LQ636" s="1019"/>
      <c r="LR636" s="1019"/>
      <c r="LS636" s="1019"/>
      <c r="LT636" s="1019"/>
      <c r="LU636" s="1019"/>
      <c r="LV636" s="1019"/>
      <c r="LW636" s="1019"/>
      <c r="LX636" s="1693"/>
      <c r="LY636" s="766" t="str">
        <f t="shared" si="187"/>
        <v/>
      </c>
      <c r="LZ636" s="1807"/>
      <c r="MA636" s="1807"/>
      <c r="MB636" s="1807"/>
      <c r="MC636" s="1679">
        <f t="shared" si="185"/>
        <v>0</v>
      </c>
      <c r="MD636" s="1807"/>
      <c r="ME636" s="1807"/>
      <c r="MF636" s="1807"/>
      <c r="MG636" s="1680">
        <f t="shared" si="164"/>
        <v>0</v>
      </c>
      <c r="MH636" s="1019"/>
      <c r="MI636" s="64"/>
      <c r="MJ636" s="1027"/>
      <c r="MK636" s="1027"/>
      <c r="ML636" s="1027"/>
      <c r="MM636" s="1027"/>
      <c r="MN636" s="1027"/>
      <c r="MO636" s="1027"/>
      <c r="MP636" s="1027"/>
      <c r="MQ636" s="1027"/>
      <c r="MR636" s="1027"/>
      <c r="MS636" s="1027"/>
      <c r="MT636" s="1027"/>
      <c r="MU636" s="1027"/>
      <c r="MV636" s="1027"/>
      <c r="MW636" s="1027"/>
      <c r="MX636" s="1027"/>
      <c r="MY636" s="1682">
        <f t="shared" si="165"/>
        <v>0</v>
      </c>
      <c r="MZ636" s="1019"/>
      <c r="NA636" s="1019"/>
      <c r="NB636" s="1019"/>
      <c r="NC636" s="1019"/>
      <c r="ND636" s="1019"/>
      <c r="NE636" s="1019"/>
      <c r="NF636" s="1019"/>
      <c r="NG636" s="1019"/>
      <c r="NH636" s="1019"/>
      <c r="NI636" s="1019"/>
      <c r="NJ636" s="1019"/>
      <c r="NK636" s="1019"/>
      <c r="NL636" s="1019"/>
      <c r="NM636" s="1019"/>
      <c r="NN636" s="1019"/>
      <c r="NO636" s="1019"/>
      <c r="NP636" s="1019"/>
      <c r="NQ636" s="1019"/>
      <c r="NR636" s="1019"/>
      <c r="NS636" s="1019"/>
      <c r="NT636" s="1019"/>
      <c r="NU636" s="1019"/>
      <c r="NV636" s="1019"/>
      <c r="NW636" s="1019"/>
      <c r="NX636" s="1019"/>
      <c r="NY636" s="1019"/>
      <c r="NZ636" s="1019"/>
      <c r="OA636" s="1019"/>
      <c r="OB636" s="1019"/>
      <c r="OC636" s="1019"/>
      <c r="OD636" s="1019"/>
      <c r="OE636" s="1019"/>
      <c r="OF636" s="1019"/>
      <c r="OG636" s="1019"/>
      <c r="OH636" s="1019"/>
      <c r="OI636" s="1019"/>
      <c r="OJ636" s="1019"/>
      <c r="OK636" s="1019"/>
      <c r="OL636" s="1019"/>
      <c r="OM636" s="1019"/>
      <c r="ON636" s="1019"/>
      <c r="OO636" s="1019"/>
      <c r="OP636" s="1019"/>
      <c r="OQ636" s="1019"/>
      <c r="OR636" s="1019"/>
      <c r="OS636" s="1019"/>
      <c r="OT636" s="1019"/>
      <c r="OU636" s="1019"/>
      <c r="OV636" s="1019"/>
      <c r="OW636" s="1019"/>
      <c r="OX636" s="1019"/>
      <c r="OY636" s="1019"/>
      <c r="OZ636" s="1019"/>
      <c r="PA636" s="1019"/>
      <c r="PB636" s="1019"/>
      <c r="PC636" s="1019"/>
      <c r="PD636" s="1019"/>
      <c r="PE636" s="1019"/>
      <c r="PF636" s="1019"/>
      <c r="PG636" s="1019"/>
      <c r="PH636" s="1019"/>
      <c r="PI636" s="1019"/>
      <c r="PJ636" s="1019"/>
      <c r="PK636" s="1019"/>
      <c r="PL636" s="1019"/>
      <c r="PM636" s="1019"/>
      <c r="PN636" s="1019"/>
      <c r="PO636" s="1019"/>
      <c r="PP636" s="1019"/>
      <c r="PQ636" s="1019"/>
      <c r="PR636" s="1019"/>
      <c r="PS636" s="1019"/>
      <c r="PT636" s="1019"/>
      <c r="PU636" s="1019"/>
      <c r="PV636" s="1019"/>
      <c r="PW636" s="1019"/>
      <c r="PX636" s="1019"/>
      <c r="PY636" s="1019"/>
      <c r="PZ636" s="1019"/>
      <c r="QA636" s="1019"/>
      <c r="QB636" s="1019"/>
      <c r="QC636" s="1019"/>
      <c r="QD636" s="1019"/>
      <c r="QE636" s="1019"/>
      <c r="QF636" s="1019"/>
      <c r="QG636" s="1019"/>
      <c r="QH636" s="1019"/>
      <c r="QI636" s="1019"/>
      <c r="QJ636" s="1019"/>
      <c r="QK636" s="1019"/>
      <c r="QL636" s="1019"/>
      <c r="QM636" s="1019"/>
      <c r="QN636" s="1019"/>
      <c r="QO636" s="1019"/>
      <c r="QP636" s="1019"/>
      <c r="QQ636" s="1019"/>
      <c r="QR636" s="1019"/>
      <c r="QS636" s="1019"/>
      <c r="QT636" s="1019"/>
      <c r="QU636" s="1019"/>
      <c r="QV636" s="1019"/>
      <c r="QW636" s="1019"/>
      <c r="QX636" s="1019"/>
      <c r="QY636" s="1019"/>
      <c r="QZ636" s="1019"/>
      <c r="RA636" s="1019"/>
      <c r="RB636" s="1019"/>
      <c r="RC636" s="1019"/>
      <c r="RD636" s="1019"/>
      <c r="RE636" s="1019"/>
      <c r="RF636" s="1794"/>
      <c r="RG636" s="1019"/>
      <c r="RH636" s="1027"/>
      <c r="RI636" s="1019"/>
      <c r="RJ636" s="1019" t="s">
        <v>13841</v>
      </c>
      <c r="RK636" s="1019" t="s">
        <v>13552</v>
      </c>
      <c r="RL636" s="1810">
        <v>42835</v>
      </c>
      <c r="RM636" s="1714" t="s">
        <v>13814</v>
      </c>
      <c r="RN636" s="1724">
        <v>42895</v>
      </c>
      <c r="RO636" s="533" t="s">
        <v>4166</v>
      </c>
      <c r="RR636" s="17"/>
      <c r="RS636" s="1013"/>
      <c r="RV636" s="93"/>
      <c r="RW636" s="35" t="s">
        <v>11560</v>
      </c>
      <c r="RX636" s="35" t="s">
        <v>11561</v>
      </c>
      <c r="SA636" s="93"/>
    </row>
    <row r="637" spans="1:495" s="35" customFormat="1" ht="12.75" customHeight="1">
      <c r="A637" s="19" t="s">
        <v>7421</v>
      </c>
      <c r="B637" s="1080" t="s">
        <v>11588</v>
      </c>
      <c r="C637" s="533" t="s">
        <v>11589</v>
      </c>
      <c r="D637" s="1714" t="s">
        <v>11590</v>
      </c>
      <c r="E637" s="6" t="s">
        <v>11591</v>
      </c>
      <c r="F637" s="1019" t="s">
        <v>28</v>
      </c>
      <c r="G637" s="1019" t="s">
        <v>10</v>
      </c>
      <c r="H637" s="1019"/>
      <c r="I637" s="1812" t="s">
        <v>11592</v>
      </c>
      <c r="J637" s="1714" t="s">
        <v>11590</v>
      </c>
      <c r="K637" s="6" t="s">
        <v>11593</v>
      </c>
      <c r="L637" s="6" t="s">
        <v>11594</v>
      </c>
      <c r="M637" s="1019" t="s">
        <v>2402</v>
      </c>
      <c r="N637" s="1019" t="s">
        <v>11583</v>
      </c>
      <c r="O637" s="1019" t="s">
        <v>11584</v>
      </c>
      <c r="P637" s="1019" t="s">
        <v>11595</v>
      </c>
      <c r="Q637" s="1831">
        <v>21919</v>
      </c>
      <c r="R637" s="1718">
        <v>58</v>
      </c>
      <c r="S637" s="1019" t="s">
        <v>10</v>
      </c>
      <c r="T637" s="1019"/>
      <c r="U637" s="1812" t="s">
        <v>11592</v>
      </c>
      <c r="V637" s="1019" t="s">
        <v>707</v>
      </c>
      <c r="W637" s="1812" t="s">
        <v>11596</v>
      </c>
      <c r="X637" s="1831">
        <v>24012</v>
      </c>
      <c r="Y637" s="1832" t="s">
        <v>11591</v>
      </c>
      <c r="Z637" s="1019" t="s">
        <v>1057</v>
      </c>
      <c r="AA637" s="1019" t="s">
        <v>709</v>
      </c>
      <c r="AB637" s="1019" t="s">
        <v>710</v>
      </c>
      <c r="AC637" s="1019" t="s">
        <v>724</v>
      </c>
      <c r="AD637" s="1019"/>
      <c r="AE637" s="1019"/>
      <c r="AF637" s="1019" t="s">
        <v>712</v>
      </c>
      <c r="AG637" s="1019" t="s">
        <v>1132</v>
      </c>
      <c r="AH637" s="766" t="s">
        <v>1096</v>
      </c>
      <c r="AI637" s="1019"/>
      <c r="AJ637" s="1019" t="s">
        <v>1137</v>
      </c>
      <c r="AK637" s="1019" t="s">
        <v>1101</v>
      </c>
      <c r="AL637" s="1770">
        <v>14.25</v>
      </c>
      <c r="AM637" s="1108">
        <v>7.41</v>
      </c>
      <c r="AN637" s="1078">
        <f t="shared" si="186"/>
        <v>0.52</v>
      </c>
      <c r="AO637" s="6" t="s">
        <v>1105</v>
      </c>
      <c r="AP637" s="6"/>
      <c r="AQ637" s="6"/>
      <c r="AR637" s="6"/>
      <c r="AS637" s="1019"/>
      <c r="AT637" s="1019"/>
      <c r="AU637" s="1019"/>
      <c r="AV637" s="1019"/>
      <c r="AW637" s="1019"/>
      <c r="AX637" s="1019"/>
      <c r="AY637" s="1019"/>
      <c r="AZ637" s="1019"/>
      <c r="BA637" s="1019"/>
      <c r="BB637" s="1019"/>
      <c r="BC637" s="1019"/>
      <c r="BD637" s="1019"/>
      <c r="BE637" s="1019"/>
      <c r="BF637" s="1027"/>
      <c r="BG637" s="1027"/>
      <c r="BH637" s="1019"/>
      <c r="BI637" s="1019"/>
      <c r="BJ637" s="1019"/>
      <c r="BK637" s="1019"/>
      <c r="BL637" s="1019"/>
      <c r="BM637" s="1019"/>
      <c r="BN637" s="1019"/>
      <c r="BO637" s="1019"/>
      <c r="BP637" s="1033"/>
      <c r="BQ637" s="46"/>
      <c r="BR637" s="47"/>
      <c r="BS637" s="6"/>
      <c r="BT637" s="1019"/>
      <c r="BU637" s="1019"/>
      <c r="BV637" s="1019"/>
      <c r="BW637" s="1019"/>
      <c r="BX637" s="1027"/>
      <c r="BY637" s="1019"/>
      <c r="BZ637" s="1027"/>
      <c r="CA637" s="1019"/>
      <c r="CB637" s="1019" t="s">
        <v>1207</v>
      </c>
      <c r="CC637" s="1019" t="s">
        <v>11597</v>
      </c>
      <c r="CD637" s="1019">
        <v>2015</v>
      </c>
      <c r="CE637" s="1019"/>
      <c r="CF637" s="1796">
        <v>2</v>
      </c>
      <c r="CG637" s="1797">
        <v>10.7</v>
      </c>
      <c r="CH637" s="1019" t="s">
        <v>11598</v>
      </c>
      <c r="CI637" s="1019"/>
      <c r="CJ637" s="1019" t="s">
        <v>11428</v>
      </c>
      <c r="CK637" s="1019">
        <v>10</v>
      </c>
      <c r="CL637" s="1019" t="s">
        <v>1249</v>
      </c>
      <c r="CM637" s="1019" t="s">
        <v>3399</v>
      </c>
      <c r="CN637" s="1019"/>
      <c r="CO637" s="1019" t="s">
        <v>1105</v>
      </c>
      <c r="CP637" s="1019"/>
      <c r="CQ637" s="1019"/>
      <c r="CR637" s="1027"/>
      <c r="CS637" s="1019"/>
      <c r="CT637" s="1019"/>
      <c r="CU637" s="1798"/>
      <c r="CV637" s="1019"/>
      <c r="CW637" s="1019"/>
      <c r="CX637" s="1019"/>
      <c r="CY637" s="1019"/>
      <c r="CZ637" s="1019"/>
      <c r="DA637" s="1799"/>
      <c r="DB637" s="1019"/>
      <c r="DC637" s="1019"/>
      <c r="DD637" s="1019"/>
      <c r="DE637" s="1800"/>
      <c r="DF637" s="1019"/>
      <c r="DG637" s="1019"/>
      <c r="DH637" s="1019"/>
      <c r="DI637" s="1019"/>
      <c r="DJ637" s="1019"/>
      <c r="DK637" s="1019"/>
      <c r="DL637" s="1019"/>
      <c r="DM637" s="1019"/>
      <c r="DN637" s="1801"/>
      <c r="DO637" s="1019"/>
      <c r="DP637" s="1019"/>
      <c r="DQ637" s="1019"/>
      <c r="DR637" s="1019"/>
      <c r="DS637" s="1802"/>
      <c r="DT637" s="1716"/>
      <c r="DU637" s="1019"/>
      <c r="DV637" s="1019"/>
      <c r="DW637" s="1799"/>
      <c r="DX637" s="1799"/>
      <c r="DY637" s="1019"/>
      <c r="DZ637" s="1019"/>
      <c r="EA637" s="1019"/>
      <c r="EB637" s="1019"/>
      <c r="EC637" s="1019"/>
      <c r="ED637" s="1019"/>
      <c r="EE637" s="1019"/>
      <c r="EF637" s="1019"/>
      <c r="EG637" s="1019"/>
      <c r="EH637" s="1019"/>
      <c r="EI637" s="1019"/>
      <c r="EJ637" s="1019"/>
      <c r="EK637" s="1019"/>
      <c r="EL637" s="1019"/>
      <c r="EM637" s="1019"/>
      <c r="EN637" s="1019"/>
      <c r="EO637" s="1019"/>
      <c r="EP637" s="1714"/>
      <c r="EQ637" s="1019"/>
      <c r="ER637" s="1019"/>
      <c r="ES637" s="1019"/>
      <c r="ET637" s="1019"/>
      <c r="EU637" s="1019"/>
      <c r="EV637" s="1019"/>
      <c r="EW637" s="1019"/>
      <c r="EX637" s="1019"/>
      <c r="EY637" s="1019"/>
      <c r="EZ637" s="1019"/>
      <c r="FA637" s="1019"/>
      <c r="FB637" s="1019"/>
      <c r="FC637" s="1019"/>
      <c r="FD637" s="1027"/>
      <c r="FE637" s="1019"/>
      <c r="FF637" s="1019"/>
      <c r="FG637" s="1019"/>
      <c r="FH637" s="1019"/>
      <c r="FI637" s="1019"/>
      <c r="FJ637" s="1019"/>
      <c r="FK637" s="1019"/>
      <c r="FL637" s="1019"/>
      <c r="FM637" s="1027"/>
      <c r="FN637" s="1027"/>
      <c r="FO637" s="1027"/>
      <c r="FP637" s="1019"/>
      <c r="FQ637" s="1019"/>
      <c r="FR637" s="1019" t="s">
        <v>1214</v>
      </c>
      <c r="FS637" s="1019"/>
      <c r="FT637" s="1019"/>
      <c r="FU637" s="1019"/>
      <c r="FV637" s="1019"/>
      <c r="FW637" s="1019"/>
      <c r="FX637" s="1019"/>
      <c r="FY637" s="1019"/>
      <c r="FZ637" s="1019"/>
      <c r="GA637" s="1019"/>
      <c r="GB637" s="1019" t="s">
        <v>1734</v>
      </c>
      <c r="GC637" s="1717"/>
      <c r="GD637" s="1718">
        <v>2015</v>
      </c>
      <c r="GE637" s="1019" t="s">
        <v>1214</v>
      </c>
      <c r="GF637" s="1027"/>
      <c r="GG637" s="1027"/>
      <c r="GH637" s="1019"/>
      <c r="GI637" s="1019"/>
      <c r="GJ637" s="1019"/>
      <c r="GK637" s="1019"/>
      <c r="GL637" s="1019"/>
      <c r="GM637" s="1019"/>
      <c r="GN637" s="1804"/>
      <c r="GO637" s="1019"/>
      <c r="GP637" s="1019"/>
      <c r="GQ637" s="1019"/>
      <c r="GR637" s="1019"/>
      <c r="GS637" s="1019"/>
      <c r="GT637" s="1019"/>
      <c r="GU637" s="1019"/>
      <c r="GV637" s="1019"/>
      <c r="GW637" s="1019"/>
      <c r="GX637" s="1019"/>
      <c r="GY637" s="1019"/>
      <c r="GZ637" s="1019"/>
      <c r="HA637" s="1019"/>
      <c r="HB637" s="1019"/>
      <c r="HC637" s="1019"/>
      <c r="HD637" s="1019"/>
      <c r="HE637" s="1019"/>
      <c r="HF637" s="1019"/>
      <c r="HG637" s="1019"/>
      <c r="HH637" s="1019"/>
      <c r="HI637" s="1019"/>
      <c r="HJ637" s="1019"/>
      <c r="HK637" s="1019"/>
      <c r="HL637" s="1019"/>
      <c r="HM637" s="1019"/>
      <c r="HN637" s="1019"/>
      <c r="HO637" s="1019"/>
      <c r="HP637" s="1019"/>
      <c r="HQ637" s="1019"/>
      <c r="HR637" s="1019">
        <v>1</v>
      </c>
      <c r="HS637" s="1019"/>
      <c r="HT637" s="1019"/>
      <c r="HU637" s="1019"/>
      <c r="HV637" s="1019"/>
      <c r="HW637" s="1019"/>
      <c r="HX637" s="1019"/>
      <c r="HY637" s="1019"/>
      <c r="HZ637" s="1019"/>
      <c r="IA637" s="1019"/>
      <c r="IB637" s="1019"/>
      <c r="IC637" s="1019"/>
      <c r="ID637" s="1019"/>
      <c r="IE637" s="1019"/>
      <c r="IF637" s="1019"/>
      <c r="IG637" s="1019"/>
      <c r="IH637" s="1019"/>
      <c r="II637" s="1019"/>
      <c r="IJ637" s="1019" t="s">
        <v>11599</v>
      </c>
      <c r="IK637" s="1019" t="s">
        <v>2639</v>
      </c>
      <c r="IL637" s="1019" t="s">
        <v>11600</v>
      </c>
      <c r="IM637" s="1019">
        <v>2015</v>
      </c>
      <c r="IN637" s="1019" t="s">
        <v>11600</v>
      </c>
      <c r="IO637" s="1805"/>
      <c r="IP637" s="1019" t="s">
        <v>478</v>
      </c>
      <c r="IQ637" s="1019" t="s">
        <v>11601</v>
      </c>
      <c r="IR637" s="1019" t="s">
        <v>2716</v>
      </c>
      <c r="IS637" s="1019" t="s">
        <v>1966</v>
      </c>
      <c r="IT637" s="1019" t="s">
        <v>1208</v>
      </c>
      <c r="IU637" s="1019"/>
      <c r="IV637" s="1019" t="s">
        <v>11602</v>
      </c>
      <c r="IW637" s="1019" t="s">
        <v>13842</v>
      </c>
      <c r="IX637" s="1019"/>
      <c r="IY637" s="1812" t="s">
        <v>12800</v>
      </c>
      <c r="IZ637" s="1019"/>
      <c r="JA637" s="1019"/>
      <c r="JB637" s="1019" t="s">
        <v>1901</v>
      </c>
      <c r="JC637" s="1019"/>
      <c r="JD637" s="1027"/>
      <c r="JE637" s="1019"/>
      <c r="JF637" s="1019"/>
      <c r="JG637" s="1019"/>
      <c r="JH637" s="1802"/>
      <c r="JI637" s="1802"/>
      <c r="JJ637" s="1019"/>
      <c r="JK637" s="1019"/>
      <c r="JL637" s="1019"/>
      <c r="JM637" s="1019"/>
      <c r="JN637" s="1019"/>
      <c r="JO637" s="1019"/>
      <c r="JP637" s="1019"/>
      <c r="JQ637" s="1019"/>
      <c r="JR637" s="1019"/>
      <c r="JS637" s="1019"/>
      <c r="JT637" s="766"/>
      <c r="JU637" s="766"/>
      <c r="JV637" s="766"/>
      <c r="JW637" s="766"/>
      <c r="JX637" s="1019"/>
      <c r="JY637" s="1019"/>
      <c r="JZ637" s="1019"/>
      <c r="KA637" s="1019"/>
      <c r="KB637" s="1019"/>
      <c r="KC637" s="1019"/>
      <c r="KD637" s="1019"/>
      <c r="KE637" s="1019"/>
      <c r="KF637" s="1019"/>
      <c r="KG637" s="1019"/>
      <c r="KH637" s="1019"/>
      <c r="KI637" s="1019"/>
      <c r="KJ637" s="770"/>
      <c r="KK637" s="770"/>
      <c r="KL637" s="770"/>
      <c r="KM637" s="770"/>
      <c r="KN637" s="1019"/>
      <c r="KO637" s="1019"/>
      <c r="KP637" s="1019"/>
      <c r="KQ637" s="1019"/>
      <c r="KR637" s="1019"/>
      <c r="KS637" s="1019"/>
      <c r="KT637" s="1019"/>
      <c r="KU637" s="1019"/>
      <c r="KV637" s="1019"/>
      <c r="KW637" s="1019"/>
      <c r="KX637" s="1019"/>
      <c r="KY637" s="1019"/>
      <c r="KZ637" s="1019"/>
      <c r="LA637" s="1019"/>
      <c r="LB637" s="1019"/>
      <c r="LC637" s="1019"/>
      <c r="LD637" s="1019"/>
      <c r="LE637" s="1019"/>
      <c r="LF637" s="1019"/>
      <c r="LG637" s="1019"/>
      <c r="LH637" s="1019"/>
      <c r="LI637" s="1019"/>
      <c r="LJ637" s="1019"/>
      <c r="LK637" s="1019"/>
      <c r="LL637" s="1019"/>
      <c r="LM637" s="1019"/>
      <c r="LN637" s="766"/>
      <c r="LO637" s="766"/>
      <c r="LP637" s="1019"/>
      <c r="LQ637" s="1019"/>
      <c r="LR637" s="1019"/>
      <c r="LS637" s="1019"/>
      <c r="LT637" s="1019"/>
      <c r="LU637" s="1019"/>
      <c r="LV637" s="1019"/>
      <c r="LW637" s="1019"/>
      <c r="LX637" s="1693"/>
      <c r="LY637" s="766" t="str">
        <f t="shared" si="187"/>
        <v/>
      </c>
      <c r="LZ637" s="1807"/>
      <c r="MA637" s="1807"/>
      <c r="MB637" s="1807"/>
      <c r="MC637" s="1679">
        <f t="shared" si="185"/>
        <v>0</v>
      </c>
      <c r="MD637" s="1807"/>
      <c r="ME637" s="1807"/>
      <c r="MF637" s="1807"/>
      <c r="MG637" s="1680">
        <f t="shared" si="164"/>
        <v>0</v>
      </c>
      <c r="MH637" s="1019"/>
      <c r="MI637" s="64"/>
      <c r="MJ637" s="1027"/>
      <c r="MK637" s="1027"/>
      <c r="ML637" s="1027"/>
      <c r="MM637" s="1027"/>
      <c r="MN637" s="1027"/>
      <c r="MO637" s="1027"/>
      <c r="MP637" s="1027"/>
      <c r="MQ637" s="1027"/>
      <c r="MR637" s="1027"/>
      <c r="MS637" s="1027"/>
      <c r="MT637" s="1027"/>
      <c r="MU637" s="1027"/>
      <c r="MV637" s="1027"/>
      <c r="MW637" s="1027"/>
      <c r="MX637" s="1027"/>
      <c r="MY637" s="1682">
        <f t="shared" si="165"/>
        <v>0</v>
      </c>
      <c r="MZ637" s="1019"/>
      <c r="NA637" s="1019"/>
      <c r="NB637" s="1019"/>
      <c r="NC637" s="1019"/>
      <c r="ND637" s="1019"/>
      <c r="NE637" s="1019"/>
      <c r="NF637" s="1019"/>
      <c r="NG637" s="1019"/>
      <c r="NH637" s="1019"/>
      <c r="NI637" s="1019"/>
      <c r="NJ637" s="1019"/>
      <c r="NK637" s="1019"/>
      <c r="NL637" s="1019"/>
      <c r="NM637" s="1019"/>
      <c r="NN637" s="1019"/>
      <c r="NO637" s="1019"/>
      <c r="NP637" s="1019"/>
      <c r="NQ637" s="1019"/>
      <c r="NR637" s="1019"/>
      <c r="NS637" s="1019"/>
      <c r="NT637" s="1019"/>
      <c r="NU637" s="1019"/>
      <c r="NV637" s="1019"/>
      <c r="NW637" s="1019"/>
      <c r="NX637" s="1019"/>
      <c r="NY637" s="1019"/>
      <c r="NZ637" s="1019"/>
      <c r="OA637" s="1019"/>
      <c r="OB637" s="1019"/>
      <c r="OC637" s="1019"/>
      <c r="OD637" s="1019"/>
      <c r="OE637" s="1019"/>
      <c r="OF637" s="1019"/>
      <c r="OG637" s="1019"/>
      <c r="OH637" s="1019"/>
      <c r="OI637" s="1019"/>
      <c r="OJ637" s="1019"/>
      <c r="OK637" s="1019"/>
      <c r="OL637" s="1019"/>
      <c r="OM637" s="1019"/>
      <c r="ON637" s="1019"/>
      <c r="OO637" s="1019"/>
      <c r="OP637" s="1019"/>
      <c r="OQ637" s="1019"/>
      <c r="OR637" s="1019"/>
      <c r="OS637" s="1019"/>
      <c r="OT637" s="1019"/>
      <c r="OU637" s="1019"/>
      <c r="OV637" s="1019"/>
      <c r="OW637" s="1019"/>
      <c r="OX637" s="1019"/>
      <c r="OY637" s="1019"/>
      <c r="OZ637" s="1019"/>
      <c r="PA637" s="1019"/>
      <c r="PB637" s="1019"/>
      <c r="PC637" s="1019"/>
      <c r="PD637" s="1019"/>
      <c r="PE637" s="1019"/>
      <c r="PF637" s="1019"/>
      <c r="PG637" s="1019"/>
      <c r="PH637" s="1019"/>
      <c r="PI637" s="1019"/>
      <c r="PJ637" s="1019"/>
      <c r="PK637" s="1019"/>
      <c r="PL637" s="1019"/>
      <c r="PM637" s="1019"/>
      <c r="PN637" s="1019"/>
      <c r="PO637" s="1019"/>
      <c r="PP637" s="1019"/>
      <c r="PQ637" s="1019"/>
      <c r="PR637" s="1019"/>
      <c r="PS637" s="1019"/>
      <c r="PT637" s="1019"/>
      <c r="PU637" s="1019"/>
      <c r="PV637" s="1019"/>
      <c r="PW637" s="1019"/>
      <c r="PX637" s="1019"/>
      <c r="PY637" s="1019"/>
      <c r="PZ637" s="1019"/>
      <c r="QA637" s="1019"/>
      <c r="QB637" s="1019"/>
      <c r="QC637" s="1019"/>
      <c r="QD637" s="1019"/>
      <c r="QE637" s="1019"/>
      <c r="QF637" s="1019"/>
      <c r="QG637" s="1019"/>
      <c r="QH637" s="1019"/>
      <c r="QI637" s="1019"/>
      <c r="QJ637" s="1019"/>
      <c r="QK637" s="1019"/>
      <c r="QL637" s="1019"/>
      <c r="QM637" s="1019"/>
      <c r="QN637" s="1019"/>
      <c r="QO637" s="1019"/>
      <c r="QP637" s="1019"/>
      <c r="QQ637" s="1019"/>
      <c r="QR637" s="1019"/>
      <c r="QS637" s="1019"/>
      <c r="QT637" s="1019"/>
      <c r="QU637" s="1019"/>
      <c r="QV637" s="1019"/>
      <c r="QW637" s="1019"/>
      <c r="QX637" s="1019"/>
      <c r="QY637" s="1019"/>
      <c r="QZ637" s="1019"/>
      <c r="RA637" s="1019"/>
      <c r="RB637" s="1019"/>
      <c r="RC637" s="1019"/>
      <c r="RD637" s="1019"/>
      <c r="RE637" s="1019"/>
      <c r="RF637" s="1794"/>
      <c r="RG637" s="1019"/>
      <c r="RH637" s="1027"/>
      <c r="RI637" s="1019"/>
      <c r="RJ637" s="1019" t="s">
        <v>13843</v>
      </c>
      <c r="RK637" s="1019"/>
      <c r="RL637" s="1810"/>
      <c r="RM637" s="843" t="s">
        <v>13816</v>
      </c>
      <c r="RN637" s="1724">
        <v>42895</v>
      </c>
      <c r="RO637" s="533" t="s">
        <v>11589</v>
      </c>
      <c r="RS637" s="1013"/>
      <c r="RV637" s="93"/>
      <c r="RW637" s="35" t="s">
        <v>11570</v>
      </c>
      <c r="RX637" s="35" t="s">
        <v>11571</v>
      </c>
      <c r="RZ637" s="35" t="s">
        <v>1101</v>
      </c>
      <c r="SA637" s="93"/>
    </row>
    <row r="638" spans="1:495" s="35" customFormat="1" ht="12.75" customHeight="1">
      <c r="A638" s="19" t="s">
        <v>7421</v>
      </c>
      <c r="B638" s="1080" t="s">
        <v>11603</v>
      </c>
      <c r="C638" s="533" t="s">
        <v>11604</v>
      </c>
      <c r="D638" s="1714" t="s">
        <v>4169</v>
      </c>
      <c r="E638" s="6" t="s">
        <v>11605</v>
      </c>
      <c r="F638" s="1019" t="s">
        <v>28</v>
      </c>
      <c r="G638" s="1019" t="s">
        <v>18</v>
      </c>
      <c r="H638" s="1019"/>
      <c r="I638" s="1812" t="s">
        <v>11606</v>
      </c>
      <c r="J638" s="1714" t="s">
        <v>4169</v>
      </c>
      <c r="K638" s="6" t="s">
        <v>11607</v>
      </c>
      <c r="L638" s="6" t="s">
        <v>11508</v>
      </c>
      <c r="M638" s="1019" t="s">
        <v>2402</v>
      </c>
      <c r="N638" s="1019" t="s">
        <v>11583</v>
      </c>
      <c r="O638" s="1019" t="s">
        <v>11584</v>
      </c>
      <c r="P638" s="1019" t="s">
        <v>11608</v>
      </c>
      <c r="Q638" s="1831">
        <v>20302</v>
      </c>
      <c r="R638" s="1718">
        <v>62</v>
      </c>
      <c r="S638" s="1019" t="s">
        <v>18</v>
      </c>
      <c r="T638" s="1019"/>
      <c r="U638" s="1812"/>
      <c r="V638" s="1019" t="s">
        <v>719</v>
      </c>
      <c r="W638" s="1812"/>
      <c r="X638" s="1831"/>
      <c r="Y638" s="6" t="s">
        <v>11605</v>
      </c>
      <c r="Z638" s="1019" t="s">
        <v>708</v>
      </c>
      <c r="AA638" s="1019" t="s">
        <v>709</v>
      </c>
      <c r="AB638" s="1019" t="s">
        <v>710</v>
      </c>
      <c r="AC638" s="1019" t="s">
        <v>724</v>
      </c>
      <c r="AD638" s="1019" t="s">
        <v>711</v>
      </c>
      <c r="AE638" s="1019"/>
      <c r="AF638" s="1019" t="s">
        <v>712</v>
      </c>
      <c r="AG638" s="1019" t="s">
        <v>1132</v>
      </c>
      <c r="AH638" s="766" t="s">
        <v>1096</v>
      </c>
      <c r="AI638" s="1019"/>
      <c r="AJ638" s="1019" t="s">
        <v>1137</v>
      </c>
      <c r="AK638" s="1019" t="s">
        <v>1101</v>
      </c>
      <c r="AL638" s="1770">
        <v>3.5</v>
      </c>
      <c r="AM638" s="1108">
        <v>3.5</v>
      </c>
      <c r="AN638" s="1078">
        <f t="shared" si="186"/>
        <v>1</v>
      </c>
      <c r="AO638" s="6" t="s">
        <v>1122</v>
      </c>
      <c r="AP638" s="6"/>
      <c r="AQ638" s="6"/>
      <c r="AR638" s="6"/>
      <c r="AS638" s="1019"/>
      <c r="AT638" s="1019"/>
      <c r="AU638" s="1019"/>
      <c r="AV638" s="1019"/>
      <c r="AW638" s="1019"/>
      <c r="AX638" s="1019"/>
      <c r="AY638" s="1019"/>
      <c r="AZ638" s="1019"/>
      <c r="BA638" s="1019"/>
      <c r="BB638" s="1019"/>
      <c r="BC638" s="1019"/>
      <c r="BD638" s="1019"/>
      <c r="BE638" s="1019"/>
      <c r="BF638" s="1027"/>
      <c r="BG638" s="1027"/>
      <c r="BH638" s="1019"/>
      <c r="BI638" s="1019"/>
      <c r="BJ638" s="1019"/>
      <c r="BK638" s="1019"/>
      <c r="BL638" s="1019"/>
      <c r="BM638" s="1019"/>
      <c r="BN638" s="1019"/>
      <c r="BO638" s="1019"/>
      <c r="BP638" s="1033"/>
      <c r="BQ638" s="46"/>
      <c r="BR638" s="47"/>
      <c r="BS638" s="6"/>
      <c r="BT638" s="1019"/>
      <c r="BU638" s="1019"/>
      <c r="BV638" s="1019"/>
      <c r="BW638" s="1019"/>
      <c r="BX638" s="1027"/>
      <c r="BY638" s="1019"/>
      <c r="BZ638" s="1027"/>
      <c r="CA638" s="1019"/>
      <c r="CB638" s="1019" t="s">
        <v>1207</v>
      </c>
      <c r="CC638" s="1019"/>
      <c r="CD638" s="1019"/>
      <c r="CE638" s="1019"/>
      <c r="CF638" s="1796"/>
      <c r="CG638" s="1797"/>
      <c r="CH638" s="1019"/>
      <c r="CI638" s="1019"/>
      <c r="CJ638" s="1019"/>
      <c r="CK638" s="1019"/>
      <c r="CL638" s="1019"/>
      <c r="CM638" s="1019"/>
      <c r="CN638" s="1019"/>
      <c r="CO638" s="1019"/>
      <c r="CP638" s="1019" t="s">
        <v>11609</v>
      </c>
      <c r="CQ638" s="1019">
        <v>1965</v>
      </c>
      <c r="CR638" s="1027"/>
      <c r="CS638" s="1019"/>
      <c r="CT638" s="1019" t="s">
        <v>4045</v>
      </c>
      <c r="CU638" s="1798">
        <f>CONVERT(60,"ft","m")</f>
        <v>18.288</v>
      </c>
      <c r="CV638" s="1019">
        <v>2</v>
      </c>
      <c r="CW638" s="1019">
        <v>3</v>
      </c>
      <c r="CX638" s="1019"/>
      <c r="CY638" s="1019"/>
      <c r="CZ638" s="1019"/>
      <c r="DA638" s="1799"/>
      <c r="DB638" s="1019"/>
      <c r="DC638" s="1019"/>
      <c r="DD638" s="1019"/>
      <c r="DE638" s="1800"/>
      <c r="DF638" s="1019"/>
      <c r="DG638" s="1019"/>
      <c r="DH638" s="1019"/>
      <c r="DI638" s="1019"/>
      <c r="DJ638" s="1019"/>
      <c r="DK638" s="1019"/>
      <c r="DL638" s="1019"/>
      <c r="DM638" s="1019"/>
      <c r="DN638" s="1801"/>
      <c r="DO638" s="1019"/>
      <c r="DP638" s="1019"/>
      <c r="DQ638" s="1019"/>
      <c r="DR638" s="1019"/>
      <c r="DS638" s="1802"/>
      <c r="DT638" s="1716"/>
      <c r="DU638" s="1019"/>
      <c r="DV638" s="1019"/>
      <c r="DW638" s="1799"/>
      <c r="DX638" s="1799"/>
      <c r="DY638" s="1019"/>
      <c r="DZ638" s="1019"/>
      <c r="EA638" s="1019"/>
      <c r="EB638" s="1019"/>
      <c r="EC638" s="1019"/>
      <c r="ED638" s="1019"/>
      <c r="EE638" s="1019"/>
      <c r="EF638" s="1019"/>
      <c r="EG638" s="1019"/>
      <c r="EH638" s="1019"/>
      <c r="EI638" s="1019"/>
      <c r="EJ638" s="1019"/>
      <c r="EK638" s="1019"/>
      <c r="EL638" s="1019"/>
      <c r="EM638" s="1019"/>
      <c r="EN638" s="1019"/>
      <c r="EO638" s="1019"/>
      <c r="EP638" s="1714"/>
      <c r="EQ638" s="1019"/>
      <c r="ER638" s="1019"/>
      <c r="ES638" s="1019"/>
      <c r="ET638" s="1019"/>
      <c r="EU638" s="1019"/>
      <c r="EV638" s="1019"/>
      <c r="EW638" s="1019"/>
      <c r="EX638" s="1019"/>
      <c r="EY638" s="1019"/>
      <c r="EZ638" s="1019"/>
      <c r="FA638" s="1019"/>
      <c r="FB638" s="1019"/>
      <c r="FC638" s="1019"/>
      <c r="FD638" s="1027"/>
      <c r="FE638" s="1019"/>
      <c r="FF638" s="1019"/>
      <c r="FG638" s="1019"/>
      <c r="FH638" s="1019"/>
      <c r="FI638" s="1019"/>
      <c r="FJ638" s="1019"/>
      <c r="FK638" s="1019"/>
      <c r="FL638" s="1019"/>
      <c r="FM638" s="1027"/>
      <c r="FN638" s="1027"/>
      <c r="FO638" s="1027"/>
      <c r="FP638" s="1019"/>
      <c r="FQ638" s="1019"/>
      <c r="FR638" s="1019"/>
      <c r="FS638" s="1019"/>
      <c r="FT638" s="1019"/>
      <c r="FU638" s="1019"/>
      <c r="FV638" s="1019"/>
      <c r="FW638" s="1019"/>
      <c r="FX638" s="1019"/>
      <c r="FY638" s="1019"/>
      <c r="FZ638" s="1019"/>
      <c r="GA638" s="1019"/>
      <c r="GB638" s="1019"/>
      <c r="GC638" s="1717"/>
      <c r="GD638" s="1718"/>
      <c r="GE638" s="1019"/>
      <c r="GF638" s="1027"/>
      <c r="GG638" s="1027"/>
      <c r="GH638" s="1019"/>
      <c r="GI638" s="1019"/>
      <c r="GJ638" s="1019"/>
      <c r="GK638" s="1019"/>
      <c r="GL638" s="1019"/>
      <c r="GM638" s="1019"/>
      <c r="GN638" s="1804"/>
      <c r="GO638" s="1019"/>
      <c r="GP638" s="1019"/>
      <c r="GQ638" s="1019"/>
      <c r="GR638" s="1019"/>
      <c r="GS638" s="1019"/>
      <c r="GT638" s="1019"/>
      <c r="GU638" s="1019"/>
      <c r="GV638" s="1019"/>
      <c r="GW638" s="1019"/>
      <c r="GX638" s="1019"/>
      <c r="GY638" s="1019"/>
      <c r="GZ638" s="1019"/>
      <c r="HA638" s="1019"/>
      <c r="HB638" s="1019"/>
      <c r="HC638" s="1019"/>
      <c r="HD638" s="1019"/>
      <c r="HE638" s="1019"/>
      <c r="HF638" s="1019"/>
      <c r="HG638" s="1019"/>
      <c r="HH638" s="1019"/>
      <c r="HI638" s="1019"/>
      <c r="HJ638" s="1019"/>
      <c r="HK638" s="1019"/>
      <c r="HL638" s="1019"/>
      <c r="HM638" s="1019"/>
      <c r="HN638" s="1019"/>
      <c r="HO638" s="1019"/>
      <c r="HP638" s="1019"/>
      <c r="HQ638" s="1019"/>
      <c r="HR638" s="1019"/>
      <c r="HS638" s="1019"/>
      <c r="HT638" s="1019"/>
      <c r="HU638" s="1019"/>
      <c r="HV638" s="1019"/>
      <c r="HW638" s="1019"/>
      <c r="HX638" s="1019"/>
      <c r="HY638" s="1019"/>
      <c r="HZ638" s="1019"/>
      <c r="IA638" s="1019"/>
      <c r="IB638" s="1019"/>
      <c r="IC638" s="1019"/>
      <c r="ID638" s="1019" t="s">
        <v>11610</v>
      </c>
      <c r="IE638" s="1019"/>
      <c r="IF638" s="1019"/>
      <c r="IG638" s="1019"/>
      <c r="IH638" s="1019"/>
      <c r="II638" s="1019"/>
      <c r="IJ638" s="1019"/>
      <c r="IK638" s="1019"/>
      <c r="IL638" s="1019"/>
      <c r="IM638" s="1019"/>
      <c r="IN638" s="1019"/>
      <c r="IO638" s="1805"/>
      <c r="IP638" s="1019"/>
      <c r="IQ638" s="1019"/>
      <c r="IR638" s="1019"/>
      <c r="IS638" s="1019"/>
      <c r="IT638" s="1019"/>
      <c r="IU638" s="1019"/>
      <c r="IV638" s="1019"/>
      <c r="IW638" s="1019"/>
      <c r="IX638" s="1019"/>
      <c r="IY638" s="1812"/>
      <c r="IZ638" s="1019"/>
      <c r="JA638" s="1019"/>
      <c r="JB638" s="1019"/>
      <c r="JC638" s="1019"/>
      <c r="JD638" s="1027"/>
      <c r="JE638" s="1019"/>
      <c r="JF638" s="1019"/>
      <c r="JG638" s="1019"/>
      <c r="JH638" s="1802"/>
      <c r="JI638" s="1802"/>
      <c r="JJ638" s="1019"/>
      <c r="JK638" s="1019"/>
      <c r="JL638" s="1019"/>
      <c r="JM638" s="1019"/>
      <c r="JN638" s="1019"/>
      <c r="JO638" s="1019"/>
      <c r="JP638" s="1019"/>
      <c r="JQ638" s="1019"/>
      <c r="JR638" s="1019"/>
      <c r="JS638" s="1019"/>
      <c r="JT638" s="766"/>
      <c r="JU638" s="766"/>
      <c r="JV638" s="766"/>
      <c r="JW638" s="766"/>
      <c r="JX638" s="1019"/>
      <c r="JY638" s="1019"/>
      <c r="JZ638" s="1019"/>
      <c r="KA638" s="1019"/>
      <c r="KB638" s="1019"/>
      <c r="KC638" s="1019"/>
      <c r="KD638" s="1019"/>
      <c r="KE638" s="1019"/>
      <c r="KF638" s="1019"/>
      <c r="KG638" s="1019"/>
      <c r="KH638" s="1019"/>
      <c r="KI638" s="1019"/>
      <c r="KJ638" s="770"/>
      <c r="KK638" s="770"/>
      <c r="KL638" s="770"/>
      <c r="KM638" s="770"/>
      <c r="KN638" s="1019"/>
      <c r="KO638" s="1019"/>
      <c r="KP638" s="1019"/>
      <c r="KQ638" s="1019"/>
      <c r="KR638" s="1019"/>
      <c r="KS638" s="1019"/>
      <c r="KT638" s="1019"/>
      <c r="KU638" s="1019"/>
      <c r="KV638" s="1019"/>
      <c r="KW638" s="1019"/>
      <c r="KX638" s="1019"/>
      <c r="KY638" s="1019"/>
      <c r="KZ638" s="1019"/>
      <c r="LA638" s="1019"/>
      <c r="LB638" s="1019"/>
      <c r="LC638" s="1019"/>
      <c r="LD638" s="1019"/>
      <c r="LE638" s="1019"/>
      <c r="LF638" s="1019"/>
      <c r="LG638" s="1019"/>
      <c r="LH638" s="1019"/>
      <c r="LI638" s="1019"/>
      <c r="LJ638" s="1019"/>
      <c r="LK638" s="1019"/>
      <c r="LL638" s="1019"/>
      <c r="LM638" s="1019"/>
      <c r="LN638" s="766"/>
      <c r="LO638" s="766"/>
      <c r="LP638" s="1019"/>
      <c r="LQ638" s="1019"/>
      <c r="LR638" s="1019"/>
      <c r="LS638" s="1019"/>
      <c r="LT638" s="1019"/>
      <c r="LU638" s="1019"/>
      <c r="LV638" s="1019"/>
      <c r="LW638" s="1019"/>
      <c r="LX638" s="1693"/>
      <c r="LY638" s="766" t="str">
        <f t="shared" si="187"/>
        <v/>
      </c>
      <c r="LZ638" s="1807"/>
      <c r="MA638" s="1807"/>
      <c r="MB638" s="1807"/>
      <c r="MC638" s="1679">
        <f t="shared" si="185"/>
        <v>0</v>
      </c>
      <c r="MD638" s="1807"/>
      <c r="ME638" s="1807"/>
      <c r="MF638" s="1807"/>
      <c r="MG638" s="1680">
        <f t="shared" si="164"/>
        <v>0</v>
      </c>
      <c r="MH638" s="1019"/>
      <c r="MI638" s="64"/>
      <c r="MJ638" s="1027"/>
      <c r="MK638" s="1027"/>
      <c r="ML638" s="1027"/>
      <c r="MM638" s="1027"/>
      <c r="MN638" s="1027"/>
      <c r="MO638" s="1027"/>
      <c r="MP638" s="1027"/>
      <c r="MQ638" s="1027"/>
      <c r="MR638" s="1027"/>
      <c r="MS638" s="1027"/>
      <c r="MT638" s="1027"/>
      <c r="MU638" s="1027"/>
      <c r="MV638" s="1027"/>
      <c r="MW638" s="1027"/>
      <c r="MX638" s="1027"/>
      <c r="MY638" s="1682">
        <f t="shared" si="165"/>
        <v>0</v>
      </c>
      <c r="MZ638" s="1019"/>
      <c r="NA638" s="1019"/>
      <c r="NB638" s="1019"/>
      <c r="NC638" s="1019"/>
      <c r="ND638" s="1019"/>
      <c r="NE638" s="1019"/>
      <c r="NF638" s="1019"/>
      <c r="NG638" s="1019"/>
      <c r="NH638" s="1019"/>
      <c r="NI638" s="1019"/>
      <c r="NJ638" s="1019"/>
      <c r="NK638" s="1019"/>
      <c r="NL638" s="1019"/>
      <c r="NM638" s="1019"/>
      <c r="NN638" s="1019"/>
      <c r="NO638" s="1019"/>
      <c r="NP638" s="1019"/>
      <c r="NQ638" s="1019"/>
      <c r="NR638" s="1019"/>
      <c r="NS638" s="1019"/>
      <c r="NT638" s="1019"/>
      <c r="NU638" s="1019"/>
      <c r="NV638" s="1019"/>
      <c r="NW638" s="1019"/>
      <c r="NX638" s="1019"/>
      <c r="NY638" s="1019"/>
      <c r="NZ638" s="1019"/>
      <c r="OA638" s="1019"/>
      <c r="OB638" s="1019"/>
      <c r="OC638" s="1019"/>
      <c r="OD638" s="1019"/>
      <c r="OE638" s="1019"/>
      <c r="OF638" s="1019"/>
      <c r="OG638" s="1019"/>
      <c r="OH638" s="1019"/>
      <c r="OI638" s="1019"/>
      <c r="OJ638" s="1019"/>
      <c r="OK638" s="1019"/>
      <c r="OL638" s="1019"/>
      <c r="OM638" s="1019"/>
      <c r="ON638" s="1019"/>
      <c r="OO638" s="1019"/>
      <c r="OP638" s="1019"/>
      <c r="OQ638" s="1019"/>
      <c r="OR638" s="1019"/>
      <c r="OS638" s="1019"/>
      <c r="OT638" s="1019"/>
      <c r="OU638" s="1019"/>
      <c r="OV638" s="1019"/>
      <c r="OW638" s="1019"/>
      <c r="OX638" s="1019"/>
      <c r="OY638" s="1019"/>
      <c r="OZ638" s="1019"/>
      <c r="PA638" s="1019"/>
      <c r="PB638" s="1019"/>
      <c r="PC638" s="1019"/>
      <c r="PD638" s="1019"/>
      <c r="PE638" s="1019"/>
      <c r="PF638" s="1019"/>
      <c r="PG638" s="1019"/>
      <c r="PH638" s="1019"/>
      <c r="PI638" s="1019"/>
      <c r="PJ638" s="1019"/>
      <c r="PK638" s="1019"/>
      <c r="PL638" s="1019"/>
      <c r="PM638" s="1019"/>
      <c r="PN638" s="1019"/>
      <c r="PO638" s="1019"/>
      <c r="PP638" s="1019"/>
      <c r="PQ638" s="1019"/>
      <c r="PR638" s="1019"/>
      <c r="PS638" s="1019"/>
      <c r="PT638" s="1019"/>
      <c r="PU638" s="1019"/>
      <c r="PV638" s="1019"/>
      <c r="PW638" s="1019"/>
      <c r="PX638" s="1019"/>
      <c r="PY638" s="1019"/>
      <c r="PZ638" s="1019"/>
      <c r="QA638" s="1019"/>
      <c r="QB638" s="1019"/>
      <c r="QC638" s="1019"/>
      <c r="QD638" s="1019"/>
      <c r="QE638" s="1019"/>
      <c r="QF638" s="1019"/>
      <c r="QG638" s="1019"/>
      <c r="QH638" s="1019"/>
      <c r="QI638" s="1019"/>
      <c r="QJ638" s="1019"/>
      <c r="QK638" s="1019"/>
      <c r="QL638" s="1019"/>
      <c r="QM638" s="1019"/>
      <c r="QN638" s="1019"/>
      <c r="QO638" s="1019"/>
      <c r="QP638" s="1019"/>
      <c r="QQ638" s="1019"/>
      <c r="QR638" s="1019"/>
      <c r="QS638" s="1019"/>
      <c r="QT638" s="1019"/>
      <c r="QU638" s="1019"/>
      <c r="QV638" s="1019"/>
      <c r="QW638" s="1019"/>
      <c r="QX638" s="1019"/>
      <c r="QY638" s="1019"/>
      <c r="QZ638" s="1019"/>
      <c r="RA638" s="1019"/>
      <c r="RB638" s="1019"/>
      <c r="RC638" s="1019"/>
      <c r="RD638" s="1019"/>
      <c r="RE638" s="1019"/>
      <c r="RF638" s="1794"/>
      <c r="RG638" s="1019"/>
      <c r="RH638" s="1027"/>
      <c r="RI638" s="1019"/>
      <c r="RJ638" s="1019" t="s">
        <v>11609</v>
      </c>
      <c r="RK638" s="1019"/>
      <c r="RL638" s="1810"/>
      <c r="RM638" s="1714"/>
      <c r="RN638" s="1724"/>
      <c r="RO638" s="533" t="s">
        <v>11604</v>
      </c>
      <c r="RS638" s="1013"/>
      <c r="RV638" s="93" t="s">
        <v>7421</v>
      </c>
      <c r="RW638" s="35" t="s">
        <v>7829</v>
      </c>
      <c r="RX638" s="35" t="s">
        <v>4166</v>
      </c>
      <c r="RZ638" s="35" t="s">
        <v>1101</v>
      </c>
      <c r="SA638" s="93"/>
    </row>
    <row r="639" spans="1:495" s="35" customFormat="1" ht="12.75" customHeight="1">
      <c r="A639" s="19" t="s">
        <v>7421</v>
      </c>
      <c r="B639" s="1082" t="s">
        <v>7830</v>
      </c>
      <c r="C639" s="533" t="s">
        <v>4168</v>
      </c>
      <c r="D639" s="1714" t="s">
        <v>4169</v>
      </c>
      <c r="E639" s="6" t="s">
        <v>4177</v>
      </c>
      <c r="F639" s="1019" t="s">
        <v>28</v>
      </c>
      <c r="G639" s="1019" t="s">
        <v>18</v>
      </c>
      <c r="H639" s="1019"/>
      <c r="I639" s="1812" t="s">
        <v>4170</v>
      </c>
      <c r="J639" s="1714" t="s">
        <v>4169</v>
      </c>
      <c r="K639" s="6" t="s">
        <v>4171</v>
      </c>
      <c r="L639" s="6" t="s">
        <v>4172</v>
      </c>
      <c r="M639" s="1019" t="s">
        <v>2402</v>
      </c>
      <c r="N639" s="1019" t="s">
        <v>11583</v>
      </c>
      <c r="O639" s="1019" t="s">
        <v>11584</v>
      </c>
      <c r="P639" s="1019" t="s">
        <v>11608</v>
      </c>
      <c r="Q639" s="1831">
        <v>20302</v>
      </c>
      <c r="R639" s="1718">
        <v>62</v>
      </c>
      <c r="S639" s="1019" t="s">
        <v>18</v>
      </c>
      <c r="T639" s="1019"/>
      <c r="U639" s="1812"/>
      <c r="V639" s="1019" t="s">
        <v>719</v>
      </c>
      <c r="W639" s="1812"/>
      <c r="X639" s="1831"/>
      <c r="Y639" s="6" t="s">
        <v>11605</v>
      </c>
      <c r="Z639" s="1019" t="s">
        <v>708</v>
      </c>
      <c r="AA639" s="1019" t="s">
        <v>709</v>
      </c>
      <c r="AB639" s="1019" t="s">
        <v>710</v>
      </c>
      <c r="AC639" s="1019" t="s">
        <v>724</v>
      </c>
      <c r="AD639" s="1019" t="s">
        <v>711</v>
      </c>
      <c r="AE639" s="1019"/>
      <c r="AF639" s="1019" t="s">
        <v>712</v>
      </c>
      <c r="AG639" s="1019" t="s">
        <v>1132</v>
      </c>
      <c r="AH639" s="766" t="s">
        <v>1096</v>
      </c>
      <c r="AI639" s="1019"/>
      <c r="AJ639" s="1019" t="s">
        <v>1137</v>
      </c>
      <c r="AK639" s="1019" t="s">
        <v>1101</v>
      </c>
      <c r="AL639" s="1770">
        <v>25</v>
      </c>
      <c r="AM639" s="1108">
        <v>7.5</v>
      </c>
      <c r="AN639" s="1078">
        <f t="shared" si="186"/>
        <v>0.3</v>
      </c>
      <c r="AO639" s="6" t="s">
        <v>1149</v>
      </c>
      <c r="AP639" s="6"/>
      <c r="AQ639" s="6"/>
      <c r="AR639" s="6"/>
      <c r="AS639" s="1019"/>
      <c r="AT639" s="1019"/>
      <c r="AU639" s="1019"/>
      <c r="AV639" s="1019"/>
      <c r="AW639" s="1019"/>
      <c r="AX639" s="1019"/>
      <c r="AY639" s="1019"/>
      <c r="AZ639" s="1019"/>
      <c r="BA639" s="1019"/>
      <c r="BB639" s="1019"/>
      <c r="BC639" s="1019"/>
      <c r="BD639" s="1019"/>
      <c r="BE639" s="1019"/>
      <c r="BF639" s="1027"/>
      <c r="BG639" s="1027"/>
      <c r="BH639" s="1019"/>
      <c r="BI639" s="1019"/>
      <c r="BJ639" s="1019"/>
      <c r="BK639" s="1019"/>
      <c r="BL639" s="1019"/>
      <c r="BM639" s="1019"/>
      <c r="BN639" s="1019"/>
      <c r="BO639" s="1019"/>
      <c r="BP639" s="1116"/>
      <c r="BQ639" s="46"/>
      <c r="BR639" s="47"/>
      <c r="BS639" s="6"/>
      <c r="BT639" s="1019"/>
      <c r="BU639" s="1019"/>
      <c r="BV639" s="1019"/>
      <c r="BW639" s="1019"/>
      <c r="BX639" s="1027"/>
      <c r="BY639" s="1019"/>
      <c r="BZ639" s="1027"/>
      <c r="CA639" s="1019"/>
      <c r="CB639" s="1019" t="s">
        <v>1207</v>
      </c>
      <c r="CC639" s="1019" t="s">
        <v>4173</v>
      </c>
      <c r="CD639" s="1019">
        <v>2016</v>
      </c>
      <c r="CE639" s="1019"/>
      <c r="CF639" s="1796">
        <v>1.2</v>
      </c>
      <c r="CG639" s="1797">
        <v>8</v>
      </c>
      <c r="CH639" s="1019" t="s">
        <v>1247</v>
      </c>
      <c r="CI639" s="1019"/>
      <c r="CJ639" s="1019"/>
      <c r="CK639" s="1019">
        <v>8</v>
      </c>
      <c r="CL639" s="1019" t="s">
        <v>1249</v>
      </c>
      <c r="CM639" s="1019" t="s">
        <v>3399</v>
      </c>
      <c r="CN639" s="1019"/>
      <c r="CO639" s="1019" t="s">
        <v>1257</v>
      </c>
      <c r="CP639" s="1019"/>
      <c r="CQ639" s="1019"/>
      <c r="CR639" s="1027"/>
      <c r="CS639" s="1019"/>
      <c r="CT639" s="1019"/>
      <c r="CU639" s="1798"/>
      <c r="CV639" s="1019"/>
      <c r="CW639" s="1019"/>
      <c r="CX639" s="1019"/>
      <c r="CY639" s="1019"/>
      <c r="CZ639" s="1019"/>
      <c r="DA639" s="1799"/>
      <c r="DB639" s="1019"/>
      <c r="DC639" s="1019"/>
      <c r="DD639" s="1019"/>
      <c r="DE639" s="1800"/>
      <c r="DF639" s="1019"/>
      <c r="DG639" s="1019"/>
      <c r="DH639" s="1019"/>
      <c r="DI639" s="1019"/>
      <c r="DJ639" s="1019"/>
      <c r="DK639" s="1019"/>
      <c r="DL639" s="1019"/>
      <c r="DM639" s="1019"/>
      <c r="DN639" s="1801"/>
      <c r="DO639" s="1019"/>
      <c r="DP639" s="1019"/>
      <c r="DQ639" s="1019"/>
      <c r="DR639" s="1019"/>
      <c r="DS639" s="1802"/>
      <c r="DT639" s="1716"/>
      <c r="DU639" s="1019"/>
      <c r="DV639" s="1019"/>
      <c r="DW639" s="1799"/>
      <c r="DX639" s="1799"/>
      <c r="DY639" s="1019"/>
      <c r="DZ639" s="1019"/>
      <c r="EA639" s="1019"/>
      <c r="EB639" s="1019"/>
      <c r="EC639" s="1019"/>
      <c r="ED639" s="1019"/>
      <c r="EE639" s="1019"/>
      <c r="EF639" s="1019"/>
      <c r="EG639" s="1019"/>
      <c r="EH639" s="1019"/>
      <c r="EI639" s="1019"/>
      <c r="EJ639" s="1019"/>
      <c r="EK639" s="1019"/>
      <c r="EL639" s="1019"/>
      <c r="EM639" s="1019"/>
      <c r="EN639" s="1019"/>
      <c r="EO639" s="1019"/>
      <c r="EP639" s="1714"/>
      <c r="EQ639" s="1019"/>
      <c r="ER639" s="1019"/>
      <c r="ES639" s="1019"/>
      <c r="ET639" s="1019"/>
      <c r="EU639" s="1019"/>
      <c r="EV639" s="1019"/>
      <c r="EW639" s="1019"/>
      <c r="EX639" s="1019"/>
      <c r="EY639" s="1019"/>
      <c r="EZ639" s="1019"/>
      <c r="FA639" s="1019"/>
      <c r="FB639" s="1019"/>
      <c r="FC639" s="1019"/>
      <c r="FD639" s="1027"/>
      <c r="FE639" s="1019"/>
      <c r="FF639" s="1019"/>
      <c r="FG639" s="1019"/>
      <c r="FH639" s="1019"/>
      <c r="FI639" s="1019"/>
      <c r="FJ639" s="1019"/>
      <c r="FK639" s="1019"/>
      <c r="FL639" s="1019"/>
      <c r="FM639" s="1027"/>
      <c r="FN639" s="1027"/>
      <c r="FO639" s="1027"/>
      <c r="FP639" s="1019"/>
      <c r="FQ639" s="1019"/>
      <c r="FR639" s="1019" t="s">
        <v>1214</v>
      </c>
      <c r="FS639" s="1019"/>
      <c r="FT639" s="1019"/>
      <c r="FU639" s="1019"/>
      <c r="FV639" s="1019"/>
      <c r="FW639" s="1019"/>
      <c r="FX639" s="1019"/>
      <c r="FY639" s="1019"/>
      <c r="FZ639" s="1019"/>
      <c r="GA639" s="1019"/>
      <c r="GB639" s="1019" t="s">
        <v>1734</v>
      </c>
      <c r="GC639" s="1717"/>
      <c r="GD639" s="1718"/>
      <c r="GE639" s="1019"/>
      <c r="GF639" s="1027"/>
      <c r="GG639" s="1027"/>
      <c r="GH639" s="1019"/>
      <c r="GI639" s="1019"/>
      <c r="GJ639" s="1019"/>
      <c r="GK639" s="1019"/>
      <c r="GL639" s="1019"/>
      <c r="GM639" s="1019"/>
      <c r="GN639" s="1804"/>
      <c r="GO639" s="1019"/>
      <c r="GP639" s="1019"/>
      <c r="GQ639" s="1019"/>
      <c r="GR639" s="1019"/>
      <c r="GS639" s="1019"/>
      <c r="GT639" s="1019"/>
      <c r="GU639" s="1019"/>
      <c r="GV639" s="1019"/>
      <c r="GW639" s="1019"/>
      <c r="GX639" s="1019"/>
      <c r="GY639" s="1019"/>
      <c r="GZ639" s="1019"/>
      <c r="HA639" s="1019"/>
      <c r="HB639" s="1019"/>
      <c r="HC639" s="1019"/>
      <c r="HD639" s="1019"/>
      <c r="HE639" s="1019"/>
      <c r="HF639" s="1019"/>
      <c r="HG639" s="1019"/>
      <c r="HH639" s="1019"/>
      <c r="HI639" s="1019"/>
      <c r="HJ639" s="1019"/>
      <c r="HK639" s="1019"/>
      <c r="HL639" s="1019"/>
      <c r="HM639" s="1019"/>
      <c r="HN639" s="1019"/>
      <c r="HO639" s="1019"/>
      <c r="HP639" s="1019"/>
      <c r="HQ639" s="1019"/>
      <c r="HR639" s="1019">
        <v>1</v>
      </c>
      <c r="HS639" s="1019"/>
      <c r="HT639" s="1019"/>
      <c r="HU639" s="1019"/>
      <c r="HV639" s="1019"/>
      <c r="HW639" s="1019"/>
      <c r="HX639" s="1019"/>
      <c r="HY639" s="1019"/>
      <c r="HZ639" s="1019"/>
      <c r="IA639" s="1019"/>
      <c r="IB639" s="1019"/>
      <c r="IC639" s="1019"/>
      <c r="ID639" s="1019" t="s">
        <v>11610</v>
      </c>
      <c r="IE639" s="1019"/>
      <c r="IF639" s="1019"/>
      <c r="IG639" s="1019"/>
      <c r="IH639" s="1019"/>
      <c r="II639" s="1019"/>
      <c r="IJ639" s="1019"/>
      <c r="IK639" s="1019"/>
      <c r="IL639" s="1019"/>
      <c r="IM639" s="1019"/>
      <c r="IN639" s="1019"/>
      <c r="IO639" s="1805"/>
      <c r="IP639" s="1019"/>
      <c r="IQ639" s="1019"/>
      <c r="IR639" s="1019"/>
      <c r="IS639" s="1019"/>
      <c r="IT639" s="1019"/>
      <c r="IU639" s="1019"/>
      <c r="IV639" s="1019"/>
      <c r="IW639" s="1019"/>
      <c r="IX639" s="1019"/>
      <c r="IY639" s="1812"/>
      <c r="IZ639" s="1019"/>
      <c r="JA639" s="1019"/>
      <c r="JB639" s="1019"/>
      <c r="JC639" s="1019"/>
      <c r="JD639" s="1027"/>
      <c r="JE639" s="1019"/>
      <c r="JF639" s="1019"/>
      <c r="JG639" s="1019"/>
      <c r="JH639" s="1802"/>
      <c r="JI639" s="1802"/>
      <c r="JJ639" s="1019"/>
      <c r="JK639" s="1019"/>
      <c r="JL639" s="1019"/>
      <c r="JM639" s="1019"/>
      <c r="JN639" s="1019"/>
      <c r="JO639" s="1019"/>
      <c r="JP639" s="1019"/>
      <c r="JQ639" s="1019"/>
      <c r="JR639" s="1019"/>
      <c r="JS639" s="1019"/>
      <c r="JT639" s="766"/>
      <c r="JU639" s="766"/>
      <c r="JV639" s="766"/>
      <c r="JW639" s="766"/>
      <c r="JX639" s="1019"/>
      <c r="JY639" s="1019"/>
      <c r="JZ639" s="1019"/>
      <c r="KA639" s="1019"/>
      <c r="KB639" s="1019"/>
      <c r="KC639" s="1019"/>
      <c r="KD639" s="1019"/>
      <c r="KE639" s="1019"/>
      <c r="KF639" s="1019"/>
      <c r="KG639" s="1019"/>
      <c r="KH639" s="1019"/>
      <c r="KI639" s="1019"/>
      <c r="KJ639" s="770"/>
      <c r="KK639" s="770"/>
      <c r="KL639" s="770"/>
      <c r="KM639" s="770"/>
      <c r="KN639" s="1019"/>
      <c r="KO639" s="1019"/>
      <c r="KP639" s="1019"/>
      <c r="KQ639" s="1019"/>
      <c r="KR639" s="1019"/>
      <c r="KS639" s="1019"/>
      <c r="KT639" s="1019"/>
      <c r="KU639" s="1019"/>
      <c r="KV639" s="1019"/>
      <c r="KW639" s="1019"/>
      <c r="KX639" s="1019"/>
      <c r="KY639" s="1019"/>
      <c r="KZ639" s="1019"/>
      <c r="LA639" s="1019"/>
      <c r="LB639" s="1019"/>
      <c r="LC639" s="1019"/>
      <c r="LD639" s="1019"/>
      <c r="LE639" s="1019"/>
      <c r="LF639" s="1019"/>
      <c r="LG639" s="1019"/>
      <c r="LH639" s="1019"/>
      <c r="LI639" s="1019"/>
      <c r="LJ639" s="1019"/>
      <c r="LK639" s="1019"/>
      <c r="LL639" s="1019"/>
      <c r="LM639" s="1019"/>
      <c r="LN639" s="766"/>
      <c r="LO639" s="766"/>
      <c r="LP639" s="1019"/>
      <c r="LQ639" s="1019"/>
      <c r="LR639" s="1019"/>
      <c r="LS639" s="1019"/>
      <c r="LT639" s="1019"/>
      <c r="LU639" s="1019"/>
      <c r="LV639" s="1019"/>
      <c r="LW639" s="1019"/>
      <c r="LX639" s="1693"/>
      <c r="LY639" s="766" t="str">
        <f t="shared" si="187"/>
        <v/>
      </c>
      <c r="LZ639" s="1807"/>
      <c r="MA639" s="1807"/>
      <c r="MB639" s="1807"/>
      <c r="MC639" s="1679">
        <f t="shared" si="185"/>
        <v>0</v>
      </c>
      <c r="MD639" s="1807"/>
      <c r="ME639" s="1807"/>
      <c r="MF639" s="1807"/>
      <c r="MG639" s="1680">
        <f t="shared" si="164"/>
        <v>0</v>
      </c>
      <c r="MH639" s="1019"/>
      <c r="MI639" s="64"/>
      <c r="MJ639" s="1027"/>
      <c r="MK639" s="1027"/>
      <c r="ML639" s="1027"/>
      <c r="MM639" s="1027"/>
      <c r="MN639" s="1027"/>
      <c r="MO639" s="1027"/>
      <c r="MP639" s="1027"/>
      <c r="MQ639" s="1027"/>
      <c r="MR639" s="1027"/>
      <c r="MS639" s="1027"/>
      <c r="MT639" s="1027"/>
      <c r="MU639" s="1027"/>
      <c r="MV639" s="1027"/>
      <c r="MW639" s="1027"/>
      <c r="MX639" s="1027"/>
      <c r="MY639" s="1682">
        <f t="shared" si="165"/>
        <v>0</v>
      </c>
      <c r="MZ639" s="1019"/>
      <c r="NA639" s="1019"/>
      <c r="NB639" s="1019"/>
      <c r="NC639" s="1019"/>
      <c r="ND639" s="1019"/>
      <c r="NE639" s="1019"/>
      <c r="NF639" s="1019"/>
      <c r="NG639" s="1019"/>
      <c r="NH639" s="1019"/>
      <c r="NI639" s="1019"/>
      <c r="NJ639" s="1019"/>
      <c r="NK639" s="1019"/>
      <c r="NL639" s="1019"/>
      <c r="NM639" s="1019"/>
      <c r="NN639" s="1019"/>
      <c r="NO639" s="1019"/>
      <c r="NP639" s="1019"/>
      <c r="NQ639" s="1019"/>
      <c r="NR639" s="1019"/>
      <c r="NS639" s="1019"/>
      <c r="NT639" s="1019"/>
      <c r="NU639" s="1019"/>
      <c r="NV639" s="1019"/>
      <c r="NW639" s="1019"/>
      <c r="NX639" s="1019"/>
      <c r="NY639" s="1019"/>
      <c r="NZ639" s="1019"/>
      <c r="OA639" s="1019"/>
      <c r="OB639" s="1019"/>
      <c r="OC639" s="1019"/>
      <c r="OD639" s="1019"/>
      <c r="OE639" s="1019"/>
      <c r="OF639" s="1019"/>
      <c r="OG639" s="1019"/>
      <c r="OH639" s="1019"/>
      <c r="OI639" s="1019"/>
      <c r="OJ639" s="1019"/>
      <c r="OK639" s="1019"/>
      <c r="OL639" s="1019"/>
      <c r="OM639" s="1019"/>
      <c r="ON639" s="1019"/>
      <c r="OO639" s="1019"/>
      <c r="OP639" s="1019"/>
      <c r="OQ639" s="1019"/>
      <c r="OR639" s="1019"/>
      <c r="OS639" s="1019"/>
      <c r="OT639" s="1019"/>
      <c r="OU639" s="1019"/>
      <c r="OV639" s="1019"/>
      <c r="OW639" s="1019"/>
      <c r="OX639" s="1019"/>
      <c r="OY639" s="1019"/>
      <c r="OZ639" s="1019"/>
      <c r="PA639" s="1019"/>
      <c r="PB639" s="1019"/>
      <c r="PC639" s="1019"/>
      <c r="PD639" s="1019"/>
      <c r="PE639" s="1019"/>
      <c r="PF639" s="1019"/>
      <c r="PG639" s="1019"/>
      <c r="PH639" s="1019"/>
      <c r="PI639" s="1019"/>
      <c r="PJ639" s="1019"/>
      <c r="PK639" s="1019"/>
      <c r="PL639" s="1019"/>
      <c r="PM639" s="1019"/>
      <c r="PN639" s="1019"/>
      <c r="PO639" s="1019"/>
      <c r="PP639" s="1019"/>
      <c r="PQ639" s="1019"/>
      <c r="PR639" s="1019"/>
      <c r="PS639" s="1019"/>
      <c r="PT639" s="1019"/>
      <c r="PU639" s="1019"/>
      <c r="PV639" s="1019"/>
      <c r="PW639" s="1019"/>
      <c r="PX639" s="1019"/>
      <c r="PY639" s="1019"/>
      <c r="PZ639" s="1019"/>
      <c r="QA639" s="1019"/>
      <c r="QB639" s="1019"/>
      <c r="QC639" s="1019"/>
      <c r="QD639" s="1019"/>
      <c r="QE639" s="1019"/>
      <c r="QF639" s="1019"/>
      <c r="QG639" s="1019"/>
      <c r="QH639" s="1019"/>
      <c r="QI639" s="1019"/>
      <c r="QJ639" s="1019"/>
      <c r="QK639" s="1019"/>
      <c r="QL639" s="1019"/>
      <c r="QM639" s="1019"/>
      <c r="QN639" s="1019"/>
      <c r="QO639" s="1019"/>
      <c r="QP639" s="1019"/>
      <c r="QQ639" s="1019"/>
      <c r="QR639" s="1019"/>
      <c r="QS639" s="1019"/>
      <c r="QT639" s="1019"/>
      <c r="QU639" s="1019"/>
      <c r="QV639" s="1019"/>
      <c r="QW639" s="1019"/>
      <c r="QX639" s="1019"/>
      <c r="QY639" s="1019"/>
      <c r="QZ639" s="1019"/>
      <c r="RA639" s="1019"/>
      <c r="RB639" s="1019"/>
      <c r="RC639" s="1019"/>
      <c r="RD639" s="1019"/>
      <c r="RE639" s="1019"/>
      <c r="RF639" s="1794"/>
      <c r="RG639" s="1019"/>
      <c r="RH639" s="1027"/>
      <c r="RI639" s="1019"/>
      <c r="RJ639" s="1019" t="s">
        <v>13844</v>
      </c>
      <c r="RK639" s="1019" t="s">
        <v>13552</v>
      </c>
      <c r="RL639" s="1810">
        <v>42835</v>
      </c>
      <c r="RM639" s="1714"/>
      <c r="RN639" s="1724"/>
      <c r="RO639" s="533" t="s">
        <v>4168</v>
      </c>
      <c r="RR639" s="17"/>
      <c r="RS639" s="1013"/>
      <c r="RV639" s="93"/>
      <c r="RW639" s="35" t="s">
        <v>11588</v>
      </c>
      <c r="RX639" s="35" t="s">
        <v>11589</v>
      </c>
      <c r="SA639" s="93"/>
    </row>
    <row r="640" spans="1:495" s="35" customFormat="1" ht="12.75" customHeight="1">
      <c r="A640" s="19" t="s">
        <v>7421</v>
      </c>
      <c r="B640" s="1082" t="s">
        <v>7831</v>
      </c>
      <c r="C640" s="533" t="s">
        <v>4174</v>
      </c>
      <c r="D640" s="1714" t="s">
        <v>4175</v>
      </c>
      <c r="E640" s="6" t="s">
        <v>4176</v>
      </c>
      <c r="F640" s="1019" t="s">
        <v>28</v>
      </c>
      <c r="G640" s="1019" t="s">
        <v>10</v>
      </c>
      <c r="H640" s="1019"/>
      <c r="I640" s="1812"/>
      <c r="J640" s="1714" t="s">
        <v>4175</v>
      </c>
      <c r="K640" s="6" t="s">
        <v>4178</v>
      </c>
      <c r="L640" s="6" t="s">
        <v>4163</v>
      </c>
      <c r="M640" s="1019" t="s">
        <v>1238</v>
      </c>
      <c r="N640" s="1019" t="s">
        <v>11583</v>
      </c>
      <c r="O640" s="1019" t="s">
        <v>11584</v>
      </c>
      <c r="P640" s="1019" t="s">
        <v>11611</v>
      </c>
      <c r="Q640" s="1831">
        <v>22602</v>
      </c>
      <c r="R640" s="1718">
        <v>56</v>
      </c>
      <c r="S640" s="1019" t="s">
        <v>10</v>
      </c>
      <c r="T640" s="1019"/>
      <c r="U640" s="1812" t="s">
        <v>11612</v>
      </c>
      <c r="V640" s="1019" t="s">
        <v>707</v>
      </c>
      <c r="W640" s="1812" t="s">
        <v>11613</v>
      </c>
      <c r="X640" s="1831">
        <v>21666</v>
      </c>
      <c r="Y640" s="6" t="s">
        <v>4176</v>
      </c>
      <c r="Z640" s="1019" t="s">
        <v>708</v>
      </c>
      <c r="AA640" s="1019" t="s">
        <v>709</v>
      </c>
      <c r="AB640" s="1019" t="s">
        <v>710</v>
      </c>
      <c r="AC640" s="1019" t="s">
        <v>724</v>
      </c>
      <c r="AD640" s="1019" t="s">
        <v>711</v>
      </c>
      <c r="AE640" s="1019"/>
      <c r="AF640" s="1019" t="s">
        <v>798</v>
      </c>
      <c r="AG640" s="1019" t="s">
        <v>1132</v>
      </c>
      <c r="AH640" s="766" t="s">
        <v>1096</v>
      </c>
      <c r="AI640" s="1019"/>
      <c r="AJ640" s="1019" t="s">
        <v>1137</v>
      </c>
      <c r="AK640" s="1019" t="s">
        <v>1101</v>
      </c>
      <c r="AL640" s="1770"/>
      <c r="AM640" s="46"/>
      <c r="AN640" s="1078"/>
      <c r="AO640" s="6"/>
      <c r="AP640" s="6"/>
      <c r="AQ640" s="6"/>
      <c r="AR640" s="6"/>
      <c r="AS640" s="1019"/>
      <c r="AT640" s="1019"/>
      <c r="AU640" s="1019"/>
      <c r="AV640" s="1019"/>
      <c r="AW640" s="1019"/>
      <c r="AX640" s="1019"/>
      <c r="AY640" s="1019"/>
      <c r="AZ640" s="1019"/>
      <c r="BA640" s="1019"/>
      <c r="BB640" s="1019"/>
      <c r="BC640" s="1019"/>
      <c r="BD640" s="1019"/>
      <c r="BE640" s="1019"/>
      <c r="BF640" s="1027"/>
      <c r="BG640" s="1027"/>
      <c r="BH640" s="1019"/>
      <c r="BI640" s="1019"/>
      <c r="BJ640" s="1019"/>
      <c r="BK640" s="1019"/>
      <c r="BL640" s="1019"/>
      <c r="BM640" s="1019"/>
      <c r="BN640" s="1019"/>
      <c r="BO640" s="1019"/>
      <c r="BP640" s="1116"/>
      <c r="BQ640" s="46"/>
      <c r="BR640" s="47"/>
      <c r="BS640" s="6"/>
      <c r="BT640" s="1019"/>
      <c r="BU640" s="1019"/>
      <c r="BV640" s="1019"/>
      <c r="BW640" s="1019"/>
      <c r="BX640" s="1027"/>
      <c r="BY640" s="1019"/>
      <c r="BZ640" s="1027"/>
      <c r="CA640" s="1019"/>
      <c r="CB640" s="1019" t="s">
        <v>1207</v>
      </c>
      <c r="CC640" s="1019"/>
      <c r="CD640" s="1019"/>
      <c r="CE640" s="1019"/>
      <c r="CF640" s="1796"/>
      <c r="CG640" s="1797"/>
      <c r="CH640" s="1019"/>
      <c r="CI640" s="1019"/>
      <c r="CJ640" s="1019"/>
      <c r="CK640" s="1019"/>
      <c r="CL640" s="1019"/>
      <c r="CM640" s="1019"/>
      <c r="CN640" s="1019"/>
      <c r="CO640" s="1019"/>
      <c r="CP640" s="1019" t="s">
        <v>4180</v>
      </c>
      <c r="CQ640" s="1019">
        <v>1960</v>
      </c>
      <c r="CR640" s="1027"/>
      <c r="CS640" s="1019"/>
      <c r="CT640" s="1019" t="s">
        <v>4045</v>
      </c>
      <c r="CU640" s="1798">
        <f>CONVERT(12,"ft","m")</f>
        <v>3.6576</v>
      </c>
      <c r="CV640" s="1019">
        <v>1</v>
      </c>
      <c r="CW640" s="1019">
        <v>13</v>
      </c>
      <c r="CX640" s="1019"/>
      <c r="CY640" s="1019"/>
      <c r="CZ640" s="1019"/>
      <c r="DA640" s="1799"/>
      <c r="DB640" s="1019"/>
      <c r="DC640" s="1019"/>
      <c r="DD640" s="1019"/>
      <c r="DE640" s="1800"/>
      <c r="DF640" s="1019"/>
      <c r="DG640" s="1019"/>
      <c r="DH640" s="1019"/>
      <c r="DI640" s="1019"/>
      <c r="DJ640" s="1019"/>
      <c r="DK640" s="1019"/>
      <c r="DL640" s="1019"/>
      <c r="DM640" s="1019"/>
      <c r="DN640" s="1801"/>
      <c r="DO640" s="1019"/>
      <c r="DP640" s="1019"/>
      <c r="DQ640" s="1019"/>
      <c r="DR640" s="1019"/>
      <c r="DS640" s="1802"/>
      <c r="DT640" s="1716"/>
      <c r="DU640" s="1019"/>
      <c r="DV640" s="1019"/>
      <c r="DW640" s="1799"/>
      <c r="DX640" s="1799"/>
      <c r="DY640" s="1019"/>
      <c r="DZ640" s="1019"/>
      <c r="EA640" s="1019"/>
      <c r="EB640" s="1019"/>
      <c r="EC640" s="1019"/>
      <c r="ED640" s="1019"/>
      <c r="EE640" s="1019"/>
      <c r="EF640" s="1019"/>
      <c r="EG640" s="1019"/>
      <c r="EH640" s="1019"/>
      <c r="EI640" s="1019"/>
      <c r="EJ640" s="1019"/>
      <c r="EK640" s="1019"/>
      <c r="EL640" s="1019"/>
      <c r="EM640" s="1019"/>
      <c r="EN640" s="1019"/>
      <c r="EO640" s="1019"/>
      <c r="EP640" s="1714"/>
      <c r="EQ640" s="1019"/>
      <c r="ER640" s="1019"/>
      <c r="ES640" s="1019"/>
      <c r="ET640" s="1019"/>
      <c r="EU640" s="1019"/>
      <c r="EV640" s="1019"/>
      <c r="EW640" s="1019"/>
      <c r="EX640" s="1019"/>
      <c r="EY640" s="1019"/>
      <c r="EZ640" s="1019"/>
      <c r="FA640" s="1019"/>
      <c r="FB640" s="1019"/>
      <c r="FC640" s="1019"/>
      <c r="FD640" s="1027"/>
      <c r="FE640" s="1019"/>
      <c r="FF640" s="1019"/>
      <c r="FG640" s="1019"/>
      <c r="FH640" s="1019"/>
      <c r="FI640" s="1019"/>
      <c r="FJ640" s="1019"/>
      <c r="FK640" s="1019"/>
      <c r="FL640" s="1019"/>
      <c r="FM640" s="1027"/>
      <c r="FN640" s="1027"/>
      <c r="FO640" s="1027"/>
      <c r="FP640" s="1019"/>
      <c r="FQ640" s="1019"/>
      <c r="FR640" s="1019" t="s">
        <v>1214</v>
      </c>
      <c r="FS640" s="1019"/>
      <c r="FT640" s="1019"/>
      <c r="FU640" s="1019"/>
      <c r="FV640" s="1019"/>
      <c r="FW640" s="1019"/>
      <c r="FX640" s="1019"/>
      <c r="FY640" s="1019"/>
      <c r="FZ640" s="1019"/>
      <c r="GA640" s="1019"/>
      <c r="GB640" s="1019"/>
      <c r="GC640" s="1717"/>
      <c r="GD640" s="1718"/>
      <c r="GE640" s="1019"/>
      <c r="GF640" s="1027"/>
      <c r="GG640" s="1027"/>
      <c r="GH640" s="1019"/>
      <c r="GI640" s="1019"/>
      <c r="GJ640" s="1019"/>
      <c r="GK640" s="1019"/>
      <c r="GL640" s="1019"/>
      <c r="GM640" s="1019"/>
      <c r="GN640" s="1804"/>
      <c r="GO640" s="1019"/>
      <c r="GP640" s="1019"/>
      <c r="GQ640" s="1019"/>
      <c r="GR640" s="1019"/>
      <c r="GS640" s="1019"/>
      <c r="GT640" s="1019"/>
      <c r="GU640" s="1019"/>
      <c r="GV640" s="1019"/>
      <c r="GW640" s="1019"/>
      <c r="GX640" s="1019"/>
      <c r="GY640" s="1019"/>
      <c r="GZ640" s="1019"/>
      <c r="HA640" s="1019"/>
      <c r="HB640" s="1019"/>
      <c r="HC640" s="1019"/>
      <c r="HD640" s="1019"/>
      <c r="HE640" s="1019"/>
      <c r="HF640" s="1019"/>
      <c r="HG640" s="1019"/>
      <c r="HH640" s="1019"/>
      <c r="HI640" s="1019"/>
      <c r="HJ640" s="1019"/>
      <c r="HK640" s="1019"/>
      <c r="HL640" s="1019"/>
      <c r="HM640" s="1019"/>
      <c r="HN640" s="1019"/>
      <c r="HO640" s="1019"/>
      <c r="HP640" s="1019"/>
      <c r="HQ640" s="1019"/>
      <c r="HR640" s="1019">
        <v>3</v>
      </c>
      <c r="HS640" s="1019"/>
      <c r="HT640" s="1019"/>
      <c r="HU640" s="1019"/>
      <c r="HV640" s="1019"/>
      <c r="HW640" s="1019"/>
      <c r="HX640" s="1019"/>
      <c r="HY640" s="1019"/>
      <c r="HZ640" s="1019"/>
      <c r="IA640" s="1019"/>
      <c r="IB640" s="1019"/>
      <c r="IC640" s="1019"/>
      <c r="ID640" s="1019"/>
      <c r="IE640" s="1019"/>
      <c r="IF640" s="1019"/>
      <c r="IG640" s="1019"/>
      <c r="IH640" s="1019"/>
      <c r="II640" s="1019"/>
      <c r="IJ640" s="1019"/>
      <c r="IK640" s="1019"/>
      <c r="IL640" s="1019"/>
      <c r="IM640" s="1019"/>
      <c r="IN640" s="1019"/>
      <c r="IO640" s="1805"/>
      <c r="IP640" s="1019"/>
      <c r="IQ640" s="1019"/>
      <c r="IR640" s="1019"/>
      <c r="IS640" s="1019"/>
      <c r="IT640" s="1019"/>
      <c r="IU640" s="1019"/>
      <c r="IV640" s="1019"/>
      <c r="IW640" s="1019"/>
      <c r="IX640" s="1019"/>
      <c r="IY640" s="1812"/>
      <c r="IZ640" s="1019"/>
      <c r="JA640" s="1019"/>
      <c r="JB640" s="1019"/>
      <c r="JC640" s="1019"/>
      <c r="JD640" s="1027"/>
      <c r="JE640" s="1019"/>
      <c r="JF640" s="1019"/>
      <c r="JG640" s="1019"/>
      <c r="JH640" s="1802"/>
      <c r="JI640" s="1802"/>
      <c r="JJ640" s="1019"/>
      <c r="JK640" s="1019"/>
      <c r="JL640" s="1019"/>
      <c r="JM640" s="1019"/>
      <c r="JN640" s="1019"/>
      <c r="JO640" s="1019"/>
      <c r="JP640" s="1019"/>
      <c r="JQ640" s="1019"/>
      <c r="JR640" s="1019"/>
      <c r="JS640" s="1019"/>
      <c r="JT640" s="766"/>
      <c r="JU640" s="766"/>
      <c r="JV640" s="766"/>
      <c r="JW640" s="766"/>
      <c r="JX640" s="1019"/>
      <c r="JY640" s="1019"/>
      <c r="JZ640" s="1019"/>
      <c r="KA640" s="1019"/>
      <c r="KB640" s="1019"/>
      <c r="KC640" s="1019"/>
      <c r="KD640" s="1019"/>
      <c r="KE640" s="1019"/>
      <c r="KF640" s="1019"/>
      <c r="KG640" s="1019"/>
      <c r="KH640" s="1019"/>
      <c r="KI640" s="1019"/>
      <c r="KJ640" s="770"/>
      <c r="KK640" s="770"/>
      <c r="KL640" s="770"/>
      <c r="KM640" s="770"/>
      <c r="KN640" s="1019"/>
      <c r="KO640" s="1019"/>
      <c r="KP640" s="1019"/>
      <c r="KQ640" s="1019"/>
      <c r="KR640" s="1019"/>
      <c r="KS640" s="1019"/>
      <c r="KT640" s="1019"/>
      <c r="KU640" s="1019"/>
      <c r="KV640" s="1019"/>
      <c r="KW640" s="1019"/>
      <c r="KX640" s="1019"/>
      <c r="KY640" s="1019"/>
      <c r="KZ640" s="1019"/>
      <c r="LA640" s="1019"/>
      <c r="LB640" s="1019"/>
      <c r="LC640" s="1019"/>
      <c r="LD640" s="1019"/>
      <c r="LE640" s="1019"/>
      <c r="LF640" s="1019"/>
      <c r="LG640" s="1019"/>
      <c r="LH640" s="1019"/>
      <c r="LI640" s="1019"/>
      <c r="LJ640" s="1019"/>
      <c r="LK640" s="1019"/>
      <c r="LL640" s="1019"/>
      <c r="LM640" s="1019"/>
      <c r="LN640" s="766"/>
      <c r="LO640" s="766"/>
      <c r="LP640" s="1019"/>
      <c r="LQ640" s="1019"/>
      <c r="LR640" s="1019"/>
      <c r="LS640" s="1019"/>
      <c r="LT640" s="1019"/>
      <c r="LU640" s="1019"/>
      <c r="LV640" s="1019"/>
      <c r="LW640" s="1019"/>
      <c r="LX640" s="1693"/>
      <c r="LY640" s="766" t="str">
        <f t="shared" si="187"/>
        <v/>
      </c>
      <c r="LZ640" s="1807"/>
      <c r="MA640" s="1807"/>
      <c r="MB640" s="1807"/>
      <c r="MC640" s="1679">
        <f t="shared" si="185"/>
        <v>0</v>
      </c>
      <c r="MD640" s="1807"/>
      <c r="ME640" s="1807"/>
      <c r="MF640" s="1807"/>
      <c r="MG640" s="1680">
        <f t="shared" ref="MG640:MG703" si="199">SUM(MD640:MF640)</f>
        <v>0</v>
      </c>
      <c r="MH640" s="1019"/>
      <c r="MI640" s="64"/>
      <c r="MJ640" s="1027"/>
      <c r="MK640" s="1027"/>
      <c r="ML640" s="1027"/>
      <c r="MM640" s="1027"/>
      <c r="MN640" s="1027"/>
      <c r="MO640" s="1027"/>
      <c r="MP640" s="1027"/>
      <c r="MQ640" s="1027"/>
      <c r="MR640" s="1027"/>
      <c r="MS640" s="1027"/>
      <c r="MT640" s="1027"/>
      <c r="MU640" s="1027"/>
      <c r="MV640" s="1027"/>
      <c r="MW640" s="1027"/>
      <c r="MX640" s="1027"/>
      <c r="MY640" s="1682">
        <f t="shared" si="165"/>
        <v>0</v>
      </c>
      <c r="MZ640" s="1019"/>
      <c r="NA640" s="1019"/>
      <c r="NB640" s="1019"/>
      <c r="NC640" s="1019"/>
      <c r="ND640" s="1019"/>
      <c r="NE640" s="1019"/>
      <c r="NF640" s="1019"/>
      <c r="NG640" s="1019"/>
      <c r="NH640" s="1019"/>
      <c r="NI640" s="1019"/>
      <c r="NJ640" s="1019"/>
      <c r="NK640" s="1019"/>
      <c r="NL640" s="1019"/>
      <c r="NM640" s="1019"/>
      <c r="NN640" s="1019"/>
      <c r="NO640" s="1019"/>
      <c r="NP640" s="1019"/>
      <c r="NQ640" s="1019"/>
      <c r="NR640" s="1019"/>
      <c r="NS640" s="1019"/>
      <c r="NT640" s="1019"/>
      <c r="NU640" s="1019"/>
      <c r="NV640" s="1019"/>
      <c r="NW640" s="1019"/>
      <c r="NX640" s="1019"/>
      <c r="NY640" s="1019"/>
      <c r="NZ640" s="1019"/>
      <c r="OA640" s="1019"/>
      <c r="OB640" s="1019"/>
      <c r="OC640" s="1019"/>
      <c r="OD640" s="1019"/>
      <c r="OE640" s="1019"/>
      <c r="OF640" s="1019"/>
      <c r="OG640" s="1019"/>
      <c r="OH640" s="1019"/>
      <c r="OI640" s="1019"/>
      <c r="OJ640" s="1019"/>
      <c r="OK640" s="1019"/>
      <c r="OL640" s="1019"/>
      <c r="OM640" s="1019"/>
      <c r="ON640" s="1019"/>
      <c r="OO640" s="1019"/>
      <c r="OP640" s="1019"/>
      <c r="OQ640" s="1019"/>
      <c r="OR640" s="1019"/>
      <c r="OS640" s="1019"/>
      <c r="OT640" s="1019"/>
      <c r="OU640" s="1019"/>
      <c r="OV640" s="1019"/>
      <c r="OW640" s="1019"/>
      <c r="OX640" s="1019"/>
      <c r="OY640" s="1019"/>
      <c r="OZ640" s="1019"/>
      <c r="PA640" s="1019"/>
      <c r="PB640" s="1019"/>
      <c r="PC640" s="1019"/>
      <c r="PD640" s="1019"/>
      <c r="PE640" s="1019"/>
      <c r="PF640" s="1019"/>
      <c r="PG640" s="1019"/>
      <c r="PH640" s="1019"/>
      <c r="PI640" s="1019"/>
      <c r="PJ640" s="1019"/>
      <c r="PK640" s="1019"/>
      <c r="PL640" s="1019"/>
      <c r="PM640" s="1019"/>
      <c r="PN640" s="1019"/>
      <c r="PO640" s="1019"/>
      <c r="PP640" s="1019"/>
      <c r="PQ640" s="1019"/>
      <c r="PR640" s="1019"/>
      <c r="PS640" s="1019"/>
      <c r="PT640" s="1019"/>
      <c r="PU640" s="1019"/>
      <c r="PV640" s="1019"/>
      <c r="PW640" s="1019"/>
      <c r="PX640" s="1019"/>
      <c r="PY640" s="1019"/>
      <c r="PZ640" s="1019"/>
      <c r="QA640" s="1019"/>
      <c r="QB640" s="1019"/>
      <c r="QC640" s="1019"/>
      <c r="QD640" s="1019"/>
      <c r="QE640" s="1019"/>
      <c r="QF640" s="1019"/>
      <c r="QG640" s="1019"/>
      <c r="QH640" s="1019"/>
      <c r="QI640" s="1019"/>
      <c r="QJ640" s="1019"/>
      <c r="QK640" s="1019"/>
      <c r="QL640" s="1019"/>
      <c r="QM640" s="1019"/>
      <c r="QN640" s="1019"/>
      <c r="QO640" s="1019"/>
      <c r="QP640" s="1019"/>
      <c r="QQ640" s="1019"/>
      <c r="QR640" s="1019"/>
      <c r="QS640" s="1019"/>
      <c r="QT640" s="1019"/>
      <c r="QU640" s="1019"/>
      <c r="QV640" s="1019"/>
      <c r="QW640" s="1019"/>
      <c r="QX640" s="1019"/>
      <c r="QY640" s="1019"/>
      <c r="QZ640" s="1019"/>
      <c r="RA640" s="1019"/>
      <c r="RB640" s="1019"/>
      <c r="RC640" s="1019"/>
      <c r="RD640" s="1019"/>
      <c r="RE640" s="1019"/>
      <c r="RF640" s="1794"/>
      <c r="RG640" s="1019"/>
      <c r="RH640" s="1027"/>
      <c r="RI640" s="1019"/>
      <c r="RJ640" s="1019" t="s">
        <v>13845</v>
      </c>
      <c r="RK640" s="1019" t="s">
        <v>13556</v>
      </c>
      <c r="RL640" s="1810">
        <v>42835</v>
      </c>
      <c r="RM640" s="1714"/>
      <c r="RN640" s="1724"/>
      <c r="RO640" s="533" t="s">
        <v>4174</v>
      </c>
      <c r="RR640" s="17"/>
      <c r="RS640" s="1013"/>
      <c r="RV640" s="93"/>
      <c r="RW640" s="35" t="s">
        <v>11603</v>
      </c>
      <c r="RX640" s="35" t="s">
        <v>11604</v>
      </c>
      <c r="SA640" s="93"/>
    </row>
    <row r="641" spans="1:497" ht="12.75" customHeight="1">
      <c r="A641" s="19" t="s">
        <v>7421</v>
      </c>
      <c r="B641" s="752" t="s">
        <v>7832</v>
      </c>
      <c r="C641" s="132" t="s">
        <v>4181</v>
      </c>
      <c r="D641" s="94" t="s">
        <v>4182</v>
      </c>
      <c r="E641" s="766" t="s">
        <v>4183</v>
      </c>
      <c r="F641" s="770" t="s">
        <v>28</v>
      </c>
      <c r="G641" s="770" t="s">
        <v>10</v>
      </c>
      <c r="H641" s="770"/>
      <c r="I641" s="295" t="s">
        <v>4184</v>
      </c>
      <c r="J641" s="94" t="s">
        <v>4182</v>
      </c>
      <c r="K641" s="766" t="s">
        <v>4185</v>
      </c>
      <c r="L641" s="766" t="s">
        <v>4163</v>
      </c>
      <c r="M641" s="770" t="s">
        <v>1238</v>
      </c>
      <c r="N641" s="770"/>
      <c r="O641" s="770" t="s">
        <v>4179</v>
      </c>
      <c r="P641" s="770"/>
      <c r="Q641" s="1088"/>
      <c r="R641" s="297"/>
      <c r="S641" s="770"/>
      <c r="T641" s="770"/>
      <c r="U641" s="295"/>
      <c r="V641" s="770"/>
      <c r="W641" s="770"/>
      <c r="X641" s="770"/>
      <c r="Y641" s="770"/>
      <c r="Z641" s="770"/>
      <c r="AA641" s="770"/>
      <c r="AB641" s="12"/>
      <c r="AC641" s="770"/>
      <c r="AD641" s="770"/>
      <c r="AE641" s="770"/>
      <c r="AF641" s="770"/>
      <c r="AG641" s="766" t="s">
        <v>1132</v>
      </c>
      <c r="AH641" s="766" t="s">
        <v>1096</v>
      </c>
      <c r="AI641" s="770"/>
      <c r="AJ641" s="770" t="s">
        <v>1137</v>
      </c>
      <c r="AK641" s="770" t="s">
        <v>1101</v>
      </c>
      <c r="AL641" s="531"/>
      <c r="AM641" s="780">
        <v>12</v>
      </c>
      <c r="AN641" s="532"/>
      <c r="AO641" s="766"/>
      <c r="AP641" s="766"/>
      <c r="AQ641" s="766"/>
      <c r="AR641" s="766"/>
      <c r="AS641" s="770"/>
      <c r="AT641" s="770"/>
      <c r="AU641" s="770"/>
      <c r="AV641" s="770"/>
      <c r="AW641" s="770"/>
      <c r="AX641" s="770"/>
      <c r="AY641" s="770"/>
      <c r="AZ641" s="770"/>
      <c r="BA641" s="770"/>
      <c r="BB641" s="770"/>
      <c r="BC641" s="770"/>
      <c r="BD641" s="770"/>
      <c r="BE641" s="770"/>
      <c r="BF641" s="302"/>
      <c r="BG641" s="302"/>
      <c r="BH641" s="770"/>
      <c r="BI641" s="770"/>
      <c r="BJ641" s="770"/>
      <c r="BK641" s="770"/>
      <c r="BL641" s="770"/>
      <c r="BM641" s="770"/>
      <c r="BN641" s="770"/>
      <c r="BO641" s="770"/>
      <c r="BP641" s="1109"/>
      <c r="BQ641" s="773"/>
      <c r="BR641" s="774"/>
      <c r="BS641" s="766"/>
      <c r="BT641" s="770"/>
      <c r="BU641" s="770"/>
      <c r="BV641" s="770"/>
      <c r="BW641" s="770"/>
      <c r="BX641" s="302"/>
      <c r="BY641" s="770"/>
      <c r="BZ641" s="302"/>
      <c r="CA641" s="770"/>
      <c r="CB641" s="770" t="s">
        <v>1207</v>
      </c>
      <c r="CC641" s="770" t="s">
        <v>4186</v>
      </c>
      <c r="CD641" s="770">
        <v>2016</v>
      </c>
      <c r="CE641" s="770"/>
      <c r="CF641" s="1753">
        <v>1.2</v>
      </c>
      <c r="CG641" s="1754">
        <v>13</v>
      </c>
      <c r="CH641" s="770" t="s">
        <v>4187</v>
      </c>
      <c r="CI641" s="770"/>
      <c r="CJ641" s="770"/>
      <c r="CK641" s="770"/>
      <c r="CL641" s="770"/>
      <c r="CM641" s="770"/>
      <c r="CN641" s="770"/>
      <c r="CO641" s="770" t="s">
        <v>1257</v>
      </c>
      <c r="CP641" s="770"/>
      <c r="CQ641" s="770"/>
      <c r="CR641" s="302"/>
      <c r="CS641" s="770"/>
      <c r="CT641" s="770"/>
      <c r="CU641" s="305"/>
      <c r="CV641" s="770"/>
      <c r="CW641" s="770"/>
      <c r="CX641" s="770"/>
      <c r="CY641" s="770"/>
      <c r="CZ641" s="770"/>
      <c r="DA641" s="306"/>
      <c r="DB641" s="770"/>
      <c r="DC641" s="770"/>
      <c r="DD641" s="770"/>
      <c r="DE641" s="300"/>
      <c r="DF641" s="770"/>
      <c r="DG641" s="770"/>
      <c r="DH641" s="770"/>
      <c r="DI641" s="770"/>
      <c r="DJ641" s="770"/>
      <c r="DK641" s="770"/>
      <c r="DL641" s="770"/>
      <c r="DM641" s="770"/>
      <c r="DN641" s="322"/>
      <c r="DO641" s="770"/>
      <c r="DP641" s="770"/>
      <c r="DQ641" s="770"/>
      <c r="DR641" s="770"/>
      <c r="DS641" s="307"/>
      <c r="DT641" s="12"/>
      <c r="DU641" s="770"/>
      <c r="DV641" s="770"/>
      <c r="DW641" s="306"/>
      <c r="DX641" s="306"/>
      <c r="DY641" s="770"/>
      <c r="DZ641" s="770"/>
      <c r="EA641" s="770"/>
      <c r="EB641" s="770"/>
      <c r="EC641" s="770"/>
      <c r="ED641" s="770"/>
      <c r="EE641" s="770"/>
      <c r="EF641" s="770"/>
      <c r="EG641" s="770"/>
      <c r="EH641" s="770"/>
      <c r="EI641" s="770"/>
      <c r="EJ641" s="770"/>
      <c r="EK641" s="770"/>
      <c r="EL641" s="770"/>
      <c r="EM641" s="770"/>
      <c r="EN641" s="770"/>
      <c r="EO641" s="770"/>
      <c r="EP641" s="94"/>
      <c r="EQ641" s="770"/>
      <c r="ER641" s="770"/>
      <c r="ES641" s="770"/>
      <c r="ET641" s="770"/>
      <c r="EU641" s="770"/>
      <c r="EV641" s="770"/>
      <c r="EW641" s="770"/>
      <c r="EX641" s="770"/>
      <c r="EY641" s="770"/>
      <c r="EZ641" s="770"/>
      <c r="FA641" s="770"/>
      <c r="FB641" s="770"/>
      <c r="FC641" s="770"/>
      <c r="FD641" s="302"/>
      <c r="FE641" s="770"/>
      <c r="FF641" s="770"/>
      <c r="FG641" s="770"/>
      <c r="FH641" s="770"/>
      <c r="FI641" s="770"/>
      <c r="FJ641" s="770"/>
      <c r="FK641" s="770"/>
      <c r="FL641" s="770"/>
      <c r="FM641" s="302"/>
      <c r="FN641" s="302"/>
      <c r="FO641" s="302"/>
      <c r="FP641" s="770"/>
      <c r="FQ641" s="770"/>
      <c r="FR641" s="770" t="s">
        <v>1214</v>
      </c>
      <c r="FS641" s="770"/>
      <c r="FT641" s="770"/>
      <c r="FU641" s="770"/>
      <c r="FV641" s="770"/>
      <c r="FW641" s="770"/>
      <c r="FX641" s="770"/>
      <c r="FY641" s="770"/>
      <c r="FZ641" s="770"/>
      <c r="GA641" s="770"/>
      <c r="GB641" s="770" t="s">
        <v>1734</v>
      </c>
      <c r="GC641" s="308"/>
      <c r="GD641" s="297">
        <v>2016</v>
      </c>
      <c r="GE641" s="770" t="s">
        <v>1214</v>
      </c>
      <c r="GF641" s="302"/>
      <c r="GG641" s="302"/>
      <c r="GH641" s="770"/>
      <c r="GI641" s="770"/>
      <c r="GJ641" s="770"/>
      <c r="GK641" s="770"/>
      <c r="GL641" s="770"/>
      <c r="GM641" s="770"/>
      <c r="GN641" s="299"/>
      <c r="GO641" s="770"/>
      <c r="GP641" s="770"/>
      <c r="GQ641" s="770"/>
      <c r="GR641" s="770"/>
      <c r="GS641" s="770"/>
      <c r="GT641" s="770"/>
      <c r="GU641" s="770"/>
      <c r="GV641" s="770"/>
      <c r="GW641" s="770"/>
      <c r="GX641" s="770"/>
      <c r="GY641" s="770"/>
      <c r="GZ641" s="770"/>
      <c r="HA641" s="770"/>
      <c r="HB641" s="770"/>
      <c r="HC641" s="770"/>
      <c r="HD641" s="770"/>
      <c r="HE641" s="770"/>
      <c r="HF641" s="770"/>
      <c r="HG641" s="770"/>
      <c r="HH641" s="770"/>
      <c r="HI641" s="770"/>
      <c r="HJ641" s="770"/>
      <c r="HK641" s="770"/>
      <c r="HL641" s="770"/>
      <c r="HM641" s="770"/>
      <c r="HN641" s="770"/>
      <c r="HO641" s="770"/>
      <c r="HP641" s="770"/>
      <c r="HQ641" s="770"/>
      <c r="HR641" s="770"/>
      <c r="HS641" s="770"/>
      <c r="HT641" s="770">
        <v>4</v>
      </c>
      <c r="HU641" s="770"/>
      <c r="HV641" s="770"/>
      <c r="HW641" s="770"/>
      <c r="HX641" s="770"/>
      <c r="HY641" s="770"/>
      <c r="HZ641" s="770"/>
      <c r="IA641" s="770"/>
      <c r="IB641" s="770"/>
      <c r="IC641" s="770"/>
      <c r="ID641" s="770"/>
      <c r="IE641" s="770"/>
      <c r="IF641" s="770"/>
      <c r="IG641" s="770"/>
      <c r="IH641" s="770"/>
      <c r="II641" s="770"/>
      <c r="IJ641" s="770"/>
      <c r="IK641" s="770"/>
      <c r="IL641" s="770"/>
      <c r="IM641" s="770"/>
      <c r="IN641" s="770"/>
      <c r="IO641" s="296"/>
      <c r="IP641" s="770"/>
      <c r="IQ641" s="770"/>
      <c r="IR641" s="770"/>
      <c r="IS641" s="770"/>
      <c r="IT641" s="770"/>
      <c r="IU641" s="770"/>
      <c r="IV641" s="770"/>
      <c r="IW641" s="770"/>
      <c r="IX641" s="770"/>
      <c r="IY641" s="295"/>
      <c r="IZ641" s="770"/>
      <c r="JA641" s="770"/>
      <c r="JB641" s="770"/>
      <c r="JC641" s="770"/>
      <c r="JD641" s="302"/>
      <c r="JE641" s="770"/>
      <c r="JF641" s="770"/>
      <c r="JG641" s="770"/>
      <c r="JH641" s="307"/>
      <c r="JI641" s="307"/>
      <c r="JJ641" s="770"/>
      <c r="JK641" s="770"/>
      <c r="JL641" s="770"/>
      <c r="JM641" s="770"/>
      <c r="JN641" s="770"/>
      <c r="JO641" s="770"/>
      <c r="JP641" s="770"/>
      <c r="JQ641" s="770"/>
      <c r="JR641" s="770"/>
      <c r="JS641" s="770"/>
      <c r="JT641" s="766"/>
      <c r="JU641" s="766"/>
      <c r="JV641" s="766"/>
      <c r="JW641" s="766"/>
      <c r="JX641" s="770"/>
      <c r="JY641" s="770"/>
      <c r="JZ641" s="770"/>
      <c r="KA641" s="770"/>
      <c r="KB641" s="770"/>
      <c r="KC641" s="770"/>
      <c r="KD641" s="770"/>
      <c r="KE641" s="770"/>
      <c r="KF641" s="770"/>
      <c r="KG641" s="770"/>
      <c r="KH641" s="770"/>
      <c r="KI641" s="770"/>
      <c r="KJ641" s="770"/>
      <c r="KK641" s="770"/>
      <c r="KL641" s="770"/>
      <c r="KM641" s="770"/>
      <c r="KN641" s="770"/>
      <c r="KO641" s="770"/>
      <c r="KP641" s="770"/>
      <c r="KQ641" s="770"/>
      <c r="KR641" s="770"/>
      <c r="KS641" s="770"/>
      <c r="KT641" s="770"/>
      <c r="KU641" s="770"/>
      <c r="KV641" s="770"/>
      <c r="KW641" s="770"/>
      <c r="KX641" s="770"/>
      <c r="KY641" s="770"/>
      <c r="KZ641" s="770"/>
      <c r="LA641" s="770"/>
      <c r="LB641" s="770"/>
      <c r="LC641" s="770"/>
      <c r="LD641" s="770"/>
      <c r="LE641" s="770"/>
      <c r="LF641" s="770"/>
      <c r="LG641" s="770"/>
      <c r="LH641" s="770"/>
      <c r="LI641" s="770"/>
      <c r="LJ641" s="770"/>
      <c r="LK641" s="770"/>
      <c r="LL641" s="770"/>
      <c r="LM641" s="770"/>
      <c r="LN641" s="766"/>
      <c r="LO641" s="766"/>
      <c r="LP641" s="770"/>
      <c r="LQ641" s="770"/>
      <c r="LR641" s="770"/>
      <c r="LS641" s="770"/>
      <c r="LT641" s="770"/>
      <c r="LU641" s="770"/>
      <c r="LV641" s="770"/>
      <c r="LW641" s="770"/>
      <c r="LX641" s="769"/>
      <c r="LY641" s="766" t="str">
        <f t="shared" si="187"/>
        <v/>
      </c>
      <c r="LZ641" s="1709"/>
      <c r="MA641" s="1709"/>
      <c r="MB641" s="1709"/>
      <c r="MC641" s="1679">
        <f t="shared" si="185"/>
        <v>0</v>
      </c>
      <c r="MD641" s="1709"/>
      <c r="ME641" s="1709"/>
      <c r="MF641" s="1709"/>
      <c r="MG641" s="1680">
        <f t="shared" si="199"/>
        <v>0</v>
      </c>
      <c r="MH641" s="770"/>
      <c r="MI641" s="302"/>
      <c r="MJ641" s="302"/>
      <c r="MK641" s="302"/>
      <c r="ML641" s="302"/>
      <c r="MM641" s="302"/>
      <c r="MN641" s="302"/>
      <c r="MO641" s="302"/>
      <c r="MP641" s="302"/>
      <c r="MQ641" s="302"/>
      <c r="MR641" s="302"/>
      <c r="MS641" s="302"/>
      <c r="MT641" s="302"/>
      <c r="MU641" s="302"/>
      <c r="MV641" s="302"/>
      <c r="MW641" s="302"/>
      <c r="MX641" s="302"/>
      <c r="MY641" s="1682">
        <f t="shared" ref="MY641:MY704" si="200">IF(ISBLANK(MI641:MX641)=TRUE,"",SUM(MI641:MX641))</f>
        <v>0</v>
      </c>
      <c r="MZ641" s="770"/>
      <c r="NA641" s="770"/>
      <c r="NB641" s="770"/>
      <c r="NC641" s="770"/>
      <c r="ND641" s="770"/>
      <c r="NE641" s="770"/>
      <c r="NF641" s="770"/>
      <c r="NG641" s="770"/>
      <c r="NH641" s="770"/>
      <c r="NI641" s="770"/>
      <c r="NJ641" s="770"/>
      <c r="NK641" s="770"/>
      <c r="NL641" s="770"/>
      <c r="NM641" s="770"/>
      <c r="NN641" s="770"/>
      <c r="NO641" s="770"/>
      <c r="NP641" s="770"/>
      <c r="NQ641" s="770"/>
      <c r="NR641" s="770"/>
      <c r="NS641" s="770"/>
      <c r="NT641" s="770"/>
      <c r="NU641" s="770"/>
      <c r="NV641" s="770"/>
      <c r="NW641" s="770"/>
      <c r="NX641" s="770"/>
      <c r="NY641" s="770"/>
      <c r="NZ641" s="770"/>
      <c r="OA641" s="770"/>
      <c r="OB641" s="770"/>
      <c r="OC641" s="770"/>
      <c r="OD641" s="770"/>
      <c r="OE641" s="770"/>
      <c r="OF641" s="770"/>
      <c r="OG641" s="770"/>
      <c r="OH641" s="770"/>
      <c r="OI641" s="770"/>
      <c r="OJ641" s="770"/>
      <c r="OK641" s="770"/>
      <c r="OL641" s="770"/>
      <c r="OM641" s="770"/>
      <c r="ON641" s="770"/>
      <c r="OO641" s="770"/>
      <c r="OP641" s="770"/>
      <c r="OQ641" s="770"/>
      <c r="OR641" s="770"/>
      <c r="OS641" s="770"/>
      <c r="OT641" s="770"/>
      <c r="OU641" s="770"/>
      <c r="OV641" s="770"/>
      <c r="OW641" s="770"/>
      <c r="OX641" s="770"/>
      <c r="OY641" s="770"/>
      <c r="OZ641" s="770"/>
      <c r="PA641" s="770"/>
      <c r="PB641" s="770"/>
      <c r="PC641" s="770"/>
      <c r="PD641" s="770"/>
      <c r="PE641" s="770"/>
      <c r="PF641" s="770"/>
      <c r="PG641" s="770"/>
      <c r="PH641" s="770"/>
      <c r="PI641" s="770"/>
      <c r="PJ641" s="770"/>
      <c r="PK641" s="770"/>
      <c r="PL641" s="770"/>
      <c r="PM641" s="770"/>
      <c r="PN641" s="770"/>
      <c r="PO641" s="770"/>
      <c r="PP641" s="770"/>
      <c r="PQ641" s="770"/>
      <c r="PR641" s="770"/>
      <c r="PS641" s="770"/>
      <c r="PT641" s="770"/>
      <c r="PU641" s="770"/>
      <c r="PV641" s="770"/>
      <c r="PW641" s="770"/>
      <c r="PX641" s="770"/>
      <c r="PY641" s="770"/>
      <c r="PZ641" s="770"/>
      <c r="QA641" s="770"/>
      <c r="QB641" s="770"/>
      <c r="QC641" s="770"/>
      <c r="QD641" s="770"/>
      <c r="QE641" s="770"/>
      <c r="QF641" s="770"/>
      <c r="QG641" s="770"/>
      <c r="QH641" s="770"/>
      <c r="QI641" s="770"/>
      <c r="QJ641" s="770"/>
      <c r="QK641" s="770"/>
      <c r="QL641" s="770"/>
      <c r="QM641" s="770"/>
      <c r="QN641" s="770"/>
      <c r="QO641" s="770"/>
      <c r="QP641" s="770"/>
      <c r="QQ641" s="770"/>
      <c r="QR641" s="770"/>
      <c r="QS641" s="770"/>
      <c r="QT641" s="770"/>
      <c r="QU641" s="770"/>
      <c r="QV641" s="770"/>
      <c r="QW641" s="770"/>
      <c r="QX641" s="770"/>
      <c r="QY641" s="770"/>
      <c r="QZ641" s="770"/>
      <c r="RA641" s="770"/>
      <c r="RB641" s="770"/>
      <c r="RC641" s="770"/>
      <c r="RD641" s="770"/>
      <c r="RE641" s="770"/>
      <c r="RF641" s="304"/>
      <c r="RG641" s="770"/>
      <c r="RH641" s="302"/>
      <c r="RI641" s="770"/>
      <c r="RJ641" s="770" t="s">
        <v>13846</v>
      </c>
      <c r="RK641" s="770" t="s">
        <v>13556</v>
      </c>
      <c r="RL641" s="1710">
        <v>42836</v>
      </c>
      <c r="RM641" s="12"/>
      <c r="RN641" s="1711"/>
      <c r="RO641" s="132" t="s">
        <v>4181</v>
      </c>
      <c r="RP641" s="11"/>
      <c r="RQ641" s="11"/>
      <c r="RR641" s="17"/>
      <c r="RS641" s="767"/>
      <c r="RT641" s="11"/>
      <c r="RU641" s="11"/>
      <c r="RV641" s="771" t="s">
        <v>7421</v>
      </c>
      <c r="RW641" s="11" t="s">
        <v>7830</v>
      </c>
      <c r="RX641" s="11" t="s">
        <v>4168</v>
      </c>
      <c r="RY641" s="11"/>
      <c r="RZ641" s="11" t="s">
        <v>1101</v>
      </c>
      <c r="SA641" s="771"/>
      <c r="SB641" s="11"/>
      <c r="SC641" s="11"/>
    </row>
    <row r="642" spans="1:497" ht="12.75" customHeight="1">
      <c r="A642" s="19" t="s">
        <v>7421</v>
      </c>
      <c r="B642" s="752" t="s">
        <v>7833</v>
      </c>
      <c r="C642" s="132" t="s">
        <v>4188</v>
      </c>
      <c r="D642" s="94" t="s">
        <v>4189</v>
      </c>
      <c r="E642" s="766" t="s">
        <v>7932</v>
      </c>
      <c r="F642" s="770"/>
      <c r="G642" s="770"/>
      <c r="H642" s="770"/>
      <c r="I642" s="295" t="s">
        <v>4190</v>
      </c>
      <c r="J642" s="94"/>
      <c r="K642" s="766" t="s">
        <v>4191</v>
      </c>
      <c r="L642" s="766" t="s">
        <v>3933</v>
      </c>
      <c r="M642" s="770" t="s">
        <v>1238</v>
      </c>
      <c r="N642" s="770"/>
      <c r="O642" s="770" t="s">
        <v>4192</v>
      </c>
      <c r="P642" s="770"/>
      <c r="Q642" s="1088"/>
      <c r="R642" s="297"/>
      <c r="S642" s="770"/>
      <c r="T642" s="770"/>
      <c r="U642" s="295"/>
      <c r="V642" s="770"/>
      <c r="W642" s="770"/>
      <c r="X642" s="770"/>
      <c r="Y642" s="770"/>
      <c r="Z642" s="770"/>
      <c r="AA642" s="770"/>
      <c r="AB642" s="12"/>
      <c r="AC642" s="770"/>
      <c r="AD642" s="770"/>
      <c r="AE642" s="770"/>
      <c r="AF642" s="770"/>
      <c r="AG642" s="766" t="s">
        <v>1165</v>
      </c>
      <c r="AH642" s="766" t="s">
        <v>1096</v>
      </c>
      <c r="AI642" s="770"/>
      <c r="AJ642" s="770" t="s">
        <v>1138</v>
      </c>
      <c r="AK642" s="770" t="s">
        <v>1101</v>
      </c>
      <c r="AL642" s="531">
        <v>40.32</v>
      </c>
      <c r="AM642" s="780">
        <v>39.04</v>
      </c>
      <c r="AN642" s="532">
        <f t="shared" ref="AN642:AN652" si="201">AM642/AL642</f>
        <v>0.96825396825396826</v>
      </c>
      <c r="AO642" s="766" t="s">
        <v>1105</v>
      </c>
      <c r="AP642" s="766"/>
      <c r="AQ642" s="766"/>
      <c r="AR642" s="766"/>
      <c r="AS642" s="770"/>
      <c r="AT642" s="770"/>
      <c r="AU642" s="770"/>
      <c r="AV642" s="770"/>
      <c r="AW642" s="770"/>
      <c r="AX642" s="770"/>
      <c r="AY642" s="770"/>
      <c r="AZ642" s="770"/>
      <c r="BA642" s="770"/>
      <c r="BB642" s="770"/>
      <c r="BC642" s="770"/>
      <c r="BD642" s="770"/>
      <c r="BE642" s="770"/>
      <c r="BF642" s="302"/>
      <c r="BG642" s="302"/>
      <c r="BH642" s="770"/>
      <c r="BI642" s="770"/>
      <c r="BJ642" s="770"/>
      <c r="BK642" s="770"/>
      <c r="BL642" s="770"/>
      <c r="BM642" s="770"/>
      <c r="BN642" s="770"/>
      <c r="BO642" s="770"/>
      <c r="BP642" s="1109"/>
      <c r="BQ642" s="773"/>
      <c r="BR642" s="774"/>
      <c r="BS642" s="766"/>
      <c r="BT642" s="770"/>
      <c r="BU642" s="770"/>
      <c r="BV642" s="770"/>
      <c r="BW642" s="770"/>
      <c r="BX642" s="302"/>
      <c r="BY642" s="770"/>
      <c r="BZ642" s="302"/>
      <c r="CA642" s="770"/>
      <c r="CB642" s="770" t="s">
        <v>1207</v>
      </c>
      <c r="CC642" s="94" t="s">
        <v>4189</v>
      </c>
      <c r="CD642" s="770"/>
      <c r="CE642" s="770"/>
      <c r="CF642" s="1753"/>
      <c r="CG642" s="1754"/>
      <c r="CH642" s="770"/>
      <c r="CI642" s="770"/>
      <c r="CJ642" s="770"/>
      <c r="CK642" s="770"/>
      <c r="CL642" s="770"/>
      <c r="CM642" s="770"/>
      <c r="CN642" s="770"/>
      <c r="CO642" s="770"/>
      <c r="CP642" s="770"/>
      <c r="CQ642" s="770"/>
      <c r="CR642" s="302"/>
      <c r="CS642" s="770"/>
      <c r="CT642" s="770"/>
      <c r="CU642" s="305"/>
      <c r="CV642" s="770"/>
      <c r="CW642" s="770"/>
      <c r="CX642" s="770"/>
      <c r="CY642" s="770"/>
      <c r="CZ642" s="770"/>
      <c r="DA642" s="306"/>
      <c r="DB642" s="770"/>
      <c r="DC642" s="770"/>
      <c r="DD642" s="770"/>
      <c r="DE642" s="300"/>
      <c r="DF642" s="770"/>
      <c r="DG642" s="770"/>
      <c r="DH642" s="770"/>
      <c r="DI642" s="770"/>
      <c r="DJ642" s="770"/>
      <c r="DK642" s="770"/>
      <c r="DL642" s="770"/>
      <c r="DM642" s="770"/>
      <c r="DN642" s="322"/>
      <c r="DO642" s="770"/>
      <c r="DP642" s="770"/>
      <c r="DQ642" s="770" t="s">
        <v>5850</v>
      </c>
      <c r="DR642" s="770"/>
      <c r="DS642" s="307">
        <v>22000</v>
      </c>
      <c r="DT642" s="12" t="s">
        <v>4193</v>
      </c>
      <c r="DU642" s="770" t="s">
        <v>4137</v>
      </c>
      <c r="DV642" s="770" t="s">
        <v>4194</v>
      </c>
      <c r="DW642" s="306">
        <v>40.32</v>
      </c>
      <c r="DX642" s="306">
        <v>39.04</v>
      </c>
      <c r="DY642" s="770" t="s">
        <v>1105</v>
      </c>
      <c r="DZ642" s="770"/>
      <c r="EA642" s="770"/>
      <c r="EB642" s="770"/>
      <c r="EC642" s="770"/>
      <c r="ED642" s="770"/>
      <c r="EE642" s="770"/>
      <c r="EF642" s="770"/>
      <c r="EG642" s="770"/>
      <c r="EH642" s="770"/>
      <c r="EI642" s="770"/>
      <c r="EJ642" s="770"/>
      <c r="EK642" s="770"/>
      <c r="EL642" s="770"/>
      <c r="EM642" s="770"/>
      <c r="EN642" s="770"/>
      <c r="EO642" s="770"/>
      <c r="EP642" s="94"/>
      <c r="EQ642" s="770"/>
      <c r="ER642" s="770"/>
      <c r="ES642" s="770"/>
      <c r="ET642" s="770"/>
      <c r="EU642" s="770"/>
      <c r="EV642" s="770"/>
      <c r="EW642" s="770"/>
      <c r="EX642" s="770"/>
      <c r="EY642" s="770"/>
      <c r="EZ642" s="770"/>
      <c r="FA642" s="770"/>
      <c r="FB642" s="770"/>
      <c r="FC642" s="770"/>
      <c r="FD642" s="302"/>
      <c r="FE642" s="770"/>
      <c r="FF642" s="770"/>
      <c r="FG642" s="770"/>
      <c r="FH642" s="770"/>
      <c r="FI642" s="770"/>
      <c r="FJ642" s="770"/>
      <c r="FK642" s="770"/>
      <c r="FL642" s="770"/>
      <c r="FM642" s="302"/>
      <c r="FN642" s="302"/>
      <c r="FO642" s="302"/>
      <c r="FP642" s="770"/>
      <c r="FQ642" s="770"/>
      <c r="FR642" s="770"/>
      <c r="FS642" s="770"/>
      <c r="FT642" s="770"/>
      <c r="FU642" s="770"/>
      <c r="FV642" s="770"/>
      <c r="FW642" s="770"/>
      <c r="FX642" s="770"/>
      <c r="FY642" s="770"/>
      <c r="FZ642" s="770"/>
      <c r="GA642" s="770"/>
      <c r="GB642" s="770"/>
      <c r="GC642" s="308"/>
      <c r="GD642" s="297"/>
      <c r="GE642" s="770"/>
      <c r="GF642" s="302"/>
      <c r="GG642" s="302"/>
      <c r="GH642" s="770"/>
      <c r="GI642" s="770"/>
      <c r="GJ642" s="770"/>
      <c r="GK642" s="770"/>
      <c r="GL642" s="770"/>
      <c r="GM642" s="770"/>
      <c r="GN642" s="299"/>
      <c r="GO642" s="770"/>
      <c r="GP642" s="770"/>
      <c r="GQ642" s="770"/>
      <c r="GR642" s="770"/>
      <c r="GS642" s="770"/>
      <c r="GT642" s="770"/>
      <c r="GU642" s="770"/>
      <c r="GV642" s="770"/>
      <c r="GW642" s="770"/>
      <c r="GX642" s="770"/>
      <c r="GY642" s="770"/>
      <c r="GZ642" s="770"/>
      <c r="HA642" s="770"/>
      <c r="HB642" s="770"/>
      <c r="HC642" s="770"/>
      <c r="HD642" s="770"/>
      <c r="HE642" s="770"/>
      <c r="HF642" s="770"/>
      <c r="HG642" s="770"/>
      <c r="HH642" s="770"/>
      <c r="HI642" s="770"/>
      <c r="HJ642" s="770"/>
      <c r="HK642" s="770"/>
      <c r="HL642" s="770"/>
      <c r="HM642" s="770"/>
      <c r="HN642" s="770"/>
      <c r="HO642" s="770"/>
      <c r="HP642" s="770"/>
      <c r="HQ642" s="770"/>
      <c r="HR642" s="770"/>
      <c r="HS642" s="770"/>
      <c r="HT642" s="770"/>
      <c r="HU642" s="770"/>
      <c r="HV642" s="770"/>
      <c r="HW642" s="770"/>
      <c r="HX642" s="770"/>
      <c r="HY642" s="770"/>
      <c r="HZ642" s="770"/>
      <c r="IA642" s="770"/>
      <c r="IB642" s="770"/>
      <c r="IC642" s="770"/>
      <c r="ID642" s="770"/>
      <c r="IE642" s="770"/>
      <c r="IF642" s="770"/>
      <c r="IG642" s="770"/>
      <c r="IH642" s="770"/>
      <c r="II642" s="770"/>
      <c r="IJ642" s="770"/>
      <c r="IK642" s="770"/>
      <c r="IL642" s="770"/>
      <c r="IM642" s="770"/>
      <c r="IN642" s="770"/>
      <c r="IO642" s="296"/>
      <c r="IP642" s="770"/>
      <c r="IQ642" s="770"/>
      <c r="IR642" s="770"/>
      <c r="IS642" s="770"/>
      <c r="IT642" s="770"/>
      <c r="IU642" s="770"/>
      <c r="IV642" s="770"/>
      <c r="IW642" s="770"/>
      <c r="IX642" s="770"/>
      <c r="IY642" s="295"/>
      <c r="IZ642" s="770"/>
      <c r="JA642" s="770"/>
      <c r="JB642" s="770"/>
      <c r="JC642" s="770"/>
      <c r="JD642" s="302"/>
      <c r="JE642" s="770"/>
      <c r="JF642" s="770"/>
      <c r="JG642" s="770"/>
      <c r="JH642" s="307"/>
      <c r="JI642" s="307"/>
      <c r="JJ642" s="770"/>
      <c r="JK642" s="770"/>
      <c r="JL642" s="770"/>
      <c r="JM642" s="770"/>
      <c r="JN642" s="770"/>
      <c r="JO642" s="770"/>
      <c r="JP642" s="770"/>
      <c r="JQ642" s="770"/>
      <c r="JR642" s="770"/>
      <c r="JS642" s="770"/>
      <c r="JT642" s="766"/>
      <c r="JU642" s="766"/>
      <c r="JV642" s="766"/>
      <c r="JW642" s="766"/>
      <c r="JX642" s="770"/>
      <c r="JY642" s="770"/>
      <c r="JZ642" s="770"/>
      <c r="KA642" s="770"/>
      <c r="KB642" s="770"/>
      <c r="KC642" s="770"/>
      <c r="KD642" s="770"/>
      <c r="KE642" s="770"/>
      <c r="KF642" s="770"/>
      <c r="KG642" s="770"/>
      <c r="KH642" s="770"/>
      <c r="KI642" s="770"/>
      <c r="KJ642" s="770"/>
      <c r="KK642" s="770"/>
      <c r="KL642" s="770"/>
      <c r="KM642" s="770"/>
      <c r="KN642" s="770"/>
      <c r="KO642" s="770"/>
      <c r="KP642" s="770"/>
      <c r="KQ642" s="770"/>
      <c r="KR642" s="770"/>
      <c r="KS642" s="770"/>
      <c r="KT642" s="770"/>
      <c r="KU642" s="770"/>
      <c r="KV642" s="770"/>
      <c r="KW642" s="770"/>
      <c r="KX642" s="770"/>
      <c r="KY642" s="770"/>
      <c r="KZ642" s="770"/>
      <c r="LA642" s="770"/>
      <c r="LB642" s="770"/>
      <c r="LC642" s="770"/>
      <c r="LD642" s="770"/>
      <c r="LE642" s="770"/>
      <c r="LF642" s="770"/>
      <c r="LG642" s="770"/>
      <c r="LH642" s="770"/>
      <c r="LI642" s="770"/>
      <c r="LJ642" s="770"/>
      <c r="LK642" s="770"/>
      <c r="LL642" s="770"/>
      <c r="LM642" s="770"/>
      <c r="LN642" s="766"/>
      <c r="LO642" s="766"/>
      <c r="LP642" s="770"/>
      <c r="LQ642" s="770"/>
      <c r="LR642" s="770"/>
      <c r="LS642" s="770"/>
      <c r="LT642" s="770"/>
      <c r="LU642" s="770"/>
      <c r="LV642" s="770"/>
      <c r="LW642" s="770"/>
      <c r="LX642" s="769"/>
      <c r="LY642" s="766" t="str">
        <f t="shared" si="187"/>
        <v/>
      </c>
      <c r="LZ642" s="1709"/>
      <c r="MA642" s="1709"/>
      <c r="MB642" s="1709"/>
      <c r="MC642" s="1679">
        <f t="shared" si="185"/>
        <v>0</v>
      </c>
      <c r="MD642" s="1709"/>
      <c r="ME642" s="1709"/>
      <c r="MF642" s="1709"/>
      <c r="MG642" s="1680">
        <f t="shared" si="199"/>
        <v>0</v>
      </c>
      <c r="MH642" s="770"/>
      <c r="MI642" s="302"/>
      <c r="MJ642" s="302"/>
      <c r="MK642" s="302"/>
      <c r="ML642" s="302"/>
      <c r="MM642" s="302"/>
      <c r="MN642" s="302"/>
      <c r="MO642" s="302"/>
      <c r="MP642" s="302"/>
      <c r="MQ642" s="302"/>
      <c r="MR642" s="302"/>
      <c r="MS642" s="302"/>
      <c r="MT642" s="302"/>
      <c r="MU642" s="302"/>
      <c r="MV642" s="302"/>
      <c r="MW642" s="302"/>
      <c r="MX642" s="302"/>
      <c r="MY642" s="1682">
        <f t="shared" si="200"/>
        <v>0</v>
      </c>
      <c r="MZ642" s="770"/>
      <c r="NA642" s="770"/>
      <c r="NB642" s="770"/>
      <c r="NC642" s="770"/>
      <c r="ND642" s="770"/>
      <c r="NE642" s="770"/>
      <c r="NF642" s="770"/>
      <c r="NG642" s="770"/>
      <c r="NH642" s="770"/>
      <c r="NI642" s="770"/>
      <c r="NJ642" s="770"/>
      <c r="NK642" s="770"/>
      <c r="NL642" s="770"/>
      <c r="NM642" s="770"/>
      <c r="NN642" s="770"/>
      <c r="NO642" s="770"/>
      <c r="NP642" s="770"/>
      <c r="NQ642" s="770"/>
      <c r="NR642" s="770"/>
      <c r="NS642" s="770"/>
      <c r="NT642" s="770"/>
      <c r="NU642" s="770"/>
      <c r="NV642" s="770"/>
      <c r="NW642" s="770"/>
      <c r="NX642" s="770"/>
      <c r="NY642" s="770"/>
      <c r="NZ642" s="770"/>
      <c r="OA642" s="770"/>
      <c r="OB642" s="770"/>
      <c r="OC642" s="770"/>
      <c r="OD642" s="770"/>
      <c r="OE642" s="770"/>
      <c r="OF642" s="770"/>
      <c r="OG642" s="770"/>
      <c r="OH642" s="770"/>
      <c r="OI642" s="770"/>
      <c r="OJ642" s="770"/>
      <c r="OK642" s="770"/>
      <c r="OL642" s="770"/>
      <c r="OM642" s="770"/>
      <c r="ON642" s="770"/>
      <c r="OO642" s="770"/>
      <c r="OP642" s="770"/>
      <c r="OQ642" s="770"/>
      <c r="OR642" s="770"/>
      <c r="OS642" s="770"/>
      <c r="OT642" s="770"/>
      <c r="OU642" s="770"/>
      <c r="OV642" s="770"/>
      <c r="OW642" s="770"/>
      <c r="OX642" s="770"/>
      <c r="OY642" s="770"/>
      <c r="OZ642" s="770"/>
      <c r="PA642" s="770"/>
      <c r="PB642" s="770"/>
      <c r="PC642" s="770"/>
      <c r="PD642" s="770"/>
      <c r="PE642" s="770"/>
      <c r="PF642" s="770"/>
      <c r="PG642" s="770"/>
      <c r="PH642" s="770"/>
      <c r="PI642" s="770"/>
      <c r="PJ642" s="770"/>
      <c r="PK642" s="770"/>
      <c r="PL642" s="770"/>
      <c r="PM642" s="770"/>
      <c r="PN642" s="770"/>
      <c r="PO642" s="770"/>
      <c r="PP642" s="770"/>
      <c r="PQ642" s="770"/>
      <c r="PR642" s="770"/>
      <c r="PS642" s="770"/>
      <c r="PT642" s="770"/>
      <c r="PU642" s="770"/>
      <c r="PV642" s="770"/>
      <c r="PW642" s="770"/>
      <c r="PX642" s="770"/>
      <c r="PY642" s="770"/>
      <c r="PZ642" s="770"/>
      <c r="QA642" s="770"/>
      <c r="QB642" s="770"/>
      <c r="QC642" s="770"/>
      <c r="QD642" s="770"/>
      <c r="QE642" s="770"/>
      <c r="QF642" s="770"/>
      <c r="QG642" s="770"/>
      <c r="QH642" s="770"/>
      <c r="QI642" s="770"/>
      <c r="QJ642" s="770"/>
      <c r="QK642" s="770"/>
      <c r="QL642" s="770"/>
      <c r="QM642" s="770"/>
      <c r="QN642" s="770"/>
      <c r="QO642" s="770"/>
      <c r="QP642" s="770"/>
      <c r="QQ642" s="770"/>
      <c r="QR642" s="770"/>
      <c r="QS642" s="770"/>
      <c r="QT642" s="770"/>
      <c r="QU642" s="770"/>
      <c r="QV642" s="770"/>
      <c r="QW642" s="770"/>
      <c r="QX642" s="770"/>
      <c r="QY642" s="770"/>
      <c r="QZ642" s="770"/>
      <c r="RA642" s="770"/>
      <c r="RB642" s="770"/>
      <c r="RC642" s="770"/>
      <c r="RD642" s="770"/>
      <c r="RE642" s="770"/>
      <c r="RF642" s="304"/>
      <c r="RG642" s="770"/>
      <c r="RH642" s="302"/>
      <c r="RI642" s="770"/>
      <c r="RJ642" s="770" t="s">
        <v>13847</v>
      </c>
      <c r="RK642" s="770" t="s">
        <v>13556</v>
      </c>
      <c r="RL642" s="1710">
        <v>42836</v>
      </c>
      <c r="RM642" s="12"/>
      <c r="RN642" s="1711"/>
      <c r="RO642" s="132" t="s">
        <v>4188</v>
      </c>
      <c r="RP642" s="11"/>
      <c r="RQ642" s="11"/>
      <c r="RR642" s="17"/>
      <c r="RS642" s="767"/>
      <c r="RT642" s="11"/>
      <c r="RU642" s="11"/>
      <c r="RV642" s="771" t="s">
        <v>7421</v>
      </c>
      <c r="RW642" s="11" t="s">
        <v>7831</v>
      </c>
      <c r="RX642" s="11" t="s">
        <v>4174</v>
      </c>
      <c r="RY642" s="11"/>
      <c r="RZ642" s="11" t="s">
        <v>1101</v>
      </c>
      <c r="SA642" s="771"/>
      <c r="SB642" s="11"/>
      <c r="SC642" s="11"/>
    </row>
    <row r="643" spans="1:497" ht="12.75" customHeight="1">
      <c r="A643" s="19" t="s">
        <v>7421</v>
      </c>
      <c r="B643" s="752" t="s">
        <v>7409</v>
      </c>
      <c r="C643" s="132" t="s">
        <v>4195</v>
      </c>
      <c r="D643" s="94" t="s">
        <v>4196</v>
      </c>
      <c r="E643" s="766" t="s">
        <v>7933</v>
      </c>
      <c r="F643" s="770" t="s">
        <v>20</v>
      </c>
      <c r="G643" s="770" t="s">
        <v>18</v>
      </c>
      <c r="H643" s="770"/>
      <c r="I643" s="295" t="s">
        <v>4198</v>
      </c>
      <c r="J643" s="94" t="s">
        <v>4199</v>
      </c>
      <c r="K643" s="766" t="s">
        <v>4200</v>
      </c>
      <c r="L643" s="766" t="s">
        <v>4060</v>
      </c>
      <c r="M643" s="770" t="s">
        <v>1238</v>
      </c>
      <c r="N643" s="770"/>
      <c r="O643" s="770" t="s">
        <v>4192</v>
      </c>
      <c r="P643" s="94" t="s">
        <v>4201</v>
      </c>
      <c r="Q643" s="1088">
        <v>28226</v>
      </c>
      <c r="R643" s="297">
        <v>40</v>
      </c>
      <c r="S643" s="770" t="s">
        <v>10</v>
      </c>
      <c r="T643" s="770"/>
      <c r="U643" s="295" t="s">
        <v>4198</v>
      </c>
      <c r="V643" s="770" t="s">
        <v>722</v>
      </c>
      <c r="W643" s="770"/>
      <c r="X643" s="770"/>
      <c r="Y643" s="770" t="s">
        <v>4197</v>
      </c>
      <c r="Z643" s="770" t="s">
        <v>708</v>
      </c>
      <c r="AA643" s="770" t="s">
        <v>709</v>
      </c>
      <c r="AB643" s="770" t="s">
        <v>7275</v>
      </c>
      <c r="AC643" s="770" t="s">
        <v>724</v>
      </c>
      <c r="AD643" s="770" t="s">
        <v>711</v>
      </c>
      <c r="AE643" s="770"/>
      <c r="AF643" s="770" t="s">
        <v>712</v>
      </c>
      <c r="AG643" s="766" t="s">
        <v>1132</v>
      </c>
      <c r="AH643" s="766" t="s">
        <v>1096</v>
      </c>
      <c r="AI643" s="770"/>
      <c r="AJ643" s="770" t="s">
        <v>1137</v>
      </c>
      <c r="AK643" s="770" t="s">
        <v>1101</v>
      </c>
      <c r="AL643" s="531">
        <v>7.48</v>
      </c>
      <c r="AM643" s="780">
        <v>3.4</v>
      </c>
      <c r="AN643" s="532">
        <f t="shared" si="201"/>
        <v>0.45454545454545453</v>
      </c>
      <c r="AO643" s="766" t="s">
        <v>1149</v>
      </c>
      <c r="AP643" s="766"/>
      <c r="AQ643" s="766"/>
      <c r="AR643" s="766"/>
      <c r="AS643" s="770"/>
      <c r="AT643" s="770"/>
      <c r="AU643" s="770"/>
      <c r="AV643" s="770"/>
      <c r="AW643" s="770"/>
      <c r="AX643" s="770"/>
      <c r="AY643" s="770"/>
      <c r="AZ643" s="770"/>
      <c r="BA643" s="770"/>
      <c r="BB643" s="770"/>
      <c r="BC643" s="770"/>
      <c r="BD643" s="770"/>
      <c r="BE643" s="770"/>
      <c r="BF643" s="302"/>
      <c r="BG643" s="302"/>
      <c r="BH643" s="770"/>
      <c r="BI643" s="770"/>
      <c r="BJ643" s="770"/>
      <c r="BK643" s="770" t="s">
        <v>1095</v>
      </c>
      <c r="BL643" s="770" t="s">
        <v>4202</v>
      </c>
      <c r="BM643" s="766" t="s">
        <v>1096</v>
      </c>
      <c r="BN643" s="770" t="s">
        <v>1230</v>
      </c>
      <c r="BO643" s="766" t="s">
        <v>1246</v>
      </c>
      <c r="BP643" s="1109">
        <v>7.48</v>
      </c>
      <c r="BQ643" s="773">
        <v>3.4</v>
      </c>
      <c r="BR643" s="774">
        <f>BQ643/BP643</f>
        <v>0.45454545454545453</v>
      </c>
      <c r="BS643" s="766" t="s">
        <v>1149</v>
      </c>
      <c r="BT643" s="766" t="s">
        <v>1326</v>
      </c>
      <c r="BU643" s="766" t="s">
        <v>1264</v>
      </c>
      <c r="BV643" s="770" t="s">
        <v>2432</v>
      </c>
      <c r="BW643" s="770">
        <v>2010</v>
      </c>
      <c r="BX643" s="302"/>
      <c r="BY643" s="770"/>
      <c r="BZ643" s="302"/>
      <c r="CA643" s="770"/>
      <c r="CB643" s="770"/>
      <c r="CC643" s="770"/>
      <c r="CD643" s="770"/>
      <c r="CE643" s="770"/>
      <c r="CF643" s="1753"/>
      <c r="CG643" s="1754"/>
      <c r="CH643" s="770"/>
      <c r="CI643" s="770"/>
      <c r="CJ643" s="770"/>
      <c r="CK643" s="770"/>
      <c r="CL643" s="770"/>
      <c r="CM643" s="770"/>
      <c r="CN643" s="770"/>
      <c r="CO643" s="770"/>
      <c r="CP643" s="770"/>
      <c r="CQ643" s="770"/>
      <c r="CR643" s="302"/>
      <c r="CS643" s="770"/>
      <c r="CT643" s="770"/>
      <c r="CU643" s="305"/>
      <c r="CV643" s="770"/>
      <c r="CW643" s="770"/>
      <c r="CX643" s="770"/>
      <c r="CY643" s="770"/>
      <c r="CZ643" s="770"/>
      <c r="DA643" s="306"/>
      <c r="DB643" s="770"/>
      <c r="DC643" s="770"/>
      <c r="DD643" s="770"/>
      <c r="DE643" s="300"/>
      <c r="DF643" s="770"/>
      <c r="DG643" s="770"/>
      <c r="DH643" s="770"/>
      <c r="DI643" s="770"/>
      <c r="DJ643" s="770"/>
      <c r="DK643" s="770"/>
      <c r="DL643" s="770"/>
      <c r="DM643" s="770"/>
      <c r="DN643" s="322"/>
      <c r="DO643" s="770"/>
      <c r="DP643" s="770"/>
      <c r="DQ643" s="770"/>
      <c r="DR643" s="770"/>
      <c r="DS643" s="307"/>
      <c r="DT643" s="12"/>
      <c r="DU643" s="770"/>
      <c r="DV643" s="770"/>
      <c r="DW643" s="306"/>
      <c r="DX643" s="306"/>
      <c r="DY643" s="770"/>
      <c r="DZ643" s="770"/>
      <c r="EA643" s="770"/>
      <c r="EB643" s="770"/>
      <c r="EC643" s="770"/>
      <c r="ED643" s="770"/>
      <c r="EE643" s="770"/>
      <c r="EF643" s="770"/>
      <c r="EG643" s="770"/>
      <c r="EH643" s="770"/>
      <c r="EI643" s="770"/>
      <c r="EJ643" s="770"/>
      <c r="EK643" s="770"/>
      <c r="EL643" s="770"/>
      <c r="EM643" s="770"/>
      <c r="EN643" s="770"/>
      <c r="EO643" s="770"/>
      <c r="EP643" s="94"/>
      <c r="EQ643" s="770"/>
      <c r="ER643" s="770"/>
      <c r="ES643" s="770"/>
      <c r="ET643" s="770"/>
      <c r="EU643" s="770"/>
      <c r="EV643" s="770"/>
      <c r="EW643" s="770"/>
      <c r="EX643" s="770"/>
      <c r="EY643" s="770"/>
      <c r="EZ643" s="770"/>
      <c r="FA643" s="770"/>
      <c r="FB643" s="770"/>
      <c r="FC643" s="770"/>
      <c r="FD643" s="302"/>
      <c r="FE643" s="770"/>
      <c r="FF643" s="770"/>
      <c r="FG643" s="770"/>
      <c r="FH643" s="770" t="s">
        <v>478</v>
      </c>
      <c r="FI643" s="770">
        <v>1</v>
      </c>
      <c r="FJ643" s="770"/>
      <c r="FK643" s="770"/>
      <c r="FL643" s="770"/>
      <c r="FM643" s="302"/>
      <c r="FN643" s="302"/>
      <c r="FO643" s="302"/>
      <c r="FP643" s="766" t="s">
        <v>1602</v>
      </c>
      <c r="FQ643" s="766" t="s">
        <v>1660</v>
      </c>
      <c r="FR643" s="770" t="s">
        <v>1214</v>
      </c>
      <c r="FS643" s="770"/>
      <c r="FT643" s="770"/>
      <c r="FU643" s="770"/>
      <c r="FV643" s="770"/>
      <c r="FW643" s="770"/>
      <c r="FX643" s="770"/>
      <c r="FY643" s="770"/>
      <c r="FZ643" s="770"/>
      <c r="GA643" s="770"/>
      <c r="GB643" s="770" t="s">
        <v>1734</v>
      </c>
      <c r="GC643" s="308"/>
      <c r="GD643" s="297">
        <v>2010</v>
      </c>
      <c r="GE643" s="770" t="s">
        <v>1214</v>
      </c>
      <c r="GF643" s="302"/>
      <c r="GG643" s="302"/>
      <c r="GH643" s="712" t="s">
        <v>1791</v>
      </c>
      <c r="GI643" s="770" t="s">
        <v>2407</v>
      </c>
      <c r="GJ643" s="770" t="s">
        <v>1831</v>
      </c>
      <c r="GK643" s="770" t="s">
        <v>2407</v>
      </c>
      <c r="GL643" s="770"/>
      <c r="GM643" s="770" t="s">
        <v>1835</v>
      </c>
      <c r="GN643" s="299">
        <v>150</v>
      </c>
      <c r="GO643" s="770" t="s">
        <v>2760</v>
      </c>
      <c r="GP643" s="770"/>
      <c r="GQ643" s="770"/>
      <c r="GR643" s="770"/>
      <c r="GS643" s="770"/>
      <c r="GT643" s="770"/>
      <c r="GU643" s="770"/>
      <c r="GV643" s="770"/>
      <c r="GW643" s="770" t="s">
        <v>1207</v>
      </c>
      <c r="GX643" s="770"/>
      <c r="GY643" s="770" t="s">
        <v>1208</v>
      </c>
      <c r="GZ643" s="770"/>
      <c r="HA643" s="770" t="s">
        <v>1208</v>
      </c>
      <c r="HB643" s="770" t="s">
        <v>1208</v>
      </c>
      <c r="HC643" s="770" t="s">
        <v>1208</v>
      </c>
      <c r="HD643" s="770" t="s">
        <v>1208</v>
      </c>
      <c r="HE643" s="770" t="s">
        <v>1208</v>
      </c>
      <c r="HF643" s="770"/>
      <c r="HG643" s="770"/>
      <c r="HH643" s="770"/>
      <c r="HI643" s="770" t="s">
        <v>1214</v>
      </c>
      <c r="HJ643" s="770"/>
      <c r="HK643" s="770"/>
      <c r="HL643" s="770" t="s">
        <v>1214</v>
      </c>
      <c r="HM643" s="770"/>
      <c r="HN643" s="770"/>
      <c r="HO643" s="770"/>
      <c r="HP643" s="770"/>
      <c r="HQ643" s="770"/>
      <c r="HR643" s="770"/>
      <c r="HS643" s="770"/>
      <c r="HT643" s="770"/>
      <c r="HU643" s="770"/>
      <c r="HV643" s="770"/>
      <c r="HW643" s="770"/>
      <c r="HX643" s="770"/>
      <c r="HY643" s="770"/>
      <c r="HZ643" s="770"/>
      <c r="IA643" s="770"/>
      <c r="IB643" s="14" t="e">
        <f>IF(#REF!&gt;0,IF(#REF!&lt;=10000,"Y",""),"")</f>
        <v>#REF!</v>
      </c>
      <c r="IC643" s="770"/>
      <c r="ID643" s="770"/>
      <c r="IE643" s="770">
        <v>1</v>
      </c>
      <c r="IF643" s="770"/>
      <c r="IG643" s="770"/>
      <c r="IH643" s="770"/>
      <c r="II643" s="770"/>
      <c r="IJ643" s="770"/>
      <c r="IK643" s="770"/>
      <c r="IL643" s="770"/>
      <c r="IM643" s="770"/>
      <c r="IN643" s="770"/>
      <c r="IO643" s="296"/>
      <c r="IP643" s="770"/>
      <c r="IQ643" s="770"/>
      <c r="IR643" s="770"/>
      <c r="IS643" s="770"/>
      <c r="IT643" s="770"/>
      <c r="IU643" s="770"/>
      <c r="IV643" s="770"/>
      <c r="IW643" s="770"/>
      <c r="IX643" s="770"/>
      <c r="IY643" s="295"/>
      <c r="IZ643" s="770"/>
      <c r="JA643" s="770"/>
      <c r="JB643" s="770"/>
      <c r="JC643" s="770"/>
      <c r="JD643" s="302"/>
      <c r="JE643" s="770"/>
      <c r="JF643" s="770"/>
      <c r="JG643" s="770"/>
      <c r="JH643" s="307"/>
      <c r="JI643" s="307"/>
      <c r="JJ643" s="770">
        <v>6</v>
      </c>
      <c r="JK643" s="1139" t="s">
        <v>4202</v>
      </c>
      <c r="JL643" s="770">
        <v>2</v>
      </c>
      <c r="JM643" s="770">
        <v>1</v>
      </c>
      <c r="JN643" s="770">
        <v>1</v>
      </c>
      <c r="JO643" s="770">
        <v>2</v>
      </c>
      <c r="JP643" s="770"/>
      <c r="JQ643" s="770"/>
      <c r="JR643" s="770"/>
      <c r="JS643" s="770"/>
      <c r="JT643" s="766">
        <f>SUM(JP643,JN643,JL643,JR643)</f>
        <v>3</v>
      </c>
      <c r="JU643" s="766">
        <f>SUM(JQ643,JO643,JM643,JS643)</f>
        <v>3</v>
      </c>
      <c r="JV643" s="712" t="str">
        <f>IF(JT643=KJ643,"ok","male")</f>
        <v>ok</v>
      </c>
      <c r="JW643" s="712" t="str">
        <f>IF(JU643=KK643,"ok","female")</f>
        <v>ok</v>
      </c>
      <c r="JX643" s="770">
        <v>1</v>
      </c>
      <c r="JY643" s="770"/>
      <c r="JZ643" s="770">
        <v>1</v>
      </c>
      <c r="KA643" s="770">
        <v>1</v>
      </c>
      <c r="KB643" s="770"/>
      <c r="KC643" s="770">
        <v>1</v>
      </c>
      <c r="KD643" s="770">
        <v>1</v>
      </c>
      <c r="KE643" s="770">
        <v>1</v>
      </c>
      <c r="KF643" s="770"/>
      <c r="KG643" s="770"/>
      <c r="KH643" s="770"/>
      <c r="KI643" s="770"/>
      <c r="KJ643" s="770">
        <f t="shared" si="168"/>
        <v>3</v>
      </c>
      <c r="KK643" s="770">
        <f t="shared" si="168"/>
        <v>3</v>
      </c>
      <c r="KL643" s="712" t="str">
        <f>IF(KJ643=LN643,"ok","male")</f>
        <v>ok</v>
      </c>
      <c r="KM643" s="712" t="str">
        <f>IF(KK643=LO643,"ok","female")</f>
        <v>ok</v>
      </c>
      <c r="KN643" s="770" t="s">
        <v>722</v>
      </c>
      <c r="KO643" s="770"/>
      <c r="KP643" s="770"/>
      <c r="KQ643" s="770"/>
      <c r="KR643" s="770"/>
      <c r="KS643" s="770"/>
      <c r="KT643" s="770"/>
      <c r="KU643" s="770">
        <v>2</v>
      </c>
      <c r="KV643" s="770">
        <v>1</v>
      </c>
      <c r="KW643" s="770">
        <v>1</v>
      </c>
      <c r="KX643" s="770"/>
      <c r="KY643" s="770"/>
      <c r="KZ643" s="770"/>
      <c r="LA643" s="770"/>
      <c r="LB643" s="770"/>
      <c r="LC643" s="770"/>
      <c r="LD643" s="770"/>
      <c r="LE643" s="770"/>
      <c r="LF643" s="770"/>
      <c r="LG643" s="770"/>
      <c r="LH643" s="770"/>
      <c r="LI643" s="770"/>
      <c r="LJ643" s="770">
        <v>2</v>
      </c>
      <c r="LK643" s="770"/>
      <c r="LL643" s="770"/>
      <c r="LM643" s="770"/>
      <c r="LN643" s="766">
        <f>SUM(KP643,KR643,KT643,KV643,KX643,KZ643,LB643,LD643,LF643,LH643,LJ643,LL643)</f>
        <v>3</v>
      </c>
      <c r="LO643" s="766">
        <f>SUM(KQ643,KS643,KU643,KW643,KY643,LA643,LC643,LE643,LG643,LI643,LK643,LM643)</f>
        <v>3</v>
      </c>
      <c r="LP643" s="770">
        <v>1</v>
      </c>
      <c r="LQ643" s="770">
        <v>1</v>
      </c>
      <c r="LR643" s="770"/>
      <c r="LS643" s="770"/>
      <c r="LT643" s="712" t="str">
        <f>IF(LQ643=SUM(LU643:LW643),"OK","REV")</f>
        <v>OK</v>
      </c>
      <c r="LU643" s="770"/>
      <c r="LV643" s="770"/>
      <c r="LW643" s="770">
        <v>1</v>
      </c>
      <c r="LX643" s="769">
        <v>3</v>
      </c>
      <c r="LY643" s="766" t="str">
        <f t="shared" si="187"/>
        <v>within the PROVINCE</v>
      </c>
      <c r="LZ643" s="1709">
        <f>150*20</f>
        <v>3000</v>
      </c>
      <c r="MA643" s="1709"/>
      <c r="MB643" s="1709"/>
      <c r="MC643" s="1679">
        <f t="shared" si="185"/>
        <v>3000</v>
      </c>
      <c r="MD643" s="1709">
        <f>1800*4</f>
        <v>7200</v>
      </c>
      <c r="ME643" s="1709"/>
      <c r="MF643" s="1709"/>
      <c r="MG643" s="1680">
        <f>SUM(MD643:MF643)</f>
        <v>7200</v>
      </c>
      <c r="MH643" s="766" t="s">
        <v>2198</v>
      </c>
      <c r="MI643" s="775">
        <f>200*30</f>
        <v>6000</v>
      </c>
      <c r="MJ643" s="775">
        <f>300*4</f>
        <v>1200</v>
      </c>
      <c r="MK643" s="775"/>
      <c r="ML643" s="775">
        <v>170</v>
      </c>
      <c r="MM643" s="775">
        <f>110*4</f>
        <v>440</v>
      </c>
      <c r="MN643" s="775"/>
      <c r="MO643" s="775"/>
      <c r="MP643" s="775"/>
      <c r="MQ643" s="775">
        <v>100</v>
      </c>
      <c r="MR643" s="775">
        <v>100</v>
      </c>
      <c r="MS643" s="775"/>
      <c r="MT643" s="775"/>
      <c r="MU643" s="775"/>
      <c r="MV643" s="775"/>
      <c r="MW643" s="775"/>
      <c r="MX643" s="775"/>
      <c r="MY643" s="1682">
        <f t="shared" si="200"/>
        <v>8010</v>
      </c>
      <c r="MZ643" s="766" t="s">
        <v>1835</v>
      </c>
      <c r="NA643" s="770" t="s">
        <v>1249</v>
      </c>
      <c r="NB643" s="770" t="s">
        <v>13161</v>
      </c>
      <c r="NC643" s="770" t="s">
        <v>1835</v>
      </c>
      <c r="ND643" s="770">
        <v>0</v>
      </c>
      <c r="NE643" s="770">
        <v>0</v>
      </c>
      <c r="NF643" s="770">
        <v>0</v>
      </c>
      <c r="NG643" s="770">
        <v>0</v>
      </c>
      <c r="NH643" s="770">
        <v>0</v>
      </c>
      <c r="NI643" s="770">
        <v>0</v>
      </c>
      <c r="NJ643" s="770">
        <v>0</v>
      </c>
      <c r="NK643" s="770">
        <v>0</v>
      </c>
      <c r="NL643" s="770">
        <v>0</v>
      </c>
      <c r="NM643" s="770">
        <v>0</v>
      </c>
      <c r="NN643" s="770">
        <v>0</v>
      </c>
      <c r="NO643" s="770">
        <v>0</v>
      </c>
      <c r="NP643" s="770">
        <v>0</v>
      </c>
      <c r="NQ643" s="770">
        <v>0</v>
      </c>
      <c r="NR643" s="770">
        <v>0</v>
      </c>
      <c r="NS643" s="770">
        <v>0</v>
      </c>
      <c r="NT643" s="770">
        <v>0</v>
      </c>
      <c r="NU643" s="770">
        <v>0</v>
      </c>
      <c r="NV643" s="770">
        <v>0</v>
      </c>
      <c r="NW643" s="770">
        <v>0</v>
      </c>
      <c r="NX643" s="770">
        <v>0</v>
      </c>
      <c r="NY643" s="770"/>
      <c r="NZ643" s="770"/>
      <c r="OA643" s="770"/>
      <c r="OB643" s="770"/>
      <c r="OC643" s="770" t="s">
        <v>1208</v>
      </c>
      <c r="OD643" s="770"/>
      <c r="OE643" s="770"/>
      <c r="OF643" s="770"/>
      <c r="OG643" s="770"/>
      <c r="OH643" s="770"/>
      <c r="OI643" s="770"/>
      <c r="OJ643" s="770"/>
      <c r="OK643" s="770"/>
      <c r="OL643" s="770"/>
      <c r="OM643" s="770"/>
      <c r="ON643" s="770"/>
      <c r="OO643" s="770"/>
      <c r="OP643" s="770"/>
      <c r="OQ643" s="770"/>
      <c r="OR643" s="770"/>
      <c r="OS643" s="770"/>
      <c r="OT643" s="770"/>
      <c r="OU643" s="770"/>
      <c r="OV643" s="770"/>
      <c r="OW643" s="770"/>
      <c r="OX643" s="770"/>
      <c r="OY643" s="770"/>
      <c r="OZ643" s="770"/>
      <c r="PA643" s="770"/>
      <c r="PB643" s="770"/>
      <c r="PC643" s="770"/>
      <c r="PD643" s="770"/>
      <c r="PE643" s="770"/>
      <c r="PF643" s="770"/>
      <c r="PG643" s="770"/>
      <c r="PH643" s="770"/>
      <c r="PI643" s="770"/>
      <c r="PJ643" s="770"/>
      <c r="PK643" s="770"/>
      <c r="PL643" s="770"/>
      <c r="PM643" s="770"/>
      <c r="PN643" s="770"/>
      <c r="PO643" s="770"/>
      <c r="PP643" s="770"/>
      <c r="PQ643" s="770"/>
      <c r="PR643" s="770"/>
      <c r="PS643" s="770"/>
      <c r="PT643" s="770"/>
      <c r="PU643" s="770"/>
      <c r="PV643" s="770"/>
      <c r="PW643" s="770"/>
      <c r="PX643" s="770"/>
      <c r="PY643" s="770"/>
      <c r="PZ643" s="770"/>
      <c r="QA643" s="770"/>
      <c r="QB643" s="770"/>
      <c r="QC643" s="770"/>
      <c r="QD643" s="770"/>
      <c r="QE643" s="770"/>
      <c r="QF643" s="770"/>
      <c r="QG643" s="770"/>
      <c r="QH643" s="770"/>
      <c r="QI643" s="770"/>
      <c r="QJ643" s="770"/>
      <c r="QK643" s="770"/>
      <c r="QL643" s="770"/>
      <c r="QM643" s="770"/>
      <c r="QN643" s="770"/>
      <c r="QO643" s="770"/>
      <c r="QP643" s="770"/>
      <c r="QQ643" s="770"/>
      <c r="QR643" s="770"/>
      <c r="QS643" s="770"/>
      <c r="QT643" s="770"/>
      <c r="QU643" s="770"/>
      <c r="QV643" s="770"/>
      <c r="QW643" s="770"/>
      <c r="QX643" s="770"/>
      <c r="QY643" s="770"/>
      <c r="QZ643" s="770"/>
      <c r="RA643" s="770"/>
      <c r="RB643" s="770" t="s">
        <v>1207</v>
      </c>
      <c r="RC643" s="770">
        <v>2016</v>
      </c>
      <c r="RD643" s="770" t="s">
        <v>13646</v>
      </c>
      <c r="RE643" s="770" t="s">
        <v>12999</v>
      </c>
      <c r="RF643" s="304">
        <v>1</v>
      </c>
      <c r="RG643" s="770" t="s">
        <v>13047</v>
      </c>
      <c r="RH643" s="302">
        <v>0</v>
      </c>
      <c r="RI643" s="770">
        <v>5</v>
      </c>
      <c r="RJ643" s="770" t="s">
        <v>4203</v>
      </c>
      <c r="RK643" s="770" t="s">
        <v>13556</v>
      </c>
      <c r="RL643" s="1710">
        <v>42836</v>
      </c>
      <c r="RM643" s="12"/>
      <c r="RN643" s="1711"/>
      <c r="RO643" s="132" t="s">
        <v>4195</v>
      </c>
      <c r="RP643" s="11"/>
      <c r="RQ643" s="11"/>
      <c r="RR643" s="19" t="s">
        <v>7421</v>
      </c>
      <c r="RS643" s="1139" t="s">
        <v>12980</v>
      </c>
      <c r="RT643" s="11"/>
      <c r="RU643" s="11"/>
      <c r="RV643" s="771" t="s">
        <v>7421</v>
      </c>
      <c r="RW643" s="11" t="s">
        <v>7832</v>
      </c>
      <c r="RX643" s="11" t="s">
        <v>4181</v>
      </c>
      <c r="RY643" s="11"/>
      <c r="RZ643" s="11" t="s">
        <v>1101</v>
      </c>
      <c r="SA643" s="771"/>
      <c r="SB643" s="11"/>
      <c r="SC643" s="11"/>
    </row>
    <row r="644" spans="1:497" ht="12.75" customHeight="1">
      <c r="A644" s="19" t="s">
        <v>7421</v>
      </c>
      <c r="B644" s="752" t="s">
        <v>7408</v>
      </c>
      <c r="C644" s="132" t="s">
        <v>4204</v>
      </c>
      <c r="D644" s="94" t="s">
        <v>4207</v>
      </c>
      <c r="E644" s="766" t="s">
        <v>7934</v>
      </c>
      <c r="F644" s="770" t="s">
        <v>28</v>
      </c>
      <c r="G644" s="770" t="s">
        <v>10</v>
      </c>
      <c r="H644" s="770"/>
      <c r="I644" s="295" t="s">
        <v>4208</v>
      </c>
      <c r="J644" s="94" t="s">
        <v>4207</v>
      </c>
      <c r="K644" s="766" t="s">
        <v>4200</v>
      </c>
      <c r="L644" s="766" t="s">
        <v>3938</v>
      </c>
      <c r="M644" s="770" t="s">
        <v>1238</v>
      </c>
      <c r="N644" s="770"/>
      <c r="O644" s="770" t="s">
        <v>4192</v>
      </c>
      <c r="P644" s="94" t="s">
        <v>4209</v>
      </c>
      <c r="Q644" s="1088">
        <v>29046</v>
      </c>
      <c r="R644" s="297">
        <v>38</v>
      </c>
      <c r="S644" s="770" t="s">
        <v>10</v>
      </c>
      <c r="T644" s="770"/>
      <c r="U644" s="295" t="s">
        <v>4208</v>
      </c>
      <c r="V644" s="770" t="s">
        <v>722</v>
      </c>
      <c r="W644" s="770"/>
      <c r="X644" s="770"/>
      <c r="Y644" s="770" t="s">
        <v>4197</v>
      </c>
      <c r="Z644" s="770" t="s">
        <v>708</v>
      </c>
      <c r="AA644" s="770" t="s">
        <v>709</v>
      </c>
      <c r="AB644" s="766" t="s">
        <v>7274</v>
      </c>
      <c r="AC644" s="770" t="s">
        <v>724</v>
      </c>
      <c r="AD644" s="770"/>
      <c r="AE644" s="770"/>
      <c r="AF644" s="770" t="s">
        <v>712</v>
      </c>
      <c r="AG644" s="766" t="s">
        <v>1132</v>
      </c>
      <c r="AH644" s="766" t="s">
        <v>1096</v>
      </c>
      <c r="AI644" s="770"/>
      <c r="AJ644" s="770" t="s">
        <v>1137</v>
      </c>
      <c r="AK644" s="770" t="s">
        <v>1101</v>
      </c>
      <c r="AL644" s="531">
        <v>3.8</v>
      </c>
      <c r="AM644" s="780">
        <v>3.8</v>
      </c>
      <c r="AN644" s="532">
        <f t="shared" si="201"/>
        <v>1</v>
      </c>
      <c r="AO644" s="766" t="s">
        <v>1122</v>
      </c>
      <c r="AP644" s="766"/>
      <c r="AQ644" s="766"/>
      <c r="AR644" s="766"/>
      <c r="AS644" s="770"/>
      <c r="AT644" s="770"/>
      <c r="AU644" s="770"/>
      <c r="AV644" s="770"/>
      <c r="AW644" s="770"/>
      <c r="AX644" s="770"/>
      <c r="AY644" s="770"/>
      <c r="AZ644" s="770"/>
      <c r="BA644" s="770"/>
      <c r="BB644" s="770"/>
      <c r="BC644" s="770"/>
      <c r="BD644" s="770"/>
      <c r="BE644" s="770"/>
      <c r="BF644" s="302"/>
      <c r="BG644" s="302"/>
      <c r="BH644" s="770"/>
      <c r="BI644" s="770"/>
      <c r="BJ644" s="770"/>
      <c r="BK644" s="770" t="s">
        <v>1095</v>
      </c>
      <c r="BL644" s="94" t="s">
        <v>4209</v>
      </c>
      <c r="BM644" s="766" t="s">
        <v>1096</v>
      </c>
      <c r="BN644" s="770" t="s">
        <v>1230</v>
      </c>
      <c r="BO644" s="766" t="s">
        <v>1246</v>
      </c>
      <c r="BP644" s="1109">
        <v>3.8</v>
      </c>
      <c r="BQ644" s="773">
        <v>3.8</v>
      </c>
      <c r="BR644" s="774">
        <f>BQ644/BP644</f>
        <v>1</v>
      </c>
      <c r="BS644" s="766" t="s">
        <v>1257</v>
      </c>
      <c r="BT644" s="766" t="s">
        <v>1326</v>
      </c>
      <c r="BU644" s="766" t="s">
        <v>1264</v>
      </c>
      <c r="BV644" s="770" t="s">
        <v>2432</v>
      </c>
      <c r="BW644" s="770">
        <v>2016</v>
      </c>
      <c r="BX644" s="302"/>
      <c r="BY644" s="770" t="s">
        <v>1207</v>
      </c>
      <c r="BZ644" s="302"/>
      <c r="CA644" s="770"/>
      <c r="CB644" s="770"/>
      <c r="CC644" s="770"/>
      <c r="CD644" s="770"/>
      <c r="CE644" s="770"/>
      <c r="CF644" s="1753"/>
      <c r="CG644" s="1754"/>
      <c r="CH644" s="770"/>
      <c r="CI644" s="770"/>
      <c r="CJ644" s="770"/>
      <c r="CK644" s="770"/>
      <c r="CL644" s="770"/>
      <c r="CM644" s="770"/>
      <c r="CN644" s="770"/>
      <c r="CO644" s="770"/>
      <c r="CP644" s="770"/>
      <c r="CQ644" s="770"/>
      <c r="CR644" s="302"/>
      <c r="CS644" s="770"/>
      <c r="CT644" s="770"/>
      <c r="CU644" s="305"/>
      <c r="CV644" s="770"/>
      <c r="CW644" s="770"/>
      <c r="CX644" s="770"/>
      <c r="CY644" s="770"/>
      <c r="CZ644" s="770"/>
      <c r="DA644" s="306"/>
      <c r="DB644" s="770"/>
      <c r="DC644" s="770"/>
      <c r="DD644" s="770"/>
      <c r="DE644" s="300"/>
      <c r="DF644" s="770"/>
      <c r="DG644" s="770"/>
      <c r="DH644" s="770"/>
      <c r="DI644" s="770"/>
      <c r="DJ644" s="770"/>
      <c r="DK644" s="770"/>
      <c r="DL644" s="770"/>
      <c r="DM644" s="770"/>
      <c r="DN644" s="322"/>
      <c r="DO644" s="770"/>
      <c r="DP644" s="770"/>
      <c r="DQ644" s="770"/>
      <c r="DR644" s="770"/>
      <c r="DS644" s="307"/>
      <c r="DT644" s="12"/>
      <c r="DU644" s="770"/>
      <c r="DV644" s="770"/>
      <c r="DW644" s="306"/>
      <c r="DX644" s="306"/>
      <c r="DY644" s="770"/>
      <c r="DZ644" s="770"/>
      <c r="EA644" s="770"/>
      <c r="EB644" s="770"/>
      <c r="EC644" s="770"/>
      <c r="ED644" s="770"/>
      <c r="EE644" s="770"/>
      <c r="EF644" s="770"/>
      <c r="EG644" s="770"/>
      <c r="EH644" s="770"/>
      <c r="EI644" s="770"/>
      <c r="EJ644" s="770"/>
      <c r="EK644" s="770"/>
      <c r="EL644" s="770"/>
      <c r="EM644" s="770"/>
      <c r="EN644" s="770"/>
      <c r="EO644" s="770"/>
      <c r="EP644" s="94"/>
      <c r="EQ644" s="770"/>
      <c r="ER644" s="770"/>
      <c r="ES644" s="770"/>
      <c r="ET644" s="770"/>
      <c r="EU644" s="770"/>
      <c r="EV644" s="770"/>
      <c r="EW644" s="770"/>
      <c r="EX644" s="770"/>
      <c r="EY644" s="770"/>
      <c r="EZ644" s="770"/>
      <c r="FA644" s="770"/>
      <c r="FB644" s="770"/>
      <c r="FC644" s="770"/>
      <c r="FD644" s="302"/>
      <c r="FE644" s="770"/>
      <c r="FF644" s="770"/>
      <c r="FG644" s="770"/>
      <c r="FH644" s="770" t="s">
        <v>478</v>
      </c>
      <c r="FI644" s="770">
        <v>1</v>
      </c>
      <c r="FJ644" s="770"/>
      <c r="FK644" s="770"/>
      <c r="FL644" s="770"/>
      <c r="FM644" s="302"/>
      <c r="FN644" s="302"/>
      <c r="FO644" s="302"/>
      <c r="FP644" s="766" t="s">
        <v>1602</v>
      </c>
      <c r="FQ644" s="766" t="s">
        <v>1660</v>
      </c>
      <c r="FR644" s="770" t="s">
        <v>1214</v>
      </c>
      <c r="FS644" s="770"/>
      <c r="FT644" s="770"/>
      <c r="FU644" s="770"/>
      <c r="FV644" s="770"/>
      <c r="FW644" s="770"/>
      <c r="FX644" s="770"/>
      <c r="FY644" s="770"/>
      <c r="FZ644" s="770"/>
      <c r="GA644" s="770"/>
      <c r="GB644" s="770" t="s">
        <v>1734</v>
      </c>
      <c r="GC644" s="308"/>
      <c r="GD644" s="297">
        <v>2016</v>
      </c>
      <c r="GE644" s="770" t="s">
        <v>1214</v>
      </c>
      <c r="GF644" s="302"/>
      <c r="GG644" s="302"/>
      <c r="GH644" s="712" t="s">
        <v>1791</v>
      </c>
      <c r="GI644" s="770" t="s">
        <v>2407</v>
      </c>
      <c r="GJ644" s="770" t="s">
        <v>3209</v>
      </c>
      <c r="GK644" s="770" t="s">
        <v>2407</v>
      </c>
      <c r="GL644" s="770"/>
      <c r="GM644" s="770" t="s">
        <v>1835</v>
      </c>
      <c r="GN644" s="299">
        <v>200</v>
      </c>
      <c r="GO644" s="770" t="s">
        <v>2760</v>
      </c>
      <c r="GP644" s="770"/>
      <c r="GQ644" s="770" t="s">
        <v>1208</v>
      </c>
      <c r="GR644" s="770"/>
      <c r="GS644" s="770"/>
      <c r="GT644" s="770"/>
      <c r="GU644" s="770"/>
      <c r="GV644" s="770"/>
      <c r="GW644" s="770" t="s">
        <v>1207</v>
      </c>
      <c r="GX644" s="770"/>
      <c r="GY644" s="770" t="s">
        <v>1208</v>
      </c>
      <c r="GZ644" s="770"/>
      <c r="HA644" s="770" t="s">
        <v>1208</v>
      </c>
      <c r="HB644" s="770" t="s">
        <v>1208</v>
      </c>
      <c r="HC644" s="770" t="s">
        <v>1208</v>
      </c>
      <c r="HD644" s="770" t="s">
        <v>1208</v>
      </c>
      <c r="HE644" s="770" t="s">
        <v>1208</v>
      </c>
      <c r="HF644" s="770"/>
      <c r="HG644" s="770"/>
      <c r="HH644" s="770"/>
      <c r="HI644" s="770" t="s">
        <v>1214</v>
      </c>
      <c r="HJ644" s="770"/>
      <c r="HK644" s="770"/>
      <c r="HL644" s="770" t="s">
        <v>1214</v>
      </c>
      <c r="HM644" s="770"/>
      <c r="HN644" s="770"/>
      <c r="HO644" s="770"/>
      <c r="HP644" s="770"/>
      <c r="HQ644" s="770"/>
      <c r="HR644" s="770"/>
      <c r="HS644" s="770"/>
      <c r="HT644" s="770"/>
      <c r="HU644" s="770"/>
      <c r="HV644" s="770"/>
      <c r="HW644" s="770"/>
      <c r="HX644" s="770"/>
      <c r="HY644" s="770"/>
      <c r="HZ644" s="770"/>
      <c r="IA644" s="770"/>
      <c r="IB644" s="14" t="e">
        <f>IF(#REF!&gt;0,IF(#REF!&lt;=10000,"Y",""),"")</f>
        <v>#REF!</v>
      </c>
      <c r="IC644" s="770"/>
      <c r="ID644" s="770"/>
      <c r="IE644" s="770"/>
      <c r="IF644" s="770"/>
      <c r="IG644" s="770"/>
      <c r="IH644" s="770"/>
      <c r="II644" s="770"/>
      <c r="IJ644" s="770"/>
      <c r="IK644" s="770"/>
      <c r="IL644" s="770"/>
      <c r="IM644" s="770"/>
      <c r="IN644" s="770"/>
      <c r="IO644" s="296"/>
      <c r="IP644" s="770"/>
      <c r="IQ644" s="770"/>
      <c r="IR644" s="770"/>
      <c r="IS644" s="770"/>
      <c r="IT644" s="770"/>
      <c r="IU644" s="770"/>
      <c r="IV644" s="770"/>
      <c r="IW644" s="770"/>
      <c r="IX644" s="770"/>
      <c r="IY644" s="295"/>
      <c r="IZ644" s="770"/>
      <c r="JA644" s="770"/>
      <c r="JB644" s="770"/>
      <c r="JC644" s="770"/>
      <c r="JD644" s="302"/>
      <c r="JE644" s="770"/>
      <c r="JF644" s="770"/>
      <c r="JG644" s="770"/>
      <c r="JH644" s="307"/>
      <c r="JI644" s="712" t="str">
        <f>IF(SUM(JT644,JU644)=JJ644,"ok","review")</f>
        <v>ok</v>
      </c>
      <c r="JJ644" s="770">
        <v>3</v>
      </c>
      <c r="JK644" s="1139" t="s">
        <v>4205</v>
      </c>
      <c r="JL644" s="770"/>
      <c r="JM644" s="770">
        <v>1</v>
      </c>
      <c r="JN644" s="770">
        <v>1</v>
      </c>
      <c r="JO644" s="770">
        <v>1</v>
      </c>
      <c r="JP644" s="770"/>
      <c r="JQ644" s="770"/>
      <c r="JR644" s="770"/>
      <c r="JS644" s="770"/>
      <c r="JT644" s="766">
        <f>SUM(JP644,JN644,JL644,JR644)</f>
        <v>1</v>
      </c>
      <c r="JU644" s="766">
        <f>SUM(JQ644,JO644,JM644,JS644)</f>
        <v>2</v>
      </c>
      <c r="JV644" s="712" t="str">
        <f>IF(JT644=KJ644,"ok","male")</f>
        <v>ok</v>
      </c>
      <c r="JW644" s="712" t="str">
        <f>IF(JU644=KK644,"ok","female")</f>
        <v>ok</v>
      </c>
      <c r="JX644" s="770"/>
      <c r="JY644" s="770"/>
      <c r="JZ644" s="770"/>
      <c r="KA644" s="770">
        <v>1</v>
      </c>
      <c r="KB644" s="770"/>
      <c r="KC644" s="770"/>
      <c r="KD644" s="770">
        <v>1</v>
      </c>
      <c r="KE644" s="770">
        <v>1</v>
      </c>
      <c r="KF644" s="770"/>
      <c r="KG644" s="770"/>
      <c r="KH644" s="770"/>
      <c r="KI644" s="770"/>
      <c r="KJ644" s="770">
        <f t="shared" si="168"/>
        <v>1</v>
      </c>
      <c r="KK644" s="770">
        <f t="shared" si="168"/>
        <v>2</v>
      </c>
      <c r="KL644" s="712" t="str">
        <f>IF(KJ644=LN644,"ok","male")</f>
        <v>ok</v>
      </c>
      <c r="KM644" s="712" t="str">
        <f>IF(KK644=LO644,"ok","female")</f>
        <v>ok</v>
      </c>
      <c r="KN644" s="770" t="s">
        <v>722</v>
      </c>
      <c r="KO644" s="770"/>
      <c r="KP644" s="770"/>
      <c r="KQ644" s="770"/>
      <c r="KR644" s="770"/>
      <c r="KS644" s="770"/>
      <c r="KT644" s="770"/>
      <c r="KU644" s="770">
        <v>1</v>
      </c>
      <c r="KV644" s="770"/>
      <c r="KW644" s="770"/>
      <c r="KX644" s="770">
        <v>1</v>
      </c>
      <c r="KY644" s="770"/>
      <c r="KZ644" s="770"/>
      <c r="LA644" s="770"/>
      <c r="LB644" s="770"/>
      <c r="LC644" s="770">
        <v>1</v>
      </c>
      <c r="LD644" s="770"/>
      <c r="LE644" s="770"/>
      <c r="LF644" s="770"/>
      <c r="LG644" s="770"/>
      <c r="LH644" s="770"/>
      <c r="LI644" s="770"/>
      <c r="LJ644" s="770"/>
      <c r="LK644" s="770"/>
      <c r="LL644" s="770"/>
      <c r="LM644" s="770"/>
      <c r="LN644" s="766">
        <f>SUM(KP644,KR644,KT644,KV644,KX644,KZ644,LB644,LD644,LF644,LH644,LJ644,LL644)</f>
        <v>1</v>
      </c>
      <c r="LO644" s="766">
        <f>SUM(KQ644,KS644,KU644,KW644,KY644,LA644,LC644,LE644,LG644,LI644,LK644,LM644)</f>
        <v>2</v>
      </c>
      <c r="LP644" s="770">
        <v>2</v>
      </c>
      <c r="LQ644" s="770"/>
      <c r="LR644" s="770"/>
      <c r="LS644" s="770">
        <v>2</v>
      </c>
      <c r="LT644" s="712" t="str">
        <f>IF(LQ644=SUM(LU644:LW644),"OK","REV")</f>
        <v>OK</v>
      </c>
      <c r="LU644" s="770"/>
      <c r="LV644" s="770"/>
      <c r="LW644" s="770"/>
      <c r="LX644" s="769">
        <v>3</v>
      </c>
      <c r="LY644" s="766" t="str">
        <f t="shared" si="187"/>
        <v>within the PROVINCE</v>
      </c>
      <c r="LZ644" s="1709">
        <f>SUM(300*30,50*30)</f>
        <v>10500</v>
      </c>
      <c r="MA644" s="1709"/>
      <c r="MB644" s="1709"/>
      <c r="MC644" s="1679">
        <f t="shared" si="185"/>
        <v>10500</v>
      </c>
      <c r="MD644" s="1709"/>
      <c r="ME644" s="1709"/>
      <c r="MF644" s="1709">
        <v>21000</v>
      </c>
      <c r="MG644" s="1680">
        <f>SUM(MD644:MF644)</f>
        <v>21000</v>
      </c>
      <c r="MH644" s="766" t="s">
        <v>2968</v>
      </c>
      <c r="MI644" s="775">
        <f>300*30</f>
        <v>9000</v>
      </c>
      <c r="MJ644" s="775">
        <f>280*30</f>
        <v>8400</v>
      </c>
      <c r="MK644" s="775">
        <f>3000/12</f>
        <v>250</v>
      </c>
      <c r="ML644" s="775">
        <v>6000</v>
      </c>
      <c r="MM644" s="775">
        <v>3000</v>
      </c>
      <c r="MN644" s="775"/>
      <c r="MO644" s="775">
        <v>100</v>
      </c>
      <c r="MP644" s="775">
        <v>300</v>
      </c>
      <c r="MQ644" s="775">
        <f>100*4</f>
        <v>400</v>
      </c>
      <c r="MR644" s="775">
        <f>20*30</f>
        <v>600</v>
      </c>
      <c r="MS644" s="775">
        <v>1500</v>
      </c>
      <c r="MT644" s="775"/>
      <c r="MU644" s="775"/>
      <c r="MV644" s="775"/>
      <c r="MW644" s="775"/>
      <c r="MX644" s="775"/>
      <c r="MY644" s="1682">
        <f t="shared" si="200"/>
        <v>29550</v>
      </c>
      <c r="MZ644" s="770" t="s">
        <v>13395</v>
      </c>
      <c r="NA644" s="770" t="s">
        <v>13005</v>
      </c>
      <c r="NB644" s="770" t="s">
        <v>13092</v>
      </c>
      <c r="NC644" s="770" t="s">
        <v>13848</v>
      </c>
      <c r="ND644" s="770">
        <v>0</v>
      </c>
      <c r="NE644" s="770">
        <v>0</v>
      </c>
      <c r="NF644" s="770">
        <v>0</v>
      </c>
      <c r="NG644" s="770">
        <v>1</v>
      </c>
      <c r="NH644" s="770">
        <v>0</v>
      </c>
      <c r="NI644" s="770">
        <v>1</v>
      </c>
      <c r="NJ644" s="770">
        <v>0</v>
      </c>
      <c r="NK644" s="770">
        <v>0</v>
      </c>
      <c r="NL644" s="770">
        <v>0</v>
      </c>
      <c r="NM644" s="770">
        <v>0</v>
      </c>
      <c r="NN644" s="770">
        <v>0</v>
      </c>
      <c r="NO644" s="770">
        <v>0</v>
      </c>
      <c r="NP644" s="770">
        <v>0</v>
      </c>
      <c r="NQ644" s="770">
        <v>0</v>
      </c>
      <c r="NR644" s="770">
        <v>0</v>
      </c>
      <c r="NS644" s="770">
        <v>0</v>
      </c>
      <c r="NT644" s="770">
        <v>0</v>
      </c>
      <c r="NU644" s="770">
        <v>0</v>
      </c>
      <c r="NV644" s="770">
        <v>0</v>
      </c>
      <c r="NW644" s="770">
        <v>0</v>
      </c>
      <c r="NX644" s="770">
        <v>0</v>
      </c>
      <c r="NY644" s="770"/>
      <c r="NZ644" s="770"/>
      <c r="OA644" s="770"/>
      <c r="OB644" s="770"/>
      <c r="OC644" s="770" t="s">
        <v>1208</v>
      </c>
      <c r="OD644" s="770"/>
      <c r="OE644" s="770"/>
      <c r="OF644" s="770"/>
      <c r="OG644" s="770"/>
      <c r="OH644" s="770"/>
      <c r="OI644" s="770"/>
      <c r="OJ644" s="770"/>
      <c r="OK644" s="770"/>
      <c r="OL644" s="770"/>
      <c r="OM644" s="770"/>
      <c r="ON644" s="770"/>
      <c r="OO644" s="770"/>
      <c r="OP644" s="770"/>
      <c r="OQ644" s="770"/>
      <c r="OR644" s="770"/>
      <c r="OS644" s="770"/>
      <c r="OT644" s="770"/>
      <c r="OU644" s="770"/>
      <c r="OV644" s="770"/>
      <c r="OW644" s="770"/>
      <c r="OX644" s="770"/>
      <c r="OY644" s="770"/>
      <c r="OZ644" s="770"/>
      <c r="PA644" s="770"/>
      <c r="PB644" s="770"/>
      <c r="PC644" s="770"/>
      <c r="PD644" s="770"/>
      <c r="PE644" s="770"/>
      <c r="PF644" s="770"/>
      <c r="PG644" s="770"/>
      <c r="PH644" s="770" t="s">
        <v>1208</v>
      </c>
      <c r="PI644" s="770"/>
      <c r="PJ644" s="770"/>
      <c r="PK644" s="770" t="s">
        <v>1208</v>
      </c>
      <c r="PL644" s="770"/>
      <c r="PM644" s="770"/>
      <c r="PN644" s="770"/>
      <c r="PO644" s="770"/>
      <c r="PP644" s="770"/>
      <c r="PQ644" s="770"/>
      <c r="PR644" s="770"/>
      <c r="PS644" s="770" t="s">
        <v>1208</v>
      </c>
      <c r="PT644" s="770"/>
      <c r="PU644" s="770"/>
      <c r="PV644" s="770"/>
      <c r="PW644" s="770"/>
      <c r="PX644" s="770"/>
      <c r="PY644" s="770"/>
      <c r="PZ644" s="770"/>
      <c r="QA644" s="770"/>
      <c r="QB644" s="770"/>
      <c r="QC644" s="770"/>
      <c r="QD644" s="770"/>
      <c r="QE644" s="770"/>
      <c r="QF644" s="770"/>
      <c r="QG644" s="770"/>
      <c r="QH644" s="770"/>
      <c r="QI644" s="770"/>
      <c r="QJ644" s="770"/>
      <c r="QK644" s="770"/>
      <c r="QL644" s="770"/>
      <c r="QM644" s="770"/>
      <c r="QN644" s="770"/>
      <c r="QO644" s="770"/>
      <c r="QP644" s="770"/>
      <c r="QQ644" s="770"/>
      <c r="QR644" s="770"/>
      <c r="QS644" s="770"/>
      <c r="QT644" s="770"/>
      <c r="QU644" s="770"/>
      <c r="QV644" s="770"/>
      <c r="QW644" s="770"/>
      <c r="QX644" s="770"/>
      <c r="QY644" s="770"/>
      <c r="QZ644" s="770"/>
      <c r="RA644" s="770"/>
      <c r="RB644" s="770" t="s">
        <v>1207</v>
      </c>
      <c r="RC644" s="770">
        <v>2016</v>
      </c>
      <c r="RD644" s="770" t="s">
        <v>13646</v>
      </c>
      <c r="RE644" s="770" t="s">
        <v>12999</v>
      </c>
      <c r="RF644" s="304">
        <v>1</v>
      </c>
      <c r="RG644" s="770" t="s">
        <v>13047</v>
      </c>
      <c r="RH644" s="302">
        <v>100</v>
      </c>
      <c r="RI644" s="770">
        <v>4</v>
      </c>
      <c r="RJ644" s="770" t="s">
        <v>13849</v>
      </c>
      <c r="RK644" s="770" t="s">
        <v>13556</v>
      </c>
      <c r="RL644" s="1710">
        <v>42836</v>
      </c>
      <c r="RM644" s="12"/>
      <c r="RN644" s="1711"/>
      <c r="RO644" s="132" t="s">
        <v>4204</v>
      </c>
      <c r="RP644" s="11"/>
      <c r="RQ644" s="11"/>
      <c r="RR644" s="19" t="s">
        <v>7421</v>
      </c>
      <c r="RS644" s="1139" t="s">
        <v>12980</v>
      </c>
      <c r="RT644" s="11"/>
      <c r="RU644" s="11"/>
      <c r="RV644" s="771" t="s">
        <v>7421</v>
      </c>
      <c r="RW644" s="11" t="s">
        <v>7833</v>
      </c>
      <c r="RX644" s="11" t="s">
        <v>4188</v>
      </c>
      <c r="RY644" s="11"/>
      <c r="RZ644" s="11" t="s">
        <v>1101</v>
      </c>
      <c r="SA644" s="771"/>
      <c r="SB644" s="11"/>
      <c r="SC644" s="11"/>
    </row>
    <row r="645" spans="1:497" ht="12.75" customHeight="1">
      <c r="A645" s="343" t="s">
        <v>7421</v>
      </c>
      <c r="B645" s="752" t="s">
        <v>7834</v>
      </c>
      <c r="C645" s="132" t="s">
        <v>4206</v>
      </c>
      <c r="D645" s="94" t="s">
        <v>4210</v>
      </c>
      <c r="E645" s="766" t="s">
        <v>4237</v>
      </c>
      <c r="F645" s="770" t="s">
        <v>28</v>
      </c>
      <c r="G645" s="770" t="s">
        <v>10</v>
      </c>
      <c r="H645" s="770"/>
      <c r="I645" s="295" t="s">
        <v>4211</v>
      </c>
      <c r="J645" s="94" t="s">
        <v>4210</v>
      </c>
      <c r="K645" s="766" t="s">
        <v>4212</v>
      </c>
      <c r="L645" s="766" t="s">
        <v>4163</v>
      </c>
      <c r="M645" s="770" t="s">
        <v>1238</v>
      </c>
      <c r="N645" s="770"/>
      <c r="O645" s="770" t="s">
        <v>4213</v>
      </c>
      <c r="P645" s="94"/>
      <c r="Q645" s="1088"/>
      <c r="R645" s="297"/>
      <c r="S645" s="770"/>
      <c r="T645" s="770"/>
      <c r="U645" s="295"/>
      <c r="V645" s="770"/>
      <c r="W645" s="770"/>
      <c r="X645" s="770"/>
      <c r="Y645" s="770"/>
      <c r="Z645" s="770"/>
      <c r="AA645" s="770"/>
      <c r="AB645" s="12"/>
      <c r="AC645" s="770"/>
      <c r="AD645" s="770"/>
      <c r="AE645" s="770"/>
      <c r="AF645" s="770"/>
      <c r="AG645" s="766" t="s">
        <v>1132</v>
      </c>
      <c r="AH645" s="766" t="s">
        <v>1096</v>
      </c>
      <c r="AI645" s="770"/>
      <c r="AJ645" s="770" t="s">
        <v>1137</v>
      </c>
      <c r="AK645" s="770" t="s">
        <v>1101</v>
      </c>
      <c r="AL645" s="531">
        <v>22</v>
      </c>
      <c r="AM645" s="780">
        <v>16</v>
      </c>
      <c r="AN645" s="532">
        <f t="shared" si="201"/>
        <v>0.72727272727272729</v>
      </c>
      <c r="AO645" s="766" t="s">
        <v>1105</v>
      </c>
      <c r="AP645" s="766"/>
      <c r="AQ645" s="766"/>
      <c r="AR645" s="766"/>
      <c r="AS645" s="770"/>
      <c r="AT645" s="770"/>
      <c r="AU645" s="770"/>
      <c r="AV645" s="770"/>
      <c r="AW645" s="770"/>
      <c r="AX645" s="770"/>
      <c r="AY645" s="770"/>
      <c r="AZ645" s="770"/>
      <c r="BA645" s="770"/>
      <c r="BB645" s="770"/>
      <c r="BC645" s="770"/>
      <c r="BD645" s="770"/>
      <c r="BE645" s="770"/>
      <c r="BF645" s="302"/>
      <c r="BG645" s="302"/>
      <c r="BH645" s="770"/>
      <c r="BI645" s="770"/>
      <c r="BJ645" s="770"/>
      <c r="BK645" s="770"/>
      <c r="BL645" s="770"/>
      <c r="BM645" s="770"/>
      <c r="BN645" s="770"/>
      <c r="BO645" s="770"/>
      <c r="BP645" s="1109"/>
      <c r="BQ645" s="773"/>
      <c r="BR645" s="774"/>
      <c r="BS645" s="766"/>
      <c r="BT645" s="770"/>
      <c r="BU645" s="770"/>
      <c r="BV645" s="770"/>
      <c r="BW645" s="770"/>
      <c r="BX645" s="302"/>
      <c r="BY645" s="770"/>
      <c r="BZ645" s="302"/>
      <c r="CA645" s="770"/>
      <c r="CB645" s="770" t="s">
        <v>1207</v>
      </c>
      <c r="CC645" s="770"/>
      <c r="CD645" s="770"/>
      <c r="CE645" s="770"/>
      <c r="CF645" s="1753"/>
      <c r="CG645" s="1754"/>
      <c r="CH645" s="770"/>
      <c r="CI645" s="770"/>
      <c r="CJ645" s="770"/>
      <c r="CK645" s="770"/>
      <c r="CL645" s="770"/>
      <c r="CM645" s="770"/>
      <c r="CN645" s="770"/>
      <c r="CO645" s="770"/>
      <c r="CP645" s="770"/>
      <c r="CQ645" s="770"/>
      <c r="CR645" s="302"/>
      <c r="CS645" s="770"/>
      <c r="CT645" s="770"/>
      <c r="CU645" s="305"/>
      <c r="CV645" s="770"/>
      <c r="CW645" s="770"/>
      <c r="CX645" s="770"/>
      <c r="CY645" s="770"/>
      <c r="CZ645" s="770"/>
      <c r="DA645" s="306"/>
      <c r="DB645" s="770"/>
      <c r="DC645" s="770"/>
      <c r="DD645" s="770"/>
      <c r="DE645" s="300"/>
      <c r="DF645" s="770"/>
      <c r="DG645" s="770"/>
      <c r="DH645" s="770"/>
      <c r="DI645" s="770"/>
      <c r="DJ645" s="770"/>
      <c r="DK645" s="770"/>
      <c r="DL645" s="770"/>
      <c r="DM645" s="770"/>
      <c r="DN645" s="322"/>
      <c r="DO645" s="770"/>
      <c r="DP645" s="770"/>
      <c r="DQ645" s="770"/>
      <c r="DR645" s="770"/>
      <c r="DS645" s="307"/>
      <c r="DT645" s="12"/>
      <c r="DU645" s="770"/>
      <c r="DV645" s="770"/>
      <c r="DW645" s="306"/>
      <c r="DX645" s="306"/>
      <c r="DY645" s="770"/>
      <c r="DZ645" s="770"/>
      <c r="EA645" s="770"/>
      <c r="EB645" s="770"/>
      <c r="EC645" s="770"/>
      <c r="ED645" s="770"/>
      <c r="EE645" s="770"/>
      <c r="EF645" s="770"/>
      <c r="EG645" s="770"/>
      <c r="EH645" s="770"/>
      <c r="EI645" s="770"/>
      <c r="EJ645" s="770"/>
      <c r="EK645" s="770"/>
      <c r="EL645" s="770"/>
      <c r="EM645" s="770"/>
      <c r="EN645" s="770"/>
      <c r="EO645" s="770"/>
      <c r="EP645" s="94"/>
      <c r="EQ645" s="770"/>
      <c r="ER645" s="770"/>
      <c r="ES645" s="770"/>
      <c r="ET645" s="770"/>
      <c r="EU645" s="770"/>
      <c r="EV645" s="770"/>
      <c r="EW645" s="770"/>
      <c r="EX645" s="770"/>
      <c r="EY645" s="770"/>
      <c r="EZ645" s="94" t="s">
        <v>4210</v>
      </c>
      <c r="FA645" s="770" t="s">
        <v>4153</v>
      </c>
      <c r="FB645" s="770" t="s">
        <v>1105</v>
      </c>
      <c r="FC645" s="770">
        <v>2016</v>
      </c>
      <c r="FD645" s="302"/>
      <c r="FE645" s="770" t="s">
        <v>4047</v>
      </c>
      <c r="FF645" s="770"/>
      <c r="FG645" s="770" t="s">
        <v>4214</v>
      </c>
      <c r="FH645" s="770"/>
      <c r="FI645" s="770"/>
      <c r="FJ645" s="770"/>
      <c r="FK645" s="770"/>
      <c r="FL645" s="770"/>
      <c r="FM645" s="302"/>
      <c r="FN645" s="302"/>
      <c r="FO645" s="302"/>
      <c r="FP645" s="770"/>
      <c r="FQ645" s="770"/>
      <c r="FR645" s="770"/>
      <c r="FS645" s="770"/>
      <c r="FT645" s="770"/>
      <c r="FU645" s="770"/>
      <c r="FV645" s="770"/>
      <c r="FW645" s="770"/>
      <c r="FX645" s="770"/>
      <c r="FY645" s="770"/>
      <c r="FZ645" s="770"/>
      <c r="GA645" s="770"/>
      <c r="GB645" s="770"/>
      <c r="GC645" s="308"/>
      <c r="GD645" s="297"/>
      <c r="GE645" s="770"/>
      <c r="GF645" s="302"/>
      <c r="GG645" s="302"/>
      <c r="GH645" s="770"/>
      <c r="GI645" s="770"/>
      <c r="GJ645" s="770"/>
      <c r="GK645" s="770"/>
      <c r="GL645" s="770"/>
      <c r="GM645" s="770"/>
      <c r="GN645" s="299"/>
      <c r="GO645" s="770"/>
      <c r="GP645" s="770"/>
      <c r="GQ645" s="770"/>
      <c r="GR645" s="770"/>
      <c r="GS645" s="770"/>
      <c r="GT645" s="770"/>
      <c r="GU645" s="770"/>
      <c r="GV645" s="770"/>
      <c r="GW645" s="770"/>
      <c r="GX645" s="770"/>
      <c r="GY645" s="770"/>
      <c r="GZ645" s="770"/>
      <c r="HA645" s="770"/>
      <c r="HB645" s="770"/>
      <c r="HC645" s="770"/>
      <c r="HD645" s="770"/>
      <c r="HE645" s="770"/>
      <c r="HF645" s="770"/>
      <c r="HG645" s="770"/>
      <c r="HH645" s="770"/>
      <c r="HI645" s="770"/>
      <c r="HJ645" s="770"/>
      <c r="HK645" s="770"/>
      <c r="HL645" s="770"/>
      <c r="HM645" s="770"/>
      <c r="HN645" s="770"/>
      <c r="HO645" s="770"/>
      <c r="HP645" s="770"/>
      <c r="HQ645" s="770"/>
      <c r="HR645" s="770"/>
      <c r="HS645" s="770"/>
      <c r="HT645" s="770"/>
      <c r="HU645" s="770"/>
      <c r="HV645" s="770"/>
      <c r="HW645" s="770"/>
      <c r="HX645" s="770"/>
      <c r="HY645" s="770"/>
      <c r="HZ645" s="770"/>
      <c r="IA645" s="770"/>
      <c r="IB645" s="770"/>
      <c r="IC645" s="770"/>
      <c r="ID645" s="770"/>
      <c r="IE645" s="770"/>
      <c r="IF645" s="770"/>
      <c r="IG645" s="770"/>
      <c r="IH645" s="770"/>
      <c r="II645" s="770"/>
      <c r="IJ645" s="770"/>
      <c r="IK645" s="770"/>
      <c r="IL645" s="770"/>
      <c r="IM645" s="770"/>
      <c r="IN645" s="770"/>
      <c r="IO645" s="296"/>
      <c r="IP645" s="770"/>
      <c r="IQ645" s="770"/>
      <c r="IR645" s="770"/>
      <c r="IS645" s="770"/>
      <c r="IT645" s="770"/>
      <c r="IU645" s="770"/>
      <c r="IV645" s="770"/>
      <c r="IW645" s="770"/>
      <c r="IX645" s="770"/>
      <c r="IY645" s="295"/>
      <c r="IZ645" s="770"/>
      <c r="JA645" s="770"/>
      <c r="JB645" s="770"/>
      <c r="JC645" s="770"/>
      <c r="JD645" s="302"/>
      <c r="JE645" s="770"/>
      <c r="JF645" s="770"/>
      <c r="JG645" s="770"/>
      <c r="JH645" s="307"/>
      <c r="JI645" s="307"/>
      <c r="JJ645" s="770"/>
      <c r="JK645" s="770"/>
      <c r="JL645" s="770"/>
      <c r="JM645" s="770"/>
      <c r="JN645" s="770"/>
      <c r="JO645" s="770"/>
      <c r="JP645" s="770"/>
      <c r="JQ645" s="770"/>
      <c r="JR645" s="770"/>
      <c r="JS645" s="770"/>
      <c r="JT645" s="766"/>
      <c r="JU645" s="766"/>
      <c r="JV645" s="766"/>
      <c r="JW645" s="766"/>
      <c r="JX645" s="770"/>
      <c r="JY645" s="770"/>
      <c r="JZ645" s="770"/>
      <c r="KA645" s="770"/>
      <c r="KB645" s="770"/>
      <c r="KC645" s="770"/>
      <c r="KD645" s="770"/>
      <c r="KE645" s="770"/>
      <c r="KF645" s="770"/>
      <c r="KG645" s="770"/>
      <c r="KH645" s="770"/>
      <c r="KI645" s="770"/>
      <c r="KJ645" s="770"/>
      <c r="KK645" s="770"/>
      <c r="KL645" s="770"/>
      <c r="KM645" s="770"/>
      <c r="KN645" s="770"/>
      <c r="KO645" s="770"/>
      <c r="KP645" s="770"/>
      <c r="KQ645" s="770"/>
      <c r="KR645" s="770"/>
      <c r="KS645" s="770"/>
      <c r="KT645" s="770"/>
      <c r="KU645" s="770"/>
      <c r="KV645" s="770"/>
      <c r="KW645" s="770"/>
      <c r="KX645" s="770"/>
      <c r="KY645" s="770"/>
      <c r="KZ645" s="770"/>
      <c r="LA645" s="770"/>
      <c r="LB645" s="770"/>
      <c r="LC645" s="770"/>
      <c r="LD645" s="770"/>
      <c r="LE645" s="770"/>
      <c r="LF645" s="770"/>
      <c r="LG645" s="770"/>
      <c r="LH645" s="770"/>
      <c r="LI645" s="770"/>
      <c r="LJ645" s="770"/>
      <c r="LK645" s="770"/>
      <c r="LL645" s="770"/>
      <c r="LM645" s="770"/>
      <c r="LN645" s="766"/>
      <c r="LO645" s="766"/>
      <c r="LP645" s="770"/>
      <c r="LQ645" s="770"/>
      <c r="LR645" s="770"/>
      <c r="LS645" s="770"/>
      <c r="LT645" s="770"/>
      <c r="LU645" s="770"/>
      <c r="LV645" s="770"/>
      <c r="LW645" s="770"/>
      <c r="LX645" s="769"/>
      <c r="LY645" s="766" t="str">
        <f t="shared" si="187"/>
        <v/>
      </c>
      <c r="LZ645" s="1709"/>
      <c r="MA645" s="1709"/>
      <c r="MB645" s="1709"/>
      <c r="MC645" s="1679">
        <f t="shared" si="185"/>
        <v>0</v>
      </c>
      <c r="MD645" s="1709"/>
      <c r="ME645" s="1709"/>
      <c r="MF645" s="1709"/>
      <c r="MG645" s="1680">
        <f t="shared" si="199"/>
        <v>0</v>
      </c>
      <c r="MH645" s="770"/>
      <c r="MI645" s="775"/>
      <c r="MJ645" s="775"/>
      <c r="MK645" s="775"/>
      <c r="ML645" s="775"/>
      <c r="MM645" s="775"/>
      <c r="MN645" s="775"/>
      <c r="MO645" s="775"/>
      <c r="MP645" s="775"/>
      <c r="MQ645" s="775"/>
      <c r="MR645" s="775"/>
      <c r="MS645" s="775"/>
      <c r="MT645" s="775"/>
      <c r="MU645" s="775"/>
      <c r="MV645" s="775"/>
      <c r="MW645" s="775"/>
      <c r="MX645" s="775"/>
      <c r="MY645" s="1682">
        <f t="shared" si="200"/>
        <v>0</v>
      </c>
      <c r="MZ645" s="770"/>
      <c r="NA645" s="770"/>
      <c r="NB645" s="770"/>
      <c r="NC645" s="770"/>
      <c r="ND645" s="770"/>
      <c r="NE645" s="770"/>
      <c r="NF645" s="770"/>
      <c r="NG645" s="770"/>
      <c r="NH645" s="770"/>
      <c r="NI645" s="770"/>
      <c r="NJ645" s="770"/>
      <c r="NK645" s="770"/>
      <c r="NL645" s="770"/>
      <c r="NM645" s="770"/>
      <c r="NN645" s="770"/>
      <c r="NO645" s="770"/>
      <c r="NP645" s="770"/>
      <c r="NQ645" s="770"/>
      <c r="NR645" s="770"/>
      <c r="NS645" s="770"/>
      <c r="NT645" s="770"/>
      <c r="NU645" s="770"/>
      <c r="NV645" s="770"/>
      <c r="NW645" s="770"/>
      <c r="NX645" s="770"/>
      <c r="NY645" s="770"/>
      <c r="NZ645" s="770"/>
      <c r="OA645" s="770"/>
      <c r="OB645" s="770"/>
      <c r="OC645" s="770"/>
      <c r="OD645" s="770"/>
      <c r="OE645" s="770"/>
      <c r="OF645" s="770"/>
      <c r="OG645" s="770"/>
      <c r="OH645" s="770"/>
      <c r="OI645" s="770"/>
      <c r="OJ645" s="770"/>
      <c r="OK645" s="770"/>
      <c r="OL645" s="770"/>
      <c r="OM645" s="770"/>
      <c r="ON645" s="770"/>
      <c r="OO645" s="770"/>
      <c r="OP645" s="770"/>
      <c r="OQ645" s="770"/>
      <c r="OR645" s="770"/>
      <c r="OS645" s="770"/>
      <c r="OT645" s="770"/>
      <c r="OU645" s="770"/>
      <c r="OV645" s="770"/>
      <c r="OW645" s="770"/>
      <c r="OX645" s="770"/>
      <c r="OY645" s="770"/>
      <c r="OZ645" s="770"/>
      <c r="PA645" s="770"/>
      <c r="PB645" s="770"/>
      <c r="PC645" s="770"/>
      <c r="PD645" s="770"/>
      <c r="PE645" s="770"/>
      <c r="PF645" s="770"/>
      <c r="PG645" s="770"/>
      <c r="PH645" s="770"/>
      <c r="PI645" s="770"/>
      <c r="PJ645" s="770"/>
      <c r="PK645" s="770"/>
      <c r="PL645" s="770"/>
      <c r="PM645" s="770"/>
      <c r="PN645" s="770"/>
      <c r="PO645" s="770"/>
      <c r="PP645" s="770"/>
      <c r="PQ645" s="770"/>
      <c r="PR645" s="770"/>
      <c r="PS645" s="770"/>
      <c r="PT645" s="770"/>
      <c r="PU645" s="770"/>
      <c r="PV645" s="770"/>
      <c r="PW645" s="770"/>
      <c r="PX645" s="770"/>
      <c r="PY645" s="770"/>
      <c r="PZ645" s="770"/>
      <c r="QA645" s="770"/>
      <c r="QB645" s="770"/>
      <c r="QC645" s="770"/>
      <c r="QD645" s="770"/>
      <c r="QE645" s="770"/>
      <c r="QF645" s="770"/>
      <c r="QG645" s="770"/>
      <c r="QH645" s="770"/>
      <c r="QI645" s="770"/>
      <c r="QJ645" s="770"/>
      <c r="QK645" s="770"/>
      <c r="QL645" s="770"/>
      <c r="QM645" s="770"/>
      <c r="QN645" s="770"/>
      <c r="QO645" s="770"/>
      <c r="QP645" s="770"/>
      <c r="QQ645" s="770"/>
      <c r="QR645" s="770"/>
      <c r="QS645" s="770"/>
      <c r="QT645" s="770"/>
      <c r="QU645" s="770"/>
      <c r="QV645" s="770"/>
      <c r="QW645" s="770"/>
      <c r="QX645" s="770"/>
      <c r="QY645" s="770"/>
      <c r="QZ645" s="770"/>
      <c r="RA645" s="770"/>
      <c r="RB645" s="770"/>
      <c r="RC645" s="770"/>
      <c r="RD645" s="770"/>
      <c r="RE645" s="770"/>
      <c r="RF645" s="304"/>
      <c r="RG645" s="770"/>
      <c r="RH645" s="302"/>
      <c r="RI645" s="770"/>
      <c r="RJ645" s="770" t="s">
        <v>13850</v>
      </c>
      <c r="RK645" s="770" t="s">
        <v>13544</v>
      </c>
      <c r="RL645" s="1710">
        <v>42836</v>
      </c>
      <c r="RM645" s="12"/>
      <c r="RN645" s="1711"/>
      <c r="RO645" s="132" t="s">
        <v>4206</v>
      </c>
      <c r="RP645" s="11"/>
      <c r="RQ645" s="11"/>
      <c r="RR645" s="17"/>
      <c r="RS645" s="767"/>
      <c r="RT645" s="11"/>
      <c r="RU645" s="11"/>
      <c r="RV645" s="771" t="s">
        <v>7421</v>
      </c>
      <c r="RW645" s="11" t="s">
        <v>7409</v>
      </c>
      <c r="RX645" s="11" t="s">
        <v>4195</v>
      </c>
      <c r="RY645" s="11"/>
      <c r="RZ645" s="11" t="s">
        <v>1101</v>
      </c>
      <c r="SA645" s="771"/>
      <c r="SB645" s="11"/>
      <c r="SC645" s="11"/>
    </row>
    <row r="646" spans="1:497" ht="12.75" customHeight="1">
      <c r="A646" s="19" t="s">
        <v>7421</v>
      </c>
      <c r="B646" s="752" t="s">
        <v>7835</v>
      </c>
      <c r="C646" s="132" t="s">
        <v>4215</v>
      </c>
      <c r="D646" s="94" t="s">
        <v>4216</v>
      </c>
      <c r="E646" s="766" t="s">
        <v>4236</v>
      </c>
      <c r="F646" s="770" t="s">
        <v>28</v>
      </c>
      <c r="G646" s="770" t="s">
        <v>10</v>
      </c>
      <c r="H646" s="770"/>
      <c r="I646" s="295" t="s">
        <v>4217</v>
      </c>
      <c r="J646" s="94" t="s">
        <v>4216</v>
      </c>
      <c r="K646" s="766" t="s">
        <v>4218</v>
      </c>
      <c r="L646" s="766" t="s">
        <v>4075</v>
      </c>
      <c r="M646" s="770" t="s">
        <v>1238</v>
      </c>
      <c r="N646" s="770"/>
      <c r="O646" s="770" t="s">
        <v>4213</v>
      </c>
      <c r="P646" s="94"/>
      <c r="Q646" s="1088"/>
      <c r="R646" s="297"/>
      <c r="S646" s="770"/>
      <c r="T646" s="770"/>
      <c r="U646" s="295"/>
      <c r="V646" s="770"/>
      <c r="W646" s="770"/>
      <c r="X646" s="770"/>
      <c r="Y646" s="770"/>
      <c r="Z646" s="770"/>
      <c r="AA646" s="770"/>
      <c r="AB646" s="12"/>
      <c r="AC646" s="770"/>
      <c r="AD646" s="770"/>
      <c r="AE646" s="770"/>
      <c r="AF646" s="770"/>
      <c r="AG646" s="766" t="s">
        <v>1132</v>
      </c>
      <c r="AH646" s="766" t="s">
        <v>1096</v>
      </c>
      <c r="AI646" s="770"/>
      <c r="AJ646" s="770" t="s">
        <v>1137</v>
      </c>
      <c r="AK646" s="770" t="s">
        <v>1101</v>
      </c>
      <c r="AL646" s="531">
        <v>19.8</v>
      </c>
      <c r="AM646" s="780">
        <v>14.4</v>
      </c>
      <c r="AN646" s="532">
        <f t="shared" si="201"/>
        <v>0.72727272727272729</v>
      </c>
      <c r="AO646" s="766" t="s">
        <v>1105</v>
      </c>
      <c r="AP646" s="766"/>
      <c r="AQ646" s="766"/>
      <c r="AR646" s="766"/>
      <c r="AS646" s="770"/>
      <c r="AT646" s="770"/>
      <c r="AU646" s="770"/>
      <c r="AV646" s="770"/>
      <c r="AW646" s="770"/>
      <c r="AX646" s="770"/>
      <c r="AY646" s="770"/>
      <c r="AZ646" s="770"/>
      <c r="BA646" s="770"/>
      <c r="BB646" s="770"/>
      <c r="BC646" s="770"/>
      <c r="BD646" s="770"/>
      <c r="BE646" s="770"/>
      <c r="BF646" s="302"/>
      <c r="BG646" s="302"/>
      <c r="BH646" s="770"/>
      <c r="BI646" s="770"/>
      <c r="BJ646" s="770"/>
      <c r="BK646" s="770"/>
      <c r="BL646" s="770"/>
      <c r="BM646" s="770"/>
      <c r="BN646" s="770"/>
      <c r="BO646" s="770"/>
      <c r="BP646" s="765"/>
      <c r="BQ646" s="773"/>
      <c r="BR646" s="774"/>
      <c r="BS646" s="766"/>
      <c r="BT646" s="770"/>
      <c r="BU646" s="770"/>
      <c r="BV646" s="770"/>
      <c r="BW646" s="770"/>
      <c r="BX646" s="302"/>
      <c r="BY646" s="770"/>
      <c r="BZ646" s="302"/>
      <c r="CA646" s="770"/>
      <c r="CB646" s="770" t="s">
        <v>1207</v>
      </c>
      <c r="CC646" s="770" t="s">
        <v>4219</v>
      </c>
      <c r="CD646" s="770">
        <v>2012</v>
      </c>
      <c r="CE646" s="770"/>
      <c r="CF646" s="1753">
        <v>1</v>
      </c>
      <c r="CG646" s="1754">
        <v>6</v>
      </c>
      <c r="CH646" s="770" t="s">
        <v>4220</v>
      </c>
      <c r="CI646" s="770"/>
      <c r="CJ646" s="770" t="s">
        <v>2545</v>
      </c>
      <c r="CK646" s="770">
        <v>7</v>
      </c>
      <c r="CL646" s="770"/>
      <c r="CM646" s="770" t="s">
        <v>3399</v>
      </c>
      <c r="CN646" s="770"/>
      <c r="CO646" s="770" t="s">
        <v>1257</v>
      </c>
      <c r="CP646" s="770"/>
      <c r="CQ646" s="770"/>
      <c r="CR646" s="302"/>
      <c r="CS646" s="770"/>
      <c r="CT646" s="770"/>
      <c r="CU646" s="305"/>
      <c r="CV646" s="770"/>
      <c r="CW646" s="770"/>
      <c r="CX646" s="770"/>
      <c r="CY646" s="770"/>
      <c r="CZ646" s="770"/>
      <c r="DA646" s="306"/>
      <c r="DB646" s="770"/>
      <c r="DC646" s="770"/>
      <c r="DD646" s="770"/>
      <c r="DE646" s="300"/>
      <c r="DF646" s="770"/>
      <c r="DG646" s="770"/>
      <c r="DH646" s="770"/>
      <c r="DI646" s="770"/>
      <c r="DJ646" s="770"/>
      <c r="DK646" s="770"/>
      <c r="DL646" s="770"/>
      <c r="DM646" s="770"/>
      <c r="DN646" s="322"/>
      <c r="DO646" s="770"/>
      <c r="DP646" s="770"/>
      <c r="DQ646" s="770"/>
      <c r="DR646" s="770"/>
      <c r="DS646" s="307"/>
      <c r="DT646" s="12"/>
      <c r="DU646" s="770"/>
      <c r="DV646" s="770"/>
      <c r="DW646" s="306"/>
      <c r="DX646" s="306"/>
      <c r="DY646" s="770"/>
      <c r="DZ646" s="770"/>
      <c r="EA646" s="770"/>
      <c r="EB646" s="770"/>
      <c r="EC646" s="770"/>
      <c r="ED646" s="770"/>
      <c r="EE646" s="770"/>
      <c r="EF646" s="770"/>
      <c r="EG646" s="770"/>
      <c r="EH646" s="770"/>
      <c r="EI646" s="770"/>
      <c r="EJ646" s="770"/>
      <c r="EK646" s="770"/>
      <c r="EL646" s="770"/>
      <c r="EM646" s="770"/>
      <c r="EN646" s="770"/>
      <c r="EO646" s="770"/>
      <c r="EP646" s="94"/>
      <c r="EQ646" s="770"/>
      <c r="ER646" s="770"/>
      <c r="ES646" s="770"/>
      <c r="ET646" s="770"/>
      <c r="EU646" s="770"/>
      <c r="EV646" s="770"/>
      <c r="EW646" s="770"/>
      <c r="EX646" s="770"/>
      <c r="EY646" s="770"/>
      <c r="EZ646" s="770" t="s">
        <v>4219</v>
      </c>
      <c r="FA646" s="770" t="s">
        <v>4153</v>
      </c>
      <c r="FB646" s="770" t="s">
        <v>1105</v>
      </c>
      <c r="FC646" s="770">
        <v>2012</v>
      </c>
      <c r="FD646" s="131"/>
      <c r="FE646" s="770" t="s">
        <v>4047</v>
      </c>
      <c r="FF646" s="770"/>
      <c r="FG646" s="770" t="s">
        <v>4221</v>
      </c>
      <c r="FH646" s="770"/>
      <c r="FI646" s="770"/>
      <c r="FJ646" s="770"/>
      <c r="FK646" s="770"/>
      <c r="FL646" s="770"/>
      <c r="FM646" s="302"/>
      <c r="FN646" s="302"/>
      <c r="FO646" s="302"/>
      <c r="FP646" s="770"/>
      <c r="FQ646" s="770"/>
      <c r="FR646" s="770" t="s">
        <v>1214</v>
      </c>
      <c r="FS646" s="770"/>
      <c r="FT646" s="770"/>
      <c r="FU646" s="770"/>
      <c r="FV646" s="770"/>
      <c r="FW646" s="770"/>
      <c r="FX646" s="770"/>
      <c r="FY646" s="770"/>
      <c r="FZ646" s="770"/>
      <c r="GA646" s="770"/>
      <c r="GB646" s="770" t="s">
        <v>1734</v>
      </c>
      <c r="GC646" s="308"/>
      <c r="GD646" s="297">
        <v>2012</v>
      </c>
      <c r="GE646" s="770"/>
      <c r="GF646" s="302"/>
      <c r="GG646" s="302"/>
      <c r="GH646" s="770"/>
      <c r="GI646" s="770"/>
      <c r="GJ646" s="770"/>
      <c r="GK646" s="770"/>
      <c r="GL646" s="770"/>
      <c r="GM646" s="770"/>
      <c r="GN646" s="299"/>
      <c r="GO646" s="770"/>
      <c r="GP646" s="770"/>
      <c r="GQ646" s="770"/>
      <c r="GR646" s="770"/>
      <c r="GS646" s="770"/>
      <c r="GT646" s="770"/>
      <c r="GU646" s="770"/>
      <c r="GV646" s="770"/>
      <c r="GW646" s="770"/>
      <c r="GX646" s="770"/>
      <c r="GY646" s="770"/>
      <c r="GZ646" s="770"/>
      <c r="HA646" s="770"/>
      <c r="HB646" s="770"/>
      <c r="HC646" s="770"/>
      <c r="HD646" s="770"/>
      <c r="HE646" s="770"/>
      <c r="HF646" s="770"/>
      <c r="HG646" s="770"/>
      <c r="HH646" s="770"/>
      <c r="HI646" s="770"/>
      <c r="HJ646" s="770"/>
      <c r="HK646" s="770"/>
      <c r="HL646" s="770"/>
      <c r="HM646" s="770"/>
      <c r="HN646" s="770"/>
      <c r="HO646" s="770"/>
      <c r="HP646" s="770"/>
      <c r="HQ646" s="770"/>
      <c r="HR646" s="770"/>
      <c r="HS646" s="770"/>
      <c r="HT646" s="770"/>
      <c r="HU646" s="770"/>
      <c r="HV646" s="770"/>
      <c r="HW646" s="770"/>
      <c r="HX646" s="770"/>
      <c r="HY646" s="770"/>
      <c r="HZ646" s="770"/>
      <c r="IA646" s="770"/>
      <c r="IB646" s="770"/>
      <c r="IC646" s="770"/>
      <c r="ID646" s="770"/>
      <c r="IE646" s="770"/>
      <c r="IF646" s="770"/>
      <c r="IG646" s="770"/>
      <c r="IH646" s="770"/>
      <c r="II646" s="770"/>
      <c r="IJ646" s="770"/>
      <c r="IK646" s="770"/>
      <c r="IL646" s="770"/>
      <c r="IM646" s="770"/>
      <c r="IN646" s="770"/>
      <c r="IO646" s="296"/>
      <c r="IP646" s="770"/>
      <c r="IQ646" s="770"/>
      <c r="IR646" s="770"/>
      <c r="IS646" s="770"/>
      <c r="IT646" s="770"/>
      <c r="IU646" s="770"/>
      <c r="IV646" s="770"/>
      <c r="IW646" s="770"/>
      <c r="IX646" s="770"/>
      <c r="IY646" s="295"/>
      <c r="IZ646" s="770"/>
      <c r="JA646" s="770"/>
      <c r="JB646" s="770"/>
      <c r="JC646" s="770"/>
      <c r="JD646" s="302"/>
      <c r="JE646" s="770"/>
      <c r="JF646" s="770"/>
      <c r="JG646" s="770"/>
      <c r="JH646" s="307"/>
      <c r="JI646" s="307"/>
      <c r="JJ646" s="770"/>
      <c r="JK646" s="770"/>
      <c r="JL646" s="770"/>
      <c r="JM646" s="770"/>
      <c r="JN646" s="770"/>
      <c r="JO646" s="770"/>
      <c r="JP646" s="770"/>
      <c r="JQ646" s="770"/>
      <c r="JR646" s="770"/>
      <c r="JS646" s="770"/>
      <c r="JT646" s="766"/>
      <c r="JU646" s="766"/>
      <c r="JV646" s="766"/>
      <c r="JW646" s="766"/>
      <c r="JX646" s="770"/>
      <c r="JY646" s="770"/>
      <c r="JZ646" s="770"/>
      <c r="KA646" s="770"/>
      <c r="KB646" s="770"/>
      <c r="KC646" s="770"/>
      <c r="KD646" s="770"/>
      <c r="KE646" s="770"/>
      <c r="KF646" s="770"/>
      <c r="KG646" s="770"/>
      <c r="KH646" s="770"/>
      <c r="KI646" s="770"/>
      <c r="KJ646" s="770"/>
      <c r="KK646" s="770"/>
      <c r="KL646" s="770"/>
      <c r="KM646" s="770"/>
      <c r="KN646" s="770"/>
      <c r="KO646" s="770"/>
      <c r="KP646" s="770"/>
      <c r="KQ646" s="770"/>
      <c r="KR646" s="770"/>
      <c r="KS646" s="770"/>
      <c r="KT646" s="770"/>
      <c r="KU646" s="770"/>
      <c r="KV646" s="770"/>
      <c r="KW646" s="770"/>
      <c r="KX646" s="770"/>
      <c r="KY646" s="770"/>
      <c r="KZ646" s="770"/>
      <c r="LA646" s="770"/>
      <c r="LB646" s="770"/>
      <c r="LC646" s="770"/>
      <c r="LD646" s="770"/>
      <c r="LE646" s="770"/>
      <c r="LF646" s="770"/>
      <c r="LG646" s="770"/>
      <c r="LH646" s="770"/>
      <c r="LI646" s="770"/>
      <c r="LJ646" s="770"/>
      <c r="LK646" s="770"/>
      <c r="LL646" s="770"/>
      <c r="LM646" s="770"/>
      <c r="LN646" s="766"/>
      <c r="LO646" s="766"/>
      <c r="LP646" s="770"/>
      <c r="LQ646" s="770"/>
      <c r="LR646" s="770"/>
      <c r="LS646" s="770"/>
      <c r="LT646" s="770"/>
      <c r="LU646" s="770"/>
      <c r="LV646" s="770"/>
      <c r="LW646" s="770"/>
      <c r="LX646" s="769"/>
      <c r="LY646" s="766" t="str">
        <f t="shared" si="187"/>
        <v/>
      </c>
      <c r="LZ646" s="1709"/>
      <c r="MA646" s="1709"/>
      <c r="MB646" s="1709"/>
      <c r="MC646" s="1679">
        <f t="shared" si="185"/>
        <v>0</v>
      </c>
      <c r="MD646" s="1709"/>
      <c r="ME646" s="1709"/>
      <c r="MF646" s="1709"/>
      <c r="MG646" s="1680">
        <f t="shared" si="199"/>
        <v>0</v>
      </c>
      <c r="MH646" s="770"/>
      <c r="MI646" s="775"/>
      <c r="MJ646" s="775"/>
      <c r="MK646" s="775"/>
      <c r="ML646" s="775"/>
      <c r="MM646" s="775"/>
      <c r="MN646" s="775"/>
      <c r="MO646" s="775"/>
      <c r="MP646" s="775"/>
      <c r="MQ646" s="775"/>
      <c r="MR646" s="775"/>
      <c r="MS646" s="775"/>
      <c r="MT646" s="775"/>
      <c r="MU646" s="775"/>
      <c r="MV646" s="775"/>
      <c r="MW646" s="775"/>
      <c r="MX646" s="775"/>
      <c r="MY646" s="1682">
        <f t="shared" si="200"/>
        <v>0</v>
      </c>
      <c r="MZ646" s="770"/>
      <c r="NA646" s="770"/>
      <c r="NB646" s="770"/>
      <c r="NC646" s="770"/>
      <c r="ND646" s="770"/>
      <c r="NE646" s="770"/>
      <c r="NF646" s="770"/>
      <c r="NG646" s="770"/>
      <c r="NH646" s="770"/>
      <c r="NI646" s="770"/>
      <c r="NJ646" s="770"/>
      <c r="NK646" s="770"/>
      <c r="NL646" s="770"/>
      <c r="NM646" s="770"/>
      <c r="NN646" s="770"/>
      <c r="NO646" s="770"/>
      <c r="NP646" s="770"/>
      <c r="NQ646" s="770"/>
      <c r="NR646" s="770"/>
      <c r="NS646" s="770"/>
      <c r="NT646" s="770"/>
      <c r="NU646" s="770"/>
      <c r="NV646" s="770"/>
      <c r="NW646" s="770"/>
      <c r="NX646" s="770"/>
      <c r="NY646" s="770"/>
      <c r="NZ646" s="770"/>
      <c r="OA646" s="770"/>
      <c r="OB646" s="770"/>
      <c r="OC646" s="770"/>
      <c r="OD646" s="770"/>
      <c r="OE646" s="770"/>
      <c r="OF646" s="770"/>
      <c r="OG646" s="770"/>
      <c r="OH646" s="770"/>
      <c r="OI646" s="770"/>
      <c r="OJ646" s="770"/>
      <c r="OK646" s="770"/>
      <c r="OL646" s="770"/>
      <c r="OM646" s="770"/>
      <c r="ON646" s="770"/>
      <c r="OO646" s="770"/>
      <c r="OP646" s="770"/>
      <c r="OQ646" s="770"/>
      <c r="OR646" s="770"/>
      <c r="OS646" s="770"/>
      <c r="OT646" s="770"/>
      <c r="OU646" s="770"/>
      <c r="OV646" s="770"/>
      <c r="OW646" s="770"/>
      <c r="OX646" s="770"/>
      <c r="OY646" s="770"/>
      <c r="OZ646" s="770"/>
      <c r="PA646" s="770"/>
      <c r="PB646" s="770"/>
      <c r="PC646" s="770"/>
      <c r="PD646" s="770"/>
      <c r="PE646" s="770"/>
      <c r="PF646" s="770"/>
      <c r="PG646" s="770"/>
      <c r="PH646" s="770"/>
      <c r="PI646" s="770"/>
      <c r="PJ646" s="770"/>
      <c r="PK646" s="770"/>
      <c r="PL646" s="770"/>
      <c r="PM646" s="770"/>
      <c r="PN646" s="770"/>
      <c r="PO646" s="770"/>
      <c r="PP646" s="770"/>
      <c r="PQ646" s="770"/>
      <c r="PR646" s="770"/>
      <c r="PS646" s="770"/>
      <c r="PT646" s="770"/>
      <c r="PU646" s="770"/>
      <c r="PV646" s="770"/>
      <c r="PW646" s="770"/>
      <c r="PX646" s="770"/>
      <c r="PY646" s="770"/>
      <c r="PZ646" s="770"/>
      <c r="QA646" s="770"/>
      <c r="QB646" s="770"/>
      <c r="QC646" s="770"/>
      <c r="QD646" s="770"/>
      <c r="QE646" s="770"/>
      <c r="QF646" s="770"/>
      <c r="QG646" s="770"/>
      <c r="QH646" s="770"/>
      <c r="QI646" s="770"/>
      <c r="QJ646" s="770"/>
      <c r="QK646" s="770"/>
      <c r="QL646" s="770"/>
      <c r="QM646" s="770"/>
      <c r="QN646" s="770"/>
      <c r="QO646" s="770"/>
      <c r="QP646" s="770"/>
      <c r="QQ646" s="770"/>
      <c r="QR646" s="770"/>
      <c r="QS646" s="770"/>
      <c r="QT646" s="770"/>
      <c r="QU646" s="770"/>
      <c r="QV646" s="770"/>
      <c r="QW646" s="770"/>
      <c r="QX646" s="770"/>
      <c r="QY646" s="770"/>
      <c r="QZ646" s="770"/>
      <c r="RA646" s="770"/>
      <c r="RB646" s="770"/>
      <c r="RC646" s="770"/>
      <c r="RD646" s="770"/>
      <c r="RE646" s="770"/>
      <c r="RF646" s="304"/>
      <c r="RG646" s="770"/>
      <c r="RH646" s="302"/>
      <c r="RI646" s="770"/>
      <c r="RJ646" s="770" t="s">
        <v>13851</v>
      </c>
      <c r="RK646" s="770" t="s">
        <v>13544</v>
      </c>
      <c r="RL646" s="1710">
        <v>42835</v>
      </c>
      <c r="RM646" s="12"/>
      <c r="RN646" s="1711"/>
      <c r="RO646" s="132" t="s">
        <v>4215</v>
      </c>
      <c r="RP646" s="11"/>
      <c r="RQ646" s="11"/>
      <c r="RR646" s="17"/>
      <c r="RS646" s="767"/>
      <c r="RT646" s="11"/>
      <c r="RU646" s="11"/>
      <c r="RV646" s="771" t="s">
        <v>7421</v>
      </c>
      <c r="RW646" s="11" t="s">
        <v>7408</v>
      </c>
      <c r="RX646" s="11" t="s">
        <v>4204</v>
      </c>
      <c r="RY646" s="11"/>
      <c r="RZ646" s="11" t="s">
        <v>1101</v>
      </c>
      <c r="SA646" s="771"/>
      <c r="SB646" s="11"/>
      <c r="SC646" s="11"/>
    </row>
    <row r="647" spans="1:497" ht="12.75" customHeight="1">
      <c r="A647" s="19" t="s">
        <v>7421</v>
      </c>
      <c r="B647" s="752" t="s">
        <v>7836</v>
      </c>
      <c r="C647" s="132" t="s">
        <v>4222</v>
      </c>
      <c r="D647" s="94" t="s">
        <v>4223</v>
      </c>
      <c r="E647" s="766" t="s">
        <v>4235</v>
      </c>
      <c r="F647" s="770" t="s">
        <v>210</v>
      </c>
      <c r="G647" s="770" t="s">
        <v>18</v>
      </c>
      <c r="H647" s="770"/>
      <c r="I647" s="295" t="s">
        <v>4225</v>
      </c>
      <c r="J647" s="94" t="s">
        <v>4239</v>
      </c>
      <c r="K647" s="766" t="s">
        <v>4226</v>
      </c>
      <c r="L647" s="766" t="s">
        <v>4115</v>
      </c>
      <c r="M647" s="770" t="s">
        <v>1238</v>
      </c>
      <c r="N647" s="770"/>
      <c r="O647" s="770" t="s">
        <v>4213</v>
      </c>
      <c r="P647" s="94" t="s">
        <v>4227</v>
      </c>
      <c r="Q647" s="1088">
        <v>26027</v>
      </c>
      <c r="R647" s="297">
        <v>46</v>
      </c>
      <c r="S647" s="770" t="s">
        <v>10</v>
      </c>
      <c r="T647" s="770"/>
      <c r="U647" s="295" t="s">
        <v>4225</v>
      </c>
      <c r="V647" s="770" t="s">
        <v>707</v>
      </c>
      <c r="W647" s="770"/>
      <c r="X647" s="770"/>
      <c r="Y647" s="770" t="s">
        <v>4224</v>
      </c>
      <c r="Z647" s="770" t="s">
        <v>708</v>
      </c>
      <c r="AA647" s="770" t="s">
        <v>709</v>
      </c>
      <c r="AB647" s="295" t="s">
        <v>7273</v>
      </c>
      <c r="AC647" s="770"/>
      <c r="AD647" s="770" t="s">
        <v>711</v>
      </c>
      <c r="AE647" s="770"/>
      <c r="AF647" s="770" t="s">
        <v>712</v>
      </c>
      <c r="AG647" s="766" t="s">
        <v>1132</v>
      </c>
      <c r="AH647" s="766" t="s">
        <v>1096</v>
      </c>
      <c r="AI647" s="770"/>
      <c r="AJ647" s="770"/>
      <c r="AK647" s="770" t="s">
        <v>1101</v>
      </c>
      <c r="AL647" s="531">
        <v>7.56</v>
      </c>
      <c r="AM647" s="780">
        <v>4.59</v>
      </c>
      <c r="AN647" s="532">
        <f t="shared" si="201"/>
        <v>0.60714285714285721</v>
      </c>
      <c r="AO647" s="766" t="s">
        <v>1105</v>
      </c>
      <c r="AP647" s="766"/>
      <c r="AQ647" s="766"/>
      <c r="AR647" s="766"/>
      <c r="AS647" s="770"/>
      <c r="AT647" s="770"/>
      <c r="AU647" s="770"/>
      <c r="AV647" s="770"/>
      <c r="AW647" s="770"/>
      <c r="AX647" s="770"/>
      <c r="AY647" s="770"/>
      <c r="AZ647" s="770"/>
      <c r="BA647" s="770"/>
      <c r="BB647" s="770"/>
      <c r="BC647" s="770"/>
      <c r="BD647" s="770"/>
      <c r="BE647" s="770"/>
      <c r="BF647" s="302"/>
      <c r="BG647" s="302"/>
      <c r="BH647" s="770"/>
      <c r="BI647" s="770"/>
      <c r="BJ647" s="770"/>
      <c r="BK647" s="770"/>
      <c r="BL647" s="770"/>
      <c r="BM647" s="770"/>
      <c r="BN647" s="770"/>
      <c r="BO647" s="770"/>
      <c r="BP647" s="1109"/>
      <c r="BQ647" s="773"/>
      <c r="BR647" s="774"/>
      <c r="BS647" s="766"/>
      <c r="BT647" s="770"/>
      <c r="BU647" s="770"/>
      <c r="BV647" s="770"/>
      <c r="BW647" s="770"/>
      <c r="BX647" s="302"/>
      <c r="BY647" s="770"/>
      <c r="BZ647" s="302"/>
      <c r="CA647" s="770"/>
      <c r="CB647" s="770" t="s">
        <v>1207</v>
      </c>
      <c r="CC647" s="770"/>
      <c r="CD647" s="770"/>
      <c r="CE647" s="770"/>
      <c r="CF647" s="1753"/>
      <c r="CG647" s="1754"/>
      <c r="CH647" s="770"/>
      <c r="CI647" s="770"/>
      <c r="CJ647" s="770"/>
      <c r="CK647" s="770"/>
      <c r="CL647" s="770"/>
      <c r="CM647" s="770"/>
      <c r="CN647" s="770"/>
      <c r="CO647" s="770"/>
      <c r="CP647" s="770"/>
      <c r="CQ647" s="770"/>
      <c r="CR647" s="302"/>
      <c r="CS647" s="770"/>
      <c r="CT647" s="770"/>
      <c r="CU647" s="305"/>
      <c r="CV647" s="770"/>
      <c r="CW647" s="770"/>
      <c r="CX647" s="770"/>
      <c r="CY647" s="770"/>
      <c r="CZ647" s="770"/>
      <c r="DA647" s="306"/>
      <c r="DB647" s="770"/>
      <c r="DC647" s="770"/>
      <c r="DD647" s="770"/>
      <c r="DE647" s="300"/>
      <c r="DF647" s="770"/>
      <c r="DG647" s="770"/>
      <c r="DH647" s="770"/>
      <c r="DI647" s="770"/>
      <c r="DJ647" s="770"/>
      <c r="DK647" s="770"/>
      <c r="DL647" s="770"/>
      <c r="DM647" s="770"/>
      <c r="DN647" s="322"/>
      <c r="DO647" s="770"/>
      <c r="DP647" s="770"/>
      <c r="DQ647" s="770"/>
      <c r="DR647" s="770"/>
      <c r="DS647" s="307"/>
      <c r="DT647" s="12"/>
      <c r="DU647" s="770"/>
      <c r="DV647" s="770"/>
      <c r="DW647" s="306"/>
      <c r="DX647" s="306"/>
      <c r="DY647" s="770"/>
      <c r="DZ647" s="770"/>
      <c r="EA647" s="770"/>
      <c r="EB647" s="770"/>
      <c r="EC647" s="770"/>
      <c r="ED647" s="770"/>
      <c r="EE647" s="770"/>
      <c r="EF647" s="770"/>
      <c r="EG647" s="770"/>
      <c r="EH647" s="770"/>
      <c r="EI647" s="770"/>
      <c r="EJ647" s="770"/>
      <c r="EK647" s="770"/>
      <c r="EL647" s="770"/>
      <c r="EM647" s="770"/>
      <c r="EN647" s="770"/>
      <c r="EO647" s="770"/>
      <c r="EP647" s="94"/>
      <c r="EQ647" s="770"/>
      <c r="ER647" s="770"/>
      <c r="ES647" s="770"/>
      <c r="ET647" s="770"/>
      <c r="EU647" s="770"/>
      <c r="EV647" s="770"/>
      <c r="EW647" s="770"/>
      <c r="EX647" s="770"/>
      <c r="EY647" s="770"/>
      <c r="EZ647" s="770" t="s">
        <v>5835</v>
      </c>
      <c r="FA647" s="770" t="s">
        <v>4228</v>
      </c>
      <c r="FB647" s="770"/>
      <c r="FC647" s="770">
        <v>2014</v>
      </c>
      <c r="FD647" s="302">
        <f>AVERAGE(5000,10000)</f>
        <v>7500</v>
      </c>
      <c r="FE647" s="12" t="s">
        <v>4229</v>
      </c>
      <c r="FF647" s="770" t="s">
        <v>4230</v>
      </c>
      <c r="FG647" s="12" t="s">
        <v>4231</v>
      </c>
      <c r="FH647" s="770"/>
      <c r="FI647" s="770"/>
      <c r="FJ647" s="770"/>
      <c r="FK647" s="770"/>
      <c r="FL647" s="770"/>
      <c r="FM647" s="302"/>
      <c r="FN647" s="302"/>
      <c r="FO647" s="302"/>
      <c r="FP647" s="770"/>
      <c r="FQ647" s="770"/>
      <c r="FR647" s="770" t="s">
        <v>1214</v>
      </c>
      <c r="FS647" s="770"/>
      <c r="FT647" s="770"/>
      <c r="FU647" s="770"/>
      <c r="FV647" s="770"/>
      <c r="FW647" s="770"/>
      <c r="FX647" s="770"/>
      <c r="FY647" s="770"/>
      <c r="FZ647" s="770"/>
      <c r="GA647" s="770"/>
      <c r="GB647" s="770" t="s">
        <v>1734</v>
      </c>
      <c r="GC647" s="308"/>
      <c r="GD647" s="297">
        <v>2014</v>
      </c>
      <c r="GE647" s="770" t="s">
        <v>1214</v>
      </c>
      <c r="GF647" s="302"/>
      <c r="GG647" s="302"/>
      <c r="GH647" s="770"/>
      <c r="GI647" s="770"/>
      <c r="GJ647" s="770"/>
      <c r="GK647" s="770"/>
      <c r="GL647" s="770"/>
      <c r="GM647" s="770"/>
      <c r="GN647" s="299"/>
      <c r="GO647" s="770"/>
      <c r="GP647" s="770"/>
      <c r="GQ647" s="770"/>
      <c r="GR647" s="770"/>
      <c r="GS647" s="770"/>
      <c r="GT647" s="770"/>
      <c r="GU647" s="770"/>
      <c r="GV647" s="770"/>
      <c r="GW647" s="770"/>
      <c r="GX647" s="770"/>
      <c r="GY647" s="770"/>
      <c r="GZ647" s="770"/>
      <c r="HA647" s="770"/>
      <c r="HB647" s="770"/>
      <c r="HC647" s="770"/>
      <c r="HD647" s="770"/>
      <c r="HE647" s="770"/>
      <c r="HF647" s="770"/>
      <c r="HG647" s="770"/>
      <c r="HH647" s="770"/>
      <c r="HI647" s="770"/>
      <c r="HJ647" s="770"/>
      <c r="HK647" s="770"/>
      <c r="HL647" s="770"/>
      <c r="HM647" s="770"/>
      <c r="HN647" s="770"/>
      <c r="HO647" s="770"/>
      <c r="HP647" s="770"/>
      <c r="HQ647" s="770"/>
      <c r="HR647" s="770"/>
      <c r="HS647" s="770"/>
      <c r="HT647" s="770"/>
      <c r="HU647" s="770"/>
      <c r="HV647" s="770"/>
      <c r="HW647" s="770"/>
      <c r="HX647" s="770"/>
      <c r="HY647" s="770"/>
      <c r="HZ647" s="770"/>
      <c r="IA647" s="770"/>
      <c r="IB647" s="770"/>
      <c r="IC647" s="770"/>
      <c r="ID647" s="770"/>
      <c r="IE647" s="770"/>
      <c r="IF647" s="770"/>
      <c r="IG647" s="770"/>
      <c r="IH647" s="770"/>
      <c r="II647" s="770"/>
      <c r="IJ647" s="770"/>
      <c r="IK647" s="770"/>
      <c r="IL647" s="770"/>
      <c r="IM647" s="770"/>
      <c r="IN647" s="770"/>
      <c r="IO647" s="296"/>
      <c r="IP647" s="770"/>
      <c r="IQ647" s="770"/>
      <c r="IR647" s="770"/>
      <c r="IS647" s="770"/>
      <c r="IT647" s="770"/>
      <c r="IU647" s="770"/>
      <c r="IV647" s="770"/>
      <c r="IW647" s="770"/>
      <c r="IX647" s="770"/>
      <c r="IY647" s="295"/>
      <c r="IZ647" s="770"/>
      <c r="JA647" s="770"/>
      <c r="JB647" s="770"/>
      <c r="JC647" s="770"/>
      <c r="JD647" s="302"/>
      <c r="JE647" s="770"/>
      <c r="JF647" s="770"/>
      <c r="JG647" s="770"/>
      <c r="JH647" s="307"/>
      <c r="JI647" s="307"/>
      <c r="JJ647" s="770"/>
      <c r="JK647" s="770"/>
      <c r="JL647" s="770"/>
      <c r="JM647" s="770"/>
      <c r="JN647" s="770"/>
      <c r="JO647" s="770"/>
      <c r="JP647" s="770"/>
      <c r="JQ647" s="770"/>
      <c r="JR647" s="770"/>
      <c r="JS647" s="770"/>
      <c r="JT647" s="766"/>
      <c r="JU647" s="766"/>
      <c r="JV647" s="766"/>
      <c r="JW647" s="766"/>
      <c r="JX647" s="770"/>
      <c r="JY647" s="770"/>
      <c r="JZ647" s="770"/>
      <c r="KA647" s="770"/>
      <c r="KB647" s="770"/>
      <c r="KC647" s="770"/>
      <c r="KD647" s="770"/>
      <c r="KE647" s="770"/>
      <c r="KF647" s="770"/>
      <c r="KG647" s="770"/>
      <c r="KH647" s="770"/>
      <c r="KI647" s="770"/>
      <c r="KJ647" s="770"/>
      <c r="KK647" s="770"/>
      <c r="KL647" s="770"/>
      <c r="KM647" s="770"/>
      <c r="KN647" s="770"/>
      <c r="KO647" s="770"/>
      <c r="KP647" s="770"/>
      <c r="KQ647" s="770"/>
      <c r="KR647" s="770"/>
      <c r="KS647" s="770"/>
      <c r="KT647" s="770"/>
      <c r="KU647" s="770"/>
      <c r="KV647" s="770"/>
      <c r="KW647" s="770"/>
      <c r="KX647" s="770"/>
      <c r="KY647" s="770"/>
      <c r="KZ647" s="770"/>
      <c r="LA647" s="770"/>
      <c r="LB647" s="770"/>
      <c r="LC647" s="770"/>
      <c r="LD647" s="770"/>
      <c r="LE647" s="770"/>
      <c r="LF647" s="770"/>
      <c r="LG647" s="770"/>
      <c r="LH647" s="770"/>
      <c r="LI647" s="770"/>
      <c r="LJ647" s="770"/>
      <c r="LK647" s="770"/>
      <c r="LL647" s="770"/>
      <c r="LM647" s="770"/>
      <c r="LN647" s="766"/>
      <c r="LO647" s="766"/>
      <c r="LP647" s="770"/>
      <c r="LQ647" s="770"/>
      <c r="LR647" s="770"/>
      <c r="LS647" s="770"/>
      <c r="LT647" s="770"/>
      <c r="LU647" s="770"/>
      <c r="LV647" s="770"/>
      <c r="LW647" s="770"/>
      <c r="LX647" s="769"/>
      <c r="LY647" s="766" t="str">
        <f t="shared" si="187"/>
        <v/>
      </c>
      <c r="LZ647" s="1709"/>
      <c r="MA647" s="1709"/>
      <c r="MB647" s="1709"/>
      <c r="MC647" s="1679">
        <f t="shared" si="185"/>
        <v>0</v>
      </c>
      <c r="MD647" s="1709"/>
      <c r="ME647" s="1709"/>
      <c r="MF647" s="1709"/>
      <c r="MG647" s="1680">
        <f t="shared" si="199"/>
        <v>0</v>
      </c>
      <c r="MH647" s="770"/>
      <c r="MI647" s="775"/>
      <c r="MJ647" s="775"/>
      <c r="MK647" s="775"/>
      <c r="ML647" s="775"/>
      <c r="MM647" s="775"/>
      <c r="MN647" s="775"/>
      <c r="MO647" s="775"/>
      <c r="MP647" s="775"/>
      <c r="MQ647" s="775"/>
      <c r="MR647" s="775"/>
      <c r="MS647" s="775"/>
      <c r="MT647" s="775"/>
      <c r="MU647" s="775"/>
      <c r="MV647" s="775"/>
      <c r="MW647" s="775"/>
      <c r="MX647" s="775"/>
      <c r="MY647" s="1682">
        <f t="shared" si="200"/>
        <v>0</v>
      </c>
      <c r="MZ647" s="770"/>
      <c r="NA647" s="770"/>
      <c r="NB647" s="770"/>
      <c r="NC647" s="770"/>
      <c r="ND647" s="770"/>
      <c r="NE647" s="770"/>
      <c r="NF647" s="770"/>
      <c r="NG647" s="770"/>
      <c r="NH647" s="770"/>
      <c r="NI647" s="770"/>
      <c r="NJ647" s="770"/>
      <c r="NK647" s="770"/>
      <c r="NL647" s="770"/>
      <c r="NM647" s="770"/>
      <c r="NN647" s="770"/>
      <c r="NO647" s="770"/>
      <c r="NP647" s="770"/>
      <c r="NQ647" s="770"/>
      <c r="NR647" s="770"/>
      <c r="NS647" s="770"/>
      <c r="NT647" s="770"/>
      <c r="NU647" s="770"/>
      <c r="NV647" s="770"/>
      <c r="NW647" s="770"/>
      <c r="NX647" s="770"/>
      <c r="NY647" s="770"/>
      <c r="NZ647" s="770"/>
      <c r="OA647" s="770"/>
      <c r="OB647" s="770"/>
      <c r="OC647" s="770"/>
      <c r="OD647" s="770"/>
      <c r="OE647" s="770"/>
      <c r="OF647" s="770" t="s">
        <v>2143</v>
      </c>
      <c r="OG647" s="770"/>
      <c r="OH647" s="770"/>
      <c r="OI647" s="770"/>
      <c r="OJ647" s="770"/>
      <c r="OK647" s="770"/>
      <c r="OL647" s="770"/>
      <c r="OM647" s="770"/>
      <c r="ON647" s="770"/>
      <c r="OO647" s="770"/>
      <c r="OP647" s="770"/>
      <c r="OQ647" s="770"/>
      <c r="OR647" s="770"/>
      <c r="OS647" s="770"/>
      <c r="OT647" s="770"/>
      <c r="OU647" s="770"/>
      <c r="OV647" s="770"/>
      <c r="OW647" s="770"/>
      <c r="OX647" s="770"/>
      <c r="OY647" s="770"/>
      <c r="OZ647" s="770"/>
      <c r="PA647" s="770"/>
      <c r="PB647" s="770"/>
      <c r="PC647" s="770"/>
      <c r="PD647" s="770"/>
      <c r="PE647" s="770"/>
      <c r="PF647" s="770"/>
      <c r="PG647" s="770"/>
      <c r="PH647" s="770"/>
      <c r="PI647" s="770"/>
      <c r="PJ647" s="770"/>
      <c r="PK647" s="770"/>
      <c r="PL647" s="770"/>
      <c r="PM647" s="770"/>
      <c r="PN647" s="770"/>
      <c r="PO647" s="770"/>
      <c r="PP647" s="770"/>
      <c r="PQ647" s="770"/>
      <c r="PR647" s="770"/>
      <c r="PS647" s="770"/>
      <c r="PT647" s="770"/>
      <c r="PU647" s="770"/>
      <c r="PV647" s="770"/>
      <c r="PW647" s="770"/>
      <c r="PX647" s="770"/>
      <c r="PY647" s="770"/>
      <c r="PZ647" s="770"/>
      <c r="QA647" s="770"/>
      <c r="QB647" s="770"/>
      <c r="QC647" s="770"/>
      <c r="QD647" s="770"/>
      <c r="QE647" s="770"/>
      <c r="QF647" s="770"/>
      <c r="QG647" s="770"/>
      <c r="QH647" s="770"/>
      <c r="QI647" s="770"/>
      <c r="QJ647" s="770"/>
      <c r="QK647" s="770"/>
      <c r="QL647" s="770"/>
      <c r="QM647" s="770"/>
      <c r="QN647" s="770"/>
      <c r="QO647" s="770"/>
      <c r="QP647" s="770"/>
      <c r="QQ647" s="770"/>
      <c r="QR647" s="770"/>
      <c r="QS647" s="770"/>
      <c r="QT647" s="770"/>
      <c r="QU647" s="770"/>
      <c r="QV647" s="770"/>
      <c r="QW647" s="770"/>
      <c r="QX647" s="770"/>
      <c r="QY647" s="770"/>
      <c r="QZ647" s="770"/>
      <c r="RA647" s="770"/>
      <c r="RB647" s="770"/>
      <c r="RC647" s="770"/>
      <c r="RD647" s="770"/>
      <c r="RE647" s="770"/>
      <c r="RF647" s="304"/>
      <c r="RG647" s="770"/>
      <c r="RH647" s="302"/>
      <c r="RI647" s="770"/>
      <c r="RJ647" s="770" t="s">
        <v>13852</v>
      </c>
      <c r="RK647" s="770" t="s">
        <v>13556</v>
      </c>
      <c r="RL647" s="1710">
        <v>42836</v>
      </c>
      <c r="RM647" s="12"/>
      <c r="RN647" s="1711"/>
      <c r="RO647" s="132" t="s">
        <v>4222</v>
      </c>
      <c r="RP647" s="11"/>
      <c r="RQ647" s="11"/>
      <c r="RR647" s="17"/>
      <c r="RS647" s="767"/>
      <c r="RT647" s="11"/>
      <c r="RU647" s="11"/>
      <c r="RV647" s="771" t="s">
        <v>7421</v>
      </c>
      <c r="RW647" s="11" t="s">
        <v>7834</v>
      </c>
      <c r="RX647" s="11" t="s">
        <v>4206</v>
      </c>
      <c r="RY647" s="11"/>
      <c r="RZ647" s="11" t="s">
        <v>1101</v>
      </c>
      <c r="SA647" s="771"/>
      <c r="SB647" s="11"/>
      <c r="SC647" s="11"/>
    </row>
    <row r="648" spans="1:497" ht="12.75" customHeight="1">
      <c r="A648" s="343" t="s">
        <v>7421</v>
      </c>
      <c r="B648" s="752" t="s">
        <v>7842</v>
      </c>
      <c r="C648" s="132" t="s">
        <v>4232</v>
      </c>
      <c r="D648" s="94" t="s">
        <v>4233</v>
      </c>
      <c r="E648" s="766" t="s">
        <v>7837</v>
      </c>
      <c r="F648" s="770" t="s">
        <v>3044</v>
      </c>
      <c r="G648" s="770" t="s">
        <v>10</v>
      </c>
      <c r="H648" s="94"/>
      <c r="I648" s="770" t="s">
        <v>4238</v>
      </c>
      <c r="J648" s="94" t="s">
        <v>7838</v>
      </c>
      <c r="K648" s="766" t="s">
        <v>4240</v>
      </c>
      <c r="L648" s="766" t="s">
        <v>4127</v>
      </c>
      <c r="M648" s="770" t="s">
        <v>1238</v>
      </c>
      <c r="N648" s="770"/>
      <c r="O648" s="770" t="s">
        <v>4213</v>
      </c>
      <c r="P648" s="94" t="s">
        <v>4241</v>
      </c>
      <c r="Q648" s="1088">
        <v>33540</v>
      </c>
      <c r="R648" s="297">
        <v>25</v>
      </c>
      <c r="S648" s="770" t="s">
        <v>18</v>
      </c>
      <c r="T648" s="770"/>
      <c r="U648" s="770" t="s">
        <v>4238</v>
      </c>
      <c r="V648" s="770" t="s">
        <v>783</v>
      </c>
      <c r="W648" s="770"/>
      <c r="X648" s="770"/>
      <c r="Y648" s="770" t="s">
        <v>7839</v>
      </c>
      <c r="Z648" s="770" t="s">
        <v>708</v>
      </c>
      <c r="AA648" s="770" t="s">
        <v>709</v>
      </c>
      <c r="AB648" s="295" t="s">
        <v>710</v>
      </c>
      <c r="AC648" s="770"/>
      <c r="AD648" s="770" t="s">
        <v>711</v>
      </c>
      <c r="AE648" s="770"/>
      <c r="AF648" s="770" t="s">
        <v>712</v>
      </c>
      <c r="AG648" s="766" t="s">
        <v>1132</v>
      </c>
      <c r="AH648" s="766" t="s">
        <v>1096</v>
      </c>
      <c r="AI648" s="770"/>
      <c r="AJ648" s="770" t="s">
        <v>1137</v>
      </c>
      <c r="AK648" s="770" t="s">
        <v>1101</v>
      </c>
      <c r="AL648" s="531">
        <v>14.62</v>
      </c>
      <c r="AM648" s="780">
        <v>2.15</v>
      </c>
      <c r="AN648" s="532">
        <f t="shared" si="201"/>
        <v>0.14705882352941177</v>
      </c>
      <c r="AO648" s="766" t="s">
        <v>1109</v>
      </c>
      <c r="AP648" s="766"/>
      <c r="AQ648" s="766"/>
      <c r="AR648" s="766"/>
      <c r="AS648" s="770"/>
      <c r="AT648" s="770"/>
      <c r="AU648" s="770"/>
      <c r="AV648" s="770"/>
      <c r="AW648" s="770"/>
      <c r="AX648" s="770"/>
      <c r="AY648" s="770"/>
      <c r="AZ648" s="770"/>
      <c r="BA648" s="770"/>
      <c r="BB648" s="770"/>
      <c r="BC648" s="770"/>
      <c r="BD648" s="770"/>
      <c r="BE648" s="770"/>
      <c r="BF648" s="302"/>
      <c r="BG648" s="302"/>
      <c r="BH648" s="770"/>
      <c r="BI648" s="770"/>
      <c r="BJ648" s="770"/>
      <c r="BK648" s="770" t="s">
        <v>1095</v>
      </c>
      <c r="BL648" s="770" t="s">
        <v>4243</v>
      </c>
      <c r="BM648" s="766" t="s">
        <v>1096</v>
      </c>
      <c r="BN648" s="770" t="s">
        <v>1230</v>
      </c>
      <c r="BO648" s="766" t="s">
        <v>1246</v>
      </c>
      <c r="BP648" s="1111">
        <v>14.62</v>
      </c>
      <c r="BQ648" s="773">
        <v>2.15</v>
      </c>
      <c r="BR648" s="42">
        <f>BQ648/BP648</f>
        <v>0.14705882352941177</v>
      </c>
      <c r="BS648" s="766" t="s">
        <v>1242</v>
      </c>
      <c r="BT648" s="770" t="s">
        <v>8133</v>
      </c>
      <c r="BU648" s="770" t="s">
        <v>1249</v>
      </c>
      <c r="BV648" s="770" t="s">
        <v>1247</v>
      </c>
      <c r="BW648" s="770">
        <v>2016</v>
      </c>
      <c r="BX648" s="302">
        <v>75000</v>
      </c>
      <c r="BY648" s="770" t="s">
        <v>1207</v>
      </c>
      <c r="BZ648" s="302"/>
      <c r="CA648" s="770"/>
      <c r="CB648" s="770" t="s">
        <v>1857</v>
      </c>
      <c r="CC648" s="770" t="s">
        <v>4243</v>
      </c>
      <c r="CD648" s="770">
        <v>2015</v>
      </c>
      <c r="CE648" s="770"/>
      <c r="CF648" s="1753">
        <v>2</v>
      </c>
      <c r="CG648" s="1754">
        <v>21.6</v>
      </c>
      <c r="CH648" s="770" t="s">
        <v>7840</v>
      </c>
      <c r="CI648" s="770"/>
      <c r="CJ648" s="770" t="s">
        <v>7841</v>
      </c>
      <c r="CK648" s="770">
        <v>11</v>
      </c>
      <c r="CL648" s="770"/>
      <c r="CM648" s="770" t="s">
        <v>3399</v>
      </c>
      <c r="CN648" s="770"/>
      <c r="CO648" s="770" t="s">
        <v>1257</v>
      </c>
      <c r="CP648" s="770"/>
      <c r="CQ648" s="770"/>
      <c r="CR648" s="302"/>
      <c r="CS648" s="770"/>
      <c r="CT648" s="770"/>
      <c r="CU648" s="305"/>
      <c r="CV648" s="770"/>
      <c r="CW648" s="770"/>
      <c r="CX648" s="770"/>
      <c r="CY648" s="770"/>
      <c r="CZ648" s="770"/>
      <c r="DA648" s="306"/>
      <c r="DB648" s="770"/>
      <c r="DC648" s="770"/>
      <c r="DD648" s="770"/>
      <c r="DE648" s="300"/>
      <c r="DF648" s="770"/>
      <c r="DG648" s="770"/>
      <c r="DH648" s="770"/>
      <c r="DI648" s="770"/>
      <c r="DJ648" s="770"/>
      <c r="DK648" s="770"/>
      <c r="DL648" s="770"/>
      <c r="DM648" s="770"/>
      <c r="DN648" s="322"/>
      <c r="DO648" s="770"/>
      <c r="DP648" s="770"/>
      <c r="DQ648" s="770"/>
      <c r="DR648" s="770"/>
      <c r="DS648" s="307"/>
      <c r="DT648" s="12"/>
      <c r="DU648" s="770"/>
      <c r="DV648" s="770"/>
      <c r="DW648" s="306"/>
      <c r="DX648" s="306"/>
      <c r="DY648" s="770"/>
      <c r="DZ648" s="770"/>
      <c r="EA648" s="770"/>
      <c r="EB648" s="770"/>
      <c r="EC648" s="770"/>
      <c r="ED648" s="770"/>
      <c r="EE648" s="770"/>
      <c r="EF648" s="770"/>
      <c r="EG648" s="770"/>
      <c r="EH648" s="770"/>
      <c r="EI648" s="770"/>
      <c r="EJ648" s="770"/>
      <c r="EK648" s="770"/>
      <c r="EL648" s="770"/>
      <c r="EM648" s="770"/>
      <c r="EN648" s="770"/>
      <c r="EO648" s="770"/>
      <c r="EP648" s="94"/>
      <c r="EQ648" s="770"/>
      <c r="ER648" s="770"/>
      <c r="ES648" s="770"/>
      <c r="ET648" s="770"/>
      <c r="EU648" s="770"/>
      <c r="EV648" s="770"/>
      <c r="EW648" s="770"/>
      <c r="EX648" s="770"/>
      <c r="EY648" s="770"/>
      <c r="EZ648" s="770"/>
      <c r="FA648" s="770"/>
      <c r="FB648" s="770"/>
      <c r="FC648" s="770"/>
      <c r="FD648" s="302"/>
      <c r="FE648" s="12"/>
      <c r="FF648" s="770"/>
      <c r="FG648" s="12"/>
      <c r="FH648" s="770" t="s">
        <v>478</v>
      </c>
      <c r="FI648" s="770">
        <v>1</v>
      </c>
      <c r="FJ648" s="770"/>
      <c r="FK648" s="770"/>
      <c r="FL648" s="770"/>
      <c r="FM648" s="302"/>
      <c r="FN648" s="302"/>
      <c r="FO648" s="302"/>
      <c r="FP648" s="770" t="s">
        <v>1600</v>
      </c>
      <c r="FQ648" s="770" t="s">
        <v>3940</v>
      </c>
      <c r="FR648" s="770" t="s">
        <v>1214</v>
      </c>
      <c r="FS648" s="770"/>
      <c r="FT648" s="770"/>
      <c r="FU648" s="770"/>
      <c r="FV648" s="770"/>
      <c r="FW648" s="770"/>
      <c r="FX648" s="770"/>
      <c r="FY648" s="770"/>
      <c r="FZ648" s="770"/>
      <c r="GA648" s="770"/>
      <c r="GB648" s="770"/>
      <c r="GC648" s="308"/>
      <c r="GD648" s="297"/>
      <c r="GE648" s="770"/>
      <c r="GF648" s="302"/>
      <c r="GG648" s="302"/>
      <c r="GH648" s="770"/>
      <c r="GI648" s="770"/>
      <c r="GJ648" s="770"/>
      <c r="GK648" s="770"/>
      <c r="GL648" s="770"/>
      <c r="GM648" s="770"/>
      <c r="GN648" s="299"/>
      <c r="GO648" s="770"/>
      <c r="GP648" s="770"/>
      <c r="GQ648" s="770"/>
      <c r="GR648" s="770"/>
      <c r="GS648" s="770"/>
      <c r="GT648" s="770"/>
      <c r="GU648" s="770"/>
      <c r="GV648" s="770"/>
      <c r="GW648" s="770"/>
      <c r="GX648" s="770"/>
      <c r="GY648" s="770"/>
      <c r="GZ648" s="770"/>
      <c r="HA648" s="770"/>
      <c r="HB648" s="770"/>
      <c r="HC648" s="770"/>
      <c r="HD648" s="770"/>
      <c r="HE648" s="770"/>
      <c r="HF648" s="770"/>
      <c r="HG648" s="770"/>
      <c r="HH648" s="770"/>
      <c r="HI648" s="770"/>
      <c r="HJ648" s="770"/>
      <c r="HK648" s="770"/>
      <c r="HL648" s="770"/>
      <c r="HM648" s="770"/>
      <c r="HN648" s="770"/>
      <c r="HO648" s="770"/>
      <c r="HP648" s="770"/>
      <c r="HQ648" s="770"/>
      <c r="HR648" s="770"/>
      <c r="HS648" s="770"/>
      <c r="HT648" s="770"/>
      <c r="HU648" s="770"/>
      <c r="HV648" s="770"/>
      <c r="HW648" s="770"/>
      <c r="HX648" s="770"/>
      <c r="HY648" s="770"/>
      <c r="HZ648" s="770"/>
      <c r="IA648" s="770"/>
      <c r="IB648" s="14" t="e">
        <f>IF(#REF!&gt;0,IF(#REF!&lt;=10000,"Y",""),"")</f>
        <v>#REF!</v>
      </c>
      <c r="IC648" s="770" t="s">
        <v>1857</v>
      </c>
      <c r="ID648" s="770"/>
      <c r="IE648" s="770"/>
      <c r="IF648" s="770"/>
      <c r="IG648" s="770"/>
      <c r="IH648" s="770"/>
      <c r="II648" s="770"/>
      <c r="IJ648" s="770"/>
      <c r="IK648" s="770"/>
      <c r="IL648" s="770"/>
      <c r="IM648" s="770"/>
      <c r="IN648" s="770"/>
      <c r="IO648" s="296"/>
      <c r="IP648" s="770"/>
      <c r="IQ648" s="770"/>
      <c r="IR648" s="770"/>
      <c r="IS648" s="770"/>
      <c r="IT648" s="770"/>
      <c r="IU648" s="770"/>
      <c r="IV648" s="770"/>
      <c r="IW648" s="770"/>
      <c r="IX648" s="770"/>
      <c r="IY648" s="295"/>
      <c r="IZ648" s="770"/>
      <c r="JA648" s="770"/>
      <c r="JB648" s="770"/>
      <c r="JC648" s="770"/>
      <c r="JD648" s="302"/>
      <c r="JE648" s="770"/>
      <c r="JF648" s="770"/>
      <c r="JG648" s="770"/>
      <c r="JH648" s="307"/>
      <c r="JI648" s="712" t="str">
        <f>IF(SUM(JT648,JU648)=JJ648,"ok","review")</f>
        <v>ok</v>
      </c>
      <c r="JJ648" s="770">
        <v>2</v>
      </c>
      <c r="JK648" s="1139" t="s">
        <v>13853</v>
      </c>
      <c r="JL648" s="770">
        <v>1</v>
      </c>
      <c r="JM648" s="770"/>
      <c r="JN648" s="770"/>
      <c r="JO648" s="770">
        <v>1</v>
      </c>
      <c r="JP648" s="770"/>
      <c r="JQ648" s="770"/>
      <c r="JR648" s="770"/>
      <c r="JS648" s="770"/>
      <c r="JT648" s="766">
        <f t="shared" ref="JT648:JU651" si="202">SUM(JP648,JN648,JL648,JR648)</f>
        <v>1</v>
      </c>
      <c r="JU648" s="766">
        <f t="shared" si="202"/>
        <v>1</v>
      </c>
      <c r="JV648" s="712" t="str">
        <f>IF(JT648=KJ648,"ok","male")</f>
        <v>ok</v>
      </c>
      <c r="JW648" s="712" t="str">
        <f>IF(JU648=KK648,"ok","female")</f>
        <v>ok</v>
      </c>
      <c r="JX648" s="770">
        <v>1</v>
      </c>
      <c r="JY648" s="770"/>
      <c r="JZ648" s="770"/>
      <c r="KA648" s="770"/>
      <c r="KB648" s="770"/>
      <c r="KC648" s="770">
        <v>1</v>
      </c>
      <c r="KD648" s="770"/>
      <c r="KE648" s="770"/>
      <c r="KF648" s="770"/>
      <c r="KG648" s="770"/>
      <c r="KH648" s="770"/>
      <c r="KI648" s="770"/>
      <c r="KJ648" s="770">
        <f t="shared" si="168"/>
        <v>1</v>
      </c>
      <c r="KK648" s="770">
        <f t="shared" si="168"/>
        <v>1</v>
      </c>
      <c r="KL648" s="712" t="str">
        <f>IF(KJ648=LN648,"ok","male")</f>
        <v>ok</v>
      </c>
      <c r="KM648" s="712" t="str">
        <f>IF(KK648=LO648,"ok","female")</f>
        <v>ok</v>
      </c>
      <c r="KN648" s="770" t="s">
        <v>783</v>
      </c>
      <c r="KO648" s="770"/>
      <c r="KP648" s="770"/>
      <c r="KQ648" s="770"/>
      <c r="KR648" s="770"/>
      <c r="KS648" s="770"/>
      <c r="KT648" s="770"/>
      <c r="KU648" s="770"/>
      <c r="KV648" s="770"/>
      <c r="KW648" s="770"/>
      <c r="KX648" s="770"/>
      <c r="KY648" s="770"/>
      <c r="KZ648" s="770"/>
      <c r="LA648" s="770"/>
      <c r="LB648" s="770"/>
      <c r="LC648" s="770">
        <v>1</v>
      </c>
      <c r="LD648" s="770"/>
      <c r="LE648" s="770"/>
      <c r="LF648" s="770"/>
      <c r="LG648" s="770"/>
      <c r="LH648" s="770"/>
      <c r="LI648" s="770"/>
      <c r="LJ648" s="770">
        <v>1</v>
      </c>
      <c r="LK648" s="770"/>
      <c r="LL648" s="770"/>
      <c r="LM648" s="770"/>
      <c r="LN648" s="766">
        <f t="shared" ref="LN648:LO651" si="203">SUM(KP648,KR648,KT648,KV648,KX648,KZ648,LB648,LD648,LF648,LH648,LJ648,LL648)</f>
        <v>1</v>
      </c>
      <c r="LO648" s="766">
        <f t="shared" si="203"/>
        <v>1</v>
      </c>
      <c r="LP648" s="770">
        <v>1</v>
      </c>
      <c r="LQ648" s="770"/>
      <c r="LR648" s="770"/>
      <c r="LS648" s="770">
        <v>2</v>
      </c>
      <c r="LT648" s="712" t="str">
        <f>IF(LQ648=SUM(LU648:LW648),"OK","REV")</f>
        <v>OK</v>
      </c>
      <c r="LU648" s="770"/>
      <c r="LV648" s="770"/>
      <c r="LW648" s="770"/>
      <c r="LX648" s="769"/>
      <c r="LY648" s="766" t="str">
        <f t="shared" si="187"/>
        <v/>
      </c>
      <c r="LZ648" s="1709"/>
      <c r="MA648" s="1709"/>
      <c r="MB648" s="1709">
        <v>500</v>
      </c>
      <c r="MC648" s="1679">
        <f t="shared" si="185"/>
        <v>500</v>
      </c>
      <c r="MD648" s="1709"/>
      <c r="ME648" s="1709"/>
      <c r="MF648" s="1709">
        <v>40000</v>
      </c>
      <c r="MG648" s="1680">
        <f>SUM(MD648:MF648)</f>
        <v>40000</v>
      </c>
      <c r="MH648" s="766" t="s">
        <v>13854</v>
      </c>
      <c r="MI648" s="775">
        <v>11000</v>
      </c>
      <c r="MJ648" s="775">
        <v>21000</v>
      </c>
      <c r="MK648" s="775">
        <v>1000</v>
      </c>
      <c r="ML648" s="775">
        <v>500</v>
      </c>
      <c r="MM648" s="775"/>
      <c r="MN648" s="775"/>
      <c r="MO648" s="775">
        <v>600</v>
      </c>
      <c r="MP648" s="775">
        <v>5528</v>
      </c>
      <c r="MQ648" s="775">
        <v>400</v>
      </c>
      <c r="MR648" s="775">
        <v>500</v>
      </c>
      <c r="MS648" s="775">
        <v>1667</v>
      </c>
      <c r="MT648" s="775"/>
      <c r="MU648" s="775"/>
      <c r="MV648" s="775"/>
      <c r="MW648" s="775"/>
      <c r="MX648" s="775"/>
      <c r="MY648" s="1682">
        <f t="shared" si="200"/>
        <v>42195</v>
      </c>
      <c r="MZ648" s="770" t="s">
        <v>13370</v>
      </c>
      <c r="NA648" s="770" t="s">
        <v>13005</v>
      </c>
      <c r="NB648" s="770" t="s">
        <v>13016</v>
      </c>
      <c r="NC648" s="770" t="s">
        <v>13602</v>
      </c>
      <c r="ND648" s="770">
        <v>0</v>
      </c>
      <c r="NE648" s="770">
        <v>1</v>
      </c>
      <c r="NF648" s="770">
        <v>0</v>
      </c>
      <c r="NG648" s="770">
        <v>3</v>
      </c>
      <c r="NH648" s="770">
        <v>2</v>
      </c>
      <c r="NI648" s="770">
        <v>0</v>
      </c>
      <c r="NJ648" s="770">
        <v>1</v>
      </c>
      <c r="NK648" s="770">
        <v>0</v>
      </c>
      <c r="NL648" s="770">
        <v>1</v>
      </c>
      <c r="NM648" s="770">
        <v>2</v>
      </c>
      <c r="NN648" s="770">
        <v>0</v>
      </c>
      <c r="NO648" s="770">
        <v>0</v>
      </c>
      <c r="NP648" s="770">
        <v>0</v>
      </c>
      <c r="NQ648" s="770">
        <v>0</v>
      </c>
      <c r="NR648" s="770">
        <v>0</v>
      </c>
      <c r="NS648" s="770">
        <v>0</v>
      </c>
      <c r="NT648" s="770">
        <v>0</v>
      </c>
      <c r="NU648" s="770">
        <v>0</v>
      </c>
      <c r="NV648" s="770">
        <v>0</v>
      </c>
      <c r="NW648" s="770">
        <v>0</v>
      </c>
      <c r="NX648" s="770">
        <v>0</v>
      </c>
      <c r="NY648" s="770" t="s">
        <v>1208</v>
      </c>
      <c r="NZ648" s="770" t="s">
        <v>1208</v>
      </c>
      <c r="OA648" s="770" t="s">
        <v>1208</v>
      </c>
      <c r="OB648" s="770" t="s">
        <v>1208</v>
      </c>
      <c r="OC648" s="770" t="s">
        <v>1208</v>
      </c>
      <c r="OD648" s="770"/>
      <c r="OE648" s="770"/>
      <c r="OF648" s="770" t="s">
        <v>2143</v>
      </c>
      <c r="OG648" s="770"/>
      <c r="OH648" s="770"/>
      <c r="OI648" s="770"/>
      <c r="OJ648" s="770"/>
      <c r="OK648" s="770"/>
      <c r="OL648" s="770"/>
      <c r="OM648" s="770"/>
      <c r="ON648" s="770"/>
      <c r="OO648" s="770"/>
      <c r="OP648" s="770"/>
      <c r="OQ648" s="770"/>
      <c r="OR648" s="770"/>
      <c r="OS648" s="770"/>
      <c r="OT648" s="770"/>
      <c r="OU648" s="770"/>
      <c r="OV648" s="770"/>
      <c r="OW648" s="770"/>
      <c r="OX648" s="770"/>
      <c r="OY648" s="770"/>
      <c r="OZ648" s="770"/>
      <c r="PA648" s="770"/>
      <c r="PB648" s="770"/>
      <c r="PC648" s="770"/>
      <c r="PD648" s="770"/>
      <c r="PE648" s="770"/>
      <c r="PF648" s="770"/>
      <c r="PG648" s="770"/>
      <c r="PH648" s="770"/>
      <c r="PI648" s="770"/>
      <c r="PJ648" s="770"/>
      <c r="PK648" s="770"/>
      <c r="PL648" s="770"/>
      <c r="PM648" s="770"/>
      <c r="PN648" s="770"/>
      <c r="PO648" s="770"/>
      <c r="PP648" s="770"/>
      <c r="PQ648" s="770"/>
      <c r="PR648" s="770" t="s">
        <v>1208</v>
      </c>
      <c r="PS648" s="770"/>
      <c r="PT648" s="770"/>
      <c r="PU648" s="770"/>
      <c r="PV648" s="770"/>
      <c r="PW648" s="770"/>
      <c r="PX648" s="770"/>
      <c r="PY648" s="770"/>
      <c r="PZ648" s="770"/>
      <c r="QA648" s="770"/>
      <c r="QB648" s="770"/>
      <c r="QC648" s="770"/>
      <c r="QD648" s="770"/>
      <c r="QE648" s="770"/>
      <c r="QF648" s="770"/>
      <c r="QG648" s="770"/>
      <c r="QH648" s="770"/>
      <c r="QI648" s="770"/>
      <c r="QJ648" s="770"/>
      <c r="QK648" s="770"/>
      <c r="QL648" s="770"/>
      <c r="QM648" s="770"/>
      <c r="QN648" s="770"/>
      <c r="QO648" s="770"/>
      <c r="QP648" s="770"/>
      <c r="QQ648" s="770"/>
      <c r="QR648" s="770"/>
      <c r="QS648" s="770"/>
      <c r="QT648" s="770"/>
      <c r="QU648" s="770"/>
      <c r="QV648" s="770"/>
      <c r="QW648" s="770"/>
      <c r="QX648" s="770"/>
      <c r="QY648" s="770"/>
      <c r="QZ648" s="770"/>
      <c r="RA648" s="770"/>
      <c r="RB648" s="770" t="s">
        <v>1207</v>
      </c>
      <c r="RC648" s="770">
        <v>2016</v>
      </c>
      <c r="RD648" s="770" t="s">
        <v>13251</v>
      </c>
      <c r="RE648" s="770" t="s">
        <v>12999</v>
      </c>
      <c r="RF648" s="304"/>
      <c r="RG648" s="770" t="s">
        <v>13047</v>
      </c>
      <c r="RH648" s="302">
        <v>30000</v>
      </c>
      <c r="RI648" s="770">
        <v>2</v>
      </c>
      <c r="RJ648" s="770" t="s">
        <v>13855</v>
      </c>
      <c r="RK648" s="770" t="s">
        <v>13550</v>
      </c>
      <c r="RL648" s="1710">
        <v>42836</v>
      </c>
      <c r="RM648" s="12"/>
      <c r="RN648" s="1711"/>
      <c r="RO648" s="132" t="s">
        <v>4232</v>
      </c>
      <c r="RP648" s="11"/>
      <c r="RQ648" s="11"/>
      <c r="RR648" s="343" t="s">
        <v>7421</v>
      </c>
      <c r="RS648" s="1139" t="s">
        <v>12980</v>
      </c>
      <c r="RT648" s="11"/>
      <c r="RU648" s="11"/>
      <c r="RV648" s="771" t="s">
        <v>7421</v>
      </c>
      <c r="RW648" s="11" t="s">
        <v>7835</v>
      </c>
      <c r="RX648" s="11" t="s">
        <v>4215</v>
      </c>
      <c r="RY648" s="11"/>
      <c r="RZ648" s="11" t="s">
        <v>1101</v>
      </c>
      <c r="SA648" s="771"/>
      <c r="SB648" s="11"/>
      <c r="SC648" s="11"/>
    </row>
    <row r="649" spans="1:497" ht="12.75" customHeight="1">
      <c r="A649" s="19" t="s">
        <v>7421</v>
      </c>
      <c r="B649" s="127" t="s">
        <v>7728</v>
      </c>
      <c r="C649" s="132" t="s">
        <v>4249</v>
      </c>
      <c r="D649" s="94" t="s">
        <v>4251</v>
      </c>
      <c r="E649" s="766" t="s">
        <v>4252</v>
      </c>
      <c r="F649" s="770" t="s">
        <v>20</v>
      </c>
      <c r="G649" s="770" t="s">
        <v>18</v>
      </c>
      <c r="H649" s="770"/>
      <c r="I649" s="295" t="s">
        <v>4253</v>
      </c>
      <c r="J649" s="94" t="s">
        <v>4254</v>
      </c>
      <c r="K649" s="766" t="s">
        <v>4255</v>
      </c>
      <c r="L649" s="766" t="s">
        <v>3938</v>
      </c>
      <c r="M649" s="770" t="s">
        <v>1238</v>
      </c>
      <c r="N649" s="770"/>
      <c r="O649" s="770" t="s">
        <v>4213</v>
      </c>
      <c r="P649" s="94" t="s">
        <v>4256</v>
      </c>
      <c r="Q649" s="1088">
        <v>29579</v>
      </c>
      <c r="R649" s="297">
        <v>36</v>
      </c>
      <c r="S649" s="770" t="s">
        <v>10</v>
      </c>
      <c r="T649" s="770"/>
      <c r="U649" s="295" t="s">
        <v>4253</v>
      </c>
      <c r="V649" s="770" t="s">
        <v>707</v>
      </c>
      <c r="W649" s="770"/>
      <c r="X649" s="770"/>
      <c r="Y649" s="770" t="s">
        <v>4252</v>
      </c>
      <c r="Z649" s="770" t="s">
        <v>708</v>
      </c>
      <c r="AA649" s="770" t="s">
        <v>781</v>
      </c>
      <c r="AB649" s="295" t="s">
        <v>710</v>
      </c>
      <c r="AC649" s="770" t="s">
        <v>724</v>
      </c>
      <c r="AD649" s="770" t="s">
        <v>711</v>
      </c>
      <c r="AE649" s="770"/>
      <c r="AF649" s="770" t="s">
        <v>712</v>
      </c>
      <c r="AG649" s="766" t="s">
        <v>1132</v>
      </c>
      <c r="AH649" s="766" t="s">
        <v>1096</v>
      </c>
      <c r="AI649" s="770"/>
      <c r="AJ649" s="770" t="s">
        <v>1137</v>
      </c>
      <c r="AK649" s="770" t="s">
        <v>1101</v>
      </c>
      <c r="AL649" s="531">
        <v>31.82</v>
      </c>
      <c r="AM649" s="780">
        <v>11.84</v>
      </c>
      <c r="AN649" s="532">
        <f t="shared" si="201"/>
        <v>0.37209302325581395</v>
      </c>
      <c r="AO649" s="766" t="s">
        <v>1149</v>
      </c>
      <c r="AP649" s="766"/>
      <c r="AQ649" s="766"/>
      <c r="AR649" s="766"/>
      <c r="AS649" s="770"/>
      <c r="AT649" s="770"/>
      <c r="AU649" s="770"/>
      <c r="AV649" s="770"/>
      <c r="AW649" s="770"/>
      <c r="AX649" s="770"/>
      <c r="AY649" s="770"/>
      <c r="AZ649" s="770"/>
      <c r="BA649" s="770"/>
      <c r="BB649" s="770"/>
      <c r="BC649" s="770"/>
      <c r="BD649" s="770"/>
      <c r="BE649" s="770"/>
      <c r="BF649" s="302"/>
      <c r="BG649" s="302"/>
      <c r="BH649" s="770"/>
      <c r="BI649" s="770"/>
      <c r="BJ649" s="770"/>
      <c r="BK649" s="770" t="s">
        <v>1095</v>
      </c>
      <c r="BL649" s="770" t="s">
        <v>4257</v>
      </c>
      <c r="BM649" s="766" t="s">
        <v>1096</v>
      </c>
      <c r="BN649" s="770" t="s">
        <v>1230</v>
      </c>
      <c r="BO649" s="766" t="s">
        <v>1239</v>
      </c>
      <c r="BP649" s="1109">
        <v>31.82</v>
      </c>
      <c r="BQ649" s="773">
        <v>11.84</v>
      </c>
      <c r="BR649" s="774">
        <f>BQ649/BP649</f>
        <v>0.37209302325581395</v>
      </c>
      <c r="BS649" s="766" t="s">
        <v>1149</v>
      </c>
      <c r="BT649" s="766" t="s">
        <v>8133</v>
      </c>
      <c r="BU649" s="766" t="s">
        <v>1249</v>
      </c>
      <c r="BV649" s="770" t="s">
        <v>1247</v>
      </c>
      <c r="BW649" s="770">
        <v>1978</v>
      </c>
      <c r="BX649" s="302"/>
      <c r="BY649" s="770" t="s">
        <v>1207</v>
      </c>
      <c r="BZ649" s="302"/>
      <c r="CA649" s="770"/>
      <c r="CB649" s="770"/>
      <c r="CC649" s="770"/>
      <c r="CD649" s="770"/>
      <c r="CE649" s="770"/>
      <c r="CF649" s="1753"/>
      <c r="CG649" s="1754"/>
      <c r="CH649" s="770"/>
      <c r="CI649" s="770"/>
      <c r="CJ649" s="770"/>
      <c r="CK649" s="770"/>
      <c r="CL649" s="770"/>
      <c r="CM649" s="770"/>
      <c r="CN649" s="770"/>
      <c r="CO649" s="770"/>
      <c r="CP649" s="770"/>
      <c r="CQ649" s="770"/>
      <c r="CR649" s="302"/>
      <c r="CS649" s="770"/>
      <c r="CT649" s="770"/>
      <c r="CU649" s="305"/>
      <c r="CV649" s="770"/>
      <c r="CW649" s="770"/>
      <c r="CX649" s="770"/>
      <c r="CY649" s="770"/>
      <c r="CZ649" s="770"/>
      <c r="DA649" s="306"/>
      <c r="DB649" s="770"/>
      <c r="DC649" s="770"/>
      <c r="DD649" s="770"/>
      <c r="DE649" s="300"/>
      <c r="DF649" s="770"/>
      <c r="DG649" s="770"/>
      <c r="DH649" s="770"/>
      <c r="DI649" s="770"/>
      <c r="DJ649" s="770"/>
      <c r="DK649" s="770"/>
      <c r="DL649" s="770"/>
      <c r="DM649" s="770"/>
      <c r="DN649" s="322"/>
      <c r="DO649" s="770"/>
      <c r="DP649" s="770"/>
      <c r="DQ649" s="770"/>
      <c r="DR649" s="770"/>
      <c r="DS649" s="307"/>
      <c r="DT649" s="12"/>
      <c r="DU649" s="770"/>
      <c r="DV649" s="770"/>
      <c r="DW649" s="306"/>
      <c r="DX649" s="306"/>
      <c r="DY649" s="770"/>
      <c r="DZ649" s="770"/>
      <c r="EA649" s="770"/>
      <c r="EB649" s="770"/>
      <c r="EC649" s="770"/>
      <c r="ED649" s="770"/>
      <c r="EE649" s="770"/>
      <c r="EF649" s="770"/>
      <c r="EG649" s="770"/>
      <c r="EH649" s="770"/>
      <c r="EI649" s="770"/>
      <c r="EJ649" s="770"/>
      <c r="EK649" s="770"/>
      <c r="EL649" s="770"/>
      <c r="EM649" s="770"/>
      <c r="EN649" s="770"/>
      <c r="EO649" s="770"/>
      <c r="EP649" s="94"/>
      <c r="EQ649" s="770"/>
      <c r="ER649" s="770"/>
      <c r="ES649" s="770"/>
      <c r="ET649" s="770"/>
      <c r="EU649" s="770"/>
      <c r="EV649" s="770"/>
      <c r="EW649" s="770"/>
      <c r="EX649" s="770"/>
      <c r="EY649" s="770"/>
      <c r="EZ649" s="770"/>
      <c r="FA649" s="770"/>
      <c r="FB649" s="770"/>
      <c r="FC649" s="770"/>
      <c r="FD649" s="302"/>
      <c r="FE649" s="12"/>
      <c r="FF649" s="770"/>
      <c r="FG649" s="12"/>
      <c r="FH649" s="770" t="s">
        <v>478</v>
      </c>
      <c r="FI649" s="770">
        <v>3</v>
      </c>
      <c r="FJ649" s="770"/>
      <c r="FK649" s="770"/>
      <c r="FL649" s="770"/>
      <c r="FM649" s="302"/>
      <c r="FN649" s="302"/>
      <c r="FO649" s="302"/>
      <c r="FP649" s="769" t="s">
        <v>1600</v>
      </c>
      <c r="FQ649" s="769" t="s">
        <v>3940</v>
      </c>
      <c r="FR649" s="770" t="s">
        <v>1214</v>
      </c>
      <c r="FS649" s="770"/>
      <c r="FT649" s="770"/>
      <c r="FU649" s="770"/>
      <c r="FV649" s="770"/>
      <c r="FW649" s="770"/>
      <c r="FX649" s="770"/>
      <c r="FY649" s="770"/>
      <c r="FZ649" s="770"/>
      <c r="GA649" s="770"/>
      <c r="GB649" s="770" t="s">
        <v>1734</v>
      </c>
      <c r="GC649" s="308"/>
      <c r="GD649" s="297">
        <v>1978</v>
      </c>
      <c r="GE649" s="770" t="s">
        <v>1214</v>
      </c>
      <c r="GF649" s="302"/>
      <c r="GG649" s="302"/>
      <c r="GH649" s="712" t="s">
        <v>1791</v>
      </c>
      <c r="GI649" s="770" t="s">
        <v>1008</v>
      </c>
      <c r="GJ649" s="770" t="s">
        <v>1831</v>
      </c>
      <c r="GK649" s="770" t="s">
        <v>2335</v>
      </c>
      <c r="GL649" s="770"/>
      <c r="GM649" s="770" t="s">
        <v>1835</v>
      </c>
      <c r="GN649" s="299">
        <v>300</v>
      </c>
      <c r="GO649" s="770" t="s">
        <v>2760</v>
      </c>
      <c r="GP649" s="770" t="s">
        <v>1208</v>
      </c>
      <c r="GQ649" s="770"/>
      <c r="GR649" s="770"/>
      <c r="GS649" s="770"/>
      <c r="GT649" s="770"/>
      <c r="GU649" s="770"/>
      <c r="GV649" s="770"/>
      <c r="GW649" s="770" t="s">
        <v>1207</v>
      </c>
      <c r="GX649" s="770"/>
      <c r="GY649" s="770" t="s">
        <v>1208</v>
      </c>
      <c r="GZ649" s="770"/>
      <c r="HA649" s="770" t="s">
        <v>1208</v>
      </c>
      <c r="HB649" s="770" t="s">
        <v>1208</v>
      </c>
      <c r="HC649" s="770" t="s">
        <v>1208</v>
      </c>
      <c r="HD649" s="770" t="s">
        <v>1208</v>
      </c>
      <c r="HE649" s="770" t="s">
        <v>1208</v>
      </c>
      <c r="HF649" s="770"/>
      <c r="HG649" s="770"/>
      <c r="HH649" s="770" t="s">
        <v>4258</v>
      </c>
      <c r="HI649" s="770" t="s">
        <v>1214</v>
      </c>
      <c r="HJ649" s="770"/>
      <c r="HK649" s="770"/>
      <c r="HL649" s="770" t="s">
        <v>1214</v>
      </c>
      <c r="HM649" s="770"/>
      <c r="HN649" s="770"/>
      <c r="HO649" s="770"/>
      <c r="HP649" s="770"/>
      <c r="HQ649" s="770"/>
      <c r="HR649" s="770">
        <v>1</v>
      </c>
      <c r="HS649" s="770"/>
      <c r="HT649" s="770"/>
      <c r="HU649" s="770"/>
      <c r="HV649" s="770"/>
      <c r="HW649" s="770"/>
      <c r="HX649" s="770"/>
      <c r="HY649" s="770"/>
      <c r="HZ649" s="770"/>
      <c r="IA649" s="770"/>
      <c r="IB649" s="14" t="e">
        <f>IF(#REF!&gt;0,IF(#REF!&lt;=10000,"Y",""),"")</f>
        <v>#REF!</v>
      </c>
      <c r="IC649" s="770"/>
      <c r="ID649" s="770"/>
      <c r="IE649" s="770"/>
      <c r="IF649" s="770"/>
      <c r="IG649" s="770"/>
      <c r="IH649" s="770"/>
      <c r="II649" s="770"/>
      <c r="IJ649" s="770"/>
      <c r="IK649" s="770"/>
      <c r="IL649" s="770"/>
      <c r="IM649" s="770"/>
      <c r="IN649" s="770"/>
      <c r="IO649" s="296"/>
      <c r="IP649" s="770"/>
      <c r="IQ649" s="770"/>
      <c r="IR649" s="770"/>
      <c r="IS649" s="770"/>
      <c r="IT649" s="770"/>
      <c r="IU649" s="770"/>
      <c r="IV649" s="770"/>
      <c r="IW649" s="770"/>
      <c r="IX649" s="770"/>
      <c r="IY649" s="295"/>
      <c r="IZ649" s="770"/>
      <c r="JA649" s="770"/>
      <c r="JB649" s="770"/>
      <c r="JC649" s="770"/>
      <c r="JD649" s="302"/>
      <c r="JE649" s="770"/>
      <c r="JF649" s="770"/>
      <c r="JG649" s="770"/>
      <c r="JH649" s="307"/>
      <c r="JI649" s="712" t="str">
        <f>IF(SUM(JT649,JU649)=JJ649,"ok","review")</f>
        <v>ok</v>
      </c>
      <c r="JJ649" s="770">
        <v>3</v>
      </c>
      <c r="JK649" s="1139" t="s">
        <v>4250</v>
      </c>
      <c r="JL649" s="770"/>
      <c r="JM649" s="770">
        <v>1</v>
      </c>
      <c r="JN649" s="770">
        <v>1</v>
      </c>
      <c r="JO649" s="770">
        <v>1</v>
      </c>
      <c r="JP649" s="770"/>
      <c r="JQ649" s="770"/>
      <c r="JR649" s="770"/>
      <c r="JS649" s="770"/>
      <c r="JT649" s="766">
        <f t="shared" si="202"/>
        <v>1</v>
      </c>
      <c r="JU649" s="766">
        <f t="shared" si="202"/>
        <v>2</v>
      </c>
      <c r="JV649" s="712" t="str">
        <f>IF(JT649=KJ649,"ok","male")</f>
        <v>ok</v>
      </c>
      <c r="JW649" s="712" t="str">
        <f>IF(JU649=KK649,"ok","female")</f>
        <v>ok</v>
      </c>
      <c r="JX649" s="770"/>
      <c r="JY649" s="770"/>
      <c r="JZ649" s="770"/>
      <c r="KA649" s="770">
        <v>1</v>
      </c>
      <c r="KB649" s="770"/>
      <c r="KC649" s="770"/>
      <c r="KD649" s="770">
        <v>1</v>
      </c>
      <c r="KE649" s="770">
        <v>1</v>
      </c>
      <c r="KF649" s="770"/>
      <c r="KG649" s="770"/>
      <c r="KH649" s="770"/>
      <c r="KI649" s="770"/>
      <c r="KJ649" s="770">
        <f t="shared" si="168"/>
        <v>1</v>
      </c>
      <c r="KK649" s="770">
        <f t="shared" si="168"/>
        <v>2</v>
      </c>
      <c r="KL649" s="712" t="str">
        <f>IF(KJ649=LN649,"ok","male")</f>
        <v>ok</v>
      </c>
      <c r="KM649" s="712" t="str">
        <f>IF(KK649=LO649,"ok","female")</f>
        <v>ok</v>
      </c>
      <c r="KN649" s="770" t="s">
        <v>707</v>
      </c>
      <c r="KO649" s="770"/>
      <c r="KP649" s="770"/>
      <c r="KQ649" s="770"/>
      <c r="KR649" s="770"/>
      <c r="KS649" s="770"/>
      <c r="KT649" s="770"/>
      <c r="KU649" s="770">
        <v>1</v>
      </c>
      <c r="KV649" s="770"/>
      <c r="KW649" s="770"/>
      <c r="KX649" s="770"/>
      <c r="KY649" s="770"/>
      <c r="KZ649" s="770"/>
      <c r="LA649" s="770"/>
      <c r="LB649" s="770"/>
      <c r="LC649" s="770"/>
      <c r="LD649" s="770">
        <v>1</v>
      </c>
      <c r="LE649" s="770"/>
      <c r="LF649" s="770"/>
      <c r="LG649" s="770"/>
      <c r="LH649" s="770"/>
      <c r="LI649" s="770">
        <v>1</v>
      </c>
      <c r="LJ649" s="770"/>
      <c r="LK649" s="770"/>
      <c r="LL649" s="770"/>
      <c r="LM649" s="770"/>
      <c r="LN649" s="766">
        <f t="shared" si="203"/>
        <v>1</v>
      </c>
      <c r="LO649" s="766">
        <f t="shared" si="203"/>
        <v>2</v>
      </c>
      <c r="LP649" s="770">
        <v>1</v>
      </c>
      <c r="LQ649" s="770"/>
      <c r="LR649" s="770">
        <v>1</v>
      </c>
      <c r="LS649" s="770"/>
      <c r="LT649" s="712" t="str">
        <f>IF(LQ649=SUM(LU649:LW649),"OK","REV")</f>
        <v>OK</v>
      </c>
      <c r="LU649" s="770"/>
      <c r="LV649" s="770"/>
      <c r="LW649" s="770"/>
      <c r="LX649" s="769">
        <v>3</v>
      </c>
      <c r="LY649" s="766" t="str">
        <f t="shared" si="187"/>
        <v>within the PROVINCE</v>
      </c>
      <c r="LZ649" s="1709"/>
      <c r="MA649" s="1709"/>
      <c r="MB649" s="1709"/>
      <c r="MC649" s="1679">
        <f t="shared" si="185"/>
        <v>0</v>
      </c>
      <c r="MD649" s="1709"/>
      <c r="ME649" s="1709">
        <f>800*26</f>
        <v>20800</v>
      </c>
      <c r="MF649" s="1709"/>
      <c r="MG649" s="1680">
        <f>SUM(MD649:MF649)</f>
        <v>20800</v>
      </c>
      <c r="MH649" s="770" t="s">
        <v>2214</v>
      </c>
      <c r="MI649" s="775">
        <f>350*30</f>
        <v>10500</v>
      </c>
      <c r="MJ649" s="775">
        <f>50*30</f>
        <v>1500</v>
      </c>
      <c r="MK649" s="775">
        <f>3000/12</f>
        <v>250</v>
      </c>
      <c r="ML649" s="775">
        <v>1000</v>
      </c>
      <c r="MM649" s="775">
        <f>70*30</f>
        <v>2100</v>
      </c>
      <c r="MN649" s="775"/>
      <c r="MO649" s="775">
        <f>30*30</f>
        <v>900</v>
      </c>
      <c r="MP649" s="775">
        <v>800</v>
      </c>
      <c r="MQ649" s="775">
        <v>400</v>
      </c>
      <c r="MR649" s="775">
        <v>350</v>
      </c>
      <c r="MS649" s="775">
        <v>500</v>
      </c>
      <c r="MT649" s="775"/>
      <c r="MU649" s="775"/>
      <c r="MV649" s="775"/>
      <c r="MW649" s="775"/>
      <c r="MX649" s="775"/>
      <c r="MY649" s="1682">
        <f t="shared" si="200"/>
        <v>18300</v>
      </c>
      <c r="MZ649" s="770" t="s">
        <v>13395</v>
      </c>
      <c r="NA649" s="770" t="s">
        <v>13005</v>
      </c>
      <c r="NB649" s="770" t="s">
        <v>13016</v>
      </c>
      <c r="NC649" s="770" t="s">
        <v>13602</v>
      </c>
      <c r="ND649" s="770">
        <v>0</v>
      </c>
      <c r="NE649" s="770">
        <v>1</v>
      </c>
      <c r="NF649" s="770">
        <v>0</v>
      </c>
      <c r="NG649" s="770">
        <v>2</v>
      </c>
      <c r="NH649" s="770">
        <v>1</v>
      </c>
      <c r="NI649" s="770">
        <v>0</v>
      </c>
      <c r="NJ649" s="770">
        <v>1</v>
      </c>
      <c r="NK649" s="770">
        <v>0</v>
      </c>
      <c r="NL649" s="770">
        <v>0</v>
      </c>
      <c r="NM649" s="770">
        <v>0</v>
      </c>
      <c r="NN649" s="770">
        <v>0</v>
      </c>
      <c r="NO649" s="770">
        <v>0</v>
      </c>
      <c r="NP649" s="770">
        <v>0</v>
      </c>
      <c r="NQ649" s="770">
        <v>0</v>
      </c>
      <c r="NR649" s="770">
        <v>0</v>
      </c>
      <c r="NS649" s="770">
        <v>0</v>
      </c>
      <c r="NT649" s="770">
        <v>0</v>
      </c>
      <c r="NU649" s="770">
        <v>0</v>
      </c>
      <c r="NV649" s="770">
        <v>0</v>
      </c>
      <c r="NW649" s="770">
        <v>1</v>
      </c>
      <c r="NX649" s="770">
        <v>0</v>
      </c>
      <c r="NY649" s="770"/>
      <c r="NZ649" s="770"/>
      <c r="OA649" s="770"/>
      <c r="OB649" s="770"/>
      <c r="OC649" s="770" t="s">
        <v>1208</v>
      </c>
      <c r="OD649" s="770"/>
      <c r="OE649" s="770"/>
      <c r="OF649" s="770"/>
      <c r="OG649" s="770"/>
      <c r="OH649" s="770"/>
      <c r="OI649" s="770"/>
      <c r="OJ649" s="770"/>
      <c r="OK649" s="770"/>
      <c r="OL649" s="770"/>
      <c r="OM649" s="770"/>
      <c r="ON649" s="770"/>
      <c r="OO649" s="770"/>
      <c r="OP649" s="770"/>
      <c r="OQ649" s="770"/>
      <c r="OR649" s="770"/>
      <c r="OS649" s="770"/>
      <c r="OT649" s="770"/>
      <c r="OU649" s="770"/>
      <c r="OV649" s="770"/>
      <c r="OW649" s="770"/>
      <c r="OX649" s="770"/>
      <c r="OY649" s="770"/>
      <c r="OZ649" s="770"/>
      <c r="PA649" s="770"/>
      <c r="PB649" s="770"/>
      <c r="PC649" s="770"/>
      <c r="PD649" s="770"/>
      <c r="PE649" s="770"/>
      <c r="PF649" s="770"/>
      <c r="PG649" s="770"/>
      <c r="PH649" s="770"/>
      <c r="PI649" s="770"/>
      <c r="PJ649" s="770"/>
      <c r="PK649" s="770" t="s">
        <v>1208</v>
      </c>
      <c r="PL649" s="770"/>
      <c r="PM649" s="770"/>
      <c r="PN649" s="770"/>
      <c r="PO649" s="770"/>
      <c r="PP649" s="770"/>
      <c r="PQ649" s="770"/>
      <c r="PR649" s="770"/>
      <c r="PS649" s="770" t="s">
        <v>1208</v>
      </c>
      <c r="PT649" s="770"/>
      <c r="PU649" s="770"/>
      <c r="PV649" s="770"/>
      <c r="PW649" s="770"/>
      <c r="PX649" s="770"/>
      <c r="PY649" s="770"/>
      <c r="PZ649" s="770"/>
      <c r="QA649" s="770"/>
      <c r="QB649" s="770"/>
      <c r="QC649" s="770"/>
      <c r="QD649" s="770"/>
      <c r="QE649" s="770"/>
      <c r="QF649" s="770"/>
      <c r="QG649" s="770"/>
      <c r="QH649" s="770"/>
      <c r="QI649" s="770"/>
      <c r="QJ649" s="770"/>
      <c r="QK649" s="770"/>
      <c r="QL649" s="770"/>
      <c r="QM649" s="770"/>
      <c r="QN649" s="770"/>
      <c r="QO649" s="770"/>
      <c r="QP649" s="770"/>
      <c r="QQ649" s="770"/>
      <c r="QR649" s="770"/>
      <c r="QS649" s="770"/>
      <c r="QT649" s="770"/>
      <c r="QU649" s="770"/>
      <c r="QV649" s="770"/>
      <c r="QW649" s="770"/>
      <c r="QX649" s="770"/>
      <c r="QY649" s="770"/>
      <c r="QZ649" s="770"/>
      <c r="RA649" s="770"/>
      <c r="RB649" s="770" t="s">
        <v>1207</v>
      </c>
      <c r="RC649" s="770">
        <v>2014</v>
      </c>
      <c r="RD649" s="770" t="s">
        <v>13036</v>
      </c>
      <c r="RE649" s="770" t="s">
        <v>12999</v>
      </c>
      <c r="RF649" s="304">
        <v>1.2</v>
      </c>
      <c r="RG649" s="770" t="s">
        <v>13267</v>
      </c>
      <c r="RH649" s="302">
        <v>2000</v>
      </c>
      <c r="RI649" s="770">
        <v>24</v>
      </c>
      <c r="RJ649" s="770" t="s">
        <v>13856</v>
      </c>
      <c r="RK649" s="770" t="s">
        <v>13556</v>
      </c>
      <c r="RL649" s="1710">
        <v>42836</v>
      </c>
      <c r="RM649" s="12"/>
      <c r="RN649" s="1711"/>
      <c r="RO649" s="132" t="s">
        <v>4249</v>
      </c>
      <c r="RP649" s="11"/>
      <c r="RQ649" s="11"/>
      <c r="RR649" s="19" t="s">
        <v>7421</v>
      </c>
      <c r="RS649" s="1139" t="s">
        <v>12980</v>
      </c>
      <c r="RT649" s="11"/>
      <c r="RU649" s="11"/>
      <c r="RV649" s="771" t="s">
        <v>7421</v>
      </c>
      <c r="RW649" s="11" t="s">
        <v>7836</v>
      </c>
      <c r="RX649" s="11" t="s">
        <v>4222</v>
      </c>
      <c r="RY649" s="11"/>
      <c r="RZ649" s="11" t="s">
        <v>1101</v>
      </c>
      <c r="SA649" s="771"/>
      <c r="SB649" s="11"/>
      <c r="SC649" s="11"/>
    </row>
    <row r="650" spans="1:497" ht="12.75" customHeight="1">
      <c r="A650" s="311" t="s">
        <v>14230</v>
      </c>
      <c r="B650" s="752" t="s">
        <v>7729</v>
      </c>
      <c r="C650" s="132" t="s">
        <v>3014</v>
      </c>
      <c r="D650" s="94" t="s">
        <v>3016</v>
      </c>
      <c r="E650" s="766" t="s">
        <v>7935</v>
      </c>
      <c r="F650" s="770" t="s">
        <v>28</v>
      </c>
      <c r="G650" s="770" t="s">
        <v>18</v>
      </c>
      <c r="H650" s="770"/>
      <c r="I650" s="295" t="s">
        <v>3034</v>
      </c>
      <c r="J650" s="94" t="s">
        <v>3016</v>
      </c>
      <c r="K650" s="770"/>
      <c r="L650" s="770"/>
      <c r="M650" s="770"/>
      <c r="N650" s="770"/>
      <c r="O650" s="770"/>
      <c r="P650" s="94" t="s">
        <v>3035</v>
      </c>
      <c r="Q650" s="1088">
        <v>29483</v>
      </c>
      <c r="R650" s="297">
        <v>37</v>
      </c>
      <c r="S650" s="770" t="s">
        <v>18</v>
      </c>
      <c r="T650" s="770"/>
      <c r="U650" s="295" t="s">
        <v>3034</v>
      </c>
      <c r="V650" s="770" t="s">
        <v>768</v>
      </c>
      <c r="W650" s="770"/>
      <c r="X650" s="770"/>
      <c r="Y650" s="770" t="s">
        <v>3033</v>
      </c>
      <c r="Z650" s="770" t="s">
        <v>708</v>
      </c>
      <c r="AA650" s="770" t="s">
        <v>709</v>
      </c>
      <c r="AB650" s="770" t="s">
        <v>710</v>
      </c>
      <c r="AC650" s="770" t="s">
        <v>724</v>
      </c>
      <c r="AD650" s="770" t="s">
        <v>711</v>
      </c>
      <c r="AE650" s="770"/>
      <c r="AF650" s="770" t="s">
        <v>712</v>
      </c>
      <c r="AG650" s="770"/>
      <c r="AH650" s="770"/>
      <c r="AI650" s="770"/>
      <c r="AJ650" s="770" t="s">
        <v>1137</v>
      </c>
      <c r="AK650" s="770" t="s">
        <v>1101</v>
      </c>
      <c r="AL650" s="531"/>
      <c r="AM650" s="780"/>
      <c r="AN650" s="532"/>
      <c r="AO650" s="766"/>
      <c r="AP650" s="766"/>
      <c r="AQ650" s="766"/>
      <c r="AR650" s="766"/>
      <c r="AS650" s="770"/>
      <c r="AT650" s="770"/>
      <c r="AU650" s="770"/>
      <c r="AV650" s="770"/>
      <c r="AW650" s="770"/>
      <c r="AX650" s="770"/>
      <c r="AY650" s="770"/>
      <c r="AZ650" s="770"/>
      <c r="BA650" s="770"/>
      <c r="BB650" s="770"/>
      <c r="BC650" s="770"/>
      <c r="BD650" s="770"/>
      <c r="BE650" s="770"/>
      <c r="BF650" s="302"/>
      <c r="BG650" s="302"/>
      <c r="BH650" s="770"/>
      <c r="BI650" s="770"/>
      <c r="BJ650" s="770"/>
      <c r="BK650" s="770"/>
      <c r="BL650" s="770"/>
      <c r="BM650" s="770" t="s">
        <v>1238</v>
      </c>
      <c r="BN650" s="770" t="s">
        <v>1299</v>
      </c>
      <c r="BO650" s="770"/>
      <c r="BP650" s="765"/>
      <c r="BQ650" s="773"/>
      <c r="BR650" s="774"/>
      <c r="BS650" s="766" t="s">
        <v>1149</v>
      </c>
      <c r="BT650" s="770"/>
      <c r="BU650" s="770"/>
      <c r="BV650" s="770"/>
      <c r="BW650" s="770"/>
      <c r="BX650" s="302"/>
      <c r="BY650" s="770"/>
      <c r="BZ650" s="302"/>
      <c r="CA650" s="770"/>
      <c r="CB650" s="770"/>
      <c r="CC650" s="770"/>
      <c r="CD650" s="770"/>
      <c r="CE650" s="770"/>
      <c r="CF650" s="1753"/>
      <c r="CG650" s="1754"/>
      <c r="CH650" s="770"/>
      <c r="CI650" s="770"/>
      <c r="CJ650" s="770"/>
      <c r="CK650" s="770"/>
      <c r="CL650" s="770"/>
      <c r="CM650" s="770"/>
      <c r="CN650" s="770"/>
      <c r="CO650" s="770"/>
      <c r="CP650" s="770"/>
      <c r="CQ650" s="770"/>
      <c r="CR650" s="302"/>
      <c r="CS650" s="770"/>
      <c r="CT650" s="770"/>
      <c r="CU650" s="305"/>
      <c r="CV650" s="770"/>
      <c r="CW650" s="770"/>
      <c r="CX650" s="770"/>
      <c r="CY650" s="770"/>
      <c r="CZ650" s="770"/>
      <c r="DA650" s="306"/>
      <c r="DB650" s="770"/>
      <c r="DC650" s="770"/>
      <c r="DD650" s="770"/>
      <c r="DE650" s="300"/>
      <c r="DF650" s="770"/>
      <c r="DG650" s="770"/>
      <c r="DH650" s="770"/>
      <c r="DI650" s="770"/>
      <c r="DJ650" s="770"/>
      <c r="DK650" s="770"/>
      <c r="DL650" s="770"/>
      <c r="DM650" s="770"/>
      <c r="DN650" s="322"/>
      <c r="DO650" s="770"/>
      <c r="DP650" s="770"/>
      <c r="DQ650" s="770"/>
      <c r="DR650" s="770"/>
      <c r="DS650" s="307"/>
      <c r="DT650" s="770"/>
      <c r="DU650" s="770"/>
      <c r="DV650" s="770"/>
      <c r="DW650" s="306"/>
      <c r="DX650" s="306"/>
      <c r="DY650" s="770"/>
      <c r="DZ650" s="770"/>
      <c r="EA650" s="770"/>
      <c r="EB650" s="770"/>
      <c r="EC650" s="770"/>
      <c r="ED650" s="770"/>
      <c r="EE650" s="770"/>
      <c r="EF650" s="770"/>
      <c r="EG650" s="770"/>
      <c r="EH650" s="770"/>
      <c r="EI650" s="770"/>
      <c r="EJ650" s="770"/>
      <c r="EK650" s="770"/>
      <c r="EL650" s="770"/>
      <c r="EM650" s="770"/>
      <c r="EN650" s="770"/>
      <c r="EO650" s="770"/>
      <c r="EP650" s="94"/>
      <c r="EQ650" s="770"/>
      <c r="ER650" s="770"/>
      <c r="ES650" s="770"/>
      <c r="ET650" s="770"/>
      <c r="EU650" s="770"/>
      <c r="EV650" s="770"/>
      <c r="EW650" s="770"/>
      <c r="EX650" s="770"/>
      <c r="EY650" s="770"/>
      <c r="EZ650" s="770"/>
      <c r="FA650" s="770"/>
      <c r="FB650" s="770"/>
      <c r="FC650" s="770"/>
      <c r="FD650" s="302"/>
      <c r="FE650" s="770"/>
      <c r="FF650" s="770"/>
      <c r="FG650" s="770"/>
      <c r="FH650" s="770" t="s">
        <v>1305</v>
      </c>
      <c r="FI650" s="770"/>
      <c r="FJ650" s="770" t="s">
        <v>3038</v>
      </c>
      <c r="FK650" s="770"/>
      <c r="FL650" s="770"/>
      <c r="FM650" s="302"/>
      <c r="FN650" s="302"/>
      <c r="FO650" s="302"/>
      <c r="FP650" s="766" t="s">
        <v>1602</v>
      </c>
      <c r="FQ650" s="766" t="s">
        <v>1660</v>
      </c>
      <c r="FR650" s="770" t="s">
        <v>1214</v>
      </c>
      <c r="FS650" s="770"/>
      <c r="FT650" s="770"/>
      <c r="FU650" s="770"/>
      <c r="FV650" s="770"/>
      <c r="FW650" s="770"/>
      <c r="FX650" s="770"/>
      <c r="FY650" s="770"/>
      <c r="FZ650" s="770"/>
      <c r="GA650" s="770"/>
      <c r="GB650" s="770"/>
      <c r="GC650" s="308"/>
      <c r="GD650" s="297"/>
      <c r="GE650" s="770"/>
      <c r="GF650" s="302"/>
      <c r="GG650" s="302"/>
      <c r="GH650" s="770" t="s">
        <v>1791</v>
      </c>
      <c r="GI650" s="770" t="s">
        <v>1008</v>
      </c>
      <c r="GJ650" s="770"/>
      <c r="GK650" s="770" t="s">
        <v>2335</v>
      </c>
      <c r="GL650" s="770"/>
      <c r="GM650" s="770"/>
      <c r="GN650" s="299"/>
      <c r="GO650" s="770"/>
      <c r="GP650" s="770" t="s">
        <v>1208</v>
      </c>
      <c r="GQ650" s="770"/>
      <c r="GR650" s="770"/>
      <c r="GS650" s="770"/>
      <c r="GT650" s="770"/>
      <c r="GU650" s="770"/>
      <c r="GV650" s="770"/>
      <c r="GW650" s="770" t="s">
        <v>1207</v>
      </c>
      <c r="GX650" s="770"/>
      <c r="GY650" s="770"/>
      <c r="GZ650" s="770"/>
      <c r="HA650" s="770"/>
      <c r="HB650" s="770"/>
      <c r="HC650" s="770"/>
      <c r="HD650" s="770" t="s">
        <v>1208</v>
      </c>
      <c r="HE650" s="770" t="s">
        <v>1208</v>
      </c>
      <c r="HF650" s="770"/>
      <c r="HG650" s="770" t="s">
        <v>1208</v>
      </c>
      <c r="HH650" s="770"/>
      <c r="HI650" s="770" t="s">
        <v>1214</v>
      </c>
      <c r="HJ650" s="770"/>
      <c r="HK650" s="770"/>
      <c r="HL650" s="770" t="s">
        <v>1214</v>
      </c>
      <c r="HM650" s="770"/>
      <c r="HN650" s="770"/>
      <c r="HO650" s="770"/>
      <c r="HP650" s="770"/>
      <c r="HQ650" s="770"/>
      <c r="HR650" s="770"/>
      <c r="HS650" s="770"/>
      <c r="HT650" s="770"/>
      <c r="HU650" s="770"/>
      <c r="HV650" s="770"/>
      <c r="HW650" s="770"/>
      <c r="HX650" s="770"/>
      <c r="HY650" s="770"/>
      <c r="HZ650" s="770"/>
      <c r="IA650" s="770"/>
      <c r="IB650" s="14" t="e">
        <f>IF(#REF!&gt;0,IF(#REF!&lt;=10000,"Y",""),"")</f>
        <v>#REF!</v>
      </c>
      <c r="IC650" s="770" t="s">
        <v>1207</v>
      </c>
      <c r="ID650" s="770"/>
      <c r="IE650" s="770">
        <v>1</v>
      </c>
      <c r="IF650" s="770"/>
      <c r="IG650" s="770"/>
      <c r="IH650" s="770"/>
      <c r="II650" s="770"/>
      <c r="IJ650" s="770"/>
      <c r="IK650" s="770"/>
      <c r="IL650" s="770"/>
      <c r="IM650" s="770"/>
      <c r="IN650" s="770"/>
      <c r="IO650" s="296"/>
      <c r="IP650" s="770"/>
      <c r="IQ650" s="770"/>
      <c r="IR650" s="770"/>
      <c r="IS650" s="770"/>
      <c r="IT650" s="770"/>
      <c r="IU650" s="770"/>
      <c r="IV650" s="770"/>
      <c r="IW650" s="770"/>
      <c r="IX650" s="770"/>
      <c r="IY650" s="770"/>
      <c r="IZ650" s="770"/>
      <c r="JA650" s="770"/>
      <c r="JB650" s="770"/>
      <c r="JC650" s="770"/>
      <c r="JD650" s="302"/>
      <c r="JE650" s="770"/>
      <c r="JF650" s="770"/>
      <c r="JG650" s="770"/>
      <c r="JH650" s="307"/>
      <c r="JI650" s="307"/>
      <c r="JJ650" s="770">
        <v>1</v>
      </c>
      <c r="JK650" s="1139" t="s">
        <v>3039</v>
      </c>
      <c r="JL650" s="770"/>
      <c r="JM650" s="770"/>
      <c r="JN650" s="770"/>
      <c r="JO650" s="770">
        <v>1</v>
      </c>
      <c r="JP650" s="770"/>
      <c r="JQ650" s="770"/>
      <c r="JR650" s="770"/>
      <c r="JS650" s="770"/>
      <c r="JT650" s="766">
        <f t="shared" si="202"/>
        <v>0</v>
      </c>
      <c r="JU650" s="766">
        <f t="shared" si="202"/>
        <v>1</v>
      </c>
      <c r="JV650" s="712" t="str">
        <f>IF(JT650=KJ650,"ok","male")</f>
        <v>ok</v>
      </c>
      <c r="JW650" s="712" t="str">
        <f>IF(JU650=KK650,"ok","female")</f>
        <v>ok</v>
      </c>
      <c r="JX650" s="770"/>
      <c r="JY650" s="770"/>
      <c r="JZ650" s="770"/>
      <c r="KA650" s="770"/>
      <c r="KB650" s="770"/>
      <c r="KC650" s="770"/>
      <c r="KD650" s="770"/>
      <c r="KE650" s="770">
        <v>1</v>
      </c>
      <c r="KF650" s="770"/>
      <c r="KG650" s="770"/>
      <c r="KH650" s="770"/>
      <c r="KI650" s="770"/>
      <c r="KJ650" s="770">
        <f t="shared" si="168"/>
        <v>0</v>
      </c>
      <c r="KK650" s="770">
        <f t="shared" si="168"/>
        <v>1</v>
      </c>
      <c r="KL650" s="712" t="str">
        <f>IF(KJ650=LN650,"ok","male")</f>
        <v>ok</v>
      </c>
      <c r="KM650" s="712" t="str">
        <f>IF(KK650=LO650,"ok","female")</f>
        <v>ok</v>
      </c>
      <c r="KN650" s="770" t="s">
        <v>768</v>
      </c>
      <c r="KO650" s="770"/>
      <c r="KP650" s="770"/>
      <c r="KQ650" s="770"/>
      <c r="KR650" s="770"/>
      <c r="KS650" s="770"/>
      <c r="KT650" s="770"/>
      <c r="KU650" s="770"/>
      <c r="KV650" s="770"/>
      <c r="KW650" s="770"/>
      <c r="KX650" s="770"/>
      <c r="KY650" s="770"/>
      <c r="KZ650" s="770"/>
      <c r="LA650" s="770"/>
      <c r="LB650" s="770"/>
      <c r="LC650" s="770"/>
      <c r="LD650" s="770"/>
      <c r="LE650" s="770">
        <v>1</v>
      </c>
      <c r="LF650" s="770"/>
      <c r="LG650" s="770"/>
      <c r="LH650" s="770"/>
      <c r="LI650" s="770"/>
      <c r="LJ650" s="770"/>
      <c r="LK650" s="770"/>
      <c r="LL650" s="770"/>
      <c r="LM650" s="770"/>
      <c r="LN650" s="766">
        <f t="shared" si="203"/>
        <v>0</v>
      </c>
      <c r="LO650" s="766">
        <f t="shared" si="203"/>
        <v>1</v>
      </c>
      <c r="LP650" s="770">
        <v>1</v>
      </c>
      <c r="LQ650" s="770"/>
      <c r="LR650" s="770"/>
      <c r="LS650" s="770">
        <v>1</v>
      </c>
      <c r="LT650" s="712" t="str">
        <f>IF(LQ650=SUM(LU650:LW650),"OK","REV")</f>
        <v>OK</v>
      </c>
      <c r="LU650" s="770"/>
      <c r="LV650" s="770"/>
      <c r="LW650" s="770"/>
      <c r="LX650" s="769">
        <v>1</v>
      </c>
      <c r="LY650" s="766" t="str">
        <f t="shared" si="187"/>
        <v>within the BRGY</v>
      </c>
      <c r="LZ650" s="1709"/>
      <c r="MA650" s="1709"/>
      <c r="MB650" s="1709"/>
      <c r="MC650" s="1679">
        <f t="shared" si="185"/>
        <v>0</v>
      </c>
      <c r="MD650" s="1709"/>
      <c r="ME650" s="1709"/>
      <c r="MF650" s="1709">
        <v>5000</v>
      </c>
      <c r="MG650" s="1680">
        <f>SUM(MD650:MF650)</f>
        <v>5000</v>
      </c>
      <c r="MH650" s="770" t="s">
        <v>2968</v>
      </c>
      <c r="MI650" s="302">
        <v>3000</v>
      </c>
      <c r="MJ650" s="302"/>
      <c r="MK650" s="302">
        <v>1000</v>
      </c>
      <c r="ML650" s="302">
        <v>2000</v>
      </c>
      <c r="MM650" s="302"/>
      <c r="MN650" s="302"/>
      <c r="MO650" s="302">
        <v>150</v>
      </c>
      <c r="MP650" s="302">
        <v>300</v>
      </c>
      <c r="MQ650" s="302">
        <v>250</v>
      </c>
      <c r="MR650" s="302">
        <v>100</v>
      </c>
      <c r="MS650" s="302"/>
      <c r="MT650" s="302"/>
      <c r="MU650" s="302"/>
      <c r="MV650" s="302"/>
      <c r="MW650" s="302"/>
      <c r="MX650" s="302"/>
      <c r="MY650" s="1682">
        <f t="shared" si="200"/>
        <v>6800</v>
      </c>
      <c r="MZ650" s="770" t="s">
        <v>13395</v>
      </c>
      <c r="NA650" s="770" t="s">
        <v>13230</v>
      </c>
      <c r="NB650" s="770" t="s">
        <v>13016</v>
      </c>
      <c r="NC650" s="770" t="s">
        <v>13602</v>
      </c>
      <c r="ND650" s="770">
        <v>0</v>
      </c>
      <c r="NE650" s="770">
        <v>0</v>
      </c>
      <c r="NF650" s="770">
        <v>0</v>
      </c>
      <c r="NG650" s="770">
        <v>1</v>
      </c>
      <c r="NH650" s="770">
        <v>1</v>
      </c>
      <c r="NI650" s="770">
        <v>0</v>
      </c>
      <c r="NJ650" s="770">
        <v>0</v>
      </c>
      <c r="NK650" s="770">
        <v>0</v>
      </c>
      <c r="NL650" s="770">
        <v>0</v>
      </c>
      <c r="NM650" s="770">
        <v>1</v>
      </c>
      <c r="NN650" s="770">
        <v>0</v>
      </c>
      <c r="NO650" s="770">
        <v>0</v>
      </c>
      <c r="NP650" s="770">
        <v>0</v>
      </c>
      <c r="NQ650" s="770">
        <v>0</v>
      </c>
      <c r="NR650" s="770">
        <v>0</v>
      </c>
      <c r="NS650" s="770">
        <v>0</v>
      </c>
      <c r="NT650" s="770">
        <v>0</v>
      </c>
      <c r="NU650" s="770">
        <v>0</v>
      </c>
      <c r="NV650" s="770">
        <v>0</v>
      </c>
      <c r="NW650" s="770">
        <v>0</v>
      </c>
      <c r="NX650" s="770">
        <v>0</v>
      </c>
      <c r="NY650" s="770" t="s">
        <v>1208</v>
      </c>
      <c r="NZ650" s="770"/>
      <c r="OA650" s="770"/>
      <c r="OB650" s="770"/>
      <c r="OC650" s="770" t="s">
        <v>1208</v>
      </c>
      <c r="OD650" s="770"/>
      <c r="OE650" s="770"/>
      <c r="OF650" s="770"/>
      <c r="OG650" s="770"/>
      <c r="OH650" s="770"/>
      <c r="OI650" s="770"/>
      <c r="OJ650" s="770"/>
      <c r="OK650" s="770"/>
      <c r="OL650" s="770"/>
      <c r="OM650" s="770"/>
      <c r="ON650" s="770"/>
      <c r="OO650" s="770"/>
      <c r="OP650" s="770"/>
      <c r="OQ650" s="770"/>
      <c r="OR650" s="770"/>
      <c r="OS650" s="770"/>
      <c r="OT650" s="770"/>
      <c r="OU650" s="770"/>
      <c r="OV650" s="770"/>
      <c r="OW650" s="770"/>
      <c r="OX650" s="770"/>
      <c r="OY650" s="770"/>
      <c r="OZ650" s="770"/>
      <c r="PA650" s="770"/>
      <c r="PB650" s="770"/>
      <c r="PC650" s="770"/>
      <c r="PD650" s="770"/>
      <c r="PE650" s="770"/>
      <c r="PF650" s="770"/>
      <c r="PG650" s="770"/>
      <c r="PH650" s="770"/>
      <c r="PI650" s="770"/>
      <c r="PJ650" s="770"/>
      <c r="PK650" s="770"/>
      <c r="PL650" s="770"/>
      <c r="PM650" s="770"/>
      <c r="PN650" s="770"/>
      <c r="PO650" s="770"/>
      <c r="PP650" s="770"/>
      <c r="PQ650" s="770"/>
      <c r="PR650" s="770"/>
      <c r="PS650" s="770"/>
      <c r="PT650" s="770"/>
      <c r="PU650" s="770"/>
      <c r="PV650" s="770"/>
      <c r="PW650" s="770"/>
      <c r="PX650" s="770"/>
      <c r="PY650" s="770"/>
      <c r="PZ650" s="770"/>
      <c r="QA650" s="770"/>
      <c r="QB650" s="770"/>
      <c r="QC650" s="770"/>
      <c r="QD650" s="770"/>
      <c r="QE650" s="770"/>
      <c r="QF650" s="770"/>
      <c r="QG650" s="770"/>
      <c r="QH650" s="770"/>
      <c r="QI650" s="770"/>
      <c r="QJ650" s="770"/>
      <c r="QK650" s="770"/>
      <c r="QL650" s="770"/>
      <c r="QM650" s="770"/>
      <c r="QN650" s="770"/>
      <c r="QO650" s="770"/>
      <c r="QP650" s="770"/>
      <c r="QQ650" s="770"/>
      <c r="QR650" s="770"/>
      <c r="QS650" s="770"/>
      <c r="QT650" s="770"/>
      <c r="QU650" s="770"/>
      <c r="QV650" s="770"/>
      <c r="QW650" s="770"/>
      <c r="QX650" s="770"/>
      <c r="QY650" s="770" t="s">
        <v>1208</v>
      </c>
      <c r="QZ650" s="770"/>
      <c r="RA650" s="770"/>
      <c r="RB650" s="770" t="s">
        <v>1207</v>
      </c>
      <c r="RC650" s="770">
        <v>2014</v>
      </c>
      <c r="RD650" s="770"/>
      <c r="RE650" s="770" t="s">
        <v>12999</v>
      </c>
      <c r="RF650" s="304">
        <f>CONVERT(3,"ft","m")</f>
        <v>0.91439999999999999</v>
      </c>
      <c r="RG650" s="770" t="s">
        <v>13047</v>
      </c>
      <c r="RH650" s="302">
        <v>0</v>
      </c>
      <c r="RI650" s="770">
        <v>1</v>
      </c>
      <c r="RJ650" s="770" t="s">
        <v>3039</v>
      </c>
      <c r="RK650" s="770" t="s">
        <v>13550</v>
      </c>
      <c r="RL650" s="1710"/>
      <c r="RM650" s="12"/>
      <c r="RN650" s="1711"/>
      <c r="RO650" s="132" t="s">
        <v>3014</v>
      </c>
      <c r="RP650" s="11"/>
      <c r="RQ650" s="11"/>
      <c r="RR650" s="311" t="s">
        <v>12355</v>
      </c>
      <c r="RS650" s="1139" t="s">
        <v>12980</v>
      </c>
      <c r="RT650" s="11"/>
      <c r="RU650" s="11"/>
      <c r="RV650" s="771" t="s">
        <v>7421</v>
      </c>
      <c r="RW650" s="11" t="s">
        <v>7842</v>
      </c>
      <c r="RX650" s="11" t="s">
        <v>4232</v>
      </c>
      <c r="RY650" s="11"/>
      <c r="RZ650" s="11"/>
      <c r="SA650" s="771"/>
      <c r="SB650" s="11"/>
      <c r="SC650" s="11"/>
    </row>
    <row r="651" spans="1:497" ht="12.75" customHeight="1">
      <c r="A651" s="311" t="s">
        <v>14230</v>
      </c>
      <c r="B651" s="752" t="s">
        <v>7730</v>
      </c>
      <c r="C651" s="132" t="s">
        <v>3041</v>
      </c>
      <c r="D651" s="94" t="s">
        <v>3042</v>
      </c>
      <c r="E651" s="766" t="s">
        <v>7936</v>
      </c>
      <c r="F651" s="770" t="s">
        <v>3044</v>
      </c>
      <c r="G651" s="770" t="s">
        <v>10</v>
      </c>
      <c r="H651" s="770"/>
      <c r="I651" s="295" t="s">
        <v>3314</v>
      </c>
      <c r="J651" s="94" t="s">
        <v>3045</v>
      </c>
      <c r="K651" s="770"/>
      <c r="L651" s="770"/>
      <c r="M651" s="770"/>
      <c r="N651" s="770"/>
      <c r="O651" s="770"/>
      <c r="P651" s="94" t="s">
        <v>3046</v>
      </c>
      <c r="Q651" s="1088">
        <v>34497</v>
      </c>
      <c r="R651" s="297">
        <v>22</v>
      </c>
      <c r="S651" s="770" t="s">
        <v>18</v>
      </c>
      <c r="T651" s="770"/>
      <c r="U651" s="298" t="s">
        <v>3047</v>
      </c>
      <c r="V651" s="770" t="s">
        <v>707</v>
      </c>
      <c r="W651" s="770"/>
      <c r="X651" s="770"/>
      <c r="Y651" s="770" t="s">
        <v>3043</v>
      </c>
      <c r="Z651" s="770" t="s">
        <v>708</v>
      </c>
      <c r="AA651" s="770" t="s">
        <v>709</v>
      </c>
      <c r="AB651" s="770" t="s">
        <v>710</v>
      </c>
      <c r="AC651" s="770" t="s">
        <v>724</v>
      </c>
      <c r="AD651" s="770" t="s">
        <v>711</v>
      </c>
      <c r="AE651" s="770"/>
      <c r="AF651" s="770" t="s">
        <v>712</v>
      </c>
      <c r="AG651" s="770"/>
      <c r="AH651" s="770"/>
      <c r="AI651" s="770"/>
      <c r="AJ651" s="770" t="s">
        <v>1137</v>
      </c>
      <c r="AK651" s="770" t="s">
        <v>1101</v>
      </c>
      <c r="AL651" s="531"/>
      <c r="AM651" s="780"/>
      <c r="AN651" s="532"/>
      <c r="AO651" s="766"/>
      <c r="AP651" s="766"/>
      <c r="AQ651" s="766"/>
      <c r="AR651" s="766"/>
      <c r="AS651" s="770"/>
      <c r="AT651" s="770"/>
      <c r="AU651" s="770"/>
      <c r="AV651" s="770"/>
      <c r="AW651" s="770"/>
      <c r="AX651" s="770"/>
      <c r="AY651" s="770"/>
      <c r="AZ651" s="770"/>
      <c r="BA651" s="770"/>
      <c r="BB651" s="770"/>
      <c r="BC651" s="770"/>
      <c r="BD651" s="770"/>
      <c r="BE651" s="770"/>
      <c r="BF651" s="302"/>
      <c r="BG651" s="302"/>
      <c r="BH651" s="770"/>
      <c r="BI651" s="770"/>
      <c r="BJ651" s="770"/>
      <c r="BK651" s="770"/>
      <c r="BL651" s="770"/>
      <c r="BM651" s="770" t="s">
        <v>1238</v>
      </c>
      <c r="BN651" s="770" t="s">
        <v>1299</v>
      </c>
      <c r="BO651" s="770"/>
      <c r="BP651" s="765"/>
      <c r="BQ651" s="773"/>
      <c r="BR651" s="774"/>
      <c r="BS651" s="766" t="s">
        <v>1149</v>
      </c>
      <c r="BT651" s="770"/>
      <c r="BU651" s="770"/>
      <c r="BV651" s="770"/>
      <c r="BW651" s="770"/>
      <c r="BX651" s="302"/>
      <c r="BY651" s="770"/>
      <c r="BZ651" s="302"/>
      <c r="CA651" s="770"/>
      <c r="CB651" s="770"/>
      <c r="CC651" s="770"/>
      <c r="CD651" s="770"/>
      <c r="CE651" s="770"/>
      <c r="CF651" s="1753"/>
      <c r="CG651" s="1754"/>
      <c r="CH651" s="770"/>
      <c r="CI651" s="770"/>
      <c r="CJ651" s="770"/>
      <c r="CK651" s="770"/>
      <c r="CL651" s="770"/>
      <c r="CM651" s="770"/>
      <c r="CN651" s="770"/>
      <c r="CO651" s="770"/>
      <c r="CP651" s="770"/>
      <c r="CQ651" s="770"/>
      <c r="CR651" s="302"/>
      <c r="CS651" s="770"/>
      <c r="CT651" s="770"/>
      <c r="CU651" s="305"/>
      <c r="CV651" s="770"/>
      <c r="CW651" s="770"/>
      <c r="CX651" s="770"/>
      <c r="CY651" s="770"/>
      <c r="CZ651" s="770"/>
      <c r="DA651" s="306"/>
      <c r="DB651" s="770"/>
      <c r="DC651" s="770"/>
      <c r="DD651" s="770"/>
      <c r="DE651" s="300"/>
      <c r="DF651" s="770"/>
      <c r="DG651" s="770"/>
      <c r="DH651" s="770"/>
      <c r="DI651" s="770"/>
      <c r="DJ651" s="770"/>
      <c r="DK651" s="770"/>
      <c r="DL651" s="770"/>
      <c r="DM651" s="770"/>
      <c r="DN651" s="322"/>
      <c r="DO651" s="770"/>
      <c r="DP651" s="770"/>
      <c r="DQ651" s="770"/>
      <c r="DR651" s="770"/>
      <c r="DS651" s="307"/>
      <c r="DT651" s="770"/>
      <c r="DU651" s="770"/>
      <c r="DV651" s="770"/>
      <c r="DW651" s="306"/>
      <c r="DX651" s="306"/>
      <c r="DY651" s="770"/>
      <c r="DZ651" s="770"/>
      <c r="EA651" s="770"/>
      <c r="EB651" s="770"/>
      <c r="EC651" s="770"/>
      <c r="ED651" s="770"/>
      <c r="EE651" s="770"/>
      <c r="EF651" s="770"/>
      <c r="EG651" s="770"/>
      <c r="EH651" s="770"/>
      <c r="EI651" s="770"/>
      <c r="EJ651" s="770"/>
      <c r="EK651" s="770"/>
      <c r="EL651" s="770"/>
      <c r="EM651" s="770"/>
      <c r="EN651" s="770"/>
      <c r="EO651" s="770"/>
      <c r="EP651" s="94"/>
      <c r="EQ651" s="770"/>
      <c r="ER651" s="770"/>
      <c r="ES651" s="770"/>
      <c r="ET651" s="770"/>
      <c r="EU651" s="770"/>
      <c r="EV651" s="770"/>
      <c r="EW651" s="770"/>
      <c r="EX651" s="770"/>
      <c r="EY651" s="770"/>
      <c r="EZ651" s="770"/>
      <c r="FA651" s="770"/>
      <c r="FB651" s="770"/>
      <c r="FC651" s="770"/>
      <c r="FD651" s="302"/>
      <c r="FE651" s="770"/>
      <c r="FF651" s="770"/>
      <c r="FG651" s="770"/>
      <c r="FH651" s="770" t="s">
        <v>478</v>
      </c>
      <c r="FI651" s="770"/>
      <c r="FJ651" s="770"/>
      <c r="FK651" s="770"/>
      <c r="FL651" s="770"/>
      <c r="FM651" s="302"/>
      <c r="FN651" s="302"/>
      <c r="FO651" s="302"/>
      <c r="FP651" s="766" t="s">
        <v>1602</v>
      </c>
      <c r="FQ651" s="766" t="s">
        <v>1660</v>
      </c>
      <c r="FR651" s="770" t="s">
        <v>1214</v>
      </c>
      <c r="FS651" s="770"/>
      <c r="FT651" s="770"/>
      <c r="FU651" s="770"/>
      <c r="FV651" s="770"/>
      <c r="FW651" s="770"/>
      <c r="FX651" s="770"/>
      <c r="FY651" s="770"/>
      <c r="FZ651" s="770"/>
      <c r="GA651" s="770"/>
      <c r="GB651" s="770"/>
      <c r="GC651" s="308"/>
      <c r="GD651" s="297"/>
      <c r="GE651" s="770"/>
      <c r="GF651" s="302"/>
      <c r="GG651" s="302"/>
      <c r="GH651" s="770" t="s">
        <v>1791</v>
      </c>
      <c r="GI651" s="770" t="s">
        <v>1008</v>
      </c>
      <c r="GJ651" s="770"/>
      <c r="GK651" s="770" t="s">
        <v>2335</v>
      </c>
      <c r="GL651" s="770"/>
      <c r="GM651" s="770"/>
      <c r="GN651" s="299"/>
      <c r="GO651" s="770"/>
      <c r="GP651" s="770"/>
      <c r="GQ651" s="770" t="s">
        <v>1208</v>
      </c>
      <c r="GR651" s="770" t="s">
        <v>1208</v>
      </c>
      <c r="GS651" s="770"/>
      <c r="GT651" s="770"/>
      <c r="GU651" s="770"/>
      <c r="GV651" s="770"/>
      <c r="GW651" s="770" t="s">
        <v>1207</v>
      </c>
      <c r="GX651" s="770"/>
      <c r="GY651" s="770" t="s">
        <v>1208</v>
      </c>
      <c r="GZ651" s="770" t="s">
        <v>1208</v>
      </c>
      <c r="HA651" s="770"/>
      <c r="HB651" s="770"/>
      <c r="HC651" s="770"/>
      <c r="HD651" s="770"/>
      <c r="HE651" s="770" t="s">
        <v>1208</v>
      </c>
      <c r="HF651" s="770"/>
      <c r="HG651" s="770"/>
      <c r="HH651" s="770"/>
      <c r="HI651" s="770" t="s">
        <v>1214</v>
      </c>
      <c r="HJ651" s="770"/>
      <c r="HK651" s="770"/>
      <c r="HL651" s="770" t="s">
        <v>1214</v>
      </c>
      <c r="HM651" s="770"/>
      <c r="HN651" s="770"/>
      <c r="HO651" s="770"/>
      <c r="HP651" s="770"/>
      <c r="HQ651" s="770"/>
      <c r="HR651" s="770"/>
      <c r="HS651" s="770"/>
      <c r="HT651" s="770"/>
      <c r="HU651" s="770"/>
      <c r="HV651" s="770"/>
      <c r="HW651" s="770"/>
      <c r="HX651" s="770"/>
      <c r="HY651" s="770"/>
      <c r="HZ651" s="770"/>
      <c r="IA651" s="770"/>
      <c r="IB651" s="14" t="e">
        <f>IF(#REF!&gt;0,IF(#REF!&lt;=10000,"Y",""),"")</f>
        <v>#REF!</v>
      </c>
      <c r="IC651" s="770" t="s">
        <v>1207</v>
      </c>
      <c r="ID651" s="770"/>
      <c r="IE651" s="770"/>
      <c r="IF651" s="770"/>
      <c r="IG651" s="770"/>
      <c r="IH651" s="770"/>
      <c r="II651" s="770"/>
      <c r="IJ651" s="770"/>
      <c r="IK651" s="770"/>
      <c r="IL651" s="770"/>
      <c r="IM651" s="770"/>
      <c r="IN651" s="770"/>
      <c r="IO651" s="296"/>
      <c r="IP651" s="770"/>
      <c r="IQ651" s="770"/>
      <c r="IR651" s="770"/>
      <c r="IS651" s="770"/>
      <c r="IT651" s="770"/>
      <c r="IU651" s="770"/>
      <c r="IV651" s="770"/>
      <c r="IW651" s="770"/>
      <c r="IX651" s="770"/>
      <c r="IY651" s="770"/>
      <c r="IZ651" s="770"/>
      <c r="JA651" s="770"/>
      <c r="JB651" s="770"/>
      <c r="JC651" s="770"/>
      <c r="JD651" s="302"/>
      <c r="JE651" s="770"/>
      <c r="JF651" s="770"/>
      <c r="JG651" s="770"/>
      <c r="JH651" s="307"/>
      <c r="JI651" s="307"/>
      <c r="JJ651" s="770">
        <v>6</v>
      </c>
      <c r="JK651" s="1139" t="s">
        <v>13857</v>
      </c>
      <c r="JL651" s="770">
        <v>1</v>
      </c>
      <c r="JM651" s="770"/>
      <c r="JN651" s="770">
        <v>4</v>
      </c>
      <c r="JO651" s="770">
        <v>1</v>
      </c>
      <c r="JP651" s="770"/>
      <c r="JQ651" s="770"/>
      <c r="JR651" s="770"/>
      <c r="JS651" s="770"/>
      <c r="JT651" s="766">
        <f t="shared" si="202"/>
        <v>5</v>
      </c>
      <c r="JU651" s="766">
        <f t="shared" si="202"/>
        <v>1</v>
      </c>
      <c r="JV651" s="712" t="str">
        <f>IF(JT651=KJ651,"ok","male")</f>
        <v>ok</v>
      </c>
      <c r="JW651" s="712" t="str">
        <f>IF(JU651=KK651,"ok","female")</f>
        <v>ok</v>
      </c>
      <c r="JX651" s="770">
        <v>1</v>
      </c>
      <c r="JY651" s="770"/>
      <c r="JZ651" s="770">
        <v>1</v>
      </c>
      <c r="KA651" s="770"/>
      <c r="KB651" s="770">
        <v>3</v>
      </c>
      <c r="KC651" s="770">
        <v>1</v>
      </c>
      <c r="KD651" s="770"/>
      <c r="KE651" s="770"/>
      <c r="KF651" s="770"/>
      <c r="KG651" s="770"/>
      <c r="KH651" s="770"/>
      <c r="KI651" s="770"/>
      <c r="KJ651" s="770">
        <f t="shared" si="168"/>
        <v>5</v>
      </c>
      <c r="KK651" s="770">
        <f t="shared" si="168"/>
        <v>1</v>
      </c>
      <c r="KL651" s="712" t="str">
        <f>IF(KJ651=LN651,"ok","male")</f>
        <v>ok</v>
      </c>
      <c r="KM651" s="712" t="str">
        <f>IF(KK651=LO651,"ok","female")</f>
        <v>ok</v>
      </c>
      <c r="KN651" s="770" t="s">
        <v>707</v>
      </c>
      <c r="KO651" s="770"/>
      <c r="KP651" s="770"/>
      <c r="KQ651" s="770"/>
      <c r="KR651" s="770"/>
      <c r="KS651" s="770"/>
      <c r="KT651" s="770"/>
      <c r="KU651" s="770"/>
      <c r="KV651" s="770"/>
      <c r="KW651" s="770"/>
      <c r="KX651" s="770">
        <v>1</v>
      </c>
      <c r="KY651" s="770"/>
      <c r="KZ651" s="770"/>
      <c r="LA651" s="770"/>
      <c r="LB651" s="770">
        <v>3</v>
      </c>
      <c r="LC651" s="770"/>
      <c r="LD651" s="770"/>
      <c r="LE651" s="770">
        <v>1</v>
      </c>
      <c r="LF651" s="770"/>
      <c r="LG651" s="770"/>
      <c r="LH651" s="770"/>
      <c r="LI651" s="770"/>
      <c r="LJ651" s="770">
        <v>1</v>
      </c>
      <c r="LK651" s="770"/>
      <c r="LL651" s="770"/>
      <c r="LM651" s="770"/>
      <c r="LN651" s="766">
        <f t="shared" si="203"/>
        <v>5</v>
      </c>
      <c r="LO651" s="766">
        <f t="shared" si="203"/>
        <v>1</v>
      </c>
      <c r="LP651" s="770">
        <v>1</v>
      </c>
      <c r="LQ651" s="770">
        <v>1</v>
      </c>
      <c r="LR651" s="770"/>
      <c r="LS651" s="770"/>
      <c r="LT651" s="712" t="str">
        <f>IF(LQ651=SUM(LU651:LW651),"OK","REV")</f>
        <v>OK</v>
      </c>
      <c r="LU651" s="770"/>
      <c r="LV651" s="770">
        <v>1</v>
      </c>
      <c r="LW651" s="770"/>
      <c r="LX651" s="769">
        <v>3</v>
      </c>
      <c r="LY651" s="766" t="str">
        <f t="shared" si="187"/>
        <v>within the PROVINCE</v>
      </c>
      <c r="LZ651" s="1709">
        <f>160*26</f>
        <v>4160</v>
      </c>
      <c r="MA651" s="1709"/>
      <c r="MB651" s="1709"/>
      <c r="MC651" s="1679">
        <f t="shared" si="185"/>
        <v>4160</v>
      </c>
      <c r="MD651" s="1709">
        <v>16000</v>
      </c>
      <c r="ME651" s="1709"/>
      <c r="MF651" s="1709"/>
      <c r="MG651" s="1680">
        <f>SUM(MD651:MF651)</f>
        <v>16000</v>
      </c>
      <c r="MH651" s="770" t="s">
        <v>3040</v>
      </c>
      <c r="MI651" s="302">
        <v>12000</v>
      </c>
      <c r="MJ651" s="302">
        <f>188*30</f>
        <v>5640</v>
      </c>
      <c r="MK651" s="302">
        <v>1000</v>
      </c>
      <c r="ML651" s="302"/>
      <c r="MM651" s="302">
        <v>8000</v>
      </c>
      <c r="MN651" s="302"/>
      <c r="MO651" s="302">
        <v>300</v>
      </c>
      <c r="MP651" s="302">
        <v>1500</v>
      </c>
      <c r="MQ651" s="302">
        <v>160</v>
      </c>
      <c r="MR651" s="302">
        <v>600</v>
      </c>
      <c r="MS651" s="302"/>
      <c r="MT651" s="302"/>
      <c r="MU651" s="302"/>
      <c r="MV651" s="302"/>
      <c r="MW651" s="302"/>
      <c r="MX651" s="302"/>
      <c r="MY651" s="1682">
        <f t="shared" si="200"/>
        <v>29200</v>
      </c>
      <c r="MZ651" s="770" t="s">
        <v>13395</v>
      </c>
      <c r="NA651" s="770" t="s">
        <v>13005</v>
      </c>
      <c r="NB651" s="770" t="s">
        <v>13016</v>
      </c>
      <c r="NC651" s="770" t="s">
        <v>13602</v>
      </c>
      <c r="ND651" s="770">
        <v>0</v>
      </c>
      <c r="NE651" s="770">
        <v>0</v>
      </c>
      <c r="NF651" s="770">
        <v>0</v>
      </c>
      <c r="NG651" s="770">
        <v>3</v>
      </c>
      <c r="NH651" s="770">
        <v>1</v>
      </c>
      <c r="NI651" s="770">
        <v>0</v>
      </c>
      <c r="NJ651" s="770">
        <v>0</v>
      </c>
      <c r="NK651" s="770">
        <v>0</v>
      </c>
      <c r="NL651" s="770">
        <v>0</v>
      </c>
      <c r="NM651" s="770">
        <v>1</v>
      </c>
      <c r="NN651" s="770">
        <v>0</v>
      </c>
      <c r="NO651" s="770">
        <v>0</v>
      </c>
      <c r="NP651" s="770">
        <v>0</v>
      </c>
      <c r="NQ651" s="770">
        <v>0</v>
      </c>
      <c r="NR651" s="770">
        <v>0</v>
      </c>
      <c r="NS651" s="770">
        <v>0</v>
      </c>
      <c r="NT651" s="770">
        <v>0</v>
      </c>
      <c r="NU651" s="770">
        <v>0</v>
      </c>
      <c r="NV651" s="770">
        <v>0</v>
      </c>
      <c r="NW651" s="770">
        <v>0</v>
      </c>
      <c r="NX651" s="770">
        <v>0</v>
      </c>
      <c r="NY651" s="770" t="s">
        <v>1208</v>
      </c>
      <c r="NZ651" s="770" t="s">
        <v>1208</v>
      </c>
      <c r="OA651" s="770" t="s">
        <v>1208</v>
      </c>
      <c r="OB651" s="770" t="s">
        <v>1208</v>
      </c>
      <c r="OC651" s="770" t="s">
        <v>1208</v>
      </c>
      <c r="OD651" s="770" t="s">
        <v>1208</v>
      </c>
      <c r="OE651" s="770"/>
      <c r="OF651" s="770"/>
      <c r="OG651" s="770"/>
      <c r="OH651" s="770"/>
      <c r="OI651" s="770"/>
      <c r="OJ651" s="770"/>
      <c r="OK651" s="770"/>
      <c r="OL651" s="770"/>
      <c r="OM651" s="770"/>
      <c r="ON651" s="770"/>
      <c r="OO651" s="770"/>
      <c r="OP651" s="770"/>
      <c r="OQ651" s="770"/>
      <c r="OR651" s="770"/>
      <c r="OS651" s="770"/>
      <c r="OT651" s="770"/>
      <c r="OU651" s="770"/>
      <c r="OV651" s="770"/>
      <c r="OW651" s="770"/>
      <c r="OX651" s="770"/>
      <c r="OY651" s="770"/>
      <c r="OZ651" s="770"/>
      <c r="PA651" s="770"/>
      <c r="PB651" s="770"/>
      <c r="PC651" s="770"/>
      <c r="PD651" s="770"/>
      <c r="PE651" s="770"/>
      <c r="PF651" s="770"/>
      <c r="PG651" s="770"/>
      <c r="PH651" s="770"/>
      <c r="PI651" s="770"/>
      <c r="PJ651" s="770"/>
      <c r="PK651" s="770"/>
      <c r="PL651" s="770"/>
      <c r="PM651" s="770"/>
      <c r="PN651" s="770"/>
      <c r="PO651" s="770"/>
      <c r="PP651" s="770"/>
      <c r="PQ651" s="770"/>
      <c r="PR651" s="770"/>
      <c r="PS651" s="770"/>
      <c r="PT651" s="770"/>
      <c r="PU651" s="770"/>
      <c r="PV651" s="770"/>
      <c r="PW651" s="770"/>
      <c r="PX651" s="770"/>
      <c r="PY651" s="770" t="s">
        <v>1208</v>
      </c>
      <c r="PZ651" s="770"/>
      <c r="QA651" s="770"/>
      <c r="QB651" s="770"/>
      <c r="QC651" s="770"/>
      <c r="QD651" s="770"/>
      <c r="QE651" s="770"/>
      <c r="QF651" s="770"/>
      <c r="QG651" s="770"/>
      <c r="QH651" s="770"/>
      <c r="QI651" s="770"/>
      <c r="QJ651" s="770"/>
      <c r="QK651" s="770"/>
      <c r="QL651" s="770"/>
      <c r="QM651" s="770"/>
      <c r="QN651" s="770"/>
      <c r="QO651" s="770"/>
      <c r="QP651" s="770"/>
      <c r="QQ651" s="770"/>
      <c r="QR651" s="770"/>
      <c r="QS651" s="770"/>
      <c r="QT651" s="770"/>
      <c r="QU651" s="770"/>
      <c r="QV651" s="770"/>
      <c r="QW651" s="770"/>
      <c r="QX651" s="770"/>
      <c r="QY651" s="770"/>
      <c r="QZ651" s="770"/>
      <c r="RA651" s="770"/>
      <c r="RB651" s="770" t="s">
        <v>1207</v>
      </c>
      <c r="RC651" s="770">
        <v>2014</v>
      </c>
      <c r="RD651" s="770" t="s">
        <v>13046</v>
      </c>
      <c r="RE651" s="770"/>
      <c r="RF651" s="304">
        <v>1.2</v>
      </c>
      <c r="RG651" s="770" t="s">
        <v>13047</v>
      </c>
      <c r="RH651" s="302">
        <v>2000</v>
      </c>
      <c r="RI651" s="770">
        <v>24</v>
      </c>
      <c r="RJ651" s="770" t="s">
        <v>13858</v>
      </c>
      <c r="RK651" s="770" t="s">
        <v>13550</v>
      </c>
      <c r="RL651" s="1710"/>
      <c r="RM651" s="12"/>
      <c r="RN651" s="1711"/>
      <c r="RO651" s="132" t="s">
        <v>3041</v>
      </c>
      <c r="RP651" s="11"/>
      <c r="RQ651" s="11"/>
      <c r="RR651" s="311" t="s">
        <v>12355</v>
      </c>
      <c r="RS651" s="1139" t="s">
        <v>12980</v>
      </c>
      <c r="RT651" s="11"/>
      <c r="RU651" s="11"/>
      <c r="RV651" s="771" t="s">
        <v>7421</v>
      </c>
      <c r="RW651" s="11" t="s">
        <v>7728</v>
      </c>
      <c r="RX651" s="11" t="s">
        <v>4249</v>
      </c>
      <c r="RY651" s="11"/>
      <c r="RZ651" s="11"/>
      <c r="SA651" s="771"/>
      <c r="SB651" s="11"/>
      <c r="SC651" s="11"/>
    </row>
    <row r="652" spans="1:497" ht="12.75" hidden="1" customHeight="1">
      <c r="A652" s="343" t="s">
        <v>7419</v>
      </c>
      <c r="B652" s="752" t="s">
        <v>7843</v>
      </c>
      <c r="C652" s="132" t="s">
        <v>4259</v>
      </c>
      <c r="D652" s="94" t="s">
        <v>5786</v>
      </c>
      <c r="E652" s="766" t="s">
        <v>5843</v>
      </c>
      <c r="F652" s="770"/>
      <c r="G652" s="770"/>
      <c r="H652" s="770"/>
      <c r="I652" s="295"/>
      <c r="J652" s="94"/>
      <c r="K652" s="766" t="s">
        <v>4260</v>
      </c>
      <c r="L652" s="766" t="s">
        <v>3947</v>
      </c>
      <c r="M652" s="770" t="s">
        <v>1238</v>
      </c>
      <c r="N652" s="770"/>
      <c r="O652" s="770" t="s">
        <v>4213</v>
      </c>
      <c r="P652" s="770"/>
      <c r="Q652" s="1088"/>
      <c r="R652" s="297"/>
      <c r="S652" s="770"/>
      <c r="T652" s="770"/>
      <c r="U652" s="298"/>
      <c r="V652" s="770"/>
      <c r="W652" s="770"/>
      <c r="X652" s="770"/>
      <c r="Y652" s="770"/>
      <c r="Z652" s="770"/>
      <c r="AA652" s="770"/>
      <c r="AB652" s="770"/>
      <c r="AC652" s="770"/>
      <c r="AD652" s="770"/>
      <c r="AE652" s="770"/>
      <c r="AF652" s="770"/>
      <c r="AG652" s="766" t="s">
        <v>1095</v>
      </c>
      <c r="AH652" s="766" t="s">
        <v>1096</v>
      </c>
      <c r="AI652" s="770"/>
      <c r="AJ652" s="770" t="s">
        <v>1137</v>
      </c>
      <c r="AK652" s="770" t="s">
        <v>1097</v>
      </c>
      <c r="AL652" s="531">
        <v>6</v>
      </c>
      <c r="AM652" s="780">
        <v>1.5</v>
      </c>
      <c r="AN652" s="532">
        <f t="shared" si="201"/>
        <v>0.25</v>
      </c>
      <c r="AO652" s="766" t="s">
        <v>1149</v>
      </c>
      <c r="AP652" s="766" t="s">
        <v>11906</v>
      </c>
      <c r="AQ652" s="766"/>
      <c r="AR652" s="766"/>
      <c r="AS652" s="770" t="s">
        <v>1207</v>
      </c>
      <c r="AT652" s="770" t="s">
        <v>1208</v>
      </c>
      <c r="AU652" s="770"/>
      <c r="AV652" s="770"/>
      <c r="AW652" s="770"/>
      <c r="AX652" s="770"/>
      <c r="AY652" s="770"/>
      <c r="AZ652" s="770"/>
      <c r="BA652" s="770"/>
      <c r="BB652" s="770"/>
      <c r="BC652" s="770"/>
      <c r="BD652" s="770"/>
      <c r="BE652" s="770"/>
      <c r="BF652" s="302"/>
      <c r="BG652" s="302"/>
      <c r="BH652" s="770"/>
      <c r="BI652" s="770"/>
      <c r="BJ652" s="770"/>
      <c r="BK652" s="770" t="s">
        <v>1095</v>
      </c>
      <c r="BL652" s="770" t="s">
        <v>4261</v>
      </c>
      <c r="BM652" s="766" t="s">
        <v>1096</v>
      </c>
      <c r="BN652" s="770" t="s">
        <v>1230</v>
      </c>
      <c r="BO652" s="766" t="s">
        <v>1239</v>
      </c>
      <c r="BP652" s="765">
        <v>122</v>
      </c>
      <c r="BQ652" s="773">
        <v>3</v>
      </c>
      <c r="BR652" s="774">
        <f>BQ652/BP652</f>
        <v>2.4590163934426229E-2</v>
      </c>
      <c r="BS652" s="766" t="s">
        <v>1242</v>
      </c>
      <c r="BT652" s="766" t="s">
        <v>2040</v>
      </c>
      <c r="BU652" s="770" t="s">
        <v>1249</v>
      </c>
      <c r="BV652" s="770" t="s">
        <v>1247</v>
      </c>
      <c r="BW652" s="769"/>
      <c r="BX652" s="302"/>
      <c r="BY652" s="770"/>
      <c r="BZ652" s="302"/>
      <c r="CA652" s="770"/>
      <c r="CB652" s="770" t="s">
        <v>1207</v>
      </c>
      <c r="CC652" s="770"/>
      <c r="CD652" s="770"/>
      <c r="CE652" s="770"/>
      <c r="CF652" s="1753"/>
      <c r="CG652" s="1754"/>
      <c r="CH652" s="770"/>
      <c r="CI652" s="770"/>
      <c r="CJ652" s="770"/>
      <c r="CK652" s="770"/>
      <c r="CL652" s="770"/>
      <c r="CM652" s="770"/>
      <c r="CN652" s="770"/>
      <c r="CO652" s="770"/>
      <c r="CP652" s="770"/>
      <c r="CQ652" s="770"/>
      <c r="CR652" s="302"/>
      <c r="CS652" s="770"/>
      <c r="CT652" s="770"/>
      <c r="CU652" s="305"/>
      <c r="CV652" s="770"/>
      <c r="CW652" s="770"/>
      <c r="CX652" s="770"/>
      <c r="CY652" s="770"/>
      <c r="CZ652" s="770"/>
      <c r="DA652" s="306"/>
      <c r="DB652" s="770"/>
      <c r="DC652" s="770"/>
      <c r="DD652" s="770"/>
      <c r="DE652" s="300"/>
      <c r="DF652" s="770"/>
      <c r="DG652" s="770"/>
      <c r="DH652" s="770"/>
      <c r="DI652" s="770"/>
      <c r="DJ652" s="770"/>
      <c r="DK652" s="770"/>
      <c r="DL652" s="770"/>
      <c r="DM652" s="770"/>
      <c r="DN652" s="322"/>
      <c r="DO652" s="770"/>
      <c r="DP652" s="770"/>
      <c r="DQ652" s="770"/>
      <c r="DR652" s="770"/>
      <c r="DS652" s="307"/>
      <c r="DT652" s="770"/>
      <c r="DU652" s="770"/>
      <c r="DV652" s="770"/>
      <c r="DW652" s="306"/>
      <c r="DX652" s="306"/>
      <c r="DY652" s="770"/>
      <c r="DZ652" s="770"/>
      <c r="EA652" s="770"/>
      <c r="EB652" s="770"/>
      <c r="EC652" s="770"/>
      <c r="ED652" s="770"/>
      <c r="EE652" s="770"/>
      <c r="EF652" s="770"/>
      <c r="EG652" s="770"/>
      <c r="EH652" s="770"/>
      <c r="EI652" s="770"/>
      <c r="EJ652" s="770"/>
      <c r="EK652" s="770"/>
      <c r="EL652" s="770"/>
      <c r="EM652" s="770"/>
      <c r="EN652" s="770"/>
      <c r="EO652" s="770"/>
      <c r="EP652" s="94"/>
      <c r="EQ652" s="770"/>
      <c r="ER652" s="770"/>
      <c r="ES652" s="770"/>
      <c r="ET652" s="770"/>
      <c r="EU652" s="770"/>
      <c r="EV652" s="770"/>
      <c r="EW652" s="770"/>
      <c r="EX652" s="770"/>
      <c r="EY652" s="770"/>
      <c r="EZ652" s="770" t="s">
        <v>4261</v>
      </c>
      <c r="FA652" s="770" t="s">
        <v>4262</v>
      </c>
      <c r="FB652" s="770" t="s">
        <v>1257</v>
      </c>
      <c r="FC652" s="770"/>
      <c r="FD652" s="302"/>
      <c r="FE652" s="770"/>
      <c r="FF652" s="770"/>
      <c r="FG652" s="770" t="s">
        <v>4263</v>
      </c>
      <c r="FH652" s="770" t="s">
        <v>478</v>
      </c>
      <c r="FI652" s="770"/>
      <c r="FJ652" s="770"/>
      <c r="FK652" s="770"/>
      <c r="FL652" s="770"/>
      <c r="FM652" s="302"/>
      <c r="FN652" s="302"/>
      <c r="FO652" s="302"/>
      <c r="FP652" s="770" t="s">
        <v>1600</v>
      </c>
      <c r="FQ652" s="770" t="s">
        <v>1642</v>
      </c>
      <c r="FR652" s="770"/>
      <c r="FS652" s="770"/>
      <c r="FT652" s="770"/>
      <c r="FU652" s="770"/>
      <c r="FV652" s="770"/>
      <c r="FW652" s="770"/>
      <c r="FX652" s="770"/>
      <c r="FY652" s="770"/>
      <c r="FZ652" s="770"/>
      <c r="GA652" s="770"/>
      <c r="GB652" s="770"/>
      <c r="GC652" s="308"/>
      <c r="GD652" s="297"/>
      <c r="GE652" s="770"/>
      <c r="GF652" s="302"/>
      <c r="GG652" s="302"/>
      <c r="GH652" s="770"/>
      <c r="GI652" s="770"/>
      <c r="GJ652" s="770"/>
      <c r="GK652" s="770"/>
      <c r="GL652" s="770"/>
      <c r="GM652" s="770"/>
      <c r="GN652" s="299"/>
      <c r="GO652" s="770"/>
      <c r="GP652" s="770"/>
      <c r="GQ652" s="770"/>
      <c r="GR652" s="770"/>
      <c r="GS652" s="770"/>
      <c r="GT652" s="770"/>
      <c r="GU652" s="770"/>
      <c r="GV652" s="770"/>
      <c r="GW652" s="770"/>
      <c r="GX652" s="770"/>
      <c r="GY652" s="770"/>
      <c r="GZ652" s="770"/>
      <c r="HA652" s="770"/>
      <c r="HB652" s="770"/>
      <c r="HC652" s="770"/>
      <c r="HD652" s="770"/>
      <c r="HE652" s="770"/>
      <c r="HF652" s="770"/>
      <c r="HG652" s="770"/>
      <c r="HH652" s="770"/>
      <c r="HI652" s="770"/>
      <c r="HJ652" s="770"/>
      <c r="HK652" s="770"/>
      <c r="HL652" s="770"/>
      <c r="HM652" s="770"/>
      <c r="HN652" s="770"/>
      <c r="HO652" s="770"/>
      <c r="HP652" s="770"/>
      <c r="HQ652" s="770"/>
      <c r="HR652" s="770">
        <v>2</v>
      </c>
      <c r="HS652" s="770">
        <v>1</v>
      </c>
      <c r="HT652" s="770"/>
      <c r="HU652" s="770"/>
      <c r="HV652" s="770"/>
      <c r="HW652" s="770"/>
      <c r="HX652" s="770"/>
      <c r="HY652" s="770"/>
      <c r="HZ652" s="770"/>
      <c r="IA652" s="770"/>
      <c r="IB652" s="770"/>
      <c r="IC652" s="770"/>
      <c r="ID652" s="770"/>
      <c r="IE652" s="770"/>
      <c r="IF652" s="770" t="s">
        <v>4261</v>
      </c>
      <c r="IG652" s="770"/>
      <c r="IH652" s="770"/>
      <c r="II652" s="770"/>
      <c r="IJ652" s="770"/>
      <c r="IK652" s="770"/>
      <c r="IL652" s="770"/>
      <c r="IM652" s="770"/>
      <c r="IN652" s="770"/>
      <c r="IO652" s="296"/>
      <c r="IP652" s="770"/>
      <c r="IQ652" s="769" t="s">
        <v>1882</v>
      </c>
      <c r="IR652" s="770"/>
      <c r="IS652" s="770" t="s">
        <v>1882</v>
      </c>
      <c r="IT652" s="770"/>
      <c r="IU652" s="770"/>
      <c r="IV652" s="770"/>
      <c r="IW652" s="770"/>
      <c r="IX652" s="770"/>
      <c r="IY652" s="770"/>
      <c r="IZ652" s="770"/>
      <c r="JA652" s="770"/>
      <c r="JB652" s="770"/>
      <c r="JC652" s="770"/>
      <c r="JD652" s="302"/>
      <c r="JE652" s="770"/>
      <c r="JF652" s="770"/>
      <c r="JG652" s="770"/>
      <c r="JH652" s="307"/>
      <c r="JI652" s="307"/>
      <c r="JJ652" s="770"/>
      <c r="JK652" s="770"/>
      <c r="JL652" s="770"/>
      <c r="JM652" s="770"/>
      <c r="JN652" s="770"/>
      <c r="JO652" s="770"/>
      <c r="JP652" s="770"/>
      <c r="JQ652" s="770"/>
      <c r="JR652" s="770"/>
      <c r="JS652" s="770"/>
      <c r="JT652" s="766"/>
      <c r="JU652" s="766"/>
      <c r="JV652" s="766"/>
      <c r="JW652" s="766"/>
      <c r="JX652" s="770"/>
      <c r="JY652" s="770"/>
      <c r="JZ652" s="770"/>
      <c r="KA652" s="770"/>
      <c r="KB652" s="770"/>
      <c r="KC652" s="770"/>
      <c r="KD652" s="770"/>
      <c r="KE652" s="770"/>
      <c r="KF652" s="770"/>
      <c r="KG652" s="770"/>
      <c r="KH652" s="770"/>
      <c r="KI652" s="770"/>
      <c r="KJ652" s="770"/>
      <c r="KK652" s="770"/>
      <c r="KL652" s="770"/>
      <c r="KM652" s="770"/>
      <c r="KN652" s="770"/>
      <c r="KO652" s="770"/>
      <c r="KP652" s="770"/>
      <c r="KQ652" s="770"/>
      <c r="KR652" s="770"/>
      <c r="KS652" s="770"/>
      <c r="KT652" s="770"/>
      <c r="KU652" s="770"/>
      <c r="KV652" s="770"/>
      <c r="KW652" s="770"/>
      <c r="KX652" s="770"/>
      <c r="KY652" s="770"/>
      <c r="KZ652" s="770"/>
      <c r="LA652" s="770"/>
      <c r="LB652" s="770"/>
      <c r="LC652" s="770"/>
      <c r="LD652" s="770"/>
      <c r="LE652" s="770"/>
      <c r="LF652" s="770"/>
      <c r="LG652" s="770"/>
      <c r="LH652" s="770"/>
      <c r="LI652" s="770"/>
      <c r="LJ652" s="770"/>
      <c r="LK652" s="770"/>
      <c r="LL652" s="770"/>
      <c r="LM652" s="770"/>
      <c r="LN652" s="766"/>
      <c r="LO652" s="766"/>
      <c r="LP652" s="770"/>
      <c r="LQ652" s="770"/>
      <c r="LR652" s="770"/>
      <c r="LS652" s="770"/>
      <c r="LT652" s="770"/>
      <c r="LU652" s="770"/>
      <c r="LV652" s="770"/>
      <c r="LW652" s="770"/>
      <c r="LX652" s="769"/>
      <c r="LY652" s="766" t="str">
        <f t="shared" si="187"/>
        <v/>
      </c>
      <c r="LZ652" s="1709"/>
      <c r="MA652" s="1709"/>
      <c r="MB652" s="1709"/>
      <c r="MC652" s="1679">
        <f t="shared" si="185"/>
        <v>0</v>
      </c>
      <c r="MD652" s="1709"/>
      <c r="ME652" s="1709"/>
      <c r="MF652" s="1709"/>
      <c r="MG652" s="1680">
        <f t="shared" si="199"/>
        <v>0</v>
      </c>
      <c r="MH652" s="770"/>
      <c r="MI652" s="302"/>
      <c r="MJ652" s="302"/>
      <c r="MK652" s="302"/>
      <c r="ML652" s="302"/>
      <c r="MM652" s="302"/>
      <c r="MN652" s="302"/>
      <c r="MO652" s="302"/>
      <c r="MP652" s="302"/>
      <c r="MQ652" s="302"/>
      <c r="MR652" s="302"/>
      <c r="MS652" s="302"/>
      <c r="MT652" s="302"/>
      <c r="MU652" s="302"/>
      <c r="MV652" s="302"/>
      <c r="MW652" s="302"/>
      <c r="MX652" s="302"/>
      <c r="MY652" s="1682">
        <f t="shared" si="200"/>
        <v>0</v>
      </c>
      <c r="MZ652" s="770"/>
      <c r="NA652" s="770"/>
      <c r="NB652" s="770"/>
      <c r="NC652" s="770"/>
      <c r="ND652" s="770"/>
      <c r="NE652" s="770"/>
      <c r="NF652" s="770"/>
      <c r="NG652" s="770"/>
      <c r="NH652" s="770"/>
      <c r="NI652" s="770"/>
      <c r="NJ652" s="770"/>
      <c r="NK652" s="770"/>
      <c r="NL652" s="770"/>
      <c r="NM652" s="770"/>
      <c r="NN652" s="770"/>
      <c r="NO652" s="770"/>
      <c r="NP652" s="770"/>
      <c r="NQ652" s="770"/>
      <c r="NR652" s="770"/>
      <c r="NS652" s="770"/>
      <c r="NT652" s="770"/>
      <c r="NU652" s="770"/>
      <c r="NV652" s="770"/>
      <c r="NW652" s="770"/>
      <c r="NX652" s="770"/>
      <c r="NY652" s="770"/>
      <c r="NZ652" s="770"/>
      <c r="OA652" s="770"/>
      <c r="OB652" s="770"/>
      <c r="OC652" s="770"/>
      <c r="OD652" s="770"/>
      <c r="OE652" s="770"/>
      <c r="OF652" s="770"/>
      <c r="OG652" s="770"/>
      <c r="OH652" s="770"/>
      <c r="OI652" s="770"/>
      <c r="OJ652" s="770"/>
      <c r="OK652" s="770"/>
      <c r="OL652" s="770"/>
      <c r="OM652" s="770"/>
      <c r="ON652" s="770"/>
      <c r="OO652" s="770"/>
      <c r="OP652" s="770"/>
      <c r="OQ652" s="770"/>
      <c r="OR652" s="770"/>
      <c r="OS652" s="770"/>
      <c r="OT652" s="770"/>
      <c r="OU652" s="770"/>
      <c r="OV652" s="770"/>
      <c r="OW652" s="770"/>
      <c r="OX652" s="770"/>
      <c r="OY652" s="770"/>
      <c r="OZ652" s="770"/>
      <c r="PA652" s="770"/>
      <c r="PB652" s="770"/>
      <c r="PC652" s="770"/>
      <c r="PD652" s="770"/>
      <c r="PE652" s="770"/>
      <c r="PF652" s="770"/>
      <c r="PG652" s="770"/>
      <c r="PH652" s="770"/>
      <c r="PI652" s="770"/>
      <c r="PJ652" s="770"/>
      <c r="PK652" s="770"/>
      <c r="PL652" s="770"/>
      <c r="PM652" s="770"/>
      <c r="PN652" s="770"/>
      <c r="PO652" s="770"/>
      <c r="PP652" s="770"/>
      <c r="PQ652" s="770"/>
      <c r="PR652" s="770"/>
      <c r="PS652" s="770"/>
      <c r="PT652" s="770"/>
      <c r="PU652" s="770"/>
      <c r="PV652" s="770"/>
      <c r="PW652" s="770"/>
      <c r="PX652" s="770"/>
      <c r="PY652" s="770"/>
      <c r="PZ652" s="770"/>
      <c r="QA652" s="770"/>
      <c r="QB652" s="770"/>
      <c r="QC652" s="770"/>
      <c r="QD652" s="770"/>
      <c r="QE652" s="770"/>
      <c r="QF652" s="770"/>
      <c r="QG652" s="770"/>
      <c r="QH652" s="770"/>
      <c r="QI652" s="770"/>
      <c r="QJ652" s="770"/>
      <c r="QK652" s="770"/>
      <c r="QL652" s="770"/>
      <c r="QM652" s="770"/>
      <c r="QN652" s="770"/>
      <c r="QO652" s="770"/>
      <c r="QP652" s="770"/>
      <c r="QQ652" s="770"/>
      <c r="QR652" s="770"/>
      <c r="QS652" s="770"/>
      <c r="QT652" s="770"/>
      <c r="QU652" s="770"/>
      <c r="QV652" s="770"/>
      <c r="QW652" s="770"/>
      <c r="QX652" s="770"/>
      <c r="QY652" s="770"/>
      <c r="QZ652" s="770"/>
      <c r="RA652" s="770"/>
      <c r="RB652" s="770"/>
      <c r="RC652" s="770"/>
      <c r="RD652" s="770"/>
      <c r="RE652" s="770"/>
      <c r="RF652" s="304"/>
      <c r="RG652" s="770"/>
      <c r="RH652" s="302"/>
      <c r="RI652" s="770"/>
      <c r="RJ652" s="770" t="s">
        <v>13378</v>
      </c>
      <c r="RK652" s="770" t="s">
        <v>13378</v>
      </c>
      <c r="RL652" s="1710"/>
      <c r="RM652" s="12"/>
      <c r="RN652" s="1711"/>
      <c r="RO652" s="132" t="s">
        <v>4259</v>
      </c>
      <c r="RP652" s="11"/>
      <c r="RQ652" s="11"/>
      <c r="RR652" s="17"/>
      <c r="RS652" s="767"/>
      <c r="RT652" s="11"/>
      <c r="RU652" s="11"/>
      <c r="RV652" s="771" t="s">
        <v>12355</v>
      </c>
      <c r="RW652" s="11" t="s">
        <v>7729</v>
      </c>
      <c r="RX652" s="11" t="s">
        <v>3014</v>
      </c>
      <c r="RY652" s="11"/>
      <c r="RZ652" s="11" t="s">
        <v>1101</v>
      </c>
      <c r="SA652" s="771"/>
      <c r="SB652" s="11"/>
      <c r="SC652" s="11"/>
    </row>
    <row r="653" spans="1:497" ht="12.75" hidden="1" customHeight="1">
      <c r="A653" s="343" t="s">
        <v>14231</v>
      </c>
      <c r="B653" s="752" t="s">
        <v>7844</v>
      </c>
      <c r="C653" s="132" t="s">
        <v>4259</v>
      </c>
      <c r="D653" s="94"/>
      <c r="E653" s="766" t="s">
        <v>7846</v>
      </c>
      <c r="F653" s="770"/>
      <c r="G653" s="770"/>
      <c r="H653" s="770"/>
      <c r="I653" s="295"/>
      <c r="J653" s="94"/>
      <c r="K653" s="766"/>
      <c r="L653" s="766"/>
      <c r="M653" s="770"/>
      <c r="N653" s="770"/>
      <c r="O653" s="770"/>
      <c r="P653" s="770"/>
      <c r="Q653" s="1088"/>
      <c r="R653" s="297"/>
      <c r="S653" s="770"/>
      <c r="T653" s="770"/>
      <c r="U653" s="298"/>
      <c r="V653" s="770"/>
      <c r="W653" s="770"/>
      <c r="X653" s="770"/>
      <c r="Y653" s="770"/>
      <c r="Z653" s="770"/>
      <c r="AA653" s="770"/>
      <c r="AB653" s="770"/>
      <c r="AC653" s="770"/>
      <c r="AD653" s="770"/>
      <c r="AE653" s="770"/>
      <c r="AF653" s="770"/>
      <c r="AG653" s="770"/>
      <c r="AH653" s="770"/>
      <c r="AI653" s="770"/>
      <c r="AJ653" s="770"/>
      <c r="AK653" s="770" t="s">
        <v>1899</v>
      </c>
      <c r="AL653" s="531"/>
      <c r="AM653" s="780"/>
      <c r="AN653" s="532"/>
      <c r="AO653" s="766"/>
      <c r="AP653" s="766"/>
      <c r="AQ653" s="766"/>
      <c r="AR653" s="766"/>
      <c r="AS653" s="770"/>
      <c r="AT653" s="770"/>
      <c r="AU653" s="770"/>
      <c r="AV653" s="770"/>
      <c r="AW653" s="770"/>
      <c r="AX653" s="770"/>
      <c r="AY653" s="770"/>
      <c r="AZ653" s="770"/>
      <c r="BA653" s="770"/>
      <c r="BB653" s="770"/>
      <c r="BC653" s="770"/>
      <c r="BD653" s="770"/>
      <c r="BE653" s="770"/>
      <c r="BF653" s="302"/>
      <c r="BG653" s="302"/>
      <c r="BH653" s="770"/>
      <c r="BI653" s="770"/>
      <c r="BJ653" s="770"/>
      <c r="BK653" s="770"/>
      <c r="BL653" s="770"/>
      <c r="BM653" s="770" t="s">
        <v>1238</v>
      </c>
      <c r="BN653" s="766" t="s">
        <v>1256</v>
      </c>
      <c r="BO653" s="770"/>
      <c r="BP653" s="765"/>
      <c r="BQ653" s="773"/>
      <c r="BR653" s="774"/>
      <c r="BS653" s="766" t="s">
        <v>1242</v>
      </c>
      <c r="BT653" s="770"/>
      <c r="BU653" s="770"/>
      <c r="BV653" s="770"/>
      <c r="BW653" s="770"/>
      <c r="BX653" s="302"/>
      <c r="BY653" s="770"/>
      <c r="BZ653" s="302"/>
      <c r="CA653" s="770"/>
      <c r="CB653" s="770"/>
      <c r="CC653" s="770"/>
      <c r="CD653" s="770"/>
      <c r="CE653" s="770"/>
      <c r="CF653" s="1753"/>
      <c r="CG653" s="1754"/>
      <c r="CH653" s="770"/>
      <c r="CI653" s="770"/>
      <c r="CJ653" s="770"/>
      <c r="CK653" s="770"/>
      <c r="CL653" s="770"/>
      <c r="CM653" s="770"/>
      <c r="CN653" s="770"/>
      <c r="CO653" s="770"/>
      <c r="CP653" s="770"/>
      <c r="CQ653" s="770"/>
      <c r="CR653" s="302"/>
      <c r="CS653" s="770"/>
      <c r="CT653" s="770"/>
      <c r="CU653" s="305"/>
      <c r="CV653" s="770"/>
      <c r="CW653" s="770"/>
      <c r="CX653" s="770"/>
      <c r="CY653" s="770"/>
      <c r="CZ653" s="770"/>
      <c r="DA653" s="306"/>
      <c r="DB653" s="770"/>
      <c r="DC653" s="770"/>
      <c r="DD653" s="770"/>
      <c r="DE653" s="300"/>
      <c r="DF653" s="770"/>
      <c r="DG653" s="770"/>
      <c r="DH653" s="770"/>
      <c r="DI653" s="770"/>
      <c r="DJ653" s="770"/>
      <c r="DK653" s="770"/>
      <c r="DL653" s="770"/>
      <c r="DM653" s="770"/>
      <c r="DN653" s="322"/>
      <c r="DO653" s="770"/>
      <c r="DP653" s="770"/>
      <c r="DQ653" s="770"/>
      <c r="DR653" s="770"/>
      <c r="DS653" s="307"/>
      <c r="DT653" s="770"/>
      <c r="DU653" s="770"/>
      <c r="DV653" s="770"/>
      <c r="DW653" s="306"/>
      <c r="DX653" s="306"/>
      <c r="DY653" s="770"/>
      <c r="DZ653" s="770"/>
      <c r="EA653" s="770"/>
      <c r="EB653" s="770"/>
      <c r="EC653" s="770"/>
      <c r="ED653" s="770"/>
      <c r="EE653" s="770"/>
      <c r="EF653" s="770"/>
      <c r="EG653" s="770"/>
      <c r="EH653" s="770"/>
      <c r="EI653" s="770"/>
      <c r="EJ653" s="770"/>
      <c r="EK653" s="770"/>
      <c r="EL653" s="770"/>
      <c r="EM653" s="770"/>
      <c r="EN653" s="770"/>
      <c r="EO653" s="770"/>
      <c r="EP653" s="94"/>
      <c r="EQ653" s="770"/>
      <c r="ER653" s="770"/>
      <c r="ES653" s="770"/>
      <c r="ET653" s="770"/>
      <c r="EU653" s="770"/>
      <c r="EV653" s="770"/>
      <c r="EW653" s="770"/>
      <c r="EX653" s="770"/>
      <c r="EY653" s="770"/>
      <c r="EZ653" s="770"/>
      <c r="FA653" s="770"/>
      <c r="FB653" s="770"/>
      <c r="FC653" s="770"/>
      <c r="FD653" s="302"/>
      <c r="FE653" s="770"/>
      <c r="FF653" s="770"/>
      <c r="FG653" s="770"/>
      <c r="FH653" s="770"/>
      <c r="FI653" s="770"/>
      <c r="FJ653" s="770"/>
      <c r="FK653" s="770"/>
      <c r="FL653" s="770"/>
      <c r="FM653" s="302"/>
      <c r="FN653" s="302"/>
      <c r="FO653" s="302"/>
      <c r="FP653" s="770"/>
      <c r="FQ653" s="770"/>
      <c r="FR653" s="770"/>
      <c r="FS653" s="770"/>
      <c r="FT653" s="770"/>
      <c r="FU653" s="770"/>
      <c r="FV653" s="770"/>
      <c r="FW653" s="770"/>
      <c r="FX653" s="770"/>
      <c r="FY653" s="770"/>
      <c r="FZ653" s="770"/>
      <c r="GA653" s="770"/>
      <c r="GB653" s="770"/>
      <c r="GC653" s="308"/>
      <c r="GD653" s="297"/>
      <c r="GE653" s="770"/>
      <c r="GF653" s="302"/>
      <c r="GG653" s="302"/>
      <c r="GH653" s="770"/>
      <c r="GI653" s="770"/>
      <c r="GJ653" s="770"/>
      <c r="GK653" s="770"/>
      <c r="GL653" s="770"/>
      <c r="GM653" s="770"/>
      <c r="GN653" s="299"/>
      <c r="GO653" s="770"/>
      <c r="GP653" s="770"/>
      <c r="GQ653" s="770"/>
      <c r="GR653" s="770"/>
      <c r="GS653" s="770"/>
      <c r="GT653" s="770"/>
      <c r="GU653" s="770"/>
      <c r="GV653" s="770"/>
      <c r="GW653" s="770"/>
      <c r="GX653" s="770"/>
      <c r="GY653" s="770"/>
      <c r="GZ653" s="770"/>
      <c r="HA653" s="770"/>
      <c r="HB653" s="770"/>
      <c r="HC653" s="770"/>
      <c r="HD653" s="770"/>
      <c r="HE653" s="770"/>
      <c r="HF653" s="770"/>
      <c r="HG653" s="770"/>
      <c r="HH653" s="770"/>
      <c r="HI653" s="770"/>
      <c r="HJ653" s="770"/>
      <c r="HK653" s="770"/>
      <c r="HL653" s="770"/>
      <c r="HM653" s="770"/>
      <c r="HN653" s="770"/>
      <c r="HO653" s="770"/>
      <c r="HP653" s="770"/>
      <c r="HQ653" s="770"/>
      <c r="HR653" s="770"/>
      <c r="HS653" s="770"/>
      <c r="HT653" s="770"/>
      <c r="HU653" s="770"/>
      <c r="HV653" s="770"/>
      <c r="HW653" s="770"/>
      <c r="HX653" s="770"/>
      <c r="HY653" s="770"/>
      <c r="HZ653" s="770"/>
      <c r="IA653" s="770"/>
      <c r="IB653" s="770"/>
      <c r="IC653" s="770"/>
      <c r="ID653" s="770"/>
      <c r="IE653" s="770"/>
      <c r="IF653" s="770"/>
      <c r="IG653" s="770"/>
      <c r="IH653" s="770"/>
      <c r="II653" s="770"/>
      <c r="IJ653" s="770"/>
      <c r="IK653" s="770"/>
      <c r="IL653" s="770"/>
      <c r="IM653" s="770"/>
      <c r="IN653" s="770"/>
      <c r="IO653" s="296"/>
      <c r="IP653" s="770"/>
      <c r="IQ653" s="770"/>
      <c r="IR653" s="770"/>
      <c r="IS653" s="770"/>
      <c r="IT653" s="770"/>
      <c r="IU653" s="770"/>
      <c r="IV653" s="770"/>
      <c r="IW653" s="770"/>
      <c r="IX653" s="770"/>
      <c r="IY653" s="770"/>
      <c r="IZ653" s="770"/>
      <c r="JA653" s="770"/>
      <c r="JB653" s="770"/>
      <c r="JC653" s="770"/>
      <c r="JD653" s="302"/>
      <c r="JE653" s="770"/>
      <c r="JF653" s="770"/>
      <c r="JG653" s="770"/>
      <c r="JH653" s="307"/>
      <c r="JI653" s="307"/>
      <c r="JJ653" s="770"/>
      <c r="JK653" s="770"/>
      <c r="JL653" s="770"/>
      <c r="JM653" s="770"/>
      <c r="JN653" s="770"/>
      <c r="JO653" s="770"/>
      <c r="JP653" s="770"/>
      <c r="JQ653" s="770"/>
      <c r="JR653" s="770"/>
      <c r="JS653" s="770"/>
      <c r="JT653" s="766"/>
      <c r="JU653" s="766"/>
      <c r="JV653" s="766"/>
      <c r="JW653" s="766"/>
      <c r="JX653" s="770"/>
      <c r="JY653" s="770"/>
      <c r="JZ653" s="770"/>
      <c r="KA653" s="770"/>
      <c r="KB653" s="770"/>
      <c r="KC653" s="770"/>
      <c r="KD653" s="770"/>
      <c r="KE653" s="770"/>
      <c r="KF653" s="770"/>
      <c r="KG653" s="770"/>
      <c r="KH653" s="770"/>
      <c r="KI653" s="770"/>
      <c r="KJ653" s="770"/>
      <c r="KK653" s="770"/>
      <c r="KL653" s="770"/>
      <c r="KM653" s="770"/>
      <c r="KN653" s="770"/>
      <c r="KO653" s="770"/>
      <c r="KP653" s="770"/>
      <c r="KQ653" s="770"/>
      <c r="KR653" s="770"/>
      <c r="KS653" s="770"/>
      <c r="KT653" s="770"/>
      <c r="KU653" s="770"/>
      <c r="KV653" s="770"/>
      <c r="KW653" s="770"/>
      <c r="KX653" s="770"/>
      <c r="KY653" s="770"/>
      <c r="KZ653" s="770"/>
      <c r="LA653" s="770"/>
      <c r="LB653" s="770"/>
      <c r="LC653" s="770"/>
      <c r="LD653" s="770"/>
      <c r="LE653" s="770"/>
      <c r="LF653" s="770"/>
      <c r="LG653" s="770"/>
      <c r="LH653" s="770"/>
      <c r="LI653" s="770"/>
      <c r="LJ653" s="770"/>
      <c r="LK653" s="770"/>
      <c r="LL653" s="770"/>
      <c r="LM653" s="770"/>
      <c r="LN653" s="766"/>
      <c r="LO653" s="766"/>
      <c r="LP653" s="770"/>
      <c r="LQ653" s="770"/>
      <c r="LR653" s="770"/>
      <c r="LS653" s="770"/>
      <c r="LT653" s="770"/>
      <c r="LU653" s="770"/>
      <c r="LV653" s="770"/>
      <c r="LW653" s="770"/>
      <c r="LX653" s="769"/>
      <c r="LY653" s="766" t="str">
        <f t="shared" si="187"/>
        <v/>
      </c>
      <c r="LZ653" s="1709"/>
      <c r="MA653" s="1709"/>
      <c r="MB653" s="1709"/>
      <c r="MC653" s="1679">
        <f t="shared" si="185"/>
        <v>0</v>
      </c>
      <c r="MD653" s="1709"/>
      <c r="ME653" s="1709"/>
      <c r="MF653" s="1709"/>
      <c r="MG653" s="1680">
        <f t="shared" si="199"/>
        <v>0</v>
      </c>
      <c r="MH653" s="770"/>
      <c r="MI653" s="302"/>
      <c r="MJ653" s="302"/>
      <c r="MK653" s="302"/>
      <c r="ML653" s="302"/>
      <c r="MM653" s="302"/>
      <c r="MN653" s="302"/>
      <c r="MO653" s="302"/>
      <c r="MP653" s="302"/>
      <c r="MQ653" s="302"/>
      <c r="MR653" s="302"/>
      <c r="MS653" s="302"/>
      <c r="MT653" s="302"/>
      <c r="MU653" s="302"/>
      <c r="MV653" s="302"/>
      <c r="MW653" s="302"/>
      <c r="MX653" s="302"/>
      <c r="MY653" s="1682">
        <f t="shared" si="200"/>
        <v>0</v>
      </c>
      <c r="MZ653" s="770"/>
      <c r="NA653" s="770"/>
      <c r="NB653" s="770"/>
      <c r="NC653" s="770"/>
      <c r="ND653" s="770"/>
      <c r="NE653" s="770"/>
      <c r="NF653" s="770"/>
      <c r="NG653" s="770"/>
      <c r="NH653" s="770"/>
      <c r="NI653" s="770"/>
      <c r="NJ653" s="770"/>
      <c r="NK653" s="770"/>
      <c r="NL653" s="770"/>
      <c r="NM653" s="770"/>
      <c r="NN653" s="770"/>
      <c r="NO653" s="770"/>
      <c r="NP653" s="770"/>
      <c r="NQ653" s="770"/>
      <c r="NR653" s="770"/>
      <c r="NS653" s="770"/>
      <c r="NT653" s="770"/>
      <c r="NU653" s="770"/>
      <c r="NV653" s="770"/>
      <c r="NW653" s="770"/>
      <c r="NX653" s="770"/>
      <c r="NY653" s="770"/>
      <c r="NZ653" s="770"/>
      <c r="OA653" s="770"/>
      <c r="OB653" s="770"/>
      <c r="OC653" s="770"/>
      <c r="OD653" s="770"/>
      <c r="OE653" s="770"/>
      <c r="OF653" s="770"/>
      <c r="OG653" s="770"/>
      <c r="OH653" s="770"/>
      <c r="OI653" s="770"/>
      <c r="OJ653" s="770"/>
      <c r="OK653" s="770"/>
      <c r="OL653" s="770"/>
      <c r="OM653" s="770"/>
      <c r="ON653" s="770"/>
      <c r="OO653" s="770"/>
      <c r="OP653" s="770"/>
      <c r="OQ653" s="770"/>
      <c r="OR653" s="770"/>
      <c r="OS653" s="770"/>
      <c r="OT653" s="770"/>
      <c r="OU653" s="770"/>
      <c r="OV653" s="770"/>
      <c r="OW653" s="770"/>
      <c r="OX653" s="770"/>
      <c r="OY653" s="770"/>
      <c r="OZ653" s="770"/>
      <c r="PA653" s="770"/>
      <c r="PB653" s="770"/>
      <c r="PC653" s="770"/>
      <c r="PD653" s="770"/>
      <c r="PE653" s="770"/>
      <c r="PF653" s="770"/>
      <c r="PG653" s="770"/>
      <c r="PH653" s="770"/>
      <c r="PI653" s="770"/>
      <c r="PJ653" s="770"/>
      <c r="PK653" s="770"/>
      <c r="PL653" s="770"/>
      <c r="PM653" s="770"/>
      <c r="PN653" s="770"/>
      <c r="PO653" s="770"/>
      <c r="PP653" s="770"/>
      <c r="PQ653" s="770"/>
      <c r="PR653" s="770"/>
      <c r="PS653" s="770"/>
      <c r="PT653" s="770"/>
      <c r="PU653" s="770"/>
      <c r="PV653" s="770"/>
      <c r="PW653" s="770"/>
      <c r="PX653" s="770"/>
      <c r="PY653" s="770"/>
      <c r="PZ653" s="770"/>
      <c r="QA653" s="770"/>
      <c r="QB653" s="770"/>
      <c r="QC653" s="770"/>
      <c r="QD653" s="770"/>
      <c r="QE653" s="770"/>
      <c r="QF653" s="770"/>
      <c r="QG653" s="770"/>
      <c r="QH653" s="770"/>
      <c r="QI653" s="770"/>
      <c r="QJ653" s="770"/>
      <c r="QK653" s="770"/>
      <c r="QL653" s="770"/>
      <c r="QM653" s="770"/>
      <c r="QN653" s="770"/>
      <c r="QO653" s="770"/>
      <c r="QP653" s="770"/>
      <c r="QQ653" s="770"/>
      <c r="QR653" s="770"/>
      <c r="QS653" s="770"/>
      <c r="QT653" s="770"/>
      <c r="QU653" s="770"/>
      <c r="QV653" s="770"/>
      <c r="QW653" s="770"/>
      <c r="QX653" s="770"/>
      <c r="QY653" s="770"/>
      <c r="QZ653" s="770"/>
      <c r="RA653" s="770"/>
      <c r="RB653" s="770"/>
      <c r="RC653" s="770"/>
      <c r="RD653" s="770"/>
      <c r="RE653" s="770"/>
      <c r="RF653" s="304"/>
      <c r="RG653" s="770"/>
      <c r="RH653" s="302"/>
      <c r="RI653" s="770"/>
      <c r="RJ653" s="770"/>
      <c r="RK653" s="770"/>
      <c r="RL653" s="1710"/>
      <c r="RM653" s="12"/>
      <c r="RN653" s="1711"/>
      <c r="RO653" s="132" t="s">
        <v>4259</v>
      </c>
      <c r="RP653" s="11"/>
      <c r="RQ653" s="11"/>
      <c r="RR653" s="17"/>
      <c r="RS653" s="767"/>
      <c r="RT653" s="11"/>
      <c r="RU653" s="11"/>
      <c r="RV653" s="771" t="s">
        <v>12355</v>
      </c>
      <c r="RW653" s="11" t="s">
        <v>7730</v>
      </c>
      <c r="RX653" s="11" t="s">
        <v>3041</v>
      </c>
      <c r="RY653" s="11"/>
      <c r="RZ653" s="11"/>
      <c r="SA653" s="771"/>
      <c r="SB653" s="11"/>
      <c r="SC653" s="11"/>
    </row>
    <row r="654" spans="1:497" ht="12.75" customHeight="1">
      <c r="A654" s="17" t="s">
        <v>7421</v>
      </c>
      <c r="B654" s="753" t="s">
        <v>7731</v>
      </c>
      <c r="C654" s="132" t="s">
        <v>3048</v>
      </c>
      <c r="D654" s="94"/>
      <c r="E654" s="766" t="s">
        <v>5843</v>
      </c>
      <c r="F654" s="770"/>
      <c r="G654" s="770"/>
      <c r="H654" s="770"/>
      <c r="I654" s="295"/>
      <c r="J654" s="94"/>
      <c r="K654" s="766" t="s">
        <v>3049</v>
      </c>
      <c r="L654" s="766" t="s">
        <v>3050</v>
      </c>
      <c r="M654" s="770" t="s">
        <v>1238</v>
      </c>
      <c r="N654" s="770"/>
      <c r="O654" s="13" t="s">
        <v>3060</v>
      </c>
      <c r="P654" s="770"/>
      <c r="Q654" s="1088"/>
      <c r="R654" s="297"/>
      <c r="S654" s="770"/>
      <c r="T654" s="770"/>
      <c r="U654" s="298"/>
      <c r="V654" s="770"/>
      <c r="W654" s="770"/>
      <c r="X654" s="770"/>
      <c r="Y654" s="770"/>
      <c r="Z654" s="770"/>
      <c r="AA654" s="770"/>
      <c r="AB654" s="770"/>
      <c r="AC654" s="770"/>
      <c r="AD654" s="770"/>
      <c r="AE654" s="770"/>
      <c r="AF654" s="770"/>
      <c r="AG654" s="766" t="s">
        <v>1132</v>
      </c>
      <c r="AH654" s="766" t="s">
        <v>1096</v>
      </c>
      <c r="AI654" s="770"/>
      <c r="AJ654" s="770" t="s">
        <v>1137</v>
      </c>
      <c r="AK654" s="770" t="s">
        <v>1101</v>
      </c>
      <c r="AL654" s="531"/>
      <c r="AM654" s="780"/>
      <c r="AN654" s="532"/>
      <c r="AO654" s="766"/>
      <c r="AP654" s="766"/>
      <c r="AQ654" s="766"/>
      <c r="AR654" s="766"/>
      <c r="AS654" s="770"/>
      <c r="AT654" s="770"/>
      <c r="AU654" s="770"/>
      <c r="AV654" s="770"/>
      <c r="AW654" s="770"/>
      <c r="AX654" s="770"/>
      <c r="AY654" s="770"/>
      <c r="AZ654" s="770"/>
      <c r="BA654" s="770"/>
      <c r="BB654" s="770"/>
      <c r="BC654" s="770"/>
      <c r="BD654" s="770"/>
      <c r="BE654" s="770"/>
      <c r="BF654" s="302"/>
      <c r="BG654" s="302"/>
      <c r="BH654" s="770"/>
      <c r="BI654" s="770"/>
      <c r="BJ654" s="770"/>
      <c r="BK654" s="770"/>
      <c r="BL654" s="770"/>
      <c r="BM654" s="770"/>
      <c r="BN654" s="770"/>
      <c r="BO654" s="770"/>
      <c r="BP654" s="1109"/>
      <c r="BQ654" s="773"/>
      <c r="BR654" s="774"/>
      <c r="BS654" s="766"/>
      <c r="BT654" s="770"/>
      <c r="BU654" s="770"/>
      <c r="BV654" s="770"/>
      <c r="BW654" s="770"/>
      <c r="BX654" s="302"/>
      <c r="BY654" s="770"/>
      <c r="BZ654" s="302"/>
      <c r="CA654" s="770"/>
      <c r="CB654" s="770" t="s">
        <v>1207</v>
      </c>
      <c r="CC654" s="770" t="s">
        <v>8124</v>
      </c>
      <c r="CD654" s="770"/>
      <c r="CE654" s="770"/>
      <c r="CF654" s="1753">
        <v>6</v>
      </c>
      <c r="CG654" s="1754">
        <v>6.7</v>
      </c>
      <c r="CH654" s="770" t="s">
        <v>3051</v>
      </c>
      <c r="CI654" s="770"/>
      <c r="CJ654" s="770"/>
      <c r="CK654" s="770">
        <v>3</v>
      </c>
      <c r="CL654" s="770" t="s">
        <v>1240</v>
      </c>
      <c r="CM654" s="770" t="s">
        <v>1435</v>
      </c>
      <c r="CN654" s="770"/>
      <c r="CO654" s="770" t="s">
        <v>1257</v>
      </c>
      <c r="CP654" s="770"/>
      <c r="CQ654" s="770"/>
      <c r="CR654" s="302"/>
      <c r="CS654" s="770"/>
      <c r="CT654" s="770"/>
      <c r="CU654" s="305"/>
      <c r="CV654" s="770"/>
      <c r="CW654" s="770"/>
      <c r="CX654" s="770"/>
      <c r="CY654" s="770"/>
      <c r="CZ654" s="770"/>
      <c r="DA654" s="306"/>
      <c r="DB654" s="770"/>
      <c r="DC654" s="770"/>
      <c r="DD654" s="770"/>
      <c r="DE654" s="300"/>
      <c r="DF654" s="770"/>
      <c r="DG654" s="770"/>
      <c r="DH654" s="770"/>
      <c r="DI654" s="770"/>
      <c r="DJ654" s="770"/>
      <c r="DK654" s="770"/>
      <c r="DL654" s="770"/>
      <c r="DM654" s="770"/>
      <c r="DN654" s="322"/>
      <c r="DO654" s="770"/>
      <c r="DP654" s="770"/>
      <c r="DQ654" s="770"/>
      <c r="DR654" s="770"/>
      <c r="DS654" s="307"/>
      <c r="DT654" s="770"/>
      <c r="DU654" s="770"/>
      <c r="DV654" s="770"/>
      <c r="DW654" s="306"/>
      <c r="DX654" s="306"/>
      <c r="DY654" s="770"/>
      <c r="DZ654" s="770"/>
      <c r="EA654" s="770"/>
      <c r="EB654" s="770"/>
      <c r="EC654" s="770"/>
      <c r="ED654" s="770"/>
      <c r="EE654" s="770"/>
      <c r="EF654" s="770"/>
      <c r="EG654" s="770"/>
      <c r="EH654" s="770"/>
      <c r="EI654" s="770"/>
      <c r="EJ654" s="770"/>
      <c r="EK654" s="770"/>
      <c r="EL654" s="770"/>
      <c r="EM654" s="770"/>
      <c r="EN654" s="770"/>
      <c r="EO654" s="770"/>
      <c r="EP654" s="94"/>
      <c r="EQ654" s="770"/>
      <c r="ER654" s="770"/>
      <c r="ES654" s="770"/>
      <c r="ET654" s="770"/>
      <c r="EU654" s="770"/>
      <c r="EV654" s="770"/>
      <c r="EW654" s="770"/>
      <c r="EX654" s="770"/>
      <c r="EY654" s="770"/>
      <c r="EZ654" s="770"/>
      <c r="FA654" s="770"/>
      <c r="FB654" s="770"/>
      <c r="FC654" s="770"/>
      <c r="FD654" s="302"/>
      <c r="FE654" s="770"/>
      <c r="FF654" s="770"/>
      <c r="FG654" s="770"/>
      <c r="FH654" s="770"/>
      <c r="FI654" s="770"/>
      <c r="FJ654" s="770"/>
      <c r="FK654" s="770"/>
      <c r="FL654" s="770"/>
      <c r="FM654" s="302"/>
      <c r="FN654" s="302"/>
      <c r="FO654" s="302"/>
      <c r="FP654" s="769" t="s">
        <v>1602</v>
      </c>
      <c r="FQ654" s="769" t="s">
        <v>1660</v>
      </c>
      <c r="FR654" s="770"/>
      <c r="FS654" s="770"/>
      <c r="FT654" s="770"/>
      <c r="FU654" s="770"/>
      <c r="FV654" s="770"/>
      <c r="FW654" s="770"/>
      <c r="FX654" s="770"/>
      <c r="FY654" s="770"/>
      <c r="FZ654" s="770"/>
      <c r="GA654" s="770"/>
      <c r="GB654" s="770"/>
      <c r="GC654" s="308"/>
      <c r="GD654" s="297"/>
      <c r="GE654" s="770"/>
      <c r="GF654" s="302"/>
      <c r="GG654" s="302"/>
      <c r="GH654" s="770"/>
      <c r="GI654" s="770"/>
      <c r="GJ654" s="770"/>
      <c r="GK654" s="770"/>
      <c r="GL654" s="770"/>
      <c r="GM654" s="770"/>
      <c r="GN654" s="299"/>
      <c r="GO654" s="770"/>
      <c r="GP654" s="770"/>
      <c r="GQ654" s="770"/>
      <c r="GR654" s="770"/>
      <c r="GS654" s="770"/>
      <c r="GT654" s="770"/>
      <c r="GU654" s="770"/>
      <c r="GV654" s="770"/>
      <c r="GW654" s="770"/>
      <c r="GX654" s="770"/>
      <c r="GY654" s="770"/>
      <c r="GZ654" s="770"/>
      <c r="HA654" s="770"/>
      <c r="HB654" s="770"/>
      <c r="HC654" s="770"/>
      <c r="HD654" s="770"/>
      <c r="HE654" s="770"/>
      <c r="HF654" s="770"/>
      <c r="HG654" s="770"/>
      <c r="HH654" s="770"/>
      <c r="HI654" s="770"/>
      <c r="HJ654" s="770"/>
      <c r="HK654" s="770"/>
      <c r="HL654" s="770"/>
      <c r="HM654" s="770"/>
      <c r="HN654" s="770"/>
      <c r="HO654" s="770"/>
      <c r="HP654" s="770"/>
      <c r="HQ654" s="770"/>
      <c r="HR654" s="770"/>
      <c r="HS654" s="770"/>
      <c r="HT654" s="770"/>
      <c r="HU654" s="770"/>
      <c r="HV654" s="770"/>
      <c r="HW654" s="770"/>
      <c r="HX654" s="770"/>
      <c r="HY654" s="770"/>
      <c r="HZ654" s="770"/>
      <c r="IA654" s="770"/>
      <c r="IB654" s="770"/>
      <c r="IC654" s="770"/>
      <c r="ID654" s="770"/>
      <c r="IE654" s="770"/>
      <c r="IF654" s="770"/>
      <c r="IG654" s="770"/>
      <c r="IH654" s="770"/>
      <c r="II654" s="770"/>
      <c r="IJ654" s="770"/>
      <c r="IK654" s="770"/>
      <c r="IL654" s="770"/>
      <c r="IM654" s="770"/>
      <c r="IN654" s="770"/>
      <c r="IO654" s="296"/>
      <c r="IP654" s="770"/>
      <c r="IQ654" s="770"/>
      <c r="IR654" s="770"/>
      <c r="IS654" s="770"/>
      <c r="IT654" s="770"/>
      <c r="IU654" s="770"/>
      <c r="IV654" s="770"/>
      <c r="IW654" s="770"/>
      <c r="IX654" s="770"/>
      <c r="IY654" s="770"/>
      <c r="IZ654" s="770"/>
      <c r="JA654" s="770"/>
      <c r="JB654" s="770"/>
      <c r="JC654" s="770"/>
      <c r="JD654" s="302"/>
      <c r="JE654" s="770"/>
      <c r="JF654" s="770"/>
      <c r="JG654" s="770"/>
      <c r="JH654" s="307"/>
      <c r="JI654" s="307"/>
      <c r="JJ654" s="770"/>
      <c r="JK654" s="770"/>
      <c r="JL654" s="770"/>
      <c r="JM654" s="770"/>
      <c r="JN654" s="770"/>
      <c r="JO654" s="770"/>
      <c r="JP654" s="770"/>
      <c r="JQ654" s="770"/>
      <c r="JR654" s="770"/>
      <c r="JS654" s="770"/>
      <c r="JT654" s="766"/>
      <c r="JU654" s="766"/>
      <c r="JV654" s="766"/>
      <c r="JW654" s="766"/>
      <c r="JX654" s="770"/>
      <c r="JY654" s="770"/>
      <c r="JZ654" s="770"/>
      <c r="KA654" s="770"/>
      <c r="KB654" s="770"/>
      <c r="KC654" s="770"/>
      <c r="KD654" s="770"/>
      <c r="KE654" s="770"/>
      <c r="KF654" s="770"/>
      <c r="KG654" s="770"/>
      <c r="KH654" s="770"/>
      <c r="KI654" s="770"/>
      <c r="KJ654" s="770"/>
      <c r="KK654" s="770"/>
      <c r="KL654" s="770"/>
      <c r="KM654" s="770"/>
      <c r="KN654" s="770"/>
      <c r="KO654" s="770"/>
      <c r="KP654" s="770"/>
      <c r="KQ654" s="770"/>
      <c r="KR654" s="770"/>
      <c r="KS654" s="770"/>
      <c r="KT654" s="770"/>
      <c r="KU654" s="770"/>
      <c r="KV654" s="770"/>
      <c r="KW654" s="770"/>
      <c r="KX654" s="770"/>
      <c r="KY654" s="770"/>
      <c r="KZ654" s="770"/>
      <c r="LA654" s="770"/>
      <c r="LB654" s="770"/>
      <c r="LC654" s="770"/>
      <c r="LD654" s="770"/>
      <c r="LE654" s="770"/>
      <c r="LF654" s="770"/>
      <c r="LG654" s="770"/>
      <c r="LH654" s="770"/>
      <c r="LI654" s="770"/>
      <c r="LJ654" s="770"/>
      <c r="LK654" s="770"/>
      <c r="LL654" s="770"/>
      <c r="LM654" s="770"/>
      <c r="LN654" s="766"/>
      <c r="LO654" s="766"/>
      <c r="LP654" s="770"/>
      <c r="LQ654" s="770"/>
      <c r="LR654" s="770"/>
      <c r="LS654" s="770"/>
      <c r="LT654" s="770"/>
      <c r="LU654" s="770"/>
      <c r="LV654" s="770"/>
      <c r="LW654" s="770"/>
      <c r="LX654" s="769"/>
      <c r="LY654" s="766" t="str">
        <f t="shared" si="187"/>
        <v/>
      </c>
      <c r="LZ654" s="1709"/>
      <c r="MA654" s="1709"/>
      <c r="MB654" s="1709"/>
      <c r="MC654" s="1679">
        <f t="shared" si="185"/>
        <v>0</v>
      </c>
      <c r="MD654" s="1709"/>
      <c r="ME654" s="1709"/>
      <c r="MF654" s="1709"/>
      <c r="MG654" s="1680">
        <f t="shared" si="199"/>
        <v>0</v>
      </c>
      <c r="MH654" s="770"/>
      <c r="MI654" s="302"/>
      <c r="MJ654" s="302"/>
      <c r="MK654" s="302"/>
      <c r="ML654" s="302"/>
      <c r="MM654" s="302"/>
      <c r="MN654" s="302"/>
      <c r="MO654" s="302"/>
      <c r="MP654" s="302"/>
      <c r="MQ654" s="302"/>
      <c r="MR654" s="302"/>
      <c r="MS654" s="302"/>
      <c r="MT654" s="302"/>
      <c r="MU654" s="302"/>
      <c r="MV654" s="302"/>
      <c r="MW654" s="302"/>
      <c r="MX654" s="302"/>
      <c r="MY654" s="1682">
        <f t="shared" si="200"/>
        <v>0</v>
      </c>
      <c r="MZ654" s="770"/>
      <c r="NA654" s="770"/>
      <c r="NB654" s="770"/>
      <c r="NC654" s="770"/>
      <c r="ND654" s="770"/>
      <c r="NE654" s="770"/>
      <c r="NF654" s="770"/>
      <c r="NG654" s="770"/>
      <c r="NH654" s="770"/>
      <c r="NI654" s="770"/>
      <c r="NJ654" s="770"/>
      <c r="NK654" s="770"/>
      <c r="NL654" s="770"/>
      <c r="NM654" s="770"/>
      <c r="NN654" s="770"/>
      <c r="NO654" s="770"/>
      <c r="NP654" s="770"/>
      <c r="NQ654" s="770"/>
      <c r="NR654" s="770"/>
      <c r="NS654" s="770"/>
      <c r="NT654" s="770"/>
      <c r="NU654" s="770"/>
      <c r="NV654" s="770"/>
      <c r="NW654" s="770"/>
      <c r="NX654" s="770"/>
      <c r="NY654" s="770"/>
      <c r="NZ654" s="770"/>
      <c r="OA654" s="770"/>
      <c r="OB654" s="770"/>
      <c r="OC654" s="770"/>
      <c r="OD654" s="770"/>
      <c r="OE654" s="770"/>
      <c r="OF654" s="770"/>
      <c r="OG654" s="770"/>
      <c r="OH654" s="770"/>
      <c r="OI654" s="770"/>
      <c r="OJ654" s="770"/>
      <c r="OK654" s="770"/>
      <c r="OL654" s="770"/>
      <c r="OM654" s="770"/>
      <c r="ON654" s="770"/>
      <c r="OO654" s="770"/>
      <c r="OP654" s="770"/>
      <c r="OQ654" s="770"/>
      <c r="OR654" s="770"/>
      <c r="OS654" s="770"/>
      <c r="OT654" s="770"/>
      <c r="OU654" s="770"/>
      <c r="OV654" s="770"/>
      <c r="OW654" s="770"/>
      <c r="OX654" s="770"/>
      <c r="OY654" s="770"/>
      <c r="OZ654" s="770"/>
      <c r="PA654" s="770"/>
      <c r="PB654" s="770"/>
      <c r="PC654" s="770"/>
      <c r="PD654" s="770"/>
      <c r="PE654" s="770"/>
      <c r="PF654" s="770"/>
      <c r="PG654" s="770"/>
      <c r="PH654" s="770"/>
      <c r="PI654" s="770"/>
      <c r="PJ654" s="770"/>
      <c r="PK654" s="770"/>
      <c r="PL654" s="770"/>
      <c r="PM654" s="770"/>
      <c r="PN654" s="770"/>
      <c r="PO654" s="770"/>
      <c r="PP654" s="770"/>
      <c r="PQ654" s="770"/>
      <c r="PR654" s="770"/>
      <c r="PS654" s="770"/>
      <c r="PT654" s="770"/>
      <c r="PU654" s="770"/>
      <c r="PV654" s="770"/>
      <c r="PW654" s="770"/>
      <c r="PX654" s="770"/>
      <c r="PY654" s="770"/>
      <c r="PZ654" s="770"/>
      <c r="QA654" s="770"/>
      <c r="QB654" s="770"/>
      <c r="QC654" s="770"/>
      <c r="QD654" s="770"/>
      <c r="QE654" s="770"/>
      <c r="QF654" s="770"/>
      <c r="QG654" s="770"/>
      <c r="QH654" s="770"/>
      <c r="QI654" s="770"/>
      <c r="QJ654" s="770"/>
      <c r="QK654" s="770"/>
      <c r="QL654" s="770"/>
      <c r="QM654" s="770"/>
      <c r="QN654" s="770"/>
      <c r="QO654" s="770"/>
      <c r="QP654" s="770"/>
      <c r="QQ654" s="770"/>
      <c r="QR654" s="770"/>
      <c r="QS654" s="770"/>
      <c r="QT654" s="770"/>
      <c r="QU654" s="770"/>
      <c r="QV654" s="770"/>
      <c r="QW654" s="770"/>
      <c r="QX654" s="770"/>
      <c r="QY654" s="770"/>
      <c r="QZ654" s="770"/>
      <c r="RA654" s="770"/>
      <c r="RB654" s="770"/>
      <c r="RC654" s="770"/>
      <c r="RD654" s="770"/>
      <c r="RE654" s="770"/>
      <c r="RF654" s="304"/>
      <c r="RG654" s="770"/>
      <c r="RH654" s="302"/>
      <c r="RI654" s="770"/>
      <c r="RJ654" s="770"/>
      <c r="RK654" s="770"/>
      <c r="RL654" s="1710"/>
      <c r="RM654" s="12"/>
      <c r="RN654" s="1711"/>
      <c r="RO654" s="132" t="s">
        <v>3048</v>
      </c>
      <c r="RP654" s="11"/>
      <c r="RQ654" s="11"/>
      <c r="RR654" s="17"/>
      <c r="RS654" s="767"/>
      <c r="RT654" s="11"/>
      <c r="RU654" s="11"/>
      <c r="RV654" s="771" t="s">
        <v>7419</v>
      </c>
      <c r="RW654" s="11" t="s">
        <v>7843</v>
      </c>
      <c r="RX654" s="11" t="s">
        <v>4259</v>
      </c>
      <c r="RY654" s="11"/>
      <c r="RZ654" s="11" t="s">
        <v>2209</v>
      </c>
      <c r="SA654" s="771"/>
      <c r="SB654" s="11"/>
      <c r="SC654" s="11"/>
    </row>
    <row r="655" spans="1:497" ht="12.75" customHeight="1">
      <c r="A655" s="19" t="s">
        <v>7421</v>
      </c>
      <c r="B655" s="752" t="s">
        <v>7410</v>
      </c>
      <c r="C655" s="132" t="s">
        <v>4264</v>
      </c>
      <c r="D655" s="94" t="s">
        <v>4265</v>
      </c>
      <c r="E655" s="766" t="s">
        <v>4285</v>
      </c>
      <c r="F655" s="770" t="s">
        <v>28</v>
      </c>
      <c r="G655" s="770" t="s">
        <v>10</v>
      </c>
      <c r="H655" s="770"/>
      <c r="I655" s="295" t="s">
        <v>4267</v>
      </c>
      <c r="J655" s="94" t="s">
        <v>4265</v>
      </c>
      <c r="K655" s="766" t="s">
        <v>4268</v>
      </c>
      <c r="L655" s="766" t="s">
        <v>3976</v>
      </c>
      <c r="M655" s="770" t="s">
        <v>1238</v>
      </c>
      <c r="N655" s="770"/>
      <c r="O655" s="770" t="s">
        <v>4269</v>
      </c>
      <c r="P655" s="94" t="s">
        <v>4270</v>
      </c>
      <c r="Q655" s="1088">
        <v>19345</v>
      </c>
      <c r="R655" s="297">
        <v>64</v>
      </c>
      <c r="S655" s="770" t="s">
        <v>10</v>
      </c>
      <c r="T655" s="770"/>
      <c r="U655" s="295" t="s">
        <v>4267</v>
      </c>
      <c r="V655" s="770" t="s">
        <v>707</v>
      </c>
      <c r="W655" s="770"/>
      <c r="X655" s="770"/>
      <c r="Y655" s="770" t="s">
        <v>4266</v>
      </c>
      <c r="Z655" s="770" t="s">
        <v>708</v>
      </c>
      <c r="AA655" s="770" t="s">
        <v>709</v>
      </c>
      <c r="AB655" s="12"/>
      <c r="AC655" s="770"/>
      <c r="AD655" s="770"/>
      <c r="AE655" s="770" t="s">
        <v>909</v>
      </c>
      <c r="AF655" s="770" t="s">
        <v>712</v>
      </c>
      <c r="AG655" s="766" t="s">
        <v>1132</v>
      </c>
      <c r="AH655" s="766" t="s">
        <v>1096</v>
      </c>
      <c r="AI655" s="770"/>
      <c r="AJ655" s="770" t="s">
        <v>1137</v>
      </c>
      <c r="AK655" s="770" t="s">
        <v>1101</v>
      </c>
      <c r="AL655" s="531">
        <v>10.29</v>
      </c>
      <c r="AM655" s="780">
        <v>10.29</v>
      </c>
      <c r="AN655" s="532">
        <f>AM655/AL655</f>
        <v>1</v>
      </c>
      <c r="AO655" s="766" t="s">
        <v>1122</v>
      </c>
      <c r="AP655" s="766"/>
      <c r="AQ655" s="766"/>
      <c r="AR655" s="766"/>
      <c r="AS655" s="770"/>
      <c r="AT655" s="770"/>
      <c r="AU655" s="770"/>
      <c r="AV655" s="770"/>
      <c r="AW655" s="770"/>
      <c r="AX655" s="770"/>
      <c r="AY655" s="770"/>
      <c r="AZ655" s="770"/>
      <c r="BA655" s="770"/>
      <c r="BB655" s="770"/>
      <c r="BC655" s="770"/>
      <c r="BD655" s="770"/>
      <c r="BE655" s="770"/>
      <c r="BF655" s="302"/>
      <c r="BG655" s="302"/>
      <c r="BH655" s="770"/>
      <c r="BI655" s="770"/>
      <c r="BJ655" s="770"/>
      <c r="BK655" s="770" t="s">
        <v>1095</v>
      </c>
      <c r="BL655" s="770" t="s">
        <v>4271</v>
      </c>
      <c r="BM655" s="766" t="s">
        <v>1096</v>
      </c>
      <c r="BN655" s="770" t="s">
        <v>1230</v>
      </c>
      <c r="BO655" s="766" t="s">
        <v>1246</v>
      </c>
      <c r="BP655" s="1109">
        <v>10.29</v>
      </c>
      <c r="BQ655" s="773">
        <v>10.29</v>
      </c>
      <c r="BR655" s="774">
        <f>BQ655/BP655</f>
        <v>1</v>
      </c>
      <c r="BS655" s="766" t="s">
        <v>1257</v>
      </c>
      <c r="BT655" s="766" t="s">
        <v>1326</v>
      </c>
      <c r="BU655" s="766" t="s">
        <v>1264</v>
      </c>
      <c r="BV655" s="770" t="s">
        <v>2432</v>
      </c>
      <c r="BW655" s="770">
        <v>2014</v>
      </c>
      <c r="BX655" s="302">
        <v>6000</v>
      </c>
      <c r="BY655" s="770"/>
      <c r="BZ655" s="302"/>
      <c r="CA655" s="770"/>
      <c r="CB655" s="770"/>
      <c r="CC655" s="770"/>
      <c r="CD655" s="770"/>
      <c r="CE655" s="770"/>
      <c r="CF655" s="1753"/>
      <c r="CG655" s="1754"/>
      <c r="CH655" s="770"/>
      <c r="CI655" s="770"/>
      <c r="CJ655" s="770"/>
      <c r="CK655" s="770"/>
      <c r="CL655" s="770"/>
      <c r="CM655" s="770"/>
      <c r="CN655" s="770"/>
      <c r="CO655" s="770"/>
      <c r="CP655" s="770"/>
      <c r="CQ655" s="770"/>
      <c r="CR655" s="302"/>
      <c r="CS655" s="770"/>
      <c r="CT655" s="770"/>
      <c r="CU655" s="305"/>
      <c r="CV655" s="770"/>
      <c r="CW655" s="770"/>
      <c r="CX655" s="770"/>
      <c r="CY655" s="770"/>
      <c r="CZ655" s="770"/>
      <c r="DA655" s="306"/>
      <c r="DB655" s="770"/>
      <c r="DC655" s="770"/>
      <c r="DD655" s="770"/>
      <c r="DE655" s="300"/>
      <c r="DF655" s="770"/>
      <c r="DG655" s="770"/>
      <c r="DH655" s="770"/>
      <c r="DI655" s="770"/>
      <c r="DJ655" s="770"/>
      <c r="DK655" s="770"/>
      <c r="DL655" s="770"/>
      <c r="DM655" s="770"/>
      <c r="DN655" s="322"/>
      <c r="DO655" s="770"/>
      <c r="DP655" s="770"/>
      <c r="DQ655" s="770"/>
      <c r="DR655" s="770"/>
      <c r="DS655" s="307"/>
      <c r="DT655" s="770"/>
      <c r="DU655" s="770"/>
      <c r="DV655" s="770"/>
      <c r="DW655" s="306"/>
      <c r="DX655" s="306"/>
      <c r="DY655" s="770"/>
      <c r="DZ655" s="770"/>
      <c r="EA655" s="770"/>
      <c r="EB655" s="770"/>
      <c r="EC655" s="770"/>
      <c r="ED655" s="770"/>
      <c r="EE655" s="770"/>
      <c r="EF655" s="770"/>
      <c r="EG655" s="770"/>
      <c r="EH655" s="770"/>
      <c r="EI655" s="770"/>
      <c r="EJ655" s="770"/>
      <c r="EK655" s="770"/>
      <c r="EL655" s="770"/>
      <c r="EM655" s="770"/>
      <c r="EN655" s="770"/>
      <c r="EO655" s="770"/>
      <c r="EP655" s="94"/>
      <c r="EQ655" s="770"/>
      <c r="ER655" s="770"/>
      <c r="ES655" s="770"/>
      <c r="ET655" s="770"/>
      <c r="EU655" s="770"/>
      <c r="EV655" s="770"/>
      <c r="EW655" s="770"/>
      <c r="EX655" s="770"/>
      <c r="EY655" s="770"/>
      <c r="EZ655" s="770"/>
      <c r="FA655" s="770"/>
      <c r="FB655" s="770"/>
      <c r="FC655" s="770"/>
      <c r="FD655" s="302"/>
      <c r="FE655" s="770"/>
      <c r="FF655" s="770"/>
      <c r="FG655" s="770"/>
      <c r="FH655" s="770" t="s">
        <v>478</v>
      </c>
      <c r="FI655" s="770">
        <v>1</v>
      </c>
      <c r="FJ655" s="770"/>
      <c r="FK655" s="770"/>
      <c r="FL655" s="770"/>
      <c r="FM655" s="302"/>
      <c r="FN655" s="302"/>
      <c r="FO655" s="302"/>
      <c r="FP655" s="766" t="s">
        <v>1602</v>
      </c>
      <c r="FQ655" s="766" t="s">
        <v>1660</v>
      </c>
      <c r="FR655" s="770" t="s">
        <v>1214</v>
      </c>
      <c r="FS655" s="770"/>
      <c r="FT655" s="770"/>
      <c r="FU655" s="770"/>
      <c r="FV655" s="770"/>
      <c r="FW655" s="770"/>
      <c r="FX655" s="770"/>
      <c r="FY655" s="770"/>
      <c r="FZ655" s="770"/>
      <c r="GA655" s="770"/>
      <c r="GB655" s="770" t="s">
        <v>1734</v>
      </c>
      <c r="GC655" s="308"/>
      <c r="GD655" s="297">
        <v>2014</v>
      </c>
      <c r="GE655" s="770" t="s">
        <v>1214</v>
      </c>
      <c r="GF655" s="302"/>
      <c r="GG655" s="302"/>
      <c r="GH655" s="712" t="s">
        <v>1791</v>
      </c>
      <c r="GI655" s="770" t="s">
        <v>1008</v>
      </c>
      <c r="GJ655" s="770"/>
      <c r="GK655" s="766" t="s">
        <v>1806</v>
      </c>
      <c r="GL655" s="770"/>
      <c r="GM655" s="770"/>
      <c r="GN655" s="299">
        <v>200</v>
      </c>
      <c r="GO655" s="770" t="s">
        <v>2770</v>
      </c>
      <c r="GP655" s="770" t="s">
        <v>1208</v>
      </c>
      <c r="GQ655" s="770" t="s">
        <v>1208</v>
      </c>
      <c r="GR655" s="770" t="s">
        <v>1208</v>
      </c>
      <c r="GS655" s="770" t="s">
        <v>1208</v>
      </c>
      <c r="GT655" s="770"/>
      <c r="GU655" s="770"/>
      <c r="GV655" s="770"/>
      <c r="GW655" s="770" t="s">
        <v>1207</v>
      </c>
      <c r="GX655" s="770"/>
      <c r="GY655" s="770" t="s">
        <v>1208</v>
      </c>
      <c r="GZ655" s="770" t="s">
        <v>1208</v>
      </c>
      <c r="HA655" s="770" t="s">
        <v>1208</v>
      </c>
      <c r="HB655" s="770" t="s">
        <v>1208</v>
      </c>
      <c r="HC655" s="770"/>
      <c r="HD655" s="770" t="s">
        <v>1208</v>
      </c>
      <c r="HE655" s="770" t="s">
        <v>1208</v>
      </c>
      <c r="HF655" s="770"/>
      <c r="HG655" s="770"/>
      <c r="HH655" s="770"/>
      <c r="HI655" s="770" t="s">
        <v>1214</v>
      </c>
      <c r="HJ655" s="770"/>
      <c r="HK655" s="770"/>
      <c r="HL655" s="770"/>
      <c r="HM655" s="770"/>
      <c r="HN655" s="770"/>
      <c r="HO655" s="770"/>
      <c r="HP655" s="770"/>
      <c r="HQ655" s="770"/>
      <c r="HR655" s="770"/>
      <c r="HS655" s="770"/>
      <c r="HT655" s="770"/>
      <c r="HU655" s="770"/>
      <c r="HV655" s="770"/>
      <c r="HW655" s="770"/>
      <c r="HX655" s="770"/>
      <c r="HY655" s="770"/>
      <c r="HZ655" s="770"/>
      <c r="IA655" s="770"/>
      <c r="IB655" s="14" t="e">
        <f>IF(#REF!&gt;0,IF(#REF!&lt;=10000,"Y",""),"")</f>
        <v>#REF!</v>
      </c>
      <c r="IC655" s="770"/>
      <c r="ID655" s="770">
        <v>1</v>
      </c>
      <c r="IE655" s="770">
        <v>1</v>
      </c>
      <c r="IF655" s="770"/>
      <c r="IG655" s="770"/>
      <c r="IH655" s="770"/>
      <c r="II655" s="770"/>
      <c r="IJ655" s="770"/>
      <c r="IK655" s="770"/>
      <c r="IL655" s="770"/>
      <c r="IM655" s="770"/>
      <c r="IN655" s="770"/>
      <c r="IO655" s="296"/>
      <c r="IP655" s="770"/>
      <c r="IQ655" s="770"/>
      <c r="IR655" s="770"/>
      <c r="IS655" s="770"/>
      <c r="IT655" s="770"/>
      <c r="IU655" s="770"/>
      <c r="IV655" s="770"/>
      <c r="IW655" s="770"/>
      <c r="IX655" s="770"/>
      <c r="IY655" s="770"/>
      <c r="IZ655" s="770"/>
      <c r="JA655" s="770"/>
      <c r="JB655" s="770"/>
      <c r="JC655" s="770"/>
      <c r="JD655" s="302"/>
      <c r="JE655" s="770"/>
      <c r="JF655" s="770"/>
      <c r="JG655" s="770"/>
      <c r="JH655" s="307"/>
      <c r="JI655" s="307"/>
      <c r="JJ655" s="770">
        <v>6</v>
      </c>
      <c r="JK655" s="1139" t="s">
        <v>4272</v>
      </c>
      <c r="JL655" s="770"/>
      <c r="JM655" s="770"/>
      <c r="JN655" s="770">
        <v>5</v>
      </c>
      <c r="JO655" s="770">
        <v>1</v>
      </c>
      <c r="JP655" s="770"/>
      <c r="JQ655" s="770"/>
      <c r="JR655" s="770"/>
      <c r="JS655" s="770"/>
      <c r="JT655" s="766">
        <f>SUM(JP655,JN655,JL655,JR655)</f>
        <v>5</v>
      </c>
      <c r="JU655" s="766">
        <f>SUM(JQ655,JO655,JM655,JS655)</f>
        <v>1</v>
      </c>
      <c r="JV655" s="712" t="str">
        <f>IF(JT655=KJ655,"ok","male")</f>
        <v>ok</v>
      </c>
      <c r="JW655" s="712" t="str">
        <f>IF(JU655=KK655,"ok","female")</f>
        <v>ok</v>
      </c>
      <c r="JX655" s="770"/>
      <c r="JY655" s="770"/>
      <c r="JZ655" s="770"/>
      <c r="KA655" s="770"/>
      <c r="KB655" s="770">
        <v>3</v>
      </c>
      <c r="KC655" s="770"/>
      <c r="KD655" s="770">
        <v>1</v>
      </c>
      <c r="KE655" s="770">
        <v>1</v>
      </c>
      <c r="KF655" s="770">
        <v>1</v>
      </c>
      <c r="KG655" s="770"/>
      <c r="KH655" s="770"/>
      <c r="KI655" s="770"/>
      <c r="KJ655" s="770">
        <f t="shared" ref="KJ655:KK716" si="204">SUM(KF655,KD655,KB655,JZ655,JX655,KH655)</f>
        <v>5</v>
      </c>
      <c r="KK655" s="770">
        <f t="shared" si="204"/>
        <v>1</v>
      </c>
      <c r="KL655" s="712" t="str">
        <f>IF(KJ655=LN655,"ok","male")</f>
        <v>ok</v>
      </c>
      <c r="KM655" s="712" t="str">
        <f>IF(KK655=LO655,"ok","female")</f>
        <v>ok</v>
      </c>
      <c r="KN655" s="770" t="s">
        <v>707</v>
      </c>
      <c r="KO655" s="770"/>
      <c r="KP655" s="770"/>
      <c r="KQ655" s="770"/>
      <c r="KR655" s="770"/>
      <c r="KS655" s="770"/>
      <c r="KT655" s="770"/>
      <c r="KU655" s="770"/>
      <c r="KV655" s="770"/>
      <c r="KW655" s="770"/>
      <c r="KX655" s="770">
        <v>4</v>
      </c>
      <c r="KY655" s="770"/>
      <c r="KZ655" s="770">
        <v>1</v>
      </c>
      <c r="LA655" s="770">
        <v>1</v>
      </c>
      <c r="LB655" s="770"/>
      <c r="LC655" s="770"/>
      <c r="LD655" s="770"/>
      <c r="LE655" s="770"/>
      <c r="LF655" s="770"/>
      <c r="LG655" s="770"/>
      <c r="LH655" s="770"/>
      <c r="LI655" s="770"/>
      <c r="LJ655" s="770"/>
      <c r="LK655" s="770"/>
      <c r="LL655" s="770"/>
      <c r="LM655" s="770"/>
      <c r="LN655" s="766">
        <f>SUM(KP655,KR655,KT655,KV655,KX655,KZ655,LB655,LD655,LF655,LH655,LJ655,LL655)</f>
        <v>5</v>
      </c>
      <c r="LO655" s="766">
        <f>SUM(KQ655,KS655,KU655,KW655,KY655,LA655,LC655,LE655,LG655,LI655,LK655,LM655)</f>
        <v>1</v>
      </c>
      <c r="LP655" s="770">
        <v>1</v>
      </c>
      <c r="LQ655" s="770">
        <v>1</v>
      </c>
      <c r="LR655" s="770"/>
      <c r="LS655" s="770"/>
      <c r="LT655" s="712" t="str">
        <f>IF(LQ655=SUM(LU655:LW655),"OK","REV")</f>
        <v>OK</v>
      </c>
      <c r="LU655" s="770"/>
      <c r="LV655" s="770"/>
      <c r="LW655" s="770">
        <v>1</v>
      </c>
      <c r="LX655" s="769"/>
      <c r="LY655" s="766" t="str">
        <f t="shared" si="187"/>
        <v/>
      </c>
      <c r="LZ655" s="1709">
        <v>200</v>
      </c>
      <c r="MA655" s="1709"/>
      <c r="MB655" s="1709"/>
      <c r="MC655" s="1679">
        <f t="shared" si="185"/>
        <v>200</v>
      </c>
      <c r="MD655" s="1709">
        <f>350*26</f>
        <v>9100</v>
      </c>
      <c r="ME655" s="1709"/>
      <c r="MF655" s="1709"/>
      <c r="MG655" s="1680">
        <f>SUM(MD655:MF655)</f>
        <v>9100</v>
      </c>
      <c r="MH655" s="770" t="s">
        <v>2198</v>
      </c>
      <c r="MI655" s="302">
        <f>200*30</f>
        <v>6000</v>
      </c>
      <c r="MJ655" s="302">
        <f>300*30</f>
        <v>9000</v>
      </c>
      <c r="MK655" s="302">
        <v>300</v>
      </c>
      <c r="ML655" s="302">
        <v>200</v>
      </c>
      <c r="MM655" s="302">
        <v>140</v>
      </c>
      <c r="MN655" s="302"/>
      <c r="MO655" s="302">
        <v>300</v>
      </c>
      <c r="MP655" s="302">
        <v>600</v>
      </c>
      <c r="MQ655" s="302"/>
      <c r="MR655" s="302">
        <v>200</v>
      </c>
      <c r="MS655" s="302"/>
      <c r="MT655" s="302"/>
      <c r="MU655" s="302"/>
      <c r="MV655" s="302"/>
      <c r="MW655" s="302"/>
      <c r="MX655" s="302"/>
      <c r="MY655" s="1682">
        <f t="shared" si="200"/>
        <v>16740</v>
      </c>
      <c r="MZ655" s="770" t="s">
        <v>13370</v>
      </c>
      <c r="NA655" s="770" t="s">
        <v>1249</v>
      </c>
      <c r="NB655" s="770" t="s">
        <v>13859</v>
      </c>
      <c r="NC655" s="770" t="s">
        <v>13621</v>
      </c>
      <c r="ND655" s="770">
        <v>0</v>
      </c>
      <c r="NE655" s="770">
        <v>0</v>
      </c>
      <c r="NF655" s="770">
        <v>0</v>
      </c>
      <c r="NG655" s="770">
        <v>2</v>
      </c>
      <c r="NH655" s="770">
        <v>1</v>
      </c>
      <c r="NI655" s="770">
        <f>-NJ4813</f>
        <v>0</v>
      </c>
      <c r="NJ655" s="770">
        <v>0</v>
      </c>
      <c r="NK655" s="770">
        <v>0</v>
      </c>
      <c r="NL655" s="770">
        <v>0</v>
      </c>
      <c r="NM655" s="770">
        <v>0</v>
      </c>
      <c r="NN655" s="770">
        <v>0</v>
      </c>
      <c r="NO655" s="770">
        <v>0</v>
      </c>
      <c r="NP655" s="770">
        <v>0</v>
      </c>
      <c r="NQ655" s="770">
        <v>0</v>
      </c>
      <c r="NR655" s="770">
        <v>0</v>
      </c>
      <c r="NS655" s="770">
        <v>0</v>
      </c>
      <c r="NT655" s="770">
        <v>0</v>
      </c>
      <c r="NU655" s="770">
        <v>0</v>
      </c>
      <c r="NV655" s="770">
        <v>0</v>
      </c>
      <c r="NW655" s="770">
        <v>0</v>
      </c>
      <c r="NX655" s="770">
        <v>0</v>
      </c>
      <c r="NY655" s="770" t="s">
        <v>1208</v>
      </c>
      <c r="NZ655" s="770" t="s">
        <v>1208</v>
      </c>
      <c r="OA655" s="770"/>
      <c r="OB655" s="770" t="s">
        <v>1208</v>
      </c>
      <c r="OC655" s="770" t="s">
        <v>1208</v>
      </c>
      <c r="OD655" s="770"/>
      <c r="OE655" s="770"/>
      <c r="OF655" s="770"/>
      <c r="OG655" s="770"/>
      <c r="OH655" s="770"/>
      <c r="OI655" s="770"/>
      <c r="OJ655" s="770"/>
      <c r="OK655" s="770"/>
      <c r="OL655" s="770"/>
      <c r="OM655" s="770"/>
      <c r="ON655" s="770"/>
      <c r="OO655" s="770"/>
      <c r="OP655" s="770"/>
      <c r="OQ655" s="770"/>
      <c r="OR655" s="770"/>
      <c r="OS655" s="770"/>
      <c r="OT655" s="770"/>
      <c r="OU655" s="770"/>
      <c r="OV655" s="770"/>
      <c r="OW655" s="770"/>
      <c r="OX655" s="770"/>
      <c r="OY655" s="770"/>
      <c r="OZ655" s="770"/>
      <c r="PA655" s="770"/>
      <c r="PB655" s="770"/>
      <c r="PC655" s="770"/>
      <c r="PD655" s="770"/>
      <c r="PE655" s="770"/>
      <c r="PF655" s="770"/>
      <c r="PG655" s="770"/>
      <c r="PH655" s="770"/>
      <c r="PI655" s="770"/>
      <c r="PJ655" s="770"/>
      <c r="PK655" s="770"/>
      <c r="PL655" s="770"/>
      <c r="PM655" s="770"/>
      <c r="PN655" s="770"/>
      <c r="PO655" s="770"/>
      <c r="PP655" s="770"/>
      <c r="PQ655" s="770"/>
      <c r="PR655" s="770"/>
      <c r="PS655" s="770"/>
      <c r="PT655" s="770"/>
      <c r="PU655" s="770"/>
      <c r="PV655" s="770"/>
      <c r="PW655" s="770"/>
      <c r="PX655" s="770"/>
      <c r="PY655" s="770"/>
      <c r="PZ655" s="770"/>
      <c r="QA655" s="770"/>
      <c r="QB655" s="770"/>
      <c r="QC655" s="770"/>
      <c r="QD655" s="770"/>
      <c r="QE655" s="770"/>
      <c r="QF655" s="770"/>
      <c r="QG655" s="770"/>
      <c r="QH655" s="770"/>
      <c r="QI655" s="770"/>
      <c r="QJ655" s="770"/>
      <c r="QK655" s="770"/>
      <c r="QL655" s="770"/>
      <c r="QM655" s="770"/>
      <c r="QN655" s="770"/>
      <c r="QO655" s="770" t="s">
        <v>1208</v>
      </c>
      <c r="QP655" s="770"/>
      <c r="QQ655" s="770"/>
      <c r="QR655" s="770"/>
      <c r="QS655" s="770"/>
      <c r="QT655" s="770"/>
      <c r="QU655" s="770"/>
      <c r="QV655" s="770"/>
      <c r="QW655" s="770"/>
      <c r="QX655" s="770"/>
      <c r="QY655" s="770"/>
      <c r="QZ655" s="770"/>
      <c r="RA655" s="770"/>
      <c r="RB655" s="770" t="s">
        <v>1207</v>
      </c>
      <c r="RC655" s="770" t="s">
        <v>13860</v>
      </c>
      <c r="RD655" s="770" t="s">
        <v>13054</v>
      </c>
      <c r="RE655" s="770" t="s">
        <v>12999</v>
      </c>
      <c r="RF655" s="304">
        <v>3</v>
      </c>
      <c r="RG655" s="770" t="s">
        <v>13047</v>
      </c>
      <c r="RH655" s="302">
        <v>2000</v>
      </c>
      <c r="RI655" s="770" t="s">
        <v>13861</v>
      </c>
      <c r="RJ655" s="770" t="s">
        <v>13862</v>
      </c>
      <c r="RK655" s="770" t="s">
        <v>13544</v>
      </c>
      <c r="RL655" s="1710">
        <v>42836</v>
      </c>
      <c r="RM655" s="12"/>
      <c r="RN655" s="1711"/>
      <c r="RO655" s="132" t="s">
        <v>4264</v>
      </c>
      <c r="RP655" s="11"/>
      <c r="RQ655" s="11"/>
      <c r="RR655" s="19" t="s">
        <v>7421</v>
      </c>
      <c r="RS655" s="1139" t="s">
        <v>12980</v>
      </c>
      <c r="RT655" s="11"/>
      <c r="RU655" s="11"/>
      <c r="RV655" s="771" t="s">
        <v>13863</v>
      </c>
      <c r="RW655" s="11" t="s">
        <v>7844</v>
      </c>
      <c r="RX655" s="11" t="s">
        <v>4259</v>
      </c>
      <c r="RY655" s="11"/>
      <c r="RZ655" s="11" t="s">
        <v>2209</v>
      </c>
      <c r="SA655" s="771"/>
      <c r="SB655" s="11"/>
      <c r="SC655" s="11"/>
    </row>
    <row r="656" spans="1:497" ht="12.75" hidden="1" customHeight="1">
      <c r="A656" s="343" t="s">
        <v>7419</v>
      </c>
      <c r="B656" s="127" t="s">
        <v>7845</v>
      </c>
      <c r="C656" s="132" t="s">
        <v>4273</v>
      </c>
      <c r="D656" s="94" t="s">
        <v>4275</v>
      </c>
      <c r="E656" s="766" t="s">
        <v>4286</v>
      </c>
      <c r="F656" s="770" t="s">
        <v>28</v>
      </c>
      <c r="G656" s="770" t="s">
        <v>10</v>
      </c>
      <c r="H656" s="5" t="s">
        <v>4277</v>
      </c>
      <c r="I656" s="295"/>
      <c r="J656" s="94" t="s">
        <v>4275</v>
      </c>
      <c r="K656" s="766" t="s">
        <v>4278</v>
      </c>
      <c r="L656" s="766" t="s">
        <v>3976</v>
      </c>
      <c r="M656" s="770" t="s">
        <v>1238</v>
      </c>
      <c r="N656" s="770"/>
      <c r="O656" s="323" t="s">
        <v>5787</v>
      </c>
      <c r="P656" s="770" t="s">
        <v>4279</v>
      </c>
      <c r="Q656" s="1088">
        <v>17178</v>
      </c>
      <c r="R656" s="297">
        <v>70</v>
      </c>
      <c r="S656" s="770" t="s">
        <v>10</v>
      </c>
      <c r="T656" s="295" t="s">
        <v>4277</v>
      </c>
      <c r="U656" s="298"/>
      <c r="V656" s="770" t="s">
        <v>707</v>
      </c>
      <c r="W656" s="770"/>
      <c r="X656" s="770"/>
      <c r="Y656" s="770" t="s">
        <v>4276</v>
      </c>
      <c r="Z656" s="770" t="s">
        <v>708</v>
      </c>
      <c r="AA656" s="770" t="s">
        <v>709</v>
      </c>
      <c r="AB656" s="770" t="s">
        <v>710</v>
      </c>
      <c r="AC656" s="770"/>
      <c r="AD656" s="770" t="s">
        <v>711</v>
      </c>
      <c r="AE656" s="770"/>
      <c r="AF656" s="770" t="s">
        <v>712</v>
      </c>
      <c r="AG656" s="766" t="s">
        <v>1095</v>
      </c>
      <c r="AH656" s="766" t="s">
        <v>1096</v>
      </c>
      <c r="AI656" s="770" t="s">
        <v>4280</v>
      </c>
      <c r="AJ656" s="770"/>
      <c r="AK656" s="770" t="s">
        <v>1097</v>
      </c>
      <c r="AL656" s="531">
        <v>82.36</v>
      </c>
      <c r="AM656" s="780">
        <v>6.39</v>
      </c>
      <c r="AN656" s="532">
        <f>AM656/AL656</f>
        <v>7.7586206896551727E-2</v>
      </c>
      <c r="AO656" s="766" t="s">
        <v>1098</v>
      </c>
      <c r="AP656" s="766" t="s">
        <v>11906</v>
      </c>
      <c r="AQ656" s="766"/>
      <c r="AR656" s="766"/>
      <c r="AS656" s="770" t="s">
        <v>1207</v>
      </c>
      <c r="AT656" s="770" t="s">
        <v>1208</v>
      </c>
      <c r="AU656" s="770" t="s">
        <v>1208</v>
      </c>
      <c r="AV656" s="770"/>
      <c r="AW656" s="770"/>
      <c r="AX656" s="13"/>
      <c r="AY656" s="770"/>
      <c r="AZ656" s="770"/>
      <c r="BA656" s="770"/>
      <c r="BB656" s="770"/>
      <c r="BC656" s="770" t="s">
        <v>853</v>
      </c>
      <c r="BD656" s="770" t="s">
        <v>1207</v>
      </c>
      <c r="BE656" s="770" t="s">
        <v>1214</v>
      </c>
      <c r="BF656" s="302"/>
      <c r="BG656" s="302"/>
      <c r="BH656" s="770"/>
      <c r="BI656" s="770"/>
      <c r="BJ656" s="770"/>
      <c r="BK656" s="770" t="s">
        <v>1095</v>
      </c>
      <c r="BL656" s="770" t="s">
        <v>4281</v>
      </c>
      <c r="BM656" s="766" t="s">
        <v>1096</v>
      </c>
      <c r="BN656" s="770" t="s">
        <v>1230</v>
      </c>
      <c r="BO656" s="766" t="s">
        <v>1239</v>
      </c>
      <c r="BP656" s="765">
        <v>164.72</v>
      </c>
      <c r="BQ656" s="773">
        <v>12.78</v>
      </c>
      <c r="BR656" s="774">
        <f>BQ656/BP656</f>
        <v>7.7586206896551727E-2</v>
      </c>
      <c r="BS656" s="766" t="s">
        <v>1242</v>
      </c>
      <c r="BT656" s="766" t="s">
        <v>2040</v>
      </c>
      <c r="BU656" s="770" t="s">
        <v>1249</v>
      </c>
      <c r="BV656" s="766" t="s">
        <v>1243</v>
      </c>
      <c r="BW656" s="770">
        <v>2000</v>
      </c>
      <c r="BX656" s="302">
        <v>200000</v>
      </c>
      <c r="BY656" s="770" t="s">
        <v>1207</v>
      </c>
      <c r="BZ656" s="302"/>
      <c r="CA656" s="770"/>
      <c r="CB656" s="770" t="s">
        <v>1207</v>
      </c>
      <c r="CC656" s="770"/>
      <c r="CD656" s="770"/>
      <c r="CE656" s="770"/>
      <c r="CF656" s="1753"/>
      <c r="CG656" s="1754"/>
      <c r="CH656" s="770"/>
      <c r="CI656" s="770"/>
      <c r="CJ656" s="770"/>
      <c r="CK656" s="770"/>
      <c r="CL656" s="770"/>
      <c r="CM656" s="770"/>
      <c r="CN656" s="770"/>
      <c r="CO656" s="770"/>
      <c r="CP656" s="770"/>
      <c r="CQ656" s="770"/>
      <c r="CR656" s="302"/>
      <c r="CS656" s="770"/>
      <c r="CT656" s="770"/>
      <c r="CU656" s="305"/>
      <c r="CV656" s="770"/>
      <c r="CW656" s="770"/>
      <c r="CX656" s="770"/>
      <c r="CY656" s="770"/>
      <c r="CZ656" s="770"/>
      <c r="DA656" s="306"/>
      <c r="DB656" s="770"/>
      <c r="DC656" s="770"/>
      <c r="DD656" s="770"/>
      <c r="DE656" s="300"/>
      <c r="DF656" s="770"/>
      <c r="DG656" s="770"/>
      <c r="DH656" s="770"/>
      <c r="DI656" s="770"/>
      <c r="DJ656" s="770"/>
      <c r="DK656" s="770"/>
      <c r="DL656" s="770"/>
      <c r="DM656" s="770"/>
      <c r="DN656" s="322"/>
      <c r="DO656" s="770"/>
      <c r="DP656" s="770"/>
      <c r="DQ656" s="770"/>
      <c r="DR656" s="770"/>
      <c r="DS656" s="307"/>
      <c r="DT656" s="770"/>
      <c r="DU656" s="770"/>
      <c r="DV656" s="770"/>
      <c r="DW656" s="306"/>
      <c r="DX656" s="306"/>
      <c r="DY656" s="770"/>
      <c r="DZ656" s="770"/>
      <c r="EA656" s="770"/>
      <c r="EB656" s="770"/>
      <c r="EC656" s="770"/>
      <c r="ED656" s="770"/>
      <c r="EE656" s="770"/>
      <c r="EF656" s="770"/>
      <c r="EG656" s="770"/>
      <c r="EH656" s="770"/>
      <c r="EI656" s="770"/>
      <c r="EJ656" s="770"/>
      <c r="EK656" s="770"/>
      <c r="EL656" s="770"/>
      <c r="EM656" s="770"/>
      <c r="EN656" s="770"/>
      <c r="EO656" s="770"/>
      <c r="EP656" s="94"/>
      <c r="EQ656" s="770"/>
      <c r="ER656" s="770"/>
      <c r="ES656" s="770"/>
      <c r="ET656" s="770"/>
      <c r="EU656" s="770"/>
      <c r="EV656" s="770"/>
      <c r="EW656" s="770"/>
      <c r="EX656" s="770"/>
      <c r="EY656" s="770"/>
      <c r="EZ656" s="770" t="s">
        <v>4281</v>
      </c>
      <c r="FA656" s="770" t="s">
        <v>4282</v>
      </c>
      <c r="FB656" s="770" t="s">
        <v>1257</v>
      </c>
      <c r="FC656" s="770">
        <v>2000</v>
      </c>
      <c r="FD656" s="302"/>
      <c r="FE656" s="770" t="s">
        <v>4284</v>
      </c>
      <c r="FF656" s="770"/>
      <c r="FG656" s="770" t="s">
        <v>4283</v>
      </c>
      <c r="FH656" s="770" t="s">
        <v>478</v>
      </c>
      <c r="FI656" s="770">
        <v>1</v>
      </c>
      <c r="FJ656" s="770"/>
      <c r="FK656" s="770"/>
      <c r="FL656" s="770"/>
      <c r="FM656" s="302"/>
      <c r="FN656" s="302"/>
      <c r="FO656" s="302"/>
      <c r="FP656" s="770" t="s">
        <v>1600</v>
      </c>
      <c r="FQ656" s="770" t="s">
        <v>1642</v>
      </c>
      <c r="FR656" s="770" t="s">
        <v>1214</v>
      </c>
      <c r="FS656" s="770"/>
      <c r="FT656" s="770"/>
      <c r="FU656" s="770"/>
      <c r="FV656" s="770"/>
      <c r="FW656" s="770"/>
      <c r="FX656" s="770"/>
      <c r="FY656" s="770"/>
      <c r="FZ656" s="770"/>
      <c r="GA656" s="770"/>
      <c r="GB656" s="770" t="s">
        <v>1734</v>
      </c>
      <c r="GC656" s="308"/>
      <c r="GD656" s="297">
        <v>2000</v>
      </c>
      <c r="GE656" s="770" t="s">
        <v>1214</v>
      </c>
      <c r="GF656" s="302"/>
      <c r="GG656" s="302"/>
      <c r="GH656" s="770"/>
      <c r="GI656" s="770"/>
      <c r="GJ656" s="770"/>
      <c r="GK656" s="766"/>
      <c r="GL656" s="770"/>
      <c r="GM656" s="770"/>
      <c r="GN656" s="299"/>
      <c r="GO656" s="770"/>
      <c r="GP656" s="770"/>
      <c r="GQ656" s="770"/>
      <c r="GR656" s="770"/>
      <c r="GS656" s="770"/>
      <c r="GT656" s="770"/>
      <c r="GU656" s="770"/>
      <c r="GV656" s="770"/>
      <c r="GW656" s="770"/>
      <c r="GX656" s="770"/>
      <c r="GY656" s="770"/>
      <c r="GZ656" s="770"/>
      <c r="HA656" s="770"/>
      <c r="HB656" s="770"/>
      <c r="HC656" s="770"/>
      <c r="HD656" s="770"/>
      <c r="HE656" s="770"/>
      <c r="HF656" s="770"/>
      <c r="HG656" s="770"/>
      <c r="HH656" s="770"/>
      <c r="HI656" s="770"/>
      <c r="HJ656" s="770"/>
      <c r="HK656" s="770"/>
      <c r="HL656" s="770"/>
      <c r="HM656" s="770"/>
      <c r="HN656" s="770"/>
      <c r="HO656" s="770"/>
      <c r="HP656" s="770"/>
      <c r="HQ656" s="770"/>
      <c r="HR656" s="770"/>
      <c r="HS656" s="770"/>
      <c r="HT656" s="770"/>
      <c r="HU656" s="770"/>
      <c r="HV656" s="770"/>
      <c r="HW656" s="770"/>
      <c r="HX656" s="770"/>
      <c r="HY656" s="770"/>
      <c r="HZ656" s="770"/>
      <c r="IA656" s="770"/>
      <c r="IB656" s="770"/>
      <c r="IC656" s="770"/>
      <c r="ID656" s="770">
        <v>1</v>
      </c>
      <c r="IE656" s="770"/>
      <c r="IF656" s="770" t="s">
        <v>5788</v>
      </c>
      <c r="IG656" s="770" t="s">
        <v>10</v>
      </c>
      <c r="IH656" s="770"/>
      <c r="II656" s="770"/>
      <c r="IJ656" s="770"/>
      <c r="IK656" s="770"/>
      <c r="IL656" s="770"/>
      <c r="IM656" s="770"/>
      <c r="IN656" s="770"/>
      <c r="IO656" s="296"/>
      <c r="IP656" s="770"/>
      <c r="IQ656" s="770"/>
      <c r="IR656" s="770"/>
      <c r="IS656" s="770"/>
      <c r="IT656" s="770"/>
      <c r="IU656" s="770"/>
      <c r="IV656" s="770"/>
      <c r="IW656" s="770"/>
      <c r="IX656" s="770"/>
      <c r="IY656" s="770"/>
      <c r="IZ656" s="770"/>
      <c r="JA656" s="770"/>
      <c r="JB656" s="770"/>
      <c r="JC656" s="770"/>
      <c r="JD656" s="302"/>
      <c r="JE656" s="770"/>
      <c r="JF656" s="770"/>
      <c r="JG656" s="770"/>
      <c r="JH656" s="307"/>
      <c r="JI656" s="307"/>
      <c r="JJ656" s="770">
        <v>2</v>
      </c>
      <c r="JK656" s="770" t="s">
        <v>4274</v>
      </c>
      <c r="JL656" s="770"/>
      <c r="JM656" s="770"/>
      <c r="JN656" s="770"/>
      <c r="JO656" s="770"/>
      <c r="JP656" s="770">
        <v>1</v>
      </c>
      <c r="JQ656" s="770">
        <v>1</v>
      </c>
      <c r="JR656" s="770"/>
      <c r="JS656" s="770"/>
      <c r="JT656" s="766">
        <f>SUM(JP656,JN656,JL656,JR656)</f>
        <v>1</v>
      </c>
      <c r="JU656" s="766">
        <f>SUM(JQ656,JO656,JM656,JS656)</f>
        <v>1</v>
      </c>
      <c r="JV656" s="766"/>
      <c r="JW656" s="766"/>
      <c r="JX656" s="770"/>
      <c r="JY656" s="770"/>
      <c r="JZ656" s="770"/>
      <c r="KA656" s="770"/>
      <c r="KB656" s="770"/>
      <c r="KC656" s="770"/>
      <c r="KD656" s="770"/>
      <c r="KE656" s="770"/>
      <c r="KF656" s="770">
        <v>1</v>
      </c>
      <c r="KG656" s="770">
        <v>1</v>
      </c>
      <c r="KH656" s="770"/>
      <c r="KI656" s="770"/>
      <c r="KJ656" s="770">
        <f t="shared" si="204"/>
        <v>1</v>
      </c>
      <c r="KK656" s="770">
        <f t="shared" si="204"/>
        <v>1</v>
      </c>
      <c r="KL656" s="770"/>
      <c r="KM656" s="770"/>
      <c r="KN656" s="770" t="s">
        <v>707</v>
      </c>
      <c r="KO656" s="770"/>
      <c r="KP656" s="770"/>
      <c r="KQ656" s="770"/>
      <c r="KR656" s="770"/>
      <c r="KS656" s="770"/>
      <c r="KT656" s="770"/>
      <c r="KU656" s="770"/>
      <c r="KV656" s="770"/>
      <c r="KW656" s="770"/>
      <c r="KX656" s="770"/>
      <c r="KY656" s="770"/>
      <c r="KZ656" s="770">
        <v>1</v>
      </c>
      <c r="LA656" s="770"/>
      <c r="LB656" s="770"/>
      <c r="LC656" s="770"/>
      <c r="LD656" s="770"/>
      <c r="LE656" s="770">
        <v>1</v>
      </c>
      <c r="LF656" s="770"/>
      <c r="LG656" s="770"/>
      <c r="LH656" s="770"/>
      <c r="LI656" s="770"/>
      <c r="LJ656" s="770"/>
      <c r="LK656" s="770"/>
      <c r="LL656" s="770"/>
      <c r="LM656" s="770"/>
      <c r="LN656" s="766">
        <f>SUM(KP656,KR656,KT656,KV656,KX656,KZ656,LB656,LD656,LF656,LH656,LJ656,LL656)</f>
        <v>1</v>
      </c>
      <c r="LO656" s="766">
        <f>SUM(KQ656,KS656,KU656,KW656,KY656,LA656,LC656,LE656,LG656,LI656,LK656,LM656)</f>
        <v>1</v>
      </c>
      <c r="LP656" s="770">
        <v>0</v>
      </c>
      <c r="LQ656" s="770"/>
      <c r="LR656" s="770"/>
      <c r="LS656" s="770"/>
      <c r="LT656" s="770"/>
      <c r="LU656" s="770"/>
      <c r="LV656" s="770"/>
      <c r="LW656" s="770"/>
      <c r="LX656" s="769"/>
      <c r="LY656" s="766" t="str">
        <f t="shared" si="187"/>
        <v/>
      </c>
      <c r="LZ656" s="1709"/>
      <c r="MA656" s="1709"/>
      <c r="MB656" s="1709"/>
      <c r="MC656" s="1679">
        <f t="shared" si="185"/>
        <v>0</v>
      </c>
      <c r="MD656" s="1709"/>
      <c r="ME656" s="1709"/>
      <c r="MF656" s="1709"/>
      <c r="MG656" s="1680">
        <f t="shared" si="199"/>
        <v>0</v>
      </c>
      <c r="MH656" s="770"/>
      <c r="MI656" s="302">
        <f>500*30</f>
        <v>15000</v>
      </c>
      <c r="MJ656" s="302"/>
      <c r="MK656" s="302">
        <v>1000</v>
      </c>
      <c r="ML656" s="302">
        <v>2000</v>
      </c>
      <c r="MM656" s="302"/>
      <c r="MN656" s="302"/>
      <c r="MO656" s="302"/>
      <c r="MP656" s="302">
        <v>1500</v>
      </c>
      <c r="MQ656" s="302">
        <v>700</v>
      </c>
      <c r="MR656" s="302">
        <v>1200</v>
      </c>
      <c r="MS656" s="302">
        <v>10000</v>
      </c>
      <c r="MT656" s="302"/>
      <c r="MU656" s="302"/>
      <c r="MV656" s="302"/>
      <c r="MW656" s="302"/>
      <c r="MX656" s="302"/>
      <c r="MY656" s="1682">
        <f t="shared" si="200"/>
        <v>31400</v>
      </c>
      <c r="MZ656" s="770" t="s">
        <v>13370</v>
      </c>
      <c r="NA656" s="770" t="s">
        <v>13005</v>
      </c>
      <c r="NB656" s="770" t="s">
        <v>13016</v>
      </c>
      <c r="NC656" s="770" t="s">
        <v>13602</v>
      </c>
      <c r="ND656" s="770">
        <v>0</v>
      </c>
      <c r="NE656" s="770">
        <v>0</v>
      </c>
      <c r="NF656" s="770">
        <v>1</v>
      </c>
      <c r="NG656" s="770">
        <v>4</v>
      </c>
      <c r="NH656" s="770">
        <v>3</v>
      </c>
      <c r="NI656" s="770">
        <v>1</v>
      </c>
      <c r="NJ656" s="770">
        <v>1</v>
      </c>
      <c r="NK656" s="770">
        <v>0</v>
      </c>
      <c r="NL656" s="770">
        <v>2</v>
      </c>
      <c r="NM656" s="770">
        <v>2</v>
      </c>
      <c r="NN656" s="770">
        <v>0</v>
      </c>
      <c r="NO656" s="770">
        <v>0</v>
      </c>
      <c r="NP656" s="770">
        <v>0</v>
      </c>
      <c r="NQ656" s="770">
        <v>0</v>
      </c>
      <c r="NR656" s="770">
        <v>0</v>
      </c>
      <c r="NS656" s="770">
        <v>0</v>
      </c>
      <c r="NT656" s="770">
        <v>0</v>
      </c>
      <c r="NU656" s="770">
        <v>0</v>
      </c>
      <c r="NV656" s="770">
        <v>0</v>
      </c>
      <c r="NW656" s="770">
        <v>0</v>
      </c>
      <c r="NX656" s="770">
        <v>0</v>
      </c>
      <c r="NY656" s="770" t="s">
        <v>1208</v>
      </c>
      <c r="NZ656" s="770" t="s">
        <v>1208</v>
      </c>
      <c r="OA656" s="770" t="s">
        <v>1208</v>
      </c>
      <c r="OB656" s="770" t="s">
        <v>1208</v>
      </c>
      <c r="OC656" s="770" t="s">
        <v>1208</v>
      </c>
      <c r="OD656" s="770"/>
      <c r="OE656" s="770"/>
      <c r="OF656" s="770"/>
      <c r="OG656" s="770"/>
      <c r="OH656" s="770"/>
      <c r="OI656" s="770"/>
      <c r="OJ656" s="770"/>
      <c r="OK656" s="770"/>
      <c r="OL656" s="770"/>
      <c r="OM656" s="770"/>
      <c r="ON656" s="770"/>
      <c r="OO656" s="770"/>
      <c r="OP656" s="770"/>
      <c r="OQ656" s="770"/>
      <c r="OR656" s="770"/>
      <c r="OS656" s="770"/>
      <c r="OT656" s="770"/>
      <c r="OU656" s="770"/>
      <c r="OV656" s="770"/>
      <c r="OW656" s="770"/>
      <c r="OX656" s="770"/>
      <c r="OY656" s="770"/>
      <c r="OZ656" s="770"/>
      <c r="PA656" s="770"/>
      <c r="PB656" s="770"/>
      <c r="PC656" s="770"/>
      <c r="PD656" s="770"/>
      <c r="PE656" s="770"/>
      <c r="PF656" s="770"/>
      <c r="PG656" s="770"/>
      <c r="PH656" s="770" t="s">
        <v>1208</v>
      </c>
      <c r="PI656" s="770" t="s">
        <v>1208</v>
      </c>
      <c r="PJ656" s="770"/>
      <c r="PK656" s="770" t="s">
        <v>1208</v>
      </c>
      <c r="PL656" s="770"/>
      <c r="PM656" s="770"/>
      <c r="PN656" s="770"/>
      <c r="PO656" s="770"/>
      <c r="PP656" s="770"/>
      <c r="PQ656" s="770"/>
      <c r="PR656" s="770"/>
      <c r="PS656" s="770"/>
      <c r="PT656" s="770"/>
      <c r="PU656" s="770"/>
      <c r="PV656" s="770"/>
      <c r="PW656" s="770"/>
      <c r="PX656" s="770"/>
      <c r="PY656" s="770"/>
      <c r="PZ656" s="770"/>
      <c r="QA656" s="770"/>
      <c r="QB656" s="770"/>
      <c r="QC656" s="770"/>
      <c r="QD656" s="770"/>
      <c r="QE656" s="770" t="s">
        <v>1208</v>
      </c>
      <c r="QF656" s="770"/>
      <c r="QG656" s="770" t="s">
        <v>1208</v>
      </c>
      <c r="QH656" s="770"/>
      <c r="QI656" s="770"/>
      <c r="QJ656" s="770"/>
      <c r="QK656" s="770"/>
      <c r="QL656" s="770"/>
      <c r="QM656" s="770"/>
      <c r="QN656" s="770"/>
      <c r="QO656" s="770"/>
      <c r="QP656" s="770"/>
      <c r="QQ656" s="770"/>
      <c r="QR656" s="770"/>
      <c r="QS656" s="770"/>
      <c r="QT656" s="770" t="s">
        <v>1208</v>
      </c>
      <c r="QU656" s="770"/>
      <c r="QV656" s="770"/>
      <c r="QW656" s="770"/>
      <c r="QX656" s="770"/>
      <c r="QY656" s="770"/>
      <c r="QZ656" s="770"/>
      <c r="RA656" s="770"/>
      <c r="RB656" s="770" t="s">
        <v>1207</v>
      </c>
      <c r="RC656" s="770" t="s">
        <v>13860</v>
      </c>
      <c r="RD656" s="770" t="s">
        <v>13036</v>
      </c>
      <c r="RE656" s="770" t="s">
        <v>12999</v>
      </c>
      <c r="RF656" s="304">
        <v>3</v>
      </c>
      <c r="RG656" s="770" t="s">
        <v>13047</v>
      </c>
      <c r="RH656" s="302">
        <v>10000</v>
      </c>
      <c r="RI656" s="770">
        <v>48</v>
      </c>
      <c r="RJ656" s="770" t="s">
        <v>13864</v>
      </c>
      <c r="RK656" s="770" t="s">
        <v>13544</v>
      </c>
      <c r="RL656" s="1710">
        <v>42836</v>
      </c>
      <c r="RM656" s="12"/>
      <c r="RN656" s="1711"/>
      <c r="RO656" s="132" t="s">
        <v>4273</v>
      </c>
      <c r="RP656" s="11"/>
      <c r="RQ656" s="11"/>
      <c r="RR656" s="17"/>
      <c r="RS656" s="767"/>
      <c r="RT656" s="11"/>
      <c r="RU656" s="11"/>
      <c r="RV656" s="771" t="s">
        <v>7421</v>
      </c>
      <c r="RW656" s="11" t="s">
        <v>7731</v>
      </c>
      <c r="RX656" s="11" t="s">
        <v>3048</v>
      </c>
      <c r="RY656" s="11"/>
      <c r="RZ656" s="11" t="s">
        <v>2209</v>
      </c>
      <c r="SA656" s="771"/>
      <c r="SB656" s="11"/>
      <c r="SC656" s="11"/>
    </row>
    <row r="657" spans="1:497" ht="12.75" hidden="1" customHeight="1">
      <c r="A657" s="343" t="s">
        <v>7419</v>
      </c>
      <c r="B657" s="127" t="s">
        <v>7732</v>
      </c>
      <c r="C657" s="132" t="s">
        <v>3052</v>
      </c>
      <c r="D657" s="94" t="s">
        <v>3053</v>
      </c>
      <c r="E657" s="766" t="s">
        <v>3054</v>
      </c>
      <c r="F657" s="770" t="s">
        <v>28</v>
      </c>
      <c r="G657" s="770" t="s">
        <v>10</v>
      </c>
      <c r="H657" s="770"/>
      <c r="I657" s="295" t="s">
        <v>3055</v>
      </c>
      <c r="J657" s="94" t="s">
        <v>3053</v>
      </c>
      <c r="K657" s="766" t="s">
        <v>4287</v>
      </c>
      <c r="L657" s="766" t="s">
        <v>3947</v>
      </c>
      <c r="M657" s="770" t="s">
        <v>1238</v>
      </c>
      <c r="N657" s="770"/>
      <c r="O657" s="770" t="s">
        <v>4269</v>
      </c>
      <c r="P657" s="770" t="s">
        <v>4288</v>
      </c>
      <c r="Q657" s="1088">
        <v>10439</v>
      </c>
      <c r="R657" s="297">
        <v>88</v>
      </c>
      <c r="S657" s="770" t="s">
        <v>18</v>
      </c>
      <c r="T657" s="770"/>
      <c r="U657" s="295" t="s">
        <v>3055</v>
      </c>
      <c r="V657" s="770" t="s">
        <v>719</v>
      </c>
      <c r="W657" s="770"/>
      <c r="X657" s="770"/>
      <c r="Y657" s="770" t="s">
        <v>3054</v>
      </c>
      <c r="Z657" s="770" t="s">
        <v>708</v>
      </c>
      <c r="AA657" s="770" t="s">
        <v>709</v>
      </c>
      <c r="AB657" s="770" t="s">
        <v>710</v>
      </c>
      <c r="AC657" s="770"/>
      <c r="AD657" s="770" t="s">
        <v>711</v>
      </c>
      <c r="AE657" s="770" t="s">
        <v>1073</v>
      </c>
      <c r="AF657" s="770" t="s">
        <v>712</v>
      </c>
      <c r="AG657" s="766" t="s">
        <v>1095</v>
      </c>
      <c r="AH657" s="766" t="s">
        <v>1096</v>
      </c>
      <c r="AI657" s="770" t="s">
        <v>4289</v>
      </c>
      <c r="AJ657" s="770"/>
      <c r="AK657" s="770" t="s">
        <v>1097</v>
      </c>
      <c r="AL657" s="531">
        <v>77.405000000000001</v>
      </c>
      <c r="AM657" s="780">
        <v>13.7</v>
      </c>
      <c r="AN657" s="532">
        <f>AM657/AL657</f>
        <v>0.17699115044247787</v>
      </c>
      <c r="AO657" s="766" t="s">
        <v>1109</v>
      </c>
      <c r="AP657" s="766" t="s">
        <v>11906</v>
      </c>
      <c r="AQ657" s="766"/>
      <c r="AR657" s="766"/>
      <c r="AS657" s="770" t="s">
        <v>1207</v>
      </c>
      <c r="AT657" s="770" t="s">
        <v>1208</v>
      </c>
      <c r="AU657" s="770"/>
      <c r="AV657" s="770"/>
      <c r="AW657" s="770"/>
      <c r="AX657" s="13"/>
      <c r="AY657" s="770"/>
      <c r="AZ657" s="770"/>
      <c r="BA657" s="770"/>
      <c r="BB657" s="770"/>
      <c r="BC657" s="770" t="s">
        <v>853</v>
      </c>
      <c r="BD657" s="770" t="s">
        <v>1207</v>
      </c>
      <c r="BE657" s="770" t="s">
        <v>1214</v>
      </c>
      <c r="BF657" s="302"/>
      <c r="BG657" s="302"/>
      <c r="BH657" s="770"/>
      <c r="BI657" s="770"/>
      <c r="BJ657" s="770"/>
      <c r="BK657" s="770" t="s">
        <v>1095</v>
      </c>
      <c r="BL657" s="770" t="s">
        <v>4289</v>
      </c>
      <c r="BM657" s="766" t="s">
        <v>1096</v>
      </c>
      <c r="BN657" s="770" t="s">
        <v>1230</v>
      </c>
      <c r="BO657" s="766" t="s">
        <v>1239</v>
      </c>
      <c r="BP657" s="765">
        <v>154.81</v>
      </c>
      <c r="BQ657" s="773">
        <v>27.7</v>
      </c>
      <c r="BR657" s="774">
        <f>BQ657/BP657</f>
        <v>0.17892900975389187</v>
      </c>
      <c r="BS657" s="766" t="s">
        <v>1242</v>
      </c>
      <c r="BT657" s="766" t="s">
        <v>2040</v>
      </c>
      <c r="BU657" s="770" t="s">
        <v>1249</v>
      </c>
      <c r="BV657" s="766" t="s">
        <v>1243</v>
      </c>
      <c r="BW657" s="770">
        <v>1960</v>
      </c>
      <c r="BX657" s="302"/>
      <c r="BY657" s="770"/>
      <c r="BZ657" s="302"/>
      <c r="CA657" s="770"/>
      <c r="CB657" s="770"/>
      <c r="CC657" s="770"/>
      <c r="CD657" s="770"/>
      <c r="CE657" s="770"/>
      <c r="CF657" s="1753"/>
      <c r="CG657" s="1754"/>
      <c r="CH657" s="770"/>
      <c r="CI657" s="770"/>
      <c r="CJ657" s="770"/>
      <c r="CK657" s="770"/>
      <c r="CL657" s="770"/>
      <c r="CM657" s="770"/>
      <c r="CN657" s="770"/>
      <c r="CO657" s="770"/>
      <c r="CP657" s="770"/>
      <c r="CQ657" s="770"/>
      <c r="CR657" s="302"/>
      <c r="CS657" s="770"/>
      <c r="CT657" s="770"/>
      <c r="CU657" s="305"/>
      <c r="CV657" s="770"/>
      <c r="CW657" s="770"/>
      <c r="CX657" s="770"/>
      <c r="CY657" s="770"/>
      <c r="CZ657" s="770"/>
      <c r="DA657" s="306"/>
      <c r="DB657" s="770"/>
      <c r="DC657" s="770"/>
      <c r="DD657" s="770"/>
      <c r="DE657" s="300"/>
      <c r="DF657" s="770"/>
      <c r="DG657" s="770"/>
      <c r="DH657" s="770"/>
      <c r="DI657" s="770"/>
      <c r="DJ657" s="770"/>
      <c r="DK657" s="770"/>
      <c r="DL657" s="770"/>
      <c r="DM657" s="770"/>
      <c r="DN657" s="322"/>
      <c r="DO657" s="770"/>
      <c r="DP657" s="770"/>
      <c r="DQ657" s="770"/>
      <c r="DR657" s="770"/>
      <c r="DS657" s="307"/>
      <c r="DT657" s="770"/>
      <c r="DU657" s="770"/>
      <c r="DV657" s="770"/>
      <c r="DW657" s="306"/>
      <c r="DX657" s="306"/>
      <c r="DY657" s="770"/>
      <c r="DZ657" s="770"/>
      <c r="EA657" s="770"/>
      <c r="EB657" s="770"/>
      <c r="EC657" s="770"/>
      <c r="ED657" s="770"/>
      <c r="EE657" s="770"/>
      <c r="EF657" s="770"/>
      <c r="EG657" s="770"/>
      <c r="EH657" s="770"/>
      <c r="EI657" s="770"/>
      <c r="EJ657" s="770"/>
      <c r="EK657" s="770"/>
      <c r="EL657" s="770"/>
      <c r="EM657" s="770"/>
      <c r="EN657" s="770"/>
      <c r="EO657" s="770"/>
      <c r="EP657" s="94"/>
      <c r="EQ657" s="770"/>
      <c r="ER657" s="770"/>
      <c r="ES657" s="770"/>
      <c r="ET657" s="770"/>
      <c r="EU657" s="770"/>
      <c r="EV657" s="770"/>
      <c r="EW657" s="770"/>
      <c r="EX657" s="770"/>
      <c r="EY657" s="770"/>
      <c r="EZ657" s="770"/>
      <c r="FA657" s="770"/>
      <c r="FB657" s="770"/>
      <c r="FC657" s="770"/>
      <c r="FD657" s="302"/>
      <c r="FE657" s="770"/>
      <c r="FF657" s="770"/>
      <c r="FG657" s="770"/>
      <c r="FH657" s="770" t="s">
        <v>478</v>
      </c>
      <c r="FI657" s="770">
        <v>1</v>
      </c>
      <c r="FJ657" s="770"/>
      <c r="FK657" s="770"/>
      <c r="FL657" s="770"/>
      <c r="FM657" s="302"/>
      <c r="FN657" s="302"/>
      <c r="FO657" s="302"/>
      <c r="FP657" s="770" t="s">
        <v>1600</v>
      </c>
      <c r="FQ657" s="770" t="s">
        <v>3940</v>
      </c>
      <c r="FR657" s="770" t="s">
        <v>1214</v>
      </c>
      <c r="FS657" s="770"/>
      <c r="FT657" s="770"/>
      <c r="FU657" s="770"/>
      <c r="FV657" s="770"/>
      <c r="FW657" s="770"/>
      <c r="FX657" s="770"/>
      <c r="FY657" s="770"/>
      <c r="FZ657" s="770"/>
      <c r="GA657" s="770"/>
      <c r="GB657" s="770" t="s">
        <v>1734</v>
      </c>
      <c r="GC657" s="308"/>
      <c r="GD657" s="297">
        <v>1960</v>
      </c>
      <c r="GE657" s="770" t="s">
        <v>1214</v>
      </c>
      <c r="GF657" s="302"/>
      <c r="GG657" s="302"/>
      <c r="GH657" s="770"/>
      <c r="GI657" s="770"/>
      <c r="GJ657" s="770"/>
      <c r="GK657" s="766"/>
      <c r="GL657" s="770"/>
      <c r="GM657" s="770"/>
      <c r="GN657" s="299"/>
      <c r="GO657" s="770"/>
      <c r="GP657" s="770"/>
      <c r="GQ657" s="770"/>
      <c r="GR657" s="770"/>
      <c r="GS657" s="770"/>
      <c r="GT657" s="770"/>
      <c r="GU657" s="770"/>
      <c r="GV657" s="770"/>
      <c r="GW657" s="770"/>
      <c r="GX657" s="770"/>
      <c r="GY657" s="770"/>
      <c r="GZ657" s="770"/>
      <c r="HA657" s="770"/>
      <c r="HB657" s="770"/>
      <c r="HC657" s="770"/>
      <c r="HD657" s="770"/>
      <c r="HE657" s="770"/>
      <c r="HF657" s="770"/>
      <c r="HG657" s="770"/>
      <c r="HH657" s="770"/>
      <c r="HI657" s="770"/>
      <c r="HJ657" s="770"/>
      <c r="HK657" s="770"/>
      <c r="HL657" s="770"/>
      <c r="HM657" s="770"/>
      <c r="HN657" s="770"/>
      <c r="HO657" s="770"/>
      <c r="HP657" s="770"/>
      <c r="HQ657" s="770"/>
      <c r="HR657" s="770"/>
      <c r="HS657" s="770"/>
      <c r="HT657" s="770"/>
      <c r="HU657" s="770"/>
      <c r="HV657" s="770"/>
      <c r="HW657" s="770"/>
      <c r="HX657" s="770"/>
      <c r="HY657" s="770"/>
      <c r="HZ657" s="770"/>
      <c r="IA657" s="770"/>
      <c r="IB657" s="770"/>
      <c r="IC657" s="770"/>
      <c r="ID657" s="770"/>
      <c r="IE657" s="770"/>
      <c r="IF657" s="770"/>
      <c r="IG657" s="770"/>
      <c r="IH657" s="770"/>
      <c r="II657" s="770"/>
      <c r="IJ657" s="770"/>
      <c r="IK657" s="770"/>
      <c r="IL657" s="770"/>
      <c r="IM657" s="770"/>
      <c r="IN657" s="770"/>
      <c r="IO657" s="296"/>
      <c r="IP657" s="770"/>
      <c r="IQ657" s="770"/>
      <c r="IR657" s="770"/>
      <c r="IS657" s="770"/>
      <c r="IT657" s="770"/>
      <c r="IU657" s="770"/>
      <c r="IV657" s="770"/>
      <c r="IW657" s="770"/>
      <c r="IX657" s="770"/>
      <c r="IY657" s="770"/>
      <c r="IZ657" s="770"/>
      <c r="JA657" s="770"/>
      <c r="JB657" s="770"/>
      <c r="JC657" s="770"/>
      <c r="JD657" s="302"/>
      <c r="JE657" s="770"/>
      <c r="JF657" s="770"/>
      <c r="JG657" s="770"/>
      <c r="JH657" s="307"/>
      <c r="JI657" s="307"/>
      <c r="JJ657" s="770"/>
      <c r="JK657" s="770"/>
      <c r="JL657" s="770"/>
      <c r="JM657" s="770"/>
      <c r="JN657" s="770"/>
      <c r="JO657" s="770"/>
      <c r="JP657" s="770"/>
      <c r="JQ657" s="770"/>
      <c r="JR657" s="770"/>
      <c r="JS657" s="770"/>
      <c r="JT657" s="766"/>
      <c r="JU657" s="766"/>
      <c r="JV657" s="766"/>
      <c r="JW657" s="766"/>
      <c r="JX657" s="770"/>
      <c r="JY657" s="770"/>
      <c r="JZ657" s="770"/>
      <c r="KA657" s="770"/>
      <c r="KB657" s="770"/>
      <c r="KC657" s="770"/>
      <c r="KD657" s="770"/>
      <c r="KE657" s="770"/>
      <c r="KF657" s="770"/>
      <c r="KG657" s="770"/>
      <c r="KH657" s="770"/>
      <c r="KI657" s="770"/>
      <c r="KJ657" s="770"/>
      <c r="KK657" s="770"/>
      <c r="KL657" s="770"/>
      <c r="KM657" s="770"/>
      <c r="KN657" s="770"/>
      <c r="KO657" s="770"/>
      <c r="KP657" s="770"/>
      <c r="KQ657" s="770"/>
      <c r="KR657" s="770"/>
      <c r="KS657" s="770"/>
      <c r="KT657" s="770"/>
      <c r="KU657" s="770"/>
      <c r="KV657" s="770"/>
      <c r="KW657" s="770"/>
      <c r="KX657" s="770"/>
      <c r="KY657" s="770"/>
      <c r="KZ657" s="770"/>
      <c r="LA657" s="770"/>
      <c r="LB657" s="770"/>
      <c r="LC657" s="770"/>
      <c r="LD657" s="770"/>
      <c r="LE657" s="770"/>
      <c r="LF657" s="770"/>
      <c r="LG657" s="770"/>
      <c r="LH657" s="770"/>
      <c r="LI657" s="770"/>
      <c r="LJ657" s="770"/>
      <c r="LK657" s="770"/>
      <c r="LL657" s="770"/>
      <c r="LM657" s="770"/>
      <c r="LN657" s="766"/>
      <c r="LO657" s="766"/>
      <c r="LP657" s="770"/>
      <c r="LQ657" s="770"/>
      <c r="LR657" s="770"/>
      <c r="LS657" s="770"/>
      <c r="LT657" s="770"/>
      <c r="LU657" s="770"/>
      <c r="LV657" s="770"/>
      <c r="LW657" s="770"/>
      <c r="LX657" s="769"/>
      <c r="LY657" s="766" t="str">
        <f t="shared" si="187"/>
        <v/>
      </c>
      <c r="LZ657" s="1709"/>
      <c r="MA657" s="1709"/>
      <c r="MB657" s="1709"/>
      <c r="MC657" s="1679">
        <f t="shared" si="185"/>
        <v>0</v>
      </c>
      <c r="MD657" s="1709"/>
      <c r="ME657" s="1709"/>
      <c r="MF657" s="1709"/>
      <c r="MG657" s="1680">
        <f t="shared" si="199"/>
        <v>0</v>
      </c>
      <c r="MH657" s="770"/>
      <c r="MI657" s="302"/>
      <c r="MJ657" s="302"/>
      <c r="MK657" s="302"/>
      <c r="ML657" s="302"/>
      <c r="MM657" s="302"/>
      <c r="MN657" s="302"/>
      <c r="MO657" s="302"/>
      <c r="MP657" s="302"/>
      <c r="MQ657" s="302"/>
      <c r="MR657" s="302"/>
      <c r="MS657" s="302"/>
      <c r="MT657" s="302"/>
      <c r="MU657" s="302"/>
      <c r="MV657" s="302"/>
      <c r="MW657" s="302"/>
      <c r="MX657" s="302"/>
      <c r="MY657" s="1682">
        <f t="shared" si="200"/>
        <v>0</v>
      </c>
      <c r="MZ657" s="770"/>
      <c r="NA657" s="770"/>
      <c r="NB657" s="770"/>
      <c r="NC657" s="770"/>
      <c r="ND657" s="770"/>
      <c r="NE657" s="770"/>
      <c r="NF657" s="770"/>
      <c r="NG657" s="770"/>
      <c r="NH657" s="770"/>
      <c r="NI657" s="770"/>
      <c r="NJ657" s="770"/>
      <c r="NK657" s="770"/>
      <c r="NL657" s="770"/>
      <c r="NM657" s="770"/>
      <c r="NN657" s="770"/>
      <c r="NO657" s="770"/>
      <c r="NP657" s="770"/>
      <c r="NQ657" s="770"/>
      <c r="NR657" s="770"/>
      <c r="NS657" s="770"/>
      <c r="NT657" s="770"/>
      <c r="NU657" s="770"/>
      <c r="NV657" s="770"/>
      <c r="NW657" s="770"/>
      <c r="NX657" s="770"/>
      <c r="NY657" s="770"/>
      <c r="NZ657" s="770"/>
      <c r="OA657" s="770"/>
      <c r="OB657" s="770"/>
      <c r="OC657" s="770"/>
      <c r="OD657" s="770"/>
      <c r="OE657" s="770"/>
      <c r="OF657" s="770"/>
      <c r="OG657" s="770"/>
      <c r="OH657" s="770"/>
      <c r="OI657" s="770"/>
      <c r="OJ657" s="770"/>
      <c r="OK657" s="770"/>
      <c r="OL657" s="770"/>
      <c r="OM657" s="770"/>
      <c r="ON657" s="770"/>
      <c r="OO657" s="770"/>
      <c r="OP657" s="770"/>
      <c r="OQ657" s="770"/>
      <c r="OR657" s="770"/>
      <c r="OS657" s="770"/>
      <c r="OT657" s="770"/>
      <c r="OU657" s="770"/>
      <c r="OV657" s="770"/>
      <c r="OW657" s="770"/>
      <c r="OX657" s="770"/>
      <c r="OY657" s="770"/>
      <c r="OZ657" s="770"/>
      <c r="PA657" s="770"/>
      <c r="PB657" s="770"/>
      <c r="PC657" s="770"/>
      <c r="PD657" s="770"/>
      <c r="PE657" s="770"/>
      <c r="PF657" s="770"/>
      <c r="PG657" s="770"/>
      <c r="PH657" s="770"/>
      <c r="PI657" s="770"/>
      <c r="PJ657" s="770"/>
      <c r="PK657" s="770"/>
      <c r="PL657" s="770"/>
      <c r="PM657" s="770"/>
      <c r="PN657" s="770"/>
      <c r="PO657" s="770"/>
      <c r="PP657" s="770"/>
      <c r="PQ657" s="770"/>
      <c r="PR657" s="770"/>
      <c r="PS657" s="770"/>
      <c r="PT657" s="770"/>
      <c r="PU657" s="770"/>
      <c r="PV657" s="770"/>
      <c r="PW657" s="770"/>
      <c r="PX657" s="770"/>
      <c r="PY657" s="770"/>
      <c r="PZ657" s="770"/>
      <c r="QA657" s="770"/>
      <c r="QB657" s="770"/>
      <c r="QC657" s="770"/>
      <c r="QD657" s="770"/>
      <c r="QE657" s="770"/>
      <c r="QF657" s="770"/>
      <c r="QG657" s="770"/>
      <c r="QH657" s="770"/>
      <c r="QI657" s="770"/>
      <c r="QJ657" s="770"/>
      <c r="QK657" s="770"/>
      <c r="QL657" s="770"/>
      <c r="QM657" s="770"/>
      <c r="QN657" s="770"/>
      <c r="QO657" s="770"/>
      <c r="QP657" s="770"/>
      <c r="QQ657" s="770"/>
      <c r="QR657" s="770"/>
      <c r="QS657" s="770"/>
      <c r="QT657" s="770"/>
      <c r="QU657" s="770"/>
      <c r="QV657" s="770"/>
      <c r="QW657" s="770"/>
      <c r="QX657" s="770"/>
      <c r="QY657" s="770"/>
      <c r="QZ657" s="770"/>
      <c r="RA657" s="770"/>
      <c r="RB657" s="770"/>
      <c r="RC657" s="770"/>
      <c r="RD657" s="770"/>
      <c r="RE657" s="770"/>
      <c r="RF657" s="304"/>
      <c r="RG657" s="770"/>
      <c r="RH657" s="302"/>
      <c r="RI657" s="770"/>
      <c r="RJ657" s="770" t="s">
        <v>13865</v>
      </c>
      <c r="RK657" s="770" t="s">
        <v>13556</v>
      </c>
      <c r="RL657" s="1710">
        <v>42836</v>
      </c>
      <c r="RM657" s="12"/>
      <c r="RN657" s="1711"/>
      <c r="RO657" s="132" t="s">
        <v>3052</v>
      </c>
      <c r="RP657" s="11"/>
      <c r="RQ657" s="11"/>
      <c r="RR657" s="17"/>
      <c r="RS657" s="767"/>
      <c r="RT657" s="11"/>
      <c r="RU657" s="11"/>
      <c r="RV657" s="771" t="s">
        <v>7421</v>
      </c>
      <c r="RW657" s="11" t="s">
        <v>7410</v>
      </c>
      <c r="RX657" s="11" t="s">
        <v>4264</v>
      </c>
      <c r="RY657" s="11"/>
      <c r="RZ657" s="11" t="s">
        <v>2209</v>
      </c>
      <c r="SA657" s="771"/>
      <c r="SB657" s="11"/>
      <c r="SC657" s="11"/>
    </row>
    <row r="658" spans="1:497" ht="12.75" hidden="1" customHeight="1">
      <c r="A658" s="343" t="s">
        <v>14232</v>
      </c>
      <c r="B658" s="752" t="s">
        <v>7733</v>
      </c>
      <c r="C658" s="132" t="s">
        <v>3052</v>
      </c>
      <c r="D658" s="94" t="s">
        <v>3053</v>
      </c>
      <c r="E658" s="766" t="s">
        <v>3054</v>
      </c>
      <c r="F658" s="770" t="s">
        <v>28</v>
      </c>
      <c r="G658" s="770" t="s">
        <v>10</v>
      </c>
      <c r="H658" s="770"/>
      <c r="I658" s="295" t="s">
        <v>3055</v>
      </c>
      <c r="J658" s="94" t="s">
        <v>3053</v>
      </c>
      <c r="K658" s="766" t="s">
        <v>4292</v>
      </c>
      <c r="L658" s="323" t="s">
        <v>3947</v>
      </c>
      <c r="M658" s="770" t="s">
        <v>1238</v>
      </c>
      <c r="N658" s="770"/>
      <c r="O658" s="770" t="s">
        <v>4269</v>
      </c>
      <c r="P658" s="770" t="s">
        <v>3056</v>
      </c>
      <c r="Q658" s="1088">
        <v>19812</v>
      </c>
      <c r="R658" s="297">
        <v>63</v>
      </c>
      <c r="S658" s="770" t="s">
        <v>10</v>
      </c>
      <c r="T658" s="770"/>
      <c r="U658" s="295" t="s">
        <v>3055</v>
      </c>
      <c r="V658" s="770"/>
      <c r="W658" s="770"/>
      <c r="X658" s="770"/>
      <c r="Y658" s="770" t="s">
        <v>3054</v>
      </c>
      <c r="Z658" s="770" t="s">
        <v>708</v>
      </c>
      <c r="AA658" s="770" t="s">
        <v>709</v>
      </c>
      <c r="AB658" s="770" t="s">
        <v>710</v>
      </c>
      <c r="AC658" s="770"/>
      <c r="AD658" s="770" t="s">
        <v>711</v>
      </c>
      <c r="AE658" s="770" t="s">
        <v>1073</v>
      </c>
      <c r="AF658" s="770" t="s">
        <v>712</v>
      </c>
      <c r="AG658" s="770"/>
      <c r="AH658" s="770"/>
      <c r="AI658" s="770" t="s">
        <v>4289</v>
      </c>
      <c r="AJ658" s="770"/>
      <c r="AK658" s="766" t="s">
        <v>5454</v>
      </c>
      <c r="AL658" s="531"/>
      <c r="AM658" s="780"/>
      <c r="AN658" s="532"/>
      <c r="AO658" s="766"/>
      <c r="AP658" s="766"/>
      <c r="AQ658" s="766"/>
      <c r="AR658" s="766"/>
      <c r="AS658" s="770" t="s">
        <v>1207</v>
      </c>
      <c r="AT658" s="770" t="s">
        <v>1208</v>
      </c>
      <c r="AU658" s="770"/>
      <c r="AV658" s="770"/>
      <c r="AW658" s="770"/>
      <c r="AX658" s="770"/>
      <c r="AY658" s="770"/>
      <c r="AZ658" s="770"/>
      <c r="BA658" s="770"/>
      <c r="BB658" s="770"/>
      <c r="BC658" s="770" t="s">
        <v>853</v>
      </c>
      <c r="BD658" s="770" t="s">
        <v>1207</v>
      </c>
      <c r="BE658" s="770" t="s">
        <v>1214</v>
      </c>
      <c r="BF658" s="302"/>
      <c r="BG658" s="302"/>
      <c r="BH658" s="770"/>
      <c r="BI658" s="770"/>
      <c r="BJ658" s="770"/>
      <c r="BK658" s="770"/>
      <c r="BL658" s="770"/>
      <c r="BM658" s="770" t="s">
        <v>1238</v>
      </c>
      <c r="BN658" s="770" t="s">
        <v>1299</v>
      </c>
      <c r="BO658" s="770"/>
      <c r="BP658" s="765"/>
      <c r="BQ658" s="773"/>
      <c r="BR658" s="774"/>
      <c r="BS658" s="766" t="s">
        <v>1242</v>
      </c>
      <c r="BT658" s="770"/>
      <c r="BU658" s="770"/>
      <c r="BV658" s="770"/>
      <c r="BW658" s="770"/>
      <c r="BX658" s="302"/>
      <c r="BY658" s="770"/>
      <c r="BZ658" s="302"/>
      <c r="CA658" s="770"/>
      <c r="CB658" s="770"/>
      <c r="CC658" s="770"/>
      <c r="CD658" s="770"/>
      <c r="CE658" s="770"/>
      <c r="CF658" s="1753"/>
      <c r="CG658" s="1754"/>
      <c r="CH658" s="770"/>
      <c r="CI658" s="770"/>
      <c r="CJ658" s="770"/>
      <c r="CK658" s="770"/>
      <c r="CL658" s="770"/>
      <c r="CM658" s="770"/>
      <c r="CN658" s="770"/>
      <c r="CO658" s="770"/>
      <c r="CP658" s="770"/>
      <c r="CQ658" s="770"/>
      <c r="CR658" s="302"/>
      <c r="CS658" s="770"/>
      <c r="CT658" s="770"/>
      <c r="CU658" s="305"/>
      <c r="CV658" s="770"/>
      <c r="CW658" s="770"/>
      <c r="CX658" s="770"/>
      <c r="CY658" s="770"/>
      <c r="CZ658" s="770"/>
      <c r="DA658" s="306"/>
      <c r="DB658" s="770"/>
      <c r="DC658" s="770"/>
      <c r="DD658" s="770"/>
      <c r="DE658" s="300"/>
      <c r="DF658" s="770"/>
      <c r="DG658" s="770"/>
      <c r="DH658" s="770"/>
      <c r="DI658" s="770"/>
      <c r="DJ658" s="770"/>
      <c r="DK658" s="770"/>
      <c r="DL658" s="770"/>
      <c r="DM658" s="770"/>
      <c r="DN658" s="322"/>
      <c r="DO658" s="770"/>
      <c r="DP658" s="770"/>
      <c r="DQ658" s="770"/>
      <c r="DR658" s="770"/>
      <c r="DS658" s="307"/>
      <c r="DT658" s="770"/>
      <c r="DU658" s="770"/>
      <c r="DV658" s="770"/>
      <c r="DW658" s="306"/>
      <c r="DX658" s="306"/>
      <c r="DY658" s="770"/>
      <c r="DZ658" s="770"/>
      <c r="EA658" s="770"/>
      <c r="EB658" s="770"/>
      <c r="EC658" s="770"/>
      <c r="ED658" s="770"/>
      <c r="EE658" s="770"/>
      <c r="EF658" s="770"/>
      <c r="EG658" s="770"/>
      <c r="EH658" s="770"/>
      <c r="EI658" s="770"/>
      <c r="EJ658" s="770"/>
      <c r="EK658" s="770"/>
      <c r="EL658" s="770"/>
      <c r="EM658" s="770"/>
      <c r="EN658" s="770"/>
      <c r="EO658" s="770"/>
      <c r="EP658" s="94"/>
      <c r="EQ658" s="770"/>
      <c r="ER658" s="770"/>
      <c r="ES658" s="770"/>
      <c r="ET658" s="770"/>
      <c r="EU658" s="770"/>
      <c r="EV658" s="770"/>
      <c r="EW658" s="770"/>
      <c r="EX658" s="770"/>
      <c r="EY658" s="770"/>
      <c r="EZ658" s="770"/>
      <c r="FA658" s="770"/>
      <c r="FB658" s="770"/>
      <c r="FC658" s="770"/>
      <c r="FD658" s="302"/>
      <c r="FE658" s="770"/>
      <c r="FF658" s="770"/>
      <c r="FG658" s="770"/>
      <c r="FH658" s="770" t="s">
        <v>478</v>
      </c>
      <c r="FI658" s="770">
        <v>1</v>
      </c>
      <c r="FJ658" s="770"/>
      <c r="FK658" s="770"/>
      <c r="FL658" s="770"/>
      <c r="FM658" s="302"/>
      <c r="FN658" s="302"/>
      <c r="FO658" s="302"/>
      <c r="FP658" s="770" t="s">
        <v>1600</v>
      </c>
      <c r="FQ658" s="770" t="s">
        <v>5851</v>
      </c>
      <c r="FR658" s="770" t="s">
        <v>1214</v>
      </c>
      <c r="FS658" s="770"/>
      <c r="FT658" s="770"/>
      <c r="FU658" s="770"/>
      <c r="FV658" s="770"/>
      <c r="FW658" s="770"/>
      <c r="FX658" s="770"/>
      <c r="FY658" s="770"/>
      <c r="FZ658" s="770"/>
      <c r="GA658" s="770"/>
      <c r="GB658" s="770" t="s">
        <v>1734</v>
      </c>
      <c r="GC658" s="308"/>
      <c r="GD658" s="297">
        <v>1960</v>
      </c>
      <c r="GE658" s="770" t="s">
        <v>1698</v>
      </c>
      <c r="GF658" s="302"/>
      <c r="GG658" s="302"/>
      <c r="GH658" s="770"/>
      <c r="GI658" s="770"/>
      <c r="GJ658" s="770"/>
      <c r="GK658" s="770"/>
      <c r="GL658" s="770"/>
      <c r="GM658" s="770"/>
      <c r="GN658" s="299"/>
      <c r="GO658" s="770"/>
      <c r="GP658" s="770"/>
      <c r="GQ658" s="770"/>
      <c r="GR658" s="770"/>
      <c r="GS658" s="770"/>
      <c r="GT658" s="770"/>
      <c r="GU658" s="770"/>
      <c r="GV658" s="770"/>
      <c r="GW658" s="770"/>
      <c r="GX658" s="770"/>
      <c r="GY658" s="770"/>
      <c r="GZ658" s="770"/>
      <c r="HA658" s="770"/>
      <c r="HB658" s="770"/>
      <c r="HC658" s="770"/>
      <c r="HD658" s="770"/>
      <c r="HE658" s="770"/>
      <c r="HF658" s="770"/>
      <c r="HG658" s="770"/>
      <c r="HH658" s="770"/>
      <c r="HI658" s="770"/>
      <c r="HJ658" s="770"/>
      <c r="HK658" s="770"/>
      <c r="HL658" s="770"/>
      <c r="HM658" s="770"/>
      <c r="HN658" s="770"/>
      <c r="HO658" s="770"/>
      <c r="HP658" s="770"/>
      <c r="HQ658" s="770"/>
      <c r="HR658" s="770"/>
      <c r="HS658" s="770"/>
      <c r="HT658" s="770"/>
      <c r="HU658" s="770"/>
      <c r="HV658" s="770"/>
      <c r="HW658" s="770"/>
      <c r="HX658" s="770"/>
      <c r="HY658" s="770"/>
      <c r="HZ658" s="770"/>
      <c r="IA658" s="770"/>
      <c r="IB658" s="770"/>
      <c r="IC658" s="770"/>
      <c r="ID658" s="770">
        <v>2</v>
      </c>
      <c r="IE658" s="770"/>
      <c r="IF658" s="770"/>
      <c r="IG658" s="770"/>
      <c r="IH658" s="770"/>
      <c r="II658" s="770"/>
      <c r="IJ658" s="770"/>
      <c r="IK658" s="770"/>
      <c r="IL658" s="770"/>
      <c r="IM658" s="770"/>
      <c r="IN658" s="770"/>
      <c r="IO658" s="296"/>
      <c r="IP658" s="770"/>
      <c r="IQ658" s="770"/>
      <c r="IR658" s="770"/>
      <c r="IS658" s="770"/>
      <c r="IT658" s="770"/>
      <c r="IU658" s="770"/>
      <c r="IV658" s="770"/>
      <c r="IW658" s="770"/>
      <c r="IX658" s="770"/>
      <c r="IY658" s="770"/>
      <c r="IZ658" s="770"/>
      <c r="JA658" s="770"/>
      <c r="JB658" s="770"/>
      <c r="JC658" s="770"/>
      <c r="JD658" s="302"/>
      <c r="JE658" s="770"/>
      <c r="JF658" s="770"/>
      <c r="JG658" s="770"/>
      <c r="JH658" s="307"/>
      <c r="JI658" s="307"/>
      <c r="JJ658" s="770">
        <v>2</v>
      </c>
      <c r="JK658" s="770" t="s">
        <v>3058</v>
      </c>
      <c r="JL658" s="770"/>
      <c r="JM658" s="770"/>
      <c r="JN658" s="770">
        <v>1</v>
      </c>
      <c r="JO658" s="770"/>
      <c r="JP658" s="770"/>
      <c r="JQ658" s="770">
        <v>1</v>
      </c>
      <c r="JR658" s="770"/>
      <c r="JS658" s="770"/>
      <c r="JT658" s="766">
        <f>SUM(JP658,JN658,JL658,JR658)</f>
        <v>1</v>
      </c>
      <c r="JU658" s="766">
        <f>SUM(JQ658,JO658,JM658,JS658)</f>
        <v>1</v>
      </c>
      <c r="JV658" s="766"/>
      <c r="JW658" s="766"/>
      <c r="JX658" s="770"/>
      <c r="JY658" s="770"/>
      <c r="JZ658" s="770"/>
      <c r="KA658" s="770"/>
      <c r="KB658" s="770"/>
      <c r="KC658" s="770"/>
      <c r="KD658" s="770"/>
      <c r="KE658" s="770"/>
      <c r="KF658" s="770">
        <v>1</v>
      </c>
      <c r="KG658" s="770">
        <v>1</v>
      </c>
      <c r="KH658" s="770"/>
      <c r="KI658" s="770"/>
      <c r="KJ658" s="770">
        <f t="shared" si="204"/>
        <v>1</v>
      </c>
      <c r="KK658" s="770">
        <f t="shared" si="204"/>
        <v>1</v>
      </c>
      <c r="KL658" s="770"/>
      <c r="KM658" s="770"/>
      <c r="KN658" s="770" t="s">
        <v>707</v>
      </c>
      <c r="KO658" s="770"/>
      <c r="KP658" s="770"/>
      <c r="KQ658" s="770"/>
      <c r="KR658" s="770"/>
      <c r="KS658" s="770"/>
      <c r="KT658" s="770"/>
      <c r="KU658" s="770"/>
      <c r="KV658" s="770"/>
      <c r="KW658" s="770"/>
      <c r="KX658" s="770"/>
      <c r="KY658" s="770"/>
      <c r="KZ658" s="770"/>
      <c r="LA658" s="770"/>
      <c r="LB658" s="770"/>
      <c r="LC658" s="770"/>
      <c r="LD658" s="770">
        <v>1</v>
      </c>
      <c r="LE658" s="770">
        <v>1</v>
      </c>
      <c r="LF658" s="770"/>
      <c r="LG658" s="770"/>
      <c r="LH658" s="770"/>
      <c r="LI658" s="770"/>
      <c r="LJ658" s="770"/>
      <c r="LK658" s="770"/>
      <c r="LL658" s="770"/>
      <c r="LM658" s="770"/>
      <c r="LN658" s="766">
        <f>SUM(KP658,KR658,KT658,KV658,KX658,KZ658,LB658,LD658,LF658,LH658,LJ658,LL658)</f>
        <v>1</v>
      </c>
      <c r="LO658" s="766">
        <f>SUM(KQ658,KS658,KU658,KW658,KY658,LA658,LC658,LE658,LG658,LI658,LK658,LM658)</f>
        <v>1</v>
      </c>
      <c r="LP658" s="770">
        <v>2</v>
      </c>
      <c r="LQ658" s="770">
        <v>1</v>
      </c>
      <c r="LR658" s="770"/>
      <c r="LS658" s="770">
        <v>1</v>
      </c>
      <c r="LT658" s="770"/>
      <c r="LU658" s="770"/>
      <c r="LV658" s="770"/>
      <c r="LW658" s="770">
        <v>1</v>
      </c>
      <c r="LX658" s="769">
        <v>3</v>
      </c>
      <c r="LY658" s="766" t="str">
        <f t="shared" si="187"/>
        <v>within the PROVINCE</v>
      </c>
      <c r="LZ658" s="1709">
        <v>120</v>
      </c>
      <c r="MA658" s="1709"/>
      <c r="MB658" s="1709"/>
      <c r="MC658" s="1679">
        <f t="shared" si="185"/>
        <v>120</v>
      </c>
      <c r="MD658" s="1709">
        <v>3000</v>
      </c>
      <c r="ME658" s="1709"/>
      <c r="MF658" s="1709">
        <v>1000</v>
      </c>
      <c r="MG658" s="1680">
        <f t="shared" si="199"/>
        <v>4000</v>
      </c>
      <c r="MH658" s="770" t="s">
        <v>13866</v>
      </c>
      <c r="MI658" s="302"/>
      <c r="MJ658" s="302"/>
      <c r="MK658" s="302"/>
      <c r="ML658" s="302"/>
      <c r="MM658" s="302"/>
      <c r="MN658" s="302"/>
      <c r="MO658" s="302"/>
      <c r="MP658" s="302"/>
      <c r="MQ658" s="302"/>
      <c r="MR658" s="302">
        <v>100</v>
      </c>
      <c r="MS658" s="302"/>
      <c r="MT658" s="302"/>
      <c r="MU658" s="302"/>
      <c r="MV658" s="302"/>
      <c r="MW658" s="302"/>
      <c r="MX658" s="302"/>
      <c r="MY658" s="1682">
        <f t="shared" si="200"/>
        <v>100</v>
      </c>
      <c r="MZ658" s="766" t="s">
        <v>1835</v>
      </c>
      <c r="NA658" s="770" t="s">
        <v>13632</v>
      </c>
      <c r="NB658" s="770" t="s">
        <v>13016</v>
      </c>
      <c r="NC658" s="770" t="s">
        <v>13602</v>
      </c>
      <c r="ND658" s="770">
        <v>0</v>
      </c>
      <c r="NE658" s="770">
        <v>0</v>
      </c>
      <c r="NF658" s="770">
        <v>0</v>
      </c>
      <c r="NG658" s="770">
        <v>2</v>
      </c>
      <c r="NH658" s="770">
        <v>1</v>
      </c>
      <c r="NI658" s="770">
        <v>0</v>
      </c>
      <c r="NJ658" s="770">
        <v>0</v>
      </c>
      <c r="NK658" s="770">
        <v>0</v>
      </c>
      <c r="NL658" s="770">
        <v>1</v>
      </c>
      <c r="NM658" s="770">
        <v>0</v>
      </c>
      <c r="NN658" s="770">
        <v>0</v>
      </c>
      <c r="NO658" s="770">
        <v>0</v>
      </c>
      <c r="NP658" s="770">
        <v>0</v>
      </c>
      <c r="NQ658" s="770">
        <v>0</v>
      </c>
      <c r="NR658" s="770">
        <v>0</v>
      </c>
      <c r="NS658" s="770">
        <v>0</v>
      </c>
      <c r="NT658" s="770">
        <v>0</v>
      </c>
      <c r="NU658" s="770">
        <v>0</v>
      </c>
      <c r="NV658" s="770">
        <v>0</v>
      </c>
      <c r="NW658" s="770">
        <v>1</v>
      </c>
      <c r="NX658" s="770">
        <v>0</v>
      </c>
      <c r="NY658" s="770"/>
      <c r="NZ658" s="770"/>
      <c r="OA658" s="770"/>
      <c r="OB658" s="770"/>
      <c r="OC658" s="770" t="s">
        <v>1208</v>
      </c>
      <c r="OD658" s="770"/>
      <c r="OE658" s="770"/>
      <c r="OF658" s="770"/>
      <c r="OG658" s="770"/>
      <c r="OH658" s="770"/>
      <c r="OI658" s="770"/>
      <c r="OJ658" s="770"/>
      <c r="OK658" s="770"/>
      <c r="OL658" s="770"/>
      <c r="OM658" s="770"/>
      <c r="ON658" s="770"/>
      <c r="OO658" s="770"/>
      <c r="OP658" s="770"/>
      <c r="OQ658" s="770"/>
      <c r="OR658" s="770"/>
      <c r="OS658" s="770"/>
      <c r="OT658" s="770"/>
      <c r="OU658" s="770"/>
      <c r="OV658" s="770"/>
      <c r="OW658" s="770"/>
      <c r="OX658" s="770"/>
      <c r="OY658" s="770"/>
      <c r="OZ658" s="770"/>
      <c r="PA658" s="770"/>
      <c r="PB658" s="770"/>
      <c r="PC658" s="770"/>
      <c r="PD658" s="770"/>
      <c r="PE658" s="770"/>
      <c r="PF658" s="770"/>
      <c r="PG658" s="770"/>
      <c r="PH658" s="770"/>
      <c r="PI658" s="770"/>
      <c r="PJ658" s="770"/>
      <c r="PK658" s="770" t="s">
        <v>1208</v>
      </c>
      <c r="PL658" s="770"/>
      <c r="PM658" s="770"/>
      <c r="PN658" s="770" t="s">
        <v>1208</v>
      </c>
      <c r="PO658" s="770"/>
      <c r="PP658" s="770"/>
      <c r="PQ658" s="770"/>
      <c r="PR658" s="770"/>
      <c r="PS658" s="770"/>
      <c r="PT658" s="770"/>
      <c r="PU658" s="770"/>
      <c r="PV658" s="770"/>
      <c r="PW658" s="770"/>
      <c r="PX658" s="770"/>
      <c r="PY658" s="770"/>
      <c r="PZ658" s="770"/>
      <c r="QA658" s="770"/>
      <c r="QB658" s="770"/>
      <c r="QC658" s="770"/>
      <c r="QD658" s="770"/>
      <c r="QE658" s="770"/>
      <c r="QF658" s="770"/>
      <c r="QG658" s="770"/>
      <c r="QH658" s="770"/>
      <c r="QI658" s="770"/>
      <c r="QJ658" s="770"/>
      <c r="QK658" s="770"/>
      <c r="QL658" s="770"/>
      <c r="QM658" s="770"/>
      <c r="QN658" s="770"/>
      <c r="QO658" s="770"/>
      <c r="QP658" s="770"/>
      <c r="QQ658" s="770"/>
      <c r="QR658" s="770"/>
      <c r="QS658" s="770"/>
      <c r="QT658" s="770"/>
      <c r="QU658" s="770"/>
      <c r="QV658" s="770"/>
      <c r="QW658" s="770"/>
      <c r="QX658" s="770"/>
      <c r="QY658" s="770"/>
      <c r="QZ658" s="770"/>
      <c r="RA658" s="770"/>
      <c r="RB658" s="770" t="s">
        <v>1207</v>
      </c>
      <c r="RC658" s="770">
        <v>2009</v>
      </c>
      <c r="RD658" s="770" t="s">
        <v>13867</v>
      </c>
      <c r="RE658" s="770" t="s">
        <v>12999</v>
      </c>
      <c r="RF658" s="304">
        <v>1</v>
      </c>
      <c r="RG658" s="770" t="s">
        <v>13868</v>
      </c>
      <c r="RH658" s="302" t="s">
        <v>13869</v>
      </c>
      <c r="RI658" s="770">
        <v>12</v>
      </c>
      <c r="RJ658" s="770" t="s">
        <v>3058</v>
      </c>
      <c r="RK658" s="770" t="s">
        <v>13556</v>
      </c>
      <c r="RL658" s="1710"/>
      <c r="RM658" s="12"/>
      <c r="RN658" s="1711"/>
      <c r="RO658" s="132" t="s">
        <v>3052</v>
      </c>
      <c r="RP658" s="11"/>
      <c r="RQ658" s="11"/>
      <c r="RR658" s="17"/>
      <c r="RS658" s="767"/>
      <c r="RT658" s="11"/>
      <c r="RU658" s="11"/>
      <c r="RV658" s="771" t="s">
        <v>7419</v>
      </c>
      <c r="RW658" s="11" t="s">
        <v>7845</v>
      </c>
      <c r="RX658" s="11" t="s">
        <v>4273</v>
      </c>
      <c r="RY658" s="11"/>
      <c r="RZ658" s="11"/>
      <c r="SA658" s="771"/>
      <c r="SB658" s="11"/>
      <c r="SC658" s="11"/>
    </row>
    <row r="659" spans="1:497" ht="12.75" hidden="1" customHeight="1">
      <c r="A659" s="343" t="s">
        <v>7419</v>
      </c>
      <c r="B659" s="752" t="s">
        <v>7734</v>
      </c>
      <c r="C659" s="133" t="s">
        <v>4290</v>
      </c>
      <c r="D659" s="94" t="s">
        <v>4291</v>
      </c>
      <c r="E659" s="766" t="s">
        <v>3054</v>
      </c>
      <c r="F659" s="770" t="s">
        <v>28</v>
      </c>
      <c r="G659" s="770" t="s">
        <v>10</v>
      </c>
      <c r="H659" s="770"/>
      <c r="I659" s="295" t="s">
        <v>3055</v>
      </c>
      <c r="J659" s="94" t="s">
        <v>3053</v>
      </c>
      <c r="K659" s="770" t="s">
        <v>4292</v>
      </c>
      <c r="L659" s="770" t="s">
        <v>4292</v>
      </c>
      <c r="M659" s="770" t="s">
        <v>1238</v>
      </c>
      <c r="N659" s="770" t="s">
        <v>5789</v>
      </c>
      <c r="O659" s="770"/>
      <c r="P659" s="770" t="s">
        <v>3056</v>
      </c>
      <c r="Q659" s="1088">
        <v>19812</v>
      </c>
      <c r="R659" s="297">
        <v>63</v>
      </c>
      <c r="S659" s="770" t="s">
        <v>10</v>
      </c>
      <c r="T659" s="770"/>
      <c r="U659" s="295" t="s">
        <v>3055</v>
      </c>
      <c r="V659" s="770"/>
      <c r="W659" s="770"/>
      <c r="X659" s="770"/>
      <c r="Y659" s="770" t="s">
        <v>3054</v>
      </c>
      <c r="Z659" s="770" t="s">
        <v>708</v>
      </c>
      <c r="AA659" s="770" t="s">
        <v>709</v>
      </c>
      <c r="AB659" s="770" t="s">
        <v>710</v>
      </c>
      <c r="AC659" s="770"/>
      <c r="AD659" s="770" t="s">
        <v>711</v>
      </c>
      <c r="AE659" s="770" t="s">
        <v>3057</v>
      </c>
      <c r="AF659" s="770" t="s">
        <v>712</v>
      </c>
      <c r="AG659" s="766" t="s">
        <v>1095</v>
      </c>
      <c r="AH659" s="766" t="s">
        <v>1096</v>
      </c>
      <c r="AI659" s="770" t="s">
        <v>4289</v>
      </c>
      <c r="AJ659" s="770"/>
      <c r="AK659" s="770" t="s">
        <v>1097</v>
      </c>
      <c r="AL659" s="531">
        <v>165</v>
      </c>
      <c r="AM659" s="780">
        <v>19.8</v>
      </c>
      <c r="AN659" s="532">
        <f t="shared" ref="AN659:AN667" si="205">AM659/AL659</f>
        <v>0.12000000000000001</v>
      </c>
      <c r="AO659" s="766" t="s">
        <v>1109</v>
      </c>
      <c r="AP659" s="766" t="s">
        <v>11906</v>
      </c>
      <c r="AQ659" s="766"/>
      <c r="AR659" s="766"/>
      <c r="AS659" s="770" t="s">
        <v>1207</v>
      </c>
      <c r="AT659" s="770" t="s">
        <v>1208</v>
      </c>
      <c r="AU659" s="770"/>
      <c r="AV659" s="770"/>
      <c r="AW659" s="770"/>
      <c r="AX659" s="13"/>
      <c r="AY659" s="770"/>
      <c r="AZ659" s="770"/>
      <c r="BA659" s="770"/>
      <c r="BB659" s="770"/>
      <c r="BC659" s="770" t="s">
        <v>853</v>
      </c>
      <c r="BD659" s="770" t="s">
        <v>1207</v>
      </c>
      <c r="BE659" s="770"/>
      <c r="BF659" s="302"/>
      <c r="BG659" s="302"/>
      <c r="BH659" s="770"/>
      <c r="BI659" s="770"/>
      <c r="BJ659" s="770"/>
      <c r="BK659" s="770" t="s">
        <v>1095</v>
      </c>
      <c r="BL659" s="770" t="s">
        <v>4289</v>
      </c>
      <c r="BM659" s="766" t="s">
        <v>1096</v>
      </c>
      <c r="BN659" s="770" t="s">
        <v>1230</v>
      </c>
      <c r="BO659" s="770" t="s">
        <v>1333</v>
      </c>
      <c r="BP659" s="765">
        <v>330</v>
      </c>
      <c r="BQ659" s="773">
        <v>39.6</v>
      </c>
      <c r="BR659" s="774">
        <f t="shared" ref="BR659:BR665" si="206">BQ659/BP659</f>
        <v>0.12000000000000001</v>
      </c>
      <c r="BS659" s="766" t="s">
        <v>1242</v>
      </c>
      <c r="BT659" s="770" t="s">
        <v>8133</v>
      </c>
      <c r="BU659" s="770" t="s">
        <v>1249</v>
      </c>
      <c r="BV659" s="766" t="s">
        <v>1243</v>
      </c>
      <c r="BW659" s="770">
        <v>1920</v>
      </c>
      <c r="BX659" s="302"/>
      <c r="BY659" s="770"/>
      <c r="BZ659" s="302"/>
      <c r="CA659" s="770"/>
      <c r="CB659" s="770"/>
      <c r="CC659" s="770"/>
      <c r="CD659" s="770"/>
      <c r="CE659" s="770"/>
      <c r="CF659" s="1753"/>
      <c r="CG659" s="1754"/>
      <c r="CH659" s="770"/>
      <c r="CI659" s="770"/>
      <c r="CJ659" s="770"/>
      <c r="CK659" s="770"/>
      <c r="CL659" s="770"/>
      <c r="CM659" s="770"/>
      <c r="CN659" s="770"/>
      <c r="CO659" s="770"/>
      <c r="CP659" s="770"/>
      <c r="CQ659" s="770"/>
      <c r="CR659" s="302"/>
      <c r="CS659" s="770"/>
      <c r="CT659" s="770"/>
      <c r="CU659" s="305"/>
      <c r="CV659" s="770"/>
      <c r="CW659" s="770"/>
      <c r="CX659" s="770"/>
      <c r="CY659" s="770"/>
      <c r="CZ659" s="770"/>
      <c r="DA659" s="306"/>
      <c r="DB659" s="770"/>
      <c r="DC659" s="770"/>
      <c r="DD659" s="770"/>
      <c r="DE659" s="300"/>
      <c r="DF659" s="770"/>
      <c r="DG659" s="770"/>
      <c r="DH659" s="770"/>
      <c r="DI659" s="770"/>
      <c r="DJ659" s="770"/>
      <c r="DK659" s="770"/>
      <c r="DL659" s="770"/>
      <c r="DM659" s="770"/>
      <c r="DN659" s="322"/>
      <c r="DO659" s="770"/>
      <c r="DP659" s="770"/>
      <c r="DQ659" s="770"/>
      <c r="DR659" s="770"/>
      <c r="DS659" s="307"/>
      <c r="DT659" s="770"/>
      <c r="DU659" s="770"/>
      <c r="DV659" s="770"/>
      <c r="DW659" s="306"/>
      <c r="DX659" s="306"/>
      <c r="DY659" s="770"/>
      <c r="DZ659" s="770"/>
      <c r="EA659" s="770"/>
      <c r="EB659" s="770"/>
      <c r="EC659" s="770"/>
      <c r="ED659" s="770"/>
      <c r="EE659" s="770"/>
      <c r="EF659" s="770"/>
      <c r="EG659" s="770"/>
      <c r="EH659" s="770"/>
      <c r="EI659" s="770"/>
      <c r="EJ659" s="770"/>
      <c r="EK659" s="770"/>
      <c r="EL659" s="770"/>
      <c r="EM659" s="770"/>
      <c r="EN659" s="770"/>
      <c r="EO659" s="770"/>
      <c r="EP659" s="94"/>
      <c r="EQ659" s="770"/>
      <c r="ER659" s="770"/>
      <c r="ES659" s="770"/>
      <c r="ET659" s="770"/>
      <c r="EU659" s="770"/>
      <c r="EV659" s="770"/>
      <c r="EW659" s="770"/>
      <c r="EX659" s="770"/>
      <c r="EY659" s="770"/>
      <c r="EZ659" s="770"/>
      <c r="FA659" s="770"/>
      <c r="FB659" s="770"/>
      <c r="FC659" s="770"/>
      <c r="FD659" s="302"/>
      <c r="FE659" s="770"/>
      <c r="FF659" s="770"/>
      <c r="FG659" s="770"/>
      <c r="FH659" s="770" t="s">
        <v>478</v>
      </c>
      <c r="FI659" s="770"/>
      <c r="FJ659" s="770"/>
      <c r="FK659" s="770"/>
      <c r="FL659" s="770"/>
      <c r="FM659" s="302"/>
      <c r="FN659" s="302"/>
      <c r="FO659" s="302"/>
      <c r="FP659" s="770" t="s">
        <v>1600</v>
      </c>
      <c r="FQ659" s="770" t="s">
        <v>3940</v>
      </c>
      <c r="FR659" s="770" t="s">
        <v>1214</v>
      </c>
      <c r="FS659" s="770"/>
      <c r="FT659" s="770"/>
      <c r="FU659" s="770"/>
      <c r="FV659" s="770"/>
      <c r="FW659" s="770"/>
      <c r="FX659" s="770"/>
      <c r="FY659" s="770"/>
      <c r="FZ659" s="770"/>
      <c r="GA659" s="770"/>
      <c r="GB659" s="770" t="s">
        <v>1734</v>
      </c>
      <c r="GC659" s="308"/>
      <c r="GD659" s="297">
        <v>1920</v>
      </c>
      <c r="GE659" s="770" t="s">
        <v>1214</v>
      </c>
      <c r="GF659" s="302"/>
      <c r="GG659" s="302"/>
      <c r="GH659" s="770"/>
      <c r="GI659" s="770"/>
      <c r="GJ659" s="770"/>
      <c r="GK659" s="770"/>
      <c r="GL659" s="770"/>
      <c r="GM659" s="770"/>
      <c r="GN659" s="299"/>
      <c r="GO659" s="770"/>
      <c r="GP659" s="770"/>
      <c r="GQ659" s="770"/>
      <c r="GR659" s="770"/>
      <c r="GS659" s="770"/>
      <c r="GT659" s="770"/>
      <c r="GU659" s="770"/>
      <c r="GV659" s="770"/>
      <c r="GW659" s="770"/>
      <c r="GX659" s="770"/>
      <c r="GY659" s="770"/>
      <c r="GZ659" s="770"/>
      <c r="HA659" s="770"/>
      <c r="HB659" s="770"/>
      <c r="HC659" s="770"/>
      <c r="HD659" s="770"/>
      <c r="HE659" s="770"/>
      <c r="HF659" s="770"/>
      <c r="HG659" s="770"/>
      <c r="HH659" s="770"/>
      <c r="HI659" s="770"/>
      <c r="HJ659" s="770"/>
      <c r="HK659" s="770"/>
      <c r="HL659" s="770"/>
      <c r="HM659" s="770"/>
      <c r="HN659" s="770"/>
      <c r="HO659" s="770"/>
      <c r="HP659" s="770"/>
      <c r="HQ659" s="770"/>
      <c r="HR659" s="770"/>
      <c r="HS659" s="770"/>
      <c r="HT659" s="770"/>
      <c r="HU659" s="770"/>
      <c r="HV659" s="770"/>
      <c r="HW659" s="770"/>
      <c r="HX659" s="770"/>
      <c r="HY659" s="770"/>
      <c r="HZ659" s="770"/>
      <c r="IA659" s="770"/>
      <c r="IB659" s="770"/>
      <c r="IC659" s="770"/>
      <c r="ID659" s="770"/>
      <c r="IE659" s="770"/>
      <c r="IF659" s="770"/>
      <c r="IG659" s="770"/>
      <c r="IH659" s="770"/>
      <c r="II659" s="770"/>
      <c r="IJ659" s="770"/>
      <c r="IK659" s="770"/>
      <c r="IL659" s="770"/>
      <c r="IM659" s="770"/>
      <c r="IN659" s="770"/>
      <c r="IO659" s="296"/>
      <c r="IP659" s="770"/>
      <c r="IQ659" s="770"/>
      <c r="IR659" s="770"/>
      <c r="IS659" s="770"/>
      <c r="IT659" s="770"/>
      <c r="IU659" s="770"/>
      <c r="IV659" s="770"/>
      <c r="IW659" s="770"/>
      <c r="IX659" s="770"/>
      <c r="IY659" s="770"/>
      <c r="IZ659" s="770"/>
      <c r="JA659" s="770"/>
      <c r="JB659" s="770"/>
      <c r="JC659" s="770"/>
      <c r="JD659" s="302"/>
      <c r="JE659" s="770"/>
      <c r="JF659" s="770"/>
      <c r="JG659" s="770"/>
      <c r="JH659" s="307"/>
      <c r="JI659" s="307"/>
      <c r="JJ659" s="770"/>
      <c r="JK659" s="770"/>
      <c r="JL659" s="770"/>
      <c r="JM659" s="770"/>
      <c r="JN659" s="770"/>
      <c r="JO659" s="770"/>
      <c r="JP659" s="770"/>
      <c r="JQ659" s="770"/>
      <c r="JR659" s="770"/>
      <c r="JS659" s="770"/>
      <c r="JT659" s="766"/>
      <c r="JU659" s="766"/>
      <c r="JV659" s="766"/>
      <c r="JW659" s="766"/>
      <c r="JX659" s="770"/>
      <c r="JY659" s="770"/>
      <c r="JZ659" s="770"/>
      <c r="KA659" s="770"/>
      <c r="KB659" s="770"/>
      <c r="KC659" s="770"/>
      <c r="KD659" s="770"/>
      <c r="KE659" s="770"/>
      <c r="KF659" s="770"/>
      <c r="KG659" s="770"/>
      <c r="KH659" s="770"/>
      <c r="KI659" s="770"/>
      <c r="KJ659" s="770"/>
      <c r="KK659" s="770"/>
      <c r="KL659" s="770"/>
      <c r="KM659" s="770"/>
      <c r="KN659" s="770"/>
      <c r="KO659" s="770"/>
      <c r="KP659" s="770"/>
      <c r="KQ659" s="770"/>
      <c r="KR659" s="770"/>
      <c r="KS659" s="770"/>
      <c r="KT659" s="770"/>
      <c r="KU659" s="770"/>
      <c r="KV659" s="770"/>
      <c r="KW659" s="770"/>
      <c r="KX659" s="770"/>
      <c r="KY659" s="770"/>
      <c r="KZ659" s="770"/>
      <c r="LA659" s="770"/>
      <c r="LB659" s="770"/>
      <c r="LC659" s="770"/>
      <c r="LD659" s="770"/>
      <c r="LE659" s="770"/>
      <c r="LF659" s="770"/>
      <c r="LG659" s="770"/>
      <c r="LH659" s="770"/>
      <c r="LI659" s="770"/>
      <c r="LJ659" s="770"/>
      <c r="LK659" s="770"/>
      <c r="LL659" s="770"/>
      <c r="LM659" s="770"/>
      <c r="LN659" s="766"/>
      <c r="LO659" s="766"/>
      <c r="LP659" s="770"/>
      <c r="LQ659" s="770"/>
      <c r="LR659" s="770"/>
      <c r="LS659" s="770"/>
      <c r="LT659" s="770"/>
      <c r="LU659" s="770"/>
      <c r="LV659" s="770"/>
      <c r="LW659" s="770"/>
      <c r="LX659" s="769"/>
      <c r="LY659" s="766" t="str">
        <f t="shared" si="187"/>
        <v/>
      </c>
      <c r="LZ659" s="1709"/>
      <c r="MA659" s="1709"/>
      <c r="MB659" s="1709"/>
      <c r="MC659" s="1679">
        <f t="shared" si="185"/>
        <v>0</v>
      </c>
      <c r="MD659" s="1709"/>
      <c r="ME659" s="1709"/>
      <c r="MF659" s="1709"/>
      <c r="MG659" s="1680">
        <f t="shared" si="199"/>
        <v>0</v>
      </c>
      <c r="MH659" s="770"/>
      <c r="MI659" s="302"/>
      <c r="MJ659" s="302"/>
      <c r="MK659" s="302"/>
      <c r="ML659" s="302"/>
      <c r="MM659" s="302"/>
      <c r="MN659" s="302"/>
      <c r="MO659" s="302"/>
      <c r="MP659" s="302"/>
      <c r="MQ659" s="302"/>
      <c r="MR659" s="302"/>
      <c r="MS659" s="302"/>
      <c r="MT659" s="302"/>
      <c r="MU659" s="302"/>
      <c r="MV659" s="302"/>
      <c r="MW659" s="302"/>
      <c r="MX659" s="302"/>
      <c r="MY659" s="1682">
        <f t="shared" si="200"/>
        <v>0</v>
      </c>
      <c r="MZ659" s="770"/>
      <c r="NA659" s="770"/>
      <c r="NB659" s="770"/>
      <c r="NC659" s="770"/>
      <c r="ND659" s="770"/>
      <c r="NE659" s="770"/>
      <c r="NF659" s="770"/>
      <c r="NG659" s="770"/>
      <c r="NH659" s="770"/>
      <c r="NI659" s="770"/>
      <c r="NJ659" s="770"/>
      <c r="NK659" s="770"/>
      <c r="NL659" s="770"/>
      <c r="NM659" s="770"/>
      <c r="NN659" s="770"/>
      <c r="NO659" s="770"/>
      <c r="NP659" s="770"/>
      <c r="NQ659" s="770"/>
      <c r="NR659" s="770"/>
      <c r="NS659" s="770"/>
      <c r="NT659" s="770"/>
      <c r="NU659" s="770"/>
      <c r="NV659" s="770"/>
      <c r="NW659" s="770"/>
      <c r="NX659" s="770"/>
      <c r="NY659" s="770"/>
      <c r="NZ659" s="770"/>
      <c r="OA659" s="770"/>
      <c r="OB659" s="770"/>
      <c r="OC659" s="770"/>
      <c r="OD659" s="770"/>
      <c r="OE659" s="770"/>
      <c r="OF659" s="770"/>
      <c r="OG659" s="770"/>
      <c r="OH659" s="770"/>
      <c r="OI659" s="770"/>
      <c r="OJ659" s="770"/>
      <c r="OK659" s="770"/>
      <c r="OL659" s="770"/>
      <c r="OM659" s="770"/>
      <c r="ON659" s="770"/>
      <c r="OO659" s="770"/>
      <c r="OP659" s="770"/>
      <c r="OQ659" s="770"/>
      <c r="OR659" s="770"/>
      <c r="OS659" s="770"/>
      <c r="OT659" s="770"/>
      <c r="OU659" s="770"/>
      <c r="OV659" s="770"/>
      <c r="OW659" s="770"/>
      <c r="OX659" s="770"/>
      <c r="OY659" s="770"/>
      <c r="OZ659" s="770"/>
      <c r="PA659" s="770"/>
      <c r="PB659" s="770"/>
      <c r="PC659" s="770"/>
      <c r="PD659" s="770"/>
      <c r="PE659" s="770"/>
      <c r="PF659" s="770"/>
      <c r="PG659" s="770"/>
      <c r="PH659" s="770"/>
      <c r="PI659" s="770"/>
      <c r="PJ659" s="770"/>
      <c r="PK659" s="770"/>
      <c r="PL659" s="770"/>
      <c r="PM659" s="770"/>
      <c r="PN659" s="770"/>
      <c r="PO659" s="770"/>
      <c r="PP659" s="770"/>
      <c r="PQ659" s="770"/>
      <c r="PR659" s="770"/>
      <c r="PS659" s="770"/>
      <c r="PT659" s="770"/>
      <c r="PU659" s="770"/>
      <c r="PV659" s="770"/>
      <c r="PW659" s="770"/>
      <c r="PX659" s="770"/>
      <c r="PY659" s="770"/>
      <c r="PZ659" s="770"/>
      <c r="QA659" s="770"/>
      <c r="QB659" s="770"/>
      <c r="QC659" s="770"/>
      <c r="QD659" s="770"/>
      <c r="QE659" s="770"/>
      <c r="QF659" s="770"/>
      <c r="QG659" s="770"/>
      <c r="QH659" s="770"/>
      <c r="QI659" s="770"/>
      <c r="QJ659" s="770"/>
      <c r="QK659" s="770"/>
      <c r="QL659" s="770"/>
      <c r="QM659" s="770"/>
      <c r="QN659" s="770"/>
      <c r="QO659" s="770"/>
      <c r="QP659" s="770"/>
      <c r="QQ659" s="770"/>
      <c r="QR659" s="770"/>
      <c r="QS659" s="770"/>
      <c r="QT659" s="770"/>
      <c r="QU659" s="770"/>
      <c r="QV659" s="770"/>
      <c r="QW659" s="770"/>
      <c r="QX659" s="770"/>
      <c r="QY659" s="770"/>
      <c r="QZ659" s="770"/>
      <c r="RA659" s="770"/>
      <c r="RB659" s="770"/>
      <c r="RC659" s="770"/>
      <c r="RD659" s="770"/>
      <c r="RE659" s="770"/>
      <c r="RF659" s="304"/>
      <c r="RG659" s="770"/>
      <c r="RH659" s="302"/>
      <c r="RI659" s="770"/>
      <c r="RJ659" s="770" t="s">
        <v>3058</v>
      </c>
      <c r="RK659" s="770" t="s">
        <v>13544</v>
      </c>
      <c r="RL659" s="1710">
        <v>42837</v>
      </c>
      <c r="RM659" s="12"/>
      <c r="RN659" s="1711"/>
      <c r="RO659" s="133" t="s">
        <v>4290</v>
      </c>
      <c r="RP659" s="11"/>
      <c r="RQ659" s="11"/>
      <c r="RR659" s="17"/>
      <c r="RS659" s="767"/>
      <c r="RT659" s="11"/>
      <c r="RU659" s="11"/>
      <c r="RV659" s="771" t="s">
        <v>7419</v>
      </c>
      <c r="RW659" s="11" t="s">
        <v>7732</v>
      </c>
      <c r="RX659" s="11" t="s">
        <v>3052</v>
      </c>
      <c r="RY659" s="11"/>
      <c r="RZ659" s="11" t="s">
        <v>2209</v>
      </c>
      <c r="SA659" s="771"/>
      <c r="SB659" s="11"/>
      <c r="SC659" s="11"/>
    </row>
    <row r="660" spans="1:497" ht="12.75" hidden="1" customHeight="1">
      <c r="A660" s="343" t="s">
        <v>7419</v>
      </c>
      <c r="B660" s="292" t="s">
        <v>7423</v>
      </c>
      <c r="C660" s="149" t="s">
        <v>4302</v>
      </c>
      <c r="D660" s="94" t="s">
        <v>4303</v>
      </c>
      <c r="E660" s="766" t="s">
        <v>4311</v>
      </c>
      <c r="F660" s="770" t="s">
        <v>28</v>
      </c>
      <c r="G660" s="770" t="s">
        <v>18</v>
      </c>
      <c r="H660" s="770"/>
      <c r="I660" s="295"/>
      <c r="J660" s="94" t="s">
        <v>4303</v>
      </c>
      <c r="K660" s="766" t="s">
        <v>4305</v>
      </c>
      <c r="L660" s="766" t="s">
        <v>3983</v>
      </c>
      <c r="M660" s="770" t="s">
        <v>1238</v>
      </c>
      <c r="N660" s="1757"/>
      <c r="O660" s="1757" t="s">
        <v>4269</v>
      </c>
      <c r="P660" s="770" t="s">
        <v>4306</v>
      </c>
      <c r="Q660" s="1088">
        <v>22148</v>
      </c>
      <c r="R660" s="297">
        <v>56</v>
      </c>
      <c r="S660" s="770" t="s">
        <v>18</v>
      </c>
      <c r="T660" s="770"/>
      <c r="U660" s="295"/>
      <c r="V660" s="770" t="s">
        <v>768</v>
      </c>
      <c r="W660" s="770"/>
      <c r="X660" s="770"/>
      <c r="Y660" s="770" t="s">
        <v>4304</v>
      </c>
      <c r="Z660" s="770" t="s">
        <v>708</v>
      </c>
      <c r="AA660" s="770" t="s">
        <v>709</v>
      </c>
      <c r="AB660" s="770" t="s">
        <v>744</v>
      </c>
      <c r="AC660" s="770"/>
      <c r="AD660" s="770" t="s">
        <v>711</v>
      </c>
      <c r="AE660" s="770"/>
      <c r="AF660" s="770" t="s">
        <v>712</v>
      </c>
      <c r="AG660" s="766" t="s">
        <v>1095</v>
      </c>
      <c r="AH660" s="766" t="s">
        <v>1096</v>
      </c>
      <c r="AI660" s="770" t="s">
        <v>4307</v>
      </c>
      <c r="AJ660" s="770"/>
      <c r="AK660" s="766" t="s">
        <v>5454</v>
      </c>
      <c r="AL660" s="531"/>
      <c r="AM660" s="780"/>
      <c r="AN660" s="532"/>
      <c r="AO660" s="766"/>
      <c r="AP660" s="766" t="s">
        <v>1137</v>
      </c>
      <c r="AQ660" s="766"/>
      <c r="AR660" s="766"/>
      <c r="AS660" s="770" t="s">
        <v>1207</v>
      </c>
      <c r="AT660" s="770" t="s">
        <v>1208</v>
      </c>
      <c r="AU660" s="770"/>
      <c r="AV660" s="770"/>
      <c r="AW660" s="770"/>
      <c r="AX660" s="770"/>
      <c r="AY660" s="770"/>
      <c r="AZ660" s="770"/>
      <c r="BA660" s="770"/>
      <c r="BB660" s="770"/>
      <c r="BC660" s="770" t="s">
        <v>796</v>
      </c>
      <c r="BD660" s="770" t="s">
        <v>1207</v>
      </c>
      <c r="BE660" s="770" t="s">
        <v>1214</v>
      </c>
      <c r="BF660" s="302"/>
      <c r="BG660" s="302"/>
      <c r="BH660" s="770"/>
      <c r="BI660" s="770"/>
      <c r="BJ660" s="770"/>
      <c r="BK660" s="770" t="s">
        <v>1095</v>
      </c>
      <c r="BL660" s="770" t="s">
        <v>4308</v>
      </c>
      <c r="BM660" s="766" t="s">
        <v>1096</v>
      </c>
      <c r="BN660" s="770" t="s">
        <v>1230</v>
      </c>
      <c r="BO660" s="766" t="s">
        <v>1246</v>
      </c>
      <c r="BP660" s="765">
        <v>8.6999999999999993</v>
      </c>
      <c r="BQ660" s="773">
        <v>6.2640000000000002</v>
      </c>
      <c r="BR660" s="774">
        <f t="shared" si="206"/>
        <v>0.72000000000000008</v>
      </c>
      <c r="BS660" s="766" t="s">
        <v>1105</v>
      </c>
      <c r="BT660" s="766" t="s">
        <v>8133</v>
      </c>
      <c r="BU660" s="770" t="s">
        <v>1249</v>
      </c>
      <c r="BV660" s="770" t="s">
        <v>1247</v>
      </c>
      <c r="BW660" s="770">
        <v>2000</v>
      </c>
      <c r="BX660" s="302">
        <v>50000</v>
      </c>
      <c r="BY660" s="770"/>
      <c r="BZ660" s="302"/>
      <c r="CA660" s="770"/>
      <c r="CB660" s="770"/>
      <c r="CC660" s="770"/>
      <c r="CD660" s="770"/>
      <c r="CE660" s="302"/>
      <c r="CF660" s="304"/>
      <c r="CG660" s="321"/>
      <c r="CH660" s="770"/>
      <c r="CI660" s="770"/>
      <c r="CJ660" s="770"/>
      <c r="CK660" s="770"/>
      <c r="CL660" s="770"/>
      <c r="CM660" s="770"/>
      <c r="CN660" s="770"/>
      <c r="CO660" s="770"/>
      <c r="CP660" s="770"/>
      <c r="CQ660" s="770"/>
      <c r="CR660" s="302"/>
      <c r="CS660" s="770"/>
      <c r="CT660" s="770"/>
      <c r="CU660" s="305"/>
      <c r="CV660" s="770"/>
      <c r="CW660" s="770"/>
      <c r="CX660" s="770"/>
      <c r="CY660" s="770"/>
      <c r="CZ660" s="770"/>
      <c r="DA660" s="306"/>
      <c r="DB660" s="770"/>
      <c r="DC660" s="770"/>
      <c r="DD660" s="770"/>
      <c r="DE660" s="300"/>
      <c r="DF660" s="770"/>
      <c r="DG660" s="770"/>
      <c r="DH660" s="770"/>
      <c r="DI660" s="770"/>
      <c r="DJ660" s="770"/>
      <c r="DK660" s="770"/>
      <c r="DL660" s="770"/>
      <c r="DM660" s="770"/>
      <c r="DN660" s="322"/>
      <c r="DO660" s="770"/>
      <c r="DP660" s="770"/>
      <c r="DQ660" s="770"/>
      <c r="DR660" s="770"/>
      <c r="DS660" s="307"/>
      <c r="DT660" s="770"/>
      <c r="DU660" s="770"/>
      <c r="DV660" s="770"/>
      <c r="DW660" s="306"/>
      <c r="DX660" s="306"/>
      <c r="DY660" s="1055"/>
      <c r="DZ660" s="770"/>
      <c r="EA660" s="770"/>
      <c r="EB660" s="770"/>
      <c r="EC660" s="770"/>
      <c r="ED660" s="770"/>
      <c r="EE660" s="770"/>
      <c r="EF660" s="770"/>
      <c r="EG660" s="770"/>
      <c r="EH660" s="770"/>
      <c r="EI660" s="770"/>
      <c r="EJ660" s="770"/>
      <c r="EK660" s="770"/>
      <c r="EL660" s="770"/>
      <c r="EM660" s="770"/>
      <c r="EN660" s="770"/>
      <c r="EO660" s="770"/>
      <c r="EP660" s="94"/>
      <c r="EQ660" s="770"/>
      <c r="ER660" s="770"/>
      <c r="ES660" s="770"/>
      <c r="ET660" s="770"/>
      <c r="EU660" s="770"/>
      <c r="EV660" s="770"/>
      <c r="EW660" s="770"/>
      <c r="EX660" s="770"/>
      <c r="EY660" s="770"/>
      <c r="EZ660" s="770"/>
      <c r="FA660" s="770"/>
      <c r="FB660" s="770"/>
      <c r="FC660" s="770"/>
      <c r="FD660" s="302"/>
      <c r="FE660" s="770"/>
      <c r="FF660" s="770"/>
      <c r="FG660" s="770"/>
      <c r="FH660" s="770" t="s">
        <v>478</v>
      </c>
      <c r="FI660" s="770">
        <v>1</v>
      </c>
      <c r="FJ660" s="770"/>
      <c r="FK660" s="770"/>
      <c r="FL660" s="770"/>
      <c r="FM660" s="302"/>
      <c r="FN660" s="302"/>
      <c r="FO660" s="302"/>
      <c r="FP660" s="770" t="s">
        <v>1602</v>
      </c>
      <c r="FQ660" s="770" t="s">
        <v>1660</v>
      </c>
      <c r="FR660" s="770" t="s">
        <v>1214</v>
      </c>
      <c r="FS660" s="770"/>
      <c r="FT660" s="770"/>
      <c r="FU660" s="770"/>
      <c r="FV660" s="770"/>
      <c r="FW660" s="770"/>
      <c r="FX660" s="770"/>
      <c r="FY660" s="770"/>
      <c r="FZ660" s="770"/>
      <c r="GA660" s="770"/>
      <c r="GB660" s="770" t="s">
        <v>1734</v>
      </c>
      <c r="GC660" s="308"/>
      <c r="GD660" s="297">
        <v>2000</v>
      </c>
      <c r="GE660" s="770" t="s">
        <v>1214</v>
      </c>
      <c r="GF660" s="302"/>
      <c r="GG660" s="302"/>
      <c r="GH660" s="766"/>
      <c r="GI660" s="770"/>
      <c r="GJ660" s="770"/>
      <c r="GK660" s="770"/>
      <c r="GL660" s="770"/>
      <c r="GM660" s="770"/>
      <c r="GN660" s="299"/>
      <c r="GO660" s="770"/>
      <c r="GP660" s="770"/>
      <c r="GQ660" s="770"/>
      <c r="GR660" s="770"/>
      <c r="GS660" s="770"/>
      <c r="GT660" s="770"/>
      <c r="GU660" s="770"/>
      <c r="GV660" s="770"/>
      <c r="GW660" s="770"/>
      <c r="GX660" s="770"/>
      <c r="GY660" s="770"/>
      <c r="GZ660" s="770"/>
      <c r="HA660" s="770"/>
      <c r="HB660" s="770"/>
      <c r="HC660" s="770"/>
      <c r="HD660" s="770"/>
      <c r="HE660" s="770"/>
      <c r="HF660" s="770"/>
      <c r="HG660" s="770"/>
      <c r="HH660" s="770"/>
      <c r="HI660" s="770"/>
      <c r="HJ660" s="770"/>
      <c r="HK660" s="770"/>
      <c r="HL660" s="770"/>
      <c r="HM660" s="770"/>
      <c r="HN660" s="770"/>
      <c r="HO660" s="770"/>
      <c r="HP660" s="770"/>
      <c r="HQ660" s="770"/>
      <c r="HR660" s="770"/>
      <c r="HS660" s="770"/>
      <c r="HT660" s="770"/>
      <c r="HU660" s="770"/>
      <c r="HV660" s="770"/>
      <c r="HW660" s="770"/>
      <c r="HX660" s="770"/>
      <c r="HY660" s="770"/>
      <c r="HZ660" s="770"/>
      <c r="IA660" s="770"/>
      <c r="IB660" s="770"/>
      <c r="IC660" s="770" t="s">
        <v>1207</v>
      </c>
      <c r="ID660" s="770"/>
      <c r="IE660" s="770"/>
      <c r="IF660" s="770"/>
      <c r="IG660" s="770"/>
      <c r="IH660" s="770"/>
      <c r="II660" s="770"/>
      <c r="IJ660" s="770"/>
      <c r="IK660" s="770"/>
      <c r="IL660" s="770"/>
      <c r="IM660" s="770"/>
      <c r="IN660" s="770"/>
      <c r="IO660" s="296"/>
      <c r="IP660" s="770"/>
      <c r="IQ660" s="770"/>
      <c r="IR660" s="770"/>
      <c r="IS660" s="770"/>
      <c r="IT660" s="770"/>
      <c r="IU660" s="770"/>
      <c r="IV660" s="770"/>
      <c r="IW660" s="770"/>
      <c r="IX660" s="770"/>
      <c r="IY660" s="770"/>
      <c r="IZ660" s="770"/>
      <c r="JA660" s="770"/>
      <c r="JB660" s="770"/>
      <c r="JC660" s="770"/>
      <c r="JD660" s="302"/>
      <c r="JE660" s="770"/>
      <c r="JF660" s="770"/>
      <c r="JG660" s="770"/>
      <c r="JH660" s="307"/>
      <c r="JI660" s="307"/>
      <c r="JJ660" s="770"/>
      <c r="JK660" s="770"/>
      <c r="JL660" s="770"/>
      <c r="JM660" s="770"/>
      <c r="JN660" s="770"/>
      <c r="JO660" s="770"/>
      <c r="JP660" s="770"/>
      <c r="JQ660" s="770"/>
      <c r="JR660" s="770"/>
      <c r="JS660" s="770"/>
      <c r="JT660" s="766"/>
      <c r="JU660" s="766"/>
      <c r="JV660" s="766"/>
      <c r="JW660" s="766"/>
      <c r="JX660" s="770"/>
      <c r="JY660" s="770"/>
      <c r="JZ660" s="770"/>
      <c r="KA660" s="770"/>
      <c r="KB660" s="770"/>
      <c r="KC660" s="770"/>
      <c r="KD660" s="770"/>
      <c r="KE660" s="770"/>
      <c r="KF660" s="770"/>
      <c r="KG660" s="770"/>
      <c r="KH660" s="770"/>
      <c r="KI660" s="770"/>
      <c r="KJ660" s="770"/>
      <c r="KK660" s="770"/>
      <c r="KL660" s="770"/>
      <c r="KM660" s="770"/>
      <c r="KN660" s="770"/>
      <c r="KO660" s="770"/>
      <c r="KP660" s="770"/>
      <c r="KQ660" s="770"/>
      <c r="KR660" s="770"/>
      <c r="KS660" s="770"/>
      <c r="KT660" s="770"/>
      <c r="KU660" s="770"/>
      <c r="KV660" s="770"/>
      <c r="KW660" s="770"/>
      <c r="KX660" s="770"/>
      <c r="KY660" s="770"/>
      <c r="KZ660" s="770"/>
      <c r="LA660" s="770"/>
      <c r="LB660" s="770"/>
      <c r="LC660" s="770"/>
      <c r="LD660" s="770"/>
      <c r="LE660" s="770"/>
      <c r="LF660" s="770"/>
      <c r="LG660" s="770"/>
      <c r="LH660" s="770"/>
      <c r="LI660" s="770"/>
      <c r="LJ660" s="770"/>
      <c r="LK660" s="770"/>
      <c r="LL660" s="770"/>
      <c r="LM660" s="770"/>
      <c r="LN660" s="766"/>
      <c r="LO660" s="766"/>
      <c r="LP660" s="770"/>
      <c r="LQ660" s="770"/>
      <c r="LR660" s="770"/>
      <c r="LS660" s="770"/>
      <c r="LT660" s="770"/>
      <c r="LU660" s="770"/>
      <c r="LV660" s="770"/>
      <c r="LW660" s="770"/>
      <c r="LX660" s="769"/>
      <c r="LY660" s="766" t="str">
        <f t="shared" si="187"/>
        <v/>
      </c>
      <c r="LZ660" s="1709"/>
      <c r="MA660" s="1709"/>
      <c r="MB660" s="1709"/>
      <c r="MC660" s="1679">
        <f t="shared" si="185"/>
        <v>0</v>
      </c>
      <c r="MD660" s="1709"/>
      <c r="ME660" s="1709"/>
      <c r="MF660" s="1709"/>
      <c r="MG660" s="1680">
        <f t="shared" si="199"/>
        <v>0</v>
      </c>
      <c r="MH660" s="770"/>
      <c r="MI660" s="302"/>
      <c r="MJ660" s="302"/>
      <c r="MK660" s="302"/>
      <c r="ML660" s="302"/>
      <c r="MM660" s="302"/>
      <c r="MN660" s="302"/>
      <c r="MO660" s="302"/>
      <c r="MP660" s="302"/>
      <c r="MQ660" s="302"/>
      <c r="MR660" s="302"/>
      <c r="MS660" s="302"/>
      <c r="MT660" s="302"/>
      <c r="MU660" s="302"/>
      <c r="MV660" s="302"/>
      <c r="MW660" s="302"/>
      <c r="MX660" s="302"/>
      <c r="MY660" s="1682">
        <f t="shared" si="200"/>
        <v>0</v>
      </c>
      <c r="MZ660" s="770"/>
      <c r="NA660" s="770"/>
      <c r="NB660" s="770"/>
      <c r="NC660" s="770"/>
      <c r="ND660" s="770"/>
      <c r="NE660" s="770"/>
      <c r="NF660" s="770"/>
      <c r="NG660" s="770"/>
      <c r="NH660" s="770"/>
      <c r="NI660" s="770"/>
      <c r="NJ660" s="770"/>
      <c r="NK660" s="770"/>
      <c r="NL660" s="770"/>
      <c r="NM660" s="770"/>
      <c r="NN660" s="770"/>
      <c r="NO660" s="770"/>
      <c r="NP660" s="770"/>
      <c r="NQ660" s="770"/>
      <c r="NR660" s="770"/>
      <c r="NS660" s="770"/>
      <c r="NT660" s="770"/>
      <c r="NU660" s="770"/>
      <c r="NV660" s="770"/>
      <c r="NW660" s="770"/>
      <c r="NX660" s="770"/>
      <c r="NY660" s="770"/>
      <c r="NZ660" s="770"/>
      <c r="OA660" s="770"/>
      <c r="OB660" s="770"/>
      <c r="OC660" s="770"/>
      <c r="OD660" s="770"/>
      <c r="OE660" s="770"/>
      <c r="OF660" s="770"/>
      <c r="OG660" s="770"/>
      <c r="OH660" s="770"/>
      <c r="OI660" s="770"/>
      <c r="OJ660" s="770"/>
      <c r="OK660" s="770"/>
      <c r="OL660" s="770"/>
      <c r="OM660" s="770"/>
      <c r="ON660" s="770"/>
      <c r="OO660" s="770"/>
      <c r="OP660" s="770"/>
      <c r="OQ660" s="770"/>
      <c r="OR660" s="770"/>
      <c r="OS660" s="770"/>
      <c r="OT660" s="770"/>
      <c r="OU660" s="770"/>
      <c r="OV660" s="770"/>
      <c r="OW660" s="770"/>
      <c r="OX660" s="770"/>
      <c r="OY660" s="770"/>
      <c r="OZ660" s="770"/>
      <c r="PA660" s="770"/>
      <c r="PB660" s="770"/>
      <c r="PC660" s="770"/>
      <c r="PD660" s="770"/>
      <c r="PE660" s="770"/>
      <c r="PF660" s="770"/>
      <c r="PG660" s="770"/>
      <c r="PH660" s="770"/>
      <c r="PI660" s="770"/>
      <c r="PJ660" s="770"/>
      <c r="PK660" s="770"/>
      <c r="PL660" s="770"/>
      <c r="PM660" s="770" t="s">
        <v>1208</v>
      </c>
      <c r="PN660" s="770"/>
      <c r="PO660" s="770"/>
      <c r="PP660" s="770"/>
      <c r="PQ660" s="770"/>
      <c r="PR660" s="770"/>
      <c r="PS660" s="770"/>
      <c r="PT660" s="770"/>
      <c r="PU660" s="770"/>
      <c r="PV660" s="770"/>
      <c r="PW660" s="770"/>
      <c r="PX660" s="770"/>
      <c r="PY660" s="770"/>
      <c r="PZ660" s="770"/>
      <c r="QA660" s="770"/>
      <c r="QB660" s="770"/>
      <c r="QC660" s="770"/>
      <c r="QD660" s="770"/>
      <c r="QE660" s="770"/>
      <c r="QF660" s="770"/>
      <c r="QG660" s="770"/>
      <c r="QH660" s="770"/>
      <c r="QI660" s="770"/>
      <c r="QJ660" s="770"/>
      <c r="QK660" s="770"/>
      <c r="QL660" s="770"/>
      <c r="QM660" s="770"/>
      <c r="QN660" s="770"/>
      <c r="QO660" s="770"/>
      <c r="QP660" s="770"/>
      <c r="QQ660" s="770"/>
      <c r="QR660" s="770"/>
      <c r="QS660" s="770"/>
      <c r="QT660" s="770"/>
      <c r="QU660" s="770"/>
      <c r="QV660" s="770"/>
      <c r="QW660" s="770"/>
      <c r="QX660" s="770"/>
      <c r="QY660" s="770"/>
      <c r="QZ660" s="770"/>
      <c r="RA660" s="770"/>
      <c r="RB660" s="770" t="s">
        <v>1207</v>
      </c>
      <c r="RC660" s="770" t="s">
        <v>13796</v>
      </c>
      <c r="RD660" s="770" t="s">
        <v>13615</v>
      </c>
      <c r="RE660" s="770" t="s">
        <v>12990</v>
      </c>
      <c r="RF660" s="304">
        <v>2</v>
      </c>
      <c r="RG660" s="770" t="s">
        <v>13047</v>
      </c>
      <c r="RH660" s="306">
        <v>50000</v>
      </c>
      <c r="RI660" s="770">
        <v>2</v>
      </c>
      <c r="RJ660" s="94" t="s">
        <v>13870</v>
      </c>
      <c r="RK660" s="770" t="s">
        <v>13544</v>
      </c>
      <c r="RL660" s="1710" t="s">
        <v>1604</v>
      </c>
      <c r="RM660" s="12"/>
      <c r="RN660" s="1711"/>
      <c r="RO660" s="149" t="s">
        <v>4302</v>
      </c>
      <c r="RP660" s="11"/>
      <c r="RQ660" s="11"/>
      <c r="RR660" s="17"/>
      <c r="RS660" s="767"/>
      <c r="RT660" s="11"/>
      <c r="RU660" s="11"/>
      <c r="RV660" s="771" t="s">
        <v>13871</v>
      </c>
      <c r="RW660" s="11" t="s">
        <v>7733</v>
      </c>
      <c r="RX660" s="11" t="s">
        <v>3052</v>
      </c>
      <c r="RY660" s="11"/>
      <c r="RZ660" s="11" t="s">
        <v>2209</v>
      </c>
      <c r="SA660" s="771"/>
      <c r="SB660" s="11"/>
      <c r="SC660" s="11"/>
    </row>
    <row r="661" spans="1:497" ht="12.75" hidden="1" customHeight="1">
      <c r="A661" s="343" t="s">
        <v>7419</v>
      </c>
      <c r="B661" s="292" t="s">
        <v>7424</v>
      </c>
      <c r="C661" s="149" t="s">
        <v>4309</v>
      </c>
      <c r="D661" s="770" t="s">
        <v>4310</v>
      </c>
      <c r="E661" s="766" t="s">
        <v>4311</v>
      </c>
      <c r="F661" s="770" t="s">
        <v>28</v>
      </c>
      <c r="G661" s="770" t="s">
        <v>18</v>
      </c>
      <c r="H661" s="770"/>
      <c r="I661" s="295" t="s">
        <v>4312</v>
      </c>
      <c r="J661" s="94" t="s">
        <v>4314</v>
      </c>
      <c r="K661" s="766" t="s">
        <v>4317</v>
      </c>
      <c r="L661" s="766" t="s">
        <v>2745</v>
      </c>
      <c r="M661" s="770" t="s">
        <v>1238</v>
      </c>
      <c r="N661" s="1757"/>
      <c r="O661" s="1757" t="s">
        <v>4269</v>
      </c>
      <c r="P661" s="770" t="s">
        <v>4313</v>
      </c>
      <c r="Q661" s="1088">
        <v>19489</v>
      </c>
      <c r="R661" s="297">
        <v>63</v>
      </c>
      <c r="S661" s="770" t="s">
        <v>18</v>
      </c>
      <c r="T661" s="770"/>
      <c r="U661" s="295" t="s">
        <v>4312</v>
      </c>
      <c r="V661" s="770" t="s">
        <v>707</v>
      </c>
      <c r="W661" s="770"/>
      <c r="X661" s="770"/>
      <c r="Y661" s="770" t="s">
        <v>4304</v>
      </c>
      <c r="Z661" s="770" t="s">
        <v>708</v>
      </c>
      <c r="AA661" s="770" t="s">
        <v>709</v>
      </c>
      <c r="AB661" s="770" t="s">
        <v>710</v>
      </c>
      <c r="AC661" s="770"/>
      <c r="AD661" s="770" t="s">
        <v>711</v>
      </c>
      <c r="AE661" s="770"/>
      <c r="AF661" s="770"/>
      <c r="AG661" s="766" t="s">
        <v>1095</v>
      </c>
      <c r="AH661" s="766" t="s">
        <v>1096</v>
      </c>
      <c r="AI661" s="770"/>
      <c r="AJ661" s="770"/>
      <c r="AK661" s="770" t="s">
        <v>1097</v>
      </c>
      <c r="AL661" s="531">
        <v>160</v>
      </c>
      <c r="AM661" s="780">
        <v>14.4</v>
      </c>
      <c r="AN661" s="532">
        <f>AM661/AL661</f>
        <v>0.09</v>
      </c>
      <c r="AO661" s="766" t="s">
        <v>1098</v>
      </c>
      <c r="AP661" s="766" t="s">
        <v>1137</v>
      </c>
      <c r="AQ661" s="766"/>
      <c r="AR661" s="766"/>
      <c r="AS661" s="770" t="s">
        <v>1207</v>
      </c>
      <c r="AT661" s="770" t="s">
        <v>1208</v>
      </c>
      <c r="AU661" s="770"/>
      <c r="AV661" s="770" t="s">
        <v>1208</v>
      </c>
      <c r="AW661" s="770"/>
      <c r="AX661" s="770"/>
      <c r="AY661" s="770"/>
      <c r="AZ661" s="770"/>
      <c r="BA661" s="770"/>
      <c r="BB661" s="770"/>
      <c r="BC661" s="770" t="s">
        <v>796</v>
      </c>
      <c r="BD661" s="770" t="s">
        <v>1207</v>
      </c>
      <c r="BE661" s="770" t="s">
        <v>1214</v>
      </c>
      <c r="BF661" s="302"/>
      <c r="BG661" s="302"/>
      <c r="BH661" s="770"/>
      <c r="BI661" s="770"/>
      <c r="BJ661" s="770"/>
      <c r="BK661" s="770" t="s">
        <v>1095</v>
      </c>
      <c r="BL661" s="770" t="s">
        <v>4315</v>
      </c>
      <c r="BM661" s="766" t="s">
        <v>1096</v>
      </c>
      <c r="BN661" s="770" t="s">
        <v>1230</v>
      </c>
      <c r="BO661" s="766" t="s">
        <v>1246</v>
      </c>
      <c r="BP661" s="765">
        <v>261.60000000000002</v>
      </c>
      <c r="BQ661" s="773">
        <v>14.4</v>
      </c>
      <c r="BR661" s="774">
        <f t="shared" si="206"/>
        <v>5.5045871559633024E-2</v>
      </c>
      <c r="BS661" s="766" t="s">
        <v>1242</v>
      </c>
      <c r="BT661" s="766" t="s">
        <v>2040</v>
      </c>
      <c r="BU661" s="770" t="s">
        <v>1249</v>
      </c>
      <c r="BV661" s="770" t="s">
        <v>1247</v>
      </c>
      <c r="BW661" s="770">
        <v>2013</v>
      </c>
      <c r="BX661" s="302">
        <v>300000</v>
      </c>
      <c r="BY661" s="770" t="s">
        <v>1207</v>
      </c>
      <c r="BZ661" s="302" t="s">
        <v>4316</v>
      </c>
      <c r="CA661" s="770"/>
      <c r="CB661" s="770"/>
      <c r="CC661" s="770"/>
      <c r="CD661" s="770"/>
      <c r="CE661" s="302"/>
      <c r="CF661" s="304"/>
      <c r="CG661" s="321"/>
      <c r="CH661" s="770"/>
      <c r="CI661" s="770"/>
      <c r="CJ661" s="770"/>
      <c r="CK661" s="770"/>
      <c r="CL661" s="770"/>
      <c r="CM661" s="770"/>
      <c r="CN661" s="770"/>
      <c r="CO661" s="770"/>
      <c r="CP661" s="770"/>
      <c r="CQ661" s="770"/>
      <c r="CR661" s="302"/>
      <c r="CS661" s="770"/>
      <c r="CT661" s="770"/>
      <c r="CU661" s="305"/>
      <c r="CV661" s="770"/>
      <c r="CW661" s="770"/>
      <c r="CX661" s="770"/>
      <c r="CY661" s="770"/>
      <c r="CZ661" s="770"/>
      <c r="DA661" s="306"/>
      <c r="DB661" s="770"/>
      <c r="DC661" s="770"/>
      <c r="DD661" s="770"/>
      <c r="DE661" s="300"/>
      <c r="DF661" s="770"/>
      <c r="DG661" s="770"/>
      <c r="DH661" s="770"/>
      <c r="DI661" s="770"/>
      <c r="DJ661" s="770"/>
      <c r="DK661" s="770"/>
      <c r="DL661" s="770"/>
      <c r="DM661" s="770"/>
      <c r="DN661" s="322"/>
      <c r="DO661" s="770"/>
      <c r="DP661" s="770"/>
      <c r="DQ661" s="770"/>
      <c r="DR661" s="770"/>
      <c r="DS661" s="307"/>
      <c r="DT661" s="770"/>
      <c r="DU661" s="770"/>
      <c r="DV661" s="770"/>
      <c r="DW661" s="306"/>
      <c r="DX661" s="306"/>
      <c r="DY661" s="1055"/>
      <c r="DZ661" s="770"/>
      <c r="EA661" s="770"/>
      <c r="EB661" s="770"/>
      <c r="EC661" s="770"/>
      <c r="ED661" s="770"/>
      <c r="EE661" s="770"/>
      <c r="EF661" s="770"/>
      <c r="EG661" s="770"/>
      <c r="EH661" s="770"/>
      <c r="EI661" s="770"/>
      <c r="EJ661" s="770"/>
      <c r="EK661" s="770"/>
      <c r="EL661" s="770"/>
      <c r="EM661" s="770"/>
      <c r="EN661" s="770"/>
      <c r="EO661" s="770"/>
      <c r="EP661" s="94"/>
      <c r="EQ661" s="770"/>
      <c r="ER661" s="770"/>
      <c r="ES661" s="770"/>
      <c r="ET661" s="770"/>
      <c r="EU661" s="770"/>
      <c r="EV661" s="770"/>
      <c r="EW661" s="770"/>
      <c r="EX661" s="770"/>
      <c r="EY661" s="770"/>
      <c r="EZ661" s="770"/>
      <c r="FA661" s="770"/>
      <c r="FB661" s="770"/>
      <c r="FC661" s="770"/>
      <c r="FD661" s="302"/>
      <c r="FE661" s="770"/>
      <c r="FF661" s="770"/>
      <c r="FG661" s="770"/>
      <c r="FH661" s="770" t="s">
        <v>478</v>
      </c>
      <c r="FI661" s="770">
        <v>1</v>
      </c>
      <c r="FJ661" s="770"/>
      <c r="FK661" s="770"/>
      <c r="FL661" s="770"/>
      <c r="FM661" s="302"/>
      <c r="FN661" s="302"/>
      <c r="FO661" s="302"/>
      <c r="FP661" s="770" t="s">
        <v>1602</v>
      </c>
      <c r="FQ661" s="770" t="s">
        <v>1660</v>
      </c>
      <c r="FR661" s="770" t="s">
        <v>1214</v>
      </c>
      <c r="FS661" s="770"/>
      <c r="FT661" s="770"/>
      <c r="FU661" s="770"/>
      <c r="FV661" s="770"/>
      <c r="FW661" s="770"/>
      <c r="FX661" s="770"/>
      <c r="FY661" s="770"/>
      <c r="FZ661" s="770"/>
      <c r="GA661" s="770"/>
      <c r="GB661" s="770" t="s">
        <v>1734</v>
      </c>
      <c r="GC661" s="308"/>
      <c r="GD661" s="297">
        <v>2013</v>
      </c>
      <c r="GE661" s="770" t="s">
        <v>1214</v>
      </c>
      <c r="GF661" s="302"/>
      <c r="GG661" s="302"/>
      <c r="GH661" s="770"/>
      <c r="GI661" s="770"/>
      <c r="GJ661" s="770"/>
      <c r="GK661" s="770"/>
      <c r="GL661" s="770"/>
      <c r="GM661" s="770"/>
      <c r="GN661" s="299"/>
      <c r="GO661" s="770"/>
      <c r="GP661" s="770"/>
      <c r="GQ661" s="770"/>
      <c r="GR661" s="770"/>
      <c r="GS661" s="770"/>
      <c r="GT661" s="770"/>
      <c r="GU661" s="770"/>
      <c r="GV661" s="770"/>
      <c r="GW661" s="770"/>
      <c r="GX661" s="770"/>
      <c r="GY661" s="770"/>
      <c r="GZ661" s="770"/>
      <c r="HA661" s="770"/>
      <c r="HB661" s="770"/>
      <c r="HC661" s="770"/>
      <c r="HD661" s="770"/>
      <c r="HE661" s="770"/>
      <c r="HF661" s="770"/>
      <c r="HG661" s="770"/>
      <c r="HH661" s="770"/>
      <c r="HI661" s="770"/>
      <c r="HJ661" s="770"/>
      <c r="HK661" s="770"/>
      <c r="HL661" s="770"/>
      <c r="HM661" s="770"/>
      <c r="HN661" s="770"/>
      <c r="HO661" s="770"/>
      <c r="HP661" s="770"/>
      <c r="HQ661" s="770"/>
      <c r="HR661" s="770"/>
      <c r="HS661" s="770"/>
      <c r="HT661" s="770"/>
      <c r="HU661" s="770"/>
      <c r="HV661" s="770"/>
      <c r="HW661" s="770"/>
      <c r="HX661" s="770"/>
      <c r="HY661" s="770"/>
      <c r="HZ661" s="770"/>
      <c r="IA661" s="770"/>
      <c r="IB661" s="770"/>
      <c r="IC661" s="770" t="s">
        <v>1207</v>
      </c>
      <c r="ID661" s="770">
        <v>1</v>
      </c>
      <c r="IE661" s="770"/>
      <c r="IF661" s="770" t="s">
        <v>4314</v>
      </c>
      <c r="IG661" s="770" t="s">
        <v>18</v>
      </c>
      <c r="IH661" s="770" t="s">
        <v>478</v>
      </c>
      <c r="II661" s="770" t="s">
        <v>4318</v>
      </c>
      <c r="IJ661" s="770" t="s">
        <v>4319</v>
      </c>
      <c r="IK661" s="770" t="s">
        <v>2639</v>
      </c>
      <c r="IL661" s="770" t="s">
        <v>4320</v>
      </c>
      <c r="IM661" s="770">
        <v>2008</v>
      </c>
      <c r="IN661" s="770" t="s">
        <v>4320</v>
      </c>
      <c r="IO661" s="296" t="s">
        <v>4321</v>
      </c>
      <c r="IP661" s="770" t="s">
        <v>478</v>
      </c>
      <c r="IQ661" s="769" t="s">
        <v>1898</v>
      </c>
      <c r="IR661" s="770" t="s">
        <v>1964</v>
      </c>
      <c r="IS661" s="770" t="s">
        <v>1879</v>
      </c>
      <c r="IT661" s="770"/>
      <c r="IU661" s="770" t="s">
        <v>1208</v>
      </c>
      <c r="IV661" s="770"/>
      <c r="IW661" s="770" t="s">
        <v>13872</v>
      </c>
      <c r="IX661" s="770"/>
      <c r="IY661" s="770" t="s">
        <v>12801</v>
      </c>
      <c r="IZ661" s="770"/>
      <c r="JA661" s="770" t="s">
        <v>12775</v>
      </c>
      <c r="JB661" s="770" t="s">
        <v>1918</v>
      </c>
      <c r="JC661" s="770"/>
      <c r="JD661" s="302">
        <f>AVERAGE(0,30000)</f>
        <v>15000</v>
      </c>
      <c r="JE661" s="770"/>
      <c r="JF661" s="770"/>
      <c r="JG661" s="770"/>
      <c r="JH661" s="307"/>
      <c r="JI661" s="307"/>
      <c r="JJ661" s="770">
        <v>4</v>
      </c>
      <c r="JK661" s="770" t="s">
        <v>4320</v>
      </c>
      <c r="JL661" s="770"/>
      <c r="JM661" s="770">
        <v>1</v>
      </c>
      <c r="JN661" s="770">
        <v>2</v>
      </c>
      <c r="JO661" s="770">
        <v>1</v>
      </c>
      <c r="JP661" s="770"/>
      <c r="JQ661" s="770"/>
      <c r="JR661" s="770"/>
      <c r="JS661" s="770"/>
      <c r="JT661" s="766">
        <f>SUM(JP661,JN661,JL661,JR661)</f>
        <v>2</v>
      </c>
      <c r="JU661" s="766">
        <f>SUM(JQ661,JO661,JM661,JS661)</f>
        <v>2</v>
      </c>
      <c r="JV661" s="766"/>
      <c r="JW661" s="766"/>
      <c r="JX661" s="770"/>
      <c r="JY661" s="770"/>
      <c r="JZ661" s="770"/>
      <c r="KA661" s="770">
        <v>1</v>
      </c>
      <c r="KB661" s="770">
        <v>1</v>
      </c>
      <c r="KC661" s="770"/>
      <c r="KD661" s="770">
        <v>1</v>
      </c>
      <c r="KE661" s="770"/>
      <c r="KF661" s="770"/>
      <c r="KG661" s="770">
        <v>1</v>
      </c>
      <c r="KH661" s="770"/>
      <c r="KI661" s="770"/>
      <c r="KJ661" s="770">
        <f t="shared" si="204"/>
        <v>2</v>
      </c>
      <c r="KK661" s="770">
        <f t="shared" si="204"/>
        <v>2</v>
      </c>
      <c r="KL661" s="770"/>
      <c r="KM661" s="770"/>
      <c r="KN661" s="770" t="s">
        <v>707</v>
      </c>
      <c r="KO661" s="770"/>
      <c r="KP661" s="770"/>
      <c r="KQ661" s="770"/>
      <c r="KR661" s="770"/>
      <c r="KS661" s="770"/>
      <c r="KT661" s="770"/>
      <c r="KU661" s="770">
        <v>2</v>
      </c>
      <c r="KV661" s="770"/>
      <c r="KW661" s="770"/>
      <c r="KX661" s="770">
        <v>2</v>
      </c>
      <c r="KY661" s="770"/>
      <c r="KZ661" s="770"/>
      <c r="LA661" s="770"/>
      <c r="LB661" s="770"/>
      <c r="LC661" s="770"/>
      <c r="LD661" s="770"/>
      <c r="LE661" s="770"/>
      <c r="LF661" s="770"/>
      <c r="LG661" s="770"/>
      <c r="LH661" s="770"/>
      <c r="LI661" s="770"/>
      <c r="LJ661" s="770"/>
      <c r="LK661" s="770"/>
      <c r="LL661" s="770"/>
      <c r="LM661" s="770"/>
      <c r="LN661" s="766">
        <f>SUM(KP661,KR661,KT661,KV661,KX661,KZ661,LB661,LD661,LF661,LH661,LJ661,LL661)</f>
        <v>2</v>
      </c>
      <c r="LO661" s="766">
        <f>SUM(KQ661,KS661,KU661,KW661,KY661,LA661,LC661,LE661,LG661,LI661,LK661,LM661)</f>
        <v>2</v>
      </c>
      <c r="LP661" s="770">
        <v>1</v>
      </c>
      <c r="LQ661" s="770"/>
      <c r="LR661" s="770"/>
      <c r="LS661" s="770">
        <v>1</v>
      </c>
      <c r="LT661" s="770"/>
      <c r="LU661" s="770"/>
      <c r="LV661" s="770"/>
      <c r="LW661" s="770"/>
      <c r="LX661" s="769">
        <v>1</v>
      </c>
      <c r="LY661" s="766" t="str">
        <f t="shared" si="187"/>
        <v>within the BRGY</v>
      </c>
      <c r="LZ661" s="1709"/>
      <c r="MA661" s="1709"/>
      <c r="MB661" s="1709"/>
      <c r="MC661" s="1679">
        <f t="shared" si="185"/>
        <v>0</v>
      </c>
      <c r="MD661" s="1709"/>
      <c r="ME661" s="1709"/>
      <c r="MF661" s="1709">
        <v>15000</v>
      </c>
      <c r="MG661" s="1680">
        <f t="shared" si="199"/>
        <v>15000</v>
      </c>
      <c r="MH661" s="770" t="s">
        <v>1928</v>
      </c>
      <c r="MI661" s="302">
        <f>500*30</f>
        <v>15000</v>
      </c>
      <c r="MJ661" s="302"/>
      <c r="MK661" s="302"/>
      <c r="ML661" s="302">
        <v>5000</v>
      </c>
      <c r="MM661" s="302">
        <f>100*30</f>
        <v>3000</v>
      </c>
      <c r="MN661" s="302"/>
      <c r="MO661" s="302"/>
      <c r="MP661" s="302"/>
      <c r="MQ661" s="302">
        <f>250*2</f>
        <v>500</v>
      </c>
      <c r="MR661" s="302">
        <v>1000</v>
      </c>
      <c r="MS661" s="302"/>
      <c r="MT661" s="302"/>
      <c r="MU661" s="302"/>
      <c r="MV661" s="302"/>
      <c r="MW661" s="302"/>
      <c r="MX661" s="302"/>
      <c r="MY661" s="1682">
        <f t="shared" si="200"/>
        <v>24500</v>
      </c>
      <c r="MZ661" s="770" t="s">
        <v>13398</v>
      </c>
      <c r="NA661" s="770" t="s">
        <v>13005</v>
      </c>
      <c r="NB661" s="770" t="s">
        <v>13016</v>
      </c>
      <c r="NC661" s="770" t="s">
        <v>13602</v>
      </c>
      <c r="ND661" s="770">
        <v>0</v>
      </c>
      <c r="NE661" s="770">
        <v>0</v>
      </c>
      <c r="NF661" s="770">
        <v>0</v>
      </c>
      <c r="NG661" s="770">
        <v>2</v>
      </c>
      <c r="NH661" s="770">
        <v>1</v>
      </c>
      <c r="NI661" s="770">
        <v>1</v>
      </c>
      <c r="NJ661" s="770">
        <v>0</v>
      </c>
      <c r="NK661" s="770">
        <v>0</v>
      </c>
      <c r="NL661" s="770">
        <v>1</v>
      </c>
      <c r="NM661" s="770">
        <v>1</v>
      </c>
      <c r="NN661" s="770">
        <v>0</v>
      </c>
      <c r="NO661" s="770">
        <v>0</v>
      </c>
      <c r="NP661" s="770">
        <v>0</v>
      </c>
      <c r="NQ661" s="770">
        <v>0</v>
      </c>
      <c r="NR661" s="770">
        <v>0</v>
      </c>
      <c r="NS661" s="770">
        <v>0</v>
      </c>
      <c r="NT661" s="770">
        <v>0</v>
      </c>
      <c r="NU661" s="770">
        <v>0</v>
      </c>
      <c r="NV661" s="770">
        <v>0</v>
      </c>
      <c r="NW661" s="770">
        <v>0</v>
      </c>
      <c r="NX661" s="770">
        <v>0</v>
      </c>
      <c r="NY661" s="770" t="s">
        <v>1208</v>
      </c>
      <c r="NZ661" s="770" t="s">
        <v>1208</v>
      </c>
      <c r="OA661" s="770" t="s">
        <v>1208</v>
      </c>
      <c r="OB661" s="770" t="s">
        <v>1208</v>
      </c>
      <c r="OC661" s="770" t="s">
        <v>1208</v>
      </c>
      <c r="OD661" s="770"/>
      <c r="OE661" s="770"/>
      <c r="OF661" s="770" t="s">
        <v>2143</v>
      </c>
      <c r="OG661" s="770"/>
      <c r="OH661" s="770"/>
      <c r="OI661" s="770"/>
      <c r="OJ661" s="770"/>
      <c r="OK661" s="770" t="s">
        <v>1208</v>
      </c>
      <c r="OL661" s="770"/>
      <c r="OM661" s="770"/>
      <c r="ON661" s="770"/>
      <c r="OO661" s="770"/>
      <c r="OP661" s="770"/>
      <c r="OQ661" s="770"/>
      <c r="OR661" s="770"/>
      <c r="OS661" s="770"/>
      <c r="OT661" s="770"/>
      <c r="OU661" s="770"/>
      <c r="OV661" s="770"/>
      <c r="OW661" s="770"/>
      <c r="OX661" s="770"/>
      <c r="OY661" s="770"/>
      <c r="OZ661" s="770"/>
      <c r="PA661" s="770"/>
      <c r="PB661" s="770"/>
      <c r="PC661" s="770"/>
      <c r="PD661" s="770"/>
      <c r="PE661" s="770"/>
      <c r="PF661" s="770"/>
      <c r="PG661" s="770"/>
      <c r="PH661" s="770" t="s">
        <v>1208</v>
      </c>
      <c r="PI661" s="770" t="s">
        <v>1208</v>
      </c>
      <c r="PJ661" s="770"/>
      <c r="PK661" s="770" t="s">
        <v>1208</v>
      </c>
      <c r="PL661" s="770"/>
      <c r="PM661" s="770"/>
      <c r="PN661" s="770"/>
      <c r="PO661" s="770"/>
      <c r="PP661" s="770"/>
      <c r="PQ661" s="770"/>
      <c r="PR661" s="770"/>
      <c r="PS661" s="770"/>
      <c r="PT661" s="770"/>
      <c r="PU661" s="770"/>
      <c r="PV661" s="770"/>
      <c r="PW661" s="770"/>
      <c r="PX661" s="770"/>
      <c r="PY661" s="770"/>
      <c r="PZ661" s="770"/>
      <c r="QA661" s="770"/>
      <c r="QB661" s="770"/>
      <c r="QC661" s="770"/>
      <c r="QD661" s="770"/>
      <c r="QE661" s="770" t="s">
        <v>1208</v>
      </c>
      <c r="QF661" s="770"/>
      <c r="QG661" s="770"/>
      <c r="QH661" s="770"/>
      <c r="QI661" s="770"/>
      <c r="QJ661" s="770"/>
      <c r="QK661" s="770"/>
      <c r="QL661" s="770"/>
      <c r="QM661" s="770"/>
      <c r="QN661" s="770"/>
      <c r="QO661" s="770"/>
      <c r="QP661" s="770"/>
      <c r="QQ661" s="770"/>
      <c r="QR661" s="770"/>
      <c r="QS661" s="770"/>
      <c r="QT661" s="770"/>
      <c r="QU661" s="770"/>
      <c r="QV661" s="770"/>
      <c r="QW661" s="770"/>
      <c r="QX661" s="770"/>
      <c r="QY661" s="770"/>
      <c r="QZ661" s="770"/>
      <c r="RA661" s="770"/>
      <c r="RB661" s="770" t="s">
        <v>1207</v>
      </c>
      <c r="RC661" s="770"/>
      <c r="RD661" s="770" t="s">
        <v>13046</v>
      </c>
      <c r="RE661" s="770" t="s">
        <v>12999</v>
      </c>
      <c r="RF661" s="304">
        <v>1</v>
      </c>
      <c r="RG661" s="770" t="s">
        <v>13047</v>
      </c>
      <c r="RH661" s="306">
        <v>2000</v>
      </c>
      <c r="RI661" s="770">
        <v>24</v>
      </c>
      <c r="RJ661" s="94" t="s">
        <v>4320</v>
      </c>
      <c r="RK661" s="770" t="s">
        <v>13544</v>
      </c>
      <c r="RL661" s="1710" t="s">
        <v>1604</v>
      </c>
      <c r="RM661" s="12"/>
      <c r="RN661" s="1711"/>
      <c r="RO661" s="149" t="s">
        <v>4309</v>
      </c>
      <c r="RP661" s="11"/>
      <c r="RQ661" s="11"/>
      <c r="RR661" s="17"/>
      <c r="RS661" s="767"/>
      <c r="RT661" s="11"/>
      <c r="RU661" s="11"/>
      <c r="RV661" s="771" t="s">
        <v>7419</v>
      </c>
      <c r="RW661" s="11" t="s">
        <v>7734</v>
      </c>
      <c r="RX661" s="11" t="s">
        <v>4290</v>
      </c>
      <c r="RY661" s="11"/>
      <c r="RZ661" s="11" t="s">
        <v>2209</v>
      </c>
      <c r="SA661" s="771"/>
      <c r="SB661" s="11"/>
      <c r="SC661" s="11"/>
    </row>
    <row r="662" spans="1:497" ht="12.75" hidden="1" customHeight="1">
      <c r="A662" s="343" t="s">
        <v>7419</v>
      </c>
      <c r="B662" s="292" t="s">
        <v>7425</v>
      </c>
      <c r="C662" s="149" t="s">
        <v>4309</v>
      </c>
      <c r="D662" s="770" t="s">
        <v>4322</v>
      </c>
      <c r="E662" s="766" t="s">
        <v>4323</v>
      </c>
      <c r="F662" s="770" t="s">
        <v>2371</v>
      </c>
      <c r="G662" s="770" t="s">
        <v>18</v>
      </c>
      <c r="H662" s="770"/>
      <c r="I662" s="295" t="s">
        <v>4324</v>
      </c>
      <c r="J662" s="770" t="s">
        <v>4322</v>
      </c>
      <c r="K662" s="766" t="s">
        <v>4317</v>
      </c>
      <c r="L662" s="766" t="s">
        <v>2721</v>
      </c>
      <c r="M662" s="770" t="s">
        <v>1238</v>
      </c>
      <c r="N662" s="1757"/>
      <c r="O662" s="1757" t="s">
        <v>4325</v>
      </c>
      <c r="P662" s="770"/>
      <c r="Q662" s="1088"/>
      <c r="R662" s="297"/>
      <c r="S662" s="770"/>
      <c r="T662" s="770"/>
      <c r="U662" s="295"/>
      <c r="V662" s="770"/>
      <c r="W662" s="770"/>
      <c r="X662" s="770"/>
      <c r="Y662" s="770"/>
      <c r="Z662" s="770"/>
      <c r="AA662" s="770"/>
      <c r="AB662" s="770"/>
      <c r="AC662" s="770"/>
      <c r="AD662" s="770"/>
      <c r="AE662" s="770"/>
      <c r="AF662" s="770"/>
      <c r="AG662" s="766" t="s">
        <v>1095</v>
      </c>
      <c r="AH662" s="766" t="s">
        <v>1096</v>
      </c>
      <c r="AI662" s="770" t="s">
        <v>5755</v>
      </c>
      <c r="AJ662" s="770"/>
      <c r="AK662" s="770" t="s">
        <v>1097</v>
      </c>
      <c r="AL662" s="531">
        <v>66</v>
      </c>
      <c r="AM662" s="780">
        <v>21.6</v>
      </c>
      <c r="AN662" s="532">
        <f t="shared" si="205"/>
        <v>0.32727272727272727</v>
      </c>
      <c r="AO662" s="766" t="s">
        <v>1149</v>
      </c>
      <c r="AP662" s="766" t="s">
        <v>1137</v>
      </c>
      <c r="AQ662" s="766"/>
      <c r="AR662" s="766"/>
      <c r="AS662" s="770" t="s">
        <v>1207</v>
      </c>
      <c r="AT662" s="770" t="s">
        <v>1208</v>
      </c>
      <c r="AU662" s="770" t="s">
        <v>1208</v>
      </c>
      <c r="AV662" s="770"/>
      <c r="AW662" s="770"/>
      <c r="AX662" s="770"/>
      <c r="AY662" s="770"/>
      <c r="AZ662" s="770"/>
      <c r="BA662" s="770"/>
      <c r="BB662" s="770"/>
      <c r="BC662" s="770" t="s">
        <v>5415</v>
      </c>
      <c r="BD662" s="770" t="s">
        <v>1207</v>
      </c>
      <c r="BE662" s="770" t="s">
        <v>1214</v>
      </c>
      <c r="BF662" s="302"/>
      <c r="BG662" s="302"/>
      <c r="BH662" s="770"/>
      <c r="BI662" s="770"/>
      <c r="BJ662" s="770"/>
      <c r="BK662" s="770" t="s">
        <v>1095</v>
      </c>
      <c r="BL662" s="770" t="s">
        <v>5755</v>
      </c>
      <c r="BM662" s="770" t="s">
        <v>8127</v>
      </c>
      <c r="BN662" s="770" t="s">
        <v>1230</v>
      </c>
      <c r="BO662" s="770" t="s">
        <v>1275</v>
      </c>
      <c r="BP662" s="765">
        <v>198</v>
      </c>
      <c r="BQ662" s="773">
        <v>64.8</v>
      </c>
      <c r="BR662" s="774">
        <f t="shared" si="206"/>
        <v>0.32727272727272727</v>
      </c>
      <c r="BS662" s="6" t="s">
        <v>1149</v>
      </c>
      <c r="BT662" s="766" t="s">
        <v>2040</v>
      </c>
      <c r="BU662" s="770" t="s">
        <v>1324</v>
      </c>
      <c r="BV662" s="770" t="s">
        <v>2724</v>
      </c>
      <c r="BW662" s="770">
        <v>2000</v>
      </c>
      <c r="BX662" s="302">
        <v>2000000</v>
      </c>
      <c r="BY662" s="770"/>
      <c r="BZ662" s="302"/>
      <c r="CA662" s="770"/>
      <c r="CB662" s="770"/>
      <c r="CC662" s="770"/>
      <c r="CD662" s="770"/>
      <c r="CE662" s="302"/>
      <c r="CF662" s="304"/>
      <c r="CG662" s="321"/>
      <c r="CH662" s="770"/>
      <c r="CI662" s="770"/>
      <c r="CJ662" s="770"/>
      <c r="CK662" s="770"/>
      <c r="CL662" s="770"/>
      <c r="CM662" s="770"/>
      <c r="CN662" s="770"/>
      <c r="CO662" s="770"/>
      <c r="CP662" s="770"/>
      <c r="CQ662" s="770"/>
      <c r="CR662" s="302"/>
      <c r="CS662" s="770"/>
      <c r="CT662" s="770"/>
      <c r="CU662" s="305"/>
      <c r="CV662" s="770"/>
      <c r="CW662" s="770"/>
      <c r="CX662" s="770"/>
      <c r="CY662" s="770"/>
      <c r="CZ662" s="770"/>
      <c r="DA662" s="306"/>
      <c r="DB662" s="770"/>
      <c r="DC662" s="770"/>
      <c r="DD662" s="770"/>
      <c r="DE662" s="300"/>
      <c r="DF662" s="770"/>
      <c r="DG662" s="770"/>
      <c r="DH662" s="770"/>
      <c r="DI662" s="770"/>
      <c r="DJ662" s="770"/>
      <c r="DK662" s="770"/>
      <c r="DL662" s="770"/>
      <c r="DM662" s="770"/>
      <c r="DN662" s="322"/>
      <c r="DO662" s="770"/>
      <c r="DP662" s="770"/>
      <c r="DQ662" s="770"/>
      <c r="DR662" s="770"/>
      <c r="DS662" s="307"/>
      <c r="DT662" s="770"/>
      <c r="DU662" s="770"/>
      <c r="DV662" s="770"/>
      <c r="DW662" s="306"/>
      <c r="DX662" s="306"/>
      <c r="DY662" s="1055"/>
      <c r="DZ662" s="770"/>
      <c r="EA662" s="770"/>
      <c r="EB662" s="770"/>
      <c r="EC662" s="770"/>
      <c r="ED662" s="770"/>
      <c r="EE662" s="770"/>
      <c r="EF662" s="770"/>
      <c r="EG662" s="770"/>
      <c r="EH662" s="770"/>
      <c r="EI662" s="770"/>
      <c r="EJ662" s="770"/>
      <c r="EK662" s="770"/>
      <c r="EL662" s="770"/>
      <c r="EM662" s="770"/>
      <c r="EN662" s="770"/>
      <c r="EO662" s="770"/>
      <c r="EP662" s="94"/>
      <c r="EQ662" s="770"/>
      <c r="ER662" s="770"/>
      <c r="ES662" s="770"/>
      <c r="ET662" s="770"/>
      <c r="EU662" s="770"/>
      <c r="EV662" s="770"/>
      <c r="EW662" s="770"/>
      <c r="EX662" s="770"/>
      <c r="EY662" s="770"/>
      <c r="EZ662" s="770"/>
      <c r="FA662" s="770"/>
      <c r="FB662" s="770"/>
      <c r="FC662" s="770"/>
      <c r="FD662" s="302"/>
      <c r="FE662" s="770"/>
      <c r="FF662" s="770"/>
      <c r="FG662" s="770"/>
      <c r="FH662" s="770"/>
      <c r="FI662" s="770"/>
      <c r="FJ662" s="770"/>
      <c r="FK662" s="770"/>
      <c r="FL662" s="770"/>
      <c r="FM662" s="302"/>
      <c r="FN662" s="302"/>
      <c r="FO662" s="302"/>
      <c r="FP662" s="770" t="s">
        <v>1602</v>
      </c>
      <c r="FQ662" s="770" t="s">
        <v>1660</v>
      </c>
      <c r="FR662" s="770" t="s">
        <v>1207</v>
      </c>
      <c r="FS662" s="770" t="s">
        <v>1208</v>
      </c>
      <c r="FT662" s="770"/>
      <c r="FU662" s="770"/>
      <c r="FV662" s="770"/>
      <c r="FW662" s="770"/>
      <c r="FX662" s="770" t="s">
        <v>1208</v>
      </c>
      <c r="FY662" s="770"/>
      <c r="FZ662" s="770"/>
      <c r="GA662" s="770"/>
      <c r="GB662" s="770" t="s">
        <v>1734</v>
      </c>
      <c r="GC662" s="308" t="s">
        <v>4327</v>
      </c>
      <c r="GD662" s="297">
        <v>2000</v>
      </c>
      <c r="GE662" s="770" t="s">
        <v>1214</v>
      </c>
      <c r="GF662" s="302"/>
      <c r="GG662" s="302"/>
      <c r="GH662" s="770"/>
      <c r="GI662" s="770"/>
      <c r="GJ662" s="770"/>
      <c r="GK662" s="770"/>
      <c r="GL662" s="770"/>
      <c r="GM662" s="770"/>
      <c r="GN662" s="299"/>
      <c r="GO662" s="770"/>
      <c r="GP662" s="770"/>
      <c r="GQ662" s="770"/>
      <c r="GR662" s="770"/>
      <c r="GS662" s="770"/>
      <c r="GT662" s="770"/>
      <c r="GU662" s="770"/>
      <c r="GV662" s="770"/>
      <c r="GW662" s="770"/>
      <c r="GX662" s="770"/>
      <c r="GY662" s="770"/>
      <c r="GZ662" s="770"/>
      <c r="HA662" s="770"/>
      <c r="HB662" s="770"/>
      <c r="HC662" s="770"/>
      <c r="HD662" s="770"/>
      <c r="HE662" s="770"/>
      <c r="HF662" s="770"/>
      <c r="HG662" s="770"/>
      <c r="HH662" s="770"/>
      <c r="HI662" s="770"/>
      <c r="HJ662" s="770"/>
      <c r="HK662" s="770"/>
      <c r="HL662" s="770"/>
      <c r="HM662" s="770"/>
      <c r="HN662" s="770"/>
      <c r="HO662" s="770"/>
      <c r="HP662" s="770"/>
      <c r="HQ662" s="770"/>
      <c r="HR662" s="770"/>
      <c r="HS662" s="770"/>
      <c r="HT662" s="770"/>
      <c r="HU662" s="770"/>
      <c r="HV662" s="770"/>
      <c r="HW662" s="770"/>
      <c r="HX662" s="770"/>
      <c r="HY662" s="770"/>
      <c r="HZ662" s="770"/>
      <c r="IA662" s="770"/>
      <c r="IB662" s="770"/>
      <c r="IC662" s="770"/>
      <c r="ID662" s="770"/>
      <c r="IE662" s="770"/>
      <c r="IF662" s="770"/>
      <c r="IG662" s="770"/>
      <c r="IH662" s="770"/>
      <c r="II662" s="770"/>
      <c r="IJ662" s="770"/>
      <c r="IK662" s="770"/>
      <c r="IL662" s="770"/>
      <c r="IM662" s="770"/>
      <c r="IN662" s="770"/>
      <c r="IO662" s="296"/>
      <c r="IP662" s="770"/>
      <c r="IQ662" s="770"/>
      <c r="IR662" s="770"/>
      <c r="IS662" s="770"/>
      <c r="IT662" s="770"/>
      <c r="IU662" s="770"/>
      <c r="IV662" s="770"/>
      <c r="IW662" s="770"/>
      <c r="IX662" s="770"/>
      <c r="IY662" s="770"/>
      <c r="IZ662" s="770"/>
      <c r="JA662" s="770"/>
      <c r="JB662" s="770"/>
      <c r="JC662" s="770"/>
      <c r="JD662" s="302"/>
      <c r="JE662" s="770"/>
      <c r="JF662" s="770"/>
      <c r="JG662" s="770"/>
      <c r="JH662" s="307"/>
      <c r="JI662" s="307"/>
      <c r="JJ662" s="770"/>
      <c r="JK662" s="770"/>
      <c r="JL662" s="770"/>
      <c r="JM662" s="770"/>
      <c r="JN662" s="770"/>
      <c r="JO662" s="770"/>
      <c r="JP662" s="770"/>
      <c r="JQ662" s="770"/>
      <c r="JR662" s="770"/>
      <c r="JS662" s="770"/>
      <c r="JT662" s="766"/>
      <c r="JU662" s="766"/>
      <c r="JV662" s="766"/>
      <c r="JW662" s="766"/>
      <c r="JX662" s="770"/>
      <c r="JY662" s="770"/>
      <c r="JZ662" s="770"/>
      <c r="KA662" s="770"/>
      <c r="KB662" s="770"/>
      <c r="KC662" s="770"/>
      <c r="KD662" s="770"/>
      <c r="KE662" s="770"/>
      <c r="KF662" s="770"/>
      <c r="KG662" s="770"/>
      <c r="KH662" s="770"/>
      <c r="KI662" s="770"/>
      <c r="KJ662" s="770"/>
      <c r="KK662" s="770"/>
      <c r="KL662" s="770"/>
      <c r="KM662" s="770"/>
      <c r="KN662" s="770"/>
      <c r="KO662" s="770"/>
      <c r="KP662" s="770"/>
      <c r="KQ662" s="770"/>
      <c r="KR662" s="770"/>
      <c r="KS662" s="770"/>
      <c r="KT662" s="770"/>
      <c r="KU662" s="770"/>
      <c r="KV662" s="770"/>
      <c r="KW662" s="770"/>
      <c r="KX662" s="770"/>
      <c r="KY662" s="770"/>
      <c r="KZ662" s="770"/>
      <c r="LA662" s="770"/>
      <c r="LB662" s="770"/>
      <c r="LC662" s="770"/>
      <c r="LD662" s="770"/>
      <c r="LE662" s="770"/>
      <c r="LF662" s="770"/>
      <c r="LG662" s="770"/>
      <c r="LH662" s="770"/>
      <c r="LI662" s="770"/>
      <c r="LJ662" s="770"/>
      <c r="LK662" s="770"/>
      <c r="LL662" s="770"/>
      <c r="LM662" s="770"/>
      <c r="LN662" s="766"/>
      <c r="LO662" s="766"/>
      <c r="LP662" s="770"/>
      <c r="LQ662" s="770"/>
      <c r="LR662" s="770"/>
      <c r="LS662" s="770"/>
      <c r="LT662" s="770"/>
      <c r="LU662" s="770"/>
      <c r="LV662" s="770"/>
      <c r="LW662" s="770"/>
      <c r="LX662" s="769"/>
      <c r="LY662" s="766" t="str">
        <f t="shared" si="187"/>
        <v/>
      </c>
      <c r="LZ662" s="1709"/>
      <c r="MA662" s="1709"/>
      <c r="MB662" s="1709"/>
      <c r="MC662" s="1679">
        <f t="shared" si="185"/>
        <v>0</v>
      </c>
      <c r="MD662" s="1709"/>
      <c r="ME662" s="1709"/>
      <c r="MF662" s="1709"/>
      <c r="MG662" s="1680">
        <f t="shared" si="199"/>
        <v>0</v>
      </c>
      <c r="MH662" s="770"/>
      <c r="MI662" s="302"/>
      <c r="MJ662" s="302"/>
      <c r="MK662" s="302"/>
      <c r="ML662" s="302"/>
      <c r="MM662" s="302"/>
      <c r="MN662" s="302"/>
      <c r="MO662" s="302"/>
      <c r="MP662" s="302"/>
      <c r="MQ662" s="302"/>
      <c r="MR662" s="302"/>
      <c r="MS662" s="302"/>
      <c r="MT662" s="302"/>
      <c r="MU662" s="302"/>
      <c r="MV662" s="302"/>
      <c r="MW662" s="302"/>
      <c r="MX662" s="302"/>
      <c r="MY662" s="1682">
        <f t="shared" si="200"/>
        <v>0</v>
      </c>
      <c r="MZ662" s="770"/>
      <c r="NA662" s="770"/>
      <c r="NB662" s="770"/>
      <c r="NC662" s="770"/>
      <c r="ND662" s="770"/>
      <c r="NE662" s="770"/>
      <c r="NF662" s="770"/>
      <c r="NG662" s="770"/>
      <c r="NH662" s="770"/>
      <c r="NI662" s="770"/>
      <c r="NJ662" s="770"/>
      <c r="NK662" s="770"/>
      <c r="NL662" s="770"/>
      <c r="NM662" s="770"/>
      <c r="NN662" s="770"/>
      <c r="NO662" s="770"/>
      <c r="NP662" s="770"/>
      <c r="NQ662" s="770"/>
      <c r="NR662" s="770"/>
      <c r="NS662" s="770"/>
      <c r="NT662" s="770"/>
      <c r="NU662" s="770"/>
      <c r="NV662" s="770"/>
      <c r="NW662" s="770"/>
      <c r="NX662" s="770"/>
      <c r="NY662" s="770"/>
      <c r="NZ662" s="770"/>
      <c r="OA662" s="770"/>
      <c r="OB662" s="770"/>
      <c r="OC662" s="770"/>
      <c r="OD662" s="770"/>
      <c r="OE662" s="770"/>
      <c r="OF662" s="770"/>
      <c r="OG662" s="770"/>
      <c r="OH662" s="770"/>
      <c r="OI662" s="770"/>
      <c r="OJ662" s="770"/>
      <c r="OK662" s="770"/>
      <c r="OL662" s="770"/>
      <c r="OM662" s="770"/>
      <c r="ON662" s="770"/>
      <c r="OO662" s="770"/>
      <c r="OP662" s="770"/>
      <c r="OQ662" s="770"/>
      <c r="OR662" s="770"/>
      <c r="OS662" s="770"/>
      <c r="OT662" s="770"/>
      <c r="OU662" s="770"/>
      <c r="OV662" s="770"/>
      <c r="OW662" s="770"/>
      <c r="OX662" s="770"/>
      <c r="OY662" s="770"/>
      <c r="OZ662" s="770"/>
      <c r="PA662" s="770"/>
      <c r="PB662" s="770"/>
      <c r="PC662" s="770"/>
      <c r="PD662" s="770"/>
      <c r="PE662" s="770"/>
      <c r="PF662" s="770"/>
      <c r="PG662" s="770"/>
      <c r="PH662" s="770"/>
      <c r="PI662" s="770"/>
      <c r="PJ662" s="770"/>
      <c r="PK662" s="770"/>
      <c r="PL662" s="770"/>
      <c r="PM662" s="770"/>
      <c r="PN662" s="770"/>
      <c r="PO662" s="770"/>
      <c r="PP662" s="770"/>
      <c r="PQ662" s="770"/>
      <c r="PR662" s="770"/>
      <c r="PS662" s="770"/>
      <c r="PT662" s="770"/>
      <c r="PU662" s="770"/>
      <c r="PV662" s="770"/>
      <c r="PW662" s="770"/>
      <c r="PX662" s="770"/>
      <c r="PY662" s="770"/>
      <c r="PZ662" s="770"/>
      <c r="QA662" s="770"/>
      <c r="QB662" s="770"/>
      <c r="QC662" s="770"/>
      <c r="QD662" s="770"/>
      <c r="QE662" s="770"/>
      <c r="QF662" s="770"/>
      <c r="QG662" s="770"/>
      <c r="QH662" s="770"/>
      <c r="QI662" s="770"/>
      <c r="QJ662" s="770"/>
      <c r="QK662" s="770"/>
      <c r="QL662" s="770"/>
      <c r="QM662" s="770"/>
      <c r="QN662" s="770"/>
      <c r="QO662" s="770"/>
      <c r="QP662" s="770"/>
      <c r="QQ662" s="770"/>
      <c r="QR662" s="770"/>
      <c r="QS662" s="770"/>
      <c r="QT662" s="770"/>
      <c r="QU662" s="770"/>
      <c r="QV662" s="770"/>
      <c r="QW662" s="770"/>
      <c r="QX662" s="770"/>
      <c r="QY662" s="770"/>
      <c r="QZ662" s="770"/>
      <c r="RA662" s="770"/>
      <c r="RB662" s="770"/>
      <c r="RC662" s="770"/>
      <c r="RD662" s="770"/>
      <c r="RE662" s="770"/>
      <c r="RF662" s="304"/>
      <c r="RG662" s="770"/>
      <c r="RH662" s="306"/>
      <c r="RI662" s="770"/>
      <c r="RJ662" s="94"/>
      <c r="RK662" s="770"/>
      <c r="RL662" s="1710"/>
      <c r="RM662" s="12"/>
      <c r="RN662" s="1711"/>
      <c r="RO662" s="149" t="s">
        <v>4309</v>
      </c>
      <c r="RP662" s="11"/>
      <c r="RQ662" s="11"/>
      <c r="RR662" s="17"/>
      <c r="RS662" s="767"/>
      <c r="RT662" s="11"/>
      <c r="RU662" s="11"/>
      <c r="RV662" s="771" t="s">
        <v>7419</v>
      </c>
      <c r="RW662" s="11" t="s">
        <v>7423</v>
      </c>
      <c r="RX662" s="11" t="s">
        <v>4302</v>
      </c>
      <c r="RY662" s="11"/>
      <c r="RZ662" s="11" t="s">
        <v>2209</v>
      </c>
      <c r="SA662" s="771"/>
      <c r="SB662" s="11"/>
      <c r="SC662" s="11"/>
    </row>
    <row r="663" spans="1:497" ht="12.75" hidden="1" customHeight="1">
      <c r="A663" s="19" t="s">
        <v>14233</v>
      </c>
      <c r="B663" s="292" t="s">
        <v>7426</v>
      </c>
      <c r="C663" s="149" t="s">
        <v>3059</v>
      </c>
      <c r="D663" s="770" t="s">
        <v>4322</v>
      </c>
      <c r="E663" s="766" t="s">
        <v>4323</v>
      </c>
      <c r="F663" s="770" t="s">
        <v>28</v>
      </c>
      <c r="G663" s="770" t="s">
        <v>18</v>
      </c>
      <c r="H663" s="770"/>
      <c r="I663" s="295" t="s">
        <v>4324</v>
      </c>
      <c r="J663" s="770" t="s">
        <v>4322</v>
      </c>
      <c r="K663" s="766" t="s">
        <v>4317</v>
      </c>
      <c r="L663" s="766" t="s">
        <v>2721</v>
      </c>
      <c r="M663" s="770" t="s">
        <v>1238</v>
      </c>
      <c r="N663" s="1757"/>
      <c r="O663" s="1757" t="s">
        <v>4325</v>
      </c>
      <c r="P663" s="770" t="s">
        <v>4326</v>
      </c>
      <c r="Q663" s="1088">
        <v>22533</v>
      </c>
      <c r="R663" s="297">
        <v>55</v>
      </c>
      <c r="S663" s="770" t="s">
        <v>18</v>
      </c>
      <c r="T663" s="770"/>
      <c r="U663" s="295" t="s">
        <v>4324</v>
      </c>
      <c r="V663" s="770" t="s">
        <v>707</v>
      </c>
      <c r="W663" s="770"/>
      <c r="X663" s="770"/>
      <c r="Y663" s="770" t="s">
        <v>4323</v>
      </c>
      <c r="Z663" s="770" t="s">
        <v>708</v>
      </c>
      <c r="AA663" s="770" t="s">
        <v>709</v>
      </c>
      <c r="AB663" s="770" t="s">
        <v>710</v>
      </c>
      <c r="AC663" s="770" t="s">
        <v>724</v>
      </c>
      <c r="AD663" s="770" t="s">
        <v>711</v>
      </c>
      <c r="AE663" s="770"/>
      <c r="AF663" s="770" t="s">
        <v>712</v>
      </c>
      <c r="AG663" s="770"/>
      <c r="AH663" s="770"/>
      <c r="AI663" s="770"/>
      <c r="AJ663" s="770"/>
      <c r="AK663" s="770" t="s">
        <v>5454</v>
      </c>
      <c r="AL663" s="531"/>
      <c r="AM663" s="780"/>
      <c r="AN663" s="532"/>
      <c r="AO663" s="766"/>
      <c r="AP663" s="766"/>
      <c r="AQ663" s="766"/>
      <c r="AR663" s="766"/>
      <c r="AS663" s="770"/>
      <c r="AT663" s="770"/>
      <c r="AU663" s="770"/>
      <c r="AV663" s="770"/>
      <c r="AW663" s="770"/>
      <c r="AX663" s="770"/>
      <c r="AY663" s="770"/>
      <c r="AZ663" s="770"/>
      <c r="BA663" s="770"/>
      <c r="BB663" s="770"/>
      <c r="BC663" s="770"/>
      <c r="BD663" s="770"/>
      <c r="BE663" s="770"/>
      <c r="BF663" s="302"/>
      <c r="BG663" s="302"/>
      <c r="BH663" s="770"/>
      <c r="BI663" s="770"/>
      <c r="BJ663" s="770"/>
      <c r="BK663" s="770"/>
      <c r="BL663" s="770"/>
      <c r="BM663" s="770" t="s">
        <v>12423</v>
      </c>
      <c r="BN663" s="770" t="s">
        <v>1305</v>
      </c>
      <c r="BO663" s="770"/>
      <c r="BP663" s="765"/>
      <c r="BQ663" s="773"/>
      <c r="BR663" s="774"/>
      <c r="BS663" s="6" t="s">
        <v>1149</v>
      </c>
      <c r="BT663" s="770"/>
      <c r="BU663" s="770"/>
      <c r="BV663" s="770"/>
      <c r="BW663" s="770"/>
      <c r="BX663" s="302"/>
      <c r="BY663" s="770"/>
      <c r="BZ663" s="302"/>
      <c r="CA663" s="770"/>
      <c r="CB663" s="770"/>
      <c r="CC663" s="770"/>
      <c r="CD663" s="770"/>
      <c r="CE663" s="302"/>
      <c r="CF663" s="304"/>
      <c r="CG663" s="321"/>
      <c r="CH663" s="770"/>
      <c r="CI663" s="770"/>
      <c r="CJ663" s="770"/>
      <c r="CK663" s="770"/>
      <c r="CL663" s="770"/>
      <c r="CM663" s="770"/>
      <c r="CN663" s="770"/>
      <c r="CO663" s="770"/>
      <c r="CP663" s="770"/>
      <c r="CQ663" s="770"/>
      <c r="CR663" s="302"/>
      <c r="CS663" s="770"/>
      <c r="CT663" s="770"/>
      <c r="CU663" s="305"/>
      <c r="CV663" s="770"/>
      <c r="CW663" s="770"/>
      <c r="CX663" s="770"/>
      <c r="CY663" s="770"/>
      <c r="CZ663" s="770"/>
      <c r="DA663" s="306"/>
      <c r="DB663" s="770"/>
      <c r="DC663" s="770"/>
      <c r="DD663" s="770"/>
      <c r="DE663" s="300"/>
      <c r="DF663" s="770"/>
      <c r="DG663" s="770"/>
      <c r="DH663" s="770"/>
      <c r="DI663" s="770"/>
      <c r="DJ663" s="770"/>
      <c r="DK663" s="770"/>
      <c r="DL663" s="770"/>
      <c r="DM663" s="770"/>
      <c r="DN663" s="322"/>
      <c r="DO663" s="770"/>
      <c r="DP663" s="770"/>
      <c r="DQ663" s="770"/>
      <c r="DR663" s="770"/>
      <c r="DS663" s="307"/>
      <c r="DT663" s="770"/>
      <c r="DU663" s="770"/>
      <c r="DV663" s="770"/>
      <c r="DW663" s="306"/>
      <c r="DX663" s="306"/>
      <c r="DY663" s="1055"/>
      <c r="DZ663" s="770"/>
      <c r="EA663" s="770"/>
      <c r="EB663" s="770"/>
      <c r="EC663" s="770"/>
      <c r="ED663" s="770"/>
      <c r="EE663" s="770"/>
      <c r="EF663" s="770"/>
      <c r="EG663" s="770"/>
      <c r="EH663" s="770"/>
      <c r="EI663" s="770"/>
      <c r="EJ663" s="770"/>
      <c r="EK663" s="770"/>
      <c r="EL663" s="770"/>
      <c r="EM663" s="770"/>
      <c r="EN663" s="770"/>
      <c r="EO663" s="770"/>
      <c r="EP663" s="94"/>
      <c r="EQ663" s="770"/>
      <c r="ER663" s="770"/>
      <c r="ES663" s="770"/>
      <c r="ET663" s="770"/>
      <c r="EU663" s="770"/>
      <c r="EV663" s="770"/>
      <c r="EW663" s="770"/>
      <c r="EX663" s="770"/>
      <c r="EY663" s="770"/>
      <c r="EZ663" s="770"/>
      <c r="FA663" s="770"/>
      <c r="FB663" s="770"/>
      <c r="FC663" s="770"/>
      <c r="FD663" s="302"/>
      <c r="FE663" s="770"/>
      <c r="FF663" s="770"/>
      <c r="FG663" s="770"/>
      <c r="FH663" s="770" t="s">
        <v>1305</v>
      </c>
      <c r="FI663" s="770">
        <v>2</v>
      </c>
      <c r="FJ663" s="770" t="s">
        <v>3066</v>
      </c>
      <c r="FK663" s="770"/>
      <c r="FL663" s="770"/>
      <c r="FM663" s="302"/>
      <c r="FN663" s="302"/>
      <c r="FO663" s="302"/>
      <c r="FP663" s="770" t="s">
        <v>1602</v>
      </c>
      <c r="FQ663" s="770" t="s">
        <v>1660</v>
      </c>
      <c r="FR663" s="770" t="s">
        <v>1214</v>
      </c>
      <c r="FS663" s="770"/>
      <c r="FT663" s="770"/>
      <c r="FU663" s="770"/>
      <c r="FV663" s="770"/>
      <c r="FW663" s="770"/>
      <c r="FX663" s="770"/>
      <c r="FY663" s="770"/>
      <c r="FZ663" s="770"/>
      <c r="GA663" s="770"/>
      <c r="GB663" s="770"/>
      <c r="GC663" s="308"/>
      <c r="GD663" s="297"/>
      <c r="GE663" s="770"/>
      <c r="GF663" s="302"/>
      <c r="GG663" s="302"/>
      <c r="GH663" s="770"/>
      <c r="GI663" s="770"/>
      <c r="GJ663" s="770"/>
      <c r="GK663" s="770"/>
      <c r="GL663" s="770"/>
      <c r="GM663" s="770"/>
      <c r="GN663" s="299"/>
      <c r="GO663" s="770"/>
      <c r="GP663" s="770"/>
      <c r="GQ663" s="770"/>
      <c r="GR663" s="770"/>
      <c r="GS663" s="770"/>
      <c r="GT663" s="770"/>
      <c r="GU663" s="770"/>
      <c r="GV663" s="770"/>
      <c r="GW663" s="770"/>
      <c r="GX663" s="770"/>
      <c r="GY663" s="770"/>
      <c r="GZ663" s="770"/>
      <c r="HA663" s="770"/>
      <c r="HB663" s="770"/>
      <c r="HC663" s="770"/>
      <c r="HD663" s="770"/>
      <c r="HE663" s="770"/>
      <c r="HF663" s="770"/>
      <c r="HG663" s="770"/>
      <c r="HH663" s="770"/>
      <c r="HI663" s="770"/>
      <c r="HJ663" s="770"/>
      <c r="HK663" s="770"/>
      <c r="HL663" s="770"/>
      <c r="HM663" s="770"/>
      <c r="HN663" s="770"/>
      <c r="HO663" s="770"/>
      <c r="HP663" s="770"/>
      <c r="HQ663" s="770"/>
      <c r="HR663" s="770"/>
      <c r="HS663" s="770"/>
      <c r="HT663" s="770"/>
      <c r="HU663" s="770"/>
      <c r="HV663" s="770"/>
      <c r="HW663" s="770"/>
      <c r="HX663" s="770"/>
      <c r="HY663" s="770"/>
      <c r="HZ663" s="770"/>
      <c r="IA663" s="770"/>
      <c r="IB663" s="770"/>
      <c r="IC663" s="770" t="s">
        <v>1207</v>
      </c>
      <c r="ID663" s="770"/>
      <c r="IE663" s="770"/>
      <c r="IF663" s="770"/>
      <c r="IG663" s="770"/>
      <c r="IH663" s="770"/>
      <c r="II663" s="770"/>
      <c r="IJ663" s="770"/>
      <c r="IK663" s="770"/>
      <c r="IL663" s="770"/>
      <c r="IM663" s="770"/>
      <c r="IN663" s="770"/>
      <c r="IO663" s="296"/>
      <c r="IP663" s="770"/>
      <c r="IQ663" s="770"/>
      <c r="IR663" s="770"/>
      <c r="IS663" s="770"/>
      <c r="IT663" s="770"/>
      <c r="IU663" s="770"/>
      <c r="IV663" s="770"/>
      <c r="IW663" s="770"/>
      <c r="IX663" s="770"/>
      <c r="IY663" s="770"/>
      <c r="IZ663" s="770"/>
      <c r="JA663" s="770"/>
      <c r="JB663" s="770"/>
      <c r="JC663" s="770"/>
      <c r="JD663" s="302"/>
      <c r="JE663" s="770"/>
      <c r="JF663" s="770"/>
      <c r="JG663" s="770"/>
      <c r="JH663" s="307"/>
      <c r="JI663" s="307"/>
      <c r="JJ663" s="770">
        <v>4</v>
      </c>
      <c r="JK663" s="770" t="s">
        <v>13873</v>
      </c>
      <c r="JL663" s="770"/>
      <c r="JM663" s="770"/>
      <c r="JN663" s="770">
        <v>2</v>
      </c>
      <c r="JO663" s="770">
        <v>2</v>
      </c>
      <c r="JP663" s="770"/>
      <c r="JQ663" s="770"/>
      <c r="JR663" s="770"/>
      <c r="JS663" s="770"/>
      <c r="JT663" s="766">
        <f>SUM(JP663,JN663,JL663,JR663)</f>
        <v>2</v>
      </c>
      <c r="JU663" s="766">
        <f>SUM(JQ663,JO663,JM663,JS663)</f>
        <v>2</v>
      </c>
      <c r="JV663" s="766"/>
      <c r="JW663" s="766"/>
      <c r="JX663" s="770"/>
      <c r="JY663" s="770"/>
      <c r="JZ663" s="770"/>
      <c r="KA663" s="770"/>
      <c r="KB663" s="770"/>
      <c r="KC663" s="770"/>
      <c r="KD663" s="770">
        <v>2</v>
      </c>
      <c r="KE663" s="770">
        <v>2</v>
      </c>
      <c r="KF663" s="770"/>
      <c r="KG663" s="770"/>
      <c r="KH663" s="770"/>
      <c r="KI663" s="770"/>
      <c r="KJ663" s="770">
        <f t="shared" si="204"/>
        <v>2</v>
      </c>
      <c r="KK663" s="770">
        <f t="shared" si="204"/>
        <v>2</v>
      </c>
      <c r="KL663" s="770"/>
      <c r="KM663" s="770"/>
      <c r="KN663" s="770" t="s">
        <v>707</v>
      </c>
      <c r="KO663" s="770"/>
      <c r="KP663" s="770"/>
      <c r="KQ663" s="770"/>
      <c r="KR663" s="770"/>
      <c r="KS663" s="770"/>
      <c r="KT663" s="770"/>
      <c r="KU663" s="770"/>
      <c r="KV663" s="770"/>
      <c r="KW663" s="770"/>
      <c r="KX663" s="770"/>
      <c r="KY663" s="770"/>
      <c r="KZ663" s="770">
        <v>1</v>
      </c>
      <c r="LA663" s="770"/>
      <c r="LB663" s="770">
        <v>1</v>
      </c>
      <c r="LC663" s="770">
        <v>1</v>
      </c>
      <c r="LD663" s="770"/>
      <c r="LE663" s="770"/>
      <c r="LF663" s="770"/>
      <c r="LG663" s="770"/>
      <c r="LH663" s="770"/>
      <c r="LI663" s="770">
        <v>1</v>
      </c>
      <c r="LJ663" s="770"/>
      <c r="LK663" s="770"/>
      <c r="LL663" s="770"/>
      <c r="LM663" s="770"/>
      <c r="LN663" s="766">
        <f>SUM(KP663,KR663,KT663,KV663,KX663,KZ663,LB663,LD663,LF663,LH663,LJ663,LL663)</f>
        <v>2</v>
      </c>
      <c r="LO663" s="766">
        <f>SUM(KQ663,KS663,KU663,KW663,KY663,LA663,LC663,LE663,LG663,LI663,LK663,LM663)</f>
        <v>2</v>
      </c>
      <c r="LP663" s="770">
        <v>1</v>
      </c>
      <c r="LQ663" s="770">
        <v>1</v>
      </c>
      <c r="LR663" s="770"/>
      <c r="LS663" s="770"/>
      <c r="LT663" s="770"/>
      <c r="LU663" s="770"/>
      <c r="LV663" s="770">
        <v>1</v>
      </c>
      <c r="LW663" s="770"/>
      <c r="LX663" s="769">
        <v>0</v>
      </c>
      <c r="LY663" s="766">
        <f t="shared" si="187"/>
        <v>0</v>
      </c>
      <c r="LZ663" s="1709"/>
      <c r="MA663" s="1709"/>
      <c r="MB663" s="1709"/>
      <c r="MC663" s="1679">
        <f t="shared" si="185"/>
        <v>0</v>
      </c>
      <c r="MD663" s="1709" t="s">
        <v>4328</v>
      </c>
      <c r="ME663" s="1709"/>
      <c r="MF663" s="1709"/>
      <c r="MG663" s="1680">
        <f t="shared" si="199"/>
        <v>0</v>
      </c>
      <c r="MH663" s="770" t="s">
        <v>13874</v>
      </c>
      <c r="MI663" s="302">
        <v>6000</v>
      </c>
      <c r="MJ663" s="302"/>
      <c r="MK663" s="302"/>
      <c r="ML663" s="302">
        <v>4000</v>
      </c>
      <c r="MM663" s="302"/>
      <c r="MN663" s="302"/>
      <c r="MO663" s="302">
        <v>500</v>
      </c>
      <c r="MP663" s="302"/>
      <c r="MQ663" s="302">
        <v>700</v>
      </c>
      <c r="MR663" s="302">
        <v>600</v>
      </c>
      <c r="MS663" s="302"/>
      <c r="MT663" s="302"/>
      <c r="MU663" s="302"/>
      <c r="MV663" s="302"/>
      <c r="MW663" s="302"/>
      <c r="MX663" s="302"/>
      <c r="MY663" s="1682">
        <f t="shared" si="200"/>
        <v>11800</v>
      </c>
      <c r="MZ663" s="770" t="s">
        <v>13395</v>
      </c>
      <c r="NA663" s="770" t="s">
        <v>13005</v>
      </c>
      <c r="NB663" s="770" t="s">
        <v>13016</v>
      </c>
      <c r="NC663" s="770" t="s">
        <v>13602</v>
      </c>
      <c r="ND663" s="770">
        <v>0</v>
      </c>
      <c r="NE663" s="770">
        <v>1</v>
      </c>
      <c r="NF663" s="770">
        <v>0</v>
      </c>
      <c r="NG663" s="770">
        <v>4</v>
      </c>
      <c r="NH663" s="770">
        <v>2</v>
      </c>
      <c r="NI663" s="770">
        <v>0</v>
      </c>
      <c r="NJ663" s="770">
        <v>0</v>
      </c>
      <c r="NK663" s="770">
        <v>0</v>
      </c>
      <c r="NL663" s="770">
        <v>1</v>
      </c>
      <c r="NM663" s="770">
        <v>1</v>
      </c>
      <c r="NN663" s="770">
        <v>0</v>
      </c>
      <c r="NO663" s="770">
        <v>0</v>
      </c>
      <c r="NP663" s="770">
        <v>0</v>
      </c>
      <c r="NQ663" s="770">
        <v>0</v>
      </c>
      <c r="NR663" s="770">
        <v>0</v>
      </c>
      <c r="NS663" s="770">
        <v>0</v>
      </c>
      <c r="NT663" s="770">
        <v>0</v>
      </c>
      <c r="NU663" s="770">
        <v>0</v>
      </c>
      <c r="NV663" s="770">
        <v>0</v>
      </c>
      <c r="NW663" s="770">
        <v>0</v>
      </c>
      <c r="NX663" s="770">
        <v>0</v>
      </c>
      <c r="NY663" s="770" t="s">
        <v>1208</v>
      </c>
      <c r="NZ663" s="770"/>
      <c r="OA663" s="770"/>
      <c r="OB663" s="770" t="s">
        <v>1208</v>
      </c>
      <c r="OC663" s="770" t="s">
        <v>1208</v>
      </c>
      <c r="OD663" s="770" t="s">
        <v>1208</v>
      </c>
      <c r="OE663" s="770"/>
      <c r="OF663" s="770"/>
      <c r="OG663" s="770"/>
      <c r="OH663" s="770"/>
      <c r="OI663" s="770"/>
      <c r="OJ663" s="770"/>
      <c r="OK663" s="770"/>
      <c r="OL663" s="770"/>
      <c r="OM663" s="770"/>
      <c r="ON663" s="770"/>
      <c r="OO663" s="770"/>
      <c r="OP663" s="770"/>
      <c r="OQ663" s="770"/>
      <c r="OR663" s="770"/>
      <c r="OS663" s="770"/>
      <c r="OT663" s="770"/>
      <c r="OU663" s="770"/>
      <c r="OV663" s="770"/>
      <c r="OW663" s="770"/>
      <c r="OX663" s="770"/>
      <c r="OY663" s="770"/>
      <c r="OZ663" s="770"/>
      <c r="PA663" s="770"/>
      <c r="PB663" s="770"/>
      <c r="PC663" s="770"/>
      <c r="PD663" s="770"/>
      <c r="PE663" s="770"/>
      <c r="PF663" s="770"/>
      <c r="PG663" s="770"/>
      <c r="PH663" s="770"/>
      <c r="PI663" s="770"/>
      <c r="PJ663" s="770"/>
      <c r="PK663" s="770"/>
      <c r="PL663" s="770"/>
      <c r="PM663" s="770" t="s">
        <v>1208</v>
      </c>
      <c r="PN663" s="770"/>
      <c r="PO663" s="770"/>
      <c r="PP663" s="770"/>
      <c r="PQ663" s="770"/>
      <c r="PR663" s="770"/>
      <c r="PS663" s="770"/>
      <c r="PT663" s="770"/>
      <c r="PU663" s="770"/>
      <c r="PV663" s="770"/>
      <c r="PW663" s="770"/>
      <c r="PX663" s="770"/>
      <c r="PY663" s="770"/>
      <c r="PZ663" s="770"/>
      <c r="QA663" s="770"/>
      <c r="QB663" s="770"/>
      <c r="QC663" s="770"/>
      <c r="QD663" s="770"/>
      <c r="QE663" s="770"/>
      <c r="QF663" s="770"/>
      <c r="QG663" s="770" t="s">
        <v>1208</v>
      </c>
      <c r="QH663" s="770"/>
      <c r="QI663" s="770"/>
      <c r="QJ663" s="770"/>
      <c r="QK663" s="770"/>
      <c r="QL663" s="770"/>
      <c r="QM663" s="770"/>
      <c r="QN663" s="770"/>
      <c r="QO663" s="770"/>
      <c r="QP663" s="770"/>
      <c r="QQ663" s="770"/>
      <c r="QR663" s="770"/>
      <c r="QS663" s="770"/>
      <c r="QT663" s="770"/>
      <c r="QU663" s="770"/>
      <c r="QV663" s="770"/>
      <c r="QW663" s="770"/>
      <c r="QX663" s="770"/>
      <c r="QY663" s="770"/>
      <c r="QZ663" s="770"/>
      <c r="RA663" s="770"/>
      <c r="RB663" s="770" t="s">
        <v>1214</v>
      </c>
      <c r="RC663" s="770"/>
      <c r="RD663" s="770"/>
      <c r="RE663" s="770"/>
      <c r="RF663" s="304"/>
      <c r="RG663" s="770"/>
      <c r="RH663" s="306"/>
      <c r="RI663" s="770"/>
      <c r="RJ663" s="94" t="s">
        <v>13873</v>
      </c>
      <c r="RK663" s="770" t="s">
        <v>13550</v>
      </c>
      <c r="RL663" s="1710" t="s">
        <v>1604</v>
      </c>
      <c r="RM663" s="12"/>
      <c r="RN663" s="1711"/>
      <c r="RO663" s="149" t="s">
        <v>3059</v>
      </c>
      <c r="RP663" s="11"/>
      <c r="RQ663" s="11"/>
      <c r="RR663" s="17"/>
      <c r="RS663" s="767"/>
      <c r="RT663" s="11"/>
      <c r="RU663" s="11"/>
      <c r="RV663" s="771" t="s">
        <v>7419</v>
      </c>
      <c r="RW663" s="11" t="s">
        <v>7424</v>
      </c>
      <c r="RX663" s="11" t="s">
        <v>4309</v>
      </c>
      <c r="RY663" s="11"/>
      <c r="RZ663" s="11" t="s">
        <v>2209</v>
      </c>
      <c r="SA663" s="771"/>
      <c r="SB663" s="11"/>
      <c r="SC663" s="11"/>
    </row>
    <row r="664" spans="1:497" ht="12.75" hidden="1" customHeight="1">
      <c r="A664" s="19" t="s">
        <v>14233</v>
      </c>
      <c r="B664" s="292" t="s">
        <v>7427</v>
      </c>
      <c r="C664" s="149" t="s">
        <v>3059</v>
      </c>
      <c r="D664" s="94" t="s">
        <v>3061</v>
      </c>
      <c r="E664" s="766" t="s">
        <v>3062</v>
      </c>
      <c r="F664" s="770" t="s">
        <v>20</v>
      </c>
      <c r="G664" s="770" t="s">
        <v>18</v>
      </c>
      <c r="H664" s="770"/>
      <c r="I664" s="295" t="s">
        <v>3063</v>
      </c>
      <c r="J664" s="94" t="s">
        <v>3064</v>
      </c>
      <c r="K664" s="770"/>
      <c r="L664" s="770"/>
      <c r="M664" s="770"/>
      <c r="N664" s="1757"/>
      <c r="O664" s="1757"/>
      <c r="P664" s="770" t="s">
        <v>3065</v>
      </c>
      <c r="Q664" s="1088">
        <v>24405</v>
      </c>
      <c r="R664" s="297">
        <v>50</v>
      </c>
      <c r="S664" s="770" t="s">
        <v>10</v>
      </c>
      <c r="T664" s="770"/>
      <c r="U664" s="295" t="s">
        <v>3063</v>
      </c>
      <c r="V664" s="770" t="s">
        <v>707</v>
      </c>
      <c r="W664" s="770"/>
      <c r="X664" s="770"/>
      <c r="Y664" s="770" t="s">
        <v>3062</v>
      </c>
      <c r="Z664" s="770" t="s">
        <v>708</v>
      </c>
      <c r="AA664" s="770" t="s">
        <v>709</v>
      </c>
      <c r="AB664" s="770" t="s">
        <v>710</v>
      </c>
      <c r="AC664" s="770" t="s">
        <v>724</v>
      </c>
      <c r="AD664" s="770" t="s">
        <v>711</v>
      </c>
      <c r="AE664" s="770" t="s">
        <v>3057</v>
      </c>
      <c r="AF664" s="770" t="s">
        <v>712</v>
      </c>
      <c r="AG664" s="766"/>
      <c r="AH664" s="766"/>
      <c r="AI664" s="770"/>
      <c r="AJ664" s="766"/>
      <c r="AK664" s="770" t="s">
        <v>5454</v>
      </c>
      <c r="AL664" s="531"/>
      <c r="AM664" s="780"/>
      <c r="AN664" s="532"/>
      <c r="AO664" s="766"/>
      <c r="AP664" s="766"/>
      <c r="AQ664" s="766"/>
      <c r="AR664" s="766"/>
      <c r="AS664" s="766" t="s">
        <v>1207</v>
      </c>
      <c r="AT664" s="766" t="s">
        <v>1208</v>
      </c>
      <c r="AU664" s="766" t="s">
        <v>1208</v>
      </c>
      <c r="AV664" s="766"/>
      <c r="AW664" s="766"/>
      <c r="AX664" s="766"/>
      <c r="AY664" s="766"/>
      <c r="AZ664" s="766"/>
      <c r="BA664" s="766"/>
      <c r="BB664" s="766"/>
      <c r="BC664" s="766" t="s">
        <v>853</v>
      </c>
      <c r="BD664" s="766"/>
      <c r="BE664" s="766"/>
      <c r="BF664" s="775"/>
      <c r="BG664" s="775"/>
      <c r="BH664" s="770"/>
      <c r="BI664" s="770"/>
      <c r="BJ664" s="770"/>
      <c r="BK664" s="770"/>
      <c r="BL664" s="770"/>
      <c r="BM664" s="770" t="s">
        <v>12423</v>
      </c>
      <c r="BN664" s="770" t="s">
        <v>1305</v>
      </c>
      <c r="BO664" s="770"/>
      <c r="BP664" s="765"/>
      <c r="BQ664" s="773"/>
      <c r="BR664" s="774"/>
      <c r="BS664" s="6" t="s">
        <v>1149</v>
      </c>
      <c r="BT664" s="770"/>
      <c r="BU664" s="770"/>
      <c r="BV664" s="770"/>
      <c r="BW664" s="770"/>
      <c r="BX664" s="302"/>
      <c r="BY664" s="770"/>
      <c r="BZ664" s="302"/>
      <c r="CA664" s="770"/>
      <c r="CB664" s="770"/>
      <c r="CC664" s="770"/>
      <c r="CD664" s="770"/>
      <c r="CE664" s="302"/>
      <c r="CF664" s="304"/>
      <c r="CG664" s="321"/>
      <c r="CH664" s="770"/>
      <c r="CI664" s="770"/>
      <c r="CJ664" s="770"/>
      <c r="CK664" s="770"/>
      <c r="CL664" s="770"/>
      <c r="CM664" s="770"/>
      <c r="CN664" s="770"/>
      <c r="CO664" s="770"/>
      <c r="CP664" s="770"/>
      <c r="CQ664" s="770"/>
      <c r="CR664" s="302"/>
      <c r="CS664" s="770"/>
      <c r="CT664" s="770"/>
      <c r="CU664" s="305"/>
      <c r="CV664" s="770"/>
      <c r="CW664" s="770"/>
      <c r="CX664" s="770"/>
      <c r="CY664" s="770"/>
      <c r="CZ664" s="770"/>
      <c r="DA664" s="306"/>
      <c r="DB664" s="770"/>
      <c r="DC664" s="770"/>
      <c r="DD664" s="770"/>
      <c r="DE664" s="300"/>
      <c r="DF664" s="770"/>
      <c r="DG664" s="770"/>
      <c r="DH664" s="770"/>
      <c r="DI664" s="770"/>
      <c r="DJ664" s="770"/>
      <c r="DK664" s="770"/>
      <c r="DL664" s="770"/>
      <c r="DM664" s="770"/>
      <c r="DN664" s="322"/>
      <c r="DO664" s="770"/>
      <c r="DP664" s="770"/>
      <c r="DQ664" s="770"/>
      <c r="DR664" s="770"/>
      <c r="DS664" s="307"/>
      <c r="DT664" s="770"/>
      <c r="DU664" s="770"/>
      <c r="DV664" s="770"/>
      <c r="DW664" s="306"/>
      <c r="DX664" s="306"/>
      <c r="DY664" s="1055"/>
      <c r="DZ664" s="770"/>
      <c r="EA664" s="770"/>
      <c r="EB664" s="770"/>
      <c r="EC664" s="770"/>
      <c r="ED664" s="770"/>
      <c r="EE664" s="770"/>
      <c r="EF664" s="770"/>
      <c r="EG664" s="770"/>
      <c r="EH664" s="770"/>
      <c r="EI664" s="770"/>
      <c r="EJ664" s="770"/>
      <c r="EK664" s="770"/>
      <c r="EL664" s="770"/>
      <c r="EM664" s="770"/>
      <c r="EN664" s="770"/>
      <c r="EO664" s="770"/>
      <c r="EP664" s="94"/>
      <c r="EQ664" s="770"/>
      <c r="ER664" s="770"/>
      <c r="ES664" s="770"/>
      <c r="ET664" s="770"/>
      <c r="EU664" s="770"/>
      <c r="EV664" s="770"/>
      <c r="EW664" s="770"/>
      <c r="EX664" s="770"/>
      <c r="EY664" s="770"/>
      <c r="EZ664" s="770"/>
      <c r="FA664" s="770"/>
      <c r="FB664" s="770"/>
      <c r="FC664" s="770"/>
      <c r="FD664" s="302"/>
      <c r="FE664" s="770"/>
      <c r="FF664" s="770"/>
      <c r="FG664" s="770"/>
      <c r="FH664" s="770" t="s">
        <v>1305</v>
      </c>
      <c r="FI664" s="770">
        <v>3</v>
      </c>
      <c r="FJ664" s="770" t="s">
        <v>3066</v>
      </c>
      <c r="FK664" s="770"/>
      <c r="FL664" s="770"/>
      <c r="FM664" s="302"/>
      <c r="FN664" s="302"/>
      <c r="FO664" s="302"/>
      <c r="FP664" s="770" t="s">
        <v>1602</v>
      </c>
      <c r="FQ664" s="770" t="s">
        <v>1660</v>
      </c>
      <c r="FR664" s="770" t="s">
        <v>1207</v>
      </c>
      <c r="FS664" s="770" t="s">
        <v>1208</v>
      </c>
      <c r="FT664" s="770" t="s">
        <v>1208</v>
      </c>
      <c r="FU664" s="770"/>
      <c r="FV664" s="770"/>
      <c r="FW664" s="770"/>
      <c r="FX664" s="770"/>
      <c r="FY664" s="770"/>
      <c r="FZ664" s="770"/>
      <c r="GA664" s="770"/>
      <c r="GB664" s="770" t="s">
        <v>853</v>
      </c>
      <c r="GC664" s="308" t="s">
        <v>5756</v>
      </c>
      <c r="GD664" s="297">
        <v>1950</v>
      </c>
      <c r="GE664" s="770" t="s">
        <v>1214</v>
      </c>
      <c r="GF664" s="302"/>
      <c r="GG664" s="302"/>
      <c r="GH664" s="770"/>
      <c r="GI664" s="770"/>
      <c r="GJ664" s="770"/>
      <c r="GK664" s="770"/>
      <c r="GL664" s="770"/>
      <c r="GM664" s="770"/>
      <c r="GN664" s="299"/>
      <c r="GO664" s="770"/>
      <c r="GP664" s="770"/>
      <c r="GQ664" s="770"/>
      <c r="GR664" s="770"/>
      <c r="GS664" s="770"/>
      <c r="GT664" s="770"/>
      <c r="GU664" s="770"/>
      <c r="GV664" s="770"/>
      <c r="GW664" s="770"/>
      <c r="GX664" s="770"/>
      <c r="GY664" s="770"/>
      <c r="GZ664" s="770"/>
      <c r="HA664" s="770"/>
      <c r="HB664" s="770"/>
      <c r="HC664" s="770"/>
      <c r="HD664" s="770"/>
      <c r="HE664" s="770"/>
      <c r="HF664" s="770"/>
      <c r="HG664" s="770"/>
      <c r="HH664" s="770"/>
      <c r="HI664" s="770"/>
      <c r="HJ664" s="770"/>
      <c r="HK664" s="770"/>
      <c r="HL664" s="770"/>
      <c r="HM664" s="770"/>
      <c r="HN664" s="770"/>
      <c r="HO664" s="770"/>
      <c r="HP664" s="770"/>
      <c r="HQ664" s="770"/>
      <c r="HR664" s="770"/>
      <c r="HS664" s="770"/>
      <c r="HT664" s="770"/>
      <c r="HU664" s="770"/>
      <c r="HV664" s="770"/>
      <c r="HW664" s="770"/>
      <c r="HX664" s="770"/>
      <c r="HY664" s="770"/>
      <c r="HZ664" s="770"/>
      <c r="IA664" s="770"/>
      <c r="IB664" s="770"/>
      <c r="IC664" s="770"/>
      <c r="ID664" s="770"/>
      <c r="IE664" s="770"/>
      <c r="IF664" s="770" t="s">
        <v>3061</v>
      </c>
      <c r="IG664" s="770" t="s">
        <v>18</v>
      </c>
      <c r="IH664" s="770" t="s">
        <v>478</v>
      </c>
      <c r="II664" s="770" t="s">
        <v>3062</v>
      </c>
      <c r="IJ664" s="770" t="s">
        <v>3068</v>
      </c>
      <c r="IK664" s="770" t="s">
        <v>2639</v>
      </c>
      <c r="IL664" s="770" t="s">
        <v>3067</v>
      </c>
      <c r="IM664" s="770">
        <v>2000</v>
      </c>
      <c r="IN664" s="770" t="s">
        <v>3069</v>
      </c>
      <c r="IO664" s="296">
        <v>24679</v>
      </c>
      <c r="IP664" s="770" t="s">
        <v>478</v>
      </c>
      <c r="IQ664" s="769" t="s">
        <v>1898</v>
      </c>
      <c r="IR664" s="770" t="s">
        <v>1964</v>
      </c>
      <c r="IS664" s="770" t="s">
        <v>1883</v>
      </c>
      <c r="IT664" s="770" t="s">
        <v>1208</v>
      </c>
      <c r="IU664" s="770"/>
      <c r="IV664" s="770" t="s">
        <v>2916</v>
      </c>
      <c r="IW664" s="770" t="s">
        <v>13875</v>
      </c>
      <c r="IX664" s="770"/>
      <c r="IY664" s="770" t="s">
        <v>3063</v>
      </c>
      <c r="IZ664" s="770"/>
      <c r="JA664" s="770" t="s">
        <v>1880</v>
      </c>
      <c r="JB664" s="770" t="s">
        <v>12766</v>
      </c>
      <c r="JC664" s="770"/>
      <c r="JD664" s="302">
        <v>5000</v>
      </c>
      <c r="JE664" s="770"/>
      <c r="JF664" s="770"/>
      <c r="JG664" s="770"/>
      <c r="JH664" s="307"/>
      <c r="JI664" s="307"/>
      <c r="JJ664" s="770"/>
      <c r="JK664" s="770"/>
      <c r="JL664" s="770"/>
      <c r="JM664" s="770"/>
      <c r="JN664" s="770"/>
      <c r="JO664" s="770"/>
      <c r="JP664" s="770"/>
      <c r="JQ664" s="770"/>
      <c r="JR664" s="770"/>
      <c r="JS664" s="770"/>
      <c r="JT664" s="766"/>
      <c r="JU664" s="766"/>
      <c r="JV664" s="766"/>
      <c r="JW664" s="766"/>
      <c r="JX664" s="770"/>
      <c r="JY664" s="770"/>
      <c r="JZ664" s="770"/>
      <c r="KA664" s="770"/>
      <c r="KB664" s="770"/>
      <c r="KC664" s="770"/>
      <c r="KD664" s="770"/>
      <c r="KE664" s="770"/>
      <c r="KF664" s="770"/>
      <c r="KG664" s="770"/>
      <c r="KH664" s="770"/>
      <c r="KI664" s="770"/>
      <c r="KJ664" s="770"/>
      <c r="KK664" s="770"/>
      <c r="KL664" s="770"/>
      <c r="KM664" s="770"/>
      <c r="KN664" s="770"/>
      <c r="KO664" s="770"/>
      <c r="KP664" s="770"/>
      <c r="KQ664" s="770"/>
      <c r="KR664" s="770"/>
      <c r="KS664" s="770"/>
      <c r="KT664" s="770"/>
      <c r="KU664" s="770"/>
      <c r="KV664" s="770"/>
      <c r="KW664" s="770"/>
      <c r="KX664" s="770"/>
      <c r="KY664" s="770"/>
      <c r="KZ664" s="770"/>
      <c r="LA664" s="770"/>
      <c r="LB664" s="770"/>
      <c r="LC664" s="770"/>
      <c r="LD664" s="770"/>
      <c r="LE664" s="770"/>
      <c r="LF664" s="770"/>
      <c r="LG664" s="770"/>
      <c r="LH664" s="770"/>
      <c r="LI664" s="770"/>
      <c r="LJ664" s="770"/>
      <c r="LK664" s="770"/>
      <c r="LL664" s="770"/>
      <c r="LM664" s="770"/>
      <c r="LN664" s="766"/>
      <c r="LO664" s="766"/>
      <c r="LP664" s="770"/>
      <c r="LQ664" s="770"/>
      <c r="LR664" s="770"/>
      <c r="LS664" s="770"/>
      <c r="LT664" s="770"/>
      <c r="LU664" s="770"/>
      <c r="LV664" s="770"/>
      <c r="LW664" s="770"/>
      <c r="LX664" s="769"/>
      <c r="LY664" s="766" t="str">
        <f t="shared" si="187"/>
        <v/>
      </c>
      <c r="LZ664" s="1709"/>
      <c r="MA664" s="1709"/>
      <c r="MB664" s="1709"/>
      <c r="MC664" s="1679">
        <f t="shared" si="185"/>
        <v>0</v>
      </c>
      <c r="MD664" s="1709"/>
      <c r="ME664" s="1709"/>
      <c r="MF664" s="1709"/>
      <c r="MG664" s="1680">
        <f t="shared" si="199"/>
        <v>0</v>
      </c>
      <c r="MH664" s="770"/>
      <c r="MI664" s="302"/>
      <c r="MJ664" s="302"/>
      <c r="MK664" s="302"/>
      <c r="ML664" s="302"/>
      <c r="MM664" s="302"/>
      <c r="MN664" s="302"/>
      <c r="MO664" s="302"/>
      <c r="MP664" s="302"/>
      <c r="MQ664" s="302"/>
      <c r="MR664" s="302"/>
      <c r="MS664" s="302"/>
      <c r="MT664" s="302"/>
      <c r="MU664" s="302"/>
      <c r="MV664" s="302"/>
      <c r="MW664" s="302"/>
      <c r="MX664" s="302"/>
      <c r="MY664" s="1682">
        <f t="shared" si="200"/>
        <v>0</v>
      </c>
      <c r="MZ664" s="770"/>
      <c r="NA664" s="770"/>
      <c r="NB664" s="770"/>
      <c r="NC664" s="770"/>
      <c r="ND664" s="770"/>
      <c r="NE664" s="770"/>
      <c r="NF664" s="770"/>
      <c r="NG664" s="770"/>
      <c r="NH664" s="770"/>
      <c r="NI664" s="770"/>
      <c r="NJ664" s="770"/>
      <c r="NK664" s="770"/>
      <c r="NL664" s="770"/>
      <c r="NM664" s="770"/>
      <c r="NN664" s="770"/>
      <c r="NO664" s="770"/>
      <c r="NP664" s="770"/>
      <c r="NQ664" s="770"/>
      <c r="NR664" s="770"/>
      <c r="NS664" s="770"/>
      <c r="NT664" s="770"/>
      <c r="NU664" s="770"/>
      <c r="NV664" s="770"/>
      <c r="NW664" s="770"/>
      <c r="NX664" s="770"/>
      <c r="NY664" s="770"/>
      <c r="NZ664" s="770"/>
      <c r="OA664" s="770"/>
      <c r="OB664" s="770"/>
      <c r="OC664" s="770"/>
      <c r="OD664" s="770"/>
      <c r="OE664" s="770"/>
      <c r="OF664" s="770"/>
      <c r="OG664" s="770"/>
      <c r="OH664" s="770"/>
      <c r="OI664" s="770"/>
      <c r="OJ664" s="770"/>
      <c r="OK664" s="770"/>
      <c r="OL664" s="770"/>
      <c r="OM664" s="770"/>
      <c r="ON664" s="770"/>
      <c r="OO664" s="770"/>
      <c r="OP664" s="770"/>
      <c r="OQ664" s="770"/>
      <c r="OR664" s="770"/>
      <c r="OS664" s="770"/>
      <c r="OT664" s="770"/>
      <c r="OU664" s="770"/>
      <c r="OV664" s="770"/>
      <c r="OW664" s="770"/>
      <c r="OX664" s="770"/>
      <c r="OY664" s="770"/>
      <c r="OZ664" s="770"/>
      <c r="PA664" s="770"/>
      <c r="PB664" s="770"/>
      <c r="PC664" s="770"/>
      <c r="PD664" s="770"/>
      <c r="PE664" s="770"/>
      <c r="PF664" s="770"/>
      <c r="PG664" s="770"/>
      <c r="PH664" s="770"/>
      <c r="PI664" s="770"/>
      <c r="PJ664" s="770"/>
      <c r="PK664" s="770"/>
      <c r="PL664" s="770"/>
      <c r="PM664" s="770"/>
      <c r="PN664" s="770"/>
      <c r="PO664" s="770"/>
      <c r="PP664" s="770"/>
      <c r="PQ664" s="770"/>
      <c r="PR664" s="770"/>
      <c r="PS664" s="770"/>
      <c r="PT664" s="770"/>
      <c r="PU664" s="770"/>
      <c r="PV664" s="770"/>
      <c r="PW664" s="770"/>
      <c r="PX664" s="770"/>
      <c r="PY664" s="770"/>
      <c r="PZ664" s="770"/>
      <c r="QA664" s="770"/>
      <c r="QB664" s="770"/>
      <c r="QC664" s="770"/>
      <c r="QD664" s="770"/>
      <c r="QE664" s="770"/>
      <c r="QF664" s="770"/>
      <c r="QG664" s="770"/>
      <c r="QH664" s="770"/>
      <c r="QI664" s="770"/>
      <c r="QJ664" s="770"/>
      <c r="QK664" s="770"/>
      <c r="QL664" s="770"/>
      <c r="QM664" s="770"/>
      <c r="QN664" s="770"/>
      <c r="QO664" s="770"/>
      <c r="QP664" s="770"/>
      <c r="QQ664" s="770"/>
      <c r="QR664" s="770"/>
      <c r="QS664" s="770"/>
      <c r="QT664" s="770"/>
      <c r="QU664" s="770"/>
      <c r="QV664" s="770"/>
      <c r="QW664" s="770"/>
      <c r="QX664" s="770"/>
      <c r="QY664" s="770"/>
      <c r="QZ664" s="770"/>
      <c r="RA664" s="770"/>
      <c r="RB664" s="770"/>
      <c r="RC664" s="770"/>
      <c r="RD664" s="770"/>
      <c r="RE664" s="770"/>
      <c r="RF664" s="304"/>
      <c r="RG664" s="770"/>
      <c r="RH664" s="306"/>
      <c r="RI664" s="770"/>
      <c r="RJ664" s="94" t="s">
        <v>13876</v>
      </c>
      <c r="RK664" s="770" t="s">
        <v>13556</v>
      </c>
      <c r="RL664" s="1710">
        <v>42837</v>
      </c>
      <c r="RM664" s="12"/>
      <c r="RN664" s="1711"/>
      <c r="RO664" s="149" t="s">
        <v>3059</v>
      </c>
      <c r="RP664" s="11"/>
      <c r="RQ664" s="11"/>
      <c r="RR664" s="17"/>
      <c r="RS664" s="767"/>
      <c r="RT664" s="11"/>
      <c r="RU664" s="11"/>
      <c r="RV664" s="771" t="s">
        <v>7419</v>
      </c>
      <c r="RW664" s="11" t="s">
        <v>7425</v>
      </c>
      <c r="RX664" s="11" t="s">
        <v>4309</v>
      </c>
      <c r="RY664" s="11"/>
      <c r="RZ664" s="11"/>
      <c r="SA664" s="771"/>
      <c r="SB664" s="11"/>
      <c r="SC664" s="11"/>
    </row>
    <row r="665" spans="1:497" ht="12.75" hidden="1" customHeight="1">
      <c r="A665" s="343" t="s">
        <v>7419</v>
      </c>
      <c r="B665" s="292" t="s">
        <v>7428</v>
      </c>
      <c r="C665" s="149" t="s">
        <v>4329</v>
      </c>
      <c r="D665" s="94" t="s">
        <v>4330</v>
      </c>
      <c r="E665" s="766" t="s">
        <v>4331</v>
      </c>
      <c r="F665" s="770" t="s">
        <v>28</v>
      </c>
      <c r="G665" s="770" t="s">
        <v>18</v>
      </c>
      <c r="H665" s="770"/>
      <c r="I665" s="295" t="s">
        <v>4332</v>
      </c>
      <c r="J665" s="94" t="s">
        <v>4330</v>
      </c>
      <c r="K665" s="766" t="s">
        <v>4333</v>
      </c>
      <c r="L665" s="766" t="s">
        <v>3921</v>
      </c>
      <c r="M665" s="770" t="s">
        <v>1238</v>
      </c>
      <c r="N665" s="1757"/>
      <c r="O665" s="1757" t="s">
        <v>4325</v>
      </c>
      <c r="P665" s="94" t="s">
        <v>4334</v>
      </c>
      <c r="Q665" s="1088">
        <v>24043</v>
      </c>
      <c r="R665" s="297">
        <v>52</v>
      </c>
      <c r="S665" s="770" t="s">
        <v>18</v>
      </c>
      <c r="T665" s="770"/>
      <c r="U665" s="295" t="s">
        <v>4332</v>
      </c>
      <c r="V665" s="770" t="s">
        <v>722</v>
      </c>
      <c r="W665" s="770"/>
      <c r="X665" s="770"/>
      <c r="Y665" s="770" t="s">
        <v>4331</v>
      </c>
      <c r="Z665" s="770" t="s">
        <v>793</v>
      </c>
      <c r="AA665" s="770" t="s">
        <v>709</v>
      </c>
      <c r="AB665" s="766" t="s">
        <v>7274</v>
      </c>
      <c r="AC665" s="770"/>
      <c r="AD665" s="770" t="s">
        <v>711</v>
      </c>
      <c r="AE665" s="770" t="s">
        <v>4335</v>
      </c>
      <c r="AF665" s="770" t="s">
        <v>798</v>
      </c>
      <c r="AG665" s="766" t="s">
        <v>1095</v>
      </c>
      <c r="AH665" s="766" t="s">
        <v>1096</v>
      </c>
      <c r="AI665" s="75" t="s">
        <v>4336</v>
      </c>
      <c r="AJ665" s="766"/>
      <c r="AK665" s="766" t="s">
        <v>1097</v>
      </c>
      <c r="AL665" s="120">
        <v>30.475000000000001</v>
      </c>
      <c r="AM665" s="773">
        <v>13.225</v>
      </c>
      <c r="AN665" s="37">
        <f t="shared" si="205"/>
        <v>0.43396226415094336</v>
      </c>
      <c r="AO665" s="766" t="s">
        <v>1149</v>
      </c>
      <c r="AP665" s="766" t="s">
        <v>1137</v>
      </c>
      <c r="AQ665" s="766"/>
      <c r="AR665" s="766"/>
      <c r="AS665" s="766" t="s">
        <v>1207</v>
      </c>
      <c r="AT665" s="766" t="s">
        <v>1208</v>
      </c>
      <c r="AU665" s="766"/>
      <c r="AV665" s="766"/>
      <c r="AW665" s="766"/>
      <c r="AX665" s="766"/>
      <c r="AY665" s="766"/>
      <c r="AZ665" s="766"/>
      <c r="BA665" s="766"/>
      <c r="BB665" s="766"/>
      <c r="BC665" s="766" t="s">
        <v>796</v>
      </c>
      <c r="BD665" s="766" t="s">
        <v>1214</v>
      </c>
      <c r="BE665" s="766" t="s">
        <v>1214</v>
      </c>
      <c r="BF665" s="775"/>
      <c r="BG665" s="775"/>
      <c r="BH665" s="770"/>
      <c r="BI665" s="770"/>
      <c r="BJ665" s="770"/>
      <c r="BK665" s="770" t="s">
        <v>1095</v>
      </c>
      <c r="BL665" s="770" t="s">
        <v>4337</v>
      </c>
      <c r="BM665" s="766" t="s">
        <v>1096</v>
      </c>
      <c r="BN665" s="770" t="s">
        <v>1230</v>
      </c>
      <c r="BO665" s="766" t="s">
        <v>1239</v>
      </c>
      <c r="BP665" s="765">
        <v>60.95</v>
      </c>
      <c r="BQ665" s="773">
        <v>26.45</v>
      </c>
      <c r="BR665" s="774">
        <f t="shared" si="206"/>
        <v>0.43396226415094336</v>
      </c>
      <c r="BS665" s="6" t="s">
        <v>1149</v>
      </c>
      <c r="BT665" s="766" t="s">
        <v>2040</v>
      </c>
      <c r="BU665" s="770" t="s">
        <v>1249</v>
      </c>
      <c r="BV665" s="766" t="s">
        <v>1243</v>
      </c>
      <c r="BW665" s="770">
        <v>2014</v>
      </c>
      <c r="BX665" s="302">
        <v>500000</v>
      </c>
      <c r="BY665" s="770" t="s">
        <v>1207</v>
      </c>
      <c r="BZ665" s="302"/>
      <c r="CA665" s="770"/>
      <c r="CB665" s="770" t="s">
        <v>1207</v>
      </c>
      <c r="CC665" s="94" t="s">
        <v>4330</v>
      </c>
      <c r="CD665" s="770">
        <v>2015</v>
      </c>
      <c r="CE665" s="302"/>
      <c r="CF665" s="304">
        <v>1.2</v>
      </c>
      <c r="CG665" s="321">
        <v>9</v>
      </c>
      <c r="CH665" s="770" t="s">
        <v>2545</v>
      </c>
      <c r="CI665" s="770"/>
      <c r="CJ665" s="770"/>
      <c r="CK665" s="770">
        <v>7</v>
      </c>
      <c r="CL665" s="770" t="s">
        <v>2249</v>
      </c>
      <c r="CM665" s="770"/>
      <c r="CN665" s="770"/>
      <c r="CO665" s="770" t="s">
        <v>1257</v>
      </c>
      <c r="CP665" s="770"/>
      <c r="CQ665" s="770"/>
      <c r="CR665" s="302"/>
      <c r="CS665" s="770"/>
      <c r="CT665" s="770"/>
      <c r="CU665" s="305"/>
      <c r="CV665" s="770"/>
      <c r="CW665" s="770"/>
      <c r="CX665" s="770"/>
      <c r="CY665" s="770"/>
      <c r="CZ665" s="770"/>
      <c r="DA665" s="306"/>
      <c r="DB665" s="770"/>
      <c r="DC665" s="770"/>
      <c r="DD665" s="770"/>
      <c r="DE665" s="300"/>
      <c r="DF665" s="770"/>
      <c r="DG665" s="770"/>
      <c r="DH665" s="770"/>
      <c r="DI665" s="770"/>
      <c r="DJ665" s="770"/>
      <c r="DK665" s="770"/>
      <c r="DL665" s="770"/>
      <c r="DM665" s="770"/>
      <c r="DN665" s="322"/>
      <c r="DO665" s="770"/>
      <c r="DP665" s="770"/>
      <c r="DQ665" s="770"/>
      <c r="DR665" s="770"/>
      <c r="DS665" s="307"/>
      <c r="DT665" s="770"/>
      <c r="DU665" s="770"/>
      <c r="DV665" s="770"/>
      <c r="DW665" s="306"/>
      <c r="DX665" s="306"/>
      <c r="DY665" s="1055"/>
      <c r="DZ665" s="770"/>
      <c r="EA665" s="770"/>
      <c r="EB665" s="770"/>
      <c r="EC665" s="770"/>
      <c r="ED665" s="770"/>
      <c r="EE665" s="770"/>
      <c r="EF665" s="770"/>
      <c r="EG665" s="770"/>
      <c r="EH665" s="770"/>
      <c r="EI665" s="770"/>
      <c r="EJ665" s="770"/>
      <c r="EK665" s="770"/>
      <c r="EL665" s="770"/>
      <c r="EM665" s="770"/>
      <c r="EN665" s="770"/>
      <c r="EO665" s="770"/>
      <c r="EP665" s="94"/>
      <c r="EQ665" s="770"/>
      <c r="ER665" s="770"/>
      <c r="ES665" s="770"/>
      <c r="ET665" s="770"/>
      <c r="EU665" s="770"/>
      <c r="EV665" s="770"/>
      <c r="EW665" s="770"/>
      <c r="EX665" s="770"/>
      <c r="EY665" s="770"/>
      <c r="EZ665" s="770"/>
      <c r="FA665" s="770"/>
      <c r="FB665" s="770"/>
      <c r="FC665" s="770"/>
      <c r="FD665" s="302"/>
      <c r="FE665" s="770"/>
      <c r="FF665" s="770"/>
      <c r="FG665" s="770"/>
      <c r="FH665" s="770" t="s">
        <v>478</v>
      </c>
      <c r="FI665" s="770">
        <v>1</v>
      </c>
      <c r="FJ665" s="770"/>
      <c r="FK665" s="770"/>
      <c r="FL665" s="770"/>
      <c r="FM665" s="302"/>
      <c r="FN665" s="302"/>
      <c r="FO665" s="302"/>
      <c r="FP665" s="766" t="s">
        <v>1602</v>
      </c>
      <c r="FQ665" s="766" t="s">
        <v>1660</v>
      </c>
      <c r="FR665" s="770" t="s">
        <v>1214</v>
      </c>
      <c r="FS665" s="770" t="s">
        <v>1208</v>
      </c>
      <c r="FT665" s="770"/>
      <c r="FU665" s="770"/>
      <c r="FV665" s="770"/>
      <c r="FW665" s="770"/>
      <c r="FX665" s="770"/>
      <c r="FY665" s="770"/>
      <c r="FZ665" s="770"/>
      <c r="GA665" s="770"/>
      <c r="GB665" s="770"/>
      <c r="GC665" s="308" t="s">
        <v>4336</v>
      </c>
      <c r="GD665" s="297"/>
      <c r="GE665" s="770" t="s">
        <v>1214</v>
      </c>
      <c r="GF665" s="302"/>
      <c r="GG665" s="302"/>
      <c r="GH665" s="766"/>
      <c r="GI665" s="770"/>
      <c r="GJ665" s="770"/>
      <c r="GK665" s="770"/>
      <c r="GL665" s="770"/>
      <c r="GM665" s="770"/>
      <c r="GN665" s="299"/>
      <c r="GO665" s="770"/>
      <c r="GP665" s="770"/>
      <c r="GQ665" s="770"/>
      <c r="GR665" s="770"/>
      <c r="GS665" s="770"/>
      <c r="GT665" s="770"/>
      <c r="GU665" s="770"/>
      <c r="GV665" s="770"/>
      <c r="GW665" s="770"/>
      <c r="GX665" s="770"/>
      <c r="GY665" s="770"/>
      <c r="GZ665" s="770"/>
      <c r="HA665" s="770"/>
      <c r="HB665" s="770"/>
      <c r="HC665" s="770"/>
      <c r="HD665" s="770"/>
      <c r="HE665" s="770"/>
      <c r="HF665" s="770"/>
      <c r="HG665" s="770"/>
      <c r="HH665" s="770"/>
      <c r="HI665" s="770"/>
      <c r="HJ665" s="770"/>
      <c r="HK665" s="770"/>
      <c r="HL665" s="770"/>
      <c r="HM665" s="770"/>
      <c r="HN665" s="770"/>
      <c r="HO665" s="770"/>
      <c r="HP665" s="770"/>
      <c r="HQ665" s="770"/>
      <c r="HR665" s="770">
        <v>2</v>
      </c>
      <c r="HS665" s="770">
        <v>1</v>
      </c>
      <c r="HT665" s="770"/>
      <c r="HU665" s="770"/>
      <c r="HV665" s="770"/>
      <c r="HW665" s="770"/>
      <c r="HX665" s="770"/>
      <c r="HY665" s="770"/>
      <c r="HZ665" s="770"/>
      <c r="IA665" s="770"/>
      <c r="IB665" s="14" t="e">
        <f>IF(#REF!&gt;0,IF(#REF!&lt;=10000,"Y",""),"")</f>
        <v>#REF!</v>
      </c>
      <c r="IC665" s="770" t="s">
        <v>1207</v>
      </c>
      <c r="ID665" s="770"/>
      <c r="IE665" s="770"/>
      <c r="IF665" s="770"/>
      <c r="IG665" s="770"/>
      <c r="IH665" s="770"/>
      <c r="II665" s="770"/>
      <c r="IJ665" s="770"/>
      <c r="IK665" s="770"/>
      <c r="IL665" s="770"/>
      <c r="IM665" s="770"/>
      <c r="IN665" s="770"/>
      <c r="IO665" s="296"/>
      <c r="IP665" s="770"/>
      <c r="IQ665" s="770"/>
      <c r="IR665" s="770"/>
      <c r="IS665" s="770"/>
      <c r="IT665" s="770"/>
      <c r="IU665" s="770"/>
      <c r="IV665" s="770"/>
      <c r="IW665" s="770"/>
      <c r="IX665" s="770"/>
      <c r="IY665" s="770"/>
      <c r="IZ665" s="770"/>
      <c r="JA665" s="770"/>
      <c r="JB665" s="770"/>
      <c r="JC665" s="770"/>
      <c r="JD665" s="302"/>
      <c r="JE665" s="770"/>
      <c r="JF665" s="770"/>
      <c r="JG665" s="770"/>
      <c r="JH665" s="307"/>
      <c r="JI665" s="712" t="str">
        <f>IF(SUM(JT665,JU665)=JJ665,"ok","review")</f>
        <v>ok</v>
      </c>
      <c r="JJ665" s="770">
        <v>3</v>
      </c>
      <c r="JK665" s="1139" t="s">
        <v>4338</v>
      </c>
      <c r="JL665" s="770"/>
      <c r="JM665" s="770"/>
      <c r="JN665" s="770">
        <v>1</v>
      </c>
      <c r="JO665" s="770">
        <v>2</v>
      </c>
      <c r="JP665" s="770"/>
      <c r="JQ665" s="770"/>
      <c r="JR665" s="770"/>
      <c r="JS665" s="770"/>
      <c r="JT665" s="766">
        <f>SUM(JP665,JN665,JL665,JR665)</f>
        <v>1</v>
      </c>
      <c r="JU665" s="766">
        <f>SUM(JQ665,JO665,JM665,JS665)</f>
        <v>2</v>
      </c>
      <c r="JV665" s="712" t="str">
        <f>IF(JT665=KJ665,"ok","male")</f>
        <v>ok</v>
      </c>
      <c r="JW665" s="712" t="str">
        <f>IF(JU665=KK665,"ok","female")</f>
        <v>ok</v>
      </c>
      <c r="JX665" s="770"/>
      <c r="JY665" s="770"/>
      <c r="JZ665" s="770"/>
      <c r="KA665" s="770"/>
      <c r="KB665" s="770">
        <v>1</v>
      </c>
      <c r="KC665" s="770">
        <v>1</v>
      </c>
      <c r="KD665" s="770"/>
      <c r="KE665" s="770">
        <v>1</v>
      </c>
      <c r="KF665" s="770"/>
      <c r="KG665" s="770"/>
      <c r="KH665" s="770"/>
      <c r="KI665" s="770"/>
      <c r="KJ665" s="770">
        <f t="shared" si="204"/>
        <v>1</v>
      </c>
      <c r="KK665" s="770">
        <f t="shared" si="204"/>
        <v>2</v>
      </c>
      <c r="KL665" s="712" t="str">
        <f>IF(KJ665=LN665,"ok","male")</f>
        <v>ok</v>
      </c>
      <c r="KM665" s="712" t="str">
        <f>IF(KK665=LO665,"ok","female")</f>
        <v>ok</v>
      </c>
      <c r="KN665" s="770" t="s">
        <v>722</v>
      </c>
      <c r="KO665" s="770"/>
      <c r="KP665" s="770"/>
      <c r="KQ665" s="770"/>
      <c r="KR665" s="770"/>
      <c r="KS665" s="770"/>
      <c r="KT665" s="770"/>
      <c r="KU665" s="770"/>
      <c r="KV665" s="770"/>
      <c r="KW665" s="770"/>
      <c r="KX665" s="770"/>
      <c r="KY665" s="770"/>
      <c r="KZ665" s="770"/>
      <c r="LA665" s="770">
        <v>1</v>
      </c>
      <c r="LB665" s="770">
        <v>1</v>
      </c>
      <c r="LC665" s="770"/>
      <c r="LD665" s="770"/>
      <c r="LE665" s="770">
        <v>1</v>
      </c>
      <c r="LF665" s="770"/>
      <c r="LG665" s="770"/>
      <c r="LH665" s="770"/>
      <c r="LI665" s="770"/>
      <c r="LJ665" s="770"/>
      <c r="LK665" s="770"/>
      <c r="LL665" s="770"/>
      <c r="LM665" s="770"/>
      <c r="LN665" s="766">
        <f>SUM(KP665,KR665,KT665,KV665,KX665,KZ665,LB665,LD665,LF665,LH665,LJ665,LL665)</f>
        <v>1</v>
      </c>
      <c r="LO665" s="766">
        <f>SUM(KQ665,KS665,KU665,KW665,KY665,LA665,LC665,LE665,LG665,LI665,LK665,LM665)</f>
        <v>2</v>
      </c>
      <c r="LP665" s="770">
        <v>2</v>
      </c>
      <c r="LQ665" s="770">
        <v>1</v>
      </c>
      <c r="LR665" s="770">
        <v>1</v>
      </c>
      <c r="LS665" s="770"/>
      <c r="LT665" s="712" t="str">
        <f>IF(LQ665=SUM(LU665:LW665),"OK","REV")</f>
        <v>OK</v>
      </c>
      <c r="LU665" s="770"/>
      <c r="LV665" s="770">
        <v>1</v>
      </c>
      <c r="LW665" s="770"/>
      <c r="LX665" s="769"/>
      <c r="LY665" s="766" t="str">
        <f t="shared" si="187"/>
        <v/>
      </c>
      <c r="LZ665" s="1709">
        <v>2000</v>
      </c>
      <c r="MA665" s="1709"/>
      <c r="MB665" s="1709"/>
      <c r="MC665" s="1679">
        <f t="shared" si="185"/>
        <v>2000</v>
      </c>
      <c r="MD665" s="1709">
        <v>20000</v>
      </c>
      <c r="ME665" s="1709">
        <v>20000</v>
      </c>
      <c r="MF665" s="1709"/>
      <c r="MG665" s="1680">
        <f>SUM(MD665:MF665)</f>
        <v>40000</v>
      </c>
      <c r="MH665" s="770" t="s">
        <v>4339</v>
      </c>
      <c r="MI665" s="302">
        <v>18000</v>
      </c>
      <c r="MJ665" s="302">
        <v>2000</v>
      </c>
      <c r="MK665" s="302">
        <v>5000</v>
      </c>
      <c r="ML665" s="302">
        <v>5000</v>
      </c>
      <c r="MM665" s="302"/>
      <c r="MN665" s="302"/>
      <c r="MO665" s="302">
        <v>500</v>
      </c>
      <c r="MP665" s="302">
        <v>4000</v>
      </c>
      <c r="MQ665" s="302">
        <v>1000</v>
      </c>
      <c r="MR665" s="302">
        <v>1000</v>
      </c>
      <c r="MS665" s="302">
        <v>7000</v>
      </c>
      <c r="MT665" s="302"/>
      <c r="MU665" s="302"/>
      <c r="MV665" s="302"/>
      <c r="MW665" s="302"/>
      <c r="MX665" s="302"/>
      <c r="MY665" s="1682">
        <f t="shared" si="200"/>
        <v>43500</v>
      </c>
      <c r="MZ665" s="770" t="s">
        <v>13370</v>
      </c>
      <c r="NA665" s="770" t="s">
        <v>13005</v>
      </c>
      <c r="NB665" s="770" t="s">
        <v>13016</v>
      </c>
      <c r="NC665" s="770" t="s">
        <v>13602</v>
      </c>
      <c r="ND665" s="770">
        <v>0</v>
      </c>
      <c r="NE665" s="770">
        <v>2</v>
      </c>
      <c r="NF665" s="770">
        <v>0</v>
      </c>
      <c r="NG665" s="770">
        <v>6</v>
      </c>
      <c r="NH665" s="770">
        <v>2</v>
      </c>
      <c r="NI665" s="770">
        <v>0</v>
      </c>
      <c r="NJ665" s="770">
        <v>2</v>
      </c>
      <c r="NK665" s="770">
        <v>0</v>
      </c>
      <c r="NL665" s="770">
        <v>1</v>
      </c>
      <c r="NM665" s="770">
        <v>0</v>
      </c>
      <c r="NN665" s="770">
        <v>0</v>
      </c>
      <c r="NO665" s="770">
        <v>0</v>
      </c>
      <c r="NP665" s="770">
        <v>0</v>
      </c>
      <c r="NQ665" s="770">
        <v>0</v>
      </c>
      <c r="NR665" s="770">
        <v>0</v>
      </c>
      <c r="NS665" s="770">
        <v>0</v>
      </c>
      <c r="NT665" s="770">
        <v>0</v>
      </c>
      <c r="NU665" s="770">
        <v>0</v>
      </c>
      <c r="NV665" s="770">
        <v>0</v>
      </c>
      <c r="NW665" s="770">
        <v>1</v>
      </c>
      <c r="NX665" s="770">
        <v>0</v>
      </c>
      <c r="NY665" s="770" t="s">
        <v>1208</v>
      </c>
      <c r="NZ665" s="770"/>
      <c r="OA665" s="770"/>
      <c r="OB665" s="770" t="s">
        <v>1208</v>
      </c>
      <c r="OC665" s="770" t="s">
        <v>1208</v>
      </c>
      <c r="OD665" s="770" t="s">
        <v>1208</v>
      </c>
      <c r="OE665" s="770"/>
      <c r="OF665" s="770"/>
      <c r="OG665" s="770"/>
      <c r="OH665" s="770"/>
      <c r="OI665" s="770"/>
      <c r="OJ665" s="770"/>
      <c r="OK665" s="770"/>
      <c r="OL665" s="770"/>
      <c r="OM665" s="770"/>
      <c r="ON665" s="770"/>
      <c r="OO665" s="770"/>
      <c r="OP665" s="770"/>
      <c r="OQ665" s="770"/>
      <c r="OR665" s="770"/>
      <c r="OS665" s="770"/>
      <c r="OT665" s="770"/>
      <c r="OU665" s="770"/>
      <c r="OV665" s="770"/>
      <c r="OW665" s="770"/>
      <c r="OX665" s="770"/>
      <c r="OY665" s="770"/>
      <c r="OZ665" s="770"/>
      <c r="PA665" s="770"/>
      <c r="PB665" s="770"/>
      <c r="PC665" s="770"/>
      <c r="PD665" s="770"/>
      <c r="PE665" s="770"/>
      <c r="PF665" s="770"/>
      <c r="PG665" s="770"/>
      <c r="PH665" s="770" t="s">
        <v>1208</v>
      </c>
      <c r="PI665" s="770" t="s">
        <v>1208</v>
      </c>
      <c r="PJ665" s="770" t="s">
        <v>1208</v>
      </c>
      <c r="PK665" s="770" t="s">
        <v>1208</v>
      </c>
      <c r="PL665" s="770"/>
      <c r="PM665" s="770"/>
      <c r="PN665" s="770"/>
      <c r="PO665" s="770"/>
      <c r="PP665" s="770"/>
      <c r="PQ665" s="770"/>
      <c r="PR665" s="770"/>
      <c r="PS665" s="770"/>
      <c r="PT665" s="770"/>
      <c r="PU665" s="770"/>
      <c r="PV665" s="770"/>
      <c r="PW665" s="770"/>
      <c r="PX665" s="770"/>
      <c r="PY665" s="770"/>
      <c r="PZ665" s="770"/>
      <c r="QA665" s="770"/>
      <c r="QB665" s="770"/>
      <c r="QC665" s="770"/>
      <c r="QD665" s="770"/>
      <c r="QE665" s="770"/>
      <c r="QF665" s="770"/>
      <c r="QG665" s="770"/>
      <c r="QH665" s="770"/>
      <c r="QI665" s="770"/>
      <c r="QJ665" s="770"/>
      <c r="QK665" s="770"/>
      <c r="QL665" s="770"/>
      <c r="QM665" s="770"/>
      <c r="QN665" s="770"/>
      <c r="QO665" s="770"/>
      <c r="QP665" s="770"/>
      <c r="QQ665" s="770"/>
      <c r="QR665" s="770"/>
      <c r="QS665" s="770"/>
      <c r="QT665" s="770"/>
      <c r="QU665" s="770"/>
      <c r="QV665" s="770"/>
      <c r="QW665" s="770"/>
      <c r="QX665" s="770"/>
      <c r="QY665" s="770"/>
      <c r="QZ665" s="770"/>
      <c r="RA665" s="770"/>
      <c r="RB665" s="770" t="s">
        <v>1207</v>
      </c>
      <c r="RC665" s="770">
        <v>2014</v>
      </c>
      <c r="RD665" s="770" t="s">
        <v>13877</v>
      </c>
      <c r="RE665" s="770" t="s">
        <v>12990</v>
      </c>
      <c r="RF665" s="304">
        <v>0.5</v>
      </c>
      <c r="RG665" s="770" t="s">
        <v>13047</v>
      </c>
      <c r="RH665" s="306">
        <v>0</v>
      </c>
      <c r="RI665" s="770">
        <v>24</v>
      </c>
      <c r="RJ665" s="94" t="s">
        <v>13878</v>
      </c>
      <c r="RK665" s="770" t="s">
        <v>13556</v>
      </c>
      <c r="RL665" s="1710">
        <v>42837</v>
      </c>
      <c r="RM665" s="12"/>
      <c r="RN665" s="1711"/>
      <c r="RO665" s="149" t="s">
        <v>4329</v>
      </c>
      <c r="RP665" s="11"/>
      <c r="RQ665" s="11"/>
      <c r="RR665" s="343" t="s">
        <v>7419</v>
      </c>
      <c r="RS665" s="1139" t="s">
        <v>12980</v>
      </c>
      <c r="RT665" s="11"/>
      <c r="RU665" s="11"/>
      <c r="RV665" s="771" t="s">
        <v>7419</v>
      </c>
      <c r="RW665" s="11" t="s">
        <v>7426</v>
      </c>
      <c r="RX665" s="11" t="s">
        <v>3059</v>
      </c>
      <c r="RY665" s="11"/>
      <c r="RZ665" s="11" t="s">
        <v>2209</v>
      </c>
      <c r="SA665" s="771"/>
      <c r="SB665" s="11"/>
      <c r="SC665" s="11"/>
    </row>
    <row r="666" spans="1:497" ht="12.75" customHeight="1">
      <c r="A666" s="19" t="s">
        <v>7421</v>
      </c>
      <c r="B666" s="292" t="s">
        <v>7429</v>
      </c>
      <c r="C666" s="149" t="s">
        <v>4340</v>
      </c>
      <c r="D666" s="94" t="s">
        <v>4346</v>
      </c>
      <c r="E666" s="766" t="s">
        <v>5790</v>
      </c>
      <c r="F666" s="770" t="s">
        <v>28</v>
      </c>
      <c r="G666" s="770" t="s">
        <v>10</v>
      </c>
      <c r="H666" s="770"/>
      <c r="I666" s="295" t="s">
        <v>4342</v>
      </c>
      <c r="J666" s="94" t="s">
        <v>4341</v>
      </c>
      <c r="K666" s="766" t="s">
        <v>4343</v>
      </c>
      <c r="L666" s="766" t="s">
        <v>3534</v>
      </c>
      <c r="M666" s="770" t="s">
        <v>1238</v>
      </c>
      <c r="N666" s="1757"/>
      <c r="O666" s="1757" t="s">
        <v>4344</v>
      </c>
      <c r="P666" s="770"/>
      <c r="Q666" s="1088"/>
      <c r="R666" s="297"/>
      <c r="S666" s="770"/>
      <c r="T666" s="770"/>
      <c r="U666" s="295"/>
      <c r="V666" s="770"/>
      <c r="W666" s="770"/>
      <c r="X666" s="770"/>
      <c r="Y666" s="770"/>
      <c r="Z666" s="770"/>
      <c r="AA666" s="770"/>
      <c r="AB666" s="770"/>
      <c r="AC666" s="770"/>
      <c r="AD666" s="770"/>
      <c r="AE666" s="770"/>
      <c r="AF666" s="770"/>
      <c r="AG666" s="766" t="s">
        <v>1132</v>
      </c>
      <c r="AH666" s="766" t="s">
        <v>1100</v>
      </c>
      <c r="AI666" s="75"/>
      <c r="AJ666" s="766" t="s">
        <v>1137</v>
      </c>
      <c r="AK666" s="766" t="s">
        <v>1101</v>
      </c>
      <c r="AL666" s="120">
        <v>30</v>
      </c>
      <c r="AM666" s="773">
        <v>30</v>
      </c>
      <c r="AN666" s="37">
        <f t="shared" si="205"/>
        <v>1</v>
      </c>
      <c r="AO666" s="766" t="s">
        <v>1122</v>
      </c>
      <c r="AP666" s="766"/>
      <c r="AQ666" s="766"/>
      <c r="AR666" s="766"/>
      <c r="AS666" s="766"/>
      <c r="AT666" s="766"/>
      <c r="AU666" s="766"/>
      <c r="AV666" s="766"/>
      <c r="AW666" s="766"/>
      <c r="AX666" s="766"/>
      <c r="AY666" s="766"/>
      <c r="AZ666" s="766"/>
      <c r="BA666" s="766"/>
      <c r="BB666" s="766"/>
      <c r="BC666" s="766"/>
      <c r="BD666" s="766"/>
      <c r="BE666" s="766"/>
      <c r="BF666" s="775"/>
      <c r="BG666" s="775"/>
      <c r="BH666" s="770"/>
      <c r="BI666" s="770"/>
      <c r="BJ666" s="770"/>
      <c r="BK666" s="770"/>
      <c r="BL666" s="770"/>
      <c r="BM666" s="770"/>
      <c r="BN666" s="770"/>
      <c r="BO666" s="770"/>
      <c r="BP666" s="1109"/>
      <c r="BQ666" s="773"/>
      <c r="BR666" s="774"/>
      <c r="BS666" s="766"/>
      <c r="BT666" s="770"/>
      <c r="BU666" s="770"/>
      <c r="BV666" s="770"/>
      <c r="BW666" s="770"/>
      <c r="BX666" s="302"/>
      <c r="BY666" s="770"/>
      <c r="BZ666" s="302"/>
      <c r="CA666" s="770"/>
      <c r="CB666" s="770" t="s">
        <v>1207</v>
      </c>
      <c r="CC666" s="770" t="s">
        <v>4345</v>
      </c>
      <c r="CD666" s="770">
        <v>2009</v>
      </c>
      <c r="CE666" s="302"/>
      <c r="CF666" s="304">
        <v>1.2</v>
      </c>
      <c r="CG666" s="321">
        <v>16</v>
      </c>
      <c r="CH666" s="770" t="s">
        <v>1291</v>
      </c>
      <c r="CI666" s="770"/>
      <c r="CJ666" s="770" t="s">
        <v>3926</v>
      </c>
      <c r="CK666" s="770">
        <v>5</v>
      </c>
      <c r="CL666" s="770"/>
      <c r="CM666" s="770" t="s">
        <v>3399</v>
      </c>
      <c r="CN666" s="770"/>
      <c r="CO666" s="770"/>
      <c r="CP666" s="770"/>
      <c r="CQ666" s="770"/>
      <c r="CR666" s="302"/>
      <c r="CS666" s="770"/>
      <c r="CT666" s="770"/>
      <c r="CU666" s="305"/>
      <c r="CV666" s="770"/>
      <c r="CW666" s="770"/>
      <c r="CX666" s="770"/>
      <c r="CY666" s="770"/>
      <c r="CZ666" s="770"/>
      <c r="DA666" s="306"/>
      <c r="DB666" s="770"/>
      <c r="DC666" s="770"/>
      <c r="DD666" s="770"/>
      <c r="DE666" s="300"/>
      <c r="DF666" s="770"/>
      <c r="DG666" s="770"/>
      <c r="DH666" s="770"/>
      <c r="DI666" s="770"/>
      <c r="DJ666" s="770"/>
      <c r="DK666" s="770"/>
      <c r="DL666" s="770"/>
      <c r="DM666" s="770"/>
      <c r="DN666" s="322"/>
      <c r="DO666" s="770"/>
      <c r="DP666" s="770"/>
      <c r="DQ666" s="770"/>
      <c r="DR666" s="770"/>
      <c r="DS666" s="307"/>
      <c r="DT666" s="770"/>
      <c r="DU666" s="770"/>
      <c r="DV666" s="770"/>
      <c r="DW666" s="306"/>
      <c r="DX666" s="306"/>
      <c r="DY666" s="1055"/>
      <c r="DZ666" s="770"/>
      <c r="EA666" s="770"/>
      <c r="EB666" s="770"/>
      <c r="EC666" s="770"/>
      <c r="ED666" s="770"/>
      <c r="EE666" s="770"/>
      <c r="EF666" s="770"/>
      <c r="EG666" s="770"/>
      <c r="EH666" s="770"/>
      <c r="EI666" s="770"/>
      <c r="EJ666" s="770"/>
      <c r="EK666" s="770"/>
      <c r="EL666" s="770"/>
      <c r="EM666" s="770"/>
      <c r="EN666" s="770"/>
      <c r="EO666" s="770"/>
      <c r="EP666" s="94"/>
      <c r="EQ666" s="770"/>
      <c r="ER666" s="770"/>
      <c r="ES666" s="770"/>
      <c r="ET666" s="770"/>
      <c r="EU666" s="770"/>
      <c r="EV666" s="770"/>
      <c r="EW666" s="770"/>
      <c r="EX666" s="770"/>
      <c r="EY666" s="770"/>
      <c r="EZ666" s="770"/>
      <c r="FA666" s="770"/>
      <c r="FB666" s="770"/>
      <c r="FC666" s="770"/>
      <c r="FD666" s="302"/>
      <c r="FE666" s="770"/>
      <c r="FF666" s="770"/>
      <c r="FG666" s="770"/>
      <c r="FH666" s="770"/>
      <c r="FI666" s="770"/>
      <c r="FJ666" s="770"/>
      <c r="FK666" s="770"/>
      <c r="FL666" s="770"/>
      <c r="FM666" s="302"/>
      <c r="FN666" s="302"/>
      <c r="FO666" s="302"/>
      <c r="FP666" s="770"/>
      <c r="FQ666" s="770"/>
      <c r="FR666" s="770"/>
      <c r="FS666" s="770"/>
      <c r="FT666" s="770"/>
      <c r="FU666" s="770"/>
      <c r="FV666" s="770"/>
      <c r="FW666" s="770"/>
      <c r="FX666" s="770"/>
      <c r="FY666" s="770"/>
      <c r="FZ666" s="770"/>
      <c r="GA666" s="770"/>
      <c r="GB666" s="770"/>
      <c r="GC666" s="308"/>
      <c r="GD666" s="297"/>
      <c r="GE666" s="770"/>
      <c r="GF666" s="302"/>
      <c r="GG666" s="302"/>
      <c r="GH666" s="770"/>
      <c r="GI666" s="770"/>
      <c r="GJ666" s="770"/>
      <c r="GK666" s="770"/>
      <c r="GL666" s="770"/>
      <c r="GM666" s="770"/>
      <c r="GN666" s="299"/>
      <c r="GO666" s="770"/>
      <c r="GP666" s="770"/>
      <c r="GQ666" s="770"/>
      <c r="GR666" s="770"/>
      <c r="GS666" s="770"/>
      <c r="GT666" s="770"/>
      <c r="GU666" s="770"/>
      <c r="GV666" s="770"/>
      <c r="GW666" s="770"/>
      <c r="GX666" s="770"/>
      <c r="GY666" s="770"/>
      <c r="GZ666" s="770"/>
      <c r="HA666" s="770"/>
      <c r="HB666" s="770"/>
      <c r="HC666" s="770"/>
      <c r="HD666" s="770"/>
      <c r="HE666" s="770"/>
      <c r="HF666" s="770"/>
      <c r="HG666" s="770"/>
      <c r="HH666" s="770"/>
      <c r="HI666" s="770"/>
      <c r="HJ666" s="770"/>
      <c r="HK666" s="770"/>
      <c r="HL666" s="770"/>
      <c r="HM666" s="770"/>
      <c r="HN666" s="770"/>
      <c r="HO666" s="770"/>
      <c r="HP666" s="770"/>
      <c r="HQ666" s="770"/>
      <c r="HR666" s="770">
        <v>1</v>
      </c>
      <c r="HS666" s="770">
        <v>2</v>
      </c>
      <c r="HT666" s="770">
        <v>3</v>
      </c>
      <c r="HU666" s="770"/>
      <c r="HV666" s="770"/>
      <c r="HW666" s="770"/>
      <c r="HX666" s="770"/>
      <c r="HY666" s="770"/>
      <c r="HZ666" s="770"/>
      <c r="IA666" s="770"/>
      <c r="IB666" s="770"/>
      <c r="IC666" s="770"/>
      <c r="ID666" s="770"/>
      <c r="IE666" s="770"/>
      <c r="IF666" s="770"/>
      <c r="IG666" s="770"/>
      <c r="IH666" s="770"/>
      <c r="II666" s="770"/>
      <c r="IJ666" s="770"/>
      <c r="IK666" s="770"/>
      <c r="IL666" s="770"/>
      <c r="IM666" s="770"/>
      <c r="IN666" s="770"/>
      <c r="IO666" s="296"/>
      <c r="IP666" s="770"/>
      <c r="IQ666" s="770"/>
      <c r="IR666" s="770"/>
      <c r="IS666" s="770"/>
      <c r="IT666" s="770"/>
      <c r="IU666" s="770"/>
      <c r="IV666" s="770"/>
      <c r="IW666" s="770"/>
      <c r="IX666" s="770"/>
      <c r="IY666" s="770"/>
      <c r="IZ666" s="770"/>
      <c r="JA666" s="770"/>
      <c r="JB666" s="770"/>
      <c r="JC666" s="770"/>
      <c r="JD666" s="302"/>
      <c r="JE666" s="770"/>
      <c r="JF666" s="770"/>
      <c r="JG666" s="770"/>
      <c r="JH666" s="307"/>
      <c r="JI666" s="307"/>
      <c r="JJ666" s="770"/>
      <c r="JK666" s="770"/>
      <c r="JL666" s="770"/>
      <c r="JM666" s="770"/>
      <c r="JN666" s="770"/>
      <c r="JO666" s="770"/>
      <c r="JP666" s="770"/>
      <c r="JQ666" s="770"/>
      <c r="JR666" s="770"/>
      <c r="JS666" s="770"/>
      <c r="JT666" s="766"/>
      <c r="JU666" s="766"/>
      <c r="JV666" s="766"/>
      <c r="JW666" s="766"/>
      <c r="JX666" s="770"/>
      <c r="JY666" s="770"/>
      <c r="JZ666" s="770"/>
      <c r="KA666" s="770"/>
      <c r="KB666" s="770"/>
      <c r="KC666" s="770"/>
      <c r="KD666" s="770"/>
      <c r="KE666" s="770"/>
      <c r="KF666" s="770"/>
      <c r="KG666" s="770"/>
      <c r="KH666" s="770"/>
      <c r="KI666" s="770"/>
      <c r="KJ666" s="770"/>
      <c r="KK666" s="770"/>
      <c r="KL666" s="770"/>
      <c r="KM666" s="770"/>
      <c r="KN666" s="770"/>
      <c r="KO666" s="770"/>
      <c r="KP666" s="770"/>
      <c r="KQ666" s="770"/>
      <c r="KR666" s="770"/>
      <c r="KS666" s="770"/>
      <c r="KT666" s="770"/>
      <c r="KU666" s="770"/>
      <c r="KV666" s="770"/>
      <c r="KW666" s="770"/>
      <c r="KX666" s="770"/>
      <c r="KY666" s="770"/>
      <c r="KZ666" s="770"/>
      <c r="LA666" s="770"/>
      <c r="LB666" s="770"/>
      <c r="LC666" s="770"/>
      <c r="LD666" s="770"/>
      <c r="LE666" s="770"/>
      <c r="LF666" s="770"/>
      <c r="LG666" s="770"/>
      <c r="LH666" s="770"/>
      <c r="LI666" s="770"/>
      <c r="LJ666" s="770"/>
      <c r="LK666" s="770"/>
      <c r="LL666" s="770"/>
      <c r="LM666" s="770"/>
      <c r="LN666" s="766"/>
      <c r="LO666" s="766"/>
      <c r="LP666" s="770"/>
      <c r="LQ666" s="770"/>
      <c r="LR666" s="770"/>
      <c r="LS666" s="770"/>
      <c r="LT666" s="770"/>
      <c r="LU666" s="770"/>
      <c r="LV666" s="770"/>
      <c r="LW666" s="770"/>
      <c r="LX666" s="769"/>
      <c r="LY666" s="766" t="str">
        <f t="shared" si="187"/>
        <v/>
      </c>
      <c r="LZ666" s="1709"/>
      <c r="MA666" s="1709"/>
      <c r="MB666" s="1709"/>
      <c r="MC666" s="1679">
        <f t="shared" si="185"/>
        <v>0</v>
      </c>
      <c r="MD666" s="1709"/>
      <c r="ME666" s="1709"/>
      <c r="MF666" s="1709"/>
      <c r="MG666" s="1680">
        <f t="shared" si="199"/>
        <v>0</v>
      </c>
      <c r="MH666" s="770"/>
      <c r="MI666" s="302"/>
      <c r="MJ666" s="302"/>
      <c r="MK666" s="302"/>
      <c r="ML666" s="302"/>
      <c r="MM666" s="302"/>
      <c r="MN666" s="302"/>
      <c r="MO666" s="302"/>
      <c r="MP666" s="302"/>
      <c r="MQ666" s="302"/>
      <c r="MR666" s="302"/>
      <c r="MS666" s="302"/>
      <c r="MT666" s="302"/>
      <c r="MU666" s="302"/>
      <c r="MV666" s="302"/>
      <c r="MW666" s="302"/>
      <c r="MX666" s="302"/>
      <c r="MY666" s="1682">
        <f t="shared" si="200"/>
        <v>0</v>
      </c>
      <c r="MZ666" s="770"/>
      <c r="NA666" s="770"/>
      <c r="NB666" s="770"/>
      <c r="NC666" s="770"/>
      <c r="ND666" s="770"/>
      <c r="NE666" s="770"/>
      <c r="NF666" s="770"/>
      <c r="NG666" s="770"/>
      <c r="NH666" s="770"/>
      <c r="NI666" s="770"/>
      <c r="NJ666" s="770"/>
      <c r="NK666" s="770"/>
      <c r="NL666" s="770"/>
      <c r="NM666" s="770"/>
      <c r="NN666" s="770"/>
      <c r="NO666" s="770"/>
      <c r="NP666" s="770"/>
      <c r="NQ666" s="770"/>
      <c r="NR666" s="770"/>
      <c r="NS666" s="770"/>
      <c r="NT666" s="770"/>
      <c r="NU666" s="770"/>
      <c r="NV666" s="770"/>
      <c r="NW666" s="770"/>
      <c r="NX666" s="770"/>
      <c r="NY666" s="770"/>
      <c r="NZ666" s="770"/>
      <c r="OA666" s="770"/>
      <c r="OB666" s="770"/>
      <c r="OC666" s="770"/>
      <c r="OD666" s="770"/>
      <c r="OE666" s="770"/>
      <c r="OF666" s="770"/>
      <c r="OG666" s="770"/>
      <c r="OH666" s="770"/>
      <c r="OI666" s="770"/>
      <c r="OJ666" s="770"/>
      <c r="OK666" s="770"/>
      <c r="OL666" s="770"/>
      <c r="OM666" s="770"/>
      <c r="ON666" s="770"/>
      <c r="OO666" s="770"/>
      <c r="OP666" s="770"/>
      <c r="OQ666" s="770"/>
      <c r="OR666" s="770"/>
      <c r="OS666" s="770"/>
      <c r="OT666" s="770"/>
      <c r="OU666" s="770"/>
      <c r="OV666" s="770"/>
      <c r="OW666" s="770"/>
      <c r="OX666" s="770"/>
      <c r="OY666" s="770"/>
      <c r="OZ666" s="770"/>
      <c r="PA666" s="770"/>
      <c r="PB666" s="770"/>
      <c r="PC666" s="770"/>
      <c r="PD666" s="770"/>
      <c r="PE666" s="770"/>
      <c r="PF666" s="770"/>
      <c r="PG666" s="770"/>
      <c r="PH666" s="770"/>
      <c r="PI666" s="770"/>
      <c r="PJ666" s="770"/>
      <c r="PK666" s="770"/>
      <c r="PL666" s="770"/>
      <c r="PM666" s="770"/>
      <c r="PN666" s="770"/>
      <c r="PO666" s="770"/>
      <c r="PP666" s="770"/>
      <c r="PQ666" s="770"/>
      <c r="PR666" s="770"/>
      <c r="PS666" s="770"/>
      <c r="PT666" s="770"/>
      <c r="PU666" s="770"/>
      <c r="PV666" s="770"/>
      <c r="PW666" s="770"/>
      <c r="PX666" s="770"/>
      <c r="PY666" s="770"/>
      <c r="PZ666" s="770"/>
      <c r="QA666" s="770"/>
      <c r="QB666" s="770"/>
      <c r="QC666" s="770"/>
      <c r="QD666" s="770"/>
      <c r="QE666" s="770"/>
      <c r="QF666" s="770"/>
      <c r="QG666" s="770"/>
      <c r="QH666" s="770"/>
      <c r="QI666" s="770"/>
      <c r="QJ666" s="770"/>
      <c r="QK666" s="770"/>
      <c r="QL666" s="770"/>
      <c r="QM666" s="770"/>
      <c r="QN666" s="770"/>
      <c r="QO666" s="770"/>
      <c r="QP666" s="770"/>
      <c r="QQ666" s="770"/>
      <c r="QR666" s="770"/>
      <c r="QS666" s="770"/>
      <c r="QT666" s="770"/>
      <c r="QU666" s="770"/>
      <c r="QV666" s="770"/>
      <c r="QW666" s="770"/>
      <c r="QX666" s="770"/>
      <c r="QY666" s="770"/>
      <c r="QZ666" s="770"/>
      <c r="RA666" s="770"/>
      <c r="RB666" s="770"/>
      <c r="RC666" s="770"/>
      <c r="RD666" s="770"/>
      <c r="RE666" s="770"/>
      <c r="RF666" s="304"/>
      <c r="RG666" s="770"/>
      <c r="RH666" s="306"/>
      <c r="RI666" s="770"/>
      <c r="RJ666" s="94" t="s">
        <v>13879</v>
      </c>
      <c r="RK666" s="770" t="s">
        <v>13550</v>
      </c>
      <c r="RL666" s="1710"/>
      <c r="RM666" s="12"/>
      <c r="RN666" s="1711"/>
      <c r="RO666" s="149" t="s">
        <v>4340</v>
      </c>
      <c r="RP666" s="11"/>
      <c r="RQ666" s="11"/>
      <c r="RR666" s="17"/>
      <c r="RS666" s="767"/>
      <c r="RT666" s="11"/>
      <c r="RU666" s="11"/>
      <c r="RV666" s="771" t="s">
        <v>13880</v>
      </c>
      <c r="RW666" s="11" t="s">
        <v>7427</v>
      </c>
      <c r="RX666" s="11" t="s">
        <v>3059</v>
      </c>
      <c r="RY666" s="11"/>
      <c r="RZ666" s="11"/>
      <c r="SA666" s="771"/>
      <c r="SB666" s="11"/>
      <c r="SC666" s="11"/>
    </row>
    <row r="667" spans="1:497" ht="12.75" customHeight="1">
      <c r="A667" s="19" t="s">
        <v>7421</v>
      </c>
      <c r="B667" s="292" t="s">
        <v>7996</v>
      </c>
      <c r="C667" s="149" t="s">
        <v>4347</v>
      </c>
      <c r="D667" s="94" t="s">
        <v>4354</v>
      </c>
      <c r="E667" s="766" t="s">
        <v>4355</v>
      </c>
      <c r="F667" s="770" t="s">
        <v>28</v>
      </c>
      <c r="G667" s="770" t="s">
        <v>10</v>
      </c>
      <c r="H667" s="770"/>
      <c r="I667" s="295"/>
      <c r="J667" s="94" t="s">
        <v>4354</v>
      </c>
      <c r="K667" s="766" t="s">
        <v>4356</v>
      </c>
      <c r="L667" s="766" t="s">
        <v>3534</v>
      </c>
      <c r="M667" s="770" t="s">
        <v>1238</v>
      </c>
      <c r="N667" s="1757"/>
      <c r="O667" s="1757" t="s">
        <v>4364</v>
      </c>
      <c r="P667" s="94" t="s">
        <v>4357</v>
      </c>
      <c r="Q667" s="1088">
        <v>27764</v>
      </c>
      <c r="R667" s="297">
        <v>41</v>
      </c>
      <c r="S667" s="770" t="s">
        <v>10</v>
      </c>
      <c r="T667" s="770"/>
      <c r="U667" s="295"/>
      <c r="V667" s="770" t="s">
        <v>768</v>
      </c>
      <c r="W667" s="770"/>
      <c r="X667" s="770"/>
      <c r="Y667" s="770" t="s">
        <v>4355</v>
      </c>
      <c r="Z667" s="770" t="s">
        <v>708</v>
      </c>
      <c r="AA667" s="770" t="s">
        <v>709</v>
      </c>
      <c r="AB667" s="770" t="s">
        <v>710</v>
      </c>
      <c r="AC667" s="770"/>
      <c r="AD667" s="770" t="s">
        <v>711</v>
      </c>
      <c r="AE667" s="770" t="s">
        <v>909</v>
      </c>
      <c r="AF667" s="770" t="s">
        <v>712</v>
      </c>
      <c r="AG667" s="766" t="s">
        <v>1132</v>
      </c>
      <c r="AH667" s="766" t="s">
        <v>1096</v>
      </c>
      <c r="AI667" s="75"/>
      <c r="AJ667" s="766" t="s">
        <v>1137</v>
      </c>
      <c r="AK667" s="766" t="s">
        <v>1101</v>
      </c>
      <c r="AL667" s="120">
        <v>2.25</v>
      </c>
      <c r="AM667" s="773">
        <v>2.25</v>
      </c>
      <c r="AN667" s="37">
        <f t="shared" si="205"/>
        <v>1</v>
      </c>
      <c r="AO667" s="766" t="s">
        <v>1122</v>
      </c>
      <c r="AP667" s="766"/>
      <c r="AQ667" s="766"/>
      <c r="AR667" s="766"/>
      <c r="AS667" s="766"/>
      <c r="AT667" s="766"/>
      <c r="AU667" s="766"/>
      <c r="AV667" s="766"/>
      <c r="AW667" s="766"/>
      <c r="AX667" s="766"/>
      <c r="AY667" s="766"/>
      <c r="AZ667" s="766"/>
      <c r="BA667" s="766"/>
      <c r="BB667" s="766"/>
      <c r="BC667" s="766"/>
      <c r="BD667" s="766"/>
      <c r="BE667" s="766"/>
      <c r="BF667" s="775"/>
      <c r="BG667" s="775"/>
      <c r="BH667" s="770"/>
      <c r="BI667" s="770"/>
      <c r="BJ667" s="770"/>
      <c r="BK667" s="770" t="s">
        <v>1095</v>
      </c>
      <c r="BL667" s="770" t="s">
        <v>4358</v>
      </c>
      <c r="BM667" s="766" t="s">
        <v>1096</v>
      </c>
      <c r="BN667" s="766" t="s">
        <v>1230</v>
      </c>
      <c r="BO667" s="766" t="s">
        <v>1246</v>
      </c>
      <c r="BP667" s="1109">
        <v>2.25</v>
      </c>
      <c r="BQ667" s="773">
        <v>2.25</v>
      </c>
      <c r="BR667" s="774">
        <f>BQ667/BP667</f>
        <v>1</v>
      </c>
      <c r="BS667" s="766" t="s">
        <v>1257</v>
      </c>
      <c r="BT667" s="766" t="s">
        <v>1326</v>
      </c>
      <c r="BU667" s="770"/>
      <c r="BV667" s="770" t="s">
        <v>2432</v>
      </c>
      <c r="BW667" s="770">
        <v>2017</v>
      </c>
      <c r="BX667" s="302"/>
      <c r="BY667" s="770"/>
      <c r="BZ667" s="302"/>
      <c r="CA667" s="770"/>
      <c r="CB667" s="770"/>
      <c r="CC667" s="770"/>
      <c r="CD667" s="770"/>
      <c r="CE667" s="131"/>
      <c r="CF667" s="304"/>
      <c r="CG667" s="321"/>
      <c r="CH667" s="770"/>
      <c r="CI667" s="770"/>
      <c r="CJ667" s="770"/>
      <c r="CK667" s="770"/>
      <c r="CL667" s="770"/>
      <c r="CM667" s="770"/>
      <c r="CN667" s="770"/>
      <c r="CO667" s="770"/>
      <c r="CP667" s="770"/>
      <c r="CQ667" s="770"/>
      <c r="CR667" s="302"/>
      <c r="CS667" s="770"/>
      <c r="CT667" s="770"/>
      <c r="CU667" s="305"/>
      <c r="CV667" s="770"/>
      <c r="CW667" s="770"/>
      <c r="CX667" s="770"/>
      <c r="CY667" s="770"/>
      <c r="CZ667" s="770"/>
      <c r="DA667" s="306"/>
      <c r="DB667" s="770"/>
      <c r="DC667" s="770"/>
      <c r="DD667" s="770"/>
      <c r="DE667" s="300"/>
      <c r="DF667" s="770"/>
      <c r="DG667" s="770"/>
      <c r="DH667" s="770"/>
      <c r="DI667" s="770"/>
      <c r="DJ667" s="770"/>
      <c r="DK667" s="770"/>
      <c r="DL667" s="770"/>
      <c r="DM667" s="770"/>
      <c r="DN667" s="322"/>
      <c r="DO667" s="770"/>
      <c r="DP667" s="770"/>
      <c r="DQ667" s="770"/>
      <c r="DR667" s="770"/>
      <c r="DS667" s="307"/>
      <c r="DT667" s="770"/>
      <c r="DU667" s="770"/>
      <c r="DV667" s="770"/>
      <c r="DW667" s="306"/>
      <c r="DX667" s="306"/>
      <c r="DY667" s="1055"/>
      <c r="DZ667" s="770"/>
      <c r="EA667" s="770"/>
      <c r="EB667" s="770"/>
      <c r="EC667" s="770"/>
      <c r="ED667" s="770"/>
      <c r="EE667" s="770"/>
      <c r="EF667" s="770"/>
      <c r="EG667" s="770"/>
      <c r="EH667" s="770"/>
      <c r="EI667" s="770"/>
      <c r="EJ667" s="770"/>
      <c r="EK667" s="770"/>
      <c r="EL667" s="770"/>
      <c r="EM667" s="770"/>
      <c r="EN667" s="770"/>
      <c r="EO667" s="770"/>
      <c r="EP667" s="94"/>
      <c r="EQ667" s="770"/>
      <c r="ER667" s="770"/>
      <c r="ES667" s="770"/>
      <c r="ET667" s="770"/>
      <c r="EU667" s="770"/>
      <c r="EV667" s="770"/>
      <c r="EW667" s="770"/>
      <c r="EX667" s="770"/>
      <c r="EY667" s="770"/>
      <c r="EZ667" s="770"/>
      <c r="FA667" s="770"/>
      <c r="FB667" s="770"/>
      <c r="FC667" s="770"/>
      <c r="FD667" s="302"/>
      <c r="FE667" s="770"/>
      <c r="FF667" s="770"/>
      <c r="FG667" s="770"/>
      <c r="FH667" s="770" t="s">
        <v>478</v>
      </c>
      <c r="FI667" s="770">
        <v>1</v>
      </c>
      <c r="FJ667" s="770"/>
      <c r="FK667" s="770"/>
      <c r="FL667" s="770"/>
      <c r="FM667" s="302"/>
      <c r="FN667" s="302"/>
      <c r="FO667" s="302"/>
      <c r="FP667" s="766" t="s">
        <v>1602</v>
      </c>
      <c r="FQ667" s="766" t="s">
        <v>1660</v>
      </c>
      <c r="FR667" s="770" t="s">
        <v>1214</v>
      </c>
      <c r="FS667" s="770"/>
      <c r="FT667" s="770"/>
      <c r="FU667" s="770"/>
      <c r="FV667" s="770"/>
      <c r="FW667" s="770"/>
      <c r="FX667" s="770"/>
      <c r="FY667" s="770"/>
      <c r="FZ667" s="770"/>
      <c r="GA667" s="770"/>
      <c r="GB667" s="770" t="s">
        <v>1734</v>
      </c>
      <c r="GC667" s="308"/>
      <c r="GD667" s="297">
        <v>2017</v>
      </c>
      <c r="GE667" s="770" t="s">
        <v>1214</v>
      </c>
      <c r="GF667" s="302"/>
      <c r="GG667" s="302"/>
      <c r="GH667" s="712" t="s">
        <v>1791</v>
      </c>
      <c r="GI667" s="770"/>
      <c r="GJ667" s="770" t="s">
        <v>4359</v>
      </c>
      <c r="GK667" s="766" t="s">
        <v>1806</v>
      </c>
      <c r="GL667" s="770"/>
      <c r="GM667" s="770" t="s">
        <v>1835</v>
      </c>
      <c r="GN667" s="299" t="s">
        <v>3862</v>
      </c>
      <c r="GO667" s="770" t="s">
        <v>2770</v>
      </c>
      <c r="GP667" s="770" t="s">
        <v>1208</v>
      </c>
      <c r="GQ667" s="770"/>
      <c r="GR667" s="770"/>
      <c r="GS667" s="770"/>
      <c r="GT667" s="770"/>
      <c r="GU667" s="770"/>
      <c r="GV667" s="770"/>
      <c r="GW667" s="770" t="s">
        <v>1214</v>
      </c>
      <c r="GX667" s="770" t="s">
        <v>4360</v>
      </c>
      <c r="GY667" s="770" t="s">
        <v>1208</v>
      </c>
      <c r="GZ667" s="770" t="s">
        <v>1208</v>
      </c>
      <c r="HA667" s="770" t="s">
        <v>1208</v>
      </c>
      <c r="HB667" s="770" t="s">
        <v>1208</v>
      </c>
      <c r="HC667" s="770" t="s">
        <v>1208</v>
      </c>
      <c r="HD667" s="770" t="s">
        <v>1208</v>
      </c>
      <c r="HE667" s="770" t="s">
        <v>1208</v>
      </c>
      <c r="HF667" s="770"/>
      <c r="HG667" s="770"/>
      <c r="HH667" s="770"/>
      <c r="HI667" s="770" t="s">
        <v>1214</v>
      </c>
      <c r="HJ667" s="770"/>
      <c r="HK667" s="770"/>
      <c r="HL667" s="770" t="s">
        <v>1214</v>
      </c>
      <c r="HM667" s="770"/>
      <c r="HN667" s="770"/>
      <c r="HO667" s="770"/>
      <c r="HP667" s="770"/>
      <c r="HQ667" s="770"/>
      <c r="HR667" s="770"/>
      <c r="HS667" s="770"/>
      <c r="HT667" s="770"/>
      <c r="HU667" s="770"/>
      <c r="HV667" s="770"/>
      <c r="HW667" s="770"/>
      <c r="HX667" s="770"/>
      <c r="HY667" s="770"/>
      <c r="HZ667" s="770"/>
      <c r="IA667" s="770"/>
      <c r="IB667" s="14" t="e">
        <f>IF(#REF!&gt;0,IF(#REF!&lt;=10000,"Y",""),"")</f>
        <v>#REF!</v>
      </c>
      <c r="IC667" s="770"/>
      <c r="ID667" s="770"/>
      <c r="IE667" s="770"/>
      <c r="IF667" s="770"/>
      <c r="IG667" s="770"/>
      <c r="IH667" s="770"/>
      <c r="II667" s="770"/>
      <c r="IJ667" s="770"/>
      <c r="IK667" s="770"/>
      <c r="IL667" s="770"/>
      <c r="IM667" s="770"/>
      <c r="IN667" s="770"/>
      <c r="IO667" s="296"/>
      <c r="IP667" s="770"/>
      <c r="IQ667" s="770"/>
      <c r="IR667" s="770"/>
      <c r="IS667" s="770"/>
      <c r="IT667" s="770"/>
      <c r="IU667" s="770"/>
      <c r="IV667" s="770"/>
      <c r="IW667" s="770"/>
      <c r="IX667" s="770"/>
      <c r="IY667" s="770"/>
      <c r="IZ667" s="770"/>
      <c r="JA667" s="770"/>
      <c r="JB667" s="770"/>
      <c r="JC667" s="770"/>
      <c r="JD667" s="302"/>
      <c r="JE667" s="770"/>
      <c r="JF667" s="770"/>
      <c r="JG667" s="770"/>
      <c r="JH667" s="307"/>
      <c r="JI667" s="712" t="str">
        <f>IF(SUM(JT667,JU667)=JJ667,"ok","review")</f>
        <v>ok</v>
      </c>
      <c r="JJ667" s="770">
        <v>1</v>
      </c>
      <c r="JK667" s="1139" t="s">
        <v>4361</v>
      </c>
      <c r="JL667" s="770"/>
      <c r="JM667" s="770"/>
      <c r="JN667" s="770">
        <v>1</v>
      </c>
      <c r="JO667" s="770"/>
      <c r="JP667" s="770"/>
      <c r="JQ667" s="770"/>
      <c r="JR667" s="770"/>
      <c r="JS667" s="770"/>
      <c r="JT667" s="766">
        <f>SUM(JP667,JN667,JL667,JR667)</f>
        <v>1</v>
      </c>
      <c r="JU667" s="766">
        <f>SUM(JQ667,JO667,JM667,JS667)</f>
        <v>0</v>
      </c>
      <c r="JV667" s="712" t="str">
        <f>IF(JT667=KJ667,"ok","male")</f>
        <v>ok</v>
      </c>
      <c r="JW667" s="712" t="str">
        <f>IF(JU667=KK667,"ok","female")</f>
        <v>ok</v>
      </c>
      <c r="JX667" s="770"/>
      <c r="JY667" s="770"/>
      <c r="JZ667" s="770"/>
      <c r="KA667" s="770"/>
      <c r="KB667" s="770"/>
      <c r="KC667" s="770"/>
      <c r="KD667" s="770">
        <v>1</v>
      </c>
      <c r="KE667" s="770"/>
      <c r="KF667" s="770"/>
      <c r="KG667" s="770"/>
      <c r="KH667" s="770"/>
      <c r="KI667" s="770"/>
      <c r="KJ667" s="770">
        <f t="shared" si="204"/>
        <v>1</v>
      </c>
      <c r="KK667" s="770">
        <f t="shared" si="204"/>
        <v>0</v>
      </c>
      <c r="KL667" s="712" t="str">
        <f>IF(KJ667=LN667,"ok","male")</f>
        <v>ok</v>
      </c>
      <c r="KM667" s="712" t="str">
        <f>IF(KK667=LO667,"ok","female")</f>
        <v>ok</v>
      </c>
      <c r="KN667" s="770" t="s">
        <v>768</v>
      </c>
      <c r="KO667" s="770"/>
      <c r="KP667" s="770"/>
      <c r="KQ667" s="770"/>
      <c r="KR667" s="770"/>
      <c r="KS667" s="770"/>
      <c r="KT667" s="770"/>
      <c r="KU667" s="770"/>
      <c r="KV667" s="770">
        <v>1</v>
      </c>
      <c r="KW667" s="770"/>
      <c r="KX667" s="770"/>
      <c r="KY667" s="770"/>
      <c r="KZ667" s="770"/>
      <c r="LA667" s="770"/>
      <c r="LB667" s="770"/>
      <c r="LC667" s="770"/>
      <c r="LD667" s="770"/>
      <c r="LE667" s="770"/>
      <c r="LF667" s="770"/>
      <c r="LG667" s="770"/>
      <c r="LH667" s="770"/>
      <c r="LI667" s="770"/>
      <c r="LJ667" s="770"/>
      <c r="LK667" s="770"/>
      <c r="LL667" s="770"/>
      <c r="LM667" s="770"/>
      <c r="LN667" s="766">
        <f>SUM(KP667,KR667,KT667,KV667,KX667,KZ667,LB667,LD667,LF667,LH667,LJ667,LL667)</f>
        <v>1</v>
      </c>
      <c r="LO667" s="766">
        <f>SUM(KQ667,KS667,KU667,KW667,KY667,LA667,LC667,LE667,LG667,LI667,LK667,LM667)</f>
        <v>0</v>
      </c>
      <c r="LP667" s="770">
        <v>1</v>
      </c>
      <c r="LQ667" s="770"/>
      <c r="LR667" s="770"/>
      <c r="LS667" s="770">
        <v>1</v>
      </c>
      <c r="LT667" s="712" t="str">
        <f>IF(LQ667=SUM(LU667:LW667),"OK","REV")</f>
        <v>OK</v>
      </c>
      <c r="LU667" s="770"/>
      <c r="LV667" s="770"/>
      <c r="LW667" s="770"/>
      <c r="LX667" s="769">
        <v>3</v>
      </c>
      <c r="LY667" s="766" t="str">
        <f t="shared" si="187"/>
        <v>within the PROVINCE</v>
      </c>
      <c r="LZ667" s="1709"/>
      <c r="MA667" s="1709"/>
      <c r="MB667" s="1709"/>
      <c r="MC667" s="1679">
        <f t="shared" si="185"/>
        <v>0</v>
      </c>
      <c r="MD667" s="1709"/>
      <c r="ME667" s="1709"/>
      <c r="MF667" s="1709">
        <v>4500</v>
      </c>
      <c r="MG667" s="1680">
        <f>SUM(MD667:MF667)</f>
        <v>4500</v>
      </c>
      <c r="MH667" s="770" t="s">
        <v>4362</v>
      </c>
      <c r="MI667" s="302">
        <f>50*30</f>
        <v>1500</v>
      </c>
      <c r="MJ667" s="302"/>
      <c r="MK667" s="302"/>
      <c r="ML667" s="302"/>
      <c r="MM667" s="302"/>
      <c r="MN667" s="302"/>
      <c r="MO667" s="302"/>
      <c r="MP667" s="302"/>
      <c r="MQ667" s="302"/>
      <c r="MR667" s="302"/>
      <c r="MS667" s="302">
        <v>50</v>
      </c>
      <c r="MT667" s="302"/>
      <c r="MU667" s="302"/>
      <c r="MV667" s="302"/>
      <c r="MW667" s="302"/>
      <c r="MX667" s="302"/>
      <c r="MY667" s="1682">
        <f t="shared" si="200"/>
        <v>1550</v>
      </c>
      <c r="MZ667" s="766" t="s">
        <v>1835</v>
      </c>
      <c r="NA667" s="770" t="s">
        <v>1249</v>
      </c>
      <c r="NB667" s="770" t="s">
        <v>13033</v>
      </c>
      <c r="NC667" s="770" t="s">
        <v>13164</v>
      </c>
      <c r="ND667" s="770"/>
      <c r="NE667" s="770"/>
      <c r="NF667" s="770"/>
      <c r="NG667" s="770"/>
      <c r="NH667" s="770"/>
      <c r="NI667" s="770"/>
      <c r="NJ667" s="770"/>
      <c r="NK667" s="770"/>
      <c r="NL667" s="770"/>
      <c r="NM667" s="770"/>
      <c r="NN667" s="770"/>
      <c r="NO667" s="770"/>
      <c r="NP667" s="770"/>
      <c r="NQ667" s="770"/>
      <c r="NR667" s="770"/>
      <c r="NS667" s="770"/>
      <c r="NT667" s="770"/>
      <c r="NU667" s="770"/>
      <c r="NV667" s="770"/>
      <c r="NW667" s="770"/>
      <c r="NX667" s="770"/>
      <c r="NY667" s="770"/>
      <c r="NZ667" s="770"/>
      <c r="OA667" s="770"/>
      <c r="OB667" s="770"/>
      <c r="OC667" s="770"/>
      <c r="OD667" s="770"/>
      <c r="OE667" s="770"/>
      <c r="OF667" s="770" t="s">
        <v>2143</v>
      </c>
      <c r="OG667" s="770" t="s">
        <v>1208</v>
      </c>
      <c r="OH667" s="770"/>
      <c r="OI667" s="770"/>
      <c r="OJ667" s="770"/>
      <c r="OK667" s="770" t="s">
        <v>1208</v>
      </c>
      <c r="OL667" s="770" t="s">
        <v>13881</v>
      </c>
      <c r="OM667" s="770" t="s">
        <v>13882</v>
      </c>
      <c r="ON667" s="770"/>
      <c r="OO667" s="770" t="s">
        <v>1207</v>
      </c>
      <c r="OP667" s="770" t="s">
        <v>2138</v>
      </c>
      <c r="OQ667" s="770" t="s">
        <v>13882</v>
      </c>
      <c r="OR667" s="770"/>
      <c r="OS667" s="770" t="s">
        <v>12885</v>
      </c>
      <c r="OT667" s="770"/>
      <c r="OU667" s="770"/>
      <c r="OV667" s="770" t="s">
        <v>1208</v>
      </c>
      <c r="OW667" s="770"/>
      <c r="OX667" s="770"/>
      <c r="OY667" s="770" t="s">
        <v>1208</v>
      </c>
      <c r="OZ667" s="770"/>
      <c r="PA667" s="770" t="s">
        <v>1208</v>
      </c>
      <c r="PB667" s="770" t="s">
        <v>1208</v>
      </c>
      <c r="PC667" s="770"/>
      <c r="PD667" s="770"/>
      <c r="PE667" s="770"/>
      <c r="PF667" s="770"/>
      <c r="PG667" s="770"/>
      <c r="PH667" s="770" t="s">
        <v>1208</v>
      </c>
      <c r="PI667" s="770"/>
      <c r="PJ667" s="770"/>
      <c r="PK667" s="770" t="s">
        <v>1208</v>
      </c>
      <c r="PL667" s="770"/>
      <c r="PM667" s="770"/>
      <c r="PN667" s="770"/>
      <c r="PO667" s="770"/>
      <c r="PP667" s="770"/>
      <c r="PQ667" s="770"/>
      <c r="PR667" s="770"/>
      <c r="PS667" s="770"/>
      <c r="PT667" s="770"/>
      <c r="PU667" s="770"/>
      <c r="PV667" s="770"/>
      <c r="PW667" s="770"/>
      <c r="PX667" s="770"/>
      <c r="PY667" s="770"/>
      <c r="PZ667" s="770"/>
      <c r="QA667" s="770"/>
      <c r="QB667" s="770"/>
      <c r="QC667" s="770"/>
      <c r="QD667" s="770"/>
      <c r="QE667" s="770"/>
      <c r="QF667" s="770"/>
      <c r="QG667" s="770"/>
      <c r="QH667" s="770"/>
      <c r="QI667" s="770"/>
      <c r="QJ667" s="770"/>
      <c r="QK667" s="770"/>
      <c r="QL667" s="770"/>
      <c r="QM667" s="770"/>
      <c r="QN667" s="770"/>
      <c r="QO667" s="770"/>
      <c r="QP667" s="770"/>
      <c r="QQ667" s="770"/>
      <c r="QR667" s="770"/>
      <c r="QS667" s="770"/>
      <c r="QT667" s="770"/>
      <c r="QU667" s="770"/>
      <c r="QV667" s="770"/>
      <c r="QW667" s="770"/>
      <c r="QX667" s="770"/>
      <c r="QY667" s="770"/>
      <c r="QZ667" s="770"/>
      <c r="RA667" s="770"/>
      <c r="RB667" s="770" t="s">
        <v>1207</v>
      </c>
      <c r="RC667" s="770" t="s">
        <v>13796</v>
      </c>
      <c r="RD667" s="770" t="s">
        <v>13615</v>
      </c>
      <c r="RE667" s="770" t="s">
        <v>12999</v>
      </c>
      <c r="RF667" s="304">
        <v>1</v>
      </c>
      <c r="RG667" s="770" t="s">
        <v>13047</v>
      </c>
      <c r="RH667" s="306">
        <v>0</v>
      </c>
      <c r="RI667" s="770">
        <v>24</v>
      </c>
      <c r="RJ667" s="94" t="s">
        <v>13883</v>
      </c>
      <c r="RK667" s="770" t="s">
        <v>13544</v>
      </c>
      <c r="RL667" s="1710" t="s">
        <v>1604</v>
      </c>
      <c r="RM667" s="12"/>
      <c r="RN667" s="1711"/>
      <c r="RO667" s="149" t="s">
        <v>4347</v>
      </c>
      <c r="RP667" s="11"/>
      <c r="RQ667" s="11"/>
      <c r="RR667" s="19" t="s">
        <v>7421</v>
      </c>
      <c r="RS667" s="1139" t="s">
        <v>12980</v>
      </c>
      <c r="RT667" s="11"/>
      <c r="RU667" s="11"/>
      <c r="RV667" s="771" t="s">
        <v>7419</v>
      </c>
      <c r="RW667" s="11" t="s">
        <v>7428</v>
      </c>
      <c r="RX667" s="11" t="s">
        <v>4329</v>
      </c>
      <c r="RY667" s="11"/>
      <c r="RZ667" s="11" t="s">
        <v>2209</v>
      </c>
      <c r="SA667" s="771"/>
      <c r="SB667" s="11"/>
      <c r="SC667" s="11"/>
    </row>
    <row r="668" spans="1:497" ht="12.75" hidden="1" customHeight="1">
      <c r="A668" s="19" t="s">
        <v>7419</v>
      </c>
      <c r="B668" s="292" t="s">
        <v>7555</v>
      </c>
      <c r="C668" s="149" t="s">
        <v>4363</v>
      </c>
      <c r="D668" s="94" t="s">
        <v>11648</v>
      </c>
      <c r="E668" s="766" t="s">
        <v>5791</v>
      </c>
      <c r="F668" s="770"/>
      <c r="G668" s="770"/>
      <c r="H668" s="770"/>
      <c r="I668" s="295"/>
      <c r="J668" s="94"/>
      <c r="K668" s="766" t="s">
        <v>4365</v>
      </c>
      <c r="L668" s="766" t="s">
        <v>4366</v>
      </c>
      <c r="M668" s="770" t="s">
        <v>1238</v>
      </c>
      <c r="N668" s="1757"/>
      <c r="O668" s="1757" t="s">
        <v>4367</v>
      </c>
      <c r="P668" s="12"/>
      <c r="Q668" s="1088"/>
      <c r="R668" s="297"/>
      <c r="S668" s="770"/>
      <c r="T668" s="770"/>
      <c r="U668" s="295"/>
      <c r="V668" s="770"/>
      <c r="W668" s="770"/>
      <c r="X668" s="770"/>
      <c r="Y668" s="770"/>
      <c r="Z668" s="770"/>
      <c r="AA668" s="770"/>
      <c r="AB668" s="770"/>
      <c r="AC668" s="770"/>
      <c r="AD668" s="770"/>
      <c r="AE668" s="770"/>
      <c r="AF668" s="770"/>
      <c r="AG668" s="766" t="s">
        <v>1132</v>
      </c>
      <c r="AH668" s="766" t="s">
        <v>1120</v>
      </c>
      <c r="AI668" s="75"/>
      <c r="AJ668" s="766" t="s">
        <v>1137</v>
      </c>
      <c r="AK668" s="766" t="s">
        <v>1097</v>
      </c>
      <c r="AL668" s="120"/>
      <c r="AM668" s="773"/>
      <c r="AN668" s="37"/>
      <c r="AO668" s="766"/>
      <c r="AP668" s="766" t="s">
        <v>1137</v>
      </c>
      <c r="AQ668" s="766"/>
      <c r="AR668" s="766"/>
      <c r="AS668" s="766"/>
      <c r="AT668" s="766"/>
      <c r="AU668" s="766"/>
      <c r="AV668" s="766"/>
      <c r="AW668" s="766"/>
      <c r="AX668" s="766"/>
      <c r="AY668" s="766"/>
      <c r="AZ668" s="766"/>
      <c r="BA668" s="766"/>
      <c r="BB668" s="766"/>
      <c r="BC668" s="766"/>
      <c r="BD668" s="766"/>
      <c r="BE668" s="766"/>
      <c r="BF668" s="775"/>
      <c r="BG668" s="775"/>
      <c r="BH668" s="770"/>
      <c r="BI668" s="770"/>
      <c r="BJ668" s="770"/>
      <c r="BK668" s="770" t="s">
        <v>1099</v>
      </c>
      <c r="BL668" s="770" t="s">
        <v>1137</v>
      </c>
      <c r="BM668" s="770" t="s">
        <v>1119</v>
      </c>
      <c r="BN668" s="770" t="s">
        <v>1230</v>
      </c>
      <c r="BO668" s="766" t="s">
        <v>1246</v>
      </c>
      <c r="BP668" s="776">
        <v>180</v>
      </c>
      <c r="BQ668" s="773">
        <v>30</v>
      </c>
      <c r="BR668" s="774">
        <f>BQ668/BP668</f>
        <v>0.16666666666666666</v>
      </c>
      <c r="BS668" s="766" t="s">
        <v>1242</v>
      </c>
      <c r="BT668" s="769" t="s">
        <v>8134</v>
      </c>
      <c r="BU668" s="769"/>
      <c r="BV668" s="769"/>
      <c r="BW668" s="769"/>
      <c r="BX668" s="302"/>
      <c r="BY668" s="770"/>
      <c r="BZ668" s="302"/>
      <c r="CA668" s="770"/>
      <c r="CB668" s="770"/>
      <c r="CC668" s="770"/>
      <c r="CD668" s="770"/>
      <c r="CE668" s="131"/>
      <c r="CF668" s="304"/>
      <c r="CG668" s="321"/>
      <c r="CH668" s="770"/>
      <c r="CI668" s="770"/>
      <c r="CJ668" s="770"/>
      <c r="CK668" s="770"/>
      <c r="CL668" s="770"/>
      <c r="CM668" s="770"/>
      <c r="CN668" s="770"/>
      <c r="CO668" s="770"/>
      <c r="CP668" s="770"/>
      <c r="CQ668" s="770"/>
      <c r="CR668" s="302"/>
      <c r="CS668" s="770"/>
      <c r="CT668" s="770"/>
      <c r="CU668" s="305"/>
      <c r="CV668" s="770"/>
      <c r="CW668" s="770"/>
      <c r="CX668" s="770"/>
      <c r="CY668" s="770"/>
      <c r="CZ668" s="770"/>
      <c r="DA668" s="306"/>
      <c r="DB668" s="770"/>
      <c r="DC668" s="770"/>
      <c r="DD668" s="770"/>
      <c r="DE668" s="300"/>
      <c r="DF668" s="770"/>
      <c r="DG668" s="770"/>
      <c r="DH668" s="770"/>
      <c r="DI668" s="770"/>
      <c r="DJ668" s="770"/>
      <c r="DK668" s="770"/>
      <c r="DL668" s="770"/>
      <c r="DM668" s="770"/>
      <c r="DN668" s="322"/>
      <c r="DO668" s="770"/>
      <c r="DP668" s="770"/>
      <c r="DQ668" s="770"/>
      <c r="DR668" s="770"/>
      <c r="DS668" s="307"/>
      <c r="DT668" s="770"/>
      <c r="DU668" s="770"/>
      <c r="DV668" s="770"/>
      <c r="DW668" s="306"/>
      <c r="DX668" s="306"/>
      <c r="DY668" s="1055"/>
      <c r="DZ668" s="770"/>
      <c r="EA668" s="770"/>
      <c r="EB668" s="770"/>
      <c r="EC668" s="770"/>
      <c r="ED668" s="770"/>
      <c r="EE668" s="770"/>
      <c r="EF668" s="770"/>
      <c r="EG668" s="770"/>
      <c r="EH668" s="770"/>
      <c r="EI668" s="770"/>
      <c r="EJ668" s="770"/>
      <c r="EK668" s="770"/>
      <c r="EL668" s="770"/>
      <c r="EM668" s="770"/>
      <c r="EN668" s="770"/>
      <c r="EO668" s="770"/>
      <c r="EP668" s="94"/>
      <c r="EQ668" s="770"/>
      <c r="ER668" s="770"/>
      <c r="ES668" s="770"/>
      <c r="ET668" s="770"/>
      <c r="EU668" s="770"/>
      <c r="EV668" s="770"/>
      <c r="EW668" s="770"/>
      <c r="EX668" s="770"/>
      <c r="EY668" s="770"/>
      <c r="EZ668" s="770"/>
      <c r="FA668" s="770"/>
      <c r="FB668" s="770"/>
      <c r="FC668" s="770"/>
      <c r="FD668" s="302"/>
      <c r="FE668" s="770"/>
      <c r="FF668" s="770"/>
      <c r="FG668" s="770"/>
      <c r="FH668" s="770"/>
      <c r="FI668" s="770"/>
      <c r="FJ668" s="770"/>
      <c r="FK668" s="770"/>
      <c r="FL668" s="770"/>
      <c r="FM668" s="302"/>
      <c r="FN668" s="302"/>
      <c r="FO668" s="302"/>
      <c r="FP668" s="770"/>
      <c r="FQ668" s="770"/>
      <c r="FR668" s="770"/>
      <c r="FS668" s="770"/>
      <c r="FT668" s="770"/>
      <c r="FU668" s="770"/>
      <c r="FV668" s="770"/>
      <c r="FW668" s="770"/>
      <c r="FX668" s="770"/>
      <c r="FY668" s="770"/>
      <c r="FZ668" s="770"/>
      <c r="GA668" s="770"/>
      <c r="GB668" s="770"/>
      <c r="GC668" s="308"/>
      <c r="GD668" s="297"/>
      <c r="GE668" s="770"/>
      <c r="GF668" s="302"/>
      <c r="GG668" s="302"/>
      <c r="GH668" s="770"/>
      <c r="GI668" s="770"/>
      <c r="GJ668" s="770"/>
      <c r="GK668" s="766"/>
      <c r="GL668" s="770"/>
      <c r="GM668" s="770"/>
      <c r="GN668" s="299"/>
      <c r="GO668" s="770"/>
      <c r="GP668" s="770"/>
      <c r="GQ668" s="770"/>
      <c r="GR668" s="770"/>
      <c r="GS668" s="770"/>
      <c r="GT668" s="770"/>
      <c r="GU668" s="770"/>
      <c r="GV668" s="770"/>
      <c r="GW668" s="770"/>
      <c r="GX668" s="770"/>
      <c r="GY668" s="770"/>
      <c r="GZ668" s="770"/>
      <c r="HA668" s="770"/>
      <c r="HB668" s="770"/>
      <c r="HC668" s="770"/>
      <c r="HD668" s="770"/>
      <c r="HE668" s="770"/>
      <c r="HF668" s="770"/>
      <c r="HG668" s="770"/>
      <c r="HH668" s="770"/>
      <c r="HI668" s="770"/>
      <c r="HJ668" s="770"/>
      <c r="HK668" s="770"/>
      <c r="HL668" s="770"/>
      <c r="HM668" s="770"/>
      <c r="HN668" s="770"/>
      <c r="HO668" s="770"/>
      <c r="HP668" s="770"/>
      <c r="HQ668" s="770"/>
      <c r="HR668" s="770"/>
      <c r="HS668" s="770"/>
      <c r="HT668" s="770"/>
      <c r="HU668" s="770"/>
      <c r="HV668" s="770"/>
      <c r="HW668" s="770"/>
      <c r="HX668" s="770"/>
      <c r="HY668" s="770"/>
      <c r="HZ668" s="770"/>
      <c r="IA668" s="770"/>
      <c r="IB668" s="770"/>
      <c r="IC668" s="770"/>
      <c r="ID668" s="770"/>
      <c r="IE668" s="770"/>
      <c r="IF668" s="770"/>
      <c r="IG668" s="770"/>
      <c r="IH668" s="770"/>
      <c r="II668" s="770"/>
      <c r="IJ668" s="770"/>
      <c r="IK668" s="770"/>
      <c r="IL668" s="770"/>
      <c r="IM668" s="770"/>
      <c r="IN668" s="770"/>
      <c r="IO668" s="296"/>
      <c r="IP668" s="770"/>
      <c r="IQ668" s="770"/>
      <c r="IR668" s="770"/>
      <c r="IS668" s="770"/>
      <c r="IT668" s="770"/>
      <c r="IU668" s="770"/>
      <c r="IV668" s="770"/>
      <c r="IW668" s="770"/>
      <c r="IX668" s="770"/>
      <c r="IY668" s="770"/>
      <c r="IZ668" s="770"/>
      <c r="JA668" s="770"/>
      <c r="JB668" s="770"/>
      <c r="JC668" s="770"/>
      <c r="JD668" s="302"/>
      <c r="JE668" s="770"/>
      <c r="JF668" s="770"/>
      <c r="JG668" s="770"/>
      <c r="JH668" s="307"/>
      <c r="JI668" s="307"/>
      <c r="JJ668" s="770"/>
      <c r="JK668" s="94"/>
      <c r="JL668" s="770"/>
      <c r="JM668" s="770"/>
      <c r="JN668" s="770"/>
      <c r="JO668" s="770"/>
      <c r="JP668" s="770"/>
      <c r="JQ668" s="770"/>
      <c r="JR668" s="770"/>
      <c r="JS668" s="770"/>
      <c r="JT668" s="766"/>
      <c r="JU668" s="766"/>
      <c r="JV668" s="766"/>
      <c r="JW668" s="766"/>
      <c r="JX668" s="770"/>
      <c r="JY668" s="770"/>
      <c r="JZ668" s="770"/>
      <c r="KA668" s="770"/>
      <c r="KB668" s="770"/>
      <c r="KC668" s="770"/>
      <c r="KD668" s="770"/>
      <c r="KE668" s="770"/>
      <c r="KF668" s="770"/>
      <c r="KG668" s="770"/>
      <c r="KH668" s="770"/>
      <c r="KI668" s="770"/>
      <c r="KJ668" s="770"/>
      <c r="KK668" s="770"/>
      <c r="KL668" s="770"/>
      <c r="KM668" s="770"/>
      <c r="KN668" s="770"/>
      <c r="KO668" s="770"/>
      <c r="KP668" s="770"/>
      <c r="KQ668" s="770"/>
      <c r="KR668" s="770"/>
      <c r="KS668" s="770"/>
      <c r="KT668" s="770"/>
      <c r="KU668" s="770"/>
      <c r="KV668" s="770"/>
      <c r="KW668" s="770"/>
      <c r="KX668" s="770"/>
      <c r="KY668" s="770"/>
      <c r="KZ668" s="770"/>
      <c r="LA668" s="770"/>
      <c r="LB668" s="770"/>
      <c r="LC668" s="770"/>
      <c r="LD668" s="770"/>
      <c r="LE668" s="770"/>
      <c r="LF668" s="770"/>
      <c r="LG668" s="770"/>
      <c r="LH668" s="770"/>
      <c r="LI668" s="770"/>
      <c r="LJ668" s="770"/>
      <c r="LK668" s="770"/>
      <c r="LL668" s="770"/>
      <c r="LM668" s="770"/>
      <c r="LN668" s="766"/>
      <c r="LO668" s="766"/>
      <c r="LP668" s="770"/>
      <c r="LQ668" s="770"/>
      <c r="LR668" s="770"/>
      <c r="LS668" s="770"/>
      <c r="LT668" s="770"/>
      <c r="LU668" s="770"/>
      <c r="LV668" s="770"/>
      <c r="LW668" s="770"/>
      <c r="LX668" s="769"/>
      <c r="LY668" s="766" t="str">
        <f t="shared" si="187"/>
        <v/>
      </c>
      <c r="LZ668" s="1709"/>
      <c r="MA668" s="1709"/>
      <c r="MB668" s="1709"/>
      <c r="MC668" s="1679">
        <f t="shared" si="185"/>
        <v>0</v>
      </c>
      <c r="MD668" s="1709"/>
      <c r="ME668" s="1709"/>
      <c r="MF668" s="1709"/>
      <c r="MG668" s="1680">
        <f t="shared" si="199"/>
        <v>0</v>
      </c>
      <c r="MH668" s="770"/>
      <c r="MI668" s="302"/>
      <c r="MJ668" s="302"/>
      <c r="MK668" s="302"/>
      <c r="ML668" s="302"/>
      <c r="MM668" s="302"/>
      <c r="MN668" s="302"/>
      <c r="MO668" s="302"/>
      <c r="MP668" s="302"/>
      <c r="MQ668" s="302"/>
      <c r="MR668" s="302"/>
      <c r="MS668" s="302"/>
      <c r="MT668" s="302"/>
      <c r="MU668" s="302"/>
      <c r="MV668" s="302"/>
      <c r="MW668" s="302"/>
      <c r="MX668" s="302"/>
      <c r="MY668" s="1682">
        <f t="shared" si="200"/>
        <v>0</v>
      </c>
      <c r="MZ668" s="766"/>
      <c r="NA668" s="770"/>
      <c r="NB668" s="770"/>
      <c r="NC668" s="770"/>
      <c r="ND668" s="770"/>
      <c r="NE668" s="770"/>
      <c r="NF668" s="770"/>
      <c r="NG668" s="770"/>
      <c r="NH668" s="770"/>
      <c r="NI668" s="770"/>
      <c r="NJ668" s="770"/>
      <c r="NK668" s="770"/>
      <c r="NL668" s="770"/>
      <c r="NM668" s="770"/>
      <c r="NN668" s="770"/>
      <c r="NO668" s="770"/>
      <c r="NP668" s="770"/>
      <c r="NQ668" s="770"/>
      <c r="NR668" s="770"/>
      <c r="NS668" s="770"/>
      <c r="NT668" s="770"/>
      <c r="NU668" s="770"/>
      <c r="NV668" s="770"/>
      <c r="NW668" s="770"/>
      <c r="NX668" s="770"/>
      <c r="NY668" s="770"/>
      <c r="NZ668" s="770"/>
      <c r="OA668" s="770"/>
      <c r="OB668" s="770"/>
      <c r="OC668" s="770"/>
      <c r="OD668" s="770"/>
      <c r="OE668" s="770"/>
      <c r="OF668" s="770"/>
      <c r="OG668" s="770"/>
      <c r="OH668" s="770"/>
      <c r="OI668" s="770"/>
      <c r="OJ668" s="770"/>
      <c r="OK668" s="770"/>
      <c r="OL668" s="770"/>
      <c r="OM668" s="770"/>
      <c r="ON668" s="770"/>
      <c r="OO668" s="770"/>
      <c r="OP668" s="770"/>
      <c r="OQ668" s="770"/>
      <c r="OR668" s="770"/>
      <c r="OS668" s="770"/>
      <c r="OT668" s="770"/>
      <c r="OU668" s="770"/>
      <c r="OV668" s="770"/>
      <c r="OW668" s="770"/>
      <c r="OX668" s="770"/>
      <c r="OY668" s="770"/>
      <c r="OZ668" s="770"/>
      <c r="PA668" s="770"/>
      <c r="PB668" s="770"/>
      <c r="PC668" s="770"/>
      <c r="PD668" s="770"/>
      <c r="PE668" s="770"/>
      <c r="PF668" s="770"/>
      <c r="PG668" s="770"/>
      <c r="PH668" s="770"/>
      <c r="PI668" s="770"/>
      <c r="PJ668" s="770"/>
      <c r="PK668" s="770"/>
      <c r="PL668" s="770"/>
      <c r="PM668" s="770"/>
      <c r="PN668" s="770"/>
      <c r="PO668" s="770"/>
      <c r="PP668" s="770"/>
      <c r="PQ668" s="770"/>
      <c r="PR668" s="770"/>
      <c r="PS668" s="770"/>
      <c r="PT668" s="770"/>
      <c r="PU668" s="770"/>
      <c r="PV668" s="770"/>
      <c r="PW668" s="770"/>
      <c r="PX668" s="770"/>
      <c r="PY668" s="770"/>
      <c r="PZ668" s="770"/>
      <c r="QA668" s="770"/>
      <c r="QB668" s="770"/>
      <c r="QC668" s="770"/>
      <c r="QD668" s="770"/>
      <c r="QE668" s="770"/>
      <c r="QF668" s="770"/>
      <c r="QG668" s="770"/>
      <c r="QH668" s="770"/>
      <c r="QI668" s="770"/>
      <c r="QJ668" s="770"/>
      <c r="QK668" s="770"/>
      <c r="QL668" s="770"/>
      <c r="QM668" s="770"/>
      <c r="QN668" s="770"/>
      <c r="QO668" s="770"/>
      <c r="QP668" s="770"/>
      <c r="QQ668" s="770"/>
      <c r="QR668" s="770"/>
      <c r="QS668" s="770"/>
      <c r="QT668" s="770"/>
      <c r="QU668" s="770"/>
      <c r="QV668" s="770"/>
      <c r="QW668" s="770"/>
      <c r="QX668" s="770"/>
      <c r="QY668" s="770"/>
      <c r="QZ668" s="770"/>
      <c r="RA668" s="770"/>
      <c r="RB668" s="770"/>
      <c r="RC668" s="770"/>
      <c r="RD668" s="770"/>
      <c r="RE668" s="770"/>
      <c r="RF668" s="304"/>
      <c r="RG668" s="770"/>
      <c r="RH668" s="306"/>
      <c r="RI668" s="770"/>
      <c r="RJ668" s="94"/>
      <c r="RK668" s="770"/>
      <c r="RL668" s="1710"/>
      <c r="RM668" s="12"/>
      <c r="RN668" s="1711"/>
      <c r="RO668" s="149" t="s">
        <v>4363</v>
      </c>
      <c r="RP668" s="11"/>
      <c r="RQ668" s="11"/>
      <c r="RR668" s="17"/>
      <c r="RS668" s="94"/>
      <c r="RT668" s="11"/>
      <c r="RU668" s="11"/>
      <c r="RV668" s="14" t="s">
        <v>7421</v>
      </c>
      <c r="RW668" s="11" t="s">
        <v>7429</v>
      </c>
      <c r="RX668" s="11" t="s">
        <v>4340</v>
      </c>
      <c r="RY668" s="11"/>
      <c r="RZ668" s="11" t="s">
        <v>2209</v>
      </c>
      <c r="SA668" s="14"/>
      <c r="SB668" s="11"/>
      <c r="SC668" s="11"/>
    </row>
    <row r="669" spans="1:497" ht="12.75" customHeight="1">
      <c r="A669" s="19" t="s">
        <v>7421</v>
      </c>
      <c r="B669" s="292" t="s">
        <v>7997</v>
      </c>
      <c r="C669" s="149" t="s">
        <v>4368</v>
      </c>
      <c r="D669" s="94" t="s">
        <v>4369</v>
      </c>
      <c r="E669" s="766" t="s">
        <v>4378</v>
      </c>
      <c r="F669" s="770" t="s">
        <v>28</v>
      </c>
      <c r="G669" s="770" t="s">
        <v>10</v>
      </c>
      <c r="H669" s="770"/>
      <c r="I669" s="12"/>
      <c r="J669" s="94" t="s">
        <v>4369</v>
      </c>
      <c r="K669" s="766" t="s">
        <v>4371</v>
      </c>
      <c r="L669" s="766" t="s">
        <v>4372</v>
      </c>
      <c r="M669" s="770" t="s">
        <v>1238</v>
      </c>
      <c r="N669" s="1757"/>
      <c r="O669" s="1757" t="s">
        <v>4373</v>
      </c>
      <c r="P669" s="770" t="s">
        <v>4374</v>
      </c>
      <c r="Q669" s="1088"/>
      <c r="R669" s="297"/>
      <c r="S669" s="770" t="s">
        <v>10</v>
      </c>
      <c r="T669" s="770"/>
      <c r="U669" s="295"/>
      <c r="V669" s="770"/>
      <c r="W669" s="770"/>
      <c r="X669" s="770"/>
      <c r="Y669" s="770" t="s">
        <v>4370</v>
      </c>
      <c r="Z669" s="770"/>
      <c r="AA669" s="770"/>
      <c r="AB669" s="770"/>
      <c r="AC669" s="770"/>
      <c r="AD669" s="770"/>
      <c r="AE669" s="770"/>
      <c r="AF669" s="770"/>
      <c r="AG669" s="766" t="s">
        <v>1132</v>
      </c>
      <c r="AH669" s="766" t="s">
        <v>1096</v>
      </c>
      <c r="AI669" s="75"/>
      <c r="AJ669" s="766" t="s">
        <v>1137</v>
      </c>
      <c r="AK669" s="766" t="s">
        <v>1101</v>
      </c>
      <c r="AL669" s="120">
        <v>120</v>
      </c>
      <c r="AM669" s="773">
        <v>120</v>
      </c>
      <c r="AN669" s="37">
        <f t="shared" ref="AN669:AN697" si="207">AM669/AL669</f>
        <v>1</v>
      </c>
      <c r="AO669" s="766" t="s">
        <v>1122</v>
      </c>
      <c r="AP669" s="766"/>
      <c r="AQ669" s="766"/>
      <c r="AR669" s="766"/>
      <c r="AS669" s="766"/>
      <c r="AT669" s="766"/>
      <c r="AU669" s="766"/>
      <c r="AV669" s="766"/>
      <c r="AW669" s="766"/>
      <c r="AX669" s="766"/>
      <c r="AY669" s="766"/>
      <c r="AZ669" s="766"/>
      <c r="BA669" s="766"/>
      <c r="BB669" s="766"/>
      <c r="BC669" s="766"/>
      <c r="BD669" s="766"/>
      <c r="BE669" s="766"/>
      <c r="BF669" s="775"/>
      <c r="BG669" s="775"/>
      <c r="BH669" s="770"/>
      <c r="BI669" s="770"/>
      <c r="BJ669" s="770"/>
      <c r="BK669" s="770"/>
      <c r="BL669" s="770"/>
      <c r="BM669" s="770"/>
      <c r="BN669" s="770"/>
      <c r="BO669" s="770"/>
      <c r="BP669" s="1109"/>
      <c r="BQ669" s="773"/>
      <c r="BR669" s="774"/>
      <c r="BS669" s="766"/>
      <c r="BT669" s="770"/>
      <c r="BU669" s="770"/>
      <c r="BV669" s="770"/>
      <c r="BW669" s="770"/>
      <c r="BX669" s="302"/>
      <c r="BY669" s="770"/>
      <c r="BZ669" s="302"/>
      <c r="CA669" s="770"/>
      <c r="CB669" s="770" t="s">
        <v>1207</v>
      </c>
      <c r="CC669" s="770" t="s">
        <v>4375</v>
      </c>
      <c r="CD669" s="770">
        <v>2016</v>
      </c>
      <c r="CE669" s="131"/>
      <c r="CF669" s="304">
        <v>2</v>
      </c>
      <c r="CG669" s="321">
        <v>5</v>
      </c>
      <c r="CH669" s="770" t="s">
        <v>1247</v>
      </c>
      <c r="CI669" s="770"/>
      <c r="CJ669" s="770"/>
      <c r="CK669" s="770">
        <v>3</v>
      </c>
      <c r="CL669" s="770"/>
      <c r="CM669" s="770" t="s">
        <v>3399</v>
      </c>
      <c r="CN669" s="770"/>
      <c r="CO669" s="770" t="s">
        <v>1149</v>
      </c>
      <c r="CP669" s="770"/>
      <c r="CQ669" s="770"/>
      <c r="CR669" s="302"/>
      <c r="CS669" s="770"/>
      <c r="CT669" s="770"/>
      <c r="CU669" s="305"/>
      <c r="CV669" s="770"/>
      <c r="CW669" s="770"/>
      <c r="CX669" s="770"/>
      <c r="CY669" s="770"/>
      <c r="CZ669" s="770"/>
      <c r="DA669" s="306"/>
      <c r="DB669" s="770"/>
      <c r="DC669" s="770"/>
      <c r="DD669" s="770"/>
      <c r="DE669" s="300"/>
      <c r="DF669" s="770"/>
      <c r="DG669" s="770"/>
      <c r="DH669" s="770"/>
      <c r="DI669" s="770"/>
      <c r="DJ669" s="770"/>
      <c r="DK669" s="770"/>
      <c r="DL669" s="770"/>
      <c r="DM669" s="770"/>
      <c r="DN669" s="322"/>
      <c r="DO669" s="770"/>
      <c r="DP669" s="770"/>
      <c r="DQ669" s="770"/>
      <c r="DR669" s="770"/>
      <c r="DS669" s="307"/>
      <c r="DT669" s="770"/>
      <c r="DU669" s="770"/>
      <c r="DV669" s="770"/>
      <c r="DW669" s="306"/>
      <c r="DX669" s="306"/>
      <c r="DY669" s="1055"/>
      <c r="DZ669" s="770"/>
      <c r="EA669" s="770"/>
      <c r="EB669" s="770"/>
      <c r="EC669" s="770"/>
      <c r="ED669" s="770"/>
      <c r="EE669" s="770"/>
      <c r="EF669" s="770"/>
      <c r="EG669" s="770"/>
      <c r="EH669" s="770"/>
      <c r="EI669" s="770"/>
      <c r="EJ669" s="770"/>
      <c r="EK669" s="770"/>
      <c r="EL669" s="770"/>
      <c r="EM669" s="770"/>
      <c r="EN669" s="770"/>
      <c r="EO669" s="770"/>
      <c r="EP669" s="94"/>
      <c r="EQ669" s="770"/>
      <c r="ER669" s="770"/>
      <c r="ES669" s="770"/>
      <c r="ET669" s="770"/>
      <c r="EU669" s="770"/>
      <c r="EV669" s="770"/>
      <c r="EW669" s="770"/>
      <c r="EX669" s="770"/>
      <c r="EY669" s="770"/>
      <c r="EZ669" s="770"/>
      <c r="FA669" s="770"/>
      <c r="FB669" s="770"/>
      <c r="FC669" s="770"/>
      <c r="FD669" s="302"/>
      <c r="FE669" s="770"/>
      <c r="FF669" s="770"/>
      <c r="FG669" s="770"/>
      <c r="FH669" s="770"/>
      <c r="FI669" s="770"/>
      <c r="FJ669" s="770"/>
      <c r="FK669" s="770"/>
      <c r="FL669" s="770"/>
      <c r="FM669" s="302"/>
      <c r="FN669" s="302"/>
      <c r="FO669" s="302"/>
      <c r="FP669" s="770"/>
      <c r="FQ669" s="770"/>
      <c r="FR669" s="770"/>
      <c r="FS669" s="770"/>
      <c r="FT669" s="770"/>
      <c r="FU669" s="770"/>
      <c r="FV669" s="770"/>
      <c r="FW669" s="770"/>
      <c r="FX669" s="770"/>
      <c r="FY669" s="770"/>
      <c r="FZ669" s="770"/>
      <c r="GA669" s="770"/>
      <c r="GB669" s="770"/>
      <c r="GC669" s="308"/>
      <c r="GD669" s="297"/>
      <c r="GE669" s="770"/>
      <c r="GF669" s="302"/>
      <c r="GG669" s="302"/>
      <c r="GH669" s="770"/>
      <c r="GI669" s="770"/>
      <c r="GJ669" s="770"/>
      <c r="GK669" s="766"/>
      <c r="GL669" s="770"/>
      <c r="GM669" s="770"/>
      <c r="GN669" s="299"/>
      <c r="GO669" s="770"/>
      <c r="GP669" s="770"/>
      <c r="GQ669" s="770"/>
      <c r="GR669" s="770"/>
      <c r="GS669" s="770"/>
      <c r="GT669" s="770"/>
      <c r="GU669" s="770"/>
      <c r="GV669" s="770"/>
      <c r="GW669" s="770"/>
      <c r="GX669" s="770"/>
      <c r="GY669" s="770"/>
      <c r="GZ669" s="770"/>
      <c r="HA669" s="770"/>
      <c r="HB669" s="770"/>
      <c r="HC669" s="770"/>
      <c r="HD669" s="770"/>
      <c r="HE669" s="770"/>
      <c r="HF669" s="770"/>
      <c r="HG669" s="770"/>
      <c r="HH669" s="770"/>
      <c r="HI669" s="770"/>
      <c r="HJ669" s="770"/>
      <c r="HK669" s="770"/>
      <c r="HL669" s="770"/>
      <c r="HM669" s="770"/>
      <c r="HN669" s="770"/>
      <c r="HO669" s="770"/>
      <c r="HP669" s="770"/>
      <c r="HQ669" s="770"/>
      <c r="HR669" s="770"/>
      <c r="HS669" s="770"/>
      <c r="HT669" s="770">
        <v>8</v>
      </c>
      <c r="HU669" s="770"/>
      <c r="HV669" s="770"/>
      <c r="HW669" s="770"/>
      <c r="HX669" s="770"/>
      <c r="HY669" s="770"/>
      <c r="HZ669" s="770"/>
      <c r="IA669" s="770"/>
      <c r="IB669" s="770"/>
      <c r="IC669" s="770"/>
      <c r="ID669" s="770"/>
      <c r="IE669" s="770"/>
      <c r="IF669" s="770"/>
      <c r="IG669" s="770"/>
      <c r="IH669" s="770"/>
      <c r="II669" s="770"/>
      <c r="IJ669" s="770"/>
      <c r="IK669" s="770"/>
      <c r="IL669" s="770"/>
      <c r="IM669" s="770"/>
      <c r="IN669" s="770"/>
      <c r="IO669" s="296"/>
      <c r="IP669" s="770"/>
      <c r="IQ669" s="770"/>
      <c r="IR669" s="770"/>
      <c r="IS669" s="770"/>
      <c r="IT669" s="770"/>
      <c r="IU669" s="770"/>
      <c r="IV669" s="770"/>
      <c r="IW669" s="770"/>
      <c r="IX669" s="770"/>
      <c r="IY669" s="770"/>
      <c r="IZ669" s="770"/>
      <c r="JA669" s="770"/>
      <c r="JB669" s="770"/>
      <c r="JC669" s="770"/>
      <c r="JD669" s="302"/>
      <c r="JE669" s="770"/>
      <c r="JF669" s="770"/>
      <c r="JG669" s="770"/>
      <c r="JH669" s="307"/>
      <c r="JI669" s="307"/>
      <c r="JJ669" s="770"/>
      <c r="JK669" s="770"/>
      <c r="JL669" s="770"/>
      <c r="JM669" s="770"/>
      <c r="JN669" s="770"/>
      <c r="JO669" s="770"/>
      <c r="JP669" s="770"/>
      <c r="JQ669" s="770"/>
      <c r="JR669" s="770"/>
      <c r="JS669" s="770"/>
      <c r="JT669" s="766"/>
      <c r="JU669" s="766"/>
      <c r="JV669" s="766"/>
      <c r="JW669" s="766"/>
      <c r="JX669" s="770"/>
      <c r="JY669" s="770"/>
      <c r="JZ669" s="770"/>
      <c r="KA669" s="770"/>
      <c r="KB669" s="770"/>
      <c r="KC669" s="770"/>
      <c r="KD669" s="770"/>
      <c r="KE669" s="770"/>
      <c r="KF669" s="770"/>
      <c r="KG669" s="770"/>
      <c r="KH669" s="770"/>
      <c r="KI669" s="770"/>
      <c r="KJ669" s="770"/>
      <c r="KK669" s="770"/>
      <c r="KL669" s="770"/>
      <c r="KM669" s="770"/>
      <c r="KN669" s="770"/>
      <c r="KO669" s="770"/>
      <c r="KP669" s="770"/>
      <c r="KQ669" s="770"/>
      <c r="KR669" s="770"/>
      <c r="KS669" s="770"/>
      <c r="KT669" s="770"/>
      <c r="KU669" s="770"/>
      <c r="KV669" s="770"/>
      <c r="KW669" s="770"/>
      <c r="KX669" s="770"/>
      <c r="KY669" s="770"/>
      <c r="KZ669" s="770"/>
      <c r="LA669" s="770"/>
      <c r="LB669" s="770"/>
      <c r="LC669" s="770"/>
      <c r="LD669" s="770"/>
      <c r="LE669" s="770"/>
      <c r="LF669" s="770"/>
      <c r="LG669" s="770"/>
      <c r="LH669" s="770"/>
      <c r="LI669" s="770"/>
      <c r="LJ669" s="770"/>
      <c r="LK669" s="770"/>
      <c r="LL669" s="770"/>
      <c r="LM669" s="770"/>
      <c r="LN669" s="766"/>
      <c r="LO669" s="766"/>
      <c r="LP669" s="770"/>
      <c r="LQ669" s="770"/>
      <c r="LR669" s="770"/>
      <c r="LS669" s="770"/>
      <c r="LT669" s="770"/>
      <c r="LU669" s="770"/>
      <c r="LV669" s="770"/>
      <c r="LW669" s="770"/>
      <c r="LX669" s="769"/>
      <c r="LY669" s="766" t="str">
        <f t="shared" si="187"/>
        <v/>
      </c>
      <c r="LZ669" s="1709"/>
      <c r="MA669" s="1709"/>
      <c r="MB669" s="1709"/>
      <c r="MC669" s="1679">
        <f t="shared" si="185"/>
        <v>0</v>
      </c>
      <c r="MD669" s="1709"/>
      <c r="ME669" s="1709"/>
      <c r="MF669" s="1709"/>
      <c r="MG669" s="1680">
        <f t="shared" si="199"/>
        <v>0</v>
      </c>
      <c r="MH669" s="770"/>
      <c r="MI669" s="302"/>
      <c r="MJ669" s="302"/>
      <c r="MK669" s="302"/>
      <c r="ML669" s="302"/>
      <c r="MM669" s="302"/>
      <c r="MN669" s="302"/>
      <c r="MO669" s="302"/>
      <c r="MP669" s="302"/>
      <c r="MQ669" s="302"/>
      <c r="MR669" s="302"/>
      <c r="MS669" s="302"/>
      <c r="MT669" s="302"/>
      <c r="MU669" s="302"/>
      <c r="MV669" s="302"/>
      <c r="MW669" s="302"/>
      <c r="MX669" s="302"/>
      <c r="MY669" s="1682">
        <f t="shared" si="200"/>
        <v>0</v>
      </c>
      <c r="MZ669" s="766"/>
      <c r="NA669" s="770"/>
      <c r="NB669" s="770"/>
      <c r="NC669" s="770"/>
      <c r="ND669" s="770"/>
      <c r="NE669" s="770"/>
      <c r="NF669" s="770"/>
      <c r="NG669" s="770"/>
      <c r="NH669" s="770"/>
      <c r="NI669" s="770"/>
      <c r="NJ669" s="770"/>
      <c r="NK669" s="770"/>
      <c r="NL669" s="770"/>
      <c r="NM669" s="770"/>
      <c r="NN669" s="770"/>
      <c r="NO669" s="770"/>
      <c r="NP669" s="770"/>
      <c r="NQ669" s="770"/>
      <c r="NR669" s="770"/>
      <c r="NS669" s="770"/>
      <c r="NT669" s="770"/>
      <c r="NU669" s="770"/>
      <c r="NV669" s="770"/>
      <c r="NW669" s="770"/>
      <c r="NX669" s="770"/>
      <c r="NY669" s="770"/>
      <c r="NZ669" s="770"/>
      <c r="OA669" s="770"/>
      <c r="OB669" s="770"/>
      <c r="OC669" s="770"/>
      <c r="OD669" s="770"/>
      <c r="OE669" s="770"/>
      <c r="OF669" s="770"/>
      <c r="OG669" s="770"/>
      <c r="OH669" s="770"/>
      <c r="OI669" s="770"/>
      <c r="OJ669" s="770"/>
      <c r="OK669" s="770"/>
      <c r="OL669" s="770"/>
      <c r="OM669" s="770"/>
      <c r="ON669" s="770"/>
      <c r="OO669" s="770"/>
      <c r="OP669" s="770"/>
      <c r="OQ669" s="770"/>
      <c r="OR669" s="770"/>
      <c r="OS669" s="770"/>
      <c r="OT669" s="770"/>
      <c r="OU669" s="770"/>
      <c r="OV669" s="770"/>
      <c r="OW669" s="770"/>
      <c r="OX669" s="770"/>
      <c r="OY669" s="770"/>
      <c r="OZ669" s="770"/>
      <c r="PA669" s="770"/>
      <c r="PB669" s="770"/>
      <c r="PC669" s="770"/>
      <c r="PD669" s="770"/>
      <c r="PE669" s="770"/>
      <c r="PF669" s="770"/>
      <c r="PG669" s="770"/>
      <c r="PH669" s="770"/>
      <c r="PI669" s="770"/>
      <c r="PJ669" s="770"/>
      <c r="PK669" s="770"/>
      <c r="PL669" s="770"/>
      <c r="PM669" s="770"/>
      <c r="PN669" s="770"/>
      <c r="PO669" s="770"/>
      <c r="PP669" s="770"/>
      <c r="PQ669" s="770"/>
      <c r="PR669" s="770"/>
      <c r="PS669" s="770"/>
      <c r="PT669" s="770"/>
      <c r="PU669" s="770"/>
      <c r="PV669" s="770"/>
      <c r="PW669" s="770"/>
      <c r="PX669" s="770"/>
      <c r="PY669" s="770"/>
      <c r="PZ669" s="770"/>
      <c r="QA669" s="770"/>
      <c r="QB669" s="770"/>
      <c r="QC669" s="770"/>
      <c r="QD669" s="770"/>
      <c r="QE669" s="770"/>
      <c r="QF669" s="770"/>
      <c r="QG669" s="770"/>
      <c r="QH669" s="770"/>
      <c r="QI669" s="770"/>
      <c r="QJ669" s="770"/>
      <c r="QK669" s="770"/>
      <c r="QL669" s="770"/>
      <c r="QM669" s="770"/>
      <c r="QN669" s="770"/>
      <c r="QO669" s="770"/>
      <c r="QP669" s="770"/>
      <c r="QQ669" s="770"/>
      <c r="QR669" s="770"/>
      <c r="QS669" s="770"/>
      <c r="QT669" s="770"/>
      <c r="QU669" s="770"/>
      <c r="QV669" s="770"/>
      <c r="QW669" s="770"/>
      <c r="QX669" s="770"/>
      <c r="QY669" s="770"/>
      <c r="QZ669" s="770"/>
      <c r="RA669" s="770"/>
      <c r="RB669" s="770"/>
      <c r="RC669" s="770"/>
      <c r="RD669" s="770"/>
      <c r="RE669" s="770"/>
      <c r="RF669" s="304"/>
      <c r="RG669" s="770"/>
      <c r="RH669" s="306"/>
      <c r="RI669" s="770"/>
      <c r="RJ669" s="94" t="s">
        <v>13884</v>
      </c>
      <c r="RK669" s="770" t="s">
        <v>13550</v>
      </c>
      <c r="RL669" s="1710" t="s">
        <v>1604</v>
      </c>
      <c r="RM669" s="12"/>
      <c r="RN669" s="1711"/>
      <c r="RO669" s="149" t="s">
        <v>4368</v>
      </c>
      <c r="RP669" s="11"/>
      <c r="RQ669" s="11"/>
      <c r="RR669" s="17"/>
      <c r="RS669" s="770"/>
      <c r="RT669" s="11"/>
      <c r="RU669" s="11"/>
      <c r="RV669" s="766" t="s">
        <v>7421</v>
      </c>
      <c r="RW669" s="11" t="s">
        <v>7996</v>
      </c>
      <c r="RX669" s="11" t="s">
        <v>4347</v>
      </c>
      <c r="RY669" s="11"/>
      <c r="RZ669" s="11" t="s">
        <v>1101</v>
      </c>
      <c r="SA669" s="766"/>
      <c r="SB669" s="11"/>
      <c r="SC669" s="11"/>
    </row>
    <row r="670" spans="1:497" ht="12.75" customHeight="1">
      <c r="A670" s="19" t="s">
        <v>7421</v>
      </c>
      <c r="B670" s="292" t="s">
        <v>7998</v>
      </c>
      <c r="C670" s="149" t="s">
        <v>4376</v>
      </c>
      <c r="D670" s="94" t="s">
        <v>4377</v>
      </c>
      <c r="E670" s="766" t="s">
        <v>4378</v>
      </c>
      <c r="F670" s="770" t="s">
        <v>28</v>
      </c>
      <c r="G670" s="770" t="s">
        <v>10</v>
      </c>
      <c r="H670" s="770"/>
      <c r="I670" s="12"/>
      <c r="J670" s="94" t="s">
        <v>4377</v>
      </c>
      <c r="K670" s="766" t="s">
        <v>4379</v>
      </c>
      <c r="L670" s="766" t="s">
        <v>4380</v>
      </c>
      <c r="M670" s="770" t="s">
        <v>1238</v>
      </c>
      <c r="N670" s="1757"/>
      <c r="O670" s="1757" t="s">
        <v>4373</v>
      </c>
      <c r="P670" s="770"/>
      <c r="Q670" s="1088"/>
      <c r="R670" s="297"/>
      <c r="S670" s="770"/>
      <c r="T670" s="770"/>
      <c r="U670" s="295"/>
      <c r="V670" s="770"/>
      <c r="W670" s="770"/>
      <c r="X670" s="770"/>
      <c r="Y670" s="770"/>
      <c r="Z670" s="770"/>
      <c r="AA670" s="770"/>
      <c r="AB670" s="770"/>
      <c r="AC670" s="770"/>
      <c r="AD670" s="770"/>
      <c r="AE670" s="770"/>
      <c r="AF670" s="770"/>
      <c r="AG670" s="766" t="s">
        <v>1132</v>
      </c>
      <c r="AH670" s="766" t="s">
        <v>1096</v>
      </c>
      <c r="AI670" s="75"/>
      <c r="AJ670" s="766" t="s">
        <v>1137</v>
      </c>
      <c r="AK670" s="766" t="s">
        <v>1101</v>
      </c>
      <c r="AL670" s="120">
        <v>30</v>
      </c>
      <c r="AM670" s="773">
        <v>25</v>
      </c>
      <c r="AN670" s="37">
        <f t="shared" si="207"/>
        <v>0.83333333333333337</v>
      </c>
      <c r="AO670" s="766" t="s">
        <v>1105</v>
      </c>
      <c r="AP670" s="766"/>
      <c r="AQ670" s="766"/>
      <c r="AR670" s="766"/>
      <c r="AS670" s="766"/>
      <c r="AT670" s="766"/>
      <c r="AU670" s="766"/>
      <c r="AV670" s="766"/>
      <c r="AW670" s="766"/>
      <c r="AX670" s="766"/>
      <c r="AY670" s="766"/>
      <c r="AZ670" s="766"/>
      <c r="BA670" s="766"/>
      <c r="BB670" s="766"/>
      <c r="BC670" s="766"/>
      <c r="BD670" s="766"/>
      <c r="BE670" s="766"/>
      <c r="BF670" s="775"/>
      <c r="BG670" s="775"/>
      <c r="BH670" s="770"/>
      <c r="BI670" s="770"/>
      <c r="BJ670" s="770"/>
      <c r="BK670" s="770"/>
      <c r="BL670" s="770"/>
      <c r="BM670" s="770"/>
      <c r="BN670" s="770"/>
      <c r="BO670" s="770"/>
      <c r="BP670" s="1109"/>
      <c r="BQ670" s="773"/>
      <c r="BR670" s="774"/>
      <c r="BS670" s="766"/>
      <c r="BT670" s="770"/>
      <c r="BU670" s="770"/>
      <c r="BV670" s="770"/>
      <c r="BW670" s="770"/>
      <c r="BX670" s="302"/>
      <c r="BY670" s="770"/>
      <c r="BZ670" s="302"/>
      <c r="CA670" s="770"/>
      <c r="CB670" s="770" t="s">
        <v>1207</v>
      </c>
      <c r="CC670" s="770" t="s">
        <v>4381</v>
      </c>
      <c r="CD670" s="770">
        <v>2016</v>
      </c>
      <c r="CE670" s="131"/>
      <c r="CF670" s="304">
        <v>1.2</v>
      </c>
      <c r="CG670" s="321">
        <v>12</v>
      </c>
      <c r="CH670" s="770" t="s">
        <v>4382</v>
      </c>
      <c r="CI670" s="770"/>
      <c r="CJ670" s="770"/>
      <c r="CK670" s="770">
        <v>6</v>
      </c>
      <c r="CL670" s="770"/>
      <c r="CM670" s="770" t="s">
        <v>3399</v>
      </c>
      <c r="CN670" s="770"/>
      <c r="CO670" s="770" t="s">
        <v>1105</v>
      </c>
      <c r="CP670" s="770"/>
      <c r="CQ670" s="770"/>
      <c r="CR670" s="302"/>
      <c r="CS670" s="770"/>
      <c r="CT670" s="770"/>
      <c r="CU670" s="305"/>
      <c r="CV670" s="770"/>
      <c r="CW670" s="770"/>
      <c r="CX670" s="770"/>
      <c r="CY670" s="770"/>
      <c r="CZ670" s="770"/>
      <c r="DA670" s="306"/>
      <c r="DB670" s="770"/>
      <c r="DC670" s="770"/>
      <c r="DD670" s="770"/>
      <c r="DE670" s="300"/>
      <c r="DF670" s="770"/>
      <c r="DG670" s="770"/>
      <c r="DH670" s="770"/>
      <c r="DI670" s="770"/>
      <c r="DJ670" s="770"/>
      <c r="DK670" s="770"/>
      <c r="DL670" s="770"/>
      <c r="DM670" s="770"/>
      <c r="DN670" s="322"/>
      <c r="DO670" s="770"/>
      <c r="DP670" s="770"/>
      <c r="DQ670" s="770"/>
      <c r="DR670" s="770"/>
      <c r="DS670" s="307"/>
      <c r="DT670" s="770"/>
      <c r="DU670" s="770"/>
      <c r="DV670" s="770"/>
      <c r="DW670" s="306"/>
      <c r="DX670" s="306"/>
      <c r="DY670" s="1055"/>
      <c r="DZ670" s="770"/>
      <c r="EA670" s="770"/>
      <c r="EB670" s="770"/>
      <c r="EC670" s="770"/>
      <c r="ED670" s="770"/>
      <c r="EE670" s="770"/>
      <c r="EF670" s="770"/>
      <c r="EG670" s="770"/>
      <c r="EH670" s="770"/>
      <c r="EI670" s="770"/>
      <c r="EJ670" s="770"/>
      <c r="EK670" s="770"/>
      <c r="EL670" s="770"/>
      <c r="EM670" s="770"/>
      <c r="EN670" s="770"/>
      <c r="EO670" s="770"/>
      <c r="EP670" s="94"/>
      <c r="EQ670" s="770"/>
      <c r="ER670" s="770"/>
      <c r="ES670" s="770"/>
      <c r="ET670" s="770"/>
      <c r="EU670" s="770"/>
      <c r="EV670" s="770"/>
      <c r="EW670" s="770"/>
      <c r="EX670" s="770"/>
      <c r="EY670" s="770"/>
      <c r="EZ670" s="770"/>
      <c r="FA670" s="770"/>
      <c r="FB670" s="770"/>
      <c r="FC670" s="770"/>
      <c r="FD670" s="302"/>
      <c r="FE670" s="770"/>
      <c r="FF670" s="770"/>
      <c r="FG670" s="770"/>
      <c r="FH670" s="770"/>
      <c r="FI670" s="770"/>
      <c r="FJ670" s="770"/>
      <c r="FK670" s="770"/>
      <c r="FL670" s="770"/>
      <c r="FM670" s="302"/>
      <c r="FN670" s="302"/>
      <c r="FO670" s="302"/>
      <c r="FP670" s="770"/>
      <c r="FQ670" s="770"/>
      <c r="FR670" s="770"/>
      <c r="FS670" s="770"/>
      <c r="FT670" s="770"/>
      <c r="FU670" s="770"/>
      <c r="FV670" s="770"/>
      <c r="FW670" s="770"/>
      <c r="FX670" s="770"/>
      <c r="FY670" s="770"/>
      <c r="FZ670" s="770"/>
      <c r="GA670" s="770"/>
      <c r="GB670" s="770"/>
      <c r="GC670" s="308"/>
      <c r="GD670" s="297"/>
      <c r="GE670" s="770"/>
      <c r="GF670" s="302"/>
      <c r="GG670" s="302"/>
      <c r="GH670" s="770"/>
      <c r="GI670" s="770"/>
      <c r="GJ670" s="770"/>
      <c r="GK670" s="766"/>
      <c r="GL670" s="770"/>
      <c r="GM670" s="770"/>
      <c r="GN670" s="299"/>
      <c r="GO670" s="770"/>
      <c r="GP670" s="770"/>
      <c r="GQ670" s="770"/>
      <c r="GR670" s="770"/>
      <c r="GS670" s="770"/>
      <c r="GT670" s="770"/>
      <c r="GU670" s="770"/>
      <c r="GV670" s="770"/>
      <c r="GW670" s="770"/>
      <c r="GX670" s="770"/>
      <c r="GY670" s="770"/>
      <c r="GZ670" s="770"/>
      <c r="HA670" s="770"/>
      <c r="HB670" s="770"/>
      <c r="HC670" s="770"/>
      <c r="HD670" s="770"/>
      <c r="HE670" s="770"/>
      <c r="HF670" s="770"/>
      <c r="HG670" s="770"/>
      <c r="HH670" s="770"/>
      <c r="HI670" s="770"/>
      <c r="HJ670" s="770"/>
      <c r="HK670" s="770"/>
      <c r="HL670" s="770"/>
      <c r="HM670" s="770"/>
      <c r="HN670" s="770"/>
      <c r="HO670" s="770"/>
      <c r="HP670" s="770"/>
      <c r="HQ670" s="770"/>
      <c r="HR670" s="770">
        <v>2</v>
      </c>
      <c r="HS670" s="770">
        <v>1</v>
      </c>
      <c r="HT670" s="770">
        <v>2</v>
      </c>
      <c r="HU670" s="770"/>
      <c r="HV670" s="770"/>
      <c r="HW670" s="770"/>
      <c r="HX670" s="770"/>
      <c r="HY670" s="770"/>
      <c r="HZ670" s="770"/>
      <c r="IA670" s="770"/>
      <c r="IB670" s="770"/>
      <c r="IC670" s="770"/>
      <c r="ID670" s="770"/>
      <c r="IE670" s="770"/>
      <c r="IF670" s="770"/>
      <c r="IG670" s="770"/>
      <c r="IH670" s="770"/>
      <c r="II670" s="770"/>
      <c r="IJ670" s="770"/>
      <c r="IK670" s="770"/>
      <c r="IL670" s="770"/>
      <c r="IM670" s="770"/>
      <c r="IN670" s="770"/>
      <c r="IO670" s="296"/>
      <c r="IP670" s="770"/>
      <c r="IQ670" s="770"/>
      <c r="IR670" s="770"/>
      <c r="IS670" s="770"/>
      <c r="IT670" s="770"/>
      <c r="IU670" s="770"/>
      <c r="IV670" s="770"/>
      <c r="IW670" s="770"/>
      <c r="IX670" s="770"/>
      <c r="IY670" s="770"/>
      <c r="IZ670" s="770"/>
      <c r="JA670" s="770"/>
      <c r="JB670" s="770"/>
      <c r="JC670" s="770"/>
      <c r="JD670" s="302"/>
      <c r="JE670" s="770"/>
      <c r="JF670" s="770"/>
      <c r="JG670" s="770"/>
      <c r="JH670" s="307"/>
      <c r="JI670" s="307"/>
      <c r="JJ670" s="770"/>
      <c r="JK670" s="770"/>
      <c r="JL670" s="770"/>
      <c r="JM670" s="770"/>
      <c r="JN670" s="770"/>
      <c r="JO670" s="770"/>
      <c r="JP670" s="770"/>
      <c r="JQ670" s="770"/>
      <c r="JR670" s="770"/>
      <c r="JS670" s="770"/>
      <c r="JT670" s="766"/>
      <c r="JU670" s="766"/>
      <c r="JV670" s="766"/>
      <c r="JW670" s="766"/>
      <c r="JX670" s="770"/>
      <c r="JY670" s="770"/>
      <c r="JZ670" s="770"/>
      <c r="KA670" s="770"/>
      <c r="KB670" s="770"/>
      <c r="KC670" s="770"/>
      <c r="KD670" s="770"/>
      <c r="KE670" s="770"/>
      <c r="KF670" s="770"/>
      <c r="KG670" s="770"/>
      <c r="KH670" s="770"/>
      <c r="KI670" s="770"/>
      <c r="KJ670" s="770"/>
      <c r="KK670" s="770"/>
      <c r="KL670" s="770"/>
      <c r="KM670" s="770"/>
      <c r="KN670" s="770"/>
      <c r="KO670" s="770"/>
      <c r="KP670" s="770"/>
      <c r="KQ670" s="770"/>
      <c r="KR670" s="770"/>
      <c r="KS670" s="770"/>
      <c r="KT670" s="770"/>
      <c r="KU670" s="770"/>
      <c r="KV670" s="770"/>
      <c r="KW670" s="770"/>
      <c r="KX670" s="770"/>
      <c r="KY670" s="770"/>
      <c r="KZ670" s="770"/>
      <c r="LA670" s="770"/>
      <c r="LB670" s="770"/>
      <c r="LC670" s="770"/>
      <c r="LD670" s="770"/>
      <c r="LE670" s="770"/>
      <c r="LF670" s="770"/>
      <c r="LG670" s="770"/>
      <c r="LH670" s="770"/>
      <c r="LI670" s="770"/>
      <c r="LJ670" s="770"/>
      <c r="LK670" s="770"/>
      <c r="LL670" s="770"/>
      <c r="LM670" s="770"/>
      <c r="LN670" s="766"/>
      <c r="LO670" s="766"/>
      <c r="LP670" s="770"/>
      <c r="LQ670" s="770"/>
      <c r="LR670" s="770"/>
      <c r="LS670" s="770"/>
      <c r="LT670" s="770"/>
      <c r="LU670" s="770"/>
      <c r="LV670" s="770"/>
      <c r="LW670" s="770"/>
      <c r="LX670" s="769"/>
      <c r="LY670" s="766" t="str">
        <f t="shared" si="187"/>
        <v/>
      </c>
      <c r="LZ670" s="1709"/>
      <c r="MA670" s="1709"/>
      <c r="MB670" s="1709"/>
      <c r="MC670" s="1679">
        <f t="shared" si="185"/>
        <v>0</v>
      </c>
      <c r="MD670" s="1709"/>
      <c r="ME670" s="1709"/>
      <c r="MF670" s="1709"/>
      <c r="MG670" s="1680">
        <f t="shared" si="199"/>
        <v>0</v>
      </c>
      <c r="MH670" s="770"/>
      <c r="MI670" s="302"/>
      <c r="MJ670" s="302"/>
      <c r="MK670" s="302"/>
      <c r="ML670" s="302"/>
      <c r="MM670" s="302"/>
      <c r="MN670" s="302"/>
      <c r="MO670" s="302"/>
      <c r="MP670" s="302"/>
      <c r="MQ670" s="302"/>
      <c r="MR670" s="302"/>
      <c r="MS670" s="302"/>
      <c r="MT670" s="302"/>
      <c r="MU670" s="302"/>
      <c r="MV670" s="302"/>
      <c r="MW670" s="302"/>
      <c r="MX670" s="302"/>
      <c r="MY670" s="1682">
        <f t="shared" si="200"/>
        <v>0</v>
      </c>
      <c r="MZ670" s="766"/>
      <c r="NA670" s="770"/>
      <c r="NB670" s="770"/>
      <c r="NC670" s="770"/>
      <c r="ND670" s="770"/>
      <c r="NE670" s="770"/>
      <c r="NF670" s="770"/>
      <c r="NG670" s="770"/>
      <c r="NH670" s="770"/>
      <c r="NI670" s="770"/>
      <c r="NJ670" s="770"/>
      <c r="NK670" s="770"/>
      <c r="NL670" s="770"/>
      <c r="NM670" s="770"/>
      <c r="NN670" s="770"/>
      <c r="NO670" s="770"/>
      <c r="NP670" s="770"/>
      <c r="NQ670" s="770"/>
      <c r="NR670" s="770"/>
      <c r="NS670" s="770"/>
      <c r="NT670" s="770"/>
      <c r="NU670" s="770"/>
      <c r="NV670" s="770"/>
      <c r="NW670" s="770"/>
      <c r="NX670" s="770"/>
      <c r="NY670" s="770"/>
      <c r="NZ670" s="770"/>
      <c r="OA670" s="770"/>
      <c r="OB670" s="770"/>
      <c r="OC670" s="770"/>
      <c r="OD670" s="770"/>
      <c r="OE670" s="770"/>
      <c r="OF670" s="770"/>
      <c r="OG670" s="770"/>
      <c r="OH670" s="770"/>
      <c r="OI670" s="770"/>
      <c r="OJ670" s="770"/>
      <c r="OK670" s="770"/>
      <c r="OL670" s="770"/>
      <c r="OM670" s="770"/>
      <c r="ON670" s="770"/>
      <c r="OO670" s="770"/>
      <c r="OP670" s="770"/>
      <c r="OQ670" s="770"/>
      <c r="OR670" s="770"/>
      <c r="OS670" s="770"/>
      <c r="OT670" s="770"/>
      <c r="OU670" s="770"/>
      <c r="OV670" s="770"/>
      <c r="OW670" s="770"/>
      <c r="OX670" s="770"/>
      <c r="OY670" s="770"/>
      <c r="OZ670" s="770"/>
      <c r="PA670" s="770"/>
      <c r="PB670" s="770"/>
      <c r="PC670" s="770"/>
      <c r="PD670" s="770"/>
      <c r="PE670" s="770"/>
      <c r="PF670" s="770"/>
      <c r="PG670" s="770"/>
      <c r="PH670" s="770"/>
      <c r="PI670" s="770"/>
      <c r="PJ670" s="770"/>
      <c r="PK670" s="770"/>
      <c r="PL670" s="770"/>
      <c r="PM670" s="770"/>
      <c r="PN670" s="770"/>
      <c r="PO670" s="770"/>
      <c r="PP670" s="770"/>
      <c r="PQ670" s="770"/>
      <c r="PR670" s="770"/>
      <c r="PS670" s="770"/>
      <c r="PT670" s="770"/>
      <c r="PU670" s="770"/>
      <c r="PV670" s="770"/>
      <c r="PW670" s="770"/>
      <c r="PX670" s="770"/>
      <c r="PY670" s="770"/>
      <c r="PZ670" s="770"/>
      <c r="QA670" s="770"/>
      <c r="QB670" s="770"/>
      <c r="QC670" s="770"/>
      <c r="QD670" s="770"/>
      <c r="QE670" s="770"/>
      <c r="QF670" s="770"/>
      <c r="QG670" s="770"/>
      <c r="QH670" s="770"/>
      <c r="QI670" s="770"/>
      <c r="QJ670" s="770"/>
      <c r="QK670" s="770"/>
      <c r="QL670" s="770"/>
      <c r="QM670" s="770"/>
      <c r="QN670" s="770"/>
      <c r="QO670" s="770"/>
      <c r="QP670" s="770"/>
      <c r="QQ670" s="770"/>
      <c r="QR670" s="770"/>
      <c r="QS670" s="770"/>
      <c r="QT670" s="770"/>
      <c r="QU670" s="770"/>
      <c r="QV670" s="770"/>
      <c r="QW670" s="770"/>
      <c r="QX670" s="770"/>
      <c r="QY670" s="770"/>
      <c r="QZ670" s="770"/>
      <c r="RA670" s="770"/>
      <c r="RB670" s="770"/>
      <c r="RC670" s="770"/>
      <c r="RD670" s="770"/>
      <c r="RE670" s="770"/>
      <c r="RF670" s="304"/>
      <c r="RG670" s="770"/>
      <c r="RH670" s="306"/>
      <c r="RI670" s="770"/>
      <c r="RJ670" s="94" t="s">
        <v>4381</v>
      </c>
      <c r="RK670" s="770" t="s">
        <v>13550</v>
      </c>
      <c r="RL670" s="1710" t="s">
        <v>1604</v>
      </c>
      <c r="RM670" s="12"/>
      <c r="RN670" s="1711"/>
      <c r="RO670" s="149" t="s">
        <v>4376</v>
      </c>
      <c r="RP670" s="11"/>
      <c r="RQ670" s="11"/>
      <c r="RR670" s="17"/>
      <c r="RS670" s="770"/>
      <c r="RT670" s="11"/>
      <c r="RU670" s="11"/>
      <c r="RV670" s="766" t="s">
        <v>7419</v>
      </c>
      <c r="RW670" s="11" t="s">
        <v>7555</v>
      </c>
      <c r="RX670" s="11" t="s">
        <v>4363</v>
      </c>
      <c r="RY670" s="11"/>
      <c r="RZ670" s="11" t="s">
        <v>1101</v>
      </c>
      <c r="SA670" s="766"/>
      <c r="SB670" s="11"/>
      <c r="SC670" s="11"/>
    </row>
    <row r="671" spans="1:497" ht="12.75" customHeight="1">
      <c r="A671" s="19" t="s">
        <v>7421</v>
      </c>
      <c r="B671" s="292" t="s">
        <v>7999</v>
      </c>
      <c r="C671" s="149" t="s">
        <v>4383</v>
      </c>
      <c r="D671" s="94" t="s">
        <v>4384</v>
      </c>
      <c r="E671" s="766" t="s">
        <v>5544</v>
      </c>
      <c r="F671" s="770" t="s">
        <v>210</v>
      </c>
      <c r="G671" s="770" t="s">
        <v>18</v>
      </c>
      <c r="H671" s="770"/>
      <c r="I671" s="12" t="s">
        <v>4385</v>
      </c>
      <c r="J671" s="94"/>
      <c r="K671" s="766" t="s">
        <v>4386</v>
      </c>
      <c r="L671" s="766" t="s">
        <v>4387</v>
      </c>
      <c r="M671" s="770" t="s">
        <v>1238</v>
      </c>
      <c r="N671" s="1757"/>
      <c r="O671" s="1757" t="s">
        <v>4373</v>
      </c>
      <c r="P671" s="770"/>
      <c r="Q671" s="1088"/>
      <c r="R671" s="297"/>
      <c r="S671" s="770"/>
      <c r="T671" s="770"/>
      <c r="U671" s="295"/>
      <c r="V671" s="770"/>
      <c r="W671" s="770"/>
      <c r="X671" s="770"/>
      <c r="Y671" s="770"/>
      <c r="Z671" s="770"/>
      <c r="AA671" s="770"/>
      <c r="AB671" s="770"/>
      <c r="AC671" s="770"/>
      <c r="AD671" s="770"/>
      <c r="AE671" s="770"/>
      <c r="AF671" s="770"/>
      <c r="AG671" s="766" t="s">
        <v>1132</v>
      </c>
      <c r="AH671" s="766" t="s">
        <v>1096</v>
      </c>
      <c r="AI671" s="75"/>
      <c r="AJ671" s="766" t="s">
        <v>1137</v>
      </c>
      <c r="AK671" s="766" t="s">
        <v>1101</v>
      </c>
      <c r="AL671" s="120">
        <v>60</v>
      </c>
      <c r="AM671" s="773">
        <v>30</v>
      </c>
      <c r="AN671" s="37">
        <f t="shared" si="207"/>
        <v>0.5</v>
      </c>
      <c r="AO671" s="766" t="s">
        <v>1149</v>
      </c>
      <c r="AP671" s="766"/>
      <c r="AQ671" s="766"/>
      <c r="AR671" s="766"/>
      <c r="AS671" s="766"/>
      <c r="AT671" s="766"/>
      <c r="AU671" s="766"/>
      <c r="AV671" s="766"/>
      <c r="AW671" s="766"/>
      <c r="AX671" s="766"/>
      <c r="AY671" s="766"/>
      <c r="AZ671" s="766"/>
      <c r="BA671" s="766"/>
      <c r="BB671" s="766"/>
      <c r="BC671" s="766"/>
      <c r="BD671" s="766"/>
      <c r="BE671" s="766"/>
      <c r="BF671" s="775"/>
      <c r="BG671" s="775"/>
      <c r="BH671" s="770"/>
      <c r="BI671" s="770"/>
      <c r="BJ671" s="770"/>
      <c r="BK671" s="770"/>
      <c r="BL671" s="770"/>
      <c r="BM671" s="770"/>
      <c r="BN671" s="770"/>
      <c r="BO671" s="770"/>
      <c r="BP671" s="1109"/>
      <c r="BQ671" s="773"/>
      <c r="BR671" s="774"/>
      <c r="BS671" s="766"/>
      <c r="BT671" s="770"/>
      <c r="BU671" s="770"/>
      <c r="BV671" s="770"/>
      <c r="BW671" s="770"/>
      <c r="BX671" s="302"/>
      <c r="BY671" s="770"/>
      <c r="BZ671" s="302"/>
      <c r="CA671" s="770"/>
      <c r="CB671" s="770" t="s">
        <v>1207</v>
      </c>
      <c r="CC671" s="770" t="s">
        <v>4388</v>
      </c>
      <c r="CD671" s="770">
        <v>2016</v>
      </c>
      <c r="CE671" s="131"/>
      <c r="CF671" s="304">
        <v>1.2</v>
      </c>
      <c r="CG671" s="321">
        <v>26</v>
      </c>
      <c r="CH671" s="12" t="s">
        <v>1291</v>
      </c>
      <c r="CI671" s="770"/>
      <c r="CJ671" s="770"/>
      <c r="CK671" s="770">
        <v>4</v>
      </c>
      <c r="CL671" s="770"/>
      <c r="CM671" s="770" t="s">
        <v>3399</v>
      </c>
      <c r="CN671" s="770"/>
      <c r="CO671" s="770" t="s">
        <v>1149</v>
      </c>
      <c r="CP671" s="770"/>
      <c r="CQ671" s="770"/>
      <c r="CR671" s="302"/>
      <c r="CS671" s="770"/>
      <c r="CT671" s="770"/>
      <c r="CU671" s="305"/>
      <c r="CV671" s="770"/>
      <c r="CW671" s="770"/>
      <c r="CX671" s="770"/>
      <c r="CY671" s="770"/>
      <c r="CZ671" s="770"/>
      <c r="DA671" s="306"/>
      <c r="DB671" s="770"/>
      <c r="DC671" s="770"/>
      <c r="DD671" s="770"/>
      <c r="DE671" s="300"/>
      <c r="DF671" s="770"/>
      <c r="DG671" s="770"/>
      <c r="DH671" s="770"/>
      <c r="DI671" s="770"/>
      <c r="DJ671" s="770"/>
      <c r="DK671" s="770"/>
      <c r="DL671" s="770"/>
      <c r="DM671" s="770"/>
      <c r="DN671" s="322"/>
      <c r="DO671" s="770"/>
      <c r="DP671" s="770"/>
      <c r="DQ671" s="770"/>
      <c r="DR671" s="770"/>
      <c r="DS671" s="307"/>
      <c r="DT671" s="770"/>
      <c r="DU671" s="770"/>
      <c r="DV671" s="770"/>
      <c r="DW671" s="306"/>
      <c r="DX671" s="306"/>
      <c r="DY671" s="1055"/>
      <c r="DZ671" s="770"/>
      <c r="EA671" s="770"/>
      <c r="EB671" s="770"/>
      <c r="EC671" s="770"/>
      <c r="ED671" s="770"/>
      <c r="EE671" s="770"/>
      <c r="EF671" s="770"/>
      <c r="EG671" s="770"/>
      <c r="EH671" s="770"/>
      <c r="EI671" s="770"/>
      <c r="EJ671" s="770"/>
      <c r="EK671" s="770"/>
      <c r="EL671" s="770"/>
      <c r="EM671" s="770"/>
      <c r="EN671" s="770"/>
      <c r="EO671" s="770"/>
      <c r="EP671" s="94"/>
      <c r="EQ671" s="770"/>
      <c r="ER671" s="770"/>
      <c r="ES671" s="770"/>
      <c r="ET671" s="770"/>
      <c r="EU671" s="770"/>
      <c r="EV671" s="770"/>
      <c r="EW671" s="770"/>
      <c r="EX671" s="770"/>
      <c r="EY671" s="770"/>
      <c r="EZ671" s="770"/>
      <c r="FA671" s="770"/>
      <c r="FB671" s="770"/>
      <c r="FC671" s="770"/>
      <c r="FD671" s="302"/>
      <c r="FE671" s="770"/>
      <c r="FF671" s="770"/>
      <c r="FG671" s="770"/>
      <c r="FH671" s="770"/>
      <c r="FI671" s="770"/>
      <c r="FJ671" s="770"/>
      <c r="FK671" s="770"/>
      <c r="FL671" s="770"/>
      <c r="FM671" s="302"/>
      <c r="FN671" s="302"/>
      <c r="FO671" s="302"/>
      <c r="FP671" s="770"/>
      <c r="FQ671" s="770"/>
      <c r="FR671" s="770"/>
      <c r="FS671" s="770"/>
      <c r="FT671" s="770"/>
      <c r="FU671" s="770"/>
      <c r="FV671" s="770"/>
      <c r="FW671" s="770"/>
      <c r="FX671" s="770"/>
      <c r="FY671" s="770"/>
      <c r="FZ671" s="770"/>
      <c r="GA671" s="770"/>
      <c r="GB671" s="770"/>
      <c r="GC671" s="308"/>
      <c r="GD671" s="297"/>
      <c r="GE671" s="770"/>
      <c r="GF671" s="302"/>
      <c r="GG671" s="302"/>
      <c r="GH671" s="770"/>
      <c r="GI671" s="770"/>
      <c r="GJ671" s="770"/>
      <c r="GK671" s="766"/>
      <c r="GL671" s="770"/>
      <c r="GM671" s="770"/>
      <c r="GN671" s="299"/>
      <c r="GO671" s="770"/>
      <c r="GP671" s="770"/>
      <c r="GQ671" s="770"/>
      <c r="GR671" s="770"/>
      <c r="GS671" s="770"/>
      <c r="GT671" s="770"/>
      <c r="GU671" s="770"/>
      <c r="GV671" s="770"/>
      <c r="GW671" s="770"/>
      <c r="GX671" s="770"/>
      <c r="GY671" s="770"/>
      <c r="GZ671" s="770"/>
      <c r="HA671" s="770"/>
      <c r="HB671" s="770"/>
      <c r="HC671" s="770"/>
      <c r="HD671" s="770"/>
      <c r="HE671" s="770"/>
      <c r="HF671" s="770"/>
      <c r="HG671" s="770"/>
      <c r="HH671" s="770"/>
      <c r="HI671" s="770"/>
      <c r="HJ671" s="770"/>
      <c r="HK671" s="770"/>
      <c r="HL671" s="770"/>
      <c r="HM671" s="770"/>
      <c r="HN671" s="770"/>
      <c r="HO671" s="770"/>
      <c r="HP671" s="770"/>
      <c r="HQ671" s="770"/>
      <c r="HR671" s="770"/>
      <c r="HS671" s="770"/>
      <c r="HT671" s="770"/>
      <c r="HU671" s="770"/>
      <c r="HV671" s="770"/>
      <c r="HW671" s="770"/>
      <c r="HX671" s="770"/>
      <c r="HY671" s="770"/>
      <c r="HZ671" s="770"/>
      <c r="IA671" s="770"/>
      <c r="IB671" s="770"/>
      <c r="IC671" s="770"/>
      <c r="ID671" s="770"/>
      <c r="IE671" s="770"/>
      <c r="IF671" s="770"/>
      <c r="IG671" s="770"/>
      <c r="IH671" s="770"/>
      <c r="II671" s="770"/>
      <c r="IJ671" s="770"/>
      <c r="IK671" s="770"/>
      <c r="IL671" s="770"/>
      <c r="IM671" s="770"/>
      <c r="IN671" s="770"/>
      <c r="IO671" s="296"/>
      <c r="IP671" s="770"/>
      <c r="IQ671" s="770"/>
      <c r="IR671" s="770"/>
      <c r="IS671" s="770"/>
      <c r="IT671" s="770"/>
      <c r="IU671" s="770"/>
      <c r="IV671" s="770"/>
      <c r="IW671" s="770"/>
      <c r="IX671" s="770"/>
      <c r="IY671" s="770"/>
      <c r="IZ671" s="770"/>
      <c r="JA671" s="770"/>
      <c r="JB671" s="770"/>
      <c r="JC671" s="770"/>
      <c r="JD671" s="302"/>
      <c r="JE671" s="770"/>
      <c r="JF671" s="770"/>
      <c r="JG671" s="770"/>
      <c r="JH671" s="307"/>
      <c r="JI671" s="307"/>
      <c r="JJ671" s="770"/>
      <c r="JK671" s="770"/>
      <c r="JL671" s="770"/>
      <c r="JM671" s="770"/>
      <c r="JN671" s="770"/>
      <c r="JO671" s="770"/>
      <c r="JP671" s="770"/>
      <c r="JQ671" s="770"/>
      <c r="JR671" s="770"/>
      <c r="JS671" s="770"/>
      <c r="JT671" s="766"/>
      <c r="JU671" s="766"/>
      <c r="JV671" s="766"/>
      <c r="JW671" s="766"/>
      <c r="JX671" s="770"/>
      <c r="JY671" s="770"/>
      <c r="JZ671" s="770"/>
      <c r="KA671" s="770"/>
      <c r="KB671" s="770"/>
      <c r="KC671" s="770"/>
      <c r="KD671" s="770"/>
      <c r="KE671" s="770"/>
      <c r="KF671" s="770"/>
      <c r="KG671" s="770"/>
      <c r="KH671" s="770"/>
      <c r="KI671" s="770"/>
      <c r="KJ671" s="770"/>
      <c r="KK671" s="770"/>
      <c r="KL671" s="770"/>
      <c r="KM671" s="770"/>
      <c r="KN671" s="770"/>
      <c r="KO671" s="770"/>
      <c r="KP671" s="770"/>
      <c r="KQ671" s="770"/>
      <c r="KR671" s="770"/>
      <c r="KS671" s="770"/>
      <c r="KT671" s="770"/>
      <c r="KU671" s="770"/>
      <c r="KV671" s="770"/>
      <c r="KW671" s="770"/>
      <c r="KX671" s="770"/>
      <c r="KY671" s="770"/>
      <c r="KZ671" s="770"/>
      <c r="LA671" s="770"/>
      <c r="LB671" s="770"/>
      <c r="LC671" s="770"/>
      <c r="LD671" s="770"/>
      <c r="LE671" s="770"/>
      <c r="LF671" s="770"/>
      <c r="LG671" s="770"/>
      <c r="LH671" s="770"/>
      <c r="LI671" s="770"/>
      <c r="LJ671" s="770"/>
      <c r="LK671" s="770"/>
      <c r="LL671" s="770"/>
      <c r="LM671" s="770"/>
      <c r="LN671" s="766"/>
      <c r="LO671" s="766"/>
      <c r="LP671" s="770"/>
      <c r="LQ671" s="770"/>
      <c r="LR671" s="770"/>
      <c r="LS671" s="770"/>
      <c r="LT671" s="770"/>
      <c r="LU671" s="770"/>
      <c r="LV671" s="770"/>
      <c r="LW671" s="770"/>
      <c r="LX671" s="769"/>
      <c r="LY671" s="766" t="str">
        <f t="shared" si="187"/>
        <v/>
      </c>
      <c r="LZ671" s="1709"/>
      <c r="MA671" s="1709"/>
      <c r="MB671" s="1709"/>
      <c r="MC671" s="1679">
        <f t="shared" si="185"/>
        <v>0</v>
      </c>
      <c r="MD671" s="1709"/>
      <c r="ME671" s="1709"/>
      <c r="MF671" s="1709"/>
      <c r="MG671" s="1680">
        <f t="shared" si="199"/>
        <v>0</v>
      </c>
      <c r="MH671" s="770"/>
      <c r="MI671" s="302"/>
      <c r="MJ671" s="302"/>
      <c r="MK671" s="302"/>
      <c r="ML671" s="302"/>
      <c r="MM671" s="302"/>
      <c r="MN671" s="302"/>
      <c r="MO671" s="302"/>
      <c r="MP671" s="302"/>
      <c r="MQ671" s="302"/>
      <c r="MR671" s="302"/>
      <c r="MS671" s="302"/>
      <c r="MT671" s="302"/>
      <c r="MU671" s="302"/>
      <c r="MV671" s="302"/>
      <c r="MW671" s="302"/>
      <c r="MX671" s="302"/>
      <c r="MY671" s="1682">
        <f t="shared" si="200"/>
        <v>0</v>
      </c>
      <c r="MZ671" s="766"/>
      <c r="NA671" s="770"/>
      <c r="NB671" s="770"/>
      <c r="NC671" s="770"/>
      <c r="ND671" s="770"/>
      <c r="NE671" s="770"/>
      <c r="NF671" s="770"/>
      <c r="NG671" s="770"/>
      <c r="NH671" s="770"/>
      <c r="NI671" s="770"/>
      <c r="NJ671" s="770"/>
      <c r="NK671" s="770"/>
      <c r="NL671" s="770"/>
      <c r="NM671" s="770"/>
      <c r="NN671" s="770"/>
      <c r="NO671" s="770"/>
      <c r="NP671" s="770"/>
      <c r="NQ671" s="770"/>
      <c r="NR671" s="770"/>
      <c r="NS671" s="770"/>
      <c r="NT671" s="770"/>
      <c r="NU671" s="770"/>
      <c r="NV671" s="770"/>
      <c r="NW671" s="770"/>
      <c r="NX671" s="770"/>
      <c r="NY671" s="770"/>
      <c r="NZ671" s="770"/>
      <c r="OA671" s="770"/>
      <c r="OB671" s="770"/>
      <c r="OC671" s="770"/>
      <c r="OD671" s="770"/>
      <c r="OE671" s="770"/>
      <c r="OF671" s="770"/>
      <c r="OG671" s="770"/>
      <c r="OH671" s="770"/>
      <c r="OI671" s="770"/>
      <c r="OJ671" s="770"/>
      <c r="OK671" s="770"/>
      <c r="OL671" s="770"/>
      <c r="OM671" s="770"/>
      <c r="ON671" s="770"/>
      <c r="OO671" s="770"/>
      <c r="OP671" s="770"/>
      <c r="OQ671" s="770"/>
      <c r="OR671" s="770"/>
      <c r="OS671" s="770"/>
      <c r="OT671" s="770"/>
      <c r="OU671" s="770"/>
      <c r="OV671" s="770"/>
      <c r="OW671" s="770"/>
      <c r="OX671" s="770"/>
      <c r="OY671" s="770"/>
      <c r="OZ671" s="770"/>
      <c r="PA671" s="770"/>
      <c r="PB671" s="770"/>
      <c r="PC671" s="770"/>
      <c r="PD671" s="770"/>
      <c r="PE671" s="770"/>
      <c r="PF671" s="770"/>
      <c r="PG671" s="770"/>
      <c r="PH671" s="770"/>
      <c r="PI671" s="770"/>
      <c r="PJ671" s="770"/>
      <c r="PK671" s="770"/>
      <c r="PL671" s="770"/>
      <c r="PM671" s="770"/>
      <c r="PN671" s="770"/>
      <c r="PO671" s="770"/>
      <c r="PP671" s="770"/>
      <c r="PQ671" s="770"/>
      <c r="PR671" s="770"/>
      <c r="PS671" s="770"/>
      <c r="PT671" s="770"/>
      <c r="PU671" s="770"/>
      <c r="PV671" s="770"/>
      <c r="PW671" s="770"/>
      <c r="PX671" s="770"/>
      <c r="PY671" s="770"/>
      <c r="PZ671" s="770"/>
      <c r="QA671" s="770"/>
      <c r="QB671" s="770"/>
      <c r="QC671" s="770"/>
      <c r="QD671" s="770"/>
      <c r="QE671" s="770"/>
      <c r="QF671" s="770"/>
      <c r="QG671" s="770"/>
      <c r="QH671" s="770"/>
      <c r="QI671" s="770"/>
      <c r="QJ671" s="770"/>
      <c r="QK671" s="770"/>
      <c r="QL671" s="770"/>
      <c r="QM671" s="770"/>
      <c r="QN671" s="770"/>
      <c r="QO671" s="770"/>
      <c r="QP671" s="770"/>
      <c r="QQ671" s="770"/>
      <c r="QR671" s="770"/>
      <c r="QS671" s="770"/>
      <c r="QT671" s="770"/>
      <c r="QU671" s="770"/>
      <c r="QV671" s="770"/>
      <c r="QW671" s="770"/>
      <c r="QX671" s="770"/>
      <c r="QY671" s="770"/>
      <c r="QZ671" s="770"/>
      <c r="RA671" s="770"/>
      <c r="RB671" s="770"/>
      <c r="RC671" s="770"/>
      <c r="RD671" s="770"/>
      <c r="RE671" s="770"/>
      <c r="RF671" s="304"/>
      <c r="RG671" s="770"/>
      <c r="RH671" s="306"/>
      <c r="RI671" s="770"/>
      <c r="RJ671" s="94" t="s">
        <v>13885</v>
      </c>
      <c r="RK671" s="770" t="s">
        <v>13544</v>
      </c>
      <c r="RL671" s="1710" t="s">
        <v>1604</v>
      </c>
      <c r="RM671" s="12"/>
      <c r="RN671" s="1711"/>
      <c r="RO671" s="149" t="s">
        <v>4383</v>
      </c>
      <c r="RP671" s="11"/>
      <c r="RQ671" s="11"/>
      <c r="RR671" s="17"/>
      <c r="RS671" s="770"/>
      <c r="RT671" s="11"/>
      <c r="RU671" s="11"/>
      <c r="RV671" s="766" t="s">
        <v>7421</v>
      </c>
      <c r="RW671" s="11" t="s">
        <v>7997</v>
      </c>
      <c r="RX671" s="11" t="s">
        <v>4368</v>
      </c>
      <c r="RY671" s="11"/>
      <c r="RZ671" s="11" t="s">
        <v>1101</v>
      </c>
      <c r="SA671" s="766"/>
      <c r="SB671" s="11"/>
      <c r="SC671" s="11"/>
    </row>
    <row r="672" spans="1:497" ht="12.75" customHeight="1">
      <c r="A672" s="19" t="s">
        <v>7421</v>
      </c>
      <c r="B672" s="292" t="s">
        <v>8000</v>
      </c>
      <c r="C672" s="149" t="s">
        <v>4389</v>
      </c>
      <c r="D672" s="94" t="s">
        <v>4390</v>
      </c>
      <c r="E672" s="766" t="s">
        <v>11909</v>
      </c>
      <c r="F672" s="770" t="s">
        <v>20</v>
      </c>
      <c r="G672" s="770" t="s">
        <v>18</v>
      </c>
      <c r="H672" s="94" t="s">
        <v>4391</v>
      </c>
      <c r="I672" s="295"/>
      <c r="J672" s="94" t="s">
        <v>4392</v>
      </c>
      <c r="K672" s="766" t="s">
        <v>4393</v>
      </c>
      <c r="L672" s="766" t="s">
        <v>4394</v>
      </c>
      <c r="M672" s="770" t="s">
        <v>1238</v>
      </c>
      <c r="N672" s="1757"/>
      <c r="O672" s="1757" t="s">
        <v>4395</v>
      </c>
      <c r="P672" s="770"/>
      <c r="Q672" s="1088"/>
      <c r="R672" s="297"/>
      <c r="S672" s="770"/>
      <c r="T672" s="770"/>
      <c r="U672" s="295"/>
      <c r="V672" s="770"/>
      <c r="W672" s="770"/>
      <c r="X672" s="770"/>
      <c r="Y672" s="770"/>
      <c r="Z672" s="770"/>
      <c r="AA672" s="770"/>
      <c r="AB672" s="770"/>
      <c r="AC672" s="770"/>
      <c r="AD672" s="770"/>
      <c r="AE672" s="770"/>
      <c r="AF672" s="770"/>
      <c r="AG672" s="766" t="s">
        <v>1132</v>
      </c>
      <c r="AH672" s="766" t="s">
        <v>1096</v>
      </c>
      <c r="AI672" s="75"/>
      <c r="AJ672" s="766" t="s">
        <v>1137</v>
      </c>
      <c r="AK672" s="766" t="s">
        <v>1101</v>
      </c>
      <c r="AL672" s="120">
        <v>144</v>
      </c>
      <c r="AM672" s="773">
        <v>144</v>
      </c>
      <c r="AN672" s="37">
        <f t="shared" si="207"/>
        <v>1</v>
      </c>
      <c r="AO672" s="766" t="s">
        <v>1122</v>
      </c>
      <c r="AP672" s="766"/>
      <c r="AQ672" s="766"/>
      <c r="AR672" s="766"/>
      <c r="AS672" s="766"/>
      <c r="AT672" s="766"/>
      <c r="AU672" s="766"/>
      <c r="AV672" s="766"/>
      <c r="AW672" s="766"/>
      <c r="AX672" s="766"/>
      <c r="AY672" s="766"/>
      <c r="AZ672" s="766"/>
      <c r="BA672" s="766"/>
      <c r="BB672" s="766"/>
      <c r="BC672" s="766"/>
      <c r="BD672" s="766"/>
      <c r="BE672" s="766"/>
      <c r="BF672" s="775"/>
      <c r="BG672" s="775"/>
      <c r="BH672" s="770"/>
      <c r="BI672" s="770"/>
      <c r="BJ672" s="770"/>
      <c r="BK672" s="770"/>
      <c r="BL672" s="770"/>
      <c r="BM672" s="770"/>
      <c r="BN672" s="770"/>
      <c r="BO672" s="770"/>
      <c r="BP672" s="1109"/>
      <c r="BQ672" s="773"/>
      <c r="BR672" s="774"/>
      <c r="BS672" s="766"/>
      <c r="BT672" s="770"/>
      <c r="BU672" s="770"/>
      <c r="BV672" s="770"/>
      <c r="BW672" s="770"/>
      <c r="BX672" s="302"/>
      <c r="BY672" s="770"/>
      <c r="BZ672" s="302"/>
      <c r="CA672" s="770"/>
      <c r="CB672" s="770" t="s">
        <v>1207</v>
      </c>
      <c r="CC672" s="770" t="s">
        <v>4396</v>
      </c>
      <c r="CD672" s="770">
        <v>2016</v>
      </c>
      <c r="CE672" s="131"/>
      <c r="CF672" s="304">
        <v>1</v>
      </c>
      <c r="CG672" s="321">
        <v>50</v>
      </c>
      <c r="CH672" s="12" t="s">
        <v>2545</v>
      </c>
      <c r="CI672" s="770"/>
      <c r="CJ672" s="12" t="s">
        <v>2545</v>
      </c>
      <c r="CK672" s="770"/>
      <c r="CL672" s="770" t="s">
        <v>1249</v>
      </c>
      <c r="CM672" s="770"/>
      <c r="CN672" s="770"/>
      <c r="CO672" s="770" t="s">
        <v>4397</v>
      </c>
      <c r="CP672" s="770"/>
      <c r="CQ672" s="770"/>
      <c r="CR672" s="302"/>
      <c r="CS672" s="770"/>
      <c r="CT672" s="770"/>
      <c r="CU672" s="305"/>
      <c r="CV672" s="770"/>
      <c r="CW672" s="770"/>
      <c r="CX672" s="770"/>
      <c r="CY672" s="770"/>
      <c r="CZ672" s="770"/>
      <c r="DA672" s="306"/>
      <c r="DB672" s="770"/>
      <c r="DC672" s="770"/>
      <c r="DD672" s="770"/>
      <c r="DE672" s="300"/>
      <c r="DF672" s="770"/>
      <c r="DG672" s="770"/>
      <c r="DH672" s="770"/>
      <c r="DI672" s="770"/>
      <c r="DJ672" s="770"/>
      <c r="DK672" s="770"/>
      <c r="DL672" s="770"/>
      <c r="DM672" s="770"/>
      <c r="DN672" s="322"/>
      <c r="DO672" s="770"/>
      <c r="DP672" s="770"/>
      <c r="DQ672" s="770"/>
      <c r="DR672" s="770"/>
      <c r="DS672" s="307"/>
      <c r="DT672" s="770"/>
      <c r="DU672" s="770"/>
      <c r="DV672" s="770"/>
      <c r="DW672" s="306"/>
      <c r="DX672" s="306"/>
      <c r="DY672" s="1055"/>
      <c r="DZ672" s="770"/>
      <c r="EA672" s="770"/>
      <c r="EB672" s="770"/>
      <c r="EC672" s="770"/>
      <c r="ED672" s="770"/>
      <c r="EE672" s="770"/>
      <c r="EF672" s="770"/>
      <c r="EG672" s="770"/>
      <c r="EH672" s="770"/>
      <c r="EI672" s="770"/>
      <c r="EJ672" s="770"/>
      <c r="EK672" s="770"/>
      <c r="EL672" s="770"/>
      <c r="EM672" s="770"/>
      <c r="EN672" s="770"/>
      <c r="EO672" s="770"/>
      <c r="EP672" s="94"/>
      <c r="EQ672" s="770"/>
      <c r="ER672" s="770"/>
      <c r="ES672" s="770"/>
      <c r="ET672" s="770"/>
      <c r="EU672" s="770"/>
      <c r="EV672" s="770"/>
      <c r="EW672" s="770"/>
      <c r="EX672" s="770"/>
      <c r="EY672" s="770"/>
      <c r="EZ672" s="770"/>
      <c r="FA672" s="770"/>
      <c r="FB672" s="770"/>
      <c r="FC672" s="770"/>
      <c r="FD672" s="302"/>
      <c r="FE672" s="770"/>
      <c r="FF672" s="770"/>
      <c r="FG672" s="770"/>
      <c r="FH672" s="770"/>
      <c r="FI672" s="770"/>
      <c r="FJ672" s="770"/>
      <c r="FK672" s="770"/>
      <c r="FL672" s="770"/>
      <c r="FM672" s="302"/>
      <c r="FN672" s="302"/>
      <c r="FO672" s="302"/>
      <c r="FP672" s="770"/>
      <c r="FQ672" s="770"/>
      <c r="FR672" s="770"/>
      <c r="FS672" s="770"/>
      <c r="FT672" s="770"/>
      <c r="FU672" s="770"/>
      <c r="FV672" s="770"/>
      <c r="FW672" s="770"/>
      <c r="FX672" s="770"/>
      <c r="FY672" s="770"/>
      <c r="FZ672" s="770"/>
      <c r="GA672" s="770"/>
      <c r="GB672" s="770"/>
      <c r="GC672" s="308"/>
      <c r="GD672" s="297"/>
      <c r="GE672" s="770"/>
      <c r="GF672" s="302"/>
      <c r="GG672" s="302"/>
      <c r="GH672" s="770"/>
      <c r="GI672" s="770"/>
      <c r="GJ672" s="770"/>
      <c r="GK672" s="766"/>
      <c r="GL672" s="770"/>
      <c r="GM672" s="770"/>
      <c r="GN672" s="299"/>
      <c r="GO672" s="770"/>
      <c r="GP672" s="770"/>
      <c r="GQ672" s="770"/>
      <c r="GR672" s="770"/>
      <c r="GS672" s="770"/>
      <c r="GT672" s="770"/>
      <c r="GU672" s="770"/>
      <c r="GV672" s="770"/>
      <c r="GW672" s="770"/>
      <c r="GX672" s="770"/>
      <c r="GY672" s="770"/>
      <c r="GZ672" s="770"/>
      <c r="HA672" s="770"/>
      <c r="HB672" s="770"/>
      <c r="HC672" s="770"/>
      <c r="HD672" s="770"/>
      <c r="HE672" s="770"/>
      <c r="HF672" s="770"/>
      <c r="HG672" s="770"/>
      <c r="HH672" s="770"/>
      <c r="HI672" s="770"/>
      <c r="HJ672" s="770"/>
      <c r="HK672" s="770"/>
      <c r="HL672" s="770"/>
      <c r="HM672" s="770"/>
      <c r="HN672" s="770"/>
      <c r="HO672" s="770"/>
      <c r="HP672" s="770"/>
      <c r="HQ672" s="770"/>
      <c r="HR672" s="770"/>
      <c r="HS672" s="770"/>
      <c r="HT672" s="770">
        <v>3</v>
      </c>
      <c r="HU672" s="770"/>
      <c r="HV672" s="770"/>
      <c r="HW672" s="770"/>
      <c r="HX672" s="770"/>
      <c r="HY672" s="770"/>
      <c r="HZ672" s="770"/>
      <c r="IA672" s="770"/>
      <c r="IB672" s="770"/>
      <c r="IC672" s="770"/>
      <c r="ID672" s="770"/>
      <c r="IE672" s="770"/>
      <c r="IF672" s="770"/>
      <c r="IG672" s="770"/>
      <c r="IH672" s="770"/>
      <c r="II672" s="770"/>
      <c r="IJ672" s="770"/>
      <c r="IK672" s="770"/>
      <c r="IL672" s="770"/>
      <c r="IM672" s="770"/>
      <c r="IN672" s="770"/>
      <c r="IO672" s="296"/>
      <c r="IP672" s="770"/>
      <c r="IQ672" s="770"/>
      <c r="IR672" s="770"/>
      <c r="IS672" s="770"/>
      <c r="IT672" s="770"/>
      <c r="IU672" s="770"/>
      <c r="IV672" s="770"/>
      <c r="IW672" s="770"/>
      <c r="IX672" s="770"/>
      <c r="IY672" s="770"/>
      <c r="IZ672" s="770"/>
      <c r="JA672" s="770"/>
      <c r="JB672" s="770"/>
      <c r="JC672" s="770"/>
      <c r="JD672" s="302"/>
      <c r="JE672" s="770"/>
      <c r="JF672" s="770"/>
      <c r="JG672" s="770"/>
      <c r="JH672" s="307"/>
      <c r="JI672" s="307"/>
      <c r="JJ672" s="770"/>
      <c r="JK672" s="770"/>
      <c r="JL672" s="770"/>
      <c r="JM672" s="770"/>
      <c r="JN672" s="770"/>
      <c r="JO672" s="770"/>
      <c r="JP672" s="770"/>
      <c r="JQ672" s="770"/>
      <c r="JR672" s="770"/>
      <c r="JS672" s="770"/>
      <c r="JT672" s="766"/>
      <c r="JU672" s="766"/>
      <c r="JV672" s="766"/>
      <c r="JW672" s="766"/>
      <c r="JX672" s="770"/>
      <c r="JY672" s="770"/>
      <c r="JZ672" s="770"/>
      <c r="KA672" s="770"/>
      <c r="KB672" s="770"/>
      <c r="KC672" s="770"/>
      <c r="KD672" s="770"/>
      <c r="KE672" s="770"/>
      <c r="KF672" s="770"/>
      <c r="KG672" s="770"/>
      <c r="KH672" s="770"/>
      <c r="KI672" s="770"/>
      <c r="KJ672" s="770"/>
      <c r="KK672" s="770"/>
      <c r="KL672" s="770"/>
      <c r="KM672" s="770"/>
      <c r="KN672" s="770"/>
      <c r="KO672" s="770"/>
      <c r="KP672" s="770"/>
      <c r="KQ672" s="770"/>
      <c r="KR672" s="770"/>
      <c r="KS672" s="770"/>
      <c r="KT672" s="770"/>
      <c r="KU672" s="770"/>
      <c r="KV672" s="770"/>
      <c r="KW672" s="770"/>
      <c r="KX672" s="770"/>
      <c r="KY672" s="770"/>
      <c r="KZ672" s="770"/>
      <c r="LA672" s="770"/>
      <c r="LB672" s="770"/>
      <c r="LC672" s="770"/>
      <c r="LD672" s="770"/>
      <c r="LE672" s="770"/>
      <c r="LF672" s="770"/>
      <c r="LG672" s="770"/>
      <c r="LH672" s="770"/>
      <c r="LI672" s="770"/>
      <c r="LJ672" s="770"/>
      <c r="LK672" s="770"/>
      <c r="LL672" s="770"/>
      <c r="LM672" s="770"/>
      <c r="LN672" s="766"/>
      <c r="LO672" s="766"/>
      <c r="LP672" s="770"/>
      <c r="LQ672" s="770"/>
      <c r="LR672" s="770"/>
      <c r="LS672" s="770"/>
      <c r="LT672" s="770"/>
      <c r="LU672" s="770"/>
      <c r="LV672" s="770"/>
      <c r="LW672" s="770"/>
      <c r="LX672" s="769"/>
      <c r="LY672" s="766" t="str">
        <f t="shared" si="187"/>
        <v/>
      </c>
      <c r="LZ672" s="1709"/>
      <c r="MA672" s="1709"/>
      <c r="MB672" s="1709"/>
      <c r="MC672" s="1679">
        <f t="shared" si="185"/>
        <v>0</v>
      </c>
      <c r="MD672" s="1709"/>
      <c r="ME672" s="1709"/>
      <c r="MF672" s="1709"/>
      <c r="MG672" s="1680">
        <f t="shared" si="199"/>
        <v>0</v>
      </c>
      <c r="MH672" s="770"/>
      <c r="MI672" s="302"/>
      <c r="MJ672" s="302"/>
      <c r="MK672" s="302"/>
      <c r="ML672" s="302"/>
      <c r="MM672" s="302"/>
      <c r="MN672" s="302"/>
      <c r="MO672" s="302"/>
      <c r="MP672" s="302"/>
      <c r="MQ672" s="302"/>
      <c r="MR672" s="302"/>
      <c r="MS672" s="302"/>
      <c r="MT672" s="302"/>
      <c r="MU672" s="302"/>
      <c r="MV672" s="302"/>
      <c r="MW672" s="302"/>
      <c r="MX672" s="302"/>
      <c r="MY672" s="1682">
        <f t="shared" si="200"/>
        <v>0</v>
      </c>
      <c r="MZ672" s="766"/>
      <c r="NA672" s="770"/>
      <c r="NB672" s="770"/>
      <c r="NC672" s="770"/>
      <c r="ND672" s="770"/>
      <c r="NE672" s="770"/>
      <c r="NF672" s="770"/>
      <c r="NG672" s="770"/>
      <c r="NH672" s="770"/>
      <c r="NI672" s="770"/>
      <c r="NJ672" s="770"/>
      <c r="NK672" s="770"/>
      <c r="NL672" s="770"/>
      <c r="NM672" s="770"/>
      <c r="NN672" s="770"/>
      <c r="NO672" s="770"/>
      <c r="NP672" s="770"/>
      <c r="NQ672" s="770"/>
      <c r="NR672" s="770"/>
      <c r="NS672" s="770"/>
      <c r="NT672" s="770"/>
      <c r="NU672" s="770"/>
      <c r="NV672" s="770"/>
      <c r="NW672" s="770"/>
      <c r="NX672" s="770"/>
      <c r="NY672" s="770"/>
      <c r="NZ672" s="770"/>
      <c r="OA672" s="770"/>
      <c r="OB672" s="770"/>
      <c r="OC672" s="770"/>
      <c r="OD672" s="770"/>
      <c r="OE672" s="770"/>
      <c r="OF672" s="770"/>
      <c r="OG672" s="770"/>
      <c r="OH672" s="770"/>
      <c r="OI672" s="770"/>
      <c r="OJ672" s="770"/>
      <c r="OK672" s="770"/>
      <c r="OL672" s="770"/>
      <c r="OM672" s="770"/>
      <c r="ON672" s="770"/>
      <c r="OO672" s="770"/>
      <c r="OP672" s="770"/>
      <c r="OQ672" s="770"/>
      <c r="OR672" s="770"/>
      <c r="OS672" s="770"/>
      <c r="OT672" s="770"/>
      <c r="OU672" s="770"/>
      <c r="OV672" s="770"/>
      <c r="OW672" s="770"/>
      <c r="OX672" s="770"/>
      <c r="OY672" s="770"/>
      <c r="OZ672" s="770"/>
      <c r="PA672" s="770"/>
      <c r="PB672" s="770"/>
      <c r="PC672" s="770"/>
      <c r="PD672" s="770"/>
      <c r="PE672" s="770"/>
      <c r="PF672" s="770"/>
      <c r="PG672" s="770"/>
      <c r="PH672" s="770"/>
      <c r="PI672" s="770"/>
      <c r="PJ672" s="770"/>
      <c r="PK672" s="770"/>
      <c r="PL672" s="770"/>
      <c r="PM672" s="770"/>
      <c r="PN672" s="770"/>
      <c r="PO672" s="770"/>
      <c r="PP672" s="770"/>
      <c r="PQ672" s="770"/>
      <c r="PR672" s="770"/>
      <c r="PS672" s="770"/>
      <c r="PT672" s="770"/>
      <c r="PU672" s="770"/>
      <c r="PV672" s="770"/>
      <c r="PW672" s="770"/>
      <c r="PX672" s="770"/>
      <c r="PY672" s="770"/>
      <c r="PZ672" s="770"/>
      <c r="QA672" s="770"/>
      <c r="QB672" s="770"/>
      <c r="QC672" s="770"/>
      <c r="QD672" s="770"/>
      <c r="QE672" s="770"/>
      <c r="QF672" s="770"/>
      <c r="QG672" s="770"/>
      <c r="QH672" s="770"/>
      <c r="QI672" s="770"/>
      <c r="QJ672" s="770"/>
      <c r="QK672" s="770"/>
      <c r="QL672" s="770"/>
      <c r="QM672" s="770"/>
      <c r="QN672" s="770"/>
      <c r="QO672" s="770"/>
      <c r="QP672" s="770"/>
      <c r="QQ672" s="770"/>
      <c r="QR672" s="770"/>
      <c r="QS672" s="770"/>
      <c r="QT672" s="770"/>
      <c r="QU672" s="770"/>
      <c r="QV672" s="770"/>
      <c r="QW672" s="770"/>
      <c r="QX672" s="770"/>
      <c r="QY672" s="770"/>
      <c r="QZ672" s="770"/>
      <c r="RA672" s="770"/>
      <c r="RB672" s="770"/>
      <c r="RC672" s="770"/>
      <c r="RD672" s="770"/>
      <c r="RE672" s="770"/>
      <c r="RF672" s="304"/>
      <c r="RG672" s="770"/>
      <c r="RH672" s="306"/>
      <c r="RI672" s="770"/>
      <c r="RJ672" s="94" t="s">
        <v>13886</v>
      </c>
      <c r="RK672" s="770" t="s">
        <v>13550</v>
      </c>
      <c r="RL672" s="1710">
        <v>42842</v>
      </c>
      <c r="RM672" s="12"/>
      <c r="RN672" s="1711"/>
      <c r="RO672" s="149" t="s">
        <v>4389</v>
      </c>
      <c r="RP672" s="11"/>
      <c r="RQ672" s="11"/>
      <c r="RR672" s="17"/>
      <c r="RS672" s="770"/>
      <c r="RT672" s="11"/>
      <c r="RU672" s="11"/>
      <c r="RV672" s="766" t="s">
        <v>7421</v>
      </c>
      <c r="RW672" s="11" t="s">
        <v>7998</v>
      </c>
      <c r="RX672" s="11" t="s">
        <v>4376</v>
      </c>
      <c r="RY672" s="11"/>
      <c r="RZ672" s="11" t="s">
        <v>1101</v>
      </c>
      <c r="SA672" s="766"/>
      <c r="SB672" s="11"/>
      <c r="SC672" s="11"/>
    </row>
    <row r="673" spans="1:497" ht="12.75" customHeight="1">
      <c r="A673" s="19" t="s">
        <v>7421</v>
      </c>
      <c r="B673" s="292" t="s">
        <v>8001</v>
      </c>
      <c r="C673" s="149" t="s">
        <v>4398</v>
      </c>
      <c r="D673" s="94" t="s">
        <v>4399</v>
      </c>
      <c r="E673" s="766" t="s">
        <v>11908</v>
      </c>
      <c r="F673" s="770" t="s">
        <v>28</v>
      </c>
      <c r="G673" s="770" t="s">
        <v>10</v>
      </c>
      <c r="H673" s="12"/>
      <c r="I673" s="295"/>
      <c r="J673" s="94" t="s">
        <v>4399</v>
      </c>
      <c r="K673" s="766" t="s">
        <v>4400</v>
      </c>
      <c r="L673" s="766" t="s">
        <v>4401</v>
      </c>
      <c r="M673" s="770" t="s">
        <v>1238</v>
      </c>
      <c r="N673" s="1757"/>
      <c r="O673" s="1757" t="s">
        <v>4395</v>
      </c>
      <c r="P673" s="770"/>
      <c r="Q673" s="1088"/>
      <c r="R673" s="297"/>
      <c r="S673" s="770"/>
      <c r="T673" s="770"/>
      <c r="U673" s="295"/>
      <c r="V673" s="770"/>
      <c r="W673" s="770"/>
      <c r="X673" s="770"/>
      <c r="Y673" s="770"/>
      <c r="Z673" s="770"/>
      <c r="AA673" s="770"/>
      <c r="AB673" s="770"/>
      <c r="AC673" s="770"/>
      <c r="AD673" s="770"/>
      <c r="AE673" s="770"/>
      <c r="AF673" s="770"/>
      <c r="AG673" s="766" t="s">
        <v>1132</v>
      </c>
      <c r="AH673" s="766" t="s">
        <v>1096</v>
      </c>
      <c r="AI673" s="75"/>
      <c r="AJ673" s="766" t="s">
        <v>1137</v>
      </c>
      <c r="AK673" s="766" t="s">
        <v>1101</v>
      </c>
      <c r="AL673" s="120">
        <v>16</v>
      </c>
      <c r="AM673" s="773">
        <v>16</v>
      </c>
      <c r="AN673" s="37">
        <f t="shared" si="207"/>
        <v>1</v>
      </c>
      <c r="AO673" s="766" t="s">
        <v>1122</v>
      </c>
      <c r="AP673" s="766"/>
      <c r="AQ673" s="766"/>
      <c r="AR673" s="766"/>
      <c r="AS673" s="766"/>
      <c r="AT673" s="766"/>
      <c r="AU673" s="766"/>
      <c r="AV673" s="766"/>
      <c r="AW673" s="766"/>
      <c r="AX673" s="766"/>
      <c r="AY673" s="766"/>
      <c r="AZ673" s="766"/>
      <c r="BA673" s="766"/>
      <c r="BB673" s="766"/>
      <c r="BC673" s="766"/>
      <c r="BD673" s="766"/>
      <c r="BE673" s="766"/>
      <c r="BF673" s="775"/>
      <c r="BG673" s="775"/>
      <c r="BH673" s="770"/>
      <c r="BI673" s="770"/>
      <c r="BJ673" s="770"/>
      <c r="BK673" s="770"/>
      <c r="BL673" s="770"/>
      <c r="BM673" s="770"/>
      <c r="BN673" s="770"/>
      <c r="BO673" s="770"/>
      <c r="BP673" s="1109"/>
      <c r="BQ673" s="773"/>
      <c r="BR673" s="774"/>
      <c r="BS673" s="766"/>
      <c r="BT673" s="770"/>
      <c r="BU673" s="770"/>
      <c r="BV673" s="770"/>
      <c r="BW673" s="770"/>
      <c r="BX673" s="302"/>
      <c r="BY673" s="770"/>
      <c r="BZ673" s="302"/>
      <c r="CA673" s="770"/>
      <c r="CB673" s="770" t="s">
        <v>1207</v>
      </c>
      <c r="CC673" s="770" t="s">
        <v>4402</v>
      </c>
      <c r="CD673" s="770">
        <v>2015</v>
      </c>
      <c r="CE673" s="131"/>
      <c r="CF673" s="304">
        <v>0.9</v>
      </c>
      <c r="CG673" s="321">
        <v>12</v>
      </c>
      <c r="CH673" s="12" t="s">
        <v>3926</v>
      </c>
      <c r="CI673" s="770"/>
      <c r="CJ673" s="12"/>
      <c r="CK673" s="770">
        <v>8</v>
      </c>
      <c r="CL673" s="770"/>
      <c r="CM673" s="770" t="s">
        <v>3399</v>
      </c>
      <c r="CN673" s="770"/>
      <c r="CO673" s="770" t="s">
        <v>4397</v>
      </c>
      <c r="CP673" s="770"/>
      <c r="CQ673" s="770"/>
      <c r="CR673" s="302"/>
      <c r="CS673" s="770"/>
      <c r="CT673" s="770"/>
      <c r="CU673" s="305"/>
      <c r="CV673" s="770"/>
      <c r="CW673" s="770"/>
      <c r="CX673" s="770"/>
      <c r="CY673" s="770"/>
      <c r="CZ673" s="770"/>
      <c r="DA673" s="306"/>
      <c r="DB673" s="770"/>
      <c r="DC673" s="770"/>
      <c r="DD673" s="770"/>
      <c r="DE673" s="300"/>
      <c r="DF673" s="770"/>
      <c r="DG673" s="770"/>
      <c r="DH673" s="770"/>
      <c r="DI673" s="770"/>
      <c r="DJ673" s="770"/>
      <c r="DK673" s="770"/>
      <c r="DL673" s="770"/>
      <c r="DM673" s="770"/>
      <c r="DN673" s="322"/>
      <c r="DO673" s="770"/>
      <c r="DP673" s="770"/>
      <c r="DQ673" s="770"/>
      <c r="DR673" s="770"/>
      <c r="DS673" s="307"/>
      <c r="DT673" s="770"/>
      <c r="DU673" s="770"/>
      <c r="DV673" s="770"/>
      <c r="DW673" s="306"/>
      <c r="DX673" s="306"/>
      <c r="DY673" s="1055"/>
      <c r="DZ673" s="770"/>
      <c r="EA673" s="770"/>
      <c r="EB673" s="770"/>
      <c r="EC673" s="770"/>
      <c r="ED673" s="770"/>
      <c r="EE673" s="770"/>
      <c r="EF673" s="770"/>
      <c r="EG673" s="770"/>
      <c r="EH673" s="770"/>
      <c r="EI673" s="770"/>
      <c r="EJ673" s="770"/>
      <c r="EK673" s="770"/>
      <c r="EL673" s="770"/>
      <c r="EM673" s="770"/>
      <c r="EN673" s="770"/>
      <c r="EO673" s="770"/>
      <c r="EP673" s="94"/>
      <c r="EQ673" s="770"/>
      <c r="ER673" s="770"/>
      <c r="ES673" s="770"/>
      <c r="ET673" s="770"/>
      <c r="EU673" s="770"/>
      <c r="EV673" s="770"/>
      <c r="EW673" s="770"/>
      <c r="EX673" s="770"/>
      <c r="EY673" s="770"/>
      <c r="EZ673" s="770"/>
      <c r="FA673" s="770"/>
      <c r="FB673" s="770"/>
      <c r="FC673" s="770"/>
      <c r="FD673" s="302"/>
      <c r="FE673" s="770"/>
      <c r="FF673" s="770"/>
      <c r="FG673" s="770"/>
      <c r="FH673" s="770"/>
      <c r="FI673" s="770"/>
      <c r="FJ673" s="770"/>
      <c r="FK673" s="770"/>
      <c r="FL673" s="770"/>
      <c r="FM673" s="302"/>
      <c r="FN673" s="302"/>
      <c r="FO673" s="302"/>
      <c r="FP673" s="770"/>
      <c r="FQ673" s="770"/>
      <c r="FR673" s="770"/>
      <c r="FS673" s="770"/>
      <c r="FT673" s="770"/>
      <c r="FU673" s="770"/>
      <c r="FV673" s="770"/>
      <c r="FW673" s="770"/>
      <c r="FX673" s="770"/>
      <c r="FY673" s="770"/>
      <c r="FZ673" s="770"/>
      <c r="GA673" s="770"/>
      <c r="GB673" s="770"/>
      <c r="GC673" s="308"/>
      <c r="GD673" s="297"/>
      <c r="GE673" s="770"/>
      <c r="GF673" s="302"/>
      <c r="GG673" s="302"/>
      <c r="GH673" s="770"/>
      <c r="GI673" s="770"/>
      <c r="GJ673" s="770"/>
      <c r="GK673" s="766"/>
      <c r="GL673" s="770"/>
      <c r="GM673" s="770"/>
      <c r="GN673" s="299"/>
      <c r="GO673" s="770"/>
      <c r="GP673" s="770"/>
      <c r="GQ673" s="770"/>
      <c r="GR673" s="770"/>
      <c r="GS673" s="770"/>
      <c r="GT673" s="770"/>
      <c r="GU673" s="770"/>
      <c r="GV673" s="770"/>
      <c r="GW673" s="770"/>
      <c r="GX673" s="770"/>
      <c r="GY673" s="770"/>
      <c r="GZ673" s="770"/>
      <c r="HA673" s="770"/>
      <c r="HB673" s="770"/>
      <c r="HC673" s="770"/>
      <c r="HD673" s="770"/>
      <c r="HE673" s="770"/>
      <c r="HF673" s="770"/>
      <c r="HG673" s="770"/>
      <c r="HH673" s="770"/>
      <c r="HI673" s="770"/>
      <c r="HJ673" s="770"/>
      <c r="HK673" s="770"/>
      <c r="HL673" s="770"/>
      <c r="HM673" s="770"/>
      <c r="HN673" s="770"/>
      <c r="HO673" s="770"/>
      <c r="HP673" s="770"/>
      <c r="HQ673" s="770"/>
      <c r="HR673" s="770">
        <v>1</v>
      </c>
      <c r="HS673" s="770"/>
      <c r="HT673" s="770">
        <v>1</v>
      </c>
      <c r="HU673" s="770"/>
      <c r="HV673" s="770"/>
      <c r="HW673" s="770"/>
      <c r="HX673" s="770"/>
      <c r="HY673" s="770"/>
      <c r="HZ673" s="770"/>
      <c r="IA673" s="770"/>
      <c r="IB673" s="770"/>
      <c r="IC673" s="770"/>
      <c r="ID673" s="770"/>
      <c r="IE673" s="770"/>
      <c r="IF673" s="770"/>
      <c r="IG673" s="770"/>
      <c r="IH673" s="770"/>
      <c r="II673" s="770"/>
      <c r="IJ673" s="770"/>
      <c r="IK673" s="770"/>
      <c r="IL673" s="770"/>
      <c r="IM673" s="770"/>
      <c r="IN673" s="770"/>
      <c r="IO673" s="296"/>
      <c r="IP673" s="770"/>
      <c r="IQ673" s="770"/>
      <c r="IR673" s="770"/>
      <c r="IS673" s="770"/>
      <c r="IT673" s="770"/>
      <c r="IU673" s="770"/>
      <c r="IV673" s="770"/>
      <c r="IW673" s="770"/>
      <c r="IX673" s="770"/>
      <c r="IY673" s="770"/>
      <c r="IZ673" s="770"/>
      <c r="JA673" s="770"/>
      <c r="JB673" s="770"/>
      <c r="JC673" s="770"/>
      <c r="JD673" s="302"/>
      <c r="JE673" s="770"/>
      <c r="JF673" s="770"/>
      <c r="JG673" s="770"/>
      <c r="JH673" s="307"/>
      <c r="JI673" s="307"/>
      <c r="JJ673" s="770"/>
      <c r="JK673" s="770"/>
      <c r="JL673" s="770"/>
      <c r="JM673" s="770"/>
      <c r="JN673" s="770"/>
      <c r="JO673" s="770"/>
      <c r="JP673" s="770"/>
      <c r="JQ673" s="770"/>
      <c r="JR673" s="770"/>
      <c r="JS673" s="770"/>
      <c r="JT673" s="766"/>
      <c r="JU673" s="766"/>
      <c r="JV673" s="766"/>
      <c r="JW673" s="766"/>
      <c r="JX673" s="770"/>
      <c r="JY673" s="770"/>
      <c r="JZ673" s="770"/>
      <c r="KA673" s="770"/>
      <c r="KB673" s="770"/>
      <c r="KC673" s="770"/>
      <c r="KD673" s="770"/>
      <c r="KE673" s="770"/>
      <c r="KF673" s="770"/>
      <c r="KG673" s="770"/>
      <c r="KH673" s="770"/>
      <c r="KI673" s="770"/>
      <c r="KJ673" s="770"/>
      <c r="KK673" s="770"/>
      <c r="KL673" s="770"/>
      <c r="KM673" s="770"/>
      <c r="KN673" s="770"/>
      <c r="KO673" s="770"/>
      <c r="KP673" s="770"/>
      <c r="KQ673" s="770"/>
      <c r="KR673" s="770"/>
      <c r="KS673" s="770"/>
      <c r="KT673" s="770"/>
      <c r="KU673" s="770"/>
      <c r="KV673" s="770"/>
      <c r="KW673" s="770"/>
      <c r="KX673" s="770"/>
      <c r="KY673" s="770"/>
      <c r="KZ673" s="770"/>
      <c r="LA673" s="770"/>
      <c r="LB673" s="770"/>
      <c r="LC673" s="770"/>
      <c r="LD673" s="770"/>
      <c r="LE673" s="770"/>
      <c r="LF673" s="770"/>
      <c r="LG673" s="770"/>
      <c r="LH673" s="770"/>
      <c r="LI673" s="770"/>
      <c r="LJ673" s="770"/>
      <c r="LK673" s="770"/>
      <c r="LL673" s="770"/>
      <c r="LM673" s="770"/>
      <c r="LN673" s="766"/>
      <c r="LO673" s="766"/>
      <c r="LP673" s="770"/>
      <c r="LQ673" s="770"/>
      <c r="LR673" s="770"/>
      <c r="LS673" s="770"/>
      <c r="LT673" s="770"/>
      <c r="LU673" s="770"/>
      <c r="LV673" s="770"/>
      <c r="LW673" s="770"/>
      <c r="LX673" s="769"/>
      <c r="LY673" s="766" t="str">
        <f t="shared" si="187"/>
        <v/>
      </c>
      <c r="LZ673" s="1709"/>
      <c r="MA673" s="1709"/>
      <c r="MB673" s="1709"/>
      <c r="MC673" s="1679">
        <f t="shared" si="185"/>
        <v>0</v>
      </c>
      <c r="MD673" s="1709"/>
      <c r="ME673" s="1709"/>
      <c r="MF673" s="1709"/>
      <c r="MG673" s="1680">
        <f t="shared" si="199"/>
        <v>0</v>
      </c>
      <c r="MH673" s="770"/>
      <c r="MI673" s="302"/>
      <c r="MJ673" s="302"/>
      <c r="MK673" s="302"/>
      <c r="ML673" s="302"/>
      <c r="MM673" s="302"/>
      <c r="MN673" s="302"/>
      <c r="MO673" s="302"/>
      <c r="MP673" s="302"/>
      <c r="MQ673" s="302"/>
      <c r="MR673" s="302"/>
      <c r="MS673" s="302"/>
      <c r="MT673" s="302"/>
      <c r="MU673" s="302"/>
      <c r="MV673" s="302"/>
      <c r="MW673" s="302"/>
      <c r="MX673" s="302"/>
      <c r="MY673" s="1682">
        <f t="shared" si="200"/>
        <v>0</v>
      </c>
      <c r="MZ673" s="766"/>
      <c r="NA673" s="770"/>
      <c r="NB673" s="770"/>
      <c r="NC673" s="770"/>
      <c r="ND673" s="770"/>
      <c r="NE673" s="770"/>
      <c r="NF673" s="770"/>
      <c r="NG673" s="770"/>
      <c r="NH673" s="770"/>
      <c r="NI673" s="770"/>
      <c r="NJ673" s="770"/>
      <c r="NK673" s="770"/>
      <c r="NL673" s="770"/>
      <c r="NM673" s="770"/>
      <c r="NN673" s="770"/>
      <c r="NO673" s="770"/>
      <c r="NP673" s="770"/>
      <c r="NQ673" s="770"/>
      <c r="NR673" s="770"/>
      <c r="NS673" s="770"/>
      <c r="NT673" s="770"/>
      <c r="NU673" s="770"/>
      <c r="NV673" s="770"/>
      <c r="NW673" s="770"/>
      <c r="NX673" s="770"/>
      <c r="NY673" s="770"/>
      <c r="NZ673" s="770"/>
      <c r="OA673" s="770"/>
      <c r="OB673" s="770"/>
      <c r="OC673" s="770"/>
      <c r="OD673" s="770"/>
      <c r="OE673" s="770"/>
      <c r="OF673" s="770"/>
      <c r="OG673" s="770"/>
      <c r="OH673" s="770"/>
      <c r="OI673" s="770"/>
      <c r="OJ673" s="770"/>
      <c r="OK673" s="770"/>
      <c r="OL673" s="770"/>
      <c r="OM673" s="770"/>
      <c r="ON673" s="770"/>
      <c r="OO673" s="770"/>
      <c r="OP673" s="770"/>
      <c r="OQ673" s="770"/>
      <c r="OR673" s="770"/>
      <c r="OS673" s="770"/>
      <c r="OT673" s="770"/>
      <c r="OU673" s="770"/>
      <c r="OV673" s="770"/>
      <c r="OW673" s="770"/>
      <c r="OX673" s="770"/>
      <c r="OY673" s="770"/>
      <c r="OZ673" s="770"/>
      <c r="PA673" s="770"/>
      <c r="PB673" s="770"/>
      <c r="PC673" s="770"/>
      <c r="PD673" s="770"/>
      <c r="PE673" s="770"/>
      <c r="PF673" s="770"/>
      <c r="PG673" s="770"/>
      <c r="PH673" s="770"/>
      <c r="PI673" s="770"/>
      <c r="PJ673" s="770"/>
      <c r="PK673" s="770"/>
      <c r="PL673" s="770"/>
      <c r="PM673" s="770"/>
      <c r="PN673" s="770"/>
      <c r="PO673" s="770"/>
      <c r="PP673" s="770"/>
      <c r="PQ673" s="770"/>
      <c r="PR673" s="770"/>
      <c r="PS673" s="770"/>
      <c r="PT673" s="770"/>
      <c r="PU673" s="770"/>
      <c r="PV673" s="770"/>
      <c r="PW673" s="770"/>
      <c r="PX673" s="770"/>
      <c r="PY673" s="770"/>
      <c r="PZ673" s="770"/>
      <c r="QA673" s="770"/>
      <c r="QB673" s="770"/>
      <c r="QC673" s="770"/>
      <c r="QD673" s="770"/>
      <c r="QE673" s="770"/>
      <c r="QF673" s="770"/>
      <c r="QG673" s="770"/>
      <c r="QH673" s="770"/>
      <c r="QI673" s="770"/>
      <c r="QJ673" s="770"/>
      <c r="QK673" s="770"/>
      <c r="QL673" s="770"/>
      <c r="QM673" s="770"/>
      <c r="QN673" s="770"/>
      <c r="QO673" s="770"/>
      <c r="QP673" s="770"/>
      <c r="QQ673" s="770"/>
      <c r="QR673" s="770"/>
      <c r="QS673" s="770"/>
      <c r="QT673" s="770"/>
      <c r="QU673" s="770"/>
      <c r="QV673" s="770"/>
      <c r="QW673" s="770"/>
      <c r="QX673" s="770"/>
      <c r="QY673" s="770"/>
      <c r="QZ673" s="770"/>
      <c r="RA673" s="770"/>
      <c r="RB673" s="770"/>
      <c r="RC673" s="770"/>
      <c r="RD673" s="770"/>
      <c r="RE673" s="770"/>
      <c r="RF673" s="304"/>
      <c r="RG673" s="770"/>
      <c r="RH673" s="306"/>
      <c r="RI673" s="770"/>
      <c r="RJ673" s="94" t="s">
        <v>4402</v>
      </c>
      <c r="RK673" s="770" t="s">
        <v>13550</v>
      </c>
      <c r="RL673" s="1710">
        <v>42842</v>
      </c>
      <c r="RM673" s="12"/>
      <c r="RN673" s="1711"/>
      <c r="RO673" s="149" t="s">
        <v>4398</v>
      </c>
      <c r="RP673" s="11"/>
      <c r="RQ673" s="11"/>
      <c r="RR673" s="17"/>
      <c r="RS673" s="770"/>
      <c r="RT673" s="11"/>
      <c r="RU673" s="11"/>
      <c r="RV673" s="766" t="s">
        <v>7421</v>
      </c>
      <c r="RW673" s="11" t="s">
        <v>7999</v>
      </c>
      <c r="RX673" s="11" t="s">
        <v>4383</v>
      </c>
      <c r="RY673" s="11"/>
      <c r="RZ673" s="11" t="s">
        <v>1101</v>
      </c>
      <c r="SA673" s="766"/>
      <c r="SB673" s="11"/>
      <c r="SC673" s="11"/>
    </row>
    <row r="674" spans="1:497" ht="12.75" customHeight="1">
      <c r="A674" s="19" t="s">
        <v>7421</v>
      </c>
      <c r="B674" s="292" t="s">
        <v>8002</v>
      </c>
      <c r="C674" s="149" t="s">
        <v>4403</v>
      </c>
      <c r="D674" s="94" t="s">
        <v>4404</v>
      </c>
      <c r="E674" s="766" t="s">
        <v>4405</v>
      </c>
      <c r="F674" s="770" t="s">
        <v>28</v>
      </c>
      <c r="G674" s="770" t="s">
        <v>10</v>
      </c>
      <c r="H674" s="94" t="s">
        <v>4406</v>
      </c>
      <c r="I674" s="295"/>
      <c r="J674" s="94" t="s">
        <v>4404</v>
      </c>
      <c r="K674" s="766" t="s">
        <v>4407</v>
      </c>
      <c r="L674" s="766" t="s">
        <v>4408</v>
      </c>
      <c r="M674" s="770" t="s">
        <v>1238</v>
      </c>
      <c r="N674" s="1757"/>
      <c r="O674" s="1757" t="s">
        <v>4409</v>
      </c>
      <c r="P674" s="770"/>
      <c r="Q674" s="1088"/>
      <c r="R674" s="297"/>
      <c r="S674" s="770"/>
      <c r="T674" s="770"/>
      <c r="U674" s="295"/>
      <c r="V674" s="770"/>
      <c r="W674" s="770"/>
      <c r="X674" s="770"/>
      <c r="Y674" s="770"/>
      <c r="Z674" s="770"/>
      <c r="AA674" s="770"/>
      <c r="AB674" s="770"/>
      <c r="AC674" s="770"/>
      <c r="AD674" s="770"/>
      <c r="AE674" s="770"/>
      <c r="AF674" s="770"/>
      <c r="AG674" s="766" t="s">
        <v>1132</v>
      </c>
      <c r="AH674" s="766" t="s">
        <v>1096</v>
      </c>
      <c r="AI674" s="75"/>
      <c r="AJ674" s="766" t="s">
        <v>1137</v>
      </c>
      <c r="AK674" s="766" t="s">
        <v>1101</v>
      </c>
      <c r="AL674" s="120">
        <v>35</v>
      </c>
      <c r="AM674" s="773">
        <v>35</v>
      </c>
      <c r="AN674" s="37">
        <f t="shared" si="207"/>
        <v>1</v>
      </c>
      <c r="AO674" s="766" t="s">
        <v>1122</v>
      </c>
      <c r="AP674" s="766"/>
      <c r="AQ674" s="766"/>
      <c r="AR674" s="766"/>
      <c r="AS674" s="766"/>
      <c r="AT674" s="766"/>
      <c r="AU674" s="766"/>
      <c r="AV674" s="766"/>
      <c r="AW674" s="766"/>
      <c r="AX674" s="766"/>
      <c r="AY674" s="766"/>
      <c r="AZ674" s="766"/>
      <c r="BA674" s="766"/>
      <c r="BB674" s="766"/>
      <c r="BC674" s="766"/>
      <c r="BD674" s="766"/>
      <c r="BE674" s="766"/>
      <c r="BF674" s="775"/>
      <c r="BG674" s="775"/>
      <c r="BH674" s="770"/>
      <c r="BI674" s="770"/>
      <c r="BJ674" s="770"/>
      <c r="BK674" s="770"/>
      <c r="BL674" s="770"/>
      <c r="BM674" s="770"/>
      <c r="BN674" s="770"/>
      <c r="BO674" s="770"/>
      <c r="BP674" s="1109"/>
      <c r="BQ674" s="773"/>
      <c r="BR674" s="774"/>
      <c r="BS674" s="766"/>
      <c r="BT674" s="770"/>
      <c r="BU674" s="770"/>
      <c r="BV674" s="770"/>
      <c r="BW674" s="770"/>
      <c r="BX674" s="302"/>
      <c r="BY674" s="770"/>
      <c r="BZ674" s="302"/>
      <c r="CA674" s="770"/>
      <c r="CB674" s="770" t="s">
        <v>1207</v>
      </c>
      <c r="CC674" s="770" t="s">
        <v>4410</v>
      </c>
      <c r="CD674" s="770">
        <v>2014</v>
      </c>
      <c r="CE674" s="131"/>
      <c r="CF674" s="304">
        <v>0.7</v>
      </c>
      <c r="CG674" s="321">
        <v>15</v>
      </c>
      <c r="CH674" s="12" t="s">
        <v>2545</v>
      </c>
      <c r="CI674" s="770"/>
      <c r="CJ674" s="12" t="s">
        <v>3525</v>
      </c>
      <c r="CK674" s="770">
        <v>6</v>
      </c>
      <c r="CL674" s="770" t="s">
        <v>1249</v>
      </c>
      <c r="CM674" s="770"/>
      <c r="CN674" s="770"/>
      <c r="CO674" s="770" t="s">
        <v>4397</v>
      </c>
      <c r="CP674" s="770"/>
      <c r="CQ674" s="770"/>
      <c r="CR674" s="302"/>
      <c r="CS674" s="770"/>
      <c r="CT674" s="770"/>
      <c r="CU674" s="305"/>
      <c r="CV674" s="770"/>
      <c r="CW674" s="770"/>
      <c r="CX674" s="770"/>
      <c r="CY674" s="770"/>
      <c r="CZ674" s="770"/>
      <c r="DA674" s="306"/>
      <c r="DB674" s="770"/>
      <c r="DC674" s="770"/>
      <c r="DD674" s="770"/>
      <c r="DE674" s="300"/>
      <c r="DF674" s="770"/>
      <c r="DG674" s="770"/>
      <c r="DH674" s="770"/>
      <c r="DI674" s="770"/>
      <c r="DJ674" s="770"/>
      <c r="DK674" s="770"/>
      <c r="DL674" s="770"/>
      <c r="DM674" s="770"/>
      <c r="DN674" s="322"/>
      <c r="DO674" s="770"/>
      <c r="DP674" s="770"/>
      <c r="DQ674" s="770"/>
      <c r="DR674" s="770"/>
      <c r="DS674" s="307"/>
      <c r="DT674" s="770"/>
      <c r="DU674" s="770"/>
      <c r="DV674" s="770"/>
      <c r="DW674" s="306"/>
      <c r="DX674" s="306"/>
      <c r="DY674" s="1055"/>
      <c r="DZ674" s="770"/>
      <c r="EA674" s="770"/>
      <c r="EB674" s="770"/>
      <c r="EC674" s="770"/>
      <c r="ED674" s="770"/>
      <c r="EE674" s="770"/>
      <c r="EF674" s="770"/>
      <c r="EG674" s="770"/>
      <c r="EH674" s="770"/>
      <c r="EI674" s="770"/>
      <c r="EJ674" s="770"/>
      <c r="EK674" s="770"/>
      <c r="EL674" s="770"/>
      <c r="EM674" s="770"/>
      <c r="EN674" s="770"/>
      <c r="EO674" s="770"/>
      <c r="EP674" s="94"/>
      <c r="EQ674" s="770"/>
      <c r="ER674" s="770"/>
      <c r="ES674" s="770"/>
      <c r="ET674" s="770"/>
      <c r="EU674" s="770"/>
      <c r="EV674" s="770"/>
      <c r="EW674" s="770"/>
      <c r="EX674" s="770"/>
      <c r="EY674" s="770"/>
      <c r="EZ674" s="770"/>
      <c r="FA674" s="770"/>
      <c r="FB674" s="770"/>
      <c r="FC674" s="770"/>
      <c r="FD674" s="302"/>
      <c r="FE674" s="770"/>
      <c r="FF674" s="770"/>
      <c r="FG674" s="770"/>
      <c r="FH674" s="770"/>
      <c r="FI674" s="770"/>
      <c r="FJ674" s="770"/>
      <c r="FK674" s="770"/>
      <c r="FL674" s="770"/>
      <c r="FM674" s="302"/>
      <c r="FN674" s="302"/>
      <c r="FO674" s="302"/>
      <c r="FP674" s="770"/>
      <c r="FQ674" s="770"/>
      <c r="FR674" s="770"/>
      <c r="FS674" s="770"/>
      <c r="FT674" s="770"/>
      <c r="FU674" s="770"/>
      <c r="FV674" s="770"/>
      <c r="FW674" s="770"/>
      <c r="FX674" s="770"/>
      <c r="FY674" s="770"/>
      <c r="FZ674" s="770"/>
      <c r="GA674" s="770"/>
      <c r="GB674" s="770"/>
      <c r="GC674" s="308"/>
      <c r="GD674" s="297"/>
      <c r="GE674" s="770"/>
      <c r="GF674" s="302"/>
      <c r="GG674" s="302"/>
      <c r="GH674" s="770"/>
      <c r="GI674" s="770"/>
      <c r="GJ674" s="770"/>
      <c r="GK674" s="766"/>
      <c r="GL674" s="770"/>
      <c r="GM674" s="770"/>
      <c r="GN674" s="299"/>
      <c r="GO674" s="770"/>
      <c r="GP674" s="770"/>
      <c r="GQ674" s="770"/>
      <c r="GR674" s="770"/>
      <c r="GS674" s="770"/>
      <c r="GT674" s="770"/>
      <c r="GU674" s="770"/>
      <c r="GV674" s="770"/>
      <c r="GW674" s="770"/>
      <c r="GX674" s="770"/>
      <c r="GY674" s="770"/>
      <c r="GZ674" s="770"/>
      <c r="HA674" s="770"/>
      <c r="HB674" s="770"/>
      <c r="HC674" s="770"/>
      <c r="HD674" s="770"/>
      <c r="HE674" s="770"/>
      <c r="HF674" s="770"/>
      <c r="HG674" s="770"/>
      <c r="HH674" s="770"/>
      <c r="HI674" s="770"/>
      <c r="HJ674" s="770"/>
      <c r="HK674" s="770"/>
      <c r="HL674" s="770"/>
      <c r="HM674" s="770"/>
      <c r="HN674" s="770"/>
      <c r="HO674" s="770"/>
      <c r="HP674" s="770"/>
      <c r="HQ674" s="770"/>
      <c r="HR674" s="770"/>
      <c r="HS674" s="770">
        <v>2</v>
      </c>
      <c r="HT674" s="770"/>
      <c r="HU674" s="770"/>
      <c r="HV674" s="770"/>
      <c r="HW674" s="770"/>
      <c r="HX674" s="770"/>
      <c r="HY674" s="770"/>
      <c r="HZ674" s="770"/>
      <c r="IA674" s="770"/>
      <c r="IB674" s="770"/>
      <c r="IC674" s="770"/>
      <c r="ID674" s="770"/>
      <c r="IE674" s="770"/>
      <c r="IF674" s="770"/>
      <c r="IG674" s="770"/>
      <c r="IH674" s="770"/>
      <c r="II674" s="770"/>
      <c r="IJ674" s="770"/>
      <c r="IK674" s="770"/>
      <c r="IL674" s="770"/>
      <c r="IM674" s="770"/>
      <c r="IN674" s="770"/>
      <c r="IO674" s="296"/>
      <c r="IP674" s="770"/>
      <c r="IQ674" s="770"/>
      <c r="IR674" s="770"/>
      <c r="IS674" s="770"/>
      <c r="IT674" s="770"/>
      <c r="IU674" s="770"/>
      <c r="IV674" s="770"/>
      <c r="IW674" s="770"/>
      <c r="IX674" s="770"/>
      <c r="IY674" s="770"/>
      <c r="IZ674" s="770"/>
      <c r="JA674" s="770"/>
      <c r="JB674" s="770"/>
      <c r="JC674" s="770"/>
      <c r="JD674" s="302"/>
      <c r="JE674" s="770"/>
      <c r="JF674" s="770"/>
      <c r="JG674" s="770"/>
      <c r="JH674" s="307"/>
      <c r="JI674" s="307"/>
      <c r="JJ674" s="770"/>
      <c r="JK674" s="770"/>
      <c r="JL674" s="770"/>
      <c r="JM674" s="770"/>
      <c r="JN674" s="770"/>
      <c r="JO674" s="770"/>
      <c r="JP674" s="770"/>
      <c r="JQ674" s="770"/>
      <c r="JR674" s="770"/>
      <c r="JS674" s="770"/>
      <c r="JT674" s="766"/>
      <c r="JU674" s="766"/>
      <c r="JV674" s="766"/>
      <c r="JW674" s="766"/>
      <c r="JX674" s="770"/>
      <c r="JY674" s="770"/>
      <c r="JZ674" s="770"/>
      <c r="KA674" s="770"/>
      <c r="KB674" s="770"/>
      <c r="KC674" s="770"/>
      <c r="KD674" s="770"/>
      <c r="KE674" s="770"/>
      <c r="KF674" s="770"/>
      <c r="KG674" s="770"/>
      <c r="KH674" s="770"/>
      <c r="KI674" s="770"/>
      <c r="KJ674" s="770"/>
      <c r="KK674" s="770"/>
      <c r="KL674" s="770"/>
      <c r="KM674" s="770"/>
      <c r="KN674" s="770"/>
      <c r="KO674" s="770"/>
      <c r="KP674" s="770"/>
      <c r="KQ674" s="770"/>
      <c r="KR674" s="770"/>
      <c r="KS674" s="770"/>
      <c r="KT674" s="770"/>
      <c r="KU674" s="770"/>
      <c r="KV674" s="770"/>
      <c r="KW674" s="770"/>
      <c r="KX674" s="770"/>
      <c r="KY674" s="770"/>
      <c r="KZ674" s="770"/>
      <c r="LA674" s="770"/>
      <c r="LB674" s="770"/>
      <c r="LC674" s="770"/>
      <c r="LD674" s="770"/>
      <c r="LE674" s="770"/>
      <c r="LF674" s="770"/>
      <c r="LG674" s="770"/>
      <c r="LH674" s="770"/>
      <c r="LI674" s="770"/>
      <c r="LJ674" s="770"/>
      <c r="LK674" s="770"/>
      <c r="LL674" s="770"/>
      <c r="LM674" s="770"/>
      <c r="LN674" s="766"/>
      <c r="LO674" s="766"/>
      <c r="LP674" s="770"/>
      <c r="LQ674" s="770"/>
      <c r="LR674" s="770"/>
      <c r="LS674" s="770"/>
      <c r="LT674" s="770"/>
      <c r="LU674" s="770"/>
      <c r="LV674" s="770"/>
      <c r="LW674" s="770"/>
      <c r="LX674" s="769"/>
      <c r="LY674" s="766" t="str">
        <f t="shared" si="187"/>
        <v/>
      </c>
      <c r="LZ674" s="1709"/>
      <c r="MA674" s="1709"/>
      <c r="MB674" s="1709"/>
      <c r="MC674" s="1679">
        <f t="shared" si="185"/>
        <v>0</v>
      </c>
      <c r="MD674" s="1709"/>
      <c r="ME674" s="1709"/>
      <c r="MF674" s="1709"/>
      <c r="MG674" s="1680">
        <f t="shared" si="199"/>
        <v>0</v>
      </c>
      <c r="MH674" s="770"/>
      <c r="MI674" s="302"/>
      <c r="MJ674" s="302"/>
      <c r="MK674" s="302"/>
      <c r="ML674" s="302"/>
      <c r="MM674" s="302"/>
      <c r="MN674" s="302"/>
      <c r="MO674" s="302"/>
      <c r="MP674" s="302"/>
      <c r="MQ674" s="302"/>
      <c r="MR674" s="302"/>
      <c r="MS674" s="302"/>
      <c r="MT674" s="302"/>
      <c r="MU674" s="302"/>
      <c r="MV674" s="302"/>
      <c r="MW674" s="302"/>
      <c r="MX674" s="302"/>
      <c r="MY674" s="1682">
        <f t="shared" si="200"/>
        <v>0</v>
      </c>
      <c r="MZ674" s="766"/>
      <c r="NA674" s="770"/>
      <c r="NB674" s="770"/>
      <c r="NC674" s="770"/>
      <c r="ND674" s="770"/>
      <c r="NE674" s="770"/>
      <c r="NF674" s="770"/>
      <c r="NG674" s="770"/>
      <c r="NH674" s="770"/>
      <c r="NI674" s="770"/>
      <c r="NJ674" s="770"/>
      <c r="NK674" s="770"/>
      <c r="NL674" s="770"/>
      <c r="NM674" s="770"/>
      <c r="NN674" s="770"/>
      <c r="NO674" s="770"/>
      <c r="NP674" s="770"/>
      <c r="NQ674" s="770"/>
      <c r="NR674" s="770"/>
      <c r="NS674" s="770"/>
      <c r="NT674" s="770"/>
      <c r="NU674" s="770"/>
      <c r="NV674" s="770"/>
      <c r="NW674" s="770"/>
      <c r="NX674" s="770"/>
      <c r="NY674" s="770"/>
      <c r="NZ674" s="770"/>
      <c r="OA674" s="770"/>
      <c r="OB674" s="770"/>
      <c r="OC674" s="770"/>
      <c r="OD674" s="770"/>
      <c r="OE674" s="770"/>
      <c r="OF674" s="770"/>
      <c r="OG674" s="770"/>
      <c r="OH674" s="770"/>
      <c r="OI674" s="770"/>
      <c r="OJ674" s="770"/>
      <c r="OK674" s="770"/>
      <c r="OL674" s="770"/>
      <c r="OM674" s="770"/>
      <c r="ON674" s="770"/>
      <c r="OO674" s="770"/>
      <c r="OP674" s="770"/>
      <c r="OQ674" s="770"/>
      <c r="OR674" s="770"/>
      <c r="OS674" s="770"/>
      <c r="OT674" s="770"/>
      <c r="OU674" s="770"/>
      <c r="OV674" s="770"/>
      <c r="OW674" s="770"/>
      <c r="OX674" s="770"/>
      <c r="OY674" s="770"/>
      <c r="OZ674" s="770"/>
      <c r="PA674" s="770"/>
      <c r="PB674" s="770"/>
      <c r="PC674" s="770"/>
      <c r="PD674" s="770"/>
      <c r="PE674" s="770"/>
      <c r="PF674" s="770"/>
      <c r="PG674" s="770"/>
      <c r="PH674" s="770"/>
      <c r="PI674" s="770"/>
      <c r="PJ674" s="770"/>
      <c r="PK674" s="770"/>
      <c r="PL674" s="770"/>
      <c r="PM674" s="770"/>
      <c r="PN674" s="770"/>
      <c r="PO674" s="770"/>
      <c r="PP674" s="770"/>
      <c r="PQ674" s="770"/>
      <c r="PR674" s="770"/>
      <c r="PS674" s="770"/>
      <c r="PT674" s="770"/>
      <c r="PU674" s="770"/>
      <c r="PV674" s="770"/>
      <c r="PW674" s="770"/>
      <c r="PX674" s="770"/>
      <c r="PY674" s="770"/>
      <c r="PZ674" s="770"/>
      <c r="QA674" s="770"/>
      <c r="QB674" s="770"/>
      <c r="QC674" s="770"/>
      <c r="QD674" s="770"/>
      <c r="QE674" s="770"/>
      <c r="QF674" s="770"/>
      <c r="QG674" s="770"/>
      <c r="QH674" s="770"/>
      <c r="QI674" s="770"/>
      <c r="QJ674" s="770"/>
      <c r="QK674" s="770"/>
      <c r="QL674" s="770"/>
      <c r="QM674" s="770"/>
      <c r="QN674" s="770"/>
      <c r="QO674" s="770"/>
      <c r="QP674" s="770"/>
      <c r="QQ674" s="770"/>
      <c r="QR674" s="770"/>
      <c r="QS674" s="770"/>
      <c r="QT674" s="770"/>
      <c r="QU674" s="770"/>
      <c r="QV674" s="770"/>
      <c r="QW674" s="770"/>
      <c r="QX674" s="770"/>
      <c r="QY674" s="770"/>
      <c r="QZ674" s="770"/>
      <c r="RA674" s="770"/>
      <c r="RB674" s="770"/>
      <c r="RC674" s="770"/>
      <c r="RD674" s="770"/>
      <c r="RE674" s="770"/>
      <c r="RF674" s="304"/>
      <c r="RG674" s="770"/>
      <c r="RH674" s="306"/>
      <c r="RI674" s="770"/>
      <c r="RJ674" s="94" t="s">
        <v>13887</v>
      </c>
      <c r="RK674" s="770" t="s">
        <v>13550</v>
      </c>
      <c r="RL674" s="1710">
        <v>42842</v>
      </c>
      <c r="RM674" s="12"/>
      <c r="RN674" s="1711"/>
      <c r="RO674" s="149" t="s">
        <v>4403</v>
      </c>
      <c r="RP674" s="11"/>
      <c r="RQ674" s="11"/>
      <c r="RR674" s="17"/>
      <c r="RS674" s="770"/>
      <c r="RT674" s="11"/>
      <c r="RU674" s="11"/>
      <c r="RV674" s="766" t="s">
        <v>7421</v>
      </c>
      <c r="RW674" s="11" t="s">
        <v>8000</v>
      </c>
      <c r="RX674" s="11" t="s">
        <v>4389</v>
      </c>
      <c r="RY674" s="11"/>
      <c r="RZ674" s="11" t="s">
        <v>1101</v>
      </c>
      <c r="SA674" s="766"/>
      <c r="SB674" s="11"/>
      <c r="SC674" s="11"/>
    </row>
    <row r="675" spans="1:497" ht="12.75" customHeight="1">
      <c r="A675" s="19" t="s">
        <v>7421</v>
      </c>
      <c r="B675" s="292" t="s">
        <v>8003</v>
      </c>
      <c r="C675" s="149" t="s">
        <v>4411</v>
      </c>
      <c r="D675" s="94" t="s">
        <v>4412</v>
      </c>
      <c r="E675" s="766" t="s">
        <v>4413</v>
      </c>
      <c r="F675" s="770" t="s">
        <v>20</v>
      </c>
      <c r="G675" s="770" t="s">
        <v>18</v>
      </c>
      <c r="H675" s="770"/>
      <c r="I675" s="12" t="s">
        <v>4414</v>
      </c>
      <c r="J675" s="94" t="s">
        <v>4415</v>
      </c>
      <c r="K675" s="766" t="s">
        <v>4416</v>
      </c>
      <c r="L675" s="766" t="s">
        <v>4417</v>
      </c>
      <c r="M675" s="770" t="s">
        <v>1238</v>
      </c>
      <c r="N675" s="1757"/>
      <c r="O675" s="1757" t="s">
        <v>4409</v>
      </c>
      <c r="P675" s="770"/>
      <c r="Q675" s="1088"/>
      <c r="R675" s="297"/>
      <c r="S675" s="770"/>
      <c r="T675" s="770"/>
      <c r="U675" s="295"/>
      <c r="V675" s="770"/>
      <c r="W675" s="770"/>
      <c r="X675" s="770"/>
      <c r="Y675" s="770"/>
      <c r="Z675" s="770"/>
      <c r="AA675" s="770"/>
      <c r="AB675" s="770"/>
      <c r="AC675" s="770"/>
      <c r="AD675" s="770"/>
      <c r="AE675" s="770"/>
      <c r="AF675" s="770"/>
      <c r="AG675" s="766" t="s">
        <v>1132</v>
      </c>
      <c r="AH675" s="766" t="s">
        <v>1096</v>
      </c>
      <c r="AI675" s="75"/>
      <c r="AJ675" s="766" t="s">
        <v>1137</v>
      </c>
      <c r="AK675" s="766" t="s">
        <v>1101</v>
      </c>
      <c r="AL675" s="120">
        <v>64</v>
      </c>
      <c r="AM675" s="773">
        <v>64</v>
      </c>
      <c r="AN675" s="37">
        <f t="shared" si="207"/>
        <v>1</v>
      </c>
      <c r="AO675" s="766" t="s">
        <v>1122</v>
      </c>
      <c r="AP675" s="766"/>
      <c r="AQ675" s="766"/>
      <c r="AR675" s="766"/>
      <c r="AS675" s="766"/>
      <c r="AT675" s="766"/>
      <c r="AU675" s="766"/>
      <c r="AV675" s="766"/>
      <c r="AW675" s="766"/>
      <c r="AX675" s="766"/>
      <c r="AY675" s="766"/>
      <c r="AZ675" s="766"/>
      <c r="BA675" s="766"/>
      <c r="BB675" s="766"/>
      <c r="BC675" s="766"/>
      <c r="BD675" s="766"/>
      <c r="BE675" s="766"/>
      <c r="BF675" s="775"/>
      <c r="BG675" s="775"/>
      <c r="BH675" s="770"/>
      <c r="BI675" s="770"/>
      <c r="BJ675" s="770"/>
      <c r="BK675" s="770"/>
      <c r="BL675" s="770"/>
      <c r="BM675" s="770"/>
      <c r="BN675" s="770"/>
      <c r="BO675" s="770"/>
      <c r="BP675" s="1109"/>
      <c r="BQ675" s="773"/>
      <c r="BR675" s="774"/>
      <c r="BS675" s="766"/>
      <c r="BT675" s="770"/>
      <c r="BU675" s="770"/>
      <c r="BV675" s="770"/>
      <c r="BW675" s="770"/>
      <c r="BX675" s="302"/>
      <c r="BY675" s="770"/>
      <c r="BZ675" s="302"/>
      <c r="CA675" s="770"/>
      <c r="CB675" s="770" t="s">
        <v>1207</v>
      </c>
      <c r="CC675" s="770" t="s">
        <v>4418</v>
      </c>
      <c r="CD675" s="770">
        <v>2015</v>
      </c>
      <c r="CE675" s="131"/>
      <c r="CF675" s="304">
        <v>1</v>
      </c>
      <c r="CG675" s="321">
        <v>8</v>
      </c>
      <c r="CH675" s="12" t="s">
        <v>1247</v>
      </c>
      <c r="CI675" s="770"/>
      <c r="CJ675" s="12"/>
      <c r="CK675" s="770">
        <v>6</v>
      </c>
      <c r="CL675" s="770"/>
      <c r="CM675" s="770" t="s">
        <v>3399</v>
      </c>
      <c r="CN675" s="770"/>
      <c r="CO675" s="770" t="s">
        <v>1105</v>
      </c>
      <c r="CP675" s="770"/>
      <c r="CQ675" s="770"/>
      <c r="CR675" s="302"/>
      <c r="CS675" s="770"/>
      <c r="CT675" s="770"/>
      <c r="CU675" s="305"/>
      <c r="CV675" s="770"/>
      <c r="CW675" s="770"/>
      <c r="CX675" s="770"/>
      <c r="CY675" s="770"/>
      <c r="CZ675" s="770"/>
      <c r="DA675" s="306"/>
      <c r="DB675" s="770"/>
      <c r="DC675" s="770"/>
      <c r="DD675" s="770"/>
      <c r="DE675" s="300"/>
      <c r="DF675" s="770"/>
      <c r="DG675" s="770"/>
      <c r="DH675" s="770"/>
      <c r="DI675" s="770"/>
      <c r="DJ675" s="770"/>
      <c r="DK675" s="770"/>
      <c r="DL675" s="770"/>
      <c r="DM675" s="770"/>
      <c r="DN675" s="322"/>
      <c r="DO675" s="770"/>
      <c r="DP675" s="770"/>
      <c r="DQ675" s="770"/>
      <c r="DR675" s="770"/>
      <c r="DS675" s="307"/>
      <c r="DT675" s="770"/>
      <c r="DU675" s="770"/>
      <c r="DV675" s="770"/>
      <c r="DW675" s="306"/>
      <c r="DX675" s="306"/>
      <c r="DY675" s="1055"/>
      <c r="DZ675" s="770"/>
      <c r="EA675" s="770"/>
      <c r="EB675" s="770"/>
      <c r="EC675" s="770"/>
      <c r="ED675" s="770"/>
      <c r="EE675" s="770"/>
      <c r="EF675" s="770"/>
      <c r="EG675" s="770"/>
      <c r="EH675" s="770"/>
      <c r="EI675" s="770"/>
      <c r="EJ675" s="770"/>
      <c r="EK675" s="770"/>
      <c r="EL675" s="770"/>
      <c r="EM675" s="770"/>
      <c r="EN675" s="770"/>
      <c r="EO675" s="770"/>
      <c r="EP675" s="94"/>
      <c r="EQ675" s="770"/>
      <c r="ER675" s="770"/>
      <c r="ES675" s="770"/>
      <c r="ET675" s="770"/>
      <c r="EU675" s="770"/>
      <c r="EV675" s="770"/>
      <c r="EW675" s="770"/>
      <c r="EX675" s="770"/>
      <c r="EY675" s="770"/>
      <c r="EZ675" s="770"/>
      <c r="FA675" s="770"/>
      <c r="FB675" s="770"/>
      <c r="FC675" s="770"/>
      <c r="FD675" s="302"/>
      <c r="FE675" s="770"/>
      <c r="FF675" s="770"/>
      <c r="FG675" s="770"/>
      <c r="FH675" s="770"/>
      <c r="FI675" s="770"/>
      <c r="FJ675" s="770"/>
      <c r="FK675" s="770"/>
      <c r="FL675" s="770"/>
      <c r="FM675" s="302"/>
      <c r="FN675" s="302"/>
      <c r="FO675" s="302"/>
      <c r="FP675" s="770"/>
      <c r="FQ675" s="770"/>
      <c r="FR675" s="770"/>
      <c r="FS675" s="770"/>
      <c r="FT675" s="770"/>
      <c r="FU675" s="770"/>
      <c r="FV675" s="770"/>
      <c r="FW675" s="770"/>
      <c r="FX675" s="770"/>
      <c r="FY675" s="770"/>
      <c r="FZ675" s="770"/>
      <c r="GA675" s="770"/>
      <c r="GB675" s="770"/>
      <c r="GC675" s="308"/>
      <c r="GD675" s="297"/>
      <c r="GE675" s="770"/>
      <c r="GF675" s="302"/>
      <c r="GG675" s="302"/>
      <c r="GH675" s="770"/>
      <c r="GI675" s="770"/>
      <c r="GJ675" s="770"/>
      <c r="GK675" s="766"/>
      <c r="GL675" s="770"/>
      <c r="GM675" s="770"/>
      <c r="GN675" s="299"/>
      <c r="GO675" s="770"/>
      <c r="GP675" s="770"/>
      <c r="GQ675" s="770"/>
      <c r="GR675" s="770"/>
      <c r="GS675" s="770"/>
      <c r="GT675" s="770"/>
      <c r="GU675" s="770"/>
      <c r="GV675" s="770"/>
      <c r="GW675" s="770"/>
      <c r="GX675" s="770"/>
      <c r="GY675" s="770"/>
      <c r="GZ675" s="770"/>
      <c r="HA675" s="770"/>
      <c r="HB675" s="770"/>
      <c r="HC675" s="770"/>
      <c r="HD675" s="770"/>
      <c r="HE675" s="770"/>
      <c r="HF675" s="770"/>
      <c r="HG675" s="770"/>
      <c r="HH675" s="770"/>
      <c r="HI675" s="770"/>
      <c r="HJ675" s="770"/>
      <c r="HK675" s="770"/>
      <c r="HL675" s="770"/>
      <c r="HM675" s="770"/>
      <c r="HN675" s="770"/>
      <c r="HO675" s="770"/>
      <c r="HP675" s="770"/>
      <c r="HQ675" s="770"/>
      <c r="HR675" s="770">
        <v>4</v>
      </c>
      <c r="HS675" s="770"/>
      <c r="HT675" s="770"/>
      <c r="HU675" s="770"/>
      <c r="HV675" s="770"/>
      <c r="HW675" s="770"/>
      <c r="HX675" s="770"/>
      <c r="HY675" s="770"/>
      <c r="HZ675" s="770"/>
      <c r="IA675" s="770"/>
      <c r="IB675" s="770"/>
      <c r="IC675" s="770"/>
      <c r="ID675" s="770"/>
      <c r="IE675" s="770"/>
      <c r="IF675" s="770"/>
      <c r="IG675" s="770"/>
      <c r="IH675" s="770"/>
      <c r="II675" s="770"/>
      <c r="IJ675" s="770"/>
      <c r="IK675" s="770"/>
      <c r="IL675" s="770"/>
      <c r="IM675" s="770"/>
      <c r="IN675" s="770"/>
      <c r="IO675" s="296"/>
      <c r="IP675" s="770"/>
      <c r="IQ675" s="770"/>
      <c r="IR675" s="770"/>
      <c r="IS675" s="770"/>
      <c r="IT675" s="770"/>
      <c r="IU675" s="770"/>
      <c r="IV675" s="770"/>
      <c r="IW675" s="770"/>
      <c r="IX675" s="770"/>
      <c r="IY675" s="770"/>
      <c r="IZ675" s="770"/>
      <c r="JA675" s="770"/>
      <c r="JB675" s="770"/>
      <c r="JC675" s="770"/>
      <c r="JD675" s="302"/>
      <c r="JE675" s="770"/>
      <c r="JF675" s="770"/>
      <c r="JG675" s="770"/>
      <c r="JH675" s="307"/>
      <c r="JI675" s="307"/>
      <c r="JJ675" s="770"/>
      <c r="JK675" s="770"/>
      <c r="JL675" s="770"/>
      <c r="JM675" s="770"/>
      <c r="JN675" s="770"/>
      <c r="JO675" s="770"/>
      <c r="JP675" s="770"/>
      <c r="JQ675" s="770"/>
      <c r="JR675" s="770"/>
      <c r="JS675" s="770"/>
      <c r="JT675" s="766"/>
      <c r="JU675" s="766"/>
      <c r="JV675" s="766"/>
      <c r="JW675" s="766"/>
      <c r="JX675" s="770"/>
      <c r="JY675" s="770"/>
      <c r="JZ675" s="770"/>
      <c r="KA675" s="770"/>
      <c r="KB675" s="770"/>
      <c r="KC675" s="770"/>
      <c r="KD675" s="770"/>
      <c r="KE675" s="770"/>
      <c r="KF675" s="770"/>
      <c r="KG675" s="770"/>
      <c r="KH675" s="770"/>
      <c r="KI675" s="770"/>
      <c r="KJ675" s="770"/>
      <c r="KK675" s="770"/>
      <c r="KL675" s="770"/>
      <c r="KM675" s="770"/>
      <c r="KN675" s="770"/>
      <c r="KO675" s="770"/>
      <c r="KP675" s="770"/>
      <c r="KQ675" s="770"/>
      <c r="KR675" s="770"/>
      <c r="KS675" s="770"/>
      <c r="KT675" s="770"/>
      <c r="KU675" s="770"/>
      <c r="KV675" s="770"/>
      <c r="KW675" s="770"/>
      <c r="KX675" s="770"/>
      <c r="KY675" s="770"/>
      <c r="KZ675" s="770"/>
      <c r="LA675" s="770"/>
      <c r="LB675" s="770"/>
      <c r="LC675" s="770"/>
      <c r="LD675" s="770"/>
      <c r="LE675" s="770"/>
      <c r="LF675" s="770"/>
      <c r="LG675" s="770"/>
      <c r="LH675" s="770"/>
      <c r="LI675" s="770"/>
      <c r="LJ675" s="770"/>
      <c r="LK675" s="770"/>
      <c r="LL675" s="770"/>
      <c r="LM675" s="770"/>
      <c r="LN675" s="766"/>
      <c r="LO675" s="766"/>
      <c r="LP675" s="770"/>
      <c r="LQ675" s="770"/>
      <c r="LR675" s="770"/>
      <c r="LS675" s="770"/>
      <c r="LT675" s="770"/>
      <c r="LU675" s="770"/>
      <c r="LV675" s="770"/>
      <c r="LW675" s="770"/>
      <c r="LX675" s="769"/>
      <c r="LY675" s="766" t="str">
        <f t="shared" si="187"/>
        <v/>
      </c>
      <c r="LZ675" s="1709"/>
      <c r="MA675" s="1709"/>
      <c r="MB675" s="1709"/>
      <c r="MC675" s="1679">
        <f t="shared" si="185"/>
        <v>0</v>
      </c>
      <c r="MD675" s="1709"/>
      <c r="ME675" s="1709"/>
      <c r="MF675" s="1709"/>
      <c r="MG675" s="1680">
        <f t="shared" si="199"/>
        <v>0</v>
      </c>
      <c r="MH675" s="770"/>
      <c r="MI675" s="302"/>
      <c r="MJ675" s="302"/>
      <c r="MK675" s="302"/>
      <c r="ML675" s="302"/>
      <c r="MM675" s="302"/>
      <c r="MN675" s="302"/>
      <c r="MO675" s="302"/>
      <c r="MP675" s="302"/>
      <c r="MQ675" s="302"/>
      <c r="MR675" s="302"/>
      <c r="MS675" s="302"/>
      <c r="MT675" s="302"/>
      <c r="MU675" s="302"/>
      <c r="MV675" s="302"/>
      <c r="MW675" s="302"/>
      <c r="MX675" s="302"/>
      <c r="MY675" s="1682">
        <f t="shared" si="200"/>
        <v>0</v>
      </c>
      <c r="MZ675" s="766"/>
      <c r="NA675" s="770"/>
      <c r="NB675" s="770"/>
      <c r="NC675" s="770"/>
      <c r="ND675" s="770"/>
      <c r="NE675" s="770"/>
      <c r="NF675" s="770"/>
      <c r="NG675" s="770"/>
      <c r="NH675" s="770"/>
      <c r="NI675" s="770"/>
      <c r="NJ675" s="770"/>
      <c r="NK675" s="770"/>
      <c r="NL675" s="770"/>
      <c r="NM675" s="770"/>
      <c r="NN675" s="770"/>
      <c r="NO675" s="770"/>
      <c r="NP675" s="770"/>
      <c r="NQ675" s="770"/>
      <c r="NR675" s="770"/>
      <c r="NS675" s="770"/>
      <c r="NT675" s="770"/>
      <c r="NU675" s="770"/>
      <c r="NV675" s="770"/>
      <c r="NW675" s="770"/>
      <c r="NX675" s="770"/>
      <c r="NY675" s="770"/>
      <c r="NZ675" s="770"/>
      <c r="OA675" s="770"/>
      <c r="OB675" s="770"/>
      <c r="OC675" s="770"/>
      <c r="OD675" s="770"/>
      <c r="OE675" s="770"/>
      <c r="OF675" s="770"/>
      <c r="OG675" s="770"/>
      <c r="OH675" s="770"/>
      <c r="OI675" s="770"/>
      <c r="OJ675" s="770"/>
      <c r="OK675" s="770"/>
      <c r="OL675" s="770"/>
      <c r="OM675" s="770"/>
      <c r="ON675" s="770"/>
      <c r="OO675" s="770"/>
      <c r="OP675" s="770"/>
      <c r="OQ675" s="770"/>
      <c r="OR675" s="770"/>
      <c r="OS675" s="770"/>
      <c r="OT675" s="770"/>
      <c r="OU675" s="770"/>
      <c r="OV675" s="770"/>
      <c r="OW675" s="770"/>
      <c r="OX675" s="770"/>
      <c r="OY675" s="770"/>
      <c r="OZ675" s="770"/>
      <c r="PA675" s="770"/>
      <c r="PB675" s="770"/>
      <c r="PC675" s="770"/>
      <c r="PD675" s="770"/>
      <c r="PE675" s="770"/>
      <c r="PF675" s="770"/>
      <c r="PG675" s="770"/>
      <c r="PH675" s="770"/>
      <c r="PI675" s="770"/>
      <c r="PJ675" s="770"/>
      <c r="PK675" s="770"/>
      <c r="PL675" s="770"/>
      <c r="PM675" s="770"/>
      <c r="PN675" s="770"/>
      <c r="PO675" s="770"/>
      <c r="PP675" s="770"/>
      <c r="PQ675" s="770"/>
      <c r="PR675" s="770"/>
      <c r="PS675" s="770"/>
      <c r="PT675" s="770"/>
      <c r="PU675" s="770"/>
      <c r="PV675" s="770"/>
      <c r="PW675" s="770"/>
      <c r="PX675" s="770"/>
      <c r="PY675" s="770"/>
      <c r="PZ675" s="770"/>
      <c r="QA675" s="770"/>
      <c r="QB675" s="770"/>
      <c r="QC675" s="770"/>
      <c r="QD675" s="770"/>
      <c r="QE675" s="770"/>
      <c r="QF675" s="770"/>
      <c r="QG675" s="770"/>
      <c r="QH675" s="770"/>
      <c r="QI675" s="770"/>
      <c r="QJ675" s="770"/>
      <c r="QK675" s="770"/>
      <c r="QL675" s="770"/>
      <c r="QM675" s="770"/>
      <c r="QN675" s="770"/>
      <c r="QO675" s="770"/>
      <c r="QP675" s="770"/>
      <c r="QQ675" s="770"/>
      <c r="QR675" s="770"/>
      <c r="QS675" s="770"/>
      <c r="QT675" s="770"/>
      <c r="QU675" s="770"/>
      <c r="QV675" s="770"/>
      <c r="QW675" s="770"/>
      <c r="QX675" s="770"/>
      <c r="QY675" s="770"/>
      <c r="QZ675" s="770"/>
      <c r="RA675" s="770"/>
      <c r="RB675" s="770"/>
      <c r="RC675" s="770"/>
      <c r="RD675" s="770"/>
      <c r="RE675" s="770"/>
      <c r="RF675" s="304"/>
      <c r="RG675" s="770"/>
      <c r="RH675" s="306"/>
      <c r="RI675" s="770"/>
      <c r="RJ675" s="94" t="s">
        <v>13888</v>
      </c>
      <c r="RK675" s="770" t="s">
        <v>13550</v>
      </c>
      <c r="RL675" s="1710">
        <v>42842</v>
      </c>
      <c r="RM675" s="12"/>
      <c r="RN675" s="1711"/>
      <c r="RO675" s="149" t="s">
        <v>4411</v>
      </c>
      <c r="RP675" s="11"/>
      <c r="RQ675" s="11"/>
      <c r="RR675" s="17"/>
      <c r="RS675" s="770"/>
      <c r="RT675" s="11"/>
      <c r="RU675" s="11"/>
      <c r="RV675" s="766" t="s">
        <v>7421</v>
      </c>
      <c r="RW675" s="11" t="s">
        <v>8001</v>
      </c>
      <c r="RX675" s="11" t="s">
        <v>4398</v>
      </c>
      <c r="RY675" s="11"/>
      <c r="RZ675" s="11" t="s">
        <v>1101</v>
      </c>
      <c r="SA675" s="766"/>
      <c r="SB675" s="11"/>
      <c r="SC675" s="11"/>
    </row>
    <row r="676" spans="1:497" ht="12.75" customHeight="1">
      <c r="A676" s="19" t="s">
        <v>7421</v>
      </c>
      <c r="B676" s="292" t="s">
        <v>8004</v>
      </c>
      <c r="C676" s="149" t="s">
        <v>4419</v>
      </c>
      <c r="D676" s="94" t="s">
        <v>4420</v>
      </c>
      <c r="E676" s="766" t="s">
        <v>4421</v>
      </c>
      <c r="F676" s="770" t="s">
        <v>28</v>
      </c>
      <c r="G676" s="770" t="s">
        <v>10</v>
      </c>
      <c r="H676" s="770"/>
      <c r="I676" s="12"/>
      <c r="J676" s="94" t="s">
        <v>4420</v>
      </c>
      <c r="K676" s="766" t="s">
        <v>4422</v>
      </c>
      <c r="L676" s="766" t="s">
        <v>4417</v>
      </c>
      <c r="M676" s="770" t="s">
        <v>1238</v>
      </c>
      <c r="N676" s="1757"/>
      <c r="O676" s="1757" t="s">
        <v>4409</v>
      </c>
      <c r="P676" s="770"/>
      <c r="Q676" s="1088"/>
      <c r="R676" s="297"/>
      <c r="S676" s="770"/>
      <c r="T676" s="770"/>
      <c r="U676" s="295"/>
      <c r="V676" s="770"/>
      <c r="W676" s="770"/>
      <c r="X676" s="770"/>
      <c r="Y676" s="770"/>
      <c r="Z676" s="770"/>
      <c r="AA676" s="770"/>
      <c r="AB676" s="770"/>
      <c r="AC676" s="770"/>
      <c r="AD676" s="770"/>
      <c r="AE676" s="770"/>
      <c r="AF676" s="770"/>
      <c r="AG676" s="766" t="s">
        <v>1132</v>
      </c>
      <c r="AH676" s="766" t="s">
        <v>1096</v>
      </c>
      <c r="AI676" s="75"/>
      <c r="AJ676" s="766" t="s">
        <v>1137</v>
      </c>
      <c r="AK676" s="766" t="s">
        <v>1101</v>
      </c>
      <c r="AL676" s="120">
        <v>64</v>
      </c>
      <c r="AM676" s="773">
        <v>64</v>
      </c>
      <c r="AN676" s="37">
        <f t="shared" si="207"/>
        <v>1</v>
      </c>
      <c r="AO676" s="766" t="s">
        <v>1122</v>
      </c>
      <c r="AP676" s="766"/>
      <c r="AQ676" s="766"/>
      <c r="AR676" s="766"/>
      <c r="AS676" s="766"/>
      <c r="AT676" s="766"/>
      <c r="AU676" s="766"/>
      <c r="AV676" s="766"/>
      <c r="AW676" s="766"/>
      <c r="AX676" s="766"/>
      <c r="AY676" s="766"/>
      <c r="AZ676" s="766"/>
      <c r="BA676" s="766"/>
      <c r="BB676" s="766"/>
      <c r="BC676" s="766"/>
      <c r="BD676" s="766"/>
      <c r="BE676" s="766"/>
      <c r="BF676" s="775"/>
      <c r="BG676" s="775"/>
      <c r="BH676" s="770"/>
      <c r="BI676" s="770"/>
      <c r="BJ676" s="770"/>
      <c r="BK676" s="770"/>
      <c r="BL676" s="770"/>
      <c r="BM676" s="770"/>
      <c r="BN676" s="770"/>
      <c r="BO676" s="770"/>
      <c r="BP676" s="1109"/>
      <c r="BQ676" s="773"/>
      <c r="BR676" s="774"/>
      <c r="BS676" s="766"/>
      <c r="BT676" s="770"/>
      <c r="BU676" s="770"/>
      <c r="BV676" s="770"/>
      <c r="BW676" s="770"/>
      <c r="BX676" s="302"/>
      <c r="BY676" s="770"/>
      <c r="BZ676" s="302"/>
      <c r="CA676" s="770"/>
      <c r="CB676" s="770" t="s">
        <v>1207</v>
      </c>
      <c r="CC676" s="770" t="s">
        <v>4423</v>
      </c>
      <c r="CD676" s="770">
        <v>2016</v>
      </c>
      <c r="CE676" s="131"/>
      <c r="CF676" s="304">
        <v>1.5</v>
      </c>
      <c r="CG676" s="321">
        <v>20</v>
      </c>
      <c r="CH676" s="12" t="s">
        <v>4424</v>
      </c>
      <c r="CI676" s="770"/>
      <c r="CJ676" s="12"/>
      <c r="CK676" s="770">
        <v>8</v>
      </c>
      <c r="CL676" s="770"/>
      <c r="CM676" s="770"/>
      <c r="CN676" s="770"/>
      <c r="CO676" s="770" t="s">
        <v>1105</v>
      </c>
      <c r="CP676" s="770"/>
      <c r="CQ676" s="770"/>
      <c r="CR676" s="302"/>
      <c r="CS676" s="770"/>
      <c r="CT676" s="770"/>
      <c r="CU676" s="305"/>
      <c r="CV676" s="770"/>
      <c r="CW676" s="770"/>
      <c r="CX676" s="770"/>
      <c r="CY676" s="770"/>
      <c r="CZ676" s="770"/>
      <c r="DA676" s="306"/>
      <c r="DB676" s="770"/>
      <c r="DC676" s="770"/>
      <c r="DD676" s="770"/>
      <c r="DE676" s="300"/>
      <c r="DF676" s="770"/>
      <c r="DG676" s="770"/>
      <c r="DH676" s="770"/>
      <c r="DI676" s="770"/>
      <c r="DJ676" s="770"/>
      <c r="DK676" s="770"/>
      <c r="DL676" s="770"/>
      <c r="DM676" s="770"/>
      <c r="DN676" s="322"/>
      <c r="DO676" s="770"/>
      <c r="DP676" s="770"/>
      <c r="DQ676" s="770"/>
      <c r="DR676" s="770"/>
      <c r="DS676" s="307"/>
      <c r="DT676" s="770"/>
      <c r="DU676" s="770"/>
      <c r="DV676" s="770"/>
      <c r="DW676" s="306"/>
      <c r="DX676" s="306"/>
      <c r="DY676" s="1055"/>
      <c r="DZ676" s="770"/>
      <c r="EA676" s="770"/>
      <c r="EB676" s="770"/>
      <c r="EC676" s="770"/>
      <c r="ED676" s="770"/>
      <c r="EE676" s="770"/>
      <c r="EF676" s="770"/>
      <c r="EG676" s="770"/>
      <c r="EH676" s="770"/>
      <c r="EI676" s="770"/>
      <c r="EJ676" s="770"/>
      <c r="EK676" s="770"/>
      <c r="EL676" s="770"/>
      <c r="EM676" s="770"/>
      <c r="EN676" s="770"/>
      <c r="EO676" s="770"/>
      <c r="EP676" s="94"/>
      <c r="EQ676" s="770"/>
      <c r="ER676" s="770"/>
      <c r="ES676" s="770"/>
      <c r="ET676" s="770"/>
      <c r="EU676" s="770"/>
      <c r="EV676" s="770"/>
      <c r="EW676" s="770"/>
      <c r="EX676" s="770"/>
      <c r="EY676" s="770"/>
      <c r="EZ676" s="770"/>
      <c r="FA676" s="770"/>
      <c r="FB676" s="770"/>
      <c r="FC676" s="770"/>
      <c r="FD676" s="302"/>
      <c r="FE676" s="770"/>
      <c r="FF676" s="770"/>
      <c r="FG676" s="770"/>
      <c r="FH676" s="770"/>
      <c r="FI676" s="770"/>
      <c r="FJ676" s="770"/>
      <c r="FK676" s="770"/>
      <c r="FL676" s="770"/>
      <c r="FM676" s="302"/>
      <c r="FN676" s="302"/>
      <c r="FO676" s="302"/>
      <c r="FP676" s="770"/>
      <c r="FQ676" s="770"/>
      <c r="FR676" s="770"/>
      <c r="FS676" s="770"/>
      <c r="FT676" s="770"/>
      <c r="FU676" s="770"/>
      <c r="FV676" s="770"/>
      <c r="FW676" s="770"/>
      <c r="FX676" s="770"/>
      <c r="FY676" s="770"/>
      <c r="FZ676" s="770"/>
      <c r="GA676" s="770"/>
      <c r="GB676" s="770"/>
      <c r="GC676" s="308"/>
      <c r="GD676" s="297"/>
      <c r="GE676" s="770"/>
      <c r="GF676" s="302"/>
      <c r="GG676" s="302"/>
      <c r="GH676" s="770"/>
      <c r="GI676" s="770"/>
      <c r="GJ676" s="770"/>
      <c r="GK676" s="766"/>
      <c r="GL676" s="770"/>
      <c r="GM676" s="770"/>
      <c r="GN676" s="299"/>
      <c r="GO676" s="770"/>
      <c r="GP676" s="770"/>
      <c r="GQ676" s="770"/>
      <c r="GR676" s="770"/>
      <c r="GS676" s="770"/>
      <c r="GT676" s="770"/>
      <c r="GU676" s="770"/>
      <c r="GV676" s="770"/>
      <c r="GW676" s="770"/>
      <c r="GX676" s="770"/>
      <c r="GY676" s="770"/>
      <c r="GZ676" s="770"/>
      <c r="HA676" s="770"/>
      <c r="HB676" s="770"/>
      <c r="HC676" s="770"/>
      <c r="HD676" s="770"/>
      <c r="HE676" s="770"/>
      <c r="HF676" s="770"/>
      <c r="HG676" s="770"/>
      <c r="HH676" s="770"/>
      <c r="HI676" s="770"/>
      <c r="HJ676" s="770"/>
      <c r="HK676" s="770"/>
      <c r="HL676" s="770"/>
      <c r="HM676" s="770"/>
      <c r="HN676" s="770"/>
      <c r="HO676" s="770"/>
      <c r="HP676" s="770"/>
      <c r="HQ676" s="770"/>
      <c r="HR676" s="770"/>
      <c r="HS676" s="770"/>
      <c r="HT676" s="770">
        <v>5</v>
      </c>
      <c r="HU676" s="770"/>
      <c r="HV676" s="770"/>
      <c r="HW676" s="770"/>
      <c r="HX676" s="770"/>
      <c r="HY676" s="770"/>
      <c r="HZ676" s="770"/>
      <c r="IA676" s="770"/>
      <c r="IB676" s="770"/>
      <c r="IC676" s="770"/>
      <c r="ID676" s="770"/>
      <c r="IE676" s="770"/>
      <c r="IF676" s="770"/>
      <c r="IG676" s="770"/>
      <c r="IH676" s="770"/>
      <c r="II676" s="770"/>
      <c r="IJ676" s="770"/>
      <c r="IK676" s="770"/>
      <c r="IL676" s="770"/>
      <c r="IM676" s="770"/>
      <c r="IN676" s="770"/>
      <c r="IO676" s="296"/>
      <c r="IP676" s="770"/>
      <c r="IQ676" s="770"/>
      <c r="IR676" s="770"/>
      <c r="IS676" s="770"/>
      <c r="IT676" s="770"/>
      <c r="IU676" s="770"/>
      <c r="IV676" s="770"/>
      <c r="IW676" s="770"/>
      <c r="IX676" s="770"/>
      <c r="IY676" s="770"/>
      <c r="IZ676" s="770"/>
      <c r="JA676" s="770"/>
      <c r="JB676" s="770"/>
      <c r="JC676" s="770"/>
      <c r="JD676" s="302"/>
      <c r="JE676" s="770"/>
      <c r="JF676" s="770"/>
      <c r="JG676" s="770"/>
      <c r="JH676" s="307"/>
      <c r="JI676" s="307"/>
      <c r="JJ676" s="770"/>
      <c r="JK676" s="770"/>
      <c r="JL676" s="770"/>
      <c r="JM676" s="770"/>
      <c r="JN676" s="770"/>
      <c r="JO676" s="770"/>
      <c r="JP676" s="770"/>
      <c r="JQ676" s="770"/>
      <c r="JR676" s="770"/>
      <c r="JS676" s="770"/>
      <c r="JT676" s="766"/>
      <c r="JU676" s="766"/>
      <c r="JV676" s="766"/>
      <c r="JW676" s="766"/>
      <c r="JX676" s="770"/>
      <c r="JY676" s="770"/>
      <c r="JZ676" s="770"/>
      <c r="KA676" s="770"/>
      <c r="KB676" s="770"/>
      <c r="KC676" s="770"/>
      <c r="KD676" s="770"/>
      <c r="KE676" s="770"/>
      <c r="KF676" s="770"/>
      <c r="KG676" s="770"/>
      <c r="KH676" s="770"/>
      <c r="KI676" s="770"/>
      <c r="KJ676" s="770"/>
      <c r="KK676" s="770"/>
      <c r="KL676" s="770"/>
      <c r="KM676" s="770"/>
      <c r="KN676" s="770"/>
      <c r="KO676" s="770"/>
      <c r="KP676" s="770"/>
      <c r="KQ676" s="770"/>
      <c r="KR676" s="770"/>
      <c r="KS676" s="770"/>
      <c r="KT676" s="770"/>
      <c r="KU676" s="770"/>
      <c r="KV676" s="770"/>
      <c r="KW676" s="770"/>
      <c r="KX676" s="770"/>
      <c r="KY676" s="770"/>
      <c r="KZ676" s="770"/>
      <c r="LA676" s="770"/>
      <c r="LB676" s="770"/>
      <c r="LC676" s="770"/>
      <c r="LD676" s="770"/>
      <c r="LE676" s="770"/>
      <c r="LF676" s="770"/>
      <c r="LG676" s="770"/>
      <c r="LH676" s="770"/>
      <c r="LI676" s="770"/>
      <c r="LJ676" s="770"/>
      <c r="LK676" s="770"/>
      <c r="LL676" s="770"/>
      <c r="LM676" s="770"/>
      <c r="LN676" s="766"/>
      <c r="LO676" s="766"/>
      <c r="LP676" s="770"/>
      <c r="LQ676" s="770"/>
      <c r="LR676" s="770"/>
      <c r="LS676" s="770"/>
      <c r="LT676" s="770"/>
      <c r="LU676" s="770"/>
      <c r="LV676" s="770"/>
      <c r="LW676" s="770"/>
      <c r="LX676" s="769"/>
      <c r="LY676" s="766" t="str">
        <f t="shared" si="187"/>
        <v/>
      </c>
      <c r="LZ676" s="1709"/>
      <c r="MA676" s="1709"/>
      <c r="MB676" s="1709"/>
      <c r="MC676" s="1679">
        <f t="shared" si="185"/>
        <v>0</v>
      </c>
      <c r="MD676" s="1709"/>
      <c r="ME676" s="1709"/>
      <c r="MF676" s="1709"/>
      <c r="MG676" s="1680">
        <f t="shared" si="199"/>
        <v>0</v>
      </c>
      <c r="MH676" s="770"/>
      <c r="MI676" s="302"/>
      <c r="MJ676" s="302"/>
      <c r="MK676" s="302"/>
      <c r="ML676" s="302"/>
      <c r="MM676" s="302"/>
      <c r="MN676" s="302"/>
      <c r="MO676" s="302"/>
      <c r="MP676" s="302"/>
      <c r="MQ676" s="302"/>
      <c r="MR676" s="302"/>
      <c r="MS676" s="302"/>
      <c r="MT676" s="302"/>
      <c r="MU676" s="302"/>
      <c r="MV676" s="302"/>
      <c r="MW676" s="302"/>
      <c r="MX676" s="302"/>
      <c r="MY676" s="1682">
        <f t="shared" si="200"/>
        <v>0</v>
      </c>
      <c r="MZ676" s="766"/>
      <c r="NA676" s="770"/>
      <c r="NB676" s="770"/>
      <c r="NC676" s="770"/>
      <c r="ND676" s="770"/>
      <c r="NE676" s="770"/>
      <c r="NF676" s="770"/>
      <c r="NG676" s="770"/>
      <c r="NH676" s="770"/>
      <c r="NI676" s="770"/>
      <c r="NJ676" s="770"/>
      <c r="NK676" s="770"/>
      <c r="NL676" s="770"/>
      <c r="NM676" s="770"/>
      <c r="NN676" s="770"/>
      <c r="NO676" s="770"/>
      <c r="NP676" s="770"/>
      <c r="NQ676" s="770"/>
      <c r="NR676" s="770"/>
      <c r="NS676" s="770"/>
      <c r="NT676" s="770"/>
      <c r="NU676" s="770"/>
      <c r="NV676" s="770"/>
      <c r="NW676" s="770"/>
      <c r="NX676" s="770"/>
      <c r="NY676" s="770"/>
      <c r="NZ676" s="770"/>
      <c r="OA676" s="770"/>
      <c r="OB676" s="770"/>
      <c r="OC676" s="770"/>
      <c r="OD676" s="770"/>
      <c r="OE676" s="770"/>
      <c r="OF676" s="770"/>
      <c r="OG676" s="770"/>
      <c r="OH676" s="770"/>
      <c r="OI676" s="770"/>
      <c r="OJ676" s="770"/>
      <c r="OK676" s="770"/>
      <c r="OL676" s="770"/>
      <c r="OM676" s="770"/>
      <c r="ON676" s="770"/>
      <c r="OO676" s="770"/>
      <c r="OP676" s="770"/>
      <c r="OQ676" s="770"/>
      <c r="OR676" s="770"/>
      <c r="OS676" s="770"/>
      <c r="OT676" s="770"/>
      <c r="OU676" s="770"/>
      <c r="OV676" s="770"/>
      <c r="OW676" s="770"/>
      <c r="OX676" s="770"/>
      <c r="OY676" s="770"/>
      <c r="OZ676" s="770"/>
      <c r="PA676" s="770"/>
      <c r="PB676" s="770"/>
      <c r="PC676" s="770"/>
      <c r="PD676" s="770"/>
      <c r="PE676" s="770"/>
      <c r="PF676" s="770"/>
      <c r="PG676" s="770"/>
      <c r="PH676" s="770"/>
      <c r="PI676" s="770"/>
      <c r="PJ676" s="770"/>
      <c r="PK676" s="770"/>
      <c r="PL676" s="770"/>
      <c r="PM676" s="770"/>
      <c r="PN676" s="770"/>
      <c r="PO676" s="770"/>
      <c r="PP676" s="770"/>
      <c r="PQ676" s="770"/>
      <c r="PR676" s="770"/>
      <c r="PS676" s="770"/>
      <c r="PT676" s="770"/>
      <c r="PU676" s="770"/>
      <c r="PV676" s="770"/>
      <c r="PW676" s="770"/>
      <c r="PX676" s="770"/>
      <c r="PY676" s="770"/>
      <c r="PZ676" s="770"/>
      <c r="QA676" s="770"/>
      <c r="QB676" s="770"/>
      <c r="QC676" s="770"/>
      <c r="QD676" s="770"/>
      <c r="QE676" s="770"/>
      <c r="QF676" s="770"/>
      <c r="QG676" s="770"/>
      <c r="QH676" s="770"/>
      <c r="QI676" s="770"/>
      <c r="QJ676" s="770"/>
      <c r="QK676" s="770"/>
      <c r="QL676" s="770"/>
      <c r="QM676" s="770"/>
      <c r="QN676" s="770"/>
      <c r="QO676" s="770"/>
      <c r="QP676" s="770"/>
      <c r="QQ676" s="770"/>
      <c r="QR676" s="770"/>
      <c r="QS676" s="770"/>
      <c r="QT676" s="770"/>
      <c r="QU676" s="770"/>
      <c r="QV676" s="770"/>
      <c r="QW676" s="770"/>
      <c r="QX676" s="770"/>
      <c r="QY676" s="770"/>
      <c r="QZ676" s="770"/>
      <c r="RA676" s="770"/>
      <c r="RB676" s="770"/>
      <c r="RC676" s="770"/>
      <c r="RD676" s="770"/>
      <c r="RE676" s="770"/>
      <c r="RF676" s="304"/>
      <c r="RG676" s="770"/>
      <c r="RH676" s="306"/>
      <c r="RI676" s="770"/>
      <c r="RJ676" s="94" t="s">
        <v>13889</v>
      </c>
      <c r="RK676" s="770" t="s">
        <v>13544</v>
      </c>
      <c r="RL676" s="1710">
        <v>42842</v>
      </c>
      <c r="RM676" s="12"/>
      <c r="RN676" s="1711"/>
      <c r="RO676" s="149" t="s">
        <v>4419</v>
      </c>
      <c r="RP676" s="11"/>
      <c r="RQ676" s="11"/>
      <c r="RR676" s="17"/>
      <c r="RS676" s="770"/>
      <c r="RT676" s="11"/>
      <c r="RU676" s="11"/>
      <c r="RV676" s="766" t="s">
        <v>7421</v>
      </c>
      <c r="RW676" s="11" t="s">
        <v>8002</v>
      </c>
      <c r="RX676" s="11" t="s">
        <v>4403</v>
      </c>
      <c r="RY676" s="11"/>
      <c r="RZ676" s="11" t="s">
        <v>1101</v>
      </c>
      <c r="SA676" s="766"/>
      <c r="SB676" s="11"/>
      <c r="SC676" s="11"/>
    </row>
    <row r="677" spans="1:497" ht="12.75" customHeight="1">
      <c r="A677" s="19" t="s">
        <v>7421</v>
      </c>
      <c r="B677" s="292" t="s">
        <v>8005</v>
      </c>
      <c r="C677" s="149" t="s">
        <v>4425</v>
      </c>
      <c r="D677" s="94" t="s">
        <v>4426</v>
      </c>
      <c r="E677" s="766" t="s">
        <v>4427</v>
      </c>
      <c r="F677" s="770" t="s">
        <v>28</v>
      </c>
      <c r="G677" s="770" t="s">
        <v>10</v>
      </c>
      <c r="H677" s="770"/>
      <c r="I677" s="12"/>
      <c r="J677" s="94" t="s">
        <v>4426</v>
      </c>
      <c r="K677" s="766" t="s">
        <v>4428</v>
      </c>
      <c r="L677" s="766" t="s">
        <v>4417</v>
      </c>
      <c r="M677" s="770" t="s">
        <v>1238</v>
      </c>
      <c r="N677" s="1757"/>
      <c r="O677" s="1757" t="s">
        <v>4409</v>
      </c>
      <c r="P677" s="94" t="s">
        <v>4426</v>
      </c>
      <c r="Q677" s="1088">
        <v>21075</v>
      </c>
      <c r="R677" s="297">
        <v>59</v>
      </c>
      <c r="S677" s="770" t="s">
        <v>10</v>
      </c>
      <c r="T677" s="770"/>
      <c r="U677" s="295" t="s">
        <v>11815</v>
      </c>
      <c r="V677" s="770" t="s">
        <v>707</v>
      </c>
      <c r="W677" s="770"/>
      <c r="X677" s="770"/>
      <c r="Y677" s="770"/>
      <c r="Z677" s="770" t="s">
        <v>708</v>
      </c>
      <c r="AA677" s="770" t="s">
        <v>709</v>
      </c>
      <c r="AB677" s="770" t="s">
        <v>710</v>
      </c>
      <c r="AC677" s="770"/>
      <c r="AD677" s="770" t="s">
        <v>711</v>
      </c>
      <c r="AE677" s="770"/>
      <c r="AF677" s="770" t="s">
        <v>712</v>
      </c>
      <c r="AG677" s="766" t="s">
        <v>1132</v>
      </c>
      <c r="AH677" s="766" t="s">
        <v>1096</v>
      </c>
      <c r="AI677" s="75"/>
      <c r="AJ677" s="766" t="s">
        <v>1137</v>
      </c>
      <c r="AK677" s="766" t="s">
        <v>1101</v>
      </c>
      <c r="AL677" s="120">
        <v>32</v>
      </c>
      <c r="AM677" s="773">
        <v>16</v>
      </c>
      <c r="AN677" s="37">
        <f t="shared" si="207"/>
        <v>0.5</v>
      </c>
      <c r="AO677" s="766" t="s">
        <v>1149</v>
      </c>
      <c r="AP677" s="1775"/>
      <c r="AQ677" s="1775" t="s">
        <v>7418</v>
      </c>
      <c r="AR677" s="1775"/>
      <c r="AS677" s="766"/>
      <c r="AT677" s="766"/>
      <c r="AU677" s="766"/>
      <c r="AV677" s="766"/>
      <c r="AW677" s="766"/>
      <c r="AX677" s="766"/>
      <c r="AY677" s="766"/>
      <c r="AZ677" s="766"/>
      <c r="BA677" s="766"/>
      <c r="BB677" s="766"/>
      <c r="BC677" s="766"/>
      <c r="BD677" s="766"/>
      <c r="BE677" s="766"/>
      <c r="BF677" s="775"/>
      <c r="BG677" s="775"/>
      <c r="BH677" s="770"/>
      <c r="BI677" s="770"/>
      <c r="BJ677" s="770"/>
      <c r="BK677" s="770"/>
      <c r="BL677" s="770"/>
      <c r="BM677" s="770"/>
      <c r="BN677" s="770"/>
      <c r="BO677" s="770"/>
      <c r="BP677" s="765"/>
      <c r="BQ677" s="773"/>
      <c r="BR677" s="774"/>
      <c r="BS677" s="766"/>
      <c r="BT677" s="770"/>
      <c r="BU677" s="770"/>
      <c r="BV677" s="770"/>
      <c r="BW677" s="770"/>
      <c r="BX677" s="302"/>
      <c r="BY677" s="770"/>
      <c r="BZ677" s="302"/>
      <c r="CA677" s="770"/>
      <c r="CB677" s="770" t="s">
        <v>1207</v>
      </c>
      <c r="CC677" s="770" t="s">
        <v>4430</v>
      </c>
      <c r="CD677" s="770">
        <v>2015</v>
      </c>
      <c r="CE677" s="131"/>
      <c r="CF677" s="304">
        <v>2</v>
      </c>
      <c r="CG677" s="321">
        <v>20</v>
      </c>
      <c r="CH677" s="12" t="s">
        <v>4431</v>
      </c>
      <c r="CI677" s="770"/>
      <c r="CJ677" s="12"/>
      <c r="CK677" s="770">
        <v>4</v>
      </c>
      <c r="CL677" s="770"/>
      <c r="CM677" s="770"/>
      <c r="CN677" s="770"/>
      <c r="CO677" s="770" t="s">
        <v>1149</v>
      </c>
      <c r="CP677" s="770"/>
      <c r="CQ677" s="770"/>
      <c r="CR677" s="302"/>
      <c r="CS677" s="770"/>
      <c r="CT677" s="770"/>
      <c r="CU677" s="305"/>
      <c r="CV677" s="770"/>
      <c r="CW677" s="770"/>
      <c r="CX677" s="770"/>
      <c r="CY677" s="770"/>
      <c r="CZ677" s="770"/>
      <c r="DA677" s="306"/>
      <c r="DB677" s="770"/>
      <c r="DC677" s="770"/>
      <c r="DD677" s="770"/>
      <c r="DE677" s="300"/>
      <c r="DF677" s="770"/>
      <c r="DG677" s="770"/>
      <c r="DH677" s="770"/>
      <c r="DI677" s="770"/>
      <c r="DJ677" s="770"/>
      <c r="DK677" s="770"/>
      <c r="DL677" s="770"/>
      <c r="DM677" s="770"/>
      <c r="DN677" s="322"/>
      <c r="DO677" s="770"/>
      <c r="DP677" s="770"/>
      <c r="DQ677" s="770"/>
      <c r="DR677" s="770"/>
      <c r="DS677" s="307"/>
      <c r="DT677" s="770"/>
      <c r="DU677" s="770"/>
      <c r="DV677" s="770"/>
      <c r="DW677" s="306"/>
      <c r="DX677" s="306"/>
      <c r="DY677" s="1055"/>
      <c r="DZ677" s="770"/>
      <c r="EA677" s="770"/>
      <c r="EB677" s="770"/>
      <c r="EC677" s="770"/>
      <c r="ED677" s="770"/>
      <c r="EE677" s="770"/>
      <c r="EF677" s="770"/>
      <c r="EG677" s="770"/>
      <c r="EH677" s="770"/>
      <c r="EI677" s="770"/>
      <c r="EJ677" s="770"/>
      <c r="EK677" s="770"/>
      <c r="EL677" s="770"/>
      <c r="EM677" s="770"/>
      <c r="EN677" s="770"/>
      <c r="EO677" s="770"/>
      <c r="EP677" s="94"/>
      <c r="EQ677" s="770"/>
      <c r="ER677" s="770"/>
      <c r="ES677" s="770"/>
      <c r="ET677" s="770"/>
      <c r="EU677" s="770"/>
      <c r="EV677" s="770"/>
      <c r="EW677" s="770"/>
      <c r="EX677" s="770"/>
      <c r="EY677" s="770"/>
      <c r="EZ677" s="770"/>
      <c r="FA677" s="770"/>
      <c r="FB677" s="770"/>
      <c r="FC677" s="770"/>
      <c r="FD677" s="302"/>
      <c r="FE677" s="770"/>
      <c r="FF677" s="770"/>
      <c r="FG677" s="770"/>
      <c r="FH677" s="770"/>
      <c r="FI677" s="770"/>
      <c r="FJ677" s="770"/>
      <c r="FK677" s="770"/>
      <c r="FL677" s="770"/>
      <c r="FM677" s="302"/>
      <c r="FN677" s="302"/>
      <c r="FO677" s="302"/>
      <c r="FP677" s="770"/>
      <c r="FQ677" s="770"/>
      <c r="FR677" s="770"/>
      <c r="FS677" s="770"/>
      <c r="FT677" s="770"/>
      <c r="FU677" s="770"/>
      <c r="FV677" s="770"/>
      <c r="FW677" s="770"/>
      <c r="FX677" s="770"/>
      <c r="FY677" s="770"/>
      <c r="FZ677" s="770"/>
      <c r="GA677" s="770"/>
      <c r="GB677" s="770"/>
      <c r="GC677" s="308"/>
      <c r="GD677" s="297"/>
      <c r="GE677" s="770"/>
      <c r="GF677" s="302"/>
      <c r="GG677" s="302"/>
      <c r="GH677" s="770"/>
      <c r="GI677" s="770"/>
      <c r="GJ677" s="770"/>
      <c r="GK677" s="766"/>
      <c r="GL677" s="770"/>
      <c r="GM677" s="770"/>
      <c r="GN677" s="299"/>
      <c r="GO677" s="770"/>
      <c r="GP677" s="770"/>
      <c r="GQ677" s="770"/>
      <c r="GR677" s="770"/>
      <c r="GS677" s="770"/>
      <c r="GT677" s="770"/>
      <c r="GU677" s="770"/>
      <c r="GV677" s="770"/>
      <c r="GW677" s="770"/>
      <c r="GX677" s="770"/>
      <c r="GY677" s="770"/>
      <c r="GZ677" s="770"/>
      <c r="HA677" s="770"/>
      <c r="HB677" s="770"/>
      <c r="HC677" s="770"/>
      <c r="HD677" s="770"/>
      <c r="HE677" s="770"/>
      <c r="HF677" s="770"/>
      <c r="HG677" s="770"/>
      <c r="HH677" s="770"/>
      <c r="HI677" s="770"/>
      <c r="HJ677" s="770"/>
      <c r="HK677" s="770"/>
      <c r="HL677" s="770"/>
      <c r="HM677" s="770"/>
      <c r="HN677" s="770"/>
      <c r="HO677" s="770"/>
      <c r="HP677" s="770"/>
      <c r="HQ677" s="770"/>
      <c r="HR677" s="770"/>
      <c r="HS677" s="770"/>
      <c r="HT677" s="770"/>
      <c r="HU677" s="770"/>
      <c r="HV677" s="770"/>
      <c r="HW677" s="770"/>
      <c r="HX677" s="770"/>
      <c r="HY677" s="770"/>
      <c r="HZ677" s="770"/>
      <c r="IA677" s="770"/>
      <c r="IB677" s="770"/>
      <c r="IC677" s="770"/>
      <c r="ID677" s="770"/>
      <c r="IE677" s="770"/>
      <c r="IF677" s="770"/>
      <c r="IG677" s="770"/>
      <c r="IH677" s="770"/>
      <c r="II677" s="770"/>
      <c r="IJ677" s="770"/>
      <c r="IK677" s="770"/>
      <c r="IL677" s="770"/>
      <c r="IM677" s="770"/>
      <c r="IN677" s="770"/>
      <c r="IO677" s="296"/>
      <c r="IP677" s="770"/>
      <c r="IQ677" s="770"/>
      <c r="IR677" s="770"/>
      <c r="IS677" s="770"/>
      <c r="IT677" s="770"/>
      <c r="IU677" s="770"/>
      <c r="IV677" s="770"/>
      <c r="IW677" s="770"/>
      <c r="IX677" s="770"/>
      <c r="IY677" s="770"/>
      <c r="IZ677" s="770"/>
      <c r="JA677" s="770"/>
      <c r="JB677" s="770"/>
      <c r="JC677" s="770"/>
      <c r="JD677" s="302"/>
      <c r="JE677" s="770"/>
      <c r="JF677" s="770"/>
      <c r="JG677" s="770"/>
      <c r="JH677" s="307"/>
      <c r="JI677" s="307"/>
      <c r="JJ677" s="770"/>
      <c r="JK677" s="770"/>
      <c r="JL677" s="770"/>
      <c r="JM677" s="770"/>
      <c r="JN677" s="770"/>
      <c r="JO677" s="770"/>
      <c r="JP677" s="770"/>
      <c r="JQ677" s="770"/>
      <c r="JR677" s="770"/>
      <c r="JS677" s="770"/>
      <c r="JT677" s="766"/>
      <c r="JU677" s="766"/>
      <c r="JV677" s="766"/>
      <c r="JW677" s="766"/>
      <c r="JX677" s="770"/>
      <c r="JY677" s="770"/>
      <c r="JZ677" s="770"/>
      <c r="KA677" s="770"/>
      <c r="KB677" s="770"/>
      <c r="KC677" s="770"/>
      <c r="KD677" s="770"/>
      <c r="KE677" s="770"/>
      <c r="KF677" s="770"/>
      <c r="KG677" s="770"/>
      <c r="KH677" s="770"/>
      <c r="KI677" s="770"/>
      <c r="KJ677" s="770"/>
      <c r="KK677" s="770"/>
      <c r="KL677" s="770"/>
      <c r="KM677" s="770"/>
      <c r="KN677" s="770"/>
      <c r="KO677" s="770"/>
      <c r="KP677" s="770"/>
      <c r="KQ677" s="770"/>
      <c r="KR677" s="770"/>
      <c r="KS677" s="770"/>
      <c r="KT677" s="770"/>
      <c r="KU677" s="770"/>
      <c r="KV677" s="770"/>
      <c r="KW677" s="770"/>
      <c r="KX677" s="770"/>
      <c r="KY677" s="770"/>
      <c r="KZ677" s="770"/>
      <c r="LA677" s="770"/>
      <c r="LB677" s="770"/>
      <c r="LC677" s="770"/>
      <c r="LD677" s="770"/>
      <c r="LE677" s="770"/>
      <c r="LF677" s="770"/>
      <c r="LG677" s="770"/>
      <c r="LH677" s="770"/>
      <c r="LI677" s="770"/>
      <c r="LJ677" s="770"/>
      <c r="LK677" s="770"/>
      <c r="LL677" s="770"/>
      <c r="LM677" s="770"/>
      <c r="LN677" s="766"/>
      <c r="LO677" s="766"/>
      <c r="LP677" s="770"/>
      <c r="LQ677" s="770"/>
      <c r="LR677" s="770"/>
      <c r="LS677" s="770"/>
      <c r="LT677" s="770"/>
      <c r="LU677" s="770"/>
      <c r="LV677" s="770"/>
      <c r="LW677" s="770"/>
      <c r="LX677" s="769"/>
      <c r="LY677" s="766" t="str">
        <f t="shared" si="187"/>
        <v/>
      </c>
      <c r="LZ677" s="1709"/>
      <c r="MA677" s="1709"/>
      <c r="MB677" s="1709"/>
      <c r="MC677" s="1679">
        <f t="shared" ref="MC677:MC740" si="208">SUM(LZ677:MB677)</f>
        <v>0</v>
      </c>
      <c r="MD677" s="1709"/>
      <c r="ME677" s="1709"/>
      <c r="MF677" s="1709"/>
      <c r="MG677" s="1680">
        <f t="shared" si="199"/>
        <v>0</v>
      </c>
      <c r="MH677" s="770"/>
      <c r="MI677" s="302"/>
      <c r="MJ677" s="302"/>
      <c r="MK677" s="302"/>
      <c r="ML677" s="302"/>
      <c r="MM677" s="302"/>
      <c r="MN677" s="302"/>
      <c r="MO677" s="302"/>
      <c r="MP677" s="302"/>
      <c r="MQ677" s="302"/>
      <c r="MR677" s="302"/>
      <c r="MS677" s="302"/>
      <c r="MT677" s="302"/>
      <c r="MU677" s="302"/>
      <c r="MV677" s="302"/>
      <c r="MW677" s="302"/>
      <c r="MX677" s="302"/>
      <c r="MY677" s="1682">
        <f t="shared" si="200"/>
        <v>0</v>
      </c>
      <c r="MZ677" s="766"/>
      <c r="NA677" s="770"/>
      <c r="NB677" s="770"/>
      <c r="NC677" s="770"/>
      <c r="ND677" s="770"/>
      <c r="NE677" s="770"/>
      <c r="NF677" s="770"/>
      <c r="NG677" s="770"/>
      <c r="NH677" s="770"/>
      <c r="NI677" s="770"/>
      <c r="NJ677" s="770"/>
      <c r="NK677" s="770"/>
      <c r="NL677" s="770"/>
      <c r="NM677" s="770"/>
      <c r="NN677" s="770"/>
      <c r="NO677" s="770"/>
      <c r="NP677" s="770"/>
      <c r="NQ677" s="770"/>
      <c r="NR677" s="770"/>
      <c r="NS677" s="770"/>
      <c r="NT677" s="770"/>
      <c r="NU677" s="770"/>
      <c r="NV677" s="770"/>
      <c r="NW677" s="770"/>
      <c r="NX677" s="770"/>
      <c r="NY677" s="770"/>
      <c r="NZ677" s="770"/>
      <c r="OA677" s="770"/>
      <c r="OB677" s="770"/>
      <c r="OC677" s="770"/>
      <c r="OD677" s="770"/>
      <c r="OE677" s="770"/>
      <c r="OF677" s="770"/>
      <c r="OG677" s="770"/>
      <c r="OH677" s="770"/>
      <c r="OI677" s="770"/>
      <c r="OJ677" s="770"/>
      <c r="OK677" s="770"/>
      <c r="OL677" s="770"/>
      <c r="OM677" s="770"/>
      <c r="ON677" s="770"/>
      <c r="OO677" s="770"/>
      <c r="OP677" s="770"/>
      <c r="OQ677" s="770"/>
      <c r="OR677" s="770"/>
      <c r="OS677" s="770"/>
      <c r="OT677" s="770"/>
      <c r="OU677" s="770"/>
      <c r="OV677" s="770"/>
      <c r="OW677" s="770"/>
      <c r="OX677" s="770"/>
      <c r="OY677" s="770"/>
      <c r="OZ677" s="770"/>
      <c r="PA677" s="770"/>
      <c r="PB677" s="770"/>
      <c r="PC677" s="770"/>
      <c r="PD677" s="770"/>
      <c r="PE677" s="770"/>
      <c r="PF677" s="770"/>
      <c r="PG677" s="770"/>
      <c r="PH677" s="770"/>
      <c r="PI677" s="770"/>
      <c r="PJ677" s="770"/>
      <c r="PK677" s="770"/>
      <c r="PL677" s="770"/>
      <c r="PM677" s="770"/>
      <c r="PN677" s="770"/>
      <c r="PO677" s="770"/>
      <c r="PP677" s="770"/>
      <c r="PQ677" s="770"/>
      <c r="PR677" s="770"/>
      <c r="PS677" s="770"/>
      <c r="PT677" s="770"/>
      <c r="PU677" s="770"/>
      <c r="PV677" s="770"/>
      <c r="PW677" s="770"/>
      <c r="PX677" s="770"/>
      <c r="PY677" s="770"/>
      <c r="PZ677" s="770"/>
      <c r="QA677" s="770"/>
      <c r="QB677" s="770"/>
      <c r="QC677" s="770"/>
      <c r="QD677" s="770"/>
      <c r="QE677" s="770"/>
      <c r="QF677" s="770"/>
      <c r="QG677" s="770"/>
      <c r="QH677" s="770"/>
      <c r="QI677" s="770"/>
      <c r="QJ677" s="770"/>
      <c r="QK677" s="770"/>
      <c r="QL677" s="770"/>
      <c r="QM677" s="770"/>
      <c r="QN677" s="770"/>
      <c r="QO677" s="770"/>
      <c r="QP677" s="770"/>
      <c r="QQ677" s="770"/>
      <c r="QR677" s="770"/>
      <c r="QS677" s="770"/>
      <c r="QT677" s="770"/>
      <c r="QU677" s="770"/>
      <c r="QV677" s="770"/>
      <c r="QW677" s="770"/>
      <c r="QX677" s="770"/>
      <c r="QY677" s="770"/>
      <c r="QZ677" s="770"/>
      <c r="RA677" s="770"/>
      <c r="RB677" s="770"/>
      <c r="RC677" s="770"/>
      <c r="RD677" s="770"/>
      <c r="RE677" s="770"/>
      <c r="RF677" s="304"/>
      <c r="RG677" s="770"/>
      <c r="RH677" s="306"/>
      <c r="RI677" s="770"/>
      <c r="RJ677" s="94" t="s">
        <v>13890</v>
      </c>
      <c r="RK677" s="770" t="s">
        <v>13544</v>
      </c>
      <c r="RL677" s="1710">
        <v>42842</v>
      </c>
      <c r="RM677" s="12"/>
      <c r="RN677" s="1711"/>
      <c r="RO677" s="149" t="s">
        <v>4425</v>
      </c>
      <c r="RP677" s="11"/>
      <c r="RQ677" s="11"/>
      <c r="RR677" s="17"/>
      <c r="RS677" s="770"/>
      <c r="RT677" s="11"/>
      <c r="RU677" s="11"/>
      <c r="RV677" s="766" t="s">
        <v>7421</v>
      </c>
      <c r="RW677" s="11" t="s">
        <v>8003</v>
      </c>
      <c r="RX677" s="11" t="s">
        <v>4411</v>
      </c>
      <c r="RY677" s="11"/>
      <c r="RZ677" s="11" t="s">
        <v>1101</v>
      </c>
      <c r="SA677" s="766"/>
      <c r="SB677" s="11"/>
      <c r="SC677" s="11"/>
    </row>
    <row r="678" spans="1:497" ht="12.75" customHeight="1">
      <c r="A678" s="19" t="s">
        <v>7421</v>
      </c>
      <c r="B678" s="292" t="s">
        <v>8006</v>
      </c>
      <c r="C678" s="149" t="s">
        <v>4432</v>
      </c>
      <c r="D678" s="94" t="s">
        <v>4433</v>
      </c>
      <c r="E678" s="766" t="s">
        <v>4434</v>
      </c>
      <c r="F678" s="770" t="s">
        <v>28</v>
      </c>
      <c r="G678" s="770" t="s">
        <v>10</v>
      </c>
      <c r="H678" s="770"/>
      <c r="I678" s="12"/>
      <c r="J678" s="94" t="s">
        <v>4433</v>
      </c>
      <c r="K678" s="766" t="s">
        <v>4435</v>
      </c>
      <c r="L678" s="766" t="s">
        <v>4436</v>
      </c>
      <c r="M678" s="770" t="s">
        <v>1238</v>
      </c>
      <c r="N678" s="1757"/>
      <c r="O678" s="1757" t="s">
        <v>4409</v>
      </c>
      <c r="P678" s="770"/>
      <c r="Q678" s="1088"/>
      <c r="R678" s="297"/>
      <c r="S678" s="770"/>
      <c r="T678" s="770"/>
      <c r="U678" s="295"/>
      <c r="V678" s="770"/>
      <c r="W678" s="770"/>
      <c r="X678" s="770"/>
      <c r="Y678" s="770"/>
      <c r="Z678" s="770"/>
      <c r="AA678" s="770"/>
      <c r="AB678" s="770"/>
      <c r="AC678" s="770"/>
      <c r="AD678" s="770"/>
      <c r="AE678" s="770"/>
      <c r="AF678" s="770"/>
      <c r="AG678" s="766" t="s">
        <v>1132</v>
      </c>
      <c r="AH678" s="766" t="s">
        <v>1096</v>
      </c>
      <c r="AI678" s="75"/>
      <c r="AJ678" s="766" t="s">
        <v>1137</v>
      </c>
      <c r="AK678" s="766" t="s">
        <v>1101</v>
      </c>
      <c r="AL678" s="120">
        <v>16</v>
      </c>
      <c r="AM678" s="773">
        <v>8</v>
      </c>
      <c r="AN678" s="37">
        <f t="shared" si="207"/>
        <v>0.5</v>
      </c>
      <c r="AO678" s="766" t="s">
        <v>1149</v>
      </c>
      <c r="AP678" s="1775"/>
      <c r="AQ678" s="1775"/>
      <c r="AR678" s="1775"/>
      <c r="AS678" s="766"/>
      <c r="AT678" s="766"/>
      <c r="AU678" s="766"/>
      <c r="AV678" s="766"/>
      <c r="AW678" s="766"/>
      <c r="AX678" s="766"/>
      <c r="AY678" s="766"/>
      <c r="AZ678" s="766"/>
      <c r="BA678" s="766"/>
      <c r="BB678" s="766"/>
      <c r="BC678" s="766"/>
      <c r="BD678" s="766"/>
      <c r="BE678" s="766"/>
      <c r="BF678" s="775"/>
      <c r="BG678" s="775"/>
      <c r="BH678" s="770"/>
      <c r="BI678" s="770"/>
      <c r="BJ678" s="770"/>
      <c r="BK678" s="770"/>
      <c r="BL678" s="770"/>
      <c r="BM678" s="770"/>
      <c r="BN678" s="770"/>
      <c r="BO678" s="770"/>
      <c r="BP678" s="1109"/>
      <c r="BQ678" s="773"/>
      <c r="BR678" s="774"/>
      <c r="BS678" s="766"/>
      <c r="BT678" s="770"/>
      <c r="BU678" s="770"/>
      <c r="BV678" s="770"/>
      <c r="BW678" s="770"/>
      <c r="BX678" s="302"/>
      <c r="BY678" s="770"/>
      <c r="BZ678" s="302"/>
      <c r="CA678" s="770"/>
      <c r="CB678" s="770" t="s">
        <v>1207</v>
      </c>
      <c r="CC678" s="770"/>
      <c r="CD678" s="770"/>
      <c r="CE678" s="131"/>
      <c r="CF678" s="304"/>
      <c r="CG678" s="321"/>
      <c r="CH678" s="12"/>
      <c r="CI678" s="770"/>
      <c r="CJ678" s="12"/>
      <c r="CK678" s="770"/>
      <c r="CL678" s="770"/>
      <c r="CM678" s="770"/>
      <c r="CN678" s="770"/>
      <c r="CO678" s="770"/>
      <c r="CP678" s="770"/>
      <c r="CQ678" s="770"/>
      <c r="CR678" s="302"/>
      <c r="CS678" s="770"/>
      <c r="CT678" s="770"/>
      <c r="CU678" s="305"/>
      <c r="CV678" s="770"/>
      <c r="CW678" s="770"/>
      <c r="CX678" s="770"/>
      <c r="CY678" s="770"/>
      <c r="CZ678" s="770"/>
      <c r="DA678" s="306"/>
      <c r="DB678" s="770"/>
      <c r="DC678" s="770"/>
      <c r="DD678" s="770"/>
      <c r="DE678" s="300"/>
      <c r="DF678" s="770"/>
      <c r="DG678" s="770"/>
      <c r="DH678" s="770"/>
      <c r="DI678" s="770"/>
      <c r="DJ678" s="770"/>
      <c r="DK678" s="770"/>
      <c r="DL678" s="770"/>
      <c r="DM678" s="770"/>
      <c r="DN678" s="322"/>
      <c r="DO678" s="770"/>
      <c r="DP678" s="770"/>
      <c r="DQ678" s="770"/>
      <c r="DR678" s="770"/>
      <c r="DS678" s="307"/>
      <c r="DT678" s="770"/>
      <c r="DU678" s="770"/>
      <c r="DV678" s="770"/>
      <c r="DW678" s="306"/>
      <c r="DX678" s="306"/>
      <c r="DY678" s="1055"/>
      <c r="DZ678" s="770"/>
      <c r="EA678" s="770"/>
      <c r="EB678" s="770"/>
      <c r="EC678" s="770"/>
      <c r="ED678" s="770"/>
      <c r="EE678" s="770"/>
      <c r="EF678" s="770"/>
      <c r="EG678" s="770"/>
      <c r="EH678" s="770"/>
      <c r="EI678" s="770"/>
      <c r="EJ678" s="770"/>
      <c r="EK678" s="770"/>
      <c r="EL678" s="770"/>
      <c r="EM678" s="770"/>
      <c r="EN678" s="770"/>
      <c r="EO678" s="770"/>
      <c r="EP678" s="94"/>
      <c r="EQ678" s="770"/>
      <c r="ER678" s="770"/>
      <c r="ES678" s="770"/>
      <c r="ET678" s="770"/>
      <c r="EU678" s="770"/>
      <c r="EV678" s="770"/>
      <c r="EW678" s="770"/>
      <c r="EX678" s="770"/>
      <c r="EY678" s="770"/>
      <c r="EZ678" s="770" t="s">
        <v>4437</v>
      </c>
      <c r="FA678" s="770" t="s">
        <v>4438</v>
      </c>
      <c r="FB678" s="1776" t="s">
        <v>4429</v>
      </c>
      <c r="FC678" s="770"/>
      <c r="FD678" s="302"/>
      <c r="FE678" s="770" t="s">
        <v>4439</v>
      </c>
      <c r="FF678" s="770"/>
      <c r="FG678" s="770" t="s">
        <v>4440</v>
      </c>
      <c r="FH678" s="770"/>
      <c r="FI678" s="770"/>
      <c r="FJ678" s="770"/>
      <c r="FK678" s="770"/>
      <c r="FL678" s="770"/>
      <c r="FM678" s="302"/>
      <c r="FN678" s="302"/>
      <c r="FO678" s="302"/>
      <c r="FP678" s="770"/>
      <c r="FQ678" s="770"/>
      <c r="FR678" s="770"/>
      <c r="FS678" s="770"/>
      <c r="FT678" s="770"/>
      <c r="FU678" s="770"/>
      <c r="FV678" s="770"/>
      <c r="FW678" s="770"/>
      <c r="FX678" s="770"/>
      <c r="FY678" s="770"/>
      <c r="FZ678" s="770"/>
      <c r="GA678" s="770"/>
      <c r="GB678" s="770"/>
      <c r="GC678" s="308"/>
      <c r="GD678" s="297"/>
      <c r="GE678" s="770"/>
      <c r="GF678" s="302"/>
      <c r="GG678" s="302"/>
      <c r="GH678" s="770"/>
      <c r="GI678" s="770"/>
      <c r="GJ678" s="770"/>
      <c r="GK678" s="766"/>
      <c r="GL678" s="770"/>
      <c r="GM678" s="770"/>
      <c r="GN678" s="299"/>
      <c r="GO678" s="770"/>
      <c r="GP678" s="770"/>
      <c r="GQ678" s="770"/>
      <c r="GR678" s="770"/>
      <c r="GS678" s="770"/>
      <c r="GT678" s="770"/>
      <c r="GU678" s="770"/>
      <c r="GV678" s="770"/>
      <c r="GW678" s="770"/>
      <c r="GX678" s="770"/>
      <c r="GY678" s="770"/>
      <c r="GZ678" s="770"/>
      <c r="HA678" s="770"/>
      <c r="HB678" s="770"/>
      <c r="HC678" s="770"/>
      <c r="HD678" s="770"/>
      <c r="HE678" s="770"/>
      <c r="HF678" s="770"/>
      <c r="HG678" s="770"/>
      <c r="HH678" s="770"/>
      <c r="HI678" s="770"/>
      <c r="HJ678" s="770"/>
      <c r="HK678" s="770"/>
      <c r="HL678" s="770"/>
      <c r="HM678" s="770"/>
      <c r="HN678" s="770"/>
      <c r="HO678" s="770"/>
      <c r="HP678" s="770"/>
      <c r="HQ678" s="770"/>
      <c r="HR678" s="770"/>
      <c r="HS678" s="770"/>
      <c r="HT678" s="770"/>
      <c r="HU678" s="770"/>
      <c r="HV678" s="770"/>
      <c r="HW678" s="770"/>
      <c r="HX678" s="770"/>
      <c r="HY678" s="770"/>
      <c r="HZ678" s="770"/>
      <c r="IA678" s="770"/>
      <c r="IB678" s="770"/>
      <c r="IC678" s="770"/>
      <c r="ID678" s="770"/>
      <c r="IE678" s="770"/>
      <c r="IF678" s="770"/>
      <c r="IG678" s="770"/>
      <c r="IH678" s="770"/>
      <c r="II678" s="770"/>
      <c r="IJ678" s="770"/>
      <c r="IK678" s="770"/>
      <c r="IL678" s="770"/>
      <c r="IM678" s="770"/>
      <c r="IN678" s="770"/>
      <c r="IO678" s="296"/>
      <c r="IP678" s="770"/>
      <c r="IQ678" s="770"/>
      <c r="IR678" s="770"/>
      <c r="IS678" s="770"/>
      <c r="IT678" s="770"/>
      <c r="IU678" s="770"/>
      <c r="IV678" s="770"/>
      <c r="IW678" s="770"/>
      <c r="IX678" s="770"/>
      <c r="IY678" s="770"/>
      <c r="IZ678" s="770"/>
      <c r="JA678" s="770"/>
      <c r="JB678" s="770"/>
      <c r="JC678" s="770"/>
      <c r="JD678" s="302"/>
      <c r="JE678" s="770"/>
      <c r="JF678" s="770"/>
      <c r="JG678" s="770"/>
      <c r="JH678" s="307"/>
      <c r="JI678" s="307"/>
      <c r="JJ678" s="770"/>
      <c r="JK678" s="770"/>
      <c r="JL678" s="770"/>
      <c r="JM678" s="770"/>
      <c r="JN678" s="770"/>
      <c r="JO678" s="770"/>
      <c r="JP678" s="770"/>
      <c r="JQ678" s="770"/>
      <c r="JR678" s="770"/>
      <c r="JS678" s="770"/>
      <c r="JT678" s="766"/>
      <c r="JU678" s="766"/>
      <c r="JV678" s="766"/>
      <c r="JW678" s="766"/>
      <c r="JX678" s="770"/>
      <c r="JY678" s="770"/>
      <c r="JZ678" s="770"/>
      <c r="KA678" s="770"/>
      <c r="KB678" s="770"/>
      <c r="KC678" s="770"/>
      <c r="KD678" s="770"/>
      <c r="KE678" s="770"/>
      <c r="KF678" s="770"/>
      <c r="KG678" s="770"/>
      <c r="KH678" s="770"/>
      <c r="KI678" s="770"/>
      <c r="KJ678" s="770"/>
      <c r="KK678" s="770"/>
      <c r="KL678" s="770"/>
      <c r="KM678" s="770"/>
      <c r="KN678" s="770"/>
      <c r="KO678" s="770"/>
      <c r="KP678" s="770"/>
      <c r="KQ678" s="770"/>
      <c r="KR678" s="770"/>
      <c r="KS678" s="770"/>
      <c r="KT678" s="770"/>
      <c r="KU678" s="770"/>
      <c r="KV678" s="770"/>
      <c r="KW678" s="770"/>
      <c r="KX678" s="770"/>
      <c r="KY678" s="770"/>
      <c r="KZ678" s="770"/>
      <c r="LA678" s="770"/>
      <c r="LB678" s="770"/>
      <c r="LC678" s="770"/>
      <c r="LD678" s="770"/>
      <c r="LE678" s="770"/>
      <c r="LF678" s="770"/>
      <c r="LG678" s="770"/>
      <c r="LH678" s="770"/>
      <c r="LI678" s="770"/>
      <c r="LJ678" s="770"/>
      <c r="LK678" s="770"/>
      <c r="LL678" s="770"/>
      <c r="LM678" s="770"/>
      <c r="LN678" s="766"/>
      <c r="LO678" s="766"/>
      <c r="LP678" s="770"/>
      <c r="LQ678" s="770"/>
      <c r="LR678" s="770"/>
      <c r="LS678" s="770"/>
      <c r="LT678" s="770"/>
      <c r="LU678" s="770"/>
      <c r="LV678" s="770"/>
      <c r="LW678" s="770"/>
      <c r="LX678" s="769"/>
      <c r="LY678" s="766" t="str">
        <f t="shared" si="187"/>
        <v/>
      </c>
      <c r="LZ678" s="1709"/>
      <c r="MA678" s="1709"/>
      <c r="MB678" s="1709"/>
      <c r="MC678" s="1679">
        <f t="shared" si="208"/>
        <v>0</v>
      </c>
      <c r="MD678" s="1709"/>
      <c r="ME678" s="1709"/>
      <c r="MF678" s="1709"/>
      <c r="MG678" s="1680">
        <f t="shared" si="199"/>
        <v>0</v>
      </c>
      <c r="MH678" s="770"/>
      <c r="MI678" s="302"/>
      <c r="MJ678" s="302"/>
      <c r="MK678" s="302"/>
      <c r="ML678" s="302"/>
      <c r="MM678" s="302"/>
      <c r="MN678" s="302"/>
      <c r="MO678" s="302"/>
      <c r="MP678" s="302"/>
      <c r="MQ678" s="302"/>
      <c r="MR678" s="302"/>
      <c r="MS678" s="302"/>
      <c r="MT678" s="302"/>
      <c r="MU678" s="302"/>
      <c r="MV678" s="302"/>
      <c r="MW678" s="302"/>
      <c r="MX678" s="302"/>
      <c r="MY678" s="1682">
        <f t="shared" si="200"/>
        <v>0</v>
      </c>
      <c r="MZ678" s="766"/>
      <c r="NA678" s="770"/>
      <c r="NB678" s="770"/>
      <c r="NC678" s="770"/>
      <c r="ND678" s="770"/>
      <c r="NE678" s="770"/>
      <c r="NF678" s="770"/>
      <c r="NG678" s="770"/>
      <c r="NH678" s="770"/>
      <c r="NI678" s="770"/>
      <c r="NJ678" s="770"/>
      <c r="NK678" s="770"/>
      <c r="NL678" s="770"/>
      <c r="NM678" s="770"/>
      <c r="NN678" s="770"/>
      <c r="NO678" s="770"/>
      <c r="NP678" s="770"/>
      <c r="NQ678" s="770"/>
      <c r="NR678" s="770"/>
      <c r="NS678" s="770"/>
      <c r="NT678" s="770"/>
      <c r="NU678" s="770"/>
      <c r="NV678" s="770"/>
      <c r="NW678" s="770"/>
      <c r="NX678" s="770"/>
      <c r="NY678" s="770"/>
      <c r="NZ678" s="770"/>
      <c r="OA678" s="770"/>
      <c r="OB678" s="770"/>
      <c r="OC678" s="770"/>
      <c r="OD678" s="770"/>
      <c r="OE678" s="770"/>
      <c r="OF678" s="770"/>
      <c r="OG678" s="770"/>
      <c r="OH678" s="770"/>
      <c r="OI678" s="770"/>
      <c r="OJ678" s="770"/>
      <c r="OK678" s="770"/>
      <c r="OL678" s="770"/>
      <c r="OM678" s="770"/>
      <c r="ON678" s="770"/>
      <c r="OO678" s="770"/>
      <c r="OP678" s="770"/>
      <c r="OQ678" s="770"/>
      <c r="OR678" s="770"/>
      <c r="OS678" s="770"/>
      <c r="OT678" s="770"/>
      <c r="OU678" s="770"/>
      <c r="OV678" s="770"/>
      <c r="OW678" s="770"/>
      <c r="OX678" s="770"/>
      <c r="OY678" s="770"/>
      <c r="OZ678" s="770"/>
      <c r="PA678" s="770"/>
      <c r="PB678" s="770"/>
      <c r="PC678" s="770"/>
      <c r="PD678" s="770"/>
      <c r="PE678" s="770"/>
      <c r="PF678" s="770"/>
      <c r="PG678" s="770"/>
      <c r="PH678" s="770"/>
      <c r="PI678" s="770"/>
      <c r="PJ678" s="770"/>
      <c r="PK678" s="770"/>
      <c r="PL678" s="770"/>
      <c r="PM678" s="770"/>
      <c r="PN678" s="770"/>
      <c r="PO678" s="770"/>
      <c r="PP678" s="770"/>
      <c r="PQ678" s="770"/>
      <c r="PR678" s="770"/>
      <c r="PS678" s="770"/>
      <c r="PT678" s="770"/>
      <c r="PU678" s="770"/>
      <c r="PV678" s="770"/>
      <c r="PW678" s="770"/>
      <c r="PX678" s="770"/>
      <c r="PY678" s="770"/>
      <c r="PZ678" s="770"/>
      <c r="QA678" s="770"/>
      <c r="QB678" s="770"/>
      <c r="QC678" s="770"/>
      <c r="QD678" s="770"/>
      <c r="QE678" s="770"/>
      <c r="QF678" s="770"/>
      <c r="QG678" s="770"/>
      <c r="QH678" s="770"/>
      <c r="QI678" s="770"/>
      <c r="QJ678" s="770"/>
      <c r="QK678" s="770"/>
      <c r="QL678" s="770"/>
      <c r="QM678" s="770"/>
      <c r="QN678" s="770"/>
      <c r="QO678" s="770"/>
      <c r="QP678" s="770"/>
      <c r="QQ678" s="770"/>
      <c r="QR678" s="770"/>
      <c r="QS678" s="770"/>
      <c r="QT678" s="770"/>
      <c r="QU678" s="770"/>
      <c r="QV678" s="770"/>
      <c r="QW678" s="770"/>
      <c r="QX678" s="770"/>
      <c r="QY678" s="770"/>
      <c r="QZ678" s="770"/>
      <c r="RA678" s="770"/>
      <c r="RB678" s="770"/>
      <c r="RC678" s="770"/>
      <c r="RD678" s="770"/>
      <c r="RE678" s="770"/>
      <c r="RF678" s="304"/>
      <c r="RG678" s="770"/>
      <c r="RH678" s="306"/>
      <c r="RI678" s="770"/>
      <c r="RJ678" s="94" t="s">
        <v>13891</v>
      </c>
      <c r="RK678" s="770" t="s">
        <v>13544</v>
      </c>
      <c r="RL678" s="1710">
        <v>42842</v>
      </c>
      <c r="RM678" s="12"/>
      <c r="RN678" s="1711"/>
      <c r="RO678" s="149" t="s">
        <v>4432</v>
      </c>
      <c r="RP678" s="11"/>
      <c r="RQ678" s="11"/>
      <c r="RR678" s="17"/>
      <c r="RS678" s="770"/>
      <c r="RT678" s="11"/>
      <c r="RU678" s="11"/>
      <c r="RV678" s="766" t="s">
        <v>7421</v>
      </c>
      <c r="RW678" s="11" t="s">
        <v>8004</v>
      </c>
      <c r="RX678" s="11" t="s">
        <v>4419</v>
      </c>
      <c r="RY678" s="11"/>
      <c r="RZ678" s="11" t="s">
        <v>1101</v>
      </c>
      <c r="SA678" s="766"/>
      <c r="SB678" s="11"/>
      <c r="SC678" s="11"/>
    </row>
    <row r="679" spans="1:497" ht="12.75" customHeight="1">
      <c r="A679" s="19" t="s">
        <v>7421</v>
      </c>
      <c r="B679" s="292" t="s">
        <v>7430</v>
      </c>
      <c r="C679" s="149" t="s">
        <v>4441</v>
      </c>
      <c r="D679" s="94" t="s">
        <v>4445</v>
      </c>
      <c r="E679" s="766" t="s">
        <v>4446</v>
      </c>
      <c r="F679" s="770"/>
      <c r="G679" s="770"/>
      <c r="H679" s="770"/>
      <c r="I679" s="12"/>
      <c r="J679" s="94"/>
      <c r="K679" s="766" t="s">
        <v>4442</v>
      </c>
      <c r="L679" s="766" t="s">
        <v>4443</v>
      </c>
      <c r="M679" s="770" t="s">
        <v>1238</v>
      </c>
      <c r="N679" s="1757"/>
      <c r="O679" s="1757" t="s">
        <v>4444</v>
      </c>
      <c r="P679" s="770"/>
      <c r="Q679" s="1088"/>
      <c r="R679" s="297"/>
      <c r="S679" s="770"/>
      <c r="T679" s="770"/>
      <c r="U679" s="295"/>
      <c r="V679" s="770"/>
      <c r="W679" s="770"/>
      <c r="X679" s="770"/>
      <c r="Y679" s="770"/>
      <c r="Z679" s="770"/>
      <c r="AA679" s="770"/>
      <c r="AB679" s="770"/>
      <c r="AC679" s="770"/>
      <c r="AD679" s="770"/>
      <c r="AE679" s="770"/>
      <c r="AF679" s="770"/>
      <c r="AG679" s="766" t="s">
        <v>1165</v>
      </c>
      <c r="AH679" s="766" t="s">
        <v>1096</v>
      </c>
      <c r="AI679" s="75"/>
      <c r="AJ679" s="766" t="s">
        <v>1138</v>
      </c>
      <c r="AK679" s="766" t="s">
        <v>5454</v>
      </c>
      <c r="AL679" s="120">
        <v>65.36</v>
      </c>
      <c r="AM679" s="773">
        <v>8.6</v>
      </c>
      <c r="AN679" s="37">
        <f t="shared" si="207"/>
        <v>0.13157894736842105</v>
      </c>
      <c r="AO679" s="766" t="s">
        <v>1109</v>
      </c>
      <c r="AP679" s="1775"/>
      <c r="AQ679" s="1775"/>
      <c r="AR679" s="1775"/>
      <c r="AS679" s="766"/>
      <c r="AT679" s="766"/>
      <c r="AU679" s="766"/>
      <c r="AV679" s="766"/>
      <c r="AW679" s="766"/>
      <c r="AX679" s="766"/>
      <c r="AY679" s="766"/>
      <c r="AZ679" s="766"/>
      <c r="BA679" s="766"/>
      <c r="BB679" s="766"/>
      <c r="BC679" s="766"/>
      <c r="BD679" s="766"/>
      <c r="BE679" s="766"/>
      <c r="BF679" s="775"/>
      <c r="BG679" s="775"/>
      <c r="BH679" s="770"/>
      <c r="BI679" s="770"/>
      <c r="BJ679" s="770"/>
      <c r="BK679" s="770"/>
      <c r="BL679" s="770"/>
      <c r="BM679" s="770"/>
      <c r="BN679" s="770"/>
      <c r="BO679" s="770"/>
      <c r="BP679" s="1109"/>
      <c r="BQ679" s="773"/>
      <c r="BR679" s="774"/>
      <c r="BS679" s="766"/>
      <c r="BT679" s="770"/>
      <c r="BU679" s="770"/>
      <c r="BV679" s="770"/>
      <c r="BW679" s="770"/>
      <c r="BX679" s="302"/>
      <c r="BY679" s="770"/>
      <c r="BZ679" s="302"/>
      <c r="CA679" s="770"/>
      <c r="CB679" s="770" t="s">
        <v>1207</v>
      </c>
      <c r="CC679" s="770"/>
      <c r="CD679" s="770"/>
      <c r="CE679" s="131"/>
      <c r="CF679" s="304"/>
      <c r="CG679" s="321"/>
      <c r="CH679" s="12"/>
      <c r="CI679" s="770"/>
      <c r="CJ679" s="12"/>
      <c r="CK679" s="770"/>
      <c r="CL679" s="770"/>
      <c r="CM679" s="770"/>
      <c r="CN679" s="770"/>
      <c r="CO679" s="770"/>
      <c r="CP679" s="770"/>
      <c r="CQ679" s="770"/>
      <c r="CR679" s="302"/>
      <c r="CS679" s="770"/>
      <c r="CT679" s="770"/>
      <c r="CU679" s="305"/>
      <c r="CV679" s="770"/>
      <c r="CW679" s="770"/>
      <c r="CX679" s="770"/>
      <c r="CY679" s="770"/>
      <c r="CZ679" s="770"/>
      <c r="DA679" s="306"/>
      <c r="DB679" s="770"/>
      <c r="DC679" s="770"/>
      <c r="DD679" s="770"/>
      <c r="DE679" s="300"/>
      <c r="DF679" s="770"/>
      <c r="DG679" s="770"/>
      <c r="DH679" s="770"/>
      <c r="DI679" s="770"/>
      <c r="DJ679" s="770"/>
      <c r="DK679" s="770"/>
      <c r="DL679" s="770"/>
      <c r="DM679" s="770"/>
      <c r="DN679" s="322"/>
      <c r="DO679" s="770"/>
      <c r="DP679" s="770"/>
      <c r="DQ679" s="770" t="s">
        <v>8128</v>
      </c>
      <c r="DR679" s="770">
        <v>2014</v>
      </c>
      <c r="DS679" s="307"/>
      <c r="DT679" s="770" t="s">
        <v>4193</v>
      </c>
      <c r="DU679" s="770" t="s">
        <v>4137</v>
      </c>
      <c r="DV679" s="770" t="s">
        <v>4138</v>
      </c>
      <c r="DW679" s="306">
        <f>8.6*7.6</f>
        <v>65.36</v>
      </c>
      <c r="DX679" s="306">
        <v>8.6</v>
      </c>
      <c r="DY679" s="1055" t="s">
        <v>1242</v>
      </c>
      <c r="DZ679" s="770"/>
      <c r="EA679" s="770"/>
      <c r="EB679" s="770"/>
      <c r="EC679" s="770"/>
      <c r="ED679" s="770"/>
      <c r="EE679" s="770"/>
      <c r="EF679" s="770"/>
      <c r="EG679" s="770"/>
      <c r="EH679" s="770"/>
      <c r="EI679" s="770"/>
      <c r="EJ679" s="770"/>
      <c r="EK679" s="770"/>
      <c r="EL679" s="770"/>
      <c r="EM679" s="770"/>
      <c r="EN679" s="770"/>
      <c r="EO679" s="770"/>
      <c r="EP679" s="94"/>
      <c r="EQ679" s="770"/>
      <c r="ER679" s="770"/>
      <c r="ES679" s="770"/>
      <c r="ET679" s="770"/>
      <c r="EU679" s="770"/>
      <c r="EV679" s="770"/>
      <c r="EW679" s="770"/>
      <c r="EX679" s="770"/>
      <c r="EY679" s="770"/>
      <c r="EZ679" s="770"/>
      <c r="FA679" s="770"/>
      <c r="FB679" s="1776"/>
      <c r="FC679" s="770"/>
      <c r="FD679" s="302"/>
      <c r="FE679" s="770"/>
      <c r="FF679" s="770"/>
      <c r="FG679" s="770"/>
      <c r="FH679" s="770"/>
      <c r="FI679" s="770"/>
      <c r="FJ679" s="770"/>
      <c r="FK679" s="770"/>
      <c r="FL679" s="770"/>
      <c r="FM679" s="302"/>
      <c r="FN679" s="302"/>
      <c r="FO679" s="302"/>
      <c r="FP679" s="770"/>
      <c r="FQ679" s="770"/>
      <c r="FR679" s="770"/>
      <c r="FS679" s="770"/>
      <c r="FT679" s="770"/>
      <c r="FU679" s="770"/>
      <c r="FV679" s="770"/>
      <c r="FW679" s="770"/>
      <c r="FX679" s="770"/>
      <c r="FY679" s="770"/>
      <c r="FZ679" s="770"/>
      <c r="GA679" s="770"/>
      <c r="GB679" s="770"/>
      <c r="GC679" s="308"/>
      <c r="GD679" s="297"/>
      <c r="GE679" s="770"/>
      <c r="GF679" s="302"/>
      <c r="GG679" s="302"/>
      <c r="GH679" s="770"/>
      <c r="GI679" s="770"/>
      <c r="GJ679" s="770"/>
      <c r="GK679" s="766"/>
      <c r="GL679" s="770"/>
      <c r="GM679" s="770"/>
      <c r="GN679" s="299"/>
      <c r="GO679" s="770"/>
      <c r="GP679" s="770"/>
      <c r="GQ679" s="770"/>
      <c r="GR679" s="770"/>
      <c r="GS679" s="770"/>
      <c r="GT679" s="770"/>
      <c r="GU679" s="770"/>
      <c r="GV679" s="770"/>
      <c r="GW679" s="770"/>
      <c r="GX679" s="770"/>
      <c r="GY679" s="770"/>
      <c r="GZ679" s="770"/>
      <c r="HA679" s="770"/>
      <c r="HB679" s="770"/>
      <c r="HC679" s="770"/>
      <c r="HD679" s="770"/>
      <c r="HE679" s="770"/>
      <c r="HF679" s="770"/>
      <c r="HG679" s="770"/>
      <c r="HH679" s="770"/>
      <c r="HI679" s="770"/>
      <c r="HJ679" s="770"/>
      <c r="HK679" s="770"/>
      <c r="HL679" s="770"/>
      <c r="HM679" s="770"/>
      <c r="HN679" s="770"/>
      <c r="HO679" s="770"/>
      <c r="HP679" s="770"/>
      <c r="HQ679" s="770"/>
      <c r="HR679" s="770"/>
      <c r="HS679" s="770"/>
      <c r="HT679" s="770"/>
      <c r="HU679" s="770"/>
      <c r="HV679" s="770"/>
      <c r="HW679" s="770"/>
      <c r="HX679" s="770"/>
      <c r="HY679" s="770"/>
      <c r="HZ679" s="770"/>
      <c r="IA679" s="770"/>
      <c r="IB679" s="770"/>
      <c r="IC679" s="770"/>
      <c r="ID679" s="770"/>
      <c r="IE679" s="770"/>
      <c r="IF679" s="770"/>
      <c r="IG679" s="770"/>
      <c r="IH679" s="770"/>
      <c r="II679" s="770"/>
      <c r="IJ679" s="770"/>
      <c r="IK679" s="770"/>
      <c r="IL679" s="770"/>
      <c r="IM679" s="770"/>
      <c r="IN679" s="770"/>
      <c r="IO679" s="296"/>
      <c r="IP679" s="770"/>
      <c r="IQ679" s="770"/>
      <c r="IR679" s="770"/>
      <c r="IS679" s="770"/>
      <c r="IT679" s="770"/>
      <c r="IU679" s="770"/>
      <c r="IV679" s="770"/>
      <c r="IW679" s="770"/>
      <c r="IX679" s="770"/>
      <c r="IY679" s="770"/>
      <c r="IZ679" s="770"/>
      <c r="JA679" s="770"/>
      <c r="JB679" s="770"/>
      <c r="JC679" s="770"/>
      <c r="JD679" s="302"/>
      <c r="JE679" s="770"/>
      <c r="JF679" s="770"/>
      <c r="JG679" s="770"/>
      <c r="JH679" s="307"/>
      <c r="JI679" s="307"/>
      <c r="JJ679" s="770"/>
      <c r="JK679" s="94"/>
      <c r="JL679" s="770"/>
      <c r="JM679" s="770"/>
      <c r="JN679" s="770"/>
      <c r="JO679" s="770"/>
      <c r="JP679" s="770"/>
      <c r="JQ679" s="770"/>
      <c r="JR679" s="770"/>
      <c r="JS679" s="770"/>
      <c r="JT679" s="766"/>
      <c r="JU679" s="766"/>
      <c r="JV679" s="766"/>
      <c r="JW679" s="766"/>
      <c r="JX679" s="770"/>
      <c r="JY679" s="770"/>
      <c r="JZ679" s="770"/>
      <c r="KA679" s="770"/>
      <c r="KB679" s="770"/>
      <c r="KC679" s="770"/>
      <c r="KD679" s="770"/>
      <c r="KE679" s="770"/>
      <c r="KF679" s="770"/>
      <c r="KG679" s="770"/>
      <c r="KH679" s="770"/>
      <c r="KI679" s="770"/>
      <c r="KJ679" s="770"/>
      <c r="KK679" s="770"/>
      <c r="KL679" s="770"/>
      <c r="KM679" s="770"/>
      <c r="KN679" s="770"/>
      <c r="KO679" s="770"/>
      <c r="KP679" s="770"/>
      <c r="KQ679" s="770"/>
      <c r="KR679" s="770"/>
      <c r="KS679" s="770"/>
      <c r="KT679" s="770"/>
      <c r="KU679" s="770"/>
      <c r="KV679" s="770"/>
      <c r="KW679" s="770"/>
      <c r="KX679" s="770"/>
      <c r="KY679" s="770"/>
      <c r="KZ679" s="770"/>
      <c r="LA679" s="770"/>
      <c r="LB679" s="770"/>
      <c r="LC679" s="770"/>
      <c r="LD679" s="770"/>
      <c r="LE679" s="770"/>
      <c r="LF679" s="770"/>
      <c r="LG679" s="770"/>
      <c r="LH679" s="770"/>
      <c r="LI679" s="770"/>
      <c r="LJ679" s="770"/>
      <c r="LK679" s="770"/>
      <c r="LL679" s="770"/>
      <c r="LM679" s="770"/>
      <c r="LN679" s="766"/>
      <c r="LO679" s="766"/>
      <c r="LP679" s="770"/>
      <c r="LQ679" s="770"/>
      <c r="LR679" s="770"/>
      <c r="LS679" s="770"/>
      <c r="LT679" s="770"/>
      <c r="LU679" s="770"/>
      <c r="LV679" s="770"/>
      <c r="LW679" s="770"/>
      <c r="LX679" s="769"/>
      <c r="LY679" s="766" t="str">
        <f t="shared" si="187"/>
        <v/>
      </c>
      <c r="LZ679" s="1709"/>
      <c r="MA679" s="1709"/>
      <c r="MB679" s="1709"/>
      <c r="MC679" s="1679">
        <f t="shared" si="208"/>
        <v>0</v>
      </c>
      <c r="MD679" s="1709"/>
      <c r="ME679" s="1709"/>
      <c r="MF679" s="1709"/>
      <c r="MG679" s="1680">
        <f t="shared" si="199"/>
        <v>0</v>
      </c>
      <c r="MH679" s="770"/>
      <c r="MI679" s="302"/>
      <c r="MJ679" s="302"/>
      <c r="MK679" s="302"/>
      <c r="ML679" s="302"/>
      <c r="MM679" s="302"/>
      <c r="MN679" s="302"/>
      <c r="MO679" s="302"/>
      <c r="MP679" s="302"/>
      <c r="MQ679" s="302"/>
      <c r="MR679" s="302"/>
      <c r="MS679" s="302"/>
      <c r="MT679" s="302"/>
      <c r="MU679" s="302"/>
      <c r="MV679" s="302"/>
      <c r="MW679" s="302"/>
      <c r="MX679" s="302"/>
      <c r="MY679" s="1682">
        <f t="shared" si="200"/>
        <v>0</v>
      </c>
      <c r="MZ679" s="766"/>
      <c r="NA679" s="770"/>
      <c r="NB679" s="770"/>
      <c r="NC679" s="770"/>
      <c r="ND679" s="770"/>
      <c r="NE679" s="770"/>
      <c r="NF679" s="770"/>
      <c r="NG679" s="770"/>
      <c r="NH679" s="770"/>
      <c r="NI679" s="770"/>
      <c r="NJ679" s="770"/>
      <c r="NK679" s="770"/>
      <c r="NL679" s="770"/>
      <c r="NM679" s="770"/>
      <c r="NN679" s="770"/>
      <c r="NO679" s="770"/>
      <c r="NP679" s="770"/>
      <c r="NQ679" s="770"/>
      <c r="NR679" s="770"/>
      <c r="NS679" s="770"/>
      <c r="NT679" s="770"/>
      <c r="NU679" s="770"/>
      <c r="NV679" s="770"/>
      <c r="NW679" s="770"/>
      <c r="NX679" s="770"/>
      <c r="NY679" s="770"/>
      <c r="NZ679" s="770"/>
      <c r="OA679" s="770"/>
      <c r="OB679" s="770"/>
      <c r="OC679" s="770"/>
      <c r="OD679" s="770"/>
      <c r="OE679" s="770"/>
      <c r="OF679" s="770"/>
      <c r="OG679" s="770"/>
      <c r="OH679" s="770"/>
      <c r="OI679" s="770"/>
      <c r="OJ679" s="770"/>
      <c r="OK679" s="770"/>
      <c r="OL679" s="770"/>
      <c r="OM679" s="770"/>
      <c r="ON679" s="770"/>
      <c r="OO679" s="770"/>
      <c r="OP679" s="770"/>
      <c r="OQ679" s="770"/>
      <c r="OR679" s="770"/>
      <c r="OS679" s="770"/>
      <c r="OT679" s="770"/>
      <c r="OU679" s="770"/>
      <c r="OV679" s="770"/>
      <c r="OW679" s="770"/>
      <c r="OX679" s="770"/>
      <c r="OY679" s="770"/>
      <c r="OZ679" s="770"/>
      <c r="PA679" s="770"/>
      <c r="PB679" s="770"/>
      <c r="PC679" s="770"/>
      <c r="PD679" s="770"/>
      <c r="PE679" s="770"/>
      <c r="PF679" s="770"/>
      <c r="PG679" s="770"/>
      <c r="PH679" s="770"/>
      <c r="PI679" s="770"/>
      <c r="PJ679" s="770"/>
      <c r="PK679" s="770"/>
      <c r="PL679" s="770"/>
      <c r="PM679" s="770"/>
      <c r="PN679" s="770"/>
      <c r="PO679" s="770"/>
      <c r="PP679" s="770"/>
      <c r="PQ679" s="770"/>
      <c r="PR679" s="770"/>
      <c r="PS679" s="770"/>
      <c r="PT679" s="770"/>
      <c r="PU679" s="770"/>
      <c r="PV679" s="770"/>
      <c r="PW679" s="770"/>
      <c r="PX679" s="770"/>
      <c r="PY679" s="770"/>
      <c r="PZ679" s="770"/>
      <c r="QA679" s="770"/>
      <c r="QB679" s="770"/>
      <c r="QC679" s="770"/>
      <c r="QD679" s="770"/>
      <c r="QE679" s="770"/>
      <c r="QF679" s="770"/>
      <c r="QG679" s="770"/>
      <c r="QH679" s="770"/>
      <c r="QI679" s="770"/>
      <c r="QJ679" s="770"/>
      <c r="QK679" s="770"/>
      <c r="QL679" s="770"/>
      <c r="QM679" s="770"/>
      <c r="QN679" s="770"/>
      <c r="QO679" s="770"/>
      <c r="QP679" s="770"/>
      <c r="QQ679" s="770"/>
      <c r="QR679" s="770"/>
      <c r="QS679" s="770"/>
      <c r="QT679" s="770"/>
      <c r="QU679" s="770"/>
      <c r="QV679" s="770"/>
      <c r="QW679" s="770"/>
      <c r="QX679" s="770"/>
      <c r="QY679" s="770"/>
      <c r="QZ679" s="770"/>
      <c r="RA679" s="770"/>
      <c r="RB679" s="770"/>
      <c r="RC679" s="770"/>
      <c r="RD679" s="770"/>
      <c r="RE679" s="770"/>
      <c r="RF679" s="304"/>
      <c r="RG679" s="770"/>
      <c r="RH679" s="306"/>
      <c r="RI679" s="770"/>
      <c r="RJ679" s="94" t="s">
        <v>13892</v>
      </c>
      <c r="RK679" s="770" t="s">
        <v>13892</v>
      </c>
      <c r="RL679" s="1710" t="s">
        <v>1604</v>
      </c>
      <c r="RM679" s="12"/>
      <c r="RN679" s="1711"/>
      <c r="RO679" s="149" t="s">
        <v>4441</v>
      </c>
      <c r="RP679" s="11"/>
      <c r="RQ679" s="11"/>
      <c r="RR679" s="17"/>
      <c r="RS679" s="94"/>
      <c r="RT679" s="11"/>
      <c r="RU679" s="11"/>
      <c r="RV679" s="14" t="s">
        <v>7421</v>
      </c>
      <c r="RW679" s="11" t="s">
        <v>8005</v>
      </c>
      <c r="RX679" s="11" t="s">
        <v>4425</v>
      </c>
      <c r="RY679" s="11"/>
      <c r="RZ679" s="11" t="s">
        <v>1101</v>
      </c>
      <c r="SA679" s="14"/>
      <c r="SB679" s="11"/>
      <c r="SC679" s="11"/>
    </row>
    <row r="680" spans="1:497" ht="12.75" customHeight="1">
      <c r="A680" s="19" t="s">
        <v>7421</v>
      </c>
      <c r="B680" s="292" t="s">
        <v>7431</v>
      </c>
      <c r="C680" s="149" t="s">
        <v>4447</v>
      </c>
      <c r="D680" s="94" t="s">
        <v>4448</v>
      </c>
      <c r="E680" s="766" t="s">
        <v>4449</v>
      </c>
      <c r="F680" s="770" t="s">
        <v>28</v>
      </c>
      <c r="G680" s="770" t="s">
        <v>18</v>
      </c>
      <c r="H680" s="94" t="s">
        <v>5332</v>
      </c>
      <c r="I680" s="12" t="s">
        <v>5333</v>
      </c>
      <c r="J680" s="94" t="s">
        <v>4448</v>
      </c>
      <c r="K680" s="766" t="s">
        <v>4450</v>
      </c>
      <c r="L680" s="766" t="s">
        <v>4451</v>
      </c>
      <c r="M680" s="770" t="s">
        <v>1238</v>
      </c>
      <c r="N680" s="1757"/>
      <c r="O680" s="1757" t="s">
        <v>4444</v>
      </c>
      <c r="P680" s="770"/>
      <c r="Q680" s="1088"/>
      <c r="R680" s="297"/>
      <c r="S680" s="770"/>
      <c r="T680" s="770"/>
      <c r="U680" s="295"/>
      <c r="V680" s="770"/>
      <c r="W680" s="770"/>
      <c r="X680" s="770"/>
      <c r="Y680" s="770"/>
      <c r="Z680" s="770"/>
      <c r="AA680" s="770"/>
      <c r="AB680" s="770"/>
      <c r="AC680" s="770"/>
      <c r="AD680" s="770"/>
      <c r="AE680" s="770"/>
      <c r="AF680" s="770"/>
      <c r="AG680" s="766" t="s">
        <v>1132</v>
      </c>
      <c r="AH680" s="766" t="s">
        <v>1096</v>
      </c>
      <c r="AI680" s="75"/>
      <c r="AJ680" s="766" t="s">
        <v>1137</v>
      </c>
      <c r="AK680" s="766" t="s">
        <v>1101</v>
      </c>
      <c r="AL680" s="120">
        <v>16</v>
      </c>
      <c r="AM680" s="773">
        <v>4</v>
      </c>
      <c r="AN680" s="37">
        <f t="shared" si="207"/>
        <v>0.25</v>
      </c>
      <c r="AO680" s="766" t="s">
        <v>1149</v>
      </c>
      <c r="AP680" s="1775"/>
      <c r="AQ680" s="1775"/>
      <c r="AR680" s="1775"/>
      <c r="AS680" s="766"/>
      <c r="AT680" s="766"/>
      <c r="AU680" s="766"/>
      <c r="AV680" s="766"/>
      <c r="AW680" s="766"/>
      <c r="AX680" s="766"/>
      <c r="AY680" s="766"/>
      <c r="AZ680" s="766"/>
      <c r="BA680" s="766"/>
      <c r="BB680" s="766"/>
      <c r="BC680" s="766"/>
      <c r="BD680" s="766"/>
      <c r="BE680" s="766"/>
      <c r="BF680" s="775"/>
      <c r="BG680" s="775"/>
      <c r="BH680" s="770"/>
      <c r="BI680" s="770"/>
      <c r="BJ680" s="770"/>
      <c r="BK680" s="770"/>
      <c r="BL680" s="770"/>
      <c r="BM680" s="770"/>
      <c r="BN680" s="770"/>
      <c r="BO680" s="770"/>
      <c r="BP680" s="1109"/>
      <c r="BQ680" s="773"/>
      <c r="BR680" s="774"/>
      <c r="BS680" s="766"/>
      <c r="BT680" s="770"/>
      <c r="BU680" s="770"/>
      <c r="BV680" s="770"/>
      <c r="BW680" s="770"/>
      <c r="BX680" s="302"/>
      <c r="BY680" s="770"/>
      <c r="BZ680" s="302"/>
      <c r="CA680" s="770"/>
      <c r="CB680" s="770" t="s">
        <v>1207</v>
      </c>
      <c r="CC680" s="94" t="s">
        <v>4448</v>
      </c>
      <c r="CD680" s="770">
        <v>2009</v>
      </c>
      <c r="CE680" s="131"/>
      <c r="CF680" s="304">
        <v>1.2</v>
      </c>
      <c r="CG680" s="321">
        <v>12</v>
      </c>
      <c r="CH680" s="12" t="s">
        <v>1291</v>
      </c>
      <c r="CI680" s="770"/>
      <c r="CJ680" s="12"/>
      <c r="CK680" s="770">
        <v>7</v>
      </c>
      <c r="CL680" s="770"/>
      <c r="CM680" s="770" t="s">
        <v>3399</v>
      </c>
      <c r="CN680" s="770"/>
      <c r="CO680" s="770" t="s">
        <v>1149</v>
      </c>
      <c r="CP680" s="770"/>
      <c r="CQ680" s="770"/>
      <c r="CR680" s="302"/>
      <c r="CS680" s="770"/>
      <c r="CT680" s="770"/>
      <c r="CU680" s="305"/>
      <c r="CV680" s="770"/>
      <c r="CW680" s="770"/>
      <c r="CX680" s="770"/>
      <c r="CY680" s="770"/>
      <c r="CZ680" s="770"/>
      <c r="DA680" s="306"/>
      <c r="DB680" s="770"/>
      <c r="DC680" s="770"/>
      <c r="DD680" s="770"/>
      <c r="DE680" s="300"/>
      <c r="DF680" s="770"/>
      <c r="DG680" s="770"/>
      <c r="DH680" s="770"/>
      <c r="DI680" s="770"/>
      <c r="DJ680" s="770"/>
      <c r="DK680" s="770"/>
      <c r="DL680" s="770"/>
      <c r="DM680" s="770"/>
      <c r="DN680" s="322"/>
      <c r="DO680" s="770"/>
      <c r="DP680" s="770"/>
      <c r="DQ680" s="770"/>
      <c r="DR680" s="770"/>
      <c r="DS680" s="307"/>
      <c r="DT680" s="770"/>
      <c r="DU680" s="770"/>
      <c r="DV680" s="770"/>
      <c r="DW680" s="306"/>
      <c r="DX680" s="306"/>
      <c r="DY680" s="1055"/>
      <c r="DZ680" s="770"/>
      <c r="EA680" s="770"/>
      <c r="EB680" s="770"/>
      <c r="EC680" s="770"/>
      <c r="ED680" s="770"/>
      <c r="EE680" s="770"/>
      <c r="EF680" s="770"/>
      <c r="EG680" s="770"/>
      <c r="EH680" s="770"/>
      <c r="EI680" s="770"/>
      <c r="EJ680" s="770"/>
      <c r="EK680" s="770"/>
      <c r="EL680" s="770"/>
      <c r="EM680" s="770"/>
      <c r="EN680" s="770"/>
      <c r="EO680" s="770"/>
      <c r="EP680" s="94"/>
      <c r="EQ680" s="770"/>
      <c r="ER680" s="770"/>
      <c r="ES680" s="770"/>
      <c r="ET680" s="770"/>
      <c r="EU680" s="770"/>
      <c r="EV680" s="770"/>
      <c r="EW680" s="770"/>
      <c r="EX680" s="770"/>
      <c r="EY680" s="770"/>
      <c r="EZ680" s="770"/>
      <c r="FA680" s="770"/>
      <c r="FB680" s="1776"/>
      <c r="FC680" s="770"/>
      <c r="FD680" s="302"/>
      <c r="FE680" s="770"/>
      <c r="FF680" s="770"/>
      <c r="FG680" s="770"/>
      <c r="FH680" s="770"/>
      <c r="FI680" s="770"/>
      <c r="FJ680" s="770"/>
      <c r="FK680" s="770"/>
      <c r="FL680" s="770"/>
      <c r="FM680" s="302"/>
      <c r="FN680" s="302"/>
      <c r="FO680" s="302"/>
      <c r="FP680" s="770"/>
      <c r="FQ680" s="770"/>
      <c r="FR680" s="770"/>
      <c r="FS680" s="770"/>
      <c r="FT680" s="770"/>
      <c r="FU680" s="770"/>
      <c r="FV680" s="770"/>
      <c r="FW680" s="770"/>
      <c r="FX680" s="770"/>
      <c r="FY680" s="770"/>
      <c r="FZ680" s="770"/>
      <c r="GA680" s="770"/>
      <c r="GB680" s="770"/>
      <c r="GC680" s="308"/>
      <c r="GD680" s="297"/>
      <c r="GE680" s="770"/>
      <c r="GF680" s="302"/>
      <c r="GG680" s="302"/>
      <c r="GH680" s="770"/>
      <c r="GI680" s="770"/>
      <c r="GJ680" s="770"/>
      <c r="GK680" s="766"/>
      <c r="GL680" s="770"/>
      <c r="GM680" s="770"/>
      <c r="GN680" s="299"/>
      <c r="GO680" s="770"/>
      <c r="GP680" s="770"/>
      <c r="GQ680" s="770"/>
      <c r="GR680" s="770"/>
      <c r="GS680" s="770"/>
      <c r="GT680" s="770"/>
      <c r="GU680" s="770"/>
      <c r="GV680" s="770"/>
      <c r="GW680" s="770"/>
      <c r="GX680" s="770"/>
      <c r="GY680" s="770"/>
      <c r="GZ680" s="770"/>
      <c r="HA680" s="770"/>
      <c r="HB680" s="770"/>
      <c r="HC680" s="770"/>
      <c r="HD680" s="770"/>
      <c r="HE680" s="770"/>
      <c r="HF680" s="770"/>
      <c r="HG680" s="770"/>
      <c r="HH680" s="770"/>
      <c r="HI680" s="770"/>
      <c r="HJ680" s="770"/>
      <c r="HK680" s="770"/>
      <c r="HL680" s="770"/>
      <c r="HM680" s="770"/>
      <c r="HN680" s="770"/>
      <c r="HO680" s="770"/>
      <c r="HP680" s="770"/>
      <c r="HQ680" s="770"/>
      <c r="HR680" s="770"/>
      <c r="HS680" s="770"/>
      <c r="HT680" s="770"/>
      <c r="HU680" s="770"/>
      <c r="HV680" s="770"/>
      <c r="HW680" s="770"/>
      <c r="HX680" s="770"/>
      <c r="HY680" s="770"/>
      <c r="HZ680" s="770"/>
      <c r="IA680" s="770"/>
      <c r="IB680" s="770"/>
      <c r="IC680" s="770"/>
      <c r="ID680" s="770"/>
      <c r="IE680" s="770"/>
      <c r="IF680" s="770"/>
      <c r="IG680" s="770"/>
      <c r="IH680" s="770"/>
      <c r="II680" s="770"/>
      <c r="IJ680" s="770"/>
      <c r="IK680" s="770"/>
      <c r="IL680" s="770"/>
      <c r="IM680" s="770"/>
      <c r="IN680" s="770"/>
      <c r="IO680" s="296"/>
      <c r="IP680" s="770"/>
      <c r="IQ680" s="770"/>
      <c r="IR680" s="770"/>
      <c r="IS680" s="770"/>
      <c r="IT680" s="770"/>
      <c r="IU680" s="770"/>
      <c r="IV680" s="770"/>
      <c r="IW680" s="770"/>
      <c r="IX680" s="770"/>
      <c r="IY680" s="770"/>
      <c r="IZ680" s="770"/>
      <c r="JA680" s="770"/>
      <c r="JB680" s="770"/>
      <c r="JC680" s="770"/>
      <c r="JD680" s="302"/>
      <c r="JE680" s="770"/>
      <c r="JF680" s="770"/>
      <c r="JG680" s="770"/>
      <c r="JH680" s="307"/>
      <c r="JI680" s="307"/>
      <c r="JJ680" s="770"/>
      <c r="JK680" s="770"/>
      <c r="JL680" s="770"/>
      <c r="JM680" s="770"/>
      <c r="JN680" s="770"/>
      <c r="JO680" s="770"/>
      <c r="JP680" s="770"/>
      <c r="JQ680" s="770"/>
      <c r="JR680" s="770"/>
      <c r="JS680" s="770"/>
      <c r="JT680" s="766"/>
      <c r="JU680" s="766"/>
      <c r="JV680" s="766"/>
      <c r="JW680" s="766"/>
      <c r="JX680" s="770"/>
      <c r="JY680" s="770"/>
      <c r="JZ680" s="770"/>
      <c r="KA680" s="770"/>
      <c r="KB680" s="770"/>
      <c r="KC680" s="770"/>
      <c r="KD680" s="770"/>
      <c r="KE680" s="770"/>
      <c r="KF680" s="770"/>
      <c r="KG680" s="770"/>
      <c r="KH680" s="770"/>
      <c r="KI680" s="770"/>
      <c r="KJ680" s="770"/>
      <c r="KK680" s="770"/>
      <c r="KL680" s="770"/>
      <c r="KM680" s="770"/>
      <c r="KN680" s="770"/>
      <c r="KO680" s="770"/>
      <c r="KP680" s="770"/>
      <c r="KQ680" s="770"/>
      <c r="KR680" s="770"/>
      <c r="KS680" s="770"/>
      <c r="KT680" s="770"/>
      <c r="KU680" s="770"/>
      <c r="KV680" s="770"/>
      <c r="KW680" s="770"/>
      <c r="KX680" s="770"/>
      <c r="KY680" s="770"/>
      <c r="KZ680" s="770"/>
      <c r="LA680" s="770"/>
      <c r="LB680" s="770"/>
      <c r="LC680" s="770"/>
      <c r="LD680" s="770"/>
      <c r="LE680" s="770"/>
      <c r="LF680" s="770"/>
      <c r="LG680" s="770"/>
      <c r="LH680" s="770"/>
      <c r="LI680" s="770"/>
      <c r="LJ680" s="770"/>
      <c r="LK680" s="770"/>
      <c r="LL680" s="770"/>
      <c r="LM680" s="770"/>
      <c r="LN680" s="766"/>
      <c r="LO680" s="766"/>
      <c r="LP680" s="770"/>
      <c r="LQ680" s="770"/>
      <c r="LR680" s="770"/>
      <c r="LS680" s="770"/>
      <c r="LT680" s="770"/>
      <c r="LU680" s="770"/>
      <c r="LV680" s="770"/>
      <c r="LW680" s="770"/>
      <c r="LX680" s="769"/>
      <c r="LY680" s="766" t="str">
        <f t="shared" si="187"/>
        <v/>
      </c>
      <c r="LZ680" s="1709"/>
      <c r="MA680" s="1709"/>
      <c r="MB680" s="1709"/>
      <c r="MC680" s="1679">
        <f t="shared" si="208"/>
        <v>0</v>
      </c>
      <c r="MD680" s="1709"/>
      <c r="ME680" s="1709"/>
      <c r="MF680" s="1709"/>
      <c r="MG680" s="1680">
        <f t="shared" si="199"/>
        <v>0</v>
      </c>
      <c r="MH680" s="770"/>
      <c r="MI680" s="302"/>
      <c r="MJ680" s="302"/>
      <c r="MK680" s="302"/>
      <c r="ML680" s="302"/>
      <c r="MM680" s="302"/>
      <c r="MN680" s="302"/>
      <c r="MO680" s="302"/>
      <c r="MP680" s="302"/>
      <c r="MQ680" s="302"/>
      <c r="MR680" s="302"/>
      <c r="MS680" s="302"/>
      <c r="MT680" s="302"/>
      <c r="MU680" s="302"/>
      <c r="MV680" s="302"/>
      <c r="MW680" s="302"/>
      <c r="MX680" s="302"/>
      <c r="MY680" s="1682">
        <f t="shared" si="200"/>
        <v>0</v>
      </c>
      <c r="MZ680" s="766"/>
      <c r="NA680" s="770"/>
      <c r="NB680" s="770"/>
      <c r="NC680" s="770"/>
      <c r="ND680" s="770"/>
      <c r="NE680" s="770"/>
      <c r="NF680" s="770"/>
      <c r="NG680" s="770"/>
      <c r="NH680" s="770"/>
      <c r="NI680" s="770"/>
      <c r="NJ680" s="770"/>
      <c r="NK680" s="770"/>
      <c r="NL680" s="770"/>
      <c r="NM680" s="770"/>
      <c r="NN680" s="770"/>
      <c r="NO680" s="770"/>
      <c r="NP680" s="770"/>
      <c r="NQ680" s="770"/>
      <c r="NR680" s="770"/>
      <c r="NS680" s="770"/>
      <c r="NT680" s="770"/>
      <c r="NU680" s="770"/>
      <c r="NV680" s="770"/>
      <c r="NW680" s="770"/>
      <c r="NX680" s="770"/>
      <c r="NY680" s="770"/>
      <c r="NZ680" s="770"/>
      <c r="OA680" s="770"/>
      <c r="OB680" s="770"/>
      <c r="OC680" s="770"/>
      <c r="OD680" s="770"/>
      <c r="OE680" s="770"/>
      <c r="OF680" s="770"/>
      <c r="OG680" s="770"/>
      <c r="OH680" s="770"/>
      <c r="OI680" s="770"/>
      <c r="OJ680" s="770"/>
      <c r="OK680" s="770"/>
      <c r="OL680" s="770"/>
      <c r="OM680" s="770"/>
      <c r="ON680" s="770"/>
      <c r="OO680" s="770"/>
      <c r="OP680" s="770"/>
      <c r="OQ680" s="770"/>
      <c r="OR680" s="770"/>
      <c r="OS680" s="770"/>
      <c r="OT680" s="770"/>
      <c r="OU680" s="770"/>
      <c r="OV680" s="770"/>
      <c r="OW680" s="770"/>
      <c r="OX680" s="770"/>
      <c r="OY680" s="770"/>
      <c r="OZ680" s="770"/>
      <c r="PA680" s="770"/>
      <c r="PB680" s="770"/>
      <c r="PC680" s="770"/>
      <c r="PD680" s="770"/>
      <c r="PE680" s="770"/>
      <c r="PF680" s="770"/>
      <c r="PG680" s="770"/>
      <c r="PH680" s="770"/>
      <c r="PI680" s="770"/>
      <c r="PJ680" s="770"/>
      <c r="PK680" s="770"/>
      <c r="PL680" s="770"/>
      <c r="PM680" s="770"/>
      <c r="PN680" s="770"/>
      <c r="PO680" s="770"/>
      <c r="PP680" s="770"/>
      <c r="PQ680" s="770"/>
      <c r="PR680" s="770"/>
      <c r="PS680" s="770"/>
      <c r="PT680" s="770"/>
      <c r="PU680" s="770"/>
      <c r="PV680" s="770"/>
      <c r="PW680" s="770"/>
      <c r="PX680" s="770"/>
      <c r="PY680" s="770"/>
      <c r="PZ680" s="770"/>
      <c r="QA680" s="770"/>
      <c r="QB680" s="770"/>
      <c r="QC680" s="770"/>
      <c r="QD680" s="770"/>
      <c r="QE680" s="770"/>
      <c r="QF680" s="770"/>
      <c r="QG680" s="770"/>
      <c r="QH680" s="770"/>
      <c r="QI680" s="770"/>
      <c r="QJ680" s="770"/>
      <c r="QK680" s="770"/>
      <c r="QL680" s="770"/>
      <c r="QM680" s="770"/>
      <c r="QN680" s="770"/>
      <c r="QO680" s="770"/>
      <c r="QP680" s="770"/>
      <c r="QQ680" s="770"/>
      <c r="QR680" s="770"/>
      <c r="QS680" s="770"/>
      <c r="QT680" s="770"/>
      <c r="QU680" s="770"/>
      <c r="QV680" s="770"/>
      <c r="QW680" s="770"/>
      <c r="QX680" s="770"/>
      <c r="QY680" s="770"/>
      <c r="QZ680" s="770"/>
      <c r="RA680" s="770"/>
      <c r="RB680" s="770"/>
      <c r="RC680" s="770"/>
      <c r="RD680" s="770"/>
      <c r="RE680" s="770"/>
      <c r="RF680" s="304"/>
      <c r="RG680" s="770"/>
      <c r="RH680" s="306"/>
      <c r="RI680" s="770"/>
      <c r="RJ680" s="94" t="s">
        <v>13893</v>
      </c>
      <c r="RK680" s="770" t="s">
        <v>13544</v>
      </c>
      <c r="RL680" s="1710">
        <v>42843</v>
      </c>
      <c r="RM680" s="12"/>
      <c r="RN680" s="1711"/>
      <c r="RO680" s="149" t="s">
        <v>4447</v>
      </c>
      <c r="RP680" s="11"/>
      <c r="RQ680" s="11"/>
      <c r="RR680" s="17"/>
      <c r="RS680" s="767"/>
      <c r="RT680" s="11"/>
      <c r="RU680" s="11"/>
      <c r="RV680" s="771" t="s">
        <v>7421</v>
      </c>
      <c r="RW680" s="11" t="s">
        <v>8006</v>
      </c>
      <c r="RX680" s="11" t="s">
        <v>4432</v>
      </c>
      <c r="RY680" s="11"/>
      <c r="RZ680" s="11" t="s">
        <v>1101</v>
      </c>
      <c r="SA680" s="771"/>
      <c r="SB680" s="11"/>
      <c r="SC680" s="11"/>
    </row>
    <row r="681" spans="1:497" ht="12.75" customHeight="1">
      <c r="A681" s="19" t="s">
        <v>7421</v>
      </c>
      <c r="B681" s="292" t="s">
        <v>8007</v>
      </c>
      <c r="C681" s="149" t="s">
        <v>4452</v>
      </c>
      <c r="D681" s="94" t="s">
        <v>4453</v>
      </c>
      <c r="E681" s="766" t="s">
        <v>4454</v>
      </c>
      <c r="F681" s="770" t="s">
        <v>20</v>
      </c>
      <c r="G681" s="770" t="s">
        <v>18</v>
      </c>
      <c r="H681" s="770"/>
      <c r="I681" s="12" t="s">
        <v>4455</v>
      </c>
      <c r="J681" s="94" t="s">
        <v>4456</v>
      </c>
      <c r="K681" s="766" t="s">
        <v>4457</v>
      </c>
      <c r="L681" s="766" t="s">
        <v>3086</v>
      </c>
      <c r="M681" s="770" t="s">
        <v>1238</v>
      </c>
      <c r="N681" s="1757"/>
      <c r="O681" s="1757" t="s">
        <v>4458</v>
      </c>
      <c r="P681" s="94" t="s">
        <v>4459</v>
      </c>
      <c r="Q681" s="1088">
        <v>24774</v>
      </c>
      <c r="R681" s="297">
        <v>50</v>
      </c>
      <c r="S681" s="770" t="s">
        <v>10</v>
      </c>
      <c r="T681" s="770"/>
      <c r="U681" s="12" t="s">
        <v>4455</v>
      </c>
      <c r="V681" s="770" t="s">
        <v>707</v>
      </c>
      <c r="W681" s="770"/>
      <c r="X681" s="770"/>
      <c r="Y681" s="770" t="s">
        <v>4454</v>
      </c>
      <c r="Z681" s="770" t="s">
        <v>708</v>
      </c>
      <c r="AA681" s="770" t="s">
        <v>781</v>
      </c>
      <c r="AB681" s="770" t="s">
        <v>710</v>
      </c>
      <c r="AC681" s="770" t="s">
        <v>724</v>
      </c>
      <c r="AD681" s="770" t="s">
        <v>937</v>
      </c>
      <c r="AE681" s="770"/>
      <c r="AF681" s="770" t="s">
        <v>4460</v>
      </c>
      <c r="AG681" s="766" t="s">
        <v>1132</v>
      </c>
      <c r="AH681" s="766" t="s">
        <v>1096</v>
      </c>
      <c r="AI681" s="75"/>
      <c r="AJ681" s="766" t="s">
        <v>1137</v>
      </c>
      <c r="AK681" s="766" t="s">
        <v>1101</v>
      </c>
      <c r="AL681" s="120">
        <v>10</v>
      </c>
      <c r="AM681" s="773">
        <v>0.8</v>
      </c>
      <c r="AN681" s="37">
        <f t="shared" si="207"/>
        <v>0.08</v>
      </c>
      <c r="AO681" s="766" t="s">
        <v>1098</v>
      </c>
      <c r="AP681" s="1775"/>
      <c r="AQ681" s="1775"/>
      <c r="AR681" s="1775"/>
      <c r="AS681" s="766"/>
      <c r="AT681" s="766"/>
      <c r="AU681" s="766"/>
      <c r="AV681" s="766"/>
      <c r="AW681" s="766"/>
      <c r="AX681" s="766"/>
      <c r="AY681" s="766"/>
      <c r="AZ681" s="766"/>
      <c r="BA681" s="766"/>
      <c r="BB681" s="766"/>
      <c r="BC681" s="766"/>
      <c r="BD681" s="766"/>
      <c r="BE681" s="766"/>
      <c r="BF681" s="775"/>
      <c r="BG681" s="775"/>
      <c r="BH681" s="770"/>
      <c r="BI681" s="770"/>
      <c r="BJ681" s="770"/>
      <c r="BK681" s="770" t="s">
        <v>1095</v>
      </c>
      <c r="BL681" s="770" t="s">
        <v>4461</v>
      </c>
      <c r="BM681" s="766" t="s">
        <v>1096</v>
      </c>
      <c r="BN681" s="766" t="s">
        <v>1230</v>
      </c>
      <c r="BO681" s="766" t="s">
        <v>1246</v>
      </c>
      <c r="BP681" s="1109">
        <v>10</v>
      </c>
      <c r="BQ681" s="773">
        <v>0.8</v>
      </c>
      <c r="BR681" s="774">
        <f>BQ681/BP681</f>
        <v>0.08</v>
      </c>
      <c r="BS681" s="766" t="s">
        <v>1242</v>
      </c>
      <c r="BT681" s="766" t="s">
        <v>1326</v>
      </c>
      <c r="BU681" s="766" t="s">
        <v>1264</v>
      </c>
      <c r="BV681" s="770" t="s">
        <v>2432</v>
      </c>
      <c r="BW681" s="770" t="s">
        <v>2769</v>
      </c>
      <c r="BX681" s="302"/>
      <c r="BY681" s="770"/>
      <c r="BZ681" s="302"/>
      <c r="CA681" s="770"/>
      <c r="CB681" s="770"/>
      <c r="CC681" s="770"/>
      <c r="CD681" s="770"/>
      <c r="CE681" s="131"/>
      <c r="CF681" s="304"/>
      <c r="CG681" s="321"/>
      <c r="CH681" s="12"/>
      <c r="CI681" s="770"/>
      <c r="CJ681" s="12"/>
      <c r="CK681" s="770"/>
      <c r="CL681" s="770"/>
      <c r="CM681" s="770"/>
      <c r="CN681" s="770"/>
      <c r="CO681" s="770"/>
      <c r="CP681" s="770"/>
      <c r="CQ681" s="770"/>
      <c r="CR681" s="302"/>
      <c r="CS681" s="770"/>
      <c r="CT681" s="770"/>
      <c r="CU681" s="305"/>
      <c r="CV681" s="770"/>
      <c r="CW681" s="770"/>
      <c r="CX681" s="770"/>
      <c r="CY681" s="770"/>
      <c r="CZ681" s="770"/>
      <c r="DA681" s="306"/>
      <c r="DB681" s="770"/>
      <c r="DC681" s="770"/>
      <c r="DD681" s="770"/>
      <c r="DE681" s="300"/>
      <c r="DF681" s="770"/>
      <c r="DG681" s="770"/>
      <c r="DH681" s="770"/>
      <c r="DI681" s="770"/>
      <c r="DJ681" s="770"/>
      <c r="DK681" s="770"/>
      <c r="DL681" s="770"/>
      <c r="DM681" s="770"/>
      <c r="DN681" s="322"/>
      <c r="DO681" s="770"/>
      <c r="DP681" s="770"/>
      <c r="DQ681" s="770"/>
      <c r="DR681" s="770"/>
      <c r="DS681" s="307"/>
      <c r="DT681" s="770"/>
      <c r="DU681" s="770"/>
      <c r="DV681" s="770"/>
      <c r="DW681" s="306"/>
      <c r="DX681" s="306"/>
      <c r="DY681" s="1055"/>
      <c r="DZ681" s="770"/>
      <c r="EA681" s="770"/>
      <c r="EB681" s="770"/>
      <c r="EC681" s="770"/>
      <c r="ED681" s="770"/>
      <c r="EE681" s="770"/>
      <c r="EF681" s="770"/>
      <c r="EG681" s="770"/>
      <c r="EH681" s="770"/>
      <c r="EI681" s="770"/>
      <c r="EJ681" s="770"/>
      <c r="EK681" s="770"/>
      <c r="EL681" s="770"/>
      <c r="EM681" s="770"/>
      <c r="EN681" s="770"/>
      <c r="EO681" s="770"/>
      <c r="EP681" s="94"/>
      <c r="EQ681" s="770"/>
      <c r="ER681" s="770"/>
      <c r="ES681" s="770"/>
      <c r="ET681" s="770"/>
      <c r="EU681" s="770"/>
      <c r="EV681" s="770"/>
      <c r="EW681" s="770"/>
      <c r="EX681" s="770"/>
      <c r="EY681" s="770"/>
      <c r="EZ681" s="770"/>
      <c r="FA681" s="770"/>
      <c r="FB681" s="1776"/>
      <c r="FC681" s="770"/>
      <c r="FD681" s="302"/>
      <c r="FE681" s="770"/>
      <c r="FF681" s="770"/>
      <c r="FG681" s="770"/>
      <c r="FH681" s="770" t="s">
        <v>478</v>
      </c>
      <c r="FI681" s="770">
        <v>1</v>
      </c>
      <c r="FJ681" s="770"/>
      <c r="FK681" s="770"/>
      <c r="FL681" s="770"/>
      <c r="FM681" s="302"/>
      <c r="FN681" s="302"/>
      <c r="FO681" s="302"/>
      <c r="FP681" s="770" t="s">
        <v>1600</v>
      </c>
      <c r="FQ681" s="770" t="s">
        <v>3940</v>
      </c>
      <c r="FR681" s="770" t="s">
        <v>1214</v>
      </c>
      <c r="FS681" s="770"/>
      <c r="FT681" s="770"/>
      <c r="FU681" s="770"/>
      <c r="FV681" s="770"/>
      <c r="FW681" s="770"/>
      <c r="FX681" s="770"/>
      <c r="FY681" s="770"/>
      <c r="FZ681" s="770"/>
      <c r="GA681" s="770"/>
      <c r="GB681" s="770" t="s">
        <v>1734</v>
      </c>
      <c r="GC681" s="308"/>
      <c r="GD681" s="297"/>
      <c r="GE681" s="770" t="s">
        <v>1214</v>
      </c>
      <c r="GF681" s="302"/>
      <c r="GG681" s="302"/>
      <c r="GH681" s="766" t="s">
        <v>14260</v>
      </c>
      <c r="GI681" s="770"/>
      <c r="GJ681" s="770"/>
      <c r="GK681" s="766"/>
      <c r="GL681" s="770"/>
      <c r="GM681" s="770"/>
      <c r="GN681" s="299"/>
      <c r="GO681" s="770"/>
      <c r="GP681" s="770"/>
      <c r="GQ681" s="770"/>
      <c r="GR681" s="770"/>
      <c r="GS681" s="770"/>
      <c r="GT681" s="770"/>
      <c r="GU681" s="770"/>
      <c r="GV681" s="770"/>
      <c r="GW681" s="770"/>
      <c r="GX681" s="770"/>
      <c r="GY681" s="770"/>
      <c r="GZ681" s="770"/>
      <c r="HA681" s="770"/>
      <c r="HB681" s="770"/>
      <c r="HC681" s="770"/>
      <c r="HD681" s="770"/>
      <c r="HE681" s="770"/>
      <c r="HF681" s="770"/>
      <c r="HG681" s="770"/>
      <c r="HH681" s="770"/>
      <c r="HI681" s="770" t="s">
        <v>1207</v>
      </c>
      <c r="HJ681" s="770" t="s">
        <v>4462</v>
      </c>
      <c r="HK681" s="770"/>
      <c r="HL681" s="770" t="s">
        <v>1214</v>
      </c>
      <c r="HM681" s="770"/>
      <c r="HN681" s="770"/>
      <c r="HO681" s="770"/>
      <c r="HP681" s="770"/>
      <c r="HQ681" s="770"/>
      <c r="HR681" s="770"/>
      <c r="HS681" s="770"/>
      <c r="HT681" s="770"/>
      <c r="HU681" s="770"/>
      <c r="HV681" s="770"/>
      <c r="HW681" s="770"/>
      <c r="HX681" s="770"/>
      <c r="HY681" s="770"/>
      <c r="HZ681" s="770"/>
      <c r="IA681" s="770"/>
      <c r="IB681" s="14" t="e">
        <f>IF(#REF!&gt;0,IF(#REF!&lt;=10000,"Y",""),"")</f>
        <v>#REF!</v>
      </c>
      <c r="IC681" s="770"/>
      <c r="ID681" s="770"/>
      <c r="IE681" s="770"/>
      <c r="IF681" s="770"/>
      <c r="IG681" s="770"/>
      <c r="IH681" s="770"/>
      <c r="II681" s="770"/>
      <c r="IJ681" s="770"/>
      <c r="IK681" s="770"/>
      <c r="IL681" s="770"/>
      <c r="IM681" s="770"/>
      <c r="IN681" s="770"/>
      <c r="IO681" s="296"/>
      <c r="IP681" s="770"/>
      <c r="IQ681" s="770"/>
      <c r="IR681" s="770"/>
      <c r="IS681" s="770"/>
      <c r="IT681" s="770"/>
      <c r="IU681" s="770"/>
      <c r="IV681" s="770"/>
      <c r="IW681" s="770"/>
      <c r="IX681" s="770"/>
      <c r="IY681" s="770"/>
      <c r="IZ681" s="770"/>
      <c r="JA681" s="770"/>
      <c r="JB681" s="770"/>
      <c r="JC681" s="770"/>
      <c r="JD681" s="302"/>
      <c r="JE681" s="770"/>
      <c r="JF681" s="770"/>
      <c r="JG681" s="770"/>
      <c r="JH681" s="307"/>
      <c r="JI681" s="307"/>
      <c r="JJ681" s="770">
        <v>5</v>
      </c>
      <c r="JK681" s="1139" t="s">
        <v>4463</v>
      </c>
      <c r="JL681" s="770"/>
      <c r="JM681" s="770">
        <v>1</v>
      </c>
      <c r="JN681" s="770">
        <v>3</v>
      </c>
      <c r="JO681" s="770">
        <v>1</v>
      </c>
      <c r="JP681" s="770"/>
      <c r="JQ681" s="770"/>
      <c r="JR681" s="770"/>
      <c r="JS681" s="770"/>
      <c r="JT681" s="766">
        <f>SUM(JP681,JN681,JL681,JR681)</f>
        <v>3</v>
      </c>
      <c r="JU681" s="766">
        <f>SUM(JQ681,JO681,JM681,JS681)</f>
        <v>2</v>
      </c>
      <c r="JV681" s="712" t="str">
        <f>IF(JT681=KJ681,"ok","male")</f>
        <v>ok</v>
      </c>
      <c r="JW681" s="712" t="str">
        <f>IF(JU681=KK681,"ok","female")</f>
        <v>ok</v>
      </c>
      <c r="JX681" s="770"/>
      <c r="JY681" s="770">
        <v>1</v>
      </c>
      <c r="JZ681" s="770"/>
      <c r="KA681" s="770"/>
      <c r="KB681" s="770">
        <v>2</v>
      </c>
      <c r="KC681" s="770"/>
      <c r="KD681" s="770">
        <v>1</v>
      </c>
      <c r="KE681" s="770">
        <v>1</v>
      </c>
      <c r="KF681" s="770"/>
      <c r="KG681" s="770"/>
      <c r="KH681" s="770"/>
      <c r="KI681" s="770"/>
      <c r="KJ681" s="770">
        <f t="shared" si="204"/>
        <v>3</v>
      </c>
      <c r="KK681" s="770">
        <f t="shared" si="204"/>
        <v>2</v>
      </c>
      <c r="KL681" s="712" t="str">
        <f>IF(KJ681=LN681,"ok","male")</f>
        <v>ok</v>
      </c>
      <c r="KM681" s="712" t="str">
        <f>IF(KK681=LO681,"ok","female")</f>
        <v>ok</v>
      </c>
      <c r="KN681" s="770" t="s">
        <v>707</v>
      </c>
      <c r="KO681" s="770"/>
      <c r="KP681" s="770"/>
      <c r="KQ681" s="770"/>
      <c r="KR681" s="770"/>
      <c r="KS681" s="770">
        <v>1</v>
      </c>
      <c r="KT681" s="770">
        <v>1</v>
      </c>
      <c r="KU681" s="770"/>
      <c r="KV681" s="770"/>
      <c r="KW681" s="770"/>
      <c r="KX681" s="770"/>
      <c r="KY681" s="770"/>
      <c r="KZ681" s="770">
        <v>1</v>
      </c>
      <c r="LA681" s="770">
        <v>1</v>
      </c>
      <c r="LB681" s="770">
        <v>1</v>
      </c>
      <c r="LC681" s="770"/>
      <c r="LD681" s="770"/>
      <c r="LE681" s="770"/>
      <c r="LF681" s="770"/>
      <c r="LG681" s="770"/>
      <c r="LH681" s="770"/>
      <c r="LI681" s="770"/>
      <c r="LJ681" s="770"/>
      <c r="LK681" s="770"/>
      <c r="LL681" s="770"/>
      <c r="LM681" s="770"/>
      <c r="LN681" s="766">
        <f t="shared" ref="LN681:LO742" si="209">SUM(KP681,KR681,KT681,KV681,KX681,KZ681,LB681,LD681,LF681,LH681,LJ681,LL681)</f>
        <v>3</v>
      </c>
      <c r="LO681" s="766">
        <f t="shared" si="209"/>
        <v>2</v>
      </c>
      <c r="LP681" s="770">
        <v>1</v>
      </c>
      <c r="LQ681" s="770"/>
      <c r="LR681" s="770"/>
      <c r="LS681" s="770">
        <v>1</v>
      </c>
      <c r="LT681" s="712" t="str">
        <f>IF(LQ681=SUM(LU681:LW681),"OK","REV")</f>
        <v>OK</v>
      </c>
      <c r="LU681" s="770"/>
      <c r="LV681" s="770"/>
      <c r="LW681" s="770"/>
      <c r="LX681" s="769">
        <v>2</v>
      </c>
      <c r="LY681" s="766" t="str">
        <f t="shared" si="187"/>
        <v>within the MUNICIPALITY</v>
      </c>
      <c r="LZ681" s="1709"/>
      <c r="MA681" s="1709"/>
      <c r="MB681" s="1709"/>
      <c r="MC681" s="1679">
        <f t="shared" si="208"/>
        <v>0</v>
      </c>
      <c r="MD681" s="1709"/>
      <c r="ME681" s="1709"/>
      <c r="MF681" s="1709">
        <v>7000</v>
      </c>
      <c r="MG681" s="1680">
        <f>SUM(MD681:MF681)</f>
        <v>7000</v>
      </c>
      <c r="MH681" s="770" t="s">
        <v>13510</v>
      </c>
      <c r="MI681" s="302">
        <v>5000</v>
      </c>
      <c r="MJ681" s="302">
        <v>3000</v>
      </c>
      <c r="MK681" s="302">
        <v>200</v>
      </c>
      <c r="ML681" s="302">
        <v>100</v>
      </c>
      <c r="MM681" s="302">
        <v>6000</v>
      </c>
      <c r="MN681" s="302"/>
      <c r="MO681" s="302">
        <v>150</v>
      </c>
      <c r="MP681" s="302">
        <v>500</v>
      </c>
      <c r="MQ681" s="302">
        <v>100</v>
      </c>
      <c r="MR681" s="302">
        <v>500</v>
      </c>
      <c r="MS681" s="302"/>
      <c r="MT681" s="302"/>
      <c r="MU681" s="302"/>
      <c r="MV681" s="302"/>
      <c r="MW681" s="302"/>
      <c r="MX681" s="302"/>
      <c r="MY681" s="1682">
        <f t="shared" si="200"/>
        <v>15550</v>
      </c>
      <c r="MZ681" s="770" t="s">
        <v>13395</v>
      </c>
      <c r="NA681" s="770" t="s">
        <v>13230</v>
      </c>
      <c r="NB681" s="770" t="s">
        <v>13092</v>
      </c>
      <c r="NC681" s="770" t="s">
        <v>13602</v>
      </c>
      <c r="ND681" s="770">
        <v>1</v>
      </c>
      <c r="NE681" s="770">
        <v>0</v>
      </c>
      <c r="NF681" s="770">
        <v>0</v>
      </c>
      <c r="NG681" s="770">
        <v>1</v>
      </c>
      <c r="NH681" s="770">
        <v>1</v>
      </c>
      <c r="NI681" s="770">
        <v>0</v>
      </c>
      <c r="NJ681" s="770">
        <v>1</v>
      </c>
      <c r="NK681" s="770">
        <v>0</v>
      </c>
      <c r="NL681" s="770">
        <v>0</v>
      </c>
      <c r="NM681" s="770">
        <v>0</v>
      </c>
      <c r="NN681" s="770">
        <v>0</v>
      </c>
      <c r="NO681" s="770">
        <v>0</v>
      </c>
      <c r="NP681" s="770">
        <v>0</v>
      </c>
      <c r="NQ681" s="770">
        <v>0</v>
      </c>
      <c r="NR681" s="770">
        <v>0</v>
      </c>
      <c r="NS681" s="770">
        <v>0</v>
      </c>
      <c r="NT681" s="770">
        <v>0</v>
      </c>
      <c r="NU681" s="770">
        <v>0</v>
      </c>
      <c r="NV681" s="770">
        <v>0</v>
      </c>
      <c r="NW681" s="770">
        <v>0</v>
      </c>
      <c r="NX681" s="770">
        <v>0</v>
      </c>
      <c r="NY681" s="770" t="s">
        <v>1208</v>
      </c>
      <c r="NZ681" s="770" t="s">
        <v>1208</v>
      </c>
      <c r="OA681" s="770" t="s">
        <v>1208</v>
      </c>
      <c r="OB681" s="770" t="s">
        <v>1208</v>
      </c>
      <c r="OC681" s="770" t="s">
        <v>1208</v>
      </c>
      <c r="OD681" s="770"/>
      <c r="OE681" s="770"/>
      <c r="OF681" s="770" t="s">
        <v>2143</v>
      </c>
      <c r="OG681" s="770"/>
      <c r="OH681" s="770"/>
      <c r="OI681" s="770"/>
      <c r="OJ681" s="770"/>
      <c r="OK681" s="770" t="s">
        <v>1208</v>
      </c>
      <c r="OL681" s="770" t="s">
        <v>13894</v>
      </c>
      <c r="OM681" s="770" t="s">
        <v>13455</v>
      </c>
      <c r="ON681" s="770"/>
      <c r="OO681" s="770"/>
      <c r="OP681" s="770"/>
      <c r="OQ681" s="770"/>
      <c r="OR681" s="770"/>
      <c r="OS681" s="770"/>
      <c r="OT681" s="770"/>
      <c r="OU681" s="770"/>
      <c r="OV681" s="770"/>
      <c r="OW681" s="770"/>
      <c r="OX681" s="770"/>
      <c r="OY681" s="770"/>
      <c r="OZ681" s="770"/>
      <c r="PA681" s="770"/>
      <c r="PB681" s="770"/>
      <c r="PC681" s="770"/>
      <c r="PD681" s="770"/>
      <c r="PE681" s="770"/>
      <c r="PF681" s="770"/>
      <c r="PG681" s="770"/>
      <c r="PH681" s="770" t="s">
        <v>1208</v>
      </c>
      <c r="PI681" s="770"/>
      <c r="PJ681" s="770"/>
      <c r="PK681" s="770" t="s">
        <v>1208</v>
      </c>
      <c r="PL681" s="770"/>
      <c r="PM681" s="770"/>
      <c r="PN681" s="770"/>
      <c r="PO681" s="770"/>
      <c r="PP681" s="770"/>
      <c r="PQ681" s="770"/>
      <c r="PR681" s="770"/>
      <c r="PS681" s="770"/>
      <c r="PT681" s="770"/>
      <c r="PU681" s="770"/>
      <c r="PV681" s="770"/>
      <c r="PW681" s="770"/>
      <c r="PX681" s="770"/>
      <c r="PY681" s="770"/>
      <c r="PZ681" s="770"/>
      <c r="QA681" s="770"/>
      <c r="QB681" s="770"/>
      <c r="QC681" s="770"/>
      <c r="QD681" s="770"/>
      <c r="QE681" s="770"/>
      <c r="QF681" s="770"/>
      <c r="QG681" s="770"/>
      <c r="QH681" s="770"/>
      <c r="QI681" s="770"/>
      <c r="QJ681" s="770"/>
      <c r="QK681" s="770"/>
      <c r="QL681" s="770"/>
      <c r="QM681" s="770"/>
      <c r="QN681" s="770"/>
      <c r="QO681" s="770"/>
      <c r="QP681" s="770"/>
      <c r="QQ681" s="770"/>
      <c r="QR681" s="770"/>
      <c r="QS681" s="770"/>
      <c r="QT681" s="770"/>
      <c r="QU681" s="770"/>
      <c r="QV681" s="770"/>
      <c r="QW681" s="770"/>
      <c r="QX681" s="770"/>
      <c r="QY681" s="770"/>
      <c r="QZ681" s="770"/>
      <c r="RA681" s="770"/>
      <c r="RB681" s="770" t="s">
        <v>1207</v>
      </c>
      <c r="RC681" s="770">
        <v>2015</v>
      </c>
      <c r="RD681" s="770" t="s">
        <v>13046</v>
      </c>
      <c r="RE681" s="770"/>
      <c r="RF681" s="304">
        <v>1</v>
      </c>
      <c r="RG681" s="770" t="s">
        <v>13617</v>
      </c>
      <c r="RH681" s="306">
        <v>0</v>
      </c>
      <c r="RI681" s="770">
        <v>2</v>
      </c>
      <c r="RJ681" s="94" t="s">
        <v>4464</v>
      </c>
      <c r="RK681" s="770" t="s">
        <v>13552</v>
      </c>
      <c r="RL681" s="1710">
        <v>42843</v>
      </c>
      <c r="RM681" s="12"/>
      <c r="RN681" s="1711"/>
      <c r="RO681" s="149" t="s">
        <v>4452</v>
      </c>
      <c r="RP681" s="11"/>
      <c r="RQ681" s="11"/>
      <c r="RR681" s="19" t="s">
        <v>7421</v>
      </c>
      <c r="RS681" s="1139" t="s">
        <v>12980</v>
      </c>
      <c r="RT681" s="11"/>
      <c r="RU681" s="11"/>
      <c r="RV681" s="771" t="s">
        <v>7421</v>
      </c>
      <c r="RW681" s="11" t="s">
        <v>7430</v>
      </c>
      <c r="RX681" s="11" t="s">
        <v>4441</v>
      </c>
      <c r="RY681" s="11"/>
      <c r="RZ681" s="11" t="s">
        <v>1101</v>
      </c>
      <c r="SA681" s="771"/>
      <c r="SB681" s="11"/>
      <c r="SC681" s="11"/>
    </row>
    <row r="682" spans="1:497" ht="12.75" customHeight="1">
      <c r="A682" s="19" t="s">
        <v>7421</v>
      </c>
      <c r="B682" s="292" t="s">
        <v>8008</v>
      </c>
      <c r="C682" s="149" t="s">
        <v>4465</v>
      </c>
      <c r="D682" s="94" t="s">
        <v>4468</v>
      </c>
      <c r="E682" s="766" t="s">
        <v>4454</v>
      </c>
      <c r="F682" s="770" t="s">
        <v>20</v>
      </c>
      <c r="G682" s="770" t="s">
        <v>18</v>
      </c>
      <c r="H682" s="770"/>
      <c r="I682" s="12" t="s">
        <v>4469</v>
      </c>
      <c r="J682" s="94" t="s">
        <v>14125</v>
      </c>
      <c r="K682" s="766" t="s">
        <v>4470</v>
      </c>
      <c r="L682" s="766" t="s">
        <v>3086</v>
      </c>
      <c r="M682" s="770" t="s">
        <v>1238</v>
      </c>
      <c r="N682" s="1757"/>
      <c r="O682" s="1757" t="s">
        <v>4458</v>
      </c>
      <c r="P682" s="94" t="s">
        <v>4471</v>
      </c>
      <c r="Q682" s="1088">
        <v>23768</v>
      </c>
      <c r="R682" s="297">
        <v>52</v>
      </c>
      <c r="S682" s="770" t="s">
        <v>10</v>
      </c>
      <c r="T682" s="770"/>
      <c r="U682" s="12" t="s">
        <v>4469</v>
      </c>
      <c r="V682" s="770" t="s">
        <v>707</v>
      </c>
      <c r="W682" s="770"/>
      <c r="X682" s="770"/>
      <c r="Y682" s="770" t="s">
        <v>4454</v>
      </c>
      <c r="Z682" s="770" t="s">
        <v>708</v>
      </c>
      <c r="AA682" s="770" t="s">
        <v>2586</v>
      </c>
      <c r="AB682" s="766" t="s">
        <v>7274</v>
      </c>
      <c r="AC682" s="770" t="s">
        <v>724</v>
      </c>
      <c r="AD682" s="770" t="s">
        <v>711</v>
      </c>
      <c r="AE682" s="770"/>
      <c r="AF682" s="770" t="s">
        <v>712</v>
      </c>
      <c r="AG682" s="766" t="s">
        <v>1132</v>
      </c>
      <c r="AH682" s="766" t="s">
        <v>1096</v>
      </c>
      <c r="AI682" s="75"/>
      <c r="AJ682" s="766" t="s">
        <v>1137</v>
      </c>
      <c r="AK682" s="766" t="s">
        <v>1101</v>
      </c>
      <c r="AL682" s="120">
        <v>12</v>
      </c>
      <c r="AM682" s="773">
        <v>2</v>
      </c>
      <c r="AN682" s="37">
        <f t="shared" si="207"/>
        <v>0.16666666666666666</v>
      </c>
      <c r="AO682" s="766" t="s">
        <v>1109</v>
      </c>
      <c r="AP682" s="1775"/>
      <c r="AQ682" s="1775"/>
      <c r="AR682" s="1775"/>
      <c r="AS682" s="766"/>
      <c r="AT682" s="766"/>
      <c r="AU682" s="766"/>
      <c r="AV682" s="766"/>
      <c r="AW682" s="766"/>
      <c r="AX682" s="766"/>
      <c r="AY682" s="766"/>
      <c r="AZ682" s="766"/>
      <c r="BA682" s="766"/>
      <c r="BB682" s="766"/>
      <c r="BC682" s="766"/>
      <c r="BD682" s="766"/>
      <c r="BE682" s="766"/>
      <c r="BF682" s="775"/>
      <c r="BG682" s="775"/>
      <c r="BH682" s="770"/>
      <c r="BI682" s="770"/>
      <c r="BJ682" s="770"/>
      <c r="BK682" s="770" t="s">
        <v>1095</v>
      </c>
      <c r="BL682" s="770" t="s">
        <v>8129</v>
      </c>
      <c r="BM682" s="766" t="s">
        <v>1096</v>
      </c>
      <c r="BN682" s="766" t="s">
        <v>1230</v>
      </c>
      <c r="BO682" s="766" t="s">
        <v>1246</v>
      </c>
      <c r="BP682" s="1109">
        <v>12</v>
      </c>
      <c r="BQ682" s="773">
        <v>2</v>
      </c>
      <c r="BR682" s="774">
        <f>BQ682/BP682</f>
        <v>0.16666666666666666</v>
      </c>
      <c r="BS682" s="766" t="s">
        <v>1242</v>
      </c>
      <c r="BT682" s="766" t="s">
        <v>1326</v>
      </c>
      <c r="BU682" s="766" t="s">
        <v>1264</v>
      </c>
      <c r="BV682" s="770" t="s">
        <v>2432</v>
      </c>
      <c r="BW682" s="770">
        <v>2015</v>
      </c>
      <c r="BX682" s="302">
        <v>1000</v>
      </c>
      <c r="BY682" s="770" t="s">
        <v>1207</v>
      </c>
      <c r="BZ682" s="302" t="s">
        <v>2746</v>
      </c>
      <c r="CA682" s="770"/>
      <c r="CB682" s="770"/>
      <c r="CC682" s="770"/>
      <c r="CD682" s="770"/>
      <c r="CE682" s="131"/>
      <c r="CF682" s="304"/>
      <c r="CG682" s="321"/>
      <c r="CH682" s="12"/>
      <c r="CI682" s="770"/>
      <c r="CJ682" s="12"/>
      <c r="CK682" s="770"/>
      <c r="CL682" s="770"/>
      <c r="CM682" s="770"/>
      <c r="CN682" s="770"/>
      <c r="CO682" s="770"/>
      <c r="CP682" s="770"/>
      <c r="CQ682" s="770"/>
      <c r="CR682" s="302"/>
      <c r="CS682" s="770"/>
      <c r="CT682" s="770"/>
      <c r="CU682" s="305"/>
      <c r="CV682" s="770"/>
      <c r="CW682" s="770"/>
      <c r="CX682" s="770"/>
      <c r="CY682" s="770"/>
      <c r="CZ682" s="770"/>
      <c r="DA682" s="306"/>
      <c r="DB682" s="770"/>
      <c r="DC682" s="770"/>
      <c r="DD682" s="770"/>
      <c r="DE682" s="300"/>
      <c r="DF682" s="770"/>
      <c r="DG682" s="770"/>
      <c r="DH682" s="770"/>
      <c r="DI682" s="770"/>
      <c r="DJ682" s="770"/>
      <c r="DK682" s="770"/>
      <c r="DL682" s="770"/>
      <c r="DM682" s="770"/>
      <c r="DN682" s="322"/>
      <c r="DO682" s="770"/>
      <c r="DP682" s="770"/>
      <c r="DQ682" s="770"/>
      <c r="DR682" s="770"/>
      <c r="DS682" s="307"/>
      <c r="DT682" s="770"/>
      <c r="DU682" s="770"/>
      <c r="DV682" s="770"/>
      <c r="DW682" s="306"/>
      <c r="DX682" s="306"/>
      <c r="DY682" s="1055"/>
      <c r="DZ682" s="770"/>
      <c r="EA682" s="770"/>
      <c r="EB682" s="770"/>
      <c r="EC682" s="770"/>
      <c r="ED682" s="770"/>
      <c r="EE682" s="770"/>
      <c r="EF682" s="770"/>
      <c r="EG682" s="770"/>
      <c r="EH682" s="770"/>
      <c r="EI682" s="770"/>
      <c r="EJ682" s="770"/>
      <c r="EK682" s="770"/>
      <c r="EL682" s="770"/>
      <c r="EM682" s="770"/>
      <c r="EN682" s="770"/>
      <c r="EO682" s="770"/>
      <c r="EP682" s="94"/>
      <c r="EQ682" s="770"/>
      <c r="ER682" s="770"/>
      <c r="ES682" s="770"/>
      <c r="ET682" s="770"/>
      <c r="EU682" s="770"/>
      <c r="EV682" s="770"/>
      <c r="EW682" s="770"/>
      <c r="EX682" s="770"/>
      <c r="EY682" s="770"/>
      <c r="EZ682" s="770"/>
      <c r="FA682" s="770"/>
      <c r="FB682" s="1776"/>
      <c r="FC682" s="770"/>
      <c r="FD682" s="302"/>
      <c r="FE682" s="770"/>
      <c r="FF682" s="770"/>
      <c r="FG682" s="770"/>
      <c r="FH682" s="770" t="s">
        <v>478</v>
      </c>
      <c r="FI682" s="770">
        <v>1</v>
      </c>
      <c r="FJ682" s="770"/>
      <c r="FK682" s="770"/>
      <c r="FL682" s="770"/>
      <c r="FM682" s="302"/>
      <c r="FN682" s="302"/>
      <c r="FO682" s="302"/>
      <c r="FP682" s="770" t="s">
        <v>1600</v>
      </c>
      <c r="FQ682" s="770" t="s">
        <v>3940</v>
      </c>
      <c r="FR682" s="770" t="s">
        <v>1698</v>
      </c>
      <c r="FS682" s="770"/>
      <c r="FT682" s="770"/>
      <c r="FU682" s="770"/>
      <c r="FV682" s="770"/>
      <c r="FW682" s="770"/>
      <c r="FX682" s="770"/>
      <c r="FY682" s="770"/>
      <c r="FZ682" s="770"/>
      <c r="GA682" s="770"/>
      <c r="GB682" s="770" t="s">
        <v>1734</v>
      </c>
      <c r="GC682" s="308"/>
      <c r="GD682" s="297">
        <v>2015</v>
      </c>
      <c r="GE682" s="770" t="s">
        <v>1214</v>
      </c>
      <c r="GF682" s="302"/>
      <c r="GG682" s="302"/>
      <c r="GH682" s="770" t="s">
        <v>1791</v>
      </c>
      <c r="GI682" s="770" t="s">
        <v>1008</v>
      </c>
      <c r="GJ682" s="770"/>
      <c r="GK682" s="770" t="s">
        <v>2335</v>
      </c>
      <c r="GL682" s="770"/>
      <c r="GM682" s="770"/>
      <c r="GN682" s="299">
        <v>240</v>
      </c>
      <c r="GO682" s="770"/>
      <c r="GP682" s="770" t="s">
        <v>1208</v>
      </c>
      <c r="GQ682" s="770"/>
      <c r="GR682" s="770"/>
      <c r="GS682" s="770"/>
      <c r="GT682" s="770"/>
      <c r="GU682" s="770"/>
      <c r="GV682" s="770"/>
      <c r="GW682" s="770" t="s">
        <v>1207</v>
      </c>
      <c r="GX682" s="770"/>
      <c r="GY682" s="770"/>
      <c r="GZ682" s="770"/>
      <c r="HA682" s="770" t="s">
        <v>1208</v>
      </c>
      <c r="HB682" s="770" t="s">
        <v>1208</v>
      </c>
      <c r="HC682" s="770"/>
      <c r="HD682" s="770"/>
      <c r="HE682" s="770" t="s">
        <v>1208</v>
      </c>
      <c r="HF682" s="770"/>
      <c r="HG682" s="770"/>
      <c r="HH682" s="770"/>
      <c r="HI682" s="770" t="s">
        <v>1207</v>
      </c>
      <c r="HJ682" s="770" t="s">
        <v>4462</v>
      </c>
      <c r="HK682" s="770" t="s">
        <v>4454</v>
      </c>
      <c r="HL682" s="770" t="s">
        <v>1214</v>
      </c>
      <c r="HM682" s="770"/>
      <c r="HN682" s="770"/>
      <c r="HO682" s="770"/>
      <c r="HP682" s="770"/>
      <c r="HQ682" s="770"/>
      <c r="HR682" s="770"/>
      <c r="HS682" s="770"/>
      <c r="HT682" s="770"/>
      <c r="HU682" s="770"/>
      <c r="HV682" s="770"/>
      <c r="HW682" s="770"/>
      <c r="HX682" s="770"/>
      <c r="HY682" s="770"/>
      <c r="HZ682" s="770"/>
      <c r="IA682" s="770"/>
      <c r="IB682" s="14" t="e">
        <f>IF(#REF!&gt;0,IF(#REF!&lt;=10000,"Y",""),"")</f>
        <v>#REF!</v>
      </c>
      <c r="IC682" s="770"/>
      <c r="ID682" s="770"/>
      <c r="IE682" s="770"/>
      <c r="IF682" s="770"/>
      <c r="IG682" s="770"/>
      <c r="IH682" s="770"/>
      <c r="II682" s="770"/>
      <c r="IJ682" s="770"/>
      <c r="IK682" s="770"/>
      <c r="IL682" s="770"/>
      <c r="IM682" s="770"/>
      <c r="IN682" s="770"/>
      <c r="IO682" s="296"/>
      <c r="IP682" s="770"/>
      <c r="IQ682" s="770"/>
      <c r="IR682" s="770"/>
      <c r="IS682" s="770"/>
      <c r="IT682" s="770"/>
      <c r="IU682" s="770"/>
      <c r="IV682" s="770"/>
      <c r="IW682" s="770"/>
      <c r="IX682" s="770"/>
      <c r="IY682" s="770"/>
      <c r="IZ682" s="770"/>
      <c r="JA682" s="770"/>
      <c r="JB682" s="770"/>
      <c r="JC682" s="770"/>
      <c r="JD682" s="302"/>
      <c r="JE682" s="770"/>
      <c r="JF682" s="770"/>
      <c r="JG682" s="770"/>
      <c r="JH682" s="307"/>
      <c r="JI682" s="307"/>
      <c r="JJ682" s="770">
        <v>5</v>
      </c>
      <c r="JK682" s="1139" t="s">
        <v>4466</v>
      </c>
      <c r="JL682" s="770">
        <v>1</v>
      </c>
      <c r="JM682" s="770">
        <v>1</v>
      </c>
      <c r="JN682" s="770">
        <v>2</v>
      </c>
      <c r="JO682" s="770">
        <v>1</v>
      </c>
      <c r="JP682" s="770"/>
      <c r="JQ682" s="770"/>
      <c r="JR682" s="770"/>
      <c r="JS682" s="770"/>
      <c r="JT682" s="766">
        <f>SUM(JP682,JN682,JL682,JR682)</f>
        <v>3</v>
      </c>
      <c r="JU682" s="766">
        <f>SUM(JQ682,JO682,JM682,JS682)</f>
        <v>2</v>
      </c>
      <c r="JV682" s="712" t="str">
        <f>IF(JT682=KJ682,"ok","male")</f>
        <v>ok</v>
      </c>
      <c r="JW682" s="712" t="str">
        <f>IF(JU682=KK682,"ok","female")</f>
        <v>ok</v>
      </c>
      <c r="JX682" s="770"/>
      <c r="JY682" s="770"/>
      <c r="JZ682" s="770">
        <v>1</v>
      </c>
      <c r="KA682" s="770">
        <v>1</v>
      </c>
      <c r="KB682" s="770"/>
      <c r="KC682" s="770"/>
      <c r="KD682" s="770">
        <v>2</v>
      </c>
      <c r="KE682" s="770">
        <v>1</v>
      </c>
      <c r="KF682" s="770"/>
      <c r="KG682" s="770"/>
      <c r="KH682" s="770"/>
      <c r="KI682" s="770"/>
      <c r="KJ682" s="770">
        <f t="shared" si="204"/>
        <v>3</v>
      </c>
      <c r="KK682" s="770">
        <f t="shared" si="204"/>
        <v>2</v>
      </c>
      <c r="KL682" s="712" t="str">
        <f>IF(KJ682=LN682,"ok","male")</f>
        <v>ok</v>
      </c>
      <c r="KM682" s="712" t="str">
        <f>IF(KK682=LO682,"ok","female")</f>
        <v>ok</v>
      </c>
      <c r="KN682" s="770" t="s">
        <v>707</v>
      </c>
      <c r="KO682" s="770"/>
      <c r="KP682" s="770"/>
      <c r="KQ682" s="770"/>
      <c r="KR682" s="770">
        <v>1</v>
      </c>
      <c r="KS682" s="770"/>
      <c r="KT682" s="770">
        <v>1</v>
      </c>
      <c r="KU682" s="770">
        <v>1</v>
      </c>
      <c r="KV682" s="770"/>
      <c r="KW682" s="770"/>
      <c r="KX682" s="770">
        <v>1</v>
      </c>
      <c r="KY682" s="770">
        <v>1</v>
      </c>
      <c r="KZ682" s="770"/>
      <c r="LA682" s="770"/>
      <c r="LB682" s="770"/>
      <c r="LC682" s="770"/>
      <c r="LD682" s="770"/>
      <c r="LE682" s="770"/>
      <c r="LF682" s="770"/>
      <c r="LG682" s="770"/>
      <c r="LH682" s="770"/>
      <c r="LI682" s="770"/>
      <c r="LJ682" s="770"/>
      <c r="LK682" s="770"/>
      <c r="LL682" s="770"/>
      <c r="LM682" s="770"/>
      <c r="LN682" s="766">
        <f t="shared" si="209"/>
        <v>3</v>
      </c>
      <c r="LO682" s="766">
        <f t="shared" si="209"/>
        <v>2</v>
      </c>
      <c r="LP682" s="770">
        <v>2</v>
      </c>
      <c r="LQ682" s="770"/>
      <c r="LR682" s="770"/>
      <c r="LS682" s="770">
        <v>2</v>
      </c>
      <c r="LT682" s="712" t="str">
        <f>IF(LQ682=SUM(LU682:LW682),"OK","REV")</f>
        <v>OK</v>
      </c>
      <c r="LU682" s="770"/>
      <c r="LV682" s="770"/>
      <c r="LW682" s="770"/>
      <c r="LX682" s="769">
        <v>2</v>
      </c>
      <c r="LY682" s="766" t="str">
        <f t="shared" si="187"/>
        <v>within the MUNICIPALITY</v>
      </c>
      <c r="LZ682" s="1709"/>
      <c r="MA682" s="1709"/>
      <c r="MB682" s="1709">
        <v>240</v>
      </c>
      <c r="MC682" s="1679">
        <f t="shared" si="208"/>
        <v>240</v>
      </c>
      <c r="MD682" s="1709"/>
      <c r="ME682" s="1709"/>
      <c r="MF682" s="1709">
        <f>6000+6000</f>
        <v>12000</v>
      </c>
      <c r="MG682" s="1680">
        <f>SUM(MD682:MF682)</f>
        <v>12000</v>
      </c>
      <c r="MH682" s="770" t="s">
        <v>2968</v>
      </c>
      <c r="MI682" s="302"/>
      <c r="MJ682" s="302">
        <v>1000</v>
      </c>
      <c r="MK682" s="302">
        <v>240</v>
      </c>
      <c r="ML682" s="302">
        <v>50</v>
      </c>
      <c r="MM682" s="302">
        <v>40</v>
      </c>
      <c r="MN682" s="302">
        <v>2400</v>
      </c>
      <c r="MO682" s="302"/>
      <c r="MP682" s="302">
        <v>20</v>
      </c>
      <c r="MQ682" s="302">
        <v>400</v>
      </c>
      <c r="MR682" s="302"/>
      <c r="MS682" s="302">
        <v>4500</v>
      </c>
      <c r="MT682" s="302"/>
      <c r="MU682" s="302"/>
      <c r="MV682" s="302"/>
      <c r="MW682" s="302"/>
      <c r="MX682" s="302"/>
      <c r="MY682" s="1682">
        <f t="shared" si="200"/>
        <v>8650</v>
      </c>
      <c r="MZ682" s="770" t="s">
        <v>13395</v>
      </c>
      <c r="NA682" s="770" t="s">
        <v>13895</v>
      </c>
      <c r="NB682" s="770" t="s">
        <v>13033</v>
      </c>
      <c r="NC682" s="770" t="s">
        <v>1835</v>
      </c>
      <c r="ND682" s="770">
        <v>0</v>
      </c>
      <c r="NE682" s="770">
        <v>0</v>
      </c>
      <c r="NF682" s="770">
        <v>0</v>
      </c>
      <c r="NG682" s="770">
        <v>2</v>
      </c>
      <c r="NH682" s="770">
        <v>1</v>
      </c>
      <c r="NI682" s="770">
        <v>1</v>
      </c>
      <c r="NJ682" s="770">
        <v>0</v>
      </c>
      <c r="NK682" s="770">
        <v>0</v>
      </c>
      <c r="NL682" s="770">
        <v>0</v>
      </c>
      <c r="NM682" s="770">
        <v>1</v>
      </c>
      <c r="NN682" s="770">
        <v>0</v>
      </c>
      <c r="NO682" s="770">
        <v>0</v>
      </c>
      <c r="NP682" s="770">
        <v>0</v>
      </c>
      <c r="NQ682" s="770">
        <v>0</v>
      </c>
      <c r="NR682" s="770">
        <v>0</v>
      </c>
      <c r="NS682" s="770">
        <v>0</v>
      </c>
      <c r="NT682" s="770">
        <v>0</v>
      </c>
      <c r="NU682" s="770">
        <v>0</v>
      </c>
      <c r="NV682" s="770">
        <v>0</v>
      </c>
      <c r="NW682" s="770">
        <v>0</v>
      </c>
      <c r="NX682" s="770">
        <v>0</v>
      </c>
      <c r="NY682" s="770" t="s">
        <v>1208</v>
      </c>
      <c r="NZ682" s="770" t="s">
        <v>1208</v>
      </c>
      <c r="OA682" s="770"/>
      <c r="OB682" s="770"/>
      <c r="OC682" s="770" t="s">
        <v>1208</v>
      </c>
      <c r="OD682" s="770"/>
      <c r="OE682" s="770"/>
      <c r="OF682" s="770" t="s">
        <v>2143</v>
      </c>
      <c r="OG682" s="770"/>
      <c r="OH682" s="770"/>
      <c r="OI682" s="770"/>
      <c r="OJ682" s="770"/>
      <c r="OK682" s="770"/>
      <c r="OL682" s="770"/>
      <c r="OM682" s="770"/>
      <c r="ON682" s="770"/>
      <c r="OO682" s="770"/>
      <c r="OP682" s="770"/>
      <c r="OQ682" s="770"/>
      <c r="OR682" s="770"/>
      <c r="OS682" s="770"/>
      <c r="OT682" s="770"/>
      <c r="OU682" s="770"/>
      <c r="OV682" s="770"/>
      <c r="OW682" s="770"/>
      <c r="OX682" s="770"/>
      <c r="OY682" s="770"/>
      <c r="OZ682" s="770"/>
      <c r="PA682" s="770"/>
      <c r="PB682" s="770"/>
      <c r="PC682" s="770"/>
      <c r="PD682" s="770"/>
      <c r="PE682" s="770"/>
      <c r="PF682" s="770"/>
      <c r="PG682" s="770"/>
      <c r="PH682" s="770"/>
      <c r="PI682" s="770"/>
      <c r="PJ682" s="770"/>
      <c r="PK682" s="770"/>
      <c r="PL682" s="770"/>
      <c r="PM682" s="770" t="s">
        <v>1208</v>
      </c>
      <c r="PN682" s="770"/>
      <c r="PO682" s="770"/>
      <c r="PP682" s="770"/>
      <c r="PQ682" s="770"/>
      <c r="PR682" s="770"/>
      <c r="PS682" s="770"/>
      <c r="PT682" s="770"/>
      <c r="PU682" s="770"/>
      <c r="PV682" s="770"/>
      <c r="PW682" s="770"/>
      <c r="PX682" s="770"/>
      <c r="PY682" s="770"/>
      <c r="PZ682" s="770"/>
      <c r="QA682" s="770"/>
      <c r="QB682" s="770"/>
      <c r="QC682" s="770"/>
      <c r="QD682" s="770"/>
      <c r="QE682" s="770"/>
      <c r="QF682" s="770"/>
      <c r="QG682" s="770"/>
      <c r="QH682" s="770"/>
      <c r="QI682" s="770"/>
      <c r="QJ682" s="770"/>
      <c r="QK682" s="770"/>
      <c r="QL682" s="770"/>
      <c r="QM682" s="770"/>
      <c r="QN682" s="770"/>
      <c r="QO682" s="770"/>
      <c r="QP682" s="770"/>
      <c r="QQ682" s="770"/>
      <c r="QR682" s="770"/>
      <c r="QS682" s="770"/>
      <c r="QT682" s="770"/>
      <c r="QU682" s="770"/>
      <c r="QV682" s="770"/>
      <c r="QW682" s="770"/>
      <c r="QX682" s="770"/>
      <c r="QY682" s="770"/>
      <c r="QZ682" s="770"/>
      <c r="RA682" s="770"/>
      <c r="RB682" s="770" t="s">
        <v>1214</v>
      </c>
      <c r="RC682" s="770"/>
      <c r="RD682" s="770"/>
      <c r="RE682" s="770"/>
      <c r="RF682" s="304"/>
      <c r="RG682" s="770"/>
      <c r="RH682" s="306"/>
      <c r="RI682" s="770"/>
      <c r="RJ682" s="94" t="s">
        <v>4467</v>
      </c>
      <c r="RK682" s="770" t="s">
        <v>13550</v>
      </c>
      <c r="RL682" s="1710">
        <v>42843</v>
      </c>
      <c r="RM682" s="12"/>
      <c r="RN682" s="1711"/>
      <c r="RO682" s="149" t="s">
        <v>4465</v>
      </c>
      <c r="RP682" s="11"/>
      <c r="RQ682" s="11"/>
      <c r="RR682" s="19" t="s">
        <v>7421</v>
      </c>
      <c r="RS682" s="1139" t="s">
        <v>12980</v>
      </c>
      <c r="RT682" s="11"/>
      <c r="RU682" s="11"/>
      <c r="RV682" s="771" t="s">
        <v>7421</v>
      </c>
      <c r="RW682" s="11" t="s">
        <v>7431</v>
      </c>
      <c r="RX682" s="11" t="s">
        <v>4447</v>
      </c>
      <c r="RY682" s="11"/>
      <c r="RZ682" s="11" t="s">
        <v>1101</v>
      </c>
      <c r="SA682" s="771"/>
      <c r="SB682" s="11"/>
      <c r="SC682" s="11"/>
    </row>
    <row r="683" spans="1:497" ht="12.75" customHeight="1">
      <c r="A683" s="19" t="s">
        <v>7421</v>
      </c>
      <c r="B683" s="292" t="s">
        <v>8009</v>
      </c>
      <c r="C683" s="149" t="s">
        <v>4472</v>
      </c>
      <c r="D683" s="94" t="s">
        <v>4473</v>
      </c>
      <c r="E683" s="766" t="s">
        <v>4474</v>
      </c>
      <c r="F683" s="770" t="s">
        <v>20</v>
      </c>
      <c r="G683" s="770" t="s">
        <v>18</v>
      </c>
      <c r="H683" s="770"/>
      <c r="I683" s="12"/>
      <c r="J683" s="94" t="s">
        <v>4475</v>
      </c>
      <c r="K683" s="766" t="s">
        <v>4470</v>
      </c>
      <c r="L683" s="766" t="s">
        <v>3086</v>
      </c>
      <c r="M683" s="770" t="s">
        <v>1238</v>
      </c>
      <c r="N683" s="1757"/>
      <c r="O683" s="1757" t="s">
        <v>4458</v>
      </c>
      <c r="P683" s="770"/>
      <c r="Q683" s="1088"/>
      <c r="R683" s="297"/>
      <c r="S683" s="770"/>
      <c r="T683" s="770"/>
      <c r="U683" s="12"/>
      <c r="V683" s="770"/>
      <c r="W683" s="770"/>
      <c r="X683" s="770"/>
      <c r="Y683" s="770"/>
      <c r="Z683" s="770"/>
      <c r="AA683" s="770"/>
      <c r="AB683" s="12"/>
      <c r="AC683" s="770"/>
      <c r="AD683" s="770"/>
      <c r="AE683" s="770"/>
      <c r="AF683" s="770"/>
      <c r="AG683" s="766" t="s">
        <v>1132</v>
      </c>
      <c r="AH683" s="766" t="s">
        <v>1096</v>
      </c>
      <c r="AI683" s="75"/>
      <c r="AJ683" s="766" t="s">
        <v>1137</v>
      </c>
      <c r="AK683" s="766" t="s">
        <v>1101</v>
      </c>
      <c r="AL683" s="120">
        <v>16</v>
      </c>
      <c r="AM683" s="773">
        <v>8</v>
      </c>
      <c r="AN683" s="37">
        <f t="shared" si="207"/>
        <v>0.5</v>
      </c>
      <c r="AO683" s="766" t="s">
        <v>1149</v>
      </c>
      <c r="AP683" s="1775"/>
      <c r="AQ683" s="1775"/>
      <c r="AR683" s="1775"/>
      <c r="AS683" s="766"/>
      <c r="AT683" s="766"/>
      <c r="AU683" s="766"/>
      <c r="AV683" s="766"/>
      <c r="AW683" s="766"/>
      <c r="AX683" s="766"/>
      <c r="AY683" s="766"/>
      <c r="AZ683" s="766"/>
      <c r="BA683" s="766"/>
      <c r="BB683" s="766"/>
      <c r="BC683" s="766"/>
      <c r="BD683" s="766"/>
      <c r="BE683" s="766"/>
      <c r="BF683" s="775"/>
      <c r="BG683" s="775"/>
      <c r="BH683" s="770"/>
      <c r="BI683" s="770"/>
      <c r="BJ683" s="770"/>
      <c r="BK683" s="770"/>
      <c r="BL683" s="770"/>
      <c r="BM683" s="770"/>
      <c r="BN683" s="770"/>
      <c r="BO683" s="770"/>
      <c r="BP683" s="1109"/>
      <c r="BQ683" s="773"/>
      <c r="BR683" s="774"/>
      <c r="BS683" s="766"/>
      <c r="BT683" s="770"/>
      <c r="BU683" s="770"/>
      <c r="BV683" s="770"/>
      <c r="BW683" s="770"/>
      <c r="BX683" s="302"/>
      <c r="BY683" s="770"/>
      <c r="BZ683" s="302"/>
      <c r="CA683" s="770"/>
      <c r="CB683" s="770" t="s">
        <v>1207</v>
      </c>
      <c r="CC683" s="770" t="s">
        <v>4476</v>
      </c>
      <c r="CD683" s="770">
        <v>2017</v>
      </c>
      <c r="CE683" s="131"/>
      <c r="CF683" s="304">
        <v>2</v>
      </c>
      <c r="CG683" s="321">
        <v>5</v>
      </c>
      <c r="CH683" s="12" t="s">
        <v>1465</v>
      </c>
      <c r="CI683" s="770"/>
      <c r="CJ683" s="12"/>
      <c r="CK683" s="770">
        <v>3</v>
      </c>
      <c r="CL683" s="770"/>
      <c r="CM683" s="770" t="s">
        <v>3399</v>
      </c>
      <c r="CN683" s="770"/>
      <c r="CO683" s="770" t="s">
        <v>1149</v>
      </c>
      <c r="CP683" s="770"/>
      <c r="CQ683" s="770"/>
      <c r="CR683" s="302"/>
      <c r="CS683" s="770"/>
      <c r="CT683" s="770"/>
      <c r="CU683" s="305"/>
      <c r="CV683" s="770"/>
      <c r="CW683" s="770"/>
      <c r="CX683" s="770"/>
      <c r="CY683" s="770"/>
      <c r="CZ683" s="770"/>
      <c r="DA683" s="306"/>
      <c r="DB683" s="770"/>
      <c r="DC683" s="770"/>
      <c r="DD683" s="770"/>
      <c r="DE683" s="300"/>
      <c r="DF683" s="770"/>
      <c r="DG683" s="770"/>
      <c r="DH683" s="770"/>
      <c r="DI683" s="770"/>
      <c r="DJ683" s="770"/>
      <c r="DK683" s="770"/>
      <c r="DL683" s="770"/>
      <c r="DM683" s="770"/>
      <c r="DN683" s="322"/>
      <c r="DO683" s="770"/>
      <c r="DP683" s="770"/>
      <c r="DQ683" s="770"/>
      <c r="DR683" s="770"/>
      <c r="DS683" s="307"/>
      <c r="DT683" s="770"/>
      <c r="DU683" s="770"/>
      <c r="DV683" s="770"/>
      <c r="DW683" s="306"/>
      <c r="DX683" s="306"/>
      <c r="DY683" s="1055"/>
      <c r="DZ683" s="770"/>
      <c r="EA683" s="770"/>
      <c r="EB683" s="770"/>
      <c r="EC683" s="770"/>
      <c r="ED683" s="770"/>
      <c r="EE683" s="770"/>
      <c r="EF683" s="770"/>
      <c r="EG683" s="770"/>
      <c r="EH683" s="770"/>
      <c r="EI683" s="770"/>
      <c r="EJ683" s="770"/>
      <c r="EK683" s="770"/>
      <c r="EL683" s="770"/>
      <c r="EM683" s="770"/>
      <c r="EN683" s="770"/>
      <c r="EO683" s="770"/>
      <c r="EP683" s="94"/>
      <c r="EQ683" s="770"/>
      <c r="ER683" s="770"/>
      <c r="ES683" s="770"/>
      <c r="ET683" s="770"/>
      <c r="EU683" s="770"/>
      <c r="EV683" s="770"/>
      <c r="EW683" s="770"/>
      <c r="EX683" s="770"/>
      <c r="EY683" s="770"/>
      <c r="EZ683" s="770"/>
      <c r="FA683" s="770"/>
      <c r="FB683" s="1776"/>
      <c r="FC683" s="770"/>
      <c r="FD683" s="302"/>
      <c r="FE683" s="770"/>
      <c r="FF683" s="770"/>
      <c r="FG683" s="770"/>
      <c r="FH683" s="770"/>
      <c r="FI683" s="770"/>
      <c r="FJ683" s="770"/>
      <c r="FK683" s="770"/>
      <c r="FL683" s="770"/>
      <c r="FM683" s="302"/>
      <c r="FN683" s="302"/>
      <c r="FO683" s="302"/>
      <c r="FP683" s="770"/>
      <c r="FQ683" s="770"/>
      <c r="FR683" s="770"/>
      <c r="FS683" s="770"/>
      <c r="FT683" s="770"/>
      <c r="FU683" s="770"/>
      <c r="FV683" s="770"/>
      <c r="FW683" s="770"/>
      <c r="FX683" s="770"/>
      <c r="FY683" s="770"/>
      <c r="FZ683" s="770"/>
      <c r="GA683" s="770"/>
      <c r="GB683" s="770"/>
      <c r="GC683" s="308"/>
      <c r="GD683" s="297"/>
      <c r="GE683" s="770"/>
      <c r="GF683" s="302"/>
      <c r="GG683" s="302"/>
      <c r="GH683" s="770"/>
      <c r="GI683" s="770"/>
      <c r="GJ683" s="770"/>
      <c r="GK683" s="770"/>
      <c r="GL683" s="770"/>
      <c r="GM683" s="770"/>
      <c r="GN683" s="299"/>
      <c r="GO683" s="770"/>
      <c r="GP683" s="770"/>
      <c r="GQ683" s="770"/>
      <c r="GR683" s="770"/>
      <c r="GS683" s="770"/>
      <c r="GT683" s="770"/>
      <c r="GU683" s="770"/>
      <c r="GV683" s="770"/>
      <c r="GW683" s="770"/>
      <c r="GX683" s="770"/>
      <c r="GY683" s="770"/>
      <c r="GZ683" s="770"/>
      <c r="HA683" s="770"/>
      <c r="HB683" s="770"/>
      <c r="HC683" s="770"/>
      <c r="HD683" s="770"/>
      <c r="HE683" s="770"/>
      <c r="HF683" s="770"/>
      <c r="HG683" s="770"/>
      <c r="HH683" s="770"/>
      <c r="HI683" s="770"/>
      <c r="HJ683" s="770"/>
      <c r="HK683" s="770"/>
      <c r="HL683" s="770"/>
      <c r="HM683" s="770"/>
      <c r="HN683" s="770"/>
      <c r="HO683" s="770"/>
      <c r="HP683" s="770"/>
      <c r="HQ683" s="770"/>
      <c r="HR683" s="770">
        <v>1</v>
      </c>
      <c r="HS683" s="770"/>
      <c r="HT683" s="770"/>
      <c r="HU683" s="770"/>
      <c r="HV683" s="770"/>
      <c r="HW683" s="770"/>
      <c r="HX683" s="770"/>
      <c r="HY683" s="770"/>
      <c r="HZ683" s="770"/>
      <c r="IA683" s="770"/>
      <c r="IB683" s="770"/>
      <c r="IC683" s="770"/>
      <c r="ID683" s="770"/>
      <c r="IE683" s="770"/>
      <c r="IF683" s="770"/>
      <c r="IG683" s="770"/>
      <c r="IH683" s="770"/>
      <c r="II683" s="770"/>
      <c r="IJ683" s="770"/>
      <c r="IK683" s="770"/>
      <c r="IL683" s="770"/>
      <c r="IM683" s="770"/>
      <c r="IN683" s="770"/>
      <c r="IO683" s="296"/>
      <c r="IP683" s="770"/>
      <c r="IQ683" s="770"/>
      <c r="IR683" s="770"/>
      <c r="IS683" s="770"/>
      <c r="IT683" s="770"/>
      <c r="IU683" s="770"/>
      <c r="IV683" s="770"/>
      <c r="IW683" s="770"/>
      <c r="IX683" s="770"/>
      <c r="IY683" s="770"/>
      <c r="IZ683" s="770"/>
      <c r="JA683" s="770"/>
      <c r="JB683" s="770"/>
      <c r="JC683" s="770"/>
      <c r="JD683" s="302"/>
      <c r="JE683" s="770"/>
      <c r="JF683" s="770"/>
      <c r="JG683" s="770"/>
      <c r="JH683" s="307"/>
      <c r="JI683" s="307"/>
      <c r="JJ683" s="770"/>
      <c r="JK683" s="770"/>
      <c r="JL683" s="770"/>
      <c r="JM683" s="770"/>
      <c r="JN683" s="770"/>
      <c r="JO683" s="770"/>
      <c r="JP683" s="770"/>
      <c r="JQ683" s="770"/>
      <c r="JR683" s="770"/>
      <c r="JS683" s="770"/>
      <c r="JT683" s="766"/>
      <c r="JU683" s="766"/>
      <c r="JV683" s="766"/>
      <c r="JW683" s="766"/>
      <c r="JX683" s="770"/>
      <c r="JY683" s="770"/>
      <c r="JZ683" s="770"/>
      <c r="KA683" s="770"/>
      <c r="KB683" s="770"/>
      <c r="KC683" s="770"/>
      <c r="KD683" s="770"/>
      <c r="KE683" s="770"/>
      <c r="KF683" s="770"/>
      <c r="KG683" s="770"/>
      <c r="KH683" s="770"/>
      <c r="KI683" s="770"/>
      <c r="KJ683" s="770"/>
      <c r="KK683" s="770"/>
      <c r="KL683" s="770"/>
      <c r="KM683" s="770"/>
      <c r="KN683" s="770"/>
      <c r="KO683" s="770"/>
      <c r="KP683" s="770"/>
      <c r="KQ683" s="770"/>
      <c r="KR683" s="770"/>
      <c r="KS683" s="770"/>
      <c r="KT683" s="770"/>
      <c r="KU683" s="770"/>
      <c r="KV683" s="770"/>
      <c r="KW683" s="770"/>
      <c r="KX683" s="770"/>
      <c r="KY683" s="770"/>
      <c r="KZ683" s="770"/>
      <c r="LA683" s="770"/>
      <c r="LB683" s="770"/>
      <c r="LC683" s="770"/>
      <c r="LD683" s="770"/>
      <c r="LE683" s="770"/>
      <c r="LF683" s="770"/>
      <c r="LG683" s="770"/>
      <c r="LH683" s="770"/>
      <c r="LI683" s="770"/>
      <c r="LJ683" s="770"/>
      <c r="LK683" s="770"/>
      <c r="LL683" s="770"/>
      <c r="LM683" s="770"/>
      <c r="LN683" s="766"/>
      <c r="LO683" s="766"/>
      <c r="LP683" s="770"/>
      <c r="LQ683" s="770"/>
      <c r="LR683" s="770"/>
      <c r="LS683" s="770"/>
      <c r="LT683" s="770"/>
      <c r="LU683" s="770"/>
      <c r="LV683" s="770"/>
      <c r="LW683" s="770"/>
      <c r="LX683" s="769"/>
      <c r="LY683" s="766" t="str">
        <f t="shared" ref="LY683:LY746" si="210">IF(ISBLANK(LX683)=TRUE,"",LOOKUP(LX683,RT:RU))</f>
        <v/>
      </c>
      <c r="LZ683" s="1709"/>
      <c r="MA683" s="1709"/>
      <c r="MB683" s="1709"/>
      <c r="MC683" s="1679">
        <f t="shared" si="208"/>
        <v>0</v>
      </c>
      <c r="MD683" s="1709"/>
      <c r="ME683" s="1709"/>
      <c r="MF683" s="1709"/>
      <c r="MG683" s="1680">
        <f t="shared" si="199"/>
        <v>0</v>
      </c>
      <c r="MH683" s="770"/>
      <c r="MI683" s="302"/>
      <c r="MJ683" s="302"/>
      <c r="MK683" s="302"/>
      <c r="ML683" s="302"/>
      <c r="MM683" s="302"/>
      <c r="MN683" s="302"/>
      <c r="MO683" s="302"/>
      <c r="MP683" s="302"/>
      <c r="MQ683" s="302"/>
      <c r="MR683" s="302"/>
      <c r="MS683" s="302"/>
      <c r="MT683" s="302"/>
      <c r="MU683" s="302"/>
      <c r="MV683" s="302"/>
      <c r="MW683" s="302"/>
      <c r="MX683" s="302"/>
      <c r="MY683" s="1682">
        <f t="shared" si="200"/>
        <v>0</v>
      </c>
      <c r="MZ683" s="770"/>
      <c r="NA683" s="770"/>
      <c r="NB683" s="770"/>
      <c r="NC683" s="770"/>
      <c r="ND683" s="770"/>
      <c r="NE683" s="770"/>
      <c r="NF683" s="770"/>
      <c r="NG683" s="770"/>
      <c r="NH683" s="770"/>
      <c r="NI683" s="770"/>
      <c r="NJ683" s="770"/>
      <c r="NK683" s="770"/>
      <c r="NL683" s="770"/>
      <c r="NM683" s="770"/>
      <c r="NN683" s="770"/>
      <c r="NO683" s="770"/>
      <c r="NP683" s="770"/>
      <c r="NQ683" s="770"/>
      <c r="NR683" s="770"/>
      <c r="NS683" s="770"/>
      <c r="NT683" s="770"/>
      <c r="NU683" s="770"/>
      <c r="NV683" s="770"/>
      <c r="NW683" s="770"/>
      <c r="NX683" s="770"/>
      <c r="NY683" s="770"/>
      <c r="NZ683" s="770"/>
      <c r="OA683" s="770"/>
      <c r="OB683" s="770"/>
      <c r="OC683" s="770"/>
      <c r="OD683" s="770"/>
      <c r="OE683" s="770"/>
      <c r="OF683" s="770"/>
      <c r="OG683" s="770"/>
      <c r="OH683" s="770"/>
      <c r="OI683" s="770"/>
      <c r="OJ683" s="770"/>
      <c r="OK683" s="770"/>
      <c r="OL683" s="770"/>
      <c r="OM683" s="770"/>
      <c r="ON683" s="770"/>
      <c r="OO683" s="770"/>
      <c r="OP683" s="770"/>
      <c r="OQ683" s="770"/>
      <c r="OR683" s="770"/>
      <c r="OS683" s="770"/>
      <c r="OT683" s="770"/>
      <c r="OU683" s="770"/>
      <c r="OV683" s="770"/>
      <c r="OW683" s="770"/>
      <c r="OX683" s="770"/>
      <c r="OY683" s="770"/>
      <c r="OZ683" s="770"/>
      <c r="PA683" s="770"/>
      <c r="PB683" s="770"/>
      <c r="PC683" s="770"/>
      <c r="PD683" s="770"/>
      <c r="PE683" s="770"/>
      <c r="PF683" s="770"/>
      <c r="PG683" s="770"/>
      <c r="PH683" s="770"/>
      <c r="PI683" s="770"/>
      <c r="PJ683" s="770"/>
      <c r="PK683" s="770"/>
      <c r="PL683" s="770"/>
      <c r="PM683" s="770"/>
      <c r="PN683" s="770"/>
      <c r="PO683" s="770"/>
      <c r="PP683" s="770"/>
      <c r="PQ683" s="770"/>
      <c r="PR683" s="770"/>
      <c r="PS683" s="770"/>
      <c r="PT683" s="770"/>
      <c r="PU683" s="770"/>
      <c r="PV683" s="770"/>
      <c r="PW683" s="770"/>
      <c r="PX683" s="770"/>
      <c r="PY683" s="770"/>
      <c r="PZ683" s="770"/>
      <c r="QA683" s="770"/>
      <c r="QB683" s="770"/>
      <c r="QC683" s="770"/>
      <c r="QD683" s="770"/>
      <c r="QE683" s="770"/>
      <c r="QF683" s="770"/>
      <c r="QG683" s="770"/>
      <c r="QH683" s="770"/>
      <c r="QI683" s="770"/>
      <c r="QJ683" s="770"/>
      <c r="QK683" s="770"/>
      <c r="QL683" s="770"/>
      <c r="QM683" s="770"/>
      <c r="QN683" s="770"/>
      <c r="QO683" s="770"/>
      <c r="QP683" s="770"/>
      <c r="QQ683" s="770"/>
      <c r="QR683" s="770"/>
      <c r="QS683" s="770"/>
      <c r="QT683" s="770"/>
      <c r="QU683" s="770"/>
      <c r="QV683" s="770"/>
      <c r="QW683" s="770"/>
      <c r="QX683" s="770"/>
      <c r="QY683" s="770"/>
      <c r="QZ683" s="770"/>
      <c r="RA683" s="770"/>
      <c r="RB683" s="770"/>
      <c r="RC683" s="770"/>
      <c r="RD683" s="770"/>
      <c r="RE683" s="770"/>
      <c r="RF683" s="304"/>
      <c r="RG683" s="770"/>
      <c r="RH683" s="306"/>
      <c r="RI683" s="770"/>
      <c r="RJ683" s="94" t="s">
        <v>13896</v>
      </c>
      <c r="RK683" s="770" t="s">
        <v>13552</v>
      </c>
      <c r="RL683" s="1710">
        <v>42843</v>
      </c>
      <c r="RM683" s="12"/>
      <c r="RN683" s="1711"/>
      <c r="RO683" s="149" t="s">
        <v>4472</v>
      </c>
      <c r="RP683" s="11"/>
      <c r="RQ683" s="11"/>
      <c r="RR683" s="17"/>
      <c r="RS683" s="767"/>
      <c r="RT683" s="11"/>
      <c r="RU683" s="11"/>
      <c r="RV683" s="771" t="s">
        <v>7421</v>
      </c>
      <c r="RW683" s="11" t="s">
        <v>8007</v>
      </c>
      <c r="RX683" s="11" t="s">
        <v>4452</v>
      </c>
      <c r="RY683" s="11"/>
      <c r="RZ683" s="11" t="s">
        <v>1101</v>
      </c>
      <c r="SA683" s="771"/>
      <c r="SB683" s="11"/>
      <c r="SC683" s="11"/>
    </row>
    <row r="684" spans="1:497" ht="12.75" hidden="1" customHeight="1">
      <c r="A684" s="19" t="s">
        <v>7419</v>
      </c>
      <c r="B684" s="744" t="s">
        <v>8010</v>
      </c>
      <c r="C684" s="149" t="s">
        <v>4477</v>
      </c>
      <c r="D684" s="94" t="s">
        <v>11007</v>
      </c>
      <c r="E684" s="766" t="s">
        <v>5792</v>
      </c>
      <c r="F684" s="770"/>
      <c r="G684" s="770"/>
      <c r="H684" s="770"/>
      <c r="I684" s="12"/>
      <c r="J684" s="94"/>
      <c r="K684" s="766" t="s">
        <v>4478</v>
      </c>
      <c r="L684" s="766" t="s">
        <v>4479</v>
      </c>
      <c r="M684" s="770" t="s">
        <v>1238</v>
      </c>
      <c r="N684" s="1757"/>
      <c r="O684" s="1757" t="s">
        <v>4505</v>
      </c>
      <c r="P684" s="770"/>
      <c r="Q684" s="1088"/>
      <c r="R684" s="297"/>
      <c r="S684" s="770"/>
      <c r="T684" s="770"/>
      <c r="U684" s="12"/>
      <c r="V684" s="770"/>
      <c r="W684" s="770"/>
      <c r="X684" s="770"/>
      <c r="Y684" s="770"/>
      <c r="Z684" s="770"/>
      <c r="AA684" s="770"/>
      <c r="AB684" s="12"/>
      <c r="AC684" s="770"/>
      <c r="AD684" s="770"/>
      <c r="AE684" s="770"/>
      <c r="AF684" s="770"/>
      <c r="AG684" s="766" t="s">
        <v>1132</v>
      </c>
      <c r="AH684" s="770" t="s">
        <v>1119</v>
      </c>
      <c r="AI684" s="75"/>
      <c r="AJ684" s="766" t="s">
        <v>1137</v>
      </c>
      <c r="AK684" s="766" t="s">
        <v>1097</v>
      </c>
      <c r="AL684" s="120">
        <v>22</v>
      </c>
      <c r="AM684" s="773">
        <v>17.16</v>
      </c>
      <c r="AN684" s="37">
        <f t="shared" si="207"/>
        <v>0.78</v>
      </c>
      <c r="AO684" s="766" t="s">
        <v>1105</v>
      </c>
      <c r="AP684" s="1775" t="s">
        <v>1137</v>
      </c>
      <c r="AQ684" s="1775"/>
      <c r="AR684" s="1775"/>
      <c r="AS684" s="766"/>
      <c r="AT684" s="766"/>
      <c r="AU684" s="766"/>
      <c r="AV684" s="766"/>
      <c r="AW684" s="766"/>
      <c r="AX684" s="766"/>
      <c r="AY684" s="766"/>
      <c r="AZ684" s="766"/>
      <c r="BA684" s="766"/>
      <c r="BB684" s="766"/>
      <c r="BC684" s="766"/>
      <c r="BD684" s="766"/>
      <c r="BE684" s="766"/>
      <c r="BF684" s="775"/>
      <c r="BG684" s="775"/>
      <c r="BH684" s="770"/>
      <c r="BI684" s="770"/>
      <c r="BJ684" s="770"/>
      <c r="BK684" s="770" t="s">
        <v>1099</v>
      </c>
      <c r="BL684" s="770" t="s">
        <v>1137</v>
      </c>
      <c r="BM684" s="770" t="s">
        <v>1119</v>
      </c>
      <c r="BN684" s="770" t="s">
        <v>1230</v>
      </c>
      <c r="BO684" s="766" t="s">
        <v>1246</v>
      </c>
      <c r="BP684" s="765">
        <v>22</v>
      </c>
      <c r="BQ684" s="773">
        <v>17.16</v>
      </c>
      <c r="BR684" s="774">
        <f>BQ684/BP684</f>
        <v>0.78</v>
      </c>
      <c r="BS684" s="766" t="s">
        <v>1105</v>
      </c>
      <c r="BT684" s="766" t="s">
        <v>2040</v>
      </c>
      <c r="BU684" s="769"/>
      <c r="BV684" s="769"/>
      <c r="BW684" s="769"/>
      <c r="BX684" s="302"/>
      <c r="BY684" s="770"/>
      <c r="BZ684" s="302"/>
      <c r="CA684" s="770"/>
      <c r="CB684" s="770"/>
      <c r="CC684" s="770"/>
      <c r="CD684" s="770"/>
      <c r="CE684" s="131"/>
      <c r="CF684" s="304"/>
      <c r="CG684" s="321"/>
      <c r="CH684" s="12"/>
      <c r="CI684" s="770"/>
      <c r="CJ684" s="12"/>
      <c r="CK684" s="770"/>
      <c r="CL684" s="770"/>
      <c r="CM684" s="770"/>
      <c r="CN684" s="770"/>
      <c r="CO684" s="770"/>
      <c r="CP684" s="770"/>
      <c r="CQ684" s="770"/>
      <c r="CR684" s="302"/>
      <c r="CS684" s="770"/>
      <c r="CT684" s="770"/>
      <c r="CU684" s="305"/>
      <c r="CV684" s="770"/>
      <c r="CW684" s="770"/>
      <c r="CX684" s="770"/>
      <c r="CY684" s="770"/>
      <c r="CZ684" s="770"/>
      <c r="DA684" s="306"/>
      <c r="DB684" s="770"/>
      <c r="DC684" s="770"/>
      <c r="DD684" s="770"/>
      <c r="DE684" s="300"/>
      <c r="DF684" s="770"/>
      <c r="DG684" s="770"/>
      <c r="DH684" s="770"/>
      <c r="DI684" s="770"/>
      <c r="DJ684" s="770"/>
      <c r="DK684" s="770"/>
      <c r="DL684" s="770"/>
      <c r="DM684" s="770"/>
      <c r="DN684" s="322"/>
      <c r="DO684" s="770"/>
      <c r="DP684" s="770"/>
      <c r="DQ684" s="770"/>
      <c r="DR684" s="770"/>
      <c r="DS684" s="307"/>
      <c r="DT684" s="770"/>
      <c r="DU684" s="770"/>
      <c r="DV684" s="770"/>
      <c r="DW684" s="306"/>
      <c r="DX684" s="306"/>
      <c r="DY684" s="1055"/>
      <c r="DZ684" s="770"/>
      <c r="EA684" s="770"/>
      <c r="EB684" s="770"/>
      <c r="EC684" s="770"/>
      <c r="ED684" s="770"/>
      <c r="EE684" s="770"/>
      <c r="EF684" s="770"/>
      <c r="EG684" s="770"/>
      <c r="EH684" s="770"/>
      <c r="EI684" s="770"/>
      <c r="EJ684" s="770"/>
      <c r="EK684" s="770"/>
      <c r="EL684" s="770"/>
      <c r="EM684" s="770"/>
      <c r="EN684" s="770"/>
      <c r="EO684" s="770"/>
      <c r="EP684" s="94"/>
      <c r="EQ684" s="770"/>
      <c r="ER684" s="770"/>
      <c r="ES684" s="770"/>
      <c r="ET684" s="770"/>
      <c r="EU684" s="770"/>
      <c r="EV684" s="770"/>
      <c r="EW684" s="770"/>
      <c r="EX684" s="770"/>
      <c r="EY684" s="770"/>
      <c r="EZ684" s="770"/>
      <c r="FA684" s="770"/>
      <c r="FB684" s="1776"/>
      <c r="FC684" s="770"/>
      <c r="FD684" s="302"/>
      <c r="FE684" s="770"/>
      <c r="FF684" s="770"/>
      <c r="FG684" s="770"/>
      <c r="FH684" s="770"/>
      <c r="FI684" s="770"/>
      <c r="FJ684" s="770"/>
      <c r="FK684" s="770"/>
      <c r="FL684" s="770"/>
      <c r="FM684" s="302"/>
      <c r="FN684" s="302"/>
      <c r="FO684" s="302"/>
      <c r="FP684" s="770"/>
      <c r="FQ684" s="770"/>
      <c r="FR684" s="770"/>
      <c r="FS684" s="770"/>
      <c r="FT684" s="770"/>
      <c r="FU684" s="770"/>
      <c r="FV684" s="770"/>
      <c r="FW684" s="770"/>
      <c r="FX684" s="770"/>
      <c r="FY684" s="770"/>
      <c r="FZ684" s="770"/>
      <c r="GA684" s="770"/>
      <c r="GB684" s="770"/>
      <c r="GC684" s="308"/>
      <c r="GD684" s="297"/>
      <c r="GE684" s="770"/>
      <c r="GF684" s="302"/>
      <c r="GG684" s="302"/>
      <c r="GH684" s="766"/>
      <c r="GI684" s="770"/>
      <c r="GJ684" s="770"/>
      <c r="GK684" s="770"/>
      <c r="GL684" s="770"/>
      <c r="GM684" s="770"/>
      <c r="GN684" s="299"/>
      <c r="GO684" s="770"/>
      <c r="GP684" s="770"/>
      <c r="GQ684" s="770"/>
      <c r="GR684" s="770"/>
      <c r="GS684" s="770"/>
      <c r="GT684" s="770"/>
      <c r="GU684" s="770"/>
      <c r="GV684" s="770"/>
      <c r="GW684" s="770"/>
      <c r="GX684" s="770"/>
      <c r="GY684" s="770"/>
      <c r="GZ684" s="770"/>
      <c r="HA684" s="770"/>
      <c r="HB684" s="770"/>
      <c r="HC684" s="770"/>
      <c r="HD684" s="770"/>
      <c r="HE684" s="770"/>
      <c r="HF684" s="770"/>
      <c r="HG684" s="770"/>
      <c r="HH684" s="770"/>
      <c r="HI684" s="770"/>
      <c r="HJ684" s="770"/>
      <c r="HK684" s="770"/>
      <c r="HL684" s="770"/>
      <c r="HM684" s="770"/>
      <c r="HN684" s="770"/>
      <c r="HO684" s="770"/>
      <c r="HP684" s="770"/>
      <c r="HQ684" s="770"/>
      <c r="HR684" s="770"/>
      <c r="HS684" s="770"/>
      <c r="HT684" s="770"/>
      <c r="HU684" s="770"/>
      <c r="HV684" s="770"/>
      <c r="HW684" s="770"/>
      <c r="HX684" s="770"/>
      <c r="HY684" s="770"/>
      <c r="HZ684" s="770"/>
      <c r="IA684" s="770"/>
      <c r="IB684" s="770"/>
      <c r="IC684" s="770"/>
      <c r="ID684" s="770"/>
      <c r="IE684" s="770"/>
      <c r="IF684" s="770"/>
      <c r="IG684" s="770"/>
      <c r="IH684" s="770"/>
      <c r="II684" s="770"/>
      <c r="IJ684" s="770"/>
      <c r="IK684" s="770"/>
      <c r="IL684" s="770"/>
      <c r="IM684" s="770"/>
      <c r="IN684" s="770"/>
      <c r="IO684" s="296"/>
      <c r="IP684" s="770"/>
      <c r="IQ684" s="770"/>
      <c r="IR684" s="770"/>
      <c r="IS684" s="770"/>
      <c r="IT684" s="770"/>
      <c r="IU684" s="770"/>
      <c r="IV684" s="770"/>
      <c r="IW684" s="770"/>
      <c r="IX684" s="770"/>
      <c r="IY684" s="770"/>
      <c r="IZ684" s="770"/>
      <c r="JA684" s="770"/>
      <c r="JB684" s="770"/>
      <c r="JC684" s="770"/>
      <c r="JD684" s="302"/>
      <c r="JE684" s="770"/>
      <c r="JF684" s="770"/>
      <c r="JG684" s="770"/>
      <c r="JH684" s="307"/>
      <c r="JI684" s="307"/>
      <c r="JJ684" s="770"/>
      <c r="JK684" s="770"/>
      <c r="JL684" s="770"/>
      <c r="JM684" s="770"/>
      <c r="JN684" s="770"/>
      <c r="JO684" s="770"/>
      <c r="JP684" s="770"/>
      <c r="JQ684" s="770"/>
      <c r="JR684" s="770"/>
      <c r="JS684" s="770"/>
      <c r="JT684" s="766"/>
      <c r="JU684" s="766"/>
      <c r="JV684" s="766"/>
      <c r="JW684" s="766"/>
      <c r="JX684" s="770"/>
      <c r="JY684" s="770"/>
      <c r="JZ684" s="770"/>
      <c r="KA684" s="770"/>
      <c r="KB684" s="770"/>
      <c r="KC684" s="770"/>
      <c r="KD684" s="770"/>
      <c r="KE684" s="770"/>
      <c r="KF684" s="770"/>
      <c r="KG684" s="770"/>
      <c r="KH684" s="770"/>
      <c r="KI684" s="770"/>
      <c r="KJ684" s="770"/>
      <c r="KK684" s="770"/>
      <c r="KL684" s="770"/>
      <c r="KM684" s="770"/>
      <c r="KN684" s="770"/>
      <c r="KO684" s="770"/>
      <c r="KP684" s="770"/>
      <c r="KQ684" s="770"/>
      <c r="KR684" s="770"/>
      <c r="KS684" s="770"/>
      <c r="KT684" s="770"/>
      <c r="KU684" s="770"/>
      <c r="KV684" s="770"/>
      <c r="KW684" s="770"/>
      <c r="KX684" s="770"/>
      <c r="KY684" s="770"/>
      <c r="KZ684" s="770"/>
      <c r="LA684" s="770"/>
      <c r="LB684" s="770"/>
      <c r="LC684" s="770"/>
      <c r="LD684" s="770"/>
      <c r="LE684" s="770"/>
      <c r="LF684" s="770"/>
      <c r="LG684" s="770"/>
      <c r="LH684" s="770"/>
      <c r="LI684" s="770"/>
      <c r="LJ684" s="770"/>
      <c r="LK684" s="770"/>
      <c r="LL684" s="770"/>
      <c r="LM684" s="770"/>
      <c r="LN684" s="766"/>
      <c r="LO684" s="766"/>
      <c r="LP684" s="770"/>
      <c r="LQ684" s="770"/>
      <c r="LR684" s="770"/>
      <c r="LS684" s="770"/>
      <c r="LT684" s="770"/>
      <c r="LU684" s="770"/>
      <c r="LV684" s="770"/>
      <c r="LW684" s="770"/>
      <c r="LX684" s="769"/>
      <c r="LY684" s="766" t="str">
        <f t="shared" si="210"/>
        <v/>
      </c>
      <c r="LZ684" s="1709"/>
      <c r="MA684" s="1709"/>
      <c r="MB684" s="1709"/>
      <c r="MC684" s="1679">
        <f t="shared" si="208"/>
        <v>0</v>
      </c>
      <c r="MD684" s="1709"/>
      <c r="ME684" s="1709"/>
      <c r="MF684" s="1709"/>
      <c r="MG684" s="1680">
        <f t="shared" si="199"/>
        <v>0</v>
      </c>
      <c r="MH684" s="770"/>
      <c r="MI684" s="302"/>
      <c r="MJ684" s="302"/>
      <c r="MK684" s="302"/>
      <c r="ML684" s="302"/>
      <c r="MM684" s="302"/>
      <c r="MN684" s="302"/>
      <c r="MO684" s="302"/>
      <c r="MP684" s="302"/>
      <c r="MQ684" s="302"/>
      <c r="MR684" s="302"/>
      <c r="MS684" s="302"/>
      <c r="MT684" s="302"/>
      <c r="MU684" s="302"/>
      <c r="MV684" s="302"/>
      <c r="MW684" s="302"/>
      <c r="MX684" s="302"/>
      <c r="MY684" s="1682">
        <f t="shared" si="200"/>
        <v>0</v>
      </c>
      <c r="MZ684" s="770"/>
      <c r="NA684" s="770"/>
      <c r="NB684" s="770"/>
      <c r="NC684" s="770"/>
      <c r="ND684" s="770"/>
      <c r="NE684" s="770"/>
      <c r="NF684" s="770"/>
      <c r="NG684" s="770"/>
      <c r="NH684" s="770"/>
      <c r="NI684" s="770"/>
      <c r="NJ684" s="770"/>
      <c r="NK684" s="770"/>
      <c r="NL684" s="770"/>
      <c r="NM684" s="770"/>
      <c r="NN684" s="770"/>
      <c r="NO684" s="770"/>
      <c r="NP684" s="770"/>
      <c r="NQ684" s="770"/>
      <c r="NR684" s="770"/>
      <c r="NS684" s="770"/>
      <c r="NT684" s="770"/>
      <c r="NU684" s="770"/>
      <c r="NV684" s="770"/>
      <c r="NW684" s="770"/>
      <c r="NX684" s="770"/>
      <c r="NY684" s="770"/>
      <c r="NZ684" s="770"/>
      <c r="OA684" s="770"/>
      <c r="OB684" s="770"/>
      <c r="OC684" s="770"/>
      <c r="OD684" s="770"/>
      <c r="OE684" s="770"/>
      <c r="OF684" s="770"/>
      <c r="OG684" s="770"/>
      <c r="OH684" s="770"/>
      <c r="OI684" s="770"/>
      <c r="OJ684" s="770"/>
      <c r="OK684" s="770"/>
      <c r="OL684" s="770"/>
      <c r="OM684" s="770"/>
      <c r="ON684" s="770"/>
      <c r="OO684" s="770"/>
      <c r="OP684" s="770"/>
      <c r="OQ684" s="770"/>
      <c r="OR684" s="770"/>
      <c r="OS684" s="770"/>
      <c r="OT684" s="770"/>
      <c r="OU684" s="770"/>
      <c r="OV684" s="770"/>
      <c r="OW684" s="770"/>
      <c r="OX684" s="770"/>
      <c r="OY684" s="770"/>
      <c r="OZ684" s="770"/>
      <c r="PA684" s="770"/>
      <c r="PB684" s="770"/>
      <c r="PC684" s="770"/>
      <c r="PD684" s="770"/>
      <c r="PE684" s="770"/>
      <c r="PF684" s="770"/>
      <c r="PG684" s="770"/>
      <c r="PH684" s="770"/>
      <c r="PI684" s="770"/>
      <c r="PJ684" s="770"/>
      <c r="PK684" s="770"/>
      <c r="PL684" s="770"/>
      <c r="PM684" s="770"/>
      <c r="PN684" s="770"/>
      <c r="PO684" s="770"/>
      <c r="PP684" s="770"/>
      <c r="PQ684" s="770"/>
      <c r="PR684" s="770"/>
      <c r="PS684" s="770"/>
      <c r="PT684" s="770"/>
      <c r="PU684" s="770"/>
      <c r="PV684" s="770"/>
      <c r="PW684" s="770"/>
      <c r="PX684" s="770"/>
      <c r="PY684" s="770"/>
      <c r="PZ684" s="770"/>
      <c r="QA684" s="770"/>
      <c r="QB684" s="770"/>
      <c r="QC684" s="770"/>
      <c r="QD684" s="770"/>
      <c r="QE684" s="770"/>
      <c r="QF684" s="770"/>
      <c r="QG684" s="770"/>
      <c r="QH684" s="770"/>
      <c r="QI684" s="770"/>
      <c r="QJ684" s="770"/>
      <c r="QK684" s="770"/>
      <c r="QL684" s="770"/>
      <c r="QM684" s="770"/>
      <c r="QN684" s="770"/>
      <c r="QO684" s="770"/>
      <c r="QP684" s="770"/>
      <c r="QQ684" s="770"/>
      <c r="QR684" s="770"/>
      <c r="QS684" s="770"/>
      <c r="QT684" s="770"/>
      <c r="QU684" s="770"/>
      <c r="QV684" s="770"/>
      <c r="QW684" s="770"/>
      <c r="QX684" s="770"/>
      <c r="QY684" s="770"/>
      <c r="QZ684" s="770"/>
      <c r="RA684" s="770"/>
      <c r="RB684" s="770"/>
      <c r="RC684" s="770"/>
      <c r="RD684" s="770"/>
      <c r="RE684" s="770"/>
      <c r="RF684" s="304"/>
      <c r="RG684" s="770"/>
      <c r="RH684" s="306"/>
      <c r="RI684" s="770"/>
      <c r="RJ684" s="94" t="s">
        <v>13892</v>
      </c>
      <c r="RK684" s="770" t="s">
        <v>13892</v>
      </c>
      <c r="RL684" s="1710" t="s">
        <v>1604</v>
      </c>
      <c r="RM684" s="12"/>
      <c r="RN684" s="1711"/>
      <c r="RO684" s="149" t="s">
        <v>4477</v>
      </c>
      <c r="RP684" s="11"/>
      <c r="RQ684" s="11"/>
      <c r="RR684" s="17"/>
      <c r="RS684" s="767"/>
      <c r="RT684" s="11"/>
      <c r="RU684" s="11"/>
      <c r="RV684" s="771" t="s">
        <v>7421</v>
      </c>
      <c r="RW684" s="11" t="s">
        <v>8008</v>
      </c>
      <c r="RX684" s="11" t="s">
        <v>4465</v>
      </c>
      <c r="RY684" s="11"/>
      <c r="RZ684" s="11" t="s">
        <v>1101</v>
      </c>
      <c r="SA684" s="771"/>
      <c r="SB684" s="11"/>
      <c r="SC684" s="11"/>
    </row>
    <row r="685" spans="1:497" ht="12.75" customHeight="1">
      <c r="A685" s="19" t="s">
        <v>7421</v>
      </c>
      <c r="B685" s="292" t="s">
        <v>8011</v>
      </c>
      <c r="C685" s="149" t="s">
        <v>4480</v>
      </c>
      <c r="D685" s="94" t="s">
        <v>4481</v>
      </c>
      <c r="E685" s="766" t="s">
        <v>4482</v>
      </c>
      <c r="F685" s="770" t="s">
        <v>28</v>
      </c>
      <c r="G685" s="770" t="s">
        <v>18</v>
      </c>
      <c r="H685" s="770"/>
      <c r="I685" s="12" t="s">
        <v>4483</v>
      </c>
      <c r="J685" s="94" t="s">
        <v>4481</v>
      </c>
      <c r="K685" s="766" t="s">
        <v>4484</v>
      </c>
      <c r="L685" s="766" t="s">
        <v>3086</v>
      </c>
      <c r="M685" s="770" t="s">
        <v>1238</v>
      </c>
      <c r="N685" s="1757"/>
      <c r="O685" s="1757" t="s">
        <v>4505</v>
      </c>
      <c r="P685" s="770"/>
      <c r="Q685" s="1088"/>
      <c r="R685" s="297"/>
      <c r="S685" s="770"/>
      <c r="T685" s="770"/>
      <c r="U685" s="12"/>
      <c r="V685" s="770"/>
      <c r="W685" s="770"/>
      <c r="X685" s="770"/>
      <c r="Y685" s="770"/>
      <c r="Z685" s="770"/>
      <c r="AA685" s="770"/>
      <c r="AB685" s="12"/>
      <c r="AC685" s="770"/>
      <c r="AD685" s="770"/>
      <c r="AE685" s="770"/>
      <c r="AF685" s="770"/>
      <c r="AG685" s="766" t="s">
        <v>1132</v>
      </c>
      <c r="AH685" s="766" t="s">
        <v>1096</v>
      </c>
      <c r="AI685" s="75"/>
      <c r="AJ685" s="766" t="s">
        <v>1137</v>
      </c>
      <c r="AK685" s="766" t="s">
        <v>1101</v>
      </c>
      <c r="AL685" s="120">
        <v>6</v>
      </c>
      <c r="AM685" s="773">
        <v>3</v>
      </c>
      <c r="AN685" s="37">
        <f t="shared" si="207"/>
        <v>0.5</v>
      </c>
      <c r="AO685" s="766" t="s">
        <v>1149</v>
      </c>
      <c r="AP685" s="1775"/>
      <c r="AQ685" s="1775"/>
      <c r="AR685" s="1775"/>
      <c r="AS685" s="766"/>
      <c r="AT685" s="766"/>
      <c r="AU685" s="766"/>
      <c r="AV685" s="766"/>
      <c r="AW685" s="766"/>
      <c r="AX685" s="766"/>
      <c r="AY685" s="766"/>
      <c r="AZ685" s="766"/>
      <c r="BA685" s="766"/>
      <c r="BB685" s="766"/>
      <c r="BC685" s="766"/>
      <c r="BD685" s="766"/>
      <c r="BE685" s="766"/>
      <c r="BF685" s="775"/>
      <c r="BG685" s="775"/>
      <c r="BH685" s="770"/>
      <c r="BI685" s="770"/>
      <c r="BJ685" s="770"/>
      <c r="BK685" s="770"/>
      <c r="BL685" s="770"/>
      <c r="BM685" s="770"/>
      <c r="BN685" s="770"/>
      <c r="BO685" s="770"/>
      <c r="BP685" s="1109"/>
      <c r="BQ685" s="773"/>
      <c r="BR685" s="774"/>
      <c r="BS685" s="766"/>
      <c r="BT685" s="770"/>
      <c r="BU685" s="770"/>
      <c r="BV685" s="770"/>
      <c r="BW685" s="770"/>
      <c r="BX685" s="302"/>
      <c r="BY685" s="770"/>
      <c r="BZ685" s="302"/>
      <c r="CA685" s="770"/>
      <c r="CB685" s="770" t="s">
        <v>1207</v>
      </c>
      <c r="CC685" s="770"/>
      <c r="CD685" s="770"/>
      <c r="CE685" s="131"/>
      <c r="CF685" s="304"/>
      <c r="CG685" s="321"/>
      <c r="CH685" s="12"/>
      <c r="CI685" s="770"/>
      <c r="CJ685" s="12"/>
      <c r="CK685" s="770"/>
      <c r="CL685" s="770"/>
      <c r="CM685" s="770"/>
      <c r="CN685" s="770"/>
      <c r="CO685" s="770"/>
      <c r="CP685" s="770"/>
      <c r="CQ685" s="770"/>
      <c r="CR685" s="302"/>
      <c r="CS685" s="770"/>
      <c r="CT685" s="770"/>
      <c r="CU685" s="305"/>
      <c r="CV685" s="770"/>
      <c r="CW685" s="770"/>
      <c r="CX685" s="770"/>
      <c r="CY685" s="770"/>
      <c r="CZ685" s="770"/>
      <c r="DA685" s="306"/>
      <c r="DB685" s="770"/>
      <c r="DC685" s="770"/>
      <c r="DD685" s="770"/>
      <c r="DE685" s="300"/>
      <c r="DF685" s="770"/>
      <c r="DG685" s="770"/>
      <c r="DH685" s="770"/>
      <c r="DI685" s="770"/>
      <c r="DJ685" s="770"/>
      <c r="DK685" s="770"/>
      <c r="DL685" s="770"/>
      <c r="DM685" s="770"/>
      <c r="DN685" s="322"/>
      <c r="DO685" s="770"/>
      <c r="DP685" s="770"/>
      <c r="DQ685" s="770"/>
      <c r="DR685" s="770"/>
      <c r="DS685" s="307"/>
      <c r="DT685" s="770"/>
      <c r="DU685" s="770"/>
      <c r="DV685" s="770"/>
      <c r="DW685" s="306"/>
      <c r="DX685" s="306"/>
      <c r="DY685" s="1055"/>
      <c r="DZ685" s="770"/>
      <c r="EA685" s="770"/>
      <c r="EB685" s="770"/>
      <c r="EC685" s="770"/>
      <c r="ED685" s="770"/>
      <c r="EE685" s="770"/>
      <c r="EF685" s="770"/>
      <c r="EG685" s="770"/>
      <c r="EH685" s="770"/>
      <c r="EI685" s="770"/>
      <c r="EJ685" s="770"/>
      <c r="EK685" s="770"/>
      <c r="EL685" s="770"/>
      <c r="EM685" s="770"/>
      <c r="EN685" s="770"/>
      <c r="EO685" s="770"/>
      <c r="EP685" s="94"/>
      <c r="EQ685" s="770"/>
      <c r="ER685" s="770"/>
      <c r="ES685" s="770"/>
      <c r="ET685" s="770"/>
      <c r="EU685" s="770"/>
      <c r="EV685" s="770"/>
      <c r="EW685" s="770"/>
      <c r="EX685" s="770"/>
      <c r="EY685" s="770"/>
      <c r="EZ685" s="770" t="s">
        <v>4485</v>
      </c>
      <c r="FA685" s="770" t="s">
        <v>3996</v>
      </c>
      <c r="FB685" s="1776" t="s">
        <v>4429</v>
      </c>
      <c r="FC685" s="770"/>
      <c r="FD685" s="302"/>
      <c r="FE685" s="770" t="s">
        <v>4486</v>
      </c>
      <c r="FF685" s="770"/>
      <c r="FG685" s="770" t="s">
        <v>4487</v>
      </c>
      <c r="FH685" s="770"/>
      <c r="FI685" s="770"/>
      <c r="FJ685" s="770"/>
      <c r="FK685" s="770"/>
      <c r="FL685" s="770"/>
      <c r="FM685" s="302"/>
      <c r="FN685" s="302"/>
      <c r="FO685" s="302"/>
      <c r="FP685" s="770"/>
      <c r="FQ685" s="770"/>
      <c r="FR685" s="770"/>
      <c r="FS685" s="770"/>
      <c r="FT685" s="770"/>
      <c r="FU685" s="770"/>
      <c r="FV685" s="770"/>
      <c r="FW685" s="770"/>
      <c r="FX685" s="770"/>
      <c r="FY685" s="770"/>
      <c r="FZ685" s="770"/>
      <c r="GA685" s="770"/>
      <c r="GB685" s="770"/>
      <c r="GC685" s="308"/>
      <c r="GD685" s="297"/>
      <c r="GE685" s="770"/>
      <c r="GF685" s="302"/>
      <c r="GG685" s="302"/>
      <c r="GH685" s="770"/>
      <c r="GI685" s="770"/>
      <c r="GJ685" s="770"/>
      <c r="GK685" s="770"/>
      <c r="GL685" s="770"/>
      <c r="GM685" s="770"/>
      <c r="GN685" s="299"/>
      <c r="GO685" s="770"/>
      <c r="GP685" s="770"/>
      <c r="GQ685" s="770"/>
      <c r="GR685" s="770"/>
      <c r="GS685" s="770"/>
      <c r="GT685" s="770"/>
      <c r="GU685" s="770"/>
      <c r="GV685" s="770"/>
      <c r="GW685" s="770"/>
      <c r="GX685" s="770"/>
      <c r="GY685" s="770"/>
      <c r="GZ685" s="770"/>
      <c r="HA685" s="770"/>
      <c r="HB685" s="770"/>
      <c r="HC685" s="770"/>
      <c r="HD685" s="770"/>
      <c r="HE685" s="770"/>
      <c r="HF685" s="770"/>
      <c r="HG685" s="770"/>
      <c r="HH685" s="770"/>
      <c r="HI685" s="770"/>
      <c r="HJ685" s="770"/>
      <c r="HK685" s="770"/>
      <c r="HL685" s="770"/>
      <c r="HM685" s="770"/>
      <c r="HN685" s="770"/>
      <c r="HO685" s="770"/>
      <c r="HP685" s="770"/>
      <c r="HQ685" s="770"/>
      <c r="HR685" s="770"/>
      <c r="HS685" s="770"/>
      <c r="HT685" s="770"/>
      <c r="HU685" s="770"/>
      <c r="HV685" s="770"/>
      <c r="HW685" s="770"/>
      <c r="HX685" s="770"/>
      <c r="HY685" s="770"/>
      <c r="HZ685" s="770"/>
      <c r="IA685" s="770"/>
      <c r="IB685" s="770"/>
      <c r="IC685" s="770"/>
      <c r="ID685" s="770"/>
      <c r="IE685" s="770"/>
      <c r="IF685" s="770"/>
      <c r="IG685" s="770"/>
      <c r="IH685" s="770"/>
      <c r="II685" s="770"/>
      <c r="IJ685" s="770"/>
      <c r="IK685" s="770"/>
      <c r="IL685" s="770"/>
      <c r="IM685" s="770"/>
      <c r="IN685" s="770"/>
      <c r="IO685" s="296"/>
      <c r="IP685" s="770"/>
      <c r="IQ685" s="770"/>
      <c r="IR685" s="770"/>
      <c r="IS685" s="770"/>
      <c r="IT685" s="770"/>
      <c r="IU685" s="770"/>
      <c r="IV685" s="770"/>
      <c r="IW685" s="770"/>
      <c r="IX685" s="770"/>
      <c r="IY685" s="770"/>
      <c r="IZ685" s="770"/>
      <c r="JA685" s="770"/>
      <c r="JB685" s="770"/>
      <c r="JC685" s="770"/>
      <c r="JD685" s="302"/>
      <c r="JE685" s="770"/>
      <c r="JF685" s="770"/>
      <c r="JG685" s="770"/>
      <c r="JH685" s="307"/>
      <c r="JI685" s="307"/>
      <c r="JJ685" s="770"/>
      <c r="JK685" s="770"/>
      <c r="JL685" s="770"/>
      <c r="JM685" s="770"/>
      <c r="JN685" s="770"/>
      <c r="JO685" s="770"/>
      <c r="JP685" s="770"/>
      <c r="JQ685" s="770"/>
      <c r="JR685" s="770"/>
      <c r="JS685" s="770"/>
      <c r="JT685" s="766"/>
      <c r="JU685" s="766"/>
      <c r="JV685" s="766"/>
      <c r="JW685" s="766"/>
      <c r="JX685" s="770"/>
      <c r="JY685" s="770"/>
      <c r="JZ685" s="770"/>
      <c r="KA685" s="770"/>
      <c r="KB685" s="770"/>
      <c r="KC685" s="770"/>
      <c r="KD685" s="770"/>
      <c r="KE685" s="770"/>
      <c r="KF685" s="770"/>
      <c r="KG685" s="770"/>
      <c r="KH685" s="770"/>
      <c r="KI685" s="770"/>
      <c r="KJ685" s="770"/>
      <c r="KK685" s="770"/>
      <c r="KL685" s="770"/>
      <c r="KM685" s="770"/>
      <c r="KN685" s="770"/>
      <c r="KO685" s="770"/>
      <c r="KP685" s="770"/>
      <c r="KQ685" s="770"/>
      <c r="KR685" s="770"/>
      <c r="KS685" s="770"/>
      <c r="KT685" s="770"/>
      <c r="KU685" s="770"/>
      <c r="KV685" s="770"/>
      <c r="KW685" s="770"/>
      <c r="KX685" s="770"/>
      <c r="KY685" s="770"/>
      <c r="KZ685" s="770"/>
      <c r="LA685" s="770"/>
      <c r="LB685" s="770"/>
      <c r="LC685" s="770"/>
      <c r="LD685" s="770"/>
      <c r="LE685" s="770"/>
      <c r="LF685" s="770"/>
      <c r="LG685" s="770"/>
      <c r="LH685" s="770"/>
      <c r="LI685" s="770"/>
      <c r="LJ685" s="770"/>
      <c r="LK685" s="770"/>
      <c r="LL685" s="770"/>
      <c r="LM685" s="770"/>
      <c r="LN685" s="766"/>
      <c r="LO685" s="766"/>
      <c r="LP685" s="770"/>
      <c r="LQ685" s="770"/>
      <c r="LR685" s="770"/>
      <c r="LS685" s="770"/>
      <c r="LT685" s="770"/>
      <c r="LU685" s="770"/>
      <c r="LV685" s="770"/>
      <c r="LW685" s="770"/>
      <c r="LX685" s="769"/>
      <c r="LY685" s="766" t="str">
        <f t="shared" si="210"/>
        <v/>
      </c>
      <c r="LZ685" s="1709"/>
      <c r="MA685" s="1709"/>
      <c r="MB685" s="1709"/>
      <c r="MC685" s="1679">
        <f t="shared" si="208"/>
        <v>0</v>
      </c>
      <c r="MD685" s="1709"/>
      <c r="ME685" s="1709"/>
      <c r="MF685" s="1709"/>
      <c r="MG685" s="1680">
        <f t="shared" si="199"/>
        <v>0</v>
      </c>
      <c r="MH685" s="770"/>
      <c r="MI685" s="302"/>
      <c r="MJ685" s="302"/>
      <c r="MK685" s="302"/>
      <c r="ML685" s="302"/>
      <c r="MM685" s="302"/>
      <c r="MN685" s="302"/>
      <c r="MO685" s="302"/>
      <c r="MP685" s="302"/>
      <c r="MQ685" s="302"/>
      <c r="MR685" s="302"/>
      <c r="MS685" s="302"/>
      <c r="MT685" s="302"/>
      <c r="MU685" s="302"/>
      <c r="MV685" s="302"/>
      <c r="MW685" s="302"/>
      <c r="MX685" s="302"/>
      <c r="MY685" s="1682">
        <f t="shared" si="200"/>
        <v>0</v>
      </c>
      <c r="MZ685" s="770"/>
      <c r="NA685" s="770"/>
      <c r="NB685" s="770"/>
      <c r="NC685" s="770"/>
      <c r="ND685" s="770"/>
      <c r="NE685" s="770"/>
      <c r="NF685" s="770"/>
      <c r="NG685" s="770"/>
      <c r="NH685" s="770"/>
      <c r="NI685" s="770"/>
      <c r="NJ685" s="770"/>
      <c r="NK685" s="770"/>
      <c r="NL685" s="770"/>
      <c r="NM685" s="770"/>
      <c r="NN685" s="770"/>
      <c r="NO685" s="770"/>
      <c r="NP685" s="770"/>
      <c r="NQ685" s="770"/>
      <c r="NR685" s="770"/>
      <c r="NS685" s="770"/>
      <c r="NT685" s="770"/>
      <c r="NU685" s="770"/>
      <c r="NV685" s="770"/>
      <c r="NW685" s="770"/>
      <c r="NX685" s="770"/>
      <c r="NY685" s="770"/>
      <c r="NZ685" s="770"/>
      <c r="OA685" s="770"/>
      <c r="OB685" s="770"/>
      <c r="OC685" s="770"/>
      <c r="OD685" s="770"/>
      <c r="OE685" s="770"/>
      <c r="OF685" s="770"/>
      <c r="OG685" s="770"/>
      <c r="OH685" s="770"/>
      <c r="OI685" s="770"/>
      <c r="OJ685" s="770"/>
      <c r="OK685" s="770"/>
      <c r="OL685" s="770"/>
      <c r="OM685" s="770"/>
      <c r="ON685" s="770"/>
      <c r="OO685" s="770"/>
      <c r="OP685" s="770"/>
      <c r="OQ685" s="770"/>
      <c r="OR685" s="770"/>
      <c r="OS685" s="770"/>
      <c r="OT685" s="770"/>
      <c r="OU685" s="770"/>
      <c r="OV685" s="770"/>
      <c r="OW685" s="770"/>
      <c r="OX685" s="770"/>
      <c r="OY685" s="770"/>
      <c r="OZ685" s="770"/>
      <c r="PA685" s="770"/>
      <c r="PB685" s="770"/>
      <c r="PC685" s="770"/>
      <c r="PD685" s="770"/>
      <c r="PE685" s="770"/>
      <c r="PF685" s="770"/>
      <c r="PG685" s="770"/>
      <c r="PH685" s="770"/>
      <c r="PI685" s="770"/>
      <c r="PJ685" s="770"/>
      <c r="PK685" s="770"/>
      <c r="PL685" s="770"/>
      <c r="PM685" s="770"/>
      <c r="PN685" s="770"/>
      <c r="PO685" s="770"/>
      <c r="PP685" s="770"/>
      <c r="PQ685" s="770"/>
      <c r="PR685" s="770"/>
      <c r="PS685" s="770"/>
      <c r="PT685" s="770"/>
      <c r="PU685" s="770"/>
      <c r="PV685" s="770"/>
      <c r="PW685" s="770"/>
      <c r="PX685" s="770"/>
      <c r="PY685" s="770"/>
      <c r="PZ685" s="770"/>
      <c r="QA685" s="770"/>
      <c r="QB685" s="770"/>
      <c r="QC685" s="770"/>
      <c r="QD685" s="770"/>
      <c r="QE685" s="770"/>
      <c r="QF685" s="770"/>
      <c r="QG685" s="770"/>
      <c r="QH685" s="770"/>
      <c r="QI685" s="770"/>
      <c r="QJ685" s="770"/>
      <c r="QK685" s="770"/>
      <c r="QL685" s="770"/>
      <c r="QM685" s="770"/>
      <c r="QN685" s="770"/>
      <c r="QO685" s="770"/>
      <c r="QP685" s="770"/>
      <c r="QQ685" s="770"/>
      <c r="QR685" s="770"/>
      <c r="QS685" s="770"/>
      <c r="QT685" s="770"/>
      <c r="QU685" s="770"/>
      <c r="QV685" s="770"/>
      <c r="QW685" s="770"/>
      <c r="QX685" s="770"/>
      <c r="QY685" s="770"/>
      <c r="QZ685" s="770"/>
      <c r="RA685" s="770"/>
      <c r="RB685" s="770"/>
      <c r="RC685" s="770"/>
      <c r="RD685" s="770"/>
      <c r="RE685" s="770"/>
      <c r="RF685" s="304"/>
      <c r="RG685" s="770"/>
      <c r="RH685" s="306"/>
      <c r="RI685" s="770"/>
      <c r="RJ685" s="94" t="s">
        <v>13897</v>
      </c>
      <c r="RK685" s="770" t="s">
        <v>13898</v>
      </c>
      <c r="RL685" s="1710">
        <v>42843</v>
      </c>
      <c r="RM685" s="12"/>
      <c r="RN685" s="1711"/>
      <c r="RO685" s="149" t="s">
        <v>4480</v>
      </c>
      <c r="RP685" s="11"/>
      <c r="RQ685" s="11"/>
      <c r="RR685" s="17"/>
      <c r="RS685" s="767"/>
      <c r="RT685" s="11"/>
      <c r="RU685" s="11"/>
      <c r="RV685" s="771" t="s">
        <v>7421</v>
      </c>
      <c r="RW685" s="11" t="s">
        <v>8009</v>
      </c>
      <c r="RX685" s="11" t="s">
        <v>4472</v>
      </c>
      <c r="RY685" s="11"/>
      <c r="RZ685" s="11" t="s">
        <v>1101</v>
      </c>
      <c r="SA685" s="771"/>
      <c r="SB685" s="11"/>
      <c r="SC685" s="11"/>
    </row>
    <row r="686" spans="1:497" ht="12.75" customHeight="1">
      <c r="A686" s="19" t="s">
        <v>1101</v>
      </c>
      <c r="B686" s="292" t="s">
        <v>8012</v>
      </c>
      <c r="C686" s="149" t="s">
        <v>4488</v>
      </c>
      <c r="D686" s="94" t="s">
        <v>4489</v>
      </c>
      <c r="E686" s="766" t="s">
        <v>4490</v>
      </c>
      <c r="F686" s="770" t="s">
        <v>28</v>
      </c>
      <c r="G686" s="770" t="s">
        <v>18</v>
      </c>
      <c r="H686" s="770"/>
      <c r="I686" s="12"/>
      <c r="J686" s="94" t="s">
        <v>4489</v>
      </c>
      <c r="K686" s="766" t="s">
        <v>4491</v>
      </c>
      <c r="L686" s="766" t="s">
        <v>3086</v>
      </c>
      <c r="M686" s="770" t="s">
        <v>1238</v>
      </c>
      <c r="N686" s="1757"/>
      <c r="O686" s="1757" t="s">
        <v>4505</v>
      </c>
      <c r="P686" s="94" t="s">
        <v>4492</v>
      </c>
      <c r="Q686" s="1088">
        <v>29523</v>
      </c>
      <c r="R686" s="297">
        <v>36</v>
      </c>
      <c r="S686" s="770" t="s">
        <v>18</v>
      </c>
      <c r="T686" s="770"/>
      <c r="U686" s="12"/>
      <c r="V686" s="770" t="s">
        <v>722</v>
      </c>
      <c r="W686" s="770"/>
      <c r="X686" s="770"/>
      <c r="Y686" s="770" t="s">
        <v>4490</v>
      </c>
      <c r="Z686" s="770" t="s">
        <v>708</v>
      </c>
      <c r="AA686" s="770" t="s">
        <v>709</v>
      </c>
      <c r="AB686" s="770" t="s">
        <v>710</v>
      </c>
      <c r="AC686" s="770" t="s">
        <v>724</v>
      </c>
      <c r="AD686" s="770" t="s">
        <v>711</v>
      </c>
      <c r="AE686" s="770"/>
      <c r="AF686" s="770" t="s">
        <v>712</v>
      </c>
      <c r="AG686" s="766" t="s">
        <v>1132</v>
      </c>
      <c r="AH686" s="766" t="s">
        <v>1096</v>
      </c>
      <c r="AI686" s="75"/>
      <c r="AJ686" s="766" t="s">
        <v>1137</v>
      </c>
      <c r="AK686" s="766" t="s">
        <v>1101</v>
      </c>
      <c r="AL686" s="120">
        <v>12.96</v>
      </c>
      <c r="AM686" s="773">
        <v>3.6</v>
      </c>
      <c r="AN686" s="37">
        <f t="shared" si="207"/>
        <v>0.27777777777777779</v>
      </c>
      <c r="AO686" s="766" t="s">
        <v>1149</v>
      </c>
      <c r="AP686" s="1775"/>
      <c r="AQ686" s="1775"/>
      <c r="AR686" s="1775"/>
      <c r="AS686" s="766"/>
      <c r="AT686" s="766"/>
      <c r="AU686" s="766"/>
      <c r="AV686" s="766"/>
      <c r="AW686" s="766"/>
      <c r="AX686" s="766"/>
      <c r="AY686" s="766"/>
      <c r="AZ686" s="766"/>
      <c r="BA686" s="766"/>
      <c r="BB686" s="766"/>
      <c r="BC686" s="766"/>
      <c r="BD686" s="766"/>
      <c r="BE686" s="766"/>
      <c r="BF686" s="775"/>
      <c r="BG686" s="775"/>
      <c r="BH686" s="770"/>
      <c r="BI686" s="770"/>
      <c r="BJ686" s="770"/>
      <c r="BK686" s="770" t="s">
        <v>1095</v>
      </c>
      <c r="BL686" s="770" t="s">
        <v>4493</v>
      </c>
      <c r="BM686" s="766" t="s">
        <v>1096</v>
      </c>
      <c r="BN686" s="766" t="s">
        <v>1230</v>
      </c>
      <c r="BO686" s="766" t="s">
        <v>1246</v>
      </c>
      <c r="BP686" s="1109">
        <v>12.96</v>
      </c>
      <c r="BQ686" s="773">
        <v>3.6</v>
      </c>
      <c r="BR686" s="774">
        <f>BQ686/BP686</f>
        <v>0.27777777777777779</v>
      </c>
      <c r="BS686" s="766" t="s">
        <v>1149</v>
      </c>
      <c r="BT686" s="766" t="s">
        <v>8133</v>
      </c>
      <c r="BU686" s="770" t="s">
        <v>1249</v>
      </c>
      <c r="BV686" s="770" t="s">
        <v>1247</v>
      </c>
      <c r="BW686" s="770">
        <v>1980</v>
      </c>
      <c r="BX686" s="302"/>
      <c r="BY686" s="770"/>
      <c r="BZ686" s="302"/>
      <c r="CA686" s="770"/>
      <c r="CB686" s="770"/>
      <c r="CC686" s="770"/>
      <c r="CD686" s="770"/>
      <c r="CE686" s="131"/>
      <c r="CF686" s="304"/>
      <c r="CG686" s="321"/>
      <c r="CH686" s="12"/>
      <c r="CI686" s="770"/>
      <c r="CJ686" s="12"/>
      <c r="CK686" s="770"/>
      <c r="CL686" s="770"/>
      <c r="CM686" s="770"/>
      <c r="CN686" s="770"/>
      <c r="CO686" s="770"/>
      <c r="CP686" s="770"/>
      <c r="CQ686" s="770"/>
      <c r="CR686" s="302"/>
      <c r="CS686" s="770"/>
      <c r="CT686" s="770"/>
      <c r="CU686" s="305"/>
      <c r="CV686" s="770"/>
      <c r="CW686" s="770"/>
      <c r="CX686" s="770"/>
      <c r="CY686" s="770"/>
      <c r="CZ686" s="770"/>
      <c r="DA686" s="306"/>
      <c r="DB686" s="770"/>
      <c r="DC686" s="770"/>
      <c r="DD686" s="770"/>
      <c r="DE686" s="300"/>
      <c r="DF686" s="770"/>
      <c r="DG686" s="770"/>
      <c r="DH686" s="770"/>
      <c r="DI686" s="770"/>
      <c r="DJ686" s="770"/>
      <c r="DK686" s="770"/>
      <c r="DL686" s="770"/>
      <c r="DM686" s="770"/>
      <c r="DN686" s="322"/>
      <c r="DO686" s="770"/>
      <c r="DP686" s="770"/>
      <c r="DQ686" s="770"/>
      <c r="DR686" s="770"/>
      <c r="DS686" s="307"/>
      <c r="DT686" s="770"/>
      <c r="DU686" s="770"/>
      <c r="DV686" s="770"/>
      <c r="DW686" s="306"/>
      <c r="DX686" s="306"/>
      <c r="DY686" s="1055"/>
      <c r="DZ686" s="770"/>
      <c r="EA686" s="770"/>
      <c r="EB686" s="770"/>
      <c r="EC686" s="770"/>
      <c r="ED686" s="770"/>
      <c r="EE686" s="770"/>
      <c r="EF686" s="770"/>
      <c r="EG686" s="770"/>
      <c r="EH686" s="770"/>
      <c r="EI686" s="770"/>
      <c r="EJ686" s="770"/>
      <c r="EK686" s="770"/>
      <c r="EL686" s="770"/>
      <c r="EM686" s="770"/>
      <c r="EN686" s="770"/>
      <c r="EO686" s="770"/>
      <c r="EP686" s="94"/>
      <c r="EQ686" s="770"/>
      <c r="ER686" s="770"/>
      <c r="ES686" s="770"/>
      <c r="ET686" s="770"/>
      <c r="EU686" s="770"/>
      <c r="EV686" s="770"/>
      <c r="EW686" s="770"/>
      <c r="EX686" s="770"/>
      <c r="EY686" s="770"/>
      <c r="EZ686" s="770"/>
      <c r="FA686" s="770"/>
      <c r="FB686" s="1776"/>
      <c r="FC686" s="770"/>
      <c r="FD686" s="302"/>
      <c r="FE686" s="770"/>
      <c r="FF686" s="770"/>
      <c r="FG686" s="770"/>
      <c r="FH686" s="770" t="s">
        <v>478</v>
      </c>
      <c r="FI686" s="770">
        <v>1</v>
      </c>
      <c r="FJ686" s="770"/>
      <c r="FK686" s="770"/>
      <c r="FL686" s="770"/>
      <c r="FM686" s="302"/>
      <c r="FN686" s="302"/>
      <c r="FO686" s="302"/>
      <c r="FP686" s="770" t="s">
        <v>1600</v>
      </c>
      <c r="FQ686" s="770" t="s">
        <v>3940</v>
      </c>
      <c r="FR686" s="770" t="s">
        <v>1214</v>
      </c>
      <c r="FS686" s="770"/>
      <c r="FT686" s="770"/>
      <c r="FU686" s="770"/>
      <c r="FV686" s="770"/>
      <c r="FW686" s="770"/>
      <c r="FX686" s="770"/>
      <c r="FY686" s="770"/>
      <c r="FZ686" s="770"/>
      <c r="GA686" s="770"/>
      <c r="GB686" s="770" t="s">
        <v>1734</v>
      </c>
      <c r="GC686" s="308"/>
      <c r="GD686" s="297">
        <v>1980</v>
      </c>
      <c r="GE686" s="770" t="s">
        <v>1214</v>
      </c>
      <c r="GF686" s="302"/>
      <c r="GG686" s="302"/>
      <c r="GH686" s="712" t="s">
        <v>1791</v>
      </c>
      <c r="GI686" s="770" t="s">
        <v>2407</v>
      </c>
      <c r="GJ686" s="770"/>
      <c r="GK686" s="770" t="s">
        <v>2407</v>
      </c>
      <c r="GL686" s="770"/>
      <c r="GM686" s="770" t="s">
        <v>4462</v>
      </c>
      <c r="GN686" s="299">
        <v>7500</v>
      </c>
      <c r="GO686" s="770" t="s">
        <v>4495</v>
      </c>
      <c r="GP686" s="770" t="s">
        <v>1208</v>
      </c>
      <c r="GQ686" s="770"/>
      <c r="GR686" s="770"/>
      <c r="GS686" s="770"/>
      <c r="GT686" s="770"/>
      <c r="GU686" s="770"/>
      <c r="GV686" s="770"/>
      <c r="GW686" s="770" t="s">
        <v>1214</v>
      </c>
      <c r="GX686" s="770" t="s">
        <v>3481</v>
      </c>
      <c r="GY686" s="770" t="s">
        <v>1208</v>
      </c>
      <c r="GZ686" s="770"/>
      <c r="HA686" s="770" t="s">
        <v>1208</v>
      </c>
      <c r="HB686" s="770"/>
      <c r="HC686" s="770"/>
      <c r="HD686" s="770"/>
      <c r="HE686" s="770"/>
      <c r="HF686" s="770"/>
      <c r="HG686" s="770"/>
      <c r="HH686" s="770"/>
      <c r="HI686" s="770" t="s">
        <v>1214</v>
      </c>
      <c r="HJ686" s="770"/>
      <c r="HK686" s="770"/>
      <c r="HL686" s="770" t="s">
        <v>1214</v>
      </c>
      <c r="HM686" s="770"/>
      <c r="HN686" s="770"/>
      <c r="HO686" s="770"/>
      <c r="HP686" s="770"/>
      <c r="HQ686" s="770"/>
      <c r="HR686" s="770"/>
      <c r="HS686" s="770"/>
      <c r="HT686" s="770"/>
      <c r="HU686" s="770"/>
      <c r="HV686" s="770"/>
      <c r="HW686" s="770"/>
      <c r="HX686" s="770"/>
      <c r="HY686" s="770"/>
      <c r="HZ686" s="770"/>
      <c r="IA686" s="770"/>
      <c r="IB686" s="14" t="e">
        <f>IF(#REF!&gt;0,IF(#REF!&lt;=10000,"Y",""),"")</f>
        <v>#REF!</v>
      </c>
      <c r="IC686" s="770" t="s">
        <v>1207</v>
      </c>
      <c r="ID686" s="770"/>
      <c r="IE686" s="770"/>
      <c r="IF686" s="770"/>
      <c r="IG686" s="770"/>
      <c r="IH686" s="770"/>
      <c r="II686" s="770"/>
      <c r="IJ686" s="770"/>
      <c r="IK686" s="770"/>
      <c r="IL686" s="770"/>
      <c r="IM686" s="770"/>
      <c r="IN686" s="770"/>
      <c r="IO686" s="296"/>
      <c r="IP686" s="770"/>
      <c r="IQ686" s="770"/>
      <c r="IR686" s="770"/>
      <c r="IS686" s="770"/>
      <c r="IT686" s="770"/>
      <c r="IU686" s="770"/>
      <c r="IV686" s="770"/>
      <c r="IW686" s="770"/>
      <c r="IX686" s="770"/>
      <c r="IY686" s="770"/>
      <c r="IZ686" s="770"/>
      <c r="JA686" s="770"/>
      <c r="JB686" s="770"/>
      <c r="JC686" s="770"/>
      <c r="JD686" s="302"/>
      <c r="JE686" s="770"/>
      <c r="JF686" s="770"/>
      <c r="JG686" s="770"/>
      <c r="JH686" s="307"/>
      <c r="JI686" s="307"/>
      <c r="JJ686" s="770">
        <v>7</v>
      </c>
      <c r="JK686" s="1139" t="s">
        <v>4496</v>
      </c>
      <c r="JL686" s="770">
        <v>1</v>
      </c>
      <c r="JM686" s="770">
        <v>2</v>
      </c>
      <c r="JN686" s="770">
        <v>2</v>
      </c>
      <c r="JO686" s="770">
        <v>2</v>
      </c>
      <c r="JP686" s="770"/>
      <c r="JQ686" s="770"/>
      <c r="JR686" s="770"/>
      <c r="JS686" s="770"/>
      <c r="JT686" s="766">
        <f>SUM(JP686,JN686,JL686,JR686)</f>
        <v>3</v>
      </c>
      <c r="JU686" s="766">
        <f>SUM(JQ686,JO686,JM686,JS686)</f>
        <v>4</v>
      </c>
      <c r="JV686" s="712" t="str">
        <f>IF(JT686=KJ686,"ok","male")</f>
        <v>ok</v>
      </c>
      <c r="JW686" s="712" t="str">
        <f>IF(JU686=KK686,"ok","female")</f>
        <v>ok</v>
      </c>
      <c r="JX686" s="770"/>
      <c r="JY686" s="770">
        <v>1</v>
      </c>
      <c r="JZ686" s="770">
        <v>1</v>
      </c>
      <c r="KA686" s="770">
        <v>1</v>
      </c>
      <c r="KB686" s="770">
        <v>1</v>
      </c>
      <c r="KC686" s="770">
        <v>1</v>
      </c>
      <c r="KD686" s="770">
        <v>1</v>
      </c>
      <c r="KE686" s="770">
        <v>1</v>
      </c>
      <c r="KF686" s="770"/>
      <c r="KG686" s="770"/>
      <c r="KH686" s="770"/>
      <c r="KI686" s="770"/>
      <c r="KJ686" s="770">
        <f t="shared" si="204"/>
        <v>3</v>
      </c>
      <c r="KK686" s="770">
        <f t="shared" si="204"/>
        <v>4</v>
      </c>
      <c r="KL686" s="712" t="str">
        <f>IF(KJ686=LN686,"ok","male")</f>
        <v>ok</v>
      </c>
      <c r="KM686" s="712" t="str">
        <f>IF(KK686=LO686,"ok","female")</f>
        <v>ok</v>
      </c>
      <c r="KN686" s="770" t="s">
        <v>722</v>
      </c>
      <c r="KO686" s="770"/>
      <c r="KP686" s="770"/>
      <c r="KQ686" s="770"/>
      <c r="KR686" s="770"/>
      <c r="KS686" s="770">
        <v>1</v>
      </c>
      <c r="KT686" s="770"/>
      <c r="KU686" s="770"/>
      <c r="KV686" s="770">
        <v>1</v>
      </c>
      <c r="KW686" s="770"/>
      <c r="KX686" s="770">
        <v>1</v>
      </c>
      <c r="KY686" s="770">
        <v>3</v>
      </c>
      <c r="KZ686" s="770">
        <v>1</v>
      </c>
      <c r="LA686" s="770"/>
      <c r="LB686" s="770"/>
      <c r="LC686" s="770"/>
      <c r="LD686" s="770"/>
      <c r="LE686" s="770"/>
      <c r="LF686" s="770"/>
      <c r="LG686" s="770"/>
      <c r="LH686" s="770"/>
      <c r="LI686" s="770"/>
      <c r="LJ686" s="770"/>
      <c r="LK686" s="770"/>
      <c r="LL686" s="770"/>
      <c r="LM686" s="770"/>
      <c r="LN686" s="766">
        <f t="shared" si="209"/>
        <v>3</v>
      </c>
      <c r="LO686" s="766">
        <f t="shared" si="209"/>
        <v>4</v>
      </c>
      <c r="LP686" s="770">
        <v>2</v>
      </c>
      <c r="LQ686" s="770"/>
      <c r="LR686" s="770"/>
      <c r="LS686" s="770">
        <v>2</v>
      </c>
      <c r="LT686" s="712" t="str">
        <f>IF(LQ686=SUM(LU686:LW686),"OK","REV")</f>
        <v>OK</v>
      </c>
      <c r="LU686" s="770"/>
      <c r="LV686" s="770"/>
      <c r="LW686" s="770"/>
      <c r="LX686" s="769">
        <v>1</v>
      </c>
      <c r="LY686" s="766" t="str">
        <f t="shared" si="210"/>
        <v>within the BRGY</v>
      </c>
      <c r="LZ686" s="1709"/>
      <c r="MA686" s="1709"/>
      <c r="MB686" s="1709"/>
      <c r="MC686" s="1679">
        <f t="shared" si="208"/>
        <v>0</v>
      </c>
      <c r="MD686" s="1709"/>
      <c r="ME686" s="1709"/>
      <c r="MF686" s="1709">
        <f>SUM(18000,9000,7500)</f>
        <v>34500</v>
      </c>
      <c r="MG686" s="1680">
        <f>SUM(MD686:MF686)</f>
        <v>34500</v>
      </c>
      <c r="MH686" s="770" t="s">
        <v>2968</v>
      </c>
      <c r="MI686" s="302">
        <v>8000</v>
      </c>
      <c r="MJ686" s="302"/>
      <c r="MK686" s="302">
        <v>1500</v>
      </c>
      <c r="ML686" s="302"/>
      <c r="MM686" s="302">
        <v>300</v>
      </c>
      <c r="MN686" s="302"/>
      <c r="MO686" s="302">
        <v>200</v>
      </c>
      <c r="MP686" s="302">
        <v>700</v>
      </c>
      <c r="MQ686" s="302"/>
      <c r="MR686" s="302">
        <v>400</v>
      </c>
      <c r="MS686" s="302"/>
      <c r="MT686" s="302"/>
      <c r="MU686" s="302"/>
      <c r="MV686" s="302"/>
      <c r="MW686" s="302"/>
      <c r="MX686" s="302"/>
      <c r="MY686" s="1682">
        <f t="shared" si="200"/>
        <v>11100</v>
      </c>
      <c r="MZ686" s="770" t="s">
        <v>13370</v>
      </c>
      <c r="NA686" s="770" t="s">
        <v>13585</v>
      </c>
      <c r="NB686" s="770" t="s">
        <v>13016</v>
      </c>
      <c r="NC686" s="770" t="s">
        <v>1835</v>
      </c>
      <c r="ND686" s="770">
        <v>0</v>
      </c>
      <c r="NE686" s="770">
        <v>0</v>
      </c>
      <c r="NF686" s="770">
        <v>0</v>
      </c>
      <c r="NG686" s="770">
        <v>2</v>
      </c>
      <c r="NH686" s="770">
        <v>1</v>
      </c>
      <c r="NI686" s="770">
        <v>0</v>
      </c>
      <c r="NJ686" s="770">
        <v>0</v>
      </c>
      <c r="NK686" s="770">
        <v>0</v>
      </c>
      <c r="NL686" s="770">
        <v>0</v>
      </c>
      <c r="NM686" s="770">
        <v>0</v>
      </c>
      <c r="NN686" s="770">
        <v>0</v>
      </c>
      <c r="NO686" s="770">
        <v>0</v>
      </c>
      <c r="NP686" s="770">
        <v>0</v>
      </c>
      <c r="NQ686" s="770">
        <v>0</v>
      </c>
      <c r="NR686" s="770">
        <v>0</v>
      </c>
      <c r="NS686" s="770">
        <v>0</v>
      </c>
      <c r="NT686" s="770">
        <v>0</v>
      </c>
      <c r="NU686" s="770">
        <v>0</v>
      </c>
      <c r="NV686" s="770">
        <v>0</v>
      </c>
      <c r="NW686" s="770">
        <v>0</v>
      </c>
      <c r="NX686" s="770">
        <v>0</v>
      </c>
      <c r="NY686" s="770" t="s">
        <v>1208</v>
      </c>
      <c r="NZ686" s="770" t="s">
        <v>1208</v>
      </c>
      <c r="OA686" s="770" t="s">
        <v>1208</v>
      </c>
      <c r="OB686" s="770"/>
      <c r="OC686" s="770" t="s">
        <v>1208</v>
      </c>
      <c r="OD686" s="770"/>
      <c r="OE686" s="770"/>
      <c r="OF686" s="770" t="s">
        <v>13277</v>
      </c>
      <c r="OG686" s="770"/>
      <c r="OH686" s="770" t="s">
        <v>13532</v>
      </c>
      <c r="OI686" s="770" t="s">
        <v>13899</v>
      </c>
      <c r="OJ686" s="770"/>
      <c r="OK686" s="770"/>
      <c r="OL686" s="770"/>
      <c r="OM686" s="770"/>
      <c r="ON686" s="770"/>
      <c r="OO686" s="770"/>
      <c r="OP686" s="770"/>
      <c r="OQ686" s="770"/>
      <c r="OR686" s="770"/>
      <c r="OS686" s="770"/>
      <c r="OT686" s="770"/>
      <c r="OU686" s="770"/>
      <c r="OV686" s="770"/>
      <c r="OW686" s="770"/>
      <c r="OX686" s="770"/>
      <c r="OY686" s="770"/>
      <c r="OZ686" s="770"/>
      <c r="PA686" s="770"/>
      <c r="PB686" s="770"/>
      <c r="PC686" s="770"/>
      <c r="PD686" s="770"/>
      <c r="PE686" s="770"/>
      <c r="PF686" s="770"/>
      <c r="PG686" s="770"/>
      <c r="PH686" s="770"/>
      <c r="PI686" s="770"/>
      <c r="PJ686" s="770"/>
      <c r="PK686" s="770"/>
      <c r="PL686" s="770"/>
      <c r="PM686" s="770"/>
      <c r="PN686" s="770"/>
      <c r="PO686" s="770"/>
      <c r="PP686" s="770"/>
      <c r="PQ686" s="770"/>
      <c r="PR686" s="770"/>
      <c r="PS686" s="770"/>
      <c r="PT686" s="770"/>
      <c r="PU686" s="770"/>
      <c r="PV686" s="770"/>
      <c r="PW686" s="770"/>
      <c r="PX686" s="770"/>
      <c r="PY686" s="770"/>
      <c r="PZ686" s="770"/>
      <c r="QA686" s="770"/>
      <c r="QB686" s="770"/>
      <c r="QC686" s="770"/>
      <c r="QD686" s="770"/>
      <c r="QE686" s="770"/>
      <c r="QF686" s="770"/>
      <c r="QG686" s="770"/>
      <c r="QH686" s="770"/>
      <c r="QI686" s="770"/>
      <c r="QJ686" s="770"/>
      <c r="QK686" s="770"/>
      <c r="QL686" s="770"/>
      <c r="QM686" s="770"/>
      <c r="QN686" s="770"/>
      <c r="QO686" s="770"/>
      <c r="QP686" s="770"/>
      <c r="QQ686" s="770"/>
      <c r="QR686" s="770"/>
      <c r="QS686" s="770"/>
      <c r="QT686" s="770"/>
      <c r="QU686" s="770"/>
      <c r="QV686" s="770"/>
      <c r="QW686" s="770"/>
      <c r="QX686" s="770"/>
      <c r="QY686" s="770"/>
      <c r="QZ686" s="770"/>
      <c r="RA686" s="770"/>
      <c r="RB686" s="770" t="s">
        <v>1214</v>
      </c>
      <c r="RC686" s="770"/>
      <c r="RD686" s="770"/>
      <c r="RE686" s="770"/>
      <c r="RF686" s="304"/>
      <c r="RG686" s="770"/>
      <c r="RH686" s="306"/>
      <c r="RI686" s="770"/>
      <c r="RJ686" s="94" t="s">
        <v>4496</v>
      </c>
      <c r="RK686" s="770" t="s">
        <v>13550</v>
      </c>
      <c r="RL686" s="1710">
        <v>42843</v>
      </c>
      <c r="RM686" s="12"/>
      <c r="RN686" s="1711"/>
      <c r="RO686" s="149" t="s">
        <v>4488</v>
      </c>
      <c r="RP686" s="11"/>
      <c r="RQ686" s="11"/>
      <c r="RR686" s="19" t="s">
        <v>1101</v>
      </c>
      <c r="RS686" s="1139" t="s">
        <v>12980</v>
      </c>
      <c r="RT686" s="11"/>
      <c r="RU686" s="11"/>
      <c r="RV686" s="771" t="s">
        <v>7419</v>
      </c>
      <c r="RW686" s="11" t="s">
        <v>8010</v>
      </c>
      <c r="RX686" s="11" t="s">
        <v>4477</v>
      </c>
      <c r="RY686" s="11"/>
      <c r="RZ686" s="11" t="s">
        <v>1101</v>
      </c>
      <c r="SA686" s="771"/>
      <c r="SB686" s="11"/>
      <c r="SC686" s="11"/>
    </row>
    <row r="687" spans="1:497" ht="12.75" customHeight="1">
      <c r="A687" s="19" t="s">
        <v>7421</v>
      </c>
      <c r="B687" s="292" t="s">
        <v>8013</v>
      </c>
      <c r="C687" s="149" t="s">
        <v>4498</v>
      </c>
      <c r="D687" s="94" t="s">
        <v>4499</v>
      </c>
      <c r="E687" s="766" t="s">
        <v>4500</v>
      </c>
      <c r="F687" s="770" t="s">
        <v>28</v>
      </c>
      <c r="G687" s="770" t="s">
        <v>10</v>
      </c>
      <c r="H687" s="770"/>
      <c r="I687" s="12" t="s">
        <v>4501</v>
      </c>
      <c r="J687" s="94" t="s">
        <v>4499</v>
      </c>
      <c r="K687" s="766" t="s">
        <v>4502</v>
      </c>
      <c r="L687" s="766" t="s">
        <v>4503</v>
      </c>
      <c r="M687" s="770" t="s">
        <v>1238</v>
      </c>
      <c r="N687" s="1757"/>
      <c r="O687" s="1757" t="s">
        <v>4504</v>
      </c>
      <c r="P687" s="770"/>
      <c r="Q687" s="1088"/>
      <c r="R687" s="297"/>
      <c r="S687" s="770"/>
      <c r="T687" s="770"/>
      <c r="U687" s="12"/>
      <c r="V687" s="770"/>
      <c r="W687" s="770"/>
      <c r="X687" s="770"/>
      <c r="Y687" s="770"/>
      <c r="Z687" s="770"/>
      <c r="AA687" s="770"/>
      <c r="AB687" s="12"/>
      <c r="AC687" s="770"/>
      <c r="AD687" s="770"/>
      <c r="AE687" s="770"/>
      <c r="AF687" s="770"/>
      <c r="AG687" s="766" t="s">
        <v>1132</v>
      </c>
      <c r="AH687" s="766" t="s">
        <v>1096</v>
      </c>
      <c r="AI687" s="75"/>
      <c r="AJ687" s="766" t="s">
        <v>1137</v>
      </c>
      <c r="AK687" s="766" t="s">
        <v>1101</v>
      </c>
      <c r="AL687" s="120">
        <v>14.4</v>
      </c>
      <c r="AM687" s="773">
        <v>3</v>
      </c>
      <c r="AN687" s="37">
        <f t="shared" si="207"/>
        <v>0.20833333333333331</v>
      </c>
      <c r="AO687" s="766" t="s">
        <v>1149</v>
      </c>
      <c r="AP687" s="1775"/>
      <c r="AQ687" s="1775"/>
      <c r="AR687" s="1775"/>
      <c r="AS687" s="766"/>
      <c r="AT687" s="766"/>
      <c r="AU687" s="766"/>
      <c r="AV687" s="766"/>
      <c r="AW687" s="766"/>
      <c r="AX687" s="766"/>
      <c r="AY687" s="766"/>
      <c r="AZ687" s="766"/>
      <c r="BA687" s="766"/>
      <c r="BB687" s="766"/>
      <c r="BC687" s="766"/>
      <c r="BD687" s="766"/>
      <c r="BE687" s="766"/>
      <c r="BF687" s="775"/>
      <c r="BG687" s="775"/>
      <c r="BH687" s="770"/>
      <c r="BI687" s="770"/>
      <c r="BJ687" s="770"/>
      <c r="BK687" s="770"/>
      <c r="BL687" s="770"/>
      <c r="BM687" s="770"/>
      <c r="BN687" s="770"/>
      <c r="BO687" s="770"/>
      <c r="BP687" s="1109"/>
      <c r="BQ687" s="773"/>
      <c r="BR687" s="774"/>
      <c r="BS687" s="766"/>
      <c r="BT687" s="770"/>
      <c r="BU687" s="770"/>
      <c r="BV687" s="770"/>
      <c r="BW687" s="770"/>
      <c r="BX687" s="302"/>
      <c r="BY687" s="770"/>
      <c r="BZ687" s="302"/>
      <c r="CA687" s="770"/>
      <c r="CB687" s="770" t="s">
        <v>1207</v>
      </c>
      <c r="CC687" s="770" t="s">
        <v>4506</v>
      </c>
      <c r="CD687" s="770">
        <v>2008</v>
      </c>
      <c r="CE687" s="131"/>
      <c r="CF687" s="304">
        <v>1.2</v>
      </c>
      <c r="CG687" s="321">
        <v>3</v>
      </c>
      <c r="CH687" s="12" t="s">
        <v>3377</v>
      </c>
      <c r="CI687" s="770"/>
      <c r="CJ687" s="12"/>
      <c r="CK687" s="770">
        <v>5</v>
      </c>
      <c r="CL687" s="770"/>
      <c r="CM687" s="770" t="s">
        <v>3399</v>
      </c>
      <c r="CN687" s="770"/>
      <c r="CO687" s="770" t="s">
        <v>1257</v>
      </c>
      <c r="CP687" s="770"/>
      <c r="CQ687" s="770"/>
      <c r="CR687" s="302"/>
      <c r="CS687" s="770"/>
      <c r="CT687" s="770"/>
      <c r="CU687" s="305"/>
      <c r="CV687" s="770"/>
      <c r="CW687" s="770"/>
      <c r="CX687" s="770"/>
      <c r="CY687" s="770"/>
      <c r="CZ687" s="770"/>
      <c r="DA687" s="306"/>
      <c r="DB687" s="770"/>
      <c r="DC687" s="770"/>
      <c r="DD687" s="770"/>
      <c r="DE687" s="300"/>
      <c r="DF687" s="770"/>
      <c r="DG687" s="770"/>
      <c r="DH687" s="770"/>
      <c r="DI687" s="770"/>
      <c r="DJ687" s="770"/>
      <c r="DK687" s="770"/>
      <c r="DL687" s="770"/>
      <c r="DM687" s="770"/>
      <c r="DN687" s="322"/>
      <c r="DO687" s="770"/>
      <c r="DP687" s="770"/>
      <c r="DQ687" s="770"/>
      <c r="DR687" s="770"/>
      <c r="DS687" s="307"/>
      <c r="DT687" s="770"/>
      <c r="DU687" s="770"/>
      <c r="DV687" s="770"/>
      <c r="DW687" s="306"/>
      <c r="DX687" s="306"/>
      <c r="DY687" s="1055"/>
      <c r="DZ687" s="770"/>
      <c r="EA687" s="770"/>
      <c r="EB687" s="770"/>
      <c r="EC687" s="770"/>
      <c r="ED687" s="770"/>
      <c r="EE687" s="770"/>
      <c r="EF687" s="770"/>
      <c r="EG687" s="770"/>
      <c r="EH687" s="770"/>
      <c r="EI687" s="770"/>
      <c r="EJ687" s="770"/>
      <c r="EK687" s="770"/>
      <c r="EL687" s="770"/>
      <c r="EM687" s="770"/>
      <c r="EN687" s="770"/>
      <c r="EO687" s="770"/>
      <c r="EP687" s="94"/>
      <c r="EQ687" s="770"/>
      <c r="ER687" s="770"/>
      <c r="ES687" s="770"/>
      <c r="ET687" s="770"/>
      <c r="EU687" s="770"/>
      <c r="EV687" s="770"/>
      <c r="EW687" s="770"/>
      <c r="EX687" s="770"/>
      <c r="EY687" s="770"/>
      <c r="EZ687" s="770" t="s">
        <v>4506</v>
      </c>
      <c r="FA687" s="770" t="s">
        <v>5808</v>
      </c>
      <c r="FB687" s="1776"/>
      <c r="FC687" s="770">
        <v>2008</v>
      </c>
      <c r="FD687" s="302"/>
      <c r="FE687" s="770" t="s">
        <v>4508</v>
      </c>
      <c r="FF687" s="770" t="s">
        <v>4509</v>
      </c>
      <c r="FG687" s="770" t="s">
        <v>4507</v>
      </c>
      <c r="FH687" s="770"/>
      <c r="FI687" s="770"/>
      <c r="FJ687" s="770"/>
      <c r="FK687" s="770"/>
      <c r="FL687" s="770"/>
      <c r="FM687" s="302"/>
      <c r="FN687" s="302"/>
      <c r="FO687" s="302"/>
      <c r="FP687" s="770"/>
      <c r="FQ687" s="770"/>
      <c r="FR687" s="770"/>
      <c r="FS687" s="770"/>
      <c r="FT687" s="770"/>
      <c r="FU687" s="770"/>
      <c r="FV687" s="770"/>
      <c r="FW687" s="770"/>
      <c r="FX687" s="770"/>
      <c r="FY687" s="770"/>
      <c r="FZ687" s="770"/>
      <c r="GA687" s="770"/>
      <c r="GB687" s="770"/>
      <c r="GC687" s="308"/>
      <c r="GD687" s="297"/>
      <c r="GE687" s="770"/>
      <c r="GF687" s="302"/>
      <c r="GG687" s="302"/>
      <c r="GH687" s="770"/>
      <c r="GI687" s="770"/>
      <c r="GJ687" s="770"/>
      <c r="GK687" s="770"/>
      <c r="GL687" s="770"/>
      <c r="GM687" s="770"/>
      <c r="GN687" s="299"/>
      <c r="GO687" s="770"/>
      <c r="GP687" s="770"/>
      <c r="GQ687" s="770"/>
      <c r="GR687" s="770"/>
      <c r="GS687" s="770"/>
      <c r="GT687" s="770"/>
      <c r="GU687" s="770"/>
      <c r="GV687" s="770"/>
      <c r="GW687" s="770"/>
      <c r="GX687" s="770"/>
      <c r="GY687" s="770"/>
      <c r="GZ687" s="770"/>
      <c r="HA687" s="770"/>
      <c r="HB687" s="770"/>
      <c r="HC687" s="770"/>
      <c r="HD687" s="770"/>
      <c r="HE687" s="770"/>
      <c r="HF687" s="770"/>
      <c r="HG687" s="770"/>
      <c r="HH687" s="770"/>
      <c r="HI687" s="770"/>
      <c r="HJ687" s="770"/>
      <c r="HK687" s="770"/>
      <c r="HL687" s="770"/>
      <c r="HM687" s="770"/>
      <c r="HN687" s="770"/>
      <c r="HO687" s="770"/>
      <c r="HP687" s="770"/>
      <c r="HQ687" s="770"/>
      <c r="HR687" s="770">
        <v>1</v>
      </c>
      <c r="HS687" s="770"/>
      <c r="HT687" s="770"/>
      <c r="HU687" s="770"/>
      <c r="HV687" s="770"/>
      <c r="HW687" s="770"/>
      <c r="HX687" s="770"/>
      <c r="HY687" s="770"/>
      <c r="HZ687" s="770"/>
      <c r="IA687" s="770"/>
      <c r="IB687" s="770"/>
      <c r="IC687" s="770"/>
      <c r="ID687" s="770"/>
      <c r="IE687" s="770"/>
      <c r="IF687" s="770"/>
      <c r="IG687" s="770"/>
      <c r="IH687" s="770"/>
      <c r="II687" s="770"/>
      <c r="IJ687" s="770"/>
      <c r="IK687" s="770"/>
      <c r="IL687" s="770"/>
      <c r="IM687" s="770"/>
      <c r="IN687" s="770"/>
      <c r="IO687" s="296"/>
      <c r="IP687" s="770"/>
      <c r="IQ687" s="770"/>
      <c r="IR687" s="770"/>
      <c r="IS687" s="770"/>
      <c r="IT687" s="770"/>
      <c r="IU687" s="770"/>
      <c r="IV687" s="770"/>
      <c r="IW687" s="770"/>
      <c r="IX687" s="770"/>
      <c r="IY687" s="770"/>
      <c r="IZ687" s="770"/>
      <c r="JA687" s="770"/>
      <c r="JB687" s="770"/>
      <c r="JC687" s="770"/>
      <c r="JD687" s="302"/>
      <c r="JE687" s="770"/>
      <c r="JF687" s="770"/>
      <c r="JG687" s="770"/>
      <c r="JH687" s="307"/>
      <c r="JI687" s="307"/>
      <c r="JJ687" s="770"/>
      <c r="JK687" s="770"/>
      <c r="JL687" s="770"/>
      <c r="JM687" s="770"/>
      <c r="JN687" s="770"/>
      <c r="JO687" s="770"/>
      <c r="JP687" s="770"/>
      <c r="JQ687" s="770"/>
      <c r="JR687" s="770"/>
      <c r="JS687" s="770"/>
      <c r="JT687" s="766"/>
      <c r="JU687" s="766"/>
      <c r="JV687" s="766"/>
      <c r="JW687" s="766"/>
      <c r="JX687" s="770"/>
      <c r="JY687" s="770"/>
      <c r="JZ687" s="770"/>
      <c r="KA687" s="770"/>
      <c r="KB687" s="770"/>
      <c r="KC687" s="770"/>
      <c r="KD687" s="770"/>
      <c r="KE687" s="770"/>
      <c r="KF687" s="770"/>
      <c r="KG687" s="770"/>
      <c r="KH687" s="770"/>
      <c r="KI687" s="770"/>
      <c r="KJ687" s="770"/>
      <c r="KK687" s="770"/>
      <c r="KL687" s="770"/>
      <c r="KM687" s="770"/>
      <c r="KN687" s="770"/>
      <c r="KO687" s="770"/>
      <c r="KP687" s="770"/>
      <c r="KQ687" s="770"/>
      <c r="KR687" s="770"/>
      <c r="KS687" s="770"/>
      <c r="KT687" s="770"/>
      <c r="KU687" s="770"/>
      <c r="KV687" s="770"/>
      <c r="KW687" s="770"/>
      <c r="KX687" s="770"/>
      <c r="KY687" s="770"/>
      <c r="KZ687" s="770"/>
      <c r="LA687" s="770"/>
      <c r="LB687" s="770"/>
      <c r="LC687" s="770"/>
      <c r="LD687" s="770"/>
      <c r="LE687" s="770"/>
      <c r="LF687" s="770"/>
      <c r="LG687" s="770"/>
      <c r="LH687" s="770"/>
      <c r="LI687" s="770"/>
      <c r="LJ687" s="770"/>
      <c r="LK687" s="770"/>
      <c r="LL687" s="770"/>
      <c r="LM687" s="770"/>
      <c r="LN687" s="766"/>
      <c r="LO687" s="766"/>
      <c r="LP687" s="770"/>
      <c r="LQ687" s="770"/>
      <c r="LR687" s="770"/>
      <c r="LS687" s="770"/>
      <c r="LT687" s="770"/>
      <c r="LU687" s="770"/>
      <c r="LV687" s="770"/>
      <c r="LW687" s="770"/>
      <c r="LX687" s="769"/>
      <c r="LY687" s="766" t="str">
        <f t="shared" si="210"/>
        <v/>
      </c>
      <c r="LZ687" s="1709"/>
      <c r="MA687" s="1709"/>
      <c r="MB687" s="1709"/>
      <c r="MC687" s="1679">
        <f t="shared" si="208"/>
        <v>0</v>
      </c>
      <c r="MD687" s="1709"/>
      <c r="ME687" s="1709"/>
      <c r="MF687" s="1709"/>
      <c r="MG687" s="1680">
        <f t="shared" si="199"/>
        <v>0</v>
      </c>
      <c r="MH687" s="770"/>
      <c r="MI687" s="302"/>
      <c r="MJ687" s="302"/>
      <c r="MK687" s="302"/>
      <c r="ML687" s="302"/>
      <c r="MM687" s="302"/>
      <c r="MN687" s="302"/>
      <c r="MO687" s="302"/>
      <c r="MP687" s="302"/>
      <c r="MQ687" s="302"/>
      <c r="MR687" s="302"/>
      <c r="MS687" s="302"/>
      <c r="MT687" s="302"/>
      <c r="MU687" s="302"/>
      <c r="MV687" s="302"/>
      <c r="MW687" s="302"/>
      <c r="MX687" s="302"/>
      <c r="MY687" s="1682">
        <f t="shared" si="200"/>
        <v>0</v>
      </c>
      <c r="MZ687" s="770"/>
      <c r="NA687" s="770"/>
      <c r="NB687" s="770"/>
      <c r="NC687" s="770"/>
      <c r="ND687" s="770"/>
      <c r="NE687" s="770"/>
      <c r="NF687" s="770"/>
      <c r="NG687" s="770"/>
      <c r="NH687" s="770"/>
      <c r="NI687" s="770"/>
      <c r="NJ687" s="770"/>
      <c r="NK687" s="770"/>
      <c r="NL687" s="770"/>
      <c r="NM687" s="770"/>
      <c r="NN687" s="770"/>
      <c r="NO687" s="770"/>
      <c r="NP687" s="770"/>
      <c r="NQ687" s="770"/>
      <c r="NR687" s="770"/>
      <c r="NS687" s="770"/>
      <c r="NT687" s="770"/>
      <c r="NU687" s="770"/>
      <c r="NV687" s="770"/>
      <c r="NW687" s="770"/>
      <c r="NX687" s="770"/>
      <c r="NY687" s="770"/>
      <c r="NZ687" s="770"/>
      <c r="OA687" s="770"/>
      <c r="OB687" s="770"/>
      <c r="OC687" s="770"/>
      <c r="OD687" s="770"/>
      <c r="OE687" s="770"/>
      <c r="OF687" s="770"/>
      <c r="OG687" s="770"/>
      <c r="OH687" s="770"/>
      <c r="OI687" s="770"/>
      <c r="OJ687" s="770"/>
      <c r="OK687" s="770"/>
      <c r="OL687" s="770"/>
      <c r="OM687" s="770"/>
      <c r="ON687" s="770"/>
      <c r="OO687" s="770"/>
      <c r="OP687" s="770"/>
      <c r="OQ687" s="770"/>
      <c r="OR687" s="770"/>
      <c r="OS687" s="770"/>
      <c r="OT687" s="770"/>
      <c r="OU687" s="770"/>
      <c r="OV687" s="770"/>
      <c r="OW687" s="770"/>
      <c r="OX687" s="770"/>
      <c r="OY687" s="770"/>
      <c r="OZ687" s="770"/>
      <c r="PA687" s="770"/>
      <c r="PB687" s="770"/>
      <c r="PC687" s="770"/>
      <c r="PD687" s="770"/>
      <c r="PE687" s="770"/>
      <c r="PF687" s="770"/>
      <c r="PG687" s="770"/>
      <c r="PH687" s="770"/>
      <c r="PI687" s="770"/>
      <c r="PJ687" s="770"/>
      <c r="PK687" s="770"/>
      <c r="PL687" s="770"/>
      <c r="PM687" s="770"/>
      <c r="PN687" s="770"/>
      <c r="PO687" s="770"/>
      <c r="PP687" s="770"/>
      <c r="PQ687" s="770"/>
      <c r="PR687" s="770"/>
      <c r="PS687" s="770"/>
      <c r="PT687" s="770"/>
      <c r="PU687" s="770"/>
      <c r="PV687" s="770"/>
      <c r="PW687" s="770"/>
      <c r="PX687" s="770"/>
      <c r="PY687" s="770"/>
      <c r="PZ687" s="770"/>
      <c r="QA687" s="770"/>
      <c r="QB687" s="770"/>
      <c r="QC687" s="770"/>
      <c r="QD687" s="770"/>
      <c r="QE687" s="770"/>
      <c r="QF687" s="770"/>
      <c r="QG687" s="770"/>
      <c r="QH687" s="770"/>
      <c r="QI687" s="770"/>
      <c r="QJ687" s="770"/>
      <c r="QK687" s="770"/>
      <c r="QL687" s="770"/>
      <c r="QM687" s="770"/>
      <c r="QN687" s="770"/>
      <c r="QO687" s="770"/>
      <c r="QP687" s="770"/>
      <c r="QQ687" s="770"/>
      <c r="QR687" s="770"/>
      <c r="QS687" s="770"/>
      <c r="QT687" s="770"/>
      <c r="QU687" s="770"/>
      <c r="QV687" s="770"/>
      <c r="QW687" s="770"/>
      <c r="QX687" s="770"/>
      <c r="QY687" s="770"/>
      <c r="QZ687" s="770"/>
      <c r="RA687" s="770"/>
      <c r="RB687" s="770"/>
      <c r="RC687" s="770"/>
      <c r="RD687" s="770"/>
      <c r="RE687" s="770"/>
      <c r="RF687" s="304"/>
      <c r="RG687" s="770"/>
      <c r="RH687" s="306"/>
      <c r="RI687" s="770"/>
      <c r="RJ687" s="94" t="s">
        <v>13900</v>
      </c>
      <c r="RK687" s="770" t="s">
        <v>13544</v>
      </c>
      <c r="RL687" s="1710">
        <v>42843</v>
      </c>
      <c r="RM687" s="12"/>
      <c r="RN687" s="1711"/>
      <c r="RO687" s="149" t="s">
        <v>4498</v>
      </c>
      <c r="RP687" s="11"/>
      <c r="RQ687" s="11"/>
      <c r="RR687" s="17"/>
      <c r="RS687" s="767"/>
      <c r="RT687" s="11"/>
      <c r="RU687" s="11"/>
      <c r="RV687" s="771" t="s">
        <v>7421</v>
      </c>
      <c r="RW687" s="11" t="s">
        <v>8011</v>
      </c>
      <c r="RX687" s="11" t="s">
        <v>4480</v>
      </c>
      <c r="RY687" s="11"/>
      <c r="RZ687" s="11" t="s">
        <v>1101</v>
      </c>
      <c r="SA687" s="771"/>
      <c r="SB687" s="11"/>
      <c r="SC687" s="11"/>
    </row>
    <row r="688" spans="1:497" ht="12.75" customHeight="1">
      <c r="A688" s="19" t="s">
        <v>7421</v>
      </c>
      <c r="B688" s="292" t="s">
        <v>7432</v>
      </c>
      <c r="C688" s="149" t="s">
        <v>4510</v>
      </c>
      <c r="D688" s="94" t="s">
        <v>4511</v>
      </c>
      <c r="E688" s="766" t="s">
        <v>4512</v>
      </c>
      <c r="F688" s="770" t="s">
        <v>20</v>
      </c>
      <c r="G688" s="770" t="s">
        <v>18</v>
      </c>
      <c r="H688" s="94" t="s">
        <v>4513</v>
      </c>
      <c r="I688" s="295"/>
      <c r="J688" s="770" t="s">
        <v>11662</v>
      </c>
      <c r="K688" s="766" t="s">
        <v>4514</v>
      </c>
      <c r="L688" s="766" t="s">
        <v>3086</v>
      </c>
      <c r="M688" s="770" t="s">
        <v>1238</v>
      </c>
      <c r="N688" s="1757"/>
      <c r="O688" s="1757" t="s">
        <v>4504</v>
      </c>
      <c r="P688" s="94" t="s">
        <v>11662</v>
      </c>
      <c r="Q688" s="1088">
        <v>25106</v>
      </c>
      <c r="R688" s="297">
        <v>47</v>
      </c>
      <c r="S688" s="770" t="s">
        <v>10</v>
      </c>
      <c r="T688" s="770" t="s">
        <v>4513</v>
      </c>
      <c r="U688" s="12"/>
      <c r="V688" s="770" t="s">
        <v>707</v>
      </c>
      <c r="W688" s="770" t="s">
        <v>4511</v>
      </c>
      <c r="X688" s="770"/>
      <c r="Y688" s="766" t="s">
        <v>4512</v>
      </c>
      <c r="Z688" s="770" t="s">
        <v>708</v>
      </c>
      <c r="AA688" s="770" t="s">
        <v>709</v>
      </c>
      <c r="AB688" s="12" t="s">
        <v>710</v>
      </c>
      <c r="AC688" s="770" t="s">
        <v>724</v>
      </c>
      <c r="AD688" s="770" t="s">
        <v>711</v>
      </c>
      <c r="AE688" s="770"/>
      <c r="AF688" s="770" t="s">
        <v>712</v>
      </c>
      <c r="AG688" s="766" t="s">
        <v>1132</v>
      </c>
      <c r="AH688" s="766" t="s">
        <v>1096</v>
      </c>
      <c r="AI688" s="75"/>
      <c r="AJ688" s="766" t="s">
        <v>1137</v>
      </c>
      <c r="AK688" s="766" t="s">
        <v>1101</v>
      </c>
      <c r="AL688" s="120">
        <v>73.75</v>
      </c>
      <c r="AM688" s="773">
        <v>12.98</v>
      </c>
      <c r="AN688" s="37">
        <f t="shared" si="207"/>
        <v>0.17600000000000002</v>
      </c>
      <c r="AO688" s="766" t="s">
        <v>1109</v>
      </c>
      <c r="AP688" s="1775"/>
      <c r="AQ688" s="1775"/>
      <c r="AR688" s="1775"/>
      <c r="AS688" s="766"/>
      <c r="AT688" s="766"/>
      <c r="AU688" s="766"/>
      <c r="AV688" s="766"/>
      <c r="AW688" s="766"/>
      <c r="AX688" s="766"/>
      <c r="AY688" s="766"/>
      <c r="AZ688" s="766"/>
      <c r="BA688" s="766"/>
      <c r="BB688" s="766"/>
      <c r="BC688" s="766"/>
      <c r="BD688" s="766"/>
      <c r="BE688" s="766"/>
      <c r="BF688" s="775"/>
      <c r="BG688" s="775"/>
      <c r="BH688" s="770"/>
      <c r="BI688" s="770"/>
      <c r="BJ688" s="770"/>
      <c r="BK688" s="770" t="s">
        <v>1095</v>
      </c>
      <c r="BL688" s="770" t="s">
        <v>4515</v>
      </c>
      <c r="BM688" s="770" t="s">
        <v>8127</v>
      </c>
      <c r="BN688" s="766" t="s">
        <v>1230</v>
      </c>
      <c r="BO688" s="770" t="s">
        <v>1333</v>
      </c>
      <c r="BP688" s="1109">
        <v>109.15</v>
      </c>
      <c r="BQ688" s="773">
        <v>12.98</v>
      </c>
      <c r="BR688" s="774">
        <f>BQ688/BP688</f>
        <v>0.11891891891891891</v>
      </c>
      <c r="BS688" s="766" t="s">
        <v>1242</v>
      </c>
      <c r="BT688" s="766" t="s">
        <v>8133</v>
      </c>
      <c r="BU688" s="770" t="s">
        <v>1249</v>
      </c>
      <c r="BV688" s="770" t="s">
        <v>1247</v>
      </c>
      <c r="BW688" s="770">
        <v>2010</v>
      </c>
      <c r="BX688" s="302">
        <v>300000</v>
      </c>
      <c r="BY688" s="770"/>
      <c r="BZ688" s="302"/>
      <c r="CA688" s="770"/>
      <c r="CB688" s="770"/>
      <c r="CC688" s="770"/>
      <c r="CD688" s="770"/>
      <c r="CE688" s="131"/>
      <c r="CF688" s="304"/>
      <c r="CG688" s="321"/>
      <c r="CH688" s="12"/>
      <c r="CI688" s="770"/>
      <c r="CJ688" s="12"/>
      <c r="CK688" s="770"/>
      <c r="CL688" s="770"/>
      <c r="CM688" s="770"/>
      <c r="CN688" s="770"/>
      <c r="CO688" s="770"/>
      <c r="CP688" s="770"/>
      <c r="CQ688" s="770"/>
      <c r="CR688" s="302"/>
      <c r="CS688" s="770"/>
      <c r="CT688" s="770"/>
      <c r="CU688" s="305"/>
      <c r="CV688" s="770"/>
      <c r="CW688" s="770"/>
      <c r="CX688" s="770"/>
      <c r="CY688" s="770"/>
      <c r="CZ688" s="770"/>
      <c r="DA688" s="306"/>
      <c r="DB688" s="770"/>
      <c r="DC688" s="770"/>
      <c r="DD688" s="770"/>
      <c r="DE688" s="300"/>
      <c r="DF688" s="770"/>
      <c r="DG688" s="770"/>
      <c r="DH688" s="770"/>
      <c r="DI688" s="770"/>
      <c r="DJ688" s="770"/>
      <c r="DK688" s="770"/>
      <c r="DL688" s="770"/>
      <c r="DM688" s="770"/>
      <c r="DN688" s="322"/>
      <c r="DO688" s="770"/>
      <c r="DP688" s="770"/>
      <c r="DQ688" s="770"/>
      <c r="DR688" s="770"/>
      <c r="DS688" s="307"/>
      <c r="DT688" s="770"/>
      <c r="DU688" s="770"/>
      <c r="DV688" s="770"/>
      <c r="DW688" s="306"/>
      <c r="DX688" s="306"/>
      <c r="DY688" s="1055"/>
      <c r="DZ688" s="770"/>
      <c r="EA688" s="770"/>
      <c r="EB688" s="770"/>
      <c r="EC688" s="770"/>
      <c r="ED688" s="770"/>
      <c r="EE688" s="770"/>
      <c r="EF688" s="770"/>
      <c r="EG688" s="770"/>
      <c r="EH688" s="770"/>
      <c r="EI688" s="770"/>
      <c r="EJ688" s="770"/>
      <c r="EK688" s="770"/>
      <c r="EL688" s="770"/>
      <c r="EM688" s="770"/>
      <c r="EN688" s="770"/>
      <c r="EO688" s="770"/>
      <c r="EP688" s="94"/>
      <c r="EQ688" s="770"/>
      <c r="ER688" s="770"/>
      <c r="ES688" s="770"/>
      <c r="ET688" s="770"/>
      <c r="EU688" s="770"/>
      <c r="EV688" s="770"/>
      <c r="EW688" s="770"/>
      <c r="EX688" s="770"/>
      <c r="EY688" s="770"/>
      <c r="EZ688" s="770"/>
      <c r="FA688" s="770"/>
      <c r="FB688" s="1776"/>
      <c r="FC688" s="770"/>
      <c r="FD688" s="302"/>
      <c r="FE688" s="770"/>
      <c r="FF688" s="770"/>
      <c r="FG688" s="770"/>
      <c r="FH688" s="770" t="s">
        <v>478</v>
      </c>
      <c r="FI688" s="770">
        <v>1</v>
      </c>
      <c r="FJ688" s="770"/>
      <c r="FK688" s="770"/>
      <c r="FL688" s="770"/>
      <c r="FM688" s="302"/>
      <c r="FN688" s="302"/>
      <c r="FO688" s="302"/>
      <c r="FP688" s="770" t="s">
        <v>1600</v>
      </c>
      <c r="FQ688" s="770" t="s">
        <v>1642</v>
      </c>
      <c r="FR688" s="770" t="s">
        <v>1214</v>
      </c>
      <c r="FS688" s="770"/>
      <c r="FT688" s="770"/>
      <c r="FU688" s="770"/>
      <c r="FV688" s="770"/>
      <c r="FW688" s="770"/>
      <c r="FX688" s="770"/>
      <c r="FY688" s="770"/>
      <c r="FZ688" s="770"/>
      <c r="GA688" s="770"/>
      <c r="GB688" s="770" t="s">
        <v>1734</v>
      </c>
      <c r="GC688" s="308"/>
      <c r="GD688" s="297">
        <v>2000</v>
      </c>
      <c r="GE688" s="770" t="s">
        <v>1214</v>
      </c>
      <c r="GF688" s="302"/>
      <c r="GG688" s="302"/>
      <c r="GH688" s="770"/>
      <c r="GI688" s="770"/>
      <c r="GJ688" s="770"/>
      <c r="GK688" s="770"/>
      <c r="GL688" s="770"/>
      <c r="GM688" s="770"/>
      <c r="GN688" s="299"/>
      <c r="GO688" s="770"/>
      <c r="GP688" s="770"/>
      <c r="GQ688" s="770"/>
      <c r="GR688" s="770"/>
      <c r="GS688" s="770"/>
      <c r="GT688" s="770"/>
      <c r="GU688" s="770"/>
      <c r="GV688" s="770"/>
      <c r="GW688" s="770"/>
      <c r="GX688" s="770"/>
      <c r="GY688" s="770"/>
      <c r="GZ688" s="770"/>
      <c r="HA688" s="770"/>
      <c r="HB688" s="770"/>
      <c r="HC688" s="770"/>
      <c r="HD688" s="770"/>
      <c r="HE688" s="770"/>
      <c r="HF688" s="770"/>
      <c r="HG688" s="770"/>
      <c r="HH688" s="770"/>
      <c r="HI688" s="770"/>
      <c r="HJ688" s="770"/>
      <c r="HK688" s="770"/>
      <c r="HL688" s="770"/>
      <c r="HM688" s="770"/>
      <c r="HN688" s="770"/>
      <c r="HO688" s="770"/>
      <c r="HP688" s="770"/>
      <c r="HQ688" s="770"/>
      <c r="HR688" s="770"/>
      <c r="HS688" s="770"/>
      <c r="HT688" s="770"/>
      <c r="HU688" s="770"/>
      <c r="HV688" s="770"/>
      <c r="HW688" s="770"/>
      <c r="HX688" s="770"/>
      <c r="HY688" s="770"/>
      <c r="HZ688" s="770"/>
      <c r="IA688" s="770"/>
      <c r="IB688" s="14" t="e">
        <f>IF(#REF!&gt;0,IF(#REF!&lt;=10000,"Y",""),"")</f>
        <v>#REF!</v>
      </c>
      <c r="IC688" s="770"/>
      <c r="ID688" s="770"/>
      <c r="IE688" s="770"/>
      <c r="IF688" s="770" t="s">
        <v>4511</v>
      </c>
      <c r="IG688" s="770" t="s">
        <v>18</v>
      </c>
      <c r="IH688" s="770" t="s">
        <v>478</v>
      </c>
      <c r="II688" s="770" t="s">
        <v>4512</v>
      </c>
      <c r="IJ688" s="770" t="s">
        <v>1835</v>
      </c>
      <c r="IK688" s="770" t="s">
        <v>2639</v>
      </c>
      <c r="IL688" s="770" t="s">
        <v>4516</v>
      </c>
      <c r="IM688" s="770">
        <v>2007</v>
      </c>
      <c r="IN688" s="770" t="s">
        <v>4516</v>
      </c>
      <c r="IO688" s="296">
        <v>26570</v>
      </c>
      <c r="IP688" s="770" t="s">
        <v>478</v>
      </c>
      <c r="IQ688" s="13" t="s">
        <v>1898</v>
      </c>
      <c r="IR688" s="770" t="s">
        <v>1964</v>
      </c>
      <c r="IS688" s="770" t="s">
        <v>1879</v>
      </c>
      <c r="IT688" s="770" t="s">
        <v>1208</v>
      </c>
      <c r="IU688" s="770"/>
      <c r="IV688" s="770" t="s">
        <v>2916</v>
      </c>
      <c r="IW688" s="770" t="s">
        <v>13901</v>
      </c>
      <c r="IX688" s="770" t="s">
        <v>4513</v>
      </c>
      <c r="IY688" s="770"/>
      <c r="IZ688" s="770"/>
      <c r="JA688" s="770" t="s">
        <v>1880</v>
      </c>
      <c r="JB688" s="770" t="s">
        <v>1901</v>
      </c>
      <c r="JC688" s="770"/>
      <c r="JD688" s="302">
        <v>30000</v>
      </c>
      <c r="JE688" s="770"/>
      <c r="JF688" s="770"/>
      <c r="JG688" s="770"/>
      <c r="JH688" s="307"/>
      <c r="JI688" s="307"/>
      <c r="JJ688" s="770">
        <v>12</v>
      </c>
      <c r="JK688" s="1139" t="s">
        <v>11272</v>
      </c>
      <c r="JL688" s="770">
        <v>1</v>
      </c>
      <c r="JM688" s="770">
        <v>3</v>
      </c>
      <c r="JN688" s="770">
        <v>3</v>
      </c>
      <c r="JO688" s="770">
        <v>5</v>
      </c>
      <c r="JP688" s="770"/>
      <c r="JQ688" s="770"/>
      <c r="JR688" s="770"/>
      <c r="JS688" s="770"/>
      <c r="JT688" s="766">
        <f>SUM(JP688,JN688,JL688,JR688)</f>
        <v>4</v>
      </c>
      <c r="JU688" s="766">
        <f>SUM(JQ688,JO688,JM688,JS688)</f>
        <v>8</v>
      </c>
      <c r="JV688" s="712" t="str">
        <f>IF(JT688=KJ688,"ok","male")</f>
        <v>ok</v>
      </c>
      <c r="JW688" s="712" t="str">
        <f>IF(JU688=KK688,"ok","female")</f>
        <v>ok</v>
      </c>
      <c r="JX688" s="770">
        <v>1</v>
      </c>
      <c r="JY688" s="770">
        <v>1</v>
      </c>
      <c r="JZ688" s="770"/>
      <c r="KA688" s="770">
        <v>2</v>
      </c>
      <c r="KB688" s="770">
        <v>2</v>
      </c>
      <c r="KC688" s="770">
        <v>4</v>
      </c>
      <c r="KD688" s="770">
        <v>1</v>
      </c>
      <c r="KE688" s="770">
        <v>1</v>
      </c>
      <c r="KF688" s="770"/>
      <c r="KG688" s="770"/>
      <c r="KH688" s="770"/>
      <c r="KI688" s="770"/>
      <c r="KJ688" s="770">
        <f t="shared" si="204"/>
        <v>4</v>
      </c>
      <c r="KK688" s="770">
        <f t="shared" si="204"/>
        <v>8</v>
      </c>
      <c r="KL688" s="712" t="str">
        <f>IF(KJ688=LN688,"ok","male")</f>
        <v>ok</v>
      </c>
      <c r="KM688" s="712" t="str">
        <f>IF(KK688=LO688,"ok","female")</f>
        <v>ok</v>
      </c>
      <c r="KN688" s="770" t="s">
        <v>707</v>
      </c>
      <c r="KO688" s="770"/>
      <c r="KP688" s="770"/>
      <c r="KQ688" s="770"/>
      <c r="KR688" s="770"/>
      <c r="KS688" s="770"/>
      <c r="KT688" s="770"/>
      <c r="KU688" s="770">
        <v>2</v>
      </c>
      <c r="KV688" s="770"/>
      <c r="KW688" s="770"/>
      <c r="KX688" s="770">
        <v>1</v>
      </c>
      <c r="KY688" s="770"/>
      <c r="KZ688" s="770"/>
      <c r="LA688" s="770">
        <v>1</v>
      </c>
      <c r="LB688" s="770">
        <v>1</v>
      </c>
      <c r="LC688" s="770">
        <v>3</v>
      </c>
      <c r="LD688" s="770">
        <v>1</v>
      </c>
      <c r="LE688" s="770">
        <v>1</v>
      </c>
      <c r="LF688" s="770"/>
      <c r="LG688" s="770"/>
      <c r="LH688" s="770"/>
      <c r="LI688" s="770"/>
      <c r="LJ688" s="770">
        <v>1</v>
      </c>
      <c r="LK688" s="770">
        <v>1</v>
      </c>
      <c r="LL688" s="770"/>
      <c r="LM688" s="770"/>
      <c r="LN688" s="766">
        <f t="shared" si="209"/>
        <v>4</v>
      </c>
      <c r="LO688" s="766">
        <f t="shared" si="209"/>
        <v>8</v>
      </c>
      <c r="LP688" s="770">
        <v>5</v>
      </c>
      <c r="LQ688" s="770">
        <v>4</v>
      </c>
      <c r="LR688" s="770"/>
      <c r="LS688" s="770">
        <v>1</v>
      </c>
      <c r="LT688" s="712" t="str">
        <f>IF(LQ688=SUM(LU688:LW688),"OK","REV")</f>
        <v>OK</v>
      </c>
      <c r="LU688" s="770">
        <v>2</v>
      </c>
      <c r="LV688" s="770">
        <v>1</v>
      </c>
      <c r="LW688" s="770">
        <v>1</v>
      </c>
      <c r="LX688" s="769">
        <v>5</v>
      </c>
      <c r="LY688" s="766" t="str">
        <f t="shared" si="210"/>
        <v>OVERSEAS Worker</v>
      </c>
      <c r="LZ688" s="1709">
        <f>2000+3000+3000</f>
        <v>8000</v>
      </c>
      <c r="MA688" s="1709"/>
      <c r="MB688" s="1709"/>
      <c r="MC688" s="1679">
        <f t="shared" si="208"/>
        <v>8000</v>
      </c>
      <c r="MD688" s="1709">
        <f>15000+20000+11000+11000</f>
        <v>57000</v>
      </c>
      <c r="ME688" s="1709"/>
      <c r="MF688" s="1709">
        <v>4000</v>
      </c>
      <c r="MG688" s="1680">
        <f>SUM(MD688:MF688)</f>
        <v>61000</v>
      </c>
      <c r="MH688" s="770" t="s">
        <v>13902</v>
      </c>
      <c r="MI688" s="302">
        <f>400*30</f>
        <v>12000</v>
      </c>
      <c r="MJ688" s="302"/>
      <c r="MK688" s="302">
        <v>3000</v>
      </c>
      <c r="ML688" s="302">
        <v>30000</v>
      </c>
      <c r="MM688" s="302">
        <v>10000</v>
      </c>
      <c r="MN688" s="302"/>
      <c r="MO688" s="302">
        <v>300</v>
      </c>
      <c r="MP688" s="302">
        <v>2500</v>
      </c>
      <c r="MQ688" s="302">
        <v>1000</v>
      </c>
      <c r="MR688" s="302">
        <v>400</v>
      </c>
      <c r="MS688" s="302">
        <v>5000</v>
      </c>
      <c r="MT688" s="302"/>
      <c r="MU688" s="302"/>
      <c r="MV688" s="302"/>
      <c r="MW688" s="302"/>
      <c r="MX688" s="302"/>
      <c r="MY688" s="1682">
        <f t="shared" si="200"/>
        <v>64200</v>
      </c>
      <c r="MZ688" s="770" t="s">
        <v>13370</v>
      </c>
      <c r="NA688" s="770" t="s">
        <v>13635</v>
      </c>
      <c r="NB688" s="770" t="s">
        <v>13016</v>
      </c>
      <c r="NC688" s="770" t="s">
        <v>13602</v>
      </c>
      <c r="ND688" s="770">
        <v>0</v>
      </c>
      <c r="NE688" s="770">
        <v>1</v>
      </c>
      <c r="NF688" s="770">
        <v>1</v>
      </c>
      <c r="NG688" s="770">
        <v>1</v>
      </c>
      <c r="NH688" s="770">
        <v>1</v>
      </c>
      <c r="NI688" s="770">
        <v>1</v>
      </c>
      <c r="NJ688" s="770">
        <v>1</v>
      </c>
      <c r="NK688" s="770">
        <v>0</v>
      </c>
      <c r="NL688" s="770">
        <v>1</v>
      </c>
      <c r="NM688" s="770">
        <v>1</v>
      </c>
      <c r="NN688" s="770">
        <v>0</v>
      </c>
      <c r="NO688" s="770">
        <v>0</v>
      </c>
      <c r="NP688" s="770">
        <v>0</v>
      </c>
      <c r="NQ688" s="770">
        <v>0</v>
      </c>
      <c r="NR688" s="770">
        <v>0</v>
      </c>
      <c r="NS688" s="770">
        <v>0</v>
      </c>
      <c r="NT688" s="770">
        <v>0</v>
      </c>
      <c r="NU688" s="770">
        <v>0</v>
      </c>
      <c r="NV688" s="770">
        <v>0</v>
      </c>
      <c r="NW688" s="770">
        <v>0</v>
      </c>
      <c r="NX688" s="770">
        <v>0</v>
      </c>
      <c r="NY688" s="770" t="s">
        <v>1208</v>
      </c>
      <c r="NZ688" s="770" t="s">
        <v>1208</v>
      </c>
      <c r="OA688" s="770" t="s">
        <v>1208</v>
      </c>
      <c r="OB688" s="770" t="s">
        <v>1208</v>
      </c>
      <c r="OC688" s="770" t="s">
        <v>1208</v>
      </c>
      <c r="OD688" s="770" t="s">
        <v>1208</v>
      </c>
      <c r="OE688" s="770"/>
      <c r="OF688" s="770" t="s">
        <v>1828</v>
      </c>
      <c r="OG688" s="770"/>
      <c r="OH688" s="770"/>
      <c r="OI688" s="770"/>
      <c r="OJ688" s="770"/>
      <c r="OK688" s="770"/>
      <c r="OL688" s="770"/>
      <c r="OM688" s="770"/>
      <c r="ON688" s="770"/>
      <c r="OO688" s="770"/>
      <c r="OP688" s="770"/>
      <c r="OQ688" s="770"/>
      <c r="OR688" s="770"/>
      <c r="OS688" s="770"/>
      <c r="OT688" s="770"/>
      <c r="OU688" s="770"/>
      <c r="OV688" s="770"/>
      <c r="OW688" s="770"/>
      <c r="OX688" s="770"/>
      <c r="OY688" s="770"/>
      <c r="OZ688" s="770"/>
      <c r="PA688" s="770"/>
      <c r="PB688" s="770"/>
      <c r="PC688" s="770"/>
      <c r="PD688" s="770"/>
      <c r="PE688" s="770"/>
      <c r="PF688" s="770"/>
      <c r="PG688" s="770"/>
      <c r="PH688" s="770"/>
      <c r="PI688" s="770"/>
      <c r="PJ688" s="770"/>
      <c r="PK688" s="770"/>
      <c r="PL688" s="770"/>
      <c r="PM688" s="770"/>
      <c r="PN688" s="770"/>
      <c r="PO688" s="770"/>
      <c r="PP688" s="770"/>
      <c r="PQ688" s="770"/>
      <c r="PR688" s="770" t="s">
        <v>1208</v>
      </c>
      <c r="PS688" s="770" t="s">
        <v>1208</v>
      </c>
      <c r="PT688" s="770" t="s">
        <v>1208</v>
      </c>
      <c r="PU688" s="770"/>
      <c r="PV688" s="770"/>
      <c r="PW688" s="770"/>
      <c r="PX688" s="770"/>
      <c r="PY688" s="770"/>
      <c r="PZ688" s="770"/>
      <c r="QA688" s="770"/>
      <c r="QB688" s="770"/>
      <c r="QC688" s="770" t="s">
        <v>1208</v>
      </c>
      <c r="QD688" s="770"/>
      <c r="QE688" s="770"/>
      <c r="QF688" s="770"/>
      <c r="QG688" s="770"/>
      <c r="QH688" s="770"/>
      <c r="QI688" s="770"/>
      <c r="QJ688" s="770"/>
      <c r="QK688" s="770"/>
      <c r="QL688" s="770"/>
      <c r="QM688" s="770"/>
      <c r="QN688" s="770"/>
      <c r="QO688" s="770"/>
      <c r="QP688" s="770"/>
      <c r="QQ688" s="770"/>
      <c r="QR688" s="770"/>
      <c r="QS688" s="770"/>
      <c r="QT688" s="770"/>
      <c r="QU688" s="770"/>
      <c r="QV688" s="770"/>
      <c r="QW688" s="770"/>
      <c r="QX688" s="770"/>
      <c r="QY688" s="770"/>
      <c r="QZ688" s="770"/>
      <c r="RA688" s="770"/>
      <c r="RB688" s="770" t="s">
        <v>1214</v>
      </c>
      <c r="RC688" s="770"/>
      <c r="RD688" s="770"/>
      <c r="RE688" s="770"/>
      <c r="RF688" s="304"/>
      <c r="RG688" s="770"/>
      <c r="RH688" s="306"/>
      <c r="RI688" s="770"/>
      <c r="RJ688" s="94" t="s">
        <v>13903</v>
      </c>
      <c r="RK688" s="770" t="s">
        <v>13544</v>
      </c>
      <c r="RL688" s="1710">
        <v>42843</v>
      </c>
      <c r="RM688" s="12"/>
      <c r="RN688" s="1711"/>
      <c r="RO688" s="149" t="s">
        <v>4510</v>
      </c>
      <c r="RP688" s="11"/>
      <c r="RQ688" s="11"/>
      <c r="RR688" s="19" t="s">
        <v>7421</v>
      </c>
      <c r="RS688" s="1139" t="s">
        <v>12980</v>
      </c>
      <c r="RT688" s="11"/>
      <c r="RU688" s="11"/>
      <c r="RV688" s="771" t="s">
        <v>1101</v>
      </c>
      <c r="RW688" s="11" t="s">
        <v>8012</v>
      </c>
      <c r="RX688" s="11" t="s">
        <v>4488</v>
      </c>
      <c r="RY688" s="11"/>
      <c r="RZ688" s="11" t="s">
        <v>1101</v>
      </c>
      <c r="SA688" s="771"/>
      <c r="SB688" s="11"/>
      <c r="SC688" s="11"/>
    </row>
    <row r="689" spans="1:497" ht="12.75" customHeight="1">
      <c r="A689" s="19" t="s">
        <v>7421</v>
      </c>
      <c r="B689" s="292" t="s">
        <v>8014</v>
      </c>
      <c r="C689" s="149" t="s">
        <v>4517</v>
      </c>
      <c r="D689" s="94" t="s">
        <v>4518</v>
      </c>
      <c r="E689" s="766" t="s">
        <v>4519</v>
      </c>
      <c r="F689" s="770" t="s">
        <v>28</v>
      </c>
      <c r="G689" s="770" t="s">
        <v>18</v>
      </c>
      <c r="H689" s="12"/>
      <c r="I689" s="295"/>
      <c r="J689" s="94" t="s">
        <v>4518</v>
      </c>
      <c r="K689" s="766" t="s">
        <v>4520</v>
      </c>
      <c r="L689" s="766" t="s">
        <v>3152</v>
      </c>
      <c r="M689" s="770" t="s">
        <v>1238</v>
      </c>
      <c r="N689" s="1757"/>
      <c r="O689" s="1757" t="s">
        <v>3078</v>
      </c>
      <c r="P689" s="770"/>
      <c r="Q689" s="1088"/>
      <c r="R689" s="297"/>
      <c r="S689" s="770"/>
      <c r="T689" s="770"/>
      <c r="U689" s="12"/>
      <c r="V689" s="770"/>
      <c r="W689" s="770"/>
      <c r="X689" s="770"/>
      <c r="Y689" s="770"/>
      <c r="Z689" s="770"/>
      <c r="AA689" s="770"/>
      <c r="AB689" s="12"/>
      <c r="AC689" s="770"/>
      <c r="AD689" s="770"/>
      <c r="AE689" s="770"/>
      <c r="AF689" s="770"/>
      <c r="AG689" s="766" t="s">
        <v>1132</v>
      </c>
      <c r="AH689" s="766" t="s">
        <v>1096</v>
      </c>
      <c r="AI689" s="75"/>
      <c r="AJ689" s="766" t="s">
        <v>1137</v>
      </c>
      <c r="AK689" s="766" t="s">
        <v>1097</v>
      </c>
      <c r="AL689" s="120">
        <v>4.5</v>
      </c>
      <c r="AM689" s="773">
        <v>4.5</v>
      </c>
      <c r="AN689" s="37">
        <f t="shared" si="207"/>
        <v>1</v>
      </c>
      <c r="AO689" s="1775" t="s">
        <v>1122</v>
      </c>
      <c r="AP689" s="1775"/>
      <c r="AQ689" s="1775"/>
      <c r="AR689" s="1775"/>
      <c r="AS689" s="766"/>
      <c r="AT689" s="766"/>
      <c r="AU689" s="766"/>
      <c r="AV689" s="766"/>
      <c r="AW689" s="766"/>
      <c r="AX689" s="766"/>
      <c r="AY689" s="766"/>
      <c r="AZ689" s="766"/>
      <c r="BA689" s="766"/>
      <c r="BB689" s="766"/>
      <c r="BC689" s="766"/>
      <c r="BD689" s="766"/>
      <c r="BE689" s="766"/>
      <c r="BF689" s="775"/>
      <c r="BG689" s="775"/>
      <c r="BH689" s="770"/>
      <c r="BI689" s="770"/>
      <c r="BJ689" s="770"/>
      <c r="BK689" s="770"/>
      <c r="BL689" s="770"/>
      <c r="BM689" s="770"/>
      <c r="BN689" s="770"/>
      <c r="BO689" s="770"/>
      <c r="BP689" s="765"/>
      <c r="BQ689" s="773"/>
      <c r="BR689" s="774"/>
      <c r="BS689" s="766"/>
      <c r="BT689" s="770"/>
      <c r="BU689" s="770"/>
      <c r="BV689" s="770"/>
      <c r="BW689" s="770"/>
      <c r="BX689" s="302"/>
      <c r="BY689" s="770"/>
      <c r="BZ689" s="302"/>
      <c r="CA689" s="770"/>
      <c r="CB689" s="770" t="s">
        <v>1207</v>
      </c>
      <c r="CC689" s="770"/>
      <c r="CD689" s="770"/>
      <c r="CE689" s="131"/>
      <c r="CF689" s="304"/>
      <c r="CG689" s="321"/>
      <c r="CH689" s="12"/>
      <c r="CI689" s="770"/>
      <c r="CJ689" s="12"/>
      <c r="CK689" s="770"/>
      <c r="CL689" s="770"/>
      <c r="CM689" s="770"/>
      <c r="CN689" s="770"/>
      <c r="CO689" s="770"/>
      <c r="CP689" s="770"/>
      <c r="CQ689" s="770"/>
      <c r="CR689" s="302"/>
      <c r="CS689" s="770"/>
      <c r="CT689" s="770"/>
      <c r="CU689" s="305"/>
      <c r="CV689" s="770"/>
      <c r="CW689" s="770"/>
      <c r="CX689" s="770"/>
      <c r="CY689" s="770"/>
      <c r="CZ689" s="770"/>
      <c r="DA689" s="306"/>
      <c r="DB689" s="770"/>
      <c r="DC689" s="770"/>
      <c r="DD689" s="770"/>
      <c r="DE689" s="300"/>
      <c r="DF689" s="770"/>
      <c r="DG689" s="770"/>
      <c r="DH689" s="770"/>
      <c r="DI689" s="770"/>
      <c r="DJ689" s="770"/>
      <c r="DK689" s="770"/>
      <c r="DL689" s="770"/>
      <c r="DM689" s="770"/>
      <c r="DN689" s="322"/>
      <c r="DO689" s="770"/>
      <c r="DP689" s="770"/>
      <c r="DQ689" s="770"/>
      <c r="DR689" s="770"/>
      <c r="DS689" s="307"/>
      <c r="DT689" s="770"/>
      <c r="DU689" s="770"/>
      <c r="DV689" s="770"/>
      <c r="DW689" s="306"/>
      <c r="DX689" s="306"/>
      <c r="DY689" s="1055"/>
      <c r="DZ689" s="770"/>
      <c r="EA689" s="770"/>
      <c r="EB689" s="770"/>
      <c r="EC689" s="770"/>
      <c r="ED689" s="770"/>
      <c r="EE689" s="770"/>
      <c r="EF689" s="770"/>
      <c r="EG689" s="770"/>
      <c r="EH689" s="770"/>
      <c r="EI689" s="770"/>
      <c r="EJ689" s="770"/>
      <c r="EK689" s="770"/>
      <c r="EL689" s="770"/>
      <c r="EM689" s="770"/>
      <c r="EN689" s="770"/>
      <c r="EO689" s="770"/>
      <c r="EP689" s="94"/>
      <c r="EQ689" s="770"/>
      <c r="ER689" s="770"/>
      <c r="ES689" s="770"/>
      <c r="ET689" s="770"/>
      <c r="EU689" s="770"/>
      <c r="EV689" s="770"/>
      <c r="EW689" s="770"/>
      <c r="EX689" s="770"/>
      <c r="EY689" s="770"/>
      <c r="EZ689" s="770" t="s">
        <v>4521</v>
      </c>
      <c r="FA689" s="770" t="s">
        <v>3996</v>
      </c>
      <c r="FB689" s="1776" t="s">
        <v>1257</v>
      </c>
      <c r="FC689" s="770"/>
      <c r="FD689" s="302"/>
      <c r="FE689" s="770" t="s">
        <v>4523</v>
      </c>
      <c r="FF689" s="770"/>
      <c r="FG689" s="770" t="s">
        <v>4522</v>
      </c>
      <c r="FH689" s="770"/>
      <c r="FI689" s="770"/>
      <c r="FJ689" s="770"/>
      <c r="FK689" s="770"/>
      <c r="FL689" s="770"/>
      <c r="FM689" s="302"/>
      <c r="FN689" s="302"/>
      <c r="FO689" s="302"/>
      <c r="FP689" s="770" t="s">
        <v>1600</v>
      </c>
      <c r="FQ689" s="770" t="s">
        <v>1642</v>
      </c>
      <c r="FR689" s="770" t="s">
        <v>1214</v>
      </c>
      <c r="FS689" s="770"/>
      <c r="FT689" s="770"/>
      <c r="FU689" s="770"/>
      <c r="FV689" s="770"/>
      <c r="FW689" s="770"/>
      <c r="FX689" s="770"/>
      <c r="FY689" s="770"/>
      <c r="FZ689" s="770"/>
      <c r="GA689" s="770"/>
      <c r="GB689" s="770" t="s">
        <v>1734</v>
      </c>
      <c r="GC689" s="308"/>
      <c r="GD689" s="297">
        <v>1985</v>
      </c>
      <c r="GE689" s="770" t="s">
        <v>1214</v>
      </c>
      <c r="GF689" s="302"/>
      <c r="GG689" s="302"/>
      <c r="GH689" s="770"/>
      <c r="GI689" s="770"/>
      <c r="GJ689" s="770"/>
      <c r="GK689" s="770"/>
      <c r="GL689" s="770"/>
      <c r="GM689" s="770"/>
      <c r="GN689" s="299"/>
      <c r="GO689" s="770"/>
      <c r="GP689" s="770"/>
      <c r="GQ689" s="770"/>
      <c r="GR689" s="770"/>
      <c r="GS689" s="770"/>
      <c r="GT689" s="770"/>
      <c r="GU689" s="770"/>
      <c r="GV689" s="770"/>
      <c r="GW689" s="770"/>
      <c r="GX689" s="770"/>
      <c r="GY689" s="770"/>
      <c r="GZ689" s="770"/>
      <c r="HA689" s="770"/>
      <c r="HB689" s="770"/>
      <c r="HC689" s="770"/>
      <c r="HD689" s="770"/>
      <c r="HE689" s="770"/>
      <c r="HF689" s="770"/>
      <c r="HG689" s="770"/>
      <c r="HH689" s="770"/>
      <c r="HI689" s="770"/>
      <c r="HJ689" s="770"/>
      <c r="HK689" s="770"/>
      <c r="HL689" s="770"/>
      <c r="HM689" s="770"/>
      <c r="HN689" s="770"/>
      <c r="HO689" s="770"/>
      <c r="HP689" s="770"/>
      <c r="HQ689" s="770"/>
      <c r="HR689" s="770"/>
      <c r="HS689" s="770"/>
      <c r="HT689" s="770"/>
      <c r="HU689" s="770"/>
      <c r="HV689" s="770"/>
      <c r="HW689" s="770"/>
      <c r="HX689" s="770"/>
      <c r="HY689" s="770"/>
      <c r="HZ689" s="770"/>
      <c r="IA689" s="770"/>
      <c r="IB689" s="770"/>
      <c r="IC689" s="770"/>
      <c r="ID689" s="770"/>
      <c r="IE689" s="770"/>
      <c r="IF689" s="770"/>
      <c r="IG689" s="770"/>
      <c r="IH689" s="770"/>
      <c r="II689" s="770"/>
      <c r="IJ689" s="770"/>
      <c r="IK689" s="770"/>
      <c r="IL689" s="770"/>
      <c r="IM689" s="770"/>
      <c r="IN689" s="770"/>
      <c r="IO689" s="296"/>
      <c r="IP689" s="770"/>
      <c r="IQ689" s="770"/>
      <c r="IR689" s="770"/>
      <c r="IS689" s="770"/>
      <c r="IT689" s="770"/>
      <c r="IU689" s="770"/>
      <c r="IV689" s="770"/>
      <c r="IW689" s="770"/>
      <c r="IX689" s="770"/>
      <c r="IY689" s="770"/>
      <c r="IZ689" s="770"/>
      <c r="JA689" s="770"/>
      <c r="JB689" s="770"/>
      <c r="JC689" s="770"/>
      <c r="JD689" s="302"/>
      <c r="JE689" s="770"/>
      <c r="JF689" s="770"/>
      <c r="JG689" s="770"/>
      <c r="JH689" s="307"/>
      <c r="JI689" s="307"/>
      <c r="JJ689" s="770"/>
      <c r="JK689" s="770"/>
      <c r="JL689" s="770"/>
      <c r="JM689" s="770"/>
      <c r="JN689" s="770"/>
      <c r="JO689" s="770"/>
      <c r="JP689" s="770"/>
      <c r="JQ689" s="770"/>
      <c r="JR689" s="770"/>
      <c r="JS689" s="770"/>
      <c r="JT689" s="766"/>
      <c r="JU689" s="766"/>
      <c r="JV689" s="766"/>
      <c r="JW689" s="766"/>
      <c r="JX689" s="770"/>
      <c r="JY689" s="770"/>
      <c r="JZ689" s="770"/>
      <c r="KA689" s="770"/>
      <c r="KB689" s="770"/>
      <c r="KC689" s="770"/>
      <c r="KD689" s="770"/>
      <c r="KE689" s="770"/>
      <c r="KF689" s="770"/>
      <c r="KG689" s="770"/>
      <c r="KH689" s="770"/>
      <c r="KI689" s="770"/>
      <c r="KJ689" s="770"/>
      <c r="KK689" s="770"/>
      <c r="KL689" s="770"/>
      <c r="KM689" s="770"/>
      <c r="KN689" s="770"/>
      <c r="KO689" s="770"/>
      <c r="KP689" s="770"/>
      <c r="KQ689" s="770"/>
      <c r="KR689" s="770"/>
      <c r="KS689" s="770"/>
      <c r="KT689" s="770"/>
      <c r="KU689" s="770"/>
      <c r="KV689" s="770"/>
      <c r="KW689" s="770"/>
      <c r="KX689" s="770"/>
      <c r="KY689" s="770"/>
      <c r="KZ689" s="770"/>
      <c r="LA689" s="770"/>
      <c r="LB689" s="770"/>
      <c r="LC689" s="770"/>
      <c r="LD689" s="770"/>
      <c r="LE689" s="770"/>
      <c r="LF689" s="770"/>
      <c r="LG689" s="770"/>
      <c r="LH689" s="770"/>
      <c r="LI689" s="770"/>
      <c r="LJ689" s="770"/>
      <c r="LK689" s="770"/>
      <c r="LL689" s="770"/>
      <c r="LM689" s="770"/>
      <c r="LN689" s="766"/>
      <c r="LO689" s="766"/>
      <c r="LP689" s="770"/>
      <c r="LQ689" s="770"/>
      <c r="LR689" s="770"/>
      <c r="LS689" s="770"/>
      <c r="LT689" s="770"/>
      <c r="LU689" s="770"/>
      <c r="LV689" s="770"/>
      <c r="LW689" s="770"/>
      <c r="LX689" s="769"/>
      <c r="LY689" s="766" t="str">
        <f t="shared" si="210"/>
        <v/>
      </c>
      <c r="LZ689" s="1709"/>
      <c r="MA689" s="1709"/>
      <c r="MB689" s="1709"/>
      <c r="MC689" s="1679">
        <f t="shared" si="208"/>
        <v>0</v>
      </c>
      <c r="MD689" s="1709"/>
      <c r="ME689" s="1709"/>
      <c r="MF689" s="1709"/>
      <c r="MG689" s="1680">
        <f t="shared" si="199"/>
        <v>0</v>
      </c>
      <c r="MH689" s="770"/>
      <c r="MI689" s="302"/>
      <c r="MJ689" s="302"/>
      <c r="MK689" s="302"/>
      <c r="ML689" s="302"/>
      <c r="MM689" s="302"/>
      <c r="MN689" s="302"/>
      <c r="MO689" s="302"/>
      <c r="MP689" s="302"/>
      <c r="MQ689" s="302"/>
      <c r="MR689" s="302"/>
      <c r="MS689" s="302"/>
      <c r="MT689" s="302"/>
      <c r="MU689" s="302"/>
      <c r="MV689" s="302"/>
      <c r="MW689" s="302"/>
      <c r="MX689" s="302"/>
      <c r="MY689" s="1682">
        <f t="shared" si="200"/>
        <v>0</v>
      </c>
      <c r="MZ689" s="770"/>
      <c r="NA689" s="770"/>
      <c r="NB689" s="770"/>
      <c r="NC689" s="770"/>
      <c r="ND689" s="770"/>
      <c r="NE689" s="770"/>
      <c r="NF689" s="770"/>
      <c r="NG689" s="770"/>
      <c r="NH689" s="770"/>
      <c r="NI689" s="770"/>
      <c r="NJ689" s="770"/>
      <c r="NK689" s="770"/>
      <c r="NL689" s="770"/>
      <c r="NM689" s="770"/>
      <c r="NN689" s="770"/>
      <c r="NO689" s="770"/>
      <c r="NP689" s="770"/>
      <c r="NQ689" s="770"/>
      <c r="NR689" s="770"/>
      <c r="NS689" s="770"/>
      <c r="NT689" s="770"/>
      <c r="NU689" s="770"/>
      <c r="NV689" s="770"/>
      <c r="NW689" s="770"/>
      <c r="NX689" s="770"/>
      <c r="NY689" s="770"/>
      <c r="NZ689" s="770"/>
      <c r="OA689" s="770"/>
      <c r="OB689" s="770"/>
      <c r="OC689" s="770"/>
      <c r="OD689" s="770"/>
      <c r="OE689" s="770"/>
      <c r="OF689" s="770"/>
      <c r="OG689" s="770"/>
      <c r="OH689" s="770"/>
      <c r="OI689" s="770"/>
      <c r="OJ689" s="770"/>
      <c r="OK689" s="770"/>
      <c r="OL689" s="770"/>
      <c r="OM689" s="770"/>
      <c r="ON689" s="770"/>
      <c r="OO689" s="770"/>
      <c r="OP689" s="770"/>
      <c r="OQ689" s="770"/>
      <c r="OR689" s="770"/>
      <c r="OS689" s="770"/>
      <c r="OT689" s="770"/>
      <c r="OU689" s="770"/>
      <c r="OV689" s="770"/>
      <c r="OW689" s="770"/>
      <c r="OX689" s="770"/>
      <c r="OY689" s="770"/>
      <c r="OZ689" s="770"/>
      <c r="PA689" s="770"/>
      <c r="PB689" s="770"/>
      <c r="PC689" s="770"/>
      <c r="PD689" s="770"/>
      <c r="PE689" s="770"/>
      <c r="PF689" s="770"/>
      <c r="PG689" s="770"/>
      <c r="PH689" s="770"/>
      <c r="PI689" s="770"/>
      <c r="PJ689" s="770"/>
      <c r="PK689" s="770"/>
      <c r="PL689" s="770"/>
      <c r="PM689" s="770"/>
      <c r="PN689" s="770"/>
      <c r="PO689" s="770"/>
      <c r="PP689" s="770"/>
      <c r="PQ689" s="770"/>
      <c r="PR689" s="770"/>
      <c r="PS689" s="770"/>
      <c r="PT689" s="770"/>
      <c r="PU689" s="770"/>
      <c r="PV689" s="770"/>
      <c r="PW689" s="770"/>
      <c r="PX689" s="770"/>
      <c r="PY689" s="770"/>
      <c r="PZ689" s="770"/>
      <c r="QA689" s="770"/>
      <c r="QB689" s="770"/>
      <c r="QC689" s="770"/>
      <c r="QD689" s="770"/>
      <c r="QE689" s="770"/>
      <c r="QF689" s="770"/>
      <c r="QG689" s="770"/>
      <c r="QH689" s="770"/>
      <c r="QI689" s="770"/>
      <c r="QJ689" s="770"/>
      <c r="QK689" s="770"/>
      <c r="QL689" s="770"/>
      <c r="QM689" s="770"/>
      <c r="QN689" s="770"/>
      <c r="QO689" s="770"/>
      <c r="QP689" s="770"/>
      <c r="QQ689" s="770"/>
      <c r="QR689" s="770"/>
      <c r="QS689" s="770"/>
      <c r="QT689" s="770"/>
      <c r="QU689" s="770"/>
      <c r="QV689" s="770"/>
      <c r="QW689" s="770"/>
      <c r="QX689" s="770"/>
      <c r="QY689" s="770"/>
      <c r="QZ689" s="770"/>
      <c r="RA689" s="770"/>
      <c r="RB689" s="770"/>
      <c r="RC689" s="770"/>
      <c r="RD689" s="770"/>
      <c r="RE689" s="770"/>
      <c r="RF689" s="304"/>
      <c r="RG689" s="770"/>
      <c r="RH689" s="306"/>
      <c r="RI689" s="770"/>
      <c r="RJ689" s="94" t="s">
        <v>13904</v>
      </c>
      <c r="RK689" s="770" t="s">
        <v>13550</v>
      </c>
      <c r="RL689" s="1710">
        <v>42843</v>
      </c>
      <c r="RM689" s="12"/>
      <c r="RN689" s="1711"/>
      <c r="RO689" s="149" t="s">
        <v>4517</v>
      </c>
      <c r="RP689" s="11"/>
      <c r="RQ689" s="11"/>
      <c r="RR689" s="17"/>
      <c r="RS689" s="767"/>
      <c r="RT689" s="11"/>
      <c r="RU689" s="11"/>
      <c r="RV689" s="771" t="s">
        <v>7421</v>
      </c>
      <c r="RW689" s="11" t="s">
        <v>8013</v>
      </c>
      <c r="RX689" s="11" t="s">
        <v>4498</v>
      </c>
      <c r="RY689" s="11"/>
      <c r="RZ689" s="11" t="s">
        <v>1101</v>
      </c>
      <c r="SA689" s="771"/>
      <c r="SB689" s="11"/>
      <c r="SC689" s="11"/>
    </row>
    <row r="690" spans="1:497" ht="12.75" customHeight="1">
      <c r="A690" s="19" t="s">
        <v>7421</v>
      </c>
      <c r="B690" s="292" t="s">
        <v>8015</v>
      </c>
      <c r="C690" s="149" t="s">
        <v>4524</v>
      </c>
      <c r="D690" s="94" t="s">
        <v>4529</v>
      </c>
      <c r="E690" s="766" t="s">
        <v>4525</v>
      </c>
      <c r="F690" s="770" t="s">
        <v>28</v>
      </c>
      <c r="G690" s="770" t="s">
        <v>18</v>
      </c>
      <c r="H690" s="12"/>
      <c r="I690" s="12" t="s">
        <v>4526</v>
      </c>
      <c r="J690" s="94" t="s">
        <v>4530</v>
      </c>
      <c r="K690" s="766" t="s">
        <v>4527</v>
      </c>
      <c r="L690" s="766" t="s">
        <v>3152</v>
      </c>
      <c r="M690" s="770" t="s">
        <v>1238</v>
      </c>
      <c r="N690" s="1757"/>
      <c r="O690" s="1757" t="s">
        <v>3078</v>
      </c>
      <c r="P690" s="94" t="s">
        <v>4528</v>
      </c>
      <c r="Q690" s="1088">
        <v>18055</v>
      </c>
      <c r="R690" s="297">
        <v>68</v>
      </c>
      <c r="S690" s="770" t="s">
        <v>18</v>
      </c>
      <c r="T690" s="770"/>
      <c r="U690" s="12" t="s">
        <v>4526</v>
      </c>
      <c r="V690" s="770" t="s">
        <v>719</v>
      </c>
      <c r="W690" s="770"/>
      <c r="X690" s="770"/>
      <c r="Y690" s="770" t="s">
        <v>4525</v>
      </c>
      <c r="Z690" s="770" t="s">
        <v>731</v>
      </c>
      <c r="AA690" s="770" t="s">
        <v>2586</v>
      </c>
      <c r="AB690" s="770" t="s">
        <v>710</v>
      </c>
      <c r="AC690" s="770" t="s">
        <v>724</v>
      </c>
      <c r="AD690" s="770" t="s">
        <v>711</v>
      </c>
      <c r="AE690" s="770"/>
      <c r="AF690" s="770" t="s">
        <v>712</v>
      </c>
      <c r="AG690" s="766" t="s">
        <v>1132</v>
      </c>
      <c r="AH690" s="766" t="s">
        <v>1096</v>
      </c>
      <c r="AI690" s="75"/>
      <c r="AJ690" s="766" t="s">
        <v>1137</v>
      </c>
      <c r="AK690" s="766" t="s">
        <v>1101</v>
      </c>
      <c r="AL690" s="120">
        <v>18</v>
      </c>
      <c r="AM690" s="773">
        <v>0.8</v>
      </c>
      <c r="AN690" s="37">
        <f t="shared" si="207"/>
        <v>4.4444444444444446E-2</v>
      </c>
      <c r="AO690" s="766" t="s">
        <v>1098</v>
      </c>
      <c r="AP690" s="1775"/>
      <c r="AQ690" s="1775"/>
      <c r="AR690" s="1775"/>
      <c r="AS690" s="766"/>
      <c r="AT690" s="766"/>
      <c r="AU690" s="766"/>
      <c r="AV690" s="766"/>
      <c r="AW690" s="766"/>
      <c r="AX690" s="766"/>
      <c r="AY690" s="766"/>
      <c r="AZ690" s="766"/>
      <c r="BA690" s="766"/>
      <c r="BB690" s="766"/>
      <c r="BC690" s="766"/>
      <c r="BD690" s="766"/>
      <c r="BE690" s="766"/>
      <c r="BF690" s="775"/>
      <c r="BG690" s="775"/>
      <c r="BH690" s="770"/>
      <c r="BI690" s="770"/>
      <c r="BJ690" s="770"/>
      <c r="BK690" s="770" t="s">
        <v>1095</v>
      </c>
      <c r="BL690" s="770" t="s">
        <v>4531</v>
      </c>
      <c r="BM690" s="766" t="s">
        <v>1096</v>
      </c>
      <c r="BN690" s="766" t="s">
        <v>1230</v>
      </c>
      <c r="BO690" s="766" t="s">
        <v>1246</v>
      </c>
      <c r="BP690" s="1109">
        <v>18</v>
      </c>
      <c r="BQ690" s="773">
        <v>0.8</v>
      </c>
      <c r="BR690" s="774">
        <f>BQ690/BP690</f>
        <v>4.4444444444444446E-2</v>
      </c>
      <c r="BS690" s="766" t="s">
        <v>1242</v>
      </c>
      <c r="BT690" s="766" t="s">
        <v>8133</v>
      </c>
      <c r="BU690" s="770" t="s">
        <v>1249</v>
      </c>
      <c r="BV690" s="770" t="s">
        <v>1247</v>
      </c>
      <c r="BW690" s="770">
        <v>1949</v>
      </c>
      <c r="BX690" s="302"/>
      <c r="BY690" s="770"/>
      <c r="BZ690" s="302"/>
      <c r="CA690" s="770"/>
      <c r="CB690" s="770"/>
      <c r="CC690" s="770"/>
      <c r="CD690" s="770"/>
      <c r="CE690" s="131"/>
      <c r="CF690" s="304"/>
      <c r="CG690" s="321"/>
      <c r="CH690" s="12"/>
      <c r="CI690" s="770"/>
      <c r="CJ690" s="12"/>
      <c r="CK690" s="770"/>
      <c r="CL690" s="770"/>
      <c r="CM690" s="770"/>
      <c r="CN690" s="770"/>
      <c r="CO690" s="770"/>
      <c r="CP690" s="770"/>
      <c r="CQ690" s="770"/>
      <c r="CR690" s="302"/>
      <c r="CS690" s="770"/>
      <c r="CT690" s="770"/>
      <c r="CU690" s="305"/>
      <c r="CV690" s="770"/>
      <c r="CW690" s="770"/>
      <c r="CX690" s="770"/>
      <c r="CY690" s="770"/>
      <c r="CZ690" s="770"/>
      <c r="DA690" s="306"/>
      <c r="DB690" s="770"/>
      <c r="DC690" s="770"/>
      <c r="DD690" s="770"/>
      <c r="DE690" s="300"/>
      <c r="DF690" s="770"/>
      <c r="DG690" s="770"/>
      <c r="DH690" s="770"/>
      <c r="DI690" s="770"/>
      <c r="DJ690" s="770"/>
      <c r="DK690" s="770"/>
      <c r="DL690" s="770"/>
      <c r="DM690" s="770"/>
      <c r="DN690" s="322"/>
      <c r="DO690" s="770"/>
      <c r="DP690" s="770"/>
      <c r="DQ690" s="770"/>
      <c r="DR690" s="770"/>
      <c r="DS690" s="307"/>
      <c r="DT690" s="770"/>
      <c r="DU690" s="770"/>
      <c r="DV690" s="770"/>
      <c r="DW690" s="306"/>
      <c r="DX690" s="306"/>
      <c r="DY690" s="1055"/>
      <c r="DZ690" s="770"/>
      <c r="EA690" s="770"/>
      <c r="EB690" s="770"/>
      <c r="EC690" s="770"/>
      <c r="ED690" s="770"/>
      <c r="EE690" s="770"/>
      <c r="EF690" s="770"/>
      <c r="EG690" s="770"/>
      <c r="EH690" s="770"/>
      <c r="EI690" s="770"/>
      <c r="EJ690" s="770"/>
      <c r="EK690" s="770"/>
      <c r="EL690" s="770"/>
      <c r="EM690" s="770"/>
      <c r="EN690" s="770"/>
      <c r="EO690" s="770"/>
      <c r="EP690" s="94"/>
      <c r="EQ690" s="770"/>
      <c r="ER690" s="770"/>
      <c r="ES690" s="770"/>
      <c r="ET690" s="770"/>
      <c r="EU690" s="770"/>
      <c r="EV690" s="770"/>
      <c r="EW690" s="770"/>
      <c r="EX690" s="770"/>
      <c r="EY690" s="770"/>
      <c r="EZ690" s="770"/>
      <c r="FA690" s="770"/>
      <c r="FB690" s="1776"/>
      <c r="FC690" s="770"/>
      <c r="FD690" s="302"/>
      <c r="FE690" s="770"/>
      <c r="FF690" s="770"/>
      <c r="FG690" s="770"/>
      <c r="FH690" s="770" t="s">
        <v>478</v>
      </c>
      <c r="FI690" s="770">
        <v>1</v>
      </c>
      <c r="FJ690" s="770"/>
      <c r="FK690" s="770"/>
      <c r="FL690" s="770"/>
      <c r="FM690" s="302"/>
      <c r="FN690" s="302"/>
      <c r="FO690" s="302"/>
      <c r="FP690" s="770" t="s">
        <v>1600</v>
      </c>
      <c r="FQ690" s="770" t="s">
        <v>3940</v>
      </c>
      <c r="FR690" s="770" t="s">
        <v>1214</v>
      </c>
      <c r="FS690" s="770"/>
      <c r="FT690" s="770"/>
      <c r="FU690" s="770"/>
      <c r="FV690" s="770"/>
      <c r="FW690" s="770"/>
      <c r="FX690" s="770"/>
      <c r="FY690" s="770"/>
      <c r="FZ690" s="770"/>
      <c r="GA690" s="770"/>
      <c r="GB690" s="770" t="s">
        <v>1734</v>
      </c>
      <c r="GC690" s="308"/>
      <c r="GD690" s="308">
        <v>1949</v>
      </c>
      <c r="GE690" s="770" t="s">
        <v>1214</v>
      </c>
      <c r="GF690" s="302"/>
      <c r="GG690" s="302"/>
      <c r="GH690" s="770"/>
      <c r="GI690" s="770"/>
      <c r="GJ690" s="770"/>
      <c r="GK690" s="770"/>
      <c r="GL690" s="770"/>
      <c r="GM690" s="770"/>
      <c r="GN690" s="299"/>
      <c r="GO690" s="770"/>
      <c r="GP690" s="770"/>
      <c r="GQ690" s="770"/>
      <c r="GR690" s="770"/>
      <c r="GS690" s="770"/>
      <c r="GT690" s="770"/>
      <c r="GU690" s="770"/>
      <c r="GV690" s="770"/>
      <c r="GW690" s="770"/>
      <c r="GX690" s="770"/>
      <c r="GY690" s="770"/>
      <c r="GZ690" s="770"/>
      <c r="HA690" s="770"/>
      <c r="HB690" s="770"/>
      <c r="HC690" s="770"/>
      <c r="HD690" s="770"/>
      <c r="HE690" s="770"/>
      <c r="HF690" s="770"/>
      <c r="HG690" s="770"/>
      <c r="HH690" s="770"/>
      <c r="HI690" s="770"/>
      <c r="HJ690" s="770"/>
      <c r="HK690" s="770"/>
      <c r="HL690" s="770"/>
      <c r="HM690" s="770"/>
      <c r="HN690" s="770"/>
      <c r="HO690" s="770"/>
      <c r="HP690" s="770"/>
      <c r="HQ690" s="770"/>
      <c r="HR690" s="770">
        <v>1</v>
      </c>
      <c r="HS690" s="770"/>
      <c r="HT690" s="770"/>
      <c r="HU690" s="770"/>
      <c r="HV690" s="770"/>
      <c r="HW690" s="770"/>
      <c r="HX690" s="770"/>
      <c r="HY690" s="770"/>
      <c r="HZ690" s="770"/>
      <c r="IA690" s="770"/>
      <c r="IB690" s="14" t="e">
        <f>IF(#REF!&gt;0,IF(#REF!&lt;=10000,"Y",""),"")</f>
        <v>#REF!</v>
      </c>
      <c r="IC690" s="770" t="s">
        <v>1207</v>
      </c>
      <c r="ID690" s="770">
        <v>1</v>
      </c>
      <c r="IE690" s="770"/>
      <c r="IF690" s="770"/>
      <c r="IG690" s="770"/>
      <c r="IH690" s="770"/>
      <c r="II690" s="770"/>
      <c r="IJ690" s="770"/>
      <c r="IK690" s="770"/>
      <c r="IL690" s="770"/>
      <c r="IM690" s="770"/>
      <c r="IN690" s="770"/>
      <c r="IO690" s="296"/>
      <c r="IP690" s="770"/>
      <c r="IQ690" s="770"/>
      <c r="IR690" s="770"/>
      <c r="IS690" s="770"/>
      <c r="IT690" s="770"/>
      <c r="IU690" s="770"/>
      <c r="IV690" s="770"/>
      <c r="IW690" s="770"/>
      <c r="IX690" s="770"/>
      <c r="IY690" s="770"/>
      <c r="IZ690" s="770"/>
      <c r="JA690" s="770"/>
      <c r="JB690" s="770"/>
      <c r="JC690" s="770"/>
      <c r="JD690" s="302"/>
      <c r="JE690" s="770"/>
      <c r="JF690" s="770"/>
      <c r="JG690" s="770"/>
      <c r="JH690" s="307"/>
      <c r="JI690" s="712" t="str">
        <f>IF(SUM(JT690,JU690)=JJ690,"ok","review")</f>
        <v>ok</v>
      </c>
      <c r="JJ690" s="770">
        <v>3</v>
      </c>
      <c r="JK690" s="1139" t="s">
        <v>11273</v>
      </c>
      <c r="JL690" s="766"/>
      <c r="JM690" s="766"/>
      <c r="JN690" s="766">
        <v>1</v>
      </c>
      <c r="JO690" s="766">
        <v>1</v>
      </c>
      <c r="JP690" s="766"/>
      <c r="JQ690" s="766">
        <v>1</v>
      </c>
      <c r="JR690" s="766"/>
      <c r="JS690" s="766"/>
      <c r="JT690" s="766">
        <f t="shared" ref="JT690:JU692" si="211">SUM(JP690,JN690,JL690,JR690)</f>
        <v>1</v>
      </c>
      <c r="JU690" s="766">
        <f t="shared" si="211"/>
        <v>2</v>
      </c>
      <c r="JV690" s="712" t="str">
        <f>IF(JT690=KJ690,"ok","male")</f>
        <v>ok</v>
      </c>
      <c r="JW690" s="712" t="str">
        <f>IF(JU690=KK690,"ok","female")</f>
        <v>ok</v>
      </c>
      <c r="JX690" s="770"/>
      <c r="JY690" s="770"/>
      <c r="JZ690" s="770"/>
      <c r="KA690" s="770"/>
      <c r="KB690" s="770">
        <v>1</v>
      </c>
      <c r="KC690" s="770"/>
      <c r="KD690" s="770"/>
      <c r="KE690" s="770">
        <v>1</v>
      </c>
      <c r="KF690" s="770"/>
      <c r="KG690" s="770">
        <v>1</v>
      </c>
      <c r="KH690" s="770"/>
      <c r="KI690" s="770"/>
      <c r="KJ690" s="770">
        <f t="shared" si="204"/>
        <v>1</v>
      </c>
      <c r="KK690" s="770">
        <f t="shared" si="204"/>
        <v>2</v>
      </c>
      <c r="KL690" s="712" t="str">
        <f>IF(KJ690=LN690,"ok","male")</f>
        <v>ok</v>
      </c>
      <c r="KM690" s="712" t="str">
        <f>IF(KK690=LO690,"ok","female")</f>
        <v>ok</v>
      </c>
      <c r="KN690" s="770" t="s">
        <v>719</v>
      </c>
      <c r="KO690" s="770"/>
      <c r="KP690" s="770"/>
      <c r="KQ690" s="770"/>
      <c r="KR690" s="770"/>
      <c r="KS690" s="770"/>
      <c r="KT690" s="770"/>
      <c r="KU690" s="770"/>
      <c r="KV690" s="770"/>
      <c r="KW690" s="770"/>
      <c r="KX690" s="770"/>
      <c r="KY690" s="770"/>
      <c r="KZ690" s="770"/>
      <c r="LA690" s="770"/>
      <c r="LB690" s="770">
        <v>1</v>
      </c>
      <c r="LC690" s="770">
        <v>1</v>
      </c>
      <c r="LD690" s="770"/>
      <c r="LE690" s="770">
        <v>1</v>
      </c>
      <c r="LF690" s="770"/>
      <c r="LG690" s="770"/>
      <c r="LH690" s="770"/>
      <c r="LI690" s="770"/>
      <c r="LJ690" s="770"/>
      <c r="LK690" s="770"/>
      <c r="LL690" s="770"/>
      <c r="LM690" s="770"/>
      <c r="LN690" s="766">
        <f t="shared" si="209"/>
        <v>1</v>
      </c>
      <c r="LO690" s="766">
        <f t="shared" si="209"/>
        <v>2</v>
      </c>
      <c r="LP690" s="770">
        <v>2</v>
      </c>
      <c r="LQ690" s="770">
        <v>1</v>
      </c>
      <c r="LR690" s="770"/>
      <c r="LS690" s="770">
        <v>1</v>
      </c>
      <c r="LT690" s="712" t="str">
        <f>IF(LQ690=SUM(LU690:LW690),"OK","REV")</f>
        <v>OK</v>
      </c>
      <c r="LU690" s="770">
        <v>1</v>
      </c>
      <c r="LV690" s="770"/>
      <c r="LW690" s="770"/>
      <c r="LX690" s="769">
        <v>1</v>
      </c>
      <c r="LY690" s="766" t="str">
        <f t="shared" si="210"/>
        <v>within the BRGY</v>
      </c>
      <c r="LZ690" s="1709">
        <v>1100</v>
      </c>
      <c r="MA690" s="1709"/>
      <c r="MB690" s="1709"/>
      <c r="MC690" s="1679">
        <f t="shared" si="208"/>
        <v>1100</v>
      </c>
      <c r="MD690" s="1709">
        <v>15000</v>
      </c>
      <c r="ME690" s="1709"/>
      <c r="MF690" s="1709">
        <f>3500+2200</f>
        <v>5700</v>
      </c>
      <c r="MG690" s="1680">
        <f>SUM(MD690:MF690)</f>
        <v>20700</v>
      </c>
      <c r="MH690" s="770" t="s">
        <v>11305</v>
      </c>
      <c r="MI690" s="302">
        <v>6000</v>
      </c>
      <c r="MJ690" s="302">
        <v>2000</v>
      </c>
      <c r="MK690" s="302">
        <v>500</v>
      </c>
      <c r="ML690" s="302">
        <v>1000</v>
      </c>
      <c r="MM690" s="302"/>
      <c r="MN690" s="302"/>
      <c r="MO690" s="302">
        <v>500</v>
      </c>
      <c r="MP690" s="302">
        <v>200</v>
      </c>
      <c r="MQ690" s="302">
        <v>300</v>
      </c>
      <c r="MR690" s="302">
        <v>400</v>
      </c>
      <c r="MS690" s="302">
        <v>500</v>
      </c>
      <c r="MT690" s="302"/>
      <c r="MU690" s="302"/>
      <c r="MV690" s="302"/>
      <c r="MW690" s="302"/>
      <c r="MX690" s="302"/>
      <c r="MY690" s="1682">
        <f t="shared" si="200"/>
        <v>11400</v>
      </c>
      <c r="MZ690" s="770" t="s">
        <v>13370</v>
      </c>
      <c r="NA690" s="770" t="s">
        <v>13005</v>
      </c>
      <c r="NB690" s="770" t="s">
        <v>13016</v>
      </c>
      <c r="NC690" s="770" t="s">
        <v>13602</v>
      </c>
      <c r="ND690" s="770">
        <v>0</v>
      </c>
      <c r="NE690" s="770">
        <v>0</v>
      </c>
      <c r="NF690" s="770">
        <v>0</v>
      </c>
      <c r="NG690" s="770">
        <v>3</v>
      </c>
      <c r="NH690" s="770">
        <v>2</v>
      </c>
      <c r="NI690" s="770">
        <v>0</v>
      </c>
      <c r="NJ690" s="770">
        <v>3</v>
      </c>
      <c r="NK690" s="770">
        <v>0</v>
      </c>
      <c r="NL690" s="770">
        <v>1</v>
      </c>
      <c r="NM690" s="770">
        <v>0</v>
      </c>
      <c r="NN690" s="770">
        <v>0</v>
      </c>
      <c r="NO690" s="770">
        <v>0</v>
      </c>
      <c r="NP690" s="770">
        <v>0</v>
      </c>
      <c r="NQ690" s="770">
        <v>0</v>
      </c>
      <c r="NR690" s="770">
        <v>0</v>
      </c>
      <c r="NS690" s="770">
        <v>0</v>
      </c>
      <c r="NT690" s="770">
        <v>0</v>
      </c>
      <c r="NU690" s="770">
        <v>0</v>
      </c>
      <c r="NV690" s="770">
        <v>0</v>
      </c>
      <c r="NW690" s="770">
        <v>0</v>
      </c>
      <c r="NX690" s="770">
        <v>0</v>
      </c>
      <c r="NY690" s="770" t="s">
        <v>1208</v>
      </c>
      <c r="NZ690" s="770"/>
      <c r="OA690" s="770"/>
      <c r="OB690" s="770" t="s">
        <v>1208</v>
      </c>
      <c r="OC690" s="770" t="s">
        <v>1208</v>
      </c>
      <c r="OD690" s="770"/>
      <c r="OE690" s="770"/>
      <c r="OF690" s="770"/>
      <c r="OG690" s="770"/>
      <c r="OH690" s="770"/>
      <c r="OI690" s="770"/>
      <c r="OJ690" s="770"/>
      <c r="OK690" s="770"/>
      <c r="OL690" s="770"/>
      <c r="OM690" s="770"/>
      <c r="ON690" s="770"/>
      <c r="OO690" s="770"/>
      <c r="OP690" s="770"/>
      <c r="OQ690" s="770"/>
      <c r="OR690" s="770"/>
      <c r="OS690" s="770"/>
      <c r="OT690" s="770"/>
      <c r="OU690" s="770"/>
      <c r="OV690" s="770"/>
      <c r="OW690" s="770"/>
      <c r="OX690" s="770"/>
      <c r="OY690" s="770"/>
      <c r="OZ690" s="770"/>
      <c r="PA690" s="770"/>
      <c r="PB690" s="770"/>
      <c r="PC690" s="770"/>
      <c r="PD690" s="770"/>
      <c r="PE690" s="770"/>
      <c r="PF690" s="770"/>
      <c r="PG690" s="770"/>
      <c r="PH690" s="770"/>
      <c r="PI690" s="770"/>
      <c r="PJ690" s="770"/>
      <c r="PK690" s="770"/>
      <c r="PL690" s="770"/>
      <c r="PM690" s="770"/>
      <c r="PN690" s="770"/>
      <c r="PO690" s="770"/>
      <c r="PP690" s="770"/>
      <c r="PQ690" s="770"/>
      <c r="PR690" s="770"/>
      <c r="PS690" s="770"/>
      <c r="PT690" s="770"/>
      <c r="PU690" s="770"/>
      <c r="PV690" s="770"/>
      <c r="PW690" s="770"/>
      <c r="PX690" s="770"/>
      <c r="PY690" s="770"/>
      <c r="PZ690" s="770"/>
      <c r="QA690" s="770"/>
      <c r="QB690" s="770"/>
      <c r="QC690" s="770"/>
      <c r="QD690" s="770"/>
      <c r="QE690" s="770"/>
      <c r="QF690" s="770"/>
      <c r="QG690" s="770"/>
      <c r="QH690" s="770"/>
      <c r="QI690" s="770"/>
      <c r="QJ690" s="770"/>
      <c r="QK690" s="770"/>
      <c r="QL690" s="770"/>
      <c r="QM690" s="770"/>
      <c r="QN690" s="770"/>
      <c r="QO690" s="770"/>
      <c r="QP690" s="770"/>
      <c r="QQ690" s="770"/>
      <c r="QR690" s="770"/>
      <c r="QS690" s="770"/>
      <c r="QT690" s="770"/>
      <c r="QU690" s="770"/>
      <c r="QV690" s="770"/>
      <c r="QW690" s="770"/>
      <c r="QX690" s="770"/>
      <c r="QY690" s="770"/>
      <c r="QZ690" s="770"/>
      <c r="RA690" s="770"/>
      <c r="RB690" s="770" t="s">
        <v>1207</v>
      </c>
      <c r="RC690" s="770">
        <v>2015</v>
      </c>
      <c r="RD690" s="770" t="s">
        <v>13251</v>
      </c>
      <c r="RE690" s="770" t="s">
        <v>13008</v>
      </c>
      <c r="RF690" s="304">
        <v>0.25</v>
      </c>
      <c r="RG690" s="770" t="s">
        <v>13905</v>
      </c>
      <c r="RH690" s="306">
        <v>0</v>
      </c>
      <c r="RI690" s="770">
        <v>1</v>
      </c>
      <c r="RJ690" s="94" t="s">
        <v>13906</v>
      </c>
      <c r="RK690" s="770" t="s">
        <v>13550</v>
      </c>
      <c r="RL690" s="1710">
        <v>42844</v>
      </c>
      <c r="RM690" s="12"/>
      <c r="RN690" s="1711"/>
      <c r="RO690" s="149" t="s">
        <v>4524</v>
      </c>
      <c r="RP690" s="11"/>
      <c r="RQ690" s="11"/>
      <c r="RR690" s="19" t="s">
        <v>7421</v>
      </c>
      <c r="RS690" s="1139" t="s">
        <v>12980</v>
      </c>
      <c r="RT690" s="11"/>
      <c r="RU690" s="11"/>
      <c r="RV690" s="771" t="s">
        <v>7421</v>
      </c>
      <c r="RW690" s="11" t="s">
        <v>7432</v>
      </c>
      <c r="RX690" s="11" t="s">
        <v>4510</v>
      </c>
      <c r="RY690" s="11"/>
      <c r="RZ690" s="11" t="s">
        <v>1101</v>
      </c>
      <c r="SA690" s="771"/>
      <c r="SB690" s="11"/>
      <c r="SC690" s="11"/>
    </row>
    <row r="691" spans="1:497" ht="12.75" customHeight="1">
      <c r="A691" s="19" t="s">
        <v>7421</v>
      </c>
      <c r="B691" s="292" t="s">
        <v>8016</v>
      </c>
      <c r="C691" s="149" t="s">
        <v>3070</v>
      </c>
      <c r="D691" s="94" t="s">
        <v>4532</v>
      </c>
      <c r="E691" s="766" t="s">
        <v>4533</v>
      </c>
      <c r="F691" s="770" t="s">
        <v>28</v>
      </c>
      <c r="G691" s="770" t="s">
        <v>10</v>
      </c>
      <c r="H691" s="94" t="s">
        <v>3072</v>
      </c>
      <c r="I691" s="295"/>
      <c r="J691" s="94" t="s">
        <v>4532</v>
      </c>
      <c r="K691" s="766" t="s">
        <v>4534</v>
      </c>
      <c r="L691" s="766" t="s">
        <v>4535</v>
      </c>
      <c r="M691" s="770" t="s">
        <v>1238</v>
      </c>
      <c r="N691" s="1757" t="s">
        <v>11667</v>
      </c>
      <c r="O691" s="1757" t="s">
        <v>11668</v>
      </c>
      <c r="P691" s="94" t="s">
        <v>11663</v>
      </c>
      <c r="Q691" s="1088">
        <v>25847</v>
      </c>
      <c r="R691" s="297">
        <v>46</v>
      </c>
      <c r="S691" s="770" t="s">
        <v>10</v>
      </c>
      <c r="T691" s="770" t="s">
        <v>11664</v>
      </c>
      <c r="U691" s="12"/>
      <c r="V691" s="770" t="s">
        <v>768</v>
      </c>
      <c r="W691" s="770"/>
      <c r="X691" s="770"/>
      <c r="Y691" s="766" t="s">
        <v>4533</v>
      </c>
      <c r="Z691" s="770" t="s">
        <v>708</v>
      </c>
      <c r="AA691" s="770" t="s">
        <v>709</v>
      </c>
      <c r="AB691" s="12"/>
      <c r="AC691" s="770"/>
      <c r="AD691" s="770"/>
      <c r="AE691" s="770"/>
      <c r="AF691" s="770"/>
      <c r="AG691" s="766" t="s">
        <v>1132</v>
      </c>
      <c r="AH691" s="766" t="s">
        <v>1096</v>
      </c>
      <c r="AI691" s="75"/>
      <c r="AJ691" s="766" t="s">
        <v>1137</v>
      </c>
      <c r="AK691" s="1828" t="s">
        <v>1101</v>
      </c>
      <c r="AL691" s="120">
        <v>61.6</v>
      </c>
      <c r="AM691" s="773">
        <v>5.6</v>
      </c>
      <c r="AN691" s="37">
        <f t="shared" si="207"/>
        <v>9.0909090909090898E-2</v>
      </c>
      <c r="AO691" s="766" t="s">
        <v>1098</v>
      </c>
      <c r="AP691" s="1775"/>
      <c r="AQ691" s="1775"/>
      <c r="AR691" s="1775"/>
      <c r="AS691" s="766"/>
      <c r="AT691" s="766"/>
      <c r="AU691" s="766"/>
      <c r="AV691" s="766"/>
      <c r="AW691" s="766"/>
      <c r="AX691" s="766"/>
      <c r="AY691" s="766"/>
      <c r="AZ691" s="766"/>
      <c r="BA691" s="766"/>
      <c r="BB691" s="766"/>
      <c r="BC691" s="766"/>
      <c r="BD691" s="766"/>
      <c r="BE691" s="766"/>
      <c r="BF691" s="775"/>
      <c r="BG691" s="775"/>
      <c r="BH691" s="770"/>
      <c r="BI691" s="770"/>
      <c r="BJ691" s="770"/>
      <c r="BK691" s="770" t="s">
        <v>1095</v>
      </c>
      <c r="BL691" s="770" t="s">
        <v>4536</v>
      </c>
      <c r="BM691" s="770" t="s">
        <v>8127</v>
      </c>
      <c r="BN691" s="766" t="s">
        <v>1230</v>
      </c>
      <c r="BO691" s="766" t="s">
        <v>1239</v>
      </c>
      <c r="BP691" s="765">
        <v>122.12</v>
      </c>
      <c r="BQ691" s="773">
        <v>5.6</v>
      </c>
      <c r="BR691" s="774">
        <f>BQ691/BP691</f>
        <v>4.585653455617425E-2</v>
      </c>
      <c r="BS691" s="766" t="s">
        <v>1242</v>
      </c>
      <c r="BT691" s="766" t="s">
        <v>8133</v>
      </c>
      <c r="BU691" s="770" t="s">
        <v>1249</v>
      </c>
      <c r="BV691" s="770" t="s">
        <v>1247</v>
      </c>
      <c r="BW691" s="770">
        <v>1972</v>
      </c>
      <c r="BX691" s="302"/>
      <c r="BY691" s="770"/>
      <c r="BZ691" s="302"/>
      <c r="CA691" s="770"/>
      <c r="CB691" s="770"/>
      <c r="CC691" s="770"/>
      <c r="CD691" s="770"/>
      <c r="CE691" s="131"/>
      <c r="CF691" s="304"/>
      <c r="CG691" s="321"/>
      <c r="CH691" s="12"/>
      <c r="CI691" s="770"/>
      <c r="CJ691" s="12"/>
      <c r="CK691" s="770"/>
      <c r="CL691" s="770"/>
      <c r="CM691" s="770"/>
      <c r="CN691" s="770"/>
      <c r="CO691" s="770"/>
      <c r="CP691" s="770"/>
      <c r="CQ691" s="770"/>
      <c r="CR691" s="302"/>
      <c r="CS691" s="770"/>
      <c r="CT691" s="770"/>
      <c r="CU691" s="305"/>
      <c r="CV691" s="770"/>
      <c r="CW691" s="770"/>
      <c r="CX691" s="770"/>
      <c r="CY691" s="770"/>
      <c r="CZ691" s="770"/>
      <c r="DA691" s="306"/>
      <c r="DB691" s="770"/>
      <c r="DC691" s="770"/>
      <c r="DD691" s="770"/>
      <c r="DE691" s="300"/>
      <c r="DF691" s="770"/>
      <c r="DG691" s="770"/>
      <c r="DH691" s="770"/>
      <c r="DI691" s="770"/>
      <c r="DJ691" s="770"/>
      <c r="DK691" s="770"/>
      <c r="DL691" s="770"/>
      <c r="DM691" s="770"/>
      <c r="DN691" s="322"/>
      <c r="DO691" s="770"/>
      <c r="DP691" s="770"/>
      <c r="DQ691" s="770"/>
      <c r="DR691" s="770"/>
      <c r="DS691" s="307"/>
      <c r="DT691" s="770"/>
      <c r="DU691" s="770"/>
      <c r="DV691" s="770"/>
      <c r="DW691" s="306"/>
      <c r="DX691" s="306"/>
      <c r="DY691" s="1055"/>
      <c r="DZ691" s="770"/>
      <c r="EA691" s="770"/>
      <c r="EB691" s="770"/>
      <c r="EC691" s="770"/>
      <c r="ED691" s="770"/>
      <c r="EE691" s="770"/>
      <c r="EF691" s="770"/>
      <c r="EG691" s="770"/>
      <c r="EH691" s="770"/>
      <c r="EI691" s="770"/>
      <c r="EJ691" s="770"/>
      <c r="EK691" s="770"/>
      <c r="EL691" s="770"/>
      <c r="EM691" s="770"/>
      <c r="EN691" s="770"/>
      <c r="EO691" s="770"/>
      <c r="EP691" s="94"/>
      <c r="EQ691" s="770"/>
      <c r="ER691" s="770"/>
      <c r="ES691" s="770"/>
      <c r="ET691" s="770"/>
      <c r="EU691" s="770"/>
      <c r="EV691" s="770"/>
      <c r="EW691" s="770"/>
      <c r="EX691" s="770"/>
      <c r="EY691" s="770"/>
      <c r="EZ691" s="770"/>
      <c r="FA691" s="770"/>
      <c r="FB691" s="1776"/>
      <c r="FC691" s="770"/>
      <c r="FD691" s="302"/>
      <c r="FE691" s="770"/>
      <c r="FF691" s="770"/>
      <c r="FG691" s="770"/>
      <c r="FH691" s="770" t="s">
        <v>478</v>
      </c>
      <c r="FI691" s="770"/>
      <c r="FJ691" s="770"/>
      <c r="FK691" s="770"/>
      <c r="FL691" s="770"/>
      <c r="FM691" s="302"/>
      <c r="FN691" s="302"/>
      <c r="FO691" s="302"/>
      <c r="FP691" s="770" t="s">
        <v>1600</v>
      </c>
      <c r="FQ691" s="770" t="s">
        <v>1642</v>
      </c>
      <c r="FR691" s="770" t="s">
        <v>1214</v>
      </c>
      <c r="FS691" s="770"/>
      <c r="FT691" s="770"/>
      <c r="FU691" s="770"/>
      <c r="FV691" s="770"/>
      <c r="FW691" s="770"/>
      <c r="FX691" s="770"/>
      <c r="FY691" s="770"/>
      <c r="FZ691" s="770"/>
      <c r="GA691" s="770"/>
      <c r="GB691" s="770" t="s">
        <v>1734</v>
      </c>
      <c r="GC691" s="308"/>
      <c r="GD691" s="297">
        <v>1972</v>
      </c>
      <c r="GE691" s="770" t="s">
        <v>1214</v>
      </c>
      <c r="GF691" s="302"/>
      <c r="GG691" s="302"/>
      <c r="GH691" s="770"/>
      <c r="GI691" s="770"/>
      <c r="GJ691" s="770"/>
      <c r="GK691" s="770"/>
      <c r="GL691" s="770"/>
      <c r="GM691" s="770"/>
      <c r="GN691" s="299"/>
      <c r="GO691" s="770"/>
      <c r="GP691" s="770"/>
      <c r="GQ691" s="770"/>
      <c r="GR691" s="770"/>
      <c r="GS691" s="770"/>
      <c r="GT691" s="770"/>
      <c r="GU691" s="770"/>
      <c r="GV691" s="770"/>
      <c r="GW691" s="770"/>
      <c r="GX691" s="770"/>
      <c r="GY691" s="770"/>
      <c r="GZ691" s="770"/>
      <c r="HA691" s="770"/>
      <c r="HB691" s="770"/>
      <c r="HC691" s="770"/>
      <c r="HD691" s="770"/>
      <c r="HE691" s="770"/>
      <c r="HF691" s="770"/>
      <c r="HG691" s="770"/>
      <c r="HH691" s="770"/>
      <c r="HI691" s="770"/>
      <c r="HJ691" s="770"/>
      <c r="HK691" s="770"/>
      <c r="HL691" s="770"/>
      <c r="HM691" s="770"/>
      <c r="HN691" s="770"/>
      <c r="HO691" s="770"/>
      <c r="HP691" s="770"/>
      <c r="HQ691" s="770"/>
      <c r="HR691" s="770"/>
      <c r="HS691" s="770"/>
      <c r="HT691" s="770"/>
      <c r="HU691" s="770"/>
      <c r="HV691" s="770"/>
      <c r="HW691" s="770"/>
      <c r="HX691" s="770"/>
      <c r="HY691" s="770"/>
      <c r="HZ691" s="770"/>
      <c r="IA691" s="770"/>
      <c r="IB691" s="14" t="e">
        <f>IF(#REF!&gt;0,IF(#REF!&lt;=10000,"Y",""),"")</f>
        <v>#REF!</v>
      </c>
      <c r="IC691" s="770"/>
      <c r="ID691" s="770"/>
      <c r="IE691" s="770"/>
      <c r="IF691" s="770"/>
      <c r="IG691" s="770"/>
      <c r="IH691" s="770"/>
      <c r="II691" s="770"/>
      <c r="IJ691" s="770"/>
      <c r="IK691" s="770"/>
      <c r="IL691" s="770"/>
      <c r="IM691" s="770"/>
      <c r="IN691" s="770"/>
      <c r="IO691" s="296"/>
      <c r="IP691" s="770"/>
      <c r="IQ691" s="770"/>
      <c r="IR691" s="770"/>
      <c r="IS691" s="770"/>
      <c r="IT691" s="770"/>
      <c r="IU691" s="770"/>
      <c r="IV691" s="770"/>
      <c r="IW691" s="770"/>
      <c r="IX691" s="770"/>
      <c r="IY691" s="770"/>
      <c r="IZ691" s="770"/>
      <c r="JA691" s="770"/>
      <c r="JB691" s="770"/>
      <c r="JC691" s="770"/>
      <c r="JD691" s="302"/>
      <c r="JE691" s="770"/>
      <c r="JF691" s="770"/>
      <c r="JG691" s="770"/>
      <c r="JH691" s="307"/>
      <c r="JI691" s="307"/>
      <c r="JJ691" s="770">
        <v>6</v>
      </c>
      <c r="JK691" s="1139" t="s">
        <v>4537</v>
      </c>
      <c r="JL691" s="770">
        <v>2</v>
      </c>
      <c r="JM691" s="770"/>
      <c r="JN691" s="770">
        <v>1</v>
      </c>
      <c r="JO691" s="770">
        <v>2</v>
      </c>
      <c r="JP691" s="770"/>
      <c r="JQ691" s="770">
        <v>1</v>
      </c>
      <c r="JR691" s="770"/>
      <c r="JS691" s="770"/>
      <c r="JT691" s="766">
        <f t="shared" si="211"/>
        <v>3</v>
      </c>
      <c r="JU691" s="766">
        <f t="shared" si="211"/>
        <v>3</v>
      </c>
      <c r="JV691" s="712" t="str">
        <f>IF(JT691=KJ691,"ok","male")</f>
        <v>ok</v>
      </c>
      <c r="JW691" s="712" t="str">
        <f>IF(JU691=KK691,"ok","female")</f>
        <v>ok</v>
      </c>
      <c r="JX691" s="770"/>
      <c r="JY691" s="770"/>
      <c r="JZ691" s="770">
        <v>2</v>
      </c>
      <c r="KA691" s="770"/>
      <c r="KB691" s="770"/>
      <c r="KC691" s="770">
        <v>1</v>
      </c>
      <c r="KD691" s="770">
        <v>1</v>
      </c>
      <c r="KE691" s="770">
        <v>1</v>
      </c>
      <c r="KF691" s="770"/>
      <c r="KG691" s="770">
        <v>1</v>
      </c>
      <c r="KH691" s="770"/>
      <c r="KI691" s="770"/>
      <c r="KJ691" s="770">
        <f t="shared" si="204"/>
        <v>3</v>
      </c>
      <c r="KK691" s="770">
        <f t="shared" si="204"/>
        <v>3</v>
      </c>
      <c r="KL691" s="712" t="str">
        <f>IF(KJ691=LN691,"ok","male")</f>
        <v>ok</v>
      </c>
      <c r="KM691" s="712" t="str">
        <f>IF(KK691=LO691,"ok","female")</f>
        <v>ok</v>
      </c>
      <c r="KN691" s="770" t="s">
        <v>768</v>
      </c>
      <c r="KO691" s="770"/>
      <c r="KP691" s="770"/>
      <c r="KQ691" s="770"/>
      <c r="KR691" s="770"/>
      <c r="KS691" s="770"/>
      <c r="KT691" s="770">
        <v>2</v>
      </c>
      <c r="KU691" s="770"/>
      <c r="KV691" s="770"/>
      <c r="KW691" s="770"/>
      <c r="KX691" s="770"/>
      <c r="KY691" s="770"/>
      <c r="KZ691" s="770">
        <v>1</v>
      </c>
      <c r="LA691" s="770">
        <v>3</v>
      </c>
      <c r="LB691" s="770"/>
      <c r="LC691" s="770"/>
      <c r="LD691" s="770"/>
      <c r="LE691" s="770"/>
      <c r="LF691" s="770"/>
      <c r="LG691" s="770"/>
      <c r="LH691" s="770"/>
      <c r="LI691" s="770"/>
      <c r="LJ691" s="770"/>
      <c r="LK691" s="770"/>
      <c r="LL691" s="770"/>
      <c r="LM691" s="770"/>
      <c r="LN691" s="766">
        <f t="shared" si="209"/>
        <v>3</v>
      </c>
      <c r="LO691" s="766">
        <f t="shared" si="209"/>
        <v>3</v>
      </c>
      <c r="LP691" s="770">
        <v>2</v>
      </c>
      <c r="LQ691" s="770"/>
      <c r="LR691" s="770"/>
      <c r="LS691" s="770">
        <v>2</v>
      </c>
      <c r="LT691" s="712" t="str">
        <f>IF(LQ691=SUM(LU691:LW691),"OK","REV")</f>
        <v>OK</v>
      </c>
      <c r="LU691" s="770"/>
      <c r="LV691" s="770"/>
      <c r="LW691" s="770"/>
      <c r="LX691" s="769">
        <v>1</v>
      </c>
      <c r="LY691" s="766" t="str">
        <f t="shared" si="210"/>
        <v>within the BRGY</v>
      </c>
      <c r="LZ691" s="1709">
        <v>7500</v>
      </c>
      <c r="MA691" s="1709"/>
      <c r="MB691" s="1709"/>
      <c r="MC691" s="1679">
        <f t="shared" si="208"/>
        <v>7500</v>
      </c>
      <c r="MD691" s="1709"/>
      <c r="ME691" s="1709"/>
      <c r="MF691" s="1709">
        <f>15000+4500</f>
        <v>19500</v>
      </c>
      <c r="MG691" s="1680">
        <f>SUM(MD691:MF691)</f>
        <v>19500</v>
      </c>
      <c r="MH691" s="770" t="s">
        <v>2968</v>
      </c>
      <c r="MI691" s="302">
        <v>3000</v>
      </c>
      <c r="MJ691" s="302">
        <v>7500</v>
      </c>
      <c r="MK691" s="302">
        <v>3000</v>
      </c>
      <c r="ML691" s="302"/>
      <c r="MM691" s="302">
        <v>1500</v>
      </c>
      <c r="MN691" s="302"/>
      <c r="MO691" s="302"/>
      <c r="MP691" s="302">
        <v>1400</v>
      </c>
      <c r="MQ691" s="302">
        <v>600</v>
      </c>
      <c r="MR691" s="302">
        <v>500</v>
      </c>
      <c r="MS691" s="302"/>
      <c r="MT691" s="302"/>
      <c r="MU691" s="302"/>
      <c r="MV691" s="302"/>
      <c r="MW691" s="302"/>
      <c r="MX691" s="302"/>
      <c r="MY691" s="1682">
        <f t="shared" si="200"/>
        <v>17500</v>
      </c>
      <c r="MZ691" s="770" t="s">
        <v>13370</v>
      </c>
      <c r="NA691" s="770" t="s">
        <v>13230</v>
      </c>
      <c r="NB691" s="770" t="s">
        <v>13016</v>
      </c>
      <c r="NC691" s="770" t="s">
        <v>13621</v>
      </c>
      <c r="ND691" s="770">
        <v>0</v>
      </c>
      <c r="NE691" s="770">
        <v>0</v>
      </c>
      <c r="NF691" s="770">
        <v>0</v>
      </c>
      <c r="NG691" s="770">
        <v>2</v>
      </c>
      <c r="NH691" s="770">
        <v>1</v>
      </c>
      <c r="NI691" s="770">
        <v>1</v>
      </c>
      <c r="NJ691" s="770">
        <v>0</v>
      </c>
      <c r="NK691" s="770">
        <v>0</v>
      </c>
      <c r="NL691" s="770">
        <v>0</v>
      </c>
      <c r="NM691" s="770">
        <v>0</v>
      </c>
      <c r="NN691" s="770">
        <v>0</v>
      </c>
      <c r="NO691" s="770">
        <v>0</v>
      </c>
      <c r="NP691" s="770">
        <v>0</v>
      </c>
      <c r="NQ691" s="770">
        <v>0</v>
      </c>
      <c r="NR691" s="770">
        <v>0</v>
      </c>
      <c r="NS691" s="770">
        <v>0</v>
      </c>
      <c r="NT691" s="770">
        <v>0</v>
      </c>
      <c r="NU691" s="770">
        <v>0</v>
      </c>
      <c r="NV691" s="770">
        <v>0</v>
      </c>
      <c r="NW691" s="770">
        <v>0</v>
      </c>
      <c r="NX691" s="770">
        <v>0</v>
      </c>
      <c r="NY691" s="770"/>
      <c r="NZ691" s="770"/>
      <c r="OA691" s="770"/>
      <c r="OB691" s="770"/>
      <c r="OC691" s="770" t="s">
        <v>1208</v>
      </c>
      <c r="OD691" s="770"/>
      <c r="OE691" s="770"/>
      <c r="OF691" s="770"/>
      <c r="OG691" s="770"/>
      <c r="OH691" s="770"/>
      <c r="OI691" s="770"/>
      <c r="OJ691" s="770"/>
      <c r="OK691" s="770"/>
      <c r="OL691" s="770"/>
      <c r="OM691" s="770"/>
      <c r="ON691" s="770"/>
      <c r="OO691" s="770"/>
      <c r="OP691" s="770"/>
      <c r="OQ691" s="770"/>
      <c r="OR691" s="770"/>
      <c r="OS691" s="770"/>
      <c r="OT691" s="770"/>
      <c r="OU691" s="770"/>
      <c r="OV691" s="770"/>
      <c r="OW691" s="770"/>
      <c r="OX691" s="770"/>
      <c r="OY691" s="770"/>
      <c r="OZ691" s="770"/>
      <c r="PA691" s="770"/>
      <c r="PB691" s="770"/>
      <c r="PC691" s="770"/>
      <c r="PD691" s="770"/>
      <c r="PE691" s="770"/>
      <c r="PF691" s="770"/>
      <c r="PG691" s="770"/>
      <c r="PH691" s="770"/>
      <c r="PI691" s="770"/>
      <c r="PJ691" s="770"/>
      <c r="PK691" s="770"/>
      <c r="PL691" s="770"/>
      <c r="PM691" s="770" t="s">
        <v>1208</v>
      </c>
      <c r="PN691" s="770"/>
      <c r="PO691" s="770"/>
      <c r="PP691" s="770"/>
      <c r="PQ691" s="770"/>
      <c r="PR691" s="770"/>
      <c r="PS691" s="770"/>
      <c r="PT691" s="770"/>
      <c r="PU691" s="770"/>
      <c r="PV691" s="770"/>
      <c r="PW691" s="770"/>
      <c r="PX691" s="770"/>
      <c r="PY691" s="770"/>
      <c r="PZ691" s="770"/>
      <c r="QA691" s="770"/>
      <c r="QB691" s="770"/>
      <c r="QC691" s="770"/>
      <c r="QD691" s="770"/>
      <c r="QE691" s="770"/>
      <c r="QF691" s="770"/>
      <c r="QG691" s="770"/>
      <c r="QH691" s="770"/>
      <c r="QI691" s="770"/>
      <c r="QJ691" s="770"/>
      <c r="QK691" s="770"/>
      <c r="QL691" s="770"/>
      <c r="QM691" s="770"/>
      <c r="QN691" s="770"/>
      <c r="QO691" s="770"/>
      <c r="QP691" s="770"/>
      <c r="QQ691" s="770"/>
      <c r="QR691" s="770"/>
      <c r="QS691" s="770"/>
      <c r="QT691" s="770"/>
      <c r="QU691" s="770"/>
      <c r="QV691" s="770"/>
      <c r="QW691" s="770"/>
      <c r="QX691" s="770"/>
      <c r="QY691" s="770"/>
      <c r="QZ691" s="770"/>
      <c r="RA691" s="770"/>
      <c r="RB691" s="770" t="s">
        <v>1207</v>
      </c>
      <c r="RC691" s="770">
        <v>2016</v>
      </c>
      <c r="RD691" s="770" t="s">
        <v>13046</v>
      </c>
      <c r="RE691" s="770" t="s">
        <v>12999</v>
      </c>
      <c r="RF691" s="304">
        <v>0.25</v>
      </c>
      <c r="RG691" s="770" t="s">
        <v>13047</v>
      </c>
      <c r="RH691" s="306">
        <v>0</v>
      </c>
      <c r="RI691" s="770" t="s">
        <v>13656</v>
      </c>
      <c r="RJ691" s="94" t="s">
        <v>4537</v>
      </c>
      <c r="RK691" s="770" t="s">
        <v>13550</v>
      </c>
      <c r="RL691" s="1710">
        <v>42844</v>
      </c>
      <c r="RM691" s="12"/>
      <c r="RN691" s="1711"/>
      <c r="RO691" s="149" t="s">
        <v>3070</v>
      </c>
      <c r="RP691" s="11"/>
      <c r="RQ691" s="11"/>
      <c r="RR691" s="19" t="s">
        <v>7421</v>
      </c>
      <c r="RS691" s="1139" t="s">
        <v>12980</v>
      </c>
      <c r="RT691" s="11"/>
      <c r="RU691" s="11"/>
      <c r="RV691" s="771" t="s">
        <v>7421</v>
      </c>
      <c r="RW691" s="11" t="s">
        <v>8014</v>
      </c>
      <c r="RX691" s="11" t="s">
        <v>4517</v>
      </c>
      <c r="RY691" s="11"/>
      <c r="RZ691" s="11" t="s">
        <v>1101</v>
      </c>
      <c r="SA691" s="771"/>
      <c r="SB691" s="11"/>
      <c r="SC691" s="11"/>
    </row>
    <row r="692" spans="1:497" ht="12.75" customHeight="1">
      <c r="A692" s="1118" t="s">
        <v>14234</v>
      </c>
      <c r="B692" s="292" t="s">
        <v>8073</v>
      </c>
      <c r="C692" s="149" t="s">
        <v>3070</v>
      </c>
      <c r="D692" s="94" t="s">
        <v>3075</v>
      </c>
      <c r="E692" s="766" t="s">
        <v>3132</v>
      </c>
      <c r="F692" s="770" t="s">
        <v>386</v>
      </c>
      <c r="G692" s="770" t="s">
        <v>10</v>
      </c>
      <c r="H692" s="295" t="s">
        <v>3072</v>
      </c>
      <c r="I692" s="295"/>
      <c r="J692" s="94" t="s">
        <v>3073</v>
      </c>
      <c r="K692" s="766" t="s">
        <v>4534</v>
      </c>
      <c r="L692" s="766" t="s">
        <v>4535</v>
      </c>
      <c r="M692" s="770" t="s">
        <v>1238</v>
      </c>
      <c r="N692" s="1757" t="s">
        <v>11667</v>
      </c>
      <c r="O692" s="1757" t="s">
        <v>11668</v>
      </c>
      <c r="P692" s="94" t="s">
        <v>3073</v>
      </c>
      <c r="Q692" s="1088">
        <v>28142</v>
      </c>
      <c r="R692" s="297">
        <v>40</v>
      </c>
      <c r="S692" s="770" t="s">
        <v>18</v>
      </c>
      <c r="T692" s="298" t="s">
        <v>3072</v>
      </c>
      <c r="U692" s="298"/>
      <c r="V692" s="770" t="s">
        <v>2970</v>
      </c>
      <c r="W692" s="770"/>
      <c r="X692" s="770"/>
      <c r="Y692" s="770" t="s">
        <v>3071</v>
      </c>
      <c r="Z692" s="770" t="s">
        <v>708</v>
      </c>
      <c r="AA692" s="770" t="s">
        <v>709</v>
      </c>
      <c r="AB692" s="770" t="s">
        <v>710</v>
      </c>
      <c r="AC692" s="770" t="s">
        <v>724</v>
      </c>
      <c r="AD692" s="770" t="s">
        <v>711</v>
      </c>
      <c r="AE692" s="770"/>
      <c r="AF692" s="770" t="s">
        <v>712</v>
      </c>
      <c r="AG692" s="766" t="s">
        <v>1132</v>
      </c>
      <c r="AH692" s="766" t="s">
        <v>1096</v>
      </c>
      <c r="AI692" s="75"/>
      <c r="AJ692" s="766" t="s">
        <v>1137</v>
      </c>
      <c r="AK692" s="770" t="s">
        <v>1101</v>
      </c>
      <c r="AL692" s="120"/>
      <c r="AM692" s="773"/>
      <c r="AN692" s="37"/>
      <c r="AO692" s="766" t="s">
        <v>1098</v>
      </c>
      <c r="AP692" s="766"/>
      <c r="AQ692" s="766"/>
      <c r="AR692" s="766"/>
      <c r="AS692" s="770"/>
      <c r="AT692" s="770"/>
      <c r="AU692" s="770"/>
      <c r="AV692" s="770"/>
      <c r="AW692" s="770"/>
      <c r="AX692" s="770"/>
      <c r="AY692" s="770"/>
      <c r="AZ692" s="770"/>
      <c r="BA692" s="770"/>
      <c r="BB692" s="770"/>
      <c r="BC692" s="770"/>
      <c r="BD692" s="770"/>
      <c r="BE692" s="770"/>
      <c r="BF692" s="302"/>
      <c r="BG692" s="302"/>
      <c r="BH692" s="770"/>
      <c r="BI692" s="770"/>
      <c r="BJ692" s="770"/>
      <c r="BK692" s="770" t="s">
        <v>1095</v>
      </c>
      <c r="BL692" s="770" t="s">
        <v>4536</v>
      </c>
      <c r="BM692" s="770" t="s">
        <v>12423</v>
      </c>
      <c r="BN692" s="770" t="s">
        <v>1299</v>
      </c>
      <c r="BO692" s="766"/>
      <c r="BP692" s="765"/>
      <c r="BQ692" s="773"/>
      <c r="BR692" s="774"/>
      <c r="BS692" s="766" t="s">
        <v>1242</v>
      </c>
      <c r="BT692" s="770"/>
      <c r="BU692" s="770"/>
      <c r="BV692" s="770"/>
      <c r="BW692" s="770"/>
      <c r="BX692" s="302"/>
      <c r="BY692" s="770"/>
      <c r="BZ692" s="302"/>
      <c r="CA692" s="770"/>
      <c r="CB692" s="770"/>
      <c r="CC692" s="770"/>
      <c r="CD692" s="770"/>
      <c r="CE692" s="302"/>
      <c r="CF692" s="304"/>
      <c r="CG692" s="321"/>
      <c r="CH692" s="770"/>
      <c r="CI692" s="770"/>
      <c r="CJ692" s="770"/>
      <c r="CK692" s="770"/>
      <c r="CL692" s="770"/>
      <c r="CM692" s="770"/>
      <c r="CN692" s="770"/>
      <c r="CO692" s="770"/>
      <c r="CP692" s="770"/>
      <c r="CQ692" s="770"/>
      <c r="CR692" s="302"/>
      <c r="CS692" s="770"/>
      <c r="CT692" s="770"/>
      <c r="CU692" s="305"/>
      <c r="CV692" s="770"/>
      <c r="CW692" s="770"/>
      <c r="CX692" s="770"/>
      <c r="CY692" s="770"/>
      <c r="CZ692" s="770"/>
      <c r="DA692" s="306"/>
      <c r="DB692" s="770"/>
      <c r="DC692" s="770"/>
      <c r="DD692" s="770"/>
      <c r="DE692" s="300"/>
      <c r="DF692" s="770"/>
      <c r="DG692" s="770"/>
      <c r="DH692" s="770"/>
      <c r="DI692" s="770"/>
      <c r="DJ692" s="770"/>
      <c r="DK692" s="770"/>
      <c r="DL692" s="770"/>
      <c r="DM692" s="770"/>
      <c r="DN692" s="322"/>
      <c r="DO692" s="770"/>
      <c r="DP692" s="770"/>
      <c r="DQ692" s="770"/>
      <c r="DR692" s="770"/>
      <c r="DS692" s="307"/>
      <c r="DT692" s="770"/>
      <c r="DU692" s="770"/>
      <c r="DV692" s="770"/>
      <c r="DW692" s="306"/>
      <c r="DX692" s="306"/>
      <c r="DY692" s="1055"/>
      <c r="DZ692" s="770"/>
      <c r="EA692" s="770"/>
      <c r="EB692" s="770"/>
      <c r="EC692" s="770"/>
      <c r="ED692" s="770"/>
      <c r="EE692" s="770"/>
      <c r="EF692" s="770"/>
      <c r="EG692" s="770"/>
      <c r="EH692" s="770"/>
      <c r="EI692" s="770"/>
      <c r="EJ692" s="770"/>
      <c r="EK692" s="770"/>
      <c r="EL692" s="770"/>
      <c r="EM692" s="770"/>
      <c r="EN692" s="770"/>
      <c r="EO692" s="770"/>
      <c r="EP692" s="94"/>
      <c r="EQ692" s="770"/>
      <c r="ER692" s="770"/>
      <c r="ES692" s="770"/>
      <c r="ET692" s="770"/>
      <c r="EU692" s="770"/>
      <c r="EV692" s="770"/>
      <c r="EW692" s="770"/>
      <c r="EX692" s="770"/>
      <c r="EY692" s="770"/>
      <c r="EZ692" s="770"/>
      <c r="FA692" s="770"/>
      <c r="FB692" s="770"/>
      <c r="FC692" s="770"/>
      <c r="FD692" s="302"/>
      <c r="FE692" s="770"/>
      <c r="FF692" s="770"/>
      <c r="FG692" s="770"/>
      <c r="FH692" s="770" t="s">
        <v>1299</v>
      </c>
      <c r="FI692" s="770"/>
      <c r="FJ692" s="770"/>
      <c r="FK692" s="770"/>
      <c r="FL692" s="770"/>
      <c r="FM692" s="302"/>
      <c r="FN692" s="302"/>
      <c r="FO692" s="302"/>
      <c r="FP692" s="770" t="s">
        <v>1600</v>
      </c>
      <c r="FQ692" s="770" t="s">
        <v>3940</v>
      </c>
      <c r="FR692" s="770" t="s">
        <v>1214</v>
      </c>
      <c r="FS692" s="770"/>
      <c r="FT692" s="770"/>
      <c r="FU692" s="770"/>
      <c r="FV692" s="770"/>
      <c r="FW692" s="770"/>
      <c r="FX692" s="770"/>
      <c r="FY692" s="770"/>
      <c r="FZ692" s="770"/>
      <c r="GA692" s="770"/>
      <c r="GB692" s="770"/>
      <c r="GC692" s="308"/>
      <c r="GD692" s="297"/>
      <c r="GE692" s="770"/>
      <c r="GF692" s="302"/>
      <c r="GG692" s="302"/>
      <c r="GH692" s="770"/>
      <c r="GI692" s="770"/>
      <c r="GJ692" s="770"/>
      <c r="GK692" s="770"/>
      <c r="GL692" s="770"/>
      <c r="GM692" s="770"/>
      <c r="GN692" s="299"/>
      <c r="GO692" s="770"/>
      <c r="GP692" s="770"/>
      <c r="GQ692" s="770"/>
      <c r="GR692" s="770"/>
      <c r="GS692" s="770"/>
      <c r="GT692" s="770"/>
      <c r="GU692" s="770"/>
      <c r="GV692" s="770"/>
      <c r="GW692" s="770"/>
      <c r="GX692" s="770"/>
      <c r="GY692" s="770"/>
      <c r="GZ692" s="770"/>
      <c r="HA692" s="770"/>
      <c r="HB692" s="770"/>
      <c r="HC692" s="770"/>
      <c r="HD692" s="770"/>
      <c r="HE692" s="770"/>
      <c r="HF692" s="770"/>
      <c r="HG692" s="770"/>
      <c r="HH692" s="770"/>
      <c r="HI692" s="770"/>
      <c r="HJ692" s="770"/>
      <c r="HK692" s="770"/>
      <c r="HL692" s="770"/>
      <c r="HM692" s="770"/>
      <c r="HN692" s="770"/>
      <c r="HO692" s="770"/>
      <c r="HP692" s="770"/>
      <c r="HQ692" s="770"/>
      <c r="HR692" s="770"/>
      <c r="HS692" s="770"/>
      <c r="HT692" s="770"/>
      <c r="HU692" s="770"/>
      <c r="HV692" s="770"/>
      <c r="HW692" s="770"/>
      <c r="HX692" s="770"/>
      <c r="HY692" s="770"/>
      <c r="HZ692" s="770"/>
      <c r="IA692" s="770"/>
      <c r="IB692" s="14" t="e">
        <f>IF(#REF!&gt;0,IF(#REF!&lt;=10000,"Y",""),"")</f>
        <v>#REF!</v>
      </c>
      <c r="IC692" s="770" t="s">
        <v>1207</v>
      </c>
      <c r="ID692" s="770"/>
      <c r="IE692" s="770"/>
      <c r="IF692" s="770"/>
      <c r="IG692" s="770"/>
      <c r="IH692" s="770"/>
      <c r="II692" s="770"/>
      <c r="IJ692" s="770"/>
      <c r="IK692" s="770"/>
      <c r="IL692" s="770"/>
      <c r="IM692" s="770"/>
      <c r="IN692" s="770"/>
      <c r="IO692" s="296"/>
      <c r="IP692" s="770"/>
      <c r="IQ692" s="770"/>
      <c r="IR692" s="770"/>
      <c r="IS692" s="770"/>
      <c r="IT692" s="770"/>
      <c r="IU692" s="770"/>
      <c r="IV692" s="770"/>
      <c r="IW692" s="770"/>
      <c r="IX692" s="770"/>
      <c r="IY692" s="770"/>
      <c r="IZ692" s="770"/>
      <c r="JA692" s="770"/>
      <c r="JB692" s="770"/>
      <c r="JC692" s="770"/>
      <c r="JD692" s="302"/>
      <c r="JE692" s="770"/>
      <c r="JF692" s="770"/>
      <c r="JG692" s="770"/>
      <c r="JH692" s="307"/>
      <c r="JI692" s="307"/>
      <c r="JJ692" s="770">
        <v>5</v>
      </c>
      <c r="JK692" s="1139" t="s">
        <v>3074</v>
      </c>
      <c r="JL692" s="770">
        <v>2</v>
      </c>
      <c r="JM692" s="770"/>
      <c r="JN692" s="770">
        <v>1</v>
      </c>
      <c r="JO692" s="770">
        <v>2</v>
      </c>
      <c r="JP692" s="770"/>
      <c r="JQ692" s="770"/>
      <c r="JR692" s="770"/>
      <c r="JS692" s="770"/>
      <c r="JT692" s="766">
        <f t="shared" si="211"/>
        <v>3</v>
      </c>
      <c r="JU692" s="766">
        <f t="shared" si="211"/>
        <v>2</v>
      </c>
      <c r="JV692" s="712" t="str">
        <f>IF(JT692=KJ692,"ok","male")</f>
        <v>ok</v>
      </c>
      <c r="JW692" s="712" t="str">
        <f>IF(JU692=KK692,"ok","female")</f>
        <v>ok</v>
      </c>
      <c r="JX692" s="770"/>
      <c r="JY692" s="770"/>
      <c r="JZ692" s="770">
        <v>2</v>
      </c>
      <c r="KA692" s="770"/>
      <c r="KB692" s="770"/>
      <c r="KC692" s="770">
        <v>1</v>
      </c>
      <c r="KD692" s="770">
        <v>1</v>
      </c>
      <c r="KE692" s="770">
        <v>1</v>
      </c>
      <c r="KF692" s="770"/>
      <c r="KG692" s="770"/>
      <c r="KH692" s="770"/>
      <c r="KI692" s="770"/>
      <c r="KJ692" s="770">
        <f t="shared" si="204"/>
        <v>3</v>
      </c>
      <c r="KK692" s="770">
        <f t="shared" si="204"/>
        <v>2</v>
      </c>
      <c r="KL692" s="712" t="str">
        <f>IF(KJ692=LN692,"ok","male")</f>
        <v>ok</v>
      </c>
      <c r="KM692" s="712" t="str">
        <f>IF(KK692=LO692,"ok","female")</f>
        <v>ok</v>
      </c>
      <c r="KN692" s="770" t="s">
        <v>722</v>
      </c>
      <c r="KO692" s="770"/>
      <c r="KP692" s="770"/>
      <c r="KQ692" s="770"/>
      <c r="KR692" s="770"/>
      <c r="KS692" s="770"/>
      <c r="KT692" s="770">
        <v>2</v>
      </c>
      <c r="KU692" s="770"/>
      <c r="KV692" s="770"/>
      <c r="KW692" s="770"/>
      <c r="KX692" s="770">
        <v>1</v>
      </c>
      <c r="KY692" s="770"/>
      <c r="KZ692" s="770"/>
      <c r="LA692" s="770">
        <v>2</v>
      </c>
      <c r="LB692" s="770"/>
      <c r="LC692" s="770"/>
      <c r="LD692" s="770"/>
      <c r="LE692" s="770"/>
      <c r="LF692" s="770"/>
      <c r="LG692" s="770"/>
      <c r="LH692" s="770"/>
      <c r="LI692" s="770"/>
      <c r="LJ692" s="770"/>
      <c r="LK692" s="770"/>
      <c r="LL692" s="770"/>
      <c r="LM692" s="770"/>
      <c r="LN692" s="766">
        <f t="shared" si="209"/>
        <v>3</v>
      </c>
      <c r="LO692" s="766">
        <f t="shared" si="209"/>
        <v>2</v>
      </c>
      <c r="LP692" s="770">
        <v>1</v>
      </c>
      <c r="LQ692" s="770"/>
      <c r="LR692" s="770"/>
      <c r="LS692" s="770">
        <v>1</v>
      </c>
      <c r="LT692" s="712" t="str">
        <f>IF(LQ692=SUM(LU692:LW692),"OK","REV")</f>
        <v>OK</v>
      </c>
      <c r="LU692" s="770"/>
      <c r="LV692" s="770"/>
      <c r="LW692" s="770"/>
      <c r="LX692" s="769">
        <v>1</v>
      </c>
      <c r="LY692" s="766" t="str">
        <f t="shared" si="210"/>
        <v>within the BRGY</v>
      </c>
      <c r="LZ692" s="1709"/>
      <c r="MA692" s="1709"/>
      <c r="MB692" s="1709"/>
      <c r="MC692" s="1679">
        <f t="shared" si="208"/>
        <v>0</v>
      </c>
      <c r="MD692" s="1709"/>
      <c r="ME692" s="1709"/>
      <c r="MF692" s="1709">
        <v>4500</v>
      </c>
      <c r="MG692" s="1680">
        <f>SUM(MD692:MF692)</f>
        <v>4500</v>
      </c>
      <c r="MH692" s="770" t="s">
        <v>2968</v>
      </c>
      <c r="MI692" s="302">
        <v>3000</v>
      </c>
      <c r="MJ692" s="302"/>
      <c r="MK692" s="302">
        <v>3000</v>
      </c>
      <c r="ML692" s="302"/>
      <c r="MM692" s="302">
        <v>2100</v>
      </c>
      <c r="MN692" s="302"/>
      <c r="MO692" s="302"/>
      <c r="MP692" s="302">
        <v>700</v>
      </c>
      <c r="MQ692" s="302">
        <v>600</v>
      </c>
      <c r="MR692" s="302">
        <v>450</v>
      </c>
      <c r="MS692" s="302"/>
      <c r="MT692" s="302"/>
      <c r="MU692" s="302"/>
      <c r="MV692" s="302"/>
      <c r="MW692" s="302"/>
      <c r="MX692" s="302"/>
      <c r="MY692" s="1682">
        <f t="shared" si="200"/>
        <v>9850</v>
      </c>
      <c r="MZ692" s="770" t="s">
        <v>13395</v>
      </c>
      <c r="NA692" s="770" t="s">
        <v>13230</v>
      </c>
      <c r="NB692" s="770" t="s">
        <v>13016</v>
      </c>
      <c r="NC692" s="770" t="s">
        <v>13621</v>
      </c>
      <c r="ND692" s="770">
        <v>0</v>
      </c>
      <c r="NE692" s="770">
        <v>0</v>
      </c>
      <c r="NF692" s="770">
        <v>0</v>
      </c>
      <c r="NG692" s="770">
        <v>1</v>
      </c>
      <c r="NH692" s="770">
        <v>1</v>
      </c>
      <c r="NI692" s="770">
        <v>0</v>
      </c>
      <c r="NJ692" s="770">
        <v>1</v>
      </c>
      <c r="NK692" s="770">
        <v>0</v>
      </c>
      <c r="NL692" s="770">
        <v>0</v>
      </c>
      <c r="NM692" s="770">
        <v>0</v>
      </c>
      <c r="NN692" s="770">
        <v>0</v>
      </c>
      <c r="NO692" s="770">
        <v>0</v>
      </c>
      <c r="NP692" s="770">
        <v>0</v>
      </c>
      <c r="NQ692" s="770">
        <v>0</v>
      </c>
      <c r="NR692" s="770">
        <v>0</v>
      </c>
      <c r="NS692" s="770">
        <v>0</v>
      </c>
      <c r="NT692" s="770">
        <v>0</v>
      </c>
      <c r="NU692" s="770">
        <v>0</v>
      </c>
      <c r="NV692" s="770">
        <v>0</v>
      </c>
      <c r="NW692" s="770">
        <v>0</v>
      </c>
      <c r="NX692" s="770">
        <v>0</v>
      </c>
      <c r="NY692" s="770" t="s">
        <v>1208</v>
      </c>
      <c r="NZ692" s="770" t="s">
        <v>1208</v>
      </c>
      <c r="OA692" s="770" t="s">
        <v>1208</v>
      </c>
      <c r="OB692" s="770"/>
      <c r="OC692" s="770" t="s">
        <v>1208</v>
      </c>
      <c r="OD692" s="770"/>
      <c r="OE692" s="770"/>
      <c r="OF692" s="770"/>
      <c r="OG692" s="770"/>
      <c r="OH692" s="770"/>
      <c r="OI692" s="770"/>
      <c r="OJ692" s="770"/>
      <c r="OK692" s="770"/>
      <c r="OL692" s="770"/>
      <c r="OM692" s="770"/>
      <c r="ON692" s="770"/>
      <c r="OO692" s="770"/>
      <c r="OP692" s="770"/>
      <c r="OQ692" s="770"/>
      <c r="OR692" s="770"/>
      <c r="OS692" s="770"/>
      <c r="OT692" s="770"/>
      <c r="OU692" s="770"/>
      <c r="OV692" s="770"/>
      <c r="OW692" s="770"/>
      <c r="OX692" s="770"/>
      <c r="OY692" s="770"/>
      <c r="OZ692" s="770"/>
      <c r="PA692" s="770"/>
      <c r="PB692" s="770"/>
      <c r="PC692" s="770"/>
      <c r="PD692" s="770"/>
      <c r="PE692" s="770"/>
      <c r="PF692" s="770"/>
      <c r="PG692" s="770"/>
      <c r="PH692" s="770"/>
      <c r="PI692" s="770"/>
      <c r="PJ692" s="770"/>
      <c r="PK692" s="770"/>
      <c r="PL692" s="770"/>
      <c r="PM692" s="770"/>
      <c r="PN692" s="770"/>
      <c r="PO692" s="770"/>
      <c r="PP692" s="770"/>
      <c r="PQ692" s="770"/>
      <c r="PR692" s="770"/>
      <c r="PS692" s="770"/>
      <c r="PT692" s="770"/>
      <c r="PU692" s="770"/>
      <c r="PV692" s="770"/>
      <c r="PW692" s="770"/>
      <c r="PX692" s="770"/>
      <c r="PY692" s="770"/>
      <c r="PZ692" s="770"/>
      <c r="QA692" s="770"/>
      <c r="QB692" s="770"/>
      <c r="QC692" s="770"/>
      <c r="QD692" s="770"/>
      <c r="QE692" s="770"/>
      <c r="QF692" s="770"/>
      <c r="QG692" s="770"/>
      <c r="QH692" s="770"/>
      <c r="QI692" s="770"/>
      <c r="QJ692" s="770"/>
      <c r="QK692" s="770"/>
      <c r="QL692" s="770"/>
      <c r="QM692" s="770"/>
      <c r="QN692" s="770"/>
      <c r="QO692" s="770"/>
      <c r="QP692" s="770"/>
      <c r="QQ692" s="770"/>
      <c r="QR692" s="770"/>
      <c r="QS692" s="770"/>
      <c r="QT692" s="770"/>
      <c r="QU692" s="770"/>
      <c r="QV692" s="770"/>
      <c r="QW692" s="770"/>
      <c r="QX692" s="770"/>
      <c r="QY692" s="770"/>
      <c r="QZ692" s="770"/>
      <c r="RA692" s="770"/>
      <c r="RB692" s="770" t="s">
        <v>1214</v>
      </c>
      <c r="RC692" s="770"/>
      <c r="RD692" s="770"/>
      <c r="RE692" s="770"/>
      <c r="RF692" s="304"/>
      <c r="RG692" s="770"/>
      <c r="RH692" s="306"/>
      <c r="RI692" s="770"/>
      <c r="RJ692" s="94" t="s">
        <v>13907</v>
      </c>
      <c r="RK692" s="770" t="s">
        <v>13550</v>
      </c>
      <c r="RL692" s="1710">
        <v>42844</v>
      </c>
      <c r="RM692" s="12"/>
      <c r="RN692" s="1711"/>
      <c r="RO692" s="149" t="s">
        <v>3070</v>
      </c>
      <c r="RP692" s="11"/>
      <c r="RQ692" s="11"/>
      <c r="RR692" s="1118" t="s">
        <v>12355</v>
      </c>
      <c r="RS692" s="1139" t="s">
        <v>12980</v>
      </c>
      <c r="RT692" s="11"/>
      <c r="RU692" s="11"/>
      <c r="RV692" s="771" t="s">
        <v>7421</v>
      </c>
      <c r="RW692" s="11" t="s">
        <v>8015</v>
      </c>
      <c r="RX692" s="11" t="s">
        <v>4524</v>
      </c>
      <c r="RY692" s="11"/>
      <c r="RZ692" s="11"/>
      <c r="SA692" s="771"/>
      <c r="SB692" s="11"/>
      <c r="SC692" s="11"/>
    </row>
    <row r="693" spans="1:497" ht="12.75" customHeight="1">
      <c r="A693" s="19" t="s">
        <v>7421</v>
      </c>
      <c r="B693" s="292" t="s">
        <v>8017</v>
      </c>
      <c r="C693" s="149" t="s">
        <v>4538</v>
      </c>
      <c r="D693" s="94" t="s">
        <v>4542</v>
      </c>
      <c r="E693" s="766" t="s">
        <v>4539</v>
      </c>
      <c r="F693" s="770" t="s">
        <v>28</v>
      </c>
      <c r="G693" s="770" t="s">
        <v>10</v>
      </c>
      <c r="H693" s="12"/>
      <c r="I693" s="295" t="s">
        <v>4540</v>
      </c>
      <c r="J693" s="94" t="s">
        <v>4542</v>
      </c>
      <c r="K693" s="766" t="s">
        <v>4520</v>
      </c>
      <c r="L693" s="766" t="s">
        <v>4541</v>
      </c>
      <c r="M693" s="770" t="s">
        <v>1238</v>
      </c>
      <c r="N693" s="1757"/>
      <c r="O693" s="1757" t="s">
        <v>3078</v>
      </c>
      <c r="P693" s="770"/>
      <c r="Q693" s="1088"/>
      <c r="R693" s="297"/>
      <c r="S693" s="770"/>
      <c r="T693" s="770"/>
      <c r="U693" s="295"/>
      <c r="V693" s="770"/>
      <c r="W693" s="770"/>
      <c r="X693" s="770"/>
      <c r="Y693" s="770"/>
      <c r="Z693" s="770"/>
      <c r="AA693" s="770"/>
      <c r="AB693" s="770"/>
      <c r="AC693" s="770"/>
      <c r="AD693" s="770"/>
      <c r="AE693" s="770"/>
      <c r="AF693" s="770"/>
      <c r="AG693" s="766" t="s">
        <v>1132</v>
      </c>
      <c r="AH693" s="766" t="s">
        <v>1096</v>
      </c>
      <c r="AI693" s="770"/>
      <c r="AJ693" s="766" t="s">
        <v>1137</v>
      </c>
      <c r="AK693" s="770" t="s">
        <v>1101</v>
      </c>
      <c r="AL693" s="531">
        <v>13</v>
      </c>
      <c r="AM693" s="780">
        <v>10.92</v>
      </c>
      <c r="AN693" s="532">
        <f t="shared" si="207"/>
        <v>0.84</v>
      </c>
      <c r="AO693" s="766" t="s">
        <v>1105</v>
      </c>
      <c r="AP693" s="766"/>
      <c r="AQ693" s="766"/>
      <c r="AR693" s="766"/>
      <c r="AS693" s="770"/>
      <c r="AT693" s="770"/>
      <c r="AU693" s="770"/>
      <c r="AV693" s="770"/>
      <c r="AW693" s="770"/>
      <c r="AX693" s="770"/>
      <c r="AY693" s="770"/>
      <c r="AZ693" s="770"/>
      <c r="BA693" s="770"/>
      <c r="BB693" s="770"/>
      <c r="BC693" s="770"/>
      <c r="BD693" s="770"/>
      <c r="BE693" s="770"/>
      <c r="BF693" s="302"/>
      <c r="BG693" s="302"/>
      <c r="BH693" s="770"/>
      <c r="BI693" s="770"/>
      <c r="BJ693" s="770"/>
      <c r="BK693" s="770"/>
      <c r="BL693" s="770"/>
      <c r="BM693" s="770"/>
      <c r="BN693" s="770"/>
      <c r="BO693" s="770"/>
      <c r="BP693" s="1109"/>
      <c r="BQ693" s="773"/>
      <c r="BR693" s="774"/>
      <c r="BS693" s="766"/>
      <c r="BT693" s="770"/>
      <c r="BU693" s="770"/>
      <c r="BV693" s="770"/>
      <c r="BW693" s="770"/>
      <c r="BX693" s="302"/>
      <c r="BY693" s="770"/>
      <c r="BZ693" s="302"/>
      <c r="CA693" s="770"/>
      <c r="CB693" s="770" t="s">
        <v>1207</v>
      </c>
      <c r="CC693" s="770" t="s">
        <v>4543</v>
      </c>
      <c r="CD693" s="770"/>
      <c r="CE693" s="302"/>
      <c r="CF693" s="304">
        <v>0.8</v>
      </c>
      <c r="CG693" s="321">
        <v>5</v>
      </c>
      <c r="CH693" s="770" t="s">
        <v>1247</v>
      </c>
      <c r="CI693" s="770"/>
      <c r="CJ693" s="770" t="s">
        <v>3926</v>
      </c>
      <c r="CK693" s="770">
        <v>4</v>
      </c>
      <c r="CL693" s="770"/>
      <c r="CM693" s="770" t="s">
        <v>3399</v>
      </c>
      <c r="CN693" s="770"/>
      <c r="CO693" s="770" t="s">
        <v>1257</v>
      </c>
      <c r="CP693" s="770"/>
      <c r="CQ693" s="770"/>
      <c r="CR693" s="302"/>
      <c r="CS693" s="770"/>
      <c r="CT693" s="770"/>
      <c r="CU693" s="305"/>
      <c r="CV693" s="770"/>
      <c r="CW693" s="770"/>
      <c r="CX693" s="770"/>
      <c r="CY693" s="770"/>
      <c r="CZ693" s="770"/>
      <c r="DA693" s="306"/>
      <c r="DB693" s="770"/>
      <c r="DC693" s="770"/>
      <c r="DD693" s="770"/>
      <c r="DE693" s="300"/>
      <c r="DF693" s="770"/>
      <c r="DG693" s="770"/>
      <c r="DH693" s="770"/>
      <c r="DI693" s="770"/>
      <c r="DJ693" s="770"/>
      <c r="DK693" s="770"/>
      <c r="DL693" s="770"/>
      <c r="DM693" s="770"/>
      <c r="DN693" s="322"/>
      <c r="DO693" s="770"/>
      <c r="DP693" s="770"/>
      <c r="DQ693" s="770"/>
      <c r="DR693" s="770"/>
      <c r="DS693" s="307"/>
      <c r="DT693" s="770"/>
      <c r="DU693" s="770"/>
      <c r="DV693" s="770"/>
      <c r="DW693" s="306"/>
      <c r="DX693" s="306"/>
      <c r="DY693" s="1055"/>
      <c r="DZ693" s="770"/>
      <c r="EA693" s="770"/>
      <c r="EB693" s="770"/>
      <c r="EC693" s="770"/>
      <c r="ED693" s="770"/>
      <c r="EE693" s="770"/>
      <c r="EF693" s="770"/>
      <c r="EG693" s="770"/>
      <c r="EH693" s="770"/>
      <c r="EI693" s="770"/>
      <c r="EJ693" s="770"/>
      <c r="EK693" s="770"/>
      <c r="EL693" s="770"/>
      <c r="EM693" s="770"/>
      <c r="EN693" s="770"/>
      <c r="EO693" s="770"/>
      <c r="EP693" s="94"/>
      <c r="EQ693" s="770"/>
      <c r="ER693" s="770"/>
      <c r="ES693" s="770"/>
      <c r="ET693" s="770"/>
      <c r="EU693" s="770"/>
      <c r="EV693" s="770"/>
      <c r="EW693" s="770"/>
      <c r="EX693" s="770"/>
      <c r="EY693" s="770"/>
      <c r="EZ693" s="770"/>
      <c r="FA693" s="770"/>
      <c r="FB693" s="770"/>
      <c r="FC693" s="770"/>
      <c r="FD693" s="302"/>
      <c r="FE693" s="770"/>
      <c r="FF693" s="770"/>
      <c r="FG693" s="770"/>
      <c r="FH693" s="770"/>
      <c r="FI693" s="770"/>
      <c r="FJ693" s="770"/>
      <c r="FK693" s="770"/>
      <c r="FL693" s="770"/>
      <c r="FM693" s="302"/>
      <c r="FN693" s="302"/>
      <c r="FO693" s="302"/>
      <c r="FP693" s="770"/>
      <c r="FQ693" s="770"/>
      <c r="FR693" s="770" t="s">
        <v>1214</v>
      </c>
      <c r="FS693" s="770"/>
      <c r="FT693" s="770"/>
      <c r="FU693" s="770"/>
      <c r="FV693" s="770"/>
      <c r="FW693" s="770"/>
      <c r="FX693" s="770"/>
      <c r="FY693" s="770"/>
      <c r="FZ693" s="770"/>
      <c r="GA693" s="770"/>
      <c r="GB693" s="770" t="s">
        <v>1734</v>
      </c>
      <c r="GC693" s="308"/>
      <c r="GD693" s="297">
        <v>2016</v>
      </c>
      <c r="GE693" s="770" t="s">
        <v>1214</v>
      </c>
      <c r="GF693" s="302"/>
      <c r="GG693" s="302"/>
      <c r="GH693" s="770"/>
      <c r="GI693" s="770"/>
      <c r="GJ693" s="770"/>
      <c r="GK693" s="770"/>
      <c r="GL693" s="770"/>
      <c r="GM693" s="770"/>
      <c r="GN693" s="299"/>
      <c r="GO693" s="770"/>
      <c r="GP693" s="770"/>
      <c r="GQ693" s="770"/>
      <c r="GR693" s="770"/>
      <c r="GS693" s="770"/>
      <c r="GT693" s="770"/>
      <c r="GU693" s="770"/>
      <c r="GV693" s="770"/>
      <c r="GW693" s="770"/>
      <c r="GX693" s="770"/>
      <c r="GY693" s="770"/>
      <c r="GZ693" s="770"/>
      <c r="HA693" s="770"/>
      <c r="HB693" s="770"/>
      <c r="HC693" s="770"/>
      <c r="HD693" s="770"/>
      <c r="HE693" s="770"/>
      <c r="HF693" s="770"/>
      <c r="HG693" s="770"/>
      <c r="HH693" s="770"/>
      <c r="HI693" s="770"/>
      <c r="HJ693" s="770"/>
      <c r="HK693" s="770"/>
      <c r="HL693" s="770"/>
      <c r="HM693" s="770"/>
      <c r="HN693" s="770"/>
      <c r="HO693" s="770"/>
      <c r="HP693" s="770"/>
      <c r="HQ693" s="770"/>
      <c r="HR693" s="770"/>
      <c r="HS693" s="770"/>
      <c r="HT693" s="770">
        <v>1</v>
      </c>
      <c r="HU693" s="770"/>
      <c r="HV693" s="770"/>
      <c r="HW693" s="770"/>
      <c r="HX693" s="770"/>
      <c r="HY693" s="770"/>
      <c r="HZ693" s="770"/>
      <c r="IA693" s="770"/>
      <c r="IB693" s="770"/>
      <c r="IC693" s="770"/>
      <c r="ID693" s="770">
        <v>1</v>
      </c>
      <c r="IE693" s="770"/>
      <c r="IF693" s="770"/>
      <c r="IG693" s="770"/>
      <c r="IH693" s="770"/>
      <c r="II693" s="770"/>
      <c r="IJ693" s="770"/>
      <c r="IK693" s="770"/>
      <c r="IL693" s="770"/>
      <c r="IM693" s="770"/>
      <c r="IN693" s="770"/>
      <c r="IO693" s="296"/>
      <c r="IP693" s="770"/>
      <c r="IQ693" s="770"/>
      <c r="IR693" s="770"/>
      <c r="IS693" s="770"/>
      <c r="IT693" s="770"/>
      <c r="IU693" s="770"/>
      <c r="IV693" s="770"/>
      <c r="IW693" s="770"/>
      <c r="IX693" s="770"/>
      <c r="IY693" s="770"/>
      <c r="IZ693" s="770"/>
      <c r="JA693" s="770"/>
      <c r="JB693" s="770"/>
      <c r="JC693" s="770"/>
      <c r="JD693" s="302"/>
      <c r="JE693" s="770"/>
      <c r="JF693" s="770"/>
      <c r="JG693" s="770"/>
      <c r="JH693" s="307"/>
      <c r="JI693" s="307"/>
      <c r="JJ693" s="770"/>
      <c r="JK693" s="770"/>
      <c r="JL693" s="770"/>
      <c r="JM693" s="770"/>
      <c r="JN693" s="770"/>
      <c r="JO693" s="770"/>
      <c r="JP693" s="770"/>
      <c r="JQ693" s="770"/>
      <c r="JR693" s="770"/>
      <c r="JS693" s="770"/>
      <c r="JT693" s="766"/>
      <c r="JU693" s="766"/>
      <c r="JV693" s="766"/>
      <c r="JW693" s="766"/>
      <c r="JX693" s="770"/>
      <c r="JY693" s="770"/>
      <c r="JZ693" s="770"/>
      <c r="KA693" s="770"/>
      <c r="KB693" s="770"/>
      <c r="KC693" s="770"/>
      <c r="KD693" s="770"/>
      <c r="KE693" s="770"/>
      <c r="KF693" s="770"/>
      <c r="KG693" s="770"/>
      <c r="KH693" s="770"/>
      <c r="KI693" s="770"/>
      <c r="KJ693" s="770"/>
      <c r="KK693" s="770"/>
      <c r="KL693" s="770"/>
      <c r="KM693" s="770"/>
      <c r="KN693" s="770"/>
      <c r="KO693" s="770"/>
      <c r="KP693" s="770"/>
      <c r="KQ693" s="770"/>
      <c r="KR693" s="770"/>
      <c r="KS693" s="770"/>
      <c r="KT693" s="770"/>
      <c r="KU693" s="770"/>
      <c r="KV693" s="770"/>
      <c r="KW693" s="770"/>
      <c r="KX693" s="770"/>
      <c r="KY693" s="770"/>
      <c r="KZ693" s="770"/>
      <c r="LA693" s="770"/>
      <c r="LB693" s="770"/>
      <c r="LC693" s="770"/>
      <c r="LD693" s="770"/>
      <c r="LE693" s="770"/>
      <c r="LF693" s="770"/>
      <c r="LG693" s="770"/>
      <c r="LH693" s="770"/>
      <c r="LI693" s="770"/>
      <c r="LJ693" s="770"/>
      <c r="LK693" s="770"/>
      <c r="LL693" s="770"/>
      <c r="LM693" s="770"/>
      <c r="LN693" s="766"/>
      <c r="LO693" s="766"/>
      <c r="LP693" s="770"/>
      <c r="LQ693" s="770"/>
      <c r="LR693" s="770"/>
      <c r="LS693" s="770"/>
      <c r="LT693" s="770"/>
      <c r="LU693" s="770"/>
      <c r="LV693" s="770"/>
      <c r="LW693" s="770"/>
      <c r="LX693" s="769"/>
      <c r="LY693" s="766" t="str">
        <f t="shared" si="210"/>
        <v/>
      </c>
      <c r="LZ693" s="1709"/>
      <c r="MA693" s="1709"/>
      <c r="MB693" s="1709"/>
      <c r="MC693" s="1679">
        <f t="shared" si="208"/>
        <v>0</v>
      </c>
      <c r="MD693" s="1709"/>
      <c r="ME693" s="1709"/>
      <c r="MF693" s="1709"/>
      <c r="MG693" s="1680">
        <f t="shared" si="199"/>
        <v>0</v>
      </c>
      <c r="MH693" s="770"/>
      <c r="MI693" s="302"/>
      <c r="MJ693" s="302"/>
      <c r="MK693" s="302"/>
      <c r="ML693" s="302"/>
      <c r="MM693" s="302"/>
      <c r="MN693" s="302"/>
      <c r="MO693" s="302"/>
      <c r="MP693" s="302"/>
      <c r="MQ693" s="302"/>
      <c r="MR693" s="302"/>
      <c r="MS693" s="302"/>
      <c r="MT693" s="302"/>
      <c r="MU693" s="302"/>
      <c r="MV693" s="302"/>
      <c r="MW693" s="302"/>
      <c r="MX693" s="302"/>
      <c r="MY693" s="1682">
        <f t="shared" si="200"/>
        <v>0</v>
      </c>
      <c r="MZ693" s="770"/>
      <c r="NA693" s="770"/>
      <c r="NB693" s="770"/>
      <c r="NC693" s="770"/>
      <c r="ND693" s="770"/>
      <c r="NE693" s="770"/>
      <c r="NF693" s="770"/>
      <c r="NG693" s="770"/>
      <c r="NH693" s="770"/>
      <c r="NI693" s="770"/>
      <c r="NJ693" s="770"/>
      <c r="NK693" s="770"/>
      <c r="NL693" s="770"/>
      <c r="NM693" s="770"/>
      <c r="NN693" s="770"/>
      <c r="NO693" s="770"/>
      <c r="NP693" s="770"/>
      <c r="NQ693" s="770"/>
      <c r="NR693" s="770"/>
      <c r="NS693" s="770"/>
      <c r="NT693" s="770"/>
      <c r="NU693" s="770"/>
      <c r="NV693" s="770"/>
      <c r="NW693" s="770"/>
      <c r="NX693" s="770"/>
      <c r="NY693" s="770"/>
      <c r="NZ693" s="770"/>
      <c r="OA693" s="770"/>
      <c r="OB693" s="770"/>
      <c r="OC693" s="770"/>
      <c r="OD693" s="770"/>
      <c r="OE693" s="770"/>
      <c r="OF693" s="770"/>
      <c r="OG693" s="770"/>
      <c r="OH693" s="770"/>
      <c r="OI693" s="770"/>
      <c r="OJ693" s="770"/>
      <c r="OK693" s="770"/>
      <c r="OL693" s="770"/>
      <c r="OM693" s="770"/>
      <c r="ON693" s="770"/>
      <c r="OO693" s="770"/>
      <c r="OP693" s="770"/>
      <c r="OQ693" s="770"/>
      <c r="OR693" s="770"/>
      <c r="OS693" s="770"/>
      <c r="OT693" s="770"/>
      <c r="OU693" s="770"/>
      <c r="OV693" s="770"/>
      <c r="OW693" s="770"/>
      <c r="OX693" s="770"/>
      <c r="OY693" s="770"/>
      <c r="OZ693" s="770"/>
      <c r="PA693" s="770"/>
      <c r="PB693" s="770"/>
      <c r="PC693" s="770"/>
      <c r="PD693" s="770"/>
      <c r="PE693" s="770"/>
      <c r="PF693" s="770"/>
      <c r="PG693" s="770"/>
      <c r="PH693" s="770"/>
      <c r="PI693" s="770"/>
      <c r="PJ693" s="770"/>
      <c r="PK693" s="770"/>
      <c r="PL693" s="770"/>
      <c r="PM693" s="770"/>
      <c r="PN693" s="770"/>
      <c r="PO693" s="770"/>
      <c r="PP693" s="770"/>
      <c r="PQ693" s="770"/>
      <c r="PR693" s="770"/>
      <c r="PS693" s="770"/>
      <c r="PT693" s="770"/>
      <c r="PU693" s="770"/>
      <c r="PV693" s="770"/>
      <c r="PW693" s="770"/>
      <c r="PX693" s="770"/>
      <c r="PY693" s="770"/>
      <c r="PZ693" s="770"/>
      <c r="QA693" s="770"/>
      <c r="QB693" s="770"/>
      <c r="QC693" s="770"/>
      <c r="QD693" s="770"/>
      <c r="QE693" s="770"/>
      <c r="QF693" s="770"/>
      <c r="QG693" s="770"/>
      <c r="QH693" s="770"/>
      <c r="QI693" s="770"/>
      <c r="QJ693" s="770"/>
      <c r="QK693" s="770"/>
      <c r="QL693" s="770"/>
      <c r="QM693" s="770"/>
      <c r="QN693" s="770"/>
      <c r="QO693" s="770"/>
      <c r="QP693" s="770"/>
      <c r="QQ693" s="770"/>
      <c r="QR693" s="770"/>
      <c r="QS693" s="770"/>
      <c r="QT693" s="770"/>
      <c r="QU693" s="770"/>
      <c r="QV693" s="770"/>
      <c r="QW693" s="770"/>
      <c r="QX693" s="770"/>
      <c r="QY693" s="770"/>
      <c r="QZ693" s="770"/>
      <c r="RA693" s="770"/>
      <c r="RB693" s="770"/>
      <c r="RC693" s="770"/>
      <c r="RD693" s="770"/>
      <c r="RE693" s="770"/>
      <c r="RF693" s="304"/>
      <c r="RG693" s="770"/>
      <c r="RH693" s="306"/>
      <c r="RI693" s="770"/>
      <c r="RJ693" s="94" t="s">
        <v>13908</v>
      </c>
      <c r="RK693" s="770" t="s">
        <v>13544</v>
      </c>
      <c r="RL693" s="1710">
        <v>42844</v>
      </c>
      <c r="RM693" s="12"/>
      <c r="RN693" s="1711"/>
      <c r="RO693" s="149" t="s">
        <v>4538</v>
      </c>
      <c r="RP693" s="11"/>
      <c r="RQ693" s="11"/>
      <c r="RR693" s="17"/>
      <c r="RS693" s="767"/>
      <c r="RT693" s="11"/>
      <c r="RU693" s="11"/>
      <c r="RV693" s="771" t="s">
        <v>7421</v>
      </c>
      <c r="RW693" s="11" t="s">
        <v>8016</v>
      </c>
      <c r="RX693" s="11" t="s">
        <v>3070</v>
      </c>
      <c r="RY693" s="11"/>
      <c r="RZ693" s="11" t="s">
        <v>1101</v>
      </c>
      <c r="SA693" s="771"/>
      <c r="SB693" s="11"/>
      <c r="SC693" s="11"/>
    </row>
    <row r="694" spans="1:497" s="35" customFormat="1" ht="12.75" customHeight="1">
      <c r="A694" s="17" t="s">
        <v>7421</v>
      </c>
      <c r="B694" s="292" t="s">
        <v>7433</v>
      </c>
      <c r="C694" s="149" t="s">
        <v>3076</v>
      </c>
      <c r="D694" s="14" t="s">
        <v>12520</v>
      </c>
      <c r="E694" s="766" t="s">
        <v>4544</v>
      </c>
      <c r="F694" s="766" t="s">
        <v>28</v>
      </c>
      <c r="G694" s="766" t="s">
        <v>18</v>
      </c>
      <c r="H694" s="761"/>
      <c r="I694" s="5" t="s">
        <v>4545</v>
      </c>
      <c r="J694" s="14" t="s">
        <v>12520</v>
      </c>
      <c r="K694" s="766" t="s">
        <v>4546</v>
      </c>
      <c r="L694" s="766" t="s">
        <v>3077</v>
      </c>
      <c r="M694" s="766" t="s">
        <v>1238</v>
      </c>
      <c r="N694" s="78"/>
      <c r="O694" s="78" t="s">
        <v>3078</v>
      </c>
      <c r="P694" s="14" t="s">
        <v>4547</v>
      </c>
      <c r="Q694" s="1085">
        <v>20718</v>
      </c>
      <c r="R694" s="25">
        <v>60</v>
      </c>
      <c r="S694" s="766" t="s">
        <v>18</v>
      </c>
      <c r="T694" s="766"/>
      <c r="U694" s="5" t="s">
        <v>4545</v>
      </c>
      <c r="V694" s="766" t="s">
        <v>707</v>
      </c>
      <c r="W694" s="766"/>
      <c r="X694" s="766"/>
      <c r="Y694" s="766" t="s">
        <v>4544</v>
      </c>
      <c r="Z694" s="766" t="s">
        <v>708</v>
      </c>
      <c r="AA694" s="766" t="s">
        <v>2586</v>
      </c>
      <c r="AB694" s="766" t="s">
        <v>710</v>
      </c>
      <c r="AC694" s="766"/>
      <c r="AD694" s="766" t="s">
        <v>711</v>
      </c>
      <c r="AE694" s="766" t="s">
        <v>1073</v>
      </c>
      <c r="AF694" s="766"/>
      <c r="AG694" s="766" t="s">
        <v>1132</v>
      </c>
      <c r="AH694" s="766" t="s">
        <v>1096</v>
      </c>
      <c r="AI694" s="766"/>
      <c r="AJ694" s="766" t="s">
        <v>1137</v>
      </c>
      <c r="AK694" s="766" t="s">
        <v>1101</v>
      </c>
      <c r="AL694" s="120">
        <v>32</v>
      </c>
      <c r="AM694" s="773">
        <v>6</v>
      </c>
      <c r="AN694" s="37">
        <f t="shared" si="207"/>
        <v>0.1875</v>
      </c>
      <c r="AO694" s="766" t="s">
        <v>1109</v>
      </c>
      <c r="AP694" s="766"/>
      <c r="AQ694" s="766"/>
      <c r="AR694" s="766"/>
      <c r="AS694" s="766"/>
      <c r="AT694" s="766"/>
      <c r="AU694" s="766"/>
      <c r="AV694" s="766"/>
      <c r="AW694" s="766"/>
      <c r="AX694" s="766"/>
      <c r="AY694" s="766"/>
      <c r="AZ694" s="766"/>
      <c r="BA694" s="766"/>
      <c r="BB694" s="766"/>
      <c r="BC694" s="766"/>
      <c r="BD694" s="766"/>
      <c r="BE694" s="766"/>
      <c r="BF694" s="775"/>
      <c r="BG694" s="775"/>
      <c r="BH694" s="766"/>
      <c r="BI694" s="766"/>
      <c r="BJ694" s="766"/>
      <c r="BK694" s="766" t="s">
        <v>1095</v>
      </c>
      <c r="BL694" s="766" t="s">
        <v>3079</v>
      </c>
      <c r="BM694" s="766" t="s">
        <v>1096</v>
      </c>
      <c r="BN694" s="766" t="s">
        <v>1230</v>
      </c>
      <c r="BO694" s="766" t="s">
        <v>1239</v>
      </c>
      <c r="BP694" s="776">
        <v>64</v>
      </c>
      <c r="BQ694" s="773">
        <v>12</v>
      </c>
      <c r="BR694" s="774">
        <f>BQ694/BP694</f>
        <v>0.1875</v>
      </c>
      <c r="BS694" s="766" t="s">
        <v>1242</v>
      </c>
      <c r="BT694" s="766" t="s">
        <v>8133</v>
      </c>
      <c r="BU694" s="766" t="s">
        <v>1249</v>
      </c>
      <c r="BV694" s="766" t="s">
        <v>1247</v>
      </c>
      <c r="BW694" s="766">
        <v>1945</v>
      </c>
      <c r="BX694" s="775"/>
      <c r="BY694" s="766"/>
      <c r="BZ694" s="775"/>
      <c r="CA694" s="766"/>
      <c r="CB694" s="766" t="s">
        <v>1207</v>
      </c>
      <c r="CC694" s="766"/>
      <c r="CD694" s="766"/>
      <c r="CE694" s="775"/>
      <c r="CF694" s="777"/>
      <c r="CG694" s="231"/>
      <c r="CH694" s="766"/>
      <c r="CI694" s="766"/>
      <c r="CJ694" s="766"/>
      <c r="CK694" s="766"/>
      <c r="CL694" s="766"/>
      <c r="CM694" s="766"/>
      <c r="CN694" s="766"/>
      <c r="CO694" s="766"/>
      <c r="CP694" s="766"/>
      <c r="CQ694" s="766"/>
      <c r="CR694" s="775"/>
      <c r="CS694" s="766"/>
      <c r="CT694" s="766"/>
      <c r="CU694" s="129"/>
      <c r="CV694" s="766"/>
      <c r="CW694" s="766"/>
      <c r="CX694" s="766"/>
      <c r="CY694" s="766"/>
      <c r="CZ694" s="766"/>
      <c r="DA694" s="66"/>
      <c r="DB694" s="766"/>
      <c r="DC694" s="766"/>
      <c r="DD694" s="766"/>
      <c r="DE694" s="772"/>
      <c r="DF694" s="766"/>
      <c r="DG694" s="766"/>
      <c r="DH694" s="766"/>
      <c r="DI694" s="766"/>
      <c r="DJ694" s="766"/>
      <c r="DK694" s="766"/>
      <c r="DL694" s="766"/>
      <c r="DM694" s="766"/>
      <c r="DN694" s="44"/>
      <c r="DO694" s="766"/>
      <c r="DP694" s="766"/>
      <c r="DQ694" s="766"/>
      <c r="DR694" s="766"/>
      <c r="DS694" s="59"/>
      <c r="DT694" s="766"/>
      <c r="DU694" s="766"/>
      <c r="DV694" s="766"/>
      <c r="DW694" s="66"/>
      <c r="DX694" s="66"/>
      <c r="DY694" s="1813"/>
      <c r="DZ694" s="766"/>
      <c r="EA694" s="766"/>
      <c r="EB694" s="766"/>
      <c r="EC694" s="766"/>
      <c r="ED694" s="766"/>
      <c r="EE694" s="766"/>
      <c r="EF694" s="766"/>
      <c r="EG694" s="766"/>
      <c r="EH694" s="766"/>
      <c r="EI694" s="766"/>
      <c r="EJ694" s="766"/>
      <c r="EK694" s="766"/>
      <c r="EL694" s="766"/>
      <c r="EM694" s="766"/>
      <c r="EN694" s="766"/>
      <c r="EO694" s="766"/>
      <c r="EP694" s="14"/>
      <c r="EQ694" s="766"/>
      <c r="ER694" s="766"/>
      <c r="ES694" s="766"/>
      <c r="ET694" s="766"/>
      <c r="EU694" s="766"/>
      <c r="EV694" s="766"/>
      <c r="EW694" s="766"/>
      <c r="EX694" s="766"/>
      <c r="EY694" s="766"/>
      <c r="EZ694" s="766" t="s">
        <v>3079</v>
      </c>
      <c r="FA694" s="766" t="s">
        <v>3099</v>
      </c>
      <c r="FB694" s="766" t="s">
        <v>1257</v>
      </c>
      <c r="FC694" s="766"/>
      <c r="FD694" s="775"/>
      <c r="FE694" s="766" t="s">
        <v>3080</v>
      </c>
      <c r="FF694" s="766" t="s">
        <v>3081</v>
      </c>
      <c r="FG694" s="766"/>
      <c r="FH694" s="766" t="s">
        <v>478</v>
      </c>
      <c r="FI694" s="766">
        <v>1</v>
      </c>
      <c r="FJ694" s="766"/>
      <c r="FK694" s="766"/>
      <c r="FL694" s="766"/>
      <c r="FM694" s="775"/>
      <c r="FN694" s="775"/>
      <c r="FO694" s="775"/>
      <c r="FP694" s="766" t="s">
        <v>1600</v>
      </c>
      <c r="FQ694" s="766" t="s">
        <v>1642</v>
      </c>
      <c r="FR694" s="766" t="s">
        <v>1214</v>
      </c>
      <c r="FS694" s="766"/>
      <c r="FT694" s="766"/>
      <c r="FU694" s="766"/>
      <c r="FV694" s="766"/>
      <c r="FW694" s="766"/>
      <c r="FX694" s="766"/>
      <c r="FY694" s="766"/>
      <c r="FZ694" s="766"/>
      <c r="GA694" s="766"/>
      <c r="GB694" s="766" t="s">
        <v>1734</v>
      </c>
      <c r="GC694" s="75"/>
      <c r="GD694" s="25">
        <v>1945</v>
      </c>
      <c r="GE694" s="766" t="s">
        <v>1214</v>
      </c>
      <c r="GF694" s="775"/>
      <c r="GG694" s="775"/>
      <c r="GH694" s="766"/>
      <c r="GI694" s="766"/>
      <c r="GJ694" s="766"/>
      <c r="GK694" s="766"/>
      <c r="GL694" s="766"/>
      <c r="GM694" s="766"/>
      <c r="GN694" s="121"/>
      <c r="GO694" s="766"/>
      <c r="GP694" s="766"/>
      <c r="GQ694" s="766"/>
      <c r="GR694" s="766"/>
      <c r="GS694" s="766"/>
      <c r="GT694" s="766"/>
      <c r="GU694" s="766"/>
      <c r="GV694" s="766"/>
      <c r="GW694" s="766"/>
      <c r="GX694" s="766"/>
      <c r="GY694" s="766"/>
      <c r="GZ694" s="766"/>
      <c r="HA694" s="766"/>
      <c r="HB694" s="766"/>
      <c r="HC694" s="766"/>
      <c r="HD694" s="766"/>
      <c r="HE694" s="766"/>
      <c r="HF694" s="766"/>
      <c r="HG694" s="766"/>
      <c r="HH694" s="766"/>
      <c r="HI694" s="766"/>
      <c r="HJ694" s="766"/>
      <c r="HK694" s="766"/>
      <c r="HL694" s="766"/>
      <c r="HM694" s="766"/>
      <c r="HN694" s="766"/>
      <c r="HO694" s="766"/>
      <c r="HP694" s="766"/>
      <c r="HQ694" s="766"/>
      <c r="HR694" s="766">
        <v>1</v>
      </c>
      <c r="HS694" s="766"/>
      <c r="HT694" s="766"/>
      <c r="HU694" s="766"/>
      <c r="HV694" s="766"/>
      <c r="HW694" s="766"/>
      <c r="HX694" s="766"/>
      <c r="HY694" s="766"/>
      <c r="HZ694" s="766"/>
      <c r="IA694" s="766"/>
      <c r="IB694" s="14" t="e">
        <f>IF(#REF!&gt;0,IF(#REF!&lt;=10000,"Y",""),"")</f>
        <v>#REF!</v>
      </c>
      <c r="IC694" s="766" t="s">
        <v>1207</v>
      </c>
      <c r="ID694" s="766">
        <v>2</v>
      </c>
      <c r="IE694" s="766"/>
      <c r="IF694" s="766"/>
      <c r="IG694" s="766"/>
      <c r="IH694" s="766"/>
      <c r="II694" s="766"/>
      <c r="IJ694" s="766"/>
      <c r="IK694" s="766"/>
      <c r="IL694" s="766"/>
      <c r="IM694" s="766"/>
      <c r="IN694" s="766"/>
      <c r="IO694" s="24"/>
      <c r="IP694" s="766"/>
      <c r="IQ694" s="766"/>
      <c r="IR694" s="766"/>
      <c r="IS694" s="766"/>
      <c r="IT694" s="766"/>
      <c r="IU694" s="766"/>
      <c r="IV694" s="766"/>
      <c r="IW694" s="766"/>
      <c r="IX694" s="766"/>
      <c r="IY694" s="766"/>
      <c r="IZ694" s="766"/>
      <c r="JA694" s="766"/>
      <c r="JB694" s="766"/>
      <c r="JC694" s="766"/>
      <c r="JD694" s="775"/>
      <c r="JE694" s="766"/>
      <c r="JF694" s="766"/>
      <c r="JG694" s="766"/>
      <c r="JH694" s="59"/>
      <c r="JI694" s="59"/>
      <c r="JJ694" s="766">
        <v>6</v>
      </c>
      <c r="JK694" s="1139" t="s">
        <v>11274</v>
      </c>
      <c r="JL694" s="766"/>
      <c r="JM694" s="766"/>
      <c r="JN694" s="766">
        <v>1</v>
      </c>
      <c r="JO694" s="766">
        <v>4</v>
      </c>
      <c r="JP694" s="766">
        <v>1</v>
      </c>
      <c r="JQ694" s="766"/>
      <c r="JR694" s="766"/>
      <c r="JS694" s="766"/>
      <c r="JT694" s="766">
        <f>SUM(JP694,JN694,JL694,JR694)</f>
        <v>2</v>
      </c>
      <c r="JU694" s="766">
        <f>SUM(JQ694,JO694,JM694,JS694)</f>
        <v>4</v>
      </c>
      <c r="JV694" s="712" t="str">
        <f>IF(JT694=KJ694,"ok","male")</f>
        <v>ok</v>
      </c>
      <c r="JW694" s="712" t="str">
        <f>IF(JU694=KK694,"ok","female")</f>
        <v>ok</v>
      </c>
      <c r="JX694" s="766"/>
      <c r="JY694" s="766"/>
      <c r="JZ694" s="766"/>
      <c r="KA694" s="766"/>
      <c r="KB694" s="766">
        <v>1</v>
      </c>
      <c r="KC694" s="766"/>
      <c r="KD694" s="766"/>
      <c r="KE694" s="766">
        <v>4</v>
      </c>
      <c r="KF694" s="766">
        <v>1</v>
      </c>
      <c r="KG694" s="766"/>
      <c r="KH694" s="766"/>
      <c r="KI694" s="766"/>
      <c r="KJ694" s="766">
        <f t="shared" si="204"/>
        <v>2</v>
      </c>
      <c r="KK694" s="766">
        <f t="shared" si="204"/>
        <v>4</v>
      </c>
      <c r="KL694" s="712" t="str">
        <f>IF(KJ694=LN694,"ok","male")</f>
        <v>ok</v>
      </c>
      <c r="KM694" s="712" t="str">
        <f>IF(KK694=LO694,"ok","female")</f>
        <v>ok</v>
      </c>
      <c r="KN694" s="766" t="s">
        <v>707</v>
      </c>
      <c r="KO694" s="766"/>
      <c r="KP694" s="766"/>
      <c r="KQ694" s="766"/>
      <c r="KR694" s="766"/>
      <c r="KS694" s="766"/>
      <c r="KT694" s="766">
        <v>1</v>
      </c>
      <c r="KU694" s="766"/>
      <c r="KV694" s="766"/>
      <c r="KW694" s="766"/>
      <c r="KX694" s="766"/>
      <c r="KY694" s="766"/>
      <c r="KZ694" s="766"/>
      <c r="LA694" s="766">
        <v>1</v>
      </c>
      <c r="LB694" s="766"/>
      <c r="LC694" s="766">
        <v>1</v>
      </c>
      <c r="LD694" s="766">
        <v>1</v>
      </c>
      <c r="LE694" s="766">
        <v>2</v>
      </c>
      <c r="LF694" s="766"/>
      <c r="LG694" s="766"/>
      <c r="LH694" s="766"/>
      <c r="LI694" s="766"/>
      <c r="LJ694" s="766"/>
      <c r="LK694" s="766"/>
      <c r="LL694" s="766"/>
      <c r="LM694" s="766"/>
      <c r="LN694" s="766">
        <f t="shared" si="209"/>
        <v>2</v>
      </c>
      <c r="LO694" s="766">
        <f t="shared" si="209"/>
        <v>4</v>
      </c>
      <c r="LP694" s="766">
        <v>2</v>
      </c>
      <c r="LQ694" s="766">
        <v>2</v>
      </c>
      <c r="LR694" s="766"/>
      <c r="LS694" s="766"/>
      <c r="LT694" s="712" t="str">
        <f>IF(LQ694=SUM(LU694:LW694),"OK","REV")</f>
        <v>OK</v>
      </c>
      <c r="LU694" s="766">
        <v>1</v>
      </c>
      <c r="LV694" s="766">
        <v>1</v>
      </c>
      <c r="LW694" s="766"/>
      <c r="LX694" s="769">
        <v>1</v>
      </c>
      <c r="LY694" s="766" t="str">
        <f t="shared" si="210"/>
        <v>within the BRGY</v>
      </c>
      <c r="LZ694" s="1696"/>
      <c r="MA694" s="1696"/>
      <c r="MB694" s="1696"/>
      <c r="MC694" s="1679">
        <f t="shared" si="208"/>
        <v>0</v>
      </c>
      <c r="MD694" s="1696">
        <f>7800+12766</f>
        <v>20566</v>
      </c>
      <c r="ME694" s="1696"/>
      <c r="MF694" s="1696"/>
      <c r="MG694" s="1680">
        <f>SUM(MD694:MF694)</f>
        <v>20566</v>
      </c>
      <c r="MH694" s="766" t="s">
        <v>13909</v>
      </c>
      <c r="MI694" s="775">
        <v>18000</v>
      </c>
      <c r="MJ694" s="775">
        <v>4800</v>
      </c>
      <c r="MK694" s="775">
        <v>150</v>
      </c>
      <c r="ML694" s="775">
        <v>1000</v>
      </c>
      <c r="MM694" s="775"/>
      <c r="MN694" s="775"/>
      <c r="MO694" s="775">
        <v>900</v>
      </c>
      <c r="MP694" s="775">
        <v>700</v>
      </c>
      <c r="MQ694" s="775">
        <v>550</v>
      </c>
      <c r="MR694" s="775">
        <v>1600</v>
      </c>
      <c r="MS694" s="775"/>
      <c r="MT694" s="775"/>
      <c r="MU694" s="775"/>
      <c r="MV694" s="775"/>
      <c r="MW694" s="775"/>
      <c r="MX694" s="775"/>
      <c r="MY694" s="1682">
        <f t="shared" si="200"/>
        <v>27700</v>
      </c>
      <c r="MZ694" s="766" t="s">
        <v>13395</v>
      </c>
      <c r="NA694" s="766" t="s">
        <v>13005</v>
      </c>
      <c r="NB694" s="766" t="s">
        <v>13395</v>
      </c>
      <c r="NC694" s="766" t="s">
        <v>13602</v>
      </c>
      <c r="ND694" s="766">
        <v>0</v>
      </c>
      <c r="NE694" s="766">
        <v>0</v>
      </c>
      <c r="NF694" s="766">
        <v>0</v>
      </c>
      <c r="NG694" s="766">
        <v>4</v>
      </c>
      <c r="NH694" s="766">
        <v>1</v>
      </c>
      <c r="NI694" s="766">
        <v>0</v>
      </c>
      <c r="NJ694" s="766">
        <v>0</v>
      </c>
      <c r="NK694" s="766">
        <v>0</v>
      </c>
      <c r="NL694" s="766">
        <v>1</v>
      </c>
      <c r="NM694" s="766">
        <v>1</v>
      </c>
      <c r="NN694" s="766">
        <v>0</v>
      </c>
      <c r="NO694" s="766">
        <v>0</v>
      </c>
      <c r="NP694" s="766">
        <v>0</v>
      </c>
      <c r="NQ694" s="766">
        <v>0</v>
      </c>
      <c r="NR694" s="766">
        <v>0</v>
      </c>
      <c r="NS694" s="766">
        <v>0</v>
      </c>
      <c r="NT694" s="766">
        <v>0</v>
      </c>
      <c r="NU694" s="766">
        <v>0</v>
      </c>
      <c r="NV694" s="766">
        <v>0</v>
      </c>
      <c r="NW694" s="766">
        <v>0</v>
      </c>
      <c r="NX694" s="766">
        <v>0</v>
      </c>
      <c r="NY694" s="766" t="s">
        <v>1208</v>
      </c>
      <c r="NZ694" s="766" t="s">
        <v>1208</v>
      </c>
      <c r="OA694" s="766" t="s">
        <v>1208</v>
      </c>
      <c r="OB694" s="766" t="s">
        <v>1208</v>
      </c>
      <c r="OC694" s="766" t="s">
        <v>1208</v>
      </c>
      <c r="OD694" s="766"/>
      <c r="OE694" s="766"/>
      <c r="OF694" s="766"/>
      <c r="OG694" s="766"/>
      <c r="OH694" s="766"/>
      <c r="OI694" s="766"/>
      <c r="OJ694" s="766"/>
      <c r="OK694" s="766"/>
      <c r="OL694" s="766"/>
      <c r="OM694" s="766"/>
      <c r="ON694" s="766"/>
      <c r="OO694" s="766"/>
      <c r="OP694" s="766"/>
      <c r="OQ694" s="766"/>
      <c r="OR694" s="766"/>
      <c r="OS694" s="766"/>
      <c r="OT694" s="766"/>
      <c r="OU694" s="766"/>
      <c r="OV694" s="766"/>
      <c r="OW694" s="766"/>
      <c r="OX694" s="766"/>
      <c r="OY694" s="766"/>
      <c r="OZ694" s="766"/>
      <c r="PA694" s="766"/>
      <c r="PB694" s="766"/>
      <c r="PC694" s="766"/>
      <c r="PD694" s="766"/>
      <c r="PE694" s="766"/>
      <c r="PF694" s="766"/>
      <c r="PG694" s="766"/>
      <c r="PH694" s="766" t="s">
        <v>1208</v>
      </c>
      <c r="PI694" s="766" t="s">
        <v>1208</v>
      </c>
      <c r="PJ694" s="766"/>
      <c r="PK694" s="766" t="s">
        <v>1208</v>
      </c>
      <c r="PL694" s="766"/>
      <c r="PM694" s="766"/>
      <c r="PN694" s="766"/>
      <c r="PO694" s="766"/>
      <c r="PP694" s="766"/>
      <c r="PQ694" s="766"/>
      <c r="PR694" s="766"/>
      <c r="PS694" s="766"/>
      <c r="PT694" s="766"/>
      <c r="PU694" s="766"/>
      <c r="PV694" s="766"/>
      <c r="PW694" s="766"/>
      <c r="PX694" s="766"/>
      <c r="PY694" s="766"/>
      <c r="PZ694" s="766"/>
      <c r="QA694" s="766"/>
      <c r="QB694" s="766"/>
      <c r="QC694" s="766"/>
      <c r="QD694" s="766"/>
      <c r="QE694" s="766"/>
      <c r="QF694" s="766"/>
      <c r="QG694" s="766"/>
      <c r="QH694" s="766"/>
      <c r="QI694" s="766"/>
      <c r="QJ694" s="766"/>
      <c r="QK694" s="766"/>
      <c r="QL694" s="766"/>
      <c r="QM694" s="766"/>
      <c r="QN694" s="766"/>
      <c r="QO694" s="766"/>
      <c r="QP694" s="766"/>
      <c r="QQ694" s="766"/>
      <c r="QR694" s="766"/>
      <c r="QS694" s="766"/>
      <c r="QT694" s="766"/>
      <c r="QU694" s="766"/>
      <c r="QV694" s="766"/>
      <c r="QW694" s="766"/>
      <c r="QX694" s="766"/>
      <c r="QY694" s="766"/>
      <c r="QZ694" s="766"/>
      <c r="RA694" s="766"/>
      <c r="RB694" s="766" t="s">
        <v>1214</v>
      </c>
      <c r="RC694" s="766"/>
      <c r="RD694" s="766"/>
      <c r="RE694" s="766"/>
      <c r="RF694" s="777"/>
      <c r="RG694" s="766"/>
      <c r="RH694" s="66"/>
      <c r="RI694" s="766"/>
      <c r="RJ694" s="14" t="s">
        <v>3082</v>
      </c>
      <c r="RK694" s="766" t="s">
        <v>13544</v>
      </c>
      <c r="RL694" s="1683">
        <v>42844</v>
      </c>
      <c r="RM694" s="761"/>
      <c r="RN694" s="1791"/>
      <c r="RO694" s="49" t="s">
        <v>3076</v>
      </c>
      <c r="RR694" s="17" t="s">
        <v>7421</v>
      </c>
      <c r="RS694" s="1139" t="s">
        <v>12980</v>
      </c>
      <c r="RV694" s="771" t="s">
        <v>12355</v>
      </c>
      <c r="RW694" s="35" t="s">
        <v>8073</v>
      </c>
      <c r="RX694" s="35" t="s">
        <v>3070</v>
      </c>
      <c r="RY694" s="1117"/>
      <c r="RZ694" s="1117"/>
      <c r="SA694" s="49"/>
      <c r="SB694" s="1117"/>
      <c r="SC694" s="1117"/>
    </row>
    <row r="695" spans="1:497" ht="12.75" customHeight="1">
      <c r="A695" s="19" t="s">
        <v>7421</v>
      </c>
      <c r="B695" s="292" t="s">
        <v>8058</v>
      </c>
      <c r="C695" s="149" t="s">
        <v>5804</v>
      </c>
      <c r="D695" s="94" t="s">
        <v>7231</v>
      </c>
      <c r="E695" s="766" t="s">
        <v>3133</v>
      </c>
      <c r="F695" s="770" t="s">
        <v>28</v>
      </c>
      <c r="G695" s="770" t="s">
        <v>10</v>
      </c>
      <c r="H695" s="12"/>
      <c r="I695" s="295" t="s">
        <v>3085</v>
      </c>
      <c r="J695" s="94" t="s">
        <v>3084</v>
      </c>
      <c r="K695" s="766" t="s">
        <v>4552</v>
      </c>
      <c r="L695" s="766" t="s">
        <v>3086</v>
      </c>
      <c r="M695" s="770" t="s">
        <v>1238</v>
      </c>
      <c r="N695" s="1757" t="s">
        <v>7233</v>
      </c>
      <c r="O695" s="1757" t="s">
        <v>7234</v>
      </c>
      <c r="P695" s="94" t="s">
        <v>3084</v>
      </c>
      <c r="Q695" s="1088"/>
      <c r="R695" s="297"/>
      <c r="S695" s="770" t="s">
        <v>18</v>
      </c>
      <c r="T695" s="770"/>
      <c r="U695" s="298"/>
      <c r="V695" s="770"/>
      <c r="W695" s="770"/>
      <c r="X695" s="770"/>
      <c r="Y695" s="770"/>
      <c r="Z695" s="770"/>
      <c r="AA695" s="770"/>
      <c r="AB695" s="770"/>
      <c r="AC695" s="770"/>
      <c r="AD695" s="770"/>
      <c r="AE695" s="770"/>
      <c r="AF695" s="770"/>
      <c r="AG695" s="766" t="s">
        <v>1132</v>
      </c>
      <c r="AH695" s="766" t="s">
        <v>1096</v>
      </c>
      <c r="AI695" s="770"/>
      <c r="AJ695" s="770" t="s">
        <v>1137</v>
      </c>
      <c r="AK695" s="1828" t="s">
        <v>1101</v>
      </c>
      <c r="AL695" s="531">
        <v>24.5</v>
      </c>
      <c r="AM695" s="780">
        <v>5.25</v>
      </c>
      <c r="AN695" s="532">
        <f t="shared" si="207"/>
        <v>0.21428571428571427</v>
      </c>
      <c r="AO695" s="766" t="s">
        <v>1149</v>
      </c>
      <c r="AP695" s="766"/>
      <c r="AQ695" s="766"/>
      <c r="AR695" s="766"/>
      <c r="AS695" s="770"/>
      <c r="AT695" s="770"/>
      <c r="AU695" s="770"/>
      <c r="AV695" s="770"/>
      <c r="AW695" s="770"/>
      <c r="AX695" s="770"/>
      <c r="AY695" s="770"/>
      <c r="AZ695" s="770"/>
      <c r="BA695" s="770"/>
      <c r="BB695" s="770"/>
      <c r="BC695" s="770"/>
      <c r="BD695" s="770"/>
      <c r="BE695" s="770"/>
      <c r="BF695" s="302"/>
      <c r="BG695" s="302"/>
      <c r="BH695" s="770"/>
      <c r="BI695" s="770"/>
      <c r="BJ695" s="770"/>
      <c r="BK695" s="770" t="s">
        <v>1095</v>
      </c>
      <c r="BL695" s="766" t="s">
        <v>3087</v>
      </c>
      <c r="BM695" s="766" t="s">
        <v>1096</v>
      </c>
      <c r="BN695" s="766" t="s">
        <v>1230</v>
      </c>
      <c r="BO695" s="766" t="s">
        <v>1239</v>
      </c>
      <c r="BP695" s="1109">
        <v>49</v>
      </c>
      <c r="BQ695" s="773">
        <v>5.25</v>
      </c>
      <c r="BR695" s="774">
        <f>BQ695/BP695</f>
        <v>0.10714285714285714</v>
      </c>
      <c r="BS695" s="766" t="s">
        <v>1242</v>
      </c>
      <c r="BT695" s="770" t="s">
        <v>8133</v>
      </c>
      <c r="BU695" s="770" t="s">
        <v>1249</v>
      </c>
      <c r="BV695" s="770" t="s">
        <v>1247</v>
      </c>
      <c r="BW695" s="770">
        <v>1949</v>
      </c>
      <c r="BX695" s="302"/>
      <c r="BY695" s="770"/>
      <c r="BZ695" s="302"/>
      <c r="CA695" s="770"/>
      <c r="CB695" s="770" t="s">
        <v>1207</v>
      </c>
      <c r="CC695" s="770"/>
      <c r="CD695" s="770"/>
      <c r="CE695" s="302"/>
      <c r="CF695" s="304"/>
      <c r="CG695" s="321"/>
      <c r="CH695" s="770"/>
      <c r="CI695" s="770"/>
      <c r="CJ695" s="770"/>
      <c r="CK695" s="770"/>
      <c r="CL695" s="770"/>
      <c r="CM695" s="770"/>
      <c r="CN695" s="770"/>
      <c r="CO695" s="770"/>
      <c r="CP695" s="770"/>
      <c r="CQ695" s="770"/>
      <c r="CR695" s="302"/>
      <c r="CS695" s="770"/>
      <c r="CT695" s="770"/>
      <c r="CU695" s="305"/>
      <c r="CV695" s="770"/>
      <c r="CW695" s="770"/>
      <c r="CX695" s="770"/>
      <c r="CY695" s="770"/>
      <c r="CZ695" s="770"/>
      <c r="DA695" s="306"/>
      <c r="DB695" s="770"/>
      <c r="DC695" s="770"/>
      <c r="DD695" s="770"/>
      <c r="DE695" s="300"/>
      <c r="DF695" s="770"/>
      <c r="DG695" s="770"/>
      <c r="DH695" s="770"/>
      <c r="DI695" s="770"/>
      <c r="DJ695" s="770"/>
      <c r="DK695" s="770"/>
      <c r="DL695" s="770"/>
      <c r="DM695" s="770"/>
      <c r="DN695" s="322"/>
      <c r="DO695" s="770"/>
      <c r="DP695" s="770"/>
      <c r="DQ695" s="770"/>
      <c r="DR695" s="770"/>
      <c r="DS695" s="307"/>
      <c r="DT695" s="770"/>
      <c r="DU695" s="770"/>
      <c r="DV695" s="770"/>
      <c r="DW695" s="306"/>
      <c r="DX695" s="306"/>
      <c r="DY695" s="1055"/>
      <c r="DZ695" s="770"/>
      <c r="EA695" s="770"/>
      <c r="EB695" s="770"/>
      <c r="EC695" s="770"/>
      <c r="ED695" s="770"/>
      <c r="EE695" s="770"/>
      <c r="EF695" s="770"/>
      <c r="EG695" s="770"/>
      <c r="EH695" s="770"/>
      <c r="EI695" s="770"/>
      <c r="EJ695" s="770"/>
      <c r="EK695" s="770"/>
      <c r="EL695" s="770"/>
      <c r="EM695" s="770"/>
      <c r="EN695" s="770"/>
      <c r="EO695" s="770"/>
      <c r="EP695" s="94"/>
      <c r="EQ695" s="770"/>
      <c r="ER695" s="770"/>
      <c r="ES695" s="770"/>
      <c r="ET695" s="770"/>
      <c r="EU695" s="770"/>
      <c r="EV695" s="770"/>
      <c r="EW695" s="770"/>
      <c r="EX695" s="770"/>
      <c r="EY695" s="770"/>
      <c r="EZ695" s="94" t="s">
        <v>7231</v>
      </c>
      <c r="FA695" s="770" t="s">
        <v>3099</v>
      </c>
      <c r="FB695" s="770" t="s">
        <v>1257</v>
      </c>
      <c r="FC695" s="770"/>
      <c r="FD695" s="302"/>
      <c r="FE695" s="770" t="s">
        <v>3100</v>
      </c>
      <c r="FF695" s="770" t="s">
        <v>3081</v>
      </c>
      <c r="FG695" s="770"/>
      <c r="FH695" s="770" t="s">
        <v>478</v>
      </c>
      <c r="FI695" s="770">
        <v>1</v>
      </c>
      <c r="FJ695" s="770"/>
      <c r="FK695" s="770"/>
      <c r="FL695" s="770"/>
      <c r="FM695" s="302"/>
      <c r="FN695" s="302"/>
      <c r="FO695" s="302"/>
      <c r="FP695" s="770" t="s">
        <v>1600</v>
      </c>
      <c r="FQ695" s="770" t="s">
        <v>3940</v>
      </c>
      <c r="FR695" s="770" t="s">
        <v>1214</v>
      </c>
      <c r="FS695" s="770"/>
      <c r="FT695" s="770"/>
      <c r="FU695" s="770"/>
      <c r="FV695" s="770"/>
      <c r="FW695" s="770"/>
      <c r="FX695" s="770"/>
      <c r="FY695" s="770"/>
      <c r="FZ695" s="770"/>
      <c r="GA695" s="770"/>
      <c r="GB695" s="770"/>
      <c r="GC695" s="308"/>
      <c r="GD695" s="297"/>
      <c r="GE695" s="770"/>
      <c r="GF695" s="302"/>
      <c r="GG695" s="302"/>
      <c r="GH695" s="770"/>
      <c r="GI695" s="770"/>
      <c r="GJ695" s="770"/>
      <c r="GK695" s="770"/>
      <c r="GL695" s="770"/>
      <c r="GM695" s="770"/>
      <c r="GN695" s="299"/>
      <c r="GO695" s="770"/>
      <c r="GP695" s="770"/>
      <c r="GQ695" s="770"/>
      <c r="GR695" s="770"/>
      <c r="GS695" s="770"/>
      <c r="GT695" s="770"/>
      <c r="GU695" s="770"/>
      <c r="GV695" s="770"/>
      <c r="GW695" s="770"/>
      <c r="GX695" s="770"/>
      <c r="GY695" s="770"/>
      <c r="GZ695" s="770"/>
      <c r="HA695" s="770"/>
      <c r="HB695" s="770"/>
      <c r="HC695" s="770"/>
      <c r="HD695" s="770"/>
      <c r="HE695" s="770"/>
      <c r="HF695" s="770"/>
      <c r="HG695" s="770"/>
      <c r="HH695" s="770"/>
      <c r="HI695" s="770"/>
      <c r="HJ695" s="770"/>
      <c r="HK695" s="770"/>
      <c r="HL695" s="770"/>
      <c r="HM695" s="770"/>
      <c r="HN695" s="770"/>
      <c r="HO695" s="770"/>
      <c r="HP695" s="770"/>
      <c r="HQ695" s="770"/>
      <c r="HR695" s="770"/>
      <c r="HS695" s="770"/>
      <c r="HT695" s="770"/>
      <c r="HU695" s="770"/>
      <c r="HV695" s="770"/>
      <c r="HW695" s="770"/>
      <c r="HX695" s="770"/>
      <c r="HY695" s="770"/>
      <c r="HZ695" s="770"/>
      <c r="IA695" s="770"/>
      <c r="IB695" s="14" t="e">
        <f>IF(#REF!&gt;0,IF(#REF!&lt;=10000,"Y",""),"")</f>
        <v>#REF!</v>
      </c>
      <c r="IC695" s="770"/>
      <c r="ID695" s="770"/>
      <c r="IE695" s="770"/>
      <c r="IF695" s="770"/>
      <c r="IG695" s="770"/>
      <c r="IH695" s="770"/>
      <c r="II695" s="770"/>
      <c r="IJ695" s="770"/>
      <c r="IK695" s="770"/>
      <c r="IL695" s="770"/>
      <c r="IM695" s="770"/>
      <c r="IN695" s="770"/>
      <c r="IO695" s="296"/>
      <c r="IP695" s="770"/>
      <c r="IQ695" s="770"/>
      <c r="IR695" s="770"/>
      <c r="IS695" s="770"/>
      <c r="IT695" s="770"/>
      <c r="IU695" s="770"/>
      <c r="IV695" s="770"/>
      <c r="IW695" s="770"/>
      <c r="IX695" s="770"/>
      <c r="IY695" s="770"/>
      <c r="IZ695" s="770"/>
      <c r="JA695" s="770"/>
      <c r="JB695" s="770"/>
      <c r="JC695" s="770"/>
      <c r="JD695" s="302"/>
      <c r="JE695" s="770"/>
      <c r="JF695" s="770"/>
      <c r="JG695" s="770"/>
      <c r="JH695" s="307"/>
      <c r="JI695" s="307"/>
      <c r="JJ695" s="94"/>
      <c r="JK695" s="1767" t="s">
        <v>3084</v>
      </c>
      <c r="JL695" s="770"/>
      <c r="JM695" s="770"/>
      <c r="JN695" s="770"/>
      <c r="JO695" s="770"/>
      <c r="JP695" s="770"/>
      <c r="JQ695" s="770"/>
      <c r="JR695" s="770"/>
      <c r="JS695" s="770"/>
      <c r="JT695" s="766"/>
      <c r="JU695" s="766"/>
      <c r="JV695" s="712" t="str">
        <f>IF(JT695=KJ695,"ok","male")</f>
        <v>ok</v>
      </c>
      <c r="JW695" s="712" t="str">
        <f>IF(JU695=KK695,"ok","female")</f>
        <v>ok</v>
      </c>
      <c r="JX695" s="770"/>
      <c r="JY695" s="770"/>
      <c r="JZ695" s="770"/>
      <c r="KA695" s="770"/>
      <c r="KB695" s="770"/>
      <c r="KC695" s="770"/>
      <c r="KD695" s="770"/>
      <c r="KE695" s="770"/>
      <c r="KF695" s="770"/>
      <c r="KG695" s="770"/>
      <c r="KH695" s="770"/>
      <c r="KI695" s="770"/>
      <c r="KJ695" s="770"/>
      <c r="KK695" s="770"/>
      <c r="KL695" s="712" t="str">
        <f>IF(KJ695=LN695,"ok","male")</f>
        <v>ok</v>
      </c>
      <c r="KM695" s="712" t="str">
        <f>IF(KK695=LO695,"ok","female")</f>
        <v>ok</v>
      </c>
      <c r="KN695" s="770"/>
      <c r="KO695" s="770"/>
      <c r="KP695" s="770"/>
      <c r="KQ695" s="770"/>
      <c r="KR695" s="770"/>
      <c r="KS695" s="770"/>
      <c r="KT695" s="770"/>
      <c r="KU695" s="770"/>
      <c r="KV695" s="770"/>
      <c r="KW695" s="770"/>
      <c r="KX695" s="770"/>
      <c r="KY695" s="770"/>
      <c r="KZ695" s="770"/>
      <c r="LA695" s="770"/>
      <c r="LB695" s="770"/>
      <c r="LC695" s="770"/>
      <c r="LD695" s="770"/>
      <c r="LE695" s="770"/>
      <c r="LF695" s="770"/>
      <c r="LG695" s="770"/>
      <c r="LH695" s="770"/>
      <c r="LI695" s="770"/>
      <c r="LJ695" s="770"/>
      <c r="LK695" s="770"/>
      <c r="LL695" s="770"/>
      <c r="LM695" s="770"/>
      <c r="LN695" s="766"/>
      <c r="LO695" s="766"/>
      <c r="LP695" s="770"/>
      <c r="LQ695" s="770"/>
      <c r="LR695" s="770"/>
      <c r="LS695" s="770"/>
      <c r="LT695" s="712" t="str">
        <f>IF(LQ695=SUM(LU695:LW695),"OK","REV")</f>
        <v>OK</v>
      </c>
      <c r="LU695" s="770"/>
      <c r="LV695" s="770"/>
      <c r="LW695" s="770"/>
      <c r="LX695" s="769"/>
      <c r="LY695" s="766" t="str">
        <f t="shared" si="210"/>
        <v/>
      </c>
      <c r="LZ695" s="1709"/>
      <c r="MA695" s="1709"/>
      <c r="MB695" s="1709"/>
      <c r="MC695" s="1679">
        <f t="shared" si="208"/>
        <v>0</v>
      </c>
      <c r="MD695" s="1709"/>
      <c r="ME695" s="1709"/>
      <c r="MF695" s="1709"/>
      <c r="MG695" s="1680">
        <v>0</v>
      </c>
      <c r="MH695" s="770"/>
      <c r="MI695" s="302"/>
      <c r="MJ695" s="302"/>
      <c r="MK695" s="302"/>
      <c r="ML695" s="302"/>
      <c r="MM695" s="302"/>
      <c r="MN695" s="302"/>
      <c r="MO695" s="302"/>
      <c r="MP695" s="302"/>
      <c r="MQ695" s="302"/>
      <c r="MR695" s="302"/>
      <c r="MS695" s="302"/>
      <c r="MT695" s="302"/>
      <c r="MU695" s="302"/>
      <c r="MV695" s="302"/>
      <c r="MW695" s="302"/>
      <c r="MX695" s="302"/>
      <c r="MY695" s="1682"/>
      <c r="MZ695" s="770"/>
      <c r="NA695" s="770"/>
      <c r="NB695" s="770"/>
      <c r="NC695" s="770"/>
      <c r="ND695" s="770"/>
      <c r="NE695" s="770"/>
      <c r="NF695" s="770"/>
      <c r="NG695" s="770"/>
      <c r="NH695" s="770"/>
      <c r="NI695" s="770"/>
      <c r="NJ695" s="770"/>
      <c r="NK695" s="770"/>
      <c r="NL695" s="770"/>
      <c r="NM695" s="770"/>
      <c r="NN695" s="770"/>
      <c r="NO695" s="770"/>
      <c r="NP695" s="770"/>
      <c r="NQ695" s="770"/>
      <c r="NR695" s="770"/>
      <c r="NS695" s="770"/>
      <c r="NT695" s="770"/>
      <c r="NU695" s="770"/>
      <c r="NV695" s="770"/>
      <c r="NW695" s="770"/>
      <c r="NX695" s="770"/>
      <c r="NY695" s="770"/>
      <c r="NZ695" s="770"/>
      <c r="OA695" s="770"/>
      <c r="OB695" s="770"/>
      <c r="OC695" s="770"/>
      <c r="OD695" s="770"/>
      <c r="OE695" s="770"/>
      <c r="OF695" s="770"/>
      <c r="OG695" s="770"/>
      <c r="OH695" s="770"/>
      <c r="OI695" s="770"/>
      <c r="OJ695" s="770"/>
      <c r="OK695" s="770"/>
      <c r="OL695" s="770"/>
      <c r="OM695" s="770"/>
      <c r="ON695" s="770"/>
      <c r="OO695" s="770"/>
      <c r="OP695" s="770"/>
      <c r="OQ695" s="770"/>
      <c r="OR695" s="770"/>
      <c r="OS695" s="770"/>
      <c r="OT695" s="770"/>
      <c r="OU695" s="770"/>
      <c r="OV695" s="770"/>
      <c r="OW695" s="770"/>
      <c r="OX695" s="770"/>
      <c r="OY695" s="770"/>
      <c r="OZ695" s="770"/>
      <c r="PA695" s="770"/>
      <c r="PB695" s="770"/>
      <c r="PC695" s="770"/>
      <c r="PD695" s="770"/>
      <c r="PE695" s="770"/>
      <c r="PF695" s="770"/>
      <c r="PG695" s="770"/>
      <c r="PH695" s="770"/>
      <c r="PI695" s="770"/>
      <c r="PJ695" s="770"/>
      <c r="PK695" s="770"/>
      <c r="PL695" s="770"/>
      <c r="PM695" s="770"/>
      <c r="PN695" s="770"/>
      <c r="PO695" s="770"/>
      <c r="PP695" s="770"/>
      <c r="PQ695" s="770"/>
      <c r="PR695" s="770"/>
      <c r="PS695" s="770"/>
      <c r="PT695" s="770"/>
      <c r="PU695" s="770"/>
      <c r="PV695" s="770"/>
      <c r="PW695" s="770"/>
      <c r="PX695" s="770"/>
      <c r="PY695" s="770"/>
      <c r="PZ695" s="770"/>
      <c r="QA695" s="770"/>
      <c r="QB695" s="770"/>
      <c r="QC695" s="770"/>
      <c r="QD695" s="770"/>
      <c r="QE695" s="770"/>
      <c r="QF695" s="770"/>
      <c r="QG695" s="770"/>
      <c r="QH695" s="770"/>
      <c r="QI695" s="770"/>
      <c r="QJ695" s="770"/>
      <c r="QK695" s="770"/>
      <c r="QL695" s="770"/>
      <c r="QM695" s="770"/>
      <c r="QN695" s="770"/>
      <c r="QO695" s="770"/>
      <c r="QP695" s="770"/>
      <c r="QQ695" s="770"/>
      <c r="QR695" s="770"/>
      <c r="QS695" s="770"/>
      <c r="QT695" s="770"/>
      <c r="QU695" s="770"/>
      <c r="QV695" s="770"/>
      <c r="QW695" s="770"/>
      <c r="QX695" s="770"/>
      <c r="QY695" s="770"/>
      <c r="QZ695" s="770"/>
      <c r="RA695" s="770"/>
      <c r="RB695" s="770"/>
      <c r="RC695" s="770"/>
      <c r="RD695" s="770"/>
      <c r="RE695" s="770"/>
      <c r="RF695" s="304"/>
      <c r="RG695" s="770"/>
      <c r="RH695" s="306"/>
      <c r="RI695" s="770"/>
      <c r="RJ695" s="94" t="s">
        <v>13910</v>
      </c>
      <c r="RK695" s="770" t="s">
        <v>13550</v>
      </c>
      <c r="RL695" s="1710">
        <v>42844</v>
      </c>
      <c r="RM695" s="12"/>
      <c r="RN695" s="1711"/>
      <c r="RO695" s="149" t="s">
        <v>5804</v>
      </c>
      <c r="RP695" s="11"/>
      <c r="RQ695" s="11"/>
      <c r="RR695" s="19" t="s">
        <v>7421</v>
      </c>
      <c r="RS695" s="1139" t="s">
        <v>12980</v>
      </c>
      <c r="RT695" s="11"/>
      <c r="RU695" s="11"/>
      <c r="RV695" s="6" t="s">
        <v>7421</v>
      </c>
      <c r="RW695" s="11" t="s">
        <v>8017</v>
      </c>
      <c r="RX695" s="11" t="s">
        <v>4538</v>
      </c>
      <c r="RY695" s="11"/>
      <c r="RZ695" s="11" t="s">
        <v>2209</v>
      </c>
      <c r="SA695" s="6"/>
      <c r="SB695" s="11"/>
      <c r="SC695" s="11"/>
    </row>
    <row r="696" spans="1:497" ht="12.75" hidden="1" customHeight="1">
      <c r="A696" s="343" t="s">
        <v>7419</v>
      </c>
      <c r="B696" s="292" t="s">
        <v>8018</v>
      </c>
      <c r="C696" s="149" t="s">
        <v>4549</v>
      </c>
      <c r="D696" s="94" t="s">
        <v>4550</v>
      </c>
      <c r="E696" s="766" t="s">
        <v>3133</v>
      </c>
      <c r="F696" s="770" t="s">
        <v>28</v>
      </c>
      <c r="G696" s="770" t="s">
        <v>10</v>
      </c>
      <c r="H696" s="12"/>
      <c r="I696" s="295" t="s">
        <v>4551</v>
      </c>
      <c r="J696" s="94" t="s">
        <v>4550</v>
      </c>
      <c r="K696" s="766" t="s">
        <v>4553</v>
      </c>
      <c r="L696" s="766" t="s">
        <v>3086</v>
      </c>
      <c r="M696" s="770" t="s">
        <v>1238</v>
      </c>
      <c r="N696" s="1757" t="s">
        <v>7233</v>
      </c>
      <c r="O696" s="1757" t="s">
        <v>7234</v>
      </c>
      <c r="P696" s="770" t="s">
        <v>4554</v>
      </c>
      <c r="Q696" s="1088">
        <v>21505</v>
      </c>
      <c r="R696" s="297">
        <v>58</v>
      </c>
      <c r="S696" s="770" t="s">
        <v>10</v>
      </c>
      <c r="T696" s="770"/>
      <c r="U696" s="295" t="s">
        <v>4551</v>
      </c>
      <c r="V696" s="770" t="s">
        <v>707</v>
      </c>
      <c r="W696" s="770"/>
      <c r="X696" s="770"/>
      <c r="Y696" s="770" t="s">
        <v>3133</v>
      </c>
      <c r="Z696" s="770" t="s">
        <v>708</v>
      </c>
      <c r="AA696" s="770" t="s">
        <v>2586</v>
      </c>
      <c r="AB696" s="770" t="s">
        <v>710</v>
      </c>
      <c r="AC696" s="770"/>
      <c r="AD696" s="770" t="s">
        <v>711</v>
      </c>
      <c r="AE696" s="563" t="s">
        <v>4335</v>
      </c>
      <c r="AF696" s="770" t="s">
        <v>712</v>
      </c>
      <c r="AG696" s="766" t="s">
        <v>1132</v>
      </c>
      <c r="AH696" s="766" t="s">
        <v>1096</v>
      </c>
      <c r="AI696" s="770"/>
      <c r="AJ696" s="770" t="s">
        <v>1137</v>
      </c>
      <c r="AK696" s="766" t="s">
        <v>1097</v>
      </c>
      <c r="AL696" s="531">
        <v>34</v>
      </c>
      <c r="AM696" s="780">
        <v>0.8</v>
      </c>
      <c r="AN696" s="532">
        <f t="shared" si="207"/>
        <v>2.3529411764705882E-2</v>
      </c>
      <c r="AO696" s="766" t="s">
        <v>1098</v>
      </c>
      <c r="AP696" s="1775" t="s">
        <v>5368</v>
      </c>
      <c r="AQ696" s="766" t="s">
        <v>7232</v>
      </c>
      <c r="AR696" s="766"/>
      <c r="AS696" s="766" t="s">
        <v>1207</v>
      </c>
      <c r="AT696" s="770"/>
      <c r="AU696" s="770"/>
      <c r="AV696" s="770"/>
      <c r="AW696" s="770"/>
      <c r="AX696" s="770"/>
      <c r="AY696" s="770"/>
      <c r="AZ696" s="770"/>
      <c r="BA696" s="770" t="s">
        <v>1208</v>
      </c>
      <c r="BB696" s="770" t="s">
        <v>7222</v>
      </c>
      <c r="BC696" s="766" t="s">
        <v>4583</v>
      </c>
      <c r="BD696" s="770"/>
      <c r="BE696" s="770"/>
      <c r="BF696" s="302"/>
      <c r="BG696" s="302"/>
      <c r="BH696" s="770"/>
      <c r="BI696" s="770"/>
      <c r="BJ696" s="770"/>
      <c r="BK696" s="770" t="s">
        <v>1095</v>
      </c>
      <c r="BL696" s="770" t="s">
        <v>4555</v>
      </c>
      <c r="BM696" s="766" t="s">
        <v>1096</v>
      </c>
      <c r="BN696" s="766" t="s">
        <v>1230</v>
      </c>
      <c r="BO696" s="766" t="s">
        <v>1239</v>
      </c>
      <c r="BP696" s="765">
        <v>68</v>
      </c>
      <c r="BQ696" s="773">
        <v>1.6</v>
      </c>
      <c r="BR696" s="774">
        <f>BQ696/BP696</f>
        <v>2.3529411764705882E-2</v>
      </c>
      <c r="BS696" s="766" t="s">
        <v>1242</v>
      </c>
      <c r="BT696" s="766" t="s">
        <v>2040</v>
      </c>
      <c r="BU696" s="770" t="s">
        <v>1249</v>
      </c>
      <c r="BV696" s="770" t="s">
        <v>1247</v>
      </c>
      <c r="BW696" s="770">
        <v>1980</v>
      </c>
      <c r="BX696" s="302">
        <v>80000</v>
      </c>
      <c r="BY696" s="770"/>
      <c r="BZ696" s="302"/>
      <c r="CA696" s="770"/>
      <c r="CB696" s="770"/>
      <c r="CC696" s="770"/>
      <c r="CD696" s="770"/>
      <c r="CE696" s="302"/>
      <c r="CF696" s="304"/>
      <c r="CG696" s="321"/>
      <c r="CH696" s="770"/>
      <c r="CI696" s="770"/>
      <c r="CJ696" s="770"/>
      <c r="CK696" s="770"/>
      <c r="CL696" s="770"/>
      <c r="CM696" s="770"/>
      <c r="CN696" s="770"/>
      <c r="CO696" s="770"/>
      <c r="CP696" s="770"/>
      <c r="CQ696" s="770"/>
      <c r="CR696" s="302"/>
      <c r="CS696" s="770"/>
      <c r="CT696" s="770"/>
      <c r="CU696" s="305"/>
      <c r="CV696" s="770"/>
      <c r="CW696" s="770"/>
      <c r="CX696" s="770"/>
      <c r="CY696" s="770"/>
      <c r="CZ696" s="770"/>
      <c r="DA696" s="306"/>
      <c r="DB696" s="770"/>
      <c r="DC696" s="770"/>
      <c r="DD696" s="770"/>
      <c r="DE696" s="300"/>
      <c r="DF696" s="770"/>
      <c r="DG696" s="770"/>
      <c r="DH696" s="770"/>
      <c r="DI696" s="770"/>
      <c r="DJ696" s="770"/>
      <c r="DK696" s="770"/>
      <c r="DL696" s="770"/>
      <c r="DM696" s="770"/>
      <c r="DN696" s="322"/>
      <c r="DO696" s="770"/>
      <c r="DP696" s="770"/>
      <c r="DQ696" s="770"/>
      <c r="DR696" s="770"/>
      <c r="DS696" s="307"/>
      <c r="DT696" s="770"/>
      <c r="DU696" s="770"/>
      <c r="DV696" s="770"/>
      <c r="DW696" s="306"/>
      <c r="DX696" s="306"/>
      <c r="DY696" s="1055"/>
      <c r="DZ696" s="770"/>
      <c r="EA696" s="770"/>
      <c r="EB696" s="770"/>
      <c r="EC696" s="770"/>
      <c r="ED696" s="770"/>
      <c r="EE696" s="770"/>
      <c r="EF696" s="770"/>
      <c r="EG696" s="770"/>
      <c r="EH696" s="770"/>
      <c r="EI696" s="770"/>
      <c r="EJ696" s="770"/>
      <c r="EK696" s="770"/>
      <c r="EL696" s="770"/>
      <c r="EM696" s="770"/>
      <c r="EN696" s="770"/>
      <c r="EO696" s="770"/>
      <c r="EP696" s="94"/>
      <c r="EQ696" s="770"/>
      <c r="ER696" s="770"/>
      <c r="ES696" s="770"/>
      <c r="ET696" s="770"/>
      <c r="EU696" s="770"/>
      <c r="EV696" s="770"/>
      <c r="EW696" s="770"/>
      <c r="EX696" s="770"/>
      <c r="EY696" s="770"/>
      <c r="EZ696" s="770"/>
      <c r="FA696" s="770"/>
      <c r="FB696" s="770"/>
      <c r="FC696" s="770"/>
      <c r="FD696" s="302"/>
      <c r="FE696" s="770"/>
      <c r="FF696" s="770"/>
      <c r="FG696" s="770"/>
      <c r="FH696" s="770" t="s">
        <v>478</v>
      </c>
      <c r="FI696" s="770">
        <v>1</v>
      </c>
      <c r="FJ696" s="770"/>
      <c r="FK696" s="770"/>
      <c r="FL696" s="770"/>
      <c r="FM696" s="302"/>
      <c r="FN696" s="302"/>
      <c r="FO696" s="302"/>
      <c r="FP696" s="770" t="s">
        <v>1600</v>
      </c>
      <c r="FQ696" s="770" t="s">
        <v>1642</v>
      </c>
      <c r="FR696" s="770" t="s">
        <v>1214</v>
      </c>
      <c r="FS696" s="770"/>
      <c r="FT696" s="770"/>
      <c r="FU696" s="770"/>
      <c r="FV696" s="770"/>
      <c r="FW696" s="770"/>
      <c r="FX696" s="770"/>
      <c r="FY696" s="770"/>
      <c r="FZ696" s="770"/>
      <c r="GA696" s="770"/>
      <c r="GB696" s="770" t="s">
        <v>1734</v>
      </c>
      <c r="GC696" s="308"/>
      <c r="GD696" s="297">
        <v>1980</v>
      </c>
      <c r="GE696" s="770" t="s">
        <v>1214</v>
      </c>
      <c r="GF696" s="302"/>
      <c r="GG696" s="302"/>
      <c r="GH696" s="770"/>
      <c r="GI696" s="770"/>
      <c r="GJ696" s="770"/>
      <c r="GK696" s="770"/>
      <c r="GL696" s="770"/>
      <c r="GM696" s="770"/>
      <c r="GN696" s="299"/>
      <c r="GO696" s="770"/>
      <c r="GP696" s="770"/>
      <c r="GQ696" s="770"/>
      <c r="GR696" s="770"/>
      <c r="GS696" s="770"/>
      <c r="GT696" s="770"/>
      <c r="GU696" s="770"/>
      <c r="GV696" s="770"/>
      <c r="GW696" s="770"/>
      <c r="GX696" s="770"/>
      <c r="GY696" s="770"/>
      <c r="GZ696" s="770"/>
      <c r="HA696" s="770"/>
      <c r="HB696" s="770"/>
      <c r="HC696" s="770"/>
      <c r="HD696" s="770"/>
      <c r="HE696" s="770"/>
      <c r="HF696" s="770"/>
      <c r="HG696" s="770"/>
      <c r="HH696" s="770"/>
      <c r="HI696" s="770"/>
      <c r="HJ696" s="770"/>
      <c r="HK696" s="770"/>
      <c r="HL696" s="770"/>
      <c r="HM696" s="770"/>
      <c r="HN696" s="770"/>
      <c r="HO696" s="770"/>
      <c r="HP696" s="770"/>
      <c r="HQ696" s="770"/>
      <c r="HR696" s="770"/>
      <c r="HS696" s="770"/>
      <c r="HT696" s="770"/>
      <c r="HU696" s="770"/>
      <c r="HV696" s="770"/>
      <c r="HW696" s="770"/>
      <c r="HX696" s="770"/>
      <c r="HY696" s="770"/>
      <c r="HZ696" s="770"/>
      <c r="IA696" s="770"/>
      <c r="IB696" s="770" t="s">
        <v>1207</v>
      </c>
      <c r="IC696" s="770"/>
      <c r="ID696" s="770"/>
      <c r="IE696" s="770"/>
      <c r="IF696" s="770"/>
      <c r="IG696" s="770"/>
      <c r="IH696" s="770"/>
      <c r="II696" s="770"/>
      <c r="IJ696" s="770"/>
      <c r="IK696" s="770"/>
      <c r="IL696" s="770"/>
      <c r="IM696" s="770"/>
      <c r="IN696" s="770"/>
      <c r="IO696" s="296"/>
      <c r="IP696" s="770"/>
      <c r="IQ696" s="770"/>
      <c r="IR696" s="770"/>
      <c r="IS696" s="770"/>
      <c r="IT696" s="770"/>
      <c r="IU696" s="770"/>
      <c r="IV696" s="770"/>
      <c r="IW696" s="770"/>
      <c r="IX696" s="770"/>
      <c r="IY696" s="770"/>
      <c r="IZ696" s="770"/>
      <c r="JA696" s="770"/>
      <c r="JB696" s="770"/>
      <c r="JC696" s="770"/>
      <c r="JD696" s="302"/>
      <c r="JE696" s="770"/>
      <c r="JF696" s="770"/>
      <c r="JG696" s="770"/>
      <c r="JH696" s="59"/>
      <c r="JI696" s="59"/>
      <c r="JJ696" s="766">
        <v>5</v>
      </c>
      <c r="JK696" s="766" t="s">
        <v>7222</v>
      </c>
      <c r="JL696" s="766"/>
      <c r="JM696" s="766"/>
      <c r="JN696" s="766">
        <v>3</v>
      </c>
      <c r="JO696" s="766">
        <v>2</v>
      </c>
      <c r="JP696" s="766"/>
      <c r="JQ696" s="766"/>
      <c r="JR696" s="766"/>
      <c r="JS696" s="766"/>
      <c r="JT696" s="766">
        <f t="shared" ref="JT696:JU699" si="212">SUM(JP696,JN696,JL696,JR696)</f>
        <v>3</v>
      </c>
      <c r="JU696" s="766">
        <f t="shared" si="212"/>
        <v>2</v>
      </c>
      <c r="JV696" s="766"/>
      <c r="JW696" s="766"/>
      <c r="JX696" s="766"/>
      <c r="JY696" s="766"/>
      <c r="JZ696" s="766"/>
      <c r="KA696" s="766"/>
      <c r="KB696" s="766">
        <v>1</v>
      </c>
      <c r="KC696" s="766"/>
      <c r="KD696" s="766">
        <v>2</v>
      </c>
      <c r="KE696" s="766">
        <v>2</v>
      </c>
      <c r="KF696" s="766"/>
      <c r="KG696" s="766"/>
      <c r="KH696" s="766"/>
      <c r="KI696" s="766"/>
      <c r="KJ696" s="770">
        <f t="shared" si="204"/>
        <v>3</v>
      </c>
      <c r="KK696" s="770">
        <f t="shared" si="204"/>
        <v>2</v>
      </c>
      <c r="KL696" s="770"/>
      <c r="KM696" s="770"/>
      <c r="KN696" s="766" t="s">
        <v>719</v>
      </c>
      <c r="KO696" s="766"/>
      <c r="KP696" s="766"/>
      <c r="KQ696" s="766"/>
      <c r="KR696" s="766"/>
      <c r="KS696" s="766"/>
      <c r="KT696" s="766"/>
      <c r="KU696" s="766"/>
      <c r="KV696" s="766"/>
      <c r="KW696" s="766"/>
      <c r="KX696" s="766"/>
      <c r="KY696" s="766"/>
      <c r="KZ696" s="766"/>
      <c r="LA696" s="766">
        <v>2</v>
      </c>
      <c r="LB696" s="766">
        <v>2</v>
      </c>
      <c r="LC696" s="766"/>
      <c r="LD696" s="766">
        <v>1</v>
      </c>
      <c r="LE696" s="766">
        <v>1</v>
      </c>
      <c r="LF696" s="766"/>
      <c r="LG696" s="766"/>
      <c r="LH696" s="766"/>
      <c r="LI696" s="766"/>
      <c r="LJ696" s="766"/>
      <c r="LK696" s="766"/>
      <c r="LL696" s="766"/>
      <c r="LM696" s="766"/>
      <c r="LN696" s="766">
        <f t="shared" si="209"/>
        <v>3</v>
      </c>
      <c r="LO696" s="766">
        <f t="shared" si="209"/>
        <v>3</v>
      </c>
      <c r="LP696" s="766">
        <v>4</v>
      </c>
      <c r="LQ696" s="766">
        <v>4</v>
      </c>
      <c r="LR696" s="766"/>
      <c r="LS696" s="766"/>
      <c r="LT696" s="766"/>
      <c r="LU696" s="766">
        <v>2</v>
      </c>
      <c r="LV696" s="766">
        <v>2</v>
      </c>
      <c r="LW696" s="766"/>
      <c r="LX696" s="769">
        <v>1</v>
      </c>
      <c r="LY696" s="766" t="str">
        <f t="shared" si="210"/>
        <v>within the BRGY</v>
      </c>
      <c r="LZ696" s="1696"/>
      <c r="MA696" s="1696"/>
      <c r="MB696" s="1696"/>
      <c r="MC696" s="1679">
        <f t="shared" si="208"/>
        <v>0</v>
      </c>
      <c r="MD696" s="1696">
        <f>SUM(19900,490*26,15000,21000)</f>
        <v>68640</v>
      </c>
      <c r="ME696" s="1696"/>
      <c r="MF696" s="1696"/>
      <c r="MG696" s="1680">
        <f t="shared" si="199"/>
        <v>68640</v>
      </c>
      <c r="MH696" s="766" t="s">
        <v>13911</v>
      </c>
      <c r="MI696" s="775">
        <v>9000</v>
      </c>
      <c r="MJ696" s="775">
        <v>2000</v>
      </c>
      <c r="MK696" s="775">
        <v>120</v>
      </c>
      <c r="ML696" s="775">
        <v>900</v>
      </c>
      <c r="MM696" s="775"/>
      <c r="MN696" s="775"/>
      <c r="MO696" s="775">
        <v>100</v>
      </c>
      <c r="MP696" s="775">
        <v>5500</v>
      </c>
      <c r="MQ696" s="775">
        <v>575</v>
      </c>
      <c r="MR696" s="775">
        <v>4200</v>
      </c>
      <c r="MS696" s="775"/>
      <c r="MT696" s="775"/>
      <c r="MU696" s="775"/>
      <c r="MV696" s="775"/>
      <c r="MW696" s="775"/>
      <c r="MX696" s="775"/>
      <c r="MY696" s="1682">
        <f t="shared" si="200"/>
        <v>22395</v>
      </c>
      <c r="MZ696" s="766" t="s">
        <v>13370</v>
      </c>
      <c r="NA696" s="766" t="s">
        <v>13005</v>
      </c>
      <c r="NB696" s="770" t="s">
        <v>13016</v>
      </c>
      <c r="NC696" s="770" t="s">
        <v>13602</v>
      </c>
      <c r="ND696" s="770">
        <v>0</v>
      </c>
      <c r="NE696" s="770">
        <v>1</v>
      </c>
      <c r="NF696" s="770">
        <v>0</v>
      </c>
      <c r="NG696" s="770">
        <v>4</v>
      </c>
      <c r="NH696" s="770">
        <v>1</v>
      </c>
      <c r="NI696" s="770">
        <v>0</v>
      </c>
      <c r="NJ696" s="770">
        <v>1</v>
      </c>
      <c r="NK696" s="770">
        <v>0</v>
      </c>
      <c r="NL696" s="770">
        <v>1</v>
      </c>
      <c r="NM696" s="770">
        <v>1</v>
      </c>
      <c r="NN696" s="770">
        <v>0</v>
      </c>
      <c r="NO696" s="770">
        <v>0</v>
      </c>
      <c r="NP696" s="770">
        <v>0</v>
      </c>
      <c r="NQ696" s="770">
        <v>0</v>
      </c>
      <c r="NR696" s="770">
        <v>0</v>
      </c>
      <c r="NS696" s="770">
        <v>0</v>
      </c>
      <c r="NT696" s="770">
        <v>0</v>
      </c>
      <c r="NU696" s="770">
        <v>0</v>
      </c>
      <c r="NV696" s="770">
        <v>0</v>
      </c>
      <c r="NW696" s="770">
        <v>0</v>
      </c>
      <c r="NX696" s="770">
        <v>0</v>
      </c>
      <c r="NY696" s="770"/>
      <c r="NZ696" s="770"/>
      <c r="OA696" s="770"/>
      <c r="OB696" s="770"/>
      <c r="OC696" s="770"/>
      <c r="OD696" s="770"/>
      <c r="OE696" s="770"/>
      <c r="OF696" s="770"/>
      <c r="OG696" s="770"/>
      <c r="OH696" s="770"/>
      <c r="OI696" s="770"/>
      <c r="OJ696" s="770"/>
      <c r="OK696" s="770"/>
      <c r="OL696" s="770"/>
      <c r="OM696" s="770"/>
      <c r="ON696" s="770"/>
      <c r="OO696" s="770"/>
      <c r="OP696" s="770"/>
      <c r="OQ696" s="770"/>
      <c r="OR696" s="770"/>
      <c r="OS696" s="770"/>
      <c r="OT696" s="770"/>
      <c r="OU696" s="770"/>
      <c r="OV696" s="770"/>
      <c r="OW696" s="770"/>
      <c r="OX696" s="770"/>
      <c r="OY696" s="770"/>
      <c r="OZ696" s="770"/>
      <c r="PA696" s="770"/>
      <c r="PB696" s="770"/>
      <c r="PC696" s="770"/>
      <c r="PD696" s="770"/>
      <c r="PE696" s="770"/>
      <c r="PF696" s="770" t="s">
        <v>1208</v>
      </c>
      <c r="PG696" s="770"/>
      <c r="PH696" s="770" t="s">
        <v>1208</v>
      </c>
      <c r="PI696" s="770" t="s">
        <v>1208</v>
      </c>
      <c r="PJ696" s="770"/>
      <c r="PK696" s="770" t="s">
        <v>1208</v>
      </c>
      <c r="PL696" s="770"/>
      <c r="PM696" s="770"/>
      <c r="PN696" s="770"/>
      <c r="PO696" s="770"/>
      <c r="PP696" s="770"/>
      <c r="PQ696" s="770"/>
      <c r="PR696" s="770"/>
      <c r="PS696" s="770"/>
      <c r="PT696" s="770"/>
      <c r="PU696" s="770"/>
      <c r="PV696" s="770"/>
      <c r="PW696" s="770"/>
      <c r="PX696" s="770"/>
      <c r="PY696" s="770"/>
      <c r="PZ696" s="770"/>
      <c r="QA696" s="770"/>
      <c r="QB696" s="770"/>
      <c r="QC696" s="770"/>
      <c r="QD696" s="770"/>
      <c r="QE696" s="770"/>
      <c r="QF696" s="770"/>
      <c r="QG696" s="770"/>
      <c r="QH696" s="770"/>
      <c r="QI696" s="770"/>
      <c r="QJ696" s="770"/>
      <c r="QK696" s="770"/>
      <c r="QL696" s="770"/>
      <c r="QM696" s="770"/>
      <c r="QN696" s="770"/>
      <c r="QO696" s="770"/>
      <c r="QP696" s="770"/>
      <c r="QQ696" s="770"/>
      <c r="QR696" s="770"/>
      <c r="QS696" s="770"/>
      <c r="QT696" s="770"/>
      <c r="QU696" s="770"/>
      <c r="QV696" s="770"/>
      <c r="QW696" s="770"/>
      <c r="QX696" s="770"/>
      <c r="QY696" s="770"/>
      <c r="QZ696" s="770"/>
      <c r="RA696" s="770"/>
      <c r="RB696" s="770" t="s">
        <v>1207</v>
      </c>
      <c r="RC696" s="770">
        <v>2012</v>
      </c>
      <c r="RD696" s="770" t="s">
        <v>13036</v>
      </c>
      <c r="RE696" s="770" t="s">
        <v>12990</v>
      </c>
      <c r="RF696" s="304">
        <v>2</v>
      </c>
      <c r="RG696" s="770" t="s">
        <v>13047</v>
      </c>
      <c r="RH696" s="306">
        <v>2000</v>
      </c>
      <c r="RI696" s="770">
        <v>24</v>
      </c>
      <c r="RJ696" s="94" t="s">
        <v>13912</v>
      </c>
      <c r="RK696" s="770" t="s">
        <v>13544</v>
      </c>
      <c r="RL696" s="1710">
        <v>42844</v>
      </c>
      <c r="RM696" s="12"/>
      <c r="RN696" s="1711"/>
      <c r="RO696" s="149" t="s">
        <v>4549</v>
      </c>
      <c r="RP696" s="11"/>
      <c r="RQ696" s="11"/>
      <c r="RR696" s="17"/>
      <c r="RS696" s="771"/>
      <c r="RT696" s="11"/>
      <c r="RU696" s="11"/>
      <c r="RV696" s="771" t="s">
        <v>7421</v>
      </c>
      <c r="RW696" s="11" t="s">
        <v>7433</v>
      </c>
      <c r="RX696" s="11" t="s">
        <v>3076</v>
      </c>
      <c r="RY696" s="11"/>
      <c r="RZ696" s="11" t="s">
        <v>2209</v>
      </c>
      <c r="SA696" s="771"/>
      <c r="SB696" s="11"/>
      <c r="SC696" s="11"/>
    </row>
    <row r="697" spans="1:497" ht="12.75" hidden="1" customHeight="1">
      <c r="A697" s="343" t="s">
        <v>7419</v>
      </c>
      <c r="B697" s="292" t="s">
        <v>7434</v>
      </c>
      <c r="C697" s="149" t="s">
        <v>3101</v>
      </c>
      <c r="D697" s="94" t="s">
        <v>4556</v>
      </c>
      <c r="E697" s="766" t="s">
        <v>3135</v>
      </c>
      <c r="F697" s="770" t="s">
        <v>28</v>
      </c>
      <c r="G697" s="770" t="s">
        <v>18</v>
      </c>
      <c r="H697" s="295" t="s">
        <v>4557</v>
      </c>
      <c r="I697" s="295"/>
      <c r="J697" s="94" t="s">
        <v>4556</v>
      </c>
      <c r="K697" s="766" t="s">
        <v>4553</v>
      </c>
      <c r="L697" s="766" t="s">
        <v>4558</v>
      </c>
      <c r="M697" s="770" t="s">
        <v>1238</v>
      </c>
      <c r="N697" s="1757" t="s">
        <v>7233</v>
      </c>
      <c r="O697" s="1757" t="s">
        <v>7234</v>
      </c>
      <c r="P697" s="770" t="s">
        <v>4559</v>
      </c>
      <c r="Q697" s="1088">
        <v>9879</v>
      </c>
      <c r="R697" s="297">
        <v>90</v>
      </c>
      <c r="S697" s="770" t="s">
        <v>18</v>
      </c>
      <c r="T697" s="295" t="s">
        <v>4557</v>
      </c>
      <c r="U697" s="298"/>
      <c r="V697" s="770" t="s">
        <v>719</v>
      </c>
      <c r="W697" s="770"/>
      <c r="X697" s="770"/>
      <c r="Y697" s="770" t="s">
        <v>3135</v>
      </c>
      <c r="Z697" s="770" t="s">
        <v>708</v>
      </c>
      <c r="AA697" s="770" t="s">
        <v>709</v>
      </c>
      <c r="AB697" s="770" t="s">
        <v>710</v>
      </c>
      <c r="AC697" s="770" t="s">
        <v>724</v>
      </c>
      <c r="AD697" s="770"/>
      <c r="AE697" s="563" t="s">
        <v>4335</v>
      </c>
      <c r="AF697" s="770" t="s">
        <v>712</v>
      </c>
      <c r="AG697" s="766" t="s">
        <v>1132</v>
      </c>
      <c r="AH697" s="766" t="s">
        <v>1096</v>
      </c>
      <c r="AI697" s="770"/>
      <c r="AJ697" s="770" t="s">
        <v>1137</v>
      </c>
      <c r="AK697" s="766" t="s">
        <v>1097</v>
      </c>
      <c r="AL697" s="531">
        <v>51.2</v>
      </c>
      <c r="AM697" s="780">
        <v>4.4800000000000004</v>
      </c>
      <c r="AN697" s="532">
        <f t="shared" si="207"/>
        <v>8.7500000000000008E-2</v>
      </c>
      <c r="AO697" s="766" t="s">
        <v>1098</v>
      </c>
      <c r="AP697" s="1775" t="s">
        <v>5368</v>
      </c>
      <c r="AQ697" s="766" t="s">
        <v>7232</v>
      </c>
      <c r="AR697" s="766"/>
      <c r="AS697" s="770" t="s">
        <v>1207</v>
      </c>
      <c r="AT697" s="770"/>
      <c r="AU697" s="770"/>
      <c r="AV697" s="770"/>
      <c r="AW697" s="770"/>
      <c r="AX697" s="770"/>
      <c r="AY697" s="770"/>
      <c r="AZ697" s="770"/>
      <c r="BA697" s="770" t="s">
        <v>1208</v>
      </c>
      <c r="BB697" s="770"/>
      <c r="BC697" s="766" t="s">
        <v>4583</v>
      </c>
      <c r="BD697" s="770"/>
      <c r="BE697" s="770"/>
      <c r="BF697" s="302"/>
      <c r="BG697" s="302"/>
      <c r="BH697" s="770"/>
      <c r="BI697" s="770"/>
      <c r="BJ697" s="770"/>
      <c r="BK697" s="770" t="s">
        <v>1095</v>
      </c>
      <c r="BL697" s="770" t="s">
        <v>4560</v>
      </c>
      <c r="BM697" s="766" t="s">
        <v>1096</v>
      </c>
      <c r="BN697" s="766" t="s">
        <v>1230</v>
      </c>
      <c r="BO697" s="766" t="s">
        <v>1239</v>
      </c>
      <c r="BP697" s="765">
        <v>102.4</v>
      </c>
      <c r="BQ697" s="773">
        <v>8.9</v>
      </c>
      <c r="BR697" s="774">
        <f>BQ697/BP697</f>
        <v>8.69140625E-2</v>
      </c>
      <c r="BS697" s="766" t="s">
        <v>1242</v>
      </c>
      <c r="BT697" s="770" t="s">
        <v>8133</v>
      </c>
      <c r="BU697" s="770" t="s">
        <v>1249</v>
      </c>
      <c r="BV697" s="770" t="s">
        <v>1247</v>
      </c>
      <c r="BW697" s="769"/>
      <c r="BX697" s="302"/>
      <c r="BY697" s="770"/>
      <c r="BZ697" s="302"/>
      <c r="CA697" s="770"/>
      <c r="CB697" s="770"/>
      <c r="CC697" s="770"/>
      <c r="CD697" s="770"/>
      <c r="CE697" s="302"/>
      <c r="CF697" s="304"/>
      <c r="CG697" s="321"/>
      <c r="CH697" s="770"/>
      <c r="CI697" s="770"/>
      <c r="CJ697" s="770"/>
      <c r="CK697" s="770"/>
      <c r="CL697" s="770"/>
      <c r="CM697" s="770"/>
      <c r="CN697" s="770"/>
      <c r="CO697" s="770"/>
      <c r="CP697" s="770"/>
      <c r="CQ697" s="770"/>
      <c r="CR697" s="302"/>
      <c r="CS697" s="770"/>
      <c r="CT697" s="770"/>
      <c r="CU697" s="305"/>
      <c r="CV697" s="770"/>
      <c r="CW697" s="770"/>
      <c r="CX697" s="770"/>
      <c r="CY697" s="770"/>
      <c r="CZ697" s="770"/>
      <c r="DA697" s="306"/>
      <c r="DB697" s="770"/>
      <c r="DC697" s="770"/>
      <c r="DD697" s="770"/>
      <c r="DE697" s="300"/>
      <c r="DF697" s="770"/>
      <c r="DG697" s="770"/>
      <c r="DH697" s="770"/>
      <c r="DI697" s="770"/>
      <c r="DJ697" s="770"/>
      <c r="DK697" s="770"/>
      <c r="DL697" s="770"/>
      <c r="DM697" s="770"/>
      <c r="DN697" s="322"/>
      <c r="DO697" s="770"/>
      <c r="DP697" s="770"/>
      <c r="DQ697" s="770"/>
      <c r="DR697" s="770"/>
      <c r="DS697" s="307"/>
      <c r="DT697" s="770"/>
      <c r="DU697" s="770"/>
      <c r="DV697" s="770"/>
      <c r="DW697" s="306"/>
      <c r="DX697" s="306"/>
      <c r="DY697" s="1055"/>
      <c r="DZ697" s="770"/>
      <c r="EA697" s="770"/>
      <c r="EB697" s="770"/>
      <c r="EC697" s="770"/>
      <c r="ED697" s="770"/>
      <c r="EE697" s="770"/>
      <c r="EF697" s="770"/>
      <c r="EG697" s="770"/>
      <c r="EH697" s="770"/>
      <c r="EI697" s="770"/>
      <c r="EJ697" s="770"/>
      <c r="EK697" s="770"/>
      <c r="EL697" s="770"/>
      <c r="EM697" s="770"/>
      <c r="EN697" s="770"/>
      <c r="EO697" s="770"/>
      <c r="EP697" s="94"/>
      <c r="EQ697" s="770"/>
      <c r="ER697" s="770"/>
      <c r="ES697" s="770"/>
      <c r="ET697" s="770"/>
      <c r="EU697" s="770"/>
      <c r="EV697" s="770"/>
      <c r="EW697" s="770"/>
      <c r="EX697" s="770"/>
      <c r="EY697" s="770"/>
      <c r="EZ697" s="770"/>
      <c r="FA697" s="770"/>
      <c r="FB697" s="770"/>
      <c r="FC697" s="770"/>
      <c r="FD697" s="302"/>
      <c r="FE697" s="770"/>
      <c r="FF697" s="770"/>
      <c r="FG697" s="770"/>
      <c r="FH697" s="770" t="s">
        <v>478</v>
      </c>
      <c r="FI697" s="770"/>
      <c r="FJ697" s="770"/>
      <c r="FK697" s="770"/>
      <c r="FL697" s="770"/>
      <c r="FM697" s="302"/>
      <c r="FN697" s="302"/>
      <c r="FO697" s="302"/>
      <c r="FP697" s="770" t="s">
        <v>1600</v>
      </c>
      <c r="FQ697" s="770" t="s">
        <v>1642</v>
      </c>
      <c r="FR697" s="770" t="s">
        <v>1207</v>
      </c>
      <c r="FS697" s="770"/>
      <c r="FT697" s="770"/>
      <c r="FU697" s="770"/>
      <c r="FV697" s="770" t="s">
        <v>1208</v>
      </c>
      <c r="FW697" s="770"/>
      <c r="FX697" s="770"/>
      <c r="FY697" s="770"/>
      <c r="FZ697" s="770"/>
      <c r="GA697" s="770"/>
      <c r="GB697" s="770" t="s">
        <v>796</v>
      </c>
      <c r="GC697" s="308"/>
      <c r="GD697" s="297"/>
      <c r="GE697" s="770" t="s">
        <v>1207</v>
      </c>
      <c r="GF697" s="1782"/>
      <c r="GG697" s="1782"/>
      <c r="GH697" s="770"/>
      <c r="GI697" s="770"/>
      <c r="GJ697" s="770"/>
      <c r="GK697" s="770"/>
      <c r="GL697" s="770"/>
      <c r="GM697" s="770"/>
      <c r="GN697" s="299"/>
      <c r="GO697" s="770"/>
      <c r="GP697" s="770"/>
      <c r="GQ697" s="770"/>
      <c r="GR697" s="770"/>
      <c r="GS697" s="770"/>
      <c r="GT697" s="770"/>
      <c r="GU697" s="770"/>
      <c r="GV697" s="770"/>
      <c r="GW697" s="770"/>
      <c r="GX697" s="770"/>
      <c r="GY697" s="770"/>
      <c r="GZ697" s="770"/>
      <c r="HA697" s="770"/>
      <c r="HB697" s="770"/>
      <c r="HC697" s="770"/>
      <c r="HD697" s="770"/>
      <c r="HE697" s="770"/>
      <c r="HF697" s="770"/>
      <c r="HG697" s="770"/>
      <c r="HH697" s="770"/>
      <c r="HI697" s="770"/>
      <c r="HJ697" s="770"/>
      <c r="HK697" s="770"/>
      <c r="HL697" s="770"/>
      <c r="HM697" s="770"/>
      <c r="HN697" s="770"/>
      <c r="HO697" s="770"/>
      <c r="HP697" s="770"/>
      <c r="HQ697" s="770"/>
      <c r="HR697" s="770"/>
      <c r="HS697" s="770"/>
      <c r="HT697" s="770"/>
      <c r="HU697" s="770"/>
      <c r="HV697" s="770"/>
      <c r="HW697" s="770"/>
      <c r="HX697" s="770"/>
      <c r="HY697" s="770"/>
      <c r="HZ697" s="770"/>
      <c r="IA697" s="770"/>
      <c r="IB697" s="770" t="s">
        <v>1207</v>
      </c>
      <c r="IC697" s="770" t="s">
        <v>1207</v>
      </c>
      <c r="ID697" s="770">
        <v>1</v>
      </c>
      <c r="IE697" s="770"/>
      <c r="IF697" s="770" t="s">
        <v>4556</v>
      </c>
      <c r="IG697" s="770" t="s">
        <v>18</v>
      </c>
      <c r="IH697" s="770" t="s">
        <v>478</v>
      </c>
      <c r="II697" s="770" t="s">
        <v>3135</v>
      </c>
      <c r="IJ697" s="770" t="s">
        <v>1835</v>
      </c>
      <c r="IK697" s="770" t="s">
        <v>2639</v>
      </c>
      <c r="IL697" s="770" t="s">
        <v>4561</v>
      </c>
      <c r="IM697" s="770">
        <v>2016</v>
      </c>
      <c r="IN697" s="770" t="s">
        <v>4561</v>
      </c>
      <c r="IO697" s="296">
        <v>9879</v>
      </c>
      <c r="IP697" s="770" t="s">
        <v>478</v>
      </c>
      <c r="IQ697" s="769" t="s">
        <v>8144</v>
      </c>
      <c r="IR697" s="770" t="s">
        <v>2716</v>
      </c>
      <c r="IS697" s="770" t="s">
        <v>740</v>
      </c>
      <c r="IT697" s="770"/>
      <c r="IU697" s="770" t="s">
        <v>1208</v>
      </c>
      <c r="IV697" s="770"/>
      <c r="IW697" s="770" t="s">
        <v>13913</v>
      </c>
      <c r="IX697" s="770" t="s">
        <v>4557</v>
      </c>
      <c r="IY697" s="770"/>
      <c r="IZ697" s="770"/>
      <c r="JA697" s="770" t="s">
        <v>1880</v>
      </c>
      <c r="JB697" s="770" t="s">
        <v>1901</v>
      </c>
      <c r="JC697" s="770"/>
      <c r="JD697" s="302">
        <v>3000</v>
      </c>
      <c r="JE697" s="770"/>
      <c r="JF697" s="770"/>
      <c r="JG697" s="770"/>
      <c r="JH697" s="307"/>
      <c r="JI697" s="307"/>
      <c r="JJ697" s="766">
        <v>1</v>
      </c>
      <c r="JK697" s="766" t="s">
        <v>4561</v>
      </c>
      <c r="JL697" s="766"/>
      <c r="JM697" s="766"/>
      <c r="JN697" s="766"/>
      <c r="JO697" s="766"/>
      <c r="JP697" s="766"/>
      <c r="JQ697" s="766">
        <v>1</v>
      </c>
      <c r="JR697" s="766"/>
      <c r="JS697" s="766"/>
      <c r="JT697" s="766">
        <f t="shared" si="212"/>
        <v>0</v>
      </c>
      <c r="JU697" s="766">
        <f t="shared" si="212"/>
        <v>1</v>
      </c>
      <c r="JV697" s="766"/>
      <c r="JW697" s="766"/>
      <c r="JX697" s="770"/>
      <c r="JY697" s="770"/>
      <c r="JZ697" s="770"/>
      <c r="KA697" s="770"/>
      <c r="KB697" s="770"/>
      <c r="KC697" s="770"/>
      <c r="KD697" s="770"/>
      <c r="KE697" s="770"/>
      <c r="KF697" s="770"/>
      <c r="KG697" s="770">
        <v>1</v>
      </c>
      <c r="KH697" s="770"/>
      <c r="KI697" s="770"/>
      <c r="KJ697" s="770">
        <f t="shared" si="204"/>
        <v>0</v>
      </c>
      <c r="KK697" s="770">
        <f t="shared" si="204"/>
        <v>1</v>
      </c>
      <c r="KL697" s="770"/>
      <c r="KM697" s="770"/>
      <c r="KN697" s="766" t="s">
        <v>719</v>
      </c>
      <c r="KO697" s="766"/>
      <c r="KP697" s="766"/>
      <c r="KQ697" s="766"/>
      <c r="KR697" s="766"/>
      <c r="KS697" s="766"/>
      <c r="KT697" s="766"/>
      <c r="KU697" s="766">
        <v>1</v>
      </c>
      <c r="KV697" s="766"/>
      <c r="KW697" s="766"/>
      <c r="KX697" s="766"/>
      <c r="KY697" s="766"/>
      <c r="KZ697" s="766"/>
      <c r="LA697" s="766"/>
      <c r="LB697" s="766"/>
      <c r="LC697" s="766"/>
      <c r="LD697" s="766"/>
      <c r="LE697" s="766"/>
      <c r="LF697" s="766"/>
      <c r="LG697" s="766"/>
      <c r="LH697" s="766"/>
      <c r="LI697" s="766"/>
      <c r="LJ697" s="766"/>
      <c r="LK697" s="766"/>
      <c r="LL697" s="766"/>
      <c r="LM697" s="766"/>
      <c r="LN697" s="766">
        <f t="shared" si="209"/>
        <v>0</v>
      </c>
      <c r="LO697" s="766">
        <f t="shared" si="209"/>
        <v>1</v>
      </c>
      <c r="LP697" s="766">
        <v>1</v>
      </c>
      <c r="LQ697" s="766"/>
      <c r="LR697" s="766"/>
      <c r="LS697" s="766">
        <v>1</v>
      </c>
      <c r="LT697" s="766"/>
      <c r="LU697" s="766"/>
      <c r="LV697" s="766"/>
      <c r="LW697" s="766"/>
      <c r="LX697" s="769">
        <v>1</v>
      </c>
      <c r="LY697" s="766" t="str">
        <f t="shared" si="210"/>
        <v>within the BRGY</v>
      </c>
      <c r="LZ697" s="1696"/>
      <c r="MA697" s="1696"/>
      <c r="MB697" s="1696"/>
      <c r="MC697" s="1679">
        <f t="shared" si="208"/>
        <v>0</v>
      </c>
      <c r="MD697" s="1696"/>
      <c r="ME697" s="1696"/>
      <c r="MF697" s="1696">
        <v>3000</v>
      </c>
      <c r="MG697" s="1680">
        <f t="shared" si="199"/>
        <v>3000</v>
      </c>
      <c r="MH697" s="766" t="s">
        <v>3703</v>
      </c>
      <c r="MI697" s="775">
        <f>150*30</f>
        <v>4500</v>
      </c>
      <c r="MJ697" s="775"/>
      <c r="MK697" s="775"/>
      <c r="ML697" s="775">
        <f>80*30</f>
        <v>2400</v>
      </c>
      <c r="MM697" s="775"/>
      <c r="MN697" s="775"/>
      <c r="MO697" s="775">
        <v>1000</v>
      </c>
      <c r="MP697" s="775">
        <v>6000</v>
      </c>
      <c r="MQ697" s="775">
        <v>480</v>
      </c>
      <c r="MR697" s="775">
        <v>400</v>
      </c>
      <c r="MS697" s="775"/>
      <c r="MT697" s="775"/>
      <c r="MU697" s="775"/>
      <c r="MV697" s="775"/>
      <c r="MW697" s="775"/>
      <c r="MX697" s="775"/>
      <c r="MY697" s="1682">
        <f t="shared" si="200"/>
        <v>14780</v>
      </c>
      <c r="MZ697" s="766" t="s">
        <v>13370</v>
      </c>
      <c r="NA697" s="770" t="s">
        <v>13657</v>
      </c>
      <c r="NB697" s="770" t="s">
        <v>13016</v>
      </c>
      <c r="NC697" s="770" t="s">
        <v>13602</v>
      </c>
      <c r="ND697" s="770">
        <v>0</v>
      </c>
      <c r="NE697" s="770">
        <v>0</v>
      </c>
      <c r="NF697" s="770">
        <v>0</v>
      </c>
      <c r="NG697" s="770">
        <v>2</v>
      </c>
      <c r="NH697" s="770">
        <v>1</v>
      </c>
      <c r="NI697" s="770">
        <v>1</v>
      </c>
      <c r="NJ697" s="770">
        <v>1</v>
      </c>
      <c r="NK697" s="770">
        <v>0</v>
      </c>
      <c r="NL697" s="770">
        <v>1</v>
      </c>
      <c r="NM697" s="770">
        <v>1</v>
      </c>
      <c r="NN697" s="770">
        <v>0</v>
      </c>
      <c r="NO697" s="770">
        <v>0</v>
      </c>
      <c r="NP697" s="770">
        <v>0</v>
      </c>
      <c r="NQ697" s="770">
        <v>0</v>
      </c>
      <c r="NR697" s="770">
        <v>0</v>
      </c>
      <c r="NS697" s="770">
        <v>0</v>
      </c>
      <c r="NT697" s="770">
        <v>0</v>
      </c>
      <c r="NU697" s="770">
        <v>0</v>
      </c>
      <c r="NV697" s="770">
        <v>0</v>
      </c>
      <c r="NW697" s="770">
        <v>0</v>
      </c>
      <c r="NX697" s="770">
        <v>0</v>
      </c>
      <c r="NY697" s="770"/>
      <c r="NZ697" s="770"/>
      <c r="OA697" s="770"/>
      <c r="OB697" s="770"/>
      <c r="OC697" s="770"/>
      <c r="OD697" s="770"/>
      <c r="OE697" s="770"/>
      <c r="OF697" s="770"/>
      <c r="OG697" s="770"/>
      <c r="OH697" s="770"/>
      <c r="OI697" s="770"/>
      <c r="OJ697" s="770"/>
      <c r="OK697" s="770"/>
      <c r="OL697" s="770"/>
      <c r="OM697" s="770"/>
      <c r="ON697" s="770"/>
      <c r="OO697" s="770"/>
      <c r="OP697" s="770"/>
      <c r="OQ697" s="770"/>
      <c r="OR697" s="770"/>
      <c r="OS697" s="770"/>
      <c r="OT697" s="770"/>
      <c r="OU697" s="770"/>
      <c r="OV697" s="770"/>
      <c r="OW697" s="770"/>
      <c r="OX697" s="770"/>
      <c r="OY697" s="770"/>
      <c r="OZ697" s="770"/>
      <c r="PA697" s="770"/>
      <c r="PB697" s="770"/>
      <c r="PC697" s="770"/>
      <c r="PD697" s="770"/>
      <c r="PE697" s="770"/>
      <c r="PF697" s="770"/>
      <c r="PG697" s="770"/>
      <c r="PH697" s="770"/>
      <c r="PI697" s="770"/>
      <c r="PJ697" s="770"/>
      <c r="PK697" s="770"/>
      <c r="PL697" s="770"/>
      <c r="PM697" s="770"/>
      <c r="PN697" s="770"/>
      <c r="PO697" s="770"/>
      <c r="PP697" s="770"/>
      <c r="PQ697" s="770"/>
      <c r="PR697" s="770"/>
      <c r="PS697" s="770"/>
      <c r="PT697" s="770"/>
      <c r="PU697" s="770"/>
      <c r="PV697" s="770"/>
      <c r="PW697" s="770"/>
      <c r="PX697" s="770"/>
      <c r="PY697" s="770"/>
      <c r="PZ697" s="770"/>
      <c r="QA697" s="770"/>
      <c r="QB697" s="770"/>
      <c r="QC697" s="770" t="s">
        <v>1208</v>
      </c>
      <c r="QD697" s="770"/>
      <c r="QE697" s="770"/>
      <c r="QF697" s="770"/>
      <c r="QG697" s="770"/>
      <c r="QH697" s="770"/>
      <c r="QI697" s="770"/>
      <c r="QJ697" s="770"/>
      <c r="QK697" s="770"/>
      <c r="QL697" s="770"/>
      <c r="QM697" s="770"/>
      <c r="QN697" s="770"/>
      <c r="QO697" s="770"/>
      <c r="QP697" s="770"/>
      <c r="QQ697" s="770"/>
      <c r="QR697" s="770"/>
      <c r="QS697" s="770"/>
      <c r="QT697" s="770"/>
      <c r="QU697" s="770"/>
      <c r="QV697" s="770"/>
      <c r="QW697" s="770"/>
      <c r="QX697" s="770"/>
      <c r="QY697" s="770"/>
      <c r="QZ697" s="770"/>
      <c r="RA697" s="770"/>
      <c r="RB697" s="770" t="s">
        <v>1214</v>
      </c>
      <c r="RC697" s="770"/>
      <c r="RD697" s="770"/>
      <c r="RE697" s="770"/>
      <c r="RF697" s="304"/>
      <c r="RG697" s="770"/>
      <c r="RH697" s="306"/>
      <c r="RI697" s="770"/>
      <c r="RJ697" s="94" t="s">
        <v>4561</v>
      </c>
      <c r="RK697" s="770" t="s">
        <v>13544</v>
      </c>
      <c r="RL697" s="1710">
        <v>42844</v>
      </c>
      <c r="RM697" s="12"/>
      <c r="RN697" s="1711"/>
      <c r="RO697" s="149" t="s">
        <v>3101</v>
      </c>
      <c r="RP697" s="11"/>
      <c r="RQ697" s="11"/>
      <c r="RR697" s="17"/>
      <c r="RS697" s="771"/>
      <c r="RT697" s="11"/>
      <c r="RU697" s="11"/>
      <c r="RV697" s="771" t="s">
        <v>7421</v>
      </c>
      <c r="RW697" s="11" t="s">
        <v>8058</v>
      </c>
      <c r="RX697" s="11" t="s">
        <v>5804</v>
      </c>
      <c r="RY697" s="11"/>
      <c r="RZ697" s="11" t="s">
        <v>2209</v>
      </c>
      <c r="SA697" s="771"/>
      <c r="SB697" s="11"/>
      <c r="SC697" s="11"/>
    </row>
    <row r="698" spans="1:497" ht="12.75" hidden="1" customHeight="1">
      <c r="A698" s="343" t="s">
        <v>14235</v>
      </c>
      <c r="B698" s="292" t="s">
        <v>7435</v>
      </c>
      <c r="C698" s="149" t="s">
        <v>3101</v>
      </c>
      <c r="D698" s="94" t="s">
        <v>3102</v>
      </c>
      <c r="E698" s="766" t="s">
        <v>3134</v>
      </c>
      <c r="F698" s="770" t="s">
        <v>28</v>
      </c>
      <c r="G698" s="770" t="s">
        <v>18</v>
      </c>
      <c r="H698" s="12"/>
      <c r="I698" s="295" t="s">
        <v>3104</v>
      </c>
      <c r="J698" s="94" t="s">
        <v>3102</v>
      </c>
      <c r="K698" s="766" t="s">
        <v>4553</v>
      </c>
      <c r="L698" s="766" t="s">
        <v>4558</v>
      </c>
      <c r="M698" s="770"/>
      <c r="N698" s="1757" t="s">
        <v>7233</v>
      </c>
      <c r="O698" s="1757" t="s">
        <v>7234</v>
      </c>
      <c r="P698" s="94" t="s">
        <v>3105</v>
      </c>
      <c r="Q698" s="1088">
        <v>34688</v>
      </c>
      <c r="R698" s="297">
        <v>22</v>
      </c>
      <c r="S698" s="770" t="s">
        <v>18</v>
      </c>
      <c r="T698" s="770"/>
      <c r="U698" s="295" t="s">
        <v>3104</v>
      </c>
      <c r="V698" s="770" t="s">
        <v>2970</v>
      </c>
      <c r="W698" s="770"/>
      <c r="X698" s="770"/>
      <c r="Y698" s="770" t="s">
        <v>3103</v>
      </c>
      <c r="Z698" s="770" t="s">
        <v>708</v>
      </c>
      <c r="AA698" s="770" t="s">
        <v>709</v>
      </c>
      <c r="AB698" s="766" t="s">
        <v>7274</v>
      </c>
      <c r="AC698" s="770"/>
      <c r="AD698" s="770" t="s">
        <v>711</v>
      </c>
      <c r="AE698" s="770"/>
      <c r="AF698" s="770" t="s">
        <v>712</v>
      </c>
      <c r="AG698" s="766" t="s">
        <v>1132</v>
      </c>
      <c r="AH698" s="766" t="s">
        <v>1096</v>
      </c>
      <c r="AI698" s="770"/>
      <c r="AJ698" s="770" t="s">
        <v>1137</v>
      </c>
      <c r="AK698" s="770" t="s">
        <v>1899</v>
      </c>
      <c r="AL698" s="531"/>
      <c r="AM698" s="780"/>
      <c r="AN698" s="532"/>
      <c r="AO698" s="766"/>
      <c r="AP698" s="766"/>
      <c r="AQ698" s="766"/>
      <c r="AR698" s="766"/>
      <c r="AS698" s="770"/>
      <c r="AT698" s="770"/>
      <c r="AU698" s="770"/>
      <c r="AV698" s="770"/>
      <c r="AW698" s="770"/>
      <c r="AX698" s="770"/>
      <c r="AY698" s="770"/>
      <c r="AZ698" s="770"/>
      <c r="BA698" s="770"/>
      <c r="BB698" s="770"/>
      <c r="BC698" s="770"/>
      <c r="BD698" s="770"/>
      <c r="BE698" s="770"/>
      <c r="BF698" s="302"/>
      <c r="BG698" s="302"/>
      <c r="BH698" s="770"/>
      <c r="BI698" s="770"/>
      <c r="BJ698" s="770"/>
      <c r="BK698" s="770"/>
      <c r="BL698" s="770"/>
      <c r="BM698" s="766" t="s">
        <v>1238</v>
      </c>
      <c r="BN698" s="766" t="s">
        <v>1256</v>
      </c>
      <c r="BO698" s="770"/>
      <c r="BP698" s="765"/>
      <c r="BQ698" s="773"/>
      <c r="BR698" s="774"/>
      <c r="BS698" s="766" t="s">
        <v>1242</v>
      </c>
      <c r="BT698" s="770"/>
      <c r="BU698" s="770"/>
      <c r="BV698" s="770"/>
      <c r="BW698" s="770"/>
      <c r="BX698" s="302"/>
      <c r="BY698" s="770"/>
      <c r="BZ698" s="302"/>
      <c r="CA698" s="770"/>
      <c r="CB698" s="770"/>
      <c r="CC698" s="770"/>
      <c r="CD698" s="770"/>
      <c r="CE698" s="302"/>
      <c r="CF698" s="304"/>
      <c r="CG698" s="321"/>
      <c r="CH698" s="770"/>
      <c r="CI698" s="770"/>
      <c r="CJ698" s="770"/>
      <c r="CK698" s="770"/>
      <c r="CL698" s="770"/>
      <c r="CM698" s="770"/>
      <c r="CN698" s="770"/>
      <c r="CO698" s="770"/>
      <c r="CP698" s="770"/>
      <c r="CQ698" s="770"/>
      <c r="CR698" s="302"/>
      <c r="CS698" s="770"/>
      <c r="CT698" s="770"/>
      <c r="CU698" s="305"/>
      <c r="CV698" s="770"/>
      <c r="CW698" s="770"/>
      <c r="CX698" s="770"/>
      <c r="CY698" s="770"/>
      <c r="CZ698" s="770"/>
      <c r="DA698" s="306"/>
      <c r="DB698" s="770"/>
      <c r="DC698" s="770"/>
      <c r="DD698" s="770"/>
      <c r="DE698" s="300"/>
      <c r="DF698" s="770"/>
      <c r="DG698" s="770"/>
      <c r="DH698" s="770"/>
      <c r="DI698" s="770"/>
      <c r="DJ698" s="770"/>
      <c r="DK698" s="770"/>
      <c r="DL698" s="770"/>
      <c r="DM698" s="770"/>
      <c r="DN698" s="322"/>
      <c r="DO698" s="770"/>
      <c r="DP698" s="770"/>
      <c r="DQ698" s="770"/>
      <c r="DR698" s="770"/>
      <c r="DS698" s="307"/>
      <c r="DT698" s="770"/>
      <c r="DU698" s="770"/>
      <c r="DV698" s="770"/>
      <c r="DW698" s="306"/>
      <c r="DX698" s="306"/>
      <c r="DY698" s="1055"/>
      <c r="DZ698" s="770"/>
      <c r="EA698" s="770"/>
      <c r="EB698" s="770"/>
      <c r="EC698" s="770"/>
      <c r="ED698" s="770"/>
      <c r="EE698" s="770"/>
      <c r="EF698" s="770"/>
      <c r="EG698" s="770"/>
      <c r="EH698" s="770"/>
      <c r="EI698" s="770"/>
      <c r="EJ698" s="770"/>
      <c r="EK698" s="770"/>
      <c r="EL698" s="770"/>
      <c r="EM698" s="770"/>
      <c r="EN698" s="770"/>
      <c r="EO698" s="770"/>
      <c r="EP698" s="94"/>
      <c r="EQ698" s="770"/>
      <c r="ER698" s="770"/>
      <c r="ES698" s="770"/>
      <c r="ET698" s="770"/>
      <c r="EU698" s="770"/>
      <c r="EV698" s="770"/>
      <c r="EW698" s="770"/>
      <c r="EX698" s="770"/>
      <c r="EY698" s="770"/>
      <c r="EZ698" s="770"/>
      <c r="FA698" s="770"/>
      <c r="FB698" s="770"/>
      <c r="FC698" s="770"/>
      <c r="FD698" s="302"/>
      <c r="FE698" s="770"/>
      <c r="FF698" s="770"/>
      <c r="FG698" s="770"/>
      <c r="FH698" s="770" t="s">
        <v>1306</v>
      </c>
      <c r="FI698" s="770">
        <v>1</v>
      </c>
      <c r="FJ698" s="770" t="s">
        <v>4561</v>
      </c>
      <c r="FK698" s="770"/>
      <c r="FL698" s="770"/>
      <c r="FM698" s="147">
        <v>1500</v>
      </c>
      <c r="FN698" s="302">
        <v>0</v>
      </c>
      <c r="FO698" s="302">
        <v>2000</v>
      </c>
      <c r="FP698" s="770" t="s">
        <v>1602</v>
      </c>
      <c r="FQ698" s="770" t="s">
        <v>1660</v>
      </c>
      <c r="FR698" s="770"/>
      <c r="FS698" s="770"/>
      <c r="FT698" s="770"/>
      <c r="FU698" s="770"/>
      <c r="FV698" s="770"/>
      <c r="FW698" s="770"/>
      <c r="FX698" s="770"/>
      <c r="FY698" s="770"/>
      <c r="FZ698" s="770"/>
      <c r="GA698" s="770"/>
      <c r="GB698" s="770"/>
      <c r="GC698" s="308"/>
      <c r="GD698" s="297"/>
      <c r="GE698" s="770"/>
      <c r="GF698" s="302"/>
      <c r="GG698" s="302"/>
      <c r="GH698" s="770"/>
      <c r="GI698" s="770"/>
      <c r="GJ698" s="770"/>
      <c r="GK698" s="770"/>
      <c r="GL698" s="770"/>
      <c r="GM698" s="770"/>
      <c r="GN698" s="299"/>
      <c r="GO698" s="770"/>
      <c r="GP698" s="770"/>
      <c r="GQ698" s="770"/>
      <c r="GR698" s="770"/>
      <c r="GS698" s="770"/>
      <c r="GT698" s="770"/>
      <c r="GU698" s="770"/>
      <c r="GV698" s="770"/>
      <c r="GW698" s="770"/>
      <c r="GX698" s="770"/>
      <c r="GY698" s="770"/>
      <c r="GZ698" s="770"/>
      <c r="HA698" s="770"/>
      <c r="HB698" s="770"/>
      <c r="HC698" s="770"/>
      <c r="HD698" s="770"/>
      <c r="HE698" s="770"/>
      <c r="HF698" s="770"/>
      <c r="HG698" s="770"/>
      <c r="HH698" s="770"/>
      <c r="HI698" s="770"/>
      <c r="HJ698" s="770"/>
      <c r="HK698" s="770"/>
      <c r="HL698" s="770"/>
      <c r="HM698" s="770"/>
      <c r="HN698" s="770"/>
      <c r="HO698" s="770"/>
      <c r="HP698" s="770"/>
      <c r="HQ698" s="770"/>
      <c r="HR698" s="770"/>
      <c r="HS698" s="770"/>
      <c r="HT698" s="770"/>
      <c r="HU698" s="770"/>
      <c r="HV698" s="770"/>
      <c r="HW698" s="770"/>
      <c r="HX698" s="770"/>
      <c r="HY698" s="770"/>
      <c r="HZ698" s="770"/>
      <c r="IA698" s="770"/>
      <c r="IB698" s="770"/>
      <c r="IC698" s="770" t="s">
        <v>1207</v>
      </c>
      <c r="ID698" s="770"/>
      <c r="IE698" s="770"/>
      <c r="IF698" s="770"/>
      <c r="IG698" s="770"/>
      <c r="IH698" s="770"/>
      <c r="II698" s="770"/>
      <c r="IJ698" s="770"/>
      <c r="IK698" s="770"/>
      <c r="IL698" s="770"/>
      <c r="IM698" s="770"/>
      <c r="IN698" s="770"/>
      <c r="IO698" s="296"/>
      <c r="IP698" s="770"/>
      <c r="IQ698" s="770"/>
      <c r="IR698" s="770"/>
      <c r="IS698" s="770"/>
      <c r="IT698" s="770"/>
      <c r="IU698" s="770"/>
      <c r="IV698" s="770"/>
      <c r="IW698" s="770"/>
      <c r="IX698" s="770"/>
      <c r="IY698" s="770"/>
      <c r="IZ698" s="770"/>
      <c r="JA698" s="770"/>
      <c r="JB698" s="770"/>
      <c r="JC698" s="770"/>
      <c r="JD698" s="302"/>
      <c r="JE698" s="770"/>
      <c r="JF698" s="770"/>
      <c r="JG698" s="770"/>
      <c r="JH698" s="307"/>
      <c r="JI698" s="307"/>
      <c r="JJ698" s="770">
        <v>5</v>
      </c>
      <c r="JK698" s="770" t="s">
        <v>11674</v>
      </c>
      <c r="JL698" s="770"/>
      <c r="JM698" s="770"/>
      <c r="JN698" s="770">
        <v>2</v>
      </c>
      <c r="JO698" s="770">
        <v>3</v>
      </c>
      <c r="JP698" s="770"/>
      <c r="JQ698" s="770"/>
      <c r="JR698" s="770"/>
      <c r="JS698" s="770"/>
      <c r="JT698" s="766">
        <f t="shared" si="212"/>
        <v>2</v>
      </c>
      <c r="JU698" s="766">
        <f t="shared" si="212"/>
        <v>3</v>
      </c>
      <c r="JV698" s="766"/>
      <c r="JW698" s="766"/>
      <c r="JX698" s="770"/>
      <c r="JY698" s="770"/>
      <c r="JZ698" s="770"/>
      <c r="KA698" s="770"/>
      <c r="KB698" s="770">
        <v>2</v>
      </c>
      <c r="KC698" s="770">
        <v>3</v>
      </c>
      <c r="KD698" s="770"/>
      <c r="KE698" s="770"/>
      <c r="KF698" s="770"/>
      <c r="KG698" s="770"/>
      <c r="KH698" s="770"/>
      <c r="KI698" s="770"/>
      <c r="KJ698" s="770">
        <f t="shared" si="204"/>
        <v>2</v>
      </c>
      <c r="KK698" s="770">
        <f t="shared" si="204"/>
        <v>3</v>
      </c>
      <c r="KL698" s="770"/>
      <c r="KM698" s="770"/>
      <c r="KN698" s="770" t="s">
        <v>768</v>
      </c>
      <c r="KO698" s="770"/>
      <c r="KP698" s="770"/>
      <c r="KQ698" s="770"/>
      <c r="KR698" s="770"/>
      <c r="KS698" s="770"/>
      <c r="KT698" s="770"/>
      <c r="KU698" s="770"/>
      <c r="KV698" s="770"/>
      <c r="KW698" s="770"/>
      <c r="KX698" s="770">
        <v>1</v>
      </c>
      <c r="KY698" s="770">
        <v>2</v>
      </c>
      <c r="KZ698" s="770">
        <v>1</v>
      </c>
      <c r="LA698" s="770"/>
      <c r="LB698" s="770"/>
      <c r="LC698" s="770"/>
      <c r="LD698" s="770"/>
      <c r="LE698" s="770"/>
      <c r="LF698" s="770"/>
      <c r="LG698" s="770"/>
      <c r="LH698" s="770"/>
      <c r="LI698" s="770">
        <v>1</v>
      </c>
      <c r="LJ698" s="770"/>
      <c r="LK698" s="770"/>
      <c r="LL698" s="770"/>
      <c r="LM698" s="770"/>
      <c r="LN698" s="766">
        <f t="shared" si="209"/>
        <v>2</v>
      </c>
      <c r="LO698" s="766">
        <f t="shared" si="209"/>
        <v>3</v>
      </c>
      <c r="LP698" s="770">
        <v>1</v>
      </c>
      <c r="LQ698" s="770">
        <v>1</v>
      </c>
      <c r="LR698" s="770"/>
      <c r="LS698" s="770"/>
      <c r="LT698" s="770"/>
      <c r="LU698" s="770"/>
      <c r="LV698" s="770">
        <v>1</v>
      </c>
      <c r="LW698" s="770"/>
      <c r="LX698" s="769">
        <v>2</v>
      </c>
      <c r="LY698" s="766" t="str">
        <f t="shared" si="210"/>
        <v>within the MUNICIPALITY</v>
      </c>
      <c r="LZ698" s="1709">
        <v>1500</v>
      </c>
      <c r="MA698" s="1709"/>
      <c r="MB698" s="1709"/>
      <c r="MC698" s="1679">
        <f t="shared" si="208"/>
        <v>1500</v>
      </c>
      <c r="MD698" s="1709">
        <v>15000</v>
      </c>
      <c r="ME698" s="1709"/>
      <c r="MF698" s="1709"/>
      <c r="MG698" s="1680">
        <f t="shared" si="199"/>
        <v>15000</v>
      </c>
      <c r="MH698" s="770" t="s">
        <v>3303</v>
      </c>
      <c r="MI698" s="302">
        <v>15000</v>
      </c>
      <c r="MJ698" s="302">
        <v>1500</v>
      </c>
      <c r="MK698" s="302">
        <v>1500</v>
      </c>
      <c r="ML698" s="302"/>
      <c r="MM698" s="302"/>
      <c r="MN698" s="302">
        <v>1000</v>
      </c>
      <c r="MO698" s="302">
        <v>2000</v>
      </c>
      <c r="MP698" s="302">
        <v>1900</v>
      </c>
      <c r="MQ698" s="302"/>
      <c r="MR698" s="302">
        <v>1500</v>
      </c>
      <c r="MS698" s="302"/>
      <c r="MT698" s="302"/>
      <c r="MU698" s="302"/>
      <c r="MV698" s="302"/>
      <c r="MW698" s="302"/>
      <c r="MX698" s="302"/>
      <c r="MY698" s="1682">
        <f t="shared" si="200"/>
        <v>24400</v>
      </c>
      <c r="MZ698" s="770" t="s">
        <v>13395</v>
      </c>
      <c r="NA698" s="770" t="s">
        <v>13065</v>
      </c>
      <c r="NB698" s="770" t="s">
        <v>13033</v>
      </c>
      <c r="NC698" s="770" t="s">
        <v>13621</v>
      </c>
      <c r="ND698" s="770">
        <v>0</v>
      </c>
      <c r="NE698" s="770">
        <v>0</v>
      </c>
      <c r="NF698" s="770">
        <v>0</v>
      </c>
      <c r="NG698" s="770">
        <v>2</v>
      </c>
      <c r="NH698" s="770">
        <v>1</v>
      </c>
      <c r="NI698" s="770">
        <v>0</v>
      </c>
      <c r="NJ698" s="770">
        <v>0</v>
      </c>
      <c r="NK698" s="770">
        <v>0</v>
      </c>
      <c r="NL698" s="770">
        <v>0</v>
      </c>
      <c r="NM698" s="770">
        <v>0</v>
      </c>
      <c r="NN698" s="770">
        <v>0</v>
      </c>
      <c r="NO698" s="770">
        <v>0</v>
      </c>
      <c r="NP698" s="770">
        <v>0</v>
      </c>
      <c r="NQ698" s="770">
        <v>0</v>
      </c>
      <c r="NR698" s="770">
        <v>0</v>
      </c>
      <c r="NS698" s="770">
        <v>0</v>
      </c>
      <c r="NT698" s="770">
        <v>0</v>
      </c>
      <c r="NU698" s="770">
        <v>0</v>
      </c>
      <c r="NV698" s="770">
        <v>0</v>
      </c>
      <c r="NW698" s="770">
        <v>0</v>
      </c>
      <c r="NX698" s="770">
        <v>0</v>
      </c>
      <c r="NY698" s="770" t="s">
        <v>1208</v>
      </c>
      <c r="NZ698" s="770" t="s">
        <v>1208</v>
      </c>
      <c r="OA698" s="770" t="s">
        <v>1208</v>
      </c>
      <c r="OB698" s="770"/>
      <c r="OC698" s="770" t="s">
        <v>1208</v>
      </c>
      <c r="OD698" s="770"/>
      <c r="OE698" s="770"/>
      <c r="OF698" s="770"/>
      <c r="OG698" s="770"/>
      <c r="OH698" s="770"/>
      <c r="OI698" s="770"/>
      <c r="OJ698" s="770"/>
      <c r="OK698" s="770"/>
      <c r="OL698" s="770"/>
      <c r="OM698" s="770"/>
      <c r="ON698" s="770"/>
      <c r="OO698" s="770"/>
      <c r="OP698" s="770"/>
      <c r="OQ698" s="770"/>
      <c r="OR698" s="770"/>
      <c r="OS698" s="770"/>
      <c r="OT698" s="770"/>
      <c r="OU698" s="770"/>
      <c r="OV698" s="770"/>
      <c r="OW698" s="770"/>
      <c r="OX698" s="770"/>
      <c r="OY698" s="770"/>
      <c r="OZ698" s="770"/>
      <c r="PA698" s="770"/>
      <c r="PB698" s="770"/>
      <c r="PC698" s="770"/>
      <c r="PD698" s="770"/>
      <c r="PE698" s="770"/>
      <c r="PF698" s="770"/>
      <c r="PG698" s="770"/>
      <c r="PH698" s="770"/>
      <c r="PI698" s="770"/>
      <c r="PJ698" s="770"/>
      <c r="PK698" s="770"/>
      <c r="PL698" s="770"/>
      <c r="PM698" s="770"/>
      <c r="PN698" s="770"/>
      <c r="PO698" s="770"/>
      <c r="PP698" s="770"/>
      <c r="PQ698" s="770"/>
      <c r="PR698" s="770"/>
      <c r="PS698" s="770"/>
      <c r="PT698" s="770"/>
      <c r="PU698" s="770"/>
      <c r="PV698" s="770"/>
      <c r="PW698" s="770"/>
      <c r="PX698" s="770"/>
      <c r="PY698" s="770"/>
      <c r="PZ698" s="770"/>
      <c r="QA698" s="770"/>
      <c r="QB698" s="770"/>
      <c r="QC698" s="770"/>
      <c r="QD698" s="770"/>
      <c r="QE698" s="770"/>
      <c r="QF698" s="770"/>
      <c r="QG698" s="770"/>
      <c r="QH698" s="770"/>
      <c r="QI698" s="770"/>
      <c r="QJ698" s="770"/>
      <c r="QK698" s="770"/>
      <c r="QL698" s="770"/>
      <c r="QM698" s="770"/>
      <c r="QN698" s="770"/>
      <c r="QO698" s="770"/>
      <c r="QP698" s="770"/>
      <c r="QQ698" s="770"/>
      <c r="QR698" s="770"/>
      <c r="QS698" s="770"/>
      <c r="QT698" s="770"/>
      <c r="QU698" s="770"/>
      <c r="QV698" s="770"/>
      <c r="QW698" s="770"/>
      <c r="QX698" s="770"/>
      <c r="QY698" s="770"/>
      <c r="QZ698" s="770"/>
      <c r="RA698" s="770"/>
      <c r="RB698" s="770" t="s">
        <v>1207</v>
      </c>
      <c r="RC698" s="770">
        <v>2016</v>
      </c>
      <c r="RD698" s="770" t="s">
        <v>13046</v>
      </c>
      <c r="RE698" s="770" t="s">
        <v>12999</v>
      </c>
      <c r="RF698" s="304">
        <v>0.01</v>
      </c>
      <c r="RG698" s="770" t="s">
        <v>13047</v>
      </c>
      <c r="RH698" s="306">
        <v>0</v>
      </c>
      <c r="RI698" s="770">
        <v>0.5</v>
      </c>
      <c r="RJ698" s="94" t="s">
        <v>13914</v>
      </c>
      <c r="RK698" s="770" t="s">
        <v>13550</v>
      </c>
      <c r="RL698" s="1710">
        <v>42844</v>
      </c>
      <c r="RM698" s="12"/>
      <c r="RN698" s="1711"/>
      <c r="RO698" s="149" t="s">
        <v>3101</v>
      </c>
      <c r="RP698" s="11"/>
      <c r="RQ698" s="11"/>
      <c r="RR698" s="17"/>
      <c r="RS698" s="767"/>
      <c r="RT698" s="11"/>
      <c r="RU698" s="11"/>
      <c r="RV698" s="771" t="s">
        <v>7419</v>
      </c>
      <c r="RW698" s="11" t="s">
        <v>8018</v>
      </c>
      <c r="RX698" s="11" t="s">
        <v>4549</v>
      </c>
      <c r="RY698" s="11"/>
      <c r="RZ698" s="11"/>
      <c r="SA698" s="771"/>
      <c r="SB698" s="11"/>
      <c r="SC698" s="11"/>
    </row>
    <row r="699" spans="1:497" ht="12.75" hidden="1" customHeight="1">
      <c r="A699" s="343" t="s">
        <v>14235</v>
      </c>
      <c r="B699" s="292" t="s">
        <v>7436</v>
      </c>
      <c r="C699" s="149" t="s">
        <v>3101</v>
      </c>
      <c r="D699" s="94" t="s">
        <v>3106</v>
      </c>
      <c r="E699" s="766" t="s">
        <v>3135</v>
      </c>
      <c r="F699" s="770" t="s">
        <v>20</v>
      </c>
      <c r="G699" s="770" t="s">
        <v>18</v>
      </c>
      <c r="H699" s="12"/>
      <c r="I699" s="295" t="s">
        <v>3108</v>
      </c>
      <c r="J699" s="94" t="s">
        <v>3109</v>
      </c>
      <c r="K699" s="770"/>
      <c r="L699" s="770"/>
      <c r="M699" s="770"/>
      <c r="N699" s="1757" t="s">
        <v>7233</v>
      </c>
      <c r="O699" s="1757" t="s">
        <v>7234</v>
      </c>
      <c r="P699" s="94" t="s">
        <v>3109</v>
      </c>
      <c r="Q699" s="1088">
        <v>33449</v>
      </c>
      <c r="R699" s="297">
        <v>25</v>
      </c>
      <c r="S699" s="770" t="s">
        <v>10</v>
      </c>
      <c r="T699" s="770"/>
      <c r="U699" s="295" t="s">
        <v>3108</v>
      </c>
      <c r="V699" s="770" t="s">
        <v>707</v>
      </c>
      <c r="W699" s="770"/>
      <c r="X699" s="770"/>
      <c r="Y699" s="770" t="s">
        <v>3107</v>
      </c>
      <c r="Z699" s="770" t="s">
        <v>708</v>
      </c>
      <c r="AA699" s="770" t="s">
        <v>709</v>
      </c>
      <c r="AB699" s="766" t="s">
        <v>7274</v>
      </c>
      <c r="AC699" s="770" t="s">
        <v>724</v>
      </c>
      <c r="AD699" s="770" t="s">
        <v>711</v>
      </c>
      <c r="AE699" s="770"/>
      <c r="AF699" s="770" t="s">
        <v>712</v>
      </c>
      <c r="AG699" s="766" t="s">
        <v>1132</v>
      </c>
      <c r="AH699" s="766" t="s">
        <v>1096</v>
      </c>
      <c r="AI699" s="770"/>
      <c r="AJ699" s="770" t="s">
        <v>1137</v>
      </c>
      <c r="AK699" s="770" t="s">
        <v>1899</v>
      </c>
      <c r="AL699" s="531"/>
      <c r="AM699" s="780"/>
      <c r="AN699" s="532"/>
      <c r="AO699" s="766"/>
      <c r="AP699" s="766"/>
      <c r="AQ699" s="766"/>
      <c r="AR699" s="766"/>
      <c r="AS699" s="770"/>
      <c r="AT699" s="770"/>
      <c r="AU699" s="770"/>
      <c r="AV699" s="770"/>
      <c r="AW699" s="770"/>
      <c r="AX699" s="770"/>
      <c r="AY699" s="770"/>
      <c r="AZ699" s="770"/>
      <c r="BA699" s="770"/>
      <c r="BB699" s="770"/>
      <c r="BC699" s="770"/>
      <c r="BD699" s="770"/>
      <c r="BE699" s="770"/>
      <c r="BF699" s="302"/>
      <c r="BG699" s="302"/>
      <c r="BH699" s="770"/>
      <c r="BI699" s="770"/>
      <c r="BJ699" s="770"/>
      <c r="BK699" s="770"/>
      <c r="BL699" s="770"/>
      <c r="BM699" s="766" t="s">
        <v>1238</v>
      </c>
      <c r="BN699" s="766" t="s">
        <v>1256</v>
      </c>
      <c r="BO699" s="770"/>
      <c r="BP699" s="765"/>
      <c r="BQ699" s="773"/>
      <c r="BR699" s="774"/>
      <c r="BS699" s="766" t="s">
        <v>1242</v>
      </c>
      <c r="BT699" s="770"/>
      <c r="BU699" s="770"/>
      <c r="BV699" s="770"/>
      <c r="BW699" s="770"/>
      <c r="BX699" s="302"/>
      <c r="BY699" s="770"/>
      <c r="BZ699" s="302"/>
      <c r="CA699" s="770"/>
      <c r="CB699" s="770"/>
      <c r="CC699" s="770"/>
      <c r="CD699" s="770"/>
      <c r="CE699" s="302"/>
      <c r="CF699" s="304"/>
      <c r="CG699" s="321"/>
      <c r="CH699" s="770"/>
      <c r="CI699" s="770"/>
      <c r="CJ699" s="770"/>
      <c r="CK699" s="770"/>
      <c r="CL699" s="770"/>
      <c r="CM699" s="770"/>
      <c r="CN699" s="770"/>
      <c r="CO699" s="770"/>
      <c r="CP699" s="770"/>
      <c r="CQ699" s="770"/>
      <c r="CR699" s="302"/>
      <c r="CS699" s="770"/>
      <c r="CT699" s="770"/>
      <c r="CU699" s="305"/>
      <c r="CV699" s="770"/>
      <c r="CW699" s="770"/>
      <c r="CX699" s="770"/>
      <c r="CY699" s="770"/>
      <c r="CZ699" s="770"/>
      <c r="DA699" s="306"/>
      <c r="DB699" s="770"/>
      <c r="DC699" s="770"/>
      <c r="DD699" s="770"/>
      <c r="DE699" s="300"/>
      <c r="DF699" s="770"/>
      <c r="DG699" s="770"/>
      <c r="DH699" s="770"/>
      <c r="DI699" s="770"/>
      <c r="DJ699" s="770"/>
      <c r="DK699" s="770"/>
      <c r="DL699" s="770"/>
      <c r="DM699" s="770"/>
      <c r="DN699" s="322"/>
      <c r="DO699" s="770"/>
      <c r="DP699" s="770"/>
      <c r="DQ699" s="770"/>
      <c r="DR699" s="770"/>
      <c r="DS699" s="307"/>
      <c r="DT699" s="770"/>
      <c r="DU699" s="770"/>
      <c r="DV699" s="770"/>
      <c r="DW699" s="306"/>
      <c r="DX699" s="306"/>
      <c r="DY699" s="1055"/>
      <c r="DZ699" s="770"/>
      <c r="EA699" s="770"/>
      <c r="EB699" s="770"/>
      <c r="EC699" s="770"/>
      <c r="ED699" s="770"/>
      <c r="EE699" s="770"/>
      <c r="EF699" s="770"/>
      <c r="EG699" s="770"/>
      <c r="EH699" s="770"/>
      <c r="EI699" s="770"/>
      <c r="EJ699" s="770"/>
      <c r="EK699" s="770"/>
      <c r="EL699" s="770"/>
      <c r="EM699" s="770"/>
      <c r="EN699" s="770"/>
      <c r="EO699" s="770"/>
      <c r="EP699" s="94"/>
      <c r="EQ699" s="770"/>
      <c r="ER699" s="770"/>
      <c r="ES699" s="770"/>
      <c r="ET699" s="770"/>
      <c r="EU699" s="770"/>
      <c r="EV699" s="770"/>
      <c r="EW699" s="770"/>
      <c r="EX699" s="770"/>
      <c r="EY699" s="770"/>
      <c r="EZ699" s="770"/>
      <c r="FA699" s="770"/>
      <c r="FB699" s="770"/>
      <c r="FC699" s="770"/>
      <c r="FD699" s="302"/>
      <c r="FE699" s="770"/>
      <c r="FF699" s="770"/>
      <c r="FG699" s="770"/>
      <c r="FH699" s="770" t="s">
        <v>1306</v>
      </c>
      <c r="FI699" s="770">
        <v>1</v>
      </c>
      <c r="FJ699" s="770" t="s">
        <v>4561</v>
      </c>
      <c r="FK699" s="770"/>
      <c r="FL699" s="770"/>
      <c r="FM699" s="1782"/>
      <c r="FN699" s="1782"/>
      <c r="FO699" s="1782"/>
      <c r="FP699" s="770" t="s">
        <v>1602</v>
      </c>
      <c r="FQ699" s="770" t="s">
        <v>1660</v>
      </c>
      <c r="FR699" s="770"/>
      <c r="FS699" s="770"/>
      <c r="FT699" s="770"/>
      <c r="FU699" s="770"/>
      <c r="FV699" s="770"/>
      <c r="FW699" s="770"/>
      <c r="FX699" s="770"/>
      <c r="FY699" s="770"/>
      <c r="FZ699" s="770"/>
      <c r="GA699" s="770"/>
      <c r="GB699" s="770"/>
      <c r="GC699" s="308"/>
      <c r="GD699" s="297"/>
      <c r="GE699" s="770"/>
      <c r="GF699" s="302"/>
      <c r="GG699" s="302"/>
      <c r="GH699" s="770"/>
      <c r="GI699" s="770"/>
      <c r="GJ699" s="770"/>
      <c r="GK699" s="770"/>
      <c r="GL699" s="770"/>
      <c r="GM699" s="770"/>
      <c r="GN699" s="299"/>
      <c r="GO699" s="770"/>
      <c r="GP699" s="770"/>
      <c r="GQ699" s="770"/>
      <c r="GR699" s="770"/>
      <c r="GS699" s="770"/>
      <c r="GT699" s="770"/>
      <c r="GU699" s="770"/>
      <c r="GV699" s="770"/>
      <c r="GW699" s="770"/>
      <c r="GX699" s="770"/>
      <c r="GY699" s="770"/>
      <c r="GZ699" s="770"/>
      <c r="HA699" s="770"/>
      <c r="HB699" s="770"/>
      <c r="HC699" s="770"/>
      <c r="HD699" s="770"/>
      <c r="HE699" s="770"/>
      <c r="HF699" s="770"/>
      <c r="HG699" s="770"/>
      <c r="HH699" s="770"/>
      <c r="HI699" s="770"/>
      <c r="HJ699" s="770"/>
      <c r="HK699" s="770"/>
      <c r="HL699" s="770"/>
      <c r="HM699" s="770"/>
      <c r="HN699" s="770"/>
      <c r="HO699" s="770"/>
      <c r="HP699" s="770"/>
      <c r="HQ699" s="770"/>
      <c r="HR699" s="770"/>
      <c r="HS699" s="770"/>
      <c r="HT699" s="770"/>
      <c r="HU699" s="770"/>
      <c r="HV699" s="770"/>
      <c r="HW699" s="770"/>
      <c r="HX699" s="770"/>
      <c r="HY699" s="770"/>
      <c r="HZ699" s="770"/>
      <c r="IA699" s="770"/>
      <c r="IB699" s="770"/>
      <c r="IC699" s="770"/>
      <c r="ID699" s="770"/>
      <c r="IE699" s="770"/>
      <c r="IF699" s="770"/>
      <c r="IG699" s="770"/>
      <c r="IH699" s="770"/>
      <c r="II699" s="770"/>
      <c r="IJ699" s="770"/>
      <c r="IK699" s="770"/>
      <c r="IL699" s="770"/>
      <c r="IM699" s="770"/>
      <c r="IN699" s="770"/>
      <c r="IO699" s="296"/>
      <c r="IP699" s="770"/>
      <c r="IQ699" s="770"/>
      <c r="IR699" s="770"/>
      <c r="IS699" s="770"/>
      <c r="IT699" s="770"/>
      <c r="IU699" s="770"/>
      <c r="IV699" s="770"/>
      <c r="IW699" s="770"/>
      <c r="IX699" s="770"/>
      <c r="IY699" s="770"/>
      <c r="IZ699" s="770"/>
      <c r="JA699" s="770"/>
      <c r="JB699" s="770"/>
      <c r="JC699" s="770"/>
      <c r="JD699" s="302"/>
      <c r="JE699" s="770"/>
      <c r="JF699" s="770"/>
      <c r="JG699" s="770"/>
      <c r="JH699" s="307"/>
      <c r="JI699" s="307"/>
      <c r="JJ699" s="770">
        <v>4</v>
      </c>
      <c r="JK699" s="770" t="s">
        <v>11680</v>
      </c>
      <c r="JL699" s="770"/>
      <c r="JM699" s="770">
        <v>2</v>
      </c>
      <c r="JN699" s="770">
        <v>1</v>
      </c>
      <c r="JO699" s="770">
        <v>1</v>
      </c>
      <c r="JP699" s="770"/>
      <c r="JQ699" s="770"/>
      <c r="JR699" s="770"/>
      <c r="JS699" s="770"/>
      <c r="JT699" s="766">
        <f t="shared" si="212"/>
        <v>1</v>
      </c>
      <c r="JU699" s="766">
        <f t="shared" si="212"/>
        <v>3</v>
      </c>
      <c r="JV699" s="766"/>
      <c r="JW699" s="766"/>
      <c r="JX699" s="770"/>
      <c r="JY699" s="770">
        <v>2</v>
      </c>
      <c r="JZ699" s="770"/>
      <c r="KA699" s="770"/>
      <c r="KB699" s="770">
        <v>1</v>
      </c>
      <c r="KC699" s="770">
        <v>1</v>
      </c>
      <c r="KD699" s="770"/>
      <c r="KE699" s="770"/>
      <c r="KF699" s="770"/>
      <c r="KG699" s="770"/>
      <c r="KH699" s="770"/>
      <c r="KI699" s="770"/>
      <c r="KJ699" s="770">
        <f t="shared" si="204"/>
        <v>1</v>
      </c>
      <c r="KK699" s="770">
        <f t="shared" si="204"/>
        <v>3</v>
      </c>
      <c r="KL699" s="770"/>
      <c r="KM699" s="770"/>
      <c r="KN699" s="770" t="s">
        <v>707</v>
      </c>
      <c r="KO699" s="770"/>
      <c r="KP699" s="770"/>
      <c r="KQ699" s="770"/>
      <c r="KR699" s="770"/>
      <c r="KS699" s="770">
        <v>1</v>
      </c>
      <c r="KT699" s="770"/>
      <c r="KU699" s="770"/>
      <c r="KV699" s="770"/>
      <c r="KW699" s="770"/>
      <c r="KX699" s="770">
        <v>1</v>
      </c>
      <c r="KY699" s="770">
        <v>1</v>
      </c>
      <c r="KZ699" s="770"/>
      <c r="LA699" s="770"/>
      <c r="LB699" s="770"/>
      <c r="LC699" s="770"/>
      <c r="LD699" s="770"/>
      <c r="LE699" s="770"/>
      <c r="LF699" s="770"/>
      <c r="LG699" s="770"/>
      <c r="LH699" s="770"/>
      <c r="LI699" s="770"/>
      <c r="LJ699" s="770"/>
      <c r="LK699" s="770">
        <v>1</v>
      </c>
      <c r="LL699" s="770"/>
      <c r="LM699" s="770"/>
      <c r="LN699" s="766">
        <f t="shared" si="209"/>
        <v>1</v>
      </c>
      <c r="LO699" s="766">
        <f t="shared" si="209"/>
        <v>3</v>
      </c>
      <c r="LP699" s="770">
        <v>1</v>
      </c>
      <c r="LQ699" s="770"/>
      <c r="LR699" s="770"/>
      <c r="LS699" s="770">
        <v>1</v>
      </c>
      <c r="LT699" s="770"/>
      <c r="LU699" s="770"/>
      <c r="LV699" s="770"/>
      <c r="LW699" s="770"/>
      <c r="LX699" s="769"/>
      <c r="LY699" s="766" t="str">
        <f t="shared" si="210"/>
        <v/>
      </c>
      <c r="LZ699" s="1709"/>
      <c r="MA699" s="1709"/>
      <c r="MB699" s="1709"/>
      <c r="MC699" s="1679">
        <f t="shared" si="208"/>
        <v>0</v>
      </c>
      <c r="MD699" s="1709"/>
      <c r="ME699" s="1709"/>
      <c r="MF699" s="1709">
        <v>5000</v>
      </c>
      <c r="MG699" s="1680">
        <f t="shared" si="199"/>
        <v>5000</v>
      </c>
      <c r="MH699" s="770" t="s">
        <v>2220</v>
      </c>
      <c r="MI699" s="302">
        <v>12000</v>
      </c>
      <c r="MJ699" s="302"/>
      <c r="MK699" s="302">
        <v>1000</v>
      </c>
      <c r="ML699" s="302">
        <v>2000</v>
      </c>
      <c r="MM699" s="302"/>
      <c r="MN699" s="302">
        <v>1500</v>
      </c>
      <c r="MO699" s="302">
        <v>500</v>
      </c>
      <c r="MP699" s="302">
        <v>700</v>
      </c>
      <c r="MQ699" s="302">
        <v>300</v>
      </c>
      <c r="MR699" s="302">
        <v>500</v>
      </c>
      <c r="MS699" s="302"/>
      <c r="MT699" s="302"/>
      <c r="MU699" s="302"/>
      <c r="MV699" s="302"/>
      <c r="MW699" s="302"/>
      <c r="MX699" s="302"/>
      <c r="MY699" s="1682">
        <f t="shared" si="200"/>
        <v>18500</v>
      </c>
      <c r="MZ699" s="770" t="s">
        <v>13214</v>
      </c>
      <c r="NA699" s="770" t="s">
        <v>13005</v>
      </c>
      <c r="NB699" s="770" t="s">
        <v>13033</v>
      </c>
      <c r="NC699" s="770" t="s">
        <v>13621</v>
      </c>
      <c r="ND699" s="770">
        <v>0</v>
      </c>
      <c r="NE699" s="770">
        <v>0</v>
      </c>
      <c r="NF699" s="770">
        <v>0</v>
      </c>
      <c r="NG699" s="770">
        <v>1</v>
      </c>
      <c r="NH699" s="770">
        <v>1</v>
      </c>
      <c r="NI699" s="770">
        <v>0</v>
      </c>
      <c r="NJ699" s="770">
        <v>0</v>
      </c>
      <c r="NK699" s="770">
        <v>0</v>
      </c>
      <c r="NL699" s="770">
        <v>0</v>
      </c>
      <c r="NM699" s="770">
        <v>1</v>
      </c>
      <c r="NN699" s="770">
        <v>0</v>
      </c>
      <c r="NO699" s="770">
        <v>0</v>
      </c>
      <c r="NP699" s="770">
        <v>0</v>
      </c>
      <c r="NQ699" s="770">
        <v>0</v>
      </c>
      <c r="NR699" s="770">
        <v>0</v>
      </c>
      <c r="NS699" s="770">
        <v>0</v>
      </c>
      <c r="NT699" s="770">
        <v>0</v>
      </c>
      <c r="NU699" s="770">
        <v>0</v>
      </c>
      <c r="NV699" s="770">
        <v>0</v>
      </c>
      <c r="NW699" s="770">
        <v>0</v>
      </c>
      <c r="NX699" s="770">
        <v>0</v>
      </c>
      <c r="NY699" s="770" t="s">
        <v>1208</v>
      </c>
      <c r="NZ699" s="770"/>
      <c r="OA699" s="770" t="s">
        <v>1208</v>
      </c>
      <c r="OB699" s="770"/>
      <c r="OC699" s="770" t="s">
        <v>1208</v>
      </c>
      <c r="OD699" s="770" t="s">
        <v>1208</v>
      </c>
      <c r="OE699" s="770"/>
      <c r="OF699" s="770"/>
      <c r="OG699" s="770"/>
      <c r="OH699" s="770"/>
      <c r="OI699" s="770"/>
      <c r="OJ699" s="770"/>
      <c r="OK699" s="770"/>
      <c r="OL699" s="770"/>
      <c r="OM699" s="770"/>
      <c r="ON699" s="770"/>
      <c r="OO699" s="770"/>
      <c r="OP699" s="770"/>
      <c r="OQ699" s="770"/>
      <c r="OR699" s="770"/>
      <c r="OS699" s="770"/>
      <c r="OT699" s="770"/>
      <c r="OU699" s="770"/>
      <c r="OV699" s="770"/>
      <c r="OW699" s="770"/>
      <c r="OX699" s="770"/>
      <c r="OY699" s="770"/>
      <c r="OZ699" s="770"/>
      <c r="PA699" s="770"/>
      <c r="PB699" s="770"/>
      <c r="PC699" s="770"/>
      <c r="PD699" s="770"/>
      <c r="PE699" s="770"/>
      <c r="PF699" s="770"/>
      <c r="PG699" s="770"/>
      <c r="PH699" s="770"/>
      <c r="PI699" s="770"/>
      <c r="PJ699" s="770"/>
      <c r="PK699" s="770"/>
      <c r="PL699" s="770" t="s">
        <v>1208</v>
      </c>
      <c r="PM699" s="770"/>
      <c r="PN699" s="770"/>
      <c r="PO699" s="770"/>
      <c r="PP699" s="770"/>
      <c r="PQ699" s="770"/>
      <c r="PR699" s="770"/>
      <c r="PS699" s="770"/>
      <c r="PT699" s="770"/>
      <c r="PU699" s="770"/>
      <c r="PV699" s="770"/>
      <c r="PW699" s="770"/>
      <c r="PX699" s="770"/>
      <c r="PY699" s="770"/>
      <c r="PZ699" s="770"/>
      <c r="QA699" s="770"/>
      <c r="QB699" s="770"/>
      <c r="QC699" s="770"/>
      <c r="QD699" s="770"/>
      <c r="QE699" s="770"/>
      <c r="QF699" s="770"/>
      <c r="QG699" s="770"/>
      <c r="QH699" s="770"/>
      <c r="QI699" s="770"/>
      <c r="QJ699" s="770"/>
      <c r="QK699" s="770"/>
      <c r="QL699" s="770"/>
      <c r="QM699" s="770"/>
      <c r="QN699" s="770"/>
      <c r="QO699" s="770"/>
      <c r="QP699" s="770"/>
      <c r="QQ699" s="770"/>
      <c r="QR699" s="770"/>
      <c r="QS699" s="770"/>
      <c r="QT699" s="770"/>
      <c r="QU699" s="770"/>
      <c r="QV699" s="770"/>
      <c r="QW699" s="770"/>
      <c r="QX699" s="770"/>
      <c r="QY699" s="770"/>
      <c r="QZ699" s="770"/>
      <c r="RA699" s="770"/>
      <c r="RB699" s="770" t="s">
        <v>1207</v>
      </c>
      <c r="RC699" s="770">
        <v>2015</v>
      </c>
      <c r="RD699" s="770" t="s">
        <v>13046</v>
      </c>
      <c r="RE699" s="770" t="s">
        <v>12999</v>
      </c>
      <c r="RF699" s="304">
        <v>0.01</v>
      </c>
      <c r="RG699" s="770" t="s">
        <v>13047</v>
      </c>
      <c r="RH699" s="306">
        <v>3500</v>
      </c>
      <c r="RI699" s="770">
        <v>48</v>
      </c>
      <c r="RJ699" s="94" t="s">
        <v>3110</v>
      </c>
      <c r="RK699" s="770" t="s">
        <v>13550</v>
      </c>
      <c r="RL699" s="1710">
        <v>42844</v>
      </c>
      <c r="RM699" s="12"/>
      <c r="RN699" s="1711"/>
      <c r="RO699" s="149" t="s">
        <v>3101</v>
      </c>
      <c r="RP699" s="11"/>
      <c r="RQ699" s="11"/>
      <c r="RR699" s="17"/>
      <c r="RS699" s="767"/>
      <c r="RT699" s="11"/>
      <c r="RU699" s="11"/>
      <c r="RV699" s="771" t="s">
        <v>7419</v>
      </c>
      <c r="RW699" s="11" t="s">
        <v>7434</v>
      </c>
      <c r="RX699" s="11" t="s">
        <v>3101</v>
      </c>
      <c r="RY699" s="11"/>
      <c r="RZ699" s="11"/>
      <c r="SA699" s="771"/>
      <c r="SB699" s="11"/>
      <c r="SC699" s="11"/>
    </row>
    <row r="700" spans="1:497" ht="12.75" hidden="1" customHeight="1">
      <c r="A700" s="343" t="s">
        <v>14235</v>
      </c>
      <c r="B700" s="744" t="s">
        <v>7437</v>
      </c>
      <c r="C700" s="149" t="s">
        <v>3101</v>
      </c>
      <c r="D700" s="94" t="s">
        <v>7237</v>
      </c>
      <c r="E700" s="766" t="s">
        <v>3135</v>
      </c>
      <c r="F700" s="770"/>
      <c r="G700" s="770"/>
      <c r="H700" s="12"/>
      <c r="I700" s="295"/>
      <c r="J700" s="94"/>
      <c r="K700" s="770"/>
      <c r="L700" s="770"/>
      <c r="M700" s="770"/>
      <c r="N700" s="1757" t="s">
        <v>7233</v>
      </c>
      <c r="O700" s="1757" t="s">
        <v>7234</v>
      </c>
      <c r="P700" s="770"/>
      <c r="Q700" s="1088"/>
      <c r="R700" s="297"/>
      <c r="S700" s="770"/>
      <c r="T700" s="770"/>
      <c r="U700" s="298"/>
      <c r="V700" s="770"/>
      <c r="W700" s="770"/>
      <c r="X700" s="770"/>
      <c r="Y700" s="770"/>
      <c r="Z700" s="770"/>
      <c r="AA700" s="770"/>
      <c r="AB700" s="770"/>
      <c r="AC700" s="770"/>
      <c r="AD700" s="770"/>
      <c r="AE700" s="770"/>
      <c r="AF700" s="770"/>
      <c r="AG700" s="766" t="s">
        <v>1132</v>
      </c>
      <c r="AH700" s="766" t="s">
        <v>1096</v>
      </c>
      <c r="AI700" s="770"/>
      <c r="AJ700" s="770" t="s">
        <v>1137</v>
      </c>
      <c r="AK700" s="770" t="s">
        <v>1899</v>
      </c>
      <c r="AL700" s="531"/>
      <c r="AM700" s="780"/>
      <c r="AN700" s="532"/>
      <c r="AO700" s="766"/>
      <c r="AP700" s="766"/>
      <c r="AQ700" s="766"/>
      <c r="AR700" s="766"/>
      <c r="AS700" s="770"/>
      <c r="AT700" s="770"/>
      <c r="AU700" s="770"/>
      <c r="AV700" s="770"/>
      <c r="AW700" s="770"/>
      <c r="AX700" s="770"/>
      <c r="AY700" s="770"/>
      <c r="AZ700" s="770"/>
      <c r="BA700" s="770"/>
      <c r="BB700" s="770"/>
      <c r="BC700" s="770"/>
      <c r="BD700" s="770"/>
      <c r="BE700" s="770"/>
      <c r="BF700" s="302"/>
      <c r="BG700" s="302"/>
      <c r="BH700" s="770"/>
      <c r="BI700" s="770"/>
      <c r="BJ700" s="770"/>
      <c r="BK700" s="770"/>
      <c r="BL700" s="770"/>
      <c r="BM700" s="766" t="s">
        <v>1238</v>
      </c>
      <c r="BN700" s="766" t="s">
        <v>1256</v>
      </c>
      <c r="BO700" s="770"/>
      <c r="BP700" s="765"/>
      <c r="BQ700" s="773"/>
      <c r="BR700" s="774"/>
      <c r="BS700" s="766" t="s">
        <v>1242</v>
      </c>
      <c r="BT700" s="770"/>
      <c r="BU700" s="770"/>
      <c r="BV700" s="770"/>
      <c r="BW700" s="770"/>
      <c r="BX700" s="302"/>
      <c r="BY700" s="770"/>
      <c r="BZ700" s="302"/>
      <c r="CA700" s="770"/>
      <c r="CB700" s="770"/>
      <c r="CC700" s="770"/>
      <c r="CD700" s="770"/>
      <c r="CE700" s="302"/>
      <c r="CF700" s="304"/>
      <c r="CG700" s="321"/>
      <c r="CH700" s="770"/>
      <c r="CI700" s="770"/>
      <c r="CJ700" s="770"/>
      <c r="CK700" s="770"/>
      <c r="CL700" s="770"/>
      <c r="CM700" s="770"/>
      <c r="CN700" s="770"/>
      <c r="CO700" s="770"/>
      <c r="CP700" s="770"/>
      <c r="CQ700" s="770"/>
      <c r="CR700" s="302"/>
      <c r="CS700" s="770"/>
      <c r="CT700" s="770"/>
      <c r="CU700" s="305"/>
      <c r="CV700" s="770"/>
      <c r="CW700" s="770"/>
      <c r="CX700" s="770"/>
      <c r="CY700" s="770"/>
      <c r="CZ700" s="770"/>
      <c r="DA700" s="306"/>
      <c r="DB700" s="770"/>
      <c r="DC700" s="770"/>
      <c r="DD700" s="770"/>
      <c r="DE700" s="300"/>
      <c r="DF700" s="770"/>
      <c r="DG700" s="770"/>
      <c r="DH700" s="770"/>
      <c r="DI700" s="770"/>
      <c r="DJ700" s="770"/>
      <c r="DK700" s="770"/>
      <c r="DL700" s="770"/>
      <c r="DM700" s="770"/>
      <c r="DN700" s="322"/>
      <c r="DO700" s="770"/>
      <c r="DP700" s="770"/>
      <c r="DQ700" s="770"/>
      <c r="DR700" s="770"/>
      <c r="DS700" s="307"/>
      <c r="DT700" s="770"/>
      <c r="DU700" s="770"/>
      <c r="DV700" s="770"/>
      <c r="DW700" s="306"/>
      <c r="DX700" s="306"/>
      <c r="DY700" s="1055"/>
      <c r="DZ700" s="770"/>
      <c r="EA700" s="770"/>
      <c r="EB700" s="770"/>
      <c r="EC700" s="770"/>
      <c r="ED700" s="770"/>
      <c r="EE700" s="770"/>
      <c r="EF700" s="770"/>
      <c r="EG700" s="770"/>
      <c r="EH700" s="770"/>
      <c r="EI700" s="770"/>
      <c r="EJ700" s="770"/>
      <c r="EK700" s="770"/>
      <c r="EL700" s="770"/>
      <c r="EM700" s="770"/>
      <c r="EN700" s="770"/>
      <c r="EO700" s="770"/>
      <c r="EP700" s="94"/>
      <c r="EQ700" s="770"/>
      <c r="ER700" s="770"/>
      <c r="ES700" s="770"/>
      <c r="ET700" s="770"/>
      <c r="EU700" s="770"/>
      <c r="EV700" s="770"/>
      <c r="EW700" s="770"/>
      <c r="EX700" s="770"/>
      <c r="EY700" s="770"/>
      <c r="EZ700" s="770"/>
      <c r="FA700" s="770"/>
      <c r="FB700" s="770"/>
      <c r="FC700" s="770"/>
      <c r="FD700" s="302"/>
      <c r="FE700" s="770"/>
      <c r="FF700" s="770"/>
      <c r="FG700" s="770"/>
      <c r="FH700" s="770"/>
      <c r="FI700" s="770"/>
      <c r="FJ700" s="770"/>
      <c r="FK700" s="770"/>
      <c r="FL700" s="770"/>
      <c r="FM700" s="302"/>
      <c r="FN700" s="302"/>
      <c r="FO700" s="302"/>
      <c r="FP700" s="770" t="s">
        <v>1600</v>
      </c>
      <c r="FQ700" s="770" t="s">
        <v>3940</v>
      </c>
      <c r="FR700" s="770"/>
      <c r="FS700" s="770"/>
      <c r="FT700" s="770"/>
      <c r="FU700" s="770"/>
      <c r="FV700" s="770"/>
      <c r="FW700" s="770"/>
      <c r="FX700" s="770"/>
      <c r="FY700" s="770"/>
      <c r="FZ700" s="770"/>
      <c r="GA700" s="770"/>
      <c r="GB700" s="770"/>
      <c r="GC700" s="308"/>
      <c r="GD700" s="297"/>
      <c r="GE700" s="770"/>
      <c r="GF700" s="302"/>
      <c r="GG700" s="302"/>
      <c r="GH700" s="770"/>
      <c r="GI700" s="770"/>
      <c r="GJ700" s="770"/>
      <c r="GK700" s="770"/>
      <c r="GL700" s="770"/>
      <c r="GM700" s="770"/>
      <c r="GN700" s="299"/>
      <c r="GO700" s="770"/>
      <c r="GP700" s="770"/>
      <c r="GQ700" s="770"/>
      <c r="GR700" s="770"/>
      <c r="GS700" s="770"/>
      <c r="GT700" s="770"/>
      <c r="GU700" s="770"/>
      <c r="GV700" s="770"/>
      <c r="GW700" s="770"/>
      <c r="GX700" s="770"/>
      <c r="GY700" s="770"/>
      <c r="GZ700" s="770"/>
      <c r="HA700" s="770"/>
      <c r="HB700" s="770"/>
      <c r="HC700" s="770"/>
      <c r="HD700" s="770"/>
      <c r="HE700" s="770"/>
      <c r="HF700" s="770"/>
      <c r="HG700" s="770"/>
      <c r="HH700" s="770"/>
      <c r="HI700" s="770"/>
      <c r="HJ700" s="770"/>
      <c r="HK700" s="770"/>
      <c r="HL700" s="770"/>
      <c r="HM700" s="770"/>
      <c r="HN700" s="770"/>
      <c r="HO700" s="770"/>
      <c r="HP700" s="770"/>
      <c r="HQ700" s="770"/>
      <c r="HR700" s="770"/>
      <c r="HS700" s="770"/>
      <c r="HT700" s="770"/>
      <c r="HU700" s="770"/>
      <c r="HV700" s="770"/>
      <c r="HW700" s="770"/>
      <c r="HX700" s="770"/>
      <c r="HY700" s="770"/>
      <c r="HZ700" s="770"/>
      <c r="IA700" s="770"/>
      <c r="IB700" s="770"/>
      <c r="IC700" s="770"/>
      <c r="ID700" s="770"/>
      <c r="IE700" s="770"/>
      <c r="IF700" s="770"/>
      <c r="IG700" s="770"/>
      <c r="IH700" s="770"/>
      <c r="II700" s="770"/>
      <c r="IJ700" s="770"/>
      <c r="IK700" s="770"/>
      <c r="IL700" s="770"/>
      <c r="IM700" s="770"/>
      <c r="IN700" s="770"/>
      <c r="IO700" s="296"/>
      <c r="IP700" s="770"/>
      <c r="IQ700" s="770"/>
      <c r="IR700" s="770"/>
      <c r="IS700" s="770"/>
      <c r="IT700" s="770"/>
      <c r="IU700" s="770"/>
      <c r="IV700" s="770"/>
      <c r="IW700" s="770"/>
      <c r="IX700" s="770"/>
      <c r="IY700" s="770"/>
      <c r="IZ700" s="770"/>
      <c r="JA700" s="770"/>
      <c r="JB700" s="770"/>
      <c r="JC700" s="770"/>
      <c r="JD700" s="302"/>
      <c r="JE700" s="770"/>
      <c r="JF700" s="770"/>
      <c r="JG700" s="770"/>
      <c r="JH700" s="307"/>
      <c r="JI700" s="307"/>
      <c r="JJ700" s="770"/>
      <c r="JK700" s="770"/>
      <c r="JL700" s="770"/>
      <c r="JM700" s="770"/>
      <c r="JN700" s="770"/>
      <c r="JO700" s="770"/>
      <c r="JP700" s="770"/>
      <c r="JQ700" s="770"/>
      <c r="JR700" s="770"/>
      <c r="JS700" s="770"/>
      <c r="JT700" s="766"/>
      <c r="JU700" s="766"/>
      <c r="JV700" s="766"/>
      <c r="JW700" s="766"/>
      <c r="JX700" s="770"/>
      <c r="JY700" s="770"/>
      <c r="JZ700" s="770"/>
      <c r="KA700" s="770"/>
      <c r="KB700" s="770"/>
      <c r="KC700" s="770"/>
      <c r="KD700" s="770"/>
      <c r="KE700" s="770"/>
      <c r="KF700" s="770"/>
      <c r="KG700" s="770"/>
      <c r="KH700" s="770"/>
      <c r="KI700" s="770"/>
      <c r="KJ700" s="770"/>
      <c r="KK700" s="770"/>
      <c r="KL700" s="770"/>
      <c r="KM700" s="770"/>
      <c r="KN700" s="770"/>
      <c r="KO700" s="770"/>
      <c r="KP700" s="770"/>
      <c r="KQ700" s="770"/>
      <c r="KR700" s="770"/>
      <c r="KS700" s="770"/>
      <c r="KT700" s="770"/>
      <c r="KU700" s="770"/>
      <c r="KV700" s="770"/>
      <c r="KW700" s="770"/>
      <c r="KX700" s="770"/>
      <c r="KY700" s="770"/>
      <c r="KZ700" s="770"/>
      <c r="LA700" s="770"/>
      <c r="LB700" s="770"/>
      <c r="LC700" s="770"/>
      <c r="LD700" s="770"/>
      <c r="LE700" s="770"/>
      <c r="LF700" s="770"/>
      <c r="LG700" s="770"/>
      <c r="LH700" s="770"/>
      <c r="LI700" s="770"/>
      <c r="LJ700" s="770"/>
      <c r="LK700" s="770"/>
      <c r="LL700" s="770"/>
      <c r="LM700" s="770"/>
      <c r="LN700" s="766"/>
      <c r="LO700" s="766"/>
      <c r="LP700" s="770"/>
      <c r="LQ700" s="770"/>
      <c r="LR700" s="770"/>
      <c r="LS700" s="770"/>
      <c r="LT700" s="770"/>
      <c r="LU700" s="770"/>
      <c r="LV700" s="770"/>
      <c r="LW700" s="770"/>
      <c r="LX700" s="769"/>
      <c r="LY700" s="766" t="str">
        <f t="shared" si="210"/>
        <v/>
      </c>
      <c r="LZ700" s="1709"/>
      <c r="MA700" s="1709"/>
      <c r="MB700" s="1709"/>
      <c r="MC700" s="1679">
        <f t="shared" si="208"/>
        <v>0</v>
      </c>
      <c r="MD700" s="1709"/>
      <c r="ME700" s="1709"/>
      <c r="MF700" s="1709"/>
      <c r="MG700" s="1680">
        <f t="shared" si="199"/>
        <v>0</v>
      </c>
      <c r="MH700" s="770"/>
      <c r="MI700" s="302"/>
      <c r="MJ700" s="302"/>
      <c r="MK700" s="302"/>
      <c r="ML700" s="302"/>
      <c r="MM700" s="302"/>
      <c r="MN700" s="302"/>
      <c r="MO700" s="302"/>
      <c r="MP700" s="302"/>
      <c r="MQ700" s="302"/>
      <c r="MR700" s="302"/>
      <c r="MS700" s="302"/>
      <c r="MT700" s="302"/>
      <c r="MU700" s="302"/>
      <c r="MV700" s="302"/>
      <c r="MW700" s="302"/>
      <c r="MX700" s="302"/>
      <c r="MY700" s="1682">
        <f t="shared" si="200"/>
        <v>0</v>
      </c>
      <c r="MZ700" s="770"/>
      <c r="NA700" s="770"/>
      <c r="NB700" s="770"/>
      <c r="NC700" s="770"/>
      <c r="ND700" s="770"/>
      <c r="NE700" s="770"/>
      <c r="NF700" s="770"/>
      <c r="NG700" s="770"/>
      <c r="NH700" s="770"/>
      <c r="NI700" s="770"/>
      <c r="NJ700" s="770"/>
      <c r="NK700" s="770"/>
      <c r="NL700" s="770"/>
      <c r="NM700" s="770"/>
      <c r="NN700" s="770"/>
      <c r="NO700" s="770"/>
      <c r="NP700" s="770"/>
      <c r="NQ700" s="770"/>
      <c r="NR700" s="770"/>
      <c r="NS700" s="770"/>
      <c r="NT700" s="770"/>
      <c r="NU700" s="770"/>
      <c r="NV700" s="770"/>
      <c r="NW700" s="770"/>
      <c r="NX700" s="770"/>
      <c r="NY700" s="770"/>
      <c r="NZ700" s="770"/>
      <c r="OA700" s="770"/>
      <c r="OB700" s="770"/>
      <c r="OC700" s="770"/>
      <c r="OD700" s="770"/>
      <c r="OE700" s="770"/>
      <c r="OF700" s="770"/>
      <c r="OG700" s="770"/>
      <c r="OH700" s="770"/>
      <c r="OI700" s="770"/>
      <c r="OJ700" s="770"/>
      <c r="OK700" s="770"/>
      <c r="OL700" s="770"/>
      <c r="OM700" s="770"/>
      <c r="ON700" s="770"/>
      <c r="OO700" s="770"/>
      <c r="OP700" s="770"/>
      <c r="OQ700" s="770"/>
      <c r="OR700" s="770"/>
      <c r="OS700" s="770"/>
      <c r="OT700" s="770"/>
      <c r="OU700" s="770"/>
      <c r="OV700" s="770"/>
      <c r="OW700" s="770"/>
      <c r="OX700" s="770"/>
      <c r="OY700" s="770"/>
      <c r="OZ700" s="770"/>
      <c r="PA700" s="770"/>
      <c r="PB700" s="770"/>
      <c r="PC700" s="770"/>
      <c r="PD700" s="770"/>
      <c r="PE700" s="770"/>
      <c r="PF700" s="770"/>
      <c r="PG700" s="770"/>
      <c r="PH700" s="770"/>
      <c r="PI700" s="770"/>
      <c r="PJ700" s="770"/>
      <c r="PK700" s="770"/>
      <c r="PL700" s="770"/>
      <c r="PM700" s="770"/>
      <c r="PN700" s="770"/>
      <c r="PO700" s="770"/>
      <c r="PP700" s="770"/>
      <c r="PQ700" s="770"/>
      <c r="PR700" s="770"/>
      <c r="PS700" s="770"/>
      <c r="PT700" s="770"/>
      <c r="PU700" s="770"/>
      <c r="PV700" s="770"/>
      <c r="PW700" s="770"/>
      <c r="PX700" s="770"/>
      <c r="PY700" s="770"/>
      <c r="PZ700" s="770"/>
      <c r="QA700" s="770"/>
      <c r="QB700" s="770"/>
      <c r="QC700" s="770"/>
      <c r="QD700" s="770"/>
      <c r="QE700" s="770"/>
      <c r="QF700" s="770"/>
      <c r="QG700" s="770"/>
      <c r="QH700" s="770"/>
      <c r="QI700" s="770"/>
      <c r="QJ700" s="770"/>
      <c r="QK700" s="770"/>
      <c r="QL700" s="770"/>
      <c r="QM700" s="770"/>
      <c r="QN700" s="770"/>
      <c r="QO700" s="770"/>
      <c r="QP700" s="770"/>
      <c r="QQ700" s="770"/>
      <c r="QR700" s="770"/>
      <c r="QS700" s="770"/>
      <c r="QT700" s="770"/>
      <c r="QU700" s="770"/>
      <c r="QV700" s="770"/>
      <c r="QW700" s="770"/>
      <c r="QX700" s="770"/>
      <c r="QY700" s="770"/>
      <c r="QZ700" s="770"/>
      <c r="RA700" s="770"/>
      <c r="RB700" s="770"/>
      <c r="RC700" s="770"/>
      <c r="RD700" s="770"/>
      <c r="RE700" s="770"/>
      <c r="RF700" s="304"/>
      <c r="RG700" s="770"/>
      <c r="RH700" s="306"/>
      <c r="RI700" s="770"/>
      <c r="RJ700" s="94"/>
      <c r="RK700" s="770"/>
      <c r="RL700" s="1710"/>
      <c r="RM700" s="12"/>
      <c r="RN700" s="1711"/>
      <c r="RO700" s="149" t="s">
        <v>3101</v>
      </c>
      <c r="RP700" s="11"/>
      <c r="RQ700" s="11"/>
      <c r="RR700" s="17"/>
      <c r="RS700" s="767"/>
      <c r="RT700" s="11"/>
      <c r="RU700" s="11"/>
      <c r="RV700" s="771" t="s">
        <v>13915</v>
      </c>
      <c r="RW700" s="11" t="s">
        <v>7435</v>
      </c>
      <c r="RX700" s="11" t="s">
        <v>3101</v>
      </c>
      <c r="RY700" s="11"/>
      <c r="RZ700" s="11"/>
      <c r="SA700" s="771"/>
      <c r="SB700" s="11"/>
      <c r="SC700" s="11"/>
    </row>
    <row r="701" spans="1:497" s="12" customFormat="1" ht="12.75" hidden="1" customHeight="1">
      <c r="A701" s="343" t="s">
        <v>7419</v>
      </c>
      <c r="B701" s="288" t="s">
        <v>11327</v>
      </c>
      <c r="C701" s="409" t="s">
        <v>3111</v>
      </c>
      <c r="D701" s="94" t="s">
        <v>11328</v>
      </c>
      <c r="E701" s="766" t="s">
        <v>4577</v>
      </c>
      <c r="F701" s="770" t="s">
        <v>28</v>
      </c>
      <c r="G701" s="770" t="s">
        <v>10</v>
      </c>
      <c r="I701" s="295" t="s">
        <v>4562</v>
      </c>
      <c r="J701" s="94" t="s">
        <v>11328</v>
      </c>
      <c r="K701" s="766" t="s">
        <v>11329</v>
      </c>
      <c r="L701" s="766" t="s">
        <v>11330</v>
      </c>
      <c r="M701" s="770" t="s">
        <v>1238</v>
      </c>
      <c r="N701" s="1757" t="s">
        <v>7233</v>
      </c>
      <c r="O701" s="1757" t="s">
        <v>7234</v>
      </c>
      <c r="P701" s="770" t="s">
        <v>11331</v>
      </c>
      <c r="Q701" s="1088"/>
      <c r="R701" s="297">
        <v>42</v>
      </c>
      <c r="S701" s="770" t="s">
        <v>10</v>
      </c>
      <c r="T701" s="770"/>
      <c r="U701" s="295" t="s">
        <v>4562</v>
      </c>
      <c r="V701" s="770" t="s">
        <v>707</v>
      </c>
      <c r="W701" s="770"/>
      <c r="X701" s="770"/>
      <c r="Y701" s="766" t="s">
        <v>4577</v>
      </c>
      <c r="Z701" s="766" t="s">
        <v>708</v>
      </c>
      <c r="AA701" s="770" t="s">
        <v>709</v>
      </c>
      <c r="AB701" s="770"/>
      <c r="AC701" s="770"/>
      <c r="AD701" s="770"/>
      <c r="AE701" s="770"/>
      <c r="AF701" s="770"/>
      <c r="AG701" s="770" t="s">
        <v>1132</v>
      </c>
      <c r="AH701" s="766" t="s">
        <v>1096</v>
      </c>
      <c r="AI701" s="770"/>
      <c r="AJ701" s="770" t="s">
        <v>1137</v>
      </c>
      <c r="AK701" s="770" t="s">
        <v>1101</v>
      </c>
      <c r="AL701" s="531">
        <v>30.45</v>
      </c>
      <c r="AM701" s="780">
        <v>6.125</v>
      </c>
      <c r="AN701" s="532">
        <v>0.20114942528735633</v>
      </c>
      <c r="AO701" s="766" t="s">
        <v>1149</v>
      </c>
      <c r="AP701" s="1775" t="s">
        <v>5368</v>
      </c>
      <c r="AQ701" s="766" t="s">
        <v>11904</v>
      </c>
      <c r="AR701" s="766"/>
      <c r="AS701" s="770"/>
      <c r="AT701" s="770"/>
      <c r="AU701" s="770"/>
      <c r="AV701" s="770"/>
      <c r="AW701" s="770"/>
      <c r="AX701" s="770"/>
      <c r="AY701" s="770"/>
      <c r="AZ701" s="770"/>
      <c r="BA701" s="770"/>
      <c r="BB701" s="770"/>
      <c r="BC701" s="770"/>
      <c r="BD701" s="770"/>
      <c r="BE701" s="770"/>
      <c r="BF701" s="302"/>
      <c r="BG701" s="302"/>
      <c r="BH701" s="770"/>
      <c r="BI701" s="770"/>
      <c r="BJ701" s="770"/>
      <c r="BK701" s="766" t="s">
        <v>1095</v>
      </c>
      <c r="BL701" s="766" t="s">
        <v>11332</v>
      </c>
      <c r="BM701" s="766" t="s">
        <v>1096</v>
      </c>
      <c r="BN701" s="766" t="s">
        <v>1230</v>
      </c>
      <c r="BO701" s="770" t="s">
        <v>1252</v>
      </c>
      <c r="BP701" s="765">
        <v>60.9</v>
      </c>
      <c r="BQ701" s="773">
        <v>12.25</v>
      </c>
      <c r="BR701" s="774">
        <v>0.20114942528735633</v>
      </c>
      <c r="BS701" s="6" t="s">
        <v>1149</v>
      </c>
      <c r="BT701" s="766" t="s">
        <v>8133</v>
      </c>
      <c r="BU701" s="770" t="s">
        <v>1249</v>
      </c>
      <c r="BV701" s="770" t="s">
        <v>1247</v>
      </c>
      <c r="BW701" s="770">
        <v>1977</v>
      </c>
      <c r="BX701" s="302"/>
      <c r="BY701" s="770"/>
      <c r="BZ701" s="302"/>
      <c r="CA701" s="770"/>
      <c r="CB701" s="770"/>
      <c r="CC701" s="770"/>
      <c r="CD701" s="770"/>
      <c r="CE701" s="302"/>
      <c r="CF701" s="304"/>
      <c r="CG701" s="321"/>
      <c r="CH701" s="770"/>
      <c r="CI701" s="770"/>
      <c r="CJ701" s="770"/>
      <c r="CK701" s="770"/>
      <c r="CL701" s="770"/>
      <c r="CM701" s="770"/>
      <c r="CN701" s="770"/>
      <c r="CO701" s="770"/>
      <c r="CP701" s="770"/>
      <c r="CQ701" s="770"/>
      <c r="CR701" s="302"/>
      <c r="CS701" s="770"/>
      <c r="CT701" s="770"/>
      <c r="CU701" s="305"/>
      <c r="CV701" s="770"/>
      <c r="CW701" s="770"/>
      <c r="CX701" s="770"/>
      <c r="CY701" s="770"/>
      <c r="CZ701" s="770"/>
      <c r="DA701" s="306"/>
      <c r="DB701" s="770"/>
      <c r="DC701" s="770"/>
      <c r="DD701" s="770"/>
      <c r="DE701" s="300"/>
      <c r="DF701" s="770"/>
      <c r="DG701" s="770"/>
      <c r="DH701" s="770"/>
      <c r="DI701" s="770"/>
      <c r="DJ701" s="770"/>
      <c r="DK701" s="770"/>
      <c r="DL701" s="770"/>
      <c r="DM701" s="770"/>
      <c r="DN701" s="322"/>
      <c r="DO701" s="770"/>
      <c r="DP701" s="770"/>
      <c r="DQ701" s="770"/>
      <c r="DR701" s="770"/>
      <c r="DS701" s="307"/>
      <c r="DT701" s="770"/>
      <c r="DU701" s="770"/>
      <c r="DV701" s="770"/>
      <c r="DW701" s="306"/>
      <c r="DX701" s="306"/>
      <c r="DY701" s="1055"/>
      <c r="DZ701" s="770"/>
      <c r="EA701" s="770"/>
      <c r="EB701" s="770"/>
      <c r="EC701" s="770"/>
      <c r="ED701" s="770"/>
      <c r="EE701" s="770"/>
      <c r="EF701" s="770"/>
      <c r="EG701" s="770"/>
      <c r="EH701" s="770"/>
      <c r="EI701" s="770"/>
      <c r="EJ701" s="770"/>
      <c r="EK701" s="770"/>
      <c r="EL701" s="770"/>
      <c r="EM701" s="770"/>
      <c r="EN701" s="770"/>
      <c r="EO701" s="770"/>
      <c r="EP701" s="94"/>
      <c r="EQ701" s="770"/>
      <c r="ER701" s="770"/>
      <c r="ES701" s="770"/>
      <c r="ET701" s="770"/>
      <c r="EU701" s="770"/>
      <c r="EV701" s="770"/>
      <c r="EW701" s="770"/>
      <c r="EX701" s="770"/>
      <c r="EY701" s="770"/>
      <c r="EZ701" s="770"/>
      <c r="FA701" s="770"/>
      <c r="FB701" s="770"/>
      <c r="FC701" s="770"/>
      <c r="FD701" s="302"/>
      <c r="FE701" s="770"/>
      <c r="FF701" s="770"/>
      <c r="FG701" s="770"/>
      <c r="FH701" s="770" t="s">
        <v>1263</v>
      </c>
      <c r="FI701" s="770">
        <v>1</v>
      </c>
      <c r="FJ701" s="770" t="s">
        <v>11332</v>
      </c>
      <c r="FK701" s="770" t="s">
        <v>4562</v>
      </c>
      <c r="FL701" s="766" t="s">
        <v>4578</v>
      </c>
      <c r="FM701" s="302"/>
      <c r="FN701" s="302"/>
      <c r="FO701" s="302"/>
      <c r="FP701" s="770" t="s">
        <v>1600</v>
      </c>
      <c r="FQ701" s="770" t="s">
        <v>1642</v>
      </c>
      <c r="FR701" s="770" t="s">
        <v>1214</v>
      </c>
      <c r="FS701" s="770"/>
      <c r="FT701" s="770"/>
      <c r="FU701" s="770"/>
      <c r="FV701" s="770"/>
      <c r="FW701" s="770"/>
      <c r="FX701" s="770"/>
      <c r="FY701" s="770"/>
      <c r="FZ701" s="770"/>
      <c r="GA701" s="770"/>
      <c r="GB701" s="770" t="s">
        <v>853</v>
      </c>
      <c r="GC701" s="308"/>
      <c r="GD701" s="297"/>
      <c r="GE701" s="770" t="s">
        <v>1207</v>
      </c>
      <c r="GF701" s="302"/>
      <c r="GG701" s="302"/>
      <c r="GH701" s="770"/>
      <c r="GI701" s="770"/>
      <c r="GJ701" s="770"/>
      <c r="GK701" s="770"/>
      <c r="GL701" s="770"/>
      <c r="GM701" s="770"/>
      <c r="GN701" s="299"/>
      <c r="GO701" s="770"/>
      <c r="GP701" s="770"/>
      <c r="GQ701" s="770"/>
      <c r="GR701" s="770"/>
      <c r="GS701" s="770"/>
      <c r="GT701" s="770"/>
      <c r="GU701" s="770"/>
      <c r="GV701" s="770"/>
      <c r="GW701" s="770"/>
      <c r="GX701" s="770"/>
      <c r="GY701" s="770"/>
      <c r="GZ701" s="770"/>
      <c r="HA701" s="770"/>
      <c r="HB701" s="770"/>
      <c r="HC701" s="770"/>
      <c r="HD701" s="770"/>
      <c r="HE701" s="770"/>
      <c r="HF701" s="770"/>
      <c r="HG701" s="770"/>
      <c r="HH701" s="770"/>
      <c r="HI701" s="770"/>
      <c r="HJ701" s="770"/>
      <c r="HK701" s="770"/>
      <c r="HL701" s="770"/>
      <c r="HM701" s="770"/>
      <c r="HN701" s="770"/>
      <c r="HO701" s="770"/>
      <c r="HP701" s="770"/>
      <c r="HQ701" s="770"/>
      <c r="HR701" s="770"/>
      <c r="HS701" s="770"/>
      <c r="HT701" s="770"/>
      <c r="HU701" s="770"/>
      <c r="HV701" s="770"/>
      <c r="HW701" s="770"/>
      <c r="HX701" s="770"/>
      <c r="HY701" s="770"/>
      <c r="HZ701" s="770"/>
      <c r="IA701" s="770"/>
      <c r="IB701" s="770" t="s">
        <v>1207</v>
      </c>
      <c r="IC701" s="770"/>
      <c r="ID701" s="770"/>
      <c r="IE701" s="770"/>
      <c r="IF701" s="770" t="s">
        <v>11328</v>
      </c>
      <c r="IG701" s="770" t="s">
        <v>10</v>
      </c>
      <c r="IH701" s="770" t="s">
        <v>1263</v>
      </c>
      <c r="II701" s="766" t="s">
        <v>4577</v>
      </c>
      <c r="IJ701" s="770" t="s">
        <v>1835</v>
      </c>
      <c r="IK701" s="770" t="s">
        <v>2639</v>
      </c>
      <c r="IL701" s="770" t="s">
        <v>11333</v>
      </c>
      <c r="IM701" s="770">
        <v>2016</v>
      </c>
      <c r="IN701" s="770" t="s">
        <v>11333</v>
      </c>
      <c r="IO701" s="296"/>
      <c r="IP701" s="770" t="s">
        <v>478</v>
      </c>
      <c r="IQ701" s="770" t="s">
        <v>1882</v>
      </c>
      <c r="IR701" s="770" t="s">
        <v>2716</v>
      </c>
      <c r="IS701" s="770" t="s">
        <v>740</v>
      </c>
      <c r="IT701" s="770"/>
      <c r="IU701" s="770" t="s">
        <v>1208</v>
      </c>
      <c r="IV701" s="770"/>
      <c r="IW701" s="770" t="s">
        <v>13916</v>
      </c>
      <c r="IX701" s="770"/>
      <c r="IY701" s="770" t="s">
        <v>4562</v>
      </c>
      <c r="IZ701" s="770"/>
      <c r="JA701" s="770" t="s">
        <v>1880</v>
      </c>
      <c r="JB701" s="770" t="s">
        <v>1901</v>
      </c>
      <c r="JC701" s="770"/>
      <c r="JD701" s="302">
        <v>5000</v>
      </c>
      <c r="JE701" s="770"/>
      <c r="JF701" s="770"/>
      <c r="JG701" s="770"/>
      <c r="JH701" s="307"/>
      <c r="JI701" s="307"/>
      <c r="JJ701" s="770">
        <v>4</v>
      </c>
      <c r="JK701" s="770" t="s">
        <v>13917</v>
      </c>
      <c r="JL701" s="770">
        <v>1</v>
      </c>
      <c r="JM701" s="770"/>
      <c r="JN701" s="770">
        <v>2</v>
      </c>
      <c r="JO701" s="770">
        <v>1</v>
      </c>
      <c r="JP701" s="770"/>
      <c r="JQ701" s="770"/>
      <c r="JR701" s="770"/>
      <c r="JS701" s="770"/>
      <c r="JT701" s="766">
        <f t="shared" ref="JT701:JU714" si="213">SUM(JP701,JN701,JL701,JR701)</f>
        <v>3</v>
      </c>
      <c r="JU701" s="766">
        <f t="shared" si="213"/>
        <v>1</v>
      </c>
      <c r="JV701" s="766"/>
      <c r="JW701" s="766"/>
      <c r="JX701" s="770">
        <v>1</v>
      </c>
      <c r="JY701" s="770"/>
      <c r="JZ701" s="770"/>
      <c r="KA701" s="770"/>
      <c r="KB701" s="770">
        <v>1</v>
      </c>
      <c r="KC701" s="770">
        <v>1</v>
      </c>
      <c r="KD701" s="770">
        <v>1</v>
      </c>
      <c r="KE701" s="770"/>
      <c r="KF701" s="770"/>
      <c r="KG701" s="770"/>
      <c r="KH701" s="770"/>
      <c r="KI701" s="770"/>
      <c r="KJ701" s="770">
        <f t="shared" si="204"/>
        <v>3</v>
      </c>
      <c r="KK701" s="770">
        <f t="shared" si="204"/>
        <v>1</v>
      </c>
      <c r="KL701" s="770"/>
      <c r="KM701" s="770"/>
      <c r="KN701" s="770" t="s">
        <v>707</v>
      </c>
      <c r="KO701" s="770"/>
      <c r="KP701" s="770"/>
      <c r="KQ701" s="770"/>
      <c r="KR701" s="770"/>
      <c r="KS701" s="770"/>
      <c r="KT701" s="770">
        <v>1</v>
      </c>
      <c r="KU701" s="770"/>
      <c r="KV701" s="770"/>
      <c r="KW701" s="770"/>
      <c r="KX701" s="770"/>
      <c r="KY701" s="770"/>
      <c r="KZ701" s="770">
        <v>1</v>
      </c>
      <c r="LA701" s="770">
        <v>1</v>
      </c>
      <c r="LB701" s="770"/>
      <c r="LC701" s="770"/>
      <c r="LD701" s="770"/>
      <c r="LE701" s="770"/>
      <c r="LF701" s="770"/>
      <c r="LG701" s="770"/>
      <c r="LH701" s="770"/>
      <c r="LI701" s="770"/>
      <c r="LJ701" s="770">
        <v>1</v>
      </c>
      <c r="LK701" s="770"/>
      <c r="LL701" s="770"/>
      <c r="LM701" s="770"/>
      <c r="LN701" s="766">
        <f t="shared" si="209"/>
        <v>3</v>
      </c>
      <c r="LO701" s="766">
        <f t="shared" si="209"/>
        <v>1</v>
      </c>
      <c r="LP701" s="770">
        <v>2</v>
      </c>
      <c r="LQ701" s="770"/>
      <c r="LR701" s="770"/>
      <c r="LS701" s="770">
        <v>2</v>
      </c>
      <c r="LT701" s="770"/>
      <c r="LU701" s="770"/>
      <c r="LV701" s="770"/>
      <c r="LW701" s="770"/>
      <c r="LX701" s="769">
        <v>1</v>
      </c>
      <c r="LY701" s="766" t="str">
        <f t="shared" si="210"/>
        <v>within the BRGY</v>
      </c>
      <c r="LZ701" s="1709"/>
      <c r="MA701" s="1709"/>
      <c r="MB701" s="1709"/>
      <c r="MC701" s="1679">
        <f t="shared" si="208"/>
        <v>0</v>
      </c>
      <c r="MD701" s="1709"/>
      <c r="ME701" s="1709"/>
      <c r="MF701" s="1709">
        <f>4000+4000</f>
        <v>8000</v>
      </c>
      <c r="MG701" s="1680">
        <f t="shared" si="199"/>
        <v>8000</v>
      </c>
      <c r="MH701" s="770" t="s">
        <v>13510</v>
      </c>
      <c r="MI701" s="302">
        <f>150*30</f>
        <v>4500</v>
      </c>
      <c r="MJ701" s="302">
        <f>400*4</f>
        <v>1600</v>
      </c>
      <c r="MK701" s="302">
        <v>600</v>
      </c>
      <c r="ML701" s="302"/>
      <c r="MM701" s="302"/>
      <c r="MN701" s="302"/>
      <c r="MO701" s="302"/>
      <c r="MP701" s="302">
        <v>600</v>
      </c>
      <c r="MQ701" s="302">
        <f>30*3</f>
        <v>90</v>
      </c>
      <c r="MR701" s="302">
        <v>20</v>
      </c>
      <c r="MS701" s="302"/>
      <c r="MT701" s="302"/>
      <c r="MU701" s="302"/>
      <c r="MV701" s="302"/>
      <c r="MW701" s="302"/>
      <c r="MX701" s="302"/>
      <c r="MY701" s="1682">
        <f t="shared" si="200"/>
        <v>7410</v>
      </c>
      <c r="MZ701" s="770" t="s">
        <v>13214</v>
      </c>
      <c r="NA701" s="770" t="s">
        <v>13230</v>
      </c>
      <c r="NB701" s="770" t="s">
        <v>13164</v>
      </c>
      <c r="NC701" s="770" t="s">
        <v>13918</v>
      </c>
      <c r="ND701" s="770">
        <v>1</v>
      </c>
      <c r="NE701" s="770">
        <v>1</v>
      </c>
      <c r="NF701" s="770">
        <v>0</v>
      </c>
      <c r="NG701" s="770">
        <v>1</v>
      </c>
      <c r="NH701" s="770">
        <v>0</v>
      </c>
      <c r="NI701" s="770">
        <v>0</v>
      </c>
      <c r="NJ701" s="770">
        <v>0</v>
      </c>
      <c r="NK701" s="770">
        <v>0</v>
      </c>
      <c r="NL701" s="770">
        <v>0</v>
      </c>
      <c r="NM701" s="770">
        <v>0</v>
      </c>
      <c r="NN701" s="770">
        <v>0</v>
      </c>
      <c r="NO701" s="770">
        <v>0</v>
      </c>
      <c r="NP701" s="770">
        <v>0</v>
      </c>
      <c r="NQ701" s="770">
        <v>1</v>
      </c>
      <c r="NR701" s="770">
        <v>0</v>
      </c>
      <c r="NS701" s="770">
        <v>0</v>
      </c>
      <c r="NT701" s="770">
        <v>0</v>
      </c>
      <c r="NU701" s="770">
        <v>0</v>
      </c>
      <c r="NV701" s="770">
        <v>0</v>
      </c>
      <c r="NW701" s="770">
        <v>0</v>
      </c>
      <c r="NX701" s="770">
        <v>0</v>
      </c>
      <c r="NY701" s="770"/>
      <c r="NZ701" s="770"/>
      <c r="OA701" s="770"/>
      <c r="OB701" s="770"/>
      <c r="OC701" s="770"/>
      <c r="OD701" s="770"/>
      <c r="OE701" s="770"/>
      <c r="OF701" s="770"/>
      <c r="OG701" s="770"/>
      <c r="OH701" s="770"/>
      <c r="OI701" s="770"/>
      <c r="OJ701" s="770"/>
      <c r="OK701" s="770"/>
      <c r="OL701" s="770"/>
      <c r="OM701" s="770"/>
      <c r="ON701" s="770"/>
      <c r="OO701" s="770"/>
      <c r="OP701" s="770"/>
      <c r="OQ701" s="770"/>
      <c r="OR701" s="770"/>
      <c r="OS701" s="770"/>
      <c r="OT701" s="770"/>
      <c r="OU701" s="770"/>
      <c r="OV701" s="770"/>
      <c r="OW701" s="770"/>
      <c r="OX701" s="770"/>
      <c r="OY701" s="770"/>
      <c r="OZ701" s="770"/>
      <c r="PA701" s="770"/>
      <c r="PB701" s="770"/>
      <c r="PC701" s="770"/>
      <c r="PD701" s="770"/>
      <c r="PE701" s="770"/>
      <c r="PF701" s="770"/>
      <c r="PG701" s="770"/>
      <c r="PH701" s="770"/>
      <c r="PI701" s="770"/>
      <c r="PJ701" s="770"/>
      <c r="PK701" s="770"/>
      <c r="PL701" s="770"/>
      <c r="PM701" s="770"/>
      <c r="PN701" s="770"/>
      <c r="PO701" s="770"/>
      <c r="PP701" s="770"/>
      <c r="PQ701" s="770"/>
      <c r="PR701" s="770"/>
      <c r="PS701" s="770"/>
      <c r="PT701" s="770"/>
      <c r="PU701" s="770"/>
      <c r="PV701" s="770"/>
      <c r="PW701" s="770"/>
      <c r="PX701" s="770"/>
      <c r="PY701" s="770"/>
      <c r="PZ701" s="770"/>
      <c r="QA701" s="770"/>
      <c r="QB701" s="770"/>
      <c r="QC701" s="770"/>
      <c r="QD701" s="770"/>
      <c r="QE701" s="770"/>
      <c r="QF701" s="770"/>
      <c r="QG701" s="770"/>
      <c r="QH701" s="770"/>
      <c r="QI701" s="770"/>
      <c r="QJ701" s="770"/>
      <c r="QK701" s="770"/>
      <c r="QL701" s="770"/>
      <c r="QM701" s="770"/>
      <c r="QN701" s="770"/>
      <c r="QO701" s="770"/>
      <c r="QP701" s="770"/>
      <c r="QQ701" s="770"/>
      <c r="QR701" s="770"/>
      <c r="QS701" s="770"/>
      <c r="QT701" s="770"/>
      <c r="QU701" s="770"/>
      <c r="QV701" s="770"/>
      <c r="QW701" s="770"/>
      <c r="QX701" s="770"/>
      <c r="QY701" s="770"/>
      <c r="QZ701" s="770"/>
      <c r="RA701" s="770"/>
      <c r="RB701" s="770" t="s">
        <v>1214</v>
      </c>
      <c r="RC701" s="770"/>
      <c r="RD701" s="770"/>
      <c r="RE701" s="770"/>
      <c r="RF701" s="304"/>
      <c r="RG701" s="770"/>
      <c r="RH701" s="306"/>
      <c r="RI701" s="770"/>
      <c r="RJ701" s="94" t="s">
        <v>13917</v>
      </c>
      <c r="RK701" s="770" t="s">
        <v>13544</v>
      </c>
      <c r="RL701" s="1710">
        <v>42844</v>
      </c>
      <c r="RM701" s="12" t="s">
        <v>13011</v>
      </c>
      <c r="RN701" s="1711"/>
      <c r="RO701" s="409" t="s">
        <v>3111</v>
      </c>
      <c r="RR701" s="14"/>
      <c r="RS701" s="770"/>
      <c r="RV701" s="766" t="s">
        <v>13915</v>
      </c>
      <c r="RW701" s="12" t="s">
        <v>7436</v>
      </c>
      <c r="RX701" s="12" t="s">
        <v>3101</v>
      </c>
      <c r="RZ701" s="12" t="s">
        <v>2209</v>
      </c>
      <c r="SA701" s="766"/>
    </row>
    <row r="702" spans="1:497" ht="12.75" hidden="1" customHeight="1">
      <c r="A702" s="343" t="s">
        <v>7419</v>
      </c>
      <c r="B702" s="292" t="s">
        <v>8019</v>
      </c>
      <c r="C702" s="149" t="s">
        <v>4572</v>
      </c>
      <c r="D702" s="94" t="s">
        <v>4563</v>
      </c>
      <c r="E702" s="766" t="s">
        <v>4576</v>
      </c>
      <c r="F702" s="770" t="s">
        <v>28</v>
      </c>
      <c r="G702" s="770" t="s">
        <v>18</v>
      </c>
      <c r="H702" s="12"/>
      <c r="I702" s="295" t="s">
        <v>4565</v>
      </c>
      <c r="J702" s="94" t="s">
        <v>4563</v>
      </c>
      <c r="K702" s="766" t="s">
        <v>4566</v>
      </c>
      <c r="L702" s="766" t="s">
        <v>3077</v>
      </c>
      <c r="M702" s="770" t="s">
        <v>1238</v>
      </c>
      <c r="N702" s="1757" t="s">
        <v>7233</v>
      </c>
      <c r="O702" s="1757" t="s">
        <v>7234</v>
      </c>
      <c r="P702" s="770" t="s">
        <v>4567</v>
      </c>
      <c r="Q702" s="1088">
        <v>11915</v>
      </c>
      <c r="R702" s="297">
        <v>85</v>
      </c>
      <c r="S702" s="770" t="s">
        <v>18</v>
      </c>
      <c r="T702" s="770"/>
      <c r="U702" s="295" t="s">
        <v>4565</v>
      </c>
      <c r="V702" s="770" t="s">
        <v>719</v>
      </c>
      <c r="W702" s="770"/>
      <c r="X702" s="770"/>
      <c r="Y702" s="770" t="s">
        <v>4564</v>
      </c>
      <c r="Z702" s="770" t="s">
        <v>708</v>
      </c>
      <c r="AA702" s="770" t="s">
        <v>4568</v>
      </c>
      <c r="AB702" s="770" t="s">
        <v>710</v>
      </c>
      <c r="AC702" s="770"/>
      <c r="AD702" s="770" t="s">
        <v>3241</v>
      </c>
      <c r="AE702" s="770"/>
      <c r="AF702" s="770" t="s">
        <v>4569</v>
      </c>
      <c r="AG702" s="766" t="s">
        <v>1132</v>
      </c>
      <c r="AH702" s="766" t="s">
        <v>1096</v>
      </c>
      <c r="AI702" s="770"/>
      <c r="AJ702" s="770" t="s">
        <v>1137</v>
      </c>
      <c r="AK702" s="766" t="s">
        <v>1097</v>
      </c>
      <c r="AL702" s="531">
        <v>64.78</v>
      </c>
      <c r="AM702" s="780">
        <v>11.85</v>
      </c>
      <c r="AN702" s="532">
        <f t="shared" ref="AN702:AN714" si="214">AM702/AL702</f>
        <v>0.18292682926829268</v>
      </c>
      <c r="AO702" s="766" t="s">
        <v>1109</v>
      </c>
      <c r="AP702" s="1775" t="s">
        <v>5368</v>
      </c>
      <c r="AQ702" s="766" t="s">
        <v>7232</v>
      </c>
      <c r="AR702" s="766">
        <v>2012</v>
      </c>
      <c r="AS702" s="766" t="s">
        <v>1207</v>
      </c>
      <c r="AT702" s="770"/>
      <c r="AU702" s="770"/>
      <c r="AV702" s="770"/>
      <c r="AW702" s="770"/>
      <c r="AX702" s="770"/>
      <c r="AY702" s="770"/>
      <c r="AZ702" s="770"/>
      <c r="BA702" s="770" t="s">
        <v>1208</v>
      </c>
      <c r="BB702" s="770" t="s">
        <v>4571</v>
      </c>
      <c r="BC702" s="766" t="s">
        <v>4583</v>
      </c>
      <c r="BD702" s="770"/>
      <c r="BE702" s="770"/>
      <c r="BF702" s="302"/>
      <c r="BG702" s="302"/>
      <c r="BH702" s="770"/>
      <c r="BI702" s="770"/>
      <c r="BJ702" s="770"/>
      <c r="BK702" s="766" t="s">
        <v>1095</v>
      </c>
      <c r="BL702" s="766" t="s">
        <v>4570</v>
      </c>
      <c r="BM702" s="766" t="s">
        <v>1096</v>
      </c>
      <c r="BN702" s="766" t="s">
        <v>1230</v>
      </c>
      <c r="BO702" s="770" t="s">
        <v>1333</v>
      </c>
      <c r="BP702" s="765">
        <v>129.56</v>
      </c>
      <c r="BQ702" s="773">
        <v>23.7</v>
      </c>
      <c r="BR702" s="774">
        <f t="shared" ref="BR702:BR725" si="215">BQ702/BP702</f>
        <v>0.18292682926829268</v>
      </c>
      <c r="BS702" s="766" t="s">
        <v>1242</v>
      </c>
      <c r="BT702" s="766" t="s">
        <v>2040</v>
      </c>
      <c r="BU702" s="770" t="s">
        <v>1249</v>
      </c>
      <c r="BV702" s="770" t="s">
        <v>1247</v>
      </c>
      <c r="BW702" s="770">
        <v>1949</v>
      </c>
      <c r="BX702" s="302"/>
      <c r="BY702" s="770"/>
      <c r="BZ702" s="302"/>
      <c r="CA702" s="770"/>
      <c r="CB702" s="770"/>
      <c r="CC702" s="770"/>
      <c r="CD702" s="770"/>
      <c r="CE702" s="302"/>
      <c r="CF702" s="304"/>
      <c r="CG702" s="321"/>
      <c r="CH702" s="770"/>
      <c r="CI702" s="770"/>
      <c r="CJ702" s="770"/>
      <c r="CK702" s="770"/>
      <c r="CL702" s="770"/>
      <c r="CM702" s="770"/>
      <c r="CN702" s="770"/>
      <c r="CO702" s="770"/>
      <c r="CP702" s="770"/>
      <c r="CQ702" s="770"/>
      <c r="CR702" s="302"/>
      <c r="CS702" s="770"/>
      <c r="CT702" s="770"/>
      <c r="CU702" s="305"/>
      <c r="CV702" s="770"/>
      <c r="CW702" s="770"/>
      <c r="CX702" s="770"/>
      <c r="CY702" s="770"/>
      <c r="CZ702" s="770"/>
      <c r="DA702" s="306"/>
      <c r="DB702" s="770"/>
      <c r="DC702" s="770"/>
      <c r="DD702" s="770"/>
      <c r="DE702" s="300"/>
      <c r="DF702" s="770"/>
      <c r="DG702" s="770"/>
      <c r="DH702" s="770"/>
      <c r="DI702" s="770"/>
      <c r="DJ702" s="770"/>
      <c r="DK702" s="770"/>
      <c r="DL702" s="770"/>
      <c r="DM702" s="770"/>
      <c r="DN702" s="322"/>
      <c r="DO702" s="770"/>
      <c r="DP702" s="770"/>
      <c r="DQ702" s="770"/>
      <c r="DR702" s="770"/>
      <c r="DS702" s="307"/>
      <c r="DT702" s="770"/>
      <c r="DU702" s="770"/>
      <c r="DV702" s="770"/>
      <c r="DW702" s="306"/>
      <c r="DX702" s="306"/>
      <c r="DY702" s="1055"/>
      <c r="DZ702" s="770"/>
      <c r="EA702" s="770"/>
      <c r="EB702" s="770"/>
      <c r="EC702" s="770"/>
      <c r="ED702" s="770"/>
      <c r="EE702" s="770"/>
      <c r="EF702" s="770"/>
      <c r="EG702" s="770"/>
      <c r="EH702" s="770"/>
      <c r="EI702" s="770"/>
      <c r="EJ702" s="770"/>
      <c r="EK702" s="770"/>
      <c r="EL702" s="770"/>
      <c r="EM702" s="770"/>
      <c r="EN702" s="770"/>
      <c r="EO702" s="770"/>
      <c r="EP702" s="94"/>
      <c r="EQ702" s="770"/>
      <c r="ER702" s="770"/>
      <c r="ES702" s="770"/>
      <c r="ET702" s="770"/>
      <c r="EU702" s="770"/>
      <c r="EV702" s="770"/>
      <c r="EW702" s="770"/>
      <c r="EX702" s="770"/>
      <c r="EY702" s="770"/>
      <c r="EZ702" s="770"/>
      <c r="FA702" s="770"/>
      <c r="FB702" s="770"/>
      <c r="FC702" s="770"/>
      <c r="FD702" s="302"/>
      <c r="FE702" s="770"/>
      <c r="FF702" s="770"/>
      <c r="FG702" s="770"/>
      <c r="FH702" s="770" t="s">
        <v>478</v>
      </c>
      <c r="FI702" s="770">
        <v>1</v>
      </c>
      <c r="FJ702" s="770"/>
      <c r="FK702" s="770"/>
      <c r="FL702" s="770"/>
      <c r="FM702" s="302"/>
      <c r="FN702" s="302"/>
      <c r="FO702" s="302"/>
      <c r="FP702" s="770" t="s">
        <v>1600</v>
      </c>
      <c r="FQ702" s="770" t="s">
        <v>1642</v>
      </c>
      <c r="FR702" s="770" t="s">
        <v>1214</v>
      </c>
      <c r="FS702" s="770"/>
      <c r="FT702" s="770"/>
      <c r="FU702" s="770"/>
      <c r="FV702" s="770"/>
      <c r="FW702" s="770"/>
      <c r="FX702" s="770"/>
      <c r="FY702" s="770"/>
      <c r="FZ702" s="770"/>
      <c r="GA702" s="770"/>
      <c r="GB702" s="770" t="s">
        <v>1734</v>
      </c>
      <c r="GC702" s="308"/>
      <c r="GD702" s="297">
        <v>1949</v>
      </c>
      <c r="GE702" s="770" t="s">
        <v>1214</v>
      </c>
      <c r="GF702" s="302"/>
      <c r="GG702" s="302"/>
      <c r="GH702" s="766" t="s">
        <v>14260</v>
      </c>
      <c r="GI702" s="770"/>
      <c r="GJ702" s="770"/>
      <c r="GK702" s="770"/>
      <c r="GL702" s="770"/>
      <c r="GM702" s="770"/>
      <c r="GN702" s="299"/>
      <c r="GO702" s="770"/>
      <c r="GP702" s="770"/>
      <c r="GQ702" s="770"/>
      <c r="GR702" s="770"/>
      <c r="GS702" s="770"/>
      <c r="GT702" s="770"/>
      <c r="GU702" s="770"/>
      <c r="GV702" s="770"/>
      <c r="GW702" s="770"/>
      <c r="GX702" s="770"/>
      <c r="GY702" s="770"/>
      <c r="GZ702" s="770"/>
      <c r="HA702" s="770"/>
      <c r="HB702" s="770"/>
      <c r="HC702" s="770"/>
      <c r="HD702" s="770"/>
      <c r="HE702" s="770"/>
      <c r="HF702" s="770"/>
      <c r="HG702" s="770"/>
      <c r="HH702" s="770"/>
      <c r="HI702" s="770" t="s">
        <v>1214</v>
      </c>
      <c r="HJ702" s="770"/>
      <c r="HK702" s="770"/>
      <c r="HL702" s="770" t="s">
        <v>1214</v>
      </c>
      <c r="HM702" s="770"/>
      <c r="HN702" s="770"/>
      <c r="HO702" s="770"/>
      <c r="HP702" s="770"/>
      <c r="HQ702" s="770"/>
      <c r="HR702" s="770"/>
      <c r="HS702" s="770"/>
      <c r="HT702" s="770"/>
      <c r="HU702" s="770"/>
      <c r="HV702" s="770"/>
      <c r="HW702" s="770"/>
      <c r="HX702" s="770"/>
      <c r="HY702" s="770"/>
      <c r="HZ702" s="770"/>
      <c r="IA702" s="770"/>
      <c r="IB702" s="770"/>
      <c r="IC702" s="770" t="s">
        <v>1207</v>
      </c>
      <c r="ID702" s="770">
        <v>1</v>
      </c>
      <c r="IE702" s="770">
        <v>1</v>
      </c>
      <c r="IF702" s="770"/>
      <c r="IG702" s="770"/>
      <c r="IH702" s="770"/>
      <c r="II702" s="770"/>
      <c r="IJ702" s="770"/>
      <c r="IK702" s="770"/>
      <c r="IL702" s="770"/>
      <c r="IM702" s="770"/>
      <c r="IN702" s="770"/>
      <c r="IO702" s="296"/>
      <c r="IP702" s="770"/>
      <c r="IQ702" s="770"/>
      <c r="IR702" s="770"/>
      <c r="IS702" s="770"/>
      <c r="IT702" s="770"/>
      <c r="IU702" s="770"/>
      <c r="IV702" s="770"/>
      <c r="IW702" s="770"/>
      <c r="IX702" s="770"/>
      <c r="IY702" s="770"/>
      <c r="IZ702" s="770"/>
      <c r="JA702" s="770"/>
      <c r="JB702" s="770"/>
      <c r="JC702" s="770"/>
      <c r="JD702" s="302"/>
      <c r="JE702" s="770"/>
      <c r="JF702" s="770"/>
      <c r="JG702" s="770"/>
      <c r="JH702" s="307"/>
      <c r="JI702" s="307"/>
      <c r="JJ702" s="770">
        <v>2</v>
      </c>
      <c r="JK702" s="770" t="s">
        <v>4571</v>
      </c>
      <c r="JL702" s="770"/>
      <c r="JM702" s="770"/>
      <c r="JN702" s="770">
        <v>1</v>
      </c>
      <c r="JO702" s="770"/>
      <c r="JP702" s="770"/>
      <c r="JQ702" s="770">
        <v>1</v>
      </c>
      <c r="JR702" s="770"/>
      <c r="JS702" s="770"/>
      <c r="JT702" s="766">
        <f t="shared" si="213"/>
        <v>1</v>
      </c>
      <c r="JU702" s="766">
        <f t="shared" si="213"/>
        <v>1</v>
      </c>
      <c r="JV702" s="766"/>
      <c r="JW702" s="766"/>
      <c r="JX702" s="770"/>
      <c r="JY702" s="770"/>
      <c r="JZ702" s="770"/>
      <c r="KA702" s="770"/>
      <c r="KB702" s="770"/>
      <c r="KC702" s="770"/>
      <c r="KD702" s="770">
        <v>1</v>
      </c>
      <c r="KE702" s="770"/>
      <c r="KF702" s="770"/>
      <c r="KG702" s="770">
        <v>1</v>
      </c>
      <c r="KH702" s="770"/>
      <c r="KI702" s="770"/>
      <c r="KJ702" s="770">
        <f t="shared" si="204"/>
        <v>1</v>
      </c>
      <c r="KK702" s="770">
        <f t="shared" si="204"/>
        <v>1</v>
      </c>
      <c r="KL702" s="770"/>
      <c r="KM702" s="770"/>
      <c r="KN702" s="770" t="s">
        <v>719</v>
      </c>
      <c r="KO702" s="770"/>
      <c r="KP702" s="770"/>
      <c r="KQ702" s="770"/>
      <c r="KR702" s="770"/>
      <c r="KS702" s="770"/>
      <c r="KT702" s="770"/>
      <c r="KU702" s="770"/>
      <c r="KV702" s="770"/>
      <c r="KW702" s="770">
        <v>1</v>
      </c>
      <c r="KX702" s="770"/>
      <c r="KY702" s="770"/>
      <c r="KZ702" s="770"/>
      <c r="LA702" s="770"/>
      <c r="LB702" s="770"/>
      <c r="LC702" s="770"/>
      <c r="LD702" s="770">
        <v>1</v>
      </c>
      <c r="LE702" s="770"/>
      <c r="LF702" s="770"/>
      <c r="LG702" s="770"/>
      <c r="LH702" s="770"/>
      <c r="LI702" s="770"/>
      <c r="LJ702" s="770"/>
      <c r="LK702" s="770"/>
      <c r="LL702" s="770"/>
      <c r="LM702" s="770"/>
      <c r="LN702" s="766">
        <f t="shared" si="209"/>
        <v>1</v>
      </c>
      <c r="LO702" s="766">
        <f t="shared" si="209"/>
        <v>1</v>
      </c>
      <c r="LP702" s="770">
        <v>1</v>
      </c>
      <c r="LQ702" s="770">
        <v>1</v>
      </c>
      <c r="LR702" s="770"/>
      <c r="LS702" s="770"/>
      <c r="LT702" s="770"/>
      <c r="LU702" s="770"/>
      <c r="LV702" s="770">
        <v>1</v>
      </c>
      <c r="LW702" s="770"/>
      <c r="LX702" s="769">
        <v>2</v>
      </c>
      <c r="LY702" s="766" t="str">
        <f t="shared" si="210"/>
        <v>within the MUNICIPALITY</v>
      </c>
      <c r="LZ702" s="1709">
        <v>120</v>
      </c>
      <c r="MA702" s="1709"/>
      <c r="MB702" s="1709"/>
      <c r="MC702" s="1679">
        <f t="shared" si="208"/>
        <v>120</v>
      </c>
      <c r="MD702" s="1709">
        <v>12000</v>
      </c>
      <c r="ME702" s="1709"/>
      <c r="MF702" s="1709"/>
      <c r="MG702" s="1680">
        <f t="shared" si="199"/>
        <v>12000</v>
      </c>
      <c r="MH702" s="770" t="s">
        <v>2243</v>
      </c>
      <c r="MI702" s="302">
        <f>200*30</f>
        <v>6000</v>
      </c>
      <c r="MJ702" s="302">
        <v>700</v>
      </c>
      <c r="MK702" s="302">
        <v>200</v>
      </c>
      <c r="ML702" s="302">
        <v>2000</v>
      </c>
      <c r="MM702" s="302"/>
      <c r="MN702" s="302"/>
      <c r="MO702" s="302">
        <f>30*30</f>
        <v>900</v>
      </c>
      <c r="MP702" s="302">
        <v>500</v>
      </c>
      <c r="MQ702" s="302">
        <v>300</v>
      </c>
      <c r="MR702" s="302">
        <v>300</v>
      </c>
      <c r="MS702" s="302">
        <v>200</v>
      </c>
      <c r="MT702" s="302"/>
      <c r="MU702" s="302"/>
      <c r="MV702" s="302"/>
      <c r="MW702" s="302"/>
      <c r="MX702" s="302"/>
      <c r="MY702" s="1682">
        <f t="shared" si="200"/>
        <v>11100</v>
      </c>
      <c r="MZ702" s="770" t="s">
        <v>13395</v>
      </c>
      <c r="NA702" s="770" t="s">
        <v>13230</v>
      </c>
      <c r="NB702" s="770" t="s">
        <v>13016</v>
      </c>
      <c r="NC702" s="770" t="s">
        <v>13621</v>
      </c>
      <c r="ND702" s="770">
        <v>0</v>
      </c>
      <c r="NE702" s="770">
        <v>0</v>
      </c>
      <c r="NF702" s="770">
        <v>0</v>
      </c>
      <c r="NG702" s="770">
        <v>1</v>
      </c>
      <c r="NH702" s="770">
        <v>1</v>
      </c>
      <c r="NI702" s="770">
        <v>0</v>
      </c>
      <c r="NJ702" s="770">
        <v>0</v>
      </c>
      <c r="NK702" s="770">
        <v>0</v>
      </c>
      <c r="NL702" s="770">
        <v>0</v>
      </c>
      <c r="NM702" s="770">
        <v>0</v>
      </c>
      <c r="NN702" s="770">
        <v>0</v>
      </c>
      <c r="NO702" s="770">
        <v>0</v>
      </c>
      <c r="NP702" s="770">
        <v>0</v>
      </c>
      <c r="NQ702" s="770">
        <v>0</v>
      </c>
      <c r="NR702" s="770">
        <v>0</v>
      </c>
      <c r="NS702" s="770">
        <v>0</v>
      </c>
      <c r="NT702" s="770">
        <v>0</v>
      </c>
      <c r="NU702" s="770">
        <v>0</v>
      </c>
      <c r="NV702" s="770">
        <v>0</v>
      </c>
      <c r="NW702" s="770">
        <v>0</v>
      </c>
      <c r="NX702" s="770">
        <v>0</v>
      </c>
      <c r="NY702" s="770" t="s">
        <v>1208</v>
      </c>
      <c r="NZ702" s="770" t="s">
        <v>1208</v>
      </c>
      <c r="OA702" s="770" t="s">
        <v>1208</v>
      </c>
      <c r="OB702" s="770" t="s">
        <v>1208</v>
      </c>
      <c r="OC702" s="770" t="s">
        <v>1208</v>
      </c>
      <c r="OD702" s="770"/>
      <c r="OE702" s="770"/>
      <c r="OF702" s="770"/>
      <c r="OG702" s="770"/>
      <c r="OH702" s="770"/>
      <c r="OI702" s="770"/>
      <c r="OJ702" s="770"/>
      <c r="OK702" s="770"/>
      <c r="OL702" s="770"/>
      <c r="OM702" s="770"/>
      <c r="ON702" s="770"/>
      <c r="OO702" s="770"/>
      <c r="OP702" s="770"/>
      <c r="OQ702" s="770"/>
      <c r="OR702" s="770"/>
      <c r="OS702" s="770"/>
      <c r="OT702" s="770"/>
      <c r="OU702" s="770"/>
      <c r="OV702" s="770"/>
      <c r="OW702" s="770"/>
      <c r="OX702" s="770"/>
      <c r="OY702" s="770"/>
      <c r="OZ702" s="770"/>
      <c r="PA702" s="770"/>
      <c r="PB702" s="770"/>
      <c r="PC702" s="770"/>
      <c r="PD702" s="770"/>
      <c r="PE702" s="770"/>
      <c r="PF702" s="770"/>
      <c r="PG702" s="770"/>
      <c r="PH702" s="770"/>
      <c r="PI702" s="770"/>
      <c r="PJ702" s="770"/>
      <c r="PK702" s="770" t="s">
        <v>1208</v>
      </c>
      <c r="PL702" s="770"/>
      <c r="PM702" s="770"/>
      <c r="PN702" s="770" t="s">
        <v>1208</v>
      </c>
      <c r="PO702" s="770"/>
      <c r="PP702" s="770"/>
      <c r="PQ702" s="770"/>
      <c r="PR702" s="770"/>
      <c r="PS702" s="770"/>
      <c r="PT702" s="770"/>
      <c r="PU702" s="770"/>
      <c r="PV702" s="770"/>
      <c r="PW702" s="770"/>
      <c r="PX702" s="770"/>
      <c r="PY702" s="770"/>
      <c r="PZ702" s="770"/>
      <c r="QA702" s="770"/>
      <c r="QB702" s="770"/>
      <c r="QC702" s="770"/>
      <c r="QD702" s="770"/>
      <c r="QE702" s="770"/>
      <c r="QF702" s="770"/>
      <c r="QG702" s="770"/>
      <c r="QH702" s="770"/>
      <c r="QI702" s="770"/>
      <c r="QJ702" s="770"/>
      <c r="QK702" s="770"/>
      <c r="QL702" s="770"/>
      <c r="QM702" s="770"/>
      <c r="QN702" s="770"/>
      <c r="QO702" s="770"/>
      <c r="QP702" s="770"/>
      <c r="QQ702" s="770"/>
      <c r="QR702" s="770"/>
      <c r="QS702" s="770"/>
      <c r="QT702" s="770"/>
      <c r="QU702" s="770"/>
      <c r="QV702" s="770"/>
      <c r="QW702" s="770"/>
      <c r="QX702" s="770"/>
      <c r="QY702" s="770"/>
      <c r="QZ702" s="770"/>
      <c r="RA702" s="770"/>
      <c r="RB702" s="770" t="s">
        <v>1207</v>
      </c>
      <c r="RC702" s="770">
        <v>2014</v>
      </c>
      <c r="RD702" s="770" t="s">
        <v>13251</v>
      </c>
      <c r="RE702" s="770" t="s">
        <v>12999</v>
      </c>
      <c r="RF702" s="304">
        <v>1</v>
      </c>
      <c r="RG702" s="770" t="s">
        <v>13474</v>
      </c>
      <c r="RH702" s="306">
        <v>3000</v>
      </c>
      <c r="RI702" s="770">
        <v>2</v>
      </c>
      <c r="RJ702" s="94" t="s">
        <v>4571</v>
      </c>
      <c r="RK702" s="770" t="s">
        <v>13552</v>
      </c>
      <c r="RL702" s="1710">
        <v>42844</v>
      </c>
      <c r="RM702" s="12"/>
      <c r="RN702" s="1711"/>
      <c r="RO702" s="149" t="s">
        <v>4572</v>
      </c>
      <c r="RP702" s="11"/>
      <c r="RQ702" s="11"/>
      <c r="RR702" s="17"/>
      <c r="RS702" s="767"/>
      <c r="RT702" s="11"/>
      <c r="RU702" s="11"/>
      <c r="RV702" s="771" t="s">
        <v>13915</v>
      </c>
      <c r="RW702" s="11" t="s">
        <v>7437</v>
      </c>
      <c r="RX702" s="11" t="s">
        <v>3101</v>
      </c>
      <c r="RY702" s="11"/>
      <c r="RZ702" s="11" t="s">
        <v>2209</v>
      </c>
      <c r="SA702" s="771"/>
      <c r="SB702" s="11"/>
      <c r="SC702" s="11"/>
    </row>
    <row r="703" spans="1:497" ht="12.75" hidden="1" customHeight="1">
      <c r="A703" s="343" t="s">
        <v>7419</v>
      </c>
      <c r="B703" s="292" t="s">
        <v>8020</v>
      </c>
      <c r="C703" s="149" t="s">
        <v>4573</v>
      </c>
      <c r="D703" s="94" t="s">
        <v>4574</v>
      </c>
      <c r="E703" s="766" t="s">
        <v>4575</v>
      </c>
      <c r="F703" s="770" t="s">
        <v>28</v>
      </c>
      <c r="G703" s="770" t="s">
        <v>18</v>
      </c>
      <c r="H703" s="295" t="s">
        <v>4579</v>
      </c>
      <c r="I703" s="295"/>
      <c r="J703" s="94" t="s">
        <v>4574</v>
      </c>
      <c r="K703" s="766" t="s">
        <v>4580</v>
      </c>
      <c r="L703" s="766" t="s">
        <v>3152</v>
      </c>
      <c r="M703" s="770" t="s">
        <v>1238</v>
      </c>
      <c r="N703" s="1757" t="s">
        <v>7233</v>
      </c>
      <c r="O703" s="1757" t="s">
        <v>7234</v>
      </c>
      <c r="P703" s="770" t="s">
        <v>4581</v>
      </c>
      <c r="Q703" s="1088">
        <v>21522</v>
      </c>
      <c r="R703" s="297">
        <v>58</v>
      </c>
      <c r="S703" s="770" t="s">
        <v>18</v>
      </c>
      <c r="T703" s="295" t="s">
        <v>4579</v>
      </c>
      <c r="U703" s="298"/>
      <c r="V703" s="770" t="s">
        <v>707</v>
      </c>
      <c r="W703" s="770"/>
      <c r="X703" s="770"/>
      <c r="Y703" s="770" t="s">
        <v>4575</v>
      </c>
      <c r="Z703" s="770" t="s">
        <v>708</v>
      </c>
      <c r="AA703" s="770" t="s">
        <v>709</v>
      </c>
      <c r="AB703" s="12"/>
      <c r="AC703" s="770"/>
      <c r="AD703" s="770"/>
      <c r="AE703" s="770"/>
      <c r="AF703" s="770" t="s">
        <v>712</v>
      </c>
      <c r="AG703" s="766" t="s">
        <v>1132</v>
      </c>
      <c r="AH703" s="766" t="s">
        <v>1096</v>
      </c>
      <c r="AI703" s="770"/>
      <c r="AJ703" s="770" t="s">
        <v>1137</v>
      </c>
      <c r="AK703" s="766" t="s">
        <v>1097</v>
      </c>
      <c r="AL703" s="531">
        <v>41.4</v>
      </c>
      <c r="AM703" s="780">
        <v>4.95</v>
      </c>
      <c r="AN703" s="532">
        <f t="shared" si="214"/>
        <v>0.11956521739130435</v>
      </c>
      <c r="AO703" s="766" t="s">
        <v>1109</v>
      </c>
      <c r="AP703" s="1775" t="s">
        <v>5368</v>
      </c>
      <c r="AQ703" s="766" t="s">
        <v>7232</v>
      </c>
      <c r="AR703" s="766">
        <v>2016</v>
      </c>
      <c r="AS703" s="770"/>
      <c r="AT703" s="770"/>
      <c r="AU703" s="770"/>
      <c r="AV703" s="770"/>
      <c r="AW703" s="770"/>
      <c r="AX703" s="13"/>
      <c r="AY703" s="770"/>
      <c r="AZ703" s="770"/>
      <c r="BA703" s="770"/>
      <c r="BB703" s="770"/>
      <c r="BC703" s="766" t="s">
        <v>4583</v>
      </c>
      <c r="BD703" s="770"/>
      <c r="BE703" s="770"/>
      <c r="BF703" s="302"/>
      <c r="BG703" s="302"/>
      <c r="BH703" s="770"/>
      <c r="BI703" s="770"/>
      <c r="BJ703" s="770"/>
      <c r="BK703" s="766" t="s">
        <v>1095</v>
      </c>
      <c r="BL703" s="766" t="s">
        <v>4584</v>
      </c>
      <c r="BM703" s="766" t="s">
        <v>1096</v>
      </c>
      <c r="BN703" s="766" t="s">
        <v>1230</v>
      </c>
      <c r="BO703" s="766" t="s">
        <v>1239</v>
      </c>
      <c r="BP703" s="765">
        <v>82.8</v>
      </c>
      <c r="BQ703" s="773">
        <v>9.9</v>
      </c>
      <c r="BR703" s="774">
        <f t="shared" si="215"/>
        <v>0.11956521739130435</v>
      </c>
      <c r="BS703" s="766" t="s">
        <v>1242</v>
      </c>
      <c r="BT703" s="766" t="s">
        <v>2040</v>
      </c>
      <c r="BU703" s="770" t="s">
        <v>1249</v>
      </c>
      <c r="BV703" s="770" t="s">
        <v>1247</v>
      </c>
      <c r="BW703" s="770">
        <v>1980</v>
      </c>
      <c r="BX703" s="302"/>
      <c r="BY703" s="770"/>
      <c r="BZ703" s="302"/>
      <c r="CA703" s="770"/>
      <c r="CB703" s="770" t="s">
        <v>1207</v>
      </c>
      <c r="CC703" s="770" t="s">
        <v>4584</v>
      </c>
      <c r="CD703" s="770">
        <v>2016</v>
      </c>
      <c r="CE703" s="302"/>
      <c r="CF703" s="304">
        <v>1</v>
      </c>
      <c r="CG703" s="321">
        <v>5</v>
      </c>
      <c r="CH703" s="770" t="s">
        <v>2545</v>
      </c>
      <c r="CI703" s="770"/>
      <c r="CJ703" s="770" t="s">
        <v>4586</v>
      </c>
      <c r="CK703" s="770">
        <v>5</v>
      </c>
      <c r="CL703" s="770"/>
      <c r="CM703" s="770" t="s">
        <v>3399</v>
      </c>
      <c r="CN703" s="770"/>
      <c r="CO703" s="770" t="s">
        <v>4585</v>
      </c>
      <c r="CP703" s="770"/>
      <c r="CQ703" s="770"/>
      <c r="CR703" s="302"/>
      <c r="CS703" s="770"/>
      <c r="CT703" s="770"/>
      <c r="CU703" s="305"/>
      <c r="CV703" s="770"/>
      <c r="CW703" s="770"/>
      <c r="CX703" s="770"/>
      <c r="CY703" s="770"/>
      <c r="CZ703" s="770"/>
      <c r="DA703" s="306"/>
      <c r="DB703" s="770"/>
      <c r="DC703" s="770"/>
      <c r="DD703" s="770"/>
      <c r="DE703" s="300"/>
      <c r="DF703" s="770"/>
      <c r="DG703" s="770"/>
      <c r="DH703" s="770"/>
      <c r="DI703" s="770"/>
      <c r="DJ703" s="770"/>
      <c r="DK703" s="770"/>
      <c r="DL703" s="770"/>
      <c r="DM703" s="770"/>
      <c r="DN703" s="322"/>
      <c r="DO703" s="770"/>
      <c r="DP703" s="770"/>
      <c r="DQ703" s="770"/>
      <c r="DR703" s="770"/>
      <c r="DS703" s="307"/>
      <c r="DT703" s="770"/>
      <c r="DU703" s="770"/>
      <c r="DV703" s="770"/>
      <c r="DW703" s="306"/>
      <c r="DX703" s="306"/>
      <c r="DY703" s="1055"/>
      <c r="DZ703" s="770"/>
      <c r="EA703" s="770"/>
      <c r="EB703" s="770"/>
      <c r="EC703" s="770"/>
      <c r="ED703" s="770"/>
      <c r="EE703" s="770"/>
      <c r="EF703" s="770"/>
      <c r="EG703" s="770"/>
      <c r="EH703" s="770"/>
      <c r="EI703" s="770"/>
      <c r="EJ703" s="770"/>
      <c r="EK703" s="770"/>
      <c r="EL703" s="770"/>
      <c r="EM703" s="770"/>
      <c r="EN703" s="770"/>
      <c r="EO703" s="770"/>
      <c r="EP703" s="94"/>
      <c r="EQ703" s="770"/>
      <c r="ER703" s="770"/>
      <c r="ES703" s="770"/>
      <c r="ET703" s="770"/>
      <c r="EU703" s="770"/>
      <c r="EV703" s="770"/>
      <c r="EW703" s="770"/>
      <c r="EX703" s="770"/>
      <c r="EY703" s="770"/>
      <c r="EZ703" s="770"/>
      <c r="FA703" s="770"/>
      <c r="FB703" s="770"/>
      <c r="FC703" s="770"/>
      <c r="FD703" s="302"/>
      <c r="FE703" s="770"/>
      <c r="FF703" s="770"/>
      <c r="FG703" s="770"/>
      <c r="FH703" s="770" t="s">
        <v>478</v>
      </c>
      <c r="FI703" s="770">
        <v>2</v>
      </c>
      <c r="FJ703" s="770"/>
      <c r="FK703" s="770"/>
      <c r="FL703" s="770"/>
      <c r="FM703" s="302"/>
      <c r="FN703" s="302"/>
      <c r="FO703" s="302"/>
      <c r="FP703" s="770" t="s">
        <v>1600</v>
      </c>
      <c r="FQ703" s="770" t="s">
        <v>3940</v>
      </c>
      <c r="FR703" s="770" t="s">
        <v>1214</v>
      </c>
      <c r="FS703" s="770"/>
      <c r="FT703" s="770"/>
      <c r="FU703" s="770"/>
      <c r="FV703" s="770"/>
      <c r="FW703" s="770"/>
      <c r="FX703" s="770"/>
      <c r="FY703" s="770"/>
      <c r="FZ703" s="770"/>
      <c r="GA703" s="770"/>
      <c r="GB703" s="770" t="s">
        <v>1734</v>
      </c>
      <c r="GC703" s="308"/>
      <c r="GD703" s="297">
        <v>1980</v>
      </c>
      <c r="GE703" s="770" t="s">
        <v>1214</v>
      </c>
      <c r="GF703" s="302"/>
      <c r="GG703" s="302"/>
      <c r="GH703" s="770"/>
      <c r="GI703" s="770"/>
      <c r="GJ703" s="770"/>
      <c r="GK703" s="770"/>
      <c r="GL703" s="770"/>
      <c r="GM703" s="770"/>
      <c r="GN703" s="299"/>
      <c r="GO703" s="770"/>
      <c r="GP703" s="770"/>
      <c r="GQ703" s="770"/>
      <c r="GR703" s="770"/>
      <c r="GS703" s="770"/>
      <c r="GT703" s="770"/>
      <c r="GU703" s="770"/>
      <c r="GV703" s="770"/>
      <c r="GW703" s="770"/>
      <c r="GX703" s="770"/>
      <c r="GY703" s="770"/>
      <c r="GZ703" s="770"/>
      <c r="HA703" s="770"/>
      <c r="HB703" s="770"/>
      <c r="HC703" s="770"/>
      <c r="HD703" s="770"/>
      <c r="HE703" s="770"/>
      <c r="HF703" s="770"/>
      <c r="HG703" s="770"/>
      <c r="HH703" s="770"/>
      <c r="HI703" s="770"/>
      <c r="HJ703" s="770"/>
      <c r="HK703" s="770"/>
      <c r="HL703" s="770"/>
      <c r="HM703" s="770"/>
      <c r="HN703" s="770"/>
      <c r="HO703" s="770"/>
      <c r="HP703" s="770"/>
      <c r="HQ703" s="770"/>
      <c r="HR703" s="770">
        <v>1</v>
      </c>
      <c r="HS703" s="770"/>
      <c r="HT703" s="770"/>
      <c r="HU703" s="770"/>
      <c r="HV703" s="770"/>
      <c r="HW703" s="770"/>
      <c r="HX703" s="770"/>
      <c r="HY703" s="770"/>
      <c r="HZ703" s="770"/>
      <c r="IA703" s="770"/>
      <c r="IB703" s="770"/>
      <c r="IC703" s="770" t="s">
        <v>1207</v>
      </c>
      <c r="ID703" s="770">
        <v>1</v>
      </c>
      <c r="IE703" s="770"/>
      <c r="IF703" s="770"/>
      <c r="IG703" s="770"/>
      <c r="IH703" s="770"/>
      <c r="II703" s="770"/>
      <c r="IJ703" s="770"/>
      <c r="IK703" s="770"/>
      <c r="IL703" s="770"/>
      <c r="IM703" s="770"/>
      <c r="IN703" s="770"/>
      <c r="IO703" s="296"/>
      <c r="IP703" s="770"/>
      <c r="IQ703" s="770"/>
      <c r="IR703" s="770"/>
      <c r="IS703" s="770"/>
      <c r="IT703" s="770"/>
      <c r="IU703" s="770"/>
      <c r="IV703" s="770"/>
      <c r="IW703" s="770"/>
      <c r="IX703" s="770"/>
      <c r="IY703" s="770"/>
      <c r="IZ703" s="770"/>
      <c r="JA703" s="770"/>
      <c r="JB703" s="770"/>
      <c r="JC703" s="770"/>
      <c r="JD703" s="302"/>
      <c r="JE703" s="770"/>
      <c r="JF703" s="770"/>
      <c r="JG703" s="770"/>
      <c r="JH703" s="307"/>
      <c r="JI703" s="307"/>
      <c r="JJ703" s="770">
        <v>5</v>
      </c>
      <c r="JK703" s="770" t="s">
        <v>4587</v>
      </c>
      <c r="JL703" s="770"/>
      <c r="JM703" s="770"/>
      <c r="JN703" s="770">
        <v>3</v>
      </c>
      <c r="JO703" s="770">
        <v>1</v>
      </c>
      <c r="JP703" s="770">
        <v>1</v>
      </c>
      <c r="JQ703" s="770"/>
      <c r="JR703" s="770"/>
      <c r="JS703" s="770"/>
      <c r="JT703" s="766">
        <f t="shared" si="213"/>
        <v>4</v>
      </c>
      <c r="JU703" s="766">
        <f t="shared" si="213"/>
        <v>1</v>
      </c>
      <c r="JV703" s="766"/>
      <c r="JW703" s="766"/>
      <c r="JX703" s="770"/>
      <c r="JY703" s="770"/>
      <c r="JZ703" s="770"/>
      <c r="KA703" s="770"/>
      <c r="KB703" s="770">
        <v>1</v>
      </c>
      <c r="KC703" s="770"/>
      <c r="KD703" s="770">
        <v>3</v>
      </c>
      <c r="KE703" s="770"/>
      <c r="KF703" s="770"/>
      <c r="KG703" s="770">
        <v>1</v>
      </c>
      <c r="KH703" s="770"/>
      <c r="KI703" s="770"/>
      <c r="KJ703" s="770">
        <f t="shared" si="204"/>
        <v>4</v>
      </c>
      <c r="KK703" s="770">
        <f t="shared" si="204"/>
        <v>1</v>
      </c>
      <c r="KL703" s="770"/>
      <c r="KM703" s="770"/>
      <c r="KN703" s="770" t="s">
        <v>707</v>
      </c>
      <c r="KO703" s="770"/>
      <c r="KP703" s="770"/>
      <c r="KQ703" s="770"/>
      <c r="KR703" s="770"/>
      <c r="KS703" s="770"/>
      <c r="KT703" s="770"/>
      <c r="KU703" s="770"/>
      <c r="KV703" s="770"/>
      <c r="KW703" s="770"/>
      <c r="KX703" s="770">
        <v>1</v>
      </c>
      <c r="KY703" s="770"/>
      <c r="KZ703" s="770"/>
      <c r="LA703" s="770">
        <v>1</v>
      </c>
      <c r="LB703" s="770">
        <v>1</v>
      </c>
      <c r="LC703" s="770"/>
      <c r="LD703" s="770">
        <v>2</v>
      </c>
      <c r="LE703" s="770"/>
      <c r="LF703" s="770"/>
      <c r="LG703" s="770"/>
      <c r="LH703" s="770"/>
      <c r="LI703" s="770"/>
      <c r="LJ703" s="770"/>
      <c r="LK703" s="770"/>
      <c r="LL703" s="770"/>
      <c r="LM703" s="770"/>
      <c r="LN703" s="766">
        <f t="shared" si="209"/>
        <v>4</v>
      </c>
      <c r="LO703" s="766">
        <f t="shared" si="209"/>
        <v>1</v>
      </c>
      <c r="LP703" s="770">
        <v>3</v>
      </c>
      <c r="LQ703" s="770"/>
      <c r="LR703" s="770"/>
      <c r="LS703" s="770">
        <v>3</v>
      </c>
      <c r="LT703" s="770"/>
      <c r="LU703" s="770"/>
      <c r="LV703" s="770"/>
      <c r="LW703" s="770"/>
      <c r="LX703" s="769">
        <v>1</v>
      </c>
      <c r="LY703" s="766" t="str">
        <f t="shared" si="210"/>
        <v>within the BRGY</v>
      </c>
      <c r="LZ703" s="1709"/>
      <c r="MA703" s="1709"/>
      <c r="MB703" s="1709">
        <v>200</v>
      </c>
      <c r="MC703" s="1679">
        <f t="shared" si="208"/>
        <v>200</v>
      </c>
      <c r="MD703" s="1709"/>
      <c r="ME703" s="1709"/>
      <c r="MF703" s="1709">
        <f>SUM(10000,10000)</f>
        <v>20000</v>
      </c>
      <c r="MG703" s="1680">
        <f t="shared" si="199"/>
        <v>20000</v>
      </c>
      <c r="MH703" s="770" t="s">
        <v>2206</v>
      </c>
      <c r="MI703" s="302">
        <f>500*30</f>
        <v>15000</v>
      </c>
      <c r="MJ703" s="302">
        <v>500</v>
      </c>
      <c r="MK703" s="302">
        <v>15000</v>
      </c>
      <c r="ML703" s="302"/>
      <c r="MM703" s="302"/>
      <c r="MN703" s="302"/>
      <c r="MO703" s="302">
        <v>400</v>
      </c>
      <c r="MP703" s="302">
        <v>400</v>
      </c>
      <c r="MQ703" s="302">
        <v>390</v>
      </c>
      <c r="MR703" s="302">
        <v>500</v>
      </c>
      <c r="MS703" s="302"/>
      <c r="MT703" s="302"/>
      <c r="MU703" s="302"/>
      <c r="MV703" s="302"/>
      <c r="MW703" s="302"/>
      <c r="MX703" s="302"/>
      <c r="MY703" s="1682">
        <f t="shared" si="200"/>
        <v>32190</v>
      </c>
      <c r="MZ703" s="770" t="s">
        <v>13370</v>
      </c>
      <c r="NA703" s="770" t="s">
        <v>13005</v>
      </c>
      <c r="NB703" s="770" t="s">
        <v>13016</v>
      </c>
      <c r="NC703" s="770" t="s">
        <v>13621</v>
      </c>
      <c r="ND703" s="770">
        <v>0</v>
      </c>
      <c r="NE703" s="770">
        <v>0</v>
      </c>
      <c r="NF703" s="770">
        <v>0</v>
      </c>
      <c r="NG703" s="770">
        <v>1</v>
      </c>
      <c r="NH703" s="770">
        <v>0</v>
      </c>
      <c r="NI703" s="770">
        <v>0</v>
      </c>
      <c r="NJ703" s="770">
        <v>0</v>
      </c>
      <c r="NK703" s="770">
        <v>0</v>
      </c>
      <c r="NL703" s="770">
        <v>1</v>
      </c>
      <c r="NM703" s="770">
        <v>0</v>
      </c>
      <c r="NN703" s="770">
        <v>0</v>
      </c>
      <c r="NO703" s="770">
        <v>0</v>
      </c>
      <c r="NP703" s="770">
        <v>0</v>
      </c>
      <c r="NQ703" s="770">
        <v>0</v>
      </c>
      <c r="NR703" s="770">
        <v>0</v>
      </c>
      <c r="NS703" s="770">
        <v>0</v>
      </c>
      <c r="NT703" s="770">
        <v>0</v>
      </c>
      <c r="NU703" s="770">
        <v>0</v>
      </c>
      <c r="NV703" s="770">
        <v>0</v>
      </c>
      <c r="NW703" s="770">
        <v>0</v>
      </c>
      <c r="NX703" s="770">
        <v>0</v>
      </c>
      <c r="NY703" s="770" t="s">
        <v>1208</v>
      </c>
      <c r="NZ703" s="770" t="s">
        <v>1208</v>
      </c>
      <c r="OA703" s="770" t="s">
        <v>1208</v>
      </c>
      <c r="OB703" s="770" t="s">
        <v>1208</v>
      </c>
      <c r="OC703" s="770" t="s">
        <v>1208</v>
      </c>
      <c r="OD703" s="770" t="s">
        <v>1208</v>
      </c>
      <c r="OE703" s="770"/>
      <c r="OF703" s="770"/>
      <c r="OG703" s="770"/>
      <c r="OH703" s="770"/>
      <c r="OI703" s="770"/>
      <c r="OJ703" s="770"/>
      <c r="OK703" s="770"/>
      <c r="OL703" s="770"/>
      <c r="OM703" s="770"/>
      <c r="ON703" s="770"/>
      <c r="OO703" s="770"/>
      <c r="OP703" s="770"/>
      <c r="OQ703" s="770"/>
      <c r="OR703" s="770"/>
      <c r="OS703" s="770"/>
      <c r="OT703" s="770"/>
      <c r="OU703" s="770"/>
      <c r="OV703" s="770"/>
      <c r="OW703" s="770"/>
      <c r="OX703" s="770"/>
      <c r="OY703" s="770"/>
      <c r="OZ703" s="770"/>
      <c r="PA703" s="770"/>
      <c r="PB703" s="770"/>
      <c r="PC703" s="770"/>
      <c r="PD703" s="770"/>
      <c r="PE703" s="770"/>
      <c r="PF703" s="770"/>
      <c r="PG703" s="770"/>
      <c r="PH703" s="770"/>
      <c r="PI703" s="770"/>
      <c r="PJ703" s="770"/>
      <c r="PK703" s="770" t="s">
        <v>1208</v>
      </c>
      <c r="PL703" s="770"/>
      <c r="PM703" s="770" t="s">
        <v>1208</v>
      </c>
      <c r="PN703" s="770"/>
      <c r="PO703" s="770"/>
      <c r="PP703" s="770"/>
      <c r="PQ703" s="770"/>
      <c r="PR703" s="770"/>
      <c r="PS703" s="770"/>
      <c r="PT703" s="770"/>
      <c r="PU703" s="770"/>
      <c r="PV703" s="770"/>
      <c r="PW703" s="770"/>
      <c r="PX703" s="770"/>
      <c r="PY703" s="770"/>
      <c r="PZ703" s="770"/>
      <c r="QA703" s="770"/>
      <c r="QB703" s="770"/>
      <c r="QC703" s="770"/>
      <c r="QD703" s="770"/>
      <c r="QE703" s="770"/>
      <c r="QF703" s="770"/>
      <c r="QG703" s="770"/>
      <c r="QH703" s="770"/>
      <c r="QI703" s="770"/>
      <c r="QJ703" s="770"/>
      <c r="QK703" s="770"/>
      <c r="QL703" s="770"/>
      <c r="QM703" s="770"/>
      <c r="QN703" s="770"/>
      <c r="QO703" s="770"/>
      <c r="QP703" s="770"/>
      <c r="QQ703" s="770"/>
      <c r="QR703" s="770"/>
      <c r="QS703" s="770"/>
      <c r="QT703" s="770"/>
      <c r="QU703" s="770"/>
      <c r="QV703" s="770"/>
      <c r="QW703" s="770"/>
      <c r="QX703" s="770"/>
      <c r="QY703" s="770"/>
      <c r="QZ703" s="770"/>
      <c r="RA703" s="770"/>
      <c r="RB703" s="770" t="s">
        <v>1214</v>
      </c>
      <c r="RC703" s="770"/>
      <c r="RD703" s="770"/>
      <c r="RE703" s="770"/>
      <c r="RF703" s="304"/>
      <c r="RG703" s="770"/>
      <c r="RH703" s="306"/>
      <c r="RI703" s="770"/>
      <c r="RJ703" s="94" t="s">
        <v>4587</v>
      </c>
      <c r="RK703" s="770" t="s">
        <v>13552</v>
      </c>
      <c r="RL703" s="1710">
        <v>42844</v>
      </c>
      <c r="RM703" s="12"/>
      <c r="RN703" s="1711"/>
      <c r="RO703" s="149" t="s">
        <v>4573</v>
      </c>
      <c r="RP703" s="11"/>
      <c r="RQ703" s="11"/>
      <c r="RR703" s="17"/>
      <c r="RS703" s="767"/>
      <c r="RT703" s="11"/>
      <c r="RU703" s="11"/>
      <c r="RV703" s="771"/>
      <c r="RW703" s="11" t="s">
        <v>11327</v>
      </c>
      <c r="RX703" s="11" t="s">
        <v>3111</v>
      </c>
      <c r="RY703" s="11"/>
      <c r="RZ703" s="11" t="s">
        <v>2209</v>
      </c>
      <c r="SA703" s="771"/>
      <c r="SB703" s="11"/>
      <c r="SC703" s="11"/>
    </row>
    <row r="704" spans="1:497" ht="12.75" customHeight="1">
      <c r="A704" s="19" t="s">
        <v>7421</v>
      </c>
      <c r="B704" s="809" t="s">
        <v>8021</v>
      </c>
      <c r="C704" s="149" t="s">
        <v>4588</v>
      </c>
      <c r="D704" s="94" t="s">
        <v>4590</v>
      </c>
      <c r="E704" s="766" t="s">
        <v>4591</v>
      </c>
      <c r="F704" s="770" t="s">
        <v>28</v>
      </c>
      <c r="G704" s="770" t="s">
        <v>10</v>
      </c>
      <c r="H704" s="295"/>
      <c r="I704" s="295"/>
      <c r="J704" s="94" t="s">
        <v>4590</v>
      </c>
      <c r="K704" s="766" t="s">
        <v>4592</v>
      </c>
      <c r="L704" s="766" t="s">
        <v>4593</v>
      </c>
      <c r="M704" s="770" t="s">
        <v>1238</v>
      </c>
      <c r="N704" s="1757" t="s">
        <v>7233</v>
      </c>
      <c r="O704" s="1757" t="s">
        <v>7234</v>
      </c>
      <c r="P704" s="94" t="s">
        <v>4594</v>
      </c>
      <c r="Q704" s="1088">
        <v>25188</v>
      </c>
      <c r="R704" s="297">
        <v>50</v>
      </c>
      <c r="S704" s="770" t="s">
        <v>10</v>
      </c>
      <c r="T704" s="770"/>
      <c r="U704" s="295"/>
      <c r="V704" s="770" t="s">
        <v>2970</v>
      </c>
      <c r="W704" s="770"/>
      <c r="X704" s="770"/>
      <c r="Y704" s="770" t="s">
        <v>4591</v>
      </c>
      <c r="Z704" s="770" t="s">
        <v>708</v>
      </c>
      <c r="AA704" s="770" t="s">
        <v>709</v>
      </c>
      <c r="AB704" s="770" t="s">
        <v>744</v>
      </c>
      <c r="AC704" s="770" t="s">
        <v>724</v>
      </c>
      <c r="AD704" s="770" t="s">
        <v>711</v>
      </c>
      <c r="AE704" s="770"/>
      <c r="AF704" s="770" t="s">
        <v>712</v>
      </c>
      <c r="AG704" s="766" t="s">
        <v>1132</v>
      </c>
      <c r="AH704" s="766" t="s">
        <v>1096</v>
      </c>
      <c r="AI704" s="770"/>
      <c r="AJ704" s="770" t="s">
        <v>1137</v>
      </c>
      <c r="AK704" s="770" t="s">
        <v>1101</v>
      </c>
      <c r="AL704" s="531">
        <v>16.100000000000001</v>
      </c>
      <c r="AM704" s="780">
        <v>16.100000000000001</v>
      </c>
      <c r="AN704" s="532">
        <f t="shared" si="214"/>
        <v>1</v>
      </c>
      <c r="AO704" s="766" t="s">
        <v>1122</v>
      </c>
      <c r="AP704" s="766"/>
      <c r="AQ704" s="766"/>
      <c r="AR704" s="766"/>
      <c r="AS704" s="770"/>
      <c r="AT704" s="770"/>
      <c r="AU704" s="770"/>
      <c r="AV704" s="770"/>
      <c r="AW704" s="770"/>
      <c r="AX704" s="770"/>
      <c r="AY704" s="770"/>
      <c r="AZ704" s="770"/>
      <c r="BA704" s="770"/>
      <c r="BB704" s="770"/>
      <c r="BC704" s="766"/>
      <c r="BD704" s="770"/>
      <c r="BE704" s="770"/>
      <c r="BF704" s="302"/>
      <c r="BG704" s="302"/>
      <c r="BH704" s="770"/>
      <c r="BI704" s="770"/>
      <c r="BJ704" s="770"/>
      <c r="BK704" s="766" t="s">
        <v>1095</v>
      </c>
      <c r="BL704" s="766" t="s">
        <v>4595</v>
      </c>
      <c r="BM704" s="766" t="s">
        <v>1096</v>
      </c>
      <c r="BN704" s="766" t="s">
        <v>1230</v>
      </c>
      <c r="BO704" s="766" t="s">
        <v>1246</v>
      </c>
      <c r="BP704" s="1109">
        <v>16.100000000000001</v>
      </c>
      <c r="BQ704" s="773">
        <v>16.100000000000001</v>
      </c>
      <c r="BR704" s="774">
        <f t="shared" si="215"/>
        <v>1</v>
      </c>
      <c r="BS704" s="766" t="s">
        <v>1257</v>
      </c>
      <c r="BT704" s="770" t="s">
        <v>1326</v>
      </c>
      <c r="BU704" s="766" t="s">
        <v>1264</v>
      </c>
      <c r="BV704" s="770" t="s">
        <v>2432</v>
      </c>
      <c r="BW704" s="770">
        <v>2000</v>
      </c>
      <c r="BX704" s="302"/>
      <c r="BY704" s="770"/>
      <c r="BZ704" s="302"/>
      <c r="CA704" s="770"/>
      <c r="CB704" s="770"/>
      <c r="CC704" s="770"/>
      <c r="CD704" s="770"/>
      <c r="CE704" s="302"/>
      <c r="CF704" s="304"/>
      <c r="CG704" s="321"/>
      <c r="CH704" s="770"/>
      <c r="CI704" s="770"/>
      <c r="CJ704" s="770"/>
      <c r="CK704" s="770"/>
      <c r="CL704" s="770"/>
      <c r="CM704" s="770"/>
      <c r="CN704" s="770"/>
      <c r="CO704" s="770"/>
      <c r="CP704" s="770"/>
      <c r="CQ704" s="770"/>
      <c r="CR704" s="302"/>
      <c r="CS704" s="770"/>
      <c r="CT704" s="770"/>
      <c r="CU704" s="305"/>
      <c r="CV704" s="770"/>
      <c r="CW704" s="770"/>
      <c r="CX704" s="770"/>
      <c r="CY704" s="770"/>
      <c r="CZ704" s="770"/>
      <c r="DA704" s="306"/>
      <c r="DB704" s="770"/>
      <c r="DC704" s="770"/>
      <c r="DD704" s="770"/>
      <c r="DE704" s="300"/>
      <c r="DF704" s="770"/>
      <c r="DG704" s="770"/>
      <c r="DH704" s="770"/>
      <c r="DI704" s="770"/>
      <c r="DJ704" s="770"/>
      <c r="DK704" s="770"/>
      <c r="DL704" s="770"/>
      <c r="DM704" s="770"/>
      <c r="DN704" s="322"/>
      <c r="DO704" s="770"/>
      <c r="DP704" s="770"/>
      <c r="DQ704" s="770"/>
      <c r="DR704" s="770"/>
      <c r="DS704" s="307"/>
      <c r="DT704" s="770"/>
      <c r="DU704" s="770"/>
      <c r="DV704" s="770"/>
      <c r="DW704" s="306"/>
      <c r="DX704" s="306"/>
      <c r="DY704" s="1055"/>
      <c r="DZ704" s="770"/>
      <c r="EA704" s="770"/>
      <c r="EB704" s="770"/>
      <c r="EC704" s="770"/>
      <c r="ED704" s="770"/>
      <c r="EE704" s="770"/>
      <c r="EF704" s="770"/>
      <c r="EG704" s="770"/>
      <c r="EH704" s="770"/>
      <c r="EI704" s="770"/>
      <c r="EJ704" s="770"/>
      <c r="EK704" s="770"/>
      <c r="EL704" s="770"/>
      <c r="EM704" s="770"/>
      <c r="EN704" s="770"/>
      <c r="EO704" s="770"/>
      <c r="EP704" s="94"/>
      <c r="EQ704" s="770"/>
      <c r="ER704" s="770"/>
      <c r="ES704" s="770"/>
      <c r="ET704" s="770"/>
      <c r="EU704" s="770"/>
      <c r="EV704" s="770"/>
      <c r="EW704" s="770"/>
      <c r="EX704" s="770"/>
      <c r="EY704" s="770"/>
      <c r="EZ704" s="770"/>
      <c r="FA704" s="770"/>
      <c r="FB704" s="770"/>
      <c r="FC704" s="770"/>
      <c r="FD704" s="302"/>
      <c r="FE704" s="770"/>
      <c r="FF704" s="770"/>
      <c r="FG704" s="770"/>
      <c r="FH704" s="770" t="s">
        <v>478</v>
      </c>
      <c r="FI704" s="770">
        <v>1</v>
      </c>
      <c r="FJ704" s="770"/>
      <c r="FK704" s="770"/>
      <c r="FL704" s="770"/>
      <c r="FM704" s="302"/>
      <c r="FN704" s="302"/>
      <c r="FO704" s="302"/>
      <c r="FP704" s="766" t="s">
        <v>1602</v>
      </c>
      <c r="FQ704" s="766" t="s">
        <v>1660</v>
      </c>
      <c r="FR704" s="770" t="s">
        <v>1214</v>
      </c>
      <c r="FS704" s="770"/>
      <c r="FT704" s="770"/>
      <c r="FU704" s="770"/>
      <c r="FV704" s="770"/>
      <c r="FW704" s="770"/>
      <c r="FX704" s="770"/>
      <c r="FY704" s="770"/>
      <c r="FZ704" s="770"/>
      <c r="GA704" s="770"/>
      <c r="GB704" s="770" t="s">
        <v>1734</v>
      </c>
      <c r="GC704" s="308"/>
      <c r="GD704" s="297">
        <v>2002</v>
      </c>
      <c r="GE704" s="770" t="s">
        <v>1214</v>
      </c>
      <c r="GF704" s="302"/>
      <c r="GG704" s="302"/>
      <c r="GH704" s="712" t="s">
        <v>14260</v>
      </c>
      <c r="GI704" s="770"/>
      <c r="GJ704" s="770"/>
      <c r="GK704" s="770"/>
      <c r="GL704" s="770"/>
      <c r="GM704" s="770"/>
      <c r="GN704" s="299"/>
      <c r="GO704" s="770"/>
      <c r="GP704" s="770"/>
      <c r="GQ704" s="770"/>
      <c r="GR704" s="770"/>
      <c r="GS704" s="770"/>
      <c r="GT704" s="770"/>
      <c r="GU704" s="770"/>
      <c r="GV704" s="770"/>
      <c r="GW704" s="770"/>
      <c r="GX704" s="770"/>
      <c r="GY704" s="770"/>
      <c r="GZ704" s="770"/>
      <c r="HA704" s="770"/>
      <c r="HB704" s="770"/>
      <c r="HC704" s="770"/>
      <c r="HD704" s="770"/>
      <c r="HE704" s="770"/>
      <c r="HF704" s="770"/>
      <c r="HG704" s="770"/>
      <c r="HH704" s="770"/>
      <c r="HI704" s="770" t="s">
        <v>1214</v>
      </c>
      <c r="HJ704" s="770"/>
      <c r="HK704" s="770"/>
      <c r="HL704" s="770" t="s">
        <v>1214</v>
      </c>
      <c r="HM704" s="770"/>
      <c r="HN704" s="770"/>
      <c r="HO704" s="770"/>
      <c r="HP704" s="770"/>
      <c r="HQ704" s="770"/>
      <c r="HR704" s="770">
        <v>1</v>
      </c>
      <c r="HS704" s="770"/>
      <c r="HT704" s="770"/>
      <c r="HU704" s="770"/>
      <c r="HV704" s="770"/>
      <c r="HW704" s="770"/>
      <c r="HX704" s="770"/>
      <c r="HY704" s="770"/>
      <c r="HZ704" s="770"/>
      <c r="IA704" s="770"/>
      <c r="IB704" s="14" t="e">
        <f>IF(#REF!&gt;0,IF(#REF!&lt;=10000,"Y",""),"")</f>
        <v>#REF!</v>
      </c>
      <c r="IC704" s="770"/>
      <c r="ID704" s="770">
        <v>2</v>
      </c>
      <c r="IE704" s="770"/>
      <c r="IF704" s="770"/>
      <c r="IG704" s="770"/>
      <c r="IH704" s="770"/>
      <c r="II704" s="770"/>
      <c r="IJ704" s="770"/>
      <c r="IK704" s="770"/>
      <c r="IL704" s="770"/>
      <c r="IM704" s="770"/>
      <c r="IN704" s="770"/>
      <c r="IO704" s="296"/>
      <c r="IP704" s="770"/>
      <c r="IQ704" s="770"/>
      <c r="IR704" s="770"/>
      <c r="IS704" s="770"/>
      <c r="IT704" s="770"/>
      <c r="IU704" s="770"/>
      <c r="IV704" s="770"/>
      <c r="IW704" s="770"/>
      <c r="IX704" s="770"/>
      <c r="IY704" s="770"/>
      <c r="IZ704" s="770"/>
      <c r="JA704" s="770"/>
      <c r="JB704" s="770"/>
      <c r="JC704" s="770"/>
      <c r="JD704" s="302"/>
      <c r="JE704" s="770"/>
      <c r="JF704" s="770"/>
      <c r="JG704" s="770"/>
      <c r="JH704" s="307"/>
      <c r="JI704" s="307"/>
      <c r="JJ704" s="770">
        <v>4</v>
      </c>
      <c r="JK704" s="1139" t="s">
        <v>4589</v>
      </c>
      <c r="JL704" s="770"/>
      <c r="JM704" s="770"/>
      <c r="JN704" s="770">
        <v>3</v>
      </c>
      <c r="JO704" s="770"/>
      <c r="JP704" s="770"/>
      <c r="JQ704" s="770">
        <v>1</v>
      </c>
      <c r="JR704" s="770"/>
      <c r="JS704" s="770"/>
      <c r="JT704" s="766">
        <f t="shared" si="213"/>
        <v>3</v>
      </c>
      <c r="JU704" s="766">
        <f t="shared" si="213"/>
        <v>1</v>
      </c>
      <c r="JV704" s="712" t="str">
        <f>IF(JT704=KJ704,"ok","male")</f>
        <v>ok</v>
      </c>
      <c r="JW704" s="712" t="str">
        <f>IF(JU704=KK704,"ok","female")</f>
        <v>ok</v>
      </c>
      <c r="JX704" s="770"/>
      <c r="JY704" s="770"/>
      <c r="JZ704" s="770"/>
      <c r="KA704" s="770"/>
      <c r="KB704" s="770">
        <v>1</v>
      </c>
      <c r="KC704" s="770"/>
      <c r="KD704" s="770">
        <v>1</v>
      </c>
      <c r="KE704" s="770"/>
      <c r="KF704" s="770">
        <v>1</v>
      </c>
      <c r="KG704" s="770">
        <v>1</v>
      </c>
      <c r="KH704" s="770"/>
      <c r="KI704" s="770"/>
      <c r="KJ704" s="770">
        <f t="shared" si="204"/>
        <v>3</v>
      </c>
      <c r="KK704" s="770">
        <f t="shared" si="204"/>
        <v>1</v>
      </c>
      <c r="KL704" s="712" t="str">
        <f>IF(KJ704=LN704,"ok","male")</f>
        <v>ok</v>
      </c>
      <c r="KM704" s="712" t="str">
        <f>IF(KK704=LO704,"ok","female")</f>
        <v>ok</v>
      </c>
      <c r="KN704" s="770" t="s">
        <v>707</v>
      </c>
      <c r="KO704" s="770"/>
      <c r="KP704" s="770"/>
      <c r="KQ704" s="770"/>
      <c r="KR704" s="770"/>
      <c r="KS704" s="770"/>
      <c r="KT704" s="770"/>
      <c r="KU704" s="770"/>
      <c r="KV704" s="770"/>
      <c r="KW704" s="770">
        <v>1</v>
      </c>
      <c r="KX704" s="770"/>
      <c r="KY704" s="770"/>
      <c r="KZ704" s="770"/>
      <c r="LA704" s="770"/>
      <c r="LB704" s="770">
        <v>2</v>
      </c>
      <c r="LC704" s="770"/>
      <c r="LD704" s="770">
        <v>1</v>
      </c>
      <c r="LE704" s="770"/>
      <c r="LF704" s="770"/>
      <c r="LG704" s="770"/>
      <c r="LH704" s="770"/>
      <c r="LI704" s="770"/>
      <c r="LJ704" s="770"/>
      <c r="LK704" s="770"/>
      <c r="LL704" s="770"/>
      <c r="LM704" s="770"/>
      <c r="LN704" s="766">
        <f t="shared" si="209"/>
        <v>3</v>
      </c>
      <c r="LO704" s="766">
        <f t="shared" si="209"/>
        <v>1</v>
      </c>
      <c r="LP704" s="770">
        <v>3</v>
      </c>
      <c r="LQ704" s="770"/>
      <c r="LR704" s="770"/>
      <c r="LS704" s="770">
        <v>3</v>
      </c>
      <c r="LT704" s="712" t="str">
        <f>IF(LQ704=SUM(LU704:LW704),"OK","REV")</f>
        <v>OK</v>
      </c>
      <c r="LU704" s="770"/>
      <c r="LV704" s="770"/>
      <c r="LW704" s="770"/>
      <c r="LX704" s="769"/>
      <c r="LY704" s="766" t="str">
        <f t="shared" si="210"/>
        <v/>
      </c>
      <c r="LZ704" s="1709"/>
      <c r="MA704" s="1709"/>
      <c r="MB704" s="1709">
        <f>SUM(240,2400,900)</f>
        <v>3540</v>
      </c>
      <c r="MC704" s="1679">
        <f t="shared" si="208"/>
        <v>3540</v>
      </c>
      <c r="MD704" s="1709"/>
      <c r="ME704" s="1709"/>
      <c r="MF704" s="1709">
        <f>SUM(21000,12000,12000)</f>
        <v>45000</v>
      </c>
      <c r="MG704" s="1680">
        <f>SUM(MD704:MF704)</f>
        <v>45000</v>
      </c>
      <c r="MH704" s="770" t="s">
        <v>2203</v>
      </c>
      <c r="MI704" s="302"/>
      <c r="MJ704" s="302">
        <v>18000</v>
      </c>
      <c r="MK704" s="302">
        <v>3600</v>
      </c>
      <c r="ML704" s="302">
        <v>2000</v>
      </c>
      <c r="MM704" s="302">
        <v>10000</v>
      </c>
      <c r="MN704" s="302"/>
      <c r="MO704" s="302"/>
      <c r="MP704" s="302">
        <v>600</v>
      </c>
      <c r="MQ704" s="302">
        <v>2500</v>
      </c>
      <c r="MR704" s="302">
        <v>700</v>
      </c>
      <c r="MS704" s="302">
        <v>900</v>
      </c>
      <c r="MT704" s="302"/>
      <c r="MU704" s="302"/>
      <c r="MV704" s="302"/>
      <c r="MW704" s="302"/>
      <c r="MX704" s="302"/>
      <c r="MY704" s="1682">
        <f t="shared" si="200"/>
        <v>38300</v>
      </c>
      <c r="MZ704" s="770" t="s">
        <v>13370</v>
      </c>
      <c r="NA704" s="770" t="s">
        <v>13230</v>
      </c>
      <c r="NB704" s="770" t="s">
        <v>13033</v>
      </c>
      <c r="NC704" s="770" t="s">
        <v>13602</v>
      </c>
      <c r="ND704" s="770">
        <v>0</v>
      </c>
      <c r="NE704" s="770">
        <v>0</v>
      </c>
      <c r="NF704" s="770">
        <v>0</v>
      </c>
      <c r="NG704" s="770">
        <v>4</v>
      </c>
      <c r="NH704" s="770">
        <v>1</v>
      </c>
      <c r="NI704" s="770">
        <v>2</v>
      </c>
      <c r="NJ704" s="770">
        <v>1</v>
      </c>
      <c r="NK704" s="770">
        <v>0</v>
      </c>
      <c r="NL704" s="770">
        <v>0</v>
      </c>
      <c r="NM704" s="770">
        <v>0</v>
      </c>
      <c r="NN704" s="770">
        <v>0</v>
      </c>
      <c r="NO704" s="770">
        <v>0</v>
      </c>
      <c r="NP704" s="770">
        <v>0</v>
      </c>
      <c r="NQ704" s="770">
        <v>0</v>
      </c>
      <c r="NR704" s="770">
        <v>0</v>
      </c>
      <c r="NS704" s="770">
        <v>0</v>
      </c>
      <c r="NT704" s="770">
        <v>0</v>
      </c>
      <c r="NU704" s="770">
        <v>0</v>
      </c>
      <c r="NV704" s="770">
        <v>0</v>
      </c>
      <c r="NW704" s="770">
        <v>0</v>
      </c>
      <c r="NX704" s="770">
        <v>0</v>
      </c>
      <c r="NY704" s="770"/>
      <c r="NZ704" s="770"/>
      <c r="OA704" s="770"/>
      <c r="OB704" s="770"/>
      <c r="OC704" s="770"/>
      <c r="OD704" s="770"/>
      <c r="OE704" s="770"/>
      <c r="OF704" s="770" t="s">
        <v>2143</v>
      </c>
      <c r="OG704" s="770"/>
      <c r="OH704" s="770"/>
      <c r="OI704" s="770"/>
      <c r="OJ704" s="770"/>
      <c r="OK704" s="770"/>
      <c r="OL704" s="770"/>
      <c r="OM704" s="770"/>
      <c r="ON704" s="770"/>
      <c r="OO704" s="770"/>
      <c r="OP704" s="770"/>
      <c r="OQ704" s="770"/>
      <c r="OR704" s="770"/>
      <c r="OS704" s="770"/>
      <c r="OT704" s="770"/>
      <c r="OU704" s="770"/>
      <c r="OV704" s="770"/>
      <c r="OW704" s="770"/>
      <c r="OX704" s="770"/>
      <c r="OY704" s="770"/>
      <c r="OZ704" s="770"/>
      <c r="PA704" s="770"/>
      <c r="PB704" s="770"/>
      <c r="PC704" s="770"/>
      <c r="PD704" s="770"/>
      <c r="PE704" s="770"/>
      <c r="PF704" s="770"/>
      <c r="PG704" s="770"/>
      <c r="PH704" s="770"/>
      <c r="PI704" s="770"/>
      <c r="PJ704" s="770"/>
      <c r="PK704" s="770"/>
      <c r="PL704" s="770"/>
      <c r="PM704" s="770"/>
      <c r="PN704" s="770"/>
      <c r="PO704" s="770"/>
      <c r="PP704" s="770"/>
      <c r="PQ704" s="770"/>
      <c r="PR704" s="770"/>
      <c r="PS704" s="770"/>
      <c r="PT704" s="770"/>
      <c r="PU704" s="770"/>
      <c r="PV704" s="770"/>
      <c r="PW704" s="770"/>
      <c r="PX704" s="770"/>
      <c r="PY704" s="770"/>
      <c r="PZ704" s="770"/>
      <c r="QA704" s="770"/>
      <c r="QB704" s="770"/>
      <c r="QC704" s="770"/>
      <c r="QD704" s="770"/>
      <c r="QE704" s="770" t="s">
        <v>1208</v>
      </c>
      <c r="QF704" s="770"/>
      <c r="QG704" s="770"/>
      <c r="QH704" s="770"/>
      <c r="QI704" s="770"/>
      <c r="QJ704" s="770"/>
      <c r="QK704" s="770"/>
      <c r="QL704" s="770"/>
      <c r="QM704" s="770"/>
      <c r="QN704" s="770"/>
      <c r="QO704" s="770"/>
      <c r="QP704" s="770"/>
      <c r="QQ704" s="770"/>
      <c r="QR704" s="770"/>
      <c r="QS704" s="770"/>
      <c r="QT704" s="770"/>
      <c r="QU704" s="770"/>
      <c r="QV704" s="770"/>
      <c r="QW704" s="770"/>
      <c r="QX704" s="770"/>
      <c r="QY704" s="770"/>
      <c r="QZ704" s="770"/>
      <c r="RA704" s="770"/>
      <c r="RB704" s="770" t="s">
        <v>1214</v>
      </c>
      <c r="RC704" s="770"/>
      <c r="RD704" s="770"/>
      <c r="RE704" s="770"/>
      <c r="RF704" s="304"/>
      <c r="RG704" s="770"/>
      <c r="RH704" s="306"/>
      <c r="RI704" s="770"/>
      <c r="RJ704" s="94" t="s">
        <v>4589</v>
      </c>
      <c r="RK704" s="770" t="s">
        <v>13550</v>
      </c>
      <c r="RL704" s="1710">
        <v>42844</v>
      </c>
      <c r="RM704" s="12"/>
      <c r="RN704" s="1711"/>
      <c r="RO704" s="149" t="s">
        <v>4588</v>
      </c>
      <c r="RP704" s="11"/>
      <c r="RQ704" s="11"/>
      <c r="RR704" s="19" t="s">
        <v>7421</v>
      </c>
      <c r="RS704" s="1139" t="s">
        <v>12980</v>
      </c>
      <c r="RT704" s="11"/>
      <c r="RU704" s="11"/>
      <c r="RV704" s="771" t="s">
        <v>7419</v>
      </c>
      <c r="RW704" s="11" t="s">
        <v>8019</v>
      </c>
      <c r="RX704" s="11" t="s">
        <v>4572</v>
      </c>
      <c r="RY704" s="11"/>
      <c r="RZ704" s="11" t="s">
        <v>2209</v>
      </c>
      <c r="SA704" s="771"/>
      <c r="SB704" s="11"/>
      <c r="SC704" s="11"/>
    </row>
    <row r="705" spans="1:497" ht="12.75" hidden="1" customHeight="1">
      <c r="A705" s="343" t="s">
        <v>7419</v>
      </c>
      <c r="B705" s="809" t="s">
        <v>11685</v>
      </c>
      <c r="C705" s="149" t="s">
        <v>3112</v>
      </c>
      <c r="D705" s="94" t="s">
        <v>4596</v>
      </c>
      <c r="E705" s="766" t="s">
        <v>4597</v>
      </c>
      <c r="F705" s="770" t="s">
        <v>28</v>
      </c>
      <c r="G705" s="770" t="s">
        <v>18</v>
      </c>
      <c r="H705" s="12"/>
      <c r="I705" s="295" t="s">
        <v>4598</v>
      </c>
      <c r="J705" s="94" t="s">
        <v>4596</v>
      </c>
      <c r="K705" s="766" t="s">
        <v>4599</v>
      </c>
      <c r="L705" s="766" t="s">
        <v>3152</v>
      </c>
      <c r="M705" s="770" t="s">
        <v>1238</v>
      </c>
      <c r="N705" s="1757" t="s">
        <v>7233</v>
      </c>
      <c r="O705" s="1757" t="s">
        <v>7234</v>
      </c>
      <c r="P705" s="770" t="s">
        <v>4600</v>
      </c>
      <c r="Q705" s="1088">
        <v>23755</v>
      </c>
      <c r="R705" s="297">
        <v>51</v>
      </c>
      <c r="S705" s="770" t="s">
        <v>18</v>
      </c>
      <c r="T705" s="770"/>
      <c r="U705" s="295" t="s">
        <v>4598</v>
      </c>
      <c r="V705" s="770" t="s">
        <v>719</v>
      </c>
      <c r="W705" s="770"/>
      <c r="X705" s="770"/>
      <c r="Y705" s="770" t="s">
        <v>4597</v>
      </c>
      <c r="Z705" s="770" t="s">
        <v>708</v>
      </c>
      <c r="AA705" s="12" t="s">
        <v>709</v>
      </c>
      <c r="AB705" s="770" t="s">
        <v>710</v>
      </c>
      <c r="AC705" s="770"/>
      <c r="AD705" s="770" t="s">
        <v>711</v>
      </c>
      <c r="AE705" s="770"/>
      <c r="AF705" s="770" t="s">
        <v>712</v>
      </c>
      <c r="AG705" s="766" t="s">
        <v>1132</v>
      </c>
      <c r="AH705" s="766" t="s">
        <v>1096</v>
      </c>
      <c r="AI705" s="770"/>
      <c r="AJ705" s="770" t="s">
        <v>1137</v>
      </c>
      <c r="AK705" s="766" t="s">
        <v>1097</v>
      </c>
      <c r="AL705" s="531">
        <v>17.5</v>
      </c>
      <c r="AM705" s="780">
        <v>3.85</v>
      </c>
      <c r="AN705" s="532">
        <f t="shared" si="214"/>
        <v>0.22</v>
      </c>
      <c r="AO705" s="766" t="s">
        <v>1149</v>
      </c>
      <c r="AP705" s="1775" t="s">
        <v>5368</v>
      </c>
      <c r="AQ705" s="766" t="s">
        <v>7232</v>
      </c>
      <c r="AR705" s="766"/>
      <c r="AS705" s="409"/>
      <c r="AT705" s="770"/>
      <c r="AU705" s="770"/>
      <c r="AV705" s="770"/>
      <c r="AW705" s="770"/>
      <c r="AX705" s="770"/>
      <c r="AY705" s="770"/>
      <c r="AZ705" s="770"/>
      <c r="BA705" s="770"/>
      <c r="BB705" s="770"/>
      <c r="BC705" s="766"/>
      <c r="BD705" s="770" t="s">
        <v>1208</v>
      </c>
      <c r="BE705" s="770"/>
      <c r="BF705" s="302"/>
      <c r="BG705" s="302"/>
      <c r="BH705" s="770"/>
      <c r="BI705" s="770"/>
      <c r="BJ705" s="770"/>
      <c r="BK705" s="766" t="s">
        <v>1095</v>
      </c>
      <c r="BL705" s="766" t="s">
        <v>4601</v>
      </c>
      <c r="BM705" s="766" t="s">
        <v>1096</v>
      </c>
      <c r="BN705" s="766" t="s">
        <v>1230</v>
      </c>
      <c r="BO705" s="766" t="s">
        <v>1239</v>
      </c>
      <c r="BP705" s="1109">
        <v>35</v>
      </c>
      <c r="BQ705" s="773">
        <v>7.7</v>
      </c>
      <c r="BR705" s="774">
        <f t="shared" si="215"/>
        <v>0.22</v>
      </c>
      <c r="BS705" s="6" t="s">
        <v>1149</v>
      </c>
      <c r="BT705" s="766" t="s">
        <v>2040</v>
      </c>
      <c r="BU705" s="770" t="s">
        <v>1249</v>
      </c>
      <c r="BV705" s="770" t="s">
        <v>1247</v>
      </c>
      <c r="BW705" s="770">
        <v>2004</v>
      </c>
      <c r="BX705" s="302">
        <v>150000</v>
      </c>
      <c r="BY705" s="770"/>
      <c r="BZ705" s="302"/>
      <c r="CA705" s="770"/>
      <c r="CB705" s="770"/>
      <c r="CC705" s="770"/>
      <c r="CD705" s="770"/>
      <c r="CE705" s="302"/>
      <c r="CF705" s="304"/>
      <c r="CG705" s="321"/>
      <c r="CH705" s="770"/>
      <c r="CI705" s="770"/>
      <c r="CJ705" s="770"/>
      <c r="CK705" s="770"/>
      <c r="CL705" s="770"/>
      <c r="CM705" s="770"/>
      <c r="CN705" s="770"/>
      <c r="CO705" s="770"/>
      <c r="CP705" s="770"/>
      <c r="CQ705" s="770"/>
      <c r="CR705" s="302"/>
      <c r="CS705" s="770"/>
      <c r="CT705" s="770"/>
      <c r="CU705" s="305"/>
      <c r="CV705" s="770"/>
      <c r="CW705" s="770"/>
      <c r="CX705" s="770"/>
      <c r="CY705" s="770"/>
      <c r="CZ705" s="770"/>
      <c r="DA705" s="306"/>
      <c r="DB705" s="770"/>
      <c r="DC705" s="770"/>
      <c r="DD705" s="770"/>
      <c r="DE705" s="300"/>
      <c r="DF705" s="770"/>
      <c r="DG705" s="770"/>
      <c r="DH705" s="770"/>
      <c r="DI705" s="770"/>
      <c r="DJ705" s="770"/>
      <c r="DK705" s="770"/>
      <c r="DL705" s="770"/>
      <c r="DM705" s="770"/>
      <c r="DN705" s="322"/>
      <c r="DO705" s="770"/>
      <c r="DP705" s="770"/>
      <c r="DQ705" s="770"/>
      <c r="DR705" s="770"/>
      <c r="DS705" s="307"/>
      <c r="DT705" s="770"/>
      <c r="DU705" s="770"/>
      <c r="DV705" s="770"/>
      <c r="DW705" s="306"/>
      <c r="DX705" s="306"/>
      <c r="DY705" s="1055"/>
      <c r="DZ705" s="770"/>
      <c r="EA705" s="770"/>
      <c r="EB705" s="770"/>
      <c r="EC705" s="770"/>
      <c r="ED705" s="770"/>
      <c r="EE705" s="770"/>
      <c r="EF705" s="770"/>
      <c r="EG705" s="770"/>
      <c r="EH705" s="770"/>
      <c r="EI705" s="770"/>
      <c r="EJ705" s="770"/>
      <c r="EK705" s="770"/>
      <c r="EL705" s="770"/>
      <c r="EM705" s="770"/>
      <c r="EN705" s="770"/>
      <c r="EO705" s="770"/>
      <c r="EP705" s="94"/>
      <c r="EQ705" s="770"/>
      <c r="ER705" s="770"/>
      <c r="ES705" s="770"/>
      <c r="ET705" s="770"/>
      <c r="EU705" s="770"/>
      <c r="EV705" s="770"/>
      <c r="EW705" s="770"/>
      <c r="EX705" s="770"/>
      <c r="EY705" s="770"/>
      <c r="EZ705" s="770"/>
      <c r="FA705" s="770"/>
      <c r="FB705" s="770"/>
      <c r="FC705" s="770"/>
      <c r="FD705" s="302"/>
      <c r="FE705" s="770"/>
      <c r="FF705" s="770"/>
      <c r="FG705" s="770"/>
      <c r="FH705" s="770" t="s">
        <v>478</v>
      </c>
      <c r="FI705" s="770">
        <v>3</v>
      </c>
      <c r="FJ705" s="770"/>
      <c r="FK705" s="770"/>
      <c r="FL705" s="770"/>
      <c r="FM705" s="302"/>
      <c r="FN705" s="302"/>
      <c r="FO705" s="302"/>
      <c r="FP705" s="770" t="s">
        <v>1600</v>
      </c>
      <c r="FQ705" s="770" t="s">
        <v>3940</v>
      </c>
      <c r="FR705" s="770" t="s">
        <v>1214</v>
      </c>
      <c r="FS705" s="770"/>
      <c r="FT705" s="770"/>
      <c r="FU705" s="770"/>
      <c r="FV705" s="770"/>
      <c r="FW705" s="770"/>
      <c r="FX705" s="770"/>
      <c r="FY705" s="770"/>
      <c r="FZ705" s="770"/>
      <c r="GA705" s="770"/>
      <c r="GB705" s="770" t="s">
        <v>1734</v>
      </c>
      <c r="GC705" s="308"/>
      <c r="GD705" s="297">
        <v>2004</v>
      </c>
      <c r="GE705" s="770" t="s">
        <v>1214</v>
      </c>
      <c r="GF705" s="302"/>
      <c r="GG705" s="302"/>
      <c r="GH705" s="770" t="s">
        <v>1791</v>
      </c>
      <c r="GI705" s="770" t="s">
        <v>1008</v>
      </c>
      <c r="GJ705" s="770"/>
      <c r="GK705" s="770" t="s">
        <v>11683</v>
      </c>
      <c r="GL705" s="770"/>
      <c r="GM705" s="770"/>
      <c r="GN705" s="299" t="s">
        <v>11684</v>
      </c>
      <c r="GO705" s="770" t="s">
        <v>11373</v>
      </c>
      <c r="GP705" s="770" t="s">
        <v>1208</v>
      </c>
      <c r="GQ705" s="770"/>
      <c r="GR705" s="770"/>
      <c r="GS705" s="770"/>
      <c r="GT705" s="770"/>
      <c r="GU705" s="770"/>
      <c r="GV705" s="770"/>
      <c r="GW705" s="770" t="s">
        <v>1207</v>
      </c>
      <c r="GX705" s="770"/>
      <c r="GY705" s="770"/>
      <c r="GZ705" s="770"/>
      <c r="HA705" s="770"/>
      <c r="HB705" s="770"/>
      <c r="HC705" s="770"/>
      <c r="HD705" s="770"/>
      <c r="HE705" s="770"/>
      <c r="HF705" s="770"/>
      <c r="HG705" s="770"/>
      <c r="HH705" s="770"/>
      <c r="HI705" s="770" t="s">
        <v>1214</v>
      </c>
      <c r="HJ705" s="770"/>
      <c r="HK705" s="770"/>
      <c r="HL705" s="770"/>
      <c r="HM705" s="770"/>
      <c r="HN705" s="770"/>
      <c r="HO705" s="770"/>
      <c r="HP705" s="770"/>
      <c r="HQ705" s="770"/>
      <c r="HR705" s="770"/>
      <c r="HS705" s="770"/>
      <c r="HT705" s="770"/>
      <c r="HU705" s="770"/>
      <c r="HV705" s="770"/>
      <c r="HW705" s="770"/>
      <c r="HX705" s="770"/>
      <c r="HY705" s="770"/>
      <c r="HZ705" s="770"/>
      <c r="IA705" s="770"/>
      <c r="IB705" s="770" t="s">
        <v>1207</v>
      </c>
      <c r="IC705" s="770" t="s">
        <v>1207</v>
      </c>
      <c r="ID705" s="770"/>
      <c r="IE705" s="770"/>
      <c r="IF705" s="770"/>
      <c r="IG705" s="770"/>
      <c r="IH705" s="770"/>
      <c r="II705" s="770"/>
      <c r="IJ705" s="770"/>
      <c r="IK705" s="770"/>
      <c r="IL705" s="770"/>
      <c r="IM705" s="770"/>
      <c r="IN705" s="770"/>
      <c r="IO705" s="296"/>
      <c r="IP705" s="770"/>
      <c r="IQ705" s="770"/>
      <c r="IR705" s="770"/>
      <c r="IS705" s="770"/>
      <c r="IT705" s="770"/>
      <c r="IU705" s="770"/>
      <c r="IV705" s="770"/>
      <c r="IW705" s="770"/>
      <c r="IX705" s="770"/>
      <c r="IY705" s="770"/>
      <c r="IZ705" s="770"/>
      <c r="JA705" s="770"/>
      <c r="JB705" s="770"/>
      <c r="JC705" s="770"/>
      <c r="JD705" s="302"/>
      <c r="JE705" s="770"/>
      <c r="JF705" s="770"/>
      <c r="JG705" s="770"/>
      <c r="JH705" s="307"/>
      <c r="JI705" s="307"/>
      <c r="JJ705" s="770">
        <v>4</v>
      </c>
      <c r="JK705" s="770" t="s">
        <v>4602</v>
      </c>
      <c r="JL705" s="770"/>
      <c r="JM705" s="770">
        <v>2</v>
      </c>
      <c r="JN705" s="770">
        <v>1</v>
      </c>
      <c r="JO705" s="770">
        <v>1</v>
      </c>
      <c r="JP705" s="770"/>
      <c r="JQ705" s="770"/>
      <c r="JR705" s="770"/>
      <c r="JS705" s="770"/>
      <c r="JT705" s="766">
        <f t="shared" si="213"/>
        <v>1</v>
      </c>
      <c r="JU705" s="766">
        <f t="shared" si="213"/>
        <v>3</v>
      </c>
      <c r="JV705" s="766"/>
      <c r="JW705" s="766"/>
      <c r="JX705" s="770"/>
      <c r="JY705" s="770">
        <v>1</v>
      </c>
      <c r="JZ705" s="770"/>
      <c r="KA705" s="770">
        <v>1</v>
      </c>
      <c r="KB705" s="770"/>
      <c r="KC705" s="770"/>
      <c r="KD705" s="770">
        <v>1</v>
      </c>
      <c r="KE705" s="770">
        <v>1</v>
      </c>
      <c r="KF705" s="770"/>
      <c r="KG705" s="770"/>
      <c r="KH705" s="770"/>
      <c r="KI705" s="770"/>
      <c r="KJ705" s="770">
        <f t="shared" si="204"/>
        <v>1</v>
      </c>
      <c r="KK705" s="770">
        <f t="shared" si="204"/>
        <v>3</v>
      </c>
      <c r="KL705" s="770"/>
      <c r="KM705" s="770"/>
      <c r="KN705" s="770" t="s">
        <v>719</v>
      </c>
      <c r="KO705" s="770"/>
      <c r="KP705" s="770"/>
      <c r="KQ705" s="770"/>
      <c r="KR705" s="770"/>
      <c r="KS705" s="770">
        <v>1</v>
      </c>
      <c r="KT705" s="770"/>
      <c r="KU705" s="770">
        <v>1</v>
      </c>
      <c r="KV705" s="770"/>
      <c r="KW705" s="770">
        <v>1</v>
      </c>
      <c r="KX705" s="770"/>
      <c r="KY705" s="770"/>
      <c r="KZ705" s="770">
        <v>1</v>
      </c>
      <c r="LA705" s="770"/>
      <c r="LB705" s="770"/>
      <c r="LC705" s="770"/>
      <c r="LD705" s="770"/>
      <c r="LE705" s="770"/>
      <c r="LF705" s="770"/>
      <c r="LG705" s="770"/>
      <c r="LH705" s="770"/>
      <c r="LI705" s="770"/>
      <c r="LJ705" s="770"/>
      <c r="LK705" s="770"/>
      <c r="LL705" s="770"/>
      <c r="LM705" s="770"/>
      <c r="LN705" s="766">
        <f t="shared" si="209"/>
        <v>1</v>
      </c>
      <c r="LO705" s="766">
        <f t="shared" si="209"/>
        <v>3</v>
      </c>
      <c r="LP705" s="770">
        <v>2</v>
      </c>
      <c r="LQ705" s="770">
        <v>2</v>
      </c>
      <c r="LR705" s="770"/>
      <c r="LS705" s="770"/>
      <c r="LT705" s="770"/>
      <c r="LU705" s="770">
        <v>1</v>
      </c>
      <c r="LV705" s="770">
        <v>1</v>
      </c>
      <c r="LW705" s="770"/>
      <c r="LX705" s="769">
        <v>1</v>
      </c>
      <c r="LY705" s="766" t="str">
        <f t="shared" si="210"/>
        <v>within the BRGY</v>
      </c>
      <c r="LZ705" s="1709">
        <f>16*26</f>
        <v>416</v>
      </c>
      <c r="MA705" s="1709"/>
      <c r="MB705" s="1709"/>
      <c r="MC705" s="1679">
        <f t="shared" si="208"/>
        <v>416</v>
      </c>
      <c r="MD705" s="1709">
        <f>SUM(1000,300*30)</f>
        <v>10000</v>
      </c>
      <c r="ME705" s="1709"/>
      <c r="MF705" s="1709"/>
      <c r="MG705" s="1680">
        <f t="shared" ref="MG705:MG759" si="216">SUM(MD705:MF705)</f>
        <v>10000</v>
      </c>
      <c r="MH705" s="770" t="s">
        <v>13919</v>
      </c>
      <c r="MI705" s="302">
        <f>200*30</f>
        <v>6000</v>
      </c>
      <c r="MJ705" s="302" t="s">
        <v>13920</v>
      </c>
      <c r="MK705" s="302">
        <v>100</v>
      </c>
      <c r="ML705" s="302"/>
      <c r="MM705" s="302">
        <f>30*30</f>
        <v>900</v>
      </c>
      <c r="MN705" s="302"/>
      <c r="MO705" s="302">
        <f>10*30</f>
        <v>300</v>
      </c>
      <c r="MP705" s="302">
        <v>500</v>
      </c>
      <c r="MQ705" s="302">
        <f>10*30</f>
        <v>300</v>
      </c>
      <c r="MR705" s="302">
        <f>20*30</f>
        <v>600</v>
      </c>
      <c r="MS705" s="302"/>
      <c r="MT705" s="302"/>
      <c r="MU705" s="302"/>
      <c r="MV705" s="302"/>
      <c r="MW705" s="302"/>
      <c r="MX705" s="302"/>
      <c r="MY705" s="1682">
        <f t="shared" ref="MY705:MY768" si="217">IF(ISBLANK(MI705:MX705)=TRUE,"",SUM(MI705:MX705))</f>
        <v>8700</v>
      </c>
      <c r="MZ705" s="770" t="s">
        <v>13370</v>
      </c>
      <c r="NA705" s="770" t="s">
        <v>13065</v>
      </c>
      <c r="NB705" s="770" t="s">
        <v>13921</v>
      </c>
      <c r="NC705" s="770" t="s">
        <v>1835</v>
      </c>
      <c r="ND705" s="770">
        <v>0</v>
      </c>
      <c r="NE705" s="770">
        <v>0</v>
      </c>
      <c r="NF705" s="770">
        <v>0</v>
      </c>
      <c r="NG705" s="770">
        <v>1</v>
      </c>
      <c r="NH705" s="770">
        <v>0</v>
      </c>
      <c r="NI705" s="770">
        <v>0</v>
      </c>
      <c r="NJ705" s="770">
        <v>0</v>
      </c>
      <c r="NK705" s="770">
        <v>0</v>
      </c>
      <c r="NL705" s="770">
        <v>0</v>
      </c>
      <c r="NM705" s="770">
        <v>0</v>
      </c>
      <c r="NN705" s="770">
        <v>0</v>
      </c>
      <c r="NO705" s="770">
        <v>0</v>
      </c>
      <c r="NP705" s="770">
        <v>0</v>
      </c>
      <c r="NQ705" s="770">
        <v>0</v>
      </c>
      <c r="NR705" s="770">
        <v>0</v>
      </c>
      <c r="NS705" s="770">
        <v>0</v>
      </c>
      <c r="NT705" s="770">
        <v>0</v>
      </c>
      <c r="NU705" s="770">
        <v>0</v>
      </c>
      <c r="NV705" s="770">
        <v>0</v>
      </c>
      <c r="NW705" s="770">
        <v>0</v>
      </c>
      <c r="NX705" s="770">
        <v>0</v>
      </c>
      <c r="NY705" s="770" t="s">
        <v>1208</v>
      </c>
      <c r="NZ705" s="770" t="s">
        <v>1208</v>
      </c>
      <c r="OA705" s="770" t="s">
        <v>1208</v>
      </c>
      <c r="OB705" s="770" t="s">
        <v>1208</v>
      </c>
      <c r="OC705" s="770" t="s">
        <v>1208</v>
      </c>
      <c r="OD705" s="770"/>
      <c r="OE705" s="770"/>
      <c r="OF705" s="770" t="s">
        <v>13922</v>
      </c>
      <c r="OG705" s="770" t="s">
        <v>1208</v>
      </c>
      <c r="OH705" s="770" t="s">
        <v>13153</v>
      </c>
      <c r="OI705" s="770" t="s">
        <v>12890</v>
      </c>
      <c r="OJ705" s="770" t="s">
        <v>12888</v>
      </c>
      <c r="OK705" s="770" t="s">
        <v>1208</v>
      </c>
      <c r="OL705" s="770" t="s">
        <v>13153</v>
      </c>
      <c r="OM705" s="770" t="s">
        <v>12890</v>
      </c>
      <c r="ON705" s="770" t="s">
        <v>12888</v>
      </c>
      <c r="OO705" s="770" t="s">
        <v>1207</v>
      </c>
      <c r="OP705" s="770"/>
      <c r="OQ705" s="770"/>
      <c r="OR705" s="770"/>
      <c r="OS705" s="770"/>
      <c r="OT705" s="770"/>
      <c r="OU705" s="770"/>
      <c r="OV705" s="770" t="s">
        <v>1208</v>
      </c>
      <c r="OW705" s="770"/>
      <c r="OX705" s="770" t="s">
        <v>1208</v>
      </c>
      <c r="OY705" s="770" t="s">
        <v>1208</v>
      </c>
      <c r="OZ705" s="770"/>
      <c r="PA705" s="770" t="s">
        <v>1208</v>
      </c>
      <c r="PB705" s="770"/>
      <c r="PC705" s="770"/>
      <c r="PD705" s="770"/>
      <c r="PE705" s="770"/>
      <c r="PF705" s="770"/>
      <c r="PG705" s="770"/>
      <c r="PH705" s="770" t="s">
        <v>1208</v>
      </c>
      <c r="PI705" s="770"/>
      <c r="PJ705" s="770"/>
      <c r="PK705" s="770"/>
      <c r="PL705" s="770"/>
      <c r="PM705" s="770"/>
      <c r="PN705" s="770"/>
      <c r="PO705" s="770"/>
      <c r="PP705" s="770"/>
      <c r="PQ705" s="770"/>
      <c r="PR705" s="770"/>
      <c r="PS705" s="770"/>
      <c r="PT705" s="770"/>
      <c r="PU705" s="770"/>
      <c r="PV705" s="770"/>
      <c r="PW705" s="770"/>
      <c r="PX705" s="770"/>
      <c r="PY705" s="770"/>
      <c r="PZ705" s="770"/>
      <c r="QA705" s="770"/>
      <c r="QB705" s="770"/>
      <c r="QC705" s="770"/>
      <c r="QD705" s="770"/>
      <c r="QE705" s="770"/>
      <c r="QF705" s="770"/>
      <c r="QG705" s="770"/>
      <c r="QH705" s="770"/>
      <c r="QI705" s="770"/>
      <c r="QJ705" s="770"/>
      <c r="QK705" s="770"/>
      <c r="QL705" s="770"/>
      <c r="QM705" s="770"/>
      <c r="QN705" s="770"/>
      <c r="QO705" s="770"/>
      <c r="QP705" s="770"/>
      <c r="QQ705" s="770"/>
      <c r="QR705" s="770"/>
      <c r="QS705" s="770"/>
      <c r="QT705" s="770"/>
      <c r="QU705" s="770"/>
      <c r="QV705" s="770"/>
      <c r="QW705" s="770"/>
      <c r="QX705" s="770"/>
      <c r="QY705" s="770"/>
      <c r="QZ705" s="770"/>
      <c r="RA705" s="770"/>
      <c r="RB705" s="770" t="s">
        <v>1214</v>
      </c>
      <c r="RC705" s="770"/>
      <c r="RD705" s="770"/>
      <c r="RE705" s="770"/>
      <c r="RF705" s="304"/>
      <c r="RG705" s="770"/>
      <c r="RH705" s="306"/>
      <c r="RI705" s="770"/>
      <c r="RJ705" s="94" t="s">
        <v>13923</v>
      </c>
      <c r="RK705" s="770" t="s">
        <v>13544</v>
      </c>
      <c r="RL705" s="1710">
        <v>42844</v>
      </c>
      <c r="RM705" s="12"/>
      <c r="RN705" s="1711"/>
      <c r="RO705" s="149" t="s">
        <v>3112</v>
      </c>
      <c r="RP705" s="11"/>
      <c r="RQ705" s="11"/>
      <c r="RR705" s="17"/>
      <c r="RS705" s="767"/>
      <c r="RT705" s="11"/>
      <c r="RU705" s="11"/>
      <c r="RV705" s="771" t="s">
        <v>7419</v>
      </c>
      <c r="RW705" s="11" t="s">
        <v>8020</v>
      </c>
      <c r="RX705" s="11" t="s">
        <v>4573</v>
      </c>
      <c r="RY705" s="11"/>
      <c r="RZ705" s="11" t="s">
        <v>2209</v>
      </c>
      <c r="SA705" s="771"/>
      <c r="SB705" s="11"/>
      <c r="SC705" s="11"/>
    </row>
    <row r="706" spans="1:497" hidden="1">
      <c r="A706" s="311" t="s">
        <v>7419</v>
      </c>
      <c r="B706" s="292" t="s">
        <v>8022</v>
      </c>
      <c r="C706" s="149" t="s">
        <v>3112</v>
      </c>
      <c r="D706" s="94" t="s">
        <v>3113</v>
      </c>
      <c r="E706" s="766" t="s">
        <v>3136</v>
      </c>
      <c r="F706" s="770" t="s">
        <v>28</v>
      </c>
      <c r="G706" s="770" t="s">
        <v>18</v>
      </c>
      <c r="H706" s="12"/>
      <c r="I706" s="295" t="s">
        <v>3115</v>
      </c>
      <c r="J706" s="94" t="s">
        <v>3113</v>
      </c>
      <c r="K706" s="770"/>
      <c r="L706" s="770"/>
      <c r="M706" s="770" t="s">
        <v>1238</v>
      </c>
      <c r="N706" s="1757" t="s">
        <v>7233</v>
      </c>
      <c r="O706" s="1757" t="s">
        <v>7234</v>
      </c>
      <c r="P706" s="94" t="s">
        <v>3116</v>
      </c>
      <c r="Q706" s="1088">
        <v>30896</v>
      </c>
      <c r="R706" s="297">
        <v>32</v>
      </c>
      <c r="S706" s="770" t="s">
        <v>18</v>
      </c>
      <c r="T706" s="770"/>
      <c r="U706" s="295" t="s">
        <v>3115</v>
      </c>
      <c r="V706" s="770" t="s">
        <v>707</v>
      </c>
      <c r="W706" s="770"/>
      <c r="X706" s="770"/>
      <c r="Y706" s="770" t="s">
        <v>3114</v>
      </c>
      <c r="Z706" s="770" t="s">
        <v>708</v>
      </c>
      <c r="AA706" s="770" t="s">
        <v>709</v>
      </c>
      <c r="AB706" s="770" t="s">
        <v>710</v>
      </c>
      <c r="AC706" s="770"/>
      <c r="AD706" s="770" t="s">
        <v>711</v>
      </c>
      <c r="AE706" s="770"/>
      <c r="AF706" s="770" t="s">
        <v>712</v>
      </c>
      <c r="AG706" s="770"/>
      <c r="AH706" s="770"/>
      <c r="AI706" s="770"/>
      <c r="AJ706" s="770"/>
      <c r="AK706" s="770" t="s">
        <v>5454</v>
      </c>
      <c r="AL706" s="531"/>
      <c r="AM706" s="780"/>
      <c r="AN706" s="532"/>
      <c r="AO706" s="766"/>
      <c r="AP706" s="766"/>
      <c r="AQ706" s="766"/>
      <c r="AR706" s="766"/>
      <c r="AS706" s="770"/>
      <c r="AT706" s="770"/>
      <c r="AU706" s="770"/>
      <c r="AV706" s="770"/>
      <c r="AW706" s="770"/>
      <c r="AX706" s="770"/>
      <c r="AY706" s="770"/>
      <c r="AZ706" s="770"/>
      <c r="BA706" s="770"/>
      <c r="BB706" s="770"/>
      <c r="BC706" s="770"/>
      <c r="BD706" s="770"/>
      <c r="BE706" s="770"/>
      <c r="BF706" s="302"/>
      <c r="BG706" s="302"/>
      <c r="BH706" s="770"/>
      <c r="BI706" s="770"/>
      <c r="BJ706" s="770"/>
      <c r="BK706" s="766"/>
      <c r="BL706" s="766"/>
      <c r="BM706" s="766" t="s">
        <v>1238</v>
      </c>
      <c r="BN706" s="766" t="s">
        <v>1299</v>
      </c>
      <c r="BO706" s="770"/>
      <c r="BP706" s="765"/>
      <c r="BQ706" s="773"/>
      <c r="BR706" s="774"/>
      <c r="BS706" s="766" t="s">
        <v>1149</v>
      </c>
      <c r="BT706" s="770"/>
      <c r="BU706" s="770"/>
      <c r="BV706" s="770"/>
      <c r="BW706" s="770"/>
      <c r="BX706" s="302"/>
      <c r="BY706" s="770"/>
      <c r="BZ706" s="302"/>
      <c r="CA706" s="770"/>
      <c r="CB706" s="770"/>
      <c r="CC706" s="770"/>
      <c r="CD706" s="770"/>
      <c r="CE706" s="302"/>
      <c r="CF706" s="304"/>
      <c r="CG706" s="321"/>
      <c r="CH706" s="770"/>
      <c r="CI706" s="770"/>
      <c r="CJ706" s="770"/>
      <c r="CK706" s="770"/>
      <c r="CL706" s="770"/>
      <c r="CM706" s="770"/>
      <c r="CN706" s="770"/>
      <c r="CO706" s="770"/>
      <c r="CP706" s="770"/>
      <c r="CQ706" s="770"/>
      <c r="CR706" s="302"/>
      <c r="CS706" s="770"/>
      <c r="CT706" s="770"/>
      <c r="CU706" s="305"/>
      <c r="CV706" s="770"/>
      <c r="CW706" s="770"/>
      <c r="CX706" s="770"/>
      <c r="CY706" s="770"/>
      <c r="CZ706" s="770"/>
      <c r="DA706" s="306"/>
      <c r="DB706" s="770"/>
      <c r="DC706" s="770"/>
      <c r="DD706" s="770"/>
      <c r="DE706" s="300"/>
      <c r="DF706" s="770"/>
      <c r="DG706" s="770"/>
      <c r="DH706" s="770"/>
      <c r="DI706" s="770"/>
      <c r="DJ706" s="770"/>
      <c r="DK706" s="770"/>
      <c r="DL706" s="770"/>
      <c r="DM706" s="770"/>
      <c r="DN706" s="322"/>
      <c r="DO706" s="770"/>
      <c r="DP706" s="770"/>
      <c r="DQ706" s="770"/>
      <c r="DR706" s="770"/>
      <c r="DS706" s="307"/>
      <c r="DT706" s="770"/>
      <c r="DU706" s="770"/>
      <c r="DV706" s="770"/>
      <c r="DW706" s="306"/>
      <c r="DX706" s="306"/>
      <c r="DY706" s="1055"/>
      <c r="DZ706" s="770"/>
      <c r="EA706" s="770"/>
      <c r="EB706" s="770"/>
      <c r="EC706" s="770"/>
      <c r="ED706" s="770"/>
      <c r="EE706" s="770"/>
      <c r="EF706" s="770"/>
      <c r="EG706" s="770"/>
      <c r="EH706" s="770"/>
      <c r="EI706" s="770"/>
      <c r="EJ706" s="770"/>
      <c r="EK706" s="770"/>
      <c r="EL706" s="770"/>
      <c r="EM706" s="770"/>
      <c r="EN706" s="770"/>
      <c r="EO706" s="770"/>
      <c r="EP706" s="94"/>
      <c r="EQ706" s="770"/>
      <c r="ER706" s="770"/>
      <c r="ES706" s="770"/>
      <c r="ET706" s="770"/>
      <c r="EU706" s="770"/>
      <c r="EV706" s="770"/>
      <c r="EW706" s="770"/>
      <c r="EX706" s="770"/>
      <c r="EY706" s="770"/>
      <c r="EZ706" s="770"/>
      <c r="FA706" s="770"/>
      <c r="FB706" s="770"/>
      <c r="FC706" s="770"/>
      <c r="FD706" s="302"/>
      <c r="FE706" s="770"/>
      <c r="FF706" s="770"/>
      <c r="FG706" s="770"/>
      <c r="FH706" s="770" t="s">
        <v>1299</v>
      </c>
      <c r="FI706" s="770">
        <v>1</v>
      </c>
      <c r="FJ706" s="770"/>
      <c r="FK706" s="770"/>
      <c r="FL706" s="770"/>
      <c r="FM706" s="302"/>
      <c r="FN706" s="302"/>
      <c r="FO706" s="302"/>
      <c r="FP706" s="766" t="s">
        <v>1602</v>
      </c>
      <c r="FQ706" s="766" t="s">
        <v>1660</v>
      </c>
      <c r="FR706" s="770"/>
      <c r="FS706" s="770"/>
      <c r="FT706" s="770"/>
      <c r="FU706" s="770"/>
      <c r="FV706" s="770"/>
      <c r="FW706" s="770"/>
      <c r="FX706" s="770"/>
      <c r="FY706" s="770"/>
      <c r="FZ706" s="770"/>
      <c r="GA706" s="770"/>
      <c r="GB706" s="770"/>
      <c r="GC706" s="308"/>
      <c r="GD706" s="297"/>
      <c r="GE706" s="770"/>
      <c r="GF706" s="302"/>
      <c r="GG706" s="302"/>
      <c r="GH706" s="766" t="s">
        <v>14260</v>
      </c>
      <c r="GI706" s="770"/>
      <c r="GJ706" s="770"/>
      <c r="GK706" s="770"/>
      <c r="GL706" s="770"/>
      <c r="GM706" s="770"/>
      <c r="GN706" s="299"/>
      <c r="GO706" s="770"/>
      <c r="GP706" s="770"/>
      <c r="GQ706" s="770"/>
      <c r="GR706" s="770"/>
      <c r="GS706" s="770"/>
      <c r="GT706" s="770"/>
      <c r="GU706" s="770"/>
      <c r="GV706" s="770"/>
      <c r="GW706" s="770"/>
      <c r="GX706" s="770"/>
      <c r="GY706" s="770"/>
      <c r="GZ706" s="770"/>
      <c r="HA706" s="770"/>
      <c r="HB706" s="770"/>
      <c r="HC706" s="770"/>
      <c r="HD706" s="770"/>
      <c r="HE706" s="770"/>
      <c r="HF706" s="770"/>
      <c r="HG706" s="770"/>
      <c r="HH706" s="770"/>
      <c r="HI706" s="770" t="s">
        <v>1214</v>
      </c>
      <c r="HJ706" s="770"/>
      <c r="HK706" s="770"/>
      <c r="HL706" s="770"/>
      <c r="HM706" s="770"/>
      <c r="HN706" s="770"/>
      <c r="HO706" s="770"/>
      <c r="HP706" s="770"/>
      <c r="HQ706" s="770"/>
      <c r="HR706" s="770"/>
      <c r="HS706" s="770"/>
      <c r="HT706" s="770"/>
      <c r="HU706" s="770"/>
      <c r="HV706" s="770"/>
      <c r="HW706" s="770"/>
      <c r="HX706" s="770"/>
      <c r="HY706" s="770"/>
      <c r="HZ706" s="770"/>
      <c r="IA706" s="770"/>
      <c r="IB706" s="14" t="e">
        <f>IF(#REF!&gt;0,IF(#REF!&lt;=10000,"Y",""),"")</f>
        <v>#REF!</v>
      </c>
      <c r="IC706" s="770" t="s">
        <v>1207</v>
      </c>
      <c r="ID706" s="770"/>
      <c r="IE706" s="770"/>
      <c r="IF706" s="770"/>
      <c r="IG706" s="770"/>
      <c r="IH706" s="770"/>
      <c r="II706" s="770"/>
      <c r="IJ706" s="770"/>
      <c r="IK706" s="770"/>
      <c r="IL706" s="770"/>
      <c r="IM706" s="770"/>
      <c r="IN706" s="770"/>
      <c r="IO706" s="296"/>
      <c r="IP706" s="770"/>
      <c r="IQ706" s="770"/>
      <c r="IR706" s="770"/>
      <c r="IS706" s="770"/>
      <c r="IT706" s="770"/>
      <c r="IU706" s="770"/>
      <c r="IV706" s="770"/>
      <c r="IW706" s="770"/>
      <c r="IX706" s="770"/>
      <c r="IY706" s="770"/>
      <c r="IZ706" s="770"/>
      <c r="JA706" s="770"/>
      <c r="JB706" s="770"/>
      <c r="JC706" s="770"/>
      <c r="JD706" s="302"/>
      <c r="JE706" s="770"/>
      <c r="JF706" s="770"/>
      <c r="JG706" s="770"/>
      <c r="JH706" s="307"/>
      <c r="JI706" s="307"/>
      <c r="JJ706" s="770">
        <v>9</v>
      </c>
      <c r="JK706" s="1139" t="s">
        <v>3117</v>
      </c>
      <c r="JL706" s="770">
        <v>4</v>
      </c>
      <c r="JM706" s="770">
        <v>3</v>
      </c>
      <c r="JN706" s="770">
        <v>1</v>
      </c>
      <c r="JO706" s="770">
        <v>1</v>
      </c>
      <c r="JP706" s="770"/>
      <c r="JQ706" s="770"/>
      <c r="JR706" s="770"/>
      <c r="JS706" s="770"/>
      <c r="JT706" s="766">
        <f t="shared" si="213"/>
        <v>5</v>
      </c>
      <c r="JU706" s="766">
        <f t="shared" si="213"/>
        <v>4</v>
      </c>
      <c r="JV706" s="712" t="str">
        <f t="shared" ref="JV706:JV712" si="218">IF(JT706=KJ706,"ok","male")</f>
        <v>ok</v>
      </c>
      <c r="JW706" s="712" t="str">
        <f t="shared" ref="JW706:JW712" si="219">IF(JU706=KK706,"ok","female")</f>
        <v>ok</v>
      </c>
      <c r="JX706" s="770">
        <v>1</v>
      </c>
      <c r="JY706" s="770">
        <v>1</v>
      </c>
      <c r="JZ706" s="770">
        <v>2</v>
      </c>
      <c r="KA706" s="770">
        <v>2</v>
      </c>
      <c r="KB706" s="770">
        <v>1</v>
      </c>
      <c r="KC706" s="770"/>
      <c r="KD706" s="770">
        <v>1</v>
      </c>
      <c r="KE706" s="770">
        <v>1</v>
      </c>
      <c r="KF706" s="770"/>
      <c r="KG706" s="770"/>
      <c r="KH706" s="770"/>
      <c r="KI706" s="770"/>
      <c r="KJ706" s="770">
        <f t="shared" si="204"/>
        <v>5</v>
      </c>
      <c r="KK706" s="770">
        <f t="shared" si="204"/>
        <v>4</v>
      </c>
      <c r="KL706" s="712" t="str">
        <f t="shared" ref="KL706:KL712" si="220">IF(KJ706=LN706,"ok","male")</f>
        <v>ok</v>
      </c>
      <c r="KM706" s="712" t="str">
        <f t="shared" ref="KM706:KM712" si="221">IF(KK706=LO706,"ok","female")</f>
        <v>ok</v>
      </c>
      <c r="KN706" s="770" t="s">
        <v>707</v>
      </c>
      <c r="KO706" s="770"/>
      <c r="KP706" s="770"/>
      <c r="KQ706" s="770"/>
      <c r="KR706" s="770"/>
      <c r="KS706" s="770"/>
      <c r="KT706" s="770">
        <v>3</v>
      </c>
      <c r="KU706" s="770">
        <v>2</v>
      </c>
      <c r="KV706" s="770"/>
      <c r="KW706" s="770"/>
      <c r="KX706" s="770">
        <v>1</v>
      </c>
      <c r="KY706" s="770">
        <v>1</v>
      </c>
      <c r="KZ706" s="770"/>
      <c r="LA706" s="770"/>
      <c r="LB706" s="770"/>
      <c r="LC706" s="770"/>
      <c r="LD706" s="770"/>
      <c r="LE706" s="770"/>
      <c r="LF706" s="770"/>
      <c r="LG706" s="770"/>
      <c r="LH706" s="770"/>
      <c r="LI706" s="770"/>
      <c r="LJ706" s="770">
        <v>1</v>
      </c>
      <c r="LK706" s="770">
        <v>1</v>
      </c>
      <c r="LL706" s="770"/>
      <c r="LM706" s="770"/>
      <c r="LN706" s="766">
        <f t="shared" si="209"/>
        <v>5</v>
      </c>
      <c r="LO706" s="766">
        <f t="shared" si="209"/>
        <v>4</v>
      </c>
      <c r="LP706" s="770">
        <v>1</v>
      </c>
      <c r="LQ706" s="770">
        <v>1</v>
      </c>
      <c r="LR706" s="770"/>
      <c r="LS706" s="770"/>
      <c r="LT706" s="712" t="str">
        <f t="shared" ref="LT706:LT712" si="222">IF(LQ706=SUM(LU706:LW706),"OK","REV")</f>
        <v>OK</v>
      </c>
      <c r="LU706" s="770"/>
      <c r="LV706" s="770">
        <v>1</v>
      </c>
      <c r="LW706" s="770"/>
      <c r="LX706" s="769">
        <v>2</v>
      </c>
      <c r="LY706" s="766" t="str">
        <f t="shared" si="210"/>
        <v>within the MUNICIPALITY</v>
      </c>
      <c r="LZ706" s="1709"/>
      <c r="MA706" s="1709"/>
      <c r="MB706" s="1709"/>
      <c r="MC706" s="1679">
        <f t="shared" si="208"/>
        <v>0</v>
      </c>
      <c r="MD706" s="1709">
        <f>300*26</f>
        <v>7800</v>
      </c>
      <c r="ME706" s="1709"/>
      <c r="MF706" s="1709"/>
      <c r="MG706" s="1680">
        <f t="shared" ref="MG706:MG712" si="223">SUM(MD706:MF706)</f>
        <v>7800</v>
      </c>
      <c r="MH706" s="770" t="s">
        <v>2214</v>
      </c>
      <c r="MI706" s="302">
        <f>300*30</f>
        <v>9000</v>
      </c>
      <c r="MJ706" s="302"/>
      <c r="MK706" s="302">
        <v>500</v>
      </c>
      <c r="ML706" s="302"/>
      <c r="MM706" s="302">
        <f>50*30</f>
        <v>1500</v>
      </c>
      <c r="MN706" s="302"/>
      <c r="MO706" s="302">
        <f>10*30</f>
        <v>300</v>
      </c>
      <c r="MP706" s="302">
        <v>150</v>
      </c>
      <c r="MQ706" s="302">
        <f>20*30</f>
        <v>600</v>
      </c>
      <c r="MR706" s="302">
        <f>30*30</f>
        <v>900</v>
      </c>
      <c r="MS706" s="302">
        <v>1000</v>
      </c>
      <c r="MT706" s="302"/>
      <c r="MU706" s="302"/>
      <c r="MV706" s="302"/>
      <c r="MW706" s="302"/>
      <c r="MX706" s="302"/>
      <c r="MY706" s="1682">
        <f t="shared" si="217"/>
        <v>13950</v>
      </c>
      <c r="MZ706" s="770" t="s">
        <v>13395</v>
      </c>
      <c r="NA706" s="770" t="s">
        <v>13065</v>
      </c>
      <c r="NB706" s="770" t="s">
        <v>13016</v>
      </c>
      <c r="NC706" s="770" t="s">
        <v>13621</v>
      </c>
      <c r="ND706" s="770">
        <v>0</v>
      </c>
      <c r="NE706" s="770">
        <v>0</v>
      </c>
      <c r="NF706" s="770">
        <v>0</v>
      </c>
      <c r="NG706" s="770">
        <v>2</v>
      </c>
      <c r="NH706" s="770">
        <v>0</v>
      </c>
      <c r="NI706" s="770">
        <v>0</v>
      </c>
      <c r="NJ706" s="770">
        <v>0</v>
      </c>
      <c r="NK706" s="770">
        <v>0</v>
      </c>
      <c r="NL706" s="770">
        <v>0</v>
      </c>
      <c r="NM706" s="770">
        <v>0</v>
      </c>
      <c r="NN706" s="770">
        <v>0</v>
      </c>
      <c r="NO706" s="770">
        <v>0</v>
      </c>
      <c r="NP706" s="770">
        <v>0</v>
      </c>
      <c r="NQ706" s="770">
        <v>0</v>
      </c>
      <c r="NR706" s="770">
        <v>0</v>
      </c>
      <c r="NS706" s="770">
        <v>0</v>
      </c>
      <c r="NT706" s="770">
        <v>0</v>
      </c>
      <c r="NU706" s="770">
        <v>0</v>
      </c>
      <c r="NV706" s="770">
        <v>0</v>
      </c>
      <c r="NW706" s="770">
        <v>0</v>
      </c>
      <c r="NX706" s="770">
        <v>0</v>
      </c>
      <c r="NY706" s="770" t="s">
        <v>1208</v>
      </c>
      <c r="NZ706" s="770" t="s">
        <v>1208</v>
      </c>
      <c r="OA706" s="770" t="s">
        <v>1208</v>
      </c>
      <c r="OB706" s="770" t="s">
        <v>1208</v>
      </c>
      <c r="OC706" s="770" t="s">
        <v>1208</v>
      </c>
      <c r="OD706" s="770"/>
      <c r="OE706" s="770"/>
      <c r="OF706" s="770" t="s">
        <v>13277</v>
      </c>
      <c r="OG706" s="770" t="s">
        <v>1208</v>
      </c>
      <c r="OH706" s="770" t="s">
        <v>13548</v>
      </c>
      <c r="OI706" s="770"/>
      <c r="OJ706" s="770"/>
      <c r="OK706" s="770"/>
      <c r="OL706" s="770"/>
      <c r="OM706" s="770"/>
      <c r="ON706" s="770"/>
      <c r="OO706" s="770" t="s">
        <v>1207</v>
      </c>
      <c r="OP706" s="770" t="s">
        <v>13548</v>
      </c>
      <c r="OQ706" s="770"/>
      <c r="OR706" s="770"/>
      <c r="OS706" s="770" t="s">
        <v>12885</v>
      </c>
      <c r="OT706" s="770" t="s">
        <v>13263</v>
      </c>
      <c r="OU706" s="770" t="s">
        <v>12887</v>
      </c>
      <c r="OV706" s="770" t="s">
        <v>1208</v>
      </c>
      <c r="OW706" s="770"/>
      <c r="OX706" s="770" t="s">
        <v>1208</v>
      </c>
      <c r="OY706" s="770"/>
      <c r="OZ706" s="770"/>
      <c r="PA706" s="770" t="s">
        <v>1208</v>
      </c>
      <c r="PB706" s="770"/>
      <c r="PC706" s="770"/>
      <c r="PD706" s="770"/>
      <c r="PE706" s="770"/>
      <c r="PF706" s="770"/>
      <c r="PG706" s="770"/>
      <c r="PH706" s="770" t="s">
        <v>1208</v>
      </c>
      <c r="PI706" s="770" t="s">
        <v>1208</v>
      </c>
      <c r="PJ706" s="770"/>
      <c r="PK706" s="770" t="s">
        <v>1208</v>
      </c>
      <c r="PL706" s="770"/>
      <c r="PM706" s="770"/>
      <c r="PN706" s="770"/>
      <c r="PO706" s="770"/>
      <c r="PP706" s="770"/>
      <c r="PQ706" s="770"/>
      <c r="PR706" s="770"/>
      <c r="PS706" s="770"/>
      <c r="PT706" s="770"/>
      <c r="PU706" s="770"/>
      <c r="PV706" s="770"/>
      <c r="PW706" s="770"/>
      <c r="PX706" s="770"/>
      <c r="PY706" s="770"/>
      <c r="PZ706" s="770"/>
      <c r="QA706" s="770"/>
      <c r="QB706" s="770"/>
      <c r="QC706" s="770"/>
      <c r="QD706" s="770"/>
      <c r="QE706" s="770"/>
      <c r="QF706" s="770"/>
      <c r="QG706" s="770"/>
      <c r="QH706" s="770"/>
      <c r="QI706" s="770"/>
      <c r="QJ706" s="770"/>
      <c r="QK706" s="770"/>
      <c r="QL706" s="770"/>
      <c r="QM706" s="770"/>
      <c r="QN706" s="770"/>
      <c r="QO706" s="770"/>
      <c r="QP706" s="770"/>
      <c r="QQ706" s="770"/>
      <c r="QR706" s="770"/>
      <c r="QS706" s="770"/>
      <c r="QT706" s="770"/>
      <c r="QU706" s="770"/>
      <c r="QV706" s="770"/>
      <c r="QW706" s="770"/>
      <c r="QX706" s="770"/>
      <c r="QY706" s="770"/>
      <c r="QZ706" s="770"/>
      <c r="RA706" s="770"/>
      <c r="RB706" s="770" t="s">
        <v>1214</v>
      </c>
      <c r="RC706" s="770"/>
      <c r="RD706" s="770"/>
      <c r="RE706" s="770"/>
      <c r="RF706" s="304"/>
      <c r="RG706" s="770"/>
      <c r="RH706" s="306"/>
      <c r="RI706" s="770"/>
      <c r="RJ706" s="94" t="s">
        <v>13924</v>
      </c>
      <c r="RK706" s="770" t="s">
        <v>13544</v>
      </c>
      <c r="RL706" s="1710">
        <v>42844</v>
      </c>
      <c r="RM706" s="12"/>
      <c r="RN706" s="1711"/>
      <c r="RO706" s="149" t="s">
        <v>3112</v>
      </c>
      <c r="RP706" s="11"/>
      <c r="RQ706" s="11"/>
      <c r="RR706" s="311" t="s">
        <v>12355</v>
      </c>
      <c r="RS706" s="1139" t="s">
        <v>12980</v>
      </c>
      <c r="RT706" s="11"/>
      <c r="RU706" s="11"/>
      <c r="RV706" s="771" t="s">
        <v>7421</v>
      </c>
      <c r="RW706" s="11" t="s">
        <v>8021</v>
      </c>
      <c r="RX706" s="11" t="s">
        <v>4588</v>
      </c>
      <c r="RY706" s="11"/>
      <c r="RZ706" s="11"/>
      <c r="SA706" s="771"/>
      <c r="SB706" s="11"/>
      <c r="SC706" s="11"/>
    </row>
    <row r="707" spans="1:497" ht="12.75" hidden="1" customHeight="1">
      <c r="A707" s="311" t="s">
        <v>7419</v>
      </c>
      <c r="B707" s="292" t="s">
        <v>8023</v>
      </c>
      <c r="C707" s="149" t="s">
        <v>3118</v>
      </c>
      <c r="D707" s="94" t="s">
        <v>3119</v>
      </c>
      <c r="E707" s="766" t="s">
        <v>3137</v>
      </c>
      <c r="F707" s="770" t="s">
        <v>28</v>
      </c>
      <c r="G707" s="770" t="s">
        <v>18</v>
      </c>
      <c r="H707" s="12"/>
      <c r="I707" s="295"/>
      <c r="J707" s="94" t="s">
        <v>3119</v>
      </c>
      <c r="K707" s="770"/>
      <c r="L707" s="770"/>
      <c r="M707" s="770"/>
      <c r="N707" s="1757" t="s">
        <v>7233</v>
      </c>
      <c r="O707" s="1757" t="s">
        <v>7234</v>
      </c>
      <c r="P707" s="94" t="s">
        <v>3121</v>
      </c>
      <c r="Q707" s="1088">
        <v>24373</v>
      </c>
      <c r="R707" s="297">
        <v>50</v>
      </c>
      <c r="S707" s="770" t="s">
        <v>18</v>
      </c>
      <c r="T707" s="770"/>
      <c r="U707" s="298"/>
      <c r="V707" s="770" t="s">
        <v>2970</v>
      </c>
      <c r="W707" s="770"/>
      <c r="X707" s="770"/>
      <c r="Y707" s="770" t="s">
        <v>3120</v>
      </c>
      <c r="Z707" s="770" t="s">
        <v>708</v>
      </c>
      <c r="AA707" s="770" t="s">
        <v>709</v>
      </c>
      <c r="AB707" s="770" t="s">
        <v>710</v>
      </c>
      <c r="AC707" s="770" t="s">
        <v>724</v>
      </c>
      <c r="AD707" s="770" t="s">
        <v>711</v>
      </c>
      <c r="AE707" s="770"/>
      <c r="AF707" s="770" t="s">
        <v>712</v>
      </c>
      <c r="AG707" s="770"/>
      <c r="AH707" s="770"/>
      <c r="AI707" s="770"/>
      <c r="AJ707" s="770"/>
      <c r="AK707" s="770" t="s">
        <v>5454</v>
      </c>
      <c r="AL707" s="531"/>
      <c r="AM707" s="780"/>
      <c r="AN707" s="532"/>
      <c r="AO707" s="766"/>
      <c r="AP707" s="766"/>
      <c r="AQ707" s="766"/>
      <c r="AR707" s="766"/>
      <c r="AS707" s="770"/>
      <c r="AT707" s="770"/>
      <c r="AU707" s="770"/>
      <c r="AV707" s="770"/>
      <c r="AW707" s="770"/>
      <c r="AX707" s="770"/>
      <c r="AY707" s="770"/>
      <c r="AZ707" s="770"/>
      <c r="BA707" s="770"/>
      <c r="BB707" s="770"/>
      <c r="BC707" s="770"/>
      <c r="BD707" s="770"/>
      <c r="BE707" s="770"/>
      <c r="BF707" s="302"/>
      <c r="BG707" s="302"/>
      <c r="BH707" s="770"/>
      <c r="BI707" s="770"/>
      <c r="BJ707" s="770"/>
      <c r="BK707" s="766"/>
      <c r="BL707" s="766"/>
      <c r="BM707" s="766" t="s">
        <v>1238</v>
      </c>
      <c r="BN707" s="766" t="s">
        <v>1230</v>
      </c>
      <c r="BO707" s="770"/>
      <c r="BP707" s="765"/>
      <c r="BQ707" s="773"/>
      <c r="BR707" s="774"/>
      <c r="BS707" s="766" t="s">
        <v>1149</v>
      </c>
      <c r="BT707" s="770"/>
      <c r="BU707" s="770"/>
      <c r="BV707" s="770"/>
      <c r="BW707" s="770"/>
      <c r="BX707" s="302"/>
      <c r="BY707" s="770"/>
      <c r="BZ707" s="302"/>
      <c r="CA707" s="770"/>
      <c r="CB707" s="770"/>
      <c r="CC707" s="770"/>
      <c r="CD707" s="770"/>
      <c r="CE707" s="302"/>
      <c r="CF707" s="304"/>
      <c r="CG707" s="321"/>
      <c r="CH707" s="770"/>
      <c r="CI707" s="770"/>
      <c r="CJ707" s="770"/>
      <c r="CK707" s="770"/>
      <c r="CL707" s="770"/>
      <c r="CM707" s="770"/>
      <c r="CN707" s="770"/>
      <c r="CO707" s="770"/>
      <c r="CP707" s="770"/>
      <c r="CQ707" s="770"/>
      <c r="CR707" s="302"/>
      <c r="CS707" s="770"/>
      <c r="CT707" s="770"/>
      <c r="CU707" s="305"/>
      <c r="CV707" s="770"/>
      <c r="CW707" s="770"/>
      <c r="CX707" s="770"/>
      <c r="CY707" s="770"/>
      <c r="CZ707" s="770"/>
      <c r="DA707" s="306"/>
      <c r="DB707" s="770"/>
      <c r="DC707" s="770"/>
      <c r="DD707" s="770"/>
      <c r="DE707" s="300"/>
      <c r="DF707" s="770"/>
      <c r="DG707" s="770"/>
      <c r="DH707" s="770"/>
      <c r="DI707" s="770"/>
      <c r="DJ707" s="770"/>
      <c r="DK707" s="770"/>
      <c r="DL707" s="770"/>
      <c r="DM707" s="770"/>
      <c r="DN707" s="322"/>
      <c r="DO707" s="770"/>
      <c r="DP707" s="770"/>
      <c r="DQ707" s="770"/>
      <c r="DR707" s="770"/>
      <c r="DS707" s="307"/>
      <c r="DT707" s="770"/>
      <c r="DU707" s="770"/>
      <c r="DV707" s="770"/>
      <c r="DW707" s="306"/>
      <c r="DX707" s="306"/>
      <c r="DY707" s="1055"/>
      <c r="DZ707" s="770"/>
      <c r="EA707" s="770"/>
      <c r="EB707" s="770"/>
      <c r="EC707" s="770"/>
      <c r="ED707" s="770"/>
      <c r="EE707" s="770"/>
      <c r="EF707" s="770"/>
      <c r="EG707" s="770"/>
      <c r="EH707" s="770"/>
      <c r="EI707" s="770"/>
      <c r="EJ707" s="770"/>
      <c r="EK707" s="770"/>
      <c r="EL707" s="770"/>
      <c r="EM707" s="770"/>
      <c r="EN707" s="770"/>
      <c r="EO707" s="770"/>
      <c r="EP707" s="94"/>
      <c r="EQ707" s="770"/>
      <c r="ER707" s="770"/>
      <c r="ES707" s="770"/>
      <c r="ET707" s="770"/>
      <c r="EU707" s="770"/>
      <c r="EV707" s="770"/>
      <c r="EW707" s="770"/>
      <c r="EX707" s="770"/>
      <c r="EY707" s="770"/>
      <c r="EZ707" s="770"/>
      <c r="FA707" s="770"/>
      <c r="FB707" s="770"/>
      <c r="FC707" s="770"/>
      <c r="FD707" s="302"/>
      <c r="FE707" s="770"/>
      <c r="FF707" s="770"/>
      <c r="FG707" s="770"/>
      <c r="FH707" s="770" t="s">
        <v>478</v>
      </c>
      <c r="FI707" s="770">
        <v>1</v>
      </c>
      <c r="FJ707" s="770"/>
      <c r="FK707" s="770"/>
      <c r="FL707" s="770"/>
      <c r="FM707" s="302"/>
      <c r="FN707" s="302"/>
      <c r="FO707" s="302"/>
      <c r="FP707" s="766" t="s">
        <v>1602</v>
      </c>
      <c r="FQ707" s="766" t="s">
        <v>1660</v>
      </c>
      <c r="FR707" s="770"/>
      <c r="FS707" s="770"/>
      <c r="FT707" s="770"/>
      <c r="FU707" s="770"/>
      <c r="FV707" s="770"/>
      <c r="FW707" s="770"/>
      <c r="FX707" s="770"/>
      <c r="FY707" s="770"/>
      <c r="FZ707" s="770"/>
      <c r="GA707" s="770"/>
      <c r="GB707" s="770"/>
      <c r="GC707" s="308"/>
      <c r="GD707" s="297"/>
      <c r="GE707" s="770"/>
      <c r="GF707" s="302"/>
      <c r="GG707" s="302"/>
      <c r="GH707" s="770"/>
      <c r="GI707" s="770"/>
      <c r="GJ707" s="770"/>
      <c r="GK707" s="770"/>
      <c r="GL707" s="770"/>
      <c r="GM707" s="770"/>
      <c r="GN707" s="299"/>
      <c r="GO707" s="770"/>
      <c r="GP707" s="770"/>
      <c r="GQ707" s="770"/>
      <c r="GR707" s="770"/>
      <c r="GS707" s="770"/>
      <c r="GT707" s="770"/>
      <c r="GU707" s="770"/>
      <c r="GV707" s="770"/>
      <c r="GW707" s="770"/>
      <c r="GX707" s="770"/>
      <c r="GY707" s="770"/>
      <c r="GZ707" s="770"/>
      <c r="HA707" s="770"/>
      <c r="HB707" s="770"/>
      <c r="HC707" s="770"/>
      <c r="HD707" s="770"/>
      <c r="HE707" s="770"/>
      <c r="HF707" s="770"/>
      <c r="HG707" s="770"/>
      <c r="HH707" s="770"/>
      <c r="HI707" s="770"/>
      <c r="HJ707" s="770"/>
      <c r="HK707" s="770"/>
      <c r="HL707" s="770"/>
      <c r="HM707" s="770"/>
      <c r="HN707" s="770"/>
      <c r="HO707" s="770"/>
      <c r="HP707" s="770"/>
      <c r="HQ707" s="770"/>
      <c r="HR707" s="770"/>
      <c r="HS707" s="770"/>
      <c r="HT707" s="770"/>
      <c r="HU707" s="770"/>
      <c r="HV707" s="770"/>
      <c r="HW707" s="770"/>
      <c r="HX707" s="770"/>
      <c r="HY707" s="770"/>
      <c r="HZ707" s="770"/>
      <c r="IA707" s="770"/>
      <c r="IB707" s="14" t="e">
        <f>IF(#REF!&gt;0,IF(#REF!&lt;=10000,"Y",""),"")</f>
        <v>#REF!</v>
      </c>
      <c r="IC707" s="770" t="s">
        <v>1207</v>
      </c>
      <c r="ID707" s="770"/>
      <c r="IE707" s="770"/>
      <c r="IF707" s="770"/>
      <c r="IG707" s="770"/>
      <c r="IH707" s="770"/>
      <c r="II707" s="770"/>
      <c r="IJ707" s="770"/>
      <c r="IK707" s="770"/>
      <c r="IL707" s="770"/>
      <c r="IM707" s="770"/>
      <c r="IN707" s="770"/>
      <c r="IO707" s="296"/>
      <c r="IP707" s="770"/>
      <c r="IQ707" s="770"/>
      <c r="IR707" s="770"/>
      <c r="IS707" s="770"/>
      <c r="IT707" s="770"/>
      <c r="IU707" s="770"/>
      <c r="IV707" s="770"/>
      <c r="IW707" s="770"/>
      <c r="IX707" s="770"/>
      <c r="IY707" s="770"/>
      <c r="IZ707" s="770"/>
      <c r="JA707" s="770"/>
      <c r="JB707" s="770"/>
      <c r="JC707" s="770"/>
      <c r="JD707" s="302"/>
      <c r="JE707" s="770"/>
      <c r="JF707" s="770"/>
      <c r="JG707" s="770"/>
      <c r="JH707" s="307"/>
      <c r="JI707" s="307"/>
      <c r="JJ707" s="770">
        <v>4</v>
      </c>
      <c r="JK707" s="1139" t="s">
        <v>13925</v>
      </c>
      <c r="JL707" s="770">
        <v>1</v>
      </c>
      <c r="JM707" s="770"/>
      <c r="JN707" s="770">
        <v>1</v>
      </c>
      <c r="JO707" s="770">
        <v>2</v>
      </c>
      <c r="JP707" s="770"/>
      <c r="JQ707" s="770"/>
      <c r="JR707" s="770"/>
      <c r="JS707" s="770"/>
      <c r="JT707" s="766">
        <f t="shared" si="213"/>
        <v>2</v>
      </c>
      <c r="JU707" s="766">
        <f t="shared" si="213"/>
        <v>2</v>
      </c>
      <c r="JV707" s="712" t="str">
        <f t="shared" si="218"/>
        <v>ok</v>
      </c>
      <c r="JW707" s="712" t="str">
        <f t="shared" si="219"/>
        <v>ok</v>
      </c>
      <c r="JX707" s="770">
        <v>1</v>
      </c>
      <c r="JY707" s="770"/>
      <c r="JZ707" s="770"/>
      <c r="KA707" s="770"/>
      <c r="KB707" s="770">
        <v>1</v>
      </c>
      <c r="KC707" s="770">
        <v>1</v>
      </c>
      <c r="KD707" s="770"/>
      <c r="KE707" s="770">
        <v>1</v>
      </c>
      <c r="KF707" s="770"/>
      <c r="KG707" s="770"/>
      <c r="KH707" s="770"/>
      <c r="KI707" s="770"/>
      <c r="KJ707" s="770">
        <f t="shared" si="204"/>
        <v>2</v>
      </c>
      <c r="KK707" s="770">
        <f t="shared" si="204"/>
        <v>2</v>
      </c>
      <c r="KL707" s="712" t="str">
        <f t="shared" si="220"/>
        <v>ok</v>
      </c>
      <c r="KM707" s="712" t="str">
        <f t="shared" si="221"/>
        <v>ok</v>
      </c>
      <c r="KN707" s="770" t="s">
        <v>2970</v>
      </c>
      <c r="KO707" s="770"/>
      <c r="KP707" s="770"/>
      <c r="KQ707" s="770"/>
      <c r="KR707" s="770">
        <v>1</v>
      </c>
      <c r="KS707" s="770"/>
      <c r="KT707" s="770"/>
      <c r="KU707" s="770"/>
      <c r="KV707" s="770"/>
      <c r="KW707" s="770"/>
      <c r="KX707" s="770"/>
      <c r="KY707" s="770">
        <v>1</v>
      </c>
      <c r="KZ707" s="770">
        <v>1</v>
      </c>
      <c r="LA707" s="770"/>
      <c r="LB707" s="770"/>
      <c r="LC707" s="770"/>
      <c r="LD707" s="770"/>
      <c r="LE707" s="770"/>
      <c r="LF707" s="770"/>
      <c r="LG707" s="770"/>
      <c r="LH707" s="770"/>
      <c r="LI707" s="770">
        <v>1</v>
      </c>
      <c r="LJ707" s="770"/>
      <c r="LK707" s="770"/>
      <c r="LL707" s="770"/>
      <c r="LM707" s="770"/>
      <c r="LN707" s="766">
        <f t="shared" si="209"/>
        <v>2</v>
      </c>
      <c r="LO707" s="766">
        <f t="shared" si="209"/>
        <v>2</v>
      </c>
      <c r="LP707" s="770">
        <v>1</v>
      </c>
      <c r="LQ707" s="770">
        <v>1</v>
      </c>
      <c r="LR707" s="770"/>
      <c r="LS707" s="770"/>
      <c r="LT707" s="712" t="str">
        <f t="shared" si="222"/>
        <v>OK</v>
      </c>
      <c r="LU707" s="770"/>
      <c r="LV707" s="770">
        <v>1</v>
      </c>
      <c r="LW707" s="770"/>
      <c r="LX707" s="769">
        <v>2</v>
      </c>
      <c r="LY707" s="766" t="str">
        <f t="shared" si="210"/>
        <v>within the MUNICIPALITY</v>
      </c>
      <c r="LZ707" s="1709"/>
      <c r="MA707" s="1709">
        <v>960</v>
      </c>
      <c r="MB707" s="1709"/>
      <c r="MC707" s="1679">
        <f t="shared" si="208"/>
        <v>960</v>
      </c>
      <c r="MD707" s="1709">
        <v>9500</v>
      </c>
      <c r="ME707" s="1709"/>
      <c r="MF707" s="1709"/>
      <c r="MG707" s="1680">
        <f t="shared" si="223"/>
        <v>9500</v>
      </c>
      <c r="MH707" s="770" t="s">
        <v>3122</v>
      </c>
      <c r="MI707" s="302">
        <v>6000</v>
      </c>
      <c r="MJ707" s="302">
        <v>1500</v>
      </c>
      <c r="MK707" s="302"/>
      <c r="ML707" s="302"/>
      <c r="MM707" s="302">
        <v>3000</v>
      </c>
      <c r="MN707" s="302"/>
      <c r="MO707" s="302"/>
      <c r="MP707" s="302">
        <v>200</v>
      </c>
      <c r="MQ707" s="302">
        <v>100</v>
      </c>
      <c r="MR707" s="302">
        <v>900</v>
      </c>
      <c r="MS707" s="302"/>
      <c r="MT707" s="302"/>
      <c r="MU707" s="302"/>
      <c r="MV707" s="302"/>
      <c r="MW707" s="302"/>
      <c r="MX707" s="302"/>
      <c r="MY707" s="1682">
        <f t="shared" si="217"/>
        <v>11700</v>
      </c>
      <c r="MZ707" s="770" t="s">
        <v>13370</v>
      </c>
      <c r="NA707" s="770" t="s">
        <v>13230</v>
      </c>
      <c r="NB707" s="770" t="s">
        <v>13033</v>
      </c>
      <c r="NC707" s="770" t="s">
        <v>1835</v>
      </c>
      <c r="ND707" s="770">
        <v>0</v>
      </c>
      <c r="NE707" s="770">
        <v>0</v>
      </c>
      <c r="NF707" s="770">
        <v>0</v>
      </c>
      <c r="NG707" s="770">
        <v>1</v>
      </c>
      <c r="NH707" s="770">
        <v>0</v>
      </c>
      <c r="NI707" s="770">
        <v>0</v>
      </c>
      <c r="NJ707" s="770">
        <v>0</v>
      </c>
      <c r="NK707" s="770">
        <v>0</v>
      </c>
      <c r="NL707" s="770">
        <v>0</v>
      </c>
      <c r="NM707" s="770">
        <v>0</v>
      </c>
      <c r="NN707" s="770">
        <v>0</v>
      </c>
      <c r="NO707" s="770">
        <v>0</v>
      </c>
      <c r="NP707" s="770">
        <v>0</v>
      </c>
      <c r="NQ707" s="770">
        <v>0</v>
      </c>
      <c r="NR707" s="770">
        <v>0</v>
      </c>
      <c r="NS707" s="770">
        <v>0</v>
      </c>
      <c r="NT707" s="770">
        <v>0</v>
      </c>
      <c r="NU707" s="770">
        <v>0</v>
      </c>
      <c r="NV707" s="770">
        <v>0</v>
      </c>
      <c r="NW707" s="770">
        <v>0</v>
      </c>
      <c r="NX707" s="770">
        <v>0</v>
      </c>
      <c r="NY707" s="770" t="s">
        <v>1208</v>
      </c>
      <c r="NZ707" s="770" t="s">
        <v>1208</v>
      </c>
      <c r="OA707" s="770"/>
      <c r="OB707" s="770"/>
      <c r="OC707" s="770" t="s">
        <v>1208</v>
      </c>
      <c r="OD707" s="770"/>
      <c r="OE707" s="770"/>
      <c r="OF707" s="770" t="s">
        <v>13277</v>
      </c>
      <c r="OG707" s="770" t="s">
        <v>1208</v>
      </c>
      <c r="OH707" s="770" t="s">
        <v>696</v>
      </c>
      <c r="OI707" s="770" t="s">
        <v>13926</v>
      </c>
      <c r="OJ707" s="770" t="s">
        <v>13927</v>
      </c>
      <c r="OK707" s="770"/>
      <c r="OL707" s="770"/>
      <c r="OM707" s="770"/>
      <c r="ON707" s="770"/>
      <c r="OO707" s="770"/>
      <c r="OP707" s="770"/>
      <c r="OQ707" s="770"/>
      <c r="OR707" s="770"/>
      <c r="OS707" s="770"/>
      <c r="OT707" s="770"/>
      <c r="OU707" s="770"/>
      <c r="OV707" s="770"/>
      <c r="OW707" s="770"/>
      <c r="OX707" s="770"/>
      <c r="OY707" s="770"/>
      <c r="OZ707" s="770"/>
      <c r="PA707" s="770"/>
      <c r="PB707" s="770"/>
      <c r="PC707" s="770"/>
      <c r="PD707" s="770"/>
      <c r="PE707" s="770"/>
      <c r="PF707" s="770"/>
      <c r="PG707" s="770"/>
      <c r="PH707" s="770"/>
      <c r="PI707" s="770"/>
      <c r="PJ707" s="770"/>
      <c r="PK707" s="770"/>
      <c r="PL707" s="770"/>
      <c r="PM707" s="770"/>
      <c r="PN707" s="770"/>
      <c r="PO707" s="770"/>
      <c r="PP707" s="770"/>
      <c r="PQ707" s="770"/>
      <c r="PR707" s="770"/>
      <c r="PS707" s="770"/>
      <c r="PT707" s="770"/>
      <c r="PU707" s="770"/>
      <c r="PV707" s="770"/>
      <c r="PW707" s="770"/>
      <c r="PX707" s="770"/>
      <c r="PY707" s="770"/>
      <c r="PZ707" s="770"/>
      <c r="QA707" s="770"/>
      <c r="QB707" s="770"/>
      <c r="QC707" s="770"/>
      <c r="QD707" s="770"/>
      <c r="QE707" s="770"/>
      <c r="QF707" s="770"/>
      <c r="QG707" s="770"/>
      <c r="QH707" s="770"/>
      <c r="QI707" s="770"/>
      <c r="QJ707" s="770"/>
      <c r="QK707" s="770"/>
      <c r="QL707" s="770"/>
      <c r="QM707" s="770"/>
      <c r="QN707" s="770"/>
      <c r="QO707" s="770"/>
      <c r="QP707" s="770"/>
      <c r="QQ707" s="770"/>
      <c r="QR707" s="770"/>
      <c r="QS707" s="770"/>
      <c r="QT707" s="770"/>
      <c r="QU707" s="770"/>
      <c r="QV707" s="770"/>
      <c r="QW707" s="770"/>
      <c r="QX707" s="770"/>
      <c r="QY707" s="770"/>
      <c r="QZ707" s="770"/>
      <c r="RA707" s="770"/>
      <c r="RB707" s="770" t="s">
        <v>1214</v>
      </c>
      <c r="RC707" s="770"/>
      <c r="RD707" s="770"/>
      <c r="RE707" s="770"/>
      <c r="RF707" s="304"/>
      <c r="RG707" s="770"/>
      <c r="RH707" s="306"/>
      <c r="RI707" s="770"/>
      <c r="RJ707" s="94" t="s">
        <v>13928</v>
      </c>
      <c r="RK707" s="770" t="s">
        <v>13550</v>
      </c>
      <c r="RL707" s="1710">
        <v>42844</v>
      </c>
      <c r="RM707" s="12"/>
      <c r="RN707" s="1711"/>
      <c r="RO707" s="149" t="s">
        <v>3118</v>
      </c>
      <c r="RP707" s="11"/>
      <c r="RQ707" s="11"/>
      <c r="RR707" s="311" t="s">
        <v>12353</v>
      </c>
      <c r="RS707" s="1139" t="s">
        <v>12980</v>
      </c>
      <c r="RT707" s="11"/>
      <c r="RU707" s="11"/>
      <c r="RV707" s="771" t="s">
        <v>7419</v>
      </c>
      <c r="RW707" s="11" t="s">
        <v>11685</v>
      </c>
      <c r="RX707" s="11" t="s">
        <v>3112</v>
      </c>
      <c r="RY707" s="11"/>
      <c r="RZ707" s="11"/>
      <c r="SA707" s="771"/>
      <c r="SB707" s="11"/>
      <c r="SC707" s="11"/>
    </row>
    <row r="708" spans="1:497" ht="12.75" customHeight="1">
      <c r="A708" s="19" t="s">
        <v>7421</v>
      </c>
      <c r="B708" s="292" t="s">
        <v>8024</v>
      </c>
      <c r="C708" s="149" t="s">
        <v>4604</v>
      </c>
      <c r="D708" s="94" t="s">
        <v>4606</v>
      </c>
      <c r="E708" s="766" t="s">
        <v>3136</v>
      </c>
      <c r="F708" s="770" t="s">
        <v>28</v>
      </c>
      <c r="G708" s="770" t="s">
        <v>18</v>
      </c>
      <c r="H708" s="12"/>
      <c r="I708" s="295" t="s">
        <v>4607</v>
      </c>
      <c r="J708" s="94" t="s">
        <v>4606</v>
      </c>
      <c r="K708" s="766" t="s">
        <v>4599</v>
      </c>
      <c r="L708" s="766" t="s">
        <v>3152</v>
      </c>
      <c r="M708" s="770" t="s">
        <v>1238</v>
      </c>
      <c r="N708" s="1757" t="s">
        <v>7233</v>
      </c>
      <c r="O708" s="1757" t="s">
        <v>7234</v>
      </c>
      <c r="P708" s="94" t="s">
        <v>4608</v>
      </c>
      <c r="Q708" s="1088">
        <v>26368</v>
      </c>
      <c r="R708" s="297">
        <v>43</v>
      </c>
      <c r="S708" s="770" t="s">
        <v>10</v>
      </c>
      <c r="T708" s="770"/>
      <c r="U708" s="295" t="s">
        <v>4607</v>
      </c>
      <c r="V708" s="770" t="s">
        <v>722</v>
      </c>
      <c r="W708" s="770"/>
      <c r="X708" s="770"/>
      <c r="Y708" s="770" t="s">
        <v>3136</v>
      </c>
      <c r="Z708" s="770" t="s">
        <v>708</v>
      </c>
      <c r="AA708" s="770" t="s">
        <v>709</v>
      </c>
      <c r="AB708" s="770" t="s">
        <v>744</v>
      </c>
      <c r="AC708" s="770"/>
      <c r="AD708" s="770" t="s">
        <v>711</v>
      </c>
      <c r="AE708" s="770"/>
      <c r="AF708" s="770" t="s">
        <v>712</v>
      </c>
      <c r="AG708" s="766" t="s">
        <v>1132</v>
      </c>
      <c r="AH708" s="766" t="s">
        <v>1096</v>
      </c>
      <c r="AI708" s="770"/>
      <c r="AJ708" s="770" t="s">
        <v>1137</v>
      </c>
      <c r="AK708" s="770" t="s">
        <v>1101</v>
      </c>
      <c r="AL708" s="531">
        <v>2</v>
      </c>
      <c r="AM708" s="780">
        <v>2</v>
      </c>
      <c r="AN708" s="532">
        <f t="shared" si="214"/>
        <v>1</v>
      </c>
      <c r="AO708" s="766" t="s">
        <v>1122</v>
      </c>
      <c r="AP708" s="766"/>
      <c r="AQ708" s="766"/>
      <c r="AR708" s="766"/>
      <c r="AS708" s="770"/>
      <c r="AT708" s="770"/>
      <c r="AU708" s="770"/>
      <c r="AV708" s="770"/>
      <c r="AW708" s="770"/>
      <c r="AX708" s="770"/>
      <c r="AY708" s="770"/>
      <c r="AZ708" s="770"/>
      <c r="BA708" s="770"/>
      <c r="BB708" s="770"/>
      <c r="BC708" s="770"/>
      <c r="BD708" s="770"/>
      <c r="BE708" s="770"/>
      <c r="BF708" s="302"/>
      <c r="BG708" s="302"/>
      <c r="BH708" s="770"/>
      <c r="BI708" s="770"/>
      <c r="BJ708" s="770"/>
      <c r="BK708" s="766" t="s">
        <v>1095</v>
      </c>
      <c r="BL708" s="766" t="s">
        <v>4609</v>
      </c>
      <c r="BM708" s="766" t="s">
        <v>1096</v>
      </c>
      <c r="BN708" s="766" t="s">
        <v>1230</v>
      </c>
      <c r="BO708" s="766" t="s">
        <v>1246</v>
      </c>
      <c r="BP708" s="1109">
        <v>2</v>
      </c>
      <c r="BQ708" s="773">
        <v>2</v>
      </c>
      <c r="BR708" s="774">
        <f t="shared" si="215"/>
        <v>1</v>
      </c>
      <c r="BS708" s="766" t="s">
        <v>1257</v>
      </c>
      <c r="BT708" s="766" t="s">
        <v>1326</v>
      </c>
      <c r="BU708" s="770"/>
      <c r="BV708" s="770" t="s">
        <v>2432</v>
      </c>
      <c r="BW708" s="770">
        <v>2008</v>
      </c>
      <c r="BX708" s="302"/>
      <c r="BY708" s="770"/>
      <c r="BZ708" s="302"/>
      <c r="CA708" s="770"/>
      <c r="CB708" s="770"/>
      <c r="CC708" s="770"/>
      <c r="CD708" s="770"/>
      <c r="CE708" s="302"/>
      <c r="CF708" s="304"/>
      <c r="CG708" s="321"/>
      <c r="CH708" s="770"/>
      <c r="CI708" s="770"/>
      <c r="CJ708" s="770"/>
      <c r="CK708" s="770"/>
      <c r="CL708" s="770"/>
      <c r="CM708" s="770"/>
      <c r="CN708" s="770"/>
      <c r="CO708" s="770"/>
      <c r="CP708" s="770"/>
      <c r="CQ708" s="770"/>
      <c r="CR708" s="302"/>
      <c r="CS708" s="770"/>
      <c r="CT708" s="770"/>
      <c r="CU708" s="305"/>
      <c r="CV708" s="770"/>
      <c r="CW708" s="770"/>
      <c r="CX708" s="770"/>
      <c r="CY708" s="770"/>
      <c r="CZ708" s="770"/>
      <c r="DA708" s="306"/>
      <c r="DB708" s="770"/>
      <c r="DC708" s="770"/>
      <c r="DD708" s="770"/>
      <c r="DE708" s="300"/>
      <c r="DF708" s="770"/>
      <c r="DG708" s="770"/>
      <c r="DH708" s="770"/>
      <c r="DI708" s="770"/>
      <c r="DJ708" s="770"/>
      <c r="DK708" s="770"/>
      <c r="DL708" s="770"/>
      <c r="DM708" s="770"/>
      <c r="DN708" s="322"/>
      <c r="DO708" s="770"/>
      <c r="DP708" s="770"/>
      <c r="DQ708" s="770"/>
      <c r="DR708" s="770"/>
      <c r="DS708" s="307"/>
      <c r="DT708" s="770"/>
      <c r="DU708" s="770"/>
      <c r="DV708" s="770"/>
      <c r="DW708" s="306"/>
      <c r="DX708" s="306"/>
      <c r="DY708" s="1055"/>
      <c r="DZ708" s="770"/>
      <c r="EA708" s="770"/>
      <c r="EB708" s="770"/>
      <c r="EC708" s="770"/>
      <c r="ED708" s="770"/>
      <c r="EE708" s="770"/>
      <c r="EF708" s="770"/>
      <c r="EG708" s="770"/>
      <c r="EH708" s="770"/>
      <c r="EI708" s="770"/>
      <c r="EJ708" s="770"/>
      <c r="EK708" s="770"/>
      <c r="EL708" s="770"/>
      <c r="EM708" s="770"/>
      <c r="EN708" s="770"/>
      <c r="EO708" s="770"/>
      <c r="EP708" s="94"/>
      <c r="EQ708" s="770"/>
      <c r="ER708" s="770"/>
      <c r="ES708" s="770"/>
      <c r="ET708" s="770"/>
      <c r="EU708" s="770"/>
      <c r="EV708" s="770"/>
      <c r="EW708" s="770"/>
      <c r="EX708" s="770"/>
      <c r="EY708" s="770"/>
      <c r="EZ708" s="770"/>
      <c r="FA708" s="770"/>
      <c r="FB708" s="770"/>
      <c r="FC708" s="770"/>
      <c r="FD708" s="302"/>
      <c r="FE708" s="770"/>
      <c r="FF708" s="770"/>
      <c r="FG708" s="770"/>
      <c r="FH708" s="770" t="s">
        <v>478</v>
      </c>
      <c r="FI708" s="770">
        <v>1</v>
      </c>
      <c r="FJ708" s="770"/>
      <c r="FK708" s="770"/>
      <c r="FL708" s="770"/>
      <c r="FM708" s="302"/>
      <c r="FN708" s="302"/>
      <c r="FO708" s="302"/>
      <c r="FP708" s="766" t="s">
        <v>1602</v>
      </c>
      <c r="FQ708" s="766" t="s">
        <v>1660</v>
      </c>
      <c r="FR708" s="770" t="s">
        <v>1214</v>
      </c>
      <c r="FS708" s="770"/>
      <c r="FT708" s="770"/>
      <c r="FU708" s="770"/>
      <c r="FV708" s="770"/>
      <c r="FW708" s="770"/>
      <c r="FX708" s="770"/>
      <c r="FY708" s="770"/>
      <c r="FZ708" s="770"/>
      <c r="GA708" s="770"/>
      <c r="GB708" s="770" t="s">
        <v>1734</v>
      </c>
      <c r="GC708" s="308"/>
      <c r="GD708" s="297">
        <v>2015</v>
      </c>
      <c r="GE708" s="770" t="s">
        <v>1214</v>
      </c>
      <c r="GF708" s="302"/>
      <c r="GG708" s="302"/>
      <c r="GH708" s="712" t="s">
        <v>1791</v>
      </c>
      <c r="GI708" s="770"/>
      <c r="GJ708" s="770"/>
      <c r="GK708" s="770" t="s">
        <v>2345</v>
      </c>
      <c r="GL708" s="770"/>
      <c r="GM708" s="770"/>
      <c r="GN708" s="299">
        <v>100</v>
      </c>
      <c r="GO708" s="770"/>
      <c r="GP708" s="770" t="s">
        <v>1208</v>
      </c>
      <c r="GQ708" s="770" t="s">
        <v>1208</v>
      </c>
      <c r="GR708" s="770" t="s">
        <v>1208</v>
      </c>
      <c r="GS708" s="770" t="s">
        <v>1208</v>
      </c>
      <c r="GT708" s="770" t="s">
        <v>1208</v>
      </c>
      <c r="GU708" s="770"/>
      <c r="GV708" s="770"/>
      <c r="GW708" s="770"/>
      <c r="GX708" s="770"/>
      <c r="GY708" s="770" t="s">
        <v>1208</v>
      </c>
      <c r="GZ708" s="770" t="s">
        <v>1208</v>
      </c>
      <c r="HA708" s="770" t="s">
        <v>1208</v>
      </c>
      <c r="HB708" s="770" t="s">
        <v>1208</v>
      </c>
      <c r="HC708" s="770" t="s">
        <v>1208</v>
      </c>
      <c r="HD708" s="770" t="s">
        <v>1208</v>
      </c>
      <c r="HE708" s="770" t="s">
        <v>1208</v>
      </c>
      <c r="HF708" s="770"/>
      <c r="HG708" s="770"/>
      <c r="HH708" s="770"/>
      <c r="HI708" s="770" t="s">
        <v>1214</v>
      </c>
      <c r="HJ708" s="770"/>
      <c r="HK708" s="770"/>
      <c r="HL708" s="770" t="s">
        <v>1214</v>
      </c>
      <c r="HM708" s="770"/>
      <c r="HN708" s="770"/>
      <c r="HO708" s="770"/>
      <c r="HP708" s="770"/>
      <c r="HQ708" s="770"/>
      <c r="HR708" s="770"/>
      <c r="HS708" s="770"/>
      <c r="HT708" s="770"/>
      <c r="HU708" s="770"/>
      <c r="HV708" s="770"/>
      <c r="HW708" s="770"/>
      <c r="HX708" s="770"/>
      <c r="HY708" s="770"/>
      <c r="HZ708" s="770"/>
      <c r="IA708" s="770"/>
      <c r="IB708" s="14" t="e">
        <f>IF(#REF!&gt;0,IF(#REF!&lt;=10000,"Y",""),"")</f>
        <v>#REF!</v>
      </c>
      <c r="IC708" s="770"/>
      <c r="ID708" s="770"/>
      <c r="IE708" s="770"/>
      <c r="IF708" s="770"/>
      <c r="IG708" s="770"/>
      <c r="IH708" s="770"/>
      <c r="II708" s="770"/>
      <c r="IJ708" s="770"/>
      <c r="IK708" s="770"/>
      <c r="IL708" s="770"/>
      <c r="IM708" s="770"/>
      <c r="IN708" s="770"/>
      <c r="IO708" s="296"/>
      <c r="IP708" s="770"/>
      <c r="IQ708" s="770"/>
      <c r="IR708" s="770"/>
      <c r="IS708" s="770"/>
      <c r="IT708" s="770"/>
      <c r="IU708" s="770"/>
      <c r="IV708" s="770"/>
      <c r="IW708" s="770"/>
      <c r="IX708" s="770"/>
      <c r="IY708" s="770"/>
      <c r="IZ708" s="770"/>
      <c r="JA708" s="770"/>
      <c r="JB708" s="770"/>
      <c r="JC708" s="770"/>
      <c r="JD708" s="302"/>
      <c r="JE708" s="770"/>
      <c r="JF708" s="770"/>
      <c r="JG708" s="770"/>
      <c r="JH708" s="307"/>
      <c r="JI708" s="712" t="str">
        <f>IF(SUM(JT708,JU708)=JJ708,"ok","review")</f>
        <v>ok</v>
      </c>
      <c r="JJ708" s="770">
        <v>2</v>
      </c>
      <c r="JK708" s="1139" t="s">
        <v>4605</v>
      </c>
      <c r="JL708" s="770"/>
      <c r="JM708" s="770"/>
      <c r="JN708" s="770">
        <v>1</v>
      </c>
      <c r="JO708" s="770">
        <v>1</v>
      </c>
      <c r="JP708" s="770"/>
      <c r="JQ708" s="770"/>
      <c r="JR708" s="770"/>
      <c r="JS708" s="770"/>
      <c r="JT708" s="766">
        <f t="shared" si="213"/>
        <v>1</v>
      </c>
      <c r="JU708" s="766">
        <f t="shared" si="213"/>
        <v>1</v>
      </c>
      <c r="JV708" s="712" t="str">
        <f t="shared" si="218"/>
        <v>ok</v>
      </c>
      <c r="JW708" s="712" t="str">
        <f t="shared" si="219"/>
        <v>ok</v>
      </c>
      <c r="JX708" s="770"/>
      <c r="JY708" s="770"/>
      <c r="JZ708" s="770"/>
      <c r="KA708" s="770"/>
      <c r="KB708" s="770"/>
      <c r="KC708" s="770"/>
      <c r="KD708" s="770">
        <v>1</v>
      </c>
      <c r="KE708" s="770">
        <v>1</v>
      </c>
      <c r="KF708" s="770"/>
      <c r="KG708" s="770"/>
      <c r="KH708" s="770"/>
      <c r="KI708" s="770"/>
      <c r="KJ708" s="770">
        <f t="shared" si="204"/>
        <v>1</v>
      </c>
      <c r="KK708" s="770">
        <f t="shared" si="204"/>
        <v>1</v>
      </c>
      <c r="KL708" s="712" t="str">
        <f t="shared" si="220"/>
        <v>ok</v>
      </c>
      <c r="KM708" s="712" t="str">
        <f t="shared" si="221"/>
        <v>ok</v>
      </c>
      <c r="KN708" s="770" t="s">
        <v>722</v>
      </c>
      <c r="KO708" s="770"/>
      <c r="KP708" s="770"/>
      <c r="KQ708" s="770"/>
      <c r="KR708" s="770"/>
      <c r="KS708" s="770"/>
      <c r="KT708" s="770">
        <v>1</v>
      </c>
      <c r="KU708" s="770"/>
      <c r="KV708" s="770"/>
      <c r="KW708" s="770"/>
      <c r="KX708" s="770"/>
      <c r="KY708" s="770"/>
      <c r="KZ708" s="770"/>
      <c r="LA708" s="770">
        <v>1</v>
      </c>
      <c r="LB708" s="770"/>
      <c r="LC708" s="770"/>
      <c r="LD708" s="770"/>
      <c r="LE708" s="770"/>
      <c r="LF708" s="770"/>
      <c r="LG708" s="770"/>
      <c r="LH708" s="770"/>
      <c r="LI708" s="770"/>
      <c r="LJ708" s="770"/>
      <c r="LK708" s="770"/>
      <c r="LL708" s="770"/>
      <c r="LM708" s="770"/>
      <c r="LN708" s="766">
        <f t="shared" si="209"/>
        <v>1</v>
      </c>
      <c r="LO708" s="766">
        <f t="shared" si="209"/>
        <v>1</v>
      </c>
      <c r="LP708" s="770">
        <v>2</v>
      </c>
      <c r="LQ708" s="770">
        <v>1</v>
      </c>
      <c r="LR708" s="770"/>
      <c r="LS708" s="770">
        <v>1</v>
      </c>
      <c r="LT708" s="712" t="str">
        <f t="shared" si="222"/>
        <v>OK</v>
      </c>
      <c r="LU708" s="770"/>
      <c r="LV708" s="770">
        <v>1</v>
      </c>
      <c r="LW708" s="770"/>
      <c r="LX708" s="769">
        <v>3</v>
      </c>
      <c r="LY708" s="766" t="str">
        <f t="shared" si="210"/>
        <v>within the PROVINCE</v>
      </c>
      <c r="LZ708" s="1709">
        <v>200</v>
      </c>
      <c r="MA708" s="1709"/>
      <c r="MB708" s="1709">
        <f>50*26</f>
        <v>1300</v>
      </c>
      <c r="MC708" s="1679">
        <f t="shared" si="208"/>
        <v>1500</v>
      </c>
      <c r="MD708" s="1709">
        <f>500*26</f>
        <v>13000</v>
      </c>
      <c r="ME708" s="1709"/>
      <c r="MF708" s="1709">
        <v>12000</v>
      </c>
      <c r="MG708" s="1680">
        <f t="shared" si="223"/>
        <v>25000</v>
      </c>
      <c r="MH708" s="770" t="s">
        <v>2198</v>
      </c>
      <c r="MI708" s="302">
        <f>200*30</f>
        <v>6000</v>
      </c>
      <c r="MJ708" s="302">
        <f>250*30</f>
        <v>7500</v>
      </c>
      <c r="MK708" s="302">
        <v>300</v>
      </c>
      <c r="ML708" s="302">
        <v>2000</v>
      </c>
      <c r="MM708" s="302"/>
      <c r="MN708" s="302"/>
      <c r="MO708" s="302">
        <v>200</v>
      </c>
      <c r="MP708" s="302">
        <v>300</v>
      </c>
      <c r="MQ708" s="302">
        <f>20*30</f>
        <v>600</v>
      </c>
      <c r="MR708" s="302">
        <f>20*30</f>
        <v>600</v>
      </c>
      <c r="MS708" s="302">
        <v>1000</v>
      </c>
      <c r="MT708" s="302"/>
      <c r="MU708" s="302"/>
      <c r="MV708" s="302"/>
      <c r="MW708" s="302"/>
      <c r="MX708" s="302"/>
      <c r="MY708" s="1682">
        <f t="shared" si="217"/>
        <v>18500</v>
      </c>
      <c r="MZ708" s="770" t="s">
        <v>13395</v>
      </c>
      <c r="NA708" s="770" t="s">
        <v>13065</v>
      </c>
      <c r="NB708" s="770" t="s">
        <v>13016</v>
      </c>
      <c r="NC708" s="770" t="s">
        <v>13602</v>
      </c>
      <c r="ND708" s="770">
        <v>0</v>
      </c>
      <c r="NE708" s="770">
        <v>0</v>
      </c>
      <c r="NF708" s="770">
        <v>0</v>
      </c>
      <c r="NG708" s="770">
        <v>1</v>
      </c>
      <c r="NH708" s="770">
        <v>0</v>
      </c>
      <c r="NI708" s="770">
        <v>0</v>
      </c>
      <c r="NJ708" s="770">
        <v>0</v>
      </c>
      <c r="NK708" s="770">
        <v>0</v>
      </c>
      <c r="NL708" s="770">
        <v>0</v>
      </c>
      <c r="NM708" s="770">
        <v>0</v>
      </c>
      <c r="NN708" s="770">
        <v>0</v>
      </c>
      <c r="NO708" s="770">
        <v>0</v>
      </c>
      <c r="NP708" s="770">
        <v>0</v>
      </c>
      <c r="NQ708" s="770">
        <v>0</v>
      </c>
      <c r="NR708" s="770">
        <v>0</v>
      </c>
      <c r="NS708" s="770">
        <v>0</v>
      </c>
      <c r="NT708" s="770">
        <v>0</v>
      </c>
      <c r="NU708" s="770">
        <v>0</v>
      </c>
      <c r="NV708" s="770">
        <v>0</v>
      </c>
      <c r="NW708" s="770">
        <v>0</v>
      </c>
      <c r="NX708" s="770">
        <v>0</v>
      </c>
      <c r="NY708" s="770" t="s">
        <v>1208</v>
      </c>
      <c r="NZ708" s="770"/>
      <c r="OA708" s="770"/>
      <c r="OB708" s="770" t="s">
        <v>1208</v>
      </c>
      <c r="OC708" s="770" t="s">
        <v>1208</v>
      </c>
      <c r="OD708" s="770" t="s">
        <v>1208</v>
      </c>
      <c r="OE708" s="770"/>
      <c r="OF708" s="770"/>
      <c r="OG708" s="770"/>
      <c r="OH708" s="770"/>
      <c r="OI708" s="770"/>
      <c r="OJ708" s="770"/>
      <c r="OK708" s="770"/>
      <c r="OL708" s="770"/>
      <c r="OM708" s="770"/>
      <c r="ON708" s="770"/>
      <c r="OO708" s="770"/>
      <c r="OP708" s="770"/>
      <c r="OQ708" s="770"/>
      <c r="OR708" s="770"/>
      <c r="OS708" s="770"/>
      <c r="OT708" s="770"/>
      <c r="OU708" s="770"/>
      <c r="OV708" s="770"/>
      <c r="OW708" s="770"/>
      <c r="OX708" s="770"/>
      <c r="OY708" s="770"/>
      <c r="OZ708" s="770"/>
      <c r="PA708" s="770"/>
      <c r="PB708" s="770"/>
      <c r="PC708" s="770"/>
      <c r="PD708" s="770"/>
      <c r="PE708" s="770"/>
      <c r="PF708" s="770"/>
      <c r="PG708" s="770"/>
      <c r="PH708" s="770"/>
      <c r="PI708" s="770"/>
      <c r="PJ708" s="770"/>
      <c r="PK708" s="770" t="s">
        <v>1208</v>
      </c>
      <c r="PL708" s="770"/>
      <c r="PM708" s="770"/>
      <c r="PN708" s="770"/>
      <c r="PO708" s="770"/>
      <c r="PP708" s="770"/>
      <c r="PQ708" s="770"/>
      <c r="PR708" s="770" t="s">
        <v>1208</v>
      </c>
      <c r="PS708" s="770" t="s">
        <v>1208</v>
      </c>
      <c r="PT708" s="770" t="s">
        <v>1208</v>
      </c>
      <c r="PU708" s="770"/>
      <c r="PV708" s="770"/>
      <c r="PW708" s="770"/>
      <c r="PX708" s="770"/>
      <c r="PY708" s="770"/>
      <c r="PZ708" s="770"/>
      <c r="QA708" s="770"/>
      <c r="QB708" s="770"/>
      <c r="QC708" s="770"/>
      <c r="QD708" s="770"/>
      <c r="QE708" s="770"/>
      <c r="QF708" s="770"/>
      <c r="QG708" s="770"/>
      <c r="QH708" s="770"/>
      <c r="QI708" s="770"/>
      <c r="QJ708" s="770"/>
      <c r="QK708" s="770"/>
      <c r="QL708" s="770"/>
      <c r="QM708" s="770"/>
      <c r="QN708" s="770"/>
      <c r="QO708" s="770"/>
      <c r="QP708" s="770"/>
      <c r="QQ708" s="770"/>
      <c r="QR708" s="770"/>
      <c r="QS708" s="770"/>
      <c r="QT708" s="770"/>
      <c r="QU708" s="770"/>
      <c r="QV708" s="770"/>
      <c r="QW708" s="770"/>
      <c r="QX708" s="770"/>
      <c r="QY708" s="770"/>
      <c r="QZ708" s="770"/>
      <c r="RA708" s="770"/>
      <c r="RB708" s="770" t="s">
        <v>1214</v>
      </c>
      <c r="RC708" s="770"/>
      <c r="RD708" s="770"/>
      <c r="RE708" s="770"/>
      <c r="RF708" s="304"/>
      <c r="RG708" s="770"/>
      <c r="RH708" s="306"/>
      <c r="RI708" s="770"/>
      <c r="RJ708" s="94" t="s">
        <v>13929</v>
      </c>
      <c r="RK708" s="770" t="s">
        <v>13552</v>
      </c>
      <c r="RL708" s="1710">
        <v>42844</v>
      </c>
      <c r="RM708" s="12"/>
      <c r="RN708" s="1711"/>
      <c r="RO708" s="149" t="s">
        <v>4604</v>
      </c>
      <c r="RP708" s="11"/>
      <c r="RQ708" s="11"/>
      <c r="RR708" s="19" t="s">
        <v>7421</v>
      </c>
      <c r="RS708" s="1139" t="s">
        <v>12980</v>
      </c>
      <c r="RT708" s="11"/>
      <c r="RU708" s="11"/>
      <c r="RV708" s="771" t="s">
        <v>12355</v>
      </c>
      <c r="RW708" s="11" t="s">
        <v>8022</v>
      </c>
      <c r="RX708" s="11" t="s">
        <v>3112</v>
      </c>
      <c r="RY708" s="11"/>
      <c r="RZ708" s="11" t="s">
        <v>2209</v>
      </c>
      <c r="SA708" s="771"/>
      <c r="SB708" s="11"/>
      <c r="SC708" s="11"/>
    </row>
    <row r="709" spans="1:497" ht="12.75" customHeight="1">
      <c r="A709" s="19" t="s">
        <v>7421</v>
      </c>
      <c r="B709" s="292" t="s">
        <v>8025</v>
      </c>
      <c r="C709" s="149" t="s">
        <v>4618</v>
      </c>
      <c r="D709" s="94" t="s">
        <v>4610</v>
      </c>
      <c r="E709" s="766" t="s">
        <v>3136</v>
      </c>
      <c r="F709" s="770" t="s">
        <v>28</v>
      </c>
      <c r="G709" s="770" t="s">
        <v>10</v>
      </c>
      <c r="H709" s="295" t="s">
        <v>4611</v>
      </c>
      <c r="I709" s="295"/>
      <c r="J709" s="94" t="s">
        <v>4610</v>
      </c>
      <c r="K709" s="766" t="s">
        <v>4612</v>
      </c>
      <c r="L709" s="766" t="s">
        <v>3152</v>
      </c>
      <c r="M709" s="770" t="s">
        <v>1238</v>
      </c>
      <c r="N709" s="1757" t="s">
        <v>7233</v>
      </c>
      <c r="O709" s="1757" t="s">
        <v>7234</v>
      </c>
      <c r="P709" s="94" t="s">
        <v>4613</v>
      </c>
      <c r="Q709" s="1088">
        <v>30971</v>
      </c>
      <c r="R709" s="297">
        <v>32</v>
      </c>
      <c r="S709" s="770" t="s">
        <v>10</v>
      </c>
      <c r="T709" s="295" t="s">
        <v>4611</v>
      </c>
      <c r="U709" s="298"/>
      <c r="V709" s="770" t="s">
        <v>722</v>
      </c>
      <c r="W709" s="770"/>
      <c r="X709" s="770"/>
      <c r="Y709" s="770" t="s">
        <v>3136</v>
      </c>
      <c r="Z709" s="770" t="s">
        <v>708</v>
      </c>
      <c r="AA709" s="770" t="s">
        <v>709</v>
      </c>
      <c r="AB709" s="770" t="s">
        <v>744</v>
      </c>
      <c r="AC709" s="770"/>
      <c r="AD709" s="770" t="s">
        <v>711</v>
      </c>
      <c r="AE709" s="770"/>
      <c r="AF709" s="770" t="s">
        <v>712</v>
      </c>
      <c r="AG709" s="766" t="s">
        <v>1132</v>
      </c>
      <c r="AH709" s="766" t="s">
        <v>1096</v>
      </c>
      <c r="AI709" s="770"/>
      <c r="AJ709" s="770" t="s">
        <v>1137</v>
      </c>
      <c r="AK709" s="770" t="s">
        <v>1101</v>
      </c>
      <c r="AL709" s="531">
        <v>16.100000000000001</v>
      </c>
      <c r="AM709" s="780">
        <v>7.32</v>
      </c>
      <c r="AN709" s="532">
        <f t="shared" si="214"/>
        <v>0.45465838509316769</v>
      </c>
      <c r="AO709" s="766" t="s">
        <v>1149</v>
      </c>
      <c r="AP709" s="766"/>
      <c r="AQ709" s="766"/>
      <c r="AR709" s="766"/>
      <c r="AS709" s="770"/>
      <c r="AT709" s="770"/>
      <c r="AU709" s="770"/>
      <c r="AV709" s="770"/>
      <c r="AW709" s="770"/>
      <c r="AX709" s="770"/>
      <c r="AY709" s="770"/>
      <c r="AZ709" s="770"/>
      <c r="BA709" s="770"/>
      <c r="BB709" s="770"/>
      <c r="BC709" s="770"/>
      <c r="BD709" s="770"/>
      <c r="BE709" s="770"/>
      <c r="BF709" s="302"/>
      <c r="BG709" s="302"/>
      <c r="BH709" s="770"/>
      <c r="BI709" s="770"/>
      <c r="BJ709" s="770"/>
      <c r="BK709" s="766" t="s">
        <v>1095</v>
      </c>
      <c r="BL709" s="766" t="s">
        <v>4614</v>
      </c>
      <c r="BM709" s="770" t="s">
        <v>8127</v>
      </c>
      <c r="BN709" s="766" t="s">
        <v>1230</v>
      </c>
      <c r="BO709" s="770" t="s">
        <v>1333</v>
      </c>
      <c r="BP709" s="1109">
        <v>32.200000000000003</v>
      </c>
      <c r="BQ709" s="773">
        <v>15.64</v>
      </c>
      <c r="BR709" s="774">
        <f t="shared" si="215"/>
        <v>0.48571428571428571</v>
      </c>
      <c r="BS709" s="766" t="s">
        <v>1149</v>
      </c>
      <c r="BT709" s="766" t="s">
        <v>8133</v>
      </c>
      <c r="BU709" s="770" t="s">
        <v>1249</v>
      </c>
      <c r="BV709" s="770" t="s">
        <v>1247</v>
      </c>
      <c r="BW709" s="770">
        <v>1984</v>
      </c>
      <c r="BX709" s="302"/>
      <c r="BY709" s="770"/>
      <c r="BZ709" s="302"/>
      <c r="CA709" s="770"/>
      <c r="CB709" s="770"/>
      <c r="CC709" s="770"/>
      <c r="CD709" s="770"/>
      <c r="CE709" s="302"/>
      <c r="CF709" s="304"/>
      <c r="CG709" s="321"/>
      <c r="CH709" s="770"/>
      <c r="CI709" s="770"/>
      <c r="CJ709" s="770"/>
      <c r="CK709" s="770"/>
      <c r="CL709" s="770"/>
      <c r="CM709" s="770"/>
      <c r="CN709" s="770"/>
      <c r="CO709" s="770"/>
      <c r="CP709" s="770"/>
      <c r="CQ709" s="770"/>
      <c r="CR709" s="302"/>
      <c r="CS709" s="770"/>
      <c r="CT709" s="770"/>
      <c r="CU709" s="305"/>
      <c r="CV709" s="770"/>
      <c r="CW709" s="770"/>
      <c r="CX709" s="770"/>
      <c r="CY709" s="770"/>
      <c r="CZ709" s="770"/>
      <c r="DA709" s="306"/>
      <c r="DB709" s="770"/>
      <c r="DC709" s="770"/>
      <c r="DD709" s="770"/>
      <c r="DE709" s="300"/>
      <c r="DF709" s="770"/>
      <c r="DG709" s="770"/>
      <c r="DH709" s="770"/>
      <c r="DI709" s="770"/>
      <c r="DJ709" s="770"/>
      <c r="DK709" s="770"/>
      <c r="DL709" s="770"/>
      <c r="DM709" s="770"/>
      <c r="DN709" s="322"/>
      <c r="DO709" s="770"/>
      <c r="DP709" s="770"/>
      <c r="DQ709" s="770"/>
      <c r="DR709" s="770"/>
      <c r="DS709" s="307"/>
      <c r="DT709" s="770"/>
      <c r="DU709" s="770"/>
      <c r="DV709" s="770"/>
      <c r="DW709" s="306"/>
      <c r="DX709" s="306"/>
      <c r="DY709" s="1055"/>
      <c r="DZ709" s="770"/>
      <c r="EA709" s="770"/>
      <c r="EB709" s="770"/>
      <c r="EC709" s="770"/>
      <c r="ED709" s="770"/>
      <c r="EE709" s="770"/>
      <c r="EF709" s="770"/>
      <c r="EG709" s="770"/>
      <c r="EH709" s="770"/>
      <c r="EI709" s="770"/>
      <c r="EJ709" s="770"/>
      <c r="EK709" s="770"/>
      <c r="EL709" s="770"/>
      <c r="EM709" s="770"/>
      <c r="EN709" s="770"/>
      <c r="EO709" s="770"/>
      <c r="EP709" s="94"/>
      <c r="EQ709" s="770"/>
      <c r="ER709" s="770"/>
      <c r="ES709" s="770"/>
      <c r="ET709" s="770"/>
      <c r="EU709" s="770"/>
      <c r="EV709" s="770"/>
      <c r="EW709" s="770"/>
      <c r="EX709" s="770"/>
      <c r="EY709" s="770"/>
      <c r="EZ709" s="770"/>
      <c r="FA709" s="770"/>
      <c r="FB709" s="770"/>
      <c r="FC709" s="770"/>
      <c r="FD709" s="302"/>
      <c r="FE709" s="770"/>
      <c r="FF709" s="770"/>
      <c r="FG709" s="770"/>
      <c r="FH709" s="770" t="s">
        <v>478</v>
      </c>
      <c r="FI709" s="770">
        <v>1</v>
      </c>
      <c r="FJ709" s="770"/>
      <c r="FK709" s="770"/>
      <c r="FL709" s="770"/>
      <c r="FM709" s="302"/>
      <c r="FN709" s="302"/>
      <c r="FO709" s="302"/>
      <c r="FP709" s="766" t="s">
        <v>1602</v>
      </c>
      <c r="FQ709" s="766" t="s">
        <v>1660</v>
      </c>
      <c r="FR709" s="770" t="s">
        <v>1214</v>
      </c>
      <c r="FS709" s="770"/>
      <c r="FT709" s="770"/>
      <c r="FU709" s="770"/>
      <c r="FV709" s="770"/>
      <c r="FW709" s="770"/>
      <c r="FX709" s="770"/>
      <c r="FY709" s="770"/>
      <c r="FZ709" s="770"/>
      <c r="GA709" s="770"/>
      <c r="GB709" s="770" t="s">
        <v>1734</v>
      </c>
      <c r="GC709" s="308"/>
      <c r="GD709" s="297">
        <v>1984</v>
      </c>
      <c r="GE709" s="770" t="s">
        <v>1214</v>
      </c>
      <c r="GF709" s="302"/>
      <c r="GG709" s="302"/>
      <c r="GH709" s="712" t="s">
        <v>1791</v>
      </c>
      <c r="GI709" s="770"/>
      <c r="GJ709" s="770"/>
      <c r="GK709" s="770" t="s">
        <v>2407</v>
      </c>
      <c r="GL709" s="770"/>
      <c r="GM709" s="770"/>
      <c r="GN709" s="299" t="s">
        <v>2769</v>
      </c>
      <c r="GO709" s="770" t="s">
        <v>2770</v>
      </c>
      <c r="GP709" s="770" t="s">
        <v>1208</v>
      </c>
      <c r="GQ709" s="770" t="s">
        <v>1208</v>
      </c>
      <c r="GR709" s="770" t="s">
        <v>1208</v>
      </c>
      <c r="GS709" s="770" t="s">
        <v>1208</v>
      </c>
      <c r="GT709" s="770" t="s">
        <v>1208</v>
      </c>
      <c r="GU709" s="770"/>
      <c r="GV709" s="770"/>
      <c r="GW709" s="770" t="s">
        <v>1207</v>
      </c>
      <c r="GX709" s="770"/>
      <c r="GY709" s="770" t="s">
        <v>1208</v>
      </c>
      <c r="GZ709" s="770" t="s">
        <v>1208</v>
      </c>
      <c r="HA709" s="770" t="s">
        <v>1208</v>
      </c>
      <c r="HB709" s="770" t="s">
        <v>1208</v>
      </c>
      <c r="HC709" s="770" t="s">
        <v>1208</v>
      </c>
      <c r="HD709" s="770" t="s">
        <v>1208</v>
      </c>
      <c r="HE709" s="770" t="s">
        <v>1208</v>
      </c>
      <c r="HF709" s="770"/>
      <c r="HG709" s="770"/>
      <c r="HH709" s="770"/>
      <c r="HI709" s="770" t="s">
        <v>1214</v>
      </c>
      <c r="HJ709" s="770"/>
      <c r="HK709" s="770"/>
      <c r="HL709" s="770" t="s">
        <v>1214</v>
      </c>
      <c r="HM709" s="770"/>
      <c r="HN709" s="770"/>
      <c r="HO709" s="770"/>
      <c r="HP709" s="770"/>
      <c r="HQ709" s="770"/>
      <c r="HR709" s="770"/>
      <c r="HS709" s="770"/>
      <c r="HT709" s="770"/>
      <c r="HU709" s="770"/>
      <c r="HV709" s="770"/>
      <c r="HW709" s="770"/>
      <c r="HX709" s="770"/>
      <c r="HY709" s="770"/>
      <c r="HZ709" s="770"/>
      <c r="IA709" s="770"/>
      <c r="IB709" s="14" t="e">
        <f>IF(#REF!&gt;0,IF(#REF!&lt;=10000,"Y",""),"")</f>
        <v>#REF!</v>
      </c>
      <c r="IC709" s="770"/>
      <c r="ID709" s="770"/>
      <c r="IE709" s="770"/>
      <c r="IF709" s="770" t="s">
        <v>11686</v>
      </c>
      <c r="IG709" s="770" t="s">
        <v>10</v>
      </c>
      <c r="IH709" s="770" t="s">
        <v>478</v>
      </c>
      <c r="II709" s="766" t="s">
        <v>3136</v>
      </c>
      <c r="IJ709" s="770" t="s">
        <v>11687</v>
      </c>
      <c r="IK709" s="766" t="s">
        <v>2639</v>
      </c>
      <c r="IL709" s="770" t="s">
        <v>4615</v>
      </c>
      <c r="IM709" s="770">
        <v>2015</v>
      </c>
      <c r="IN709" s="770" t="s">
        <v>4615</v>
      </c>
      <c r="IO709" s="296">
        <v>30971</v>
      </c>
      <c r="IP709" s="770" t="s">
        <v>478</v>
      </c>
      <c r="IQ709" s="770" t="s">
        <v>8218</v>
      </c>
      <c r="IR709" s="766" t="s">
        <v>2716</v>
      </c>
      <c r="IS709" s="770" t="s">
        <v>1966</v>
      </c>
      <c r="IT709" s="770" t="s">
        <v>1208</v>
      </c>
      <c r="IU709" s="770"/>
      <c r="IV709" s="770"/>
      <c r="IW709" s="770" t="s">
        <v>13930</v>
      </c>
      <c r="IX709" s="770" t="s">
        <v>4611</v>
      </c>
      <c r="IY709" s="770"/>
      <c r="IZ709" s="770"/>
      <c r="JA709" s="770" t="s">
        <v>1880</v>
      </c>
      <c r="JB709" s="766" t="s">
        <v>12766</v>
      </c>
      <c r="JC709" s="770"/>
      <c r="JD709" s="302">
        <v>10000</v>
      </c>
      <c r="JE709" s="770"/>
      <c r="JF709" s="770"/>
      <c r="JG709" s="770"/>
      <c r="JH709" s="307"/>
      <c r="JI709" s="307"/>
      <c r="JJ709" s="770">
        <v>4</v>
      </c>
      <c r="JK709" s="1139" t="s">
        <v>4615</v>
      </c>
      <c r="JL709" s="770"/>
      <c r="JM709" s="770"/>
      <c r="JN709" s="770">
        <v>2</v>
      </c>
      <c r="JO709" s="770">
        <v>2</v>
      </c>
      <c r="JP709" s="770"/>
      <c r="JQ709" s="770"/>
      <c r="JR709" s="770"/>
      <c r="JS709" s="770"/>
      <c r="JT709" s="766">
        <f t="shared" si="213"/>
        <v>2</v>
      </c>
      <c r="JU709" s="766">
        <f t="shared" si="213"/>
        <v>2</v>
      </c>
      <c r="JV709" s="712" t="str">
        <f t="shared" si="218"/>
        <v>ok</v>
      </c>
      <c r="JW709" s="712" t="str">
        <f t="shared" si="219"/>
        <v>ok</v>
      </c>
      <c r="JX709" s="770"/>
      <c r="JY709" s="770"/>
      <c r="JZ709" s="770"/>
      <c r="KA709" s="770"/>
      <c r="KB709" s="770">
        <v>1</v>
      </c>
      <c r="KC709" s="770">
        <v>1</v>
      </c>
      <c r="KD709" s="770">
        <v>1</v>
      </c>
      <c r="KE709" s="770">
        <v>1</v>
      </c>
      <c r="KF709" s="770"/>
      <c r="KG709" s="770"/>
      <c r="KH709" s="770"/>
      <c r="KI709" s="770"/>
      <c r="KJ709" s="770">
        <f t="shared" si="204"/>
        <v>2</v>
      </c>
      <c r="KK709" s="770">
        <f t="shared" si="204"/>
        <v>2</v>
      </c>
      <c r="KL709" s="712" t="str">
        <f t="shared" si="220"/>
        <v>ok</v>
      </c>
      <c r="KM709" s="712" t="str">
        <f t="shared" si="221"/>
        <v>ok</v>
      </c>
      <c r="KN709" s="770" t="s">
        <v>722</v>
      </c>
      <c r="KO709" s="770"/>
      <c r="KP709" s="770"/>
      <c r="KQ709" s="770"/>
      <c r="KR709" s="770"/>
      <c r="KS709" s="770"/>
      <c r="KT709" s="770"/>
      <c r="KU709" s="770"/>
      <c r="KV709" s="770"/>
      <c r="KW709" s="770"/>
      <c r="KX709" s="770"/>
      <c r="KY709" s="770"/>
      <c r="KZ709" s="770"/>
      <c r="LA709" s="770"/>
      <c r="LB709" s="770"/>
      <c r="LC709" s="770"/>
      <c r="LD709" s="770">
        <v>2</v>
      </c>
      <c r="LE709" s="770">
        <v>2</v>
      </c>
      <c r="LF709" s="770"/>
      <c r="LG709" s="770"/>
      <c r="LH709" s="770"/>
      <c r="LI709" s="770"/>
      <c r="LJ709" s="770"/>
      <c r="LK709" s="770"/>
      <c r="LL709" s="770"/>
      <c r="LM709" s="770"/>
      <c r="LN709" s="766">
        <f t="shared" si="209"/>
        <v>2</v>
      </c>
      <c r="LO709" s="766">
        <f t="shared" si="209"/>
        <v>2</v>
      </c>
      <c r="LP709" s="770">
        <v>1</v>
      </c>
      <c r="LQ709" s="770"/>
      <c r="LR709" s="770">
        <v>1</v>
      </c>
      <c r="LS709" s="770"/>
      <c r="LT709" s="712" t="str">
        <f t="shared" si="222"/>
        <v>OK</v>
      </c>
      <c r="LU709" s="770"/>
      <c r="LV709" s="770"/>
      <c r="LW709" s="770"/>
      <c r="LX709" s="769">
        <v>1</v>
      </c>
      <c r="LY709" s="766" t="str">
        <f t="shared" si="210"/>
        <v>within the BRGY</v>
      </c>
      <c r="LZ709" s="1709"/>
      <c r="MA709" s="12"/>
      <c r="MB709" s="1709"/>
      <c r="MC709" s="1679">
        <f t="shared" si="208"/>
        <v>0</v>
      </c>
      <c r="MD709" s="1709"/>
      <c r="ME709" s="1709">
        <v>10000</v>
      </c>
      <c r="MF709" s="1709"/>
      <c r="MG709" s="1680">
        <f t="shared" si="223"/>
        <v>10000</v>
      </c>
      <c r="MH709" s="770" t="s">
        <v>4617</v>
      </c>
      <c r="MI709" s="302">
        <f>300*30</f>
        <v>9000</v>
      </c>
      <c r="MJ709" s="302">
        <v>700</v>
      </c>
      <c r="MK709" s="302">
        <v>700</v>
      </c>
      <c r="ML709" s="302">
        <v>1500</v>
      </c>
      <c r="MM709" s="302"/>
      <c r="MN709" s="302"/>
      <c r="MO709" s="302">
        <v>3000</v>
      </c>
      <c r="MP709" s="302">
        <v>3000</v>
      </c>
      <c r="MQ709" s="302">
        <v>600</v>
      </c>
      <c r="MR709" s="302">
        <v>700</v>
      </c>
      <c r="MS709" s="302">
        <v>1000</v>
      </c>
      <c r="MT709" s="302"/>
      <c r="MU709" s="302"/>
      <c r="MV709" s="302"/>
      <c r="MW709" s="302"/>
      <c r="MX709" s="302"/>
      <c r="MY709" s="1682">
        <f t="shared" si="217"/>
        <v>20200</v>
      </c>
      <c r="MZ709" s="770" t="s">
        <v>13370</v>
      </c>
      <c r="NA709" s="770" t="s">
        <v>13005</v>
      </c>
      <c r="NB709" s="770" t="s">
        <v>13016</v>
      </c>
      <c r="NC709" s="770" t="s">
        <v>13602</v>
      </c>
      <c r="ND709" s="770">
        <v>0</v>
      </c>
      <c r="NE709" s="770">
        <v>0</v>
      </c>
      <c r="NF709" s="770">
        <v>1</v>
      </c>
      <c r="NG709" s="770">
        <v>1</v>
      </c>
      <c r="NH709" s="770">
        <v>0</v>
      </c>
      <c r="NI709" s="770">
        <v>0</v>
      </c>
      <c r="NJ709" s="770">
        <v>0</v>
      </c>
      <c r="NK709" s="770">
        <v>0</v>
      </c>
      <c r="NL709" s="770">
        <v>0</v>
      </c>
      <c r="NM709" s="770">
        <v>0</v>
      </c>
      <c r="NN709" s="770">
        <v>0</v>
      </c>
      <c r="NO709" s="770">
        <v>0</v>
      </c>
      <c r="NP709" s="770">
        <v>0</v>
      </c>
      <c r="NQ709" s="770">
        <v>0</v>
      </c>
      <c r="NR709" s="770">
        <v>1</v>
      </c>
      <c r="NS709" s="770">
        <v>0</v>
      </c>
      <c r="NT709" s="770">
        <v>0</v>
      </c>
      <c r="NU709" s="770">
        <v>0</v>
      </c>
      <c r="NV709" s="770">
        <v>0</v>
      </c>
      <c r="NW709" s="770">
        <v>0</v>
      </c>
      <c r="NX709" s="770">
        <v>0</v>
      </c>
      <c r="NY709" s="770" t="s">
        <v>1208</v>
      </c>
      <c r="NZ709" s="770"/>
      <c r="OA709" s="770" t="s">
        <v>1208</v>
      </c>
      <c r="OB709" s="770" t="s">
        <v>1208</v>
      </c>
      <c r="OC709" s="770"/>
      <c r="OD709" s="770" t="s">
        <v>1208</v>
      </c>
      <c r="OE709" s="770"/>
      <c r="OF709" s="770" t="s">
        <v>2143</v>
      </c>
      <c r="OG709" s="770"/>
      <c r="OH709" s="770"/>
      <c r="OI709" s="770"/>
      <c r="OJ709" s="770"/>
      <c r="OK709" s="770" t="s">
        <v>1208</v>
      </c>
      <c r="OL709" s="770"/>
      <c r="OM709" s="770"/>
      <c r="ON709" s="770"/>
      <c r="OO709" s="770"/>
      <c r="OP709" s="770"/>
      <c r="OQ709" s="770"/>
      <c r="OR709" s="770"/>
      <c r="OS709" s="770"/>
      <c r="OT709" s="770"/>
      <c r="OU709" s="770"/>
      <c r="OV709" s="770"/>
      <c r="OW709" s="770"/>
      <c r="OX709" s="770"/>
      <c r="OY709" s="770"/>
      <c r="OZ709" s="770"/>
      <c r="PA709" s="770"/>
      <c r="PB709" s="770"/>
      <c r="PC709" s="770"/>
      <c r="PD709" s="770"/>
      <c r="PE709" s="770"/>
      <c r="PF709" s="770"/>
      <c r="PG709" s="770"/>
      <c r="PH709" s="770"/>
      <c r="PI709" s="770"/>
      <c r="PJ709" s="770"/>
      <c r="PK709" s="770" t="s">
        <v>1208</v>
      </c>
      <c r="PL709" s="770"/>
      <c r="PM709" s="770"/>
      <c r="PN709" s="770"/>
      <c r="PO709" s="770"/>
      <c r="PP709" s="770"/>
      <c r="PQ709" s="770"/>
      <c r="PR709" s="770"/>
      <c r="PS709" s="770" t="s">
        <v>1208</v>
      </c>
      <c r="PT709" s="770" t="s">
        <v>1208</v>
      </c>
      <c r="PU709" s="770"/>
      <c r="PV709" s="770"/>
      <c r="PW709" s="770"/>
      <c r="PX709" s="770"/>
      <c r="PY709" s="770"/>
      <c r="PZ709" s="770"/>
      <c r="QA709" s="770"/>
      <c r="QB709" s="770"/>
      <c r="QC709" s="770"/>
      <c r="QD709" s="770"/>
      <c r="QE709" s="770"/>
      <c r="QF709" s="770"/>
      <c r="QG709" s="770"/>
      <c r="QH709" s="770"/>
      <c r="QI709" s="770"/>
      <c r="QJ709" s="770"/>
      <c r="QK709" s="770"/>
      <c r="QL709" s="770"/>
      <c r="QM709" s="770"/>
      <c r="QN709" s="770"/>
      <c r="QO709" s="770"/>
      <c r="QP709" s="770"/>
      <c r="QQ709" s="770"/>
      <c r="QR709" s="770"/>
      <c r="QS709" s="770"/>
      <c r="QT709" s="770"/>
      <c r="QU709" s="770"/>
      <c r="QV709" s="770"/>
      <c r="QW709" s="770"/>
      <c r="QX709" s="770"/>
      <c r="QY709" s="770"/>
      <c r="QZ709" s="770"/>
      <c r="RA709" s="770"/>
      <c r="RB709" s="770" t="s">
        <v>1214</v>
      </c>
      <c r="RC709" s="770"/>
      <c r="RD709" s="770"/>
      <c r="RE709" s="770"/>
      <c r="RF709" s="304"/>
      <c r="RG709" s="770"/>
      <c r="RH709" s="306"/>
      <c r="RI709" s="770"/>
      <c r="RJ709" s="94" t="s">
        <v>13931</v>
      </c>
      <c r="RK709" s="770" t="s">
        <v>13552</v>
      </c>
      <c r="RL709" s="1710">
        <v>42844</v>
      </c>
      <c r="RM709" s="12"/>
      <c r="RN709" s="1711"/>
      <c r="RO709" s="149" t="s">
        <v>4618</v>
      </c>
      <c r="RP709" s="11"/>
      <c r="RQ709" s="11"/>
      <c r="RR709" s="19" t="s">
        <v>7421</v>
      </c>
      <c r="RS709" s="1139" t="s">
        <v>12980</v>
      </c>
      <c r="RT709" s="11"/>
      <c r="RU709" s="11"/>
      <c r="RV709" s="771" t="s">
        <v>12353</v>
      </c>
      <c r="RW709" s="11" t="s">
        <v>8023</v>
      </c>
      <c r="RX709" s="11" t="s">
        <v>3118</v>
      </c>
      <c r="RY709" s="11"/>
      <c r="RZ709" s="11" t="s">
        <v>2209</v>
      </c>
      <c r="SA709" s="771"/>
      <c r="SB709" s="11"/>
      <c r="SC709" s="11"/>
    </row>
    <row r="710" spans="1:497" ht="12.75" customHeight="1">
      <c r="A710" s="19" t="s">
        <v>7421</v>
      </c>
      <c r="B710" s="809" t="s">
        <v>8026</v>
      </c>
      <c r="C710" s="149" t="s">
        <v>4619</v>
      </c>
      <c r="D710" s="94" t="s">
        <v>4621</v>
      </c>
      <c r="E710" s="766" t="s">
        <v>4622</v>
      </c>
      <c r="F710" s="770" t="s">
        <v>3044</v>
      </c>
      <c r="G710" s="770" t="s">
        <v>10</v>
      </c>
      <c r="H710" s="295"/>
      <c r="I710" s="295"/>
      <c r="J710" s="94" t="s">
        <v>4623</v>
      </c>
      <c r="K710" s="766" t="s">
        <v>4624</v>
      </c>
      <c r="L710" s="766" t="s">
        <v>3077</v>
      </c>
      <c r="M710" s="770" t="s">
        <v>1238</v>
      </c>
      <c r="N710" s="1757" t="s">
        <v>7233</v>
      </c>
      <c r="O710" s="1757" t="s">
        <v>7234</v>
      </c>
      <c r="P710" s="94" t="s">
        <v>4625</v>
      </c>
      <c r="Q710" s="1088">
        <v>30751</v>
      </c>
      <c r="R710" s="297">
        <v>33</v>
      </c>
      <c r="S710" s="770" t="s">
        <v>18</v>
      </c>
      <c r="T710" s="770"/>
      <c r="U710" s="295"/>
      <c r="V710" s="770" t="s">
        <v>707</v>
      </c>
      <c r="W710" s="770"/>
      <c r="X710" s="770"/>
      <c r="Y710" s="770" t="s">
        <v>4622</v>
      </c>
      <c r="Z710" s="770"/>
      <c r="AA710" s="770" t="s">
        <v>709</v>
      </c>
      <c r="AB710" s="770" t="s">
        <v>710</v>
      </c>
      <c r="AC710" s="770"/>
      <c r="AD710" s="770"/>
      <c r="AE710" s="770"/>
      <c r="AF710" s="770" t="s">
        <v>712</v>
      </c>
      <c r="AG710" s="766" t="s">
        <v>1132</v>
      </c>
      <c r="AH710" s="766" t="s">
        <v>1096</v>
      </c>
      <c r="AI710" s="770"/>
      <c r="AJ710" s="770" t="s">
        <v>1137</v>
      </c>
      <c r="AK710" s="770" t="s">
        <v>1101</v>
      </c>
      <c r="AL710" s="531">
        <v>17.899999999999999</v>
      </c>
      <c r="AM710" s="780">
        <v>4.4000000000000004</v>
      </c>
      <c r="AN710" s="532">
        <f t="shared" si="214"/>
        <v>0.24581005586592183</v>
      </c>
      <c r="AO710" s="766" t="s">
        <v>1149</v>
      </c>
      <c r="AP710" s="766"/>
      <c r="AQ710" s="766"/>
      <c r="AR710" s="766"/>
      <c r="AS710" s="770"/>
      <c r="AT710" s="770"/>
      <c r="AU710" s="770"/>
      <c r="AV710" s="770"/>
      <c r="AW710" s="770"/>
      <c r="AX710" s="770"/>
      <c r="AY710" s="770"/>
      <c r="AZ710" s="770"/>
      <c r="BA710" s="770"/>
      <c r="BB710" s="770"/>
      <c r="BC710" s="770"/>
      <c r="BD710" s="770"/>
      <c r="BE710" s="770"/>
      <c r="BF710" s="302"/>
      <c r="BG710" s="302"/>
      <c r="BH710" s="770"/>
      <c r="BI710" s="770"/>
      <c r="BJ710" s="770"/>
      <c r="BK710" s="766" t="s">
        <v>1095</v>
      </c>
      <c r="BL710" s="766" t="s">
        <v>4626</v>
      </c>
      <c r="BM710" s="766" t="s">
        <v>1096</v>
      </c>
      <c r="BN710" s="766" t="s">
        <v>1230</v>
      </c>
      <c r="BO710" s="770" t="s">
        <v>1333</v>
      </c>
      <c r="BP710" s="1109">
        <v>35.96</v>
      </c>
      <c r="BQ710" s="773">
        <v>16.8</v>
      </c>
      <c r="BR710" s="774">
        <f t="shared" si="215"/>
        <v>0.46718576195773082</v>
      </c>
      <c r="BS710" s="766" t="s">
        <v>1149</v>
      </c>
      <c r="BT710" s="766" t="s">
        <v>8133</v>
      </c>
      <c r="BU710" s="770" t="s">
        <v>1249</v>
      </c>
      <c r="BV710" s="770" t="s">
        <v>1247</v>
      </c>
      <c r="BW710" s="769"/>
      <c r="BX710" s="302"/>
      <c r="BY710" s="770"/>
      <c r="BZ710" s="302"/>
      <c r="CA710" s="770"/>
      <c r="CB710" s="770" t="s">
        <v>1207</v>
      </c>
      <c r="CC710" s="770"/>
      <c r="CD710" s="770"/>
      <c r="CE710" s="302"/>
      <c r="CF710" s="304"/>
      <c r="CG710" s="321"/>
      <c r="CH710" s="770"/>
      <c r="CI710" s="770"/>
      <c r="CJ710" s="770"/>
      <c r="CK710" s="770"/>
      <c r="CL710" s="770"/>
      <c r="CM710" s="770"/>
      <c r="CN710" s="770"/>
      <c r="CO710" s="770"/>
      <c r="CP710" s="770"/>
      <c r="CQ710" s="770"/>
      <c r="CR710" s="302"/>
      <c r="CS710" s="770"/>
      <c r="CT710" s="770"/>
      <c r="CU710" s="305"/>
      <c r="CV710" s="770"/>
      <c r="CW710" s="770"/>
      <c r="CX710" s="770"/>
      <c r="CY710" s="770"/>
      <c r="CZ710" s="770"/>
      <c r="DA710" s="306"/>
      <c r="DB710" s="770"/>
      <c r="DC710" s="770"/>
      <c r="DD710" s="770"/>
      <c r="DE710" s="300"/>
      <c r="DF710" s="770"/>
      <c r="DG710" s="770"/>
      <c r="DH710" s="770"/>
      <c r="DI710" s="770"/>
      <c r="DJ710" s="770"/>
      <c r="DK710" s="770"/>
      <c r="DL710" s="770"/>
      <c r="DM710" s="770"/>
      <c r="DN710" s="322"/>
      <c r="DO710" s="770"/>
      <c r="DP710" s="770"/>
      <c r="DQ710" s="770"/>
      <c r="DR710" s="770"/>
      <c r="DS710" s="307"/>
      <c r="DT710" s="770"/>
      <c r="DU710" s="770"/>
      <c r="DV710" s="770"/>
      <c r="DW710" s="306"/>
      <c r="DX710" s="306"/>
      <c r="DY710" s="1055"/>
      <c r="DZ710" s="770"/>
      <c r="EA710" s="770"/>
      <c r="EB710" s="770"/>
      <c r="EC710" s="770"/>
      <c r="ED710" s="770"/>
      <c r="EE710" s="770"/>
      <c r="EF710" s="770"/>
      <c r="EG710" s="770"/>
      <c r="EH710" s="770"/>
      <c r="EI710" s="770"/>
      <c r="EJ710" s="770"/>
      <c r="EK710" s="770"/>
      <c r="EL710" s="770"/>
      <c r="EM710" s="770"/>
      <c r="EN710" s="770"/>
      <c r="EO710" s="770"/>
      <c r="EP710" s="94"/>
      <c r="EQ710" s="770"/>
      <c r="ER710" s="770"/>
      <c r="ES710" s="770"/>
      <c r="ET710" s="770"/>
      <c r="EU710" s="770"/>
      <c r="EV710" s="770"/>
      <c r="EW710" s="770"/>
      <c r="EX710" s="770"/>
      <c r="EY710" s="770"/>
      <c r="EZ710" s="770" t="s">
        <v>4626</v>
      </c>
      <c r="FA710" s="770" t="s">
        <v>3099</v>
      </c>
      <c r="FB710" s="770" t="s">
        <v>1257</v>
      </c>
      <c r="FC710" s="770"/>
      <c r="FD710" s="302"/>
      <c r="FE710" s="770" t="s">
        <v>4627</v>
      </c>
      <c r="FF710" s="770"/>
      <c r="FG710" s="770" t="s">
        <v>4628</v>
      </c>
      <c r="FH710" s="770" t="s">
        <v>478</v>
      </c>
      <c r="FI710" s="770">
        <v>1</v>
      </c>
      <c r="FJ710" s="770"/>
      <c r="FK710" s="770"/>
      <c r="FL710" s="770"/>
      <c r="FM710" s="302"/>
      <c r="FN710" s="302"/>
      <c r="FO710" s="302"/>
      <c r="FP710" s="766" t="s">
        <v>1602</v>
      </c>
      <c r="FQ710" s="766" t="s">
        <v>1660</v>
      </c>
      <c r="FR710" s="770" t="s">
        <v>1214</v>
      </c>
      <c r="FS710" s="770"/>
      <c r="FT710" s="770"/>
      <c r="FU710" s="770"/>
      <c r="FV710" s="770"/>
      <c r="FW710" s="770"/>
      <c r="FX710" s="770"/>
      <c r="FY710" s="770"/>
      <c r="FZ710" s="770"/>
      <c r="GA710" s="770"/>
      <c r="GB710" s="770" t="s">
        <v>853</v>
      </c>
      <c r="GC710" s="308"/>
      <c r="GD710" s="297"/>
      <c r="GE710" s="770" t="s">
        <v>1214</v>
      </c>
      <c r="GF710" s="302"/>
      <c r="GG710" s="302"/>
      <c r="GH710" s="712" t="s">
        <v>14260</v>
      </c>
      <c r="GI710" s="770"/>
      <c r="GJ710" s="770"/>
      <c r="GK710" s="770"/>
      <c r="GL710" s="770"/>
      <c r="GM710" s="770"/>
      <c r="GN710" s="299"/>
      <c r="GO710" s="770"/>
      <c r="GP710" s="770"/>
      <c r="GQ710" s="770"/>
      <c r="GR710" s="770"/>
      <c r="GS710" s="770"/>
      <c r="GT710" s="770"/>
      <c r="GU710" s="770"/>
      <c r="GV710" s="770"/>
      <c r="GW710" s="770"/>
      <c r="GX710" s="770"/>
      <c r="GY710" s="770"/>
      <c r="GZ710" s="770"/>
      <c r="HA710" s="770"/>
      <c r="HB710" s="770"/>
      <c r="HC710" s="770"/>
      <c r="HD710" s="770"/>
      <c r="HE710" s="770"/>
      <c r="HF710" s="770"/>
      <c r="HG710" s="770"/>
      <c r="HH710" s="770"/>
      <c r="HI710" s="770" t="s">
        <v>1214</v>
      </c>
      <c r="HJ710" s="770"/>
      <c r="HK710" s="770"/>
      <c r="HL710" s="770" t="s">
        <v>1214</v>
      </c>
      <c r="HM710" s="770"/>
      <c r="HN710" s="770"/>
      <c r="HO710" s="770"/>
      <c r="HP710" s="770"/>
      <c r="HQ710" s="770"/>
      <c r="HR710" s="770"/>
      <c r="HS710" s="770"/>
      <c r="HT710" s="770"/>
      <c r="HU710" s="770"/>
      <c r="HV710" s="770"/>
      <c r="HW710" s="770"/>
      <c r="HX710" s="770"/>
      <c r="HY710" s="770"/>
      <c r="HZ710" s="770"/>
      <c r="IA710" s="770"/>
      <c r="IB710" s="14" t="e">
        <f>IF(#REF!&gt;0,IF(#REF!&lt;=10000,"Y",""),"")</f>
        <v>#REF!</v>
      </c>
      <c r="IC710" s="770" t="s">
        <v>1207</v>
      </c>
      <c r="ID710" s="770"/>
      <c r="IE710" s="770"/>
      <c r="IF710" s="770"/>
      <c r="IG710" s="770"/>
      <c r="IH710" s="770"/>
      <c r="II710" s="770"/>
      <c r="IJ710" s="770"/>
      <c r="IK710" s="770"/>
      <c r="IL710" s="770"/>
      <c r="IM710" s="770"/>
      <c r="IN710" s="770"/>
      <c r="IO710" s="296"/>
      <c r="IP710" s="770"/>
      <c r="IQ710" s="770"/>
      <c r="IR710" s="770"/>
      <c r="IS710" s="770"/>
      <c r="IT710" s="770"/>
      <c r="IU710" s="770"/>
      <c r="IV710" s="770"/>
      <c r="IW710" s="770"/>
      <c r="IX710" s="770"/>
      <c r="IY710" s="770"/>
      <c r="IZ710" s="770"/>
      <c r="JA710" s="770"/>
      <c r="JB710" s="770"/>
      <c r="JC710" s="770"/>
      <c r="JD710" s="302"/>
      <c r="JE710" s="770"/>
      <c r="JF710" s="770"/>
      <c r="JG710" s="770"/>
      <c r="JH710" s="307"/>
      <c r="JI710" s="307"/>
      <c r="JJ710" s="770">
        <v>6</v>
      </c>
      <c r="JK710" s="1139" t="s">
        <v>4620</v>
      </c>
      <c r="JL710" s="770"/>
      <c r="JM710" s="770">
        <v>2</v>
      </c>
      <c r="JN710" s="770">
        <v>1</v>
      </c>
      <c r="JO710" s="770">
        <v>2</v>
      </c>
      <c r="JP710" s="770">
        <v>1</v>
      </c>
      <c r="JQ710" s="770"/>
      <c r="JR710" s="770"/>
      <c r="JS710" s="770"/>
      <c r="JT710" s="766">
        <f t="shared" si="213"/>
        <v>2</v>
      </c>
      <c r="JU710" s="766">
        <f t="shared" si="213"/>
        <v>4</v>
      </c>
      <c r="JV710" s="712" t="str">
        <f t="shared" si="218"/>
        <v>ok</v>
      </c>
      <c r="JW710" s="712" t="str">
        <f t="shared" si="219"/>
        <v>ok</v>
      </c>
      <c r="JX710" s="770"/>
      <c r="JY710" s="770">
        <v>1</v>
      </c>
      <c r="JZ710" s="770"/>
      <c r="KA710" s="770">
        <v>1</v>
      </c>
      <c r="KB710" s="770"/>
      <c r="KC710" s="770"/>
      <c r="KD710" s="770">
        <v>1</v>
      </c>
      <c r="KE710" s="770">
        <v>1</v>
      </c>
      <c r="KF710" s="770">
        <v>1</v>
      </c>
      <c r="KG710" s="770">
        <v>1</v>
      </c>
      <c r="KH710" s="770"/>
      <c r="KI710" s="770"/>
      <c r="KJ710" s="770">
        <f t="shared" si="204"/>
        <v>2</v>
      </c>
      <c r="KK710" s="770">
        <f t="shared" si="204"/>
        <v>4</v>
      </c>
      <c r="KL710" s="712" t="str">
        <f t="shared" si="220"/>
        <v>ok</v>
      </c>
      <c r="KM710" s="712" t="str">
        <f t="shared" si="221"/>
        <v>ok</v>
      </c>
      <c r="KN710" s="770" t="s">
        <v>707</v>
      </c>
      <c r="KO710" s="770"/>
      <c r="KP710" s="770"/>
      <c r="KQ710" s="770"/>
      <c r="KR710" s="770"/>
      <c r="KS710" s="770"/>
      <c r="KT710" s="770"/>
      <c r="KU710" s="770">
        <v>1</v>
      </c>
      <c r="KV710" s="770"/>
      <c r="KW710" s="770"/>
      <c r="KX710" s="770">
        <v>1</v>
      </c>
      <c r="KY710" s="770"/>
      <c r="KZ710" s="770"/>
      <c r="LA710" s="770">
        <v>1</v>
      </c>
      <c r="LB710" s="770"/>
      <c r="LC710" s="770"/>
      <c r="LD710" s="770">
        <v>1</v>
      </c>
      <c r="LE710" s="770">
        <v>1</v>
      </c>
      <c r="LF710" s="770"/>
      <c r="LG710" s="770"/>
      <c r="LH710" s="770"/>
      <c r="LI710" s="770"/>
      <c r="LJ710" s="770"/>
      <c r="LK710" s="770">
        <v>1</v>
      </c>
      <c r="LL710" s="770"/>
      <c r="LM710" s="770"/>
      <c r="LN710" s="766">
        <f t="shared" si="209"/>
        <v>2</v>
      </c>
      <c r="LO710" s="766">
        <f t="shared" si="209"/>
        <v>4</v>
      </c>
      <c r="LP710" s="770">
        <v>1</v>
      </c>
      <c r="LQ710" s="770">
        <v>1</v>
      </c>
      <c r="LR710" s="770"/>
      <c r="LS710" s="770"/>
      <c r="LT710" s="712" t="str">
        <f t="shared" si="222"/>
        <v>OK</v>
      </c>
      <c r="LU710" s="770">
        <v>1</v>
      </c>
      <c r="LV710" s="770"/>
      <c r="LW710" s="770"/>
      <c r="LX710" s="769">
        <v>3</v>
      </c>
      <c r="LY710" s="766" t="str">
        <f t="shared" si="210"/>
        <v>within the PROVINCE</v>
      </c>
      <c r="LZ710" s="1709">
        <v>1680</v>
      </c>
      <c r="MA710" s="12"/>
      <c r="MB710" s="1709"/>
      <c r="MC710" s="1679">
        <f t="shared" si="208"/>
        <v>1680</v>
      </c>
      <c r="MD710" s="1709">
        <v>12000</v>
      </c>
      <c r="ME710" s="1709"/>
      <c r="MF710" s="1709"/>
      <c r="MG710" s="1680">
        <f t="shared" si="223"/>
        <v>12000</v>
      </c>
      <c r="MH710" s="770" t="s">
        <v>2225</v>
      </c>
      <c r="MI710" s="302">
        <v>9000</v>
      </c>
      <c r="MJ710" s="302">
        <v>1680</v>
      </c>
      <c r="MK710" s="302">
        <v>1000</v>
      </c>
      <c r="ML710" s="302"/>
      <c r="MM710" s="302"/>
      <c r="MN710" s="302"/>
      <c r="MO710" s="302">
        <v>1500</v>
      </c>
      <c r="MP710" s="302">
        <v>340</v>
      </c>
      <c r="MQ710" s="302">
        <v>500</v>
      </c>
      <c r="MR710" s="302">
        <v>290</v>
      </c>
      <c r="MS710" s="302"/>
      <c r="MT710" s="302"/>
      <c r="MU710" s="302"/>
      <c r="MV710" s="302"/>
      <c r="MW710" s="302"/>
      <c r="MX710" s="302"/>
      <c r="MY710" s="1682">
        <f t="shared" si="217"/>
        <v>14310</v>
      </c>
      <c r="MZ710" s="770" t="s">
        <v>13370</v>
      </c>
      <c r="NA710" s="770" t="s">
        <v>13230</v>
      </c>
      <c r="NB710" s="770" t="s">
        <v>13016</v>
      </c>
      <c r="NC710" s="770" t="s">
        <v>13621</v>
      </c>
      <c r="ND710" s="770">
        <v>1</v>
      </c>
      <c r="NE710" s="770">
        <v>0</v>
      </c>
      <c r="NF710" s="770">
        <v>0</v>
      </c>
      <c r="NG710" s="770">
        <v>3</v>
      </c>
      <c r="NH710" s="770">
        <v>1</v>
      </c>
      <c r="NI710" s="770">
        <v>0</v>
      </c>
      <c r="NJ710" s="770">
        <v>0</v>
      </c>
      <c r="NK710" s="770">
        <v>0</v>
      </c>
      <c r="NL710" s="770">
        <v>0</v>
      </c>
      <c r="NM710" s="770">
        <v>1</v>
      </c>
      <c r="NN710" s="770">
        <v>0</v>
      </c>
      <c r="NO710" s="770">
        <v>0</v>
      </c>
      <c r="NP710" s="770">
        <v>0</v>
      </c>
      <c r="NQ710" s="770">
        <v>0</v>
      </c>
      <c r="NR710" s="770">
        <v>0</v>
      </c>
      <c r="NS710" s="770">
        <v>0</v>
      </c>
      <c r="NT710" s="770">
        <v>0</v>
      </c>
      <c r="NU710" s="770">
        <v>0</v>
      </c>
      <c r="NV710" s="770">
        <v>0</v>
      </c>
      <c r="NW710" s="770">
        <v>0</v>
      </c>
      <c r="NX710" s="770">
        <v>0</v>
      </c>
      <c r="NY710" s="770" t="s">
        <v>1208</v>
      </c>
      <c r="NZ710" s="770" t="s">
        <v>1208</v>
      </c>
      <c r="OA710" s="770" t="s">
        <v>1208</v>
      </c>
      <c r="OB710" s="770" t="s">
        <v>1208</v>
      </c>
      <c r="OC710" s="770" t="s">
        <v>1208</v>
      </c>
      <c r="OD710" s="770" t="s">
        <v>1208</v>
      </c>
      <c r="OE710" s="770"/>
      <c r="OF710" s="770"/>
      <c r="OG710" s="770"/>
      <c r="OH710" s="770"/>
      <c r="OI710" s="770"/>
      <c r="OJ710" s="770"/>
      <c r="OK710" s="770"/>
      <c r="OL710" s="770"/>
      <c r="OM710" s="770"/>
      <c r="ON710" s="770"/>
      <c r="OO710" s="770"/>
      <c r="OP710" s="770"/>
      <c r="OQ710" s="770"/>
      <c r="OR710" s="770"/>
      <c r="OS710" s="770"/>
      <c r="OT710" s="770"/>
      <c r="OU710" s="770"/>
      <c r="OV710" s="770"/>
      <c r="OW710" s="770"/>
      <c r="OX710" s="770"/>
      <c r="OY710" s="770"/>
      <c r="OZ710" s="770"/>
      <c r="PA710" s="770"/>
      <c r="PB710" s="770"/>
      <c r="PC710" s="770"/>
      <c r="PD710" s="770"/>
      <c r="PE710" s="770"/>
      <c r="PF710" s="770"/>
      <c r="PG710" s="770"/>
      <c r="PH710" s="770"/>
      <c r="PI710" s="770"/>
      <c r="PJ710" s="770"/>
      <c r="PK710" s="770"/>
      <c r="PL710" s="770"/>
      <c r="PM710" s="770"/>
      <c r="PN710" s="770"/>
      <c r="PO710" s="770"/>
      <c r="PP710" s="770"/>
      <c r="PQ710" s="770"/>
      <c r="PR710" s="770"/>
      <c r="PS710" s="770"/>
      <c r="PT710" s="770"/>
      <c r="PU710" s="770"/>
      <c r="PV710" s="770"/>
      <c r="PW710" s="770"/>
      <c r="PX710" s="770"/>
      <c r="PY710" s="770"/>
      <c r="PZ710" s="770"/>
      <c r="QA710" s="770"/>
      <c r="QB710" s="770"/>
      <c r="QC710" s="770"/>
      <c r="QD710" s="770"/>
      <c r="QE710" s="770"/>
      <c r="QF710" s="770"/>
      <c r="QG710" s="770"/>
      <c r="QH710" s="770"/>
      <c r="QI710" s="770"/>
      <c r="QJ710" s="770"/>
      <c r="QK710" s="770"/>
      <c r="QL710" s="770"/>
      <c r="QM710" s="770"/>
      <c r="QN710" s="770"/>
      <c r="QO710" s="770"/>
      <c r="QP710" s="770"/>
      <c r="QQ710" s="770"/>
      <c r="QR710" s="770"/>
      <c r="QS710" s="770"/>
      <c r="QT710" s="770"/>
      <c r="QU710" s="770"/>
      <c r="QV710" s="770"/>
      <c r="QW710" s="770"/>
      <c r="QX710" s="770"/>
      <c r="QY710" s="770"/>
      <c r="QZ710" s="770"/>
      <c r="RA710" s="770"/>
      <c r="RB710" s="770" t="s">
        <v>1214</v>
      </c>
      <c r="RC710" s="770"/>
      <c r="RD710" s="770"/>
      <c r="RE710" s="770"/>
      <c r="RF710" s="304"/>
      <c r="RG710" s="770"/>
      <c r="RH710" s="306"/>
      <c r="RI710" s="770"/>
      <c r="RJ710" s="94" t="s">
        <v>13932</v>
      </c>
      <c r="RK710" s="770" t="s">
        <v>13550</v>
      </c>
      <c r="RL710" s="1710">
        <v>42844</v>
      </c>
      <c r="RM710" s="12"/>
      <c r="RN710" s="1711"/>
      <c r="RO710" s="149" t="s">
        <v>4619</v>
      </c>
      <c r="RP710" s="11"/>
      <c r="RQ710" s="11"/>
      <c r="RR710" s="19" t="s">
        <v>7421</v>
      </c>
      <c r="RS710" s="1139" t="s">
        <v>12980</v>
      </c>
      <c r="RT710" s="11"/>
      <c r="RU710" s="11"/>
      <c r="RV710" s="771" t="s">
        <v>7421</v>
      </c>
      <c r="RW710" s="11" t="s">
        <v>8024</v>
      </c>
      <c r="RX710" s="11" t="s">
        <v>4604</v>
      </c>
      <c r="RY710" s="11"/>
      <c r="RZ710" s="11" t="s">
        <v>2209</v>
      </c>
      <c r="SA710" s="771"/>
      <c r="SB710" s="11"/>
      <c r="SC710" s="11"/>
    </row>
    <row r="711" spans="1:497" s="35" customFormat="1" ht="12.75" customHeight="1">
      <c r="A711" s="771" t="s">
        <v>7421</v>
      </c>
      <c r="B711" s="809" t="s">
        <v>8027</v>
      </c>
      <c r="C711" s="149" t="s">
        <v>3123</v>
      </c>
      <c r="D711" s="14" t="s">
        <v>4629</v>
      </c>
      <c r="E711" s="766" t="s">
        <v>4633</v>
      </c>
      <c r="F711" s="766" t="s">
        <v>28</v>
      </c>
      <c r="G711" s="766" t="s">
        <v>18</v>
      </c>
      <c r="H711" s="5"/>
      <c r="I711" s="5"/>
      <c r="J711" s="14" t="s">
        <v>4629</v>
      </c>
      <c r="K711" s="766"/>
      <c r="L711" s="766"/>
      <c r="M711" s="766" t="s">
        <v>1238</v>
      </c>
      <c r="N711" s="1757" t="s">
        <v>7238</v>
      </c>
      <c r="O711" s="1757" t="s">
        <v>7233</v>
      </c>
      <c r="P711" s="14" t="s">
        <v>4631</v>
      </c>
      <c r="Q711" s="1085">
        <v>19200</v>
      </c>
      <c r="R711" s="25">
        <v>64</v>
      </c>
      <c r="S711" s="766" t="s">
        <v>18</v>
      </c>
      <c r="T711" s="766"/>
      <c r="U711" s="5"/>
      <c r="V711" s="766" t="s">
        <v>707</v>
      </c>
      <c r="W711" s="766"/>
      <c r="X711" s="766"/>
      <c r="Y711" s="766" t="s">
        <v>4630</v>
      </c>
      <c r="Z711" s="766" t="s">
        <v>708</v>
      </c>
      <c r="AA711" s="766" t="s">
        <v>709</v>
      </c>
      <c r="AB711" s="770" t="s">
        <v>710</v>
      </c>
      <c r="AC711" s="766" t="s">
        <v>724</v>
      </c>
      <c r="AD711" s="766" t="s">
        <v>711</v>
      </c>
      <c r="AE711" s="766"/>
      <c r="AF711" s="766" t="s">
        <v>712</v>
      </c>
      <c r="AG711" s="766" t="s">
        <v>1132</v>
      </c>
      <c r="AH711" s="766" t="s">
        <v>1096</v>
      </c>
      <c r="AI711" s="766"/>
      <c r="AJ711" s="766" t="s">
        <v>1137</v>
      </c>
      <c r="AK711" s="766" t="s">
        <v>1101</v>
      </c>
      <c r="AL711" s="120">
        <v>9.99</v>
      </c>
      <c r="AM711" s="773">
        <v>6.3</v>
      </c>
      <c r="AN711" s="37">
        <f t="shared" si="214"/>
        <v>0.63063063063063063</v>
      </c>
      <c r="AO711" s="766" t="s">
        <v>1105</v>
      </c>
      <c r="AP711" s="766"/>
      <c r="AQ711" s="766"/>
      <c r="AR711" s="766"/>
      <c r="AS711" s="766"/>
      <c r="AT711" s="766"/>
      <c r="AU711" s="766"/>
      <c r="AV711" s="766"/>
      <c r="AW711" s="766"/>
      <c r="AX711" s="766"/>
      <c r="AY711" s="766"/>
      <c r="AZ711" s="766"/>
      <c r="BA711" s="766"/>
      <c r="BB711" s="766"/>
      <c r="BC711" s="766"/>
      <c r="BD711" s="766"/>
      <c r="BE711" s="766"/>
      <c r="BF711" s="775"/>
      <c r="BG711" s="775"/>
      <c r="BH711" s="766"/>
      <c r="BI711" s="766"/>
      <c r="BJ711" s="766"/>
      <c r="BK711" s="766" t="s">
        <v>1095</v>
      </c>
      <c r="BL711" s="766" t="s">
        <v>4632</v>
      </c>
      <c r="BM711" s="766" t="s">
        <v>1096</v>
      </c>
      <c r="BN711" s="766" t="s">
        <v>1230</v>
      </c>
      <c r="BO711" s="766" t="s">
        <v>1275</v>
      </c>
      <c r="BP711" s="1109">
        <v>29.97</v>
      </c>
      <c r="BQ711" s="773">
        <v>18.899999999999999</v>
      </c>
      <c r="BR711" s="774">
        <f t="shared" si="215"/>
        <v>0.63063063063063063</v>
      </c>
      <c r="BS711" s="766" t="s">
        <v>1105</v>
      </c>
      <c r="BT711" s="766" t="s">
        <v>8133</v>
      </c>
      <c r="BU711" s="770" t="s">
        <v>1249</v>
      </c>
      <c r="BV711" s="770" t="s">
        <v>1247</v>
      </c>
      <c r="BW711" s="769"/>
      <c r="BX711" s="775"/>
      <c r="BY711" s="766"/>
      <c r="BZ711" s="775"/>
      <c r="CA711" s="766"/>
      <c r="CB711" s="766"/>
      <c r="CC711" s="766"/>
      <c r="CD711" s="766"/>
      <c r="CE711" s="775"/>
      <c r="CF711" s="777"/>
      <c r="CG711" s="231"/>
      <c r="CH711" s="766"/>
      <c r="CI711" s="766"/>
      <c r="CJ711" s="766"/>
      <c r="CK711" s="766"/>
      <c r="CL711" s="766"/>
      <c r="CM711" s="766"/>
      <c r="CN711" s="766"/>
      <c r="CO711" s="766"/>
      <c r="CP711" s="766"/>
      <c r="CQ711" s="766"/>
      <c r="CR711" s="775"/>
      <c r="CS711" s="766"/>
      <c r="CT711" s="766"/>
      <c r="CU711" s="129"/>
      <c r="CV711" s="766"/>
      <c r="CW711" s="766"/>
      <c r="CX711" s="766"/>
      <c r="CY711" s="766"/>
      <c r="CZ711" s="766"/>
      <c r="DA711" s="66"/>
      <c r="DB711" s="766"/>
      <c r="DC711" s="766"/>
      <c r="DD711" s="766"/>
      <c r="DE711" s="772"/>
      <c r="DF711" s="766"/>
      <c r="DG711" s="766"/>
      <c r="DH711" s="766"/>
      <c r="DI711" s="766"/>
      <c r="DJ711" s="766"/>
      <c r="DK711" s="766"/>
      <c r="DL711" s="766"/>
      <c r="DM711" s="766"/>
      <c r="DN711" s="44"/>
      <c r="DO711" s="766"/>
      <c r="DP711" s="766"/>
      <c r="DQ711" s="766"/>
      <c r="DR711" s="766"/>
      <c r="DS711" s="59"/>
      <c r="DT711" s="766"/>
      <c r="DU711" s="766"/>
      <c r="DV711" s="766"/>
      <c r="DW711" s="66"/>
      <c r="DX711" s="66"/>
      <c r="DY711" s="1813"/>
      <c r="DZ711" s="766"/>
      <c r="EA711" s="766"/>
      <c r="EB711" s="766"/>
      <c r="EC711" s="766"/>
      <c r="ED711" s="766"/>
      <c r="EE711" s="766"/>
      <c r="EF711" s="766"/>
      <c r="EG711" s="766"/>
      <c r="EH711" s="766"/>
      <c r="EI711" s="766"/>
      <c r="EJ711" s="766"/>
      <c r="EK711" s="766"/>
      <c r="EL711" s="766"/>
      <c r="EM711" s="766"/>
      <c r="EN711" s="766"/>
      <c r="EO711" s="766"/>
      <c r="EP711" s="14"/>
      <c r="EQ711" s="766"/>
      <c r="ER711" s="766"/>
      <c r="ES711" s="766"/>
      <c r="ET711" s="766"/>
      <c r="EU711" s="766"/>
      <c r="EV711" s="766"/>
      <c r="EW711" s="766"/>
      <c r="EX711" s="766"/>
      <c r="EY711" s="766"/>
      <c r="EZ711" s="766"/>
      <c r="FA711" s="766"/>
      <c r="FB711" s="766"/>
      <c r="FC711" s="766"/>
      <c r="FD711" s="775"/>
      <c r="FE711" s="766"/>
      <c r="FF711" s="766"/>
      <c r="FG711" s="766"/>
      <c r="FH711" s="766" t="s">
        <v>478</v>
      </c>
      <c r="FI711" s="766">
        <v>1</v>
      </c>
      <c r="FJ711" s="766"/>
      <c r="FK711" s="766"/>
      <c r="FL711" s="766"/>
      <c r="FM711" s="775"/>
      <c r="FN711" s="775"/>
      <c r="FO711" s="775"/>
      <c r="FP711" s="766" t="s">
        <v>1602</v>
      </c>
      <c r="FQ711" s="766" t="s">
        <v>1660</v>
      </c>
      <c r="FR711" s="766" t="s">
        <v>1214</v>
      </c>
      <c r="FS711" s="766"/>
      <c r="FT711" s="766"/>
      <c r="FU711" s="766"/>
      <c r="FV711" s="766"/>
      <c r="FW711" s="766"/>
      <c r="FX711" s="766"/>
      <c r="FY711" s="766"/>
      <c r="FZ711" s="766"/>
      <c r="GA711" s="766"/>
      <c r="GB711" s="766"/>
      <c r="GC711" s="75"/>
      <c r="GD711" s="25"/>
      <c r="GE711" s="766" t="s">
        <v>1214</v>
      </c>
      <c r="GF711" s="775"/>
      <c r="GG711" s="775"/>
      <c r="GH711" s="712" t="s">
        <v>1791</v>
      </c>
      <c r="GI711" s="766" t="s">
        <v>1008</v>
      </c>
      <c r="GJ711" s="766" t="s">
        <v>3209</v>
      </c>
      <c r="GK711" s="766" t="s">
        <v>3334</v>
      </c>
      <c r="GL711" s="766"/>
      <c r="GM711" s="766"/>
      <c r="GN711" s="121" t="s">
        <v>2769</v>
      </c>
      <c r="GO711" s="766"/>
      <c r="GP711" s="766" t="s">
        <v>1208</v>
      </c>
      <c r="GQ711" s="766" t="s">
        <v>1208</v>
      </c>
      <c r="GR711" s="766"/>
      <c r="GS711" s="766"/>
      <c r="GT711" s="766"/>
      <c r="GU711" s="766"/>
      <c r="GV711" s="766"/>
      <c r="GW711" s="766" t="s">
        <v>1207</v>
      </c>
      <c r="GX711" s="766"/>
      <c r="GY711" s="766"/>
      <c r="GZ711" s="766"/>
      <c r="HA711" s="766" t="s">
        <v>1208</v>
      </c>
      <c r="HB711" s="766" t="s">
        <v>1208</v>
      </c>
      <c r="HC711" s="766" t="s">
        <v>1208</v>
      </c>
      <c r="HD711" s="766" t="s">
        <v>1208</v>
      </c>
      <c r="HE711" s="766" t="s">
        <v>1208</v>
      </c>
      <c r="HF711" s="766"/>
      <c r="HG711" s="766"/>
      <c r="HH711" s="766" t="s">
        <v>1955</v>
      </c>
      <c r="HI711" s="766" t="s">
        <v>1214</v>
      </c>
      <c r="HJ711" s="766"/>
      <c r="HK711" s="766"/>
      <c r="HL711" s="766" t="s">
        <v>1214</v>
      </c>
      <c r="HM711" s="766"/>
      <c r="HN711" s="766"/>
      <c r="HO711" s="766"/>
      <c r="HP711" s="766"/>
      <c r="HQ711" s="766"/>
      <c r="HR711" s="766"/>
      <c r="HS711" s="766"/>
      <c r="HT711" s="766"/>
      <c r="HU711" s="766"/>
      <c r="HV711" s="766"/>
      <c r="HW711" s="766"/>
      <c r="HX711" s="766"/>
      <c r="HY711" s="766"/>
      <c r="HZ711" s="766"/>
      <c r="IA711" s="766"/>
      <c r="IB711" s="14" t="e">
        <f>IF(#REF!&gt;0,IF(#REF!&lt;=10000,"Y",""),"")</f>
        <v>#REF!</v>
      </c>
      <c r="IC711" s="766" t="s">
        <v>1207</v>
      </c>
      <c r="ID711" s="766">
        <v>2</v>
      </c>
      <c r="IE711" s="766"/>
      <c r="IF711" s="1828" t="s">
        <v>4629</v>
      </c>
      <c r="IG711" s="766" t="s">
        <v>18</v>
      </c>
      <c r="IH711" s="766" t="s">
        <v>478</v>
      </c>
      <c r="II711" s="766" t="s">
        <v>4633</v>
      </c>
      <c r="IJ711" s="766" t="s">
        <v>1835</v>
      </c>
      <c r="IK711" s="766" t="s">
        <v>2639</v>
      </c>
      <c r="IL711" s="766" t="s">
        <v>4632</v>
      </c>
      <c r="IM711" s="766">
        <v>1988</v>
      </c>
      <c r="IN711" s="766" t="s">
        <v>4632</v>
      </c>
      <c r="IO711" s="24">
        <v>19200</v>
      </c>
      <c r="IP711" s="766" t="s">
        <v>478</v>
      </c>
      <c r="IQ711" s="13" t="s">
        <v>8144</v>
      </c>
      <c r="IR711" s="766" t="s">
        <v>2716</v>
      </c>
      <c r="IS711" s="766" t="s">
        <v>1883</v>
      </c>
      <c r="IT711" s="766"/>
      <c r="IU711" s="766" t="s">
        <v>1208</v>
      </c>
      <c r="IV711" s="766"/>
      <c r="IW711" s="766" t="s">
        <v>13933</v>
      </c>
      <c r="IX711" s="766"/>
      <c r="IY711" s="766"/>
      <c r="IZ711" s="766"/>
      <c r="JA711" s="766" t="s">
        <v>1880</v>
      </c>
      <c r="JB711" s="766" t="s">
        <v>12766</v>
      </c>
      <c r="JC711" s="766"/>
      <c r="JD711" s="775">
        <v>2000</v>
      </c>
      <c r="JE711" s="766"/>
      <c r="JF711" s="766"/>
      <c r="JG711" s="766"/>
      <c r="JH711" s="59"/>
      <c r="JI711" s="59"/>
      <c r="JJ711" s="766">
        <v>1</v>
      </c>
      <c r="JK711" s="1139" t="s">
        <v>4632</v>
      </c>
      <c r="JL711" s="766"/>
      <c r="JM711" s="766"/>
      <c r="JN711" s="766"/>
      <c r="JO711" s="766"/>
      <c r="JP711" s="766"/>
      <c r="JQ711" s="766">
        <v>1</v>
      </c>
      <c r="JR711" s="766"/>
      <c r="JS711" s="766"/>
      <c r="JT711" s="766">
        <f t="shared" si="213"/>
        <v>0</v>
      </c>
      <c r="JU711" s="766">
        <f t="shared" si="213"/>
        <v>1</v>
      </c>
      <c r="JV711" s="712" t="str">
        <f t="shared" si="218"/>
        <v>ok</v>
      </c>
      <c r="JW711" s="712" t="str">
        <f t="shared" si="219"/>
        <v>ok</v>
      </c>
      <c r="JX711" s="766"/>
      <c r="JY711" s="766"/>
      <c r="JZ711" s="766"/>
      <c r="KA711" s="766"/>
      <c r="KB711" s="766"/>
      <c r="KC711" s="766"/>
      <c r="KD711" s="766"/>
      <c r="KE711" s="766"/>
      <c r="KF711" s="766"/>
      <c r="KG711" s="766">
        <v>1</v>
      </c>
      <c r="KH711" s="766"/>
      <c r="KI711" s="766"/>
      <c r="KJ711" s="770">
        <f t="shared" si="204"/>
        <v>0</v>
      </c>
      <c r="KK711" s="770">
        <f t="shared" si="204"/>
        <v>1</v>
      </c>
      <c r="KL711" s="712" t="str">
        <f t="shared" si="220"/>
        <v>ok</v>
      </c>
      <c r="KM711" s="712" t="str">
        <f t="shared" si="221"/>
        <v>ok</v>
      </c>
      <c r="KN711" s="766" t="s">
        <v>719</v>
      </c>
      <c r="KO711" s="766"/>
      <c r="KP711" s="766"/>
      <c r="KQ711" s="766"/>
      <c r="KR711" s="766"/>
      <c r="KS711" s="766"/>
      <c r="KT711" s="766"/>
      <c r="KU711" s="766"/>
      <c r="KV711" s="766"/>
      <c r="KW711" s="766"/>
      <c r="KX711" s="766"/>
      <c r="KY711" s="766"/>
      <c r="KZ711" s="766"/>
      <c r="LA711" s="766">
        <v>1</v>
      </c>
      <c r="LB711" s="766"/>
      <c r="LC711" s="766"/>
      <c r="LD711" s="766"/>
      <c r="LE711" s="766"/>
      <c r="LF711" s="766"/>
      <c r="LG711" s="766"/>
      <c r="LH711" s="766"/>
      <c r="LI711" s="766"/>
      <c r="LJ711" s="766"/>
      <c r="LK711" s="766"/>
      <c r="LL711" s="766"/>
      <c r="LM711" s="766"/>
      <c r="LN711" s="766">
        <f t="shared" si="209"/>
        <v>0</v>
      </c>
      <c r="LO711" s="766">
        <f t="shared" si="209"/>
        <v>1</v>
      </c>
      <c r="LP711" s="766">
        <v>2</v>
      </c>
      <c r="LQ711" s="766"/>
      <c r="LR711" s="766"/>
      <c r="LS711" s="766">
        <v>2</v>
      </c>
      <c r="LT711" s="712" t="str">
        <f t="shared" si="222"/>
        <v>OK</v>
      </c>
      <c r="LU711" s="766"/>
      <c r="LV711" s="766"/>
      <c r="LW711" s="766"/>
      <c r="LX711" s="769">
        <v>2</v>
      </c>
      <c r="LY711" s="766" t="str">
        <f t="shared" si="210"/>
        <v>within the MUNICIPALITY</v>
      </c>
      <c r="LZ711" s="1696"/>
      <c r="MA711" s="761"/>
      <c r="MB711" s="1696"/>
      <c r="MC711" s="1679">
        <f t="shared" si="208"/>
        <v>0</v>
      </c>
      <c r="MD711" s="1696"/>
      <c r="ME711" s="1696"/>
      <c r="MF711" s="1696">
        <f>SUM(1500,2000)</f>
        <v>3500</v>
      </c>
      <c r="MG711" s="1680">
        <f t="shared" si="223"/>
        <v>3500</v>
      </c>
      <c r="MH711" s="766" t="s">
        <v>4634</v>
      </c>
      <c r="MI711" s="775">
        <v>9000</v>
      </c>
      <c r="MJ711" s="775"/>
      <c r="MK711" s="775">
        <f>1000/12</f>
        <v>83.333333333333329</v>
      </c>
      <c r="ML711" s="775"/>
      <c r="MM711" s="775">
        <f>3000/12</f>
        <v>250</v>
      </c>
      <c r="MN711" s="775"/>
      <c r="MO711" s="775"/>
      <c r="MP711" s="775">
        <v>2300</v>
      </c>
      <c r="MQ711" s="775">
        <v>250</v>
      </c>
      <c r="MR711" s="775">
        <v>300</v>
      </c>
      <c r="MS711" s="775">
        <f>20000/12</f>
        <v>1666.6666666666667</v>
      </c>
      <c r="MT711" s="775"/>
      <c r="MU711" s="775"/>
      <c r="MV711" s="775"/>
      <c r="MW711" s="775"/>
      <c r="MX711" s="775"/>
      <c r="MY711" s="1682">
        <f t="shared" si="217"/>
        <v>13850</v>
      </c>
      <c r="MZ711" s="766" t="s">
        <v>13370</v>
      </c>
      <c r="NA711" s="766" t="s">
        <v>13005</v>
      </c>
      <c r="NB711" s="766" t="s">
        <v>13016</v>
      </c>
      <c r="NC711" s="766" t="s">
        <v>13602</v>
      </c>
      <c r="ND711" s="766">
        <v>0</v>
      </c>
      <c r="NE711" s="766">
        <v>0</v>
      </c>
      <c r="NF711" s="766">
        <v>1</v>
      </c>
      <c r="NG711" s="766">
        <v>2</v>
      </c>
      <c r="NH711" s="766">
        <v>2</v>
      </c>
      <c r="NI711" s="766">
        <v>1</v>
      </c>
      <c r="NJ711" s="766">
        <v>1</v>
      </c>
      <c r="NK711" s="766">
        <v>0</v>
      </c>
      <c r="NL711" s="766">
        <v>2</v>
      </c>
      <c r="NM711" s="766">
        <v>1</v>
      </c>
      <c r="NN711" s="766">
        <v>0</v>
      </c>
      <c r="NO711" s="766">
        <v>0</v>
      </c>
      <c r="NP711" s="766">
        <v>0</v>
      </c>
      <c r="NQ711" s="766">
        <v>1</v>
      </c>
      <c r="NR711" s="766">
        <v>0</v>
      </c>
      <c r="NS711" s="766">
        <v>0</v>
      </c>
      <c r="NT711" s="766">
        <v>0</v>
      </c>
      <c r="NU711" s="766">
        <v>0</v>
      </c>
      <c r="NV711" s="766">
        <v>0</v>
      </c>
      <c r="NW711" s="766">
        <v>0</v>
      </c>
      <c r="NX711" s="766">
        <v>0</v>
      </c>
      <c r="NY711" s="766" t="s">
        <v>1208</v>
      </c>
      <c r="NZ711" s="766" t="s">
        <v>1208</v>
      </c>
      <c r="OA711" s="766" t="s">
        <v>1208</v>
      </c>
      <c r="OB711" s="766"/>
      <c r="OC711" s="766" t="s">
        <v>1208</v>
      </c>
      <c r="OD711" s="766" t="s">
        <v>1208</v>
      </c>
      <c r="OE711" s="766"/>
      <c r="OF711" s="1834" t="s">
        <v>13034</v>
      </c>
      <c r="OG711" s="766"/>
      <c r="OH711" s="766"/>
      <c r="OI711" s="766"/>
      <c r="OJ711" s="766"/>
      <c r="OK711" s="766"/>
      <c r="OL711" s="766"/>
      <c r="OM711" s="766"/>
      <c r="ON711" s="766"/>
      <c r="OO711" s="766"/>
      <c r="OP711" s="766"/>
      <c r="OQ711" s="766"/>
      <c r="OR711" s="766"/>
      <c r="OS711" s="766"/>
      <c r="OT711" s="766"/>
      <c r="OU711" s="766"/>
      <c r="OV711" s="766"/>
      <c r="OW711" s="766"/>
      <c r="OX711" s="766"/>
      <c r="OY711" s="766"/>
      <c r="OZ711" s="766"/>
      <c r="PA711" s="766"/>
      <c r="PB711" s="766"/>
      <c r="PC711" s="766"/>
      <c r="PD711" s="766"/>
      <c r="PE711" s="766"/>
      <c r="PF711" s="766"/>
      <c r="PG711" s="766"/>
      <c r="PH711" s="766"/>
      <c r="PI711" s="766"/>
      <c r="PJ711" s="766"/>
      <c r="PK711" s="766"/>
      <c r="PL711" s="766"/>
      <c r="PM711" s="766"/>
      <c r="PN711" s="766"/>
      <c r="PO711" s="766"/>
      <c r="PP711" s="766"/>
      <c r="PQ711" s="766"/>
      <c r="PR711" s="766"/>
      <c r="PS711" s="766"/>
      <c r="PT711" s="766"/>
      <c r="PU711" s="766"/>
      <c r="PV711" s="766"/>
      <c r="PW711" s="766"/>
      <c r="PX711" s="766"/>
      <c r="PY711" s="766"/>
      <c r="PZ711" s="766"/>
      <c r="QA711" s="766"/>
      <c r="QB711" s="766"/>
      <c r="QC711" s="766"/>
      <c r="QD711" s="766"/>
      <c r="QE711" s="766"/>
      <c r="QF711" s="766"/>
      <c r="QG711" s="766"/>
      <c r="QH711" s="766"/>
      <c r="QI711" s="766"/>
      <c r="QJ711" s="766"/>
      <c r="QK711" s="766"/>
      <c r="QL711" s="766"/>
      <c r="QM711" s="766"/>
      <c r="QN711" s="766"/>
      <c r="QO711" s="766"/>
      <c r="QP711" s="766"/>
      <c r="QQ711" s="766"/>
      <c r="QR711" s="766"/>
      <c r="QS711" s="766"/>
      <c r="QT711" s="766"/>
      <c r="QU711" s="766"/>
      <c r="QV711" s="766"/>
      <c r="QW711" s="766"/>
      <c r="QX711" s="766"/>
      <c r="QY711" s="766"/>
      <c r="QZ711" s="766"/>
      <c r="RA711" s="766"/>
      <c r="RB711" s="766" t="s">
        <v>1214</v>
      </c>
      <c r="RC711" s="766"/>
      <c r="RD711" s="766"/>
      <c r="RE711" s="766"/>
      <c r="RF711" s="777"/>
      <c r="RG711" s="766"/>
      <c r="RH711" s="66"/>
      <c r="RI711" s="766"/>
      <c r="RJ711" s="14" t="s">
        <v>4632</v>
      </c>
      <c r="RK711" s="766" t="s">
        <v>13550</v>
      </c>
      <c r="RL711" s="1683">
        <v>42844</v>
      </c>
      <c r="RM711" s="761"/>
      <c r="RN711" s="1791"/>
      <c r="RO711" s="149" t="s">
        <v>3123</v>
      </c>
      <c r="RR711" s="17" t="s">
        <v>7421</v>
      </c>
      <c r="RS711" s="1139" t="s">
        <v>12980</v>
      </c>
      <c r="RV711" s="771" t="s">
        <v>7421</v>
      </c>
      <c r="RW711" s="35" t="s">
        <v>8025</v>
      </c>
      <c r="RX711" s="35" t="s">
        <v>4618</v>
      </c>
      <c r="RZ711" s="35" t="s">
        <v>2209</v>
      </c>
      <c r="SA711" s="771"/>
    </row>
    <row r="712" spans="1:497" ht="12.75" customHeight="1">
      <c r="A712" s="311" t="s">
        <v>14236</v>
      </c>
      <c r="B712" s="292" t="s">
        <v>7438</v>
      </c>
      <c r="C712" s="149" t="s">
        <v>3123</v>
      </c>
      <c r="D712" s="14" t="s">
        <v>3129</v>
      </c>
      <c r="E712" s="766" t="s">
        <v>3138</v>
      </c>
      <c r="F712" s="770" t="s">
        <v>2366</v>
      </c>
      <c r="G712" s="770" t="s">
        <v>10</v>
      </c>
      <c r="H712" s="295"/>
      <c r="I712" s="295"/>
      <c r="J712" s="94" t="s">
        <v>3125</v>
      </c>
      <c r="K712" s="770"/>
      <c r="L712" s="770"/>
      <c r="M712" s="770"/>
      <c r="N712" s="1757" t="s">
        <v>7238</v>
      </c>
      <c r="O712" s="1757" t="s">
        <v>7233</v>
      </c>
      <c r="P712" s="94" t="s">
        <v>3125</v>
      </c>
      <c r="Q712" s="1088">
        <v>31680</v>
      </c>
      <c r="R712" s="297">
        <v>30</v>
      </c>
      <c r="S712" s="770" t="s">
        <v>18</v>
      </c>
      <c r="T712" s="770"/>
      <c r="U712" s="298" t="s">
        <v>3126</v>
      </c>
      <c r="V712" s="770" t="s">
        <v>707</v>
      </c>
      <c r="W712" s="770"/>
      <c r="X712" s="770"/>
      <c r="Y712" s="770" t="s">
        <v>3124</v>
      </c>
      <c r="Z712" s="770" t="s">
        <v>708</v>
      </c>
      <c r="AA712" s="770" t="s">
        <v>709</v>
      </c>
      <c r="AB712" s="766" t="s">
        <v>7274</v>
      </c>
      <c r="AC712" s="770" t="s">
        <v>724</v>
      </c>
      <c r="AD712" s="770" t="s">
        <v>711</v>
      </c>
      <c r="AE712" s="770"/>
      <c r="AF712" s="770" t="s">
        <v>712</v>
      </c>
      <c r="AG712" s="770"/>
      <c r="AH712" s="770"/>
      <c r="AI712" s="770"/>
      <c r="AJ712" s="770"/>
      <c r="AK712" s="766" t="s">
        <v>1101</v>
      </c>
      <c r="AL712" s="531"/>
      <c r="AM712" s="780"/>
      <c r="AN712" s="532"/>
      <c r="AO712" s="766"/>
      <c r="AP712" s="766"/>
      <c r="AQ712" s="766"/>
      <c r="AR712" s="766"/>
      <c r="AS712" s="770"/>
      <c r="AT712" s="770"/>
      <c r="AU712" s="770"/>
      <c r="AV712" s="770"/>
      <c r="AW712" s="770"/>
      <c r="AX712" s="770"/>
      <c r="AY712" s="770"/>
      <c r="AZ712" s="770"/>
      <c r="BA712" s="770"/>
      <c r="BB712" s="770"/>
      <c r="BC712" s="770"/>
      <c r="BD712" s="770"/>
      <c r="BE712" s="770"/>
      <c r="BF712" s="302"/>
      <c r="BG712" s="302"/>
      <c r="BH712" s="770"/>
      <c r="BI712" s="770"/>
      <c r="BJ712" s="770"/>
      <c r="BK712" s="766"/>
      <c r="BL712" s="766"/>
      <c r="BM712" s="766" t="s">
        <v>1238</v>
      </c>
      <c r="BN712" s="766" t="s">
        <v>1256</v>
      </c>
      <c r="BO712" s="770"/>
      <c r="BP712" s="765"/>
      <c r="BQ712" s="773"/>
      <c r="BR712" s="774"/>
      <c r="BS712" s="766" t="s">
        <v>1105</v>
      </c>
      <c r="BT712" s="770"/>
      <c r="BU712" s="770"/>
      <c r="BV712" s="770"/>
      <c r="BW712" s="770"/>
      <c r="BX712" s="302"/>
      <c r="BY712" s="770"/>
      <c r="BZ712" s="302"/>
      <c r="CA712" s="770"/>
      <c r="CB712" s="770"/>
      <c r="CC712" s="770"/>
      <c r="CD712" s="770"/>
      <c r="CE712" s="302"/>
      <c r="CF712" s="304"/>
      <c r="CG712" s="321"/>
      <c r="CH712" s="770"/>
      <c r="CI712" s="770"/>
      <c r="CJ712" s="770"/>
      <c r="CK712" s="770"/>
      <c r="CL712" s="770"/>
      <c r="CM712" s="770"/>
      <c r="CN712" s="770"/>
      <c r="CO712" s="770"/>
      <c r="CP712" s="770"/>
      <c r="CQ712" s="770"/>
      <c r="CR712" s="302"/>
      <c r="CS712" s="770"/>
      <c r="CT712" s="770"/>
      <c r="CU712" s="305"/>
      <c r="CV712" s="770"/>
      <c r="CW712" s="770"/>
      <c r="CX712" s="770"/>
      <c r="CY712" s="770"/>
      <c r="CZ712" s="770"/>
      <c r="DA712" s="306"/>
      <c r="DB712" s="770"/>
      <c r="DC712" s="770"/>
      <c r="DD712" s="770"/>
      <c r="DE712" s="300"/>
      <c r="DF712" s="770"/>
      <c r="DG712" s="770"/>
      <c r="DH712" s="770"/>
      <c r="DI712" s="770"/>
      <c r="DJ712" s="770"/>
      <c r="DK712" s="770"/>
      <c r="DL712" s="770"/>
      <c r="DM712" s="770"/>
      <c r="DN712" s="322"/>
      <c r="DO712" s="770"/>
      <c r="DP712" s="770"/>
      <c r="DQ712" s="770"/>
      <c r="DR712" s="770"/>
      <c r="DS712" s="307"/>
      <c r="DT712" s="770"/>
      <c r="DU712" s="770"/>
      <c r="DV712" s="770"/>
      <c r="DW712" s="306"/>
      <c r="DX712" s="306"/>
      <c r="DY712" s="1055"/>
      <c r="DZ712" s="770"/>
      <c r="EA712" s="770"/>
      <c r="EB712" s="770"/>
      <c r="EC712" s="770"/>
      <c r="ED712" s="770"/>
      <c r="EE712" s="770"/>
      <c r="EF712" s="770"/>
      <c r="EG712" s="770"/>
      <c r="EH712" s="770"/>
      <c r="EI712" s="770"/>
      <c r="EJ712" s="770"/>
      <c r="EK712" s="770"/>
      <c r="EL712" s="770"/>
      <c r="EM712" s="770"/>
      <c r="EN712" s="770"/>
      <c r="EO712" s="770"/>
      <c r="EP712" s="94"/>
      <c r="EQ712" s="770"/>
      <c r="ER712" s="770"/>
      <c r="ES712" s="770"/>
      <c r="ET712" s="770"/>
      <c r="EU712" s="770"/>
      <c r="EV712" s="770"/>
      <c r="EW712" s="770"/>
      <c r="EX712" s="770"/>
      <c r="EY712" s="770"/>
      <c r="EZ712" s="770"/>
      <c r="FA712" s="770"/>
      <c r="FB712" s="770"/>
      <c r="FC712" s="770"/>
      <c r="FD712" s="302"/>
      <c r="FE712" s="770"/>
      <c r="FF712" s="770"/>
      <c r="FG712" s="770"/>
      <c r="FH712" s="770" t="s">
        <v>1306</v>
      </c>
      <c r="FI712" s="770">
        <v>1</v>
      </c>
      <c r="FJ712" s="770" t="s">
        <v>3127</v>
      </c>
      <c r="FK712" s="770"/>
      <c r="FL712" s="770"/>
      <c r="FM712" s="302"/>
      <c r="FN712" s="302"/>
      <c r="FO712" s="302"/>
      <c r="FP712" s="766" t="s">
        <v>1602</v>
      </c>
      <c r="FQ712" s="766" t="s">
        <v>1660</v>
      </c>
      <c r="FR712" s="770"/>
      <c r="FS712" s="770"/>
      <c r="FT712" s="770"/>
      <c r="FU712" s="770"/>
      <c r="FV712" s="770"/>
      <c r="FW712" s="770"/>
      <c r="FX712" s="770"/>
      <c r="FY712" s="770"/>
      <c r="FZ712" s="770"/>
      <c r="GA712" s="770"/>
      <c r="GB712" s="770"/>
      <c r="GC712" s="308"/>
      <c r="GD712" s="297"/>
      <c r="GE712" s="770"/>
      <c r="GF712" s="302"/>
      <c r="GG712" s="302"/>
      <c r="GH712" s="13"/>
      <c r="GI712" s="770"/>
      <c r="GJ712" s="770"/>
      <c r="GK712" s="770"/>
      <c r="GL712" s="770"/>
      <c r="GM712" s="770"/>
      <c r="GN712" s="299"/>
      <c r="GO712" s="770"/>
      <c r="GP712" s="770"/>
      <c r="GQ712" s="770"/>
      <c r="GR712" s="770"/>
      <c r="GS712" s="770"/>
      <c r="GT712" s="770"/>
      <c r="GU712" s="770"/>
      <c r="GV712" s="770"/>
      <c r="GW712" s="770"/>
      <c r="GX712" s="770"/>
      <c r="GY712" s="770"/>
      <c r="GZ712" s="770"/>
      <c r="HA712" s="770"/>
      <c r="HB712" s="770"/>
      <c r="HC712" s="770"/>
      <c r="HD712" s="770"/>
      <c r="HE712" s="770"/>
      <c r="HF712" s="770"/>
      <c r="HG712" s="770"/>
      <c r="HH712" s="770"/>
      <c r="HI712" s="770"/>
      <c r="HJ712" s="770"/>
      <c r="HK712" s="770"/>
      <c r="HL712" s="770"/>
      <c r="HM712" s="770"/>
      <c r="HN712" s="770"/>
      <c r="HO712" s="770"/>
      <c r="HP712" s="770"/>
      <c r="HQ712" s="770"/>
      <c r="HR712" s="770"/>
      <c r="HS712" s="770"/>
      <c r="HT712" s="770"/>
      <c r="HU712" s="770"/>
      <c r="HV712" s="770"/>
      <c r="HW712" s="770"/>
      <c r="HX712" s="770"/>
      <c r="HY712" s="770"/>
      <c r="HZ712" s="770"/>
      <c r="IA712" s="770"/>
      <c r="IB712" s="14" t="e">
        <f>IF(#REF!&gt;0,IF(#REF!&lt;=10000,"Y",""),"")</f>
        <v>#REF!</v>
      </c>
      <c r="IC712" s="770" t="s">
        <v>1207</v>
      </c>
      <c r="ID712" s="770" t="s">
        <v>3128</v>
      </c>
      <c r="IE712" s="770"/>
      <c r="IF712" s="770"/>
      <c r="IG712" s="770"/>
      <c r="IH712" s="770"/>
      <c r="II712" s="770"/>
      <c r="IJ712" s="770"/>
      <c r="IK712" s="770"/>
      <c r="IL712" s="770"/>
      <c r="IM712" s="770"/>
      <c r="IN712" s="770"/>
      <c r="IO712" s="296"/>
      <c r="IP712" s="770"/>
      <c r="IQ712" s="770"/>
      <c r="IR712" s="770"/>
      <c r="IS712" s="770"/>
      <c r="IT712" s="770"/>
      <c r="IU712" s="770"/>
      <c r="IV712" s="770"/>
      <c r="IW712" s="770"/>
      <c r="IX712" s="770"/>
      <c r="IY712" s="770"/>
      <c r="IZ712" s="770"/>
      <c r="JA712" s="770"/>
      <c r="JB712" s="770"/>
      <c r="JC712" s="770"/>
      <c r="JD712" s="302"/>
      <c r="JE712" s="770"/>
      <c r="JF712" s="770"/>
      <c r="JG712" s="770"/>
      <c r="JH712" s="307"/>
      <c r="JI712" s="307"/>
      <c r="JJ712" s="770">
        <v>3</v>
      </c>
      <c r="JK712" s="1139" t="s">
        <v>11688</v>
      </c>
      <c r="JL712" s="770"/>
      <c r="JM712" s="770"/>
      <c r="JN712" s="770">
        <v>2</v>
      </c>
      <c r="JO712" s="770">
        <v>1</v>
      </c>
      <c r="JP712" s="770"/>
      <c r="JQ712" s="770"/>
      <c r="JR712" s="770"/>
      <c r="JS712" s="770"/>
      <c r="JT712" s="766">
        <f t="shared" si="213"/>
        <v>2</v>
      </c>
      <c r="JU712" s="766">
        <f t="shared" si="213"/>
        <v>1</v>
      </c>
      <c r="JV712" s="712" t="str">
        <f t="shared" si="218"/>
        <v>ok</v>
      </c>
      <c r="JW712" s="712" t="str">
        <f t="shared" si="219"/>
        <v>ok</v>
      </c>
      <c r="JX712" s="770"/>
      <c r="JY712" s="770"/>
      <c r="JZ712" s="770"/>
      <c r="KA712" s="770"/>
      <c r="KB712" s="770">
        <v>1</v>
      </c>
      <c r="KC712" s="770">
        <v>1</v>
      </c>
      <c r="KD712" s="770">
        <v>1</v>
      </c>
      <c r="KE712" s="770"/>
      <c r="KF712" s="770"/>
      <c r="KG712" s="770"/>
      <c r="KH712" s="770"/>
      <c r="KI712" s="770"/>
      <c r="KJ712" s="770">
        <f t="shared" si="204"/>
        <v>2</v>
      </c>
      <c r="KK712" s="770">
        <f t="shared" si="204"/>
        <v>1</v>
      </c>
      <c r="KL712" s="712" t="str">
        <f t="shared" si="220"/>
        <v>ok</v>
      </c>
      <c r="KM712" s="712" t="str">
        <f t="shared" si="221"/>
        <v>ok</v>
      </c>
      <c r="KN712" s="770" t="s">
        <v>722</v>
      </c>
      <c r="KO712" s="770"/>
      <c r="KP712" s="770"/>
      <c r="KQ712" s="770"/>
      <c r="KR712" s="770"/>
      <c r="KS712" s="770"/>
      <c r="KT712" s="770"/>
      <c r="KU712" s="770"/>
      <c r="KV712" s="770"/>
      <c r="KW712" s="770"/>
      <c r="KX712" s="770"/>
      <c r="KY712" s="770"/>
      <c r="KZ712" s="770"/>
      <c r="LA712" s="770"/>
      <c r="LB712" s="770">
        <v>1</v>
      </c>
      <c r="LC712" s="770">
        <v>1</v>
      </c>
      <c r="LD712" s="770"/>
      <c r="LE712" s="770"/>
      <c r="LF712" s="770"/>
      <c r="LG712" s="770"/>
      <c r="LH712" s="770">
        <v>1</v>
      </c>
      <c r="LI712" s="770"/>
      <c r="LJ712" s="770"/>
      <c r="LK712" s="770"/>
      <c r="LL712" s="770"/>
      <c r="LM712" s="770"/>
      <c r="LN712" s="766">
        <f t="shared" si="209"/>
        <v>2</v>
      </c>
      <c r="LO712" s="766">
        <f t="shared" si="209"/>
        <v>1</v>
      </c>
      <c r="LP712" s="770">
        <v>1</v>
      </c>
      <c r="LQ712" s="770"/>
      <c r="LR712" s="770"/>
      <c r="LS712" s="770">
        <v>1</v>
      </c>
      <c r="LT712" s="712" t="str">
        <f t="shared" si="222"/>
        <v>OK</v>
      </c>
      <c r="LU712" s="770"/>
      <c r="LV712" s="770"/>
      <c r="LW712" s="770"/>
      <c r="LX712" s="769">
        <v>2</v>
      </c>
      <c r="LY712" s="766" t="str">
        <f t="shared" si="210"/>
        <v>within the MUNICIPALITY</v>
      </c>
      <c r="LZ712" s="1709"/>
      <c r="MA712" s="1709"/>
      <c r="MB712" s="1709">
        <v>4500</v>
      </c>
      <c r="MC712" s="1679">
        <f t="shared" si="208"/>
        <v>4500</v>
      </c>
      <c r="MD712" s="1709"/>
      <c r="ME712" s="1709"/>
      <c r="MF712" s="1709">
        <v>3000</v>
      </c>
      <c r="MG712" s="1680">
        <f t="shared" si="223"/>
        <v>3000</v>
      </c>
      <c r="MH712" s="770" t="s">
        <v>2968</v>
      </c>
      <c r="MI712" s="302">
        <v>1500</v>
      </c>
      <c r="MJ712" s="302">
        <v>4500</v>
      </c>
      <c r="MK712" s="302">
        <v>1000</v>
      </c>
      <c r="ML712" s="302">
        <v>1000</v>
      </c>
      <c r="MM712" s="302">
        <v>3000</v>
      </c>
      <c r="MN712" s="302">
        <v>300</v>
      </c>
      <c r="MO712" s="302"/>
      <c r="MP712" s="302">
        <v>800</v>
      </c>
      <c r="MQ712" s="302">
        <v>500</v>
      </c>
      <c r="MR712" s="302">
        <v>300</v>
      </c>
      <c r="MS712" s="302"/>
      <c r="MT712" s="302"/>
      <c r="MU712" s="302"/>
      <c r="MV712" s="302"/>
      <c r="MW712" s="302"/>
      <c r="MX712" s="302"/>
      <c r="MY712" s="1682">
        <f t="shared" si="217"/>
        <v>12900</v>
      </c>
      <c r="MZ712" s="770" t="s">
        <v>13370</v>
      </c>
      <c r="NA712" s="770" t="s">
        <v>13005</v>
      </c>
      <c r="NB712" s="770" t="s">
        <v>13016</v>
      </c>
      <c r="NC712" s="766" t="s">
        <v>13602</v>
      </c>
      <c r="ND712" s="770">
        <v>0</v>
      </c>
      <c r="NE712" s="770">
        <v>0</v>
      </c>
      <c r="NF712" s="770">
        <v>0</v>
      </c>
      <c r="NG712" s="770">
        <v>2</v>
      </c>
      <c r="NH712" s="770">
        <v>1</v>
      </c>
      <c r="NI712" s="770">
        <v>0</v>
      </c>
      <c r="NJ712" s="770">
        <v>0</v>
      </c>
      <c r="NK712" s="770">
        <v>0</v>
      </c>
      <c r="NL712" s="770">
        <v>1</v>
      </c>
      <c r="NM712" s="770">
        <v>1</v>
      </c>
      <c r="NN712" s="770">
        <v>0</v>
      </c>
      <c r="NO712" s="770">
        <v>0</v>
      </c>
      <c r="NP712" s="770">
        <v>0</v>
      </c>
      <c r="NQ712" s="770">
        <v>0</v>
      </c>
      <c r="NR712" s="770">
        <v>0</v>
      </c>
      <c r="NS712" s="770">
        <v>0</v>
      </c>
      <c r="NT712" s="770">
        <v>0</v>
      </c>
      <c r="NU712" s="770">
        <v>0</v>
      </c>
      <c r="NV712" s="770">
        <v>0</v>
      </c>
      <c r="NW712" s="770">
        <v>0</v>
      </c>
      <c r="NX712" s="770">
        <v>0</v>
      </c>
      <c r="NY712" s="770" t="s">
        <v>1208</v>
      </c>
      <c r="NZ712" s="770" t="s">
        <v>1208</v>
      </c>
      <c r="OA712" s="770" t="s">
        <v>1208</v>
      </c>
      <c r="OB712" s="770"/>
      <c r="OC712" s="770" t="s">
        <v>1208</v>
      </c>
      <c r="OD712" s="770"/>
      <c r="OE712" s="770"/>
      <c r="OF712" s="770"/>
      <c r="OG712" s="770"/>
      <c r="OH712" s="770"/>
      <c r="OI712" s="770"/>
      <c r="OJ712" s="770"/>
      <c r="OK712" s="770"/>
      <c r="OL712" s="770"/>
      <c r="OM712" s="770"/>
      <c r="ON712" s="770"/>
      <c r="OO712" s="770"/>
      <c r="OP712" s="770"/>
      <c r="OQ712" s="770"/>
      <c r="OR712" s="770"/>
      <c r="OS712" s="770"/>
      <c r="OT712" s="770"/>
      <c r="OU712" s="770"/>
      <c r="OV712" s="770"/>
      <c r="OW712" s="770"/>
      <c r="OX712" s="770"/>
      <c r="OY712" s="770"/>
      <c r="OZ712" s="770"/>
      <c r="PA712" s="770"/>
      <c r="PB712" s="770"/>
      <c r="PC712" s="770"/>
      <c r="PD712" s="770"/>
      <c r="PE712" s="770"/>
      <c r="PF712" s="770"/>
      <c r="PG712" s="770"/>
      <c r="PH712" s="770"/>
      <c r="PI712" s="770"/>
      <c r="PJ712" s="770"/>
      <c r="PK712" s="770"/>
      <c r="PL712" s="770"/>
      <c r="PM712" s="770"/>
      <c r="PN712" s="770"/>
      <c r="PO712" s="770"/>
      <c r="PP712" s="770"/>
      <c r="PQ712" s="770"/>
      <c r="PR712" s="770"/>
      <c r="PS712" s="770"/>
      <c r="PT712" s="770"/>
      <c r="PU712" s="770"/>
      <c r="PV712" s="770"/>
      <c r="PW712" s="770"/>
      <c r="PX712" s="770"/>
      <c r="PY712" s="770"/>
      <c r="PZ712" s="770"/>
      <c r="QA712" s="770"/>
      <c r="QB712" s="770"/>
      <c r="QC712" s="770"/>
      <c r="QD712" s="770"/>
      <c r="QE712" s="770"/>
      <c r="QF712" s="770"/>
      <c r="QG712" s="770"/>
      <c r="QH712" s="770"/>
      <c r="QI712" s="770"/>
      <c r="QJ712" s="770"/>
      <c r="QK712" s="770"/>
      <c r="QL712" s="770"/>
      <c r="QM712" s="770"/>
      <c r="QN712" s="770"/>
      <c r="QO712" s="770"/>
      <c r="QP712" s="770"/>
      <c r="QQ712" s="770"/>
      <c r="QR712" s="770"/>
      <c r="QS712" s="770"/>
      <c r="QT712" s="770"/>
      <c r="QU712" s="770"/>
      <c r="QV712" s="770"/>
      <c r="QW712" s="770"/>
      <c r="QX712" s="770"/>
      <c r="QY712" s="770"/>
      <c r="QZ712" s="770"/>
      <c r="RA712" s="770"/>
      <c r="RB712" s="770"/>
      <c r="RC712" s="770"/>
      <c r="RD712" s="770"/>
      <c r="RE712" s="770"/>
      <c r="RF712" s="304"/>
      <c r="RG712" s="770"/>
      <c r="RH712" s="306"/>
      <c r="RI712" s="770"/>
      <c r="RJ712" s="94" t="s">
        <v>13934</v>
      </c>
      <c r="RK712" s="770" t="s">
        <v>13550</v>
      </c>
      <c r="RL712" s="1710">
        <v>42844</v>
      </c>
      <c r="RM712" s="12"/>
      <c r="RN712" s="1711"/>
      <c r="RO712" s="149" t="s">
        <v>3123</v>
      </c>
      <c r="RP712" s="11"/>
      <c r="RQ712" s="11"/>
      <c r="RR712" s="311" t="s">
        <v>12452</v>
      </c>
      <c r="RS712" s="1139" t="s">
        <v>12980</v>
      </c>
      <c r="RT712" s="11"/>
      <c r="RU712" s="11"/>
      <c r="RV712" s="771" t="s">
        <v>7421</v>
      </c>
      <c r="RW712" s="11" t="s">
        <v>8026</v>
      </c>
      <c r="RX712" s="11" t="s">
        <v>4619</v>
      </c>
      <c r="RY712" s="11"/>
      <c r="RZ712" s="11"/>
      <c r="SA712" s="771"/>
      <c r="SB712" s="11"/>
      <c r="SC712" s="11"/>
    </row>
    <row r="713" spans="1:497" ht="12.75" hidden="1" customHeight="1">
      <c r="A713" s="343" t="s">
        <v>7419</v>
      </c>
      <c r="B713" s="809" t="s">
        <v>8028</v>
      </c>
      <c r="C713" s="149" t="s">
        <v>4635</v>
      </c>
      <c r="D713" s="94" t="s">
        <v>4641</v>
      </c>
      <c r="E713" s="766" t="s">
        <v>4633</v>
      </c>
      <c r="F713" s="770" t="s">
        <v>28</v>
      </c>
      <c r="G713" s="770" t="s">
        <v>18</v>
      </c>
      <c r="H713" s="295" t="s">
        <v>4642</v>
      </c>
      <c r="I713" s="295"/>
      <c r="J713" s="94" t="s">
        <v>4641</v>
      </c>
      <c r="K713" s="766" t="s">
        <v>4643</v>
      </c>
      <c r="L713" s="766" t="s">
        <v>3140</v>
      </c>
      <c r="M713" s="770" t="s">
        <v>1238</v>
      </c>
      <c r="N713" s="1757" t="s">
        <v>7238</v>
      </c>
      <c r="O713" s="1757" t="s">
        <v>7233</v>
      </c>
      <c r="P713" s="94" t="s">
        <v>4644</v>
      </c>
      <c r="Q713" s="1088">
        <v>15459</v>
      </c>
      <c r="R713" s="297">
        <v>75</v>
      </c>
      <c r="S713" s="770" t="s">
        <v>18</v>
      </c>
      <c r="T713" s="295" t="s">
        <v>4642</v>
      </c>
      <c r="U713" s="298"/>
      <c r="V713" s="770" t="s">
        <v>719</v>
      </c>
      <c r="W713" s="770"/>
      <c r="X713" s="770"/>
      <c r="Y713" s="770" t="s">
        <v>4633</v>
      </c>
      <c r="Z713" s="770" t="s">
        <v>708</v>
      </c>
      <c r="AA713" s="12" t="s">
        <v>709</v>
      </c>
      <c r="AB713" s="770" t="s">
        <v>710</v>
      </c>
      <c r="AC713" s="770" t="s">
        <v>724</v>
      </c>
      <c r="AD713" s="770" t="s">
        <v>711</v>
      </c>
      <c r="AE713" s="770"/>
      <c r="AF713" s="770" t="s">
        <v>712</v>
      </c>
      <c r="AG713" s="766" t="s">
        <v>1132</v>
      </c>
      <c r="AH713" s="766" t="s">
        <v>1096</v>
      </c>
      <c r="AI713" s="770"/>
      <c r="AJ713" s="770" t="s">
        <v>1137</v>
      </c>
      <c r="AK713" s="770" t="s">
        <v>1097</v>
      </c>
      <c r="AL713" s="531">
        <v>17.28</v>
      </c>
      <c r="AM713" s="780">
        <v>8.64</v>
      </c>
      <c r="AN713" s="532">
        <f t="shared" si="214"/>
        <v>0.5</v>
      </c>
      <c r="AO713" s="766" t="s">
        <v>1149</v>
      </c>
      <c r="AP713" s="766" t="s">
        <v>5368</v>
      </c>
      <c r="AQ713" s="766" t="s">
        <v>7418</v>
      </c>
      <c r="AR713" s="766"/>
      <c r="AS713" s="770"/>
      <c r="AT713" s="770"/>
      <c r="AU713" s="770"/>
      <c r="AV713" s="770"/>
      <c r="AW713" s="770"/>
      <c r="AX713" s="770"/>
      <c r="AY713" s="770"/>
      <c r="AZ713" s="770"/>
      <c r="BA713" s="770"/>
      <c r="BB713" s="770"/>
      <c r="BC713" s="770"/>
      <c r="BD713" s="770"/>
      <c r="BE713" s="770"/>
      <c r="BF713" s="302"/>
      <c r="BG713" s="302"/>
      <c r="BH713" s="770"/>
      <c r="BI713" s="770"/>
      <c r="BJ713" s="770"/>
      <c r="BK713" s="766" t="s">
        <v>1095</v>
      </c>
      <c r="BL713" s="766" t="s">
        <v>4645</v>
      </c>
      <c r="BM713" s="766" t="s">
        <v>1096</v>
      </c>
      <c r="BN713" s="766" t="s">
        <v>1230</v>
      </c>
      <c r="BO713" s="766" t="s">
        <v>1239</v>
      </c>
      <c r="BP713" s="765">
        <v>34.56</v>
      </c>
      <c r="BQ713" s="773">
        <v>17.28</v>
      </c>
      <c r="BR713" s="774">
        <f t="shared" si="215"/>
        <v>0.5</v>
      </c>
      <c r="BS713" s="766" t="s">
        <v>1105</v>
      </c>
      <c r="BT713" s="770" t="s">
        <v>8133</v>
      </c>
      <c r="BU713" s="770" t="s">
        <v>1249</v>
      </c>
      <c r="BV713" s="770" t="s">
        <v>1247</v>
      </c>
      <c r="BW713" s="770">
        <v>1941</v>
      </c>
      <c r="BX713" s="302"/>
      <c r="BY713" s="770"/>
      <c r="BZ713" s="302"/>
      <c r="CA713" s="770"/>
      <c r="CB713" s="770"/>
      <c r="CC713" s="770"/>
      <c r="CD713" s="770"/>
      <c r="CE713" s="302"/>
      <c r="CF713" s="304"/>
      <c r="CG713" s="321"/>
      <c r="CH713" s="770"/>
      <c r="CI713" s="770"/>
      <c r="CJ713" s="770"/>
      <c r="CK713" s="770"/>
      <c r="CL713" s="770"/>
      <c r="CM713" s="770"/>
      <c r="CN713" s="770"/>
      <c r="CO713" s="770"/>
      <c r="CP713" s="770"/>
      <c r="CQ713" s="770"/>
      <c r="CR713" s="302"/>
      <c r="CS713" s="770"/>
      <c r="CT713" s="770"/>
      <c r="CU713" s="305"/>
      <c r="CV713" s="770"/>
      <c r="CW713" s="770"/>
      <c r="CX713" s="770"/>
      <c r="CY713" s="770"/>
      <c r="CZ713" s="770"/>
      <c r="DA713" s="306"/>
      <c r="DB713" s="770"/>
      <c r="DC713" s="770"/>
      <c r="DD713" s="770"/>
      <c r="DE713" s="300"/>
      <c r="DF713" s="770"/>
      <c r="DG713" s="770"/>
      <c r="DH713" s="770"/>
      <c r="DI713" s="770"/>
      <c r="DJ713" s="770"/>
      <c r="DK713" s="770"/>
      <c r="DL713" s="770"/>
      <c r="DM713" s="770"/>
      <c r="DN713" s="322"/>
      <c r="DO713" s="770"/>
      <c r="DP713" s="770"/>
      <c r="DQ713" s="770"/>
      <c r="DR713" s="770"/>
      <c r="DS713" s="307"/>
      <c r="DT713" s="770"/>
      <c r="DU713" s="770"/>
      <c r="DV713" s="770"/>
      <c r="DW713" s="306"/>
      <c r="DX713" s="306"/>
      <c r="DY713" s="1055"/>
      <c r="DZ713" s="770"/>
      <c r="EA713" s="770"/>
      <c r="EB713" s="770"/>
      <c r="EC713" s="770"/>
      <c r="ED713" s="770"/>
      <c r="EE713" s="770"/>
      <c r="EF713" s="770"/>
      <c r="EG713" s="770"/>
      <c r="EH713" s="770"/>
      <c r="EI713" s="770"/>
      <c r="EJ713" s="770"/>
      <c r="EK713" s="770"/>
      <c r="EL713" s="770"/>
      <c r="EM713" s="770"/>
      <c r="EN713" s="770"/>
      <c r="EO713" s="770"/>
      <c r="EP713" s="94"/>
      <c r="EQ713" s="770"/>
      <c r="ER713" s="770"/>
      <c r="ES713" s="770"/>
      <c r="ET713" s="770"/>
      <c r="EU713" s="770"/>
      <c r="EV713" s="770"/>
      <c r="EW713" s="770"/>
      <c r="EX713" s="770"/>
      <c r="EY713" s="770"/>
      <c r="EZ713" s="770"/>
      <c r="FA713" s="770"/>
      <c r="FB713" s="770"/>
      <c r="FC713" s="770"/>
      <c r="FD713" s="302"/>
      <c r="FE713" s="770"/>
      <c r="FF713" s="770"/>
      <c r="FG713" s="770"/>
      <c r="FH713" s="770" t="s">
        <v>478</v>
      </c>
      <c r="FI713" s="770">
        <v>1</v>
      </c>
      <c r="FJ713" s="770"/>
      <c r="FK713" s="770"/>
      <c r="FL713" s="770"/>
      <c r="FM713" s="302"/>
      <c r="FN713" s="302"/>
      <c r="FO713" s="302"/>
      <c r="FP713" s="770" t="s">
        <v>1602</v>
      </c>
      <c r="FQ713" s="770" t="s">
        <v>1660</v>
      </c>
      <c r="FR713" s="770" t="s">
        <v>1214</v>
      </c>
      <c r="FS713" s="770"/>
      <c r="FT713" s="770"/>
      <c r="FU713" s="770"/>
      <c r="FV713" s="770"/>
      <c r="FW713" s="770"/>
      <c r="FX713" s="770"/>
      <c r="FY713" s="770"/>
      <c r="FZ713" s="770"/>
      <c r="GA713" s="770"/>
      <c r="GB713" s="770" t="s">
        <v>853</v>
      </c>
      <c r="GC713" s="308"/>
      <c r="GD713" s="297"/>
      <c r="GE713" s="770" t="s">
        <v>1214</v>
      </c>
      <c r="GF713" s="302"/>
      <c r="GG713" s="302"/>
      <c r="GH713" s="766" t="s">
        <v>14260</v>
      </c>
      <c r="GI713" s="770"/>
      <c r="GJ713" s="770"/>
      <c r="GK713" s="770"/>
      <c r="GL713" s="770"/>
      <c r="GM713" s="770"/>
      <c r="GN713" s="299"/>
      <c r="GO713" s="770"/>
      <c r="GP713" s="770"/>
      <c r="GQ713" s="770"/>
      <c r="GR713" s="770"/>
      <c r="GS713" s="770"/>
      <c r="GT713" s="770"/>
      <c r="GU713" s="770"/>
      <c r="GV713" s="770"/>
      <c r="GW713" s="770"/>
      <c r="GX713" s="770"/>
      <c r="GY713" s="770"/>
      <c r="GZ713" s="770"/>
      <c r="HA713" s="770"/>
      <c r="HB713" s="770"/>
      <c r="HC713" s="770"/>
      <c r="HD713" s="770"/>
      <c r="HE713" s="770"/>
      <c r="HF713" s="770"/>
      <c r="HG713" s="770"/>
      <c r="HH713" s="770"/>
      <c r="HI713" s="770" t="s">
        <v>1214</v>
      </c>
      <c r="HJ713" s="770"/>
      <c r="HK713" s="770"/>
      <c r="HL713" s="770" t="s">
        <v>1214</v>
      </c>
      <c r="HM713" s="770"/>
      <c r="HN713" s="770"/>
      <c r="HO713" s="770"/>
      <c r="HP713" s="770"/>
      <c r="HQ713" s="770"/>
      <c r="HR713" s="770">
        <v>4</v>
      </c>
      <c r="HS713" s="770"/>
      <c r="HT713" s="770"/>
      <c r="HU713" s="770"/>
      <c r="HV713" s="770"/>
      <c r="HW713" s="770"/>
      <c r="HX713" s="770"/>
      <c r="HY713" s="770"/>
      <c r="HZ713" s="770"/>
      <c r="IA713" s="770"/>
      <c r="IB713" s="770"/>
      <c r="IC713" s="770" t="s">
        <v>1207</v>
      </c>
      <c r="ID713" s="770">
        <v>2</v>
      </c>
      <c r="IE713" s="770"/>
      <c r="IF713" s="770"/>
      <c r="IG713" s="770"/>
      <c r="IH713" s="770"/>
      <c r="II713" s="770"/>
      <c r="IJ713" s="770"/>
      <c r="IK713" s="770"/>
      <c r="IL713" s="770"/>
      <c r="IM713" s="770"/>
      <c r="IN713" s="770"/>
      <c r="IO713" s="296"/>
      <c r="IP713" s="770"/>
      <c r="IQ713" s="770"/>
      <c r="IR713" s="770"/>
      <c r="IS713" s="770"/>
      <c r="IT713" s="770"/>
      <c r="IU713" s="770"/>
      <c r="IV713" s="770"/>
      <c r="IW713" s="770"/>
      <c r="IX713" s="770"/>
      <c r="IY713" s="770"/>
      <c r="IZ713" s="770"/>
      <c r="JA713" s="770"/>
      <c r="JB713" s="770"/>
      <c r="JC713" s="770"/>
      <c r="JD713" s="302"/>
      <c r="JE713" s="770"/>
      <c r="JF713" s="770"/>
      <c r="JG713" s="770"/>
      <c r="JH713" s="307"/>
      <c r="JI713" s="307"/>
      <c r="JJ713" s="770">
        <v>6</v>
      </c>
      <c r="JK713" s="770" t="s">
        <v>13935</v>
      </c>
      <c r="JL713" s="770"/>
      <c r="JM713" s="770"/>
      <c r="JN713" s="770">
        <v>1</v>
      </c>
      <c r="JO713" s="770">
        <v>3</v>
      </c>
      <c r="JP713" s="770">
        <v>1</v>
      </c>
      <c r="JQ713" s="770">
        <v>1</v>
      </c>
      <c r="JR713" s="770"/>
      <c r="JS713" s="770"/>
      <c r="JT713" s="766">
        <f t="shared" si="213"/>
        <v>2</v>
      </c>
      <c r="JU713" s="766">
        <f t="shared" si="213"/>
        <v>4</v>
      </c>
      <c r="JV713" s="766"/>
      <c r="JW713" s="766"/>
      <c r="JX713" s="770"/>
      <c r="JY713" s="770"/>
      <c r="JZ713" s="770"/>
      <c r="KA713" s="770"/>
      <c r="KB713" s="770">
        <v>1</v>
      </c>
      <c r="KC713" s="770">
        <v>1</v>
      </c>
      <c r="KD713" s="770"/>
      <c r="KE713" s="770">
        <v>2</v>
      </c>
      <c r="KF713" s="770">
        <v>1</v>
      </c>
      <c r="KG713" s="770">
        <v>1</v>
      </c>
      <c r="KH713" s="770"/>
      <c r="KI713" s="770"/>
      <c r="KJ713" s="770">
        <f t="shared" si="204"/>
        <v>2</v>
      </c>
      <c r="KK713" s="770">
        <f t="shared" si="204"/>
        <v>4</v>
      </c>
      <c r="KL713" s="770"/>
      <c r="KM713" s="770"/>
      <c r="KN713" s="770" t="s">
        <v>719</v>
      </c>
      <c r="KO713" s="770"/>
      <c r="KP713" s="770"/>
      <c r="KQ713" s="770"/>
      <c r="KR713" s="770"/>
      <c r="KS713" s="770"/>
      <c r="KT713" s="770"/>
      <c r="KU713" s="770"/>
      <c r="KV713" s="770"/>
      <c r="KW713" s="770"/>
      <c r="KX713" s="770"/>
      <c r="KY713" s="770">
        <v>1</v>
      </c>
      <c r="KZ713" s="770"/>
      <c r="LA713" s="770"/>
      <c r="LB713" s="770"/>
      <c r="LC713" s="770">
        <v>2</v>
      </c>
      <c r="LD713" s="770"/>
      <c r="LE713" s="770">
        <v>1</v>
      </c>
      <c r="LF713" s="770"/>
      <c r="LG713" s="770"/>
      <c r="LH713" s="770">
        <v>1</v>
      </c>
      <c r="LI713" s="770"/>
      <c r="LJ713" s="770">
        <v>1</v>
      </c>
      <c r="LK713" s="770"/>
      <c r="LL713" s="770"/>
      <c r="LM713" s="770"/>
      <c r="LN713" s="766">
        <f t="shared" si="209"/>
        <v>2</v>
      </c>
      <c r="LO713" s="766">
        <f t="shared" si="209"/>
        <v>4</v>
      </c>
      <c r="LP713" s="770">
        <v>2</v>
      </c>
      <c r="LQ713" s="770">
        <v>2</v>
      </c>
      <c r="LR713" s="770"/>
      <c r="LS713" s="770"/>
      <c r="LT713" s="770"/>
      <c r="LU713" s="770">
        <v>2</v>
      </c>
      <c r="LV713" s="770"/>
      <c r="LW713" s="770"/>
      <c r="LX713" s="769">
        <v>2</v>
      </c>
      <c r="LY713" s="766" t="str">
        <f t="shared" si="210"/>
        <v>within the MUNICIPALITY</v>
      </c>
      <c r="LZ713" s="1709"/>
      <c r="MA713" s="1709"/>
      <c r="MB713" s="1709"/>
      <c r="MC713" s="1679">
        <f t="shared" si="208"/>
        <v>0</v>
      </c>
      <c r="MD713" s="1709">
        <f>SUM(40000,12000)</f>
        <v>52000</v>
      </c>
      <c r="ME713" s="1709"/>
      <c r="MF713" s="1709"/>
      <c r="MG713" s="1680">
        <f t="shared" si="216"/>
        <v>52000</v>
      </c>
      <c r="MH713" s="770" t="s">
        <v>4639</v>
      </c>
      <c r="MI713" s="302">
        <v>6000</v>
      </c>
      <c r="MJ713" s="302"/>
      <c r="MK713" s="302">
        <v>600</v>
      </c>
      <c r="ML713" s="302"/>
      <c r="MM713" s="302"/>
      <c r="MN713" s="302"/>
      <c r="MO713" s="302"/>
      <c r="MP713" s="302">
        <v>2000</v>
      </c>
      <c r="MQ713" s="302">
        <v>650</v>
      </c>
      <c r="MR713" s="302">
        <v>700</v>
      </c>
      <c r="MS713" s="302"/>
      <c r="MT713" s="302"/>
      <c r="MU713" s="302"/>
      <c r="MV713" s="302"/>
      <c r="MW713" s="302"/>
      <c r="MX713" s="302"/>
      <c r="MY713" s="1682">
        <f t="shared" si="217"/>
        <v>9950</v>
      </c>
      <c r="MZ713" s="770" t="s">
        <v>13370</v>
      </c>
      <c r="NA713" s="770" t="s">
        <v>13005</v>
      </c>
      <c r="NB713" s="770" t="s">
        <v>13016</v>
      </c>
      <c r="NC713" s="770" t="s">
        <v>13602</v>
      </c>
      <c r="ND713" s="770">
        <v>0</v>
      </c>
      <c r="NE713" s="770">
        <v>1</v>
      </c>
      <c r="NF713" s="770">
        <v>0</v>
      </c>
      <c r="NG713" s="770">
        <v>0</v>
      </c>
      <c r="NH713" s="770">
        <v>1</v>
      </c>
      <c r="NI713" s="770">
        <v>0</v>
      </c>
      <c r="NJ713" s="770">
        <v>0</v>
      </c>
      <c r="NK713" s="770">
        <v>0</v>
      </c>
      <c r="NL713" s="770">
        <v>1</v>
      </c>
      <c r="NM713" s="770">
        <v>1</v>
      </c>
      <c r="NN713" s="770">
        <v>0</v>
      </c>
      <c r="NO713" s="770">
        <v>0</v>
      </c>
      <c r="NP713" s="770">
        <v>0</v>
      </c>
      <c r="NQ713" s="770">
        <v>1</v>
      </c>
      <c r="NR713" s="770">
        <v>0</v>
      </c>
      <c r="NS713" s="770">
        <v>0</v>
      </c>
      <c r="NT713" s="770">
        <v>0</v>
      </c>
      <c r="NU713" s="770">
        <v>0</v>
      </c>
      <c r="NV713" s="770">
        <v>0</v>
      </c>
      <c r="NW713" s="770">
        <v>0</v>
      </c>
      <c r="NX713" s="770">
        <v>0</v>
      </c>
      <c r="NY713" s="770" t="s">
        <v>1208</v>
      </c>
      <c r="NZ713" s="770"/>
      <c r="OA713" s="770"/>
      <c r="OB713" s="770"/>
      <c r="OC713" s="770" t="s">
        <v>1208</v>
      </c>
      <c r="OD713" s="770"/>
      <c r="OE713" s="770"/>
      <c r="OF713" s="770"/>
      <c r="OG713" s="770"/>
      <c r="OH713" s="770"/>
      <c r="OI713" s="770"/>
      <c r="OJ713" s="770"/>
      <c r="OK713" s="770"/>
      <c r="OL713" s="770"/>
      <c r="OM713" s="770"/>
      <c r="ON713" s="770"/>
      <c r="OO713" s="770"/>
      <c r="OP713" s="770"/>
      <c r="OQ713" s="770"/>
      <c r="OR713" s="770"/>
      <c r="OS713" s="770"/>
      <c r="OT713" s="770"/>
      <c r="OU713" s="770"/>
      <c r="OV713" s="770"/>
      <c r="OW713" s="770"/>
      <c r="OX713" s="770"/>
      <c r="OY713" s="770"/>
      <c r="OZ713" s="770"/>
      <c r="PA713" s="770"/>
      <c r="PB713" s="770"/>
      <c r="PC713" s="770"/>
      <c r="PD713" s="770"/>
      <c r="PE713" s="770"/>
      <c r="PF713" s="770"/>
      <c r="PG713" s="770"/>
      <c r="PH713" s="770" t="s">
        <v>1208</v>
      </c>
      <c r="PI713" s="770"/>
      <c r="PJ713" s="770"/>
      <c r="PK713" s="770"/>
      <c r="PL713" s="770"/>
      <c r="PM713" s="770" t="s">
        <v>1208</v>
      </c>
      <c r="PN713" s="770" t="s">
        <v>1208</v>
      </c>
      <c r="PO713" s="770"/>
      <c r="PP713" s="770"/>
      <c r="PQ713" s="770"/>
      <c r="PR713" s="770"/>
      <c r="PS713" s="770"/>
      <c r="PT713" s="770"/>
      <c r="PU713" s="770"/>
      <c r="PV713" s="770"/>
      <c r="PW713" s="770"/>
      <c r="PX713" s="770"/>
      <c r="PY713" s="770"/>
      <c r="PZ713" s="770"/>
      <c r="QA713" s="770"/>
      <c r="QB713" s="770"/>
      <c r="QC713" s="770"/>
      <c r="QD713" s="770"/>
      <c r="QE713" s="770"/>
      <c r="QF713" s="770"/>
      <c r="QG713" s="770"/>
      <c r="QH713" s="770"/>
      <c r="QI713" s="770"/>
      <c r="QJ713" s="770"/>
      <c r="QK713" s="770"/>
      <c r="QL713" s="770"/>
      <c r="QM713" s="770"/>
      <c r="QN713" s="770"/>
      <c r="QO713" s="770"/>
      <c r="QP713" s="770"/>
      <c r="QQ713" s="770"/>
      <c r="QR713" s="770"/>
      <c r="QS713" s="770"/>
      <c r="QT713" s="770"/>
      <c r="QU713" s="770"/>
      <c r="QV713" s="770"/>
      <c r="QW713" s="770"/>
      <c r="QX713" s="770"/>
      <c r="QY713" s="770"/>
      <c r="QZ713" s="770"/>
      <c r="RA713" s="770"/>
      <c r="RB713" s="770" t="s">
        <v>1214</v>
      </c>
      <c r="RC713" s="770"/>
      <c r="RD713" s="770"/>
      <c r="RE713" s="770"/>
      <c r="RF713" s="304"/>
      <c r="RG713" s="770"/>
      <c r="RH713" s="306"/>
      <c r="RI713" s="770"/>
      <c r="RJ713" s="94" t="s">
        <v>13936</v>
      </c>
      <c r="RK713" s="770" t="s">
        <v>13550</v>
      </c>
      <c r="RL713" s="1710">
        <v>42844</v>
      </c>
      <c r="RM713" s="12"/>
      <c r="RN713" s="1711"/>
      <c r="RO713" s="149" t="s">
        <v>4635</v>
      </c>
      <c r="RP713" s="11"/>
      <c r="RQ713" s="11"/>
      <c r="RR713" s="17"/>
      <c r="RS713" s="767"/>
      <c r="RT713" s="11"/>
      <c r="RU713" s="11"/>
      <c r="RV713" s="771" t="s">
        <v>7421</v>
      </c>
      <c r="RW713" s="11" t="s">
        <v>8027</v>
      </c>
      <c r="RX713" s="11" t="s">
        <v>3123</v>
      </c>
      <c r="RY713" s="11"/>
      <c r="RZ713" s="11" t="s">
        <v>2209</v>
      </c>
      <c r="SA713" s="771"/>
      <c r="SB713" s="11"/>
      <c r="SC713" s="11"/>
    </row>
    <row r="714" spans="1:497" ht="12.75" customHeight="1">
      <c r="A714" s="19" t="s">
        <v>7421</v>
      </c>
      <c r="B714" s="809" t="s">
        <v>7439</v>
      </c>
      <c r="C714" s="149" t="s">
        <v>3130</v>
      </c>
      <c r="D714" s="94" t="s">
        <v>3131</v>
      </c>
      <c r="E714" s="766" t="s">
        <v>3144</v>
      </c>
      <c r="F714" s="770" t="s">
        <v>3139</v>
      </c>
      <c r="G714" s="770" t="s">
        <v>18</v>
      </c>
      <c r="H714" s="12"/>
      <c r="I714" s="295" t="s">
        <v>4646</v>
      </c>
      <c r="J714" s="94" t="s">
        <v>3131</v>
      </c>
      <c r="K714" s="766" t="s">
        <v>4647</v>
      </c>
      <c r="L714" s="766" t="s">
        <v>3140</v>
      </c>
      <c r="M714" s="770" t="s">
        <v>1238</v>
      </c>
      <c r="N714" s="1757" t="s">
        <v>7238</v>
      </c>
      <c r="O714" s="1757" t="s">
        <v>7233</v>
      </c>
      <c r="P714" s="94" t="s">
        <v>4648</v>
      </c>
      <c r="Q714" s="1088">
        <v>29482</v>
      </c>
      <c r="R714" s="297">
        <v>37</v>
      </c>
      <c r="S714" s="770" t="s">
        <v>18</v>
      </c>
      <c r="T714" s="770"/>
      <c r="U714" s="295" t="s">
        <v>4646</v>
      </c>
      <c r="V714" s="770" t="s">
        <v>707</v>
      </c>
      <c r="W714" s="770"/>
      <c r="X714" s="770"/>
      <c r="Y714" s="770" t="s">
        <v>3144</v>
      </c>
      <c r="Z714" s="770" t="s">
        <v>708</v>
      </c>
      <c r="AA714" s="770" t="s">
        <v>4649</v>
      </c>
      <c r="AB714" s="770" t="s">
        <v>710</v>
      </c>
      <c r="AC714" s="770" t="s">
        <v>724</v>
      </c>
      <c r="AD714" s="770" t="s">
        <v>711</v>
      </c>
      <c r="AE714" s="770"/>
      <c r="AF714" s="770" t="s">
        <v>712</v>
      </c>
      <c r="AG714" s="766" t="s">
        <v>1132</v>
      </c>
      <c r="AH714" s="766" t="s">
        <v>1096</v>
      </c>
      <c r="AI714" s="770"/>
      <c r="AJ714" s="770" t="s">
        <v>1137</v>
      </c>
      <c r="AK714" s="770" t="s">
        <v>1101</v>
      </c>
      <c r="AL714" s="531">
        <v>15.54</v>
      </c>
      <c r="AM714" s="780">
        <v>5.7119999999999997</v>
      </c>
      <c r="AN714" s="532">
        <f t="shared" si="214"/>
        <v>0.36756756756756759</v>
      </c>
      <c r="AO714" s="766" t="s">
        <v>1149</v>
      </c>
      <c r="AP714" s="766"/>
      <c r="AQ714" s="766"/>
      <c r="AR714" s="766"/>
      <c r="AS714" s="770"/>
      <c r="AT714" s="770"/>
      <c r="AU714" s="770"/>
      <c r="AV714" s="770"/>
      <c r="AW714" s="770"/>
      <c r="AX714" s="770"/>
      <c r="AY714" s="770"/>
      <c r="AZ714" s="770"/>
      <c r="BA714" s="770"/>
      <c r="BB714" s="770"/>
      <c r="BC714" s="770"/>
      <c r="BD714" s="770"/>
      <c r="BE714" s="770"/>
      <c r="BF714" s="302"/>
      <c r="BG714" s="302"/>
      <c r="BH714" s="770"/>
      <c r="BI714" s="770"/>
      <c r="BJ714" s="770"/>
      <c r="BK714" s="766" t="s">
        <v>1095</v>
      </c>
      <c r="BL714" s="766" t="s">
        <v>4650</v>
      </c>
      <c r="BM714" s="766" t="s">
        <v>1096</v>
      </c>
      <c r="BN714" s="766" t="s">
        <v>1230</v>
      </c>
      <c r="BO714" s="766" t="s">
        <v>1239</v>
      </c>
      <c r="BP714" s="1109">
        <v>31.08</v>
      </c>
      <c r="BQ714" s="773">
        <v>5.7119999999999997</v>
      </c>
      <c r="BR714" s="774">
        <f t="shared" si="215"/>
        <v>0.18378378378378379</v>
      </c>
      <c r="BS714" s="766" t="s">
        <v>1242</v>
      </c>
      <c r="BT714" s="766" t="s">
        <v>8133</v>
      </c>
      <c r="BU714" s="770" t="s">
        <v>1249</v>
      </c>
      <c r="BV714" s="770" t="s">
        <v>1247</v>
      </c>
      <c r="BW714" s="770">
        <v>1983</v>
      </c>
      <c r="BX714" s="302"/>
      <c r="BY714" s="770"/>
      <c r="BZ714" s="302"/>
      <c r="CA714" s="770"/>
      <c r="CB714" s="770"/>
      <c r="CC714" s="770"/>
      <c r="CD714" s="770"/>
      <c r="CE714" s="302"/>
      <c r="CF714" s="304"/>
      <c r="CG714" s="321"/>
      <c r="CH714" s="770"/>
      <c r="CI714" s="770"/>
      <c r="CJ714" s="770"/>
      <c r="CK714" s="770"/>
      <c r="CL714" s="770"/>
      <c r="CM714" s="770"/>
      <c r="CN714" s="770"/>
      <c r="CO714" s="770"/>
      <c r="CP714" s="770"/>
      <c r="CQ714" s="770"/>
      <c r="CR714" s="302"/>
      <c r="CS714" s="770"/>
      <c r="CT714" s="770"/>
      <c r="CU714" s="305"/>
      <c r="CV714" s="770"/>
      <c r="CW714" s="770"/>
      <c r="CX714" s="770"/>
      <c r="CY714" s="770"/>
      <c r="CZ714" s="770"/>
      <c r="DA714" s="306"/>
      <c r="DB714" s="770"/>
      <c r="DC714" s="770"/>
      <c r="DD714" s="770"/>
      <c r="DE714" s="300"/>
      <c r="DF714" s="770"/>
      <c r="DG714" s="770"/>
      <c r="DH714" s="770"/>
      <c r="DI714" s="770"/>
      <c r="DJ714" s="770"/>
      <c r="DK714" s="770"/>
      <c r="DL714" s="770"/>
      <c r="DM714" s="770"/>
      <c r="DN714" s="322"/>
      <c r="DO714" s="770"/>
      <c r="DP714" s="770"/>
      <c r="DQ714" s="770"/>
      <c r="DR714" s="770"/>
      <c r="DS714" s="307"/>
      <c r="DT714" s="770"/>
      <c r="DU714" s="770"/>
      <c r="DV714" s="770"/>
      <c r="DW714" s="306"/>
      <c r="DX714" s="306"/>
      <c r="DY714" s="1055"/>
      <c r="DZ714" s="770"/>
      <c r="EA714" s="770"/>
      <c r="EB714" s="770"/>
      <c r="EC714" s="770"/>
      <c r="ED714" s="770"/>
      <c r="EE714" s="770"/>
      <c r="EF714" s="770"/>
      <c r="EG714" s="770"/>
      <c r="EH714" s="770"/>
      <c r="EI714" s="770"/>
      <c r="EJ714" s="770"/>
      <c r="EK714" s="770"/>
      <c r="EL714" s="770"/>
      <c r="EM714" s="770"/>
      <c r="EN714" s="770"/>
      <c r="EO714" s="770"/>
      <c r="EP714" s="94"/>
      <c r="EQ714" s="770"/>
      <c r="ER714" s="770"/>
      <c r="ES714" s="770"/>
      <c r="ET714" s="770"/>
      <c r="EU714" s="770"/>
      <c r="EV714" s="770"/>
      <c r="EW714" s="770"/>
      <c r="EX714" s="770"/>
      <c r="EY714" s="770"/>
      <c r="EZ714" s="770"/>
      <c r="FA714" s="770"/>
      <c r="FB714" s="770"/>
      <c r="FC714" s="770"/>
      <c r="FD714" s="302"/>
      <c r="FE714" s="770"/>
      <c r="FF714" s="770"/>
      <c r="FG714" s="770"/>
      <c r="FH714" s="770" t="s">
        <v>478</v>
      </c>
      <c r="FI714" s="770">
        <v>1</v>
      </c>
      <c r="FJ714" s="770"/>
      <c r="FK714" s="321"/>
      <c r="FL714" s="770"/>
      <c r="FM714" s="302"/>
      <c r="FN714" s="302"/>
      <c r="FO714" s="302"/>
      <c r="FP714" s="770" t="s">
        <v>1600</v>
      </c>
      <c r="FQ714" s="770" t="s">
        <v>3940</v>
      </c>
      <c r="FR714" s="770" t="s">
        <v>1214</v>
      </c>
      <c r="FS714" s="770"/>
      <c r="FT714" s="770"/>
      <c r="FU714" s="770"/>
      <c r="FV714" s="770"/>
      <c r="FW714" s="770"/>
      <c r="FX714" s="770"/>
      <c r="FY714" s="770"/>
      <c r="FZ714" s="770"/>
      <c r="GA714" s="770"/>
      <c r="GB714" s="770" t="s">
        <v>1696</v>
      </c>
      <c r="GC714" s="308"/>
      <c r="GD714" s="297">
        <v>1983</v>
      </c>
      <c r="GE714" s="13" t="s">
        <v>1207</v>
      </c>
      <c r="GF714" s="1782"/>
      <c r="GG714" s="1782"/>
      <c r="GH714" s="770"/>
      <c r="GI714" s="770"/>
      <c r="GJ714" s="770"/>
      <c r="GK714" s="770"/>
      <c r="GL714" s="770"/>
      <c r="GM714" s="770"/>
      <c r="GN714" s="299"/>
      <c r="GO714" s="770"/>
      <c r="GP714" s="770"/>
      <c r="GQ714" s="770"/>
      <c r="GR714" s="770"/>
      <c r="GS714" s="770"/>
      <c r="GT714" s="770"/>
      <c r="GU714" s="770"/>
      <c r="GV714" s="770"/>
      <c r="GW714" s="770"/>
      <c r="GX714" s="770"/>
      <c r="GY714" s="770"/>
      <c r="GZ714" s="770"/>
      <c r="HA714" s="770"/>
      <c r="HB714" s="770"/>
      <c r="HC714" s="770"/>
      <c r="HD714" s="770"/>
      <c r="HE714" s="770"/>
      <c r="HF714" s="770"/>
      <c r="HG714" s="770"/>
      <c r="HH714" s="770"/>
      <c r="HI714" s="770"/>
      <c r="HJ714" s="770"/>
      <c r="HK714" s="770"/>
      <c r="HL714" s="770"/>
      <c r="HM714" s="770"/>
      <c r="HN714" s="770"/>
      <c r="HO714" s="770"/>
      <c r="HP714" s="770"/>
      <c r="HQ714" s="770"/>
      <c r="HR714" s="770"/>
      <c r="HS714" s="770"/>
      <c r="HT714" s="770"/>
      <c r="HU714" s="770"/>
      <c r="HV714" s="770"/>
      <c r="HW714" s="770"/>
      <c r="HX714" s="770"/>
      <c r="HY714" s="770"/>
      <c r="HZ714" s="770"/>
      <c r="IA714" s="770"/>
      <c r="IB714" s="14" t="e">
        <f>IF(#REF!&gt;0,IF(#REF!&lt;=10000,"Y",""),"")</f>
        <v>#REF!</v>
      </c>
      <c r="IC714" s="770" t="s">
        <v>1207</v>
      </c>
      <c r="ID714" s="770"/>
      <c r="IE714" s="770">
        <v>1</v>
      </c>
      <c r="IF714" s="770" t="s">
        <v>4651</v>
      </c>
      <c r="IG714" s="770" t="s">
        <v>18</v>
      </c>
      <c r="IH714" s="770" t="s">
        <v>478</v>
      </c>
      <c r="II714" s="770" t="s">
        <v>3144</v>
      </c>
      <c r="IJ714" s="770" t="s">
        <v>1835</v>
      </c>
      <c r="IK714" s="770" t="s">
        <v>2639</v>
      </c>
      <c r="IL714" s="770" t="s">
        <v>4640</v>
      </c>
      <c r="IM714" s="770">
        <v>2016</v>
      </c>
      <c r="IN714" s="770" t="s">
        <v>4640</v>
      </c>
      <c r="IO714" s="296">
        <v>29482</v>
      </c>
      <c r="IP714" s="770" t="s">
        <v>478</v>
      </c>
      <c r="IQ714" s="13" t="s">
        <v>8144</v>
      </c>
      <c r="IR714" s="770" t="s">
        <v>2716</v>
      </c>
      <c r="IS714" s="770" t="s">
        <v>4652</v>
      </c>
      <c r="IT714" s="770"/>
      <c r="IU714" s="770" t="s">
        <v>1208</v>
      </c>
      <c r="IV714" s="770"/>
      <c r="IW714" s="770" t="s">
        <v>13937</v>
      </c>
      <c r="IX714" s="770"/>
      <c r="IY714" s="770"/>
      <c r="IZ714" s="770"/>
      <c r="JA714" s="770" t="s">
        <v>1880</v>
      </c>
      <c r="JB714" s="770" t="s">
        <v>1901</v>
      </c>
      <c r="JC714" s="770"/>
      <c r="JD714" s="302">
        <v>1200</v>
      </c>
      <c r="JE714" s="770"/>
      <c r="JF714" s="770"/>
      <c r="JG714" s="770"/>
      <c r="JH714" s="307"/>
      <c r="JI714" s="712" t="str">
        <f>IF(SUM(JT714,JU714)=JJ714,"ok","review")</f>
        <v>ok</v>
      </c>
      <c r="JJ714" s="770">
        <v>4</v>
      </c>
      <c r="JK714" s="1139" t="s">
        <v>4640</v>
      </c>
      <c r="JL714" s="770">
        <v>1</v>
      </c>
      <c r="JM714" s="770"/>
      <c r="JN714" s="770"/>
      <c r="JO714" s="770">
        <v>3</v>
      </c>
      <c r="JP714" s="770"/>
      <c r="JQ714" s="770"/>
      <c r="JR714" s="770"/>
      <c r="JS714" s="770"/>
      <c r="JT714" s="766">
        <f t="shared" si="213"/>
        <v>1</v>
      </c>
      <c r="JU714" s="766">
        <f t="shared" si="213"/>
        <v>3</v>
      </c>
      <c r="JV714" s="712" t="str">
        <f>IF(JT714=KJ714,"ok","male")</f>
        <v>ok</v>
      </c>
      <c r="JW714" s="712" t="str">
        <f>IF(JU714=KK714,"ok","female")</f>
        <v>ok</v>
      </c>
      <c r="JX714" s="770"/>
      <c r="JY714" s="770"/>
      <c r="JZ714" s="770">
        <v>1</v>
      </c>
      <c r="KA714" s="770"/>
      <c r="KB714" s="770"/>
      <c r="KC714" s="770">
        <v>1</v>
      </c>
      <c r="KD714" s="770"/>
      <c r="KE714" s="770">
        <v>2</v>
      </c>
      <c r="KF714" s="770"/>
      <c r="KG714" s="770"/>
      <c r="KH714" s="770"/>
      <c r="KI714" s="770"/>
      <c r="KJ714" s="770">
        <f t="shared" si="204"/>
        <v>1</v>
      </c>
      <c r="KK714" s="770">
        <f t="shared" si="204"/>
        <v>3</v>
      </c>
      <c r="KL714" s="712" t="str">
        <f>IF(KJ714=LN714,"ok","male")</f>
        <v>ok</v>
      </c>
      <c r="KM714" s="712" t="str">
        <f>IF(KK714=LO714,"ok","female")</f>
        <v>ok</v>
      </c>
      <c r="KN714" s="770" t="s">
        <v>707</v>
      </c>
      <c r="KO714" s="770"/>
      <c r="KP714" s="770"/>
      <c r="KQ714" s="770"/>
      <c r="KR714" s="770"/>
      <c r="KS714" s="770"/>
      <c r="KT714" s="770"/>
      <c r="KU714" s="770"/>
      <c r="KV714" s="770"/>
      <c r="KW714" s="770"/>
      <c r="KX714" s="770">
        <v>1</v>
      </c>
      <c r="KY714" s="770">
        <v>1</v>
      </c>
      <c r="KZ714" s="770"/>
      <c r="LA714" s="770"/>
      <c r="LB714" s="770"/>
      <c r="LC714" s="770">
        <v>2</v>
      </c>
      <c r="LD714" s="770"/>
      <c r="LE714" s="770"/>
      <c r="LF714" s="770"/>
      <c r="LG714" s="770"/>
      <c r="LH714" s="770"/>
      <c r="LI714" s="770"/>
      <c r="LJ714" s="770"/>
      <c r="LK714" s="770"/>
      <c r="LL714" s="770"/>
      <c r="LM714" s="770"/>
      <c r="LN714" s="766">
        <f t="shared" si="209"/>
        <v>1</v>
      </c>
      <c r="LO714" s="766">
        <f t="shared" si="209"/>
        <v>3</v>
      </c>
      <c r="LP714" s="770">
        <v>1</v>
      </c>
      <c r="LQ714" s="770">
        <v>1</v>
      </c>
      <c r="LR714" s="770"/>
      <c r="LS714" s="770">
        <v>1</v>
      </c>
      <c r="LT714" s="712" t="str">
        <f>IF(LQ714=SUM(LU714:LW714),"OK","REV")</f>
        <v>OK</v>
      </c>
      <c r="LU714" s="770"/>
      <c r="LV714" s="770">
        <v>1</v>
      </c>
      <c r="LW714" s="770"/>
      <c r="LX714" s="769">
        <v>3</v>
      </c>
      <c r="LY714" s="766" t="str">
        <f t="shared" si="210"/>
        <v>within the PROVINCE</v>
      </c>
      <c r="LZ714" s="1709">
        <v>300</v>
      </c>
      <c r="MA714" s="1709"/>
      <c r="MB714" s="1709"/>
      <c r="MC714" s="1679">
        <f t="shared" si="208"/>
        <v>300</v>
      </c>
      <c r="MD714" s="1709">
        <v>18000</v>
      </c>
      <c r="ME714" s="1709"/>
      <c r="MF714" s="1709">
        <v>1200</v>
      </c>
      <c r="MG714" s="1680">
        <f>SUM(MD714:MF714)</f>
        <v>19200</v>
      </c>
      <c r="MH714" s="770" t="s">
        <v>13938</v>
      </c>
      <c r="MI714" s="302">
        <f>500*30</f>
        <v>15000</v>
      </c>
      <c r="MJ714" s="302">
        <f>300*30</f>
        <v>9000</v>
      </c>
      <c r="MK714" s="302">
        <v>5000</v>
      </c>
      <c r="ML714" s="302">
        <v>3300</v>
      </c>
      <c r="MM714" s="302">
        <f>250*30</f>
        <v>7500</v>
      </c>
      <c r="MN714" s="302"/>
      <c r="MO714" s="302">
        <f>40*30</f>
        <v>1200</v>
      </c>
      <c r="MP714" s="302">
        <v>2000</v>
      </c>
      <c r="MQ714" s="302">
        <v>400</v>
      </c>
      <c r="MR714" s="302">
        <v>1300</v>
      </c>
      <c r="MS714" s="302"/>
      <c r="MT714" s="302"/>
      <c r="MU714" s="302"/>
      <c r="MV714" s="302"/>
      <c r="MW714" s="302"/>
      <c r="MX714" s="302"/>
      <c r="MY714" s="1682">
        <f t="shared" si="217"/>
        <v>44700</v>
      </c>
      <c r="MZ714" s="770" t="s">
        <v>13370</v>
      </c>
      <c r="NA714" s="770" t="s">
        <v>13005</v>
      </c>
      <c r="NB714" s="770" t="s">
        <v>13016</v>
      </c>
      <c r="NC714" s="770" t="s">
        <v>13602</v>
      </c>
      <c r="ND714" s="770">
        <v>0</v>
      </c>
      <c r="NE714" s="770">
        <v>0</v>
      </c>
      <c r="NF714" s="770">
        <v>0</v>
      </c>
      <c r="NG714" s="770">
        <v>2</v>
      </c>
      <c r="NH714" s="770">
        <v>1</v>
      </c>
      <c r="NI714" s="770">
        <v>0</v>
      </c>
      <c r="NJ714" s="770">
        <v>0</v>
      </c>
      <c r="NK714" s="770">
        <v>0</v>
      </c>
      <c r="NL714" s="770">
        <v>0</v>
      </c>
      <c r="NM714" s="770">
        <v>1</v>
      </c>
      <c r="NN714" s="770">
        <v>0</v>
      </c>
      <c r="NO714" s="770">
        <v>0</v>
      </c>
      <c r="NP714" s="770">
        <v>0</v>
      </c>
      <c r="NQ714" s="770">
        <v>0</v>
      </c>
      <c r="NR714" s="770">
        <v>0</v>
      </c>
      <c r="NS714" s="770">
        <v>0</v>
      </c>
      <c r="NT714" s="770">
        <v>0</v>
      </c>
      <c r="NU714" s="770">
        <v>0</v>
      </c>
      <c r="NV714" s="770">
        <v>0</v>
      </c>
      <c r="NW714" s="770">
        <v>0</v>
      </c>
      <c r="NX714" s="770">
        <v>0</v>
      </c>
      <c r="NY714" s="770" t="s">
        <v>1208</v>
      </c>
      <c r="NZ714" s="770" t="s">
        <v>1208</v>
      </c>
      <c r="OA714" s="770" t="s">
        <v>1208</v>
      </c>
      <c r="OB714" s="770" t="s">
        <v>1208</v>
      </c>
      <c r="OC714" s="770" t="s">
        <v>1208</v>
      </c>
      <c r="OD714" s="770"/>
      <c r="OE714" s="770"/>
      <c r="OF714" s="770"/>
      <c r="OG714" s="770"/>
      <c r="OH714" s="770"/>
      <c r="OI714" s="770"/>
      <c r="OJ714" s="770"/>
      <c r="OK714" s="770"/>
      <c r="OL714" s="770"/>
      <c r="OM714" s="770"/>
      <c r="ON714" s="770"/>
      <c r="OO714" s="770"/>
      <c r="OP714" s="770"/>
      <c r="OQ714" s="770"/>
      <c r="OR714" s="770"/>
      <c r="OS714" s="770"/>
      <c r="OT714" s="770"/>
      <c r="OU714" s="770"/>
      <c r="OV714" s="770"/>
      <c r="OW714" s="770"/>
      <c r="OX714" s="770"/>
      <c r="OY714" s="770"/>
      <c r="OZ714" s="770"/>
      <c r="PA714" s="770"/>
      <c r="PB714" s="770"/>
      <c r="PC714" s="770"/>
      <c r="PD714" s="770"/>
      <c r="PE714" s="770"/>
      <c r="PF714" s="770" t="s">
        <v>1208</v>
      </c>
      <c r="PG714" s="770"/>
      <c r="PH714" s="770"/>
      <c r="PI714" s="770"/>
      <c r="PJ714" s="770" t="s">
        <v>1208</v>
      </c>
      <c r="PK714" s="770" t="s">
        <v>1208</v>
      </c>
      <c r="PL714" s="770"/>
      <c r="PM714" s="770" t="s">
        <v>1208</v>
      </c>
      <c r="PN714" s="770"/>
      <c r="PO714" s="770"/>
      <c r="PP714" s="770"/>
      <c r="PQ714" s="770"/>
      <c r="PR714" s="770"/>
      <c r="PS714" s="770"/>
      <c r="PT714" s="770"/>
      <c r="PU714" s="770"/>
      <c r="PV714" s="770"/>
      <c r="PW714" s="770"/>
      <c r="PX714" s="770"/>
      <c r="PY714" s="770"/>
      <c r="PZ714" s="770"/>
      <c r="QA714" s="770"/>
      <c r="QB714" s="770"/>
      <c r="QC714" s="770"/>
      <c r="QD714" s="770"/>
      <c r="QE714" s="770"/>
      <c r="QF714" s="770"/>
      <c r="QG714" s="770" t="s">
        <v>1208</v>
      </c>
      <c r="QH714" s="770"/>
      <c r="QI714" s="770"/>
      <c r="QJ714" s="770"/>
      <c r="QK714" s="770"/>
      <c r="QL714" s="770"/>
      <c r="QM714" s="770"/>
      <c r="QN714" s="770"/>
      <c r="QO714" s="770"/>
      <c r="QP714" s="770"/>
      <c r="QQ714" s="770"/>
      <c r="QR714" s="770"/>
      <c r="QS714" s="770"/>
      <c r="QT714" s="770"/>
      <c r="QU714" s="770"/>
      <c r="QV714" s="770"/>
      <c r="QW714" s="770"/>
      <c r="QX714" s="770"/>
      <c r="QY714" s="770"/>
      <c r="QZ714" s="770"/>
      <c r="RA714" s="770" t="s">
        <v>13939</v>
      </c>
      <c r="RB714" s="770" t="s">
        <v>1214</v>
      </c>
      <c r="RC714" s="770"/>
      <c r="RD714" s="770"/>
      <c r="RE714" s="770"/>
      <c r="RF714" s="304"/>
      <c r="RG714" s="770"/>
      <c r="RH714" s="306"/>
      <c r="RI714" s="770"/>
      <c r="RJ714" s="94" t="s">
        <v>13940</v>
      </c>
      <c r="RK714" s="770" t="s">
        <v>13544</v>
      </c>
      <c r="RL714" s="1710">
        <v>42844</v>
      </c>
      <c r="RM714" s="12"/>
      <c r="RN714" s="1711"/>
      <c r="RO714" s="149" t="s">
        <v>3130</v>
      </c>
      <c r="RP714" s="11"/>
      <c r="RQ714" s="11"/>
      <c r="RR714" s="19" t="s">
        <v>7421</v>
      </c>
      <c r="RS714" s="1139" t="s">
        <v>12980</v>
      </c>
      <c r="RT714" s="11"/>
      <c r="RU714" s="11"/>
      <c r="RV714" s="771" t="s">
        <v>12452</v>
      </c>
      <c r="RW714" s="11" t="s">
        <v>7438</v>
      </c>
      <c r="RX714" s="11" t="s">
        <v>3123</v>
      </c>
      <c r="RY714" s="11"/>
      <c r="RZ714" s="11" t="s">
        <v>2209</v>
      </c>
      <c r="SA714" s="771"/>
      <c r="SB714" s="11"/>
      <c r="SC714" s="11"/>
    </row>
    <row r="715" spans="1:497" ht="12.75" customHeight="1">
      <c r="A715" s="19" t="s">
        <v>12452</v>
      </c>
      <c r="B715" s="292" t="s">
        <v>7440</v>
      </c>
      <c r="C715" s="149" t="s">
        <v>3142</v>
      </c>
      <c r="D715" s="94" t="s">
        <v>3143</v>
      </c>
      <c r="E715" s="766" t="s">
        <v>3145</v>
      </c>
      <c r="F715" s="770" t="s">
        <v>28</v>
      </c>
      <c r="G715" s="770" t="s">
        <v>10</v>
      </c>
      <c r="H715" s="12"/>
      <c r="I715" s="295" t="s">
        <v>3146</v>
      </c>
      <c r="J715" s="94" t="s">
        <v>3143</v>
      </c>
      <c r="K715" s="770"/>
      <c r="L715" s="770"/>
      <c r="M715" s="770"/>
      <c r="N715" s="1757" t="s">
        <v>7238</v>
      </c>
      <c r="O715" s="1757" t="s">
        <v>7233</v>
      </c>
      <c r="P715" s="94" t="s">
        <v>3147</v>
      </c>
      <c r="Q715" s="1088">
        <v>30243</v>
      </c>
      <c r="R715" s="297">
        <v>36</v>
      </c>
      <c r="S715" s="770" t="s">
        <v>10</v>
      </c>
      <c r="T715" s="770"/>
      <c r="U715" s="295" t="s">
        <v>3146</v>
      </c>
      <c r="V715" s="770" t="s">
        <v>768</v>
      </c>
      <c r="W715" s="770"/>
      <c r="X715" s="770"/>
      <c r="Y715" s="770" t="s">
        <v>3145</v>
      </c>
      <c r="Z715" s="770" t="s">
        <v>708</v>
      </c>
      <c r="AA715" s="770" t="s">
        <v>709</v>
      </c>
      <c r="AB715" s="766" t="s">
        <v>7274</v>
      </c>
      <c r="AC715" s="770" t="s">
        <v>724</v>
      </c>
      <c r="AD715" s="770" t="s">
        <v>711</v>
      </c>
      <c r="AE715" s="770"/>
      <c r="AF715" s="770" t="s">
        <v>712</v>
      </c>
      <c r="AG715" s="766" t="s">
        <v>1132</v>
      </c>
      <c r="AH715" s="766" t="s">
        <v>1096</v>
      </c>
      <c r="AI715" s="770"/>
      <c r="AJ715" s="770" t="s">
        <v>1137</v>
      </c>
      <c r="AK715" s="770" t="s">
        <v>1101</v>
      </c>
      <c r="AL715" s="531">
        <v>18.375</v>
      </c>
      <c r="AM715" s="780">
        <v>2.8</v>
      </c>
      <c r="AN715" s="532">
        <f t="shared" ref="AN715:AN735" si="224">AM715/AL715</f>
        <v>0.15238095238095237</v>
      </c>
      <c r="AO715" s="766" t="s">
        <v>1109</v>
      </c>
      <c r="AP715" s="766"/>
      <c r="AQ715" s="12"/>
      <c r="AR715" s="12"/>
      <c r="AS715" s="770"/>
      <c r="AT715" s="770"/>
      <c r="AU715" s="770"/>
      <c r="AV715" s="770"/>
      <c r="AW715" s="770"/>
      <c r="AX715" s="770"/>
      <c r="AY715" s="770"/>
      <c r="AZ715" s="770"/>
      <c r="BA715" s="770"/>
      <c r="BB715" s="770"/>
      <c r="BC715" s="770"/>
      <c r="BD715" s="770"/>
      <c r="BE715" s="770"/>
      <c r="BF715" s="302"/>
      <c r="BG715" s="302"/>
      <c r="BH715" s="770"/>
      <c r="BI715" s="770"/>
      <c r="BJ715" s="770"/>
      <c r="BK715" s="766" t="s">
        <v>1095</v>
      </c>
      <c r="BL715" s="766" t="s">
        <v>4659</v>
      </c>
      <c r="BM715" s="766" t="s">
        <v>1096</v>
      </c>
      <c r="BN715" s="766" t="s">
        <v>1256</v>
      </c>
      <c r="BO715" s="766" t="s">
        <v>1239</v>
      </c>
      <c r="BP715" s="1109">
        <v>33.25</v>
      </c>
      <c r="BQ715" s="773">
        <v>2.8</v>
      </c>
      <c r="BR715" s="774">
        <f t="shared" si="215"/>
        <v>8.4210526315789472E-2</v>
      </c>
      <c r="BS715" s="766" t="s">
        <v>1242</v>
      </c>
      <c r="BT715" s="769" t="s">
        <v>8134</v>
      </c>
      <c r="BU715" s="770" t="s">
        <v>1249</v>
      </c>
      <c r="BV715" s="769"/>
      <c r="BW715" s="769"/>
      <c r="BX715" s="302"/>
      <c r="BY715" s="770"/>
      <c r="BZ715" s="302"/>
      <c r="CA715" s="770"/>
      <c r="CB715" s="770"/>
      <c r="CC715" s="770"/>
      <c r="CD715" s="770"/>
      <c r="CE715" s="302"/>
      <c r="CF715" s="304"/>
      <c r="CG715" s="321"/>
      <c r="CH715" s="770"/>
      <c r="CI715" s="770"/>
      <c r="CJ715" s="770"/>
      <c r="CK715" s="770"/>
      <c r="CL715" s="770"/>
      <c r="CM715" s="770"/>
      <c r="CN715" s="770"/>
      <c r="CO715" s="770"/>
      <c r="CP715" s="770"/>
      <c r="CQ715" s="770"/>
      <c r="CR715" s="302"/>
      <c r="CS715" s="770"/>
      <c r="CT715" s="770"/>
      <c r="CU715" s="305"/>
      <c r="CV715" s="770"/>
      <c r="CW715" s="770"/>
      <c r="CX715" s="770"/>
      <c r="CY715" s="770"/>
      <c r="CZ715" s="770"/>
      <c r="DA715" s="306"/>
      <c r="DB715" s="770"/>
      <c r="DC715" s="770"/>
      <c r="DD715" s="770"/>
      <c r="DE715" s="300"/>
      <c r="DF715" s="770"/>
      <c r="DG715" s="770"/>
      <c r="DH715" s="770"/>
      <c r="DI715" s="770"/>
      <c r="DJ715" s="770"/>
      <c r="DK715" s="770"/>
      <c r="DL715" s="770"/>
      <c r="DM715" s="770"/>
      <c r="DN715" s="322"/>
      <c r="DO715" s="770"/>
      <c r="DP715" s="770"/>
      <c r="DQ715" s="770"/>
      <c r="DR715" s="770"/>
      <c r="DS715" s="307"/>
      <c r="DT715" s="770"/>
      <c r="DU715" s="770"/>
      <c r="DV715" s="770"/>
      <c r="DW715" s="306"/>
      <c r="DX715" s="306"/>
      <c r="DY715" s="1055"/>
      <c r="DZ715" s="770"/>
      <c r="EA715" s="770"/>
      <c r="EB715" s="770"/>
      <c r="EC715" s="770"/>
      <c r="ED715" s="770"/>
      <c r="EE715" s="770"/>
      <c r="EF715" s="770"/>
      <c r="EG715" s="770"/>
      <c r="EH715" s="770"/>
      <c r="EI715" s="770"/>
      <c r="EJ715" s="770"/>
      <c r="EK715" s="770"/>
      <c r="EL715" s="770"/>
      <c r="EM715" s="770"/>
      <c r="EN715" s="770"/>
      <c r="EO715" s="770"/>
      <c r="EP715" s="94"/>
      <c r="EQ715" s="770"/>
      <c r="ER715" s="770"/>
      <c r="ES715" s="770"/>
      <c r="ET715" s="770"/>
      <c r="EU715" s="770"/>
      <c r="EV715" s="770"/>
      <c r="EW715" s="770"/>
      <c r="EX715" s="770"/>
      <c r="EY715" s="770"/>
      <c r="EZ715" s="770"/>
      <c r="FA715" s="770"/>
      <c r="FB715" s="770"/>
      <c r="FC715" s="770"/>
      <c r="FD715" s="302"/>
      <c r="FE715" s="770"/>
      <c r="FF715" s="770"/>
      <c r="FG715" s="770"/>
      <c r="FH715" s="770" t="s">
        <v>1306</v>
      </c>
      <c r="FI715" s="770">
        <v>1</v>
      </c>
      <c r="FJ715" s="766" t="s">
        <v>4659</v>
      </c>
      <c r="FK715" s="770"/>
      <c r="FL715" s="766" t="s">
        <v>7239</v>
      </c>
      <c r="FM715" s="147">
        <v>5000</v>
      </c>
      <c r="FN715" s="302">
        <v>1000</v>
      </c>
      <c r="FO715" s="302">
        <v>7000</v>
      </c>
      <c r="FP715" s="770" t="s">
        <v>1600</v>
      </c>
      <c r="FQ715" s="770" t="s">
        <v>3940</v>
      </c>
      <c r="FR715" s="770"/>
      <c r="FS715" s="770"/>
      <c r="FT715" s="770"/>
      <c r="FU715" s="770"/>
      <c r="FV715" s="770"/>
      <c r="FW715" s="770"/>
      <c r="FX715" s="770"/>
      <c r="FY715" s="770"/>
      <c r="FZ715" s="770"/>
      <c r="GA715" s="770"/>
      <c r="GB715" s="770"/>
      <c r="GC715" s="308"/>
      <c r="GD715" s="297"/>
      <c r="GE715" s="770"/>
      <c r="GF715" s="302"/>
      <c r="GG715" s="302"/>
      <c r="GH715" s="770"/>
      <c r="GI715" s="770"/>
      <c r="GJ715" s="770"/>
      <c r="GK715" s="770"/>
      <c r="GL715" s="770"/>
      <c r="GM715" s="770"/>
      <c r="GN715" s="299"/>
      <c r="GO715" s="770"/>
      <c r="GP715" s="770"/>
      <c r="GQ715" s="770"/>
      <c r="GR715" s="770"/>
      <c r="GS715" s="770"/>
      <c r="GT715" s="770"/>
      <c r="GU715" s="770"/>
      <c r="GV715" s="770"/>
      <c r="GW715" s="770"/>
      <c r="GX715" s="770"/>
      <c r="GY715" s="770"/>
      <c r="GZ715" s="770"/>
      <c r="HA715" s="770"/>
      <c r="HB715" s="770"/>
      <c r="HC715" s="770"/>
      <c r="HD715" s="770"/>
      <c r="HE715" s="770"/>
      <c r="HF715" s="770"/>
      <c r="HG715" s="770"/>
      <c r="HH715" s="770"/>
      <c r="HI715" s="770"/>
      <c r="HJ715" s="770"/>
      <c r="HK715" s="770"/>
      <c r="HL715" s="770"/>
      <c r="HM715" s="770"/>
      <c r="HN715" s="770"/>
      <c r="HO715" s="770"/>
      <c r="HP715" s="770"/>
      <c r="HQ715" s="770"/>
      <c r="HR715" s="770"/>
      <c r="HS715" s="770"/>
      <c r="HT715" s="770"/>
      <c r="HU715" s="770"/>
      <c r="HV715" s="770"/>
      <c r="HW715" s="770"/>
      <c r="HX715" s="770"/>
      <c r="HY715" s="770"/>
      <c r="HZ715" s="770"/>
      <c r="IA715" s="770"/>
      <c r="IB715" s="14" t="e">
        <f>IF(#REF!&gt;0,IF(#REF!&lt;=10000,"Y",""),"")</f>
        <v>#REF!</v>
      </c>
      <c r="IC715" s="770"/>
      <c r="ID715" s="770"/>
      <c r="IE715" s="770"/>
      <c r="IF715" s="770"/>
      <c r="IG715" s="770"/>
      <c r="IH715" s="770"/>
      <c r="II715" s="770"/>
      <c r="IJ715" s="770"/>
      <c r="IK715" s="770"/>
      <c r="IL715" s="770"/>
      <c r="IM715" s="770"/>
      <c r="IN715" s="770"/>
      <c r="IO715" s="296"/>
      <c r="IP715" s="770"/>
      <c r="IQ715" s="770"/>
      <c r="IR715" s="770"/>
      <c r="IS715" s="770"/>
      <c r="IT715" s="770"/>
      <c r="IU715" s="770"/>
      <c r="IV715" s="770"/>
      <c r="IW715" s="770"/>
      <c r="IX715" s="770"/>
      <c r="IY715" s="770"/>
      <c r="IZ715" s="770"/>
      <c r="JA715" s="770"/>
      <c r="JB715" s="770"/>
      <c r="JC715" s="770"/>
      <c r="JD715" s="302"/>
      <c r="JE715" s="770"/>
      <c r="JF715" s="770"/>
      <c r="JG715" s="770"/>
      <c r="JH715" s="307"/>
      <c r="JI715" s="307"/>
      <c r="JJ715" s="94"/>
      <c r="JK715" s="1047" t="s">
        <v>6871</v>
      </c>
      <c r="JL715" s="770"/>
      <c r="JM715" s="770"/>
      <c r="JN715" s="770"/>
      <c r="JO715" s="770"/>
      <c r="JP715" s="770"/>
      <c r="JQ715" s="770"/>
      <c r="JR715" s="770"/>
      <c r="JS715" s="770"/>
      <c r="JT715" s="766"/>
      <c r="JU715" s="766"/>
      <c r="JV715" s="712" t="str">
        <f>IF(JT715=KJ715,"ok","male")</f>
        <v>ok</v>
      </c>
      <c r="JW715" s="712" t="str">
        <f>IF(JU715=KK715,"ok","female")</f>
        <v>ok</v>
      </c>
      <c r="JX715" s="770"/>
      <c r="JY715" s="770"/>
      <c r="JZ715" s="770"/>
      <c r="KA715" s="770"/>
      <c r="KB715" s="770"/>
      <c r="KC715" s="770"/>
      <c r="KD715" s="770"/>
      <c r="KE715" s="770"/>
      <c r="KF715" s="770"/>
      <c r="KG715" s="770"/>
      <c r="KH715" s="770"/>
      <c r="KI715" s="770"/>
      <c r="KJ715" s="770"/>
      <c r="KK715" s="770"/>
      <c r="KL715" s="712" t="str">
        <f>IF(KJ715=LN715,"ok","male")</f>
        <v>ok</v>
      </c>
      <c r="KM715" s="712" t="str">
        <f>IF(KK715=LO715,"ok","female")</f>
        <v>ok</v>
      </c>
      <c r="KN715" s="770"/>
      <c r="KO715" s="770"/>
      <c r="KP715" s="770"/>
      <c r="KQ715" s="770"/>
      <c r="KR715" s="770"/>
      <c r="KS715" s="770"/>
      <c r="KT715" s="770"/>
      <c r="KU715" s="770"/>
      <c r="KV715" s="770"/>
      <c r="KW715" s="770"/>
      <c r="KX715" s="770"/>
      <c r="KY715" s="770"/>
      <c r="KZ715" s="770"/>
      <c r="LA715" s="770"/>
      <c r="LB715" s="770"/>
      <c r="LC715" s="770"/>
      <c r="LD715" s="770"/>
      <c r="LE715" s="770"/>
      <c r="LF715" s="770"/>
      <c r="LG715" s="770"/>
      <c r="LH715" s="770"/>
      <c r="LI715" s="770"/>
      <c r="LJ715" s="770"/>
      <c r="LK715" s="770"/>
      <c r="LL715" s="770"/>
      <c r="LM715" s="770"/>
      <c r="LN715" s="766"/>
      <c r="LO715" s="766"/>
      <c r="LP715" s="770"/>
      <c r="LQ715" s="770"/>
      <c r="LR715" s="770"/>
      <c r="LS715" s="770"/>
      <c r="LT715" s="712" t="str">
        <f>IF(LQ715=SUM(LU715:LW715),"OK","REV")</f>
        <v>OK</v>
      </c>
      <c r="LU715" s="770"/>
      <c r="LV715" s="770"/>
      <c r="LW715" s="770"/>
      <c r="LX715" s="769"/>
      <c r="LY715" s="766" t="str">
        <f t="shared" si="210"/>
        <v/>
      </c>
      <c r="LZ715" s="1709"/>
      <c r="MA715" s="1709"/>
      <c r="MB715" s="1709"/>
      <c r="MC715" s="1679">
        <f t="shared" si="208"/>
        <v>0</v>
      </c>
      <c r="MD715" s="1709"/>
      <c r="ME715" s="1709"/>
      <c r="MF715" s="1709"/>
      <c r="MG715" s="1680">
        <v>0</v>
      </c>
      <c r="MH715" s="770"/>
      <c r="MI715" s="302"/>
      <c r="MJ715" s="302"/>
      <c r="MK715" s="302"/>
      <c r="ML715" s="302"/>
      <c r="MM715" s="302"/>
      <c r="MN715" s="302"/>
      <c r="MO715" s="302"/>
      <c r="MP715" s="302"/>
      <c r="MQ715" s="302"/>
      <c r="MR715" s="302"/>
      <c r="MS715" s="302"/>
      <c r="MT715" s="302"/>
      <c r="MU715" s="302"/>
      <c r="MV715" s="302"/>
      <c r="MW715" s="302"/>
      <c r="MX715" s="302"/>
      <c r="MY715" s="1682"/>
      <c r="MZ715" s="770"/>
      <c r="NA715" s="770"/>
      <c r="NB715" s="770"/>
      <c r="NC715" s="770"/>
      <c r="ND715" s="770"/>
      <c r="NE715" s="770"/>
      <c r="NF715" s="770"/>
      <c r="NG715" s="770"/>
      <c r="NH715" s="770"/>
      <c r="NI715" s="770"/>
      <c r="NJ715" s="770"/>
      <c r="NK715" s="770"/>
      <c r="NL715" s="770"/>
      <c r="NM715" s="770"/>
      <c r="NN715" s="770"/>
      <c r="NO715" s="770"/>
      <c r="NP715" s="770"/>
      <c r="NQ715" s="770"/>
      <c r="NR715" s="770"/>
      <c r="NS715" s="770"/>
      <c r="NT715" s="770"/>
      <c r="NU715" s="770"/>
      <c r="NV715" s="770"/>
      <c r="NW715" s="770"/>
      <c r="NX715" s="770"/>
      <c r="NY715" s="770"/>
      <c r="NZ715" s="770"/>
      <c r="OA715" s="770"/>
      <c r="OB715" s="770"/>
      <c r="OC715" s="770"/>
      <c r="OD715" s="770"/>
      <c r="OE715" s="770"/>
      <c r="OF715" s="770"/>
      <c r="OG715" s="770"/>
      <c r="OH715" s="770"/>
      <c r="OI715" s="770"/>
      <c r="OJ715" s="770"/>
      <c r="OK715" s="770"/>
      <c r="OL715" s="770"/>
      <c r="OM715" s="770"/>
      <c r="ON715" s="770"/>
      <c r="OO715" s="770"/>
      <c r="OP715" s="770"/>
      <c r="OQ715" s="770"/>
      <c r="OR715" s="770"/>
      <c r="OS715" s="770"/>
      <c r="OT715" s="770"/>
      <c r="OU715" s="770"/>
      <c r="OV715" s="770"/>
      <c r="OW715" s="770"/>
      <c r="OX715" s="770"/>
      <c r="OY715" s="770"/>
      <c r="OZ715" s="770"/>
      <c r="PA715" s="770"/>
      <c r="PB715" s="770"/>
      <c r="PC715" s="770"/>
      <c r="PD715" s="770"/>
      <c r="PE715" s="770"/>
      <c r="PF715" s="770"/>
      <c r="PG715" s="770"/>
      <c r="PH715" s="770"/>
      <c r="PI715" s="770"/>
      <c r="PJ715" s="770"/>
      <c r="PK715" s="770"/>
      <c r="PL715" s="770"/>
      <c r="PM715" s="770"/>
      <c r="PN715" s="770"/>
      <c r="PO715" s="770"/>
      <c r="PP715" s="770"/>
      <c r="PQ715" s="770"/>
      <c r="PR715" s="770"/>
      <c r="PS715" s="770"/>
      <c r="PT715" s="770"/>
      <c r="PU715" s="770"/>
      <c r="PV715" s="770"/>
      <c r="PW715" s="770"/>
      <c r="PX715" s="770"/>
      <c r="PY715" s="770"/>
      <c r="PZ715" s="770"/>
      <c r="QA715" s="770"/>
      <c r="QB715" s="770"/>
      <c r="QC715" s="770"/>
      <c r="QD715" s="770"/>
      <c r="QE715" s="770"/>
      <c r="QF715" s="770"/>
      <c r="QG715" s="770"/>
      <c r="QH715" s="770"/>
      <c r="QI715" s="770"/>
      <c r="QJ715" s="770"/>
      <c r="QK715" s="770"/>
      <c r="QL715" s="770"/>
      <c r="QM715" s="770"/>
      <c r="QN715" s="770"/>
      <c r="QO715" s="770"/>
      <c r="QP715" s="770"/>
      <c r="QQ715" s="770"/>
      <c r="QR715" s="770"/>
      <c r="QS715" s="770"/>
      <c r="QT715" s="770"/>
      <c r="QU715" s="770"/>
      <c r="QV715" s="770"/>
      <c r="QW715" s="770"/>
      <c r="QX715" s="770"/>
      <c r="QY715" s="770"/>
      <c r="QZ715" s="770"/>
      <c r="RA715" s="770"/>
      <c r="RB715" s="770"/>
      <c r="RC715" s="770"/>
      <c r="RD715" s="770"/>
      <c r="RE715" s="770"/>
      <c r="RF715" s="304"/>
      <c r="RG715" s="770"/>
      <c r="RH715" s="306"/>
      <c r="RI715" s="770"/>
      <c r="RJ715" s="94" t="s">
        <v>13941</v>
      </c>
      <c r="RK715" s="770" t="s">
        <v>13550</v>
      </c>
      <c r="RL715" s="1710">
        <v>42844</v>
      </c>
      <c r="RM715" s="12"/>
      <c r="RN715" s="1711"/>
      <c r="RO715" s="149" t="s">
        <v>3142</v>
      </c>
      <c r="RP715" s="11"/>
      <c r="RQ715" s="11"/>
      <c r="RR715" s="19" t="s">
        <v>7421</v>
      </c>
      <c r="RS715" s="1139" t="s">
        <v>12980</v>
      </c>
      <c r="RT715" s="11"/>
      <c r="RU715" s="11"/>
      <c r="RV715" s="6" t="s">
        <v>7419</v>
      </c>
      <c r="RW715" s="11" t="s">
        <v>8028</v>
      </c>
      <c r="RX715" s="11" t="s">
        <v>4635</v>
      </c>
      <c r="RY715" s="11"/>
      <c r="RZ715" s="11" t="s">
        <v>2209</v>
      </c>
      <c r="SA715" s="6"/>
      <c r="SB715" s="11"/>
      <c r="SC715" s="11"/>
    </row>
    <row r="716" spans="1:497" ht="12.75" customHeight="1">
      <c r="A716" s="19" t="s">
        <v>7421</v>
      </c>
      <c r="B716" s="292" t="s">
        <v>7441</v>
      </c>
      <c r="C716" s="149" t="s">
        <v>4637</v>
      </c>
      <c r="D716" s="94" t="s">
        <v>4662</v>
      </c>
      <c r="E716" s="766" t="s">
        <v>4663</v>
      </c>
      <c r="F716" s="770" t="s">
        <v>28</v>
      </c>
      <c r="G716" s="770" t="s">
        <v>10</v>
      </c>
      <c r="H716" s="12"/>
      <c r="I716" s="295" t="s">
        <v>4664</v>
      </c>
      <c r="J716" s="94" t="s">
        <v>4662</v>
      </c>
      <c r="K716" s="766" t="s">
        <v>4665</v>
      </c>
      <c r="L716" s="766" t="s">
        <v>4593</v>
      </c>
      <c r="M716" s="770" t="s">
        <v>1238</v>
      </c>
      <c r="N716" s="1757" t="s">
        <v>7238</v>
      </c>
      <c r="O716" s="1757" t="s">
        <v>7233</v>
      </c>
      <c r="P716" s="94" t="s">
        <v>4666</v>
      </c>
      <c r="Q716" s="1088">
        <v>14870</v>
      </c>
      <c r="R716" s="297">
        <v>75</v>
      </c>
      <c r="S716" s="770" t="s">
        <v>10</v>
      </c>
      <c r="T716" s="770"/>
      <c r="U716" s="295" t="s">
        <v>4664</v>
      </c>
      <c r="V716" s="770" t="s">
        <v>707</v>
      </c>
      <c r="W716" s="770"/>
      <c r="X716" s="770"/>
      <c r="Y716" s="770" t="s">
        <v>4663</v>
      </c>
      <c r="Z716" s="770" t="s">
        <v>708</v>
      </c>
      <c r="AA716" s="770" t="s">
        <v>709</v>
      </c>
      <c r="AB716" s="770" t="s">
        <v>710</v>
      </c>
      <c r="AC716" s="770"/>
      <c r="AD716" s="770" t="s">
        <v>711</v>
      </c>
      <c r="AE716" s="770"/>
      <c r="AF716" s="770" t="s">
        <v>712</v>
      </c>
      <c r="AG716" s="766" t="s">
        <v>1132</v>
      </c>
      <c r="AH716" s="766" t="s">
        <v>1096</v>
      </c>
      <c r="AI716" s="770"/>
      <c r="AJ716" s="770" t="s">
        <v>1137</v>
      </c>
      <c r="AK716" s="770" t="s">
        <v>1101</v>
      </c>
      <c r="AL716" s="531">
        <v>29.46</v>
      </c>
      <c r="AM716" s="780">
        <v>3.84</v>
      </c>
      <c r="AN716" s="532">
        <f t="shared" si="224"/>
        <v>0.13034623217922606</v>
      </c>
      <c r="AO716" s="766" t="s">
        <v>1109</v>
      </c>
      <c r="AP716" s="766"/>
      <c r="AQ716" s="766"/>
      <c r="AR716" s="766"/>
      <c r="AS716" s="770"/>
      <c r="AT716" s="770"/>
      <c r="AU716" s="770"/>
      <c r="AV716" s="770"/>
      <c r="AW716" s="770"/>
      <c r="AX716" s="770"/>
      <c r="AY716" s="770"/>
      <c r="AZ716" s="770"/>
      <c r="BA716" s="770"/>
      <c r="BB716" s="770"/>
      <c r="BC716" s="770"/>
      <c r="BD716" s="770"/>
      <c r="BE716" s="770"/>
      <c r="BF716" s="302"/>
      <c r="BG716" s="302"/>
      <c r="BH716" s="770"/>
      <c r="BI716" s="770"/>
      <c r="BJ716" s="770"/>
      <c r="BK716" s="766" t="s">
        <v>1095</v>
      </c>
      <c r="BL716" s="766" t="s">
        <v>4667</v>
      </c>
      <c r="BM716" s="766" t="s">
        <v>1096</v>
      </c>
      <c r="BN716" s="766" t="s">
        <v>1230</v>
      </c>
      <c r="BO716" s="766" t="s">
        <v>1239</v>
      </c>
      <c r="BP716" s="1109">
        <v>49.72</v>
      </c>
      <c r="BQ716" s="773">
        <v>7.68</v>
      </c>
      <c r="BR716" s="774">
        <f t="shared" si="215"/>
        <v>0.15446500402252614</v>
      </c>
      <c r="BS716" s="766" t="s">
        <v>1242</v>
      </c>
      <c r="BT716" s="770" t="s">
        <v>8133</v>
      </c>
      <c r="BU716" s="770" t="s">
        <v>1249</v>
      </c>
      <c r="BV716" s="770" t="s">
        <v>1247</v>
      </c>
      <c r="BW716" s="770">
        <v>1955</v>
      </c>
      <c r="BX716" s="302" t="s">
        <v>2769</v>
      </c>
      <c r="BY716" s="770" t="s">
        <v>1207</v>
      </c>
      <c r="BZ716" s="302" t="s">
        <v>2769</v>
      </c>
      <c r="CA716" s="770"/>
      <c r="CB716" s="770" t="s">
        <v>1207</v>
      </c>
      <c r="CC716" s="770"/>
      <c r="CD716" s="770"/>
      <c r="CE716" s="302"/>
      <c r="CF716" s="304"/>
      <c r="CG716" s="321"/>
      <c r="CH716" s="770"/>
      <c r="CI716" s="770"/>
      <c r="CJ716" s="770"/>
      <c r="CK716" s="770"/>
      <c r="CL716" s="770"/>
      <c r="CM716" s="770"/>
      <c r="CN716" s="770"/>
      <c r="CO716" s="770"/>
      <c r="CP716" s="770"/>
      <c r="CQ716" s="770"/>
      <c r="CR716" s="302"/>
      <c r="CS716" s="770"/>
      <c r="CT716" s="770"/>
      <c r="CU716" s="305"/>
      <c r="CV716" s="770"/>
      <c r="CW716" s="770"/>
      <c r="CX716" s="770"/>
      <c r="CY716" s="770"/>
      <c r="CZ716" s="770"/>
      <c r="DA716" s="306"/>
      <c r="DB716" s="770"/>
      <c r="DC716" s="770"/>
      <c r="DD716" s="770"/>
      <c r="DE716" s="300"/>
      <c r="DF716" s="770"/>
      <c r="DG716" s="770"/>
      <c r="DH716" s="770"/>
      <c r="DI716" s="770"/>
      <c r="DJ716" s="770"/>
      <c r="DK716" s="770"/>
      <c r="DL716" s="770"/>
      <c r="DM716" s="770"/>
      <c r="DN716" s="322"/>
      <c r="DO716" s="770"/>
      <c r="DP716" s="770"/>
      <c r="DQ716" s="770"/>
      <c r="DR716" s="770"/>
      <c r="DS716" s="307"/>
      <c r="DT716" s="770"/>
      <c r="DU716" s="770"/>
      <c r="DV716" s="770"/>
      <c r="DW716" s="306"/>
      <c r="DX716" s="306"/>
      <c r="DY716" s="1055"/>
      <c r="DZ716" s="770"/>
      <c r="EA716" s="770"/>
      <c r="EB716" s="770"/>
      <c r="EC716" s="770"/>
      <c r="ED716" s="770"/>
      <c r="EE716" s="770"/>
      <c r="EF716" s="770"/>
      <c r="EG716" s="770"/>
      <c r="EH716" s="770"/>
      <c r="EI716" s="770"/>
      <c r="EJ716" s="770"/>
      <c r="EK716" s="770"/>
      <c r="EL716" s="770"/>
      <c r="EM716" s="770"/>
      <c r="EN716" s="770"/>
      <c r="EO716" s="770"/>
      <c r="EP716" s="94"/>
      <c r="EQ716" s="770"/>
      <c r="ER716" s="770"/>
      <c r="ES716" s="770"/>
      <c r="ET716" s="770"/>
      <c r="EU716" s="770"/>
      <c r="EV716" s="770"/>
      <c r="EW716" s="770"/>
      <c r="EX716" s="770"/>
      <c r="EY716" s="770"/>
      <c r="EZ716" s="770" t="s">
        <v>4667</v>
      </c>
      <c r="FA716" s="770" t="s">
        <v>5809</v>
      </c>
      <c r="FB716" s="770" t="s">
        <v>1257</v>
      </c>
      <c r="FC716" s="770"/>
      <c r="FD716" s="302"/>
      <c r="FE716" s="770"/>
      <c r="FF716" s="770"/>
      <c r="FG716" s="770" t="s">
        <v>4668</v>
      </c>
      <c r="FH716" s="770" t="s">
        <v>478</v>
      </c>
      <c r="FI716" s="770">
        <v>5</v>
      </c>
      <c r="FJ716" s="770"/>
      <c r="FK716" s="770"/>
      <c r="FL716" s="770"/>
      <c r="FM716" s="302"/>
      <c r="FN716" s="302"/>
      <c r="FO716" s="302"/>
      <c r="FP716" s="770" t="s">
        <v>1600</v>
      </c>
      <c r="FQ716" s="770" t="s">
        <v>3940</v>
      </c>
      <c r="FR716" s="770" t="s">
        <v>1214</v>
      </c>
      <c r="FS716" s="770"/>
      <c r="FT716" s="770"/>
      <c r="FU716" s="770"/>
      <c r="FV716" s="770"/>
      <c r="FW716" s="770"/>
      <c r="FX716" s="770"/>
      <c r="FY716" s="770"/>
      <c r="FZ716" s="770"/>
      <c r="GA716" s="770"/>
      <c r="GB716" s="770"/>
      <c r="GC716" s="308"/>
      <c r="GD716" s="297"/>
      <c r="GE716" s="770" t="s">
        <v>1214</v>
      </c>
      <c r="GF716" s="302"/>
      <c r="GG716" s="302"/>
      <c r="GH716" s="770"/>
      <c r="GI716" s="770"/>
      <c r="GJ716" s="770"/>
      <c r="GK716" s="770"/>
      <c r="GL716" s="770"/>
      <c r="GM716" s="770"/>
      <c r="GN716" s="299"/>
      <c r="GO716" s="770"/>
      <c r="GP716" s="770"/>
      <c r="GQ716" s="770"/>
      <c r="GR716" s="770"/>
      <c r="GS716" s="770"/>
      <c r="GT716" s="770"/>
      <c r="GU716" s="770"/>
      <c r="GV716" s="770"/>
      <c r="GW716" s="770"/>
      <c r="GX716" s="770"/>
      <c r="GY716" s="770"/>
      <c r="GZ716" s="770"/>
      <c r="HA716" s="770"/>
      <c r="HB716" s="770"/>
      <c r="HC716" s="770"/>
      <c r="HD716" s="770"/>
      <c r="HE716" s="770"/>
      <c r="HF716" s="770"/>
      <c r="HG716" s="770"/>
      <c r="HH716" s="770"/>
      <c r="HI716" s="770"/>
      <c r="HJ716" s="770"/>
      <c r="HK716" s="770"/>
      <c r="HL716" s="770"/>
      <c r="HM716" s="770"/>
      <c r="HN716" s="770"/>
      <c r="HO716" s="770"/>
      <c r="HP716" s="770"/>
      <c r="HQ716" s="770"/>
      <c r="HR716" s="770">
        <v>5</v>
      </c>
      <c r="HS716" s="770"/>
      <c r="HT716" s="770"/>
      <c r="HU716" s="770"/>
      <c r="HV716" s="770"/>
      <c r="HW716" s="770"/>
      <c r="HX716" s="770"/>
      <c r="HY716" s="770"/>
      <c r="HZ716" s="770"/>
      <c r="IA716" s="770"/>
      <c r="IB716" s="14" t="e">
        <f>IF(#REF!&gt;0,IF(#REF!&lt;=10000,"Y",""),"")</f>
        <v>#REF!</v>
      </c>
      <c r="IC716" s="770"/>
      <c r="ID716" s="770">
        <v>1</v>
      </c>
      <c r="IE716" s="770"/>
      <c r="IF716" s="770"/>
      <c r="IG716" s="770"/>
      <c r="IH716" s="770"/>
      <c r="II716" s="770"/>
      <c r="IJ716" s="770"/>
      <c r="IK716" s="770"/>
      <c r="IL716" s="770"/>
      <c r="IM716" s="770"/>
      <c r="IN716" s="770"/>
      <c r="IO716" s="296"/>
      <c r="IP716" s="770"/>
      <c r="IQ716" s="770"/>
      <c r="IR716" s="770"/>
      <c r="IS716" s="770"/>
      <c r="IT716" s="770"/>
      <c r="IU716" s="770"/>
      <c r="IV716" s="770"/>
      <c r="IW716" s="770"/>
      <c r="IX716" s="770"/>
      <c r="IY716" s="770"/>
      <c r="IZ716" s="770"/>
      <c r="JA716" s="770"/>
      <c r="JB716" s="770"/>
      <c r="JC716" s="770"/>
      <c r="JD716" s="302"/>
      <c r="JE716" s="770"/>
      <c r="JF716" s="770"/>
      <c r="JG716" s="770"/>
      <c r="JH716" s="307"/>
      <c r="JI716" s="307"/>
      <c r="JJ716" s="770">
        <v>11</v>
      </c>
      <c r="JK716" s="1139" t="s">
        <v>4669</v>
      </c>
      <c r="JL716" s="770"/>
      <c r="JM716" s="770"/>
      <c r="JN716" s="770">
        <v>6</v>
      </c>
      <c r="JO716" s="770">
        <v>4</v>
      </c>
      <c r="JP716" s="770">
        <v>1</v>
      </c>
      <c r="JQ716" s="770"/>
      <c r="JR716" s="770"/>
      <c r="JS716" s="770"/>
      <c r="JT716" s="766">
        <f>SUM(JP716,JN716,JL716,JR716)</f>
        <v>7</v>
      </c>
      <c r="JU716" s="766">
        <f>SUM(JQ716,JO716,JM716,JS716)</f>
        <v>4</v>
      </c>
      <c r="JV716" s="712" t="str">
        <f>IF(JT716=KJ716,"ok","male")</f>
        <v>ok</v>
      </c>
      <c r="JW716" s="712" t="str">
        <f>IF(JU716=KK716,"ok","female")</f>
        <v>ok</v>
      </c>
      <c r="JX716" s="770"/>
      <c r="JY716" s="770"/>
      <c r="JZ716" s="770"/>
      <c r="KA716" s="770"/>
      <c r="KB716" s="770">
        <v>2</v>
      </c>
      <c r="KC716" s="770">
        <v>2</v>
      </c>
      <c r="KD716" s="770">
        <v>4</v>
      </c>
      <c r="KE716" s="770">
        <v>2</v>
      </c>
      <c r="KF716" s="770">
        <v>1</v>
      </c>
      <c r="KG716" s="770"/>
      <c r="KH716" s="770"/>
      <c r="KI716" s="770"/>
      <c r="KJ716" s="770">
        <f t="shared" si="204"/>
        <v>7</v>
      </c>
      <c r="KK716" s="770">
        <f t="shared" si="204"/>
        <v>4</v>
      </c>
      <c r="KL716" s="712" t="str">
        <f>IF(KJ716=LN716,"ok","male")</f>
        <v>ok</v>
      </c>
      <c r="KM716" s="712" t="str">
        <f>IF(KK716=LO716,"ok","female")</f>
        <v>ok</v>
      </c>
      <c r="KN716" s="770" t="s">
        <v>707</v>
      </c>
      <c r="KO716" s="770"/>
      <c r="KP716" s="770"/>
      <c r="KQ716" s="770"/>
      <c r="KR716" s="770"/>
      <c r="KS716" s="770"/>
      <c r="KT716" s="770"/>
      <c r="KU716" s="770"/>
      <c r="KV716" s="770">
        <v>1</v>
      </c>
      <c r="KW716" s="770">
        <v>1</v>
      </c>
      <c r="KX716" s="770">
        <v>3</v>
      </c>
      <c r="KY716" s="770">
        <v>2</v>
      </c>
      <c r="KZ716" s="770">
        <v>3</v>
      </c>
      <c r="LA716" s="770"/>
      <c r="LB716" s="770"/>
      <c r="LC716" s="770">
        <v>1</v>
      </c>
      <c r="LD716" s="770"/>
      <c r="LE716" s="770"/>
      <c r="LF716" s="770"/>
      <c r="LG716" s="770"/>
      <c r="LH716" s="770"/>
      <c r="LI716" s="770"/>
      <c r="LJ716" s="770"/>
      <c r="LK716" s="770"/>
      <c r="LL716" s="770"/>
      <c r="LM716" s="770"/>
      <c r="LN716" s="766">
        <f t="shared" si="209"/>
        <v>7</v>
      </c>
      <c r="LO716" s="766">
        <f t="shared" si="209"/>
        <v>4</v>
      </c>
      <c r="LP716" s="770">
        <v>5</v>
      </c>
      <c r="LQ716" s="770">
        <v>5</v>
      </c>
      <c r="LR716" s="770"/>
      <c r="LS716" s="770"/>
      <c r="LT716" s="712" t="str">
        <f>IF(LQ716=SUM(LU716:LW716),"OK","REV")</f>
        <v>OK</v>
      </c>
      <c r="LU716" s="770">
        <v>3</v>
      </c>
      <c r="LV716" s="770">
        <v>1</v>
      </c>
      <c r="LW716" s="770">
        <v>1</v>
      </c>
      <c r="LX716" s="769">
        <v>2</v>
      </c>
      <c r="LY716" s="766" t="str">
        <f t="shared" si="210"/>
        <v>within the MUNICIPALITY</v>
      </c>
      <c r="LZ716" s="1709">
        <f>SUM(100*26,32*26,32*26)</f>
        <v>4264</v>
      </c>
      <c r="MA716" s="1709"/>
      <c r="MB716" s="1709"/>
      <c r="MC716" s="1679">
        <f t="shared" si="208"/>
        <v>4264</v>
      </c>
      <c r="MD716" s="1709">
        <f>SUM(465*26,5000,150*30,7000/4,500*26)</f>
        <v>36340</v>
      </c>
      <c r="ME716" s="1709"/>
      <c r="MF716" s="1709"/>
      <c r="MG716" s="1680">
        <f>SUM(MD716:MF716)</f>
        <v>36340</v>
      </c>
      <c r="MH716" s="770" t="s">
        <v>4638</v>
      </c>
      <c r="MI716" s="302">
        <f>300*30</f>
        <v>9000</v>
      </c>
      <c r="MJ716" s="302">
        <f>180*30</f>
        <v>5400</v>
      </c>
      <c r="MK716" s="302"/>
      <c r="ML716" s="302"/>
      <c r="MM716" s="302">
        <v>7000</v>
      </c>
      <c r="MN716" s="302"/>
      <c r="MO716" s="302">
        <v>200</v>
      </c>
      <c r="MP716" s="302">
        <v>5000</v>
      </c>
      <c r="MQ716" s="302">
        <v>1000</v>
      </c>
      <c r="MR716" s="302">
        <v>2000</v>
      </c>
      <c r="MS716" s="302">
        <v>8000</v>
      </c>
      <c r="MT716" s="302"/>
      <c r="MU716" s="302"/>
      <c r="MV716" s="302"/>
      <c r="MW716" s="302"/>
      <c r="MX716" s="302"/>
      <c r="MY716" s="1682">
        <f t="shared" si="217"/>
        <v>37600</v>
      </c>
      <c r="MZ716" s="770" t="s">
        <v>13370</v>
      </c>
      <c r="NA716" s="770" t="s">
        <v>13005</v>
      </c>
      <c r="NB716" s="770" t="s">
        <v>13016</v>
      </c>
      <c r="NC716" s="770" t="s">
        <v>13602</v>
      </c>
      <c r="ND716" s="770">
        <v>0</v>
      </c>
      <c r="NE716" s="770">
        <v>0</v>
      </c>
      <c r="NF716" s="770">
        <v>0</v>
      </c>
      <c r="NG716" s="770">
        <v>14</v>
      </c>
      <c r="NH716" s="770">
        <v>4</v>
      </c>
      <c r="NI716" s="770">
        <v>3</v>
      </c>
      <c r="NJ716" s="770">
        <v>0</v>
      </c>
      <c r="NK716" s="770">
        <v>0</v>
      </c>
      <c r="NL716" s="770">
        <v>0</v>
      </c>
      <c r="NM716" s="770">
        <v>0</v>
      </c>
      <c r="NN716" s="770">
        <v>0</v>
      </c>
      <c r="NO716" s="770">
        <v>0</v>
      </c>
      <c r="NP716" s="770">
        <v>0</v>
      </c>
      <c r="NQ716" s="770">
        <v>0</v>
      </c>
      <c r="NR716" s="770">
        <v>1</v>
      </c>
      <c r="NS716" s="770">
        <v>0</v>
      </c>
      <c r="NT716" s="770">
        <v>0</v>
      </c>
      <c r="NU716" s="770">
        <v>0</v>
      </c>
      <c r="NV716" s="770">
        <v>0</v>
      </c>
      <c r="NW716" s="770">
        <v>0</v>
      </c>
      <c r="NX716" s="770">
        <v>0</v>
      </c>
      <c r="NY716" s="770" t="s">
        <v>1208</v>
      </c>
      <c r="NZ716" s="770" t="s">
        <v>1208</v>
      </c>
      <c r="OA716" s="770" t="s">
        <v>1208</v>
      </c>
      <c r="OB716" s="770" t="s">
        <v>1208</v>
      </c>
      <c r="OC716" s="770" t="s">
        <v>1208</v>
      </c>
      <c r="OD716" s="770"/>
      <c r="OE716" s="770"/>
      <c r="OF716" s="770"/>
      <c r="OG716" s="770"/>
      <c r="OH716" s="770"/>
      <c r="OI716" s="770"/>
      <c r="OJ716" s="770"/>
      <c r="OK716" s="770"/>
      <c r="OL716" s="770"/>
      <c r="OM716" s="770"/>
      <c r="ON716" s="770"/>
      <c r="OO716" s="770"/>
      <c r="OP716" s="770"/>
      <c r="OQ716" s="770"/>
      <c r="OR716" s="770"/>
      <c r="OS716" s="770"/>
      <c r="OT716" s="770"/>
      <c r="OU716" s="770"/>
      <c r="OV716" s="770"/>
      <c r="OW716" s="770"/>
      <c r="OX716" s="770"/>
      <c r="OY716" s="770"/>
      <c r="OZ716" s="770"/>
      <c r="PA716" s="770"/>
      <c r="PB716" s="770"/>
      <c r="PC716" s="770"/>
      <c r="PD716" s="770"/>
      <c r="PE716" s="770"/>
      <c r="PF716" s="770"/>
      <c r="PG716" s="770"/>
      <c r="PH716" s="770" t="s">
        <v>1208</v>
      </c>
      <c r="PI716" s="770"/>
      <c r="PJ716" s="770"/>
      <c r="PK716" s="770"/>
      <c r="PL716" s="770"/>
      <c r="PM716" s="770"/>
      <c r="PN716" s="770"/>
      <c r="PO716" s="770"/>
      <c r="PP716" s="770"/>
      <c r="PQ716" s="770"/>
      <c r="PR716" s="770"/>
      <c r="PS716" s="770"/>
      <c r="PT716" s="770"/>
      <c r="PU716" s="770"/>
      <c r="PV716" s="770"/>
      <c r="PW716" s="770"/>
      <c r="PX716" s="770"/>
      <c r="PY716" s="770"/>
      <c r="PZ716" s="770"/>
      <c r="QA716" s="770"/>
      <c r="QB716" s="770"/>
      <c r="QC716" s="770"/>
      <c r="QD716" s="770"/>
      <c r="QE716" s="770"/>
      <c r="QF716" s="770"/>
      <c r="QG716" s="770"/>
      <c r="QH716" s="770"/>
      <c r="QI716" s="770"/>
      <c r="QJ716" s="770"/>
      <c r="QK716" s="770"/>
      <c r="QL716" s="770"/>
      <c r="QM716" s="770"/>
      <c r="QN716" s="770"/>
      <c r="QO716" s="770"/>
      <c r="QP716" s="770"/>
      <c r="QQ716" s="770"/>
      <c r="QR716" s="770"/>
      <c r="QS716" s="770"/>
      <c r="QT716" s="770"/>
      <c r="QU716" s="770"/>
      <c r="QV716" s="770"/>
      <c r="QW716" s="770"/>
      <c r="QX716" s="770"/>
      <c r="QY716" s="770"/>
      <c r="QZ716" s="770"/>
      <c r="RA716" s="770" t="s">
        <v>13599</v>
      </c>
      <c r="RB716" s="770" t="s">
        <v>1214</v>
      </c>
      <c r="RC716" s="770"/>
      <c r="RD716" s="770"/>
      <c r="RE716" s="770"/>
      <c r="RF716" s="304"/>
      <c r="RG716" s="770"/>
      <c r="RH716" s="306"/>
      <c r="RI716" s="770"/>
      <c r="RJ716" s="94" t="s">
        <v>13942</v>
      </c>
      <c r="RK716" s="770" t="s">
        <v>13544</v>
      </c>
      <c r="RL716" s="1710">
        <v>42844</v>
      </c>
      <c r="RM716" s="12"/>
      <c r="RN716" s="1711"/>
      <c r="RO716" s="149" t="s">
        <v>4637</v>
      </c>
      <c r="RP716" s="11"/>
      <c r="RQ716" s="11"/>
      <c r="RR716" s="19" t="s">
        <v>7421</v>
      </c>
      <c r="RS716" s="1139" t="s">
        <v>12980</v>
      </c>
      <c r="RT716" s="11"/>
      <c r="RU716" s="11"/>
      <c r="RV716" s="771" t="s">
        <v>7421</v>
      </c>
      <c r="RW716" s="11" t="s">
        <v>7439</v>
      </c>
      <c r="RX716" s="11" t="s">
        <v>3130</v>
      </c>
      <c r="RY716" s="11"/>
      <c r="RZ716" s="11" t="s">
        <v>2209</v>
      </c>
      <c r="SA716" s="771"/>
      <c r="SB716" s="11"/>
      <c r="SC716" s="11"/>
    </row>
    <row r="717" spans="1:497" ht="12.75" customHeight="1">
      <c r="A717" s="19" t="s">
        <v>7421</v>
      </c>
      <c r="B717" s="292" t="s">
        <v>8029</v>
      </c>
      <c r="C717" s="149" t="s">
        <v>4670</v>
      </c>
      <c r="D717" s="94" t="s">
        <v>4681</v>
      </c>
      <c r="E717" s="766" t="s">
        <v>4671</v>
      </c>
      <c r="F717" s="770" t="s">
        <v>20</v>
      </c>
      <c r="G717" s="770" t="s">
        <v>18</v>
      </c>
      <c r="H717" s="12"/>
      <c r="I717" s="295" t="s">
        <v>4672</v>
      </c>
      <c r="J717" s="94" t="s">
        <v>4673</v>
      </c>
      <c r="K717" s="766" t="s">
        <v>4674</v>
      </c>
      <c r="L717" s="766" t="s">
        <v>3140</v>
      </c>
      <c r="M717" s="770" t="s">
        <v>1238</v>
      </c>
      <c r="N717" s="1757" t="s">
        <v>7238</v>
      </c>
      <c r="O717" s="1757" t="s">
        <v>7233</v>
      </c>
      <c r="P717" s="94" t="s">
        <v>4676</v>
      </c>
      <c r="Q717" s="1088">
        <v>33743</v>
      </c>
      <c r="R717" s="297">
        <v>24</v>
      </c>
      <c r="S717" s="770" t="s">
        <v>10</v>
      </c>
      <c r="T717" s="770"/>
      <c r="U717" s="295" t="s">
        <v>4672</v>
      </c>
      <c r="V717" s="770" t="s">
        <v>722</v>
      </c>
      <c r="W717" s="770"/>
      <c r="X717" s="770"/>
      <c r="Y717" s="770" t="s">
        <v>4671</v>
      </c>
      <c r="Z717" s="770"/>
      <c r="AA717" s="770" t="s">
        <v>2463</v>
      </c>
      <c r="AB717" s="770" t="s">
        <v>7273</v>
      </c>
      <c r="AC717" s="770"/>
      <c r="AD717" s="770" t="s">
        <v>711</v>
      </c>
      <c r="AE717" s="770"/>
      <c r="AF717" s="770" t="s">
        <v>712</v>
      </c>
      <c r="AG717" s="766" t="s">
        <v>1132</v>
      </c>
      <c r="AH717" s="766" t="s">
        <v>1096</v>
      </c>
      <c r="AI717" s="770"/>
      <c r="AJ717" s="770" t="s">
        <v>1137</v>
      </c>
      <c r="AK717" s="770" t="s">
        <v>1101</v>
      </c>
      <c r="AL717" s="531">
        <v>10.24</v>
      </c>
      <c r="AM717" s="780">
        <v>3.84</v>
      </c>
      <c r="AN717" s="532">
        <f t="shared" si="224"/>
        <v>0.375</v>
      </c>
      <c r="AO717" s="766" t="s">
        <v>1149</v>
      </c>
      <c r="AP717" s="766"/>
      <c r="AQ717" s="766"/>
      <c r="AR717" s="766"/>
      <c r="AS717" s="770"/>
      <c r="AT717" s="770"/>
      <c r="AU717" s="770"/>
      <c r="AV717" s="770"/>
      <c r="AW717" s="770"/>
      <c r="AX717" s="770"/>
      <c r="AY717" s="770"/>
      <c r="AZ717" s="770"/>
      <c r="BA717" s="770"/>
      <c r="BB717" s="770"/>
      <c r="BC717" s="770"/>
      <c r="BD717" s="770"/>
      <c r="BE717" s="770"/>
      <c r="BF717" s="302"/>
      <c r="BG717" s="302"/>
      <c r="BH717" s="770"/>
      <c r="BI717" s="770"/>
      <c r="BJ717" s="770"/>
      <c r="BK717" s="766" t="s">
        <v>1095</v>
      </c>
      <c r="BL717" s="766" t="s">
        <v>4677</v>
      </c>
      <c r="BM717" s="766" t="s">
        <v>1096</v>
      </c>
      <c r="BN717" s="766" t="s">
        <v>1230</v>
      </c>
      <c r="BO717" s="766" t="s">
        <v>1239</v>
      </c>
      <c r="BP717" s="1109">
        <v>10.24</v>
      </c>
      <c r="BQ717" s="773">
        <v>3.84</v>
      </c>
      <c r="BR717" s="774">
        <f t="shared" si="215"/>
        <v>0.375</v>
      </c>
      <c r="BS717" s="766" t="s">
        <v>1149</v>
      </c>
      <c r="BT717" s="766" t="s">
        <v>8133</v>
      </c>
      <c r="BU717" s="769"/>
      <c r="BV717" s="770"/>
      <c r="BW717" s="770" t="s">
        <v>2769</v>
      </c>
      <c r="BX717" s="302"/>
      <c r="BY717" s="770"/>
      <c r="BZ717" s="302"/>
      <c r="CA717" s="770"/>
      <c r="CB717" s="770"/>
      <c r="CC717" s="770"/>
      <c r="CD717" s="770"/>
      <c r="CE717" s="302"/>
      <c r="CF717" s="304"/>
      <c r="CG717" s="321"/>
      <c r="CH717" s="770"/>
      <c r="CI717" s="770"/>
      <c r="CJ717" s="770"/>
      <c r="CK717" s="770"/>
      <c r="CL717" s="770"/>
      <c r="CM717" s="770"/>
      <c r="CN717" s="770"/>
      <c r="CO717" s="770"/>
      <c r="CP717" s="770"/>
      <c r="CQ717" s="770"/>
      <c r="CR717" s="302"/>
      <c r="CS717" s="770"/>
      <c r="CT717" s="770"/>
      <c r="CU717" s="305"/>
      <c r="CV717" s="770"/>
      <c r="CW717" s="770"/>
      <c r="CX717" s="770"/>
      <c r="CY717" s="770"/>
      <c r="CZ717" s="770"/>
      <c r="DA717" s="306"/>
      <c r="DB717" s="770"/>
      <c r="DC717" s="770"/>
      <c r="DD717" s="770"/>
      <c r="DE717" s="300"/>
      <c r="DF717" s="770"/>
      <c r="DG717" s="770"/>
      <c r="DH717" s="770"/>
      <c r="DI717" s="770"/>
      <c r="DJ717" s="770"/>
      <c r="DK717" s="770"/>
      <c r="DL717" s="770"/>
      <c r="DM717" s="770"/>
      <c r="DN717" s="322"/>
      <c r="DO717" s="770"/>
      <c r="DP717" s="770"/>
      <c r="DQ717" s="770"/>
      <c r="DR717" s="770"/>
      <c r="DS717" s="307"/>
      <c r="DT717" s="770"/>
      <c r="DU717" s="770"/>
      <c r="DV717" s="770"/>
      <c r="DW717" s="306"/>
      <c r="DX717" s="306"/>
      <c r="DY717" s="1055"/>
      <c r="DZ717" s="770"/>
      <c r="EA717" s="770"/>
      <c r="EB717" s="770"/>
      <c r="EC717" s="770"/>
      <c r="ED717" s="770"/>
      <c r="EE717" s="770"/>
      <c r="EF717" s="770"/>
      <c r="EG717" s="770"/>
      <c r="EH717" s="770"/>
      <c r="EI717" s="770"/>
      <c r="EJ717" s="770"/>
      <c r="EK717" s="770"/>
      <c r="EL717" s="770"/>
      <c r="EM717" s="770"/>
      <c r="EN717" s="770"/>
      <c r="EO717" s="770"/>
      <c r="EP717" s="94"/>
      <c r="EQ717" s="770"/>
      <c r="ER717" s="770"/>
      <c r="ES717" s="770"/>
      <c r="ET717" s="770"/>
      <c r="EU717" s="770"/>
      <c r="EV717" s="770"/>
      <c r="EW717" s="770"/>
      <c r="EX717" s="770"/>
      <c r="EY717" s="770"/>
      <c r="EZ717" s="770"/>
      <c r="FA717" s="770"/>
      <c r="FB717" s="770"/>
      <c r="FC717" s="770"/>
      <c r="FD717" s="302"/>
      <c r="FE717" s="770"/>
      <c r="FF717" s="770"/>
      <c r="FG717" s="770"/>
      <c r="FH717" s="770" t="s">
        <v>478</v>
      </c>
      <c r="FI717" s="770">
        <v>1</v>
      </c>
      <c r="FJ717" s="770"/>
      <c r="FK717" s="770"/>
      <c r="FL717" s="770"/>
      <c r="FM717" s="302"/>
      <c r="FN717" s="302"/>
      <c r="FO717" s="302"/>
      <c r="FP717" s="766" t="s">
        <v>1602</v>
      </c>
      <c r="FQ717" s="766" t="s">
        <v>1660</v>
      </c>
      <c r="FR717" s="770" t="s">
        <v>1214</v>
      </c>
      <c r="FS717" s="770"/>
      <c r="FT717" s="770"/>
      <c r="FU717" s="770"/>
      <c r="FV717" s="770"/>
      <c r="FW717" s="770"/>
      <c r="FX717" s="770"/>
      <c r="FY717" s="770"/>
      <c r="FZ717" s="770"/>
      <c r="GA717" s="770"/>
      <c r="GB717" s="770"/>
      <c r="GC717" s="308"/>
      <c r="GD717" s="297"/>
      <c r="GE717" s="770" t="s">
        <v>1214</v>
      </c>
      <c r="GF717" s="302"/>
      <c r="GG717" s="302"/>
      <c r="GH717" s="712" t="s">
        <v>1791</v>
      </c>
      <c r="GI717" s="770" t="s">
        <v>2407</v>
      </c>
      <c r="GJ717" s="770"/>
      <c r="GK717" s="770" t="s">
        <v>2407</v>
      </c>
      <c r="GL717" s="770"/>
      <c r="GM717" s="770"/>
      <c r="GN717" s="299">
        <v>600</v>
      </c>
      <c r="GO717" s="770"/>
      <c r="GP717" s="770"/>
      <c r="GQ717" s="770" t="s">
        <v>1208</v>
      </c>
      <c r="GR717" s="770" t="s">
        <v>1208</v>
      </c>
      <c r="GS717" s="770" t="s">
        <v>1208</v>
      </c>
      <c r="GT717" s="770" t="s">
        <v>1208</v>
      </c>
      <c r="GU717" s="770"/>
      <c r="GV717" s="770"/>
      <c r="GW717" s="770" t="s">
        <v>1207</v>
      </c>
      <c r="GX717" s="770"/>
      <c r="GY717" s="770" t="s">
        <v>1208</v>
      </c>
      <c r="GZ717" s="770" t="s">
        <v>1208</v>
      </c>
      <c r="HA717" s="770" t="s">
        <v>1208</v>
      </c>
      <c r="HB717" s="770" t="s">
        <v>1208</v>
      </c>
      <c r="HC717" s="770" t="s">
        <v>1208</v>
      </c>
      <c r="HD717" s="770" t="s">
        <v>1208</v>
      </c>
      <c r="HE717" s="770" t="s">
        <v>1208</v>
      </c>
      <c r="HF717" s="770"/>
      <c r="HG717" s="770"/>
      <c r="HH717" s="770"/>
      <c r="HI717" s="770" t="s">
        <v>1214</v>
      </c>
      <c r="HJ717" s="770"/>
      <c r="HK717" s="770"/>
      <c r="HL717" s="770" t="s">
        <v>1214</v>
      </c>
      <c r="HM717" s="770"/>
      <c r="HN717" s="770"/>
      <c r="HO717" s="770"/>
      <c r="HP717" s="770"/>
      <c r="HQ717" s="770"/>
      <c r="HR717" s="770">
        <v>1</v>
      </c>
      <c r="HS717" s="770"/>
      <c r="HT717" s="770"/>
      <c r="HU717" s="770"/>
      <c r="HV717" s="770"/>
      <c r="HW717" s="770"/>
      <c r="HX717" s="770"/>
      <c r="HY717" s="770"/>
      <c r="HZ717" s="770"/>
      <c r="IA717" s="770"/>
      <c r="IB717" s="14" t="e">
        <f>IF(#REF!&gt;0,IF(#REF!&lt;=10000,"Y",""),"")</f>
        <v>#REF!</v>
      </c>
      <c r="IC717" s="770"/>
      <c r="ID717" s="770"/>
      <c r="IE717" s="770"/>
      <c r="IF717" s="770"/>
      <c r="IG717" s="770"/>
      <c r="IH717" s="770"/>
      <c r="II717" s="770"/>
      <c r="IJ717" s="770"/>
      <c r="IK717" s="770"/>
      <c r="IL717" s="770"/>
      <c r="IM717" s="770"/>
      <c r="IN717" s="770"/>
      <c r="IO717" s="296"/>
      <c r="IP717" s="770"/>
      <c r="IQ717" s="770"/>
      <c r="IR717" s="770"/>
      <c r="IS717" s="770"/>
      <c r="IT717" s="770"/>
      <c r="IU717" s="770"/>
      <c r="IV717" s="770"/>
      <c r="IW717" s="770"/>
      <c r="IX717" s="770"/>
      <c r="IY717" s="770"/>
      <c r="IZ717" s="770"/>
      <c r="JA717" s="770"/>
      <c r="JB717" s="770"/>
      <c r="JC717" s="770"/>
      <c r="JD717" s="302"/>
      <c r="JE717" s="770"/>
      <c r="JF717" s="770"/>
      <c r="JG717" s="770"/>
      <c r="JH717" s="307"/>
      <c r="JI717" s="307"/>
      <c r="JJ717" s="770">
        <v>5</v>
      </c>
      <c r="JK717" s="1139" t="s">
        <v>4678</v>
      </c>
      <c r="JL717" s="770"/>
      <c r="JM717" s="770">
        <v>1</v>
      </c>
      <c r="JN717" s="770">
        <v>3</v>
      </c>
      <c r="JO717" s="770">
        <v>1</v>
      </c>
      <c r="JP717" s="770"/>
      <c r="JQ717" s="770"/>
      <c r="JR717" s="770"/>
      <c r="JS717" s="770"/>
      <c r="JT717" s="766">
        <f>SUM(JP717,JN717,JL717,JR717)</f>
        <v>3</v>
      </c>
      <c r="JU717" s="766">
        <f>SUM(JQ717,JO717,JM717,JS717)</f>
        <v>2</v>
      </c>
      <c r="JV717" s="712" t="str">
        <f>IF(JT717=KJ717,"ok","male")</f>
        <v>ok</v>
      </c>
      <c r="JW717" s="712" t="str">
        <f>IF(JU717=KK717,"ok","female")</f>
        <v>ok</v>
      </c>
      <c r="JX717" s="770"/>
      <c r="JY717" s="770">
        <v>1</v>
      </c>
      <c r="JZ717" s="770"/>
      <c r="KA717" s="770"/>
      <c r="KB717" s="770">
        <v>3</v>
      </c>
      <c r="KC717" s="770">
        <v>1</v>
      </c>
      <c r="KD717" s="770"/>
      <c r="KE717" s="770"/>
      <c r="KF717" s="770"/>
      <c r="KG717" s="770"/>
      <c r="KH717" s="770"/>
      <c r="KI717" s="770"/>
      <c r="KJ717" s="770">
        <f t="shared" ref="KJ717:KK780" si="225">SUM(KF717,KD717,KB717,JZ717,JX717,KH717)</f>
        <v>3</v>
      </c>
      <c r="KK717" s="770">
        <f t="shared" si="225"/>
        <v>2</v>
      </c>
      <c r="KL717" s="712" t="str">
        <f>IF(KJ717=LN717,"ok","male")</f>
        <v>ok</v>
      </c>
      <c r="KM717" s="712" t="str">
        <f>IF(KK717=LO717,"ok","female")</f>
        <v>ok</v>
      </c>
      <c r="KN717" s="770" t="s">
        <v>722</v>
      </c>
      <c r="KO717" s="770"/>
      <c r="KP717" s="770"/>
      <c r="KQ717" s="770"/>
      <c r="KR717" s="770"/>
      <c r="KS717" s="770"/>
      <c r="KT717" s="770"/>
      <c r="KU717" s="770"/>
      <c r="KV717" s="770"/>
      <c r="KW717" s="770"/>
      <c r="KX717" s="770"/>
      <c r="KY717" s="770"/>
      <c r="KZ717" s="770">
        <v>3</v>
      </c>
      <c r="LA717" s="770">
        <v>1</v>
      </c>
      <c r="LB717" s="770"/>
      <c r="LC717" s="770"/>
      <c r="LD717" s="770"/>
      <c r="LE717" s="770"/>
      <c r="LF717" s="770"/>
      <c r="LG717" s="770"/>
      <c r="LH717" s="770"/>
      <c r="LI717" s="770"/>
      <c r="LJ717" s="770"/>
      <c r="LK717" s="770">
        <v>1</v>
      </c>
      <c r="LL717" s="770"/>
      <c r="LM717" s="770"/>
      <c r="LN717" s="766">
        <f t="shared" si="209"/>
        <v>3</v>
      </c>
      <c r="LO717" s="766">
        <f t="shared" si="209"/>
        <v>2</v>
      </c>
      <c r="LP717" s="770">
        <v>3</v>
      </c>
      <c r="LQ717" s="770">
        <v>3</v>
      </c>
      <c r="LR717" s="770"/>
      <c r="LS717" s="770"/>
      <c r="LT717" s="712" t="str">
        <f>IF(LQ717=SUM(LU717:LW717),"OK","REV")</f>
        <v>OK</v>
      </c>
      <c r="LU717" s="770"/>
      <c r="LV717" s="770">
        <v>3</v>
      </c>
      <c r="LW717" s="770"/>
      <c r="LX717" s="769">
        <v>3</v>
      </c>
      <c r="LY717" s="766" t="str">
        <f t="shared" si="210"/>
        <v>within the PROVINCE</v>
      </c>
      <c r="LZ717" s="1709">
        <f>SUM(200,100)</f>
        <v>300</v>
      </c>
      <c r="MA717" s="1709"/>
      <c r="MB717" s="1709"/>
      <c r="MC717" s="1679">
        <f t="shared" si="208"/>
        <v>300</v>
      </c>
      <c r="MD717" s="1709">
        <f>SUM(12000,10000,10000)</f>
        <v>32000</v>
      </c>
      <c r="ME717" s="1709"/>
      <c r="MF717" s="1709"/>
      <c r="MG717" s="1680">
        <f>SUM(MD717:MF717)</f>
        <v>32000</v>
      </c>
      <c r="MH717" s="770" t="s">
        <v>4679</v>
      </c>
      <c r="MI717" s="302">
        <v>4500</v>
      </c>
      <c r="MJ717" s="302">
        <v>1200</v>
      </c>
      <c r="MK717" s="302">
        <v>2000</v>
      </c>
      <c r="ML717" s="302">
        <v>500</v>
      </c>
      <c r="MM717" s="302"/>
      <c r="MN717" s="302"/>
      <c r="MO717" s="302">
        <v>280</v>
      </c>
      <c r="MP717" s="302">
        <v>800</v>
      </c>
      <c r="MQ717" s="302">
        <v>1000</v>
      </c>
      <c r="MR717" s="302">
        <v>500</v>
      </c>
      <c r="MS717" s="302">
        <v>1000</v>
      </c>
      <c r="MT717" s="302"/>
      <c r="MU717" s="302"/>
      <c r="MV717" s="302"/>
      <c r="MW717" s="302"/>
      <c r="MX717" s="302"/>
      <c r="MY717" s="1682">
        <f t="shared" si="217"/>
        <v>11780</v>
      </c>
      <c r="MZ717" s="770" t="s">
        <v>13395</v>
      </c>
      <c r="NA717" s="770" t="s">
        <v>13065</v>
      </c>
      <c r="NB717" s="770" t="s">
        <v>13016</v>
      </c>
      <c r="NC717" s="770" t="s">
        <v>13602</v>
      </c>
      <c r="ND717" s="770">
        <v>0</v>
      </c>
      <c r="NE717" s="770">
        <v>0</v>
      </c>
      <c r="NF717" s="770">
        <v>0</v>
      </c>
      <c r="NG717" s="770">
        <v>1</v>
      </c>
      <c r="NH717" s="770">
        <v>1</v>
      </c>
      <c r="NI717" s="770">
        <v>0</v>
      </c>
      <c r="NJ717" s="770">
        <v>0</v>
      </c>
      <c r="NK717" s="770">
        <v>0</v>
      </c>
      <c r="NL717" s="770">
        <v>0</v>
      </c>
      <c r="NM717" s="770">
        <v>0</v>
      </c>
      <c r="NN717" s="770">
        <v>0</v>
      </c>
      <c r="NO717" s="770">
        <v>0</v>
      </c>
      <c r="NP717" s="770">
        <v>0</v>
      </c>
      <c r="NQ717" s="770">
        <v>0</v>
      </c>
      <c r="NR717" s="770">
        <v>0</v>
      </c>
      <c r="NS717" s="770">
        <v>0</v>
      </c>
      <c r="NT717" s="770">
        <v>0</v>
      </c>
      <c r="NU717" s="770">
        <v>0</v>
      </c>
      <c r="NV717" s="770">
        <v>0</v>
      </c>
      <c r="NW717" s="770">
        <v>0</v>
      </c>
      <c r="NX717" s="770">
        <v>0</v>
      </c>
      <c r="NY717" s="770" t="s">
        <v>1208</v>
      </c>
      <c r="NZ717" s="770" t="s">
        <v>1208</v>
      </c>
      <c r="OA717" s="770" t="s">
        <v>1208</v>
      </c>
      <c r="OB717" s="770" t="s">
        <v>1208</v>
      </c>
      <c r="OC717" s="770" t="s">
        <v>1208</v>
      </c>
      <c r="OD717" s="770" t="s">
        <v>1208</v>
      </c>
      <c r="OE717" s="770"/>
      <c r="OF717" s="770"/>
      <c r="OG717" s="770"/>
      <c r="OH717" s="770"/>
      <c r="OI717" s="770"/>
      <c r="OJ717" s="770"/>
      <c r="OK717" s="770"/>
      <c r="OL717" s="770"/>
      <c r="OM717" s="770"/>
      <c r="ON717" s="770"/>
      <c r="OO717" s="770"/>
      <c r="OP717" s="770"/>
      <c r="OQ717" s="770"/>
      <c r="OR717" s="770"/>
      <c r="OS717" s="770"/>
      <c r="OT717" s="770"/>
      <c r="OU717" s="770"/>
      <c r="OV717" s="770"/>
      <c r="OW717" s="770"/>
      <c r="OX717" s="770"/>
      <c r="OY717" s="770"/>
      <c r="OZ717" s="770"/>
      <c r="PA717" s="770"/>
      <c r="PB717" s="770"/>
      <c r="PC717" s="770"/>
      <c r="PD717" s="770"/>
      <c r="PE717" s="770"/>
      <c r="PF717" s="770"/>
      <c r="PG717" s="770"/>
      <c r="PH717" s="770" t="s">
        <v>1208</v>
      </c>
      <c r="PI717" s="770" t="s">
        <v>1208</v>
      </c>
      <c r="PJ717" s="770"/>
      <c r="PK717" s="770" t="s">
        <v>1208</v>
      </c>
      <c r="PL717" s="770"/>
      <c r="PM717" s="770"/>
      <c r="PN717" s="770"/>
      <c r="PO717" s="770"/>
      <c r="PP717" s="770"/>
      <c r="PQ717" s="770"/>
      <c r="PR717" s="770"/>
      <c r="PS717" s="770"/>
      <c r="PT717" s="770"/>
      <c r="PU717" s="770"/>
      <c r="PV717" s="770"/>
      <c r="PW717" s="770"/>
      <c r="PX717" s="770"/>
      <c r="PY717" s="770"/>
      <c r="PZ717" s="770"/>
      <c r="QA717" s="770"/>
      <c r="QB717" s="770"/>
      <c r="QC717" s="770"/>
      <c r="QD717" s="770"/>
      <c r="QE717" s="770"/>
      <c r="QF717" s="770"/>
      <c r="QG717" s="770"/>
      <c r="QH717" s="770"/>
      <c r="QI717" s="770"/>
      <c r="QJ717" s="770"/>
      <c r="QK717" s="770"/>
      <c r="QL717" s="770"/>
      <c r="QM717" s="770"/>
      <c r="QN717" s="770"/>
      <c r="QO717" s="770"/>
      <c r="QP717" s="770"/>
      <c r="QQ717" s="770"/>
      <c r="QR717" s="770"/>
      <c r="QS717" s="770"/>
      <c r="QT717" s="770"/>
      <c r="QU717" s="770"/>
      <c r="QV717" s="770"/>
      <c r="QW717" s="770"/>
      <c r="QX717" s="770"/>
      <c r="QY717" s="770"/>
      <c r="QZ717" s="770"/>
      <c r="RA717" s="770" t="s">
        <v>13943</v>
      </c>
      <c r="RB717" s="770" t="s">
        <v>1207</v>
      </c>
      <c r="RC717" s="770">
        <v>2014</v>
      </c>
      <c r="RD717" s="770" t="s">
        <v>13046</v>
      </c>
      <c r="RE717" s="770"/>
      <c r="RF717" s="304">
        <v>0.5</v>
      </c>
      <c r="RG717" s="302" t="s">
        <v>13267</v>
      </c>
      <c r="RH717" s="306">
        <v>500</v>
      </c>
      <c r="RI717" s="770">
        <v>1</v>
      </c>
      <c r="RJ717" s="94" t="s">
        <v>4680</v>
      </c>
      <c r="RK717" s="770" t="s">
        <v>13552</v>
      </c>
      <c r="RL717" s="1710">
        <v>42844</v>
      </c>
      <c r="RM717" s="12"/>
      <c r="RN717" s="1711"/>
      <c r="RO717" s="149" t="s">
        <v>4670</v>
      </c>
      <c r="RP717" s="11"/>
      <c r="RQ717" s="11"/>
      <c r="RR717" s="19" t="s">
        <v>7421</v>
      </c>
      <c r="RS717" s="1139" t="s">
        <v>12980</v>
      </c>
      <c r="RT717" s="11"/>
      <c r="RU717" s="11"/>
      <c r="RV717" s="771" t="s">
        <v>7421</v>
      </c>
      <c r="RW717" s="11" t="s">
        <v>7440</v>
      </c>
      <c r="RX717" s="11" t="s">
        <v>3142</v>
      </c>
      <c r="RY717" s="11"/>
      <c r="RZ717" s="11" t="s">
        <v>2209</v>
      </c>
      <c r="SA717" s="771"/>
      <c r="SB717" s="11"/>
      <c r="SC717" s="11"/>
    </row>
    <row r="718" spans="1:497" ht="12.75" customHeight="1">
      <c r="A718" s="311" t="s">
        <v>14237</v>
      </c>
      <c r="B718" s="744" t="s">
        <v>7442</v>
      </c>
      <c r="C718" s="149" t="s">
        <v>4682</v>
      </c>
      <c r="D718" s="770" t="s">
        <v>1352</v>
      </c>
      <c r="E718" s="766" t="s">
        <v>4671</v>
      </c>
      <c r="F718" s="770"/>
      <c r="G718" s="770"/>
      <c r="H718" s="12"/>
      <c r="I718" s="295"/>
      <c r="J718" s="94"/>
      <c r="K718" s="766" t="s">
        <v>4674</v>
      </c>
      <c r="L718" s="766" t="s">
        <v>3140</v>
      </c>
      <c r="M718" s="770" t="s">
        <v>1238</v>
      </c>
      <c r="N718" s="1757" t="s">
        <v>7238</v>
      </c>
      <c r="O718" s="1757" t="s">
        <v>7233</v>
      </c>
      <c r="P718" s="94"/>
      <c r="Q718" s="1088"/>
      <c r="R718" s="297"/>
      <c r="S718" s="770"/>
      <c r="T718" s="770"/>
      <c r="U718" s="295"/>
      <c r="V718" s="770"/>
      <c r="W718" s="770"/>
      <c r="X718" s="770"/>
      <c r="Y718" s="770"/>
      <c r="Z718" s="770"/>
      <c r="AA718" s="770"/>
      <c r="AB718" s="770"/>
      <c r="AC718" s="770"/>
      <c r="AD718" s="770"/>
      <c r="AE718" s="770"/>
      <c r="AF718" s="770"/>
      <c r="AG718" s="770"/>
      <c r="AH718" s="770"/>
      <c r="AI718" s="770"/>
      <c r="AJ718" s="770"/>
      <c r="AK718" s="770" t="s">
        <v>1101</v>
      </c>
      <c r="AL718" s="531"/>
      <c r="AM718" s="780"/>
      <c r="AN718" s="532"/>
      <c r="AO718" s="766"/>
      <c r="AP718" s="766"/>
      <c r="AQ718" s="766"/>
      <c r="AR718" s="766"/>
      <c r="AS718" s="770"/>
      <c r="AT718" s="770"/>
      <c r="AU718" s="770"/>
      <c r="AV718" s="770"/>
      <c r="AW718" s="770"/>
      <c r="AX718" s="770"/>
      <c r="AY718" s="770"/>
      <c r="AZ718" s="770"/>
      <c r="BA718" s="770"/>
      <c r="BB718" s="770"/>
      <c r="BC718" s="770"/>
      <c r="BD718" s="770"/>
      <c r="BE718" s="770"/>
      <c r="BF718" s="302"/>
      <c r="BG718" s="302"/>
      <c r="BH718" s="770"/>
      <c r="BI718" s="770"/>
      <c r="BJ718" s="770"/>
      <c r="BK718" s="766"/>
      <c r="BL718" s="766"/>
      <c r="BM718" s="766" t="s">
        <v>1238</v>
      </c>
      <c r="BN718" s="766" t="s">
        <v>1305</v>
      </c>
      <c r="BO718" s="770"/>
      <c r="BP718" s="765"/>
      <c r="BQ718" s="773"/>
      <c r="BR718" s="774"/>
      <c r="BS718" s="766" t="s">
        <v>1149</v>
      </c>
      <c r="BT718" s="770"/>
      <c r="BU718" s="770"/>
      <c r="BV718" s="770"/>
      <c r="BW718" s="770"/>
      <c r="BX718" s="302"/>
      <c r="BY718" s="770"/>
      <c r="BZ718" s="302"/>
      <c r="CA718" s="770"/>
      <c r="CB718" s="770"/>
      <c r="CC718" s="770"/>
      <c r="CD718" s="770"/>
      <c r="CE718" s="302"/>
      <c r="CF718" s="304"/>
      <c r="CG718" s="321"/>
      <c r="CH718" s="770"/>
      <c r="CI718" s="770"/>
      <c r="CJ718" s="770"/>
      <c r="CK718" s="770"/>
      <c r="CL718" s="770"/>
      <c r="CM718" s="770"/>
      <c r="CN718" s="770"/>
      <c r="CO718" s="770"/>
      <c r="CP718" s="770"/>
      <c r="CQ718" s="770"/>
      <c r="CR718" s="302"/>
      <c r="CS718" s="770"/>
      <c r="CT718" s="770"/>
      <c r="CU718" s="305"/>
      <c r="CV718" s="770"/>
      <c r="CW718" s="770"/>
      <c r="CX718" s="770"/>
      <c r="CY718" s="770"/>
      <c r="CZ718" s="770"/>
      <c r="DA718" s="306"/>
      <c r="DB718" s="770"/>
      <c r="DC718" s="770"/>
      <c r="DD718" s="770"/>
      <c r="DE718" s="300"/>
      <c r="DF718" s="770"/>
      <c r="DG718" s="770"/>
      <c r="DH718" s="770"/>
      <c r="DI718" s="770"/>
      <c r="DJ718" s="770"/>
      <c r="DK718" s="770"/>
      <c r="DL718" s="770"/>
      <c r="DM718" s="770"/>
      <c r="DN718" s="322"/>
      <c r="DO718" s="770"/>
      <c r="DP718" s="770"/>
      <c r="DQ718" s="770"/>
      <c r="DR718" s="770"/>
      <c r="DS718" s="307"/>
      <c r="DT718" s="770"/>
      <c r="DU718" s="770"/>
      <c r="DV718" s="770"/>
      <c r="DW718" s="306"/>
      <c r="DX718" s="306"/>
      <c r="DY718" s="1055"/>
      <c r="DZ718" s="770"/>
      <c r="EA718" s="770"/>
      <c r="EB718" s="770"/>
      <c r="EC718" s="770"/>
      <c r="ED718" s="770"/>
      <c r="EE718" s="770"/>
      <c r="EF718" s="770"/>
      <c r="EG718" s="770"/>
      <c r="EH718" s="770"/>
      <c r="EI718" s="770"/>
      <c r="EJ718" s="770"/>
      <c r="EK718" s="770"/>
      <c r="EL718" s="770"/>
      <c r="EM718" s="770"/>
      <c r="EN718" s="770"/>
      <c r="EO718" s="770"/>
      <c r="EP718" s="94"/>
      <c r="EQ718" s="770"/>
      <c r="ER718" s="770"/>
      <c r="ES718" s="770"/>
      <c r="ET718" s="770"/>
      <c r="EU718" s="770"/>
      <c r="EV718" s="770"/>
      <c r="EW718" s="770"/>
      <c r="EX718" s="770"/>
      <c r="EY718" s="770"/>
      <c r="EZ718" s="770"/>
      <c r="FA718" s="770"/>
      <c r="FB718" s="770"/>
      <c r="FC718" s="770"/>
      <c r="FD718" s="302"/>
      <c r="FE718" s="770"/>
      <c r="FF718" s="770"/>
      <c r="FG718" s="770"/>
      <c r="FH718" s="770"/>
      <c r="FI718" s="770"/>
      <c r="FJ718" s="770"/>
      <c r="FK718" s="770"/>
      <c r="FL718" s="770"/>
      <c r="FM718" s="302"/>
      <c r="FN718" s="302"/>
      <c r="FO718" s="302"/>
      <c r="FP718" s="766" t="s">
        <v>1602</v>
      </c>
      <c r="FQ718" s="766" t="s">
        <v>1660</v>
      </c>
      <c r="FR718" s="770"/>
      <c r="FS718" s="770"/>
      <c r="FT718" s="770"/>
      <c r="FU718" s="770"/>
      <c r="FV718" s="770"/>
      <c r="FW718" s="770"/>
      <c r="FX718" s="770"/>
      <c r="FY718" s="770"/>
      <c r="FZ718" s="770"/>
      <c r="GA718" s="770"/>
      <c r="GB718" s="770"/>
      <c r="GC718" s="308"/>
      <c r="GD718" s="297"/>
      <c r="GE718" s="770"/>
      <c r="GF718" s="302"/>
      <c r="GG718" s="302"/>
      <c r="GH718" s="770"/>
      <c r="GI718" s="770"/>
      <c r="GJ718" s="770"/>
      <c r="GK718" s="770"/>
      <c r="GL718" s="770"/>
      <c r="GM718" s="770"/>
      <c r="GN718" s="299"/>
      <c r="GO718" s="770"/>
      <c r="GP718" s="770"/>
      <c r="GQ718" s="770"/>
      <c r="GR718" s="770"/>
      <c r="GS718" s="770"/>
      <c r="GT718" s="770"/>
      <c r="GU718" s="770"/>
      <c r="GV718" s="770"/>
      <c r="GW718" s="770"/>
      <c r="GX718" s="770"/>
      <c r="GY718" s="770"/>
      <c r="GZ718" s="770"/>
      <c r="HA718" s="770"/>
      <c r="HB718" s="770"/>
      <c r="HC718" s="770"/>
      <c r="HD718" s="770"/>
      <c r="HE718" s="770"/>
      <c r="HF718" s="770"/>
      <c r="HG718" s="770"/>
      <c r="HH718" s="770"/>
      <c r="HI718" s="770"/>
      <c r="HJ718" s="770"/>
      <c r="HK718" s="770"/>
      <c r="HL718" s="770"/>
      <c r="HM718" s="770"/>
      <c r="HN718" s="770"/>
      <c r="HO718" s="770"/>
      <c r="HP718" s="770"/>
      <c r="HQ718" s="770"/>
      <c r="HR718" s="770"/>
      <c r="HS718" s="770"/>
      <c r="HT718" s="770"/>
      <c r="HU718" s="770"/>
      <c r="HV718" s="770"/>
      <c r="HW718" s="770"/>
      <c r="HX718" s="770"/>
      <c r="HY718" s="770"/>
      <c r="HZ718" s="770"/>
      <c r="IA718" s="770"/>
      <c r="IB718" s="14" t="e">
        <f>IF(#REF!&gt;0,IF(#REF!&lt;=10000,"Y",""),"")</f>
        <v>#REF!</v>
      </c>
      <c r="IC718" s="770"/>
      <c r="ID718" s="770"/>
      <c r="IE718" s="770"/>
      <c r="IF718" s="770"/>
      <c r="IG718" s="770"/>
      <c r="IH718" s="770"/>
      <c r="II718" s="770"/>
      <c r="IJ718" s="770"/>
      <c r="IK718" s="770"/>
      <c r="IL718" s="770"/>
      <c r="IM718" s="770"/>
      <c r="IN718" s="770"/>
      <c r="IO718" s="296"/>
      <c r="IP718" s="770"/>
      <c r="IQ718" s="770"/>
      <c r="IR718" s="770"/>
      <c r="IS718" s="770"/>
      <c r="IT718" s="770"/>
      <c r="IU718" s="770"/>
      <c r="IV718" s="770"/>
      <c r="IW718" s="770"/>
      <c r="IX718" s="770"/>
      <c r="IY718" s="770"/>
      <c r="IZ718" s="770"/>
      <c r="JA718" s="770"/>
      <c r="JB718" s="770"/>
      <c r="JC718" s="770"/>
      <c r="JD718" s="302"/>
      <c r="JE718" s="770"/>
      <c r="JF718" s="770"/>
      <c r="JG718" s="770"/>
      <c r="JH718" s="307"/>
      <c r="JI718" s="307"/>
      <c r="JJ718" s="94"/>
      <c r="JK718" s="1047" t="s">
        <v>488</v>
      </c>
      <c r="JL718" s="770"/>
      <c r="JM718" s="770"/>
      <c r="JN718" s="770"/>
      <c r="JO718" s="770"/>
      <c r="JP718" s="770"/>
      <c r="JQ718" s="770"/>
      <c r="JR718" s="770"/>
      <c r="JS718" s="770"/>
      <c r="JT718" s="766"/>
      <c r="JU718" s="766"/>
      <c r="JV718" s="712" t="str">
        <f>IF(JT718=KJ718,"ok","male")</f>
        <v>ok</v>
      </c>
      <c r="JW718" s="712" t="str">
        <f>IF(JU718=KK718,"ok","female")</f>
        <v>ok</v>
      </c>
      <c r="JX718" s="770"/>
      <c r="JY718" s="770"/>
      <c r="JZ718" s="770"/>
      <c r="KA718" s="770"/>
      <c r="KB718" s="770"/>
      <c r="KC718" s="770"/>
      <c r="KD718" s="770"/>
      <c r="KE718" s="770"/>
      <c r="KF718" s="770"/>
      <c r="KG718" s="770"/>
      <c r="KH718" s="770"/>
      <c r="KI718" s="770"/>
      <c r="KJ718" s="770"/>
      <c r="KK718" s="770"/>
      <c r="KL718" s="712" t="str">
        <f>IF(KJ718=LN718,"ok","male")</f>
        <v>ok</v>
      </c>
      <c r="KM718" s="712" t="str">
        <f>IF(KK718=LO718,"ok","female")</f>
        <v>ok</v>
      </c>
      <c r="KN718" s="770"/>
      <c r="KO718" s="770"/>
      <c r="KP718" s="770"/>
      <c r="KQ718" s="770"/>
      <c r="KR718" s="770"/>
      <c r="KS718" s="770"/>
      <c r="KT718" s="770"/>
      <c r="KU718" s="770"/>
      <c r="KV718" s="770"/>
      <c r="KW718" s="770"/>
      <c r="KX718" s="770"/>
      <c r="KY718" s="770"/>
      <c r="KZ718" s="770"/>
      <c r="LA718" s="770"/>
      <c r="LB718" s="770"/>
      <c r="LC718" s="770"/>
      <c r="LD718" s="770"/>
      <c r="LE718" s="770"/>
      <c r="LF718" s="770"/>
      <c r="LG718" s="770"/>
      <c r="LH718" s="770"/>
      <c r="LI718" s="770"/>
      <c r="LJ718" s="770"/>
      <c r="LK718" s="770"/>
      <c r="LL718" s="770"/>
      <c r="LM718" s="770"/>
      <c r="LN718" s="766"/>
      <c r="LO718" s="766"/>
      <c r="LP718" s="770"/>
      <c r="LQ718" s="770"/>
      <c r="LR718" s="770"/>
      <c r="LS718" s="770"/>
      <c r="LT718" s="712" t="str">
        <f>IF(LQ718=SUM(LU718:LW718),"OK","REV")</f>
        <v>OK</v>
      </c>
      <c r="LU718" s="770"/>
      <c r="LV718" s="770"/>
      <c r="LW718" s="770"/>
      <c r="LX718" s="769"/>
      <c r="LY718" s="766" t="str">
        <f t="shared" si="210"/>
        <v/>
      </c>
      <c r="LZ718" s="1709"/>
      <c r="MA718" s="1709"/>
      <c r="MB718" s="1709"/>
      <c r="MC718" s="1679">
        <f t="shared" si="208"/>
        <v>0</v>
      </c>
      <c r="MD718" s="1728"/>
      <c r="ME718" s="1709"/>
      <c r="MF718" s="1709"/>
      <c r="MG718" s="1680">
        <v>0</v>
      </c>
      <c r="MH718" s="12"/>
      <c r="MI718" s="12"/>
      <c r="MJ718" s="12"/>
      <c r="MK718" s="12"/>
      <c r="ML718" s="12"/>
      <c r="MM718" s="12"/>
      <c r="MN718" s="12"/>
      <c r="MO718" s="12"/>
      <c r="MP718" s="12"/>
      <c r="MQ718" s="12"/>
      <c r="MR718" s="12"/>
      <c r="MS718" s="12"/>
      <c r="MT718" s="12"/>
      <c r="MU718" s="12"/>
      <c r="MV718" s="12"/>
      <c r="MW718" s="302"/>
      <c r="MX718" s="302"/>
      <c r="MY718" s="1682"/>
      <c r="MZ718" s="770"/>
      <c r="NA718" s="770"/>
      <c r="NB718" s="770"/>
      <c r="NC718" s="770"/>
      <c r="ND718" s="770"/>
      <c r="NE718" s="770"/>
      <c r="NF718" s="770"/>
      <c r="NG718" s="770"/>
      <c r="NH718" s="770"/>
      <c r="NI718" s="770"/>
      <c r="NJ718" s="770"/>
      <c r="NK718" s="770"/>
      <c r="NL718" s="770"/>
      <c r="NM718" s="770"/>
      <c r="NN718" s="770"/>
      <c r="NO718" s="770"/>
      <c r="NP718" s="770"/>
      <c r="NQ718" s="770"/>
      <c r="NR718" s="770"/>
      <c r="NS718" s="770"/>
      <c r="NT718" s="770"/>
      <c r="NU718" s="770"/>
      <c r="NV718" s="770"/>
      <c r="NW718" s="770"/>
      <c r="NX718" s="770"/>
      <c r="NY718" s="770"/>
      <c r="NZ718" s="770"/>
      <c r="OA718" s="770"/>
      <c r="OB718" s="770"/>
      <c r="OC718" s="770"/>
      <c r="OD718" s="770"/>
      <c r="OE718" s="770"/>
      <c r="OF718" s="770"/>
      <c r="OG718" s="770"/>
      <c r="OH718" s="770"/>
      <c r="OI718" s="770"/>
      <c r="OJ718" s="770"/>
      <c r="OK718" s="770"/>
      <c r="OL718" s="770"/>
      <c r="OM718" s="770"/>
      <c r="ON718" s="770"/>
      <c r="OO718" s="770"/>
      <c r="OP718" s="770"/>
      <c r="OQ718" s="770"/>
      <c r="OR718" s="770"/>
      <c r="OS718" s="770"/>
      <c r="OT718" s="770"/>
      <c r="OU718" s="770"/>
      <c r="OV718" s="770"/>
      <c r="OW718" s="770"/>
      <c r="OX718" s="770"/>
      <c r="OY718" s="770"/>
      <c r="OZ718" s="770"/>
      <c r="PA718" s="770"/>
      <c r="PB718" s="770"/>
      <c r="PC718" s="770"/>
      <c r="PD718" s="770"/>
      <c r="PE718" s="770"/>
      <c r="PF718" s="770"/>
      <c r="PG718" s="770"/>
      <c r="PH718" s="770"/>
      <c r="PI718" s="770"/>
      <c r="PJ718" s="770"/>
      <c r="PK718" s="770"/>
      <c r="PL718" s="770"/>
      <c r="PM718" s="770"/>
      <c r="PN718" s="770"/>
      <c r="PO718" s="770"/>
      <c r="PP718" s="770"/>
      <c r="PQ718" s="770"/>
      <c r="PR718" s="770"/>
      <c r="PS718" s="770"/>
      <c r="PT718" s="770"/>
      <c r="PU718" s="770"/>
      <c r="PV718" s="770"/>
      <c r="PW718" s="770"/>
      <c r="PX718" s="770"/>
      <c r="PY718" s="770"/>
      <c r="PZ718" s="770"/>
      <c r="QA718" s="770"/>
      <c r="QB718" s="770"/>
      <c r="QC718" s="770"/>
      <c r="QD718" s="770"/>
      <c r="QE718" s="770"/>
      <c r="QF718" s="770"/>
      <c r="QG718" s="770"/>
      <c r="QH718" s="770"/>
      <c r="QI718" s="770"/>
      <c r="QJ718" s="770"/>
      <c r="QK718" s="770"/>
      <c r="QL718" s="770"/>
      <c r="QM718" s="770"/>
      <c r="QN718" s="770"/>
      <c r="QO718" s="770"/>
      <c r="QP718" s="770"/>
      <c r="QQ718" s="770"/>
      <c r="QR718" s="770"/>
      <c r="QS718" s="770"/>
      <c r="QT718" s="770"/>
      <c r="QU718" s="770"/>
      <c r="QV718" s="770"/>
      <c r="QW718" s="770"/>
      <c r="QX718" s="770"/>
      <c r="QY718" s="770"/>
      <c r="QZ718" s="770"/>
      <c r="RA718" s="770"/>
      <c r="RB718" s="770"/>
      <c r="RC718" s="770"/>
      <c r="RD718" s="770"/>
      <c r="RE718" s="770"/>
      <c r="RF718" s="12"/>
      <c r="RG718" s="12"/>
      <c r="RH718" s="1728"/>
      <c r="RI718" s="12"/>
      <c r="RJ718" s="94"/>
      <c r="RK718" s="12"/>
      <c r="RL718" s="1710"/>
      <c r="RM718" s="12"/>
      <c r="RN718" s="1711"/>
      <c r="RO718" s="149" t="s">
        <v>4682</v>
      </c>
      <c r="RP718" s="11"/>
      <c r="RQ718" s="11"/>
      <c r="RR718" s="311" t="s">
        <v>12356</v>
      </c>
      <c r="RS718" s="1139" t="s">
        <v>12980</v>
      </c>
      <c r="RT718" s="11"/>
      <c r="RU718" s="11"/>
      <c r="RV718" s="6" t="s">
        <v>7421</v>
      </c>
      <c r="RW718" s="11" t="s">
        <v>7441</v>
      </c>
      <c r="RX718" s="11" t="s">
        <v>4637</v>
      </c>
      <c r="RY718" s="11"/>
      <c r="RZ718" s="11"/>
      <c r="SA718" s="6"/>
      <c r="SB718" s="11"/>
      <c r="SC718" s="11"/>
    </row>
    <row r="719" spans="1:497" ht="12.75" hidden="1" customHeight="1">
      <c r="A719" s="343" t="s">
        <v>7419</v>
      </c>
      <c r="B719" s="292" t="s">
        <v>8030</v>
      </c>
      <c r="C719" s="149" t="s">
        <v>4683</v>
      </c>
      <c r="D719" s="94" t="s">
        <v>4684</v>
      </c>
      <c r="E719" s="766" t="s">
        <v>4663</v>
      </c>
      <c r="F719" s="770" t="s">
        <v>28</v>
      </c>
      <c r="G719" s="770" t="s">
        <v>10</v>
      </c>
      <c r="H719" s="12"/>
      <c r="I719" s="295" t="s">
        <v>4685</v>
      </c>
      <c r="J719" s="94" t="s">
        <v>4684</v>
      </c>
      <c r="K719" s="766" t="s">
        <v>4686</v>
      </c>
      <c r="L719" s="766" t="s">
        <v>4687</v>
      </c>
      <c r="M719" s="770" t="s">
        <v>1238</v>
      </c>
      <c r="N719" s="1757" t="s">
        <v>7238</v>
      </c>
      <c r="O719" s="1757" t="s">
        <v>7233</v>
      </c>
      <c r="P719" s="770" t="s">
        <v>4688</v>
      </c>
      <c r="Q719" s="1088">
        <v>26300</v>
      </c>
      <c r="R719" s="297">
        <v>45</v>
      </c>
      <c r="S719" s="770" t="s">
        <v>10</v>
      </c>
      <c r="T719" s="770"/>
      <c r="U719" s="295" t="s">
        <v>4685</v>
      </c>
      <c r="V719" s="770" t="s">
        <v>707</v>
      </c>
      <c r="W719" s="770"/>
      <c r="X719" s="770"/>
      <c r="Y719" s="770" t="s">
        <v>4663</v>
      </c>
      <c r="Z719" s="770" t="s">
        <v>708</v>
      </c>
      <c r="AA719" s="12" t="s">
        <v>2463</v>
      </c>
      <c r="AB719" s="770" t="s">
        <v>710</v>
      </c>
      <c r="AC719" s="770"/>
      <c r="AD719" s="770" t="s">
        <v>937</v>
      </c>
      <c r="AE719" s="770"/>
      <c r="AF719" s="770" t="s">
        <v>4689</v>
      </c>
      <c r="AG719" s="766" t="s">
        <v>1132</v>
      </c>
      <c r="AH719" s="766" t="s">
        <v>1096</v>
      </c>
      <c r="AI719" s="770"/>
      <c r="AJ719" s="770" t="s">
        <v>1137</v>
      </c>
      <c r="AK719" s="770" t="s">
        <v>1097</v>
      </c>
      <c r="AL719" s="531">
        <v>18.96</v>
      </c>
      <c r="AM719" s="780">
        <v>2.4</v>
      </c>
      <c r="AN719" s="532">
        <f t="shared" si="224"/>
        <v>0.12658227848101264</v>
      </c>
      <c r="AO719" s="766" t="s">
        <v>1109</v>
      </c>
      <c r="AP719" s="766" t="s">
        <v>5368</v>
      </c>
      <c r="AQ719" s="766"/>
      <c r="AR719" s="766"/>
      <c r="AS719" s="770"/>
      <c r="AT719" s="770"/>
      <c r="AU719" s="770"/>
      <c r="AV719" s="770"/>
      <c r="AW719" s="770"/>
      <c r="AX719" s="770"/>
      <c r="AY719" s="770"/>
      <c r="AZ719" s="770"/>
      <c r="BA719" s="770"/>
      <c r="BB719" s="770"/>
      <c r="BC719" s="770"/>
      <c r="BD719" s="770"/>
      <c r="BE719" s="770"/>
      <c r="BF719" s="302"/>
      <c r="BG719" s="302"/>
      <c r="BH719" s="770"/>
      <c r="BI719" s="770"/>
      <c r="BJ719" s="770"/>
      <c r="BK719" s="766" t="s">
        <v>1095</v>
      </c>
      <c r="BL719" s="766" t="s">
        <v>4690</v>
      </c>
      <c r="BM719" s="766" t="s">
        <v>1096</v>
      </c>
      <c r="BN719" s="766" t="s">
        <v>1230</v>
      </c>
      <c r="BO719" s="766" t="s">
        <v>1246</v>
      </c>
      <c r="BP719" s="765">
        <v>18.059999999999999</v>
      </c>
      <c r="BQ719" s="773">
        <v>2.4</v>
      </c>
      <c r="BR719" s="774">
        <f t="shared" si="215"/>
        <v>0.13289036544850499</v>
      </c>
      <c r="BS719" s="766" t="s">
        <v>1242</v>
      </c>
      <c r="BT719" s="766" t="s">
        <v>8133</v>
      </c>
      <c r="BU719" s="769"/>
      <c r="BV719" s="769"/>
      <c r="BW719" s="770">
        <v>1955</v>
      </c>
      <c r="BX719" s="302"/>
      <c r="BY719" s="770"/>
      <c r="BZ719" s="302"/>
      <c r="CA719" s="770"/>
      <c r="CB719" s="770"/>
      <c r="CC719" s="770"/>
      <c r="CD719" s="770"/>
      <c r="CE719" s="302"/>
      <c r="CF719" s="304"/>
      <c r="CG719" s="321"/>
      <c r="CH719" s="770"/>
      <c r="CI719" s="770"/>
      <c r="CJ719" s="770"/>
      <c r="CK719" s="770"/>
      <c r="CL719" s="770"/>
      <c r="CM719" s="770"/>
      <c r="CN719" s="770"/>
      <c r="CO719" s="770"/>
      <c r="CP719" s="770"/>
      <c r="CQ719" s="770"/>
      <c r="CR719" s="302"/>
      <c r="CS719" s="770"/>
      <c r="CT719" s="770"/>
      <c r="CU719" s="305"/>
      <c r="CV719" s="770"/>
      <c r="CW719" s="770"/>
      <c r="CX719" s="770"/>
      <c r="CY719" s="770"/>
      <c r="CZ719" s="770"/>
      <c r="DA719" s="306"/>
      <c r="DB719" s="770"/>
      <c r="DC719" s="770"/>
      <c r="DD719" s="770"/>
      <c r="DE719" s="300"/>
      <c r="DF719" s="770"/>
      <c r="DG719" s="770"/>
      <c r="DH719" s="770"/>
      <c r="DI719" s="770"/>
      <c r="DJ719" s="770"/>
      <c r="DK719" s="770"/>
      <c r="DL719" s="770"/>
      <c r="DM719" s="770"/>
      <c r="DN719" s="322"/>
      <c r="DO719" s="770"/>
      <c r="DP719" s="770"/>
      <c r="DQ719" s="770"/>
      <c r="DR719" s="770"/>
      <c r="DS719" s="307"/>
      <c r="DT719" s="770"/>
      <c r="DU719" s="770"/>
      <c r="DV719" s="770"/>
      <c r="DW719" s="306"/>
      <c r="DX719" s="306"/>
      <c r="DY719" s="1055"/>
      <c r="DZ719" s="770"/>
      <c r="EA719" s="770"/>
      <c r="EB719" s="770"/>
      <c r="EC719" s="770"/>
      <c r="ED719" s="770"/>
      <c r="EE719" s="770"/>
      <c r="EF719" s="770"/>
      <c r="EG719" s="770"/>
      <c r="EH719" s="770"/>
      <c r="EI719" s="770"/>
      <c r="EJ719" s="770"/>
      <c r="EK719" s="770"/>
      <c r="EL719" s="770"/>
      <c r="EM719" s="770"/>
      <c r="EN719" s="770"/>
      <c r="EO719" s="770"/>
      <c r="EP719" s="94"/>
      <c r="EQ719" s="770"/>
      <c r="ER719" s="770"/>
      <c r="ES719" s="770"/>
      <c r="ET719" s="770"/>
      <c r="EU719" s="770"/>
      <c r="EV719" s="770"/>
      <c r="EW719" s="770"/>
      <c r="EX719" s="770"/>
      <c r="EY719" s="770"/>
      <c r="EZ719" s="770"/>
      <c r="FA719" s="770"/>
      <c r="FB719" s="770"/>
      <c r="FC719" s="770"/>
      <c r="FD719" s="302"/>
      <c r="FE719" s="770"/>
      <c r="FF719" s="770"/>
      <c r="FG719" s="770"/>
      <c r="FH719" s="770" t="s">
        <v>478</v>
      </c>
      <c r="FI719" s="770">
        <v>1</v>
      </c>
      <c r="FJ719" s="770"/>
      <c r="FK719" s="770"/>
      <c r="FL719" s="770"/>
      <c r="FM719" s="302"/>
      <c r="FN719" s="302"/>
      <c r="FO719" s="302"/>
      <c r="FP719" s="770" t="s">
        <v>1600</v>
      </c>
      <c r="FQ719" s="770" t="s">
        <v>3940</v>
      </c>
      <c r="FR719" s="770" t="s">
        <v>1214</v>
      </c>
      <c r="FS719" s="770"/>
      <c r="FT719" s="770"/>
      <c r="FU719" s="770"/>
      <c r="FV719" s="770"/>
      <c r="FW719" s="770"/>
      <c r="FX719" s="770"/>
      <c r="FY719" s="770"/>
      <c r="FZ719" s="770"/>
      <c r="GA719" s="770"/>
      <c r="GB719" s="770" t="s">
        <v>853</v>
      </c>
      <c r="GC719" s="308"/>
      <c r="GD719" s="297"/>
      <c r="GE719" s="770" t="s">
        <v>1214</v>
      </c>
      <c r="GF719" s="302"/>
      <c r="GG719" s="302"/>
      <c r="GH719" s="770" t="s">
        <v>1791</v>
      </c>
      <c r="GI719" s="770" t="s">
        <v>2407</v>
      </c>
      <c r="GJ719" s="770"/>
      <c r="GK719" s="770" t="s">
        <v>2407</v>
      </c>
      <c r="GL719" s="770"/>
      <c r="GM719" s="770"/>
      <c r="GN719" s="299" t="s">
        <v>2769</v>
      </c>
      <c r="GO719" s="770"/>
      <c r="GP719" s="770"/>
      <c r="GQ719" s="770" t="s">
        <v>1208</v>
      </c>
      <c r="GR719" s="770" t="s">
        <v>1208</v>
      </c>
      <c r="GS719" s="770" t="s">
        <v>1208</v>
      </c>
      <c r="GT719" s="770" t="s">
        <v>1208</v>
      </c>
      <c r="GU719" s="770"/>
      <c r="GV719" s="770"/>
      <c r="GW719" s="770" t="s">
        <v>1207</v>
      </c>
      <c r="GX719" s="770"/>
      <c r="GY719" s="770" t="s">
        <v>1208</v>
      </c>
      <c r="GZ719" s="770" t="s">
        <v>1208</v>
      </c>
      <c r="HA719" s="770" t="s">
        <v>1208</v>
      </c>
      <c r="HB719" s="770" t="s">
        <v>1208</v>
      </c>
      <c r="HC719" s="770" t="s">
        <v>1208</v>
      </c>
      <c r="HD719" s="770" t="s">
        <v>1208</v>
      </c>
      <c r="HE719" s="770" t="s">
        <v>1208</v>
      </c>
      <c r="HF719" s="770"/>
      <c r="HG719" s="770"/>
      <c r="HH719" s="770"/>
      <c r="HI719" s="770" t="s">
        <v>1214</v>
      </c>
      <c r="HJ719" s="770"/>
      <c r="HK719" s="770"/>
      <c r="HL719" s="770" t="s">
        <v>1214</v>
      </c>
      <c r="HM719" s="770"/>
      <c r="HN719" s="770"/>
      <c r="HO719" s="770"/>
      <c r="HP719" s="770"/>
      <c r="HQ719" s="770"/>
      <c r="HR719" s="770"/>
      <c r="HS719" s="770"/>
      <c r="HT719" s="770"/>
      <c r="HU719" s="770"/>
      <c r="HV719" s="770"/>
      <c r="HW719" s="770"/>
      <c r="HX719" s="770"/>
      <c r="HY719" s="770"/>
      <c r="HZ719" s="770"/>
      <c r="IA719" s="770"/>
      <c r="IB719" s="770"/>
      <c r="IC719" s="770"/>
      <c r="ID719" s="770">
        <v>1</v>
      </c>
      <c r="IE719" s="770"/>
      <c r="IF719" s="770"/>
      <c r="IG719" s="770"/>
      <c r="IH719" s="770"/>
      <c r="II719" s="770"/>
      <c r="IJ719" s="770"/>
      <c r="IK719" s="770"/>
      <c r="IL719" s="770"/>
      <c r="IM719" s="770"/>
      <c r="IN719" s="770"/>
      <c r="IO719" s="296"/>
      <c r="IP719" s="770"/>
      <c r="IQ719" s="770"/>
      <c r="IR719" s="770"/>
      <c r="IS719" s="770"/>
      <c r="IT719" s="770"/>
      <c r="IU719" s="770"/>
      <c r="IV719" s="770"/>
      <c r="IW719" s="770"/>
      <c r="IX719" s="770"/>
      <c r="IY719" s="770"/>
      <c r="IZ719" s="770"/>
      <c r="JA719" s="770"/>
      <c r="JB719" s="770"/>
      <c r="JC719" s="770"/>
      <c r="JD719" s="302"/>
      <c r="JE719" s="770"/>
      <c r="JF719" s="770"/>
      <c r="JG719" s="770"/>
      <c r="JH719" s="307"/>
      <c r="JI719" s="307"/>
      <c r="JJ719" s="770">
        <v>4</v>
      </c>
      <c r="JK719" s="770" t="s">
        <v>13944</v>
      </c>
      <c r="JL719" s="770"/>
      <c r="JM719" s="770"/>
      <c r="JN719" s="770">
        <v>2</v>
      </c>
      <c r="JO719" s="770">
        <v>1</v>
      </c>
      <c r="JP719" s="770"/>
      <c r="JQ719" s="770">
        <v>1</v>
      </c>
      <c r="JR719" s="770"/>
      <c r="JS719" s="770"/>
      <c r="JT719" s="766">
        <f t="shared" ref="JT719:JU725" si="226">SUM(JP719,JN719,JL719,JR719)</f>
        <v>2</v>
      </c>
      <c r="JU719" s="766">
        <f t="shared" si="226"/>
        <v>2</v>
      </c>
      <c r="JV719" s="766"/>
      <c r="JW719" s="766"/>
      <c r="JX719" s="770"/>
      <c r="JY719" s="770"/>
      <c r="JZ719" s="770"/>
      <c r="KA719" s="770"/>
      <c r="KB719" s="770">
        <v>1</v>
      </c>
      <c r="KC719" s="770">
        <v>1</v>
      </c>
      <c r="KD719" s="770">
        <v>1</v>
      </c>
      <c r="KE719" s="770"/>
      <c r="KF719" s="770"/>
      <c r="KG719" s="770">
        <v>1</v>
      </c>
      <c r="KH719" s="770"/>
      <c r="KI719" s="770"/>
      <c r="KJ719" s="770">
        <f t="shared" si="225"/>
        <v>2</v>
      </c>
      <c r="KK719" s="770">
        <f t="shared" si="225"/>
        <v>2</v>
      </c>
      <c r="KL719" s="770"/>
      <c r="KM719" s="770"/>
      <c r="KN719" s="770" t="s">
        <v>707</v>
      </c>
      <c r="KO719" s="770"/>
      <c r="KP719" s="770"/>
      <c r="KQ719" s="770"/>
      <c r="KR719" s="770"/>
      <c r="KS719" s="770"/>
      <c r="KT719" s="770"/>
      <c r="KU719" s="770"/>
      <c r="KV719" s="770"/>
      <c r="KW719" s="770">
        <v>1</v>
      </c>
      <c r="KX719" s="770"/>
      <c r="KY719" s="770"/>
      <c r="KZ719" s="770">
        <v>1</v>
      </c>
      <c r="LA719" s="770"/>
      <c r="LB719" s="770"/>
      <c r="LC719" s="770"/>
      <c r="LD719" s="770">
        <v>1</v>
      </c>
      <c r="LE719" s="770"/>
      <c r="LF719" s="770"/>
      <c r="LG719" s="770"/>
      <c r="LH719" s="770"/>
      <c r="LI719" s="770"/>
      <c r="LJ719" s="770"/>
      <c r="LK719" s="770"/>
      <c r="LL719" s="770"/>
      <c r="LM719" s="770"/>
      <c r="LN719" s="766">
        <f t="shared" si="209"/>
        <v>2</v>
      </c>
      <c r="LO719" s="766">
        <f t="shared" si="209"/>
        <v>1</v>
      </c>
      <c r="LP719" s="770">
        <v>1</v>
      </c>
      <c r="LQ719" s="770">
        <v>1</v>
      </c>
      <c r="LR719" s="770"/>
      <c r="LS719" s="770"/>
      <c r="LT719" s="770"/>
      <c r="LU719" s="770">
        <v>1</v>
      </c>
      <c r="LV719" s="770"/>
      <c r="LW719" s="770"/>
      <c r="LX719" s="769">
        <v>3</v>
      </c>
      <c r="LY719" s="766" t="str">
        <f t="shared" si="210"/>
        <v>within the PROVINCE</v>
      </c>
      <c r="LZ719" s="1709"/>
      <c r="MA719" s="1709"/>
      <c r="MB719" s="1709"/>
      <c r="MC719" s="1679">
        <f t="shared" si="208"/>
        <v>0</v>
      </c>
      <c r="MD719" s="1709">
        <v>20000</v>
      </c>
      <c r="ME719" s="1709"/>
      <c r="MF719" s="1709"/>
      <c r="MG719" s="1680">
        <f t="shared" si="216"/>
        <v>20000</v>
      </c>
      <c r="MH719" s="770" t="s">
        <v>4691</v>
      </c>
      <c r="MI719" s="302">
        <v>6000</v>
      </c>
      <c r="MJ719" s="302">
        <v>500</v>
      </c>
      <c r="MK719" s="302">
        <v>83</v>
      </c>
      <c r="ML719" s="302">
        <v>3000</v>
      </c>
      <c r="MM719" s="302"/>
      <c r="MN719" s="302"/>
      <c r="MO719" s="302">
        <v>280</v>
      </c>
      <c r="MP719" s="302">
        <v>1200</v>
      </c>
      <c r="MQ719" s="302">
        <v>300</v>
      </c>
      <c r="MR719" s="302">
        <v>165</v>
      </c>
      <c r="MS719" s="302">
        <v>83</v>
      </c>
      <c r="MT719" s="302"/>
      <c r="MU719" s="302"/>
      <c r="MV719" s="302"/>
      <c r="MW719" s="302"/>
      <c r="MX719" s="302"/>
      <c r="MY719" s="1682">
        <f t="shared" si="217"/>
        <v>11611</v>
      </c>
      <c r="MZ719" s="770" t="s">
        <v>13370</v>
      </c>
      <c r="NA719" s="770" t="s">
        <v>13005</v>
      </c>
      <c r="NB719" s="770" t="s">
        <v>13016</v>
      </c>
      <c r="NC719" s="770" t="s">
        <v>13602</v>
      </c>
      <c r="ND719" s="770">
        <v>0</v>
      </c>
      <c r="NE719" s="770">
        <v>3</v>
      </c>
      <c r="NF719" s="770">
        <v>0</v>
      </c>
      <c r="NG719" s="770">
        <v>2</v>
      </c>
      <c r="NH719" s="770">
        <v>1</v>
      </c>
      <c r="NI719" s="770">
        <v>1</v>
      </c>
      <c r="NJ719" s="770">
        <v>2</v>
      </c>
      <c r="NK719" s="770">
        <v>0</v>
      </c>
      <c r="NL719" s="770">
        <v>0</v>
      </c>
      <c r="NM719" s="770">
        <v>1</v>
      </c>
      <c r="NN719" s="770">
        <v>0</v>
      </c>
      <c r="NO719" s="770">
        <v>0</v>
      </c>
      <c r="NP719" s="770">
        <v>0</v>
      </c>
      <c r="NQ719" s="770">
        <v>0</v>
      </c>
      <c r="NR719" s="770">
        <v>0</v>
      </c>
      <c r="NS719" s="770">
        <v>0</v>
      </c>
      <c r="NT719" s="770">
        <v>0</v>
      </c>
      <c r="NU719" s="770">
        <v>0</v>
      </c>
      <c r="NV719" s="770">
        <v>0</v>
      </c>
      <c r="NW719" s="770">
        <v>0</v>
      </c>
      <c r="NX719" s="770">
        <v>0</v>
      </c>
      <c r="NY719" s="770"/>
      <c r="NZ719" s="770"/>
      <c r="OA719" s="770"/>
      <c r="OB719" s="770"/>
      <c r="OC719" s="770"/>
      <c r="OD719" s="770"/>
      <c r="OE719" s="770"/>
      <c r="OF719" s="770"/>
      <c r="OG719" s="770"/>
      <c r="OH719" s="770"/>
      <c r="OI719" s="770"/>
      <c r="OJ719" s="770"/>
      <c r="OK719" s="770"/>
      <c r="OL719" s="770"/>
      <c r="OM719" s="770"/>
      <c r="ON719" s="770"/>
      <c r="OO719" s="770"/>
      <c r="OP719" s="770"/>
      <c r="OQ719" s="770"/>
      <c r="OR719" s="770"/>
      <c r="OS719" s="770"/>
      <c r="OT719" s="770"/>
      <c r="OU719" s="770"/>
      <c r="OV719" s="770"/>
      <c r="OW719" s="770"/>
      <c r="OX719" s="770"/>
      <c r="OY719" s="770"/>
      <c r="OZ719" s="770"/>
      <c r="PA719" s="770"/>
      <c r="PB719" s="770"/>
      <c r="PC719" s="770"/>
      <c r="PD719" s="770"/>
      <c r="PE719" s="770"/>
      <c r="PF719" s="770"/>
      <c r="PG719" s="770"/>
      <c r="PH719" s="770"/>
      <c r="PI719" s="770"/>
      <c r="PJ719" s="770"/>
      <c r="PK719" s="770"/>
      <c r="PL719" s="770"/>
      <c r="PM719" s="770" t="s">
        <v>1208</v>
      </c>
      <c r="PN719" s="770"/>
      <c r="PO719" s="770"/>
      <c r="PP719" s="770"/>
      <c r="PQ719" s="770"/>
      <c r="PR719" s="770"/>
      <c r="PS719" s="770" t="s">
        <v>1208</v>
      </c>
      <c r="PT719" s="770" t="s">
        <v>1208</v>
      </c>
      <c r="PU719" s="770"/>
      <c r="PV719" s="770"/>
      <c r="PW719" s="770"/>
      <c r="PX719" s="770"/>
      <c r="PY719" s="770"/>
      <c r="PZ719" s="770"/>
      <c r="QA719" s="770"/>
      <c r="QB719" s="770"/>
      <c r="QC719" s="770"/>
      <c r="QD719" s="770"/>
      <c r="QE719" s="770"/>
      <c r="QF719" s="770"/>
      <c r="QG719" s="770"/>
      <c r="QH719" s="770"/>
      <c r="QI719" s="770"/>
      <c r="QJ719" s="770"/>
      <c r="QK719" s="770"/>
      <c r="QL719" s="770"/>
      <c r="QM719" s="770"/>
      <c r="QN719" s="770"/>
      <c r="QO719" s="770"/>
      <c r="QP719" s="770"/>
      <c r="QQ719" s="770"/>
      <c r="QR719" s="770"/>
      <c r="QS719" s="770"/>
      <c r="QT719" s="770"/>
      <c r="QU719" s="770"/>
      <c r="QV719" s="770"/>
      <c r="QW719" s="770"/>
      <c r="QX719" s="770"/>
      <c r="QY719" s="770"/>
      <c r="QZ719" s="770"/>
      <c r="RA719" s="770"/>
      <c r="RB719" s="770" t="s">
        <v>1214</v>
      </c>
      <c r="RC719" s="770"/>
      <c r="RD719" s="770"/>
      <c r="RE719" s="770"/>
      <c r="RF719" s="12"/>
      <c r="RG719" s="12"/>
      <c r="RH719" s="1728"/>
      <c r="RI719" s="12"/>
      <c r="RJ719" s="94" t="s">
        <v>13945</v>
      </c>
      <c r="RK719" s="770" t="s">
        <v>13552</v>
      </c>
      <c r="RL719" s="1710">
        <v>42845</v>
      </c>
      <c r="RM719" s="12"/>
      <c r="RN719" s="1711"/>
      <c r="RO719" s="149" t="s">
        <v>4683</v>
      </c>
      <c r="RP719" s="11"/>
      <c r="RQ719" s="11"/>
      <c r="RR719" s="17"/>
      <c r="RS719" s="767"/>
      <c r="RT719" s="11"/>
      <c r="RU719" s="11"/>
      <c r="RV719" s="771" t="s">
        <v>7421</v>
      </c>
      <c r="RW719" s="11" t="s">
        <v>8029</v>
      </c>
      <c r="RX719" s="11" t="s">
        <v>4670</v>
      </c>
      <c r="RY719" s="11"/>
      <c r="RZ719" s="11" t="s">
        <v>2209</v>
      </c>
      <c r="SA719" s="771"/>
      <c r="SB719" s="11"/>
      <c r="SC719" s="11"/>
    </row>
    <row r="720" spans="1:497" ht="12.75" hidden="1" customHeight="1">
      <c r="A720" s="343" t="s">
        <v>7419</v>
      </c>
      <c r="B720" s="292" t="s">
        <v>8031</v>
      </c>
      <c r="C720" s="149" t="s">
        <v>7221</v>
      </c>
      <c r="D720" s="94" t="s">
        <v>7240</v>
      </c>
      <c r="E720" s="766" t="s">
        <v>4692</v>
      </c>
      <c r="F720" s="770" t="s">
        <v>28</v>
      </c>
      <c r="G720" s="770" t="s">
        <v>10</v>
      </c>
      <c r="H720" s="12"/>
      <c r="I720" s="295" t="s">
        <v>4693</v>
      </c>
      <c r="J720" s="94" t="s">
        <v>7240</v>
      </c>
      <c r="K720" s="766" t="s">
        <v>4694</v>
      </c>
      <c r="L720" s="766" t="s">
        <v>3140</v>
      </c>
      <c r="M720" s="770" t="s">
        <v>1238</v>
      </c>
      <c r="N720" s="1757" t="s">
        <v>7238</v>
      </c>
      <c r="O720" s="1757" t="s">
        <v>7233</v>
      </c>
      <c r="P720" s="770" t="s">
        <v>4695</v>
      </c>
      <c r="Q720" s="1088">
        <v>22701</v>
      </c>
      <c r="R720" s="297">
        <v>55</v>
      </c>
      <c r="S720" s="770" t="s">
        <v>10</v>
      </c>
      <c r="T720" s="770"/>
      <c r="U720" s="295" t="s">
        <v>4693</v>
      </c>
      <c r="V720" s="770" t="s">
        <v>707</v>
      </c>
      <c r="W720" s="770"/>
      <c r="X720" s="770"/>
      <c r="Y720" s="770" t="s">
        <v>4692</v>
      </c>
      <c r="Z720" s="770" t="s">
        <v>708</v>
      </c>
      <c r="AA720" s="770" t="s">
        <v>709</v>
      </c>
      <c r="AB720" s="770" t="s">
        <v>710</v>
      </c>
      <c r="AC720" s="770"/>
      <c r="AD720" s="770" t="s">
        <v>711</v>
      </c>
      <c r="AE720" s="770"/>
      <c r="AF720" s="770" t="s">
        <v>712</v>
      </c>
      <c r="AG720" s="766" t="s">
        <v>1132</v>
      </c>
      <c r="AH720" s="766" t="s">
        <v>1096</v>
      </c>
      <c r="AI720" s="770"/>
      <c r="AJ720" s="770" t="s">
        <v>1137</v>
      </c>
      <c r="AK720" s="770" t="s">
        <v>1097</v>
      </c>
      <c r="AL720" s="531">
        <v>59.1</v>
      </c>
      <c r="AM720" s="780">
        <v>26.52</v>
      </c>
      <c r="AN720" s="532">
        <f t="shared" si="224"/>
        <v>0.44873096446700506</v>
      </c>
      <c r="AO720" s="766" t="s">
        <v>1149</v>
      </c>
      <c r="AP720" s="766" t="s">
        <v>5368</v>
      </c>
      <c r="AQ720" s="766" t="s">
        <v>7217</v>
      </c>
      <c r="AR720" s="766" t="s">
        <v>7219</v>
      </c>
      <c r="AS720" s="770" t="s">
        <v>1207</v>
      </c>
      <c r="AT720" s="770"/>
      <c r="AU720" s="770"/>
      <c r="AV720" s="770"/>
      <c r="AW720" s="770"/>
      <c r="AX720" s="770"/>
      <c r="AY720" s="770"/>
      <c r="AZ720" s="770"/>
      <c r="BA720" s="770"/>
      <c r="BB720" s="770"/>
      <c r="BC720" s="770"/>
      <c r="BD720" s="770"/>
      <c r="BE720" s="770"/>
      <c r="BF720" s="302"/>
      <c r="BG720" s="302"/>
      <c r="BH720" s="770"/>
      <c r="BI720" s="770"/>
      <c r="BJ720" s="770"/>
      <c r="BK720" s="766" t="s">
        <v>1095</v>
      </c>
      <c r="BL720" s="766" t="s">
        <v>4696</v>
      </c>
      <c r="BM720" s="766" t="s">
        <v>1096</v>
      </c>
      <c r="BN720" s="766" t="s">
        <v>1230</v>
      </c>
      <c r="BO720" s="766" t="s">
        <v>1246</v>
      </c>
      <c r="BP720" s="765">
        <v>118.32</v>
      </c>
      <c r="BQ720" s="773">
        <v>53.04</v>
      </c>
      <c r="BR720" s="774">
        <f t="shared" si="215"/>
        <v>0.44827586206896552</v>
      </c>
      <c r="BS720" s="6" t="s">
        <v>1149</v>
      </c>
      <c r="BT720" s="766" t="s">
        <v>2040</v>
      </c>
      <c r="BU720" s="770" t="s">
        <v>1249</v>
      </c>
      <c r="BV720" s="770" t="s">
        <v>1247</v>
      </c>
      <c r="BW720" s="770">
        <v>2006</v>
      </c>
      <c r="BX720" s="302">
        <v>750000</v>
      </c>
      <c r="BY720" s="770" t="s">
        <v>1207</v>
      </c>
      <c r="BZ720" s="302">
        <v>750000</v>
      </c>
      <c r="CA720" s="770"/>
      <c r="CB720" s="770"/>
      <c r="CC720" s="770"/>
      <c r="CD720" s="770"/>
      <c r="CE720" s="302"/>
      <c r="CF720" s="304"/>
      <c r="CG720" s="321"/>
      <c r="CH720" s="770"/>
      <c r="CI720" s="770"/>
      <c r="CJ720" s="770"/>
      <c r="CK720" s="770"/>
      <c r="CL720" s="770"/>
      <c r="CM720" s="770"/>
      <c r="CN720" s="770"/>
      <c r="CO720" s="770"/>
      <c r="CP720" s="770"/>
      <c r="CQ720" s="770"/>
      <c r="CR720" s="302"/>
      <c r="CS720" s="770"/>
      <c r="CT720" s="770"/>
      <c r="CU720" s="305"/>
      <c r="CV720" s="770"/>
      <c r="CW720" s="770"/>
      <c r="CX720" s="770"/>
      <c r="CY720" s="770"/>
      <c r="CZ720" s="770"/>
      <c r="DA720" s="306"/>
      <c r="DB720" s="770"/>
      <c r="DC720" s="770"/>
      <c r="DD720" s="770"/>
      <c r="DE720" s="300"/>
      <c r="DF720" s="770"/>
      <c r="DG720" s="770"/>
      <c r="DH720" s="770"/>
      <c r="DI720" s="770"/>
      <c r="DJ720" s="770"/>
      <c r="DK720" s="770"/>
      <c r="DL720" s="770"/>
      <c r="DM720" s="770"/>
      <c r="DN720" s="322"/>
      <c r="DO720" s="770"/>
      <c r="DP720" s="770"/>
      <c r="DQ720" s="770"/>
      <c r="DR720" s="770"/>
      <c r="DS720" s="307"/>
      <c r="DT720" s="770"/>
      <c r="DU720" s="770"/>
      <c r="DV720" s="770"/>
      <c r="DW720" s="306"/>
      <c r="DX720" s="306"/>
      <c r="DY720" s="1055"/>
      <c r="DZ720" s="770"/>
      <c r="EA720" s="770"/>
      <c r="EB720" s="770"/>
      <c r="EC720" s="770"/>
      <c r="ED720" s="770"/>
      <c r="EE720" s="770"/>
      <c r="EF720" s="770"/>
      <c r="EG720" s="770"/>
      <c r="EH720" s="770"/>
      <c r="EI720" s="770"/>
      <c r="EJ720" s="770"/>
      <c r="EK720" s="770"/>
      <c r="EL720" s="770"/>
      <c r="EM720" s="770"/>
      <c r="EN720" s="770"/>
      <c r="EO720" s="770"/>
      <c r="EP720" s="94"/>
      <c r="EQ720" s="770"/>
      <c r="ER720" s="770"/>
      <c r="ES720" s="770"/>
      <c r="ET720" s="770"/>
      <c r="EU720" s="770"/>
      <c r="EV720" s="770"/>
      <c r="EW720" s="770"/>
      <c r="EX720" s="770"/>
      <c r="EY720" s="770"/>
      <c r="EZ720" s="770"/>
      <c r="FA720" s="770"/>
      <c r="FB720" s="770"/>
      <c r="FC720" s="770"/>
      <c r="FD720" s="302"/>
      <c r="FE720" s="770"/>
      <c r="FF720" s="770"/>
      <c r="FG720" s="770"/>
      <c r="FH720" s="770" t="s">
        <v>478</v>
      </c>
      <c r="FI720" s="770">
        <v>1</v>
      </c>
      <c r="FJ720" s="770"/>
      <c r="FK720" s="770"/>
      <c r="FL720" s="770"/>
      <c r="FM720" s="302"/>
      <c r="FN720" s="302"/>
      <c r="FO720" s="302"/>
      <c r="FP720" s="770" t="s">
        <v>1602</v>
      </c>
      <c r="FQ720" s="770" t="s">
        <v>1660</v>
      </c>
      <c r="FR720" s="770" t="s">
        <v>1214</v>
      </c>
      <c r="FS720" s="770"/>
      <c r="FT720" s="770"/>
      <c r="FU720" s="770"/>
      <c r="FV720" s="770"/>
      <c r="FW720" s="770"/>
      <c r="FX720" s="770"/>
      <c r="FY720" s="770"/>
      <c r="FZ720" s="770"/>
      <c r="GA720" s="770"/>
      <c r="GB720" s="770" t="s">
        <v>1734</v>
      </c>
      <c r="GC720" s="308"/>
      <c r="GD720" s="297">
        <v>2006</v>
      </c>
      <c r="GE720" s="770" t="s">
        <v>1214</v>
      </c>
      <c r="GF720" s="302"/>
      <c r="GG720" s="302"/>
      <c r="GH720" s="1836" t="s">
        <v>1791</v>
      </c>
      <c r="GI720" s="770"/>
      <c r="GJ720" s="770" t="s">
        <v>4697</v>
      </c>
      <c r="GK720" s="766" t="s">
        <v>1806</v>
      </c>
      <c r="GL720" s="770"/>
      <c r="GM720" s="770"/>
      <c r="GN720" s="299"/>
      <c r="GO720" s="770" t="s">
        <v>2770</v>
      </c>
      <c r="GP720" s="770" t="s">
        <v>1208</v>
      </c>
      <c r="GQ720" s="770" t="s">
        <v>1208</v>
      </c>
      <c r="GR720" s="770" t="s">
        <v>1208</v>
      </c>
      <c r="GS720" s="770" t="s">
        <v>1208</v>
      </c>
      <c r="GT720" s="770" t="s">
        <v>1208</v>
      </c>
      <c r="GU720" s="770"/>
      <c r="GV720" s="770"/>
      <c r="GW720" s="770" t="s">
        <v>1207</v>
      </c>
      <c r="GX720" s="770"/>
      <c r="GY720" s="770" t="s">
        <v>1208</v>
      </c>
      <c r="GZ720" s="770"/>
      <c r="HA720" s="770"/>
      <c r="HB720" s="770"/>
      <c r="HC720" s="770"/>
      <c r="HD720" s="770"/>
      <c r="HE720" s="770"/>
      <c r="HF720" s="770"/>
      <c r="HG720" s="770"/>
      <c r="HH720" s="770"/>
      <c r="HI720" s="770" t="s">
        <v>1214</v>
      </c>
      <c r="HJ720" s="770"/>
      <c r="HK720" s="770"/>
      <c r="HL720" s="770"/>
      <c r="HM720" s="770"/>
      <c r="HN720" s="770"/>
      <c r="HO720" s="770"/>
      <c r="HP720" s="770"/>
      <c r="HQ720" s="770"/>
      <c r="HR720" s="770">
        <v>4</v>
      </c>
      <c r="HS720" s="770">
        <v>1</v>
      </c>
      <c r="HT720" s="770"/>
      <c r="HU720" s="770"/>
      <c r="HV720" s="770"/>
      <c r="HW720" s="770"/>
      <c r="HX720" s="770"/>
      <c r="HY720" s="770"/>
      <c r="HZ720" s="770"/>
      <c r="IA720" s="770"/>
      <c r="IB720" s="770"/>
      <c r="IC720" s="770"/>
      <c r="ID720" s="770"/>
      <c r="IE720" s="770"/>
      <c r="IF720" s="770"/>
      <c r="IG720" s="770"/>
      <c r="IH720" s="770"/>
      <c r="II720" s="770"/>
      <c r="IJ720" s="770"/>
      <c r="IK720" s="770"/>
      <c r="IL720" s="770"/>
      <c r="IM720" s="770"/>
      <c r="IN720" s="770"/>
      <c r="IO720" s="296"/>
      <c r="IP720" s="770"/>
      <c r="IQ720" s="770"/>
      <c r="IR720" s="770"/>
      <c r="IS720" s="770"/>
      <c r="IT720" s="770"/>
      <c r="IU720" s="770"/>
      <c r="IV720" s="770"/>
      <c r="IW720" s="770"/>
      <c r="IX720" s="770"/>
      <c r="IY720" s="770"/>
      <c r="IZ720" s="770"/>
      <c r="JA720" s="770"/>
      <c r="JB720" s="770"/>
      <c r="JC720" s="770"/>
      <c r="JD720" s="302"/>
      <c r="JE720" s="770"/>
      <c r="JF720" s="770"/>
      <c r="JG720" s="770"/>
      <c r="JH720" s="307"/>
      <c r="JI720" s="307"/>
      <c r="JJ720" s="770">
        <v>5</v>
      </c>
      <c r="JK720" s="770" t="s">
        <v>4698</v>
      </c>
      <c r="JL720" s="770"/>
      <c r="JM720" s="770"/>
      <c r="JN720" s="770">
        <v>2</v>
      </c>
      <c r="JO720" s="770">
        <v>3</v>
      </c>
      <c r="JP720" s="770"/>
      <c r="JQ720" s="770"/>
      <c r="JR720" s="770"/>
      <c r="JS720" s="770"/>
      <c r="JT720" s="766">
        <f t="shared" si="226"/>
        <v>2</v>
      </c>
      <c r="JU720" s="766">
        <f t="shared" si="226"/>
        <v>3</v>
      </c>
      <c r="JV720" s="766"/>
      <c r="JW720" s="766"/>
      <c r="JX720" s="770"/>
      <c r="JY720" s="770"/>
      <c r="JZ720" s="770"/>
      <c r="KA720" s="770"/>
      <c r="KB720" s="770">
        <v>1</v>
      </c>
      <c r="KC720" s="770">
        <v>2</v>
      </c>
      <c r="KD720" s="770">
        <v>1</v>
      </c>
      <c r="KE720" s="770">
        <v>1</v>
      </c>
      <c r="KF720" s="770"/>
      <c r="KG720" s="770"/>
      <c r="KH720" s="770"/>
      <c r="KI720" s="770"/>
      <c r="KJ720" s="770">
        <f t="shared" si="225"/>
        <v>2</v>
      </c>
      <c r="KK720" s="770">
        <f t="shared" si="225"/>
        <v>3</v>
      </c>
      <c r="KL720" s="770"/>
      <c r="KM720" s="770"/>
      <c r="KN720" s="770" t="s">
        <v>707</v>
      </c>
      <c r="KO720" s="770"/>
      <c r="KP720" s="770"/>
      <c r="KQ720" s="770"/>
      <c r="KR720" s="770"/>
      <c r="KS720" s="770"/>
      <c r="KT720" s="770"/>
      <c r="KU720" s="770"/>
      <c r="KV720" s="770"/>
      <c r="KW720" s="770"/>
      <c r="KX720" s="770"/>
      <c r="KY720" s="770"/>
      <c r="KZ720" s="770"/>
      <c r="LA720" s="770"/>
      <c r="LB720" s="770"/>
      <c r="LC720" s="770"/>
      <c r="LD720" s="770">
        <v>3</v>
      </c>
      <c r="LE720" s="770">
        <v>2</v>
      </c>
      <c r="LF720" s="770"/>
      <c r="LG720" s="770">
        <v>1</v>
      </c>
      <c r="LH720" s="770"/>
      <c r="LI720" s="770"/>
      <c r="LJ720" s="770"/>
      <c r="LK720" s="770"/>
      <c r="LL720" s="770"/>
      <c r="LM720" s="770"/>
      <c r="LN720" s="766">
        <f t="shared" si="209"/>
        <v>3</v>
      </c>
      <c r="LO720" s="766">
        <f t="shared" si="209"/>
        <v>3</v>
      </c>
      <c r="LP720" s="770">
        <v>3</v>
      </c>
      <c r="LQ720" s="770">
        <v>3</v>
      </c>
      <c r="LR720" s="770">
        <v>2</v>
      </c>
      <c r="LS720" s="770">
        <v>1</v>
      </c>
      <c r="LT720" s="770"/>
      <c r="LU720" s="770">
        <v>2</v>
      </c>
      <c r="LV720" s="770"/>
      <c r="LW720" s="770"/>
      <c r="LX720" s="769">
        <v>2</v>
      </c>
      <c r="LY720" s="766" t="str">
        <f t="shared" si="210"/>
        <v>within the MUNICIPALITY</v>
      </c>
      <c r="LZ720" s="1709">
        <f>SUM(150*26,250*26)</f>
        <v>10400</v>
      </c>
      <c r="MA720" s="1709"/>
      <c r="MB720" s="1709"/>
      <c r="MC720" s="1679">
        <f t="shared" si="208"/>
        <v>10400</v>
      </c>
      <c r="MD720" s="1709">
        <f>SUM(20000,18000)</f>
        <v>38000</v>
      </c>
      <c r="ME720" s="1709">
        <v>79000</v>
      </c>
      <c r="MF720" s="1709"/>
      <c r="MG720" s="1680">
        <f t="shared" si="216"/>
        <v>117000</v>
      </c>
      <c r="MH720" s="770" t="s">
        <v>13946</v>
      </c>
      <c r="MI720" s="302">
        <f>1000*30</f>
        <v>30000</v>
      </c>
      <c r="MJ720" s="302">
        <f>550*30</f>
        <v>16500</v>
      </c>
      <c r="MK720" s="302">
        <v>30000</v>
      </c>
      <c r="ML720" s="302">
        <v>8000</v>
      </c>
      <c r="MM720" s="302">
        <v>12000</v>
      </c>
      <c r="MN720" s="302"/>
      <c r="MO720" s="302">
        <v>3000</v>
      </c>
      <c r="MP720" s="302">
        <v>5000</v>
      </c>
      <c r="MQ720" s="302">
        <v>650</v>
      </c>
      <c r="MR720" s="302">
        <v>1500</v>
      </c>
      <c r="MS720" s="302">
        <v>30000</v>
      </c>
      <c r="MT720" s="302"/>
      <c r="MU720" s="302"/>
      <c r="MV720" s="302"/>
      <c r="MW720" s="302"/>
      <c r="MX720" s="302"/>
      <c r="MY720" s="1682">
        <f t="shared" si="217"/>
        <v>136650</v>
      </c>
      <c r="MZ720" s="770" t="s">
        <v>13370</v>
      </c>
      <c r="NA720" s="770" t="s">
        <v>13947</v>
      </c>
      <c r="NB720" s="770" t="s">
        <v>13948</v>
      </c>
      <c r="NC720" s="770" t="s">
        <v>13602</v>
      </c>
      <c r="ND720" s="770">
        <v>0</v>
      </c>
      <c r="NE720" s="770">
        <v>1</v>
      </c>
      <c r="NF720" s="770">
        <v>2</v>
      </c>
      <c r="NG720" s="770">
        <v>6</v>
      </c>
      <c r="NH720" s="770">
        <v>3</v>
      </c>
      <c r="NI720" s="770">
        <v>2</v>
      </c>
      <c r="NJ720" s="770">
        <v>2</v>
      </c>
      <c r="NK720" s="770">
        <v>0</v>
      </c>
      <c r="NL720" s="770">
        <v>1</v>
      </c>
      <c r="NM720" s="770">
        <v>1</v>
      </c>
      <c r="NN720" s="770">
        <v>0</v>
      </c>
      <c r="NO720" s="770">
        <v>0</v>
      </c>
      <c r="NP720" s="770">
        <v>0</v>
      </c>
      <c r="NQ720" s="770">
        <v>0</v>
      </c>
      <c r="NR720" s="770">
        <v>0</v>
      </c>
      <c r="NS720" s="770">
        <v>0</v>
      </c>
      <c r="NT720" s="770">
        <v>0</v>
      </c>
      <c r="NU720" s="770">
        <v>0</v>
      </c>
      <c r="NV720" s="770">
        <v>0</v>
      </c>
      <c r="NW720" s="770">
        <v>0</v>
      </c>
      <c r="NX720" s="770">
        <v>0</v>
      </c>
      <c r="NY720" s="770" t="s">
        <v>1208</v>
      </c>
      <c r="NZ720" s="770" t="s">
        <v>1208</v>
      </c>
      <c r="OA720" s="770" t="s">
        <v>1208</v>
      </c>
      <c r="OB720" s="770" t="s">
        <v>1208</v>
      </c>
      <c r="OC720" s="770" t="s">
        <v>1208</v>
      </c>
      <c r="OD720" s="770"/>
      <c r="OE720" s="770"/>
      <c r="OF720" s="770"/>
      <c r="OG720" s="770"/>
      <c r="OH720" s="770"/>
      <c r="OI720" s="770"/>
      <c r="OJ720" s="770"/>
      <c r="OK720" s="770"/>
      <c r="OL720" s="770"/>
      <c r="OM720" s="770"/>
      <c r="ON720" s="770"/>
      <c r="OO720" s="770"/>
      <c r="OP720" s="770"/>
      <c r="OQ720" s="770"/>
      <c r="OR720" s="770"/>
      <c r="OS720" s="770"/>
      <c r="OT720" s="770"/>
      <c r="OU720" s="770"/>
      <c r="OV720" s="770"/>
      <c r="OW720" s="770"/>
      <c r="OX720" s="770"/>
      <c r="OY720" s="770"/>
      <c r="OZ720" s="770"/>
      <c r="PA720" s="770"/>
      <c r="PB720" s="770"/>
      <c r="PC720" s="770"/>
      <c r="PD720" s="770"/>
      <c r="PE720" s="770"/>
      <c r="PF720" s="770"/>
      <c r="PG720" s="770" t="s">
        <v>1208</v>
      </c>
      <c r="PH720" s="770" t="s">
        <v>1208</v>
      </c>
      <c r="PI720" s="770" t="s">
        <v>1208</v>
      </c>
      <c r="PJ720" s="770" t="s">
        <v>1208</v>
      </c>
      <c r="PK720" s="770" t="s">
        <v>1208</v>
      </c>
      <c r="PL720" s="770"/>
      <c r="PM720" s="770"/>
      <c r="PN720" s="770"/>
      <c r="PO720" s="770"/>
      <c r="PP720" s="770"/>
      <c r="PQ720" s="770"/>
      <c r="PR720" s="770"/>
      <c r="PS720" s="770"/>
      <c r="PT720" s="770"/>
      <c r="PU720" s="770"/>
      <c r="PV720" s="770"/>
      <c r="PW720" s="770"/>
      <c r="PX720" s="770"/>
      <c r="PY720" s="770"/>
      <c r="PZ720" s="770"/>
      <c r="QA720" s="770"/>
      <c r="QB720" s="770"/>
      <c r="QC720" s="770"/>
      <c r="QD720" s="770"/>
      <c r="QE720" s="770"/>
      <c r="QF720" s="770"/>
      <c r="QG720" s="770"/>
      <c r="QH720" s="770"/>
      <c r="QI720" s="770"/>
      <c r="QJ720" s="770"/>
      <c r="QK720" s="770"/>
      <c r="QL720" s="770"/>
      <c r="QM720" s="770"/>
      <c r="QN720" s="770"/>
      <c r="QO720" s="770"/>
      <c r="QP720" s="770"/>
      <c r="QQ720" s="770"/>
      <c r="QR720" s="770"/>
      <c r="QS720" s="770"/>
      <c r="QT720" s="770"/>
      <c r="QU720" s="770"/>
      <c r="QV720" s="770"/>
      <c r="QW720" s="770"/>
      <c r="QX720" s="770"/>
      <c r="QY720" s="770"/>
      <c r="QZ720" s="770"/>
      <c r="RA720" s="770"/>
      <c r="RB720" s="770" t="s">
        <v>1214</v>
      </c>
      <c r="RC720" s="770"/>
      <c r="RD720" s="770"/>
      <c r="RE720" s="770"/>
      <c r="RF720" s="12"/>
      <c r="RG720" s="12"/>
      <c r="RH720" s="1728"/>
      <c r="RI720" s="12"/>
      <c r="RJ720" s="94" t="s">
        <v>4698</v>
      </c>
      <c r="RK720" s="770" t="s">
        <v>13544</v>
      </c>
      <c r="RL720" s="1710">
        <v>42845</v>
      </c>
      <c r="RM720" s="12"/>
      <c r="RN720" s="1711"/>
      <c r="RO720" s="149" t="s">
        <v>7221</v>
      </c>
      <c r="RP720" s="11"/>
      <c r="RQ720" s="11"/>
      <c r="RR720" s="17"/>
      <c r="RS720" s="767"/>
      <c r="RT720" s="11"/>
      <c r="RU720" s="11"/>
      <c r="RV720" s="771" t="s">
        <v>12356</v>
      </c>
      <c r="RW720" s="11" t="s">
        <v>7442</v>
      </c>
      <c r="RX720" s="11" t="s">
        <v>4682</v>
      </c>
      <c r="RY720" s="11"/>
      <c r="RZ720" s="11" t="s">
        <v>2209</v>
      </c>
      <c r="SA720" s="771"/>
      <c r="SB720" s="11"/>
      <c r="SC720" s="11"/>
    </row>
    <row r="721" spans="1:497" ht="12.75" hidden="1" customHeight="1">
      <c r="A721" s="343" t="s">
        <v>14238</v>
      </c>
      <c r="B721" s="292" t="s">
        <v>8032</v>
      </c>
      <c r="C721" s="149" t="s">
        <v>4699</v>
      </c>
      <c r="D721" s="94" t="s">
        <v>14126</v>
      </c>
      <c r="E721" s="766" t="s">
        <v>4692</v>
      </c>
      <c r="F721" s="770" t="s">
        <v>28</v>
      </c>
      <c r="G721" s="770" t="s">
        <v>10</v>
      </c>
      <c r="H721" s="12"/>
      <c r="I721" s="295" t="s">
        <v>4700</v>
      </c>
      <c r="J721" s="94" t="s">
        <v>14127</v>
      </c>
      <c r="K721" s="766" t="s">
        <v>4701</v>
      </c>
      <c r="L721" s="766" t="s">
        <v>3140</v>
      </c>
      <c r="M721" s="770" t="s">
        <v>1238</v>
      </c>
      <c r="N721" s="1757" t="s">
        <v>7238</v>
      </c>
      <c r="O721" s="1757" t="s">
        <v>7233</v>
      </c>
      <c r="P721" s="770" t="s">
        <v>4702</v>
      </c>
      <c r="Q721" s="1088">
        <v>32801</v>
      </c>
      <c r="R721" s="297">
        <v>27</v>
      </c>
      <c r="S721" s="770" t="s">
        <v>10</v>
      </c>
      <c r="T721" s="770"/>
      <c r="U721" s="295" t="s">
        <v>4700</v>
      </c>
      <c r="V721" s="770" t="s">
        <v>768</v>
      </c>
      <c r="W721" s="770"/>
      <c r="X721" s="770"/>
      <c r="Y721" s="770" t="s">
        <v>4692</v>
      </c>
      <c r="Z721" s="770" t="s">
        <v>708</v>
      </c>
      <c r="AA721" s="770" t="s">
        <v>4703</v>
      </c>
      <c r="AB721" s="770" t="s">
        <v>710</v>
      </c>
      <c r="AC721" s="770" t="s">
        <v>724</v>
      </c>
      <c r="AD721" s="770" t="s">
        <v>711</v>
      </c>
      <c r="AE721" s="770"/>
      <c r="AF721" s="770" t="s">
        <v>712</v>
      </c>
      <c r="AG721" s="770"/>
      <c r="AH721" s="770"/>
      <c r="AI721" s="770"/>
      <c r="AJ721" s="770"/>
      <c r="AK721" s="770" t="s">
        <v>5454</v>
      </c>
      <c r="AL721" s="531"/>
      <c r="AM721" s="780"/>
      <c r="AN721" s="532"/>
      <c r="AO721" s="766"/>
      <c r="AP721" s="769"/>
      <c r="AQ721" s="766"/>
      <c r="AR721" s="766"/>
      <c r="AS721" s="770"/>
      <c r="AT721" s="770"/>
      <c r="AU721" s="770"/>
      <c r="AV721" s="770"/>
      <c r="AW721" s="770"/>
      <c r="AX721" s="770"/>
      <c r="AY721" s="770"/>
      <c r="AZ721" s="770"/>
      <c r="BA721" s="770"/>
      <c r="BB721" s="770"/>
      <c r="BC721" s="770"/>
      <c r="BD721" s="770"/>
      <c r="BE721" s="770"/>
      <c r="BF721" s="302"/>
      <c r="BG721" s="302"/>
      <c r="BH721" s="770"/>
      <c r="BI721" s="770"/>
      <c r="BJ721" s="770"/>
      <c r="BK721" s="766" t="s">
        <v>1095</v>
      </c>
      <c r="BL721" s="766" t="s">
        <v>4704</v>
      </c>
      <c r="BM721" s="766" t="s">
        <v>1096</v>
      </c>
      <c r="BN721" s="766" t="s">
        <v>1305</v>
      </c>
      <c r="BO721" s="766" t="s">
        <v>1246</v>
      </c>
      <c r="BP721" s="765">
        <v>21</v>
      </c>
      <c r="BQ721" s="773">
        <v>9</v>
      </c>
      <c r="BR721" s="774">
        <f t="shared" si="215"/>
        <v>0.42857142857142855</v>
      </c>
      <c r="BS721" s="6" t="s">
        <v>1149</v>
      </c>
      <c r="BT721" s="766" t="s">
        <v>2040</v>
      </c>
      <c r="BU721" s="770" t="s">
        <v>1249</v>
      </c>
      <c r="BV721" s="770" t="s">
        <v>1247</v>
      </c>
      <c r="BW721" s="770">
        <v>2006</v>
      </c>
      <c r="BX721" s="302"/>
      <c r="BY721" s="770"/>
      <c r="BZ721" s="302"/>
      <c r="CA721" s="770"/>
      <c r="CB721" s="770"/>
      <c r="CC721" s="770"/>
      <c r="CD721" s="770"/>
      <c r="CE721" s="302"/>
      <c r="CF721" s="304"/>
      <c r="CG721" s="321"/>
      <c r="CH721" s="770"/>
      <c r="CI721" s="770"/>
      <c r="CJ721" s="770"/>
      <c r="CK721" s="770"/>
      <c r="CL721" s="770"/>
      <c r="CM721" s="770"/>
      <c r="CN721" s="770"/>
      <c r="CO721" s="770"/>
      <c r="CP721" s="770"/>
      <c r="CQ721" s="770"/>
      <c r="CR721" s="302"/>
      <c r="CS721" s="770"/>
      <c r="CT721" s="770"/>
      <c r="CU721" s="305"/>
      <c r="CV721" s="770"/>
      <c r="CW721" s="770"/>
      <c r="CX721" s="770"/>
      <c r="CY721" s="770"/>
      <c r="CZ721" s="770"/>
      <c r="DA721" s="306"/>
      <c r="DB721" s="770"/>
      <c r="DC721" s="770"/>
      <c r="DD721" s="770"/>
      <c r="DE721" s="300"/>
      <c r="DF721" s="770"/>
      <c r="DG721" s="770"/>
      <c r="DH721" s="770"/>
      <c r="DI721" s="770"/>
      <c r="DJ721" s="770"/>
      <c r="DK721" s="770"/>
      <c r="DL721" s="770"/>
      <c r="DM721" s="770"/>
      <c r="DN721" s="322"/>
      <c r="DO721" s="770"/>
      <c r="DP721" s="770"/>
      <c r="DQ721" s="770"/>
      <c r="DR721" s="770"/>
      <c r="DS721" s="307"/>
      <c r="DT721" s="770"/>
      <c r="DU721" s="770"/>
      <c r="DV721" s="770"/>
      <c r="DW721" s="306"/>
      <c r="DX721" s="306"/>
      <c r="DY721" s="1055"/>
      <c r="DZ721" s="770"/>
      <c r="EA721" s="770"/>
      <c r="EB721" s="770"/>
      <c r="EC721" s="770"/>
      <c r="ED721" s="770"/>
      <c r="EE721" s="770"/>
      <c r="EF721" s="770"/>
      <c r="EG721" s="770"/>
      <c r="EH721" s="770"/>
      <c r="EI721" s="770"/>
      <c r="EJ721" s="770"/>
      <c r="EK721" s="770"/>
      <c r="EL721" s="770"/>
      <c r="EM721" s="770"/>
      <c r="EN721" s="770"/>
      <c r="EO721" s="770"/>
      <c r="EP721" s="94"/>
      <c r="EQ721" s="770"/>
      <c r="ER721" s="770"/>
      <c r="ES721" s="770"/>
      <c r="ET721" s="770"/>
      <c r="EU721" s="770"/>
      <c r="EV721" s="770"/>
      <c r="EW721" s="770"/>
      <c r="EX721" s="770"/>
      <c r="EY721" s="770"/>
      <c r="EZ721" s="770"/>
      <c r="FA721" s="770"/>
      <c r="FB721" s="770"/>
      <c r="FC721" s="770"/>
      <c r="FD721" s="302"/>
      <c r="FE721" s="770"/>
      <c r="FF721" s="770"/>
      <c r="FG721" s="770"/>
      <c r="FH721" s="770" t="s">
        <v>3230</v>
      </c>
      <c r="FI721" s="770">
        <v>1</v>
      </c>
      <c r="FJ721" s="770" t="s">
        <v>4696</v>
      </c>
      <c r="FK721" s="770"/>
      <c r="FL721" s="770" t="s">
        <v>4692</v>
      </c>
      <c r="FM721" s="302"/>
      <c r="FN721" s="302"/>
      <c r="FO721" s="302"/>
      <c r="FP721" s="770" t="s">
        <v>1602</v>
      </c>
      <c r="FQ721" s="770" t="s">
        <v>1660</v>
      </c>
      <c r="FR721" s="770" t="s">
        <v>1214</v>
      </c>
      <c r="FS721" s="770"/>
      <c r="FT721" s="770"/>
      <c r="FU721" s="770"/>
      <c r="FV721" s="770"/>
      <c r="FW721" s="770"/>
      <c r="FX721" s="770"/>
      <c r="FY721" s="770"/>
      <c r="FZ721" s="770"/>
      <c r="GA721" s="770"/>
      <c r="GB721" s="770" t="s">
        <v>1734</v>
      </c>
      <c r="GC721" s="308"/>
      <c r="GD721" s="297">
        <v>2006</v>
      </c>
      <c r="GE721" s="770" t="s">
        <v>1214</v>
      </c>
      <c r="GF721" s="302"/>
      <c r="GG721" s="302"/>
      <c r="GH721" s="770" t="s">
        <v>1791</v>
      </c>
      <c r="GI721" s="770" t="s">
        <v>2352</v>
      </c>
      <c r="GJ721" s="770"/>
      <c r="GK721" s="766" t="s">
        <v>1806</v>
      </c>
      <c r="GL721" s="770"/>
      <c r="GM721" s="770"/>
      <c r="GN721" s="299">
        <f>6000/26</f>
        <v>230.76923076923077</v>
      </c>
      <c r="GO721" s="770"/>
      <c r="GP721" s="770"/>
      <c r="GQ721" s="770" t="s">
        <v>1208</v>
      </c>
      <c r="GR721" s="770"/>
      <c r="GS721" s="770"/>
      <c r="GT721" s="770"/>
      <c r="GU721" s="770"/>
      <c r="GV721" s="770"/>
      <c r="GW721" s="770" t="s">
        <v>1207</v>
      </c>
      <c r="GX721" s="770"/>
      <c r="GY721" s="770"/>
      <c r="GZ721" s="770"/>
      <c r="HA721" s="770" t="s">
        <v>1208</v>
      </c>
      <c r="HB721" s="770" t="s">
        <v>1208</v>
      </c>
      <c r="HC721" s="770"/>
      <c r="HD721" s="770"/>
      <c r="HE721" s="770" t="s">
        <v>1208</v>
      </c>
      <c r="HF721" s="770"/>
      <c r="HG721" s="770"/>
      <c r="HH721" s="770"/>
      <c r="HI721" s="770" t="s">
        <v>1214</v>
      </c>
      <c r="HJ721" s="770"/>
      <c r="HK721" s="770"/>
      <c r="HL721" s="770" t="s">
        <v>1214</v>
      </c>
      <c r="HM721" s="770"/>
      <c r="HN721" s="770"/>
      <c r="HO721" s="770"/>
      <c r="HP721" s="770"/>
      <c r="HQ721" s="770"/>
      <c r="HR721" s="770"/>
      <c r="HS721" s="770"/>
      <c r="HT721" s="770"/>
      <c r="HU721" s="770"/>
      <c r="HV721" s="770"/>
      <c r="HW721" s="770"/>
      <c r="HX721" s="770"/>
      <c r="HY721" s="770"/>
      <c r="HZ721" s="770"/>
      <c r="IA721" s="770"/>
      <c r="IB721" s="770"/>
      <c r="IC721" s="770"/>
      <c r="ID721" s="770"/>
      <c r="IE721" s="770"/>
      <c r="IF721" s="770"/>
      <c r="IG721" s="770"/>
      <c r="IH721" s="770"/>
      <c r="II721" s="770"/>
      <c r="IJ721" s="770"/>
      <c r="IK721" s="770"/>
      <c r="IL721" s="770"/>
      <c r="IM721" s="770"/>
      <c r="IN721" s="770"/>
      <c r="IO721" s="296"/>
      <c r="IP721" s="770"/>
      <c r="IQ721" s="770"/>
      <c r="IR721" s="770"/>
      <c r="IS721" s="770"/>
      <c r="IT721" s="770"/>
      <c r="IU721" s="770"/>
      <c r="IV721" s="770"/>
      <c r="IW721" s="770"/>
      <c r="IX721" s="770"/>
      <c r="IY721" s="770"/>
      <c r="IZ721" s="770"/>
      <c r="JA721" s="770"/>
      <c r="JB721" s="770"/>
      <c r="JC721" s="770"/>
      <c r="JD721" s="302"/>
      <c r="JE721" s="770"/>
      <c r="JF721" s="770"/>
      <c r="JG721" s="770"/>
      <c r="JH721" s="307"/>
      <c r="JI721" s="307"/>
      <c r="JJ721" s="770">
        <v>1</v>
      </c>
      <c r="JK721" s="770" t="s">
        <v>4704</v>
      </c>
      <c r="JL721" s="770"/>
      <c r="JM721" s="770"/>
      <c r="JN721" s="770">
        <v>1</v>
      </c>
      <c r="JO721" s="770"/>
      <c r="JP721" s="770"/>
      <c r="JQ721" s="770"/>
      <c r="JR721" s="770"/>
      <c r="JS721" s="770"/>
      <c r="JT721" s="766">
        <f t="shared" si="226"/>
        <v>1</v>
      </c>
      <c r="JU721" s="766">
        <f t="shared" si="226"/>
        <v>0</v>
      </c>
      <c r="JV721" s="766"/>
      <c r="JW721" s="766"/>
      <c r="JX721" s="770"/>
      <c r="JY721" s="770"/>
      <c r="JZ721" s="770"/>
      <c r="KA721" s="770"/>
      <c r="KB721" s="770">
        <v>1</v>
      </c>
      <c r="KC721" s="770"/>
      <c r="KD721" s="770"/>
      <c r="KE721" s="770"/>
      <c r="KF721" s="770"/>
      <c r="KG721" s="770"/>
      <c r="KH721" s="770"/>
      <c r="KI721" s="770"/>
      <c r="KJ721" s="770">
        <f t="shared" si="225"/>
        <v>1</v>
      </c>
      <c r="KK721" s="770">
        <f t="shared" si="225"/>
        <v>0</v>
      </c>
      <c r="KL721" s="770"/>
      <c r="KM721" s="770"/>
      <c r="KN721" s="770" t="s">
        <v>768</v>
      </c>
      <c r="KO721" s="770"/>
      <c r="KP721" s="770"/>
      <c r="KQ721" s="770"/>
      <c r="KR721" s="770"/>
      <c r="KS721" s="770"/>
      <c r="KT721" s="770"/>
      <c r="KU721" s="770"/>
      <c r="KV721" s="770"/>
      <c r="KW721" s="770"/>
      <c r="KX721" s="770"/>
      <c r="KY721" s="770"/>
      <c r="KZ721" s="770"/>
      <c r="LA721" s="770"/>
      <c r="LB721" s="770"/>
      <c r="LC721" s="770"/>
      <c r="LD721" s="770">
        <v>1</v>
      </c>
      <c r="LE721" s="770"/>
      <c r="LF721" s="770"/>
      <c r="LG721" s="770"/>
      <c r="LH721" s="770"/>
      <c r="LI721" s="770"/>
      <c r="LJ721" s="770"/>
      <c r="LK721" s="770"/>
      <c r="LL721" s="770"/>
      <c r="LM721" s="770"/>
      <c r="LN721" s="766">
        <f t="shared" si="209"/>
        <v>1</v>
      </c>
      <c r="LO721" s="766">
        <f t="shared" si="209"/>
        <v>0</v>
      </c>
      <c r="LP721" s="770">
        <v>1</v>
      </c>
      <c r="LQ721" s="770">
        <v>1</v>
      </c>
      <c r="LR721" s="770"/>
      <c r="LS721" s="770"/>
      <c r="LT721" s="770"/>
      <c r="LU721" s="770">
        <v>1</v>
      </c>
      <c r="LV721" s="770"/>
      <c r="LW721" s="770"/>
      <c r="LX721" s="769">
        <v>3</v>
      </c>
      <c r="LY721" s="766" t="str">
        <f t="shared" si="210"/>
        <v>within the PROVINCE</v>
      </c>
      <c r="LZ721" s="1709"/>
      <c r="MA721" s="1709"/>
      <c r="MB721" s="1709"/>
      <c r="MC721" s="1679">
        <f t="shared" si="208"/>
        <v>0</v>
      </c>
      <c r="MD721" s="1709">
        <v>14430</v>
      </c>
      <c r="ME721" s="1709"/>
      <c r="MF721" s="1709"/>
      <c r="MG721" s="1680">
        <f t="shared" si="216"/>
        <v>14430</v>
      </c>
      <c r="MH721" s="770" t="s">
        <v>3337</v>
      </c>
      <c r="MI721" s="302">
        <v>6000</v>
      </c>
      <c r="MJ721" s="302"/>
      <c r="MK721" s="302">
        <v>1000</v>
      </c>
      <c r="ML721" s="302"/>
      <c r="MM721" s="302"/>
      <c r="MN721" s="302"/>
      <c r="MO721" s="302">
        <v>300</v>
      </c>
      <c r="MP721" s="302">
        <v>500</v>
      </c>
      <c r="MQ721" s="302">
        <v>170</v>
      </c>
      <c r="MR721" s="302">
        <v>500</v>
      </c>
      <c r="MS721" s="302">
        <v>5000</v>
      </c>
      <c r="MT721" s="302"/>
      <c r="MU721" s="302"/>
      <c r="MV721" s="302"/>
      <c r="MW721" s="302"/>
      <c r="MX721" s="302"/>
      <c r="MY721" s="1682">
        <f t="shared" si="217"/>
        <v>13470</v>
      </c>
      <c r="MZ721" s="770" t="s">
        <v>13395</v>
      </c>
      <c r="NA721" s="770" t="s">
        <v>13005</v>
      </c>
      <c r="NB721" s="770" t="s">
        <v>13016</v>
      </c>
      <c r="NC721" s="770" t="s">
        <v>13602</v>
      </c>
      <c r="ND721" s="770">
        <v>0</v>
      </c>
      <c r="NE721" s="770">
        <v>1</v>
      </c>
      <c r="NF721" s="770">
        <v>0</v>
      </c>
      <c r="NG721" s="770">
        <v>2</v>
      </c>
      <c r="NH721" s="770">
        <v>1</v>
      </c>
      <c r="NI721" s="770">
        <v>1</v>
      </c>
      <c r="NJ721" s="770">
        <v>1</v>
      </c>
      <c r="NK721" s="770">
        <v>0</v>
      </c>
      <c r="NL721" s="770">
        <v>0</v>
      </c>
      <c r="NM721" s="770">
        <v>1</v>
      </c>
      <c r="NN721" s="770">
        <v>0</v>
      </c>
      <c r="NO721" s="770">
        <v>0</v>
      </c>
      <c r="NP721" s="770">
        <v>0</v>
      </c>
      <c r="NQ721" s="770">
        <v>0</v>
      </c>
      <c r="NR721" s="770">
        <v>0</v>
      </c>
      <c r="NS721" s="770">
        <v>0</v>
      </c>
      <c r="NT721" s="770">
        <v>0</v>
      </c>
      <c r="NU721" s="770">
        <v>0</v>
      </c>
      <c r="NV721" s="770">
        <v>0</v>
      </c>
      <c r="NW721" s="770">
        <v>0</v>
      </c>
      <c r="NX721" s="770">
        <v>0</v>
      </c>
      <c r="NY721" s="770"/>
      <c r="NZ721" s="770"/>
      <c r="OA721" s="770"/>
      <c r="OB721" s="770"/>
      <c r="OC721" s="770"/>
      <c r="OD721" s="770"/>
      <c r="OE721" s="770"/>
      <c r="OF721" s="770"/>
      <c r="OG721" s="770"/>
      <c r="OH721" s="770"/>
      <c r="OI721" s="770"/>
      <c r="OJ721" s="770"/>
      <c r="OK721" s="770"/>
      <c r="OL721" s="770"/>
      <c r="OM721" s="770"/>
      <c r="ON721" s="770"/>
      <c r="OO721" s="770"/>
      <c r="OP721" s="770"/>
      <c r="OQ721" s="770"/>
      <c r="OR721" s="770"/>
      <c r="OS721" s="770"/>
      <c r="OT721" s="770"/>
      <c r="OU721" s="770"/>
      <c r="OV721" s="770"/>
      <c r="OW721" s="770"/>
      <c r="OX721" s="770"/>
      <c r="OY721" s="770"/>
      <c r="OZ721" s="770"/>
      <c r="PA721" s="770"/>
      <c r="PB721" s="770"/>
      <c r="PC721" s="770"/>
      <c r="PD721" s="770"/>
      <c r="PE721" s="770"/>
      <c r="PF721" s="770"/>
      <c r="PG721" s="770"/>
      <c r="PH721" s="770"/>
      <c r="PI721" s="770"/>
      <c r="PJ721" s="770"/>
      <c r="PK721" s="770" t="s">
        <v>1208</v>
      </c>
      <c r="PL721" s="770"/>
      <c r="PM721" s="770"/>
      <c r="PN721" s="770"/>
      <c r="PO721" s="770"/>
      <c r="PP721" s="770"/>
      <c r="PQ721" s="770"/>
      <c r="PR721" s="770"/>
      <c r="PS721" s="770"/>
      <c r="PT721" s="770"/>
      <c r="PU721" s="770"/>
      <c r="PV721" s="770"/>
      <c r="PW721" s="770"/>
      <c r="PX721" s="770"/>
      <c r="PY721" s="770"/>
      <c r="PZ721" s="770"/>
      <c r="QA721" s="770"/>
      <c r="QB721" s="770"/>
      <c r="QC721" s="770"/>
      <c r="QD721" s="770"/>
      <c r="QE721" s="770"/>
      <c r="QF721" s="770"/>
      <c r="QG721" s="770"/>
      <c r="QH721" s="770"/>
      <c r="QI721" s="770"/>
      <c r="QJ721" s="770"/>
      <c r="QK721" s="770"/>
      <c r="QL721" s="770"/>
      <c r="QM721" s="770"/>
      <c r="QN721" s="770"/>
      <c r="QO721" s="770"/>
      <c r="QP721" s="770"/>
      <c r="QQ721" s="770"/>
      <c r="QR721" s="770"/>
      <c r="QS721" s="770"/>
      <c r="QT721" s="770"/>
      <c r="QU721" s="770"/>
      <c r="QV721" s="770"/>
      <c r="QW721" s="770"/>
      <c r="QX721" s="770"/>
      <c r="QY721" s="770"/>
      <c r="QZ721" s="770"/>
      <c r="RA721" s="770"/>
      <c r="RB721" s="770" t="s">
        <v>1214</v>
      </c>
      <c r="RC721" s="770"/>
      <c r="RD721" s="770"/>
      <c r="RE721" s="770"/>
      <c r="RF721" s="12"/>
      <c r="RG721" s="12"/>
      <c r="RH721" s="1728"/>
      <c r="RI721" s="12"/>
      <c r="RJ721" s="94" t="s">
        <v>13949</v>
      </c>
      <c r="RK721" s="770" t="s">
        <v>13556</v>
      </c>
      <c r="RL721" s="1710">
        <v>42845</v>
      </c>
      <c r="RM721" s="12"/>
      <c r="RN721" s="1711"/>
      <c r="RO721" s="149" t="s">
        <v>4699</v>
      </c>
      <c r="RP721" s="11"/>
      <c r="RQ721" s="11"/>
      <c r="RR721" s="17"/>
      <c r="RS721" s="767"/>
      <c r="RT721" s="11"/>
      <c r="RU721" s="11"/>
      <c r="RV721" s="771" t="s">
        <v>7419</v>
      </c>
      <c r="RW721" s="11" t="s">
        <v>8030</v>
      </c>
      <c r="RX721" s="11" t="s">
        <v>4683</v>
      </c>
      <c r="RY721" s="11"/>
      <c r="RZ721" s="11" t="s">
        <v>2209</v>
      </c>
      <c r="SA721" s="771"/>
      <c r="SB721" s="11"/>
      <c r="SC721" s="11"/>
    </row>
    <row r="722" spans="1:497" ht="12.75" customHeight="1">
      <c r="A722" s="19" t="s">
        <v>7421</v>
      </c>
      <c r="B722" s="292" t="s">
        <v>7443</v>
      </c>
      <c r="C722" s="149" t="s">
        <v>4705</v>
      </c>
      <c r="D722" s="94" t="s">
        <v>4707</v>
      </c>
      <c r="E722" s="766" t="s">
        <v>4715</v>
      </c>
      <c r="F722" s="770" t="s">
        <v>28</v>
      </c>
      <c r="G722" s="770" t="s">
        <v>18</v>
      </c>
      <c r="H722" s="12"/>
      <c r="I722" s="295" t="s">
        <v>4709</v>
      </c>
      <c r="J722" s="94" t="s">
        <v>4707</v>
      </c>
      <c r="K722" s="766" t="s">
        <v>4710</v>
      </c>
      <c r="L722" s="766" t="s">
        <v>4711</v>
      </c>
      <c r="M722" s="770" t="s">
        <v>1238</v>
      </c>
      <c r="N722" s="1757" t="s">
        <v>7238</v>
      </c>
      <c r="O722" s="1757" t="s">
        <v>7233</v>
      </c>
      <c r="P722" s="94" t="s">
        <v>4712</v>
      </c>
      <c r="Q722" s="1088">
        <v>17483</v>
      </c>
      <c r="R722" s="297">
        <v>70</v>
      </c>
      <c r="S722" s="770" t="s">
        <v>18</v>
      </c>
      <c r="T722" s="770"/>
      <c r="U722" s="295" t="s">
        <v>4709</v>
      </c>
      <c r="V722" s="770" t="s">
        <v>707</v>
      </c>
      <c r="W722" s="770"/>
      <c r="X722" s="770"/>
      <c r="Y722" s="770" t="s">
        <v>4708</v>
      </c>
      <c r="Z722" s="770" t="s">
        <v>708</v>
      </c>
      <c r="AA722" s="770" t="s">
        <v>709</v>
      </c>
      <c r="AB722" s="770" t="s">
        <v>710</v>
      </c>
      <c r="AC722" s="770"/>
      <c r="AD722" s="770" t="s">
        <v>711</v>
      </c>
      <c r="AE722" s="770"/>
      <c r="AF722" s="770" t="s">
        <v>712</v>
      </c>
      <c r="AG722" s="766" t="s">
        <v>1132</v>
      </c>
      <c r="AH722" s="766" t="s">
        <v>1096</v>
      </c>
      <c r="AI722" s="770"/>
      <c r="AJ722" s="770" t="s">
        <v>1137</v>
      </c>
      <c r="AK722" s="770" t="s">
        <v>1101</v>
      </c>
      <c r="AL722" s="531">
        <v>24.84</v>
      </c>
      <c r="AM722" s="780">
        <v>13.22</v>
      </c>
      <c r="AN722" s="532">
        <f t="shared" si="224"/>
        <v>0.53220611916264093</v>
      </c>
      <c r="AO722" s="766" t="s">
        <v>1105</v>
      </c>
      <c r="AP722" s="766"/>
      <c r="AQ722" s="766"/>
      <c r="AR722" s="766"/>
      <c r="AS722" s="770"/>
      <c r="AT722" s="770"/>
      <c r="AU722" s="770"/>
      <c r="AV722" s="770"/>
      <c r="AW722" s="770"/>
      <c r="AX722" s="770"/>
      <c r="AY722" s="770"/>
      <c r="AZ722" s="770"/>
      <c r="BA722" s="770"/>
      <c r="BB722" s="770"/>
      <c r="BC722" s="770"/>
      <c r="BD722" s="770"/>
      <c r="BE722" s="770"/>
      <c r="BF722" s="302"/>
      <c r="BG722" s="302"/>
      <c r="BH722" s="770"/>
      <c r="BI722" s="770"/>
      <c r="BJ722" s="770"/>
      <c r="BK722" s="766" t="s">
        <v>1095</v>
      </c>
      <c r="BL722" s="766" t="s">
        <v>4713</v>
      </c>
      <c r="BM722" s="766" t="s">
        <v>1096</v>
      </c>
      <c r="BN722" s="766" t="s">
        <v>1230</v>
      </c>
      <c r="BO722" s="766" t="s">
        <v>1239</v>
      </c>
      <c r="BP722" s="1109">
        <v>38.07</v>
      </c>
      <c r="BQ722" s="773">
        <v>18.13</v>
      </c>
      <c r="BR722" s="774">
        <f t="shared" si="215"/>
        <v>0.47622800105069607</v>
      </c>
      <c r="BS722" s="766" t="s">
        <v>1149</v>
      </c>
      <c r="BT722" s="766" t="s">
        <v>8133</v>
      </c>
      <c r="BU722" s="770" t="s">
        <v>1249</v>
      </c>
      <c r="BV722" s="770" t="s">
        <v>1247</v>
      </c>
      <c r="BW722" s="769"/>
      <c r="BX722" s="302"/>
      <c r="BY722" s="770"/>
      <c r="BZ722" s="302"/>
      <c r="CA722" s="770"/>
      <c r="CB722" s="770"/>
      <c r="CC722" s="770"/>
      <c r="CD722" s="770"/>
      <c r="CE722" s="302"/>
      <c r="CF722" s="304"/>
      <c r="CG722" s="321"/>
      <c r="CH722" s="770"/>
      <c r="CI722" s="770"/>
      <c r="CJ722" s="770"/>
      <c r="CK722" s="770"/>
      <c r="CL722" s="770"/>
      <c r="CM722" s="770"/>
      <c r="CN722" s="770"/>
      <c r="CO722" s="770"/>
      <c r="CP722" s="770"/>
      <c r="CQ722" s="770"/>
      <c r="CR722" s="302"/>
      <c r="CS722" s="770"/>
      <c r="CT722" s="770"/>
      <c r="CU722" s="305"/>
      <c r="CV722" s="770"/>
      <c r="CW722" s="770"/>
      <c r="CX722" s="770"/>
      <c r="CY722" s="770"/>
      <c r="CZ722" s="770"/>
      <c r="DA722" s="306"/>
      <c r="DB722" s="770"/>
      <c r="DC722" s="770"/>
      <c r="DD722" s="770"/>
      <c r="DE722" s="300"/>
      <c r="DF722" s="770"/>
      <c r="DG722" s="770"/>
      <c r="DH722" s="770"/>
      <c r="DI722" s="770"/>
      <c r="DJ722" s="770"/>
      <c r="DK722" s="770"/>
      <c r="DL722" s="770"/>
      <c r="DM722" s="770"/>
      <c r="DN722" s="322"/>
      <c r="DO722" s="770"/>
      <c r="DP722" s="770"/>
      <c r="DQ722" s="770"/>
      <c r="DR722" s="770"/>
      <c r="DS722" s="307"/>
      <c r="DT722" s="770"/>
      <c r="DU722" s="770"/>
      <c r="DV722" s="770"/>
      <c r="DW722" s="306"/>
      <c r="DX722" s="306"/>
      <c r="DY722" s="1055"/>
      <c r="DZ722" s="770"/>
      <c r="EA722" s="770"/>
      <c r="EB722" s="770"/>
      <c r="EC722" s="770"/>
      <c r="ED722" s="770"/>
      <c r="EE722" s="770"/>
      <c r="EF722" s="770"/>
      <c r="EG722" s="770"/>
      <c r="EH722" s="770"/>
      <c r="EI722" s="770"/>
      <c r="EJ722" s="770"/>
      <c r="EK722" s="770"/>
      <c r="EL722" s="770"/>
      <c r="EM722" s="770"/>
      <c r="EN722" s="770"/>
      <c r="EO722" s="770"/>
      <c r="EP722" s="94"/>
      <c r="EQ722" s="770"/>
      <c r="ER722" s="770"/>
      <c r="ES722" s="770"/>
      <c r="ET722" s="770"/>
      <c r="EU722" s="770"/>
      <c r="EV722" s="770"/>
      <c r="EW722" s="770"/>
      <c r="EX722" s="770"/>
      <c r="EY722" s="770"/>
      <c r="EZ722" s="770"/>
      <c r="FA722" s="770"/>
      <c r="FB722" s="770"/>
      <c r="FC722" s="770"/>
      <c r="FD722" s="302"/>
      <c r="FE722" s="770"/>
      <c r="FF722" s="770"/>
      <c r="FG722" s="770"/>
      <c r="FH722" s="770" t="s">
        <v>478</v>
      </c>
      <c r="FI722" s="770">
        <v>1</v>
      </c>
      <c r="FJ722" s="770"/>
      <c r="FK722" s="770"/>
      <c r="FL722" s="770"/>
      <c r="FM722" s="302"/>
      <c r="FN722" s="302"/>
      <c r="FO722" s="302"/>
      <c r="FP722" s="766" t="s">
        <v>1602</v>
      </c>
      <c r="FQ722" s="766" t="s">
        <v>1660</v>
      </c>
      <c r="FR722" s="770" t="s">
        <v>1214</v>
      </c>
      <c r="FS722" s="770"/>
      <c r="FT722" s="770"/>
      <c r="FU722" s="770"/>
      <c r="FV722" s="770"/>
      <c r="FW722" s="770"/>
      <c r="FX722" s="770"/>
      <c r="FY722" s="770"/>
      <c r="FZ722" s="770"/>
      <c r="GA722" s="770"/>
      <c r="GB722" s="770"/>
      <c r="GC722" s="308"/>
      <c r="GD722" s="297"/>
      <c r="GE722" s="770" t="s">
        <v>1214</v>
      </c>
      <c r="GF722" s="302"/>
      <c r="GG722" s="302"/>
      <c r="GH722" s="712" t="s">
        <v>3650</v>
      </c>
      <c r="GI722" s="770"/>
      <c r="GJ722" s="770"/>
      <c r="GK722" s="770"/>
      <c r="GL722" s="770"/>
      <c r="GM722" s="770"/>
      <c r="GN722" s="299"/>
      <c r="GO722" s="770"/>
      <c r="GP722" s="770"/>
      <c r="GQ722" s="770"/>
      <c r="GR722" s="770"/>
      <c r="GS722" s="770"/>
      <c r="GT722" s="770"/>
      <c r="GU722" s="770"/>
      <c r="GV722" s="770"/>
      <c r="GW722" s="770"/>
      <c r="GX722" s="770"/>
      <c r="GY722" s="770"/>
      <c r="GZ722" s="770"/>
      <c r="HA722" s="770"/>
      <c r="HB722" s="770"/>
      <c r="HC722" s="770"/>
      <c r="HD722" s="770"/>
      <c r="HE722" s="770"/>
      <c r="HF722" s="770"/>
      <c r="HG722" s="770"/>
      <c r="HH722" s="770"/>
      <c r="HI722" s="770"/>
      <c r="HJ722" s="770"/>
      <c r="HK722" s="770"/>
      <c r="HL722" s="770"/>
      <c r="HM722" s="770"/>
      <c r="HN722" s="770"/>
      <c r="HO722" s="770"/>
      <c r="HP722" s="770"/>
      <c r="HQ722" s="770"/>
      <c r="HR722" s="770"/>
      <c r="HS722" s="770"/>
      <c r="HT722" s="770"/>
      <c r="HU722" s="770"/>
      <c r="HV722" s="770"/>
      <c r="HW722" s="770"/>
      <c r="HX722" s="770"/>
      <c r="HY722" s="770"/>
      <c r="HZ722" s="770"/>
      <c r="IA722" s="770"/>
      <c r="IB722" s="14" t="e">
        <f>IF(#REF!&gt;0,IF(#REF!&lt;=10000,"Y",""),"")</f>
        <v>#REF!</v>
      </c>
      <c r="IC722" s="770" t="s">
        <v>1207</v>
      </c>
      <c r="ID722" s="770">
        <v>2</v>
      </c>
      <c r="IE722" s="770"/>
      <c r="IF722" s="1828" t="s">
        <v>4707</v>
      </c>
      <c r="IG722" s="770" t="s">
        <v>18</v>
      </c>
      <c r="IH722" s="770" t="s">
        <v>478</v>
      </c>
      <c r="II722" s="770" t="s">
        <v>4708</v>
      </c>
      <c r="IJ722" s="770" t="s">
        <v>1835</v>
      </c>
      <c r="IK722" s="770" t="s">
        <v>2639</v>
      </c>
      <c r="IL722" s="770" t="s">
        <v>4706</v>
      </c>
      <c r="IM722" s="770" t="s">
        <v>2769</v>
      </c>
      <c r="IN722" s="770" t="s">
        <v>4706</v>
      </c>
      <c r="IO722" s="296">
        <v>17483</v>
      </c>
      <c r="IP722" s="770" t="s">
        <v>478</v>
      </c>
      <c r="IQ722" s="13" t="s">
        <v>1898</v>
      </c>
      <c r="IR722" s="770" t="s">
        <v>2716</v>
      </c>
      <c r="IS722" s="770" t="s">
        <v>1883</v>
      </c>
      <c r="IT722" s="770"/>
      <c r="IU722" s="770" t="s">
        <v>1208</v>
      </c>
      <c r="IV722" s="770"/>
      <c r="IW722" s="770" t="s">
        <v>13950</v>
      </c>
      <c r="IX722" s="770"/>
      <c r="IY722" s="770" t="s">
        <v>4709</v>
      </c>
      <c r="IZ722" s="770"/>
      <c r="JA722" s="770" t="s">
        <v>1880</v>
      </c>
      <c r="JB722" s="770" t="s">
        <v>1901</v>
      </c>
      <c r="JC722" s="770"/>
      <c r="JD722" s="302">
        <v>6000</v>
      </c>
      <c r="JE722" s="770"/>
      <c r="JF722" s="770"/>
      <c r="JG722" s="770"/>
      <c r="JH722" s="307"/>
      <c r="JI722" s="712" t="str">
        <f>IF(SUM(JT722,JU722)=JJ722,"ok","review")</f>
        <v>ok</v>
      </c>
      <c r="JJ722" s="770">
        <v>2</v>
      </c>
      <c r="JK722" s="1139" t="s">
        <v>4706</v>
      </c>
      <c r="JL722" s="770"/>
      <c r="JM722" s="770"/>
      <c r="JN722" s="770"/>
      <c r="JO722" s="770"/>
      <c r="JP722" s="770">
        <v>1</v>
      </c>
      <c r="JQ722" s="770">
        <v>1</v>
      </c>
      <c r="JR722" s="770"/>
      <c r="JS722" s="770"/>
      <c r="JT722" s="766">
        <f t="shared" si="226"/>
        <v>1</v>
      </c>
      <c r="JU722" s="766">
        <f t="shared" si="226"/>
        <v>1</v>
      </c>
      <c r="JV722" s="712" t="str">
        <f>IF(JT722=KJ722,"ok","male")</f>
        <v>ok</v>
      </c>
      <c r="JW722" s="712" t="str">
        <f>IF(JU722=KK722,"ok","female")</f>
        <v>ok</v>
      </c>
      <c r="JX722" s="770"/>
      <c r="JY722" s="770"/>
      <c r="JZ722" s="770"/>
      <c r="KA722" s="770"/>
      <c r="KB722" s="770"/>
      <c r="KC722" s="770"/>
      <c r="KD722" s="770"/>
      <c r="KE722" s="770"/>
      <c r="KF722" s="770">
        <v>1</v>
      </c>
      <c r="KG722" s="770">
        <v>1</v>
      </c>
      <c r="KH722" s="770"/>
      <c r="KI722" s="770"/>
      <c r="KJ722" s="770">
        <f t="shared" si="225"/>
        <v>1</v>
      </c>
      <c r="KK722" s="770">
        <f t="shared" si="225"/>
        <v>1</v>
      </c>
      <c r="KL722" s="712" t="str">
        <f>IF(KJ722=LN722,"ok","male")</f>
        <v>ok</v>
      </c>
      <c r="KM722" s="712" t="str">
        <f>IF(KK722=LO722,"ok","female")</f>
        <v>ok</v>
      </c>
      <c r="KN722" s="770" t="s">
        <v>707</v>
      </c>
      <c r="KO722" s="770"/>
      <c r="KP722" s="770"/>
      <c r="KQ722" s="770"/>
      <c r="KR722" s="770"/>
      <c r="KS722" s="770"/>
      <c r="KT722" s="770"/>
      <c r="KU722" s="770"/>
      <c r="KV722" s="770"/>
      <c r="KW722" s="770"/>
      <c r="KX722" s="770"/>
      <c r="KY722" s="770"/>
      <c r="KZ722" s="770"/>
      <c r="LA722" s="770"/>
      <c r="LB722" s="770"/>
      <c r="LC722" s="770"/>
      <c r="LD722" s="770">
        <v>1</v>
      </c>
      <c r="LE722" s="770">
        <v>1</v>
      </c>
      <c r="LF722" s="770"/>
      <c r="LG722" s="770"/>
      <c r="LH722" s="770"/>
      <c r="LI722" s="770"/>
      <c r="LJ722" s="770"/>
      <c r="LK722" s="770"/>
      <c r="LL722" s="770"/>
      <c r="LM722" s="770"/>
      <c r="LN722" s="766">
        <f t="shared" si="209"/>
        <v>1</v>
      </c>
      <c r="LO722" s="766">
        <f t="shared" si="209"/>
        <v>1</v>
      </c>
      <c r="LP722" s="770">
        <v>1</v>
      </c>
      <c r="LQ722" s="770"/>
      <c r="LR722" s="770"/>
      <c r="LS722" s="770">
        <v>1</v>
      </c>
      <c r="LT722" s="712" t="str">
        <f>IF(LQ722=SUM(LU722:LW722),"OK","REV")</f>
        <v>OK</v>
      </c>
      <c r="LU722" s="770"/>
      <c r="LV722" s="770"/>
      <c r="LW722" s="770"/>
      <c r="LX722" s="769">
        <v>1</v>
      </c>
      <c r="LY722" s="766" t="str">
        <f t="shared" si="210"/>
        <v>within the BRGY</v>
      </c>
      <c r="LZ722" s="1709"/>
      <c r="MA722" s="1709"/>
      <c r="MB722" s="1709"/>
      <c r="MC722" s="1679">
        <f t="shared" si="208"/>
        <v>0</v>
      </c>
      <c r="MD722" s="1709"/>
      <c r="ME722" s="1709"/>
      <c r="MF722" s="1709">
        <v>6000</v>
      </c>
      <c r="MG722" s="1680">
        <f>SUM(MD722:MF722)</f>
        <v>6000</v>
      </c>
      <c r="MH722" s="770" t="s">
        <v>1928</v>
      </c>
      <c r="MI722" s="302">
        <v>2000</v>
      </c>
      <c r="MJ722" s="302"/>
      <c r="MK722" s="302">
        <v>4000</v>
      </c>
      <c r="ML722" s="302"/>
      <c r="MM722" s="302"/>
      <c r="MN722" s="302"/>
      <c r="MO722" s="302">
        <v>350</v>
      </c>
      <c r="MP722" s="302">
        <v>150</v>
      </c>
      <c r="MQ722" s="302">
        <v>200</v>
      </c>
      <c r="MR722" s="302"/>
      <c r="MS722" s="302"/>
      <c r="MT722" s="302"/>
      <c r="MU722" s="302"/>
      <c r="MV722" s="302"/>
      <c r="MW722" s="302"/>
      <c r="MX722" s="302"/>
      <c r="MY722" s="1682">
        <f t="shared" si="217"/>
        <v>6700</v>
      </c>
      <c r="MZ722" s="770" t="s">
        <v>13370</v>
      </c>
      <c r="NA722" s="770" t="s">
        <v>13230</v>
      </c>
      <c r="NB722" s="770" t="s">
        <v>13016</v>
      </c>
      <c r="NC722" s="770" t="s">
        <v>13602</v>
      </c>
      <c r="ND722" s="770">
        <v>0</v>
      </c>
      <c r="NE722" s="770">
        <v>0</v>
      </c>
      <c r="NF722" s="770">
        <v>0</v>
      </c>
      <c r="NG722" s="770">
        <v>0</v>
      </c>
      <c r="NH722" s="770">
        <v>1</v>
      </c>
      <c r="NI722" s="770">
        <v>1</v>
      </c>
      <c r="NJ722" s="770">
        <v>0</v>
      </c>
      <c r="NK722" s="770">
        <v>0</v>
      </c>
      <c r="NL722" s="770">
        <v>0</v>
      </c>
      <c r="NM722" s="770">
        <v>0</v>
      </c>
      <c r="NN722" s="770">
        <v>0</v>
      </c>
      <c r="NO722" s="770">
        <v>0</v>
      </c>
      <c r="NP722" s="770">
        <v>0</v>
      </c>
      <c r="NQ722" s="770">
        <v>0</v>
      </c>
      <c r="NR722" s="770">
        <v>0</v>
      </c>
      <c r="NS722" s="770">
        <v>0</v>
      </c>
      <c r="NT722" s="770">
        <v>0</v>
      </c>
      <c r="NU722" s="770">
        <v>0</v>
      </c>
      <c r="NV722" s="770">
        <v>0</v>
      </c>
      <c r="NW722" s="770">
        <v>0</v>
      </c>
      <c r="NX722" s="770">
        <v>0</v>
      </c>
      <c r="NY722" s="770" t="s">
        <v>1208</v>
      </c>
      <c r="NZ722" s="770"/>
      <c r="OA722" s="770"/>
      <c r="OB722" s="770" t="s">
        <v>1208</v>
      </c>
      <c r="OC722" s="770" t="s">
        <v>1208</v>
      </c>
      <c r="OD722" s="770" t="s">
        <v>1208</v>
      </c>
      <c r="OE722" s="770"/>
      <c r="OF722" s="1834" t="s">
        <v>13034</v>
      </c>
      <c r="OG722" s="770"/>
      <c r="OH722" s="770"/>
      <c r="OI722" s="770"/>
      <c r="OJ722" s="770"/>
      <c r="OK722" s="1828" t="s">
        <v>1208</v>
      </c>
      <c r="OL722" s="1828" t="s">
        <v>13951</v>
      </c>
      <c r="OM722" s="770" t="s">
        <v>13455</v>
      </c>
      <c r="ON722" s="770" t="s">
        <v>1824</v>
      </c>
      <c r="OO722" s="770" t="s">
        <v>1207</v>
      </c>
      <c r="OP722" s="770"/>
      <c r="OQ722" s="770"/>
      <c r="OR722" s="770"/>
      <c r="OS722" s="770"/>
      <c r="OT722" s="770"/>
      <c r="OU722" s="770"/>
      <c r="OV722" s="770"/>
      <c r="OW722" s="770"/>
      <c r="OX722" s="770"/>
      <c r="OY722" s="770"/>
      <c r="OZ722" s="770"/>
      <c r="PA722" s="770"/>
      <c r="PB722" s="770"/>
      <c r="PC722" s="770"/>
      <c r="PD722" s="770"/>
      <c r="PE722" s="770"/>
      <c r="PF722" s="770"/>
      <c r="PG722" s="770"/>
      <c r="PH722" s="770"/>
      <c r="PI722" s="770"/>
      <c r="PJ722" s="770"/>
      <c r="PK722" s="770"/>
      <c r="PL722" s="770"/>
      <c r="PM722" s="770"/>
      <c r="PN722" s="770"/>
      <c r="PO722" s="770"/>
      <c r="PP722" s="770"/>
      <c r="PQ722" s="770"/>
      <c r="PR722" s="770"/>
      <c r="PS722" s="770"/>
      <c r="PT722" s="770"/>
      <c r="PU722" s="770"/>
      <c r="PV722" s="770"/>
      <c r="PW722" s="770"/>
      <c r="PX722" s="770"/>
      <c r="PY722" s="770"/>
      <c r="PZ722" s="770"/>
      <c r="QA722" s="770"/>
      <c r="QB722" s="770"/>
      <c r="QC722" s="770"/>
      <c r="QD722" s="770"/>
      <c r="QE722" s="770"/>
      <c r="QF722" s="770"/>
      <c r="QG722" s="770"/>
      <c r="QH722" s="770"/>
      <c r="QI722" s="770"/>
      <c r="QJ722" s="770"/>
      <c r="QK722" s="770"/>
      <c r="QL722" s="770"/>
      <c r="QM722" s="770"/>
      <c r="QN722" s="770"/>
      <c r="QO722" s="770"/>
      <c r="QP722" s="770"/>
      <c r="QQ722" s="770"/>
      <c r="QR722" s="770"/>
      <c r="QS722" s="770"/>
      <c r="QT722" s="770"/>
      <c r="QU722" s="770"/>
      <c r="QV722" s="770"/>
      <c r="QW722" s="770"/>
      <c r="QX722" s="770"/>
      <c r="QY722" s="770"/>
      <c r="QZ722" s="770"/>
      <c r="RA722" s="770"/>
      <c r="RB722" s="770" t="s">
        <v>1207</v>
      </c>
      <c r="RC722" s="770">
        <v>2014</v>
      </c>
      <c r="RD722" s="770" t="s">
        <v>13046</v>
      </c>
      <c r="RE722" s="770"/>
      <c r="RF722" s="304">
        <v>0.5</v>
      </c>
      <c r="RG722" s="12" t="s">
        <v>13617</v>
      </c>
      <c r="RH722" s="1728">
        <v>0</v>
      </c>
      <c r="RI722" s="12">
        <v>2</v>
      </c>
      <c r="RJ722" s="94" t="s">
        <v>13952</v>
      </c>
      <c r="RK722" s="12" t="s">
        <v>13552</v>
      </c>
      <c r="RL722" s="1710">
        <v>42845</v>
      </c>
      <c r="RM722" s="12"/>
      <c r="RN722" s="1711"/>
      <c r="RO722" s="149" t="s">
        <v>4705</v>
      </c>
      <c r="RP722" s="11"/>
      <c r="RQ722" s="11"/>
      <c r="RR722" s="19" t="s">
        <v>7421</v>
      </c>
      <c r="RS722" s="1139" t="s">
        <v>12980</v>
      </c>
      <c r="RT722" s="11"/>
      <c r="RU722" s="11"/>
      <c r="RV722" s="771" t="s">
        <v>7419</v>
      </c>
      <c r="RW722" s="11" t="s">
        <v>8031</v>
      </c>
      <c r="RX722" s="11" t="s">
        <v>7221</v>
      </c>
      <c r="RY722" s="11"/>
      <c r="RZ722" s="11" t="s">
        <v>2209</v>
      </c>
      <c r="SA722" s="771"/>
      <c r="SB722" s="11"/>
      <c r="SC722" s="11"/>
    </row>
    <row r="723" spans="1:497" ht="12.75" customHeight="1">
      <c r="A723" s="19" t="s">
        <v>7421</v>
      </c>
      <c r="B723" s="292" t="s">
        <v>8033</v>
      </c>
      <c r="C723" s="149" t="s">
        <v>4714</v>
      </c>
      <c r="D723" s="94" t="s">
        <v>14128</v>
      </c>
      <c r="E723" s="766" t="s">
        <v>4716</v>
      </c>
      <c r="F723" s="770" t="s">
        <v>28</v>
      </c>
      <c r="G723" s="770" t="s">
        <v>18</v>
      </c>
      <c r="H723" s="12"/>
      <c r="I723" s="295" t="s">
        <v>4717</v>
      </c>
      <c r="J723" s="94" t="s">
        <v>14128</v>
      </c>
      <c r="K723" s="766" t="s">
        <v>4710</v>
      </c>
      <c r="L723" s="766" t="s">
        <v>3140</v>
      </c>
      <c r="M723" s="770" t="s">
        <v>1238</v>
      </c>
      <c r="N723" s="1757" t="s">
        <v>7241</v>
      </c>
      <c r="O723" s="1757" t="s">
        <v>7238</v>
      </c>
      <c r="P723" s="94" t="s">
        <v>4718</v>
      </c>
      <c r="Q723" s="1088">
        <v>23901</v>
      </c>
      <c r="R723" s="297">
        <v>52</v>
      </c>
      <c r="S723" s="770" t="s">
        <v>18</v>
      </c>
      <c r="T723" s="770"/>
      <c r="U723" s="295" t="s">
        <v>4717</v>
      </c>
      <c r="V723" s="770" t="s">
        <v>719</v>
      </c>
      <c r="W723" s="770"/>
      <c r="X723" s="770"/>
      <c r="Y723" s="770" t="s">
        <v>4716</v>
      </c>
      <c r="Z723" s="770" t="s">
        <v>708</v>
      </c>
      <c r="AA723" s="12" t="s">
        <v>709</v>
      </c>
      <c r="AB723" s="770" t="s">
        <v>710</v>
      </c>
      <c r="AC723" s="770"/>
      <c r="AD723" s="770" t="s">
        <v>937</v>
      </c>
      <c r="AE723" s="770"/>
      <c r="AF723" s="770" t="s">
        <v>798</v>
      </c>
      <c r="AG723" s="766" t="s">
        <v>1132</v>
      </c>
      <c r="AH723" s="766" t="s">
        <v>1096</v>
      </c>
      <c r="AI723" s="770"/>
      <c r="AJ723" s="770" t="s">
        <v>1137</v>
      </c>
      <c r="AK723" s="770" t="s">
        <v>1101</v>
      </c>
      <c r="AL723" s="531">
        <v>13.58</v>
      </c>
      <c r="AM723" s="780">
        <v>2.8</v>
      </c>
      <c r="AN723" s="532">
        <f t="shared" si="224"/>
        <v>0.20618556701030927</v>
      </c>
      <c r="AO723" s="766" t="s">
        <v>1149</v>
      </c>
      <c r="AP723" s="766"/>
      <c r="AQ723" s="766"/>
      <c r="AR723" s="766"/>
      <c r="AS723" s="770"/>
      <c r="AT723" s="770"/>
      <c r="AU723" s="770"/>
      <c r="AV723" s="770"/>
      <c r="AW723" s="770"/>
      <c r="AX723" s="770"/>
      <c r="AY723" s="770"/>
      <c r="AZ723" s="770"/>
      <c r="BA723" s="770"/>
      <c r="BB723" s="770"/>
      <c r="BC723" s="770"/>
      <c r="BD723" s="770"/>
      <c r="BE723" s="770"/>
      <c r="BF723" s="302"/>
      <c r="BG723" s="302"/>
      <c r="BH723" s="770"/>
      <c r="BI723" s="770"/>
      <c r="BJ723" s="770"/>
      <c r="BK723" s="766" t="s">
        <v>1095</v>
      </c>
      <c r="BL723" s="766" t="s">
        <v>8130</v>
      </c>
      <c r="BM723" s="766" t="s">
        <v>1096</v>
      </c>
      <c r="BN723" s="766" t="s">
        <v>1230</v>
      </c>
      <c r="BO723" s="766" t="s">
        <v>1239</v>
      </c>
      <c r="BP723" s="1109">
        <v>31.08</v>
      </c>
      <c r="BQ723" s="773">
        <v>5.6</v>
      </c>
      <c r="BR723" s="774">
        <f t="shared" si="215"/>
        <v>0.18018018018018017</v>
      </c>
      <c r="BS723" s="766" t="s">
        <v>1242</v>
      </c>
      <c r="BT723" s="766" t="s">
        <v>8133</v>
      </c>
      <c r="BU723" s="770" t="s">
        <v>1249</v>
      </c>
      <c r="BV723" s="770" t="s">
        <v>1247</v>
      </c>
      <c r="BW723" s="770">
        <v>2006</v>
      </c>
      <c r="BX723" s="302">
        <v>1000000</v>
      </c>
      <c r="BY723" s="770" t="s">
        <v>1207</v>
      </c>
      <c r="BZ723" s="302" t="s">
        <v>2769</v>
      </c>
      <c r="CA723" s="770"/>
      <c r="CB723" s="770" t="s">
        <v>1207</v>
      </c>
      <c r="CC723" s="770"/>
      <c r="CD723" s="770"/>
      <c r="CE723" s="302"/>
      <c r="CF723" s="304"/>
      <c r="CG723" s="321"/>
      <c r="CH723" s="770"/>
      <c r="CI723" s="770"/>
      <c r="CJ723" s="770"/>
      <c r="CK723" s="770"/>
      <c r="CL723" s="770"/>
      <c r="CM723" s="770"/>
      <c r="CN723" s="770"/>
      <c r="CO723" s="770"/>
      <c r="CP723" s="770"/>
      <c r="CQ723" s="770"/>
      <c r="CR723" s="302"/>
      <c r="CS723" s="770"/>
      <c r="CT723" s="770"/>
      <c r="CU723" s="305"/>
      <c r="CV723" s="770"/>
      <c r="CW723" s="770"/>
      <c r="CX723" s="770"/>
      <c r="CY723" s="770"/>
      <c r="CZ723" s="770"/>
      <c r="DA723" s="306"/>
      <c r="DB723" s="770"/>
      <c r="DC723" s="770"/>
      <c r="DD723" s="770"/>
      <c r="DE723" s="300"/>
      <c r="DF723" s="770"/>
      <c r="DG723" s="770"/>
      <c r="DH723" s="770"/>
      <c r="DI723" s="770"/>
      <c r="DJ723" s="770"/>
      <c r="DK723" s="770"/>
      <c r="DL723" s="770"/>
      <c r="DM723" s="770"/>
      <c r="DN723" s="322"/>
      <c r="DO723" s="770"/>
      <c r="DP723" s="770"/>
      <c r="DQ723" s="770"/>
      <c r="DR723" s="770"/>
      <c r="DS723" s="307"/>
      <c r="DT723" s="770"/>
      <c r="DU723" s="770"/>
      <c r="DV723" s="770"/>
      <c r="DW723" s="306"/>
      <c r="DX723" s="306"/>
      <c r="DY723" s="1055"/>
      <c r="DZ723" s="770"/>
      <c r="EA723" s="770"/>
      <c r="EB723" s="770"/>
      <c r="EC723" s="770"/>
      <c r="ED723" s="770"/>
      <c r="EE723" s="770"/>
      <c r="EF723" s="770"/>
      <c r="EG723" s="770"/>
      <c r="EH723" s="770"/>
      <c r="EI723" s="770"/>
      <c r="EJ723" s="770"/>
      <c r="EK723" s="770"/>
      <c r="EL723" s="770"/>
      <c r="EM723" s="770"/>
      <c r="EN723" s="770"/>
      <c r="EO723" s="770"/>
      <c r="EP723" s="94"/>
      <c r="EQ723" s="770"/>
      <c r="ER723" s="770"/>
      <c r="ES723" s="770"/>
      <c r="ET723" s="770"/>
      <c r="EU723" s="770"/>
      <c r="EV723" s="770"/>
      <c r="EW723" s="770"/>
      <c r="EX723" s="770"/>
      <c r="EY723" s="770"/>
      <c r="EZ723" s="770" t="s">
        <v>8130</v>
      </c>
      <c r="FA723" s="770" t="s">
        <v>3092</v>
      </c>
      <c r="FB723" s="770" t="s">
        <v>1257</v>
      </c>
      <c r="FC723" s="770">
        <v>2008</v>
      </c>
      <c r="FD723" s="302"/>
      <c r="FE723" s="770"/>
      <c r="FF723" s="770"/>
      <c r="FG723" s="770" t="s">
        <v>4719</v>
      </c>
      <c r="FH723" s="770" t="s">
        <v>478</v>
      </c>
      <c r="FI723" s="770">
        <v>1</v>
      </c>
      <c r="FJ723" s="770"/>
      <c r="FK723" s="770"/>
      <c r="FL723" s="770"/>
      <c r="FM723" s="302"/>
      <c r="FN723" s="302"/>
      <c r="FO723" s="302"/>
      <c r="FP723" s="766" t="s">
        <v>1602</v>
      </c>
      <c r="FQ723" s="766" t="s">
        <v>1660</v>
      </c>
      <c r="FR723" s="770" t="s">
        <v>1214</v>
      </c>
      <c r="FS723" s="770"/>
      <c r="FT723" s="770"/>
      <c r="FU723" s="770"/>
      <c r="FV723" s="770"/>
      <c r="FW723" s="770"/>
      <c r="FX723" s="770"/>
      <c r="FY723" s="770"/>
      <c r="FZ723" s="770"/>
      <c r="GA723" s="770"/>
      <c r="GB723" s="770"/>
      <c r="GC723" s="308"/>
      <c r="GD723" s="297"/>
      <c r="GE723" s="770" t="s">
        <v>1214</v>
      </c>
      <c r="GF723" s="302"/>
      <c r="GG723" s="302"/>
      <c r="GH723" s="770" t="s">
        <v>1791</v>
      </c>
      <c r="GI723" s="770" t="s">
        <v>2352</v>
      </c>
      <c r="GJ723" s="770"/>
      <c r="GK723" s="770" t="s">
        <v>2345</v>
      </c>
      <c r="GL723" s="770"/>
      <c r="GM723" s="770"/>
      <c r="GN723" s="299" t="s">
        <v>2769</v>
      </c>
      <c r="GO723" s="770"/>
      <c r="GP723" s="770" t="s">
        <v>1208</v>
      </c>
      <c r="GQ723" s="770" t="s">
        <v>1208</v>
      </c>
      <c r="GR723" s="770" t="s">
        <v>1208</v>
      </c>
      <c r="GS723" s="770" t="s">
        <v>1208</v>
      </c>
      <c r="GT723" s="770" t="s">
        <v>1208</v>
      </c>
      <c r="GU723" s="770"/>
      <c r="GV723" s="770"/>
      <c r="GW723" s="770" t="s">
        <v>1207</v>
      </c>
      <c r="GX723" s="770"/>
      <c r="GY723" s="770" t="s">
        <v>1208</v>
      </c>
      <c r="GZ723" s="770" t="s">
        <v>1208</v>
      </c>
      <c r="HA723" s="770" t="s">
        <v>1208</v>
      </c>
      <c r="HB723" s="770" t="s">
        <v>1208</v>
      </c>
      <c r="HC723" s="770" t="s">
        <v>1208</v>
      </c>
      <c r="HD723" s="770" t="s">
        <v>1208</v>
      </c>
      <c r="HE723" s="770"/>
      <c r="HF723" s="770"/>
      <c r="HG723" s="770"/>
      <c r="HH723" s="770"/>
      <c r="HI723" s="770" t="s">
        <v>1214</v>
      </c>
      <c r="HJ723" s="770"/>
      <c r="HK723" s="770"/>
      <c r="HL723" s="770" t="s">
        <v>1214</v>
      </c>
      <c r="HM723" s="770"/>
      <c r="HN723" s="770"/>
      <c r="HO723" s="770"/>
      <c r="HP723" s="770"/>
      <c r="HQ723" s="770"/>
      <c r="HR723" s="770">
        <v>1</v>
      </c>
      <c r="HS723" s="770"/>
      <c r="HT723" s="770"/>
      <c r="HU723" s="770"/>
      <c r="HV723" s="770"/>
      <c r="HW723" s="770"/>
      <c r="HX723" s="770"/>
      <c r="HY723" s="770"/>
      <c r="HZ723" s="770"/>
      <c r="IA723" s="770"/>
      <c r="IB723" s="14" t="e">
        <f>IF(#REF!&gt;0,IF(#REF!&lt;=10000,"Y",""),"")</f>
        <v>#REF!</v>
      </c>
      <c r="IC723" s="770"/>
      <c r="ID723" s="770"/>
      <c r="IE723" s="770"/>
      <c r="IF723" s="770"/>
      <c r="IG723" s="770"/>
      <c r="IH723" s="770"/>
      <c r="II723" s="770"/>
      <c r="IJ723" s="770"/>
      <c r="IK723" s="770"/>
      <c r="IL723" s="770"/>
      <c r="IM723" s="770"/>
      <c r="IN723" s="770"/>
      <c r="IO723" s="296"/>
      <c r="IP723" s="770"/>
      <c r="IQ723" s="770"/>
      <c r="IR723" s="770"/>
      <c r="IS723" s="770"/>
      <c r="IT723" s="770"/>
      <c r="IU723" s="770"/>
      <c r="IV723" s="770"/>
      <c r="IW723" s="770"/>
      <c r="IX723" s="770"/>
      <c r="IY723" s="770"/>
      <c r="IZ723" s="770"/>
      <c r="JA723" s="770"/>
      <c r="JB723" s="770"/>
      <c r="JC723" s="770"/>
      <c r="JD723" s="302"/>
      <c r="JE723" s="770"/>
      <c r="JF723" s="770"/>
      <c r="JG723" s="770"/>
      <c r="JH723" s="307"/>
      <c r="JI723" s="307"/>
      <c r="JJ723" s="770">
        <v>11</v>
      </c>
      <c r="JK723" s="1139" t="s">
        <v>13953</v>
      </c>
      <c r="JL723" s="770">
        <v>1</v>
      </c>
      <c r="JM723" s="770">
        <v>1</v>
      </c>
      <c r="JN723" s="770">
        <v>1</v>
      </c>
      <c r="JO723" s="770">
        <v>8</v>
      </c>
      <c r="JP723" s="770"/>
      <c r="JQ723" s="770"/>
      <c r="JR723" s="770"/>
      <c r="JS723" s="770"/>
      <c r="JT723" s="766">
        <f t="shared" si="226"/>
        <v>2</v>
      </c>
      <c r="JU723" s="766">
        <f t="shared" si="226"/>
        <v>9</v>
      </c>
      <c r="JV723" s="712" t="str">
        <f>IF(JT723=KJ723,"ok","male")</f>
        <v>ok</v>
      </c>
      <c r="JW723" s="712" t="str">
        <f>IF(JU723=KK723,"ok","female")</f>
        <v>ok</v>
      </c>
      <c r="JX723" s="770">
        <v>1</v>
      </c>
      <c r="JY723" s="770"/>
      <c r="JZ723" s="770"/>
      <c r="KA723" s="770">
        <v>1</v>
      </c>
      <c r="KB723" s="770">
        <v>1</v>
      </c>
      <c r="KC723" s="770">
        <v>6</v>
      </c>
      <c r="KD723" s="770"/>
      <c r="KE723" s="770">
        <v>1</v>
      </c>
      <c r="KF723" s="770"/>
      <c r="KG723" s="770">
        <v>1</v>
      </c>
      <c r="KH723" s="770"/>
      <c r="KI723" s="770"/>
      <c r="KJ723" s="770">
        <f t="shared" si="225"/>
        <v>2</v>
      </c>
      <c r="KK723" s="770">
        <f t="shared" si="225"/>
        <v>9</v>
      </c>
      <c r="KL723" s="712" t="str">
        <f>IF(KJ723=LN723,"ok","male")</f>
        <v>ok</v>
      </c>
      <c r="KM723" s="712" t="str">
        <f>IF(KK723=LO723,"ok","female")</f>
        <v>ok</v>
      </c>
      <c r="KN723" s="770" t="s">
        <v>719</v>
      </c>
      <c r="KO723" s="770"/>
      <c r="KP723" s="770"/>
      <c r="KQ723" s="770"/>
      <c r="KR723" s="770"/>
      <c r="KS723" s="770"/>
      <c r="KT723" s="770"/>
      <c r="KU723" s="770">
        <v>1</v>
      </c>
      <c r="KV723" s="770"/>
      <c r="KW723" s="770">
        <v>1</v>
      </c>
      <c r="KX723" s="770"/>
      <c r="KY723" s="770"/>
      <c r="KZ723" s="770"/>
      <c r="LA723" s="770">
        <v>2</v>
      </c>
      <c r="LB723" s="770">
        <v>1</v>
      </c>
      <c r="LC723" s="770">
        <v>2</v>
      </c>
      <c r="LD723" s="770"/>
      <c r="LE723" s="770">
        <v>3</v>
      </c>
      <c r="LF723" s="770"/>
      <c r="LG723" s="770"/>
      <c r="LH723" s="770"/>
      <c r="LI723" s="770"/>
      <c r="LJ723" s="770">
        <v>1</v>
      </c>
      <c r="LK723" s="770"/>
      <c r="LL723" s="770"/>
      <c r="LM723" s="770"/>
      <c r="LN723" s="766">
        <f t="shared" si="209"/>
        <v>2</v>
      </c>
      <c r="LO723" s="766">
        <f t="shared" si="209"/>
        <v>9</v>
      </c>
      <c r="LP723" s="770">
        <v>6</v>
      </c>
      <c r="LQ723" s="770">
        <v>4</v>
      </c>
      <c r="LR723" s="770"/>
      <c r="LS723" s="770">
        <v>2</v>
      </c>
      <c r="LT723" s="712" t="str">
        <f>IF(LQ723=SUM(LU723:LW723),"OK","REV")</f>
        <v>OK</v>
      </c>
      <c r="LU723" s="770">
        <v>4</v>
      </c>
      <c r="LV723" s="770"/>
      <c r="LW723" s="770"/>
      <c r="LX723" s="769">
        <v>3</v>
      </c>
      <c r="LY723" s="766" t="str">
        <f t="shared" si="210"/>
        <v>within the PROVINCE</v>
      </c>
      <c r="LZ723" s="1709">
        <f>SUM(50*30,150*30,50*30,80*26)</f>
        <v>9580</v>
      </c>
      <c r="MA723" s="1709"/>
      <c r="MB723" s="1709">
        <f>SUM(180*26,200*26)</f>
        <v>9880</v>
      </c>
      <c r="MC723" s="1679">
        <f t="shared" si="208"/>
        <v>19460</v>
      </c>
      <c r="MD723" s="1709">
        <f>SUM(500*30,500*30,18000,30000)</f>
        <v>78000</v>
      </c>
      <c r="ME723" s="1709"/>
      <c r="MF723" s="1709">
        <f>SUM(24000,20000)</f>
        <v>44000</v>
      </c>
      <c r="MG723" s="1680">
        <f>SUM(MD723:MF723)</f>
        <v>122000</v>
      </c>
      <c r="MH723" s="770" t="s">
        <v>4720</v>
      </c>
      <c r="MI723" s="302">
        <v>12000</v>
      </c>
      <c r="MJ723" s="302">
        <v>22800</v>
      </c>
      <c r="MK723" s="302">
        <v>3000</v>
      </c>
      <c r="ML723" s="12">
        <v>5000</v>
      </c>
      <c r="MM723" s="302">
        <v>15000</v>
      </c>
      <c r="MN723" s="302"/>
      <c r="MO723" s="302">
        <v>14000</v>
      </c>
      <c r="MP723" s="302">
        <v>3300</v>
      </c>
      <c r="MQ723" s="302">
        <v>400</v>
      </c>
      <c r="MR723" s="302">
        <v>1500</v>
      </c>
      <c r="MS723" s="302">
        <v>416</v>
      </c>
      <c r="MT723" s="302"/>
      <c r="MU723" s="302"/>
      <c r="MV723" s="302"/>
      <c r="MW723" s="302"/>
      <c r="MX723" s="302"/>
      <c r="MY723" s="1682">
        <f t="shared" si="217"/>
        <v>77416</v>
      </c>
      <c r="MZ723" s="770" t="s">
        <v>13370</v>
      </c>
      <c r="NA723" s="770" t="s">
        <v>13005</v>
      </c>
      <c r="NB723" s="770" t="s">
        <v>13016</v>
      </c>
      <c r="NC723" s="770" t="s">
        <v>13602</v>
      </c>
      <c r="ND723" s="770">
        <v>0</v>
      </c>
      <c r="NE723" s="770">
        <v>4</v>
      </c>
      <c r="NF723" s="770">
        <v>1</v>
      </c>
      <c r="NG723" s="770">
        <v>1</v>
      </c>
      <c r="NH723" s="770">
        <v>1</v>
      </c>
      <c r="NI723" s="770">
        <v>0</v>
      </c>
      <c r="NJ723" s="770">
        <v>1</v>
      </c>
      <c r="NK723" s="770">
        <v>0</v>
      </c>
      <c r="NL723" s="770">
        <v>1</v>
      </c>
      <c r="NM723" s="770">
        <v>1</v>
      </c>
      <c r="NN723" s="770">
        <v>0</v>
      </c>
      <c r="NO723" s="770">
        <v>0</v>
      </c>
      <c r="NP723" s="770">
        <v>0</v>
      </c>
      <c r="NQ723" s="770">
        <v>0</v>
      </c>
      <c r="NR723" s="770">
        <v>0</v>
      </c>
      <c r="NS723" s="770">
        <v>0</v>
      </c>
      <c r="NT723" s="770">
        <v>0</v>
      </c>
      <c r="NU723" s="770">
        <v>0</v>
      </c>
      <c r="NV723" s="770">
        <v>2</v>
      </c>
      <c r="NW723" s="770">
        <v>0</v>
      </c>
      <c r="NX723" s="770">
        <v>0</v>
      </c>
      <c r="NY723" s="770" t="s">
        <v>1208</v>
      </c>
      <c r="NZ723" s="770" t="s">
        <v>1208</v>
      </c>
      <c r="OA723" s="770" t="s">
        <v>1208</v>
      </c>
      <c r="OB723" s="770" t="s">
        <v>1208</v>
      </c>
      <c r="OC723" s="770" t="s">
        <v>1208</v>
      </c>
      <c r="OD723" s="770" t="s">
        <v>1208</v>
      </c>
      <c r="OE723" s="770"/>
      <c r="OF723" s="770"/>
      <c r="OG723" s="770"/>
      <c r="OH723" s="770"/>
      <c r="OI723" s="770"/>
      <c r="OJ723" s="770"/>
      <c r="OK723" s="770"/>
      <c r="OL723" s="770"/>
      <c r="OM723" s="770"/>
      <c r="ON723" s="770"/>
      <c r="OO723" s="770"/>
      <c r="OP723" s="770"/>
      <c r="OQ723" s="770"/>
      <c r="OR723" s="770"/>
      <c r="OS723" s="770"/>
      <c r="OT723" s="770"/>
      <c r="OU723" s="770"/>
      <c r="OV723" s="770"/>
      <c r="OW723" s="770"/>
      <c r="OX723" s="770"/>
      <c r="OY723" s="770"/>
      <c r="OZ723" s="770"/>
      <c r="PA723" s="770"/>
      <c r="PB723" s="770"/>
      <c r="PC723" s="770"/>
      <c r="PD723" s="770"/>
      <c r="PE723" s="770"/>
      <c r="PF723" s="770"/>
      <c r="PG723" s="770"/>
      <c r="PH723" s="770" t="s">
        <v>1208</v>
      </c>
      <c r="PI723" s="770"/>
      <c r="PJ723" s="770"/>
      <c r="PK723" s="770" t="s">
        <v>1208</v>
      </c>
      <c r="PL723" s="770"/>
      <c r="PM723" s="770"/>
      <c r="PN723" s="770"/>
      <c r="PO723" s="770"/>
      <c r="PP723" s="770"/>
      <c r="PQ723" s="770"/>
      <c r="PR723" s="770"/>
      <c r="PS723" s="770" t="s">
        <v>1208</v>
      </c>
      <c r="PT723" s="770" t="s">
        <v>1208</v>
      </c>
      <c r="PU723" s="770"/>
      <c r="PV723" s="770"/>
      <c r="PW723" s="770"/>
      <c r="PX723" s="770"/>
      <c r="PY723" s="770"/>
      <c r="PZ723" s="770"/>
      <c r="QA723" s="770"/>
      <c r="QB723" s="770"/>
      <c r="QC723" s="770"/>
      <c r="QD723" s="770"/>
      <c r="QE723" s="770"/>
      <c r="QF723" s="770"/>
      <c r="QG723" s="770"/>
      <c r="QH723" s="770"/>
      <c r="QI723" s="770"/>
      <c r="QJ723" s="770"/>
      <c r="QK723" s="770"/>
      <c r="QL723" s="770"/>
      <c r="QM723" s="770"/>
      <c r="QN723" s="770"/>
      <c r="QO723" s="770"/>
      <c r="QP723" s="770"/>
      <c r="QQ723" s="770"/>
      <c r="QR723" s="770"/>
      <c r="QS723" s="770"/>
      <c r="QT723" s="770"/>
      <c r="QU723" s="770"/>
      <c r="QV723" s="770"/>
      <c r="QW723" s="770"/>
      <c r="QX723" s="770"/>
      <c r="QY723" s="770"/>
      <c r="QZ723" s="770"/>
      <c r="RA723" s="770"/>
      <c r="RB723" s="770" t="s">
        <v>1214</v>
      </c>
      <c r="RC723" s="770"/>
      <c r="RD723" s="770"/>
      <c r="RE723" s="770"/>
      <c r="RF723" s="12"/>
      <c r="RG723" s="12"/>
      <c r="RH723" s="1728"/>
      <c r="RI723" s="12"/>
      <c r="RJ723" s="94" t="s">
        <v>13954</v>
      </c>
      <c r="RK723" s="12" t="s">
        <v>13552</v>
      </c>
      <c r="RL723" s="1710">
        <v>42845</v>
      </c>
      <c r="RM723" s="12"/>
      <c r="RN723" s="1711"/>
      <c r="RO723" s="149" t="s">
        <v>4714</v>
      </c>
      <c r="RP723" s="11"/>
      <c r="RQ723" s="11"/>
      <c r="RR723" s="19" t="s">
        <v>7421</v>
      </c>
      <c r="RS723" s="1139" t="s">
        <v>12980</v>
      </c>
      <c r="RT723" s="11"/>
      <c r="RU723" s="11"/>
      <c r="RV723" s="771" t="s">
        <v>8106</v>
      </c>
      <c r="RW723" s="11" t="s">
        <v>8032</v>
      </c>
      <c r="RX723" s="11" t="s">
        <v>4699</v>
      </c>
      <c r="RY723" s="11"/>
      <c r="RZ723" s="11" t="s">
        <v>2209</v>
      </c>
      <c r="SA723" s="771"/>
      <c r="SB723" s="11"/>
      <c r="SC723" s="11"/>
    </row>
    <row r="724" spans="1:497" ht="12.75" customHeight="1">
      <c r="A724" s="19" t="s">
        <v>7421</v>
      </c>
      <c r="B724" s="292" t="s">
        <v>7444</v>
      </c>
      <c r="C724" s="149" t="s">
        <v>4721</v>
      </c>
      <c r="D724" s="94" t="s">
        <v>4722</v>
      </c>
      <c r="E724" s="766" t="s">
        <v>4723</v>
      </c>
      <c r="F724" s="770" t="s">
        <v>28</v>
      </c>
      <c r="G724" s="770" t="s">
        <v>10</v>
      </c>
      <c r="H724" s="295" t="s">
        <v>4724</v>
      </c>
      <c r="I724" s="295"/>
      <c r="J724" s="94" t="s">
        <v>4722</v>
      </c>
      <c r="K724" s="766" t="s">
        <v>4725</v>
      </c>
      <c r="L724" s="766" t="s">
        <v>4687</v>
      </c>
      <c r="M724" s="770" t="s">
        <v>1238</v>
      </c>
      <c r="N724" s="1757"/>
      <c r="O724" s="1757" t="s">
        <v>4675</v>
      </c>
      <c r="P724" s="94" t="s">
        <v>4726</v>
      </c>
      <c r="Q724" s="1088">
        <v>18824</v>
      </c>
      <c r="R724" s="297">
        <v>65</v>
      </c>
      <c r="S724" s="770" t="s">
        <v>10</v>
      </c>
      <c r="T724" s="295" t="s">
        <v>4724</v>
      </c>
      <c r="U724" s="298"/>
      <c r="V724" s="770" t="s">
        <v>707</v>
      </c>
      <c r="W724" s="770"/>
      <c r="X724" s="770"/>
      <c r="Y724" s="770" t="s">
        <v>4723</v>
      </c>
      <c r="Z724" s="770" t="s">
        <v>708</v>
      </c>
      <c r="AA724" s="770" t="s">
        <v>709</v>
      </c>
      <c r="AB724" s="770" t="s">
        <v>710</v>
      </c>
      <c r="AC724" s="770"/>
      <c r="AD724" s="770" t="s">
        <v>711</v>
      </c>
      <c r="AE724" s="770"/>
      <c r="AF724" s="770" t="s">
        <v>712</v>
      </c>
      <c r="AG724" s="766" t="s">
        <v>1132</v>
      </c>
      <c r="AH724" s="766" t="s">
        <v>1096</v>
      </c>
      <c r="AI724" s="770"/>
      <c r="AJ724" s="770" t="s">
        <v>1137</v>
      </c>
      <c r="AK724" s="770" t="s">
        <v>1101</v>
      </c>
      <c r="AL724" s="531">
        <v>15.2</v>
      </c>
      <c r="AM724" s="780">
        <v>9.1199999999999992</v>
      </c>
      <c r="AN724" s="532">
        <f t="shared" si="224"/>
        <v>0.6</v>
      </c>
      <c r="AO724" s="766" t="s">
        <v>1105</v>
      </c>
      <c r="AP724" s="766"/>
      <c r="AQ724" s="766"/>
      <c r="AR724" s="766"/>
      <c r="AS724" s="770"/>
      <c r="AT724" s="770"/>
      <c r="AU724" s="770"/>
      <c r="AV724" s="770"/>
      <c r="AW724" s="770"/>
      <c r="AX724" s="770"/>
      <c r="AY724" s="770"/>
      <c r="AZ724" s="770"/>
      <c r="BA724" s="770"/>
      <c r="BB724" s="770"/>
      <c r="BC724" s="770"/>
      <c r="BD724" s="770"/>
      <c r="BE724" s="770"/>
      <c r="BF724" s="302"/>
      <c r="BG724" s="302"/>
      <c r="BH724" s="770"/>
      <c r="BI724" s="770"/>
      <c r="BJ724" s="770"/>
      <c r="BK724" s="766" t="s">
        <v>1095</v>
      </c>
      <c r="BL724" s="766" t="s">
        <v>4727</v>
      </c>
      <c r="BM724" s="766" t="s">
        <v>1096</v>
      </c>
      <c r="BN724" s="766" t="s">
        <v>1230</v>
      </c>
      <c r="BO724" s="766" t="s">
        <v>1239</v>
      </c>
      <c r="BP724" s="1109">
        <v>30.4</v>
      </c>
      <c r="BQ724" s="773">
        <v>18.239999999999998</v>
      </c>
      <c r="BR724" s="774">
        <f t="shared" si="215"/>
        <v>0.6</v>
      </c>
      <c r="BS724" s="766" t="s">
        <v>1105</v>
      </c>
      <c r="BT724" s="766" t="s">
        <v>8133</v>
      </c>
      <c r="BU724" s="770" t="s">
        <v>1249</v>
      </c>
      <c r="BV724" s="770" t="s">
        <v>1247</v>
      </c>
      <c r="BW724" s="770">
        <v>2011</v>
      </c>
      <c r="BX724" s="302">
        <v>200000</v>
      </c>
      <c r="BY724" s="770"/>
      <c r="BZ724" s="302"/>
      <c r="CA724" s="770"/>
      <c r="CB724" s="770"/>
      <c r="CC724" s="770"/>
      <c r="CD724" s="770"/>
      <c r="CE724" s="302"/>
      <c r="CF724" s="304"/>
      <c r="CG724" s="321"/>
      <c r="CH724" s="770"/>
      <c r="CI724" s="770"/>
      <c r="CJ724" s="770"/>
      <c r="CK724" s="770"/>
      <c r="CL724" s="770"/>
      <c r="CM724" s="770"/>
      <c r="CN724" s="770"/>
      <c r="CO724" s="770"/>
      <c r="CP724" s="770"/>
      <c r="CQ724" s="770"/>
      <c r="CR724" s="302"/>
      <c r="CS724" s="770"/>
      <c r="CT724" s="770"/>
      <c r="CU724" s="305"/>
      <c r="CV724" s="770"/>
      <c r="CW724" s="770"/>
      <c r="CX724" s="770"/>
      <c r="CY724" s="770"/>
      <c r="CZ724" s="770"/>
      <c r="DA724" s="306"/>
      <c r="DB724" s="770"/>
      <c r="DC724" s="770"/>
      <c r="DD724" s="770"/>
      <c r="DE724" s="300"/>
      <c r="DF724" s="770"/>
      <c r="DG724" s="770"/>
      <c r="DH724" s="770"/>
      <c r="DI724" s="770"/>
      <c r="DJ724" s="770"/>
      <c r="DK724" s="770"/>
      <c r="DL724" s="770"/>
      <c r="DM724" s="770"/>
      <c r="DN724" s="322"/>
      <c r="DO724" s="770"/>
      <c r="DP724" s="770"/>
      <c r="DQ724" s="770"/>
      <c r="DR724" s="770"/>
      <c r="DS724" s="307"/>
      <c r="DT724" s="770"/>
      <c r="DU724" s="770"/>
      <c r="DV724" s="770"/>
      <c r="DW724" s="306"/>
      <c r="DX724" s="306"/>
      <c r="DY724" s="1055"/>
      <c r="DZ724" s="770"/>
      <c r="EA724" s="770"/>
      <c r="EB724" s="770"/>
      <c r="EC724" s="770"/>
      <c r="ED724" s="770"/>
      <c r="EE724" s="770"/>
      <c r="EF724" s="770"/>
      <c r="EG724" s="770"/>
      <c r="EH724" s="770"/>
      <c r="EI724" s="770"/>
      <c r="EJ724" s="770"/>
      <c r="EK724" s="770"/>
      <c r="EL724" s="770"/>
      <c r="EM724" s="770"/>
      <c r="EN724" s="770"/>
      <c r="EO724" s="770"/>
      <c r="EP724" s="94"/>
      <c r="EQ724" s="770"/>
      <c r="ER724" s="770"/>
      <c r="ES724" s="770"/>
      <c r="ET724" s="770"/>
      <c r="EU724" s="770"/>
      <c r="EV724" s="770"/>
      <c r="EW724" s="770"/>
      <c r="EX724" s="770"/>
      <c r="EY724" s="770"/>
      <c r="EZ724" s="770"/>
      <c r="FA724" s="770"/>
      <c r="FB724" s="770"/>
      <c r="FC724" s="770"/>
      <c r="FD724" s="302"/>
      <c r="FE724" s="770"/>
      <c r="FF724" s="770"/>
      <c r="FG724" s="770"/>
      <c r="FH724" s="770" t="s">
        <v>478</v>
      </c>
      <c r="FI724" s="770">
        <v>1</v>
      </c>
      <c r="FJ724" s="1732" t="s">
        <v>4727</v>
      </c>
      <c r="FK724" s="770" t="s">
        <v>4724</v>
      </c>
      <c r="FL724" s="770" t="s">
        <v>4723</v>
      </c>
      <c r="FM724" s="302"/>
      <c r="FN724" s="302"/>
      <c r="FO724" s="302"/>
      <c r="FP724" s="766" t="s">
        <v>1602</v>
      </c>
      <c r="FQ724" s="766" t="s">
        <v>1660</v>
      </c>
      <c r="FR724" s="770" t="s">
        <v>1214</v>
      </c>
      <c r="FS724" s="770"/>
      <c r="FT724" s="770"/>
      <c r="FU724" s="770"/>
      <c r="FV724" s="770"/>
      <c r="FW724" s="770"/>
      <c r="FX724" s="770"/>
      <c r="FY724" s="770"/>
      <c r="FZ724" s="770"/>
      <c r="GA724" s="770"/>
      <c r="GB724" s="770" t="s">
        <v>1734</v>
      </c>
      <c r="GC724" s="308"/>
      <c r="GD724" s="297"/>
      <c r="GE724" s="770" t="s">
        <v>1214</v>
      </c>
      <c r="GF724" s="302"/>
      <c r="GG724" s="302"/>
      <c r="GH724" s="712" t="s">
        <v>14260</v>
      </c>
      <c r="GI724" s="770"/>
      <c r="GJ724" s="770"/>
      <c r="GK724" s="770"/>
      <c r="GL724" s="770"/>
      <c r="GM724" s="770"/>
      <c r="GN724" s="299"/>
      <c r="GO724" s="770"/>
      <c r="GP724" s="770"/>
      <c r="GQ724" s="770"/>
      <c r="GR724" s="770"/>
      <c r="GS724" s="770"/>
      <c r="GT724" s="770"/>
      <c r="GU724" s="770"/>
      <c r="GV724" s="770"/>
      <c r="GW724" s="770"/>
      <c r="GX724" s="770"/>
      <c r="GY724" s="770"/>
      <c r="GZ724" s="770"/>
      <c r="HA724" s="770"/>
      <c r="HB724" s="770"/>
      <c r="HC724" s="770"/>
      <c r="HD724" s="770"/>
      <c r="HE724" s="770"/>
      <c r="HF724" s="770"/>
      <c r="HG724" s="770"/>
      <c r="HH724" s="770"/>
      <c r="HI724" s="770"/>
      <c r="HJ724" s="770"/>
      <c r="HK724" s="770"/>
      <c r="HL724" s="770"/>
      <c r="HM724" s="770"/>
      <c r="HN724" s="770"/>
      <c r="HO724" s="770"/>
      <c r="HP724" s="770"/>
      <c r="HQ724" s="770"/>
      <c r="HR724" s="770"/>
      <c r="HS724" s="770"/>
      <c r="HT724" s="770"/>
      <c r="HU724" s="770"/>
      <c r="HV724" s="770"/>
      <c r="HW724" s="770"/>
      <c r="HX724" s="770"/>
      <c r="HY724" s="770"/>
      <c r="HZ724" s="770"/>
      <c r="IA724" s="770"/>
      <c r="IB724" s="14" t="e">
        <f>IF(#REF!&gt;0,IF(#REF!&lt;=10000,"Y",""),"")</f>
        <v>#REF!</v>
      </c>
      <c r="IC724" s="770"/>
      <c r="ID724" s="770">
        <v>2</v>
      </c>
      <c r="IE724" s="770">
        <v>1</v>
      </c>
      <c r="IF724" s="770"/>
      <c r="IG724" s="770"/>
      <c r="IH724" s="770"/>
      <c r="II724" s="770"/>
      <c r="IJ724" s="770"/>
      <c r="IK724" s="770"/>
      <c r="IL724" s="770"/>
      <c r="IM724" s="770"/>
      <c r="IN724" s="770"/>
      <c r="IO724" s="296"/>
      <c r="IP724" s="770"/>
      <c r="IQ724" s="770"/>
      <c r="IR724" s="770"/>
      <c r="IS724" s="770"/>
      <c r="IT724" s="770"/>
      <c r="IU724" s="770"/>
      <c r="IV724" s="770"/>
      <c r="IW724" s="770"/>
      <c r="IX724" s="770"/>
      <c r="IY724" s="770"/>
      <c r="IZ724" s="770"/>
      <c r="JA724" s="770"/>
      <c r="JB724" s="770"/>
      <c r="JC724" s="770"/>
      <c r="JD724" s="302"/>
      <c r="JE724" s="770"/>
      <c r="JF724" s="770"/>
      <c r="JG724" s="770"/>
      <c r="JH724" s="307"/>
      <c r="JI724" s="712" t="str">
        <f>IF(SUM(JT724,JU724)=JJ724,"ok","review")</f>
        <v>ok</v>
      </c>
      <c r="JJ724" s="770">
        <v>2</v>
      </c>
      <c r="JK724" s="1139" t="s">
        <v>4728</v>
      </c>
      <c r="JL724" s="770"/>
      <c r="JM724" s="770"/>
      <c r="JN724" s="770"/>
      <c r="JO724" s="770">
        <v>1</v>
      </c>
      <c r="JP724" s="770">
        <v>1</v>
      </c>
      <c r="JQ724" s="770"/>
      <c r="JR724" s="770"/>
      <c r="JS724" s="770"/>
      <c r="JT724" s="766">
        <f t="shared" si="226"/>
        <v>1</v>
      </c>
      <c r="JU724" s="766">
        <f t="shared" si="226"/>
        <v>1</v>
      </c>
      <c r="JV724" s="712" t="str">
        <f>IF(JT724=KJ724,"ok","male")</f>
        <v>ok</v>
      </c>
      <c r="JW724" s="712" t="str">
        <f>IF(JU724=KK724,"ok","female")</f>
        <v>ok</v>
      </c>
      <c r="JX724" s="770"/>
      <c r="JY724" s="770"/>
      <c r="JZ724" s="770"/>
      <c r="KA724" s="770"/>
      <c r="KB724" s="770"/>
      <c r="KC724" s="770"/>
      <c r="KD724" s="770"/>
      <c r="KE724" s="770"/>
      <c r="KF724" s="770">
        <v>1</v>
      </c>
      <c r="KG724" s="770">
        <v>1</v>
      </c>
      <c r="KH724" s="770"/>
      <c r="KI724" s="770"/>
      <c r="KJ724" s="770">
        <f t="shared" si="225"/>
        <v>1</v>
      </c>
      <c r="KK724" s="770">
        <f t="shared" si="225"/>
        <v>1</v>
      </c>
      <c r="KL724" s="712" t="str">
        <f>IF(KJ724=LN724,"ok","male")</f>
        <v>ok</v>
      </c>
      <c r="KM724" s="712" t="str">
        <f>IF(KK724=LO724,"ok","female")</f>
        <v>ok</v>
      </c>
      <c r="KN724" s="770" t="s">
        <v>707</v>
      </c>
      <c r="KO724" s="770"/>
      <c r="KP724" s="770"/>
      <c r="KQ724" s="770"/>
      <c r="KR724" s="770"/>
      <c r="KS724" s="770"/>
      <c r="KT724" s="770"/>
      <c r="KU724" s="770"/>
      <c r="KV724" s="770"/>
      <c r="KW724" s="770"/>
      <c r="KX724" s="770"/>
      <c r="KY724" s="770"/>
      <c r="KZ724" s="770">
        <v>1</v>
      </c>
      <c r="LA724" s="770">
        <v>1</v>
      </c>
      <c r="LB724" s="770"/>
      <c r="LC724" s="770"/>
      <c r="LD724" s="770"/>
      <c r="LE724" s="770"/>
      <c r="LF724" s="770"/>
      <c r="LG724" s="770"/>
      <c r="LH724" s="770"/>
      <c r="LI724" s="770"/>
      <c r="LJ724" s="770"/>
      <c r="LK724" s="770"/>
      <c r="LL724" s="770"/>
      <c r="LM724" s="770"/>
      <c r="LN724" s="766">
        <f t="shared" si="209"/>
        <v>1</v>
      </c>
      <c r="LO724" s="766">
        <f t="shared" si="209"/>
        <v>1</v>
      </c>
      <c r="LP724" s="770">
        <v>0</v>
      </c>
      <c r="LQ724" s="770"/>
      <c r="LR724" s="770"/>
      <c r="LS724" s="770"/>
      <c r="LT724" s="712" t="str">
        <f>IF(LQ724=SUM(LU724:LW724),"OK","REV")</f>
        <v>OK</v>
      </c>
      <c r="LU724" s="770"/>
      <c r="LV724" s="770"/>
      <c r="LW724" s="770"/>
      <c r="LX724" s="769"/>
      <c r="LY724" s="766" t="str">
        <f t="shared" si="210"/>
        <v/>
      </c>
      <c r="LZ724" s="1709"/>
      <c r="MA724" s="1709"/>
      <c r="MB724" s="1709"/>
      <c r="MC724" s="1679">
        <f t="shared" si="208"/>
        <v>0</v>
      </c>
      <c r="MD724" s="1709"/>
      <c r="ME724" s="1709"/>
      <c r="MF724" s="1709"/>
      <c r="MG724" s="1680">
        <v>0</v>
      </c>
      <c r="MH724" s="770"/>
      <c r="MI724" s="302">
        <f>250*30</f>
        <v>7500</v>
      </c>
      <c r="MJ724" s="302"/>
      <c r="MK724" s="302">
        <v>30</v>
      </c>
      <c r="ML724" s="302">
        <f>180*30</f>
        <v>5400</v>
      </c>
      <c r="MM724" s="302"/>
      <c r="MN724" s="302"/>
      <c r="MO724" s="302"/>
      <c r="MP724" s="302">
        <v>1500</v>
      </c>
      <c r="MQ724" s="302">
        <v>180</v>
      </c>
      <c r="MR724" s="302"/>
      <c r="MS724" s="302"/>
      <c r="MT724" s="302"/>
      <c r="MU724" s="302"/>
      <c r="MV724" s="302"/>
      <c r="MW724" s="302"/>
      <c r="MX724" s="302"/>
      <c r="MY724" s="1682">
        <f t="shared" si="217"/>
        <v>14610</v>
      </c>
      <c r="MZ724" s="770" t="s">
        <v>13370</v>
      </c>
      <c r="NA724" s="770" t="s">
        <v>13585</v>
      </c>
      <c r="NB724" s="770" t="s">
        <v>13016</v>
      </c>
      <c r="NC724" s="770" t="s">
        <v>13602</v>
      </c>
      <c r="ND724" s="770">
        <v>0</v>
      </c>
      <c r="NE724" s="770">
        <v>0</v>
      </c>
      <c r="NF724" s="770">
        <v>0</v>
      </c>
      <c r="NG724" s="770">
        <v>2</v>
      </c>
      <c r="NH724" s="770">
        <v>2</v>
      </c>
      <c r="NI724" s="770">
        <v>1</v>
      </c>
      <c r="NJ724" s="770">
        <v>1</v>
      </c>
      <c r="NK724" s="770">
        <v>0</v>
      </c>
      <c r="NL724" s="770">
        <v>0</v>
      </c>
      <c r="NM724" s="770">
        <v>0</v>
      </c>
      <c r="NN724" s="770">
        <v>0</v>
      </c>
      <c r="NO724" s="770">
        <v>0</v>
      </c>
      <c r="NP724" s="770">
        <v>0</v>
      </c>
      <c r="NQ724" s="770">
        <v>0</v>
      </c>
      <c r="NR724" s="770">
        <v>0</v>
      </c>
      <c r="NS724" s="770">
        <v>0</v>
      </c>
      <c r="NT724" s="770">
        <v>0</v>
      </c>
      <c r="NU724" s="770">
        <v>0</v>
      </c>
      <c r="NV724" s="770">
        <v>0</v>
      </c>
      <c r="NW724" s="770">
        <v>0</v>
      </c>
      <c r="NX724" s="770">
        <v>0</v>
      </c>
      <c r="NY724" s="770"/>
      <c r="NZ724" s="770"/>
      <c r="OA724" s="770"/>
      <c r="OB724" s="770"/>
      <c r="OC724" s="770" t="s">
        <v>1208</v>
      </c>
      <c r="OD724" s="770" t="s">
        <v>1208</v>
      </c>
      <c r="OE724" s="770"/>
      <c r="OF724" s="770"/>
      <c r="OG724" s="770"/>
      <c r="OH724" s="770"/>
      <c r="OI724" s="770"/>
      <c r="OJ724" s="770"/>
      <c r="OK724" s="770"/>
      <c r="OL724" s="770"/>
      <c r="OM724" s="770"/>
      <c r="ON724" s="770"/>
      <c r="OO724" s="770"/>
      <c r="OP724" s="770"/>
      <c r="OQ724" s="770"/>
      <c r="OR724" s="770"/>
      <c r="OS724" s="770"/>
      <c r="OT724" s="770"/>
      <c r="OU724" s="770"/>
      <c r="OV724" s="770"/>
      <c r="OW724" s="770"/>
      <c r="OX724" s="770"/>
      <c r="OY724" s="770"/>
      <c r="OZ724" s="770"/>
      <c r="PA724" s="770"/>
      <c r="PB724" s="770"/>
      <c r="PC724" s="770"/>
      <c r="PD724" s="770"/>
      <c r="PE724" s="770"/>
      <c r="PF724" s="770"/>
      <c r="PG724" s="770"/>
      <c r="PH724" s="770"/>
      <c r="PI724" s="770"/>
      <c r="PJ724" s="770" t="s">
        <v>1208</v>
      </c>
      <c r="PK724" s="770" t="s">
        <v>1208</v>
      </c>
      <c r="PL724" s="770"/>
      <c r="PM724" s="770" t="s">
        <v>1208</v>
      </c>
      <c r="PN724" s="770"/>
      <c r="PO724" s="770"/>
      <c r="PP724" s="770"/>
      <c r="PQ724" s="770"/>
      <c r="PR724" s="770"/>
      <c r="PS724" s="770"/>
      <c r="PT724" s="770"/>
      <c r="PU724" s="770"/>
      <c r="PV724" s="770"/>
      <c r="PW724" s="770"/>
      <c r="PX724" s="770"/>
      <c r="PY724" s="770"/>
      <c r="PZ724" s="770"/>
      <c r="QA724" s="770"/>
      <c r="QB724" s="770"/>
      <c r="QC724" s="770"/>
      <c r="QD724" s="770"/>
      <c r="QE724" s="770"/>
      <c r="QF724" s="770"/>
      <c r="QG724" s="770" t="s">
        <v>1208</v>
      </c>
      <c r="QH724" s="770"/>
      <c r="QI724" s="770"/>
      <c r="QJ724" s="770"/>
      <c r="QK724" s="770"/>
      <c r="QL724" s="770"/>
      <c r="QM724" s="770"/>
      <c r="QN724" s="770"/>
      <c r="QO724" s="770"/>
      <c r="QP724" s="770"/>
      <c r="QQ724" s="770"/>
      <c r="QR724" s="770"/>
      <c r="QS724" s="770"/>
      <c r="QT724" s="770"/>
      <c r="QU724" s="770"/>
      <c r="QV724" s="770"/>
      <c r="QW724" s="770"/>
      <c r="QX724" s="770"/>
      <c r="QY724" s="770"/>
      <c r="QZ724" s="770"/>
      <c r="RA724" s="770"/>
      <c r="RB724" s="770" t="s">
        <v>1214</v>
      </c>
      <c r="RC724" s="770"/>
      <c r="RD724" s="770"/>
      <c r="RE724" s="770"/>
      <c r="RF724" s="12"/>
      <c r="RG724" s="12"/>
      <c r="RH724" s="1728"/>
      <c r="RI724" s="12"/>
      <c r="RJ724" s="94" t="s">
        <v>4728</v>
      </c>
      <c r="RK724" s="12" t="s">
        <v>13544</v>
      </c>
      <c r="RL724" s="1710">
        <v>42845</v>
      </c>
      <c r="RM724" s="12"/>
      <c r="RN724" s="1711"/>
      <c r="RO724" s="149" t="s">
        <v>4721</v>
      </c>
      <c r="RP724" s="11"/>
      <c r="RQ724" s="11"/>
      <c r="RR724" s="19" t="s">
        <v>7421</v>
      </c>
      <c r="RS724" s="1139" t="s">
        <v>12980</v>
      </c>
      <c r="RT724" s="11"/>
      <c r="RU724" s="11"/>
      <c r="RV724" s="771" t="s">
        <v>7421</v>
      </c>
      <c r="RW724" s="11" t="s">
        <v>7443</v>
      </c>
      <c r="RX724" s="11" t="s">
        <v>4705</v>
      </c>
      <c r="RY724" s="11"/>
      <c r="RZ724" s="11" t="s">
        <v>2209</v>
      </c>
      <c r="SA724" s="771"/>
      <c r="SB724" s="11"/>
      <c r="SC724" s="11"/>
    </row>
    <row r="725" spans="1:497" ht="12.75" customHeight="1">
      <c r="A725" s="19" t="s">
        <v>7421</v>
      </c>
      <c r="B725" s="292" t="s">
        <v>7445</v>
      </c>
      <c r="C725" s="149" t="s">
        <v>4729</v>
      </c>
      <c r="D725" s="94" t="s">
        <v>4730</v>
      </c>
      <c r="E725" s="766" t="s">
        <v>4731</v>
      </c>
      <c r="F725" s="770" t="s">
        <v>20</v>
      </c>
      <c r="G725" s="770" t="s">
        <v>18</v>
      </c>
      <c r="H725" s="94" t="s">
        <v>4740</v>
      </c>
      <c r="I725" s="295" t="s">
        <v>5336</v>
      </c>
      <c r="J725" s="94" t="s">
        <v>4730</v>
      </c>
      <c r="K725" s="766" t="s">
        <v>4710</v>
      </c>
      <c r="L725" s="766" t="s">
        <v>3152</v>
      </c>
      <c r="M725" s="770" t="s">
        <v>1238</v>
      </c>
      <c r="N725" s="1757"/>
      <c r="O725" s="1757" t="s">
        <v>4675</v>
      </c>
      <c r="P725" s="94" t="s">
        <v>4733</v>
      </c>
      <c r="Q725" s="1088">
        <v>23767</v>
      </c>
      <c r="R725" s="297">
        <v>52</v>
      </c>
      <c r="S725" s="770" t="s">
        <v>10</v>
      </c>
      <c r="T725" s="770"/>
      <c r="U725" s="295" t="s">
        <v>4732</v>
      </c>
      <c r="V725" s="770" t="s">
        <v>707</v>
      </c>
      <c r="W725" s="770"/>
      <c r="X725" s="770"/>
      <c r="Y725" s="770" t="s">
        <v>4731</v>
      </c>
      <c r="Z725" s="770" t="s">
        <v>708</v>
      </c>
      <c r="AA725" s="770" t="s">
        <v>2463</v>
      </c>
      <c r="AB725" s="770" t="s">
        <v>710</v>
      </c>
      <c r="AC725" s="770" t="s">
        <v>724</v>
      </c>
      <c r="AD725" s="770" t="s">
        <v>711</v>
      </c>
      <c r="AE725" s="770"/>
      <c r="AF725" s="770" t="s">
        <v>712</v>
      </c>
      <c r="AG725" s="766" t="s">
        <v>1132</v>
      </c>
      <c r="AH725" s="766" t="s">
        <v>1096</v>
      </c>
      <c r="AI725" s="770"/>
      <c r="AJ725" s="770" t="s">
        <v>1137</v>
      </c>
      <c r="AK725" s="770" t="s">
        <v>1101</v>
      </c>
      <c r="AL725" s="531">
        <v>20</v>
      </c>
      <c r="AM725" s="780">
        <v>1</v>
      </c>
      <c r="AN725" s="532">
        <f t="shared" si="224"/>
        <v>0.05</v>
      </c>
      <c r="AO725" s="766" t="s">
        <v>1098</v>
      </c>
      <c r="AP725" s="766"/>
      <c r="AQ725" s="766"/>
      <c r="AR725" s="766"/>
      <c r="AS725" s="770"/>
      <c r="AT725" s="770"/>
      <c r="AU725" s="770"/>
      <c r="AV725" s="770"/>
      <c r="AW725" s="770"/>
      <c r="AX725" s="770"/>
      <c r="AY725" s="770"/>
      <c r="AZ725" s="770"/>
      <c r="BA725" s="770"/>
      <c r="BB725" s="770"/>
      <c r="BC725" s="770"/>
      <c r="BD725" s="770"/>
      <c r="BE725" s="770"/>
      <c r="BF725" s="302"/>
      <c r="BG725" s="302"/>
      <c r="BH725" s="770"/>
      <c r="BI725" s="770"/>
      <c r="BJ725" s="770"/>
      <c r="BK725" s="766" t="s">
        <v>1095</v>
      </c>
      <c r="BL725" s="766" t="s">
        <v>4734</v>
      </c>
      <c r="BM725" s="766" t="s">
        <v>1096</v>
      </c>
      <c r="BN725" s="766" t="s">
        <v>1230</v>
      </c>
      <c r="BO725" s="766" t="s">
        <v>1239</v>
      </c>
      <c r="BP725" s="1109">
        <v>40</v>
      </c>
      <c r="BQ725" s="773">
        <v>1</v>
      </c>
      <c r="BR725" s="774">
        <f t="shared" si="215"/>
        <v>2.5000000000000001E-2</v>
      </c>
      <c r="BS725" s="766" t="s">
        <v>1242</v>
      </c>
      <c r="BT725" s="766" t="s">
        <v>8133</v>
      </c>
      <c r="BU725" s="770" t="s">
        <v>1249</v>
      </c>
      <c r="BV725" s="770" t="s">
        <v>1247</v>
      </c>
      <c r="BW725" s="770">
        <v>2015</v>
      </c>
      <c r="BX725" s="302">
        <v>150000</v>
      </c>
      <c r="BY725" s="770"/>
      <c r="BZ725" s="302"/>
      <c r="CA725" s="770"/>
      <c r="CB725" s="770" t="s">
        <v>1207</v>
      </c>
      <c r="CC725" s="770"/>
      <c r="CD725" s="770"/>
      <c r="CE725" s="302"/>
      <c r="CF725" s="304"/>
      <c r="CG725" s="321"/>
      <c r="CH725" s="770"/>
      <c r="CI725" s="770"/>
      <c r="CJ725" s="770"/>
      <c r="CK725" s="770"/>
      <c r="CL725" s="770"/>
      <c r="CM725" s="770"/>
      <c r="CN725" s="770"/>
      <c r="CO725" s="770"/>
      <c r="CP725" s="770"/>
      <c r="CQ725" s="770"/>
      <c r="CR725" s="302"/>
      <c r="CS725" s="770"/>
      <c r="CT725" s="770"/>
      <c r="CU725" s="305"/>
      <c r="CV725" s="770"/>
      <c r="CW725" s="770"/>
      <c r="CX725" s="770"/>
      <c r="CY725" s="770"/>
      <c r="CZ725" s="770"/>
      <c r="DA725" s="306"/>
      <c r="DB725" s="770"/>
      <c r="DC725" s="770"/>
      <c r="DD725" s="770"/>
      <c r="DE725" s="300"/>
      <c r="DF725" s="770"/>
      <c r="DG725" s="770"/>
      <c r="DH725" s="770"/>
      <c r="DI725" s="770"/>
      <c r="DJ725" s="770"/>
      <c r="DK725" s="770"/>
      <c r="DL725" s="770"/>
      <c r="DM725" s="770"/>
      <c r="DN725" s="322"/>
      <c r="DO725" s="770"/>
      <c r="DP725" s="770"/>
      <c r="DQ725" s="770"/>
      <c r="DR725" s="770"/>
      <c r="DS725" s="307"/>
      <c r="DT725" s="770"/>
      <c r="DU725" s="770"/>
      <c r="DV725" s="770"/>
      <c r="DW725" s="306"/>
      <c r="DX725" s="306"/>
      <c r="DY725" s="1055"/>
      <c r="DZ725" s="770"/>
      <c r="EA725" s="770"/>
      <c r="EB725" s="770"/>
      <c r="EC725" s="770"/>
      <c r="ED725" s="770"/>
      <c r="EE725" s="770"/>
      <c r="EF725" s="770"/>
      <c r="EG725" s="770"/>
      <c r="EH725" s="770"/>
      <c r="EI725" s="770"/>
      <c r="EJ725" s="770"/>
      <c r="EK725" s="770"/>
      <c r="EL725" s="770"/>
      <c r="EM725" s="770"/>
      <c r="EN725" s="770"/>
      <c r="EO725" s="770"/>
      <c r="EP725" s="94"/>
      <c r="EQ725" s="770"/>
      <c r="ER725" s="770"/>
      <c r="ES725" s="770"/>
      <c r="ET725" s="770"/>
      <c r="EU725" s="770"/>
      <c r="EV725" s="770"/>
      <c r="EW725" s="770"/>
      <c r="EX725" s="770"/>
      <c r="EY725" s="770"/>
      <c r="EZ725" s="770" t="s">
        <v>4734</v>
      </c>
      <c r="FA725" s="770" t="s">
        <v>5810</v>
      </c>
      <c r="FB725" s="770" t="s">
        <v>1257</v>
      </c>
      <c r="FC725" s="770">
        <v>2015</v>
      </c>
      <c r="FD725" s="302"/>
      <c r="FE725" s="770" t="s">
        <v>4736</v>
      </c>
      <c r="FF725" s="770"/>
      <c r="FG725" s="770" t="s">
        <v>4735</v>
      </c>
      <c r="FH725" s="770" t="s">
        <v>478</v>
      </c>
      <c r="FI725" s="770">
        <v>1</v>
      </c>
      <c r="FJ725" s="770"/>
      <c r="FK725" s="770"/>
      <c r="FL725" s="770"/>
      <c r="FM725" s="302"/>
      <c r="FN725" s="302"/>
      <c r="FO725" s="302"/>
      <c r="FP725" s="770" t="s">
        <v>1600</v>
      </c>
      <c r="FQ725" s="770" t="s">
        <v>3940</v>
      </c>
      <c r="FR725" s="770" t="s">
        <v>1214</v>
      </c>
      <c r="FS725" s="770"/>
      <c r="FT725" s="770"/>
      <c r="FU725" s="770"/>
      <c r="FV725" s="770"/>
      <c r="FW725" s="770"/>
      <c r="FX725" s="770"/>
      <c r="FY725" s="770"/>
      <c r="FZ725" s="770"/>
      <c r="GA725" s="770"/>
      <c r="GB725" s="770" t="s">
        <v>1734</v>
      </c>
      <c r="GC725" s="308"/>
      <c r="GD725" s="297">
        <v>2015</v>
      </c>
      <c r="GE725" s="770" t="s">
        <v>1214</v>
      </c>
      <c r="GF725" s="302"/>
      <c r="GG725" s="302"/>
      <c r="GH725" s="770"/>
      <c r="GI725" s="770"/>
      <c r="GJ725" s="770"/>
      <c r="GK725" s="770"/>
      <c r="GL725" s="770"/>
      <c r="GM725" s="770"/>
      <c r="GN725" s="299"/>
      <c r="GO725" s="770"/>
      <c r="GP725" s="770"/>
      <c r="GQ725" s="770"/>
      <c r="GR725" s="770"/>
      <c r="GS725" s="770"/>
      <c r="GT725" s="770"/>
      <c r="GU725" s="770"/>
      <c r="GV725" s="770"/>
      <c r="GW725" s="770"/>
      <c r="GX725" s="770"/>
      <c r="GY725" s="770"/>
      <c r="GZ725" s="770"/>
      <c r="HA725" s="770"/>
      <c r="HB725" s="770"/>
      <c r="HC725" s="770"/>
      <c r="HD725" s="770"/>
      <c r="HE725" s="770"/>
      <c r="HF725" s="770"/>
      <c r="HG725" s="770"/>
      <c r="HH725" s="770"/>
      <c r="HI725" s="770"/>
      <c r="HJ725" s="770"/>
      <c r="HK725" s="770"/>
      <c r="HL725" s="770"/>
      <c r="HM725" s="770"/>
      <c r="HN725" s="770"/>
      <c r="HO725" s="770"/>
      <c r="HP725" s="770"/>
      <c r="HQ725" s="770"/>
      <c r="HR725" s="770">
        <v>7</v>
      </c>
      <c r="HS725" s="770"/>
      <c r="HT725" s="770">
        <v>1</v>
      </c>
      <c r="HU725" s="770"/>
      <c r="HV725" s="770"/>
      <c r="HW725" s="770"/>
      <c r="HX725" s="770"/>
      <c r="HY725" s="770"/>
      <c r="HZ725" s="770"/>
      <c r="IA725" s="770"/>
      <c r="IB725" s="14" t="e">
        <f>IF(#REF!&gt;0,IF(#REF!&lt;=10000,"Y",""),"")</f>
        <v>#REF!</v>
      </c>
      <c r="IC725" s="770"/>
      <c r="ID725" s="770"/>
      <c r="IE725" s="770"/>
      <c r="IF725" s="770" t="s">
        <v>4737</v>
      </c>
      <c r="IG725" s="770" t="s">
        <v>18</v>
      </c>
      <c r="IH725" s="770" t="s">
        <v>478</v>
      </c>
      <c r="II725" s="770" t="s">
        <v>4731</v>
      </c>
      <c r="IJ725" s="770" t="s">
        <v>4738</v>
      </c>
      <c r="IK725" s="770" t="s">
        <v>2639</v>
      </c>
      <c r="IL725" s="770" t="s">
        <v>4739</v>
      </c>
      <c r="IM725" s="770">
        <v>2014</v>
      </c>
      <c r="IN725" s="770" t="s">
        <v>4739</v>
      </c>
      <c r="IO725" s="296">
        <v>22404</v>
      </c>
      <c r="IP725" s="770" t="s">
        <v>478</v>
      </c>
      <c r="IQ725" s="13" t="s">
        <v>1898</v>
      </c>
      <c r="IR725" s="770" t="s">
        <v>1964</v>
      </c>
      <c r="IS725" s="770" t="s">
        <v>1966</v>
      </c>
      <c r="IT725" s="770"/>
      <c r="IU725" s="770" t="s">
        <v>1208</v>
      </c>
      <c r="IV725" s="770"/>
      <c r="IW725" s="770" t="s">
        <v>13955</v>
      </c>
      <c r="IX725" s="770" t="s">
        <v>4740</v>
      </c>
      <c r="IY725" s="770" t="s">
        <v>12802</v>
      </c>
      <c r="IZ725" s="770"/>
      <c r="JA725" s="770" t="s">
        <v>1880</v>
      </c>
      <c r="JB725" s="770" t="s">
        <v>1901</v>
      </c>
      <c r="JC725" s="770"/>
      <c r="JD725" s="302">
        <v>2500</v>
      </c>
      <c r="JE725" s="770"/>
      <c r="JF725" s="770"/>
      <c r="JG725" s="770"/>
      <c r="JH725" s="307"/>
      <c r="JI725" s="307"/>
      <c r="JJ725" s="770">
        <v>14</v>
      </c>
      <c r="JK725" s="1139" t="s">
        <v>4741</v>
      </c>
      <c r="JL725" s="770">
        <v>2</v>
      </c>
      <c r="JM725" s="770">
        <v>1</v>
      </c>
      <c r="JN725" s="770">
        <v>5</v>
      </c>
      <c r="JO725" s="770">
        <v>6</v>
      </c>
      <c r="JP725" s="770"/>
      <c r="JQ725" s="770"/>
      <c r="JR725" s="770"/>
      <c r="JS725" s="770"/>
      <c r="JT725" s="766">
        <f t="shared" si="226"/>
        <v>7</v>
      </c>
      <c r="JU725" s="766">
        <f t="shared" si="226"/>
        <v>7</v>
      </c>
      <c r="JV725" s="712" t="str">
        <f>IF(JT725=KJ725,"ok","male")</f>
        <v>ok</v>
      </c>
      <c r="JW725" s="712" t="str">
        <f>IF(JU725=KK725,"ok","female")</f>
        <v>ok</v>
      </c>
      <c r="JX725" s="770">
        <v>2</v>
      </c>
      <c r="JY725" s="770">
        <v>1</v>
      </c>
      <c r="JZ725" s="770"/>
      <c r="KA725" s="770"/>
      <c r="KB725" s="770">
        <v>3</v>
      </c>
      <c r="KC725" s="770">
        <v>4</v>
      </c>
      <c r="KD725" s="770">
        <v>2</v>
      </c>
      <c r="KE725" s="770">
        <v>2</v>
      </c>
      <c r="KF725" s="770"/>
      <c r="KG725" s="770"/>
      <c r="KH725" s="770"/>
      <c r="KI725" s="770"/>
      <c r="KJ725" s="770">
        <f t="shared" si="225"/>
        <v>7</v>
      </c>
      <c r="KK725" s="770">
        <f t="shared" si="225"/>
        <v>7</v>
      </c>
      <c r="KL725" s="712" t="str">
        <f>IF(KJ725=LN725,"ok","male")</f>
        <v>ok</v>
      </c>
      <c r="KM725" s="712" t="str">
        <f>IF(KK725=LO725,"ok","female")</f>
        <v>ok</v>
      </c>
      <c r="KN725" s="770" t="s">
        <v>707</v>
      </c>
      <c r="KO725" s="770"/>
      <c r="KP725" s="770"/>
      <c r="KQ725" s="770"/>
      <c r="KR725" s="770"/>
      <c r="KS725" s="770"/>
      <c r="KT725" s="770">
        <v>1</v>
      </c>
      <c r="KU725" s="770">
        <v>1</v>
      </c>
      <c r="KV725" s="770"/>
      <c r="KW725" s="770"/>
      <c r="KX725" s="770"/>
      <c r="KY725" s="770"/>
      <c r="KZ725" s="770">
        <v>2</v>
      </c>
      <c r="LA725" s="770">
        <v>3</v>
      </c>
      <c r="LB725" s="770">
        <v>1</v>
      </c>
      <c r="LC725" s="770"/>
      <c r="LD725" s="770"/>
      <c r="LE725" s="770">
        <v>2</v>
      </c>
      <c r="LF725" s="770">
        <v>2</v>
      </c>
      <c r="LG725" s="770">
        <v>1</v>
      </c>
      <c r="LH725" s="770"/>
      <c r="LI725" s="770"/>
      <c r="LJ725" s="770">
        <v>1</v>
      </c>
      <c r="LK725" s="770"/>
      <c r="LL725" s="770"/>
      <c r="LM725" s="770"/>
      <c r="LN725" s="766">
        <f t="shared" si="209"/>
        <v>7</v>
      </c>
      <c r="LO725" s="766">
        <f t="shared" si="209"/>
        <v>7</v>
      </c>
      <c r="LP725" s="770">
        <v>5</v>
      </c>
      <c r="LQ725" s="770">
        <v>5</v>
      </c>
      <c r="LR725" s="770"/>
      <c r="LS725" s="770">
        <v>1</v>
      </c>
      <c r="LT725" s="712" t="str">
        <f>IF(LQ725=SUM(LU725:LW725),"OK","REV")</f>
        <v>OK</v>
      </c>
      <c r="LU725" s="770">
        <v>5</v>
      </c>
      <c r="LV725" s="770"/>
      <c r="LW725" s="770"/>
      <c r="LX725" s="769">
        <v>1</v>
      </c>
      <c r="LY725" s="766" t="str">
        <f t="shared" si="210"/>
        <v>within the BRGY</v>
      </c>
      <c r="LZ725" s="1709">
        <v>1500</v>
      </c>
      <c r="MA725" s="1709"/>
      <c r="MB725" s="1709"/>
      <c r="MC725" s="1679">
        <f t="shared" si="208"/>
        <v>1500</v>
      </c>
      <c r="MD725" s="1709">
        <f>SUM(14000,25000,6000,6000,21000)</f>
        <v>72000</v>
      </c>
      <c r="ME725" s="1709"/>
      <c r="MF725" s="1709">
        <v>30000</v>
      </c>
      <c r="MG725" s="1680">
        <f>SUM(MD725:MF725)</f>
        <v>102000</v>
      </c>
      <c r="MH725" s="770" t="s">
        <v>2201</v>
      </c>
      <c r="MI725" s="302">
        <v>15000</v>
      </c>
      <c r="MJ725" s="302"/>
      <c r="MK725" s="302">
        <v>2000</v>
      </c>
      <c r="ML725" s="302">
        <v>1000</v>
      </c>
      <c r="MM725" s="302">
        <v>3000</v>
      </c>
      <c r="MN725" s="302"/>
      <c r="MO725" s="302">
        <v>960</v>
      </c>
      <c r="MP725" s="302">
        <v>3500</v>
      </c>
      <c r="MQ725" s="302">
        <v>400</v>
      </c>
      <c r="MR725" s="302">
        <v>1500</v>
      </c>
      <c r="MS725" s="302">
        <v>2000</v>
      </c>
      <c r="MT725" s="302"/>
      <c r="MU725" s="302"/>
      <c r="MV725" s="302"/>
      <c r="MW725" s="302"/>
      <c r="MX725" s="302"/>
      <c r="MY725" s="1682">
        <f t="shared" si="217"/>
        <v>29360</v>
      </c>
      <c r="MZ725" s="770" t="s">
        <v>13370</v>
      </c>
      <c r="NA725" s="770" t="s">
        <v>13947</v>
      </c>
      <c r="NB725" s="770" t="s">
        <v>13016</v>
      </c>
      <c r="NC725" s="770" t="s">
        <v>13602</v>
      </c>
      <c r="ND725" s="770">
        <v>0</v>
      </c>
      <c r="NE725" s="770">
        <v>2</v>
      </c>
      <c r="NF725" s="770">
        <v>1</v>
      </c>
      <c r="NG725" s="770">
        <v>5</v>
      </c>
      <c r="NH725" s="770">
        <v>3</v>
      </c>
      <c r="NI725" s="770">
        <v>0</v>
      </c>
      <c r="NJ725" s="770">
        <v>2</v>
      </c>
      <c r="NK725" s="770">
        <v>0</v>
      </c>
      <c r="NL725" s="770">
        <v>1</v>
      </c>
      <c r="NM725" s="770">
        <v>2</v>
      </c>
      <c r="NN725" s="770">
        <v>0</v>
      </c>
      <c r="NO725" s="770">
        <v>0</v>
      </c>
      <c r="NP725" s="770">
        <v>0</v>
      </c>
      <c r="NQ725" s="770">
        <v>0</v>
      </c>
      <c r="NR725" s="770">
        <v>0</v>
      </c>
      <c r="NS725" s="770">
        <v>0</v>
      </c>
      <c r="NT725" s="770">
        <v>0</v>
      </c>
      <c r="NU725" s="770">
        <v>0</v>
      </c>
      <c r="NV725" s="770">
        <v>2</v>
      </c>
      <c r="NW725" s="770">
        <v>0</v>
      </c>
      <c r="NX725" s="770">
        <v>0</v>
      </c>
      <c r="NY725" s="770" t="s">
        <v>1208</v>
      </c>
      <c r="NZ725" s="770" t="s">
        <v>1208</v>
      </c>
      <c r="OA725" s="770"/>
      <c r="OB725" s="770"/>
      <c r="OC725" s="770" t="s">
        <v>1208</v>
      </c>
      <c r="OD725" s="770" t="s">
        <v>1208</v>
      </c>
      <c r="OE725" s="770"/>
      <c r="OF725" s="770" t="s">
        <v>2143</v>
      </c>
      <c r="OG725" s="770"/>
      <c r="OH725" s="770"/>
      <c r="OI725" s="770"/>
      <c r="OJ725" s="770"/>
      <c r="OK725" s="770"/>
      <c r="OL725" s="770"/>
      <c r="OM725" s="770"/>
      <c r="ON725" s="770"/>
      <c r="OO725" s="770"/>
      <c r="OP725" s="770"/>
      <c r="OQ725" s="770"/>
      <c r="OR725" s="770"/>
      <c r="OS725" s="770"/>
      <c r="OT725" s="770"/>
      <c r="OU725" s="770"/>
      <c r="OV725" s="770"/>
      <c r="OW725" s="770"/>
      <c r="OX725" s="770"/>
      <c r="OY725" s="770"/>
      <c r="OZ725" s="770"/>
      <c r="PA725" s="770"/>
      <c r="PB725" s="770"/>
      <c r="PC725" s="770"/>
      <c r="PD725" s="770"/>
      <c r="PE725" s="770"/>
      <c r="PF725" s="770"/>
      <c r="PG725" s="770"/>
      <c r="PH725" s="770"/>
      <c r="PI725" s="770"/>
      <c r="PJ725" s="770"/>
      <c r="PK725" s="770"/>
      <c r="PL725" s="770"/>
      <c r="PM725" s="770"/>
      <c r="PN725" s="770"/>
      <c r="PO725" s="770"/>
      <c r="PP725" s="770"/>
      <c r="PQ725" s="770"/>
      <c r="PR725" s="770"/>
      <c r="PS725" s="770"/>
      <c r="PT725" s="770"/>
      <c r="PU725" s="770"/>
      <c r="PV725" s="770"/>
      <c r="PW725" s="770"/>
      <c r="PX725" s="770"/>
      <c r="PY725" s="770"/>
      <c r="PZ725" s="770"/>
      <c r="QA725" s="770"/>
      <c r="QB725" s="770"/>
      <c r="QC725" s="770"/>
      <c r="QD725" s="770"/>
      <c r="QE725" s="770"/>
      <c r="QF725" s="770"/>
      <c r="QG725" s="770"/>
      <c r="QH725" s="770"/>
      <c r="QI725" s="770"/>
      <c r="QJ725" s="770"/>
      <c r="QK725" s="770"/>
      <c r="QL725" s="770"/>
      <c r="QM725" s="770"/>
      <c r="QN725" s="770"/>
      <c r="QO725" s="770"/>
      <c r="QP725" s="770"/>
      <c r="QQ725" s="770"/>
      <c r="QR725" s="770"/>
      <c r="QS725" s="770"/>
      <c r="QT725" s="770"/>
      <c r="QU725" s="770"/>
      <c r="QV725" s="770"/>
      <c r="QW725" s="770"/>
      <c r="QX725" s="770"/>
      <c r="QY725" s="770"/>
      <c r="QZ725" s="770"/>
      <c r="RA725" s="770"/>
      <c r="RB725" s="770" t="s">
        <v>1214</v>
      </c>
      <c r="RC725" s="770"/>
      <c r="RD725" s="770"/>
      <c r="RE725" s="770"/>
      <c r="RF725" s="12"/>
      <c r="RG725" s="12"/>
      <c r="RH725" s="1728"/>
      <c r="RI725" s="12"/>
      <c r="RJ725" s="94" t="s">
        <v>13956</v>
      </c>
      <c r="RK725" s="12" t="s">
        <v>13556</v>
      </c>
      <c r="RL725" s="1710">
        <v>42845</v>
      </c>
      <c r="RM725" s="12"/>
      <c r="RN725" s="1711"/>
      <c r="RO725" s="149" t="s">
        <v>4729</v>
      </c>
      <c r="RP725" s="11"/>
      <c r="RQ725" s="11"/>
      <c r="RR725" s="19" t="s">
        <v>7421</v>
      </c>
      <c r="RS725" s="1139" t="s">
        <v>12980</v>
      </c>
      <c r="RT725" s="11"/>
      <c r="RU725" s="11"/>
      <c r="RV725" s="771" t="s">
        <v>7421</v>
      </c>
      <c r="RW725" s="11" t="s">
        <v>8033</v>
      </c>
      <c r="RX725" s="11" t="s">
        <v>4714</v>
      </c>
      <c r="RY725" s="11"/>
      <c r="RZ725" s="11" t="s">
        <v>2209</v>
      </c>
      <c r="SA725" s="771"/>
      <c r="SB725" s="11"/>
      <c r="SC725" s="11"/>
    </row>
    <row r="726" spans="1:497" ht="12.75" customHeight="1">
      <c r="A726" s="19" t="s">
        <v>7421</v>
      </c>
      <c r="B726" s="292" t="s">
        <v>8059</v>
      </c>
      <c r="C726" s="149" t="s">
        <v>4742</v>
      </c>
      <c r="D726" s="94" t="s">
        <v>4743</v>
      </c>
      <c r="E726" s="766" t="s">
        <v>4744</v>
      </c>
      <c r="F726" s="770" t="s">
        <v>210</v>
      </c>
      <c r="G726" s="770" t="s">
        <v>18</v>
      </c>
      <c r="H726" s="295" t="s">
        <v>4745</v>
      </c>
      <c r="I726" s="12"/>
      <c r="J726" s="94" t="s">
        <v>4746</v>
      </c>
      <c r="K726" s="766" t="s">
        <v>4725</v>
      </c>
      <c r="L726" s="766" t="s">
        <v>3140</v>
      </c>
      <c r="M726" s="770" t="s">
        <v>1238</v>
      </c>
      <c r="N726" s="1757"/>
      <c r="O726" s="1757" t="s">
        <v>4675</v>
      </c>
      <c r="P726" s="770"/>
      <c r="Q726" s="1088"/>
      <c r="R726" s="297"/>
      <c r="S726" s="770"/>
      <c r="T726" s="770"/>
      <c r="U726" s="295"/>
      <c r="V726" s="770"/>
      <c r="W726" s="770"/>
      <c r="X726" s="770"/>
      <c r="Y726" s="770"/>
      <c r="Z726" s="770"/>
      <c r="AA726" s="770"/>
      <c r="AB726" s="770"/>
      <c r="AC726" s="770"/>
      <c r="AD726" s="770"/>
      <c r="AE726" s="770"/>
      <c r="AF726" s="770"/>
      <c r="AG726" s="766" t="s">
        <v>1132</v>
      </c>
      <c r="AH726" s="766" t="s">
        <v>1096</v>
      </c>
      <c r="AI726" s="770"/>
      <c r="AJ726" s="770" t="s">
        <v>1137</v>
      </c>
      <c r="AK726" s="770" t="s">
        <v>1101</v>
      </c>
      <c r="AL726" s="531">
        <v>5</v>
      </c>
      <c r="AM726" s="780">
        <v>5</v>
      </c>
      <c r="AN726" s="532">
        <f t="shared" si="224"/>
        <v>1</v>
      </c>
      <c r="AO726" s="766" t="s">
        <v>1122</v>
      </c>
      <c r="AP726" s="766"/>
      <c r="AQ726" s="766"/>
      <c r="AR726" s="766"/>
      <c r="AS726" s="770"/>
      <c r="AT726" s="770"/>
      <c r="AU726" s="770"/>
      <c r="AV726" s="770"/>
      <c r="AW726" s="770"/>
      <c r="AX726" s="770"/>
      <c r="AY726" s="770"/>
      <c r="AZ726" s="770"/>
      <c r="BA726" s="770"/>
      <c r="BB726" s="770"/>
      <c r="BC726" s="770"/>
      <c r="BD726" s="770"/>
      <c r="BE726" s="770"/>
      <c r="BF726" s="302"/>
      <c r="BG726" s="302"/>
      <c r="BH726" s="770"/>
      <c r="BI726" s="770"/>
      <c r="BJ726" s="770"/>
      <c r="BK726" s="766"/>
      <c r="BL726" s="766"/>
      <c r="BM726" s="766"/>
      <c r="BN726" s="766"/>
      <c r="BO726" s="770"/>
      <c r="BP726" s="1109"/>
      <c r="BQ726" s="773"/>
      <c r="BR726" s="774"/>
      <c r="BS726" s="766"/>
      <c r="BT726" s="770"/>
      <c r="BU726" s="770"/>
      <c r="BV726" s="770"/>
      <c r="BW726" s="770"/>
      <c r="BX726" s="302"/>
      <c r="BY726" s="770"/>
      <c r="BZ726" s="302"/>
      <c r="CA726" s="770"/>
      <c r="CB726" s="770" t="s">
        <v>1207</v>
      </c>
      <c r="CC726" s="770"/>
      <c r="CD726" s="770"/>
      <c r="CE726" s="302"/>
      <c r="CF726" s="304"/>
      <c r="CG726" s="321"/>
      <c r="CH726" s="770"/>
      <c r="CI726" s="770"/>
      <c r="CJ726" s="770"/>
      <c r="CK726" s="770"/>
      <c r="CL726" s="770"/>
      <c r="CM726" s="770"/>
      <c r="CN726" s="770"/>
      <c r="CO726" s="770"/>
      <c r="CP726" s="770"/>
      <c r="CQ726" s="770"/>
      <c r="CR726" s="302"/>
      <c r="CS726" s="770"/>
      <c r="CT726" s="770"/>
      <c r="CU726" s="305"/>
      <c r="CV726" s="770"/>
      <c r="CW726" s="770"/>
      <c r="CX726" s="770"/>
      <c r="CY726" s="770"/>
      <c r="CZ726" s="770"/>
      <c r="DA726" s="306"/>
      <c r="DB726" s="770"/>
      <c r="DC726" s="770"/>
      <c r="DD726" s="770"/>
      <c r="DE726" s="300"/>
      <c r="DF726" s="770"/>
      <c r="DG726" s="770"/>
      <c r="DH726" s="770"/>
      <c r="DI726" s="770"/>
      <c r="DJ726" s="770"/>
      <c r="DK726" s="770"/>
      <c r="DL726" s="770"/>
      <c r="DM726" s="770"/>
      <c r="DN726" s="322"/>
      <c r="DO726" s="770"/>
      <c r="DP726" s="770"/>
      <c r="DQ726" s="770"/>
      <c r="DR726" s="770"/>
      <c r="DS726" s="307"/>
      <c r="DT726" s="770"/>
      <c r="DU726" s="770"/>
      <c r="DV726" s="770"/>
      <c r="DW726" s="306"/>
      <c r="DX726" s="306"/>
      <c r="DY726" s="1055"/>
      <c r="DZ726" s="770"/>
      <c r="EA726" s="770"/>
      <c r="EB726" s="770"/>
      <c r="EC726" s="770"/>
      <c r="ED726" s="770"/>
      <c r="EE726" s="770"/>
      <c r="EF726" s="770"/>
      <c r="EG726" s="770"/>
      <c r="EH726" s="770"/>
      <c r="EI726" s="770"/>
      <c r="EJ726" s="770"/>
      <c r="EK726" s="770"/>
      <c r="EL726" s="770"/>
      <c r="EM726" s="770"/>
      <c r="EN726" s="770"/>
      <c r="EO726" s="770"/>
      <c r="EP726" s="94"/>
      <c r="EQ726" s="770"/>
      <c r="ER726" s="770"/>
      <c r="ES726" s="770"/>
      <c r="ET726" s="770"/>
      <c r="EU726" s="770"/>
      <c r="EV726" s="770"/>
      <c r="EW726" s="770"/>
      <c r="EX726" s="770"/>
      <c r="EY726" s="770"/>
      <c r="EZ726" s="770" t="s">
        <v>4747</v>
      </c>
      <c r="FA726" s="770" t="s">
        <v>5811</v>
      </c>
      <c r="FB726" s="770" t="s">
        <v>1257</v>
      </c>
      <c r="FC726" s="770">
        <v>1999</v>
      </c>
      <c r="FD726" s="302"/>
      <c r="FE726" s="770" t="s">
        <v>4748</v>
      </c>
      <c r="FF726" s="770"/>
      <c r="FG726" s="770" t="s">
        <v>4749</v>
      </c>
      <c r="FH726" s="770"/>
      <c r="FI726" s="770"/>
      <c r="FJ726" s="770"/>
      <c r="FK726" s="770"/>
      <c r="FL726" s="770"/>
      <c r="FM726" s="302"/>
      <c r="FN726" s="302"/>
      <c r="FO726" s="302"/>
      <c r="FP726" s="770"/>
      <c r="FQ726" s="770"/>
      <c r="FR726" s="770"/>
      <c r="FS726" s="770"/>
      <c r="FT726" s="770"/>
      <c r="FU726" s="770"/>
      <c r="FV726" s="770"/>
      <c r="FW726" s="770"/>
      <c r="FX726" s="770"/>
      <c r="FY726" s="770"/>
      <c r="FZ726" s="770"/>
      <c r="GA726" s="770"/>
      <c r="GB726" s="770"/>
      <c r="GC726" s="308"/>
      <c r="GD726" s="297"/>
      <c r="GE726" s="770"/>
      <c r="GF726" s="302"/>
      <c r="GG726" s="302"/>
      <c r="GH726" s="770"/>
      <c r="GI726" s="770"/>
      <c r="GJ726" s="770"/>
      <c r="GK726" s="770"/>
      <c r="GL726" s="770"/>
      <c r="GM726" s="770"/>
      <c r="GN726" s="299"/>
      <c r="GO726" s="770"/>
      <c r="GP726" s="770"/>
      <c r="GQ726" s="770"/>
      <c r="GR726" s="770"/>
      <c r="GS726" s="770"/>
      <c r="GT726" s="770"/>
      <c r="GU726" s="770"/>
      <c r="GV726" s="770"/>
      <c r="GW726" s="770"/>
      <c r="GX726" s="770"/>
      <c r="GY726" s="770"/>
      <c r="GZ726" s="770"/>
      <c r="HA726" s="770"/>
      <c r="HB726" s="770"/>
      <c r="HC726" s="770"/>
      <c r="HD726" s="770"/>
      <c r="HE726" s="770"/>
      <c r="HF726" s="770"/>
      <c r="HG726" s="770"/>
      <c r="HH726" s="770"/>
      <c r="HI726" s="770"/>
      <c r="HJ726" s="770"/>
      <c r="HK726" s="770"/>
      <c r="HL726" s="770"/>
      <c r="HM726" s="770"/>
      <c r="HN726" s="770"/>
      <c r="HO726" s="770"/>
      <c r="HP726" s="770"/>
      <c r="HQ726" s="770"/>
      <c r="HR726" s="770"/>
      <c r="HS726" s="770"/>
      <c r="HT726" s="770"/>
      <c r="HU726" s="770"/>
      <c r="HV726" s="770"/>
      <c r="HW726" s="770"/>
      <c r="HX726" s="770"/>
      <c r="HY726" s="770"/>
      <c r="HZ726" s="770"/>
      <c r="IA726" s="770"/>
      <c r="IB726" s="770"/>
      <c r="IC726" s="770"/>
      <c r="ID726" s="770"/>
      <c r="IE726" s="770"/>
      <c r="IF726" s="770"/>
      <c r="IG726" s="770"/>
      <c r="IH726" s="770"/>
      <c r="II726" s="770"/>
      <c r="IJ726" s="770"/>
      <c r="IK726" s="770"/>
      <c r="IL726" s="770"/>
      <c r="IM726" s="770"/>
      <c r="IN726" s="770"/>
      <c r="IO726" s="296"/>
      <c r="IP726" s="770"/>
      <c r="IQ726" s="770"/>
      <c r="IR726" s="770"/>
      <c r="IS726" s="770"/>
      <c r="IT726" s="770"/>
      <c r="IU726" s="770"/>
      <c r="IV726" s="770"/>
      <c r="IW726" s="770"/>
      <c r="IX726" s="770"/>
      <c r="IY726" s="770"/>
      <c r="IZ726" s="770"/>
      <c r="JA726" s="770"/>
      <c r="JB726" s="770"/>
      <c r="JC726" s="770"/>
      <c r="JD726" s="302"/>
      <c r="JE726" s="770"/>
      <c r="JF726" s="770"/>
      <c r="JG726" s="770"/>
      <c r="JH726" s="307"/>
      <c r="JI726" s="307"/>
      <c r="JJ726" s="770"/>
      <c r="JK726" s="770"/>
      <c r="JL726" s="770"/>
      <c r="JM726" s="770"/>
      <c r="JN726" s="770"/>
      <c r="JO726" s="770"/>
      <c r="JP726" s="770"/>
      <c r="JQ726" s="770"/>
      <c r="JR726" s="770"/>
      <c r="JS726" s="770"/>
      <c r="JT726" s="766"/>
      <c r="JU726" s="766"/>
      <c r="JV726" s="766"/>
      <c r="JW726" s="766"/>
      <c r="JX726" s="770"/>
      <c r="JY726" s="770"/>
      <c r="JZ726" s="770"/>
      <c r="KA726" s="770"/>
      <c r="KB726" s="770"/>
      <c r="KC726" s="770"/>
      <c r="KD726" s="770"/>
      <c r="KE726" s="770"/>
      <c r="KF726" s="770"/>
      <c r="KG726" s="770"/>
      <c r="KH726" s="770"/>
      <c r="KI726" s="770"/>
      <c r="KJ726" s="770"/>
      <c r="KK726" s="770"/>
      <c r="KL726" s="770"/>
      <c r="KM726" s="770"/>
      <c r="KN726" s="770"/>
      <c r="KO726" s="770"/>
      <c r="KP726" s="770"/>
      <c r="KQ726" s="770"/>
      <c r="KR726" s="770"/>
      <c r="KS726" s="770"/>
      <c r="KT726" s="770"/>
      <c r="KU726" s="770"/>
      <c r="KV726" s="770"/>
      <c r="KW726" s="770"/>
      <c r="KX726" s="770"/>
      <c r="KY726" s="770"/>
      <c r="KZ726" s="770"/>
      <c r="LA726" s="770"/>
      <c r="LB726" s="770"/>
      <c r="LC726" s="770"/>
      <c r="LD726" s="770"/>
      <c r="LE726" s="770"/>
      <c r="LF726" s="770"/>
      <c r="LG726" s="770"/>
      <c r="LH726" s="770"/>
      <c r="LI726" s="770"/>
      <c r="LJ726" s="770"/>
      <c r="LK726" s="770"/>
      <c r="LL726" s="770"/>
      <c r="LM726" s="770"/>
      <c r="LN726" s="766"/>
      <c r="LO726" s="766"/>
      <c r="LP726" s="770"/>
      <c r="LQ726" s="770"/>
      <c r="LR726" s="770"/>
      <c r="LS726" s="770"/>
      <c r="LT726" s="770"/>
      <c r="LU726" s="770"/>
      <c r="LV726" s="770"/>
      <c r="LW726" s="770"/>
      <c r="LX726" s="769"/>
      <c r="LY726" s="766" t="str">
        <f t="shared" si="210"/>
        <v/>
      </c>
      <c r="LZ726" s="1709"/>
      <c r="MA726" s="1709"/>
      <c r="MB726" s="1709"/>
      <c r="MC726" s="1679">
        <f t="shared" si="208"/>
        <v>0</v>
      </c>
      <c r="MD726" s="1709"/>
      <c r="ME726" s="1709"/>
      <c r="MF726" s="1709"/>
      <c r="MG726" s="1680">
        <f t="shared" si="216"/>
        <v>0</v>
      </c>
      <c r="MH726" s="770"/>
      <c r="MI726" s="302"/>
      <c r="MJ726" s="302"/>
      <c r="MK726" s="302"/>
      <c r="ML726" s="302"/>
      <c r="MM726" s="302"/>
      <c r="MN726" s="302"/>
      <c r="MO726" s="302"/>
      <c r="MP726" s="302"/>
      <c r="MQ726" s="302"/>
      <c r="MR726" s="302"/>
      <c r="MS726" s="302"/>
      <c r="MT726" s="302"/>
      <c r="MU726" s="302"/>
      <c r="MV726" s="302"/>
      <c r="MW726" s="302"/>
      <c r="MX726" s="302"/>
      <c r="MY726" s="1682">
        <f t="shared" si="217"/>
        <v>0</v>
      </c>
      <c r="MZ726" s="770"/>
      <c r="NA726" s="770"/>
      <c r="NB726" s="770"/>
      <c r="NC726" s="770"/>
      <c r="ND726" s="770"/>
      <c r="NE726" s="770"/>
      <c r="NF726" s="770"/>
      <c r="NG726" s="770"/>
      <c r="NH726" s="770"/>
      <c r="NI726" s="770"/>
      <c r="NJ726" s="770"/>
      <c r="NK726" s="770"/>
      <c r="NL726" s="770"/>
      <c r="NM726" s="770"/>
      <c r="NN726" s="770"/>
      <c r="NO726" s="770"/>
      <c r="NP726" s="770"/>
      <c r="NQ726" s="770"/>
      <c r="NR726" s="770"/>
      <c r="NS726" s="770"/>
      <c r="NT726" s="770"/>
      <c r="NU726" s="770"/>
      <c r="NV726" s="770"/>
      <c r="NW726" s="770"/>
      <c r="NX726" s="770"/>
      <c r="NY726" s="770"/>
      <c r="NZ726" s="770"/>
      <c r="OA726" s="770"/>
      <c r="OB726" s="770"/>
      <c r="OC726" s="770"/>
      <c r="OD726" s="770"/>
      <c r="OE726" s="770"/>
      <c r="OF726" s="770"/>
      <c r="OG726" s="770"/>
      <c r="OH726" s="770"/>
      <c r="OI726" s="770"/>
      <c r="OJ726" s="770"/>
      <c r="OK726" s="770"/>
      <c r="OL726" s="770"/>
      <c r="OM726" s="770"/>
      <c r="ON726" s="770"/>
      <c r="OO726" s="770"/>
      <c r="OP726" s="770"/>
      <c r="OQ726" s="770"/>
      <c r="OR726" s="770"/>
      <c r="OS726" s="770"/>
      <c r="OT726" s="770"/>
      <c r="OU726" s="770"/>
      <c r="OV726" s="770"/>
      <c r="OW726" s="770"/>
      <c r="OX726" s="770"/>
      <c r="OY726" s="770"/>
      <c r="OZ726" s="770"/>
      <c r="PA726" s="770"/>
      <c r="PB726" s="770"/>
      <c r="PC726" s="770"/>
      <c r="PD726" s="770"/>
      <c r="PE726" s="770"/>
      <c r="PF726" s="770"/>
      <c r="PG726" s="770"/>
      <c r="PH726" s="770"/>
      <c r="PI726" s="770"/>
      <c r="PJ726" s="770"/>
      <c r="PK726" s="770"/>
      <c r="PL726" s="770"/>
      <c r="PM726" s="770"/>
      <c r="PN726" s="770"/>
      <c r="PO726" s="770"/>
      <c r="PP726" s="770"/>
      <c r="PQ726" s="770"/>
      <c r="PR726" s="770"/>
      <c r="PS726" s="770"/>
      <c r="PT726" s="770"/>
      <c r="PU726" s="770"/>
      <c r="PV726" s="770"/>
      <c r="PW726" s="770"/>
      <c r="PX726" s="770"/>
      <c r="PY726" s="770"/>
      <c r="PZ726" s="770"/>
      <c r="QA726" s="770"/>
      <c r="QB726" s="770"/>
      <c r="QC726" s="770"/>
      <c r="QD726" s="770"/>
      <c r="QE726" s="770"/>
      <c r="QF726" s="770"/>
      <c r="QG726" s="770"/>
      <c r="QH726" s="770"/>
      <c r="QI726" s="770"/>
      <c r="QJ726" s="770"/>
      <c r="QK726" s="770"/>
      <c r="QL726" s="770"/>
      <c r="QM726" s="770"/>
      <c r="QN726" s="770"/>
      <c r="QO726" s="770"/>
      <c r="QP726" s="770"/>
      <c r="QQ726" s="770"/>
      <c r="QR726" s="770"/>
      <c r="QS726" s="770"/>
      <c r="QT726" s="770"/>
      <c r="QU726" s="770"/>
      <c r="QV726" s="770"/>
      <c r="QW726" s="770"/>
      <c r="QX726" s="770"/>
      <c r="QY726" s="770"/>
      <c r="QZ726" s="770"/>
      <c r="RA726" s="770"/>
      <c r="RB726" s="770"/>
      <c r="RC726" s="770"/>
      <c r="RD726" s="770"/>
      <c r="RE726" s="770"/>
      <c r="RF726" s="12"/>
      <c r="RG726" s="12"/>
      <c r="RH726" s="1728"/>
      <c r="RI726" s="12"/>
      <c r="RJ726" s="94" t="s">
        <v>13957</v>
      </c>
      <c r="RK726" s="12" t="s">
        <v>13544</v>
      </c>
      <c r="RL726" s="1710">
        <v>42845</v>
      </c>
      <c r="RM726" s="12"/>
      <c r="RN726" s="1711"/>
      <c r="RO726" s="149" t="s">
        <v>4742</v>
      </c>
      <c r="RP726" s="11"/>
      <c r="RQ726" s="11"/>
      <c r="RR726" s="17"/>
      <c r="RS726" s="767"/>
      <c r="RT726" s="11"/>
      <c r="RU726" s="11"/>
      <c r="RV726" s="771" t="s">
        <v>7421</v>
      </c>
      <c r="RW726" s="11" t="s">
        <v>7444</v>
      </c>
      <c r="RX726" s="11" t="s">
        <v>4721</v>
      </c>
      <c r="RY726" s="11"/>
      <c r="RZ726" s="11" t="s">
        <v>2209</v>
      </c>
      <c r="SA726" s="771"/>
      <c r="SB726" s="11"/>
      <c r="SC726" s="11"/>
    </row>
    <row r="727" spans="1:497" ht="12.75" customHeight="1">
      <c r="A727" s="19" t="s">
        <v>7421</v>
      </c>
      <c r="B727" s="292" t="s">
        <v>8060</v>
      </c>
      <c r="C727" s="149" t="s">
        <v>4750</v>
      </c>
      <c r="D727" s="94" t="s">
        <v>4751</v>
      </c>
      <c r="E727" s="766" t="s">
        <v>4752</v>
      </c>
      <c r="F727" s="770" t="s">
        <v>28</v>
      </c>
      <c r="G727" s="770" t="s">
        <v>18</v>
      </c>
      <c r="H727" s="770"/>
      <c r="I727" s="295" t="s">
        <v>4753</v>
      </c>
      <c r="J727" s="94" t="s">
        <v>4751</v>
      </c>
      <c r="K727" s="766" t="s">
        <v>4754</v>
      </c>
      <c r="L727" s="766" t="s">
        <v>4755</v>
      </c>
      <c r="M727" s="770" t="s">
        <v>1238</v>
      </c>
      <c r="N727" s="1757"/>
      <c r="O727" s="1757" t="s">
        <v>4675</v>
      </c>
      <c r="P727" s="770" t="s">
        <v>11699</v>
      </c>
      <c r="Q727" s="1088">
        <v>22141</v>
      </c>
      <c r="R727" s="297">
        <v>56</v>
      </c>
      <c r="S727" s="770" t="s">
        <v>18</v>
      </c>
      <c r="T727" s="770"/>
      <c r="U727" s="295" t="s">
        <v>4753</v>
      </c>
      <c r="V727" s="770" t="s">
        <v>707</v>
      </c>
      <c r="W727" s="770"/>
      <c r="X727" s="770"/>
      <c r="Y727" s="766" t="s">
        <v>4752</v>
      </c>
      <c r="Z727" s="770" t="s">
        <v>708</v>
      </c>
      <c r="AA727" s="770" t="s">
        <v>709</v>
      </c>
      <c r="AB727" s="770" t="s">
        <v>710</v>
      </c>
      <c r="AC727" s="770"/>
      <c r="AD727" s="770" t="s">
        <v>711</v>
      </c>
      <c r="AE727" s="770"/>
      <c r="AF727" s="770" t="s">
        <v>712</v>
      </c>
      <c r="AG727" s="766" t="s">
        <v>1132</v>
      </c>
      <c r="AH727" s="766" t="s">
        <v>1096</v>
      </c>
      <c r="AI727" s="770"/>
      <c r="AJ727" s="770" t="s">
        <v>1137</v>
      </c>
      <c r="AK727" s="770" t="s">
        <v>1101</v>
      </c>
      <c r="AL727" s="531">
        <v>24.5</v>
      </c>
      <c r="AM727" s="780">
        <v>24.5</v>
      </c>
      <c r="AN727" s="532">
        <f t="shared" si="224"/>
        <v>1</v>
      </c>
      <c r="AO727" s="766" t="s">
        <v>1122</v>
      </c>
      <c r="AP727" s="766"/>
      <c r="AQ727" s="766"/>
      <c r="AR727" s="766"/>
      <c r="AS727" s="770"/>
      <c r="AT727" s="770"/>
      <c r="AU727" s="770"/>
      <c r="AV727" s="770"/>
      <c r="AW727" s="770"/>
      <c r="AX727" s="770"/>
      <c r="AY727" s="770"/>
      <c r="AZ727" s="770"/>
      <c r="BA727" s="770"/>
      <c r="BB727" s="770"/>
      <c r="BC727" s="770"/>
      <c r="BD727" s="770"/>
      <c r="BE727" s="770"/>
      <c r="BF727" s="302"/>
      <c r="BG727" s="302"/>
      <c r="BH727" s="770"/>
      <c r="BI727" s="770"/>
      <c r="BJ727" s="770"/>
      <c r="BK727" s="766"/>
      <c r="BL727" s="766"/>
      <c r="BM727" s="766"/>
      <c r="BN727" s="766"/>
      <c r="BO727" s="770"/>
      <c r="BP727" s="1109"/>
      <c r="BQ727" s="773"/>
      <c r="BR727" s="774"/>
      <c r="BS727" s="766"/>
      <c r="BT727" s="770"/>
      <c r="BU727" s="770"/>
      <c r="BV727" s="770"/>
      <c r="BW727" s="770"/>
      <c r="BX727" s="302"/>
      <c r="BY727" s="770"/>
      <c r="BZ727" s="302"/>
      <c r="CA727" s="770"/>
      <c r="CB727" s="770" t="s">
        <v>1207</v>
      </c>
      <c r="CC727" s="770" t="s">
        <v>4756</v>
      </c>
      <c r="CD727" s="770"/>
      <c r="CE727" s="302"/>
      <c r="CF727" s="304">
        <v>0.9</v>
      </c>
      <c r="CG727" s="321">
        <v>11</v>
      </c>
      <c r="CH727" s="770" t="s">
        <v>3377</v>
      </c>
      <c r="CI727" s="770"/>
      <c r="CJ727" s="770" t="s">
        <v>3377</v>
      </c>
      <c r="CK727" s="770">
        <v>7</v>
      </c>
      <c r="CL727" s="770"/>
      <c r="CM727" s="770" t="s">
        <v>3399</v>
      </c>
      <c r="CN727" s="770"/>
      <c r="CO727" s="770"/>
      <c r="CP727" s="770"/>
      <c r="CQ727" s="770"/>
      <c r="CR727" s="302"/>
      <c r="CS727" s="770"/>
      <c r="CT727" s="770"/>
      <c r="CU727" s="305"/>
      <c r="CV727" s="770"/>
      <c r="CW727" s="770"/>
      <c r="CX727" s="770"/>
      <c r="CY727" s="770"/>
      <c r="CZ727" s="770"/>
      <c r="DA727" s="306"/>
      <c r="DB727" s="770"/>
      <c r="DC727" s="770"/>
      <c r="DD727" s="770"/>
      <c r="DE727" s="300"/>
      <c r="DF727" s="770"/>
      <c r="DG727" s="770"/>
      <c r="DH727" s="770"/>
      <c r="DI727" s="770"/>
      <c r="DJ727" s="770"/>
      <c r="DK727" s="770"/>
      <c r="DL727" s="770"/>
      <c r="DM727" s="770"/>
      <c r="DN727" s="322"/>
      <c r="DO727" s="770"/>
      <c r="DP727" s="770"/>
      <c r="DQ727" s="770"/>
      <c r="DR727" s="770"/>
      <c r="DS727" s="307"/>
      <c r="DT727" s="770"/>
      <c r="DU727" s="770"/>
      <c r="DV727" s="770"/>
      <c r="DW727" s="306"/>
      <c r="DX727" s="306"/>
      <c r="DY727" s="1055"/>
      <c r="DZ727" s="770"/>
      <c r="EA727" s="770"/>
      <c r="EB727" s="770"/>
      <c r="EC727" s="770"/>
      <c r="ED727" s="770"/>
      <c r="EE727" s="770"/>
      <c r="EF727" s="770"/>
      <c r="EG727" s="770"/>
      <c r="EH727" s="770"/>
      <c r="EI727" s="770"/>
      <c r="EJ727" s="770"/>
      <c r="EK727" s="770"/>
      <c r="EL727" s="770"/>
      <c r="EM727" s="770"/>
      <c r="EN727" s="770"/>
      <c r="EO727" s="770"/>
      <c r="EP727" s="94"/>
      <c r="EQ727" s="770"/>
      <c r="ER727" s="770"/>
      <c r="ES727" s="770"/>
      <c r="ET727" s="770"/>
      <c r="EU727" s="770"/>
      <c r="EV727" s="770"/>
      <c r="EW727" s="770"/>
      <c r="EX727" s="770"/>
      <c r="EY727" s="770"/>
      <c r="EZ727" s="94" t="s">
        <v>4751</v>
      </c>
      <c r="FA727" s="770" t="s">
        <v>4757</v>
      </c>
      <c r="FB727" s="770" t="s">
        <v>1257</v>
      </c>
      <c r="FC727" s="770"/>
      <c r="FD727" s="302"/>
      <c r="FE727" s="770" t="s">
        <v>4758</v>
      </c>
      <c r="FF727" s="770" t="s">
        <v>4759</v>
      </c>
      <c r="FG727" s="770" t="s">
        <v>4760</v>
      </c>
      <c r="FH727" s="770"/>
      <c r="FI727" s="770"/>
      <c r="FJ727" s="770"/>
      <c r="FK727" s="770"/>
      <c r="FL727" s="770"/>
      <c r="FM727" s="302"/>
      <c r="FN727" s="302"/>
      <c r="FO727" s="302"/>
      <c r="FP727" s="770"/>
      <c r="FQ727" s="770"/>
      <c r="FR727" s="770"/>
      <c r="FS727" s="770"/>
      <c r="FT727" s="770"/>
      <c r="FU727" s="770"/>
      <c r="FV727" s="770"/>
      <c r="FW727" s="770"/>
      <c r="FX727" s="770"/>
      <c r="FY727" s="770"/>
      <c r="FZ727" s="770"/>
      <c r="GA727" s="770"/>
      <c r="GB727" s="770"/>
      <c r="GC727" s="308"/>
      <c r="GD727" s="297"/>
      <c r="GE727" s="770"/>
      <c r="GF727" s="302"/>
      <c r="GG727" s="302"/>
      <c r="GH727" s="770"/>
      <c r="GI727" s="770"/>
      <c r="GJ727" s="770"/>
      <c r="GK727" s="770"/>
      <c r="GL727" s="770"/>
      <c r="GM727" s="770"/>
      <c r="GN727" s="299"/>
      <c r="GO727" s="770"/>
      <c r="GP727" s="770"/>
      <c r="GQ727" s="770"/>
      <c r="GR727" s="770"/>
      <c r="GS727" s="770"/>
      <c r="GT727" s="770"/>
      <c r="GU727" s="770"/>
      <c r="GV727" s="770"/>
      <c r="GW727" s="770"/>
      <c r="GX727" s="770"/>
      <c r="GY727" s="770"/>
      <c r="GZ727" s="770"/>
      <c r="HA727" s="770"/>
      <c r="HB727" s="770"/>
      <c r="HC727" s="770"/>
      <c r="HD727" s="770"/>
      <c r="HE727" s="770"/>
      <c r="HF727" s="770"/>
      <c r="HG727" s="770"/>
      <c r="HH727" s="770"/>
      <c r="HI727" s="770"/>
      <c r="HJ727" s="770"/>
      <c r="HK727" s="770"/>
      <c r="HL727" s="770"/>
      <c r="HM727" s="770"/>
      <c r="HN727" s="770"/>
      <c r="HO727" s="770"/>
      <c r="HP727" s="770"/>
      <c r="HQ727" s="770"/>
      <c r="HR727" s="770">
        <v>4</v>
      </c>
      <c r="HS727" s="770"/>
      <c r="HT727" s="770">
        <v>3</v>
      </c>
      <c r="HU727" s="770"/>
      <c r="HV727" s="770"/>
      <c r="HW727" s="770"/>
      <c r="HX727" s="770"/>
      <c r="HY727" s="770"/>
      <c r="HZ727" s="770"/>
      <c r="IA727" s="770"/>
      <c r="IB727" s="770"/>
      <c r="IC727" s="770"/>
      <c r="ID727" s="770"/>
      <c r="IE727" s="770"/>
      <c r="IF727" s="770"/>
      <c r="IG727" s="770"/>
      <c r="IH727" s="770"/>
      <c r="II727" s="770"/>
      <c r="IJ727" s="770"/>
      <c r="IK727" s="770"/>
      <c r="IL727" s="770"/>
      <c r="IM727" s="770"/>
      <c r="IN727" s="770"/>
      <c r="IO727" s="296"/>
      <c r="IP727" s="770"/>
      <c r="IQ727" s="770"/>
      <c r="IR727" s="770"/>
      <c r="IS727" s="770"/>
      <c r="IT727" s="770"/>
      <c r="IU727" s="770"/>
      <c r="IV727" s="770"/>
      <c r="IW727" s="770"/>
      <c r="IX727" s="770"/>
      <c r="IY727" s="770"/>
      <c r="IZ727" s="770"/>
      <c r="JA727" s="770"/>
      <c r="JB727" s="770"/>
      <c r="JC727" s="770"/>
      <c r="JD727" s="302"/>
      <c r="JE727" s="770"/>
      <c r="JF727" s="770"/>
      <c r="JG727" s="770"/>
      <c r="JH727" s="307"/>
      <c r="JI727" s="307"/>
      <c r="JJ727" s="770"/>
      <c r="JK727" s="770"/>
      <c r="JL727" s="770"/>
      <c r="JM727" s="770"/>
      <c r="JN727" s="770"/>
      <c r="JO727" s="770"/>
      <c r="JP727" s="770"/>
      <c r="JQ727" s="770"/>
      <c r="JR727" s="770"/>
      <c r="JS727" s="770"/>
      <c r="JT727" s="766"/>
      <c r="JU727" s="766"/>
      <c r="JV727" s="766"/>
      <c r="JW727" s="766"/>
      <c r="JX727" s="770"/>
      <c r="JY727" s="770"/>
      <c r="JZ727" s="770"/>
      <c r="KA727" s="770"/>
      <c r="KB727" s="770"/>
      <c r="KC727" s="770"/>
      <c r="KD727" s="770"/>
      <c r="KE727" s="770"/>
      <c r="KF727" s="770"/>
      <c r="KG727" s="770"/>
      <c r="KH727" s="770"/>
      <c r="KI727" s="770"/>
      <c r="KJ727" s="770"/>
      <c r="KK727" s="770"/>
      <c r="KL727" s="770"/>
      <c r="KM727" s="770"/>
      <c r="KN727" s="770"/>
      <c r="KO727" s="770"/>
      <c r="KP727" s="770"/>
      <c r="KQ727" s="770"/>
      <c r="KR727" s="770"/>
      <c r="KS727" s="770"/>
      <c r="KT727" s="770"/>
      <c r="KU727" s="770"/>
      <c r="KV727" s="770"/>
      <c r="KW727" s="770"/>
      <c r="KX727" s="770"/>
      <c r="KY727" s="770"/>
      <c r="KZ727" s="770"/>
      <c r="LA727" s="770"/>
      <c r="LB727" s="770"/>
      <c r="LC727" s="770"/>
      <c r="LD727" s="770"/>
      <c r="LE727" s="770"/>
      <c r="LF727" s="770"/>
      <c r="LG727" s="770"/>
      <c r="LH727" s="770"/>
      <c r="LI727" s="770"/>
      <c r="LJ727" s="770"/>
      <c r="LK727" s="770"/>
      <c r="LL727" s="770"/>
      <c r="LM727" s="770"/>
      <c r="LN727" s="766"/>
      <c r="LO727" s="766"/>
      <c r="LP727" s="770"/>
      <c r="LQ727" s="770"/>
      <c r="LR727" s="770"/>
      <c r="LS727" s="770"/>
      <c r="LT727" s="770"/>
      <c r="LU727" s="770"/>
      <c r="LV727" s="770"/>
      <c r="LW727" s="770"/>
      <c r="LX727" s="769"/>
      <c r="LY727" s="766" t="str">
        <f t="shared" si="210"/>
        <v/>
      </c>
      <c r="LZ727" s="1709"/>
      <c r="MA727" s="1709"/>
      <c r="MB727" s="1709"/>
      <c r="MC727" s="1679">
        <f t="shared" si="208"/>
        <v>0</v>
      </c>
      <c r="MD727" s="1709"/>
      <c r="ME727" s="1709"/>
      <c r="MF727" s="1709"/>
      <c r="MG727" s="1680">
        <f t="shared" si="216"/>
        <v>0</v>
      </c>
      <c r="MH727" s="770"/>
      <c r="MI727" s="302"/>
      <c r="MJ727" s="302"/>
      <c r="MK727" s="302"/>
      <c r="ML727" s="302"/>
      <c r="MM727" s="302"/>
      <c r="MN727" s="302"/>
      <c r="MO727" s="302"/>
      <c r="MP727" s="302"/>
      <c r="MQ727" s="302"/>
      <c r="MR727" s="302"/>
      <c r="MS727" s="302"/>
      <c r="MT727" s="302"/>
      <c r="MU727" s="302"/>
      <c r="MV727" s="302"/>
      <c r="MW727" s="302"/>
      <c r="MX727" s="302"/>
      <c r="MY727" s="1682">
        <f t="shared" si="217"/>
        <v>0</v>
      </c>
      <c r="MZ727" s="770"/>
      <c r="NA727" s="770"/>
      <c r="NB727" s="770"/>
      <c r="NC727" s="770"/>
      <c r="ND727" s="770"/>
      <c r="NE727" s="770"/>
      <c r="NF727" s="770"/>
      <c r="NG727" s="770"/>
      <c r="NH727" s="770"/>
      <c r="NI727" s="770"/>
      <c r="NJ727" s="770"/>
      <c r="NK727" s="770"/>
      <c r="NL727" s="770"/>
      <c r="NM727" s="770"/>
      <c r="NN727" s="770"/>
      <c r="NO727" s="770"/>
      <c r="NP727" s="770"/>
      <c r="NQ727" s="770"/>
      <c r="NR727" s="770"/>
      <c r="NS727" s="770"/>
      <c r="NT727" s="770"/>
      <c r="NU727" s="770"/>
      <c r="NV727" s="770"/>
      <c r="NW727" s="770"/>
      <c r="NX727" s="770"/>
      <c r="NY727" s="770"/>
      <c r="NZ727" s="770"/>
      <c r="OA727" s="770"/>
      <c r="OB727" s="770"/>
      <c r="OC727" s="770"/>
      <c r="OD727" s="770"/>
      <c r="OE727" s="770"/>
      <c r="OF727" s="770"/>
      <c r="OG727" s="770"/>
      <c r="OH727" s="770"/>
      <c r="OI727" s="770"/>
      <c r="OJ727" s="770"/>
      <c r="OK727" s="770"/>
      <c r="OL727" s="770"/>
      <c r="OM727" s="770"/>
      <c r="ON727" s="770"/>
      <c r="OO727" s="770"/>
      <c r="OP727" s="770"/>
      <c r="OQ727" s="770"/>
      <c r="OR727" s="770"/>
      <c r="OS727" s="770"/>
      <c r="OT727" s="770"/>
      <c r="OU727" s="770"/>
      <c r="OV727" s="770"/>
      <c r="OW727" s="770"/>
      <c r="OX727" s="770"/>
      <c r="OY727" s="770"/>
      <c r="OZ727" s="770"/>
      <c r="PA727" s="770"/>
      <c r="PB727" s="770"/>
      <c r="PC727" s="770"/>
      <c r="PD727" s="770"/>
      <c r="PE727" s="770"/>
      <c r="PF727" s="770"/>
      <c r="PG727" s="770"/>
      <c r="PH727" s="770"/>
      <c r="PI727" s="770"/>
      <c r="PJ727" s="770"/>
      <c r="PK727" s="770"/>
      <c r="PL727" s="770"/>
      <c r="PM727" s="770"/>
      <c r="PN727" s="770"/>
      <c r="PO727" s="770"/>
      <c r="PP727" s="770"/>
      <c r="PQ727" s="770"/>
      <c r="PR727" s="770"/>
      <c r="PS727" s="770"/>
      <c r="PT727" s="770"/>
      <c r="PU727" s="770"/>
      <c r="PV727" s="770"/>
      <c r="PW727" s="770"/>
      <c r="PX727" s="770"/>
      <c r="PY727" s="770"/>
      <c r="PZ727" s="770"/>
      <c r="QA727" s="770"/>
      <c r="QB727" s="770"/>
      <c r="QC727" s="770"/>
      <c r="QD727" s="770"/>
      <c r="QE727" s="770"/>
      <c r="QF727" s="770"/>
      <c r="QG727" s="770"/>
      <c r="QH727" s="770"/>
      <c r="QI727" s="770"/>
      <c r="QJ727" s="770"/>
      <c r="QK727" s="770"/>
      <c r="QL727" s="770"/>
      <c r="QM727" s="770"/>
      <c r="QN727" s="770"/>
      <c r="QO727" s="770"/>
      <c r="QP727" s="770"/>
      <c r="QQ727" s="770"/>
      <c r="QR727" s="770"/>
      <c r="QS727" s="770"/>
      <c r="QT727" s="770"/>
      <c r="QU727" s="770"/>
      <c r="QV727" s="770"/>
      <c r="QW727" s="770"/>
      <c r="QX727" s="770"/>
      <c r="QY727" s="770"/>
      <c r="QZ727" s="770"/>
      <c r="RA727" s="770"/>
      <c r="RB727" s="770"/>
      <c r="RC727" s="770"/>
      <c r="RD727" s="770"/>
      <c r="RE727" s="770"/>
      <c r="RF727" s="12"/>
      <c r="RG727" s="12"/>
      <c r="RH727" s="1728"/>
      <c r="RI727" s="12"/>
      <c r="RJ727" s="94" t="s">
        <v>13958</v>
      </c>
      <c r="RK727" s="12" t="s">
        <v>13544</v>
      </c>
      <c r="RL727" s="1710">
        <v>42845</v>
      </c>
      <c r="RM727" s="12"/>
      <c r="RN727" s="1711"/>
      <c r="RO727" s="149" t="s">
        <v>4750</v>
      </c>
      <c r="RP727" s="11"/>
      <c r="RQ727" s="11"/>
      <c r="RR727" s="17"/>
      <c r="RS727" s="767"/>
      <c r="RT727" s="11"/>
      <c r="RU727" s="11"/>
      <c r="RV727" s="771" t="s">
        <v>7421</v>
      </c>
      <c r="RW727" s="11" t="s">
        <v>7445</v>
      </c>
      <c r="RX727" s="11" t="s">
        <v>4729</v>
      </c>
      <c r="RY727" s="11"/>
      <c r="RZ727" s="11" t="s">
        <v>2209</v>
      </c>
      <c r="SA727" s="771"/>
      <c r="SB727" s="11"/>
      <c r="SC727" s="11"/>
    </row>
    <row r="728" spans="1:497" ht="12.75" customHeight="1">
      <c r="A728" s="19" t="s">
        <v>7421</v>
      </c>
      <c r="B728" s="292" t="s">
        <v>8061</v>
      </c>
      <c r="C728" s="149" t="s">
        <v>3149</v>
      </c>
      <c r="D728" s="94" t="s">
        <v>4761</v>
      </c>
      <c r="E728" s="766" t="s">
        <v>4762</v>
      </c>
      <c r="F728" s="770" t="s">
        <v>210</v>
      </c>
      <c r="G728" s="770" t="s">
        <v>18</v>
      </c>
      <c r="H728" s="94" t="s">
        <v>5335</v>
      </c>
      <c r="I728" s="295" t="s">
        <v>5337</v>
      </c>
      <c r="J728" s="94" t="s">
        <v>4763</v>
      </c>
      <c r="K728" s="766" t="s">
        <v>4764</v>
      </c>
      <c r="L728" s="766" t="s">
        <v>4558</v>
      </c>
      <c r="M728" s="770" t="s">
        <v>1238</v>
      </c>
      <c r="N728" s="1757"/>
      <c r="O728" s="1757" t="s">
        <v>3153</v>
      </c>
      <c r="P728" s="770"/>
      <c r="Q728" s="1088"/>
      <c r="R728" s="297"/>
      <c r="S728" s="770"/>
      <c r="T728" s="770"/>
      <c r="U728" s="295"/>
      <c r="V728" s="770"/>
      <c r="W728" s="770"/>
      <c r="X728" s="770"/>
      <c r="Y728" s="770"/>
      <c r="Z728" s="770"/>
      <c r="AA728" s="770"/>
      <c r="AB728" s="770"/>
      <c r="AC728" s="770"/>
      <c r="AD728" s="770"/>
      <c r="AE728" s="770"/>
      <c r="AF728" s="770"/>
      <c r="AG728" s="766" t="s">
        <v>1132</v>
      </c>
      <c r="AH728" s="766" t="s">
        <v>1096</v>
      </c>
      <c r="AI728" s="770"/>
      <c r="AJ728" s="770" t="s">
        <v>1137</v>
      </c>
      <c r="AK728" s="770" t="s">
        <v>1101</v>
      </c>
      <c r="AL728" s="531">
        <v>12</v>
      </c>
      <c r="AM728" s="780">
        <v>2</v>
      </c>
      <c r="AN728" s="532">
        <f t="shared" si="224"/>
        <v>0.16666666666666666</v>
      </c>
      <c r="AO728" s="766" t="s">
        <v>1109</v>
      </c>
      <c r="AP728" s="766"/>
      <c r="AQ728" s="766"/>
      <c r="AR728" s="766"/>
      <c r="AS728" s="770"/>
      <c r="AT728" s="770"/>
      <c r="AU728" s="770"/>
      <c r="AV728" s="770"/>
      <c r="AW728" s="770"/>
      <c r="AX728" s="770"/>
      <c r="AY728" s="770"/>
      <c r="AZ728" s="770"/>
      <c r="BA728" s="770"/>
      <c r="BB728" s="770"/>
      <c r="BC728" s="770"/>
      <c r="BD728" s="770"/>
      <c r="BE728" s="770"/>
      <c r="BF728" s="302"/>
      <c r="BG728" s="302"/>
      <c r="BH728" s="770"/>
      <c r="BI728" s="770"/>
      <c r="BJ728" s="770"/>
      <c r="BK728" s="766"/>
      <c r="BL728" s="766"/>
      <c r="BM728" s="766"/>
      <c r="BN728" s="766"/>
      <c r="BO728" s="770"/>
      <c r="BP728" s="1109"/>
      <c r="BQ728" s="773"/>
      <c r="BR728" s="774"/>
      <c r="BS728" s="766"/>
      <c r="BT728" s="770"/>
      <c r="BU728" s="770"/>
      <c r="BV728" s="770"/>
      <c r="BW728" s="770"/>
      <c r="BX728" s="302"/>
      <c r="BY728" s="770"/>
      <c r="BZ728" s="302"/>
      <c r="CA728" s="770"/>
      <c r="CB728" s="770" t="s">
        <v>1207</v>
      </c>
      <c r="CC728" s="770"/>
      <c r="CD728" s="770"/>
      <c r="CE728" s="302"/>
      <c r="CF728" s="304"/>
      <c r="CG728" s="321"/>
      <c r="CH728" s="770"/>
      <c r="CI728" s="770"/>
      <c r="CJ728" s="770"/>
      <c r="CK728" s="770"/>
      <c r="CL728" s="770"/>
      <c r="CM728" s="770"/>
      <c r="CN728" s="770"/>
      <c r="CO728" s="770"/>
      <c r="CP728" s="770"/>
      <c r="CQ728" s="770"/>
      <c r="CR728" s="302"/>
      <c r="CS728" s="770"/>
      <c r="CT728" s="770"/>
      <c r="CU728" s="305"/>
      <c r="CV728" s="770"/>
      <c r="CW728" s="770"/>
      <c r="CX728" s="770"/>
      <c r="CY728" s="770"/>
      <c r="CZ728" s="770"/>
      <c r="DA728" s="306"/>
      <c r="DB728" s="770"/>
      <c r="DC728" s="770"/>
      <c r="DD728" s="770"/>
      <c r="DE728" s="300"/>
      <c r="DF728" s="770"/>
      <c r="DG728" s="770"/>
      <c r="DH728" s="770"/>
      <c r="DI728" s="770"/>
      <c r="DJ728" s="770"/>
      <c r="DK728" s="770"/>
      <c r="DL728" s="770"/>
      <c r="DM728" s="770"/>
      <c r="DN728" s="322"/>
      <c r="DO728" s="770"/>
      <c r="DP728" s="770"/>
      <c r="DQ728" s="770"/>
      <c r="DR728" s="770"/>
      <c r="DS728" s="307"/>
      <c r="DT728" s="770"/>
      <c r="DU728" s="770"/>
      <c r="DV728" s="770"/>
      <c r="DW728" s="306"/>
      <c r="DX728" s="306"/>
      <c r="DY728" s="1055"/>
      <c r="DZ728" s="770"/>
      <c r="EA728" s="770"/>
      <c r="EB728" s="770"/>
      <c r="EC728" s="770"/>
      <c r="ED728" s="770"/>
      <c r="EE728" s="770"/>
      <c r="EF728" s="770"/>
      <c r="EG728" s="770"/>
      <c r="EH728" s="770"/>
      <c r="EI728" s="770"/>
      <c r="EJ728" s="770"/>
      <c r="EK728" s="770"/>
      <c r="EL728" s="770"/>
      <c r="EM728" s="770"/>
      <c r="EN728" s="770"/>
      <c r="EO728" s="770"/>
      <c r="EP728" s="94"/>
      <c r="EQ728" s="770"/>
      <c r="ER728" s="770"/>
      <c r="ES728" s="770"/>
      <c r="ET728" s="770"/>
      <c r="EU728" s="770"/>
      <c r="EV728" s="770"/>
      <c r="EW728" s="770"/>
      <c r="EX728" s="770"/>
      <c r="EY728" s="770"/>
      <c r="EZ728" s="770" t="s">
        <v>4765</v>
      </c>
      <c r="FA728" s="770" t="s">
        <v>5811</v>
      </c>
      <c r="FB728" s="770" t="s">
        <v>1257</v>
      </c>
      <c r="FC728" s="770"/>
      <c r="FD728" s="302"/>
      <c r="FE728" s="770" t="s">
        <v>4767</v>
      </c>
      <c r="FF728" s="770"/>
      <c r="FG728" s="770" t="s">
        <v>4766</v>
      </c>
      <c r="FH728" s="770"/>
      <c r="FI728" s="770"/>
      <c r="FJ728" s="770"/>
      <c r="FK728" s="770"/>
      <c r="FL728" s="770"/>
      <c r="FM728" s="302"/>
      <c r="FN728" s="302"/>
      <c r="FO728" s="302"/>
      <c r="FP728" s="770" t="s">
        <v>1600</v>
      </c>
      <c r="FQ728" s="770" t="s">
        <v>3940</v>
      </c>
      <c r="FR728" s="770"/>
      <c r="FS728" s="770"/>
      <c r="FT728" s="770"/>
      <c r="FU728" s="770"/>
      <c r="FV728" s="770"/>
      <c r="FW728" s="770"/>
      <c r="FX728" s="770"/>
      <c r="FY728" s="770"/>
      <c r="FZ728" s="770"/>
      <c r="GA728" s="770"/>
      <c r="GB728" s="770"/>
      <c r="GC728" s="308"/>
      <c r="GD728" s="297"/>
      <c r="GE728" s="770"/>
      <c r="GF728" s="302"/>
      <c r="GG728" s="302"/>
      <c r="GH728" s="770"/>
      <c r="GI728" s="770"/>
      <c r="GJ728" s="770"/>
      <c r="GK728" s="770"/>
      <c r="GL728" s="770"/>
      <c r="GM728" s="770"/>
      <c r="GN728" s="299"/>
      <c r="GO728" s="770"/>
      <c r="GP728" s="770"/>
      <c r="GQ728" s="770"/>
      <c r="GR728" s="770"/>
      <c r="GS728" s="770"/>
      <c r="GT728" s="770"/>
      <c r="GU728" s="770"/>
      <c r="GV728" s="770"/>
      <c r="GW728" s="770"/>
      <c r="GX728" s="770"/>
      <c r="GY728" s="770"/>
      <c r="GZ728" s="770"/>
      <c r="HA728" s="770"/>
      <c r="HB728" s="770"/>
      <c r="HC728" s="770"/>
      <c r="HD728" s="770"/>
      <c r="HE728" s="770"/>
      <c r="HF728" s="770"/>
      <c r="HG728" s="770"/>
      <c r="HH728" s="770"/>
      <c r="HI728" s="770"/>
      <c r="HJ728" s="770"/>
      <c r="HK728" s="770"/>
      <c r="HL728" s="770"/>
      <c r="HM728" s="770"/>
      <c r="HN728" s="770"/>
      <c r="HO728" s="770"/>
      <c r="HP728" s="770"/>
      <c r="HQ728" s="770"/>
      <c r="HR728" s="770">
        <v>3</v>
      </c>
      <c r="HS728" s="770"/>
      <c r="HT728" s="770"/>
      <c r="HU728" s="770"/>
      <c r="HV728" s="770"/>
      <c r="HW728" s="770"/>
      <c r="HX728" s="770"/>
      <c r="HY728" s="770"/>
      <c r="HZ728" s="770"/>
      <c r="IA728" s="770"/>
      <c r="IB728" s="770"/>
      <c r="IC728" s="770"/>
      <c r="ID728" s="770"/>
      <c r="IE728" s="770"/>
      <c r="IF728" s="770"/>
      <c r="IG728" s="770"/>
      <c r="IH728" s="770"/>
      <c r="II728" s="770"/>
      <c r="IJ728" s="770"/>
      <c r="IK728" s="770"/>
      <c r="IL728" s="770"/>
      <c r="IM728" s="770"/>
      <c r="IN728" s="770"/>
      <c r="IO728" s="296"/>
      <c r="IP728" s="770"/>
      <c r="IQ728" s="770"/>
      <c r="IR728" s="770"/>
      <c r="IS728" s="770"/>
      <c r="IT728" s="770"/>
      <c r="IU728" s="770"/>
      <c r="IV728" s="770"/>
      <c r="IW728" s="770"/>
      <c r="IX728" s="770"/>
      <c r="IY728" s="770"/>
      <c r="IZ728" s="770"/>
      <c r="JA728" s="770"/>
      <c r="JB728" s="770"/>
      <c r="JC728" s="770"/>
      <c r="JD728" s="302"/>
      <c r="JE728" s="770"/>
      <c r="JF728" s="770"/>
      <c r="JG728" s="770"/>
      <c r="JH728" s="307"/>
      <c r="JI728" s="307"/>
      <c r="JJ728" s="770"/>
      <c r="JK728" s="770"/>
      <c r="JL728" s="770"/>
      <c r="JM728" s="770"/>
      <c r="JN728" s="770"/>
      <c r="JO728" s="770"/>
      <c r="JP728" s="770"/>
      <c r="JQ728" s="770"/>
      <c r="JR728" s="770"/>
      <c r="JS728" s="770"/>
      <c r="JT728" s="766"/>
      <c r="JU728" s="766"/>
      <c r="JV728" s="766"/>
      <c r="JW728" s="766"/>
      <c r="JX728" s="770"/>
      <c r="JY728" s="770"/>
      <c r="JZ728" s="770"/>
      <c r="KA728" s="770"/>
      <c r="KB728" s="770"/>
      <c r="KC728" s="770"/>
      <c r="KD728" s="770"/>
      <c r="KE728" s="770"/>
      <c r="KF728" s="770"/>
      <c r="KG728" s="770"/>
      <c r="KH728" s="770"/>
      <c r="KI728" s="770"/>
      <c r="KJ728" s="770"/>
      <c r="KK728" s="770"/>
      <c r="KL728" s="770"/>
      <c r="KM728" s="770"/>
      <c r="KN728" s="770"/>
      <c r="KO728" s="770"/>
      <c r="KP728" s="770"/>
      <c r="KQ728" s="770"/>
      <c r="KR728" s="770"/>
      <c r="KS728" s="770"/>
      <c r="KT728" s="770"/>
      <c r="KU728" s="770"/>
      <c r="KV728" s="770"/>
      <c r="KW728" s="770"/>
      <c r="KX728" s="770"/>
      <c r="KY728" s="770"/>
      <c r="KZ728" s="770"/>
      <c r="LA728" s="770"/>
      <c r="LB728" s="770"/>
      <c r="LC728" s="770"/>
      <c r="LD728" s="770"/>
      <c r="LE728" s="770"/>
      <c r="LF728" s="770"/>
      <c r="LG728" s="770"/>
      <c r="LH728" s="770"/>
      <c r="LI728" s="770"/>
      <c r="LJ728" s="770"/>
      <c r="LK728" s="770"/>
      <c r="LL728" s="770"/>
      <c r="LM728" s="770"/>
      <c r="LN728" s="766"/>
      <c r="LO728" s="766"/>
      <c r="LP728" s="770"/>
      <c r="LQ728" s="770"/>
      <c r="LR728" s="770"/>
      <c r="LS728" s="770"/>
      <c r="LT728" s="770"/>
      <c r="LU728" s="770"/>
      <c r="LV728" s="770"/>
      <c r="LW728" s="770"/>
      <c r="LX728" s="769"/>
      <c r="LY728" s="766" t="str">
        <f t="shared" si="210"/>
        <v/>
      </c>
      <c r="LZ728" s="1709"/>
      <c r="MA728" s="1709"/>
      <c r="MB728" s="1709"/>
      <c r="MC728" s="1679">
        <f t="shared" si="208"/>
        <v>0</v>
      </c>
      <c r="MD728" s="1709"/>
      <c r="ME728" s="1709"/>
      <c r="MF728" s="1709"/>
      <c r="MG728" s="1680">
        <f t="shared" si="216"/>
        <v>0</v>
      </c>
      <c r="MH728" s="770"/>
      <c r="MI728" s="302"/>
      <c r="MJ728" s="302"/>
      <c r="MK728" s="302"/>
      <c r="ML728" s="302"/>
      <c r="MM728" s="302"/>
      <c r="MN728" s="302"/>
      <c r="MO728" s="302"/>
      <c r="MP728" s="302"/>
      <c r="MQ728" s="302"/>
      <c r="MR728" s="302"/>
      <c r="MS728" s="302"/>
      <c r="MT728" s="302"/>
      <c r="MU728" s="302"/>
      <c r="MV728" s="302"/>
      <c r="MW728" s="302"/>
      <c r="MX728" s="302"/>
      <c r="MY728" s="1682">
        <f t="shared" si="217"/>
        <v>0</v>
      </c>
      <c r="MZ728" s="770"/>
      <c r="NA728" s="770"/>
      <c r="NB728" s="770"/>
      <c r="NC728" s="770"/>
      <c r="ND728" s="770"/>
      <c r="NE728" s="770"/>
      <c r="NF728" s="770"/>
      <c r="NG728" s="770"/>
      <c r="NH728" s="770"/>
      <c r="NI728" s="770"/>
      <c r="NJ728" s="770"/>
      <c r="NK728" s="770"/>
      <c r="NL728" s="770"/>
      <c r="NM728" s="770"/>
      <c r="NN728" s="770"/>
      <c r="NO728" s="770"/>
      <c r="NP728" s="770"/>
      <c r="NQ728" s="770"/>
      <c r="NR728" s="770"/>
      <c r="NS728" s="770"/>
      <c r="NT728" s="770"/>
      <c r="NU728" s="770"/>
      <c r="NV728" s="770"/>
      <c r="NW728" s="770"/>
      <c r="NX728" s="770"/>
      <c r="NY728" s="770"/>
      <c r="NZ728" s="770"/>
      <c r="OA728" s="770"/>
      <c r="OB728" s="770"/>
      <c r="OC728" s="770"/>
      <c r="OD728" s="770"/>
      <c r="OE728" s="770"/>
      <c r="OF728" s="770"/>
      <c r="OG728" s="770"/>
      <c r="OH728" s="770"/>
      <c r="OI728" s="770"/>
      <c r="OJ728" s="770"/>
      <c r="OK728" s="770"/>
      <c r="OL728" s="770"/>
      <c r="OM728" s="770"/>
      <c r="ON728" s="770"/>
      <c r="OO728" s="770"/>
      <c r="OP728" s="770"/>
      <c r="OQ728" s="770"/>
      <c r="OR728" s="770"/>
      <c r="OS728" s="770"/>
      <c r="OT728" s="770"/>
      <c r="OU728" s="770"/>
      <c r="OV728" s="770"/>
      <c r="OW728" s="770"/>
      <c r="OX728" s="770"/>
      <c r="OY728" s="770"/>
      <c r="OZ728" s="770"/>
      <c r="PA728" s="770"/>
      <c r="PB728" s="770"/>
      <c r="PC728" s="770"/>
      <c r="PD728" s="770"/>
      <c r="PE728" s="770"/>
      <c r="PF728" s="770"/>
      <c r="PG728" s="770"/>
      <c r="PH728" s="770"/>
      <c r="PI728" s="770"/>
      <c r="PJ728" s="770"/>
      <c r="PK728" s="770"/>
      <c r="PL728" s="770"/>
      <c r="PM728" s="770"/>
      <c r="PN728" s="770"/>
      <c r="PO728" s="770"/>
      <c r="PP728" s="770"/>
      <c r="PQ728" s="770"/>
      <c r="PR728" s="770"/>
      <c r="PS728" s="770"/>
      <c r="PT728" s="770"/>
      <c r="PU728" s="770"/>
      <c r="PV728" s="770"/>
      <c r="PW728" s="770"/>
      <c r="PX728" s="770"/>
      <c r="PY728" s="770"/>
      <c r="PZ728" s="770"/>
      <c r="QA728" s="770"/>
      <c r="QB728" s="770"/>
      <c r="QC728" s="770"/>
      <c r="QD728" s="770"/>
      <c r="QE728" s="770"/>
      <c r="QF728" s="770"/>
      <c r="QG728" s="770"/>
      <c r="QH728" s="770"/>
      <c r="QI728" s="770"/>
      <c r="QJ728" s="770"/>
      <c r="QK728" s="770"/>
      <c r="QL728" s="770"/>
      <c r="QM728" s="770"/>
      <c r="QN728" s="770"/>
      <c r="QO728" s="770"/>
      <c r="QP728" s="770"/>
      <c r="QQ728" s="770"/>
      <c r="QR728" s="770"/>
      <c r="QS728" s="770"/>
      <c r="QT728" s="770"/>
      <c r="QU728" s="770"/>
      <c r="QV728" s="770"/>
      <c r="QW728" s="770"/>
      <c r="QX728" s="770"/>
      <c r="QY728" s="770"/>
      <c r="QZ728" s="770"/>
      <c r="RA728" s="770"/>
      <c r="RB728" s="770"/>
      <c r="RC728" s="770"/>
      <c r="RD728" s="770"/>
      <c r="RE728" s="770"/>
      <c r="RF728" s="12"/>
      <c r="RG728" s="12"/>
      <c r="RH728" s="1728"/>
      <c r="RI728" s="12"/>
      <c r="RJ728" s="94"/>
      <c r="RK728" s="12"/>
      <c r="RL728" s="1710"/>
      <c r="RM728" s="12"/>
      <c r="RN728" s="1711"/>
      <c r="RO728" s="149" t="s">
        <v>3149</v>
      </c>
      <c r="RP728" s="11"/>
      <c r="RQ728" s="11"/>
      <c r="RR728" s="17"/>
      <c r="RS728" s="767"/>
      <c r="RT728" s="11"/>
      <c r="RU728" s="11"/>
      <c r="RV728" s="771" t="s">
        <v>7421</v>
      </c>
      <c r="RW728" s="11" t="s">
        <v>8059</v>
      </c>
      <c r="RX728" s="11" t="s">
        <v>4742</v>
      </c>
      <c r="RY728" s="11"/>
      <c r="RZ728" s="11" t="s">
        <v>2209</v>
      </c>
      <c r="SA728" s="771"/>
      <c r="SB728" s="11"/>
      <c r="SC728" s="11"/>
    </row>
    <row r="729" spans="1:497" ht="12.75" hidden="1" customHeight="1">
      <c r="A729" s="19" t="s">
        <v>7419</v>
      </c>
      <c r="B729" s="292" t="s">
        <v>8062</v>
      </c>
      <c r="C729" s="149" t="s">
        <v>4768</v>
      </c>
      <c r="D729" s="94" t="s">
        <v>4769</v>
      </c>
      <c r="E729" s="766" t="s">
        <v>3150</v>
      </c>
      <c r="F729" s="770" t="s">
        <v>28</v>
      </c>
      <c r="G729" s="770" t="s">
        <v>18</v>
      </c>
      <c r="H729" s="295" t="s">
        <v>4770</v>
      </c>
      <c r="I729" s="12"/>
      <c r="J729" s="94" t="s">
        <v>4769</v>
      </c>
      <c r="K729" s="766" t="s">
        <v>3151</v>
      </c>
      <c r="L729" s="766" t="s">
        <v>4755</v>
      </c>
      <c r="M729" s="770" t="s">
        <v>1238</v>
      </c>
      <c r="N729" s="1757"/>
      <c r="O729" s="1757" t="s">
        <v>3153</v>
      </c>
      <c r="P729" s="770"/>
      <c r="Q729" s="1088"/>
      <c r="R729" s="297"/>
      <c r="S729" s="770"/>
      <c r="T729" s="770"/>
      <c r="U729" s="298"/>
      <c r="V729" s="770"/>
      <c r="W729" s="770"/>
      <c r="X729" s="770"/>
      <c r="Y729" s="770"/>
      <c r="Z729" s="770"/>
      <c r="AA729" s="770"/>
      <c r="AB729" s="770"/>
      <c r="AC729" s="770"/>
      <c r="AD729" s="770"/>
      <c r="AE729" s="770"/>
      <c r="AF729" s="770"/>
      <c r="AG729" s="766" t="s">
        <v>1132</v>
      </c>
      <c r="AH729" s="766" t="s">
        <v>1096</v>
      </c>
      <c r="AI729" s="770"/>
      <c r="AJ729" s="770" t="s">
        <v>1137</v>
      </c>
      <c r="AK729" s="770" t="s">
        <v>1097</v>
      </c>
      <c r="AL729" s="531">
        <v>12</v>
      </c>
      <c r="AM729" s="780">
        <v>8</v>
      </c>
      <c r="AN729" s="532">
        <f t="shared" si="224"/>
        <v>0.66666666666666663</v>
      </c>
      <c r="AO729" s="766" t="s">
        <v>1105</v>
      </c>
      <c r="AP729" s="766" t="s">
        <v>5368</v>
      </c>
      <c r="AQ729" s="766" t="s">
        <v>7217</v>
      </c>
      <c r="AR729" s="766">
        <v>2015</v>
      </c>
      <c r="AS729" s="770" t="s">
        <v>1207</v>
      </c>
      <c r="AT729" s="770"/>
      <c r="AU729" s="770"/>
      <c r="AV729" s="770"/>
      <c r="AW729" s="770"/>
      <c r="AX729" s="770"/>
      <c r="AY729" s="770"/>
      <c r="AZ729" s="770"/>
      <c r="BA729" s="770" t="s">
        <v>1208</v>
      </c>
      <c r="BB729" s="770"/>
      <c r="BC729" s="770"/>
      <c r="BD729" s="770"/>
      <c r="BE729" s="770"/>
      <c r="BF729" s="302"/>
      <c r="BG729" s="302"/>
      <c r="BH729" s="770"/>
      <c r="BI729" s="770"/>
      <c r="BJ729" s="770"/>
      <c r="BK729" s="766"/>
      <c r="BL729" s="766"/>
      <c r="BM729" s="766"/>
      <c r="BN729" s="766"/>
      <c r="BO729" s="770"/>
      <c r="BP729" s="765"/>
      <c r="BQ729" s="773"/>
      <c r="BR729" s="774"/>
      <c r="BS729" s="766"/>
      <c r="BT729" s="770"/>
      <c r="BU729" s="770"/>
      <c r="BV729" s="770"/>
      <c r="BW729" s="770"/>
      <c r="BX729" s="302"/>
      <c r="BY729" s="770"/>
      <c r="BZ729" s="302"/>
      <c r="CA729" s="770"/>
      <c r="CB729" s="770" t="s">
        <v>1207</v>
      </c>
      <c r="CC729" s="770" t="s">
        <v>4771</v>
      </c>
      <c r="CD729" s="770">
        <v>2015</v>
      </c>
      <c r="CE729" s="302"/>
      <c r="CF729" s="304">
        <v>1.5</v>
      </c>
      <c r="CG729" s="321">
        <v>5</v>
      </c>
      <c r="CH729" s="770" t="s">
        <v>3377</v>
      </c>
      <c r="CI729" s="770"/>
      <c r="CJ729" s="770" t="s">
        <v>3377</v>
      </c>
      <c r="CK729" s="770">
        <v>6</v>
      </c>
      <c r="CL729" s="770"/>
      <c r="CM729" s="770" t="s">
        <v>3399</v>
      </c>
      <c r="CN729" s="770"/>
      <c r="CO729" s="770" t="s">
        <v>1257</v>
      </c>
      <c r="CP729" s="770"/>
      <c r="CQ729" s="770"/>
      <c r="CR729" s="302"/>
      <c r="CS729" s="770"/>
      <c r="CT729" s="770"/>
      <c r="CU729" s="305"/>
      <c r="CV729" s="770"/>
      <c r="CW729" s="770"/>
      <c r="CX729" s="770"/>
      <c r="CY729" s="770"/>
      <c r="CZ729" s="770"/>
      <c r="DA729" s="306"/>
      <c r="DB729" s="770"/>
      <c r="DC729" s="770"/>
      <c r="DD729" s="770"/>
      <c r="DE729" s="300"/>
      <c r="DF729" s="770"/>
      <c r="DG729" s="770"/>
      <c r="DH729" s="770"/>
      <c r="DI729" s="770"/>
      <c r="DJ729" s="770"/>
      <c r="DK729" s="770"/>
      <c r="DL729" s="770"/>
      <c r="DM729" s="770"/>
      <c r="DN729" s="322"/>
      <c r="DO729" s="770"/>
      <c r="DP729" s="770"/>
      <c r="DQ729" s="770"/>
      <c r="DR729" s="770"/>
      <c r="DS729" s="307"/>
      <c r="DT729" s="770"/>
      <c r="DU729" s="770"/>
      <c r="DV729" s="770"/>
      <c r="DW729" s="306"/>
      <c r="DX729" s="306"/>
      <c r="DY729" s="1055"/>
      <c r="DZ729" s="770"/>
      <c r="EA729" s="770"/>
      <c r="EB729" s="770"/>
      <c r="EC729" s="770"/>
      <c r="ED729" s="770"/>
      <c r="EE729" s="770"/>
      <c r="EF729" s="770"/>
      <c r="EG729" s="770"/>
      <c r="EH729" s="770"/>
      <c r="EI729" s="770"/>
      <c r="EJ729" s="770"/>
      <c r="EK729" s="770"/>
      <c r="EL729" s="770"/>
      <c r="EM729" s="770"/>
      <c r="EN729" s="770"/>
      <c r="EO729" s="770"/>
      <c r="EP729" s="94"/>
      <c r="EQ729" s="770"/>
      <c r="ER729" s="770"/>
      <c r="ES729" s="770"/>
      <c r="ET729" s="770"/>
      <c r="EU729" s="770"/>
      <c r="EV729" s="770"/>
      <c r="EW729" s="770"/>
      <c r="EX729" s="770"/>
      <c r="EY729" s="770"/>
      <c r="EZ729" s="770" t="s">
        <v>4771</v>
      </c>
      <c r="FA729" s="770" t="s">
        <v>3092</v>
      </c>
      <c r="FB729" s="770" t="s">
        <v>1105</v>
      </c>
      <c r="FC729" s="770"/>
      <c r="FD729" s="302"/>
      <c r="FE729" s="770" t="s">
        <v>4772</v>
      </c>
      <c r="FF729" s="770"/>
      <c r="FG729" s="770"/>
      <c r="FH729" s="770"/>
      <c r="FI729" s="770"/>
      <c r="FJ729" s="770"/>
      <c r="FK729" s="770"/>
      <c r="FL729" s="770"/>
      <c r="FM729" s="302"/>
      <c r="FN729" s="302"/>
      <c r="FO729" s="302"/>
      <c r="FP729" s="770"/>
      <c r="FQ729" s="770"/>
      <c r="FR729" s="770"/>
      <c r="FS729" s="770"/>
      <c r="FT729" s="770"/>
      <c r="FU729" s="770"/>
      <c r="FV729" s="770"/>
      <c r="FW729" s="770"/>
      <c r="FX729" s="770"/>
      <c r="FY729" s="770"/>
      <c r="FZ729" s="770"/>
      <c r="GA729" s="770"/>
      <c r="GB729" s="770"/>
      <c r="GC729" s="308"/>
      <c r="GD729" s="297"/>
      <c r="GE729" s="770"/>
      <c r="GF729" s="302"/>
      <c r="GG729" s="302"/>
      <c r="GH729" s="770"/>
      <c r="GI729" s="770"/>
      <c r="GJ729" s="770"/>
      <c r="GK729" s="770"/>
      <c r="GL729" s="770"/>
      <c r="GM729" s="770"/>
      <c r="GN729" s="299"/>
      <c r="GO729" s="770"/>
      <c r="GP729" s="770"/>
      <c r="GQ729" s="770"/>
      <c r="GR729" s="770"/>
      <c r="GS729" s="770"/>
      <c r="GT729" s="770"/>
      <c r="GU729" s="770"/>
      <c r="GV729" s="770"/>
      <c r="GW729" s="770"/>
      <c r="GX729" s="770"/>
      <c r="GY729" s="770"/>
      <c r="GZ729" s="770"/>
      <c r="HA729" s="770"/>
      <c r="HB729" s="770"/>
      <c r="HC729" s="770"/>
      <c r="HD729" s="770"/>
      <c r="HE729" s="770"/>
      <c r="HF729" s="770"/>
      <c r="HG729" s="770"/>
      <c r="HH729" s="770"/>
      <c r="HI729" s="770"/>
      <c r="HJ729" s="770"/>
      <c r="HK729" s="770"/>
      <c r="HL729" s="770"/>
      <c r="HM729" s="770"/>
      <c r="HN729" s="770"/>
      <c r="HO729" s="770"/>
      <c r="HP729" s="770"/>
      <c r="HQ729" s="770"/>
      <c r="HR729" s="770">
        <v>5</v>
      </c>
      <c r="HS729" s="770"/>
      <c r="HT729" s="770">
        <v>1</v>
      </c>
      <c r="HU729" s="770"/>
      <c r="HV729" s="770"/>
      <c r="HW729" s="770"/>
      <c r="HX729" s="770"/>
      <c r="HY729" s="770"/>
      <c r="HZ729" s="770"/>
      <c r="IA729" s="770"/>
      <c r="IB729" s="770"/>
      <c r="IC729" s="770" t="s">
        <v>1207</v>
      </c>
      <c r="ID729" s="770">
        <v>1</v>
      </c>
      <c r="IE729" s="770">
        <v>1</v>
      </c>
      <c r="IF729" s="770"/>
      <c r="IG729" s="770"/>
      <c r="IH729" s="770"/>
      <c r="II729" s="770"/>
      <c r="IJ729" s="770"/>
      <c r="IK729" s="770"/>
      <c r="IL729" s="770"/>
      <c r="IM729" s="770"/>
      <c r="IN729" s="770"/>
      <c r="IO729" s="296"/>
      <c r="IP729" s="770"/>
      <c r="IQ729" s="770"/>
      <c r="IR729" s="770"/>
      <c r="IS729" s="770"/>
      <c r="IT729" s="770"/>
      <c r="IU729" s="770"/>
      <c r="IV729" s="770"/>
      <c r="IW729" s="770"/>
      <c r="IX729" s="770"/>
      <c r="IY729" s="770"/>
      <c r="IZ729" s="770"/>
      <c r="JA729" s="770"/>
      <c r="JB729" s="770"/>
      <c r="JC729" s="770"/>
      <c r="JD729" s="302"/>
      <c r="JE729" s="770"/>
      <c r="JF729" s="770"/>
      <c r="JG729" s="770"/>
      <c r="JH729" s="307"/>
      <c r="JI729" s="307"/>
      <c r="JJ729" s="770"/>
      <c r="JK729" s="770"/>
      <c r="JL729" s="770"/>
      <c r="JM729" s="770"/>
      <c r="JN729" s="770"/>
      <c r="JO729" s="770"/>
      <c r="JP729" s="770"/>
      <c r="JQ729" s="770"/>
      <c r="JR729" s="770"/>
      <c r="JS729" s="770"/>
      <c r="JT729" s="766"/>
      <c r="JU729" s="766"/>
      <c r="JV729" s="766"/>
      <c r="JW729" s="766"/>
      <c r="JX729" s="770"/>
      <c r="JY729" s="770"/>
      <c r="JZ729" s="770"/>
      <c r="KA729" s="770"/>
      <c r="KB729" s="770"/>
      <c r="KC729" s="770"/>
      <c r="KD729" s="770"/>
      <c r="KE729" s="770"/>
      <c r="KF729" s="770"/>
      <c r="KG729" s="770"/>
      <c r="KH729" s="770"/>
      <c r="KI729" s="770"/>
      <c r="KJ729" s="770"/>
      <c r="KK729" s="770"/>
      <c r="KL729" s="770"/>
      <c r="KM729" s="770"/>
      <c r="KN729" s="770"/>
      <c r="KO729" s="770"/>
      <c r="KP729" s="770"/>
      <c r="KQ729" s="770"/>
      <c r="KR729" s="770"/>
      <c r="KS729" s="770"/>
      <c r="KT729" s="770"/>
      <c r="KU729" s="770"/>
      <c r="KV729" s="770"/>
      <c r="KW729" s="770"/>
      <c r="KX729" s="770"/>
      <c r="KY729" s="770"/>
      <c r="KZ729" s="770"/>
      <c r="LA729" s="770"/>
      <c r="LB729" s="770"/>
      <c r="LC729" s="770"/>
      <c r="LD729" s="770"/>
      <c r="LE729" s="770"/>
      <c r="LF729" s="770"/>
      <c r="LG729" s="770"/>
      <c r="LH729" s="770"/>
      <c r="LI729" s="770"/>
      <c r="LJ729" s="770"/>
      <c r="LK729" s="770"/>
      <c r="LL729" s="770"/>
      <c r="LM729" s="770"/>
      <c r="LN729" s="766"/>
      <c r="LO729" s="766"/>
      <c r="LP729" s="770"/>
      <c r="LQ729" s="770"/>
      <c r="LR729" s="770"/>
      <c r="LS729" s="770"/>
      <c r="LT729" s="770"/>
      <c r="LU729" s="770"/>
      <c r="LV729" s="770"/>
      <c r="LW729" s="770"/>
      <c r="LX729" s="769"/>
      <c r="LY729" s="766" t="str">
        <f t="shared" si="210"/>
        <v/>
      </c>
      <c r="LZ729" s="1709"/>
      <c r="MA729" s="1709"/>
      <c r="MB729" s="1709"/>
      <c r="MC729" s="1679">
        <f t="shared" si="208"/>
        <v>0</v>
      </c>
      <c r="MD729" s="1709"/>
      <c r="ME729" s="1709"/>
      <c r="MF729" s="1709"/>
      <c r="MG729" s="1680">
        <f t="shared" si="216"/>
        <v>0</v>
      </c>
      <c r="MH729" s="770"/>
      <c r="MI729" s="302"/>
      <c r="MJ729" s="302"/>
      <c r="MK729" s="302"/>
      <c r="ML729" s="302"/>
      <c r="MM729" s="302"/>
      <c r="MN729" s="302"/>
      <c r="MO729" s="302"/>
      <c r="MP729" s="302"/>
      <c r="MQ729" s="302"/>
      <c r="MR729" s="302"/>
      <c r="MS729" s="302"/>
      <c r="MT729" s="302"/>
      <c r="MU729" s="302"/>
      <c r="MV729" s="302"/>
      <c r="MW729" s="302"/>
      <c r="MX729" s="302"/>
      <c r="MY729" s="1682">
        <f t="shared" si="217"/>
        <v>0</v>
      </c>
      <c r="MZ729" s="770"/>
      <c r="NA729" s="770"/>
      <c r="NB729" s="770"/>
      <c r="NC729" s="770"/>
      <c r="ND729" s="770"/>
      <c r="NE729" s="770"/>
      <c r="NF729" s="770"/>
      <c r="NG729" s="770"/>
      <c r="NH729" s="770"/>
      <c r="NI729" s="770"/>
      <c r="NJ729" s="770"/>
      <c r="NK729" s="770"/>
      <c r="NL729" s="770"/>
      <c r="NM729" s="770"/>
      <c r="NN729" s="770"/>
      <c r="NO729" s="770"/>
      <c r="NP729" s="770"/>
      <c r="NQ729" s="770"/>
      <c r="NR729" s="770"/>
      <c r="NS729" s="770"/>
      <c r="NT729" s="770"/>
      <c r="NU729" s="770"/>
      <c r="NV729" s="770"/>
      <c r="NW729" s="770"/>
      <c r="NX729" s="770"/>
      <c r="NY729" s="770"/>
      <c r="NZ729" s="770"/>
      <c r="OA729" s="770"/>
      <c r="OB729" s="770"/>
      <c r="OC729" s="770"/>
      <c r="OD729" s="770"/>
      <c r="OE729" s="770"/>
      <c r="OF729" s="770"/>
      <c r="OG729" s="770"/>
      <c r="OH729" s="770"/>
      <c r="OI729" s="770"/>
      <c r="OJ729" s="770"/>
      <c r="OK729" s="770"/>
      <c r="OL729" s="770"/>
      <c r="OM729" s="770"/>
      <c r="ON729" s="770"/>
      <c r="OO729" s="770"/>
      <c r="OP729" s="770"/>
      <c r="OQ729" s="770"/>
      <c r="OR729" s="770"/>
      <c r="OS729" s="770"/>
      <c r="OT729" s="770"/>
      <c r="OU729" s="770"/>
      <c r="OV729" s="770"/>
      <c r="OW729" s="770"/>
      <c r="OX729" s="770"/>
      <c r="OY729" s="770"/>
      <c r="OZ729" s="770"/>
      <c r="PA729" s="770"/>
      <c r="PB729" s="770"/>
      <c r="PC729" s="770"/>
      <c r="PD729" s="770"/>
      <c r="PE729" s="770"/>
      <c r="PF729" s="770"/>
      <c r="PG729" s="770"/>
      <c r="PH729" s="770"/>
      <c r="PI729" s="770"/>
      <c r="PJ729" s="770"/>
      <c r="PK729" s="770"/>
      <c r="PL729" s="770"/>
      <c r="PM729" s="770"/>
      <c r="PN729" s="770"/>
      <c r="PO729" s="770"/>
      <c r="PP729" s="770"/>
      <c r="PQ729" s="770"/>
      <c r="PR729" s="770"/>
      <c r="PS729" s="770"/>
      <c r="PT729" s="770"/>
      <c r="PU729" s="770"/>
      <c r="PV729" s="770"/>
      <c r="PW729" s="770"/>
      <c r="PX729" s="770"/>
      <c r="PY729" s="770"/>
      <c r="PZ729" s="770"/>
      <c r="QA729" s="770"/>
      <c r="QB729" s="770"/>
      <c r="QC729" s="770"/>
      <c r="QD729" s="770"/>
      <c r="QE729" s="770"/>
      <c r="QF729" s="770"/>
      <c r="QG729" s="770"/>
      <c r="QH729" s="770"/>
      <c r="QI729" s="770"/>
      <c r="QJ729" s="770"/>
      <c r="QK729" s="770"/>
      <c r="QL729" s="770"/>
      <c r="QM729" s="770"/>
      <c r="QN729" s="770"/>
      <c r="QO729" s="770"/>
      <c r="QP729" s="770"/>
      <c r="QQ729" s="770"/>
      <c r="QR729" s="770"/>
      <c r="QS729" s="770"/>
      <c r="QT729" s="770"/>
      <c r="QU729" s="770"/>
      <c r="QV729" s="770"/>
      <c r="QW729" s="770"/>
      <c r="QX729" s="770"/>
      <c r="QY729" s="770"/>
      <c r="QZ729" s="770"/>
      <c r="RA729" s="770"/>
      <c r="RB729" s="770"/>
      <c r="RC729" s="770"/>
      <c r="RD729" s="770"/>
      <c r="RE729" s="770"/>
      <c r="RF729" s="304"/>
      <c r="RG729" s="770"/>
      <c r="RH729" s="306"/>
      <c r="RI729" s="770"/>
      <c r="RJ729" s="94" t="s">
        <v>13959</v>
      </c>
      <c r="RK729" s="770" t="s">
        <v>13544</v>
      </c>
      <c r="RL729" s="1710">
        <v>42845</v>
      </c>
      <c r="RM729" s="12"/>
      <c r="RN729" s="1711"/>
      <c r="RO729" s="149" t="s">
        <v>4768</v>
      </c>
      <c r="RP729" s="11"/>
      <c r="RQ729" s="11"/>
      <c r="RR729" s="17"/>
      <c r="RS729" s="767"/>
      <c r="RT729" s="11"/>
      <c r="RU729" s="11"/>
      <c r="RV729" s="771" t="s">
        <v>7421</v>
      </c>
      <c r="RW729" s="11" t="s">
        <v>8060</v>
      </c>
      <c r="RX729" s="11" t="s">
        <v>4750</v>
      </c>
      <c r="RY729" s="11"/>
      <c r="RZ729" s="11" t="s">
        <v>2209</v>
      </c>
      <c r="SA729" s="771"/>
      <c r="SB729" s="11"/>
      <c r="SC729" s="11"/>
    </row>
    <row r="730" spans="1:497" ht="12.75" hidden="1" customHeight="1">
      <c r="A730" s="19" t="s">
        <v>7419</v>
      </c>
      <c r="B730" s="292" t="s">
        <v>8063</v>
      </c>
      <c r="C730" s="149" t="s">
        <v>4777</v>
      </c>
      <c r="D730" s="94" t="s">
        <v>4778</v>
      </c>
      <c r="E730" s="766" t="s">
        <v>4779</v>
      </c>
      <c r="F730" s="770" t="s">
        <v>28</v>
      </c>
      <c r="G730" s="770" t="s">
        <v>18</v>
      </c>
      <c r="H730" s="295" t="s">
        <v>4780</v>
      </c>
      <c r="I730" s="12"/>
      <c r="J730" s="94" t="s">
        <v>4778</v>
      </c>
      <c r="K730" s="766" t="s">
        <v>4781</v>
      </c>
      <c r="L730" s="766" t="s">
        <v>4782</v>
      </c>
      <c r="M730" s="770" t="s">
        <v>1238</v>
      </c>
      <c r="N730" s="1757"/>
      <c r="O730" s="1757" t="s">
        <v>3153</v>
      </c>
      <c r="P730" s="770"/>
      <c r="Q730" s="1088"/>
      <c r="R730" s="297"/>
      <c r="S730" s="770"/>
      <c r="T730" s="770"/>
      <c r="U730" s="298"/>
      <c r="V730" s="770"/>
      <c r="W730" s="770"/>
      <c r="X730" s="770"/>
      <c r="Y730" s="770"/>
      <c r="Z730" s="770"/>
      <c r="AA730" s="770"/>
      <c r="AB730" s="770"/>
      <c r="AC730" s="770"/>
      <c r="AD730" s="770"/>
      <c r="AE730" s="770"/>
      <c r="AF730" s="770"/>
      <c r="AG730" s="766" t="s">
        <v>1132</v>
      </c>
      <c r="AH730" s="766" t="s">
        <v>1096</v>
      </c>
      <c r="AI730" s="770"/>
      <c r="AJ730" s="770" t="s">
        <v>1137</v>
      </c>
      <c r="AK730" s="770" t="s">
        <v>1097</v>
      </c>
      <c r="AL730" s="531">
        <v>8</v>
      </c>
      <c r="AM730" s="780">
        <v>8</v>
      </c>
      <c r="AN730" s="532">
        <f t="shared" si="224"/>
        <v>1</v>
      </c>
      <c r="AO730" s="766" t="s">
        <v>1122</v>
      </c>
      <c r="AP730" s="766" t="s">
        <v>5368</v>
      </c>
      <c r="AQ730" s="766" t="s">
        <v>7217</v>
      </c>
      <c r="AR730" s="766">
        <v>2017</v>
      </c>
      <c r="AS730" s="770" t="s">
        <v>1207</v>
      </c>
      <c r="AT730" s="770"/>
      <c r="AU730" s="770"/>
      <c r="AV730" s="770"/>
      <c r="AW730" s="770"/>
      <c r="AX730" s="13"/>
      <c r="AY730" s="770"/>
      <c r="AZ730" s="770"/>
      <c r="BA730" s="770" t="s">
        <v>1208</v>
      </c>
      <c r="BB730" s="770" t="s">
        <v>4790</v>
      </c>
      <c r="BC730" s="770" t="s">
        <v>4335</v>
      </c>
      <c r="BD730" s="770"/>
      <c r="BE730" s="770"/>
      <c r="BF730" s="302"/>
      <c r="BG730" s="302"/>
      <c r="BH730" s="770"/>
      <c r="BI730" s="770"/>
      <c r="BJ730" s="770"/>
      <c r="BK730" s="766"/>
      <c r="BL730" s="766"/>
      <c r="BM730" s="766"/>
      <c r="BN730" s="766"/>
      <c r="BO730" s="770"/>
      <c r="BP730" s="765"/>
      <c r="BQ730" s="773"/>
      <c r="BR730" s="774"/>
      <c r="BS730" s="766"/>
      <c r="BT730" s="770"/>
      <c r="BU730" s="770"/>
      <c r="BV730" s="770"/>
      <c r="BW730" s="770"/>
      <c r="BX730" s="302"/>
      <c r="BY730" s="770"/>
      <c r="BZ730" s="302"/>
      <c r="CA730" s="770"/>
      <c r="CB730" s="770" t="s">
        <v>1207</v>
      </c>
      <c r="CC730" s="770" t="s">
        <v>4783</v>
      </c>
      <c r="CD730" s="770">
        <v>2013</v>
      </c>
      <c r="CE730" s="302"/>
      <c r="CF730" s="304">
        <v>3</v>
      </c>
      <c r="CG730" s="321">
        <v>8</v>
      </c>
      <c r="CH730" s="770" t="s">
        <v>4784</v>
      </c>
      <c r="CI730" s="770"/>
      <c r="CJ730" s="770" t="s">
        <v>4785</v>
      </c>
      <c r="CK730" s="770">
        <v>3</v>
      </c>
      <c r="CL730" s="770" t="s">
        <v>1240</v>
      </c>
      <c r="CM730" s="770"/>
      <c r="CN730" s="770"/>
      <c r="CO730" s="770" t="s">
        <v>1257</v>
      </c>
      <c r="CP730" s="770"/>
      <c r="CQ730" s="770"/>
      <c r="CR730" s="302"/>
      <c r="CS730" s="770"/>
      <c r="CT730" s="770"/>
      <c r="CU730" s="305"/>
      <c r="CV730" s="770"/>
      <c r="CW730" s="770"/>
      <c r="CX730" s="770"/>
      <c r="CY730" s="770"/>
      <c r="CZ730" s="770"/>
      <c r="DA730" s="306"/>
      <c r="DB730" s="770"/>
      <c r="DC730" s="770"/>
      <c r="DD730" s="770"/>
      <c r="DE730" s="300"/>
      <c r="DF730" s="770"/>
      <c r="DG730" s="770"/>
      <c r="DH730" s="770"/>
      <c r="DI730" s="770"/>
      <c r="DJ730" s="770"/>
      <c r="DK730" s="770"/>
      <c r="DL730" s="770"/>
      <c r="DM730" s="770"/>
      <c r="DN730" s="322"/>
      <c r="DO730" s="770"/>
      <c r="DP730" s="770"/>
      <c r="DQ730" s="770"/>
      <c r="DR730" s="770"/>
      <c r="DS730" s="307"/>
      <c r="DT730" s="770"/>
      <c r="DU730" s="770"/>
      <c r="DV730" s="770"/>
      <c r="DW730" s="306"/>
      <c r="DX730" s="306"/>
      <c r="DY730" s="1055"/>
      <c r="DZ730" s="770"/>
      <c r="EA730" s="770"/>
      <c r="EB730" s="770"/>
      <c r="EC730" s="770"/>
      <c r="ED730" s="770"/>
      <c r="EE730" s="770"/>
      <c r="EF730" s="770"/>
      <c r="EG730" s="770"/>
      <c r="EH730" s="770"/>
      <c r="EI730" s="770"/>
      <c r="EJ730" s="770"/>
      <c r="EK730" s="770"/>
      <c r="EL730" s="770"/>
      <c r="EM730" s="770"/>
      <c r="EN730" s="770"/>
      <c r="EO730" s="770"/>
      <c r="EP730" s="94"/>
      <c r="EQ730" s="770"/>
      <c r="ER730" s="770"/>
      <c r="ES730" s="770"/>
      <c r="ET730" s="770"/>
      <c r="EU730" s="770"/>
      <c r="EV730" s="770"/>
      <c r="EW730" s="770"/>
      <c r="EX730" s="770"/>
      <c r="EY730" s="770"/>
      <c r="EZ730" s="770" t="s">
        <v>4783</v>
      </c>
      <c r="FA730" s="770" t="s">
        <v>3092</v>
      </c>
      <c r="FB730" s="770" t="s">
        <v>1257</v>
      </c>
      <c r="FC730" s="770">
        <v>2013</v>
      </c>
      <c r="FD730" s="302"/>
      <c r="FE730" s="770" t="s">
        <v>4787</v>
      </c>
      <c r="FF730" s="770" t="s">
        <v>4788</v>
      </c>
      <c r="FG730" s="770" t="s">
        <v>4786</v>
      </c>
      <c r="FH730" s="770"/>
      <c r="FI730" s="770"/>
      <c r="FJ730" s="770"/>
      <c r="FK730" s="770"/>
      <c r="FL730" s="770"/>
      <c r="FM730" s="302"/>
      <c r="FN730" s="302"/>
      <c r="FO730" s="302"/>
      <c r="FP730" s="770"/>
      <c r="FQ730" s="770"/>
      <c r="FR730" s="770"/>
      <c r="FS730" s="770"/>
      <c r="FT730" s="770"/>
      <c r="FU730" s="770"/>
      <c r="FV730" s="770"/>
      <c r="FW730" s="770"/>
      <c r="FX730" s="770"/>
      <c r="FY730" s="770"/>
      <c r="FZ730" s="770"/>
      <c r="GA730" s="770"/>
      <c r="GB730" s="770"/>
      <c r="GC730" s="308"/>
      <c r="GD730" s="297"/>
      <c r="GE730" s="770"/>
      <c r="GF730" s="302"/>
      <c r="GG730" s="302"/>
      <c r="GH730" s="770"/>
      <c r="GI730" s="770"/>
      <c r="GJ730" s="770"/>
      <c r="GK730" s="770"/>
      <c r="GL730" s="770"/>
      <c r="GM730" s="770"/>
      <c r="GN730" s="299"/>
      <c r="GO730" s="770"/>
      <c r="GP730" s="770"/>
      <c r="GQ730" s="770"/>
      <c r="GR730" s="770"/>
      <c r="GS730" s="770"/>
      <c r="GT730" s="770"/>
      <c r="GU730" s="770"/>
      <c r="GV730" s="770"/>
      <c r="GW730" s="770"/>
      <c r="GX730" s="770"/>
      <c r="GY730" s="770"/>
      <c r="GZ730" s="770"/>
      <c r="HA730" s="770"/>
      <c r="HB730" s="770"/>
      <c r="HC730" s="770"/>
      <c r="HD730" s="770"/>
      <c r="HE730" s="770"/>
      <c r="HF730" s="770"/>
      <c r="HG730" s="770"/>
      <c r="HH730" s="770"/>
      <c r="HI730" s="770"/>
      <c r="HJ730" s="770"/>
      <c r="HK730" s="770"/>
      <c r="HL730" s="770"/>
      <c r="HM730" s="770"/>
      <c r="HN730" s="770"/>
      <c r="HO730" s="770"/>
      <c r="HP730" s="770"/>
      <c r="HQ730" s="770"/>
      <c r="HR730" s="770">
        <v>4</v>
      </c>
      <c r="HS730" s="770"/>
      <c r="HT730" s="770">
        <v>1</v>
      </c>
      <c r="HU730" s="770"/>
      <c r="HV730" s="770"/>
      <c r="HW730" s="770"/>
      <c r="HX730" s="770"/>
      <c r="HY730" s="770"/>
      <c r="HZ730" s="770"/>
      <c r="IA730" s="770"/>
      <c r="IB730" s="770" t="s">
        <v>1207</v>
      </c>
      <c r="IC730" s="770"/>
      <c r="ID730" s="770">
        <v>1</v>
      </c>
      <c r="IE730" s="770"/>
      <c r="IF730" s="770"/>
      <c r="IG730" s="770"/>
      <c r="IH730" s="770"/>
      <c r="II730" s="770"/>
      <c r="IJ730" s="770"/>
      <c r="IK730" s="770"/>
      <c r="IL730" s="770"/>
      <c r="IM730" s="770"/>
      <c r="IN730" s="770"/>
      <c r="IO730" s="296"/>
      <c r="IP730" s="770"/>
      <c r="IQ730" s="770"/>
      <c r="IR730" s="770"/>
      <c r="IS730" s="770"/>
      <c r="IT730" s="770"/>
      <c r="IU730" s="770"/>
      <c r="IV730" s="770"/>
      <c r="IW730" s="770"/>
      <c r="IX730" s="770"/>
      <c r="IY730" s="770"/>
      <c r="IZ730" s="770"/>
      <c r="JA730" s="770"/>
      <c r="JB730" s="770"/>
      <c r="JC730" s="770"/>
      <c r="JD730" s="302"/>
      <c r="JE730" s="770"/>
      <c r="JF730" s="770"/>
      <c r="JG730" s="770"/>
      <c r="JH730" s="307"/>
      <c r="JI730" s="307"/>
      <c r="JJ730" s="770"/>
      <c r="JK730" s="770"/>
      <c r="JL730" s="770"/>
      <c r="JM730" s="770"/>
      <c r="JN730" s="770"/>
      <c r="JO730" s="770"/>
      <c r="JP730" s="770"/>
      <c r="JQ730" s="770"/>
      <c r="JR730" s="770"/>
      <c r="JS730" s="770"/>
      <c r="JT730" s="766"/>
      <c r="JU730" s="766"/>
      <c r="JV730" s="766"/>
      <c r="JW730" s="766"/>
      <c r="JX730" s="770"/>
      <c r="JY730" s="770"/>
      <c r="JZ730" s="770"/>
      <c r="KA730" s="770"/>
      <c r="KB730" s="770"/>
      <c r="KC730" s="770"/>
      <c r="KD730" s="770"/>
      <c r="KE730" s="770"/>
      <c r="KF730" s="770"/>
      <c r="KG730" s="770"/>
      <c r="KH730" s="770"/>
      <c r="KI730" s="770"/>
      <c r="KJ730" s="770"/>
      <c r="KK730" s="770"/>
      <c r="KL730" s="770"/>
      <c r="KM730" s="770"/>
      <c r="KN730" s="770"/>
      <c r="KO730" s="770"/>
      <c r="KP730" s="770"/>
      <c r="KQ730" s="770"/>
      <c r="KR730" s="770"/>
      <c r="KS730" s="770"/>
      <c r="KT730" s="770"/>
      <c r="KU730" s="770"/>
      <c r="KV730" s="770"/>
      <c r="KW730" s="770"/>
      <c r="KX730" s="770"/>
      <c r="KY730" s="770"/>
      <c r="KZ730" s="770"/>
      <c r="LA730" s="770"/>
      <c r="LB730" s="770"/>
      <c r="LC730" s="770"/>
      <c r="LD730" s="770"/>
      <c r="LE730" s="770"/>
      <c r="LF730" s="770"/>
      <c r="LG730" s="770"/>
      <c r="LH730" s="770"/>
      <c r="LI730" s="770"/>
      <c r="LJ730" s="770"/>
      <c r="LK730" s="770"/>
      <c r="LL730" s="770"/>
      <c r="LM730" s="770"/>
      <c r="LN730" s="766"/>
      <c r="LO730" s="766"/>
      <c r="LP730" s="770"/>
      <c r="LQ730" s="770"/>
      <c r="LR730" s="770"/>
      <c r="LS730" s="770"/>
      <c r="LT730" s="770"/>
      <c r="LU730" s="770"/>
      <c r="LV730" s="770"/>
      <c r="LW730" s="770"/>
      <c r="LX730" s="769"/>
      <c r="LY730" s="766" t="str">
        <f t="shared" si="210"/>
        <v/>
      </c>
      <c r="LZ730" s="1709"/>
      <c r="MA730" s="1709"/>
      <c r="MB730" s="1709"/>
      <c r="MC730" s="1679">
        <f t="shared" si="208"/>
        <v>0</v>
      </c>
      <c r="MD730" s="1709"/>
      <c r="ME730" s="1709"/>
      <c r="MF730" s="1709"/>
      <c r="MG730" s="1680">
        <f t="shared" si="216"/>
        <v>0</v>
      </c>
      <c r="MH730" s="770"/>
      <c r="MI730" s="302"/>
      <c r="MJ730" s="302"/>
      <c r="MK730" s="302"/>
      <c r="ML730" s="302"/>
      <c r="MM730" s="302"/>
      <c r="MN730" s="302"/>
      <c r="MO730" s="302"/>
      <c r="MP730" s="302"/>
      <c r="MQ730" s="302"/>
      <c r="MR730" s="302"/>
      <c r="MS730" s="302"/>
      <c r="MT730" s="302"/>
      <c r="MU730" s="302"/>
      <c r="MV730" s="302"/>
      <c r="MW730" s="302"/>
      <c r="MX730" s="302"/>
      <c r="MY730" s="1682">
        <f t="shared" si="217"/>
        <v>0</v>
      </c>
      <c r="MZ730" s="770"/>
      <c r="NA730" s="770"/>
      <c r="NB730" s="770"/>
      <c r="NC730" s="770"/>
      <c r="ND730" s="770"/>
      <c r="NE730" s="770"/>
      <c r="NF730" s="770"/>
      <c r="NG730" s="770"/>
      <c r="NH730" s="770"/>
      <c r="NI730" s="770"/>
      <c r="NJ730" s="770"/>
      <c r="NK730" s="770"/>
      <c r="NL730" s="770"/>
      <c r="NM730" s="770"/>
      <c r="NN730" s="770"/>
      <c r="NO730" s="770"/>
      <c r="NP730" s="770"/>
      <c r="NQ730" s="770"/>
      <c r="NR730" s="770"/>
      <c r="NS730" s="770"/>
      <c r="NT730" s="770"/>
      <c r="NU730" s="770"/>
      <c r="NV730" s="770"/>
      <c r="NW730" s="770"/>
      <c r="NX730" s="770"/>
      <c r="NY730" s="770"/>
      <c r="NZ730" s="770"/>
      <c r="OA730" s="770"/>
      <c r="OB730" s="770"/>
      <c r="OC730" s="770"/>
      <c r="OD730" s="770"/>
      <c r="OE730" s="770"/>
      <c r="OF730" s="770"/>
      <c r="OG730" s="770"/>
      <c r="OH730" s="770"/>
      <c r="OI730" s="770"/>
      <c r="OJ730" s="770"/>
      <c r="OK730" s="770"/>
      <c r="OL730" s="770"/>
      <c r="OM730" s="770"/>
      <c r="ON730" s="770"/>
      <c r="OO730" s="770"/>
      <c r="OP730" s="770"/>
      <c r="OQ730" s="770"/>
      <c r="OR730" s="770"/>
      <c r="OS730" s="770"/>
      <c r="OT730" s="770"/>
      <c r="OU730" s="770"/>
      <c r="OV730" s="770"/>
      <c r="OW730" s="770"/>
      <c r="OX730" s="770"/>
      <c r="OY730" s="770"/>
      <c r="OZ730" s="770"/>
      <c r="PA730" s="770"/>
      <c r="PB730" s="770"/>
      <c r="PC730" s="770"/>
      <c r="PD730" s="770"/>
      <c r="PE730" s="770"/>
      <c r="PF730" s="770"/>
      <c r="PG730" s="770"/>
      <c r="PH730" s="770"/>
      <c r="PI730" s="770"/>
      <c r="PJ730" s="770"/>
      <c r="PK730" s="770"/>
      <c r="PL730" s="770"/>
      <c r="PM730" s="770"/>
      <c r="PN730" s="770"/>
      <c r="PO730" s="770"/>
      <c r="PP730" s="770"/>
      <c r="PQ730" s="770"/>
      <c r="PR730" s="770"/>
      <c r="PS730" s="770"/>
      <c r="PT730" s="770"/>
      <c r="PU730" s="770"/>
      <c r="PV730" s="770"/>
      <c r="PW730" s="770"/>
      <c r="PX730" s="770"/>
      <c r="PY730" s="770"/>
      <c r="PZ730" s="770"/>
      <c r="QA730" s="770"/>
      <c r="QB730" s="770"/>
      <c r="QC730" s="770"/>
      <c r="QD730" s="770"/>
      <c r="QE730" s="770"/>
      <c r="QF730" s="770"/>
      <c r="QG730" s="770"/>
      <c r="QH730" s="770"/>
      <c r="QI730" s="770"/>
      <c r="QJ730" s="770"/>
      <c r="QK730" s="770"/>
      <c r="QL730" s="770"/>
      <c r="QM730" s="770"/>
      <c r="QN730" s="770"/>
      <c r="QO730" s="770"/>
      <c r="QP730" s="770"/>
      <c r="QQ730" s="770"/>
      <c r="QR730" s="770"/>
      <c r="QS730" s="770"/>
      <c r="QT730" s="770"/>
      <c r="QU730" s="770"/>
      <c r="QV730" s="770"/>
      <c r="QW730" s="770"/>
      <c r="QX730" s="770"/>
      <c r="QY730" s="770"/>
      <c r="QZ730" s="770"/>
      <c r="RA730" s="770"/>
      <c r="RB730" s="770"/>
      <c r="RC730" s="770"/>
      <c r="RD730" s="770"/>
      <c r="RE730" s="770"/>
      <c r="RF730" s="304"/>
      <c r="RG730" s="770"/>
      <c r="RH730" s="306"/>
      <c r="RI730" s="770"/>
      <c r="RJ730" s="94" t="s">
        <v>13960</v>
      </c>
      <c r="RK730" s="770" t="s">
        <v>13544</v>
      </c>
      <c r="RL730" s="1710">
        <v>42846</v>
      </c>
      <c r="RM730" s="12"/>
      <c r="RN730" s="1711"/>
      <c r="RO730" s="149" t="s">
        <v>4777</v>
      </c>
      <c r="RP730" s="11"/>
      <c r="RQ730" s="11"/>
      <c r="RR730" s="17"/>
      <c r="RS730" s="767"/>
      <c r="RT730" s="11"/>
      <c r="RU730" s="11"/>
      <c r="RV730" s="771" t="s">
        <v>7421</v>
      </c>
      <c r="RW730" s="11" t="s">
        <v>8061</v>
      </c>
      <c r="RX730" s="11" t="s">
        <v>3149</v>
      </c>
      <c r="RY730" s="11"/>
      <c r="RZ730" s="11" t="s">
        <v>2209</v>
      </c>
      <c r="SA730" s="771"/>
      <c r="SB730" s="11"/>
      <c r="SC730" s="11"/>
    </row>
    <row r="731" spans="1:497" ht="12.75" customHeight="1">
      <c r="A731" s="19" t="s">
        <v>1101</v>
      </c>
      <c r="B731" s="292" t="s">
        <v>8066</v>
      </c>
      <c r="C731" s="149" t="s">
        <v>3155</v>
      </c>
      <c r="D731" s="94" t="s">
        <v>4773</v>
      </c>
      <c r="E731" s="766" t="s">
        <v>4774</v>
      </c>
      <c r="F731" s="770" t="s">
        <v>28</v>
      </c>
      <c r="G731" s="770" t="s">
        <v>10</v>
      </c>
      <c r="H731" s="770"/>
      <c r="I731" s="295" t="s">
        <v>3167</v>
      </c>
      <c r="J731" s="94" t="s">
        <v>4773</v>
      </c>
      <c r="K731" s="766" t="s">
        <v>3159</v>
      </c>
      <c r="L731" s="766" t="s">
        <v>3160</v>
      </c>
      <c r="M731" s="770" t="s">
        <v>1238</v>
      </c>
      <c r="N731" s="1757"/>
      <c r="O731" s="1757" t="s">
        <v>3153</v>
      </c>
      <c r="P731" s="94" t="s">
        <v>4775</v>
      </c>
      <c r="Q731" s="1088">
        <v>22588</v>
      </c>
      <c r="R731" s="297">
        <v>55</v>
      </c>
      <c r="S731" s="770" t="s">
        <v>10</v>
      </c>
      <c r="T731" s="770"/>
      <c r="U731" s="295" t="s">
        <v>3167</v>
      </c>
      <c r="V731" s="770" t="s">
        <v>707</v>
      </c>
      <c r="W731" s="770"/>
      <c r="X731" s="770"/>
      <c r="Y731" s="770" t="s">
        <v>4774</v>
      </c>
      <c r="Z731" s="770" t="s">
        <v>708</v>
      </c>
      <c r="AA731" s="770" t="s">
        <v>709</v>
      </c>
      <c r="AB731" s="770" t="s">
        <v>710</v>
      </c>
      <c r="AC731" s="770"/>
      <c r="AD731" s="770" t="s">
        <v>711</v>
      </c>
      <c r="AE731" s="770"/>
      <c r="AF731" s="770" t="s">
        <v>712</v>
      </c>
      <c r="AG731" s="766" t="s">
        <v>1132</v>
      </c>
      <c r="AH731" s="766" t="s">
        <v>1096</v>
      </c>
      <c r="AI731" s="770"/>
      <c r="AJ731" s="770" t="s">
        <v>1137</v>
      </c>
      <c r="AK731" s="770" t="s">
        <v>1101</v>
      </c>
      <c r="AL731" s="531">
        <v>102</v>
      </c>
      <c r="AM731" s="780">
        <v>10.25</v>
      </c>
      <c r="AN731" s="532">
        <f t="shared" si="224"/>
        <v>0.10049019607843138</v>
      </c>
      <c r="AO731" s="766" t="s">
        <v>1109</v>
      </c>
      <c r="AP731" s="766"/>
      <c r="AQ731" s="766"/>
      <c r="AR731" s="766"/>
      <c r="AS731" s="770"/>
      <c r="AT731" s="770"/>
      <c r="AU731" s="770"/>
      <c r="AV731" s="770"/>
      <c r="AW731" s="770"/>
      <c r="AX731" s="770"/>
      <c r="AY731" s="770"/>
      <c r="AZ731" s="770"/>
      <c r="BA731" s="770"/>
      <c r="BB731" s="770"/>
      <c r="BC731" s="770"/>
      <c r="BD731" s="770" t="s">
        <v>1207</v>
      </c>
      <c r="BE731" s="770" t="s">
        <v>1207</v>
      </c>
      <c r="BF731" s="302">
        <f>SUM(2500,1500)</f>
        <v>4000</v>
      </c>
      <c r="BG731" s="302">
        <f>BF731*12</f>
        <v>48000</v>
      </c>
      <c r="BH731" s="770"/>
      <c r="BI731" s="770"/>
      <c r="BJ731" s="770"/>
      <c r="BK731" s="766" t="s">
        <v>1095</v>
      </c>
      <c r="BL731" s="766" t="s">
        <v>3162</v>
      </c>
      <c r="BM731" s="766" t="s">
        <v>1096</v>
      </c>
      <c r="BN731" s="766" t="s">
        <v>1230</v>
      </c>
      <c r="BO731" s="770" t="s">
        <v>1333</v>
      </c>
      <c r="BP731" s="1109">
        <v>132</v>
      </c>
      <c r="BQ731" s="773">
        <v>21.2</v>
      </c>
      <c r="BR731" s="774">
        <f>BQ731/BP731</f>
        <v>0.16060606060606061</v>
      </c>
      <c r="BS731" s="766" t="s">
        <v>1242</v>
      </c>
      <c r="BT731" s="766" t="s">
        <v>8133</v>
      </c>
      <c r="BU731" s="770" t="s">
        <v>1249</v>
      </c>
      <c r="BV731" s="770" t="s">
        <v>1247</v>
      </c>
      <c r="BW731" s="770">
        <v>1960</v>
      </c>
      <c r="BX731" s="302"/>
      <c r="BY731" s="770"/>
      <c r="BZ731" s="302"/>
      <c r="CA731" s="770"/>
      <c r="CB731" s="770"/>
      <c r="CC731" s="770"/>
      <c r="CD731" s="770"/>
      <c r="CE731" s="302"/>
      <c r="CF731" s="304"/>
      <c r="CG731" s="321"/>
      <c r="CH731" s="770"/>
      <c r="CI731" s="770"/>
      <c r="CJ731" s="770"/>
      <c r="CK731" s="770"/>
      <c r="CL731" s="770"/>
      <c r="CM731" s="770"/>
      <c r="CN731" s="770"/>
      <c r="CO731" s="770"/>
      <c r="CP731" s="770"/>
      <c r="CQ731" s="770"/>
      <c r="CR731" s="302"/>
      <c r="CS731" s="770"/>
      <c r="CT731" s="770"/>
      <c r="CU731" s="305"/>
      <c r="CV731" s="770"/>
      <c r="CW731" s="770"/>
      <c r="CX731" s="770"/>
      <c r="CY731" s="770"/>
      <c r="CZ731" s="770"/>
      <c r="DA731" s="306"/>
      <c r="DB731" s="770"/>
      <c r="DC731" s="770"/>
      <c r="DD731" s="770"/>
      <c r="DE731" s="300"/>
      <c r="DF731" s="770"/>
      <c r="DG731" s="770"/>
      <c r="DH731" s="770"/>
      <c r="DI731" s="770"/>
      <c r="DJ731" s="770"/>
      <c r="DK731" s="770"/>
      <c r="DL731" s="770"/>
      <c r="DM731" s="770"/>
      <c r="DN731" s="322"/>
      <c r="DO731" s="770"/>
      <c r="DP731" s="770"/>
      <c r="DQ731" s="770"/>
      <c r="DR731" s="770"/>
      <c r="DS731" s="307"/>
      <c r="DT731" s="770"/>
      <c r="DU731" s="770"/>
      <c r="DV731" s="770"/>
      <c r="DW731" s="306"/>
      <c r="DX731" s="306"/>
      <c r="DY731" s="1055"/>
      <c r="DZ731" s="770"/>
      <c r="EA731" s="770"/>
      <c r="EB731" s="770"/>
      <c r="EC731" s="770"/>
      <c r="ED731" s="770"/>
      <c r="EE731" s="770"/>
      <c r="EF731" s="770"/>
      <c r="EG731" s="770"/>
      <c r="EH731" s="770"/>
      <c r="EI731" s="770"/>
      <c r="EJ731" s="770"/>
      <c r="EK731" s="770"/>
      <c r="EL731" s="770"/>
      <c r="EM731" s="770"/>
      <c r="EN731" s="770"/>
      <c r="EO731" s="770"/>
      <c r="EP731" s="94"/>
      <c r="EQ731" s="770"/>
      <c r="ER731" s="770"/>
      <c r="ES731" s="770"/>
      <c r="ET731" s="770"/>
      <c r="EU731" s="770"/>
      <c r="EV731" s="770"/>
      <c r="EW731" s="770"/>
      <c r="EX731" s="770"/>
      <c r="EY731" s="770"/>
      <c r="EZ731" s="770"/>
      <c r="FA731" s="770"/>
      <c r="FB731" s="770"/>
      <c r="FC731" s="770"/>
      <c r="FD731" s="302"/>
      <c r="FE731" s="770"/>
      <c r="FF731" s="770"/>
      <c r="FG731" s="770"/>
      <c r="FH731" s="770" t="s">
        <v>478</v>
      </c>
      <c r="FI731" s="770">
        <v>3</v>
      </c>
      <c r="FJ731" s="770"/>
      <c r="FK731" s="770"/>
      <c r="FL731" s="770"/>
      <c r="FM731" s="302"/>
      <c r="FN731" s="302"/>
      <c r="FO731" s="302"/>
      <c r="FP731" s="770" t="s">
        <v>1600</v>
      </c>
      <c r="FQ731" s="770" t="s">
        <v>1642</v>
      </c>
      <c r="FR731" s="770" t="s">
        <v>1214</v>
      </c>
      <c r="FS731" s="770"/>
      <c r="FT731" s="770"/>
      <c r="FU731" s="770"/>
      <c r="FV731" s="770"/>
      <c r="FW731" s="770"/>
      <c r="FX731" s="770"/>
      <c r="FY731" s="770"/>
      <c r="FZ731" s="770"/>
      <c r="GA731" s="770"/>
      <c r="GB731" s="770" t="s">
        <v>853</v>
      </c>
      <c r="GC731" s="308"/>
      <c r="GD731" s="297"/>
      <c r="GE731" s="770" t="s">
        <v>1207</v>
      </c>
      <c r="GF731" s="302">
        <v>4000</v>
      </c>
      <c r="GG731" s="302">
        <f>GF731*12</f>
        <v>48000</v>
      </c>
      <c r="GH731" s="770"/>
      <c r="GI731" s="770"/>
      <c r="GJ731" s="770"/>
      <c r="GK731" s="770"/>
      <c r="GL731" s="770"/>
      <c r="GM731" s="770"/>
      <c r="GN731" s="299"/>
      <c r="GO731" s="770"/>
      <c r="GP731" s="770"/>
      <c r="GQ731" s="770"/>
      <c r="GR731" s="770"/>
      <c r="GS731" s="770"/>
      <c r="GT731" s="770"/>
      <c r="GU731" s="770"/>
      <c r="GV731" s="770"/>
      <c r="GW731" s="770"/>
      <c r="GX731" s="770"/>
      <c r="GY731" s="770"/>
      <c r="GZ731" s="770"/>
      <c r="HA731" s="770"/>
      <c r="HB731" s="770"/>
      <c r="HC731" s="770"/>
      <c r="HD731" s="770"/>
      <c r="HE731" s="770"/>
      <c r="HF731" s="770"/>
      <c r="HG731" s="770"/>
      <c r="HH731" s="770"/>
      <c r="HI731" s="770"/>
      <c r="HJ731" s="770"/>
      <c r="HK731" s="770"/>
      <c r="HL731" s="770"/>
      <c r="HM731" s="770"/>
      <c r="HN731" s="770"/>
      <c r="HO731" s="770"/>
      <c r="HP731" s="770"/>
      <c r="HQ731" s="770"/>
      <c r="HR731" s="770"/>
      <c r="HS731" s="770"/>
      <c r="HT731" s="770"/>
      <c r="HU731" s="770"/>
      <c r="HV731" s="770"/>
      <c r="HW731" s="770"/>
      <c r="HX731" s="770"/>
      <c r="HY731" s="770"/>
      <c r="HZ731" s="770"/>
      <c r="IA731" s="770"/>
      <c r="IB731" s="14" t="e">
        <f>IF(#REF!&gt;0,IF(#REF!&lt;=10000,"Y",""),"")</f>
        <v>#REF!</v>
      </c>
      <c r="IC731" s="770"/>
      <c r="ID731" s="770">
        <v>1</v>
      </c>
      <c r="IE731" s="770"/>
      <c r="IF731" s="770" t="s">
        <v>4776</v>
      </c>
      <c r="IG731" s="770" t="s">
        <v>10</v>
      </c>
      <c r="IH731" s="770" t="s">
        <v>478</v>
      </c>
      <c r="II731" s="770" t="s">
        <v>4774</v>
      </c>
      <c r="IJ731" s="770" t="s">
        <v>1835</v>
      </c>
      <c r="IK731" s="770" t="s">
        <v>2639</v>
      </c>
      <c r="IL731" s="770" t="s">
        <v>3171</v>
      </c>
      <c r="IM731" s="770">
        <v>2008</v>
      </c>
      <c r="IN731" s="770" t="s">
        <v>3171</v>
      </c>
      <c r="IO731" s="296">
        <v>22588</v>
      </c>
      <c r="IP731" s="770" t="s">
        <v>478</v>
      </c>
      <c r="IQ731" s="13" t="s">
        <v>8144</v>
      </c>
      <c r="IR731" s="770" t="s">
        <v>2716</v>
      </c>
      <c r="IS731" s="770" t="s">
        <v>1879</v>
      </c>
      <c r="IT731" s="770"/>
      <c r="IU731" s="770" t="s">
        <v>1208</v>
      </c>
      <c r="IV731" s="770"/>
      <c r="IW731" s="770" t="s">
        <v>13961</v>
      </c>
      <c r="IX731" s="770"/>
      <c r="IY731" s="770" t="s">
        <v>3167</v>
      </c>
      <c r="IZ731" s="770"/>
      <c r="JA731" s="770" t="s">
        <v>1880</v>
      </c>
      <c r="JB731" s="770" t="s">
        <v>1901</v>
      </c>
      <c r="JC731" s="770"/>
      <c r="JD731" s="302">
        <v>4000</v>
      </c>
      <c r="JE731" s="770"/>
      <c r="JF731" s="770"/>
      <c r="JG731" s="770"/>
      <c r="JH731" s="307"/>
      <c r="JI731" s="307"/>
      <c r="JJ731" s="94"/>
      <c r="JK731" s="1047" t="s">
        <v>3162</v>
      </c>
      <c r="JL731" s="770"/>
      <c r="JM731" s="770"/>
      <c r="JN731" s="770"/>
      <c r="JO731" s="770"/>
      <c r="JP731" s="770"/>
      <c r="JQ731" s="770"/>
      <c r="JR731" s="770"/>
      <c r="JS731" s="770"/>
      <c r="JT731" s="766"/>
      <c r="JU731" s="766"/>
      <c r="JV731" s="712" t="str">
        <f>IF(JT731=KJ731,"ok","male")</f>
        <v>ok</v>
      </c>
      <c r="JW731" s="712" t="str">
        <f>IF(JU731=KK731,"ok","female")</f>
        <v>ok</v>
      </c>
      <c r="JX731" s="770"/>
      <c r="JY731" s="770"/>
      <c r="JZ731" s="770"/>
      <c r="KA731" s="770"/>
      <c r="KB731" s="770"/>
      <c r="KC731" s="770"/>
      <c r="KD731" s="770"/>
      <c r="KE731" s="770"/>
      <c r="KF731" s="770"/>
      <c r="KG731" s="770"/>
      <c r="KH731" s="770"/>
      <c r="KI731" s="770"/>
      <c r="KJ731" s="770"/>
      <c r="KK731" s="770"/>
      <c r="KL731" s="712" t="str">
        <f>IF(KJ731=LN731,"ok","male")</f>
        <v>ok</v>
      </c>
      <c r="KM731" s="712" t="str">
        <f>IF(KK731=LO731,"ok","female")</f>
        <v>ok</v>
      </c>
      <c r="KN731" s="770"/>
      <c r="KO731" s="770"/>
      <c r="KP731" s="770"/>
      <c r="KQ731" s="770"/>
      <c r="KR731" s="770"/>
      <c r="KS731" s="770"/>
      <c r="KT731" s="770"/>
      <c r="KU731" s="770"/>
      <c r="KV731" s="770"/>
      <c r="KW731" s="770"/>
      <c r="KX731" s="770"/>
      <c r="KY731" s="770"/>
      <c r="KZ731" s="770"/>
      <c r="LA731" s="770"/>
      <c r="LB731" s="770"/>
      <c r="LC731" s="770"/>
      <c r="LD731" s="770"/>
      <c r="LE731" s="770"/>
      <c r="LF731" s="770"/>
      <c r="LG731" s="770"/>
      <c r="LH731" s="770"/>
      <c r="LI731" s="770"/>
      <c r="LJ731" s="770"/>
      <c r="LK731" s="770"/>
      <c r="LL731" s="770"/>
      <c r="LM731" s="770"/>
      <c r="LN731" s="766"/>
      <c r="LO731" s="766"/>
      <c r="LP731" s="770"/>
      <c r="LQ731" s="770"/>
      <c r="LR731" s="770"/>
      <c r="LS731" s="770"/>
      <c r="LT731" s="712" t="str">
        <f>IF(LQ731=SUM(LU731:LW731),"OK","REV")</f>
        <v>OK</v>
      </c>
      <c r="LU731" s="770"/>
      <c r="LV731" s="770"/>
      <c r="LW731" s="770"/>
      <c r="LX731" s="769"/>
      <c r="LY731" s="766" t="str">
        <f t="shared" si="210"/>
        <v/>
      </c>
      <c r="LZ731" s="1709"/>
      <c r="MA731" s="1709"/>
      <c r="MB731" s="1709"/>
      <c r="MC731" s="1679">
        <f t="shared" si="208"/>
        <v>0</v>
      </c>
      <c r="MD731" s="1709"/>
      <c r="ME731" s="1709"/>
      <c r="MF731" s="1709"/>
      <c r="MG731" s="1680">
        <v>0</v>
      </c>
      <c r="MH731" s="770"/>
      <c r="MI731" s="302"/>
      <c r="MJ731" s="302"/>
      <c r="MK731" s="302"/>
      <c r="ML731" s="302"/>
      <c r="MM731" s="302"/>
      <c r="MN731" s="302"/>
      <c r="MO731" s="302"/>
      <c r="MP731" s="302"/>
      <c r="MQ731" s="302"/>
      <c r="MR731" s="302"/>
      <c r="MS731" s="302"/>
      <c r="MT731" s="302"/>
      <c r="MU731" s="302"/>
      <c r="MV731" s="302"/>
      <c r="MW731" s="302"/>
      <c r="MX731" s="302"/>
      <c r="MY731" s="1682"/>
      <c r="MZ731" s="770"/>
      <c r="NA731" s="770"/>
      <c r="NB731" s="770"/>
      <c r="NC731" s="770"/>
      <c r="ND731" s="770"/>
      <c r="NE731" s="770"/>
      <c r="NF731" s="770"/>
      <c r="NG731" s="770"/>
      <c r="NH731" s="770"/>
      <c r="NI731" s="770"/>
      <c r="NJ731" s="770"/>
      <c r="NK731" s="770"/>
      <c r="NL731" s="770"/>
      <c r="NM731" s="770"/>
      <c r="NN731" s="770"/>
      <c r="NO731" s="770"/>
      <c r="NP731" s="770"/>
      <c r="NQ731" s="770"/>
      <c r="NR731" s="770"/>
      <c r="NS731" s="770"/>
      <c r="NT731" s="770"/>
      <c r="NU731" s="770"/>
      <c r="NV731" s="770"/>
      <c r="NW731" s="770"/>
      <c r="NX731" s="770"/>
      <c r="NY731" s="770"/>
      <c r="NZ731" s="770"/>
      <c r="OA731" s="770"/>
      <c r="OB731" s="770"/>
      <c r="OC731" s="770"/>
      <c r="OD731" s="770"/>
      <c r="OE731" s="770"/>
      <c r="OF731" s="770" t="s">
        <v>2140</v>
      </c>
      <c r="OG731" s="770"/>
      <c r="OH731" s="770"/>
      <c r="OI731" s="770"/>
      <c r="OJ731" s="770"/>
      <c r="OK731" s="770"/>
      <c r="OL731" s="770"/>
      <c r="OM731" s="770"/>
      <c r="ON731" s="770"/>
      <c r="OO731" s="770"/>
      <c r="OP731" s="770"/>
      <c r="OQ731" s="770"/>
      <c r="OR731" s="770"/>
      <c r="OS731" s="770"/>
      <c r="OT731" s="770"/>
      <c r="OU731" s="770"/>
      <c r="OV731" s="770"/>
      <c r="OW731" s="770"/>
      <c r="OX731" s="770"/>
      <c r="OY731" s="770"/>
      <c r="OZ731" s="770"/>
      <c r="PA731" s="770"/>
      <c r="PB731" s="770"/>
      <c r="PC731" s="770"/>
      <c r="PD731" s="770"/>
      <c r="PE731" s="770"/>
      <c r="PF731" s="770"/>
      <c r="PG731" s="770"/>
      <c r="PH731" s="770"/>
      <c r="PI731" s="770"/>
      <c r="PJ731" s="770"/>
      <c r="PK731" s="770"/>
      <c r="PL731" s="770"/>
      <c r="PM731" s="770"/>
      <c r="PN731" s="770"/>
      <c r="PO731" s="770"/>
      <c r="PP731" s="770"/>
      <c r="PQ731" s="770"/>
      <c r="PR731" s="770"/>
      <c r="PS731" s="770"/>
      <c r="PT731" s="770"/>
      <c r="PU731" s="770"/>
      <c r="PV731" s="770"/>
      <c r="PW731" s="770"/>
      <c r="PX731" s="770"/>
      <c r="PY731" s="770"/>
      <c r="PZ731" s="770"/>
      <c r="QA731" s="770"/>
      <c r="QB731" s="770"/>
      <c r="QC731" s="770"/>
      <c r="QD731" s="770"/>
      <c r="QE731" s="770"/>
      <c r="QF731" s="770"/>
      <c r="QG731" s="770"/>
      <c r="QH731" s="770"/>
      <c r="QI731" s="770"/>
      <c r="QJ731" s="770"/>
      <c r="QK731" s="770"/>
      <c r="QL731" s="770"/>
      <c r="QM731" s="770"/>
      <c r="QN731" s="770"/>
      <c r="QO731" s="770"/>
      <c r="QP731" s="770"/>
      <c r="QQ731" s="770"/>
      <c r="QR731" s="770"/>
      <c r="QS731" s="770"/>
      <c r="QT731" s="770"/>
      <c r="QU731" s="770"/>
      <c r="QV731" s="770"/>
      <c r="QW731" s="770"/>
      <c r="QX731" s="770"/>
      <c r="QY731" s="770"/>
      <c r="QZ731" s="770"/>
      <c r="RA731" s="770"/>
      <c r="RB731" s="770"/>
      <c r="RC731" s="770"/>
      <c r="RD731" s="770"/>
      <c r="RE731" s="770"/>
      <c r="RF731" s="304"/>
      <c r="RG731" s="770"/>
      <c r="RH731" s="306"/>
      <c r="RI731" s="770"/>
      <c r="RJ731" s="94" t="s">
        <v>13962</v>
      </c>
      <c r="RK731" s="770" t="s">
        <v>13544</v>
      </c>
      <c r="RL731" s="1710">
        <v>42846</v>
      </c>
      <c r="RM731" s="12"/>
      <c r="RN731" s="1711"/>
      <c r="RO731" s="149" t="s">
        <v>3155</v>
      </c>
      <c r="RP731" s="11"/>
      <c r="RQ731" s="11"/>
      <c r="RR731" s="19" t="s">
        <v>1101</v>
      </c>
      <c r="RS731" s="1139" t="s">
        <v>12980</v>
      </c>
      <c r="RT731" s="11"/>
      <c r="RU731" s="11"/>
      <c r="RV731" s="6" t="s">
        <v>7419</v>
      </c>
      <c r="RW731" s="11" t="s">
        <v>8062</v>
      </c>
      <c r="RX731" s="11" t="s">
        <v>4768</v>
      </c>
      <c r="RY731" s="11"/>
      <c r="RZ731" s="11" t="s">
        <v>2209</v>
      </c>
      <c r="SA731" s="6"/>
      <c r="SB731" s="11"/>
      <c r="SC731" s="11"/>
    </row>
    <row r="732" spans="1:497" ht="12.75" customHeight="1">
      <c r="A732" s="311" t="s">
        <v>14239</v>
      </c>
      <c r="B732" s="292" t="s">
        <v>8067</v>
      </c>
      <c r="C732" s="149" t="s">
        <v>3155</v>
      </c>
      <c r="D732" s="94" t="s">
        <v>3156</v>
      </c>
      <c r="E732" s="766" t="s">
        <v>3157</v>
      </c>
      <c r="F732" s="770"/>
      <c r="G732" s="770" t="s">
        <v>10</v>
      </c>
      <c r="H732" s="770"/>
      <c r="I732" s="295"/>
      <c r="J732" s="94" t="s">
        <v>3158</v>
      </c>
      <c r="K732" s="766" t="s">
        <v>3159</v>
      </c>
      <c r="L732" s="766" t="s">
        <v>3160</v>
      </c>
      <c r="M732" s="770"/>
      <c r="N732" s="1757"/>
      <c r="O732" s="1757" t="s">
        <v>3153</v>
      </c>
      <c r="P732" s="94" t="s">
        <v>3158</v>
      </c>
      <c r="Q732" s="1088">
        <v>31558</v>
      </c>
      <c r="R732" s="297">
        <v>30</v>
      </c>
      <c r="S732" s="770" t="s">
        <v>18</v>
      </c>
      <c r="T732" s="770"/>
      <c r="U732" s="298" t="s">
        <v>3161</v>
      </c>
      <c r="V732" s="770" t="s">
        <v>768</v>
      </c>
      <c r="W732" s="770"/>
      <c r="X732" s="770"/>
      <c r="Y732" s="770" t="s">
        <v>3157</v>
      </c>
      <c r="Z732" s="770" t="s">
        <v>708</v>
      </c>
      <c r="AA732" s="770" t="s">
        <v>709</v>
      </c>
      <c r="AB732" s="770" t="s">
        <v>7275</v>
      </c>
      <c r="AC732" s="770" t="s">
        <v>724</v>
      </c>
      <c r="AD732" s="770"/>
      <c r="AE732" s="770"/>
      <c r="AF732" s="770" t="s">
        <v>712</v>
      </c>
      <c r="AG732" s="770"/>
      <c r="AH732" s="770"/>
      <c r="AI732" s="770"/>
      <c r="AJ732" s="770"/>
      <c r="AK732" s="770" t="s">
        <v>1101</v>
      </c>
      <c r="AL732" s="531"/>
      <c r="AM732" s="780"/>
      <c r="AN732" s="532"/>
      <c r="AO732" s="766"/>
      <c r="AP732" s="766"/>
      <c r="AQ732" s="766"/>
      <c r="AR732" s="766"/>
      <c r="AS732" s="770"/>
      <c r="AT732" s="770"/>
      <c r="AU732" s="770"/>
      <c r="AV732" s="770"/>
      <c r="AW732" s="770"/>
      <c r="AX732" s="770"/>
      <c r="AY732" s="770"/>
      <c r="AZ732" s="770"/>
      <c r="BA732" s="770"/>
      <c r="BB732" s="770"/>
      <c r="BC732" s="770"/>
      <c r="BD732" s="770"/>
      <c r="BE732" s="770"/>
      <c r="BF732" s="302"/>
      <c r="BG732" s="302"/>
      <c r="BH732" s="770"/>
      <c r="BI732" s="770"/>
      <c r="BJ732" s="770"/>
      <c r="BK732" s="766"/>
      <c r="BL732" s="766"/>
      <c r="BM732" s="766" t="s">
        <v>1238</v>
      </c>
      <c r="BN732" s="766" t="s">
        <v>1256</v>
      </c>
      <c r="BO732" s="770"/>
      <c r="BP732" s="765"/>
      <c r="BQ732" s="773"/>
      <c r="BR732" s="774"/>
      <c r="BS732" s="766" t="s">
        <v>1242</v>
      </c>
      <c r="BT732" s="770"/>
      <c r="BU732" s="770"/>
      <c r="BV732" s="770"/>
      <c r="BW732" s="770"/>
      <c r="BX732" s="302"/>
      <c r="BY732" s="770"/>
      <c r="BZ732" s="302"/>
      <c r="CA732" s="770"/>
      <c r="CB732" s="770"/>
      <c r="CC732" s="770"/>
      <c r="CD732" s="770"/>
      <c r="CE732" s="302"/>
      <c r="CF732" s="304"/>
      <c r="CG732" s="321"/>
      <c r="CH732" s="770"/>
      <c r="CI732" s="770"/>
      <c r="CJ732" s="770"/>
      <c r="CK732" s="770"/>
      <c r="CL732" s="770"/>
      <c r="CM732" s="770"/>
      <c r="CN732" s="770"/>
      <c r="CO732" s="770"/>
      <c r="CP732" s="770"/>
      <c r="CQ732" s="770"/>
      <c r="CR732" s="302"/>
      <c r="CS732" s="770"/>
      <c r="CT732" s="770"/>
      <c r="CU732" s="305"/>
      <c r="CV732" s="770"/>
      <c r="CW732" s="770"/>
      <c r="CX732" s="770"/>
      <c r="CY732" s="770"/>
      <c r="CZ732" s="770"/>
      <c r="DA732" s="306"/>
      <c r="DB732" s="770"/>
      <c r="DC732" s="770"/>
      <c r="DD732" s="770"/>
      <c r="DE732" s="300"/>
      <c r="DF732" s="770"/>
      <c r="DG732" s="770"/>
      <c r="DH732" s="770"/>
      <c r="DI732" s="770"/>
      <c r="DJ732" s="770"/>
      <c r="DK732" s="770"/>
      <c r="DL732" s="770"/>
      <c r="DM732" s="770"/>
      <c r="DN732" s="322"/>
      <c r="DO732" s="770"/>
      <c r="DP732" s="770"/>
      <c r="DQ732" s="770"/>
      <c r="DR732" s="770"/>
      <c r="DS732" s="307"/>
      <c r="DT732" s="770"/>
      <c r="DU732" s="770"/>
      <c r="DV732" s="770"/>
      <c r="DW732" s="306"/>
      <c r="DX732" s="306"/>
      <c r="DY732" s="1055"/>
      <c r="DZ732" s="770"/>
      <c r="EA732" s="770"/>
      <c r="EB732" s="770"/>
      <c r="EC732" s="770"/>
      <c r="ED732" s="770"/>
      <c r="EE732" s="770"/>
      <c r="EF732" s="770"/>
      <c r="EG732" s="770"/>
      <c r="EH732" s="770"/>
      <c r="EI732" s="770"/>
      <c r="EJ732" s="770"/>
      <c r="EK732" s="770"/>
      <c r="EL732" s="770"/>
      <c r="EM732" s="770"/>
      <c r="EN732" s="770"/>
      <c r="EO732" s="770"/>
      <c r="EP732" s="94"/>
      <c r="EQ732" s="770"/>
      <c r="ER732" s="770"/>
      <c r="ES732" s="770"/>
      <c r="ET732" s="770"/>
      <c r="EU732" s="770"/>
      <c r="EV732" s="770"/>
      <c r="EW732" s="770"/>
      <c r="EX732" s="770"/>
      <c r="EY732" s="770"/>
      <c r="EZ732" s="770"/>
      <c r="FA732" s="770"/>
      <c r="FB732" s="770"/>
      <c r="FC732" s="770"/>
      <c r="FD732" s="302"/>
      <c r="FE732" s="770"/>
      <c r="FF732" s="770"/>
      <c r="FG732" s="770"/>
      <c r="FH732" s="770" t="s">
        <v>1306</v>
      </c>
      <c r="FI732" s="770">
        <v>1</v>
      </c>
      <c r="FJ732" s="770" t="s">
        <v>3162</v>
      </c>
      <c r="FK732" s="770" t="s">
        <v>3167</v>
      </c>
      <c r="FL732" s="770" t="s">
        <v>3163</v>
      </c>
      <c r="FM732" s="147">
        <v>1500</v>
      </c>
      <c r="FN732" s="302">
        <v>600</v>
      </c>
      <c r="FO732" s="302">
        <v>700</v>
      </c>
      <c r="FP732" s="770" t="s">
        <v>1600</v>
      </c>
      <c r="FQ732" s="770" t="s">
        <v>1642</v>
      </c>
      <c r="FR732" s="770"/>
      <c r="FS732" s="770"/>
      <c r="FT732" s="770"/>
      <c r="FU732" s="770"/>
      <c r="FV732" s="770"/>
      <c r="FW732" s="770"/>
      <c r="FX732" s="770"/>
      <c r="FY732" s="770"/>
      <c r="FZ732" s="770"/>
      <c r="GA732" s="770"/>
      <c r="GB732" s="770"/>
      <c r="GC732" s="308"/>
      <c r="GD732" s="297"/>
      <c r="GE732" s="770"/>
      <c r="GF732" s="302"/>
      <c r="GG732" s="302"/>
      <c r="GH732" s="770"/>
      <c r="GI732" s="770"/>
      <c r="GJ732" s="770"/>
      <c r="GK732" s="770"/>
      <c r="GL732" s="770"/>
      <c r="GM732" s="770"/>
      <c r="GN732" s="299"/>
      <c r="GO732" s="770"/>
      <c r="GP732" s="770"/>
      <c r="GQ732" s="770"/>
      <c r="GR732" s="770"/>
      <c r="GS732" s="770"/>
      <c r="GT732" s="770"/>
      <c r="GU732" s="770"/>
      <c r="GV732" s="770"/>
      <c r="GW732" s="770"/>
      <c r="GX732" s="770"/>
      <c r="GY732" s="770"/>
      <c r="GZ732" s="770"/>
      <c r="HA732" s="770"/>
      <c r="HB732" s="770"/>
      <c r="HC732" s="770"/>
      <c r="HD732" s="770"/>
      <c r="HE732" s="770"/>
      <c r="HF732" s="770"/>
      <c r="HG732" s="770"/>
      <c r="HH732" s="770"/>
      <c r="HI732" s="770"/>
      <c r="HJ732" s="770"/>
      <c r="HK732" s="770"/>
      <c r="HL732" s="770"/>
      <c r="HM732" s="770"/>
      <c r="HN732" s="770"/>
      <c r="HO732" s="770"/>
      <c r="HP732" s="770"/>
      <c r="HQ732" s="770"/>
      <c r="HR732" s="770"/>
      <c r="HS732" s="770"/>
      <c r="HT732" s="770"/>
      <c r="HU732" s="770"/>
      <c r="HV732" s="770"/>
      <c r="HW732" s="770"/>
      <c r="HX732" s="770"/>
      <c r="HY732" s="770"/>
      <c r="HZ732" s="770"/>
      <c r="IA732" s="770"/>
      <c r="IB732" s="14" t="e">
        <f>IF(#REF!&gt;0,IF(#REF!&lt;=10000,"Y",""),"")</f>
        <v>#REF!</v>
      </c>
      <c r="IC732" s="770" t="s">
        <v>1207</v>
      </c>
      <c r="ID732" s="770"/>
      <c r="IE732" s="770"/>
      <c r="IF732" s="770"/>
      <c r="IG732" s="770"/>
      <c r="IH732" s="770"/>
      <c r="II732" s="770"/>
      <c r="IJ732" s="770"/>
      <c r="IK732" s="770"/>
      <c r="IL732" s="770"/>
      <c r="IM732" s="770"/>
      <c r="IN732" s="770"/>
      <c r="IO732" s="296"/>
      <c r="IP732" s="770"/>
      <c r="IQ732" s="770"/>
      <c r="IR732" s="770"/>
      <c r="IS732" s="770"/>
      <c r="IT732" s="770"/>
      <c r="IU732" s="770"/>
      <c r="IV732" s="770"/>
      <c r="IW732" s="770"/>
      <c r="IX732" s="770"/>
      <c r="IY732" s="770"/>
      <c r="IZ732" s="770"/>
      <c r="JA732" s="770"/>
      <c r="JB732" s="770"/>
      <c r="JC732" s="770"/>
      <c r="JD732" s="302"/>
      <c r="JE732" s="770"/>
      <c r="JF732" s="770"/>
      <c r="JG732" s="770"/>
      <c r="JH732" s="307"/>
      <c r="JI732" s="712" t="str">
        <f>IF(SUM(JT732,JU732)=JJ732,"ok","review")</f>
        <v>ok</v>
      </c>
      <c r="JJ732" s="770">
        <v>6</v>
      </c>
      <c r="JK732" s="1047" t="s">
        <v>10620</v>
      </c>
      <c r="JL732" s="770"/>
      <c r="JM732" s="770">
        <v>2</v>
      </c>
      <c r="JN732" s="770">
        <v>1</v>
      </c>
      <c r="JO732" s="770">
        <v>3</v>
      </c>
      <c r="JP732" s="770"/>
      <c r="JQ732" s="770"/>
      <c r="JR732" s="770"/>
      <c r="JS732" s="770"/>
      <c r="JT732" s="766">
        <f t="shared" ref="JT732:JU734" si="227">SUM(JP732,JN732,JL732,JR732)</f>
        <v>1</v>
      </c>
      <c r="JU732" s="766">
        <f t="shared" si="227"/>
        <v>5</v>
      </c>
      <c r="JV732" s="712" t="str">
        <f>IF(JT732=KJ732,"ok","male")</f>
        <v>ok</v>
      </c>
      <c r="JW732" s="712" t="str">
        <f>IF(JU732=KK732,"ok","female")</f>
        <v>ok</v>
      </c>
      <c r="JX732" s="770"/>
      <c r="JY732" s="770">
        <v>2</v>
      </c>
      <c r="JZ732" s="770"/>
      <c r="KA732" s="770">
        <v>1</v>
      </c>
      <c r="KB732" s="770"/>
      <c r="KC732" s="770">
        <v>1</v>
      </c>
      <c r="KD732" s="770">
        <v>1</v>
      </c>
      <c r="KE732" s="770">
        <v>1</v>
      </c>
      <c r="KF732" s="770"/>
      <c r="KG732" s="770"/>
      <c r="KH732" s="770"/>
      <c r="KI732" s="770"/>
      <c r="KJ732" s="770">
        <f>SUM(KF732,KD732,KB732,JZ732,JX732,KH732)</f>
        <v>1</v>
      </c>
      <c r="KK732" s="770">
        <f>SUM(KG732,KE732,KC732,KA732,JY732,KI732)</f>
        <v>5</v>
      </c>
      <c r="KL732" s="712" t="str">
        <f>IF(KJ732=LN732,"ok","male")</f>
        <v>ok</v>
      </c>
      <c r="KM732" s="712" t="str">
        <f>IF(KK732=LO732,"ok","female")</f>
        <v>ok</v>
      </c>
      <c r="KN732" s="770"/>
      <c r="KO732" s="770"/>
      <c r="KP732" s="770"/>
      <c r="KQ732" s="770"/>
      <c r="KR732" s="770"/>
      <c r="KS732" s="770">
        <v>1</v>
      </c>
      <c r="KT732" s="770"/>
      <c r="KU732" s="770"/>
      <c r="KV732" s="770"/>
      <c r="KW732" s="770"/>
      <c r="KX732" s="770"/>
      <c r="KY732" s="770"/>
      <c r="KZ732" s="770"/>
      <c r="LA732" s="770">
        <v>2</v>
      </c>
      <c r="LB732" s="770"/>
      <c r="LC732" s="770">
        <v>1</v>
      </c>
      <c r="LD732" s="770">
        <v>1</v>
      </c>
      <c r="LE732" s="770"/>
      <c r="LF732" s="770"/>
      <c r="LG732" s="770"/>
      <c r="LH732" s="770"/>
      <c r="LI732" s="770"/>
      <c r="LJ732" s="770"/>
      <c r="LK732" s="770">
        <v>1</v>
      </c>
      <c r="LL732" s="770"/>
      <c r="LM732" s="770"/>
      <c r="LN732" s="766">
        <f>SUM(KP732,KR732,KT732,KV732,KX732,KZ732,LB732,LD732,LF732,LH732,LJ732,LL732)</f>
        <v>1</v>
      </c>
      <c r="LO732" s="766">
        <f>SUM(KQ732,KS732,KU732,KW732,KY732,LA732,LC732,LE732,LG732,LI732,LK732,LM732)</f>
        <v>5</v>
      </c>
      <c r="LP732" s="770">
        <v>2</v>
      </c>
      <c r="LQ732" s="770">
        <v>2</v>
      </c>
      <c r="LR732" s="770">
        <v>1</v>
      </c>
      <c r="LS732" s="770"/>
      <c r="LT732" s="712" t="str">
        <f>IF(LQ732=SUM(LU732:LW732),"OK","REV")</f>
        <v>OK</v>
      </c>
      <c r="LU732" s="770">
        <v>2</v>
      </c>
      <c r="LV732" s="770"/>
      <c r="LW732" s="770"/>
      <c r="LX732" s="769">
        <v>3</v>
      </c>
      <c r="LY732" s="766" t="str">
        <f t="shared" si="210"/>
        <v>within the PROVINCE</v>
      </c>
      <c r="LZ732" s="1709"/>
      <c r="MA732" s="1709"/>
      <c r="MB732" s="1709"/>
      <c r="MC732" s="1679">
        <f t="shared" si="208"/>
        <v>0</v>
      </c>
      <c r="MD732" s="1709"/>
      <c r="ME732" s="1709">
        <f>10000+10000</f>
        <v>20000</v>
      </c>
      <c r="MF732" s="1709"/>
      <c r="MG732" s="1680">
        <f>SUM(MD732:MF732)</f>
        <v>20000</v>
      </c>
      <c r="MH732" s="770" t="s">
        <v>12503</v>
      </c>
      <c r="MI732" s="302">
        <v>12000</v>
      </c>
      <c r="MJ732" s="302">
        <v>7200</v>
      </c>
      <c r="MK732" s="302"/>
      <c r="ML732" s="302">
        <v>1000</v>
      </c>
      <c r="MM732" s="302">
        <v>1500</v>
      </c>
      <c r="MN732" s="302">
        <v>1500</v>
      </c>
      <c r="MO732" s="302"/>
      <c r="MP732" s="302">
        <v>700</v>
      </c>
      <c r="MQ732" s="302">
        <v>360</v>
      </c>
      <c r="MR732" s="302">
        <v>600</v>
      </c>
      <c r="MS732" s="302"/>
      <c r="MT732" s="302"/>
      <c r="MU732" s="302"/>
      <c r="MV732" s="302"/>
      <c r="MW732" s="302"/>
      <c r="MX732" s="302"/>
      <c r="MY732" s="1682">
        <f t="shared" si="217"/>
        <v>24860</v>
      </c>
      <c r="MZ732" s="770" t="s">
        <v>13214</v>
      </c>
      <c r="NA732" s="770" t="s">
        <v>13005</v>
      </c>
      <c r="NB732" s="770" t="s">
        <v>13092</v>
      </c>
      <c r="NC732" s="770" t="s">
        <v>13602</v>
      </c>
      <c r="ND732" s="770">
        <v>0</v>
      </c>
      <c r="NE732" s="770">
        <v>0</v>
      </c>
      <c r="NF732" s="770">
        <v>0</v>
      </c>
      <c r="NG732" s="770">
        <v>2</v>
      </c>
      <c r="NH732" s="770">
        <v>1</v>
      </c>
      <c r="NI732" s="770">
        <v>0</v>
      </c>
      <c r="NJ732" s="770">
        <v>1</v>
      </c>
      <c r="NK732" s="770">
        <v>0</v>
      </c>
      <c r="NL732" s="770">
        <v>0</v>
      </c>
      <c r="NM732" s="770">
        <v>1</v>
      </c>
      <c r="NN732" s="770">
        <v>0</v>
      </c>
      <c r="NO732" s="770">
        <v>0</v>
      </c>
      <c r="NP732" s="770">
        <v>0</v>
      </c>
      <c r="NQ732" s="770">
        <v>0</v>
      </c>
      <c r="NR732" s="770">
        <v>0</v>
      </c>
      <c r="NS732" s="770">
        <v>0</v>
      </c>
      <c r="NT732" s="770">
        <v>0</v>
      </c>
      <c r="NU732" s="770">
        <v>0</v>
      </c>
      <c r="NV732" s="770">
        <v>0</v>
      </c>
      <c r="NW732" s="770">
        <v>0</v>
      </c>
      <c r="NX732" s="770">
        <v>0</v>
      </c>
      <c r="NY732" s="770" t="s">
        <v>1208</v>
      </c>
      <c r="NZ732" s="770" t="s">
        <v>1208</v>
      </c>
      <c r="OA732" s="770" t="s">
        <v>1208</v>
      </c>
      <c r="OB732" s="770" t="s">
        <v>1208</v>
      </c>
      <c r="OC732" s="770" t="s">
        <v>1208</v>
      </c>
      <c r="OD732" s="770"/>
      <c r="OE732" s="770"/>
      <c r="OF732" s="770"/>
      <c r="OG732" s="770"/>
      <c r="OH732" s="770"/>
      <c r="OI732" s="770"/>
      <c r="OJ732" s="770"/>
      <c r="OK732" s="770"/>
      <c r="OL732" s="770"/>
      <c r="OM732" s="770"/>
      <c r="ON732" s="770"/>
      <c r="OO732" s="770"/>
      <c r="OP732" s="770"/>
      <c r="OQ732" s="770"/>
      <c r="OR732" s="770"/>
      <c r="OS732" s="770"/>
      <c r="OT732" s="770"/>
      <c r="OU732" s="770"/>
      <c r="OV732" s="770"/>
      <c r="OW732" s="770"/>
      <c r="OX732" s="770"/>
      <c r="OY732" s="770"/>
      <c r="OZ732" s="770"/>
      <c r="PA732" s="770"/>
      <c r="PB732" s="770"/>
      <c r="PC732" s="770"/>
      <c r="PD732" s="770"/>
      <c r="PE732" s="770"/>
      <c r="PF732" s="770"/>
      <c r="PG732" s="770"/>
      <c r="PH732" s="770"/>
      <c r="PI732" s="770" t="s">
        <v>1208</v>
      </c>
      <c r="PJ732" s="770"/>
      <c r="PK732" s="770"/>
      <c r="PL732" s="770"/>
      <c r="PM732" s="770"/>
      <c r="PN732" s="770"/>
      <c r="PO732" s="770"/>
      <c r="PP732" s="770"/>
      <c r="PQ732" s="770"/>
      <c r="PR732" s="770"/>
      <c r="PS732" s="770"/>
      <c r="PT732" s="770"/>
      <c r="PU732" s="770"/>
      <c r="PV732" s="770"/>
      <c r="PW732" s="770"/>
      <c r="PX732" s="770"/>
      <c r="PY732" s="770"/>
      <c r="PZ732" s="770"/>
      <c r="QA732" s="770"/>
      <c r="QB732" s="770"/>
      <c r="QC732" s="770"/>
      <c r="QD732" s="770"/>
      <c r="QE732" s="770"/>
      <c r="QF732" s="770"/>
      <c r="QG732" s="770"/>
      <c r="QH732" s="770"/>
      <c r="QI732" s="770"/>
      <c r="QJ732" s="770"/>
      <c r="QK732" s="770"/>
      <c r="QL732" s="770"/>
      <c r="QM732" s="770"/>
      <c r="QN732" s="770"/>
      <c r="QO732" s="770"/>
      <c r="QP732" s="770"/>
      <c r="QQ732" s="770"/>
      <c r="QR732" s="770"/>
      <c r="QS732" s="770"/>
      <c r="QT732" s="770"/>
      <c r="QU732" s="770"/>
      <c r="QV732" s="770"/>
      <c r="QW732" s="770"/>
      <c r="QX732" s="770"/>
      <c r="QY732" s="770"/>
      <c r="QZ732" s="770"/>
      <c r="RA732" s="770"/>
      <c r="RB732" s="770" t="s">
        <v>1207</v>
      </c>
      <c r="RC732" s="770"/>
      <c r="RD732" s="770" t="s">
        <v>13036</v>
      </c>
      <c r="RE732" s="770" t="s">
        <v>13008</v>
      </c>
      <c r="RF732" s="304">
        <v>2</v>
      </c>
      <c r="RG732" s="770" t="s">
        <v>13047</v>
      </c>
      <c r="RH732" s="306">
        <v>0</v>
      </c>
      <c r="RI732" s="770">
        <v>2</v>
      </c>
      <c r="RJ732" s="94" t="s">
        <v>13963</v>
      </c>
      <c r="RK732" s="770" t="s">
        <v>13544</v>
      </c>
      <c r="RL732" s="1710">
        <v>42846</v>
      </c>
      <c r="RM732" s="12"/>
      <c r="RN732" s="1711"/>
      <c r="RO732" s="149" t="s">
        <v>3155</v>
      </c>
      <c r="RP732" s="11"/>
      <c r="RQ732" s="11"/>
      <c r="RR732" s="311" t="s">
        <v>12452</v>
      </c>
      <c r="RS732" s="1139" t="s">
        <v>12980</v>
      </c>
      <c r="RT732" s="11"/>
      <c r="RU732" s="11"/>
      <c r="RV732" s="6" t="s">
        <v>7419</v>
      </c>
      <c r="RW732" s="11" t="s">
        <v>8063</v>
      </c>
      <c r="RX732" s="11" t="s">
        <v>4777</v>
      </c>
      <c r="RY732" s="11"/>
      <c r="RZ732" s="11"/>
      <c r="SA732" s="6"/>
      <c r="SB732" s="11"/>
      <c r="SC732" s="11"/>
    </row>
    <row r="733" spans="1:497" ht="12.75" customHeight="1">
      <c r="A733" s="311" t="s">
        <v>14239</v>
      </c>
      <c r="B733" s="292" t="s">
        <v>8068</v>
      </c>
      <c r="C733" s="149" t="s">
        <v>3155</v>
      </c>
      <c r="D733" s="94" t="s">
        <v>3164</v>
      </c>
      <c r="E733" s="766" t="s">
        <v>3157</v>
      </c>
      <c r="F733" s="770" t="s">
        <v>28</v>
      </c>
      <c r="G733" s="770" t="s">
        <v>18</v>
      </c>
      <c r="H733" s="770"/>
      <c r="I733" s="295" t="s">
        <v>3165</v>
      </c>
      <c r="J733" s="94" t="s">
        <v>3164</v>
      </c>
      <c r="K733" s="770"/>
      <c r="L733" s="770"/>
      <c r="M733" s="770"/>
      <c r="N733" s="1757"/>
      <c r="O733" s="1757"/>
      <c r="P733" s="94" t="s">
        <v>3166</v>
      </c>
      <c r="Q733" s="1088">
        <v>32886</v>
      </c>
      <c r="R733" s="297">
        <v>27</v>
      </c>
      <c r="S733" s="770" t="s">
        <v>18</v>
      </c>
      <c r="T733" s="770"/>
      <c r="U733" s="295" t="s">
        <v>3165</v>
      </c>
      <c r="V733" s="770" t="s">
        <v>722</v>
      </c>
      <c r="W733" s="770"/>
      <c r="X733" s="770"/>
      <c r="Y733" s="770" t="s">
        <v>3157</v>
      </c>
      <c r="Z733" s="770" t="s">
        <v>708</v>
      </c>
      <c r="AA733" s="770" t="s">
        <v>709</v>
      </c>
      <c r="AB733" s="770" t="s">
        <v>7275</v>
      </c>
      <c r="AC733" s="770" t="s">
        <v>724</v>
      </c>
      <c r="AD733" s="770"/>
      <c r="AE733" s="770"/>
      <c r="AF733" s="770" t="s">
        <v>712</v>
      </c>
      <c r="AG733" s="770"/>
      <c r="AH733" s="770"/>
      <c r="AI733" s="770"/>
      <c r="AJ733" s="770"/>
      <c r="AK733" s="770" t="s">
        <v>1101</v>
      </c>
      <c r="AL733" s="531"/>
      <c r="AM733" s="780"/>
      <c r="AN733" s="532"/>
      <c r="AO733" s="766"/>
      <c r="AP733" s="766"/>
      <c r="AQ733" s="766"/>
      <c r="AR733" s="766"/>
      <c r="AS733" s="770"/>
      <c r="AT733" s="770"/>
      <c r="AU733" s="770"/>
      <c r="AV733" s="770"/>
      <c r="AW733" s="770"/>
      <c r="AX733" s="770"/>
      <c r="AY733" s="770"/>
      <c r="AZ733" s="770"/>
      <c r="BA733" s="770"/>
      <c r="BB733" s="770"/>
      <c r="BC733" s="770"/>
      <c r="BD733" s="770"/>
      <c r="BE733" s="770"/>
      <c r="BF733" s="302"/>
      <c r="BG733" s="302"/>
      <c r="BH733" s="770"/>
      <c r="BI733" s="770"/>
      <c r="BJ733" s="770"/>
      <c r="BK733" s="766"/>
      <c r="BL733" s="766"/>
      <c r="BM733" s="766" t="s">
        <v>1238</v>
      </c>
      <c r="BN733" s="766" t="s">
        <v>1256</v>
      </c>
      <c r="BO733" s="770"/>
      <c r="BP733" s="765"/>
      <c r="BQ733" s="773"/>
      <c r="BR733" s="774"/>
      <c r="BS733" s="766" t="s">
        <v>1242</v>
      </c>
      <c r="BT733" s="770"/>
      <c r="BU733" s="770"/>
      <c r="BV733" s="770"/>
      <c r="BW733" s="770"/>
      <c r="BX733" s="302"/>
      <c r="BY733" s="770"/>
      <c r="BZ733" s="302"/>
      <c r="CA733" s="770"/>
      <c r="CB733" s="770"/>
      <c r="CC733" s="770"/>
      <c r="CD733" s="770"/>
      <c r="CE733" s="302"/>
      <c r="CF733" s="304"/>
      <c r="CG733" s="321"/>
      <c r="CH733" s="770"/>
      <c r="CI733" s="770"/>
      <c r="CJ733" s="770"/>
      <c r="CK733" s="770"/>
      <c r="CL733" s="770"/>
      <c r="CM733" s="770"/>
      <c r="CN733" s="770"/>
      <c r="CO733" s="770"/>
      <c r="CP733" s="770"/>
      <c r="CQ733" s="770"/>
      <c r="CR733" s="302"/>
      <c r="CS733" s="770"/>
      <c r="CT733" s="770"/>
      <c r="CU733" s="305"/>
      <c r="CV733" s="770"/>
      <c r="CW733" s="770"/>
      <c r="CX733" s="770"/>
      <c r="CY733" s="770"/>
      <c r="CZ733" s="770"/>
      <c r="DA733" s="306"/>
      <c r="DB733" s="770"/>
      <c r="DC733" s="770"/>
      <c r="DD733" s="770"/>
      <c r="DE733" s="300"/>
      <c r="DF733" s="770"/>
      <c r="DG733" s="770"/>
      <c r="DH733" s="770"/>
      <c r="DI733" s="770"/>
      <c r="DJ733" s="770"/>
      <c r="DK733" s="770"/>
      <c r="DL733" s="770"/>
      <c r="DM733" s="770"/>
      <c r="DN733" s="322"/>
      <c r="DO733" s="770"/>
      <c r="DP733" s="770"/>
      <c r="DQ733" s="770"/>
      <c r="DR733" s="770"/>
      <c r="DS733" s="307"/>
      <c r="DT733" s="770"/>
      <c r="DU733" s="770"/>
      <c r="DV733" s="770"/>
      <c r="DW733" s="306"/>
      <c r="DX733" s="306"/>
      <c r="DY733" s="1055"/>
      <c r="DZ733" s="770"/>
      <c r="EA733" s="770"/>
      <c r="EB733" s="770"/>
      <c r="EC733" s="770"/>
      <c r="ED733" s="770"/>
      <c r="EE733" s="770"/>
      <c r="EF733" s="770"/>
      <c r="EG733" s="770"/>
      <c r="EH733" s="770"/>
      <c r="EI733" s="770"/>
      <c r="EJ733" s="770"/>
      <c r="EK733" s="770"/>
      <c r="EL733" s="770"/>
      <c r="EM733" s="770"/>
      <c r="EN733" s="770"/>
      <c r="EO733" s="770"/>
      <c r="EP733" s="94"/>
      <c r="EQ733" s="770"/>
      <c r="ER733" s="770"/>
      <c r="ES733" s="770"/>
      <c r="ET733" s="770"/>
      <c r="EU733" s="770"/>
      <c r="EV733" s="770"/>
      <c r="EW733" s="770"/>
      <c r="EX733" s="770"/>
      <c r="EY733" s="770"/>
      <c r="EZ733" s="770"/>
      <c r="FA733" s="770"/>
      <c r="FB733" s="770"/>
      <c r="FC733" s="770"/>
      <c r="FD733" s="302"/>
      <c r="FE733" s="770"/>
      <c r="FF733" s="770"/>
      <c r="FG733" s="770"/>
      <c r="FH733" s="770" t="s">
        <v>1306</v>
      </c>
      <c r="FI733" s="770">
        <v>1</v>
      </c>
      <c r="FJ733" s="770" t="s">
        <v>3162</v>
      </c>
      <c r="FK733" s="770" t="s">
        <v>3167</v>
      </c>
      <c r="FL733" s="770" t="s">
        <v>3163</v>
      </c>
      <c r="FM733" s="147">
        <v>1250</v>
      </c>
      <c r="FN733" s="302">
        <v>300</v>
      </c>
      <c r="FO733" s="302">
        <v>500</v>
      </c>
      <c r="FP733" s="770" t="s">
        <v>1600</v>
      </c>
      <c r="FQ733" s="770" t="s">
        <v>1642</v>
      </c>
      <c r="FR733" s="770"/>
      <c r="FS733" s="770"/>
      <c r="FT733" s="770"/>
      <c r="FU733" s="770"/>
      <c r="FV733" s="770"/>
      <c r="FW733" s="770"/>
      <c r="FX733" s="770"/>
      <c r="FY733" s="770"/>
      <c r="FZ733" s="770"/>
      <c r="GA733" s="770"/>
      <c r="GB733" s="770"/>
      <c r="GC733" s="308"/>
      <c r="GD733" s="297"/>
      <c r="GE733" s="770"/>
      <c r="GF733" s="302"/>
      <c r="GG733" s="302"/>
      <c r="GH733" s="770"/>
      <c r="GI733" s="770"/>
      <c r="GJ733" s="770"/>
      <c r="GK733" s="770"/>
      <c r="GL733" s="770"/>
      <c r="GM733" s="770"/>
      <c r="GN733" s="299"/>
      <c r="GO733" s="770"/>
      <c r="GP733" s="770"/>
      <c r="GQ733" s="770"/>
      <c r="GR733" s="770"/>
      <c r="GS733" s="770"/>
      <c r="GT733" s="770"/>
      <c r="GU733" s="770"/>
      <c r="GV733" s="770"/>
      <c r="GW733" s="770"/>
      <c r="GX733" s="770"/>
      <c r="GY733" s="770"/>
      <c r="GZ733" s="770"/>
      <c r="HA733" s="770"/>
      <c r="HB733" s="770"/>
      <c r="HC733" s="770"/>
      <c r="HD733" s="770"/>
      <c r="HE733" s="770"/>
      <c r="HF733" s="770"/>
      <c r="HG733" s="770"/>
      <c r="HH733" s="770"/>
      <c r="HI733" s="770"/>
      <c r="HJ733" s="770"/>
      <c r="HK733" s="770"/>
      <c r="HL733" s="770"/>
      <c r="HM733" s="770"/>
      <c r="HN733" s="770"/>
      <c r="HO733" s="770"/>
      <c r="HP733" s="770"/>
      <c r="HQ733" s="770"/>
      <c r="HR733" s="770"/>
      <c r="HS733" s="770"/>
      <c r="HT733" s="770"/>
      <c r="HU733" s="770"/>
      <c r="HV733" s="770"/>
      <c r="HW733" s="770"/>
      <c r="HX733" s="770"/>
      <c r="HY733" s="770"/>
      <c r="HZ733" s="770"/>
      <c r="IA733" s="770"/>
      <c r="IB733" s="14" t="e">
        <f>IF(#REF!&gt;0,IF(#REF!&lt;=10000,"Y",""),"")</f>
        <v>#REF!</v>
      </c>
      <c r="IC733" s="770" t="s">
        <v>1207</v>
      </c>
      <c r="ID733" s="770"/>
      <c r="IE733" s="770">
        <v>1</v>
      </c>
      <c r="IF733" s="770"/>
      <c r="IG733" s="770"/>
      <c r="IH733" s="770"/>
      <c r="II733" s="770"/>
      <c r="IJ733" s="770"/>
      <c r="IK733" s="770"/>
      <c r="IL733" s="770"/>
      <c r="IM733" s="770"/>
      <c r="IN733" s="770"/>
      <c r="IO733" s="296"/>
      <c r="IP733" s="770"/>
      <c r="IQ733" s="770"/>
      <c r="IR733" s="770"/>
      <c r="IS733" s="770"/>
      <c r="IT733" s="770"/>
      <c r="IU733" s="770"/>
      <c r="IV733" s="770"/>
      <c r="IW733" s="770"/>
      <c r="IX733" s="770"/>
      <c r="IY733" s="770"/>
      <c r="IZ733" s="770"/>
      <c r="JA733" s="770"/>
      <c r="JB733" s="770"/>
      <c r="JC733" s="770"/>
      <c r="JD733" s="302"/>
      <c r="JE733" s="770"/>
      <c r="JF733" s="770"/>
      <c r="JG733" s="770"/>
      <c r="JH733" s="307"/>
      <c r="JI733" s="307"/>
      <c r="JJ733" s="770">
        <v>4</v>
      </c>
      <c r="JK733" s="1139" t="s">
        <v>13964</v>
      </c>
      <c r="JL733" s="770">
        <v>2</v>
      </c>
      <c r="JM733" s="770"/>
      <c r="JN733" s="770">
        <v>1</v>
      </c>
      <c r="JO733" s="770">
        <v>1</v>
      </c>
      <c r="JP733" s="770"/>
      <c r="JQ733" s="770"/>
      <c r="JR733" s="770"/>
      <c r="JS733" s="770"/>
      <c r="JT733" s="766">
        <f t="shared" si="227"/>
        <v>3</v>
      </c>
      <c r="JU733" s="766">
        <f t="shared" si="227"/>
        <v>1</v>
      </c>
      <c r="JV733" s="712" t="str">
        <f>IF(JT733=KJ733,"ok","male")</f>
        <v>ok</v>
      </c>
      <c r="JW733" s="712" t="str">
        <f>IF(JU733=KK733,"ok","female")</f>
        <v>ok</v>
      </c>
      <c r="JX733" s="770">
        <v>1</v>
      </c>
      <c r="JY733" s="770"/>
      <c r="JZ733" s="770">
        <v>1</v>
      </c>
      <c r="KA733" s="770"/>
      <c r="KB733" s="770"/>
      <c r="KC733" s="770"/>
      <c r="KD733" s="770">
        <v>1</v>
      </c>
      <c r="KE733" s="770">
        <v>1</v>
      </c>
      <c r="KF733" s="770"/>
      <c r="KG733" s="770"/>
      <c r="KH733" s="770"/>
      <c r="KI733" s="770"/>
      <c r="KJ733" s="770">
        <f t="shared" si="225"/>
        <v>3</v>
      </c>
      <c r="KK733" s="770">
        <f t="shared" si="225"/>
        <v>1</v>
      </c>
      <c r="KL733" s="712" t="str">
        <f>IF(KJ733=LN733,"ok","male")</f>
        <v>ok</v>
      </c>
      <c r="KM733" s="712" t="str">
        <f>IF(KK733=LO733,"ok","female")</f>
        <v>ok</v>
      </c>
      <c r="KN733" s="770" t="s">
        <v>722</v>
      </c>
      <c r="KO733" s="770"/>
      <c r="KP733" s="770"/>
      <c r="KQ733" s="770"/>
      <c r="KR733" s="770"/>
      <c r="KS733" s="770"/>
      <c r="KT733" s="770">
        <v>1</v>
      </c>
      <c r="KU733" s="770"/>
      <c r="KV733" s="770"/>
      <c r="KW733" s="770"/>
      <c r="KX733" s="770"/>
      <c r="KY733" s="770"/>
      <c r="KZ733" s="770">
        <v>1</v>
      </c>
      <c r="LA733" s="770">
        <v>1</v>
      </c>
      <c r="LB733" s="770"/>
      <c r="LC733" s="770"/>
      <c r="LD733" s="770"/>
      <c r="LE733" s="770"/>
      <c r="LF733" s="770"/>
      <c r="LG733" s="770"/>
      <c r="LH733" s="770"/>
      <c r="LI733" s="770"/>
      <c r="LJ733" s="770">
        <v>1</v>
      </c>
      <c r="LK733" s="770"/>
      <c r="LL733" s="770"/>
      <c r="LM733" s="770"/>
      <c r="LN733" s="766">
        <f t="shared" si="209"/>
        <v>3</v>
      </c>
      <c r="LO733" s="766">
        <f t="shared" si="209"/>
        <v>1</v>
      </c>
      <c r="LP733" s="770">
        <v>1</v>
      </c>
      <c r="LQ733" s="770"/>
      <c r="LR733" s="770"/>
      <c r="LS733" s="770">
        <v>1</v>
      </c>
      <c r="LT733" s="712" t="str">
        <f>IF(LQ733=SUM(LU733:LW733),"OK","REV")</f>
        <v>OK</v>
      </c>
      <c r="LU733" s="770"/>
      <c r="LV733" s="770"/>
      <c r="LW733" s="770"/>
      <c r="LX733" s="769">
        <v>1</v>
      </c>
      <c r="LY733" s="766" t="str">
        <f t="shared" si="210"/>
        <v>within the BRGY</v>
      </c>
      <c r="LZ733" s="1709"/>
      <c r="MA733" s="1709"/>
      <c r="MB733" s="1709"/>
      <c r="MC733" s="1679">
        <f t="shared" si="208"/>
        <v>0</v>
      </c>
      <c r="MD733" s="1709"/>
      <c r="ME733" s="1709"/>
      <c r="MF733" s="1709">
        <v>6000</v>
      </c>
      <c r="MG733" s="1680">
        <f>SUM(MD733:MF733)</f>
        <v>6000</v>
      </c>
      <c r="MH733" s="770" t="s">
        <v>8193</v>
      </c>
      <c r="MI733" s="302">
        <v>3000</v>
      </c>
      <c r="MJ733" s="302"/>
      <c r="MK733" s="302">
        <v>500</v>
      </c>
      <c r="ML733" s="302"/>
      <c r="MM733" s="302"/>
      <c r="MN733" s="302">
        <v>1250</v>
      </c>
      <c r="MO733" s="302">
        <v>100</v>
      </c>
      <c r="MP733" s="302">
        <v>500</v>
      </c>
      <c r="MQ733" s="302">
        <v>160</v>
      </c>
      <c r="MR733" s="302">
        <v>300</v>
      </c>
      <c r="MS733" s="302">
        <v>300</v>
      </c>
      <c r="MT733" s="302"/>
      <c r="MU733" s="302"/>
      <c r="MV733" s="302"/>
      <c r="MW733" s="302"/>
      <c r="MX733" s="302"/>
      <c r="MY733" s="1682">
        <f t="shared" si="217"/>
        <v>6110</v>
      </c>
      <c r="MZ733" s="770" t="s">
        <v>13395</v>
      </c>
      <c r="NA733" s="770" t="s">
        <v>13005</v>
      </c>
      <c r="NB733" s="770" t="s">
        <v>13092</v>
      </c>
      <c r="NC733" s="770" t="s">
        <v>13965</v>
      </c>
      <c r="ND733" s="770">
        <v>0</v>
      </c>
      <c r="NE733" s="770">
        <v>0</v>
      </c>
      <c r="NF733" s="770">
        <v>0</v>
      </c>
      <c r="NG733" s="770">
        <v>2</v>
      </c>
      <c r="NH733" s="770">
        <v>0</v>
      </c>
      <c r="NI733" s="770">
        <v>1</v>
      </c>
      <c r="NJ733" s="770">
        <v>0</v>
      </c>
      <c r="NK733" s="770">
        <v>0</v>
      </c>
      <c r="NL733" s="770">
        <v>0</v>
      </c>
      <c r="NM733" s="770">
        <v>0</v>
      </c>
      <c r="NN733" s="770">
        <v>0</v>
      </c>
      <c r="NO733" s="770">
        <v>0</v>
      </c>
      <c r="NP733" s="770">
        <v>0</v>
      </c>
      <c r="NQ733" s="770">
        <v>0</v>
      </c>
      <c r="NR733" s="770">
        <v>0</v>
      </c>
      <c r="NS733" s="770">
        <v>0</v>
      </c>
      <c r="NT733" s="770">
        <v>0</v>
      </c>
      <c r="NU733" s="770">
        <v>0</v>
      </c>
      <c r="NV733" s="770">
        <v>0</v>
      </c>
      <c r="NW733" s="770">
        <v>0</v>
      </c>
      <c r="NX733" s="770">
        <v>0</v>
      </c>
      <c r="NY733" s="770" t="s">
        <v>1208</v>
      </c>
      <c r="NZ733" s="770" t="s">
        <v>1208</v>
      </c>
      <c r="OA733" s="770" t="s">
        <v>1208</v>
      </c>
      <c r="OB733" s="770" t="s">
        <v>1208</v>
      </c>
      <c r="OC733" s="770" t="s">
        <v>1208</v>
      </c>
      <c r="OD733" s="770" t="s">
        <v>1208</v>
      </c>
      <c r="OE733" s="770"/>
      <c r="OF733" s="770"/>
      <c r="OG733" s="770"/>
      <c r="OH733" s="770"/>
      <c r="OI733" s="770"/>
      <c r="OJ733" s="770"/>
      <c r="OK733" s="770"/>
      <c r="OL733" s="770"/>
      <c r="OM733" s="770"/>
      <c r="ON733" s="770"/>
      <c r="OO733" s="770"/>
      <c r="OP733" s="770"/>
      <c r="OQ733" s="770"/>
      <c r="OR733" s="770"/>
      <c r="OS733" s="770"/>
      <c r="OT733" s="770"/>
      <c r="OU733" s="770"/>
      <c r="OV733" s="770"/>
      <c r="OW733" s="770"/>
      <c r="OX733" s="770"/>
      <c r="OY733" s="770"/>
      <c r="OZ733" s="770"/>
      <c r="PA733" s="770"/>
      <c r="PB733" s="770"/>
      <c r="PC733" s="770"/>
      <c r="PD733" s="770"/>
      <c r="PE733" s="770"/>
      <c r="PF733" s="770"/>
      <c r="PG733" s="770"/>
      <c r="PH733" s="770"/>
      <c r="PI733" s="770"/>
      <c r="PJ733" s="770"/>
      <c r="PK733" s="770"/>
      <c r="PL733" s="770"/>
      <c r="PM733" s="770"/>
      <c r="PN733" s="770"/>
      <c r="PO733" s="770"/>
      <c r="PP733" s="770"/>
      <c r="PQ733" s="770"/>
      <c r="PR733" s="770"/>
      <c r="PS733" s="770" t="s">
        <v>1208</v>
      </c>
      <c r="PT733" s="770" t="s">
        <v>1208</v>
      </c>
      <c r="PU733" s="770"/>
      <c r="PV733" s="770"/>
      <c r="PW733" s="770"/>
      <c r="PX733" s="770"/>
      <c r="PY733" s="770"/>
      <c r="PZ733" s="770"/>
      <c r="QA733" s="770"/>
      <c r="QB733" s="770"/>
      <c r="QC733" s="770"/>
      <c r="QD733" s="770"/>
      <c r="QE733" s="770"/>
      <c r="QF733" s="770"/>
      <c r="QG733" s="770"/>
      <c r="QH733" s="770"/>
      <c r="QI733" s="770"/>
      <c r="QJ733" s="770"/>
      <c r="QK733" s="770"/>
      <c r="QL733" s="770"/>
      <c r="QM733" s="770"/>
      <c r="QN733" s="770"/>
      <c r="QO733" s="770"/>
      <c r="QP733" s="770"/>
      <c r="QQ733" s="770"/>
      <c r="QR733" s="770"/>
      <c r="QS733" s="770"/>
      <c r="QT733" s="770"/>
      <c r="QU733" s="770"/>
      <c r="QV733" s="770"/>
      <c r="QW733" s="770"/>
      <c r="QX733" s="770"/>
      <c r="QY733" s="770"/>
      <c r="QZ733" s="770"/>
      <c r="RA733" s="770"/>
      <c r="RB733" s="770" t="s">
        <v>1214</v>
      </c>
      <c r="RC733" s="770"/>
      <c r="RD733" s="770"/>
      <c r="RE733" s="770"/>
      <c r="RF733" s="304"/>
      <c r="RG733" s="770"/>
      <c r="RH733" s="306"/>
      <c r="RI733" s="770"/>
      <c r="RJ733" s="94" t="s">
        <v>13966</v>
      </c>
      <c r="RK733" s="770" t="s">
        <v>13556</v>
      </c>
      <c r="RL733" s="1710">
        <v>42846</v>
      </c>
      <c r="RM733" s="12"/>
      <c r="RN733" s="1711"/>
      <c r="RO733" s="149" t="s">
        <v>3155</v>
      </c>
      <c r="RP733" s="11"/>
      <c r="RQ733" s="11"/>
      <c r="RR733" s="311" t="s">
        <v>12452</v>
      </c>
      <c r="RS733" s="1139" t="s">
        <v>12980</v>
      </c>
      <c r="RT733" s="11"/>
      <c r="RU733" s="11"/>
      <c r="RV733" s="771" t="s">
        <v>1101</v>
      </c>
      <c r="RW733" s="11" t="s">
        <v>8066</v>
      </c>
      <c r="RX733" s="11" t="s">
        <v>3155</v>
      </c>
      <c r="RY733" s="11"/>
      <c r="RZ733" s="11"/>
      <c r="SA733" s="771"/>
      <c r="SB733" s="11"/>
      <c r="SC733" s="11"/>
    </row>
    <row r="734" spans="1:497" ht="12.75" customHeight="1">
      <c r="A734" s="311" t="s">
        <v>14239</v>
      </c>
      <c r="B734" s="292" t="s">
        <v>7446</v>
      </c>
      <c r="C734" s="149" t="s">
        <v>3155</v>
      </c>
      <c r="D734" s="94" t="s">
        <v>3168</v>
      </c>
      <c r="E734" s="766" t="s">
        <v>3157</v>
      </c>
      <c r="F734" s="770" t="s">
        <v>28</v>
      </c>
      <c r="G734" s="770" t="s">
        <v>18</v>
      </c>
      <c r="H734" s="770"/>
      <c r="I734" s="295" t="s">
        <v>3169</v>
      </c>
      <c r="J734" s="94" t="s">
        <v>3168</v>
      </c>
      <c r="K734" s="770"/>
      <c r="L734" s="770"/>
      <c r="M734" s="770"/>
      <c r="N734" s="1757"/>
      <c r="O734" s="1757"/>
      <c r="P734" s="94" t="s">
        <v>3170</v>
      </c>
      <c r="Q734" s="1088">
        <v>25426</v>
      </c>
      <c r="R734" s="297">
        <v>47</v>
      </c>
      <c r="S734" s="770" t="s">
        <v>18</v>
      </c>
      <c r="T734" s="770"/>
      <c r="U734" s="295" t="s">
        <v>3169</v>
      </c>
      <c r="V734" s="770"/>
      <c r="W734" s="770"/>
      <c r="X734" s="770"/>
      <c r="Y734" s="770" t="s">
        <v>3157</v>
      </c>
      <c r="Z734" s="770" t="s">
        <v>708</v>
      </c>
      <c r="AA734" s="770" t="s">
        <v>709</v>
      </c>
      <c r="AB734" s="295" t="s">
        <v>7275</v>
      </c>
      <c r="AC734" s="770" t="s">
        <v>724</v>
      </c>
      <c r="AD734" s="770" t="s">
        <v>711</v>
      </c>
      <c r="AE734" s="770"/>
      <c r="AF734" s="770" t="s">
        <v>712</v>
      </c>
      <c r="AG734" s="770"/>
      <c r="AH734" s="770"/>
      <c r="AI734" s="770"/>
      <c r="AJ734" s="770"/>
      <c r="AK734" s="770" t="s">
        <v>1101</v>
      </c>
      <c r="AL734" s="531"/>
      <c r="AM734" s="780"/>
      <c r="AN734" s="532"/>
      <c r="AO734" s="766"/>
      <c r="AP734" s="766"/>
      <c r="AQ734" s="766"/>
      <c r="AR734" s="766"/>
      <c r="AS734" s="770"/>
      <c r="AT734" s="770"/>
      <c r="AU734" s="770"/>
      <c r="AV734" s="770"/>
      <c r="AW734" s="770"/>
      <c r="AX734" s="770"/>
      <c r="AY734" s="770"/>
      <c r="AZ734" s="770"/>
      <c r="BA734" s="770"/>
      <c r="BB734" s="770"/>
      <c r="BC734" s="770"/>
      <c r="BD734" s="770"/>
      <c r="BE734" s="770"/>
      <c r="BF734" s="302"/>
      <c r="BG734" s="302"/>
      <c r="BH734" s="770"/>
      <c r="BI734" s="770"/>
      <c r="BJ734" s="770"/>
      <c r="BK734" s="766"/>
      <c r="BL734" s="766"/>
      <c r="BM734" s="766" t="s">
        <v>1238</v>
      </c>
      <c r="BN734" s="766" t="s">
        <v>1256</v>
      </c>
      <c r="BO734" s="770"/>
      <c r="BP734" s="765"/>
      <c r="BQ734" s="773"/>
      <c r="BR734" s="774"/>
      <c r="BS734" s="766" t="s">
        <v>1242</v>
      </c>
      <c r="BT734" s="770"/>
      <c r="BU734" s="770"/>
      <c r="BV734" s="770"/>
      <c r="BW734" s="770"/>
      <c r="BX734" s="302"/>
      <c r="BY734" s="770"/>
      <c r="BZ734" s="302"/>
      <c r="CA734" s="770"/>
      <c r="CB734" s="770"/>
      <c r="CC734" s="770"/>
      <c r="CD734" s="770"/>
      <c r="CE734" s="302"/>
      <c r="CF734" s="304"/>
      <c r="CG734" s="321"/>
      <c r="CH734" s="770"/>
      <c r="CI734" s="770"/>
      <c r="CJ734" s="770"/>
      <c r="CK734" s="770"/>
      <c r="CL734" s="770"/>
      <c r="CM734" s="770"/>
      <c r="CN734" s="770"/>
      <c r="CO734" s="770"/>
      <c r="CP734" s="770"/>
      <c r="CQ734" s="770"/>
      <c r="CR734" s="302"/>
      <c r="CS734" s="770"/>
      <c r="CT734" s="770"/>
      <c r="CU734" s="305"/>
      <c r="CV734" s="770"/>
      <c r="CW734" s="770"/>
      <c r="CX734" s="770"/>
      <c r="CY734" s="770"/>
      <c r="CZ734" s="770"/>
      <c r="DA734" s="306"/>
      <c r="DB734" s="770"/>
      <c r="DC734" s="770"/>
      <c r="DD734" s="770"/>
      <c r="DE734" s="300"/>
      <c r="DF734" s="770"/>
      <c r="DG734" s="770"/>
      <c r="DH734" s="770"/>
      <c r="DI734" s="770"/>
      <c r="DJ734" s="770"/>
      <c r="DK734" s="770"/>
      <c r="DL734" s="770"/>
      <c r="DM734" s="770"/>
      <c r="DN734" s="322"/>
      <c r="DO734" s="770"/>
      <c r="DP734" s="770"/>
      <c r="DQ734" s="770"/>
      <c r="DR734" s="770"/>
      <c r="DS734" s="307"/>
      <c r="DT734" s="770"/>
      <c r="DU734" s="770"/>
      <c r="DV734" s="770"/>
      <c r="DW734" s="306"/>
      <c r="DX734" s="306"/>
      <c r="DY734" s="1055"/>
      <c r="DZ734" s="770"/>
      <c r="EA734" s="770"/>
      <c r="EB734" s="770"/>
      <c r="EC734" s="770"/>
      <c r="ED734" s="770"/>
      <c r="EE734" s="770"/>
      <c r="EF734" s="770"/>
      <c r="EG734" s="770"/>
      <c r="EH734" s="770"/>
      <c r="EI734" s="770"/>
      <c r="EJ734" s="770"/>
      <c r="EK734" s="770"/>
      <c r="EL734" s="770"/>
      <c r="EM734" s="770"/>
      <c r="EN734" s="770"/>
      <c r="EO734" s="770"/>
      <c r="EP734" s="94"/>
      <c r="EQ734" s="770"/>
      <c r="ER734" s="770"/>
      <c r="ES734" s="770"/>
      <c r="ET734" s="770"/>
      <c r="EU734" s="770"/>
      <c r="EV734" s="770"/>
      <c r="EW734" s="770"/>
      <c r="EX734" s="770"/>
      <c r="EY734" s="770"/>
      <c r="EZ734" s="770"/>
      <c r="FA734" s="770"/>
      <c r="FB734" s="770"/>
      <c r="FC734" s="770"/>
      <c r="FD734" s="302"/>
      <c r="FE734" s="770"/>
      <c r="FF734" s="770"/>
      <c r="FG734" s="770"/>
      <c r="FH734" s="770" t="s">
        <v>1306</v>
      </c>
      <c r="FI734" s="770">
        <v>1</v>
      </c>
      <c r="FJ734" s="770" t="s">
        <v>3162</v>
      </c>
      <c r="FK734" s="770" t="s">
        <v>3167</v>
      </c>
      <c r="FL734" s="770" t="s">
        <v>3163</v>
      </c>
      <c r="FM734" s="147">
        <v>1250</v>
      </c>
      <c r="FN734" s="302">
        <v>600</v>
      </c>
      <c r="FO734" s="302">
        <v>3000</v>
      </c>
      <c r="FP734" s="766" t="s">
        <v>1602</v>
      </c>
      <c r="FQ734" s="766" t="s">
        <v>1660</v>
      </c>
      <c r="FR734" s="770"/>
      <c r="FS734" s="770"/>
      <c r="FT734" s="770"/>
      <c r="FU734" s="770"/>
      <c r="FV734" s="770"/>
      <c r="FW734" s="770"/>
      <c r="FX734" s="770"/>
      <c r="FY734" s="770"/>
      <c r="FZ734" s="770"/>
      <c r="GA734" s="770"/>
      <c r="GB734" s="770"/>
      <c r="GC734" s="308"/>
      <c r="GD734" s="297"/>
      <c r="GE734" s="770"/>
      <c r="GF734" s="302"/>
      <c r="GG734" s="302"/>
      <c r="GH734" s="770"/>
      <c r="GI734" s="770"/>
      <c r="GJ734" s="770"/>
      <c r="GK734" s="770"/>
      <c r="GL734" s="770"/>
      <c r="GM734" s="770"/>
      <c r="GN734" s="299"/>
      <c r="GO734" s="770"/>
      <c r="GP734" s="770"/>
      <c r="GQ734" s="770"/>
      <c r="GR734" s="770"/>
      <c r="GS734" s="770"/>
      <c r="GT734" s="770"/>
      <c r="GU734" s="770"/>
      <c r="GV734" s="770"/>
      <c r="GW734" s="770"/>
      <c r="GX734" s="770"/>
      <c r="GY734" s="770"/>
      <c r="GZ734" s="770"/>
      <c r="HA734" s="770"/>
      <c r="HB734" s="770"/>
      <c r="HC734" s="770"/>
      <c r="HD734" s="770"/>
      <c r="HE734" s="770"/>
      <c r="HF734" s="770"/>
      <c r="HG734" s="770"/>
      <c r="HH734" s="770"/>
      <c r="HI734" s="770"/>
      <c r="HJ734" s="770"/>
      <c r="HK734" s="770"/>
      <c r="HL734" s="770"/>
      <c r="HM734" s="770"/>
      <c r="HN734" s="770"/>
      <c r="HO734" s="770"/>
      <c r="HP734" s="770"/>
      <c r="HQ734" s="770"/>
      <c r="HR734" s="770"/>
      <c r="HS734" s="770"/>
      <c r="HT734" s="770"/>
      <c r="HU734" s="770"/>
      <c r="HV734" s="770"/>
      <c r="HW734" s="770"/>
      <c r="HX734" s="770"/>
      <c r="HY734" s="770"/>
      <c r="HZ734" s="770"/>
      <c r="IA734" s="770"/>
      <c r="IB734" s="14" t="e">
        <f>IF(#REF!&gt;0,IF(#REF!&lt;=10000,"Y",""),"")</f>
        <v>#REF!</v>
      </c>
      <c r="IC734" s="770" t="s">
        <v>1207</v>
      </c>
      <c r="ID734" s="770"/>
      <c r="IE734" s="770">
        <v>1</v>
      </c>
      <c r="IF734" s="770"/>
      <c r="IG734" s="770"/>
      <c r="IH734" s="770"/>
      <c r="II734" s="770"/>
      <c r="IJ734" s="770"/>
      <c r="IK734" s="770"/>
      <c r="IL734" s="770"/>
      <c r="IM734" s="770"/>
      <c r="IN734" s="770"/>
      <c r="IO734" s="296"/>
      <c r="IP734" s="770"/>
      <c r="IQ734" s="770"/>
      <c r="IR734" s="770"/>
      <c r="IS734" s="770"/>
      <c r="IT734" s="770"/>
      <c r="IU734" s="770"/>
      <c r="IV734" s="770"/>
      <c r="IW734" s="770"/>
      <c r="IX734" s="770"/>
      <c r="IY734" s="770"/>
      <c r="IZ734" s="770"/>
      <c r="JA734" s="770"/>
      <c r="JB734" s="770"/>
      <c r="JC734" s="770"/>
      <c r="JD734" s="302"/>
      <c r="JE734" s="770"/>
      <c r="JF734" s="770"/>
      <c r="JG734" s="770"/>
      <c r="JH734" s="307"/>
      <c r="JI734" s="307"/>
      <c r="JJ734" s="770">
        <v>4</v>
      </c>
      <c r="JK734" s="1139" t="s">
        <v>13967</v>
      </c>
      <c r="JL734" s="770"/>
      <c r="JM734" s="770"/>
      <c r="JN734" s="770">
        <v>3</v>
      </c>
      <c r="JO734" s="770">
        <v>1</v>
      </c>
      <c r="JP734" s="770"/>
      <c r="JQ734" s="770"/>
      <c r="JR734" s="770"/>
      <c r="JS734" s="770"/>
      <c r="JT734" s="766">
        <f t="shared" si="227"/>
        <v>3</v>
      </c>
      <c r="JU734" s="766">
        <f t="shared" si="227"/>
        <v>1</v>
      </c>
      <c r="JV734" s="712" t="str">
        <f>IF(JT734=KJ734,"ok","male")</f>
        <v>ok</v>
      </c>
      <c r="JW734" s="712" t="str">
        <f>IF(JU734=KK734,"ok","female")</f>
        <v>ok</v>
      </c>
      <c r="JX734" s="770"/>
      <c r="JY734" s="770"/>
      <c r="JZ734" s="770"/>
      <c r="KA734" s="770"/>
      <c r="KB734" s="770">
        <v>2</v>
      </c>
      <c r="KC734" s="770"/>
      <c r="KD734" s="770">
        <v>1</v>
      </c>
      <c r="KE734" s="770">
        <v>1</v>
      </c>
      <c r="KF734" s="770"/>
      <c r="KG734" s="770"/>
      <c r="KH734" s="770"/>
      <c r="KI734" s="770"/>
      <c r="KJ734" s="770">
        <f t="shared" si="225"/>
        <v>3</v>
      </c>
      <c r="KK734" s="770">
        <f t="shared" si="225"/>
        <v>1</v>
      </c>
      <c r="KL734" s="712" t="str">
        <f>IF(KJ734=LN734,"ok","male")</f>
        <v>ok</v>
      </c>
      <c r="KM734" s="712" t="str">
        <f>IF(KK734=LO734,"ok","female")</f>
        <v>ok</v>
      </c>
      <c r="KN734" s="770" t="s">
        <v>707</v>
      </c>
      <c r="KO734" s="770"/>
      <c r="KP734" s="770"/>
      <c r="KQ734" s="770"/>
      <c r="KR734" s="770"/>
      <c r="KS734" s="770"/>
      <c r="KT734" s="770"/>
      <c r="KU734" s="770">
        <v>1</v>
      </c>
      <c r="KV734" s="770"/>
      <c r="KW734" s="770"/>
      <c r="KX734" s="770">
        <v>1</v>
      </c>
      <c r="KY734" s="770"/>
      <c r="KZ734" s="770">
        <v>1</v>
      </c>
      <c r="LA734" s="770"/>
      <c r="LB734" s="770">
        <v>1</v>
      </c>
      <c r="LC734" s="770"/>
      <c r="LD734" s="770"/>
      <c r="LE734" s="770"/>
      <c r="LF734" s="770"/>
      <c r="LG734" s="770"/>
      <c r="LH734" s="770"/>
      <c r="LI734" s="770"/>
      <c r="LJ734" s="770"/>
      <c r="LK734" s="770"/>
      <c r="LL734" s="770"/>
      <c r="LM734" s="770"/>
      <c r="LN734" s="766">
        <f t="shared" si="209"/>
        <v>3</v>
      </c>
      <c r="LO734" s="766">
        <f t="shared" si="209"/>
        <v>1</v>
      </c>
      <c r="LP734" s="770">
        <v>1</v>
      </c>
      <c r="LQ734" s="770"/>
      <c r="LR734" s="770"/>
      <c r="LS734" s="770">
        <v>1</v>
      </c>
      <c r="LT734" s="712" t="str">
        <f>IF(LQ734=SUM(LU734:LW734),"OK","REV")</f>
        <v>OK</v>
      </c>
      <c r="LU734" s="770"/>
      <c r="LV734" s="770"/>
      <c r="LW734" s="770"/>
      <c r="LX734" s="769">
        <v>1</v>
      </c>
      <c r="LY734" s="766" t="str">
        <f t="shared" si="210"/>
        <v>within the BRGY</v>
      </c>
      <c r="LZ734" s="1709"/>
      <c r="MA734" s="1709"/>
      <c r="MB734" s="1709"/>
      <c r="MC734" s="1679">
        <f t="shared" si="208"/>
        <v>0</v>
      </c>
      <c r="MD734" s="1709"/>
      <c r="ME734" s="1709"/>
      <c r="MF734" s="1709">
        <v>18000</v>
      </c>
      <c r="MG734" s="1680">
        <f>SUM(MD734:MF734)</f>
        <v>18000</v>
      </c>
      <c r="MH734" s="770" t="s">
        <v>3172</v>
      </c>
      <c r="MI734" s="302">
        <v>12000</v>
      </c>
      <c r="MJ734" s="302"/>
      <c r="MK734" s="302">
        <f>4000/12</f>
        <v>333.33333333333331</v>
      </c>
      <c r="ML734" s="302"/>
      <c r="MM734" s="302">
        <v>7100</v>
      </c>
      <c r="MN734" s="302">
        <v>1250</v>
      </c>
      <c r="MO734" s="302"/>
      <c r="MP734" s="302">
        <v>3000</v>
      </c>
      <c r="MQ734" s="302">
        <v>170</v>
      </c>
      <c r="MR734" s="302">
        <v>600</v>
      </c>
      <c r="MS734" s="302">
        <v>2000</v>
      </c>
      <c r="MT734" s="302"/>
      <c r="MU734" s="302"/>
      <c r="MV734" s="302"/>
      <c r="MW734" s="302"/>
      <c r="MX734" s="302"/>
      <c r="MY734" s="1682">
        <f t="shared" si="217"/>
        <v>26453.333333333336</v>
      </c>
      <c r="MZ734" s="770" t="s">
        <v>13395</v>
      </c>
      <c r="NA734" s="770" t="s">
        <v>13005</v>
      </c>
      <c r="NB734" s="770" t="s">
        <v>13016</v>
      </c>
      <c r="NC734" s="770" t="s">
        <v>13621</v>
      </c>
      <c r="ND734" s="770">
        <v>0</v>
      </c>
      <c r="NE734" s="770">
        <v>0</v>
      </c>
      <c r="NF734" s="770">
        <v>0</v>
      </c>
      <c r="NG734" s="770">
        <v>3</v>
      </c>
      <c r="NH734" s="770">
        <v>1</v>
      </c>
      <c r="NI734" s="770">
        <v>0</v>
      </c>
      <c r="NJ734" s="770">
        <v>0</v>
      </c>
      <c r="NK734" s="770">
        <v>0</v>
      </c>
      <c r="NL734" s="770">
        <v>0</v>
      </c>
      <c r="NM734" s="770">
        <v>1</v>
      </c>
      <c r="NN734" s="770">
        <v>0</v>
      </c>
      <c r="NO734" s="770">
        <v>0</v>
      </c>
      <c r="NP734" s="770">
        <v>0</v>
      </c>
      <c r="NQ734" s="770">
        <v>0</v>
      </c>
      <c r="NR734" s="770">
        <v>0</v>
      </c>
      <c r="NS734" s="770">
        <v>0</v>
      </c>
      <c r="NT734" s="770">
        <v>0</v>
      </c>
      <c r="NU734" s="770">
        <v>0</v>
      </c>
      <c r="NV734" s="770">
        <v>0</v>
      </c>
      <c r="NW734" s="770">
        <v>0</v>
      </c>
      <c r="NX734" s="770">
        <v>0</v>
      </c>
      <c r="NY734" s="770" t="s">
        <v>1208</v>
      </c>
      <c r="NZ734" s="770" t="s">
        <v>1208</v>
      </c>
      <c r="OA734" s="770"/>
      <c r="OB734" s="770"/>
      <c r="OC734" s="770" t="s">
        <v>1208</v>
      </c>
      <c r="OD734" s="770" t="s">
        <v>1208</v>
      </c>
      <c r="OE734" s="770"/>
      <c r="OF734" s="770" t="s">
        <v>2143</v>
      </c>
      <c r="OG734" s="770"/>
      <c r="OH734" s="770"/>
      <c r="OI734" s="770"/>
      <c r="OJ734" s="770"/>
      <c r="OK734" s="770"/>
      <c r="OL734" s="770"/>
      <c r="OM734" s="770"/>
      <c r="ON734" s="770"/>
      <c r="OO734" s="770"/>
      <c r="OP734" s="770"/>
      <c r="OQ734" s="770"/>
      <c r="OR734" s="770"/>
      <c r="OS734" s="770"/>
      <c r="OT734" s="770"/>
      <c r="OU734" s="770"/>
      <c r="OV734" s="770"/>
      <c r="OW734" s="770"/>
      <c r="OX734" s="770"/>
      <c r="OY734" s="770"/>
      <c r="OZ734" s="770"/>
      <c r="PA734" s="770"/>
      <c r="PB734" s="770"/>
      <c r="PC734" s="770"/>
      <c r="PD734" s="770"/>
      <c r="PE734" s="770"/>
      <c r="PF734" s="770" t="s">
        <v>1208</v>
      </c>
      <c r="PG734" s="770"/>
      <c r="PH734" s="770"/>
      <c r="PI734" s="770"/>
      <c r="PJ734" s="770"/>
      <c r="PK734" s="770"/>
      <c r="PL734" s="770"/>
      <c r="PM734" s="770"/>
      <c r="PN734" s="770"/>
      <c r="PO734" s="770"/>
      <c r="PP734" s="770"/>
      <c r="PQ734" s="770"/>
      <c r="PR734" s="770"/>
      <c r="PS734" s="770"/>
      <c r="PT734" s="770"/>
      <c r="PU734" s="770"/>
      <c r="PV734" s="770"/>
      <c r="PW734" s="770"/>
      <c r="PX734" s="770"/>
      <c r="PY734" s="770"/>
      <c r="PZ734" s="770"/>
      <c r="QA734" s="770"/>
      <c r="QB734" s="770"/>
      <c r="QC734" s="770"/>
      <c r="QD734" s="770"/>
      <c r="QE734" s="770"/>
      <c r="QF734" s="770"/>
      <c r="QG734" s="770"/>
      <c r="QH734" s="770"/>
      <c r="QI734" s="770"/>
      <c r="QJ734" s="770"/>
      <c r="QK734" s="770"/>
      <c r="QL734" s="770"/>
      <c r="QM734" s="770"/>
      <c r="QN734" s="770"/>
      <c r="QO734" s="770"/>
      <c r="QP734" s="770"/>
      <c r="QQ734" s="770"/>
      <c r="QR734" s="770"/>
      <c r="QS734" s="770"/>
      <c r="QT734" s="770"/>
      <c r="QU734" s="770"/>
      <c r="QV734" s="770"/>
      <c r="QW734" s="770"/>
      <c r="QX734" s="770"/>
      <c r="QY734" s="770"/>
      <c r="QZ734" s="770"/>
      <c r="RA734" s="770"/>
      <c r="RB734" s="770" t="s">
        <v>1214</v>
      </c>
      <c r="RC734" s="770"/>
      <c r="RD734" s="770"/>
      <c r="RE734" s="770"/>
      <c r="RF734" s="304"/>
      <c r="RG734" s="770"/>
      <c r="RH734" s="306"/>
      <c r="RI734" s="770"/>
      <c r="RJ734" s="94" t="s">
        <v>13967</v>
      </c>
      <c r="RK734" s="770" t="s">
        <v>13550</v>
      </c>
      <c r="RL734" s="1710">
        <v>42846</v>
      </c>
      <c r="RM734" s="12"/>
      <c r="RN734" s="1711"/>
      <c r="RO734" s="149" t="s">
        <v>3155</v>
      </c>
      <c r="RP734" s="11"/>
      <c r="RQ734" s="11"/>
      <c r="RR734" s="311" t="s">
        <v>12452</v>
      </c>
      <c r="RS734" s="1139" t="s">
        <v>12980</v>
      </c>
      <c r="RT734" s="11"/>
      <c r="RU734" s="11"/>
      <c r="RV734" s="771" t="s">
        <v>12452</v>
      </c>
      <c r="RW734" s="11" t="s">
        <v>8067</v>
      </c>
      <c r="RX734" s="11" t="s">
        <v>3155</v>
      </c>
      <c r="RY734" s="11"/>
      <c r="RZ734" s="11"/>
      <c r="SA734" s="771"/>
      <c r="SB734" s="11"/>
      <c r="SC734" s="11"/>
    </row>
    <row r="735" spans="1:497" ht="12.75" hidden="1" customHeight="1">
      <c r="A735" s="19" t="s">
        <v>7419</v>
      </c>
      <c r="B735" s="292" t="s">
        <v>8064</v>
      </c>
      <c r="C735" s="149" t="s">
        <v>4839</v>
      </c>
      <c r="D735" s="94" t="s">
        <v>4840</v>
      </c>
      <c r="E735" s="766" t="s">
        <v>4841</v>
      </c>
      <c r="F735" s="770" t="s">
        <v>28</v>
      </c>
      <c r="G735" s="770" t="s">
        <v>18</v>
      </c>
      <c r="H735" s="770"/>
      <c r="I735" s="295" t="s">
        <v>4842</v>
      </c>
      <c r="J735" s="94" t="s">
        <v>4840</v>
      </c>
      <c r="K735" s="766" t="s">
        <v>3159</v>
      </c>
      <c r="L735" s="766" t="s">
        <v>4843</v>
      </c>
      <c r="M735" s="770" t="s">
        <v>1238</v>
      </c>
      <c r="N735" s="1757"/>
      <c r="O735" s="1757" t="s">
        <v>3153</v>
      </c>
      <c r="P735" s="770"/>
      <c r="Q735" s="1088"/>
      <c r="R735" s="297"/>
      <c r="S735" s="770"/>
      <c r="T735" s="770"/>
      <c r="U735" s="295"/>
      <c r="V735" s="770"/>
      <c r="W735" s="770"/>
      <c r="X735" s="770"/>
      <c r="Y735" s="770"/>
      <c r="Z735" s="770"/>
      <c r="AA735" s="770"/>
      <c r="AB735" s="295"/>
      <c r="AC735" s="770"/>
      <c r="AD735" s="770"/>
      <c r="AE735" s="770"/>
      <c r="AF735" s="770"/>
      <c r="AG735" s="766" t="s">
        <v>1132</v>
      </c>
      <c r="AH735" s="766" t="s">
        <v>1096</v>
      </c>
      <c r="AI735" s="770"/>
      <c r="AJ735" s="770" t="s">
        <v>1137</v>
      </c>
      <c r="AK735" s="770" t="s">
        <v>1097</v>
      </c>
      <c r="AL735" s="531">
        <v>22.5</v>
      </c>
      <c r="AM735" s="780">
        <v>0.75</v>
      </c>
      <c r="AN735" s="532">
        <f t="shared" si="224"/>
        <v>3.3333333333333333E-2</v>
      </c>
      <c r="AO735" s="766" t="s">
        <v>1098</v>
      </c>
      <c r="AP735" s="766" t="s">
        <v>5368</v>
      </c>
      <c r="AQ735" s="766" t="s">
        <v>7217</v>
      </c>
      <c r="AR735" s="766">
        <v>2016</v>
      </c>
      <c r="AS735" s="770" t="s">
        <v>1207</v>
      </c>
      <c r="AT735" s="770"/>
      <c r="AU735" s="770"/>
      <c r="AV735" s="770"/>
      <c r="AW735" s="770"/>
      <c r="AX735" s="13"/>
      <c r="AY735" s="770"/>
      <c r="AZ735" s="770"/>
      <c r="BA735" s="770" t="s">
        <v>1208</v>
      </c>
      <c r="BB735" s="770" t="s">
        <v>4848</v>
      </c>
      <c r="BC735" s="770" t="s">
        <v>4335</v>
      </c>
      <c r="BD735" s="770"/>
      <c r="BE735" s="770"/>
      <c r="BF735" s="302"/>
      <c r="BG735" s="302"/>
      <c r="BH735" s="770"/>
      <c r="BI735" s="770"/>
      <c r="BJ735" s="770"/>
      <c r="BK735" s="766"/>
      <c r="BL735" s="766"/>
      <c r="BM735" s="766"/>
      <c r="BN735" s="766"/>
      <c r="BO735" s="770"/>
      <c r="BP735" s="765"/>
      <c r="BQ735" s="773"/>
      <c r="BR735" s="774"/>
      <c r="BS735" s="766"/>
      <c r="BT735" s="770"/>
      <c r="BU735" s="770"/>
      <c r="BV735" s="770"/>
      <c r="BW735" s="770"/>
      <c r="BX735" s="302"/>
      <c r="BY735" s="770"/>
      <c r="BZ735" s="302"/>
      <c r="CA735" s="770"/>
      <c r="CB735" s="770" t="s">
        <v>1207</v>
      </c>
      <c r="CC735" s="770" t="s">
        <v>4844</v>
      </c>
      <c r="CD735" s="770">
        <v>2015</v>
      </c>
      <c r="CE735" s="302"/>
      <c r="CF735" s="304">
        <v>1.5</v>
      </c>
      <c r="CG735" s="321">
        <v>13.8</v>
      </c>
      <c r="CH735" s="770" t="s">
        <v>4845</v>
      </c>
      <c r="CI735" s="770"/>
      <c r="CJ735" s="770" t="s">
        <v>4846</v>
      </c>
      <c r="CK735" s="770">
        <v>4</v>
      </c>
      <c r="CL735" s="770" t="s">
        <v>4847</v>
      </c>
      <c r="CM735" s="770"/>
      <c r="CN735" s="770"/>
      <c r="CO735" s="770"/>
      <c r="CP735" s="770"/>
      <c r="CQ735" s="770"/>
      <c r="CR735" s="302"/>
      <c r="CS735" s="770"/>
      <c r="CT735" s="770"/>
      <c r="CU735" s="305"/>
      <c r="CV735" s="770"/>
      <c r="CW735" s="770"/>
      <c r="CX735" s="770"/>
      <c r="CY735" s="770"/>
      <c r="CZ735" s="770"/>
      <c r="DA735" s="306"/>
      <c r="DB735" s="770"/>
      <c r="DC735" s="770"/>
      <c r="DD735" s="770"/>
      <c r="DE735" s="300"/>
      <c r="DF735" s="770"/>
      <c r="DG735" s="770"/>
      <c r="DH735" s="770"/>
      <c r="DI735" s="770"/>
      <c r="DJ735" s="770"/>
      <c r="DK735" s="770"/>
      <c r="DL735" s="770"/>
      <c r="DM735" s="770"/>
      <c r="DN735" s="322"/>
      <c r="DO735" s="770"/>
      <c r="DP735" s="770"/>
      <c r="DQ735" s="770"/>
      <c r="DR735" s="770"/>
      <c r="DS735" s="307"/>
      <c r="DT735" s="770"/>
      <c r="DU735" s="770"/>
      <c r="DV735" s="770"/>
      <c r="DW735" s="306"/>
      <c r="DX735" s="306"/>
      <c r="DY735" s="1055"/>
      <c r="DZ735" s="770"/>
      <c r="EA735" s="770"/>
      <c r="EB735" s="770"/>
      <c r="EC735" s="770"/>
      <c r="ED735" s="770"/>
      <c r="EE735" s="770"/>
      <c r="EF735" s="770"/>
      <c r="EG735" s="770"/>
      <c r="EH735" s="770"/>
      <c r="EI735" s="770"/>
      <c r="EJ735" s="770"/>
      <c r="EK735" s="770"/>
      <c r="EL735" s="770"/>
      <c r="EM735" s="770"/>
      <c r="EN735" s="770"/>
      <c r="EO735" s="770"/>
      <c r="EP735" s="94"/>
      <c r="EQ735" s="770"/>
      <c r="ER735" s="770"/>
      <c r="ES735" s="770"/>
      <c r="ET735" s="770"/>
      <c r="EU735" s="770"/>
      <c r="EV735" s="770"/>
      <c r="EW735" s="770"/>
      <c r="EX735" s="770"/>
      <c r="EY735" s="770"/>
      <c r="EZ735" s="770"/>
      <c r="FA735" s="770"/>
      <c r="FB735" s="770"/>
      <c r="FC735" s="770"/>
      <c r="FD735" s="302"/>
      <c r="FE735" s="770"/>
      <c r="FF735" s="770"/>
      <c r="FG735" s="770"/>
      <c r="FH735" s="770"/>
      <c r="FI735" s="770"/>
      <c r="FJ735" s="770"/>
      <c r="FK735" s="770"/>
      <c r="FL735" s="770"/>
      <c r="FM735" s="302"/>
      <c r="FN735" s="302"/>
      <c r="FO735" s="302"/>
      <c r="FP735" s="770"/>
      <c r="FQ735" s="770"/>
      <c r="FR735" s="770"/>
      <c r="FS735" s="770"/>
      <c r="FT735" s="770"/>
      <c r="FU735" s="770"/>
      <c r="FV735" s="770"/>
      <c r="FW735" s="770"/>
      <c r="FX735" s="770"/>
      <c r="FY735" s="770"/>
      <c r="FZ735" s="770"/>
      <c r="GA735" s="770"/>
      <c r="GB735" s="770"/>
      <c r="GC735" s="308"/>
      <c r="GD735" s="297"/>
      <c r="GE735" s="770"/>
      <c r="GF735" s="302"/>
      <c r="GG735" s="302"/>
      <c r="GH735" s="770"/>
      <c r="GI735" s="770"/>
      <c r="GJ735" s="770"/>
      <c r="GK735" s="770"/>
      <c r="GL735" s="770"/>
      <c r="GM735" s="770"/>
      <c r="GN735" s="299"/>
      <c r="GO735" s="770"/>
      <c r="GP735" s="770"/>
      <c r="GQ735" s="770"/>
      <c r="GR735" s="770"/>
      <c r="GS735" s="770"/>
      <c r="GT735" s="770"/>
      <c r="GU735" s="770"/>
      <c r="GV735" s="770"/>
      <c r="GW735" s="770"/>
      <c r="GX735" s="770"/>
      <c r="GY735" s="770"/>
      <c r="GZ735" s="770"/>
      <c r="HA735" s="770"/>
      <c r="HB735" s="770"/>
      <c r="HC735" s="770"/>
      <c r="HD735" s="770"/>
      <c r="HE735" s="770"/>
      <c r="HF735" s="770"/>
      <c r="HG735" s="770"/>
      <c r="HH735" s="770"/>
      <c r="HI735" s="770"/>
      <c r="HJ735" s="770"/>
      <c r="HK735" s="770"/>
      <c r="HL735" s="770"/>
      <c r="HM735" s="770"/>
      <c r="HN735" s="770"/>
      <c r="HO735" s="770"/>
      <c r="HP735" s="770"/>
      <c r="HQ735" s="770"/>
      <c r="HR735" s="770">
        <v>4</v>
      </c>
      <c r="HS735" s="770"/>
      <c r="HT735" s="770"/>
      <c r="HU735" s="770"/>
      <c r="HV735" s="770"/>
      <c r="HW735" s="770"/>
      <c r="HX735" s="770"/>
      <c r="HY735" s="770"/>
      <c r="HZ735" s="770"/>
      <c r="IA735" s="770"/>
      <c r="IB735" s="770"/>
      <c r="IC735" s="770"/>
      <c r="ID735" s="770"/>
      <c r="IE735" s="770"/>
      <c r="IF735" s="770"/>
      <c r="IG735" s="770"/>
      <c r="IH735" s="770"/>
      <c r="II735" s="770"/>
      <c r="IJ735" s="770"/>
      <c r="IK735" s="770"/>
      <c r="IL735" s="770"/>
      <c r="IM735" s="770"/>
      <c r="IN735" s="770"/>
      <c r="IO735" s="296"/>
      <c r="IP735" s="770"/>
      <c r="IQ735" s="770"/>
      <c r="IR735" s="770"/>
      <c r="IS735" s="770"/>
      <c r="IT735" s="770"/>
      <c r="IU735" s="770"/>
      <c r="IV735" s="770"/>
      <c r="IW735" s="770"/>
      <c r="IX735" s="770"/>
      <c r="IY735" s="770"/>
      <c r="IZ735" s="770"/>
      <c r="JA735" s="770"/>
      <c r="JB735" s="770"/>
      <c r="JC735" s="770"/>
      <c r="JD735" s="302"/>
      <c r="JE735" s="770"/>
      <c r="JF735" s="770"/>
      <c r="JG735" s="770"/>
      <c r="JH735" s="307"/>
      <c r="JI735" s="307"/>
      <c r="JJ735" s="770"/>
      <c r="JK735" s="770"/>
      <c r="JL735" s="770"/>
      <c r="JM735" s="770"/>
      <c r="JN735" s="770"/>
      <c r="JO735" s="770"/>
      <c r="JP735" s="770"/>
      <c r="JQ735" s="770"/>
      <c r="JR735" s="770"/>
      <c r="JS735" s="770"/>
      <c r="JT735" s="766"/>
      <c r="JU735" s="766"/>
      <c r="JV735" s="766"/>
      <c r="JW735" s="766"/>
      <c r="JX735" s="770"/>
      <c r="JY735" s="770"/>
      <c r="JZ735" s="770"/>
      <c r="KA735" s="770"/>
      <c r="KB735" s="770"/>
      <c r="KC735" s="770"/>
      <c r="KD735" s="770"/>
      <c r="KE735" s="770"/>
      <c r="KF735" s="770"/>
      <c r="KG735" s="770"/>
      <c r="KH735" s="770"/>
      <c r="KI735" s="770"/>
      <c r="KJ735" s="770"/>
      <c r="KK735" s="770"/>
      <c r="KL735" s="770"/>
      <c r="KM735" s="770"/>
      <c r="KN735" s="770"/>
      <c r="KO735" s="770"/>
      <c r="KP735" s="770"/>
      <c r="KQ735" s="770"/>
      <c r="KR735" s="770"/>
      <c r="KS735" s="770"/>
      <c r="KT735" s="770"/>
      <c r="KU735" s="770"/>
      <c r="KV735" s="770"/>
      <c r="KW735" s="770"/>
      <c r="KX735" s="770"/>
      <c r="KY735" s="770"/>
      <c r="KZ735" s="770"/>
      <c r="LA735" s="770"/>
      <c r="LB735" s="770"/>
      <c r="LC735" s="770"/>
      <c r="LD735" s="770"/>
      <c r="LE735" s="770"/>
      <c r="LF735" s="770"/>
      <c r="LG735" s="770"/>
      <c r="LH735" s="770"/>
      <c r="LI735" s="770"/>
      <c r="LJ735" s="770"/>
      <c r="LK735" s="770"/>
      <c r="LL735" s="770"/>
      <c r="LM735" s="770"/>
      <c r="LN735" s="766"/>
      <c r="LO735" s="766"/>
      <c r="LP735" s="770"/>
      <c r="LQ735" s="770"/>
      <c r="LR735" s="770"/>
      <c r="LS735" s="770"/>
      <c r="LT735" s="770"/>
      <c r="LU735" s="770"/>
      <c r="LV735" s="770"/>
      <c r="LW735" s="770"/>
      <c r="LX735" s="769"/>
      <c r="LY735" s="766" t="str">
        <f t="shared" si="210"/>
        <v/>
      </c>
      <c r="LZ735" s="1709"/>
      <c r="MA735" s="1709"/>
      <c r="MB735" s="1709"/>
      <c r="MC735" s="1679">
        <f t="shared" si="208"/>
        <v>0</v>
      </c>
      <c r="MD735" s="1709"/>
      <c r="ME735" s="1709"/>
      <c r="MF735" s="1709"/>
      <c r="MG735" s="1680">
        <f t="shared" si="216"/>
        <v>0</v>
      </c>
      <c r="MH735" s="770"/>
      <c r="MI735" s="302"/>
      <c r="MJ735" s="302"/>
      <c r="MK735" s="302"/>
      <c r="ML735" s="302"/>
      <c r="MM735" s="302"/>
      <c r="MN735" s="302"/>
      <c r="MO735" s="302"/>
      <c r="MP735" s="302"/>
      <c r="MQ735" s="302"/>
      <c r="MR735" s="302"/>
      <c r="MS735" s="302"/>
      <c r="MT735" s="302"/>
      <c r="MU735" s="302"/>
      <c r="MV735" s="302"/>
      <c r="MW735" s="302"/>
      <c r="MX735" s="302"/>
      <c r="MY735" s="1682">
        <f t="shared" si="217"/>
        <v>0</v>
      </c>
      <c r="MZ735" s="770"/>
      <c r="NA735" s="770"/>
      <c r="NB735" s="770"/>
      <c r="NC735" s="770"/>
      <c r="ND735" s="770"/>
      <c r="NE735" s="770"/>
      <c r="NF735" s="770"/>
      <c r="NG735" s="770"/>
      <c r="NH735" s="770"/>
      <c r="NI735" s="770"/>
      <c r="NJ735" s="770"/>
      <c r="NK735" s="770"/>
      <c r="NL735" s="770"/>
      <c r="NM735" s="770"/>
      <c r="NN735" s="770"/>
      <c r="NO735" s="770"/>
      <c r="NP735" s="770"/>
      <c r="NQ735" s="770"/>
      <c r="NR735" s="770"/>
      <c r="NS735" s="770"/>
      <c r="NT735" s="770"/>
      <c r="NU735" s="770"/>
      <c r="NV735" s="770"/>
      <c r="NW735" s="770"/>
      <c r="NX735" s="770"/>
      <c r="NY735" s="770"/>
      <c r="NZ735" s="770"/>
      <c r="OA735" s="770"/>
      <c r="OB735" s="770"/>
      <c r="OC735" s="770"/>
      <c r="OD735" s="770"/>
      <c r="OE735" s="770"/>
      <c r="OF735" s="770"/>
      <c r="OG735" s="770"/>
      <c r="OH735" s="770"/>
      <c r="OI735" s="770"/>
      <c r="OJ735" s="770"/>
      <c r="OK735" s="770"/>
      <c r="OL735" s="770"/>
      <c r="OM735" s="770"/>
      <c r="ON735" s="770"/>
      <c r="OO735" s="770"/>
      <c r="OP735" s="770"/>
      <c r="OQ735" s="770"/>
      <c r="OR735" s="770"/>
      <c r="OS735" s="770"/>
      <c r="OT735" s="770"/>
      <c r="OU735" s="770"/>
      <c r="OV735" s="770"/>
      <c r="OW735" s="770"/>
      <c r="OX735" s="770"/>
      <c r="OY735" s="770"/>
      <c r="OZ735" s="770"/>
      <c r="PA735" s="770"/>
      <c r="PB735" s="770"/>
      <c r="PC735" s="770"/>
      <c r="PD735" s="770"/>
      <c r="PE735" s="770"/>
      <c r="PF735" s="770"/>
      <c r="PG735" s="770"/>
      <c r="PH735" s="770"/>
      <c r="PI735" s="770"/>
      <c r="PJ735" s="770"/>
      <c r="PK735" s="770"/>
      <c r="PL735" s="770"/>
      <c r="PM735" s="770"/>
      <c r="PN735" s="770"/>
      <c r="PO735" s="770"/>
      <c r="PP735" s="770"/>
      <c r="PQ735" s="770"/>
      <c r="PR735" s="770"/>
      <c r="PS735" s="770"/>
      <c r="PT735" s="770"/>
      <c r="PU735" s="770"/>
      <c r="PV735" s="770"/>
      <c r="PW735" s="770"/>
      <c r="PX735" s="770"/>
      <c r="PY735" s="770"/>
      <c r="PZ735" s="770"/>
      <c r="QA735" s="770"/>
      <c r="QB735" s="770"/>
      <c r="QC735" s="770"/>
      <c r="QD735" s="770"/>
      <c r="QE735" s="770"/>
      <c r="QF735" s="770"/>
      <c r="QG735" s="770"/>
      <c r="QH735" s="770"/>
      <c r="QI735" s="770"/>
      <c r="QJ735" s="770"/>
      <c r="QK735" s="770"/>
      <c r="QL735" s="770"/>
      <c r="QM735" s="770"/>
      <c r="QN735" s="770"/>
      <c r="QO735" s="770"/>
      <c r="QP735" s="770"/>
      <c r="QQ735" s="770"/>
      <c r="QR735" s="770"/>
      <c r="QS735" s="770"/>
      <c r="QT735" s="770"/>
      <c r="QU735" s="770"/>
      <c r="QV735" s="770"/>
      <c r="QW735" s="770"/>
      <c r="QX735" s="770"/>
      <c r="QY735" s="770"/>
      <c r="QZ735" s="770"/>
      <c r="RA735" s="770"/>
      <c r="RB735" s="770"/>
      <c r="RC735" s="770"/>
      <c r="RD735" s="770"/>
      <c r="RE735" s="770"/>
      <c r="RF735" s="304"/>
      <c r="RG735" s="770"/>
      <c r="RH735" s="306"/>
      <c r="RI735" s="770"/>
      <c r="RJ735" s="94" t="s">
        <v>13968</v>
      </c>
      <c r="RK735" s="770" t="s">
        <v>13550</v>
      </c>
      <c r="RL735" s="1710">
        <v>42846</v>
      </c>
      <c r="RM735" s="12"/>
      <c r="RN735" s="1711"/>
      <c r="RO735" s="149" t="s">
        <v>4839</v>
      </c>
      <c r="RP735" s="11"/>
      <c r="RQ735" s="11"/>
      <c r="RR735" s="17"/>
      <c r="RS735" s="767"/>
      <c r="RT735" s="11"/>
      <c r="RU735" s="11"/>
      <c r="RV735" s="771" t="s">
        <v>12452</v>
      </c>
      <c r="RW735" s="11" t="s">
        <v>8068</v>
      </c>
      <c r="RX735" s="11" t="s">
        <v>3155</v>
      </c>
      <c r="RY735" s="11"/>
      <c r="RZ735" s="11" t="s">
        <v>2209</v>
      </c>
      <c r="SA735" s="771"/>
      <c r="SB735" s="11"/>
      <c r="SC735" s="11"/>
    </row>
    <row r="736" spans="1:497" ht="12.75" hidden="1" customHeight="1">
      <c r="A736" s="343" t="s">
        <v>7419</v>
      </c>
      <c r="B736" s="292" t="s">
        <v>11700</v>
      </c>
      <c r="C736" s="149" t="s">
        <v>3173</v>
      </c>
      <c r="D736" s="94" t="s">
        <v>11701</v>
      </c>
      <c r="E736" s="766" t="s">
        <v>4841</v>
      </c>
      <c r="F736" s="770" t="s">
        <v>5621</v>
      </c>
      <c r="G736" s="770" t="s">
        <v>18</v>
      </c>
      <c r="H736" s="770"/>
      <c r="I736" s="295" t="s">
        <v>11702</v>
      </c>
      <c r="J736" s="94" t="s">
        <v>4852</v>
      </c>
      <c r="K736" s="766" t="s">
        <v>4853</v>
      </c>
      <c r="L736" s="766" t="s">
        <v>4854</v>
      </c>
      <c r="M736" s="770" t="s">
        <v>1238</v>
      </c>
      <c r="N736" s="1757" t="s">
        <v>11703</v>
      </c>
      <c r="O736" s="1757" t="s">
        <v>11704</v>
      </c>
      <c r="P736" s="770" t="s">
        <v>4855</v>
      </c>
      <c r="Q736" s="1088">
        <v>19263</v>
      </c>
      <c r="R736" s="297">
        <v>65</v>
      </c>
      <c r="S736" s="770" t="s">
        <v>18</v>
      </c>
      <c r="T736" s="770"/>
      <c r="U736" s="295" t="s">
        <v>4856</v>
      </c>
      <c r="V736" s="770"/>
      <c r="W736" s="770"/>
      <c r="X736" s="770"/>
      <c r="Y736" s="766" t="s">
        <v>4841</v>
      </c>
      <c r="Z736" s="770" t="s">
        <v>708</v>
      </c>
      <c r="AA736" s="770" t="s">
        <v>709</v>
      </c>
      <c r="AB736" s="295" t="s">
        <v>710</v>
      </c>
      <c r="AC736" s="770" t="s">
        <v>724</v>
      </c>
      <c r="AD736" s="770"/>
      <c r="AE736" s="770"/>
      <c r="AF736" s="770" t="s">
        <v>712</v>
      </c>
      <c r="AG736" s="766" t="s">
        <v>1132</v>
      </c>
      <c r="AH736" s="766" t="s">
        <v>1096</v>
      </c>
      <c r="AI736" s="770"/>
      <c r="AJ736" s="770" t="s">
        <v>1137</v>
      </c>
      <c r="AK736" s="770" t="s">
        <v>1097</v>
      </c>
      <c r="AL736" s="531">
        <v>44.4</v>
      </c>
      <c r="AM736" s="780">
        <v>2.96</v>
      </c>
      <c r="AN736" s="532">
        <v>6.6666666666666666E-2</v>
      </c>
      <c r="AO736" s="766" t="s">
        <v>1098</v>
      </c>
      <c r="AP736" s="766" t="s">
        <v>5368</v>
      </c>
      <c r="AQ736" s="766" t="s">
        <v>7418</v>
      </c>
      <c r="AR736" s="766"/>
      <c r="AS736" s="770"/>
      <c r="AT736" s="770"/>
      <c r="AU736" s="770"/>
      <c r="AV736" s="770"/>
      <c r="AW736" s="770"/>
      <c r="AX736" s="13"/>
      <c r="AY736" s="770"/>
      <c r="AZ736" s="770"/>
      <c r="BA736" s="770"/>
      <c r="BB736" s="770"/>
      <c r="BC736" s="770"/>
      <c r="BD736" s="770"/>
      <c r="BE736" s="770"/>
      <c r="BF736" s="302"/>
      <c r="BG736" s="302"/>
      <c r="BH736" s="770"/>
      <c r="BI736" s="770"/>
      <c r="BJ736" s="770"/>
      <c r="BK736" s="766" t="s">
        <v>1095</v>
      </c>
      <c r="BL736" s="766" t="s">
        <v>4858</v>
      </c>
      <c r="BM736" s="766" t="s">
        <v>1096</v>
      </c>
      <c r="BN736" s="766" t="s">
        <v>1230</v>
      </c>
      <c r="BO736" s="766" t="s">
        <v>1246</v>
      </c>
      <c r="BP736" s="765">
        <v>44.4</v>
      </c>
      <c r="BQ736" s="773">
        <v>2.96</v>
      </c>
      <c r="BR736" s="774">
        <f>BQ736/BP736</f>
        <v>6.6666666666666666E-2</v>
      </c>
      <c r="BS736" s="6" t="s">
        <v>1149</v>
      </c>
      <c r="BT736" s="770"/>
      <c r="BU736" s="770"/>
      <c r="BV736" s="770"/>
      <c r="BW736" s="770"/>
      <c r="BX736" s="302"/>
      <c r="BY736" s="770"/>
      <c r="BZ736" s="302"/>
      <c r="CA736" s="770"/>
      <c r="CB736" s="770"/>
      <c r="CC736" s="770"/>
      <c r="CD736" s="770"/>
      <c r="CE736" s="302"/>
      <c r="CF736" s="304"/>
      <c r="CG736" s="321"/>
      <c r="CH736" s="770"/>
      <c r="CI736" s="770"/>
      <c r="CJ736" s="770"/>
      <c r="CK736" s="770"/>
      <c r="CL736" s="770"/>
      <c r="CM736" s="770"/>
      <c r="CN736" s="770"/>
      <c r="CO736" s="770"/>
      <c r="CP736" s="770"/>
      <c r="CQ736" s="770"/>
      <c r="CR736" s="302"/>
      <c r="CS736" s="770"/>
      <c r="CT736" s="770"/>
      <c r="CU736" s="305"/>
      <c r="CV736" s="770"/>
      <c r="CW736" s="770"/>
      <c r="CX736" s="770"/>
      <c r="CY736" s="770"/>
      <c r="CZ736" s="770"/>
      <c r="DA736" s="306"/>
      <c r="DB736" s="770"/>
      <c r="DC736" s="770"/>
      <c r="DD736" s="770"/>
      <c r="DE736" s="300"/>
      <c r="DF736" s="770"/>
      <c r="DG736" s="770"/>
      <c r="DH736" s="770"/>
      <c r="DI736" s="770"/>
      <c r="DJ736" s="770"/>
      <c r="DK736" s="770"/>
      <c r="DL736" s="770"/>
      <c r="DM736" s="770"/>
      <c r="DN736" s="322"/>
      <c r="DO736" s="770"/>
      <c r="DP736" s="770"/>
      <c r="DQ736" s="770"/>
      <c r="DR736" s="770"/>
      <c r="DS736" s="307"/>
      <c r="DT736" s="770"/>
      <c r="DU736" s="770"/>
      <c r="DV736" s="770"/>
      <c r="DW736" s="306"/>
      <c r="DX736" s="306"/>
      <c r="DY736" s="1055"/>
      <c r="DZ736" s="770"/>
      <c r="EA736" s="770"/>
      <c r="EB736" s="770"/>
      <c r="EC736" s="770"/>
      <c r="ED736" s="770"/>
      <c r="EE736" s="770"/>
      <c r="EF736" s="770"/>
      <c r="EG736" s="770"/>
      <c r="EH736" s="770"/>
      <c r="EI736" s="770"/>
      <c r="EJ736" s="770"/>
      <c r="EK736" s="770"/>
      <c r="EL736" s="770"/>
      <c r="EM736" s="770"/>
      <c r="EN736" s="770"/>
      <c r="EO736" s="770"/>
      <c r="EP736" s="94"/>
      <c r="EQ736" s="770"/>
      <c r="ER736" s="770"/>
      <c r="ES736" s="770"/>
      <c r="ET736" s="770"/>
      <c r="EU736" s="770"/>
      <c r="EV736" s="770"/>
      <c r="EW736" s="770"/>
      <c r="EX736" s="770"/>
      <c r="EY736" s="770"/>
      <c r="EZ736" s="770"/>
      <c r="FA736" s="770"/>
      <c r="FB736" s="770"/>
      <c r="FC736" s="770"/>
      <c r="FD736" s="302"/>
      <c r="FE736" s="770"/>
      <c r="FF736" s="770"/>
      <c r="FG736" s="770"/>
      <c r="FH736" s="770"/>
      <c r="FI736" s="770"/>
      <c r="FJ736" s="770"/>
      <c r="FK736" s="770"/>
      <c r="FL736" s="770"/>
      <c r="FM736" s="302"/>
      <c r="FN736" s="302"/>
      <c r="FO736" s="302"/>
      <c r="FP736" s="770"/>
      <c r="FQ736" s="770"/>
      <c r="FR736" s="770"/>
      <c r="FS736" s="770"/>
      <c r="FT736" s="770"/>
      <c r="FU736" s="770"/>
      <c r="FV736" s="770"/>
      <c r="FW736" s="770"/>
      <c r="FX736" s="770"/>
      <c r="FY736" s="770"/>
      <c r="FZ736" s="770"/>
      <c r="GA736" s="770"/>
      <c r="GB736" s="770"/>
      <c r="GC736" s="308"/>
      <c r="GD736" s="297"/>
      <c r="GE736" s="770"/>
      <c r="GF736" s="302"/>
      <c r="GG736" s="302"/>
      <c r="GH736" s="770"/>
      <c r="GI736" s="770"/>
      <c r="GJ736" s="770"/>
      <c r="GK736" s="770"/>
      <c r="GL736" s="770"/>
      <c r="GM736" s="770"/>
      <c r="GN736" s="299"/>
      <c r="GO736" s="770"/>
      <c r="GP736" s="770"/>
      <c r="GQ736" s="770"/>
      <c r="GR736" s="770"/>
      <c r="GS736" s="770"/>
      <c r="GT736" s="770"/>
      <c r="GU736" s="770"/>
      <c r="GV736" s="770"/>
      <c r="GW736" s="770"/>
      <c r="GX736" s="770"/>
      <c r="GY736" s="770"/>
      <c r="GZ736" s="770"/>
      <c r="HA736" s="770"/>
      <c r="HB736" s="770"/>
      <c r="HC736" s="770"/>
      <c r="HD736" s="770"/>
      <c r="HE736" s="770"/>
      <c r="HF736" s="770"/>
      <c r="HG736" s="770"/>
      <c r="HH736" s="770"/>
      <c r="HI736" s="770"/>
      <c r="HJ736" s="770"/>
      <c r="HK736" s="770"/>
      <c r="HL736" s="770"/>
      <c r="HM736" s="770"/>
      <c r="HN736" s="770"/>
      <c r="HO736" s="770"/>
      <c r="HP736" s="770"/>
      <c r="HQ736" s="770"/>
      <c r="HR736" s="770"/>
      <c r="HS736" s="770"/>
      <c r="HT736" s="770"/>
      <c r="HU736" s="770"/>
      <c r="HV736" s="770"/>
      <c r="HW736" s="770"/>
      <c r="HX736" s="770"/>
      <c r="HY736" s="770"/>
      <c r="HZ736" s="770"/>
      <c r="IA736" s="770"/>
      <c r="IB736" s="770"/>
      <c r="IC736" s="770"/>
      <c r="ID736" s="770"/>
      <c r="IE736" s="770"/>
      <c r="IF736" s="770"/>
      <c r="IG736" s="770"/>
      <c r="IH736" s="770"/>
      <c r="II736" s="770"/>
      <c r="IJ736" s="770"/>
      <c r="IK736" s="770"/>
      <c r="IL736" s="770"/>
      <c r="IM736" s="770"/>
      <c r="IN736" s="770"/>
      <c r="IO736" s="296"/>
      <c r="IP736" s="770"/>
      <c r="IQ736" s="770"/>
      <c r="IR736" s="770"/>
      <c r="IS736" s="770"/>
      <c r="IT736" s="770"/>
      <c r="IU736" s="770"/>
      <c r="IV736" s="770"/>
      <c r="IW736" s="770"/>
      <c r="IX736" s="770"/>
      <c r="IY736" s="770"/>
      <c r="IZ736" s="770"/>
      <c r="JA736" s="770"/>
      <c r="JB736" s="770"/>
      <c r="JC736" s="770"/>
      <c r="JD736" s="302"/>
      <c r="JE736" s="770"/>
      <c r="JF736" s="770"/>
      <c r="JG736" s="770"/>
      <c r="JH736" s="307"/>
      <c r="JI736" s="307"/>
      <c r="JJ736" s="770"/>
      <c r="JK736" s="770"/>
      <c r="JL736" s="770"/>
      <c r="JM736" s="770"/>
      <c r="JN736" s="770"/>
      <c r="JO736" s="770"/>
      <c r="JP736" s="770"/>
      <c r="JQ736" s="770"/>
      <c r="JR736" s="770"/>
      <c r="JS736" s="770"/>
      <c r="JT736" s="766"/>
      <c r="JU736" s="766"/>
      <c r="JV736" s="766"/>
      <c r="JW736" s="766"/>
      <c r="JX736" s="770"/>
      <c r="JY736" s="770"/>
      <c r="JZ736" s="770"/>
      <c r="KA736" s="770"/>
      <c r="KB736" s="770"/>
      <c r="KC736" s="770"/>
      <c r="KD736" s="770"/>
      <c r="KE736" s="770"/>
      <c r="KF736" s="770"/>
      <c r="KG736" s="770"/>
      <c r="KH736" s="770"/>
      <c r="KI736" s="770"/>
      <c r="KJ736" s="770"/>
      <c r="KK736" s="770"/>
      <c r="KL736" s="770"/>
      <c r="KM736" s="770"/>
      <c r="KN736" s="770"/>
      <c r="KO736" s="770"/>
      <c r="KP736" s="770"/>
      <c r="KQ736" s="770"/>
      <c r="KR736" s="770"/>
      <c r="KS736" s="770"/>
      <c r="KT736" s="770"/>
      <c r="KU736" s="770"/>
      <c r="KV736" s="770"/>
      <c r="KW736" s="770"/>
      <c r="KX736" s="770"/>
      <c r="KY736" s="770"/>
      <c r="KZ736" s="770"/>
      <c r="LA736" s="770"/>
      <c r="LB736" s="770"/>
      <c r="LC736" s="770"/>
      <c r="LD736" s="770"/>
      <c r="LE736" s="770"/>
      <c r="LF736" s="770"/>
      <c r="LG736" s="770"/>
      <c r="LH736" s="770"/>
      <c r="LI736" s="770"/>
      <c r="LJ736" s="770"/>
      <c r="LK736" s="770"/>
      <c r="LL736" s="770"/>
      <c r="LM736" s="770"/>
      <c r="LN736" s="766"/>
      <c r="LO736" s="766"/>
      <c r="LP736" s="770"/>
      <c r="LQ736" s="770"/>
      <c r="LR736" s="770"/>
      <c r="LS736" s="770"/>
      <c r="LT736" s="770"/>
      <c r="LU736" s="770"/>
      <c r="LV736" s="770"/>
      <c r="LW736" s="770"/>
      <c r="LX736" s="769"/>
      <c r="LY736" s="766" t="str">
        <f t="shared" si="210"/>
        <v/>
      </c>
      <c r="LZ736" s="1709"/>
      <c r="MA736" s="1709"/>
      <c r="MB736" s="1709"/>
      <c r="MC736" s="1679">
        <f t="shared" si="208"/>
        <v>0</v>
      </c>
      <c r="MD736" s="1709"/>
      <c r="ME736" s="1709"/>
      <c r="MF736" s="1709"/>
      <c r="MG736" s="1680">
        <f t="shared" si="216"/>
        <v>0</v>
      </c>
      <c r="MH736" s="770"/>
      <c r="MI736" s="302"/>
      <c r="MJ736" s="302"/>
      <c r="MK736" s="302"/>
      <c r="ML736" s="302"/>
      <c r="MM736" s="302"/>
      <c r="MN736" s="302"/>
      <c r="MO736" s="302"/>
      <c r="MP736" s="302"/>
      <c r="MQ736" s="302"/>
      <c r="MR736" s="302"/>
      <c r="MS736" s="302"/>
      <c r="MT736" s="302"/>
      <c r="MU736" s="302"/>
      <c r="MV736" s="302"/>
      <c r="MW736" s="302"/>
      <c r="MX736" s="302"/>
      <c r="MY736" s="1682">
        <f t="shared" si="217"/>
        <v>0</v>
      </c>
      <c r="MZ736" s="770"/>
      <c r="NA736" s="770"/>
      <c r="NB736" s="770"/>
      <c r="NC736" s="770"/>
      <c r="ND736" s="770"/>
      <c r="NE736" s="770"/>
      <c r="NF736" s="770"/>
      <c r="NG736" s="770"/>
      <c r="NH736" s="770"/>
      <c r="NI736" s="770"/>
      <c r="NJ736" s="770"/>
      <c r="NK736" s="770"/>
      <c r="NL736" s="770"/>
      <c r="NM736" s="770"/>
      <c r="NN736" s="770"/>
      <c r="NO736" s="770"/>
      <c r="NP736" s="770"/>
      <c r="NQ736" s="770"/>
      <c r="NR736" s="770"/>
      <c r="NS736" s="770"/>
      <c r="NT736" s="770"/>
      <c r="NU736" s="770"/>
      <c r="NV736" s="770"/>
      <c r="NW736" s="770"/>
      <c r="NX736" s="770"/>
      <c r="NY736" s="770"/>
      <c r="NZ736" s="770"/>
      <c r="OA736" s="770"/>
      <c r="OB736" s="770"/>
      <c r="OC736" s="770"/>
      <c r="OD736" s="770"/>
      <c r="OE736" s="770"/>
      <c r="OF736" s="770"/>
      <c r="OG736" s="770"/>
      <c r="OH736" s="770"/>
      <c r="OI736" s="770"/>
      <c r="OJ736" s="770"/>
      <c r="OK736" s="770"/>
      <c r="OL736" s="770"/>
      <c r="OM736" s="770"/>
      <c r="ON736" s="770"/>
      <c r="OO736" s="770"/>
      <c r="OP736" s="770"/>
      <c r="OQ736" s="770"/>
      <c r="OR736" s="770"/>
      <c r="OS736" s="770"/>
      <c r="OT736" s="770"/>
      <c r="OU736" s="770"/>
      <c r="OV736" s="770"/>
      <c r="OW736" s="770"/>
      <c r="OX736" s="770"/>
      <c r="OY736" s="770"/>
      <c r="OZ736" s="770"/>
      <c r="PA736" s="770"/>
      <c r="PB736" s="770"/>
      <c r="PC736" s="770"/>
      <c r="PD736" s="770"/>
      <c r="PE736" s="770"/>
      <c r="PF736" s="770"/>
      <c r="PG736" s="770"/>
      <c r="PH736" s="770"/>
      <c r="PI736" s="770"/>
      <c r="PJ736" s="770"/>
      <c r="PK736" s="770"/>
      <c r="PL736" s="770"/>
      <c r="PM736" s="770"/>
      <c r="PN736" s="770"/>
      <c r="PO736" s="770"/>
      <c r="PP736" s="770"/>
      <c r="PQ736" s="770"/>
      <c r="PR736" s="770"/>
      <c r="PS736" s="770"/>
      <c r="PT736" s="770"/>
      <c r="PU736" s="770"/>
      <c r="PV736" s="770"/>
      <c r="PW736" s="770"/>
      <c r="PX736" s="770"/>
      <c r="PY736" s="770"/>
      <c r="PZ736" s="770"/>
      <c r="QA736" s="770"/>
      <c r="QB736" s="770"/>
      <c r="QC736" s="770"/>
      <c r="QD736" s="770"/>
      <c r="QE736" s="770"/>
      <c r="QF736" s="770"/>
      <c r="QG736" s="770"/>
      <c r="QH736" s="770"/>
      <c r="QI736" s="770"/>
      <c r="QJ736" s="770"/>
      <c r="QK736" s="770"/>
      <c r="QL736" s="770"/>
      <c r="QM736" s="770"/>
      <c r="QN736" s="770"/>
      <c r="QO736" s="770"/>
      <c r="QP736" s="770"/>
      <c r="QQ736" s="770"/>
      <c r="QR736" s="770"/>
      <c r="QS736" s="770"/>
      <c r="QT736" s="770"/>
      <c r="QU736" s="770"/>
      <c r="QV736" s="770"/>
      <c r="QW736" s="770"/>
      <c r="QX736" s="770"/>
      <c r="QY736" s="770"/>
      <c r="QZ736" s="770"/>
      <c r="RA736" s="770"/>
      <c r="RB736" s="770"/>
      <c r="RC736" s="770"/>
      <c r="RD736" s="770"/>
      <c r="RE736" s="770"/>
      <c r="RF736" s="304"/>
      <c r="RG736" s="770"/>
      <c r="RH736" s="306"/>
      <c r="RI736" s="770"/>
      <c r="RJ736" s="94"/>
      <c r="RK736" s="770"/>
      <c r="RL736" s="1710"/>
      <c r="RM736" s="12"/>
      <c r="RN736" s="1711"/>
      <c r="RO736" s="149" t="s">
        <v>3173</v>
      </c>
      <c r="RP736" s="11"/>
      <c r="RQ736" s="11"/>
      <c r="RR736" s="17"/>
      <c r="RS736" s="767"/>
      <c r="RT736" s="11"/>
      <c r="RU736" s="11"/>
      <c r="RV736" s="771" t="s">
        <v>12452</v>
      </c>
      <c r="RW736" s="11" t="s">
        <v>7446</v>
      </c>
      <c r="RX736" s="11" t="s">
        <v>3155</v>
      </c>
      <c r="RY736" s="11"/>
      <c r="RZ736" s="11" t="s">
        <v>2209</v>
      </c>
      <c r="SA736" s="771"/>
      <c r="SB736" s="11"/>
      <c r="SC736" s="11"/>
    </row>
    <row r="737" spans="1:497">
      <c r="A737" s="19" t="s">
        <v>7421</v>
      </c>
      <c r="B737" s="292" t="s">
        <v>7447</v>
      </c>
      <c r="C737" s="149" t="s">
        <v>4859</v>
      </c>
      <c r="D737" s="94" t="s">
        <v>4860</v>
      </c>
      <c r="E737" s="766" t="s">
        <v>4861</v>
      </c>
      <c r="F737" s="770" t="s">
        <v>28</v>
      </c>
      <c r="G737" s="770" t="s">
        <v>10</v>
      </c>
      <c r="H737" s="770"/>
      <c r="I737" s="295" t="s">
        <v>4862</v>
      </c>
      <c r="J737" s="94" t="s">
        <v>4860</v>
      </c>
      <c r="K737" s="766" t="s">
        <v>4853</v>
      </c>
      <c r="L737" s="766" t="s">
        <v>4863</v>
      </c>
      <c r="M737" s="770" t="s">
        <v>1238</v>
      </c>
      <c r="N737" s="1757"/>
      <c r="O737" s="1757" t="s">
        <v>4864</v>
      </c>
      <c r="P737" s="94" t="s">
        <v>4865</v>
      </c>
      <c r="Q737" s="1088">
        <v>30395</v>
      </c>
      <c r="R737" s="297">
        <v>34</v>
      </c>
      <c r="S737" s="770" t="s">
        <v>10</v>
      </c>
      <c r="T737" s="770"/>
      <c r="U737" s="295" t="s">
        <v>4862</v>
      </c>
      <c r="V737" s="770" t="s">
        <v>768</v>
      </c>
      <c r="W737" s="770"/>
      <c r="X737" s="770"/>
      <c r="Y737" s="770" t="s">
        <v>4861</v>
      </c>
      <c r="Z737" s="770" t="s">
        <v>708</v>
      </c>
      <c r="AA737" s="770" t="s">
        <v>709</v>
      </c>
      <c r="AB737" s="770" t="s">
        <v>710</v>
      </c>
      <c r="AC737" s="770" t="s">
        <v>724</v>
      </c>
      <c r="AD737" s="770" t="s">
        <v>711</v>
      </c>
      <c r="AE737" s="770"/>
      <c r="AF737" s="770" t="s">
        <v>712</v>
      </c>
      <c r="AG737" s="766" t="s">
        <v>1132</v>
      </c>
      <c r="AH737" s="766" t="s">
        <v>1096</v>
      </c>
      <c r="AI737" s="770"/>
      <c r="AJ737" s="770" t="s">
        <v>1137</v>
      </c>
      <c r="AK737" s="770" t="s">
        <v>1101</v>
      </c>
      <c r="AL737" s="531">
        <v>13.95</v>
      </c>
      <c r="AM737" s="780">
        <v>3.72</v>
      </c>
      <c r="AN737" s="532">
        <f>AM737/AL737</f>
        <v>0.26666666666666672</v>
      </c>
      <c r="AO737" s="766" t="s">
        <v>1149</v>
      </c>
      <c r="AP737" s="766"/>
      <c r="AQ737" s="766"/>
      <c r="AR737" s="766"/>
      <c r="AS737" s="770"/>
      <c r="AT737" s="770"/>
      <c r="AU737" s="770"/>
      <c r="AV737" s="770"/>
      <c r="AW737" s="770"/>
      <c r="AX737" s="770"/>
      <c r="AY737" s="770"/>
      <c r="AZ737" s="770"/>
      <c r="BA737" s="770"/>
      <c r="BB737" s="770"/>
      <c r="BC737" s="770"/>
      <c r="BD737" s="770"/>
      <c r="BE737" s="770"/>
      <c r="BF737" s="302"/>
      <c r="BG737" s="302"/>
      <c r="BH737" s="770"/>
      <c r="BI737" s="770"/>
      <c r="BJ737" s="770"/>
      <c r="BK737" s="766" t="s">
        <v>1095</v>
      </c>
      <c r="BL737" s="766" t="s">
        <v>4866</v>
      </c>
      <c r="BM737" s="766" t="s">
        <v>1096</v>
      </c>
      <c r="BN737" s="766" t="s">
        <v>1230</v>
      </c>
      <c r="BO737" s="766" t="s">
        <v>1239</v>
      </c>
      <c r="BP737" s="1109">
        <v>27.9</v>
      </c>
      <c r="BQ737" s="773">
        <v>7.44</v>
      </c>
      <c r="BR737" s="774">
        <f>BQ737/BP737</f>
        <v>0.26666666666666672</v>
      </c>
      <c r="BS737" s="766" t="s">
        <v>1149</v>
      </c>
      <c r="BT737" s="766" t="s">
        <v>8133</v>
      </c>
      <c r="BU737" s="770" t="s">
        <v>1249</v>
      </c>
      <c r="BV737" s="770" t="s">
        <v>1247</v>
      </c>
      <c r="BW737" s="770">
        <v>1985</v>
      </c>
      <c r="BX737" s="302"/>
      <c r="BY737" s="770"/>
      <c r="BZ737" s="302"/>
      <c r="CA737" s="770"/>
      <c r="CB737" s="770"/>
      <c r="CC737" s="770"/>
      <c r="CD737" s="770"/>
      <c r="CE737" s="302"/>
      <c r="CF737" s="304"/>
      <c r="CG737" s="321"/>
      <c r="CH737" s="770"/>
      <c r="CI737" s="770"/>
      <c r="CJ737" s="770"/>
      <c r="CK737" s="770"/>
      <c r="CL737" s="770"/>
      <c r="CM737" s="770"/>
      <c r="CN737" s="770"/>
      <c r="CO737" s="770"/>
      <c r="CP737" s="770"/>
      <c r="CQ737" s="770"/>
      <c r="CR737" s="302"/>
      <c r="CS737" s="770"/>
      <c r="CT737" s="770"/>
      <c r="CU737" s="305"/>
      <c r="CV737" s="770"/>
      <c r="CW737" s="770"/>
      <c r="CX737" s="770"/>
      <c r="CY737" s="770"/>
      <c r="CZ737" s="770"/>
      <c r="DA737" s="306"/>
      <c r="DB737" s="770"/>
      <c r="DC737" s="770"/>
      <c r="DD737" s="770"/>
      <c r="DE737" s="300"/>
      <c r="DF737" s="770"/>
      <c r="DG737" s="770"/>
      <c r="DH737" s="770"/>
      <c r="DI737" s="770"/>
      <c r="DJ737" s="770"/>
      <c r="DK737" s="770"/>
      <c r="DL737" s="770"/>
      <c r="DM737" s="770"/>
      <c r="DN737" s="322"/>
      <c r="DO737" s="770"/>
      <c r="DP737" s="770"/>
      <c r="DQ737" s="770"/>
      <c r="DR737" s="770"/>
      <c r="DS737" s="307"/>
      <c r="DT737" s="770"/>
      <c r="DU737" s="770"/>
      <c r="DV737" s="770"/>
      <c r="DW737" s="306"/>
      <c r="DX737" s="306"/>
      <c r="DY737" s="1055"/>
      <c r="DZ737" s="770"/>
      <c r="EA737" s="770"/>
      <c r="EB737" s="770"/>
      <c r="EC737" s="770"/>
      <c r="ED737" s="770"/>
      <c r="EE737" s="770"/>
      <c r="EF737" s="770"/>
      <c r="EG737" s="770"/>
      <c r="EH737" s="770"/>
      <c r="EI737" s="770"/>
      <c r="EJ737" s="770"/>
      <c r="EK737" s="770"/>
      <c r="EL737" s="770"/>
      <c r="EM737" s="770"/>
      <c r="EN737" s="770"/>
      <c r="EO737" s="770"/>
      <c r="EP737" s="94"/>
      <c r="EQ737" s="770"/>
      <c r="ER737" s="770"/>
      <c r="ES737" s="770"/>
      <c r="ET737" s="770"/>
      <c r="EU737" s="770"/>
      <c r="EV737" s="770"/>
      <c r="EW737" s="770"/>
      <c r="EX737" s="770"/>
      <c r="EY737" s="770"/>
      <c r="EZ737" s="770"/>
      <c r="FA737" s="770"/>
      <c r="FB737" s="770"/>
      <c r="FC737" s="770"/>
      <c r="FD737" s="302"/>
      <c r="FE737" s="770"/>
      <c r="FF737" s="770"/>
      <c r="FG737" s="770"/>
      <c r="FH737" s="770" t="s">
        <v>478</v>
      </c>
      <c r="FI737" s="770">
        <v>1</v>
      </c>
      <c r="FJ737" s="770"/>
      <c r="FK737" s="770"/>
      <c r="FL737" s="770"/>
      <c r="FM737" s="302"/>
      <c r="FN737" s="302"/>
      <c r="FO737" s="302"/>
      <c r="FP737" s="766" t="s">
        <v>1602</v>
      </c>
      <c r="FQ737" s="766" t="s">
        <v>1660</v>
      </c>
      <c r="FR737" s="770" t="s">
        <v>1214</v>
      </c>
      <c r="FS737" s="770"/>
      <c r="FT737" s="770"/>
      <c r="FU737" s="770"/>
      <c r="FV737" s="770"/>
      <c r="FW737" s="770"/>
      <c r="FX737" s="770"/>
      <c r="FY737" s="770"/>
      <c r="FZ737" s="770"/>
      <c r="GA737" s="770"/>
      <c r="GB737" s="770" t="s">
        <v>853</v>
      </c>
      <c r="GC737" s="308"/>
      <c r="GD737" s="297"/>
      <c r="GE737" s="770" t="s">
        <v>1214</v>
      </c>
      <c r="GF737" s="302"/>
      <c r="GG737" s="302"/>
      <c r="GH737" s="712" t="s">
        <v>14260</v>
      </c>
      <c r="GI737" s="770"/>
      <c r="GJ737" s="770" t="s">
        <v>4867</v>
      </c>
      <c r="GK737" s="770"/>
      <c r="GL737" s="770"/>
      <c r="GM737" s="770"/>
      <c r="GN737" s="299"/>
      <c r="GO737" s="770"/>
      <c r="GP737" s="770"/>
      <c r="GQ737" s="770"/>
      <c r="GR737" s="770"/>
      <c r="GS737" s="770"/>
      <c r="GT737" s="770"/>
      <c r="GU737" s="770"/>
      <c r="GV737" s="770"/>
      <c r="GW737" s="770"/>
      <c r="GX737" s="770"/>
      <c r="GY737" s="770"/>
      <c r="GZ737" s="770"/>
      <c r="HA737" s="770"/>
      <c r="HB737" s="770"/>
      <c r="HC737" s="770"/>
      <c r="HD737" s="770"/>
      <c r="HE737" s="770"/>
      <c r="HF737" s="770"/>
      <c r="HG737" s="770"/>
      <c r="HH737" s="770"/>
      <c r="HI737" s="770" t="s">
        <v>1214</v>
      </c>
      <c r="HJ737" s="770"/>
      <c r="HK737" s="770"/>
      <c r="HL737" s="770" t="s">
        <v>1214</v>
      </c>
      <c r="HM737" s="770"/>
      <c r="HN737" s="770"/>
      <c r="HO737" s="770"/>
      <c r="HP737" s="770"/>
      <c r="HQ737" s="770"/>
      <c r="HR737" s="770">
        <v>1</v>
      </c>
      <c r="HS737" s="770"/>
      <c r="HT737" s="770"/>
      <c r="HU737" s="770"/>
      <c r="HV737" s="770"/>
      <c r="HW737" s="770"/>
      <c r="HX737" s="770"/>
      <c r="HY737" s="770"/>
      <c r="HZ737" s="770"/>
      <c r="IA737" s="770"/>
      <c r="IB737" s="14" t="e">
        <f>IF(#REF!&gt;0,IF(#REF!&lt;=10000,"Y",""),"")</f>
        <v>#REF!</v>
      </c>
      <c r="IC737" s="770"/>
      <c r="ID737" s="770"/>
      <c r="IE737" s="770"/>
      <c r="IF737" s="770"/>
      <c r="IG737" s="770"/>
      <c r="IH737" s="770"/>
      <c r="II737" s="770"/>
      <c r="IJ737" s="770"/>
      <c r="IK737" s="770"/>
      <c r="IL737" s="770"/>
      <c r="IM737" s="770"/>
      <c r="IN737" s="770"/>
      <c r="IO737" s="296"/>
      <c r="IP737" s="770"/>
      <c r="IQ737" s="770"/>
      <c r="IR737" s="770"/>
      <c r="IS737" s="770"/>
      <c r="IT737" s="770"/>
      <c r="IU737" s="770"/>
      <c r="IV737" s="770"/>
      <c r="IW737" s="770"/>
      <c r="IX737" s="770"/>
      <c r="IY737" s="770"/>
      <c r="IZ737" s="770"/>
      <c r="JA737" s="770"/>
      <c r="JB737" s="770"/>
      <c r="JC737" s="770"/>
      <c r="JD737" s="302"/>
      <c r="JE737" s="770"/>
      <c r="JF737" s="770"/>
      <c r="JG737" s="770"/>
      <c r="JH737" s="307"/>
      <c r="JI737" s="307"/>
      <c r="JJ737" s="770">
        <v>2</v>
      </c>
      <c r="JK737" s="1139" t="s">
        <v>4868</v>
      </c>
      <c r="JL737" s="770"/>
      <c r="JM737" s="770"/>
      <c r="JN737" s="770">
        <v>2</v>
      </c>
      <c r="JO737" s="770"/>
      <c r="JP737" s="770"/>
      <c r="JQ737" s="770"/>
      <c r="JR737" s="770"/>
      <c r="JS737" s="770"/>
      <c r="JT737" s="766">
        <f>SUM(JP737,JN737,JL737,JR737)</f>
        <v>2</v>
      </c>
      <c r="JU737" s="766">
        <f>SUM(JQ737,JO737,JM737,JS737)</f>
        <v>0</v>
      </c>
      <c r="JV737" s="712" t="str">
        <f>IF(JT737=KJ737,"ok","male")</f>
        <v>ok</v>
      </c>
      <c r="JW737" s="712" t="str">
        <f>IF(JU737=KK737,"ok","female")</f>
        <v>ok</v>
      </c>
      <c r="JX737" s="770"/>
      <c r="JY737" s="770"/>
      <c r="JZ737" s="770"/>
      <c r="KA737" s="770"/>
      <c r="KB737" s="770">
        <v>1</v>
      </c>
      <c r="KC737" s="770"/>
      <c r="KD737" s="770">
        <v>1</v>
      </c>
      <c r="KE737" s="770"/>
      <c r="KF737" s="770"/>
      <c r="KG737" s="770"/>
      <c r="KH737" s="770"/>
      <c r="KI737" s="770"/>
      <c r="KJ737" s="770">
        <f t="shared" si="225"/>
        <v>2</v>
      </c>
      <c r="KK737" s="770">
        <f t="shared" si="225"/>
        <v>0</v>
      </c>
      <c r="KL737" s="712" t="str">
        <f>IF(KJ737=LN737,"ok","male")</f>
        <v>ok</v>
      </c>
      <c r="KM737" s="712" t="str">
        <f>IF(KK737=LO737,"ok","female")</f>
        <v>ok</v>
      </c>
      <c r="KN737" s="770" t="s">
        <v>768</v>
      </c>
      <c r="KO737" s="770"/>
      <c r="KP737" s="770"/>
      <c r="KQ737" s="770"/>
      <c r="KR737" s="770"/>
      <c r="KS737" s="770"/>
      <c r="KT737" s="770"/>
      <c r="KU737" s="770"/>
      <c r="KV737" s="770"/>
      <c r="KW737" s="770"/>
      <c r="KX737" s="770"/>
      <c r="KY737" s="770"/>
      <c r="KZ737" s="770">
        <v>2</v>
      </c>
      <c r="LA737" s="770"/>
      <c r="LB737" s="770"/>
      <c r="LC737" s="770"/>
      <c r="LD737" s="770"/>
      <c r="LE737" s="770"/>
      <c r="LF737" s="770"/>
      <c r="LG737" s="770"/>
      <c r="LH737" s="770"/>
      <c r="LI737" s="770"/>
      <c r="LJ737" s="770"/>
      <c r="LK737" s="770"/>
      <c r="LL737" s="770"/>
      <c r="LM737" s="770"/>
      <c r="LN737" s="766">
        <f t="shared" si="209"/>
        <v>2</v>
      </c>
      <c r="LO737" s="766">
        <f t="shared" si="209"/>
        <v>0</v>
      </c>
      <c r="LP737" s="770">
        <v>2</v>
      </c>
      <c r="LQ737" s="770">
        <v>2</v>
      </c>
      <c r="LR737" s="770"/>
      <c r="LS737" s="770"/>
      <c r="LT737" s="712" t="str">
        <f>IF(LQ737=SUM(LU737:LW737),"OK","REV")</f>
        <v>OK</v>
      </c>
      <c r="LU737" s="770">
        <v>1</v>
      </c>
      <c r="LV737" s="770">
        <v>1</v>
      </c>
      <c r="LW737" s="770"/>
      <c r="LX737" s="769">
        <v>1</v>
      </c>
      <c r="LY737" s="766" t="str">
        <f t="shared" si="210"/>
        <v>within the BRGY</v>
      </c>
      <c r="LZ737" s="1709">
        <f>SUM(1000,1200)</f>
        <v>2200</v>
      </c>
      <c r="MA737" s="1709"/>
      <c r="MB737" s="1709"/>
      <c r="MC737" s="1679">
        <f t="shared" si="208"/>
        <v>2200</v>
      </c>
      <c r="MD737" s="1709">
        <f>SUM(10000,12000)</f>
        <v>22000</v>
      </c>
      <c r="ME737" s="1709"/>
      <c r="MF737" s="1709"/>
      <c r="MG737" s="1680">
        <f>SUM(MD737:MF737)</f>
        <v>22000</v>
      </c>
      <c r="MH737" s="770" t="s">
        <v>2234</v>
      </c>
      <c r="MI737" s="302">
        <v>8000</v>
      </c>
      <c r="MJ737" s="302">
        <v>2200</v>
      </c>
      <c r="MK737" s="302">
        <f>2000/12</f>
        <v>166.66666666666666</v>
      </c>
      <c r="ML737" s="302"/>
      <c r="MM737" s="302"/>
      <c r="MN737" s="302"/>
      <c r="MO737" s="302">
        <v>280</v>
      </c>
      <c r="MP737" s="302">
        <v>300</v>
      </c>
      <c r="MQ737" s="302">
        <v>100</v>
      </c>
      <c r="MR737" s="302">
        <v>200</v>
      </c>
      <c r="MS737" s="302">
        <v>500</v>
      </c>
      <c r="MT737" s="302"/>
      <c r="MU737" s="302"/>
      <c r="MV737" s="302"/>
      <c r="MW737" s="302"/>
      <c r="MX737" s="302"/>
      <c r="MY737" s="1682">
        <f t="shared" si="217"/>
        <v>11746.666666666666</v>
      </c>
      <c r="MZ737" s="770" t="s">
        <v>13395</v>
      </c>
      <c r="NA737" s="770" t="s">
        <v>13230</v>
      </c>
      <c r="NB737" s="770" t="s">
        <v>13016</v>
      </c>
      <c r="NC737" s="770" t="s">
        <v>13602</v>
      </c>
      <c r="ND737" s="770">
        <v>0</v>
      </c>
      <c r="NE737" s="770">
        <v>0</v>
      </c>
      <c r="NF737" s="770">
        <v>0</v>
      </c>
      <c r="NG737" s="770">
        <v>0</v>
      </c>
      <c r="NH737" s="770">
        <v>1</v>
      </c>
      <c r="NI737" s="770">
        <v>0</v>
      </c>
      <c r="NJ737" s="770">
        <v>0</v>
      </c>
      <c r="NK737" s="770">
        <v>0</v>
      </c>
      <c r="NL737" s="770">
        <v>0</v>
      </c>
      <c r="NM737" s="770">
        <v>0</v>
      </c>
      <c r="NN737" s="770">
        <v>0</v>
      </c>
      <c r="NO737" s="770">
        <v>1</v>
      </c>
      <c r="NP737" s="770">
        <v>0</v>
      </c>
      <c r="NQ737" s="770">
        <v>0</v>
      </c>
      <c r="NR737" s="770">
        <v>0</v>
      </c>
      <c r="NS737" s="770">
        <v>0</v>
      </c>
      <c r="NT737" s="770">
        <v>0</v>
      </c>
      <c r="NU737" s="770">
        <v>0</v>
      </c>
      <c r="NV737" s="770">
        <v>0</v>
      </c>
      <c r="NW737" s="770">
        <v>0</v>
      </c>
      <c r="NX737" s="770">
        <v>0</v>
      </c>
      <c r="NY737" s="770"/>
      <c r="NZ737" s="770"/>
      <c r="OA737" s="770"/>
      <c r="OB737" s="770"/>
      <c r="OC737" s="770"/>
      <c r="OD737" s="770"/>
      <c r="OE737" s="770"/>
      <c r="OF737" s="770"/>
      <c r="OG737" s="770"/>
      <c r="OH737" s="770"/>
      <c r="OI737" s="770"/>
      <c r="OJ737" s="770"/>
      <c r="OK737" s="770"/>
      <c r="OL737" s="770"/>
      <c r="OM737" s="770"/>
      <c r="ON737" s="770"/>
      <c r="OO737" s="770"/>
      <c r="OP737" s="770"/>
      <c r="OQ737" s="770"/>
      <c r="OR737" s="770"/>
      <c r="OS737" s="770"/>
      <c r="OT737" s="770"/>
      <c r="OU737" s="770"/>
      <c r="OV737" s="770"/>
      <c r="OW737" s="770"/>
      <c r="OX737" s="770"/>
      <c r="OY737" s="770"/>
      <c r="OZ737" s="770"/>
      <c r="PA737" s="770"/>
      <c r="PB737" s="770"/>
      <c r="PC737" s="770"/>
      <c r="PD737" s="770"/>
      <c r="PE737" s="770"/>
      <c r="PF737" s="770"/>
      <c r="PG737" s="770"/>
      <c r="PH737" s="770"/>
      <c r="PI737" s="770"/>
      <c r="PJ737" s="770"/>
      <c r="PK737" s="770"/>
      <c r="PL737" s="770"/>
      <c r="PM737" s="770"/>
      <c r="PN737" s="770"/>
      <c r="PO737" s="770"/>
      <c r="PP737" s="770"/>
      <c r="PQ737" s="770"/>
      <c r="PR737" s="770"/>
      <c r="PS737" s="770"/>
      <c r="PT737" s="770"/>
      <c r="PU737" s="770"/>
      <c r="PV737" s="770"/>
      <c r="PW737" s="770"/>
      <c r="PX737" s="770"/>
      <c r="PY737" s="770"/>
      <c r="PZ737" s="770"/>
      <c r="QA737" s="770"/>
      <c r="QB737" s="770"/>
      <c r="QC737" s="770"/>
      <c r="QD737" s="770"/>
      <c r="QE737" s="770"/>
      <c r="QF737" s="770"/>
      <c r="QG737" s="770"/>
      <c r="QH737" s="770"/>
      <c r="QI737" s="770"/>
      <c r="QJ737" s="770"/>
      <c r="QK737" s="770"/>
      <c r="QL737" s="770"/>
      <c r="QM737" s="770"/>
      <c r="QN737" s="770"/>
      <c r="QO737" s="770"/>
      <c r="QP737" s="770"/>
      <c r="QQ737" s="770"/>
      <c r="QR737" s="770"/>
      <c r="QS737" s="770"/>
      <c r="QT737" s="770"/>
      <c r="QU737" s="770"/>
      <c r="QV737" s="770"/>
      <c r="QW737" s="770"/>
      <c r="QX737" s="770"/>
      <c r="QY737" s="770"/>
      <c r="QZ737" s="770"/>
      <c r="RA737" s="770"/>
      <c r="RB737" s="770" t="s">
        <v>1207</v>
      </c>
      <c r="RC737" s="770">
        <v>2015</v>
      </c>
      <c r="RD737" s="770" t="s">
        <v>13046</v>
      </c>
      <c r="RE737" s="770" t="s">
        <v>13100</v>
      </c>
      <c r="RF737" s="304">
        <v>0.25</v>
      </c>
      <c r="RG737" s="770" t="s">
        <v>13047</v>
      </c>
      <c r="RH737" s="306">
        <v>0</v>
      </c>
      <c r="RI737" s="770">
        <v>2</v>
      </c>
      <c r="RJ737" s="94" t="s">
        <v>4868</v>
      </c>
      <c r="RK737" s="770" t="s">
        <v>13550</v>
      </c>
      <c r="RL737" s="1710">
        <v>42846</v>
      </c>
      <c r="RM737" s="12"/>
      <c r="RN737" s="1711"/>
      <c r="RO737" s="149" t="s">
        <v>4859</v>
      </c>
      <c r="RP737" s="11"/>
      <c r="RQ737" s="11"/>
      <c r="RR737" s="19" t="s">
        <v>7421</v>
      </c>
      <c r="RS737" s="1139" t="s">
        <v>12980</v>
      </c>
      <c r="RT737" s="11"/>
      <c r="RU737" s="11"/>
      <c r="RV737" s="771" t="s">
        <v>7419</v>
      </c>
      <c r="RW737" s="11" t="s">
        <v>8064</v>
      </c>
      <c r="RX737" s="11" t="s">
        <v>4839</v>
      </c>
      <c r="RY737" s="11"/>
      <c r="RZ737" s="11" t="s">
        <v>2209</v>
      </c>
      <c r="SA737" s="771"/>
      <c r="SB737" s="11"/>
      <c r="SC737" s="11"/>
    </row>
    <row r="738" spans="1:497" ht="12.75" hidden="1" customHeight="1">
      <c r="A738" s="343" t="s">
        <v>7419</v>
      </c>
      <c r="B738" s="292" t="s">
        <v>7448</v>
      </c>
      <c r="C738" s="149" t="s">
        <v>3178</v>
      </c>
      <c r="D738" s="94" t="s">
        <v>4869</v>
      </c>
      <c r="E738" s="766" t="s">
        <v>3185</v>
      </c>
      <c r="F738" s="770" t="s">
        <v>28</v>
      </c>
      <c r="G738" s="770" t="s">
        <v>10</v>
      </c>
      <c r="H738" s="770"/>
      <c r="I738" s="295" t="s">
        <v>3187</v>
      </c>
      <c r="J738" s="94" t="s">
        <v>4870</v>
      </c>
      <c r="K738" s="766" t="s">
        <v>4871</v>
      </c>
      <c r="L738" s="766" t="s">
        <v>4843</v>
      </c>
      <c r="M738" s="770" t="s">
        <v>1238</v>
      </c>
      <c r="N738" s="1757"/>
      <c r="O738" s="1757" t="s">
        <v>4864</v>
      </c>
      <c r="P738" s="770" t="s">
        <v>4872</v>
      </c>
      <c r="Q738" s="1088">
        <v>12776</v>
      </c>
      <c r="R738" s="297">
        <v>82</v>
      </c>
      <c r="S738" s="770" t="s">
        <v>18</v>
      </c>
      <c r="T738" s="770"/>
      <c r="U738" s="295" t="s">
        <v>3187</v>
      </c>
      <c r="V738" s="770" t="s">
        <v>719</v>
      </c>
      <c r="W738" s="770"/>
      <c r="X738" s="770"/>
      <c r="Y738" s="770" t="s">
        <v>3185</v>
      </c>
      <c r="Z738" s="770" t="s">
        <v>708</v>
      </c>
      <c r="AA738" s="770" t="s">
        <v>4703</v>
      </c>
      <c r="AB738" s="770" t="s">
        <v>710</v>
      </c>
      <c r="AC738" s="770" t="s">
        <v>724</v>
      </c>
      <c r="AD738" s="770" t="s">
        <v>711</v>
      </c>
      <c r="AE738" s="770"/>
      <c r="AF738" s="770" t="s">
        <v>712</v>
      </c>
      <c r="AG738" s="766" t="s">
        <v>1132</v>
      </c>
      <c r="AH738" s="766" t="s">
        <v>1096</v>
      </c>
      <c r="AI738" s="770"/>
      <c r="AJ738" s="770" t="s">
        <v>1137</v>
      </c>
      <c r="AK738" s="770" t="s">
        <v>1097</v>
      </c>
      <c r="AL738" s="531">
        <v>32</v>
      </c>
      <c r="AM738" s="780">
        <v>4</v>
      </c>
      <c r="AN738" s="532">
        <f>AM738/AL738</f>
        <v>0.125</v>
      </c>
      <c r="AO738" s="766" t="s">
        <v>1109</v>
      </c>
      <c r="AP738" s="766" t="s">
        <v>5368</v>
      </c>
      <c r="AQ738" s="766" t="s">
        <v>7217</v>
      </c>
      <c r="AR738" s="766"/>
      <c r="AS738" s="770" t="s">
        <v>1207</v>
      </c>
      <c r="AT738" s="770"/>
      <c r="AU738" s="770" t="s">
        <v>1208</v>
      </c>
      <c r="AV738" s="770"/>
      <c r="AW738" s="770"/>
      <c r="AX738" s="770"/>
      <c r="AY738" s="770"/>
      <c r="AZ738" s="770"/>
      <c r="BA738" s="770"/>
      <c r="BB738" s="770"/>
      <c r="BC738" s="770"/>
      <c r="BD738" s="770"/>
      <c r="BE738" s="770"/>
      <c r="BF738" s="302"/>
      <c r="BG738" s="302"/>
      <c r="BH738" s="770"/>
      <c r="BI738" s="770"/>
      <c r="BJ738" s="770"/>
      <c r="BK738" s="766" t="s">
        <v>1095</v>
      </c>
      <c r="BL738" s="766" t="s">
        <v>4873</v>
      </c>
      <c r="BM738" s="766" t="s">
        <v>1096</v>
      </c>
      <c r="BN738" s="766" t="s">
        <v>1230</v>
      </c>
      <c r="BO738" s="766" t="s">
        <v>1239</v>
      </c>
      <c r="BP738" s="765">
        <v>74</v>
      </c>
      <c r="BQ738" s="773">
        <v>8</v>
      </c>
      <c r="BR738" s="774">
        <f>BQ738/BP738</f>
        <v>0.10810810810810811</v>
      </c>
      <c r="BS738" s="766" t="s">
        <v>1242</v>
      </c>
      <c r="BT738" s="766" t="s">
        <v>2040</v>
      </c>
      <c r="BU738" s="770" t="s">
        <v>1249</v>
      </c>
      <c r="BV738" s="770" t="s">
        <v>1247</v>
      </c>
      <c r="BW738" s="770">
        <v>1932</v>
      </c>
      <c r="BX738" s="302"/>
      <c r="BY738" s="770"/>
      <c r="BZ738" s="302"/>
      <c r="CA738" s="770"/>
      <c r="CB738" s="770" t="s">
        <v>1207</v>
      </c>
      <c r="CC738" s="770"/>
      <c r="CD738" s="770"/>
      <c r="CE738" s="302"/>
      <c r="CF738" s="304"/>
      <c r="CG738" s="321"/>
      <c r="CH738" s="770"/>
      <c r="CI738" s="770"/>
      <c r="CJ738" s="770"/>
      <c r="CK738" s="770"/>
      <c r="CL738" s="770"/>
      <c r="CM738" s="770"/>
      <c r="CN738" s="770"/>
      <c r="CO738" s="770"/>
      <c r="CP738" s="770"/>
      <c r="CQ738" s="770"/>
      <c r="CR738" s="302"/>
      <c r="CS738" s="770"/>
      <c r="CT738" s="770"/>
      <c r="CU738" s="305"/>
      <c r="CV738" s="770"/>
      <c r="CW738" s="770"/>
      <c r="CX738" s="770"/>
      <c r="CY738" s="770"/>
      <c r="CZ738" s="770"/>
      <c r="DA738" s="306"/>
      <c r="DB738" s="770"/>
      <c r="DC738" s="770"/>
      <c r="DD738" s="770"/>
      <c r="DE738" s="300"/>
      <c r="DF738" s="770"/>
      <c r="DG738" s="770"/>
      <c r="DH738" s="770"/>
      <c r="DI738" s="770"/>
      <c r="DJ738" s="770"/>
      <c r="DK738" s="770"/>
      <c r="DL738" s="770"/>
      <c r="DM738" s="770"/>
      <c r="DN738" s="322"/>
      <c r="DO738" s="770"/>
      <c r="DP738" s="770"/>
      <c r="DQ738" s="770"/>
      <c r="DR738" s="770"/>
      <c r="DS738" s="307"/>
      <c r="DT738" s="770"/>
      <c r="DU738" s="770"/>
      <c r="DV738" s="770"/>
      <c r="DW738" s="306"/>
      <c r="DX738" s="306"/>
      <c r="DY738" s="1055"/>
      <c r="DZ738" s="770"/>
      <c r="EA738" s="770"/>
      <c r="EB738" s="770"/>
      <c r="EC738" s="770"/>
      <c r="ED738" s="770"/>
      <c r="EE738" s="770"/>
      <c r="EF738" s="770"/>
      <c r="EG738" s="770"/>
      <c r="EH738" s="770"/>
      <c r="EI738" s="770"/>
      <c r="EJ738" s="770"/>
      <c r="EK738" s="770"/>
      <c r="EL738" s="770"/>
      <c r="EM738" s="770"/>
      <c r="EN738" s="770"/>
      <c r="EO738" s="770"/>
      <c r="EP738" s="94"/>
      <c r="EQ738" s="770"/>
      <c r="ER738" s="770"/>
      <c r="ES738" s="770"/>
      <c r="ET738" s="770"/>
      <c r="EU738" s="770"/>
      <c r="EV738" s="770"/>
      <c r="EW738" s="770"/>
      <c r="EX738" s="770"/>
      <c r="EY738" s="770"/>
      <c r="EZ738" s="770" t="s">
        <v>4874</v>
      </c>
      <c r="FA738" s="770" t="s">
        <v>4875</v>
      </c>
      <c r="FB738" s="770" t="s">
        <v>1257</v>
      </c>
      <c r="FC738" s="770"/>
      <c r="FD738" s="302"/>
      <c r="FE738" s="770" t="s">
        <v>4787</v>
      </c>
      <c r="FF738" s="770"/>
      <c r="FG738" s="770" t="s">
        <v>4876</v>
      </c>
      <c r="FH738" s="770" t="s">
        <v>1263</v>
      </c>
      <c r="FI738" s="770">
        <v>1</v>
      </c>
      <c r="FJ738" s="770" t="s">
        <v>4877</v>
      </c>
      <c r="FK738" s="770"/>
      <c r="FL738" s="770" t="s">
        <v>3185</v>
      </c>
      <c r="FM738" s="302"/>
      <c r="FN738" s="302"/>
      <c r="FO738" s="302"/>
      <c r="FP738" s="770" t="s">
        <v>1600</v>
      </c>
      <c r="FQ738" s="770" t="s">
        <v>3940</v>
      </c>
      <c r="FR738" s="770" t="s">
        <v>1214</v>
      </c>
      <c r="FS738" s="770"/>
      <c r="FT738" s="770"/>
      <c r="FU738" s="770"/>
      <c r="FV738" s="770"/>
      <c r="FW738" s="770"/>
      <c r="FX738" s="770"/>
      <c r="FY738" s="770"/>
      <c r="FZ738" s="770"/>
      <c r="GA738" s="770"/>
      <c r="GB738" s="770"/>
      <c r="GC738" s="308"/>
      <c r="GD738" s="297"/>
      <c r="GE738" s="770" t="s">
        <v>1207</v>
      </c>
      <c r="GF738" s="302">
        <v>3500</v>
      </c>
      <c r="GG738" s="302">
        <f>GF738*30</f>
        <v>105000</v>
      </c>
      <c r="GH738" s="770"/>
      <c r="GI738" s="770"/>
      <c r="GJ738" s="770"/>
      <c r="GK738" s="770"/>
      <c r="GL738" s="770"/>
      <c r="GM738" s="770"/>
      <c r="GN738" s="299"/>
      <c r="GO738" s="770"/>
      <c r="GP738" s="770"/>
      <c r="GQ738" s="770"/>
      <c r="GR738" s="770"/>
      <c r="GS738" s="770"/>
      <c r="GT738" s="770"/>
      <c r="GU738" s="770"/>
      <c r="GV738" s="770"/>
      <c r="GW738" s="770"/>
      <c r="GX738" s="770"/>
      <c r="GY738" s="770"/>
      <c r="GZ738" s="770"/>
      <c r="HA738" s="770"/>
      <c r="HB738" s="770"/>
      <c r="HC738" s="770"/>
      <c r="HD738" s="770"/>
      <c r="HE738" s="770"/>
      <c r="HF738" s="770"/>
      <c r="HG738" s="770"/>
      <c r="HH738" s="770"/>
      <c r="HI738" s="770"/>
      <c r="HJ738" s="770"/>
      <c r="HK738" s="770"/>
      <c r="HL738" s="770"/>
      <c r="HM738" s="770"/>
      <c r="HN738" s="770"/>
      <c r="HO738" s="770"/>
      <c r="HP738" s="770"/>
      <c r="HQ738" s="770"/>
      <c r="HR738" s="770">
        <v>3</v>
      </c>
      <c r="HS738" s="770"/>
      <c r="HT738" s="770"/>
      <c r="HU738" s="770"/>
      <c r="HV738" s="770"/>
      <c r="HW738" s="770"/>
      <c r="HX738" s="770"/>
      <c r="HY738" s="770"/>
      <c r="HZ738" s="770"/>
      <c r="IA738" s="770"/>
      <c r="IB738" s="770" t="s">
        <v>1207</v>
      </c>
      <c r="IC738" s="770"/>
      <c r="ID738" s="770"/>
      <c r="IE738" s="770"/>
      <c r="IF738" s="770" t="s">
        <v>4878</v>
      </c>
      <c r="IG738" s="770" t="s">
        <v>10</v>
      </c>
      <c r="IH738" s="770" t="s">
        <v>478</v>
      </c>
      <c r="II738" s="770" t="s">
        <v>3185</v>
      </c>
      <c r="IJ738" s="770" t="s">
        <v>1835</v>
      </c>
      <c r="IK738" s="770" t="s">
        <v>2639</v>
      </c>
      <c r="IL738" s="770" t="s">
        <v>4874</v>
      </c>
      <c r="IM738" s="770">
        <v>1932</v>
      </c>
      <c r="IN738" s="770" t="s">
        <v>4874</v>
      </c>
      <c r="IO738" s="296">
        <v>12776</v>
      </c>
      <c r="IP738" s="770" t="s">
        <v>478</v>
      </c>
      <c r="IQ738" s="769" t="s">
        <v>8144</v>
      </c>
      <c r="IR738" s="770" t="s">
        <v>2716</v>
      </c>
      <c r="IS738" s="770" t="s">
        <v>1883</v>
      </c>
      <c r="IT738" s="770"/>
      <c r="IU738" s="770" t="s">
        <v>1208</v>
      </c>
      <c r="IV738" s="770"/>
      <c r="IW738" s="770" t="s">
        <v>13969</v>
      </c>
      <c r="IX738" s="770"/>
      <c r="IY738" s="770" t="s">
        <v>3187</v>
      </c>
      <c r="IZ738" s="770"/>
      <c r="JA738" s="770" t="s">
        <v>1880</v>
      </c>
      <c r="JB738" s="770" t="s">
        <v>1901</v>
      </c>
      <c r="JC738" s="770"/>
      <c r="JD738" s="302">
        <v>3500</v>
      </c>
      <c r="JE738" s="770"/>
      <c r="JF738" s="770"/>
      <c r="JG738" s="770"/>
      <c r="JH738" s="307"/>
      <c r="JI738" s="307"/>
      <c r="JJ738" s="770"/>
      <c r="JK738" s="770"/>
      <c r="JL738" s="770"/>
      <c r="JM738" s="770"/>
      <c r="JN738" s="770"/>
      <c r="JO738" s="770"/>
      <c r="JP738" s="770"/>
      <c r="JQ738" s="770"/>
      <c r="JR738" s="770"/>
      <c r="JS738" s="770"/>
      <c r="JT738" s="766"/>
      <c r="JU738" s="766"/>
      <c r="JV738" s="766"/>
      <c r="JW738" s="766"/>
      <c r="JX738" s="770"/>
      <c r="JY738" s="770"/>
      <c r="JZ738" s="770"/>
      <c r="KA738" s="770"/>
      <c r="KB738" s="770"/>
      <c r="KC738" s="770"/>
      <c r="KD738" s="770"/>
      <c r="KE738" s="770"/>
      <c r="KF738" s="770"/>
      <c r="KG738" s="770"/>
      <c r="KH738" s="770"/>
      <c r="KI738" s="770"/>
      <c r="KJ738" s="770"/>
      <c r="KK738" s="770"/>
      <c r="KL738" s="770"/>
      <c r="KM738" s="770"/>
      <c r="KN738" s="770"/>
      <c r="KO738" s="770"/>
      <c r="KP738" s="770"/>
      <c r="KQ738" s="770"/>
      <c r="KR738" s="770"/>
      <c r="KS738" s="770"/>
      <c r="KT738" s="770"/>
      <c r="KU738" s="770"/>
      <c r="KV738" s="770"/>
      <c r="KW738" s="770"/>
      <c r="KX738" s="770"/>
      <c r="KY738" s="770"/>
      <c r="KZ738" s="770"/>
      <c r="LA738" s="770"/>
      <c r="LB738" s="770"/>
      <c r="LC738" s="770"/>
      <c r="LD738" s="770"/>
      <c r="LE738" s="770"/>
      <c r="LF738" s="770"/>
      <c r="LG738" s="770"/>
      <c r="LH738" s="770"/>
      <c r="LI738" s="770"/>
      <c r="LJ738" s="770"/>
      <c r="LK738" s="770"/>
      <c r="LL738" s="770"/>
      <c r="LM738" s="770"/>
      <c r="LN738" s="766"/>
      <c r="LO738" s="766"/>
      <c r="LP738" s="770"/>
      <c r="LQ738" s="770"/>
      <c r="LR738" s="770"/>
      <c r="LS738" s="770"/>
      <c r="LT738" s="770"/>
      <c r="LU738" s="770"/>
      <c r="LV738" s="770"/>
      <c r="LW738" s="770"/>
      <c r="LX738" s="769"/>
      <c r="LY738" s="766" t="str">
        <f t="shared" si="210"/>
        <v/>
      </c>
      <c r="LZ738" s="1709"/>
      <c r="MA738" s="1709"/>
      <c r="MB738" s="1709"/>
      <c r="MC738" s="1679">
        <f t="shared" si="208"/>
        <v>0</v>
      </c>
      <c r="MD738" s="1709"/>
      <c r="ME738" s="1709"/>
      <c r="MF738" s="1709"/>
      <c r="MG738" s="1680">
        <f t="shared" si="216"/>
        <v>0</v>
      </c>
      <c r="MH738" s="770"/>
      <c r="MI738" s="302"/>
      <c r="MJ738" s="302"/>
      <c r="MK738" s="302"/>
      <c r="ML738" s="302"/>
      <c r="MM738" s="302"/>
      <c r="MN738" s="302"/>
      <c r="MO738" s="302"/>
      <c r="MP738" s="302"/>
      <c r="MQ738" s="302"/>
      <c r="MR738" s="302"/>
      <c r="MS738" s="302"/>
      <c r="MT738" s="302"/>
      <c r="MU738" s="302"/>
      <c r="MV738" s="302"/>
      <c r="MW738" s="302"/>
      <c r="MX738" s="302"/>
      <c r="MY738" s="1682">
        <f t="shared" si="217"/>
        <v>0</v>
      </c>
      <c r="MZ738" s="770"/>
      <c r="NA738" s="770"/>
      <c r="NB738" s="770"/>
      <c r="NC738" s="770"/>
      <c r="ND738" s="770"/>
      <c r="NE738" s="770"/>
      <c r="NF738" s="770"/>
      <c r="NG738" s="770"/>
      <c r="NH738" s="770"/>
      <c r="NI738" s="770"/>
      <c r="NJ738" s="770"/>
      <c r="NK738" s="770"/>
      <c r="NL738" s="770"/>
      <c r="NM738" s="770"/>
      <c r="NN738" s="770"/>
      <c r="NO738" s="770"/>
      <c r="NP738" s="770"/>
      <c r="NQ738" s="770"/>
      <c r="NR738" s="770"/>
      <c r="NS738" s="770"/>
      <c r="NT738" s="770"/>
      <c r="NU738" s="770"/>
      <c r="NV738" s="770"/>
      <c r="NW738" s="770"/>
      <c r="NX738" s="770"/>
      <c r="NY738" s="770"/>
      <c r="NZ738" s="770"/>
      <c r="OA738" s="770"/>
      <c r="OB738" s="770"/>
      <c r="OC738" s="770"/>
      <c r="OD738" s="770"/>
      <c r="OE738" s="770"/>
      <c r="OF738" s="770"/>
      <c r="OG738" s="770"/>
      <c r="OH738" s="770"/>
      <c r="OI738" s="770"/>
      <c r="OJ738" s="770"/>
      <c r="OK738" s="770"/>
      <c r="OL738" s="770"/>
      <c r="OM738" s="770"/>
      <c r="ON738" s="770"/>
      <c r="OO738" s="770"/>
      <c r="OP738" s="770"/>
      <c r="OQ738" s="770"/>
      <c r="OR738" s="770"/>
      <c r="OS738" s="770"/>
      <c r="OT738" s="770"/>
      <c r="OU738" s="770"/>
      <c r="OV738" s="770"/>
      <c r="OW738" s="770"/>
      <c r="OX738" s="770"/>
      <c r="OY738" s="770"/>
      <c r="OZ738" s="770"/>
      <c r="PA738" s="770"/>
      <c r="PB738" s="770"/>
      <c r="PC738" s="770"/>
      <c r="PD738" s="770"/>
      <c r="PE738" s="770"/>
      <c r="PF738" s="770"/>
      <c r="PG738" s="770"/>
      <c r="PH738" s="770"/>
      <c r="PI738" s="770"/>
      <c r="PJ738" s="770"/>
      <c r="PK738" s="770"/>
      <c r="PL738" s="770"/>
      <c r="PM738" s="770"/>
      <c r="PN738" s="770"/>
      <c r="PO738" s="770"/>
      <c r="PP738" s="770"/>
      <c r="PQ738" s="770"/>
      <c r="PR738" s="770"/>
      <c r="PS738" s="770"/>
      <c r="PT738" s="770"/>
      <c r="PU738" s="770"/>
      <c r="PV738" s="770"/>
      <c r="PW738" s="770"/>
      <c r="PX738" s="770"/>
      <c r="PY738" s="770"/>
      <c r="PZ738" s="770"/>
      <c r="QA738" s="770"/>
      <c r="QB738" s="770"/>
      <c r="QC738" s="770"/>
      <c r="QD738" s="770"/>
      <c r="QE738" s="770"/>
      <c r="QF738" s="770"/>
      <c r="QG738" s="770"/>
      <c r="QH738" s="770"/>
      <c r="QI738" s="770"/>
      <c r="QJ738" s="770"/>
      <c r="QK738" s="770"/>
      <c r="QL738" s="770"/>
      <c r="QM738" s="770"/>
      <c r="QN738" s="770"/>
      <c r="QO738" s="770"/>
      <c r="QP738" s="770"/>
      <c r="QQ738" s="770"/>
      <c r="QR738" s="770"/>
      <c r="QS738" s="770"/>
      <c r="QT738" s="770"/>
      <c r="QU738" s="770"/>
      <c r="QV738" s="770"/>
      <c r="QW738" s="770"/>
      <c r="QX738" s="770"/>
      <c r="QY738" s="770"/>
      <c r="QZ738" s="770"/>
      <c r="RA738" s="770"/>
      <c r="RB738" s="770"/>
      <c r="RC738" s="770"/>
      <c r="RD738" s="770"/>
      <c r="RE738" s="770"/>
      <c r="RF738" s="304"/>
      <c r="RG738" s="770"/>
      <c r="RH738" s="306"/>
      <c r="RI738" s="770"/>
      <c r="RJ738" s="94" t="s">
        <v>4874</v>
      </c>
      <c r="RK738" s="770" t="s">
        <v>13550</v>
      </c>
      <c r="RL738" s="1710">
        <v>42846</v>
      </c>
      <c r="RM738" s="12"/>
      <c r="RN738" s="1711"/>
      <c r="RO738" s="149" t="s">
        <v>3178</v>
      </c>
      <c r="RP738" s="11"/>
      <c r="RQ738" s="11"/>
      <c r="RR738" s="17"/>
      <c r="RS738" s="767"/>
      <c r="RT738" s="11"/>
      <c r="RU738" s="11"/>
      <c r="RV738" s="771" t="s">
        <v>7419</v>
      </c>
      <c r="RW738" s="11" t="s">
        <v>11700</v>
      </c>
      <c r="RX738" s="11" t="s">
        <v>3173</v>
      </c>
      <c r="RY738" s="11"/>
      <c r="RZ738" s="11" t="s">
        <v>2209</v>
      </c>
      <c r="SA738" s="771"/>
      <c r="SB738" s="11"/>
      <c r="SC738" s="11"/>
    </row>
    <row r="739" spans="1:497" ht="12.75" hidden="1" customHeight="1">
      <c r="A739" s="343" t="s">
        <v>14240</v>
      </c>
      <c r="B739" s="292" t="s">
        <v>7449</v>
      </c>
      <c r="C739" s="149" t="s">
        <v>3178</v>
      </c>
      <c r="D739" s="94" t="s">
        <v>3184</v>
      </c>
      <c r="E739" s="766" t="s">
        <v>4880</v>
      </c>
      <c r="F739" s="770" t="s">
        <v>28</v>
      </c>
      <c r="G739" s="770" t="s">
        <v>18</v>
      </c>
      <c r="H739" s="770"/>
      <c r="I739" s="295" t="s">
        <v>3187</v>
      </c>
      <c r="J739" s="94" t="str">
        <f ca="1">IF(F739="Head",CELL("contents",D739))</f>
        <v>Dimalanta, Delia Trajano</v>
      </c>
      <c r="K739" s="770"/>
      <c r="L739" s="770"/>
      <c r="M739" s="770"/>
      <c r="N739" s="1757"/>
      <c r="O739" s="1757"/>
      <c r="P739" s="770" t="s">
        <v>3188</v>
      </c>
      <c r="Q739" s="1088">
        <v>14505</v>
      </c>
      <c r="R739" s="297">
        <v>77</v>
      </c>
      <c r="S739" s="770" t="s">
        <v>18</v>
      </c>
      <c r="T739" s="770"/>
      <c r="U739" s="295" t="s">
        <v>3187</v>
      </c>
      <c r="V739" s="770" t="s">
        <v>768</v>
      </c>
      <c r="W739" s="770"/>
      <c r="X739" s="770"/>
      <c r="Y739" s="770" t="s">
        <v>3186</v>
      </c>
      <c r="Z739" s="770" t="s">
        <v>708</v>
      </c>
      <c r="AA739" s="770" t="s">
        <v>709</v>
      </c>
      <c r="AB739" s="770" t="s">
        <v>744</v>
      </c>
      <c r="AC739" s="770" t="s">
        <v>724</v>
      </c>
      <c r="AD739" s="770" t="s">
        <v>711</v>
      </c>
      <c r="AE739" s="770"/>
      <c r="AF739" s="770" t="s">
        <v>712</v>
      </c>
      <c r="AG739" s="770"/>
      <c r="AH739" s="770"/>
      <c r="AI739" s="770"/>
      <c r="AJ739" s="770"/>
      <c r="AK739" s="770" t="s">
        <v>3214</v>
      </c>
      <c r="AL739" s="531"/>
      <c r="AM739" s="780"/>
      <c r="AN739" s="532"/>
      <c r="AO739" s="766"/>
      <c r="AP739" s="766"/>
      <c r="AQ739" s="766"/>
      <c r="AR739" s="766"/>
      <c r="AS739" s="770"/>
      <c r="AT739" s="770"/>
      <c r="AU739" s="770"/>
      <c r="AV739" s="770"/>
      <c r="AW739" s="770"/>
      <c r="AX739" s="770"/>
      <c r="AY739" s="770"/>
      <c r="AZ739" s="770"/>
      <c r="BA739" s="770"/>
      <c r="BB739" s="770"/>
      <c r="BC739" s="770"/>
      <c r="BD739" s="770"/>
      <c r="BE739" s="770"/>
      <c r="BF739" s="302"/>
      <c r="BG739" s="302"/>
      <c r="BH739" s="770"/>
      <c r="BI739" s="770"/>
      <c r="BJ739" s="770"/>
      <c r="BK739" s="766"/>
      <c r="BL739" s="766"/>
      <c r="BM739" s="766" t="s">
        <v>1238</v>
      </c>
      <c r="BN739" s="766" t="s">
        <v>1263</v>
      </c>
      <c r="BO739" s="770"/>
      <c r="BP739" s="765"/>
      <c r="BQ739" s="773"/>
      <c r="BR739" s="774"/>
      <c r="BS739" s="766" t="s">
        <v>1242</v>
      </c>
      <c r="BT739" s="770"/>
      <c r="BU739" s="770"/>
      <c r="BV739" s="770"/>
      <c r="BW739" s="770"/>
      <c r="BX739" s="302"/>
      <c r="BY739" s="770"/>
      <c r="BZ739" s="302"/>
      <c r="CA739" s="770"/>
      <c r="CB739" s="770"/>
      <c r="CC739" s="770"/>
      <c r="CD739" s="770"/>
      <c r="CE739" s="302"/>
      <c r="CF739" s="304"/>
      <c r="CG739" s="321"/>
      <c r="CH739" s="770"/>
      <c r="CI739" s="770"/>
      <c r="CJ739" s="770"/>
      <c r="CK739" s="770"/>
      <c r="CL739" s="770"/>
      <c r="CM739" s="770"/>
      <c r="CN739" s="770"/>
      <c r="CO739" s="770"/>
      <c r="CP739" s="770"/>
      <c r="CQ739" s="770"/>
      <c r="CR739" s="302"/>
      <c r="CS739" s="770"/>
      <c r="CT739" s="770"/>
      <c r="CU739" s="305"/>
      <c r="CV739" s="770"/>
      <c r="CW739" s="770"/>
      <c r="CX739" s="770"/>
      <c r="CY739" s="770"/>
      <c r="CZ739" s="770"/>
      <c r="DA739" s="306"/>
      <c r="DB739" s="770"/>
      <c r="DC739" s="770"/>
      <c r="DD739" s="770"/>
      <c r="DE739" s="300"/>
      <c r="DF739" s="770"/>
      <c r="DG739" s="770"/>
      <c r="DH739" s="770"/>
      <c r="DI739" s="770"/>
      <c r="DJ739" s="770"/>
      <c r="DK739" s="770"/>
      <c r="DL739" s="770"/>
      <c r="DM739" s="770"/>
      <c r="DN739" s="322"/>
      <c r="DO739" s="770"/>
      <c r="DP739" s="770"/>
      <c r="DQ739" s="770"/>
      <c r="DR739" s="770"/>
      <c r="DS739" s="307"/>
      <c r="DT739" s="770"/>
      <c r="DU739" s="770"/>
      <c r="DV739" s="770"/>
      <c r="DW739" s="306"/>
      <c r="DX739" s="306"/>
      <c r="DY739" s="1055"/>
      <c r="DZ739" s="770"/>
      <c r="EA739" s="770"/>
      <c r="EB739" s="770"/>
      <c r="EC739" s="770"/>
      <c r="ED739" s="770"/>
      <c r="EE739" s="770"/>
      <c r="EF739" s="770"/>
      <c r="EG739" s="770"/>
      <c r="EH739" s="770"/>
      <c r="EI739" s="770"/>
      <c r="EJ739" s="770"/>
      <c r="EK739" s="770"/>
      <c r="EL739" s="770"/>
      <c r="EM739" s="770"/>
      <c r="EN739" s="770"/>
      <c r="EO739" s="770"/>
      <c r="EP739" s="94"/>
      <c r="EQ739" s="770"/>
      <c r="ER739" s="770"/>
      <c r="ES739" s="770"/>
      <c r="ET739" s="770"/>
      <c r="EU739" s="770"/>
      <c r="EV739" s="770"/>
      <c r="EW739" s="770"/>
      <c r="EX739" s="770"/>
      <c r="EY739" s="770"/>
      <c r="EZ739" s="770"/>
      <c r="FA739" s="770"/>
      <c r="FB739" s="770"/>
      <c r="FC739" s="770"/>
      <c r="FD739" s="302"/>
      <c r="FE739" s="770"/>
      <c r="FF739" s="770"/>
      <c r="FG739" s="770"/>
      <c r="FH739" s="770" t="s">
        <v>1263</v>
      </c>
      <c r="FI739" s="770">
        <v>1</v>
      </c>
      <c r="FJ739" s="770" t="s">
        <v>4877</v>
      </c>
      <c r="FK739" s="770"/>
      <c r="FL739" s="770" t="s">
        <v>3185</v>
      </c>
      <c r="FM739" s="302"/>
      <c r="FN739" s="302"/>
      <c r="FO739" s="302"/>
      <c r="FP739" s="770" t="s">
        <v>1600</v>
      </c>
      <c r="FQ739" s="770" t="s">
        <v>3940</v>
      </c>
      <c r="FR739" s="770"/>
      <c r="FS739" s="770"/>
      <c r="FT739" s="770"/>
      <c r="FU739" s="770"/>
      <c r="FV739" s="770"/>
      <c r="FW739" s="770"/>
      <c r="FX739" s="770"/>
      <c r="FY739" s="770"/>
      <c r="FZ739" s="770"/>
      <c r="GA739" s="770"/>
      <c r="GB739" s="770"/>
      <c r="GC739" s="308"/>
      <c r="GD739" s="297"/>
      <c r="GE739" s="770"/>
      <c r="GF739" s="302"/>
      <c r="GG739" s="302"/>
      <c r="GH739" s="770"/>
      <c r="GI739" s="770"/>
      <c r="GJ739" s="770"/>
      <c r="GK739" s="770"/>
      <c r="GL739" s="770"/>
      <c r="GM739" s="770"/>
      <c r="GN739" s="299"/>
      <c r="GO739" s="770"/>
      <c r="GP739" s="770"/>
      <c r="GQ739" s="770"/>
      <c r="GR739" s="770"/>
      <c r="GS739" s="770"/>
      <c r="GT739" s="770"/>
      <c r="GU739" s="770"/>
      <c r="GV739" s="770"/>
      <c r="GW739" s="770"/>
      <c r="GX739" s="770"/>
      <c r="GY739" s="770"/>
      <c r="GZ739" s="770"/>
      <c r="HA739" s="770"/>
      <c r="HB739" s="770"/>
      <c r="HC739" s="770"/>
      <c r="HD739" s="770"/>
      <c r="HE739" s="770"/>
      <c r="HF739" s="770"/>
      <c r="HG739" s="770"/>
      <c r="HH739" s="770"/>
      <c r="HI739" s="770"/>
      <c r="HJ739" s="770"/>
      <c r="HK739" s="770"/>
      <c r="HL739" s="770"/>
      <c r="HM739" s="770"/>
      <c r="HN739" s="770"/>
      <c r="HO739" s="770"/>
      <c r="HP739" s="770"/>
      <c r="HQ739" s="770"/>
      <c r="HR739" s="770"/>
      <c r="HS739" s="770"/>
      <c r="HT739" s="770"/>
      <c r="HU739" s="770"/>
      <c r="HV739" s="770"/>
      <c r="HW739" s="770"/>
      <c r="HX739" s="770"/>
      <c r="HY739" s="770"/>
      <c r="HZ739" s="770"/>
      <c r="IA739" s="770"/>
      <c r="IB739" s="770" t="s">
        <v>1207</v>
      </c>
      <c r="IC739" s="770" t="s">
        <v>1207</v>
      </c>
      <c r="ID739" s="770">
        <v>1</v>
      </c>
      <c r="IE739" s="770"/>
      <c r="IF739" s="770"/>
      <c r="IG739" s="770"/>
      <c r="IH739" s="770"/>
      <c r="II739" s="770"/>
      <c r="IJ739" s="770"/>
      <c r="IK739" s="770"/>
      <c r="IL739" s="770"/>
      <c r="IM739" s="770"/>
      <c r="IN739" s="770"/>
      <c r="IO739" s="296"/>
      <c r="IP739" s="770"/>
      <c r="IQ739" s="770"/>
      <c r="IR739" s="770"/>
      <c r="IS739" s="770"/>
      <c r="IT739" s="770"/>
      <c r="IU739" s="770"/>
      <c r="IV739" s="770"/>
      <c r="IW739" s="770"/>
      <c r="IX739" s="770"/>
      <c r="IY739" s="770"/>
      <c r="IZ739" s="770"/>
      <c r="JA739" s="770"/>
      <c r="JB739" s="770"/>
      <c r="JC739" s="770"/>
      <c r="JD739" s="302"/>
      <c r="JE739" s="770"/>
      <c r="JF739" s="770"/>
      <c r="JG739" s="770"/>
      <c r="JH739" s="307"/>
      <c r="JI739" s="307"/>
      <c r="JJ739" s="770">
        <v>1</v>
      </c>
      <c r="JK739" s="770" t="s">
        <v>3189</v>
      </c>
      <c r="JL739" s="770"/>
      <c r="JM739" s="770"/>
      <c r="JN739" s="770"/>
      <c r="JO739" s="770"/>
      <c r="JP739" s="770"/>
      <c r="JQ739" s="770">
        <v>1</v>
      </c>
      <c r="JR739" s="770"/>
      <c r="JS739" s="770"/>
      <c r="JT739" s="766">
        <f>SUM(JP739,JN739,JL739,JR739)</f>
        <v>0</v>
      </c>
      <c r="JU739" s="766">
        <f>SUM(JQ739,JO739,JM739,JS739)</f>
        <v>1</v>
      </c>
      <c r="JV739" s="766"/>
      <c r="JW739" s="766"/>
      <c r="JX739" s="770"/>
      <c r="JY739" s="770"/>
      <c r="JZ739" s="770"/>
      <c r="KA739" s="770"/>
      <c r="KB739" s="770"/>
      <c r="KC739" s="770"/>
      <c r="KD739" s="770"/>
      <c r="KE739" s="770"/>
      <c r="KF739" s="770"/>
      <c r="KG739" s="770">
        <v>1</v>
      </c>
      <c r="KH739" s="770"/>
      <c r="KI739" s="770"/>
      <c r="KJ739" s="770">
        <f t="shared" si="225"/>
        <v>0</v>
      </c>
      <c r="KK739" s="770">
        <f t="shared" si="225"/>
        <v>1</v>
      </c>
      <c r="KL739" s="770"/>
      <c r="KM739" s="770"/>
      <c r="KN739" s="770" t="s">
        <v>768</v>
      </c>
      <c r="KO739" s="770"/>
      <c r="KP739" s="770"/>
      <c r="KQ739" s="770"/>
      <c r="KR739" s="770"/>
      <c r="KS739" s="770"/>
      <c r="KT739" s="770"/>
      <c r="KU739" s="770"/>
      <c r="KV739" s="770"/>
      <c r="KW739" s="770"/>
      <c r="KX739" s="770"/>
      <c r="KY739" s="770"/>
      <c r="KZ739" s="770"/>
      <c r="LA739" s="770">
        <v>1</v>
      </c>
      <c r="LB739" s="770"/>
      <c r="LC739" s="770"/>
      <c r="LD739" s="770"/>
      <c r="LE739" s="770"/>
      <c r="LF739" s="770"/>
      <c r="LG739" s="770"/>
      <c r="LH739" s="770"/>
      <c r="LI739" s="770"/>
      <c r="LJ739" s="770"/>
      <c r="LK739" s="770"/>
      <c r="LL739" s="770"/>
      <c r="LM739" s="770"/>
      <c r="LN739" s="766">
        <f t="shared" si="209"/>
        <v>0</v>
      </c>
      <c r="LO739" s="766">
        <f t="shared" si="209"/>
        <v>1</v>
      </c>
      <c r="LP739" s="770">
        <v>1</v>
      </c>
      <c r="LQ739" s="770"/>
      <c r="LR739" s="770"/>
      <c r="LS739" s="770">
        <v>1</v>
      </c>
      <c r="LT739" s="770"/>
      <c r="LU739" s="770"/>
      <c r="LV739" s="770"/>
      <c r="LW739" s="770"/>
      <c r="LX739" s="769">
        <v>0</v>
      </c>
      <c r="LY739" s="766">
        <f t="shared" si="210"/>
        <v>0</v>
      </c>
      <c r="LZ739" s="1709"/>
      <c r="MA739" s="1709"/>
      <c r="MB739" s="1709"/>
      <c r="MC739" s="1679">
        <f t="shared" si="208"/>
        <v>0</v>
      </c>
      <c r="MD739" s="1709">
        <f>SUM(2500,50*46)</f>
        <v>4800</v>
      </c>
      <c r="ME739" s="1709"/>
      <c r="MF739" s="1709"/>
      <c r="MG739" s="1680">
        <f t="shared" si="216"/>
        <v>4800</v>
      </c>
      <c r="MH739" s="770" t="s">
        <v>2218</v>
      </c>
      <c r="MI739" s="302">
        <v>3000</v>
      </c>
      <c r="MJ739" s="302">
        <v>200</v>
      </c>
      <c r="MK739" s="302"/>
      <c r="ML739" s="302">
        <v>2000</v>
      </c>
      <c r="MM739" s="302"/>
      <c r="MN739" s="302"/>
      <c r="MO739" s="302"/>
      <c r="MP739" s="302"/>
      <c r="MQ739" s="302"/>
      <c r="MR739" s="302">
        <v>300</v>
      </c>
      <c r="MS739" s="302">
        <v>1000</v>
      </c>
      <c r="MT739" s="302"/>
      <c r="MU739" s="302"/>
      <c r="MV739" s="302"/>
      <c r="MW739" s="302"/>
      <c r="MX739" s="302"/>
      <c r="MY739" s="1682">
        <f t="shared" si="217"/>
        <v>6500</v>
      </c>
      <c r="MZ739" s="770" t="s">
        <v>13395</v>
      </c>
      <c r="NA739" s="770" t="s">
        <v>13970</v>
      </c>
      <c r="NB739" s="770" t="s">
        <v>13016</v>
      </c>
      <c r="NC739" s="770" t="s">
        <v>13602</v>
      </c>
      <c r="ND739" s="770">
        <v>0</v>
      </c>
      <c r="NE739" s="770">
        <v>0</v>
      </c>
      <c r="NF739" s="770">
        <v>0</v>
      </c>
      <c r="NG739" s="770">
        <v>1</v>
      </c>
      <c r="NH739" s="770">
        <v>1</v>
      </c>
      <c r="NI739" s="770">
        <v>1</v>
      </c>
      <c r="NJ739" s="770">
        <v>0</v>
      </c>
      <c r="NK739" s="770">
        <v>0</v>
      </c>
      <c r="NL739" s="770">
        <v>1</v>
      </c>
      <c r="NM739" s="770">
        <v>1</v>
      </c>
      <c r="NN739" s="770">
        <v>0</v>
      </c>
      <c r="NO739" s="770">
        <v>0</v>
      </c>
      <c r="NP739" s="770">
        <v>0</v>
      </c>
      <c r="NQ739" s="770">
        <v>0</v>
      </c>
      <c r="NR739" s="770">
        <v>0</v>
      </c>
      <c r="NS739" s="770">
        <v>0</v>
      </c>
      <c r="NT739" s="770">
        <v>0</v>
      </c>
      <c r="NU739" s="770">
        <v>0</v>
      </c>
      <c r="NV739" s="770">
        <v>0</v>
      </c>
      <c r="NW739" s="770">
        <v>0</v>
      </c>
      <c r="NX739" s="770">
        <v>0</v>
      </c>
      <c r="NY739" s="770" t="s">
        <v>1208</v>
      </c>
      <c r="NZ739" s="770"/>
      <c r="OA739" s="770"/>
      <c r="OB739" s="770"/>
      <c r="OC739" s="770" t="s">
        <v>1208</v>
      </c>
      <c r="OD739" s="770"/>
      <c r="OE739" s="770"/>
      <c r="OF739" s="770"/>
      <c r="OG739" s="770"/>
      <c r="OH739" s="770"/>
      <c r="OI739" s="770"/>
      <c r="OJ739" s="770"/>
      <c r="OK739" s="770"/>
      <c r="OL739" s="770"/>
      <c r="OM739" s="770"/>
      <c r="ON739" s="770"/>
      <c r="OO739" s="770"/>
      <c r="OP739" s="770"/>
      <c r="OQ739" s="770"/>
      <c r="OR739" s="770"/>
      <c r="OS739" s="770"/>
      <c r="OT739" s="770"/>
      <c r="OU739" s="770"/>
      <c r="OV739" s="770"/>
      <c r="OW739" s="770"/>
      <c r="OX739" s="770"/>
      <c r="OY739" s="770"/>
      <c r="OZ739" s="770"/>
      <c r="PA739" s="770"/>
      <c r="PB739" s="770"/>
      <c r="PC739" s="770"/>
      <c r="PD739" s="770"/>
      <c r="PE739" s="770"/>
      <c r="PF739" s="770"/>
      <c r="PG739" s="770"/>
      <c r="PH739" s="770"/>
      <c r="PI739" s="770"/>
      <c r="PJ739" s="770"/>
      <c r="PK739" s="770" t="s">
        <v>1208</v>
      </c>
      <c r="PL739" s="770"/>
      <c r="PM739" s="770" t="s">
        <v>1208</v>
      </c>
      <c r="PN739" s="770"/>
      <c r="PO739" s="770"/>
      <c r="PP739" s="770"/>
      <c r="PQ739" s="770"/>
      <c r="PR739" s="770"/>
      <c r="PS739" s="770"/>
      <c r="PT739" s="770"/>
      <c r="PU739" s="770"/>
      <c r="PV739" s="770"/>
      <c r="PW739" s="770"/>
      <c r="PX739" s="770"/>
      <c r="PY739" s="770"/>
      <c r="PZ739" s="770"/>
      <c r="QA739" s="770"/>
      <c r="QB739" s="770"/>
      <c r="QC739" s="770"/>
      <c r="QD739" s="770"/>
      <c r="QE739" s="770"/>
      <c r="QF739" s="770"/>
      <c r="QG739" s="770" t="s">
        <v>1208</v>
      </c>
      <c r="QH739" s="770"/>
      <c r="QI739" s="770"/>
      <c r="QJ739" s="770"/>
      <c r="QK739" s="770"/>
      <c r="QL739" s="770"/>
      <c r="QM739" s="770"/>
      <c r="QN739" s="770"/>
      <c r="QO739" s="770"/>
      <c r="QP739" s="770"/>
      <c r="QQ739" s="770"/>
      <c r="QR739" s="770"/>
      <c r="QS739" s="770"/>
      <c r="QT739" s="770"/>
      <c r="QU739" s="770"/>
      <c r="QV739" s="770"/>
      <c r="QW739" s="770"/>
      <c r="QX739" s="770"/>
      <c r="QY739" s="770"/>
      <c r="QZ739" s="770"/>
      <c r="RA739" s="770"/>
      <c r="RB739" s="770" t="s">
        <v>1207</v>
      </c>
      <c r="RC739" s="770">
        <v>2014</v>
      </c>
      <c r="RD739" s="770" t="s">
        <v>13251</v>
      </c>
      <c r="RE739" s="770"/>
      <c r="RF739" s="304">
        <v>1</v>
      </c>
      <c r="RG739" s="770" t="s">
        <v>13047</v>
      </c>
      <c r="RH739" s="306">
        <v>0</v>
      </c>
      <c r="RI739" s="770">
        <v>0.5</v>
      </c>
      <c r="RJ739" s="94" t="s">
        <v>3189</v>
      </c>
      <c r="RK739" s="770" t="s">
        <v>13550</v>
      </c>
      <c r="RL739" s="1710" t="s">
        <v>1604</v>
      </c>
      <c r="RM739" s="12"/>
      <c r="RN739" s="1711"/>
      <c r="RO739" s="149" t="s">
        <v>3178</v>
      </c>
      <c r="RP739" s="11"/>
      <c r="RQ739" s="11"/>
      <c r="RR739" s="17"/>
      <c r="RS739" s="767"/>
      <c r="RT739" s="11"/>
      <c r="RU739" s="11"/>
      <c r="RV739" s="771" t="s">
        <v>7421</v>
      </c>
      <c r="RW739" s="11" t="s">
        <v>7447</v>
      </c>
      <c r="RX739" s="11" t="s">
        <v>4859</v>
      </c>
      <c r="RY739" s="11"/>
      <c r="RZ739" s="11"/>
      <c r="SA739" s="771"/>
      <c r="SB739" s="11"/>
      <c r="SC739" s="11"/>
    </row>
    <row r="740" spans="1:497" ht="12.75" hidden="1" customHeight="1">
      <c r="A740" s="343" t="s">
        <v>14241</v>
      </c>
      <c r="B740" s="292" t="s">
        <v>7450</v>
      </c>
      <c r="C740" s="149" t="s">
        <v>3178</v>
      </c>
      <c r="D740" s="94" t="s">
        <v>3179</v>
      </c>
      <c r="E740" s="766" t="s">
        <v>3185</v>
      </c>
      <c r="F740" s="770" t="s">
        <v>210</v>
      </c>
      <c r="G740" s="770" t="s">
        <v>18</v>
      </c>
      <c r="H740" s="770"/>
      <c r="I740" s="295" t="s">
        <v>3315</v>
      </c>
      <c r="J740" s="94" t="s">
        <v>3181</v>
      </c>
      <c r="K740" s="770"/>
      <c r="L740" s="770"/>
      <c r="M740" s="770"/>
      <c r="N740" s="1757"/>
      <c r="O740" s="1757"/>
      <c r="P740" s="770" t="s">
        <v>3182</v>
      </c>
      <c r="Q740" s="1088">
        <v>24504</v>
      </c>
      <c r="R740" s="297">
        <v>50</v>
      </c>
      <c r="S740" s="770" t="s">
        <v>10</v>
      </c>
      <c r="T740" s="770"/>
      <c r="U740" s="298" t="s">
        <v>3183</v>
      </c>
      <c r="V740" s="770" t="s">
        <v>707</v>
      </c>
      <c r="W740" s="770"/>
      <c r="X740" s="770"/>
      <c r="Y740" s="770" t="s">
        <v>3180</v>
      </c>
      <c r="Z740" s="770" t="s">
        <v>708</v>
      </c>
      <c r="AA740" s="770" t="s">
        <v>739</v>
      </c>
      <c r="AB740" s="766" t="s">
        <v>7274</v>
      </c>
      <c r="AC740" s="770" t="s">
        <v>948</v>
      </c>
      <c r="AD740" s="770" t="s">
        <v>711</v>
      </c>
      <c r="AE740" s="770"/>
      <c r="AF740" s="770"/>
      <c r="AG740" s="770"/>
      <c r="AH740" s="770"/>
      <c r="AI740" s="770"/>
      <c r="AJ740" s="770"/>
      <c r="AK740" s="770" t="s">
        <v>1899</v>
      </c>
      <c r="AL740" s="531"/>
      <c r="AM740" s="780"/>
      <c r="AN740" s="532"/>
      <c r="AO740" s="766"/>
      <c r="AP740" s="766"/>
      <c r="AQ740" s="766"/>
      <c r="AR740" s="766"/>
      <c r="AS740" s="770"/>
      <c r="AT740" s="770"/>
      <c r="AU740" s="770"/>
      <c r="AV740" s="770"/>
      <c r="AW740" s="770"/>
      <c r="AX740" s="770"/>
      <c r="AY740" s="770"/>
      <c r="AZ740" s="770"/>
      <c r="BA740" s="770"/>
      <c r="BB740" s="770"/>
      <c r="BC740" s="770"/>
      <c r="BD740" s="770"/>
      <c r="BE740" s="770"/>
      <c r="BF740" s="302"/>
      <c r="BG740" s="302"/>
      <c r="BH740" s="770"/>
      <c r="BI740" s="770"/>
      <c r="BJ740" s="770"/>
      <c r="BK740" s="766"/>
      <c r="BL740" s="766"/>
      <c r="BM740" s="766" t="s">
        <v>1238</v>
      </c>
      <c r="BN740" s="766" t="s">
        <v>1256</v>
      </c>
      <c r="BO740" s="770"/>
      <c r="BP740" s="765"/>
      <c r="BQ740" s="773"/>
      <c r="BR740" s="774"/>
      <c r="BS740" s="766" t="s">
        <v>1242</v>
      </c>
      <c r="BT740" s="770"/>
      <c r="BU740" s="770"/>
      <c r="BV740" s="770"/>
      <c r="BW740" s="770"/>
      <c r="BX740" s="302"/>
      <c r="BY740" s="770"/>
      <c r="BZ740" s="302"/>
      <c r="CA740" s="770"/>
      <c r="CB740" s="770"/>
      <c r="CC740" s="770"/>
      <c r="CD740" s="770"/>
      <c r="CE740" s="302"/>
      <c r="CF740" s="304"/>
      <c r="CG740" s="321"/>
      <c r="CH740" s="770"/>
      <c r="CI740" s="770"/>
      <c r="CJ740" s="770"/>
      <c r="CK740" s="770"/>
      <c r="CL740" s="770"/>
      <c r="CM740" s="770"/>
      <c r="CN740" s="770"/>
      <c r="CO740" s="770"/>
      <c r="CP740" s="770"/>
      <c r="CQ740" s="770"/>
      <c r="CR740" s="302"/>
      <c r="CS740" s="770"/>
      <c r="CT740" s="770"/>
      <c r="CU740" s="305"/>
      <c r="CV740" s="770"/>
      <c r="CW740" s="770"/>
      <c r="CX740" s="770"/>
      <c r="CY740" s="770"/>
      <c r="CZ740" s="770"/>
      <c r="DA740" s="306"/>
      <c r="DB740" s="770"/>
      <c r="DC740" s="770"/>
      <c r="DD740" s="770"/>
      <c r="DE740" s="300"/>
      <c r="DF740" s="770"/>
      <c r="DG740" s="770"/>
      <c r="DH740" s="770"/>
      <c r="DI740" s="770"/>
      <c r="DJ740" s="770"/>
      <c r="DK740" s="770"/>
      <c r="DL740" s="770"/>
      <c r="DM740" s="770"/>
      <c r="DN740" s="322"/>
      <c r="DO740" s="770"/>
      <c r="DP740" s="770"/>
      <c r="DQ740" s="770"/>
      <c r="DR740" s="770"/>
      <c r="DS740" s="307"/>
      <c r="DT740" s="770"/>
      <c r="DU740" s="770"/>
      <c r="DV740" s="770"/>
      <c r="DW740" s="306"/>
      <c r="DX740" s="306"/>
      <c r="DY740" s="1055"/>
      <c r="DZ740" s="770"/>
      <c r="EA740" s="770"/>
      <c r="EB740" s="770"/>
      <c r="EC740" s="770"/>
      <c r="ED740" s="770"/>
      <c r="EE740" s="770"/>
      <c r="EF740" s="770"/>
      <c r="EG740" s="770"/>
      <c r="EH740" s="770"/>
      <c r="EI740" s="770"/>
      <c r="EJ740" s="770"/>
      <c r="EK740" s="770"/>
      <c r="EL740" s="770"/>
      <c r="EM740" s="770"/>
      <c r="EN740" s="770"/>
      <c r="EO740" s="770"/>
      <c r="EP740" s="94"/>
      <c r="EQ740" s="770"/>
      <c r="ER740" s="770"/>
      <c r="ES740" s="770"/>
      <c r="ET740" s="770"/>
      <c r="EU740" s="770"/>
      <c r="EV740" s="770"/>
      <c r="EW740" s="770"/>
      <c r="EX740" s="770"/>
      <c r="EY740" s="770"/>
      <c r="EZ740" s="770"/>
      <c r="FA740" s="770"/>
      <c r="FB740" s="770"/>
      <c r="FC740" s="770"/>
      <c r="FD740" s="302"/>
      <c r="FE740" s="770"/>
      <c r="FF740" s="770"/>
      <c r="FG740" s="770"/>
      <c r="FH740" s="770" t="s">
        <v>1306</v>
      </c>
      <c r="FI740" s="770">
        <v>1</v>
      </c>
      <c r="FJ740" s="770" t="s">
        <v>4877</v>
      </c>
      <c r="FK740" s="770"/>
      <c r="FL740" s="770" t="s">
        <v>3185</v>
      </c>
      <c r="FM740" s="147">
        <v>3500</v>
      </c>
      <c r="FN740" s="302">
        <v>300</v>
      </c>
      <c r="FO740" s="302">
        <v>700</v>
      </c>
      <c r="FP740" s="770" t="s">
        <v>1600</v>
      </c>
      <c r="FQ740" s="770" t="s">
        <v>3940</v>
      </c>
      <c r="FR740" s="770"/>
      <c r="FS740" s="770"/>
      <c r="FT740" s="770"/>
      <c r="FU740" s="770"/>
      <c r="FV740" s="770"/>
      <c r="FW740" s="770"/>
      <c r="FX740" s="770"/>
      <c r="FY740" s="770"/>
      <c r="FZ740" s="770"/>
      <c r="GA740" s="770"/>
      <c r="GB740" s="770"/>
      <c r="GC740" s="308"/>
      <c r="GD740" s="297"/>
      <c r="GE740" s="770"/>
      <c r="GF740" s="302"/>
      <c r="GG740" s="302"/>
      <c r="GH740" s="770"/>
      <c r="GI740" s="770"/>
      <c r="GJ740" s="770"/>
      <c r="GK740" s="770"/>
      <c r="GL740" s="770"/>
      <c r="GM740" s="770"/>
      <c r="GN740" s="299"/>
      <c r="GO740" s="770"/>
      <c r="GP740" s="770"/>
      <c r="GQ740" s="770"/>
      <c r="GR740" s="770"/>
      <c r="GS740" s="770"/>
      <c r="GT740" s="770"/>
      <c r="GU740" s="770"/>
      <c r="GV740" s="770"/>
      <c r="GW740" s="770"/>
      <c r="GX740" s="770"/>
      <c r="GY740" s="770"/>
      <c r="GZ740" s="770"/>
      <c r="HA740" s="770"/>
      <c r="HB740" s="770"/>
      <c r="HC740" s="770"/>
      <c r="HD740" s="770"/>
      <c r="HE740" s="770"/>
      <c r="HF740" s="770"/>
      <c r="HG740" s="770"/>
      <c r="HH740" s="770"/>
      <c r="HI740" s="770"/>
      <c r="HJ740" s="770"/>
      <c r="HK740" s="770"/>
      <c r="HL740" s="770"/>
      <c r="HM740" s="770"/>
      <c r="HN740" s="770"/>
      <c r="HO740" s="770"/>
      <c r="HP740" s="770"/>
      <c r="HQ740" s="770"/>
      <c r="HR740" s="770"/>
      <c r="HS740" s="770"/>
      <c r="HT740" s="770"/>
      <c r="HU740" s="770"/>
      <c r="HV740" s="770"/>
      <c r="HW740" s="770"/>
      <c r="HX740" s="770"/>
      <c r="HY740" s="770"/>
      <c r="HZ740" s="770"/>
      <c r="IA740" s="770"/>
      <c r="IB740" s="770" t="s">
        <v>1207</v>
      </c>
      <c r="IC740" s="770"/>
      <c r="ID740" s="770"/>
      <c r="IE740" s="770"/>
      <c r="IF740" s="770"/>
      <c r="IG740" s="770"/>
      <c r="IH740" s="770"/>
      <c r="II740" s="770"/>
      <c r="IJ740" s="770"/>
      <c r="IK740" s="770"/>
      <c r="IL740" s="770"/>
      <c r="IM740" s="770"/>
      <c r="IN740" s="770"/>
      <c r="IO740" s="296"/>
      <c r="IP740" s="770"/>
      <c r="IQ740" s="770"/>
      <c r="IR740" s="770"/>
      <c r="IS740" s="770"/>
      <c r="IT740" s="770"/>
      <c r="IU740" s="770"/>
      <c r="IV740" s="770"/>
      <c r="IW740" s="770"/>
      <c r="IX740" s="770"/>
      <c r="IY740" s="770"/>
      <c r="IZ740" s="770"/>
      <c r="JA740" s="770"/>
      <c r="JB740" s="770"/>
      <c r="JC740" s="770"/>
      <c r="JD740" s="302"/>
      <c r="JE740" s="770"/>
      <c r="JF740" s="770"/>
      <c r="JG740" s="770"/>
      <c r="JH740" s="307"/>
      <c r="JI740" s="307"/>
      <c r="JJ740" s="770"/>
      <c r="JK740" s="770"/>
      <c r="JL740" s="770"/>
      <c r="JM740" s="770"/>
      <c r="JN740" s="770"/>
      <c r="JO740" s="770"/>
      <c r="JP740" s="770"/>
      <c r="JQ740" s="770"/>
      <c r="JR740" s="770"/>
      <c r="JS740" s="770"/>
      <c r="JT740" s="766"/>
      <c r="JU740" s="766"/>
      <c r="JV740" s="766"/>
      <c r="JW740" s="766"/>
      <c r="JX740" s="770"/>
      <c r="JY740" s="770"/>
      <c r="JZ740" s="770"/>
      <c r="KA740" s="770"/>
      <c r="KB740" s="770"/>
      <c r="KC740" s="770"/>
      <c r="KD740" s="770"/>
      <c r="KE740" s="770"/>
      <c r="KF740" s="770"/>
      <c r="KG740" s="770"/>
      <c r="KH740" s="770"/>
      <c r="KI740" s="770"/>
      <c r="KJ740" s="770"/>
      <c r="KK740" s="770"/>
      <c r="KL740" s="770"/>
      <c r="KM740" s="770"/>
      <c r="KN740" s="770"/>
      <c r="KO740" s="770"/>
      <c r="KP740" s="770"/>
      <c r="KQ740" s="770"/>
      <c r="KR740" s="770"/>
      <c r="KS740" s="770"/>
      <c r="KT740" s="770"/>
      <c r="KU740" s="770"/>
      <c r="KV740" s="770"/>
      <c r="KW740" s="770"/>
      <c r="KX740" s="770"/>
      <c r="KY740" s="770"/>
      <c r="KZ740" s="770"/>
      <c r="LA740" s="770"/>
      <c r="LB740" s="770"/>
      <c r="LC740" s="770"/>
      <c r="LD740" s="770"/>
      <c r="LE740" s="770"/>
      <c r="LF740" s="770"/>
      <c r="LG740" s="770"/>
      <c r="LH740" s="770"/>
      <c r="LI740" s="770"/>
      <c r="LJ740" s="770"/>
      <c r="LK740" s="770"/>
      <c r="LL740" s="770"/>
      <c r="LM740" s="770"/>
      <c r="LN740" s="766"/>
      <c r="LO740" s="766"/>
      <c r="LP740" s="770"/>
      <c r="LQ740" s="770"/>
      <c r="LR740" s="770"/>
      <c r="LS740" s="770"/>
      <c r="LT740" s="770"/>
      <c r="LU740" s="770"/>
      <c r="LV740" s="770"/>
      <c r="LW740" s="770"/>
      <c r="LX740" s="769"/>
      <c r="LY740" s="766" t="str">
        <f t="shared" si="210"/>
        <v/>
      </c>
      <c r="LZ740" s="1709"/>
      <c r="MA740" s="1709"/>
      <c r="MB740" s="1709"/>
      <c r="MC740" s="1679">
        <f t="shared" si="208"/>
        <v>0</v>
      </c>
      <c r="MD740" s="1709"/>
      <c r="ME740" s="1709"/>
      <c r="MF740" s="1709"/>
      <c r="MG740" s="1680">
        <f t="shared" si="216"/>
        <v>0</v>
      </c>
      <c r="MH740" s="770"/>
      <c r="MI740" s="302"/>
      <c r="MJ740" s="302"/>
      <c r="MK740" s="302"/>
      <c r="ML740" s="302"/>
      <c r="MM740" s="302"/>
      <c r="MN740" s="302"/>
      <c r="MO740" s="302"/>
      <c r="MP740" s="302"/>
      <c r="MQ740" s="302"/>
      <c r="MR740" s="302"/>
      <c r="MS740" s="302"/>
      <c r="MT740" s="302"/>
      <c r="MU740" s="302"/>
      <c r="MV740" s="302"/>
      <c r="MW740" s="302"/>
      <c r="MX740" s="302"/>
      <c r="MY740" s="1682">
        <f t="shared" si="217"/>
        <v>0</v>
      </c>
      <c r="MZ740" s="770"/>
      <c r="NA740" s="770"/>
      <c r="NB740" s="770"/>
      <c r="NC740" s="770"/>
      <c r="ND740" s="770"/>
      <c r="NE740" s="770"/>
      <c r="NF740" s="770"/>
      <c r="NG740" s="770"/>
      <c r="NH740" s="770"/>
      <c r="NI740" s="770"/>
      <c r="NJ740" s="770"/>
      <c r="NK740" s="770"/>
      <c r="NL740" s="770"/>
      <c r="NM740" s="770"/>
      <c r="NN740" s="770"/>
      <c r="NO740" s="770"/>
      <c r="NP740" s="770"/>
      <c r="NQ740" s="770"/>
      <c r="NR740" s="770"/>
      <c r="NS740" s="770"/>
      <c r="NT740" s="770"/>
      <c r="NU740" s="770"/>
      <c r="NV740" s="770"/>
      <c r="NW740" s="770"/>
      <c r="NX740" s="770"/>
      <c r="NY740" s="770"/>
      <c r="NZ740" s="770"/>
      <c r="OA740" s="770"/>
      <c r="OB740" s="770"/>
      <c r="OC740" s="770"/>
      <c r="OD740" s="770"/>
      <c r="OE740" s="770"/>
      <c r="OF740" s="770"/>
      <c r="OG740" s="770"/>
      <c r="OH740" s="770"/>
      <c r="OI740" s="770"/>
      <c r="OJ740" s="770"/>
      <c r="OK740" s="770"/>
      <c r="OL740" s="770"/>
      <c r="OM740" s="770"/>
      <c r="ON740" s="770"/>
      <c r="OO740" s="770"/>
      <c r="OP740" s="770"/>
      <c r="OQ740" s="770"/>
      <c r="OR740" s="770"/>
      <c r="OS740" s="770"/>
      <c r="OT740" s="770"/>
      <c r="OU740" s="770"/>
      <c r="OV740" s="770"/>
      <c r="OW740" s="770"/>
      <c r="OX740" s="770"/>
      <c r="OY740" s="770"/>
      <c r="OZ740" s="770"/>
      <c r="PA740" s="770"/>
      <c r="PB740" s="770"/>
      <c r="PC740" s="770"/>
      <c r="PD740" s="770"/>
      <c r="PE740" s="770"/>
      <c r="PF740" s="770"/>
      <c r="PG740" s="770"/>
      <c r="PH740" s="770"/>
      <c r="PI740" s="770"/>
      <c r="PJ740" s="770"/>
      <c r="PK740" s="770"/>
      <c r="PL740" s="770"/>
      <c r="PM740" s="770"/>
      <c r="PN740" s="770"/>
      <c r="PO740" s="770"/>
      <c r="PP740" s="770"/>
      <c r="PQ740" s="770"/>
      <c r="PR740" s="770"/>
      <c r="PS740" s="770"/>
      <c r="PT740" s="770"/>
      <c r="PU740" s="770"/>
      <c r="PV740" s="770"/>
      <c r="PW740" s="770"/>
      <c r="PX740" s="770"/>
      <c r="PY740" s="770"/>
      <c r="PZ740" s="770"/>
      <c r="QA740" s="770"/>
      <c r="QB740" s="770"/>
      <c r="QC740" s="770"/>
      <c r="QD740" s="770"/>
      <c r="QE740" s="770"/>
      <c r="QF740" s="770"/>
      <c r="QG740" s="770"/>
      <c r="QH740" s="770"/>
      <c r="QI740" s="770"/>
      <c r="QJ740" s="770"/>
      <c r="QK740" s="770"/>
      <c r="QL740" s="770"/>
      <c r="QM740" s="770"/>
      <c r="QN740" s="770"/>
      <c r="QO740" s="770"/>
      <c r="QP740" s="770"/>
      <c r="QQ740" s="770"/>
      <c r="QR740" s="770"/>
      <c r="QS740" s="770"/>
      <c r="QT740" s="770"/>
      <c r="QU740" s="770"/>
      <c r="QV740" s="770"/>
      <c r="QW740" s="770"/>
      <c r="QX740" s="770"/>
      <c r="QY740" s="770"/>
      <c r="QZ740" s="770"/>
      <c r="RA740" s="770"/>
      <c r="RB740" s="770"/>
      <c r="RC740" s="770"/>
      <c r="RD740" s="770"/>
      <c r="RE740" s="770"/>
      <c r="RF740" s="304"/>
      <c r="RG740" s="770"/>
      <c r="RH740" s="306"/>
      <c r="RI740" s="770"/>
      <c r="RJ740" s="94" t="s">
        <v>13971</v>
      </c>
      <c r="RK740" s="770" t="s">
        <v>13556</v>
      </c>
      <c r="RL740" s="1710">
        <v>42846</v>
      </c>
      <c r="RM740" s="12"/>
      <c r="RN740" s="1711"/>
      <c r="RO740" s="149" t="s">
        <v>3178</v>
      </c>
      <c r="RP740" s="11"/>
      <c r="RQ740" s="11"/>
      <c r="RR740" s="17"/>
      <c r="RS740" s="767"/>
      <c r="RT740" s="11"/>
      <c r="RU740" s="11"/>
      <c r="RV740" s="771" t="s">
        <v>7419</v>
      </c>
      <c r="RW740" s="11" t="s">
        <v>7448</v>
      </c>
      <c r="RX740" s="11" t="s">
        <v>3178</v>
      </c>
      <c r="RY740" s="11"/>
      <c r="RZ740" s="11"/>
      <c r="SA740" s="771"/>
      <c r="SB740" s="11"/>
      <c r="SC740" s="11"/>
    </row>
    <row r="741" spans="1:497" ht="12.75" hidden="1" customHeight="1">
      <c r="A741" s="343" t="s">
        <v>7419</v>
      </c>
      <c r="B741" s="292" t="s">
        <v>7451</v>
      </c>
      <c r="C741" s="149" t="s">
        <v>3190</v>
      </c>
      <c r="D741" s="94" t="s">
        <v>4879</v>
      </c>
      <c r="E741" s="766" t="s">
        <v>4880</v>
      </c>
      <c r="F741" s="770" t="s">
        <v>20</v>
      </c>
      <c r="G741" s="770" t="s">
        <v>18</v>
      </c>
      <c r="H741" s="770"/>
      <c r="I741" s="295" t="s">
        <v>4881</v>
      </c>
      <c r="J741" s="94" t="s">
        <v>4882</v>
      </c>
      <c r="K741" s="766" t="s">
        <v>4883</v>
      </c>
      <c r="L741" s="766" t="s">
        <v>4755</v>
      </c>
      <c r="M741" s="770" t="s">
        <v>1238</v>
      </c>
      <c r="N741" s="1757"/>
      <c r="O741" s="1757" t="s">
        <v>4864</v>
      </c>
      <c r="P741" s="770" t="s">
        <v>4884</v>
      </c>
      <c r="Q741" s="1088">
        <v>16735</v>
      </c>
      <c r="R741" s="297">
        <v>72</v>
      </c>
      <c r="S741" s="770" t="s">
        <v>10</v>
      </c>
      <c r="T741" s="770"/>
      <c r="U741" s="295" t="s">
        <v>4881</v>
      </c>
      <c r="V741" s="770" t="s">
        <v>707</v>
      </c>
      <c r="W741" s="770"/>
      <c r="X741" s="770"/>
      <c r="Y741" s="770" t="s">
        <v>4880</v>
      </c>
      <c r="Z741" s="770" t="s">
        <v>793</v>
      </c>
      <c r="AA741" s="770" t="s">
        <v>709</v>
      </c>
      <c r="AB741" s="770" t="s">
        <v>710</v>
      </c>
      <c r="AC741" s="770"/>
      <c r="AD741" s="770"/>
      <c r="AE741" s="770" t="s">
        <v>4335</v>
      </c>
      <c r="AF741" s="770" t="s">
        <v>798</v>
      </c>
      <c r="AG741" s="766" t="s">
        <v>1132</v>
      </c>
      <c r="AH741" s="766" t="s">
        <v>1096</v>
      </c>
      <c r="AI741" s="770"/>
      <c r="AJ741" s="770" t="s">
        <v>1137</v>
      </c>
      <c r="AK741" s="770" t="s">
        <v>1097</v>
      </c>
      <c r="AL741" s="531">
        <v>31.82</v>
      </c>
      <c r="AM741" s="780">
        <v>1.9350000000000001</v>
      </c>
      <c r="AN741" s="532">
        <f>AM741/AL741</f>
        <v>6.0810810810810814E-2</v>
      </c>
      <c r="AO741" s="766" t="s">
        <v>1098</v>
      </c>
      <c r="AP741" s="766" t="s">
        <v>5368</v>
      </c>
      <c r="AQ741" s="766" t="s">
        <v>7218</v>
      </c>
      <c r="AR741" s="766"/>
      <c r="AS741" s="770" t="s">
        <v>1207</v>
      </c>
      <c r="AT741" s="770"/>
      <c r="AU741" s="770" t="s">
        <v>1208</v>
      </c>
      <c r="AV741" s="770"/>
      <c r="AW741" s="770"/>
      <c r="AX741" s="770"/>
      <c r="AY741" s="770"/>
      <c r="AZ741" s="770"/>
      <c r="BA741" s="770" t="s">
        <v>1208</v>
      </c>
      <c r="BB741" s="770" t="s">
        <v>4885</v>
      </c>
      <c r="BC741" s="770" t="s">
        <v>4335</v>
      </c>
      <c r="BD741" s="770" t="s">
        <v>1207</v>
      </c>
      <c r="BE741" s="770"/>
      <c r="BF741" s="302"/>
      <c r="BG741" s="302"/>
      <c r="BH741" s="770"/>
      <c r="BI741" s="770"/>
      <c r="BJ741" s="770"/>
      <c r="BK741" s="766" t="s">
        <v>1095</v>
      </c>
      <c r="BL741" s="766" t="s">
        <v>4885</v>
      </c>
      <c r="BM741" s="766" t="s">
        <v>1096</v>
      </c>
      <c r="BN741" s="766" t="s">
        <v>1230</v>
      </c>
      <c r="BO741" s="766" t="s">
        <v>1239</v>
      </c>
      <c r="BP741" s="765">
        <v>63.64</v>
      </c>
      <c r="BQ741" s="773">
        <v>3.87</v>
      </c>
      <c r="BR741" s="774">
        <f>BQ741/BP741</f>
        <v>6.0810810810810814E-2</v>
      </c>
      <c r="BS741" s="766" t="s">
        <v>1242</v>
      </c>
      <c r="BT741" s="766" t="s">
        <v>2040</v>
      </c>
      <c r="BU741" s="770" t="s">
        <v>1249</v>
      </c>
      <c r="BV741" s="770" t="s">
        <v>1247</v>
      </c>
      <c r="BW741" s="770">
        <v>1987</v>
      </c>
      <c r="BX741" s="302"/>
      <c r="BY741" s="770"/>
      <c r="BZ741" s="302"/>
      <c r="CA741" s="770"/>
      <c r="CB741" s="770"/>
      <c r="CC741" s="770"/>
      <c r="CD741" s="770"/>
      <c r="CE741" s="302"/>
      <c r="CF741" s="304"/>
      <c r="CG741" s="321"/>
      <c r="CH741" s="770"/>
      <c r="CI741" s="770"/>
      <c r="CJ741" s="770"/>
      <c r="CK741" s="770"/>
      <c r="CL741" s="770"/>
      <c r="CM741" s="770"/>
      <c r="CN741" s="770"/>
      <c r="CO741" s="770"/>
      <c r="CP741" s="770"/>
      <c r="CQ741" s="770"/>
      <c r="CR741" s="302"/>
      <c r="CS741" s="770"/>
      <c r="CT741" s="770"/>
      <c r="CU741" s="305"/>
      <c r="CV741" s="770"/>
      <c r="CW741" s="770"/>
      <c r="CX741" s="770"/>
      <c r="CY741" s="770"/>
      <c r="CZ741" s="770"/>
      <c r="DA741" s="306"/>
      <c r="DB741" s="770"/>
      <c r="DC741" s="770"/>
      <c r="DD741" s="770"/>
      <c r="DE741" s="300"/>
      <c r="DF741" s="770"/>
      <c r="DG741" s="770"/>
      <c r="DH741" s="770"/>
      <c r="DI741" s="770"/>
      <c r="DJ741" s="770"/>
      <c r="DK741" s="770"/>
      <c r="DL741" s="770"/>
      <c r="DM741" s="770"/>
      <c r="DN741" s="322"/>
      <c r="DO741" s="770"/>
      <c r="DP741" s="770"/>
      <c r="DQ741" s="770"/>
      <c r="DR741" s="770"/>
      <c r="DS741" s="307"/>
      <c r="DT741" s="770"/>
      <c r="DU741" s="770"/>
      <c r="DV741" s="770"/>
      <c r="DW741" s="306"/>
      <c r="DX741" s="306"/>
      <c r="DY741" s="1055"/>
      <c r="DZ741" s="770"/>
      <c r="EA741" s="770"/>
      <c r="EB741" s="770"/>
      <c r="EC741" s="770"/>
      <c r="ED741" s="770"/>
      <c r="EE741" s="770"/>
      <c r="EF741" s="770"/>
      <c r="EG741" s="770"/>
      <c r="EH741" s="770"/>
      <c r="EI741" s="770"/>
      <c r="EJ741" s="770"/>
      <c r="EK741" s="770"/>
      <c r="EL741" s="770"/>
      <c r="EM741" s="770"/>
      <c r="EN741" s="770"/>
      <c r="EO741" s="770"/>
      <c r="EP741" s="94"/>
      <c r="EQ741" s="770"/>
      <c r="ER741" s="770"/>
      <c r="ES741" s="770"/>
      <c r="ET741" s="770"/>
      <c r="EU741" s="770"/>
      <c r="EV741" s="770"/>
      <c r="EW741" s="770"/>
      <c r="EX741" s="770"/>
      <c r="EY741" s="770"/>
      <c r="EZ741" s="770"/>
      <c r="FA741" s="770"/>
      <c r="FB741" s="770"/>
      <c r="FC741" s="770"/>
      <c r="FD741" s="302"/>
      <c r="FE741" s="770"/>
      <c r="FF741" s="770"/>
      <c r="FG741" s="770"/>
      <c r="FH741" s="770" t="s">
        <v>478</v>
      </c>
      <c r="FI741" s="770">
        <v>1</v>
      </c>
      <c r="FJ741" s="766" t="s">
        <v>4887</v>
      </c>
      <c r="FK741" s="766"/>
      <c r="FL741" s="766" t="s">
        <v>4886</v>
      </c>
      <c r="FM741" s="302"/>
      <c r="FN741" s="302"/>
      <c r="FO741" s="302"/>
      <c r="FP741" s="770" t="s">
        <v>1600</v>
      </c>
      <c r="FQ741" s="770" t="s">
        <v>1642</v>
      </c>
      <c r="FR741" s="770" t="s">
        <v>1207</v>
      </c>
      <c r="FS741" s="770"/>
      <c r="FT741" s="770"/>
      <c r="FU741" s="770"/>
      <c r="FV741" s="770"/>
      <c r="FW741" s="770"/>
      <c r="FX741" s="770" t="s">
        <v>1208</v>
      </c>
      <c r="FY741" s="770"/>
      <c r="FZ741" s="770"/>
      <c r="GA741" s="770"/>
      <c r="GB741" s="770" t="s">
        <v>1734</v>
      </c>
      <c r="GC741" s="308" t="s">
        <v>4888</v>
      </c>
      <c r="GD741" s="297">
        <v>1987</v>
      </c>
      <c r="GE741" s="770" t="s">
        <v>1207</v>
      </c>
      <c r="GF741" s="302">
        <v>1500</v>
      </c>
      <c r="GG741" s="302">
        <f>GF741*12</f>
        <v>18000</v>
      </c>
      <c r="GH741" s="770"/>
      <c r="GI741" s="770"/>
      <c r="GJ741" s="770"/>
      <c r="GK741" s="770"/>
      <c r="GL741" s="770"/>
      <c r="GM741" s="770"/>
      <c r="GN741" s="299"/>
      <c r="GO741" s="770"/>
      <c r="GP741" s="770"/>
      <c r="GQ741" s="770"/>
      <c r="GR741" s="770"/>
      <c r="GS741" s="770"/>
      <c r="GT741" s="770"/>
      <c r="GU741" s="770"/>
      <c r="GV741" s="770"/>
      <c r="GW741" s="770"/>
      <c r="GX741" s="770"/>
      <c r="GY741" s="770"/>
      <c r="GZ741" s="770"/>
      <c r="HA741" s="770"/>
      <c r="HB741" s="770"/>
      <c r="HC741" s="770"/>
      <c r="HD741" s="770"/>
      <c r="HE741" s="770"/>
      <c r="HF741" s="770"/>
      <c r="HG741" s="770"/>
      <c r="HH741" s="770"/>
      <c r="HI741" s="770"/>
      <c r="HJ741" s="770"/>
      <c r="HK741" s="770"/>
      <c r="HL741" s="770"/>
      <c r="HM741" s="770"/>
      <c r="HN741" s="770"/>
      <c r="HO741" s="770"/>
      <c r="HP741" s="770"/>
      <c r="HQ741" s="770"/>
      <c r="HR741" s="770"/>
      <c r="HS741" s="770"/>
      <c r="HT741" s="770"/>
      <c r="HU741" s="770"/>
      <c r="HV741" s="770"/>
      <c r="HW741" s="770"/>
      <c r="HX741" s="770"/>
      <c r="HY741" s="770"/>
      <c r="HZ741" s="770"/>
      <c r="IA741" s="770"/>
      <c r="IB741" s="770"/>
      <c r="IC741" s="770"/>
      <c r="ID741" s="770">
        <v>2</v>
      </c>
      <c r="IE741" s="770">
        <v>1</v>
      </c>
      <c r="IF741" s="770" t="s">
        <v>4879</v>
      </c>
      <c r="IG741" s="770" t="s">
        <v>18</v>
      </c>
      <c r="IH741" s="770" t="s">
        <v>1903</v>
      </c>
      <c r="II741" s="770" t="s">
        <v>4880</v>
      </c>
      <c r="IJ741" s="766" t="s">
        <v>1604</v>
      </c>
      <c r="IK741" s="770" t="s">
        <v>2639</v>
      </c>
      <c r="IL741" s="770" t="s">
        <v>4885</v>
      </c>
      <c r="IM741" s="770">
        <v>2015</v>
      </c>
      <c r="IN741" s="770" t="s">
        <v>4885</v>
      </c>
      <c r="IO741" s="296">
        <v>16735</v>
      </c>
      <c r="IP741" s="770" t="s">
        <v>1306</v>
      </c>
      <c r="IQ741" s="769" t="s">
        <v>8144</v>
      </c>
      <c r="IR741" s="770" t="s">
        <v>2716</v>
      </c>
      <c r="IS741" s="770" t="s">
        <v>1966</v>
      </c>
      <c r="IT741" s="770"/>
      <c r="IU741" s="770" t="s">
        <v>1208</v>
      </c>
      <c r="IV741" s="770"/>
      <c r="IW741" s="770" t="s">
        <v>13972</v>
      </c>
      <c r="IX741" s="770"/>
      <c r="IY741" s="770" t="s">
        <v>12803</v>
      </c>
      <c r="IZ741" s="770"/>
      <c r="JA741" s="770" t="s">
        <v>1880</v>
      </c>
      <c r="JB741" s="770" t="s">
        <v>12766</v>
      </c>
      <c r="JC741" s="770"/>
      <c r="JD741" s="302">
        <v>1500</v>
      </c>
      <c r="JE741" s="770"/>
      <c r="JF741" s="770"/>
      <c r="JG741" s="770"/>
      <c r="JH741" s="307"/>
      <c r="JI741" s="307"/>
      <c r="JJ741" s="770">
        <v>10</v>
      </c>
      <c r="JK741" s="770" t="s">
        <v>4888</v>
      </c>
      <c r="JL741" s="770">
        <v>1</v>
      </c>
      <c r="JM741" s="770">
        <v>2</v>
      </c>
      <c r="JN741" s="770">
        <v>2</v>
      </c>
      <c r="JO741" s="770">
        <v>4</v>
      </c>
      <c r="JP741" s="770">
        <v>1</v>
      </c>
      <c r="JQ741" s="770"/>
      <c r="JR741" s="770"/>
      <c r="JS741" s="770"/>
      <c r="JT741" s="766">
        <f t="shared" ref="JT741:JU748" si="228">SUM(JP741,JN741,JL741,JR741)</f>
        <v>4</v>
      </c>
      <c r="JU741" s="766">
        <f t="shared" si="228"/>
        <v>6</v>
      </c>
      <c r="JV741" s="766"/>
      <c r="JW741" s="766"/>
      <c r="JX741" s="770"/>
      <c r="JY741" s="770">
        <v>1</v>
      </c>
      <c r="JZ741" s="770">
        <v>1</v>
      </c>
      <c r="KA741" s="770">
        <v>1</v>
      </c>
      <c r="KB741" s="770"/>
      <c r="KC741" s="770">
        <v>2</v>
      </c>
      <c r="KD741" s="770">
        <v>2</v>
      </c>
      <c r="KE741" s="770">
        <v>1</v>
      </c>
      <c r="KF741" s="770">
        <v>1</v>
      </c>
      <c r="KG741" s="770">
        <v>1</v>
      </c>
      <c r="KH741" s="770"/>
      <c r="KI741" s="770"/>
      <c r="KJ741" s="770">
        <f t="shared" si="225"/>
        <v>4</v>
      </c>
      <c r="KK741" s="770">
        <f t="shared" si="225"/>
        <v>6</v>
      </c>
      <c r="KL741" s="770"/>
      <c r="KM741" s="770"/>
      <c r="KN741" s="770" t="s">
        <v>707</v>
      </c>
      <c r="KO741" s="770"/>
      <c r="KP741" s="770"/>
      <c r="KQ741" s="770"/>
      <c r="KR741" s="770"/>
      <c r="KS741" s="770"/>
      <c r="KT741" s="770">
        <v>1</v>
      </c>
      <c r="KU741" s="770">
        <v>1</v>
      </c>
      <c r="KV741" s="770"/>
      <c r="KW741" s="770"/>
      <c r="KX741" s="770"/>
      <c r="KY741" s="770">
        <v>1</v>
      </c>
      <c r="KZ741" s="770">
        <v>1</v>
      </c>
      <c r="LA741" s="770"/>
      <c r="LB741" s="770">
        <v>1</v>
      </c>
      <c r="LC741" s="770">
        <v>1</v>
      </c>
      <c r="LD741" s="770">
        <v>1</v>
      </c>
      <c r="LE741" s="770">
        <v>2</v>
      </c>
      <c r="LF741" s="770"/>
      <c r="LG741" s="770"/>
      <c r="LH741" s="770"/>
      <c r="LI741" s="770"/>
      <c r="LJ741" s="770"/>
      <c r="LK741" s="770">
        <v>1</v>
      </c>
      <c r="LL741" s="770"/>
      <c r="LM741" s="770"/>
      <c r="LN741" s="766">
        <f t="shared" si="209"/>
        <v>4</v>
      </c>
      <c r="LO741" s="766">
        <f t="shared" si="209"/>
        <v>6</v>
      </c>
      <c r="LP741" s="770">
        <v>3</v>
      </c>
      <c r="LQ741" s="770">
        <v>3</v>
      </c>
      <c r="LR741" s="770"/>
      <c r="LS741" s="770"/>
      <c r="LT741" s="770"/>
      <c r="LU741" s="770">
        <v>2</v>
      </c>
      <c r="LV741" s="770">
        <v>1</v>
      </c>
      <c r="LW741" s="770"/>
      <c r="LX741" s="769"/>
      <c r="LY741" s="766" t="str">
        <f t="shared" si="210"/>
        <v/>
      </c>
      <c r="LZ741" s="1709">
        <f>SUM(200,200,200)</f>
        <v>600</v>
      </c>
      <c r="MA741" s="1709"/>
      <c r="MB741" s="1709"/>
      <c r="MC741" s="1679">
        <f t="shared" ref="MC741:MC804" si="229">SUM(LZ741:MB741)</f>
        <v>600</v>
      </c>
      <c r="MD741" s="1709">
        <f>SUM(20000,25000,15000)</f>
        <v>60000</v>
      </c>
      <c r="ME741" s="1709"/>
      <c r="MF741" s="1709"/>
      <c r="MG741" s="1680">
        <f t="shared" si="216"/>
        <v>60000</v>
      </c>
      <c r="MH741" s="770" t="s">
        <v>4889</v>
      </c>
      <c r="MI741" s="302">
        <v>5000</v>
      </c>
      <c r="MJ741" s="302">
        <v>18000</v>
      </c>
      <c r="MK741" s="302">
        <v>2000</v>
      </c>
      <c r="ML741" s="302">
        <v>1000</v>
      </c>
      <c r="MM741" s="302">
        <v>2000</v>
      </c>
      <c r="MN741" s="302"/>
      <c r="MO741" s="302">
        <v>500</v>
      </c>
      <c r="MP741" s="302">
        <v>3000</v>
      </c>
      <c r="MQ741" s="302">
        <v>600</v>
      </c>
      <c r="MR741" s="302">
        <v>800</v>
      </c>
      <c r="MS741" s="302">
        <v>2000</v>
      </c>
      <c r="MT741" s="302"/>
      <c r="MU741" s="302"/>
      <c r="MV741" s="302"/>
      <c r="MW741" s="302"/>
      <c r="MX741" s="302"/>
      <c r="MY741" s="1682">
        <f t="shared" si="217"/>
        <v>34900</v>
      </c>
      <c r="MZ741" s="770" t="s">
        <v>13370</v>
      </c>
      <c r="NA741" s="770" t="s">
        <v>13005</v>
      </c>
      <c r="NB741" s="770" t="s">
        <v>13016</v>
      </c>
      <c r="NC741" s="770" t="s">
        <v>13602</v>
      </c>
      <c r="ND741" s="770">
        <v>0</v>
      </c>
      <c r="NE741" s="770">
        <v>0</v>
      </c>
      <c r="NF741" s="770">
        <v>1</v>
      </c>
      <c r="NG741" s="770">
        <v>1</v>
      </c>
      <c r="NH741" s="770">
        <v>1</v>
      </c>
      <c r="NI741" s="770">
        <v>1</v>
      </c>
      <c r="NJ741" s="770">
        <v>0</v>
      </c>
      <c r="NK741" s="770">
        <v>0</v>
      </c>
      <c r="NL741" s="770">
        <v>1</v>
      </c>
      <c r="NM741" s="770">
        <v>1</v>
      </c>
      <c r="NN741" s="770">
        <v>0</v>
      </c>
      <c r="NO741" s="770">
        <v>0</v>
      </c>
      <c r="NP741" s="770">
        <v>0</v>
      </c>
      <c r="NQ741" s="770">
        <v>0</v>
      </c>
      <c r="NR741" s="770">
        <v>0</v>
      </c>
      <c r="NS741" s="770">
        <v>0</v>
      </c>
      <c r="NT741" s="770">
        <v>0</v>
      </c>
      <c r="NU741" s="770">
        <v>0</v>
      </c>
      <c r="NV741" s="770">
        <v>0</v>
      </c>
      <c r="NW741" s="770">
        <v>0</v>
      </c>
      <c r="NX741" s="770">
        <v>0</v>
      </c>
      <c r="NY741" s="770" t="s">
        <v>1208</v>
      </c>
      <c r="NZ741" s="770" t="s">
        <v>1208</v>
      </c>
      <c r="OA741" s="770" t="s">
        <v>1208</v>
      </c>
      <c r="OB741" s="770" t="s">
        <v>1208</v>
      </c>
      <c r="OC741" s="770" t="s">
        <v>1208</v>
      </c>
      <c r="OD741" s="770" t="s">
        <v>1208</v>
      </c>
      <c r="OE741" s="770"/>
      <c r="OF741" s="770"/>
      <c r="OG741" s="770"/>
      <c r="OH741" s="770"/>
      <c r="OI741" s="770"/>
      <c r="OJ741" s="770"/>
      <c r="OK741" s="770"/>
      <c r="OL741" s="770"/>
      <c r="OM741" s="770"/>
      <c r="ON741" s="770"/>
      <c r="OO741" s="770"/>
      <c r="OP741" s="770"/>
      <c r="OQ741" s="770"/>
      <c r="OR741" s="770"/>
      <c r="OS741" s="770"/>
      <c r="OT741" s="770"/>
      <c r="OU741" s="770"/>
      <c r="OV741" s="770"/>
      <c r="OW741" s="770"/>
      <c r="OX741" s="770"/>
      <c r="OY741" s="770"/>
      <c r="OZ741" s="770"/>
      <c r="PA741" s="770"/>
      <c r="PB741" s="770"/>
      <c r="PC741" s="770"/>
      <c r="PD741" s="770"/>
      <c r="PE741" s="770"/>
      <c r="PF741" s="770"/>
      <c r="PG741" s="770"/>
      <c r="PH741" s="770"/>
      <c r="PI741" s="770"/>
      <c r="PJ741" s="770"/>
      <c r="PK741" s="770" t="s">
        <v>1208</v>
      </c>
      <c r="PL741" s="770"/>
      <c r="PM741" s="770"/>
      <c r="PN741" s="770"/>
      <c r="PO741" s="770"/>
      <c r="PP741" s="770"/>
      <c r="PQ741" s="770"/>
      <c r="PR741" s="770"/>
      <c r="PS741" s="770" t="s">
        <v>1208</v>
      </c>
      <c r="PT741" s="770" t="s">
        <v>1208</v>
      </c>
      <c r="PU741" s="770"/>
      <c r="PV741" s="770"/>
      <c r="PW741" s="770"/>
      <c r="PX741" s="770"/>
      <c r="PY741" s="770"/>
      <c r="PZ741" s="770"/>
      <c r="QA741" s="770"/>
      <c r="QB741" s="770"/>
      <c r="QC741" s="770"/>
      <c r="QD741" s="770"/>
      <c r="QE741" s="770"/>
      <c r="QF741" s="770"/>
      <c r="QG741" s="770"/>
      <c r="QH741" s="770"/>
      <c r="QI741" s="770"/>
      <c r="QJ741" s="770"/>
      <c r="QK741" s="770"/>
      <c r="QL741" s="770"/>
      <c r="QM741" s="770"/>
      <c r="QN741" s="770"/>
      <c r="QO741" s="770"/>
      <c r="QP741" s="770"/>
      <c r="QQ741" s="770"/>
      <c r="QR741" s="770"/>
      <c r="QS741" s="770"/>
      <c r="QT741" s="770"/>
      <c r="QU741" s="770"/>
      <c r="QV741" s="770"/>
      <c r="QW741" s="770"/>
      <c r="QX741" s="770"/>
      <c r="QY741" s="770"/>
      <c r="QZ741" s="770"/>
      <c r="RA741" s="770"/>
      <c r="RB741" s="770" t="s">
        <v>1214</v>
      </c>
      <c r="RC741" s="770"/>
      <c r="RD741" s="770"/>
      <c r="RE741" s="770"/>
      <c r="RF741" s="304"/>
      <c r="RG741" s="770"/>
      <c r="RH741" s="306"/>
      <c r="RI741" s="770"/>
      <c r="RJ741" s="94" t="s">
        <v>13973</v>
      </c>
      <c r="RK741" s="770" t="s">
        <v>13552</v>
      </c>
      <c r="RL741" s="1710">
        <v>42846</v>
      </c>
      <c r="RM741" s="12"/>
      <c r="RN741" s="1711"/>
      <c r="RO741" s="149" t="s">
        <v>3190</v>
      </c>
      <c r="RP741" s="11"/>
      <c r="RQ741" s="11"/>
      <c r="RR741" s="17"/>
      <c r="RS741" s="767"/>
      <c r="RT741" s="11"/>
      <c r="RU741" s="11"/>
      <c r="RV741" s="771" t="s">
        <v>13974</v>
      </c>
      <c r="RW741" s="11" t="s">
        <v>7449</v>
      </c>
      <c r="RX741" s="11" t="s">
        <v>3178</v>
      </c>
      <c r="RY741" s="11"/>
      <c r="RZ741" s="11" t="s">
        <v>2209</v>
      </c>
      <c r="SA741" s="771"/>
      <c r="SB741" s="11"/>
      <c r="SC741" s="11"/>
    </row>
    <row r="742" spans="1:497" ht="12.75" hidden="1" customHeight="1">
      <c r="A742" s="343" t="s">
        <v>14242</v>
      </c>
      <c r="B742" s="292" t="s">
        <v>7452</v>
      </c>
      <c r="C742" s="149" t="s">
        <v>3190</v>
      </c>
      <c r="D742" s="94" t="s">
        <v>14129</v>
      </c>
      <c r="E742" s="766" t="s">
        <v>3185</v>
      </c>
      <c r="F742" s="770" t="s">
        <v>20</v>
      </c>
      <c r="G742" s="770" t="s">
        <v>18</v>
      </c>
      <c r="H742" s="770"/>
      <c r="I742" s="295" t="s">
        <v>3191</v>
      </c>
      <c r="J742" s="94" t="s">
        <v>3192</v>
      </c>
      <c r="K742" s="770"/>
      <c r="L742" s="770"/>
      <c r="M742" s="770"/>
      <c r="N742" s="1757"/>
      <c r="O742" s="1757"/>
      <c r="P742" s="770" t="s">
        <v>3193</v>
      </c>
      <c r="Q742" s="1088">
        <v>31793</v>
      </c>
      <c r="R742" s="297">
        <v>30</v>
      </c>
      <c r="S742" s="770" t="s">
        <v>10</v>
      </c>
      <c r="T742" s="770"/>
      <c r="U742" s="295" t="s">
        <v>3191</v>
      </c>
      <c r="V742" s="770" t="s">
        <v>722</v>
      </c>
      <c r="W742" s="770"/>
      <c r="X742" s="770"/>
      <c r="Y742" s="770" t="s">
        <v>3185</v>
      </c>
      <c r="Z742" s="770" t="s">
        <v>708</v>
      </c>
      <c r="AA742" s="770" t="s">
        <v>709</v>
      </c>
      <c r="AB742" s="766" t="s">
        <v>7274</v>
      </c>
      <c r="AC742" s="770" t="s">
        <v>1071</v>
      </c>
      <c r="AD742" s="770"/>
      <c r="AE742" s="770"/>
      <c r="AF742" s="770" t="s">
        <v>798</v>
      </c>
      <c r="AG742" s="770"/>
      <c r="AH742" s="770"/>
      <c r="AI742" s="770"/>
      <c r="AJ742" s="770"/>
      <c r="AK742" s="770" t="s">
        <v>1899</v>
      </c>
      <c r="AL742" s="531"/>
      <c r="AM742" s="780"/>
      <c r="AN742" s="532"/>
      <c r="AO742" s="766"/>
      <c r="AP742" s="766"/>
      <c r="AQ742" s="766"/>
      <c r="AR742" s="766"/>
      <c r="AS742" s="770"/>
      <c r="AT742" s="770"/>
      <c r="AU742" s="770"/>
      <c r="AV742" s="770"/>
      <c r="AW742" s="770"/>
      <c r="AX742" s="770"/>
      <c r="AY742" s="770"/>
      <c r="AZ742" s="770"/>
      <c r="BA742" s="770"/>
      <c r="BB742" s="770"/>
      <c r="BC742" s="770"/>
      <c r="BD742" s="770"/>
      <c r="BE742" s="770"/>
      <c r="BF742" s="302"/>
      <c r="BG742" s="302"/>
      <c r="BH742" s="770"/>
      <c r="BI742" s="770"/>
      <c r="BJ742" s="770"/>
      <c r="BK742" s="766"/>
      <c r="BL742" s="766"/>
      <c r="BM742" s="766" t="s">
        <v>1238</v>
      </c>
      <c r="BN742" s="766" t="s">
        <v>1256</v>
      </c>
      <c r="BO742" s="770"/>
      <c r="BP742" s="765"/>
      <c r="BQ742" s="773"/>
      <c r="BR742" s="774"/>
      <c r="BS742" s="766" t="s">
        <v>1242</v>
      </c>
      <c r="BT742" s="770"/>
      <c r="BU742" s="770"/>
      <c r="BV742" s="770"/>
      <c r="BW742" s="770"/>
      <c r="BX742" s="302"/>
      <c r="BY742" s="770"/>
      <c r="BZ742" s="302"/>
      <c r="CA742" s="770"/>
      <c r="CB742" s="770"/>
      <c r="CC742" s="770"/>
      <c r="CD742" s="770"/>
      <c r="CE742" s="302"/>
      <c r="CF742" s="304"/>
      <c r="CG742" s="321"/>
      <c r="CH742" s="770"/>
      <c r="CI742" s="770"/>
      <c r="CJ742" s="770"/>
      <c r="CK742" s="770"/>
      <c r="CL742" s="770"/>
      <c r="CM742" s="770"/>
      <c r="CN742" s="770"/>
      <c r="CO742" s="770"/>
      <c r="CP742" s="770"/>
      <c r="CQ742" s="770"/>
      <c r="CR742" s="302"/>
      <c r="CS742" s="770"/>
      <c r="CT742" s="770"/>
      <c r="CU742" s="305"/>
      <c r="CV742" s="770"/>
      <c r="CW742" s="770"/>
      <c r="CX742" s="770"/>
      <c r="CY742" s="770"/>
      <c r="CZ742" s="770"/>
      <c r="DA742" s="306"/>
      <c r="DB742" s="770"/>
      <c r="DC742" s="770"/>
      <c r="DD742" s="770"/>
      <c r="DE742" s="300"/>
      <c r="DF742" s="770"/>
      <c r="DG742" s="770"/>
      <c r="DH742" s="770"/>
      <c r="DI742" s="770"/>
      <c r="DJ742" s="770"/>
      <c r="DK742" s="770"/>
      <c r="DL742" s="770"/>
      <c r="DM742" s="770"/>
      <c r="DN742" s="322"/>
      <c r="DO742" s="770"/>
      <c r="DP742" s="770"/>
      <c r="DQ742" s="770"/>
      <c r="DR742" s="770"/>
      <c r="DS742" s="307"/>
      <c r="DT742" s="770"/>
      <c r="DU742" s="770"/>
      <c r="DV742" s="770"/>
      <c r="DW742" s="306"/>
      <c r="DX742" s="306"/>
      <c r="DY742" s="1055"/>
      <c r="DZ742" s="770"/>
      <c r="EA742" s="770"/>
      <c r="EB742" s="770"/>
      <c r="EC742" s="770"/>
      <c r="ED742" s="770"/>
      <c r="EE742" s="770"/>
      <c r="EF742" s="770"/>
      <c r="EG742" s="770"/>
      <c r="EH742" s="770"/>
      <c r="EI742" s="770"/>
      <c r="EJ742" s="770"/>
      <c r="EK742" s="770"/>
      <c r="EL742" s="770"/>
      <c r="EM742" s="770"/>
      <c r="EN742" s="770"/>
      <c r="EO742" s="770"/>
      <c r="EP742" s="94"/>
      <c r="EQ742" s="770"/>
      <c r="ER742" s="770"/>
      <c r="ES742" s="770"/>
      <c r="ET742" s="770"/>
      <c r="EU742" s="770"/>
      <c r="EV742" s="770"/>
      <c r="EW742" s="770"/>
      <c r="EX742" s="770"/>
      <c r="EY742" s="770"/>
      <c r="EZ742" s="770"/>
      <c r="FA742" s="770"/>
      <c r="FB742" s="770"/>
      <c r="FC742" s="770"/>
      <c r="FD742" s="302"/>
      <c r="FE742" s="770"/>
      <c r="FF742" s="770"/>
      <c r="FG742" s="770"/>
      <c r="FH742" s="770" t="s">
        <v>1306</v>
      </c>
      <c r="FI742" s="770">
        <v>1</v>
      </c>
      <c r="FJ742" s="766" t="s">
        <v>4887</v>
      </c>
      <c r="FK742" s="770"/>
      <c r="FL742" s="766" t="s">
        <v>4886</v>
      </c>
      <c r="FM742" s="147">
        <v>1500</v>
      </c>
      <c r="FN742" s="302">
        <v>400</v>
      </c>
      <c r="FO742" s="302">
        <v>3000</v>
      </c>
      <c r="FP742" s="770" t="s">
        <v>1600</v>
      </c>
      <c r="FQ742" s="770" t="s">
        <v>1642</v>
      </c>
      <c r="FR742" s="770"/>
      <c r="FS742" s="770"/>
      <c r="FT742" s="770"/>
      <c r="FU742" s="770"/>
      <c r="FV742" s="770"/>
      <c r="FW742" s="770"/>
      <c r="FX742" s="770"/>
      <c r="FY742" s="770"/>
      <c r="FZ742" s="770"/>
      <c r="GA742" s="770"/>
      <c r="GB742" s="770"/>
      <c r="GC742" s="308"/>
      <c r="GD742" s="297"/>
      <c r="GE742" s="770"/>
      <c r="GF742" s="302"/>
      <c r="GG742" s="302"/>
      <c r="GH742" s="770"/>
      <c r="GI742" s="770"/>
      <c r="GJ742" s="770"/>
      <c r="GK742" s="770"/>
      <c r="GL742" s="770"/>
      <c r="GM742" s="770"/>
      <c r="GN742" s="299"/>
      <c r="GO742" s="770"/>
      <c r="GP742" s="770"/>
      <c r="GQ742" s="770"/>
      <c r="GR742" s="770"/>
      <c r="GS742" s="770"/>
      <c r="GT742" s="770"/>
      <c r="GU742" s="770"/>
      <c r="GV742" s="770"/>
      <c r="GW742" s="770"/>
      <c r="GX742" s="770"/>
      <c r="GY742" s="770"/>
      <c r="GZ742" s="770"/>
      <c r="HA742" s="770"/>
      <c r="HB742" s="770"/>
      <c r="HC742" s="770"/>
      <c r="HD742" s="770"/>
      <c r="HE742" s="770"/>
      <c r="HF742" s="770"/>
      <c r="HG742" s="770"/>
      <c r="HH742" s="770"/>
      <c r="HI742" s="770"/>
      <c r="HJ742" s="770"/>
      <c r="HK742" s="770"/>
      <c r="HL742" s="770"/>
      <c r="HM742" s="770"/>
      <c r="HN742" s="770"/>
      <c r="HO742" s="770"/>
      <c r="HP742" s="770"/>
      <c r="HQ742" s="770"/>
      <c r="HR742" s="770"/>
      <c r="HS742" s="770"/>
      <c r="HT742" s="770"/>
      <c r="HU742" s="770"/>
      <c r="HV742" s="770"/>
      <c r="HW742" s="770"/>
      <c r="HX742" s="770"/>
      <c r="HY742" s="770"/>
      <c r="HZ742" s="770"/>
      <c r="IA742" s="770"/>
      <c r="IB742" s="770"/>
      <c r="IC742" s="770"/>
      <c r="ID742" s="770"/>
      <c r="IE742" s="770"/>
      <c r="IF742" s="770"/>
      <c r="IG742" s="770"/>
      <c r="IH742" s="770"/>
      <c r="II742" s="770"/>
      <c r="IJ742" s="770"/>
      <c r="IK742" s="770"/>
      <c r="IL742" s="770"/>
      <c r="IM742" s="770"/>
      <c r="IN742" s="770"/>
      <c r="IO742" s="296"/>
      <c r="IP742" s="770"/>
      <c r="IQ742" s="770"/>
      <c r="IR742" s="770"/>
      <c r="IS742" s="770"/>
      <c r="IT742" s="770"/>
      <c r="IU742" s="770"/>
      <c r="IV742" s="770"/>
      <c r="IW742" s="770"/>
      <c r="IX742" s="770"/>
      <c r="IY742" s="770"/>
      <c r="IZ742" s="770"/>
      <c r="JA742" s="770"/>
      <c r="JB742" s="770"/>
      <c r="JC742" s="770"/>
      <c r="JD742" s="302"/>
      <c r="JE742" s="770"/>
      <c r="JF742" s="770"/>
      <c r="JG742" s="770"/>
      <c r="JH742" s="307"/>
      <c r="JI742" s="307"/>
      <c r="JJ742" s="770">
        <v>2</v>
      </c>
      <c r="JK742" s="770" t="s">
        <v>3194</v>
      </c>
      <c r="JL742" s="770"/>
      <c r="JM742" s="770"/>
      <c r="JN742" s="770">
        <v>1</v>
      </c>
      <c r="JO742" s="770">
        <v>1</v>
      </c>
      <c r="JP742" s="770"/>
      <c r="JQ742" s="770"/>
      <c r="JR742" s="770"/>
      <c r="JS742" s="770"/>
      <c r="JT742" s="766">
        <f t="shared" si="228"/>
        <v>1</v>
      </c>
      <c r="JU742" s="766">
        <f t="shared" si="228"/>
        <v>1</v>
      </c>
      <c r="JV742" s="766"/>
      <c r="JW742" s="766"/>
      <c r="JX742" s="770"/>
      <c r="JY742" s="770"/>
      <c r="JZ742" s="770"/>
      <c r="KA742" s="770"/>
      <c r="KB742" s="770">
        <v>1</v>
      </c>
      <c r="KC742" s="770"/>
      <c r="KD742" s="770"/>
      <c r="KE742" s="770">
        <v>1</v>
      </c>
      <c r="KF742" s="770"/>
      <c r="KG742" s="770"/>
      <c r="KH742" s="770"/>
      <c r="KI742" s="770"/>
      <c r="KJ742" s="770">
        <f t="shared" si="225"/>
        <v>1</v>
      </c>
      <c r="KK742" s="770">
        <f t="shared" si="225"/>
        <v>1</v>
      </c>
      <c r="KL742" s="770"/>
      <c r="KM742" s="770"/>
      <c r="KN742" s="770" t="s">
        <v>722</v>
      </c>
      <c r="KO742" s="770"/>
      <c r="KP742" s="770"/>
      <c r="KQ742" s="770"/>
      <c r="KR742" s="770"/>
      <c r="KS742" s="770"/>
      <c r="KT742" s="770"/>
      <c r="KU742" s="770"/>
      <c r="KV742" s="770"/>
      <c r="KW742" s="770"/>
      <c r="KX742" s="770"/>
      <c r="KY742" s="770"/>
      <c r="KZ742" s="770">
        <v>1</v>
      </c>
      <c r="LA742" s="770"/>
      <c r="LB742" s="770"/>
      <c r="LC742" s="770"/>
      <c r="LD742" s="770"/>
      <c r="LE742" s="770">
        <v>1</v>
      </c>
      <c r="LF742" s="770"/>
      <c r="LG742" s="770"/>
      <c r="LH742" s="770"/>
      <c r="LI742" s="770"/>
      <c r="LJ742" s="770"/>
      <c r="LK742" s="770"/>
      <c r="LL742" s="770"/>
      <c r="LM742" s="770"/>
      <c r="LN742" s="766">
        <f t="shared" si="209"/>
        <v>1</v>
      </c>
      <c r="LO742" s="766">
        <f t="shared" si="209"/>
        <v>1</v>
      </c>
      <c r="LP742" s="770">
        <v>1</v>
      </c>
      <c r="LQ742" s="770"/>
      <c r="LR742" s="770">
        <v>1</v>
      </c>
      <c r="LS742" s="770"/>
      <c r="LT742" s="770"/>
      <c r="LU742" s="770"/>
      <c r="LV742" s="770"/>
      <c r="LW742" s="770"/>
      <c r="LX742" s="769">
        <v>2</v>
      </c>
      <c r="LY742" s="766" t="str">
        <f t="shared" si="210"/>
        <v>within the MUNICIPALITY</v>
      </c>
      <c r="LZ742" s="1709"/>
      <c r="MA742" s="1709">
        <v>500</v>
      </c>
      <c r="MB742" s="1709"/>
      <c r="MC742" s="1679">
        <f t="shared" si="229"/>
        <v>500</v>
      </c>
      <c r="MD742" s="1709"/>
      <c r="ME742" s="1709">
        <f>2500*30</f>
        <v>75000</v>
      </c>
      <c r="MF742" s="1709"/>
      <c r="MG742" s="1680">
        <f t="shared" si="216"/>
        <v>75000</v>
      </c>
      <c r="MH742" s="770" t="s">
        <v>13975</v>
      </c>
      <c r="MI742" s="302">
        <v>5000</v>
      </c>
      <c r="MJ742" s="302">
        <v>500</v>
      </c>
      <c r="MK742" s="302">
        <v>2000</v>
      </c>
      <c r="ML742" s="302">
        <v>2000</v>
      </c>
      <c r="MM742" s="302"/>
      <c r="MN742" s="302">
        <v>4500</v>
      </c>
      <c r="MO742" s="302">
        <v>3000</v>
      </c>
      <c r="MP742" s="302">
        <v>3000</v>
      </c>
      <c r="MQ742" s="302">
        <v>500</v>
      </c>
      <c r="MR742" s="302">
        <v>400</v>
      </c>
      <c r="MS742" s="302">
        <v>5000</v>
      </c>
      <c r="MT742" s="302"/>
      <c r="MU742" s="302"/>
      <c r="MV742" s="302"/>
      <c r="MW742" s="302"/>
      <c r="MX742" s="302"/>
      <c r="MY742" s="1682">
        <f t="shared" si="217"/>
        <v>25900</v>
      </c>
      <c r="MZ742" s="770" t="s">
        <v>13370</v>
      </c>
      <c r="NA742" s="770" t="s">
        <v>13005</v>
      </c>
      <c r="NB742" s="770" t="s">
        <v>13016</v>
      </c>
      <c r="NC742" s="770" t="s">
        <v>13602</v>
      </c>
      <c r="ND742" s="770">
        <v>0</v>
      </c>
      <c r="NE742" s="770">
        <v>1</v>
      </c>
      <c r="NF742" s="770">
        <v>1</v>
      </c>
      <c r="NG742" s="770">
        <v>1</v>
      </c>
      <c r="NH742" s="770">
        <v>1</v>
      </c>
      <c r="NI742" s="770">
        <v>1</v>
      </c>
      <c r="NJ742" s="770">
        <v>1</v>
      </c>
      <c r="NK742" s="770">
        <v>0</v>
      </c>
      <c r="NL742" s="770">
        <v>0</v>
      </c>
      <c r="NM742" s="770">
        <v>1</v>
      </c>
      <c r="NN742" s="770">
        <v>0</v>
      </c>
      <c r="NO742" s="770">
        <v>0</v>
      </c>
      <c r="NP742" s="770">
        <v>0</v>
      </c>
      <c r="NQ742" s="770">
        <v>0</v>
      </c>
      <c r="NR742" s="770">
        <v>0</v>
      </c>
      <c r="NS742" s="770">
        <v>0</v>
      </c>
      <c r="NT742" s="770">
        <v>0</v>
      </c>
      <c r="NU742" s="770">
        <v>0</v>
      </c>
      <c r="NV742" s="770">
        <v>0</v>
      </c>
      <c r="NW742" s="770">
        <v>0</v>
      </c>
      <c r="NX742" s="770">
        <v>0</v>
      </c>
      <c r="NY742" s="770" t="s">
        <v>1208</v>
      </c>
      <c r="NZ742" s="770"/>
      <c r="OA742" s="770"/>
      <c r="OB742" s="770" t="s">
        <v>1208</v>
      </c>
      <c r="OC742" s="770" t="s">
        <v>1208</v>
      </c>
      <c r="OD742" s="770" t="s">
        <v>1208</v>
      </c>
      <c r="OE742" s="770"/>
      <c r="OF742" s="770"/>
      <c r="OG742" s="770"/>
      <c r="OH742" s="770"/>
      <c r="OI742" s="770"/>
      <c r="OJ742" s="770"/>
      <c r="OK742" s="770"/>
      <c r="OL742" s="770"/>
      <c r="OM742" s="770"/>
      <c r="ON742" s="770"/>
      <c r="OO742" s="770"/>
      <c r="OP742" s="770"/>
      <c r="OQ742" s="770"/>
      <c r="OR742" s="770"/>
      <c r="OS742" s="770"/>
      <c r="OT742" s="770"/>
      <c r="OU742" s="770"/>
      <c r="OV742" s="770"/>
      <c r="OW742" s="770"/>
      <c r="OX742" s="770"/>
      <c r="OY742" s="770"/>
      <c r="OZ742" s="770"/>
      <c r="PA742" s="770"/>
      <c r="PB742" s="770"/>
      <c r="PC742" s="770"/>
      <c r="PD742" s="770"/>
      <c r="PE742" s="770"/>
      <c r="PF742" s="770"/>
      <c r="PG742" s="770"/>
      <c r="PH742" s="770"/>
      <c r="PI742" s="770"/>
      <c r="PJ742" s="770"/>
      <c r="PK742" s="770" t="s">
        <v>1208</v>
      </c>
      <c r="PL742" s="770"/>
      <c r="PM742" s="770"/>
      <c r="PN742" s="770"/>
      <c r="PO742" s="770"/>
      <c r="PP742" s="770"/>
      <c r="PQ742" s="770"/>
      <c r="PR742" s="770"/>
      <c r="PS742" s="770" t="s">
        <v>1208</v>
      </c>
      <c r="PT742" s="770" t="s">
        <v>1208</v>
      </c>
      <c r="PU742" s="770"/>
      <c r="PV742" s="770"/>
      <c r="PW742" s="770"/>
      <c r="PX742" s="770"/>
      <c r="PY742" s="770"/>
      <c r="PZ742" s="770"/>
      <c r="QA742" s="770"/>
      <c r="QB742" s="770"/>
      <c r="QC742" s="770"/>
      <c r="QD742" s="770"/>
      <c r="QE742" s="770"/>
      <c r="QF742" s="770"/>
      <c r="QG742" s="770"/>
      <c r="QH742" s="770"/>
      <c r="QI742" s="770"/>
      <c r="QJ742" s="770"/>
      <c r="QK742" s="770"/>
      <c r="QL742" s="770"/>
      <c r="QM742" s="770"/>
      <c r="QN742" s="770"/>
      <c r="QO742" s="770"/>
      <c r="QP742" s="770"/>
      <c r="QQ742" s="770"/>
      <c r="QR742" s="770"/>
      <c r="QS742" s="770"/>
      <c r="QT742" s="770"/>
      <c r="QU742" s="770"/>
      <c r="QV742" s="770"/>
      <c r="QW742" s="770"/>
      <c r="QX742" s="770"/>
      <c r="QY742" s="770"/>
      <c r="QZ742" s="770"/>
      <c r="RA742" s="770"/>
      <c r="RB742" s="770" t="s">
        <v>1214</v>
      </c>
      <c r="RC742" s="770"/>
      <c r="RD742" s="770"/>
      <c r="RE742" s="770"/>
      <c r="RF742" s="304"/>
      <c r="RG742" s="770"/>
      <c r="RH742" s="306"/>
      <c r="RI742" s="770"/>
      <c r="RJ742" s="94" t="s">
        <v>14064</v>
      </c>
      <c r="RK742" s="770" t="s">
        <v>13552</v>
      </c>
      <c r="RL742" s="1710">
        <v>42846</v>
      </c>
      <c r="RM742" s="12"/>
      <c r="RN742" s="1711"/>
      <c r="RO742" s="149" t="s">
        <v>3190</v>
      </c>
      <c r="RP742" s="11"/>
      <c r="RQ742" s="11"/>
      <c r="RR742" s="17"/>
      <c r="RS742" s="767"/>
      <c r="RT742" s="11"/>
      <c r="RU742" s="11"/>
      <c r="RV742" s="771" t="s">
        <v>13974</v>
      </c>
      <c r="RW742" s="11" t="s">
        <v>7450</v>
      </c>
      <c r="RX742" s="11" t="s">
        <v>3178</v>
      </c>
      <c r="RY742" s="11"/>
      <c r="RZ742" s="11"/>
      <c r="SA742" s="771"/>
      <c r="SB742" s="11"/>
      <c r="SC742" s="11"/>
    </row>
    <row r="743" spans="1:497" ht="12.75" hidden="1" customHeight="1">
      <c r="A743" s="19" t="s">
        <v>7419</v>
      </c>
      <c r="B743" s="292" t="s">
        <v>8065</v>
      </c>
      <c r="C743" s="149" t="s">
        <v>4890</v>
      </c>
      <c r="D743" s="94" t="s">
        <v>4869</v>
      </c>
      <c r="E743" s="766" t="s">
        <v>3185</v>
      </c>
      <c r="F743" s="770" t="s">
        <v>28</v>
      </c>
      <c r="G743" s="770" t="s">
        <v>10</v>
      </c>
      <c r="H743" s="770"/>
      <c r="I743" s="295"/>
      <c r="J743" s="94" t="s">
        <v>4869</v>
      </c>
      <c r="K743" s="766" t="s">
        <v>4891</v>
      </c>
      <c r="L743" s="766" t="s">
        <v>4863</v>
      </c>
      <c r="M743" s="770" t="s">
        <v>1238</v>
      </c>
      <c r="N743" s="1757"/>
      <c r="O743" s="1757" t="s">
        <v>4864</v>
      </c>
      <c r="P743" s="770" t="s">
        <v>4892</v>
      </c>
      <c r="Q743" s="1088">
        <v>29119</v>
      </c>
      <c r="R743" s="297">
        <v>37</v>
      </c>
      <c r="S743" s="770" t="s">
        <v>10</v>
      </c>
      <c r="T743" s="770"/>
      <c r="U743" s="295"/>
      <c r="V743" s="770" t="s">
        <v>722</v>
      </c>
      <c r="W743" s="770"/>
      <c r="X743" s="770"/>
      <c r="Y743" s="770" t="s">
        <v>3185</v>
      </c>
      <c r="Z743" s="770" t="s">
        <v>708</v>
      </c>
      <c r="AA743" s="770" t="s">
        <v>709</v>
      </c>
      <c r="AB743" s="770" t="s">
        <v>710</v>
      </c>
      <c r="AC743" s="770"/>
      <c r="AD743" s="770"/>
      <c r="AE743" s="770"/>
      <c r="AF743" s="770"/>
      <c r="AG743" s="766" t="s">
        <v>1132</v>
      </c>
      <c r="AH743" s="766" t="s">
        <v>1096</v>
      </c>
      <c r="AI743" s="770"/>
      <c r="AJ743" s="770" t="s">
        <v>1137</v>
      </c>
      <c r="AK743" s="770" t="s">
        <v>1097</v>
      </c>
      <c r="AL743" s="531"/>
      <c r="AM743" s="780"/>
      <c r="AN743" s="532"/>
      <c r="AO743" s="766"/>
      <c r="AP743" s="766" t="s">
        <v>5368</v>
      </c>
      <c r="AQ743" s="766" t="s">
        <v>7217</v>
      </c>
      <c r="AR743" s="766"/>
      <c r="AS743" s="770" t="s">
        <v>1207</v>
      </c>
      <c r="AT743" s="770"/>
      <c r="AU743" s="770" t="s">
        <v>1208</v>
      </c>
      <c r="AV743" s="770"/>
      <c r="AW743" s="770"/>
      <c r="AX743" s="770"/>
      <c r="AY743" s="770"/>
      <c r="AZ743" s="770"/>
      <c r="BA743" s="770"/>
      <c r="BB743" s="770"/>
      <c r="BC743" s="770"/>
      <c r="BD743" s="770"/>
      <c r="BE743" s="770"/>
      <c r="BF743" s="302"/>
      <c r="BG743" s="302"/>
      <c r="BH743" s="770"/>
      <c r="BI743" s="770"/>
      <c r="BJ743" s="770"/>
      <c r="BK743" s="766"/>
      <c r="BL743" s="766"/>
      <c r="BM743" s="766"/>
      <c r="BN743" s="766"/>
      <c r="BO743" s="770"/>
      <c r="BP743" s="765"/>
      <c r="BQ743" s="773"/>
      <c r="BR743" s="774"/>
      <c r="BS743" s="766"/>
      <c r="BT743" s="770"/>
      <c r="BU743" s="770"/>
      <c r="BV743" s="770"/>
      <c r="BW743" s="770"/>
      <c r="BX743" s="302"/>
      <c r="BY743" s="770"/>
      <c r="BZ743" s="302"/>
      <c r="CA743" s="770"/>
      <c r="CB743" s="770" t="s">
        <v>1207</v>
      </c>
      <c r="CC743" s="770"/>
      <c r="CD743" s="770"/>
      <c r="CE743" s="302"/>
      <c r="CF743" s="304"/>
      <c r="CG743" s="321"/>
      <c r="CH743" s="770"/>
      <c r="CI743" s="770"/>
      <c r="CJ743" s="770"/>
      <c r="CK743" s="770"/>
      <c r="CL743" s="770"/>
      <c r="CM743" s="770"/>
      <c r="CN743" s="770"/>
      <c r="CO743" s="770"/>
      <c r="CP743" s="770"/>
      <c r="CQ743" s="770"/>
      <c r="CR743" s="302"/>
      <c r="CS743" s="770"/>
      <c r="CT743" s="770"/>
      <c r="CU743" s="305"/>
      <c r="CV743" s="770"/>
      <c r="CW743" s="770"/>
      <c r="CX743" s="770"/>
      <c r="CY743" s="770"/>
      <c r="CZ743" s="770"/>
      <c r="DA743" s="306"/>
      <c r="DB743" s="770"/>
      <c r="DC743" s="770"/>
      <c r="DD743" s="770"/>
      <c r="DE743" s="300"/>
      <c r="DF743" s="770"/>
      <c r="DG743" s="770"/>
      <c r="DH743" s="770"/>
      <c r="DI743" s="770"/>
      <c r="DJ743" s="770"/>
      <c r="DK743" s="770"/>
      <c r="DL743" s="770"/>
      <c r="DM743" s="770"/>
      <c r="DN743" s="322"/>
      <c r="DO743" s="770"/>
      <c r="DP743" s="770"/>
      <c r="DQ743" s="770"/>
      <c r="DR743" s="770"/>
      <c r="DS743" s="307"/>
      <c r="DT743" s="770"/>
      <c r="DU743" s="770"/>
      <c r="DV743" s="770"/>
      <c r="DW743" s="306"/>
      <c r="DX743" s="306"/>
      <c r="DY743" s="1055"/>
      <c r="DZ743" s="770"/>
      <c r="EA743" s="770"/>
      <c r="EB743" s="770"/>
      <c r="EC743" s="770"/>
      <c r="ED743" s="770"/>
      <c r="EE743" s="770"/>
      <c r="EF743" s="770"/>
      <c r="EG743" s="770"/>
      <c r="EH743" s="770"/>
      <c r="EI743" s="770"/>
      <c r="EJ743" s="770"/>
      <c r="EK743" s="770"/>
      <c r="EL743" s="770"/>
      <c r="EM743" s="770"/>
      <c r="EN743" s="770"/>
      <c r="EO743" s="770"/>
      <c r="EP743" s="94"/>
      <c r="EQ743" s="770"/>
      <c r="ER743" s="770"/>
      <c r="ES743" s="770"/>
      <c r="ET743" s="770"/>
      <c r="EU743" s="770"/>
      <c r="EV743" s="770"/>
      <c r="EW743" s="770"/>
      <c r="EX743" s="770"/>
      <c r="EY743" s="770"/>
      <c r="EZ743" s="770" t="s">
        <v>4874</v>
      </c>
      <c r="FA743" s="770" t="s">
        <v>4893</v>
      </c>
      <c r="FB743" s="770" t="s">
        <v>1257</v>
      </c>
      <c r="FC743" s="770"/>
      <c r="FD743" s="302"/>
      <c r="FE743" s="770" t="s">
        <v>4894</v>
      </c>
      <c r="FF743" s="770"/>
      <c r="FG743" s="770" t="s">
        <v>4895</v>
      </c>
      <c r="FH743" s="770" t="s">
        <v>478</v>
      </c>
      <c r="FI743" s="770">
        <v>1</v>
      </c>
      <c r="FJ743" s="770"/>
      <c r="FK743" s="770"/>
      <c r="FL743" s="770"/>
      <c r="FM743" s="302"/>
      <c r="FN743" s="302"/>
      <c r="FO743" s="302"/>
      <c r="FP743" s="770" t="s">
        <v>1600</v>
      </c>
      <c r="FQ743" s="770" t="s">
        <v>1642</v>
      </c>
      <c r="FR743" s="770" t="s">
        <v>1214</v>
      </c>
      <c r="FS743" s="770"/>
      <c r="FT743" s="770"/>
      <c r="FU743" s="770"/>
      <c r="FV743" s="770"/>
      <c r="FW743" s="770"/>
      <c r="FX743" s="770"/>
      <c r="FY743" s="770"/>
      <c r="FZ743" s="770"/>
      <c r="GA743" s="770"/>
      <c r="GB743" s="770" t="s">
        <v>1696</v>
      </c>
      <c r="GC743" s="308"/>
      <c r="GD743" s="297">
        <v>2007</v>
      </c>
      <c r="GE743" s="770" t="s">
        <v>1214</v>
      </c>
      <c r="GF743" s="302"/>
      <c r="GG743" s="302"/>
      <c r="GH743" s="770"/>
      <c r="GI743" s="770"/>
      <c r="GJ743" s="770"/>
      <c r="GK743" s="770"/>
      <c r="GL743" s="770"/>
      <c r="GM743" s="770"/>
      <c r="GN743" s="299"/>
      <c r="GO743" s="770"/>
      <c r="GP743" s="770"/>
      <c r="GQ743" s="770"/>
      <c r="GR743" s="770"/>
      <c r="GS743" s="770"/>
      <c r="GT743" s="770"/>
      <c r="GU743" s="770"/>
      <c r="GV743" s="770"/>
      <c r="GW743" s="770"/>
      <c r="GX743" s="770"/>
      <c r="GY743" s="770"/>
      <c r="GZ743" s="770"/>
      <c r="HA743" s="770"/>
      <c r="HB743" s="770"/>
      <c r="HC743" s="770"/>
      <c r="HD743" s="770"/>
      <c r="HE743" s="770"/>
      <c r="HF743" s="770"/>
      <c r="HG743" s="770"/>
      <c r="HH743" s="770"/>
      <c r="HI743" s="770"/>
      <c r="HJ743" s="770"/>
      <c r="HK743" s="770"/>
      <c r="HL743" s="770"/>
      <c r="HM743" s="770"/>
      <c r="HN743" s="770"/>
      <c r="HO743" s="770"/>
      <c r="HP743" s="770"/>
      <c r="HQ743" s="770"/>
      <c r="HR743" s="770">
        <v>1</v>
      </c>
      <c r="HS743" s="770"/>
      <c r="HT743" s="770">
        <v>1</v>
      </c>
      <c r="HU743" s="770"/>
      <c r="HV743" s="770"/>
      <c r="HW743" s="770"/>
      <c r="HX743" s="770"/>
      <c r="HY743" s="770"/>
      <c r="HZ743" s="770"/>
      <c r="IA743" s="770"/>
      <c r="IB743" s="770"/>
      <c r="IC743" s="770"/>
      <c r="ID743" s="770"/>
      <c r="IE743" s="770"/>
      <c r="IF743" s="770"/>
      <c r="IG743" s="770"/>
      <c r="IH743" s="770"/>
      <c r="II743" s="770"/>
      <c r="IJ743" s="770"/>
      <c r="IK743" s="770"/>
      <c r="IL743" s="770"/>
      <c r="IM743" s="770"/>
      <c r="IN743" s="770"/>
      <c r="IO743" s="296"/>
      <c r="IP743" s="770"/>
      <c r="IQ743" s="770"/>
      <c r="IR743" s="770"/>
      <c r="IS743" s="770"/>
      <c r="IT743" s="770"/>
      <c r="IU743" s="770"/>
      <c r="IV743" s="770"/>
      <c r="IW743" s="770"/>
      <c r="IX743" s="770"/>
      <c r="IY743" s="770"/>
      <c r="IZ743" s="770"/>
      <c r="JA743" s="770"/>
      <c r="JB743" s="770"/>
      <c r="JC743" s="770"/>
      <c r="JD743" s="302"/>
      <c r="JE743" s="770"/>
      <c r="JF743" s="770"/>
      <c r="JG743" s="770"/>
      <c r="JH743" s="307"/>
      <c r="JI743" s="307"/>
      <c r="JJ743" s="770">
        <v>8</v>
      </c>
      <c r="JK743" s="770" t="s">
        <v>4874</v>
      </c>
      <c r="JL743" s="770">
        <v>2</v>
      </c>
      <c r="JM743" s="770"/>
      <c r="JN743" s="770">
        <v>3</v>
      </c>
      <c r="JO743" s="770">
        <v>3</v>
      </c>
      <c r="JP743" s="770"/>
      <c r="JQ743" s="770"/>
      <c r="JR743" s="770"/>
      <c r="JS743" s="770"/>
      <c r="JT743" s="766">
        <f t="shared" si="228"/>
        <v>5</v>
      </c>
      <c r="JU743" s="766">
        <f t="shared" si="228"/>
        <v>3</v>
      </c>
      <c r="JV743" s="766"/>
      <c r="JW743" s="766"/>
      <c r="JX743" s="770"/>
      <c r="JY743" s="770"/>
      <c r="JZ743" s="770">
        <v>2</v>
      </c>
      <c r="KA743" s="770"/>
      <c r="KB743" s="770">
        <v>1</v>
      </c>
      <c r="KC743" s="770">
        <v>1</v>
      </c>
      <c r="KD743" s="770">
        <v>2</v>
      </c>
      <c r="KE743" s="770">
        <v>2</v>
      </c>
      <c r="KF743" s="770"/>
      <c r="KG743" s="770"/>
      <c r="KH743" s="770"/>
      <c r="KI743" s="770"/>
      <c r="KJ743" s="770">
        <f t="shared" si="225"/>
        <v>5</v>
      </c>
      <c r="KK743" s="770">
        <f t="shared" si="225"/>
        <v>3</v>
      </c>
      <c r="KL743" s="770"/>
      <c r="KM743" s="770"/>
      <c r="KN743" s="770" t="s">
        <v>722</v>
      </c>
      <c r="KO743" s="770"/>
      <c r="KP743" s="770"/>
      <c r="KQ743" s="770"/>
      <c r="KR743" s="770"/>
      <c r="KS743" s="770"/>
      <c r="KT743" s="770"/>
      <c r="KU743" s="770"/>
      <c r="KV743" s="770"/>
      <c r="KW743" s="770"/>
      <c r="KX743" s="770">
        <v>2</v>
      </c>
      <c r="KY743" s="770"/>
      <c r="KZ743" s="770">
        <v>1</v>
      </c>
      <c r="LA743" s="770"/>
      <c r="LB743" s="770">
        <v>2</v>
      </c>
      <c r="LC743" s="770">
        <v>2</v>
      </c>
      <c r="LD743" s="770"/>
      <c r="LE743" s="770">
        <v>1</v>
      </c>
      <c r="LF743" s="770"/>
      <c r="LG743" s="770"/>
      <c r="LH743" s="770"/>
      <c r="LI743" s="770"/>
      <c r="LJ743" s="770"/>
      <c r="LK743" s="770"/>
      <c r="LL743" s="770"/>
      <c r="LM743" s="770"/>
      <c r="LN743" s="766">
        <f t="shared" ref="LN743:LO806" si="230">SUM(KP743,KR743,KT743,KV743,KX743,KZ743,LB743,LD743,LF743,LH743,LJ743,LL743)</f>
        <v>5</v>
      </c>
      <c r="LO743" s="766">
        <f t="shared" si="230"/>
        <v>3</v>
      </c>
      <c r="LP743" s="770">
        <v>3</v>
      </c>
      <c r="LQ743" s="770">
        <v>3</v>
      </c>
      <c r="LR743" s="770"/>
      <c r="LS743" s="770">
        <v>1</v>
      </c>
      <c r="LT743" s="770"/>
      <c r="LU743" s="770">
        <v>3</v>
      </c>
      <c r="LV743" s="770"/>
      <c r="LW743" s="770"/>
      <c r="LX743" s="769">
        <v>2</v>
      </c>
      <c r="LY743" s="766" t="str">
        <f t="shared" si="210"/>
        <v>within the MUNICIPALITY</v>
      </c>
      <c r="LZ743" s="1709">
        <f>300*26</f>
        <v>7800</v>
      </c>
      <c r="MA743" s="1709"/>
      <c r="MB743" s="1709"/>
      <c r="MC743" s="1679">
        <f t="shared" si="229"/>
        <v>7800</v>
      </c>
      <c r="MD743" s="1709">
        <f>SUM(35000,76000,1500*26)</f>
        <v>150000</v>
      </c>
      <c r="ME743" s="1709"/>
      <c r="MF743" s="1709"/>
      <c r="MG743" s="1680">
        <f t="shared" si="216"/>
        <v>150000</v>
      </c>
      <c r="MH743" s="770" t="s">
        <v>4896</v>
      </c>
      <c r="MI743" s="302">
        <f>800*30</f>
        <v>24000</v>
      </c>
      <c r="MJ743" s="302">
        <v>3000</v>
      </c>
      <c r="MK743" s="302">
        <v>5000</v>
      </c>
      <c r="ML743" s="302">
        <v>800</v>
      </c>
      <c r="MM743" s="302">
        <v>600</v>
      </c>
      <c r="MN743" s="302">
        <v>500</v>
      </c>
      <c r="MO743" s="302">
        <v>1500</v>
      </c>
      <c r="MP743" s="302">
        <v>2500</v>
      </c>
      <c r="MQ743" s="302">
        <v>4300</v>
      </c>
      <c r="MR743" s="302">
        <v>2400</v>
      </c>
      <c r="MS743" s="302">
        <v>35000</v>
      </c>
      <c r="MT743" s="302"/>
      <c r="MU743" s="302"/>
      <c r="MV743" s="302"/>
      <c r="MW743" s="302"/>
      <c r="MX743" s="302"/>
      <c r="MY743" s="1682">
        <f t="shared" si="217"/>
        <v>79600</v>
      </c>
      <c r="MZ743" s="770" t="s">
        <v>13370</v>
      </c>
      <c r="NA743" s="770" t="s">
        <v>13005</v>
      </c>
      <c r="NB743" s="770" t="s">
        <v>13016</v>
      </c>
      <c r="NC743" s="770" t="s">
        <v>13602</v>
      </c>
      <c r="ND743" s="770">
        <v>2</v>
      </c>
      <c r="NE743" s="770">
        <v>2</v>
      </c>
      <c r="NF743" s="770">
        <v>1</v>
      </c>
      <c r="NG743" s="770">
        <v>6</v>
      </c>
      <c r="NH743" s="770">
        <v>3</v>
      </c>
      <c r="NI743" s="770">
        <v>0</v>
      </c>
      <c r="NJ743" s="770">
        <v>0</v>
      </c>
      <c r="NK743" s="770">
        <v>0</v>
      </c>
      <c r="NL743" s="770">
        <v>2</v>
      </c>
      <c r="NM743" s="770">
        <v>1</v>
      </c>
      <c r="NN743" s="770">
        <v>0</v>
      </c>
      <c r="NO743" s="770">
        <v>0</v>
      </c>
      <c r="NP743" s="770">
        <v>0</v>
      </c>
      <c r="NQ743" s="770">
        <v>0</v>
      </c>
      <c r="NR743" s="770">
        <v>0</v>
      </c>
      <c r="NS743" s="770">
        <v>0</v>
      </c>
      <c r="NT743" s="770">
        <v>0</v>
      </c>
      <c r="NU743" s="770">
        <v>0</v>
      </c>
      <c r="NV743" s="770">
        <v>0</v>
      </c>
      <c r="NW743" s="770">
        <v>0</v>
      </c>
      <c r="NX743" s="770">
        <v>0</v>
      </c>
      <c r="NY743" s="770"/>
      <c r="NZ743" s="770"/>
      <c r="OA743" s="770"/>
      <c r="OB743" s="770"/>
      <c r="OC743" s="770" t="s">
        <v>1208</v>
      </c>
      <c r="OD743" s="770"/>
      <c r="OE743" s="770"/>
      <c r="OF743" s="770"/>
      <c r="OG743" s="770"/>
      <c r="OH743" s="770"/>
      <c r="OI743" s="770"/>
      <c r="OJ743" s="770"/>
      <c r="OK743" s="770"/>
      <c r="OL743" s="770"/>
      <c r="OM743" s="770"/>
      <c r="ON743" s="770"/>
      <c r="OO743" s="770"/>
      <c r="OP743" s="770"/>
      <c r="OQ743" s="770"/>
      <c r="OR743" s="770"/>
      <c r="OS743" s="770"/>
      <c r="OT743" s="770"/>
      <c r="OU743" s="770"/>
      <c r="OV743" s="770"/>
      <c r="OW743" s="770"/>
      <c r="OX743" s="770"/>
      <c r="OY743" s="770"/>
      <c r="OZ743" s="770"/>
      <c r="PA743" s="770"/>
      <c r="PB743" s="770"/>
      <c r="PC743" s="770"/>
      <c r="PD743" s="770"/>
      <c r="PE743" s="770"/>
      <c r="PF743" s="770"/>
      <c r="PG743" s="770"/>
      <c r="PH743" s="770"/>
      <c r="PI743" s="770"/>
      <c r="PJ743" s="770"/>
      <c r="PK743" s="770" t="s">
        <v>1208</v>
      </c>
      <c r="PL743" s="770"/>
      <c r="PM743" s="770"/>
      <c r="PN743" s="770"/>
      <c r="PO743" s="770"/>
      <c r="PP743" s="770"/>
      <c r="PQ743" s="770"/>
      <c r="PR743" s="770"/>
      <c r="PS743" s="770"/>
      <c r="PT743" s="770"/>
      <c r="PU743" s="770"/>
      <c r="PV743" s="770"/>
      <c r="PW743" s="770"/>
      <c r="PX743" s="770"/>
      <c r="PY743" s="770"/>
      <c r="PZ743" s="770"/>
      <c r="QA743" s="770"/>
      <c r="QB743" s="770"/>
      <c r="QC743" s="770"/>
      <c r="QD743" s="770"/>
      <c r="QE743" s="770"/>
      <c r="QF743" s="770"/>
      <c r="QG743" s="770"/>
      <c r="QH743" s="770"/>
      <c r="QI743" s="770"/>
      <c r="QJ743" s="770"/>
      <c r="QK743" s="770"/>
      <c r="QL743" s="770"/>
      <c r="QM743" s="770"/>
      <c r="QN743" s="770"/>
      <c r="QO743" s="770"/>
      <c r="QP743" s="770"/>
      <c r="QQ743" s="770"/>
      <c r="QR743" s="770"/>
      <c r="QS743" s="770"/>
      <c r="QT743" s="770"/>
      <c r="QU743" s="770"/>
      <c r="QV743" s="770"/>
      <c r="QW743" s="770"/>
      <c r="QX743" s="770"/>
      <c r="QY743" s="770"/>
      <c r="QZ743" s="770"/>
      <c r="RA743" s="770"/>
      <c r="RB743" s="770" t="s">
        <v>1214</v>
      </c>
      <c r="RC743" s="770"/>
      <c r="RD743" s="770"/>
      <c r="RE743" s="770"/>
      <c r="RF743" s="304"/>
      <c r="RG743" s="770"/>
      <c r="RH743" s="306"/>
      <c r="RI743" s="770"/>
      <c r="RJ743" s="94" t="s">
        <v>4874</v>
      </c>
      <c r="RK743" s="770" t="s">
        <v>13544</v>
      </c>
      <c r="RL743" s="1710">
        <v>42846</v>
      </c>
      <c r="RM743" s="12"/>
      <c r="RN743" s="1711"/>
      <c r="RO743" s="149" t="s">
        <v>4890</v>
      </c>
      <c r="RP743" s="11"/>
      <c r="RQ743" s="11"/>
      <c r="RR743" s="17"/>
      <c r="RS743" s="767"/>
      <c r="RT743" s="11"/>
      <c r="RU743" s="11"/>
      <c r="RV743" s="771" t="s">
        <v>7419</v>
      </c>
      <c r="RW743" s="11" t="s">
        <v>7451</v>
      </c>
      <c r="RX743" s="11" t="s">
        <v>3190</v>
      </c>
      <c r="RY743" s="11"/>
      <c r="RZ743" s="11" t="s">
        <v>2209</v>
      </c>
      <c r="SA743" s="771"/>
      <c r="SB743" s="11"/>
      <c r="SC743" s="11"/>
    </row>
    <row r="744" spans="1:497" ht="12.75" customHeight="1">
      <c r="A744" s="19" t="s">
        <v>7421</v>
      </c>
      <c r="B744" s="292" t="s">
        <v>7453</v>
      </c>
      <c r="C744" s="149" t="s">
        <v>4897</v>
      </c>
      <c r="D744" s="94" t="s">
        <v>4898</v>
      </c>
      <c r="E744" s="766" t="s">
        <v>4899</v>
      </c>
      <c r="F744" s="770" t="s">
        <v>28</v>
      </c>
      <c r="G744" s="770" t="s">
        <v>18</v>
      </c>
      <c r="H744" s="770"/>
      <c r="I744" s="295" t="s">
        <v>4900</v>
      </c>
      <c r="J744" s="94" t="s">
        <v>4898</v>
      </c>
      <c r="K744" s="766" t="s">
        <v>4883</v>
      </c>
      <c r="L744" s="766" t="s">
        <v>4755</v>
      </c>
      <c r="M744" s="770" t="s">
        <v>1238</v>
      </c>
      <c r="N744" s="1757"/>
      <c r="O744" s="1757" t="s">
        <v>4864</v>
      </c>
      <c r="P744" s="94" t="s">
        <v>4901</v>
      </c>
      <c r="Q744" s="1088">
        <v>22930</v>
      </c>
      <c r="R744" s="297">
        <v>54</v>
      </c>
      <c r="S744" s="770" t="s">
        <v>18</v>
      </c>
      <c r="T744" s="770"/>
      <c r="U744" s="295" t="s">
        <v>4900</v>
      </c>
      <c r="V744" s="770" t="s">
        <v>707</v>
      </c>
      <c r="W744" s="770"/>
      <c r="X744" s="770"/>
      <c r="Y744" s="770" t="s">
        <v>4899</v>
      </c>
      <c r="Z744" s="770" t="s">
        <v>708</v>
      </c>
      <c r="AA744" s="770" t="s">
        <v>865</v>
      </c>
      <c r="AB744" s="770" t="s">
        <v>710</v>
      </c>
      <c r="AC744" s="770" t="s">
        <v>724</v>
      </c>
      <c r="AD744" s="770" t="s">
        <v>711</v>
      </c>
      <c r="AE744" s="770"/>
      <c r="AF744" s="770" t="s">
        <v>712</v>
      </c>
      <c r="AG744" s="766" t="s">
        <v>1132</v>
      </c>
      <c r="AH744" s="766" t="s">
        <v>1096</v>
      </c>
      <c r="AI744" s="770"/>
      <c r="AJ744" s="770" t="s">
        <v>1137</v>
      </c>
      <c r="AK744" s="770" t="s">
        <v>1101</v>
      </c>
      <c r="AL744" s="531">
        <v>17.5</v>
      </c>
      <c r="AM744" s="780">
        <v>9.1</v>
      </c>
      <c r="AN744" s="532">
        <f>AM744/AL744</f>
        <v>0.52</v>
      </c>
      <c r="AO744" s="766" t="s">
        <v>1105</v>
      </c>
      <c r="AP744" s="766"/>
      <c r="AQ744" s="766"/>
      <c r="AR744" s="766"/>
      <c r="AS744" s="770"/>
      <c r="AT744" s="770"/>
      <c r="AU744" s="770"/>
      <c r="AV744" s="770"/>
      <c r="AW744" s="770"/>
      <c r="AX744" s="770"/>
      <c r="AY744" s="770"/>
      <c r="AZ744" s="770"/>
      <c r="BA744" s="770"/>
      <c r="BB744" s="770"/>
      <c r="BC744" s="770"/>
      <c r="BD744" s="770"/>
      <c r="BE744" s="770"/>
      <c r="BF744" s="302"/>
      <c r="BG744" s="302"/>
      <c r="BH744" s="770"/>
      <c r="BI744" s="770"/>
      <c r="BJ744" s="770"/>
      <c r="BK744" s="766" t="s">
        <v>1095</v>
      </c>
      <c r="BL744" s="766" t="s">
        <v>4902</v>
      </c>
      <c r="BM744" s="766" t="s">
        <v>1096</v>
      </c>
      <c r="BN744" s="766" t="s">
        <v>1230</v>
      </c>
      <c r="BO744" s="770" t="s">
        <v>1333</v>
      </c>
      <c r="BP744" s="1109">
        <v>17.5</v>
      </c>
      <c r="BQ744" s="773">
        <v>9.1</v>
      </c>
      <c r="BR744" s="774">
        <f>BQ744/BP744</f>
        <v>0.52</v>
      </c>
      <c r="BS744" s="766" t="s">
        <v>1105</v>
      </c>
      <c r="BT744" s="766" t="s">
        <v>8133</v>
      </c>
      <c r="BU744" s="770" t="s">
        <v>1249</v>
      </c>
      <c r="BV744" s="770" t="s">
        <v>1247</v>
      </c>
      <c r="BW744" s="770">
        <v>1979</v>
      </c>
      <c r="BX744" s="302"/>
      <c r="BY744" s="770"/>
      <c r="BZ744" s="302"/>
      <c r="CA744" s="770"/>
      <c r="CB744" s="770"/>
      <c r="CC744" s="770"/>
      <c r="CD744" s="770"/>
      <c r="CE744" s="302"/>
      <c r="CF744" s="304"/>
      <c r="CG744" s="321"/>
      <c r="CH744" s="770"/>
      <c r="CI744" s="770"/>
      <c r="CJ744" s="770"/>
      <c r="CK744" s="770"/>
      <c r="CL744" s="770"/>
      <c r="CM744" s="770"/>
      <c r="CN744" s="770"/>
      <c r="CO744" s="770"/>
      <c r="CP744" s="770"/>
      <c r="CQ744" s="770"/>
      <c r="CR744" s="302"/>
      <c r="CS744" s="770"/>
      <c r="CT744" s="770"/>
      <c r="CU744" s="305"/>
      <c r="CV744" s="770"/>
      <c r="CW744" s="770"/>
      <c r="CX744" s="770"/>
      <c r="CY744" s="770"/>
      <c r="CZ744" s="770"/>
      <c r="DA744" s="306"/>
      <c r="DB744" s="770"/>
      <c r="DC744" s="770"/>
      <c r="DD744" s="770"/>
      <c r="DE744" s="300"/>
      <c r="DF744" s="770"/>
      <c r="DG744" s="770"/>
      <c r="DH744" s="770"/>
      <c r="DI744" s="770"/>
      <c r="DJ744" s="770"/>
      <c r="DK744" s="770"/>
      <c r="DL744" s="770"/>
      <c r="DM744" s="770"/>
      <c r="DN744" s="322"/>
      <c r="DO744" s="770"/>
      <c r="DP744" s="770"/>
      <c r="DQ744" s="770"/>
      <c r="DR744" s="770"/>
      <c r="DS744" s="307"/>
      <c r="DT744" s="770"/>
      <c r="DU744" s="770"/>
      <c r="DV744" s="770"/>
      <c r="DW744" s="306"/>
      <c r="DX744" s="306"/>
      <c r="DY744" s="1055"/>
      <c r="DZ744" s="770"/>
      <c r="EA744" s="770"/>
      <c r="EB744" s="770"/>
      <c r="EC744" s="770"/>
      <c r="ED744" s="770"/>
      <c r="EE744" s="770"/>
      <c r="EF744" s="770"/>
      <c r="EG744" s="770"/>
      <c r="EH744" s="770"/>
      <c r="EI744" s="770"/>
      <c r="EJ744" s="770"/>
      <c r="EK744" s="770"/>
      <c r="EL744" s="770"/>
      <c r="EM744" s="770"/>
      <c r="EN744" s="770"/>
      <c r="EO744" s="770"/>
      <c r="EP744" s="94"/>
      <c r="EQ744" s="770"/>
      <c r="ER744" s="770"/>
      <c r="ES744" s="770"/>
      <c r="ET744" s="770"/>
      <c r="EU744" s="770"/>
      <c r="EV744" s="770"/>
      <c r="EW744" s="770"/>
      <c r="EX744" s="770"/>
      <c r="EY744" s="770"/>
      <c r="EZ744" s="770"/>
      <c r="FA744" s="770"/>
      <c r="FB744" s="770"/>
      <c r="FC744" s="770"/>
      <c r="FD744" s="302"/>
      <c r="FE744" s="770"/>
      <c r="FF744" s="770"/>
      <c r="FG744" s="770"/>
      <c r="FH744" s="770" t="s">
        <v>478</v>
      </c>
      <c r="FI744" s="770">
        <v>4</v>
      </c>
      <c r="FJ744" s="770"/>
      <c r="FK744" s="770"/>
      <c r="FL744" s="770"/>
      <c r="FM744" s="302"/>
      <c r="FN744" s="302"/>
      <c r="FO744" s="302"/>
      <c r="FP744" s="766" t="s">
        <v>1602</v>
      </c>
      <c r="FQ744" s="766" t="s">
        <v>1660</v>
      </c>
      <c r="FR744" s="770" t="s">
        <v>1214</v>
      </c>
      <c r="FS744" s="770"/>
      <c r="FT744" s="770"/>
      <c r="FU744" s="770"/>
      <c r="FV744" s="770"/>
      <c r="FW744" s="770"/>
      <c r="FX744" s="770"/>
      <c r="FY744" s="770"/>
      <c r="FZ744" s="770"/>
      <c r="GA744" s="770"/>
      <c r="GB744" s="770" t="s">
        <v>1734</v>
      </c>
      <c r="GC744" s="308"/>
      <c r="GD744" s="297">
        <v>1979</v>
      </c>
      <c r="GE744" s="770" t="s">
        <v>1214</v>
      </c>
      <c r="GF744" s="302"/>
      <c r="GG744" s="302"/>
      <c r="GH744" s="1811" t="s">
        <v>1791</v>
      </c>
      <c r="GI744" s="770"/>
      <c r="GJ744" s="770" t="s">
        <v>4903</v>
      </c>
      <c r="GK744" s="770" t="s">
        <v>2335</v>
      </c>
      <c r="GL744" s="770"/>
      <c r="GM744" s="770"/>
      <c r="GN744" s="299" t="s">
        <v>2769</v>
      </c>
      <c r="GO744" s="770" t="s">
        <v>2770</v>
      </c>
      <c r="GP744" s="770"/>
      <c r="GQ744" s="770" t="s">
        <v>1208</v>
      </c>
      <c r="GR744" s="770" t="s">
        <v>1208</v>
      </c>
      <c r="GS744" s="770"/>
      <c r="GT744" s="770"/>
      <c r="GU744" s="770"/>
      <c r="GV744" s="770"/>
      <c r="GW744" s="770" t="s">
        <v>1207</v>
      </c>
      <c r="GX744" s="770"/>
      <c r="GY744" s="770" t="s">
        <v>1208</v>
      </c>
      <c r="GZ744" s="770" t="s">
        <v>1208</v>
      </c>
      <c r="HA744" s="770" t="s">
        <v>1208</v>
      </c>
      <c r="HB744" s="770"/>
      <c r="HC744" s="770" t="s">
        <v>1208</v>
      </c>
      <c r="HD744" s="770" t="s">
        <v>1208</v>
      </c>
      <c r="HE744" s="770"/>
      <c r="HF744" s="770"/>
      <c r="HG744" s="770"/>
      <c r="HH744" s="770"/>
      <c r="HI744" s="770" t="s">
        <v>1214</v>
      </c>
      <c r="HJ744" s="770"/>
      <c r="HK744" s="770"/>
      <c r="HL744" s="770"/>
      <c r="HM744" s="770"/>
      <c r="HN744" s="770"/>
      <c r="HO744" s="770"/>
      <c r="HP744" s="770"/>
      <c r="HQ744" s="770"/>
      <c r="HR744" s="770"/>
      <c r="HS744" s="770"/>
      <c r="HT744" s="770"/>
      <c r="HU744" s="770"/>
      <c r="HV744" s="770"/>
      <c r="HW744" s="770"/>
      <c r="HX744" s="770"/>
      <c r="HY744" s="770"/>
      <c r="HZ744" s="770"/>
      <c r="IA744" s="770"/>
      <c r="IB744" s="14" t="e">
        <f>IF(#REF!&gt;0,IF(#REF!&lt;=10000,"Y",""),"")</f>
        <v>#REF!</v>
      </c>
      <c r="IC744" s="770" t="s">
        <v>1207</v>
      </c>
      <c r="ID744" s="770"/>
      <c r="IE744" s="770">
        <v>1</v>
      </c>
      <c r="IF744" s="770"/>
      <c r="IG744" s="770"/>
      <c r="IH744" s="770"/>
      <c r="II744" s="770"/>
      <c r="IJ744" s="770"/>
      <c r="IK744" s="770"/>
      <c r="IL744" s="770"/>
      <c r="IM744" s="770"/>
      <c r="IN744" s="770"/>
      <c r="IO744" s="296"/>
      <c r="IP744" s="770"/>
      <c r="IQ744" s="770"/>
      <c r="IR744" s="770"/>
      <c r="IS744" s="770"/>
      <c r="IT744" s="770"/>
      <c r="IU744" s="770"/>
      <c r="IV744" s="770"/>
      <c r="IW744" s="770"/>
      <c r="IX744" s="770"/>
      <c r="IY744" s="770"/>
      <c r="IZ744" s="770"/>
      <c r="JA744" s="770"/>
      <c r="JB744" s="770"/>
      <c r="JC744" s="770"/>
      <c r="JD744" s="302"/>
      <c r="JE744" s="770"/>
      <c r="JF744" s="770"/>
      <c r="JG744" s="770"/>
      <c r="JH744" s="307"/>
      <c r="JI744" s="307"/>
      <c r="JJ744" s="770">
        <v>7</v>
      </c>
      <c r="JK744" s="1139" t="s">
        <v>4904</v>
      </c>
      <c r="JL744" s="770">
        <v>3</v>
      </c>
      <c r="JM744" s="770"/>
      <c r="JN744" s="770">
        <v>1</v>
      </c>
      <c r="JO744" s="770">
        <v>3</v>
      </c>
      <c r="JP744" s="770"/>
      <c r="JQ744" s="770"/>
      <c r="JR744" s="770"/>
      <c r="JS744" s="770"/>
      <c r="JT744" s="766">
        <f t="shared" si="228"/>
        <v>4</v>
      </c>
      <c r="JU744" s="766">
        <f t="shared" si="228"/>
        <v>3</v>
      </c>
      <c r="JV744" s="712" t="str">
        <f>IF(JT744=KJ744,"ok","male")</f>
        <v>ok</v>
      </c>
      <c r="JW744" s="712" t="str">
        <f>IF(JU744=KK744,"ok","female")</f>
        <v>ok</v>
      </c>
      <c r="JX744" s="770">
        <v>2</v>
      </c>
      <c r="JY744" s="770"/>
      <c r="JZ744" s="770">
        <v>1</v>
      </c>
      <c r="KA744" s="770"/>
      <c r="KB744" s="770">
        <v>1</v>
      </c>
      <c r="KC744" s="770"/>
      <c r="KD744" s="770"/>
      <c r="KE744" s="770">
        <v>3</v>
      </c>
      <c r="KF744" s="770"/>
      <c r="KG744" s="770"/>
      <c r="KH744" s="770"/>
      <c r="KI744" s="770"/>
      <c r="KJ744" s="770">
        <f t="shared" si="225"/>
        <v>4</v>
      </c>
      <c r="KK744" s="770">
        <f t="shared" si="225"/>
        <v>3</v>
      </c>
      <c r="KL744" s="712" t="str">
        <f>IF(KJ744=LN744,"ok","male")</f>
        <v>ok</v>
      </c>
      <c r="KM744" s="712" t="str">
        <f>IF(KK744=LO744,"ok","female")</f>
        <v>ok</v>
      </c>
      <c r="KN744" s="770" t="s">
        <v>707</v>
      </c>
      <c r="KO744" s="770"/>
      <c r="KP744" s="770"/>
      <c r="KQ744" s="770"/>
      <c r="KR744" s="770"/>
      <c r="KS744" s="770"/>
      <c r="KT744" s="770">
        <v>1</v>
      </c>
      <c r="KU744" s="770"/>
      <c r="KV744" s="770"/>
      <c r="KW744" s="770">
        <v>1</v>
      </c>
      <c r="KX744" s="770"/>
      <c r="KY744" s="770">
        <v>1</v>
      </c>
      <c r="KZ744" s="770"/>
      <c r="LA744" s="770"/>
      <c r="LB744" s="770"/>
      <c r="LC744" s="770"/>
      <c r="LD744" s="770"/>
      <c r="LE744" s="770"/>
      <c r="LF744" s="770"/>
      <c r="LG744" s="770"/>
      <c r="LH744" s="770">
        <v>1</v>
      </c>
      <c r="LI744" s="770">
        <v>1</v>
      </c>
      <c r="LJ744" s="770">
        <v>2</v>
      </c>
      <c r="LK744" s="770"/>
      <c r="LL744" s="770"/>
      <c r="LM744" s="770"/>
      <c r="LN744" s="766">
        <f t="shared" si="230"/>
        <v>4</v>
      </c>
      <c r="LO744" s="766">
        <f t="shared" si="230"/>
        <v>3</v>
      </c>
      <c r="LP744" s="770">
        <v>2</v>
      </c>
      <c r="LQ744" s="770">
        <v>2</v>
      </c>
      <c r="LR744" s="770"/>
      <c r="LS744" s="770"/>
      <c r="LT744" s="712" t="str">
        <f>IF(LQ744=SUM(LU744:LW744),"OK","REV")</f>
        <v>OK</v>
      </c>
      <c r="LU744" s="770">
        <v>2</v>
      </c>
      <c r="LV744" s="770"/>
      <c r="LW744" s="770"/>
      <c r="LX744" s="769">
        <v>1</v>
      </c>
      <c r="LY744" s="766" t="str">
        <f t="shared" si="210"/>
        <v>within the BRGY</v>
      </c>
      <c r="LZ744" s="1709">
        <f>14*26</f>
        <v>364</v>
      </c>
      <c r="MA744" s="1709"/>
      <c r="MB744" s="1709"/>
      <c r="MC744" s="1679">
        <f t="shared" si="229"/>
        <v>364</v>
      </c>
      <c r="MD744" s="1709">
        <f>SUM(2700/4,481*26)</f>
        <v>13181</v>
      </c>
      <c r="ME744" s="1709"/>
      <c r="MF744" s="1709"/>
      <c r="MG744" s="1680">
        <f>SUM(MD744:MF744)</f>
        <v>13181</v>
      </c>
      <c r="MH744" s="770" t="s">
        <v>4603</v>
      </c>
      <c r="MI744" s="302">
        <f>300*30</f>
        <v>9000</v>
      </c>
      <c r="MJ744" s="302">
        <f>14*26</f>
        <v>364</v>
      </c>
      <c r="MK744" s="302">
        <v>1500</v>
      </c>
      <c r="ML744" s="302">
        <v>120</v>
      </c>
      <c r="MM744" s="302">
        <f>10*30</f>
        <v>300</v>
      </c>
      <c r="MN744" s="302"/>
      <c r="MO744" s="302"/>
      <c r="MP744" s="302">
        <v>1800</v>
      </c>
      <c r="MQ744" s="302">
        <v>500</v>
      </c>
      <c r="MR744" s="302">
        <v>1800</v>
      </c>
      <c r="MS744" s="302">
        <v>3000</v>
      </c>
      <c r="MT744" s="302"/>
      <c r="MU744" s="302"/>
      <c r="MV744" s="302"/>
      <c r="MW744" s="302"/>
      <c r="MX744" s="302"/>
      <c r="MY744" s="1682">
        <f t="shared" si="217"/>
        <v>18384</v>
      </c>
      <c r="MZ744" s="770" t="s">
        <v>13370</v>
      </c>
      <c r="NA744" s="770" t="s">
        <v>13005</v>
      </c>
      <c r="NB744" s="770" t="s">
        <v>13016</v>
      </c>
      <c r="NC744" s="770" t="s">
        <v>13602</v>
      </c>
      <c r="ND744" s="770">
        <v>0</v>
      </c>
      <c r="NE744" s="770">
        <v>0</v>
      </c>
      <c r="NF744" s="770">
        <v>0</v>
      </c>
      <c r="NG744" s="770">
        <v>2</v>
      </c>
      <c r="NH744" s="770">
        <v>1</v>
      </c>
      <c r="NI744" s="770">
        <v>0</v>
      </c>
      <c r="NJ744" s="770">
        <v>0</v>
      </c>
      <c r="NK744" s="770">
        <v>0</v>
      </c>
      <c r="NL744" s="770">
        <v>0</v>
      </c>
      <c r="NM744" s="770">
        <v>1</v>
      </c>
      <c r="NN744" s="770">
        <v>0</v>
      </c>
      <c r="NO744" s="770">
        <v>0</v>
      </c>
      <c r="NP744" s="770">
        <v>0</v>
      </c>
      <c r="NQ744" s="770">
        <v>0</v>
      </c>
      <c r="NR744" s="770">
        <v>0</v>
      </c>
      <c r="NS744" s="770">
        <v>0</v>
      </c>
      <c r="NT744" s="770">
        <v>0</v>
      </c>
      <c r="NU744" s="770">
        <v>0</v>
      </c>
      <c r="NV744" s="770">
        <v>0</v>
      </c>
      <c r="NW744" s="770">
        <v>0</v>
      </c>
      <c r="NX744" s="770">
        <v>0</v>
      </c>
      <c r="NY744" s="770" t="s">
        <v>1208</v>
      </c>
      <c r="NZ744" s="770" t="s">
        <v>1208</v>
      </c>
      <c r="OA744" s="770" t="s">
        <v>1208</v>
      </c>
      <c r="OB744" s="770" t="s">
        <v>1208</v>
      </c>
      <c r="OC744" s="770" t="s">
        <v>1208</v>
      </c>
      <c r="OD744" s="770"/>
      <c r="OE744" s="770"/>
      <c r="OF744" s="770"/>
      <c r="OG744" s="770"/>
      <c r="OH744" s="770"/>
      <c r="OI744" s="770"/>
      <c r="OJ744" s="770"/>
      <c r="OK744" s="770"/>
      <c r="OL744" s="770"/>
      <c r="OM744" s="770"/>
      <c r="ON744" s="770"/>
      <c r="OO744" s="770"/>
      <c r="OP744" s="770"/>
      <c r="OQ744" s="770"/>
      <c r="OR744" s="770"/>
      <c r="OS744" s="770"/>
      <c r="OT744" s="770"/>
      <c r="OU744" s="770"/>
      <c r="OV744" s="770"/>
      <c r="OW744" s="770"/>
      <c r="OX744" s="770"/>
      <c r="OY744" s="770"/>
      <c r="OZ744" s="770"/>
      <c r="PA744" s="770"/>
      <c r="PB744" s="770"/>
      <c r="PC744" s="770"/>
      <c r="PD744" s="770"/>
      <c r="PE744" s="770"/>
      <c r="PF744" s="770"/>
      <c r="PG744" s="770"/>
      <c r="PH744" s="770" t="s">
        <v>1208</v>
      </c>
      <c r="PI744" s="770"/>
      <c r="PJ744" s="770"/>
      <c r="PK744" s="770" t="s">
        <v>1208</v>
      </c>
      <c r="PL744" s="770"/>
      <c r="PM744" s="770"/>
      <c r="PN744" s="770"/>
      <c r="PO744" s="770"/>
      <c r="PP744" s="770"/>
      <c r="PQ744" s="770"/>
      <c r="PR744" s="770"/>
      <c r="PS744" s="770"/>
      <c r="PT744" s="770"/>
      <c r="PU744" s="770"/>
      <c r="PV744" s="770"/>
      <c r="PW744" s="770"/>
      <c r="PX744" s="770"/>
      <c r="PY744" s="770"/>
      <c r="PZ744" s="770"/>
      <c r="QA744" s="770"/>
      <c r="QB744" s="770"/>
      <c r="QC744" s="770"/>
      <c r="QD744" s="770"/>
      <c r="QE744" s="770"/>
      <c r="QF744" s="770"/>
      <c r="QG744" s="770"/>
      <c r="QH744" s="770"/>
      <c r="QI744" s="770"/>
      <c r="QJ744" s="770"/>
      <c r="QK744" s="770"/>
      <c r="QL744" s="770"/>
      <c r="QM744" s="770"/>
      <c r="QN744" s="770"/>
      <c r="QO744" s="770"/>
      <c r="QP744" s="770"/>
      <c r="QQ744" s="770"/>
      <c r="QR744" s="770"/>
      <c r="QS744" s="770"/>
      <c r="QT744" s="770"/>
      <c r="QU744" s="770"/>
      <c r="QV744" s="770"/>
      <c r="QW744" s="770"/>
      <c r="QX744" s="770"/>
      <c r="QY744" s="770"/>
      <c r="QZ744" s="770"/>
      <c r="RA744" s="770" t="s">
        <v>13976</v>
      </c>
      <c r="RB744" s="770" t="s">
        <v>1207</v>
      </c>
      <c r="RC744" s="770" t="s">
        <v>13796</v>
      </c>
      <c r="RD744" s="770" t="s">
        <v>13615</v>
      </c>
      <c r="RE744" s="770" t="s">
        <v>12990</v>
      </c>
      <c r="RF744" s="304">
        <v>1.5</v>
      </c>
      <c r="RG744" s="770" t="s">
        <v>13047</v>
      </c>
      <c r="RH744" s="306">
        <v>1000</v>
      </c>
      <c r="RI744" s="770">
        <v>3</v>
      </c>
      <c r="RJ744" s="94" t="s">
        <v>13977</v>
      </c>
      <c r="RK744" s="770" t="s">
        <v>13544</v>
      </c>
      <c r="RL744" s="1710">
        <v>42846</v>
      </c>
      <c r="RM744" s="12"/>
      <c r="RN744" s="1711"/>
      <c r="RO744" s="149" t="s">
        <v>4897</v>
      </c>
      <c r="RP744" s="11"/>
      <c r="RQ744" s="11"/>
      <c r="RR744" s="19" t="s">
        <v>7421</v>
      </c>
      <c r="RS744" s="1139" t="s">
        <v>12980</v>
      </c>
      <c r="RT744" s="11"/>
      <c r="RU744" s="11"/>
      <c r="RV744" s="771" t="s">
        <v>13978</v>
      </c>
      <c r="RW744" s="11" t="s">
        <v>7452</v>
      </c>
      <c r="RX744" s="11" t="s">
        <v>3190</v>
      </c>
      <c r="RY744" s="11"/>
      <c r="RZ744" s="11" t="s">
        <v>2209</v>
      </c>
      <c r="SA744" s="771"/>
      <c r="SB744" s="11"/>
      <c r="SC744" s="11"/>
    </row>
    <row r="745" spans="1:497" ht="12.75" customHeight="1">
      <c r="A745" s="19" t="s">
        <v>7421</v>
      </c>
      <c r="B745" s="292" t="s">
        <v>8055</v>
      </c>
      <c r="C745" s="149" t="s">
        <v>4905</v>
      </c>
      <c r="D745" s="94" t="s">
        <v>4906</v>
      </c>
      <c r="E745" s="766" t="s">
        <v>3185</v>
      </c>
      <c r="F745" s="770" t="s">
        <v>28</v>
      </c>
      <c r="G745" s="770" t="s">
        <v>10</v>
      </c>
      <c r="H745" s="94" t="s">
        <v>5334</v>
      </c>
      <c r="I745" s="295" t="s">
        <v>5338</v>
      </c>
      <c r="J745" s="94" t="s">
        <v>4906</v>
      </c>
      <c r="K745" s="766" t="s">
        <v>4908</v>
      </c>
      <c r="L745" s="766" t="s">
        <v>3160</v>
      </c>
      <c r="M745" s="770" t="s">
        <v>1238</v>
      </c>
      <c r="N745" s="1757"/>
      <c r="O745" s="1757" t="s">
        <v>4864</v>
      </c>
      <c r="P745" s="94" t="s">
        <v>4909</v>
      </c>
      <c r="Q745" s="1088">
        <v>19741</v>
      </c>
      <c r="R745" s="297">
        <v>63</v>
      </c>
      <c r="S745" s="770" t="s">
        <v>10</v>
      </c>
      <c r="T745" s="770"/>
      <c r="U745" s="295" t="s">
        <v>4907</v>
      </c>
      <c r="V745" s="770" t="s">
        <v>707</v>
      </c>
      <c r="W745" s="770"/>
      <c r="X745" s="770"/>
      <c r="Y745" s="770" t="s">
        <v>3185</v>
      </c>
      <c r="Z745" s="770" t="s">
        <v>708</v>
      </c>
      <c r="AA745" s="12" t="s">
        <v>709</v>
      </c>
      <c r="AB745" s="770" t="s">
        <v>710</v>
      </c>
      <c r="AC745" s="770" t="s">
        <v>724</v>
      </c>
      <c r="AD745" s="770" t="s">
        <v>711</v>
      </c>
      <c r="AE745" s="770"/>
      <c r="AF745" s="770" t="s">
        <v>712</v>
      </c>
      <c r="AG745" s="766" t="s">
        <v>1132</v>
      </c>
      <c r="AH745" s="766" t="s">
        <v>1096</v>
      </c>
      <c r="AI745" s="770"/>
      <c r="AJ745" s="770" t="s">
        <v>1137</v>
      </c>
      <c r="AK745" s="770" t="s">
        <v>1101</v>
      </c>
      <c r="AL745" s="531">
        <v>32.24</v>
      </c>
      <c r="AM745" s="780">
        <v>1.86</v>
      </c>
      <c r="AN745" s="532">
        <f>AM745/AL745</f>
        <v>5.7692307692307689E-2</v>
      </c>
      <c r="AO745" s="766" t="s">
        <v>1098</v>
      </c>
      <c r="AP745" s="766"/>
      <c r="AQ745" s="766"/>
      <c r="AR745" s="766"/>
      <c r="AS745" s="770"/>
      <c r="AT745" s="770"/>
      <c r="AU745" s="770"/>
      <c r="AV745" s="770"/>
      <c r="AW745" s="770"/>
      <c r="AX745" s="770"/>
      <c r="AY745" s="770"/>
      <c r="AZ745" s="770"/>
      <c r="BA745" s="770"/>
      <c r="BB745" s="770"/>
      <c r="BC745" s="770"/>
      <c r="BD745" s="770" t="s">
        <v>1857</v>
      </c>
      <c r="BE745" s="770"/>
      <c r="BF745" s="302"/>
      <c r="BG745" s="302"/>
      <c r="BH745" s="770"/>
      <c r="BI745" s="770"/>
      <c r="BJ745" s="770"/>
      <c r="BK745" s="766" t="s">
        <v>1095</v>
      </c>
      <c r="BL745" s="766" t="s">
        <v>4910</v>
      </c>
      <c r="BM745" s="766" t="s">
        <v>1096</v>
      </c>
      <c r="BN745" s="766" t="s">
        <v>1230</v>
      </c>
      <c r="BO745" s="766" t="s">
        <v>1239</v>
      </c>
      <c r="BP745" s="1109">
        <v>64.48</v>
      </c>
      <c r="BQ745" s="773">
        <v>3.72</v>
      </c>
      <c r="BR745" s="774">
        <f>BQ745/BP745</f>
        <v>5.7692307692307689E-2</v>
      </c>
      <c r="BS745" s="766" t="s">
        <v>1242</v>
      </c>
      <c r="BT745" s="766" t="s">
        <v>8133</v>
      </c>
      <c r="BU745" s="770" t="s">
        <v>1249</v>
      </c>
      <c r="BV745" s="770" t="s">
        <v>1247</v>
      </c>
      <c r="BW745" s="770">
        <v>1946</v>
      </c>
      <c r="BX745" s="302"/>
      <c r="BY745" s="770"/>
      <c r="BZ745" s="302"/>
      <c r="CA745" s="770"/>
      <c r="CB745" s="770"/>
      <c r="CC745" s="770"/>
      <c r="CD745" s="770"/>
      <c r="CE745" s="302"/>
      <c r="CF745" s="304"/>
      <c r="CG745" s="321"/>
      <c r="CH745" s="770"/>
      <c r="CI745" s="770"/>
      <c r="CJ745" s="770"/>
      <c r="CK745" s="770"/>
      <c r="CL745" s="770"/>
      <c r="CM745" s="770"/>
      <c r="CN745" s="770"/>
      <c r="CO745" s="770"/>
      <c r="CP745" s="770"/>
      <c r="CQ745" s="770"/>
      <c r="CR745" s="302"/>
      <c r="CS745" s="770"/>
      <c r="CT745" s="770"/>
      <c r="CU745" s="305"/>
      <c r="CV745" s="770"/>
      <c r="CW745" s="770"/>
      <c r="CX745" s="770"/>
      <c r="CY745" s="770"/>
      <c r="CZ745" s="770"/>
      <c r="DA745" s="306"/>
      <c r="DB745" s="770"/>
      <c r="DC745" s="770"/>
      <c r="DD745" s="770"/>
      <c r="DE745" s="300"/>
      <c r="DF745" s="770"/>
      <c r="DG745" s="770"/>
      <c r="DH745" s="770"/>
      <c r="DI745" s="770"/>
      <c r="DJ745" s="770"/>
      <c r="DK745" s="770"/>
      <c r="DL745" s="770"/>
      <c r="DM745" s="770"/>
      <c r="DN745" s="322"/>
      <c r="DO745" s="770"/>
      <c r="DP745" s="770"/>
      <c r="DQ745" s="770"/>
      <c r="DR745" s="770"/>
      <c r="DS745" s="307"/>
      <c r="DT745" s="770"/>
      <c r="DU745" s="770"/>
      <c r="DV745" s="770"/>
      <c r="DW745" s="306"/>
      <c r="DX745" s="306"/>
      <c r="DY745" s="1055"/>
      <c r="DZ745" s="770"/>
      <c r="EA745" s="770"/>
      <c r="EB745" s="770"/>
      <c r="EC745" s="770"/>
      <c r="ED745" s="770"/>
      <c r="EE745" s="770"/>
      <c r="EF745" s="770"/>
      <c r="EG745" s="770"/>
      <c r="EH745" s="770"/>
      <c r="EI745" s="770"/>
      <c r="EJ745" s="770"/>
      <c r="EK745" s="770"/>
      <c r="EL745" s="770"/>
      <c r="EM745" s="770"/>
      <c r="EN745" s="770"/>
      <c r="EO745" s="770"/>
      <c r="EP745" s="94"/>
      <c r="EQ745" s="770"/>
      <c r="ER745" s="770"/>
      <c r="ES745" s="770"/>
      <c r="ET745" s="770"/>
      <c r="EU745" s="770"/>
      <c r="EV745" s="770"/>
      <c r="EW745" s="770"/>
      <c r="EX745" s="770"/>
      <c r="EY745" s="770"/>
      <c r="EZ745" s="770"/>
      <c r="FA745" s="770"/>
      <c r="FB745" s="770"/>
      <c r="FC745" s="770"/>
      <c r="FD745" s="302"/>
      <c r="FE745" s="770"/>
      <c r="FF745" s="770"/>
      <c r="FG745" s="770"/>
      <c r="FH745" s="770" t="s">
        <v>478</v>
      </c>
      <c r="FI745" s="770">
        <v>1</v>
      </c>
      <c r="FJ745" s="770"/>
      <c r="FK745" s="770"/>
      <c r="FL745" s="770"/>
      <c r="FM745" s="302"/>
      <c r="FN745" s="302"/>
      <c r="FO745" s="302"/>
      <c r="FP745" s="770" t="s">
        <v>1600</v>
      </c>
      <c r="FQ745" s="770" t="s">
        <v>3940</v>
      </c>
      <c r="FR745" s="770" t="s">
        <v>1214</v>
      </c>
      <c r="FS745" s="770"/>
      <c r="FT745" s="770"/>
      <c r="FU745" s="770"/>
      <c r="FV745" s="770"/>
      <c r="FW745" s="770"/>
      <c r="FX745" s="770"/>
      <c r="FY745" s="770"/>
      <c r="FZ745" s="770"/>
      <c r="GA745" s="770"/>
      <c r="GB745" s="770" t="s">
        <v>853</v>
      </c>
      <c r="GC745" s="308"/>
      <c r="GD745" s="297"/>
      <c r="GE745" s="770" t="s">
        <v>1214</v>
      </c>
      <c r="GF745" s="302"/>
      <c r="GG745" s="302"/>
      <c r="GH745" s="770"/>
      <c r="GI745" s="770"/>
      <c r="GJ745" s="770"/>
      <c r="GK745" s="770"/>
      <c r="GL745" s="770"/>
      <c r="GM745" s="770"/>
      <c r="GN745" s="299"/>
      <c r="GO745" s="770"/>
      <c r="GP745" s="770"/>
      <c r="GQ745" s="770"/>
      <c r="GR745" s="770"/>
      <c r="GS745" s="770"/>
      <c r="GT745" s="770"/>
      <c r="GU745" s="770"/>
      <c r="GV745" s="770"/>
      <c r="GW745" s="770"/>
      <c r="GX745" s="770"/>
      <c r="GY745" s="770"/>
      <c r="GZ745" s="770"/>
      <c r="HA745" s="770"/>
      <c r="HB745" s="770"/>
      <c r="HC745" s="770"/>
      <c r="HD745" s="770"/>
      <c r="HE745" s="770"/>
      <c r="HF745" s="770"/>
      <c r="HG745" s="770"/>
      <c r="HH745" s="770"/>
      <c r="HI745" s="770"/>
      <c r="HJ745" s="770"/>
      <c r="HK745" s="770"/>
      <c r="HL745" s="770"/>
      <c r="HM745" s="770"/>
      <c r="HN745" s="770"/>
      <c r="HO745" s="770"/>
      <c r="HP745" s="770"/>
      <c r="HQ745" s="770"/>
      <c r="HR745" s="770">
        <v>1</v>
      </c>
      <c r="HS745" s="770"/>
      <c r="HT745" s="770">
        <v>3</v>
      </c>
      <c r="HU745" s="770"/>
      <c r="HV745" s="770"/>
      <c r="HW745" s="770"/>
      <c r="HX745" s="770"/>
      <c r="HY745" s="770"/>
      <c r="HZ745" s="770"/>
      <c r="IA745" s="770"/>
      <c r="IB745" s="14" t="e">
        <f>IF(#REF!&gt;0,IF(#REF!&lt;=10000,"Y",""),"")</f>
        <v>#REF!</v>
      </c>
      <c r="IC745" s="770"/>
      <c r="ID745" s="770">
        <v>2</v>
      </c>
      <c r="IE745" s="770"/>
      <c r="IF745" s="770"/>
      <c r="IG745" s="770"/>
      <c r="IH745" s="770"/>
      <c r="II745" s="770"/>
      <c r="IJ745" s="770"/>
      <c r="IK745" s="770"/>
      <c r="IL745" s="770"/>
      <c r="IM745" s="770"/>
      <c r="IN745" s="770"/>
      <c r="IO745" s="296"/>
      <c r="IP745" s="770"/>
      <c r="IQ745" s="770"/>
      <c r="IR745" s="770"/>
      <c r="IS745" s="770"/>
      <c r="IT745" s="770"/>
      <c r="IU745" s="770"/>
      <c r="IV745" s="770"/>
      <c r="IW745" s="770"/>
      <c r="IX745" s="770"/>
      <c r="IY745" s="770"/>
      <c r="IZ745" s="770"/>
      <c r="JA745" s="770"/>
      <c r="JB745" s="770"/>
      <c r="JC745" s="770"/>
      <c r="JD745" s="302"/>
      <c r="JE745" s="770"/>
      <c r="JF745" s="770"/>
      <c r="JG745" s="770"/>
      <c r="JH745" s="307"/>
      <c r="JI745" s="307"/>
      <c r="JJ745" s="770">
        <v>6</v>
      </c>
      <c r="JK745" s="1139" t="s">
        <v>4911</v>
      </c>
      <c r="JL745" s="770"/>
      <c r="JM745" s="770"/>
      <c r="JN745" s="770">
        <v>1</v>
      </c>
      <c r="JO745" s="770">
        <v>4</v>
      </c>
      <c r="JP745" s="770">
        <v>1</v>
      </c>
      <c r="JQ745" s="770"/>
      <c r="JR745" s="770"/>
      <c r="JS745" s="770"/>
      <c r="JT745" s="766">
        <f t="shared" si="228"/>
        <v>2</v>
      </c>
      <c r="JU745" s="766">
        <f t="shared" si="228"/>
        <v>4</v>
      </c>
      <c r="JV745" s="712" t="str">
        <f>IF(JT745=KJ745,"ok","male")</f>
        <v>ok</v>
      </c>
      <c r="JW745" s="712" t="str">
        <f>IF(JU745=KK745,"ok","female")</f>
        <v>ok</v>
      </c>
      <c r="JX745" s="770"/>
      <c r="JY745" s="770"/>
      <c r="JZ745" s="770"/>
      <c r="KA745" s="770"/>
      <c r="KB745" s="770">
        <v>1</v>
      </c>
      <c r="KC745" s="770">
        <v>2</v>
      </c>
      <c r="KD745" s="770"/>
      <c r="KE745" s="770">
        <v>1</v>
      </c>
      <c r="KF745" s="770">
        <v>1</v>
      </c>
      <c r="KG745" s="770">
        <v>1</v>
      </c>
      <c r="KH745" s="770"/>
      <c r="KI745" s="770"/>
      <c r="KJ745" s="770">
        <f t="shared" si="225"/>
        <v>2</v>
      </c>
      <c r="KK745" s="770">
        <f t="shared" si="225"/>
        <v>4</v>
      </c>
      <c r="KL745" s="712" t="str">
        <f>IF(KJ745=LN745,"ok","male")</f>
        <v>ok</v>
      </c>
      <c r="KM745" s="712" t="str">
        <f>IF(KK745=LO745,"ok","female")</f>
        <v>ok</v>
      </c>
      <c r="KN745" s="770" t="s">
        <v>707</v>
      </c>
      <c r="KO745" s="770"/>
      <c r="KP745" s="770"/>
      <c r="KQ745" s="770"/>
      <c r="KR745" s="770"/>
      <c r="KS745" s="770"/>
      <c r="KT745" s="770"/>
      <c r="KU745" s="770"/>
      <c r="KV745" s="770"/>
      <c r="KW745" s="770"/>
      <c r="KX745" s="770"/>
      <c r="KY745" s="770"/>
      <c r="KZ745" s="770"/>
      <c r="LA745" s="770"/>
      <c r="LB745" s="770">
        <v>2</v>
      </c>
      <c r="LC745" s="770">
        <v>1</v>
      </c>
      <c r="LD745" s="770"/>
      <c r="LE745" s="770">
        <v>2</v>
      </c>
      <c r="LF745" s="770"/>
      <c r="LG745" s="770"/>
      <c r="LH745" s="770"/>
      <c r="LI745" s="770">
        <v>1</v>
      </c>
      <c r="LJ745" s="770"/>
      <c r="LK745" s="770"/>
      <c r="LL745" s="770"/>
      <c r="LM745" s="770"/>
      <c r="LN745" s="766">
        <f t="shared" si="230"/>
        <v>2</v>
      </c>
      <c r="LO745" s="766">
        <f t="shared" si="230"/>
        <v>4</v>
      </c>
      <c r="LP745" s="770">
        <v>2</v>
      </c>
      <c r="LQ745" s="770">
        <v>2</v>
      </c>
      <c r="LR745" s="770"/>
      <c r="LS745" s="770"/>
      <c r="LT745" s="712" t="str">
        <f>IF(LQ745=SUM(LU745:LW745),"OK","REV")</f>
        <v>OK</v>
      </c>
      <c r="LU745" s="770">
        <v>2</v>
      </c>
      <c r="LV745" s="770"/>
      <c r="LW745" s="770"/>
      <c r="LX745" s="769"/>
      <c r="LY745" s="766" t="str">
        <f t="shared" si="210"/>
        <v/>
      </c>
      <c r="LZ745" s="1709">
        <f>SUM(2400,2400)</f>
        <v>4800</v>
      </c>
      <c r="MA745" s="1709"/>
      <c r="MB745" s="1709"/>
      <c r="MC745" s="1679">
        <f t="shared" si="229"/>
        <v>4800</v>
      </c>
      <c r="MD745" s="1709">
        <v>16000</v>
      </c>
      <c r="ME745" s="1709"/>
      <c r="MF745" s="1709"/>
      <c r="MG745" s="1680">
        <f>SUM(MD745:MF745)</f>
        <v>16000</v>
      </c>
      <c r="MH745" s="770" t="s">
        <v>4912</v>
      </c>
      <c r="MI745" s="302">
        <v>9500</v>
      </c>
      <c r="MJ745" s="302">
        <v>4500</v>
      </c>
      <c r="MK745" s="302">
        <v>3000</v>
      </c>
      <c r="ML745" s="302">
        <v>1620</v>
      </c>
      <c r="MM745" s="302">
        <v>20000</v>
      </c>
      <c r="MN745" s="302"/>
      <c r="MO745" s="302">
        <v>1300</v>
      </c>
      <c r="MP745" s="302">
        <v>2000</v>
      </c>
      <c r="MQ745" s="302">
        <v>500</v>
      </c>
      <c r="MR745" s="302">
        <v>900</v>
      </c>
      <c r="MS745" s="302">
        <v>1800</v>
      </c>
      <c r="MT745" s="302"/>
      <c r="MU745" s="302"/>
      <c r="MV745" s="302"/>
      <c r="MW745" s="302"/>
      <c r="MX745" s="302"/>
      <c r="MY745" s="1682">
        <f t="shared" si="217"/>
        <v>45120</v>
      </c>
      <c r="MZ745" s="770" t="s">
        <v>13370</v>
      </c>
      <c r="NA745" s="770" t="s">
        <v>13005</v>
      </c>
      <c r="NB745" s="770" t="s">
        <v>13016</v>
      </c>
      <c r="NC745" s="770" t="s">
        <v>13602</v>
      </c>
      <c r="ND745" s="770">
        <v>0</v>
      </c>
      <c r="NE745" s="770">
        <v>0</v>
      </c>
      <c r="NF745" s="770">
        <v>0</v>
      </c>
      <c r="NG745" s="770">
        <v>5</v>
      </c>
      <c r="NH745" s="770">
        <v>1</v>
      </c>
      <c r="NI745" s="770">
        <v>0</v>
      </c>
      <c r="NJ745" s="770">
        <v>0</v>
      </c>
      <c r="NK745" s="770">
        <v>0</v>
      </c>
      <c r="NL745" s="770">
        <v>1</v>
      </c>
      <c r="NM745" s="770">
        <v>1</v>
      </c>
      <c r="NN745" s="770">
        <v>0</v>
      </c>
      <c r="NO745" s="770">
        <v>0</v>
      </c>
      <c r="NP745" s="770">
        <v>0</v>
      </c>
      <c r="NQ745" s="770">
        <v>1</v>
      </c>
      <c r="NR745" s="770">
        <v>0</v>
      </c>
      <c r="NS745" s="770">
        <v>0</v>
      </c>
      <c r="NT745" s="770">
        <v>0</v>
      </c>
      <c r="NU745" s="770">
        <v>0</v>
      </c>
      <c r="NV745" s="770">
        <v>0</v>
      </c>
      <c r="NW745" s="770">
        <v>0</v>
      </c>
      <c r="NX745" s="770">
        <v>0</v>
      </c>
      <c r="NY745" s="770" t="s">
        <v>1208</v>
      </c>
      <c r="NZ745" s="770" t="s">
        <v>1208</v>
      </c>
      <c r="OA745" s="770"/>
      <c r="OB745" s="770"/>
      <c r="OC745" s="770" t="s">
        <v>1208</v>
      </c>
      <c r="OD745" s="770" t="s">
        <v>1208</v>
      </c>
      <c r="OE745" s="770"/>
      <c r="OF745" s="770"/>
      <c r="OG745" s="770"/>
      <c r="OH745" s="770"/>
      <c r="OI745" s="770"/>
      <c r="OJ745" s="770"/>
      <c r="OK745" s="770"/>
      <c r="OL745" s="770"/>
      <c r="OM745" s="770"/>
      <c r="ON745" s="770"/>
      <c r="OO745" s="770"/>
      <c r="OP745" s="770"/>
      <c r="OQ745" s="770"/>
      <c r="OR745" s="770"/>
      <c r="OS745" s="770"/>
      <c r="OT745" s="770"/>
      <c r="OU745" s="770"/>
      <c r="OV745" s="770"/>
      <c r="OW745" s="770"/>
      <c r="OX745" s="770"/>
      <c r="OY745" s="770"/>
      <c r="OZ745" s="770"/>
      <c r="PA745" s="770"/>
      <c r="PB745" s="770"/>
      <c r="PC745" s="770"/>
      <c r="PD745" s="770"/>
      <c r="PE745" s="770"/>
      <c r="PF745" s="770"/>
      <c r="PG745" s="770"/>
      <c r="PH745" s="770"/>
      <c r="PI745" s="770"/>
      <c r="PJ745" s="770"/>
      <c r="PK745" s="770"/>
      <c r="PL745" s="770"/>
      <c r="PM745" s="770"/>
      <c r="PN745" s="770"/>
      <c r="PO745" s="770"/>
      <c r="PP745" s="770"/>
      <c r="PQ745" s="770"/>
      <c r="PR745" s="770"/>
      <c r="PS745" s="770"/>
      <c r="PT745" s="770"/>
      <c r="PU745" s="770"/>
      <c r="PV745" s="770"/>
      <c r="PW745" s="770" t="s">
        <v>1208</v>
      </c>
      <c r="PX745" s="770"/>
      <c r="PY745" s="770"/>
      <c r="PZ745" s="770"/>
      <c r="QA745" s="770" t="s">
        <v>1208</v>
      </c>
      <c r="QB745" s="770"/>
      <c r="QC745" s="770"/>
      <c r="QD745" s="770"/>
      <c r="QE745" s="770" t="s">
        <v>1208</v>
      </c>
      <c r="QF745" s="770"/>
      <c r="QG745" s="770"/>
      <c r="QH745" s="770"/>
      <c r="QI745" s="770"/>
      <c r="QJ745" s="770"/>
      <c r="QK745" s="770"/>
      <c r="QL745" s="770"/>
      <c r="QM745" s="770"/>
      <c r="QN745" s="770"/>
      <c r="QO745" s="770" t="s">
        <v>1208</v>
      </c>
      <c r="QP745" s="770"/>
      <c r="QQ745" s="770"/>
      <c r="QR745" s="770"/>
      <c r="QS745" s="770"/>
      <c r="QT745" s="770"/>
      <c r="QU745" s="770"/>
      <c r="QV745" s="770"/>
      <c r="QW745" s="770"/>
      <c r="QX745" s="770"/>
      <c r="QY745" s="770"/>
      <c r="QZ745" s="770"/>
      <c r="RA745" s="770"/>
      <c r="RB745" s="770" t="s">
        <v>1207</v>
      </c>
      <c r="RC745" s="770">
        <v>2015</v>
      </c>
      <c r="RD745" s="770" t="s">
        <v>13046</v>
      </c>
      <c r="RE745" s="770" t="s">
        <v>13100</v>
      </c>
      <c r="RF745" s="304">
        <v>0.5</v>
      </c>
      <c r="RG745" s="770" t="s">
        <v>13047</v>
      </c>
      <c r="RH745" s="306">
        <v>7500</v>
      </c>
      <c r="RI745" s="770">
        <v>24</v>
      </c>
      <c r="RJ745" s="94" t="s">
        <v>4911</v>
      </c>
      <c r="RK745" s="770" t="s">
        <v>13550</v>
      </c>
      <c r="RL745" s="1710">
        <v>42846</v>
      </c>
      <c r="RM745" s="12"/>
      <c r="RN745" s="1711"/>
      <c r="RO745" s="149" t="s">
        <v>4905</v>
      </c>
      <c r="RP745" s="11"/>
      <c r="RQ745" s="11"/>
      <c r="RR745" s="19" t="s">
        <v>7421</v>
      </c>
      <c r="RS745" s="1139" t="s">
        <v>12980</v>
      </c>
      <c r="RT745" s="11"/>
      <c r="RU745" s="11"/>
      <c r="RV745" s="771" t="s">
        <v>7419</v>
      </c>
      <c r="RW745" s="11" t="s">
        <v>8065</v>
      </c>
      <c r="RX745" s="11" t="s">
        <v>4890</v>
      </c>
      <c r="RY745" s="11"/>
      <c r="RZ745" s="11" t="s">
        <v>2209</v>
      </c>
      <c r="SA745" s="771"/>
      <c r="SB745" s="11"/>
      <c r="SC745" s="11"/>
    </row>
    <row r="746" spans="1:497" ht="12.75" customHeight="1">
      <c r="A746" s="19" t="s">
        <v>7421</v>
      </c>
      <c r="B746" s="292" t="s">
        <v>8056</v>
      </c>
      <c r="C746" s="149" t="s">
        <v>4913</v>
      </c>
      <c r="D746" s="94" t="s">
        <v>4914</v>
      </c>
      <c r="E746" s="766" t="s">
        <v>4915</v>
      </c>
      <c r="F746" s="770" t="s">
        <v>28</v>
      </c>
      <c r="G746" s="770" t="s">
        <v>18</v>
      </c>
      <c r="H746" s="295" t="s">
        <v>5339</v>
      </c>
      <c r="I746" s="12"/>
      <c r="J746" s="94" t="s">
        <v>4914</v>
      </c>
      <c r="K746" s="766" t="s">
        <v>4917</v>
      </c>
      <c r="L746" s="766" t="s">
        <v>4854</v>
      </c>
      <c r="M746" s="770" t="s">
        <v>1238</v>
      </c>
      <c r="N746" s="1757"/>
      <c r="O746" s="1757" t="s">
        <v>4793</v>
      </c>
      <c r="P746" s="94" t="s">
        <v>4918</v>
      </c>
      <c r="Q746" s="1088">
        <v>19161</v>
      </c>
      <c r="R746" s="297">
        <v>65</v>
      </c>
      <c r="S746" s="770" t="s">
        <v>18</v>
      </c>
      <c r="T746" s="770"/>
      <c r="U746" s="295" t="s">
        <v>4916</v>
      </c>
      <c r="V746" s="770" t="s">
        <v>719</v>
      </c>
      <c r="W746" s="770"/>
      <c r="X746" s="770"/>
      <c r="Y746" s="770" t="s">
        <v>4915</v>
      </c>
      <c r="Z746" s="770" t="s">
        <v>708</v>
      </c>
      <c r="AA746" s="12" t="s">
        <v>2586</v>
      </c>
      <c r="AB746" s="770" t="s">
        <v>710</v>
      </c>
      <c r="AC746" s="770" t="s">
        <v>724</v>
      </c>
      <c r="AD746" s="770"/>
      <c r="AE746" s="770"/>
      <c r="AF746" s="770" t="s">
        <v>4919</v>
      </c>
      <c r="AG746" s="766" t="s">
        <v>1132</v>
      </c>
      <c r="AH746" s="766" t="s">
        <v>1096</v>
      </c>
      <c r="AI746" s="770"/>
      <c r="AJ746" s="770" t="s">
        <v>1137</v>
      </c>
      <c r="AK746" s="770" t="s">
        <v>1101</v>
      </c>
      <c r="AL746" s="531">
        <v>16.32</v>
      </c>
      <c r="AM746" s="780">
        <v>1.6</v>
      </c>
      <c r="AN746" s="532">
        <f>AM746/AL746</f>
        <v>9.8039215686274508E-2</v>
      </c>
      <c r="AO746" s="766" t="s">
        <v>1098</v>
      </c>
      <c r="AP746" s="766"/>
      <c r="AQ746" s="766"/>
      <c r="AR746" s="766"/>
      <c r="AS746" s="770"/>
      <c r="AT746" s="770"/>
      <c r="AU746" s="770"/>
      <c r="AV746" s="770"/>
      <c r="AW746" s="770"/>
      <c r="AX746" s="770"/>
      <c r="AY746" s="770"/>
      <c r="AZ746" s="770"/>
      <c r="BA746" s="770"/>
      <c r="BB746" s="770"/>
      <c r="BC746" s="770"/>
      <c r="BD746" s="770"/>
      <c r="BE746" s="770"/>
      <c r="BF746" s="302"/>
      <c r="BG746" s="302"/>
      <c r="BH746" s="770"/>
      <c r="BI746" s="770"/>
      <c r="BJ746" s="770"/>
      <c r="BK746" s="766" t="s">
        <v>1095</v>
      </c>
      <c r="BL746" s="766" t="s">
        <v>4920</v>
      </c>
      <c r="BM746" s="766" t="s">
        <v>1096</v>
      </c>
      <c r="BN746" s="766" t="s">
        <v>1230</v>
      </c>
      <c r="BO746" s="766" t="s">
        <v>1239</v>
      </c>
      <c r="BP746" s="1109">
        <v>32.64</v>
      </c>
      <c r="BQ746" s="773">
        <v>3.2</v>
      </c>
      <c r="BR746" s="774">
        <f>BQ746/BP746</f>
        <v>9.8039215686274508E-2</v>
      </c>
      <c r="BS746" s="766" t="s">
        <v>1242</v>
      </c>
      <c r="BT746" s="766" t="s">
        <v>8133</v>
      </c>
      <c r="BU746" s="770" t="s">
        <v>1249</v>
      </c>
      <c r="BV746" s="770" t="s">
        <v>1247</v>
      </c>
      <c r="BW746" s="770">
        <v>2012</v>
      </c>
      <c r="BX746" s="302">
        <v>500000</v>
      </c>
      <c r="BY746" s="770"/>
      <c r="BZ746" s="302"/>
      <c r="CA746" s="770"/>
      <c r="CB746" s="770"/>
      <c r="CC746" s="770"/>
      <c r="CD746" s="770"/>
      <c r="CE746" s="302"/>
      <c r="CF746" s="304"/>
      <c r="CG746" s="321"/>
      <c r="CH746" s="770"/>
      <c r="CI746" s="770"/>
      <c r="CJ746" s="770"/>
      <c r="CK746" s="770"/>
      <c r="CL746" s="770"/>
      <c r="CM746" s="770"/>
      <c r="CN746" s="770"/>
      <c r="CO746" s="770"/>
      <c r="CP746" s="770"/>
      <c r="CQ746" s="770"/>
      <c r="CR746" s="302"/>
      <c r="CS746" s="770"/>
      <c r="CT746" s="770"/>
      <c r="CU746" s="305"/>
      <c r="CV746" s="770"/>
      <c r="CW746" s="770"/>
      <c r="CX746" s="770"/>
      <c r="CY746" s="770"/>
      <c r="CZ746" s="770"/>
      <c r="DA746" s="306"/>
      <c r="DB746" s="770"/>
      <c r="DC746" s="770"/>
      <c r="DD746" s="770"/>
      <c r="DE746" s="300"/>
      <c r="DF746" s="770"/>
      <c r="DG746" s="770"/>
      <c r="DH746" s="770"/>
      <c r="DI746" s="770"/>
      <c r="DJ746" s="770"/>
      <c r="DK746" s="770"/>
      <c r="DL746" s="770"/>
      <c r="DM746" s="770"/>
      <c r="DN746" s="322"/>
      <c r="DO746" s="770"/>
      <c r="DP746" s="770"/>
      <c r="DQ746" s="770"/>
      <c r="DR746" s="770"/>
      <c r="DS746" s="307"/>
      <c r="DT746" s="770"/>
      <c r="DU746" s="770"/>
      <c r="DV746" s="770"/>
      <c r="DW746" s="306"/>
      <c r="DX746" s="306"/>
      <c r="DY746" s="1055"/>
      <c r="DZ746" s="770"/>
      <c r="EA746" s="770"/>
      <c r="EB746" s="770"/>
      <c r="EC746" s="770"/>
      <c r="ED746" s="770"/>
      <c r="EE746" s="770"/>
      <c r="EF746" s="770"/>
      <c r="EG746" s="770"/>
      <c r="EH746" s="770"/>
      <c r="EI746" s="770"/>
      <c r="EJ746" s="770"/>
      <c r="EK746" s="770"/>
      <c r="EL746" s="770"/>
      <c r="EM746" s="770"/>
      <c r="EN746" s="770"/>
      <c r="EO746" s="770"/>
      <c r="EP746" s="94"/>
      <c r="EQ746" s="770"/>
      <c r="ER746" s="770"/>
      <c r="ES746" s="770"/>
      <c r="ET746" s="770"/>
      <c r="EU746" s="770"/>
      <c r="EV746" s="770"/>
      <c r="EW746" s="770"/>
      <c r="EX746" s="770"/>
      <c r="EY746" s="770"/>
      <c r="EZ746" s="770"/>
      <c r="FA746" s="770" t="s">
        <v>4153</v>
      </c>
      <c r="FB746" s="770" t="s">
        <v>4921</v>
      </c>
      <c r="FC746" s="770">
        <v>2017</v>
      </c>
      <c r="FD746" s="302"/>
      <c r="FE746" s="770" t="s">
        <v>4922</v>
      </c>
      <c r="FF746" s="770"/>
      <c r="FG746" s="770" t="s">
        <v>4923</v>
      </c>
      <c r="FH746" s="770" t="s">
        <v>478</v>
      </c>
      <c r="FI746" s="770">
        <v>1</v>
      </c>
      <c r="FJ746" s="770"/>
      <c r="FK746" s="770"/>
      <c r="FL746" s="770"/>
      <c r="FM746" s="302"/>
      <c r="FN746" s="302"/>
      <c r="FO746" s="302"/>
      <c r="FP746" s="766" t="s">
        <v>1602</v>
      </c>
      <c r="FQ746" s="766" t="s">
        <v>1660</v>
      </c>
      <c r="FR746" s="770" t="s">
        <v>1214</v>
      </c>
      <c r="FS746" s="770"/>
      <c r="FT746" s="770"/>
      <c r="FU746" s="770"/>
      <c r="FV746" s="770"/>
      <c r="FW746" s="770"/>
      <c r="FX746" s="770"/>
      <c r="FY746" s="770"/>
      <c r="FZ746" s="770"/>
      <c r="GA746" s="770"/>
      <c r="GB746" s="770" t="s">
        <v>1734</v>
      </c>
      <c r="GC746" s="308"/>
      <c r="GD746" s="297">
        <v>2015</v>
      </c>
      <c r="GE746" s="770" t="s">
        <v>1214</v>
      </c>
      <c r="GF746" s="302"/>
      <c r="GG746" s="302"/>
      <c r="GH746" s="766" t="s">
        <v>14260</v>
      </c>
      <c r="GI746" s="770"/>
      <c r="GJ746" s="770"/>
      <c r="GK746" s="770"/>
      <c r="GL746" s="770"/>
      <c r="GM746" s="770"/>
      <c r="GN746" s="299"/>
      <c r="GO746" s="770"/>
      <c r="GP746" s="770"/>
      <c r="GQ746" s="770"/>
      <c r="GR746" s="770"/>
      <c r="GS746" s="770"/>
      <c r="GT746" s="770"/>
      <c r="GU746" s="770"/>
      <c r="GV746" s="770"/>
      <c r="GW746" s="770"/>
      <c r="GX746" s="770"/>
      <c r="GY746" s="770"/>
      <c r="GZ746" s="770"/>
      <c r="HA746" s="770"/>
      <c r="HB746" s="770"/>
      <c r="HC746" s="770"/>
      <c r="HD746" s="770"/>
      <c r="HE746" s="770"/>
      <c r="HF746" s="770"/>
      <c r="HG746" s="770"/>
      <c r="HH746" s="770"/>
      <c r="HI746" s="770" t="s">
        <v>1214</v>
      </c>
      <c r="HJ746" s="770"/>
      <c r="HK746" s="770"/>
      <c r="HL746" s="770" t="s">
        <v>1214</v>
      </c>
      <c r="HM746" s="770"/>
      <c r="HN746" s="770"/>
      <c r="HO746" s="770"/>
      <c r="HP746" s="770"/>
      <c r="HQ746" s="770"/>
      <c r="HR746" s="770">
        <v>1</v>
      </c>
      <c r="HS746" s="770"/>
      <c r="HT746" s="770"/>
      <c r="HU746" s="770"/>
      <c r="HV746" s="770"/>
      <c r="HW746" s="770"/>
      <c r="HX746" s="770"/>
      <c r="HY746" s="770"/>
      <c r="HZ746" s="770"/>
      <c r="IA746" s="770"/>
      <c r="IB746" s="14" t="e">
        <f>IF(#REF!&gt;0,IF(#REF!&lt;=10000,"Y",""),"")</f>
        <v>#REF!</v>
      </c>
      <c r="IC746" s="770" t="s">
        <v>1207</v>
      </c>
      <c r="ID746" s="770">
        <v>1</v>
      </c>
      <c r="IE746" s="770">
        <v>1</v>
      </c>
      <c r="IF746" s="770"/>
      <c r="IG746" s="770"/>
      <c r="IH746" s="770"/>
      <c r="II746" s="770"/>
      <c r="IJ746" s="770"/>
      <c r="IK746" s="770"/>
      <c r="IL746" s="770"/>
      <c r="IM746" s="770"/>
      <c r="IN746" s="770"/>
      <c r="IO746" s="296"/>
      <c r="IP746" s="770"/>
      <c r="IQ746" s="770"/>
      <c r="IR746" s="770"/>
      <c r="IS746" s="770"/>
      <c r="IT746" s="770"/>
      <c r="IU746" s="770"/>
      <c r="IV746" s="770"/>
      <c r="IW746" s="770"/>
      <c r="IX746" s="770"/>
      <c r="IY746" s="770"/>
      <c r="IZ746" s="770"/>
      <c r="JA746" s="770"/>
      <c r="JB746" s="770"/>
      <c r="JC746" s="770"/>
      <c r="JD746" s="302"/>
      <c r="JE746" s="770"/>
      <c r="JF746" s="770"/>
      <c r="JG746" s="770"/>
      <c r="JH746" s="307"/>
      <c r="JI746" s="712" t="str">
        <f>IF(SUM(JT746,JU746)=JJ746,"ok","review")</f>
        <v>ok</v>
      </c>
      <c r="JJ746" s="770">
        <v>4</v>
      </c>
      <c r="JK746" s="1139" t="s">
        <v>4924</v>
      </c>
      <c r="JL746" s="770"/>
      <c r="JM746" s="770">
        <v>1</v>
      </c>
      <c r="JN746" s="770">
        <v>1</v>
      </c>
      <c r="JO746" s="770">
        <v>1</v>
      </c>
      <c r="JP746" s="770"/>
      <c r="JQ746" s="770">
        <v>1</v>
      </c>
      <c r="JR746" s="770"/>
      <c r="JS746" s="770"/>
      <c r="JT746" s="766">
        <f t="shared" si="228"/>
        <v>1</v>
      </c>
      <c r="JU746" s="766">
        <f t="shared" si="228"/>
        <v>3</v>
      </c>
      <c r="JV746" s="712" t="str">
        <f>IF(JT746=KJ746,"ok","male")</f>
        <v>ok</v>
      </c>
      <c r="JW746" s="712" t="str">
        <f>IF(JU746=KK746,"ok","female")</f>
        <v>ok</v>
      </c>
      <c r="JX746" s="770"/>
      <c r="JY746" s="770">
        <v>1</v>
      </c>
      <c r="JZ746" s="770"/>
      <c r="KA746" s="770"/>
      <c r="KB746" s="770">
        <v>1</v>
      </c>
      <c r="KC746" s="770">
        <v>1</v>
      </c>
      <c r="KD746" s="770"/>
      <c r="KE746" s="770"/>
      <c r="KF746" s="770"/>
      <c r="KG746" s="770">
        <v>1</v>
      </c>
      <c r="KH746" s="770"/>
      <c r="KI746" s="770"/>
      <c r="KJ746" s="770">
        <f t="shared" si="225"/>
        <v>1</v>
      </c>
      <c r="KK746" s="770">
        <f t="shared" si="225"/>
        <v>3</v>
      </c>
      <c r="KL746" s="712" t="str">
        <f>IF(KJ746=LN746,"ok","male")</f>
        <v>ok</v>
      </c>
      <c r="KM746" s="712" t="str">
        <f>IF(KK746=LO746,"ok","female")</f>
        <v>ok</v>
      </c>
      <c r="KN746" s="770" t="s">
        <v>719</v>
      </c>
      <c r="KO746" s="770"/>
      <c r="KP746" s="770"/>
      <c r="KQ746" s="770"/>
      <c r="KR746" s="770"/>
      <c r="KS746" s="770"/>
      <c r="KT746" s="770"/>
      <c r="KU746" s="770"/>
      <c r="KV746" s="770"/>
      <c r="KW746" s="770">
        <v>1</v>
      </c>
      <c r="KX746" s="770"/>
      <c r="KY746" s="770"/>
      <c r="KZ746" s="770">
        <v>1</v>
      </c>
      <c r="LA746" s="770"/>
      <c r="LB746" s="770"/>
      <c r="LC746" s="770"/>
      <c r="LD746" s="770"/>
      <c r="LE746" s="770">
        <v>1</v>
      </c>
      <c r="LF746" s="770"/>
      <c r="LG746" s="770"/>
      <c r="LH746" s="770"/>
      <c r="LI746" s="770"/>
      <c r="LJ746" s="770"/>
      <c r="LK746" s="770">
        <v>1</v>
      </c>
      <c r="LL746" s="770"/>
      <c r="LM746" s="770"/>
      <c r="LN746" s="766">
        <f t="shared" si="230"/>
        <v>1</v>
      </c>
      <c r="LO746" s="766">
        <f t="shared" si="230"/>
        <v>3</v>
      </c>
      <c r="LP746" s="770">
        <v>1</v>
      </c>
      <c r="LQ746" s="770">
        <v>1</v>
      </c>
      <c r="LR746" s="770"/>
      <c r="LS746" s="770"/>
      <c r="LT746" s="712" t="str">
        <f>IF(LQ746=SUM(LU746:LW746),"OK","REV")</f>
        <v>OK</v>
      </c>
      <c r="LU746" s="770">
        <v>1</v>
      </c>
      <c r="LV746" s="770"/>
      <c r="LW746" s="770"/>
      <c r="LX746" s="769">
        <v>3</v>
      </c>
      <c r="LY746" s="766" t="str">
        <f t="shared" si="210"/>
        <v>within the PROVINCE</v>
      </c>
      <c r="LZ746" s="1709">
        <v>200</v>
      </c>
      <c r="MA746" s="1709"/>
      <c r="MB746" s="1709"/>
      <c r="MC746" s="1679">
        <f t="shared" si="229"/>
        <v>200</v>
      </c>
      <c r="MD746" s="1709">
        <v>15000</v>
      </c>
      <c r="ME746" s="1709"/>
      <c r="MF746" s="1709"/>
      <c r="MG746" s="1680">
        <f>SUM(MD746:MF746)</f>
        <v>15000</v>
      </c>
      <c r="MH746" s="770" t="s">
        <v>4925</v>
      </c>
      <c r="MI746" s="302">
        <v>7500</v>
      </c>
      <c r="MJ746" s="302">
        <v>6000</v>
      </c>
      <c r="MK746" s="302">
        <v>2500</v>
      </c>
      <c r="ML746" s="302">
        <v>4000</v>
      </c>
      <c r="MM746" s="302"/>
      <c r="MN746" s="302"/>
      <c r="MO746" s="302">
        <v>500</v>
      </c>
      <c r="MP746" s="302">
        <v>700</v>
      </c>
      <c r="MQ746" s="302">
        <v>500</v>
      </c>
      <c r="MR746" s="302">
        <v>600</v>
      </c>
      <c r="MS746" s="302">
        <v>1500</v>
      </c>
      <c r="MT746" s="302"/>
      <c r="MU746" s="302"/>
      <c r="MV746" s="302"/>
      <c r="MW746" s="302"/>
      <c r="MX746" s="302"/>
      <c r="MY746" s="1682">
        <f t="shared" si="217"/>
        <v>23800</v>
      </c>
      <c r="MZ746" s="770" t="s">
        <v>13370</v>
      </c>
      <c r="NA746" s="770" t="s">
        <v>13005</v>
      </c>
      <c r="NB746" s="770" t="s">
        <v>13016</v>
      </c>
      <c r="NC746" s="770" t="s">
        <v>13602</v>
      </c>
      <c r="ND746" s="770">
        <v>0</v>
      </c>
      <c r="NE746" s="770">
        <v>0</v>
      </c>
      <c r="NF746" s="770">
        <v>0</v>
      </c>
      <c r="NG746" s="770">
        <v>1</v>
      </c>
      <c r="NH746" s="770">
        <v>1</v>
      </c>
      <c r="NI746" s="770">
        <v>1</v>
      </c>
      <c r="NJ746" s="770">
        <v>1</v>
      </c>
      <c r="NK746" s="770">
        <v>0</v>
      </c>
      <c r="NL746" s="770">
        <v>1</v>
      </c>
      <c r="NM746" s="770">
        <v>1</v>
      </c>
      <c r="NN746" s="770">
        <v>0</v>
      </c>
      <c r="NO746" s="770">
        <v>0</v>
      </c>
      <c r="NP746" s="770">
        <v>0</v>
      </c>
      <c r="NQ746" s="770">
        <v>0</v>
      </c>
      <c r="NR746" s="770">
        <v>0</v>
      </c>
      <c r="NS746" s="770">
        <v>0</v>
      </c>
      <c r="NT746" s="770">
        <v>0</v>
      </c>
      <c r="NU746" s="770">
        <v>0</v>
      </c>
      <c r="NV746" s="770">
        <v>0</v>
      </c>
      <c r="NW746" s="770">
        <v>0</v>
      </c>
      <c r="NX746" s="770">
        <v>0</v>
      </c>
      <c r="NY746" s="770" t="s">
        <v>1208</v>
      </c>
      <c r="NZ746" s="770"/>
      <c r="OA746" s="770" t="s">
        <v>1208</v>
      </c>
      <c r="OB746" s="770" t="s">
        <v>1208</v>
      </c>
      <c r="OC746" s="770" t="s">
        <v>1208</v>
      </c>
      <c r="OD746" s="770" t="s">
        <v>1208</v>
      </c>
      <c r="OE746" s="770"/>
      <c r="OF746" s="770"/>
      <c r="OG746" s="770"/>
      <c r="OH746" s="770"/>
      <c r="OI746" s="770"/>
      <c r="OJ746" s="770"/>
      <c r="OK746" s="770"/>
      <c r="OL746" s="770"/>
      <c r="OM746" s="770"/>
      <c r="ON746" s="770"/>
      <c r="OO746" s="770"/>
      <c r="OP746" s="770"/>
      <c r="OQ746" s="770"/>
      <c r="OR746" s="770"/>
      <c r="OS746" s="770"/>
      <c r="OT746" s="770"/>
      <c r="OU746" s="770"/>
      <c r="OV746" s="770"/>
      <c r="OW746" s="770"/>
      <c r="OX746" s="770"/>
      <c r="OY746" s="770"/>
      <c r="OZ746" s="770"/>
      <c r="PA746" s="770"/>
      <c r="PB746" s="770"/>
      <c r="PC746" s="770"/>
      <c r="PD746" s="770"/>
      <c r="PE746" s="770"/>
      <c r="PF746" s="770"/>
      <c r="PG746" s="770"/>
      <c r="PH746" s="770"/>
      <c r="PI746" s="770"/>
      <c r="PJ746" s="770"/>
      <c r="PK746" s="770"/>
      <c r="PL746" s="770"/>
      <c r="PM746" s="770"/>
      <c r="PN746" s="770"/>
      <c r="PO746" s="770"/>
      <c r="PP746" s="770"/>
      <c r="PQ746" s="770"/>
      <c r="PR746" s="770"/>
      <c r="PS746" s="770"/>
      <c r="PT746" s="770"/>
      <c r="PU746" s="770"/>
      <c r="PV746" s="770"/>
      <c r="PW746" s="770"/>
      <c r="PX746" s="770"/>
      <c r="PY746" s="770"/>
      <c r="PZ746" s="770"/>
      <c r="QA746" s="770"/>
      <c r="QB746" s="770"/>
      <c r="QC746" s="770" t="s">
        <v>1208</v>
      </c>
      <c r="QD746" s="770"/>
      <c r="QE746" s="770"/>
      <c r="QF746" s="770"/>
      <c r="QG746" s="770" t="s">
        <v>1208</v>
      </c>
      <c r="QH746" s="770"/>
      <c r="QI746" s="770"/>
      <c r="QJ746" s="770"/>
      <c r="QK746" s="770"/>
      <c r="QL746" s="770"/>
      <c r="QM746" s="770"/>
      <c r="QN746" s="770"/>
      <c r="QO746" s="770"/>
      <c r="QP746" s="770"/>
      <c r="QQ746" s="770"/>
      <c r="QR746" s="770"/>
      <c r="QS746" s="770"/>
      <c r="QT746" s="770"/>
      <c r="QU746" s="770"/>
      <c r="QV746" s="770"/>
      <c r="QW746" s="770"/>
      <c r="QX746" s="770"/>
      <c r="QY746" s="770"/>
      <c r="QZ746" s="770"/>
      <c r="RA746" s="770"/>
      <c r="RB746" s="770" t="s">
        <v>1207</v>
      </c>
      <c r="RC746" s="770">
        <v>2014</v>
      </c>
      <c r="RD746" s="770" t="s">
        <v>13046</v>
      </c>
      <c r="RE746" s="770"/>
      <c r="RF746" s="304">
        <v>0.5</v>
      </c>
      <c r="RG746" s="770" t="s">
        <v>13617</v>
      </c>
      <c r="RH746" s="306">
        <v>0</v>
      </c>
      <c r="RI746" s="770">
        <v>1</v>
      </c>
      <c r="RJ746" s="94" t="s">
        <v>13979</v>
      </c>
      <c r="RK746" s="770" t="s">
        <v>13552</v>
      </c>
      <c r="RL746" s="1710">
        <v>42846</v>
      </c>
      <c r="RM746" s="12"/>
      <c r="RN746" s="1711"/>
      <c r="RO746" s="149" t="s">
        <v>4913</v>
      </c>
      <c r="RP746" s="11"/>
      <c r="RQ746" s="11"/>
      <c r="RR746" s="19" t="s">
        <v>7421</v>
      </c>
      <c r="RS746" s="1139" t="s">
        <v>12980</v>
      </c>
      <c r="RT746" s="11"/>
      <c r="RU746" s="11"/>
      <c r="RV746" s="771" t="s">
        <v>7421</v>
      </c>
      <c r="RW746" s="11" t="s">
        <v>7453</v>
      </c>
      <c r="RX746" s="11" t="s">
        <v>4897</v>
      </c>
      <c r="RY746" s="11"/>
      <c r="RZ746" s="11" t="s">
        <v>2209</v>
      </c>
      <c r="SA746" s="771"/>
      <c r="SB746" s="11"/>
      <c r="SC746" s="11"/>
    </row>
    <row r="747" spans="1:497" ht="12.75" customHeight="1">
      <c r="A747" s="19" t="s">
        <v>7421</v>
      </c>
      <c r="B747" s="292" t="s">
        <v>8057</v>
      </c>
      <c r="C747" s="149" t="s">
        <v>4926</v>
      </c>
      <c r="D747" s="94" t="s">
        <v>4927</v>
      </c>
      <c r="E747" s="766" t="s">
        <v>4928</v>
      </c>
      <c r="F747" s="770" t="s">
        <v>28</v>
      </c>
      <c r="G747" s="770" t="s">
        <v>10</v>
      </c>
      <c r="H747" s="295" t="s">
        <v>4929</v>
      </c>
      <c r="I747" s="12"/>
      <c r="J747" s="94" t="s">
        <v>4927</v>
      </c>
      <c r="K747" s="766" t="s">
        <v>4930</v>
      </c>
      <c r="L747" s="766" t="s">
        <v>4854</v>
      </c>
      <c r="M747" s="770" t="s">
        <v>1238</v>
      </c>
      <c r="N747" s="1757"/>
      <c r="O747" s="1757" t="s">
        <v>4793</v>
      </c>
      <c r="P747" s="94" t="s">
        <v>4931</v>
      </c>
      <c r="Q747" s="1088">
        <v>18697</v>
      </c>
      <c r="R747" s="297">
        <v>66</v>
      </c>
      <c r="S747" s="770" t="s">
        <v>10</v>
      </c>
      <c r="T747" s="770"/>
      <c r="U747" s="295" t="s">
        <v>4929</v>
      </c>
      <c r="V747" s="770" t="s">
        <v>707</v>
      </c>
      <c r="W747" s="770"/>
      <c r="X747" s="770"/>
      <c r="Y747" s="770" t="s">
        <v>4928</v>
      </c>
      <c r="Z747" s="770" t="s">
        <v>708</v>
      </c>
      <c r="AA747" s="12" t="s">
        <v>709</v>
      </c>
      <c r="AB747" s="770" t="s">
        <v>710</v>
      </c>
      <c r="AC747" s="770" t="s">
        <v>724</v>
      </c>
      <c r="AD747" s="770" t="s">
        <v>711</v>
      </c>
      <c r="AE747" s="770"/>
      <c r="AF747" s="770" t="s">
        <v>712</v>
      </c>
      <c r="AG747" s="766" t="s">
        <v>1132</v>
      </c>
      <c r="AH747" s="766" t="s">
        <v>1096</v>
      </c>
      <c r="AI747" s="770"/>
      <c r="AJ747" s="770" t="s">
        <v>1137</v>
      </c>
      <c r="AK747" s="770" t="s">
        <v>1101</v>
      </c>
      <c r="AL747" s="531">
        <v>22.5</v>
      </c>
      <c r="AM747" s="780">
        <v>3.06</v>
      </c>
      <c r="AN747" s="532">
        <f>AM747/AL747</f>
        <v>0.13600000000000001</v>
      </c>
      <c r="AO747" s="766" t="s">
        <v>1109</v>
      </c>
      <c r="AP747" s="766"/>
      <c r="AQ747" s="766"/>
      <c r="AR747" s="766"/>
      <c r="AS747" s="770"/>
      <c r="AT747" s="770"/>
      <c r="AU747" s="770"/>
      <c r="AV747" s="770"/>
      <c r="AW747" s="770"/>
      <c r="AX747" s="770"/>
      <c r="AY747" s="770"/>
      <c r="AZ747" s="770"/>
      <c r="BA747" s="770"/>
      <c r="BB747" s="770"/>
      <c r="BC747" s="770"/>
      <c r="BD747" s="770"/>
      <c r="BE747" s="770"/>
      <c r="BF747" s="302"/>
      <c r="BG747" s="302"/>
      <c r="BH747" s="770"/>
      <c r="BI747" s="770"/>
      <c r="BJ747" s="770"/>
      <c r="BK747" s="766" t="s">
        <v>1095</v>
      </c>
      <c r="BL747" s="766" t="s">
        <v>4932</v>
      </c>
      <c r="BM747" s="766" t="s">
        <v>1096</v>
      </c>
      <c r="BN747" s="766" t="s">
        <v>1230</v>
      </c>
      <c r="BO747" s="766" t="s">
        <v>1239</v>
      </c>
      <c r="BP747" s="1109">
        <v>22.5</v>
      </c>
      <c r="BQ747" s="773">
        <v>3.06</v>
      </c>
      <c r="BR747" s="774">
        <f>BQ747/BP747</f>
        <v>0.13600000000000001</v>
      </c>
      <c r="BS747" s="766" t="s">
        <v>1242</v>
      </c>
      <c r="BT747" s="766" t="s">
        <v>8133</v>
      </c>
      <c r="BU747" s="770" t="s">
        <v>1249</v>
      </c>
      <c r="BV747" s="770" t="s">
        <v>1247</v>
      </c>
      <c r="BW747" s="770">
        <v>2014</v>
      </c>
      <c r="BX747" s="302">
        <v>500000</v>
      </c>
      <c r="BY747" s="770" t="s">
        <v>1214</v>
      </c>
      <c r="BZ747" s="302"/>
      <c r="CA747" s="770" t="s">
        <v>4933</v>
      </c>
      <c r="CB747" s="770" t="s">
        <v>1207</v>
      </c>
      <c r="CC747" s="770" t="s">
        <v>4932</v>
      </c>
      <c r="CD747" s="770">
        <v>2009</v>
      </c>
      <c r="CE747" s="302"/>
      <c r="CF747" s="304">
        <v>1</v>
      </c>
      <c r="CG747" s="321">
        <v>6</v>
      </c>
      <c r="CH747" s="770" t="s">
        <v>4845</v>
      </c>
      <c r="CI747" s="770"/>
      <c r="CJ747" s="770" t="s">
        <v>4784</v>
      </c>
      <c r="CK747" s="770"/>
      <c r="CL747" s="770" t="s">
        <v>1249</v>
      </c>
      <c r="CM747" s="770"/>
      <c r="CN747" s="770"/>
      <c r="CO747" s="12"/>
      <c r="CP747" s="770"/>
      <c r="CQ747" s="770"/>
      <c r="CR747" s="302"/>
      <c r="CS747" s="770"/>
      <c r="CT747" s="770"/>
      <c r="CU747" s="305"/>
      <c r="CV747" s="770"/>
      <c r="CW747" s="770"/>
      <c r="CX747" s="770"/>
      <c r="CY747" s="770"/>
      <c r="CZ747" s="770"/>
      <c r="DA747" s="306"/>
      <c r="DB747" s="770"/>
      <c r="DC747" s="770"/>
      <c r="DD747" s="770"/>
      <c r="DE747" s="300"/>
      <c r="DF747" s="770"/>
      <c r="DG747" s="770"/>
      <c r="DH747" s="770"/>
      <c r="DI747" s="770"/>
      <c r="DJ747" s="770"/>
      <c r="DK747" s="770"/>
      <c r="DL747" s="770"/>
      <c r="DM747" s="770"/>
      <c r="DN747" s="322"/>
      <c r="DO747" s="770"/>
      <c r="DP747" s="770"/>
      <c r="DQ747" s="770"/>
      <c r="DR747" s="770"/>
      <c r="DS747" s="307"/>
      <c r="DT747" s="770"/>
      <c r="DU747" s="770"/>
      <c r="DV747" s="770"/>
      <c r="DW747" s="306"/>
      <c r="DX747" s="306"/>
      <c r="DY747" s="1055"/>
      <c r="DZ747" s="770"/>
      <c r="EA747" s="770"/>
      <c r="EB747" s="770"/>
      <c r="EC747" s="770"/>
      <c r="ED747" s="770"/>
      <c r="EE747" s="770"/>
      <c r="EF747" s="770"/>
      <c r="EG747" s="770"/>
      <c r="EH747" s="770"/>
      <c r="EI747" s="770"/>
      <c r="EJ747" s="770"/>
      <c r="EK747" s="770"/>
      <c r="EL747" s="770"/>
      <c r="EM747" s="770"/>
      <c r="EN747" s="770"/>
      <c r="EO747" s="770"/>
      <c r="EP747" s="94"/>
      <c r="EQ747" s="770"/>
      <c r="ER747" s="770"/>
      <c r="ES747" s="770"/>
      <c r="ET747" s="770"/>
      <c r="EU747" s="770"/>
      <c r="EV747" s="770"/>
      <c r="EW747" s="770"/>
      <c r="EX747" s="770"/>
      <c r="EY747" s="770"/>
      <c r="EZ747" s="770"/>
      <c r="FA747" s="770"/>
      <c r="FB747" s="770"/>
      <c r="FC747" s="770"/>
      <c r="FD747" s="302"/>
      <c r="FE747" s="770"/>
      <c r="FF747" s="770"/>
      <c r="FG747" s="770"/>
      <c r="FH747" s="770" t="s">
        <v>478</v>
      </c>
      <c r="FI747" s="770">
        <v>1</v>
      </c>
      <c r="FJ747" s="770"/>
      <c r="FK747" s="770"/>
      <c r="FL747" s="770"/>
      <c r="FM747" s="302"/>
      <c r="FN747" s="302"/>
      <c r="FO747" s="302"/>
      <c r="FP747" s="766" t="s">
        <v>1602</v>
      </c>
      <c r="FQ747" s="766" t="s">
        <v>1660</v>
      </c>
      <c r="FR747" s="770" t="s">
        <v>1214</v>
      </c>
      <c r="FS747" s="770"/>
      <c r="FT747" s="770"/>
      <c r="FU747" s="770"/>
      <c r="FV747" s="770"/>
      <c r="FW747" s="770"/>
      <c r="FX747" s="770"/>
      <c r="FY747" s="770"/>
      <c r="FZ747" s="770"/>
      <c r="GA747" s="770"/>
      <c r="GB747" s="770" t="s">
        <v>1734</v>
      </c>
      <c r="GC747" s="308"/>
      <c r="GD747" s="297">
        <v>1980</v>
      </c>
      <c r="GE747" s="770" t="s">
        <v>1214</v>
      </c>
      <c r="GF747" s="302"/>
      <c r="GG747" s="302"/>
      <c r="GH747" s="770"/>
      <c r="GI747" s="770"/>
      <c r="GJ747" s="770"/>
      <c r="GK747" s="770"/>
      <c r="GL747" s="770"/>
      <c r="GM747" s="770"/>
      <c r="GN747" s="299"/>
      <c r="GO747" s="770"/>
      <c r="GP747" s="770"/>
      <c r="GQ747" s="770"/>
      <c r="GR747" s="770"/>
      <c r="GS747" s="770"/>
      <c r="GT747" s="770"/>
      <c r="GU747" s="770"/>
      <c r="GV747" s="770"/>
      <c r="GW747" s="770"/>
      <c r="GX747" s="770"/>
      <c r="GY747" s="770"/>
      <c r="GZ747" s="770"/>
      <c r="HA747" s="770"/>
      <c r="HB747" s="770"/>
      <c r="HC747" s="770"/>
      <c r="HD747" s="770"/>
      <c r="HE747" s="770"/>
      <c r="HF747" s="770"/>
      <c r="HG747" s="770"/>
      <c r="HH747" s="770"/>
      <c r="HI747" s="770"/>
      <c r="HJ747" s="770"/>
      <c r="HK747" s="770"/>
      <c r="HL747" s="770"/>
      <c r="HM747" s="770"/>
      <c r="HN747" s="770"/>
      <c r="HO747" s="770"/>
      <c r="HP747" s="770"/>
      <c r="HQ747" s="770"/>
      <c r="HR747" s="770"/>
      <c r="HS747" s="770"/>
      <c r="HT747" s="770"/>
      <c r="HU747" s="770"/>
      <c r="HV747" s="770"/>
      <c r="HW747" s="770"/>
      <c r="HX747" s="770"/>
      <c r="HY747" s="770"/>
      <c r="HZ747" s="770"/>
      <c r="IA747" s="770"/>
      <c r="IB747" s="14" t="e">
        <f>IF(#REF!&gt;0,IF(#REF!&lt;=10000,"Y",""),"")</f>
        <v>#REF!</v>
      </c>
      <c r="IC747" s="770"/>
      <c r="ID747" s="770">
        <v>2</v>
      </c>
      <c r="IE747" s="770"/>
      <c r="IF747" s="770"/>
      <c r="IG747" s="770"/>
      <c r="IH747" s="770"/>
      <c r="II747" s="770"/>
      <c r="IJ747" s="770"/>
      <c r="IK747" s="770"/>
      <c r="IL747" s="770"/>
      <c r="IM747" s="770"/>
      <c r="IN747" s="770"/>
      <c r="IO747" s="296"/>
      <c r="IP747" s="770"/>
      <c r="IQ747" s="770"/>
      <c r="IR747" s="770"/>
      <c r="IS747" s="770"/>
      <c r="IT747" s="770"/>
      <c r="IU747" s="770"/>
      <c r="IV747" s="770"/>
      <c r="IW747" s="770"/>
      <c r="IX747" s="770"/>
      <c r="IY747" s="770"/>
      <c r="IZ747" s="770"/>
      <c r="JA747" s="770"/>
      <c r="JB747" s="770"/>
      <c r="JC747" s="770"/>
      <c r="JD747" s="302"/>
      <c r="JE747" s="770"/>
      <c r="JF747" s="770"/>
      <c r="JG747" s="770"/>
      <c r="JH747" s="307"/>
      <c r="JI747" s="712" t="str">
        <f>IF(SUM(JT747,JU747)=JJ747,"ok","review")</f>
        <v>ok</v>
      </c>
      <c r="JJ747" s="770">
        <v>2</v>
      </c>
      <c r="JK747" s="1139" t="s">
        <v>4934</v>
      </c>
      <c r="JL747" s="770"/>
      <c r="JM747" s="770"/>
      <c r="JN747" s="770"/>
      <c r="JO747" s="770"/>
      <c r="JP747" s="770">
        <v>1</v>
      </c>
      <c r="JQ747" s="770">
        <v>1</v>
      </c>
      <c r="JR747" s="770"/>
      <c r="JS747" s="770"/>
      <c r="JT747" s="766">
        <f t="shared" si="228"/>
        <v>1</v>
      </c>
      <c r="JU747" s="766">
        <f t="shared" si="228"/>
        <v>1</v>
      </c>
      <c r="JV747" s="712" t="str">
        <f>IF(JT747=KJ747,"ok","male")</f>
        <v>ok</v>
      </c>
      <c r="JW747" s="712" t="str">
        <f>IF(JU747=KK747,"ok","female")</f>
        <v>ok</v>
      </c>
      <c r="JX747" s="770"/>
      <c r="JY747" s="770"/>
      <c r="JZ747" s="770"/>
      <c r="KA747" s="770"/>
      <c r="KB747" s="770"/>
      <c r="KC747" s="770"/>
      <c r="KD747" s="770"/>
      <c r="KE747" s="770"/>
      <c r="KF747" s="770">
        <v>1</v>
      </c>
      <c r="KG747" s="770">
        <v>1</v>
      </c>
      <c r="KH747" s="770"/>
      <c r="KI747" s="770"/>
      <c r="KJ747" s="770">
        <f t="shared" si="225"/>
        <v>1</v>
      </c>
      <c r="KK747" s="770">
        <f t="shared" si="225"/>
        <v>1</v>
      </c>
      <c r="KL747" s="712" t="str">
        <f>IF(KJ747=LN747,"ok","male")</f>
        <v>ok</v>
      </c>
      <c r="KM747" s="712" t="str">
        <f>IF(KK747=LO747,"ok","female")</f>
        <v>ok</v>
      </c>
      <c r="KN747" s="770" t="s">
        <v>707</v>
      </c>
      <c r="KO747" s="770"/>
      <c r="KP747" s="770"/>
      <c r="KQ747" s="770"/>
      <c r="KR747" s="770"/>
      <c r="KS747" s="770"/>
      <c r="KT747" s="770"/>
      <c r="KU747" s="770"/>
      <c r="KV747" s="770"/>
      <c r="KW747" s="770"/>
      <c r="KX747" s="770"/>
      <c r="KY747" s="770"/>
      <c r="KZ747" s="770">
        <v>1</v>
      </c>
      <c r="LA747" s="770"/>
      <c r="LB747" s="770"/>
      <c r="LC747" s="770"/>
      <c r="LD747" s="770"/>
      <c r="LE747" s="770">
        <v>1</v>
      </c>
      <c r="LF747" s="770"/>
      <c r="LG747" s="770"/>
      <c r="LH747" s="770"/>
      <c r="LI747" s="770"/>
      <c r="LJ747" s="770"/>
      <c r="LK747" s="770"/>
      <c r="LL747" s="770"/>
      <c r="LM747" s="770"/>
      <c r="LN747" s="766">
        <f t="shared" si="230"/>
        <v>1</v>
      </c>
      <c r="LO747" s="766">
        <f t="shared" si="230"/>
        <v>1</v>
      </c>
      <c r="LP747" s="770">
        <v>1</v>
      </c>
      <c r="LQ747" s="770">
        <v>1</v>
      </c>
      <c r="LR747" s="770"/>
      <c r="LS747" s="770"/>
      <c r="LT747" s="712" t="str">
        <f>IF(LQ747=SUM(LU747:LW747),"OK","REV")</f>
        <v>OK</v>
      </c>
      <c r="LU747" s="770">
        <v>1</v>
      </c>
      <c r="LV747" s="770"/>
      <c r="LW747" s="770"/>
      <c r="LX747" s="769">
        <v>3</v>
      </c>
      <c r="LY747" s="766" t="str">
        <f t="shared" ref="LY747:LY810" si="231">IF(ISBLANK(LX747)=TRUE,"",LOOKUP(LX747,RT:RU))</f>
        <v>within the PROVINCE</v>
      </c>
      <c r="LZ747" s="1709">
        <f>400*4</f>
        <v>1600</v>
      </c>
      <c r="MA747" s="1709"/>
      <c r="MB747" s="1709"/>
      <c r="MC747" s="1679">
        <f t="shared" si="229"/>
        <v>1600</v>
      </c>
      <c r="MD747" s="1709">
        <v>12000</v>
      </c>
      <c r="ME747" s="1709"/>
      <c r="MF747" s="1709"/>
      <c r="MG747" s="1680">
        <f>SUM(MD747:MF747)</f>
        <v>12000</v>
      </c>
      <c r="MH747" s="770" t="s">
        <v>13980</v>
      </c>
      <c r="MI747" s="302">
        <f>2500*4</f>
        <v>10000</v>
      </c>
      <c r="MJ747" s="302">
        <f>400*4</f>
        <v>1600</v>
      </c>
      <c r="MK747" s="302"/>
      <c r="ML747" s="302">
        <v>3000</v>
      </c>
      <c r="MM747" s="302"/>
      <c r="MN747" s="302">
        <v>800</v>
      </c>
      <c r="MO747" s="302">
        <v>400</v>
      </c>
      <c r="MP747" s="302">
        <v>560</v>
      </c>
      <c r="MQ747" s="302">
        <v>500</v>
      </c>
      <c r="MR747" s="302"/>
      <c r="MS747" s="302"/>
      <c r="MT747" s="302"/>
      <c r="MU747" s="302"/>
      <c r="MV747" s="302"/>
      <c r="MW747" s="302"/>
      <c r="MX747" s="302"/>
      <c r="MY747" s="1682">
        <f t="shared" si="217"/>
        <v>16860</v>
      </c>
      <c r="MZ747" s="770" t="s">
        <v>13370</v>
      </c>
      <c r="NA747" s="770" t="s">
        <v>13005</v>
      </c>
      <c r="NB747" s="770" t="s">
        <v>13016</v>
      </c>
      <c r="NC747" s="770" t="s">
        <v>13602</v>
      </c>
      <c r="ND747" s="770">
        <v>1</v>
      </c>
      <c r="NE747" s="770">
        <v>1</v>
      </c>
      <c r="NF747" s="770">
        <v>0</v>
      </c>
      <c r="NG747" s="770">
        <v>3</v>
      </c>
      <c r="NH747" s="770">
        <v>1</v>
      </c>
      <c r="NI747" s="770">
        <v>1</v>
      </c>
      <c r="NJ747" s="770">
        <v>0</v>
      </c>
      <c r="NK747" s="770">
        <v>0</v>
      </c>
      <c r="NL747" s="770">
        <v>1</v>
      </c>
      <c r="NM747" s="770">
        <v>0</v>
      </c>
      <c r="NN747" s="770">
        <v>0</v>
      </c>
      <c r="NO747" s="770">
        <v>0</v>
      </c>
      <c r="NP747" s="770">
        <v>0</v>
      </c>
      <c r="NQ747" s="770">
        <v>0</v>
      </c>
      <c r="NR747" s="770">
        <v>0</v>
      </c>
      <c r="NS747" s="770">
        <v>0</v>
      </c>
      <c r="NT747" s="770">
        <v>0</v>
      </c>
      <c r="NU747" s="770">
        <v>0</v>
      </c>
      <c r="NV747" s="770">
        <v>0</v>
      </c>
      <c r="NW747" s="770">
        <v>0</v>
      </c>
      <c r="NX747" s="770">
        <v>0</v>
      </c>
      <c r="NY747" s="770"/>
      <c r="NZ747" s="770"/>
      <c r="OA747" s="770"/>
      <c r="OB747" s="770" t="s">
        <v>1208</v>
      </c>
      <c r="OC747" s="770" t="s">
        <v>1208</v>
      </c>
      <c r="OD747" s="770" t="s">
        <v>1208</v>
      </c>
      <c r="OE747" s="770"/>
      <c r="OF747" s="770"/>
      <c r="OG747" s="770"/>
      <c r="OH747" s="770"/>
      <c r="OI747" s="770"/>
      <c r="OJ747" s="770"/>
      <c r="OK747" s="770"/>
      <c r="OL747" s="770"/>
      <c r="OM747" s="770"/>
      <c r="ON747" s="770"/>
      <c r="OO747" s="770"/>
      <c r="OP747" s="770"/>
      <c r="OQ747" s="770"/>
      <c r="OR747" s="770"/>
      <c r="OS747" s="770"/>
      <c r="OT747" s="770"/>
      <c r="OU747" s="770"/>
      <c r="OV747" s="770"/>
      <c r="OW747" s="770"/>
      <c r="OX747" s="770"/>
      <c r="OY747" s="770"/>
      <c r="OZ747" s="770"/>
      <c r="PA747" s="770"/>
      <c r="PB747" s="770"/>
      <c r="PC747" s="770"/>
      <c r="PD747" s="770"/>
      <c r="PE747" s="770"/>
      <c r="PF747" s="770"/>
      <c r="PG747" s="770"/>
      <c r="PH747" s="770"/>
      <c r="PI747" s="770"/>
      <c r="PJ747" s="770"/>
      <c r="PK747" s="770"/>
      <c r="PL747" s="770"/>
      <c r="PM747" s="770"/>
      <c r="PN747" s="770"/>
      <c r="PO747" s="770"/>
      <c r="PP747" s="770"/>
      <c r="PQ747" s="770"/>
      <c r="PR747" s="770"/>
      <c r="PS747" s="770"/>
      <c r="PT747" s="770"/>
      <c r="PU747" s="770"/>
      <c r="PV747" s="770"/>
      <c r="PW747" s="770"/>
      <c r="PX747" s="770"/>
      <c r="PY747" s="770"/>
      <c r="PZ747" s="770"/>
      <c r="QA747" s="770"/>
      <c r="QB747" s="770"/>
      <c r="QC747" s="770"/>
      <c r="QD747" s="770"/>
      <c r="QE747" s="770"/>
      <c r="QF747" s="770"/>
      <c r="QG747" s="770"/>
      <c r="QH747" s="770"/>
      <c r="QI747" s="770"/>
      <c r="QJ747" s="770"/>
      <c r="QK747" s="770"/>
      <c r="QL747" s="770"/>
      <c r="QM747" s="770"/>
      <c r="QN747" s="770"/>
      <c r="QO747" s="770"/>
      <c r="QP747" s="770"/>
      <c r="QQ747" s="770"/>
      <c r="QR747" s="770"/>
      <c r="QS747" s="770"/>
      <c r="QT747" s="770"/>
      <c r="QU747" s="770"/>
      <c r="QV747" s="770"/>
      <c r="QW747" s="770"/>
      <c r="QX747" s="770"/>
      <c r="QY747" s="770"/>
      <c r="QZ747" s="770"/>
      <c r="RA747" s="770"/>
      <c r="RB747" s="770" t="s">
        <v>1214</v>
      </c>
      <c r="RC747" s="770"/>
      <c r="RD747" s="770"/>
      <c r="RE747" s="770"/>
      <c r="RF747" s="304"/>
      <c r="RG747" s="770"/>
      <c r="RH747" s="306"/>
      <c r="RI747" s="770"/>
      <c r="RJ747" s="94" t="s">
        <v>13981</v>
      </c>
      <c r="RK747" s="770" t="s">
        <v>13544</v>
      </c>
      <c r="RL747" s="1710">
        <v>42846</v>
      </c>
      <c r="RM747" s="12"/>
      <c r="RN747" s="1711"/>
      <c r="RO747" s="149" t="s">
        <v>4926</v>
      </c>
      <c r="RP747" s="11"/>
      <c r="RQ747" s="11"/>
      <c r="RR747" s="19" t="s">
        <v>7421</v>
      </c>
      <c r="RS747" s="1139" t="s">
        <v>12980</v>
      </c>
      <c r="RT747" s="11"/>
      <c r="RU747" s="11"/>
      <c r="RV747" s="771" t="s">
        <v>7421</v>
      </c>
      <c r="RW747" s="11" t="s">
        <v>8055</v>
      </c>
      <c r="RX747" s="11" t="s">
        <v>4905</v>
      </c>
      <c r="RY747" s="11"/>
      <c r="RZ747" s="11" t="s">
        <v>2209</v>
      </c>
      <c r="SA747" s="771"/>
      <c r="SB747" s="11"/>
      <c r="SC747" s="11"/>
    </row>
    <row r="748" spans="1:497" ht="12.75" customHeight="1">
      <c r="A748" s="19" t="s">
        <v>7421</v>
      </c>
      <c r="B748" s="292" t="s">
        <v>8070</v>
      </c>
      <c r="C748" s="149" t="s">
        <v>4935</v>
      </c>
      <c r="D748" s="94" t="s">
        <v>4927</v>
      </c>
      <c r="E748" s="766" t="s">
        <v>4928</v>
      </c>
      <c r="F748" s="770" t="s">
        <v>28</v>
      </c>
      <c r="G748" s="770" t="s">
        <v>10</v>
      </c>
      <c r="H748" s="295" t="s">
        <v>4929</v>
      </c>
      <c r="I748" s="12"/>
      <c r="J748" s="94" t="s">
        <v>4927</v>
      </c>
      <c r="K748" s="766" t="s">
        <v>4936</v>
      </c>
      <c r="L748" s="766" t="s">
        <v>4687</v>
      </c>
      <c r="M748" s="770" t="s">
        <v>1238</v>
      </c>
      <c r="N748" s="1757"/>
      <c r="O748" s="1757" t="s">
        <v>4793</v>
      </c>
      <c r="P748" s="94" t="s">
        <v>4937</v>
      </c>
      <c r="Q748" s="1088">
        <v>29613</v>
      </c>
      <c r="R748" s="297">
        <v>36</v>
      </c>
      <c r="S748" s="770" t="s">
        <v>10</v>
      </c>
      <c r="T748" s="770"/>
      <c r="U748" s="295" t="s">
        <v>4938</v>
      </c>
      <c r="V748" s="770" t="s">
        <v>707</v>
      </c>
      <c r="W748" s="770"/>
      <c r="X748" s="770"/>
      <c r="Y748" s="770" t="s">
        <v>4928</v>
      </c>
      <c r="Z748" s="770" t="s">
        <v>708</v>
      </c>
      <c r="AA748" s="12" t="s">
        <v>709</v>
      </c>
      <c r="AB748" s="770" t="s">
        <v>7275</v>
      </c>
      <c r="AC748" s="770" t="s">
        <v>724</v>
      </c>
      <c r="AD748" s="770" t="s">
        <v>711</v>
      </c>
      <c r="AE748" s="770"/>
      <c r="AF748" s="770" t="s">
        <v>712</v>
      </c>
      <c r="AG748" s="766" t="s">
        <v>1132</v>
      </c>
      <c r="AH748" s="766" t="s">
        <v>1096</v>
      </c>
      <c r="AI748" s="770"/>
      <c r="AJ748" s="770" t="s">
        <v>1137</v>
      </c>
      <c r="AK748" s="770" t="s">
        <v>1101</v>
      </c>
      <c r="AL748" s="531">
        <v>14.7</v>
      </c>
      <c r="AM748" s="780">
        <v>2.31</v>
      </c>
      <c r="AN748" s="532">
        <f>AM748/AL748</f>
        <v>0.15714285714285717</v>
      </c>
      <c r="AO748" s="766" t="s">
        <v>1109</v>
      </c>
      <c r="AP748" s="766"/>
      <c r="AQ748" s="766"/>
      <c r="AR748" s="766"/>
      <c r="AS748" s="770"/>
      <c r="AT748" s="770"/>
      <c r="AU748" s="770"/>
      <c r="AV748" s="770"/>
      <c r="AW748" s="770"/>
      <c r="AX748" s="770"/>
      <c r="AY748" s="770"/>
      <c r="AZ748" s="770"/>
      <c r="BA748" s="770"/>
      <c r="BB748" s="770"/>
      <c r="BC748" s="770"/>
      <c r="BD748" s="770"/>
      <c r="BE748" s="770"/>
      <c r="BF748" s="302"/>
      <c r="BG748" s="302"/>
      <c r="BH748" s="770"/>
      <c r="BI748" s="770"/>
      <c r="BJ748" s="770"/>
      <c r="BK748" s="766" t="s">
        <v>1095</v>
      </c>
      <c r="BL748" s="766" t="s">
        <v>4939</v>
      </c>
      <c r="BM748" s="766" t="s">
        <v>1096</v>
      </c>
      <c r="BN748" s="766" t="s">
        <v>1230</v>
      </c>
      <c r="BO748" s="766" t="s">
        <v>1239</v>
      </c>
      <c r="BP748" s="1109">
        <v>29.47</v>
      </c>
      <c r="BQ748" s="773">
        <v>4.62</v>
      </c>
      <c r="BR748" s="774">
        <f>BQ748/BP748</f>
        <v>0.15676959619952496</v>
      </c>
      <c r="BS748" s="766" t="s">
        <v>1242</v>
      </c>
      <c r="BT748" s="766" t="s">
        <v>8133</v>
      </c>
      <c r="BU748" s="770" t="s">
        <v>1249</v>
      </c>
      <c r="BV748" s="770" t="s">
        <v>1247</v>
      </c>
      <c r="BW748" s="770">
        <v>2008</v>
      </c>
      <c r="BX748" s="302"/>
      <c r="BY748" s="770"/>
      <c r="BZ748" s="302"/>
      <c r="CA748" s="770"/>
      <c r="CB748" s="770"/>
      <c r="CC748" s="770"/>
      <c r="CD748" s="770"/>
      <c r="CE748" s="302"/>
      <c r="CF748" s="304"/>
      <c r="CG748" s="321"/>
      <c r="CH748" s="770"/>
      <c r="CI748" s="770"/>
      <c r="CJ748" s="770"/>
      <c r="CK748" s="770"/>
      <c r="CL748" s="770"/>
      <c r="CM748" s="770"/>
      <c r="CN748" s="770"/>
      <c r="CO748" s="12"/>
      <c r="CP748" s="770"/>
      <c r="CQ748" s="770"/>
      <c r="CR748" s="302"/>
      <c r="CS748" s="770"/>
      <c r="CT748" s="770"/>
      <c r="CU748" s="305"/>
      <c r="CV748" s="770"/>
      <c r="CW748" s="770"/>
      <c r="CX748" s="770"/>
      <c r="CY748" s="770"/>
      <c r="CZ748" s="770"/>
      <c r="DA748" s="306"/>
      <c r="DB748" s="770"/>
      <c r="DC748" s="770"/>
      <c r="DD748" s="770"/>
      <c r="DE748" s="300"/>
      <c r="DF748" s="770"/>
      <c r="DG748" s="770"/>
      <c r="DH748" s="770"/>
      <c r="DI748" s="770"/>
      <c r="DJ748" s="770"/>
      <c r="DK748" s="770"/>
      <c r="DL748" s="770"/>
      <c r="DM748" s="770"/>
      <c r="DN748" s="322"/>
      <c r="DO748" s="770"/>
      <c r="DP748" s="770"/>
      <c r="DQ748" s="770"/>
      <c r="DR748" s="770"/>
      <c r="DS748" s="307"/>
      <c r="DT748" s="770"/>
      <c r="DU748" s="770"/>
      <c r="DV748" s="770"/>
      <c r="DW748" s="306"/>
      <c r="DX748" s="306"/>
      <c r="DY748" s="1055"/>
      <c r="DZ748" s="770"/>
      <c r="EA748" s="770"/>
      <c r="EB748" s="770"/>
      <c r="EC748" s="770"/>
      <c r="ED748" s="770"/>
      <c r="EE748" s="770"/>
      <c r="EF748" s="770"/>
      <c r="EG748" s="770"/>
      <c r="EH748" s="770"/>
      <c r="EI748" s="770"/>
      <c r="EJ748" s="770"/>
      <c r="EK748" s="770"/>
      <c r="EL748" s="770"/>
      <c r="EM748" s="770"/>
      <c r="EN748" s="770"/>
      <c r="EO748" s="770"/>
      <c r="EP748" s="94"/>
      <c r="EQ748" s="770"/>
      <c r="ER748" s="770"/>
      <c r="ES748" s="770"/>
      <c r="ET748" s="770"/>
      <c r="EU748" s="770"/>
      <c r="EV748" s="770"/>
      <c r="EW748" s="770"/>
      <c r="EX748" s="770"/>
      <c r="EY748" s="770"/>
      <c r="EZ748" s="770"/>
      <c r="FA748" s="770"/>
      <c r="FB748" s="770"/>
      <c r="FC748" s="770"/>
      <c r="FD748" s="302"/>
      <c r="FE748" s="770"/>
      <c r="FF748" s="770"/>
      <c r="FG748" s="770"/>
      <c r="FH748" s="770" t="s">
        <v>478</v>
      </c>
      <c r="FI748" s="770">
        <v>1</v>
      </c>
      <c r="FJ748" s="770"/>
      <c r="FK748" s="770"/>
      <c r="FL748" s="770"/>
      <c r="FM748" s="302"/>
      <c r="FN748" s="302"/>
      <c r="FO748" s="302"/>
      <c r="FP748" s="770" t="s">
        <v>1600</v>
      </c>
      <c r="FQ748" s="770" t="s">
        <v>3940</v>
      </c>
      <c r="FR748" s="770" t="s">
        <v>1214</v>
      </c>
      <c r="FS748" s="770"/>
      <c r="FT748" s="770"/>
      <c r="FU748" s="770"/>
      <c r="FV748" s="770"/>
      <c r="FW748" s="770"/>
      <c r="FX748" s="770"/>
      <c r="FY748" s="770"/>
      <c r="FZ748" s="770"/>
      <c r="GA748" s="770"/>
      <c r="GB748" s="770"/>
      <c r="GC748" s="308"/>
      <c r="GD748" s="297"/>
      <c r="GE748" s="770" t="s">
        <v>1214</v>
      </c>
      <c r="GF748" s="302"/>
      <c r="GG748" s="302"/>
      <c r="GH748" s="770"/>
      <c r="GI748" s="770"/>
      <c r="GJ748" s="770"/>
      <c r="GK748" s="770"/>
      <c r="GL748" s="770"/>
      <c r="GM748" s="770"/>
      <c r="GN748" s="299"/>
      <c r="GO748" s="770"/>
      <c r="GP748" s="770"/>
      <c r="GQ748" s="770"/>
      <c r="GR748" s="770"/>
      <c r="GS748" s="770"/>
      <c r="GT748" s="770"/>
      <c r="GU748" s="770"/>
      <c r="GV748" s="770"/>
      <c r="GW748" s="770"/>
      <c r="GX748" s="770"/>
      <c r="GY748" s="770"/>
      <c r="GZ748" s="770"/>
      <c r="HA748" s="770"/>
      <c r="HB748" s="770"/>
      <c r="HC748" s="770"/>
      <c r="HD748" s="770"/>
      <c r="HE748" s="770"/>
      <c r="HF748" s="770"/>
      <c r="HG748" s="770"/>
      <c r="HH748" s="770"/>
      <c r="HI748" s="770"/>
      <c r="HJ748" s="770"/>
      <c r="HK748" s="770"/>
      <c r="HL748" s="770"/>
      <c r="HM748" s="770"/>
      <c r="HN748" s="770"/>
      <c r="HO748" s="770"/>
      <c r="HP748" s="770"/>
      <c r="HQ748" s="770"/>
      <c r="HR748" s="770"/>
      <c r="HS748" s="770"/>
      <c r="HT748" s="770"/>
      <c r="HU748" s="770"/>
      <c r="HV748" s="770"/>
      <c r="HW748" s="770"/>
      <c r="HX748" s="770"/>
      <c r="HY748" s="770"/>
      <c r="HZ748" s="770"/>
      <c r="IA748" s="770"/>
      <c r="IB748" s="14" t="e">
        <f>IF(#REF!&gt;0,IF(#REF!&lt;=10000,"Y",""),"")</f>
        <v>#REF!</v>
      </c>
      <c r="IC748" s="770"/>
      <c r="ID748" s="770"/>
      <c r="IE748" s="770"/>
      <c r="IF748" s="770"/>
      <c r="IG748" s="770"/>
      <c r="IH748" s="770"/>
      <c r="II748" s="770"/>
      <c r="IJ748" s="770"/>
      <c r="IK748" s="770"/>
      <c r="IL748" s="770"/>
      <c r="IM748" s="770"/>
      <c r="IN748" s="770"/>
      <c r="IO748" s="296"/>
      <c r="IP748" s="770"/>
      <c r="IQ748" s="770"/>
      <c r="IR748" s="770"/>
      <c r="IS748" s="770"/>
      <c r="IT748" s="770"/>
      <c r="IU748" s="770"/>
      <c r="IV748" s="770"/>
      <c r="IW748" s="770"/>
      <c r="IX748" s="770"/>
      <c r="IY748" s="770"/>
      <c r="IZ748" s="770"/>
      <c r="JA748" s="770"/>
      <c r="JB748" s="770"/>
      <c r="JC748" s="770"/>
      <c r="JD748" s="302"/>
      <c r="JE748" s="770"/>
      <c r="JF748" s="770"/>
      <c r="JG748" s="770"/>
      <c r="JH748" s="307"/>
      <c r="JI748" s="307"/>
      <c r="JJ748" s="770">
        <v>4</v>
      </c>
      <c r="JK748" s="1139" t="s">
        <v>4939</v>
      </c>
      <c r="JL748" s="770">
        <v>1</v>
      </c>
      <c r="JM748" s="770">
        <v>1</v>
      </c>
      <c r="JN748" s="770">
        <v>1</v>
      </c>
      <c r="JO748" s="770">
        <v>1</v>
      </c>
      <c r="JP748" s="770"/>
      <c r="JQ748" s="770"/>
      <c r="JR748" s="770"/>
      <c r="JS748" s="770"/>
      <c r="JT748" s="766">
        <f t="shared" si="228"/>
        <v>2</v>
      </c>
      <c r="JU748" s="766">
        <f t="shared" si="228"/>
        <v>2</v>
      </c>
      <c r="JV748" s="712" t="str">
        <f>IF(JT748=KJ748,"ok","male")</f>
        <v>ok</v>
      </c>
      <c r="JW748" s="712" t="str">
        <f>IF(JU748=KK748,"ok","female")</f>
        <v>ok</v>
      </c>
      <c r="JX748" s="770"/>
      <c r="JY748" s="770">
        <v>1</v>
      </c>
      <c r="JZ748" s="770">
        <v>1</v>
      </c>
      <c r="KA748" s="770"/>
      <c r="KB748" s="770"/>
      <c r="KC748" s="770"/>
      <c r="KD748" s="770">
        <v>1</v>
      </c>
      <c r="KE748" s="770">
        <v>1</v>
      </c>
      <c r="KF748" s="770"/>
      <c r="KG748" s="770"/>
      <c r="KH748" s="770"/>
      <c r="KI748" s="770"/>
      <c r="KJ748" s="770">
        <f t="shared" si="225"/>
        <v>2</v>
      </c>
      <c r="KK748" s="770">
        <f t="shared" si="225"/>
        <v>2</v>
      </c>
      <c r="KL748" s="712" t="str">
        <f>IF(KJ748=LN748,"ok","male")</f>
        <v>ok</v>
      </c>
      <c r="KM748" s="712" t="str">
        <f>IF(KK748=LO748,"ok","female")</f>
        <v>ok</v>
      </c>
      <c r="KN748" s="770" t="s">
        <v>707</v>
      </c>
      <c r="KO748" s="770"/>
      <c r="KP748" s="770"/>
      <c r="KQ748" s="770"/>
      <c r="KR748" s="770"/>
      <c r="KS748" s="770"/>
      <c r="KT748" s="770">
        <v>1</v>
      </c>
      <c r="KU748" s="770"/>
      <c r="KV748" s="770"/>
      <c r="KW748" s="770"/>
      <c r="KX748" s="770"/>
      <c r="KY748" s="770"/>
      <c r="KZ748" s="770"/>
      <c r="LA748" s="770"/>
      <c r="LB748" s="770"/>
      <c r="LC748" s="770"/>
      <c r="LD748" s="770">
        <v>1</v>
      </c>
      <c r="LE748" s="770">
        <v>1</v>
      </c>
      <c r="LF748" s="770"/>
      <c r="LG748" s="770"/>
      <c r="LH748" s="770"/>
      <c r="LI748" s="770"/>
      <c r="LJ748" s="770"/>
      <c r="LK748" s="770">
        <v>1</v>
      </c>
      <c r="LL748" s="770"/>
      <c r="LM748" s="770"/>
      <c r="LN748" s="766">
        <f t="shared" si="230"/>
        <v>2</v>
      </c>
      <c r="LO748" s="766">
        <f t="shared" si="230"/>
        <v>2</v>
      </c>
      <c r="LP748" s="770">
        <v>2</v>
      </c>
      <c r="LQ748" s="770">
        <v>1</v>
      </c>
      <c r="LR748" s="770"/>
      <c r="LS748" s="770">
        <v>1</v>
      </c>
      <c r="LT748" s="712" t="str">
        <f>IF(LQ748=SUM(LU748:LW748),"OK","REV")</f>
        <v>OK</v>
      </c>
      <c r="LU748" s="770">
        <v>1</v>
      </c>
      <c r="LV748" s="770"/>
      <c r="LW748" s="770"/>
      <c r="LX748" s="769">
        <v>2</v>
      </c>
      <c r="LY748" s="766" t="str">
        <f t="shared" si="231"/>
        <v>within the MUNICIPALITY</v>
      </c>
      <c r="LZ748" s="1709">
        <v>800</v>
      </c>
      <c r="MA748" s="1709"/>
      <c r="MB748" s="1709">
        <v>400</v>
      </c>
      <c r="MC748" s="1679">
        <f t="shared" si="229"/>
        <v>1200</v>
      </c>
      <c r="MD748" s="1696">
        <v>10000</v>
      </c>
      <c r="ME748" s="1696"/>
      <c r="MF748" s="1696">
        <v>6000</v>
      </c>
      <c r="MG748" s="1680">
        <f>SUM(MD748:MF748)</f>
        <v>16000</v>
      </c>
      <c r="MH748" s="770" t="s">
        <v>4639</v>
      </c>
      <c r="MI748" s="302">
        <f>300*30</f>
        <v>9000</v>
      </c>
      <c r="MJ748" s="302">
        <f>200*30</f>
        <v>6000</v>
      </c>
      <c r="MK748" s="302">
        <f>2000/12</f>
        <v>166.66666666666666</v>
      </c>
      <c r="ML748" s="302">
        <v>1000</v>
      </c>
      <c r="MM748" s="302">
        <v>2000</v>
      </c>
      <c r="MN748" s="302"/>
      <c r="MO748" s="302">
        <v>300</v>
      </c>
      <c r="MP748" s="302">
        <v>500</v>
      </c>
      <c r="MQ748" s="302">
        <v>550</v>
      </c>
      <c r="MR748" s="302">
        <v>200</v>
      </c>
      <c r="MS748" s="302">
        <v>1000</v>
      </c>
      <c r="MT748" s="302"/>
      <c r="MU748" s="302"/>
      <c r="MV748" s="302"/>
      <c r="MW748" s="302"/>
      <c r="MX748" s="302"/>
      <c r="MY748" s="1682">
        <f t="shared" si="217"/>
        <v>20716.666666666664</v>
      </c>
      <c r="MZ748" s="770" t="s">
        <v>13370</v>
      </c>
      <c r="NA748" s="770" t="s">
        <v>13005</v>
      </c>
      <c r="NB748" s="770" t="s">
        <v>13016</v>
      </c>
      <c r="NC748" s="770" t="s">
        <v>13602</v>
      </c>
      <c r="ND748" s="770">
        <v>0</v>
      </c>
      <c r="NE748" s="770">
        <v>1</v>
      </c>
      <c r="NF748" s="770">
        <v>0</v>
      </c>
      <c r="NG748" s="770">
        <v>2</v>
      </c>
      <c r="NH748" s="770">
        <v>1</v>
      </c>
      <c r="NI748" s="770">
        <v>0</v>
      </c>
      <c r="NJ748" s="770">
        <v>1</v>
      </c>
      <c r="NK748" s="770">
        <v>0</v>
      </c>
      <c r="NL748" s="770">
        <v>1</v>
      </c>
      <c r="NM748" s="770">
        <v>1</v>
      </c>
      <c r="NN748" s="770">
        <v>0</v>
      </c>
      <c r="NO748" s="770">
        <v>0</v>
      </c>
      <c r="NP748" s="770">
        <v>0</v>
      </c>
      <c r="NQ748" s="770">
        <v>0</v>
      </c>
      <c r="NR748" s="770">
        <v>0</v>
      </c>
      <c r="NS748" s="770">
        <v>0</v>
      </c>
      <c r="NT748" s="770">
        <v>0</v>
      </c>
      <c r="NU748" s="770">
        <v>0</v>
      </c>
      <c r="NV748" s="770">
        <v>0</v>
      </c>
      <c r="NW748" s="770">
        <v>0</v>
      </c>
      <c r="NX748" s="770">
        <v>0</v>
      </c>
      <c r="NY748" s="770" t="s">
        <v>1208</v>
      </c>
      <c r="NZ748" s="770" t="s">
        <v>1208</v>
      </c>
      <c r="OA748" s="770" t="s">
        <v>1208</v>
      </c>
      <c r="OB748" s="770" t="s">
        <v>1208</v>
      </c>
      <c r="OC748" s="770"/>
      <c r="OD748" s="770" t="s">
        <v>1208</v>
      </c>
      <c r="OE748" s="770"/>
      <c r="OF748" s="770"/>
      <c r="OG748" s="770"/>
      <c r="OH748" s="770"/>
      <c r="OI748" s="770"/>
      <c r="OJ748" s="770"/>
      <c r="OK748" s="770"/>
      <c r="OL748" s="770"/>
      <c r="OM748" s="770"/>
      <c r="ON748" s="770"/>
      <c r="OO748" s="770"/>
      <c r="OP748" s="770"/>
      <c r="OQ748" s="770"/>
      <c r="OR748" s="770"/>
      <c r="OS748" s="770"/>
      <c r="OT748" s="770"/>
      <c r="OU748" s="770"/>
      <c r="OV748" s="770"/>
      <c r="OW748" s="770"/>
      <c r="OX748" s="770"/>
      <c r="OY748" s="770"/>
      <c r="OZ748" s="770"/>
      <c r="PA748" s="770"/>
      <c r="PB748" s="770"/>
      <c r="PC748" s="770"/>
      <c r="PD748" s="770"/>
      <c r="PE748" s="770"/>
      <c r="PF748" s="770"/>
      <c r="PG748" s="770"/>
      <c r="PH748" s="770"/>
      <c r="PI748" s="770"/>
      <c r="PJ748" s="770"/>
      <c r="PK748" s="770"/>
      <c r="PL748" s="770"/>
      <c r="PM748" s="770"/>
      <c r="PN748" s="770"/>
      <c r="PO748" s="770"/>
      <c r="PP748" s="770"/>
      <c r="PQ748" s="770"/>
      <c r="PR748" s="770"/>
      <c r="PS748" s="770" t="s">
        <v>1208</v>
      </c>
      <c r="PT748" s="770"/>
      <c r="PU748" s="770"/>
      <c r="PV748" s="770"/>
      <c r="PW748" s="770"/>
      <c r="PX748" s="770"/>
      <c r="PY748" s="770"/>
      <c r="PZ748" s="770"/>
      <c r="QA748" s="770"/>
      <c r="QB748" s="770"/>
      <c r="QC748" s="770"/>
      <c r="QD748" s="770"/>
      <c r="QE748" s="770"/>
      <c r="QF748" s="770"/>
      <c r="QG748" s="770"/>
      <c r="QH748" s="770"/>
      <c r="QI748" s="770"/>
      <c r="QJ748" s="770"/>
      <c r="QK748" s="770"/>
      <c r="QL748" s="770"/>
      <c r="QM748" s="770"/>
      <c r="QN748" s="770"/>
      <c r="QO748" s="770"/>
      <c r="QP748" s="770"/>
      <c r="QQ748" s="770"/>
      <c r="QR748" s="770"/>
      <c r="QS748" s="770"/>
      <c r="QT748" s="770"/>
      <c r="QU748" s="770"/>
      <c r="QV748" s="770"/>
      <c r="QW748" s="770"/>
      <c r="QX748" s="770"/>
      <c r="QY748" s="770"/>
      <c r="QZ748" s="770"/>
      <c r="RA748" s="770"/>
      <c r="RB748" s="770" t="s">
        <v>1214</v>
      </c>
      <c r="RC748" s="770"/>
      <c r="RD748" s="770"/>
      <c r="RE748" s="770"/>
      <c r="RF748" s="304"/>
      <c r="RG748" s="770"/>
      <c r="RH748" s="306"/>
      <c r="RI748" s="770"/>
      <c r="RJ748" s="94" t="s">
        <v>13981</v>
      </c>
      <c r="RK748" s="770" t="s">
        <v>13556</v>
      </c>
      <c r="RL748" s="1710">
        <v>42846</v>
      </c>
      <c r="RM748" s="12"/>
      <c r="RN748" s="1711"/>
      <c r="RO748" s="149" t="s">
        <v>4935</v>
      </c>
      <c r="RP748" s="11"/>
      <c r="RQ748" s="11"/>
      <c r="RR748" s="19" t="s">
        <v>7421</v>
      </c>
      <c r="RS748" s="1139" t="s">
        <v>12980</v>
      </c>
      <c r="RT748" s="11"/>
      <c r="RU748" s="11"/>
      <c r="RV748" s="771" t="s">
        <v>7421</v>
      </c>
      <c r="RW748" s="11" t="s">
        <v>8056</v>
      </c>
      <c r="RX748" s="11" t="s">
        <v>4913</v>
      </c>
      <c r="RY748" s="11"/>
      <c r="RZ748" s="11" t="s">
        <v>2209</v>
      </c>
      <c r="SA748" s="771"/>
      <c r="SB748" s="11"/>
      <c r="SC748" s="11"/>
    </row>
    <row r="749" spans="1:497" ht="12.75" customHeight="1">
      <c r="A749" s="19" t="s">
        <v>7421</v>
      </c>
      <c r="B749" s="292" t="s">
        <v>8071</v>
      </c>
      <c r="C749" s="149" t="s">
        <v>4940</v>
      </c>
      <c r="D749" s="94" t="s">
        <v>4941</v>
      </c>
      <c r="E749" s="766" t="s">
        <v>5794</v>
      </c>
      <c r="F749" s="770"/>
      <c r="G749" s="770"/>
      <c r="H749" s="295"/>
      <c r="I749" s="12"/>
      <c r="J749" s="94"/>
      <c r="K749" s="766"/>
      <c r="L749" s="766"/>
      <c r="M749" s="770"/>
      <c r="N749" s="1757"/>
      <c r="O749" s="1757"/>
      <c r="P749" s="770"/>
      <c r="Q749" s="1088"/>
      <c r="R749" s="297"/>
      <c r="S749" s="770"/>
      <c r="T749" s="770"/>
      <c r="U749" s="295"/>
      <c r="V749" s="770"/>
      <c r="W749" s="770"/>
      <c r="X749" s="770"/>
      <c r="Y749" s="770"/>
      <c r="Z749" s="770"/>
      <c r="AA749" s="12"/>
      <c r="AB749" s="12"/>
      <c r="AC749" s="770"/>
      <c r="AD749" s="770"/>
      <c r="AE749" s="770"/>
      <c r="AF749" s="770"/>
      <c r="AG749" s="766" t="s">
        <v>1132</v>
      </c>
      <c r="AH749" s="766" t="s">
        <v>1096</v>
      </c>
      <c r="AI749" s="770"/>
      <c r="AJ749" s="770" t="s">
        <v>1137</v>
      </c>
      <c r="AK749" s="770" t="s">
        <v>1101</v>
      </c>
      <c r="AL749" s="531"/>
      <c r="AM749" s="780"/>
      <c r="AN749" s="532"/>
      <c r="AO749" s="766"/>
      <c r="AP749" s="766"/>
      <c r="AQ749" s="766"/>
      <c r="AR749" s="766"/>
      <c r="AS749" s="770"/>
      <c r="AT749" s="770"/>
      <c r="AU749" s="770"/>
      <c r="AV749" s="770"/>
      <c r="AW749" s="770"/>
      <c r="AX749" s="770"/>
      <c r="AY749" s="770"/>
      <c r="AZ749" s="770"/>
      <c r="BA749" s="770"/>
      <c r="BB749" s="770"/>
      <c r="BC749" s="770"/>
      <c r="BD749" s="770"/>
      <c r="BE749" s="770"/>
      <c r="BF749" s="302"/>
      <c r="BG749" s="302"/>
      <c r="BH749" s="770"/>
      <c r="BI749" s="770"/>
      <c r="BJ749" s="770"/>
      <c r="BK749" s="766"/>
      <c r="BL749" s="766"/>
      <c r="BM749" s="766"/>
      <c r="BN749" s="766"/>
      <c r="BO749" s="770"/>
      <c r="BP749" s="1109"/>
      <c r="BQ749" s="773"/>
      <c r="BR749" s="774"/>
      <c r="BS749" s="766"/>
      <c r="BT749" s="770"/>
      <c r="BU749" s="770"/>
      <c r="BV749" s="770"/>
      <c r="BW749" s="770"/>
      <c r="BX749" s="302"/>
      <c r="BY749" s="770"/>
      <c r="BZ749" s="302"/>
      <c r="CA749" s="770"/>
      <c r="CB749" s="770"/>
      <c r="CC749" s="770"/>
      <c r="CD749" s="770"/>
      <c r="CE749" s="302"/>
      <c r="CF749" s="304"/>
      <c r="CG749" s="321"/>
      <c r="CH749" s="770"/>
      <c r="CI749" s="770"/>
      <c r="CJ749" s="770"/>
      <c r="CK749" s="770"/>
      <c r="CL749" s="770"/>
      <c r="CM749" s="770"/>
      <c r="CN749" s="770"/>
      <c r="CO749" s="12"/>
      <c r="CP749" s="770"/>
      <c r="CQ749" s="770"/>
      <c r="CR749" s="302"/>
      <c r="CS749" s="770"/>
      <c r="CT749" s="770"/>
      <c r="CU749" s="305"/>
      <c r="CV749" s="770"/>
      <c r="CW749" s="770"/>
      <c r="CX749" s="770"/>
      <c r="CY749" s="770"/>
      <c r="CZ749" s="770"/>
      <c r="DA749" s="306"/>
      <c r="DB749" s="770"/>
      <c r="DC749" s="770"/>
      <c r="DD749" s="770"/>
      <c r="DE749" s="300"/>
      <c r="DF749" s="770"/>
      <c r="DG749" s="770"/>
      <c r="DH749" s="770"/>
      <c r="DI749" s="770"/>
      <c r="DJ749" s="770"/>
      <c r="DK749" s="770"/>
      <c r="DL749" s="770"/>
      <c r="DM749" s="770"/>
      <c r="DN749" s="322"/>
      <c r="DO749" s="770"/>
      <c r="DP749" s="770"/>
      <c r="DQ749" s="770"/>
      <c r="DR749" s="770"/>
      <c r="DS749" s="307"/>
      <c r="DT749" s="770"/>
      <c r="DU749" s="770"/>
      <c r="DV749" s="770"/>
      <c r="DW749" s="306"/>
      <c r="DX749" s="306"/>
      <c r="DY749" s="1055"/>
      <c r="DZ749" s="770"/>
      <c r="EA749" s="770"/>
      <c r="EB749" s="770"/>
      <c r="EC749" s="770"/>
      <c r="ED749" s="770"/>
      <c r="EE749" s="770"/>
      <c r="EF749" s="770"/>
      <c r="EG749" s="770"/>
      <c r="EH749" s="770"/>
      <c r="EI749" s="770"/>
      <c r="EJ749" s="770"/>
      <c r="EK749" s="770"/>
      <c r="EL749" s="770"/>
      <c r="EM749" s="770"/>
      <c r="EN749" s="770"/>
      <c r="EO749" s="770"/>
      <c r="EP749" s="94"/>
      <c r="EQ749" s="770"/>
      <c r="ER749" s="770"/>
      <c r="ES749" s="770"/>
      <c r="ET749" s="770"/>
      <c r="EU749" s="770"/>
      <c r="EV749" s="770"/>
      <c r="EW749" s="770"/>
      <c r="EX749" s="770"/>
      <c r="EY749" s="770"/>
      <c r="EZ749" s="770"/>
      <c r="FA749" s="770"/>
      <c r="FB749" s="770"/>
      <c r="FC749" s="770"/>
      <c r="FD749" s="302"/>
      <c r="FE749" s="770"/>
      <c r="FF749" s="770"/>
      <c r="FG749" s="770"/>
      <c r="FH749" s="770"/>
      <c r="FI749" s="770"/>
      <c r="FJ749" s="770"/>
      <c r="FK749" s="770"/>
      <c r="FL749" s="770"/>
      <c r="FM749" s="302"/>
      <c r="FN749" s="302"/>
      <c r="FO749" s="302"/>
      <c r="FP749" s="770"/>
      <c r="FQ749" s="770"/>
      <c r="FR749" s="770"/>
      <c r="FS749" s="770"/>
      <c r="FT749" s="770"/>
      <c r="FU749" s="770"/>
      <c r="FV749" s="770"/>
      <c r="FW749" s="770"/>
      <c r="FX749" s="770"/>
      <c r="FY749" s="770"/>
      <c r="FZ749" s="770"/>
      <c r="GA749" s="770"/>
      <c r="GB749" s="770"/>
      <c r="GC749" s="308"/>
      <c r="GD749" s="297"/>
      <c r="GE749" s="770"/>
      <c r="GF749" s="302"/>
      <c r="GG749" s="302"/>
      <c r="GH749" s="770"/>
      <c r="GI749" s="770"/>
      <c r="GJ749" s="770"/>
      <c r="GK749" s="770"/>
      <c r="GL749" s="770"/>
      <c r="GM749" s="770"/>
      <c r="GN749" s="299"/>
      <c r="GO749" s="770"/>
      <c r="GP749" s="770"/>
      <c r="GQ749" s="770"/>
      <c r="GR749" s="770"/>
      <c r="GS749" s="770"/>
      <c r="GT749" s="770"/>
      <c r="GU749" s="770"/>
      <c r="GV749" s="770"/>
      <c r="GW749" s="770"/>
      <c r="GX749" s="770"/>
      <c r="GY749" s="770"/>
      <c r="GZ749" s="770"/>
      <c r="HA749" s="770"/>
      <c r="HB749" s="770"/>
      <c r="HC749" s="770"/>
      <c r="HD749" s="770"/>
      <c r="HE749" s="770"/>
      <c r="HF749" s="770"/>
      <c r="HG749" s="770"/>
      <c r="HH749" s="770"/>
      <c r="HI749" s="770"/>
      <c r="HJ749" s="770"/>
      <c r="HK749" s="770"/>
      <c r="HL749" s="770"/>
      <c r="HM749" s="770"/>
      <c r="HN749" s="770"/>
      <c r="HO749" s="770"/>
      <c r="HP749" s="770"/>
      <c r="HQ749" s="770"/>
      <c r="HR749" s="770"/>
      <c r="HS749" s="770"/>
      <c r="HT749" s="770"/>
      <c r="HU749" s="770"/>
      <c r="HV749" s="770"/>
      <c r="HW749" s="770"/>
      <c r="HX749" s="770"/>
      <c r="HY749" s="770"/>
      <c r="HZ749" s="770"/>
      <c r="IA749" s="770"/>
      <c r="IB749" s="770"/>
      <c r="IC749" s="770"/>
      <c r="ID749" s="770"/>
      <c r="IE749" s="770"/>
      <c r="IF749" s="770"/>
      <c r="IG749" s="770"/>
      <c r="IH749" s="770"/>
      <c r="II749" s="770"/>
      <c r="IJ749" s="770"/>
      <c r="IK749" s="770"/>
      <c r="IL749" s="770"/>
      <c r="IM749" s="770"/>
      <c r="IN749" s="770"/>
      <c r="IO749" s="296"/>
      <c r="IP749" s="770"/>
      <c r="IQ749" s="770"/>
      <c r="IR749" s="770"/>
      <c r="IS749" s="770"/>
      <c r="IT749" s="770"/>
      <c r="IU749" s="770"/>
      <c r="IV749" s="770"/>
      <c r="IW749" s="770"/>
      <c r="IX749" s="770"/>
      <c r="IY749" s="770"/>
      <c r="IZ749" s="770"/>
      <c r="JA749" s="770"/>
      <c r="JB749" s="770"/>
      <c r="JC749" s="770"/>
      <c r="JD749" s="302"/>
      <c r="JE749" s="770"/>
      <c r="JF749" s="770"/>
      <c r="JG749" s="770"/>
      <c r="JH749" s="307"/>
      <c r="JI749" s="307"/>
      <c r="JJ749" s="770"/>
      <c r="JK749" s="770"/>
      <c r="JL749" s="770"/>
      <c r="JM749" s="770"/>
      <c r="JN749" s="770"/>
      <c r="JO749" s="770"/>
      <c r="JP749" s="770"/>
      <c r="JQ749" s="770"/>
      <c r="JR749" s="770"/>
      <c r="JS749" s="770"/>
      <c r="JT749" s="766"/>
      <c r="JU749" s="766"/>
      <c r="JV749" s="766"/>
      <c r="JW749" s="766"/>
      <c r="JX749" s="770"/>
      <c r="JY749" s="770"/>
      <c r="JZ749" s="770"/>
      <c r="KA749" s="770"/>
      <c r="KB749" s="770"/>
      <c r="KC749" s="770"/>
      <c r="KD749" s="770"/>
      <c r="KE749" s="770"/>
      <c r="KF749" s="770"/>
      <c r="KG749" s="770"/>
      <c r="KH749" s="770"/>
      <c r="KI749" s="770"/>
      <c r="KJ749" s="770"/>
      <c r="KK749" s="770"/>
      <c r="KL749" s="770"/>
      <c r="KM749" s="770"/>
      <c r="KN749" s="770"/>
      <c r="KO749" s="770"/>
      <c r="KP749" s="770"/>
      <c r="KQ749" s="770"/>
      <c r="KR749" s="770"/>
      <c r="KS749" s="770"/>
      <c r="KT749" s="770"/>
      <c r="KU749" s="770"/>
      <c r="KV749" s="770"/>
      <c r="KW749" s="770"/>
      <c r="KX749" s="770"/>
      <c r="KY749" s="770"/>
      <c r="KZ749" s="770"/>
      <c r="LA749" s="770"/>
      <c r="LB749" s="770"/>
      <c r="LC749" s="770"/>
      <c r="LD749" s="770"/>
      <c r="LE749" s="770"/>
      <c r="LF749" s="770"/>
      <c r="LG749" s="770"/>
      <c r="LH749" s="770"/>
      <c r="LI749" s="770"/>
      <c r="LJ749" s="770"/>
      <c r="LK749" s="770"/>
      <c r="LL749" s="770"/>
      <c r="LM749" s="770"/>
      <c r="LN749" s="766"/>
      <c r="LO749" s="766"/>
      <c r="LP749" s="770"/>
      <c r="LQ749" s="770"/>
      <c r="LR749" s="770"/>
      <c r="LS749" s="770"/>
      <c r="LT749" s="770"/>
      <c r="LU749" s="770"/>
      <c r="LV749" s="770"/>
      <c r="LW749" s="770"/>
      <c r="LX749" s="769"/>
      <c r="LY749" s="766" t="str">
        <f t="shared" si="231"/>
        <v/>
      </c>
      <c r="LZ749" s="1709"/>
      <c r="MA749" s="1709"/>
      <c r="MB749" s="1709"/>
      <c r="MC749" s="1679">
        <f t="shared" si="229"/>
        <v>0</v>
      </c>
      <c r="MD749" s="1709"/>
      <c r="ME749" s="1709"/>
      <c r="MF749" s="1709"/>
      <c r="MG749" s="1680">
        <f t="shared" si="216"/>
        <v>0</v>
      </c>
      <c r="MH749" s="770"/>
      <c r="MI749" s="302"/>
      <c r="MJ749" s="302"/>
      <c r="MK749" s="302"/>
      <c r="ML749" s="302"/>
      <c r="MM749" s="302"/>
      <c r="MN749" s="302"/>
      <c r="MO749" s="302"/>
      <c r="MP749" s="302"/>
      <c r="MQ749" s="302"/>
      <c r="MR749" s="302"/>
      <c r="MS749" s="302"/>
      <c r="MT749" s="302"/>
      <c r="MU749" s="302"/>
      <c r="MV749" s="302"/>
      <c r="MW749" s="302"/>
      <c r="MX749" s="302"/>
      <c r="MY749" s="1682">
        <f t="shared" si="217"/>
        <v>0</v>
      </c>
      <c r="MZ749" s="770"/>
      <c r="NA749" s="770"/>
      <c r="NB749" s="770"/>
      <c r="NC749" s="770"/>
      <c r="ND749" s="770"/>
      <c r="NE749" s="770"/>
      <c r="NF749" s="770"/>
      <c r="NG749" s="770"/>
      <c r="NH749" s="770"/>
      <c r="NI749" s="770"/>
      <c r="NJ749" s="770"/>
      <c r="NK749" s="770"/>
      <c r="NL749" s="770"/>
      <c r="NM749" s="770"/>
      <c r="NN749" s="770"/>
      <c r="NO749" s="770"/>
      <c r="NP749" s="770"/>
      <c r="NQ749" s="770"/>
      <c r="NR749" s="770"/>
      <c r="NS749" s="770"/>
      <c r="NT749" s="770"/>
      <c r="NU749" s="770"/>
      <c r="NV749" s="770"/>
      <c r="NW749" s="770"/>
      <c r="NX749" s="770"/>
      <c r="NY749" s="770"/>
      <c r="NZ749" s="770"/>
      <c r="OA749" s="770"/>
      <c r="OB749" s="770"/>
      <c r="OC749" s="770"/>
      <c r="OD749" s="770"/>
      <c r="OE749" s="770"/>
      <c r="OF749" s="770"/>
      <c r="OG749" s="770"/>
      <c r="OH749" s="770"/>
      <c r="OI749" s="770"/>
      <c r="OJ749" s="770"/>
      <c r="OK749" s="770"/>
      <c r="OL749" s="770"/>
      <c r="OM749" s="770"/>
      <c r="ON749" s="770"/>
      <c r="OO749" s="770"/>
      <c r="OP749" s="770"/>
      <c r="OQ749" s="770"/>
      <c r="OR749" s="770"/>
      <c r="OS749" s="770"/>
      <c r="OT749" s="770"/>
      <c r="OU749" s="770"/>
      <c r="OV749" s="770"/>
      <c r="OW749" s="770"/>
      <c r="OX749" s="770"/>
      <c r="OY749" s="770"/>
      <c r="OZ749" s="770"/>
      <c r="PA749" s="770"/>
      <c r="PB749" s="770"/>
      <c r="PC749" s="770"/>
      <c r="PD749" s="770"/>
      <c r="PE749" s="770"/>
      <c r="PF749" s="770"/>
      <c r="PG749" s="770"/>
      <c r="PH749" s="770"/>
      <c r="PI749" s="770"/>
      <c r="PJ749" s="770"/>
      <c r="PK749" s="770"/>
      <c r="PL749" s="770"/>
      <c r="PM749" s="770"/>
      <c r="PN749" s="770"/>
      <c r="PO749" s="770"/>
      <c r="PP749" s="770"/>
      <c r="PQ749" s="770"/>
      <c r="PR749" s="770"/>
      <c r="PS749" s="770"/>
      <c r="PT749" s="770"/>
      <c r="PU749" s="770"/>
      <c r="PV749" s="770"/>
      <c r="PW749" s="770"/>
      <c r="PX749" s="770"/>
      <c r="PY749" s="770"/>
      <c r="PZ749" s="770"/>
      <c r="QA749" s="770"/>
      <c r="QB749" s="770"/>
      <c r="QC749" s="770"/>
      <c r="QD749" s="770"/>
      <c r="QE749" s="770"/>
      <c r="QF749" s="770"/>
      <c r="QG749" s="770"/>
      <c r="QH749" s="770"/>
      <c r="QI749" s="770"/>
      <c r="QJ749" s="770"/>
      <c r="QK749" s="770"/>
      <c r="QL749" s="770"/>
      <c r="QM749" s="770"/>
      <c r="QN749" s="770"/>
      <c r="QO749" s="770"/>
      <c r="QP749" s="770"/>
      <c r="QQ749" s="770"/>
      <c r="QR749" s="770"/>
      <c r="QS749" s="770"/>
      <c r="QT749" s="770"/>
      <c r="QU749" s="770"/>
      <c r="QV749" s="770"/>
      <c r="QW749" s="770"/>
      <c r="QX749" s="770"/>
      <c r="QY749" s="770"/>
      <c r="QZ749" s="770"/>
      <c r="RA749" s="770"/>
      <c r="RB749" s="770"/>
      <c r="RC749" s="770"/>
      <c r="RD749" s="770"/>
      <c r="RE749" s="770"/>
      <c r="RF749" s="304"/>
      <c r="RG749" s="770"/>
      <c r="RH749" s="306"/>
      <c r="RI749" s="770"/>
      <c r="RJ749" s="94"/>
      <c r="RK749" s="770"/>
      <c r="RL749" s="1710"/>
      <c r="RM749" s="12"/>
      <c r="RN749" s="1711"/>
      <c r="RO749" s="149" t="s">
        <v>4940</v>
      </c>
      <c r="RP749" s="11"/>
      <c r="RQ749" s="11"/>
      <c r="RR749" s="17"/>
      <c r="RS749" s="767"/>
      <c r="RT749" s="11"/>
      <c r="RU749" s="11"/>
      <c r="RV749" s="771" t="s">
        <v>7421</v>
      </c>
      <c r="RW749" s="11" t="s">
        <v>8057</v>
      </c>
      <c r="RX749" s="11" t="s">
        <v>4926</v>
      </c>
      <c r="RY749" s="11"/>
      <c r="RZ749" s="11" t="s">
        <v>2209</v>
      </c>
      <c r="SA749" s="771"/>
      <c r="SB749" s="11"/>
      <c r="SC749" s="11"/>
    </row>
    <row r="750" spans="1:497" ht="12.75" customHeight="1">
      <c r="A750" s="19" t="s">
        <v>7421</v>
      </c>
      <c r="B750" s="292" t="s">
        <v>8054</v>
      </c>
      <c r="C750" s="149" t="s">
        <v>4942</v>
      </c>
      <c r="D750" s="94" t="s">
        <v>4943</v>
      </c>
      <c r="E750" s="766" t="s">
        <v>4944</v>
      </c>
      <c r="F750" s="770" t="s">
        <v>28</v>
      </c>
      <c r="G750" s="770" t="s">
        <v>18</v>
      </c>
      <c r="H750" s="295"/>
      <c r="I750" s="12"/>
      <c r="J750" s="94" t="s">
        <v>4943</v>
      </c>
      <c r="K750" s="766" t="s">
        <v>4945</v>
      </c>
      <c r="L750" s="766" t="s">
        <v>4843</v>
      </c>
      <c r="M750" s="770"/>
      <c r="N750" s="1757"/>
      <c r="O750" s="1757" t="s">
        <v>4793</v>
      </c>
      <c r="P750" s="94" t="s">
        <v>4946</v>
      </c>
      <c r="Q750" s="1088">
        <v>15425</v>
      </c>
      <c r="R750" s="297">
        <v>75</v>
      </c>
      <c r="S750" s="770" t="s">
        <v>18</v>
      </c>
      <c r="T750" s="770"/>
      <c r="U750" s="295"/>
      <c r="V750" s="770" t="s">
        <v>719</v>
      </c>
      <c r="W750" s="770"/>
      <c r="X750" s="770"/>
      <c r="Y750" s="770" t="s">
        <v>4944</v>
      </c>
      <c r="Z750" s="770" t="s">
        <v>708</v>
      </c>
      <c r="AA750" s="12" t="s">
        <v>709</v>
      </c>
      <c r="AB750" s="770" t="s">
        <v>710</v>
      </c>
      <c r="AC750" s="770" t="s">
        <v>724</v>
      </c>
      <c r="AD750" s="770" t="s">
        <v>711</v>
      </c>
      <c r="AE750" s="770"/>
      <c r="AF750" s="770" t="s">
        <v>712</v>
      </c>
      <c r="AG750" s="766" t="s">
        <v>1132</v>
      </c>
      <c r="AH750" s="766" t="s">
        <v>1096</v>
      </c>
      <c r="AI750" s="770"/>
      <c r="AJ750" s="770" t="s">
        <v>1137</v>
      </c>
      <c r="AK750" s="770" t="s">
        <v>1101</v>
      </c>
      <c r="AL750" s="531">
        <v>9</v>
      </c>
      <c r="AM750" s="780">
        <v>6</v>
      </c>
      <c r="AN750" s="532">
        <f t="shared" ref="AN750:AN769" si="232">AM750/AL750</f>
        <v>0.66666666666666663</v>
      </c>
      <c r="AO750" s="766" t="s">
        <v>1105</v>
      </c>
      <c r="AP750" s="766"/>
      <c r="AQ750" s="766"/>
      <c r="AR750" s="766"/>
      <c r="AS750" s="770"/>
      <c r="AT750" s="770"/>
      <c r="AU750" s="770"/>
      <c r="AV750" s="770"/>
      <c r="AW750" s="770"/>
      <c r="AX750" s="770"/>
      <c r="AY750" s="770"/>
      <c r="AZ750" s="770"/>
      <c r="BA750" s="770"/>
      <c r="BB750" s="770"/>
      <c r="BC750" s="770"/>
      <c r="BD750" s="770"/>
      <c r="BE750" s="770"/>
      <c r="BF750" s="302"/>
      <c r="BG750" s="302"/>
      <c r="BH750" s="770"/>
      <c r="BI750" s="770"/>
      <c r="BJ750" s="770"/>
      <c r="BK750" s="766" t="s">
        <v>1095</v>
      </c>
      <c r="BL750" s="766" t="s">
        <v>4947</v>
      </c>
      <c r="BM750" s="766" t="s">
        <v>1096</v>
      </c>
      <c r="BN750" s="766" t="s">
        <v>1230</v>
      </c>
      <c r="BO750" s="766" t="s">
        <v>1239</v>
      </c>
      <c r="BP750" s="1109">
        <v>18</v>
      </c>
      <c r="BQ750" s="773">
        <v>12</v>
      </c>
      <c r="BR750" s="774">
        <f t="shared" ref="BR750:BR758" si="233">BQ750/BP750</f>
        <v>0.66666666666666663</v>
      </c>
      <c r="BS750" s="766" t="s">
        <v>1105</v>
      </c>
      <c r="BT750" s="766" t="s">
        <v>8133</v>
      </c>
      <c r="BU750" s="770" t="s">
        <v>1249</v>
      </c>
      <c r="BV750" s="770" t="s">
        <v>1247</v>
      </c>
      <c r="BW750" s="770">
        <v>1990</v>
      </c>
      <c r="BX750" s="302"/>
      <c r="BY750" s="770"/>
      <c r="BZ750" s="302"/>
      <c r="CA750" s="770"/>
      <c r="CB750" s="770"/>
      <c r="CC750" s="770"/>
      <c r="CD750" s="770"/>
      <c r="CE750" s="302"/>
      <c r="CF750" s="304"/>
      <c r="CG750" s="321"/>
      <c r="CH750" s="770"/>
      <c r="CI750" s="770"/>
      <c r="CJ750" s="770"/>
      <c r="CK750" s="770"/>
      <c r="CL750" s="770"/>
      <c r="CM750" s="770"/>
      <c r="CN750" s="770"/>
      <c r="CO750" s="12"/>
      <c r="CP750" s="770"/>
      <c r="CQ750" s="770"/>
      <c r="CR750" s="302"/>
      <c r="CS750" s="770"/>
      <c r="CT750" s="770"/>
      <c r="CU750" s="305"/>
      <c r="CV750" s="770"/>
      <c r="CW750" s="770"/>
      <c r="CX750" s="770"/>
      <c r="CY750" s="770"/>
      <c r="CZ750" s="770"/>
      <c r="DA750" s="306"/>
      <c r="DB750" s="770"/>
      <c r="DC750" s="770"/>
      <c r="DD750" s="770"/>
      <c r="DE750" s="300"/>
      <c r="DF750" s="770"/>
      <c r="DG750" s="770"/>
      <c r="DH750" s="770"/>
      <c r="DI750" s="770"/>
      <c r="DJ750" s="770"/>
      <c r="DK750" s="770"/>
      <c r="DL750" s="770"/>
      <c r="DM750" s="770"/>
      <c r="DN750" s="322"/>
      <c r="DO750" s="770"/>
      <c r="DP750" s="770"/>
      <c r="DQ750" s="770"/>
      <c r="DR750" s="770"/>
      <c r="DS750" s="307"/>
      <c r="DT750" s="770"/>
      <c r="DU750" s="770"/>
      <c r="DV750" s="770"/>
      <c r="DW750" s="306"/>
      <c r="DX750" s="306"/>
      <c r="DY750" s="1055"/>
      <c r="DZ750" s="770"/>
      <c r="EA750" s="770"/>
      <c r="EB750" s="770"/>
      <c r="EC750" s="770"/>
      <c r="ED750" s="770"/>
      <c r="EE750" s="770"/>
      <c r="EF750" s="770"/>
      <c r="EG750" s="770"/>
      <c r="EH750" s="770"/>
      <c r="EI750" s="770"/>
      <c r="EJ750" s="770"/>
      <c r="EK750" s="770"/>
      <c r="EL750" s="770"/>
      <c r="EM750" s="770"/>
      <c r="EN750" s="770"/>
      <c r="EO750" s="770"/>
      <c r="EP750" s="94"/>
      <c r="EQ750" s="770"/>
      <c r="ER750" s="770"/>
      <c r="ES750" s="770"/>
      <c r="ET750" s="770"/>
      <c r="EU750" s="770"/>
      <c r="EV750" s="770"/>
      <c r="EW750" s="770"/>
      <c r="EX750" s="770"/>
      <c r="EY750" s="770"/>
      <c r="EZ750" s="770"/>
      <c r="FA750" s="770"/>
      <c r="FB750" s="770"/>
      <c r="FC750" s="770"/>
      <c r="FD750" s="302"/>
      <c r="FE750" s="770"/>
      <c r="FF750" s="770"/>
      <c r="FG750" s="770"/>
      <c r="FH750" s="770" t="s">
        <v>478</v>
      </c>
      <c r="FI750" s="770">
        <v>1</v>
      </c>
      <c r="FJ750" s="770"/>
      <c r="FK750" s="770"/>
      <c r="FL750" s="770"/>
      <c r="FM750" s="302"/>
      <c r="FN750" s="302"/>
      <c r="FO750" s="302"/>
      <c r="FP750" s="766" t="s">
        <v>1602</v>
      </c>
      <c r="FQ750" s="766" t="s">
        <v>1660</v>
      </c>
      <c r="FR750" s="770" t="s">
        <v>1214</v>
      </c>
      <c r="FS750" s="770"/>
      <c r="FT750" s="770"/>
      <c r="FU750" s="770"/>
      <c r="FV750" s="770"/>
      <c r="FW750" s="770"/>
      <c r="FX750" s="770"/>
      <c r="FY750" s="770"/>
      <c r="FZ750" s="770"/>
      <c r="GA750" s="770"/>
      <c r="GB750" s="770" t="s">
        <v>1734</v>
      </c>
      <c r="GC750" s="308"/>
      <c r="GD750" s="297">
        <v>1990</v>
      </c>
      <c r="GE750" s="770" t="s">
        <v>1214</v>
      </c>
      <c r="GF750" s="302"/>
      <c r="GG750" s="302"/>
      <c r="GH750" s="712" t="s">
        <v>1791</v>
      </c>
      <c r="GI750" s="770" t="s">
        <v>1008</v>
      </c>
      <c r="GJ750" s="770" t="s">
        <v>4948</v>
      </c>
      <c r="GK750" s="770" t="s">
        <v>2335</v>
      </c>
      <c r="GL750" s="770"/>
      <c r="GM750" s="770" t="s">
        <v>4949</v>
      </c>
      <c r="GN750" s="299"/>
      <c r="GO750" s="770" t="s">
        <v>4950</v>
      </c>
      <c r="GP750" s="770" t="s">
        <v>1208</v>
      </c>
      <c r="GQ750" s="770"/>
      <c r="GR750" s="770"/>
      <c r="GS750" s="770"/>
      <c r="GT750" s="770"/>
      <c r="GU750" s="770"/>
      <c r="GV750" s="770"/>
      <c r="GW750" s="770" t="s">
        <v>1207</v>
      </c>
      <c r="GX750" s="770"/>
      <c r="GY750" s="770" t="s">
        <v>1208</v>
      </c>
      <c r="GZ750" s="770"/>
      <c r="HA750" s="770"/>
      <c r="HB750" s="770" t="s">
        <v>1208</v>
      </c>
      <c r="HC750" s="770"/>
      <c r="HD750" s="770" t="s">
        <v>1208</v>
      </c>
      <c r="HE750" s="770"/>
      <c r="HF750" s="770"/>
      <c r="HG750" s="770"/>
      <c r="HH750" s="770" t="s">
        <v>1955</v>
      </c>
      <c r="HI750" s="770" t="s">
        <v>1214</v>
      </c>
      <c r="HJ750" s="770"/>
      <c r="HK750" s="770"/>
      <c r="HL750" s="770" t="s">
        <v>1214</v>
      </c>
      <c r="HM750" s="770"/>
      <c r="HN750" s="770"/>
      <c r="HO750" s="770"/>
      <c r="HP750" s="770"/>
      <c r="HQ750" s="770"/>
      <c r="HR750" s="770">
        <v>1</v>
      </c>
      <c r="HS750" s="770">
        <v>1</v>
      </c>
      <c r="HT750" s="770"/>
      <c r="HU750" s="770"/>
      <c r="HV750" s="770"/>
      <c r="HW750" s="770"/>
      <c r="HX750" s="770"/>
      <c r="HY750" s="770"/>
      <c r="HZ750" s="770"/>
      <c r="IA750" s="770"/>
      <c r="IB750" s="14" t="e">
        <f>IF(#REF!&gt;0,IF(#REF!&lt;=10000,"Y",""),"")</f>
        <v>#REF!</v>
      </c>
      <c r="IC750" s="770" t="s">
        <v>1207</v>
      </c>
      <c r="ID750" s="770">
        <v>1</v>
      </c>
      <c r="IE750" s="770"/>
      <c r="IF750" s="770"/>
      <c r="IG750" s="770"/>
      <c r="IH750" s="770"/>
      <c r="II750" s="770"/>
      <c r="IJ750" s="770"/>
      <c r="IK750" s="770"/>
      <c r="IL750" s="770"/>
      <c r="IM750" s="770"/>
      <c r="IN750" s="770"/>
      <c r="IO750" s="296"/>
      <c r="IP750" s="770"/>
      <c r="IQ750" s="770"/>
      <c r="IR750" s="770"/>
      <c r="IS750" s="770"/>
      <c r="IT750" s="770"/>
      <c r="IU750" s="770"/>
      <c r="IV750" s="770"/>
      <c r="IW750" s="770"/>
      <c r="IX750" s="770"/>
      <c r="IY750" s="770"/>
      <c r="IZ750" s="770"/>
      <c r="JA750" s="770"/>
      <c r="JB750" s="770"/>
      <c r="JC750" s="770"/>
      <c r="JD750" s="302"/>
      <c r="JE750" s="770"/>
      <c r="JF750" s="770"/>
      <c r="JG750" s="770"/>
      <c r="JH750" s="307"/>
      <c r="JI750" s="307"/>
      <c r="JJ750" s="770">
        <v>8</v>
      </c>
      <c r="JK750" s="1139" t="s">
        <v>4951</v>
      </c>
      <c r="JL750" s="770">
        <v>3</v>
      </c>
      <c r="JM750" s="770">
        <v>1</v>
      </c>
      <c r="JN750" s="770">
        <v>2</v>
      </c>
      <c r="JO750" s="770">
        <v>1</v>
      </c>
      <c r="JP750" s="770"/>
      <c r="JQ750" s="770">
        <v>1</v>
      </c>
      <c r="JR750" s="770"/>
      <c r="JS750" s="770"/>
      <c r="JT750" s="766">
        <f>SUM(JP750,JN750,JL750,JR750)</f>
        <v>5</v>
      </c>
      <c r="JU750" s="766">
        <f>SUM(JQ750,JO750,JM750,JS750)</f>
        <v>3</v>
      </c>
      <c r="JV750" s="712" t="str">
        <f>IF(JT750=KJ750,"ok","male")</f>
        <v>ok</v>
      </c>
      <c r="JW750" s="712" t="str">
        <f>IF(JU750=KK750,"ok","female")</f>
        <v>ok</v>
      </c>
      <c r="JX750" s="770">
        <v>2</v>
      </c>
      <c r="JY750" s="770">
        <v>1</v>
      </c>
      <c r="JZ750" s="770">
        <v>1</v>
      </c>
      <c r="KA750" s="770"/>
      <c r="KB750" s="770"/>
      <c r="KC750" s="770"/>
      <c r="KD750" s="770">
        <v>2</v>
      </c>
      <c r="KE750" s="770">
        <v>1</v>
      </c>
      <c r="KF750" s="770"/>
      <c r="KG750" s="770">
        <v>1</v>
      </c>
      <c r="KH750" s="770"/>
      <c r="KI750" s="770"/>
      <c r="KJ750" s="770">
        <f t="shared" si="225"/>
        <v>5</v>
      </c>
      <c r="KK750" s="770">
        <f t="shared" si="225"/>
        <v>3</v>
      </c>
      <c r="KL750" s="712" t="str">
        <f>IF(KJ750=LN750,"ok","male")</f>
        <v>ok</v>
      </c>
      <c r="KM750" s="712" t="str">
        <f>IF(KK750=LO750,"ok","female")</f>
        <v>ok</v>
      </c>
      <c r="KN750" s="770" t="s">
        <v>719</v>
      </c>
      <c r="KO750" s="770"/>
      <c r="KP750" s="770"/>
      <c r="KQ750" s="770"/>
      <c r="KR750" s="770"/>
      <c r="KS750" s="770">
        <v>1</v>
      </c>
      <c r="KT750" s="770">
        <v>1</v>
      </c>
      <c r="KU750" s="770"/>
      <c r="KV750" s="770"/>
      <c r="KW750" s="770"/>
      <c r="KX750" s="770"/>
      <c r="KY750" s="770"/>
      <c r="KZ750" s="770">
        <v>1</v>
      </c>
      <c r="LA750" s="770">
        <v>1</v>
      </c>
      <c r="LB750" s="770">
        <v>1</v>
      </c>
      <c r="LC750" s="770"/>
      <c r="LD750" s="770"/>
      <c r="LE750" s="770">
        <v>1</v>
      </c>
      <c r="LF750" s="770"/>
      <c r="LG750" s="770"/>
      <c r="LH750" s="770"/>
      <c r="LI750" s="770"/>
      <c r="LJ750" s="770">
        <v>2</v>
      </c>
      <c r="LK750" s="770"/>
      <c r="LL750" s="770"/>
      <c r="LM750" s="770"/>
      <c r="LN750" s="766">
        <f t="shared" si="230"/>
        <v>5</v>
      </c>
      <c r="LO750" s="766">
        <f t="shared" si="230"/>
        <v>3</v>
      </c>
      <c r="LP750" s="770">
        <v>2</v>
      </c>
      <c r="LQ750" s="770">
        <v>1</v>
      </c>
      <c r="LR750" s="770"/>
      <c r="LS750" s="770">
        <v>1</v>
      </c>
      <c r="LT750" s="712" t="str">
        <f>IF(LQ750=SUM(LU750:LW750),"OK","REV")</f>
        <v>OK</v>
      </c>
      <c r="LU750" s="770">
        <v>1</v>
      </c>
      <c r="LV750" s="770"/>
      <c r="LW750" s="770"/>
      <c r="LX750" s="769">
        <v>1</v>
      </c>
      <c r="LY750" s="766" t="str">
        <f t="shared" si="231"/>
        <v>within the BRGY</v>
      </c>
      <c r="LZ750" s="1709">
        <v>3000</v>
      </c>
      <c r="MA750" s="1709"/>
      <c r="MB750" s="1709"/>
      <c r="MC750" s="1679">
        <f t="shared" si="229"/>
        <v>3000</v>
      </c>
      <c r="MD750" s="1696">
        <v>20000</v>
      </c>
      <c r="ME750" s="1696"/>
      <c r="MF750" s="1696">
        <v>3000</v>
      </c>
      <c r="MG750" s="1680">
        <f>SUM(MD750:MF750)</f>
        <v>23000</v>
      </c>
      <c r="MH750" s="770" t="s">
        <v>3337</v>
      </c>
      <c r="MI750" s="302">
        <v>6000</v>
      </c>
      <c r="MJ750" s="302">
        <v>5000</v>
      </c>
      <c r="MK750" s="302"/>
      <c r="ML750" s="302">
        <v>500</v>
      </c>
      <c r="MM750" s="302">
        <v>600</v>
      </c>
      <c r="MN750" s="302"/>
      <c r="MO750" s="302"/>
      <c r="MP750" s="302">
        <v>300</v>
      </c>
      <c r="MQ750" s="302"/>
      <c r="MR750" s="302">
        <v>300</v>
      </c>
      <c r="MS750" s="302">
        <v>500</v>
      </c>
      <c r="MT750" s="302"/>
      <c r="MU750" s="302"/>
      <c r="MV750" s="302"/>
      <c r="MW750" s="302"/>
      <c r="MX750" s="302"/>
      <c r="MY750" s="1682">
        <f t="shared" si="217"/>
        <v>13200</v>
      </c>
      <c r="MZ750" s="770" t="s">
        <v>13370</v>
      </c>
      <c r="NA750" s="770" t="s">
        <v>1249</v>
      </c>
      <c r="NB750" s="770" t="s">
        <v>13016</v>
      </c>
      <c r="NC750" s="770" t="s">
        <v>13602</v>
      </c>
      <c r="ND750" s="770">
        <v>0</v>
      </c>
      <c r="NE750" s="770">
        <v>0</v>
      </c>
      <c r="NF750" s="770">
        <v>0</v>
      </c>
      <c r="NG750" s="770">
        <v>1</v>
      </c>
      <c r="NH750" s="770">
        <v>1</v>
      </c>
      <c r="NI750" s="770">
        <v>1</v>
      </c>
      <c r="NJ750" s="770">
        <v>0</v>
      </c>
      <c r="NK750" s="770">
        <v>0</v>
      </c>
      <c r="NL750" s="770">
        <v>0</v>
      </c>
      <c r="NM750" s="770">
        <v>0</v>
      </c>
      <c r="NN750" s="770">
        <v>0</v>
      </c>
      <c r="NO750" s="770">
        <v>0</v>
      </c>
      <c r="NP750" s="770">
        <v>0</v>
      </c>
      <c r="NQ750" s="770">
        <v>0</v>
      </c>
      <c r="NR750" s="770">
        <v>0</v>
      </c>
      <c r="NS750" s="770">
        <v>0</v>
      </c>
      <c r="NT750" s="770">
        <v>0</v>
      </c>
      <c r="NU750" s="770">
        <v>0</v>
      </c>
      <c r="NV750" s="770">
        <v>0</v>
      </c>
      <c r="NW750" s="770">
        <v>0</v>
      </c>
      <c r="NX750" s="770">
        <v>0</v>
      </c>
      <c r="NY750" s="770" t="s">
        <v>1208</v>
      </c>
      <c r="NZ750" s="770"/>
      <c r="OA750" s="770"/>
      <c r="OB750" s="770"/>
      <c r="OC750" s="770" t="s">
        <v>1208</v>
      </c>
      <c r="OD750" s="770" t="s">
        <v>1208</v>
      </c>
      <c r="OE750" s="770"/>
      <c r="OF750" s="770" t="s">
        <v>2143</v>
      </c>
      <c r="OG750" s="770"/>
      <c r="OH750" s="770"/>
      <c r="OI750" s="770"/>
      <c r="OJ750" s="770"/>
      <c r="OK750" s="770"/>
      <c r="OL750" s="770"/>
      <c r="OM750" s="770"/>
      <c r="ON750" s="770"/>
      <c r="OO750" s="770"/>
      <c r="OP750" s="770"/>
      <c r="OQ750" s="770"/>
      <c r="OR750" s="770"/>
      <c r="OS750" s="770"/>
      <c r="OT750" s="770"/>
      <c r="OU750" s="770"/>
      <c r="OV750" s="770"/>
      <c r="OW750" s="770"/>
      <c r="OX750" s="770"/>
      <c r="OY750" s="770"/>
      <c r="OZ750" s="770"/>
      <c r="PA750" s="770"/>
      <c r="PB750" s="770"/>
      <c r="PC750" s="770"/>
      <c r="PD750" s="770"/>
      <c r="PE750" s="770"/>
      <c r="PF750" s="770"/>
      <c r="PG750" s="770"/>
      <c r="PH750" s="770"/>
      <c r="PI750" s="770"/>
      <c r="PJ750" s="770"/>
      <c r="PK750" s="770"/>
      <c r="PL750" s="770"/>
      <c r="PM750" s="770"/>
      <c r="PN750" s="770"/>
      <c r="PO750" s="770"/>
      <c r="PP750" s="770"/>
      <c r="PQ750" s="770"/>
      <c r="PR750" s="770"/>
      <c r="PS750" s="770"/>
      <c r="PT750" s="770"/>
      <c r="PU750" s="770"/>
      <c r="PV750" s="770"/>
      <c r="PW750" s="770"/>
      <c r="PX750" s="770"/>
      <c r="PY750" s="770"/>
      <c r="PZ750" s="770"/>
      <c r="QA750" s="770"/>
      <c r="QB750" s="770"/>
      <c r="QC750" s="770"/>
      <c r="QD750" s="770"/>
      <c r="QE750" s="770"/>
      <c r="QF750" s="770"/>
      <c r="QG750" s="770"/>
      <c r="QH750" s="770"/>
      <c r="QI750" s="770"/>
      <c r="QJ750" s="770"/>
      <c r="QK750" s="770"/>
      <c r="QL750" s="770"/>
      <c r="QM750" s="770"/>
      <c r="QN750" s="770"/>
      <c r="QO750" s="770"/>
      <c r="QP750" s="770"/>
      <c r="QQ750" s="770"/>
      <c r="QR750" s="770"/>
      <c r="QS750" s="770"/>
      <c r="QT750" s="770"/>
      <c r="QU750" s="770"/>
      <c r="QV750" s="770"/>
      <c r="QW750" s="770"/>
      <c r="QX750" s="770"/>
      <c r="QY750" s="770"/>
      <c r="QZ750" s="770"/>
      <c r="RA750" s="770"/>
      <c r="RB750" s="770" t="s">
        <v>1214</v>
      </c>
      <c r="RC750" s="770"/>
      <c r="RD750" s="770"/>
      <c r="RE750" s="770"/>
      <c r="RF750" s="304"/>
      <c r="RG750" s="770"/>
      <c r="RH750" s="306"/>
      <c r="RI750" s="770"/>
      <c r="RJ750" s="94" t="s">
        <v>4951</v>
      </c>
      <c r="RK750" s="770" t="s">
        <v>13550</v>
      </c>
      <c r="RL750" s="1710">
        <v>42846</v>
      </c>
      <c r="RM750" s="12"/>
      <c r="RN750" s="1711"/>
      <c r="RO750" s="149" t="s">
        <v>4942</v>
      </c>
      <c r="RP750" s="11"/>
      <c r="RQ750" s="11"/>
      <c r="RR750" s="19" t="s">
        <v>7421</v>
      </c>
      <c r="RS750" s="1139" t="s">
        <v>12980</v>
      </c>
      <c r="RT750" s="11"/>
      <c r="RU750" s="11"/>
      <c r="RV750" s="771" t="s">
        <v>7421</v>
      </c>
      <c r="RW750" s="11" t="s">
        <v>8070</v>
      </c>
      <c r="RX750" s="11" t="s">
        <v>4935</v>
      </c>
      <c r="RY750" s="11"/>
      <c r="RZ750" s="11" t="s">
        <v>2209</v>
      </c>
      <c r="SA750" s="771"/>
      <c r="SB750" s="11"/>
      <c r="SC750" s="11"/>
    </row>
    <row r="751" spans="1:497" ht="12.75" customHeight="1">
      <c r="A751" s="19" t="s">
        <v>7421</v>
      </c>
      <c r="B751" s="746" t="s">
        <v>7454</v>
      </c>
      <c r="C751" s="149" t="s">
        <v>4791</v>
      </c>
      <c r="D751" s="94" t="s">
        <v>8072</v>
      </c>
      <c r="E751" s="766" t="s">
        <v>5794</v>
      </c>
      <c r="F751" s="770"/>
      <c r="G751" s="770"/>
      <c r="H751" s="295"/>
      <c r="I751" s="12"/>
      <c r="J751" s="94"/>
      <c r="K751" s="766" t="s">
        <v>4945</v>
      </c>
      <c r="L751" s="766" t="s">
        <v>5757</v>
      </c>
      <c r="M751" s="770"/>
      <c r="N751" s="1757"/>
      <c r="O751" s="1757" t="s">
        <v>4793</v>
      </c>
      <c r="P751" s="94"/>
      <c r="Q751" s="1088"/>
      <c r="R751" s="297"/>
      <c r="S751" s="770"/>
      <c r="T751" s="770"/>
      <c r="U751" s="295"/>
      <c r="V751" s="770"/>
      <c r="W751" s="770"/>
      <c r="X751" s="770"/>
      <c r="Y751" s="770"/>
      <c r="Z751" s="770"/>
      <c r="AA751" s="770"/>
      <c r="AB751" s="770"/>
      <c r="AC751" s="770"/>
      <c r="AD751" s="770"/>
      <c r="AE751" s="770"/>
      <c r="AF751" s="770" t="s">
        <v>712</v>
      </c>
      <c r="AG751" s="766" t="s">
        <v>1132</v>
      </c>
      <c r="AH751" s="766" t="s">
        <v>1096</v>
      </c>
      <c r="AI751" s="770"/>
      <c r="AJ751" s="770" t="s">
        <v>1137</v>
      </c>
      <c r="AK751" s="770" t="s">
        <v>1101</v>
      </c>
      <c r="AL751" s="531">
        <v>12.5</v>
      </c>
      <c r="AM751" s="780">
        <v>1</v>
      </c>
      <c r="AN751" s="532">
        <f t="shared" si="232"/>
        <v>0.08</v>
      </c>
      <c r="AO751" s="766" t="s">
        <v>1098</v>
      </c>
      <c r="AP751" s="766"/>
      <c r="AQ751" s="766"/>
      <c r="AR751" s="766"/>
      <c r="AS751" s="770"/>
      <c r="AT751" s="770"/>
      <c r="AU751" s="770"/>
      <c r="AV751" s="770"/>
      <c r="AW751" s="770"/>
      <c r="AX751" s="770"/>
      <c r="AY751" s="770"/>
      <c r="AZ751" s="770"/>
      <c r="BA751" s="770"/>
      <c r="BB751" s="770"/>
      <c r="BC751" s="770"/>
      <c r="BD751" s="770"/>
      <c r="BE751" s="770"/>
      <c r="BF751" s="302"/>
      <c r="BG751" s="302"/>
      <c r="BH751" s="770"/>
      <c r="BI751" s="770"/>
      <c r="BJ751" s="770"/>
      <c r="BK751" s="766" t="s">
        <v>1095</v>
      </c>
      <c r="BL751" s="766" t="s">
        <v>5758</v>
      </c>
      <c r="BM751" s="766" t="s">
        <v>1096</v>
      </c>
      <c r="BN751" s="766" t="s">
        <v>1230</v>
      </c>
      <c r="BO751" s="770" t="s">
        <v>5759</v>
      </c>
      <c r="BP751" s="1109">
        <v>25</v>
      </c>
      <c r="BQ751" s="773">
        <v>2</v>
      </c>
      <c r="BR751" s="774">
        <f t="shared" si="233"/>
        <v>0.08</v>
      </c>
      <c r="BS751" s="766" t="s">
        <v>1242</v>
      </c>
      <c r="BT751" s="766" t="s">
        <v>8133</v>
      </c>
      <c r="BU751" s="770" t="s">
        <v>1249</v>
      </c>
      <c r="BV751" s="770" t="s">
        <v>1247</v>
      </c>
      <c r="BW751" s="769"/>
      <c r="BX751" s="302"/>
      <c r="BY751" s="770"/>
      <c r="BZ751" s="302"/>
      <c r="CA751" s="770"/>
      <c r="CB751" s="770"/>
      <c r="CC751" s="770"/>
      <c r="CD751" s="770"/>
      <c r="CE751" s="302"/>
      <c r="CF751" s="304"/>
      <c r="CG751" s="321"/>
      <c r="CH751" s="770"/>
      <c r="CI751" s="770"/>
      <c r="CJ751" s="770"/>
      <c r="CK751" s="770"/>
      <c r="CL751" s="770"/>
      <c r="CM751" s="770"/>
      <c r="CN751" s="770"/>
      <c r="CO751" s="770"/>
      <c r="CP751" s="770"/>
      <c r="CQ751" s="770"/>
      <c r="CR751" s="302"/>
      <c r="CS751" s="770"/>
      <c r="CT751" s="770"/>
      <c r="CU751" s="305"/>
      <c r="CV751" s="770"/>
      <c r="CW751" s="770"/>
      <c r="CX751" s="770"/>
      <c r="CY751" s="770"/>
      <c r="CZ751" s="770"/>
      <c r="DA751" s="306"/>
      <c r="DB751" s="770"/>
      <c r="DC751" s="770"/>
      <c r="DD751" s="770"/>
      <c r="DE751" s="300"/>
      <c r="DF751" s="770"/>
      <c r="DG751" s="770"/>
      <c r="DH751" s="770"/>
      <c r="DI751" s="770"/>
      <c r="DJ751" s="770"/>
      <c r="DK751" s="770"/>
      <c r="DL751" s="770"/>
      <c r="DM751" s="770"/>
      <c r="DN751" s="322"/>
      <c r="DO751" s="770"/>
      <c r="DP751" s="770"/>
      <c r="DQ751" s="770"/>
      <c r="DR751" s="770"/>
      <c r="DS751" s="307"/>
      <c r="DT751" s="770"/>
      <c r="DU751" s="770"/>
      <c r="DV751" s="770"/>
      <c r="DW751" s="306"/>
      <c r="DX751" s="306"/>
      <c r="DY751" s="1055"/>
      <c r="DZ751" s="770"/>
      <c r="EA751" s="770"/>
      <c r="EB751" s="770"/>
      <c r="EC751" s="770"/>
      <c r="ED751" s="770"/>
      <c r="EE751" s="770"/>
      <c r="EF751" s="770"/>
      <c r="EG751" s="770"/>
      <c r="EH751" s="770"/>
      <c r="EI751" s="770"/>
      <c r="EJ751" s="770"/>
      <c r="EK751" s="770"/>
      <c r="EL751" s="770"/>
      <c r="EM751" s="770"/>
      <c r="EN751" s="770"/>
      <c r="EO751" s="770"/>
      <c r="EP751" s="94"/>
      <c r="EQ751" s="770"/>
      <c r="ER751" s="770"/>
      <c r="ES751" s="770"/>
      <c r="ET751" s="770"/>
      <c r="EU751" s="770"/>
      <c r="EV751" s="770"/>
      <c r="EW751" s="770"/>
      <c r="EX751" s="770"/>
      <c r="EY751" s="770"/>
      <c r="EZ751" s="770"/>
      <c r="FA751" s="770"/>
      <c r="FB751" s="770"/>
      <c r="FC751" s="770"/>
      <c r="FD751" s="302"/>
      <c r="FE751" s="770"/>
      <c r="FF751" s="770"/>
      <c r="FG751" s="770"/>
      <c r="FH751" s="770"/>
      <c r="FI751" s="770"/>
      <c r="FJ751" s="770"/>
      <c r="FK751" s="770"/>
      <c r="FL751" s="770"/>
      <c r="FM751" s="302"/>
      <c r="FN751" s="302"/>
      <c r="FO751" s="302"/>
      <c r="FP751" s="766" t="s">
        <v>1600</v>
      </c>
      <c r="FQ751" s="766" t="s">
        <v>1642</v>
      </c>
      <c r="FR751" s="770"/>
      <c r="FS751" s="770"/>
      <c r="FT751" s="770"/>
      <c r="FU751" s="770"/>
      <c r="FV751" s="770"/>
      <c r="FW751" s="770"/>
      <c r="FX751" s="770"/>
      <c r="FY751" s="770"/>
      <c r="FZ751" s="770"/>
      <c r="GA751" s="770"/>
      <c r="GB751" s="770"/>
      <c r="GC751" s="308"/>
      <c r="GD751" s="297"/>
      <c r="GE751" s="770"/>
      <c r="GF751" s="302"/>
      <c r="GG751" s="302"/>
      <c r="GH751" s="770"/>
      <c r="GI751" s="770"/>
      <c r="GJ751" s="770"/>
      <c r="GK751" s="770"/>
      <c r="GL751" s="770"/>
      <c r="GM751" s="770"/>
      <c r="GN751" s="299"/>
      <c r="GO751" s="770"/>
      <c r="GP751" s="770"/>
      <c r="GQ751" s="770"/>
      <c r="GR751" s="770"/>
      <c r="GS751" s="770"/>
      <c r="GT751" s="770"/>
      <c r="GU751" s="770"/>
      <c r="GV751" s="770"/>
      <c r="GW751" s="770"/>
      <c r="GX751" s="770"/>
      <c r="GY751" s="770"/>
      <c r="GZ751" s="770"/>
      <c r="HA751" s="770"/>
      <c r="HB751" s="770"/>
      <c r="HC751" s="770"/>
      <c r="HD751" s="770"/>
      <c r="HE751" s="770"/>
      <c r="HF751" s="770"/>
      <c r="HG751" s="770"/>
      <c r="HH751" s="770"/>
      <c r="HI751" s="770"/>
      <c r="HJ751" s="770"/>
      <c r="HK751" s="770"/>
      <c r="HL751" s="770"/>
      <c r="HM751" s="770"/>
      <c r="HN751" s="770"/>
      <c r="HO751" s="770"/>
      <c r="HP751" s="770"/>
      <c r="HQ751" s="770"/>
      <c r="HR751" s="770"/>
      <c r="HS751" s="770"/>
      <c r="HT751" s="770"/>
      <c r="HU751" s="770"/>
      <c r="HV751" s="770"/>
      <c r="HW751" s="770"/>
      <c r="HX751" s="770"/>
      <c r="HY751" s="770"/>
      <c r="HZ751" s="770"/>
      <c r="IA751" s="770"/>
      <c r="IB751" s="14" t="e">
        <f>IF(#REF!&gt;0,IF(#REF!&lt;=10000,"Y",""),"")</f>
        <v>#REF!</v>
      </c>
      <c r="IC751" s="770"/>
      <c r="ID751" s="770"/>
      <c r="IE751" s="770"/>
      <c r="IF751" s="770"/>
      <c r="IG751" s="770"/>
      <c r="IH751" s="770"/>
      <c r="II751" s="770"/>
      <c r="IJ751" s="770"/>
      <c r="IK751" s="770"/>
      <c r="IL751" s="770"/>
      <c r="IM751" s="770"/>
      <c r="IN751" s="770"/>
      <c r="IO751" s="296"/>
      <c r="IP751" s="770"/>
      <c r="IQ751" s="770"/>
      <c r="IR751" s="770"/>
      <c r="IS751" s="770"/>
      <c r="IT751" s="770"/>
      <c r="IU751" s="770"/>
      <c r="IV751" s="770"/>
      <c r="IW751" s="770"/>
      <c r="IX751" s="770"/>
      <c r="IY751" s="770"/>
      <c r="IZ751" s="770"/>
      <c r="JA751" s="770"/>
      <c r="JB751" s="770"/>
      <c r="JC751" s="770"/>
      <c r="JD751" s="302"/>
      <c r="JE751" s="770"/>
      <c r="JF751" s="770"/>
      <c r="JG751" s="770"/>
      <c r="JH751" s="307"/>
      <c r="JI751" s="307"/>
      <c r="JJ751" s="94"/>
      <c r="JK751" s="1047" t="s">
        <v>6871</v>
      </c>
      <c r="JL751" s="770"/>
      <c r="JM751" s="770"/>
      <c r="JN751" s="770"/>
      <c r="JO751" s="770"/>
      <c r="JP751" s="770"/>
      <c r="JQ751" s="770"/>
      <c r="JR751" s="770"/>
      <c r="JS751" s="770"/>
      <c r="JT751" s="766"/>
      <c r="JU751" s="766"/>
      <c r="JV751" s="712" t="str">
        <f>IF(JT751=KJ751,"ok","male")</f>
        <v>ok</v>
      </c>
      <c r="JW751" s="712" t="str">
        <f>IF(JU751=KK751,"ok","female")</f>
        <v>ok</v>
      </c>
      <c r="JX751" s="770"/>
      <c r="JY751" s="770"/>
      <c r="JZ751" s="770"/>
      <c r="KA751" s="770"/>
      <c r="KB751" s="770"/>
      <c r="KC751" s="770"/>
      <c r="KD751" s="770"/>
      <c r="KE751" s="770"/>
      <c r="KF751" s="770"/>
      <c r="KG751" s="770"/>
      <c r="KH751" s="770"/>
      <c r="KI751" s="770"/>
      <c r="KJ751" s="770"/>
      <c r="KK751" s="770"/>
      <c r="KL751" s="712" t="str">
        <f>IF(KJ751=LN751,"ok","male")</f>
        <v>ok</v>
      </c>
      <c r="KM751" s="712" t="str">
        <f>IF(KK751=LO751,"ok","female")</f>
        <v>ok</v>
      </c>
      <c r="KN751" s="770"/>
      <c r="KO751" s="770"/>
      <c r="KP751" s="770"/>
      <c r="KQ751" s="770"/>
      <c r="KR751" s="770"/>
      <c r="KS751" s="770"/>
      <c r="KT751" s="770"/>
      <c r="KU751" s="770"/>
      <c r="KV751" s="770"/>
      <c r="KW751" s="770"/>
      <c r="KX751" s="770"/>
      <c r="KY751" s="770"/>
      <c r="KZ751" s="770"/>
      <c r="LA751" s="770"/>
      <c r="LB751" s="770"/>
      <c r="LC751" s="770"/>
      <c r="LD751" s="770"/>
      <c r="LE751" s="770"/>
      <c r="LF751" s="770"/>
      <c r="LG751" s="770"/>
      <c r="LH751" s="770"/>
      <c r="LI751" s="770"/>
      <c r="LJ751" s="770"/>
      <c r="LK751" s="770"/>
      <c r="LL751" s="770"/>
      <c r="LM751" s="770"/>
      <c r="LN751" s="766"/>
      <c r="LO751" s="766"/>
      <c r="LP751" s="770"/>
      <c r="LQ751" s="770"/>
      <c r="LR751" s="770"/>
      <c r="LS751" s="770"/>
      <c r="LT751" s="712" t="str">
        <f>IF(LQ751=SUM(LU751:LW751),"OK","REV")</f>
        <v>OK</v>
      </c>
      <c r="LU751" s="770"/>
      <c r="LV751" s="770"/>
      <c r="LW751" s="770"/>
      <c r="LX751" s="769"/>
      <c r="LY751" s="766" t="str">
        <f t="shared" si="231"/>
        <v/>
      </c>
      <c r="LZ751" s="1709"/>
      <c r="MA751" s="1709"/>
      <c r="MB751" s="1709"/>
      <c r="MC751" s="1679">
        <f t="shared" si="229"/>
        <v>0</v>
      </c>
      <c r="MD751" s="1709"/>
      <c r="ME751" s="1709"/>
      <c r="MF751" s="1709"/>
      <c r="MG751" s="1680">
        <v>0</v>
      </c>
      <c r="MH751" s="770"/>
      <c r="MI751" s="302"/>
      <c r="MJ751" s="302"/>
      <c r="MK751" s="302"/>
      <c r="ML751" s="302"/>
      <c r="MM751" s="302"/>
      <c r="MN751" s="302"/>
      <c r="MO751" s="302"/>
      <c r="MP751" s="302"/>
      <c r="MQ751" s="302"/>
      <c r="MR751" s="302"/>
      <c r="MS751" s="302"/>
      <c r="MT751" s="302"/>
      <c r="MU751" s="302"/>
      <c r="MV751" s="302"/>
      <c r="MW751" s="302"/>
      <c r="MX751" s="302"/>
      <c r="MY751" s="1682"/>
      <c r="MZ751" s="770"/>
      <c r="NA751" s="770"/>
      <c r="NB751" s="770"/>
      <c r="NC751" s="770"/>
      <c r="ND751" s="770"/>
      <c r="NE751" s="770"/>
      <c r="NF751" s="770"/>
      <c r="NG751" s="770"/>
      <c r="NH751" s="770"/>
      <c r="NI751" s="770"/>
      <c r="NJ751" s="770"/>
      <c r="NK751" s="770"/>
      <c r="NL751" s="770"/>
      <c r="NM751" s="770"/>
      <c r="NN751" s="770"/>
      <c r="NO751" s="770"/>
      <c r="NP751" s="770"/>
      <c r="NQ751" s="770"/>
      <c r="NR751" s="770"/>
      <c r="NS751" s="770"/>
      <c r="NT751" s="770"/>
      <c r="NU751" s="770"/>
      <c r="NV751" s="770"/>
      <c r="NW751" s="770"/>
      <c r="NX751" s="770"/>
      <c r="NY751" s="770"/>
      <c r="NZ751" s="770"/>
      <c r="OA751" s="770"/>
      <c r="OB751" s="770"/>
      <c r="OC751" s="770"/>
      <c r="OD751" s="770"/>
      <c r="OE751" s="770"/>
      <c r="OF751" s="770"/>
      <c r="OG751" s="770"/>
      <c r="OH751" s="770"/>
      <c r="OI751" s="770"/>
      <c r="OJ751" s="770"/>
      <c r="OK751" s="770"/>
      <c r="OL751" s="770"/>
      <c r="OM751" s="770"/>
      <c r="ON751" s="770"/>
      <c r="OO751" s="770"/>
      <c r="OP751" s="770"/>
      <c r="OQ751" s="770"/>
      <c r="OR751" s="770"/>
      <c r="OS751" s="770"/>
      <c r="OT751" s="770"/>
      <c r="OU751" s="770"/>
      <c r="OV751" s="770"/>
      <c r="OW751" s="770"/>
      <c r="OX751" s="770"/>
      <c r="OY751" s="770"/>
      <c r="OZ751" s="770"/>
      <c r="PA751" s="770"/>
      <c r="PB751" s="770"/>
      <c r="PC751" s="770"/>
      <c r="PD751" s="770"/>
      <c r="PE751" s="770"/>
      <c r="PF751" s="770"/>
      <c r="PG751" s="770"/>
      <c r="PH751" s="770"/>
      <c r="PI751" s="770"/>
      <c r="PJ751" s="770"/>
      <c r="PK751" s="770"/>
      <c r="PL751" s="770"/>
      <c r="PM751" s="770"/>
      <c r="PN751" s="770"/>
      <c r="PO751" s="770"/>
      <c r="PP751" s="770"/>
      <c r="PQ751" s="770"/>
      <c r="PR751" s="770"/>
      <c r="PS751" s="770"/>
      <c r="PT751" s="770"/>
      <c r="PU751" s="770"/>
      <c r="PV751" s="770"/>
      <c r="PW751" s="770"/>
      <c r="PX751" s="770"/>
      <c r="PY751" s="770"/>
      <c r="PZ751" s="770"/>
      <c r="QA751" s="770"/>
      <c r="QB751" s="770"/>
      <c r="QC751" s="770"/>
      <c r="QD751" s="770"/>
      <c r="QE751" s="770"/>
      <c r="QF751" s="770"/>
      <c r="QG751" s="770"/>
      <c r="QH751" s="770"/>
      <c r="QI751" s="770"/>
      <c r="QJ751" s="770"/>
      <c r="QK751" s="770"/>
      <c r="QL751" s="770"/>
      <c r="QM751" s="770"/>
      <c r="QN751" s="770"/>
      <c r="QO751" s="770"/>
      <c r="QP751" s="770"/>
      <c r="QQ751" s="770"/>
      <c r="QR751" s="770"/>
      <c r="QS751" s="770"/>
      <c r="QT751" s="770"/>
      <c r="QU751" s="770"/>
      <c r="QV751" s="770"/>
      <c r="QW751" s="770"/>
      <c r="QX751" s="770"/>
      <c r="QY751" s="770"/>
      <c r="QZ751" s="770"/>
      <c r="RA751" s="770"/>
      <c r="RB751" s="770"/>
      <c r="RC751" s="770"/>
      <c r="RD751" s="770"/>
      <c r="RE751" s="770"/>
      <c r="RF751" s="304"/>
      <c r="RG751" s="770"/>
      <c r="RH751" s="306"/>
      <c r="RI751" s="770"/>
      <c r="RJ751" s="94"/>
      <c r="RK751" s="770"/>
      <c r="RL751" s="1710"/>
      <c r="RM751" s="12"/>
      <c r="RN751" s="1711"/>
      <c r="RO751" s="149" t="s">
        <v>4791</v>
      </c>
      <c r="RP751" s="11"/>
      <c r="RQ751" s="11"/>
      <c r="RR751" s="19" t="s">
        <v>7421</v>
      </c>
      <c r="RS751" s="1139" t="s">
        <v>12980</v>
      </c>
      <c r="RT751" s="11"/>
      <c r="RU751" s="11"/>
      <c r="RV751" s="6" t="s">
        <v>7421</v>
      </c>
      <c r="RW751" s="11" t="s">
        <v>8071</v>
      </c>
      <c r="RX751" s="11" t="s">
        <v>4940</v>
      </c>
      <c r="RY751" s="11"/>
      <c r="RZ751" s="11" t="s">
        <v>2209</v>
      </c>
      <c r="SA751" s="6"/>
      <c r="SB751" s="11"/>
      <c r="SC751" s="11"/>
    </row>
    <row r="752" spans="1:497" ht="12.75" hidden="1" customHeight="1">
      <c r="A752" s="19" t="s">
        <v>7419</v>
      </c>
      <c r="B752" s="292" t="s">
        <v>8053</v>
      </c>
      <c r="C752" s="149" t="s">
        <v>4792</v>
      </c>
      <c r="D752" s="94" t="s">
        <v>7227</v>
      </c>
      <c r="E752" s="766" t="s">
        <v>5795</v>
      </c>
      <c r="F752" s="770"/>
      <c r="G752" s="770"/>
      <c r="H752" s="295"/>
      <c r="I752" s="12"/>
      <c r="J752" s="94"/>
      <c r="K752" s="766" t="s">
        <v>4794</v>
      </c>
      <c r="L752" s="766" t="s">
        <v>4795</v>
      </c>
      <c r="M752" s="770"/>
      <c r="N752" s="1757"/>
      <c r="O752" s="1757" t="s">
        <v>5760</v>
      </c>
      <c r="P752" s="770"/>
      <c r="Q752" s="1088"/>
      <c r="R752" s="297"/>
      <c r="S752" s="770"/>
      <c r="T752" s="770"/>
      <c r="U752" s="295"/>
      <c r="V752" s="770"/>
      <c r="W752" s="770"/>
      <c r="X752" s="770"/>
      <c r="Y752" s="770"/>
      <c r="Z752" s="770"/>
      <c r="AA752" s="770"/>
      <c r="AB752" s="770"/>
      <c r="AC752" s="770"/>
      <c r="AD752" s="770"/>
      <c r="AE752" s="770"/>
      <c r="AF752" s="770"/>
      <c r="AG752" s="766" t="s">
        <v>1132</v>
      </c>
      <c r="AH752" s="770" t="s">
        <v>1119</v>
      </c>
      <c r="AI752" s="770"/>
      <c r="AJ752" s="770" t="s">
        <v>1137</v>
      </c>
      <c r="AK752" s="770" t="s">
        <v>5774</v>
      </c>
      <c r="AL752" s="531">
        <v>1440</v>
      </c>
      <c r="AM752" s="780">
        <v>576</v>
      </c>
      <c r="AN752" s="532">
        <f t="shared" si="232"/>
        <v>0.4</v>
      </c>
      <c r="AO752" s="766" t="s">
        <v>1149</v>
      </c>
      <c r="AP752" s="766" t="s">
        <v>1137</v>
      </c>
      <c r="AQ752" s="766"/>
      <c r="AR752" s="766"/>
      <c r="AS752" s="770"/>
      <c r="AT752" s="770"/>
      <c r="AU752" s="770"/>
      <c r="AV752" s="770"/>
      <c r="AW752" s="770"/>
      <c r="AX752" s="770"/>
      <c r="AY752" s="770"/>
      <c r="AZ752" s="770"/>
      <c r="BA752" s="770"/>
      <c r="BB752" s="770"/>
      <c r="BC752" s="770"/>
      <c r="BD752" s="770"/>
      <c r="BE752" s="770"/>
      <c r="BF752" s="302"/>
      <c r="BG752" s="302"/>
      <c r="BH752" s="770"/>
      <c r="BI752" s="770"/>
      <c r="BJ752" s="770"/>
      <c r="BK752" s="766" t="s">
        <v>1099</v>
      </c>
      <c r="BL752" s="766" t="s">
        <v>1137</v>
      </c>
      <c r="BM752" s="766" t="s">
        <v>1119</v>
      </c>
      <c r="BN752" s="766" t="s">
        <v>1230</v>
      </c>
      <c r="BO752" s="766" t="s">
        <v>1246</v>
      </c>
      <c r="BP752" s="765">
        <v>1440</v>
      </c>
      <c r="BQ752" s="773">
        <v>576</v>
      </c>
      <c r="BR752" s="774">
        <f t="shared" si="233"/>
        <v>0.4</v>
      </c>
      <c r="BS752" s="6" t="s">
        <v>1149</v>
      </c>
      <c r="BT752" s="766" t="s">
        <v>2040</v>
      </c>
      <c r="BU752" s="770" t="s">
        <v>5776</v>
      </c>
      <c r="BV752" s="766" t="s">
        <v>1243</v>
      </c>
      <c r="BW752" s="769"/>
      <c r="BX752" s="302"/>
      <c r="BY752" s="770"/>
      <c r="BZ752" s="302"/>
      <c r="CA752" s="770"/>
      <c r="CB752" s="770"/>
      <c r="CC752" s="770"/>
      <c r="CD752" s="770"/>
      <c r="CE752" s="302"/>
      <c r="CF752" s="304"/>
      <c r="CG752" s="321"/>
      <c r="CH752" s="770"/>
      <c r="CI752" s="770"/>
      <c r="CJ752" s="770"/>
      <c r="CK752" s="770"/>
      <c r="CL752" s="770"/>
      <c r="CM752" s="770"/>
      <c r="CN752" s="770"/>
      <c r="CO752" s="770"/>
      <c r="CP752" s="770"/>
      <c r="CQ752" s="770"/>
      <c r="CR752" s="302"/>
      <c r="CS752" s="770"/>
      <c r="CT752" s="770"/>
      <c r="CU752" s="305"/>
      <c r="CV752" s="770"/>
      <c r="CW752" s="770"/>
      <c r="CX752" s="770"/>
      <c r="CY752" s="770"/>
      <c r="CZ752" s="770"/>
      <c r="DA752" s="306"/>
      <c r="DB752" s="770"/>
      <c r="DC752" s="770"/>
      <c r="DD752" s="770"/>
      <c r="DE752" s="300"/>
      <c r="DF752" s="770"/>
      <c r="DG752" s="770"/>
      <c r="DH752" s="770"/>
      <c r="DI752" s="770"/>
      <c r="DJ752" s="770"/>
      <c r="DK752" s="770"/>
      <c r="DL752" s="770"/>
      <c r="DM752" s="770"/>
      <c r="DN752" s="322"/>
      <c r="DO752" s="770"/>
      <c r="DP752" s="770"/>
      <c r="DQ752" s="770"/>
      <c r="DR752" s="770"/>
      <c r="DS752" s="307"/>
      <c r="DT752" s="770"/>
      <c r="DU752" s="770"/>
      <c r="DV752" s="770"/>
      <c r="DW752" s="306"/>
      <c r="DX752" s="306"/>
      <c r="DY752" s="1055"/>
      <c r="DZ752" s="770"/>
      <c r="EA752" s="770"/>
      <c r="EB752" s="770"/>
      <c r="EC752" s="770"/>
      <c r="ED752" s="770"/>
      <c r="EE752" s="770"/>
      <c r="EF752" s="770"/>
      <c r="EG752" s="770"/>
      <c r="EH752" s="770"/>
      <c r="EI752" s="770"/>
      <c r="EJ752" s="770"/>
      <c r="EK752" s="770"/>
      <c r="EL752" s="770"/>
      <c r="EM752" s="770"/>
      <c r="EN752" s="770"/>
      <c r="EO752" s="770"/>
      <c r="EP752" s="94"/>
      <c r="EQ752" s="770"/>
      <c r="ER752" s="770"/>
      <c r="ES752" s="770"/>
      <c r="ET752" s="770"/>
      <c r="EU752" s="770"/>
      <c r="EV752" s="770"/>
      <c r="EW752" s="770"/>
      <c r="EX752" s="770"/>
      <c r="EY752" s="770"/>
      <c r="EZ752" s="770"/>
      <c r="FA752" s="770"/>
      <c r="FB752" s="770"/>
      <c r="FC752" s="770"/>
      <c r="FD752" s="302"/>
      <c r="FE752" s="770"/>
      <c r="FF752" s="770"/>
      <c r="FG752" s="770"/>
      <c r="FH752" s="770"/>
      <c r="FI752" s="770"/>
      <c r="FJ752" s="770"/>
      <c r="FK752" s="770"/>
      <c r="FL752" s="770"/>
      <c r="FM752" s="302"/>
      <c r="FN752" s="302"/>
      <c r="FO752" s="302"/>
      <c r="FP752" s="770"/>
      <c r="FQ752" s="770"/>
      <c r="FR752" s="770"/>
      <c r="FS752" s="770"/>
      <c r="FT752" s="770"/>
      <c r="FU752" s="770"/>
      <c r="FV752" s="770"/>
      <c r="FW752" s="770"/>
      <c r="FX752" s="770"/>
      <c r="FY752" s="770"/>
      <c r="FZ752" s="770"/>
      <c r="GA752" s="770"/>
      <c r="GB752" s="770"/>
      <c r="GC752" s="308"/>
      <c r="GD752" s="297"/>
      <c r="GE752" s="770"/>
      <c r="GF752" s="302"/>
      <c r="GG752" s="302"/>
      <c r="GH752" s="770"/>
      <c r="GI752" s="770"/>
      <c r="GJ752" s="770"/>
      <c r="GK752" s="770"/>
      <c r="GL752" s="770"/>
      <c r="GM752" s="770"/>
      <c r="GN752" s="299"/>
      <c r="GO752" s="770"/>
      <c r="GP752" s="770"/>
      <c r="GQ752" s="770"/>
      <c r="GR752" s="770"/>
      <c r="GS752" s="770"/>
      <c r="GT752" s="770"/>
      <c r="GU752" s="770"/>
      <c r="GV752" s="770"/>
      <c r="GW752" s="770"/>
      <c r="GX752" s="770"/>
      <c r="GY752" s="770"/>
      <c r="GZ752" s="770"/>
      <c r="HA752" s="770"/>
      <c r="HB752" s="770"/>
      <c r="HC752" s="770"/>
      <c r="HD752" s="770"/>
      <c r="HE752" s="770"/>
      <c r="HF752" s="770"/>
      <c r="HG752" s="770"/>
      <c r="HH752" s="770"/>
      <c r="HI752" s="770"/>
      <c r="HJ752" s="770"/>
      <c r="HK752" s="770"/>
      <c r="HL752" s="770"/>
      <c r="HM752" s="770"/>
      <c r="HN752" s="770"/>
      <c r="HO752" s="770"/>
      <c r="HP752" s="770"/>
      <c r="HQ752" s="770"/>
      <c r="HR752" s="770"/>
      <c r="HS752" s="770"/>
      <c r="HT752" s="770"/>
      <c r="HU752" s="770"/>
      <c r="HV752" s="770"/>
      <c r="HW752" s="770"/>
      <c r="HX752" s="770"/>
      <c r="HY752" s="770"/>
      <c r="HZ752" s="770"/>
      <c r="IA752" s="770"/>
      <c r="IB752" s="770"/>
      <c r="IC752" s="770"/>
      <c r="ID752" s="770"/>
      <c r="IE752" s="770"/>
      <c r="IF752" s="770"/>
      <c r="IG752" s="770"/>
      <c r="IH752" s="770"/>
      <c r="II752" s="770"/>
      <c r="IJ752" s="770"/>
      <c r="IK752" s="770"/>
      <c r="IL752" s="770"/>
      <c r="IM752" s="770"/>
      <c r="IN752" s="770"/>
      <c r="IO752" s="296"/>
      <c r="IP752" s="770"/>
      <c r="IQ752" s="770"/>
      <c r="IR752" s="770"/>
      <c r="IS752" s="770"/>
      <c r="IT752" s="770"/>
      <c r="IU752" s="770"/>
      <c r="IV752" s="770"/>
      <c r="IW752" s="770"/>
      <c r="IX752" s="770"/>
      <c r="IY752" s="770"/>
      <c r="IZ752" s="770"/>
      <c r="JA752" s="770"/>
      <c r="JB752" s="770"/>
      <c r="JC752" s="770"/>
      <c r="JD752" s="302"/>
      <c r="JE752" s="770"/>
      <c r="JF752" s="770"/>
      <c r="JG752" s="770"/>
      <c r="JH752" s="307"/>
      <c r="JI752" s="307"/>
      <c r="JJ752" s="770"/>
      <c r="JK752" s="770"/>
      <c r="JL752" s="770"/>
      <c r="JM752" s="770"/>
      <c r="JN752" s="770"/>
      <c r="JO752" s="770"/>
      <c r="JP752" s="770"/>
      <c r="JQ752" s="770"/>
      <c r="JR752" s="770"/>
      <c r="JS752" s="770"/>
      <c r="JT752" s="766"/>
      <c r="JU752" s="766"/>
      <c r="JV752" s="766"/>
      <c r="JW752" s="766"/>
      <c r="JX752" s="770"/>
      <c r="JY752" s="770"/>
      <c r="JZ752" s="770"/>
      <c r="KA752" s="770"/>
      <c r="KB752" s="770"/>
      <c r="KC752" s="770"/>
      <c r="KD752" s="770"/>
      <c r="KE752" s="770"/>
      <c r="KF752" s="770"/>
      <c r="KG752" s="770"/>
      <c r="KH752" s="770"/>
      <c r="KI752" s="770"/>
      <c r="KJ752" s="770"/>
      <c r="KK752" s="770"/>
      <c r="KL752" s="770"/>
      <c r="KM752" s="770"/>
      <c r="KN752" s="770"/>
      <c r="KO752" s="770"/>
      <c r="KP752" s="770"/>
      <c r="KQ752" s="770"/>
      <c r="KR752" s="770"/>
      <c r="KS752" s="770"/>
      <c r="KT752" s="770"/>
      <c r="KU752" s="770"/>
      <c r="KV752" s="770"/>
      <c r="KW752" s="770"/>
      <c r="KX752" s="770"/>
      <c r="KY752" s="770"/>
      <c r="KZ752" s="770"/>
      <c r="LA752" s="770"/>
      <c r="LB752" s="770"/>
      <c r="LC752" s="770"/>
      <c r="LD752" s="770"/>
      <c r="LE752" s="770"/>
      <c r="LF752" s="770"/>
      <c r="LG752" s="770"/>
      <c r="LH752" s="770"/>
      <c r="LI752" s="770"/>
      <c r="LJ752" s="770"/>
      <c r="LK752" s="770"/>
      <c r="LL752" s="770"/>
      <c r="LM752" s="770"/>
      <c r="LN752" s="766"/>
      <c r="LO752" s="766"/>
      <c r="LP752" s="770"/>
      <c r="LQ752" s="770"/>
      <c r="LR752" s="770"/>
      <c r="LS752" s="770"/>
      <c r="LT752" s="770"/>
      <c r="LU752" s="770"/>
      <c r="LV752" s="770"/>
      <c r="LW752" s="770"/>
      <c r="LX752" s="769"/>
      <c r="LY752" s="766" t="str">
        <f t="shared" si="231"/>
        <v/>
      </c>
      <c r="LZ752" s="1709"/>
      <c r="MA752" s="1709"/>
      <c r="MB752" s="1709"/>
      <c r="MC752" s="1679">
        <f t="shared" si="229"/>
        <v>0</v>
      </c>
      <c r="MD752" s="1709"/>
      <c r="ME752" s="1709"/>
      <c r="MF752" s="1709"/>
      <c r="MG752" s="1680">
        <f t="shared" si="216"/>
        <v>0</v>
      </c>
      <c r="MH752" s="770"/>
      <c r="MI752" s="302"/>
      <c r="MJ752" s="302"/>
      <c r="MK752" s="302"/>
      <c r="ML752" s="302"/>
      <c r="MM752" s="302"/>
      <c r="MN752" s="302"/>
      <c r="MO752" s="302"/>
      <c r="MP752" s="302"/>
      <c r="MQ752" s="302"/>
      <c r="MR752" s="302"/>
      <c r="MS752" s="302"/>
      <c r="MT752" s="302"/>
      <c r="MU752" s="302"/>
      <c r="MV752" s="302"/>
      <c r="MW752" s="302"/>
      <c r="MX752" s="302"/>
      <c r="MY752" s="1682">
        <f t="shared" si="217"/>
        <v>0</v>
      </c>
      <c r="MZ752" s="770"/>
      <c r="NA752" s="770"/>
      <c r="NB752" s="770"/>
      <c r="NC752" s="770"/>
      <c r="ND752" s="770"/>
      <c r="NE752" s="770"/>
      <c r="NF752" s="770"/>
      <c r="NG752" s="770"/>
      <c r="NH752" s="770"/>
      <c r="NI752" s="770"/>
      <c r="NJ752" s="770"/>
      <c r="NK752" s="770"/>
      <c r="NL752" s="770"/>
      <c r="NM752" s="770"/>
      <c r="NN752" s="770"/>
      <c r="NO752" s="770"/>
      <c r="NP752" s="770"/>
      <c r="NQ752" s="770"/>
      <c r="NR752" s="770"/>
      <c r="NS752" s="770"/>
      <c r="NT752" s="770"/>
      <c r="NU752" s="770"/>
      <c r="NV752" s="770"/>
      <c r="NW752" s="770"/>
      <c r="NX752" s="770"/>
      <c r="NY752" s="770"/>
      <c r="NZ752" s="770"/>
      <c r="OA752" s="770"/>
      <c r="OB752" s="770"/>
      <c r="OC752" s="770"/>
      <c r="OD752" s="770"/>
      <c r="OE752" s="770"/>
      <c r="OF752" s="770"/>
      <c r="OG752" s="770"/>
      <c r="OH752" s="770"/>
      <c r="OI752" s="770"/>
      <c r="OJ752" s="770"/>
      <c r="OK752" s="770"/>
      <c r="OL752" s="770"/>
      <c r="OM752" s="770"/>
      <c r="ON752" s="770"/>
      <c r="OO752" s="770"/>
      <c r="OP752" s="770"/>
      <c r="OQ752" s="770"/>
      <c r="OR752" s="770"/>
      <c r="OS752" s="770"/>
      <c r="OT752" s="770"/>
      <c r="OU752" s="770"/>
      <c r="OV752" s="770"/>
      <c r="OW752" s="770"/>
      <c r="OX752" s="770"/>
      <c r="OY752" s="770"/>
      <c r="OZ752" s="770"/>
      <c r="PA752" s="770"/>
      <c r="PB752" s="770"/>
      <c r="PC752" s="770"/>
      <c r="PD752" s="770"/>
      <c r="PE752" s="770"/>
      <c r="PF752" s="770"/>
      <c r="PG752" s="770"/>
      <c r="PH752" s="770"/>
      <c r="PI752" s="770"/>
      <c r="PJ752" s="770"/>
      <c r="PK752" s="770"/>
      <c r="PL752" s="770"/>
      <c r="PM752" s="770"/>
      <c r="PN752" s="770"/>
      <c r="PO752" s="770"/>
      <c r="PP752" s="770"/>
      <c r="PQ752" s="770"/>
      <c r="PR752" s="770"/>
      <c r="PS752" s="770"/>
      <c r="PT752" s="770"/>
      <c r="PU752" s="770"/>
      <c r="PV752" s="770"/>
      <c r="PW752" s="770"/>
      <c r="PX752" s="770"/>
      <c r="PY752" s="770"/>
      <c r="PZ752" s="770"/>
      <c r="QA752" s="770"/>
      <c r="QB752" s="770"/>
      <c r="QC752" s="770"/>
      <c r="QD752" s="770"/>
      <c r="QE752" s="770"/>
      <c r="QF752" s="770"/>
      <c r="QG752" s="770"/>
      <c r="QH752" s="770"/>
      <c r="QI752" s="770"/>
      <c r="QJ752" s="770"/>
      <c r="QK752" s="770"/>
      <c r="QL752" s="770"/>
      <c r="QM752" s="770"/>
      <c r="QN752" s="770"/>
      <c r="QO752" s="770"/>
      <c r="QP752" s="770"/>
      <c r="QQ752" s="770"/>
      <c r="QR752" s="770"/>
      <c r="QS752" s="770"/>
      <c r="QT752" s="770"/>
      <c r="QU752" s="770"/>
      <c r="QV752" s="770"/>
      <c r="QW752" s="770"/>
      <c r="QX752" s="770"/>
      <c r="QY752" s="770"/>
      <c r="QZ752" s="770"/>
      <c r="RA752" s="770"/>
      <c r="RB752" s="770"/>
      <c r="RC752" s="770"/>
      <c r="RD752" s="770"/>
      <c r="RE752" s="770"/>
      <c r="RF752" s="304"/>
      <c r="RG752" s="770"/>
      <c r="RH752" s="306"/>
      <c r="RI752" s="770"/>
      <c r="RJ752" s="94"/>
      <c r="RK752" s="770"/>
      <c r="RL752" s="1710"/>
      <c r="RM752" s="12"/>
      <c r="RN752" s="1711"/>
      <c r="RO752" s="149" t="s">
        <v>4792</v>
      </c>
      <c r="RP752" s="11"/>
      <c r="RQ752" s="11"/>
      <c r="RR752" s="17"/>
      <c r="RS752" s="767"/>
      <c r="RT752" s="11"/>
      <c r="RU752" s="11"/>
      <c r="RV752" s="771" t="s">
        <v>7421</v>
      </c>
      <c r="RW752" s="11" t="s">
        <v>8054</v>
      </c>
      <c r="RX752" s="11" t="s">
        <v>4942</v>
      </c>
      <c r="RY752" s="11"/>
      <c r="RZ752" s="11" t="s">
        <v>2209</v>
      </c>
      <c r="SA752" s="771"/>
      <c r="SB752" s="11"/>
      <c r="SC752" s="11"/>
    </row>
    <row r="753" spans="1:497" ht="12.75" hidden="1" customHeight="1">
      <c r="A753" s="19" t="s">
        <v>7419</v>
      </c>
      <c r="B753" s="744" t="s">
        <v>7455</v>
      </c>
      <c r="C753" s="149" t="s">
        <v>4796</v>
      </c>
      <c r="D753" s="94" t="s">
        <v>7229</v>
      </c>
      <c r="E753" s="766" t="s">
        <v>5795</v>
      </c>
      <c r="F753" s="770"/>
      <c r="G753" s="770"/>
      <c r="H753" s="295"/>
      <c r="I753" s="12"/>
      <c r="J753" s="94"/>
      <c r="K753" s="766" t="s">
        <v>5761</v>
      </c>
      <c r="L753" s="766" t="s">
        <v>5762</v>
      </c>
      <c r="M753" s="770"/>
      <c r="N753" s="1757"/>
      <c r="O753" s="1757" t="s">
        <v>5763</v>
      </c>
      <c r="P753" s="770"/>
      <c r="Q753" s="1088"/>
      <c r="R753" s="297"/>
      <c r="S753" s="770"/>
      <c r="T753" s="770"/>
      <c r="U753" s="295"/>
      <c r="V753" s="770"/>
      <c r="W753" s="770"/>
      <c r="X753" s="770"/>
      <c r="Y753" s="770"/>
      <c r="Z753" s="770"/>
      <c r="AA753" s="770"/>
      <c r="AB753" s="770"/>
      <c r="AC753" s="770"/>
      <c r="AD753" s="770"/>
      <c r="AE753" s="770"/>
      <c r="AF753" s="770"/>
      <c r="AG753" s="766" t="s">
        <v>1132</v>
      </c>
      <c r="AH753" s="766" t="s">
        <v>1120</v>
      </c>
      <c r="AI753" s="770"/>
      <c r="AJ753" s="770" t="s">
        <v>1137</v>
      </c>
      <c r="AK753" s="770" t="s">
        <v>5774</v>
      </c>
      <c r="AL753" s="531">
        <v>14.88</v>
      </c>
      <c r="AM753" s="780">
        <v>14.88</v>
      </c>
      <c r="AN753" s="532">
        <f t="shared" si="232"/>
        <v>1</v>
      </c>
      <c r="AO753" s="766" t="s">
        <v>1122</v>
      </c>
      <c r="AP753" s="766" t="s">
        <v>1137</v>
      </c>
      <c r="AQ753" s="766"/>
      <c r="AR753" s="766"/>
      <c r="AS753" s="770"/>
      <c r="AT753" s="770"/>
      <c r="AU753" s="770"/>
      <c r="AV753" s="770"/>
      <c r="AW753" s="770"/>
      <c r="AX753" s="770"/>
      <c r="AY753" s="770"/>
      <c r="AZ753" s="770"/>
      <c r="BA753" s="770"/>
      <c r="BB753" s="770"/>
      <c r="BC753" s="770"/>
      <c r="BD753" s="770"/>
      <c r="BE753" s="770"/>
      <c r="BF753" s="302"/>
      <c r="BG753" s="302"/>
      <c r="BH753" s="770"/>
      <c r="BI753" s="770"/>
      <c r="BJ753" s="770"/>
      <c r="BK753" s="766" t="s">
        <v>1099</v>
      </c>
      <c r="BL753" s="766" t="s">
        <v>1137</v>
      </c>
      <c r="BM753" s="766" t="s">
        <v>1120</v>
      </c>
      <c r="BN753" s="766" t="s">
        <v>1230</v>
      </c>
      <c r="BO753" s="766" t="s">
        <v>1246</v>
      </c>
      <c r="BP753" s="765">
        <v>14.88</v>
      </c>
      <c r="BQ753" s="773">
        <v>14.88</v>
      </c>
      <c r="BR753" s="774">
        <f t="shared" si="233"/>
        <v>1</v>
      </c>
      <c r="BS753" s="766" t="s">
        <v>1257</v>
      </c>
      <c r="BT753" s="766" t="s">
        <v>2040</v>
      </c>
      <c r="BU753" s="770" t="s">
        <v>1249</v>
      </c>
      <c r="BV753" s="770" t="s">
        <v>1247</v>
      </c>
      <c r="BW753" s="769"/>
      <c r="BX753" s="302"/>
      <c r="BY753" s="770"/>
      <c r="BZ753" s="302"/>
      <c r="CA753" s="770"/>
      <c r="CB753" s="770"/>
      <c r="CC753" s="770"/>
      <c r="CD753" s="770"/>
      <c r="CE753" s="302"/>
      <c r="CF753" s="304"/>
      <c r="CG753" s="321"/>
      <c r="CH753" s="770"/>
      <c r="CI753" s="770"/>
      <c r="CJ753" s="770"/>
      <c r="CK753" s="770"/>
      <c r="CL753" s="770"/>
      <c r="CM753" s="770"/>
      <c r="CN753" s="770"/>
      <c r="CO753" s="770"/>
      <c r="CP753" s="770"/>
      <c r="CQ753" s="770"/>
      <c r="CR753" s="302"/>
      <c r="CS753" s="770"/>
      <c r="CT753" s="770"/>
      <c r="CU753" s="305"/>
      <c r="CV753" s="770"/>
      <c r="CW753" s="770"/>
      <c r="CX753" s="770"/>
      <c r="CY753" s="770"/>
      <c r="CZ753" s="770"/>
      <c r="DA753" s="306"/>
      <c r="DB753" s="770"/>
      <c r="DC753" s="770"/>
      <c r="DD753" s="770"/>
      <c r="DE753" s="300"/>
      <c r="DF753" s="770"/>
      <c r="DG753" s="770"/>
      <c r="DH753" s="770"/>
      <c r="DI753" s="770"/>
      <c r="DJ753" s="770"/>
      <c r="DK753" s="770"/>
      <c r="DL753" s="770"/>
      <c r="DM753" s="770"/>
      <c r="DN753" s="322"/>
      <c r="DO753" s="770"/>
      <c r="DP753" s="770"/>
      <c r="DQ753" s="770"/>
      <c r="DR753" s="770"/>
      <c r="DS753" s="307"/>
      <c r="DT753" s="770"/>
      <c r="DU753" s="770"/>
      <c r="DV753" s="770"/>
      <c r="DW753" s="306"/>
      <c r="DX753" s="306"/>
      <c r="DY753" s="1055"/>
      <c r="DZ753" s="770"/>
      <c r="EA753" s="770"/>
      <c r="EB753" s="770"/>
      <c r="EC753" s="770"/>
      <c r="ED753" s="770"/>
      <c r="EE753" s="770"/>
      <c r="EF753" s="770"/>
      <c r="EG753" s="770"/>
      <c r="EH753" s="770"/>
      <c r="EI753" s="770"/>
      <c r="EJ753" s="770"/>
      <c r="EK753" s="770"/>
      <c r="EL753" s="770"/>
      <c r="EM753" s="770"/>
      <c r="EN753" s="770"/>
      <c r="EO753" s="770"/>
      <c r="EP753" s="94"/>
      <c r="EQ753" s="770"/>
      <c r="ER753" s="770"/>
      <c r="ES753" s="770"/>
      <c r="ET753" s="770"/>
      <c r="EU753" s="770"/>
      <c r="EV753" s="770"/>
      <c r="EW753" s="770"/>
      <c r="EX753" s="770"/>
      <c r="EY753" s="770"/>
      <c r="EZ753" s="770"/>
      <c r="FA753" s="770"/>
      <c r="FB753" s="770"/>
      <c r="FC753" s="770"/>
      <c r="FD753" s="302"/>
      <c r="FE753" s="770"/>
      <c r="FF753" s="770"/>
      <c r="FG753" s="770"/>
      <c r="FH753" s="770"/>
      <c r="FI753" s="770"/>
      <c r="FJ753" s="770"/>
      <c r="FK753" s="770"/>
      <c r="FL753" s="770"/>
      <c r="FM753" s="302"/>
      <c r="FN753" s="302"/>
      <c r="FO753" s="302"/>
      <c r="FP753" s="770"/>
      <c r="FQ753" s="770"/>
      <c r="FR753" s="770"/>
      <c r="FS753" s="770"/>
      <c r="FT753" s="770"/>
      <c r="FU753" s="770"/>
      <c r="FV753" s="770"/>
      <c r="FW753" s="770"/>
      <c r="FX753" s="770"/>
      <c r="FY753" s="770"/>
      <c r="FZ753" s="770"/>
      <c r="GA753" s="770"/>
      <c r="GB753" s="770"/>
      <c r="GC753" s="308"/>
      <c r="GD753" s="297"/>
      <c r="GE753" s="770"/>
      <c r="GF753" s="302"/>
      <c r="GG753" s="302"/>
      <c r="GH753" s="770"/>
      <c r="GI753" s="770"/>
      <c r="GJ753" s="770"/>
      <c r="GK753" s="770"/>
      <c r="GL753" s="770"/>
      <c r="GM753" s="770"/>
      <c r="GN753" s="299"/>
      <c r="GO753" s="770"/>
      <c r="GP753" s="770"/>
      <c r="GQ753" s="770"/>
      <c r="GR753" s="770"/>
      <c r="GS753" s="770"/>
      <c r="GT753" s="770"/>
      <c r="GU753" s="770"/>
      <c r="GV753" s="770"/>
      <c r="GW753" s="770"/>
      <c r="GX753" s="770"/>
      <c r="GY753" s="770"/>
      <c r="GZ753" s="770"/>
      <c r="HA753" s="770"/>
      <c r="HB753" s="770"/>
      <c r="HC753" s="770"/>
      <c r="HD753" s="770"/>
      <c r="HE753" s="770"/>
      <c r="HF753" s="770"/>
      <c r="HG753" s="770"/>
      <c r="HH753" s="770"/>
      <c r="HI753" s="770"/>
      <c r="HJ753" s="770"/>
      <c r="HK753" s="770"/>
      <c r="HL753" s="770"/>
      <c r="HM753" s="770"/>
      <c r="HN753" s="770"/>
      <c r="HO753" s="770"/>
      <c r="HP753" s="770"/>
      <c r="HQ753" s="770"/>
      <c r="HR753" s="770"/>
      <c r="HS753" s="770"/>
      <c r="HT753" s="770"/>
      <c r="HU753" s="770"/>
      <c r="HV753" s="770"/>
      <c r="HW753" s="770"/>
      <c r="HX753" s="770"/>
      <c r="HY753" s="770"/>
      <c r="HZ753" s="770"/>
      <c r="IA753" s="770"/>
      <c r="IB753" s="770"/>
      <c r="IC753" s="770"/>
      <c r="ID753" s="770"/>
      <c r="IE753" s="770"/>
      <c r="IF753" s="770"/>
      <c r="IG753" s="770"/>
      <c r="IH753" s="770"/>
      <c r="II753" s="770"/>
      <c r="IJ753" s="770"/>
      <c r="IK753" s="770"/>
      <c r="IL753" s="770"/>
      <c r="IM753" s="770"/>
      <c r="IN753" s="770"/>
      <c r="IO753" s="296"/>
      <c r="IP753" s="770"/>
      <c r="IQ753" s="770"/>
      <c r="IR753" s="770"/>
      <c r="IS753" s="770"/>
      <c r="IT753" s="770"/>
      <c r="IU753" s="770"/>
      <c r="IV753" s="770"/>
      <c r="IW753" s="770"/>
      <c r="IX753" s="770"/>
      <c r="IY753" s="770"/>
      <c r="IZ753" s="770"/>
      <c r="JA753" s="770"/>
      <c r="JB753" s="770"/>
      <c r="JC753" s="770"/>
      <c r="JD753" s="302"/>
      <c r="JE753" s="770"/>
      <c r="JF753" s="770"/>
      <c r="JG753" s="770"/>
      <c r="JH753" s="307"/>
      <c r="JI753" s="307"/>
      <c r="JJ753" s="770"/>
      <c r="JK753" s="770"/>
      <c r="JL753" s="770"/>
      <c r="JM753" s="770"/>
      <c r="JN753" s="770"/>
      <c r="JO753" s="770"/>
      <c r="JP753" s="770"/>
      <c r="JQ753" s="770"/>
      <c r="JR753" s="770"/>
      <c r="JS753" s="770"/>
      <c r="JT753" s="766"/>
      <c r="JU753" s="766"/>
      <c r="JV753" s="766"/>
      <c r="JW753" s="766"/>
      <c r="JX753" s="770"/>
      <c r="JY753" s="770"/>
      <c r="JZ753" s="770"/>
      <c r="KA753" s="770"/>
      <c r="KB753" s="770"/>
      <c r="KC753" s="770"/>
      <c r="KD753" s="770"/>
      <c r="KE753" s="770"/>
      <c r="KF753" s="770"/>
      <c r="KG753" s="770"/>
      <c r="KH753" s="770"/>
      <c r="KI753" s="770"/>
      <c r="KJ753" s="770"/>
      <c r="KK753" s="770"/>
      <c r="KL753" s="770"/>
      <c r="KM753" s="770"/>
      <c r="KN753" s="770"/>
      <c r="KO753" s="770"/>
      <c r="KP753" s="770"/>
      <c r="KQ753" s="770"/>
      <c r="KR753" s="770"/>
      <c r="KS753" s="770"/>
      <c r="KT753" s="770"/>
      <c r="KU753" s="770"/>
      <c r="KV753" s="770"/>
      <c r="KW753" s="770"/>
      <c r="KX753" s="770"/>
      <c r="KY753" s="770"/>
      <c r="KZ753" s="770"/>
      <c r="LA753" s="770"/>
      <c r="LB753" s="770"/>
      <c r="LC753" s="770"/>
      <c r="LD753" s="770"/>
      <c r="LE753" s="770"/>
      <c r="LF753" s="770"/>
      <c r="LG753" s="770"/>
      <c r="LH753" s="770"/>
      <c r="LI753" s="770"/>
      <c r="LJ753" s="770"/>
      <c r="LK753" s="770"/>
      <c r="LL753" s="770"/>
      <c r="LM753" s="770"/>
      <c r="LN753" s="766"/>
      <c r="LO753" s="766"/>
      <c r="LP753" s="770"/>
      <c r="LQ753" s="770"/>
      <c r="LR753" s="770"/>
      <c r="LS753" s="770"/>
      <c r="LT753" s="770"/>
      <c r="LU753" s="770"/>
      <c r="LV753" s="770"/>
      <c r="LW753" s="770"/>
      <c r="LX753" s="769"/>
      <c r="LY753" s="766" t="str">
        <f t="shared" si="231"/>
        <v/>
      </c>
      <c r="LZ753" s="1709"/>
      <c r="MA753" s="1709"/>
      <c r="MB753" s="1709"/>
      <c r="MC753" s="1679">
        <f t="shared" si="229"/>
        <v>0</v>
      </c>
      <c r="MD753" s="1709"/>
      <c r="ME753" s="1709"/>
      <c r="MF753" s="1709"/>
      <c r="MG753" s="1680">
        <f t="shared" si="216"/>
        <v>0</v>
      </c>
      <c r="MH753" s="770"/>
      <c r="MI753" s="302"/>
      <c r="MJ753" s="302"/>
      <c r="MK753" s="302"/>
      <c r="ML753" s="302"/>
      <c r="MM753" s="302"/>
      <c r="MN753" s="302"/>
      <c r="MO753" s="302"/>
      <c r="MP753" s="302"/>
      <c r="MQ753" s="302"/>
      <c r="MR753" s="302"/>
      <c r="MS753" s="302"/>
      <c r="MT753" s="302"/>
      <c r="MU753" s="302"/>
      <c r="MV753" s="302"/>
      <c r="MW753" s="302"/>
      <c r="MX753" s="302"/>
      <c r="MY753" s="1682">
        <f t="shared" si="217"/>
        <v>0</v>
      </c>
      <c r="MZ753" s="770"/>
      <c r="NA753" s="770"/>
      <c r="NB753" s="770"/>
      <c r="NC753" s="770"/>
      <c r="ND753" s="770"/>
      <c r="NE753" s="770"/>
      <c r="NF753" s="770"/>
      <c r="NG753" s="770"/>
      <c r="NH753" s="770"/>
      <c r="NI753" s="770"/>
      <c r="NJ753" s="770"/>
      <c r="NK753" s="770"/>
      <c r="NL753" s="770"/>
      <c r="NM753" s="770"/>
      <c r="NN753" s="770"/>
      <c r="NO753" s="770"/>
      <c r="NP753" s="770"/>
      <c r="NQ753" s="770"/>
      <c r="NR753" s="770"/>
      <c r="NS753" s="770"/>
      <c r="NT753" s="770"/>
      <c r="NU753" s="770"/>
      <c r="NV753" s="770"/>
      <c r="NW753" s="770"/>
      <c r="NX753" s="770"/>
      <c r="NY753" s="770"/>
      <c r="NZ753" s="770"/>
      <c r="OA753" s="770"/>
      <c r="OB753" s="770"/>
      <c r="OC753" s="770"/>
      <c r="OD753" s="770"/>
      <c r="OE753" s="770"/>
      <c r="OF753" s="770"/>
      <c r="OG753" s="770"/>
      <c r="OH753" s="770"/>
      <c r="OI753" s="770"/>
      <c r="OJ753" s="770"/>
      <c r="OK753" s="770"/>
      <c r="OL753" s="770"/>
      <c r="OM753" s="770"/>
      <c r="ON753" s="770"/>
      <c r="OO753" s="770"/>
      <c r="OP753" s="770"/>
      <c r="OQ753" s="770"/>
      <c r="OR753" s="770"/>
      <c r="OS753" s="770"/>
      <c r="OT753" s="770"/>
      <c r="OU753" s="770"/>
      <c r="OV753" s="770"/>
      <c r="OW753" s="770"/>
      <c r="OX753" s="770"/>
      <c r="OY753" s="770"/>
      <c r="OZ753" s="770"/>
      <c r="PA753" s="770"/>
      <c r="PB753" s="770"/>
      <c r="PC753" s="770"/>
      <c r="PD753" s="770"/>
      <c r="PE753" s="770"/>
      <c r="PF753" s="770"/>
      <c r="PG753" s="770"/>
      <c r="PH753" s="770"/>
      <c r="PI753" s="770"/>
      <c r="PJ753" s="770"/>
      <c r="PK753" s="770"/>
      <c r="PL753" s="770"/>
      <c r="PM753" s="770"/>
      <c r="PN753" s="770"/>
      <c r="PO753" s="770"/>
      <c r="PP753" s="770"/>
      <c r="PQ753" s="770"/>
      <c r="PR753" s="770"/>
      <c r="PS753" s="770"/>
      <c r="PT753" s="770"/>
      <c r="PU753" s="770"/>
      <c r="PV753" s="770"/>
      <c r="PW753" s="770"/>
      <c r="PX753" s="770"/>
      <c r="PY753" s="770"/>
      <c r="PZ753" s="770"/>
      <c r="QA753" s="770"/>
      <c r="QB753" s="770"/>
      <c r="QC753" s="770"/>
      <c r="QD753" s="770"/>
      <c r="QE753" s="770"/>
      <c r="QF753" s="770"/>
      <c r="QG753" s="770"/>
      <c r="QH753" s="770"/>
      <c r="QI753" s="770"/>
      <c r="QJ753" s="770"/>
      <c r="QK753" s="770"/>
      <c r="QL753" s="770"/>
      <c r="QM753" s="770"/>
      <c r="QN753" s="770"/>
      <c r="QO753" s="770"/>
      <c r="QP753" s="770"/>
      <c r="QQ753" s="770"/>
      <c r="QR753" s="770"/>
      <c r="QS753" s="770"/>
      <c r="QT753" s="770"/>
      <c r="QU753" s="770"/>
      <c r="QV753" s="770"/>
      <c r="QW753" s="770"/>
      <c r="QX753" s="770"/>
      <c r="QY753" s="770"/>
      <c r="QZ753" s="770"/>
      <c r="RA753" s="770"/>
      <c r="RB753" s="770"/>
      <c r="RC753" s="770"/>
      <c r="RD753" s="770"/>
      <c r="RE753" s="770"/>
      <c r="RF753" s="304"/>
      <c r="RG753" s="770"/>
      <c r="RH753" s="306"/>
      <c r="RI753" s="770"/>
      <c r="RJ753" s="94"/>
      <c r="RK753" s="770"/>
      <c r="RL753" s="1710"/>
      <c r="RM753" s="12"/>
      <c r="RN753" s="1711"/>
      <c r="RO753" s="149" t="s">
        <v>4796</v>
      </c>
      <c r="RP753" s="11"/>
      <c r="RQ753" s="11"/>
      <c r="RR753" s="17"/>
      <c r="RS753" s="767"/>
      <c r="RT753" s="11"/>
      <c r="RU753" s="11"/>
      <c r="RV753" s="771" t="s">
        <v>7421</v>
      </c>
      <c r="RW753" s="11" t="s">
        <v>7454</v>
      </c>
      <c r="RX753" s="11" t="s">
        <v>4791</v>
      </c>
      <c r="RY753" s="11"/>
      <c r="RZ753" s="11" t="s">
        <v>2209</v>
      </c>
      <c r="SA753" s="771"/>
      <c r="SB753" s="11"/>
      <c r="SC753" s="11"/>
    </row>
    <row r="754" spans="1:497" ht="12.75" hidden="1" customHeight="1">
      <c r="A754" s="19" t="s">
        <v>7419</v>
      </c>
      <c r="B754" s="744" t="s">
        <v>7456</v>
      </c>
      <c r="C754" s="149" t="s">
        <v>4797</v>
      </c>
      <c r="D754" s="94" t="s">
        <v>7228</v>
      </c>
      <c r="E754" s="766" t="s">
        <v>5796</v>
      </c>
      <c r="F754" s="770"/>
      <c r="G754" s="770"/>
      <c r="H754" s="295"/>
      <c r="I754" s="12"/>
      <c r="J754" s="94"/>
      <c r="K754" s="766" t="s">
        <v>5764</v>
      </c>
      <c r="L754" s="766" t="s">
        <v>5765</v>
      </c>
      <c r="M754" s="770"/>
      <c r="N754" s="1757"/>
      <c r="O754" s="1757" t="s">
        <v>5766</v>
      </c>
      <c r="P754" s="770"/>
      <c r="Q754" s="1088"/>
      <c r="R754" s="297"/>
      <c r="S754" s="770"/>
      <c r="T754" s="770"/>
      <c r="U754" s="295"/>
      <c r="V754" s="770"/>
      <c r="W754" s="770"/>
      <c r="X754" s="770"/>
      <c r="Y754" s="770"/>
      <c r="Z754" s="770"/>
      <c r="AA754" s="770"/>
      <c r="AB754" s="770"/>
      <c r="AC754" s="770"/>
      <c r="AD754" s="770"/>
      <c r="AE754" s="770"/>
      <c r="AF754" s="770"/>
      <c r="AG754" s="766" t="s">
        <v>1132</v>
      </c>
      <c r="AH754" s="766" t="s">
        <v>1120</v>
      </c>
      <c r="AI754" s="770"/>
      <c r="AJ754" s="770" t="s">
        <v>1137</v>
      </c>
      <c r="AK754" s="770" t="s">
        <v>5774</v>
      </c>
      <c r="AL754" s="531">
        <v>50.112000000000002</v>
      </c>
      <c r="AM754" s="780">
        <v>32.4</v>
      </c>
      <c r="AN754" s="532">
        <f t="shared" si="232"/>
        <v>0.64655172413793094</v>
      </c>
      <c r="AO754" s="766" t="s">
        <v>1105</v>
      </c>
      <c r="AP754" s="766" t="s">
        <v>1137</v>
      </c>
      <c r="AQ754" s="766"/>
      <c r="AR754" s="766"/>
      <c r="AS754" s="770"/>
      <c r="AT754" s="770"/>
      <c r="AU754" s="770"/>
      <c r="AV754" s="770"/>
      <c r="AW754" s="770"/>
      <c r="AX754" s="770"/>
      <c r="AY754" s="770"/>
      <c r="AZ754" s="770"/>
      <c r="BA754" s="770"/>
      <c r="BB754" s="770"/>
      <c r="BC754" s="770"/>
      <c r="BD754" s="770"/>
      <c r="BE754" s="770"/>
      <c r="BF754" s="302"/>
      <c r="BG754" s="302"/>
      <c r="BH754" s="770"/>
      <c r="BI754" s="770"/>
      <c r="BJ754" s="770"/>
      <c r="BK754" s="766" t="s">
        <v>1099</v>
      </c>
      <c r="BL754" s="766" t="s">
        <v>1137</v>
      </c>
      <c r="BM754" s="766" t="s">
        <v>1120</v>
      </c>
      <c r="BN754" s="766" t="s">
        <v>1230</v>
      </c>
      <c r="BO754" s="770" t="s">
        <v>5777</v>
      </c>
      <c r="BP754" s="765">
        <v>208.45</v>
      </c>
      <c r="BQ754" s="773">
        <v>129.6</v>
      </c>
      <c r="BR754" s="774">
        <f t="shared" si="233"/>
        <v>0.62173183017510192</v>
      </c>
      <c r="BS754" s="766" t="s">
        <v>1105</v>
      </c>
      <c r="BT754" s="766" t="s">
        <v>2040</v>
      </c>
      <c r="BU754" s="770" t="s">
        <v>5776</v>
      </c>
      <c r="BV754" s="766" t="s">
        <v>1243</v>
      </c>
      <c r="BW754" s="769"/>
      <c r="BX754" s="302"/>
      <c r="BY754" s="770"/>
      <c r="BZ754" s="302"/>
      <c r="CA754" s="770"/>
      <c r="CB754" s="770"/>
      <c r="CC754" s="770"/>
      <c r="CD754" s="770"/>
      <c r="CE754" s="302"/>
      <c r="CF754" s="304"/>
      <c r="CG754" s="321"/>
      <c r="CH754" s="770"/>
      <c r="CI754" s="770"/>
      <c r="CJ754" s="770"/>
      <c r="CK754" s="770"/>
      <c r="CL754" s="770"/>
      <c r="CM754" s="770"/>
      <c r="CN754" s="770"/>
      <c r="CO754" s="770"/>
      <c r="CP754" s="770"/>
      <c r="CQ754" s="770"/>
      <c r="CR754" s="302"/>
      <c r="CS754" s="770"/>
      <c r="CT754" s="770"/>
      <c r="CU754" s="305"/>
      <c r="CV754" s="770"/>
      <c r="CW754" s="770"/>
      <c r="CX754" s="770"/>
      <c r="CY754" s="770"/>
      <c r="CZ754" s="770"/>
      <c r="DA754" s="306"/>
      <c r="DB754" s="770"/>
      <c r="DC754" s="770"/>
      <c r="DD754" s="770"/>
      <c r="DE754" s="300"/>
      <c r="DF754" s="770"/>
      <c r="DG754" s="770"/>
      <c r="DH754" s="770"/>
      <c r="DI754" s="770"/>
      <c r="DJ754" s="770"/>
      <c r="DK754" s="770"/>
      <c r="DL754" s="770"/>
      <c r="DM754" s="770"/>
      <c r="DN754" s="322"/>
      <c r="DO754" s="770"/>
      <c r="DP754" s="770"/>
      <c r="DQ754" s="770"/>
      <c r="DR754" s="770"/>
      <c r="DS754" s="307"/>
      <c r="DT754" s="770"/>
      <c r="DU754" s="770"/>
      <c r="DV754" s="770"/>
      <c r="DW754" s="306"/>
      <c r="DX754" s="306"/>
      <c r="DY754" s="1055"/>
      <c r="DZ754" s="770"/>
      <c r="EA754" s="770"/>
      <c r="EB754" s="770"/>
      <c r="EC754" s="770"/>
      <c r="ED754" s="770"/>
      <c r="EE754" s="770"/>
      <c r="EF754" s="770"/>
      <c r="EG754" s="770"/>
      <c r="EH754" s="770"/>
      <c r="EI754" s="770"/>
      <c r="EJ754" s="770"/>
      <c r="EK754" s="770"/>
      <c r="EL754" s="770"/>
      <c r="EM754" s="770"/>
      <c r="EN754" s="770"/>
      <c r="EO754" s="770"/>
      <c r="EP754" s="94"/>
      <c r="EQ754" s="770"/>
      <c r="ER754" s="770"/>
      <c r="ES754" s="770"/>
      <c r="ET754" s="770"/>
      <c r="EU754" s="770"/>
      <c r="EV754" s="770"/>
      <c r="EW754" s="770"/>
      <c r="EX754" s="770"/>
      <c r="EY754" s="770"/>
      <c r="EZ754" s="770"/>
      <c r="FA754" s="770"/>
      <c r="FB754" s="770"/>
      <c r="FC754" s="770"/>
      <c r="FD754" s="302"/>
      <c r="FE754" s="770"/>
      <c r="FF754" s="770"/>
      <c r="FG754" s="770"/>
      <c r="FH754" s="770"/>
      <c r="FI754" s="770"/>
      <c r="FJ754" s="770"/>
      <c r="FK754" s="770"/>
      <c r="FL754" s="770"/>
      <c r="FM754" s="302"/>
      <c r="FN754" s="302"/>
      <c r="FO754" s="302"/>
      <c r="FP754" s="770"/>
      <c r="FQ754" s="770"/>
      <c r="FR754" s="770"/>
      <c r="FS754" s="770"/>
      <c r="FT754" s="770"/>
      <c r="FU754" s="770"/>
      <c r="FV754" s="770"/>
      <c r="FW754" s="770"/>
      <c r="FX754" s="770"/>
      <c r="FY754" s="770"/>
      <c r="FZ754" s="770"/>
      <c r="GA754" s="770"/>
      <c r="GB754" s="770"/>
      <c r="GC754" s="308"/>
      <c r="GD754" s="297"/>
      <c r="GE754" s="770"/>
      <c r="GF754" s="302"/>
      <c r="GG754" s="302"/>
      <c r="GH754" s="770"/>
      <c r="GI754" s="770"/>
      <c r="GJ754" s="770"/>
      <c r="GK754" s="770"/>
      <c r="GL754" s="770"/>
      <c r="GM754" s="770"/>
      <c r="GN754" s="299"/>
      <c r="GO754" s="770"/>
      <c r="GP754" s="770"/>
      <c r="GQ754" s="770"/>
      <c r="GR754" s="770"/>
      <c r="GS754" s="770"/>
      <c r="GT754" s="770"/>
      <c r="GU754" s="770"/>
      <c r="GV754" s="770"/>
      <c r="GW754" s="770"/>
      <c r="GX754" s="770"/>
      <c r="GY754" s="770"/>
      <c r="GZ754" s="770"/>
      <c r="HA754" s="770"/>
      <c r="HB754" s="770"/>
      <c r="HC754" s="770"/>
      <c r="HD754" s="770"/>
      <c r="HE754" s="770"/>
      <c r="HF754" s="770"/>
      <c r="HG754" s="770"/>
      <c r="HH754" s="770"/>
      <c r="HI754" s="770"/>
      <c r="HJ754" s="770"/>
      <c r="HK754" s="770"/>
      <c r="HL754" s="770"/>
      <c r="HM754" s="770"/>
      <c r="HN754" s="770"/>
      <c r="HO754" s="770"/>
      <c r="HP754" s="770"/>
      <c r="HQ754" s="770"/>
      <c r="HR754" s="770"/>
      <c r="HS754" s="770"/>
      <c r="HT754" s="770"/>
      <c r="HU754" s="770"/>
      <c r="HV754" s="770"/>
      <c r="HW754" s="770"/>
      <c r="HX754" s="770"/>
      <c r="HY754" s="770"/>
      <c r="HZ754" s="770"/>
      <c r="IA754" s="770"/>
      <c r="IB754" s="770"/>
      <c r="IC754" s="770"/>
      <c r="ID754" s="770"/>
      <c r="IE754" s="770"/>
      <c r="IF754" s="770"/>
      <c r="IG754" s="770"/>
      <c r="IH754" s="770"/>
      <c r="II754" s="770"/>
      <c r="IJ754" s="770"/>
      <c r="IK754" s="770"/>
      <c r="IL754" s="770"/>
      <c r="IM754" s="770"/>
      <c r="IN754" s="770"/>
      <c r="IO754" s="296"/>
      <c r="IP754" s="770"/>
      <c r="IQ754" s="770"/>
      <c r="IR754" s="770"/>
      <c r="IS754" s="770"/>
      <c r="IT754" s="770"/>
      <c r="IU754" s="770"/>
      <c r="IV754" s="770"/>
      <c r="IW754" s="770"/>
      <c r="IX754" s="770"/>
      <c r="IY754" s="770"/>
      <c r="IZ754" s="770"/>
      <c r="JA754" s="770"/>
      <c r="JB754" s="770"/>
      <c r="JC754" s="770"/>
      <c r="JD754" s="302"/>
      <c r="JE754" s="770"/>
      <c r="JF754" s="770"/>
      <c r="JG754" s="770"/>
      <c r="JH754" s="307"/>
      <c r="JI754" s="307"/>
      <c r="JJ754" s="770"/>
      <c r="JK754" s="770"/>
      <c r="JL754" s="770"/>
      <c r="JM754" s="770"/>
      <c r="JN754" s="770"/>
      <c r="JO754" s="770"/>
      <c r="JP754" s="770"/>
      <c r="JQ754" s="770"/>
      <c r="JR754" s="770"/>
      <c r="JS754" s="770"/>
      <c r="JT754" s="766"/>
      <c r="JU754" s="766"/>
      <c r="JV754" s="766"/>
      <c r="JW754" s="766"/>
      <c r="JX754" s="770"/>
      <c r="JY754" s="770"/>
      <c r="JZ754" s="770"/>
      <c r="KA754" s="770"/>
      <c r="KB754" s="770"/>
      <c r="KC754" s="770"/>
      <c r="KD754" s="770"/>
      <c r="KE754" s="770"/>
      <c r="KF754" s="770"/>
      <c r="KG754" s="770"/>
      <c r="KH754" s="770"/>
      <c r="KI754" s="770"/>
      <c r="KJ754" s="770"/>
      <c r="KK754" s="770"/>
      <c r="KL754" s="770"/>
      <c r="KM754" s="770"/>
      <c r="KN754" s="770"/>
      <c r="KO754" s="770"/>
      <c r="KP754" s="770"/>
      <c r="KQ754" s="770"/>
      <c r="KR754" s="770"/>
      <c r="KS754" s="770"/>
      <c r="KT754" s="770"/>
      <c r="KU754" s="770"/>
      <c r="KV754" s="770"/>
      <c r="KW754" s="770"/>
      <c r="KX754" s="770"/>
      <c r="KY754" s="770"/>
      <c r="KZ754" s="770"/>
      <c r="LA754" s="770"/>
      <c r="LB754" s="770"/>
      <c r="LC754" s="770"/>
      <c r="LD754" s="770"/>
      <c r="LE754" s="770"/>
      <c r="LF754" s="770"/>
      <c r="LG754" s="770"/>
      <c r="LH754" s="770"/>
      <c r="LI754" s="770"/>
      <c r="LJ754" s="770"/>
      <c r="LK754" s="770"/>
      <c r="LL754" s="770"/>
      <c r="LM754" s="770"/>
      <c r="LN754" s="766"/>
      <c r="LO754" s="766"/>
      <c r="LP754" s="770"/>
      <c r="LQ754" s="770"/>
      <c r="LR754" s="770"/>
      <c r="LS754" s="770"/>
      <c r="LT754" s="770"/>
      <c r="LU754" s="770"/>
      <c r="LV754" s="770"/>
      <c r="LW754" s="770"/>
      <c r="LX754" s="769"/>
      <c r="LY754" s="766" t="str">
        <f t="shared" si="231"/>
        <v/>
      </c>
      <c r="LZ754" s="1709"/>
      <c r="MA754" s="1709"/>
      <c r="MB754" s="1709"/>
      <c r="MC754" s="1679">
        <f t="shared" si="229"/>
        <v>0</v>
      </c>
      <c r="MD754" s="1709"/>
      <c r="ME754" s="1709"/>
      <c r="MF754" s="1709"/>
      <c r="MG754" s="1680">
        <f t="shared" si="216"/>
        <v>0</v>
      </c>
      <c r="MH754" s="770"/>
      <c r="MI754" s="302"/>
      <c r="MJ754" s="302"/>
      <c r="MK754" s="302"/>
      <c r="ML754" s="302"/>
      <c r="MM754" s="302"/>
      <c r="MN754" s="302"/>
      <c r="MO754" s="302"/>
      <c r="MP754" s="302"/>
      <c r="MQ754" s="302"/>
      <c r="MR754" s="302"/>
      <c r="MS754" s="302"/>
      <c r="MT754" s="302"/>
      <c r="MU754" s="302"/>
      <c r="MV754" s="302"/>
      <c r="MW754" s="302"/>
      <c r="MX754" s="302"/>
      <c r="MY754" s="1682">
        <f t="shared" si="217"/>
        <v>0</v>
      </c>
      <c r="MZ754" s="770"/>
      <c r="NA754" s="770"/>
      <c r="NB754" s="770"/>
      <c r="NC754" s="770"/>
      <c r="ND754" s="770"/>
      <c r="NE754" s="770"/>
      <c r="NF754" s="770"/>
      <c r="NG754" s="770"/>
      <c r="NH754" s="770"/>
      <c r="NI754" s="770"/>
      <c r="NJ754" s="770"/>
      <c r="NK754" s="770"/>
      <c r="NL754" s="770"/>
      <c r="NM754" s="770"/>
      <c r="NN754" s="770"/>
      <c r="NO754" s="770"/>
      <c r="NP754" s="770"/>
      <c r="NQ754" s="770"/>
      <c r="NR754" s="770"/>
      <c r="NS754" s="770"/>
      <c r="NT754" s="770"/>
      <c r="NU754" s="770"/>
      <c r="NV754" s="770"/>
      <c r="NW754" s="770"/>
      <c r="NX754" s="770"/>
      <c r="NY754" s="770"/>
      <c r="NZ754" s="770"/>
      <c r="OA754" s="770"/>
      <c r="OB754" s="770"/>
      <c r="OC754" s="770"/>
      <c r="OD754" s="770"/>
      <c r="OE754" s="770"/>
      <c r="OF754" s="770"/>
      <c r="OG754" s="770"/>
      <c r="OH754" s="770"/>
      <c r="OI754" s="770"/>
      <c r="OJ754" s="770"/>
      <c r="OK754" s="770"/>
      <c r="OL754" s="770"/>
      <c r="OM754" s="770"/>
      <c r="ON754" s="770"/>
      <c r="OO754" s="770"/>
      <c r="OP754" s="770"/>
      <c r="OQ754" s="770"/>
      <c r="OR754" s="770"/>
      <c r="OS754" s="770"/>
      <c r="OT754" s="770"/>
      <c r="OU754" s="770"/>
      <c r="OV754" s="770"/>
      <c r="OW754" s="770"/>
      <c r="OX754" s="770"/>
      <c r="OY754" s="770"/>
      <c r="OZ754" s="770"/>
      <c r="PA754" s="770"/>
      <c r="PB754" s="770"/>
      <c r="PC754" s="770"/>
      <c r="PD754" s="770"/>
      <c r="PE754" s="770"/>
      <c r="PF754" s="770"/>
      <c r="PG754" s="770"/>
      <c r="PH754" s="770"/>
      <c r="PI754" s="770"/>
      <c r="PJ754" s="770"/>
      <c r="PK754" s="770"/>
      <c r="PL754" s="770"/>
      <c r="PM754" s="770"/>
      <c r="PN754" s="770"/>
      <c r="PO754" s="770"/>
      <c r="PP754" s="770"/>
      <c r="PQ754" s="770"/>
      <c r="PR754" s="770"/>
      <c r="PS754" s="770"/>
      <c r="PT754" s="770"/>
      <c r="PU754" s="770"/>
      <c r="PV754" s="770"/>
      <c r="PW754" s="770"/>
      <c r="PX754" s="770"/>
      <c r="PY754" s="770"/>
      <c r="PZ754" s="770"/>
      <c r="QA754" s="770"/>
      <c r="QB754" s="770"/>
      <c r="QC754" s="770"/>
      <c r="QD754" s="770"/>
      <c r="QE754" s="770"/>
      <c r="QF754" s="770"/>
      <c r="QG754" s="770"/>
      <c r="QH754" s="770"/>
      <c r="QI754" s="770"/>
      <c r="QJ754" s="770"/>
      <c r="QK754" s="770"/>
      <c r="QL754" s="770"/>
      <c r="QM754" s="770"/>
      <c r="QN754" s="770"/>
      <c r="QO754" s="770"/>
      <c r="QP754" s="770"/>
      <c r="QQ754" s="770"/>
      <c r="QR754" s="770"/>
      <c r="QS754" s="770"/>
      <c r="QT754" s="770"/>
      <c r="QU754" s="770"/>
      <c r="QV754" s="770"/>
      <c r="QW754" s="770"/>
      <c r="QX754" s="770"/>
      <c r="QY754" s="770"/>
      <c r="QZ754" s="770"/>
      <c r="RA754" s="770"/>
      <c r="RB754" s="770"/>
      <c r="RC754" s="770"/>
      <c r="RD754" s="770"/>
      <c r="RE754" s="770"/>
      <c r="RF754" s="304"/>
      <c r="RG754" s="770"/>
      <c r="RH754" s="306"/>
      <c r="RI754" s="770"/>
      <c r="RJ754" s="94"/>
      <c r="RK754" s="770"/>
      <c r="RL754" s="1710"/>
      <c r="RM754" s="12"/>
      <c r="RN754" s="1711"/>
      <c r="RO754" s="149" t="s">
        <v>4797</v>
      </c>
      <c r="RP754" s="11"/>
      <c r="RQ754" s="11"/>
      <c r="RR754" s="17"/>
      <c r="RS754" s="767"/>
      <c r="RT754" s="11"/>
      <c r="RU754" s="11"/>
      <c r="RV754" s="771" t="s">
        <v>7419</v>
      </c>
      <c r="RW754" s="11" t="s">
        <v>8053</v>
      </c>
      <c r="RX754" s="11" t="s">
        <v>4792</v>
      </c>
      <c r="RY754" s="11"/>
      <c r="RZ754" s="11" t="s">
        <v>2209</v>
      </c>
      <c r="SA754" s="771"/>
      <c r="SB754" s="11"/>
      <c r="SC754" s="11"/>
    </row>
    <row r="755" spans="1:497" ht="12.75" hidden="1" customHeight="1">
      <c r="A755" s="19" t="s">
        <v>7419</v>
      </c>
      <c r="B755" s="744" t="s">
        <v>7457</v>
      </c>
      <c r="C755" s="149" t="s">
        <v>4798</v>
      </c>
      <c r="D755" s="94" t="s">
        <v>1137</v>
      </c>
      <c r="E755" s="766" t="s">
        <v>5796</v>
      </c>
      <c r="F755" s="770"/>
      <c r="G755" s="770"/>
      <c r="H755" s="295"/>
      <c r="I755" s="12"/>
      <c r="J755" s="94"/>
      <c r="K755" s="766" t="s">
        <v>5767</v>
      </c>
      <c r="L755" s="766" t="s">
        <v>5768</v>
      </c>
      <c r="M755" s="770"/>
      <c r="N755" s="1757"/>
      <c r="O755" s="1757" t="s">
        <v>5763</v>
      </c>
      <c r="P755" s="770"/>
      <c r="Q755" s="1088"/>
      <c r="R755" s="297"/>
      <c r="S755" s="770"/>
      <c r="T755" s="770"/>
      <c r="U755" s="295"/>
      <c r="V755" s="770"/>
      <c r="W755" s="770"/>
      <c r="X755" s="770"/>
      <c r="Y755" s="770"/>
      <c r="Z755" s="770"/>
      <c r="AA755" s="770"/>
      <c r="AB755" s="770"/>
      <c r="AC755" s="770"/>
      <c r="AD755" s="770"/>
      <c r="AE755" s="770"/>
      <c r="AF755" s="770"/>
      <c r="AG755" s="766" t="s">
        <v>1132</v>
      </c>
      <c r="AH755" s="766" t="s">
        <v>1120</v>
      </c>
      <c r="AI755" s="770"/>
      <c r="AJ755" s="770" t="s">
        <v>1137</v>
      </c>
      <c r="AK755" s="770" t="s">
        <v>5774</v>
      </c>
      <c r="AL755" s="531">
        <v>1440</v>
      </c>
      <c r="AM755" s="780">
        <v>576</v>
      </c>
      <c r="AN755" s="532">
        <f t="shared" si="232"/>
        <v>0.4</v>
      </c>
      <c r="AO755" s="766" t="s">
        <v>1149</v>
      </c>
      <c r="AP755" s="766" t="s">
        <v>1137</v>
      </c>
      <c r="AQ755" s="766"/>
      <c r="AR755" s="766"/>
      <c r="AS755" s="770"/>
      <c r="AT755" s="770"/>
      <c r="AU755" s="770"/>
      <c r="AV755" s="770"/>
      <c r="AW755" s="770"/>
      <c r="AX755" s="770"/>
      <c r="AY755" s="770"/>
      <c r="AZ755" s="770"/>
      <c r="BA755" s="770"/>
      <c r="BB755" s="770"/>
      <c r="BC755" s="770"/>
      <c r="BD755" s="770"/>
      <c r="BE755" s="770"/>
      <c r="BF755" s="302"/>
      <c r="BG755" s="302"/>
      <c r="BH755" s="770"/>
      <c r="BI755" s="770"/>
      <c r="BJ755" s="770"/>
      <c r="BK755" s="766" t="s">
        <v>1099</v>
      </c>
      <c r="BL755" s="766" t="s">
        <v>1137</v>
      </c>
      <c r="BM755" s="766" t="s">
        <v>1120</v>
      </c>
      <c r="BN755" s="766" t="s">
        <v>1230</v>
      </c>
      <c r="BO755" s="766" t="s">
        <v>1246</v>
      </c>
      <c r="BP755" s="765">
        <v>1440</v>
      </c>
      <c r="BQ755" s="773">
        <v>576</v>
      </c>
      <c r="BR755" s="774">
        <f t="shared" si="233"/>
        <v>0.4</v>
      </c>
      <c r="BS755" s="6" t="s">
        <v>1149</v>
      </c>
      <c r="BT755" s="766" t="s">
        <v>2040</v>
      </c>
      <c r="BU755" s="770" t="s">
        <v>5776</v>
      </c>
      <c r="BV755" s="766" t="s">
        <v>1243</v>
      </c>
      <c r="BW755" s="769"/>
      <c r="BX755" s="302"/>
      <c r="BY755" s="770"/>
      <c r="BZ755" s="302"/>
      <c r="CA755" s="770"/>
      <c r="CB755" s="770"/>
      <c r="CC755" s="770"/>
      <c r="CD755" s="770"/>
      <c r="CE755" s="302"/>
      <c r="CF755" s="304"/>
      <c r="CG755" s="321"/>
      <c r="CH755" s="770"/>
      <c r="CI755" s="770"/>
      <c r="CJ755" s="770"/>
      <c r="CK755" s="770"/>
      <c r="CL755" s="770"/>
      <c r="CM755" s="770"/>
      <c r="CN755" s="770"/>
      <c r="CO755" s="770"/>
      <c r="CP755" s="770"/>
      <c r="CQ755" s="770"/>
      <c r="CR755" s="302"/>
      <c r="CS755" s="770"/>
      <c r="CT755" s="770"/>
      <c r="CU755" s="305"/>
      <c r="CV755" s="770"/>
      <c r="CW755" s="770"/>
      <c r="CX755" s="770"/>
      <c r="CY755" s="770"/>
      <c r="CZ755" s="770"/>
      <c r="DA755" s="306"/>
      <c r="DB755" s="770"/>
      <c r="DC755" s="770"/>
      <c r="DD755" s="770"/>
      <c r="DE755" s="300"/>
      <c r="DF755" s="770"/>
      <c r="DG755" s="770"/>
      <c r="DH755" s="770"/>
      <c r="DI755" s="770"/>
      <c r="DJ755" s="770"/>
      <c r="DK755" s="770"/>
      <c r="DL755" s="770"/>
      <c r="DM755" s="770"/>
      <c r="DN755" s="322"/>
      <c r="DO755" s="770"/>
      <c r="DP755" s="770"/>
      <c r="DQ755" s="770"/>
      <c r="DR755" s="770"/>
      <c r="DS755" s="307"/>
      <c r="DT755" s="770"/>
      <c r="DU755" s="770"/>
      <c r="DV755" s="770"/>
      <c r="DW755" s="306"/>
      <c r="DX755" s="306"/>
      <c r="DY755" s="1055"/>
      <c r="DZ755" s="770"/>
      <c r="EA755" s="770"/>
      <c r="EB755" s="770"/>
      <c r="EC755" s="770"/>
      <c r="ED755" s="770"/>
      <c r="EE755" s="770"/>
      <c r="EF755" s="770"/>
      <c r="EG755" s="770"/>
      <c r="EH755" s="770"/>
      <c r="EI755" s="770"/>
      <c r="EJ755" s="770"/>
      <c r="EK755" s="770"/>
      <c r="EL755" s="770"/>
      <c r="EM755" s="770"/>
      <c r="EN755" s="770"/>
      <c r="EO755" s="770"/>
      <c r="EP755" s="94"/>
      <c r="EQ755" s="770"/>
      <c r="ER755" s="770"/>
      <c r="ES755" s="770"/>
      <c r="ET755" s="770"/>
      <c r="EU755" s="770"/>
      <c r="EV755" s="770"/>
      <c r="EW755" s="770"/>
      <c r="EX755" s="770"/>
      <c r="EY755" s="770"/>
      <c r="EZ755" s="770"/>
      <c r="FA755" s="770"/>
      <c r="FB755" s="770"/>
      <c r="FC755" s="770"/>
      <c r="FD755" s="302"/>
      <c r="FE755" s="770"/>
      <c r="FF755" s="770"/>
      <c r="FG755" s="770"/>
      <c r="FH755" s="770"/>
      <c r="FI755" s="770"/>
      <c r="FJ755" s="770"/>
      <c r="FK755" s="770"/>
      <c r="FL755" s="770"/>
      <c r="FM755" s="302"/>
      <c r="FN755" s="302"/>
      <c r="FO755" s="302"/>
      <c r="FP755" s="770"/>
      <c r="FQ755" s="770"/>
      <c r="FR755" s="770"/>
      <c r="FS755" s="770"/>
      <c r="FT755" s="770"/>
      <c r="FU755" s="770"/>
      <c r="FV755" s="770"/>
      <c r="FW755" s="770"/>
      <c r="FX755" s="770"/>
      <c r="FY755" s="770"/>
      <c r="FZ755" s="770"/>
      <c r="GA755" s="770"/>
      <c r="GB755" s="770"/>
      <c r="GC755" s="308"/>
      <c r="GD755" s="297"/>
      <c r="GE755" s="770"/>
      <c r="GF755" s="302"/>
      <c r="GG755" s="302"/>
      <c r="GH755" s="770"/>
      <c r="GI755" s="770"/>
      <c r="GJ755" s="770"/>
      <c r="GK755" s="770"/>
      <c r="GL755" s="770"/>
      <c r="GM755" s="770"/>
      <c r="GN755" s="299"/>
      <c r="GO755" s="770"/>
      <c r="GP755" s="770"/>
      <c r="GQ755" s="770"/>
      <c r="GR755" s="770"/>
      <c r="GS755" s="770"/>
      <c r="GT755" s="770"/>
      <c r="GU755" s="770"/>
      <c r="GV755" s="770"/>
      <c r="GW755" s="770"/>
      <c r="GX755" s="770"/>
      <c r="GY755" s="770"/>
      <c r="GZ755" s="770"/>
      <c r="HA755" s="770"/>
      <c r="HB755" s="770"/>
      <c r="HC755" s="770"/>
      <c r="HD755" s="770"/>
      <c r="HE755" s="770"/>
      <c r="HF755" s="770"/>
      <c r="HG755" s="770"/>
      <c r="HH755" s="770"/>
      <c r="HI755" s="770"/>
      <c r="HJ755" s="770"/>
      <c r="HK755" s="770"/>
      <c r="HL755" s="770"/>
      <c r="HM755" s="770"/>
      <c r="HN755" s="770"/>
      <c r="HO755" s="770"/>
      <c r="HP755" s="770"/>
      <c r="HQ755" s="770"/>
      <c r="HR755" s="770"/>
      <c r="HS755" s="770"/>
      <c r="HT755" s="770"/>
      <c r="HU755" s="770"/>
      <c r="HV755" s="770"/>
      <c r="HW755" s="770"/>
      <c r="HX755" s="770"/>
      <c r="HY755" s="770"/>
      <c r="HZ755" s="770"/>
      <c r="IA755" s="770"/>
      <c r="IB755" s="770"/>
      <c r="IC755" s="770"/>
      <c r="ID755" s="770"/>
      <c r="IE755" s="770"/>
      <c r="IF755" s="770"/>
      <c r="IG755" s="770"/>
      <c r="IH755" s="770"/>
      <c r="II755" s="770"/>
      <c r="IJ755" s="770"/>
      <c r="IK755" s="770"/>
      <c r="IL755" s="770"/>
      <c r="IM755" s="770"/>
      <c r="IN755" s="770"/>
      <c r="IO755" s="296"/>
      <c r="IP755" s="770"/>
      <c r="IQ755" s="770"/>
      <c r="IR755" s="770"/>
      <c r="IS755" s="770"/>
      <c r="IT755" s="770"/>
      <c r="IU755" s="770"/>
      <c r="IV755" s="770"/>
      <c r="IW755" s="770"/>
      <c r="IX755" s="770"/>
      <c r="IY755" s="770"/>
      <c r="IZ755" s="770"/>
      <c r="JA755" s="770"/>
      <c r="JB755" s="770"/>
      <c r="JC755" s="770"/>
      <c r="JD755" s="302"/>
      <c r="JE755" s="770"/>
      <c r="JF755" s="770"/>
      <c r="JG755" s="770"/>
      <c r="JH755" s="307"/>
      <c r="JI755" s="307"/>
      <c r="JJ755" s="770"/>
      <c r="JK755" s="770"/>
      <c r="JL755" s="770"/>
      <c r="JM755" s="770"/>
      <c r="JN755" s="770"/>
      <c r="JO755" s="770"/>
      <c r="JP755" s="770"/>
      <c r="JQ755" s="770"/>
      <c r="JR755" s="770"/>
      <c r="JS755" s="770"/>
      <c r="JT755" s="766"/>
      <c r="JU755" s="766"/>
      <c r="JV755" s="766"/>
      <c r="JW755" s="766"/>
      <c r="JX755" s="770"/>
      <c r="JY755" s="770"/>
      <c r="JZ755" s="770"/>
      <c r="KA755" s="770"/>
      <c r="KB755" s="770"/>
      <c r="KC755" s="770"/>
      <c r="KD755" s="770"/>
      <c r="KE755" s="770"/>
      <c r="KF755" s="770"/>
      <c r="KG755" s="770"/>
      <c r="KH755" s="770"/>
      <c r="KI755" s="770"/>
      <c r="KJ755" s="770"/>
      <c r="KK755" s="770"/>
      <c r="KL755" s="770"/>
      <c r="KM755" s="770"/>
      <c r="KN755" s="770"/>
      <c r="KO755" s="770"/>
      <c r="KP755" s="770"/>
      <c r="KQ755" s="770"/>
      <c r="KR755" s="770"/>
      <c r="KS755" s="770"/>
      <c r="KT755" s="770"/>
      <c r="KU755" s="770"/>
      <c r="KV755" s="770"/>
      <c r="KW755" s="770"/>
      <c r="KX755" s="770"/>
      <c r="KY755" s="770"/>
      <c r="KZ755" s="770"/>
      <c r="LA755" s="770"/>
      <c r="LB755" s="770"/>
      <c r="LC755" s="770"/>
      <c r="LD755" s="770"/>
      <c r="LE755" s="770"/>
      <c r="LF755" s="770"/>
      <c r="LG755" s="770"/>
      <c r="LH755" s="770"/>
      <c r="LI755" s="770"/>
      <c r="LJ755" s="770"/>
      <c r="LK755" s="770"/>
      <c r="LL755" s="770"/>
      <c r="LM755" s="770"/>
      <c r="LN755" s="766"/>
      <c r="LO755" s="766"/>
      <c r="LP755" s="770"/>
      <c r="LQ755" s="770"/>
      <c r="LR755" s="770"/>
      <c r="LS755" s="770"/>
      <c r="LT755" s="770"/>
      <c r="LU755" s="770"/>
      <c r="LV755" s="770"/>
      <c r="LW755" s="770"/>
      <c r="LX755" s="769"/>
      <c r="LY755" s="766" t="str">
        <f t="shared" si="231"/>
        <v/>
      </c>
      <c r="LZ755" s="1709"/>
      <c r="MA755" s="1709"/>
      <c r="MB755" s="1709"/>
      <c r="MC755" s="1679">
        <f t="shared" si="229"/>
        <v>0</v>
      </c>
      <c r="MD755" s="1709"/>
      <c r="ME755" s="1709"/>
      <c r="MF755" s="1709"/>
      <c r="MG755" s="1680">
        <f t="shared" si="216"/>
        <v>0</v>
      </c>
      <c r="MH755" s="770"/>
      <c r="MI755" s="302"/>
      <c r="MJ755" s="302"/>
      <c r="MK755" s="302"/>
      <c r="ML755" s="302"/>
      <c r="MM755" s="302"/>
      <c r="MN755" s="302"/>
      <c r="MO755" s="302"/>
      <c r="MP755" s="302"/>
      <c r="MQ755" s="302"/>
      <c r="MR755" s="302"/>
      <c r="MS755" s="302"/>
      <c r="MT755" s="302"/>
      <c r="MU755" s="302"/>
      <c r="MV755" s="302"/>
      <c r="MW755" s="302"/>
      <c r="MX755" s="302"/>
      <c r="MY755" s="1682">
        <f t="shared" si="217"/>
        <v>0</v>
      </c>
      <c r="MZ755" s="770"/>
      <c r="NA755" s="770"/>
      <c r="NB755" s="770"/>
      <c r="NC755" s="770"/>
      <c r="ND755" s="770"/>
      <c r="NE755" s="770"/>
      <c r="NF755" s="770"/>
      <c r="NG755" s="770"/>
      <c r="NH755" s="770"/>
      <c r="NI755" s="770"/>
      <c r="NJ755" s="770"/>
      <c r="NK755" s="770"/>
      <c r="NL755" s="770"/>
      <c r="NM755" s="770"/>
      <c r="NN755" s="770"/>
      <c r="NO755" s="770"/>
      <c r="NP755" s="770"/>
      <c r="NQ755" s="770"/>
      <c r="NR755" s="770"/>
      <c r="NS755" s="770"/>
      <c r="NT755" s="770"/>
      <c r="NU755" s="770"/>
      <c r="NV755" s="770"/>
      <c r="NW755" s="770"/>
      <c r="NX755" s="770"/>
      <c r="NY755" s="770"/>
      <c r="NZ755" s="770"/>
      <c r="OA755" s="770"/>
      <c r="OB755" s="770"/>
      <c r="OC755" s="770"/>
      <c r="OD755" s="770"/>
      <c r="OE755" s="770"/>
      <c r="OF755" s="770"/>
      <c r="OG755" s="770"/>
      <c r="OH755" s="770"/>
      <c r="OI755" s="770"/>
      <c r="OJ755" s="770"/>
      <c r="OK755" s="770"/>
      <c r="OL755" s="770"/>
      <c r="OM755" s="770"/>
      <c r="ON755" s="770"/>
      <c r="OO755" s="770"/>
      <c r="OP755" s="770"/>
      <c r="OQ755" s="770"/>
      <c r="OR755" s="770"/>
      <c r="OS755" s="770"/>
      <c r="OT755" s="770"/>
      <c r="OU755" s="770"/>
      <c r="OV755" s="770"/>
      <c r="OW755" s="770"/>
      <c r="OX755" s="770"/>
      <c r="OY755" s="770"/>
      <c r="OZ755" s="770"/>
      <c r="PA755" s="770"/>
      <c r="PB755" s="770"/>
      <c r="PC755" s="770"/>
      <c r="PD755" s="770"/>
      <c r="PE755" s="770"/>
      <c r="PF755" s="770"/>
      <c r="PG755" s="770"/>
      <c r="PH755" s="770"/>
      <c r="PI755" s="770"/>
      <c r="PJ755" s="770"/>
      <c r="PK755" s="770"/>
      <c r="PL755" s="770"/>
      <c r="PM755" s="770"/>
      <c r="PN755" s="770"/>
      <c r="PO755" s="770"/>
      <c r="PP755" s="770"/>
      <c r="PQ755" s="770"/>
      <c r="PR755" s="770"/>
      <c r="PS755" s="770"/>
      <c r="PT755" s="770"/>
      <c r="PU755" s="770"/>
      <c r="PV755" s="770"/>
      <c r="PW755" s="770"/>
      <c r="PX755" s="770"/>
      <c r="PY755" s="770"/>
      <c r="PZ755" s="770"/>
      <c r="QA755" s="770"/>
      <c r="QB755" s="770"/>
      <c r="QC755" s="770"/>
      <c r="QD755" s="770"/>
      <c r="QE755" s="770"/>
      <c r="QF755" s="770"/>
      <c r="QG755" s="770"/>
      <c r="QH755" s="770"/>
      <c r="QI755" s="770"/>
      <c r="QJ755" s="770"/>
      <c r="QK755" s="770"/>
      <c r="QL755" s="770"/>
      <c r="QM755" s="770"/>
      <c r="QN755" s="770"/>
      <c r="QO755" s="770"/>
      <c r="QP755" s="770"/>
      <c r="QQ755" s="770"/>
      <c r="QR755" s="770"/>
      <c r="QS755" s="770"/>
      <c r="QT755" s="770"/>
      <c r="QU755" s="770"/>
      <c r="QV755" s="770"/>
      <c r="QW755" s="770"/>
      <c r="QX755" s="770"/>
      <c r="QY755" s="770"/>
      <c r="QZ755" s="770"/>
      <c r="RA755" s="770"/>
      <c r="RB755" s="770"/>
      <c r="RC755" s="770"/>
      <c r="RD755" s="770"/>
      <c r="RE755" s="770"/>
      <c r="RF755" s="304"/>
      <c r="RG755" s="770"/>
      <c r="RH755" s="306"/>
      <c r="RI755" s="770"/>
      <c r="RJ755" s="94"/>
      <c r="RK755" s="770"/>
      <c r="RL755" s="1710"/>
      <c r="RM755" s="12"/>
      <c r="RN755" s="1711"/>
      <c r="RO755" s="149" t="s">
        <v>4798</v>
      </c>
      <c r="RP755" s="11"/>
      <c r="RQ755" s="11"/>
      <c r="RR755" s="17"/>
      <c r="RS755" s="767"/>
      <c r="RT755" s="11"/>
      <c r="RU755" s="11"/>
      <c r="RV755" s="771" t="s">
        <v>7419</v>
      </c>
      <c r="RW755" s="11" t="s">
        <v>7455</v>
      </c>
      <c r="RX755" s="11" t="s">
        <v>4796</v>
      </c>
      <c r="RY755" s="11"/>
      <c r="RZ755" s="11" t="s">
        <v>2209</v>
      </c>
      <c r="SA755" s="771"/>
      <c r="SB755" s="11"/>
      <c r="SC755" s="11"/>
    </row>
    <row r="756" spans="1:497" ht="12.75" hidden="1" customHeight="1">
      <c r="A756" s="19" t="s">
        <v>7419</v>
      </c>
      <c r="B756" s="744" t="s">
        <v>7458</v>
      </c>
      <c r="C756" s="149" t="s">
        <v>4799</v>
      </c>
      <c r="D756" s="94" t="s">
        <v>7226</v>
      </c>
      <c r="E756" s="766" t="s">
        <v>5797</v>
      </c>
      <c r="F756" s="770"/>
      <c r="G756" s="770"/>
      <c r="H756" s="295"/>
      <c r="I756" s="12"/>
      <c r="J756" s="94"/>
      <c r="K756" s="766" t="s">
        <v>5769</v>
      </c>
      <c r="L756" s="766" t="s">
        <v>5770</v>
      </c>
      <c r="M756" s="770"/>
      <c r="N756" s="1757"/>
      <c r="O756" s="1757" t="s">
        <v>5771</v>
      </c>
      <c r="P756" s="770"/>
      <c r="Q756" s="1088"/>
      <c r="R756" s="297"/>
      <c r="S756" s="770"/>
      <c r="T756" s="770"/>
      <c r="U756" s="295"/>
      <c r="V756" s="770"/>
      <c r="W756" s="770"/>
      <c r="X756" s="770"/>
      <c r="Y756" s="770"/>
      <c r="Z756" s="770"/>
      <c r="AA756" s="770"/>
      <c r="AB756" s="770"/>
      <c r="AC756" s="770"/>
      <c r="AD756" s="770"/>
      <c r="AE756" s="770"/>
      <c r="AF756" s="770"/>
      <c r="AG756" s="766" t="s">
        <v>1132</v>
      </c>
      <c r="AH756" s="766" t="s">
        <v>1120</v>
      </c>
      <c r="AI756" s="770"/>
      <c r="AJ756" s="770" t="s">
        <v>1137</v>
      </c>
      <c r="AK756" s="770" t="s">
        <v>5774</v>
      </c>
      <c r="AL756" s="531">
        <v>50.16</v>
      </c>
      <c r="AM756" s="780">
        <v>50.16</v>
      </c>
      <c r="AN756" s="532">
        <f t="shared" si="232"/>
        <v>1</v>
      </c>
      <c r="AO756" s="766" t="s">
        <v>1122</v>
      </c>
      <c r="AP756" s="766" t="s">
        <v>1137</v>
      </c>
      <c r="AQ756" s="766"/>
      <c r="AR756" s="766"/>
      <c r="AS756" s="770"/>
      <c r="AT756" s="770"/>
      <c r="AU756" s="770"/>
      <c r="AV756" s="770"/>
      <c r="AW756" s="770"/>
      <c r="AX756" s="770"/>
      <c r="AY756" s="770"/>
      <c r="AZ756" s="770"/>
      <c r="BA756" s="770"/>
      <c r="BB756" s="770"/>
      <c r="BC756" s="770"/>
      <c r="BD756" s="770"/>
      <c r="BE756" s="770"/>
      <c r="BF756" s="302"/>
      <c r="BG756" s="302"/>
      <c r="BH756" s="770"/>
      <c r="BI756" s="770"/>
      <c r="BJ756" s="770"/>
      <c r="BK756" s="766" t="s">
        <v>1099</v>
      </c>
      <c r="BL756" s="766" t="s">
        <v>1137</v>
      </c>
      <c r="BM756" s="766" t="s">
        <v>1120</v>
      </c>
      <c r="BN756" s="766" t="s">
        <v>1230</v>
      </c>
      <c r="BO756" s="766" t="s">
        <v>1246</v>
      </c>
      <c r="BP756" s="765">
        <v>50.16</v>
      </c>
      <c r="BQ756" s="773">
        <v>50.16</v>
      </c>
      <c r="BR756" s="774">
        <f t="shared" si="233"/>
        <v>1</v>
      </c>
      <c r="BS756" s="766" t="s">
        <v>1257</v>
      </c>
      <c r="BT756" s="766" t="s">
        <v>2040</v>
      </c>
      <c r="BU756" s="770" t="s">
        <v>1281</v>
      </c>
      <c r="BV756" s="766" t="s">
        <v>1243</v>
      </c>
      <c r="BW756" s="769"/>
      <c r="BX756" s="302"/>
      <c r="BY756" s="770"/>
      <c r="BZ756" s="302"/>
      <c r="CA756" s="770"/>
      <c r="CB756" s="770"/>
      <c r="CC756" s="770"/>
      <c r="CD756" s="770"/>
      <c r="CE756" s="302"/>
      <c r="CF756" s="304"/>
      <c r="CG756" s="321"/>
      <c r="CH756" s="770"/>
      <c r="CI756" s="770"/>
      <c r="CJ756" s="770"/>
      <c r="CK756" s="770"/>
      <c r="CL756" s="770"/>
      <c r="CM756" s="770"/>
      <c r="CN756" s="770"/>
      <c r="CO756" s="770"/>
      <c r="CP756" s="770"/>
      <c r="CQ756" s="770"/>
      <c r="CR756" s="302"/>
      <c r="CS756" s="770"/>
      <c r="CT756" s="770"/>
      <c r="CU756" s="305"/>
      <c r="CV756" s="770"/>
      <c r="CW756" s="770"/>
      <c r="CX756" s="770"/>
      <c r="CY756" s="770"/>
      <c r="CZ756" s="770"/>
      <c r="DA756" s="306"/>
      <c r="DB756" s="770"/>
      <c r="DC756" s="770"/>
      <c r="DD756" s="770"/>
      <c r="DE756" s="300"/>
      <c r="DF756" s="770"/>
      <c r="DG756" s="770"/>
      <c r="DH756" s="770"/>
      <c r="DI756" s="770"/>
      <c r="DJ756" s="770"/>
      <c r="DK756" s="770"/>
      <c r="DL756" s="770"/>
      <c r="DM756" s="770"/>
      <c r="DN756" s="322"/>
      <c r="DO756" s="770"/>
      <c r="DP756" s="770"/>
      <c r="DQ756" s="770"/>
      <c r="DR756" s="770"/>
      <c r="DS756" s="307"/>
      <c r="DT756" s="770"/>
      <c r="DU756" s="770"/>
      <c r="DV756" s="770"/>
      <c r="DW756" s="306"/>
      <c r="DX756" s="306"/>
      <c r="DY756" s="1055"/>
      <c r="DZ756" s="770"/>
      <c r="EA756" s="770"/>
      <c r="EB756" s="770"/>
      <c r="EC756" s="770"/>
      <c r="ED756" s="770"/>
      <c r="EE756" s="770"/>
      <c r="EF756" s="770"/>
      <c r="EG756" s="770"/>
      <c r="EH756" s="770"/>
      <c r="EI756" s="770"/>
      <c r="EJ756" s="770"/>
      <c r="EK756" s="770"/>
      <c r="EL756" s="770"/>
      <c r="EM756" s="770"/>
      <c r="EN756" s="770"/>
      <c r="EO756" s="770"/>
      <c r="EP756" s="94"/>
      <c r="EQ756" s="770"/>
      <c r="ER756" s="770"/>
      <c r="ES756" s="770"/>
      <c r="ET756" s="770"/>
      <c r="EU756" s="770"/>
      <c r="EV756" s="770"/>
      <c r="EW756" s="770"/>
      <c r="EX756" s="770"/>
      <c r="EY756" s="770"/>
      <c r="EZ756" s="770"/>
      <c r="FA756" s="770"/>
      <c r="FB756" s="770"/>
      <c r="FC756" s="770"/>
      <c r="FD756" s="302"/>
      <c r="FE756" s="770"/>
      <c r="FF756" s="770"/>
      <c r="FG756" s="770"/>
      <c r="FH756" s="770"/>
      <c r="FI756" s="770"/>
      <c r="FJ756" s="770"/>
      <c r="FK756" s="770"/>
      <c r="FL756" s="770"/>
      <c r="FM756" s="302"/>
      <c r="FN756" s="302"/>
      <c r="FO756" s="302"/>
      <c r="FP756" s="770"/>
      <c r="FQ756" s="770"/>
      <c r="FR756" s="770"/>
      <c r="FS756" s="770"/>
      <c r="FT756" s="770"/>
      <c r="FU756" s="770"/>
      <c r="FV756" s="770"/>
      <c r="FW756" s="770"/>
      <c r="FX756" s="770"/>
      <c r="FY756" s="770"/>
      <c r="FZ756" s="770"/>
      <c r="GA756" s="770"/>
      <c r="GB756" s="770"/>
      <c r="GC756" s="308"/>
      <c r="GD756" s="297"/>
      <c r="GE756" s="770"/>
      <c r="GF756" s="302"/>
      <c r="GG756" s="302"/>
      <c r="GH756" s="770"/>
      <c r="GI756" s="770"/>
      <c r="GJ756" s="770"/>
      <c r="GK756" s="770"/>
      <c r="GL756" s="770"/>
      <c r="GM756" s="770"/>
      <c r="GN756" s="299"/>
      <c r="GO756" s="770"/>
      <c r="GP756" s="770"/>
      <c r="GQ756" s="770"/>
      <c r="GR756" s="770"/>
      <c r="GS756" s="770"/>
      <c r="GT756" s="770"/>
      <c r="GU756" s="770"/>
      <c r="GV756" s="770"/>
      <c r="GW756" s="770"/>
      <c r="GX756" s="770"/>
      <c r="GY756" s="770"/>
      <c r="GZ756" s="770"/>
      <c r="HA756" s="770"/>
      <c r="HB756" s="770"/>
      <c r="HC756" s="770"/>
      <c r="HD756" s="770"/>
      <c r="HE756" s="770"/>
      <c r="HF756" s="770"/>
      <c r="HG756" s="770"/>
      <c r="HH756" s="770"/>
      <c r="HI756" s="770"/>
      <c r="HJ756" s="770"/>
      <c r="HK756" s="770"/>
      <c r="HL756" s="770"/>
      <c r="HM756" s="770"/>
      <c r="HN756" s="770"/>
      <c r="HO756" s="770"/>
      <c r="HP756" s="770"/>
      <c r="HQ756" s="770"/>
      <c r="HR756" s="770"/>
      <c r="HS756" s="770"/>
      <c r="HT756" s="770"/>
      <c r="HU756" s="770"/>
      <c r="HV756" s="770"/>
      <c r="HW756" s="770"/>
      <c r="HX756" s="770"/>
      <c r="HY756" s="770"/>
      <c r="HZ756" s="770"/>
      <c r="IA756" s="770"/>
      <c r="IB756" s="770"/>
      <c r="IC756" s="770"/>
      <c r="ID756" s="770"/>
      <c r="IE756" s="770"/>
      <c r="IF756" s="770"/>
      <c r="IG756" s="770"/>
      <c r="IH756" s="770"/>
      <c r="II756" s="770"/>
      <c r="IJ756" s="770"/>
      <c r="IK756" s="770"/>
      <c r="IL756" s="770"/>
      <c r="IM756" s="770"/>
      <c r="IN756" s="770"/>
      <c r="IO756" s="296"/>
      <c r="IP756" s="770"/>
      <c r="IQ756" s="770"/>
      <c r="IR756" s="770"/>
      <c r="IS756" s="770"/>
      <c r="IT756" s="770"/>
      <c r="IU756" s="770"/>
      <c r="IV756" s="770"/>
      <c r="IW756" s="770"/>
      <c r="IX756" s="770"/>
      <c r="IY756" s="770"/>
      <c r="IZ756" s="770"/>
      <c r="JA756" s="770"/>
      <c r="JB756" s="770"/>
      <c r="JC756" s="770"/>
      <c r="JD756" s="302"/>
      <c r="JE756" s="770"/>
      <c r="JF756" s="770"/>
      <c r="JG756" s="770"/>
      <c r="JH756" s="307"/>
      <c r="JI756" s="307"/>
      <c r="JJ756" s="770"/>
      <c r="JK756" s="770"/>
      <c r="JL756" s="770"/>
      <c r="JM756" s="770"/>
      <c r="JN756" s="770"/>
      <c r="JO756" s="770"/>
      <c r="JP756" s="770"/>
      <c r="JQ756" s="770"/>
      <c r="JR756" s="770"/>
      <c r="JS756" s="770"/>
      <c r="JT756" s="766"/>
      <c r="JU756" s="766"/>
      <c r="JV756" s="766"/>
      <c r="JW756" s="766"/>
      <c r="JX756" s="770"/>
      <c r="JY756" s="770"/>
      <c r="JZ756" s="770"/>
      <c r="KA756" s="770"/>
      <c r="KB756" s="770"/>
      <c r="KC756" s="770"/>
      <c r="KD756" s="770"/>
      <c r="KE756" s="770"/>
      <c r="KF756" s="770"/>
      <c r="KG756" s="770"/>
      <c r="KH756" s="770"/>
      <c r="KI756" s="770"/>
      <c r="KJ756" s="770"/>
      <c r="KK756" s="770"/>
      <c r="KL756" s="770"/>
      <c r="KM756" s="770"/>
      <c r="KN756" s="770"/>
      <c r="KO756" s="770"/>
      <c r="KP756" s="770"/>
      <c r="KQ756" s="770"/>
      <c r="KR756" s="770"/>
      <c r="KS756" s="770"/>
      <c r="KT756" s="770"/>
      <c r="KU756" s="770"/>
      <c r="KV756" s="770"/>
      <c r="KW756" s="770"/>
      <c r="KX756" s="770"/>
      <c r="KY756" s="770"/>
      <c r="KZ756" s="770"/>
      <c r="LA756" s="770"/>
      <c r="LB756" s="770"/>
      <c r="LC756" s="770"/>
      <c r="LD756" s="770"/>
      <c r="LE756" s="770"/>
      <c r="LF756" s="770"/>
      <c r="LG756" s="770"/>
      <c r="LH756" s="770"/>
      <c r="LI756" s="770"/>
      <c r="LJ756" s="770"/>
      <c r="LK756" s="770"/>
      <c r="LL756" s="770"/>
      <c r="LM756" s="770"/>
      <c r="LN756" s="766"/>
      <c r="LO756" s="766"/>
      <c r="LP756" s="770"/>
      <c r="LQ756" s="770"/>
      <c r="LR756" s="770"/>
      <c r="LS756" s="770"/>
      <c r="LT756" s="770"/>
      <c r="LU756" s="770"/>
      <c r="LV756" s="770"/>
      <c r="LW756" s="770"/>
      <c r="LX756" s="769"/>
      <c r="LY756" s="766" t="str">
        <f t="shared" si="231"/>
        <v/>
      </c>
      <c r="LZ756" s="1709"/>
      <c r="MA756" s="1709"/>
      <c r="MB756" s="1709"/>
      <c r="MC756" s="1679">
        <f t="shared" si="229"/>
        <v>0</v>
      </c>
      <c r="MD756" s="1709"/>
      <c r="ME756" s="1709"/>
      <c r="MF756" s="1709"/>
      <c r="MG756" s="1680">
        <f t="shared" si="216"/>
        <v>0</v>
      </c>
      <c r="MH756" s="770"/>
      <c r="MI756" s="302"/>
      <c r="MJ756" s="302"/>
      <c r="MK756" s="302"/>
      <c r="ML756" s="302"/>
      <c r="MM756" s="302"/>
      <c r="MN756" s="302"/>
      <c r="MO756" s="302"/>
      <c r="MP756" s="302"/>
      <c r="MQ756" s="302"/>
      <c r="MR756" s="302"/>
      <c r="MS756" s="302"/>
      <c r="MT756" s="302"/>
      <c r="MU756" s="302"/>
      <c r="MV756" s="302"/>
      <c r="MW756" s="302"/>
      <c r="MX756" s="302"/>
      <c r="MY756" s="1682">
        <f t="shared" si="217"/>
        <v>0</v>
      </c>
      <c r="MZ756" s="770"/>
      <c r="NA756" s="770"/>
      <c r="NB756" s="770"/>
      <c r="NC756" s="770"/>
      <c r="ND756" s="770"/>
      <c r="NE756" s="770"/>
      <c r="NF756" s="770"/>
      <c r="NG756" s="770"/>
      <c r="NH756" s="770"/>
      <c r="NI756" s="770"/>
      <c r="NJ756" s="770"/>
      <c r="NK756" s="770"/>
      <c r="NL756" s="770"/>
      <c r="NM756" s="770"/>
      <c r="NN756" s="770"/>
      <c r="NO756" s="770"/>
      <c r="NP756" s="770"/>
      <c r="NQ756" s="770"/>
      <c r="NR756" s="770"/>
      <c r="NS756" s="770"/>
      <c r="NT756" s="770"/>
      <c r="NU756" s="770"/>
      <c r="NV756" s="770"/>
      <c r="NW756" s="770"/>
      <c r="NX756" s="770"/>
      <c r="NY756" s="770"/>
      <c r="NZ756" s="770"/>
      <c r="OA756" s="770"/>
      <c r="OB756" s="770"/>
      <c r="OC756" s="770"/>
      <c r="OD756" s="770"/>
      <c r="OE756" s="770"/>
      <c r="OF756" s="770"/>
      <c r="OG756" s="770"/>
      <c r="OH756" s="770"/>
      <c r="OI756" s="770"/>
      <c r="OJ756" s="770"/>
      <c r="OK756" s="770"/>
      <c r="OL756" s="770"/>
      <c r="OM756" s="770"/>
      <c r="ON756" s="770"/>
      <c r="OO756" s="770"/>
      <c r="OP756" s="770"/>
      <c r="OQ756" s="770"/>
      <c r="OR756" s="770"/>
      <c r="OS756" s="770"/>
      <c r="OT756" s="770"/>
      <c r="OU756" s="770"/>
      <c r="OV756" s="770"/>
      <c r="OW756" s="770"/>
      <c r="OX756" s="770"/>
      <c r="OY756" s="770"/>
      <c r="OZ756" s="770"/>
      <c r="PA756" s="770"/>
      <c r="PB756" s="770"/>
      <c r="PC756" s="770"/>
      <c r="PD756" s="770"/>
      <c r="PE756" s="770"/>
      <c r="PF756" s="770"/>
      <c r="PG756" s="770"/>
      <c r="PH756" s="770"/>
      <c r="PI756" s="770"/>
      <c r="PJ756" s="770"/>
      <c r="PK756" s="770"/>
      <c r="PL756" s="770"/>
      <c r="PM756" s="770"/>
      <c r="PN756" s="770"/>
      <c r="PO756" s="770"/>
      <c r="PP756" s="770"/>
      <c r="PQ756" s="770"/>
      <c r="PR756" s="770"/>
      <c r="PS756" s="770"/>
      <c r="PT756" s="770"/>
      <c r="PU756" s="770"/>
      <c r="PV756" s="770"/>
      <c r="PW756" s="770"/>
      <c r="PX756" s="770"/>
      <c r="PY756" s="770"/>
      <c r="PZ756" s="770"/>
      <c r="QA756" s="770"/>
      <c r="QB756" s="770"/>
      <c r="QC756" s="770"/>
      <c r="QD756" s="770"/>
      <c r="QE756" s="770"/>
      <c r="QF756" s="770"/>
      <c r="QG756" s="770"/>
      <c r="QH756" s="770"/>
      <c r="QI756" s="770"/>
      <c r="QJ756" s="770"/>
      <c r="QK756" s="770"/>
      <c r="QL756" s="770"/>
      <c r="QM756" s="770"/>
      <c r="QN756" s="770"/>
      <c r="QO756" s="770"/>
      <c r="QP756" s="770"/>
      <c r="QQ756" s="770"/>
      <c r="QR756" s="770"/>
      <c r="QS756" s="770"/>
      <c r="QT756" s="770"/>
      <c r="QU756" s="770"/>
      <c r="QV756" s="770"/>
      <c r="QW756" s="770"/>
      <c r="QX756" s="770"/>
      <c r="QY756" s="770"/>
      <c r="QZ756" s="770"/>
      <c r="RA756" s="770"/>
      <c r="RB756" s="770"/>
      <c r="RC756" s="770"/>
      <c r="RD756" s="770"/>
      <c r="RE756" s="770"/>
      <c r="RF756" s="304"/>
      <c r="RG756" s="770"/>
      <c r="RH756" s="306"/>
      <c r="RI756" s="770"/>
      <c r="RJ756" s="94"/>
      <c r="RK756" s="770"/>
      <c r="RL756" s="1710"/>
      <c r="RM756" s="12"/>
      <c r="RN756" s="1711"/>
      <c r="RO756" s="149" t="s">
        <v>4799</v>
      </c>
      <c r="RP756" s="11"/>
      <c r="RQ756" s="11"/>
      <c r="RR756" s="17"/>
      <c r="RS756" s="767"/>
      <c r="RT756" s="11"/>
      <c r="RU756" s="11"/>
      <c r="RV756" s="771" t="s">
        <v>7419</v>
      </c>
      <c r="RW756" s="11" t="s">
        <v>7456</v>
      </c>
      <c r="RX756" s="11" t="s">
        <v>4797</v>
      </c>
      <c r="RY756" s="11"/>
      <c r="RZ756" s="11" t="s">
        <v>2209</v>
      </c>
      <c r="SA756" s="771"/>
      <c r="SB756" s="11"/>
      <c r="SC756" s="11"/>
    </row>
    <row r="757" spans="1:497" ht="12.75" hidden="1" customHeight="1">
      <c r="A757" s="19" t="s">
        <v>7419</v>
      </c>
      <c r="B757" s="744" t="s">
        <v>7459</v>
      </c>
      <c r="C757" s="149" t="s">
        <v>4800</v>
      </c>
      <c r="D757" s="94" t="s">
        <v>7225</v>
      </c>
      <c r="E757" s="766" t="s">
        <v>5797</v>
      </c>
      <c r="F757" s="770"/>
      <c r="G757" s="770"/>
      <c r="H757" s="295"/>
      <c r="I757" s="12"/>
      <c r="J757" s="94"/>
      <c r="K757" s="766" t="s">
        <v>5769</v>
      </c>
      <c r="L757" s="766" t="s">
        <v>5772</v>
      </c>
      <c r="M757" s="770"/>
      <c r="N757" s="1757"/>
      <c r="O757" s="1757" t="s">
        <v>5773</v>
      </c>
      <c r="P757" s="770"/>
      <c r="Q757" s="1088"/>
      <c r="R757" s="297"/>
      <c r="S757" s="770"/>
      <c r="T757" s="770"/>
      <c r="U757" s="295"/>
      <c r="V757" s="770"/>
      <c r="W757" s="770"/>
      <c r="X757" s="770"/>
      <c r="Y757" s="770"/>
      <c r="Z757" s="770"/>
      <c r="AA757" s="770"/>
      <c r="AB757" s="770"/>
      <c r="AC757" s="770"/>
      <c r="AD757" s="770"/>
      <c r="AE757" s="770"/>
      <c r="AF757" s="770"/>
      <c r="AG757" s="766" t="s">
        <v>1132</v>
      </c>
      <c r="AH757" s="766" t="s">
        <v>1120</v>
      </c>
      <c r="AI757" s="770"/>
      <c r="AJ757" s="770" t="s">
        <v>1137</v>
      </c>
      <c r="AK757" s="770" t="s">
        <v>5774</v>
      </c>
      <c r="AL757" s="531">
        <v>1845.18</v>
      </c>
      <c r="AM757" s="780">
        <v>321.91199999999998</v>
      </c>
      <c r="AN757" s="532">
        <f t="shared" si="232"/>
        <v>0.17446102819237147</v>
      </c>
      <c r="AO757" s="766" t="s">
        <v>1109</v>
      </c>
      <c r="AP757" s="766" t="s">
        <v>1137</v>
      </c>
      <c r="AQ757" s="766" t="s">
        <v>7217</v>
      </c>
      <c r="AR757" s="766"/>
      <c r="AS757" s="13" t="s">
        <v>1207</v>
      </c>
      <c r="AT757" s="13"/>
      <c r="AU757" s="13"/>
      <c r="AV757" s="13"/>
      <c r="AW757" s="13"/>
      <c r="AX757" s="13"/>
      <c r="AY757" s="13"/>
      <c r="AZ757" s="13"/>
      <c r="BA757" s="13"/>
      <c r="BB757" s="13" t="s">
        <v>7220</v>
      </c>
      <c r="BC757" s="770"/>
      <c r="BD757" s="770"/>
      <c r="BE757" s="770"/>
      <c r="BF757" s="302"/>
      <c r="BG757" s="302"/>
      <c r="BH757" s="770"/>
      <c r="BI757" s="770"/>
      <c r="BJ757" s="770"/>
      <c r="BK757" s="766" t="s">
        <v>1099</v>
      </c>
      <c r="BL757" s="766" t="s">
        <v>1137</v>
      </c>
      <c r="BM757" s="766" t="s">
        <v>1120</v>
      </c>
      <c r="BN757" s="766" t="s">
        <v>1230</v>
      </c>
      <c r="BO757" s="770" t="s">
        <v>5777</v>
      </c>
      <c r="BP757" s="765">
        <v>7380.72</v>
      </c>
      <c r="BQ757" s="773">
        <v>1287.6479999999999</v>
      </c>
      <c r="BR757" s="774">
        <f t="shared" si="233"/>
        <v>0.17446102819237147</v>
      </c>
      <c r="BS757" s="766" t="s">
        <v>1242</v>
      </c>
      <c r="BT757" s="766" t="s">
        <v>2040</v>
      </c>
      <c r="BU757" s="770" t="s">
        <v>5776</v>
      </c>
      <c r="BV757" s="770" t="s">
        <v>5778</v>
      </c>
      <c r="BW757" s="769"/>
      <c r="BX757" s="302"/>
      <c r="BY757" s="770"/>
      <c r="BZ757" s="302"/>
      <c r="CA757" s="770"/>
      <c r="CB757" s="770"/>
      <c r="CC757" s="770"/>
      <c r="CD757" s="770"/>
      <c r="CE757" s="302"/>
      <c r="CF757" s="304"/>
      <c r="CG757" s="321"/>
      <c r="CH757" s="770"/>
      <c r="CI757" s="770"/>
      <c r="CJ757" s="770"/>
      <c r="CK757" s="770"/>
      <c r="CL757" s="770"/>
      <c r="CM757" s="770"/>
      <c r="CN757" s="770"/>
      <c r="CO757" s="770"/>
      <c r="CP757" s="770"/>
      <c r="CQ757" s="770"/>
      <c r="CR757" s="302"/>
      <c r="CS757" s="770"/>
      <c r="CT757" s="770"/>
      <c r="CU757" s="305"/>
      <c r="CV757" s="770"/>
      <c r="CW757" s="770"/>
      <c r="CX757" s="770"/>
      <c r="CY757" s="770"/>
      <c r="CZ757" s="770"/>
      <c r="DA757" s="306"/>
      <c r="DB757" s="770"/>
      <c r="DC757" s="770"/>
      <c r="DD757" s="770"/>
      <c r="DE757" s="300"/>
      <c r="DF757" s="770"/>
      <c r="DG757" s="770"/>
      <c r="DH757" s="770"/>
      <c r="DI757" s="770"/>
      <c r="DJ757" s="770"/>
      <c r="DK757" s="770"/>
      <c r="DL757" s="770"/>
      <c r="DM757" s="770"/>
      <c r="DN757" s="322"/>
      <c r="DO757" s="770"/>
      <c r="DP757" s="770"/>
      <c r="DQ757" s="770"/>
      <c r="DR757" s="770"/>
      <c r="DS757" s="307"/>
      <c r="DT757" s="770"/>
      <c r="DU757" s="770"/>
      <c r="DV757" s="770"/>
      <c r="DW757" s="306"/>
      <c r="DX757" s="306"/>
      <c r="DY757" s="1055"/>
      <c r="DZ757" s="770"/>
      <c r="EA757" s="770"/>
      <c r="EB757" s="770"/>
      <c r="EC757" s="770"/>
      <c r="ED757" s="770"/>
      <c r="EE757" s="770"/>
      <c r="EF757" s="770"/>
      <c r="EG757" s="770"/>
      <c r="EH757" s="770"/>
      <c r="EI757" s="770"/>
      <c r="EJ757" s="770"/>
      <c r="EK757" s="770"/>
      <c r="EL757" s="770"/>
      <c r="EM757" s="770"/>
      <c r="EN757" s="770"/>
      <c r="EO757" s="770"/>
      <c r="EP757" s="94"/>
      <c r="EQ757" s="770"/>
      <c r="ER757" s="770"/>
      <c r="ES757" s="770"/>
      <c r="ET757" s="770"/>
      <c r="EU757" s="770"/>
      <c r="EV757" s="770"/>
      <c r="EW757" s="770"/>
      <c r="EX757" s="770"/>
      <c r="EY757" s="770"/>
      <c r="EZ757" s="770"/>
      <c r="FA757" s="770"/>
      <c r="FB757" s="770"/>
      <c r="FC757" s="770"/>
      <c r="FD757" s="302"/>
      <c r="FE757" s="770"/>
      <c r="FF757" s="770"/>
      <c r="FG757" s="770"/>
      <c r="FH757" s="770"/>
      <c r="FI757" s="770"/>
      <c r="FJ757" s="770"/>
      <c r="FK757" s="770"/>
      <c r="FL757" s="770"/>
      <c r="FM757" s="302"/>
      <c r="FN757" s="302"/>
      <c r="FO757" s="302"/>
      <c r="FP757" s="770"/>
      <c r="FQ757" s="770"/>
      <c r="FR757" s="770"/>
      <c r="FS757" s="770"/>
      <c r="FT757" s="770"/>
      <c r="FU757" s="770"/>
      <c r="FV757" s="770"/>
      <c r="FW757" s="770"/>
      <c r="FX757" s="770"/>
      <c r="FY757" s="770"/>
      <c r="FZ757" s="770"/>
      <c r="GA757" s="770"/>
      <c r="GB757" s="770"/>
      <c r="GC757" s="308"/>
      <c r="GD757" s="297"/>
      <c r="GE757" s="770"/>
      <c r="GF757" s="302"/>
      <c r="GG757" s="302"/>
      <c r="GH757" s="770"/>
      <c r="GI757" s="770"/>
      <c r="GJ757" s="770"/>
      <c r="GK757" s="770"/>
      <c r="GL757" s="770"/>
      <c r="GM757" s="770"/>
      <c r="GN757" s="299"/>
      <c r="GO757" s="770"/>
      <c r="GP757" s="770"/>
      <c r="GQ757" s="770"/>
      <c r="GR757" s="770"/>
      <c r="GS757" s="770"/>
      <c r="GT757" s="770"/>
      <c r="GU757" s="770"/>
      <c r="GV757" s="770"/>
      <c r="GW757" s="770"/>
      <c r="GX757" s="770"/>
      <c r="GY757" s="770"/>
      <c r="GZ757" s="770"/>
      <c r="HA757" s="770"/>
      <c r="HB757" s="770"/>
      <c r="HC757" s="770"/>
      <c r="HD757" s="770"/>
      <c r="HE757" s="770"/>
      <c r="HF757" s="770"/>
      <c r="HG757" s="770"/>
      <c r="HH757" s="770"/>
      <c r="HI757" s="770"/>
      <c r="HJ757" s="770"/>
      <c r="HK757" s="770"/>
      <c r="HL757" s="770"/>
      <c r="HM757" s="770"/>
      <c r="HN757" s="770"/>
      <c r="HO757" s="770"/>
      <c r="HP757" s="770"/>
      <c r="HQ757" s="770"/>
      <c r="HR757" s="770"/>
      <c r="HS757" s="770"/>
      <c r="HT757" s="770"/>
      <c r="HU757" s="770"/>
      <c r="HV757" s="770"/>
      <c r="HW757" s="770"/>
      <c r="HX757" s="770"/>
      <c r="HY757" s="770"/>
      <c r="HZ757" s="770"/>
      <c r="IA757" s="770"/>
      <c r="IB757" s="770"/>
      <c r="IC757" s="770"/>
      <c r="ID757" s="770"/>
      <c r="IE757" s="770"/>
      <c r="IF757" s="770"/>
      <c r="IG757" s="770"/>
      <c r="IH757" s="770"/>
      <c r="II757" s="770"/>
      <c r="IJ757" s="770"/>
      <c r="IK757" s="770"/>
      <c r="IL757" s="770"/>
      <c r="IM757" s="770"/>
      <c r="IN757" s="770"/>
      <c r="IO757" s="296"/>
      <c r="IP757" s="770"/>
      <c r="IQ757" s="770"/>
      <c r="IR757" s="770"/>
      <c r="IS757" s="770"/>
      <c r="IT757" s="770"/>
      <c r="IU757" s="770"/>
      <c r="IV757" s="770"/>
      <c r="IW757" s="770"/>
      <c r="IX757" s="770"/>
      <c r="IY757" s="770"/>
      <c r="IZ757" s="770"/>
      <c r="JA757" s="770"/>
      <c r="JB757" s="770"/>
      <c r="JC757" s="770"/>
      <c r="JD757" s="302"/>
      <c r="JE757" s="770"/>
      <c r="JF757" s="770"/>
      <c r="JG757" s="770"/>
      <c r="JH757" s="307"/>
      <c r="JI757" s="307"/>
      <c r="JJ757" s="770"/>
      <c r="JK757" s="770"/>
      <c r="JL757" s="770"/>
      <c r="JM757" s="770"/>
      <c r="JN757" s="770"/>
      <c r="JO757" s="770"/>
      <c r="JP757" s="770"/>
      <c r="JQ757" s="770"/>
      <c r="JR757" s="770"/>
      <c r="JS757" s="770"/>
      <c r="JT757" s="766"/>
      <c r="JU757" s="766"/>
      <c r="JV757" s="766"/>
      <c r="JW757" s="766"/>
      <c r="JX757" s="770"/>
      <c r="JY757" s="770"/>
      <c r="JZ757" s="770"/>
      <c r="KA757" s="770"/>
      <c r="KB757" s="770"/>
      <c r="KC757" s="770"/>
      <c r="KD757" s="770"/>
      <c r="KE757" s="770"/>
      <c r="KF757" s="770"/>
      <c r="KG757" s="770"/>
      <c r="KH757" s="770"/>
      <c r="KI757" s="770"/>
      <c r="KJ757" s="770"/>
      <c r="KK757" s="770"/>
      <c r="KL757" s="770"/>
      <c r="KM757" s="770"/>
      <c r="KN757" s="770"/>
      <c r="KO757" s="770"/>
      <c r="KP757" s="770"/>
      <c r="KQ757" s="770"/>
      <c r="KR757" s="770"/>
      <c r="KS757" s="770"/>
      <c r="KT757" s="770"/>
      <c r="KU757" s="770"/>
      <c r="KV757" s="770"/>
      <c r="KW757" s="770"/>
      <c r="KX757" s="770"/>
      <c r="KY757" s="770"/>
      <c r="KZ757" s="770"/>
      <c r="LA757" s="770"/>
      <c r="LB757" s="770"/>
      <c r="LC757" s="770"/>
      <c r="LD757" s="770"/>
      <c r="LE757" s="770"/>
      <c r="LF757" s="770"/>
      <c r="LG757" s="770"/>
      <c r="LH757" s="770"/>
      <c r="LI757" s="770"/>
      <c r="LJ757" s="770"/>
      <c r="LK757" s="770"/>
      <c r="LL757" s="770"/>
      <c r="LM757" s="770"/>
      <c r="LN757" s="766"/>
      <c r="LO757" s="766"/>
      <c r="LP757" s="770"/>
      <c r="LQ757" s="770"/>
      <c r="LR757" s="770"/>
      <c r="LS757" s="770"/>
      <c r="LT757" s="770"/>
      <c r="LU757" s="770"/>
      <c r="LV757" s="770"/>
      <c r="LW757" s="770"/>
      <c r="LX757" s="769"/>
      <c r="LY757" s="766" t="str">
        <f t="shared" si="231"/>
        <v/>
      </c>
      <c r="LZ757" s="1709"/>
      <c r="MA757" s="1709"/>
      <c r="MB757" s="1709"/>
      <c r="MC757" s="1679">
        <f t="shared" si="229"/>
        <v>0</v>
      </c>
      <c r="MD757" s="1709"/>
      <c r="ME757" s="1709"/>
      <c r="MF757" s="1709"/>
      <c r="MG757" s="1680">
        <f t="shared" si="216"/>
        <v>0</v>
      </c>
      <c r="MH757" s="770"/>
      <c r="MI757" s="302"/>
      <c r="MJ757" s="302"/>
      <c r="MK757" s="302"/>
      <c r="ML757" s="302"/>
      <c r="MM757" s="302"/>
      <c r="MN757" s="302"/>
      <c r="MO757" s="302"/>
      <c r="MP757" s="302"/>
      <c r="MQ757" s="302"/>
      <c r="MR757" s="302"/>
      <c r="MS757" s="302"/>
      <c r="MT757" s="302"/>
      <c r="MU757" s="302"/>
      <c r="MV757" s="302"/>
      <c r="MW757" s="302"/>
      <c r="MX757" s="302"/>
      <c r="MY757" s="1682">
        <f t="shared" si="217"/>
        <v>0</v>
      </c>
      <c r="MZ757" s="770"/>
      <c r="NA757" s="770"/>
      <c r="NB757" s="770"/>
      <c r="NC757" s="770"/>
      <c r="ND757" s="770"/>
      <c r="NE757" s="770"/>
      <c r="NF757" s="770"/>
      <c r="NG757" s="770"/>
      <c r="NH757" s="770"/>
      <c r="NI757" s="770"/>
      <c r="NJ757" s="770"/>
      <c r="NK757" s="770"/>
      <c r="NL757" s="770"/>
      <c r="NM757" s="770"/>
      <c r="NN757" s="770"/>
      <c r="NO757" s="770"/>
      <c r="NP757" s="770"/>
      <c r="NQ757" s="770"/>
      <c r="NR757" s="770"/>
      <c r="NS757" s="770"/>
      <c r="NT757" s="770"/>
      <c r="NU757" s="770"/>
      <c r="NV757" s="770"/>
      <c r="NW757" s="770"/>
      <c r="NX757" s="770"/>
      <c r="NY757" s="770"/>
      <c r="NZ757" s="770"/>
      <c r="OA757" s="770"/>
      <c r="OB757" s="770"/>
      <c r="OC757" s="770"/>
      <c r="OD757" s="770"/>
      <c r="OE757" s="770"/>
      <c r="OF757" s="770"/>
      <c r="OG757" s="770"/>
      <c r="OH757" s="770"/>
      <c r="OI757" s="770"/>
      <c r="OJ757" s="770"/>
      <c r="OK757" s="770"/>
      <c r="OL757" s="770"/>
      <c r="OM757" s="770"/>
      <c r="ON757" s="770"/>
      <c r="OO757" s="770"/>
      <c r="OP757" s="770"/>
      <c r="OQ757" s="770"/>
      <c r="OR757" s="770"/>
      <c r="OS757" s="770"/>
      <c r="OT757" s="770"/>
      <c r="OU757" s="770"/>
      <c r="OV757" s="770"/>
      <c r="OW757" s="770"/>
      <c r="OX757" s="770"/>
      <c r="OY757" s="770"/>
      <c r="OZ757" s="770"/>
      <c r="PA757" s="770"/>
      <c r="PB757" s="770"/>
      <c r="PC757" s="770"/>
      <c r="PD757" s="770"/>
      <c r="PE757" s="770"/>
      <c r="PF757" s="770"/>
      <c r="PG757" s="770"/>
      <c r="PH757" s="770"/>
      <c r="PI757" s="770"/>
      <c r="PJ757" s="770"/>
      <c r="PK757" s="770"/>
      <c r="PL757" s="770"/>
      <c r="PM757" s="770"/>
      <c r="PN757" s="770"/>
      <c r="PO757" s="770"/>
      <c r="PP757" s="770"/>
      <c r="PQ757" s="770"/>
      <c r="PR757" s="770"/>
      <c r="PS757" s="770"/>
      <c r="PT757" s="770"/>
      <c r="PU757" s="770"/>
      <c r="PV757" s="770"/>
      <c r="PW757" s="770"/>
      <c r="PX757" s="770"/>
      <c r="PY757" s="770"/>
      <c r="PZ757" s="770"/>
      <c r="QA757" s="770"/>
      <c r="QB757" s="770"/>
      <c r="QC757" s="770"/>
      <c r="QD757" s="770"/>
      <c r="QE757" s="770"/>
      <c r="QF757" s="770"/>
      <c r="QG757" s="770"/>
      <c r="QH757" s="770"/>
      <c r="QI757" s="770"/>
      <c r="QJ757" s="770"/>
      <c r="QK757" s="770"/>
      <c r="QL757" s="770"/>
      <c r="QM757" s="770"/>
      <c r="QN757" s="770"/>
      <c r="QO757" s="770"/>
      <c r="QP757" s="770"/>
      <c r="QQ757" s="770"/>
      <c r="QR757" s="770"/>
      <c r="QS757" s="770"/>
      <c r="QT757" s="770"/>
      <c r="QU757" s="770"/>
      <c r="QV757" s="770"/>
      <c r="QW757" s="770"/>
      <c r="QX757" s="770"/>
      <c r="QY757" s="770"/>
      <c r="QZ757" s="770"/>
      <c r="RA757" s="770"/>
      <c r="RB757" s="770"/>
      <c r="RC757" s="770"/>
      <c r="RD757" s="770"/>
      <c r="RE757" s="770"/>
      <c r="RF757" s="304"/>
      <c r="RG757" s="770"/>
      <c r="RH757" s="306"/>
      <c r="RI757" s="770"/>
      <c r="RJ757" s="94"/>
      <c r="RK757" s="770"/>
      <c r="RL757" s="1710"/>
      <c r="RM757" s="12"/>
      <c r="RN757" s="1711"/>
      <c r="RO757" s="149" t="s">
        <v>4800</v>
      </c>
      <c r="RP757" s="11"/>
      <c r="RQ757" s="11"/>
      <c r="RR757" s="17"/>
      <c r="RS757" s="767"/>
      <c r="RT757" s="11"/>
      <c r="RU757" s="11"/>
      <c r="RV757" s="771" t="s">
        <v>7419</v>
      </c>
      <c r="RW757" s="11" t="s">
        <v>7457</v>
      </c>
      <c r="RX757" s="11" t="s">
        <v>4798</v>
      </c>
      <c r="RY757" s="11"/>
      <c r="RZ757" s="11" t="s">
        <v>2209</v>
      </c>
      <c r="SA757" s="771"/>
      <c r="SB757" s="11"/>
      <c r="SC757" s="11"/>
    </row>
    <row r="758" spans="1:497" ht="12.75" hidden="1" customHeight="1">
      <c r="A758" s="19" t="s">
        <v>7419</v>
      </c>
      <c r="B758" s="744" t="s">
        <v>7460</v>
      </c>
      <c r="C758" s="149" t="s">
        <v>4801</v>
      </c>
      <c r="D758" s="94" t="s">
        <v>11709</v>
      </c>
      <c r="E758" s="766" t="s">
        <v>11907</v>
      </c>
      <c r="F758" s="770"/>
      <c r="G758" s="770"/>
      <c r="H758" s="295"/>
      <c r="I758" s="12"/>
      <c r="J758" s="94"/>
      <c r="K758" s="766" t="s">
        <v>5779</v>
      </c>
      <c r="L758" s="766" t="s">
        <v>5772</v>
      </c>
      <c r="M758" s="770" t="s">
        <v>2402</v>
      </c>
      <c r="N758" s="1757" t="s">
        <v>11710</v>
      </c>
      <c r="O758" s="1757" t="s">
        <v>11711</v>
      </c>
      <c r="P758" s="770"/>
      <c r="Q758" s="1088"/>
      <c r="R758" s="297"/>
      <c r="S758" s="770"/>
      <c r="T758" s="770"/>
      <c r="U758" s="295"/>
      <c r="V758" s="770"/>
      <c r="W758" s="770"/>
      <c r="X758" s="770"/>
      <c r="Y758" s="770"/>
      <c r="Z758" s="770"/>
      <c r="AA758" s="770"/>
      <c r="AB758" s="770"/>
      <c r="AC758" s="770"/>
      <c r="AD758" s="770"/>
      <c r="AE758" s="770"/>
      <c r="AF758" s="770"/>
      <c r="AG758" s="766" t="s">
        <v>1132</v>
      </c>
      <c r="AH758" s="766" t="s">
        <v>1120</v>
      </c>
      <c r="AI758" s="770"/>
      <c r="AJ758" s="770" t="s">
        <v>1137</v>
      </c>
      <c r="AK758" s="766" t="s">
        <v>5454</v>
      </c>
      <c r="AL758" s="531">
        <v>275.57</v>
      </c>
      <c r="AM758" s="531">
        <v>275.57</v>
      </c>
      <c r="AN758" s="532">
        <f t="shared" si="232"/>
        <v>1</v>
      </c>
      <c r="AO758" s="766" t="s">
        <v>1122</v>
      </c>
      <c r="AP758" s="766"/>
      <c r="AQ758" s="766"/>
      <c r="AR758" s="766"/>
      <c r="AS758" s="770"/>
      <c r="AT758" s="770"/>
      <c r="AU758" s="770"/>
      <c r="AV758" s="770"/>
      <c r="AW758" s="770"/>
      <c r="AX758" s="770"/>
      <c r="AY758" s="770"/>
      <c r="AZ758" s="770"/>
      <c r="BA758" s="770"/>
      <c r="BB758" s="770"/>
      <c r="BC758" s="770"/>
      <c r="BD758" s="770"/>
      <c r="BE758" s="770"/>
      <c r="BF758" s="302"/>
      <c r="BG758" s="302"/>
      <c r="BH758" s="770"/>
      <c r="BI758" s="770"/>
      <c r="BJ758" s="770"/>
      <c r="BK758" s="766" t="s">
        <v>1095</v>
      </c>
      <c r="BL758" s="766" t="s">
        <v>5780</v>
      </c>
      <c r="BM758" s="766" t="s">
        <v>1120</v>
      </c>
      <c r="BN758" s="766" t="s">
        <v>1230</v>
      </c>
      <c r="BO758" s="766" t="s">
        <v>1246</v>
      </c>
      <c r="BP758" s="765">
        <v>275.57</v>
      </c>
      <c r="BQ758" s="765">
        <v>275.57</v>
      </c>
      <c r="BR758" s="774">
        <f t="shared" si="233"/>
        <v>1</v>
      </c>
      <c r="BS758" s="766" t="s">
        <v>1257</v>
      </c>
      <c r="BT758" s="766" t="s">
        <v>2040</v>
      </c>
      <c r="BU758" s="770" t="s">
        <v>5776</v>
      </c>
      <c r="BV758" s="766" t="s">
        <v>1243</v>
      </c>
      <c r="BW758" s="769"/>
      <c r="BX758" s="302"/>
      <c r="BY758" s="770"/>
      <c r="BZ758" s="302"/>
      <c r="CA758" s="770"/>
      <c r="CB758" s="770" t="s">
        <v>1207</v>
      </c>
      <c r="CC758" s="770"/>
      <c r="CD758" s="770"/>
      <c r="CE758" s="302"/>
      <c r="CF758" s="304"/>
      <c r="CG758" s="321"/>
      <c r="CH758" s="770" t="s">
        <v>11712</v>
      </c>
      <c r="CI758" s="770"/>
      <c r="CJ758" s="770" t="s">
        <v>11713</v>
      </c>
      <c r="CK758" s="770">
        <v>7</v>
      </c>
      <c r="CL758" s="770" t="s">
        <v>11714</v>
      </c>
      <c r="CM758" s="770"/>
      <c r="CN758" s="770"/>
      <c r="CO758" s="770"/>
      <c r="CP758" s="770"/>
      <c r="CQ758" s="770"/>
      <c r="CR758" s="302"/>
      <c r="CS758" s="770"/>
      <c r="CT758" s="770"/>
      <c r="CU758" s="305"/>
      <c r="CV758" s="770"/>
      <c r="CW758" s="770"/>
      <c r="CX758" s="770"/>
      <c r="CY758" s="770"/>
      <c r="CZ758" s="770"/>
      <c r="DA758" s="306"/>
      <c r="DB758" s="770"/>
      <c r="DC758" s="770"/>
      <c r="DD758" s="770"/>
      <c r="DE758" s="300"/>
      <c r="DF758" s="770"/>
      <c r="DG758" s="770"/>
      <c r="DH758" s="770"/>
      <c r="DI758" s="770"/>
      <c r="DJ758" s="770"/>
      <c r="DK758" s="770"/>
      <c r="DL758" s="770"/>
      <c r="DM758" s="770"/>
      <c r="DN758" s="322"/>
      <c r="DO758" s="770"/>
      <c r="DP758" s="770"/>
      <c r="DQ758" s="770"/>
      <c r="DR758" s="770"/>
      <c r="DS758" s="307"/>
      <c r="DT758" s="770"/>
      <c r="DU758" s="770"/>
      <c r="DV758" s="770"/>
      <c r="DW758" s="306"/>
      <c r="DX758" s="306"/>
      <c r="DY758" s="1055"/>
      <c r="DZ758" s="770"/>
      <c r="EA758" s="770"/>
      <c r="EB758" s="770"/>
      <c r="EC758" s="770"/>
      <c r="ED758" s="770"/>
      <c r="EE758" s="770"/>
      <c r="EF758" s="770"/>
      <c r="EG758" s="770"/>
      <c r="EH758" s="770"/>
      <c r="EI758" s="770"/>
      <c r="EJ758" s="770"/>
      <c r="EK758" s="770"/>
      <c r="EL758" s="770"/>
      <c r="EM758" s="770"/>
      <c r="EN758" s="770"/>
      <c r="EO758" s="770"/>
      <c r="EP758" s="94"/>
      <c r="EQ758" s="770"/>
      <c r="ER758" s="770"/>
      <c r="ES758" s="770"/>
      <c r="ET758" s="770"/>
      <c r="EU758" s="770"/>
      <c r="EV758" s="770"/>
      <c r="EW758" s="770"/>
      <c r="EX758" s="770"/>
      <c r="EY758" s="770"/>
      <c r="EZ758" s="770"/>
      <c r="FA758" s="770"/>
      <c r="FB758" s="770"/>
      <c r="FC758" s="770"/>
      <c r="FD758" s="302"/>
      <c r="FE758" s="770"/>
      <c r="FF758" s="770"/>
      <c r="FG758" s="770"/>
      <c r="FH758" s="770"/>
      <c r="FI758" s="770"/>
      <c r="FJ758" s="770"/>
      <c r="FK758" s="770"/>
      <c r="FL758" s="770"/>
      <c r="FM758" s="302"/>
      <c r="FN758" s="302"/>
      <c r="FO758" s="302"/>
      <c r="FP758" s="770"/>
      <c r="FQ758" s="770"/>
      <c r="FR758" s="770"/>
      <c r="FS758" s="770"/>
      <c r="FT758" s="770"/>
      <c r="FU758" s="770"/>
      <c r="FV758" s="770"/>
      <c r="FW758" s="770"/>
      <c r="FX758" s="770"/>
      <c r="FY758" s="770"/>
      <c r="FZ758" s="770"/>
      <c r="GA758" s="770"/>
      <c r="GB758" s="770"/>
      <c r="GC758" s="308"/>
      <c r="GD758" s="297"/>
      <c r="GE758" s="770"/>
      <c r="GF758" s="302"/>
      <c r="GG758" s="302"/>
      <c r="GH758" s="770"/>
      <c r="GI758" s="770"/>
      <c r="GJ758" s="770"/>
      <c r="GK758" s="770"/>
      <c r="GL758" s="770"/>
      <c r="GM758" s="770"/>
      <c r="GN758" s="299"/>
      <c r="GO758" s="770"/>
      <c r="GP758" s="770"/>
      <c r="GQ758" s="770"/>
      <c r="GR758" s="770"/>
      <c r="GS758" s="770"/>
      <c r="GT758" s="770"/>
      <c r="GU758" s="770"/>
      <c r="GV758" s="770"/>
      <c r="GW758" s="770"/>
      <c r="GX758" s="770"/>
      <c r="GY758" s="770"/>
      <c r="GZ758" s="770"/>
      <c r="HA758" s="770"/>
      <c r="HB758" s="770"/>
      <c r="HC758" s="770"/>
      <c r="HD758" s="770"/>
      <c r="HE758" s="770"/>
      <c r="HF758" s="770"/>
      <c r="HG758" s="770"/>
      <c r="HH758" s="770"/>
      <c r="HI758" s="770"/>
      <c r="HJ758" s="770"/>
      <c r="HK758" s="770"/>
      <c r="HL758" s="770"/>
      <c r="HM758" s="770"/>
      <c r="HN758" s="770"/>
      <c r="HO758" s="770"/>
      <c r="HP758" s="770"/>
      <c r="HQ758" s="770"/>
      <c r="HR758" s="770"/>
      <c r="HS758" s="770"/>
      <c r="HT758" s="770"/>
      <c r="HU758" s="770"/>
      <c r="HV758" s="770"/>
      <c r="HW758" s="770"/>
      <c r="HX758" s="770"/>
      <c r="HY758" s="770"/>
      <c r="HZ758" s="770"/>
      <c r="IA758" s="770"/>
      <c r="IB758" s="770"/>
      <c r="IC758" s="770"/>
      <c r="ID758" s="770"/>
      <c r="IE758" s="770"/>
      <c r="IF758" s="770"/>
      <c r="IG758" s="770"/>
      <c r="IH758" s="770"/>
      <c r="II758" s="770"/>
      <c r="IJ758" s="770"/>
      <c r="IK758" s="770"/>
      <c r="IL758" s="770"/>
      <c r="IM758" s="770"/>
      <c r="IN758" s="770"/>
      <c r="IO758" s="296"/>
      <c r="IP758" s="770"/>
      <c r="IQ758" s="770"/>
      <c r="IR758" s="770"/>
      <c r="IS758" s="770"/>
      <c r="IT758" s="770"/>
      <c r="IU758" s="770"/>
      <c r="IV758" s="770"/>
      <c r="IW758" s="770"/>
      <c r="IX758" s="770"/>
      <c r="IY758" s="770"/>
      <c r="IZ758" s="770"/>
      <c r="JA758" s="770"/>
      <c r="JB758" s="770"/>
      <c r="JC758" s="770"/>
      <c r="JD758" s="302"/>
      <c r="JE758" s="770"/>
      <c r="JF758" s="770"/>
      <c r="JG758" s="770"/>
      <c r="JH758" s="307"/>
      <c r="JI758" s="307"/>
      <c r="JJ758" s="770"/>
      <c r="JK758" s="770"/>
      <c r="JL758" s="770"/>
      <c r="JM758" s="770"/>
      <c r="JN758" s="770"/>
      <c r="JO758" s="770"/>
      <c r="JP758" s="770"/>
      <c r="JQ758" s="770"/>
      <c r="JR758" s="770"/>
      <c r="JS758" s="770"/>
      <c r="JT758" s="766"/>
      <c r="JU758" s="766"/>
      <c r="JV758" s="766"/>
      <c r="JW758" s="766"/>
      <c r="JX758" s="770"/>
      <c r="JY758" s="770"/>
      <c r="JZ758" s="770"/>
      <c r="KA758" s="770"/>
      <c r="KB758" s="770"/>
      <c r="KC758" s="770"/>
      <c r="KD758" s="770"/>
      <c r="KE758" s="770"/>
      <c r="KF758" s="770"/>
      <c r="KG758" s="770"/>
      <c r="KH758" s="770"/>
      <c r="KI758" s="770"/>
      <c r="KJ758" s="770"/>
      <c r="KK758" s="770"/>
      <c r="KL758" s="770"/>
      <c r="KM758" s="770"/>
      <c r="KN758" s="770"/>
      <c r="KO758" s="770"/>
      <c r="KP758" s="770"/>
      <c r="KQ758" s="770"/>
      <c r="KR758" s="770"/>
      <c r="KS758" s="770"/>
      <c r="KT758" s="770"/>
      <c r="KU758" s="770"/>
      <c r="KV758" s="770"/>
      <c r="KW758" s="770"/>
      <c r="KX758" s="770"/>
      <c r="KY758" s="770"/>
      <c r="KZ758" s="770"/>
      <c r="LA758" s="770"/>
      <c r="LB758" s="770"/>
      <c r="LC758" s="770"/>
      <c r="LD758" s="770"/>
      <c r="LE758" s="770"/>
      <c r="LF758" s="770"/>
      <c r="LG758" s="770"/>
      <c r="LH758" s="770"/>
      <c r="LI758" s="770"/>
      <c r="LJ758" s="770"/>
      <c r="LK758" s="770"/>
      <c r="LL758" s="770"/>
      <c r="LM758" s="770"/>
      <c r="LN758" s="766"/>
      <c r="LO758" s="766"/>
      <c r="LP758" s="770"/>
      <c r="LQ758" s="770"/>
      <c r="LR758" s="770"/>
      <c r="LS758" s="770"/>
      <c r="LT758" s="770"/>
      <c r="LU758" s="770"/>
      <c r="LV758" s="770"/>
      <c r="LW758" s="770"/>
      <c r="LX758" s="769"/>
      <c r="LY758" s="766" t="str">
        <f t="shared" si="231"/>
        <v/>
      </c>
      <c r="LZ758" s="1709"/>
      <c r="MA758" s="1709"/>
      <c r="MB758" s="1709"/>
      <c r="MC758" s="1679">
        <f t="shared" si="229"/>
        <v>0</v>
      </c>
      <c r="MD758" s="1709"/>
      <c r="ME758" s="1709"/>
      <c r="MF758" s="1709"/>
      <c r="MG758" s="1680">
        <f t="shared" si="216"/>
        <v>0</v>
      </c>
      <c r="MH758" s="770"/>
      <c r="MI758" s="302"/>
      <c r="MJ758" s="302"/>
      <c r="MK758" s="302"/>
      <c r="ML758" s="302"/>
      <c r="MM758" s="302"/>
      <c r="MN758" s="302"/>
      <c r="MO758" s="302"/>
      <c r="MP758" s="302"/>
      <c r="MQ758" s="302"/>
      <c r="MR758" s="302"/>
      <c r="MS758" s="302"/>
      <c r="MT758" s="302"/>
      <c r="MU758" s="302"/>
      <c r="MV758" s="302"/>
      <c r="MW758" s="302"/>
      <c r="MX758" s="302"/>
      <c r="MY758" s="1682">
        <f t="shared" si="217"/>
        <v>0</v>
      </c>
      <c r="MZ758" s="770"/>
      <c r="NA758" s="770"/>
      <c r="NB758" s="770"/>
      <c r="NC758" s="770"/>
      <c r="ND758" s="770"/>
      <c r="NE758" s="770"/>
      <c r="NF758" s="770"/>
      <c r="NG758" s="770"/>
      <c r="NH758" s="770"/>
      <c r="NI758" s="770"/>
      <c r="NJ758" s="770"/>
      <c r="NK758" s="770"/>
      <c r="NL758" s="770"/>
      <c r="NM758" s="770"/>
      <c r="NN758" s="770"/>
      <c r="NO758" s="770"/>
      <c r="NP758" s="770"/>
      <c r="NQ758" s="770"/>
      <c r="NR758" s="770"/>
      <c r="NS758" s="770"/>
      <c r="NT758" s="770"/>
      <c r="NU758" s="770"/>
      <c r="NV758" s="770"/>
      <c r="NW758" s="770"/>
      <c r="NX758" s="770"/>
      <c r="NY758" s="770"/>
      <c r="NZ758" s="770"/>
      <c r="OA758" s="770"/>
      <c r="OB758" s="770"/>
      <c r="OC758" s="770"/>
      <c r="OD758" s="770"/>
      <c r="OE758" s="770"/>
      <c r="OF758" s="770"/>
      <c r="OG758" s="770"/>
      <c r="OH758" s="770"/>
      <c r="OI758" s="770"/>
      <c r="OJ758" s="770"/>
      <c r="OK758" s="770"/>
      <c r="OL758" s="770"/>
      <c r="OM758" s="770"/>
      <c r="ON758" s="770"/>
      <c r="OO758" s="770"/>
      <c r="OP758" s="770"/>
      <c r="OQ758" s="770"/>
      <c r="OR758" s="770"/>
      <c r="OS758" s="770"/>
      <c r="OT758" s="770"/>
      <c r="OU758" s="770"/>
      <c r="OV758" s="770"/>
      <c r="OW758" s="770"/>
      <c r="OX758" s="770"/>
      <c r="OY758" s="770"/>
      <c r="OZ758" s="770"/>
      <c r="PA758" s="770"/>
      <c r="PB758" s="770"/>
      <c r="PC758" s="770"/>
      <c r="PD758" s="770"/>
      <c r="PE758" s="770"/>
      <c r="PF758" s="770"/>
      <c r="PG758" s="770"/>
      <c r="PH758" s="770"/>
      <c r="PI758" s="770"/>
      <c r="PJ758" s="770"/>
      <c r="PK758" s="770"/>
      <c r="PL758" s="770"/>
      <c r="PM758" s="770"/>
      <c r="PN758" s="770"/>
      <c r="PO758" s="770"/>
      <c r="PP758" s="770"/>
      <c r="PQ758" s="770"/>
      <c r="PR758" s="770"/>
      <c r="PS758" s="770"/>
      <c r="PT758" s="770"/>
      <c r="PU758" s="770"/>
      <c r="PV758" s="770"/>
      <c r="PW758" s="770"/>
      <c r="PX758" s="770"/>
      <c r="PY758" s="770"/>
      <c r="PZ758" s="770"/>
      <c r="QA758" s="770"/>
      <c r="QB758" s="770"/>
      <c r="QC758" s="770"/>
      <c r="QD758" s="770"/>
      <c r="QE758" s="770"/>
      <c r="QF758" s="770"/>
      <c r="QG758" s="770"/>
      <c r="QH758" s="770"/>
      <c r="QI758" s="770"/>
      <c r="QJ758" s="770"/>
      <c r="QK758" s="770"/>
      <c r="QL758" s="770"/>
      <c r="QM758" s="770"/>
      <c r="QN758" s="770"/>
      <c r="QO758" s="770"/>
      <c r="QP758" s="770"/>
      <c r="QQ758" s="770"/>
      <c r="QR758" s="770"/>
      <c r="QS758" s="770"/>
      <c r="QT758" s="770"/>
      <c r="QU758" s="770"/>
      <c r="QV758" s="770"/>
      <c r="QW758" s="770"/>
      <c r="QX758" s="770"/>
      <c r="QY758" s="770"/>
      <c r="QZ758" s="770"/>
      <c r="RA758" s="770"/>
      <c r="RB758" s="770"/>
      <c r="RC758" s="770"/>
      <c r="RD758" s="770"/>
      <c r="RE758" s="770"/>
      <c r="RF758" s="304"/>
      <c r="RG758" s="770"/>
      <c r="RH758" s="306"/>
      <c r="RI758" s="770"/>
      <c r="RJ758" s="94" t="s">
        <v>13982</v>
      </c>
      <c r="RK758" s="770"/>
      <c r="RL758" s="1710"/>
      <c r="RM758" s="12" t="s">
        <v>13011</v>
      </c>
      <c r="RN758" s="1711"/>
      <c r="RO758" s="149" t="s">
        <v>4801</v>
      </c>
      <c r="RP758" s="11"/>
      <c r="RQ758" s="11"/>
      <c r="RR758" s="17"/>
      <c r="RS758" s="767"/>
      <c r="RT758" s="11"/>
      <c r="RU758" s="11"/>
      <c r="RV758" s="771" t="s">
        <v>7419</v>
      </c>
      <c r="RW758" s="11" t="s">
        <v>7458</v>
      </c>
      <c r="RX758" s="11" t="s">
        <v>4799</v>
      </c>
      <c r="RY758" s="11"/>
      <c r="RZ758" s="11" t="s">
        <v>2209</v>
      </c>
      <c r="SA758" s="771"/>
      <c r="SB758" s="11"/>
      <c r="SC758" s="11"/>
    </row>
    <row r="759" spans="1:497" ht="12.75" hidden="1" customHeight="1">
      <c r="A759" s="19" t="s">
        <v>7419</v>
      </c>
      <c r="B759" s="292" t="s">
        <v>8052</v>
      </c>
      <c r="C759" s="149" t="s">
        <v>4802</v>
      </c>
      <c r="D759" s="94" t="s">
        <v>4803</v>
      </c>
      <c r="E759" s="766" t="s">
        <v>11907</v>
      </c>
      <c r="F759" s="770"/>
      <c r="G759" s="770"/>
      <c r="H759" s="295"/>
      <c r="I759" s="12"/>
      <c r="J759" s="94"/>
      <c r="K759" s="766" t="s">
        <v>5779</v>
      </c>
      <c r="L759" s="766" t="s">
        <v>5772</v>
      </c>
      <c r="M759" s="770"/>
      <c r="N759" s="1757" t="s">
        <v>11715</v>
      </c>
      <c r="O759" s="1757" t="s">
        <v>11710</v>
      </c>
      <c r="P759" s="770"/>
      <c r="Q759" s="1088"/>
      <c r="R759" s="297"/>
      <c r="S759" s="770"/>
      <c r="T759" s="770"/>
      <c r="U759" s="295"/>
      <c r="V759" s="770"/>
      <c r="W759" s="770"/>
      <c r="X759" s="770"/>
      <c r="Y759" s="770"/>
      <c r="Z759" s="770"/>
      <c r="AA759" s="770"/>
      <c r="AB759" s="770"/>
      <c r="AC759" s="770"/>
      <c r="AD759" s="770"/>
      <c r="AE759" s="770"/>
      <c r="AF759" s="770"/>
      <c r="AG759" s="766" t="s">
        <v>1132</v>
      </c>
      <c r="AH759" s="766" t="s">
        <v>1100</v>
      </c>
      <c r="AI759" s="770"/>
      <c r="AJ759" s="770" t="s">
        <v>1137</v>
      </c>
      <c r="AK759" s="770" t="s">
        <v>1899</v>
      </c>
      <c r="AL759" s="531">
        <v>167.5</v>
      </c>
      <c r="AM759" s="780">
        <v>130</v>
      </c>
      <c r="AN759" s="532">
        <f t="shared" si="232"/>
        <v>0.77611940298507465</v>
      </c>
      <c r="AO759" s="766" t="s">
        <v>1105</v>
      </c>
      <c r="AP759" s="766"/>
      <c r="AQ759" s="766"/>
      <c r="AR759" s="766"/>
      <c r="AS759" s="770"/>
      <c r="AT759" s="770"/>
      <c r="AU759" s="770"/>
      <c r="AV759" s="770"/>
      <c r="AW759" s="770"/>
      <c r="AX759" s="770"/>
      <c r="AY759" s="770"/>
      <c r="AZ759" s="770"/>
      <c r="BA759" s="770"/>
      <c r="BB759" s="770"/>
      <c r="BC759" s="770"/>
      <c r="BD759" s="770"/>
      <c r="BE759" s="770"/>
      <c r="BF759" s="302"/>
      <c r="BG759" s="302"/>
      <c r="BH759" s="770"/>
      <c r="BI759" s="770"/>
      <c r="BJ759" s="770"/>
      <c r="BK759" s="766"/>
      <c r="BL759" s="766"/>
      <c r="BM759" s="766"/>
      <c r="BN759" s="766"/>
      <c r="BO759" s="770"/>
      <c r="BP759" s="765"/>
      <c r="BQ759" s="773"/>
      <c r="BR759" s="774"/>
      <c r="BS759" s="766"/>
      <c r="BT759" s="770"/>
      <c r="BU759" s="770"/>
      <c r="BV759" s="770"/>
      <c r="BW759" s="770"/>
      <c r="BX759" s="302"/>
      <c r="BY759" s="770"/>
      <c r="BZ759" s="302"/>
      <c r="CA759" s="770"/>
      <c r="CB759" s="770" t="s">
        <v>1207</v>
      </c>
      <c r="CC759" s="770"/>
      <c r="CD759" s="770"/>
      <c r="CE759" s="302"/>
      <c r="CF759" s="304"/>
      <c r="CG759" s="321"/>
      <c r="CH759" s="770"/>
      <c r="CI759" s="770"/>
      <c r="CJ759" s="770"/>
      <c r="CK759" s="770"/>
      <c r="CL759" s="770"/>
      <c r="CM759" s="770"/>
      <c r="CN759" s="770"/>
      <c r="CO759" s="770"/>
      <c r="CP759" s="770"/>
      <c r="CQ759" s="770"/>
      <c r="CR759" s="302"/>
      <c r="CS759" s="770"/>
      <c r="CT759" s="770"/>
      <c r="CU759" s="305"/>
      <c r="CV759" s="770"/>
      <c r="CW759" s="770"/>
      <c r="CX759" s="770"/>
      <c r="CY759" s="770"/>
      <c r="CZ759" s="770"/>
      <c r="DA759" s="306"/>
      <c r="DB759" s="770"/>
      <c r="DC759" s="770"/>
      <c r="DD759" s="770"/>
      <c r="DE759" s="300"/>
      <c r="DF759" s="770"/>
      <c r="DG759" s="770"/>
      <c r="DH759" s="770"/>
      <c r="DI759" s="770"/>
      <c r="DJ759" s="770"/>
      <c r="DK759" s="770"/>
      <c r="DL759" s="770"/>
      <c r="DM759" s="770"/>
      <c r="DN759" s="322"/>
      <c r="DO759" s="770"/>
      <c r="DP759" s="770"/>
      <c r="DQ759" s="770"/>
      <c r="DR759" s="770"/>
      <c r="DS759" s="307"/>
      <c r="DT759" s="770"/>
      <c r="DU759" s="770"/>
      <c r="DV759" s="770"/>
      <c r="DW759" s="306"/>
      <c r="DX759" s="306"/>
      <c r="DY759" s="1055"/>
      <c r="DZ759" s="770"/>
      <c r="EA759" s="770"/>
      <c r="EB759" s="770"/>
      <c r="EC759" s="770"/>
      <c r="ED759" s="770"/>
      <c r="EE759" s="770"/>
      <c r="EF759" s="770"/>
      <c r="EG759" s="770"/>
      <c r="EH759" s="770"/>
      <c r="EI759" s="770"/>
      <c r="EJ759" s="770"/>
      <c r="EK759" s="770"/>
      <c r="EL759" s="770"/>
      <c r="EM759" s="770"/>
      <c r="EN759" s="770"/>
      <c r="EO759" s="770"/>
      <c r="EP759" s="94"/>
      <c r="EQ759" s="770"/>
      <c r="ER759" s="770"/>
      <c r="ES759" s="770"/>
      <c r="ET759" s="770"/>
      <c r="EU759" s="770"/>
      <c r="EV759" s="770"/>
      <c r="EW759" s="770"/>
      <c r="EX759" s="770"/>
      <c r="EY759" s="770"/>
      <c r="EZ759" s="770" t="s">
        <v>5781</v>
      </c>
      <c r="FA759" s="770" t="s">
        <v>5782</v>
      </c>
      <c r="FB759" s="770" t="s">
        <v>1257</v>
      </c>
      <c r="FC759" s="770"/>
      <c r="FD759" s="302"/>
      <c r="FE759" s="770" t="s">
        <v>5775</v>
      </c>
      <c r="FF759" s="770"/>
      <c r="FG759" s="770" t="s">
        <v>5783</v>
      </c>
      <c r="FH759" s="770"/>
      <c r="FI759" s="770"/>
      <c r="FJ759" s="770"/>
      <c r="FK759" s="770"/>
      <c r="FL759" s="770"/>
      <c r="FM759" s="302"/>
      <c r="FN759" s="302"/>
      <c r="FO759" s="302"/>
      <c r="FP759" s="770"/>
      <c r="FQ759" s="770"/>
      <c r="FR759" s="770"/>
      <c r="FS759" s="770"/>
      <c r="FT759" s="770"/>
      <c r="FU759" s="770"/>
      <c r="FV759" s="770"/>
      <c r="FW759" s="770"/>
      <c r="FX759" s="770"/>
      <c r="FY759" s="770"/>
      <c r="FZ759" s="770"/>
      <c r="GA759" s="770"/>
      <c r="GB759" s="770"/>
      <c r="GC759" s="308"/>
      <c r="GD759" s="297"/>
      <c r="GE759" s="770"/>
      <c r="GF759" s="302"/>
      <c r="GG759" s="302"/>
      <c r="GH759" s="770"/>
      <c r="GI759" s="770"/>
      <c r="GJ759" s="770"/>
      <c r="GK759" s="770"/>
      <c r="GL759" s="770"/>
      <c r="GM759" s="770"/>
      <c r="GN759" s="299"/>
      <c r="GO759" s="770"/>
      <c r="GP759" s="770"/>
      <c r="GQ759" s="770"/>
      <c r="GR759" s="770"/>
      <c r="GS759" s="770"/>
      <c r="GT759" s="770"/>
      <c r="GU759" s="770"/>
      <c r="GV759" s="770"/>
      <c r="GW759" s="770"/>
      <c r="GX759" s="770"/>
      <c r="GY759" s="770"/>
      <c r="GZ759" s="770"/>
      <c r="HA759" s="770"/>
      <c r="HB759" s="770"/>
      <c r="HC759" s="770"/>
      <c r="HD759" s="770"/>
      <c r="HE759" s="770"/>
      <c r="HF759" s="770"/>
      <c r="HG759" s="770"/>
      <c r="HH759" s="770"/>
      <c r="HI759" s="770"/>
      <c r="HJ759" s="770"/>
      <c r="HK759" s="770"/>
      <c r="HL759" s="770"/>
      <c r="HM759" s="770"/>
      <c r="HN759" s="770"/>
      <c r="HO759" s="770"/>
      <c r="HP759" s="770"/>
      <c r="HQ759" s="770"/>
      <c r="HR759" s="770"/>
      <c r="HS759" s="770"/>
      <c r="HT759" s="770"/>
      <c r="HU759" s="770"/>
      <c r="HV759" s="770"/>
      <c r="HW759" s="770"/>
      <c r="HX759" s="770"/>
      <c r="HY759" s="770"/>
      <c r="HZ759" s="770"/>
      <c r="IA759" s="770"/>
      <c r="IB759" s="770"/>
      <c r="IC759" s="770"/>
      <c r="ID759" s="770"/>
      <c r="IE759" s="770"/>
      <c r="IF759" s="770"/>
      <c r="IG759" s="770"/>
      <c r="IH759" s="770"/>
      <c r="II759" s="770"/>
      <c r="IJ759" s="770"/>
      <c r="IK759" s="770"/>
      <c r="IL759" s="770"/>
      <c r="IM759" s="770"/>
      <c r="IN759" s="770"/>
      <c r="IO759" s="296"/>
      <c r="IP759" s="770"/>
      <c r="IQ759" s="770"/>
      <c r="IR759" s="770"/>
      <c r="IS759" s="770"/>
      <c r="IT759" s="770"/>
      <c r="IU759" s="770"/>
      <c r="IV759" s="770"/>
      <c r="IW759" s="770"/>
      <c r="IX759" s="770"/>
      <c r="IY759" s="770"/>
      <c r="IZ759" s="770"/>
      <c r="JA759" s="770"/>
      <c r="JB759" s="770"/>
      <c r="JC759" s="770"/>
      <c r="JD759" s="302"/>
      <c r="JE759" s="770"/>
      <c r="JF759" s="770"/>
      <c r="JG759" s="770"/>
      <c r="JH759" s="307"/>
      <c r="JI759" s="307"/>
      <c r="JJ759" s="770"/>
      <c r="JK759" s="770"/>
      <c r="JL759" s="770"/>
      <c r="JM759" s="770"/>
      <c r="JN759" s="770"/>
      <c r="JO759" s="770"/>
      <c r="JP759" s="770"/>
      <c r="JQ759" s="770"/>
      <c r="JR759" s="770"/>
      <c r="JS759" s="770"/>
      <c r="JT759" s="766"/>
      <c r="JU759" s="766"/>
      <c r="JV759" s="766"/>
      <c r="JW759" s="766"/>
      <c r="JX759" s="770"/>
      <c r="JY759" s="770"/>
      <c r="JZ759" s="770"/>
      <c r="KA759" s="770"/>
      <c r="KB759" s="770"/>
      <c r="KC759" s="770"/>
      <c r="KD759" s="770"/>
      <c r="KE759" s="770"/>
      <c r="KF759" s="770"/>
      <c r="KG759" s="770"/>
      <c r="KH759" s="770"/>
      <c r="KI759" s="770"/>
      <c r="KJ759" s="770"/>
      <c r="KK759" s="770"/>
      <c r="KL759" s="770"/>
      <c r="KM759" s="770"/>
      <c r="KN759" s="770"/>
      <c r="KO759" s="770"/>
      <c r="KP759" s="770"/>
      <c r="KQ759" s="770"/>
      <c r="KR759" s="770"/>
      <c r="KS759" s="770"/>
      <c r="KT759" s="770"/>
      <c r="KU759" s="770"/>
      <c r="KV759" s="770"/>
      <c r="KW759" s="770"/>
      <c r="KX759" s="770"/>
      <c r="KY759" s="770"/>
      <c r="KZ759" s="770"/>
      <c r="LA759" s="770"/>
      <c r="LB759" s="770"/>
      <c r="LC759" s="770"/>
      <c r="LD759" s="770"/>
      <c r="LE759" s="770"/>
      <c r="LF759" s="770"/>
      <c r="LG759" s="770"/>
      <c r="LH759" s="770"/>
      <c r="LI759" s="770"/>
      <c r="LJ759" s="770"/>
      <c r="LK759" s="770"/>
      <c r="LL759" s="770"/>
      <c r="LM759" s="770"/>
      <c r="LN759" s="766"/>
      <c r="LO759" s="766"/>
      <c r="LP759" s="770"/>
      <c r="LQ759" s="770"/>
      <c r="LR759" s="770"/>
      <c r="LS759" s="770"/>
      <c r="LT759" s="770"/>
      <c r="LU759" s="770"/>
      <c r="LV759" s="770"/>
      <c r="LW759" s="770"/>
      <c r="LX759" s="769"/>
      <c r="LY759" s="766" t="str">
        <f t="shared" si="231"/>
        <v/>
      </c>
      <c r="LZ759" s="1709"/>
      <c r="MA759" s="1709"/>
      <c r="MB759" s="1709"/>
      <c r="MC759" s="1679">
        <f t="shared" si="229"/>
        <v>0</v>
      </c>
      <c r="MD759" s="1709"/>
      <c r="ME759" s="1709"/>
      <c r="MF759" s="1709"/>
      <c r="MG759" s="1680">
        <f t="shared" si="216"/>
        <v>0</v>
      </c>
      <c r="MH759" s="770"/>
      <c r="MI759" s="302"/>
      <c r="MJ759" s="302"/>
      <c r="MK759" s="302"/>
      <c r="ML759" s="302"/>
      <c r="MM759" s="302"/>
      <c r="MN759" s="302"/>
      <c r="MO759" s="302"/>
      <c r="MP759" s="302"/>
      <c r="MQ759" s="302"/>
      <c r="MR759" s="302"/>
      <c r="MS759" s="302"/>
      <c r="MT759" s="302"/>
      <c r="MU759" s="302"/>
      <c r="MV759" s="302"/>
      <c r="MW759" s="302"/>
      <c r="MX759" s="302"/>
      <c r="MY759" s="1682">
        <f t="shared" si="217"/>
        <v>0</v>
      </c>
      <c r="MZ759" s="770"/>
      <c r="NA759" s="770"/>
      <c r="NB759" s="770"/>
      <c r="NC759" s="770"/>
      <c r="ND759" s="770"/>
      <c r="NE759" s="770"/>
      <c r="NF759" s="770"/>
      <c r="NG759" s="770"/>
      <c r="NH759" s="770"/>
      <c r="NI759" s="770"/>
      <c r="NJ759" s="770"/>
      <c r="NK759" s="770"/>
      <c r="NL759" s="770"/>
      <c r="NM759" s="770"/>
      <c r="NN759" s="770"/>
      <c r="NO759" s="770"/>
      <c r="NP759" s="770"/>
      <c r="NQ759" s="770"/>
      <c r="NR759" s="770"/>
      <c r="NS759" s="770"/>
      <c r="NT759" s="770"/>
      <c r="NU759" s="770"/>
      <c r="NV759" s="770"/>
      <c r="NW759" s="770"/>
      <c r="NX759" s="770"/>
      <c r="NY759" s="770"/>
      <c r="NZ759" s="770"/>
      <c r="OA759" s="770"/>
      <c r="OB759" s="770"/>
      <c r="OC759" s="770"/>
      <c r="OD759" s="770"/>
      <c r="OE759" s="770"/>
      <c r="OF759" s="770"/>
      <c r="OG759" s="770"/>
      <c r="OH759" s="770"/>
      <c r="OI759" s="770"/>
      <c r="OJ759" s="770"/>
      <c r="OK759" s="770"/>
      <c r="OL759" s="770"/>
      <c r="OM759" s="770"/>
      <c r="ON759" s="770"/>
      <c r="OO759" s="770"/>
      <c r="OP759" s="770"/>
      <c r="OQ759" s="770"/>
      <c r="OR759" s="770"/>
      <c r="OS759" s="770"/>
      <c r="OT759" s="770"/>
      <c r="OU759" s="770"/>
      <c r="OV759" s="770"/>
      <c r="OW759" s="770"/>
      <c r="OX759" s="770"/>
      <c r="OY759" s="770"/>
      <c r="OZ759" s="770"/>
      <c r="PA759" s="770"/>
      <c r="PB759" s="770"/>
      <c r="PC759" s="770"/>
      <c r="PD759" s="770"/>
      <c r="PE759" s="770"/>
      <c r="PF759" s="770"/>
      <c r="PG759" s="770"/>
      <c r="PH759" s="770"/>
      <c r="PI759" s="770"/>
      <c r="PJ759" s="770"/>
      <c r="PK759" s="770"/>
      <c r="PL759" s="770"/>
      <c r="PM759" s="770"/>
      <c r="PN759" s="770"/>
      <c r="PO759" s="770"/>
      <c r="PP759" s="770"/>
      <c r="PQ759" s="770"/>
      <c r="PR759" s="770"/>
      <c r="PS759" s="770"/>
      <c r="PT759" s="770"/>
      <c r="PU759" s="770"/>
      <c r="PV759" s="770"/>
      <c r="PW759" s="770"/>
      <c r="PX759" s="770"/>
      <c r="PY759" s="770"/>
      <c r="PZ759" s="770"/>
      <c r="QA759" s="770"/>
      <c r="QB759" s="770"/>
      <c r="QC759" s="770"/>
      <c r="QD759" s="770"/>
      <c r="QE759" s="770"/>
      <c r="QF759" s="770"/>
      <c r="QG759" s="770"/>
      <c r="QH759" s="770"/>
      <c r="QI759" s="770"/>
      <c r="QJ759" s="770"/>
      <c r="QK759" s="770"/>
      <c r="QL759" s="770"/>
      <c r="QM759" s="770"/>
      <c r="QN759" s="770"/>
      <c r="QO759" s="770"/>
      <c r="QP759" s="770"/>
      <c r="QQ759" s="770"/>
      <c r="QR759" s="770"/>
      <c r="QS759" s="770"/>
      <c r="QT759" s="770"/>
      <c r="QU759" s="770"/>
      <c r="QV759" s="770"/>
      <c r="QW759" s="770"/>
      <c r="QX759" s="770"/>
      <c r="QY759" s="770"/>
      <c r="QZ759" s="770"/>
      <c r="RA759" s="770"/>
      <c r="RB759" s="770"/>
      <c r="RC759" s="770"/>
      <c r="RD759" s="770"/>
      <c r="RE759" s="770"/>
      <c r="RF759" s="304"/>
      <c r="RG759" s="770"/>
      <c r="RH759" s="306"/>
      <c r="RI759" s="770"/>
      <c r="RJ759" s="94"/>
      <c r="RK759" s="770"/>
      <c r="RL759" s="1710"/>
      <c r="RM759" s="12" t="s">
        <v>13011</v>
      </c>
      <c r="RN759" s="1711"/>
      <c r="RO759" s="149" t="s">
        <v>4802</v>
      </c>
      <c r="RP759" s="11"/>
      <c r="RQ759" s="11"/>
      <c r="RR759" s="17"/>
      <c r="RS759" s="767"/>
      <c r="RT759" s="11"/>
      <c r="RU759" s="11"/>
      <c r="RV759" s="771" t="s">
        <v>7419</v>
      </c>
      <c r="RW759" s="11" t="s">
        <v>7459</v>
      </c>
      <c r="RX759" s="11" t="s">
        <v>4800</v>
      </c>
      <c r="RY759" s="11"/>
      <c r="RZ759" s="11" t="s">
        <v>2209</v>
      </c>
      <c r="SA759" s="771"/>
      <c r="SB759" s="11"/>
      <c r="SC759" s="11"/>
    </row>
    <row r="760" spans="1:497" ht="12.75" customHeight="1">
      <c r="A760" s="19" t="s">
        <v>7421</v>
      </c>
      <c r="B760" s="292" t="s">
        <v>8050</v>
      </c>
      <c r="C760" s="149" t="s">
        <v>4952</v>
      </c>
      <c r="D760" s="94" t="s">
        <v>4953</v>
      </c>
      <c r="E760" s="766" t="s">
        <v>4954</v>
      </c>
      <c r="F760" s="770" t="s">
        <v>210</v>
      </c>
      <c r="G760" s="770" t="s">
        <v>18</v>
      </c>
      <c r="H760" s="12"/>
      <c r="I760" s="295" t="s">
        <v>4955</v>
      </c>
      <c r="J760" s="94" t="s">
        <v>4956</v>
      </c>
      <c r="K760" s="766" t="s">
        <v>4963</v>
      </c>
      <c r="L760" s="766" t="s">
        <v>3947</v>
      </c>
      <c r="M760" s="770" t="s">
        <v>1238</v>
      </c>
      <c r="N760" s="1757"/>
      <c r="O760" s="1757" t="s">
        <v>4830</v>
      </c>
      <c r="P760" s="94" t="s">
        <v>4965</v>
      </c>
      <c r="Q760" s="1088">
        <v>29750</v>
      </c>
      <c r="R760" s="297">
        <v>30</v>
      </c>
      <c r="S760" s="770" t="s">
        <v>10</v>
      </c>
      <c r="T760" s="770"/>
      <c r="U760" s="295" t="s">
        <v>4955</v>
      </c>
      <c r="V760" s="770" t="s">
        <v>768</v>
      </c>
      <c r="W760" s="770"/>
      <c r="X760" s="770"/>
      <c r="Y760" s="770" t="s">
        <v>4954</v>
      </c>
      <c r="Z760" s="770" t="s">
        <v>708</v>
      </c>
      <c r="AA760" s="770" t="s">
        <v>709</v>
      </c>
      <c r="AB760" s="770" t="s">
        <v>710</v>
      </c>
      <c r="AC760" s="770" t="s">
        <v>724</v>
      </c>
      <c r="AD760" s="770" t="s">
        <v>711</v>
      </c>
      <c r="AE760" s="770"/>
      <c r="AF760" s="770" t="s">
        <v>712</v>
      </c>
      <c r="AG760" s="766" t="s">
        <v>1095</v>
      </c>
      <c r="AH760" s="766" t="s">
        <v>1096</v>
      </c>
      <c r="AI760" s="770" t="s">
        <v>4957</v>
      </c>
      <c r="AJ760" s="770"/>
      <c r="AK760" s="770" t="s">
        <v>1101</v>
      </c>
      <c r="AL760" s="531">
        <v>8.4</v>
      </c>
      <c r="AM760" s="780">
        <v>4.62</v>
      </c>
      <c r="AN760" s="532">
        <f t="shared" si="232"/>
        <v>0.55000000000000004</v>
      </c>
      <c r="AO760" s="766" t="s">
        <v>1105</v>
      </c>
      <c r="AP760" s="766"/>
      <c r="AQ760" s="766"/>
      <c r="AR760" s="766"/>
      <c r="AS760" s="409"/>
      <c r="AT760" s="770"/>
      <c r="AU760" s="770"/>
      <c r="AV760" s="770"/>
      <c r="AW760" s="770"/>
      <c r="AX760" s="770"/>
      <c r="AY760" s="770"/>
      <c r="AZ760" s="770"/>
      <c r="BA760" s="770"/>
      <c r="BB760" s="770"/>
      <c r="BC760" s="770"/>
      <c r="BD760" s="770"/>
      <c r="BE760" s="770"/>
      <c r="BF760" s="302"/>
      <c r="BG760" s="302"/>
      <c r="BH760" s="770"/>
      <c r="BI760" s="770"/>
      <c r="BJ760" s="770"/>
      <c r="BK760" s="766" t="s">
        <v>1095</v>
      </c>
      <c r="BL760" s="766" t="s">
        <v>4958</v>
      </c>
      <c r="BM760" s="766" t="s">
        <v>1096</v>
      </c>
      <c r="BN760" s="766" t="s">
        <v>1305</v>
      </c>
      <c r="BO760" s="766" t="s">
        <v>1239</v>
      </c>
      <c r="BP760" s="1109">
        <v>16.8</v>
      </c>
      <c r="BQ760" s="773">
        <v>9.1999999999999993</v>
      </c>
      <c r="BR760" s="774">
        <f t="shared" ref="BR760:BR769" si="234">BQ760/BP760</f>
        <v>0.54761904761904756</v>
      </c>
      <c r="BS760" s="766" t="s">
        <v>1105</v>
      </c>
      <c r="BT760" s="766" t="s">
        <v>8133</v>
      </c>
      <c r="BU760" s="770" t="s">
        <v>1249</v>
      </c>
      <c r="BV760" s="770" t="s">
        <v>1247</v>
      </c>
      <c r="BW760" s="770">
        <v>2007</v>
      </c>
      <c r="BX760" s="302"/>
      <c r="BY760" s="770"/>
      <c r="BZ760" s="302"/>
      <c r="CA760" s="770"/>
      <c r="CB760" s="770"/>
      <c r="CC760" s="770"/>
      <c r="CD760" s="770"/>
      <c r="CE760" s="302"/>
      <c r="CF760" s="304"/>
      <c r="CG760" s="321"/>
      <c r="CH760" s="770"/>
      <c r="CI760" s="770"/>
      <c r="CJ760" s="770"/>
      <c r="CK760" s="770"/>
      <c r="CL760" s="770"/>
      <c r="CM760" s="770"/>
      <c r="CN760" s="770"/>
      <c r="CO760" s="770"/>
      <c r="CP760" s="770"/>
      <c r="CQ760" s="770"/>
      <c r="CR760" s="302"/>
      <c r="CS760" s="770"/>
      <c r="CT760" s="770"/>
      <c r="CU760" s="305"/>
      <c r="CV760" s="770"/>
      <c r="CW760" s="770"/>
      <c r="CX760" s="770"/>
      <c r="CY760" s="770"/>
      <c r="CZ760" s="770"/>
      <c r="DA760" s="306"/>
      <c r="DB760" s="770"/>
      <c r="DC760" s="770"/>
      <c r="DD760" s="770"/>
      <c r="DE760" s="300"/>
      <c r="DF760" s="770"/>
      <c r="DG760" s="770"/>
      <c r="DH760" s="770"/>
      <c r="DI760" s="770"/>
      <c r="DJ760" s="770"/>
      <c r="DK760" s="770"/>
      <c r="DL760" s="770"/>
      <c r="DM760" s="770"/>
      <c r="DN760" s="322"/>
      <c r="DO760" s="770"/>
      <c r="DP760" s="770"/>
      <c r="DQ760" s="770"/>
      <c r="DR760" s="770"/>
      <c r="DS760" s="307"/>
      <c r="DT760" s="770"/>
      <c r="DU760" s="770"/>
      <c r="DV760" s="770"/>
      <c r="DW760" s="306"/>
      <c r="DX760" s="306"/>
      <c r="DY760" s="1055"/>
      <c r="DZ760" s="770"/>
      <c r="EA760" s="770"/>
      <c r="EB760" s="770"/>
      <c r="EC760" s="770"/>
      <c r="ED760" s="770"/>
      <c r="EE760" s="770"/>
      <c r="EF760" s="770"/>
      <c r="EG760" s="770"/>
      <c r="EH760" s="770"/>
      <c r="EI760" s="770"/>
      <c r="EJ760" s="770"/>
      <c r="EK760" s="770"/>
      <c r="EL760" s="770"/>
      <c r="EM760" s="770"/>
      <c r="EN760" s="770"/>
      <c r="EO760" s="770"/>
      <c r="EP760" s="94"/>
      <c r="EQ760" s="770"/>
      <c r="ER760" s="770"/>
      <c r="ES760" s="770"/>
      <c r="ET760" s="770"/>
      <c r="EU760" s="770"/>
      <c r="EV760" s="770"/>
      <c r="EW760" s="770"/>
      <c r="EX760" s="770"/>
      <c r="EY760" s="770"/>
      <c r="EZ760" s="770"/>
      <c r="FA760" s="770"/>
      <c r="FB760" s="770"/>
      <c r="FC760" s="770"/>
      <c r="FD760" s="302"/>
      <c r="FE760" s="770"/>
      <c r="FF760" s="770"/>
      <c r="FG760" s="770"/>
      <c r="FH760" s="770" t="s">
        <v>478</v>
      </c>
      <c r="FI760" s="770">
        <v>1</v>
      </c>
      <c r="FJ760" s="770"/>
      <c r="FK760" s="770"/>
      <c r="FL760" s="770"/>
      <c r="FM760" s="302"/>
      <c r="FN760" s="302"/>
      <c r="FO760" s="302"/>
      <c r="FP760" s="766" t="s">
        <v>1602</v>
      </c>
      <c r="FQ760" s="766" t="s">
        <v>1660</v>
      </c>
      <c r="FR760" s="770" t="s">
        <v>1214</v>
      </c>
      <c r="FS760" s="770"/>
      <c r="FT760" s="770"/>
      <c r="FU760" s="770"/>
      <c r="FV760" s="770"/>
      <c r="FW760" s="770"/>
      <c r="FX760" s="770"/>
      <c r="FY760" s="770"/>
      <c r="FZ760" s="770"/>
      <c r="GA760" s="770"/>
      <c r="GB760" s="770" t="s">
        <v>2208</v>
      </c>
      <c r="GC760" s="308"/>
      <c r="GD760" s="297">
        <v>2007</v>
      </c>
      <c r="GE760" s="770" t="s">
        <v>1214</v>
      </c>
      <c r="GF760" s="302"/>
      <c r="GG760" s="302"/>
      <c r="GH760" s="712" t="s">
        <v>1791</v>
      </c>
      <c r="GI760" s="770" t="s">
        <v>1008</v>
      </c>
      <c r="GJ760" s="770"/>
      <c r="GK760" s="766" t="s">
        <v>1806</v>
      </c>
      <c r="GL760" s="770"/>
      <c r="GM760" s="770"/>
      <c r="GN760" s="299">
        <f>6000/30</f>
        <v>200</v>
      </c>
      <c r="GO760" s="770"/>
      <c r="GP760" s="770"/>
      <c r="GQ760" s="770"/>
      <c r="GR760" s="770"/>
      <c r="GS760" s="770" t="s">
        <v>1208</v>
      </c>
      <c r="GT760" s="770"/>
      <c r="GU760" s="770"/>
      <c r="GV760" s="770"/>
      <c r="GW760" s="770" t="s">
        <v>1207</v>
      </c>
      <c r="GX760" s="770"/>
      <c r="GY760" s="770" t="s">
        <v>1208</v>
      </c>
      <c r="GZ760" s="770"/>
      <c r="HA760" s="770" t="s">
        <v>1208</v>
      </c>
      <c r="HB760" s="770"/>
      <c r="HC760" s="770"/>
      <c r="HD760" s="770" t="s">
        <v>1208</v>
      </c>
      <c r="HE760" s="770"/>
      <c r="HF760" s="770"/>
      <c r="HG760" s="770"/>
      <c r="HH760" s="770"/>
      <c r="HI760" s="770" t="s">
        <v>1214</v>
      </c>
      <c r="HJ760" s="770"/>
      <c r="HK760" s="770"/>
      <c r="HL760" s="770" t="s">
        <v>1214</v>
      </c>
      <c r="HM760" s="770"/>
      <c r="HN760" s="770"/>
      <c r="HO760" s="770"/>
      <c r="HP760" s="770"/>
      <c r="HQ760" s="770"/>
      <c r="HR760" s="770"/>
      <c r="HS760" s="770"/>
      <c r="HT760" s="770"/>
      <c r="HU760" s="770"/>
      <c r="HV760" s="770"/>
      <c r="HW760" s="770"/>
      <c r="HX760" s="770"/>
      <c r="HY760" s="770"/>
      <c r="HZ760" s="770"/>
      <c r="IA760" s="770"/>
      <c r="IB760" s="14" t="e">
        <f>IF(#REF!&gt;0,IF(#REF!&lt;=10000,"Y",""),"")</f>
        <v>#REF!</v>
      </c>
      <c r="IC760" s="770"/>
      <c r="ID760" s="770"/>
      <c r="IE760" s="770"/>
      <c r="IF760" s="770"/>
      <c r="IG760" s="770"/>
      <c r="IH760" s="770"/>
      <c r="II760" s="770"/>
      <c r="IJ760" s="770"/>
      <c r="IK760" s="770"/>
      <c r="IL760" s="770"/>
      <c r="IM760" s="770"/>
      <c r="IN760" s="770"/>
      <c r="IO760" s="296"/>
      <c r="IP760" s="770"/>
      <c r="IQ760" s="770"/>
      <c r="IR760" s="770"/>
      <c r="IS760" s="770"/>
      <c r="IT760" s="770"/>
      <c r="IU760" s="770"/>
      <c r="IV760" s="770"/>
      <c r="IW760" s="770"/>
      <c r="IX760" s="770"/>
      <c r="IY760" s="770"/>
      <c r="IZ760" s="770"/>
      <c r="JA760" s="770"/>
      <c r="JB760" s="770"/>
      <c r="JC760" s="770"/>
      <c r="JD760" s="302"/>
      <c r="JE760" s="770"/>
      <c r="JF760" s="770"/>
      <c r="JG760" s="770"/>
      <c r="JH760" s="307"/>
      <c r="JI760" s="307"/>
      <c r="JJ760" s="770">
        <v>3</v>
      </c>
      <c r="JK760" s="1139" t="s">
        <v>4959</v>
      </c>
      <c r="JL760" s="770"/>
      <c r="JM760" s="770"/>
      <c r="JN760" s="770">
        <v>2</v>
      </c>
      <c r="JO760" s="770">
        <v>1</v>
      </c>
      <c r="JP760" s="770"/>
      <c r="JQ760" s="770"/>
      <c r="JR760" s="770"/>
      <c r="JS760" s="770"/>
      <c r="JT760" s="766">
        <f t="shared" ref="JT760:JU769" si="235">SUM(JP760,JN760,JL760,JR760)</f>
        <v>2</v>
      </c>
      <c r="JU760" s="766">
        <f t="shared" si="235"/>
        <v>1</v>
      </c>
      <c r="JV760" s="712" t="str">
        <f t="shared" ref="JV760:JV768" si="236">IF(JT760=KJ760,"ok","male")</f>
        <v>ok</v>
      </c>
      <c r="JW760" s="712" t="str">
        <f t="shared" ref="JW760:JW768" si="237">IF(JU760=KK760,"ok","female")</f>
        <v>ok</v>
      </c>
      <c r="JX760" s="770"/>
      <c r="JY760" s="770"/>
      <c r="JZ760" s="770"/>
      <c r="KA760" s="770"/>
      <c r="KB760" s="770">
        <v>2</v>
      </c>
      <c r="KC760" s="770"/>
      <c r="KD760" s="770"/>
      <c r="KE760" s="770">
        <v>1</v>
      </c>
      <c r="KF760" s="770"/>
      <c r="KG760" s="770"/>
      <c r="KH760" s="770"/>
      <c r="KI760" s="770"/>
      <c r="KJ760" s="770">
        <f t="shared" si="225"/>
        <v>2</v>
      </c>
      <c r="KK760" s="770">
        <f t="shared" si="225"/>
        <v>1</v>
      </c>
      <c r="KL760" s="712" t="str">
        <f t="shared" ref="KL760:KL768" si="238">IF(KJ760=LN760,"ok","male")</f>
        <v>ok</v>
      </c>
      <c r="KM760" s="712" t="str">
        <f t="shared" ref="KM760:KM768" si="239">IF(KK760=LO760,"ok","female")</f>
        <v>ok</v>
      </c>
      <c r="KN760" s="770" t="s">
        <v>768</v>
      </c>
      <c r="KO760" s="770"/>
      <c r="KP760" s="770"/>
      <c r="KQ760" s="770"/>
      <c r="KR760" s="770"/>
      <c r="KS760" s="770"/>
      <c r="KT760" s="770"/>
      <c r="KU760" s="770"/>
      <c r="KV760" s="770"/>
      <c r="KW760" s="770"/>
      <c r="KX760" s="770">
        <v>1</v>
      </c>
      <c r="KY760" s="770">
        <v>1</v>
      </c>
      <c r="KZ760" s="770">
        <v>1</v>
      </c>
      <c r="LA760" s="770"/>
      <c r="LB760" s="770"/>
      <c r="LC760" s="770"/>
      <c r="LD760" s="770"/>
      <c r="LE760" s="770"/>
      <c r="LF760" s="770"/>
      <c r="LG760" s="770"/>
      <c r="LH760" s="770"/>
      <c r="LI760" s="770"/>
      <c r="LJ760" s="770"/>
      <c r="LK760" s="770"/>
      <c r="LL760" s="770"/>
      <c r="LM760" s="770"/>
      <c r="LN760" s="766">
        <f t="shared" si="230"/>
        <v>2</v>
      </c>
      <c r="LO760" s="766">
        <f t="shared" si="230"/>
        <v>1</v>
      </c>
      <c r="LP760" s="770">
        <v>1</v>
      </c>
      <c r="LQ760" s="770">
        <v>1</v>
      </c>
      <c r="LR760" s="770"/>
      <c r="LS760" s="770"/>
      <c r="LT760" s="712" t="str">
        <f t="shared" ref="LT760:LT768" si="240">IF(LQ760=SUM(LU760:LW760),"OK","REV")</f>
        <v>OK</v>
      </c>
      <c r="LU760" s="770"/>
      <c r="LV760" s="770">
        <v>1</v>
      </c>
      <c r="LW760" s="770"/>
      <c r="LX760" s="769">
        <v>2</v>
      </c>
      <c r="LY760" s="766" t="str">
        <f t="shared" si="231"/>
        <v>within the MUNICIPALITY</v>
      </c>
      <c r="LZ760" s="1709">
        <v>480</v>
      </c>
      <c r="MA760" s="1709"/>
      <c r="MB760" s="1709"/>
      <c r="MC760" s="1679">
        <f t="shared" si="229"/>
        <v>480</v>
      </c>
      <c r="MD760" s="1709">
        <v>12000</v>
      </c>
      <c r="ME760" s="1709"/>
      <c r="MF760" s="1709"/>
      <c r="MG760" s="1680">
        <f t="shared" ref="MG760:MG768" si="241">SUM(MD760:MF760)</f>
        <v>12000</v>
      </c>
      <c r="MH760" s="770" t="s">
        <v>2215</v>
      </c>
      <c r="MI760" s="302">
        <v>3000</v>
      </c>
      <c r="MJ760" s="302">
        <v>480</v>
      </c>
      <c r="MK760" s="302">
        <v>2000</v>
      </c>
      <c r="ML760" s="302"/>
      <c r="MM760" s="302"/>
      <c r="MN760" s="302"/>
      <c r="MO760" s="302"/>
      <c r="MP760" s="302"/>
      <c r="MQ760" s="302"/>
      <c r="MR760" s="302"/>
      <c r="MS760" s="302"/>
      <c r="MT760" s="302"/>
      <c r="MU760" s="302"/>
      <c r="MV760" s="302"/>
      <c r="MW760" s="302"/>
      <c r="MX760" s="302"/>
      <c r="MY760" s="1682">
        <f t="shared" si="217"/>
        <v>5480</v>
      </c>
      <c r="MZ760" s="770" t="s">
        <v>13395</v>
      </c>
      <c r="NA760" s="770" t="s">
        <v>13585</v>
      </c>
      <c r="NB760" s="770" t="s">
        <v>13151</v>
      </c>
      <c r="NC760" s="770" t="s">
        <v>13621</v>
      </c>
      <c r="ND760" s="770">
        <v>0</v>
      </c>
      <c r="NE760" s="770">
        <v>0</v>
      </c>
      <c r="NF760" s="770">
        <v>0</v>
      </c>
      <c r="NG760" s="770">
        <v>2</v>
      </c>
      <c r="NH760" s="770">
        <v>0</v>
      </c>
      <c r="NI760" s="770">
        <v>0</v>
      </c>
      <c r="NJ760" s="770">
        <v>1</v>
      </c>
      <c r="NK760" s="770">
        <v>0</v>
      </c>
      <c r="NL760" s="770">
        <v>0</v>
      </c>
      <c r="NM760" s="770">
        <v>0</v>
      </c>
      <c r="NN760" s="770">
        <v>0</v>
      </c>
      <c r="NO760" s="770">
        <v>0</v>
      </c>
      <c r="NP760" s="770">
        <v>0</v>
      </c>
      <c r="NQ760" s="770">
        <v>0</v>
      </c>
      <c r="NR760" s="770">
        <v>0</v>
      </c>
      <c r="NS760" s="770">
        <v>0</v>
      </c>
      <c r="NT760" s="770">
        <v>0</v>
      </c>
      <c r="NU760" s="770">
        <v>0</v>
      </c>
      <c r="NV760" s="770">
        <v>0</v>
      </c>
      <c r="NW760" s="770">
        <v>0</v>
      </c>
      <c r="NX760" s="770">
        <v>0</v>
      </c>
      <c r="NY760" s="770" t="s">
        <v>1208</v>
      </c>
      <c r="NZ760" s="770"/>
      <c r="OA760" s="770"/>
      <c r="OB760" s="770"/>
      <c r="OC760" s="770" t="s">
        <v>1208</v>
      </c>
      <c r="OD760" s="770"/>
      <c r="OE760" s="770"/>
      <c r="OF760" s="770"/>
      <c r="OG760" s="770"/>
      <c r="OH760" s="770"/>
      <c r="OI760" s="770"/>
      <c r="OJ760" s="770"/>
      <c r="OK760" s="770"/>
      <c r="OL760" s="770"/>
      <c r="OM760" s="770"/>
      <c r="ON760" s="770"/>
      <c r="OO760" s="770"/>
      <c r="OP760" s="770"/>
      <c r="OQ760" s="770"/>
      <c r="OR760" s="770"/>
      <c r="OS760" s="770"/>
      <c r="OT760" s="770"/>
      <c r="OU760" s="770"/>
      <c r="OV760" s="770"/>
      <c r="OW760" s="770"/>
      <c r="OX760" s="770"/>
      <c r="OY760" s="770"/>
      <c r="OZ760" s="770"/>
      <c r="PA760" s="770"/>
      <c r="PB760" s="770"/>
      <c r="PC760" s="770"/>
      <c r="PD760" s="770"/>
      <c r="PE760" s="770"/>
      <c r="PF760" s="770"/>
      <c r="PG760" s="770"/>
      <c r="PH760" s="770"/>
      <c r="PI760" s="770"/>
      <c r="PJ760" s="770"/>
      <c r="PK760" s="770" t="s">
        <v>1208</v>
      </c>
      <c r="PL760" s="770"/>
      <c r="PM760" s="770"/>
      <c r="PN760" s="770"/>
      <c r="PO760" s="770"/>
      <c r="PP760" s="770"/>
      <c r="PQ760" s="770"/>
      <c r="PR760" s="770"/>
      <c r="PS760" s="770"/>
      <c r="PT760" s="770"/>
      <c r="PU760" s="770"/>
      <c r="PV760" s="770"/>
      <c r="PW760" s="770"/>
      <c r="PX760" s="770"/>
      <c r="PY760" s="770"/>
      <c r="PZ760" s="770"/>
      <c r="QA760" s="770"/>
      <c r="QB760" s="770"/>
      <c r="QC760" s="770"/>
      <c r="QD760" s="770"/>
      <c r="QE760" s="770"/>
      <c r="QF760" s="770"/>
      <c r="QG760" s="770"/>
      <c r="QH760" s="770"/>
      <c r="QI760" s="770"/>
      <c r="QJ760" s="770"/>
      <c r="QK760" s="770"/>
      <c r="QL760" s="770"/>
      <c r="QM760" s="770"/>
      <c r="QN760" s="770"/>
      <c r="QO760" s="770"/>
      <c r="QP760" s="770"/>
      <c r="QQ760" s="770"/>
      <c r="QR760" s="770"/>
      <c r="QS760" s="770"/>
      <c r="QT760" s="770"/>
      <c r="QU760" s="770"/>
      <c r="QV760" s="770"/>
      <c r="QW760" s="770"/>
      <c r="QX760" s="770"/>
      <c r="QY760" s="770"/>
      <c r="QZ760" s="770"/>
      <c r="RA760" s="770"/>
      <c r="RB760" s="770" t="s">
        <v>1207</v>
      </c>
      <c r="RC760" s="770">
        <v>2014</v>
      </c>
      <c r="RD760" s="770" t="s">
        <v>13046</v>
      </c>
      <c r="RE760" s="770" t="s">
        <v>12999</v>
      </c>
      <c r="RF760" s="304">
        <f>CONVERT(12,"in","m")</f>
        <v>0.30480000000000002</v>
      </c>
      <c r="RG760" s="770" t="s">
        <v>13047</v>
      </c>
      <c r="RH760" s="306">
        <v>1500</v>
      </c>
      <c r="RI760" s="770">
        <v>1</v>
      </c>
      <c r="RJ760" s="94" t="s">
        <v>13983</v>
      </c>
      <c r="RK760" s="770" t="s">
        <v>13550</v>
      </c>
      <c r="RL760" s="1710">
        <v>42849</v>
      </c>
      <c r="RM760" s="12"/>
      <c r="RN760" s="1711"/>
      <c r="RO760" s="149" t="s">
        <v>4952</v>
      </c>
      <c r="RP760" s="11"/>
      <c r="RQ760" s="11"/>
      <c r="RR760" s="19" t="s">
        <v>7421</v>
      </c>
      <c r="RS760" s="1139" t="s">
        <v>12980</v>
      </c>
      <c r="RT760" s="11"/>
      <c r="RU760" s="11"/>
      <c r="RV760" s="771" t="s">
        <v>7419</v>
      </c>
      <c r="RW760" s="11" t="s">
        <v>7460</v>
      </c>
      <c r="RX760" s="11" t="s">
        <v>4801</v>
      </c>
      <c r="RY760" s="11"/>
      <c r="RZ760" s="11" t="s">
        <v>1101</v>
      </c>
      <c r="SA760" s="771"/>
      <c r="SB760" s="11"/>
      <c r="SC760" s="11"/>
    </row>
    <row r="761" spans="1:497" ht="12.75" customHeight="1">
      <c r="A761" s="19" t="s">
        <v>7421</v>
      </c>
      <c r="B761" s="809" t="s">
        <v>8051</v>
      </c>
      <c r="C761" s="149" t="s">
        <v>4960</v>
      </c>
      <c r="D761" s="94" t="s">
        <v>5814</v>
      </c>
      <c r="E761" s="766" t="s">
        <v>4954</v>
      </c>
      <c r="F761" s="770" t="s">
        <v>28</v>
      </c>
      <c r="G761" s="770" t="s">
        <v>10</v>
      </c>
      <c r="H761" s="12"/>
      <c r="I761" s="295" t="s">
        <v>4962</v>
      </c>
      <c r="J761" s="94" t="s">
        <v>5812</v>
      </c>
      <c r="K761" s="766" t="s">
        <v>4964</v>
      </c>
      <c r="L761" s="766" t="s">
        <v>3947</v>
      </c>
      <c r="M761" s="770" t="s">
        <v>1238</v>
      </c>
      <c r="N761" s="1757"/>
      <c r="O761" s="1757" t="s">
        <v>4830</v>
      </c>
      <c r="P761" s="94" t="s">
        <v>5813</v>
      </c>
      <c r="Q761" s="1088">
        <v>20825</v>
      </c>
      <c r="R761" s="297">
        <v>60</v>
      </c>
      <c r="S761" s="770" t="s">
        <v>10</v>
      </c>
      <c r="T761" s="770"/>
      <c r="U761" s="295" t="s">
        <v>4962</v>
      </c>
      <c r="V761" s="770" t="s">
        <v>707</v>
      </c>
      <c r="W761" s="770"/>
      <c r="X761" s="770"/>
      <c r="Y761" s="770" t="s">
        <v>4954</v>
      </c>
      <c r="Z761" s="770" t="s">
        <v>708</v>
      </c>
      <c r="AA761" s="12" t="s">
        <v>709</v>
      </c>
      <c r="AB761" s="770" t="s">
        <v>710</v>
      </c>
      <c r="AC761" s="770" t="s">
        <v>724</v>
      </c>
      <c r="AD761" s="770" t="s">
        <v>1019</v>
      </c>
      <c r="AE761" s="770"/>
      <c r="AF761" s="770" t="s">
        <v>712</v>
      </c>
      <c r="AG761" s="766" t="s">
        <v>1095</v>
      </c>
      <c r="AH761" s="766" t="s">
        <v>1096</v>
      </c>
      <c r="AI761" s="770" t="s">
        <v>4957</v>
      </c>
      <c r="AJ761" s="770"/>
      <c r="AK761" s="770" t="s">
        <v>1101</v>
      </c>
      <c r="AL761" s="531">
        <v>14.4</v>
      </c>
      <c r="AM761" s="780">
        <v>7.68</v>
      </c>
      <c r="AN761" s="532">
        <f t="shared" si="232"/>
        <v>0.53333333333333333</v>
      </c>
      <c r="AO761" s="766" t="s">
        <v>1105</v>
      </c>
      <c r="AP761" s="766"/>
      <c r="AQ761" s="766" t="s">
        <v>1208</v>
      </c>
      <c r="AR761" s="766"/>
      <c r="AS761" s="409"/>
      <c r="AT761" s="770"/>
      <c r="AU761" s="770"/>
      <c r="AV761" s="770"/>
      <c r="AW761" s="770"/>
      <c r="AX761" s="770"/>
      <c r="AY761" s="770"/>
      <c r="AZ761" s="770"/>
      <c r="BA761" s="770"/>
      <c r="BB761" s="770"/>
      <c r="BC761" s="770"/>
      <c r="BD761" s="770"/>
      <c r="BE761" s="770"/>
      <c r="BF761" s="302"/>
      <c r="BG761" s="302"/>
      <c r="BH761" s="770"/>
      <c r="BI761" s="770"/>
      <c r="BJ761" s="770"/>
      <c r="BK761" s="766" t="s">
        <v>1095</v>
      </c>
      <c r="BL761" s="766" t="s">
        <v>4966</v>
      </c>
      <c r="BM761" s="766" t="s">
        <v>1096</v>
      </c>
      <c r="BN761" s="766" t="s">
        <v>1305</v>
      </c>
      <c r="BO761" s="766" t="s">
        <v>1239</v>
      </c>
      <c r="BP761" s="1109">
        <v>28.8</v>
      </c>
      <c r="BQ761" s="773">
        <v>15.36</v>
      </c>
      <c r="BR761" s="774">
        <f t="shared" si="234"/>
        <v>0.53333333333333333</v>
      </c>
      <c r="BS761" s="766" t="s">
        <v>1105</v>
      </c>
      <c r="BT761" s="766" t="s">
        <v>8133</v>
      </c>
      <c r="BU761" s="770" t="s">
        <v>1249</v>
      </c>
      <c r="BV761" s="770" t="s">
        <v>1247</v>
      </c>
      <c r="BW761" s="770">
        <v>2006</v>
      </c>
      <c r="BX761" s="302"/>
      <c r="BY761" s="770" t="s">
        <v>1207</v>
      </c>
      <c r="BZ761" s="302" t="s">
        <v>2769</v>
      </c>
      <c r="CA761" s="770"/>
      <c r="CB761" s="770" t="s">
        <v>1207</v>
      </c>
      <c r="CC761" s="770"/>
      <c r="CD761" s="770"/>
      <c r="CE761" s="302"/>
      <c r="CF761" s="304"/>
      <c r="CG761" s="321"/>
      <c r="CH761" s="770"/>
      <c r="CI761" s="770"/>
      <c r="CJ761" s="770"/>
      <c r="CK761" s="770"/>
      <c r="CL761" s="770"/>
      <c r="CM761" s="770"/>
      <c r="CN761" s="770"/>
      <c r="CO761" s="770"/>
      <c r="CP761" s="770"/>
      <c r="CQ761" s="770"/>
      <c r="CR761" s="302"/>
      <c r="CS761" s="770"/>
      <c r="CT761" s="770"/>
      <c r="CU761" s="305"/>
      <c r="CV761" s="770"/>
      <c r="CW761" s="770"/>
      <c r="CX761" s="770"/>
      <c r="CY761" s="770"/>
      <c r="CZ761" s="770"/>
      <c r="DA761" s="306"/>
      <c r="DB761" s="770"/>
      <c r="DC761" s="770"/>
      <c r="DD761" s="770"/>
      <c r="DE761" s="300"/>
      <c r="DF761" s="770"/>
      <c r="DG761" s="770"/>
      <c r="DH761" s="770"/>
      <c r="DI761" s="770"/>
      <c r="DJ761" s="770"/>
      <c r="DK761" s="770"/>
      <c r="DL761" s="770"/>
      <c r="DM761" s="770"/>
      <c r="DN761" s="322"/>
      <c r="DO761" s="770"/>
      <c r="DP761" s="770"/>
      <c r="DQ761" s="770"/>
      <c r="DR761" s="770"/>
      <c r="DS761" s="307"/>
      <c r="DT761" s="770"/>
      <c r="DU761" s="770"/>
      <c r="DV761" s="770"/>
      <c r="DW761" s="306"/>
      <c r="DX761" s="306"/>
      <c r="DY761" s="1055"/>
      <c r="DZ761" s="770"/>
      <c r="EA761" s="770"/>
      <c r="EB761" s="770"/>
      <c r="EC761" s="770"/>
      <c r="ED761" s="770"/>
      <c r="EE761" s="770"/>
      <c r="EF761" s="770"/>
      <c r="EG761" s="770"/>
      <c r="EH761" s="770"/>
      <c r="EI761" s="770"/>
      <c r="EJ761" s="770"/>
      <c r="EK761" s="770"/>
      <c r="EL761" s="770"/>
      <c r="EM761" s="770"/>
      <c r="EN761" s="770"/>
      <c r="EO761" s="770"/>
      <c r="EP761" s="94"/>
      <c r="EQ761" s="770"/>
      <c r="ER761" s="770"/>
      <c r="ES761" s="770"/>
      <c r="ET761" s="770"/>
      <c r="EU761" s="770"/>
      <c r="EV761" s="770"/>
      <c r="EW761" s="770"/>
      <c r="EX761" s="770"/>
      <c r="EY761" s="770"/>
      <c r="EZ761" s="770" t="s">
        <v>4961</v>
      </c>
      <c r="FA761" s="770" t="s">
        <v>3099</v>
      </c>
      <c r="FB761" s="770" t="s">
        <v>1257</v>
      </c>
      <c r="FC761" s="770"/>
      <c r="FD761" s="302"/>
      <c r="FE761" s="770"/>
      <c r="FF761" s="770"/>
      <c r="FG761" s="770" t="s">
        <v>4967</v>
      </c>
      <c r="FH761" s="770" t="s">
        <v>478</v>
      </c>
      <c r="FI761" s="770">
        <v>1</v>
      </c>
      <c r="FJ761" s="770"/>
      <c r="FK761" s="770"/>
      <c r="FL761" s="770"/>
      <c r="FM761" s="302"/>
      <c r="FN761" s="302"/>
      <c r="FO761" s="302"/>
      <c r="FP761" s="766" t="s">
        <v>1602</v>
      </c>
      <c r="FQ761" s="766" t="s">
        <v>1660</v>
      </c>
      <c r="FR761" s="770" t="s">
        <v>1214</v>
      </c>
      <c r="FS761" s="770"/>
      <c r="FT761" s="770"/>
      <c r="FU761" s="770"/>
      <c r="FV761" s="770"/>
      <c r="FW761" s="770"/>
      <c r="FX761" s="770"/>
      <c r="FY761" s="770"/>
      <c r="FZ761" s="770"/>
      <c r="GA761" s="770"/>
      <c r="GB761" s="770" t="s">
        <v>2208</v>
      </c>
      <c r="GC761" s="308"/>
      <c r="GD761" s="297">
        <v>2006</v>
      </c>
      <c r="GE761" s="770" t="s">
        <v>1214</v>
      </c>
      <c r="GF761" s="302"/>
      <c r="GG761" s="302"/>
      <c r="GH761" s="712" t="s">
        <v>1791</v>
      </c>
      <c r="GI761" s="770" t="s">
        <v>2352</v>
      </c>
      <c r="GJ761" s="770" t="s">
        <v>3209</v>
      </c>
      <c r="GK761" s="770" t="s">
        <v>2345</v>
      </c>
      <c r="GL761" s="770"/>
      <c r="GM761" s="770"/>
      <c r="GN761" s="299">
        <f>5000/30</f>
        <v>166.66666666666666</v>
      </c>
      <c r="GO761" s="770" t="s">
        <v>2770</v>
      </c>
      <c r="GP761" s="770"/>
      <c r="GQ761" s="770" t="s">
        <v>1208</v>
      </c>
      <c r="GR761" s="770" t="s">
        <v>1208</v>
      </c>
      <c r="GS761" s="770" t="s">
        <v>1208</v>
      </c>
      <c r="GT761" s="770" t="s">
        <v>1208</v>
      </c>
      <c r="GU761" s="770"/>
      <c r="GV761" s="770"/>
      <c r="GW761" s="770" t="s">
        <v>1207</v>
      </c>
      <c r="GX761" s="770"/>
      <c r="GY761" s="770" t="s">
        <v>1208</v>
      </c>
      <c r="GZ761" s="770"/>
      <c r="HA761" s="770" t="s">
        <v>1208</v>
      </c>
      <c r="HB761" s="770" t="s">
        <v>1208</v>
      </c>
      <c r="HC761" s="770" t="s">
        <v>1208</v>
      </c>
      <c r="HD761" s="770" t="s">
        <v>1208</v>
      </c>
      <c r="HE761" s="770" t="s">
        <v>1208</v>
      </c>
      <c r="HF761" s="770"/>
      <c r="HG761" s="770"/>
      <c r="HH761" s="770"/>
      <c r="HI761" s="770" t="s">
        <v>1214</v>
      </c>
      <c r="HJ761" s="770"/>
      <c r="HK761" s="770"/>
      <c r="HL761" s="770" t="s">
        <v>1214</v>
      </c>
      <c r="HM761" s="770"/>
      <c r="HN761" s="770"/>
      <c r="HO761" s="770"/>
      <c r="HP761" s="770"/>
      <c r="HQ761" s="770"/>
      <c r="HR761" s="770">
        <v>2</v>
      </c>
      <c r="HS761" s="770">
        <v>1</v>
      </c>
      <c r="HT761" s="770"/>
      <c r="HU761" s="770"/>
      <c r="HV761" s="770"/>
      <c r="HW761" s="770"/>
      <c r="HX761" s="770"/>
      <c r="HY761" s="770"/>
      <c r="HZ761" s="770"/>
      <c r="IA761" s="770"/>
      <c r="IB761" s="14" t="e">
        <f>IF(#REF!&gt;0,IF(#REF!&lt;=10000,"Y",""),"")</f>
        <v>#REF!</v>
      </c>
      <c r="IC761" s="770"/>
      <c r="ID761" s="770">
        <v>1</v>
      </c>
      <c r="IE761" s="770"/>
      <c r="IF761" s="770"/>
      <c r="IG761" s="770"/>
      <c r="IH761" s="770"/>
      <c r="II761" s="770"/>
      <c r="IJ761" s="770"/>
      <c r="IK761" s="770"/>
      <c r="IL761" s="770"/>
      <c r="IM761" s="770"/>
      <c r="IN761" s="770"/>
      <c r="IO761" s="296"/>
      <c r="IP761" s="770"/>
      <c r="IQ761" s="770"/>
      <c r="IR761" s="770"/>
      <c r="IS761" s="770"/>
      <c r="IT761" s="770"/>
      <c r="IU761" s="770"/>
      <c r="IV761" s="770"/>
      <c r="IW761" s="770"/>
      <c r="IX761" s="770"/>
      <c r="IY761" s="770"/>
      <c r="IZ761" s="770"/>
      <c r="JA761" s="770"/>
      <c r="JB761" s="770"/>
      <c r="JC761" s="770"/>
      <c r="JD761" s="302"/>
      <c r="JE761" s="770"/>
      <c r="JF761" s="770"/>
      <c r="JG761" s="770"/>
      <c r="JH761" s="307"/>
      <c r="JI761" s="307"/>
      <c r="JJ761" s="770">
        <v>5</v>
      </c>
      <c r="JK761" s="1139" t="s">
        <v>4961</v>
      </c>
      <c r="JL761" s="770">
        <v>1</v>
      </c>
      <c r="JM761" s="770"/>
      <c r="JN761" s="770">
        <v>4</v>
      </c>
      <c r="JO761" s="770"/>
      <c r="JP761" s="770"/>
      <c r="JQ761" s="770"/>
      <c r="JR761" s="770"/>
      <c r="JS761" s="770"/>
      <c r="JT761" s="766">
        <f t="shared" si="235"/>
        <v>5</v>
      </c>
      <c r="JU761" s="766">
        <f t="shared" si="235"/>
        <v>0</v>
      </c>
      <c r="JV761" s="712" t="str">
        <f t="shared" si="236"/>
        <v>ok</v>
      </c>
      <c r="JW761" s="712" t="str">
        <f t="shared" si="237"/>
        <v>ok</v>
      </c>
      <c r="JX761" s="770"/>
      <c r="JY761" s="770"/>
      <c r="JZ761" s="770">
        <v>1</v>
      </c>
      <c r="KA761" s="770"/>
      <c r="KB761" s="770">
        <v>3</v>
      </c>
      <c r="KC761" s="770"/>
      <c r="KD761" s="770"/>
      <c r="KE761" s="770"/>
      <c r="KF761" s="770">
        <v>1</v>
      </c>
      <c r="KG761" s="770"/>
      <c r="KH761" s="770"/>
      <c r="KI761" s="770"/>
      <c r="KJ761" s="770">
        <f t="shared" si="225"/>
        <v>5</v>
      </c>
      <c r="KK761" s="770">
        <f t="shared" si="225"/>
        <v>0</v>
      </c>
      <c r="KL761" s="712" t="str">
        <f t="shared" si="238"/>
        <v>ok</v>
      </c>
      <c r="KM761" s="712" t="str">
        <f t="shared" si="239"/>
        <v>ok</v>
      </c>
      <c r="KN761" s="770" t="s">
        <v>707</v>
      </c>
      <c r="KO761" s="770"/>
      <c r="KP761" s="770"/>
      <c r="KQ761" s="770"/>
      <c r="KR761" s="770"/>
      <c r="KS761" s="770"/>
      <c r="KT761" s="770"/>
      <c r="KU761" s="770"/>
      <c r="KV761" s="770"/>
      <c r="KW761" s="770"/>
      <c r="KX761" s="770">
        <v>2</v>
      </c>
      <c r="KY761" s="770"/>
      <c r="KZ761" s="770">
        <v>3</v>
      </c>
      <c r="LA761" s="770"/>
      <c r="LB761" s="770"/>
      <c r="LC761" s="770"/>
      <c r="LD761" s="770"/>
      <c r="LE761" s="770"/>
      <c r="LF761" s="770"/>
      <c r="LG761" s="770"/>
      <c r="LH761" s="770"/>
      <c r="LI761" s="770"/>
      <c r="LJ761" s="770"/>
      <c r="LK761" s="770"/>
      <c r="LL761" s="770"/>
      <c r="LM761" s="770"/>
      <c r="LN761" s="766">
        <f t="shared" si="230"/>
        <v>5</v>
      </c>
      <c r="LO761" s="766">
        <f t="shared" si="230"/>
        <v>0</v>
      </c>
      <c r="LP761" s="770">
        <v>1</v>
      </c>
      <c r="LQ761" s="770">
        <v>1</v>
      </c>
      <c r="LR761" s="770"/>
      <c r="LS761" s="770"/>
      <c r="LT761" s="712" t="str">
        <f t="shared" si="240"/>
        <v>OK</v>
      </c>
      <c r="LU761" s="770">
        <v>1</v>
      </c>
      <c r="LV761" s="770"/>
      <c r="LW761" s="770"/>
      <c r="LX761" s="769">
        <v>3</v>
      </c>
      <c r="LY761" s="766" t="str">
        <f t="shared" si="231"/>
        <v>within the PROVINCE</v>
      </c>
      <c r="LZ761" s="1709">
        <v>500</v>
      </c>
      <c r="MA761" s="1709"/>
      <c r="MB761" s="1709"/>
      <c r="MC761" s="1679">
        <f t="shared" si="229"/>
        <v>500</v>
      </c>
      <c r="MD761" s="1709">
        <v>4000</v>
      </c>
      <c r="ME761" s="1709"/>
      <c r="MF761" s="1709"/>
      <c r="MG761" s="1680">
        <f t="shared" si="241"/>
        <v>4000</v>
      </c>
      <c r="MH761" s="770" t="s">
        <v>3640</v>
      </c>
      <c r="MI761" s="302">
        <v>9000</v>
      </c>
      <c r="MJ761" s="302">
        <v>6200</v>
      </c>
      <c r="MK761" s="302">
        <v>1500</v>
      </c>
      <c r="ML761" s="302">
        <v>1000</v>
      </c>
      <c r="MM761" s="302">
        <v>500</v>
      </c>
      <c r="MN761" s="302"/>
      <c r="MO761" s="302">
        <v>250</v>
      </c>
      <c r="MP761" s="302">
        <v>350</v>
      </c>
      <c r="MQ761" s="302">
        <v>300</v>
      </c>
      <c r="MR761" s="302">
        <v>400</v>
      </c>
      <c r="MS761" s="302"/>
      <c r="MT761" s="302"/>
      <c r="MU761" s="302"/>
      <c r="MV761" s="302"/>
      <c r="MW761" s="302"/>
      <c r="MX761" s="302"/>
      <c r="MY761" s="1682">
        <f t="shared" si="217"/>
        <v>19500</v>
      </c>
      <c r="MZ761" s="770" t="s">
        <v>13395</v>
      </c>
      <c r="NA761" s="770" t="s">
        <v>13230</v>
      </c>
      <c r="NB761" s="770" t="s">
        <v>13092</v>
      </c>
      <c r="NC761" s="770" t="s">
        <v>13602</v>
      </c>
      <c r="ND761" s="770">
        <v>0</v>
      </c>
      <c r="NE761" s="770">
        <v>0</v>
      </c>
      <c r="NF761" s="770">
        <v>0</v>
      </c>
      <c r="NG761" s="770">
        <v>2</v>
      </c>
      <c r="NH761" s="770">
        <v>1</v>
      </c>
      <c r="NI761" s="770">
        <v>0</v>
      </c>
      <c r="NJ761" s="770">
        <v>0</v>
      </c>
      <c r="NK761" s="770">
        <v>0</v>
      </c>
      <c r="NL761" s="770">
        <v>1</v>
      </c>
      <c r="NM761" s="770">
        <v>0</v>
      </c>
      <c r="NN761" s="770">
        <v>0</v>
      </c>
      <c r="NO761" s="770">
        <v>0</v>
      </c>
      <c r="NP761" s="770">
        <v>0</v>
      </c>
      <c r="NQ761" s="770">
        <v>0</v>
      </c>
      <c r="NR761" s="770">
        <v>0</v>
      </c>
      <c r="NS761" s="770">
        <v>0</v>
      </c>
      <c r="NT761" s="770">
        <v>0</v>
      </c>
      <c r="NU761" s="770">
        <v>0</v>
      </c>
      <c r="NV761" s="770">
        <v>0</v>
      </c>
      <c r="NW761" s="770">
        <v>4</v>
      </c>
      <c r="NX761" s="770">
        <v>0</v>
      </c>
      <c r="NY761" s="770"/>
      <c r="NZ761" s="770"/>
      <c r="OA761" s="770"/>
      <c r="OB761" s="770"/>
      <c r="OC761" s="770"/>
      <c r="OD761" s="770"/>
      <c r="OE761" s="770"/>
      <c r="OF761" s="770"/>
      <c r="OG761" s="770"/>
      <c r="OH761" s="770"/>
      <c r="OI761" s="770"/>
      <c r="OJ761" s="770"/>
      <c r="OK761" s="770"/>
      <c r="OL761" s="770"/>
      <c r="OM761" s="770"/>
      <c r="ON761" s="770"/>
      <c r="OO761" s="770"/>
      <c r="OP761" s="770"/>
      <c r="OQ761" s="770"/>
      <c r="OR761" s="770"/>
      <c r="OS761" s="770"/>
      <c r="OT761" s="770"/>
      <c r="OU761" s="770"/>
      <c r="OV761" s="770"/>
      <c r="OW761" s="770"/>
      <c r="OX761" s="770"/>
      <c r="OY761" s="770"/>
      <c r="OZ761" s="770"/>
      <c r="PA761" s="770"/>
      <c r="PB761" s="770"/>
      <c r="PC761" s="770"/>
      <c r="PD761" s="770"/>
      <c r="PE761" s="770"/>
      <c r="PF761" s="770"/>
      <c r="PG761" s="770"/>
      <c r="PH761" s="770"/>
      <c r="PI761" s="770"/>
      <c r="PJ761" s="770"/>
      <c r="PK761" s="770" t="s">
        <v>1208</v>
      </c>
      <c r="PL761" s="770"/>
      <c r="PM761" s="770"/>
      <c r="PN761" s="770"/>
      <c r="PO761" s="770"/>
      <c r="PP761" s="770"/>
      <c r="PQ761" s="770"/>
      <c r="PR761" s="770"/>
      <c r="PS761" s="770" t="s">
        <v>1208</v>
      </c>
      <c r="PT761" s="770"/>
      <c r="PU761" s="770"/>
      <c r="PV761" s="770"/>
      <c r="PW761" s="770"/>
      <c r="PX761" s="770"/>
      <c r="PY761" s="770"/>
      <c r="PZ761" s="770"/>
      <c r="QA761" s="770"/>
      <c r="QB761" s="770"/>
      <c r="QC761" s="770"/>
      <c r="QD761" s="770"/>
      <c r="QE761" s="770"/>
      <c r="QF761" s="770"/>
      <c r="QG761" s="770"/>
      <c r="QH761" s="770"/>
      <c r="QI761" s="770"/>
      <c r="QJ761" s="770"/>
      <c r="QK761" s="770"/>
      <c r="QL761" s="770"/>
      <c r="QM761" s="770"/>
      <c r="QN761" s="770"/>
      <c r="QO761" s="770"/>
      <c r="QP761" s="770"/>
      <c r="QQ761" s="770"/>
      <c r="QR761" s="770"/>
      <c r="QS761" s="770"/>
      <c r="QT761" s="770"/>
      <c r="QU761" s="770"/>
      <c r="QV761" s="770"/>
      <c r="QW761" s="770"/>
      <c r="QX761" s="770"/>
      <c r="QY761" s="770"/>
      <c r="QZ761" s="770"/>
      <c r="RA761" s="770"/>
      <c r="RB761" s="770" t="s">
        <v>1207</v>
      </c>
      <c r="RC761" s="770">
        <v>2012</v>
      </c>
      <c r="RD761" s="770" t="s">
        <v>13036</v>
      </c>
      <c r="RE761" s="770" t="s">
        <v>12990</v>
      </c>
      <c r="RF761" s="304">
        <v>0.5</v>
      </c>
      <c r="RG761" s="770" t="s">
        <v>13047</v>
      </c>
      <c r="RH761" s="306">
        <v>1500</v>
      </c>
      <c r="RI761" s="770">
        <v>12</v>
      </c>
      <c r="RJ761" s="94" t="s">
        <v>4961</v>
      </c>
      <c r="RK761" s="770" t="s">
        <v>13556</v>
      </c>
      <c r="RL761" s="1710">
        <v>42849</v>
      </c>
      <c r="RM761" s="12"/>
      <c r="RN761" s="1711"/>
      <c r="RO761" s="149" t="s">
        <v>4960</v>
      </c>
      <c r="RP761" s="11"/>
      <c r="RQ761" s="11"/>
      <c r="RR761" s="19" t="s">
        <v>7421</v>
      </c>
      <c r="RS761" s="1139" t="s">
        <v>12980</v>
      </c>
      <c r="RT761" s="11"/>
      <c r="RU761" s="11"/>
      <c r="RV761" s="771" t="s">
        <v>7419</v>
      </c>
      <c r="RW761" s="11" t="s">
        <v>8052</v>
      </c>
      <c r="RX761" s="11" t="s">
        <v>4802</v>
      </c>
      <c r="RY761" s="11"/>
      <c r="RZ761" s="11" t="s">
        <v>1101</v>
      </c>
      <c r="SA761" s="771"/>
      <c r="SB761" s="11"/>
      <c r="SC761" s="11"/>
    </row>
    <row r="762" spans="1:497" ht="12.75" customHeight="1">
      <c r="A762" s="19" t="s">
        <v>7421</v>
      </c>
      <c r="B762" s="809" t="s">
        <v>8045</v>
      </c>
      <c r="C762" s="149" t="s">
        <v>3195</v>
      </c>
      <c r="D762" s="94" t="s">
        <v>4968</v>
      </c>
      <c r="E762" s="766" t="s">
        <v>4969</v>
      </c>
      <c r="F762" s="770" t="s">
        <v>28</v>
      </c>
      <c r="G762" s="770" t="s">
        <v>10</v>
      </c>
      <c r="H762" s="12"/>
      <c r="I762" s="295" t="s">
        <v>4970</v>
      </c>
      <c r="J762" s="94" t="s">
        <v>4968</v>
      </c>
      <c r="K762" s="766" t="s">
        <v>4964</v>
      </c>
      <c r="L762" s="766" t="s">
        <v>3947</v>
      </c>
      <c r="M762" s="770" t="s">
        <v>1238</v>
      </c>
      <c r="N762" s="1757"/>
      <c r="O762" s="1757" t="s">
        <v>4830</v>
      </c>
      <c r="P762" s="94" t="s">
        <v>4971</v>
      </c>
      <c r="Q762" s="1088">
        <v>21280</v>
      </c>
      <c r="R762" s="297">
        <v>59</v>
      </c>
      <c r="S762" s="770" t="s">
        <v>10</v>
      </c>
      <c r="T762" s="770"/>
      <c r="U762" s="295" t="s">
        <v>4970</v>
      </c>
      <c r="V762" s="770" t="s">
        <v>707</v>
      </c>
      <c r="W762" s="770"/>
      <c r="X762" s="770"/>
      <c r="Y762" s="770" t="s">
        <v>4969</v>
      </c>
      <c r="Z762" s="770" t="s">
        <v>708</v>
      </c>
      <c r="AA762" s="12" t="s">
        <v>748</v>
      </c>
      <c r="AB762" s="770" t="s">
        <v>710</v>
      </c>
      <c r="AC762" s="770" t="s">
        <v>724</v>
      </c>
      <c r="AD762" s="770" t="s">
        <v>711</v>
      </c>
      <c r="AE762" s="770"/>
      <c r="AF762" s="770" t="s">
        <v>712</v>
      </c>
      <c r="AG762" s="766" t="s">
        <v>1132</v>
      </c>
      <c r="AH762" s="766" t="s">
        <v>1096</v>
      </c>
      <c r="AI762" s="770"/>
      <c r="AJ762" s="770" t="s">
        <v>1137</v>
      </c>
      <c r="AK762" s="770" t="s">
        <v>1101</v>
      </c>
      <c r="AL762" s="531">
        <v>52.54</v>
      </c>
      <c r="AM762" s="780">
        <v>17.02</v>
      </c>
      <c r="AN762" s="532">
        <f t="shared" si="232"/>
        <v>0.323943661971831</v>
      </c>
      <c r="AO762" s="766" t="s">
        <v>1149</v>
      </c>
      <c r="AP762" s="766"/>
      <c r="AQ762" s="766"/>
      <c r="AR762" s="766"/>
      <c r="AS762" s="770"/>
      <c r="AT762" s="770"/>
      <c r="AU762" s="770"/>
      <c r="AV762" s="770"/>
      <c r="AW762" s="770"/>
      <c r="AX762" s="770"/>
      <c r="AY762" s="770"/>
      <c r="AZ762" s="770"/>
      <c r="BA762" s="770"/>
      <c r="BB762" s="770"/>
      <c r="BC762" s="770"/>
      <c r="BD762" s="770"/>
      <c r="BE762" s="770"/>
      <c r="BF762" s="302"/>
      <c r="BG762" s="302"/>
      <c r="BH762" s="770"/>
      <c r="BI762" s="770"/>
      <c r="BJ762" s="770"/>
      <c r="BK762" s="766" t="s">
        <v>1095</v>
      </c>
      <c r="BL762" s="766" t="s">
        <v>4992</v>
      </c>
      <c r="BM762" s="766" t="s">
        <v>1096</v>
      </c>
      <c r="BN762" s="766" t="s">
        <v>1230</v>
      </c>
      <c r="BO762" s="766" t="s">
        <v>1239</v>
      </c>
      <c r="BP762" s="1109">
        <v>105.8</v>
      </c>
      <c r="BQ762" s="773">
        <v>34.04</v>
      </c>
      <c r="BR762" s="774">
        <f t="shared" si="234"/>
        <v>0.32173913043478258</v>
      </c>
      <c r="BS762" s="766" t="s">
        <v>1149</v>
      </c>
      <c r="BT762" s="770" t="s">
        <v>8133</v>
      </c>
      <c r="BU762" s="770" t="s">
        <v>1249</v>
      </c>
      <c r="BV762" s="770" t="s">
        <v>1247</v>
      </c>
      <c r="BW762" s="770">
        <v>1970</v>
      </c>
      <c r="BX762" s="302"/>
      <c r="BY762" s="770"/>
      <c r="BZ762" s="302"/>
      <c r="CA762" s="770"/>
      <c r="CB762" s="770"/>
      <c r="CC762" s="770"/>
      <c r="CD762" s="770"/>
      <c r="CE762" s="302"/>
      <c r="CF762" s="304"/>
      <c r="CG762" s="321"/>
      <c r="CH762" s="770"/>
      <c r="CI762" s="770"/>
      <c r="CJ762" s="770"/>
      <c r="CK762" s="770"/>
      <c r="CL762" s="770"/>
      <c r="CM762" s="770"/>
      <c r="CN762" s="770"/>
      <c r="CO762" s="770"/>
      <c r="CP762" s="770"/>
      <c r="CQ762" s="770"/>
      <c r="CR762" s="302"/>
      <c r="CS762" s="770"/>
      <c r="CT762" s="770"/>
      <c r="CU762" s="305"/>
      <c r="CV762" s="770"/>
      <c r="CW762" s="770"/>
      <c r="CX762" s="770"/>
      <c r="CY762" s="770"/>
      <c r="CZ762" s="770"/>
      <c r="DA762" s="306"/>
      <c r="DB762" s="770"/>
      <c r="DC762" s="770"/>
      <c r="DD762" s="770"/>
      <c r="DE762" s="300"/>
      <c r="DF762" s="770"/>
      <c r="DG762" s="770"/>
      <c r="DH762" s="770"/>
      <c r="DI762" s="770"/>
      <c r="DJ762" s="770"/>
      <c r="DK762" s="770"/>
      <c r="DL762" s="770"/>
      <c r="DM762" s="770"/>
      <c r="DN762" s="322"/>
      <c r="DO762" s="770"/>
      <c r="DP762" s="770"/>
      <c r="DQ762" s="770"/>
      <c r="DR762" s="770"/>
      <c r="DS762" s="307"/>
      <c r="DT762" s="770"/>
      <c r="DU762" s="770"/>
      <c r="DV762" s="770"/>
      <c r="DW762" s="306"/>
      <c r="DX762" s="306"/>
      <c r="DY762" s="1055"/>
      <c r="DZ762" s="770"/>
      <c r="EA762" s="770"/>
      <c r="EB762" s="770"/>
      <c r="EC762" s="770"/>
      <c r="ED762" s="770"/>
      <c r="EE762" s="770"/>
      <c r="EF762" s="770"/>
      <c r="EG762" s="770"/>
      <c r="EH762" s="770"/>
      <c r="EI762" s="770"/>
      <c r="EJ762" s="770"/>
      <c r="EK762" s="770"/>
      <c r="EL762" s="770"/>
      <c r="EM762" s="770"/>
      <c r="EN762" s="770"/>
      <c r="EO762" s="770"/>
      <c r="EP762" s="94"/>
      <c r="EQ762" s="770"/>
      <c r="ER762" s="770"/>
      <c r="ES762" s="770"/>
      <c r="ET762" s="770"/>
      <c r="EU762" s="770"/>
      <c r="EV762" s="770"/>
      <c r="EW762" s="770"/>
      <c r="EX762" s="770"/>
      <c r="EY762" s="770"/>
      <c r="EZ762" s="770"/>
      <c r="FA762" s="770"/>
      <c r="FB762" s="770"/>
      <c r="FC762" s="770"/>
      <c r="FD762" s="302"/>
      <c r="FE762" s="770"/>
      <c r="FF762" s="770"/>
      <c r="FG762" s="770"/>
      <c r="FH762" s="770" t="s">
        <v>478</v>
      </c>
      <c r="FI762" s="770">
        <v>12</v>
      </c>
      <c r="FJ762" s="770" t="s">
        <v>4973</v>
      </c>
      <c r="FK762" s="770"/>
      <c r="FL762" s="770"/>
      <c r="FM762" s="302"/>
      <c r="FN762" s="302"/>
      <c r="FO762" s="302"/>
      <c r="FP762" s="766" t="s">
        <v>1602</v>
      </c>
      <c r="FQ762" s="766" t="s">
        <v>1660</v>
      </c>
      <c r="FR762" s="770" t="s">
        <v>1214</v>
      </c>
      <c r="FS762" s="770"/>
      <c r="FT762" s="770"/>
      <c r="FU762" s="770"/>
      <c r="FV762" s="770"/>
      <c r="FW762" s="770"/>
      <c r="FX762" s="770"/>
      <c r="FY762" s="770"/>
      <c r="FZ762" s="770"/>
      <c r="GA762" s="770"/>
      <c r="GB762" s="770"/>
      <c r="GC762" s="308"/>
      <c r="GD762" s="297"/>
      <c r="GE762" s="770" t="s">
        <v>1214</v>
      </c>
      <c r="GF762" s="302"/>
      <c r="GG762" s="302"/>
      <c r="GH762" s="712" t="s">
        <v>1791</v>
      </c>
      <c r="GI762" s="770" t="s">
        <v>2407</v>
      </c>
      <c r="GJ762" s="770" t="s">
        <v>1831</v>
      </c>
      <c r="GK762" s="770" t="s">
        <v>2407</v>
      </c>
      <c r="GL762" s="770"/>
      <c r="GM762" s="770"/>
      <c r="GN762" s="299">
        <v>180</v>
      </c>
      <c r="GO762" s="770" t="s">
        <v>2770</v>
      </c>
      <c r="GP762" s="770"/>
      <c r="GQ762" s="770" t="s">
        <v>1208</v>
      </c>
      <c r="GR762" s="770" t="s">
        <v>1208</v>
      </c>
      <c r="GS762" s="770" t="s">
        <v>1208</v>
      </c>
      <c r="GT762" s="770" t="s">
        <v>1208</v>
      </c>
      <c r="GU762" s="770"/>
      <c r="GV762" s="770"/>
      <c r="GW762" s="770" t="s">
        <v>1207</v>
      </c>
      <c r="GX762" s="770"/>
      <c r="GY762" s="770" t="s">
        <v>1208</v>
      </c>
      <c r="GZ762" s="770"/>
      <c r="HA762" s="770" t="s">
        <v>1208</v>
      </c>
      <c r="HB762" s="770" t="s">
        <v>1208</v>
      </c>
      <c r="HC762" s="770" t="s">
        <v>1208</v>
      </c>
      <c r="HD762" s="770" t="s">
        <v>1208</v>
      </c>
      <c r="HE762" s="770" t="s">
        <v>1208</v>
      </c>
      <c r="HF762" s="770"/>
      <c r="HG762" s="770"/>
      <c r="HH762" s="770"/>
      <c r="HI762" s="770" t="s">
        <v>1214</v>
      </c>
      <c r="HJ762" s="770"/>
      <c r="HK762" s="770"/>
      <c r="HL762" s="770" t="s">
        <v>1214</v>
      </c>
      <c r="HM762" s="770"/>
      <c r="HN762" s="770"/>
      <c r="HO762" s="770"/>
      <c r="HP762" s="770"/>
      <c r="HQ762" s="770"/>
      <c r="HR762" s="770">
        <v>1</v>
      </c>
      <c r="HS762" s="770">
        <v>3</v>
      </c>
      <c r="HT762" s="770"/>
      <c r="HU762" s="770"/>
      <c r="HV762" s="770"/>
      <c r="HW762" s="770"/>
      <c r="HX762" s="770"/>
      <c r="HY762" s="770"/>
      <c r="HZ762" s="770"/>
      <c r="IA762" s="770"/>
      <c r="IB762" s="14" t="e">
        <f>IF(#REF!&gt;0,IF(#REF!&lt;=10000,"Y",""),"")</f>
        <v>#REF!</v>
      </c>
      <c r="IC762" s="770"/>
      <c r="ID762" s="770">
        <v>1</v>
      </c>
      <c r="IE762" s="770">
        <v>1</v>
      </c>
      <c r="IF762" s="770"/>
      <c r="IG762" s="770"/>
      <c r="IH762" s="770"/>
      <c r="II762" s="770"/>
      <c r="IJ762" s="770"/>
      <c r="IK762" s="770"/>
      <c r="IL762" s="770"/>
      <c r="IM762" s="770"/>
      <c r="IN762" s="770"/>
      <c r="IO762" s="296"/>
      <c r="IP762" s="770"/>
      <c r="IQ762" s="770"/>
      <c r="IR762" s="770"/>
      <c r="IS762" s="770"/>
      <c r="IT762" s="770"/>
      <c r="IU762" s="770"/>
      <c r="IV762" s="770"/>
      <c r="IW762" s="770"/>
      <c r="IX762" s="770"/>
      <c r="IY762" s="770"/>
      <c r="IZ762" s="770"/>
      <c r="JA762" s="770"/>
      <c r="JB762" s="770"/>
      <c r="JC762" s="770"/>
      <c r="JD762" s="302"/>
      <c r="JE762" s="770"/>
      <c r="JF762" s="770"/>
      <c r="JG762" s="770"/>
      <c r="JH762" s="307"/>
      <c r="JI762" s="307"/>
      <c r="JJ762" s="770">
        <v>3</v>
      </c>
      <c r="JK762" s="1139" t="s">
        <v>4975</v>
      </c>
      <c r="JL762" s="770"/>
      <c r="JM762" s="770"/>
      <c r="JN762" s="770">
        <v>2</v>
      </c>
      <c r="JO762" s="770"/>
      <c r="JP762" s="770"/>
      <c r="JQ762" s="770">
        <v>1</v>
      </c>
      <c r="JR762" s="770"/>
      <c r="JS762" s="770"/>
      <c r="JT762" s="766">
        <f t="shared" si="235"/>
        <v>2</v>
      </c>
      <c r="JU762" s="766">
        <f t="shared" si="235"/>
        <v>1</v>
      </c>
      <c r="JV762" s="712" t="str">
        <f t="shared" si="236"/>
        <v>ok</v>
      </c>
      <c r="JW762" s="712" t="str">
        <f t="shared" si="237"/>
        <v>ok</v>
      </c>
      <c r="JX762" s="770"/>
      <c r="JY762" s="770"/>
      <c r="JZ762" s="770"/>
      <c r="KA762" s="770"/>
      <c r="KB762" s="770"/>
      <c r="KC762" s="770"/>
      <c r="KD762" s="770">
        <v>2</v>
      </c>
      <c r="KE762" s="770"/>
      <c r="KF762" s="770"/>
      <c r="KG762" s="770">
        <v>1</v>
      </c>
      <c r="KH762" s="770"/>
      <c r="KI762" s="770"/>
      <c r="KJ762" s="770">
        <f t="shared" si="225"/>
        <v>2</v>
      </c>
      <c r="KK762" s="770">
        <f t="shared" si="225"/>
        <v>1</v>
      </c>
      <c r="KL762" s="712" t="str">
        <f t="shared" si="238"/>
        <v>ok</v>
      </c>
      <c r="KM762" s="712" t="str">
        <f t="shared" si="239"/>
        <v>ok</v>
      </c>
      <c r="KN762" s="770" t="s">
        <v>707</v>
      </c>
      <c r="KO762" s="770"/>
      <c r="KP762" s="770"/>
      <c r="KQ762" s="770"/>
      <c r="KR762" s="770"/>
      <c r="KS762" s="770"/>
      <c r="KT762" s="770"/>
      <c r="KU762" s="770"/>
      <c r="KV762" s="770">
        <v>1</v>
      </c>
      <c r="KW762" s="770"/>
      <c r="KX762" s="770"/>
      <c r="KY762" s="770">
        <v>1</v>
      </c>
      <c r="KZ762" s="770">
        <v>1</v>
      </c>
      <c r="LA762" s="770"/>
      <c r="LB762" s="770"/>
      <c r="LC762" s="770"/>
      <c r="LD762" s="770"/>
      <c r="LE762" s="770"/>
      <c r="LF762" s="770"/>
      <c r="LG762" s="770"/>
      <c r="LH762" s="770"/>
      <c r="LI762" s="770"/>
      <c r="LJ762" s="770"/>
      <c r="LK762" s="770"/>
      <c r="LL762" s="770"/>
      <c r="LM762" s="770"/>
      <c r="LN762" s="766">
        <f t="shared" si="230"/>
        <v>2</v>
      </c>
      <c r="LO762" s="766">
        <f t="shared" si="230"/>
        <v>1</v>
      </c>
      <c r="LP762" s="770">
        <v>2</v>
      </c>
      <c r="LQ762" s="770">
        <v>1</v>
      </c>
      <c r="LR762" s="770"/>
      <c r="LS762" s="770">
        <v>1</v>
      </c>
      <c r="LT762" s="712" t="str">
        <f t="shared" si="240"/>
        <v>OK</v>
      </c>
      <c r="LU762" s="770"/>
      <c r="LV762" s="770">
        <v>1</v>
      </c>
      <c r="LW762" s="770"/>
      <c r="LX762" s="769">
        <v>3</v>
      </c>
      <c r="LY762" s="766" t="str">
        <f t="shared" si="231"/>
        <v>within the PROVINCE</v>
      </c>
      <c r="LZ762" s="1709">
        <v>1000</v>
      </c>
      <c r="MA762" s="1709"/>
      <c r="MB762" s="1709">
        <v>200</v>
      </c>
      <c r="MC762" s="1679">
        <f t="shared" si="229"/>
        <v>1200</v>
      </c>
      <c r="MD762" s="1709">
        <v>3500</v>
      </c>
      <c r="ME762" s="1709"/>
      <c r="MF762" s="1709">
        <v>3000</v>
      </c>
      <c r="MG762" s="1680">
        <f t="shared" si="241"/>
        <v>6500</v>
      </c>
      <c r="MH762" s="770" t="s">
        <v>2240</v>
      </c>
      <c r="MI762" s="302"/>
      <c r="MJ762" s="302">
        <v>6000</v>
      </c>
      <c r="MK762" s="302">
        <v>5000</v>
      </c>
      <c r="ML762" s="302">
        <v>300</v>
      </c>
      <c r="MM762" s="302">
        <v>3000</v>
      </c>
      <c r="MN762" s="302"/>
      <c r="MO762" s="302"/>
      <c r="MP762" s="302">
        <v>15000</v>
      </c>
      <c r="MQ762" s="302">
        <v>200</v>
      </c>
      <c r="MR762" s="302">
        <v>150</v>
      </c>
      <c r="MS762" s="302">
        <v>200</v>
      </c>
      <c r="MT762" s="302"/>
      <c r="MU762" s="302"/>
      <c r="MV762" s="302"/>
      <c r="MW762" s="302"/>
      <c r="MX762" s="302"/>
      <c r="MY762" s="1682">
        <f t="shared" si="217"/>
        <v>29850</v>
      </c>
      <c r="MZ762" s="770" t="s">
        <v>13395</v>
      </c>
      <c r="NA762" s="770" t="s">
        <v>13230</v>
      </c>
      <c r="NB762" s="770" t="s">
        <v>13092</v>
      </c>
      <c r="NC762" s="770" t="s">
        <v>13965</v>
      </c>
      <c r="ND762" s="770">
        <v>0</v>
      </c>
      <c r="NE762" s="770">
        <v>0</v>
      </c>
      <c r="NF762" s="770">
        <v>0</v>
      </c>
      <c r="NG762" s="770">
        <v>1</v>
      </c>
      <c r="NH762" s="770">
        <v>0</v>
      </c>
      <c r="NI762" s="770">
        <v>1</v>
      </c>
      <c r="NJ762" s="770">
        <v>0</v>
      </c>
      <c r="NK762" s="770">
        <v>0</v>
      </c>
      <c r="NL762" s="770">
        <v>0</v>
      </c>
      <c r="NM762" s="770">
        <v>0</v>
      </c>
      <c r="NN762" s="770">
        <v>0</v>
      </c>
      <c r="NO762" s="770">
        <v>0</v>
      </c>
      <c r="NP762" s="770">
        <v>0</v>
      </c>
      <c r="NQ762" s="770">
        <v>0</v>
      </c>
      <c r="NR762" s="770">
        <v>0</v>
      </c>
      <c r="NS762" s="770">
        <v>0</v>
      </c>
      <c r="NT762" s="770">
        <v>0</v>
      </c>
      <c r="NU762" s="770">
        <v>0</v>
      </c>
      <c r="NV762" s="770">
        <v>0</v>
      </c>
      <c r="NW762" s="770">
        <v>0</v>
      </c>
      <c r="NX762" s="770">
        <v>0</v>
      </c>
      <c r="NY762" s="770" t="s">
        <v>1208</v>
      </c>
      <c r="NZ762" s="770"/>
      <c r="OA762" s="770"/>
      <c r="OB762" s="770" t="s">
        <v>1208</v>
      </c>
      <c r="OC762" s="770" t="s">
        <v>1208</v>
      </c>
      <c r="OD762" s="770"/>
      <c r="OE762" s="770"/>
      <c r="OF762" s="770"/>
      <c r="OG762" s="770"/>
      <c r="OH762" s="770"/>
      <c r="OI762" s="770"/>
      <c r="OJ762" s="770"/>
      <c r="OK762" s="770"/>
      <c r="OL762" s="770"/>
      <c r="OM762" s="770"/>
      <c r="ON762" s="770"/>
      <c r="OO762" s="770"/>
      <c r="OP762" s="770"/>
      <c r="OQ762" s="770"/>
      <c r="OR762" s="770"/>
      <c r="OS762" s="770"/>
      <c r="OT762" s="770"/>
      <c r="OU762" s="770"/>
      <c r="OV762" s="770"/>
      <c r="OW762" s="770"/>
      <c r="OX762" s="770"/>
      <c r="OY762" s="770"/>
      <c r="OZ762" s="770"/>
      <c r="PA762" s="770"/>
      <c r="PB762" s="770"/>
      <c r="PC762" s="770"/>
      <c r="PD762" s="770"/>
      <c r="PE762" s="770"/>
      <c r="PF762" s="770"/>
      <c r="PG762" s="770"/>
      <c r="PH762" s="770"/>
      <c r="PI762" s="770"/>
      <c r="PJ762" s="770"/>
      <c r="PK762" s="770" t="s">
        <v>1208</v>
      </c>
      <c r="PL762" s="770"/>
      <c r="PM762" s="770"/>
      <c r="PN762" s="770"/>
      <c r="PO762" s="770"/>
      <c r="PP762" s="770"/>
      <c r="PQ762" s="770"/>
      <c r="PR762" s="770"/>
      <c r="PS762" s="770" t="s">
        <v>1208</v>
      </c>
      <c r="PT762" s="770"/>
      <c r="PU762" s="770"/>
      <c r="PV762" s="770"/>
      <c r="PW762" s="770"/>
      <c r="PX762" s="770"/>
      <c r="PY762" s="770"/>
      <c r="PZ762" s="770"/>
      <c r="QA762" s="770"/>
      <c r="QB762" s="770"/>
      <c r="QC762" s="770"/>
      <c r="QD762" s="770"/>
      <c r="QE762" s="770"/>
      <c r="QF762" s="770"/>
      <c r="QG762" s="770"/>
      <c r="QH762" s="770"/>
      <c r="QI762" s="770"/>
      <c r="QJ762" s="770"/>
      <c r="QK762" s="770"/>
      <c r="QL762" s="770"/>
      <c r="QM762" s="770"/>
      <c r="QN762" s="770"/>
      <c r="QO762" s="770"/>
      <c r="QP762" s="770"/>
      <c r="QQ762" s="770"/>
      <c r="QR762" s="770"/>
      <c r="QS762" s="770"/>
      <c r="QT762" s="770"/>
      <c r="QU762" s="770"/>
      <c r="QV762" s="770"/>
      <c r="QW762" s="770"/>
      <c r="QX762" s="770"/>
      <c r="QY762" s="770"/>
      <c r="QZ762" s="770"/>
      <c r="RA762" s="770"/>
      <c r="RB762" s="770" t="s">
        <v>1207</v>
      </c>
      <c r="RC762" s="770">
        <v>2014</v>
      </c>
      <c r="RD762" s="770" t="s">
        <v>13036</v>
      </c>
      <c r="RE762" s="770" t="s">
        <v>12999</v>
      </c>
      <c r="RF762" s="304">
        <v>1</v>
      </c>
      <c r="RG762" s="770" t="s">
        <v>13047</v>
      </c>
      <c r="RH762" s="306">
        <v>0</v>
      </c>
      <c r="RI762" s="770">
        <v>7</v>
      </c>
      <c r="RJ762" s="94" t="s">
        <v>4975</v>
      </c>
      <c r="RK762" s="770" t="s">
        <v>13556</v>
      </c>
      <c r="RL762" s="1710">
        <v>42849</v>
      </c>
      <c r="RM762" s="12"/>
      <c r="RN762" s="1711"/>
      <c r="RO762" s="149" t="s">
        <v>3195</v>
      </c>
      <c r="RP762" s="11"/>
      <c r="RQ762" s="11"/>
      <c r="RR762" s="19" t="s">
        <v>7421</v>
      </c>
      <c r="RS762" s="1139" t="s">
        <v>12980</v>
      </c>
      <c r="RT762" s="11"/>
      <c r="RU762" s="11"/>
      <c r="RV762" s="771" t="s">
        <v>7421</v>
      </c>
      <c r="RW762" s="11" t="s">
        <v>8050</v>
      </c>
      <c r="RX762" s="11" t="s">
        <v>4952</v>
      </c>
      <c r="RY762" s="11"/>
      <c r="RZ762" s="11" t="s">
        <v>1101</v>
      </c>
      <c r="SA762" s="771"/>
      <c r="SB762" s="11"/>
      <c r="SC762" s="11"/>
    </row>
    <row r="763" spans="1:497" ht="12.75" customHeight="1">
      <c r="A763" s="19" t="s">
        <v>14243</v>
      </c>
      <c r="B763" s="1093" t="s">
        <v>8046</v>
      </c>
      <c r="C763" s="149" t="s">
        <v>3195</v>
      </c>
      <c r="D763" s="94" t="s">
        <v>4984</v>
      </c>
      <c r="E763" s="766" t="s">
        <v>3196</v>
      </c>
      <c r="F763" s="770" t="s">
        <v>28</v>
      </c>
      <c r="G763" s="770" t="s">
        <v>10</v>
      </c>
      <c r="H763" s="12"/>
      <c r="I763" s="295" t="s">
        <v>3197</v>
      </c>
      <c r="J763" s="94" t="str">
        <f ca="1">IF(F763="Head",CELL("contents",D763))</f>
        <v>Francisco, Reneboy Magbanua</v>
      </c>
      <c r="K763" s="770"/>
      <c r="L763" s="770"/>
      <c r="M763" s="770"/>
      <c r="N763" s="1757"/>
      <c r="O763" s="1757"/>
      <c r="P763" s="94" t="s">
        <v>3198</v>
      </c>
      <c r="Q763" s="1088">
        <v>31185</v>
      </c>
      <c r="R763" s="297">
        <v>32</v>
      </c>
      <c r="S763" s="770" t="s">
        <v>10</v>
      </c>
      <c r="T763" s="770"/>
      <c r="U763" s="295" t="s">
        <v>3197</v>
      </c>
      <c r="V763" s="770" t="s">
        <v>768</v>
      </c>
      <c r="W763" s="770"/>
      <c r="X763" s="770"/>
      <c r="Y763" s="770" t="s">
        <v>3196</v>
      </c>
      <c r="Z763" s="770" t="s">
        <v>708</v>
      </c>
      <c r="AA763" s="770" t="s">
        <v>709</v>
      </c>
      <c r="AB763" s="770" t="s">
        <v>710</v>
      </c>
      <c r="AC763" s="770" t="s">
        <v>724</v>
      </c>
      <c r="AD763" s="770" t="s">
        <v>711</v>
      </c>
      <c r="AE763" s="770"/>
      <c r="AF763" s="770" t="s">
        <v>712</v>
      </c>
      <c r="AG763" s="766" t="s">
        <v>1132</v>
      </c>
      <c r="AH763" s="766" t="s">
        <v>1096</v>
      </c>
      <c r="AI763" s="770"/>
      <c r="AJ763" s="770" t="s">
        <v>1137</v>
      </c>
      <c r="AK763" s="770" t="s">
        <v>1101</v>
      </c>
      <c r="AL763" s="531">
        <v>52.54</v>
      </c>
      <c r="AM763" s="780">
        <v>17.02</v>
      </c>
      <c r="AN763" s="532">
        <f t="shared" si="232"/>
        <v>0.323943661971831</v>
      </c>
      <c r="AO763" s="766" t="s">
        <v>1149</v>
      </c>
      <c r="AP763" s="766"/>
      <c r="AQ763" s="766"/>
      <c r="AR763" s="766"/>
      <c r="AS763" s="770"/>
      <c r="AT763" s="770"/>
      <c r="AU763" s="770"/>
      <c r="AV763" s="770"/>
      <c r="AW763" s="770"/>
      <c r="AX763" s="770"/>
      <c r="AY763" s="770"/>
      <c r="AZ763" s="770"/>
      <c r="BA763" s="770"/>
      <c r="BB763" s="770"/>
      <c r="BC763" s="770"/>
      <c r="BD763" s="770"/>
      <c r="BE763" s="770"/>
      <c r="BF763" s="302"/>
      <c r="BG763" s="302"/>
      <c r="BH763" s="770"/>
      <c r="BI763" s="770"/>
      <c r="BJ763" s="770"/>
      <c r="BK763" s="766" t="s">
        <v>1095</v>
      </c>
      <c r="BL763" s="75" t="s">
        <v>3199</v>
      </c>
      <c r="BM763" s="766" t="s">
        <v>1096</v>
      </c>
      <c r="BN763" s="766" t="s">
        <v>1305</v>
      </c>
      <c r="BO763" s="766" t="s">
        <v>1239</v>
      </c>
      <c r="BP763" s="1109">
        <v>105.8</v>
      </c>
      <c r="BQ763" s="773">
        <v>34.04</v>
      </c>
      <c r="BR763" s="774">
        <f t="shared" si="234"/>
        <v>0.32173913043478258</v>
      </c>
      <c r="BS763" s="766" t="s">
        <v>1149</v>
      </c>
      <c r="BT763" s="766" t="s">
        <v>8134</v>
      </c>
      <c r="BU763" s="769"/>
      <c r="BV763" s="769"/>
      <c r="BW763" s="769"/>
      <c r="BX763" s="302"/>
      <c r="BY763" s="770"/>
      <c r="BZ763" s="302"/>
      <c r="CA763" s="770"/>
      <c r="CB763" s="770"/>
      <c r="CC763" s="770"/>
      <c r="CD763" s="770"/>
      <c r="CE763" s="302"/>
      <c r="CF763" s="304"/>
      <c r="CG763" s="321"/>
      <c r="CH763" s="770"/>
      <c r="CI763" s="770"/>
      <c r="CJ763" s="770"/>
      <c r="CK763" s="770"/>
      <c r="CL763" s="770"/>
      <c r="CM763" s="770"/>
      <c r="CN763" s="770"/>
      <c r="CO763" s="770"/>
      <c r="CP763" s="770"/>
      <c r="CQ763" s="770"/>
      <c r="CR763" s="302"/>
      <c r="CS763" s="770"/>
      <c r="CT763" s="770"/>
      <c r="CU763" s="305"/>
      <c r="CV763" s="770"/>
      <c r="CW763" s="770"/>
      <c r="CX763" s="770"/>
      <c r="CY763" s="770"/>
      <c r="CZ763" s="770"/>
      <c r="DA763" s="306"/>
      <c r="DB763" s="770"/>
      <c r="DC763" s="770"/>
      <c r="DD763" s="770"/>
      <c r="DE763" s="300"/>
      <c r="DF763" s="770"/>
      <c r="DG763" s="770"/>
      <c r="DH763" s="770"/>
      <c r="DI763" s="770"/>
      <c r="DJ763" s="770"/>
      <c r="DK763" s="770"/>
      <c r="DL763" s="770"/>
      <c r="DM763" s="770"/>
      <c r="DN763" s="322"/>
      <c r="DO763" s="770"/>
      <c r="DP763" s="770"/>
      <c r="DQ763" s="770"/>
      <c r="DR763" s="770"/>
      <c r="DS763" s="307"/>
      <c r="DT763" s="770"/>
      <c r="DU763" s="770"/>
      <c r="DV763" s="770"/>
      <c r="DW763" s="306"/>
      <c r="DX763" s="306"/>
      <c r="DY763" s="1055"/>
      <c r="DZ763" s="770"/>
      <c r="EA763" s="770"/>
      <c r="EB763" s="770"/>
      <c r="EC763" s="770"/>
      <c r="ED763" s="770"/>
      <c r="EE763" s="770"/>
      <c r="EF763" s="770"/>
      <c r="EG763" s="770"/>
      <c r="EH763" s="770"/>
      <c r="EI763" s="770"/>
      <c r="EJ763" s="770"/>
      <c r="EK763" s="770"/>
      <c r="EL763" s="770"/>
      <c r="EM763" s="770"/>
      <c r="EN763" s="770"/>
      <c r="EO763" s="770"/>
      <c r="EP763" s="94"/>
      <c r="EQ763" s="770"/>
      <c r="ER763" s="770"/>
      <c r="ES763" s="770"/>
      <c r="ET763" s="770"/>
      <c r="EU763" s="770"/>
      <c r="EV763" s="770"/>
      <c r="EW763" s="770"/>
      <c r="EX763" s="770"/>
      <c r="EY763" s="770"/>
      <c r="EZ763" s="770"/>
      <c r="FA763" s="770"/>
      <c r="FB763" s="770"/>
      <c r="FC763" s="770"/>
      <c r="FD763" s="302"/>
      <c r="FE763" s="770"/>
      <c r="FF763" s="770"/>
      <c r="FG763" s="770"/>
      <c r="FH763" s="770" t="s">
        <v>3230</v>
      </c>
      <c r="FI763" s="770"/>
      <c r="FJ763" s="308" t="s">
        <v>3199</v>
      </c>
      <c r="FK763" s="770"/>
      <c r="FL763" s="770"/>
      <c r="FM763" s="302"/>
      <c r="FN763" s="302"/>
      <c r="FO763" s="302"/>
      <c r="FP763" s="766" t="s">
        <v>1602</v>
      </c>
      <c r="FQ763" s="766" t="s">
        <v>1660</v>
      </c>
      <c r="FR763" s="770" t="s">
        <v>1207</v>
      </c>
      <c r="FS763" s="770" t="s">
        <v>1208</v>
      </c>
      <c r="FT763" s="770"/>
      <c r="FU763" s="770"/>
      <c r="FV763" s="770"/>
      <c r="FW763" s="770"/>
      <c r="FX763" s="770"/>
      <c r="FY763" s="770"/>
      <c r="FZ763" s="770"/>
      <c r="GA763" s="770"/>
      <c r="GB763" s="770" t="s">
        <v>853</v>
      </c>
      <c r="GC763" s="308" t="s">
        <v>3199</v>
      </c>
      <c r="GD763" s="297"/>
      <c r="GE763" s="770"/>
      <c r="GF763" s="302"/>
      <c r="GG763" s="302"/>
      <c r="GH763" s="712" t="s">
        <v>1791</v>
      </c>
      <c r="GI763" s="770" t="s">
        <v>2407</v>
      </c>
      <c r="GJ763" s="770"/>
      <c r="GK763" s="770" t="s">
        <v>2407</v>
      </c>
      <c r="GL763" s="770"/>
      <c r="GM763" s="770"/>
      <c r="GN763" s="299"/>
      <c r="GO763" s="770"/>
      <c r="GP763" s="770"/>
      <c r="GQ763" s="770"/>
      <c r="GR763" s="770"/>
      <c r="GS763" s="770"/>
      <c r="GT763" s="770" t="s">
        <v>1208</v>
      </c>
      <c r="GU763" s="770"/>
      <c r="GV763" s="770"/>
      <c r="GW763" s="770" t="s">
        <v>1207</v>
      </c>
      <c r="GX763" s="770"/>
      <c r="GY763" s="770" t="s">
        <v>1208</v>
      </c>
      <c r="GZ763" s="770" t="s">
        <v>1208</v>
      </c>
      <c r="HA763" s="770"/>
      <c r="HB763" s="770"/>
      <c r="HC763" s="770" t="s">
        <v>1208</v>
      </c>
      <c r="HD763" s="770" t="s">
        <v>1208</v>
      </c>
      <c r="HE763" s="770"/>
      <c r="HF763" s="770"/>
      <c r="HG763" s="770"/>
      <c r="HH763" s="770"/>
      <c r="HI763" s="770" t="s">
        <v>1214</v>
      </c>
      <c r="HJ763" s="770"/>
      <c r="HK763" s="770"/>
      <c r="HL763" s="770" t="s">
        <v>1214</v>
      </c>
      <c r="HM763" s="770"/>
      <c r="HN763" s="770"/>
      <c r="HO763" s="770"/>
      <c r="HP763" s="770"/>
      <c r="HQ763" s="770"/>
      <c r="HR763" s="770"/>
      <c r="HS763" s="770"/>
      <c r="HT763" s="770"/>
      <c r="HU763" s="770"/>
      <c r="HV763" s="770"/>
      <c r="HW763" s="770"/>
      <c r="HX763" s="770"/>
      <c r="HY763" s="770"/>
      <c r="HZ763" s="770"/>
      <c r="IA763" s="770"/>
      <c r="IB763" s="14" t="e">
        <f>IF(#REF!&gt;0,IF(#REF!&lt;=10000,"Y",""),"")</f>
        <v>#REF!</v>
      </c>
      <c r="IC763" s="770"/>
      <c r="ID763" s="770"/>
      <c r="IE763" s="770"/>
      <c r="IF763" s="770"/>
      <c r="IG763" s="770"/>
      <c r="IH763" s="770"/>
      <c r="II763" s="770"/>
      <c r="IJ763" s="770"/>
      <c r="IK763" s="770"/>
      <c r="IL763" s="770"/>
      <c r="IM763" s="770"/>
      <c r="IN763" s="770"/>
      <c r="IO763" s="296"/>
      <c r="IP763" s="770"/>
      <c r="IQ763" s="770"/>
      <c r="IR763" s="770"/>
      <c r="IS763" s="770"/>
      <c r="IT763" s="770"/>
      <c r="IU763" s="770"/>
      <c r="IV763" s="770"/>
      <c r="IW763" s="770"/>
      <c r="IX763" s="770"/>
      <c r="IY763" s="770"/>
      <c r="IZ763" s="770"/>
      <c r="JA763" s="770"/>
      <c r="JB763" s="770"/>
      <c r="JC763" s="770"/>
      <c r="JD763" s="302"/>
      <c r="JE763" s="770"/>
      <c r="JF763" s="770"/>
      <c r="JG763" s="770"/>
      <c r="JH763" s="307"/>
      <c r="JI763" s="712" t="str">
        <f>IF(SUM(JT763,JU763)=JJ763,"ok","review")</f>
        <v>ok</v>
      </c>
      <c r="JJ763" s="770">
        <v>2</v>
      </c>
      <c r="JK763" s="1139" t="s">
        <v>3200</v>
      </c>
      <c r="JL763" s="770"/>
      <c r="JM763" s="770"/>
      <c r="JN763" s="770">
        <v>1</v>
      </c>
      <c r="JO763" s="770">
        <v>1</v>
      </c>
      <c r="JP763" s="770"/>
      <c r="JQ763" s="770"/>
      <c r="JR763" s="770"/>
      <c r="JS763" s="770"/>
      <c r="JT763" s="766">
        <f t="shared" si="235"/>
        <v>1</v>
      </c>
      <c r="JU763" s="766">
        <f t="shared" si="235"/>
        <v>1</v>
      </c>
      <c r="JV763" s="712" t="str">
        <f t="shared" si="236"/>
        <v>ok</v>
      </c>
      <c r="JW763" s="712" t="str">
        <f t="shared" si="237"/>
        <v>ok</v>
      </c>
      <c r="JX763" s="770"/>
      <c r="JY763" s="770"/>
      <c r="JZ763" s="770"/>
      <c r="KA763" s="770"/>
      <c r="KB763" s="770"/>
      <c r="KC763" s="770"/>
      <c r="KD763" s="770">
        <v>1</v>
      </c>
      <c r="KE763" s="770">
        <v>1</v>
      </c>
      <c r="KF763" s="770"/>
      <c r="KG763" s="770"/>
      <c r="KH763" s="770"/>
      <c r="KI763" s="770"/>
      <c r="KJ763" s="770">
        <f t="shared" si="225"/>
        <v>1</v>
      </c>
      <c r="KK763" s="770">
        <f t="shared" si="225"/>
        <v>1</v>
      </c>
      <c r="KL763" s="712" t="str">
        <f t="shared" si="238"/>
        <v>ok</v>
      </c>
      <c r="KM763" s="712" t="str">
        <f t="shared" si="239"/>
        <v>ok</v>
      </c>
      <c r="KN763" s="770" t="s">
        <v>768</v>
      </c>
      <c r="KO763" s="770"/>
      <c r="KP763" s="770"/>
      <c r="KQ763" s="770"/>
      <c r="KR763" s="770"/>
      <c r="KS763" s="770"/>
      <c r="KT763" s="770"/>
      <c r="KU763" s="770"/>
      <c r="KV763" s="770"/>
      <c r="KW763" s="770"/>
      <c r="KX763" s="770">
        <v>1</v>
      </c>
      <c r="KY763" s="770">
        <v>1</v>
      </c>
      <c r="KZ763" s="770"/>
      <c r="LA763" s="770"/>
      <c r="LB763" s="770"/>
      <c r="LC763" s="770"/>
      <c r="LD763" s="770"/>
      <c r="LE763" s="770"/>
      <c r="LF763" s="770"/>
      <c r="LG763" s="770"/>
      <c r="LH763" s="770"/>
      <c r="LI763" s="770"/>
      <c r="LJ763" s="770"/>
      <c r="LK763" s="770"/>
      <c r="LL763" s="770"/>
      <c r="LM763" s="770"/>
      <c r="LN763" s="766">
        <f t="shared" si="230"/>
        <v>1</v>
      </c>
      <c r="LO763" s="766">
        <f t="shared" si="230"/>
        <v>1</v>
      </c>
      <c r="LP763" s="770">
        <v>1</v>
      </c>
      <c r="LQ763" s="770">
        <v>1</v>
      </c>
      <c r="LR763" s="770"/>
      <c r="LS763" s="770"/>
      <c r="LT763" s="712" t="str">
        <f t="shared" si="240"/>
        <v>OK</v>
      </c>
      <c r="LU763" s="770">
        <v>1</v>
      </c>
      <c r="LV763" s="770"/>
      <c r="LW763" s="770"/>
      <c r="LX763" s="769">
        <v>2</v>
      </c>
      <c r="LY763" s="766" t="str">
        <f t="shared" si="231"/>
        <v>within the MUNICIPALITY</v>
      </c>
      <c r="LZ763" s="1709">
        <v>480</v>
      </c>
      <c r="MA763" s="1709"/>
      <c r="MB763" s="1709"/>
      <c r="MC763" s="1679">
        <f t="shared" si="229"/>
        <v>480</v>
      </c>
      <c r="MD763" s="1709">
        <v>6000</v>
      </c>
      <c r="ME763" s="1709"/>
      <c r="MF763" s="1709"/>
      <c r="MG763" s="1680">
        <f t="shared" si="241"/>
        <v>6000</v>
      </c>
      <c r="MH763" s="770" t="s">
        <v>2223</v>
      </c>
      <c r="MI763" s="302">
        <v>3000</v>
      </c>
      <c r="MJ763" s="302">
        <v>480</v>
      </c>
      <c r="MK763" s="302">
        <f>410/12</f>
        <v>34.166666666666664</v>
      </c>
      <c r="ML763" s="302"/>
      <c r="MM763" s="302"/>
      <c r="MN763" s="302"/>
      <c r="MO763" s="302">
        <v>300</v>
      </c>
      <c r="MP763" s="302">
        <v>200</v>
      </c>
      <c r="MQ763" s="302">
        <v>4500</v>
      </c>
      <c r="MR763" s="302">
        <v>250</v>
      </c>
      <c r="MS763" s="302">
        <v>500</v>
      </c>
      <c r="MT763" s="302"/>
      <c r="MU763" s="302"/>
      <c r="MV763" s="302"/>
      <c r="MW763" s="302"/>
      <c r="MX763" s="302"/>
      <c r="MY763" s="1682">
        <f t="shared" si="217"/>
        <v>9264.1666666666661</v>
      </c>
      <c r="MZ763" s="770" t="s">
        <v>13395</v>
      </c>
      <c r="NA763" s="770" t="s">
        <v>13230</v>
      </c>
      <c r="NB763" s="770" t="s">
        <v>13016</v>
      </c>
      <c r="NC763" s="770" t="s">
        <v>13602</v>
      </c>
      <c r="ND763" s="770">
        <v>0</v>
      </c>
      <c r="NE763" s="770">
        <v>0</v>
      </c>
      <c r="NF763" s="770">
        <v>0</v>
      </c>
      <c r="NG763" s="770">
        <v>1</v>
      </c>
      <c r="NH763" s="770">
        <v>1</v>
      </c>
      <c r="NI763" s="770">
        <v>0</v>
      </c>
      <c r="NJ763" s="770">
        <v>1</v>
      </c>
      <c r="NK763" s="770">
        <v>0</v>
      </c>
      <c r="NL763" s="770">
        <v>0</v>
      </c>
      <c r="NM763" s="770">
        <v>0</v>
      </c>
      <c r="NN763" s="770">
        <v>0</v>
      </c>
      <c r="NO763" s="770">
        <v>0</v>
      </c>
      <c r="NP763" s="770">
        <v>0</v>
      </c>
      <c r="NQ763" s="770">
        <v>0</v>
      </c>
      <c r="NR763" s="770">
        <v>0</v>
      </c>
      <c r="NS763" s="770">
        <v>0</v>
      </c>
      <c r="NT763" s="770">
        <v>0</v>
      </c>
      <c r="NU763" s="770">
        <v>0</v>
      </c>
      <c r="NV763" s="770">
        <v>0</v>
      </c>
      <c r="NW763" s="770">
        <v>0</v>
      </c>
      <c r="NX763" s="770">
        <v>0</v>
      </c>
      <c r="NY763" s="770" t="s">
        <v>1208</v>
      </c>
      <c r="NZ763" s="770"/>
      <c r="OA763" s="770"/>
      <c r="OB763" s="770"/>
      <c r="OC763" s="770" t="s">
        <v>1208</v>
      </c>
      <c r="OD763" s="770"/>
      <c r="OE763" s="770"/>
      <c r="OF763" s="770"/>
      <c r="OG763" s="770"/>
      <c r="OH763" s="770"/>
      <c r="OI763" s="770"/>
      <c r="OJ763" s="770"/>
      <c r="OK763" s="770"/>
      <c r="OL763" s="770"/>
      <c r="OM763" s="770"/>
      <c r="ON763" s="770"/>
      <c r="OO763" s="770"/>
      <c r="OP763" s="770"/>
      <c r="OQ763" s="770"/>
      <c r="OR763" s="770"/>
      <c r="OS763" s="770"/>
      <c r="OT763" s="770"/>
      <c r="OU763" s="770"/>
      <c r="OV763" s="770"/>
      <c r="OW763" s="770"/>
      <c r="OX763" s="770"/>
      <c r="OY763" s="770"/>
      <c r="OZ763" s="770"/>
      <c r="PA763" s="770"/>
      <c r="PB763" s="770"/>
      <c r="PC763" s="770"/>
      <c r="PD763" s="770"/>
      <c r="PE763" s="770"/>
      <c r="PF763" s="770"/>
      <c r="PG763" s="770"/>
      <c r="PH763" s="770"/>
      <c r="PI763" s="770"/>
      <c r="PJ763" s="770"/>
      <c r="PK763" s="770"/>
      <c r="PL763" s="770"/>
      <c r="PM763" s="770"/>
      <c r="PN763" s="770"/>
      <c r="PO763" s="770"/>
      <c r="PP763" s="770"/>
      <c r="PQ763" s="770"/>
      <c r="PR763" s="770"/>
      <c r="PS763" s="770"/>
      <c r="PT763" s="770"/>
      <c r="PU763" s="770"/>
      <c r="PV763" s="770" t="s">
        <v>1208</v>
      </c>
      <c r="PW763" s="770"/>
      <c r="PX763" s="770"/>
      <c r="PY763" s="770"/>
      <c r="PZ763" s="770"/>
      <c r="QA763" s="770"/>
      <c r="QB763" s="770"/>
      <c r="QC763" s="770"/>
      <c r="QD763" s="770"/>
      <c r="QE763" s="770"/>
      <c r="QF763" s="770"/>
      <c r="QG763" s="770"/>
      <c r="QH763" s="770"/>
      <c r="QI763" s="770"/>
      <c r="QJ763" s="770"/>
      <c r="QK763" s="770"/>
      <c r="QL763" s="770"/>
      <c r="QM763" s="770"/>
      <c r="QN763" s="770"/>
      <c r="QO763" s="770"/>
      <c r="QP763" s="770"/>
      <c r="QQ763" s="770"/>
      <c r="QR763" s="770"/>
      <c r="QS763" s="770"/>
      <c r="QT763" s="770"/>
      <c r="QU763" s="770"/>
      <c r="QV763" s="770"/>
      <c r="QW763" s="770"/>
      <c r="QX763" s="770"/>
      <c r="QY763" s="770"/>
      <c r="QZ763" s="770"/>
      <c r="RA763" s="770"/>
      <c r="RB763" s="770" t="s">
        <v>1207</v>
      </c>
      <c r="RC763" s="770">
        <v>2015</v>
      </c>
      <c r="RD763" s="770" t="s">
        <v>13046</v>
      </c>
      <c r="RE763" s="770" t="s">
        <v>12999</v>
      </c>
      <c r="RF763" s="304">
        <v>1</v>
      </c>
      <c r="RG763" s="770" t="s">
        <v>13047</v>
      </c>
      <c r="RH763" s="306">
        <v>1000</v>
      </c>
      <c r="RI763" s="770">
        <v>3</v>
      </c>
      <c r="RJ763" s="94" t="s">
        <v>13984</v>
      </c>
      <c r="RK763" s="770" t="s">
        <v>13550</v>
      </c>
      <c r="RL763" s="1710">
        <v>42850</v>
      </c>
      <c r="RM763" s="12"/>
      <c r="RN763" s="1711"/>
      <c r="RO763" s="149" t="s">
        <v>3195</v>
      </c>
      <c r="RP763" s="11"/>
      <c r="RQ763" s="11"/>
      <c r="RR763" s="19" t="s">
        <v>7421</v>
      </c>
      <c r="RS763" s="1139" t="s">
        <v>12980</v>
      </c>
      <c r="RT763" s="11"/>
      <c r="RU763" s="11"/>
      <c r="RV763" s="771" t="s">
        <v>7421</v>
      </c>
      <c r="RW763" s="11" t="s">
        <v>8051</v>
      </c>
      <c r="RX763" s="11" t="s">
        <v>4960</v>
      </c>
      <c r="RY763" s="11"/>
      <c r="RZ763" s="11"/>
      <c r="SA763" s="771"/>
      <c r="SB763" s="11"/>
      <c r="SC763" s="11"/>
    </row>
    <row r="764" spans="1:497">
      <c r="A764" s="311" t="s">
        <v>14244</v>
      </c>
      <c r="B764" s="292" t="s">
        <v>7461</v>
      </c>
      <c r="C764" s="149" t="s">
        <v>3195</v>
      </c>
      <c r="D764" s="94" t="s">
        <v>3201</v>
      </c>
      <c r="E764" s="766" t="s">
        <v>3202</v>
      </c>
      <c r="F764" s="770" t="s">
        <v>28</v>
      </c>
      <c r="G764" s="770" t="s">
        <v>10</v>
      </c>
      <c r="H764" s="12"/>
      <c r="I764" s="295"/>
      <c r="J764" s="94" t="str">
        <f ca="1">IF(F764="Head",CELL("contents",D764))</f>
        <v>Manalang, Rogelio Reyes</v>
      </c>
      <c r="K764" s="770"/>
      <c r="L764" s="770"/>
      <c r="M764" s="770"/>
      <c r="N764" s="1757"/>
      <c r="O764" s="1757"/>
      <c r="P764" s="94" t="s">
        <v>3203</v>
      </c>
      <c r="Q764" s="1088">
        <v>21681</v>
      </c>
      <c r="R764" s="297">
        <v>54</v>
      </c>
      <c r="S764" s="770" t="s">
        <v>10</v>
      </c>
      <c r="T764" s="770"/>
      <c r="U764" s="298"/>
      <c r="V764" s="770" t="s">
        <v>707</v>
      </c>
      <c r="W764" s="770"/>
      <c r="X764" s="770"/>
      <c r="Y764" s="770" t="s">
        <v>3202</v>
      </c>
      <c r="Z764" s="770" t="s">
        <v>708</v>
      </c>
      <c r="AA764" s="770" t="s">
        <v>709</v>
      </c>
      <c r="AB764" s="770" t="s">
        <v>710</v>
      </c>
      <c r="AC764" s="770" t="s">
        <v>724</v>
      </c>
      <c r="AD764" s="770" t="s">
        <v>711</v>
      </c>
      <c r="AE764" s="770"/>
      <c r="AF764" s="770" t="s">
        <v>712</v>
      </c>
      <c r="AG764" s="770"/>
      <c r="AH764" s="770"/>
      <c r="AI764" s="770"/>
      <c r="AJ764" s="770"/>
      <c r="AK764" s="770" t="s">
        <v>1101</v>
      </c>
      <c r="AL764" s="531"/>
      <c r="AM764" s="780"/>
      <c r="AN764" s="532"/>
      <c r="AO764" s="766"/>
      <c r="AP764" s="766"/>
      <c r="AQ764" s="766"/>
      <c r="AR764" s="766"/>
      <c r="AS764" s="770"/>
      <c r="AT764" s="770"/>
      <c r="AU764" s="770"/>
      <c r="AV764" s="770"/>
      <c r="AW764" s="770"/>
      <c r="AX764" s="770"/>
      <c r="AY764" s="770"/>
      <c r="AZ764" s="770"/>
      <c r="BA764" s="770"/>
      <c r="BB764" s="770"/>
      <c r="BC764" s="770"/>
      <c r="BD764" s="770"/>
      <c r="BE764" s="770"/>
      <c r="BF764" s="302"/>
      <c r="BG764" s="302"/>
      <c r="BH764" s="770"/>
      <c r="BI764" s="770"/>
      <c r="BJ764" s="770"/>
      <c r="BK764" s="766"/>
      <c r="BL764" s="766"/>
      <c r="BM764" s="766" t="s">
        <v>1238</v>
      </c>
      <c r="BN764" s="766" t="s">
        <v>1256</v>
      </c>
      <c r="BO764" s="770"/>
      <c r="BP764" s="765"/>
      <c r="BQ764" s="773"/>
      <c r="BR764" s="774"/>
      <c r="BS764" s="766" t="s">
        <v>1149</v>
      </c>
      <c r="BT764" s="770"/>
      <c r="BU764" s="770"/>
      <c r="BV764" s="770"/>
      <c r="BW764" s="770"/>
      <c r="BX764" s="302"/>
      <c r="BY764" s="770"/>
      <c r="BZ764" s="302"/>
      <c r="CA764" s="770"/>
      <c r="CB764" s="770"/>
      <c r="CC764" s="770"/>
      <c r="CD764" s="770"/>
      <c r="CE764" s="302"/>
      <c r="CF764" s="304"/>
      <c r="CG764" s="321"/>
      <c r="CH764" s="770"/>
      <c r="CI764" s="770"/>
      <c r="CJ764" s="770"/>
      <c r="CK764" s="770"/>
      <c r="CL764" s="770"/>
      <c r="CM764" s="770"/>
      <c r="CN764" s="770"/>
      <c r="CO764" s="770"/>
      <c r="CP764" s="770"/>
      <c r="CQ764" s="770"/>
      <c r="CR764" s="302"/>
      <c r="CS764" s="770"/>
      <c r="CT764" s="770"/>
      <c r="CU764" s="305"/>
      <c r="CV764" s="770"/>
      <c r="CW764" s="770"/>
      <c r="CX764" s="770"/>
      <c r="CY764" s="770"/>
      <c r="CZ764" s="770"/>
      <c r="DA764" s="306"/>
      <c r="DB764" s="770"/>
      <c r="DC764" s="770"/>
      <c r="DD764" s="770"/>
      <c r="DE764" s="300"/>
      <c r="DF764" s="770"/>
      <c r="DG764" s="770"/>
      <c r="DH764" s="770"/>
      <c r="DI764" s="770"/>
      <c r="DJ764" s="770"/>
      <c r="DK764" s="770"/>
      <c r="DL764" s="770"/>
      <c r="DM764" s="770"/>
      <c r="DN764" s="322"/>
      <c r="DO764" s="770"/>
      <c r="DP764" s="770"/>
      <c r="DQ764" s="770"/>
      <c r="DR764" s="770"/>
      <c r="DS764" s="307"/>
      <c r="DT764" s="770"/>
      <c r="DU764" s="770"/>
      <c r="DV764" s="770"/>
      <c r="DW764" s="306"/>
      <c r="DX764" s="306"/>
      <c r="DY764" s="1055"/>
      <c r="DZ764" s="770"/>
      <c r="EA764" s="770"/>
      <c r="EB764" s="770"/>
      <c r="EC764" s="770"/>
      <c r="ED764" s="770"/>
      <c r="EE764" s="770"/>
      <c r="EF764" s="770"/>
      <c r="EG764" s="770"/>
      <c r="EH764" s="770"/>
      <c r="EI764" s="770"/>
      <c r="EJ764" s="770"/>
      <c r="EK764" s="770"/>
      <c r="EL764" s="770"/>
      <c r="EM764" s="770"/>
      <c r="EN764" s="770"/>
      <c r="EO764" s="770"/>
      <c r="EP764" s="94"/>
      <c r="EQ764" s="770"/>
      <c r="ER764" s="770"/>
      <c r="ES764" s="770"/>
      <c r="ET764" s="770"/>
      <c r="EU764" s="770"/>
      <c r="EV764" s="770"/>
      <c r="EW764" s="770"/>
      <c r="EX764" s="770"/>
      <c r="EY764" s="770"/>
      <c r="EZ764" s="770"/>
      <c r="FA764" s="770"/>
      <c r="FB764" s="770"/>
      <c r="FC764" s="770"/>
      <c r="FD764" s="302"/>
      <c r="FE764" s="770"/>
      <c r="FF764" s="770"/>
      <c r="FG764" s="770"/>
      <c r="FH764" s="770" t="s">
        <v>1306</v>
      </c>
      <c r="FI764" s="770">
        <v>1</v>
      </c>
      <c r="FJ764" s="770" t="s">
        <v>3204</v>
      </c>
      <c r="FK764" s="770"/>
      <c r="FL764" s="770"/>
      <c r="FM764" s="147">
        <v>500</v>
      </c>
      <c r="FN764" s="302">
        <v>0</v>
      </c>
      <c r="FO764" s="302">
        <v>100</v>
      </c>
      <c r="FP764" s="766" t="s">
        <v>1602</v>
      </c>
      <c r="FQ764" s="766" t="s">
        <v>1660</v>
      </c>
      <c r="FR764" s="770"/>
      <c r="FS764" s="770"/>
      <c r="FT764" s="770"/>
      <c r="FU764" s="770"/>
      <c r="FV764" s="770"/>
      <c r="FW764" s="770"/>
      <c r="FX764" s="770"/>
      <c r="FY764" s="770"/>
      <c r="FZ764" s="770"/>
      <c r="GA764" s="770"/>
      <c r="GB764" s="770"/>
      <c r="GC764" s="308"/>
      <c r="GD764" s="297"/>
      <c r="GE764" s="770"/>
      <c r="GF764" s="302"/>
      <c r="GG764" s="302"/>
      <c r="GH764" s="13"/>
      <c r="GI764" s="770"/>
      <c r="GJ764" s="770"/>
      <c r="GK764" s="770"/>
      <c r="GL764" s="770"/>
      <c r="GM764" s="770"/>
      <c r="GN764" s="299"/>
      <c r="GO764" s="770"/>
      <c r="GP764" s="770"/>
      <c r="GQ764" s="770"/>
      <c r="GR764" s="770"/>
      <c r="GS764" s="770"/>
      <c r="GT764" s="770"/>
      <c r="GU764" s="770"/>
      <c r="GV764" s="770"/>
      <c r="GW764" s="770"/>
      <c r="GX764" s="770"/>
      <c r="GY764" s="770"/>
      <c r="GZ764" s="770"/>
      <c r="HA764" s="770"/>
      <c r="HB764" s="770"/>
      <c r="HC764" s="770"/>
      <c r="HD764" s="770"/>
      <c r="HE764" s="770"/>
      <c r="HF764" s="770"/>
      <c r="HG764" s="770"/>
      <c r="HH764" s="770"/>
      <c r="HI764" s="770"/>
      <c r="HJ764" s="770"/>
      <c r="HK764" s="770"/>
      <c r="HL764" s="770"/>
      <c r="HM764" s="770"/>
      <c r="HN764" s="770"/>
      <c r="HO764" s="770"/>
      <c r="HP764" s="770"/>
      <c r="HQ764" s="770"/>
      <c r="HR764" s="770"/>
      <c r="HS764" s="770"/>
      <c r="HT764" s="770"/>
      <c r="HU764" s="770"/>
      <c r="HV764" s="770"/>
      <c r="HW764" s="770"/>
      <c r="HX764" s="770"/>
      <c r="HY764" s="770"/>
      <c r="HZ764" s="770"/>
      <c r="IA764" s="770"/>
      <c r="IB764" s="14" t="e">
        <f>IF(#REF!&gt;0,IF(#REF!&lt;=10000,"Y",""),"")</f>
        <v>#REF!</v>
      </c>
      <c r="IC764" s="770"/>
      <c r="ID764" s="770"/>
      <c r="IE764" s="770"/>
      <c r="IF764" s="770"/>
      <c r="IG764" s="770"/>
      <c r="IH764" s="770"/>
      <c r="II764" s="770"/>
      <c r="IJ764" s="770"/>
      <c r="IK764" s="770"/>
      <c r="IL764" s="770"/>
      <c r="IM764" s="770"/>
      <c r="IN764" s="770"/>
      <c r="IO764" s="296"/>
      <c r="IP764" s="770"/>
      <c r="IQ764" s="770"/>
      <c r="IR764" s="770"/>
      <c r="IS764" s="770"/>
      <c r="IT764" s="770"/>
      <c r="IU764" s="770"/>
      <c r="IV764" s="770"/>
      <c r="IW764" s="770"/>
      <c r="IX764" s="770"/>
      <c r="IY764" s="770"/>
      <c r="IZ764" s="770"/>
      <c r="JA764" s="770"/>
      <c r="JB764" s="770"/>
      <c r="JC764" s="770"/>
      <c r="JD764" s="302"/>
      <c r="JE764" s="770"/>
      <c r="JF764" s="770"/>
      <c r="JG764" s="770"/>
      <c r="JH764" s="307"/>
      <c r="JI764" s="712" t="str">
        <f>IF(SUM(JT764,JU764)=JJ764,"ok","review")</f>
        <v>ok</v>
      </c>
      <c r="JJ764" s="770">
        <v>1</v>
      </c>
      <c r="JK764" s="1139" t="s">
        <v>13985</v>
      </c>
      <c r="JL764" s="770"/>
      <c r="JM764" s="770"/>
      <c r="JN764" s="770">
        <v>1</v>
      </c>
      <c r="JO764" s="770"/>
      <c r="JP764" s="770"/>
      <c r="JQ764" s="770"/>
      <c r="JR764" s="770"/>
      <c r="JS764" s="770"/>
      <c r="JT764" s="766">
        <f t="shared" si="235"/>
        <v>1</v>
      </c>
      <c r="JU764" s="766">
        <f t="shared" si="235"/>
        <v>0</v>
      </c>
      <c r="JV764" s="712" t="str">
        <f t="shared" si="236"/>
        <v>ok</v>
      </c>
      <c r="JW764" s="712" t="str">
        <f t="shared" si="237"/>
        <v>ok</v>
      </c>
      <c r="JX764" s="770"/>
      <c r="JY764" s="770"/>
      <c r="JZ764" s="770"/>
      <c r="KA764" s="770"/>
      <c r="KB764" s="770"/>
      <c r="KC764" s="770"/>
      <c r="KD764" s="770">
        <v>1</v>
      </c>
      <c r="KE764" s="770"/>
      <c r="KF764" s="770"/>
      <c r="KG764" s="770"/>
      <c r="KH764" s="770"/>
      <c r="KI764" s="770"/>
      <c r="KJ764" s="770">
        <f t="shared" si="225"/>
        <v>1</v>
      </c>
      <c r="KK764" s="770">
        <f t="shared" si="225"/>
        <v>0</v>
      </c>
      <c r="KL764" s="712" t="str">
        <f t="shared" si="238"/>
        <v>ok</v>
      </c>
      <c r="KM764" s="712" t="str">
        <f t="shared" si="239"/>
        <v>ok</v>
      </c>
      <c r="KN764" s="770" t="s">
        <v>707</v>
      </c>
      <c r="KO764" s="770"/>
      <c r="KP764" s="770"/>
      <c r="KQ764" s="770"/>
      <c r="KR764" s="770"/>
      <c r="KS764" s="770"/>
      <c r="KT764" s="770"/>
      <c r="KU764" s="770"/>
      <c r="KV764" s="770"/>
      <c r="KW764" s="770"/>
      <c r="KX764" s="770"/>
      <c r="KY764" s="770"/>
      <c r="KZ764" s="770"/>
      <c r="LA764" s="770"/>
      <c r="LB764" s="770"/>
      <c r="LC764" s="770"/>
      <c r="LD764" s="770"/>
      <c r="LE764" s="770"/>
      <c r="LF764" s="770"/>
      <c r="LG764" s="770"/>
      <c r="LH764" s="770"/>
      <c r="LI764" s="770"/>
      <c r="LJ764" s="770"/>
      <c r="LK764" s="770"/>
      <c r="LL764" s="770">
        <v>1</v>
      </c>
      <c r="LM764" s="770"/>
      <c r="LN764" s="766">
        <f>SUM(KP764,KR764,KT764,KV764,KX764,KZ764,LB764,LD764,LF764,LH764,LJ764,LL764)</f>
        <v>1</v>
      </c>
      <c r="LO764" s="766">
        <f>SUM(KQ764,KS764,KU764,KW764,KY764,LA764,LC764,LE764,LG764,LI764,LK764,LM764)</f>
        <v>0</v>
      </c>
      <c r="LP764" s="770"/>
      <c r="LQ764" s="770"/>
      <c r="LR764" s="770"/>
      <c r="LS764" s="770"/>
      <c r="LT764" s="712" t="str">
        <f t="shared" si="240"/>
        <v>OK</v>
      </c>
      <c r="LU764" s="770"/>
      <c r="LV764" s="770"/>
      <c r="LW764" s="770"/>
      <c r="LX764" s="769"/>
      <c r="LY764" s="766" t="str">
        <f t="shared" si="231"/>
        <v/>
      </c>
      <c r="LZ764" s="1709"/>
      <c r="MA764" s="1709"/>
      <c r="MB764" s="1709"/>
      <c r="MC764" s="1679">
        <f t="shared" si="229"/>
        <v>0</v>
      </c>
      <c r="MD764" s="1709"/>
      <c r="ME764" s="1709"/>
      <c r="MF764" s="1709"/>
      <c r="MG764" s="1680">
        <v>0</v>
      </c>
      <c r="MH764" s="770"/>
      <c r="MI764" s="302"/>
      <c r="MJ764" s="302"/>
      <c r="MK764" s="302"/>
      <c r="ML764" s="302"/>
      <c r="MM764" s="302"/>
      <c r="MN764" s="302"/>
      <c r="MO764" s="302"/>
      <c r="MP764" s="302"/>
      <c r="MQ764" s="302"/>
      <c r="MR764" s="302"/>
      <c r="MS764" s="302"/>
      <c r="MT764" s="302"/>
      <c r="MU764" s="302"/>
      <c r="MV764" s="302"/>
      <c r="MW764" s="302"/>
      <c r="MX764" s="302"/>
      <c r="MY764" s="1682"/>
      <c r="MZ764" s="770"/>
      <c r="NA764" s="770"/>
      <c r="NB764" s="770"/>
      <c r="NC764" s="770"/>
      <c r="ND764" s="770"/>
      <c r="NE764" s="770"/>
      <c r="NF764" s="770"/>
      <c r="NG764" s="770"/>
      <c r="NH764" s="770"/>
      <c r="NI764" s="770"/>
      <c r="NJ764" s="770"/>
      <c r="NK764" s="770"/>
      <c r="NL764" s="770"/>
      <c r="NM764" s="770"/>
      <c r="NN764" s="770"/>
      <c r="NO764" s="770"/>
      <c r="NP764" s="770"/>
      <c r="NQ764" s="770"/>
      <c r="NR764" s="770"/>
      <c r="NS764" s="770"/>
      <c r="NT764" s="770"/>
      <c r="NU764" s="770"/>
      <c r="NV764" s="770"/>
      <c r="NW764" s="770"/>
      <c r="NX764" s="770"/>
      <c r="NY764" s="770"/>
      <c r="NZ764" s="770"/>
      <c r="OA764" s="770"/>
      <c r="OB764" s="770"/>
      <c r="OC764" s="770"/>
      <c r="OD764" s="770"/>
      <c r="OE764" s="770"/>
      <c r="OF764" s="770" t="s">
        <v>13277</v>
      </c>
      <c r="OG764" s="770" t="s">
        <v>1208</v>
      </c>
      <c r="OH764" s="770" t="s">
        <v>13986</v>
      </c>
      <c r="OI764" s="770" t="s">
        <v>13319</v>
      </c>
      <c r="OJ764" s="770"/>
      <c r="OK764" s="770"/>
      <c r="OL764" s="770"/>
      <c r="OM764" s="770"/>
      <c r="ON764" s="770"/>
      <c r="OO764" s="770"/>
      <c r="OP764" s="770"/>
      <c r="OQ764" s="770"/>
      <c r="OR764" s="770"/>
      <c r="OS764" s="770"/>
      <c r="OT764" s="770"/>
      <c r="OU764" s="770"/>
      <c r="OV764" s="770"/>
      <c r="OW764" s="770"/>
      <c r="OX764" s="770"/>
      <c r="OY764" s="770"/>
      <c r="OZ764" s="770"/>
      <c r="PA764" s="770"/>
      <c r="PB764" s="770"/>
      <c r="PC764" s="770"/>
      <c r="PD764" s="770"/>
      <c r="PE764" s="770"/>
      <c r="PF764" s="770"/>
      <c r="PG764" s="770"/>
      <c r="PH764" s="770"/>
      <c r="PI764" s="770"/>
      <c r="PJ764" s="770"/>
      <c r="PK764" s="770"/>
      <c r="PL764" s="770"/>
      <c r="PM764" s="770"/>
      <c r="PN764" s="770"/>
      <c r="PO764" s="770"/>
      <c r="PP764" s="770"/>
      <c r="PQ764" s="770"/>
      <c r="PR764" s="770"/>
      <c r="PS764" s="770"/>
      <c r="PT764" s="770"/>
      <c r="PU764" s="770"/>
      <c r="PV764" s="770"/>
      <c r="PW764" s="770"/>
      <c r="PX764" s="770"/>
      <c r="PY764" s="770"/>
      <c r="PZ764" s="770"/>
      <c r="QA764" s="770"/>
      <c r="QB764" s="770"/>
      <c r="QC764" s="770"/>
      <c r="QD764" s="770"/>
      <c r="QE764" s="770"/>
      <c r="QF764" s="770"/>
      <c r="QG764" s="770"/>
      <c r="QH764" s="770"/>
      <c r="QI764" s="770"/>
      <c r="QJ764" s="770"/>
      <c r="QK764" s="770"/>
      <c r="QL764" s="770"/>
      <c r="QM764" s="770"/>
      <c r="QN764" s="770"/>
      <c r="QO764" s="770"/>
      <c r="QP764" s="770"/>
      <c r="QQ764" s="770"/>
      <c r="QR764" s="770"/>
      <c r="QS764" s="770"/>
      <c r="QT764" s="770"/>
      <c r="QU764" s="770"/>
      <c r="QV764" s="770"/>
      <c r="QW764" s="770"/>
      <c r="QX764" s="770"/>
      <c r="QY764" s="770"/>
      <c r="QZ764" s="770"/>
      <c r="RA764" s="770"/>
      <c r="RB764" s="770"/>
      <c r="RC764" s="770"/>
      <c r="RD764" s="770"/>
      <c r="RE764" s="770"/>
      <c r="RF764" s="304"/>
      <c r="RG764" s="770"/>
      <c r="RH764" s="306"/>
      <c r="RI764" s="770"/>
      <c r="RJ764" s="94" t="s">
        <v>13987</v>
      </c>
      <c r="RK764" s="770" t="s">
        <v>13550</v>
      </c>
      <c r="RL764" s="1710">
        <v>42849</v>
      </c>
      <c r="RM764" s="12"/>
      <c r="RN764" s="1711"/>
      <c r="RO764" s="149" t="s">
        <v>3195</v>
      </c>
      <c r="RP764" s="11"/>
      <c r="RQ764" s="11"/>
      <c r="RR764" s="311" t="s">
        <v>12452</v>
      </c>
      <c r="RS764" s="1139" t="s">
        <v>12980</v>
      </c>
      <c r="RT764" s="11"/>
      <c r="RU764" s="11"/>
      <c r="RV764" s="771" t="s">
        <v>7421</v>
      </c>
      <c r="RW764" s="11" t="s">
        <v>8045</v>
      </c>
      <c r="RX764" s="11" t="s">
        <v>3195</v>
      </c>
      <c r="RY764" s="11"/>
      <c r="RZ764" s="11"/>
      <c r="SA764" s="771"/>
      <c r="SB764" s="11"/>
      <c r="SC764" s="11"/>
    </row>
    <row r="765" spans="1:497" ht="12.75" customHeight="1">
      <c r="A765" s="311" t="s">
        <v>14245</v>
      </c>
      <c r="B765" s="292" t="s">
        <v>8046</v>
      </c>
      <c r="C765" s="149" t="s">
        <v>3195</v>
      </c>
      <c r="D765" s="94" t="s">
        <v>3205</v>
      </c>
      <c r="E765" s="766" t="s">
        <v>3206</v>
      </c>
      <c r="F765" s="770" t="s">
        <v>28</v>
      </c>
      <c r="G765" s="770" t="s">
        <v>18</v>
      </c>
      <c r="H765" s="12"/>
      <c r="I765" s="295" t="s">
        <v>3207</v>
      </c>
      <c r="J765" s="94" t="str">
        <f ca="1">IF(F765="Head",CELL("contents",D765))</f>
        <v>Jacinto, Evelyn Francisco</v>
      </c>
      <c r="K765" s="770"/>
      <c r="L765" s="770"/>
      <c r="M765" s="770"/>
      <c r="N765" s="1757"/>
      <c r="O765" s="1757"/>
      <c r="P765" s="94" t="s">
        <v>3208</v>
      </c>
      <c r="Q765" s="1088">
        <v>23475</v>
      </c>
      <c r="R765" s="297">
        <v>53</v>
      </c>
      <c r="S765" s="770" t="s">
        <v>18</v>
      </c>
      <c r="T765" s="770"/>
      <c r="U765" s="295" t="s">
        <v>3207</v>
      </c>
      <c r="V765" s="770" t="s">
        <v>707</v>
      </c>
      <c r="W765" s="770"/>
      <c r="X765" s="770"/>
      <c r="Y765" s="770" t="s">
        <v>3206</v>
      </c>
      <c r="Z765" s="770" t="s">
        <v>708</v>
      </c>
      <c r="AA765" s="770" t="s">
        <v>748</v>
      </c>
      <c r="AB765" s="770" t="s">
        <v>710</v>
      </c>
      <c r="AC765" s="770" t="s">
        <v>724</v>
      </c>
      <c r="AD765" s="770" t="s">
        <v>711</v>
      </c>
      <c r="AE765" s="770"/>
      <c r="AF765" s="770" t="s">
        <v>712</v>
      </c>
      <c r="AG765" s="770"/>
      <c r="AH765" s="770"/>
      <c r="AI765" s="770"/>
      <c r="AJ765" s="770"/>
      <c r="AK765" s="770" t="s">
        <v>1101</v>
      </c>
      <c r="AL765" s="531"/>
      <c r="AM765" s="780"/>
      <c r="AN765" s="532"/>
      <c r="AO765" s="766"/>
      <c r="AP765" s="766"/>
      <c r="AQ765" s="766"/>
      <c r="AR765" s="766"/>
      <c r="AS765" s="770"/>
      <c r="AT765" s="770"/>
      <c r="AU765" s="770"/>
      <c r="AV765" s="770"/>
      <c r="AW765" s="770"/>
      <c r="AX765" s="770"/>
      <c r="AY765" s="770"/>
      <c r="AZ765" s="770"/>
      <c r="BA765" s="770"/>
      <c r="BB765" s="770"/>
      <c r="BC765" s="770"/>
      <c r="BD765" s="770"/>
      <c r="BE765" s="770"/>
      <c r="BF765" s="302"/>
      <c r="BG765" s="302"/>
      <c r="BH765" s="770"/>
      <c r="BI765" s="770"/>
      <c r="BJ765" s="770"/>
      <c r="BK765" s="766"/>
      <c r="BL765" s="14"/>
      <c r="BM765" s="766" t="s">
        <v>1238</v>
      </c>
      <c r="BN765" s="766" t="s">
        <v>1305</v>
      </c>
      <c r="BO765" s="770"/>
      <c r="BP765" s="765"/>
      <c r="BQ765" s="773"/>
      <c r="BR765" s="774"/>
      <c r="BS765" s="766" t="s">
        <v>1149</v>
      </c>
      <c r="BT765" s="770"/>
      <c r="BU765" s="770"/>
      <c r="BV765" s="770"/>
      <c r="BW765" s="770"/>
      <c r="BX765" s="302"/>
      <c r="BY765" s="770"/>
      <c r="BZ765" s="302"/>
      <c r="CA765" s="770"/>
      <c r="CB765" s="770"/>
      <c r="CC765" s="770"/>
      <c r="CD765" s="770"/>
      <c r="CE765" s="302"/>
      <c r="CF765" s="304"/>
      <c r="CG765" s="321"/>
      <c r="CH765" s="770"/>
      <c r="CI765" s="770"/>
      <c r="CJ765" s="770"/>
      <c r="CK765" s="770"/>
      <c r="CL765" s="770"/>
      <c r="CM765" s="770"/>
      <c r="CN765" s="770"/>
      <c r="CO765" s="770"/>
      <c r="CP765" s="770"/>
      <c r="CQ765" s="770"/>
      <c r="CR765" s="302"/>
      <c r="CS765" s="770"/>
      <c r="CT765" s="770"/>
      <c r="CU765" s="305"/>
      <c r="CV765" s="770"/>
      <c r="CW765" s="770"/>
      <c r="CX765" s="770"/>
      <c r="CY765" s="770"/>
      <c r="CZ765" s="770"/>
      <c r="DA765" s="306"/>
      <c r="DB765" s="770"/>
      <c r="DC765" s="770"/>
      <c r="DD765" s="770"/>
      <c r="DE765" s="300"/>
      <c r="DF765" s="770"/>
      <c r="DG765" s="770"/>
      <c r="DH765" s="770"/>
      <c r="DI765" s="770"/>
      <c r="DJ765" s="770"/>
      <c r="DK765" s="770"/>
      <c r="DL765" s="770"/>
      <c r="DM765" s="770"/>
      <c r="DN765" s="322"/>
      <c r="DO765" s="770"/>
      <c r="DP765" s="770"/>
      <c r="DQ765" s="770"/>
      <c r="DR765" s="770"/>
      <c r="DS765" s="307"/>
      <c r="DT765" s="770"/>
      <c r="DU765" s="770"/>
      <c r="DV765" s="770"/>
      <c r="DW765" s="306"/>
      <c r="DX765" s="306"/>
      <c r="DY765" s="1055"/>
      <c r="DZ765" s="770"/>
      <c r="EA765" s="770"/>
      <c r="EB765" s="770"/>
      <c r="EC765" s="770"/>
      <c r="ED765" s="770"/>
      <c r="EE765" s="770"/>
      <c r="EF765" s="770"/>
      <c r="EG765" s="770"/>
      <c r="EH765" s="770"/>
      <c r="EI765" s="770"/>
      <c r="EJ765" s="770"/>
      <c r="EK765" s="770"/>
      <c r="EL765" s="770"/>
      <c r="EM765" s="770"/>
      <c r="EN765" s="770"/>
      <c r="EO765" s="770"/>
      <c r="EP765" s="94"/>
      <c r="EQ765" s="770"/>
      <c r="ER765" s="770"/>
      <c r="ES765" s="770"/>
      <c r="ET765" s="770"/>
      <c r="EU765" s="770"/>
      <c r="EV765" s="770"/>
      <c r="EW765" s="770"/>
      <c r="EX765" s="770"/>
      <c r="EY765" s="770"/>
      <c r="EZ765" s="770"/>
      <c r="FA765" s="770"/>
      <c r="FB765" s="770"/>
      <c r="FC765" s="770"/>
      <c r="FD765" s="302"/>
      <c r="FE765" s="770"/>
      <c r="FF765" s="770"/>
      <c r="FG765" s="770"/>
      <c r="FH765" s="770" t="s">
        <v>478</v>
      </c>
      <c r="FI765" s="770">
        <v>1</v>
      </c>
      <c r="FJ765" s="770"/>
      <c r="FK765" s="770"/>
      <c r="FL765" s="770"/>
      <c r="FM765" s="302"/>
      <c r="FN765" s="302"/>
      <c r="FO765" s="302"/>
      <c r="FP765" s="766" t="s">
        <v>1602</v>
      </c>
      <c r="FQ765" s="766" t="s">
        <v>1660</v>
      </c>
      <c r="FR765" s="770" t="s">
        <v>1214</v>
      </c>
      <c r="FS765" s="770"/>
      <c r="FT765" s="770"/>
      <c r="FU765" s="770"/>
      <c r="FV765" s="770"/>
      <c r="FW765" s="770"/>
      <c r="FX765" s="770"/>
      <c r="FY765" s="770"/>
      <c r="FZ765" s="770"/>
      <c r="GA765" s="770"/>
      <c r="GB765" s="770"/>
      <c r="GC765" s="308"/>
      <c r="GD765" s="297"/>
      <c r="GE765" s="770"/>
      <c r="GF765" s="302"/>
      <c r="GG765" s="302"/>
      <c r="GH765" s="770" t="s">
        <v>1791</v>
      </c>
      <c r="GI765" s="770" t="s">
        <v>2407</v>
      </c>
      <c r="GJ765" s="770" t="s">
        <v>3209</v>
      </c>
      <c r="GK765" s="770" t="s">
        <v>2407</v>
      </c>
      <c r="GL765" s="770"/>
      <c r="GM765" s="770"/>
      <c r="GN765" s="299">
        <v>1500</v>
      </c>
      <c r="GO765" s="770"/>
      <c r="GP765" s="770" t="s">
        <v>1208</v>
      </c>
      <c r="GQ765" s="770" t="s">
        <v>1208</v>
      </c>
      <c r="GR765" s="770" t="s">
        <v>1208</v>
      </c>
      <c r="GS765" s="770" t="s">
        <v>1208</v>
      </c>
      <c r="GT765" s="770" t="s">
        <v>1208</v>
      </c>
      <c r="GU765" s="770"/>
      <c r="GV765" s="770"/>
      <c r="GW765" s="770" t="s">
        <v>1207</v>
      </c>
      <c r="GX765" s="770"/>
      <c r="GY765" s="770"/>
      <c r="GZ765" s="770"/>
      <c r="HA765" s="770"/>
      <c r="HB765" s="770"/>
      <c r="HC765" s="770"/>
      <c r="HD765" s="770" t="s">
        <v>1208</v>
      </c>
      <c r="HE765" s="770"/>
      <c r="HF765" s="770"/>
      <c r="HG765" s="770"/>
      <c r="HH765" s="770"/>
      <c r="HI765" s="770" t="s">
        <v>1214</v>
      </c>
      <c r="HJ765" s="770"/>
      <c r="HK765" s="770"/>
      <c r="HL765" s="770" t="s">
        <v>1214</v>
      </c>
      <c r="HM765" s="770"/>
      <c r="HN765" s="770"/>
      <c r="HO765" s="770"/>
      <c r="HP765" s="770"/>
      <c r="HQ765" s="770"/>
      <c r="HR765" s="770"/>
      <c r="HS765" s="770"/>
      <c r="HT765" s="770"/>
      <c r="HU765" s="770"/>
      <c r="HV765" s="770"/>
      <c r="HW765" s="770"/>
      <c r="HX765" s="770"/>
      <c r="HY765" s="770"/>
      <c r="HZ765" s="770"/>
      <c r="IA765" s="770"/>
      <c r="IB765" s="14" t="e">
        <f>IF(#REF!&gt;0,IF(#REF!&lt;=10000,"Y",""),"")</f>
        <v>#REF!</v>
      </c>
      <c r="IC765" s="770" t="s">
        <v>1207</v>
      </c>
      <c r="ID765" s="770"/>
      <c r="IE765" s="770"/>
      <c r="IF765" s="770"/>
      <c r="IG765" s="770"/>
      <c r="IH765" s="770"/>
      <c r="II765" s="770"/>
      <c r="IJ765" s="770"/>
      <c r="IK765" s="770"/>
      <c r="IL765" s="770"/>
      <c r="IM765" s="770"/>
      <c r="IN765" s="770"/>
      <c r="IO765" s="296"/>
      <c r="IP765" s="770"/>
      <c r="IQ765" s="770"/>
      <c r="IR765" s="770"/>
      <c r="IS765" s="770"/>
      <c r="IT765" s="770"/>
      <c r="IU765" s="770"/>
      <c r="IV765" s="770"/>
      <c r="IW765" s="770"/>
      <c r="IX765" s="770"/>
      <c r="IY765" s="770"/>
      <c r="IZ765" s="770"/>
      <c r="JA765" s="770"/>
      <c r="JB765" s="770"/>
      <c r="JC765" s="770"/>
      <c r="JD765" s="302"/>
      <c r="JE765" s="770"/>
      <c r="JF765" s="770"/>
      <c r="JG765" s="770"/>
      <c r="JH765" s="307"/>
      <c r="JI765" s="307"/>
      <c r="JJ765" s="770">
        <v>4</v>
      </c>
      <c r="JK765" s="1139" t="s">
        <v>3210</v>
      </c>
      <c r="JL765" s="770"/>
      <c r="JM765" s="770"/>
      <c r="JN765" s="770">
        <v>3</v>
      </c>
      <c r="JO765" s="770">
        <v>1</v>
      </c>
      <c r="JP765" s="770"/>
      <c r="JQ765" s="770"/>
      <c r="JR765" s="770"/>
      <c r="JS765" s="770"/>
      <c r="JT765" s="766">
        <f t="shared" si="235"/>
        <v>3</v>
      </c>
      <c r="JU765" s="766">
        <f t="shared" si="235"/>
        <v>1</v>
      </c>
      <c r="JV765" s="712" t="str">
        <f t="shared" si="236"/>
        <v>ok</v>
      </c>
      <c r="JW765" s="712" t="str">
        <f t="shared" si="237"/>
        <v>ok</v>
      </c>
      <c r="JX765" s="770"/>
      <c r="JY765" s="770"/>
      <c r="JZ765" s="770"/>
      <c r="KA765" s="770"/>
      <c r="KB765" s="770">
        <v>2</v>
      </c>
      <c r="KC765" s="770"/>
      <c r="KD765" s="770">
        <v>1</v>
      </c>
      <c r="KE765" s="770">
        <v>1</v>
      </c>
      <c r="KF765" s="770"/>
      <c r="KG765" s="770"/>
      <c r="KH765" s="770"/>
      <c r="KI765" s="770"/>
      <c r="KJ765" s="770">
        <f t="shared" si="225"/>
        <v>3</v>
      </c>
      <c r="KK765" s="770">
        <f t="shared" si="225"/>
        <v>1</v>
      </c>
      <c r="KL765" s="712" t="str">
        <f t="shared" si="238"/>
        <v>ok</v>
      </c>
      <c r="KM765" s="712" t="str">
        <f t="shared" si="239"/>
        <v>ok</v>
      </c>
      <c r="KN765" s="770" t="s">
        <v>707</v>
      </c>
      <c r="KO765" s="770"/>
      <c r="KP765" s="770"/>
      <c r="KQ765" s="770"/>
      <c r="KR765" s="770"/>
      <c r="KS765" s="770"/>
      <c r="KT765" s="770"/>
      <c r="KU765" s="770"/>
      <c r="KV765" s="770"/>
      <c r="KW765" s="770"/>
      <c r="KX765" s="770"/>
      <c r="KY765" s="770"/>
      <c r="KZ765" s="770"/>
      <c r="LA765" s="770">
        <v>1</v>
      </c>
      <c r="LB765" s="770">
        <v>3</v>
      </c>
      <c r="LC765" s="770"/>
      <c r="LD765" s="770"/>
      <c r="LE765" s="770"/>
      <c r="LF765" s="770"/>
      <c r="LG765" s="770"/>
      <c r="LH765" s="770"/>
      <c r="LI765" s="770"/>
      <c r="LJ765" s="770"/>
      <c r="LK765" s="770"/>
      <c r="LL765" s="770"/>
      <c r="LM765" s="770"/>
      <c r="LN765" s="766">
        <f t="shared" si="230"/>
        <v>3</v>
      </c>
      <c r="LO765" s="766">
        <f t="shared" si="230"/>
        <v>1</v>
      </c>
      <c r="LP765" s="770">
        <v>1</v>
      </c>
      <c r="LQ765" s="770">
        <v>1</v>
      </c>
      <c r="LR765" s="770"/>
      <c r="LS765" s="770"/>
      <c r="LT765" s="712" t="str">
        <f t="shared" si="240"/>
        <v>OK</v>
      </c>
      <c r="LU765" s="770">
        <v>1</v>
      </c>
      <c r="LV765" s="770"/>
      <c r="LW765" s="770"/>
      <c r="LX765" s="769">
        <v>3</v>
      </c>
      <c r="LY765" s="766" t="str">
        <f t="shared" si="231"/>
        <v>within the PROVINCE</v>
      </c>
      <c r="LZ765" s="1709">
        <v>1500</v>
      </c>
      <c r="MA765" s="1709"/>
      <c r="MB765" s="1709"/>
      <c r="MC765" s="1679">
        <f t="shared" si="229"/>
        <v>1500</v>
      </c>
      <c r="MD765" s="1709">
        <v>12000</v>
      </c>
      <c r="ME765" s="1709"/>
      <c r="MF765" s="1709"/>
      <c r="MG765" s="1680">
        <f t="shared" si="241"/>
        <v>12000</v>
      </c>
      <c r="MH765" s="770" t="s">
        <v>2233</v>
      </c>
      <c r="MI765" s="302">
        <v>3000</v>
      </c>
      <c r="MJ765" s="302">
        <v>1500</v>
      </c>
      <c r="MK765" s="302">
        <v>500</v>
      </c>
      <c r="ML765" s="302">
        <v>500</v>
      </c>
      <c r="MM765" s="302"/>
      <c r="MN765" s="302"/>
      <c r="MO765" s="302">
        <v>300</v>
      </c>
      <c r="MP765" s="302">
        <v>350</v>
      </c>
      <c r="MQ765" s="302">
        <v>560</v>
      </c>
      <c r="MR765" s="302">
        <v>100</v>
      </c>
      <c r="MS765" s="302"/>
      <c r="MT765" s="302"/>
      <c r="MU765" s="302"/>
      <c r="MV765" s="302"/>
      <c r="MW765" s="302"/>
      <c r="MX765" s="302"/>
      <c r="MY765" s="1682">
        <f t="shared" si="217"/>
        <v>6810</v>
      </c>
      <c r="MZ765" s="770" t="s">
        <v>13395</v>
      </c>
      <c r="NA765" s="770" t="s">
        <v>13230</v>
      </c>
      <c r="NB765" s="770" t="s">
        <v>13016</v>
      </c>
      <c r="NC765" s="770" t="s">
        <v>13621</v>
      </c>
      <c r="ND765" s="770">
        <v>0</v>
      </c>
      <c r="NE765" s="770">
        <v>0</v>
      </c>
      <c r="NF765" s="770">
        <v>0</v>
      </c>
      <c r="NG765" s="770">
        <v>1</v>
      </c>
      <c r="NH765" s="770">
        <v>0</v>
      </c>
      <c r="NI765" s="770">
        <v>1</v>
      </c>
      <c r="NJ765" s="770">
        <v>0</v>
      </c>
      <c r="NK765" s="770">
        <v>0</v>
      </c>
      <c r="NL765" s="770">
        <v>0</v>
      </c>
      <c r="NM765" s="770">
        <v>0</v>
      </c>
      <c r="NN765" s="770">
        <v>0</v>
      </c>
      <c r="NO765" s="770">
        <v>0</v>
      </c>
      <c r="NP765" s="770">
        <v>0</v>
      </c>
      <c r="NQ765" s="770">
        <v>0</v>
      </c>
      <c r="NR765" s="770">
        <v>0</v>
      </c>
      <c r="NS765" s="770">
        <v>0</v>
      </c>
      <c r="NT765" s="770">
        <v>0</v>
      </c>
      <c r="NU765" s="770">
        <v>0</v>
      </c>
      <c r="NV765" s="770">
        <v>0</v>
      </c>
      <c r="NW765" s="770">
        <v>0</v>
      </c>
      <c r="NX765" s="770">
        <v>0</v>
      </c>
      <c r="NY765" s="770" t="s">
        <v>1208</v>
      </c>
      <c r="NZ765" s="770"/>
      <c r="OA765" s="770"/>
      <c r="OB765" s="770"/>
      <c r="OC765" s="770" t="s">
        <v>1208</v>
      </c>
      <c r="OD765" s="770" t="s">
        <v>1208</v>
      </c>
      <c r="OE765" s="770"/>
      <c r="OF765" s="770"/>
      <c r="OG765" s="770"/>
      <c r="OH765" s="770"/>
      <c r="OI765" s="770"/>
      <c r="OJ765" s="770"/>
      <c r="OK765" s="770" t="s">
        <v>1208</v>
      </c>
      <c r="OL765" s="770" t="s">
        <v>13988</v>
      </c>
      <c r="OM765" s="770"/>
      <c r="ON765" s="770"/>
      <c r="OO765" s="770" t="s">
        <v>1207</v>
      </c>
      <c r="OP765" s="770" t="s">
        <v>13927</v>
      </c>
      <c r="OQ765" s="770" t="s">
        <v>13532</v>
      </c>
      <c r="OR765" s="770"/>
      <c r="OS765" s="770" t="s">
        <v>13153</v>
      </c>
      <c r="OT765" s="770" t="s">
        <v>13387</v>
      </c>
      <c r="OU765" s="770"/>
      <c r="OV765" s="770"/>
      <c r="OW765" s="770"/>
      <c r="OX765" s="770"/>
      <c r="OY765" s="770"/>
      <c r="OZ765" s="770"/>
      <c r="PA765" s="770"/>
      <c r="PB765" s="770"/>
      <c r="PC765" s="770"/>
      <c r="PD765" s="770"/>
      <c r="PE765" s="770"/>
      <c r="PF765" s="770"/>
      <c r="PG765" s="770"/>
      <c r="PH765" s="770"/>
      <c r="PI765" s="770"/>
      <c r="PJ765" s="770"/>
      <c r="PK765" s="770"/>
      <c r="PL765" s="770"/>
      <c r="PM765" s="770"/>
      <c r="PN765" s="770"/>
      <c r="PO765" s="770"/>
      <c r="PP765" s="770"/>
      <c r="PQ765" s="770"/>
      <c r="PR765" s="770"/>
      <c r="PS765" s="770"/>
      <c r="PT765" s="770"/>
      <c r="PU765" s="770"/>
      <c r="PV765" s="770"/>
      <c r="PW765" s="770"/>
      <c r="PX765" s="770"/>
      <c r="PY765" s="770"/>
      <c r="PZ765" s="770"/>
      <c r="QA765" s="770"/>
      <c r="QB765" s="770"/>
      <c r="QC765" s="770"/>
      <c r="QD765" s="770"/>
      <c r="QE765" s="770"/>
      <c r="QF765" s="770"/>
      <c r="QG765" s="770"/>
      <c r="QH765" s="770"/>
      <c r="QI765" s="770"/>
      <c r="QJ765" s="770"/>
      <c r="QK765" s="770"/>
      <c r="QL765" s="770"/>
      <c r="QM765" s="770"/>
      <c r="QN765" s="770"/>
      <c r="QO765" s="770"/>
      <c r="QP765" s="770"/>
      <c r="QQ765" s="770"/>
      <c r="QR765" s="770"/>
      <c r="QS765" s="770"/>
      <c r="QT765" s="770"/>
      <c r="QU765" s="770"/>
      <c r="QV765" s="770"/>
      <c r="QW765" s="770"/>
      <c r="QX765" s="770"/>
      <c r="QY765" s="770"/>
      <c r="QZ765" s="770"/>
      <c r="RA765" s="770"/>
      <c r="RB765" s="770" t="s">
        <v>1207</v>
      </c>
      <c r="RC765" s="770">
        <v>2014</v>
      </c>
      <c r="RD765" s="770" t="s">
        <v>13046</v>
      </c>
      <c r="RE765" s="770" t="s">
        <v>12999</v>
      </c>
      <c r="RF765" s="304">
        <v>1</v>
      </c>
      <c r="RG765" s="770" t="s">
        <v>13047</v>
      </c>
      <c r="RH765" s="306">
        <v>0</v>
      </c>
      <c r="RI765" s="770">
        <v>12</v>
      </c>
      <c r="RJ765" s="94" t="s">
        <v>13989</v>
      </c>
      <c r="RK765" s="770" t="s">
        <v>13550</v>
      </c>
      <c r="RL765" s="1710">
        <v>42849</v>
      </c>
      <c r="RM765" s="12"/>
      <c r="RN765" s="1711"/>
      <c r="RO765" s="149" t="s">
        <v>3195</v>
      </c>
      <c r="RP765" s="11"/>
      <c r="RQ765" s="11"/>
      <c r="RR765" s="311" t="s">
        <v>12355</v>
      </c>
      <c r="RS765" s="1139" t="s">
        <v>12980</v>
      </c>
      <c r="RT765" s="11"/>
      <c r="RU765" s="11"/>
      <c r="RV765" s="771" t="s">
        <v>7421</v>
      </c>
      <c r="RW765" s="11" t="s">
        <v>8046</v>
      </c>
      <c r="RX765" s="11" t="s">
        <v>3195</v>
      </c>
      <c r="RY765" s="11"/>
      <c r="RZ765" s="11"/>
      <c r="SA765" s="771"/>
      <c r="SB765" s="11"/>
      <c r="SC765" s="11"/>
    </row>
    <row r="766" spans="1:497" ht="12.75" customHeight="1">
      <c r="A766" s="311" t="s">
        <v>14246</v>
      </c>
      <c r="B766" s="809" t="s">
        <v>8047</v>
      </c>
      <c r="C766" s="149" t="s">
        <v>3195</v>
      </c>
      <c r="D766" s="94" t="s">
        <v>4977</v>
      </c>
      <c r="E766" s="766" t="s">
        <v>4987</v>
      </c>
      <c r="F766" s="770" t="s">
        <v>2366</v>
      </c>
      <c r="G766" s="770" t="s">
        <v>10</v>
      </c>
      <c r="H766" s="12"/>
      <c r="I766" s="295" t="s">
        <v>4970</v>
      </c>
      <c r="J766" s="94" t="s">
        <v>4979</v>
      </c>
      <c r="K766" s="766"/>
      <c r="L766" s="766"/>
      <c r="M766" s="770"/>
      <c r="N766" s="1757"/>
      <c r="O766" s="1757"/>
      <c r="P766" s="94" t="s">
        <v>4980</v>
      </c>
      <c r="Q766" s="1088">
        <v>26131</v>
      </c>
      <c r="R766" s="297">
        <v>46</v>
      </c>
      <c r="S766" s="770" t="s">
        <v>10</v>
      </c>
      <c r="T766" s="770"/>
      <c r="U766" s="295" t="s">
        <v>4981</v>
      </c>
      <c r="V766" s="770" t="s">
        <v>707</v>
      </c>
      <c r="W766" s="770"/>
      <c r="X766" s="770"/>
      <c r="Y766" s="770" t="s">
        <v>4978</v>
      </c>
      <c r="Z766" s="770" t="s">
        <v>708</v>
      </c>
      <c r="AA766" s="770" t="s">
        <v>748</v>
      </c>
      <c r="AB766" s="770" t="s">
        <v>710</v>
      </c>
      <c r="AC766" s="770" t="s">
        <v>724</v>
      </c>
      <c r="AD766" s="770" t="s">
        <v>711</v>
      </c>
      <c r="AE766" s="770"/>
      <c r="AF766" s="770" t="s">
        <v>712</v>
      </c>
      <c r="AG766" s="770"/>
      <c r="AH766" s="770"/>
      <c r="AI766" s="770"/>
      <c r="AJ766" s="770"/>
      <c r="AK766" s="770" t="s">
        <v>1101</v>
      </c>
      <c r="AL766" s="531"/>
      <c r="AM766" s="780"/>
      <c r="AN766" s="532"/>
      <c r="AO766" s="766"/>
      <c r="AP766" s="766"/>
      <c r="AQ766" s="766"/>
      <c r="AR766" s="766"/>
      <c r="AS766" s="770"/>
      <c r="AT766" s="770"/>
      <c r="AU766" s="770"/>
      <c r="AV766" s="770"/>
      <c r="AW766" s="770"/>
      <c r="AX766" s="770"/>
      <c r="AY766" s="770"/>
      <c r="AZ766" s="770"/>
      <c r="BA766" s="770"/>
      <c r="BB766" s="770"/>
      <c r="BC766" s="770"/>
      <c r="BD766" s="770"/>
      <c r="BE766" s="770"/>
      <c r="BF766" s="302"/>
      <c r="BG766" s="302"/>
      <c r="BH766" s="770"/>
      <c r="BI766" s="770"/>
      <c r="BJ766" s="770"/>
      <c r="BK766" s="766"/>
      <c r="BL766" s="766"/>
      <c r="BM766" s="766" t="s">
        <v>1238</v>
      </c>
      <c r="BN766" s="766" t="s">
        <v>1305</v>
      </c>
      <c r="BO766" s="770"/>
      <c r="BP766" s="765"/>
      <c r="BQ766" s="773"/>
      <c r="BR766" s="774"/>
      <c r="BS766" s="766" t="s">
        <v>1149</v>
      </c>
      <c r="BT766" s="770"/>
      <c r="BU766" s="770"/>
      <c r="BV766" s="770"/>
      <c r="BW766" s="770"/>
      <c r="BX766" s="302"/>
      <c r="BY766" s="770"/>
      <c r="BZ766" s="302"/>
      <c r="CA766" s="770"/>
      <c r="CB766" s="770" t="s">
        <v>1207</v>
      </c>
      <c r="CC766" s="770"/>
      <c r="CD766" s="770"/>
      <c r="CE766" s="302"/>
      <c r="CF766" s="304"/>
      <c r="CG766" s="321"/>
      <c r="CH766" s="770"/>
      <c r="CI766" s="770"/>
      <c r="CJ766" s="770"/>
      <c r="CK766" s="770"/>
      <c r="CL766" s="770"/>
      <c r="CM766" s="770"/>
      <c r="CN766" s="770"/>
      <c r="CO766" s="770"/>
      <c r="CP766" s="770"/>
      <c r="CQ766" s="770"/>
      <c r="CR766" s="302"/>
      <c r="CS766" s="770"/>
      <c r="CT766" s="770"/>
      <c r="CU766" s="305"/>
      <c r="CV766" s="770"/>
      <c r="CW766" s="770"/>
      <c r="CX766" s="770"/>
      <c r="CY766" s="770"/>
      <c r="CZ766" s="770"/>
      <c r="DA766" s="306"/>
      <c r="DB766" s="770"/>
      <c r="DC766" s="770"/>
      <c r="DD766" s="770"/>
      <c r="DE766" s="300"/>
      <c r="DF766" s="770"/>
      <c r="DG766" s="770"/>
      <c r="DH766" s="770"/>
      <c r="DI766" s="770"/>
      <c r="DJ766" s="770"/>
      <c r="DK766" s="770"/>
      <c r="DL766" s="770"/>
      <c r="DM766" s="770"/>
      <c r="DN766" s="322"/>
      <c r="DO766" s="770"/>
      <c r="DP766" s="770"/>
      <c r="DQ766" s="770"/>
      <c r="DR766" s="770"/>
      <c r="DS766" s="307"/>
      <c r="DT766" s="770"/>
      <c r="DU766" s="770"/>
      <c r="DV766" s="770"/>
      <c r="DW766" s="306"/>
      <c r="DX766" s="306"/>
      <c r="DY766" s="1055"/>
      <c r="DZ766" s="770"/>
      <c r="EA766" s="770"/>
      <c r="EB766" s="770"/>
      <c r="EC766" s="770"/>
      <c r="ED766" s="770"/>
      <c r="EE766" s="770"/>
      <c r="EF766" s="770"/>
      <c r="EG766" s="770"/>
      <c r="EH766" s="770"/>
      <c r="EI766" s="770"/>
      <c r="EJ766" s="770"/>
      <c r="EK766" s="770"/>
      <c r="EL766" s="770"/>
      <c r="EM766" s="770"/>
      <c r="EN766" s="770"/>
      <c r="EO766" s="770"/>
      <c r="EP766" s="94"/>
      <c r="EQ766" s="770"/>
      <c r="ER766" s="770"/>
      <c r="ES766" s="770"/>
      <c r="ET766" s="770"/>
      <c r="EU766" s="770"/>
      <c r="EV766" s="770"/>
      <c r="EW766" s="770"/>
      <c r="EX766" s="770"/>
      <c r="EY766" s="770"/>
      <c r="EZ766" s="770" t="s">
        <v>4982</v>
      </c>
      <c r="FA766" s="770" t="s">
        <v>4983</v>
      </c>
      <c r="FB766" s="770" t="s">
        <v>1257</v>
      </c>
      <c r="FC766" s="770"/>
      <c r="FD766" s="302"/>
      <c r="FE766" s="770"/>
      <c r="FF766" s="770"/>
      <c r="FG766" s="770" t="s">
        <v>4749</v>
      </c>
      <c r="FH766" s="770" t="s">
        <v>3230</v>
      </c>
      <c r="FI766" s="770">
        <v>1</v>
      </c>
      <c r="FJ766" s="770" t="s">
        <v>4972</v>
      </c>
      <c r="FK766" s="770"/>
      <c r="FL766" s="770"/>
      <c r="FM766" s="302"/>
      <c r="FN766" s="302"/>
      <c r="FO766" s="302"/>
      <c r="FP766" s="766" t="s">
        <v>1602</v>
      </c>
      <c r="FQ766" s="766" t="s">
        <v>1660</v>
      </c>
      <c r="FR766" s="770" t="s">
        <v>1214</v>
      </c>
      <c r="FS766" s="770"/>
      <c r="FT766" s="770"/>
      <c r="FU766" s="770"/>
      <c r="FV766" s="770"/>
      <c r="FW766" s="770"/>
      <c r="FX766" s="770"/>
      <c r="FY766" s="770"/>
      <c r="FZ766" s="770"/>
      <c r="GA766" s="770"/>
      <c r="GB766" s="770" t="s">
        <v>1211</v>
      </c>
      <c r="GC766" s="308"/>
      <c r="GD766" s="297"/>
      <c r="GE766" s="770"/>
      <c r="GF766" s="302"/>
      <c r="GG766" s="302"/>
      <c r="GH766" s="770" t="s">
        <v>1791</v>
      </c>
      <c r="GI766" s="770" t="s">
        <v>2407</v>
      </c>
      <c r="GJ766" s="770" t="s">
        <v>3209</v>
      </c>
      <c r="GK766" s="770" t="s">
        <v>2407</v>
      </c>
      <c r="GL766" s="770"/>
      <c r="GM766" s="770"/>
      <c r="GN766" s="299">
        <v>60</v>
      </c>
      <c r="GO766" s="770" t="s">
        <v>2770</v>
      </c>
      <c r="GP766" s="770"/>
      <c r="GQ766" s="770" t="s">
        <v>1208</v>
      </c>
      <c r="GR766" s="770" t="s">
        <v>1208</v>
      </c>
      <c r="GS766" s="770"/>
      <c r="GT766" s="770" t="s">
        <v>1208</v>
      </c>
      <c r="GU766" s="770"/>
      <c r="GV766" s="770"/>
      <c r="GW766" s="770" t="s">
        <v>1207</v>
      </c>
      <c r="GX766" s="770"/>
      <c r="GY766" s="770" t="s">
        <v>1208</v>
      </c>
      <c r="GZ766" s="770"/>
      <c r="HA766" s="770" t="s">
        <v>1208</v>
      </c>
      <c r="HB766" s="770" t="s">
        <v>1208</v>
      </c>
      <c r="HC766" s="770" t="s">
        <v>1208</v>
      </c>
      <c r="HD766" s="770" t="s">
        <v>1208</v>
      </c>
      <c r="HE766" s="770" t="s">
        <v>1208</v>
      </c>
      <c r="HF766" s="770"/>
      <c r="HG766" s="770"/>
      <c r="HH766" s="770"/>
      <c r="HI766" s="770" t="s">
        <v>1214</v>
      </c>
      <c r="HJ766" s="770"/>
      <c r="HK766" s="770"/>
      <c r="HL766" s="770" t="s">
        <v>1214</v>
      </c>
      <c r="HM766" s="770"/>
      <c r="HN766" s="770"/>
      <c r="HO766" s="770"/>
      <c r="HP766" s="770"/>
      <c r="HQ766" s="770"/>
      <c r="HR766" s="770"/>
      <c r="HS766" s="770"/>
      <c r="HT766" s="770"/>
      <c r="HU766" s="770"/>
      <c r="HV766" s="770"/>
      <c r="HW766" s="770"/>
      <c r="HX766" s="770"/>
      <c r="HY766" s="770"/>
      <c r="HZ766" s="770"/>
      <c r="IA766" s="770"/>
      <c r="IB766" s="14" t="e">
        <f>IF(#REF!&gt;0,IF(#REF!&lt;=10000,"Y",""),"")</f>
        <v>#REF!</v>
      </c>
      <c r="IC766" s="770"/>
      <c r="ID766" s="770"/>
      <c r="IE766" s="770"/>
      <c r="IF766" s="770" t="s">
        <v>4977</v>
      </c>
      <c r="IG766" s="770" t="s">
        <v>10</v>
      </c>
      <c r="IH766" s="770" t="s">
        <v>2366</v>
      </c>
      <c r="II766" s="770" t="s">
        <v>4978</v>
      </c>
      <c r="IJ766" s="770" t="s">
        <v>1835</v>
      </c>
      <c r="IK766" s="766" t="s">
        <v>1888</v>
      </c>
      <c r="IL766" s="770" t="s">
        <v>4976</v>
      </c>
      <c r="IM766" s="770">
        <v>2015</v>
      </c>
      <c r="IN766" s="770" t="s">
        <v>4976</v>
      </c>
      <c r="IO766" s="296">
        <v>26131</v>
      </c>
      <c r="IP766" s="770" t="s">
        <v>478</v>
      </c>
      <c r="IQ766" s="769" t="s">
        <v>8144</v>
      </c>
      <c r="IR766" s="770" t="s">
        <v>2716</v>
      </c>
      <c r="IS766" s="770" t="s">
        <v>1931</v>
      </c>
      <c r="IT766" s="770"/>
      <c r="IU766" s="770" t="s">
        <v>1208</v>
      </c>
      <c r="IV766" s="770"/>
      <c r="IW766" s="770" t="s">
        <v>13990</v>
      </c>
      <c r="IX766" s="770"/>
      <c r="IY766" s="770" t="s">
        <v>12804</v>
      </c>
      <c r="IZ766" s="770"/>
      <c r="JA766" s="770" t="s">
        <v>1880</v>
      </c>
      <c r="JB766" s="770" t="s">
        <v>12766</v>
      </c>
      <c r="JC766" s="770"/>
      <c r="JD766" s="302">
        <v>500</v>
      </c>
      <c r="JE766" s="770"/>
      <c r="JF766" s="770"/>
      <c r="JG766" s="770"/>
      <c r="JH766" s="307"/>
      <c r="JI766" s="307"/>
      <c r="JJ766" s="770">
        <v>6</v>
      </c>
      <c r="JK766" s="1139" t="s">
        <v>4976</v>
      </c>
      <c r="JL766" s="770">
        <v>1</v>
      </c>
      <c r="JM766" s="770">
        <v>1</v>
      </c>
      <c r="JN766" s="770">
        <v>2</v>
      </c>
      <c r="JO766" s="770">
        <v>2</v>
      </c>
      <c r="JP766" s="770"/>
      <c r="JQ766" s="770"/>
      <c r="JR766" s="770"/>
      <c r="JS766" s="770"/>
      <c r="JT766" s="766">
        <f t="shared" si="235"/>
        <v>3</v>
      </c>
      <c r="JU766" s="766">
        <f t="shared" si="235"/>
        <v>3</v>
      </c>
      <c r="JV766" s="712" t="str">
        <f t="shared" si="236"/>
        <v>ok</v>
      </c>
      <c r="JW766" s="712" t="str">
        <f t="shared" si="237"/>
        <v>ok</v>
      </c>
      <c r="JX766" s="770"/>
      <c r="JY766" s="770"/>
      <c r="JZ766" s="770">
        <v>1</v>
      </c>
      <c r="KA766" s="770">
        <v>1</v>
      </c>
      <c r="KB766" s="770">
        <v>1</v>
      </c>
      <c r="KC766" s="770">
        <v>1</v>
      </c>
      <c r="KD766" s="770">
        <v>1</v>
      </c>
      <c r="KE766" s="770">
        <v>1</v>
      </c>
      <c r="KF766" s="770"/>
      <c r="KG766" s="770"/>
      <c r="KH766" s="770"/>
      <c r="KI766" s="770"/>
      <c r="KJ766" s="770">
        <f t="shared" si="225"/>
        <v>3</v>
      </c>
      <c r="KK766" s="770">
        <f t="shared" si="225"/>
        <v>3</v>
      </c>
      <c r="KL766" s="712" t="str">
        <f t="shared" si="238"/>
        <v>ok</v>
      </c>
      <c r="KM766" s="712" t="str">
        <f t="shared" si="239"/>
        <v>ok</v>
      </c>
      <c r="KN766" s="770" t="s">
        <v>707</v>
      </c>
      <c r="KO766" s="770"/>
      <c r="KP766" s="770"/>
      <c r="KQ766" s="770"/>
      <c r="KR766" s="770"/>
      <c r="KS766" s="770"/>
      <c r="KT766" s="770">
        <v>1</v>
      </c>
      <c r="KU766" s="770"/>
      <c r="KV766" s="770"/>
      <c r="KW766" s="770"/>
      <c r="KX766" s="770">
        <v>1</v>
      </c>
      <c r="KY766" s="770">
        <v>3</v>
      </c>
      <c r="KZ766" s="770">
        <v>1</v>
      </c>
      <c r="LA766" s="770"/>
      <c r="LB766" s="770"/>
      <c r="LC766" s="770"/>
      <c r="LD766" s="770"/>
      <c r="LE766" s="770"/>
      <c r="LF766" s="770"/>
      <c r="LG766" s="770"/>
      <c r="LH766" s="770"/>
      <c r="LI766" s="770"/>
      <c r="LJ766" s="770"/>
      <c r="LK766" s="770"/>
      <c r="LL766" s="770"/>
      <c r="LM766" s="770"/>
      <c r="LN766" s="766">
        <f t="shared" si="230"/>
        <v>3</v>
      </c>
      <c r="LO766" s="766">
        <f t="shared" si="230"/>
        <v>3</v>
      </c>
      <c r="LP766" s="770">
        <v>1</v>
      </c>
      <c r="LQ766" s="770">
        <v>1</v>
      </c>
      <c r="LR766" s="770"/>
      <c r="LS766" s="770"/>
      <c r="LT766" s="712" t="str">
        <f t="shared" si="240"/>
        <v>OK</v>
      </c>
      <c r="LU766" s="770"/>
      <c r="LV766" s="770">
        <v>1</v>
      </c>
      <c r="LW766" s="770"/>
      <c r="LX766" s="769">
        <v>3</v>
      </c>
      <c r="LY766" s="766" t="str">
        <f t="shared" si="231"/>
        <v>within the PROVINCE</v>
      </c>
      <c r="LZ766" s="1709">
        <v>1000</v>
      </c>
      <c r="MA766" s="1709"/>
      <c r="MB766" s="1709"/>
      <c r="MC766" s="1679">
        <f t="shared" si="229"/>
        <v>1000</v>
      </c>
      <c r="MD766" s="1709">
        <v>13000</v>
      </c>
      <c r="ME766" s="1709"/>
      <c r="MF766" s="1709"/>
      <c r="MG766" s="1680">
        <f t="shared" si="241"/>
        <v>13000</v>
      </c>
      <c r="MH766" s="770" t="s">
        <v>3388</v>
      </c>
      <c r="MI766" s="302">
        <v>3000</v>
      </c>
      <c r="MJ766" s="302">
        <v>6000</v>
      </c>
      <c r="MK766" s="302">
        <v>2000</v>
      </c>
      <c r="ML766" s="302">
        <v>1000</v>
      </c>
      <c r="MM766" s="302">
        <v>500</v>
      </c>
      <c r="MN766" s="302"/>
      <c r="MO766" s="302">
        <v>200</v>
      </c>
      <c r="MP766" s="302">
        <v>200</v>
      </c>
      <c r="MQ766" s="302">
        <v>200</v>
      </c>
      <c r="MR766" s="302">
        <v>250</v>
      </c>
      <c r="MS766" s="302"/>
      <c r="MT766" s="302"/>
      <c r="MU766" s="302"/>
      <c r="MV766" s="302"/>
      <c r="MW766" s="302"/>
      <c r="MX766" s="302"/>
      <c r="MY766" s="1682">
        <f t="shared" si="217"/>
        <v>13350</v>
      </c>
      <c r="MZ766" s="770" t="s">
        <v>13395</v>
      </c>
      <c r="NA766" s="770" t="s">
        <v>13230</v>
      </c>
      <c r="NB766" s="770" t="s">
        <v>13092</v>
      </c>
      <c r="NC766" s="770" t="s">
        <v>13965</v>
      </c>
      <c r="ND766" s="770">
        <v>0</v>
      </c>
      <c r="NE766" s="770">
        <v>0</v>
      </c>
      <c r="NF766" s="770">
        <v>0</v>
      </c>
      <c r="NG766" s="770">
        <v>1</v>
      </c>
      <c r="NH766" s="770">
        <v>0</v>
      </c>
      <c r="NI766" s="770">
        <v>0</v>
      </c>
      <c r="NJ766" s="770">
        <v>0</v>
      </c>
      <c r="NK766" s="770">
        <v>0</v>
      </c>
      <c r="NL766" s="770">
        <v>0</v>
      </c>
      <c r="NM766" s="770">
        <v>0</v>
      </c>
      <c r="NN766" s="770">
        <v>0</v>
      </c>
      <c r="NO766" s="770">
        <v>0</v>
      </c>
      <c r="NP766" s="770">
        <v>0</v>
      </c>
      <c r="NQ766" s="770">
        <v>0</v>
      </c>
      <c r="NR766" s="770">
        <v>0</v>
      </c>
      <c r="NS766" s="770">
        <v>0</v>
      </c>
      <c r="NT766" s="770">
        <v>0</v>
      </c>
      <c r="NU766" s="770">
        <v>0</v>
      </c>
      <c r="NV766" s="770">
        <v>0</v>
      </c>
      <c r="NW766" s="770">
        <v>0</v>
      </c>
      <c r="NX766" s="770">
        <v>0</v>
      </c>
      <c r="NY766" s="770" t="s">
        <v>1208</v>
      </c>
      <c r="NZ766" s="770" t="s">
        <v>1208</v>
      </c>
      <c r="OA766" s="770" t="s">
        <v>1208</v>
      </c>
      <c r="OB766" s="770" t="s">
        <v>1208</v>
      </c>
      <c r="OC766" s="770" t="s">
        <v>1208</v>
      </c>
      <c r="OD766" s="770" t="s">
        <v>1208</v>
      </c>
      <c r="OE766" s="770"/>
      <c r="OF766" s="770" t="s">
        <v>2143</v>
      </c>
      <c r="OG766" s="770" t="s">
        <v>1208</v>
      </c>
      <c r="OH766" s="770"/>
      <c r="OI766" s="770"/>
      <c r="OJ766" s="770"/>
      <c r="OK766" s="770"/>
      <c r="OL766" s="770"/>
      <c r="OM766" s="770"/>
      <c r="ON766" s="770"/>
      <c r="OO766" s="770" t="s">
        <v>1207</v>
      </c>
      <c r="OP766" s="770" t="s">
        <v>12885</v>
      </c>
      <c r="OQ766" s="770"/>
      <c r="OR766" s="770"/>
      <c r="OS766" s="770" t="s">
        <v>12885</v>
      </c>
      <c r="OT766" s="770"/>
      <c r="OU766" s="770"/>
      <c r="OV766" s="770"/>
      <c r="OW766" s="770"/>
      <c r="OX766" s="770"/>
      <c r="OY766" s="770"/>
      <c r="OZ766" s="770"/>
      <c r="PA766" s="770"/>
      <c r="PB766" s="770"/>
      <c r="PC766" s="770"/>
      <c r="PD766" s="770"/>
      <c r="PE766" s="770"/>
      <c r="PF766" s="770"/>
      <c r="PG766" s="770"/>
      <c r="PH766" s="770"/>
      <c r="PI766" s="770"/>
      <c r="PJ766" s="770"/>
      <c r="PK766" s="770" t="s">
        <v>1208</v>
      </c>
      <c r="PL766" s="770"/>
      <c r="PM766" s="770"/>
      <c r="PN766" s="770"/>
      <c r="PO766" s="770"/>
      <c r="PP766" s="770"/>
      <c r="PQ766" s="770"/>
      <c r="PR766" s="770"/>
      <c r="PS766" s="770"/>
      <c r="PT766" s="770"/>
      <c r="PU766" s="770"/>
      <c r="PV766" s="770"/>
      <c r="PW766" s="770"/>
      <c r="PX766" s="770"/>
      <c r="PY766" s="770"/>
      <c r="PZ766" s="770"/>
      <c r="QA766" s="770"/>
      <c r="QB766" s="770"/>
      <c r="QC766" s="770"/>
      <c r="QD766" s="770"/>
      <c r="QE766" s="770"/>
      <c r="QF766" s="770"/>
      <c r="QG766" s="770"/>
      <c r="QH766" s="770"/>
      <c r="QI766" s="770"/>
      <c r="QJ766" s="770"/>
      <c r="QK766" s="770"/>
      <c r="QL766" s="770"/>
      <c r="QM766" s="770"/>
      <c r="QN766" s="770"/>
      <c r="QO766" s="770"/>
      <c r="QP766" s="770"/>
      <c r="QQ766" s="770"/>
      <c r="QR766" s="770"/>
      <c r="QS766" s="770"/>
      <c r="QT766" s="770"/>
      <c r="QU766" s="770"/>
      <c r="QV766" s="770"/>
      <c r="QW766" s="770"/>
      <c r="QX766" s="770"/>
      <c r="QY766" s="770"/>
      <c r="QZ766" s="770"/>
      <c r="RA766" s="770"/>
      <c r="RB766" s="770" t="s">
        <v>1207</v>
      </c>
      <c r="RC766" s="770">
        <v>2015</v>
      </c>
      <c r="RD766" s="770" t="s">
        <v>13036</v>
      </c>
      <c r="RE766" s="770" t="s">
        <v>12999</v>
      </c>
      <c r="RF766" s="304">
        <v>0.5</v>
      </c>
      <c r="RG766" s="770" t="s">
        <v>13047</v>
      </c>
      <c r="RH766" s="306">
        <v>5000</v>
      </c>
      <c r="RI766" s="770">
        <v>24</v>
      </c>
      <c r="RJ766" s="94" t="s">
        <v>4975</v>
      </c>
      <c r="RK766" s="770" t="s">
        <v>13556</v>
      </c>
      <c r="RL766" s="1710">
        <v>42850</v>
      </c>
      <c r="RM766" s="12"/>
      <c r="RN766" s="1711"/>
      <c r="RO766" s="149" t="s">
        <v>3195</v>
      </c>
      <c r="RP766" s="11"/>
      <c r="RQ766" s="11"/>
      <c r="RR766" s="311" t="s">
        <v>12353</v>
      </c>
      <c r="RS766" s="1139" t="s">
        <v>12980</v>
      </c>
      <c r="RT766" s="11"/>
      <c r="RU766" s="11"/>
      <c r="RV766" s="771" t="s">
        <v>12452</v>
      </c>
      <c r="RW766" s="11" t="s">
        <v>7461</v>
      </c>
      <c r="RX766" s="11" t="s">
        <v>3195</v>
      </c>
      <c r="RY766" s="11"/>
      <c r="RZ766" s="11"/>
      <c r="SA766" s="771"/>
      <c r="SB766" s="11"/>
      <c r="SC766" s="11"/>
    </row>
    <row r="767" spans="1:497" ht="12.75" customHeight="1">
      <c r="A767" s="311" t="s">
        <v>14246</v>
      </c>
      <c r="B767" s="809" t="s">
        <v>8048</v>
      </c>
      <c r="C767" s="149" t="s">
        <v>11829</v>
      </c>
      <c r="D767" s="94" t="s">
        <v>4985</v>
      </c>
      <c r="E767" s="766" t="s">
        <v>4986</v>
      </c>
      <c r="F767" s="770" t="s">
        <v>28</v>
      </c>
      <c r="G767" s="770" t="s">
        <v>18</v>
      </c>
      <c r="H767" s="12"/>
      <c r="I767" s="295" t="s">
        <v>4988</v>
      </c>
      <c r="J767" s="94" t="s">
        <v>4989</v>
      </c>
      <c r="K767" s="766" t="s">
        <v>4990</v>
      </c>
      <c r="L767" s="766" t="s">
        <v>3947</v>
      </c>
      <c r="M767" s="770" t="s">
        <v>1238</v>
      </c>
      <c r="N767" s="1757"/>
      <c r="O767" s="1757" t="s">
        <v>4830</v>
      </c>
      <c r="P767" s="94" t="s">
        <v>4991</v>
      </c>
      <c r="Q767" s="1088">
        <v>33123</v>
      </c>
      <c r="R767" s="297">
        <v>26</v>
      </c>
      <c r="S767" s="770" t="s">
        <v>18</v>
      </c>
      <c r="T767" s="770"/>
      <c r="U767" s="295" t="s">
        <v>4988</v>
      </c>
      <c r="V767" s="770" t="s">
        <v>707</v>
      </c>
      <c r="W767" s="770"/>
      <c r="X767" s="770"/>
      <c r="Y767" s="770" t="s">
        <v>4986</v>
      </c>
      <c r="Z767" s="770" t="s">
        <v>708</v>
      </c>
      <c r="AA767" s="770" t="s">
        <v>748</v>
      </c>
      <c r="AB767" s="770" t="s">
        <v>710</v>
      </c>
      <c r="AC767" s="770" t="s">
        <v>724</v>
      </c>
      <c r="AD767" s="770" t="s">
        <v>1019</v>
      </c>
      <c r="AE767" s="770"/>
      <c r="AF767" s="770" t="s">
        <v>712</v>
      </c>
      <c r="AG767" s="770"/>
      <c r="AH767" s="770"/>
      <c r="AI767" s="770"/>
      <c r="AJ767" s="770"/>
      <c r="AK767" s="770" t="s">
        <v>1101</v>
      </c>
      <c r="AL767" s="531"/>
      <c r="AM767" s="780"/>
      <c r="AN767" s="532"/>
      <c r="AO767" s="766"/>
      <c r="AP767" s="766"/>
      <c r="AQ767" s="766"/>
      <c r="AR767" s="766"/>
      <c r="AS767" s="770"/>
      <c r="AT767" s="770"/>
      <c r="AU767" s="770"/>
      <c r="AV767" s="770"/>
      <c r="AW767" s="770"/>
      <c r="AX767" s="770"/>
      <c r="AY767" s="770"/>
      <c r="AZ767" s="770"/>
      <c r="BA767" s="770"/>
      <c r="BB767" s="770"/>
      <c r="BC767" s="770"/>
      <c r="BD767" s="770"/>
      <c r="BE767" s="770"/>
      <c r="BF767" s="302"/>
      <c r="BG767" s="302"/>
      <c r="BH767" s="770"/>
      <c r="BI767" s="770"/>
      <c r="BJ767" s="770"/>
      <c r="BK767" s="766" t="s">
        <v>1095</v>
      </c>
      <c r="BL767" s="766" t="s">
        <v>4993</v>
      </c>
      <c r="BM767" s="766" t="s">
        <v>1096</v>
      </c>
      <c r="BN767" s="766" t="s">
        <v>1230</v>
      </c>
      <c r="BO767" s="766" t="s">
        <v>1246</v>
      </c>
      <c r="BP767" s="765">
        <v>5</v>
      </c>
      <c r="BQ767" s="773">
        <v>5</v>
      </c>
      <c r="BR767" s="774">
        <f t="shared" si="234"/>
        <v>1</v>
      </c>
      <c r="BS767" s="766" t="s">
        <v>1257</v>
      </c>
      <c r="BT767" s="766" t="s">
        <v>1326</v>
      </c>
      <c r="BU767" s="770" t="s">
        <v>2545</v>
      </c>
      <c r="BV767" s="770" t="s">
        <v>2432</v>
      </c>
      <c r="BW767" s="770">
        <v>2016</v>
      </c>
      <c r="BX767" s="302"/>
      <c r="BY767" s="770" t="s">
        <v>1207</v>
      </c>
      <c r="BZ767" s="302" t="s">
        <v>4994</v>
      </c>
      <c r="CA767" s="770"/>
      <c r="CB767" s="770"/>
      <c r="CC767" s="770"/>
      <c r="CD767" s="770"/>
      <c r="CE767" s="302"/>
      <c r="CF767" s="304"/>
      <c r="CG767" s="321"/>
      <c r="CH767" s="770"/>
      <c r="CI767" s="770"/>
      <c r="CJ767" s="770"/>
      <c r="CK767" s="770"/>
      <c r="CL767" s="770"/>
      <c r="CM767" s="770"/>
      <c r="CN767" s="770"/>
      <c r="CO767" s="770"/>
      <c r="CP767" s="770"/>
      <c r="CQ767" s="770"/>
      <c r="CR767" s="302"/>
      <c r="CS767" s="770"/>
      <c r="CT767" s="770"/>
      <c r="CU767" s="305"/>
      <c r="CV767" s="770"/>
      <c r="CW767" s="770"/>
      <c r="CX767" s="770"/>
      <c r="CY767" s="770"/>
      <c r="CZ767" s="770"/>
      <c r="DA767" s="306"/>
      <c r="DB767" s="770"/>
      <c r="DC767" s="770"/>
      <c r="DD767" s="770"/>
      <c r="DE767" s="300"/>
      <c r="DF767" s="770"/>
      <c r="DG767" s="770"/>
      <c r="DH767" s="770"/>
      <c r="DI767" s="770"/>
      <c r="DJ767" s="770"/>
      <c r="DK767" s="770"/>
      <c r="DL767" s="770"/>
      <c r="DM767" s="770"/>
      <c r="DN767" s="322"/>
      <c r="DO767" s="770"/>
      <c r="DP767" s="770"/>
      <c r="DQ767" s="770"/>
      <c r="DR767" s="770"/>
      <c r="DS767" s="307"/>
      <c r="DT767" s="770"/>
      <c r="DU767" s="770"/>
      <c r="DV767" s="770"/>
      <c r="DW767" s="306"/>
      <c r="DX767" s="306"/>
      <c r="DY767" s="1055"/>
      <c r="DZ767" s="770"/>
      <c r="EA767" s="770"/>
      <c r="EB767" s="770"/>
      <c r="EC767" s="770"/>
      <c r="ED767" s="770"/>
      <c r="EE767" s="770"/>
      <c r="EF767" s="770"/>
      <c r="EG767" s="770"/>
      <c r="EH767" s="770"/>
      <c r="EI767" s="770"/>
      <c r="EJ767" s="770"/>
      <c r="EK767" s="770"/>
      <c r="EL767" s="770"/>
      <c r="EM767" s="770"/>
      <c r="EN767" s="770"/>
      <c r="EO767" s="770"/>
      <c r="EP767" s="94"/>
      <c r="EQ767" s="770"/>
      <c r="ER767" s="770"/>
      <c r="ES767" s="770"/>
      <c r="ET767" s="770"/>
      <c r="EU767" s="770"/>
      <c r="EV767" s="770"/>
      <c r="EW767" s="770"/>
      <c r="EX767" s="770"/>
      <c r="EY767" s="770"/>
      <c r="EZ767" s="770"/>
      <c r="FA767" s="770"/>
      <c r="FB767" s="770"/>
      <c r="FC767" s="770"/>
      <c r="FD767" s="302"/>
      <c r="FE767" s="770"/>
      <c r="FF767" s="770"/>
      <c r="FG767" s="770"/>
      <c r="FH767" s="770" t="s">
        <v>478</v>
      </c>
      <c r="FI767" s="770">
        <v>1</v>
      </c>
      <c r="FJ767" s="770"/>
      <c r="FK767" s="770"/>
      <c r="FL767" s="770"/>
      <c r="FM767" s="302"/>
      <c r="FN767" s="302"/>
      <c r="FO767" s="302"/>
      <c r="FP767" s="766" t="s">
        <v>1602</v>
      </c>
      <c r="FQ767" s="766" t="s">
        <v>1660</v>
      </c>
      <c r="FR767" s="770" t="s">
        <v>1214</v>
      </c>
      <c r="FS767" s="770"/>
      <c r="FT767" s="770"/>
      <c r="FU767" s="770"/>
      <c r="FV767" s="770"/>
      <c r="FW767" s="770"/>
      <c r="FX767" s="770"/>
      <c r="FY767" s="770"/>
      <c r="FZ767" s="770"/>
      <c r="GA767" s="770"/>
      <c r="GB767" s="770" t="s">
        <v>853</v>
      </c>
      <c r="GC767" s="308"/>
      <c r="GD767" s="297"/>
      <c r="GE767" s="770" t="s">
        <v>1214</v>
      </c>
      <c r="GF767" s="302"/>
      <c r="GG767" s="302"/>
      <c r="GH767" s="712" t="s">
        <v>1791</v>
      </c>
      <c r="GI767" s="770" t="s">
        <v>1008</v>
      </c>
      <c r="GJ767" s="770" t="s">
        <v>1831</v>
      </c>
      <c r="GK767" s="766" t="s">
        <v>2693</v>
      </c>
      <c r="GL767" s="770"/>
      <c r="GM767" s="770"/>
      <c r="GN767" s="299">
        <v>350</v>
      </c>
      <c r="GO767" s="770" t="s">
        <v>2770</v>
      </c>
      <c r="GP767" s="770"/>
      <c r="GQ767" s="770"/>
      <c r="GR767" s="770" t="s">
        <v>1208</v>
      </c>
      <c r="GS767" s="770"/>
      <c r="GT767" s="770"/>
      <c r="GU767" s="770"/>
      <c r="GV767" s="770"/>
      <c r="GW767" s="770" t="s">
        <v>1207</v>
      </c>
      <c r="GX767" s="770"/>
      <c r="GY767" s="770" t="s">
        <v>1208</v>
      </c>
      <c r="GZ767" s="770"/>
      <c r="HA767" s="770" t="s">
        <v>1208</v>
      </c>
      <c r="HB767" s="770" t="s">
        <v>1208</v>
      </c>
      <c r="HC767" s="770" t="s">
        <v>1208</v>
      </c>
      <c r="HD767" s="770" t="s">
        <v>1208</v>
      </c>
      <c r="HE767" s="770" t="s">
        <v>1208</v>
      </c>
      <c r="HF767" s="770"/>
      <c r="HG767" s="770"/>
      <c r="HH767" s="770"/>
      <c r="HI767" s="770" t="s">
        <v>1214</v>
      </c>
      <c r="HJ767" s="770"/>
      <c r="HK767" s="770"/>
      <c r="HL767" s="770" t="s">
        <v>1214</v>
      </c>
      <c r="HM767" s="770"/>
      <c r="HN767" s="770"/>
      <c r="HO767" s="770"/>
      <c r="HP767" s="770"/>
      <c r="HQ767" s="770"/>
      <c r="HR767" s="770"/>
      <c r="HS767" s="770"/>
      <c r="HT767" s="770"/>
      <c r="HU767" s="770"/>
      <c r="HV767" s="770"/>
      <c r="HW767" s="770"/>
      <c r="HX767" s="770"/>
      <c r="HY767" s="770"/>
      <c r="HZ767" s="770"/>
      <c r="IA767" s="770"/>
      <c r="IB767" s="14" t="e">
        <f>IF(#REF!&gt;0,IF(#REF!&lt;=10000,"Y",""),"")</f>
        <v>#REF!</v>
      </c>
      <c r="IC767" s="770"/>
      <c r="ID767" s="770"/>
      <c r="IE767" s="770"/>
      <c r="IF767" s="770"/>
      <c r="IG767" s="770"/>
      <c r="IH767" s="770"/>
      <c r="II767" s="770"/>
      <c r="IJ767" s="770"/>
      <c r="IK767" s="770"/>
      <c r="IL767" s="770"/>
      <c r="IM767" s="770"/>
      <c r="IN767" s="770"/>
      <c r="IO767" s="296"/>
      <c r="IP767" s="770"/>
      <c r="IQ767" s="770"/>
      <c r="IR767" s="770"/>
      <c r="IS767" s="770"/>
      <c r="IT767" s="770"/>
      <c r="IU767" s="770"/>
      <c r="IV767" s="770"/>
      <c r="IW767" s="770"/>
      <c r="IX767" s="770"/>
      <c r="IY767" s="770"/>
      <c r="IZ767" s="770"/>
      <c r="JA767" s="770"/>
      <c r="JB767" s="770"/>
      <c r="JC767" s="770"/>
      <c r="JD767" s="302"/>
      <c r="JE767" s="770"/>
      <c r="JF767" s="770"/>
      <c r="JG767" s="770"/>
      <c r="JH767" s="307"/>
      <c r="JI767" s="712" t="str">
        <f>IF(SUM(JT767,JU767)=JJ767,"ok","review")</f>
        <v>ok</v>
      </c>
      <c r="JJ767" s="770">
        <v>6</v>
      </c>
      <c r="JK767" s="1139" t="s">
        <v>4995</v>
      </c>
      <c r="JL767" s="770"/>
      <c r="JM767" s="770">
        <v>2</v>
      </c>
      <c r="JN767" s="770">
        <v>1</v>
      </c>
      <c r="JO767" s="770">
        <v>3</v>
      </c>
      <c r="JP767" s="770"/>
      <c r="JQ767" s="770"/>
      <c r="JR767" s="770"/>
      <c r="JS767" s="770"/>
      <c r="JT767" s="766">
        <f t="shared" si="235"/>
        <v>1</v>
      </c>
      <c r="JU767" s="766">
        <f t="shared" si="235"/>
        <v>5</v>
      </c>
      <c r="JV767" s="712" t="str">
        <f t="shared" si="236"/>
        <v>ok</v>
      </c>
      <c r="JW767" s="712" t="str">
        <f t="shared" si="237"/>
        <v>ok</v>
      </c>
      <c r="JX767" s="770"/>
      <c r="JY767" s="770">
        <v>1</v>
      </c>
      <c r="JZ767" s="770"/>
      <c r="KA767" s="770">
        <v>1</v>
      </c>
      <c r="KB767" s="770"/>
      <c r="KC767" s="770">
        <v>3</v>
      </c>
      <c r="KD767" s="770">
        <v>1</v>
      </c>
      <c r="KE767" s="770"/>
      <c r="KF767" s="770"/>
      <c r="KG767" s="770"/>
      <c r="KH767" s="770"/>
      <c r="KI767" s="770"/>
      <c r="KJ767" s="770">
        <f t="shared" si="225"/>
        <v>1</v>
      </c>
      <c r="KK767" s="770">
        <f t="shared" si="225"/>
        <v>5</v>
      </c>
      <c r="KL767" s="712" t="str">
        <f t="shared" si="238"/>
        <v>ok</v>
      </c>
      <c r="KM767" s="712" t="str">
        <f t="shared" si="239"/>
        <v>ok</v>
      </c>
      <c r="KN767" s="770" t="s">
        <v>707</v>
      </c>
      <c r="KO767" s="770"/>
      <c r="KP767" s="770"/>
      <c r="KQ767" s="770"/>
      <c r="KR767" s="770"/>
      <c r="KS767" s="770"/>
      <c r="KT767" s="770"/>
      <c r="KU767" s="770">
        <v>1</v>
      </c>
      <c r="KV767" s="770"/>
      <c r="KW767" s="770"/>
      <c r="KX767" s="770">
        <v>1</v>
      </c>
      <c r="KY767" s="770">
        <v>1</v>
      </c>
      <c r="KZ767" s="770"/>
      <c r="LA767" s="770">
        <v>2</v>
      </c>
      <c r="LB767" s="770"/>
      <c r="LC767" s="770"/>
      <c r="LD767" s="770"/>
      <c r="LE767" s="770"/>
      <c r="LF767" s="770"/>
      <c r="LG767" s="770"/>
      <c r="LH767" s="770"/>
      <c r="LI767" s="770"/>
      <c r="LJ767" s="770"/>
      <c r="LK767" s="770">
        <v>1</v>
      </c>
      <c r="LL767" s="770"/>
      <c r="LM767" s="770"/>
      <c r="LN767" s="766">
        <f t="shared" si="230"/>
        <v>1</v>
      </c>
      <c r="LO767" s="766">
        <f t="shared" si="230"/>
        <v>5</v>
      </c>
      <c r="LP767" s="770">
        <v>2</v>
      </c>
      <c r="LQ767" s="770">
        <v>1</v>
      </c>
      <c r="LR767" s="770"/>
      <c r="LS767" s="770">
        <v>1</v>
      </c>
      <c r="LT767" s="712" t="str">
        <f t="shared" si="240"/>
        <v>OK</v>
      </c>
      <c r="LU767" s="770">
        <v>1</v>
      </c>
      <c r="LV767" s="770"/>
      <c r="LW767" s="770"/>
      <c r="LX767" s="769">
        <v>1</v>
      </c>
      <c r="LY767" s="766" t="str">
        <f t="shared" si="231"/>
        <v>within the BRGY</v>
      </c>
      <c r="LZ767" s="1709">
        <v>320</v>
      </c>
      <c r="MA767" s="1709"/>
      <c r="MB767" s="1709"/>
      <c r="MC767" s="1679">
        <f t="shared" si="229"/>
        <v>320</v>
      </c>
      <c r="MD767" s="1709">
        <v>6000</v>
      </c>
      <c r="ME767" s="1709"/>
      <c r="MF767" s="1709">
        <v>6000</v>
      </c>
      <c r="MG767" s="1680">
        <f t="shared" si="241"/>
        <v>12000</v>
      </c>
      <c r="MH767" s="770" t="s">
        <v>2968</v>
      </c>
      <c r="MI767" s="302">
        <v>12000</v>
      </c>
      <c r="MJ767" s="302">
        <v>320</v>
      </c>
      <c r="MK767" s="302">
        <v>300</v>
      </c>
      <c r="ML767" s="302">
        <v>500</v>
      </c>
      <c r="MM767" s="302">
        <v>3000</v>
      </c>
      <c r="MN767" s="302"/>
      <c r="MO767" s="302">
        <v>300</v>
      </c>
      <c r="MP767" s="302">
        <v>150</v>
      </c>
      <c r="MQ767" s="302">
        <v>540</v>
      </c>
      <c r="MR767" s="302">
        <v>340</v>
      </c>
      <c r="MS767" s="302"/>
      <c r="MT767" s="302"/>
      <c r="MU767" s="302"/>
      <c r="MV767" s="302"/>
      <c r="MW767" s="302"/>
      <c r="MX767" s="302"/>
      <c r="MY767" s="1682">
        <f t="shared" si="217"/>
        <v>17450</v>
      </c>
      <c r="MZ767" s="770" t="s">
        <v>13395</v>
      </c>
      <c r="NA767" s="770" t="s">
        <v>13005</v>
      </c>
      <c r="NB767" s="770" t="s">
        <v>13151</v>
      </c>
      <c r="NC767" s="770" t="s">
        <v>1835</v>
      </c>
      <c r="ND767" s="770">
        <v>0</v>
      </c>
      <c r="NE767" s="770">
        <v>0</v>
      </c>
      <c r="NF767" s="770">
        <v>0</v>
      </c>
      <c r="NG767" s="770">
        <v>1</v>
      </c>
      <c r="NH767" s="770">
        <v>0</v>
      </c>
      <c r="NI767" s="770">
        <v>0</v>
      </c>
      <c r="NJ767" s="770">
        <v>0</v>
      </c>
      <c r="NK767" s="770">
        <v>0</v>
      </c>
      <c r="NL767" s="770">
        <v>0</v>
      </c>
      <c r="NM767" s="770">
        <v>0</v>
      </c>
      <c r="NN767" s="770">
        <v>0</v>
      </c>
      <c r="NO767" s="770">
        <v>0</v>
      </c>
      <c r="NP767" s="770">
        <v>0</v>
      </c>
      <c r="NQ767" s="770">
        <v>0</v>
      </c>
      <c r="NR767" s="770">
        <v>0</v>
      </c>
      <c r="NS767" s="770">
        <v>0</v>
      </c>
      <c r="NT767" s="770">
        <v>0</v>
      </c>
      <c r="NU767" s="770">
        <v>0</v>
      </c>
      <c r="NV767" s="770">
        <v>0</v>
      </c>
      <c r="NW767" s="770">
        <v>0</v>
      </c>
      <c r="NX767" s="770">
        <v>0</v>
      </c>
      <c r="NY767" s="770" t="s">
        <v>1208</v>
      </c>
      <c r="NZ767" s="770" t="s">
        <v>1208</v>
      </c>
      <c r="OA767" s="770" t="s">
        <v>1208</v>
      </c>
      <c r="OB767" s="770" t="s">
        <v>1208</v>
      </c>
      <c r="OC767" s="770" t="s">
        <v>1208</v>
      </c>
      <c r="OD767" s="770"/>
      <c r="OE767" s="770"/>
      <c r="OF767" s="770" t="s">
        <v>2143</v>
      </c>
      <c r="OG767" s="770"/>
      <c r="OH767" s="770"/>
      <c r="OI767" s="770"/>
      <c r="OJ767" s="770"/>
      <c r="OK767" s="770" t="s">
        <v>1208</v>
      </c>
      <c r="OL767" s="770"/>
      <c r="OM767" s="770"/>
      <c r="ON767" s="770"/>
      <c r="OO767" s="770" t="s">
        <v>1207</v>
      </c>
      <c r="OP767" s="770" t="s">
        <v>12885</v>
      </c>
      <c r="OQ767" s="770"/>
      <c r="OR767" s="770"/>
      <c r="OS767" s="770" t="s">
        <v>12885</v>
      </c>
      <c r="OT767" s="770"/>
      <c r="OU767" s="770"/>
      <c r="OV767" s="770" t="s">
        <v>1208</v>
      </c>
      <c r="OW767" s="770"/>
      <c r="OX767" s="770"/>
      <c r="OY767" s="770"/>
      <c r="OZ767" s="770"/>
      <c r="PA767" s="770"/>
      <c r="PB767" s="770"/>
      <c r="PC767" s="770"/>
      <c r="PD767" s="770"/>
      <c r="PE767" s="770"/>
      <c r="PF767" s="770"/>
      <c r="PG767" s="770"/>
      <c r="PH767" s="770"/>
      <c r="PI767" s="770"/>
      <c r="PJ767" s="770"/>
      <c r="PK767" s="770" t="s">
        <v>1208</v>
      </c>
      <c r="PL767" s="770"/>
      <c r="PM767" s="770"/>
      <c r="PN767" s="770"/>
      <c r="PO767" s="770"/>
      <c r="PP767" s="770"/>
      <c r="PQ767" s="770"/>
      <c r="PR767" s="770"/>
      <c r="PS767" s="770"/>
      <c r="PT767" s="770"/>
      <c r="PU767" s="770"/>
      <c r="PV767" s="770"/>
      <c r="PW767" s="770"/>
      <c r="PX767" s="770"/>
      <c r="PY767" s="770"/>
      <c r="PZ767" s="770"/>
      <c r="QA767" s="770"/>
      <c r="QB767" s="770"/>
      <c r="QC767" s="770"/>
      <c r="QD767" s="770"/>
      <c r="QE767" s="770"/>
      <c r="QF767" s="770"/>
      <c r="QG767" s="770"/>
      <c r="QH767" s="770"/>
      <c r="QI767" s="770"/>
      <c r="QJ767" s="770"/>
      <c r="QK767" s="770"/>
      <c r="QL767" s="770"/>
      <c r="QM767" s="770"/>
      <c r="QN767" s="770"/>
      <c r="QO767" s="770"/>
      <c r="QP767" s="770"/>
      <c r="QQ767" s="770"/>
      <c r="QR767" s="770"/>
      <c r="QS767" s="770"/>
      <c r="QT767" s="770"/>
      <c r="QU767" s="770"/>
      <c r="QV767" s="770"/>
      <c r="QW767" s="770"/>
      <c r="QX767" s="770"/>
      <c r="QY767" s="770"/>
      <c r="QZ767" s="770"/>
      <c r="RA767" s="770"/>
      <c r="RB767" s="770" t="s">
        <v>1207</v>
      </c>
      <c r="RC767" s="770">
        <v>2016</v>
      </c>
      <c r="RD767" s="770" t="s">
        <v>13450</v>
      </c>
      <c r="RE767" s="770" t="s">
        <v>13125</v>
      </c>
      <c r="RF767" s="304">
        <v>0.5</v>
      </c>
      <c r="RG767" s="770" t="s">
        <v>13047</v>
      </c>
      <c r="RH767" s="306">
        <v>0</v>
      </c>
      <c r="RI767" s="770">
        <v>0.5</v>
      </c>
      <c r="RJ767" s="94" t="s">
        <v>4995</v>
      </c>
      <c r="RK767" s="770" t="s">
        <v>13556</v>
      </c>
      <c r="RL767" s="1710">
        <v>42849</v>
      </c>
      <c r="RM767" s="12"/>
      <c r="RN767" s="1711"/>
      <c r="RO767" s="149" t="s">
        <v>11829</v>
      </c>
      <c r="RP767" s="11"/>
      <c r="RQ767" s="11"/>
      <c r="RR767" s="311" t="s">
        <v>12353</v>
      </c>
      <c r="RS767" s="1139" t="s">
        <v>12980</v>
      </c>
      <c r="RT767" s="11"/>
      <c r="RU767" s="11"/>
      <c r="RV767" s="771" t="s">
        <v>12355</v>
      </c>
      <c r="RW767" s="11" t="s">
        <v>8046</v>
      </c>
      <c r="RX767" s="11" t="s">
        <v>3195</v>
      </c>
      <c r="RY767" s="11"/>
      <c r="RZ767" s="11"/>
      <c r="SA767" s="771"/>
      <c r="SB767" s="11"/>
      <c r="SC767" s="11"/>
    </row>
    <row r="768" spans="1:497" ht="12.75" hidden="1" customHeight="1">
      <c r="A768" s="343" t="s">
        <v>7419</v>
      </c>
      <c r="B768" s="809" t="s">
        <v>8049</v>
      </c>
      <c r="C768" s="149" t="s">
        <v>4996</v>
      </c>
      <c r="D768" s="94" t="s">
        <v>4997</v>
      </c>
      <c r="E768" s="766" t="s">
        <v>4998</v>
      </c>
      <c r="F768" s="770" t="s">
        <v>28</v>
      </c>
      <c r="G768" s="770" t="s">
        <v>10</v>
      </c>
      <c r="H768" s="12"/>
      <c r="I768" s="295" t="s">
        <v>4999</v>
      </c>
      <c r="J768" s="94" t="s">
        <v>4997</v>
      </c>
      <c r="K768" s="766" t="s">
        <v>5000</v>
      </c>
      <c r="L768" s="766" t="s">
        <v>3947</v>
      </c>
      <c r="M768" s="770" t="s">
        <v>1238</v>
      </c>
      <c r="N768" s="1757"/>
      <c r="O768" s="1757" t="s">
        <v>3212</v>
      </c>
      <c r="P768" s="94" t="s">
        <v>5001</v>
      </c>
      <c r="Q768" s="1088">
        <v>24317</v>
      </c>
      <c r="R768" s="297">
        <v>52</v>
      </c>
      <c r="S768" s="770" t="s">
        <v>10</v>
      </c>
      <c r="T768" s="770"/>
      <c r="U768" s="295" t="s">
        <v>4999</v>
      </c>
      <c r="V768" s="770" t="s">
        <v>707</v>
      </c>
      <c r="W768" s="770"/>
      <c r="X768" s="770"/>
      <c r="Y768" s="770" t="s">
        <v>4998</v>
      </c>
      <c r="Z768" s="770" t="s">
        <v>708</v>
      </c>
      <c r="AA768" s="770" t="s">
        <v>709</v>
      </c>
      <c r="AB768" s="770" t="s">
        <v>710</v>
      </c>
      <c r="AC768" s="770"/>
      <c r="AD768" s="770" t="s">
        <v>711</v>
      </c>
      <c r="AE768" s="770"/>
      <c r="AF768" s="770" t="s">
        <v>712</v>
      </c>
      <c r="AG768" s="766" t="s">
        <v>1095</v>
      </c>
      <c r="AH768" s="766" t="s">
        <v>1096</v>
      </c>
      <c r="AI768" s="770"/>
      <c r="AJ768" s="770" t="s">
        <v>1137</v>
      </c>
      <c r="AK768" s="770" t="s">
        <v>1097</v>
      </c>
      <c r="AL768" s="531">
        <v>36</v>
      </c>
      <c r="AM768" s="780">
        <v>9</v>
      </c>
      <c r="AN768" s="532">
        <f t="shared" si="232"/>
        <v>0.25</v>
      </c>
      <c r="AO768" s="766" t="s">
        <v>1149</v>
      </c>
      <c r="AP768" s="766" t="s">
        <v>7223</v>
      </c>
      <c r="AQ768" s="766" t="s">
        <v>7418</v>
      </c>
      <c r="AR768" s="766"/>
      <c r="AS768" s="770" t="s">
        <v>1207</v>
      </c>
      <c r="AT768" s="770"/>
      <c r="AU768" s="770"/>
      <c r="AV768" s="770"/>
      <c r="AW768" s="770"/>
      <c r="AX768" s="770"/>
      <c r="AY768" s="770"/>
      <c r="AZ768" s="770"/>
      <c r="BA768" s="770"/>
      <c r="BB768" s="770"/>
      <c r="BC768" s="770"/>
      <c r="BD768" s="770"/>
      <c r="BE768" s="770"/>
      <c r="BF768" s="302"/>
      <c r="BG768" s="302"/>
      <c r="BH768" s="770"/>
      <c r="BI768" s="770"/>
      <c r="BJ768" s="770"/>
      <c r="BK768" s="766" t="s">
        <v>1095</v>
      </c>
      <c r="BL768" s="766" t="s">
        <v>5002</v>
      </c>
      <c r="BM768" s="766" t="s">
        <v>1096</v>
      </c>
      <c r="BN768" s="766" t="s">
        <v>1230</v>
      </c>
      <c r="BO768" s="766" t="s">
        <v>1246</v>
      </c>
      <c r="BP768" s="765">
        <v>36</v>
      </c>
      <c r="BQ768" s="773">
        <v>9</v>
      </c>
      <c r="BR768" s="774">
        <f t="shared" si="234"/>
        <v>0.25</v>
      </c>
      <c r="BS768" s="6" t="s">
        <v>1149</v>
      </c>
      <c r="BT768" s="766" t="s">
        <v>2040</v>
      </c>
      <c r="BU768" s="770" t="s">
        <v>1249</v>
      </c>
      <c r="BV768" s="770" t="s">
        <v>1247</v>
      </c>
      <c r="BW768" s="770">
        <v>1966</v>
      </c>
      <c r="BX768" s="302"/>
      <c r="BY768" s="770" t="s">
        <v>1214</v>
      </c>
      <c r="BZ768" s="302"/>
      <c r="CA768" s="770"/>
      <c r="CB768" s="770"/>
      <c r="CC768" s="770"/>
      <c r="CD768" s="770"/>
      <c r="CE768" s="302"/>
      <c r="CF768" s="304"/>
      <c r="CG768" s="321"/>
      <c r="CH768" s="770"/>
      <c r="CI768" s="770"/>
      <c r="CJ768" s="770"/>
      <c r="CK768" s="770"/>
      <c r="CL768" s="770"/>
      <c r="CM768" s="770"/>
      <c r="CN768" s="770"/>
      <c r="CO768" s="770"/>
      <c r="CP768" s="770"/>
      <c r="CQ768" s="770"/>
      <c r="CR768" s="302"/>
      <c r="CS768" s="770"/>
      <c r="CT768" s="770"/>
      <c r="CU768" s="305"/>
      <c r="CV768" s="770"/>
      <c r="CW768" s="770"/>
      <c r="CX768" s="770"/>
      <c r="CY768" s="770"/>
      <c r="CZ768" s="770"/>
      <c r="DA768" s="306"/>
      <c r="DB768" s="770"/>
      <c r="DC768" s="770"/>
      <c r="DD768" s="770"/>
      <c r="DE768" s="300"/>
      <c r="DF768" s="770"/>
      <c r="DG768" s="770"/>
      <c r="DH768" s="770"/>
      <c r="DI768" s="770"/>
      <c r="DJ768" s="770"/>
      <c r="DK768" s="770"/>
      <c r="DL768" s="770"/>
      <c r="DM768" s="770"/>
      <c r="DN768" s="322"/>
      <c r="DO768" s="770"/>
      <c r="DP768" s="770"/>
      <c r="DQ768" s="770"/>
      <c r="DR768" s="770"/>
      <c r="DS768" s="307"/>
      <c r="DT768" s="770"/>
      <c r="DU768" s="770"/>
      <c r="DV768" s="770"/>
      <c r="DW768" s="306"/>
      <c r="DX768" s="306"/>
      <c r="DY768" s="1055"/>
      <c r="DZ768" s="770"/>
      <c r="EA768" s="770"/>
      <c r="EB768" s="770"/>
      <c r="EC768" s="770"/>
      <c r="ED768" s="770"/>
      <c r="EE768" s="770"/>
      <c r="EF768" s="770"/>
      <c r="EG768" s="770"/>
      <c r="EH768" s="770"/>
      <c r="EI768" s="770"/>
      <c r="EJ768" s="770"/>
      <c r="EK768" s="770"/>
      <c r="EL768" s="770"/>
      <c r="EM768" s="770"/>
      <c r="EN768" s="770"/>
      <c r="EO768" s="770"/>
      <c r="EP768" s="94"/>
      <c r="EQ768" s="770"/>
      <c r="ER768" s="770"/>
      <c r="ES768" s="770"/>
      <c r="ET768" s="770"/>
      <c r="EU768" s="770"/>
      <c r="EV768" s="770"/>
      <c r="EW768" s="770"/>
      <c r="EX768" s="770"/>
      <c r="EY768" s="770"/>
      <c r="EZ768" s="770"/>
      <c r="FA768" s="770"/>
      <c r="FB768" s="770"/>
      <c r="FC768" s="770"/>
      <c r="FD768" s="302"/>
      <c r="FE768" s="770"/>
      <c r="FF768" s="770"/>
      <c r="FG768" s="770"/>
      <c r="FH768" s="770" t="s">
        <v>478</v>
      </c>
      <c r="FI768" s="770">
        <v>1</v>
      </c>
      <c r="FJ768" s="770"/>
      <c r="FK768" s="770"/>
      <c r="FL768" s="770" t="s">
        <v>4998</v>
      </c>
      <c r="FM768" s="302"/>
      <c r="FN768" s="302"/>
      <c r="FO768" s="302"/>
      <c r="FP768" s="766" t="s">
        <v>1602</v>
      </c>
      <c r="FQ768" s="766" t="s">
        <v>1660</v>
      </c>
      <c r="FR768" s="770" t="s">
        <v>1214</v>
      </c>
      <c r="FS768" s="770"/>
      <c r="FT768" s="770"/>
      <c r="FU768" s="770"/>
      <c r="FV768" s="770"/>
      <c r="FW768" s="770"/>
      <c r="FX768" s="770"/>
      <c r="FY768" s="770"/>
      <c r="FZ768" s="770"/>
      <c r="GA768" s="770"/>
      <c r="GB768" s="770" t="s">
        <v>853</v>
      </c>
      <c r="GC768" s="308"/>
      <c r="GD768" s="297"/>
      <c r="GE768" s="770" t="s">
        <v>1214</v>
      </c>
      <c r="GF768" s="302"/>
      <c r="GG768" s="302"/>
      <c r="GH768" s="13"/>
      <c r="GI768" s="770"/>
      <c r="GJ768" s="770"/>
      <c r="GK768" s="770"/>
      <c r="GL768" s="770"/>
      <c r="GM768" s="770"/>
      <c r="GN768" s="299"/>
      <c r="GO768" s="770"/>
      <c r="GP768" s="770"/>
      <c r="GQ768" s="770"/>
      <c r="GR768" s="770"/>
      <c r="GS768" s="770"/>
      <c r="GT768" s="770"/>
      <c r="GU768" s="770"/>
      <c r="GV768" s="770"/>
      <c r="GW768" s="770"/>
      <c r="GX768" s="770"/>
      <c r="GY768" s="770"/>
      <c r="GZ768" s="770"/>
      <c r="HA768" s="770"/>
      <c r="HB768" s="770"/>
      <c r="HC768" s="770"/>
      <c r="HD768" s="770"/>
      <c r="HE768" s="770"/>
      <c r="HF768" s="770"/>
      <c r="HG768" s="770"/>
      <c r="HH768" s="770"/>
      <c r="HI768" s="770" t="s">
        <v>1207</v>
      </c>
      <c r="HJ768" s="770" t="s">
        <v>5003</v>
      </c>
      <c r="HK768" s="770" t="s">
        <v>4998</v>
      </c>
      <c r="HL768" s="770" t="s">
        <v>1214</v>
      </c>
      <c r="HM768" s="770"/>
      <c r="HN768" s="770"/>
      <c r="HO768" s="770"/>
      <c r="HP768" s="770"/>
      <c r="HQ768" s="770"/>
      <c r="HR768" s="770">
        <v>1</v>
      </c>
      <c r="HS768" s="770">
        <v>9</v>
      </c>
      <c r="HT768" s="770">
        <v>2</v>
      </c>
      <c r="HU768" s="770"/>
      <c r="HV768" s="770"/>
      <c r="HW768" s="770"/>
      <c r="HX768" s="770"/>
      <c r="HY768" s="770"/>
      <c r="HZ768" s="770"/>
      <c r="IA768" s="770"/>
      <c r="IB768" s="14" t="e">
        <f>IF(#REF!&gt;0,IF(#REF!&lt;=10000,"Y",""),"")</f>
        <v>#REF!</v>
      </c>
      <c r="IC768" s="770"/>
      <c r="ID768" s="770"/>
      <c r="IE768" s="770">
        <v>1</v>
      </c>
      <c r="IF768" s="770"/>
      <c r="IG768" s="770"/>
      <c r="IH768" s="770"/>
      <c r="II768" s="770"/>
      <c r="IJ768" s="770"/>
      <c r="IK768" s="770"/>
      <c r="IL768" s="770"/>
      <c r="IM768" s="770"/>
      <c r="IN768" s="770"/>
      <c r="IO768" s="296"/>
      <c r="IP768" s="770"/>
      <c r="IQ768" s="770"/>
      <c r="IR768" s="770"/>
      <c r="IS768" s="770"/>
      <c r="IT768" s="770"/>
      <c r="IU768" s="770"/>
      <c r="IV768" s="770"/>
      <c r="IW768" s="770"/>
      <c r="IX768" s="770"/>
      <c r="IY768" s="770"/>
      <c r="IZ768" s="770"/>
      <c r="JA768" s="770"/>
      <c r="JB768" s="770"/>
      <c r="JC768" s="770"/>
      <c r="JD768" s="302"/>
      <c r="JE768" s="770"/>
      <c r="JF768" s="770"/>
      <c r="JG768" s="770"/>
      <c r="JH768" s="307"/>
      <c r="JI768" s="307"/>
      <c r="JJ768" s="770">
        <v>10</v>
      </c>
      <c r="JK768" s="1139" t="s">
        <v>5004</v>
      </c>
      <c r="JL768" s="770">
        <v>2</v>
      </c>
      <c r="JM768" s="770">
        <v>1</v>
      </c>
      <c r="JN768" s="770">
        <v>5</v>
      </c>
      <c r="JO768" s="770">
        <v>2</v>
      </c>
      <c r="JP768" s="770"/>
      <c r="JQ768" s="770"/>
      <c r="JR768" s="770"/>
      <c r="JS768" s="770"/>
      <c r="JT768" s="766">
        <f t="shared" si="235"/>
        <v>7</v>
      </c>
      <c r="JU768" s="766">
        <f t="shared" si="235"/>
        <v>3</v>
      </c>
      <c r="JV768" s="712" t="str">
        <f t="shared" si="236"/>
        <v>ok</v>
      </c>
      <c r="JW768" s="712" t="str">
        <f t="shared" si="237"/>
        <v>ok</v>
      </c>
      <c r="JX768" s="770">
        <v>2</v>
      </c>
      <c r="JY768" s="770">
        <v>1</v>
      </c>
      <c r="JZ768" s="770"/>
      <c r="KA768" s="770"/>
      <c r="KB768" s="770">
        <v>4</v>
      </c>
      <c r="KC768" s="770">
        <v>1</v>
      </c>
      <c r="KD768" s="770">
        <v>1</v>
      </c>
      <c r="KE768" s="770">
        <v>1</v>
      </c>
      <c r="KF768" s="770"/>
      <c r="KG768" s="770"/>
      <c r="KH768" s="770"/>
      <c r="KI768" s="770"/>
      <c r="KJ768" s="770">
        <f t="shared" si="225"/>
        <v>7</v>
      </c>
      <c r="KK768" s="770">
        <f t="shared" si="225"/>
        <v>3</v>
      </c>
      <c r="KL768" s="712" t="str">
        <f t="shared" si="238"/>
        <v>ok</v>
      </c>
      <c r="KM768" s="712" t="str">
        <f t="shared" si="239"/>
        <v>ok</v>
      </c>
      <c r="KN768" s="770" t="s">
        <v>707</v>
      </c>
      <c r="KO768" s="770"/>
      <c r="KP768" s="770"/>
      <c r="KQ768" s="770"/>
      <c r="KR768" s="770">
        <v>1</v>
      </c>
      <c r="KS768" s="770">
        <v>1</v>
      </c>
      <c r="KT768" s="770"/>
      <c r="KU768" s="770"/>
      <c r="KV768" s="770"/>
      <c r="KW768" s="770"/>
      <c r="KX768" s="770">
        <v>2</v>
      </c>
      <c r="KY768" s="770">
        <v>1</v>
      </c>
      <c r="KZ768" s="770">
        <v>1</v>
      </c>
      <c r="LA768" s="770"/>
      <c r="LB768" s="770">
        <v>1</v>
      </c>
      <c r="LC768" s="770">
        <v>1</v>
      </c>
      <c r="LD768" s="770">
        <v>1</v>
      </c>
      <c r="LE768" s="770"/>
      <c r="LF768" s="770"/>
      <c r="LG768" s="770"/>
      <c r="LH768" s="770"/>
      <c r="LI768" s="770"/>
      <c r="LJ768" s="770">
        <v>1</v>
      </c>
      <c r="LK768" s="770"/>
      <c r="LL768" s="770"/>
      <c r="LM768" s="770"/>
      <c r="LN768" s="766">
        <f t="shared" si="230"/>
        <v>7</v>
      </c>
      <c r="LO768" s="766">
        <f t="shared" si="230"/>
        <v>3</v>
      </c>
      <c r="LP768" s="770">
        <v>4</v>
      </c>
      <c r="LQ768" s="770">
        <v>4</v>
      </c>
      <c r="LR768" s="770"/>
      <c r="LS768" s="770"/>
      <c r="LT768" s="712" t="str">
        <f t="shared" si="240"/>
        <v>OK</v>
      </c>
      <c r="LU768" s="770">
        <v>2</v>
      </c>
      <c r="LV768" s="770">
        <v>2</v>
      </c>
      <c r="LW768" s="770"/>
      <c r="LX768" s="769">
        <v>3</v>
      </c>
      <c r="LY768" s="766" t="str">
        <f t="shared" si="231"/>
        <v>within the PROVINCE</v>
      </c>
      <c r="LZ768" s="1709">
        <f>PRODUCT(SUM(10,30,64,32),26)</f>
        <v>3536</v>
      </c>
      <c r="MA768" s="1709"/>
      <c r="MB768" s="1709"/>
      <c r="MC768" s="1679">
        <f t="shared" si="229"/>
        <v>3536</v>
      </c>
      <c r="MD768" s="1709">
        <f>SUM(15000,1200*4)</f>
        <v>19800</v>
      </c>
      <c r="ME768" s="1709"/>
      <c r="MF768" s="1709"/>
      <c r="MG768" s="1680">
        <f t="shared" si="241"/>
        <v>19800</v>
      </c>
      <c r="MH768" s="770" t="s">
        <v>3640</v>
      </c>
      <c r="MI768" s="302">
        <v>15000</v>
      </c>
      <c r="MJ768" s="302">
        <v>3900</v>
      </c>
      <c r="MK768" s="302">
        <v>500</v>
      </c>
      <c r="ML768" s="302"/>
      <c r="MM768" s="302">
        <v>266</v>
      </c>
      <c r="MN768" s="302"/>
      <c r="MO768" s="302"/>
      <c r="MP768" s="302">
        <v>7000</v>
      </c>
      <c r="MQ768" s="302">
        <v>140</v>
      </c>
      <c r="MR768" s="302">
        <v>7000</v>
      </c>
      <c r="MS768" s="302"/>
      <c r="MT768" s="302"/>
      <c r="MU768" s="302"/>
      <c r="MV768" s="302"/>
      <c r="MW768" s="302"/>
      <c r="MX768" s="302"/>
      <c r="MY768" s="1682">
        <f t="shared" si="217"/>
        <v>33806</v>
      </c>
      <c r="MZ768" s="770" t="s">
        <v>13370</v>
      </c>
      <c r="NA768" s="770" t="s">
        <v>13230</v>
      </c>
      <c r="NB768" s="770" t="s">
        <v>13016</v>
      </c>
      <c r="NC768" s="770" t="s">
        <v>13602</v>
      </c>
      <c r="ND768" s="770">
        <v>0</v>
      </c>
      <c r="NE768" s="770">
        <v>0</v>
      </c>
      <c r="NF768" s="770">
        <v>0</v>
      </c>
      <c r="NG768" s="770">
        <v>2</v>
      </c>
      <c r="NH768" s="770">
        <v>1</v>
      </c>
      <c r="NI768" s="770">
        <v>0</v>
      </c>
      <c r="NJ768" s="770">
        <v>0</v>
      </c>
      <c r="NK768" s="770">
        <v>0</v>
      </c>
      <c r="NL768" s="770">
        <v>0</v>
      </c>
      <c r="NM768" s="770">
        <v>0</v>
      </c>
      <c r="NN768" s="770">
        <v>0</v>
      </c>
      <c r="NO768" s="770">
        <v>0</v>
      </c>
      <c r="NP768" s="770">
        <v>0</v>
      </c>
      <c r="NQ768" s="770">
        <v>0</v>
      </c>
      <c r="NR768" s="770">
        <v>0</v>
      </c>
      <c r="NS768" s="770">
        <v>0</v>
      </c>
      <c r="NT768" s="770">
        <v>0</v>
      </c>
      <c r="NU768" s="770">
        <v>0</v>
      </c>
      <c r="NV768" s="770">
        <v>0</v>
      </c>
      <c r="NW768" s="770">
        <v>0</v>
      </c>
      <c r="NX768" s="770">
        <v>0</v>
      </c>
      <c r="NY768" s="770" t="s">
        <v>1208</v>
      </c>
      <c r="NZ768" s="770" t="s">
        <v>1208</v>
      </c>
      <c r="OA768" s="770" t="s">
        <v>1208</v>
      </c>
      <c r="OB768" s="770" t="s">
        <v>1208</v>
      </c>
      <c r="OC768" s="770" t="s">
        <v>1208</v>
      </c>
      <c r="OD768" s="770"/>
      <c r="OE768" s="770"/>
      <c r="OF768" s="770"/>
      <c r="OG768" s="770"/>
      <c r="OH768" s="770"/>
      <c r="OI768" s="770"/>
      <c r="OJ768" s="770"/>
      <c r="OK768" s="770"/>
      <c r="OL768" s="770"/>
      <c r="OM768" s="770"/>
      <c r="ON768" s="770"/>
      <c r="OO768" s="770"/>
      <c r="OP768" s="770"/>
      <c r="OQ768" s="770"/>
      <c r="OR768" s="770"/>
      <c r="OS768" s="770"/>
      <c r="OT768" s="770"/>
      <c r="OU768" s="770"/>
      <c r="OV768" s="770"/>
      <c r="OW768" s="770"/>
      <c r="OX768" s="770"/>
      <c r="OY768" s="770"/>
      <c r="OZ768" s="770"/>
      <c r="PA768" s="770"/>
      <c r="PB768" s="770"/>
      <c r="PC768" s="770"/>
      <c r="PD768" s="770"/>
      <c r="PE768" s="770"/>
      <c r="PF768" s="770" t="s">
        <v>1208</v>
      </c>
      <c r="PG768" s="770"/>
      <c r="PH768" s="770" t="s">
        <v>1208</v>
      </c>
      <c r="PI768" s="770" t="s">
        <v>1208</v>
      </c>
      <c r="PJ768" s="770" t="s">
        <v>1208</v>
      </c>
      <c r="PK768" s="770" t="s">
        <v>1208</v>
      </c>
      <c r="PL768" s="770"/>
      <c r="PM768" s="770"/>
      <c r="PN768" s="770"/>
      <c r="PO768" s="770"/>
      <c r="PP768" s="770"/>
      <c r="PQ768" s="770"/>
      <c r="PR768" s="770"/>
      <c r="PS768" s="770"/>
      <c r="PT768" s="770"/>
      <c r="PU768" s="770"/>
      <c r="PV768" s="770"/>
      <c r="PW768" s="770"/>
      <c r="PX768" s="770"/>
      <c r="PY768" s="770"/>
      <c r="PZ768" s="770"/>
      <c r="QA768" s="770"/>
      <c r="QB768" s="770"/>
      <c r="QC768" s="770"/>
      <c r="QD768" s="770"/>
      <c r="QE768" s="770"/>
      <c r="QF768" s="770"/>
      <c r="QG768" s="770"/>
      <c r="QH768" s="770"/>
      <c r="QI768" s="770"/>
      <c r="QJ768" s="770"/>
      <c r="QK768" s="770"/>
      <c r="QL768" s="770"/>
      <c r="QM768" s="770"/>
      <c r="QN768" s="770"/>
      <c r="QO768" s="770"/>
      <c r="QP768" s="770"/>
      <c r="QQ768" s="770"/>
      <c r="QR768" s="770"/>
      <c r="QS768" s="770"/>
      <c r="QT768" s="770"/>
      <c r="QU768" s="770"/>
      <c r="QV768" s="770"/>
      <c r="QW768" s="770" t="s">
        <v>1208</v>
      </c>
      <c r="QX768" s="770"/>
      <c r="QY768" s="770"/>
      <c r="QZ768" s="770"/>
      <c r="RA768" s="770"/>
      <c r="RB768" s="770" t="s">
        <v>1207</v>
      </c>
      <c r="RC768" s="770">
        <v>2013</v>
      </c>
      <c r="RD768" s="770" t="s">
        <v>13867</v>
      </c>
      <c r="RE768" s="770" t="s">
        <v>12990</v>
      </c>
      <c r="RF768" s="304">
        <v>1</v>
      </c>
      <c r="RG768" s="770" t="s">
        <v>13047</v>
      </c>
      <c r="RH768" s="306"/>
      <c r="RI768" s="770">
        <v>2</v>
      </c>
      <c r="RJ768" s="94" t="s">
        <v>13991</v>
      </c>
      <c r="RK768" s="770" t="s">
        <v>13544</v>
      </c>
      <c r="RL768" s="1710">
        <v>42849</v>
      </c>
      <c r="RM768" s="12"/>
      <c r="RN768" s="1711"/>
      <c r="RO768" s="149" t="s">
        <v>4996</v>
      </c>
      <c r="RP768" s="11"/>
      <c r="RQ768" s="11"/>
      <c r="RR768" s="343" t="s">
        <v>7419</v>
      </c>
      <c r="RS768" s="1139" t="s">
        <v>12980</v>
      </c>
      <c r="RT768" s="11"/>
      <c r="RU768" s="11"/>
      <c r="RV768" s="771" t="s">
        <v>12353</v>
      </c>
      <c r="RW768" s="11" t="s">
        <v>8047</v>
      </c>
      <c r="RX768" s="11" t="s">
        <v>3195</v>
      </c>
      <c r="RY768" s="11"/>
      <c r="RZ768" s="11" t="s">
        <v>1101</v>
      </c>
      <c r="SA768" s="771"/>
      <c r="SB768" s="11"/>
      <c r="SC768" s="11"/>
    </row>
    <row r="769" spans="1:497" ht="12.75" hidden="1" customHeight="1">
      <c r="A769" s="343" t="s">
        <v>7419</v>
      </c>
      <c r="B769" s="809" t="s">
        <v>7462</v>
      </c>
      <c r="C769" s="149" t="s">
        <v>3211</v>
      </c>
      <c r="D769" s="94" t="s">
        <v>5005</v>
      </c>
      <c r="E769" s="766" t="s">
        <v>5006</v>
      </c>
      <c r="F769" s="770" t="s">
        <v>28</v>
      </c>
      <c r="G769" s="770" t="s">
        <v>10</v>
      </c>
      <c r="H769" s="12"/>
      <c r="I769" s="295" t="s">
        <v>5007</v>
      </c>
      <c r="J769" s="94" t="s">
        <v>5005</v>
      </c>
      <c r="K769" s="766" t="s">
        <v>5008</v>
      </c>
      <c r="L769" s="766" t="s">
        <v>2745</v>
      </c>
      <c r="M769" s="770" t="s">
        <v>2402</v>
      </c>
      <c r="N769" s="1757"/>
      <c r="O769" s="1757" t="s">
        <v>3212</v>
      </c>
      <c r="P769" s="770" t="s">
        <v>5009</v>
      </c>
      <c r="Q769" s="1088">
        <v>21946</v>
      </c>
      <c r="R769" s="297">
        <v>57</v>
      </c>
      <c r="S769" s="770" t="s">
        <v>10</v>
      </c>
      <c r="T769" s="770"/>
      <c r="U769" s="295" t="s">
        <v>5007</v>
      </c>
      <c r="V769" s="770" t="s">
        <v>707</v>
      </c>
      <c r="W769" s="770"/>
      <c r="X769" s="770"/>
      <c r="Y769" s="770" t="s">
        <v>5006</v>
      </c>
      <c r="Z769" s="770" t="s">
        <v>708</v>
      </c>
      <c r="AA769" s="12" t="s">
        <v>709</v>
      </c>
      <c r="AB769" s="770" t="s">
        <v>710</v>
      </c>
      <c r="AC769" s="770"/>
      <c r="AD769" s="770" t="s">
        <v>711</v>
      </c>
      <c r="AE769" s="770"/>
      <c r="AF769" s="770" t="s">
        <v>712</v>
      </c>
      <c r="AG769" s="766" t="s">
        <v>1095</v>
      </c>
      <c r="AH769" s="766" t="s">
        <v>1096</v>
      </c>
      <c r="AI769" s="770"/>
      <c r="AJ769" s="770" t="s">
        <v>1137</v>
      </c>
      <c r="AK769" s="770" t="s">
        <v>1097</v>
      </c>
      <c r="AL769" s="531">
        <v>54.4</v>
      </c>
      <c r="AM769" s="780">
        <v>6.96</v>
      </c>
      <c r="AN769" s="532">
        <f t="shared" si="232"/>
        <v>0.12794117647058822</v>
      </c>
      <c r="AO769" s="766" t="s">
        <v>1109</v>
      </c>
      <c r="AP769" s="766" t="s">
        <v>7223</v>
      </c>
      <c r="AQ769" s="766" t="s">
        <v>7418</v>
      </c>
      <c r="AR769" s="766"/>
      <c r="AS769" s="409" t="s">
        <v>1207</v>
      </c>
      <c r="AT769" s="770"/>
      <c r="AU769" s="770" t="s">
        <v>1208</v>
      </c>
      <c r="AV769" s="770"/>
      <c r="AW769" s="770"/>
      <c r="AX769" s="13"/>
      <c r="AY769" s="770"/>
      <c r="AZ769" s="770"/>
      <c r="BA769" s="770"/>
      <c r="BB769" s="770" t="s">
        <v>5010</v>
      </c>
      <c r="BC769" s="770"/>
      <c r="BD769" s="770" t="s">
        <v>1207</v>
      </c>
      <c r="BE769" s="770"/>
      <c r="BF769" s="302"/>
      <c r="BG769" s="302"/>
      <c r="BH769" s="770"/>
      <c r="BI769" s="770"/>
      <c r="BJ769" s="770"/>
      <c r="BK769" s="766" t="s">
        <v>1095</v>
      </c>
      <c r="BL769" s="766" t="s">
        <v>5011</v>
      </c>
      <c r="BM769" s="766" t="s">
        <v>1096</v>
      </c>
      <c r="BN769" s="766" t="s">
        <v>1230</v>
      </c>
      <c r="BO769" s="766" t="s">
        <v>1239</v>
      </c>
      <c r="BP769" s="765">
        <v>108.8</v>
      </c>
      <c r="BQ769" s="773">
        <v>13.92</v>
      </c>
      <c r="BR769" s="774">
        <f t="shared" si="234"/>
        <v>0.12794117647058822</v>
      </c>
      <c r="BS769" s="766" t="s">
        <v>1242</v>
      </c>
      <c r="BT769" s="766" t="s">
        <v>2040</v>
      </c>
      <c r="BU769" s="770" t="s">
        <v>1249</v>
      </c>
      <c r="BV769" s="769"/>
      <c r="BW769" s="770">
        <v>1975</v>
      </c>
      <c r="BX769" s="302"/>
      <c r="BY769" s="770"/>
      <c r="BZ769" s="302"/>
      <c r="CA769" s="770"/>
      <c r="CB769" s="770"/>
      <c r="CC769" s="770"/>
      <c r="CD769" s="770"/>
      <c r="CE769" s="302"/>
      <c r="CF769" s="304"/>
      <c r="CG769" s="321"/>
      <c r="CH769" s="770"/>
      <c r="CI769" s="770"/>
      <c r="CJ769" s="770"/>
      <c r="CK769" s="770"/>
      <c r="CL769" s="770"/>
      <c r="CM769" s="770"/>
      <c r="CN769" s="770"/>
      <c r="CO769" s="770"/>
      <c r="CP769" s="770"/>
      <c r="CQ769" s="770"/>
      <c r="CR769" s="302"/>
      <c r="CS769" s="770"/>
      <c r="CT769" s="770"/>
      <c r="CU769" s="305"/>
      <c r="CV769" s="770"/>
      <c r="CW769" s="770"/>
      <c r="CX769" s="770"/>
      <c r="CY769" s="770"/>
      <c r="CZ769" s="770"/>
      <c r="DA769" s="306"/>
      <c r="DB769" s="770"/>
      <c r="DC769" s="770"/>
      <c r="DD769" s="770"/>
      <c r="DE769" s="300"/>
      <c r="DF769" s="770"/>
      <c r="DG769" s="770"/>
      <c r="DH769" s="770"/>
      <c r="DI769" s="770"/>
      <c r="DJ769" s="770"/>
      <c r="DK769" s="770"/>
      <c r="DL769" s="770"/>
      <c r="DM769" s="770"/>
      <c r="DN769" s="322"/>
      <c r="DO769" s="770"/>
      <c r="DP769" s="770"/>
      <c r="DQ769" s="770"/>
      <c r="DR769" s="770"/>
      <c r="DS769" s="307"/>
      <c r="DT769" s="770"/>
      <c r="DU769" s="770"/>
      <c r="DV769" s="770"/>
      <c r="DW769" s="306"/>
      <c r="DX769" s="306"/>
      <c r="DY769" s="1055"/>
      <c r="DZ769" s="770"/>
      <c r="EA769" s="770"/>
      <c r="EB769" s="770"/>
      <c r="EC769" s="770"/>
      <c r="ED769" s="770"/>
      <c r="EE769" s="770"/>
      <c r="EF769" s="770"/>
      <c r="EG769" s="770"/>
      <c r="EH769" s="770"/>
      <c r="EI769" s="770"/>
      <c r="EJ769" s="770"/>
      <c r="EK769" s="770"/>
      <c r="EL769" s="770"/>
      <c r="EM769" s="770"/>
      <c r="EN769" s="770"/>
      <c r="EO769" s="770"/>
      <c r="EP769" s="94"/>
      <c r="EQ769" s="770"/>
      <c r="ER769" s="770"/>
      <c r="ES769" s="770"/>
      <c r="ET769" s="770"/>
      <c r="EU769" s="770"/>
      <c r="EV769" s="770"/>
      <c r="EW769" s="770"/>
      <c r="EX769" s="770"/>
      <c r="EY769" s="770"/>
      <c r="EZ769" s="770"/>
      <c r="FA769" s="770"/>
      <c r="FB769" s="770"/>
      <c r="FC769" s="770"/>
      <c r="FD769" s="302"/>
      <c r="FE769" s="770"/>
      <c r="FF769" s="770"/>
      <c r="FG769" s="770"/>
      <c r="FH769" s="770" t="s">
        <v>478</v>
      </c>
      <c r="FI769" s="770">
        <v>1</v>
      </c>
      <c r="FJ769" s="770"/>
      <c r="FK769" s="770"/>
      <c r="FL769" s="770"/>
      <c r="FM769" s="302"/>
      <c r="FN769" s="302"/>
      <c r="FO769" s="302"/>
      <c r="FP769" s="770" t="s">
        <v>1600</v>
      </c>
      <c r="FQ769" s="770" t="s">
        <v>1642</v>
      </c>
      <c r="FR769" s="770" t="s">
        <v>1214</v>
      </c>
      <c r="FS769" s="770"/>
      <c r="FT769" s="770"/>
      <c r="FU769" s="770"/>
      <c r="FV769" s="770"/>
      <c r="FW769" s="770"/>
      <c r="FX769" s="770"/>
      <c r="FY769" s="770"/>
      <c r="FZ769" s="770"/>
      <c r="GA769" s="770"/>
      <c r="GB769" s="770" t="s">
        <v>1734</v>
      </c>
      <c r="GC769" s="308"/>
      <c r="GD769" s="297">
        <v>1975</v>
      </c>
      <c r="GE769" s="770" t="s">
        <v>1214</v>
      </c>
      <c r="GF769" s="302"/>
      <c r="GG769" s="302"/>
      <c r="GH769" s="770"/>
      <c r="GI769" s="770"/>
      <c r="GJ769" s="770"/>
      <c r="GK769" s="770"/>
      <c r="GL769" s="770"/>
      <c r="GM769" s="770"/>
      <c r="GN769" s="299"/>
      <c r="GO769" s="770"/>
      <c r="GP769" s="770"/>
      <c r="GQ769" s="770"/>
      <c r="GR769" s="770"/>
      <c r="GS769" s="770"/>
      <c r="GT769" s="770"/>
      <c r="GU769" s="770"/>
      <c r="GV769" s="770"/>
      <c r="GW769" s="770"/>
      <c r="GX769" s="770"/>
      <c r="GY769" s="770"/>
      <c r="GZ769" s="770"/>
      <c r="HA769" s="770"/>
      <c r="HB769" s="770"/>
      <c r="HC769" s="770"/>
      <c r="HD769" s="770"/>
      <c r="HE769" s="770"/>
      <c r="HF769" s="770"/>
      <c r="HG769" s="770"/>
      <c r="HH769" s="770"/>
      <c r="HI769" s="770"/>
      <c r="HJ769" s="770"/>
      <c r="HK769" s="770"/>
      <c r="HL769" s="770"/>
      <c r="HM769" s="770"/>
      <c r="HN769" s="770"/>
      <c r="HO769" s="770"/>
      <c r="HP769" s="770"/>
      <c r="HQ769" s="770"/>
      <c r="HR769" s="770">
        <v>3</v>
      </c>
      <c r="HS769" s="770">
        <v>3</v>
      </c>
      <c r="HT769" s="770">
        <v>3</v>
      </c>
      <c r="HU769" s="770"/>
      <c r="HV769" s="770"/>
      <c r="HW769" s="770"/>
      <c r="HX769" s="770"/>
      <c r="HY769" s="770"/>
      <c r="HZ769" s="770"/>
      <c r="IA769" s="770"/>
      <c r="IB769" s="770"/>
      <c r="IC769" s="770"/>
      <c r="ID769" s="770"/>
      <c r="IE769" s="770"/>
      <c r="IF769" s="770"/>
      <c r="IG769" s="770"/>
      <c r="IH769" s="770"/>
      <c r="II769" s="770"/>
      <c r="IJ769" s="770"/>
      <c r="IK769" s="770"/>
      <c r="IL769" s="770"/>
      <c r="IM769" s="770"/>
      <c r="IN769" s="770"/>
      <c r="IO769" s="296"/>
      <c r="IP769" s="770"/>
      <c r="IQ769" s="770"/>
      <c r="IR769" s="770"/>
      <c r="IS769" s="770"/>
      <c r="IT769" s="770"/>
      <c r="IU769" s="770"/>
      <c r="IV769" s="770"/>
      <c r="IW769" s="770"/>
      <c r="IX769" s="770"/>
      <c r="IY769" s="770"/>
      <c r="IZ769" s="770"/>
      <c r="JA769" s="770"/>
      <c r="JB769" s="770"/>
      <c r="JC769" s="770"/>
      <c r="JD769" s="302"/>
      <c r="JE769" s="770"/>
      <c r="JF769" s="770"/>
      <c r="JG769" s="770"/>
      <c r="JH769" s="307"/>
      <c r="JI769" s="307"/>
      <c r="JJ769" s="770">
        <v>2</v>
      </c>
      <c r="JK769" s="770" t="s">
        <v>5010</v>
      </c>
      <c r="JL769" s="770"/>
      <c r="JM769" s="770"/>
      <c r="JN769" s="770"/>
      <c r="JO769" s="770"/>
      <c r="JP769" s="770">
        <v>1</v>
      </c>
      <c r="JQ769" s="770">
        <v>1</v>
      </c>
      <c r="JR769" s="770"/>
      <c r="JS769" s="770"/>
      <c r="JT769" s="766">
        <f t="shared" si="235"/>
        <v>1</v>
      </c>
      <c r="JU769" s="766">
        <f t="shared" si="235"/>
        <v>1</v>
      </c>
      <c r="JV769" s="766"/>
      <c r="JW769" s="766"/>
      <c r="JX769" s="770"/>
      <c r="JY769" s="770"/>
      <c r="JZ769" s="770"/>
      <c r="KA769" s="770"/>
      <c r="KB769" s="770"/>
      <c r="KC769" s="770"/>
      <c r="KD769" s="770">
        <v>1</v>
      </c>
      <c r="KE769" s="770">
        <v>1</v>
      </c>
      <c r="KF769" s="770"/>
      <c r="KG769" s="770"/>
      <c r="KH769" s="770"/>
      <c r="KI769" s="770"/>
      <c r="KJ769" s="770">
        <f t="shared" si="225"/>
        <v>1</v>
      </c>
      <c r="KK769" s="770">
        <f t="shared" si="225"/>
        <v>1</v>
      </c>
      <c r="KL769" s="770"/>
      <c r="KM769" s="770"/>
      <c r="KN769" s="770" t="s">
        <v>707</v>
      </c>
      <c r="KO769" s="770"/>
      <c r="KP769" s="770"/>
      <c r="KQ769" s="770"/>
      <c r="KR769" s="770"/>
      <c r="KS769" s="770"/>
      <c r="KT769" s="770"/>
      <c r="KU769" s="770"/>
      <c r="KV769" s="770"/>
      <c r="KW769" s="770"/>
      <c r="KX769" s="770"/>
      <c r="KY769" s="770"/>
      <c r="KZ769" s="770">
        <v>1</v>
      </c>
      <c r="LA769" s="770"/>
      <c r="LB769" s="770"/>
      <c r="LC769" s="770">
        <v>1</v>
      </c>
      <c r="LD769" s="770"/>
      <c r="LE769" s="770"/>
      <c r="LF769" s="770"/>
      <c r="LG769" s="770"/>
      <c r="LH769" s="770"/>
      <c r="LI769" s="770"/>
      <c r="LJ769" s="770"/>
      <c r="LK769" s="770"/>
      <c r="LL769" s="770"/>
      <c r="LM769" s="770"/>
      <c r="LN769" s="766">
        <f t="shared" si="230"/>
        <v>1</v>
      </c>
      <c r="LO769" s="766">
        <f t="shared" si="230"/>
        <v>1</v>
      </c>
      <c r="LP769" s="770">
        <v>1</v>
      </c>
      <c r="LQ769" s="770">
        <v>1</v>
      </c>
      <c r="LR769" s="770"/>
      <c r="LS769" s="770"/>
      <c r="LT769" s="770"/>
      <c r="LU769" s="770"/>
      <c r="LV769" s="770"/>
      <c r="LW769" s="770"/>
      <c r="LX769" s="769">
        <v>1</v>
      </c>
      <c r="LY769" s="766" t="str">
        <f t="shared" si="231"/>
        <v>within the BRGY</v>
      </c>
      <c r="LZ769" s="1709"/>
      <c r="MA769" s="1709"/>
      <c r="MB769" s="1709"/>
      <c r="MC769" s="1679">
        <f t="shared" si="229"/>
        <v>0</v>
      </c>
      <c r="MD769" s="1709">
        <v>9000</v>
      </c>
      <c r="ME769" s="1709"/>
      <c r="MF769" s="1709"/>
      <c r="MG769" s="1680">
        <f t="shared" ref="MG769:MG778" si="242">SUM(MD769:MF769)</f>
        <v>9000</v>
      </c>
      <c r="MH769" s="770" t="s">
        <v>2220</v>
      </c>
      <c r="MI769" s="302">
        <f>250*30</f>
        <v>7500</v>
      </c>
      <c r="MJ769" s="302"/>
      <c r="MK769" s="302">
        <v>500</v>
      </c>
      <c r="ML769" s="302">
        <v>1000</v>
      </c>
      <c r="MM769" s="302"/>
      <c r="MN769" s="302"/>
      <c r="MO769" s="302">
        <v>100</v>
      </c>
      <c r="MP769" s="302">
        <v>450</v>
      </c>
      <c r="MQ769" s="302">
        <v>275</v>
      </c>
      <c r="MR769" s="302">
        <v>250</v>
      </c>
      <c r="MS769" s="302"/>
      <c r="MT769" s="302"/>
      <c r="MU769" s="302"/>
      <c r="MV769" s="302"/>
      <c r="MW769" s="302"/>
      <c r="MX769" s="302">
        <v>800</v>
      </c>
      <c r="MY769" s="1682">
        <f t="shared" ref="MY769:MY829" si="243">IF(ISBLANK(MI769:MX769)=TRUE,"",SUM(MI769:MX769))</f>
        <v>10875</v>
      </c>
      <c r="MZ769" s="770" t="s">
        <v>13370</v>
      </c>
      <c r="NA769" s="770" t="s">
        <v>13005</v>
      </c>
      <c r="NB769" s="770" t="s">
        <v>13016</v>
      </c>
      <c r="NC769" s="770" t="s">
        <v>13602</v>
      </c>
      <c r="ND769" s="770">
        <v>1</v>
      </c>
      <c r="NE769" s="770">
        <v>1</v>
      </c>
      <c r="NF769" s="770">
        <v>0</v>
      </c>
      <c r="NG769" s="770">
        <v>1</v>
      </c>
      <c r="NH769" s="770">
        <v>1</v>
      </c>
      <c r="NI769" s="770">
        <v>0</v>
      </c>
      <c r="NJ769" s="770">
        <v>0</v>
      </c>
      <c r="NK769" s="770">
        <v>0</v>
      </c>
      <c r="NL769" s="770">
        <v>1</v>
      </c>
      <c r="NM769" s="770">
        <v>1</v>
      </c>
      <c r="NN769" s="770">
        <v>0</v>
      </c>
      <c r="NO769" s="770">
        <v>0</v>
      </c>
      <c r="NP769" s="770">
        <v>0</v>
      </c>
      <c r="NQ769" s="770">
        <v>0</v>
      </c>
      <c r="NR769" s="770">
        <v>0</v>
      </c>
      <c r="NS769" s="770">
        <v>0</v>
      </c>
      <c r="NT769" s="770">
        <v>0</v>
      </c>
      <c r="NU769" s="770">
        <v>0</v>
      </c>
      <c r="NV769" s="770">
        <v>0</v>
      </c>
      <c r="NW769" s="770">
        <v>0</v>
      </c>
      <c r="NX769" s="770">
        <v>0</v>
      </c>
      <c r="NY769" s="770"/>
      <c r="NZ769" s="770"/>
      <c r="OA769" s="770"/>
      <c r="OB769" s="770"/>
      <c r="OC769" s="770" t="s">
        <v>1208</v>
      </c>
      <c r="OD769" s="770" t="s">
        <v>1208</v>
      </c>
      <c r="OE769" s="770"/>
      <c r="OF769" s="770"/>
      <c r="OG769" s="770"/>
      <c r="OH769" s="770"/>
      <c r="OI769" s="770"/>
      <c r="OJ769" s="770"/>
      <c r="OK769" s="770"/>
      <c r="OL769" s="770"/>
      <c r="OM769" s="770"/>
      <c r="ON769" s="770"/>
      <c r="OO769" s="770"/>
      <c r="OP769" s="770"/>
      <c r="OQ769" s="770"/>
      <c r="OR769" s="770"/>
      <c r="OS769" s="770"/>
      <c r="OT769" s="770"/>
      <c r="OU769" s="770"/>
      <c r="OV769" s="770"/>
      <c r="OW769" s="770"/>
      <c r="OX769" s="770"/>
      <c r="OY769" s="770"/>
      <c r="OZ769" s="770"/>
      <c r="PA769" s="770"/>
      <c r="PB769" s="770"/>
      <c r="PC769" s="770"/>
      <c r="PD769" s="770"/>
      <c r="PE769" s="770"/>
      <c r="PF769" s="770"/>
      <c r="PG769" s="770"/>
      <c r="PH769" s="770"/>
      <c r="PI769" s="770"/>
      <c r="PJ769" s="770"/>
      <c r="PK769" s="770" t="s">
        <v>1208</v>
      </c>
      <c r="PL769" s="770"/>
      <c r="PM769" s="770" t="s">
        <v>1208</v>
      </c>
      <c r="PN769" s="770"/>
      <c r="PO769" s="770"/>
      <c r="PP769" s="770"/>
      <c r="PQ769" s="770"/>
      <c r="PR769" s="770"/>
      <c r="PS769" s="770"/>
      <c r="PT769" s="770"/>
      <c r="PU769" s="770"/>
      <c r="PV769" s="770"/>
      <c r="PW769" s="770"/>
      <c r="PX769" s="770"/>
      <c r="PY769" s="770"/>
      <c r="PZ769" s="770"/>
      <c r="QA769" s="770"/>
      <c r="QB769" s="770"/>
      <c r="QC769" s="770"/>
      <c r="QD769" s="770"/>
      <c r="QE769" s="770"/>
      <c r="QF769" s="770"/>
      <c r="QG769" s="770"/>
      <c r="QH769" s="770"/>
      <c r="QI769" s="770"/>
      <c r="QJ769" s="770"/>
      <c r="QK769" s="770"/>
      <c r="QL769" s="770"/>
      <c r="QM769" s="770"/>
      <c r="QN769" s="770"/>
      <c r="QO769" s="770"/>
      <c r="QP769" s="770"/>
      <c r="QQ769" s="770"/>
      <c r="QR769" s="770"/>
      <c r="QS769" s="770"/>
      <c r="QT769" s="770"/>
      <c r="QU769" s="770"/>
      <c r="QV769" s="770"/>
      <c r="QW769" s="770"/>
      <c r="QX769" s="770"/>
      <c r="QY769" s="770"/>
      <c r="QZ769" s="770"/>
      <c r="RA769" s="770"/>
      <c r="RB769" s="770" t="s">
        <v>1207</v>
      </c>
      <c r="RC769" s="770">
        <v>2012</v>
      </c>
      <c r="RD769" s="770" t="s">
        <v>13992</v>
      </c>
      <c r="RE769" s="770" t="s">
        <v>12990</v>
      </c>
      <c r="RF769" s="304">
        <v>1</v>
      </c>
      <c r="RG769" s="770" t="s">
        <v>13047</v>
      </c>
      <c r="RH769" s="306">
        <v>0</v>
      </c>
      <c r="RI769" s="770">
        <v>2</v>
      </c>
      <c r="RJ769" s="94" t="s">
        <v>13993</v>
      </c>
      <c r="RK769" s="770" t="s">
        <v>13544</v>
      </c>
      <c r="RL769" s="1710">
        <v>42849</v>
      </c>
      <c r="RM769" s="12"/>
      <c r="RN769" s="1711"/>
      <c r="RO769" s="149" t="s">
        <v>3211</v>
      </c>
      <c r="RP769" s="11"/>
      <c r="RQ769" s="11"/>
      <c r="RR769" s="17"/>
      <c r="RS769" s="767"/>
      <c r="RT769" s="11"/>
      <c r="RU769" s="11"/>
      <c r="RV769" s="771" t="s">
        <v>12353</v>
      </c>
      <c r="RW769" s="11" t="s">
        <v>8048</v>
      </c>
      <c r="RX769" s="11" t="s">
        <v>11829</v>
      </c>
      <c r="RY769" s="11"/>
      <c r="RZ769" s="11" t="s">
        <v>1101</v>
      </c>
      <c r="SA769" s="771"/>
      <c r="SB769" s="11"/>
      <c r="SC769" s="11"/>
    </row>
    <row r="770" spans="1:497" ht="12.75" customHeight="1">
      <c r="A770" s="19" t="s">
        <v>7421</v>
      </c>
      <c r="B770" s="292" t="s">
        <v>8044</v>
      </c>
      <c r="C770" s="149" t="s">
        <v>4804</v>
      </c>
      <c r="D770" s="94" t="s">
        <v>4805</v>
      </c>
      <c r="E770" s="766" t="s">
        <v>4806</v>
      </c>
      <c r="F770" s="770"/>
      <c r="G770" s="770"/>
      <c r="H770" s="12"/>
      <c r="I770" s="295"/>
      <c r="J770" s="94"/>
      <c r="K770" s="766" t="s">
        <v>4807</v>
      </c>
      <c r="L770" s="766" t="s">
        <v>2745</v>
      </c>
      <c r="M770" s="770"/>
      <c r="N770" s="1757"/>
      <c r="O770" s="1757" t="s">
        <v>3212</v>
      </c>
      <c r="P770" s="770"/>
      <c r="Q770" s="1088"/>
      <c r="R770" s="297"/>
      <c r="S770" s="770"/>
      <c r="T770" s="770"/>
      <c r="U770" s="295"/>
      <c r="V770" s="770"/>
      <c r="W770" s="770"/>
      <c r="X770" s="770"/>
      <c r="Y770" s="770"/>
      <c r="Z770" s="770"/>
      <c r="AA770" s="770"/>
      <c r="AB770" s="770"/>
      <c r="AC770" s="770"/>
      <c r="AD770" s="770"/>
      <c r="AE770" s="770"/>
      <c r="AF770" s="770"/>
      <c r="AG770" s="766" t="s">
        <v>1132</v>
      </c>
      <c r="AH770" s="766" t="s">
        <v>1096</v>
      </c>
      <c r="AI770" s="770"/>
      <c r="AJ770" s="770" t="s">
        <v>1137</v>
      </c>
      <c r="AK770" s="770" t="s">
        <v>1101</v>
      </c>
      <c r="AL770" s="531">
        <v>1</v>
      </c>
      <c r="AM770" s="780">
        <v>1</v>
      </c>
      <c r="AN770" s="532">
        <f>AM770/AL770</f>
        <v>1</v>
      </c>
      <c r="AO770" s="766" t="s">
        <v>1122</v>
      </c>
      <c r="AP770" s="766"/>
      <c r="AQ770" s="766"/>
      <c r="AR770" s="766"/>
      <c r="AS770" s="770"/>
      <c r="AT770" s="770"/>
      <c r="AU770" s="770"/>
      <c r="AV770" s="770"/>
      <c r="AW770" s="770"/>
      <c r="AX770" s="770"/>
      <c r="AY770" s="770"/>
      <c r="AZ770" s="770"/>
      <c r="BA770" s="770"/>
      <c r="BB770" s="770"/>
      <c r="BC770" s="770"/>
      <c r="BD770" s="770"/>
      <c r="BE770" s="770"/>
      <c r="BF770" s="302"/>
      <c r="BG770" s="302"/>
      <c r="BH770" s="770"/>
      <c r="BI770" s="770"/>
      <c r="BJ770" s="770"/>
      <c r="BK770" s="766"/>
      <c r="BL770" s="766"/>
      <c r="BM770" s="766"/>
      <c r="BN770" s="766"/>
      <c r="BO770" s="770"/>
      <c r="BP770" s="1109"/>
      <c r="BQ770" s="773"/>
      <c r="BR770" s="774"/>
      <c r="BS770" s="766"/>
      <c r="BT770" s="770"/>
      <c r="BU770" s="770"/>
      <c r="BV770" s="770"/>
      <c r="BW770" s="770"/>
      <c r="BX770" s="302"/>
      <c r="BY770" s="770"/>
      <c r="BZ770" s="302"/>
      <c r="CA770" s="770"/>
      <c r="CB770" s="770" t="s">
        <v>1207</v>
      </c>
      <c r="CC770" s="770"/>
      <c r="CD770" s="770"/>
      <c r="CE770" s="302"/>
      <c r="CF770" s="304"/>
      <c r="CG770" s="321"/>
      <c r="CH770" s="770"/>
      <c r="CI770" s="770"/>
      <c r="CJ770" s="770"/>
      <c r="CK770" s="770"/>
      <c r="CL770" s="770"/>
      <c r="CM770" s="770"/>
      <c r="CN770" s="770"/>
      <c r="CO770" s="770"/>
      <c r="CP770" s="94" t="s">
        <v>4805</v>
      </c>
      <c r="CQ770" s="770">
        <v>2010</v>
      </c>
      <c r="CR770" s="302">
        <v>15000</v>
      </c>
      <c r="CS770" s="770"/>
      <c r="CT770" s="770" t="s">
        <v>4808</v>
      </c>
      <c r="CU770" s="305">
        <v>60</v>
      </c>
      <c r="CV770" s="770">
        <v>2</v>
      </c>
      <c r="CW770" s="770">
        <v>3</v>
      </c>
      <c r="CX770" s="770"/>
      <c r="CY770" s="770"/>
      <c r="CZ770" s="770"/>
      <c r="DA770" s="306"/>
      <c r="DB770" s="770"/>
      <c r="DC770" s="770"/>
      <c r="DD770" s="770"/>
      <c r="DE770" s="300"/>
      <c r="DF770" s="770"/>
      <c r="DG770" s="770"/>
      <c r="DH770" s="770"/>
      <c r="DI770" s="770"/>
      <c r="DJ770" s="770"/>
      <c r="DK770" s="770"/>
      <c r="DL770" s="770"/>
      <c r="DM770" s="770"/>
      <c r="DN770" s="322"/>
      <c r="DO770" s="770"/>
      <c r="DP770" s="770"/>
      <c r="DQ770" s="770"/>
      <c r="DR770" s="770"/>
      <c r="DS770" s="307"/>
      <c r="DT770" s="770"/>
      <c r="DU770" s="770"/>
      <c r="DV770" s="770"/>
      <c r="DW770" s="306"/>
      <c r="DX770" s="306"/>
      <c r="DY770" s="1055"/>
      <c r="DZ770" s="770"/>
      <c r="EA770" s="770"/>
      <c r="EB770" s="770"/>
      <c r="EC770" s="770"/>
      <c r="ED770" s="770"/>
      <c r="EE770" s="770"/>
      <c r="EF770" s="770"/>
      <c r="EG770" s="770"/>
      <c r="EH770" s="770"/>
      <c r="EI770" s="770"/>
      <c r="EJ770" s="770"/>
      <c r="EK770" s="770"/>
      <c r="EL770" s="770"/>
      <c r="EM770" s="770"/>
      <c r="EN770" s="770"/>
      <c r="EO770" s="770"/>
      <c r="EP770" s="94"/>
      <c r="EQ770" s="770"/>
      <c r="ER770" s="770"/>
      <c r="ES770" s="770"/>
      <c r="ET770" s="770"/>
      <c r="EU770" s="770"/>
      <c r="EV770" s="770"/>
      <c r="EW770" s="770"/>
      <c r="EX770" s="770"/>
      <c r="EY770" s="770"/>
      <c r="EZ770" s="770"/>
      <c r="FA770" s="770"/>
      <c r="FB770" s="770"/>
      <c r="FC770" s="770"/>
      <c r="FD770" s="302"/>
      <c r="FE770" s="770"/>
      <c r="FF770" s="770"/>
      <c r="FG770" s="770"/>
      <c r="FH770" s="770"/>
      <c r="FI770" s="770"/>
      <c r="FJ770" s="770"/>
      <c r="FK770" s="770"/>
      <c r="FL770" s="770"/>
      <c r="FM770" s="302"/>
      <c r="FN770" s="302"/>
      <c r="FO770" s="302"/>
      <c r="FP770" s="770"/>
      <c r="FQ770" s="770"/>
      <c r="FR770" s="770"/>
      <c r="FS770" s="770"/>
      <c r="FT770" s="770"/>
      <c r="FU770" s="770"/>
      <c r="FV770" s="770"/>
      <c r="FW770" s="770"/>
      <c r="FX770" s="770"/>
      <c r="FY770" s="770"/>
      <c r="FZ770" s="770"/>
      <c r="GA770" s="770"/>
      <c r="GB770" s="770"/>
      <c r="GC770" s="308"/>
      <c r="GD770" s="297"/>
      <c r="GE770" s="770"/>
      <c r="GF770" s="302"/>
      <c r="GG770" s="302"/>
      <c r="GH770" s="770"/>
      <c r="GI770" s="770"/>
      <c r="GJ770" s="770"/>
      <c r="GK770" s="770"/>
      <c r="GL770" s="770"/>
      <c r="GM770" s="770"/>
      <c r="GN770" s="299"/>
      <c r="GO770" s="770"/>
      <c r="GP770" s="770"/>
      <c r="GQ770" s="770"/>
      <c r="GR770" s="770"/>
      <c r="GS770" s="770"/>
      <c r="GT770" s="770"/>
      <c r="GU770" s="770"/>
      <c r="GV770" s="770"/>
      <c r="GW770" s="770"/>
      <c r="GX770" s="770"/>
      <c r="GY770" s="770"/>
      <c r="GZ770" s="770"/>
      <c r="HA770" s="770"/>
      <c r="HB770" s="770"/>
      <c r="HC770" s="770"/>
      <c r="HD770" s="770"/>
      <c r="HE770" s="770"/>
      <c r="HF770" s="770"/>
      <c r="HG770" s="770"/>
      <c r="HH770" s="770"/>
      <c r="HI770" s="766"/>
      <c r="HJ770" s="766"/>
      <c r="HK770" s="770"/>
      <c r="HL770" s="770"/>
      <c r="HM770" s="770"/>
      <c r="HN770" s="770"/>
      <c r="HO770" s="770"/>
      <c r="HP770" s="770"/>
      <c r="HQ770" s="770"/>
      <c r="HR770" s="770"/>
      <c r="HS770" s="770"/>
      <c r="HT770" s="770"/>
      <c r="HU770" s="770"/>
      <c r="HV770" s="770"/>
      <c r="HW770" s="770"/>
      <c r="HX770" s="770"/>
      <c r="HY770" s="770"/>
      <c r="HZ770" s="770"/>
      <c r="IA770" s="770"/>
      <c r="IB770" s="770"/>
      <c r="IC770" s="770"/>
      <c r="ID770" s="770"/>
      <c r="IE770" s="770"/>
      <c r="IF770" s="770"/>
      <c r="IG770" s="770"/>
      <c r="IH770" s="770"/>
      <c r="II770" s="770"/>
      <c r="IJ770" s="770"/>
      <c r="IK770" s="770"/>
      <c r="IL770" s="770"/>
      <c r="IM770" s="770"/>
      <c r="IN770" s="770"/>
      <c r="IO770" s="296"/>
      <c r="IP770" s="770"/>
      <c r="IQ770" s="770"/>
      <c r="IR770" s="770"/>
      <c r="IS770" s="770"/>
      <c r="IT770" s="770"/>
      <c r="IU770" s="770"/>
      <c r="IV770" s="770"/>
      <c r="IW770" s="770"/>
      <c r="IX770" s="770"/>
      <c r="IY770" s="770"/>
      <c r="IZ770" s="770"/>
      <c r="JA770" s="770"/>
      <c r="JB770" s="770"/>
      <c r="JC770" s="770"/>
      <c r="JD770" s="302"/>
      <c r="JE770" s="770"/>
      <c r="JF770" s="770"/>
      <c r="JG770" s="770"/>
      <c r="JH770" s="307"/>
      <c r="JI770" s="307"/>
      <c r="JJ770" s="770"/>
      <c r="JK770" s="770"/>
      <c r="JL770" s="770"/>
      <c r="JM770" s="770"/>
      <c r="JN770" s="770"/>
      <c r="JO770" s="770"/>
      <c r="JP770" s="770"/>
      <c r="JQ770" s="770"/>
      <c r="JR770" s="770"/>
      <c r="JS770" s="770"/>
      <c r="JT770" s="766"/>
      <c r="JU770" s="766"/>
      <c r="JV770" s="766"/>
      <c r="JW770" s="766"/>
      <c r="JX770" s="770"/>
      <c r="JY770" s="770"/>
      <c r="JZ770" s="770"/>
      <c r="KA770" s="770"/>
      <c r="KB770" s="770"/>
      <c r="KC770" s="770"/>
      <c r="KD770" s="770"/>
      <c r="KE770" s="770"/>
      <c r="KF770" s="770"/>
      <c r="KG770" s="770"/>
      <c r="KH770" s="770"/>
      <c r="KI770" s="770"/>
      <c r="KJ770" s="770"/>
      <c r="KK770" s="770"/>
      <c r="KL770" s="770"/>
      <c r="KM770" s="770"/>
      <c r="KN770" s="770"/>
      <c r="KO770" s="770"/>
      <c r="KP770" s="770"/>
      <c r="KQ770" s="770"/>
      <c r="KR770" s="770"/>
      <c r="KS770" s="770"/>
      <c r="KT770" s="770"/>
      <c r="KU770" s="770"/>
      <c r="KV770" s="770"/>
      <c r="KW770" s="770"/>
      <c r="KX770" s="770"/>
      <c r="KY770" s="770"/>
      <c r="KZ770" s="770"/>
      <c r="LA770" s="770"/>
      <c r="LB770" s="770"/>
      <c r="LC770" s="770"/>
      <c r="LD770" s="770"/>
      <c r="LE770" s="770"/>
      <c r="LF770" s="770"/>
      <c r="LG770" s="770"/>
      <c r="LH770" s="770"/>
      <c r="LI770" s="770"/>
      <c r="LJ770" s="770"/>
      <c r="LK770" s="770"/>
      <c r="LL770" s="770"/>
      <c r="LM770" s="770"/>
      <c r="LN770" s="766"/>
      <c r="LO770" s="766"/>
      <c r="LP770" s="770"/>
      <c r="LQ770" s="770"/>
      <c r="LR770" s="770"/>
      <c r="LS770" s="770"/>
      <c r="LT770" s="770"/>
      <c r="LU770" s="770"/>
      <c r="LV770" s="770"/>
      <c r="LW770" s="770"/>
      <c r="LX770" s="769"/>
      <c r="LY770" s="766" t="str">
        <f t="shared" si="231"/>
        <v/>
      </c>
      <c r="LZ770" s="1709"/>
      <c r="MA770" s="1709"/>
      <c r="MB770" s="1709"/>
      <c r="MC770" s="1679">
        <f t="shared" si="229"/>
        <v>0</v>
      </c>
      <c r="MD770" s="1709"/>
      <c r="ME770" s="1709"/>
      <c r="MF770" s="1709"/>
      <c r="MG770" s="1680">
        <f t="shared" si="242"/>
        <v>0</v>
      </c>
      <c r="MH770" s="770"/>
      <c r="MI770" s="302"/>
      <c r="MJ770" s="302"/>
      <c r="MK770" s="302"/>
      <c r="ML770" s="302"/>
      <c r="MM770" s="302"/>
      <c r="MN770" s="302"/>
      <c r="MO770" s="302"/>
      <c r="MP770" s="302"/>
      <c r="MQ770" s="302"/>
      <c r="MR770" s="302"/>
      <c r="MS770" s="302"/>
      <c r="MT770" s="302"/>
      <c r="MU770" s="302"/>
      <c r="MV770" s="302"/>
      <c r="MW770" s="302"/>
      <c r="MX770" s="302"/>
      <c r="MY770" s="1682">
        <f t="shared" si="243"/>
        <v>0</v>
      </c>
      <c r="MZ770" s="770"/>
      <c r="NA770" s="770"/>
      <c r="NB770" s="770"/>
      <c r="NC770" s="770"/>
      <c r="ND770" s="770"/>
      <c r="NE770" s="770"/>
      <c r="NF770" s="770"/>
      <c r="NG770" s="770"/>
      <c r="NH770" s="770"/>
      <c r="NI770" s="770"/>
      <c r="NJ770" s="770"/>
      <c r="NK770" s="770"/>
      <c r="NL770" s="770"/>
      <c r="NM770" s="770"/>
      <c r="NN770" s="770"/>
      <c r="NO770" s="770"/>
      <c r="NP770" s="770"/>
      <c r="NQ770" s="770"/>
      <c r="NR770" s="770"/>
      <c r="NS770" s="770"/>
      <c r="NT770" s="770"/>
      <c r="NU770" s="770"/>
      <c r="NV770" s="770"/>
      <c r="NW770" s="770"/>
      <c r="NX770" s="770"/>
      <c r="NY770" s="770"/>
      <c r="NZ770" s="770"/>
      <c r="OA770" s="770"/>
      <c r="OB770" s="770"/>
      <c r="OC770" s="770"/>
      <c r="OD770" s="770"/>
      <c r="OE770" s="770"/>
      <c r="OF770" s="770"/>
      <c r="OG770" s="770"/>
      <c r="OH770" s="770"/>
      <c r="OI770" s="770"/>
      <c r="OJ770" s="770"/>
      <c r="OK770" s="770"/>
      <c r="OL770" s="770"/>
      <c r="OM770" s="770"/>
      <c r="ON770" s="770"/>
      <c r="OO770" s="770"/>
      <c r="OP770" s="770"/>
      <c r="OQ770" s="770"/>
      <c r="OR770" s="770"/>
      <c r="OS770" s="770"/>
      <c r="OT770" s="770"/>
      <c r="OU770" s="770"/>
      <c r="OV770" s="770"/>
      <c r="OW770" s="770"/>
      <c r="OX770" s="770"/>
      <c r="OY770" s="770"/>
      <c r="OZ770" s="770"/>
      <c r="PA770" s="770"/>
      <c r="PB770" s="770"/>
      <c r="PC770" s="770"/>
      <c r="PD770" s="770"/>
      <c r="PE770" s="770"/>
      <c r="PF770" s="770"/>
      <c r="PG770" s="770"/>
      <c r="PH770" s="770"/>
      <c r="PI770" s="770"/>
      <c r="PJ770" s="770"/>
      <c r="PK770" s="770"/>
      <c r="PL770" s="770"/>
      <c r="PM770" s="770"/>
      <c r="PN770" s="770"/>
      <c r="PO770" s="770"/>
      <c r="PP770" s="770"/>
      <c r="PQ770" s="770"/>
      <c r="PR770" s="770"/>
      <c r="PS770" s="770"/>
      <c r="PT770" s="770"/>
      <c r="PU770" s="770"/>
      <c r="PV770" s="770"/>
      <c r="PW770" s="770"/>
      <c r="PX770" s="770"/>
      <c r="PY770" s="770"/>
      <c r="PZ770" s="770"/>
      <c r="QA770" s="770"/>
      <c r="QB770" s="770"/>
      <c r="QC770" s="770"/>
      <c r="QD770" s="770"/>
      <c r="QE770" s="770"/>
      <c r="QF770" s="770"/>
      <c r="QG770" s="770"/>
      <c r="QH770" s="770"/>
      <c r="QI770" s="770"/>
      <c r="QJ770" s="770"/>
      <c r="QK770" s="770"/>
      <c r="QL770" s="770"/>
      <c r="QM770" s="770"/>
      <c r="QN770" s="770"/>
      <c r="QO770" s="770"/>
      <c r="QP770" s="770"/>
      <c r="QQ770" s="770"/>
      <c r="QR770" s="770"/>
      <c r="QS770" s="770"/>
      <c r="QT770" s="770"/>
      <c r="QU770" s="770"/>
      <c r="QV770" s="770"/>
      <c r="QW770" s="770"/>
      <c r="QX770" s="770"/>
      <c r="QY770" s="770"/>
      <c r="QZ770" s="770"/>
      <c r="RA770" s="770"/>
      <c r="RB770" s="770"/>
      <c r="RC770" s="770"/>
      <c r="RD770" s="770"/>
      <c r="RE770" s="770"/>
      <c r="RF770" s="304"/>
      <c r="RG770" s="770"/>
      <c r="RH770" s="306"/>
      <c r="RI770" s="770"/>
      <c r="RJ770" s="94" t="s">
        <v>13994</v>
      </c>
      <c r="RK770" s="770" t="s">
        <v>13995</v>
      </c>
      <c r="RL770" s="1710" t="s">
        <v>1604</v>
      </c>
      <c r="RM770" s="12"/>
      <c r="RN770" s="1711"/>
      <c r="RO770" s="149" t="s">
        <v>4804</v>
      </c>
      <c r="RP770" s="11"/>
      <c r="RQ770" s="11"/>
      <c r="RR770" s="17"/>
      <c r="RS770" s="767"/>
      <c r="RT770" s="11"/>
      <c r="RU770" s="11"/>
      <c r="RV770" s="771" t="s">
        <v>7419</v>
      </c>
      <c r="RW770" s="11" t="s">
        <v>8049</v>
      </c>
      <c r="RX770" s="11" t="s">
        <v>4996</v>
      </c>
      <c r="RY770" s="11"/>
      <c r="RZ770" s="11" t="s">
        <v>1101</v>
      </c>
      <c r="SA770" s="771"/>
      <c r="SB770" s="11"/>
      <c r="SC770" s="11"/>
    </row>
    <row r="771" spans="1:497" ht="12.75" customHeight="1">
      <c r="A771" s="19" t="s">
        <v>7421</v>
      </c>
      <c r="B771" s="292" t="s">
        <v>8043</v>
      </c>
      <c r="C771" s="149" t="s">
        <v>4809</v>
      </c>
      <c r="D771" s="94" t="s">
        <v>4810</v>
      </c>
      <c r="E771" s="766" t="s">
        <v>5026</v>
      </c>
      <c r="F771" s="770" t="s">
        <v>28</v>
      </c>
      <c r="G771" s="770" t="s">
        <v>10</v>
      </c>
      <c r="H771" s="295" t="s">
        <v>4811</v>
      </c>
      <c r="I771" s="12"/>
      <c r="J771" s="94"/>
      <c r="K771" s="766" t="s">
        <v>4807</v>
      </c>
      <c r="L771" s="766" t="s">
        <v>2745</v>
      </c>
      <c r="M771" s="770" t="s">
        <v>2402</v>
      </c>
      <c r="N771" s="1757"/>
      <c r="O771" s="1757" t="s">
        <v>3212</v>
      </c>
      <c r="P771" s="770"/>
      <c r="Q771" s="1088"/>
      <c r="R771" s="297"/>
      <c r="S771" s="770"/>
      <c r="T771" s="770"/>
      <c r="U771" s="295"/>
      <c r="V771" s="770"/>
      <c r="W771" s="770"/>
      <c r="X771" s="770"/>
      <c r="Y771" s="770"/>
      <c r="Z771" s="770"/>
      <c r="AA771" s="770"/>
      <c r="AB771" s="770"/>
      <c r="AC771" s="770"/>
      <c r="AD771" s="770"/>
      <c r="AE771" s="770"/>
      <c r="AF771" s="770"/>
      <c r="AG771" s="766" t="s">
        <v>1132</v>
      </c>
      <c r="AH771" s="766" t="s">
        <v>1096</v>
      </c>
      <c r="AI771" s="770"/>
      <c r="AJ771" s="770" t="s">
        <v>1137</v>
      </c>
      <c r="AK771" s="770" t="s">
        <v>1101</v>
      </c>
      <c r="AL771" s="531">
        <v>24</v>
      </c>
      <c r="AM771" s="780">
        <v>24</v>
      </c>
      <c r="AN771" s="532">
        <f t="shared" ref="AN771:AN778" si="244">AM771/AL771</f>
        <v>1</v>
      </c>
      <c r="AO771" s="766" t="s">
        <v>1122</v>
      </c>
      <c r="AP771" s="766"/>
      <c r="AQ771" s="766"/>
      <c r="AR771" s="766"/>
      <c r="AS771" s="770"/>
      <c r="AT771" s="770"/>
      <c r="AU771" s="770"/>
      <c r="AV771" s="770"/>
      <c r="AW771" s="770"/>
      <c r="AX771" s="770"/>
      <c r="AY771" s="770"/>
      <c r="AZ771" s="770"/>
      <c r="BA771" s="770"/>
      <c r="BB771" s="770"/>
      <c r="BC771" s="770"/>
      <c r="BD771" s="770"/>
      <c r="BE771" s="770"/>
      <c r="BF771" s="302"/>
      <c r="BG771" s="302"/>
      <c r="BH771" s="770"/>
      <c r="BI771" s="770"/>
      <c r="BJ771" s="770"/>
      <c r="BK771" s="766"/>
      <c r="BL771" s="766"/>
      <c r="BM771" s="766"/>
      <c r="BN771" s="766"/>
      <c r="BO771" s="770"/>
      <c r="BP771" s="1109"/>
      <c r="BQ771" s="773"/>
      <c r="BR771" s="774"/>
      <c r="BS771" s="766"/>
      <c r="BT771" s="770"/>
      <c r="BU771" s="770"/>
      <c r="BV771" s="770"/>
      <c r="BW771" s="770"/>
      <c r="BX771" s="302"/>
      <c r="BY771" s="770"/>
      <c r="BZ771" s="302"/>
      <c r="CA771" s="770"/>
      <c r="CB771" s="770" t="s">
        <v>1207</v>
      </c>
      <c r="CC771" s="770" t="s">
        <v>4812</v>
      </c>
      <c r="CD771" s="770">
        <v>2016</v>
      </c>
      <c r="CE771" s="302"/>
      <c r="CF771" s="304">
        <v>1.2</v>
      </c>
      <c r="CG771" s="321">
        <v>6</v>
      </c>
      <c r="CH771" s="770" t="s">
        <v>4813</v>
      </c>
      <c r="CI771" s="770"/>
      <c r="CJ771" s="770" t="s">
        <v>4814</v>
      </c>
      <c r="CK771" s="770"/>
      <c r="CL771" s="770" t="s">
        <v>1240</v>
      </c>
      <c r="CM771" s="770"/>
      <c r="CN771" s="770"/>
      <c r="CO771" s="770" t="s">
        <v>1257</v>
      </c>
      <c r="CP771" s="770"/>
      <c r="CQ771" s="770"/>
      <c r="CR771" s="302"/>
      <c r="CS771" s="770"/>
      <c r="CT771" s="770"/>
      <c r="CU771" s="305"/>
      <c r="CV771" s="770"/>
      <c r="CW771" s="770"/>
      <c r="CX771" s="770"/>
      <c r="CY771" s="770"/>
      <c r="CZ771" s="770"/>
      <c r="DA771" s="306"/>
      <c r="DB771" s="770"/>
      <c r="DC771" s="770"/>
      <c r="DD771" s="770"/>
      <c r="DE771" s="300"/>
      <c r="DF771" s="770"/>
      <c r="DG771" s="770"/>
      <c r="DH771" s="770"/>
      <c r="DI771" s="770"/>
      <c r="DJ771" s="770"/>
      <c r="DK771" s="770"/>
      <c r="DL771" s="770"/>
      <c r="DM771" s="770"/>
      <c r="DN771" s="322"/>
      <c r="DO771" s="770"/>
      <c r="DP771" s="770"/>
      <c r="DQ771" s="770"/>
      <c r="DR771" s="770"/>
      <c r="DS771" s="307"/>
      <c r="DT771" s="770"/>
      <c r="DU771" s="770"/>
      <c r="DV771" s="770"/>
      <c r="DW771" s="306"/>
      <c r="DX771" s="306"/>
      <c r="DY771" s="1055"/>
      <c r="DZ771" s="770"/>
      <c r="EA771" s="770"/>
      <c r="EB771" s="770"/>
      <c r="EC771" s="770"/>
      <c r="ED771" s="770"/>
      <c r="EE771" s="770"/>
      <c r="EF771" s="770"/>
      <c r="EG771" s="770"/>
      <c r="EH771" s="770"/>
      <c r="EI771" s="770"/>
      <c r="EJ771" s="770"/>
      <c r="EK771" s="770"/>
      <c r="EL771" s="770"/>
      <c r="EM771" s="770"/>
      <c r="EN771" s="770"/>
      <c r="EO771" s="770"/>
      <c r="EP771" s="94"/>
      <c r="EQ771" s="770"/>
      <c r="ER771" s="770"/>
      <c r="ES771" s="770"/>
      <c r="ET771" s="770"/>
      <c r="EU771" s="770"/>
      <c r="EV771" s="770"/>
      <c r="EW771" s="770"/>
      <c r="EX771" s="770"/>
      <c r="EY771" s="770"/>
      <c r="EZ771" s="770"/>
      <c r="FA771" s="770"/>
      <c r="FB771" s="770"/>
      <c r="FC771" s="770"/>
      <c r="FD771" s="302"/>
      <c r="FE771" s="770"/>
      <c r="FF771" s="770"/>
      <c r="FG771" s="770"/>
      <c r="FH771" s="770"/>
      <c r="FI771" s="770"/>
      <c r="FJ771" s="770"/>
      <c r="FK771" s="770"/>
      <c r="FL771" s="770"/>
      <c r="FM771" s="302"/>
      <c r="FN771" s="302"/>
      <c r="FO771" s="302"/>
      <c r="FP771" s="770"/>
      <c r="FQ771" s="770"/>
      <c r="FR771" s="770" t="s">
        <v>1207</v>
      </c>
      <c r="FS771" s="770"/>
      <c r="FT771" s="770"/>
      <c r="FU771" s="770"/>
      <c r="FV771" s="770"/>
      <c r="FW771" s="770"/>
      <c r="FX771" s="770"/>
      <c r="FY771" s="770"/>
      <c r="FZ771" s="770"/>
      <c r="GA771" s="770" t="s">
        <v>4815</v>
      </c>
      <c r="GB771" s="770" t="s">
        <v>1734</v>
      </c>
      <c r="GC771" s="308"/>
      <c r="GD771" s="297">
        <v>2016</v>
      </c>
      <c r="GE771" s="770" t="s">
        <v>1214</v>
      </c>
      <c r="GF771" s="302"/>
      <c r="GG771" s="302"/>
      <c r="GH771" s="770"/>
      <c r="GI771" s="770"/>
      <c r="GJ771" s="770"/>
      <c r="GK771" s="770"/>
      <c r="GL771" s="770"/>
      <c r="GM771" s="770"/>
      <c r="GN771" s="299"/>
      <c r="GO771" s="770"/>
      <c r="GP771" s="770"/>
      <c r="GQ771" s="770"/>
      <c r="GR771" s="770"/>
      <c r="GS771" s="770"/>
      <c r="GT771" s="770"/>
      <c r="GU771" s="770"/>
      <c r="GV771" s="770"/>
      <c r="GW771" s="770"/>
      <c r="GX771" s="770"/>
      <c r="GY771" s="770"/>
      <c r="GZ771" s="770"/>
      <c r="HA771" s="770"/>
      <c r="HB771" s="770"/>
      <c r="HC771" s="770"/>
      <c r="HD771" s="770"/>
      <c r="HE771" s="770"/>
      <c r="HF771" s="770"/>
      <c r="HG771" s="770"/>
      <c r="HH771" s="770"/>
      <c r="HI771" s="766"/>
      <c r="HJ771" s="766"/>
      <c r="HK771" s="770"/>
      <c r="HL771" s="770"/>
      <c r="HM771" s="770"/>
      <c r="HN771" s="770"/>
      <c r="HO771" s="770"/>
      <c r="HP771" s="770"/>
      <c r="HQ771" s="770"/>
      <c r="HR771" s="770">
        <v>1</v>
      </c>
      <c r="HS771" s="770"/>
      <c r="HT771" s="770"/>
      <c r="HU771" s="770"/>
      <c r="HV771" s="770"/>
      <c r="HW771" s="770"/>
      <c r="HX771" s="770"/>
      <c r="HY771" s="770"/>
      <c r="HZ771" s="770"/>
      <c r="IA771" s="770"/>
      <c r="IB771" s="770"/>
      <c r="IC771" s="770"/>
      <c r="ID771" s="770"/>
      <c r="IE771" s="770"/>
      <c r="IF771" s="770"/>
      <c r="IG771" s="770"/>
      <c r="IH771" s="770"/>
      <c r="II771" s="770"/>
      <c r="IJ771" s="770"/>
      <c r="IK771" s="770"/>
      <c r="IL771" s="770"/>
      <c r="IM771" s="770"/>
      <c r="IN771" s="770"/>
      <c r="IO771" s="296"/>
      <c r="IP771" s="770"/>
      <c r="IQ771" s="770"/>
      <c r="IR771" s="770"/>
      <c r="IS771" s="770"/>
      <c r="IT771" s="770"/>
      <c r="IU771" s="770"/>
      <c r="IV771" s="770"/>
      <c r="IW771" s="770"/>
      <c r="IX771" s="770"/>
      <c r="IY771" s="770"/>
      <c r="IZ771" s="770"/>
      <c r="JA771" s="770"/>
      <c r="JB771" s="770"/>
      <c r="JC771" s="770"/>
      <c r="JD771" s="302"/>
      <c r="JE771" s="770"/>
      <c r="JF771" s="770"/>
      <c r="JG771" s="770"/>
      <c r="JH771" s="307"/>
      <c r="JI771" s="307"/>
      <c r="JJ771" s="770"/>
      <c r="JK771" s="770"/>
      <c r="JL771" s="770"/>
      <c r="JM771" s="770"/>
      <c r="JN771" s="770"/>
      <c r="JO771" s="770"/>
      <c r="JP771" s="770"/>
      <c r="JQ771" s="770"/>
      <c r="JR771" s="770"/>
      <c r="JS771" s="770"/>
      <c r="JT771" s="766"/>
      <c r="JU771" s="766"/>
      <c r="JV771" s="766"/>
      <c r="JW771" s="766"/>
      <c r="JX771" s="770"/>
      <c r="JY771" s="770"/>
      <c r="JZ771" s="770"/>
      <c r="KA771" s="770"/>
      <c r="KB771" s="770"/>
      <c r="KC771" s="770"/>
      <c r="KD771" s="770"/>
      <c r="KE771" s="770"/>
      <c r="KF771" s="770"/>
      <c r="KG771" s="770"/>
      <c r="KH771" s="770"/>
      <c r="KI771" s="770"/>
      <c r="KJ771" s="770"/>
      <c r="KK771" s="770"/>
      <c r="KL771" s="770"/>
      <c r="KM771" s="770"/>
      <c r="KN771" s="770"/>
      <c r="KO771" s="770"/>
      <c r="KP771" s="770"/>
      <c r="KQ771" s="770"/>
      <c r="KR771" s="770"/>
      <c r="KS771" s="770"/>
      <c r="KT771" s="770"/>
      <c r="KU771" s="770"/>
      <c r="KV771" s="770"/>
      <c r="KW771" s="770"/>
      <c r="KX771" s="770"/>
      <c r="KY771" s="770"/>
      <c r="KZ771" s="770"/>
      <c r="LA771" s="770"/>
      <c r="LB771" s="770"/>
      <c r="LC771" s="770"/>
      <c r="LD771" s="770"/>
      <c r="LE771" s="770"/>
      <c r="LF771" s="770"/>
      <c r="LG771" s="770"/>
      <c r="LH771" s="770"/>
      <c r="LI771" s="770"/>
      <c r="LJ771" s="770"/>
      <c r="LK771" s="770"/>
      <c r="LL771" s="770"/>
      <c r="LM771" s="770"/>
      <c r="LN771" s="766"/>
      <c r="LO771" s="766"/>
      <c r="LP771" s="770"/>
      <c r="LQ771" s="770"/>
      <c r="LR771" s="770"/>
      <c r="LS771" s="770"/>
      <c r="LT771" s="770"/>
      <c r="LU771" s="770"/>
      <c r="LV771" s="770"/>
      <c r="LW771" s="770"/>
      <c r="LX771" s="769"/>
      <c r="LY771" s="766" t="str">
        <f t="shared" si="231"/>
        <v/>
      </c>
      <c r="LZ771" s="1709"/>
      <c r="MA771" s="1709"/>
      <c r="MB771" s="1709"/>
      <c r="MC771" s="1679">
        <f t="shared" si="229"/>
        <v>0</v>
      </c>
      <c r="MD771" s="1709"/>
      <c r="ME771" s="1709"/>
      <c r="MF771" s="1709"/>
      <c r="MG771" s="1680">
        <f t="shared" si="242"/>
        <v>0</v>
      </c>
      <c r="MH771" s="770"/>
      <c r="MI771" s="302"/>
      <c r="MJ771" s="302"/>
      <c r="MK771" s="302"/>
      <c r="ML771" s="302"/>
      <c r="MM771" s="302"/>
      <c r="MN771" s="302"/>
      <c r="MO771" s="302"/>
      <c r="MP771" s="302"/>
      <c r="MQ771" s="302"/>
      <c r="MR771" s="302"/>
      <c r="MS771" s="302"/>
      <c r="MT771" s="302"/>
      <c r="MU771" s="302"/>
      <c r="MV771" s="302"/>
      <c r="MW771" s="302"/>
      <c r="MX771" s="302"/>
      <c r="MY771" s="1682">
        <f t="shared" si="243"/>
        <v>0</v>
      </c>
      <c r="MZ771" s="770"/>
      <c r="NA771" s="770"/>
      <c r="NB771" s="770"/>
      <c r="NC771" s="770"/>
      <c r="ND771" s="770"/>
      <c r="NE771" s="770"/>
      <c r="NF771" s="770"/>
      <c r="NG771" s="770"/>
      <c r="NH771" s="770"/>
      <c r="NI771" s="770"/>
      <c r="NJ771" s="770"/>
      <c r="NK771" s="770"/>
      <c r="NL771" s="770"/>
      <c r="NM771" s="770"/>
      <c r="NN771" s="770"/>
      <c r="NO771" s="770"/>
      <c r="NP771" s="770"/>
      <c r="NQ771" s="770"/>
      <c r="NR771" s="770"/>
      <c r="NS771" s="770"/>
      <c r="NT771" s="770"/>
      <c r="NU771" s="770"/>
      <c r="NV771" s="770"/>
      <c r="NW771" s="770"/>
      <c r="NX771" s="770"/>
      <c r="NY771" s="770"/>
      <c r="NZ771" s="770"/>
      <c r="OA771" s="770"/>
      <c r="OB771" s="770"/>
      <c r="OC771" s="770"/>
      <c r="OD771" s="770"/>
      <c r="OE771" s="770"/>
      <c r="OF771" s="770"/>
      <c r="OG771" s="770"/>
      <c r="OH771" s="770"/>
      <c r="OI771" s="770"/>
      <c r="OJ771" s="770"/>
      <c r="OK771" s="770"/>
      <c r="OL771" s="770"/>
      <c r="OM771" s="770"/>
      <c r="ON771" s="770"/>
      <c r="OO771" s="770"/>
      <c r="OP771" s="770"/>
      <c r="OQ771" s="770"/>
      <c r="OR771" s="770"/>
      <c r="OS771" s="770"/>
      <c r="OT771" s="770"/>
      <c r="OU771" s="770"/>
      <c r="OV771" s="770"/>
      <c r="OW771" s="770"/>
      <c r="OX771" s="770"/>
      <c r="OY771" s="770"/>
      <c r="OZ771" s="770"/>
      <c r="PA771" s="770"/>
      <c r="PB771" s="770"/>
      <c r="PC771" s="770"/>
      <c r="PD771" s="770"/>
      <c r="PE771" s="770"/>
      <c r="PF771" s="770"/>
      <c r="PG771" s="770"/>
      <c r="PH771" s="770"/>
      <c r="PI771" s="770"/>
      <c r="PJ771" s="770"/>
      <c r="PK771" s="770"/>
      <c r="PL771" s="770"/>
      <c r="PM771" s="770"/>
      <c r="PN771" s="770"/>
      <c r="PO771" s="770"/>
      <c r="PP771" s="770"/>
      <c r="PQ771" s="770"/>
      <c r="PR771" s="770"/>
      <c r="PS771" s="770"/>
      <c r="PT771" s="770"/>
      <c r="PU771" s="770"/>
      <c r="PV771" s="770"/>
      <c r="PW771" s="770"/>
      <c r="PX771" s="770"/>
      <c r="PY771" s="770"/>
      <c r="PZ771" s="770"/>
      <c r="QA771" s="770"/>
      <c r="QB771" s="770"/>
      <c r="QC771" s="770"/>
      <c r="QD771" s="770"/>
      <c r="QE771" s="770"/>
      <c r="QF771" s="770"/>
      <c r="QG771" s="770"/>
      <c r="QH771" s="770"/>
      <c r="QI771" s="770"/>
      <c r="QJ771" s="770"/>
      <c r="QK771" s="770"/>
      <c r="QL771" s="770"/>
      <c r="QM771" s="770"/>
      <c r="QN771" s="770"/>
      <c r="QO771" s="770"/>
      <c r="QP771" s="770"/>
      <c r="QQ771" s="770"/>
      <c r="QR771" s="770"/>
      <c r="QS771" s="770"/>
      <c r="QT771" s="770"/>
      <c r="QU771" s="770"/>
      <c r="QV771" s="770"/>
      <c r="QW771" s="770"/>
      <c r="QX771" s="770"/>
      <c r="QY771" s="770"/>
      <c r="QZ771" s="770"/>
      <c r="RA771" s="770"/>
      <c r="RB771" s="770"/>
      <c r="RC771" s="770"/>
      <c r="RD771" s="770"/>
      <c r="RE771" s="770"/>
      <c r="RF771" s="304"/>
      <c r="RG771" s="770"/>
      <c r="RH771" s="306"/>
      <c r="RI771" s="770"/>
      <c r="RJ771" s="94" t="s">
        <v>13996</v>
      </c>
      <c r="RK771" s="770" t="s">
        <v>13544</v>
      </c>
      <c r="RL771" s="1710">
        <v>42849</v>
      </c>
      <c r="RM771" s="12"/>
      <c r="RN771" s="1711"/>
      <c r="RO771" s="149" t="s">
        <v>4809</v>
      </c>
      <c r="RP771" s="11"/>
      <c r="RQ771" s="11"/>
      <c r="RR771" s="17"/>
      <c r="RS771" s="767"/>
      <c r="RT771" s="11"/>
      <c r="RU771" s="11"/>
      <c r="RV771" s="771" t="s">
        <v>7419</v>
      </c>
      <c r="RW771" s="11" t="s">
        <v>7462</v>
      </c>
      <c r="RX771" s="11" t="s">
        <v>3211</v>
      </c>
      <c r="RY771" s="11"/>
      <c r="RZ771" s="11" t="s">
        <v>1101</v>
      </c>
      <c r="SA771" s="771"/>
      <c r="SB771" s="11"/>
      <c r="SC771" s="11"/>
    </row>
    <row r="772" spans="1:497" ht="12.75" customHeight="1">
      <c r="A772" s="19" t="s">
        <v>7421</v>
      </c>
      <c r="B772" s="292" t="s">
        <v>7463</v>
      </c>
      <c r="C772" s="149" t="s">
        <v>5013</v>
      </c>
      <c r="D772" s="94" t="s">
        <v>5012</v>
      </c>
      <c r="E772" s="766" t="s">
        <v>5025</v>
      </c>
      <c r="F772" s="770" t="s">
        <v>28</v>
      </c>
      <c r="G772" s="770" t="s">
        <v>18</v>
      </c>
      <c r="H772" s="295" t="s">
        <v>5015</v>
      </c>
      <c r="I772" s="12"/>
      <c r="J772" s="94" t="s">
        <v>5012</v>
      </c>
      <c r="K772" s="766" t="s">
        <v>5016</v>
      </c>
      <c r="L772" s="766" t="s">
        <v>2745</v>
      </c>
      <c r="M772" s="770" t="s">
        <v>2402</v>
      </c>
      <c r="N772" s="1757"/>
      <c r="O772" s="1757" t="s">
        <v>5017</v>
      </c>
      <c r="P772" s="94" t="s">
        <v>5018</v>
      </c>
      <c r="Q772" s="1088">
        <v>22130</v>
      </c>
      <c r="R772" s="297">
        <v>57</v>
      </c>
      <c r="S772" s="770" t="s">
        <v>18</v>
      </c>
      <c r="T772" s="770"/>
      <c r="U772" s="295" t="s">
        <v>5015</v>
      </c>
      <c r="V772" s="770" t="s">
        <v>707</v>
      </c>
      <c r="W772" s="770"/>
      <c r="X772" s="770"/>
      <c r="Y772" s="770" t="s">
        <v>5014</v>
      </c>
      <c r="Z772" s="770" t="s">
        <v>708</v>
      </c>
      <c r="AA772" s="12" t="s">
        <v>709</v>
      </c>
      <c r="AB772" s="770" t="s">
        <v>710</v>
      </c>
      <c r="AC772" s="770" t="s">
        <v>724</v>
      </c>
      <c r="AD772" s="770" t="s">
        <v>711</v>
      </c>
      <c r="AE772" s="770"/>
      <c r="AF772" s="770" t="s">
        <v>712</v>
      </c>
      <c r="AG772" s="766" t="s">
        <v>1132</v>
      </c>
      <c r="AH772" s="766" t="s">
        <v>1096</v>
      </c>
      <c r="AI772" s="770"/>
      <c r="AJ772" s="770" t="s">
        <v>1137</v>
      </c>
      <c r="AK772" s="770" t="s">
        <v>1101</v>
      </c>
      <c r="AL772" s="531">
        <v>26.65</v>
      </c>
      <c r="AM772" s="780">
        <v>2.2999999999999998</v>
      </c>
      <c r="AN772" s="532">
        <f t="shared" si="244"/>
        <v>8.6303939962476539E-2</v>
      </c>
      <c r="AO772" s="766" t="s">
        <v>1098</v>
      </c>
      <c r="AP772" s="766"/>
      <c r="AQ772" s="766"/>
      <c r="AR772" s="766"/>
      <c r="AS772" s="770"/>
      <c r="AT772" s="770"/>
      <c r="AU772" s="770"/>
      <c r="AV772" s="770"/>
      <c r="AW772" s="770"/>
      <c r="AX772" s="770"/>
      <c r="AY772" s="770"/>
      <c r="AZ772" s="770"/>
      <c r="BA772" s="770"/>
      <c r="BB772" s="770"/>
      <c r="BC772" s="770"/>
      <c r="BD772" s="770"/>
      <c r="BE772" s="770"/>
      <c r="BF772" s="302"/>
      <c r="BG772" s="302"/>
      <c r="BH772" s="770"/>
      <c r="BI772" s="770"/>
      <c r="BJ772" s="770"/>
      <c r="BK772" s="766" t="s">
        <v>1095</v>
      </c>
      <c r="BL772" s="766" t="s">
        <v>5019</v>
      </c>
      <c r="BM772" s="766" t="s">
        <v>1096</v>
      </c>
      <c r="BN772" s="766" t="s">
        <v>1230</v>
      </c>
      <c r="BO772" s="766" t="s">
        <v>1239</v>
      </c>
      <c r="BP772" s="1109">
        <v>51.3</v>
      </c>
      <c r="BQ772" s="773">
        <v>4.5999999999999996</v>
      </c>
      <c r="BR772" s="774">
        <f>BQ772/BP772</f>
        <v>8.9668615984405453E-2</v>
      </c>
      <c r="BS772" s="766" t="s">
        <v>1242</v>
      </c>
      <c r="BT772" s="766" t="s">
        <v>8133</v>
      </c>
      <c r="BU772" s="770" t="s">
        <v>1249</v>
      </c>
      <c r="BV772" s="770" t="s">
        <v>1247</v>
      </c>
      <c r="BW772" s="770">
        <v>2017</v>
      </c>
      <c r="BX772" s="302">
        <v>11000</v>
      </c>
      <c r="BY772" s="770"/>
      <c r="BZ772" s="302"/>
      <c r="CA772" s="770"/>
      <c r="CB772" s="770"/>
      <c r="CC772" s="770"/>
      <c r="CD772" s="770"/>
      <c r="CE772" s="302"/>
      <c r="CF772" s="304"/>
      <c r="CG772" s="321"/>
      <c r="CH772" s="770"/>
      <c r="CI772" s="770"/>
      <c r="CJ772" s="770"/>
      <c r="CK772" s="770"/>
      <c r="CL772" s="770"/>
      <c r="CM772" s="770"/>
      <c r="CN772" s="770"/>
      <c r="CO772" s="770"/>
      <c r="CP772" s="770"/>
      <c r="CQ772" s="770"/>
      <c r="CR772" s="302"/>
      <c r="CS772" s="770"/>
      <c r="CT772" s="770"/>
      <c r="CU772" s="305"/>
      <c r="CV772" s="770"/>
      <c r="CW772" s="770"/>
      <c r="CX772" s="770"/>
      <c r="CY772" s="770"/>
      <c r="CZ772" s="770"/>
      <c r="DA772" s="306"/>
      <c r="DB772" s="770"/>
      <c r="DC772" s="770"/>
      <c r="DD772" s="770"/>
      <c r="DE772" s="300"/>
      <c r="DF772" s="770"/>
      <c r="DG772" s="770"/>
      <c r="DH772" s="770"/>
      <c r="DI772" s="770"/>
      <c r="DJ772" s="770"/>
      <c r="DK772" s="770"/>
      <c r="DL772" s="770"/>
      <c r="DM772" s="770"/>
      <c r="DN772" s="322"/>
      <c r="DO772" s="770"/>
      <c r="DP772" s="770"/>
      <c r="DQ772" s="770"/>
      <c r="DR772" s="770"/>
      <c r="DS772" s="307"/>
      <c r="DT772" s="770"/>
      <c r="DU772" s="770"/>
      <c r="DV772" s="770"/>
      <c r="DW772" s="306"/>
      <c r="DX772" s="306"/>
      <c r="DY772" s="1055"/>
      <c r="DZ772" s="770"/>
      <c r="EA772" s="770"/>
      <c r="EB772" s="770"/>
      <c r="EC772" s="770"/>
      <c r="ED772" s="770"/>
      <c r="EE772" s="770"/>
      <c r="EF772" s="770"/>
      <c r="EG772" s="770"/>
      <c r="EH772" s="770"/>
      <c r="EI772" s="770"/>
      <c r="EJ772" s="770"/>
      <c r="EK772" s="770"/>
      <c r="EL772" s="770"/>
      <c r="EM772" s="770"/>
      <c r="EN772" s="770"/>
      <c r="EO772" s="770"/>
      <c r="EP772" s="94"/>
      <c r="EQ772" s="770"/>
      <c r="ER772" s="770"/>
      <c r="ES772" s="770"/>
      <c r="ET772" s="770"/>
      <c r="EU772" s="770"/>
      <c r="EV772" s="770"/>
      <c r="EW772" s="770"/>
      <c r="EX772" s="770"/>
      <c r="EY772" s="770"/>
      <c r="EZ772" s="770"/>
      <c r="FA772" s="770"/>
      <c r="FB772" s="770"/>
      <c r="FC772" s="770"/>
      <c r="FD772" s="302"/>
      <c r="FE772" s="770"/>
      <c r="FF772" s="770"/>
      <c r="FG772" s="770"/>
      <c r="FH772" s="770" t="s">
        <v>478</v>
      </c>
      <c r="FI772" s="770">
        <v>1</v>
      </c>
      <c r="FJ772" s="770"/>
      <c r="FK772" s="770"/>
      <c r="FL772" s="770"/>
      <c r="FM772" s="302"/>
      <c r="FN772" s="302"/>
      <c r="FO772" s="302"/>
      <c r="FP772" s="770" t="s">
        <v>1600</v>
      </c>
      <c r="FQ772" s="770" t="s">
        <v>1642</v>
      </c>
      <c r="FR772" s="770" t="s">
        <v>1214</v>
      </c>
      <c r="FS772" s="770"/>
      <c r="FT772" s="770"/>
      <c r="FU772" s="770"/>
      <c r="FV772" s="770"/>
      <c r="FW772" s="770"/>
      <c r="FX772" s="770"/>
      <c r="FY772" s="770"/>
      <c r="FZ772" s="770"/>
      <c r="GA772" s="770"/>
      <c r="GB772" s="770" t="s">
        <v>1734</v>
      </c>
      <c r="GC772" s="308"/>
      <c r="GD772" s="297"/>
      <c r="GE772" s="770" t="s">
        <v>1214</v>
      </c>
      <c r="GF772" s="302"/>
      <c r="GG772" s="302"/>
      <c r="GH772" s="770"/>
      <c r="GI772" s="770"/>
      <c r="GJ772" s="770"/>
      <c r="GK772" s="770"/>
      <c r="GL772" s="770"/>
      <c r="GM772" s="770"/>
      <c r="GN772" s="299"/>
      <c r="GO772" s="770"/>
      <c r="GP772" s="770"/>
      <c r="GQ772" s="770"/>
      <c r="GR772" s="770"/>
      <c r="GS772" s="770"/>
      <c r="GT772" s="770"/>
      <c r="GU772" s="770"/>
      <c r="GV772" s="770"/>
      <c r="GW772" s="770"/>
      <c r="GX772" s="770"/>
      <c r="GY772" s="770"/>
      <c r="GZ772" s="770"/>
      <c r="HA772" s="770"/>
      <c r="HB772" s="770"/>
      <c r="HC772" s="770"/>
      <c r="HD772" s="770"/>
      <c r="HE772" s="770"/>
      <c r="HF772" s="770"/>
      <c r="HG772" s="770"/>
      <c r="HH772" s="770"/>
      <c r="HI772" s="766"/>
      <c r="HJ772" s="766"/>
      <c r="HK772" s="770"/>
      <c r="HL772" s="770"/>
      <c r="HM772" s="770"/>
      <c r="HN772" s="770"/>
      <c r="HO772" s="770"/>
      <c r="HP772" s="770"/>
      <c r="HQ772" s="770"/>
      <c r="HR772" s="770"/>
      <c r="HS772" s="770"/>
      <c r="HT772" s="770"/>
      <c r="HU772" s="770"/>
      <c r="HV772" s="770"/>
      <c r="HW772" s="770"/>
      <c r="HX772" s="770"/>
      <c r="HY772" s="770"/>
      <c r="HZ772" s="770"/>
      <c r="IA772" s="770"/>
      <c r="IB772" s="14" t="e">
        <f>IF(#REF!&gt;0,IF(#REF!&lt;=10000,"Y",""),"")</f>
        <v>#REF!</v>
      </c>
      <c r="IC772" s="770" t="s">
        <v>1207</v>
      </c>
      <c r="ID772" s="770">
        <v>1</v>
      </c>
      <c r="IE772" s="770">
        <v>1</v>
      </c>
      <c r="IF772" s="770"/>
      <c r="IG772" s="770"/>
      <c r="IH772" s="770"/>
      <c r="II772" s="770"/>
      <c r="IJ772" s="770"/>
      <c r="IK772" s="770"/>
      <c r="IL772" s="770"/>
      <c r="IM772" s="770"/>
      <c r="IN772" s="770"/>
      <c r="IO772" s="296"/>
      <c r="IP772" s="770"/>
      <c r="IQ772" s="770"/>
      <c r="IR772" s="770"/>
      <c r="IS772" s="770"/>
      <c r="IT772" s="770"/>
      <c r="IU772" s="770"/>
      <c r="IV772" s="770"/>
      <c r="IW772" s="770"/>
      <c r="IX772" s="770"/>
      <c r="IY772" s="770"/>
      <c r="IZ772" s="770"/>
      <c r="JA772" s="770"/>
      <c r="JB772" s="770"/>
      <c r="JC772" s="770"/>
      <c r="JD772" s="302"/>
      <c r="JE772" s="770"/>
      <c r="JF772" s="770"/>
      <c r="JG772" s="770"/>
      <c r="JH772" s="307"/>
      <c r="JI772" s="307"/>
      <c r="JJ772" s="770">
        <v>8</v>
      </c>
      <c r="JK772" s="1139" t="s">
        <v>5020</v>
      </c>
      <c r="JL772" s="770"/>
      <c r="JM772" s="770"/>
      <c r="JN772" s="770">
        <v>4</v>
      </c>
      <c r="JO772" s="770">
        <v>4</v>
      </c>
      <c r="JP772" s="770"/>
      <c r="JQ772" s="770"/>
      <c r="JR772" s="770"/>
      <c r="JS772" s="770"/>
      <c r="JT772" s="766">
        <f t="shared" ref="JT772:JU774" si="245">SUM(JP772,JN772,JL772,JR772)</f>
        <v>4</v>
      </c>
      <c r="JU772" s="766">
        <f t="shared" si="245"/>
        <v>4</v>
      </c>
      <c r="JV772" s="712" t="str">
        <f>IF(JT772=KJ772,"ok","male")</f>
        <v>ok</v>
      </c>
      <c r="JW772" s="712" t="str">
        <f>IF(JU772=KK772,"ok","female")</f>
        <v>ok</v>
      </c>
      <c r="JX772" s="770"/>
      <c r="JY772" s="770"/>
      <c r="JZ772" s="770"/>
      <c r="KA772" s="770"/>
      <c r="KB772" s="770">
        <v>1</v>
      </c>
      <c r="KC772" s="770">
        <v>1</v>
      </c>
      <c r="KD772" s="770">
        <v>2</v>
      </c>
      <c r="KE772" s="770">
        <v>2</v>
      </c>
      <c r="KF772" s="770">
        <v>1</v>
      </c>
      <c r="KG772" s="770">
        <v>1</v>
      </c>
      <c r="KH772" s="770"/>
      <c r="KI772" s="770"/>
      <c r="KJ772" s="770">
        <f t="shared" si="225"/>
        <v>4</v>
      </c>
      <c r="KK772" s="770">
        <f t="shared" si="225"/>
        <v>4</v>
      </c>
      <c r="KL772" s="712" t="str">
        <f>IF(KJ772=LN772,"ok","male")</f>
        <v>ok</v>
      </c>
      <c r="KM772" s="712" t="str">
        <f>IF(KK772=LO772,"ok","female")</f>
        <v>ok</v>
      </c>
      <c r="KN772" s="770" t="s">
        <v>707</v>
      </c>
      <c r="KO772" s="770"/>
      <c r="KP772" s="770"/>
      <c r="KQ772" s="770"/>
      <c r="KR772" s="770"/>
      <c r="KS772" s="770"/>
      <c r="KT772" s="770"/>
      <c r="KU772" s="770"/>
      <c r="KV772" s="770"/>
      <c r="KW772" s="770"/>
      <c r="KX772" s="770"/>
      <c r="KY772" s="770">
        <v>2</v>
      </c>
      <c r="KZ772" s="770">
        <v>1</v>
      </c>
      <c r="LA772" s="770">
        <v>1</v>
      </c>
      <c r="LB772" s="770">
        <v>1</v>
      </c>
      <c r="LC772" s="770"/>
      <c r="LD772" s="770">
        <v>2</v>
      </c>
      <c r="LE772" s="770">
        <v>1</v>
      </c>
      <c r="LF772" s="770"/>
      <c r="LG772" s="770"/>
      <c r="LH772" s="770"/>
      <c r="LI772" s="770"/>
      <c r="LJ772" s="770"/>
      <c r="LK772" s="770"/>
      <c r="LL772" s="770"/>
      <c r="LM772" s="770"/>
      <c r="LN772" s="766">
        <f t="shared" si="230"/>
        <v>4</v>
      </c>
      <c r="LO772" s="766">
        <f t="shared" si="230"/>
        <v>4</v>
      </c>
      <c r="LP772" s="770">
        <v>3</v>
      </c>
      <c r="LQ772" s="770">
        <v>2</v>
      </c>
      <c r="LR772" s="770"/>
      <c r="LS772" s="770">
        <v>1</v>
      </c>
      <c r="LT772" s="712" t="str">
        <f>IF(LQ772=SUM(LU772:LW772),"OK","REV")</f>
        <v>OK</v>
      </c>
      <c r="LU772" s="770">
        <v>2</v>
      </c>
      <c r="LV772" s="770"/>
      <c r="LW772" s="770"/>
      <c r="LX772" s="769">
        <v>1</v>
      </c>
      <c r="LY772" s="766" t="str">
        <f t="shared" si="231"/>
        <v>within the BRGY</v>
      </c>
      <c r="LZ772" s="1709"/>
      <c r="MA772" s="1709"/>
      <c r="MB772" s="1709"/>
      <c r="MC772" s="1679">
        <f t="shared" si="229"/>
        <v>0</v>
      </c>
      <c r="MD772" s="1709" t="s">
        <v>4328</v>
      </c>
      <c r="ME772" s="1709"/>
      <c r="MF772" s="1709">
        <v>30000</v>
      </c>
      <c r="MG772" s="1680">
        <f t="shared" si="242"/>
        <v>30000</v>
      </c>
      <c r="MH772" s="770" t="s">
        <v>13997</v>
      </c>
      <c r="MI772" s="302">
        <v>6000</v>
      </c>
      <c r="MJ772" s="302"/>
      <c r="MK772" s="302">
        <v>833</v>
      </c>
      <c r="ML772" s="302">
        <v>8000</v>
      </c>
      <c r="MM772" s="302"/>
      <c r="MN772" s="302"/>
      <c r="MO772" s="302">
        <v>400</v>
      </c>
      <c r="MP772" s="302">
        <v>2000</v>
      </c>
      <c r="MQ772" s="302">
        <v>1200</v>
      </c>
      <c r="MR772" s="302">
        <v>700</v>
      </c>
      <c r="MS772" s="302"/>
      <c r="MT772" s="302"/>
      <c r="MU772" s="302"/>
      <c r="MV772" s="302"/>
      <c r="MW772" s="302"/>
      <c r="MX772" s="302"/>
      <c r="MY772" s="1682">
        <f t="shared" si="243"/>
        <v>19133</v>
      </c>
      <c r="MZ772" s="770" t="s">
        <v>13370</v>
      </c>
      <c r="NA772" s="770" t="s">
        <v>13005</v>
      </c>
      <c r="NB772" s="770" t="s">
        <v>13016</v>
      </c>
      <c r="NC772" s="770" t="s">
        <v>13602</v>
      </c>
      <c r="ND772" s="770">
        <v>0</v>
      </c>
      <c r="NE772" s="770">
        <v>1</v>
      </c>
      <c r="NF772" s="770">
        <v>1</v>
      </c>
      <c r="NG772" s="770">
        <v>0</v>
      </c>
      <c r="NH772" s="770">
        <v>0</v>
      </c>
      <c r="NI772" s="770">
        <v>0</v>
      </c>
      <c r="NJ772" s="770">
        <v>0</v>
      </c>
      <c r="NK772" s="770">
        <v>0</v>
      </c>
      <c r="NL772" s="770">
        <v>0</v>
      </c>
      <c r="NM772" s="770">
        <v>0</v>
      </c>
      <c r="NN772" s="770">
        <v>0</v>
      </c>
      <c r="NO772" s="770">
        <v>0</v>
      </c>
      <c r="NP772" s="770">
        <v>0</v>
      </c>
      <c r="NQ772" s="770">
        <v>0</v>
      </c>
      <c r="NR772" s="770">
        <v>0</v>
      </c>
      <c r="NS772" s="770">
        <v>0</v>
      </c>
      <c r="NT772" s="770">
        <v>0</v>
      </c>
      <c r="NU772" s="770">
        <v>0</v>
      </c>
      <c r="NV772" s="770">
        <v>0</v>
      </c>
      <c r="NW772" s="770">
        <v>0</v>
      </c>
      <c r="NX772" s="770">
        <v>0</v>
      </c>
      <c r="NY772" s="770"/>
      <c r="NZ772" s="770"/>
      <c r="OA772" s="770"/>
      <c r="OB772" s="770"/>
      <c r="OC772" s="770"/>
      <c r="OD772" s="770"/>
      <c r="OE772" s="770"/>
      <c r="OF772" s="770" t="s">
        <v>2143</v>
      </c>
      <c r="OG772" s="770"/>
      <c r="OH772" s="770"/>
      <c r="OI772" s="770"/>
      <c r="OJ772" s="770"/>
      <c r="OK772" s="770"/>
      <c r="OL772" s="770"/>
      <c r="OM772" s="770"/>
      <c r="ON772" s="770"/>
      <c r="OO772" s="770"/>
      <c r="OP772" s="770"/>
      <c r="OQ772" s="770"/>
      <c r="OR772" s="770"/>
      <c r="OS772" s="770"/>
      <c r="OT772" s="770"/>
      <c r="OU772" s="770"/>
      <c r="OV772" s="770"/>
      <c r="OW772" s="770"/>
      <c r="OX772" s="770"/>
      <c r="OY772" s="770"/>
      <c r="OZ772" s="770"/>
      <c r="PA772" s="770"/>
      <c r="PB772" s="770"/>
      <c r="PC772" s="770"/>
      <c r="PD772" s="770"/>
      <c r="PE772" s="770"/>
      <c r="PF772" s="770"/>
      <c r="PG772" s="770"/>
      <c r="PH772" s="770"/>
      <c r="PI772" s="770"/>
      <c r="PJ772" s="770"/>
      <c r="PK772" s="770"/>
      <c r="PL772" s="770"/>
      <c r="PM772" s="770"/>
      <c r="PN772" s="770"/>
      <c r="PO772" s="770"/>
      <c r="PP772" s="770"/>
      <c r="PQ772" s="770"/>
      <c r="PR772" s="770"/>
      <c r="PS772" s="770"/>
      <c r="PT772" s="770"/>
      <c r="PU772" s="770"/>
      <c r="PV772" s="770"/>
      <c r="PW772" s="770"/>
      <c r="PX772" s="770"/>
      <c r="PY772" s="770"/>
      <c r="PZ772" s="770"/>
      <c r="QA772" s="770"/>
      <c r="QB772" s="770"/>
      <c r="QC772" s="770"/>
      <c r="QD772" s="770"/>
      <c r="QE772" s="770"/>
      <c r="QF772" s="770"/>
      <c r="QG772" s="770" t="s">
        <v>1208</v>
      </c>
      <c r="QH772" s="770"/>
      <c r="QI772" s="770"/>
      <c r="QJ772" s="770"/>
      <c r="QK772" s="770"/>
      <c r="QL772" s="770"/>
      <c r="QM772" s="770"/>
      <c r="QN772" s="770"/>
      <c r="QO772" s="770"/>
      <c r="QP772" s="770"/>
      <c r="QQ772" s="770"/>
      <c r="QR772" s="770"/>
      <c r="QS772" s="770"/>
      <c r="QT772" s="770"/>
      <c r="QU772" s="770"/>
      <c r="QV772" s="770"/>
      <c r="QW772" s="770"/>
      <c r="QX772" s="770"/>
      <c r="QY772" s="770"/>
      <c r="QZ772" s="770"/>
      <c r="RA772" s="770"/>
      <c r="RB772" s="770" t="s">
        <v>1207</v>
      </c>
      <c r="RC772" s="770">
        <v>2014</v>
      </c>
      <c r="RD772" s="770" t="s">
        <v>13046</v>
      </c>
      <c r="RE772" s="770" t="s">
        <v>12999</v>
      </c>
      <c r="RF772" s="304">
        <v>0.25</v>
      </c>
      <c r="RG772" s="770" t="s">
        <v>13047</v>
      </c>
      <c r="RH772" s="306">
        <v>14000</v>
      </c>
      <c r="RI772" s="770">
        <v>0.5</v>
      </c>
      <c r="RJ772" s="94" t="s">
        <v>5020</v>
      </c>
      <c r="RK772" s="770" t="s">
        <v>13550</v>
      </c>
      <c r="RL772" s="1710">
        <v>42850</v>
      </c>
      <c r="RM772" s="12"/>
      <c r="RN772" s="1711"/>
      <c r="RO772" s="149" t="s">
        <v>5013</v>
      </c>
      <c r="RP772" s="11"/>
      <c r="RQ772" s="11"/>
      <c r="RR772" s="19" t="s">
        <v>7421</v>
      </c>
      <c r="RS772" s="1139" t="s">
        <v>12980</v>
      </c>
      <c r="RT772" s="11"/>
      <c r="RU772" s="11"/>
      <c r="RV772" s="771" t="s">
        <v>7421</v>
      </c>
      <c r="RW772" s="11" t="s">
        <v>8044</v>
      </c>
      <c r="RX772" s="11" t="s">
        <v>4804</v>
      </c>
      <c r="RY772" s="11"/>
      <c r="RZ772" s="11" t="s">
        <v>1101</v>
      </c>
      <c r="SA772" s="771"/>
      <c r="SB772" s="11"/>
      <c r="SC772" s="11"/>
    </row>
    <row r="773" spans="1:497" ht="12.75" customHeight="1">
      <c r="A773" s="19" t="s">
        <v>7421</v>
      </c>
      <c r="B773" s="809" t="s">
        <v>8041</v>
      </c>
      <c r="C773" s="149" t="s">
        <v>5021</v>
      </c>
      <c r="D773" s="94" t="s">
        <v>5024</v>
      </c>
      <c r="E773" s="766" t="s">
        <v>5027</v>
      </c>
      <c r="F773" s="770" t="s">
        <v>28</v>
      </c>
      <c r="G773" s="770" t="s">
        <v>18</v>
      </c>
      <c r="H773" s="12"/>
      <c r="I773" s="295" t="s">
        <v>5028</v>
      </c>
      <c r="J773" s="94" t="s">
        <v>5024</v>
      </c>
      <c r="K773" s="766" t="s">
        <v>5029</v>
      </c>
      <c r="L773" s="766" t="s">
        <v>2745</v>
      </c>
      <c r="M773" s="770" t="s">
        <v>2402</v>
      </c>
      <c r="N773" s="1757"/>
      <c r="O773" s="1757" t="s">
        <v>5030</v>
      </c>
      <c r="P773" s="94" t="s">
        <v>5031</v>
      </c>
      <c r="Q773" s="1088">
        <v>29883</v>
      </c>
      <c r="R773" s="297">
        <v>34</v>
      </c>
      <c r="S773" s="770" t="s">
        <v>18</v>
      </c>
      <c r="T773" s="770"/>
      <c r="U773" s="295" t="s">
        <v>5028</v>
      </c>
      <c r="V773" s="770" t="s">
        <v>722</v>
      </c>
      <c r="W773" s="770"/>
      <c r="X773" s="770"/>
      <c r="Y773" s="770" t="s">
        <v>5027</v>
      </c>
      <c r="Z773" s="770" t="s">
        <v>708</v>
      </c>
      <c r="AA773" s="13" t="s">
        <v>748</v>
      </c>
      <c r="AB773" s="770" t="s">
        <v>710</v>
      </c>
      <c r="AC773" s="770"/>
      <c r="AD773" s="770" t="s">
        <v>711</v>
      </c>
      <c r="AE773" s="770"/>
      <c r="AF773" s="770" t="s">
        <v>712</v>
      </c>
      <c r="AG773" s="766" t="s">
        <v>1132</v>
      </c>
      <c r="AH773" s="766" t="s">
        <v>1096</v>
      </c>
      <c r="AI773" s="770"/>
      <c r="AJ773" s="770" t="s">
        <v>1137</v>
      </c>
      <c r="AK773" s="770" t="s">
        <v>1101</v>
      </c>
      <c r="AL773" s="531">
        <v>3.9</v>
      </c>
      <c r="AM773" s="780">
        <v>3.9</v>
      </c>
      <c r="AN773" s="532">
        <f t="shared" si="244"/>
        <v>1</v>
      </c>
      <c r="AO773" s="766" t="s">
        <v>1122</v>
      </c>
      <c r="AP773" s="766"/>
      <c r="AQ773" s="766"/>
      <c r="AR773" s="766"/>
      <c r="AS773" s="770"/>
      <c r="AT773" s="770"/>
      <c r="AU773" s="770"/>
      <c r="AV773" s="770"/>
      <c r="AW773" s="770"/>
      <c r="AX773" s="770"/>
      <c r="AY773" s="770"/>
      <c r="AZ773" s="770"/>
      <c r="BA773" s="770"/>
      <c r="BB773" s="770"/>
      <c r="BC773" s="770"/>
      <c r="BD773" s="770"/>
      <c r="BE773" s="770"/>
      <c r="BF773" s="302"/>
      <c r="BG773" s="302"/>
      <c r="BH773" s="770"/>
      <c r="BI773" s="770"/>
      <c r="BJ773" s="770"/>
      <c r="BK773" s="766" t="s">
        <v>1095</v>
      </c>
      <c r="BL773" s="766" t="s">
        <v>5032</v>
      </c>
      <c r="BM773" s="766" t="s">
        <v>1096</v>
      </c>
      <c r="BN773" s="766" t="s">
        <v>1230</v>
      </c>
      <c r="BO773" s="766" t="s">
        <v>1246</v>
      </c>
      <c r="BP773" s="1109">
        <v>3.9</v>
      </c>
      <c r="BQ773" s="773">
        <v>3.9</v>
      </c>
      <c r="BR773" s="774">
        <f>BQ773/BP773</f>
        <v>1</v>
      </c>
      <c r="BS773" s="766" t="s">
        <v>1257</v>
      </c>
      <c r="BT773" s="766" t="s">
        <v>1326</v>
      </c>
      <c r="BU773" s="766" t="s">
        <v>1264</v>
      </c>
      <c r="BV773" s="770" t="s">
        <v>2432</v>
      </c>
      <c r="BW773" s="770">
        <v>2016</v>
      </c>
      <c r="BX773" s="302"/>
      <c r="BY773" s="770"/>
      <c r="BZ773" s="302"/>
      <c r="CA773" s="770"/>
      <c r="CB773" s="770" t="s">
        <v>1207</v>
      </c>
      <c r="CC773" s="770" t="s">
        <v>5033</v>
      </c>
      <c r="CD773" s="770"/>
      <c r="CE773" s="302"/>
      <c r="CF773" s="304">
        <v>1.2</v>
      </c>
      <c r="CG773" s="321">
        <v>8</v>
      </c>
      <c r="CH773" s="770" t="s">
        <v>3377</v>
      </c>
      <c r="CI773" s="770"/>
      <c r="CJ773" s="770" t="s">
        <v>3377</v>
      </c>
      <c r="CK773" s="770">
        <v>5</v>
      </c>
      <c r="CL773" s="770" t="s">
        <v>1249</v>
      </c>
      <c r="CM773" s="770"/>
      <c r="CN773" s="770"/>
      <c r="CO773" s="770"/>
      <c r="CP773" s="770"/>
      <c r="CQ773" s="770"/>
      <c r="CR773" s="302"/>
      <c r="CS773" s="770"/>
      <c r="CT773" s="770"/>
      <c r="CU773" s="305"/>
      <c r="CV773" s="770"/>
      <c r="CW773" s="770"/>
      <c r="CX773" s="770"/>
      <c r="CY773" s="770"/>
      <c r="CZ773" s="770"/>
      <c r="DA773" s="306"/>
      <c r="DB773" s="770"/>
      <c r="DC773" s="770"/>
      <c r="DD773" s="770"/>
      <c r="DE773" s="300"/>
      <c r="DF773" s="770"/>
      <c r="DG773" s="770"/>
      <c r="DH773" s="770"/>
      <c r="DI773" s="770"/>
      <c r="DJ773" s="770"/>
      <c r="DK773" s="770"/>
      <c r="DL773" s="770"/>
      <c r="DM773" s="770"/>
      <c r="DN773" s="322"/>
      <c r="DO773" s="770"/>
      <c r="DP773" s="770"/>
      <c r="DQ773" s="770"/>
      <c r="DR773" s="770"/>
      <c r="DS773" s="307"/>
      <c r="DT773" s="770"/>
      <c r="DU773" s="770"/>
      <c r="DV773" s="770"/>
      <c r="DW773" s="306"/>
      <c r="DX773" s="306"/>
      <c r="DY773" s="1055"/>
      <c r="DZ773" s="770"/>
      <c r="EA773" s="770"/>
      <c r="EB773" s="770"/>
      <c r="EC773" s="770"/>
      <c r="ED773" s="770"/>
      <c r="EE773" s="770"/>
      <c r="EF773" s="770"/>
      <c r="EG773" s="770"/>
      <c r="EH773" s="770"/>
      <c r="EI773" s="770"/>
      <c r="EJ773" s="770"/>
      <c r="EK773" s="770"/>
      <c r="EL773" s="770"/>
      <c r="EM773" s="770"/>
      <c r="EN773" s="770"/>
      <c r="EO773" s="770"/>
      <c r="EP773" s="94"/>
      <c r="EQ773" s="770"/>
      <c r="ER773" s="770"/>
      <c r="ES773" s="770"/>
      <c r="ET773" s="770"/>
      <c r="EU773" s="770"/>
      <c r="EV773" s="770"/>
      <c r="EW773" s="770"/>
      <c r="EX773" s="770"/>
      <c r="EY773" s="770"/>
      <c r="EZ773" s="770"/>
      <c r="FA773" s="770"/>
      <c r="FB773" s="770"/>
      <c r="FC773" s="770"/>
      <c r="FD773" s="302"/>
      <c r="FE773" s="770"/>
      <c r="FF773" s="770"/>
      <c r="FG773" s="770"/>
      <c r="FH773" s="770" t="s">
        <v>478</v>
      </c>
      <c r="FI773" s="770">
        <v>1</v>
      </c>
      <c r="FJ773" s="770"/>
      <c r="FK773" s="770"/>
      <c r="FL773" s="770"/>
      <c r="FM773" s="302"/>
      <c r="FN773" s="302"/>
      <c r="FO773" s="302"/>
      <c r="FP773" s="766" t="s">
        <v>1602</v>
      </c>
      <c r="FQ773" s="766" t="s">
        <v>1660</v>
      </c>
      <c r="FR773" s="770" t="s">
        <v>1214</v>
      </c>
      <c r="FS773" s="770"/>
      <c r="FT773" s="770"/>
      <c r="FU773" s="770"/>
      <c r="FV773" s="770"/>
      <c r="FW773" s="770"/>
      <c r="FX773" s="770"/>
      <c r="FY773" s="770"/>
      <c r="FZ773" s="770"/>
      <c r="GA773" s="770"/>
      <c r="GB773" s="770" t="s">
        <v>1734</v>
      </c>
      <c r="GC773" s="308"/>
      <c r="GD773" s="297">
        <v>2016</v>
      </c>
      <c r="GE773" s="770" t="s">
        <v>1214</v>
      </c>
      <c r="GF773" s="302"/>
      <c r="GG773" s="302"/>
      <c r="GH773" s="712" t="s">
        <v>1791</v>
      </c>
      <c r="GI773" s="770" t="s">
        <v>2352</v>
      </c>
      <c r="GJ773" s="770" t="s">
        <v>3799</v>
      </c>
      <c r="GK773" s="770" t="s">
        <v>2345</v>
      </c>
      <c r="GL773" s="770"/>
      <c r="GM773" s="770" t="s">
        <v>5034</v>
      </c>
      <c r="GN773" s="299" t="s">
        <v>5035</v>
      </c>
      <c r="GO773" s="770" t="s">
        <v>2770</v>
      </c>
      <c r="GP773" s="770" t="s">
        <v>1208</v>
      </c>
      <c r="GQ773" s="770" t="s">
        <v>1208</v>
      </c>
      <c r="GR773" s="770" t="s">
        <v>1208</v>
      </c>
      <c r="GS773" s="770" t="s">
        <v>1208</v>
      </c>
      <c r="GT773" s="770" t="s">
        <v>1208</v>
      </c>
      <c r="GU773" s="770"/>
      <c r="GV773" s="770"/>
      <c r="GW773" s="770" t="s">
        <v>1207</v>
      </c>
      <c r="GX773" s="770"/>
      <c r="GY773" s="770" t="s">
        <v>1208</v>
      </c>
      <c r="GZ773" s="770" t="s">
        <v>1208</v>
      </c>
      <c r="HA773" s="770" t="s">
        <v>1208</v>
      </c>
      <c r="HB773" s="770" t="s">
        <v>1208</v>
      </c>
      <c r="HC773" s="770" t="s">
        <v>1208</v>
      </c>
      <c r="HD773" s="770" t="s">
        <v>1208</v>
      </c>
      <c r="HE773" s="770" t="s">
        <v>1208</v>
      </c>
      <c r="HF773" s="770"/>
      <c r="HG773" s="770"/>
      <c r="HH773" s="770"/>
      <c r="HI773" s="766" t="s">
        <v>1214</v>
      </c>
      <c r="HJ773" s="766"/>
      <c r="HK773" s="770"/>
      <c r="HL773" s="770"/>
      <c r="HM773" s="770"/>
      <c r="HN773" s="770"/>
      <c r="HO773" s="770"/>
      <c r="HP773" s="770"/>
      <c r="HQ773" s="770"/>
      <c r="HR773" s="770"/>
      <c r="HS773" s="770"/>
      <c r="HT773" s="770"/>
      <c r="HU773" s="770"/>
      <c r="HV773" s="770"/>
      <c r="HW773" s="770"/>
      <c r="HX773" s="770"/>
      <c r="HY773" s="770"/>
      <c r="HZ773" s="770"/>
      <c r="IA773" s="770"/>
      <c r="IB773" s="14" t="e">
        <f>IF(#REF!&gt;0,IF(#REF!&lt;=10000,"Y",""),"")</f>
        <v>#REF!</v>
      </c>
      <c r="IC773" s="770" t="s">
        <v>1207</v>
      </c>
      <c r="ID773" s="770"/>
      <c r="IE773" s="770"/>
      <c r="IF773" s="770"/>
      <c r="IG773" s="770"/>
      <c r="IH773" s="770"/>
      <c r="II773" s="770"/>
      <c r="IJ773" s="770"/>
      <c r="IK773" s="770"/>
      <c r="IL773" s="770"/>
      <c r="IM773" s="770"/>
      <c r="IN773" s="770"/>
      <c r="IO773" s="296"/>
      <c r="IP773" s="770"/>
      <c r="IQ773" s="770"/>
      <c r="IR773" s="770"/>
      <c r="IS773" s="770"/>
      <c r="IT773" s="770"/>
      <c r="IU773" s="770"/>
      <c r="IV773" s="770"/>
      <c r="IW773" s="770"/>
      <c r="IX773" s="770"/>
      <c r="IY773" s="770"/>
      <c r="IZ773" s="770"/>
      <c r="JA773" s="770"/>
      <c r="JB773" s="770"/>
      <c r="JC773" s="770"/>
      <c r="JD773" s="302"/>
      <c r="JE773" s="770"/>
      <c r="JF773" s="770"/>
      <c r="JG773" s="770"/>
      <c r="JH773" s="307"/>
      <c r="JI773" s="712" t="str">
        <f>IF(SUM(JT773,JU773)=JJ773,"ok","review")</f>
        <v>ok</v>
      </c>
      <c r="JJ773" s="770">
        <v>2</v>
      </c>
      <c r="JK773" s="1139" t="s">
        <v>5036</v>
      </c>
      <c r="JL773" s="770"/>
      <c r="JM773" s="770"/>
      <c r="JN773" s="770">
        <v>1</v>
      </c>
      <c r="JO773" s="770">
        <v>1</v>
      </c>
      <c r="JP773" s="770"/>
      <c r="JQ773" s="770"/>
      <c r="JR773" s="770"/>
      <c r="JS773" s="770"/>
      <c r="JT773" s="766">
        <f t="shared" si="245"/>
        <v>1</v>
      </c>
      <c r="JU773" s="766">
        <f t="shared" si="245"/>
        <v>1</v>
      </c>
      <c r="JV773" s="712" t="str">
        <f>IF(JT773=KJ773,"ok","male")</f>
        <v>ok</v>
      </c>
      <c r="JW773" s="712" t="str">
        <f>IF(JU773=KK773,"ok","female")</f>
        <v>ok</v>
      </c>
      <c r="JX773" s="770"/>
      <c r="JY773" s="770"/>
      <c r="JZ773" s="770"/>
      <c r="KA773" s="770"/>
      <c r="KB773" s="770"/>
      <c r="KC773" s="770"/>
      <c r="KD773" s="770">
        <v>1</v>
      </c>
      <c r="KE773" s="770">
        <v>1</v>
      </c>
      <c r="KF773" s="770"/>
      <c r="KG773" s="770"/>
      <c r="KH773" s="770"/>
      <c r="KI773" s="770"/>
      <c r="KJ773" s="770">
        <f t="shared" si="225"/>
        <v>1</v>
      </c>
      <c r="KK773" s="770">
        <f t="shared" si="225"/>
        <v>1</v>
      </c>
      <c r="KL773" s="712" t="str">
        <f>IF(KJ773=LN773,"ok","male")</f>
        <v>ok</v>
      </c>
      <c r="KM773" s="712" t="str">
        <f>IF(KK773=LO773,"ok","female")</f>
        <v>ok</v>
      </c>
      <c r="KN773" s="770" t="s">
        <v>722</v>
      </c>
      <c r="KO773" s="770"/>
      <c r="KP773" s="770"/>
      <c r="KQ773" s="770"/>
      <c r="KR773" s="770"/>
      <c r="KS773" s="770"/>
      <c r="KT773" s="770">
        <v>1</v>
      </c>
      <c r="KU773" s="770"/>
      <c r="KV773" s="770"/>
      <c r="KW773" s="770"/>
      <c r="KX773" s="770"/>
      <c r="KY773" s="770"/>
      <c r="KZ773" s="770"/>
      <c r="LA773" s="770"/>
      <c r="LB773" s="770"/>
      <c r="LC773" s="770">
        <v>1</v>
      </c>
      <c r="LD773" s="770"/>
      <c r="LE773" s="770"/>
      <c r="LF773" s="770"/>
      <c r="LG773" s="770"/>
      <c r="LH773" s="770"/>
      <c r="LI773" s="770"/>
      <c r="LJ773" s="770"/>
      <c r="LK773" s="770"/>
      <c r="LL773" s="770"/>
      <c r="LM773" s="770"/>
      <c r="LN773" s="766">
        <f t="shared" si="230"/>
        <v>1</v>
      </c>
      <c r="LO773" s="766">
        <f t="shared" si="230"/>
        <v>1</v>
      </c>
      <c r="LP773" s="770">
        <v>2</v>
      </c>
      <c r="LQ773" s="770">
        <v>2</v>
      </c>
      <c r="LR773" s="770"/>
      <c r="LS773" s="770"/>
      <c r="LT773" s="712" t="str">
        <f>IF(LQ773=SUM(LU773:LW773),"OK","REV")</f>
        <v>OK</v>
      </c>
      <c r="LU773" s="770">
        <v>2</v>
      </c>
      <c r="LV773" s="770"/>
      <c r="LW773" s="770"/>
      <c r="LX773" s="769">
        <v>2</v>
      </c>
      <c r="LY773" s="766" t="str">
        <f t="shared" si="231"/>
        <v>within the MUNICIPALITY</v>
      </c>
      <c r="LZ773" s="1709">
        <v>1200</v>
      </c>
      <c r="MA773" s="1709"/>
      <c r="MB773" s="1709"/>
      <c r="MC773" s="1679">
        <f t="shared" si="229"/>
        <v>1200</v>
      </c>
      <c r="MD773" s="1709">
        <f>SUM(4500,8000)</f>
        <v>12500</v>
      </c>
      <c r="ME773" s="1709"/>
      <c r="MF773" s="1709"/>
      <c r="MG773" s="1680">
        <f t="shared" si="242"/>
        <v>12500</v>
      </c>
      <c r="MH773" s="770" t="s">
        <v>2968</v>
      </c>
      <c r="MI773" s="302">
        <v>6000</v>
      </c>
      <c r="MJ773" s="302">
        <v>600</v>
      </c>
      <c r="MK773" s="302">
        <v>600</v>
      </c>
      <c r="ML773" s="302">
        <v>500</v>
      </c>
      <c r="MM773" s="302"/>
      <c r="MN773" s="302"/>
      <c r="MO773" s="302">
        <v>900</v>
      </c>
      <c r="MP773" s="302"/>
      <c r="MQ773" s="302"/>
      <c r="MR773" s="302">
        <v>750</v>
      </c>
      <c r="MS773" s="302"/>
      <c r="MT773" s="302"/>
      <c r="MU773" s="302"/>
      <c r="MV773" s="302"/>
      <c r="MW773" s="302"/>
      <c r="MX773" s="302"/>
      <c r="MY773" s="1682">
        <f t="shared" si="243"/>
        <v>9350</v>
      </c>
      <c r="MZ773" s="770" t="s">
        <v>13395</v>
      </c>
      <c r="NA773" s="770" t="s">
        <v>1835</v>
      </c>
      <c r="NB773" s="770" t="s">
        <v>13092</v>
      </c>
      <c r="NC773" s="770" t="s">
        <v>13965</v>
      </c>
      <c r="ND773" s="770">
        <v>0</v>
      </c>
      <c r="NE773" s="770">
        <v>0</v>
      </c>
      <c r="NF773" s="770">
        <v>0</v>
      </c>
      <c r="NG773" s="770">
        <v>1</v>
      </c>
      <c r="NH773" s="770">
        <v>0</v>
      </c>
      <c r="NI773" s="770">
        <v>0</v>
      </c>
      <c r="NJ773" s="770">
        <v>0</v>
      </c>
      <c r="NK773" s="770">
        <v>0</v>
      </c>
      <c r="NL773" s="770">
        <v>0</v>
      </c>
      <c r="NM773" s="770">
        <v>0</v>
      </c>
      <c r="NN773" s="770">
        <v>0</v>
      </c>
      <c r="NO773" s="770">
        <v>0</v>
      </c>
      <c r="NP773" s="770">
        <v>0</v>
      </c>
      <c r="NQ773" s="770">
        <v>0</v>
      </c>
      <c r="NR773" s="770">
        <v>0</v>
      </c>
      <c r="NS773" s="770">
        <v>0</v>
      </c>
      <c r="NT773" s="770">
        <v>0</v>
      </c>
      <c r="NU773" s="770">
        <v>0</v>
      </c>
      <c r="NV773" s="770">
        <v>0</v>
      </c>
      <c r="NW773" s="770">
        <v>0</v>
      </c>
      <c r="NX773" s="770">
        <v>0</v>
      </c>
      <c r="NY773" s="770" t="s">
        <v>1208</v>
      </c>
      <c r="NZ773" s="770"/>
      <c r="OA773" s="770"/>
      <c r="OB773" s="770" t="s">
        <v>1208</v>
      </c>
      <c r="OC773" s="770" t="s">
        <v>1208</v>
      </c>
      <c r="OD773" s="770"/>
      <c r="OE773" s="770"/>
      <c r="OF773" s="770" t="s">
        <v>2143</v>
      </c>
      <c r="OG773" s="770"/>
      <c r="OH773" s="770"/>
      <c r="OI773" s="770"/>
      <c r="OJ773" s="770"/>
      <c r="OK773" s="770" t="s">
        <v>1208</v>
      </c>
      <c r="OL773" s="770" t="s">
        <v>13532</v>
      </c>
      <c r="OM773" s="770" t="s">
        <v>13548</v>
      </c>
      <c r="ON773" s="770" t="s">
        <v>13563</v>
      </c>
      <c r="OO773" s="770" t="s">
        <v>1207</v>
      </c>
      <c r="OP773" s="770" t="s">
        <v>13532</v>
      </c>
      <c r="OQ773" s="770" t="s">
        <v>13548</v>
      </c>
      <c r="OR773" s="770" t="s">
        <v>13563</v>
      </c>
      <c r="OS773" s="770" t="s">
        <v>12885</v>
      </c>
      <c r="OT773" s="770" t="s">
        <v>12888</v>
      </c>
      <c r="OU773" s="770" t="s">
        <v>12890</v>
      </c>
      <c r="OV773" s="770" t="s">
        <v>1208</v>
      </c>
      <c r="OW773" s="770"/>
      <c r="OX773" s="770"/>
      <c r="OY773" s="770" t="s">
        <v>1208</v>
      </c>
      <c r="OZ773" s="770" t="s">
        <v>1208</v>
      </c>
      <c r="PA773" s="770"/>
      <c r="PB773" s="770"/>
      <c r="PC773" s="770"/>
      <c r="PD773" s="770"/>
      <c r="PE773" s="770"/>
      <c r="PF773" s="770"/>
      <c r="PG773" s="770" t="s">
        <v>1208</v>
      </c>
      <c r="PH773" s="770"/>
      <c r="PI773" s="770"/>
      <c r="PJ773" s="770"/>
      <c r="PK773" s="770" t="s">
        <v>1208</v>
      </c>
      <c r="PL773" s="770"/>
      <c r="PM773" s="770"/>
      <c r="PN773" s="770"/>
      <c r="PO773" s="770"/>
      <c r="PP773" s="770"/>
      <c r="PQ773" s="770"/>
      <c r="PR773" s="770"/>
      <c r="PS773" s="770"/>
      <c r="PT773" s="770"/>
      <c r="PU773" s="770"/>
      <c r="PV773" s="770"/>
      <c r="PW773" s="770"/>
      <c r="PX773" s="770"/>
      <c r="PY773" s="770"/>
      <c r="PZ773" s="770"/>
      <c r="QA773" s="770"/>
      <c r="QB773" s="770"/>
      <c r="QC773" s="770"/>
      <c r="QD773" s="770"/>
      <c r="QE773" s="770"/>
      <c r="QF773" s="770"/>
      <c r="QG773" s="770"/>
      <c r="QH773" s="770"/>
      <c r="QI773" s="770"/>
      <c r="QJ773" s="770"/>
      <c r="QK773" s="770"/>
      <c r="QL773" s="770"/>
      <c r="QM773" s="770"/>
      <c r="QN773" s="770"/>
      <c r="QO773" s="770"/>
      <c r="QP773" s="770"/>
      <c r="QQ773" s="770"/>
      <c r="QR773" s="770"/>
      <c r="QS773" s="770"/>
      <c r="QT773" s="770"/>
      <c r="QU773" s="770"/>
      <c r="QV773" s="770"/>
      <c r="QW773" s="770"/>
      <c r="QX773" s="770"/>
      <c r="QY773" s="770"/>
      <c r="QZ773" s="770"/>
      <c r="RA773" s="770"/>
      <c r="RB773" s="770" t="s">
        <v>1214</v>
      </c>
      <c r="RC773" s="770"/>
      <c r="RD773" s="770"/>
      <c r="RE773" s="770"/>
      <c r="RF773" s="304"/>
      <c r="RG773" s="770"/>
      <c r="RH773" s="306"/>
      <c r="RI773" s="770"/>
      <c r="RJ773" s="94" t="s">
        <v>13998</v>
      </c>
      <c r="RK773" s="770" t="s">
        <v>13544</v>
      </c>
      <c r="RL773" s="1710" t="s">
        <v>1604</v>
      </c>
      <c r="RM773" s="12"/>
      <c r="RN773" s="1711"/>
      <c r="RO773" s="149" t="s">
        <v>5021</v>
      </c>
      <c r="RP773" s="11"/>
      <c r="RQ773" s="11"/>
      <c r="RR773" s="19" t="s">
        <v>7421</v>
      </c>
      <c r="RS773" s="1139" t="s">
        <v>12980</v>
      </c>
      <c r="RT773" s="11"/>
      <c r="RU773" s="11"/>
      <c r="RV773" s="771" t="s">
        <v>7421</v>
      </c>
      <c r="RW773" s="11" t="s">
        <v>8043</v>
      </c>
      <c r="RX773" s="11" t="s">
        <v>4809</v>
      </c>
      <c r="RY773" s="11"/>
      <c r="RZ773" s="11" t="s">
        <v>1101</v>
      </c>
      <c r="SA773" s="771"/>
      <c r="SB773" s="11"/>
      <c r="SC773" s="11"/>
    </row>
    <row r="774" spans="1:497" ht="12.75" customHeight="1">
      <c r="A774" s="19" t="s">
        <v>7421</v>
      </c>
      <c r="B774" s="809" t="s">
        <v>8042</v>
      </c>
      <c r="C774" s="149" t="s">
        <v>5022</v>
      </c>
      <c r="D774" s="94" t="s">
        <v>14130</v>
      </c>
      <c r="E774" s="766" t="s">
        <v>5037</v>
      </c>
      <c r="F774" s="770" t="s">
        <v>28</v>
      </c>
      <c r="G774" s="770" t="s">
        <v>10</v>
      </c>
      <c r="H774" s="12"/>
      <c r="I774" s="295" t="s">
        <v>5038</v>
      </c>
      <c r="J774" s="94" t="s">
        <v>14130</v>
      </c>
      <c r="K774" s="766" t="s">
        <v>5039</v>
      </c>
      <c r="L774" s="766" t="s">
        <v>2777</v>
      </c>
      <c r="M774" s="770" t="s">
        <v>2402</v>
      </c>
      <c r="N774" s="1757"/>
      <c r="O774" s="1757" t="s">
        <v>5030</v>
      </c>
      <c r="P774" s="94" t="s">
        <v>5040</v>
      </c>
      <c r="Q774" s="1088">
        <v>24027</v>
      </c>
      <c r="R774" s="297">
        <v>52</v>
      </c>
      <c r="S774" s="770" t="s">
        <v>10</v>
      </c>
      <c r="T774" s="770"/>
      <c r="U774" s="295" t="s">
        <v>5038</v>
      </c>
      <c r="V774" s="770" t="s">
        <v>722</v>
      </c>
      <c r="W774" s="770"/>
      <c r="X774" s="770"/>
      <c r="Y774" s="770" t="s">
        <v>5037</v>
      </c>
      <c r="Z774" s="770" t="s">
        <v>708</v>
      </c>
      <c r="AA774" s="770" t="s">
        <v>781</v>
      </c>
      <c r="AB774" s="770" t="s">
        <v>710</v>
      </c>
      <c r="AC774" s="770" t="s">
        <v>724</v>
      </c>
      <c r="AD774" s="770" t="s">
        <v>711</v>
      </c>
      <c r="AE774" s="770"/>
      <c r="AF774" s="770"/>
      <c r="AG774" s="766" t="s">
        <v>1132</v>
      </c>
      <c r="AH774" s="766" t="s">
        <v>1096</v>
      </c>
      <c r="AI774" s="770"/>
      <c r="AJ774" s="770" t="s">
        <v>1137</v>
      </c>
      <c r="AK774" s="770" t="s">
        <v>1101</v>
      </c>
      <c r="AL774" s="531">
        <v>52</v>
      </c>
      <c r="AM774" s="780">
        <v>0.2</v>
      </c>
      <c r="AN774" s="532">
        <f t="shared" si="244"/>
        <v>3.8461538461538464E-3</v>
      </c>
      <c r="AO774" s="766" t="s">
        <v>1098</v>
      </c>
      <c r="AP774" s="766"/>
      <c r="AQ774" s="766"/>
      <c r="AR774" s="766"/>
      <c r="AS774" s="770"/>
      <c r="AT774" s="770"/>
      <c r="AU774" s="770"/>
      <c r="AV774" s="770"/>
      <c r="AW774" s="770"/>
      <c r="AX774" s="770"/>
      <c r="AY774" s="770"/>
      <c r="AZ774" s="770"/>
      <c r="BA774" s="770"/>
      <c r="BB774" s="770"/>
      <c r="BC774" s="770"/>
      <c r="BD774" s="770"/>
      <c r="BE774" s="770"/>
      <c r="BF774" s="302"/>
      <c r="BG774" s="302"/>
      <c r="BH774" s="770"/>
      <c r="BI774" s="770"/>
      <c r="BJ774" s="770"/>
      <c r="BK774" s="766" t="s">
        <v>1095</v>
      </c>
      <c r="BL774" s="766" t="s">
        <v>8131</v>
      </c>
      <c r="BM774" s="766" t="s">
        <v>1096</v>
      </c>
      <c r="BN774" s="766" t="s">
        <v>1230</v>
      </c>
      <c r="BO774" s="766" t="s">
        <v>1239</v>
      </c>
      <c r="BP774" s="1109">
        <v>52</v>
      </c>
      <c r="BQ774" s="773">
        <v>0.2</v>
      </c>
      <c r="BR774" s="774">
        <f>BQ774/BP774</f>
        <v>3.8461538461538464E-3</v>
      </c>
      <c r="BS774" s="766" t="s">
        <v>1242</v>
      </c>
      <c r="BT774" s="766" t="s">
        <v>8133</v>
      </c>
      <c r="BU774" s="770" t="s">
        <v>1249</v>
      </c>
      <c r="BV774" s="766" t="s">
        <v>1247</v>
      </c>
      <c r="BW774" s="770">
        <v>1993</v>
      </c>
      <c r="BX774" s="302"/>
      <c r="BY774" s="770"/>
      <c r="BZ774" s="302"/>
      <c r="CA774" s="770"/>
      <c r="CB774" s="770" t="s">
        <v>1207</v>
      </c>
      <c r="CC774" s="770" t="s">
        <v>8131</v>
      </c>
      <c r="CD774" s="770">
        <v>2008</v>
      </c>
      <c r="CE774" s="302"/>
      <c r="CF774" s="304">
        <v>1.2</v>
      </c>
      <c r="CG774" s="321">
        <v>8</v>
      </c>
      <c r="CH774" s="770" t="s">
        <v>1465</v>
      </c>
      <c r="CI774" s="770"/>
      <c r="CJ774" s="770"/>
      <c r="CK774" s="770">
        <v>5</v>
      </c>
      <c r="CL774" s="770" t="s">
        <v>5041</v>
      </c>
      <c r="CM774" s="770"/>
      <c r="CN774" s="770"/>
      <c r="CO774" s="770"/>
      <c r="CP774" s="770"/>
      <c r="CQ774" s="770"/>
      <c r="CR774" s="302"/>
      <c r="CS774" s="770"/>
      <c r="CT774" s="770"/>
      <c r="CU774" s="305"/>
      <c r="CV774" s="770"/>
      <c r="CW774" s="770"/>
      <c r="CX774" s="770"/>
      <c r="CY774" s="770"/>
      <c r="CZ774" s="770"/>
      <c r="DA774" s="306"/>
      <c r="DB774" s="770"/>
      <c r="DC774" s="770"/>
      <c r="DD774" s="770"/>
      <c r="DE774" s="300"/>
      <c r="DF774" s="770"/>
      <c r="DG774" s="770"/>
      <c r="DH774" s="770"/>
      <c r="DI774" s="770"/>
      <c r="DJ774" s="770"/>
      <c r="DK774" s="770"/>
      <c r="DL774" s="770"/>
      <c r="DM774" s="770"/>
      <c r="DN774" s="322"/>
      <c r="DO774" s="770"/>
      <c r="DP774" s="770"/>
      <c r="DQ774" s="770"/>
      <c r="DR774" s="770"/>
      <c r="DS774" s="307"/>
      <c r="DT774" s="770"/>
      <c r="DU774" s="770"/>
      <c r="DV774" s="770"/>
      <c r="DW774" s="306"/>
      <c r="DX774" s="306"/>
      <c r="DY774" s="1055"/>
      <c r="DZ774" s="770"/>
      <c r="EA774" s="770"/>
      <c r="EB774" s="770"/>
      <c r="EC774" s="770"/>
      <c r="ED774" s="770"/>
      <c r="EE774" s="770"/>
      <c r="EF774" s="770"/>
      <c r="EG774" s="770"/>
      <c r="EH774" s="770"/>
      <c r="EI774" s="770"/>
      <c r="EJ774" s="770"/>
      <c r="EK774" s="770"/>
      <c r="EL774" s="770"/>
      <c r="EM774" s="770"/>
      <c r="EN774" s="770"/>
      <c r="EO774" s="770"/>
      <c r="EP774" s="94"/>
      <c r="EQ774" s="770"/>
      <c r="ER774" s="770"/>
      <c r="ES774" s="770"/>
      <c r="ET774" s="770"/>
      <c r="EU774" s="770"/>
      <c r="EV774" s="770"/>
      <c r="EW774" s="770"/>
      <c r="EX774" s="770"/>
      <c r="EY774" s="770"/>
      <c r="EZ774" s="770"/>
      <c r="FA774" s="770"/>
      <c r="FB774" s="770"/>
      <c r="FC774" s="770"/>
      <c r="FD774" s="302"/>
      <c r="FE774" s="770"/>
      <c r="FF774" s="770"/>
      <c r="FG774" s="770"/>
      <c r="FH774" s="770" t="s">
        <v>478</v>
      </c>
      <c r="FI774" s="770">
        <v>1</v>
      </c>
      <c r="FJ774" s="770"/>
      <c r="FK774" s="770"/>
      <c r="FL774" s="770"/>
      <c r="FM774" s="302"/>
      <c r="FN774" s="302"/>
      <c r="FO774" s="302"/>
      <c r="FP774" s="770" t="s">
        <v>1600</v>
      </c>
      <c r="FQ774" s="770" t="s">
        <v>1642</v>
      </c>
      <c r="FR774" s="770" t="s">
        <v>1214</v>
      </c>
      <c r="FS774" s="770"/>
      <c r="FT774" s="770"/>
      <c r="FU774" s="770"/>
      <c r="FV774" s="770"/>
      <c r="FW774" s="770"/>
      <c r="FX774" s="770"/>
      <c r="FY774" s="770"/>
      <c r="FZ774" s="770"/>
      <c r="GA774" s="770"/>
      <c r="GB774" s="770" t="s">
        <v>1734</v>
      </c>
      <c r="GC774" s="308"/>
      <c r="GD774" s="297">
        <v>1993</v>
      </c>
      <c r="GE774" s="770" t="s">
        <v>1214</v>
      </c>
      <c r="GF774" s="302"/>
      <c r="GG774" s="302"/>
      <c r="GH774" s="770"/>
      <c r="GI774" s="770"/>
      <c r="GJ774" s="770"/>
      <c r="GK774" s="770"/>
      <c r="GL774" s="770"/>
      <c r="GM774" s="770"/>
      <c r="GN774" s="299"/>
      <c r="GO774" s="770"/>
      <c r="GP774" s="770"/>
      <c r="GQ774" s="770"/>
      <c r="GR774" s="770"/>
      <c r="GS774" s="770"/>
      <c r="GT774" s="770"/>
      <c r="GU774" s="770"/>
      <c r="GV774" s="770"/>
      <c r="GW774" s="770"/>
      <c r="GX774" s="770"/>
      <c r="GY774" s="770"/>
      <c r="GZ774" s="770"/>
      <c r="HA774" s="770"/>
      <c r="HB774" s="770"/>
      <c r="HC774" s="770"/>
      <c r="HD774" s="770"/>
      <c r="HE774" s="770"/>
      <c r="HF774" s="770"/>
      <c r="HG774" s="770"/>
      <c r="HH774" s="770"/>
      <c r="HI774" s="766"/>
      <c r="HJ774" s="766"/>
      <c r="HK774" s="770"/>
      <c r="HL774" s="770"/>
      <c r="HM774" s="770"/>
      <c r="HN774" s="770"/>
      <c r="HO774" s="770"/>
      <c r="HP774" s="770"/>
      <c r="HQ774" s="770"/>
      <c r="HR774" s="770">
        <v>1</v>
      </c>
      <c r="HS774" s="770"/>
      <c r="HT774" s="770"/>
      <c r="HU774" s="770"/>
      <c r="HV774" s="770"/>
      <c r="HW774" s="770"/>
      <c r="HX774" s="770"/>
      <c r="HY774" s="770"/>
      <c r="HZ774" s="770"/>
      <c r="IA774" s="770"/>
      <c r="IB774" s="14" t="e">
        <f>IF(#REF!&gt;0,IF(#REF!&lt;=10000,"Y",""),"")</f>
        <v>#REF!</v>
      </c>
      <c r="IC774" s="770"/>
      <c r="ID774" s="770"/>
      <c r="IE774" s="770"/>
      <c r="IF774" s="770"/>
      <c r="IG774" s="770"/>
      <c r="IH774" s="770"/>
      <c r="II774" s="770"/>
      <c r="IJ774" s="770"/>
      <c r="IK774" s="770"/>
      <c r="IL774" s="770"/>
      <c r="IM774" s="770"/>
      <c r="IN774" s="770"/>
      <c r="IO774" s="296"/>
      <c r="IP774" s="770"/>
      <c r="IQ774" s="770"/>
      <c r="IR774" s="770"/>
      <c r="IS774" s="770"/>
      <c r="IT774" s="770"/>
      <c r="IU774" s="770"/>
      <c r="IV774" s="770"/>
      <c r="IW774" s="770"/>
      <c r="IX774" s="770"/>
      <c r="IY774" s="770"/>
      <c r="IZ774" s="770"/>
      <c r="JA774" s="770"/>
      <c r="JB774" s="770"/>
      <c r="JC774" s="770"/>
      <c r="JD774" s="302"/>
      <c r="JE774" s="770"/>
      <c r="JF774" s="770"/>
      <c r="JG774" s="770"/>
      <c r="JH774" s="307"/>
      <c r="JI774" s="307"/>
      <c r="JJ774" s="770">
        <v>7</v>
      </c>
      <c r="JK774" s="1139" t="s">
        <v>5023</v>
      </c>
      <c r="JL774" s="770">
        <v>1</v>
      </c>
      <c r="JM774" s="770"/>
      <c r="JN774" s="770">
        <v>3</v>
      </c>
      <c r="JO774" s="770">
        <v>3</v>
      </c>
      <c r="JP774" s="770"/>
      <c r="JQ774" s="770"/>
      <c r="JR774" s="770"/>
      <c r="JS774" s="770"/>
      <c r="JT774" s="766">
        <f t="shared" si="245"/>
        <v>4</v>
      </c>
      <c r="JU774" s="766">
        <f t="shared" si="245"/>
        <v>3</v>
      </c>
      <c r="JV774" s="712" t="str">
        <f>IF(JT774=KJ774,"ok","male")</f>
        <v>ok</v>
      </c>
      <c r="JW774" s="712" t="str">
        <f>IF(JU774=KK774,"ok","female")</f>
        <v>ok</v>
      </c>
      <c r="JX774" s="770"/>
      <c r="JY774" s="770"/>
      <c r="JZ774" s="770">
        <v>1</v>
      </c>
      <c r="KA774" s="770"/>
      <c r="KB774" s="770">
        <v>2</v>
      </c>
      <c r="KC774" s="770">
        <v>2</v>
      </c>
      <c r="KD774" s="770">
        <v>1</v>
      </c>
      <c r="KE774" s="770">
        <v>1</v>
      </c>
      <c r="KF774" s="770"/>
      <c r="KG774" s="770"/>
      <c r="KH774" s="770"/>
      <c r="KI774" s="770"/>
      <c r="KJ774" s="770">
        <f t="shared" si="225"/>
        <v>4</v>
      </c>
      <c r="KK774" s="770">
        <f t="shared" si="225"/>
        <v>3</v>
      </c>
      <c r="KL774" s="712" t="str">
        <f>IF(KJ774=LN774,"ok","male")</f>
        <v>ok</v>
      </c>
      <c r="KM774" s="712" t="str">
        <f>IF(KK774=LO774,"ok","female")</f>
        <v>ok</v>
      </c>
      <c r="KN774" s="770" t="s">
        <v>722</v>
      </c>
      <c r="KO774" s="770"/>
      <c r="KP774" s="770"/>
      <c r="KQ774" s="770"/>
      <c r="KR774" s="770">
        <v>1</v>
      </c>
      <c r="KS774" s="770"/>
      <c r="KT774" s="770"/>
      <c r="KU774" s="770"/>
      <c r="KV774" s="770"/>
      <c r="KW774" s="770"/>
      <c r="KX774" s="770">
        <v>3</v>
      </c>
      <c r="KY774" s="770">
        <v>2</v>
      </c>
      <c r="KZ774" s="770"/>
      <c r="LA774" s="770">
        <v>1</v>
      </c>
      <c r="LB774" s="770"/>
      <c r="LC774" s="770"/>
      <c r="LD774" s="770"/>
      <c r="LE774" s="770"/>
      <c r="LF774" s="770"/>
      <c r="LG774" s="770"/>
      <c r="LH774" s="770"/>
      <c r="LI774" s="770"/>
      <c r="LJ774" s="770"/>
      <c r="LK774" s="770"/>
      <c r="LL774" s="770"/>
      <c r="LM774" s="770"/>
      <c r="LN774" s="766">
        <f t="shared" si="230"/>
        <v>4</v>
      </c>
      <c r="LO774" s="766">
        <f t="shared" si="230"/>
        <v>3</v>
      </c>
      <c r="LP774" s="770">
        <v>1</v>
      </c>
      <c r="LQ774" s="770"/>
      <c r="LR774" s="770"/>
      <c r="LS774" s="770">
        <v>1</v>
      </c>
      <c r="LT774" s="712" t="str">
        <f>IF(LQ774=SUM(LU774:LW774),"OK","REV")</f>
        <v>OK</v>
      </c>
      <c r="LU774" s="770"/>
      <c r="LV774" s="770"/>
      <c r="LW774" s="770"/>
      <c r="LX774" s="769">
        <v>3</v>
      </c>
      <c r="LY774" s="766" t="str">
        <f t="shared" si="231"/>
        <v>within the PROVINCE</v>
      </c>
      <c r="LZ774" s="1696"/>
      <c r="MA774" s="1696"/>
      <c r="MB774" s="1696">
        <v>80</v>
      </c>
      <c r="MC774" s="1679">
        <f t="shared" si="229"/>
        <v>80</v>
      </c>
      <c r="MD774" s="1709"/>
      <c r="ME774" s="1709"/>
      <c r="MF774" s="1709">
        <v>4000</v>
      </c>
      <c r="MG774" s="1680">
        <f t="shared" si="242"/>
        <v>4000</v>
      </c>
      <c r="MH774" s="770" t="s">
        <v>13999</v>
      </c>
      <c r="MI774" s="302">
        <v>15000</v>
      </c>
      <c r="MJ774" s="302">
        <v>6000</v>
      </c>
      <c r="MK774" s="302">
        <v>1500</v>
      </c>
      <c r="ML774" s="302">
        <v>3000</v>
      </c>
      <c r="MM774" s="302">
        <v>3000</v>
      </c>
      <c r="MN774" s="302"/>
      <c r="MO774" s="302">
        <v>1500</v>
      </c>
      <c r="MP774" s="302">
        <v>500</v>
      </c>
      <c r="MQ774" s="302"/>
      <c r="MR774" s="302">
        <v>500</v>
      </c>
      <c r="MS774" s="302">
        <v>5000</v>
      </c>
      <c r="MT774" s="302"/>
      <c r="MU774" s="302"/>
      <c r="MV774" s="302"/>
      <c r="MW774" s="302"/>
      <c r="MX774" s="302"/>
      <c r="MY774" s="1682">
        <f t="shared" si="243"/>
        <v>36000</v>
      </c>
      <c r="MZ774" s="770" t="s">
        <v>13395</v>
      </c>
      <c r="NA774" s="770" t="s">
        <v>13585</v>
      </c>
      <c r="NB774" s="770" t="s">
        <v>13151</v>
      </c>
      <c r="NC774" s="770" t="s">
        <v>13602</v>
      </c>
      <c r="ND774" s="770">
        <v>0</v>
      </c>
      <c r="NE774" s="770">
        <v>0</v>
      </c>
      <c r="NF774" s="770">
        <v>0</v>
      </c>
      <c r="NG774" s="770">
        <v>2</v>
      </c>
      <c r="NH774" s="770">
        <v>1</v>
      </c>
      <c r="NI774" s="770">
        <v>1</v>
      </c>
      <c r="NJ774" s="770">
        <v>1</v>
      </c>
      <c r="NK774" s="770">
        <v>0</v>
      </c>
      <c r="NL774" s="770">
        <v>1</v>
      </c>
      <c r="NM774" s="770">
        <v>1</v>
      </c>
      <c r="NN774" s="770">
        <v>0</v>
      </c>
      <c r="NO774" s="770">
        <v>0</v>
      </c>
      <c r="NP774" s="770">
        <v>0</v>
      </c>
      <c r="NQ774" s="770">
        <v>0</v>
      </c>
      <c r="NR774" s="770">
        <v>0</v>
      </c>
      <c r="NS774" s="770">
        <v>0</v>
      </c>
      <c r="NT774" s="770">
        <v>0</v>
      </c>
      <c r="NU774" s="770">
        <v>0</v>
      </c>
      <c r="NV774" s="770">
        <v>0</v>
      </c>
      <c r="NW774" s="770">
        <v>1</v>
      </c>
      <c r="NX774" s="770">
        <v>0</v>
      </c>
      <c r="NY774" s="770" t="s">
        <v>1208</v>
      </c>
      <c r="NZ774" s="770" t="s">
        <v>1208</v>
      </c>
      <c r="OA774" s="770" t="s">
        <v>1208</v>
      </c>
      <c r="OB774" s="770" t="s">
        <v>1208</v>
      </c>
      <c r="OC774" s="770" t="s">
        <v>1208</v>
      </c>
      <c r="OD774" s="770" t="s">
        <v>1208</v>
      </c>
      <c r="OE774" s="770"/>
      <c r="OF774" s="770"/>
      <c r="OG774" s="770"/>
      <c r="OH774" s="770"/>
      <c r="OI774" s="770"/>
      <c r="OJ774" s="770"/>
      <c r="OK774" s="770"/>
      <c r="OL774" s="770"/>
      <c r="OM774" s="770"/>
      <c r="ON774" s="770"/>
      <c r="OO774" s="770"/>
      <c r="OP774" s="770"/>
      <c r="OQ774" s="770"/>
      <c r="OR774" s="770"/>
      <c r="OS774" s="770"/>
      <c r="OT774" s="770"/>
      <c r="OU774" s="770"/>
      <c r="OV774" s="770"/>
      <c r="OW774" s="770"/>
      <c r="OX774" s="770"/>
      <c r="OY774" s="770"/>
      <c r="OZ774" s="770"/>
      <c r="PA774" s="770"/>
      <c r="PB774" s="770"/>
      <c r="PC774" s="770"/>
      <c r="PD774" s="770"/>
      <c r="PE774" s="770"/>
      <c r="PF774" s="770"/>
      <c r="PG774" s="770"/>
      <c r="PH774" s="770"/>
      <c r="PI774" s="770"/>
      <c r="PJ774" s="770" t="s">
        <v>1208</v>
      </c>
      <c r="PK774" s="770" t="s">
        <v>1208</v>
      </c>
      <c r="PL774" s="770"/>
      <c r="PM774" s="770"/>
      <c r="PN774" s="770" t="s">
        <v>1208</v>
      </c>
      <c r="PO774" s="770"/>
      <c r="PP774" s="770"/>
      <c r="PQ774" s="770"/>
      <c r="PR774" s="770"/>
      <c r="PS774" s="770"/>
      <c r="PT774" s="770"/>
      <c r="PU774" s="770"/>
      <c r="PV774" s="770"/>
      <c r="PW774" s="770"/>
      <c r="PX774" s="770"/>
      <c r="PY774" s="770"/>
      <c r="PZ774" s="770"/>
      <c r="QA774" s="770"/>
      <c r="QB774" s="770"/>
      <c r="QC774" s="770"/>
      <c r="QD774" s="770"/>
      <c r="QE774" s="770"/>
      <c r="QF774" s="770"/>
      <c r="QG774" s="770"/>
      <c r="QH774" s="770"/>
      <c r="QI774" s="770"/>
      <c r="QJ774" s="770"/>
      <c r="QK774" s="770"/>
      <c r="QL774" s="770"/>
      <c r="QM774" s="770"/>
      <c r="QN774" s="770"/>
      <c r="QO774" s="770"/>
      <c r="QP774" s="770"/>
      <c r="QQ774" s="770"/>
      <c r="QR774" s="770"/>
      <c r="QS774" s="770"/>
      <c r="QT774" s="770"/>
      <c r="QU774" s="770"/>
      <c r="QV774" s="770"/>
      <c r="QW774" s="770"/>
      <c r="QX774" s="770"/>
      <c r="QY774" s="770"/>
      <c r="QZ774" s="770"/>
      <c r="RA774" s="770"/>
      <c r="RB774" s="770" t="s">
        <v>1207</v>
      </c>
      <c r="RC774" s="770">
        <v>2015</v>
      </c>
      <c r="RD774" s="770" t="s">
        <v>13036</v>
      </c>
      <c r="RE774" s="770" t="s">
        <v>13125</v>
      </c>
      <c r="RF774" s="304">
        <v>0.5</v>
      </c>
      <c r="RG774" s="770" t="s">
        <v>13047</v>
      </c>
      <c r="RH774" s="306">
        <v>0</v>
      </c>
      <c r="RI774" s="770">
        <v>0.75</v>
      </c>
      <c r="RJ774" s="94" t="s">
        <v>5023</v>
      </c>
      <c r="RK774" s="770" t="s">
        <v>13556</v>
      </c>
      <c r="RL774" s="1710">
        <v>42850</v>
      </c>
      <c r="RM774" s="12"/>
      <c r="RN774" s="1711"/>
      <c r="RO774" s="149" t="s">
        <v>5022</v>
      </c>
      <c r="RP774" s="11"/>
      <c r="RQ774" s="11"/>
      <c r="RR774" s="19" t="s">
        <v>7421</v>
      </c>
      <c r="RS774" s="1139" t="s">
        <v>12980</v>
      </c>
      <c r="RT774" s="11"/>
      <c r="RU774" s="11"/>
      <c r="RV774" s="771" t="s">
        <v>7421</v>
      </c>
      <c r="RW774" s="11" t="s">
        <v>7463</v>
      </c>
      <c r="RX774" s="11" t="s">
        <v>5013</v>
      </c>
      <c r="RY774" s="11"/>
      <c r="RZ774" s="11" t="s">
        <v>1101</v>
      </c>
      <c r="SA774" s="771"/>
      <c r="SB774" s="11"/>
      <c r="SC774" s="11"/>
    </row>
    <row r="775" spans="1:497" ht="12.75" customHeight="1">
      <c r="A775" s="19" t="s">
        <v>1101</v>
      </c>
      <c r="B775" s="292" t="s">
        <v>8040</v>
      </c>
      <c r="C775" s="149" t="s">
        <v>5042</v>
      </c>
      <c r="D775" s="94" t="s">
        <v>5043</v>
      </c>
      <c r="E775" s="766" t="s">
        <v>5044</v>
      </c>
      <c r="F775" s="770" t="s">
        <v>28</v>
      </c>
      <c r="G775" s="770" t="s">
        <v>10</v>
      </c>
      <c r="H775" s="295" t="s">
        <v>5045</v>
      </c>
      <c r="I775" s="12"/>
      <c r="J775" s="94" t="s">
        <v>5043</v>
      </c>
      <c r="K775" s="766" t="s">
        <v>5046</v>
      </c>
      <c r="L775" s="766" t="s">
        <v>2721</v>
      </c>
      <c r="M775" s="770" t="s">
        <v>2402</v>
      </c>
      <c r="N775" s="1757"/>
      <c r="O775" s="1757" t="s">
        <v>5030</v>
      </c>
      <c r="P775" s="770"/>
      <c r="Q775" s="1088"/>
      <c r="R775" s="297"/>
      <c r="S775" s="770"/>
      <c r="T775" s="770"/>
      <c r="U775" s="295"/>
      <c r="V775" s="770"/>
      <c r="W775" s="770"/>
      <c r="X775" s="770"/>
      <c r="Y775" s="770"/>
      <c r="Z775" s="770"/>
      <c r="AA775" s="12"/>
      <c r="AB775" s="12"/>
      <c r="AC775" s="770"/>
      <c r="AD775" s="770"/>
      <c r="AE775" s="770"/>
      <c r="AF775" s="770"/>
      <c r="AG775" s="766" t="s">
        <v>1132</v>
      </c>
      <c r="AH775" s="766" t="s">
        <v>1096</v>
      </c>
      <c r="AI775" s="770"/>
      <c r="AJ775" s="770" t="s">
        <v>1137</v>
      </c>
      <c r="AK775" s="770" t="s">
        <v>1101</v>
      </c>
      <c r="AL775" s="531">
        <v>32</v>
      </c>
      <c r="AM775" s="780">
        <v>3.2</v>
      </c>
      <c r="AN775" s="532">
        <f t="shared" si="244"/>
        <v>0.1</v>
      </c>
      <c r="AO775" s="766" t="s">
        <v>1098</v>
      </c>
      <c r="AP775" s="766"/>
      <c r="AQ775" s="766"/>
      <c r="AR775" s="766"/>
      <c r="AS775" s="770"/>
      <c r="AT775" s="770"/>
      <c r="AU775" s="770"/>
      <c r="AV775" s="770"/>
      <c r="AW775" s="770"/>
      <c r="AX775" s="770"/>
      <c r="AY775" s="770"/>
      <c r="AZ775" s="770"/>
      <c r="BA775" s="770"/>
      <c r="BB775" s="770"/>
      <c r="BC775" s="770"/>
      <c r="BD775" s="770"/>
      <c r="BE775" s="770"/>
      <c r="BF775" s="302"/>
      <c r="BG775" s="302"/>
      <c r="BH775" s="770"/>
      <c r="BI775" s="770"/>
      <c r="BJ775" s="770"/>
      <c r="BK775" s="766"/>
      <c r="BL775" s="766"/>
      <c r="BM775" s="766"/>
      <c r="BN775" s="766"/>
      <c r="BO775" s="770"/>
      <c r="BP775" s="1109"/>
      <c r="BQ775" s="773"/>
      <c r="BR775" s="774"/>
      <c r="BS775" s="766"/>
      <c r="BT775" s="770"/>
      <c r="BU775" s="770"/>
      <c r="BV775" s="770"/>
      <c r="BW775" s="770"/>
      <c r="BX775" s="302"/>
      <c r="BY775" s="770"/>
      <c r="BZ775" s="302"/>
      <c r="CA775" s="770"/>
      <c r="CB775" s="770" t="s">
        <v>1207</v>
      </c>
      <c r="CC775" s="770" t="s">
        <v>5047</v>
      </c>
      <c r="CD775" s="770">
        <v>2015</v>
      </c>
      <c r="CE775" s="302">
        <v>20000</v>
      </c>
      <c r="CF775" s="304">
        <v>1.2</v>
      </c>
      <c r="CG775" s="321">
        <v>9</v>
      </c>
      <c r="CH775" s="770" t="s">
        <v>4784</v>
      </c>
      <c r="CI775" s="770"/>
      <c r="CJ775" s="770"/>
      <c r="CK775" s="770">
        <v>11</v>
      </c>
      <c r="CL775" s="770" t="s">
        <v>5041</v>
      </c>
      <c r="CM775" s="770" t="s">
        <v>3633</v>
      </c>
      <c r="CN775" s="770"/>
      <c r="CO775" s="770"/>
      <c r="CP775" s="770"/>
      <c r="CQ775" s="770"/>
      <c r="CR775" s="302"/>
      <c r="CS775" s="770"/>
      <c r="CT775" s="770"/>
      <c r="CU775" s="305"/>
      <c r="CV775" s="770"/>
      <c r="CW775" s="770"/>
      <c r="CX775" s="770"/>
      <c r="CY775" s="770"/>
      <c r="CZ775" s="770"/>
      <c r="DA775" s="306"/>
      <c r="DB775" s="770"/>
      <c r="DC775" s="770"/>
      <c r="DD775" s="770"/>
      <c r="DE775" s="300"/>
      <c r="DF775" s="770"/>
      <c r="DG775" s="770"/>
      <c r="DH775" s="770"/>
      <c r="DI775" s="770"/>
      <c r="DJ775" s="770"/>
      <c r="DK775" s="770"/>
      <c r="DL775" s="770"/>
      <c r="DM775" s="770"/>
      <c r="DN775" s="322"/>
      <c r="DO775" s="770"/>
      <c r="DP775" s="770"/>
      <c r="DQ775" s="770"/>
      <c r="DR775" s="770"/>
      <c r="DS775" s="307"/>
      <c r="DT775" s="770"/>
      <c r="DU775" s="770"/>
      <c r="DV775" s="770"/>
      <c r="DW775" s="306"/>
      <c r="DX775" s="306"/>
      <c r="DY775" s="1055"/>
      <c r="DZ775" s="770"/>
      <c r="EA775" s="770"/>
      <c r="EB775" s="770"/>
      <c r="EC775" s="770"/>
      <c r="ED775" s="770"/>
      <c r="EE775" s="770"/>
      <c r="EF775" s="770"/>
      <c r="EG775" s="770"/>
      <c r="EH775" s="770"/>
      <c r="EI775" s="770"/>
      <c r="EJ775" s="770"/>
      <c r="EK775" s="770"/>
      <c r="EL775" s="770"/>
      <c r="EM775" s="770"/>
      <c r="EN775" s="770"/>
      <c r="EO775" s="770"/>
      <c r="EP775" s="94"/>
      <c r="EQ775" s="770"/>
      <c r="ER775" s="770"/>
      <c r="ES775" s="770"/>
      <c r="ET775" s="770"/>
      <c r="EU775" s="770"/>
      <c r="EV775" s="770"/>
      <c r="EW775" s="770"/>
      <c r="EX775" s="770"/>
      <c r="EY775" s="770"/>
      <c r="EZ775" s="770" t="s">
        <v>5047</v>
      </c>
      <c r="FA775" s="770" t="s">
        <v>4153</v>
      </c>
      <c r="FB775" s="770" t="s">
        <v>1257</v>
      </c>
      <c r="FC775" s="770">
        <v>2015</v>
      </c>
      <c r="FD775" s="302"/>
      <c r="FE775" s="770" t="s">
        <v>5048</v>
      </c>
      <c r="FF775" s="770"/>
      <c r="FG775" s="770" t="s">
        <v>5049</v>
      </c>
      <c r="FH775" s="770"/>
      <c r="FI775" s="770"/>
      <c r="FJ775" s="770"/>
      <c r="FK775" s="770"/>
      <c r="FL775" s="770"/>
      <c r="FM775" s="302"/>
      <c r="FN775" s="302"/>
      <c r="FO775" s="302"/>
      <c r="FP775" s="770"/>
      <c r="FQ775" s="770"/>
      <c r="FR775" s="770" t="s">
        <v>1214</v>
      </c>
      <c r="FS775" s="770"/>
      <c r="FT775" s="770"/>
      <c r="FU775" s="770"/>
      <c r="FV775" s="770"/>
      <c r="FW775" s="770"/>
      <c r="FX775" s="770"/>
      <c r="FY775" s="770"/>
      <c r="FZ775" s="770"/>
      <c r="GA775" s="770"/>
      <c r="GB775" s="770" t="s">
        <v>1734</v>
      </c>
      <c r="GC775" s="308"/>
      <c r="GD775" s="297">
        <v>2015</v>
      </c>
      <c r="GE775" s="770" t="s">
        <v>1214</v>
      </c>
      <c r="GF775" s="302"/>
      <c r="GG775" s="302"/>
      <c r="GH775" s="770"/>
      <c r="GI775" s="770"/>
      <c r="GJ775" s="770"/>
      <c r="GK775" s="770"/>
      <c r="GL775" s="770"/>
      <c r="GM775" s="770"/>
      <c r="GN775" s="299"/>
      <c r="GO775" s="770"/>
      <c r="GP775" s="770"/>
      <c r="GQ775" s="770"/>
      <c r="GR775" s="770"/>
      <c r="GS775" s="770"/>
      <c r="GT775" s="770"/>
      <c r="GU775" s="770"/>
      <c r="GV775" s="770"/>
      <c r="GW775" s="770"/>
      <c r="GX775" s="770"/>
      <c r="GY775" s="770"/>
      <c r="GZ775" s="770"/>
      <c r="HA775" s="770"/>
      <c r="HB775" s="770"/>
      <c r="HC775" s="770"/>
      <c r="HD775" s="770"/>
      <c r="HE775" s="770"/>
      <c r="HF775" s="770"/>
      <c r="HG775" s="770"/>
      <c r="HH775" s="770"/>
      <c r="HI775" s="766"/>
      <c r="HJ775" s="766"/>
      <c r="HK775" s="770"/>
      <c r="HL775" s="770"/>
      <c r="HM775" s="770"/>
      <c r="HN775" s="770"/>
      <c r="HO775" s="770"/>
      <c r="HP775" s="770"/>
      <c r="HQ775" s="770"/>
      <c r="HR775" s="770"/>
      <c r="HS775" s="770"/>
      <c r="HT775" s="770"/>
      <c r="HU775" s="770"/>
      <c r="HV775" s="770"/>
      <c r="HW775" s="770"/>
      <c r="HX775" s="770"/>
      <c r="HY775" s="770"/>
      <c r="HZ775" s="770"/>
      <c r="IA775" s="770"/>
      <c r="IB775" s="770"/>
      <c r="IC775" s="770"/>
      <c r="ID775" s="770"/>
      <c r="IE775" s="770"/>
      <c r="IF775" s="770"/>
      <c r="IG775" s="770"/>
      <c r="IH775" s="770"/>
      <c r="II775" s="770"/>
      <c r="IJ775" s="770"/>
      <c r="IK775" s="770"/>
      <c r="IL775" s="770"/>
      <c r="IM775" s="770"/>
      <c r="IN775" s="770"/>
      <c r="IO775" s="296"/>
      <c r="IP775" s="770"/>
      <c r="IQ775" s="770"/>
      <c r="IR775" s="770"/>
      <c r="IS775" s="770"/>
      <c r="IT775" s="770"/>
      <c r="IU775" s="770"/>
      <c r="IV775" s="770"/>
      <c r="IW775" s="770"/>
      <c r="IX775" s="770"/>
      <c r="IY775" s="770"/>
      <c r="IZ775" s="770"/>
      <c r="JA775" s="770"/>
      <c r="JB775" s="770"/>
      <c r="JC775" s="770"/>
      <c r="JD775" s="302"/>
      <c r="JE775" s="770"/>
      <c r="JF775" s="770"/>
      <c r="JG775" s="770"/>
      <c r="JH775" s="307"/>
      <c r="JI775" s="307"/>
      <c r="JJ775" s="770"/>
      <c r="JK775" s="770"/>
      <c r="JL775" s="770"/>
      <c r="JM775" s="770"/>
      <c r="JN775" s="770"/>
      <c r="JO775" s="770"/>
      <c r="JP775" s="770"/>
      <c r="JQ775" s="770"/>
      <c r="JR775" s="770"/>
      <c r="JS775" s="770"/>
      <c r="JT775" s="766"/>
      <c r="JU775" s="766"/>
      <c r="JV775" s="766"/>
      <c r="JW775" s="766"/>
      <c r="JX775" s="770"/>
      <c r="JY775" s="770"/>
      <c r="JZ775" s="770"/>
      <c r="KA775" s="770"/>
      <c r="KB775" s="770"/>
      <c r="KC775" s="770"/>
      <c r="KD775" s="770"/>
      <c r="KE775" s="770"/>
      <c r="KF775" s="770"/>
      <c r="KG775" s="770"/>
      <c r="KH775" s="770"/>
      <c r="KI775" s="770"/>
      <c r="KJ775" s="770"/>
      <c r="KK775" s="770"/>
      <c r="KL775" s="770"/>
      <c r="KM775" s="770"/>
      <c r="KN775" s="770"/>
      <c r="KO775" s="770"/>
      <c r="KP775" s="770"/>
      <c r="KQ775" s="770"/>
      <c r="KR775" s="770"/>
      <c r="KS775" s="770"/>
      <c r="KT775" s="770"/>
      <c r="KU775" s="770"/>
      <c r="KV775" s="770"/>
      <c r="KW775" s="770"/>
      <c r="KX775" s="770"/>
      <c r="KY775" s="770"/>
      <c r="KZ775" s="770"/>
      <c r="LA775" s="770"/>
      <c r="LB775" s="770"/>
      <c r="LC775" s="770"/>
      <c r="LD775" s="770"/>
      <c r="LE775" s="770"/>
      <c r="LF775" s="770"/>
      <c r="LG775" s="770"/>
      <c r="LH775" s="770"/>
      <c r="LI775" s="770"/>
      <c r="LJ775" s="770"/>
      <c r="LK775" s="770"/>
      <c r="LL775" s="770"/>
      <c r="LM775" s="770"/>
      <c r="LN775" s="766"/>
      <c r="LO775" s="766"/>
      <c r="LP775" s="770"/>
      <c r="LQ775" s="770"/>
      <c r="LR775" s="770"/>
      <c r="LS775" s="770"/>
      <c r="LT775" s="770"/>
      <c r="LU775" s="770"/>
      <c r="LV775" s="770"/>
      <c r="LW775" s="770"/>
      <c r="LX775" s="769"/>
      <c r="LY775" s="766" t="str">
        <f t="shared" si="231"/>
        <v/>
      </c>
      <c r="LZ775" s="1709"/>
      <c r="MA775" s="1709"/>
      <c r="MB775" s="1709"/>
      <c r="MC775" s="1679">
        <f t="shared" si="229"/>
        <v>0</v>
      </c>
      <c r="MD775" s="1709"/>
      <c r="ME775" s="1709"/>
      <c r="MF775" s="1709"/>
      <c r="MG775" s="1680">
        <f t="shared" si="242"/>
        <v>0</v>
      </c>
      <c r="MH775" s="770"/>
      <c r="MI775" s="302"/>
      <c r="MJ775" s="302"/>
      <c r="MK775" s="302"/>
      <c r="ML775" s="302"/>
      <c r="MM775" s="302"/>
      <c r="MN775" s="302"/>
      <c r="MO775" s="302"/>
      <c r="MP775" s="302"/>
      <c r="MQ775" s="302"/>
      <c r="MR775" s="302"/>
      <c r="MS775" s="302"/>
      <c r="MT775" s="302"/>
      <c r="MU775" s="302"/>
      <c r="MV775" s="302"/>
      <c r="MW775" s="302"/>
      <c r="MX775" s="302"/>
      <c r="MY775" s="1682">
        <f t="shared" si="243"/>
        <v>0</v>
      </c>
      <c r="MZ775" s="770"/>
      <c r="NA775" s="770"/>
      <c r="NB775" s="770"/>
      <c r="NC775" s="770"/>
      <c r="ND775" s="770"/>
      <c r="NE775" s="770"/>
      <c r="NF775" s="770"/>
      <c r="NG775" s="770"/>
      <c r="NH775" s="770"/>
      <c r="NI775" s="770"/>
      <c r="NJ775" s="770"/>
      <c r="NK775" s="770"/>
      <c r="NL775" s="770"/>
      <c r="NM775" s="770"/>
      <c r="NN775" s="770"/>
      <c r="NO775" s="770"/>
      <c r="NP775" s="770"/>
      <c r="NQ775" s="770"/>
      <c r="NR775" s="770"/>
      <c r="NS775" s="770"/>
      <c r="NT775" s="770"/>
      <c r="NU775" s="770"/>
      <c r="NV775" s="770"/>
      <c r="NW775" s="770"/>
      <c r="NX775" s="770"/>
      <c r="NY775" s="770"/>
      <c r="NZ775" s="770"/>
      <c r="OA775" s="770"/>
      <c r="OB775" s="770"/>
      <c r="OC775" s="770"/>
      <c r="OD775" s="770"/>
      <c r="OE775" s="770"/>
      <c r="OF775" s="770"/>
      <c r="OG775" s="770"/>
      <c r="OH775" s="770"/>
      <c r="OI775" s="770"/>
      <c r="OJ775" s="770"/>
      <c r="OK775" s="770"/>
      <c r="OL775" s="770"/>
      <c r="OM775" s="770"/>
      <c r="ON775" s="770"/>
      <c r="OO775" s="770"/>
      <c r="OP775" s="770"/>
      <c r="OQ775" s="770"/>
      <c r="OR775" s="770"/>
      <c r="OS775" s="770"/>
      <c r="OT775" s="770"/>
      <c r="OU775" s="770"/>
      <c r="OV775" s="770"/>
      <c r="OW775" s="770"/>
      <c r="OX775" s="770"/>
      <c r="OY775" s="770"/>
      <c r="OZ775" s="770"/>
      <c r="PA775" s="770"/>
      <c r="PB775" s="770"/>
      <c r="PC775" s="770"/>
      <c r="PD775" s="770"/>
      <c r="PE775" s="770"/>
      <c r="PF775" s="770"/>
      <c r="PG775" s="770"/>
      <c r="PH775" s="770"/>
      <c r="PI775" s="770"/>
      <c r="PJ775" s="770"/>
      <c r="PK775" s="770"/>
      <c r="PL775" s="770"/>
      <c r="PM775" s="770"/>
      <c r="PN775" s="770"/>
      <c r="PO775" s="770"/>
      <c r="PP775" s="770"/>
      <c r="PQ775" s="770"/>
      <c r="PR775" s="770"/>
      <c r="PS775" s="770"/>
      <c r="PT775" s="770"/>
      <c r="PU775" s="770"/>
      <c r="PV775" s="770"/>
      <c r="PW775" s="770"/>
      <c r="PX775" s="770"/>
      <c r="PY775" s="770"/>
      <c r="PZ775" s="770"/>
      <c r="QA775" s="770"/>
      <c r="QB775" s="770"/>
      <c r="QC775" s="770"/>
      <c r="QD775" s="770"/>
      <c r="QE775" s="770"/>
      <c r="QF775" s="770"/>
      <c r="QG775" s="770"/>
      <c r="QH775" s="770"/>
      <c r="QI775" s="770"/>
      <c r="QJ775" s="770"/>
      <c r="QK775" s="770"/>
      <c r="QL775" s="770"/>
      <c r="QM775" s="770"/>
      <c r="QN775" s="770"/>
      <c r="QO775" s="770"/>
      <c r="QP775" s="770"/>
      <c r="QQ775" s="770"/>
      <c r="QR775" s="770"/>
      <c r="QS775" s="770"/>
      <c r="QT775" s="770"/>
      <c r="QU775" s="770"/>
      <c r="QV775" s="770"/>
      <c r="QW775" s="770"/>
      <c r="QX775" s="770"/>
      <c r="QY775" s="770"/>
      <c r="QZ775" s="770"/>
      <c r="RA775" s="770"/>
      <c r="RB775" s="770"/>
      <c r="RC775" s="770"/>
      <c r="RD775" s="770"/>
      <c r="RE775" s="770"/>
      <c r="RF775" s="304"/>
      <c r="RG775" s="770"/>
      <c r="RH775" s="306"/>
      <c r="RI775" s="770"/>
      <c r="RJ775" s="94" t="s">
        <v>14000</v>
      </c>
      <c r="RK775" s="770" t="s">
        <v>13898</v>
      </c>
      <c r="RL775" s="1710">
        <v>42849</v>
      </c>
      <c r="RM775" s="12"/>
      <c r="RN775" s="1711"/>
      <c r="RO775" s="149" t="s">
        <v>5042</v>
      </c>
      <c r="RP775" s="11"/>
      <c r="RQ775" s="11"/>
      <c r="RR775" s="17"/>
      <c r="RS775" s="767"/>
      <c r="RT775" s="11"/>
      <c r="RU775" s="11"/>
      <c r="RV775" s="771" t="s">
        <v>7421</v>
      </c>
      <c r="RW775" s="11" t="s">
        <v>8041</v>
      </c>
      <c r="RX775" s="11" t="s">
        <v>5021</v>
      </c>
      <c r="RY775" s="11"/>
      <c r="RZ775" s="11" t="s">
        <v>1101</v>
      </c>
      <c r="SA775" s="771"/>
      <c r="SB775" s="11"/>
      <c r="SC775" s="11"/>
    </row>
    <row r="776" spans="1:497" ht="12.75" customHeight="1">
      <c r="A776" s="19" t="s">
        <v>1101</v>
      </c>
      <c r="B776" s="292" t="s">
        <v>8039</v>
      </c>
      <c r="C776" s="149" t="s">
        <v>5050</v>
      </c>
      <c r="D776" s="94" t="s">
        <v>5051</v>
      </c>
      <c r="E776" s="766" t="s">
        <v>5052</v>
      </c>
      <c r="F776" s="770" t="s">
        <v>28</v>
      </c>
      <c r="G776" s="770" t="s">
        <v>10</v>
      </c>
      <c r="H776" s="12"/>
      <c r="I776" s="295" t="s">
        <v>5053</v>
      </c>
      <c r="J776" s="94" t="s">
        <v>5051</v>
      </c>
      <c r="K776" s="766" t="s">
        <v>5054</v>
      </c>
      <c r="L776" s="766" t="s">
        <v>2755</v>
      </c>
      <c r="M776" s="770" t="s">
        <v>2402</v>
      </c>
      <c r="N776" s="1757"/>
      <c r="O776" s="1757" t="s">
        <v>5030</v>
      </c>
      <c r="P776" s="770"/>
      <c r="Q776" s="1088"/>
      <c r="R776" s="297"/>
      <c r="S776" s="770"/>
      <c r="T776" s="770"/>
      <c r="U776" s="295"/>
      <c r="V776" s="770"/>
      <c r="W776" s="770"/>
      <c r="X776" s="770"/>
      <c r="Y776" s="770"/>
      <c r="Z776" s="770"/>
      <c r="AA776" s="12"/>
      <c r="AB776" s="12"/>
      <c r="AC776" s="770"/>
      <c r="AD776" s="770"/>
      <c r="AE776" s="770"/>
      <c r="AF776" s="770"/>
      <c r="AG776" s="766" t="s">
        <v>1132</v>
      </c>
      <c r="AH776" s="766" t="s">
        <v>1096</v>
      </c>
      <c r="AI776" s="770"/>
      <c r="AJ776" s="770" t="s">
        <v>1137</v>
      </c>
      <c r="AK776" s="770" t="s">
        <v>1101</v>
      </c>
      <c r="AL776" s="531">
        <v>30</v>
      </c>
      <c r="AM776" s="780">
        <v>30</v>
      </c>
      <c r="AN776" s="532">
        <f t="shared" si="244"/>
        <v>1</v>
      </c>
      <c r="AO776" s="766" t="s">
        <v>1122</v>
      </c>
      <c r="AP776" s="766"/>
      <c r="AQ776" s="766"/>
      <c r="AR776" s="766"/>
      <c r="AS776" s="770"/>
      <c r="AT776" s="770"/>
      <c r="AU776" s="770"/>
      <c r="AV776" s="770"/>
      <c r="AW776" s="770"/>
      <c r="AX776" s="770"/>
      <c r="AY776" s="770"/>
      <c r="AZ776" s="770"/>
      <c r="BA776" s="770"/>
      <c r="BB776" s="770"/>
      <c r="BC776" s="770"/>
      <c r="BD776" s="770"/>
      <c r="BE776" s="770"/>
      <c r="BF776" s="302"/>
      <c r="BG776" s="302"/>
      <c r="BH776" s="770"/>
      <c r="BI776" s="770"/>
      <c r="BJ776" s="770"/>
      <c r="BK776" s="766"/>
      <c r="BL776" s="766"/>
      <c r="BM776" s="766"/>
      <c r="BN776" s="766"/>
      <c r="BO776" s="770"/>
      <c r="BP776" s="1109"/>
      <c r="BQ776" s="773"/>
      <c r="BR776" s="774"/>
      <c r="BS776" s="766"/>
      <c r="BT776" s="770"/>
      <c r="BU776" s="770"/>
      <c r="BV776" s="770"/>
      <c r="BW776" s="770"/>
      <c r="BX776" s="302"/>
      <c r="BY776" s="770"/>
      <c r="BZ776" s="302"/>
      <c r="CA776" s="770"/>
      <c r="CB776" s="770" t="s">
        <v>1207</v>
      </c>
      <c r="CC776" s="770" t="s">
        <v>5055</v>
      </c>
      <c r="CD776" s="770">
        <v>2013</v>
      </c>
      <c r="CE776" s="302">
        <v>6000</v>
      </c>
      <c r="CF776" s="304">
        <v>1</v>
      </c>
      <c r="CG776" s="321">
        <v>6</v>
      </c>
      <c r="CH776" s="770" t="s">
        <v>3377</v>
      </c>
      <c r="CI776" s="770"/>
      <c r="CJ776" s="770" t="s">
        <v>3377</v>
      </c>
      <c r="CK776" s="770">
        <v>7</v>
      </c>
      <c r="CL776" s="770" t="s">
        <v>1249</v>
      </c>
      <c r="CM776" s="770"/>
      <c r="CN776" s="770"/>
      <c r="CO776" s="770" t="s">
        <v>1257</v>
      </c>
      <c r="CP776" s="770"/>
      <c r="CQ776" s="770"/>
      <c r="CR776" s="302"/>
      <c r="CS776" s="770"/>
      <c r="CT776" s="770"/>
      <c r="CU776" s="305"/>
      <c r="CV776" s="770"/>
      <c r="CW776" s="770"/>
      <c r="CX776" s="770"/>
      <c r="CY776" s="770"/>
      <c r="CZ776" s="770"/>
      <c r="DA776" s="306"/>
      <c r="DB776" s="770"/>
      <c r="DC776" s="770"/>
      <c r="DD776" s="770"/>
      <c r="DE776" s="300"/>
      <c r="DF776" s="770"/>
      <c r="DG776" s="770"/>
      <c r="DH776" s="770"/>
      <c r="DI776" s="770"/>
      <c r="DJ776" s="770"/>
      <c r="DK776" s="770"/>
      <c r="DL776" s="770"/>
      <c r="DM776" s="770"/>
      <c r="DN776" s="322"/>
      <c r="DO776" s="770"/>
      <c r="DP776" s="770"/>
      <c r="DQ776" s="770"/>
      <c r="DR776" s="770"/>
      <c r="DS776" s="307"/>
      <c r="DT776" s="770"/>
      <c r="DU776" s="770"/>
      <c r="DV776" s="770"/>
      <c r="DW776" s="306"/>
      <c r="DX776" s="306"/>
      <c r="DY776" s="1055"/>
      <c r="DZ776" s="770"/>
      <c r="EA776" s="770"/>
      <c r="EB776" s="770"/>
      <c r="EC776" s="770"/>
      <c r="ED776" s="770"/>
      <c r="EE776" s="770"/>
      <c r="EF776" s="770"/>
      <c r="EG776" s="770"/>
      <c r="EH776" s="770"/>
      <c r="EI776" s="770"/>
      <c r="EJ776" s="770"/>
      <c r="EK776" s="770"/>
      <c r="EL776" s="770"/>
      <c r="EM776" s="770"/>
      <c r="EN776" s="770"/>
      <c r="EO776" s="770"/>
      <c r="EP776" s="94"/>
      <c r="EQ776" s="770"/>
      <c r="ER776" s="770"/>
      <c r="ES776" s="770"/>
      <c r="ET776" s="770"/>
      <c r="EU776" s="770"/>
      <c r="EV776" s="770"/>
      <c r="EW776" s="770"/>
      <c r="EX776" s="770"/>
      <c r="EY776" s="770"/>
      <c r="EZ776" s="770"/>
      <c r="FA776" s="770"/>
      <c r="FB776" s="770"/>
      <c r="FC776" s="770"/>
      <c r="FD776" s="302"/>
      <c r="FE776" s="770"/>
      <c r="FF776" s="770"/>
      <c r="FG776" s="770"/>
      <c r="FH776" s="770"/>
      <c r="FI776" s="770"/>
      <c r="FJ776" s="770"/>
      <c r="FK776" s="770"/>
      <c r="FL776" s="770"/>
      <c r="FM776" s="302"/>
      <c r="FN776" s="302"/>
      <c r="FO776" s="302"/>
      <c r="FP776" s="770"/>
      <c r="FQ776" s="770"/>
      <c r="FR776" s="770" t="s">
        <v>1214</v>
      </c>
      <c r="FS776" s="770"/>
      <c r="FT776" s="770"/>
      <c r="FU776" s="770"/>
      <c r="FV776" s="770"/>
      <c r="FW776" s="770"/>
      <c r="FX776" s="770"/>
      <c r="FY776" s="770"/>
      <c r="FZ776" s="770"/>
      <c r="GA776" s="770"/>
      <c r="GB776" s="770" t="s">
        <v>1734</v>
      </c>
      <c r="GC776" s="308"/>
      <c r="GD776" s="297">
        <v>2013</v>
      </c>
      <c r="GE776" s="770" t="s">
        <v>1214</v>
      </c>
      <c r="GF776" s="302"/>
      <c r="GG776" s="302"/>
      <c r="GH776" s="770"/>
      <c r="GI776" s="770"/>
      <c r="GJ776" s="770"/>
      <c r="GK776" s="770"/>
      <c r="GL776" s="770"/>
      <c r="GM776" s="770"/>
      <c r="GN776" s="299"/>
      <c r="GO776" s="770"/>
      <c r="GP776" s="770"/>
      <c r="GQ776" s="770"/>
      <c r="GR776" s="770"/>
      <c r="GS776" s="770"/>
      <c r="GT776" s="770"/>
      <c r="GU776" s="770"/>
      <c r="GV776" s="770"/>
      <c r="GW776" s="770"/>
      <c r="GX776" s="770"/>
      <c r="GY776" s="770"/>
      <c r="GZ776" s="770"/>
      <c r="HA776" s="770"/>
      <c r="HB776" s="770"/>
      <c r="HC776" s="770"/>
      <c r="HD776" s="770"/>
      <c r="HE776" s="770"/>
      <c r="HF776" s="770"/>
      <c r="HG776" s="770"/>
      <c r="HH776" s="770"/>
      <c r="HI776" s="766"/>
      <c r="HJ776" s="766"/>
      <c r="HK776" s="770"/>
      <c r="HL776" s="770"/>
      <c r="HM776" s="770"/>
      <c r="HN776" s="770"/>
      <c r="HO776" s="770"/>
      <c r="HP776" s="770"/>
      <c r="HQ776" s="770"/>
      <c r="HR776" s="770"/>
      <c r="HS776" s="770">
        <v>1</v>
      </c>
      <c r="HT776" s="770"/>
      <c r="HU776" s="770"/>
      <c r="HV776" s="770"/>
      <c r="HW776" s="770"/>
      <c r="HX776" s="770"/>
      <c r="HY776" s="770"/>
      <c r="HZ776" s="770"/>
      <c r="IA776" s="770"/>
      <c r="IB776" s="770"/>
      <c r="IC776" s="770"/>
      <c r="ID776" s="770"/>
      <c r="IE776" s="770"/>
      <c r="IF776" s="770"/>
      <c r="IG776" s="770"/>
      <c r="IH776" s="770"/>
      <c r="II776" s="770"/>
      <c r="IJ776" s="770"/>
      <c r="IK776" s="770"/>
      <c r="IL776" s="770"/>
      <c r="IM776" s="770"/>
      <c r="IN776" s="770"/>
      <c r="IO776" s="296"/>
      <c r="IP776" s="770"/>
      <c r="IQ776" s="770"/>
      <c r="IR776" s="770"/>
      <c r="IS776" s="770"/>
      <c r="IT776" s="770"/>
      <c r="IU776" s="770"/>
      <c r="IV776" s="770"/>
      <c r="IW776" s="770"/>
      <c r="IX776" s="770"/>
      <c r="IY776" s="770"/>
      <c r="IZ776" s="770"/>
      <c r="JA776" s="770"/>
      <c r="JB776" s="770"/>
      <c r="JC776" s="770"/>
      <c r="JD776" s="302"/>
      <c r="JE776" s="770"/>
      <c r="JF776" s="770"/>
      <c r="JG776" s="770"/>
      <c r="JH776" s="307"/>
      <c r="JI776" s="307"/>
      <c r="JJ776" s="770"/>
      <c r="JK776" s="770"/>
      <c r="JL776" s="770"/>
      <c r="JM776" s="770"/>
      <c r="JN776" s="770"/>
      <c r="JO776" s="770"/>
      <c r="JP776" s="770"/>
      <c r="JQ776" s="770"/>
      <c r="JR776" s="770"/>
      <c r="JS776" s="770"/>
      <c r="JT776" s="766"/>
      <c r="JU776" s="766"/>
      <c r="JV776" s="766"/>
      <c r="JW776" s="766"/>
      <c r="JX776" s="770"/>
      <c r="JY776" s="770"/>
      <c r="JZ776" s="770"/>
      <c r="KA776" s="770"/>
      <c r="KB776" s="770"/>
      <c r="KC776" s="770"/>
      <c r="KD776" s="770"/>
      <c r="KE776" s="770"/>
      <c r="KF776" s="770"/>
      <c r="KG776" s="770"/>
      <c r="KH776" s="770"/>
      <c r="KI776" s="770"/>
      <c r="KJ776" s="770"/>
      <c r="KK776" s="770"/>
      <c r="KL776" s="770"/>
      <c r="KM776" s="770"/>
      <c r="KN776" s="770"/>
      <c r="KO776" s="770"/>
      <c r="KP776" s="770"/>
      <c r="KQ776" s="770"/>
      <c r="KR776" s="770"/>
      <c r="KS776" s="770"/>
      <c r="KT776" s="770"/>
      <c r="KU776" s="770"/>
      <c r="KV776" s="770"/>
      <c r="KW776" s="770"/>
      <c r="KX776" s="770"/>
      <c r="KY776" s="770"/>
      <c r="KZ776" s="770"/>
      <c r="LA776" s="770"/>
      <c r="LB776" s="770"/>
      <c r="LC776" s="770"/>
      <c r="LD776" s="770"/>
      <c r="LE776" s="770"/>
      <c r="LF776" s="770"/>
      <c r="LG776" s="770"/>
      <c r="LH776" s="770"/>
      <c r="LI776" s="770"/>
      <c r="LJ776" s="770"/>
      <c r="LK776" s="770"/>
      <c r="LL776" s="770"/>
      <c r="LM776" s="770"/>
      <c r="LN776" s="766"/>
      <c r="LO776" s="766"/>
      <c r="LP776" s="770"/>
      <c r="LQ776" s="770"/>
      <c r="LR776" s="770"/>
      <c r="LS776" s="770"/>
      <c r="LT776" s="770"/>
      <c r="LU776" s="770"/>
      <c r="LV776" s="770"/>
      <c r="LW776" s="770"/>
      <c r="LX776" s="769"/>
      <c r="LY776" s="766" t="str">
        <f t="shared" si="231"/>
        <v/>
      </c>
      <c r="LZ776" s="1709"/>
      <c r="MA776" s="1709"/>
      <c r="MB776" s="1709"/>
      <c r="MC776" s="1679">
        <f t="shared" si="229"/>
        <v>0</v>
      </c>
      <c r="MD776" s="1709"/>
      <c r="ME776" s="1709"/>
      <c r="MF776" s="1709"/>
      <c r="MG776" s="1680">
        <f t="shared" si="242"/>
        <v>0</v>
      </c>
      <c r="MH776" s="770"/>
      <c r="MI776" s="302"/>
      <c r="MJ776" s="302"/>
      <c r="MK776" s="302"/>
      <c r="ML776" s="302"/>
      <c r="MM776" s="302"/>
      <c r="MN776" s="302"/>
      <c r="MO776" s="302"/>
      <c r="MP776" s="302"/>
      <c r="MQ776" s="302"/>
      <c r="MR776" s="302"/>
      <c r="MS776" s="302"/>
      <c r="MT776" s="302"/>
      <c r="MU776" s="302"/>
      <c r="MV776" s="302"/>
      <c r="MW776" s="302"/>
      <c r="MX776" s="302"/>
      <c r="MY776" s="1682">
        <f t="shared" si="243"/>
        <v>0</v>
      </c>
      <c r="MZ776" s="770"/>
      <c r="NA776" s="770"/>
      <c r="NB776" s="770"/>
      <c r="NC776" s="770"/>
      <c r="ND776" s="770"/>
      <c r="NE776" s="770"/>
      <c r="NF776" s="770"/>
      <c r="NG776" s="770"/>
      <c r="NH776" s="770"/>
      <c r="NI776" s="770"/>
      <c r="NJ776" s="770"/>
      <c r="NK776" s="770"/>
      <c r="NL776" s="770"/>
      <c r="NM776" s="770"/>
      <c r="NN776" s="770"/>
      <c r="NO776" s="770"/>
      <c r="NP776" s="770"/>
      <c r="NQ776" s="770"/>
      <c r="NR776" s="770"/>
      <c r="NS776" s="770"/>
      <c r="NT776" s="770"/>
      <c r="NU776" s="770"/>
      <c r="NV776" s="770"/>
      <c r="NW776" s="770"/>
      <c r="NX776" s="770"/>
      <c r="NY776" s="770"/>
      <c r="NZ776" s="770"/>
      <c r="OA776" s="770"/>
      <c r="OB776" s="770"/>
      <c r="OC776" s="770"/>
      <c r="OD776" s="770"/>
      <c r="OE776" s="770"/>
      <c r="OF776" s="770"/>
      <c r="OG776" s="770"/>
      <c r="OH776" s="770"/>
      <c r="OI776" s="770"/>
      <c r="OJ776" s="770"/>
      <c r="OK776" s="770"/>
      <c r="OL776" s="770"/>
      <c r="OM776" s="770"/>
      <c r="ON776" s="770"/>
      <c r="OO776" s="770"/>
      <c r="OP776" s="770"/>
      <c r="OQ776" s="770"/>
      <c r="OR776" s="770"/>
      <c r="OS776" s="770"/>
      <c r="OT776" s="770"/>
      <c r="OU776" s="770"/>
      <c r="OV776" s="770"/>
      <c r="OW776" s="770"/>
      <c r="OX776" s="770"/>
      <c r="OY776" s="770"/>
      <c r="OZ776" s="770"/>
      <c r="PA776" s="770"/>
      <c r="PB776" s="770"/>
      <c r="PC776" s="770"/>
      <c r="PD776" s="770"/>
      <c r="PE776" s="770"/>
      <c r="PF776" s="770"/>
      <c r="PG776" s="770"/>
      <c r="PH776" s="770"/>
      <c r="PI776" s="770"/>
      <c r="PJ776" s="770"/>
      <c r="PK776" s="770"/>
      <c r="PL776" s="770"/>
      <c r="PM776" s="770"/>
      <c r="PN776" s="770"/>
      <c r="PO776" s="770"/>
      <c r="PP776" s="770"/>
      <c r="PQ776" s="770"/>
      <c r="PR776" s="770"/>
      <c r="PS776" s="770"/>
      <c r="PT776" s="770"/>
      <c r="PU776" s="770"/>
      <c r="PV776" s="770"/>
      <c r="PW776" s="770"/>
      <c r="PX776" s="770"/>
      <c r="PY776" s="770"/>
      <c r="PZ776" s="770"/>
      <c r="QA776" s="770"/>
      <c r="QB776" s="770"/>
      <c r="QC776" s="770"/>
      <c r="QD776" s="770"/>
      <c r="QE776" s="770"/>
      <c r="QF776" s="770"/>
      <c r="QG776" s="770"/>
      <c r="QH776" s="770"/>
      <c r="QI776" s="770"/>
      <c r="QJ776" s="770"/>
      <c r="QK776" s="770"/>
      <c r="QL776" s="770"/>
      <c r="QM776" s="770"/>
      <c r="QN776" s="770"/>
      <c r="QO776" s="770"/>
      <c r="QP776" s="770"/>
      <c r="QQ776" s="770"/>
      <c r="QR776" s="770"/>
      <c r="QS776" s="770"/>
      <c r="QT776" s="770"/>
      <c r="QU776" s="770"/>
      <c r="QV776" s="770"/>
      <c r="QW776" s="770"/>
      <c r="QX776" s="770"/>
      <c r="QY776" s="770"/>
      <c r="QZ776" s="770"/>
      <c r="RA776" s="770"/>
      <c r="RB776" s="770"/>
      <c r="RC776" s="770"/>
      <c r="RD776" s="770"/>
      <c r="RE776" s="770"/>
      <c r="RF776" s="304"/>
      <c r="RG776" s="770"/>
      <c r="RH776" s="306"/>
      <c r="RI776" s="770"/>
      <c r="RJ776" s="94" t="s">
        <v>14001</v>
      </c>
      <c r="RK776" s="770" t="s">
        <v>1604</v>
      </c>
      <c r="RL776" s="1710" t="s">
        <v>1604</v>
      </c>
      <c r="RM776" s="12"/>
      <c r="RN776" s="1711"/>
      <c r="RO776" s="149" t="s">
        <v>5050</v>
      </c>
      <c r="RP776" s="11"/>
      <c r="RQ776" s="11"/>
      <c r="RR776" s="17"/>
      <c r="RS776" s="767"/>
      <c r="RT776" s="11"/>
      <c r="RU776" s="11"/>
      <c r="RV776" s="771" t="s">
        <v>7421</v>
      </c>
      <c r="RW776" s="11" t="s">
        <v>8042</v>
      </c>
      <c r="RX776" s="11" t="s">
        <v>5022</v>
      </c>
      <c r="RY776" s="11"/>
      <c r="RZ776" s="11" t="s">
        <v>1101</v>
      </c>
      <c r="SA776" s="771"/>
      <c r="SB776" s="11"/>
      <c r="SC776" s="11"/>
    </row>
    <row r="777" spans="1:497" ht="12.75" hidden="1" customHeight="1">
      <c r="A777" s="19" t="s">
        <v>7419</v>
      </c>
      <c r="B777" s="292" t="s">
        <v>12358</v>
      </c>
      <c r="C777" s="149" t="s">
        <v>5056</v>
      </c>
      <c r="D777" s="94" t="s">
        <v>5059</v>
      </c>
      <c r="E777" s="766" t="s">
        <v>5057</v>
      </c>
      <c r="F777" s="770" t="s">
        <v>28</v>
      </c>
      <c r="G777" s="770" t="s">
        <v>10</v>
      </c>
      <c r="H777" s="12"/>
      <c r="I777" s="295" t="s">
        <v>5058</v>
      </c>
      <c r="J777" s="94" t="s">
        <v>5059</v>
      </c>
      <c r="K777" s="766" t="s">
        <v>5054</v>
      </c>
      <c r="L777" s="766" t="s">
        <v>2777</v>
      </c>
      <c r="M777" s="770" t="s">
        <v>2402</v>
      </c>
      <c r="N777" s="1757"/>
      <c r="O777" s="1757" t="s">
        <v>5017</v>
      </c>
      <c r="P777" s="770"/>
      <c r="Q777" s="1088"/>
      <c r="R777" s="297"/>
      <c r="S777" s="770"/>
      <c r="T777" s="770"/>
      <c r="U777" s="295"/>
      <c r="V777" s="770"/>
      <c r="W777" s="770"/>
      <c r="X777" s="770"/>
      <c r="Y777" s="770"/>
      <c r="Z777" s="770"/>
      <c r="AA777" s="12"/>
      <c r="AB777" s="12"/>
      <c r="AC777" s="770"/>
      <c r="AD777" s="770"/>
      <c r="AE777" s="770"/>
      <c r="AF777" s="770"/>
      <c r="AG777" s="766" t="s">
        <v>1095</v>
      </c>
      <c r="AH777" s="766" t="s">
        <v>1096</v>
      </c>
      <c r="AI777" s="770" t="s">
        <v>4957</v>
      </c>
      <c r="AJ777" s="770"/>
      <c r="AK777" s="770" t="s">
        <v>1097</v>
      </c>
      <c r="AL777" s="531">
        <v>27</v>
      </c>
      <c r="AM777" s="780">
        <v>27</v>
      </c>
      <c r="AN777" s="532">
        <f t="shared" si="244"/>
        <v>1</v>
      </c>
      <c r="AO777" s="766" t="s">
        <v>1122</v>
      </c>
      <c r="AP777" s="766" t="s">
        <v>7223</v>
      </c>
      <c r="AQ777" s="766" t="s">
        <v>7418</v>
      </c>
      <c r="AR777" s="766"/>
      <c r="AS777" s="770" t="s">
        <v>1207</v>
      </c>
      <c r="AT777" s="770"/>
      <c r="AU777" s="770"/>
      <c r="AV777" s="770"/>
      <c r="AW777" s="770"/>
      <c r="AX777" s="770"/>
      <c r="AY777" s="770"/>
      <c r="AZ777" s="770"/>
      <c r="BA777" s="770"/>
      <c r="BB777" s="770"/>
      <c r="BC777" s="770"/>
      <c r="BD777" s="770"/>
      <c r="BE777" s="770"/>
      <c r="BF777" s="302"/>
      <c r="BG777" s="302"/>
      <c r="BH777" s="770"/>
      <c r="BI777" s="770"/>
      <c r="BJ777" s="770"/>
      <c r="BK777" s="766"/>
      <c r="BL777" s="766"/>
      <c r="BM777" s="766"/>
      <c r="BN777" s="766"/>
      <c r="BO777" s="770"/>
      <c r="BP777" s="765"/>
      <c r="BQ777" s="773"/>
      <c r="BR777" s="774"/>
      <c r="BS777" s="766"/>
      <c r="BT777" s="770"/>
      <c r="BU777" s="770"/>
      <c r="BV777" s="770"/>
      <c r="BW777" s="770"/>
      <c r="BX777" s="302"/>
      <c r="BY777" s="770"/>
      <c r="BZ777" s="302"/>
      <c r="CA777" s="770"/>
      <c r="CB777" s="770" t="s">
        <v>1207</v>
      </c>
      <c r="CC777" s="770" t="s">
        <v>5060</v>
      </c>
      <c r="CD777" s="770">
        <v>2012</v>
      </c>
      <c r="CE777" s="302"/>
      <c r="CF777" s="304">
        <v>1</v>
      </c>
      <c r="CG777" s="321">
        <v>11</v>
      </c>
      <c r="CH777" s="770" t="s">
        <v>5061</v>
      </c>
      <c r="CI777" s="770"/>
      <c r="CJ777" s="770" t="s">
        <v>3377</v>
      </c>
      <c r="CK777" s="770">
        <v>10</v>
      </c>
      <c r="CL777" s="770" t="s">
        <v>1249</v>
      </c>
      <c r="CM777" s="770" t="s">
        <v>3399</v>
      </c>
      <c r="CN777" s="770"/>
      <c r="CO777" s="770" t="s">
        <v>1257</v>
      </c>
      <c r="CP777" s="770"/>
      <c r="CQ777" s="770"/>
      <c r="CR777" s="302"/>
      <c r="CS777" s="770"/>
      <c r="CT777" s="770"/>
      <c r="CU777" s="305"/>
      <c r="CV777" s="770"/>
      <c r="CW777" s="770"/>
      <c r="CX777" s="770"/>
      <c r="CY777" s="770"/>
      <c r="CZ777" s="770"/>
      <c r="DA777" s="306"/>
      <c r="DB777" s="770"/>
      <c r="DC777" s="770"/>
      <c r="DD777" s="770"/>
      <c r="DE777" s="300"/>
      <c r="DF777" s="770"/>
      <c r="DG777" s="770"/>
      <c r="DH777" s="770"/>
      <c r="DI777" s="770"/>
      <c r="DJ777" s="770"/>
      <c r="DK777" s="770"/>
      <c r="DL777" s="770"/>
      <c r="DM777" s="770"/>
      <c r="DN777" s="322"/>
      <c r="DO777" s="770"/>
      <c r="DP777" s="770"/>
      <c r="DQ777" s="770"/>
      <c r="DR777" s="770"/>
      <c r="DS777" s="307"/>
      <c r="DT777" s="770"/>
      <c r="DU777" s="770"/>
      <c r="DV777" s="770"/>
      <c r="DW777" s="306"/>
      <c r="DX777" s="306"/>
      <c r="DY777" s="1055"/>
      <c r="DZ777" s="770"/>
      <c r="EA777" s="770"/>
      <c r="EB777" s="770"/>
      <c r="EC777" s="770"/>
      <c r="ED777" s="770"/>
      <c r="EE777" s="770"/>
      <c r="EF777" s="770"/>
      <c r="EG777" s="770"/>
      <c r="EH777" s="770"/>
      <c r="EI777" s="770"/>
      <c r="EJ777" s="770"/>
      <c r="EK777" s="770"/>
      <c r="EL777" s="770"/>
      <c r="EM777" s="770"/>
      <c r="EN777" s="770"/>
      <c r="EO777" s="770"/>
      <c r="EP777" s="94"/>
      <c r="EQ777" s="770"/>
      <c r="ER777" s="770"/>
      <c r="ES777" s="770"/>
      <c r="ET777" s="770"/>
      <c r="EU777" s="770"/>
      <c r="EV777" s="770"/>
      <c r="EW777" s="770"/>
      <c r="EX777" s="770"/>
      <c r="EY777" s="770"/>
      <c r="EZ777" s="770"/>
      <c r="FA777" s="770"/>
      <c r="FB777" s="770"/>
      <c r="FC777" s="770"/>
      <c r="FD777" s="302"/>
      <c r="FE777" s="770"/>
      <c r="FF777" s="770"/>
      <c r="FG777" s="770"/>
      <c r="FH777" s="770"/>
      <c r="FI777" s="770"/>
      <c r="FJ777" s="770"/>
      <c r="FK777" s="770"/>
      <c r="FL777" s="770"/>
      <c r="FM777" s="302"/>
      <c r="FN777" s="302"/>
      <c r="FO777" s="302"/>
      <c r="FP777" s="770"/>
      <c r="FQ777" s="770"/>
      <c r="FR777" s="770" t="s">
        <v>1214</v>
      </c>
      <c r="FS777" s="770"/>
      <c r="FT777" s="770"/>
      <c r="FU777" s="770"/>
      <c r="FV777" s="770"/>
      <c r="FW777" s="770"/>
      <c r="FX777" s="770"/>
      <c r="FY777" s="770"/>
      <c r="FZ777" s="770"/>
      <c r="GA777" s="770"/>
      <c r="GB777" s="770" t="s">
        <v>1734</v>
      </c>
      <c r="GC777" s="308"/>
      <c r="GD777" s="297">
        <v>2008</v>
      </c>
      <c r="GE777" s="770" t="s">
        <v>1214</v>
      </c>
      <c r="GF777" s="302"/>
      <c r="GG777" s="302"/>
      <c r="GH777" s="770"/>
      <c r="GI777" s="770"/>
      <c r="GJ777" s="770"/>
      <c r="GK777" s="770"/>
      <c r="GL777" s="770"/>
      <c r="GM777" s="770"/>
      <c r="GN777" s="299"/>
      <c r="GO777" s="770"/>
      <c r="GP777" s="770"/>
      <c r="GQ777" s="770"/>
      <c r="GR777" s="770"/>
      <c r="GS777" s="770"/>
      <c r="GT777" s="770"/>
      <c r="GU777" s="770"/>
      <c r="GV777" s="770"/>
      <c r="GW777" s="770"/>
      <c r="GX777" s="770"/>
      <c r="GY777" s="770"/>
      <c r="GZ777" s="770"/>
      <c r="HA777" s="770"/>
      <c r="HB777" s="770"/>
      <c r="HC777" s="770"/>
      <c r="HD777" s="770"/>
      <c r="HE777" s="770"/>
      <c r="HF777" s="770"/>
      <c r="HG777" s="770"/>
      <c r="HH777" s="770"/>
      <c r="HI777" s="766"/>
      <c r="HJ777" s="766"/>
      <c r="HK777" s="770"/>
      <c r="HL777" s="770"/>
      <c r="HM777" s="770"/>
      <c r="HN777" s="770"/>
      <c r="HO777" s="770"/>
      <c r="HP777" s="770"/>
      <c r="HQ777" s="770"/>
      <c r="HR777" s="770">
        <v>3</v>
      </c>
      <c r="HS777" s="770">
        <v>8</v>
      </c>
      <c r="HT777" s="770"/>
      <c r="HU777" s="770"/>
      <c r="HV777" s="770"/>
      <c r="HW777" s="770"/>
      <c r="HX777" s="770"/>
      <c r="HY777" s="770"/>
      <c r="HZ777" s="770"/>
      <c r="IA777" s="770"/>
      <c r="IB777" s="770"/>
      <c r="IC777" s="770"/>
      <c r="ID777" s="770"/>
      <c r="IE777" s="770"/>
      <c r="IF777" s="770"/>
      <c r="IG777" s="770"/>
      <c r="IH777" s="770"/>
      <c r="II777" s="770"/>
      <c r="IJ777" s="770"/>
      <c r="IK777" s="770"/>
      <c r="IL777" s="770"/>
      <c r="IM777" s="770"/>
      <c r="IN777" s="770"/>
      <c r="IO777" s="296"/>
      <c r="IP777" s="770"/>
      <c r="IQ777" s="770"/>
      <c r="IR777" s="770"/>
      <c r="IS777" s="770"/>
      <c r="IT777" s="770"/>
      <c r="IU777" s="770"/>
      <c r="IV777" s="770"/>
      <c r="IW777" s="770"/>
      <c r="IX777" s="770"/>
      <c r="IY777" s="770"/>
      <c r="IZ777" s="770"/>
      <c r="JA777" s="770"/>
      <c r="JB777" s="770"/>
      <c r="JC777" s="770"/>
      <c r="JD777" s="302"/>
      <c r="JE777" s="770"/>
      <c r="JF777" s="770"/>
      <c r="JG777" s="770"/>
      <c r="JH777" s="307"/>
      <c r="JI777" s="307"/>
      <c r="JJ777" s="770"/>
      <c r="JK777" s="770"/>
      <c r="JL777" s="770"/>
      <c r="JM777" s="770"/>
      <c r="JN777" s="770"/>
      <c r="JO777" s="770"/>
      <c r="JP777" s="770"/>
      <c r="JQ777" s="770"/>
      <c r="JR777" s="770"/>
      <c r="JS777" s="770"/>
      <c r="JT777" s="766"/>
      <c r="JU777" s="766"/>
      <c r="JV777" s="766"/>
      <c r="JW777" s="766"/>
      <c r="JX777" s="770"/>
      <c r="JY777" s="770"/>
      <c r="JZ777" s="770"/>
      <c r="KA777" s="770"/>
      <c r="KB777" s="770"/>
      <c r="KC777" s="770"/>
      <c r="KD777" s="770"/>
      <c r="KE777" s="770"/>
      <c r="KF777" s="770"/>
      <c r="KG777" s="770"/>
      <c r="KH777" s="770"/>
      <c r="KI777" s="770"/>
      <c r="KJ777" s="770"/>
      <c r="KK777" s="770"/>
      <c r="KL777" s="770"/>
      <c r="KM777" s="770"/>
      <c r="KN777" s="770"/>
      <c r="KO777" s="770"/>
      <c r="KP777" s="770"/>
      <c r="KQ777" s="770"/>
      <c r="KR777" s="770"/>
      <c r="KS777" s="770"/>
      <c r="KT777" s="770"/>
      <c r="KU777" s="770"/>
      <c r="KV777" s="770"/>
      <c r="KW777" s="770"/>
      <c r="KX777" s="770"/>
      <c r="KY777" s="770"/>
      <c r="KZ777" s="770"/>
      <c r="LA777" s="770"/>
      <c r="LB777" s="770"/>
      <c r="LC777" s="770"/>
      <c r="LD777" s="770"/>
      <c r="LE777" s="770"/>
      <c r="LF777" s="770"/>
      <c r="LG777" s="770"/>
      <c r="LH777" s="770"/>
      <c r="LI777" s="770"/>
      <c r="LJ777" s="770"/>
      <c r="LK777" s="770"/>
      <c r="LL777" s="770"/>
      <c r="LM777" s="770"/>
      <c r="LN777" s="766"/>
      <c r="LO777" s="766"/>
      <c r="LP777" s="770"/>
      <c r="LQ777" s="770"/>
      <c r="LR777" s="770"/>
      <c r="LS777" s="770"/>
      <c r="LT777" s="770"/>
      <c r="LU777" s="770"/>
      <c r="LV777" s="770"/>
      <c r="LW777" s="770"/>
      <c r="LX777" s="769"/>
      <c r="LY777" s="766" t="str">
        <f t="shared" si="231"/>
        <v/>
      </c>
      <c r="LZ777" s="1709"/>
      <c r="MA777" s="1709"/>
      <c r="MB777" s="1709"/>
      <c r="MC777" s="1679">
        <f t="shared" si="229"/>
        <v>0</v>
      </c>
      <c r="MD777" s="1709"/>
      <c r="ME777" s="1709"/>
      <c r="MF777" s="1709"/>
      <c r="MG777" s="1680">
        <f t="shared" si="242"/>
        <v>0</v>
      </c>
      <c r="MH777" s="770"/>
      <c r="MI777" s="302"/>
      <c r="MJ777" s="302"/>
      <c r="MK777" s="302"/>
      <c r="ML777" s="302"/>
      <c r="MM777" s="302"/>
      <c r="MN777" s="302"/>
      <c r="MO777" s="302"/>
      <c r="MP777" s="302"/>
      <c r="MQ777" s="302"/>
      <c r="MR777" s="302"/>
      <c r="MS777" s="302"/>
      <c r="MT777" s="302"/>
      <c r="MU777" s="302"/>
      <c r="MV777" s="302"/>
      <c r="MW777" s="302"/>
      <c r="MX777" s="302"/>
      <c r="MY777" s="1682">
        <f t="shared" si="243"/>
        <v>0</v>
      </c>
      <c r="MZ777" s="770"/>
      <c r="NA777" s="770"/>
      <c r="NB777" s="770"/>
      <c r="NC777" s="770"/>
      <c r="ND777" s="770"/>
      <c r="NE777" s="770"/>
      <c r="NF777" s="770"/>
      <c r="NG777" s="770"/>
      <c r="NH777" s="770"/>
      <c r="NI777" s="770"/>
      <c r="NJ777" s="770"/>
      <c r="NK777" s="770"/>
      <c r="NL777" s="770"/>
      <c r="NM777" s="770"/>
      <c r="NN777" s="770"/>
      <c r="NO777" s="770"/>
      <c r="NP777" s="770"/>
      <c r="NQ777" s="770"/>
      <c r="NR777" s="770"/>
      <c r="NS777" s="770"/>
      <c r="NT777" s="770"/>
      <c r="NU777" s="770"/>
      <c r="NV777" s="770"/>
      <c r="NW777" s="770"/>
      <c r="NX777" s="770"/>
      <c r="NY777" s="770"/>
      <c r="NZ777" s="770"/>
      <c r="OA777" s="770"/>
      <c r="OB777" s="770"/>
      <c r="OC777" s="770"/>
      <c r="OD777" s="770"/>
      <c r="OE777" s="770"/>
      <c r="OF777" s="770"/>
      <c r="OG777" s="770"/>
      <c r="OH777" s="770"/>
      <c r="OI777" s="770"/>
      <c r="OJ777" s="770"/>
      <c r="OK777" s="770"/>
      <c r="OL777" s="770"/>
      <c r="OM777" s="770"/>
      <c r="ON777" s="770"/>
      <c r="OO777" s="770"/>
      <c r="OP777" s="770"/>
      <c r="OQ777" s="770"/>
      <c r="OR777" s="770"/>
      <c r="OS777" s="770"/>
      <c r="OT777" s="770"/>
      <c r="OU777" s="770"/>
      <c r="OV777" s="770"/>
      <c r="OW777" s="770"/>
      <c r="OX777" s="770"/>
      <c r="OY777" s="770"/>
      <c r="OZ777" s="770"/>
      <c r="PA777" s="770"/>
      <c r="PB777" s="770"/>
      <c r="PC777" s="770"/>
      <c r="PD777" s="770"/>
      <c r="PE777" s="770"/>
      <c r="PF777" s="770"/>
      <c r="PG777" s="770"/>
      <c r="PH777" s="770"/>
      <c r="PI777" s="770"/>
      <c r="PJ777" s="770"/>
      <c r="PK777" s="770"/>
      <c r="PL777" s="770"/>
      <c r="PM777" s="770"/>
      <c r="PN777" s="770"/>
      <c r="PO777" s="770"/>
      <c r="PP777" s="770"/>
      <c r="PQ777" s="770"/>
      <c r="PR777" s="770"/>
      <c r="PS777" s="770"/>
      <c r="PT777" s="770"/>
      <c r="PU777" s="770"/>
      <c r="PV777" s="770"/>
      <c r="PW777" s="770"/>
      <c r="PX777" s="770"/>
      <c r="PY777" s="770"/>
      <c r="PZ777" s="770"/>
      <c r="QA777" s="770"/>
      <c r="QB777" s="770"/>
      <c r="QC777" s="770"/>
      <c r="QD777" s="770"/>
      <c r="QE777" s="770"/>
      <c r="QF777" s="770"/>
      <c r="QG777" s="770"/>
      <c r="QH777" s="770"/>
      <c r="QI777" s="770"/>
      <c r="QJ777" s="770"/>
      <c r="QK777" s="770"/>
      <c r="QL777" s="770"/>
      <c r="QM777" s="770"/>
      <c r="QN777" s="770"/>
      <c r="QO777" s="770"/>
      <c r="QP777" s="770"/>
      <c r="QQ777" s="770"/>
      <c r="QR777" s="770"/>
      <c r="QS777" s="770"/>
      <c r="QT777" s="770"/>
      <c r="QU777" s="770"/>
      <c r="QV777" s="770"/>
      <c r="QW777" s="770"/>
      <c r="QX777" s="770"/>
      <c r="QY777" s="770"/>
      <c r="QZ777" s="770"/>
      <c r="RA777" s="770"/>
      <c r="RB777" s="770"/>
      <c r="RC777" s="770"/>
      <c r="RD777" s="770"/>
      <c r="RE777" s="770"/>
      <c r="RF777" s="304"/>
      <c r="RG777" s="770"/>
      <c r="RH777" s="306"/>
      <c r="RI777" s="770"/>
      <c r="RJ777" s="94" t="s">
        <v>14002</v>
      </c>
      <c r="RK777" s="770" t="s">
        <v>1604</v>
      </c>
      <c r="RL777" s="1710" t="s">
        <v>1604</v>
      </c>
      <c r="RM777" s="12"/>
      <c r="RN777" s="1711"/>
      <c r="RO777" s="149" t="s">
        <v>5056</v>
      </c>
      <c r="RP777" s="11"/>
      <c r="RQ777" s="11"/>
      <c r="RR777" s="17"/>
      <c r="RS777" s="767"/>
      <c r="RT777" s="11"/>
      <c r="RU777" s="11"/>
      <c r="RV777" s="771" t="s">
        <v>1101</v>
      </c>
      <c r="RW777" s="11" t="s">
        <v>8040</v>
      </c>
      <c r="RX777" s="11" t="s">
        <v>5042</v>
      </c>
      <c r="RY777" s="11"/>
      <c r="RZ777" s="11" t="s">
        <v>1101</v>
      </c>
      <c r="SA777" s="771"/>
      <c r="SB777" s="11"/>
      <c r="SC777" s="11"/>
    </row>
    <row r="778" spans="1:497" ht="12.75" hidden="1" customHeight="1">
      <c r="A778" s="19" t="s">
        <v>7419</v>
      </c>
      <c r="B778" s="292" t="s">
        <v>12359</v>
      </c>
      <c r="C778" s="149" t="s">
        <v>5062</v>
      </c>
      <c r="D778" s="94" t="s">
        <v>5063</v>
      </c>
      <c r="E778" s="766" t="s">
        <v>5064</v>
      </c>
      <c r="F778" s="770" t="s">
        <v>20</v>
      </c>
      <c r="G778" s="770" t="s">
        <v>18</v>
      </c>
      <c r="H778" s="12"/>
      <c r="I778" s="295" t="s">
        <v>5065</v>
      </c>
      <c r="J778" s="94" t="s">
        <v>5066</v>
      </c>
      <c r="K778" s="766" t="s">
        <v>5067</v>
      </c>
      <c r="L778" s="766" t="s">
        <v>2777</v>
      </c>
      <c r="M778" s="770" t="s">
        <v>2402</v>
      </c>
      <c r="N778" s="1757"/>
      <c r="O778" s="1757" t="s">
        <v>5017</v>
      </c>
      <c r="P778" s="770"/>
      <c r="Q778" s="1088"/>
      <c r="R778" s="297"/>
      <c r="S778" s="770"/>
      <c r="T778" s="770"/>
      <c r="U778" s="295"/>
      <c r="V778" s="770"/>
      <c r="W778" s="770"/>
      <c r="X778" s="770"/>
      <c r="Y778" s="770"/>
      <c r="Z778" s="770"/>
      <c r="AA778" s="12"/>
      <c r="AB778" s="12"/>
      <c r="AC778" s="770"/>
      <c r="AD778" s="770"/>
      <c r="AE778" s="770"/>
      <c r="AF778" s="770"/>
      <c r="AG778" s="766" t="s">
        <v>1095</v>
      </c>
      <c r="AH778" s="766" t="s">
        <v>1096</v>
      </c>
      <c r="AI778" s="770" t="s">
        <v>4957</v>
      </c>
      <c r="AJ778" s="770"/>
      <c r="AK778" s="770" t="s">
        <v>1097</v>
      </c>
      <c r="AL778" s="531">
        <v>16</v>
      </c>
      <c r="AM778" s="780">
        <v>16</v>
      </c>
      <c r="AN778" s="532">
        <f t="shared" si="244"/>
        <v>1</v>
      </c>
      <c r="AO778" s="766" t="s">
        <v>1122</v>
      </c>
      <c r="AP778" s="766" t="s">
        <v>7223</v>
      </c>
      <c r="AQ778" s="766" t="s">
        <v>7418</v>
      </c>
      <c r="AR778" s="766"/>
      <c r="AS778" s="770" t="s">
        <v>1207</v>
      </c>
      <c r="AT778" s="770"/>
      <c r="AU778" s="770"/>
      <c r="AV778" s="770"/>
      <c r="AW778" s="770"/>
      <c r="AX778" s="770"/>
      <c r="AY778" s="770"/>
      <c r="AZ778" s="770"/>
      <c r="BA778" s="770"/>
      <c r="BB778" s="770"/>
      <c r="BC778" s="770"/>
      <c r="BD778" s="770"/>
      <c r="BE778" s="770"/>
      <c r="BF778" s="302"/>
      <c r="BG778" s="302"/>
      <c r="BH778" s="770"/>
      <c r="BI778" s="770"/>
      <c r="BJ778" s="770"/>
      <c r="BK778" s="766"/>
      <c r="BL778" s="766"/>
      <c r="BM778" s="766"/>
      <c r="BN778" s="766"/>
      <c r="BO778" s="770"/>
      <c r="BP778" s="765"/>
      <c r="BQ778" s="773"/>
      <c r="BR778" s="774"/>
      <c r="BS778" s="766"/>
      <c r="BT778" s="770"/>
      <c r="BU778" s="770"/>
      <c r="BV778" s="770"/>
      <c r="BW778" s="770"/>
      <c r="BX778" s="302"/>
      <c r="BY778" s="770"/>
      <c r="BZ778" s="302"/>
      <c r="CA778" s="770"/>
      <c r="CB778" s="770" t="s">
        <v>1207</v>
      </c>
      <c r="CC778" s="770" t="s">
        <v>5068</v>
      </c>
      <c r="CD778" s="770">
        <v>2016</v>
      </c>
      <c r="CE778" s="302"/>
      <c r="CF778" s="304">
        <v>1</v>
      </c>
      <c r="CG778" s="321">
        <v>16</v>
      </c>
      <c r="CH778" s="770" t="s">
        <v>3377</v>
      </c>
      <c r="CI778" s="770"/>
      <c r="CJ778" s="770" t="s">
        <v>3377</v>
      </c>
      <c r="CK778" s="770">
        <v>7</v>
      </c>
      <c r="CL778" s="770" t="s">
        <v>1249</v>
      </c>
      <c r="CM778" s="770" t="s">
        <v>3399</v>
      </c>
      <c r="CN778" s="770"/>
      <c r="CO778" s="770" t="s">
        <v>1257</v>
      </c>
      <c r="CP778" s="770"/>
      <c r="CQ778" s="770"/>
      <c r="CR778" s="302"/>
      <c r="CS778" s="770"/>
      <c r="CT778" s="770"/>
      <c r="CU778" s="305"/>
      <c r="CV778" s="770"/>
      <c r="CW778" s="770"/>
      <c r="CX778" s="770"/>
      <c r="CY778" s="770"/>
      <c r="CZ778" s="770"/>
      <c r="DA778" s="306"/>
      <c r="DB778" s="770"/>
      <c r="DC778" s="770"/>
      <c r="DD778" s="770"/>
      <c r="DE778" s="300"/>
      <c r="DF778" s="770"/>
      <c r="DG778" s="770"/>
      <c r="DH778" s="770"/>
      <c r="DI778" s="770"/>
      <c r="DJ778" s="770"/>
      <c r="DK778" s="770"/>
      <c r="DL778" s="770"/>
      <c r="DM778" s="770"/>
      <c r="DN778" s="322"/>
      <c r="DO778" s="770"/>
      <c r="DP778" s="770"/>
      <c r="DQ778" s="770"/>
      <c r="DR778" s="770"/>
      <c r="DS778" s="307"/>
      <c r="DT778" s="770"/>
      <c r="DU778" s="770"/>
      <c r="DV778" s="770"/>
      <c r="DW778" s="306"/>
      <c r="DX778" s="306"/>
      <c r="DY778" s="1055"/>
      <c r="DZ778" s="770"/>
      <c r="EA778" s="770"/>
      <c r="EB778" s="770"/>
      <c r="EC778" s="770"/>
      <c r="ED778" s="770"/>
      <c r="EE778" s="770"/>
      <c r="EF778" s="770"/>
      <c r="EG778" s="770"/>
      <c r="EH778" s="770"/>
      <c r="EI778" s="770"/>
      <c r="EJ778" s="770"/>
      <c r="EK778" s="770"/>
      <c r="EL778" s="770"/>
      <c r="EM778" s="770"/>
      <c r="EN778" s="770"/>
      <c r="EO778" s="770"/>
      <c r="EP778" s="94"/>
      <c r="EQ778" s="770"/>
      <c r="ER778" s="770"/>
      <c r="ES778" s="770"/>
      <c r="ET778" s="770"/>
      <c r="EU778" s="770"/>
      <c r="EV778" s="770"/>
      <c r="EW778" s="770"/>
      <c r="EX778" s="770"/>
      <c r="EY778" s="770"/>
      <c r="EZ778" s="770"/>
      <c r="FA778" s="770"/>
      <c r="FB778" s="770"/>
      <c r="FC778" s="770"/>
      <c r="FD778" s="302"/>
      <c r="FE778" s="770"/>
      <c r="FF778" s="770"/>
      <c r="FG778" s="770"/>
      <c r="FH778" s="770"/>
      <c r="FI778" s="770"/>
      <c r="FJ778" s="770"/>
      <c r="FK778" s="770"/>
      <c r="FL778" s="770"/>
      <c r="FM778" s="302"/>
      <c r="FN778" s="302"/>
      <c r="FO778" s="302"/>
      <c r="FP778" s="770"/>
      <c r="FQ778" s="770"/>
      <c r="FR778" s="770" t="s">
        <v>1214</v>
      </c>
      <c r="FS778" s="770"/>
      <c r="FT778" s="770"/>
      <c r="FU778" s="770"/>
      <c r="FV778" s="770"/>
      <c r="FW778" s="770"/>
      <c r="FX778" s="770"/>
      <c r="FY778" s="770"/>
      <c r="FZ778" s="770"/>
      <c r="GA778" s="770"/>
      <c r="GB778" s="770" t="s">
        <v>1734</v>
      </c>
      <c r="GC778" s="308"/>
      <c r="GD778" s="297">
        <v>2016</v>
      </c>
      <c r="GE778" s="770" t="s">
        <v>1214</v>
      </c>
      <c r="GF778" s="302"/>
      <c r="GG778" s="302"/>
      <c r="GH778" s="770"/>
      <c r="GI778" s="770"/>
      <c r="GJ778" s="770"/>
      <c r="GK778" s="770"/>
      <c r="GL778" s="770"/>
      <c r="GM778" s="770"/>
      <c r="GN778" s="299"/>
      <c r="GO778" s="770"/>
      <c r="GP778" s="770"/>
      <c r="GQ778" s="770"/>
      <c r="GR778" s="770"/>
      <c r="GS778" s="770"/>
      <c r="GT778" s="770"/>
      <c r="GU778" s="770"/>
      <c r="GV778" s="770"/>
      <c r="GW778" s="770"/>
      <c r="GX778" s="770"/>
      <c r="GY778" s="770"/>
      <c r="GZ778" s="770"/>
      <c r="HA778" s="770"/>
      <c r="HB778" s="770"/>
      <c r="HC778" s="770"/>
      <c r="HD778" s="770"/>
      <c r="HE778" s="770"/>
      <c r="HF778" s="770"/>
      <c r="HG778" s="770"/>
      <c r="HH778" s="770"/>
      <c r="HI778" s="766"/>
      <c r="HJ778" s="766"/>
      <c r="HK778" s="770"/>
      <c r="HL778" s="770"/>
      <c r="HM778" s="770"/>
      <c r="HN778" s="770"/>
      <c r="HO778" s="770"/>
      <c r="HP778" s="770"/>
      <c r="HQ778" s="770"/>
      <c r="HR778" s="770">
        <v>2</v>
      </c>
      <c r="HS778" s="770"/>
      <c r="HT778" s="770"/>
      <c r="HU778" s="770"/>
      <c r="HV778" s="770"/>
      <c r="HW778" s="770"/>
      <c r="HX778" s="770"/>
      <c r="HY778" s="770"/>
      <c r="HZ778" s="770"/>
      <c r="IA778" s="770"/>
      <c r="IB778" s="770"/>
      <c r="IC778" s="770"/>
      <c r="ID778" s="770"/>
      <c r="IE778" s="770"/>
      <c r="IF778" s="770"/>
      <c r="IG778" s="770"/>
      <c r="IH778" s="770"/>
      <c r="II778" s="770"/>
      <c r="IJ778" s="770"/>
      <c r="IK778" s="770"/>
      <c r="IL778" s="770"/>
      <c r="IM778" s="770"/>
      <c r="IN778" s="770"/>
      <c r="IO778" s="296"/>
      <c r="IP778" s="770"/>
      <c r="IQ778" s="770"/>
      <c r="IR778" s="770"/>
      <c r="IS778" s="770"/>
      <c r="IT778" s="770"/>
      <c r="IU778" s="770"/>
      <c r="IV778" s="770"/>
      <c r="IW778" s="770"/>
      <c r="IX778" s="770"/>
      <c r="IY778" s="770"/>
      <c r="IZ778" s="770"/>
      <c r="JA778" s="770"/>
      <c r="JB778" s="770"/>
      <c r="JC778" s="770"/>
      <c r="JD778" s="302"/>
      <c r="JE778" s="770"/>
      <c r="JF778" s="770"/>
      <c r="JG778" s="770"/>
      <c r="JH778" s="307"/>
      <c r="JI778" s="307"/>
      <c r="JJ778" s="770"/>
      <c r="JK778" s="770"/>
      <c r="JL778" s="770"/>
      <c r="JM778" s="770"/>
      <c r="JN778" s="770"/>
      <c r="JO778" s="770"/>
      <c r="JP778" s="770"/>
      <c r="JQ778" s="770"/>
      <c r="JR778" s="770"/>
      <c r="JS778" s="770"/>
      <c r="JT778" s="766"/>
      <c r="JU778" s="766"/>
      <c r="JV778" s="766"/>
      <c r="JW778" s="766"/>
      <c r="JX778" s="770"/>
      <c r="JY778" s="770"/>
      <c r="JZ778" s="770"/>
      <c r="KA778" s="770"/>
      <c r="KB778" s="770"/>
      <c r="KC778" s="770"/>
      <c r="KD778" s="770"/>
      <c r="KE778" s="770"/>
      <c r="KF778" s="770"/>
      <c r="KG778" s="770"/>
      <c r="KH778" s="770"/>
      <c r="KI778" s="770"/>
      <c r="KJ778" s="770"/>
      <c r="KK778" s="770"/>
      <c r="KL778" s="770"/>
      <c r="KM778" s="770"/>
      <c r="KN778" s="770"/>
      <c r="KO778" s="770"/>
      <c r="KP778" s="770"/>
      <c r="KQ778" s="770"/>
      <c r="KR778" s="770"/>
      <c r="KS778" s="770"/>
      <c r="KT778" s="770"/>
      <c r="KU778" s="770"/>
      <c r="KV778" s="770"/>
      <c r="KW778" s="770"/>
      <c r="KX778" s="770"/>
      <c r="KY778" s="770"/>
      <c r="KZ778" s="770"/>
      <c r="LA778" s="770"/>
      <c r="LB778" s="770"/>
      <c r="LC778" s="770"/>
      <c r="LD778" s="770"/>
      <c r="LE778" s="770"/>
      <c r="LF778" s="770"/>
      <c r="LG778" s="770"/>
      <c r="LH778" s="770"/>
      <c r="LI778" s="770"/>
      <c r="LJ778" s="770"/>
      <c r="LK778" s="770"/>
      <c r="LL778" s="770"/>
      <c r="LM778" s="770"/>
      <c r="LN778" s="766"/>
      <c r="LO778" s="766"/>
      <c r="LP778" s="770"/>
      <c r="LQ778" s="770"/>
      <c r="LR778" s="770"/>
      <c r="LS778" s="770"/>
      <c r="LT778" s="770"/>
      <c r="LU778" s="770"/>
      <c r="LV778" s="770"/>
      <c r="LW778" s="770"/>
      <c r="LX778" s="769"/>
      <c r="LY778" s="766" t="str">
        <f t="shared" si="231"/>
        <v/>
      </c>
      <c r="LZ778" s="1709"/>
      <c r="MA778" s="1709"/>
      <c r="MB778" s="1709"/>
      <c r="MC778" s="1679">
        <f t="shared" si="229"/>
        <v>0</v>
      </c>
      <c r="MD778" s="1709"/>
      <c r="ME778" s="1709"/>
      <c r="MF778" s="1709"/>
      <c r="MG778" s="1680">
        <f t="shared" si="242"/>
        <v>0</v>
      </c>
      <c r="MH778" s="770"/>
      <c r="MI778" s="302"/>
      <c r="MJ778" s="302"/>
      <c r="MK778" s="302"/>
      <c r="ML778" s="302"/>
      <c r="MM778" s="302"/>
      <c r="MN778" s="302"/>
      <c r="MO778" s="302"/>
      <c r="MP778" s="302"/>
      <c r="MQ778" s="302"/>
      <c r="MR778" s="302"/>
      <c r="MS778" s="302"/>
      <c r="MT778" s="302"/>
      <c r="MU778" s="302"/>
      <c r="MV778" s="302"/>
      <c r="MW778" s="302"/>
      <c r="MX778" s="302"/>
      <c r="MY778" s="1682">
        <f t="shared" si="243"/>
        <v>0</v>
      </c>
      <c r="MZ778" s="770"/>
      <c r="NA778" s="770"/>
      <c r="NB778" s="770"/>
      <c r="NC778" s="770"/>
      <c r="ND778" s="770"/>
      <c r="NE778" s="770"/>
      <c r="NF778" s="770"/>
      <c r="NG778" s="770"/>
      <c r="NH778" s="770"/>
      <c r="NI778" s="770"/>
      <c r="NJ778" s="770"/>
      <c r="NK778" s="770"/>
      <c r="NL778" s="770"/>
      <c r="NM778" s="770"/>
      <c r="NN778" s="770"/>
      <c r="NO778" s="770"/>
      <c r="NP778" s="770"/>
      <c r="NQ778" s="770"/>
      <c r="NR778" s="770"/>
      <c r="NS778" s="770"/>
      <c r="NT778" s="770"/>
      <c r="NU778" s="770"/>
      <c r="NV778" s="770"/>
      <c r="NW778" s="770"/>
      <c r="NX778" s="770"/>
      <c r="NY778" s="770"/>
      <c r="NZ778" s="770"/>
      <c r="OA778" s="770"/>
      <c r="OB778" s="770"/>
      <c r="OC778" s="770"/>
      <c r="OD778" s="770"/>
      <c r="OE778" s="770"/>
      <c r="OF778" s="770"/>
      <c r="OG778" s="770"/>
      <c r="OH778" s="770"/>
      <c r="OI778" s="770"/>
      <c r="OJ778" s="770"/>
      <c r="OK778" s="770"/>
      <c r="OL778" s="770"/>
      <c r="OM778" s="770"/>
      <c r="ON778" s="770"/>
      <c r="OO778" s="770"/>
      <c r="OP778" s="770"/>
      <c r="OQ778" s="770"/>
      <c r="OR778" s="770"/>
      <c r="OS778" s="770"/>
      <c r="OT778" s="770"/>
      <c r="OU778" s="770"/>
      <c r="OV778" s="770"/>
      <c r="OW778" s="770"/>
      <c r="OX778" s="770"/>
      <c r="OY778" s="770"/>
      <c r="OZ778" s="770"/>
      <c r="PA778" s="770"/>
      <c r="PB778" s="770"/>
      <c r="PC778" s="770"/>
      <c r="PD778" s="770"/>
      <c r="PE778" s="770"/>
      <c r="PF778" s="770"/>
      <c r="PG778" s="770"/>
      <c r="PH778" s="770"/>
      <c r="PI778" s="770"/>
      <c r="PJ778" s="770"/>
      <c r="PK778" s="770"/>
      <c r="PL778" s="770"/>
      <c r="PM778" s="770"/>
      <c r="PN778" s="770"/>
      <c r="PO778" s="770"/>
      <c r="PP778" s="770"/>
      <c r="PQ778" s="770"/>
      <c r="PR778" s="770"/>
      <c r="PS778" s="770"/>
      <c r="PT778" s="770"/>
      <c r="PU778" s="770"/>
      <c r="PV778" s="770"/>
      <c r="PW778" s="770"/>
      <c r="PX778" s="770"/>
      <c r="PY778" s="770"/>
      <c r="PZ778" s="770"/>
      <c r="QA778" s="770"/>
      <c r="QB778" s="770"/>
      <c r="QC778" s="770"/>
      <c r="QD778" s="770"/>
      <c r="QE778" s="770"/>
      <c r="QF778" s="770"/>
      <c r="QG778" s="770"/>
      <c r="QH778" s="770"/>
      <c r="QI778" s="770"/>
      <c r="QJ778" s="770"/>
      <c r="QK778" s="770"/>
      <c r="QL778" s="770"/>
      <c r="QM778" s="770"/>
      <c r="QN778" s="770"/>
      <c r="QO778" s="770"/>
      <c r="QP778" s="770"/>
      <c r="QQ778" s="770"/>
      <c r="QR778" s="770"/>
      <c r="QS778" s="770"/>
      <c r="QT778" s="770"/>
      <c r="QU778" s="770"/>
      <c r="QV778" s="770"/>
      <c r="QW778" s="770"/>
      <c r="QX778" s="770"/>
      <c r="QY778" s="770"/>
      <c r="QZ778" s="770"/>
      <c r="RA778" s="770"/>
      <c r="RB778" s="770"/>
      <c r="RC778" s="770"/>
      <c r="RD778" s="770"/>
      <c r="RE778" s="770"/>
      <c r="RF778" s="304"/>
      <c r="RG778" s="770"/>
      <c r="RH778" s="306"/>
      <c r="RI778" s="770"/>
      <c r="RJ778" s="94" t="s">
        <v>14003</v>
      </c>
      <c r="RK778" s="770" t="s">
        <v>1604</v>
      </c>
      <c r="RL778" s="1710" t="s">
        <v>1604</v>
      </c>
      <c r="RM778" s="12"/>
      <c r="RN778" s="1711"/>
      <c r="RO778" s="149" t="s">
        <v>5062</v>
      </c>
      <c r="RP778" s="11"/>
      <c r="RQ778" s="11"/>
      <c r="RR778" s="17"/>
      <c r="RS778" s="767"/>
      <c r="RT778" s="11"/>
      <c r="RU778" s="11"/>
      <c r="RV778" s="771" t="s">
        <v>1101</v>
      </c>
      <c r="RW778" s="11" t="s">
        <v>8039</v>
      </c>
      <c r="RX778" s="11" t="s">
        <v>5050</v>
      </c>
      <c r="RY778" s="11"/>
      <c r="RZ778" s="11" t="s">
        <v>1101</v>
      </c>
      <c r="SA778" s="771"/>
      <c r="SB778" s="11"/>
      <c r="SC778" s="11"/>
    </row>
    <row r="779" spans="1:497" ht="12.75" customHeight="1">
      <c r="A779" s="19" t="s">
        <v>7421</v>
      </c>
      <c r="B779" s="762" t="s">
        <v>8069</v>
      </c>
      <c r="C779" s="149" t="s">
        <v>5069</v>
      </c>
      <c r="D779" s="94" t="s">
        <v>12231</v>
      </c>
      <c r="E779" s="766" t="s">
        <v>12540</v>
      </c>
      <c r="F779" s="770"/>
      <c r="G779" s="770"/>
      <c r="H779" s="12"/>
      <c r="I779" s="295"/>
      <c r="J779" s="94"/>
      <c r="K779" s="770"/>
      <c r="L779" s="770"/>
      <c r="M779" s="770"/>
      <c r="N779" s="1757"/>
      <c r="O779" s="1757"/>
      <c r="P779" s="94"/>
      <c r="Q779" s="1088"/>
      <c r="R779" s="297"/>
      <c r="S779" s="770"/>
      <c r="T779" s="770"/>
      <c r="U779" s="298"/>
      <c r="V779" s="770"/>
      <c r="W779" s="770"/>
      <c r="X779" s="770"/>
      <c r="Y779" s="770"/>
      <c r="Z779" s="770"/>
      <c r="AA779" s="770"/>
      <c r="AB779" s="770"/>
      <c r="AC779" s="770"/>
      <c r="AD779" s="770"/>
      <c r="AE779" s="770"/>
      <c r="AF779" s="770"/>
      <c r="AG779" s="766" t="s">
        <v>1095</v>
      </c>
      <c r="AH779" s="766" t="s">
        <v>1096</v>
      </c>
      <c r="AI779" s="770"/>
      <c r="AJ779" s="770" t="s">
        <v>1137</v>
      </c>
      <c r="AK779" s="770" t="s">
        <v>1101</v>
      </c>
      <c r="AL779" s="531"/>
      <c r="AM779" s="780"/>
      <c r="AN779" s="532"/>
      <c r="AO779" s="766"/>
      <c r="AP779" s="766"/>
      <c r="AQ779" s="766"/>
      <c r="AR779" s="766"/>
      <c r="AS779" s="770"/>
      <c r="AT779" s="770"/>
      <c r="AU779" s="770"/>
      <c r="AV779" s="770"/>
      <c r="AW779" s="770"/>
      <c r="AX779" s="770"/>
      <c r="AY779" s="770"/>
      <c r="AZ779" s="770"/>
      <c r="BA779" s="770"/>
      <c r="BB779" s="770"/>
      <c r="BC779" s="770"/>
      <c r="BD779" s="770"/>
      <c r="BE779" s="770"/>
      <c r="BF779" s="302"/>
      <c r="BG779" s="302"/>
      <c r="BH779" s="770"/>
      <c r="BI779" s="770"/>
      <c r="BJ779" s="770"/>
      <c r="BK779" s="766" t="s">
        <v>1095</v>
      </c>
      <c r="BL779" s="766" t="s">
        <v>11830</v>
      </c>
      <c r="BM779" s="766" t="s">
        <v>1096</v>
      </c>
      <c r="BN779" s="766" t="s">
        <v>1230</v>
      </c>
      <c r="BO779" s="770" t="s">
        <v>1246</v>
      </c>
      <c r="BP779" s="1109">
        <v>6</v>
      </c>
      <c r="BQ779" s="773">
        <v>6</v>
      </c>
      <c r="BR779" s="774">
        <f>BQ779/BP779</f>
        <v>1</v>
      </c>
      <c r="BS779" s="766" t="s">
        <v>1257</v>
      </c>
      <c r="BT779" s="770" t="s">
        <v>1326</v>
      </c>
      <c r="BU779" s="770" t="s">
        <v>2249</v>
      </c>
      <c r="BV779" s="770" t="s">
        <v>11831</v>
      </c>
      <c r="BW779" s="770"/>
      <c r="BX779" s="302"/>
      <c r="BY779" s="770"/>
      <c r="BZ779" s="302"/>
      <c r="CA779" s="770"/>
      <c r="CB779" s="770"/>
      <c r="CC779" s="770"/>
      <c r="CD779" s="770"/>
      <c r="CE779" s="302"/>
      <c r="CF779" s="304"/>
      <c r="CG779" s="321"/>
      <c r="CH779" s="770"/>
      <c r="CI779" s="770"/>
      <c r="CJ779" s="770"/>
      <c r="CK779" s="770"/>
      <c r="CL779" s="770"/>
      <c r="CM779" s="770"/>
      <c r="CN779" s="770"/>
      <c r="CO779" s="770"/>
      <c r="CP779" s="770"/>
      <c r="CQ779" s="770"/>
      <c r="CR779" s="302"/>
      <c r="CS779" s="770"/>
      <c r="CT779" s="770"/>
      <c r="CU779" s="305"/>
      <c r="CV779" s="770"/>
      <c r="CW779" s="770"/>
      <c r="CX779" s="770"/>
      <c r="CY779" s="770"/>
      <c r="CZ779" s="770"/>
      <c r="DA779" s="306"/>
      <c r="DB779" s="770"/>
      <c r="DC779" s="770"/>
      <c r="DD779" s="770"/>
      <c r="DE779" s="300"/>
      <c r="DF779" s="770"/>
      <c r="DG779" s="770"/>
      <c r="DH779" s="770"/>
      <c r="DI779" s="770"/>
      <c r="DJ779" s="770"/>
      <c r="DK779" s="770"/>
      <c r="DL779" s="770"/>
      <c r="DM779" s="770"/>
      <c r="DN779" s="322"/>
      <c r="DO779" s="770"/>
      <c r="DP779" s="770"/>
      <c r="DQ779" s="770"/>
      <c r="DR779" s="770"/>
      <c r="DS779" s="307"/>
      <c r="DT779" s="770"/>
      <c r="DU779" s="770"/>
      <c r="DV779" s="770"/>
      <c r="DW779" s="306"/>
      <c r="DX779" s="306"/>
      <c r="DY779" s="1055"/>
      <c r="DZ779" s="770"/>
      <c r="EA779" s="770"/>
      <c r="EB779" s="770"/>
      <c r="EC779" s="770"/>
      <c r="ED779" s="770"/>
      <c r="EE779" s="770"/>
      <c r="EF779" s="770"/>
      <c r="EG779" s="770"/>
      <c r="EH779" s="770"/>
      <c r="EI779" s="770"/>
      <c r="EJ779" s="770"/>
      <c r="EK779" s="770"/>
      <c r="EL779" s="770"/>
      <c r="EM779" s="770"/>
      <c r="EN779" s="770"/>
      <c r="EO779" s="770"/>
      <c r="EP779" s="94"/>
      <c r="EQ779" s="770"/>
      <c r="ER779" s="770"/>
      <c r="ES779" s="770"/>
      <c r="ET779" s="770"/>
      <c r="EU779" s="770"/>
      <c r="EV779" s="770"/>
      <c r="EW779" s="770"/>
      <c r="EX779" s="770"/>
      <c r="EY779" s="770"/>
      <c r="EZ779" s="770"/>
      <c r="FA779" s="770"/>
      <c r="FB779" s="770"/>
      <c r="FC779" s="770"/>
      <c r="FD779" s="302"/>
      <c r="FE779" s="770"/>
      <c r="FF779" s="770"/>
      <c r="FG779" s="770"/>
      <c r="FH779" s="770"/>
      <c r="FI779" s="770"/>
      <c r="FJ779" s="770"/>
      <c r="FK779" s="770"/>
      <c r="FL779" s="770"/>
      <c r="FM779" s="302"/>
      <c r="FN779" s="302"/>
      <c r="FO779" s="302"/>
      <c r="FP779" s="766" t="s">
        <v>1602</v>
      </c>
      <c r="FQ779" s="766" t="s">
        <v>1660</v>
      </c>
      <c r="FR779" s="770"/>
      <c r="FS779" s="770"/>
      <c r="FT779" s="770"/>
      <c r="FU779" s="770"/>
      <c r="FV779" s="770"/>
      <c r="FW779" s="770"/>
      <c r="FX779" s="770"/>
      <c r="FY779" s="770"/>
      <c r="FZ779" s="770"/>
      <c r="GA779" s="770"/>
      <c r="GB779" s="770"/>
      <c r="GC779" s="308"/>
      <c r="GD779" s="297"/>
      <c r="GE779" s="770"/>
      <c r="GF779" s="302"/>
      <c r="GG779" s="302"/>
      <c r="GH779" s="712" t="s">
        <v>3650</v>
      </c>
      <c r="GI779" s="770"/>
      <c r="GJ779" s="770"/>
      <c r="GK779" s="770"/>
      <c r="GL779" s="770"/>
      <c r="GM779" s="770"/>
      <c r="GN779" s="299"/>
      <c r="GO779" s="770"/>
      <c r="GP779" s="770"/>
      <c r="GQ779" s="770"/>
      <c r="GR779" s="770"/>
      <c r="GS779" s="770"/>
      <c r="GT779" s="770"/>
      <c r="GU779" s="770"/>
      <c r="GV779" s="770"/>
      <c r="GW779" s="770"/>
      <c r="GX779" s="770"/>
      <c r="GY779" s="770"/>
      <c r="GZ779" s="770"/>
      <c r="HA779" s="770"/>
      <c r="HB779" s="770"/>
      <c r="HC779" s="770"/>
      <c r="HD779" s="770"/>
      <c r="HE779" s="770"/>
      <c r="HF779" s="770"/>
      <c r="HG779" s="770"/>
      <c r="HH779" s="770"/>
      <c r="HI779" s="770"/>
      <c r="HJ779" s="770"/>
      <c r="HK779" s="770"/>
      <c r="HL779" s="770"/>
      <c r="HM779" s="770"/>
      <c r="HN779" s="770"/>
      <c r="HO779" s="770"/>
      <c r="HP779" s="770"/>
      <c r="HQ779" s="770"/>
      <c r="HR779" s="770"/>
      <c r="HS779" s="770"/>
      <c r="HT779" s="770"/>
      <c r="HU779" s="770"/>
      <c r="HV779" s="770"/>
      <c r="HW779" s="770"/>
      <c r="HX779" s="770"/>
      <c r="HY779" s="770"/>
      <c r="HZ779" s="770"/>
      <c r="IA779" s="770"/>
      <c r="IB779" s="14" t="e">
        <f>IF(#REF!&gt;0,IF(#REF!&lt;=10000,"Y",""),"")</f>
        <v>#REF!</v>
      </c>
      <c r="IC779" s="770"/>
      <c r="ID779" s="770"/>
      <c r="IE779" s="770"/>
      <c r="IF779" s="770"/>
      <c r="IG779" s="770"/>
      <c r="IH779" s="770"/>
      <c r="II779" s="770"/>
      <c r="IJ779" s="770"/>
      <c r="IK779" s="770"/>
      <c r="IL779" s="770"/>
      <c r="IM779" s="770"/>
      <c r="IN779" s="770"/>
      <c r="IO779" s="296"/>
      <c r="IP779" s="770"/>
      <c r="IQ779" s="770"/>
      <c r="IR779" s="770"/>
      <c r="IS779" s="770"/>
      <c r="IT779" s="770"/>
      <c r="IU779" s="770"/>
      <c r="IV779" s="770"/>
      <c r="IW779" s="770"/>
      <c r="IX779" s="770"/>
      <c r="IY779" s="770"/>
      <c r="IZ779" s="770"/>
      <c r="JA779" s="770"/>
      <c r="JB779" s="770"/>
      <c r="JC779" s="770"/>
      <c r="JD779" s="302"/>
      <c r="JE779" s="770"/>
      <c r="JF779" s="770"/>
      <c r="JG779" s="770"/>
      <c r="JH779" s="307"/>
      <c r="JI779" s="307"/>
      <c r="JJ779" s="94"/>
      <c r="JK779" s="1047" t="s">
        <v>11830</v>
      </c>
      <c r="JL779" s="770"/>
      <c r="JM779" s="770"/>
      <c r="JN779" s="770"/>
      <c r="JO779" s="770"/>
      <c r="JP779" s="770"/>
      <c r="JQ779" s="770"/>
      <c r="JR779" s="770"/>
      <c r="JS779" s="770"/>
      <c r="JT779" s="766"/>
      <c r="JU779" s="766"/>
      <c r="JV779" s="712" t="str">
        <f>IF(JT779=KJ779,"ok","male")</f>
        <v>ok</v>
      </c>
      <c r="JW779" s="712" t="str">
        <f>IF(JU779=KK779,"ok","female")</f>
        <v>ok</v>
      </c>
      <c r="JX779" s="770"/>
      <c r="JY779" s="770"/>
      <c r="JZ779" s="770"/>
      <c r="KA779" s="770"/>
      <c r="KB779" s="770"/>
      <c r="KC779" s="770"/>
      <c r="KD779" s="770"/>
      <c r="KE779" s="770"/>
      <c r="KF779" s="770"/>
      <c r="KG779" s="770"/>
      <c r="KH779" s="770"/>
      <c r="KI779" s="770"/>
      <c r="KJ779" s="770"/>
      <c r="KK779" s="770"/>
      <c r="KL779" s="712" t="str">
        <f>IF(KJ779=LN779,"ok","male")</f>
        <v>ok</v>
      </c>
      <c r="KM779" s="712" t="str">
        <f>IF(KK779=LO779,"ok","female")</f>
        <v>ok</v>
      </c>
      <c r="KN779" s="770"/>
      <c r="KO779" s="770"/>
      <c r="KP779" s="770"/>
      <c r="KQ779" s="770"/>
      <c r="KR779" s="770"/>
      <c r="KS779" s="770"/>
      <c r="KT779" s="770"/>
      <c r="KU779" s="770"/>
      <c r="KV779" s="770"/>
      <c r="KW779" s="770"/>
      <c r="KX779" s="770"/>
      <c r="KY779" s="770"/>
      <c r="KZ779" s="770"/>
      <c r="LA779" s="770"/>
      <c r="LB779" s="770"/>
      <c r="LC779" s="770"/>
      <c r="LD779" s="770"/>
      <c r="LE779" s="770"/>
      <c r="LF779" s="770"/>
      <c r="LG779" s="770"/>
      <c r="LH779" s="770"/>
      <c r="LI779" s="770"/>
      <c r="LJ779" s="770"/>
      <c r="LK779" s="770"/>
      <c r="LL779" s="770"/>
      <c r="LM779" s="770"/>
      <c r="LN779" s="766"/>
      <c r="LO779" s="766"/>
      <c r="LP779" s="770"/>
      <c r="LQ779" s="770"/>
      <c r="LR779" s="770"/>
      <c r="LS779" s="770"/>
      <c r="LT779" s="712" t="str">
        <f>IF(LQ779=SUM(LU779:LW779),"OK","REV")</f>
        <v>OK</v>
      </c>
      <c r="LU779" s="770"/>
      <c r="LV779" s="770"/>
      <c r="LW779" s="770"/>
      <c r="LX779" s="769"/>
      <c r="LY779" s="766" t="str">
        <f t="shared" si="231"/>
        <v/>
      </c>
      <c r="LZ779" s="1709"/>
      <c r="MA779" s="1709"/>
      <c r="MB779" s="1709"/>
      <c r="MC779" s="1679">
        <f t="shared" si="229"/>
        <v>0</v>
      </c>
      <c r="MD779" s="1709"/>
      <c r="ME779" s="1709"/>
      <c r="MF779" s="1709"/>
      <c r="MG779" s="1680">
        <v>0</v>
      </c>
      <c r="MH779" s="770"/>
      <c r="MI779" s="302"/>
      <c r="MJ779" s="302"/>
      <c r="MK779" s="302"/>
      <c r="ML779" s="302"/>
      <c r="MM779" s="302"/>
      <c r="MN779" s="302"/>
      <c r="MO779" s="302"/>
      <c r="MP779" s="302"/>
      <c r="MQ779" s="302"/>
      <c r="MR779" s="302"/>
      <c r="MS779" s="302"/>
      <c r="MT779" s="302"/>
      <c r="MU779" s="302"/>
      <c r="MV779" s="302"/>
      <c r="MW779" s="302"/>
      <c r="MX779" s="302"/>
      <c r="MY779" s="1682"/>
      <c r="MZ779" s="770"/>
      <c r="NA779" s="770"/>
      <c r="NB779" s="770"/>
      <c r="NC779" s="770"/>
      <c r="ND779" s="770"/>
      <c r="NE779" s="770"/>
      <c r="NF779" s="770"/>
      <c r="NG779" s="770"/>
      <c r="NH779" s="770"/>
      <c r="NI779" s="770"/>
      <c r="NJ779" s="770"/>
      <c r="NK779" s="770"/>
      <c r="NL779" s="770"/>
      <c r="NM779" s="770"/>
      <c r="NN779" s="770"/>
      <c r="NO779" s="770"/>
      <c r="NP779" s="770"/>
      <c r="NQ779" s="770"/>
      <c r="NR779" s="770"/>
      <c r="NS779" s="770"/>
      <c r="NT779" s="770"/>
      <c r="NU779" s="770"/>
      <c r="NV779" s="770"/>
      <c r="NW779" s="770"/>
      <c r="NX779" s="770"/>
      <c r="NY779" s="770"/>
      <c r="NZ779" s="770"/>
      <c r="OA779" s="770"/>
      <c r="OB779" s="770"/>
      <c r="OC779" s="770"/>
      <c r="OD779" s="770"/>
      <c r="OE779" s="770"/>
      <c r="OF779" s="770"/>
      <c r="OG779" s="770"/>
      <c r="OH779" s="770"/>
      <c r="OI779" s="770"/>
      <c r="OJ779" s="770"/>
      <c r="OK779" s="770"/>
      <c r="OL779" s="770"/>
      <c r="OM779" s="770"/>
      <c r="ON779" s="770"/>
      <c r="OO779" s="770"/>
      <c r="OP779" s="770"/>
      <c r="OQ779" s="770"/>
      <c r="OR779" s="770"/>
      <c r="OS779" s="770"/>
      <c r="OT779" s="770"/>
      <c r="OU779" s="770"/>
      <c r="OV779" s="770"/>
      <c r="OW779" s="770"/>
      <c r="OX779" s="770"/>
      <c r="OY779" s="770"/>
      <c r="OZ779" s="770"/>
      <c r="PA779" s="770"/>
      <c r="PB779" s="770"/>
      <c r="PC779" s="770"/>
      <c r="PD779" s="770"/>
      <c r="PE779" s="770"/>
      <c r="PF779" s="770"/>
      <c r="PG779" s="770"/>
      <c r="PH779" s="770"/>
      <c r="PI779" s="770"/>
      <c r="PJ779" s="770"/>
      <c r="PK779" s="770"/>
      <c r="PL779" s="770"/>
      <c r="PM779" s="770"/>
      <c r="PN779" s="770"/>
      <c r="PO779" s="770"/>
      <c r="PP779" s="770"/>
      <c r="PQ779" s="770"/>
      <c r="PR779" s="770"/>
      <c r="PS779" s="770"/>
      <c r="PT779" s="770"/>
      <c r="PU779" s="770"/>
      <c r="PV779" s="770"/>
      <c r="PW779" s="770"/>
      <c r="PX779" s="770"/>
      <c r="PY779" s="770"/>
      <c r="PZ779" s="770"/>
      <c r="QA779" s="770"/>
      <c r="QB779" s="770"/>
      <c r="QC779" s="770"/>
      <c r="QD779" s="770"/>
      <c r="QE779" s="770"/>
      <c r="QF779" s="770"/>
      <c r="QG779" s="770"/>
      <c r="QH779" s="770"/>
      <c r="QI779" s="770"/>
      <c r="QJ779" s="770"/>
      <c r="QK779" s="770"/>
      <c r="QL779" s="770"/>
      <c r="QM779" s="770"/>
      <c r="QN779" s="770"/>
      <c r="QO779" s="770"/>
      <c r="QP779" s="770"/>
      <c r="QQ779" s="770"/>
      <c r="QR779" s="770"/>
      <c r="QS779" s="770"/>
      <c r="QT779" s="770"/>
      <c r="QU779" s="770"/>
      <c r="QV779" s="770"/>
      <c r="QW779" s="770"/>
      <c r="QX779" s="770"/>
      <c r="QY779" s="770"/>
      <c r="QZ779" s="770"/>
      <c r="RA779" s="770"/>
      <c r="RB779" s="770"/>
      <c r="RC779" s="770"/>
      <c r="RD779" s="770"/>
      <c r="RE779" s="770"/>
      <c r="RF779" s="304"/>
      <c r="RG779" s="770"/>
      <c r="RH779" s="306"/>
      <c r="RI779" s="770"/>
      <c r="RJ779" s="94" t="s">
        <v>1604</v>
      </c>
      <c r="RK779" s="770" t="s">
        <v>1604</v>
      </c>
      <c r="RL779" s="1710" t="s">
        <v>1604</v>
      </c>
      <c r="RM779" s="12"/>
      <c r="RN779" s="1711"/>
      <c r="RO779" s="149" t="s">
        <v>5069</v>
      </c>
      <c r="RP779" s="11"/>
      <c r="RQ779" s="11"/>
      <c r="RR779" s="19" t="s">
        <v>7421</v>
      </c>
      <c r="RS779" s="1139" t="s">
        <v>12980</v>
      </c>
      <c r="RT779" s="11"/>
      <c r="RU779" s="11"/>
      <c r="RV779" s="6" t="s">
        <v>7419</v>
      </c>
      <c r="RW779" s="11" t="s">
        <v>12358</v>
      </c>
      <c r="RX779" s="11" t="s">
        <v>5056</v>
      </c>
      <c r="RY779" s="11"/>
      <c r="RZ779" s="11" t="s">
        <v>1101</v>
      </c>
      <c r="SA779" s="6"/>
      <c r="SB779" s="11"/>
      <c r="SC779" s="11"/>
    </row>
    <row r="780" spans="1:497" ht="12.75" customHeight="1">
      <c r="A780" s="19" t="s">
        <v>7421</v>
      </c>
      <c r="B780" s="292" t="s">
        <v>7464</v>
      </c>
      <c r="C780" s="149" t="s">
        <v>5070</v>
      </c>
      <c r="D780" s="94" t="s">
        <v>5071</v>
      </c>
      <c r="E780" s="766" t="s">
        <v>5072</v>
      </c>
      <c r="F780" s="770" t="s">
        <v>28</v>
      </c>
      <c r="G780" s="770" t="s">
        <v>10</v>
      </c>
      <c r="H780" s="12"/>
      <c r="I780" s="295" t="s">
        <v>5073</v>
      </c>
      <c r="J780" s="94" t="s">
        <v>5071</v>
      </c>
      <c r="K780" s="766" t="s">
        <v>4990</v>
      </c>
      <c r="L780" s="766" t="s">
        <v>3983</v>
      </c>
      <c r="M780" s="770" t="s">
        <v>1238</v>
      </c>
      <c r="N780" s="1757"/>
      <c r="O780" s="1757" t="s">
        <v>3255</v>
      </c>
      <c r="P780" s="94" t="s">
        <v>5074</v>
      </c>
      <c r="Q780" s="1088">
        <v>30133</v>
      </c>
      <c r="R780" s="297">
        <v>34</v>
      </c>
      <c r="S780" s="770" t="s">
        <v>10</v>
      </c>
      <c r="T780" s="770"/>
      <c r="U780" s="295" t="s">
        <v>5073</v>
      </c>
      <c r="V780" s="770" t="s">
        <v>722</v>
      </c>
      <c r="W780" s="770"/>
      <c r="X780" s="770"/>
      <c r="Y780" s="770" t="s">
        <v>5072</v>
      </c>
      <c r="Z780" s="770" t="s">
        <v>708</v>
      </c>
      <c r="AA780" s="12" t="s">
        <v>709</v>
      </c>
      <c r="AB780" s="770" t="s">
        <v>7273</v>
      </c>
      <c r="AC780" s="770" t="s">
        <v>724</v>
      </c>
      <c r="AD780" s="770" t="s">
        <v>711</v>
      </c>
      <c r="AE780" s="770"/>
      <c r="AF780" s="770" t="s">
        <v>798</v>
      </c>
      <c r="AG780" s="766" t="s">
        <v>1132</v>
      </c>
      <c r="AH780" s="766" t="s">
        <v>1096</v>
      </c>
      <c r="AI780" s="770"/>
      <c r="AJ780" s="770" t="s">
        <v>1137</v>
      </c>
      <c r="AK780" s="770" t="s">
        <v>1101</v>
      </c>
      <c r="AL780" s="531">
        <v>5</v>
      </c>
      <c r="AM780" s="780">
        <v>5</v>
      </c>
      <c r="AN780" s="532">
        <f>AM780/AL780</f>
        <v>1</v>
      </c>
      <c r="AO780" s="766" t="s">
        <v>1122</v>
      </c>
      <c r="AP780" s="766"/>
      <c r="AQ780" s="766"/>
      <c r="AR780" s="766"/>
      <c r="AS780" s="770"/>
      <c r="AT780" s="770"/>
      <c r="AU780" s="770"/>
      <c r="AV780" s="770"/>
      <c r="AW780" s="770"/>
      <c r="AX780" s="770"/>
      <c r="AY780" s="770"/>
      <c r="AZ780" s="770"/>
      <c r="BA780" s="770"/>
      <c r="BB780" s="770"/>
      <c r="BC780" s="770"/>
      <c r="BD780" s="770"/>
      <c r="BE780" s="770"/>
      <c r="BF780" s="302"/>
      <c r="BG780" s="302"/>
      <c r="BH780" s="770"/>
      <c r="BI780" s="770"/>
      <c r="BJ780" s="770"/>
      <c r="BK780" s="766" t="s">
        <v>1095</v>
      </c>
      <c r="BL780" s="766" t="s">
        <v>5075</v>
      </c>
      <c r="BM780" s="766" t="s">
        <v>1096</v>
      </c>
      <c r="BN780" s="766" t="s">
        <v>1230</v>
      </c>
      <c r="BO780" s="766" t="s">
        <v>1246</v>
      </c>
      <c r="BP780" s="1109">
        <v>5</v>
      </c>
      <c r="BQ780" s="773">
        <v>5</v>
      </c>
      <c r="BR780" s="774">
        <f>BQ780/BP780</f>
        <v>1</v>
      </c>
      <c r="BS780" s="766" t="s">
        <v>1257</v>
      </c>
      <c r="BT780" s="766" t="s">
        <v>1326</v>
      </c>
      <c r="BU780" s="770"/>
      <c r="BV780" s="770" t="s">
        <v>2432</v>
      </c>
      <c r="BW780" s="770">
        <v>2012</v>
      </c>
      <c r="BX780" s="302"/>
      <c r="BY780" s="770"/>
      <c r="BZ780" s="302"/>
      <c r="CA780" s="770"/>
      <c r="CB780" s="770" t="s">
        <v>1207</v>
      </c>
      <c r="CC780" s="94" t="s">
        <v>5071</v>
      </c>
      <c r="CD780" s="770">
        <v>2017</v>
      </c>
      <c r="CE780" s="302">
        <v>150000</v>
      </c>
      <c r="CF780" s="304">
        <v>1.5</v>
      </c>
      <c r="CG780" s="321">
        <v>10</v>
      </c>
      <c r="CH780" s="770" t="s">
        <v>3377</v>
      </c>
      <c r="CI780" s="770"/>
      <c r="CJ780" s="770" t="s">
        <v>3377</v>
      </c>
      <c r="CK780" s="770">
        <v>7</v>
      </c>
      <c r="CL780" s="770" t="s">
        <v>1249</v>
      </c>
      <c r="CM780" s="770" t="s">
        <v>3378</v>
      </c>
      <c r="CN780" s="770"/>
      <c r="CO780" s="770"/>
      <c r="CP780" s="770"/>
      <c r="CQ780" s="770"/>
      <c r="CR780" s="302"/>
      <c r="CS780" s="770"/>
      <c r="CT780" s="770"/>
      <c r="CU780" s="305"/>
      <c r="CV780" s="770"/>
      <c r="CW780" s="770"/>
      <c r="CX780" s="770"/>
      <c r="CY780" s="770"/>
      <c r="CZ780" s="770"/>
      <c r="DA780" s="306"/>
      <c r="DB780" s="770"/>
      <c r="DC780" s="770"/>
      <c r="DD780" s="770"/>
      <c r="DE780" s="300"/>
      <c r="DF780" s="770"/>
      <c r="DG780" s="770"/>
      <c r="DH780" s="770"/>
      <c r="DI780" s="770"/>
      <c r="DJ780" s="770"/>
      <c r="DK780" s="770"/>
      <c r="DL780" s="770"/>
      <c r="DM780" s="770"/>
      <c r="DN780" s="322"/>
      <c r="DO780" s="770"/>
      <c r="DP780" s="770"/>
      <c r="DQ780" s="770"/>
      <c r="DR780" s="770"/>
      <c r="DS780" s="307"/>
      <c r="DT780" s="770"/>
      <c r="DU780" s="770"/>
      <c r="DV780" s="770"/>
      <c r="DW780" s="306"/>
      <c r="DX780" s="306"/>
      <c r="DY780" s="1055"/>
      <c r="DZ780" s="770"/>
      <c r="EA780" s="770"/>
      <c r="EB780" s="770"/>
      <c r="EC780" s="770"/>
      <c r="ED780" s="770"/>
      <c r="EE780" s="770"/>
      <c r="EF780" s="770"/>
      <c r="EG780" s="770"/>
      <c r="EH780" s="770"/>
      <c r="EI780" s="770"/>
      <c r="EJ780" s="770"/>
      <c r="EK780" s="770"/>
      <c r="EL780" s="770"/>
      <c r="EM780" s="770"/>
      <c r="EN780" s="770"/>
      <c r="EO780" s="770"/>
      <c r="EP780" s="94"/>
      <c r="EQ780" s="770"/>
      <c r="ER780" s="770"/>
      <c r="ES780" s="770"/>
      <c r="ET780" s="770"/>
      <c r="EU780" s="770"/>
      <c r="EV780" s="770"/>
      <c r="EW780" s="770"/>
      <c r="EX780" s="770"/>
      <c r="EY780" s="770"/>
      <c r="EZ780" s="770"/>
      <c r="FA780" s="770"/>
      <c r="FB780" s="770"/>
      <c r="FC780" s="770"/>
      <c r="FD780" s="302"/>
      <c r="FE780" s="770"/>
      <c r="FF780" s="770"/>
      <c r="FG780" s="770"/>
      <c r="FH780" s="770" t="s">
        <v>478</v>
      </c>
      <c r="FI780" s="770">
        <v>1</v>
      </c>
      <c r="FJ780" s="770"/>
      <c r="FK780" s="770"/>
      <c r="FL780" s="770"/>
      <c r="FM780" s="302"/>
      <c r="FN780" s="302"/>
      <c r="FO780" s="302"/>
      <c r="FP780" s="766" t="s">
        <v>1602</v>
      </c>
      <c r="FQ780" s="766" t="s">
        <v>1660</v>
      </c>
      <c r="FR780" s="770" t="s">
        <v>1214</v>
      </c>
      <c r="FS780" s="770"/>
      <c r="FT780" s="770"/>
      <c r="FU780" s="770"/>
      <c r="FV780" s="770"/>
      <c r="FW780" s="770"/>
      <c r="FX780" s="770"/>
      <c r="FY780" s="770"/>
      <c r="FZ780" s="770"/>
      <c r="GA780" s="770"/>
      <c r="GB780" s="770" t="s">
        <v>1734</v>
      </c>
      <c r="GC780" s="308"/>
      <c r="GD780" s="297">
        <v>2017</v>
      </c>
      <c r="GE780" s="770" t="s">
        <v>1214</v>
      </c>
      <c r="GF780" s="302"/>
      <c r="GG780" s="302"/>
      <c r="GH780" s="712" t="s">
        <v>1791</v>
      </c>
      <c r="GI780" s="770" t="s">
        <v>1008</v>
      </c>
      <c r="GJ780" s="770"/>
      <c r="GK780" s="770" t="s">
        <v>3334</v>
      </c>
      <c r="GL780" s="770"/>
      <c r="GM780" s="770"/>
      <c r="GN780" s="299"/>
      <c r="GO780" s="770"/>
      <c r="GP780" s="770"/>
      <c r="GQ780" s="770" t="s">
        <v>1208</v>
      </c>
      <c r="GR780" s="770"/>
      <c r="GS780" s="770"/>
      <c r="GT780" s="770"/>
      <c r="GU780" s="770"/>
      <c r="GV780" s="770"/>
      <c r="GW780" s="770" t="s">
        <v>1207</v>
      </c>
      <c r="GX780" s="770"/>
      <c r="GY780" s="770" t="s">
        <v>1208</v>
      </c>
      <c r="GZ780" s="770"/>
      <c r="HA780" s="770"/>
      <c r="HB780" s="770" t="s">
        <v>1208</v>
      </c>
      <c r="HC780" s="770"/>
      <c r="HD780" s="770"/>
      <c r="HE780" s="770"/>
      <c r="HF780" s="770"/>
      <c r="HG780" s="770"/>
      <c r="HH780" s="770"/>
      <c r="HI780" s="770" t="s">
        <v>1214</v>
      </c>
      <c r="HJ780" s="770"/>
      <c r="HK780" s="770"/>
      <c r="HL780" s="770" t="s">
        <v>1214</v>
      </c>
      <c r="HM780" s="770"/>
      <c r="HN780" s="770"/>
      <c r="HO780" s="770"/>
      <c r="HP780" s="770"/>
      <c r="HQ780" s="770"/>
      <c r="HR780" s="770"/>
      <c r="HS780" s="770"/>
      <c r="HT780" s="770"/>
      <c r="HU780" s="770"/>
      <c r="HV780" s="770"/>
      <c r="HW780" s="770"/>
      <c r="HX780" s="770"/>
      <c r="HY780" s="770"/>
      <c r="HZ780" s="770"/>
      <c r="IA780" s="770"/>
      <c r="IB780" s="14" t="e">
        <f>IF(#REF!&gt;0,IF(#REF!&lt;=10000,"Y",""),"")</f>
        <v>#REF!</v>
      </c>
      <c r="IC780" s="770"/>
      <c r="ID780" s="770"/>
      <c r="IE780" s="770"/>
      <c r="IF780" s="770"/>
      <c r="IG780" s="770"/>
      <c r="IH780" s="770"/>
      <c r="II780" s="770"/>
      <c r="IJ780" s="770"/>
      <c r="IK780" s="770"/>
      <c r="IL780" s="770"/>
      <c r="IM780" s="770"/>
      <c r="IN780" s="770"/>
      <c r="IO780" s="296"/>
      <c r="IP780" s="770"/>
      <c r="IQ780" s="770"/>
      <c r="IR780" s="770"/>
      <c r="IS780" s="770"/>
      <c r="IT780" s="770"/>
      <c r="IU780" s="770"/>
      <c r="IV780" s="770"/>
      <c r="IW780" s="770"/>
      <c r="IX780" s="770"/>
      <c r="IY780" s="770"/>
      <c r="IZ780" s="770"/>
      <c r="JA780" s="770"/>
      <c r="JB780" s="770"/>
      <c r="JC780" s="770"/>
      <c r="JD780" s="302"/>
      <c r="JE780" s="770"/>
      <c r="JF780" s="770"/>
      <c r="JG780" s="770"/>
      <c r="JH780" s="307"/>
      <c r="JI780" s="712" t="str">
        <f>IF(SUM(JT780,JU780)=JJ780,"ok","review")</f>
        <v>ok</v>
      </c>
      <c r="JJ780" s="770">
        <v>3</v>
      </c>
      <c r="JK780" s="1139" t="s">
        <v>5076</v>
      </c>
      <c r="JL780" s="770"/>
      <c r="JM780" s="770">
        <v>1</v>
      </c>
      <c r="JN780" s="770">
        <v>1</v>
      </c>
      <c r="JO780" s="770">
        <v>1</v>
      </c>
      <c r="JP780" s="770"/>
      <c r="JQ780" s="770"/>
      <c r="JR780" s="770"/>
      <c r="JS780" s="770"/>
      <c r="JT780" s="766">
        <f>SUM(JP780,JN780,JL780,JR780)</f>
        <v>1</v>
      </c>
      <c r="JU780" s="766">
        <f>SUM(JQ780,JO780,JM780,JS780)</f>
        <v>2</v>
      </c>
      <c r="JV780" s="712" t="str">
        <f>IF(JT780=KJ780,"ok","male")</f>
        <v>ok</v>
      </c>
      <c r="JW780" s="712" t="str">
        <f>IF(JU780=KK780,"ok","female")</f>
        <v>ok</v>
      </c>
      <c r="JX780" s="770"/>
      <c r="JY780" s="770"/>
      <c r="JZ780" s="770"/>
      <c r="KA780" s="770">
        <v>1</v>
      </c>
      <c r="KB780" s="770"/>
      <c r="KC780" s="770"/>
      <c r="KD780" s="770">
        <v>1</v>
      </c>
      <c r="KE780" s="770">
        <v>1</v>
      </c>
      <c r="KF780" s="770"/>
      <c r="KG780" s="770"/>
      <c r="KH780" s="770"/>
      <c r="KI780" s="770"/>
      <c r="KJ780" s="770">
        <f t="shared" si="225"/>
        <v>1</v>
      </c>
      <c r="KK780" s="770">
        <f t="shared" si="225"/>
        <v>2</v>
      </c>
      <c r="KL780" s="712" t="str">
        <f>IF(KJ780=LN780,"ok","male")</f>
        <v>ok</v>
      </c>
      <c r="KM780" s="712" t="str">
        <f>IF(KK780=LO780,"ok","female")</f>
        <v>ok</v>
      </c>
      <c r="KN780" s="770" t="s">
        <v>722</v>
      </c>
      <c r="KO780" s="770"/>
      <c r="KP780" s="770"/>
      <c r="KQ780" s="770"/>
      <c r="KR780" s="770"/>
      <c r="KS780" s="770"/>
      <c r="KT780" s="770"/>
      <c r="KU780" s="770">
        <v>1</v>
      </c>
      <c r="KV780" s="770"/>
      <c r="KW780" s="770"/>
      <c r="KX780" s="770">
        <v>1</v>
      </c>
      <c r="KY780" s="770"/>
      <c r="KZ780" s="770"/>
      <c r="LA780" s="770">
        <v>1</v>
      </c>
      <c r="LB780" s="770"/>
      <c r="LC780" s="770"/>
      <c r="LD780" s="770"/>
      <c r="LE780" s="770"/>
      <c r="LF780" s="770"/>
      <c r="LG780" s="770"/>
      <c r="LH780" s="770"/>
      <c r="LI780" s="770"/>
      <c r="LJ780" s="770"/>
      <c r="LK780" s="770"/>
      <c r="LL780" s="770"/>
      <c r="LM780" s="770"/>
      <c r="LN780" s="766">
        <f t="shared" si="230"/>
        <v>1</v>
      </c>
      <c r="LO780" s="766">
        <f t="shared" si="230"/>
        <v>2</v>
      </c>
      <c r="LP780" s="770">
        <v>1</v>
      </c>
      <c r="LQ780" s="770"/>
      <c r="LR780" s="770"/>
      <c r="LS780" s="770">
        <v>1</v>
      </c>
      <c r="LT780" s="712" t="str">
        <f>IF(LQ780=SUM(LU780:LW780),"OK","REV")</f>
        <v>OK</v>
      </c>
      <c r="LU780" s="770"/>
      <c r="LV780" s="770"/>
      <c r="LW780" s="770"/>
      <c r="LX780" s="769">
        <v>1</v>
      </c>
      <c r="LY780" s="766" t="str">
        <f t="shared" si="231"/>
        <v>within the BRGY</v>
      </c>
      <c r="LZ780" s="1709"/>
      <c r="MA780" s="1709"/>
      <c r="MB780" s="1709"/>
      <c r="MC780" s="1679">
        <f t="shared" si="229"/>
        <v>0</v>
      </c>
      <c r="MD780" s="1709"/>
      <c r="ME780" s="1709"/>
      <c r="MF780" s="1709">
        <v>2000</v>
      </c>
      <c r="MG780" s="1680">
        <f t="shared" ref="MG780:MG788" si="246">SUM(MD780:MF780)</f>
        <v>2000</v>
      </c>
      <c r="MH780" s="770" t="s">
        <v>2223</v>
      </c>
      <c r="MI780" s="302">
        <v>1500</v>
      </c>
      <c r="MJ780" s="302"/>
      <c r="MK780" s="302"/>
      <c r="ML780" s="302"/>
      <c r="MM780" s="302"/>
      <c r="MN780" s="302"/>
      <c r="MO780" s="302">
        <v>100</v>
      </c>
      <c r="MP780" s="302">
        <v>100</v>
      </c>
      <c r="MQ780" s="302"/>
      <c r="MR780" s="302"/>
      <c r="MS780" s="302"/>
      <c r="MT780" s="302"/>
      <c r="MU780" s="302"/>
      <c r="MV780" s="302"/>
      <c r="MW780" s="302"/>
      <c r="MX780" s="302"/>
      <c r="MY780" s="1682">
        <f t="shared" si="243"/>
        <v>1700</v>
      </c>
      <c r="MZ780" s="770" t="s">
        <v>13395</v>
      </c>
      <c r="NA780" s="770" t="s">
        <v>1249</v>
      </c>
      <c r="NB780" s="770" t="s">
        <v>13151</v>
      </c>
      <c r="NC780" s="770" t="s">
        <v>13602</v>
      </c>
      <c r="ND780" s="770">
        <v>0</v>
      </c>
      <c r="NE780" s="770">
        <v>0</v>
      </c>
      <c r="NF780" s="770">
        <v>0</v>
      </c>
      <c r="NG780" s="770">
        <v>1</v>
      </c>
      <c r="NH780" s="770">
        <v>0</v>
      </c>
      <c r="NI780" s="770">
        <v>0</v>
      </c>
      <c r="NJ780" s="770">
        <v>0</v>
      </c>
      <c r="NK780" s="770">
        <v>0</v>
      </c>
      <c r="NL780" s="770">
        <v>0</v>
      </c>
      <c r="NM780" s="770">
        <v>0</v>
      </c>
      <c r="NN780" s="770">
        <v>0</v>
      </c>
      <c r="NO780" s="770">
        <v>0</v>
      </c>
      <c r="NP780" s="770">
        <v>0</v>
      </c>
      <c r="NQ780" s="770">
        <v>0</v>
      </c>
      <c r="NR780" s="770">
        <v>0</v>
      </c>
      <c r="NS780" s="770">
        <v>0</v>
      </c>
      <c r="NT780" s="770">
        <v>0</v>
      </c>
      <c r="NU780" s="770">
        <v>0</v>
      </c>
      <c r="NV780" s="770">
        <v>0</v>
      </c>
      <c r="NW780" s="770">
        <v>0</v>
      </c>
      <c r="NX780" s="770">
        <v>0</v>
      </c>
      <c r="NY780" s="770" t="s">
        <v>1208</v>
      </c>
      <c r="NZ780" s="770" t="s">
        <v>1208</v>
      </c>
      <c r="OA780" s="770"/>
      <c r="OB780" s="770"/>
      <c r="OC780" s="770" t="s">
        <v>1208</v>
      </c>
      <c r="OD780" s="770"/>
      <c r="OE780" s="770"/>
      <c r="OF780" s="770" t="s">
        <v>13277</v>
      </c>
      <c r="OG780" s="770" t="s">
        <v>1208</v>
      </c>
      <c r="OH780" s="770" t="s">
        <v>13986</v>
      </c>
      <c r="OI780" s="770"/>
      <c r="OJ780" s="770"/>
      <c r="OK780" s="770"/>
      <c r="OL780" s="770"/>
      <c r="OM780" s="770"/>
      <c r="ON780" s="770"/>
      <c r="OO780" s="770"/>
      <c r="OP780" s="770"/>
      <c r="OQ780" s="770"/>
      <c r="OR780" s="770"/>
      <c r="OS780" s="770"/>
      <c r="OT780" s="770"/>
      <c r="OU780" s="770"/>
      <c r="OV780" s="770"/>
      <c r="OW780" s="770"/>
      <c r="OX780" s="770"/>
      <c r="OY780" s="770"/>
      <c r="OZ780" s="770"/>
      <c r="PA780" s="770"/>
      <c r="PB780" s="770"/>
      <c r="PC780" s="770"/>
      <c r="PD780" s="770"/>
      <c r="PE780" s="770"/>
      <c r="PF780" s="770"/>
      <c r="PG780" s="770"/>
      <c r="PH780" s="770"/>
      <c r="PI780" s="770"/>
      <c r="PJ780" s="770"/>
      <c r="PK780" s="770"/>
      <c r="PL780" s="770"/>
      <c r="PM780" s="770"/>
      <c r="PN780" s="770"/>
      <c r="PO780" s="770"/>
      <c r="PP780" s="770"/>
      <c r="PQ780" s="770"/>
      <c r="PR780" s="770"/>
      <c r="PS780" s="770"/>
      <c r="PT780" s="770"/>
      <c r="PU780" s="770"/>
      <c r="PV780" s="770"/>
      <c r="PW780" s="770"/>
      <c r="PX780" s="770"/>
      <c r="PY780" s="770"/>
      <c r="PZ780" s="770"/>
      <c r="QA780" s="770"/>
      <c r="QB780" s="770"/>
      <c r="QC780" s="770"/>
      <c r="QD780" s="770"/>
      <c r="QE780" s="770"/>
      <c r="QF780" s="770"/>
      <c r="QG780" s="770"/>
      <c r="QH780" s="770"/>
      <c r="QI780" s="770"/>
      <c r="QJ780" s="770"/>
      <c r="QK780" s="770"/>
      <c r="QL780" s="770"/>
      <c r="QM780" s="770"/>
      <c r="QN780" s="770"/>
      <c r="QO780" s="770"/>
      <c r="QP780" s="770"/>
      <c r="QQ780" s="770"/>
      <c r="QR780" s="770"/>
      <c r="QS780" s="770"/>
      <c r="QT780" s="770"/>
      <c r="QU780" s="770"/>
      <c r="QV780" s="770"/>
      <c r="QW780" s="770"/>
      <c r="QX780" s="770"/>
      <c r="QY780" s="770"/>
      <c r="QZ780" s="770"/>
      <c r="RA780" s="770"/>
      <c r="RB780" s="770" t="s">
        <v>1207</v>
      </c>
      <c r="RC780" s="770">
        <v>2013</v>
      </c>
      <c r="RD780" s="770" t="s">
        <v>13046</v>
      </c>
      <c r="RE780" s="770" t="s">
        <v>12999</v>
      </c>
      <c r="RF780" s="304">
        <v>0.5</v>
      </c>
      <c r="RG780" s="770" t="s">
        <v>13047</v>
      </c>
      <c r="RH780" s="306">
        <v>0</v>
      </c>
      <c r="RI780" s="770">
        <v>5</v>
      </c>
      <c r="RJ780" s="94" t="s">
        <v>14004</v>
      </c>
      <c r="RK780" s="770" t="s">
        <v>13550</v>
      </c>
      <c r="RL780" s="1710">
        <v>42850</v>
      </c>
      <c r="RM780" s="12"/>
      <c r="RN780" s="1711"/>
      <c r="RO780" s="149" t="s">
        <v>5070</v>
      </c>
      <c r="RP780" s="11"/>
      <c r="RQ780" s="11"/>
      <c r="RR780" s="19" t="s">
        <v>7421</v>
      </c>
      <c r="RS780" s="1139" t="s">
        <v>12980</v>
      </c>
      <c r="RT780" s="11"/>
      <c r="RU780" s="11"/>
      <c r="RV780" s="771" t="s">
        <v>7419</v>
      </c>
      <c r="RW780" s="11" t="s">
        <v>12359</v>
      </c>
      <c r="RX780" s="11" t="s">
        <v>5062</v>
      </c>
      <c r="RY780" s="11"/>
      <c r="RZ780" s="11"/>
      <c r="SA780" s="771"/>
      <c r="SB780" s="11"/>
      <c r="SC780" s="11"/>
    </row>
    <row r="781" spans="1:497" ht="12.75" customHeight="1">
      <c r="A781" s="19" t="s">
        <v>7421</v>
      </c>
      <c r="B781" s="292" t="s">
        <v>8038</v>
      </c>
      <c r="C781" s="149" t="s">
        <v>5077</v>
      </c>
      <c r="D781" s="94" t="s">
        <v>4805</v>
      </c>
      <c r="E781" s="766" t="s">
        <v>5078</v>
      </c>
      <c r="F781" s="770" t="s">
        <v>28</v>
      </c>
      <c r="G781" s="770" t="s">
        <v>10</v>
      </c>
      <c r="H781" s="12"/>
      <c r="I781" s="295" t="s">
        <v>5079</v>
      </c>
      <c r="J781" s="94" t="s">
        <v>4805</v>
      </c>
      <c r="K781" s="766" t="s">
        <v>5085</v>
      </c>
      <c r="L781" s="766" t="s">
        <v>2755</v>
      </c>
      <c r="M781" s="770" t="s">
        <v>1238</v>
      </c>
      <c r="N781" s="1757"/>
      <c r="O781" s="1757" t="s">
        <v>3255</v>
      </c>
      <c r="P781" s="770"/>
      <c r="Q781" s="1088"/>
      <c r="R781" s="297"/>
      <c r="S781" s="770"/>
      <c r="T781" s="770"/>
      <c r="U781" s="295"/>
      <c r="V781" s="770"/>
      <c r="W781" s="770"/>
      <c r="X781" s="770"/>
      <c r="Y781" s="770"/>
      <c r="Z781" s="770"/>
      <c r="AA781" s="12"/>
      <c r="AB781" s="12"/>
      <c r="AC781" s="770"/>
      <c r="AD781" s="770"/>
      <c r="AE781" s="770"/>
      <c r="AF781" s="770"/>
      <c r="AG781" s="766" t="s">
        <v>1132</v>
      </c>
      <c r="AH781" s="766" t="s">
        <v>1096</v>
      </c>
      <c r="AI781" s="770"/>
      <c r="AJ781" s="770" t="s">
        <v>1137</v>
      </c>
      <c r="AK781" s="770" t="s">
        <v>1101</v>
      </c>
      <c r="AL781" s="531">
        <v>150</v>
      </c>
      <c r="AM781" s="780">
        <v>150</v>
      </c>
      <c r="AN781" s="532">
        <f>AM781/AL781</f>
        <v>1</v>
      </c>
      <c r="AO781" s="766" t="s">
        <v>1122</v>
      </c>
      <c r="AP781" s="766"/>
      <c r="AQ781" s="766"/>
      <c r="AR781" s="766"/>
      <c r="AS781" s="770"/>
      <c r="AT781" s="770"/>
      <c r="AU781" s="770"/>
      <c r="AV781" s="770"/>
      <c r="AW781" s="770"/>
      <c r="AX781" s="770"/>
      <c r="AY781" s="770"/>
      <c r="AZ781" s="770"/>
      <c r="BA781" s="770"/>
      <c r="BB781" s="770"/>
      <c r="BC781" s="770"/>
      <c r="BD781" s="770"/>
      <c r="BE781" s="770"/>
      <c r="BF781" s="302"/>
      <c r="BG781" s="302"/>
      <c r="BH781" s="770"/>
      <c r="BI781" s="770"/>
      <c r="BJ781" s="770"/>
      <c r="BK781" s="766"/>
      <c r="BL781" s="766"/>
      <c r="BM781" s="766"/>
      <c r="BN781" s="766"/>
      <c r="BO781" s="770"/>
      <c r="BP781" s="1109"/>
      <c r="BQ781" s="773"/>
      <c r="BR781" s="774"/>
      <c r="BS781" s="766"/>
      <c r="BT781" s="770"/>
      <c r="BU781" s="770"/>
      <c r="BV781" s="770"/>
      <c r="BW781" s="770"/>
      <c r="BX781" s="302"/>
      <c r="BY781" s="770"/>
      <c r="BZ781" s="302"/>
      <c r="CA781" s="770"/>
      <c r="CB781" s="770" t="s">
        <v>1207</v>
      </c>
      <c r="CC781" s="770"/>
      <c r="CD781" s="770"/>
      <c r="CE781" s="302"/>
      <c r="CF781" s="304"/>
      <c r="CG781" s="321"/>
      <c r="CH781" s="770"/>
      <c r="CI781" s="770"/>
      <c r="CJ781" s="770"/>
      <c r="CK781" s="770"/>
      <c r="CL781" s="770"/>
      <c r="CM781" s="770"/>
      <c r="CN781" s="770"/>
      <c r="CO781" s="770"/>
      <c r="CP781" s="770"/>
      <c r="CQ781" s="770"/>
      <c r="CR781" s="302"/>
      <c r="CS781" s="770"/>
      <c r="CT781" s="770"/>
      <c r="CU781" s="305"/>
      <c r="CV781" s="770"/>
      <c r="CW781" s="770"/>
      <c r="CX781" s="770"/>
      <c r="CY781" s="770"/>
      <c r="CZ781" s="770"/>
      <c r="DA781" s="306"/>
      <c r="DB781" s="770"/>
      <c r="DC781" s="770"/>
      <c r="DD781" s="770"/>
      <c r="DE781" s="300"/>
      <c r="DF781" s="770"/>
      <c r="DG781" s="770"/>
      <c r="DH781" s="770"/>
      <c r="DI781" s="770"/>
      <c r="DJ781" s="770"/>
      <c r="DK781" s="770"/>
      <c r="DL781" s="770"/>
      <c r="DM781" s="770"/>
      <c r="DN781" s="322"/>
      <c r="DO781" s="770"/>
      <c r="DP781" s="770"/>
      <c r="DQ781" s="770"/>
      <c r="DR781" s="770"/>
      <c r="DS781" s="307"/>
      <c r="DT781" s="770"/>
      <c r="DU781" s="770"/>
      <c r="DV781" s="770"/>
      <c r="DW781" s="306"/>
      <c r="DX781" s="306"/>
      <c r="DY781" s="1055"/>
      <c r="DZ781" s="770"/>
      <c r="EA781" s="770"/>
      <c r="EB781" s="770"/>
      <c r="EC781" s="770"/>
      <c r="ED781" s="770"/>
      <c r="EE781" s="770"/>
      <c r="EF781" s="770"/>
      <c r="EG781" s="770"/>
      <c r="EH781" s="770"/>
      <c r="EI781" s="770"/>
      <c r="EJ781" s="770"/>
      <c r="EK781" s="770"/>
      <c r="EL781" s="770"/>
      <c r="EM781" s="770"/>
      <c r="EN781" s="770"/>
      <c r="EO781" s="770"/>
      <c r="EP781" s="94"/>
      <c r="EQ781" s="770"/>
      <c r="ER781" s="770"/>
      <c r="ES781" s="770"/>
      <c r="ET781" s="770"/>
      <c r="EU781" s="770"/>
      <c r="EV781" s="770"/>
      <c r="EW781" s="770"/>
      <c r="EX781" s="770"/>
      <c r="EY781" s="770"/>
      <c r="EZ781" s="94" t="s">
        <v>4805</v>
      </c>
      <c r="FA781" s="770" t="s">
        <v>5080</v>
      </c>
      <c r="FB781" s="770" t="s">
        <v>1257</v>
      </c>
      <c r="FC781" s="770">
        <v>2014</v>
      </c>
      <c r="FD781" s="302">
        <v>2500</v>
      </c>
      <c r="FE781" s="770" t="s">
        <v>5081</v>
      </c>
      <c r="FF781" s="770"/>
      <c r="FG781" s="770" t="s">
        <v>5082</v>
      </c>
      <c r="FH781" s="770"/>
      <c r="FI781" s="770"/>
      <c r="FJ781" s="770"/>
      <c r="FK781" s="770"/>
      <c r="FL781" s="770"/>
      <c r="FM781" s="302"/>
      <c r="FN781" s="302"/>
      <c r="FO781" s="302"/>
      <c r="FP781" s="770"/>
      <c r="FQ781" s="770"/>
      <c r="FR781" s="770"/>
      <c r="FS781" s="770"/>
      <c r="FT781" s="770"/>
      <c r="FU781" s="770"/>
      <c r="FV781" s="770"/>
      <c r="FW781" s="770"/>
      <c r="FX781" s="770"/>
      <c r="FY781" s="770"/>
      <c r="FZ781" s="770"/>
      <c r="GA781" s="770"/>
      <c r="GB781" s="770"/>
      <c r="GC781" s="308"/>
      <c r="GD781" s="297"/>
      <c r="GE781" s="770"/>
      <c r="GF781" s="302"/>
      <c r="GG781" s="302"/>
      <c r="GH781" s="770"/>
      <c r="GI781" s="770"/>
      <c r="GJ781" s="770"/>
      <c r="GK781" s="770"/>
      <c r="GL781" s="770"/>
      <c r="GM781" s="770"/>
      <c r="GN781" s="299"/>
      <c r="GO781" s="770"/>
      <c r="GP781" s="770"/>
      <c r="GQ781" s="770"/>
      <c r="GR781" s="770"/>
      <c r="GS781" s="770"/>
      <c r="GT781" s="770"/>
      <c r="GU781" s="770"/>
      <c r="GV781" s="770"/>
      <c r="GW781" s="770"/>
      <c r="GX781" s="770"/>
      <c r="GY781" s="770"/>
      <c r="GZ781" s="770"/>
      <c r="HA781" s="770"/>
      <c r="HB781" s="770"/>
      <c r="HC781" s="770"/>
      <c r="HD781" s="770"/>
      <c r="HE781" s="770"/>
      <c r="HF781" s="770"/>
      <c r="HG781" s="770"/>
      <c r="HH781" s="770"/>
      <c r="HI781" s="770"/>
      <c r="HJ781" s="770"/>
      <c r="HK781" s="770"/>
      <c r="HL781" s="770"/>
      <c r="HM781" s="770"/>
      <c r="HN781" s="770"/>
      <c r="HO781" s="770"/>
      <c r="HP781" s="770"/>
      <c r="HQ781" s="770"/>
      <c r="HR781" s="770"/>
      <c r="HS781" s="770"/>
      <c r="HT781" s="770"/>
      <c r="HU781" s="770"/>
      <c r="HV781" s="770"/>
      <c r="HW781" s="770"/>
      <c r="HX781" s="770"/>
      <c r="HY781" s="770"/>
      <c r="HZ781" s="770"/>
      <c r="IA781" s="770"/>
      <c r="IB781" s="770"/>
      <c r="IC781" s="770"/>
      <c r="ID781" s="770"/>
      <c r="IE781" s="770"/>
      <c r="IF781" s="770"/>
      <c r="IG781" s="770"/>
      <c r="IH781" s="770"/>
      <c r="II781" s="770"/>
      <c r="IJ781" s="770"/>
      <c r="IK781" s="770"/>
      <c r="IL781" s="770"/>
      <c r="IM781" s="770"/>
      <c r="IN781" s="770"/>
      <c r="IO781" s="296"/>
      <c r="IP781" s="770"/>
      <c r="IQ781" s="770"/>
      <c r="IR781" s="770"/>
      <c r="IS781" s="770"/>
      <c r="IT781" s="770"/>
      <c r="IU781" s="770"/>
      <c r="IV781" s="770"/>
      <c r="IW781" s="770"/>
      <c r="IX781" s="770"/>
      <c r="IY781" s="770"/>
      <c r="IZ781" s="770"/>
      <c r="JA781" s="770"/>
      <c r="JB781" s="770"/>
      <c r="JC781" s="770"/>
      <c r="JD781" s="302"/>
      <c r="JE781" s="770"/>
      <c r="JF781" s="770"/>
      <c r="JG781" s="770"/>
      <c r="JH781" s="307"/>
      <c r="JI781" s="307"/>
      <c r="JJ781" s="770"/>
      <c r="JK781" s="770"/>
      <c r="JL781" s="770"/>
      <c r="JM781" s="770"/>
      <c r="JN781" s="770"/>
      <c r="JO781" s="770"/>
      <c r="JP781" s="770"/>
      <c r="JQ781" s="770"/>
      <c r="JR781" s="770"/>
      <c r="JS781" s="770"/>
      <c r="JT781" s="766"/>
      <c r="JU781" s="766"/>
      <c r="JV781" s="766"/>
      <c r="JW781" s="766"/>
      <c r="JX781" s="770"/>
      <c r="JY781" s="770"/>
      <c r="JZ781" s="770"/>
      <c r="KA781" s="770"/>
      <c r="KB781" s="770"/>
      <c r="KC781" s="770"/>
      <c r="KD781" s="770"/>
      <c r="KE781" s="770"/>
      <c r="KF781" s="770"/>
      <c r="KG781" s="770"/>
      <c r="KH781" s="770"/>
      <c r="KI781" s="770"/>
      <c r="KJ781" s="770"/>
      <c r="KK781" s="770"/>
      <c r="KL781" s="770"/>
      <c r="KM781" s="770"/>
      <c r="KN781" s="770"/>
      <c r="KO781" s="770"/>
      <c r="KP781" s="770"/>
      <c r="KQ781" s="770"/>
      <c r="KR781" s="770"/>
      <c r="KS781" s="770"/>
      <c r="KT781" s="770"/>
      <c r="KU781" s="770"/>
      <c r="KV781" s="770"/>
      <c r="KW781" s="770"/>
      <c r="KX781" s="770"/>
      <c r="KY781" s="770"/>
      <c r="KZ781" s="770"/>
      <c r="LA781" s="770"/>
      <c r="LB781" s="770"/>
      <c r="LC781" s="770"/>
      <c r="LD781" s="770"/>
      <c r="LE781" s="770"/>
      <c r="LF781" s="770"/>
      <c r="LG781" s="770"/>
      <c r="LH781" s="770"/>
      <c r="LI781" s="770"/>
      <c r="LJ781" s="770"/>
      <c r="LK781" s="770"/>
      <c r="LL781" s="770"/>
      <c r="LM781" s="770"/>
      <c r="LN781" s="766"/>
      <c r="LO781" s="766"/>
      <c r="LP781" s="770"/>
      <c r="LQ781" s="770"/>
      <c r="LR781" s="770"/>
      <c r="LS781" s="770"/>
      <c r="LT781" s="770"/>
      <c r="LU781" s="770"/>
      <c r="LV781" s="770"/>
      <c r="LW781" s="770"/>
      <c r="LX781" s="769"/>
      <c r="LY781" s="766" t="str">
        <f t="shared" si="231"/>
        <v/>
      </c>
      <c r="LZ781" s="1709"/>
      <c r="MA781" s="1709"/>
      <c r="MB781" s="1709"/>
      <c r="MC781" s="1679">
        <f t="shared" si="229"/>
        <v>0</v>
      </c>
      <c r="MD781" s="1709"/>
      <c r="ME781" s="1709"/>
      <c r="MF781" s="1709"/>
      <c r="MG781" s="1680">
        <f t="shared" si="246"/>
        <v>0</v>
      </c>
      <c r="MH781" s="770"/>
      <c r="MI781" s="302"/>
      <c r="MJ781" s="302"/>
      <c r="MK781" s="302"/>
      <c r="ML781" s="302"/>
      <c r="MM781" s="302"/>
      <c r="MN781" s="302"/>
      <c r="MO781" s="302"/>
      <c r="MP781" s="302"/>
      <c r="MQ781" s="302"/>
      <c r="MR781" s="302"/>
      <c r="MS781" s="302"/>
      <c r="MT781" s="302"/>
      <c r="MU781" s="302"/>
      <c r="MV781" s="302"/>
      <c r="MW781" s="302"/>
      <c r="MX781" s="302"/>
      <c r="MY781" s="1682">
        <f t="shared" si="243"/>
        <v>0</v>
      </c>
      <c r="MZ781" s="770"/>
      <c r="NA781" s="770"/>
      <c r="NB781" s="770"/>
      <c r="NC781" s="770"/>
      <c r="ND781" s="770"/>
      <c r="NE781" s="770"/>
      <c r="NF781" s="770"/>
      <c r="NG781" s="770"/>
      <c r="NH781" s="770"/>
      <c r="NI781" s="770"/>
      <c r="NJ781" s="770"/>
      <c r="NK781" s="770"/>
      <c r="NL781" s="770"/>
      <c r="NM781" s="770"/>
      <c r="NN781" s="770"/>
      <c r="NO781" s="770"/>
      <c r="NP781" s="770"/>
      <c r="NQ781" s="770"/>
      <c r="NR781" s="770"/>
      <c r="NS781" s="770"/>
      <c r="NT781" s="770"/>
      <c r="NU781" s="770"/>
      <c r="NV781" s="770"/>
      <c r="NW781" s="770"/>
      <c r="NX781" s="770"/>
      <c r="NY781" s="770"/>
      <c r="NZ781" s="770"/>
      <c r="OA781" s="770"/>
      <c r="OB781" s="770"/>
      <c r="OC781" s="770"/>
      <c r="OD781" s="770"/>
      <c r="OE781" s="770"/>
      <c r="OF781" s="770"/>
      <c r="OG781" s="770"/>
      <c r="OH781" s="770"/>
      <c r="OI781" s="770"/>
      <c r="OJ781" s="770"/>
      <c r="OK781" s="770"/>
      <c r="OL781" s="770"/>
      <c r="OM781" s="770"/>
      <c r="ON781" s="770"/>
      <c r="OO781" s="770"/>
      <c r="OP781" s="770"/>
      <c r="OQ781" s="770"/>
      <c r="OR781" s="770"/>
      <c r="OS781" s="770"/>
      <c r="OT781" s="770"/>
      <c r="OU781" s="770"/>
      <c r="OV781" s="770"/>
      <c r="OW781" s="770"/>
      <c r="OX781" s="770"/>
      <c r="OY781" s="770"/>
      <c r="OZ781" s="770"/>
      <c r="PA781" s="770"/>
      <c r="PB781" s="770"/>
      <c r="PC781" s="770"/>
      <c r="PD781" s="770"/>
      <c r="PE781" s="770"/>
      <c r="PF781" s="770"/>
      <c r="PG781" s="770"/>
      <c r="PH781" s="770"/>
      <c r="PI781" s="770"/>
      <c r="PJ781" s="770"/>
      <c r="PK781" s="770"/>
      <c r="PL781" s="770"/>
      <c r="PM781" s="770"/>
      <c r="PN781" s="770"/>
      <c r="PO781" s="770"/>
      <c r="PP781" s="770"/>
      <c r="PQ781" s="770"/>
      <c r="PR781" s="770"/>
      <c r="PS781" s="770"/>
      <c r="PT781" s="770"/>
      <c r="PU781" s="770"/>
      <c r="PV781" s="770"/>
      <c r="PW781" s="770"/>
      <c r="PX781" s="770"/>
      <c r="PY781" s="770"/>
      <c r="PZ781" s="770"/>
      <c r="QA781" s="770"/>
      <c r="QB781" s="770"/>
      <c r="QC781" s="770"/>
      <c r="QD781" s="770"/>
      <c r="QE781" s="770"/>
      <c r="QF781" s="770"/>
      <c r="QG781" s="770"/>
      <c r="QH781" s="770"/>
      <c r="QI781" s="770"/>
      <c r="QJ781" s="770"/>
      <c r="QK781" s="770"/>
      <c r="QL781" s="770"/>
      <c r="QM781" s="770"/>
      <c r="QN781" s="770"/>
      <c r="QO781" s="770"/>
      <c r="QP781" s="770"/>
      <c r="QQ781" s="770"/>
      <c r="QR781" s="770"/>
      <c r="QS781" s="770"/>
      <c r="QT781" s="770"/>
      <c r="QU781" s="770"/>
      <c r="QV781" s="770"/>
      <c r="QW781" s="770"/>
      <c r="QX781" s="770"/>
      <c r="QY781" s="770"/>
      <c r="QZ781" s="770"/>
      <c r="RA781" s="770"/>
      <c r="RB781" s="770"/>
      <c r="RC781" s="770"/>
      <c r="RD781" s="770"/>
      <c r="RE781" s="770"/>
      <c r="RF781" s="304"/>
      <c r="RG781" s="770"/>
      <c r="RH781" s="306"/>
      <c r="RI781" s="770"/>
      <c r="RJ781" s="94" t="s">
        <v>13994</v>
      </c>
      <c r="RK781" s="770" t="s">
        <v>13898</v>
      </c>
      <c r="RL781" s="1710">
        <v>42850</v>
      </c>
      <c r="RM781" s="12"/>
      <c r="RN781" s="1711"/>
      <c r="RO781" s="149" t="s">
        <v>5077</v>
      </c>
      <c r="RP781" s="11"/>
      <c r="RQ781" s="11"/>
      <c r="RR781" s="17"/>
      <c r="RS781" s="767"/>
      <c r="RT781" s="11"/>
      <c r="RU781" s="11"/>
      <c r="RV781" s="771" t="s">
        <v>7421</v>
      </c>
      <c r="RW781" s="11" t="s">
        <v>8069</v>
      </c>
      <c r="RX781" s="11" t="s">
        <v>5069</v>
      </c>
      <c r="RY781" s="11"/>
      <c r="RZ781" s="11" t="s">
        <v>1101</v>
      </c>
      <c r="SA781" s="771"/>
      <c r="SB781" s="11"/>
      <c r="SC781" s="11"/>
    </row>
    <row r="782" spans="1:497" ht="12.75" customHeight="1">
      <c r="A782" s="19" t="s">
        <v>7421</v>
      </c>
      <c r="B782" s="292" t="s">
        <v>8036</v>
      </c>
      <c r="C782" s="149" t="s">
        <v>5083</v>
      </c>
      <c r="D782" s="94" t="s">
        <v>5084</v>
      </c>
      <c r="E782" s="766" t="s">
        <v>4806</v>
      </c>
      <c r="F782" s="770" t="s">
        <v>28</v>
      </c>
      <c r="G782" s="770" t="s">
        <v>10</v>
      </c>
      <c r="H782" s="12"/>
      <c r="I782" s="295"/>
      <c r="J782" s="94" t="s">
        <v>5084</v>
      </c>
      <c r="K782" s="766" t="s">
        <v>5086</v>
      </c>
      <c r="L782" s="766" t="s">
        <v>2721</v>
      </c>
      <c r="M782" s="770" t="s">
        <v>1238</v>
      </c>
      <c r="N782" s="1757"/>
      <c r="O782" s="1757" t="s">
        <v>4830</v>
      </c>
      <c r="P782" s="770"/>
      <c r="Q782" s="1088"/>
      <c r="R782" s="297"/>
      <c r="S782" s="770"/>
      <c r="T782" s="770"/>
      <c r="U782" s="295"/>
      <c r="V782" s="770"/>
      <c r="W782" s="770"/>
      <c r="X782" s="770"/>
      <c r="Y782" s="770"/>
      <c r="Z782" s="770"/>
      <c r="AA782" s="12"/>
      <c r="AB782" s="12"/>
      <c r="AC782" s="770"/>
      <c r="AD782" s="770"/>
      <c r="AE782" s="770"/>
      <c r="AF782" s="770"/>
      <c r="AG782" s="766" t="s">
        <v>1132</v>
      </c>
      <c r="AH782" s="766" t="s">
        <v>1096</v>
      </c>
      <c r="AI782" s="770"/>
      <c r="AJ782" s="770" t="s">
        <v>1137</v>
      </c>
      <c r="AK782" s="770" t="s">
        <v>1101</v>
      </c>
      <c r="AL782" s="531">
        <v>42</v>
      </c>
      <c r="AM782" s="780">
        <v>42</v>
      </c>
      <c r="AN782" s="532">
        <f>AM782/AL782</f>
        <v>1</v>
      </c>
      <c r="AO782" s="766" t="s">
        <v>1122</v>
      </c>
      <c r="AP782" s="766"/>
      <c r="AQ782" s="766"/>
      <c r="AR782" s="766"/>
      <c r="AS782" s="770"/>
      <c r="AT782" s="770"/>
      <c r="AU782" s="770"/>
      <c r="AV782" s="770"/>
      <c r="AW782" s="770"/>
      <c r="AX782" s="770"/>
      <c r="AY782" s="770"/>
      <c r="AZ782" s="770"/>
      <c r="BA782" s="770"/>
      <c r="BB782" s="770"/>
      <c r="BC782" s="770"/>
      <c r="BD782" s="770"/>
      <c r="BE782" s="770"/>
      <c r="BF782" s="302"/>
      <c r="BG782" s="302"/>
      <c r="BH782" s="770"/>
      <c r="BI782" s="770"/>
      <c r="BJ782" s="770"/>
      <c r="BK782" s="766"/>
      <c r="BL782" s="766"/>
      <c r="BM782" s="766"/>
      <c r="BN782" s="766"/>
      <c r="BO782" s="770"/>
      <c r="BP782" s="1109"/>
      <c r="BQ782" s="773"/>
      <c r="BR782" s="774"/>
      <c r="BS782" s="766"/>
      <c r="BT782" s="770"/>
      <c r="BU782" s="770"/>
      <c r="BV782" s="770"/>
      <c r="BW782" s="770"/>
      <c r="BX782" s="302"/>
      <c r="BY782" s="770"/>
      <c r="BZ782" s="302"/>
      <c r="CA782" s="770"/>
      <c r="CB782" s="770" t="s">
        <v>1207</v>
      </c>
      <c r="CC782" s="770" t="s">
        <v>5087</v>
      </c>
      <c r="CD782" s="770">
        <v>2015</v>
      </c>
      <c r="CE782" s="302"/>
      <c r="CF782" s="304">
        <v>1</v>
      </c>
      <c r="CG782" s="321">
        <v>21</v>
      </c>
      <c r="CH782" s="770"/>
      <c r="CI782" s="770"/>
      <c r="CJ782" s="770" t="s">
        <v>5088</v>
      </c>
      <c r="CK782" s="770">
        <v>6</v>
      </c>
      <c r="CL782" s="770" t="s">
        <v>1249</v>
      </c>
      <c r="CM782" s="770" t="s">
        <v>3399</v>
      </c>
      <c r="CN782" s="770"/>
      <c r="CO782" s="770" t="s">
        <v>1257</v>
      </c>
      <c r="CP782" s="770"/>
      <c r="CQ782" s="770"/>
      <c r="CR782" s="302"/>
      <c r="CS782" s="770"/>
      <c r="CT782" s="770"/>
      <c r="CU782" s="305"/>
      <c r="CV782" s="770"/>
      <c r="CW782" s="770"/>
      <c r="CX782" s="770"/>
      <c r="CY782" s="770"/>
      <c r="CZ782" s="770"/>
      <c r="DA782" s="306"/>
      <c r="DB782" s="770"/>
      <c r="DC782" s="770"/>
      <c r="DD782" s="770"/>
      <c r="DE782" s="300"/>
      <c r="DF782" s="770"/>
      <c r="DG782" s="770"/>
      <c r="DH782" s="770"/>
      <c r="DI782" s="770"/>
      <c r="DJ782" s="770"/>
      <c r="DK782" s="770"/>
      <c r="DL782" s="770"/>
      <c r="DM782" s="770"/>
      <c r="DN782" s="322"/>
      <c r="DO782" s="770"/>
      <c r="DP782" s="770"/>
      <c r="DQ782" s="770"/>
      <c r="DR782" s="770"/>
      <c r="DS782" s="307"/>
      <c r="DT782" s="770"/>
      <c r="DU782" s="770"/>
      <c r="DV782" s="770"/>
      <c r="DW782" s="306"/>
      <c r="DX782" s="306"/>
      <c r="DY782" s="1055"/>
      <c r="DZ782" s="770"/>
      <c r="EA782" s="770"/>
      <c r="EB782" s="770"/>
      <c r="EC782" s="770"/>
      <c r="ED782" s="770"/>
      <c r="EE782" s="770"/>
      <c r="EF782" s="770"/>
      <c r="EG782" s="770"/>
      <c r="EH782" s="770"/>
      <c r="EI782" s="770"/>
      <c r="EJ782" s="770"/>
      <c r="EK782" s="770"/>
      <c r="EL782" s="770"/>
      <c r="EM782" s="770"/>
      <c r="EN782" s="770"/>
      <c r="EO782" s="770"/>
      <c r="EP782" s="94"/>
      <c r="EQ782" s="770"/>
      <c r="ER782" s="770"/>
      <c r="ES782" s="770"/>
      <c r="ET782" s="770"/>
      <c r="EU782" s="770"/>
      <c r="EV782" s="770"/>
      <c r="EW782" s="770"/>
      <c r="EX782" s="770"/>
      <c r="EY782" s="770"/>
      <c r="EZ782" s="770"/>
      <c r="FA782" s="770"/>
      <c r="FB782" s="770"/>
      <c r="FC782" s="770"/>
      <c r="FD782" s="302"/>
      <c r="FE782" s="770"/>
      <c r="FF782" s="770"/>
      <c r="FG782" s="770"/>
      <c r="FH782" s="770"/>
      <c r="FI782" s="770"/>
      <c r="FJ782" s="770"/>
      <c r="FK782" s="770"/>
      <c r="FL782" s="770"/>
      <c r="FM782" s="302"/>
      <c r="FN782" s="302"/>
      <c r="FO782" s="302"/>
      <c r="FP782" s="770"/>
      <c r="FQ782" s="770"/>
      <c r="FR782" s="770"/>
      <c r="FS782" s="770"/>
      <c r="FT782" s="770"/>
      <c r="FU782" s="770"/>
      <c r="FV782" s="770"/>
      <c r="FW782" s="770"/>
      <c r="FX782" s="770"/>
      <c r="FY782" s="770"/>
      <c r="FZ782" s="770"/>
      <c r="GA782" s="770"/>
      <c r="GB782" s="770"/>
      <c r="GC782" s="308"/>
      <c r="GD782" s="297"/>
      <c r="GE782" s="770"/>
      <c r="GF782" s="302"/>
      <c r="GG782" s="302"/>
      <c r="GH782" s="770"/>
      <c r="GI782" s="770"/>
      <c r="GJ782" s="770"/>
      <c r="GK782" s="770"/>
      <c r="GL782" s="770"/>
      <c r="GM782" s="770"/>
      <c r="GN782" s="299"/>
      <c r="GO782" s="770"/>
      <c r="GP782" s="770"/>
      <c r="GQ782" s="770"/>
      <c r="GR782" s="770"/>
      <c r="GS782" s="770"/>
      <c r="GT782" s="770"/>
      <c r="GU782" s="770"/>
      <c r="GV782" s="770"/>
      <c r="GW782" s="770"/>
      <c r="GX782" s="770"/>
      <c r="GY782" s="770"/>
      <c r="GZ782" s="770"/>
      <c r="HA782" s="770"/>
      <c r="HB782" s="770"/>
      <c r="HC782" s="770"/>
      <c r="HD782" s="770"/>
      <c r="HE782" s="770"/>
      <c r="HF782" s="770"/>
      <c r="HG782" s="770"/>
      <c r="HH782" s="770"/>
      <c r="HI782" s="770"/>
      <c r="HJ782" s="770"/>
      <c r="HK782" s="770"/>
      <c r="HL782" s="770"/>
      <c r="HM782" s="770"/>
      <c r="HN782" s="770"/>
      <c r="HO782" s="770"/>
      <c r="HP782" s="770"/>
      <c r="HQ782" s="770"/>
      <c r="HR782" s="770"/>
      <c r="HS782" s="770"/>
      <c r="HT782" s="770"/>
      <c r="HU782" s="770"/>
      <c r="HV782" s="770"/>
      <c r="HW782" s="770"/>
      <c r="HX782" s="770"/>
      <c r="HY782" s="770"/>
      <c r="HZ782" s="770"/>
      <c r="IA782" s="770"/>
      <c r="IB782" s="770"/>
      <c r="IC782" s="770"/>
      <c r="ID782" s="770"/>
      <c r="IE782" s="770"/>
      <c r="IF782" s="770"/>
      <c r="IG782" s="770"/>
      <c r="IH782" s="770"/>
      <c r="II782" s="770"/>
      <c r="IJ782" s="770"/>
      <c r="IK782" s="770"/>
      <c r="IL782" s="770"/>
      <c r="IM782" s="770"/>
      <c r="IN782" s="770"/>
      <c r="IO782" s="296"/>
      <c r="IP782" s="770"/>
      <c r="IQ782" s="770"/>
      <c r="IR782" s="770"/>
      <c r="IS782" s="770"/>
      <c r="IT782" s="770"/>
      <c r="IU782" s="770"/>
      <c r="IV782" s="770"/>
      <c r="IW782" s="770"/>
      <c r="IX782" s="770"/>
      <c r="IY782" s="770"/>
      <c r="IZ782" s="770"/>
      <c r="JA782" s="770"/>
      <c r="JB782" s="770"/>
      <c r="JC782" s="770"/>
      <c r="JD782" s="302"/>
      <c r="JE782" s="770"/>
      <c r="JF782" s="770"/>
      <c r="JG782" s="770"/>
      <c r="JH782" s="307"/>
      <c r="JI782" s="307"/>
      <c r="JJ782" s="770"/>
      <c r="JK782" s="770"/>
      <c r="JL782" s="770"/>
      <c r="JM782" s="770"/>
      <c r="JN782" s="770"/>
      <c r="JO782" s="770"/>
      <c r="JP782" s="770"/>
      <c r="JQ782" s="770"/>
      <c r="JR782" s="770"/>
      <c r="JS782" s="770"/>
      <c r="JT782" s="766"/>
      <c r="JU782" s="766"/>
      <c r="JV782" s="766"/>
      <c r="JW782" s="766"/>
      <c r="JX782" s="770"/>
      <c r="JY782" s="770"/>
      <c r="JZ782" s="770"/>
      <c r="KA782" s="770"/>
      <c r="KB782" s="770"/>
      <c r="KC782" s="770"/>
      <c r="KD782" s="770"/>
      <c r="KE782" s="770"/>
      <c r="KF782" s="770"/>
      <c r="KG782" s="770"/>
      <c r="KH782" s="770"/>
      <c r="KI782" s="770"/>
      <c r="KJ782" s="770"/>
      <c r="KK782" s="770"/>
      <c r="KL782" s="770"/>
      <c r="KM782" s="770"/>
      <c r="KN782" s="770"/>
      <c r="KO782" s="770"/>
      <c r="KP782" s="770"/>
      <c r="KQ782" s="770"/>
      <c r="KR782" s="770"/>
      <c r="KS782" s="770"/>
      <c r="KT782" s="770"/>
      <c r="KU782" s="770"/>
      <c r="KV782" s="770"/>
      <c r="KW782" s="770"/>
      <c r="KX782" s="770"/>
      <c r="KY782" s="770"/>
      <c r="KZ782" s="770"/>
      <c r="LA782" s="770"/>
      <c r="LB782" s="770"/>
      <c r="LC782" s="770"/>
      <c r="LD782" s="770"/>
      <c r="LE782" s="770"/>
      <c r="LF782" s="770"/>
      <c r="LG782" s="770"/>
      <c r="LH782" s="770"/>
      <c r="LI782" s="770"/>
      <c r="LJ782" s="770"/>
      <c r="LK782" s="770"/>
      <c r="LL782" s="770"/>
      <c r="LM782" s="770"/>
      <c r="LN782" s="766"/>
      <c r="LO782" s="766"/>
      <c r="LP782" s="770"/>
      <c r="LQ782" s="770"/>
      <c r="LR782" s="770"/>
      <c r="LS782" s="770"/>
      <c r="LT782" s="770"/>
      <c r="LU782" s="770"/>
      <c r="LV782" s="770"/>
      <c r="LW782" s="770"/>
      <c r="LX782" s="769"/>
      <c r="LY782" s="766" t="str">
        <f t="shared" si="231"/>
        <v/>
      </c>
      <c r="LZ782" s="1709"/>
      <c r="MA782" s="1709"/>
      <c r="MB782" s="1709"/>
      <c r="MC782" s="1679">
        <f t="shared" si="229"/>
        <v>0</v>
      </c>
      <c r="MD782" s="1709"/>
      <c r="ME782" s="1709"/>
      <c r="MF782" s="1709"/>
      <c r="MG782" s="1680">
        <f t="shared" si="246"/>
        <v>0</v>
      </c>
      <c r="MH782" s="770"/>
      <c r="MI782" s="302"/>
      <c r="MJ782" s="302"/>
      <c r="MK782" s="302"/>
      <c r="ML782" s="302"/>
      <c r="MM782" s="302"/>
      <c r="MN782" s="302"/>
      <c r="MO782" s="302"/>
      <c r="MP782" s="302"/>
      <c r="MQ782" s="302"/>
      <c r="MR782" s="302"/>
      <c r="MS782" s="302"/>
      <c r="MT782" s="302"/>
      <c r="MU782" s="302"/>
      <c r="MV782" s="302"/>
      <c r="MW782" s="302"/>
      <c r="MX782" s="302"/>
      <c r="MY782" s="1682">
        <f t="shared" si="243"/>
        <v>0</v>
      </c>
      <c r="MZ782" s="770"/>
      <c r="NA782" s="770"/>
      <c r="NB782" s="770"/>
      <c r="NC782" s="770"/>
      <c r="ND782" s="770"/>
      <c r="NE782" s="770"/>
      <c r="NF782" s="770"/>
      <c r="NG782" s="770"/>
      <c r="NH782" s="770"/>
      <c r="NI782" s="770"/>
      <c r="NJ782" s="770"/>
      <c r="NK782" s="770"/>
      <c r="NL782" s="770"/>
      <c r="NM782" s="770"/>
      <c r="NN782" s="770"/>
      <c r="NO782" s="770"/>
      <c r="NP782" s="770"/>
      <c r="NQ782" s="770"/>
      <c r="NR782" s="770"/>
      <c r="NS782" s="770"/>
      <c r="NT782" s="770"/>
      <c r="NU782" s="770"/>
      <c r="NV782" s="770"/>
      <c r="NW782" s="770"/>
      <c r="NX782" s="770"/>
      <c r="NY782" s="770"/>
      <c r="NZ782" s="770"/>
      <c r="OA782" s="770"/>
      <c r="OB782" s="770"/>
      <c r="OC782" s="770"/>
      <c r="OD782" s="770"/>
      <c r="OE782" s="770"/>
      <c r="OF782" s="770"/>
      <c r="OG782" s="770"/>
      <c r="OH782" s="770"/>
      <c r="OI782" s="770"/>
      <c r="OJ782" s="770"/>
      <c r="OK782" s="770"/>
      <c r="OL782" s="770"/>
      <c r="OM782" s="770"/>
      <c r="ON782" s="770"/>
      <c r="OO782" s="770"/>
      <c r="OP782" s="770"/>
      <c r="OQ782" s="770"/>
      <c r="OR782" s="770"/>
      <c r="OS782" s="770"/>
      <c r="OT782" s="770"/>
      <c r="OU782" s="770"/>
      <c r="OV782" s="770"/>
      <c r="OW782" s="770"/>
      <c r="OX782" s="770"/>
      <c r="OY782" s="770"/>
      <c r="OZ782" s="770"/>
      <c r="PA782" s="770"/>
      <c r="PB782" s="770"/>
      <c r="PC782" s="770"/>
      <c r="PD782" s="770"/>
      <c r="PE782" s="770"/>
      <c r="PF782" s="770"/>
      <c r="PG782" s="770"/>
      <c r="PH782" s="770"/>
      <c r="PI782" s="770"/>
      <c r="PJ782" s="770"/>
      <c r="PK782" s="770"/>
      <c r="PL782" s="770"/>
      <c r="PM782" s="770"/>
      <c r="PN782" s="770"/>
      <c r="PO782" s="770"/>
      <c r="PP782" s="770"/>
      <c r="PQ782" s="770"/>
      <c r="PR782" s="770"/>
      <c r="PS782" s="770"/>
      <c r="PT782" s="770"/>
      <c r="PU782" s="770"/>
      <c r="PV782" s="770"/>
      <c r="PW782" s="770"/>
      <c r="PX782" s="770"/>
      <c r="PY782" s="770"/>
      <c r="PZ782" s="770"/>
      <c r="QA782" s="770"/>
      <c r="QB782" s="770"/>
      <c r="QC782" s="770"/>
      <c r="QD782" s="770"/>
      <c r="QE782" s="770"/>
      <c r="QF782" s="770"/>
      <c r="QG782" s="770"/>
      <c r="QH782" s="770"/>
      <c r="QI782" s="770"/>
      <c r="QJ782" s="770"/>
      <c r="QK782" s="770"/>
      <c r="QL782" s="770"/>
      <c r="QM782" s="770"/>
      <c r="QN782" s="770"/>
      <c r="QO782" s="770"/>
      <c r="QP782" s="770"/>
      <c r="QQ782" s="770"/>
      <c r="QR782" s="770"/>
      <c r="QS782" s="770"/>
      <c r="QT782" s="770"/>
      <c r="QU782" s="770"/>
      <c r="QV782" s="770"/>
      <c r="QW782" s="770"/>
      <c r="QX782" s="770"/>
      <c r="QY782" s="770"/>
      <c r="QZ782" s="770"/>
      <c r="RA782" s="770"/>
      <c r="RB782" s="770"/>
      <c r="RC782" s="770"/>
      <c r="RD782" s="770"/>
      <c r="RE782" s="770"/>
      <c r="RF782" s="304"/>
      <c r="RG782" s="770"/>
      <c r="RH782" s="306"/>
      <c r="RI782" s="770"/>
      <c r="RJ782" s="94" t="s">
        <v>14005</v>
      </c>
      <c r="RK782" s="770" t="s">
        <v>13898</v>
      </c>
      <c r="RL782" s="1710">
        <v>42850</v>
      </c>
      <c r="RM782" s="12"/>
      <c r="RN782" s="1711"/>
      <c r="RO782" s="149" t="s">
        <v>5083</v>
      </c>
      <c r="RP782" s="11"/>
      <c r="RQ782" s="11"/>
      <c r="RR782" s="17"/>
      <c r="RS782" s="767"/>
      <c r="RT782" s="11"/>
      <c r="RU782" s="11"/>
      <c r="RV782" s="771" t="s">
        <v>7421</v>
      </c>
      <c r="RW782" s="11" t="s">
        <v>7464</v>
      </c>
      <c r="RX782" s="11" t="s">
        <v>5070</v>
      </c>
      <c r="RY782" s="11"/>
      <c r="RZ782" s="11" t="s">
        <v>1101</v>
      </c>
      <c r="SA782" s="771"/>
      <c r="SB782" s="11"/>
      <c r="SC782" s="11"/>
    </row>
    <row r="783" spans="1:497" ht="12.75" customHeight="1">
      <c r="A783" s="19" t="s">
        <v>7421</v>
      </c>
      <c r="B783" s="292" t="s">
        <v>8037</v>
      </c>
      <c r="C783" s="149" t="s">
        <v>5089</v>
      </c>
      <c r="D783" s="94" t="s">
        <v>5090</v>
      </c>
      <c r="E783" s="766" t="s">
        <v>5025</v>
      </c>
      <c r="F783" s="770" t="s">
        <v>28</v>
      </c>
      <c r="G783" s="770" t="s">
        <v>10</v>
      </c>
      <c r="H783" s="12"/>
      <c r="I783" s="5" t="s">
        <v>5784</v>
      </c>
      <c r="J783" s="94" t="s">
        <v>5090</v>
      </c>
      <c r="K783" s="766" t="s">
        <v>5086</v>
      </c>
      <c r="L783" s="766" t="s">
        <v>2721</v>
      </c>
      <c r="M783" s="770" t="s">
        <v>1238</v>
      </c>
      <c r="N783" s="1757"/>
      <c r="O783" s="1757" t="s">
        <v>4830</v>
      </c>
      <c r="P783" s="770"/>
      <c r="Q783" s="1088"/>
      <c r="R783" s="297"/>
      <c r="S783" s="770"/>
      <c r="T783" s="770"/>
      <c r="U783" s="295"/>
      <c r="V783" s="770"/>
      <c r="W783" s="770"/>
      <c r="X783" s="770"/>
      <c r="Y783" s="770"/>
      <c r="Z783" s="770"/>
      <c r="AA783" s="12"/>
      <c r="AB783" s="12"/>
      <c r="AC783" s="770"/>
      <c r="AD783" s="770"/>
      <c r="AE783" s="770"/>
      <c r="AF783" s="770"/>
      <c r="AG783" s="766" t="s">
        <v>1132</v>
      </c>
      <c r="AH783" s="766" t="s">
        <v>1096</v>
      </c>
      <c r="AI783" s="770"/>
      <c r="AJ783" s="770" t="s">
        <v>1137</v>
      </c>
      <c r="AK783" s="770" t="s">
        <v>1101</v>
      </c>
      <c r="AL783" s="531">
        <v>42</v>
      </c>
      <c r="AM783" s="780">
        <v>42</v>
      </c>
      <c r="AN783" s="532">
        <f>AM783/AL783</f>
        <v>1</v>
      </c>
      <c r="AO783" s="766" t="s">
        <v>1122</v>
      </c>
      <c r="AP783" s="766"/>
      <c r="AQ783" s="766"/>
      <c r="AR783" s="766"/>
      <c r="AS783" s="770"/>
      <c r="AT783" s="770"/>
      <c r="AU783" s="770"/>
      <c r="AV783" s="770"/>
      <c r="AW783" s="770"/>
      <c r="AX783" s="770"/>
      <c r="AY783" s="770"/>
      <c r="AZ783" s="770"/>
      <c r="BA783" s="770"/>
      <c r="BB783" s="770"/>
      <c r="BC783" s="770"/>
      <c r="BD783" s="770"/>
      <c r="BE783" s="770"/>
      <c r="BF783" s="302"/>
      <c r="BG783" s="302"/>
      <c r="BH783" s="770"/>
      <c r="BI783" s="770"/>
      <c r="BJ783" s="770"/>
      <c r="BK783" s="766"/>
      <c r="BL783" s="766"/>
      <c r="BM783" s="766"/>
      <c r="BN783" s="766"/>
      <c r="BO783" s="770"/>
      <c r="BP783" s="1109"/>
      <c r="BQ783" s="773"/>
      <c r="BR783" s="774"/>
      <c r="BS783" s="766"/>
      <c r="BT783" s="770"/>
      <c r="BU783" s="770"/>
      <c r="BV783" s="770"/>
      <c r="BW783" s="770"/>
      <c r="BX783" s="302"/>
      <c r="BY783" s="770"/>
      <c r="BZ783" s="302"/>
      <c r="CA783" s="770"/>
      <c r="CB783" s="770" t="s">
        <v>1207</v>
      </c>
      <c r="CC783" s="94" t="s">
        <v>5090</v>
      </c>
      <c r="CD783" s="770">
        <v>2008</v>
      </c>
      <c r="CE783" s="302">
        <v>2500</v>
      </c>
      <c r="CF783" s="304">
        <v>1.2</v>
      </c>
      <c r="CG783" s="321">
        <v>21</v>
      </c>
      <c r="CH783" s="770" t="s">
        <v>3377</v>
      </c>
      <c r="CI783" s="770"/>
      <c r="CJ783" s="770" t="s">
        <v>3377</v>
      </c>
      <c r="CK783" s="770"/>
      <c r="CL783" s="770"/>
      <c r="CM783" s="770"/>
      <c r="CN783" s="770"/>
      <c r="CO783" s="770" t="s">
        <v>1257</v>
      </c>
      <c r="CP783" s="770"/>
      <c r="CQ783" s="770"/>
      <c r="CR783" s="302"/>
      <c r="CS783" s="770"/>
      <c r="CT783" s="770"/>
      <c r="CU783" s="305"/>
      <c r="CV783" s="770"/>
      <c r="CW783" s="770"/>
      <c r="CX783" s="770"/>
      <c r="CY783" s="770"/>
      <c r="CZ783" s="770"/>
      <c r="DA783" s="306"/>
      <c r="DB783" s="770"/>
      <c r="DC783" s="770"/>
      <c r="DD783" s="770"/>
      <c r="DE783" s="300"/>
      <c r="DF783" s="770"/>
      <c r="DG783" s="770"/>
      <c r="DH783" s="770"/>
      <c r="DI783" s="770"/>
      <c r="DJ783" s="770"/>
      <c r="DK783" s="770"/>
      <c r="DL783" s="770"/>
      <c r="DM783" s="770"/>
      <c r="DN783" s="322"/>
      <c r="DO783" s="770"/>
      <c r="DP783" s="770"/>
      <c r="DQ783" s="770"/>
      <c r="DR783" s="770"/>
      <c r="DS783" s="307"/>
      <c r="DT783" s="770"/>
      <c r="DU783" s="770"/>
      <c r="DV783" s="770"/>
      <c r="DW783" s="306"/>
      <c r="DX783" s="306"/>
      <c r="DY783" s="1055"/>
      <c r="DZ783" s="770"/>
      <c r="EA783" s="770"/>
      <c r="EB783" s="770"/>
      <c r="EC783" s="770"/>
      <c r="ED783" s="770"/>
      <c r="EE783" s="770"/>
      <c r="EF783" s="770"/>
      <c r="EG783" s="770"/>
      <c r="EH783" s="770"/>
      <c r="EI783" s="770"/>
      <c r="EJ783" s="770"/>
      <c r="EK783" s="770"/>
      <c r="EL783" s="770"/>
      <c r="EM783" s="770"/>
      <c r="EN783" s="770"/>
      <c r="EO783" s="770"/>
      <c r="EP783" s="94"/>
      <c r="EQ783" s="770"/>
      <c r="ER783" s="770"/>
      <c r="ES783" s="770"/>
      <c r="ET783" s="770"/>
      <c r="EU783" s="770"/>
      <c r="EV783" s="770"/>
      <c r="EW783" s="770"/>
      <c r="EX783" s="770"/>
      <c r="EY783" s="770"/>
      <c r="EZ783" s="770"/>
      <c r="FA783" s="770"/>
      <c r="FB783" s="770"/>
      <c r="FC783" s="770"/>
      <c r="FD783" s="302"/>
      <c r="FE783" s="770"/>
      <c r="FF783" s="770"/>
      <c r="FG783" s="770"/>
      <c r="FH783" s="770"/>
      <c r="FI783" s="770"/>
      <c r="FJ783" s="770"/>
      <c r="FK783" s="770"/>
      <c r="FL783" s="770"/>
      <c r="FM783" s="302"/>
      <c r="FN783" s="302"/>
      <c r="FO783" s="302"/>
      <c r="FP783" s="770"/>
      <c r="FQ783" s="770"/>
      <c r="FR783" s="770"/>
      <c r="FS783" s="770"/>
      <c r="FT783" s="770"/>
      <c r="FU783" s="770"/>
      <c r="FV783" s="770"/>
      <c r="FW783" s="770"/>
      <c r="FX783" s="770"/>
      <c r="FY783" s="770"/>
      <c r="FZ783" s="770"/>
      <c r="GA783" s="770"/>
      <c r="GB783" s="770"/>
      <c r="GC783" s="308"/>
      <c r="GD783" s="297"/>
      <c r="GE783" s="770"/>
      <c r="GF783" s="302"/>
      <c r="GG783" s="302"/>
      <c r="GH783" s="770"/>
      <c r="GI783" s="770"/>
      <c r="GJ783" s="770"/>
      <c r="GK783" s="770"/>
      <c r="GL783" s="770"/>
      <c r="GM783" s="770"/>
      <c r="GN783" s="299"/>
      <c r="GO783" s="770"/>
      <c r="GP783" s="770"/>
      <c r="GQ783" s="770"/>
      <c r="GR783" s="770"/>
      <c r="GS783" s="770"/>
      <c r="GT783" s="770"/>
      <c r="GU783" s="770"/>
      <c r="GV783" s="770"/>
      <c r="GW783" s="770"/>
      <c r="GX783" s="770"/>
      <c r="GY783" s="770"/>
      <c r="GZ783" s="770"/>
      <c r="HA783" s="770"/>
      <c r="HB783" s="770"/>
      <c r="HC783" s="770"/>
      <c r="HD783" s="770"/>
      <c r="HE783" s="770"/>
      <c r="HF783" s="770"/>
      <c r="HG783" s="770"/>
      <c r="HH783" s="770"/>
      <c r="HI783" s="770"/>
      <c r="HJ783" s="770"/>
      <c r="HK783" s="770"/>
      <c r="HL783" s="770"/>
      <c r="HM783" s="770"/>
      <c r="HN783" s="770"/>
      <c r="HO783" s="770"/>
      <c r="HP783" s="770"/>
      <c r="HQ783" s="770"/>
      <c r="HR783" s="770"/>
      <c r="HS783" s="770"/>
      <c r="HT783" s="770"/>
      <c r="HU783" s="770"/>
      <c r="HV783" s="770"/>
      <c r="HW783" s="770"/>
      <c r="HX783" s="770"/>
      <c r="HY783" s="770"/>
      <c r="HZ783" s="770"/>
      <c r="IA783" s="770"/>
      <c r="IB783" s="770"/>
      <c r="IC783" s="770"/>
      <c r="ID783" s="770"/>
      <c r="IE783" s="770"/>
      <c r="IF783" s="770"/>
      <c r="IG783" s="770"/>
      <c r="IH783" s="770"/>
      <c r="II783" s="770"/>
      <c r="IJ783" s="770"/>
      <c r="IK783" s="770"/>
      <c r="IL783" s="770"/>
      <c r="IM783" s="770"/>
      <c r="IN783" s="770"/>
      <c r="IO783" s="296"/>
      <c r="IP783" s="770"/>
      <c r="IQ783" s="770"/>
      <c r="IR783" s="770"/>
      <c r="IS783" s="770"/>
      <c r="IT783" s="770"/>
      <c r="IU783" s="770"/>
      <c r="IV783" s="770"/>
      <c r="IW783" s="770"/>
      <c r="IX783" s="770"/>
      <c r="IY783" s="770"/>
      <c r="IZ783" s="770"/>
      <c r="JA783" s="770"/>
      <c r="JB783" s="770"/>
      <c r="JC783" s="770"/>
      <c r="JD783" s="302"/>
      <c r="JE783" s="770"/>
      <c r="JF783" s="770"/>
      <c r="JG783" s="770"/>
      <c r="JH783" s="307"/>
      <c r="JI783" s="307"/>
      <c r="JJ783" s="770"/>
      <c r="JK783" s="770"/>
      <c r="JL783" s="770"/>
      <c r="JM783" s="770"/>
      <c r="JN783" s="770"/>
      <c r="JO783" s="770"/>
      <c r="JP783" s="770"/>
      <c r="JQ783" s="770"/>
      <c r="JR783" s="770"/>
      <c r="JS783" s="770"/>
      <c r="JT783" s="766"/>
      <c r="JU783" s="766"/>
      <c r="JV783" s="766"/>
      <c r="JW783" s="766"/>
      <c r="JX783" s="770"/>
      <c r="JY783" s="770"/>
      <c r="JZ783" s="770"/>
      <c r="KA783" s="770"/>
      <c r="KB783" s="770"/>
      <c r="KC783" s="770"/>
      <c r="KD783" s="770"/>
      <c r="KE783" s="770"/>
      <c r="KF783" s="770"/>
      <c r="KG783" s="770"/>
      <c r="KH783" s="770"/>
      <c r="KI783" s="770"/>
      <c r="KJ783" s="770"/>
      <c r="KK783" s="770"/>
      <c r="KL783" s="770"/>
      <c r="KM783" s="770"/>
      <c r="KN783" s="770"/>
      <c r="KO783" s="770"/>
      <c r="KP783" s="770"/>
      <c r="KQ783" s="770"/>
      <c r="KR783" s="770"/>
      <c r="KS783" s="770"/>
      <c r="KT783" s="770"/>
      <c r="KU783" s="770"/>
      <c r="KV783" s="770"/>
      <c r="KW783" s="770"/>
      <c r="KX783" s="770"/>
      <c r="KY783" s="770"/>
      <c r="KZ783" s="770"/>
      <c r="LA783" s="770"/>
      <c r="LB783" s="770"/>
      <c r="LC783" s="770"/>
      <c r="LD783" s="770"/>
      <c r="LE783" s="770"/>
      <c r="LF783" s="770"/>
      <c r="LG783" s="770"/>
      <c r="LH783" s="770"/>
      <c r="LI783" s="770"/>
      <c r="LJ783" s="770"/>
      <c r="LK783" s="770"/>
      <c r="LL783" s="770"/>
      <c r="LM783" s="770"/>
      <c r="LN783" s="766"/>
      <c r="LO783" s="766"/>
      <c r="LP783" s="770"/>
      <c r="LQ783" s="770"/>
      <c r="LR783" s="770"/>
      <c r="LS783" s="770"/>
      <c r="LT783" s="770"/>
      <c r="LU783" s="770"/>
      <c r="LV783" s="770"/>
      <c r="LW783" s="770"/>
      <c r="LX783" s="769"/>
      <c r="LY783" s="766" t="str">
        <f t="shared" si="231"/>
        <v/>
      </c>
      <c r="LZ783" s="1709"/>
      <c r="MA783" s="1709"/>
      <c r="MB783" s="1709"/>
      <c r="MC783" s="1679">
        <f t="shared" si="229"/>
        <v>0</v>
      </c>
      <c r="MD783" s="1709"/>
      <c r="ME783" s="1709"/>
      <c r="MF783" s="1709"/>
      <c r="MG783" s="1680">
        <f t="shared" si="246"/>
        <v>0</v>
      </c>
      <c r="MH783" s="770"/>
      <c r="MI783" s="302"/>
      <c r="MJ783" s="302"/>
      <c r="MK783" s="302"/>
      <c r="ML783" s="302"/>
      <c r="MM783" s="302"/>
      <c r="MN783" s="302"/>
      <c r="MO783" s="302"/>
      <c r="MP783" s="302"/>
      <c r="MQ783" s="302"/>
      <c r="MR783" s="302"/>
      <c r="MS783" s="302"/>
      <c r="MT783" s="302"/>
      <c r="MU783" s="302"/>
      <c r="MV783" s="302"/>
      <c r="MW783" s="302"/>
      <c r="MX783" s="302"/>
      <c r="MY783" s="1682">
        <f t="shared" si="243"/>
        <v>0</v>
      </c>
      <c r="MZ783" s="770"/>
      <c r="NA783" s="770"/>
      <c r="NB783" s="770"/>
      <c r="NC783" s="770"/>
      <c r="ND783" s="770"/>
      <c r="NE783" s="770"/>
      <c r="NF783" s="770"/>
      <c r="NG783" s="770"/>
      <c r="NH783" s="770"/>
      <c r="NI783" s="770"/>
      <c r="NJ783" s="770"/>
      <c r="NK783" s="770"/>
      <c r="NL783" s="770"/>
      <c r="NM783" s="770"/>
      <c r="NN783" s="770"/>
      <c r="NO783" s="770"/>
      <c r="NP783" s="770"/>
      <c r="NQ783" s="770"/>
      <c r="NR783" s="770"/>
      <c r="NS783" s="770"/>
      <c r="NT783" s="770"/>
      <c r="NU783" s="770"/>
      <c r="NV783" s="770"/>
      <c r="NW783" s="770"/>
      <c r="NX783" s="770"/>
      <c r="NY783" s="770"/>
      <c r="NZ783" s="770"/>
      <c r="OA783" s="770"/>
      <c r="OB783" s="770"/>
      <c r="OC783" s="770"/>
      <c r="OD783" s="770"/>
      <c r="OE783" s="770"/>
      <c r="OF783" s="770"/>
      <c r="OG783" s="770"/>
      <c r="OH783" s="770"/>
      <c r="OI783" s="770"/>
      <c r="OJ783" s="770"/>
      <c r="OK783" s="770"/>
      <c r="OL783" s="770"/>
      <c r="OM783" s="770"/>
      <c r="ON783" s="770"/>
      <c r="OO783" s="770"/>
      <c r="OP783" s="770"/>
      <c r="OQ783" s="770"/>
      <c r="OR783" s="770"/>
      <c r="OS783" s="770"/>
      <c r="OT783" s="770"/>
      <c r="OU783" s="770"/>
      <c r="OV783" s="770"/>
      <c r="OW783" s="770"/>
      <c r="OX783" s="770"/>
      <c r="OY783" s="770"/>
      <c r="OZ783" s="770"/>
      <c r="PA783" s="770"/>
      <c r="PB783" s="770"/>
      <c r="PC783" s="770"/>
      <c r="PD783" s="770"/>
      <c r="PE783" s="770"/>
      <c r="PF783" s="770"/>
      <c r="PG783" s="770"/>
      <c r="PH783" s="770"/>
      <c r="PI783" s="770"/>
      <c r="PJ783" s="770"/>
      <c r="PK783" s="770"/>
      <c r="PL783" s="770"/>
      <c r="PM783" s="770"/>
      <c r="PN783" s="770"/>
      <c r="PO783" s="770"/>
      <c r="PP783" s="770"/>
      <c r="PQ783" s="770"/>
      <c r="PR783" s="770"/>
      <c r="PS783" s="770"/>
      <c r="PT783" s="770"/>
      <c r="PU783" s="770"/>
      <c r="PV783" s="770"/>
      <c r="PW783" s="770"/>
      <c r="PX783" s="770"/>
      <c r="PY783" s="770"/>
      <c r="PZ783" s="770"/>
      <c r="QA783" s="770"/>
      <c r="QB783" s="770"/>
      <c r="QC783" s="770"/>
      <c r="QD783" s="770"/>
      <c r="QE783" s="770"/>
      <c r="QF783" s="770"/>
      <c r="QG783" s="770"/>
      <c r="QH783" s="770"/>
      <c r="QI783" s="770"/>
      <c r="QJ783" s="770"/>
      <c r="QK783" s="770"/>
      <c r="QL783" s="770"/>
      <c r="QM783" s="770"/>
      <c r="QN783" s="770"/>
      <c r="QO783" s="770"/>
      <c r="QP783" s="770"/>
      <c r="QQ783" s="770"/>
      <c r="QR783" s="770"/>
      <c r="QS783" s="770"/>
      <c r="QT783" s="770"/>
      <c r="QU783" s="770"/>
      <c r="QV783" s="770"/>
      <c r="QW783" s="770"/>
      <c r="QX783" s="770"/>
      <c r="QY783" s="770"/>
      <c r="QZ783" s="770"/>
      <c r="RA783" s="770"/>
      <c r="RB783" s="770"/>
      <c r="RC783" s="770"/>
      <c r="RD783" s="770"/>
      <c r="RE783" s="770"/>
      <c r="RF783" s="304"/>
      <c r="RG783" s="770"/>
      <c r="RH783" s="306"/>
      <c r="RI783" s="770"/>
      <c r="RJ783" s="94" t="s">
        <v>14006</v>
      </c>
      <c r="RK783" s="770" t="s">
        <v>13898</v>
      </c>
      <c r="RL783" s="1710">
        <v>42850</v>
      </c>
      <c r="RM783" s="12"/>
      <c r="RN783" s="1711"/>
      <c r="RO783" s="149" t="s">
        <v>5089</v>
      </c>
      <c r="RP783" s="11"/>
      <c r="RQ783" s="11"/>
      <c r="RR783" s="17"/>
      <c r="RS783" s="767"/>
      <c r="RT783" s="11"/>
      <c r="RU783" s="11"/>
      <c r="RV783" s="771" t="s">
        <v>7421</v>
      </c>
      <c r="RW783" s="11" t="s">
        <v>8038</v>
      </c>
      <c r="RX783" s="11" t="s">
        <v>5077</v>
      </c>
      <c r="RY783" s="11"/>
      <c r="RZ783" s="11" t="s">
        <v>1101</v>
      </c>
      <c r="SA783" s="771"/>
      <c r="SB783" s="11"/>
      <c r="SC783" s="11"/>
    </row>
    <row r="784" spans="1:497" ht="12.75" customHeight="1">
      <c r="A784" s="19" t="s">
        <v>7421</v>
      </c>
      <c r="B784" s="292" t="s">
        <v>7465</v>
      </c>
      <c r="C784" s="149" t="s">
        <v>3219</v>
      </c>
      <c r="D784" s="94" t="s">
        <v>5120</v>
      </c>
      <c r="E784" s="766" t="s">
        <v>5121</v>
      </c>
      <c r="F784" s="770" t="s">
        <v>20</v>
      </c>
      <c r="G784" s="770" t="s">
        <v>18</v>
      </c>
      <c r="H784" s="12"/>
      <c r="I784" s="5" t="s">
        <v>5122</v>
      </c>
      <c r="J784" s="94" t="s">
        <v>5123</v>
      </c>
      <c r="K784" s="766" t="s">
        <v>5046</v>
      </c>
      <c r="L784" s="766" t="s">
        <v>3711</v>
      </c>
      <c r="M784" s="770" t="s">
        <v>1238</v>
      </c>
      <c r="N784" s="1757"/>
      <c r="O784" s="1757" t="s">
        <v>4830</v>
      </c>
      <c r="P784" s="94" t="s">
        <v>5124</v>
      </c>
      <c r="Q784" s="1088">
        <v>30555</v>
      </c>
      <c r="R784" s="297">
        <v>32</v>
      </c>
      <c r="S784" s="770" t="s">
        <v>10</v>
      </c>
      <c r="T784" s="770"/>
      <c r="U784" s="5" t="s">
        <v>5122</v>
      </c>
      <c r="V784" s="770" t="s">
        <v>707</v>
      </c>
      <c r="W784" s="770"/>
      <c r="X784" s="770"/>
      <c r="Y784" s="770" t="s">
        <v>5121</v>
      </c>
      <c r="Z784" s="770" t="s">
        <v>708</v>
      </c>
      <c r="AA784" s="770" t="s">
        <v>709</v>
      </c>
      <c r="AB784" s="770" t="s">
        <v>744</v>
      </c>
      <c r="AC784" s="770"/>
      <c r="AD784" s="770" t="s">
        <v>711</v>
      </c>
      <c r="AE784" s="770"/>
      <c r="AF784" s="770" t="s">
        <v>712</v>
      </c>
      <c r="AG784" s="766" t="s">
        <v>1095</v>
      </c>
      <c r="AH784" s="766" t="s">
        <v>1096</v>
      </c>
      <c r="AI784" s="770" t="s">
        <v>3294</v>
      </c>
      <c r="AJ784" s="770" t="s">
        <v>1137</v>
      </c>
      <c r="AK784" s="770" t="s">
        <v>1101</v>
      </c>
      <c r="AL784" s="531">
        <v>17.399999999999999</v>
      </c>
      <c r="AM784" s="780">
        <v>0.72</v>
      </c>
      <c r="AN784" s="532">
        <f>AM784/AL784</f>
        <v>4.1379310344827586E-2</v>
      </c>
      <c r="AO784" s="766" t="s">
        <v>1098</v>
      </c>
      <c r="AP784" s="766"/>
      <c r="AQ784" s="766"/>
      <c r="AR784" s="766"/>
      <c r="AS784" s="770"/>
      <c r="AT784" s="770"/>
      <c r="AU784" s="770"/>
      <c r="AV784" s="770"/>
      <c r="AW784" s="770"/>
      <c r="AX784" s="770"/>
      <c r="AY784" s="770"/>
      <c r="AZ784" s="770"/>
      <c r="BA784" s="770"/>
      <c r="BB784" s="770"/>
      <c r="BC784" s="770"/>
      <c r="BD784" s="770"/>
      <c r="BE784" s="770"/>
      <c r="BF784" s="302"/>
      <c r="BG784" s="302"/>
      <c r="BH784" s="770"/>
      <c r="BI784" s="770"/>
      <c r="BJ784" s="770"/>
      <c r="BK784" s="766" t="s">
        <v>1095</v>
      </c>
      <c r="BL784" s="766" t="s">
        <v>5749</v>
      </c>
      <c r="BM784" s="766" t="s">
        <v>1096</v>
      </c>
      <c r="BN784" s="766" t="s">
        <v>1230</v>
      </c>
      <c r="BO784" s="766" t="s">
        <v>1239</v>
      </c>
      <c r="BP784" s="1109">
        <v>34.08</v>
      </c>
      <c r="BQ784" s="773">
        <v>1.44</v>
      </c>
      <c r="BR784" s="774">
        <f t="shared" ref="BR784:BR806" si="247">BQ784/BP784</f>
        <v>4.2253521126760563E-2</v>
      </c>
      <c r="BS784" s="766" t="s">
        <v>1242</v>
      </c>
      <c r="BT784" s="766" t="s">
        <v>8133</v>
      </c>
      <c r="BU784" s="770" t="s">
        <v>1249</v>
      </c>
      <c r="BV784" s="770" t="s">
        <v>1247</v>
      </c>
      <c r="BW784" s="770">
        <v>2015</v>
      </c>
      <c r="BX784" s="302"/>
      <c r="BY784" s="770"/>
      <c r="BZ784" s="302"/>
      <c r="CA784" s="770"/>
      <c r="CB784" s="770"/>
      <c r="CC784" s="770"/>
      <c r="CD784" s="12"/>
      <c r="CE784" s="302"/>
      <c r="CF784" s="304"/>
      <c r="CG784" s="321"/>
      <c r="CH784" s="770"/>
      <c r="CI784" s="770"/>
      <c r="CJ784" s="770"/>
      <c r="CK784" s="770"/>
      <c r="CL784" s="770"/>
      <c r="CM784" s="770"/>
      <c r="CN784" s="770"/>
      <c r="CO784" s="770"/>
      <c r="CP784" s="770"/>
      <c r="CQ784" s="770"/>
      <c r="CR784" s="302"/>
      <c r="CS784" s="770"/>
      <c r="CT784" s="770"/>
      <c r="CU784" s="305"/>
      <c r="CV784" s="770"/>
      <c r="CW784" s="770"/>
      <c r="CX784" s="770"/>
      <c r="CY784" s="770"/>
      <c r="CZ784" s="770"/>
      <c r="DA784" s="306"/>
      <c r="DB784" s="770"/>
      <c r="DC784" s="770"/>
      <c r="DD784" s="770"/>
      <c r="DE784" s="300"/>
      <c r="DF784" s="770"/>
      <c r="DG784" s="770"/>
      <c r="DH784" s="770"/>
      <c r="DI784" s="770"/>
      <c r="DJ784" s="770"/>
      <c r="DK784" s="770"/>
      <c r="DL784" s="770"/>
      <c r="DM784" s="770"/>
      <c r="DN784" s="322"/>
      <c r="DO784" s="770"/>
      <c r="DP784" s="770"/>
      <c r="DQ784" s="770"/>
      <c r="DR784" s="770"/>
      <c r="DS784" s="307"/>
      <c r="DT784" s="770"/>
      <c r="DU784" s="770"/>
      <c r="DV784" s="770"/>
      <c r="DW784" s="306"/>
      <c r="DX784" s="306"/>
      <c r="DY784" s="1055"/>
      <c r="DZ784" s="770"/>
      <c r="EA784" s="770"/>
      <c r="EB784" s="770"/>
      <c r="EC784" s="770"/>
      <c r="ED784" s="770"/>
      <c r="EE784" s="770"/>
      <c r="EF784" s="770"/>
      <c r="EG784" s="770"/>
      <c r="EH784" s="770"/>
      <c r="EI784" s="770"/>
      <c r="EJ784" s="770"/>
      <c r="EK784" s="770"/>
      <c r="EL784" s="770"/>
      <c r="EM784" s="770"/>
      <c r="EN784" s="770"/>
      <c r="EO784" s="770"/>
      <c r="EP784" s="94"/>
      <c r="EQ784" s="770"/>
      <c r="ER784" s="770"/>
      <c r="ES784" s="770"/>
      <c r="ET784" s="770"/>
      <c r="EU784" s="770"/>
      <c r="EV784" s="770"/>
      <c r="EW784" s="770"/>
      <c r="EX784" s="770"/>
      <c r="EY784" s="770"/>
      <c r="EZ784" s="770"/>
      <c r="FA784" s="770"/>
      <c r="FB784" s="770"/>
      <c r="FC784" s="770"/>
      <c r="FD784" s="302"/>
      <c r="FE784" s="770"/>
      <c r="FF784" s="770"/>
      <c r="FG784" s="770"/>
      <c r="FH784" s="770" t="s">
        <v>478</v>
      </c>
      <c r="FI784" s="770">
        <v>2</v>
      </c>
      <c r="FJ784" s="770"/>
      <c r="FK784" s="770"/>
      <c r="FL784" s="770"/>
      <c r="FM784" s="302"/>
      <c r="FN784" s="302"/>
      <c r="FO784" s="302"/>
      <c r="FP784" s="770" t="s">
        <v>1600</v>
      </c>
      <c r="FQ784" s="770" t="s">
        <v>1642</v>
      </c>
      <c r="FR784" s="770" t="s">
        <v>1214</v>
      </c>
      <c r="FS784" s="770"/>
      <c r="FT784" s="770"/>
      <c r="FU784" s="770"/>
      <c r="FV784" s="770"/>
      <c r="FW784" s="770"/>
      <c r="FX784" s="770"/>
      <c r="FY784" s="770"/>
      <c r="FZ784" s="770"/>
      <c r="GA784" s="770"/>
      <c r="GB784" s="770" t="s">
        <v>1734</v>
      </c>
      <c r="GC784" s="308"/>
      <c r="GD784" s="297">
        <v>2015</v>
      </c>
      <c r="GE784" s="770" t="s">
        <v>1214</v>
      </c>
      <c r="GF784" s="302"/>
      <c r="GG784" s="302"/>
      <c r="GH784" s="770"/>
      <c r="GI784" s="770"/>
      <c r="GJ784" s="770"/>
      <c r="GK784" s="770"/>
      <c r="GL784" s="770"/>
      <c r="GM784" s="770"/>
      <c r="GN784" s="299"/>
      <c r="GO784" s="770"/>
      <c r="GP784" s="770"/>
      <c r="GQ784" s="770"/>
      <c r="GR784" s="770"/>
      <c r="GS784" s="770"/>
      <c r="GT784" s="770"/>
      <c r="GU784" s="770"/>
      <c r="GV784" s="770"/>
      <c r="GW784" s="770"/>
      <c r="GX784" s="770"/>
      <c r="GY784" s="770"/>
      <c r="GZ784" s="770"/>
      <c r="HA784" s="770"/>
      <c r="HB784" s="770"/>
      <c r="HC784" s="770"/>
      <c r="HD784" s="770"/>
      <c r="HE784" s="770"/>
      <c r="HF784" s="770"/>
      <c r="HG784" s="770"/>
      <c r="HH784" s="770"/>
      <c r="HI784" s="770"/>
      <c r="HJ784" s="770"/>
      <c r="HK784" s="770"/>
      <c r="HL784" s="770"/>
      <c r="HM784" s="770"/>
      <c r="HN784" s="770"/>
      <c r="HO784" s="770"/>
      <c r="HP784" s="770"/>
      <c r="HQ784" s="770"/>
      <c r="HR784" s="770"/>
      <c r="HS784" s="770"/>
      <c r="HT784" s="770"/>
      <c r="HU784" s="770"/>
      <c r="HV784" s="770"/>
      <c r="HW784" s="770"/>
      <c r="HX784" s="770"/>
      <c r="HY784" s="770"/>
      <c r="HZ784" s="770"/>
      <c r="IA784" s="770"/>
      <c r="IB784" s="14" t="e">
        <f>IF(#REF!&gt;0,IF(#REF!&lt;=10000,"Y",""),"")</f>
        <v>#REF!</v>
      </c>
      <c r="IC784" s="770"/>
      <c r="ID784" s="770">
        <v>1</v>
      </c>
      <c r="IE784" s="770"/>
      <c r="IF784" s="770"/>
      <c r="IG784" s="770"/>
      <c r="IH784" s="770"/>
      <c r="II784" s="770"/>
      <c r="IJ784" s="770"/>
      <c r="IK784" s="770"/>
      <c r="IL784" s="770"/>
      <c r="IM784" s="770"/>
      <c r="IN784" s="770"/>
      <c r="IO784" s="296"/>
      <c r="IP784" s="770"/>
      <c r="IQ784" s="770"/>
      <c r="IR784" s="770"/>
      <c r="IS784" s="770"/>
      <c r="IT784" s="770"/>
      <c r="IU784" s="770"/>
      <c r="IV784" s="770"/>
      <c r="IW784" s="770"/>
      <c r="IX784" s="770"/>
      <c r="IY784" s="770"/>
      <c r="IZ784" s="770"/>
      <c r="JA784" s="770"/>
      <c r="JB784" s="770"/>
      <c r="JC784" s="770"/>
      <c r="JD784" s="302"/>
      <c r="JE784" s="770"/>
      <c r="JF784" s="770"/>
      <c r="JG784" s="770"/>
      <c r="JH784" s="307"/>
      <c r="JI784" s="307"/>
      <c r="JJ784" s="770">
        <v>6</v>
      </c>
      <c r="JK784" s="1139" t="s">
        <v>5094</v>
      </c>
      <c r="JL784" s="770">
        <v>2</v>
      </c>
      <c r="JM784" s="770">
        <v>1</v>
      </c>
      <c r="JN784" s="770">
        <v>1</v>
      </c>
      <c r="JO784" s="770">
        <v>2</v>
      </c>
      <c r="JP784" s="770"/>
      <c r="JQ784" s="770"/>
      <c r="JR784" s="770"/>
      <c r="JS784" s="770"/>
      <c r="JT784" s="766">
        <f t="shared" ref="JT784:JU804" si="248">SUM(JP784,JN784,JL784,JR784)</f>
        <v>3</v>
      </c>
      <c r="JU784" s="766">
        <f t="shared" si="248"/>
        <v>3</v>
      </c>
      <c r="JV784" s="712" t="str">
        <f>IF(JT784=KJ784,"ok","male")</f>
        <v>ok</v>
      </c>
      <c r="JW784" s="712" t="str">
        <f>IF(JU784=KK784,"ok","female")</f>
        <v>ok</v>
      </c>
      <c r="JX784" s="770">
        <v>1</v>
      </c>
      <c r="JY784" s="770"/>
      <c r="JZ784" s="770">
        <v>1</v>
      </c>
      <c r="KA784" s="770">
        <v>1</v>
      </c>
      <c r="KB784" s="770"/>
      <c r="KC784" s="770"/>
      <c r="KD784" s="770">
        <v>1</v>
      </c>
      <c r="KE784" s="770">
        <v>1</v>
      </c>
      <c r="KF784" s="770"/>
      <c r="KG784" s="770">
        <v>1</v>
      </c>
      <c r="KH784" s="770"/>
      <c r="KI784" s="770"/>
      <c r="KJ784" s="770">
        <f t="shared" ref="KJ784:KK829" si="249">SUM(KF784,KD784,KB784,JZ784,JX784,KH784)</f>
        <v>3</v>
      </c>
      <c r="KK784" s="770">
        <f t="shared" si="249"/>
        <v>3</v>
      </c>
      <c r="KL784" s="712" t="str">
        <f>IF(KJ784=LN784,"ok","male")</f>
        <v>ok</v>
      </c>
      <c r="KM784" s="712" t="str">
        <f>IF(KK784=LO784,"ok","female")</f>
        <v>ok</v>
      </c>
      <c r="KN784" s="770" t="s">
        <v>707</v>
      </c>
      <c r="KO784" s="770"/>
      <c r="KP784" s="770"/>
      <c r="KQ784" s="770"/>
      <c r="KR784" s="770">
        <v>1</v>
      </c>
      <c r="KS784" s="770"/>
      <c r="KT784" s="770"/>
      <c r="KU784" s="770">
        <v>1</v>
      </c>
      <c r="KV784" s="770"/>
      <c r="KW784" s="770"/>
      <c r="KX784" s="770">
        <v>1</v>
      </c>
      <c r="KY784" s="770"/>
      <c r="KZ784" s="770">
        <v>1</v>
      </c>
      <c r="LA784" s="770">
        <v>1</v>
      </c>
      <c r="LB784" s="770"/>
      <c r="LC784" s="770"/>
      <c r="LD784" s="770"/>
      <c r="LE784" s="770">
        <v>1</v>
      </c>
      <c r="LF784" s="770"/>
      <c r="LG784" s="770"/>
      <c r="LH784" s="770"/>
      <c r="LI784" s="770"/>
      <c r="LJ784" s="770"/>
      <c r="LK784" s="770"/>
      <c r="LL784" s="770"/>
      <c r="LM784" s="770"/>
      <c r="LN784" s="766">
        <f t="shared" si="230"/>
        <v>3</v>
      </c>
      <c r="LO784" s="766">
        <f t="shared" si="230"/>
        <v>3</v>
      </c>
      <c r="LP784" s="770">
        <v>2</v>
      </c>
      <c r="LQ784" s="770">
        <v>1</v>
      </c>
      <c r="LR784" s="770"/>
      <c r="LS784" s="770">
        <v>1</v>
      </c>
      <c r="LT784" s="712" t="str">
        <f>IF(LQ784=SUM(LU784:LW784),"OK","REV")</f>
        <v>OK</v>
      </c>
      <c r="LU784" s="770"/>
      <c r="LV784" s="770">
        <v>1</v>
      </c>
      <c r="LW784" s="770"/>
      <c r="LX784" s="769">
        <v>1</v>
      </c>
      <c r="LY784" s="766" t="str">
        <f t="shared" si="231"/>
        <v>within the BRGY</v>
      </c>
      <c r="LZ784" s="1709"/>
      <c r="MA784" s="1709"/>
      <c r="MB784" s="1709"/>
      <c r="MC784" s="1679">
        <f t="shared" si="229"/>
        <v>0</v>
      </c>
      <c r="MD784" s="1709">
        <v>11000</v>
      </c>
      <c r="ME784" s="1709"/>
      <c r="MF784" s="1709">
        <f>2500*4</f>
        <v>10000</v>
      </c>
      <c r="MG784" s="1680">
        <f t="shared" si="246"/>
        <v>21000</v>
      </c>
      <c r="MH784" s="770" t="s">
        <v>5119</v>
      </c>
      <c r="MI784" s="302">
        <f>300*30</f>
        <v>9000</v>
      </c>
      <c r="MJ784" s="302">
        <f>150*30</f>
        <v>4500</v>
      </c>
      <c r="MK784" s="302">
        <f>10000/12</f>
        <v>833.33333333333337</v>
      </c>
      <c r="ML784" s="302">
        <v>500</v>
      </c>
      <c r="MM784" s="302">
        <v>4000</v>
      </c>
      <c r="MN784" s="302"/>
      <c r="MO784" s="302">
        <v>140</v>
      </c>
      <c r="MP784" s="302"/>
      <c r="MQ784" s="302"/>
      <c r="MR784" s="302">
        <v>500</v>
      </c>
      <c r="MS784" s="302">
        <f>3000/12</f>
        <v>250</v>
      </c>
      <c r="MT784" s="302"/>
      <c r="MU784" s="302"/>
      <c r="MV784" s="302"/>
      <c r="MW784" s="302"/>
      <c r="MX784" s="302"/>
      <c r="MY784" s="1682">
        <f t="shared" si="243"/>
        <v>19723.333333333336</v>
      </c>
      <c r="MZ784" s="770" t="s">
        <v>1835</v>
      </c>
      <c r="NA784" s="770" t="s">
        <v>13585</v>
      </c>
      <c r="NB784" s="770" t="s">
        <v>13016</v>
      </c>
      <c r="NC784" s="770" t="s">
        <v>13965</v>
      </c>
      <c r="ND784" s="770">
        <v>0</v>
      </c>
      <c r="NE784" s="770">
        <v>2</v>
      </c>
      <c r="NF784" s="770">
        <v>0</v>
      </c>
      <c r="NG784" s="770">
        <v>4</v>
      </c>
      <c r="NH784" s="770">
        <v>2</v>
      </c>
      <c r="NI784" s="770">
        <v>0</v>
      </c>
      <c r="NJ784" s="770">
        <v>0</v>
      </c>
      <c r="NK784" s="770">
        <v>0</v>
      </c>
      <c r="NL784" s="770">
        <v>1</v>
      </c>
      <c r="NM784" s="770">
        <v>0</v>
      </c>
      <c r="NN784" s="770">
        <v>0</v>
      </c>
      <c r="NO784" s="770">
        <v>0</v>
      </c>
      <c r="NP784" s="770">
        <v>0</v>
      </c>
      <c r="NQ784" s="770">
        <v>0</v>
      </c>
      <c r="NR784" s="770">
        <v>0</v>
      </c>
      <c r="NS784" s="770">
        <v>0</v>
      </c>
      <c r="NT784" s="770">
        <v>0</v>
      </c>
      <c r="NU784" s="770">
        <v>0</v>
      </c>
      <c r="NV784" s="770">
        <v>0</v>
      </c>
      <c r="NW784" s="770">
        <v>0</v>
      </c>
      <c r="NX784" s="770">
        <v>0</v>
      </c>
      <c r="NY784" s="770" t="s">
        <v>1208</v>
      </c>
      <c r="NZ784" s="770" t="s">
        <v>1208</v>
      </c>
      <c r="OA784" s="770" t="s">
        <v>1208</v>
      </c>
      <c r="OB784" s="770" t="s">
        <v>1208</v>
      </c>
      <c r="OC784" s="770" t="s">
        <v>1208</v>
      </c>
      <c r="OD784" s="770"/>
      <c r="OE784" s="770"/>
      <c r="OF784" s="770"/>
      <c r="OG784" s="770"/>
      <c r="OH784" s="770"/>
      <c r="OI784" s="770"/>
      <c r="OJ784" s="770"/>
      <c r="OK784" s="770"/>
      <c r="OL784" s="770"/>
      <c r="OM784" s="770"/>
      <c r="ON784" s="770"/>
      <c r="OO784" s="770"/>
      <c r="OP784" s="770"/>
      <c r="OQ784" s="770"/>
      <c r="OR784" s="770"/>
      <c r="OS784" s="770"/>
      <c r="OT784" s="770"/>
      <c r="OU784" s="770"/>
      <c r="OV784" s="770"/>
      <c r="OW784" s="770"/>
      <c r="OX784" s="770"/>
      <c r="OY784" s="770"/>
      <c r="OZ784" s="770"/>
      <c r="PA784" s="770"/>
      <c r="PB784" s="770"/>
      <c r="PC784" s="770"/>
      <c r="PD784" s="770"/>
      <c r="PE784" s="770"/>
      <c r="PF784" s="770"/>
      <c r="PG784" s="770"/>
      <c r="PH784" s="770" t="s">
        <v>1208</v>
      </c>
      <c r="PI784" s="770" t="s">
        <v>1208</v>
      </c>
      <c r="PJ784" s="770" t="s">
        <v>1208</v>
      </c>
      <c r="PK784" s="770"/>
      <c r="PL784" s="770"/>
      <c r="PM784" s="770" t="s">
        <v>1208</v>
      </c>
      <c r="PN784" s="770"/>
      <c r="PO784" s="770"/>
      <c r="PP784" s="770"/>
      <c r="PQ784" s="770"/>
      <c r="PR784" s="770"/>
      <c r="PS784" s="770"/>
      <c r="PT784" s="770"/>
      <c r="PU784" s="770"/>
      <c r="PV784" s="770"/>
      <c r="PW784" s="770"/>
      <c r="PX784" s="770"/>
      <c r="PY784" s="770"/>
      <c r="PZ784" s="770"/>
      <c r="QA784" s="770"/>
      <c r="QB784" s="770"/>
      <c r="QC784" s="770"/>
      <c r="QD784" s="770"/>
      <c r="QE784" s="770"/>
      <c r="QF784" s="770"/>
      <c r="QG784" s="770"/>
      <c r="QH784" s="770"/>
      <c r="QI784" s="770"/>
      <c r="QJ784" s="770"/>
      <c r="QK784" s="770"/>
      <c r="QL784" s="770"/>
      <c r="QM784" s="770"/>
      <c r="QN784" s="770"/>
      <c r="QO784" s="770"/>
      <c r="QP784" s="770"/>
      <c r="QQ784" s="770"/>
      <c r="QR784" s="770"/>
      <c r="QS784" s="770"/>
      <c r="QT784" s="770"/>
      <c r="QU784" s="770"/>
      <c r="QV784" s="770"/>
      <c r="QW784" s="770"/>
      <c r="QX784" s="770"/>
      <c r="QY784" s="770"/>
      <c r="QZ784" s="770"/>
      <c r="RA784" s="770"/>
      <c r="RB784" s="770" t="s">
        <v>1214</v>
      </c>
      <c r="RC784" s="770"/>
      <c r="RD784" s="770"/>
      <c r="RE784" s="770"/>
      <c r="RF784" s="304"/>
      <c r="RG784" s="770"/>
      <c r="RH784" s="306"/>
      <c r="RI784" s="770"/>
      <c r="RJ784" s="94" t="s">
        <v>5095</v>
      </c>
      <c r="RK784" s="770" t="s">
        <v>13544</v>
      </c>
      <c r="RL784" s="1710" t="s">
        <v>1604</v>
      </c>
      <c r="RM784" s="12"/>
      <c r="RN784" s="1711"/>
      <c r="RO784" s="149" t="s">
        <v>3219</v>
      </c>
      <c r="RP784" s="11"/>
      <c r="RQ784" s="11"/>
      <c r="RR784" s="19" t="s">
        <v>7421</v>
      </c>
      <c r="RS784" s="1139" t="s">
        <v>12980</v>
      </c>
      <c r="RT784" s="11"/>
      <c r="RU784" s="11"/>
      <c r="RV784" s="771" t="s">
        <v>7421</v>
      </c>
      <c r="RW784" s="11" t="s">
        <v>8036</v>
      </c>
      <c r="RX784" s="11" t="s">
        <v>5083</v>
      </c>
      <c r="RY784" s="11"/>
      <c r="RZ784" s="11" t="s">
        <v>2209</v>
      </c>
      <c r="SA784" s="771"/>
      <c r="SB784" s="11"/>
      <c r="SC784" s="11"/>
    </row>
    <row r="785" spans="1:497" ht="12.75" customHeight="1">
      <c r="A785" s="311" t="s">
        <v>14247</v>
      </c>
      <c r="B785" s="292" t="s">
        <v>7466</v>
      </c>
      <c r="C785" s="149" t="s">
        <v>3219</v>
      </c>
      <c r="D785" s="94" t="s">
        <v>3220</v>
      </c>
      <c r="E785" s="766" t="s">
        <v>5121</v>
      </c>
      <c r="F785" s="770" t="s">
        <v>28</v>
      </c>
      <c r="G785" s="770" t="s">
        <v>10</v>
      </c>
      <c r="H785" s="12"/>
      <c r="I785" s="295" t="s">
        <v>3222</v>
      </c>
      <c r="J785" s="94" t="str">
        <f ca="1">IF(F785="Head",CELL("contents",D785))</f>
        <v>Donguines, Gerbeth Ravina</v>
      </c>
      <c r="K785" s="770"/>
      <c r="L785" s="770"/>
      <c r="M785" s="770"/>
      <c r="N785" s="1757"/>
      <c r="O785" s="1757"/>
      <c r="P785" s="94" t="s">
        <v>3223</v>
      </c>
      <c r="Q785" s="1088">
        <v>29517</v>
      </c>
      <c r="R785" s="297">
        <v>37</v>
      </c>
      <c r="S785" s="770" t="s">
        <v>10</v>
      </c>
      <c r="T785" s="770"/>
      <c r="U785" s="295" t="s">
        <v>3222</v>
      </c>
      <c r="V785" s="770" t="s">
        <v>722</v>
      </c>
      <c r="W785" s="770"/>
      <c r="X785" s="770"/>
      <c r="Y785" s="770" t="s">
        <v>3221</v>
      </c>
      <c r="Z785" s="770" t="s">
        <v>708</v>
      </c>
      <c r="AA785" s="770" t="s">
        <v>709</v>
      </c>
      <c r="AB785" s="770" t="s">
        <v>710</v>
      </c>
      <c r="AC785" s="770"/>
      <c r="AD785" s="770" t="s">
        <v>711</v>
      </c>
      <c r="AE785" s="770"/>
      <c r="AF785" s="770" t="s">
        <v>712</v>
      </c>
      <c r="AG785" s="770"/>
      <c r="AH785" s="770"/>
      <c r="AI785" s="770"/>
      <c r="AJ785" s="770"/>
      <c r="AK785" s="770" t="s">
        <v>1101</v>
      </c>
      <c r="AL785" s="531"/>
      <c r="AM785" s="780"/>
      <c r="AN785" s="532"/>
      <c r="AO785" s="766"/>
      <c r="AP785" s="766"/>
      <c r="AQ785" s="766"/>
      <c r="AR785" s="766"/>
      <c r="AS785" s="770"/>
      <c r="AT785" s="770"/>
      <c r="AU785" s="770"/>
      <c r="AV785" s="770"/>
      <c r="AW785" s="770"/>
      <c r="AX785" s="770"/>
      <c r="AY785" s="770"/>
      <c r="AZ785" s="770"/>
      <c r="BA785" s="770"/>
      <c r="BB785" s="770"/>
      <c r="BC785" s="770"/>
      <c r="BD785" s="770"/>
      <c r="BE785" s="770"/>
      <c r="BF785" s="302"/>
      <c r="BG785" s="302"/>
      <c r="BH785" s="770"/>
      <c r="BI785" s="770"/>
      <c r="BJ785" s="770"/>
      <c r="BK785" s="766"/>
      <c r="BL785" s="766"/>
      <c r="BM785" s="766" t="s">
        <v>1238</v>
      </c>
      <c r="BN785" s="766" t="s">
        <v>1305</v>
      </c>
      <c r="BO785" s="770"/>
      <c r="BP785" s="765"/>
      <c r="BQ785" s="773"/>
      <c r="BR785" s="774"/>
      <c r="BS785" s="766" t="s">
        <v>1242</v>
      </c>
      <c r="BT785" s="770"/>
      <c r="BU785" s="770"/>
      <c r="BV785" s="770"/>
      <c r="BW785" s="770"/>
      <c r="BX785" s="302"/>
      <c r="BY785" s="770"/>
      <c r="BZ785" s="302"/>
      <c r="CA785" s="770"/>
      <c r="CB785" s="770"/>
      <c r="CC785" s="770"/>
      <c r="CD785" s="770"/>
      <c r="CE785" s="302"/>
      <c r="CF785" s="304"/>
      <c r="CG785" s="321"/>
      <c r="CH785" s="770"/>
      <c r="CI785" s="770"/>
      <c r="CJ785" s="770"/>
      <c r="CK785" s="770"/>
      <c r="CL785" s="770"/>
      <c r="CM785" s="770"/>
      <c r="CN785" s="770"/>
      <c r="CO785" s="770"/>
      <c r="CP785" s="770"/>
      <c r="CQ785" s="770"/>
      <c r="CR785" s="302"/>
      <c r="CS785" s="770"/>
      <c r="CT785" s="770"/>
      <c r="CU785" s="305"/>
      <c r="CV785" s="770"/>
      <c r="CW785" s="770"/>
      <c r="CX785" s="770"/>
      <c r="CY785" s="770"/>
      <c r="CZ785" s="770"/>
      <c r="DA785" s="306"/>
      <c r="DB785" s="770"/>
      <c r="DC785" s="770"/>
      <c r="DD785" s="770"/>
      <c r="DE785" s="300"/>
      <c r="DF785" s="770"/>
      <c r="DG785" s="770"/>
      <c r="DH785" s="770"/>
      <c r="DI785" s="770"/>
      <c r="DJ785" s="770"/>
      <c r="DK785" s="770"/>
      <c r="DL785" s="770"/>
      <c r="DM785" s="770"/>
      <c r="DN785" s="322"/>
      <c r="DO785" s="770"/>
      <c r="DP785" s="770"/>
      <c r="DQ785" s="770"/>
      <c r="DR785" s="770"/>
      <c r="DS785" s="307"/>
      <c r="DT785" s="770"/>
      <c r="DU785" s="770"/>
      <c r="DV785" s="770"/>
      <c r="DW785" s="306"/>
      <c r="DX785" s="306"/>
      <c r="DY785" s="1055"/>
      <c r="DZ785" s="770"/>
      <c r="EA785" s="770"/>
      <c r="EB785" s="770"/>
      <c r="EC785" s="770"/>
      <c r="ED785" s="770"/>
      <c r="EE785" s="770"/>
      <c r="EF785" s="770"/>
      <c r="EG785" s="770"/>
      <c r="EH785" s="770"/>
      <c r="EI785" s="770"/>
      <c r="EJ785" s="770"/>
      <c r="EK785" s="770"/>
      <c r="EL785" s="770"/>
      <c r="EM785" s="770"/>
      <c r="EN785" s="770"/>
      <c r="EO785" s="770"/>
      <c r="EP785" s="94"/>
      <c r="EQ785" s="770"/>
      <c r="ER785" s="770"/>
      <c r="ES785" s="770"/>
      <c r="ET785" s="770"/>
      <c r="EU785" s="770"/>
      <c r="EV785" s="770"/>
      <c r="EW785" s="770"/>
      <c r="EX785" s="770"/>
      <c r="EY785" s="770"/>
      <c r="EZ785" s="770"/>
      <c r="FA785" s="770"/>
      <c r="FB785" s="770"/>
      <c r="FC785" s="770"/>
      <c r="FD785" s="302"/>
      <c r="FE785" s="770"/>
      <c r="FF785" s="770"/>
      <c r="FG785" s="770"/>
      <c r="FH785" s="770" t="s">
        <v>3230</v>
      </c>
      <c r="FI785" s="770">
        <v>1</v>
      </c>
      <c r="FJ785" s="770" t="s">
        <v>5749</v>
      </c>
      <c r="FK785" s="770"/>
      <c r="FL785" s="770"/>
      <c r="FM785" s="302"/>
      <c r="FN785" s="302"/>
      <c r="FO785" s="302"/>
      <c r="FP785" s="770" t="s">
        <v>1600</v>
      </c>
      <c r="FQ785" s="770" t="s">
        <v>1642</v>
      </c>
      <c r="FR785" s="770"/>
      <c r="FS785" s="770"/>
      <c r="FT785" s="770"/>
      <c r="FU785" s="770"/>
      <c r="FV785" s="770"/>
      <c r="FW785" s="770"/>
      <c r="FX785" s="770"/>
      <c r="FY785" s="770"/>
      <c r="FZ785" s="770"/>
      <c r="GA785" s="770"/>
      <c r="GB785" s="770"/>
      <c r="GC785" s="308"/>
      <c r="GD785" s="297"/>
      <c r="GE785" s="770"/>
      <c r="GF785" s="302"/>
      <c r="GG785" s="302"/>
      <c r="GH785" s="770"/>
      <c r="GI785" s="770"/>
      <c r="GJ785" s="770"/>
      <c r="GK785" s="770"/>
      <c r="GL785" s="770"/>
      <c r="GM785" s="770"/>
      <c r="GN785" s="299"/>
      <c r="GO785" s="770"/>
      <c r="GP785" s="770"/>
      <c r="GQ785" s="770"/>
      <c r="GR785" s="770"/>
      <c r="GS785" s="770"/>
      <c r="GT785" s="770"/>
      <c r="GU785" s="770"/>
      <c r="GV785" s="770"/>
      <c r="GW785" s="770"/>
      <c r="GX785" s="770"/>
      <c r="GY785" s="770"/>
      <c r="GZ785" s="770"/>
      <c r="HA785" s="770"/>
      <c r="HB785" s="770"/>
      <c r="HC785" s="770"/>
      <c r="HD785" s="770"/>
      <c r="HE785" s="770"/>
      <c r="HF785" s="770"/>
      <c r="HG785" s="770"/>
      <c r="HH785" s="770"/>
      <c r="HI785" s="770"/>
      <c r="HJ785" s="770"/>
      <c r="HK785" s="770"/>
      <c r="HL785" s="770"/>
      <c r="HM785" s="770"/>
      <c r="HN785" s="770"/>
      <c r="HO785" s="770"/>
      <c r="HP785" s="770"/>
      <c r="HQ785" s="770"/>
      <c r="HR785" s="770"/>
      <c r="HS785" s="770"/>
      <c r="HT785" s="770"/>
      <c r="HU785" s="770"/>
      <c r="HV785" s="770"/>
      <c r="HW785" s="770"/>
      <c r="HX785" s="770"/>
      <c r="HY785" s="770"/>
      <c r="HZ785" s="770"/>
      <c r="IA785" s="770"/>
      <c r="IB785" s="14" t="e">
        <f>IF(#REF!&gt;0,IF(#REF!&lt;=10000,"Y",""),"")</f>
        <v>#REF!</v>
      </c>
      <c r="IC785" s="770"/>
      <c r="ID785" s="770"/>
      <c r="IE785" s="770">
        <v>1</v>
      </c>
      <c r="IF785" s="770"/>
      <c r="IG785" s="770"/>
      <c r="IH785" s="770"/>
      <c r="II785" s="770"/>
      <c r="IJ785" s="770"/>
      <c r="IK785" s="770"/>
      <c r="IL785" s="770"/>
      <c r="IM785" s="770"/>
      <c r="IN785" s="770"/>
      <c r="IO785" s="296"/>
      <c r="IP785" s="770"/>
      <c r="IQ785" s="770"/>
      <c r="IR785" s="770"/>
      <c r="IS785" s="770"/>
      <c r="IT785" s="770"/>
      <c r="IU785" s="770"/>
      <c r="IV785" s="770"/>
      <c r="IW785" s="770"/>
      <c r="IX785" s="770"/>
      <c r="IY785" s="770"/>
      <c r="IZ785" s="770"/>
      <c r="JA785" s="770"/>
      <c r="JB785" s="770"/>
      <c r="JC785" s="770"/>
      <c r="JD785" s="302"/>
      <c r="JE785" s="770"/>
      <c r="JF785" s="770"/>
      <c r="JG785" s="770"/>
      <c r="JH785" s="307"/>
      <c r="JI785" s="307"/>
      <c r="JJ785" s="770">
        <v>5</v>
      </c>
      <c r="JK785" s="1139" t="s">
        <v>3224</v>
      </c>
      <c r="JL785" s="770">
        <v>3</v>
      </c>
      <c r="JM785" s="770"/>
      <c r="JN785" s="770">
        <v>1</v>
      </c>
      <c r="JO785" s="770">
        <v>1</v>
      </c>
      <c r="JP785" s="770"/>
      <c r="JQ785" s="770"/>
      <c r="JR785" s="770"/>
      <c r="JS785" s="770"/>
      <c r="JT785" s="766">
        <f t="shared" si="248"/>
        <v>4</v>
      </c>
      <c r="JU785" s="766">
        <f t="shared" si="248"/>
        <v>1</v>
      </c>
      <c r="JV785" s="712" t="str">
        <f>IF(JT785=KJ785,"ok","male")</f>
        <v>ok</v>
      </c>
      <c r="JW785" s="712" t="str">
        <f>IF(JU785=KK785,"ok","female")</f>
        <v>ok</v>
      </c>
      <c r="JX785" s="770">
        <v>2</v>
      </c>
      <c r="JY785" s="770"/>
      <c r="JZ785" s="770">
        <v>1</v>
      </c>
      <c r="KA785" s="770"/>
      <c r="KB785" s="770"/>
      <c r="KC785" s="770">
        <v>1</v>
      </c>
      <c r="KD785" s="770">
        <v>1</v>
      </c>
      <c r="KE785" s="770"/>
      <c r="KF785" s="770"/>
      <c r="KG785" s="770"/>
      <c r="KH785" s="770"/>
      <c r="KI785" s="770"/>
      <c r="KJ785" s="770">
        <f t="shared" si="249"/>
        <v>4</v>
      </c>
      <c r="KK785" s="770">
        <f t="shared" si="249"/>
        <v>1</v>
      </c>
      <c r="KL785" s="712" t="str">
        <f>IF(KJ785=LN785,"ok","male")</f>
        <v>ok</v>
      </c>
      <c r="KM785" s="712" t="str">
        <f>IF(KK785=LO785,"ok","female")</f>
        <v>ok</v>
      </c>
      <c r="KN785" s="770" t="s">
        <v>722</v>
      </c>
      <c r="KO785" s="770"/>
      <c r="KP785" s="770"/>
      <c r="KQ785" s="770"/>
      <c r="KR785" s="770">
        <v>1</v>
      </c>
      <c r="KS785" s="770"/>
      <c r="KT785" s="770"/>
      <c r="KU785" s="770"/>
      <c r="KV785" s="770">
        <v>1</v>
      </c>
      <c r="KW785" s="770"/>
      <c r="KX785" s="770">
        <v>1</v>
      </c>
      <c r="KY785" s="770"/>
      <c r="KZ785" s="770"/>
      <c r="LA785" s="770">
        <v>1</v>
      </c>
      <c r="LB785" s="770"/>
      <c r="LC785" s="770"/>
      <c r="LD785" s="770"/>
      <c r="LE785" s="770"/>
      <c r="LF785" s="770"/>
      <c r="LG785" s="770"/>
      <c r="LH785" s="770"/>
      <c r="LI785" s="770"/>
      <c r="LJ785" s="770">
        <v>1</v>
      </c>
      <c r="LK785" s="770"/>
      <c r="LL785" s="770"/>
      <c r="LM785" s="770"/>
      <c r="LN785" s="766">
        <f t="shared" si="230"/>
        <v>4</v>
      </c>
      <c r="LO785" s="766">
        <f t="shared" si="230"/>
        <v>1</v>
      </c>
      <c r="LP785" s="770">
        <v>1</v>
      </c>
      <c r="LQ785" s="770"/>
      <c r="LR785" s="770"/>
      <c r="LS785" s="770">
        <v>1</v>
      </c>
      <c r="LT785" s="712" t="str">
        <f>IF(LQ785=SUM(LU785:LW785),"OK","REV")</f>
        <v>OK</v>
      </c>
      <c r="LU785" s="770"/>
      <c r="LV785" s="770"/>
      <c r="LW785" s="770"/>
      <c r="LX785" s="769">
        <v>1</v>
      </c>
      <c r="LY785" s="766" t="str">
        <f t="shared" si="231"/>
        <v>within the BRGY</v>
      </c>
      <c r="LZ785" s="1709"/>
      <c r="MA785" s="1709"/>
      <c r="MB785" s="1709"/>
      <c r="MC785" s="1679">
        <f t="shared" si="229"/>
        <v>0</v>
      </c>
      <c r="MD785" s="1709"/>
      <c r="ME785" s="1709"/>
      <c r="MF785" s="1709">
        <v>9000</v>
      </c>
      <c r="MG785" s="1680">
        <f t="shared" si="246"/>
        <v>9000</v>
      </c>
      <c r="MH785" s="770" t="s">
        <v>2214</v>
      </c>
      <c r="MI785" s="302">
        <v>45000</v>
      </c>
      <c r="MJ785" s="302"/>
      <c r="MK785" s="302">
        <f>700/12</f>
        <v>58.333333333333336</v>
      </c>
      <c r="ML785" s="302">
        <v>3000</v>
      </c>
      <c r="MM785" s="302">
        <v>400</v>
      </c>
      <c r="MN785" s="302"/>
      <c r="MO785" s="302">
        <v>400</v>
      </c>
      <c r="MP785" s="302"/>
      <c r="MQ785" s="302"/>
      <c r="MR785" s="302">
        <v>90</v>
      </c>
      <c r="MS785" s="302"/>
      <c r="MT785" s="302"/>
      <c r="MU785" s="302"/>
      <c r="MV785" s="302"/>
      <c r="MW785" s="302"/>
      <c r="MX785" s="302"/>
      <c r="MY785" s="1682">
        <f t="shared" si="243"/>
        <v>48948.333333333336</v>
      </c>
      <c r="MZ785" s="766" t="s">
        <v>1835</v>
      </c>
      <c r="NA785" s="770" t="s">
        <v>13065</v>
      </c>
      <c r="NB785" s="770" t="s">
        <v>13033</v>
      </c>
      <c r="NC785" s="770" t="s">
        <v>13621</v>
      </c>
      <c r="ND785" s="770">
        <v>0</v>
      </c>
      <c r="NE785" s="770">
        <v>0</v>
      </c>
      <c r="NF785" s="770">
        <v>0</v>
      </c>
      <c r="NG785" s="770">
        <v>1</v>
      </c>
      <c r="NH785" s="770">
        <v>1</v>
      </c>
      <c r="NI785" s="770">
        <v>0</v>
      </c>
      <c r="NJ785" s="770">
        <v>0</v>
      </c>
      <c r="NK785" s="770">
        <v>0</v>
      </c>
      <c r="NL785" s="770">
        <v>0</v>
      </c>
      <c r="NM785" s="770">
        <v>0</v>
      </c>
      <c r="NN785" s="770">
        <v>0</v>
      </c>
      <c r="NO785" s="770">
        <v>0</v>
      </c>
      <c r="NP785" s="770">
        <v>0</v>
      </c>
      <c r="NQ785" s="770">
        <v>0</v>
      </c>
      <c r="NR785" s="770">
        <v>0</v>
      </c>
      <c r="NS785" s="770">
        <v>0</v>
      </c>
      <c r="NT785" s="770">
        <v>0</v>
      </c>
      <c r="NU785" s="770">
        <v>0</v>
      </c>
      <c r="NV785" s="770">
        <v>0</v>
      </c>
      <c r="NW785" s="770">
        <v>0</v>
      </c>
      <c r="NX785" s="770">
        <v>0</v>
      </c>
      <c r="NY785" s="770" t="s">
        <v>1208</v>
      </c>
      <c r="NZ785" s="770"/>
      <c r="OA785" s="770"/>
      <c r="OB785" s="770"/>
      <c r="OC785" s="770" t="s">
        <v>1208</v>
      </c>
      <c r="OD785" s="770"/>
      <c r="OE785" s="770"/>
      <c r="OF785" s="770"/>
      <c r="OG785" s="770"/>
      <c r="OH785" s="770"/>
      <c r="OI785" s="770"/>
      <c r="OJ785" s="770"/>
      <c r="OK785" s="770"/>
      <c r="OL785" s="770"/>
      <c r="OM785" s="770"/>
      <c r="ON785" s="770"/>
      <c r="OO785" s="770"/>
      <c r="OP785" s="770"/>
      <c r="OQ785" s="770"/>
      <c r="OR785" s="770"/>
      <c r="OS785" s="770"/>
      <c r="OT785" s="770"/>
      <c r="OU785" s="770"/>
      <c r="OV785" s="770"/>
      <c r="OW785" s="770"/>
      <c r="OX785" s="770"/>
      <c r="OY785" s="770"/>
      <c r="OZ785" s="770"/>
      <c r="PA785" s="770"/>
      <c r="PB785" s="770"/>
      <c r="PC785" s="770"/>
      <c r="PD785" s="770"/>
      <c r="PE785" s="770"/>
      <c r="PF785" s="770"/>
      <c r="PG785" s="770"/>
      <c r="PH785" s="770"/>
      <c r="PI785" s="770"/>
      <c r="PJ785" s="770"/>
      <c r="PK785" s="770"/>
      <c r="PL785" s="770"/>
      <c r="PM785" s="770"/>
      <c r="PN785" s="770"/>
      <c r="PO785" s="770"/>
      <c r="PP785" s="770"/>
      <c r="PQ785" s="770"/>
      <c r="PR785" s="770"/>
      <c r="PS785" s="770"/>
      <c r="PT785" s="770"/>
      <c r="PU785" s="770"/>
      <c r="PV785" s="770"/>
      <c r="PW785" s="770"/>
      <c r="PX785" s="770"/>
      <c r="PY785" s="770"/>
      <c r="PZ785" s="770"/>
      <c r="QA785" s="770"/>
      <c r="QB785" s="770"/>
      <c r="QC785" s="770"/>
      <c r="QD785" s="770"/>
      <c r="QE785" s="770"/>
      <c r="QF785" s="770"/>
      <c r="QG785" s="770"/>
      <c r="QH785" s="770"/>
      <c r="QI785" s="770"/>
      <c r="QJ785" s="770"/>
      <c r="QK785" s="770"/>
      <c r="QL785" s="770"/>
      <c r="QM785" s="770"/>
      <c r="QN785" s="770"/>
      <c r="QO785" s="770"/>
      <c r="QP785" s="770"/>
      <c r="QQ785" s="770"/>
      <c r="QR785" s="770"/>
      <c r="QS785" s="770"/>
      <c r="QT785" s="770"/>
      <c r="QU785" s="770"/>
      <c r="QV785" s="770"/>
      <c r="QW785" s="770"/>
      <c r="QX785" s="770"/>
      <c r="QY785" s="770"/>
      <c r="QZ785" s="770"/>
      <c r="RA785" s="770"/>
      <c r="RB785" s="770" t="s">
        <v>1214</v>
      </c>
      <c r="RC785" s="770"/>
      <c r="RD785" s="770"/>
      <c r="RE785" s="770"/>
      <c r="RF785" s="304"/>
      <c r="RG785" s="770"/>
      <c r="RH785" s="306"/>
      <c r="RI785" s="770"/>
      <c r="RJ785" s="94" t="s">
        <v>3224</v>
      </c>
      <c r="RK785" s="770" t="s">
        <v>13550</v>
      </c>
      <c r="RL785" s="1710">
        <v>42852</v>
      </c>
      <c r="RM785" s="12"/>
      <c r="RN785" s="1711"/>
      <c r="RO785" s="149" t="s">
        <v>3219</v>
      </c>
      <c r="RP785" s="11"/>
      <c r="RQ785" s="11"/>
      <c r="RR785" s="311" t="s">
        <v>12353</v>
      </c>
      <c r="RS785" s="1139" t="s">
        <v>12980</v>
      </c>
      <c r="RT785" s="11"/>
      <c r="RU785" s="11"/>
      <c r="RV785" s="771" t="s">
        <v>7421</v>
      </c>
      <c r="RW785" s="11" t="s">
        <v>8037</v>
      </c>
      <c r="RX785" s="11" t="s">
        <v>5089</v>
      </c>
      <c r="RY785" s="11"/>
      <c r="RZ785" s="11"/>
      <c r="SA785" s="771"/>
      <c r="SB785" s="11"/>
      <c r="SC785" s="11"/>
    </row>
    <row r="786" spans="1:497" ht="12.75" customHeight="1">
      <c r="A786" s="19" t="s">
        <v>7421</v>
      </c>
      <c r="B786" s="292" t="s">
        <v>7467</v>
      </c>
      <c r="C786" s="149" t="s">
        <v>5092</v>
      </c>
      <c r="D786" s="94" t="s">
        <v>5125</v>
      </c>
      <c r="E786" s="766" t="s">
        <v>5126</v>
      </c>
      <c r="F786" s="770" t="s">
        <v>28</v>
      </c>
      <c r="G786" s="770" t="s">
        <v>18</v>
      </c>
      <c r="H786" s="12"/>
      <c r="I786" s="295" t="s">
        <v>5127</v>
      </c>
      <c r="J786" s="94" t="s">
        <v>5125</v>
      </c>
      <c r="K786" s="766"/>
      <c r="L786" s="766"/>
      <c r="M786" s="770" t="s">
        <v>1238</v>
      </c>
      <c r="N786" s="1757"/>
      <c r="O786" s="1757" t="s">
        <v>4830</v>
      </c>
      <c r="P786" s="94" t="s">
        <v>5128</v>
      </c>
      <c r="Q786" s="1088">
        <v>34616</v>
      </c>
      <c r="R786" s="297">
        <v>22</v>
      </c>
      <c r="S786" s="770" t="s">
        <v>18</v>
      </c>
      <c r="T786" s="770"/>
      <c r="U786" s="295" t="s">
        <v>5127</v>
      </c>
      <c r="V786" s="770" t="s">
        <v>768</v>
      </c>
      <c r="W786" s="770"/>
      <c r="X786" s="770"/>
      <c r="Y786" s="770" t="s">
        <v>5126</v>
      </c>
      <c r="Z786" s="770" t="s">
        <v>708</v>
      </c>
      <c r="AA786" s="12" t="s">
        <v>709</v>
      </c>
      <c r="AB786" s="766" t="s">
        <v>7274</v>
      </c>
      <c r="AC786" s="770" t="s">
        <v>724</v>
      </c>
      <c r="AD786" s="770"/>
      <c r="AE786" s="770"/>
      <c r="AF786" s="770" t="s">
        <v>712</v>
      </c>
      <c r="AG786" s="766" t="s">
        <v>1132</v>
      </c>
      <c r="AH786" s="766" t="s">
        <v>1096</v>
      </c>
      <c r="AI786" s="770"/>
      <c r="AJ786" s="770" t="s">
        <v>1137</v>
      </c>
      <c r="AK786" s="770" t="s">
        <v>1101</v>
      </c>
      <c r="AL786" s="531">
        <v>7.5</v>
      </c>
      <c r="AM786" s="780">
        <v>7.5</v>
      </c>
      <c r="AN786" s="532">
        <f>AM786/AL786</f>
        <v>1</v>
      </c>
      <c r="AO786" s="766" t="s">
        <v>1122</v>
      </c>
      <c r="AP786" s="766"/>
      <c r="AQ786" s="766"/>
      <c r="AR786" s="766"/>
      <c r="AS786" s="770"/>
      <c r="AT786" s="770"/>
      <c r="AU786" s="770"/>
      <c r="AV786" s="770"/>
      <c r="AW786" s="770"/>
      <c r="AX786" s="770"/>
      <c r="AY786" s="770"/>
      <c r="AZ786" s="770"/>
      <c r="BA786" s="770"/>
      <c r="BB786" s="770"/>
      <c r="BC786" s="770"/>
      <c r="BD786" s="770"/>
      <c r="BE786" s="770"/>
      <c r="BF786" s="302"/>
      <c r="BG786" s="302"/>
      <c r="BH786" s="770"/>
      <c r="BI786" s="770"/>
      <c r="BJ786" s="770"/>
      <c r="BK786" s="766" t="s">
        <v>1095</v>
      </c>
      <c r="BL786" s="766" t="s">
        <v>5837</v>
      </c>
      <c r="BM786" s="770" t="s">
        <v>8127</v>
      </c>
      <c r="BN786" s="766" t="s">
        <v>1230</v>
      </c>
      <c r="BO786" s="766" t="s">
        <v>1246</v>
      </c>
      <c r="BP786" s="1109">
        <v>7.5</v>
      </c>
      <c r="BQ786" s="773">
        <v>7.5</v>
      </c>
      <c r="BR786" s="774">
        <f t="shared" si="247"/>
        <v>1</v>
      </c>
      <c r="BS786" s="766" t="s">
        <v>1257</v>
      </c>
      <c r="BT786" s="766" t="s">
        <v>1326</v>
      </c>
      <c r="BU786" s="770" t="s">
        <v>1249</v>
      </c>
      <c r="BV786" s="770" t="s">
        <v>2432</v>
      </c>
      <c r="BW786" s="770">
        <v>2017</v>
      </c>
      <c r="BX786" s="302"/>
      <c r="BY786" s="770" t="s">
        <v>1207</v>
      </c>
      <c r="BZ786" s="302"/>
      <c r="CA786" s="770"/>
      <c r="CB786" s="770"/>
      <c r="CC786" s="770"/>
      <c r="CD786" s="770"/>
      <c r="CE786" s="302"/>
      <c r="CF786" s="304"/>
      <c r="CG786" s="321"/>
      <c r="CH786" s="770"/>
      <c r="CI786" s="770"/>
      <c r="CJ786" s="770"/>
      <c r="CK786" s="770"/>
      <c r="CL786" s="770"/>
      <c r="CM786" s="770"/>
      <c r="CN786" s="770"/>
      <c r="CO786" s="770"/>
      <c r="CP786" s="770"/>
      <c r="CQ786" s="770"/>
      <c r="CR786" s="302"/>
      <c r="CS786" s="770"/>
      <c r="CT786" s="770"/>
      <c r="CU786" s="305"/>
      <c r="CV786" s="770"/>
      <c r="CW786" s="770"/>
      <c r="CX786" s="770"/>
      <c r="CY786" s="770"/>
      <c r="CZ786" s="770"/>
      <c r="DA786" s="306"/>
      <c r="DB786" s="770"/>
      <c r="DC786" s="770"/>
      <c r="DD786" s="770"/>
      <c r="DE786" s="300"/>
      <c r="DF786" s="770"/>
      <c r="DG786" s="770"/>
      <c r="DH786" s="770"/>
      <c r="DI786" s="770"/>
      <c r="DJ786" s="770"/>
      <c r="DK786" s="770"/>
      <c r="DL786" s="770"/>
      <c r="DM786" s="770"/>
      <c r="DN786" s="322"/>
      <c r="DO786" s="770"/>
      <c r="DP786" s="770"/>
      <c r="DQ786" s="770"/>
      <c r="DR786" s="770"/>
      <c r="DS786" s="307"/>
      <c r="DT786" s="770"/>
      <c r="DU786" s="770"/>
      <c r="DV786" s="770"/>
      <c r="DW786" s="306"/>
      <c r="DX786" s="306"/>
      <c r="DY786" s="1055"/>
      <c r="DZ786" s="770"/>
      <c r="EA786" s="770"/>
      <c r="EB786" s="770"/>
      <c r="EC786" s="770"/>
      <c r="ED786" s="770"/>
      <c r="EE786" s="770"/>
      <c r="EF786" s="770"/>
      <c r="EG786" s="770"/>
      <c r="EH786" s="770"/>
      <c r="EI786" s="770"/>
      <c r="EJ786" s="770"/>
      <c r="EK786" s="770"/>
      <c r="EL786" s="770"/>
      <c r="EM786" s="770"/>
      <c r="EN786" s="770"/>
      <c r="EO786" s="770"/>
      <c r="EP786" s="94"/>
      <c r="EQ786" s="770"/>
      <c r="ER786" s="770"/>
      <c r="ES786" s="770"/>
      <c r="ET786" s="770"/>
      <c r="EU786" s="770"/>
      <c r="EV786" s="770"/>
      <c r="EW786" s="770"/>
      <c r="EX786" s="770"/>
      <c r="EY786" s="770"/>
      <c r="EZ786" s="770"/>
      <c r="FA786" s="770"/>
      <c r="FB786" s="770"/>
      <c r="FC786" s="770"/>
      <c r="FD786" s="302"/>
      <c r="FE786" s="770"/>
      <c r="FF786" s="770"/>
      <c r="FG786" s="770"/>
      <c r="FH786" s="770" t="s">
        <v>478</v>
      </c>
      <c r="FI786" s="770">
        <v>1</v>
      </c>
      <c r="FJ786" s="770"/>
      <c r="FK786" s="770"/>
      <c r="FL786" s="770"/>
      <c r="FM786" s="302"/>
      <c r="FN786" s="302"/>
      <c r="FO786" s="302"/>
      <c r="FP786" s="766" t="s">
        <v>1602</v>
      </c>
      <c r="FQ786" s="766" t="s">
        <v>1660</v>
      </c>
      <c r="FR786" s="770" t="s">
        <v>1214</v>
      </c>
      <c r="FS786" s="770"/>
      <c r="FT786" s="770"/>
      <c r="FU786" s="770"/>
      <c r="FV786" s="770"/>
      <c r="FW786" s="770"/>
      <c r="FX786" s="770"/>
      <c r="FY786" s="770"/>
      <c r="FZ786" s="770"/>
      <c r="GA786" s="770"/>
      <c r="GB786" s="770" t="s">
        <v>1734</v>
      </c>
      <c r="GC786" s="308"/>
      <c r="GD786" s="297">
        <v>2017</v>
      </c>
      <c r="GE786" s="770" t="s">
        <v>1214</v>
      </c>
      <c r="GF786" s="302"/>
      <c r="GG786" s="302"/>
      <c r="GH786" s="712" t="s">
        <v>1791</v>
      </c>
      <c r="GI786" s="770"/>
      <c r="GJ786" s="770"/>
      <c r="GK786" s="770" t="s">
        <v>2335</v>
      </c>
      <c r="GL786" s="770"/>
      <c r="GM786" s="770"/>
      <c r="GN786" s="299"/>
      <c r="GO786" s="770" t="s">
        <v>2770</v>
      </c>
      <c r="GP786" s="770" t="s">
        <v>1208</v>
      </c>
      <c r="GQ786" s="770" t="s">
        <v>1208</v>
      </c>
      <c r="GR786" s="770" t="s">
        <v>1208</v>
      </c>
      <c r="GS786" s="770" t="s">
        <v>1208</v>
      </c>
      <c r="GT786" s="770" t="s">
        <v>1208</v>
      </c>
      <c r="GU786" s="770"/>
      <c r="GV786" s="770"/>
      <c r="GW786" s="770" t="s">
        <v>1207</v>
      </c>
      <c r="GX786" s="770"/>
      <c r="GY786" s="770" t="s">
        <v>1208</v>
      </c>
      <c r="GZ786" s="770" t="s">
        <v>1208</v>
      </c>
      <c r="HA786" s="770" t="s">
        <v>1208</v>
      </c>
      <c r="HB786" s="770" t="s">
        <v>1208</v>
      </c>
      <c r="HC786" s="770" t="s">
        <v>1208</v>
      </c>
      <c r="HD786" s="770" t="s">
        <v>1208</v>
      </c>
      <c r="HE786" s="770" t="s">
        <v>1208</v>
      </c>
      <c r="HF786" s="770"/>
      <c r="HG786" s="770"/>
      <c r="HH786" s="770"/>
      <c r="HI786" s="770" t="s">
        <v>1214</v>
      </c>
      <c r="HJ786" s="770"/>
      <c r="HK786" s="770"/>
      <c r="HL786" s="770"/>
      <c r="HM786" s="770"/>
      <c r="HN786" s="770"/>
      <c r="HO786" s="770"/>
      <c r="HP786" s="770"/>
      <c r="HQ786" s="770"/>
      <c r="HR786" s="770"/>
      <c r="HS786" s="770"/>
      <c r="HT786" s="770"/>
      <c r="HU786" s="770"/>
      <c r="HV786" s="770"/>
      <c r="HW786" s="770"/>
      <c r="HX786" s="770"/>
      <c r="HY786" s="770"/>
      <c r="HZ786" s="770"/>
      <c r="IA786" s="770"/>
      <c r="IB786" s="14" t="e">
        <f>IF(#REF!&gt;0,IF(#REF!&lt;=10000,"Y",""),"")</f>
        <v>#REF!</v>
      </c>
      <c r="IC786" s="770" t="s">
        <v>1207</v>
      </c>
      <c r="ID786" s="770"/>
      <c r="IE786" s="770"/>
      <c r="IF786" s="770" t="s">
        <v>5129</v>
      </c>
      <c r="IG786" s="770" t="s">
        <v>18</v>
      </c>
      <c r="IH786" s="770" t="s">
        <v>478</v>
      </c>
      <c r="II786" s="770" t="s">
        <v>5126</v>
      </c>
      <c r="IJ786" s="770" t="s">
        <v>1898</v>
      </c>
      <c r="IK786" s="766" t="s">
        <v>1888</v>
      </c>
      <c r="IL786" s="770" t="s">
        <v>5096</v>
      </c>
      <c r="IM786" s="770">
        <v>2016</v>
      </c>
      <c r="IN786" s="770" t="s">
        <v>5096</v>
      </c>
      <c r="IO786" s="296">
        <v>34616</v>
      </c>
      <c r="IP786" s="770" t="s">
        <v>478</v>
      </c>
      <c r="IQ786" s="13" t="s">
        <v>1898</v>
      </c>
      <c r="IR786" s="770" t="s">
        <v>2716</v>
      </c>
      <c r="IS786" s="770" t="s">
        <v>740</v>
      </c>
      <c r="IT786" s="770"/>
      <c r="IU786" s="770" t="s">
        <v>1208</v>
      </c>
      <c r="IV786" s="770"/>
      <c r="IW786" s="770" t="s">
        <v>14007</v>
      </c>
      <c r="IX786" s="770"/>
      <c r="IY786" s="770"/>
      <c r="IZ786" s="770"/>
      <c r="JA786" s="770" t="s">
        <v>1880</v>
      </c>
      <c r="JB786" s="770" t="s">
        <v>1901</v>
      </c>
      <c r="JC786" s="770"/>
      <c r="JD786" s="302">
        <v>3000</v>
      </c>
      <c r="JE786" s="770"/>
      <c r="JF786" s="770"/>
      <c r="JG786" s="770"/>
      <c r="JH786" s="307"/>
      <c r="JI786" s="307"/>
      <c r="JJ786" s="770">
        <v>4</v>
      </c>
      <c r="JK786" s="1139" t="s">
        <v>5096</v>
      </c>
      <c r="JL786" s="770">
        <v>1</v>
      </c>
      <c r="JM786" s="770">
        <v>1</v>
      </c>
      <c r="JN786" s="770">
        <v>1</v>
      </c>
      <c r="JO786" s="770">
        <v>1</v>
      </c>
      <c r="JP786" s="770"/>
      <c r="JQ786" s="770"/>
      <c r="JR786" s="770"/>
      <c r="JS786" s="770"/>
      <c r="JT786" s="766">
        <f t="shared" si="248"/>
        <v>2</v>
      </c>
      <c r="JU786" s="766">
        <f t="shared" si="248"/>
        <v>2</v>
      </c>
      <c r="JV786" s="712" t="str">
        <f>IF(JT786=KJ786,"ok","male")</f>
        <v>ok</v>
      </c>
      <c r="JW786" s="712" t="str">
        <f>IF(JU786=KK786,"ok","female")</f>
        <v>ok</v>
      </c>
      <c r="JX786" s="770">
        <v>1</v>
      </c>
      <c r="JY786" s="770">
        <v>1</v>
      </c>
      <c r="JZ786" s="770"/>
      <c r="KA786" s="770"/>
      <c r="KB786" s="770"/>
      <c r="KC786" s="770">
        <v>1</v>
      </c>
      <c r="KD786" s="770">
        <v>1</v>
      </c>
      <c r="KE786" s="770"/>
      <c r="KF786" s="770"/>
      <c r="KG786" s="770"/>
      <c r="KH786" s="770"/>
      <c r="KI786" s="770"/>
      <c r="KJ786" s="770">
        <f t="shared" si="249"/>
        <v>2</v>
      </c>
      <c r="KK786" s="770">
        <f t="shared" si="249"/>
        <v>2</v>
      </c>
      <c r="KL786" s="712" t="str">
        <f>IF(KJ786=LN786,"ok","male")</f>
        <v>ok</v>
      </c>
      <c r="KM786" s="712" t="str">
        <f>IF(KK786=LO786,"ok","female")</f>
        <v>ok</v>
      </c>
      <c r="KN786" s="770" t="s">
        <v>722</v>
      </c>
      <c r="KO786" s="770"/>
      <c r="KP786" s="770"/>
      <c r="KQ786" s="770"/>
      <c r="KR786" s="770"/>
      <c r="KS786" s="770">
        <v>1</v>
      </c>
      <c r="KT786" s="770"/>
      <c r="KU786" s="770"/>
      <c r="KV786" s="770"/>
      <c r="KW786" s="770"/>
      <c r="KX786" s="770"/>
      <c r="KY786" s="770">
        <v>1</v>
      </c>
      <c r="KZ786" s="770">
        <v>1</v>
      </c>
      <c r="LA786" s="770"/>
      <c r="LB786" s="770"/>
      <c r="LC786" s="770"/>
      <c r="LD786" s="770"/>
      <c r="LE786" s="770"/>
      <c r="LF786" s="770"/>
      <c r="LG786" s="770"/>
      <c r="LH786" s="770"/>
      <c r="LI786" s="770"/>
      <c r="LJ786" s="770">
        <v>1</v>
      </c>
      <c r="LK786" s="770"/>
      <c r="LL786" s="770"/>
      <c r="LM786" s="770"/>
      <c r="LN786" s="766">
        <f t="shared" si="230"/>
        <v>2</v>
      </c>
      <c r="LO786" s="766">
        <f t="shared" si="230"/>
        <v>2</v>
      </c>
      <c r="LP786" s="770">
        <v>1</v>
      </c>
      <c r="LQ786" s="770"/>
      <c r="LR786" s="770"/>
      <c r="LS786" s="770">
        <v>1</v>
      </c>
      <c r="LT786" s="712" t="str">
        <f>IF(LQ786=SUM(LU786:LW786),"OK","REV")</f>
        <v>OK</v>
      </c>
      <c r="LU786" s="770"/>
      <c r="LV786" s="770"/>
      <c r="LW786" s="770"/>
      <c r="LX786" s="769">
        <v>1</v>
      </c>
      <c r="LY786" s="766" t="str">
        <f t="shared" si="231"/>
        <v>within the BRGY</v>
      </c>
      <c r="LZ786" s="1709"/>
      <c r="MA786" s="1709"/>
      <c r="MB786" s="1709"/>
      <c r="MC786" s="1679">
        <f t="shared" si="229"/>
        <v>0</v>
      </c>
      <c r="MD786" s="1709"/>
      <c r="ME786" s="1709"/>
      <c r="MF786" s="1709">
        <v>3000</v>
      </c>
      <c r="MG786" s="1680">
        <f t="shared" si="246"/>
        <v>3000</v>
      </c>
      <c r="MH786" s="770" t="s">
        <v>1909</v>
      </c>
      <c r="MI786" s="302">
        <v>3000</v>
      </c>
      <c r="MJ786" s="302"/>
      <c r="MK786" s="302"/>
      <c r="ML786" s="302"/>
      <c r="MM786" s="302">
        <v>300</v>
      </c>
      <c r="MN786" s="302"/>
      <c r="MO786" s="302"/>
      <c r="MP786" s="302"/>
      <c r="MQ786" s="302">
        <v>200</v>
      </c>
      <c r="MR786" s="302"/>
      <c r="MS786" s="302"/>
      <c r="MT786" s="302"/>
      <c r="MU786" s="302"/>
      <c r="MV786" s="302"/>
      <c r="MW786" s="302"/>
      <c r="MX786" s="302"/>
      <c r="MY786" s="1682">
        <f t="shared" si="243"/>
        <v>3500</v>
      </c>
      <c r="MZ786" s="766" t="s">
        <v>1835</v>
      </c>
      <c r="NA786" s="770" t="s">
        <v>13230</v>
      </c>
      <c r="NB786" s="770" t="s">
        <v>13151</v>
      </c>
      <c r="NC786" s="770" t="s">
        <v>13965</v>
      </c>
      <c r="ND786" s="770">
        <v>0</v>
      </c>
      <c r="NE786" s="770">
        <v>0</v>
      </c>
      <c r="NF786" s="770">
        <v>0</v>
      </c>
      <c r="NG786" s="770">
        <v>1</v>
      </c>
      <c r="NH786" s="770">
        <v>1</v>
      </c>
      <c r="NI786" s="770">
        <v>0</v>
      </c>
      <c r="NJ786" s="770">
        <v>0</v>
      </c>
      <c r="NK786" s="770">
        <v>0</v>
      </c>
      <c r="NL786" s="770">
        <v>0</v>
      </c>
      <c r="NM786" s="770">
        <v>0</v>
      </c>
      <c r="NN786" s="770">
        <v>0</v>
      </c>
      <c r="NO786" s="770">
        <v>0</v>
      </c>
      <c r="NP786" s="770">
        <v>0</v>
      </c>
      <c r="NQ786" s="770">
        <v>0</v>
      </c>
      <c r="NR786" s="770">
        <v>0</v>
      </c>
      <c r="NS786" s="770">
        <v>0</v>
      </c>
      <c r="NT786" s="770">
        <v>0</v>
      </c>
      <c r="NU786" s="770">
        <v>0</v>
      </c>
      <c r="NV786" s="770">
        <v>0</v>
      </c>
      <c r="NW786" s="770">
        <v>0</v>
      </c>
      <c r="NX786" s="770">
        <v>0</v>
      </c>
      <c r="NY786" s="770" t="s">
        <v>1208</v>
      </c>
      <c r="NZ786" s="770" t="s">
        <v>1208</v>
      </c>
      <c r="OA786" s="770" t="s">
        <v>1208</v>
      </c>
      <c r="OB786" s="770" t="s">
        <v>1208</v>
      </c>
      <c r="OC786" s="770" t="s">
        <v>1208</v>
      </c>
      <c r="OD786" s="770"/>
      <c r="OE786" s="770"/>
      <c r="OF786" s="1828" t="s">
        <v>3650</v>
      </c>
      <c r="OG786" s="770"/>
      <c r="OH786" s="770"/>
      <c r="OI786" s="770"/>
      <c r="OJ786" s="770"/>
      <c r="OK786" s="770"/>
      <c r="OL786" s="770"/>
      <c r="OM786" s="770"/>
      <c r="ON786" s="770"/>
      <c r="OO786" s="770"/>
      <c r="OP786" s="770"/>
      <c r="OQ786" s="770"/>
      <c r="OR786" s="770"/>
      <c r="OS786" s="770"/>
      <c r="OT786" s="770"/>
      <c r="OU786" s="770"/>
      <c r="OV786" s="770"/>
      <c r="OW786" s="770"/>
      <c r="OX786" s="770"/>
      <c r="OY786" s="770"/>
      <c r="OZ786" s="770"/>
      <c r="PA786" s="770"/>
      <c r="PB786" s="770"/>
      <c r="PC786" s="770"/>
      <c r="PD786" s="770"/>
      <c r="PE786" s="770"/>
      <c r="PF786" s="770"/>
      <c r="PG786" s="770"/>
      <c r="PH786" s="770"/>
      <c r="PI786" s="770"/>
      <c r="PJ786" s="770"/>
      <c r="PK786" s="770" t="s">
        <v>1208</v>
      </c>
      <c r="PL786" s="770"/>
      <c r="PM786" s="770"/>
      <c r="PN786" s="770"/>
      <c r="PO786" s="770"/>
      <c r="PP786" s="770"/>
      <c r="PQ786" s="770"/>
      <c r="PR786" s="770"/>
      <c r="PS786" s="770"/>
      <c r="PT786" s="770"/>
      <c r="PU786" s="770"/>
      <c r="PV786" s="770"/>
      <c r="PW786" s="770"/>
      <c r="PX786" s="770"/>
      <c r="PY786" s="770"/>
      <c r="PZ786" s="770"/>
      <c r="QA786" s="770"/>
      <c r="QB786" s="770"/>
      <c r="QC786" s="770"/>
      <c r="QD786" s="770"/>
      <c r="QE786" s="770"/>
      <c r="QF786" s="770"/>
      <c r="QG786" s="770"/>
      <c r="QH786" s="770"/>
      <c r="QI786" s="770"/>
      <c r="QJ786" s="770"/>
      <c r="QK786" s="770"/>
      <c r="QL786" s="770"/>
      <c r="QM786" s="770"/>
      <c r="QN786" s="770"/>
      <c r="QO786" s="770"/>
      <c r="QP786" s="770"/>
      <c r="QQ786" s="770"/>
      <c r="QR786" s="770"/>
      <c r="QS786" s="770"/>
      <c r="QT786" s="770"/>
      <c r="QU786" s="770"/>
      <c r="QV786" s="770"/>
      <c r="QW786" s="770"/>
      <c r="QX786" s="770"/>
      <c r="QY786" s="770"/>
      <c r="QZ786" s="770"/>
      <c r="RA786" s="770"/>
      <c r="RB786" s="770" t="s">
        <v>1214</v>
      </c>
      <c r="RC786" s="770"/>
      <c r="RD786" s="770"/>
      <c r="RE786" s="770"/>
      <c r="RF786" s="304"/>
      <c r="RG786" s="770"/>
      <c r="RH786" s="306"/>
      <c r="RI786" s="770"/>
      <c r="RJ786" s="94" t="s">
        <v>14008</v>
      </c>
      <c r="RK786" s="770" t="s">
        <v>13544</v>
      </c>
      <c r="RL786" s="1710" t="s">
        <v>1604</v>
      </c>
      <c r="RM786" s="12"/>
      <c r="RN786" s="1711"/>
      <c r="RO786" s="149" t="s">
        <v>5092</v>
      </c>
      <c r="RP786" s="11"/>
      <c r="RQ786" s="11"/>
      <c r="RR786" s="19" t="s">
        <v>7421</v>
      </c>
      <c r="RS786" s="1139" t="s">
        <v>12980</v>
      </c>
      <c r="RT786" s="11"/>
      <c r="RU786" s="11"/>
      <c r="RV786" s="771" t="s">
        <v>7421</v>
      </c>
      <c r="RW786" s="11" t="s">
        <v>7465</v>
      </c>
      <c r="RX786" s="11" t="s">
        <v>3219</v>
      </c>
      <c r="RY786" s="11"/>
      <c r="RZ786" s="11" t="s">
        <v>2209</v>
      </c>
      <c r="SA786" s="771"/>
      <c r="SB786" s="11"/>
      <c r="SC786" s="11"/>
    </row>
    <row r="787" spans="1:497" ht="12.75" customHeight="1">
      <c r="A787" s="19" t="s">
        <v>7421</v>
      </c>
      <c r="B787" s="809" t="s">
        <v>7468</v>
      </c>
      <c r="C787" s="149" t="s">
        <v>5093</v>
      </c>
      <c r="D787" s="94" t="s">
        <v>5134</v>
      </c>
      <c r="E787" s="766" t="s">
        <v>5132</v>
      </c>
      <c r="F787" s="770" t="s">
        <v>28</v>
      </c>
      <c r="G787" s="770" t="s">
        <v>18</v>
      </c>
      <c r="H787" s="12"/>
      <c r="I787" s="295" t="s">
        <v>5133</v>
      </c>
      <c r="J787" s="94" t="s">
        <v>5134</v>
      </c>
      <c r="K787" s="766" t="s">
        <v>5135</v>
      </c>
      <c r="L787" s="766" t="s">
        <v>2721</v>
      </c>
      <c r="M787" s="770" t="s">
        <v>1238</v>
      </c>
      <c r="N787" s="1757"/>
      <c r="O787" s="1757" t="s">
        <v>3255</v>
      </c>
      <c r="P787" s="94" t="s">
        <v>5131</v>
      </c>
      <c r="Q787" s="1088">
        <v>16964</v>
      </c>
      <c r="R787" s="297">
        <v>71</v>
      </c>
      <c r="S787" s="770" t="s">
        <v>18</v>
      </c>
      <c r="T787" s="770"/>
      <c r="U787" s="295" t="s">
        <v>5133</v>
      </c>
      <c r="V787" s="770" t="s">
        <v>719</v>
      </c>
      <c r="W787" s="770"/>
      <c r="X787" s="770"/>
      <c r="Y787" s="770" t="s">
        <v>5132</v>
      </c>
      <c r="Z787" s="770" t="s">
        <v>708</v>
      </c>
      <c r="AA787" s="770" t="s">
        <v>709</v>
      </c>
      <c r="AB787" s="770" t="s">
        <v>710</v>
      </c>
      <c r="AC787" s="770"/>
      <c r="AD787" s="770" t="s">
        <v>711</v>
      </c>
      <c r="AE787" s="770"/>
      <c r="AF787" s="770" t="s">
        <v>712</v>
      </c>
      <c r="AG787" s="766" t="s">
        <v>1095</v>
      </c>
      <c r="AH787" s="766" t="s">
        <v>1096</v>
      </c>
      <c r="AI787" s="770" t="s">
        <v>3294</v>
      </c>
      <c r="AJ787" s="770"/>
      <c r="AK787" s="770" t="s">
        <v>1101</v>
      </c>
      <c r="AL787" s="531">
        <v>17.100000000000001</v>
      </c>
      <c r="AM787" s="780">
        <v>4.5</v>
      </c>
      <c r="AN787" s="532">
        <f>AM787/AL787</f>
        <v>0.26315789473684209</v>
      </c>
      <c r="AO787" s="766" t="s">
        <v>1149</v>
      </c>
      <c r="AP787" s="766"/>
      <c r="AQ787" s="766"/>
      <c r="AR787" s="766"/>
      <c r="AS787" s="770"/>
      <c r="AT787" s="770"/>
      <c r="AU787" s="770"/>
      <c r="AV787" s="770"/>
      <c r="AW787" s="770"/>
      <c r="AX787" s="770"/>
      <c r="AY787" s="770"/>
      <c r="AZ787" s="770"/>
      <c r="BA787" s="770"/>
      <c r="BB787" s="770"/>
      <c r="BC787" s="770"/>
      <c r="BD787" s="770"/>
      <c r="BE787" s="770"/>
      <c r="BF787" s="302"/>
      <c r="BG787" s="302"/>
      <c r="BH787" s="770"/>
      <c r="BI787" s="770"/>
      <c r="BJ787" s="770"/>
      <c r="BK787" s="766" t="s">
        <v>1095</v>
      </c>
      <c r="BL787" s="766" t="s">
        <v>5136</v>
      </c>
      <c r="BM787" s="766" t="s">
        <v>1096</v>
      </c>
      <c r="BN787" s="766" t="s">
        <v>1230</v>
      </c>
      <c r="BO787" s="766" t="s">
        <v>1239</v>
      </c>
      <c r="BP787" s="1109">
        <v>34.200000000000003</v>
      </c>
      <c r="BQ787" s="773">
        <v>9</v>
      </c>
      <c r="BR787" s="774">
        <f t="shared" si="247"/>
        <v>0.26315789473684209</v>
      </c>
      <c r="BS787" s="766" t="s">
        <v>1149</v>
      </c>
      <c r="BT787" s="766" t="s">
        <v>8133</v>
      </c>
      <c r="BU787" s="770" t="s">
        <v>1249</v>
      </c>
      <c r="BV787" s="770" t="s">
        <v>1247</v>
      </c>
      <c r="BW787" s="770">
        <v>2003</v>
      </c>
      <c r="BX787" s="302"/>
      <c r="BY787" s="770"/>
      <c r="BZ787" s="302"/>
      <c r="CA787" s="770"/>
      <c r="CB787" s="770"/>
      <c r="CC787" s="770"/>
      <c r="CD787" s="770"/>
      <c r="CE787" s="302"/>
      <c r="CF787" s="304"/>
      <c r="CG787" s="321"/>
      <c r="CH787" s="770"/>
      <c r="CI787" s="770"/>
      <c r="CJ787" s="770"/>
      <c r="CK787" s="770"/>
      <c r="CL787" s="770"/>
      <c r="CM787" s="770"/>
      <c r="CN787" s="770"/>
      <c r="CO787" s="770"/>
      <c r="CP787" s="770"/>
      <c r="CQ787" s="770"/>
      <c r="CR787" s="302"/>
      <c r="CS787" s="770"/>
      <c r="CT787" s="770"/>
      <c r="CU787" s="305"/>
      <c r="CV787" s="770"/>
      <c r="CW787" s="770"/>
      <c r="CX787" s="770"/>
      <c r="CY787" s="770"/>
      <c r="CZ787" s="770"/>
      <c r="DA787" s="306"/>
      <c r="DB787" s="770"/>
      <c r="DC787" s="770"/>
      <c r="DD787" s="770"/>
      <c r="DE787" s="300"/>
      <c r="DF787" s="770"/>
      <c r="DG787" s="770"/>
      <c r="DH787" s="770"/>
      <c r="DI787" s="770"/>
      <c r="DJ787" s="770"/>
      <c r="DK787" s="770"/>
      <c r="DL787" s="770"/>
      <c r="DM787" s="770"/>
      <c r="DN787" s="322"/>
      <c r="DO787" s="770"/>
      <c r="DP787" s="770"/>
      <c r="DQ787" s="770"/>
      <c r="DR787" s="770"/>
      <c r="DS787" s="307"/>
      <c r="DT787" s="770"/>
      <c r="DU787" s="770"/>
      <c r="DV787" s="770"/>
      <c r="DW787" s="306"/>
      <c r="DX787" s="306"/>
      <c r="DY787" s="1055"/>
      <c r="DZ787" s="770"/>
      <c r="EA787" s="770"/>
      <c r="EB787" s="770"/>
      <c r="EC787" s="770"/>
      <c r="ED787" s="770"/>
      <c r="EE787" s="770"/>
      <c r="EF787" s="770"/>
      <c r="EG787" s="770"/>
      <c r="EH787" s="770"/>
      <c r="EI787" s="770"/>
      <c r="EJ787" s="770"/>
      <c r="EK787" s="770"/>
      <c r="EL787" s="770"/>
      <c r="EM787" s="770"/>
      <c r="EN787" s="770"/>
      <c r="EO787" s="770"/>
      <c r="EP787" s="94"/>
      <c r="EQ787" s="770"/>
      <c r="ER787" s="770"/>
      <c r="ES787" s="770"/>
      <c r="ET787" s="770"/>
      <c r="EU787" s="770"/>
      <c r="EV787" s="770"/>
      <c r="EW787" s="770"/>
      <c r="EX787" s="770"/>
      <c r="EY787" s="770"/>
      <c r="EZ787" s="770"/>
      <c r="FA787" s="770"/>
      <c r="FB787" s="770"/>
      <c r="FC787" s="770"/>
      <c r="FD787" s="302"/>
      <c r="FE787" s="770"/>
      <c r="FF787" s="770"/>
      <c r="FG787" s="770"/>
      <c r="FH787" s="770" t="s">
        <v>478</v>
      </c>
      <c r="FI787" s="770">
        <v>1</v>
      </c>
      <c r="FJ787" s="770"/>
      <c r="FK787" s="770"/>
      <c r="FL787" s="770"/>
      <c r="FM787" s="302"/>
      <c r="FN787" s="302"/>
      <c r="FO787" s="302"/>
      <c r="FP787" s="766" t="s">
        <v>1602</v>
      </c>
      <c r="FQ787" s="766" t="s">
        <v>1660</v>
      </c>
      <c r="FR787" s="770" t="s">
        <v>1214</v>
      </c>
      <c r="FS787" s="770"/>
      <c r="FT787" s="770"/>
      <c r="FU787" s="770"/>
      <c r="FV787" s="770"/>
      <c r="FW787" s="770"/>
      <c r="FX787" s="770"/>
      <c r="FY787" s="770"/>
      <c r="FZ787" s="770"/>
      <c r="GA787" s="770"/>
      <c r="GB787" s="770" t="s">
        <v>1734</v>
      </c>
      <c r="GC787" s="308"/>
      <c r="GD787" s="297">
        <v>2003</v>
      </c>
      <c r="GE787" s="770" t="s">
        <v>1214</v>
      </c>
      <c r="GF787" s="302"/>
      <c r="GG787" s="302"/>
      <c r="GH787" s="712" t="s">
        <v>14260</v>
      </c>
      <c r="GI787" s="770"/>
      <c r="GJ787" s="770"/>
      <c r="GK787" s="770"/>
      <c r="GL787" s="770"/>
      <c r="GM787" s="770"/>
      <c r="GN787" s="299"/>
      <c r="GO787" s="770"/>
      <c r="GP787" s="770"/>
      <c r="GQ787" s="770"/>
      <c r="GR787" s="770"/>
      <c r="GS787" s="770"/>
      <c r="GT787" s="770"/>
      <c r="GU787" s="770"/>
      <c r="GV787" s="770"/>
      <c r="GW787" s="770"/>
      <c r="GX787" s="770"/>
      <c r="GY787" s="770"/>
      <c r="GZ787" s="770"/>
      <c r="HA787" s="770"/>
      <c r="HB787" s="770"/>
      <c r="HC787" s="770"/>
      <c r="HD787" s="770"/>
      <c r="HE787" s="770"/>
      <c r="HF787" s="770"/>
      <c r="HG787" s="770"/>
      <c r="HH787" s="770"/>
      <c r="HI787" s="770"/>
      <c r="HJ787" s="770"/>
      <c r="HK787" s="770"/>
      <c r="HL787" s="770"/>
      <c r="HM787" s="770"/>
      <c r="HN787" s="770"/>
      <c r="HO787" s="770"/>
      <c r="HP787" s="770"/>
      <c r="HQ787" s="770"/>
      <c r="HR787" s="770"/>
      <c r="HS787" s="770"/>
      <c r="HT787" s="770"/>
      <c r="HU787" s="770"/>
      <c r="HV787" s="770"/>
      <c r="HW787" s="770"/>
      <c r="HX787" s="770"/>
      <c r="HY787" s="770"/>
      <c r="HZ787" s="770"/>
      <c r="IA787" s="770"/>
      <c r="IB787" s="14" t="e">
        <f>IF(#REF!&gt;0,IF(#REF!&lt;=10000,"Y",""),"")</f>
        <v>#REF!</v>
      </c>
      <c r="IC787" s="770" t="s">
        <v>1207</v>
      </c>
      <c r="ID787" s="770">
        <v>1</v>
      </c>
      <c r="IE787" s="770">
        <v>1</v>
      </c>
      <c r="IF787" s="770"/>
      <c r="IG787" s="770"/>
      <c r="IH787" s="770"/>
      <c r="II787" s="770"/>
      <c r="IJ787" s="770"/>
      <c r="IK787" s="770"/>
      <c r="IL787" s="770"/>
      <c r="IM787" s="770"/>
      <c r="IN787" s="770"/>
      <c r="IO787" s="296"/>
      <c r="IP787" s="770"/>
      <c r="IQ787" s="770"/>
      <c r="IR787" s="770"/>
      <c r="IS787" s="770"/>
      <c r="IT787" s="770"/>
      <c r="IU787" s="770"/>
      <c r="IV787" s="770"/>
      <c r="IW787" s="770"/>
      <c r="IX787" s="770"/>
      <c r="IY787" s="770"/>
      <c r="IZ787" s="770"/>
      <c r="JA787" s="770"/>
      <c r="JB787" s="770"/>
      <c r="JC787" s="770"/>
      <c r="JD787" s="302"/>
      <c r="JE787" s="770"/>
      <c r="JF787" s="770"/>
      <c r="JG787" s="770"/>
      <c r="JH787" s="307"/>
      <c r="JI787" s="307"/>
      <c r="JJ787" s="770">
        <v>7</v>
      </c>
      <c r="JK787" s="1139" t="s">
        <v>5097</v>
      </c>
      <c r="JL787" s="770"/>
      <c r="JM787" s="770"/>
      <c r="JN787" s="770">
        <v>3</v>
      </c>
      <c r="JO787" s="770">
        <v>4</v>
      </c>
      <c r="JP787" s="770"/>
      <c r="JQ787" s="770"/>
      <c r="JR787" s="770"/>
      <c r="JS787" s="770"/>
      <c r="JT787" s="766">
        <f t="shared" si="248"/>
        <v>3</v>
      </c>
      <c r="JU787" s="766">
        <f t="shared" si="248"/>
        <v>4</v>
      </c>
      <c r="JV787" s="712" t="str">
        <f>IF(JT787=KJ787,"ok","male")</f>
        <v>ok</v>
      </c>
      <c r="JW787" s="712" t="str">
        <f>IF(JU787=KK787,"ok","female")</f>
        <v>ok</v>
      </c>
      <c r="JX787" s="770"/>
      <c r="JY787" s="770"/>
      <c r="JZ787" s="770"/>
      <c r="KA787" s="770"/>
      <c r="KB787" s="770">
        <v>2</v>
      </c>
      <c r="KC787" s="770">
        <v>2</v>
      </c>
      <c r="KD787" s="770">
        <v>1</v>
      </c>
      <c r="KE787" s="770">
        <v>1</v>
      </c>
      <c r="KF787" s="770"/>
      <c r="KG787" s="770">
        <v>1</v>
      </c>
      <c r="KH787" s="770"/>
      <c r="KI787" s="770"/>
      <c r="KJ787" s="770">
        <f t="shared" si="249"/>
        <v>3</v>
      </c>
      <c r="KK787" s="770">
        <f t="shared" si="249"/>
        <v>4</v>
      </c>
      <c r="KL787" s="712" t="str">
        <f>IF(KJ787=LN787,"ok","male")</f>
        <v>ok</v>
      </c>
      <c r="KM787" s="712" t="str">
        <f>IF(KK787=LO787,"ok","female")</f>
        <v>ok</v>
      </c>
      <c r="KN787" s="770" t="s">
        <v>719</v>
      </c>
      <c r="KO787" s="770"/>
      <c r="KP787" s="770"/>
      <c r="KQ787" s="770"/>
      <c r="KR787" s="770"/>
      <c r="KS787" s="770"/>
      <c r="KT787" s="770"/>
      <c r="KU787" s="770"/>
      <c r="KV787" s="770"/>
      <c r="KW787" s="770"/>
      <c r="KX787" s="770"/>
      <c r="KY787" s="770"/>
      <c r="KZ787" s="770">
        <v>1</v>
      </c>
      <c r="LA787" s="770">
        <v>1</v>
      </c>
      <c r="LB787" s="770">
        <v>1</v>
      </c>
      <c r="LC787" s="770">
        <v>1</v>
      </c>
      <c r="LD787" s="770">
        <v>1</v>
      </c>
      <c r="LE787" s="770">
        <v>2</v>
      </c>
      <c r="LF787" s="770"/>
      <c r="LG787" s="770"/>
      <c r="LH787" s="770"/>
      <c r="LI787" s="770"/>
      <c r="LJ787" s="770"/>
      <c r="LK787" s="770"/>
      <c r="LL787" s="770"/>
      <c r="LM787" s="770"/>
      <c r="LN787" s="766">
        <f t="shared" si="230"/>
        <v>3</v>
      </c>
      <c r="LO787" s="766">
        <f t="shared" si="230"/>
        <v>4</v>
      </c>
      <c r="LP787" s="770">
        <v>2</v>
      </c>
      <c r="LQ787" s="770">
        <v>2</v>
      </c>
      <c r="LR787" s="770"/>
      <c r="LS787" s="770"/>
      <c r="LT787" s="712" t="str">
        <f>IF(LQ787=SUM(LU787:LW787),"OK","REV")</f>
        <v>OK</v>
      </c>
      <c r="LU787" s="770">
        <v>1</v>
      </c>
      <c r="LV787" s="770">
        <v>1</v>
      </c>
      <c r="LW787" s="770"/>
      <c r="LX787" s="769"/>
      <c r="LY787" s="766" t="str">
        <f t="shared" si="231"/>
        <v/>
      </c>
      <c r="LZ787" s="1709">
        <f>SUM(32*26,60*26)</f>
        <v>2392</v>
      </c>
      <c r="MA787" s="1709"/>
      <c r="MB787" s="1709"/>
      <c r="MC787" s="1679">
        <f t="shared" si="229"/>
        <v>2392</v>
      </c>
      <c r="MD787" s="1709">
        <f>SUM(250*26,12000)</f>
        <v>18500</v>
      </c>
      <c r="ME787" s="1709"/>
      <c r="MF787" s="1709"/>
      <c r="MG787" s="1680">
        <f t="shared" si="246"/>
        <v>18500</v>
      </c>
      <c r="MH787" s="770" t="s">
        <v>5130</v>
      </c>
      <c r="MI787" s="302">
        <v>8000</v>
      </c>
      <c r="MJ787" s="302">
        <f>92*26</f>
        <v>2392</v>
      </c>
      <c r="MK787" s="302">
        <f>500/12</f>
        <v>41.666666666666664</v>
      </c>
      <c r="ML787" s="302">
        <v>3000</v>
      </c>
      <c r="MM787" s="302">
        <f>50*30</f>
        <v>1500</v>
      </c>
      <c r="MN787" s="302"/>
      <c r="MO787" s="302">
        <v>100</v>
      </c>
      <c r="MP787" s="302"/>
      <c r="MQ787" s="302">
        <v>500</v>
      </c>
      <c r="MR787" s="302">
        <v>860</v>
      </c>
      <c r="MS787" s="302"/>
      <c r="MT787" s="302"/>
      <c r="MU787" s="302"/>
      <c r="MV787" s="302"/>
      <c r="MW787" s="302"/>
      <c r="MX787" s="302"/>
      <c r="MY787" s="1682">
        <f t="shared" si="243"/>
        <v>16393.666666666664</v>
      </c>
      <c r="MZ787" s="766" t="s">
        <v>1835</v>
      </c>
      <c r="NA787" s="770" t="s">
        <v>13230</v>
      </c>
      <c r="NB787" s="770" t="s">
        <v>13016</v>
      </c>
      <c r="NC787" s="770" t="s">
        <v>13602</v>
      </c>
      <c r="ND787" s="770">
        <v>0</v>
      </c>
      <c r="NE787" s="770">
        <v>0</v>
      </c>
      <c r="NF787" s="770">
        <v>0</v>
      </c>
      <c r="NG787" s="770">
        <v>4</v>
      </c>
      <c r="NH787" s="770">
        <v>1</v>
      </c>
      <c r="NI787" s="770">
        <v>0</v>
      </c>
      <c r="NJ787" s="770">
        <v>1</v>
      </c>
      <c r="NK787" s="770">
        <v>0</v>
      </c>
      <c r="NL787" s="770">
        <v>1</v>
      </c>
      <c r="NM787" s="770">
        <v>1</v>
      </c>
      <c r="NN787" s="770">
        <v>0</v>
      </c>
      <c r="NO787" s="770">
        <v>0</v>
      </c>
      <c r="NP787" s="770">
        <v>0</v>
      </c>
      <c r="NQ787" s="770">
        <v>0</v>
      </c>
      <c r="NR787" s="770">
        <v>0</v>
      </c>
      <c r="NS787" s="770">
        <v>0</v>
      </c>
      <c r="NT787" s="770">
        <v>0</v>
      </c>
      <c r="NU787" s="770">
        <v>0</v>
      </c>
      <c r="NV787" s="770">
        <v>0</v>
      </c>
      <c r="NW787" s="770">
        <v>0</v>
      </c>
      <c r="NX787" s="770">
        <v>0</v>
      </c>
      <c r="NY787" s="770" t="s">
        <v>1208</v>
      </c>
      <c r="NZ787" s="770" t="s">
        <v>1208</v>
      </c>
      <c r="OA787" s="770" t="s">
        <v>1208</v>
      </c>
      <c r="OB787" s="770" t="s">
        <v>1208</v>
      </c>
      <c r="OC787" s="770" t="s">
        <v>1208</v>
      </c>
      <c r="OD787" s="770"/>
      <c r="OE787" s="770"/>
      <c r="OF787" s="770"/>
      <c r="OG787" s="770"/>
      <c r="OH787" s="770"/>
      <c r="OI787" s="770"/>
      <c r="OJ787" s="770"/>
      <c r="OK787" s="770"/>
      <c r="OL787" s="770"/>
      <c r="OM787" s="770"/>
      <c r="ON787" s="770"/>
      <c r="OO787" s="770"/>
      <c r="OP787" s="770"/>
      <c r="OQ787" s="770"/>
      <c r="OR787" s="770"/>
      <c r="OS787" s="770"/>
      <c r="OT787" s="770"/>
      <c r="OU787" s="770"/>
      <c r="OV787" s="770"/>
      <c r="OW787" s="770"/>
      <c r="OX787" s="770"/>
      <c r="OY787" s="770"/>
      <c r="OZ787" s="770"/>
      <c r="PA787" s="770"/>
      <c r="PB787" s="770"/>
      <c r="PC787" s="770"/>
      <c r="PD787" s="770"/>
      <c r="PE787" s="770"/>
      <c r="PF787" s="770"/>
      <c r="PG787" s="770"/>
      <c r="PH787" s="770"/>
      <c r="PI787" s="770"/>
      <c r="PJ787" s="770"/>
      <c r="PK787" s="770"/>
      <c r="PL787" s="770"/>
      <c r="PM787" s="770"/>
      <c r="PN787" s="770"/>
      <c r="PO787" s="770"/>
      <c r="PP787" s="770"/>
      <c r="PQ787" s="770"/>
      <c r="PR787" s="770"/>
      <c r="PS787" s="770"/>
      <c r="PT787" s="770"/>
      <c r="PU787" s="770"/>
      <c r="PV787" s="770"/>
      <c r="PW787" s="770"/>
      <c r="PX787" s="770"/>
      <c r="PY787" s="770"/>
      <c r="PZ787" s="770"/>
      <c r="QA787" s="770"/>
      <c r="QB787" s="770"/>
      <c r="QC787" s="770" t="s">
        <v>1208</v>
      </c>
      <c r="QD787" s="770"/>
      <c r="QE787" s="770"/>
      <c r="QF787" s="770"/>
      <c r="QG787" s="770"/>
      <c r="QH787" s="770"/>
      <c r="QI787" s="770"/>
      <c r="QJ787" s="770"/>
      <c r="QK787" s="770"/>
      <c r="QL787" s="770"/>
      <c r="QM787" s="770"/>
      <c r="QN787" s="770"/>
      <c r="QO787" s="770"/>
      <c r="QP787" s="770"/>
      <c r="QQ787" s="770"/>
      <c r="QR787" s="770"/>
      <c r="QS787" s="770"/>
      <c r="QT787" s="770"/>
      <c r="QU787" s="770"/>
      <c r="QV787" s="770"/>
      <c r="QW787" s="770"/>
      <c r="QX787" s="770"/>
      <c r="QY787" s="770"/>
      <c r="QZ787" s="770"/>
      <c r="RA787" s="770"/>
      <c r="RB787" s="770" t="s">
        <v>1207</v>
      </c>
      <c r="RC787" s="770" t="s">
        <v>13812</v>
      </c>
      <c r="RD787" s="770" t="s">
        <v>13046</v>
      </c>
      <c r="RE787" s="770" t="s">
        <v>12999</v>
      </c>
      <c r="RF787" s="304">
        <v>1</v>
      </c>
      <c r="RG787" s="770" t="s">
        <v>13047</v>
      </c>
      <c r="RH787" s="306">
        <v>0</v>
      </c>
      <c r="RI787" s="770">
        <v>1</v>
      </c>
      <c r="RJ787" s="94" t="s">
        <v>5097</v>
      </c>
      <c r="RK787" s="770" t="s">
        <v>13544</v>
      </c>
      <c r="RL787" s="1710" t="s">
        <v>1604</v>
      </c>
      <c r="RM787" s="12"/>
      <c r="RN787" s="1711"/>
      <c r="RO787" s="149" t="s">
        <v>5093</v>
      </c>
      <c r="RP787" s="11"/>
      <c r="RQ787" s="11"/>
      <c r="RR787" s="19" t="s">
        <v>7421</v>
      </c>
      <c r="RS787" s="1139" t="s">
        <v>12980</v>
      </c>
      <c r="RT787" s="11"/>
      <c r="RU787" s="11"/>
      <c r="RV787" s="771" t="s">
        <v>12353</v>
      </c>
      <c r="RW787" s="11" t="s">
        <v>7466</v>
      </c>
      <c r="RX787" s="11" t="s">
        <v>3219</v>
      </c>
      <c r="RY787" s="11"/>
      <c r="RZ787" s="11" t="s">
        <v>2209</v>
      </c>
      <c r="SA787" s="771"/>
      <c r="SB787" s="11"/>
      <c r="SC787" s="11"/>
    </row>
    <row r="788" spans="1:497" ht="15" hidden="1" customHeight="1">
      <c r="A788" s="343" t="s">
        <v>7419</v>
      </c>
      <c r="B788" s="809" t="s">
        <v>7469</v>
      </c>
      <c r="C788" s="149" t="s">
        <v>3225</v>
      </c>
      <c r="D788" s="94" t="s">
        <v>5137</v>
      </c>
      <c r="E788" s="766" t="s">
        <v>5138</v>
      </c>
      <c r="F788" s="770" t="s">
        <v>28</v>
      </c>
      <c r="G788" s="770" t="s">
        <v>10</v>
      </c>
      <c r="H788" s="12"/>
      <c r="I788" s="295" t="s">
        <v>5139</v>
      </c>
      <c r="J788" s="94" t="s">
        <v>5137</v>
      </c>
      <c r="K788" s="766" t="s">
        <v>5135</v>
      </c>
      <c r="L788" s="766" t="s">
        <v>2704</v>
      </c>
      <c r="M788" s="770" t="s">
        <v>1238</v>
      </c>
      <c r="N788" s="1757"/>
      <c r="O788" s="1757" t="s">
        <v>3255</v>
      </c>
      <c r="P788" s="770" t="s">
        <v>5140</v>
      </c>
      <c r="Q788" s="1088">
        <v>21082</v>
      </c>
      <c r="R788" s="297">
        <v>59</v>
      </c>
      <c r="S788" s="770" t="s">
        <v>10</v>
      </c>
      <c r="T788" s="770"/>
      <c r="U788" s="295" t="s">
        <v>5139</v>
      </c>
      <c r="V788" s="770" t="s">
        <v>2970</v>
      </c>
      <c r="W788" s="770"/>
      <c r="X788" s="770"/>
      <c r="Y788" s="770" t="s">
        <v>5138</v>
      </c>
      <c r="Z788" s="770" t="s">
        <v>708</v>
      </c>
      <c r="AA788" s="12" t="s">
        <v>709</v>
      </c>
      <c r="AB788" s="770" t="s">
        <v>710</v>
      </c>
      <c r="AC788" s="770" t="s">
        <v>724</v>
      </c>
      <c r="AD788" s="770" t="s">
        <v>711</v>
      </c>
      <c r="AE788" s="770"/>
      <c r="AF788" s="770" t="s">
        <v>712</v>
      </c>
      <c r="AG788" s="766" t="s">
        <v>1095</v>
      </c>
      <c r="AH788" s="766" t="s">
        <v>1096</v>
      </c>
      <c r="AI788" s="770" t="s">
        <v>3294</v>
      </c>
      <c r="AJ788" s="770"/>
      <c r="AK788" s="770" t="s">
        <v>1097</v>
      </c>
      <c r="AL788" s="531">
        <v>28</v>
      </c>
      <c r="AM788" s="780">
        <v>10.5</v>
      </c>
      <c r="AN788" s="532">
        <f>AM788/AL788</f>
        <v>0.375</v>
      </c>
      <c r="AO788" s="766" t="s">
        <v>1149</v>
      </c>
      <c r="AP788" s="1135" t="s">
        <v>7224</v>
      </c>
      <c r="AQ788" s="769" t="s">
        <v>1595</v>
      </c>
      <c r="AR788" s="1135"/>
      <c r="AS788" s="409" t="s">
        <v>1207</v>
      </c>
      <c r="AT788" s="770"/>
      <c r="AU788" s="770"/>
      <c r="AV788" s="770"/>
      <c r="AW788" s="770"/>
      <c r="AX788" s="770"/>
      <c r="AY788" s="770"/>
      <c r="AZ788" s="770"/>
      <c r="BA788" s="770"/>
      <c r="BB788" s="770"/>
      <c r="BC788" s="770"/>
      <c r="BD788" s="770"/>
      <c r="BE788" s="770"/>
      <c r="BF788" s="302"/>
      <c r="BG788" s="302"/>
      <c r="BH788" s="770"/>
      <c r="BI788" s="770"/>
      <c r="BJ788" s="770"/>
      <c r="BK788" s="766" t="s">
        <v>1095</v>
      </c>
      <c r="BL788" s="766" t="s">
        <v>5141</v>
      </c>
      <c r="BM788" s="766" t="s">
        <v>1096</v>
      </c>
      <c r="BN788" s="766" t="s">
        <v>1230</v>
      </c>
      <c r="BO788" s="766" t="s">
        <v>1239</v>
      </c>
      <c r="BP788" s="765">
        <v>109</v>
      </c>
      <c r="BQ788" s="773">
        <v>21</v>
      </c>
      <c r="BR788" s="774">
        <f t="shared" si="247"/>
        <v>0.19266055045871561</v>
      </c>
      <c r="BS788" s="6" t="s">
        <v>1149</v>
      </c>
      <c r="BT788" s="766" t="s">
        <v>2040</v>
      </c>
      <c r="BU788" s="770" t="s">
        <v>1249</v>
      </c>
      <c r="BV788" s="770" t="s">
        <v>1247</v>
      </c>
      <c r="BW788" s="770">
        <v>1969</v>
      </c>
      <c r="BX788" s="302"/>
      <c r="BY788" s="770" t="s">
        <v>1207</v>
      </c>
      <c r="BZ788" s="302"/>
      <c r="CA788" s="770"/>
      <c r="CB788" s="770"/>
      <c r="CC788" s="770"/>
      <c r="CD788" s="770"/>
      <c r="CE788" s="302"/>
      <c r="CF788" s="304"/>
      <c r="CG788" s="321"/>
      <c r="CH788" s="770"/>
      <c r="CI788" s="770"/>
      <c r="CJ788" s="770"/>
      <c r="CK788" s="770"/>
      <c r="CL788" s="770"/>
      <c r="CM788" s="770"/>
      <c r="CN788" s="770"/>
      <c r="CO788" s="770"/>
      <c r="CP788" s="770"/>
      <c r="CQ788" s="770"/>
      <c r="CR788" s="302"/>
      <c r="CS788" s="770"/>
      <c r="CT788" s="770"/>
      <c r="CU788" s="305"/>
      <c r="CV788" s="770"/>
      <c r="CW788" s="770"/>
      <c r="CX788" s="770"/>
      <c r="CY788" s="770"/>
      <c r="CZ788" s="770"/>
      <c r="DA788" s="306"/>
      <c r="DB788" s="770"/>
      <c r="DC788" s="770"/>
      <c r="DD788" s="770"/>
      <c r="DE788" s="300"/>
      <c r="DF788" s="770"/>
      <c r="DG788" s="770"/>
      <c r="DH788" s="770"/>
      <c r="DI788" s="770"/>
      <c r="DJ788" s="770"/>
      <c r="DK788" s="770"/>
      <c r="DL788" s="770"/>
      <c r="DM788" s="770"/>
      <c r="DN788" s="322"/>
      <c r="DO788" s="770"/>
      <c r="DP788" s="770"/>
      <c r="DQ788" s="770"/>
      <c r="DR788" s="770"/>
      <c r="DS788" s="307"/>
      <c r="DT788" s="770"/>
      <c r="DU788" s="770"/>
      <c r="DV788" s="770"/>
      <c r="DW788" s="306"/>
      <c r="DX788" s="306"/>
      <c r="DY788" s="1055"/>
      <c r="DZ788" s="770"/>
      <c r="EA788" s="770"/>
      <c r="EB788" s="770"/>
      <c r="EC788" s="770"/>
      <c r="ED788" s="770"/>
      <c r="EE788" s="770"/>
      <c r="EF788" s="770"/>
      <c r="EG788" s="770"/>
      <c r="EH788" s="770"/>
      <c r="EI788" s="770"/>
      <c r="EJ788" s="770"/>
      <c r="EK788" s="770"/>
      <c r="EL788" s="770"/>
      <c r="EM788" s="770"/>
      <c r="EN788" s="770"/>
      <c r="EO788" s="770"/>
      <c r="EP788" s="94"/>
      <c r="EQ788" s="770"/>
      <c r="ER788" s="770"/>
      <c r="ES788" s="770"/>
      <c r="ET788" s="770"/>
      <c r="EU788" s="770"/>
      <c r="EV788" s="770"/>
      <c r="EW788" s="770"/>
      <c r="EX788" s="770"/>
      <c r="EY788" s="770"/>
      <c r="EZ788" s="770"/>
      <c r="FA788" s="770"/>
      <c r="FB788" s="770"/>
      <c r="FC788" s="770"/>
      <c r="FD788" s="302"/>
      <c r="FE788" s="770"/>
      <c r="FF788" s="770"/>
      <c r="FG788" s="770"/>
      <c r="FH788" s="770" t="s">
        <v>478</v>
      </c>
      <c r="FI788" s="770">
        <v>3</v>
      </c>
      <c r="FJ788" s="770"/>
      <c r="FK788" s="770"/>
      <c r="FL788" s="770"/>
      <c r="FM788" s="302"/>
      <c r="FN788" s="302"/>
      <c r="FO788" s="302"/>
      <c r="FP788" s="770" t="s">
        <v>1602</v>
      </c>
      <c r="FQ788" s="770" t="s">
        <v>1660</v>
      </c>
      <c r="FR788" s="770" t="s">
        <v>1214</v>
      </c>
      <c r="FS788" s="770"/>
      <c r="FT788" s="770"/>
      <c r="FU788" s="770"/>
      <c r="FV788" s="770"/>
      <c r="FW788" s="770"/>
      <c r="FX788" s="770"/>
      <c r="FY788" s="770"/>
      <c r="FZ788" s="770"/>
      <c r="GA788" s="770"/>
      <c r="GB788" s="770" t="s">
        <v>853</v>
      </c>
      <c r="GC788" s="308"/>
      <c r="GD788" s="297"/>
      <c r="GE788" s="770" t="s">
        <v>1214</v>
      </c>
      <c r="GF788" s="302"/>
      <c r="GG788" s="302"/>
      <c r="GH788" s="766"/>
      <c r="GI788" s="770"/>
      <c r="GJ788" s="770"/>
      <c r="GK788" s="770"/>
      <c r="GL788" s="770"/>
      <c r="GM788" s="770"/>
      <c r="GN788" s="299"/>
      <c r="GO788" s="770"/>
      <c r="GP788" s="770"/>
      <c r="GQ788" s="770"/>
      <c r="GR788" s="770"/>
      <c r="GS788" s="770"/>
      <c r="GT788" s="770"/>
      <c r="GU788" s="770"/>
      <c r="GV788" s="770"/>
      <c r="GW788" s="770"/>
      <c r="GX788" s="770"/>
      <c r="GY788" s="770"/>
      <c r="GZ788" s="770"/>
      <c r="HA788" s="770"/>
      <c r="HB788" s="770"/>
      <c r="HC788" s="770"/>
      <c r="HD788" s="770"/>
      <c r="HE788" s="770"/>
      <c r="HF788" s="770"/>
      <c r="HG788" s="770"/>
      <c r="HH788" s="770"/>
      <c r="HI788" s="770"/>
      <c r="HJ788" s="770"/>
      <c r="HK788" s="770"/>
      <c r="HL788" s="770"/>
      <c r="HM788" s="770"/>
      <c r="HN788" s="770"/>
      <c r="HO788" s="770"/>
      <c r="HP788" s="770"/>
      <c r="HQ788" s="770"/>
      <c r="HR788" s="770"/>
      <c r="HS788" s="770"/>
      <c r="HT788" s="770"/>
      <c r="HU788" s="770"/>
      <c r="HV788" s="770"/>
      <c r="HW788" s="770"/>
      <c r="HX788" s="770"/>
      <c r="HY788" s="770"/>
      <c r="HZ788" s="770"/>
      <c r="IA788" s="770"/>
      <c r="IB788" s="770"/>
      <c r="IC788" s="770"/>
      <c r="ID788" s="770">
        <v>1</v>
      </c>
      <c r="IE788" s="770">
        <v>1</v>
      </c>
      <c r="IF788" s="770"/>
      <c r="IG788" s="770"/>
      <c r="IH788" s="770"/>
      <c r="II788" s="770"/>
      <c r="IJ788" s="770"/>
      <c r="IK788" s="770"/>
      <c r="IL788" s="770"/>
      <c r="IM788" s="770"/>
      <c r="IN788" s="770"/>
      <c r="IO788" s="296"/>
      <c r="IP788" s="770"/>
      <c r="IQ788" s="770"/>
      <c r="IR788" s="770"/>
      <c r="IS788" s="770"/>
      <c r="IT788" s="770"/>
      <c r="IU788" s="770"/>
      <c r="IV788" s="770"/>
      <c r="IW788" s="770"/>
      <c r="IX788" s="770"/>
      <c r="IY788" s="770"/>
      <c r="IZ788" s="770"/>
      <c r="JA788" s="770"/>
      <c r="JB788" s="770"/>
      <c r="JC788" s="770"/>
      <c r="JD788" s="302"/>
      <c r="JE788" s="770"/>
      <c r="JF788" s="770"/>
      <c r="JG788" s="770"/>
      <c r="JH788" s="307"/>
      <c r="JI788" s="307"/>
      <c r="JJ788" s="770">
        <v>3</v>
      </c>
      <c r="JK788" s="770" t="s">
        <v>5098</v>
      </c>
      <c r="JL788" s="770"/>
      <c r="JM788" s="770"/>
      <c r="JN788" s="770">
        <v>3</v>
      </c>
      <c r="JO788" s="770"/>
      <c r="JP788" s="770"/>
      <c r="JQ788" s="770"/>
      <c r="JR788" s="770"/>
      <c r="JS788" s="770"/>
      <c r="JT788" s="766">
        <f t="shared" si="248"/>
        <v>3</v>
      </c>
      <c r="JU788" s="766">
        <f t="shared" si="248"/>
        <v>0</v>
      </c>
      <c r="JV788" s="766"/>
      <c r="JW788" s="766"/>
      <c r="JX788" s="770"/>
      <c r="JY788" s="770"/>
      <c r="JZ788" s="770"/>
      <c r="KA788" s="770"/>
      <c r="KB788" s="770">
        <v>1</v>
      </c>
      <c r="KC788" s="770"/>
      <c r="KD788" s="770">
        <v>1</v>
      </c>
      <c r="KE788" s="770"/>
      <c r="KF788" s="770">
        <v>1</v>
      </c>
      <c r="KG788" s="770"/>
      <c r="KH788" s="770"/>
      <c r="KI788" s="770"/>
      <c r="KJ788" s="770">
        <f t="shared" si="249"/>
        <v>3</v>
      </c>
      <c r="KK788" s="770">
        <f t="shared" si="249"/>
        <v>0</v>
      </c>
      <c r="KL788" s="770"/>
      <c r="KM788" s="770"/>
      <c r="KN788" s="770" t="s">
        <v>783</v>
      </c>
      <c r="KO788" s="770"/>
      <c r="KP788" s="770"/>
      <c r="KQ788" s="770"/>
      <c r="KR788" s="770"/>
      <c r="KS788" s="770"/>
      <c r="KT788" s="770"/>
      <c r="KU788" s="770"/>
      <c r="KV788" s="770"/>
      <c r="KW788" s="770"/>
      <c r="KX788" s="770">
        <v>1</v>
      </c>
      <c r="KY788" s="770"/>
      <c r="KZ788" s="770">
        <v>1</v>
      </c>
      <c r="LA788" s="770"/>
      <c r="LB788" s="770">
        <v>1</v>
      </c>
      <c r="LC788" s="770"/>
      <c r="LD788" s="770"/>
      <c r="LE788" s="770"/>
      <c r="LF788" s="770"/>
      <c r="LG788" s="770"/>
      <c r="LH788" s="770"/>
      <c r="LI788" s="770"/>
      <c r="LJ788" s="770"/>
      <c r="LK788" s="770"/>
      <c r="LL788" s="770"/>
      <c r="LM788" s="770"/>
      <c r="LN788" s="766">
        <f t="shared" si="230"/>
        <v>3</v>
      </c>
      <c r="LO788" s="766">
        <f t="shared" si="230"/>
        <v>0</v>
      </c>
      <c r="LP788" s="770">
        <v>2</v>
      </c>
      <c r="LQ788" s="770">
        <v>1</v>
      </c>
      <c r="LR788" s="770"/>
      <c r="LS788" s="770">
        <v>1</v>
      </c>
      <c r="LT788" s="770"/>
      <c r="LU788" s="770"/>
      <c r="LV788" s="770">
        <v>1</v>
      </c>
      <c r="LW788" s="770"/>
      <c r="LX788" s="769">
        <v>3</v>
      </c>
      <c r="LY788" s="766" t="str">
        <f t="shared" si="231"/>
        <v>within the PROVINCE</v>
      </c>
      <c r="LZ788" s="1709">
        <f>200*26</f>
        <v>5200</v>
      </c>
      <c r="MA788" s="1709"/>
      <c r="MB788" s="1709"/>
      <c r="MC788" s="1679">
        <f t="shared" si="229"/>
        <v>5200</v>
      </c>
      <c r="MD788" s="1709">
        <v>15000</v>
      </c>
      <c r="ME788" s="1709"/>
      <c r="MF788" s="1709">
        <f>300*30</f>
        <v>9000</v>
      </c>
      <c r="MG788" s="1680">
        <f t="shared" si="246"/>
        <v>24000</v>
      </c>
      <c r="MH788" s="770" t="s">
        <v>2220</v>
      </c>
      <c r="MI788" s="302">
        <f>300*30</f>
        <v>9000</v>
      </c>
      <c r="MJ788" s="302">
        <f>250*30</f>
        <v>7500</v>
      </c>
      <c r="MK788" s="302">
        <v>5000</v>
      </c>
      <c r="ML788" s="302">
        <v>1500</v>
      </c>
      <c r="MM788" s="302"/>
      <c r="MN788" s="302"/>
      <c r="MO788" s="302">
        <v>400</v>
      </c>
      <c r="MP788" s="302"/>
      <c r="MQ788" s="302"/>
      <c r="MR788" s="302"/>
      <c r="MS788" s="302">
        <v>1500</v>
      </c>
      <c r="MT788" s="302"/>
      <c r="MU788" s="302"/>
      <c r="MV788" s="302"/>
      <c r="MW788" s="302"/>
      <c r="MX788" s="302"/>
      <c r="MY788" s="1682">
        <f t="shared" si="243"/>
        <v>24900</v>
      </c>
      <c r="MZ788" s="766" t="s">
        <v>13395</v>
      </c>
      <c r="NA788" s="770" t="s">
        <v>13585</v>
      </c>
      <c r="NB788" s="770" t="s">
        <v>13092</v>
      </c>
      <c r="NC788" s="770" t="s">
        <v>13965</v>
      </c>
      <c r="ND788" s="770">
        <v>1</v>
      </c>
      <c r="NE788" s="770">
        <v>0</v>
      </c>
      <c r="NF788" s="770">
        <v>0</v>
      </c>
      <c r="NG788" s="770">
        <v>3</v>
      </c>
      <c r="NH788" s="770">
        <v>1</v>
      </c>
      <c r="NI788" s="770">
        <v>0</v>
      </c>
      <c r="NJ788" s="770">
        <v>0</v>
      </c>
      <c r="NK788" s="770">
        <v>0</v>
      </c>
      <c r="NL788" s="770">
        <v>1</v>
      </c>
      <c r="NM788" s="770">
        <v>0</v>
      </c>
      <c r="NN788" s="770">
        <v>0</v>
      </c>
      <c r="NO788" s="770">
        <v>0</v>
      </c>
      <c r="NP788" s="770">
        <v>0</v>
      </c>
      <c r="NQ788" s="770">
        <v>0</v>
      </c>
      <c r="NR788" s="770">
        <v>0</v>
      </c>
      <c r="NS788" s="770">
        <v>0</v>
      </c>
      <c r="NT788" s="770">
        <v>0</v>
      </c>
      <c r="NU788" s="770">
        <v>0</v>
      </c>
      <c r="NV788" s="770">
        <v>0</v>
      </c>
      <c r="NW788" s="770">
        <v>0</v>
      </c>
      <c r="NX788" s="770">
        <v>0</v>
      </c>
      <c r="NY788" s="770"/>
      <c r="NZ788" s="770"/>
      <c r="OA788" s="770"/>
      <c r="OB788" s="770"/>
      <c r="OC788" s="770"/>
      <c r="OD788" s="770"/>
      <c r="OE788" s="770"/>
      <c r="OF788" s="770"/>
      <c r="OG788" s="770"/>
      <c r="OH788" s="770"/>
      <c r="OI788" s="770"/>
      <c r="OJ788" s="770"/>
      <c r="OK788" s="770"/>
      <c r="OL788" s="770"/>
      <c r="OM788" s="770"/>
      <c r="ON788" s="770"/>
      <c r="OO788" s="770"/>
      <c r="OP788" s="770"/>
      <c r="OQ788" s="770"/>
      <c r="OR788" s="770"/>
      <c r="OS788" s="770"/>
      <c r="OT788" s="770"/>
      <c r="OU788" s="770"/>
      <c r="OV788" s="770"/>
      <c r="OW788" s="770"/>
      <c r="OX788" s="770"/>
      <c r="OY788" s="770"/>
      <c r="OZ788" s="770"/>
      <c r="PA788" s="770"/>
      <c r="PB788" s="770"/>
      <c r="PC788" s="770"/>
      <c r="PD788" s="770"/>
      <c r="PE788" s="770"/>
      <c r="PF788" s="770"/>
      <c r="PG788" s="770"/>
      <c r="PH788" s="770"/>
      <c r="PI788" s="770" t="s">
        <v>1208</v>
      </c>
      <c r="PJ788" s="770"/>
      <c r="PK788" s="770" t="s">
        <v>1208</v>
      </c>
      <c r="PL788" s="770"/>
      <c r="PM788" s="770"/>
      <c r="PN788" s="770"/>
      <c r="PO788" s="770"/>
      <c r="PP788" s="770"/>
      <c r="PQ788" s="770"/>
      <c r="PR788" s="770"/>
      <c r="PS788" s="770"/>
      <c r="PT788" s="770"/>
      <c r="PU788" s="770"/>
      <c r="PV788" s="770"/>
      <c r="PW788" s="770"/>
      <c r="PX788" s="770"/>
      <c r="PY788" s="770"/>
      <c r="PZ788" s="770"/>
      <c r="QA788" s="770"/>
      <c r="QB788" s="770"/>
      <c r="QC788" s="770"/>
      <c r="QD788" s="770"/>
      <c r="QE788" s="770"/>
      <c r="QF788" s="770"/>
      <c r="QG788" s="770"/>
      <c r="QH788" s="770"/>
      <c r="QI788" s="770"/>
      <c r="QJ788" s="770"/>
      <c r="QK788" s="770"/>
      <c r="QL788" s="770"/>
      <c r="QM788" s="770"/>
      <c r="QN788" s="770"/>
      <c r="QO788" s="770"/>
      <c r="QP788" s="770"/>
      <c r="QQ788" s="770"/>
      <c r="QR788" s="770"/>
      <c r="QS788" s="770"/>
      <c r="QT788" s="770"/>
      <c r="QU788" s="770"/>
      <c r="QV788" s="770"/>
      <c r="QW788" s="770"/>
      <c r="QX788" s="770"/>
      <c r="QY788" s="770"/>
      <c r="QZ788" s="770"/>
      <c r="RA788" s="770"/>
      <c r="RB788" s="770" t="s">
        <v>1207</v>
      </c>
      <c r="RC788" s="770">
        <v>2013</v>
      </c>
      <c r="RD788" s="770" t="s">
        <v>13036</v>
      </c>
      <c r="RE788" s="770" t="s">
        <v>12999</v>
      </c>
      <c r="RF788" s="304">
        <v>0.5</v>
      </c>
      <c r="RG788" s="770" t="s">
        <v>13047</v>
      </c>
      <c r="RH788" s="306">
        <v>5000</v>
      </c>
      <c r="RI788" s="770">
        <v>24</v>
      </c>
      <c r="RJ788" s="94" t="s">
        <v>5098</v>
      </c>
      <c r="RK788" s="770" t="s">
        <v>13556</v>
      </c>
      <c r="RL788" s="1710">
        <v>42851</v>
      </c>
      <c r="RM788" s="12"/>
      <c r="RN788" s="1711"/>
      <c r="RO788" s="149" t="s">
        <v>3225</v>
      </c>
      <c r="RP788" s="11"/>
      <c r="RQ788" s="11"/>
      <c r="RR788" s="17"/>
      <c r="RS788" s="767"/>
      <c r="RT788" s="11"/>
      <c r="RU788" s="11"/>
      <c r="RV788" s="771" t="s">
        <v>7421</v>
      </c>
      <c r="RW788" s="11" t="s">
        <v>7467</v>
      </c>
      <c r="RX788" s="11" t="s">
        <v>5092</v>
      </c>
      <c r="RY788" s="11"/>
      <c r="RZ788" s="11" t="s">
        <v>2209</v>
      </c>
      <c r="SA788" s="771"/>
      <c r="SB788" s="11"/>
      <c r="SC788" s="11"/>
    </row>
    <row r="789" spans="1:497" ht="12.75" hidden="1" customHeight="1">
      <c r="A789" s="343" t="s">
        <v>14248</v>
      </c>
      <c r="B789" s="292" t="s">
        <v>7470</v>
      </c>
      <c r="C789" s="149" t="s">
        <v>3225</v>
      </c>
      <c r="D789" s="94" t="s">
        <v>3226</v>
      </c>
      <c r="E789" s="766" t="s">
        <v>5138</v>
      </c>
      <c r="F789" s="770" t="s">
        <v>28</v>
      </c>
      <c r="G789" s="770" t="s">
        <v>10</v>
      </c>
      <c r="H789" s="12"/>
      <c r="I789" s="295" t="s">
        <v>3228</v>
      </c>
      <c r="J789" s="94" t="str">
        <f ca="1">IF(F789="Head",CELL("contents",D789))</f>
        <v>Sta. Juana, Alvin De Leon</v>
      </c>
      <c r="K789" s="770"/>
      <c r="L789" s="770"/>
      <c r="M789" s="770"/>
      <c r="N789" s="1757"/>
      <c r="O789" s="1757"/>
      <c r="P789" s="94" t="s">
        <v>3229</v>
      </c>
      <c r="Q789" s="1088">
        <v>33353</v>
      </c>
      <c r="R789" s="297">
        <v>26</v>
      </c>
      <c r="S789" s="770" t="s">
        <v>10</v>
      </c>
      <c r="T789" s="770"/>
      <c r="U789" s="295" t="s">
        <v>3228</v>
      </c>
      <c r="V789" s="770" t="s">
        <v>768</v>
      </c>
      <c r="W789" s="770"/>
      <c r="X789" s="770"/>
      <c r="Y789" s="770" t="s">
        <v>3227</v>
      </c>
      <c r="Z789" s="770" t="s">
        <v>708</v>
      </c>
      <c r="AA789" s="770" t="s">
        <v>709</v>
      </c>
      <c r="AB789" s="770" t="s">
        <v>710</v>
      </c>
      <c r="AC789" s="770"/>
      <c r="AD789" s="770" t="s">
        <v>711</v>
      </c>
      <c r="AE789" s="770"/>
      <c r="AF789" s="770" t="s">
        <v>712</v>
      </c>
      <c r="AG789" s="770"/>
      <c r="AH789" s="770"/>
      <c r="AI789" s="770"/>
      <c r="AJ789" s="770"/>
      <c r="AK789" s="770" t="s">
        <v>5454</v>
      </c>
      <c r="AL789" s="531"/>
      <c r="AM789" s="780"/>
      <c r="AN789" s="532"/>
      <c r="AO789" s="766"/>
      <c r="AP789" s="766"/>
      <c r="AQ789" s="766"/>
      <c r="AR789" s="766"/>
      <c r="AS789" s="770"/>
      <c r="AT789" s="770"/>
      <c r="AU789" s="770"/>
      <c r="AV789" s="770"/>
      <c r="AW789" s="770"/>
      <c r="AX789" s="770"/>
      <c r="AY789" s="770"/>
      <c r="AZ789" s="770"/>
      <c r="BA789" s="770"/>
      <c r="BB789" s="770"/>
      <c r="BC789" s="770"/>
      <c r="BD789" s="770"/>
      <c r="BE789" s="770"/>
      <c r="BF789" s="302"/>
      <c r="BG789" s="302"/>
      <c r="BH789" s="770"/>
      <c r="BI789" s="770"/>
      <c r="BJ789" s="770"/>
      <c r="BK789" s="766"/>
      <c r="BL789" s="766"/>
      <c r="BM789" s="766" t="s">
        <v>1238</v>
      </c>
      <c r="BN789" s="766" t="s">
        <v>1305</v>
      </c>
      <c r="BO789" s="770"/>
      <c r="BP789" s="765"/>
      <c r="BQ789" s="773"/>
      <c r="BR789" s="774"/>
      <c r="BS789" s="6" t="s">
        <v>1149</v>
      </c>
      <c r="BT789" s="770"/>
      <c r="BU789" s="770"/>
      <c r="BV789" s="770"/>
      <c r="BW789" s="770"/>
      <c r="BX789" s="302"/>
      <c r="BY789" s="770"/>
      <c r="BZ789" s="302"/>
      <c r="CA789" s="770"/>
      <c r="CB789" s="770"/>
      <c r="CC789" s="770"/>
      <c r="CD789" s="770"/>
      <c r="CE789" s="302"/>
      <c r="CF789" s="304"/>
      <c r="CG789" s="321"/>
      <c r="CH789" s="770"/>
      <c r="CI789" s="770"/>
      <c r="CJ789" s="770"/>
      <c r="CK789" s="770"/>
      <c r="CL789" s="770"/>
      <c r="CM789" s="770"/>
      <c r="CN789" s="770"/>
      <c r="CO789" s="770"/>
      <c r="CP789" s="770"/>
      <c r="CQ789" s="770"/>
      <c r="CR789" s="302"/>
      <c r="CS789" s="770"/>
      <c r="CT789" s="770"/>
      <c r="CU789" s="305"/>
      <c r="CV789" s="770"/>
      <c r="CW789" s="770"/>
      <c r="CX789" s="770"/>
      <c r="CY789" s="770"/>
      <c r="CZ789" s="770"/>
      <c r="DA789" s="306"/>
      <c r="DB789" s="770"/>
      <c r="DC789" s="770"/>
      <c r="DD789" s="770"/>
      <c r="DE789" s="300"/>
      <c r="DF789" s="770"/>
      <c r="DG789" s="770"/>
      <c r="DH789" s="770"/>
      <c r="DI789" s="770"/>
      <c r="DJ789" s="770"/>
      <c r="DK789" s="770"/>
      <c r="DL789" s="770"/>
      <c r="DM789" s="770"/>
      <c r="DN789" s="322"/>
      <c r="DO789" s="770"/>
      <c r="DP789" s="770"/>
      <c r="DQ789" s="770"/>
      <c r="DR789" s="770"/>
      <c r="DS789" s="307"/>
      <c r="DT789" s="770"/>
      <c r="DU789" s="770"/>
      <c r="DV789" s="770"/>
      <c r="DW789" s="306"/>
      <c r="DX789" s="306"/>
      <c r="DY789" s="1055"/>
      <c r="DZ789" s="770"/>
      <c r="EA789" s="770"/>
      <c r="EB789" s="770"/>
      <c r="EC789" s="770"/>
      <c r="ED789" s="770"/>
      <c r="EE789" s="770"/>
      <c r="EF789" s="770"/>
      <c r="EG789" s="770"/>
      <c r="EH789" s="770"/>
      <c r="EI789" s="770"/>
      <c r="EJ789" s="770"/>
      <c r="EK789" s="770"/>
      <c r="EL789" s="770"/>
      <c r="EM789" s="770"/>
      <c r="EN789" s="770"/>
      <c r="EO789" s="770"/>
      <c r="EP789" s="94"/>
      <c r="EQ789" s="770"/>
      <c r="ER789" s="770"/>
      <c r="ES789" s="770"/>
      <c r="ET789" s="770"/>
      <c r="EU789" s="770"/>
      <c r="EV789" s="770"/>
      <c r="EW789" s="770"/>
      <c r="EX789" s="770"/>
      <c r="EY789" s="770"/>
      <c r="EZ789" s="770"/>
      <c r="FA789" s="770"/>
      <c r="FB789" s="770"/>
      <c r="FC789" s="770"/>
      <c r="FD789" s="302"/>
      <c r="FE789" s="770"/>
      <c r="FF789" s="770"/>
      <c r="FG789" s="770"/>
      <c r="FH789" s="770" t="s">
        <v>3230</v>
      </c>
      <c r="FI789" s="770">
        <v>1</v>
      </c>
      <c r="FJ789" s="770" t="s">
        <v>3231</v>
      </c>
      <c r="FK789" s="770"/>
      <c r="FL789" s="770" t="s">
        <v>3227</v>
      </c>
      <c r="FM789" s="302"/>
      <c r="FN789" s="302">
        <v>1400</v>
      </c>
      <c r="FO789" s="302"/>
      <c r="FP789" s="766" t="s">
        <v>1602</v>
      </c>
      <c r="FQ789" s="766" t="s">
        <v>1660</v>
      </c>
      <c r="FR789" s="770"/>
      <c r="FS789" s="770"/>
      <c r="FT789" s="770"/>
      <c r="FU789" s="770"/>
      <c r="FV789" s="770"/>
      <c r="FW789" s="770"/>
      <c r="FX789" s="770"/>
      <c r="FY789" s="770"/>
      <c r="FZ789" s="770"/>
      <c r="GA789" s="770"/>
      <c r="GB789" s="770"/>
      <c r="GC789" s="308"/>
      <c r="GD789" s="297"/>
      <c r="GE789" s="770"/>
      <c r="GF789" s="302"/>
      <c r="GG789" s="302"/>
      <c r="GH789" s="770"/>
      <c r="GI789" s="770"/>
      <c r="GJ789" s="770"/>
      <c r="GK789" s="770"/>
      <c r="GL789" s="770"/>
      <c r="GM789" s="770"/>
      <c r="GN789" s="299"/>
      <c r="GO789" s="770"/>
      <c r="GP789" s="770"/>
      <c r="GQ789" s="770"/>
      <c r="GR789" s="770"/>
      <c r="GS789" s="770"/>
      <c r="GT789" s="770"/>
      <c r="GU789" s="770"/>
      <c r="GV789" s="770"/>
      <c r="GW789" s="770"/>
      <c r="GX789" s="770"/>
      <c r="GY789" s="770"/>
      <c r="GZ789" s="770"/>
      <c r="HA789" s="770"/>
      <c r="HB789" s="770"/>
      <c r="HC789" s="770"/>
      <c r="HD789" s="770"/>
      <c r="HE789" s="770"/>
      <c r="HF789" s="770"/>
      <c r="HG789" s="770"/>
      <c r="HH789" s="770"/>
      <c r="HI789" s="770"/>
      <c r="HJ789" s="770"/>
      <c r="HK789" s="770"/>
      <c r="HL789" s="770"/>
      <c r="HM789" s="770"/>
      <c r="HN789" s="770"/>
      <c r="HO789" s="770"/>
      <c r="HP789" s="770"/>
      <c r="HQ789" s="770"/>
      <c r="HR789" s="770"/>
      <c r="HS789" s="770"/>
      <c r="HT789" s="770"/>
      <c r="HU789" s="770"/>
      <c r="HV789" s="770"/>
      <c r="HW789" s="770"/>
      <c r="HX789" s="770"/>
      <c r="HY789" s="770"/>
      <c r="HZ789" s="770"/>
      <c r="IA789" s="770"/>
      <c r="IB789" s="14" t="e">
        <f>IF(#REF!&gt;0,IF(#REF!&lt;=10000,"Y",""),"")</f>
        <v>#REF!</v>
      </c>
      <c r="IC789" s="770"/>
      <c r="ID789" s="770"/>
      <c r="IE789" s="770"/>
      <c r="IF789" s="770"/>
      <c r="IG789" s="770"/>
      <c r="IH789" s="770"/>
      <c r="II789" s="770"/>
      <c r="IJ789" s="770"/>
      <c r="IK789" s="770"/>
      <c r="IL789" s="770"/>
      <c r="IM789" s="770"/>
      <c r="IN789" s="770"/>
      <c r="IO789" s="296"/>
      <c r="IP789" s="770"/>
      <c r="IQ789" s="770"/>
      <c r="IR789" s="770"/>
      <c r="IS789" s="770"/>
      <c r="IT789" s="770"/>
      <c r="IU789" s="770"/>
      <c r="IV789" s="770"/>
      <c r="IW789" s="770"/>
      <c r="IX789" s="770"/>
      <c r="IY789" s="770"/>
      <c r="IZ789" s="770"/>
      <c r="JA789" s="770"/>
      <c r="JB789" s="770"/>
      <c r="JC789" s="770"/>
      <c r="JD789" s="302"/>
      <c r="JE789" s="770"/>
      <c r="JF789" s="770"/>
      <c r="JG789" s="770"/>
      <c r="JH789" s="307"/>
      <c r="JI789" s="307"/>
      <c r="JJ789" s="770">
        <v>5</v>
      </c>
      <c r="JK789" s="1139" t="s">
        <v>3232</v>
      </c>
      <c r="JL789" s="770">
        <v>3</v>
      </c>
      <c r="JM789" s="770"/>
      <c r="JN789" s="770">
        <v>1</v>
      </c>
      <c r="JO789" s="770">
        <v>1</v>
      </c>
      <c r="JP789" s="770"/>
      <c r="JQ789" s="770"/>
      <c r="JR789" s="770"/>
      <c r="JS789" s="770"/>
      <c r="JT789" s="766">
        <f t="shared" si="248"/>
        <v>4</v>
      </c>
      <c r="JU789" s="766">
        <f t="shared" si="248"/>
        <v>1</v>
      </c>
      <c r="JV789" s="712" t="str">
        <f t="shared" ref="JV789:JV804" si="250">IF(JT789=KJ789,"ok","male")</f>
        <v>ok</v>
      </c>
      <c r="JW789" s="712" t="str">
        <f t="shared" ref="JW789:JW804" si="251">IF(JU789=KK789,"ok","female")</f>
        <v>ok</v>
      </c>
      <c r="JX789" s="770">
        <v>2</v>
      </c>
      <c r="JY789" s="770"/>
      <c r="JZ789" s="770">
        <v>1</v>
      </c>
      <c r="KA789" s="770"/>
      <c r="KB789" s="770">
        <v>1</v>
      </c>
      <c r="KC789" s="770">
        <v>1</v>
      </c>
      <c r="KD789" s="770"/>
      <c r="KE789" s="770"/>
      <c r="KF789" s="770"/>
      <c r="KG789" s="770"/>
      <c r="KH789" s="770"/>
      <c r="KI789" s="770"/>
      <c r="KJ789" s="770">
        <f t="shared" si="249"/>
        <v>4</v>
      </c>
      <c r="KK789" s="770">
        <f t="shared" si="249"/>
        <v>1</v>
      </c>
      <c r="KL789" s="712" t="str">
        <f t="shared" ref="KL789:KL804" si="252">IF(KJ789=LN789,"ok","male")</f>
        <v>ok</v>
      </c>
      <c r="KM789" s="712" t="str">
        <f t="shared" ref="KM789:KM804" si="253">IF(KK789=LO789,"ok","female")</f>
        <v>ok</v>
      </c>
      <c r="KN789" s="770" t="s">
        <v>722</v>
      </c>
      <c r="KO789" s="770"/>
      <c r="KP789" s="770"/>
      <c r="KQ789" s="770"/>
      <c r="KR789" s="770">
        <v>1</v>
      </c>
      <c r="KS789" s="770"/>
      <c r="KT789" s="770">
        <v>1</v>
      </c>
      <c r="KU789" s="770"/>
      <c r="KV789" s="770"/>
      <c r="KW789" s="770"/>
      <c r="KX789" s="770"/>
      <c r="KY789" s="770"/>
      <c r="KZ789" s="770">
        <v>1</v>
      </c>
      <c r="LA789" s="770">
        <v>1</v>
      </c>
      <c r="LB789" s="770"/>
      <c r="LC789" s="770"/>
      <c r="LD789" s="770"/>
      <c r="LE789" s="770"/>
      <c r="LF789" s="770"/>
      <c r="LG789" s="770"/>
      <c r="LH789" s="770"/>
      <c r="LI789" s="770"/>
      <c r="LJ789" s="770">
        <v>1</v>
      </c>
      <c r="LK789" s="770"/>
      <c r="LL789" s="770"/>
      <c r="LM789" s="770"/>
      <c r="LN789" s="766">
        <f t="shared" si="230"/>
        <v>4</v>
      </c>
      <c r="LO789" s="766">
        <f t="shared" si="230"/>
        <v>1</v>
      </c>
      <c r="LP789" s="770">
        <v>2</v>
      </c>
      <c r="LQ789" s="770">
        <v>1</v>
      </c>
      <c r="LR789" s="770"/>
      <c r="LS789" s="770">
        <v>1</v>
      </c>
      <c r="LT789" s="712" t="str">
        <f t="shared" ref="LT789:LT804" si="254">IF(LQ789=SUM(LU789:LW789),"OK","REV")</f>
        <v>OK</v>
      </c>
      <c r="LU789" s="770">
        <v>1</v>
      </c>
      <c r="LV789" s="770"/>
      <c r="LW789" s="770"/>
      <c r="LX789" s="769">
        <v>1</v>
      </c>
      <c r="LY789" s="766" t="str">
        <f t="shared" si="231"/>
        <v>within the BRGY</v>
      </c>
      <c r="LZ789" s="1709"/>
      <c r="MA789" s="1709"/>
      <c r="MB789" s="1709"/>
      <c r="MC789" s="1679">
        <f t="shared" si="229"/>
        <v>0</v>
      </c>
      <c r="MD789" s="1709">
        <v>1000</v>
      </c>
      <c r="ME789" s="1709"/>
      <c r="MF789" s="1709">
        <v>1200</v>
      </c>
      <c r="MG789" s="1680">
        <f t="shared" ref="MG789:MG804" si="255">SUM(MD789:MF789)</f>
        <v>2200</v>
      </c>
      <c r="MH789" s="770" t="s">
        <v>13510</v>
      </c>
      <c r="MI789" s="302">
        <v>12000</v>
      </c>
      <c r="MJ789" s="302"/>
      <c r="MK789" s="302">
        <f>5000/12</f>
        <v>416.66666666666669</v>
      </c>
      <c r="ML789" s="302">
        <v>500</v>
      </c>
      <c r="MM789" s="302">
        <v>500</v>
      </c>
      <c r="MN789" s="302"/>
      <c r="MO789" s="302">
        <v>450</v>
      </c>
      <c r="MP789" s="302"/>
      <c r="MQ789" s="302">
        <v>300</v>
      </c>
      <c r="MR789" s="302">
        <v>1400</v>
      </c>
      <c r="MS789" s="302">
        <f>8000/12</f>
        <v>666.66666666666663</v>
      </c>
      <c r="MT789" s="302"/>
      <c r="MU789" s="302"/>
      <c r="MV789" s="302"/>
      <c r="MW789" s="302"/>
      <c r="MX789" s="302"/>
      <c r="MY789" s="1682">
        <f t="shared" si="243"/>
        <v>16233.333333333332</v>
      </c>
      <c r="MZ789" s="770" t="s">
        <v>13395</v>
      </c>
      <c r="NA789" s="770" t="s">
        <v>13005</v>
      </c>
      <c r="NB789" s="770" t="s">
        <v>13016</v>
      </c>
      <c r="NC789" s="770" t="s">
        <v>13965</v>
      </c>
      <c r="ND789" s="770">
        <v>0</v>
      </c>
      <c r="NE789" s="770">
        <v>0</v>
      </c>
      <c r="NF789" s="770">
        <v>0</v>
      </c>
      <c r="NG789" s="770">
        <v>1</v>
      </c>
      <c r="NH789" s="770">
        <v>1</v>
      </c>
      <c r="NI789" s="770">
        <v>0</v>
      </c>
      <c r="NJ789" s="770">
        <v>0</v>
      </c>
      <c r="NK789" s="770">
        <v>0</v>
      </c>
      <c r="NL789" s="770">
        <v>0</v>
      </c>
      <c r="NM789" s="770">
        <v>0</v>
      </c>
      <c r="NN789" s="770">
        <v>0</v>
      </c>
      <c r="NO789" s="770">
        <v>0</v>
      </c>
      <c r="NP789" s="770">
        <v>0</v>
      </c>
      <c r="NQ789" s="770">
        <v>0</v>
      </c>
      <c r="NR789" s="770">
        <v>0</v>
      </c>
      <c r="NS789" s="770">
        <v>0</v>
      </c>
      <c r="NT789" s="770">
        <v>0</v>
      </c>
      <c r="NU789" s="770">
        <v>0</v>
      </c>
      <c r="NV789" s="770">
        <v>0</v>
      </c>
      <c r="NW789" s="770">
        <v>0</v>
      </c>
      <c r="NX789" s="770">
        <v>0</v>
      </c>
      <c r="NY789" s="770" t="s">
        <v>1208</v>
      </c>
      <c r="NZ789" s="770" t="s">
        <v>1208</v>
      </c>
      <c r="OA789" s="770" t="s">
        <v>1208</v>
      </c>
      <c r="OB789" s="770" t="s">
        <v>1208</v>
      </c>
      <c r="OC789" s="770" t="s">
        <v>1208</v>
      </c>
      <c r="OD789" s="770"/>
      <c r="OE789" s="770"/>
      <c r="OF789" s="770" t="s">
        <v>13277</v>
      </c>
      <c r="OG789" s="770" t="s">
        <v>1208</v>
      </c>
      <c r="OH789" s="770"/>
      <c r="OI789" s="770"/>
      <c r="OJ789" s="770"/>
      <c r="OK789" s="770"/>
      <c r="OL789" s="770"/>
      <c r="OM789" s="770"/>
      <c r="ON789" s="770"/>
      <c r="OO789" s="770" t="s">
        <v>1207</v>
      </c>
      <c r="OP789" s="770"/>
      <c r="OQ789" s="770"/>
      <c r="OR789" s="770"/>
      <c r="OS789" s="770" t="s">
        <v>12885</v>
      </c>
      <c r="OT789" s="770" t="s">
        <v>13579</v>
      </c>
      <c r="OU789" s="770" t="s">
        <v>12888</v>
      </c>
      <c r="OV789" s="770" t="s">
        <v>1208</v>
      </c>
      <c r="OW789" s="770"/>
      <c r="OX789" s="770" t="s">
        <v>1208</v>
      </c>
      <c r="OY789" s="770" t="s">
        <v>1208</v>
      </c>
      <c r="OZ789" s="770"/>
      <c r="PA789" s="770"/>
      <c r="PB789" s="770"/>
      <c r="PC789" s="770"/>
      <c r="PD789" s="770"/>
      <c r="PE789" s="770"/>
      <c r="PF789" s="770"/>
      <c r="PG789" s="770"/>
      <c r="PH789" s="770"/>
      <c r="PI789" s="770"/>
      <c r="PJ789" s="770"/>
      <c r="PK789" s="770"/>
      <c r="PL789" s="770"/>
      <c r="PM789" s="770"/>
      <c r="PN789" s="770"/>
      <c r="PO789" s="770"/>
      <c r="PP789" s="770"/>
      <c r="PQ789" s="770"/>
      <c r="PR789" s="770"/>
      <c r="PS789" s="770"/>
      <c r="PT789" s="770"/>
      <c r="PU789" s="770"/>
      <c r="PV789" s="770"/>
      <c r="PW789" s="770"/>
      <c r="PX789" s="770"/>
      <c r="PY789" s="770"/>
      <c r="PZ789" s="770"/>
      <c r="QA789" s="770"/>
      <c r="QB789" s="770"/>
      <c r="QC789" s="770"/>
      <c r="QD789" s="770"/>
      <c r="QE789" s="770"/>
      <c r="QF789" s="770"/>
      <c r="QG789" s="770" t="s">
        <v>1208</v>
      </c>
      <c r="QH789" s="770"/>
      <c r="QI789" s="770"/>
      <c r="QJ789" s="770"/>
      <c r="QK789" s="770"/>
      <c r="QL789" s="770"/>
      <c r="QM789" s="770"/>
      <c r="QN789" s="770"/>
      <c r="QO789" s="770"/>
      <c r="QP789" s="770"/>
      <c r="QQ789" s="770"/>
      <c r="QR789" s="770"/>
      <c r="QS789" s="770"/>
      <c r="QT789" s="770"/>
      <c r="QU789" s="770"/>
      <c r="QV789" s="770"/>
      <c r="QW789" s="770"/>
      <c r="QX789" s="770"/>
      <c r="QY789" s="770"/>
      <c r="QZ789" s="770"/>
      <c r="RA789" s="770"/>
      <c r="RB789" s="770" t="s">
        <v>1207</v>
      </c>
      <c r="RC789" s="770" t="s">
        <v>14009</v>
      </c>
      <c r="RD789" s="770" t="s">
        <v>13036</v>
      </c>
      <c r="RE789" s="770" t="s">
        <v>12999</v>
      </c>
      <c r="RF789" s="304">
        <v>2</v>
      </c>
      <c r="RG789" s="770" t="s">
        <v>13047</v>
      </c>
      <c r="RH789" s="306">
        <v>10000</v>
      </c>
      <c r="RI789" s="770">
        <v>12</v>
      </c>
      <c r="RJ789" s="94" t="s">
        <v>3232</v>
      </c>
      <c r="RK789" s="770" t="s">
        <v>13544</v>
      </c>
      <c r="RL789" s="1710" t="s">
        <v>1604</v>
      </c>
      <c r="RM789" s="12"/>
      <c r="RN789" s="1711"/>
      <c r="RO789" s="149" t="s">
        <v>3225</v>
      </c>
      <c r="RP789" s="11"/>
      <c r="RQ789" s="11"/>
      <c r="RR789" s="343" t="s">
        <v>12352</v>
      </c>
      <c r="RS789" s="1139" t="s">
        <v>12980</v>
      </c>
      <c r="RT789" s="11"/>
      <c r="RU789" s="11"/>
      <c r="RV789" s="771" t="s">
        <v>7421</v>
      </c>
      <c r="RW789" s="11" t="s">
        <v>7468</v>
      </c>
      <c r="RX789" s="11" t="s">
        <v>5093</v>
      </c>
      <c r="RY789" s="11"/>
      <c r="RZ789" s="11"/>
      <c r="SA789" s="771"/>
      <c r="SB789" s="11"/>
      <c r="SC789" s="11"/>
    </row>
    <row r="790" spans="1:497" ht="12.75" hidden="1" customHeight="1">
      <c r="A790" s="343" t="s">
        <v>14248</v>
      </c>
      <c r="B790" s="292" t="s">
        <v>7470</v>
      </c>
      <c r="C790" s="149" t="s">
        <v>3225</v>
      </c>
      <c r="D790" s="94" t="s">
        <v>3233</v>
      </c>
      <c r="E790" s="766" t="s">
        <v>5138</v>
      </c>
      <c r="F790" s="770" t="s">
        <v>28</v>
      </c>
      <c r="G790" s="770" t="s">
        <v>10</v>
      </c>
      <c r="H790" s="12"/>
      <c r="I790" s="295"/>
      <c r="J790" s="94" t="str">
        <f ca="1">IF(F790="Head",CELL("contents",D790))</f>
        <v>Sta. Juana Jr, Liberato Aransanso</v>
      </c>
      <c r="K790" s="770"/>
      <c r="L790" s="770"/>
      <c r="M790" s="770"/>
      <c r="N790" s="1757"/>
      <c r="O790" s="1757"/>
      <c r="P790" s="94" t="s">
        <v>3234</v>
      </c>
      <c r="Q790" s="1088">
        <v>24929</v>
      </c>
      <c r="R790" s="297">
        <v>49</v>
      </c>
      <c r="S790" s="770" t="s">
        <v>10</v>
      </c>
      <c r="T790" s="770"/>
      <c r="U790" s="298"/>
      <c r="V790" s="770" t="s">
        <v>768</v>
      </c>
      <c r="W790" s="770"/>
      <c r="X790" s="770"/>
      <c r="Y790" s="770" t="s">
        <v>3227</v>
      </c>
      <c r="Z790" s="770" t="s">
        <v>708</v>
      </c>
      <c r="AA790" s="770" t="s">
        <v>709</v>
      </c>
      <c r="AB790" s="770" t="s">
        <v>710</v>
      </c>
      <c r="AC790" s="770"/>
      <c r="AD790" s="770" t="s">
        <v>711</v>
      </c>
      <c r="AE790" s="770"/>
      <c r="AF790" s="770" t="s">
        <v>712</v>
      </c>
      <c r="AG790" s="770"/>
      <c r="AH790" s="770"/>
      <c r="AI790" s="770"/>
      <c r="AJ790" s="770"/>
      <c r="AK790" s="770" t="s">
        <v>5454</v>
      </c>
      <c r="AL790" s="531"/>
      <c r="AM790" s="780"/>
      <c r="AN790" s="532"/>
      <c r="AO790" s="766"/>
      <c r="AP790" s="766"/>
      <c r="AQ790" s="766"/>
      <c r="AR790" s="766"/>
      <c r="AS790" s="770"/>
      <c r="AT790" s="770"/>
      <c r="AU790" s="770"/>
      <c r="AV790" s="770"/>
      <c r="AW790" s="770"/>
      <c r="AX790" s="770"/>
      <c r="AY790" s="770"/>
      <c r="AZ790" s="770"/>
      <c r="BA790" s="770"/>
      <c r="BB790" s="770"/>
      <c r="BC790" s="770"/>
      <c r="BD790" s="770"/>
      <c r="BE790" s="770"/>
      <c r="BF790" s="302"/>
      <c r="BG790" s="302"/>
      <c r="BH790" s="770"/>
      <c r="BI790" s="770"/>
      <c r="BJ790" s="770"/>
      <c r="BK790" s="766"/>
      <c r="BL790" s="766"/>
      <c r="BM790" s="766" t="s">
        <v>1238</v>
      </c>
      <c r="BN790" s="766" t="s">
        <v>1305</v>
      </c>
      <c r="BO790" s="770"/>
      <c r="BP790" s="765"/>
      <c r="BQ790" s="773"/>
      <c r="BR790" s="774"/>
      <c r="BS790" s="6" t="s">
        <v>1149</v>
      </c>
      <c r="BT790" s="770"/>
      <c r="BU790" s="770"/>
      <c r="BV790" s="770"/>
      <c r="BW790" s="770"/>
      <c r="BX790" s="302"/>
      <c r="BY790" s="770"/>
      <c r="BZ790" s="302"/>
      <c r="CA790" s="770"/>
      <c r="CB790" s="770"/>
      <c r="CC790" s="770"/>
      <c r="CD790" s="770"/>
      <c r="CE790" s="302"/>
      <c r="CF790" s="304"/>
      <c r="CG790" s="321"/>
      <c r="CH790" s="770"/>
      <c r="CI790" s="770"/>
      <c r="CJ790" s="770"/>
      <c r="CK790" s="770"/>
      <c r="CL790" s="770"/>
      <c r="CM790" s="770"/>
      <c r="CN790" s="770"/>
      <c r="CO790" s="770"/>
      <c r="CP790" s="770"/>
      <c r="CQ790" s="770"/>
      <c r="CR790" s="302"/>
      <c r="CS790" s="770"/>
      <c r="CT790" s="770"/>
      <c r="CU790" s="305"/>
      <c r="CV790" s="770"/>
      <c r="CW790" s="770"/>
      <c r="CX790" s="770"/>
      <c r="CY790" s="770"/>
      <c r="CZ790" s="770"/>
      <c r="DA790" s="306"/>
      <c r="DB790" s="770"/>
      <c r="DC790" s="770"/>
      <c r="DD790" s="770"/>
      <c r="DE790" s="300"/>
      <c r="DF790" s="770"/>
      <c r="DG790" s="770"/>
      <c r="DH790" s="770"/>
      <c r="DI790" s="770"/>
      <c r="DJ790" s="770"/>
      <c r="DK790" s="770"/>
      <c r="DL790" s="770"/>
      <c r="DM790" s="770"/>
      <c r="DN790" s="322"/>
      <c r="DO790" s="770"/>
      <c r="DP790" s="770"/>
      <c r="DQ790" s="770"/>
      <c r="DR790" s="770"/>
      <c r="DS790" s="307"/>
      <c r="DT790" s="770"/>
      <c r="DU790" s="770"/>
      <c r="DV790" s="770"/>
      <c r="DW790" s="306"/>
      <c r="DX790" s="306"/>
      <c r="DY790" s="1055"/>
      <c r="DZ790" s="770"/>
      <c r="EA790" s="770"/>
      <c r="EB790" s="770"/>
      <c r="EC790" s="770"/>
      <c r="ED790" s="770"/>
      <c r="EE790" s="770"/>
      <c r="EF790" s="770"/>
      <c r="EG790" s="770"/>
      <c r="EH790" s="770"/>
      <c r="EI790" s="770"/>
      <c r="EJ790" s="770"/>
      <c r="EK790" s="770"/>
      <c r="EL790" s="770"/>
      <c r="EM790" s="770"/>
      <c r="EN790" s="770"/>
      <c r="EO790" s="770"/>
      <c r="EP790" s="94"/>
      <c r="EQ790" s="770"/>
      <c r="ER790" s="770"/>
      <c r="ES790" s="770"/>
      <c r="ET790" s="770"/>
      <c r="EU790" s="770"/>
      <c r="EV790" s="770"/>
      <c r="EW790" s="770"/>
      <c r="EX790" s="770"/>
      <c r="EY790" s="770"/>
      <c r="EZ790" s="770"/>
      <c r="FA790" s="770"/>
      <c r="FB790" s="770"/>
      <c r="FC790" s="770"/>
      <c r="FD790" s="302"/>
      <c r="FE790" s="770"/>
      <c r="FF790" s="770"/>
      <c r="FG790" s="770"/>
      <c r="FH790" s="770" t="s">
        <v>3230</v>
      </c>
      <c r="FI790" s="770">
        <v>1</v>
      </c>
      <c r="FJ790" s="770" t="s">
        <v>3231</v>
      </c>
      <c r="FK790" s="770"/>
      <c r="FL790" s="770" t="s">
        <v>3227</v>
      </c>
      <c r="FM790" s="302"/>
      <c r="FN790" s="302">
        <v>1400</v>
      </c>
      <c r="FO790" s="302"/>
      <c r="FP790" s="766" t="s">
        <v>1602</v>
      </c>
      <c r="FQ790" s="766" t="s">
        <v>1660</v>
      </c>
      <c r="FR790" s="770" t="s">
        <v>1214</v>
      </c>
      <c r="FS790" s="770"/>
      <c r="FT790" s="770"/>
      <c r="FU790" s="770"/>
      <c r="FV790" s="770"/>
      <c r="FW790" s="770"/>
      <c r="FX790" s="770"/>
      <c r="FY790" s="770"/>
      <c r="FZ790" s="770"/>
      <c r="GA790" s="770"/>
      <c r="GB790" s="770" t="s">
        <v>1734</v>
      </c>
      <c r="GC790" s="308"/>
      <c r="GD790" s="297">
        <v>1975</v>
      </c>
      <c r="GE790" s="770"/>
      <c r="GF790" s="302"/>
      <c r="GG790" s="302"/>
      <c r="GH790" s="770"/>
      <c r="GI790" s="770"/>
      <c r="GJ790" s="770"/>
      <c r="GK790" s="770"/>
      <c r="GL790" s="770"/>
      <c r="GM790" s="770"/>
      <c r="GN790" s="299"/>
      <c r="GO790" s="770"/>
      <c r="GP790" s="770"/>
      <c r="GQ790" s="770"/>
      <c r="GR790" s="770"/>
      <c r="GS790" s="770"/>
      <c r="GT790" s="770"/>
      <c r="GU790" s="770"/>
      <c r="GV790" s="770"/>
      <c r="GW790" s="770"/>
      <c r="GX790" s="770"/>
      <c r="GY790" s="770"/>
      <c r="GZ790" s="770"/>
      <c r="HA790" s="770"/>
      <c r="HB790" s="770"/>
      <c r="HC790" s="770"/>
      <c r="HD790" s="770"/>
      <c r="HE790" s="770"/>
      <c r="HF790" s="770"/>
      <c r="HG790" s="770"/>
      <c r="HH790" s="770"/>
      <c r="HI790" s="770"/>
      <c r="HJ790" s="770"/>
      <c r="HK790" s="770"/>
      <c r="HL790" s="770"/>
      <c r="HM790" s="770"/>
      <c r="HN790" s="770"/>
      <c r="HO790" s="770"/>
      <c r="HP790" s="770"/>
      <c r="HQ790" s="770"/>
      <c r="HR790" s="770"/>
      <c r="HS790" s="770"/>
      <c r="HT790" s="770"/>
      <c r="HU790" s="770"/>
      <c r="HV790" s="770"/>
      <c r="HW790" s="770"/>
      <c r="HX790" s="770"/>
      <c r="HY790" s="770"/>
      <c r="HZ790" s="770"/>
      <c r="IA790" s="770"/>
      <c r="IB790" s="14" t="e">
        <f>IF(#REF!&gt;0,IF(#REF!&lt;=10000,"Y",""),"")</f>
        <v>#REF!</v>
      </c>
      <c r="IC790" s="770"/>
      <c r="ID790" s="770"/>
      <c r="IE790" s="770"/>
      <c r="IF790" s="770"/>
      <c r="IG790" s="770"/>
      <c r="IH790" s="770"/>
      <c r="II790" s="770"/>
      <c r="IJ790" s="770"/>
      <c r="IK790" s="770"/>
      <c r="IL790" s="770"/>
      <c r="IM790" s="770"/>
      <c r="IN790" s="770"/>
      <c r="IO790" s="296"/>
      <c r="IP790" s="770"/>
      <c r="IQ790" s="770"/>
      <c r="IR790" s="770"/>
      <c r="IS790" s="770"/>
      <c r="IT790" s="770"/>
      <c r="IU790" s="770"/>
      <c r="IV790" s="770"/>
      <c r="IW790" s="770"/>
      <c r="IX790" s="770"/>
      <c r="IY790" s="770"/>
      <c r="IZ790" s="770"/>
      <c r="JA790" s="770"/>
      <c r="JB790" s="770"/>
      <c r="JC790" s="770"/>
      <c r="JD790" s="302"/>
      <c r="JE790" s="770"/>
      <c r="JF790" s="770"/>
      <c r="JG790" s="770"/>
      <c r="JH790" s="307"/>
      <c r="JI790" s="307"/>
      <c r="JJ790" s="770">
        <v>6</v>
      </c>
      <c r="JK790" s="1139" t="s">
        <v>3235</v>
      </c>
      <c r="JL790" s="770"/>
      <c r="JM790" s="770">
        <v>1</v>
      </c>
      <c r="JN790" s="770">
        <v>4</v>
      </c>
      <c r="JO790" s="770">
        <v>1</v>
      </c>
      <c r="JP790" s="770"/>
      <c r="JQ790" s="770"/>
      <c r="JR790" s="770"/>
      <c r="JS790" s="770"/>
      <c r="JT790" s="766">
        <f t="shared" si="248"/>
        <v>4</v>
      </c>
      <c r="JU790" s="766">
        <f t="shared" si="248"/>
        <v>2</v>
      </c>
      <c r="JV790" s="712" t="str">
        <f t="shared" si="250"/>
        <v>ok</v>
      </c>
      <c r="JW790" s="712" t="str">
        <f t="shared" si="251"/>
        <v>ok</v>
      </c>
      <c r="JX790" s="770"/>
      <c r="JY790" s="770"/>
      <c r="JZ790" s="770"/>
      <c r="KA790" s="770">
        <v>1</v>
      </c>
      <c r="KB790" s="770">
        <v>3</v>
      </c>
      <c r="KC790" s="770"/>
      <c r="KD790" s="770">
        <v>1</v>
      </c>
      <c r="KE790" s="770">
        <v>1</v>
      </c>
      <c r="KF790" s="770"/>
      <c r="KG790" s="770"/>
      <c r="KH790" s="770"/>
      <c r="KI790" s="770"/>
      <c r="KJ790" s="770">
        <f t="shared" si="249"/>
        <v>4</v>
      </c>
      <c r="KK790" s="770">
        <f t="shared" si="249"/>
        <v>2</v>
      </c>
      <c r="KL790" s="712" t="str">
        <f t="shared" si="252"/>
        <v>ok</v>
      </c>
      <c r="KM790" s="712" t="str">
        <f t="shared" si="253"/>
        <v>ok</v>
      </c>
      <c r="KN790" s="770" t="s">
        <v>707</v>
      </c>
      <c r="KO790" s="770"/>
      <c r="KP790" s="770"/>
      <c r="KQ790" s="770"/>
      <c r="KR790" s="770"/>
      <c r="KS790" s="770"/>
      <c r="KT790" s="770">
        <v>1</v>
      </c>
      <c r="KU790" s="770">
        <v>1</v>
      </c>
      <c r="KV790" s="770"/>
      <c r="KW790" s="770"/>
      <c r="KX790" s="770">
        <v>2</v>
      </c>
      <c r="KY790" s="770"/>
      <c r="KZ790" s="770">
        <v>1</v>
      </c>
      <c r="LA790" s="770">
        <v>1</v>
      </c>
      <c r="LB790" s="770"/>
      <c r="LC790" s="770"/>
      <c r="LD790" s="770"/>
      <c r="LE790" s="770"/>
      <c r="LF790" s="770"/>
      <c r="LG790" s="770"/>
      <c r="LH790" s="770"/>
      <c r="LI790" s="770"/>
      <c r="LJ790" s="770"/>
      <c r="LK790" s="770"/>
      <c r="LL790" s="770"/>
      <c r="LM790" s="770"/>
      <c r="LN790" s="766">
        <f t="shared" si="230"/>
        <v>4</v>
      </c>
      <c r="LO790" s="766">
        <f t="shared" si="230"/>
        <v>2</v>
      </c>
      <c r="LP790" s="770">
        <v>1</v>
      </c>
      <c r="LQ790" s="770">
        <v>1</v>
      </c>
      <c r="LR790" s="770"/>
      <c r="LS790" s="770"/>
      <c r="LT790" s="712" t="str">
        <f t="shared" si="254"/>
        <v>OK</v>
      </c>
      <c r="LU790" s="770">
        <v>1</v>
      </c>
      <c r="LV790" s="770"/>
      <c r="LW790" s="770"/>
      <c r="LX790" s="769">
        <v>2</v>
      </c>
      <c r="LY790" s="766" t="str">
        <f t="shared" si="231"/>
        <v>within the MUNICIPALITY</v>
      </c>
      <c r="LZ790" s="1709">
        <v>540</v>
      </c>
      <c r="MA790" s="1709"/>
      <c r="MB790" s="1709"/>
      <c r="MC790" s="1679">
        <f t="shared" si="229"/>
        <v>540</v>
      </c>
      <c r="MD790" s="1709">
        <v>8850</v>
      </c>
      <c r="ME790" s="1709"/>
      <c r="MF790" s="1709"/>
      <c r="MG790" s="1680">
        <f t="shared" si="255"/>
        <v>8850</v>
      </c>
      <c r="MH790" s="770" t="s">
        <v>13625</v>
      </c>
      <c r="MI790" s="302">
        <v>1200</v>
      </c>
      <c r="MJ790" s="302">
        <v>540</v>
      </c>
      <c r="MK790" s="302">
        <v>200</v>
      </c>
      <c r="ML790" s="302"/>
      <c r="MM790" s="302"/>
      <c r="MN790" s="302">
        <f>5000/12</f>
        <v>416.66666666666669</v>
      </c>
      <c r="MO790" s="302"/>
      <c r="MP790" s="302"/>
      <c r="MQ790" s="302">
        <v>1440</v>
      </c>
      <c r="MR790" s="302"/>
      <c r="MS790" s="302"/>
      <c r="MT790" s="302"/>
      <c r="MU790" s="302"/>
      <c r="MV790" s="302"/>
      <c r="MW790" s="302"/>
      <c r="MX790" s="302"/>
      <c r="MY790" s="1682">
        <f t="shared" si="243"/>
        <v>3796.6666666666665</v>
      </c>
      <c r="MZ790" s="770" t="s">
        <v>13395</v>
      </c>
      <c r="NA790" s="770" t="s">
        <v>13230</v>
      </c>
      <c r="NB790" s="770" t="s">
        <v>13092</v>
      </c>
      <c r="NC790" s="770" t="s">
        <v>13602</v>
      </c>
      <c r="ND790" s="770">
        <v>0</v>
      </c>
      <c r="NE790" s="770">
        <v>0</v>
      </c>
      <c r="NF790" s="770">
        <v>0</v>
      </c>
      <c r="NG790" s="770">
        <v>2</v>
      </c>
      <c r="NH790" s="770">
        <v>0</v>
      </c>
      <c r="NI790" s="770">
        <v>1</v>
      </c>
      <c r="NJ790" s="770">
        <v>0</v>
      </c>
      <c r="NK790" s="770">
        <v>0</v>
      </c>
      <c r="NL790" s="770">
        <v>0</v>
      </c>
      <c r="NM790" s="770">
        <v>0</v>
      </c>
      <c r="NN790" s="770">
        <v>0</v>
      </c>
      <c r="NO790" s="770">
        <v>0</v>
      </c>
      <c r="NP790" s="770">
        <v>0</v>
      </c>
      <c r="NQ790" s="770">
        <v>0</v>
      </c>
      <c r="NR790" s="770">
        <v>0</v>
      </c>
      <c r="NS790" s="770">
        <v>0</v>
      </c>
      <c r="NT790" s="770">
        <v>0</v>
      </c>
      <c r="NU790" s="770">
        <v>0</v>
      </c>
      <c r="NV790" s="770">
        <v>0</v>
      </c>
      <c r="NW790" s="770">
        <v>0</v>
      </c>
      <c r="NX790" s="770">
        <v>0</v>
      </c>
      <c r="NY790" s="770"/>
      <c r="NZ790" s="770"/>
      <c r="OA790" s="770"/>
      <c r="OB790" s="770"/>
      <c r="OC790" s="770"/>
      <c r="OD790" s="770"/>
      <c r="OE790" s="770"/>
      <c r="OF790" s="770"/>
      <c r="OG790" s="770"/>
      <c r="OH790" s="770"/>
      <c r="OI790" s="770"/>
      <c r="OJ790" s="770"/>
      <c r="OK790" s="770"/>
      <c r="OL790" s="770"/>
      <c r="OM790" s="770"/>
      <c r="ON790" s="770"/>
      <c r="OO790" s="770"/>
      <c r="OP790" s="770"/>
      <c r="OQ790" s="770"/>
      <c r="OR790" s="770"/>
      <c r="OS790" s="770"/>
      <c r="OT790" s="770"/>
      <c r="OU790" s="770"/>
      <c r="OV790" s="770"/>
      <c r="OW790" s="770"/>
      <c r="OX790" s="770"/>
      <c r="OY790" s="770"/>
      <c r="OZ790" s="770"/>
      <c r="PA790" s="770"/>
      <c r="PB790" s="770"/>
      <c r="PC790" s="770"/>
      <c r="PD790" s="770"/>
      <c r="PE790" s="770"/>
      <c r="PF790" s="770"/>
      <c r="PG790" s="770"/>
      <c r="PH790" s="770"/>
      <c r="PI790" s="770"/>
      <c r="PJ790" s="770"/>
      <c r="PK790" s="770"/>
      <c r="PL790" s="770"/>
      <c r="PM790" s="770"/>
      <c r="PN790" s="770"/>
      <c r="PO790" s="770"/>
      <c r="PP790" s="770"/>
      <c r="PQ790" s="770"/>
      <c r="PR790" s="770"/>
      <c r="PS790" s="770"/>
      <c r="PT790" s="770"/>
      <c r="PU790" s="770"/>
      <c r="PV790" s="770"/>
      <c r="PW790" s="770"/>
      <c r="PX790" s="770"/>
      <c r="PY790" s="770"/>
      <c r="PZ790" s="770"/>
      <c r="QA790" s="770"/>
      <c r="QB790" s="770"/>
      <c r="QC790" s="770"/>
      <c r="QD790" s="770"/>
      <c r="QE790" s="770"/>
      <c r="QF790" s="770"/>
      <c r="QG790" s="770"/>
      <c r="QH790" s="770"/>
      <c r="QI790" s="770"/>
      <c r="QJ790" s="770"/>
      <c r="QK790" s="770"/>
      <c r="QL790" s="770"/>
      <c r="QM790" s="770"/>
      <c r="QN790" s="770"/>
      <c r="QO790" s="770"/>
      <c r="QP790" s="770"/>
      <c r="QQ790" s="770"/>
      <c r="QR790" s="770"/>
      <c r="QS790" s="770"/>
      <c r="QT790" s="770"/>
      <c r="QU790" s="770"/>
      <c r="QV790" s="770"/>
      <c r="QW790" s="770"/>
      <c r="QX790" s="770"/>
      <c r="QY790" s="770"/>
      <c r="QZ790" s="770"/>
      <c r="RA790" s="770"/>
      <c r="RB790" s="770" t="s">
        <v>1207</v>
      </c>
      <c r="RC790" s="770">
        <v>2014</v>
      </c>
      <c r="RD790" s="770" t="s">
        <v>13046</v>
      </c>
      <c r="RE790" s="770" t="s">
        <v>12999</v>
      </c>
      <c r="RF790" s="304">
        <v>1</v>
      </c>
      <c r="RG790" s="770" t="s">
        <v>13047</v>
      </c>
      <c r="RH790" s="306">
        <v>2000</v>
      </c>
      <c r="RI790" s="770">
        <v>4</v>
      </c>
      <c r="RJ790" s="94" t="s">
        <v>14010</v>
      </c>
      <c r="RK790" s="770" t="s">
        <v>13550</v>
      </c>
      <c r="RL790" s="1710" t="s">
        <v>1604</v>
      </c>
      <c r="RM790" s="12"/>
      <c r="RN790" s="1711"/>
      <c r="RO790" s="149" t="s">
        <v>3225</v>
      </c>
      <c r="RP790" s="11"/>
      <c r="RQ790" s="11"/>
      <c r="RR790" s="343" t="s">
        <v>14011</v>
      </c>
      <c r="RS790" s="1139" t="s">
        <v>12980</v>
      </c>
      <c r="RT790" s="11"/>
      <c r="RU790" s="11"/>
      <c r="RV790" s="771" t="s">
        <v>7419</v>
      </c>
      <c r="RW790" s="11" t="s">
        <v>7469</v>
      </c>
      <c r="RX790" s="11" t="s">
        <v>3225</v>
      </c>
      <c r="RY790" s="11"/>
      <c r="RZ790" s="11"/>
      <c r="SA790" s="771"/>
      <c r="SB790" s="11"/>
      <c r="SC790" s="11"/>
    </row>
    <row r="791" spans="1:497" ht="12.75" customHeight="1">
      <c r="A791" s="19" t="s">
        <v>7421</v>
      </c>
      <c r="B791" s="292" t="s">
        <v>7471</v>
      </c>
      <c r="C791" s="149" t="s">
        <v>5099</v>
      </c>
      <c r="D791" s="94" t="s">
        <v>5143</v>
      </c>
      <c r="E791" s="766" t="s">
        <v>5311</v>
      </c>
      <c r="F791" s="770" t="s">
        <v>28</v>
      </c>
      <c r="G791" s="770" t="s">
        <v>18</v>
      </c>
      <c r="H791" s="12"/>
      <c r="I791" s="295" t="s">
        <v>5145</v>
      </c>
      <c r="J791" s="94" t="s">
        <v>5143</v>
      </c>
      <c r="K791" s="766"/>
      <c r="L791" s="766"/>
      <c r="M791" s="770" t="s">
        <v>1238</v>
      </c>
      <c r="N791" s="1757"/>
      <c r="O791" s="1757" t="s">
        <v>3255</v>
      </c>
      <c r="P791" s="94" t="s">
        <v>5146</v>
      </c>
      <c r="Q791" s="1088">
        <v>36220</v>
      </c>
      <c r="R791" s="297">
        <v>18</v>
      </c>
      <c r="S791" s="770" t="s">
        <v>18</v>
      </c>
      <c r="T791" s="770"/>
      <c r="U791" s="295" t="s">
        <v>5145</v>
      </c>
      <c r="V791" s="770" t="s">
        <v>722</v>
      </c>
      <c r="W791" s="770"/>
      <c r="X791" s="770"/>
      <c r="Y791" s="770" t="s">
        <v>5144</v>
      </c>
      <c r="Z791" s="770" t="s">
        <v>708</v>
      </c>
      <c r="AA791" s="12" t="s">
        <v>709</v>
      </c>
      <c r="AB791" s="770" t="s">
        <v>7275</v>
      </c>
      <c r="AC791" s="770"/>
      <c r="AD791" s="770" t="s">
        <v>711</v>
      </c>
      <c r="AE791" s="770"/>
      <c r="AF791" s="770" t="s">
        <v>712</v>
      </c>
      <c r="AG791" s="766" t="s">
        <v>1095</v>
      </c>
      <c r="AH791" s="766" t="s">
        <v>1096</v>
      </c>
      <c r="AI791" s="770" t="s">
        <v>3294</v>
      </c>
      <c r="AJ791" s="770"/>
      <c r="AK791" s="770" t="s">
        <v>1101</v>
      </c>
      <c r="AL791" s="531">
        <v>8</v>
      </c>
      <c r="AM791" s="780">
        <v>6</v>
      </c>
      <c r="AN791" s="532">
        <f>AM791/AL791</f>
        <v>0.75</v>
      </c>
      <c r="AO791" s="766" t="s">
        <v>1105</v>
      </c>
      <c r="AP791" s="766"/>
      <c r="AQ791" s="766"/>
      <c r="AR791" s="766"/>
      <c r="AS791" s="770"/>
      <c r="AT791" s="770"/>
      <c r="AU791" s="770"/>
      <c r="AV791" s="770"/>
      <c r="AW791" s="770"/>
      <c r="AX791" s="770"/>
      <c r="AY791" s="770"/>
      <c r="AZ791" s="770"/>
      <c r="BA791" s="770"/>
      <c r="BB791" s="770"/>
      <c r="BC791" s="770"/>
      <c r="BD791" s="770"/>
      <c r="BE791" s="770"/>
      <c r="BF791" s="302"/>
      <c r="BG791" s="302"/>
      <c r="BH791" s="770"/>
      <c r="BI791" s="770"/>
      <c r="BJ791" s="770"/>
      <c r="BK791" s="766" t="s">
        <v>1095</v>
      </c>
      <c r="BL791" s="766" t="s">
        <v>5147</v>
      </c>
      <c r="BM791" s="766" t="s">
        <v>1096</v>
      </c>
      <c r="BN791" s="766" t="s">
        <v>1230</v>
      </c>
      <c r="BO791" s="770" t="s">
        <v>1275</v>
      </c>
      <c r="BP791" s="1109">
        <v>8</v>
      </c>
      <c r="BQ791" s="773">
        <v>6</v>
      </c>
      <c r="BR791" s="774">
        <f t="shared" si="247"/>
        <v>0.75</v>
      </c>
      <c r="BS791" s="766" t="s">
        <v>1105</v>
      </c>
      <c r="BT791" s="766" t="s">
        <v>8133</v>
      </c>
      <c r="BU791" s="770" t="s">
        <v>1249</v>
      </c>
      <c r="BV791" s="769"/>
      <c r="BW791" s="770">
        <v>1999</v>
      </c>
      <c r="BX791" s="302"/>
      <c r="BY791" s="770"/>
      <c r="BZ791" s="302"/>
      <c r="CA791" s="770">
        <f>74/139.6</f>
        <v>0.53008595988538687</v>
      </c>
      <c r="CB791" s="770"/>
      <c r="CC791" s="770"/>
      <c r="CD791" s="770"/>
      <c r="CE791" s="302"/>
      <c r="CF791" s="304"/>
      <c r="CG791" s="321"/>
      <c r="CH791" s="770"/>
      <c r="CI791" s="770"/>
      <c r="CJ791" s="770"/>
      <c r="CK791" s="770"/>
      <c r="CL791" s="770"/>
      <c r="CM791" s="770"/>
      <c r="CN791" s="770"/>
      <c r="CO791" s="770"/>
      <c r="CP791" s="770"/>
      <c r="CQ791" s="770"/>
      <c r="CR791" s="302"/>
      <c r="CS791" s="770"/>
      <c r="CT791" s="770"/>
      <c r="CU791" s="305"/>
      <c r="CV791" s="770"/>
      <c r="CW791" s="770"/>
      <c r="CX791" s="770"/>
      <c r="CY791" s="770"/>
      <c r="CZ791" s="770"/>
      <c r="DA791" s="306"/>
      <c r="DB791" s="770"/>
      <c r="DC791" s="770"/>
      <c r="DD791" s="770"/>
      <c r="DE791" s="300"/>
      <c r="DF791" s="770"/>
      <c r="DG791" s="770"/>
      <c r="DH791" s="770"/>
      <c r="DI791" s="770"/>
      <c r="DJ791" s="770"/>
      <c r="DK791" s="770"/>
      <c r="DL791" s="770"/>
      <c r="DM791" s="770"/>
      <c r="DN791" s="322"/>
      <c r="DO791" s="770"/>
      <c r="DP791" s="770"/>
      <c r="DQ791" s="770"/>
      <c r="DR791" s="770"/>
      <c r="DS791" s="307"/>
      <c r="DT791" s="770"/>
      <c r="DU791" s="770"/>
      <c r="DV791" s="770"/>
      <c r="DW791" s="306"/>
      <c r="DX791" s="306"/>
      <c r="DY791" s="1055"/>
      <c r="DZ791" s="770"/>
      <c r="EA791" s="770"/>
      <c r="EB791" s="770"/>
      <c r="EC791" s="770"/>
      <c r="ED791" s="770"/>
      <c r="EE791" s="770"/>
      <c r="EF791" s="770"/>
      <c r="EG791" s="770"/>
      <c r="EH791" s="770"/>
      <c r="EI791" s="770"/>
      <c r="EJ791" s="770"/>
      <c r="EK791" s="770"/>
      <c r="EL791" s="770"/>
      <c r="EM791" s="770"/>
      <c r="EN791" s="770"/>
      <c r="EO791" s="770"/>
      <c r="EP791" s="94"/>
      <c r="EQ791" s="770"/>
      <c r="ER791" s="770"/>
      <c r="ES791" s="770"/>
      <c r="ET791" s="770"/>
      <c r="EU791" s="770"/>
      <c r="EV791" s="770"/>
      <c r="EW791" s="770"/>
      <c r="EX791" s="770"/>
      <c r="EY791" s="770"/>
      <c r="EZ791" s="770"/>
      <c r="FA791" s="770"/>
      <c r="FB791" s="770"/>
      <c r="FC791" s="770"/>
      <c r="FD791" s="302"/>
      <c r="FE791" s="770"/>
      <c r="FF791" s="770"/>
      <c r="FG791" s="770"/>
      <c r="FH791" s="770" t="s">
        <v>478</v>
      </c>
      <c r="FI791" s="770">
        <v>1</v>
      </c>
      <c r="FJ791" s="770"/>
      <c r="FK791" s="770"/>
      <c r="FL791" s="770"/>
      <c r="FM791" s="302"/>
      <c r="FN791" s="302"/>
      <c r="FO791" s="302"/>
      <c r="FP791" s="766" t="s">
        <v>1602</v>
      </c>
      <c r="FQ791" s="766" t="s">
        <v>1660</v>
      </c>
      <c r="FR791" s="770" t="s">
        <v>1214</v>
      </c>
      <c r="FS791" s="770"/>
      <c r="FT791" s="770"/>
      <c r="FU791" s="770"/>
      <c r="FV791" s="770"/>
      <c r="FW791" s="770"/>
      <c r="FX791" s="770"/>
      <c r="FY791" s="770"/>
      <c r="FZ791" s="770"/>
      <c r="GA791" s="770"/>
      <c r="GB791" s="770" t="s">
        <v>1734</v>
      </c>
      <c r="GC791" s="308"/>
      <c r="GD791" s="297">
        <v>1999</v>
      </c>
      <c r="GE791" s="770" t="s">
        <v>1214</v>
      </c>
      <c r="GF791" s="302"/>
      <c r="GG791" s="302"/>
      <c r="GH791" s="712" t="s">
        <v>1791</v>
      </c>
      <c r="GI791" s="770" t="s">
        <v>1008</v>
      </c>
      <c r="GJ791" s="770"/>
      <c r="GK791" s="766" t="s">
        <v>2693</v>
      </c>
      <c r="GL791" s="770"/>
      <c r="GM791" s="770"/>
      <c r="GN791" s="299"/>
      <c r="GO791" s="770"/>
      <c r="GP791" s="770" t="s">
        <v>1208</v>
      </c>
      <c r="GQ791" s="770" t="s">
        <v>1208</v>
      </c>
      <c r="GR791" s="770" t="s">
        <v>1208</v>
      </c>
      <c r="GS791" s="770" t="s">
        <v>1208</v>
      </c>
      <c r="GT791" s="770" t="s">
        <v>1208</v>
      </c>
      <c r="GU791" s="770"/>
      <c r="GV791" s="770"/>
      <c r="GW791" s="770" t="s">
        <v>1207</v>
      </c>
      <c r="GX791" s="770"/>
      <c r="GY791" s="770" t="s">
        <v>1208</v>
      </c>
      <c r="GZ791" s="770" t="s">
        <v>1208</v>
      </c>
      <c r="HA791" s="770" t="s">
        <v>1208</v>
      </c>
      <c r="HB791" s="770" t="s">
        <v>1208</v>
      </c>
      <c r="HC791" s="770" t="s">
        <v>1208</v>
      </c>
      <c r="HD791" s="770" t="s">
        <v>1208</v>
      </c>
      <c r="HE791" s="770" t="s">
        <v>1208</v>
      </c>
      <c r="HF791" s="770"/>
      <c r="HG791" s="770"/>
      <c r="HH791" s="770"/>
      <c r="HI791" s="770" t="s">
        <v>1214</v>
      </c>
      <c r="HJ791" s="770"/>
      <c r="HK791" s="770"/>
      <c r="HL791" s="770" t="s">
        <v>1214</v>
      </c>
      <c r="HM791" s="770"/>
      <c r="HN791" s="770"/>
      <c r="HO791" s="770"/>
      <c r="HP791" s="770"/>
      <c r="HQ791" s="770"/>
      <c r="HR791" s="770"/>
      <c r="HS791" s="770"/>
      <c r="HT791" s="770"/>
      <c r="HU791" s="770"/>
      <c r="HV791" s="770"/>
      <c r="HW791" s="770"/>
      <c r="HX791" s="770"/>
      <c r="HY791" s="770"/>
      <c r="HZ791" s="770"/>
      <c r="IA791" s="770"/>
      <c r="IB791" s="14" t="e">
        <f>IF(#REF!&gt;0,IF(#REF!&lt;=10000,"Y",""),"")</f>
        <v>#REF!</v>
      </c>
      <c r="IC791" s="770" t="s">
        <v>1207</v>
      </c>
      <c r="ID791" s="770"/>
      <c r="IE791" s="770"/>
      <c r="IF791" s="770"/>
      <c r="IG791" s="770"/>
      <c r="IH791" s="770"/>
      <c r="II791" s="770"/>
      <c r="IJ791" s="770"/>
      <c r="IK791" s="770"/>
      <c r="IL791" s="770"/>
      <c r="IM791" s="770"/>
      <c r="IN791" s="770"/>
      <c r="IO791" s="296"/>
      <c r="IP791" s="770"/>
      <c r="IQ791" s="770"/>
      <c r="IR791" s="770"/>
      <c r="IS791" s="770"/>
      <c r="IT791" s="770"/>
      <c r="IU791" s="770"/>
      <c r="IV791" s="770"/>
      <c r="IW791" s="770"/>
      <c r="IX791" s="770"/>
      <c r="IY791" s="770"/>
      <c r="IZ791" s="770"/>
      <c r="JA791" s="770"/>
      <c r="JB791" s="770"/>
      <c r="JC791" s="770"/>
      <c r="JD791" s="302"/>
      <c r="JE791" s="770"/>
      <c r="JF791" s="770"/>
      <c r="JG791" s="770"/>
      <c r="JH791" s="307"/>
      <c r="JI791" s="307"/>
      <c r="JJ791" s="770">
        <v>8</v>
      </c>
      <c r="JK791" s="1139" t="s">
        <v>5100</v>
      </c>
      <c r="JL791" s="770">
        <v>2</v>
      </c>
      <c r="JM791" s="770">
        <v>3</v>
      </c>
      <c r="JN791" s="770">
        <v>1</v>
      </c>
      <c r="JO791" s="770">
        <v>2</v>
      </c>
      <c r="JP791" s="770"/>
      <c r="JQ791" s="770"/>
      <c r="JR791" s="770"/>
      <c r="JS791" s="770"/>
      <c r="JT791" s="766">
        <f t="shared" si="248"/>
        <v>3</v>
      </c>
      <c r="JU791" s="766">
        <f t="shared" si="248"/>
        <v>5</v>
      </c>
      <c r="JV791" s="712" t="str">
        <f t="shared" si="250"/>
        <v>ok</v>
      </c>
      <c r="JW791" s="712" t="str">
        <f t="shared" si="251"/>
        <v>ok</v>
      </c>
      <c r="JX791" s="770"/>
      <c r="JY791" s="770">
        <v>2</v>
      </c>
      <c r="JZ791" s="770">
        <v>2</v>
      </c>
      <c r="KA791" s="770">
        <v>1</v>
      </c>
      <c r="KB791" s="770">
        <v>1</v>
      </c>
      <c r="KC791" s="770">
        <v>1</v>
      </c>
      <c r="KD791" s="770"/>
      <c r="KE791" s="770">
        <v>1</v>
      </c>
      <c r="KF791" s="770"/>
      <c r="KG791" s="770"/>
      <c r="KH791" s="770"/>
      <c r="KI791" s="770"/>
      <c r="KJ791" s="770">
        <f t="shared" si="249"/>
        <v>3</v>
      </c>
      <c r="KK791" s="770">
        <f t="shared" si="249"/>
        <v>5</v>
      </c>
      <c r="KL791" s="712" t="str">
        <f t="shared" si="252"/>
        <v>ok</v>
      </c>
      <c r="KM791" s="712" t="str">
        <f t="shared" si="253"/>
        <v>ok</v>
      </c>
      <c r="KN791" s="770" t="s">
        <v>722</v>
      </c>
      <c r="KO791" s="770"/>
      <c r="KP791" s="770"/>
      <c r="KQ791" s="770"/>
      <c r="KR791" s="770"/>
      <c r="KS791" s="770"/>
      <c r="KT791" s="770">
        <v>2</v>
      </c>
      <c r="KU791" s="770">
        <v>1</v>
      </c>
      <c r="KV791" s="770"/>
      <c r="KW791" s="770"/>
      <c r="KX791" s="770">
        <v>1</v>
      </c>
      <c r="KY791" s="770">
        <v>2</v>
      </c>
      <c r="KZ791" s="770"/>
      <c r="LA791" s="770"/>
      <c r="LB791" s="770"/>
      <c r="LC791" s="770"/>
      <c r="LD791" s="770"/>
      <c r="LE791" s="770"/>
      <c r="LF791" s="770"/>
      <c r="LG791" s="770"/>
      <c r="LH791" s="770"/>
      <c r="LI791" s="770"/>
      <c r="LJ791" s="770"/>
      <c r="LK791" s="770">
        <v>2</v>
      </c>
      <c r="LL791" s="770"/>
      <c r="LM791" s="770"/>
      <c r="LN791" s="766">
        <f t="shared" si="230"/>
        <v>3</v>
      </c>
      <c r="LO791" s="766">
        <f t="shared" si="230"/>
        <v>5</v>
      </c>
      <c r="LP791" s="770">
        <v>3</v>
      </c>
      <c r="LQ791" s="770">
        <v>1</v>
      </c>
      <c r="LR791" s="770"/>
      <c r="LS791" s="770">
        <v>2</v>
      </c>
      <c r="LT791" s="712" t="str">
        <f t="shared" si="254"/>
        <v>OK</v>
      </c>
      <c r="LU791" s="770"/>
      <c r="LV791" s="770">
        <v>1</v>
      </c>
      <c r="LW791" s="770"/>
      <c r="LX791" s="769">
        <v>2</v>
      </c>
      <c r="LY791" s="766" t="str">
        <f t="shared" si="231"/>
        <v>within the MUNICIPALITY</v>
      </c>
      <c r="LZ791" s="1696">
        <v>384</v>
      </c>
      <c r="MA791" s="1696"/>
      <c r="MB791" s="1696"/>
      <c r="MC791" s="1679">
        <f t="shared" si="229"/>
        <v>384</v>
      </c>
      <c r="MD791" s="1696">
        <v>6000</v>
      </c>
      <c r="ME791" s="1696"/>
      <c r="MF791" s="1696">
        <v>10800</v>
      </c>
      <c r="MG791" s="1680">
        <f t="shared" si="255"/>
        <v>16800</v>
      </c>
      <c r="MH791" s="770" t="s">
        <v>3303</v>
      </c>
      <c r="MI791" s="302">
        <v>3000</v>
      </c>
      <c r="MJ791" s="302">
        <v>300</v>
      </c>
      <c r="MK791" s="302">
        <f>5000/12</f>
        <v>416.66666666666669</v>
      </c>
      <c r="ML791" s="302">
        <v>20</v>
      </c>
      <c r="MM791" s="302">
        <v>3000</v>
      </c>
      <c r="MN791" s="302">
        <v>200</v>
      </c>
      <c r="MO791" s="302">
        <v>100</v>
      </c>
      <c r="MP791" s="302"/>
      <c r="MQ791" s="302">
        <v>160</v>
      </c>
      <c r="MR791" s="302">
        <v>150</v>
      </c>
      <c r="MS791" s="302">
        <f>2000/12</f>
        <v>166.66666666666666</v>
      </c>
      <c r="MT791" s="302"/>
      <c r="MU791" s="302"/>
      <c r="MV791" s="302"/>
      <c r="MW791" s="302"/>
      <c r="MX791" s="302"/>
      <c r="MY791" s="1682">
        <f t="shared" si="243"/>
        <v>7513.333333333333</v>
      </c>
      <c r="MZ791" s="770" t="s">
        <v>13395</v>
      </c>
      <c r="NA791" s="770" t="s">
        <v>13230</v>
      </c>
      <c r="NB791" s="770" t="s">
        <v>13016</v>
      </c>
      <c r="NC791" s="770" t="s">
        <v>13621</v>
      </c>
      <c r="ND791" s="770">
        <v>1</v>
      </c>
      <c r="NE791" s="770">
        <v>0</v>
      </c>
      <c r="NF791" s="770">
        <v>0</v>
      </c>
      <c r="NG791" s="770">
        <v>1</v>
      </c>
      <c r="NH791" s="770">
        <v>1</v>
      </c>
      <c r="NI791" s="770">
        <v>0</v>
      </c>
      <c r="NJ791" s="770">
        <v>0</v>
      </c>
      <c r="NK791" s="770">
        <v>0</v>
      </c>
      <c r="NL791" s="770">
        <v>0</v>
      </c>
      <c r="NM791" s="770">
        <v>0</v>
      </c>
      <c r="NN791" s="770">
        <v>0</v>
      </c>
      <c r="NO791" s="770">
        <v>0</v>
      </c>
      <c r="NP791" s="770">
        <v>0</v>
      </c>
      <c r="NQ791" s="770">
        <v>0</v>
      </c>
      <c r="NR791" s="770">
        <v>0</v>
      </c>
      <c r="NS791" s="770">
        <v>0</v>
      </c>
      <c r="NT791" s="770">
        <v>0</v>
      </c>
      <c r="NU791" s="770">
        <v>0</v>
      </c>
      <c r="NV791" s="770">
        <v>0</v>
      </c>
      <c r="NW791" s="770">
        <v>0</v>
      </c>
      <c r="NX791" s="770">
        <v>0</v>
      </c>
      <c r="NY791" s="770" t="s">
        <v>1208</v>
      </c>
      <c r="NZ791" s="770" t="s">
        <v>1208</v>
      </c>
      <c r="OA791" s="770" t="s">
        <v>1208</v>
      </c>
      <c r="OB791" s="770" t="s">
        <v>1208</v>
      </c>
      <c r="OC791" s="770" t="s">
        <v>1208</v>
      </c>
      <c r="OD791" s="770" t="s">
        <v>1208</v>
      </c>
      <c r="OE791" s="770"/>
      <c r="OF791" s="770"/>
      <c r="OG791" s="770"/>
      <c r="OH791" s="770"/>
      <c r="OI791" s="770"/>
      <c r="OJ791" s="770"/>
      <c r="OK791" s="770"/>
      <c r="OL791" s="770"/>
      <c r="OM791" s="770"/>
      <c r="ON791" s="770"/>
      <c r="OO791" s="770"/>
      <c r="OP791" s="770"/>
      <c r="OQ791" s="770"/>
      <c r="OR791" s="770"/>
      <c r="OS791" s="770"/>
      <c r="OT791" s="770"/>
      <c r="OU791" s="770"/>
      <c r="OV791" s="770"/>
      <c r="OW791" s="770"/>
      <c r="OX791" s="770"/>
      <c r="OY791" s="770"/>
      <c r="OZ791" s="770"/>
      <c r="PA791" s="770"/>
      <c r="PB791" s="770"/>
      <c r="PC791" s="770"/>
      <c r="PD791" s="770"/>
      <c r="PE791" s="770"/>
      <c r="PF791" s="770"/>
      <c r="PG791" s="770"/>
      <c r="PH791" s="770"/>
      <c r="PI791" s="770"/>
      <c r="PJ791" s="770"/>
      <c r="PK791" s="770" t="s">
        <v>1208</v>
      </c>
      <c r="PL791" s="770"/>
      <c r="PM791" s="770"/>
      <c r="PN791" s="770"/>
      <c r="PO791" s="770"/>
      <c r="PP791" s="770"/>
      <c r="PQ791" s="770"/>
      <c r="PR791" s="770"/>
      <c r="PS791" s="770" t="s">
        <v>1208</v>
      </c>
      <c r="PT791" s="770" t="s">
        <v>1208</v>
      </c>
      <c r="PU791" s="770"/>
      <c r="PV791" s="770"/>
      <c r="PW791" s="770"/>
      <c r="PX791" s="770"/>
      <c r="PY791" s="770"/>
      <c r="PZ791" s="770"/>
      <c r="QA791" s="770"/>
      <c r="QB791" s="770"/>
      <c r="QC791" s="770"/>
      <c r="QD791" s="770"/>
      <c r="QE791" s="770"/>
      <c r="QF791" s="770"/>
      <c r="QG791" s="770"/>
      <c r="QH791" s="770"/>
      <c r="QI791" s="770"/>
      <c r="QJ791" s="770"/>
      <c r="QK791" s="770"/>
      <c r="QL791" s="770"/>
      <c r="QM791" s="770"/>
      <c r="QN791" s="770"/>
      <c r="QO791" s="770"/>
      <c r="QP791" s="770"/>
      <c r="QQ791" s="770"/>
      <c r="QR791" s="770"/>
      <c r="QS791" s="770"/>
      <c r="QT791" s="770"/>
      <c r="QU791" s="770"/>
      <c r="QV791" s="770"/>
      <c r="QW791" s="770"/>
      <c r="QX791" s="770"/>
      <c r="QY791" s="770"/>
      <c r="QZ791" s="770"/>
      <c r="RA791" s="770"/>
      <c r="RB791" s="770" t="s">
        <v>1214</v>
      </c>
      <c r="RC791" s="770"/>
      <c r="RD791" s="770"/>
      <c r="RE791" s="770"/>
      <c r="RF791" s="304"/>
      <c r="RG791" s="770"/>
      <c r="RH791" s="306"/>
      <c r="RI791" s="770"/>
      <c r="RJ791" s="94" t="s">
        <v>5100</v>
      </c>
      <c r="RK791" s="770" t="s">
        <v>13552</v>
      </c>
      <c r="RL791" s="1710" t="s">
        <v>1604</v>
      </c>
      <c r="RM791" s="12"/>
      <c r="RN791" s="1711"/>
      <c r="RO791" s="149" t="s">
        <v>5099</v>
      </c>
      <c r="RP791" s="11"/>
      <c r="RQ791" s="11"/>
      <c r="RR791" s="19" t="s">
        <v>7421</v>
      </c>
      <c r="RS791" s="1139" t="s">
        <v>12980</v>
      </c>
      <c r="RT791" s="11"/>
      <c r="RU791" s="11"/>
      <c r="RV791" s="771" t="s">
        <v>12352</v>
      </c>
      <c r="RW791" s="11" t="s">
        <v>7470</v>
      </c>
      <c r="RX791" s="11" t="s">
        <v>3225</v>
      </c>
      <c r="RY791" s="11"/>
      <c r="RZ791" s="11" t="s">
        <v>2209</v>
      </c>
      <c r="SA791" s="771"/>
      <c r="SB791" s="11"/>
      <c r="SC791" s="11"/>
    </row>
    <row r="792" spans="1:497" ht="12.75" customHeight="1">
      <c r="A792" s="311" t="s">
        <v>14249</v>
      </c>
      <c r="B792" s="292" t="s">
        <v>7472</v>
      </c>
      <c r="C792" s="149" t="s">
        <v>5101</v>
      </c>
      <c r="D792" s="94" t="s">
        <v>5148</v>
      </c>
      <c r="E792" s="766" t="s">
        <v>5312</v>
      </c>
      <c r="F792" s="770" t="s">
        <v>28</v>
      </c>
      <c r="G792" s="770" t="s">
        <v>10</v>
      </c>
      <c r="H792" s="12"/>
      <c r="I792" s="295" t="s">
        <v>5150</v>
      </c>
      <c r="J792" s="94" t="s">
        <v>5148</v>
      </c>
      <c r="K792" s="770"/>
      <c r="L792" s="770"/>
      <c r="M792" s="770" t="s">
        <v>1238</v>
      </c>
      <c r="N792" s="1757"/>
      <c r="O792" s="1757" t="s">
        <v>3255</v>
      </c>
      <c r="P792" s="94" t="s">
        <v>5151</v>
      </c>
      <c r="Q792" s="1088">
        <v>26228</v>
      </c>
      <c r="R792" s="297">
        <v>41</v>
      </c>
      <c r="S792" s="770" t="s">
        <v>10</v>
      </c>
      <c r="T792" s="770"/>
      <c r="U792" s="295" t="s">
        <v>5150</v>
      </c>
      <c r="V792" s="770" t="s">
        <v>768</v>
      </c>
      <c r="W792" s="770"/>
      <c r="X792" s="770"/>
      <c r="Y792" s="770" t="s">
        <v>5149</v>
      </c>
      <c r="Z792" s="770" t="s">
        <v>708</v>
      </c>
      <c r="AA792" s="770" t="s">
        <v>709</v>
      </c>
      <c r="AB792" s="770" t="s">
        <v>710</v>
      </c>
      <c r="AC792" s="770"/>
      <c r="AD792" s="770" t="s">
        <v>711</v>
      </c>
      <c r="AE792" s="770"/>
      <c r="AF792" s="770" t="s">
        <v>712</v>
      </c>
      <c r="AG792" s="770"/>
      <c r="AH792" s="770"/>
      <c r="AI792" s="770"/>
      <c r="AJ792" s="770"/>
      <c r="AK792" s="770" t="s">
        <v>1101</v>
      </c>
      <c r="AL792" s="531"/>
      <c r="AM792" s="780"/>
      <c r="AN792" s="532"/>
      <c r="AO792" s="766"/>
      <c r="AP792" s="766"/>
      <c r="AQ792" s="766"/>
      <c r="AR792" s="766"/>
      <c r="AS792" s="409"/>
      <c r="AT792" s="770"/>
      <c r="AU792" s="770"/>
      <c r="AV792" s="770"/>
      <c r="AW792" s="770"/>
      <c r="AX792" s="770"/>
      <c r="AY792" s="770"/>
      <c r="AZ792" s="770"/>
      <c r="BA792" s="770"/>
      <c r="BB792" s="770"/>
      <c r="BC792" s="770"/>
      <c r="BD792" s="770"/>
      <c r="BE792" s="770"/>
      <c r="BF792" s="302"/>
      <c r="BG792" s="302"/>
      <c r="BH792" s="770"/>
      <c r="BI792" s="770"/>
      <c r="BJ792" s="770"/>
      <c r="BK792" s="766" t="s">
        <v>1095</v>
      </c>
      <c r="BL792" s="766" t="s">
        <v>5152</v>
      </c>
      <c r="BM792" s="766" t="s">
        <v>1096</v>
      </c>
      <c r="BN792" s="766" t="s">
        <v>1230</v>
      </c>
      <c r="BO792" s="766" t="s">
        <v>1246</v>
      </c>
      <c r="BP792" s="765">
        <v>10</v>
      </c>
      <c r="BQ792" s="773">
        <v>7</v>
      </c>
      <c r="BR792" s="774">
        <f t="shared" si="247"/>
        <v>0.7</v>
      </c>
      <c r="BS792" s="766" t="s">
        <v>1105</v>
      </c>
      <c r="BT792" s="766" t="s">
        <v>8133</v>
      </c>
      <c r="BU792" s="770" t="s">
        <v>1249</v>
      </c>
      <c r="BV792" s="769"/>
      <c r="BW792" s="770">
        <v>1979</v>
      </c>
      <c r="BX792" s="302"/>
      <c r="BY792" s="770"/>
      <c r="BZ792" s="302"/>
      <c r="CA792" s="770"/>
      <c r="CB792" s="770"/>
      <c r="CC792" s="770"/>
      <c r="CD792" s="770"/>
      <c r="CE792" s="302"/>
      <c r="CF792" s="304"/>
      <c r="CG792" s="321"/>
      <c r="CH792" s="770"/>
      <c r="CI792" s="770"/>
      <c r="CJ792" s="770"/>
      <c r="CK792" s="770"/>
      <c r="CL792" s="770"/>
      <c r="CM792" s="770"/>
      <c r="CN792" s="770"/>
      <c r="CO792" s="770"/>
      <c r="CP792" s="770"/>
      <c r="CQ792" s="770"/>
      <c r="CR792" s="302"/>
      <c r="CS792" s="770"/>
      <c r="CT792" s="770"/>
      <c r="CU792" s="305"/>
      <c r="CV792" s="770"/>
      <c r="CW792" s="770"/>
      <c r="CX792" s="770"/>
      <c r="CY792" s="770"/>
      <c r="CZ792" s="770"/>
      <c r="DA792" s="306"/>
      <c r="DB792" s="770"/>
      <c r="DC792" s="770"/>
      <c r="DD792" s="770"/>
      <c r="DE792" s="300"/>
      <c r="DF792" s="770"/>
      <c r="DG792" s="770"/>
      <c r="DH792" s="770"/>
      <c r="DI792" s="770"/>
      <c r="DJ792" s="770"/>
      <c r="DK792" s="770"/>
      <c r="DL792" s="770"/>
      <c r="DM792" s="770"/>
      <c r="DN792" s="322"/>
      <c r="DO792" s="770"/>
      <c r="DP792" s="770"/>
      <c r="DQ792" s="770"/>
      <c r="DR792" s="770"/>
      <c r="DS792" s="307"/>
      <c r="DT792" s="770"/>
      <c r="DU792" s="770"/>
      <c r="DV792" s="770"/>
      <c r="DW792" s="306"/>
      <c r="DX792" s="306"/>
      <c r="DY792" s="1055"/>
      <c r="DZ792" s="770"/>
      <c r="EA792" s="770"/>
      <c r="EB792" s="770"/>
      <c r="EC792" s="770"/>
      <c r="ED792" s="770"/>
      <c r="EE792" s="770"/>
      <c r="EF792" s="770"/>
      <c r="EG792" s="770"/>
      <c r="EH792" s="770"/>
      <c r="EI792" s="770"/>
      <c r="EJ792" s="770"/>
      <c r="EK792" s="770"/>
      <c r="EL792" s="770"/>
      <c r="EM792" s="770"/>
      <c r="EN792" s="770"/>
      <c r="EO792" s="770"/>
      <c r="EP792" s="94"/>
      <c r="EQ792" s="770"/>
      <c r="ER792" s="770"/>
      <c r="ES792" s="770"/>
      <c r="ET792" s="770"/>
      <c r="EU792" s="770"/>
      <c r="EV792" s="770"/>
      <c r="EW792" s="770"/>
      <c r="EX792" s="770"/>
      <c r="EY792" s="770"/>
      <c r="EZ792" s="770"/>
      <c r="FA792" s="770"/>
      <c r="FB792" s="770"/>
      <c r="FC792" s="770"/>
      <c r="FD792" s="302"/>
      <c r="FE792" s="770"/>
      <c r="FF792" s="770"/>
      <c r="FG792" s="770"/>
      <c r="FH792" s="770" t="s">
        <v>478</v>
      </c>
      <c r="FI792" s="770">
        <v>1</v>
      </c>
      <c r="FJ792" s="770"/>
      <c r="FK792" s="770"/>
      <c r="FL792" s="770"/>
      <c r="FM792" s="302"/>
      <c r="FN792" s="302"/>
      <c r="FO792" s="302"/>
      <c r="FP792" s="766" t="s">
        <v>1602</v>
      </c>
      <c r="FQ792" s="766" t="s">
        <v>1660</v>
      </c>
      <c r="FR792" s="770" t="s">
        <v>1214</v>
      </c>
      <c r="FS792" s="770"/>
      <c r="FT792" s="770"/>
      <c r="FU792" s="770"/>
      <c r="FV792" s="770"/>
      <c r="FW792" s="770"/>
      <c r="FX792" s="770"/>
      <c r="FY792" s="770"/>
      <c r="FZ792" s="770"/>
      <c r="GA792" s="770"/>
      <c r="GB792" s="770" t="s">
        <v>1734</v>
      </c>
      <c r="GC792" s="308"/>
      <c r="GD792" s="297">
        <v>1979</v>
      </c>
      <c r="GE792" s="770" t="s">
        <v>1214</v>
      </c>
      <c r="GF792" s="302"/>
      <c r="GG792" s="302"/>
      <c r="GH792" s="712" t="s">
        <v>1791</v>
      </c>
      <c r="GI792" s="770" t="s">
        <v>1008</v>
      </c>
      <c r="GJ792" s="770" t="s">
        <v>3209</v>
      </c>
      <c r="GK792" s="766" t="s">
        <v>2693</v>
      </c>
      <c r="GL792" s="770"/>
      <c r="GM792" s="770"/>
      <c r="GN792" s="299">
        <f>3000/30</f>
        <v>100</v>
      </c>
      <c r="GO792" s="770"/>
      <c r="GP792" s="770" t="s">
        <v>1208</v>
      </c>
      <c r="GQ792" s="770"/>
      <c r="GR792" s="770"/>
      <c r="GS792" s="770"/>
      <c r="GT792" s="770"/>
      <c r="GU792" s="770"/>
      <c r="GV792" s="770"/>
      <c r="GW792" s="770" t="s">
        <v>1857</v>
      </c>
      <c r="GX792" s="770"/>
      <c r="GY792" s="770" t="s">
        <v>1208</v>
      </c>
      <c r="GZ792" s="770" t="s">
        <v>1208</v>
      </c>
      <c r="HA792" s="770"/>
      <c r="HB792" s="770"/>
      <c r="HC792" s="770"/>
      <c r="HD792" s="770"/>
      <c r="HE792" s="770"/>
      <c r="HF792" s="770"/>
      <c r="HG792" s="770"/>
      <c r="HH792" s="770"/>
      <c r="HI792" s="770" t="s">
        <v>1214</v>
      </c>
      <c r="HJ792" s="770"/>
      <c r="HK792" s="770"/>
      <c r="HL792" s="770" t="s">
        <v>1214</v>
      </c>
      <c r="HM792" s="770"/>
      <c r="HN792" s="770"/>
      <c r="HO792" s="770"/>
      <c r="HP792" s="770"/>
      <c r="HQ792" s="770"/>
      <c r="HR792" s="770"/>
      <c r="HS792" s="770"/>
      <c r="HT792" s="770"/>
      <c r="HU792" s="770"/>
      <c r="HV792" s="770"/>
      <c r="HW792" s="770"/>
      <c r="HX792" s="770"/>
      <c r="HY792" s="770"/>
      <c r="HZ792" s="770"/>
      <c r="IA792" s="770"/>
      <c r="IB792" s="14" t="e">
        <f>IF(#REF!&gt;0,IF(#REF!&lt;=10000,"Y",""),"")</f>
        <v>#REF!</v>
      </c>
      <c r="IC792" s="770"/>
      <c r="ID792" s="770"/>
      <c r="IE792" s="770"/>
      <c r="IF792" s="770"/>
      <c r="IG792" s="770"/>
      <c r="IH792" s="770"/>
      <c r="II792" s="770"/>
      <c r="IJ792" s="770"/>
      <c r="IK792" s="770"/>
      <c r="IL792" s="770"/>
      <c r="IM792" s="770"/>
      <c r="IN792" s="770"/>
      <c r="IO792" s="296"/>
      <c r="IP792" s="770"/>
      <c r="IQ792" s="770"/>
      <c r="IR792" s="770"/>
      <c r="IS792" s="770"/>
      <c r="IT792" s="770"/>
      <c r="IU792" s="770"/>
      <c r="IV792" s="770"/>
      <c r="IW792" s="770"/>
      <c r="IX792" s="770"/>
      <c r="IY792" s="770"/>
      <c r="IZ792" s="770"/>
      <c r="JA792" s="770"/>
      <c r="JB792" s="770"/>
      <c r="JC792" s="770"/>
      <c r="JD792" s="302"/>
      <c r="JE792" s="770"/>
      <c r="JF792" s="770"/>
      <c r="JG792" s="770"/>
      <c r="JH792" s="307"/>
      <c r="JI792" s="712" t="str">
        <f>IF(SUM(JT792,JU792)=JJ792,"ok","review")</f>
        <v>ok</v>
      </c>
      <c r="JJ792" s="770">
        <v>2</v>
      </c>
      <c r="JK792" s="1139" t="s">
        <v>5102</v>
      </c>
      <c r="JL792" s="770"/>
      <c r="JM792" s="770"/>
      <c r="JN792" s="770">
        <v>1</v>
      </c>
      <c r="JO792" s="770">
        <v>1</v>
      </c>
      <c r="JP792" s="770"/>
      <c r="JQ792" s="770"/>
      <c r="JR792" s="770"/>
      <c r="JS792" s="770"/>
      <c r="JT792" s="766">
        <f t="shared" si="248"/>
        <v>1</v>
      </c>
      <c r="JU792" s="766">
        <f t="shared" si="248"/>
        <v>1</v>
      </c>
      <c r="JV792" s="712" t="str">
        <f t="shared" si="250"/>
        <v>ok</v>
      </c>
      <c r="JW792" s="712" t="str">
        <f t="shared" si="251"/>
        <v>ok</v>
      </c>
      <c r="JX792" s="770"/>
      <c r="JY792" s="770"/>
      <c r="JZ792" s="770"/>
      <c r="KA792" s="770"/>
      <c r="KB792" s="770"/>
      <c r="KC792" s="770"/>
      <c r="KD792" s="770">
        <v>1</v>
      </c>
      <c r="KE792" s="770">
        <v>1</v>
      </c>
      <c r="KF792" s="770"/>
      <c r="KG792" s="770"/>
      <c r="KH792" s="770"/>
      <c r="KI792" s="770"/>
      <c r="KJ792" s="770">
        <f t="shared" si="249"/>
        <v>1</v>
      </c>
      <c r="KK792" s="770">
        <f t="shared" si="249"/>
        <v>1</v>
      </c>
      <c r="KL792" s="712" t="str">
        <f t="shared" si="252"/>
        <v>ok</v>
      </c>
      <c r="KM792" s="712" t="str">
        <f t="shared" si="253"/>
        <v>ok</v>
      </c>
      <c r="KN792" s="770" t="s">
        <v>722</v>
      </c>
      <c r="KO792" s="770"/>
      <c r="KP792" s="770"/>
      <c r="KQ792" s="770"/>
      <c r="KR792" s="770"/>
      <c r="KS792" s="770"/>
      <c r="KT792" s="770"/>
      <c r="KU792" s="770"/>
      <c r="KV792" s="770">
        <v>1</v>
      </c>
      <c r="KW792" s="770"/>
      <c r="KX792" s="770"/>
      <c r="KY792" s="770"/>
      <c r="KZ792" s="770"/>
      <c r="LA792" s="770">
        <v>1</v>
      </c>
      <c r="LB792" s="770"/>
      <c r="LC792" s="770"/>
      <c r="LD792" s="770"/>
      <c r="LE792" s="770"/>
      <c r="LF792" s="770"/>
      <c r="LG792" s="770"/>
      <c r="LH792" s="770"/>
      <c r="LI792" s="770"/>
      <c r="LJ792" s="770"/>
      <c r="LK792" s="770"/>
      <c r="LL792" s="770"/>
      <c r="LM792" s="770"/>
      <c r="LN792" s="766">
        <f t="shared" si="230"/>
        <v>1</v>
      </c>
      <c r="LO792" s="766">
        <f t="shared" si="230"/>
        <v>1</v>
      </c>
      <c r="LP792" s="770">
        <v>2</v>
      </c>
      <c r="LQ792" s="770">
        <v>2</v>
      </c>
      <c r="LR792" s="770"/>
      <c r="LS792" s="770"/>
      <c r="LT792" s="712" t="str">
        <f t="shared" si="254"/>
        <v>OK</v>
      </c>
      <c r="LU792" s="770">
        <v>2</v>
      </c>
      <c r="LV792" s="770"/>
      <c r="LW792" s="770"/>
      <c r="LX792" s="769">
        <v>1</v>
      </c>
      <c r="LY792" s="766" t="str">
        <f t="shared" si="231"/>
        <v>within the BRGY</v>
      </c>
      <c r="LZ792" s="1709"/>
      <c r="MA792" s="1709"/>
      <c r="MB792" s="1709"/>
      <c r="MC792" s="1679">
        <f t="shared" si="229"/>
        <v>0</v>
      </c>
      <c r="MD792" s="1709">
        <f>SUM(2000,2000)</f>
        <v>4000</v>
      </c>
      <c r="ME792" s="1709"/>
      <c r="MF792" s="1709">
        <v>1250</v>
      </c>
      <c r="MG792" s="1680">
        <f t="shared" si="255"/>
        <v>5250</v>
      </c>
      <c r="MH792" s="770" t="s">
        <v>14012</v>
      </c>
      <c r="MI792" s="302">
        <v>3000</v>
      </c>
      <c r="MJ792" s="302"/>
      <c r="MK792" s="302">
        <v>200</v>
      </c>
      <c r="ML792" s="302"/>
      <c r="MM792" s="302"/>
      <c r="MN792" s="302">
        <v>2000</v>
      </c>
      <c r="MO792" s="302">
        <v>300</v>
      </c>
      <c r="MP792" s="302"/>
      <c r="MQ792" s="302">
        <v>400</v>
      </c>
      <c r="MR792" s="302">
        <v>600</v>
      </c>
      <c r="MS792" s="302"/>
      <c r="MT792" s="302"/>
      <c r="MU792" s="302"/>
      <c r="MV792" s="302"/>
      <c r="MW792" s="302"/>
      <c r="MX792" s="302"/>
      <c r="MY792" s="1682">
        <f t="shared" si="243"/>
        <v>6500</v>
      </c>
      <c r="MZ792" s="770" t="s">
        <v>1835</v>
      </c>
      <c r="NA792" s="770" t="s">
        <v>13230</v>
      </c>
      <c r="NB792" s="770" t="s">
        <v>13016</v>
      </c>
      <c r="NC792" s="770" t="s">
        <v>13602</v>
      </c>
      <c r="ND792" s="770">
        <v>0</v>
      </c>
      <c r="NE792" s="770">
        <v>0</v>
      </c>
      <c r="NF792" s="770">
        <v>0</v>
      </c>
      <c r="NG792" s="770">
        <v>2</v>
      </c>
      <c r="NH792" s="770">
        <v>1</v>
      </c>
      <c r="NI792" s="770">
        <v>0</v>
      </c>
      <c r="NJ792" s="770">
        <v>0</v>
      </c>
      <c r="NK792" s="770">
        <v>0</v>
      </c>
      <c r="NL792" s="770">
        <v>1</v>
      </c>
      <c r="NM792" s="770">
        <v>0</v>
      </c>
      <c r="NN792" s="770">
        <v>0</v>
      </c>
      <c r="NO792" s="770">
        <v>0</v>
      </c>
      <c r="NP792" s="770">
        <v>0</v>
      </c>
      <c r="NQ792" s="770">
        <v>0</v>
      </c>
      <c r="NR792" s="770">
        <v>0</v>
      </c>
      <c r="NS792" s="770">
        <v>0</v>
      </c>
      <c r="NT792" s="770">
        <v>0</v>
      </c>
      <c r="NU792" s="770">
        <v>0</v>
      </c>
      <c r="NV792" s="770">
        <v>0</v>
      </c>
      <c r="NW792" s="770">
        <v>0</v>
      </c>
      <c r="NX792" s="770">
        <v>0</v>
      </c>
      <c r="NY792" s="770"/>
      <c r="NZ792" s="770"/>
      <c r="OA792" s="770"/>
      <c r="OB792" s="770"/>
      <c r="OC792" s="770" t="s">
        <v>1208</v>
      </c>
      <c r="OD792" s="770"/>
      <c r="OE792" s="770"/>
      <c r="OF792" s="770"/>
      <c r="OG792" s="770"/>
      <c r="OH792" s="770"/>
      <c r="OI792" s="770"/>
      <c r="OJ792" s="770"/>
      <c r="OK792" s="770"/>
      <c r="OL792" s="770"/>
      <c r="OM792" s="770"/>
      <c r="ON792" s="770"/>
      <c r="OO792" s="770"/>
      <c r="OP792" s="770"/>
      <c r="OQ792" s="770"/>
      <c r="OR792" s="770"/>
      <c r="OS792" s="770"/>
      <c r="OT792" s="770"/>
      <c r="OU792" s="770"/>
      <c r="OV792" s="770"/>
      <c r="OW792" s="770"/>
      <c r="OX792" s="770"/>
      <c r="OY792" s="770"/>
      <c r="OZ792" s="770"/>
      <c r="PA792" s="770"/>
      <c r="PB792" s="770"/>
      <c r="PC792" s="770"/>
      <c r="PD792" s="770"/>
      <c r="PE792" s="770"/>
      <c r="PF792" s="770"/>
      <c r="PG792" s="770"/>
      <c r="PH792" s="770"/>
      <c r="PI792" s="770"/>
      <c r="PJ792" s="770"/>
      <c r="PK792" s="770"/>
      <c r="PL792" s="770"/>
      <c r="PM792" s="770"/>
      <c r="PN792" s="770"/>
      <c r="PO792" s="770"/>
      <c r="PP792" s="770"/>
      <c r="PQ792" s="770"/>
      <c r="PR792" s="770"/>
      <c r="PS792" s="770"/>
      <c r="PT792" s="770"/>
      <c r="PU792" s="770"/>
      <c r="PV792" s="770"/>
      <c r="PW792" s="770"/>
      <c r="PX792" s="770"/>
      <c r="PY792" s="770"/>
      <c r="PZ792" s="770"/>
      <c r="QA792" s="770"/>
      <c r="QB792" s="770"/>
      <c r="QC792" s="770"/>
      <c r="QD792" s="770"/>
      <c r="QE792" s="770"/>
      <c r="QF792" s="770"/>
      <c r="QG792" s="770"/>
      <c r="QH792" s="770"/>
      <c r="QI792" s="770"/>
      <c r="QJ792" s="770"/>
      <c r="QK792" s="770"/>
      <c r="QL792" s="770"/>
      <c r="QM792" s="770"/>
      <c r="QN792" s="770"/>
      <c r="QO792" s="770"/>
      <c r="QP792" s="770"/>
      <c r="QQ792" s="770"/>
      <c r="QR792" s="770"/>
      <c r="QS792" s="770"/>
      <c r="QT792" s="770"/>
      <c r="QU792" s="770"/>
      <c r="QV792" s="770"/>
      <c r="QW792" s="770"/>
      <c r="QX792" s="770"/>
      <c r="QY792" s="770"/>
      <c r="QZ792" s="770"/>
      <c r="RA792" s="770"/>
      <c r="RB792" s="770" t="s">
        <v>1207</v>
      </c>
      <c r="RC792" s="770">
        <v>2014</v>
      </c>
      <c r="RD792" s="770" t="s">
        <v>13046</v>
      </c>
      <c r="RE792" s="770" t="s">
        <v>12999</v>
      </c>
      <c r="RF792" s="304">
        <v>0.5</v>
      </c>
      <c r="RG792" s="770" t="s">
        <v>13047</v>
      </c>
      <c r="RH792" s="306">
        <v>4000</v>
      </c>
      <c r="RI792" s="770">
        <v>2</v>
      </c>
      <c r="RJ792" s="94" t="s">
        <v>5102</v>
      </c>
      <c r="RK792" s="770" t="s">
        <v>13550</v>
      </c>
      <c r="RL792" s="1710">
        <v>42851</v>
      </c>
      <c r="RM792" s="12"/>
      <c r="RN792" s="1711"/>
      <c r="RO792" s="149" t="s">
        <v>5101</v>
      </c>
      <c r="RP792" s="11"/>
      <c r="RQ792" s="11"/>
      <c r="RR792" s="311" t="s">
        <v>7421</v>
      </c>
      <c r="RS792" s="1139" t="s">
        <v>12980</v>
      </c>
      <c r="RT792" s="11"/>
      <c r="RU792" s="11"/>
      <c r="RV792" s="771" t="s">
        <v>14011</v>
      </c>
      <c r="RW792" s="11" t="s">
        <v>7470</v>
      </c>
      <c r="RX792" s="11" t="s">
        <v>3225</v>
      </c>
      <c r="RY792" s="11"/>
      <c r="RZ792" s="11" t="s">
        <v>2209</v>
      </c>
      <c r="SA792" s="771"/>
      <c r="SB792" s="11"/>
      <c r="SC792" s="11"/>
    </row>
    <row r="793" spans="1:497" ht="12.75" customHeight="1">
      <c r="A793" s="311" t="s">
        <v>14249</v>
      </c>
      <c r="B793" s="292" t="s">
        <v>7473</v>
      </c>
      <c r="C793" s="149" t="s">
        <v>5750</v>
      </c>
      <c r="D793" s="94" t="s">
        <v>5160</v>
      </c>
      <c r="E793" s="766" t="s">
        <v>5312</v>
      </c>
      <c r="F793" s="770" t="s">
        <v>28</v>
      </c>
      <c r="G793" s="770" t="s">
        <v>10</v>
      </c>
      <c r="H793" s="12"/>
      <c r="I793" s="295" t="s">
        <v>5161</v>
      </c>
      <c r="J793" s="94" t="s">
        <v>5160</v>
      </c>
      <c r="K793" s="770"/>
      <c r="L793" s="770"/>
      <c r="M793" s="770" t="s">
        <v>1238</v>
      </c>
      <c r="N793" s="1757"/>
      <c r="O793" s="1757" t="s">
        <v>3255</v>
      </c>
      <c r="P793" s="94" t="s">
        <v>5162</v>
      </c>
      <c r="Q793" s="1088">
        <v>32416</v>
      </c>
      <c r="R793" s="297">
        <v>28</v>
      </c>
      <c r="S793" s="770" t="s">
        <v>10</v>
      </c>
      <c r="T793" s="770"/>
      <c r="U793" s="295" t="s">
        <v>5161</v>
      </c>
      <c r="V793" s="770" t="s">
        <v>768</v>
      </c>
      <c r="W793" s="770"/>
      <c r="X793" s="770"/>
      <c r="Y793" s="770" t="s">
        <v>5149</v>
      </c>
      <c r="Z793" s="770" t="s">
        <v>708</v>
      </c>
      <c r="AA793" s="770" t="s">
        <v>709</v>
      </c>
      <c r="AB793" s="770" t="s">
        <v>710</v>
      </c>
      <c r="AC793" s="770" t="s">
        <v>724</v>
      </c>
      <c r="AD793" s="770" t="s">
        <v>711</v>
      </c>
      <c r="AE793" s="770"/>
      <c r="AF793" s="770" t="s">
        <v>712</v>
      </c>
      <c r="AG793" s="770"/>
      <c r="AH793" s="770"/>
      <c r="AI793" s="770"/>
      <c r="AJ793" s="770"/>
      <c r="AK793" s="770" t="s">
        <v>1101</v>
      </c>
      <c r="AL793" s="531"/>
      <c r="AM793" s="780"/>
      <c r="AN793" s="532"/>
      <c r="AO793" s="766"/>
      <c r="AP793" s="766"/>
      <c r="AQ793" s="766"/>
      <c r="AR793" s="766"/>
      <c r="AS793" s="409"/>
      <c r="AT793" s="770"/>
      <c r="AU793" s="770"/>
      <c r="AV793" s="770"/>
      <c r="AW793" s="770"/>
      <c r="AX793" s="770"/>
      <c r="AY793" s="770"/>
      <c r="AZ793" s="770"/>
      <c r="BA793" s="770"/>
      <c r="BB793" s="770"/>
      <c r="BC793" s="770"/>
      <c r="BD793" s="770"/>
      <c r="BE793" s="770"/>
      <c r="BF793" s="302"/>
      <c r="BG793" s="302"/>
      <c r="BH793" s="770"/>
      <c r="BI793" s="770"/>
      <c r="BJ793" s="770"/>
      <c r="BK793" s="766" t="s">
        <v>1095</v>
      </c>
      <c r="BL793" s="766" t="s">
        <v>5163</v>
      </c>
      <c r="BM793" s="766" t="s">
        <v>1096</v>
      </c>
      <c r="BN793" s="766" t="s">
        <v>1230</v>
      </c>
      <c r="BO793" s="766" t="s">
        <v>1246</v>
      </c>
      <c r="BP793" s="765">
        <v>3.6</v>
      </c>
      <c r="BQ793" s="773">
        <v>1.5</v>
      </c>
      <c r="BR793" s="774">
        <f t="shared" si="247"/>
        <v>0.41666666666666663</v>
      </c>
      <c r="BS793" s="766" t="s">
        <v>1149</v>
      </c>
      <c r="BT793" s="770" t="s">
        <v>1326</v>
      </c>
      <c r="BU793" s="770" t="s">
        <v>1249</v>
      </c>
      <c r="BV793" s="769"/>
      <c r="BW793" s="770">
        <v>2008</v>
      </c>
      <c r="BX793" s="302"/>
      <c r="BY793" s="770" t="s">
        <v>1207</v>
      </c>
      <c r="BZ793" s="302"/>
      <c r="CA793" s="770"/>
      <c r="CB793" s="770"/>
      <c r="CC793" s="770"/>
      <c r="CD793" s="770"/>
      <c r="CE793" s="302"/>
      <c r="CF793" s="304"/>
      <c r="CG793" s="321"/>
      <c r="CH793" s="770"/>
      <c r="CI793" s="770"/>
      <c r="CJ793" s="770"/>
      <c r="CK793" s="770"/>
      <c r="CL793" s="770"/>
      <c r="CM793" s="770"/>
      <c r="CN793" s="770"/>
      <c r="CO793" s="770"/>
      <c r="CP793" s="770"/>
      <c r="CQ793" s="770"/>
      <c r="CR793" s="302"/>
      <c r="CS793" s="770"/>
      <c r="CT793" s="770"/>
      <c r="CU793" s="305"/>
      <c r="CV793" s="770"/>
      <c r="CW793" s="770"/>
      <c r="CX793" s="770"/>
      <c r="CY793" s="770"/>
      <c r="CZ793" s="770"/>
      <c r="DA793" s="306"/>
      <c r="DB793" s="770"/>
      <c r="DC793" s="770"/>
      <c r="DD793" s="770"/>
      <c r="DE793" s="300"/>
      <c r="DF793" s="770"/>
      <c r="DG793" s="770"/>
      <c r="DH793" s="770"/>
      <c r="DI793" s="770"/>
      <c r="DJ793" s="770"/>
      <c r="DK793" s="770"/>
      <c r="DL793" s="770"/>
      <c r="DM793" s="770"/>
      <c r="DN793" s="322"/>
      <c r="DO793" s="770"/>
      <c r="DP793" s="770"/>
      <c r="DQ793" s="770"/>
      <c r="DR793" s="770"/>
      <c r="DS793" s="307"/>
      <c r="DT793" s="770"/>
      <c r="DU793" s="770"/>
      <c r="DV793" s="770"/>
      <c r="DW793" s="306"/>
      <c r="DX793" s="306"/>
      <c r="DY793" s="1055"/>
      <c r="DZ793" s="770"/>
      <c r="EA793" s="770"/>
      <c r="EB793" s="770"/>
      <c r="EC793" s="770"/>
      <c r="ED793" s="770"/>
      <c r="EE793" s="770"/>
      <c r="EF793" s="770"/>
      <c r="EG793" s="770"/>
      <c r="EH793" s="770"/>
      <c r="EI793" s="770"/>
      <c r="EJ793" s="770"/>
      <c r="EK793" s="770"/>
      <c r="EL793" s="770"/>
      <c r="EM793" s="770"/>
      <c r="EN793" s="770"/>
      <c r="EO793" s="770"/>
      <c r="EP793" s="94"/>
      <c r="EQ793" s="770"/>
      <c r="ER793" s="770"/>
      <c r="ES793" s="770"/>
      <c r="ET793" s="770"/>
      <c r="EU793" s="770"/>
      <c r="EV793" s="770"/>
      <c r="EW793" s="770"/>
      <c r="EX793" s="770"/>
      <c r="EY793" s="770"/>
      <c r="EZ793" s="770"/>
      <c r="FA793" s="770"/>
      <c r="FB793" s="770"/>
      <c r="FC793" s="770"/>
      <c r="FD793" s="302"/>
      <c r="FE793" s="770"/>
      <c r="FF793" s="770"/>
      <c r="FG793" s="770"/>
      <c r="FH793" s="770" t="s">
        <v>478</v>
      </c>
      <c r="FI793" s="770">
        <v>1</v>
      </c>
      <c r="FJ793" s="770"/>
      <c r="FK793" s="770"/>
      <c r="FL793" s="770"/>
      <c r="FM793" s="302"/>
      <c r="FN793" s="302"/>
      <c r="FO793" s="302"/>
      <c r="FP793" s="766" t="s">
        <v>1602</v>
      </c>
      <c r="FQ793" s="766" t="s">
        <v>1660</v>
      </c>
      <c r="FR793" s="770" t="s">
        <v>1214</v>
      </c>
      <c r="FS793" s="770"/>
      <c r="FT793" s="770"/>
      <c r="FU793" s="770"/>
      <c r="FV793" s="770"/>
      <c r="FW793" s="770"/>
      <c r="FX793" s="770"/>
      <c r="FY793" s="770"/>
      <c r="FZ793" s="770"/>
      <c r="GA793" s="770"/>
      <c r="GB793" s="770"/>
      <c r="GC793" s="308"/>
      <c r="GD793" s="297"/>
      <c r="GE793" s="770" t="s">
        <v>1214</v>
      </c>
      <c r="GF793" s="302"/>
      <c r="GG793" s="302"/>
      <c r="GH793" s="712" t="s">
        <v>1791</v>
      </c>
      <c r="GI793" s="770" t="s">
        <v>1008</v>
      </c>
      <c r="GJ793" s="770" t="s">
        <v>1831</v>
      </c>
      <c r="GK793" s="770" t="s">
        <v>2335</v>
      </c>
      <c r="GL793" s="770"/>
      <c r="GM793" s="770"/>
      <c r="GN793" s="299">
        <v>500</v>
      </c>
      <c r="GO793" s="770" t="s">
        <v>2770</v>
      </c>
      <c r="GP793" s="770"/>
      <c r="GQ793" s="770" t="s">
        <v>1208</v>
      </c>
      <c r="GR793" s="770" t="s">
        <v>1208</v>
      </c>
      <c r="GS793" s="770" t="s">
        <v>1208</v>
      </c>
      <c r="GT793" s="770" t="s">
        <v>1208</v>
      </c>
      <c r="GU793" s="770"/>
      <c r="GV793" s="770"/>
      <c r="GW793" s="770" t="s">
        <v>1207</v>
      </c>
      <c r="GX793" s="770"/>
      <c r="GY793" s="770" t="s">
        <v>1208</v>
      </c>
      <c r="GZ793" s="770"/>
      <c r="HA793" s="770" t="s">
        <v>1208</v>
      </c>
      <c r="HB793" s="770" t="s">
        <v>1208</v>
      </c>
      <c r="HC793" s="770" t="s">
        <v>1208</v>
      </c>
      <c r="HD793" s="770" t="s">
        <v>1208</v>
      </c>
      <c r="HE793" s="770" t="s">
        <v>1208</v>
      </c>
      <c r="HF793" s="770"/>
      <c r="HG793" s="770"/>
      <c r="HH793" s="770"/>
      <c r="HI793" s="770" t="s">
        <v>1214</v>
      </c>
      <c r="HJ793" s="770"/>
      <c r="HK793" s="770"/>
      <c r="HL793" s="770" t="s">
        <v>1214</v>
      </c>
      <c r="HM793" s="770"/>
      <c r="HN793" s="770"/>
      <c r="HO793" s="770"/>
      <c r="HP793" s="770"/>
      <c r="HQ793" s="770"/>
      <c r="HR793" s="770"/>
      <c r="HS793" s="770"/>
      <c r="HT793" s="770"/>
      <c r="HU793" s="770"/>
      <c r="HV793" s="770"/>
      <c r="HW793" s="770"/>
      <c r="HX793" s="770"/>
      <c r="HY793" s="770"/>
      <c r="HZ793" s="770"/>
      <c r="IA793" s="770"/>
      <c r="IB793" s="14" t="e">
        <f>IF(#REF!&gt;0,IF(#REF!&lt;=10000,"Y",""),"")</f>
        <v>#REF!</v>
      </c>
      <c r="IC793" s="770"/>
      <c r="ID793" s="770"/>
      <c r="IE793" s="770"/>
      <c r="IF793" s="770"/>
      <c r="IG793" s="770"/>
      <c r="IH793" s="770"/>
      <c r="II793" s="770"/>
      <c r="IJ793" s="770"/>
      <c r="IK793" s="770"/>
      <c r="IL793" s="770"/>
      <c r="IM793" s="770"/>
      <c r="IN793" s="770"/>
      <c r="IO793" s="296"/>
      <c r="IP793" s="770"/>
      <c r="IQ793" s="770"/>
      <c r="IR793" s="770"/>
      <c r="IS793" s="770"/>
      <c r="IT793" s="770"/>
      <c r="IU793" s="770"/>
      <c r="IV793" s="770"/>
      <c r="IW793" s="770"/>
      <c r="IX793" s="770"/>
      <c r="IY793" s="770"/>
      <c r="IZ793" s="770"/>
      <c r="JA793" s="770"/>
      <c r="JB793" s="770"/>
      <c r="JC793" s="770"/>
      <c r="JD793" s="302"/>
      <c r="JE793" s="770"/>
      <c r="JF793" s="770"/>
      <c r="JG793" s="770"/>
      <c r="JH793" s="307"/>
      <c r="JI793" s="307"/>
      <c r="JJ793" s="770">
        <v>2</v>
      </c>
      <c r="JK793" s="1139" t="s">
        <v>5108</v>
      </c>
      <c r="JL793" s="770"/>
      <c r="JM793" s="770"/>
      <c r="JN793" s="770">
        <v>2</v>
      </c>
      <c r="JO793" s="770"/>
      <c r="JP793" s="770"/>
      <c r="JQ793" s="770"/>
      <c r="JR793" s="770"/>
      <c r="JS793" s="770"/>
      <c r="JT793" s="766">
        <f t="shared" si="248"/>
        <v>2</v>
      </c>
      <c r="JU793" s="766">
        <f t="shared" si="248"/>
        <v>0</v>
      </c>
      <c r="JV793" s="712" t="str">
        <f t="shared" si="250"/>
        <v>ok</v>
      </c>
      <c r="JW793" s="712" t="str">
        <f t="shared" si="251"/>
        <v>ok</v>
      </c>
      <c r="JX793" s="770"/>
      <c r="JY793" s="770"/>
      <c r="JZ793" s="770"/>
      <c r="KA793" s="770"/>
      <c r="KB793" s="770">
        <v>2</v>
      </c>
      <c r="KC793" s="770"/>
      <c r="KD793" s="770"/>
      <c r="KE793" s="770"/>
      <c r="KF793" s="770"/>
      <c r="KG793" s="770"/>
      <c r="KH793" s="770"/>
      <c r="KI793" s="770"/>
      <c r="KJ793" s="770">
        <f t="shared" si="249"/>
        <v>2</v>
      </c>
      <c r="KK793" s="770">
        <f t="shared" si="249"/>
        <v>0</v>
      </c>
      <c r="KL793" s="712" t="str">
        <f t="shared" si="252"/>
        <v>ok</v>
      </c>
      <c r="KM793" s="712" t="str">
        <f t="shared" si="253"/>
        <v>ok</v>
      </c>
      <c r="KN793" s="770" t="s">
        <v>768</v>
      </c>
      <c r="KO793" s="770"/>
      <c r="KP793" s="770"/>
      <c r="KQ793" s="770"/>
      <c r="KR793" s="770"/>
      <c r="KS793" s="770"/>
      <c r="KT793" s="770"/>
      <c r="KU793" s="770"/>
      <c r="KV793" s="770"/>
      <c r="KW793" s="770"/>
      <c r="KX793" s="770">
        <v>2</v>
      </c>
      <c r="KY793" s="770"/>
      <c r="KZ793" s="770"/>
      <c r="LA793" s="770"/>
      <c r="LB793" s="770"/>
      <c r="LC793" s="770"/>
      <c r="LD793" s="770"/>
      <c r="LE793" s="770"/>
      <c r="LF793" s="770"/>
      <c r="LG793" s="770"/>
      <c r="LH793" s="770"/>
      <c r="LI793" s="770"/>
      <c r="LJ793" s="770"/>
      <c r="LK793" s="770"/>
      <c r="LL793" s="770"/>
      <c r="LM793" s="770"/>
      <c r="LN793" s="766">
        <f t="shared" si="230"/>
        <v>2</v>
      </c>
      <c r="LO793" s="766">
        <f t="shared" si="230"/>
        <v>0</v>
      </c>
      <c r="LP793" s="770">
        <v>2</v>
      </c>
      <c r="LQ793" s="770">
        <v>1</v>
      </c>
      <c r="LR793" s="770"/>
      <c r="LS793" s="770">
        <v>1</v>
      </c>
      <c r="LT793" s="712" t="str">
        <f t="shared" si="254"/>
        <v>OK</v>
      </c>
      <c r="LU793" s="770">
        <v>1</v>
      </c>
      <c r="LV793" s="770"/>
      <c r="LW793" s="770"/>
      <c r="LX793" s="769">
        <v>2</v>
      </c>
      <c r="LY793" s="766" t="str">
        <f t="shared" si="231"/>
        <v>within the MUNICIPALITY</v>
      </c>
      <c r="LZ793" s="1709">
        <f>200*26</f>
        <v>5200</v>
      </c>
      <c r="MA793" s="1709"/>
      <c r="MB793" s="1709"/>
      <c r="MC793" s="1679">
        <f t="shared" si="229"/>
        <v>5200</v>
      </c>
      <c r="MD793" s="1709">
        <f>400*26</f>
        <v>10400</v>
      </c>
      <c r="ME793" s="1709"/>
      <c r="MF793" s="1709">
        <f>400*26</f>
        <v>10400</v>
      </c>
      <c r="MG793" s="1680">
        <f t="shared" si="255"/>
        <v>20800</v>
      </c>
      <c r="MH793" s="770" t="s">
        <v>2220</v>
      </c>
      <c r="MI793" s="302">
        <f>200*30</f>
        <v>6000</v>
      </c>
      <c r="MJ793" s="302">
        <f>300*4</f>
        <v>1200</v>
      </c>
      <c r="MK793" s="302">
        <v>450</v>
      </c>
      <c r="ML793" s="302">
        <v>150</v>
      </c>
      <c r="MM793" s="302"/>
      <c r="MN793" s="302"/>
      <c r="MO793" s="302">
        <f>150*4</f>
        <v>600</v>
      </c>
      <c r="MP793" s="302"/>
      <c r="MQ793" s="302">
        <v>500</v>
      </c>
      <c r="MR793" s="302">
        <f>150*4</f>
        <v>600</v>
      </c>
      <c r="MS793" s="302">
        <v>150</v>
      </c>
      <c r="MT793" s="302"/>
      <c r="MU793" s="302"/>
      <c r="MV793" s="302"/>
      <c r="MW793" s="302"/>
      <c r="MX793" s="302">
        <f>100*30</f>
        <v>3000</v>
      </c>
      <c r="MY793" s="1682">
        <f t="shared" si="243"/>
        <v>12650</v>
      </c>
      <c r="MZ793" s="770" t="s">
        <v>13395</v>
      </c>
      <c r="NA793" s="770" t="s">
        <v>13230</v>
      </c>
      <c r="NB793" s="770" t="s">
        <v>13016</v>
      </c>
      <c r="NC793" s="770" t="s">
        <v>13965</v>
      </c>
      <c r="ND793" s="770">
        <v>0</v>
      </c>
      <c r="NE793" s="770">
        <v>0</v>
      </c>
      <c r="NF793" s="770">
        <v>0</v>
      </c>
      <c r="NG793" s="770">
        <v>2</v>
      </c>
      <c r="NH793" s="770">
        <v>1</v>
      </c>
      <c r="NI793" s="770">
        <v>1</v>
      </c>
      <c r="NJ793" s="770">
        <v>1</v>
      </c>
      <c r="NK793" s="770">
        <v>0</v>
      </c>
      <c r="NL793" s="770">
        <v>0</v>
      </c>
      <c r="NM793" s="770">
        <v>1</v>
      </c>
      <c r="NN793" s="770">
        <v>0</v>
      </c>
      <c r="NO793" s="770">
        <v>0</v>
      </c>
      <c r="NP793" s="770">
        <v>0</v>
      </c>
      <c r="NQ793" s="770">
        <v>0</v>
      </c>
      <c r="NR793" s="770">
        <v>0</v>
      </c>
      <c r="NS793" s="770">
        <v>0</v>
      </c>
      <c r="NT793" s="770">
        <v>0</v>
      </c>
      <c r="NU793" s="770">
        <v>0</v>
      </c>
      <c r="NV793" s="770">
        <v>0</v>
      </c>
      <c r="NW793" s="770">
        <v>0</v>
      </c>
      <c r="NX793" s="770">
        <v>0</v>
      </c>
      <c r="NY793" s="770"/>
      <c r="NZ793" s="770"/>
      <c r="OA793" s="770"/>
      <c r="OB793" s="770"/>
      <c r="OC793" s="770"/>
      <c r="OD793" s="770"/>
      <c r="OE793" s="770"/>
      <c r="OF793" s="770" t="s">
        <v>13277</v>
      </c>
      <c r="OG793" s="770" t="s">
        <v>1208</v>
      </c>
      <c r="OH793" s="770"/>
      <c r="OI793" s="770"/>
      <c r="OJ793" s="770"/>
      <c r="OK793" s="770"/>
      <c r="OL793" s="770"/>
      <c r="OM793" s="770"/>
      <c r="ON793" s="770"/>
      <c r="OO793" s="770" t="s">
        <v>1207</v>
      </c>
      <c r="OP793" s="770" t="s">
        <v>12885</v>
      </c>
      <c r="OQ793" s="770"/>
      <c r="OR793" s="770"/>
      <c r="OS793" s="770" t="s">
        <v>12885</v>
      </c>
      <c r="OT793" s="770"/>
      <c r="OU793" s="770"/>
      <c r="OV793" s="770" t="s">
        <v>1208</v>
      </c>
      <c r="OW793" s="770"/>
      <c r="OX793" s="770"/>
      <c r="OY793" s="770"/>
      <c r="OZ793" s="770"/>
      <c r="PA793" s="770"/>
      <c r="PB793" s="770"/>
      <c r="PC793" s="770"/>
      <c r="PD793" s="770"/>
      <c r="PE793" s="770"/>
      <c r="PF793" s="770"/>
      <c r="PG793" s="770"/>
      <c r="PH793" s="770" t="s">
        <v>1208</v>
      </c>
      <c r="PI793" s="770"/>
      <c r="PJ793" s="770"/>
      <c r="PK793" s="770" t="s">
        <v>1208</v>
      </c>
      <c r="PL793" s="770"/>
      <c r="PM793" s="770"/>
      <c r="PN793" s="770"/>
      <c r="PO793" s="770"/>
      <c r="PP793" s="770"/>
      <c r="PQ793" s="770"/>
      <c r="PR793" s="770"/>
      <c r="PS793" s="770"/>
      <c r="PT793" s="770"/>
      <c r="PU793" s="770"/>
      <c r="PV793" s="770"/>
      <c r="PW793" s="770"/>
      <c r="PX793" s="770"/>
      <c r="PY793" s="770"/>
      <c r="PZ793" s="770"/>
      <c r="QA793" s="770"/>
      <c r="QB793" s="770"/>
      <c r="QC793" s="770"/>
      <c r="QD793" s="770"/>
      <c r="QE793" s="770"/>
      <c r="QF793" s="770"/>
      <c r="QG793" s="770"/>
      <c r="QH793" s="770"/>
      <c r="QI793" s="770"/>
      <c r="QJ793" s="770"/>
      <c r="QK793" s="770"/>
      <c r="QL793" s="770"/>
      <c r="QM793" s="770"/>
      <c r="QN793" s="770"/>
      <c r="QO793" s="770"/>
      <c r="QP793" s="770"/>
      <c r="QQ793" s="770"/>
      <c r="QR793" s="770"/>
      <c r="QS793" s="770"/>
      <c r="QT793" s="770"/>
      <c r="QU793" s="770"/>
      <c r="QV793" s="770"/>
      <c r="QW793" s="770"/>
      <c r="QX793" s="770"/>
      <c r="QY793" s="770"/>
      <c r="QZ793" s="770"/>
      <c r="RA793" s="770"/>
      <c r="RB793" s="770" t="s">
        <v>1207</v>
      </c>
      <c r="RC793" s="770">
        <v>2013</v>
      </c>
      <c r="RD793" s="770" t="s">
        <v>13450</v>
      </c>
      <c r="RE793" s="770" t="s">
        <v>12999</v>
      </c>
      <c r="RF793" s="304">
        <v>0.5</v>
      </c>
      <c r="RG793" s="770" t="s">
        <v>13047</v>
      </c>
      <c r="RH793" s="306">
        <v>1000</v>
      </c>
      <c r="RI793" s="770">
        <v>12</v>
      </c>
      <c r="RJ793" s="94" t="s">
        <v>14013</v>
      </c>
      <c r="RK793" s="770" t="s">
        <v>13556</v>
      </c>
      <c r="RL793" s="1710">
        <v>42851</v>
      </c>
      <c r="RM793" s="12"/>
      <c r="RN793" s="1711"/>
      <c r="RO793" s="149" t="s">
        <v>5750</v>
      </c>
      <c r="RP793" s="11"/>
      <c r="RQ793" s="11"/>
      <c r="RR793" s="311" t="s">
        <v>7421</v>
      </c>
      <c r="RS793" s="1139" t="s">
        <v>12980</v>
      </c>
      <c r="RT793" s="11"/>
      <c r="RU793" s="11"/>
      <c r="RV793" s="771" t="s">
        <v>7421</v>
      </c>
      <c r="RW793" s="11" t="s">
        <v>7471</v>
      </c>
      <c r="RX793" s="11" t="s">
        <v>5099</v>
      </c>
      <c r="RY793" s="11"/>
      <c r="RZ793" s="11" t="s">
        <v>2209</v>
      </c>
      <c r="SA793" s="771"/>
      <c r="SB793" s="11"/>
      <c r="SC793" s="11"/>
    </row>
    <row r="794" spans="1:497" ht="12.75" customHeight="1">
      <c r="A794" s="311" t="s">
        <v>14249</v>
      </c>
      <c r="B794" s="292" t="s">
        <v>7474</v>
      </c>
      <c r="C794" s="149" t="s">
        <v>5103</v>
      </c>
      <c r="D794" s="94" t="s">
        <v>5153</v>
      </c>
      <c r="E794" s="766" t="s">
        <v>5312</v>
      </c>
      <c r="F794" s="770" t="s">
        <v>28</v>
      </c>
      <c r="G794" s="770" t="s">
        <v>18</v>
      </c>
      <c r="H794" s="12"/>
      <c r="I794" s="295"/>
      <c r="J794" s="94" t="s">
        <v>5153</v>
      </c>
      <c r="K794" s="770"/>
      <c r="L794" s="770"/>
      <c r="M794" s="770" t="s">
        <v>1238</v>
      </c>
      <c r="N794" s="1757"/>
      <c r="O794" s="1757" t="s">
        <v>3255</v>
      </c>
      <c r="P794" s="94" t="s">
        <v>5154</v>
      </c>
      <c r="Q794" s="1088">
        <v>18325</v>
      </c>
      <c r="R794" s="297">
        <v>67</v>
      </c>
      <c r="S794" s="770" t="s">
        <v>18</v>
      </c>
      <c r="T794" s="770"/>
      <c r="U794" s="298"/>
      <c r="V794" s="770" t="s">
        <v>719</v>
      </c>
      <c r="W794" s="770"/>
      <c r="X794" s="770"/>
      <c r="Y794" s="770" t="s">
        <v>5149</v>
      </c>
      <c r="Z794" s="770" t="s">
        <v>708</v>
      </c>
      <c r="AA794" s="770" t="s">
        <v>2586</v>
      </c>
      <c r="AB794" s="770" t="s">
        <v>710</v>
      </c>
      <c r="AC794" s="770" t="s">
        <v>724</v>
      </c>
      <c r="AD794" s="770" t="s">
        <v>711</v>
      </c>
      <c r="AE794" s="770"/>
      <c r="AF794" s="770" t="s">
        <v>712</v>
      </c>
      <c r="AG794" s="770"/>
      <c r="AH794" s="770"/>
      <c r="AI794" s="770"/>
      <c r="AJ794" s="770"/>
      <c r="AK794" s="770" t="s">
        <v>1101</v>
      </c>
      <c r="AL794" s="531"/>
      <c r="AM794" s="780"/>
      <c r="AN794" s="532"/>
      <c r="AO794" s="766"/>
      <c r="AP794" s="766"/>
      <c r="AQ794" s="766"/>
      <c r="AR794" s="766"/>
      <c r="AS794" s="770"/>
      <c r="AT794" s="770"/>
      <c r="AU794" s="770"/>
      <c r="AV794" s="770"/>
      <c r="AW794" s="770"/>
      <c r="AX794" s="770"/>
      <c r="AY794" s="770"/>
      <c r="AZ794" s="770"/>
      <c r="BA794" s="770"/>
      <c r="BB794" s="770"/>
      <c r="BC794" s="770"/>
      <c r="BD794" s="770"/>
      <c r="BE794" s="770"/>
      <c r="BF794" s="302"/>
      <c r="BG794" s="302"/>
      <c r="BH794" s="770"/>
      <c r="BI794" s="770"/>
      <c r="BJ794" s="770"/>
      <c r="BK794" s="766" t="s">
        <v>1095</v>
      </c>
      <c r="BL794" s="766" t="s">
        <v>5836</v>
      </c>
      <c r="BM794" s="766" t="s">
        <v>1096</v>
      </c>
      <c r="BN794" s="766" t="s">
        <v>1230</v>
      </c>
      <c r="BO794" s="766" t="s">
        <v>1246</v>
      </c>
      <c r="BP794" s="765">
        <v>30</v>
      </c>
      <c r="BQ794" s="773">
        <v>30</v>
      </c>
      <c r="BR794" s="774">
        <f t="shared" si="247"/>
        <v>1</v>
      </c>
      <c r="BS794" s="766" t="s">
        <v>1257</v>
      </c>
      <c r="BT794" s="766" t="s">
        <v>8134</v>
      </c>
      <c r="BU794" s="770" t="s">
        <v>1249</v>
      </c>
      <c r="BV794" s="770" t="s">
        <v>1247</v>
      </c>
      <c r="BW794" s="769"/>
      <c r="BX794" s="302" t="s">
        <v>2769</v>
      </c>
      <c r="BY794" s="770" t="s">
        <v>1207</v>
      </c>
      <c r="BZ794" s="302"/>
      <c r="CA794" s="770"/>
      <c r="CB794" s="770"/>
      <c r="CC794" s="770"/>
      <c r="CD794" s="770"/>
      <c r="CE794" s="302"/>
      <c r="CF794" s="304"/>
      <c r="CG794" s="321"/>
      <c r="CH794" s="770"/>
      <c r="CI794" s="770"/>
      <c r="CJ794" s="770"/>
      <c r="CK794" s="770"/>
      <c r="CL794" s="770"/>
      <c r="CM794" s="770"/>
      <c r="CN794" s="770"/>
      <c r="CO794" s="770"/>
      <c r="CP794" s="770"/>
      <c r="CQ794" s="770"/>
      <c r="CR794" s="302"/>
      <c r="CS794" s="770"/>
      <c r="CT794" s="770"/>
      <c r="CU794" s="305"/>
      <c r="CV794" s="770"/>
      <c r="CW794" s="770"/>
      <c r="CX794" s="770"/>
      <c r="CY794" s="770"/>
      <c r="CZ794" s="770"/>
      <c r="DA794" s="306"/>
      <c r="DB794" s="770"/>
      <c r="DC794" s="770"/>
      <c r="DD794" s="770"/>
      <c r="DE794" s="300"/>
      <c r="DF794" s="770"/>
      <c r="DG794" s="770"/>
      <c r="DH794" s="770"/>
      <c r="DI794" s="770"/>
      <c r="DJ794" s="770"/>
      <c r="DK794" s="770"/>
      <c r="DL794" s="770"/>
      <c r="DM794" s="770"/>
      <c r="DN794" s="322"/>
      <c r="DO794" s="770"/>
      <c r="DP794" s="770"/>
      <c r="DQ794" s="770"/>
      <c r="DR794" s="770"/>
      <c r="DS794" s="307"/>
      <c r="DT794" s="770"/>
      <c r="DU794" s="770"/>
      <c r="DV794" s="770"/>
      <c r="DW794" s="306"/>
      <c r="DX794" s="306"/>
      <c r="DY794" s="1055"/>
      <c r="DZ794" s="770"/>
      <c r="EA794" s="770"/>
      <c r="EB794" s="770"/>
      <c r="EC794" s="770"/>
      <c r="ED794" s="770"/>
      <c r="EE794" s="770"/>
      <c r="EF794" s="770"/>
      <c r="EG794" s="770"/>
      <c r="EH794" s="770"/>
      <c r="EI794" s="770"/>
      <c r="EJ794" s="770"/>
      <c r="EK794" s="770"/>
      <c r="EL794" s="770"/>
      <c r="EM794" s="770"/>
      <c r="EN794" s="770"/>
      <c r="EO794" s="770"/>
      <c r="EP794" s="94"/>
      <c r="EQ794" s="770"/>
      <c r="ER794" s="770"/>
      <c r="ES794" s="770"/>
      <c r="ET794" s="770"/>
      <c r="EU794" s="770"/>
      <c r="EV794" s="770"/>
      <c r="EW794" s="770"/>
      <c r="EX794" s="770"/>
      <c r="EY794" s="770"/>
      <c r="EZ794" s="770"/>
      <c r="FA794" s="770"/>
      <c r="FB794" s="770"/>
      <c r="FC794" s="770"/>
      <c r="FD794" s="302"/>
      <c r="FE794" s="770"/>
      <c r="FF794" s="770"/>
      <c r="FG794" s="770"/>
      <c r="FH794" s="770" t="s">
        <v>478</v>
      </c>
      <c r="FI794" s="770">
        <v>1</v>
      </c>
      <c r="FJ794" s="770"/>
      <c r="FK794" s="770"/>
      <c r="FL794" s="770"/>
      <c r="FM794" s="302"/>
      <c r="FN794" s="302"/>
      <c r="FO794" s="302"/>
      <c r="FP794" s="766" t="s">
        <v>1602</v>
      </c>
      <c r="FQ794" s="766" t="s">
        <v>1660</v>
      </c>
      <c r="FR794" s="770" t="s">
        <v>1214</v>
      </c>
      <c r="FS794" s="770"/>
      <c r="FT794" s="770"/>
      <c r="FU794" s="770"/>
      <c r="FV794" s="770"/>
      <c r="FW794" s="770"/>
      <c r="FX794" s="770"/>
      <c r="FY794" s="770"/>
      <c r="FZ794" s="770"/>
      <c r="GA794" s="770"/>
      <c r="GB794" s="770" t="s">
        <v>1734</v>
      </c>
      <c r="GC794" s="308"/>
      <c r="GD794" s="297"/>
      <c r="GE794" s="770" t="s">
        <v>1214</v>
      </c>
      <c r="GF794" s="302"/>
      <c r="GG794" s="302"/>
      <c r="GH794" s="712" t="s">
        <v>1791</v>
      </c>
      <c r="GI794" s="770" t="s">
        <v>1008</v>
      </c>
      <c r="GJ794" s="770" t="s">
        <v>1831</v>
      </c>
      <c r="GK794" s="766" t="s">
        <v>1806</v>
      </c>
      <c r="GL794" s="770"/>
      <c r="GM794" s="770"/>
      <c r="GN794" s="299">
        <v>100</v>
      </c>
      <c r="GO794" s="770" t="s">
        <v>2760</v>
      </c>
      <c r="GP794" s="770" t="s">
        <v>1208</v>
      </c>
      <c r="GQ794" s="770"/>
      <c r="GR794" s="770" t="s">
        <v>1208</v>
      </c>
      <c r="GS794" s="770" t="s">
        <v>1208</v>
      </c>
      <c r="GT794" s="770" t="s">
        <v>1208</v>
      </c>
      <c r="GU794" s="770"/>
      <c r="GV794" s="770"/>
      <c r="GW794" s="770" t="s">
        <v>1207</v>
      </c>
      <c r="GX794" s="770"/>
      <c r="GY794" s="770" t="s">
        <v>1208</v>
      </c>
      <c r="GZ794" s="770"/>
      <c r="HA794" s="770" t="s">
        <v>1208</v>
      </c>
      <c r="HB794" s="770" t="s">
        <v>1208</v>
      </c>
      <c r="HC794" s="770" t="s">
        <v>1208</v>
      </c>
      <c r="HD794" s="770" t="s">
        <v>1208</v>
      </c>
      <c r="HE794" s="770" t="s">
        <v>1208</v>
      </c>
      <c r="HF794" s="770"/>
      <c r="HG794" s="770"/>
      <c r="HH794" s="770"/>
      <c r="HI794" s="770" t="s">
        <v>1214</v>
      </c>
      <c r="HJ794" s="770"/>
      <c r="HK794" s="770"/>
      <c r="HL794" s="770" t="s">
        <v>1214</v>
      </c>
      <c r="HM794" s="770"/>
      <c r="HN794" s="770"/>
      <c r="HO794" s="770"/>
      <c r="HP794" s="770"/>
      <c r="HQ794" s="770"/>
      <c r="HR794" s="770"/>
      <c r="HS794" s="770"/>
      <c r="HT794" s="770"/>
      <c r="HU794" s="770"/>
      <c r="HV794" s="770"/>
      <c r="HW794" s="770"/>
      <c r="HX794" s="770"/>
      <c r="HY794" s="770"/>
      <c r="HZ794" s="770"/>
      <c r="IA794" s="770"/>
      <c r="IB794" s="14" t="e">
        <f>IF(#REF!&gt;0,IF(#REF!&lt;=10000,"Y",""),"")</f>
        <v>#REF!</v>
      </c>
      <c r="IC794" s="770" t="s">
        <v>1207</v>
      </c>
      <c r="ID794" s="770">
        <v>1</v>
      </c>
      <c r="IE794" s="770">
        <v>2</v>
      </c>
      <c r="IF794" s="770"/>
      <c r="IG794" s="770"/>
      <c r="IH794" s="770"/>
      <c r="II794" s="770"/>
      <c r="IJ794" s="770"/>
      <c r="IK794" s="770"/>
      <c r="IL794" s="770"/>
      <c r="IM794" s="770"/>
      <c r="IN794" s="770"/>
      <c r="IO794" s="296"/>
      <c r="IP794" s="770"/>
      <c r="IQ794" s="770"/>
      <c r="IR794" s="770"/>
      <c r="IS794" s="770"/>
      <c r="IT794" s="770"/>
      <c r="IU794" s="770"/>
      <c r="IV794" s="770"/>
      <c r="IW794" s="770"/>
      <c r="IX794" s="770"/>
      <c r="IY794" s="770"/>
      <c r="IZ794" s="770"/>
      <c r="JA794" s="770"/>
      <c r="JB794" s="770"/>
      <c r="JC794" s="770"/>
      <c r="JD794" s="302"/>
      <c r="JE794" s="770"/>
      <c r="JF794" s="770"/>
      <c r="JG794" s="770"/>
      <c r="JH794" s="307"/>
      <c r="JI794" s="712" t="str">
        <f>IF(SUM(JT794,JU794)=JJ794,"ok","review")</f>
        <v>ok</v>
      </c>
      <c r="JJ794" s="770">
        <v>2</v>
      </c>
      <c r="JK794" s="1139" t="s">
        <v>5104</v>
      </c>
      <c r="JL794" s="770"/>
      <c r="JM794" s="770"/>
      <c r="JN794" s="770">
        <v>1</v>
      </c>
      <c r="JO794" s="770"/>
      <c r="JP794" s="770"/>
      <c r="JQ794" s="770">
        <v>1</v>
      </c>
      <c r="JR794" s="770"/>
      <c r="JS794" s="770"/>
      <c r="JT794" s="766">
        <f t="shared" si="248"/>
        <v>1</v>
      </c>
      <c r="JU794" s="766">
        <f t="shared" si="248"/>
        <v>1</v>
      </c>
      <c r="JV794" s="712" t="str">
        <f t="shared" si="250"/>
        <v>ok</v>
      </c>
      <c r="JW794" s="712" t="str">
        <f t="shared" si="251"/>
        <v>ok</v>
      </c>
      <c r="JX794" s="770"/>
      <c r="JY794" s="770"/>
      <c r="JZ794" s="770"/>
      <c r="KA794" s="770"/>
      <c r="KB794" s="770"/>
      <c r="KC794" s="770"/>
      <c r="KD794" s="770">
        <v>1</v>
      </c>
      <c r="KE794" s="770"/>
      <c r="KF794" s="770"/>
      <c r="KG794" s="770">
        <v>1</v>
      </c>
      <c r="KH794" s="770"/>
      <c r="KI794" s="770"/>
      <c r="KJ794" s="770">
        <f t="shared" si="249"/>
        <v>1</v>
      </c>
      <c r="KK794" s="770">
        <f t="shared" si="249"/>
        <v>1</v>
      </c>
      <c r="KL794" s="712" t="str">
        <f t="shared" si="252"/>
        <v>ok</v>
      </c>
      <c r="KM794" s="712" t="str">
        <f t="shared" si="253"/>
        <v>ok</v>
      </c>
      <c r="KN794" s="770" t="s">
        <v>719</v>
      </c>
      <c r="KO794" s="770"/>
      <c r="KP794" s="770"/>
      <c r="KQ794" s="770"/>
      <c r="KR794" s="770"/>
      <c r="KS794" s="770"/>
      <c r="KT794" s="770"/>
      <c r="KU794" s="770"/>
      <c r="KV794" s="770">
        <v>1</v>
      </c>
      <c r="KW794" s="770">
        <v>1</v>
      </c>
      <c r="KX794" s="770"/>
      <c r="KY794" s="770"/>
      <c r="KZ794" s="770"/>
      <c r="LA794" s="770"/>
      <c r="LB794" s="770"/>
      <c r="LC794" s="770"/>
      <c r="LD794" s="770"/>
      <c r="LE794" s="770"/>
      <c r="LF794" s="770"/>
      <c r="LG794" s="770"/>
      <c r="LH794" s="770"/>
      <c r="LI794" s="770"/>
      <c r="LJ794" s="770"/>
      <c r="LK794" s="770"/>
      <c r="LL794" s="770"/>
      <c r="LM794" s="770"/>
      <c r="LN794" s="766">
        <f t="shared" si="230"/>
        <v>1</v>
      </c>
      <c r="LO794" s="766">
        <f t="shared" si="230"/>
        <v>1</v>
      </c>
      <c r="LP794" s="770">
        <v>2</v>
      </c>
      <c r="LQ794" s="770"/>
      <c r="LR794" s="770"/>
      <c r="LS794" s="770">
        <v>2</v>
      </c>
      <c r="LT794" s="712" t="str">
        <f t="shared" si="254"/>
        <v>OK</v>
      </c>
      <c r="LU794" s="770"/>
      <c r="LV794" s="770"/>
      <c r="LW794" s="770"/>
      <c r="LX794" s="769">
        <v>1</v>
      </c>
      <c r="LY794" s="766" t="str">
        <f t="shared" si="231"/>
        <v>within the BRGY</v>
      </c>
      <c r="LZ794" s="1709">
        <f>100*26</f>
        <v>2600</v>
      </c>
      <c r="MA794" s="1709"/>
      <c r="MB794" s="1709"/>
      <c r="MC794" s="1679">
        <f t="shared" si="229"/>
        <v>2600</v>
      </c>
      <c r="MD794" s="1709"/>
      <c r="ME794" s="1709"/>
      <c r="MF794" s="1709">
        <f>SUM(500,300*26)</f>
        <v>8300</v>
      </c>
      <c r="MG794" s="1680">
        <f t="shared" si="255"/>
        <v>8300</v>
      </c>
      <c r="MH794" s="770" t="s">
        <v>2968</v>
      </c>
      <c r="MI794" s="302">
        <f>150*30</f>
        <v>4500</v>
      </c>
      <c r="MJ794" s="302">
        <f>114*26</f>
        <v>2964</v>
      </c>
      <c r="MK794" s="302">
        <v>1000</v>
      </c>
      <c r="ML794" s="302">
        <v>200</v>
      </c>
      <c r="MM794" s="302"/>
      <c r="MN794" s="302"/>
      <c r="MO794" s="302"/>
      <c r="MP794" s="302"/>
      <c r="MQ794" s="302">
        <v>100</v>
      </c>
      <c r="MR794" s="302">
        <v>20</v>
      </c>
      <c r="MS794" s="302"/>
      <c r="MT794" s="302"/>
      <c r="MU794" s="302"/>
      <c r="MV794" s="302"/>
      <c r="MW794" s="302"/>
      <c r="MX794" s="302"/>
      <c r="MY794" s="1682">
        <f t="shared" si="243"/>
        <v>8784</v>
      </c>
      <c r="MZ794" s="770" t="s">
        <v>13395</v>
      </c>
      <c r="NA794" s="770" t="s">
        <v>13230</v>
      </c>
      <c r="NB794" s="770" t="s">
        <v>13161</v>
      </c>
      <c r="NC794" s="770" t="s">
        <v>13965</v>
      </c>
      <c r="ND794" s="770">
        <v>0</v>
      </c>
      <c r="NE794" s="770">
        <v>0</v>
      </c>
      <c r="NF794" s="770">
        <v>0</v>
      </c>
      <c r="NG794" s="770">
        <v>2</v>
      </c>
      <c r="NH794" s="770">
        <v>1</v>
      </c>
      <c r="NI794" s="770">
        <v>0</v>
      </c>
      <c r="NJ794" s="770">
        <v>0</v>
      </c>
      <c r="NK794" s="770">
        <v>0</v>
      </c>
      <c r="NL794" s="770">
        <v>0</v>
      </c>
      <c r="NM794" s="770">
        <v>0</v>
      </c>
      <c r="NN794" s="770">
        <v>0</v>
      </c>
      <c r="NO794" s="770">
        <v>0</v>
      </c>
      <c r="NP794" s="770">
        <v>0</v>
      </c>
      <c r="NQ794" s="770">
        <v>0</v>
      </c>
      <c r="NR794" s="770">
        <v>0</v>
      </c>
      <c r="NS794" s="770">
        <v>0</v>
      </c>
      <c r="NT794" s="770">
        <v>0</v>
      </c>
      <c r="NU794" s="770">
        <v>0</v>
      </c>
      <c r="NV794" s="770">
        <v>0</v>
      </c>
      <c r="NW794" s="770">
        <v>0</v>
      </c>
      <c r="NX794" s="770">
        <v>0</v>
      </c>
      <c r="NY794" s="770" t="s">
        <v>1208</v>
      </c>
      <c r="NZ794" s="770"/>
      <c r="OA794" s="770"/>
      <c r="OB794" s="770" t="s">
        <v>1208</v>
      </c>
      <c r="OC794" s="770" t="s">
        <v>1208</v>
      </c>
      <c r="OD794" s="770" t="s">
        <v>1208</v>
      </c>
      <c r="OE794" s="770"/>
      <c r="OF794" s="770" t="s">
        <v>13565</v>
      </c>
      <c r="OG794" s="770"/>
      <c r="OH794" s="770"/>
      <c r="OI794" s="770"/>
      <c r="OJ794" s="770"/>
      <c r="OK794" s="770" t="s">
        <v>1208</v>
      </c>
      <c r="OL794" s="770"/>
      <c r="OM794" s="770"/>
      <c r="ON794" s="770"/>
      <c r="OO794" s="770" t="s">
        <v>1207</v>
      </c>
      <c r="OP794" s="770" t="s">
        <v>12885</v>
      </c>
      <c r="OQ794" s="770"/>
      <c r="OR794" s="770"/>
      <c r="OS794" s="770" t="s">
        <v>12885</v>
      </c>
      <c r="OT794" s="770"/>
      <c r="OU794" s="770"/>
      <c r="OV794" s="770" t="s">
        <v>1208</v>
      </c>
      <c r="OW794" s="770"/>
      <c r="OX794" s="770"/>
      <c r="OY794" s="770"/>
      <c r="OZ794" s="770"/>
      <c r="PA794" s="770"/>
      <c r="PB794" s="770"/>
      <c r="PC794" s="770"/>
      <c r="PD794" s="770"/>
      <c r="PE794" s="770"/>
      <c r="PF794" s="770"/>
      <c r="PG794" s="770"/>
      <c r="PH794" s="770" t="s">
        <v>1208</v>
      </c>
      <c r="PI794" s="770" t="s">
        <v>1208</v>
      </c>
      <c r="PJ794" s="770"/>
      <c r="PK794" s="770" t="s">
        <v>1208</v>
      </c>
      <c r="PL794" s="770"/>
      <c r="PM794" s="770"/>
      <c r="PN794" s="770"/>
      <c r="PO794" s="770"/>
      <c r="PP794" s="770"/>
      <c r="PQ794" s="770"/>
      <c r="PR794" s="770"/>
      <c r="PS794" s="770"/>
      <c r="PT794" s="770"/>
      <c r="PU794" s="770"/>
      <c r="PV794" s="770"/>
      <c r="PW794" s="770"/>
      <c r="PX794" s="770"/>
      <c r="PY794" s="770"/>
      <c r="PZ794" s="770"/>
      <c r="QA794" s="770"/>
      <c r="QB794" s="770"/>
      <c r="QC794" s="770"/>
      <c r="QD794" s="770"/>
      <c r="QE794" s="770"/>
      <c r="QF794" s="770"/>
      <c r="QG794" s="770"/>
      <c r="QH794" s="770"/>
      <c r="QI794" s="770"/>
      <c r="QJ794" s="770"/>
      <c r="QK794" s="770"/>
      <c r="QL794" s="770"/>
      <c r="QM794" s="770"/>
      <c r="QN794" s="770"/>
      <c r="QO794" s="770"/>
      <c r="QP794" s="770"/>
      <c r="QQ794" s="770"/>
      <c r="QR794" s="770"/>
      <c r="QS794" s="770"/>
      <c r="QT794" s="770"/>
      <c r="QU794" s="770"/>
      <c r="QV794" s="770"/>
      <c r="QW794" s="770"/>
      <c r="QX794" s="770"/>
      <c r="QY794" s="770"/>
      <c r="QZ794" s="770"/>
      <c r="RA794" s="770"/>
      <c r="RB794" s="770" t="s">
        <v>1207</v>
      </c>
      <c r="RC794" s="770">
        <v>2013</v>
      </c>
      <c r="RD794" s="770" t="s">
        <v>13036</v>
      </c>
      <c r="RE794" s="770" t="s">
        <v>12999</v>
      </c>
      <c r="RF794" s="304">
        <v>0.5</v>
      </c>
      <c r="RG794" s="770" t="s">
        <v>13047</v>
      </c>
      <c r="RH794" s="306">
        <v>0</v>
      </c>
      <c r="RI794" s="770">
        <v>36</v>
      </c>
      <c r="RJ794" s="94" t="s">
        <v>5104</v>
      </c>
      <c r="RK794" s="770" t="s">
        <v>13556</v>
      </c>
      <c r="RL794" s="1710">
        <v>42851</v>
      </c>
      <c r="RM794" s="12"/>
      <c r="RN794" s="1711"/>
      <c r="RO794" s="149" t="s">
        <v>5103</v>
      </c>
      <c r="RP794" s="11"/>
      <c r="RQ794" s="11"/>
      <c r="RR794" s="311" t="s">
        <v>7421</v>
      </c>
      <c r="RS794" s="1139" t="s">
        <v>12980</v>
      </c>
      <c r="RT794" s="11"/>
      <c r="RU794" s="11"/>
      <c r="RV794" s="771" t="s">
        <v>7421</v>
      </c>
      <c r="RW794" s="11" t="s">
        <v>7472</v>
      </c>
      <c r="RX794" s="11" t="s">
        <v>5101</v>
      </c>
      <c r="RY794" s="11"/>
      <c r="RZ794" s="11" t="s">
        <v>2209</v>
      </c>
      <c r="SA794" s="771"/>
      <c r="SB794" s="11"/>
      <c r="SC794" s="11"/>
    </row>
    <row r="795" spans="1:497" ht="12.75" customHeight="1">
      <c r="A795" s="311" t="s">
        <v>14249</v>
      </c>
      <c r="B795" s="292" t="s">
        <v>7475</v>
      </c>
      <c r="C795" s="149" t="s">
        <v>5105</v>
      </c>
      <c r="D795" s="94" t="s">
        <v>5155</v>
      </c>
      <c r="E795" s="766" t="s">
        <v>5312</v>
      </c>
      <c r="F795" s="770" t="s">
        <v>20</v>
      </c>
      <c r="G795" s="770" t="s">
        <v>10</v>
      </c>
      <c r="H795" s="12"/>
      <c r="I795" s="295" t="s">
        <v>5156</v>
      </c>
      <c r="J795" s="94" t="s">
        <v>5157</v>
      </c>
      <c r="K795" s="770"/>
      <c r="L795" s="770"/>
      <c r="M795" s="770" t="s">
        <v>1238</v>
      </c>
      <c r="N795" s="1757"/>
      <c r="O795" s="1757" t="s">
        <v>3255</v>
      </c>
      <c r="P795" s="94" t="s">
        <v>5158</v>
      </c>
      <c r="Q795" s="1088">
        <v>25472</v>
      </c>
      <c r="R795" s="297">
        <v>45</v>
      </c>
      <c r="S795" s="770" t="s">
        <v>10</v>
      </c>
      <c r="T795" s="770"/>
      <c r="U795" s="295" t="s">
        <v>5156</v>
      </c>
      <c r="V795" s="770" t="s">
        <v>707</v>
      </c>
      <c r="W795" s="770"/>
      <c r="X795" s="770"/>
      <c r="Y795" s="770" t="s">
        <v>5149</v>
      </c>
      <c r="Z795" s="770" t="s">
        <v>708</v>
      </c>
      <c r="AA795" s="770" t="s">
        <v>709</v>
      </c>
      <c r="AB795" s="770" t="s">
        <v>710</v>
      </c>
      <c r="AC795" s="770" t="s">
        <v>724</v>
      </c>
      <c r="AD795" s="770" t="s">
        <v>711</v>
      </c>
      <c r="AE795" s="770"/>
      <c r="AF795" s="770" t="s">
        <v>712</v>
      </c>
      <c r="AG795" s="770"/>
      <c r="AH795" s="770"/>
      <c r="AI795" s="770"/>
      <c r="AJ795" s="770"/>
      <c r="AK795" s="770" t="s">
        <v>1101</v>
      </c>
      <c r="AL795" s="531"/>
      <c r="AM795" s="780"/>
      <c r="AN795" s="532"/>
      <c r="AO795" s="766"/>
      <c r="AP795" s="766"/>
      <c r="AQ795" s="766"/>
      <c r="AR795" s="766"/>
      <c r="AS795" s="770"/>
      <c r="AT795" s="770"/>
      <c r="AU795" s="770"/>
      <c r="AV795" s="770"/>
      <c r="AW795" s="770"/>
      <c r="AX795" s="770"/>
      <c r="AY795" s="770"/>
      <c r="AZ795" s="770"/>
      <c r="BA795" s="770"/>
      <c r="BB795" s="770"/>
      <c r="BC795" s="770"/>
      <c r="BD795" s="770"/>
      <c r="BE795" s="770"/>
      <c r="BF795" s="302"/>
      <c r="BG795" s="302"/>
      <c r="BH795" s="770"/>
      <c r="BI795" s="770"/>
      <c r="BJ795" s="770"/>
      <c r="BK795" s="766" t="s">
        <v>1095</v>
      </c>
      <c r="BL795" s="766" t="s">
        <v>5159</v>
      </c>
      <c r="BM795" s="766" t="s">
        <v>1096</v>
      </c>
      <c r="BN795" s="766" t="s">
        <v>1230</v>
      </c>
      <c r="BO795" s="766" t="s">
        <v>1246</v>
      </c>
      <c r="BP795" s="765">
        <v>10.5</v>
      </c>
      <c r="BQ795" s="773">
        <v>10.5</v>
      </c>
      <c r="BR795" s="774">
        <f t="shared" si="247"/>
        <v>1</v>
      </c>
      <c r="BS795" s="766" t="s">
        <v>1257</v>
      </c>
      <c r="BT795" s="766" t="s">
        <v>8133</v>
      </c>
      <c r="BU795" s="770" t="s">
        <v>1249</v>
      </c>
      <c r="BV795" s="769"/>
      <c r="BW795" s="769"/>
      <c r="BX795" s="302"/>
      <c r="BY795" s="770"/>
      <c r="BZ795" s="302"/>
      <c r="CA795" s="770"/>
      <c r="CB795" s="770"/>
      <c r="CC795" s="770"/>
      <c r="CD795" s="770"/>
      <c r="CE795" s="302"/>
      <c r="CF795" s="304"/>
      <c r="CG795" s="321"/>
      <c r="CH795" s="770"/>
      <c r="CI795" s="770"/>
      <c r="CJ795" s="770"/>
      <c r="CK795" s="770"/>
      <c r="CL795" s="770"/>
      <c r="CM795" s="770"/>
      <c r="CN795" s="770"/>
      <c r="CO795" s="770"/>
      <c r="CP795" s="770"/>
      <c r="CQ795" s="770"/>
      <c r="CR795" s="302"/>
      <c r="CS795" s="770"/>
      <c r="CT795" s="770"/>
      <c r="CU795" s="305"/>
      <c r="CV795" s="770"/>
      <c r="CW795" s="770"/>
      <c r="CX795" s="770"/>
      <c r="CY795" s="770"/>
      <c r="CZ795" s="770"/>
      <c r="DA795" s="306"/>
      <c r="DB795" s="770"/>
      <c r="DC795" s="770"/>
      <c r="DD795" s="770"/>
      <c r="DE795" s="300"/>
      <c r="DF795" s="770"/>
      <c r="DG795" s="770"/>
      <c r="DH795" s="770"/>
      <c r="DI795" s="770"/>
      <c r="DJ795" s="770"/>
      <c r="DK795" s="770"/>
      <c r="DL795" s="770"/>
      <c r="DM795" s="770"/>
      <c r="DN795" s="322"/>
      <c r="DO795" s="770"/>
      <c r="DP795" s="770"/>
      <c r="DQ795" s="770"/>
      <c r="DR795" s="770"/>
      <c r="DS795" s="307"/>
      <c r="DT795" s="770"/>
      <c r="DU795" s="770"/>
      <c r="DV795" s="770"/>
      <c r="DW795" s="306"/>
      <c r="DX795" s="306"/>
      <c r="DY795" s="1055"/>
      <c r="DZ795" s="770"/>
      <c r="EA795" s="770"/>
      <c r="EB795" s="770"/>
      <c r="EC795" s="770"/>
      <c r="ED795" s="770"/>
      <c r="EE795" s="770"/>
      <c r="EF795" s="770"/>
      <c r="EG795" s="770"/>
      <c r="EH795" s="770"/>
      <c r="EI795" s="770"/>
      <c r="EJ795" s="770"/>
      <c r="EK795" s="770"/>
      <c r="EL795" s="770"/>
      <c r="EM795" s="770"/>
      <c r="EN795" s="770"/>
      <c r="EO795" s="770"/>
      <c r="EP795" s="94"/>
      <c r="EQ795" s="770"/>
      <c r="ER795" s="770"/>
      <c r="ES795" s="770"/>
      <c r="ET795" s="770"/>
      <c r="EU795" s="770"/>
      <c r="EV795" s="770"/>
      <c r="EW795" s="770"/>
      <c r="EX795" s="770"/>
      <c r="EY795" s="770"/>
      <c r="EZ795" s="770"/>
      <c r="FA795" s="770"/>
      <c r="FB795" s="770"/>
      <c r="FC795" s="770"/>
      <c r="FD795" s="302"/>
      <c r="FE795" s="770"/>
      <c r="FF795" s="770"/>
      <c r="FG795" s="770"/>
      <c r="FH795" s="770" t="s">
        <v>478</v>
      </c>
      <c r="FI795" s="770"/>
      <c r="FJ795" s="770"/>
      <c r="FK795" s="770"/>
      <c r="FL795" s="770"/>
      <c r="FM795" s="302"/>
      <c r="FN795" s="302"/>
      <c r="FO795" s="302"/>
      <c r="FP795" s="766" t="s">
        <v>1602</v>
      </c>
      <c r="FQ795" s="766" t="s">
        <v>1660</v>
      </c>
      <c r="FR795" s="770" t="s">
        <v>1214</v>
      </c>
      <c r="FS795" s="770"/>
      <c r="FT795" s="770"/>
      <c r="FU795" s="770"/>
      <c r="FV795" s="770"/>
      <c r="FW795" s="770"/>
      <c r="FX795" s="770"/>
      <c r="FY795" s="770"/>
      <c r="FZ795" s="770"/>
      <c r="GA795" s="770"/>
      <c r="GB795" s="770" t="s">
        <v>1734</v>
      </c>
      <c r="GC795" s="308"/>
      <c r="GD795" s="297">
        <v>2000</v>
      </c>
      <c r="GE795" s="770" t="s">
        <v>1214</v>
      </c>
      <c r="GF795" s="302"/>
      <c r="GG795" s="302"/>
      <c r="GH795" s="712" t="s">
        <v>1791</v>
      </c>
      <c r="GI795" s="770" t="s">
        <v>1008</v>
      </c>
      <c r="GJ795" s="770" t="s">
        <v>3209</v>
      </c>
      <c r="GK795" s="770" t="s">
        <v>2335</v>
      </c>
      <c r="GL795" s="770"/>
      <c r="GM795" s="770"/>
      <c r="GN795" s="299" t="s">
        <v>3862</v>
      </c>
      <c r="GO795" s="770" t="s">
        <v>2770</v>
      </c>
      <c r="GP795" s="770"/>
      <c r="GQ795" s="770" t="s">
        <v>1208</v>
      </c>
      <c r="GR795" s="770" t="s">
        <v>1208</v>
      </c>
      <c r="GS795" s="770" t="s">
        <v>1208</v>
      </c>
      <c r="GT795" s="770" t="s">
        <v>1208</v>
      </c>
      <c r="GU795" s="770"/>
      <c r="GV795" s="770"/>
      <c r="GW795" s="770" t="s">
        <v>1207</v>
      </c>
      <c r="GX795" s="770"/>
      <c r="GY795" s="770" t="s">
        <v>1208</v>
      </c>
      <c r="GZ795" s="770" t="s">
        <v>1208</v>
      </c>
      <c r="HA795" s="770" t="s">
        <v>1208</v>
      </c>
      <c r="HB795" s="770"/>
      <c r="HC795" s="770" t="s">
        <v>1208</v>
      </c>
      <c r="HD795" s="770" t="s">
        <v>1208</v>
      </c>
      <c r="HE795" s="770" t="s">
        <v>1208</v>
      </c>
      <c r="HF795" s="770"/>
      <c r="HG795" s="770"/>
      <c r="HH795" s="770"/>
      <c r="HI795" s="770" t="s">
        <v>1214</v>
      </c>
      <c r="HJ795" s="770"/>
      <c r="HK795" s="770"/>
      <c r="HL795" s="770" t="s">
        <v>1214</v>
      </c>
      <c r="HM795" s="770"/>
      <c r="HN795" s="770"/>
      <c r="HO795" s="770"/>
      <c r="HP795" s="770"/>
      <c r="HQ795" s="770"/>
      <c r="HR795" s="770"/>
      <c r="HS795" s="770"/>
      <c r="HT795" s="770"/>
      <c r="HU795" s="770"/>
      <c r="HV795" s="770"/>
      <c r="HW795" s="770"/>
      <c r="HX795" s="770"/>
      <c r="HY795" s="770"/>
      <c r="HZ795" s="770"/>
      <c r="IA795" s="770"/>
      <c r="IB795" s="14" t="e">
        <f>IF(#REF!&gt;0,IF(#REF!&lt;=10000,"Y",""),"")</f>
        <v>#REF!</v>
      </c>
      <c r="IC795" s="770"/>
      <c r="ID795" s="770"/>
      <c r="IE795" s="770"/>
      <c r="IF795" s="770"/>
      <c r="IG795" s="770"/>
      <c r="IH795" s="770"/>
      <c r="II795" s="770"/>
      <c r="IJ795" s="770"/>
      <c r="IK795" s="770"/>
      <c r="IL795" s="770"/>
      <c r="IM795" s="770"/>
      <c r="IN795" s="770"/>
      <c r="IO795" s="296"/>
      <c r="IP795" s="770"/>
      <c r="IQ795" s="770"/>
      <c r="IR795" s="770"/>
      <c r="IS795" s="770"/>
      <c r="IT795" s="770"/>
      <c r="IU795" s="770"/>
      <c r="IV795" s="770"/>
      <c r="IW795" s="770"/>
      <c r="IX795" s="770"/>
      <c r="IY795" s="770"/>
      <c r="IZ795" s="770"/>
      <c r="JA795" s="770"/>
      <c r="JB795" s="770"/>
      <c r="JC795" s="770"/>
      <c r="JD795" s="302"/>
      <c r="JE795" s="770"/>
      <c r="JF795" s="770"/>
      <c r="JG795" s="770"/>
      <c r="JH795" s="307"/>
      <c r="JI795" s="307"/>
      <c r="JJ795" s="770">
        <v>6</v>
      </c>
      <c r="JK795" s="1139" t="s">
        <v>5106</v>
      </c>
      <c r="JL795" s="770">
        <v>1</v>
      </c>
      <c r="JM795" s="770">
        <v>1</v>
      </c>
      <c r="JN795" s="770">
        <v>2</v>
      </c>
      <c r="JO795" s="770">
        <v>2</v>
      </c>
      <c r="JP795" s="770"/>
      <c r="JQ795" s="770"/>
      <c r="JR795" s="770"/>
      <c r="JS795" s="770"/>
      <c r="JT795" s="766">
        <f t="shared" si="248"/>
        <v>3</v>
      </c>
      <c r="JU795" s="766">
        <f t="shared" si="248"/>
        <v>3</v>
      </c>
      <c r="JV795" s="712" t="str">
        <f t="shared" si="250"/>
        <v>ok</v>
      </c>
      <c r="JW795" s="712" t="str">
        <f t="shared" si="251"/>
        <v>ok</v>
      </c>
      <c r="JX795" s="770"/>
      <c r="JY795" s="770"/>
      <c r="JZ795" s="770">
        <v>1</v>
      </c>
      <c r="KA795" s="770">
        <v>1</v>
      </c>
      <c r="KB795" s="770">
        <v>1</v>
      </c>
      <c r="KC795" s="770">
        <v>1</v>
      </c>
      <c r="KD795" s="770">
        <v>1</v>
      </c>
      <c r="KE795" s="770">
        <v>1</v>
      </c>
      <c r="KF795" s="770"/>
      <c r="KG795" s="770"/>
      <c r="KH795" s="770"/>
      <c r="KI795" s="770"/>
      <c r="KJ795" s="770">
        <f t="shared" si="249"/>
        <v>3</v>
      </c>
      <c r="KK795" s="770">
        <f t="shared" si="249"/>
        <v>3</v>
      </c>
      <c r="KL795" s="712" t="str">
        <f t="shared" si="252"/>
        <v>ok</v>
      </c>
      <c r="KM795" s="712" t="str">
        <f t="shared" si="253"/>
        <v>ok</v>
      </c>
      <c r="KN795" s="770" t="s">
        <v>707</v>
      </c>
      <c r="KO795" s="770"/>
      <c r="KP795" s="770"/>
      <c r="KQ795" s="770"/>
      <c r="KR795" s="770"/>
      <c r="KS795" s="770"/>
      <c r="KT795" s="770">
        <v>1</v>
      </c>
      <c r="KU795" s="770">
        <v>1</v>
      </c>
      <c r="KV795" s="770"/>
      <c r="KW795" s="770"/>
      <c r="KX795" s="770">
        <v>2</v>
      </c>
      <c r="KY795" s="770"/>
      <c r="KZ795" s="770"/>
      <c r="LA795" s="770">
        <v>2</v>
      </c>
      <c r="LB795" s="770"/>
      <c r="LC795" s="770"/>
      <c r="LD795" s="770"/>
      <c r="LE795" s="770"/>
      <c r="LF795" s="770"/>
      <c r="LG795" s="770"/>
      <c r="LH795" s="770"/>
      <c r="LI795" s="770"/>
      <c r="LJ795" s="770"/>
      <c r="LK795" s="770"/>
      <c r="LL795" s="770"/>
      <c r="LM795" s="770"/>
      <c r="LN795" s="766">
        <f t="shared" si="230"/>
        <v>3</v>
      </c>
      <c r="LO795" s="766">
        <f t="shared" si="230"/>
        <v>3</v>
      </c>
      <c r="LP795" s="770">
        <v>2</v>
      </c>
      <c r="LQ795" s="770">
        <v>2</v>
      </c>
      <c r="LR795" s="770"/>
      <c r="LS795" s="770"/>
      <c r="LT795" s="712" t="str">
        <f t="shared" si="254"/>
        <v>OK</v>
      </c>
      <c r="LU795" s="770">
        <v>1</v>
      </c>
      <c r="LV795" s="770">
        <v>1</v>
      </c>
      <c r="LW795" s="770"/>
      <c r="LX795" s="769">
        <v>3</v>
      </c>
      <c r="LY795" s="766" t="str">
        <f t="shared" si="231"/>
        <v>within the PROVINCE</v>
      </c>
      <c r="LZ795" s="1709">
        <f>600</f>
        <v>600</v>
      </c>
      <c r="MA795" s="1709"/>
      <c r="MB795" s="1709"/>
      <c r="MC795" s="1679">
        <f t="shared" si="229"/>
        <v>600</v>
      </c>
      <c r="MD795" s="1709">
        <f>SUM(360*26,2000)</f>
        <v>11360</v>
      </c>
      <c r="ME795" s="1709"/>
      <c r="MF795" s="1709"/>
      <c r="MG795" s="1680">
        <f t="shared" si="255"/>
        <v>11360</v>
      </c>
      <c r="MH795" s="770" t="s">
        <v>14014</v>
      </c>
      <c r="MI795" s="302">
        <f>400*30</f>
        <v>12000</v>
      </c>
      <c r="MJ795" s="302">
        <f>60*30</f>
        <v>1800</v>
      </c>
      <c r="MK795" s="302">
        <f>5000/12</f>
        <v>416.66666666666669</v>
      </c>
      <c r="ML795" s="302">
        <v>210</v>
      </c>
      <c r="MM795" s="302">
        <v>400</v>
      </c>
      <c r="MN795" s="302"/>
      <c r="MO795" s="302">
        <v>144</v>
      </c>
      <c r="MP795" s="302"/>
      <c r="MQ795" s="302">
        <v>140</v>
      </c>
      <c r="MR795" s="302">
        <v>200</v>
      </c>
      <c r="MS795" s="302"/>
      <c r="MT795" s="302"/>
      <c r="MU795" s="302"/>
      <c r="MV795" s="302"/>
      <c r="MW795" s="302"/>
      <c r="MX795" s="302"/>
      <c r="MY795" s="1682">
        <f t="shared" si="243"/>
        <v>15310.666666666666</v>
      </c>
      <c r="MZ795" s="770" t="s">
        <v>13395</v>
      </c>
      <c r="NA795" s="770" t="s">
        <v>13230</v>
      </c>
      <c r="NB795" s="770" t="s">
        <v>13016</v>
      </c>
      <c r="NC795" s="770" t="s">
        <v>13965</v>
      </c>
      <c r="ND795" s="770">
        <v>0</v>
      </c>
      <c r="NE795" s="770">
        <v>0</v>
      </c>
      <c r="NF795" s="770">
        <v>0</v>
      </c>
      <c r="NG795" s="770">
        <v>3</v>
      </c>
      <c r="NH795" s="770">
        <v>1</v>
      </c>
      <c r="NI795" s="770">
        <v>0</v>
      </c>
      <c r="NJ795" s="770">
        <v>1</v>
      </c>
      <c r="NK795" s="770">
        <v>0</v>
      </c>
      <c r="NL795" s="770">
        <v>0</v>
      </c>
      <c r="NM795" s="770">
        <v>0</v>
      </c>
      <c r="NN795" s="770">
        <v>0</v>
      </c>
      <c r="NO795" s="770">
        <v>0</v>
      </c>
      <c r="NP795" s="770">
        <v>0</v>
      </c>
      <c r="NQ795" s="770">
        <v>0</v>
      </c>
      <c r="NR795" s="770">
        <v>0</v>
      </c>
      <c r="NS795" s="770">
        <v>0</v>
      </c>
      <c r="NT795" s="770">
        <v>0</v>
      </c>
      <c r="NU795" s="770">
        <v>0</v>
      </c>
      <c r="NV795" s="770">
        <v>0</v>
      </c>
      <c r="NW795" s="770">
        <v>0</v>
      </c>
      <c r="NX795" s="770">
        <v>0</v>
      </c>
      <c r="NY795" s="770" t="s">
        <v>1208</v>
      </c>
      <c r="NZ795" s="770" t="s">
        <v>1208</v>
      </c>
      <c r="OA795" s="770" t="s">
        <v>1208</v>
      </c>
      <c r="OB795" s="770" t="s">
        <v>1208</v>
      </c>
      <c r="OC795" s="770" t="s">
        <v>1208</v>
      </c>
      <c r="OD795" s="770"/>
      <c r="OE795" s="770"/>
      <c r="OF795" s="770" t="s">
        <v>2143</v>
      </c>
      <c r="OG795" s="770"/>
      <c r="OH795" s="770"/>
      <c r="OI795" s="770"/>
      <c r="OJ795" s="770"/>
      <c r="OK795" s="770" t="s">
        <v>1208</v>
      </c>
      <c r="OL795" s="770" t="s">
        <v>13548</v>
      </c>
      <c r="OM795" s="770" t="s">
        <v>13579</v>
      </c>
      <c r="ON795" s="770" t="s">
        <v>13263</v>
      </c>
      <c r="OO795" s="770" t="s">
        <v>1207</v>
      </c>
      <c r="OP795" s="770" t="s">
        <v>13548</v>
      </c>
      <c r="OQ795" s="770" t="s">
        <v>13579</v>
      </c>
      <c r="OR795" s="770" t="s">
        <v>13263</v>
      </c>
      <c r="OS795" s="770" t="s">
        <v>12885</v>
      </c>
      <c r="OT795" s="770" t="s">
        <v>13263</v>
      </c>
      <c r="OU795" s="770" t="s">
        <v>13579</v>
      </c>
      <c r="OV795" s="770" t="s">
        <v>1208</v>
      </c>
      <c r="OW795" s="770"/>
      <c r="OX795" s="770" t="s">
        <v>1208</v>
      </c>
      <c r="OY795" s="770"/>
      <c r="OZ795" s="770"/>
      <c r="PA795" s="770" t="s">
        <v>1208</v>
      </c>
      <c r="PB795" s="770"/>
      <c r="PC795" s="770"/>
      <c r="PD795" s="770"/>
      <c r="PE795" s="770"/>
      <c r="PF795" s="770" t="s">
        <v>1208</v>
      </c>
      <c r="PG795" s="770"/>
      <c r="PH795" s="770" t="s">
        <v>1208</v>
      </c>
      <c r="PI795" s="770"/>
      <c r="PJ795" s="770"/>
      <c r="PK795" s="770"/>
      <c r="PL795" s="770"/>
      <c r="PM795" s="770"/>
      <c r="PN795" s="770"/>
      <c r="PO795" s="770"/>
      <c r="PP795" s="770"/>
      <c r="PQ795" s="770"/>
      <c r="PR795" s="770"/>
      <c r="PS795" s="770"/>
      <c r="PT795" s="770"/>
      <c r="PU795" s="770"/>
      <c r="PV795" s="770"/>
      <c r="PW795" s="770"/>
      <c r="PX795" s="770"/>
      <c r="PY795" s="770"/>
      <c r="PZ795" s="770"/>
      <c r="QA795" s="770"/>
      <c r="QB795" s="770"/>
      <c r="QC795" s="770"/>
      <c r="QD795" s="770"/>
      <c r="QE795" s="770"/>
      <c r="QF795" s="770"/>
      <c r="QG795" s="770"/>
      <c r="QH795" s="770"/>
      <c r="QI795" s="770"/>
      <c r="QJ795" s="770"/>
      <c r="QK795" s="770"/>
      <c r="QL795" s="770"/>
      <c r="QM795" s="770"/>
      <c r="QN795" s="770"/>
      <c r="QO795" s="770"/>
      <c r="QP795" s="770"/>
      <c r="QQ795" s="770"/>
      <c r="QR795" s="770"/>
      <c r="QS795" s="770"/>
      <c r="QT795" s="770"/>
      <c r="QU795" s="770"/>
      <c r="QV795" s="770"/>
      <c r="QW795" s="770"/>
      <c r="QX795" s="770"/>
      <c r="QY795" s="770"/>
      <c r="QZ795" s="770"/>
      <c r="RA795" s="770"/>
      <c r="RB795" s="770" t="s">
        <v>1214</v>
      </c>
      <c r="RC795" s="770"/>
      <c r="RD795" s="770"/>
      <c r="RE795" s="770"/>
      <c r="RF795" s="304"/>
      <c r="RG795" s="770"/>
      <c r="RH795" s="306"/>
      <c r="RI795" s="770"/>
      <c r="RJ795" s="94" t="s">
        <v>14015</v>
      </c>
      <c r="RK795" s="770" t="s">
        <v>13544</v>
      </c>
      <c r="RL795" s="1710" t="s">
        <v>1604</v>
      </c>
      <c r="RM795" s="12"/>
      <c r="RN795" s="1711"/>
      <c r="RO795" s="149" t="s">
        <v>5105</v>
      </c>
      <c r="RP795" s="11"/>
      <c r="RQ795" s="11"/>
      <c r="RR795" s="311" t="s">
        <v>7421</v>
      </c>
      <c r="RS795" s="1139" t="s">
        <v>12980</v>
      </c>
      <c r="RT795" s="11"/>
      <c r="RU795" s="11"/>
      <c r="RV795" s="771" t="s">
        <v>7421</v>
      </c>
      <c r="RW795" s="11" t="s">
        <v>7473</v>
      </c>
      <c r="RX795" s="11" t="s">
        <v>5750</v>
      </c>
      <c r="RY795" s="11"/>
      <c r="RZ795" s="11" t="s">
        <v>2209</v>
      </c>
      <c r="SA795" s="771"/>
      <c r="SB795" s="11"/>
      <c r="SC795" s="11"/>
    </row>
    <row r="796" spans="1:497" ht="12.75" customHeight="1">
      <c r="A796" s="311" t="s">
        <v>14249</v>
      </c>
      <c r="B796" s="292" t="s">
        <v>7476</v>
      </c>
      <c r="C796" s="149" t="s">
        <v>5107</v>
      </c>
      <c r="D796" s="94" t="s">
        <v>5164</v>
      </c>
      <c r="E796" s="766" t="s">
        <v>5312</v>
      </c>
      <c r="F796" s="770" t="s">
        <v>42</v>
      </c>
      <c r="G796" s="770" t="s">
        <v>10</v>
      </c>
      <c r="H796" s="12"/>
      <c r="I796" s="295"/>
      <c r="J796" s="94" t="s">
        <v>5165</v>
      </c>
      <c r="K796" s="770"/>
      <c r="L796" s="770"/>
      <c r="M796" s="770" t="s">
        <v>1238</v>
      </c>
      <c r="N796" s="1757"/>
      <c r="O796" s="1757" t="s">
        <v>3255</v>
      </c>
      <c r="P796" s="94" t="s">
        <v>5166</v>
      </c>
      <c r="Q796" s="1088" t="s">
        <v>2769</v>
      </c>
      <c r="R796" s="297">
        <v>40</v>
      </c>
      <c r="S796" s="770" t="s">
        <v>18</v>
      </c>
      <c r="T796" s="770"/>
      <c r="U796" s="298"/>
      <c r="V796" s="770" t="s">
        <v>768</v>
      </c>
      <c r="W796" s="770"/>
      <c r="X796" s="770"/>
      <c r="Y796" s="770" t="s">
        <v>5149</v>
      </c>
      <c r="Z796" s="770" t="s">
        <v>708</v>
      </c>
      <c r="AA796" s="770" t="s">
        <v>709</v>
      </c>
      <c r="AB796" s="770" t="s">
        <v>710</v>
      </c>
      <c r="AC796" s="770" t="s">
        <v>724</v>
      </c>
      <c r="AD796" s="770" t="s">
        <v>711</v>
      </c>
      <c r="AE796" s="770"/>
      <c r="AF796" s="770" t="s">
        <v>712</v>
      </c>
      <c r="AG796" s="770"/>
      <c r="AH796" s="770"/>
      <c r="AI796" s="770"/>
      <c r="AJ796" s="770"/>
      <c r="AK796" s="770" t="s">
        <v>1101</v>
      </c>
      <c r="AL796" s="531"/>
      <c r="AM796" s="780"/>
      <c r="AN796" s="532"/>
      <c r="AO796" s="766"/>
      <c r="AP796" s="766"/>
      <c r="AQ796" s="766"/>
      <c r="AR796" s="766"/>
      <c r="AS796" s="770"/>
      <c r="AT796" s="770"/>
      <c r="AU796" s="770"/>
      <c r="AV796" s="770"/>
      <c r="AW796" s="770"/>
      <c r="AX796" s="770"/>
      <c r="AY796" s="770"/>
      <c r="AZ796" s="770"/>
      <c r="BA796" s="770"/>
      <c r="BB796" s="770"/>
      <c r="BC796" s="770"/>
      <c r="BD796" s="770"/>
      <c r="BE796" s="770"/>
      <c r="BF796" s="302"/>
      <c r="BG796" s="302"/>
      <c r="BH796" s="770"/>
      <c r="BI796" s="770"/>
      <c r="BJ796" s="770"/>
      <c r="BK796" s="766" t="s">
        <v>1095</v>
      </c>
      <c r="BL796" s="766" t="s">
        <v>5167</v>
      </c>
      <c r="BM796" s="766" t="s">
        <v>1096</v>
      </c>
      <c r="BN796" s="766" t="s">
        <v>1230</v>
      </c>
      <c r="BO796" s="766" t="s">
        <v>1246</v>
      </c>
      <c r="BP796" s="765">
        <v>15</v>
      </c>
      <c r="BQ796" s="772">
        <v>5</v>
      </c>
      <c r="BR796" s="774">
        <f t="shared" si="247"/>
        <v>0.33333333333333331</v>
      </c>
      <c r="BS796" s="766" t="s">
        <v>1149</v>
      </c>
      <c r="BT796" s="770" t="s">
        <v>1326</v>
      </c>
      <c r="BU796" s="770" t="s">
        <v>1249</v>
      </c>
      <c r="BV796" s="769"/>
      <c r="BW796" s="770">
        <v>1979</v>
      </c>
      <c r="BX796" s="302"/>
      <c r="BY796" s="770"/>
      <c r="BZ796" s="302"/>
      <c r="CA796" s="770"/>
      <c r="CB796" s="770"/>
      <c r="CC796" s="770"/>
      <c r="CD796" s="770"/>
      <c r="CE796" s="302"/>
      <c r="CF796" s="304"/>
      <c r="CG796" s="321"/>
      <c r="CH796" s="770"/>
      <c r="CI796" s="770"/>
      <c r="CJ796" s="770"/>
      <c r="CK796" s="770"/>
      <c r="CL796" s="770"/>
      <c r="CM796" s="770"/>
      <c r="CN796" s="770"/>
      <c r="CO796" s="770"/>
      <c r="CP796" s="770"/>
      <c r="CQ796" s="770"/>
      <c r="CR796" s="302"/>
      <c r="CS796" s="770"/>
      <c r="CT796" s="770"/>
      <c r="CU796" s="305"/>
      <c r="CV796" s="770"/>
      <c r="CW796" s="770"/>
      <c r="CX796" s="770"/>
      <c r="CY796" s="770"/>
      <c r="CZ796" s="770"/>
      <c r="DA796" s="306"/>
      <c r="DB796" s="770"/>
      <c r="DC796" s="770"/>
      <c r="DD796" s="770"/>
      <c r="DE796" s="300"/>
      <c r="DF796" s="770"/>
      <c r="DG796" s="770"/>
      <c r="DH796" s="770"/>
      <c r="DI796" s="770"/>
      <c r="DJ796" s="770"/>
      <c r="DK796" s="770"/>
      <c r="DL796" s="770"/>
      <c r="DM796" s="770"/>
      <c r="DN796" s="322"/>
      <c r="DO796" s="770"/>
      <c r="DP796" s="770"/>
      <c r="DQ796" s="770"/>
      <c r="DR796" s="770"/>
      <c r="DS796" s="307"/>
      <c r="DT796" s="770"/>
      <c r="DU796" s="770"/>
      <c r="DV796" s="770"/>
      <c r="DW796" s="306"/>
      <c r="DX796" s="306"/>
      <c r="DY796" s="1055"/>
      <c r="DZ796" s="770"/>
      <c r="EA796" s="770"/>
      <c r="EB796" s="770"/>
      <c r="EC796" s="770"/>
      <c r="ED796" s="770"/>
      <c r="EE796" s="770"/>
      <c r="EF796" s="770"/>
      <c r="EG796" s="770"/>
      <c r="EH796" s="770"/>
      <c r="EI796" s="770"/>
      <c r="EJ796" s="770"/>
      <c r="EK796" s="770"/>
      <c r="EL796" s="770"/>
      <c r="EM796" s="770"/>
      <c r="EN796" s="770"/>
      <c r="EO796" s="770"/>
      <c r="EP796" s="94"/>
      <c r="EQ796" s="770"/>
      <c r="ER796" s="770"/>
      <c r="ES796" s="770"/>
      <c r="ET796" s="770"/>
      <c r="EU796" s="770"/>
      <c r="EV796" s="770"/>
      <c r="EW796" s="770"/>
      <c r="EX796" s="770"/>
      <c r="EY796" s="770"/>
      <c r="EZ796" s="770"/>
      <c r="FA796" s="770"/>
      <c r="FB796" s="770"/>
      <c r="FC796" s="770"/>
      <c r="FD796" s="302"/>
      <c r="FE796" s="770"/>
      <c r="FF796" s="770"/>
      <c r="FG796" s="770"/>
      <c r="FH796" s="770" t="s">
        <v>478</v>
      </c>
      <c r="FI796" s="770">
        <v>1</v>
      </c>
      <c r="FJ796" s="770"/>
      <c r="FK796" s="770"/>
      <c r="FL796" s="770"/>
      <c r="FM796" s="302"/>
      <c r="FN796" s="302"/>
      <c r="FO796" s="302"/>
      <c r="FP796" s="766" t="s">
        <v>1602</v>
      </c>
      <c r="FQ796" s="766" t="s">
        <v>1660</v>
      </c>
      <c r="FR796" s="770" t="s">
        <v>1214</v>
      </c>
      <c r="FS796" s="770"/>
      <c r="FT796" s="770"/>
      <c r="FU796" s="770"/>
      <c r="FV796" s="770"/>
      <c r="FW796" s="770"/>
      <c r="FX796" s="770"/>
      <c r="FY796" s="770"/>
      <c r="FZ796" s="770"/>
      <c r="GA796" s="770"/>
      <c r="GB796" s="770" t="s">
        <v>1734</v>
      </c>
      <c r="GC796" s="308"/>
      <c r="GD796" s="297">
        <v>1979</v>
      </c>
      <c r="GE796" s="770" t="s">
        <v>1214</v>
      </c>
      <c r="GF796" s="302"/>
      <c r="GG796" s="302"/>
      <c r="GH796" s="712" t="s">
        <v>1791</v>
      </c>
      <c r="GI796" s="770" t="s">
        <v>1008</v>
      </c>
      <c r="GJ796" s="770" t="s">
        <v>3209</v>
      </c>
      <c r="GK796" s="770" t="s">
        <v>3334</v>
      </c>
      <c r="GL796" s="770"/>
      <c r="GM796" s="770"/>
      <c r="GN796" s="299">
        <v>600</v>
      </c>
      <c r="GO796" s="770"/>
      <c r="GP796" s="770" t="s">
        <v>1208</v>
      </c>
      <c r="GQ796" s="770" t="s">
        <v>1208</v>
      </c>
      <c r="GR796" s="770"/>
      <c r="GS796" s="770"/>
      <c r="GT796" s="770"/>
      <c r="GU796" s="770"/>
      <c r="GV796" s="770"/>
      <c r="GW796" s="770" t="s">
        <v>1207</v>
      </c>
      <c r="GX796" s="770"/>
      <c r="GY796" s="770"/>
      <c r="GZ796" s="770"/>
      <c r="HA796" s="770" t="s">
        <v>1208</v>
      </c>
      <c r="HB796" s="770"/>
      <c r="HC796" s="770"/>
      <c r="HD796" s="770" t="s">
        <v>1208</v>
      </c>
      <c r="HE796" s="770" t="s">
        <v>1208</v>
      </c>
      <c r="HF796" s="770"/>
      <c r="HG796" s="770"/>
      <c r="HH796" s="770"/>
      <c r="HI796" s="770" t="s">
        <v>1214</v>
      </c>
      <c r="HJ796" s="770"/>
      <c r="HK796" s="770"/>
      <c r="HL796" s="770" t="s">
        <v>1214</v>
      </c>
      <c r="HM796" s="770"/>
      <c r="HN796" s="770"/>
      <c r="HO796" s="770"/>
      <c r="HP796" s="770"/>
      <c r="HQ796" s="770"/>
      <c r="HR796" s="770"/>
      <c r="HS796" s="770"/>
      <c r="HT796" s="770"/>
      <c r="HU796" s="770"/>
      <c r="HV796" s="770"/>
      <c r="HW796" s="770"/>
      <c r="HX796" s="770"/>
      <c r="HY796" s="770"/>
      <c r="HZ796" s="770"/>
      <c r="IA796" s="770"/>
      <c r="IB796" s="14" t="e">
        <f>IF(#REF!&gt;0,IF(#REF!&lt;=10000,"Y",""),"")</f>
        <v>#REF!</v>
      </c>
      <c r="IC796" s="770"/>
      <c r="ID796" s="770"/>
      <c r="IE796" s="770"/>
      <c r="IF796" s="770"/>
      <c r="IG796" s="770"/>
      <c r="IH796" s="770"/>
      <c r="II796" s="770"/>
      <c r="IJ796" s="770"/>
      <c r="IK796" s="770"/>
      <c r="IL796" s="770"/>
      <c r="IM796" s="770"/>
      <c r="IN796" s="770"/>
      <c r="IO796" s="296"/>
      <c r="IP796" s="770"/>
      <c r="IQ796" s="770"/>
      <c r="IR796" s="770"/>
      <c r="IS796" s="770"/>
      <c r="IT796" s="770"/>
      <c r="IU796" s="770"/>
      <c r="IV796" s="770"/>
      <c r="IW796" s="770"/>
      <c r="IX796" s="770"/>
      <c r="IY796" s="770"/>
      <c r="IZ796" s="770"/>
      <c r="JA796" s="770"/>
      <c r="JB796" s="770"/>
      <c r="JC796" s="770"/>
      <c r="JD796" s="302"/>
      <c r="JE796" s="770"/>
      <c r="JF796" s="770"/>
      <c r="JG796" s="770"/>
      <c r="JH796" s="307"/>
      <c r="JI796" s="307"/>
      <c r="JJ796" s="770">
        <v>4</v>
      </c>
      <c r="JK796" s="1139" t="s">
        <v>5109</v>
      </c>
      <c r="JL796" s="770"/>
      <c r="JM796" s="770"/>
      <c r="JN796" s="770">
        <v>2</v>
      </c>
      <c r="JO796" s="770">
        <v>2</v>
      </c>
      <c r="JP796" s="770"/>
      <c r="JQ796" s="770"/>
      <c r="JR796" s="770"/>
      <c r="JS796" s="770"/>
      <c r="JT796" s="766">
        <f t="shared" si="248"/>
        <v>2</v>
      </c>
      <c r="JU796" s="766">
        <f t="shared" si="248"/>
        <v>2</v>
      </c>
      <c r="JV796" s="712" t="str">
        <f t="shared" si="250"/>
        <v>ok</v>
      </c>
      <c r="JW796" s="712" t="str">
        <f t="shared" si="251"/>
        <v>ok</v>
      </c>
      <c r="JX796" s="770"/>
      <c r="JY796" s="770"/>
      <c r="JZ796" s="770"/>
      <c r="KA796" s="770"/>
      <c r="KB796" s="770">
        <v>2</v>
      </c>
      <c r="KC796" s="770">
        <v>1</v>
      </c>
      <c r="KD796" s="770"/>
      <c r="KE796" s="770">
        <v>1</v>
      </c>
      <c r="KF796" s="770"/>
      <c r="KG796" s="770"/>
      <c r="KH796" s="770"/>
      <c r="KI796" s="770"/>
      <c r="KJ796" s="770">
        <f t="shared" si="249"/>
        <v>2</v>
      </c>
      <c r="KK796" s="770">
        <f t="shared" si="249"/>
        <v>2</v>
      </c>
      <c r="KL796" s="712" t="str">
        <f t="shared" si="252"/>
        <v>ok</v>
      </c>
      <c r="KM796" s="712" t="str">
        <f t="shared" si="253"/>
        <v>ok</v>
      </c>
      <c r="KN796" s="770" t="s">
        <v>783</v>
      </c>
      <c r="KO796" s="770"/>
      <c r="KP796" s="770"/>
      <c r="KQ796" s="770"/>
      <c r="KR796" s="770"/>
      <c r="KS796" s="770"/>
      <c r="KT796" s="770"/>
      <c r="KU796" s="770"/>
      <c r="KV796" s="770"/>
      <c r="KW796" s="770"/>
      <c r="KX796" s="770">
        <v>1</v>
      </c>
      <c r="KY796" s="770">
        <v>1</v>
      </c>
      <c r="KZ796" s="770">
        <v>1</v>
      </c>
      <c r="LA796" s="770">
        <v>1</v>
      </c>
      <c r="LB796" s="770"/>
      <c r="LC796" s="770"/>
      <c r="LD796" s="770"/>
      <c r="LE796" s="770"/>
      <c r="LF796" s="770"/>
      <c r="LG796" s="770"/>
      <c r="LH796" s="770"/>
      <c r="LI796" s="770"/>
      <c r="LJ796" s="770"/>
      <c r="LK796" s="770"/>
      <c r="LL796" s="770"/>
      <c r="LM796" s="770"/>
      <c r="LN796" s="766">
        <f t="shared" si="230"/>
        <v>2</v>
      </c>
      <c r="LO796" s="766">
        <f t="shared" si="230"/>
        <v>2</v>
      </c>
      <c r="LP796" s="766">
        <f>SUM(LN796,LJ796,LH796,LF796,LD796,LB796,KZ796,KX796,KV796,KT796,KR796)</f>
        <v>4</v>
      </c>
      <c r="LQ796" s="770">
        <v>2</v>
      </c>
      <c r="LR796" s="770"/>
      <c r="LS796" s="770"/>
      <c r="LT796" s="712" t="str">
        <f t="shared" si="254"/>
        <v>OK</v>
      </c>
      <c r="LU796" s="770"/>
      <c r="LV796" s="770"/>
      <c r="LW796" s="770">
        <v>2</v>
      </c>
      <c r="LX796" s="769">
        <v>3</v>
      </c>
      <c r="LY796" s="766" t="str">
        <f t="shared" si="231"/>
        <v>within the PROVINCE</v>
      </c>
      <c r="LZ796" s="1709">
        <f>SUM(400,500)</f>
        <v>900</v>
      </c>
      <c r="MA796" s="1709"/>
      <c r="MB796" s="1709"/>
      <c r="MC796" s="1679">
        <f t="shared" si="229"/>
        <v>900</v>
      </c>
      <c r="MD796" s="1709">
        <f>SUM(3500,3500)</f>
        <v>7000</v>
      </c>
      <c r="ME796" s="1709"/>
      <c r="MF796" s="1709"/>
      <c r="MG796" s="1680">
        <f t="shared" si="255"/>
        <v>7000</v>
      </c>
      <c r="MH796" s="770" t="s">
        <v>5142</v>
      </c>
      <c r="MI796" s="302">
        <v>4500</v>
      </c>
      <c r="MJ796" s="302">
        <v>3900</v>
      </c>
      <c r="MK796" s="302">
        <v>2100</v>
      </c>
      <c r="ML796" s="302">
        <v>200</v>
      </c>
      <c r="MM796" s="302">
        <v>400</v>
      </c>
      <c r="MN796" s="302"/>
      <c r="MO796" s="302"/>
      <c r="MP796" s="302"/>
      <c r="MQ796" s="302"/>
      <c r="MR796" s="302"/>
      <c r="MS796" s="302">
        <v>300</v>
      </c>
      <c r="MT796" s="302"/>
      <c r="MU796" s="302"/>
      <c r="MV796" s="302"/>
      <c r="MW796" s="302"/>
      <c r="MX796" s="302"/>
      <c r="MY796" s="1682">
        <f t="shared" si="243"/>
        <v>11400</v>
      </c>
      <c r="MZ796" s="770" t="s">
        <v>1835</v>
      </c>
      <c r="NA796" s="770" t="s">
        <v>13585</v>
      </c>
      <c r="NB796" s="770" t="s">
        <v>13151</v>
      </c>
      <c r="NC796" s="770" t="s">
        <v>13602</v>
      </c>
      <c r="ND796" s="770">
        <v>0</v>
      </c>
      <c r="NE796" s="770">
        <v>0</v>
      </c>
      <c r="NF796" s="770">
        <v>0</v>
      </c>
      <c r="NG796" s="770">
        <v>1</v>
      </c>
      <c r="NH796" s="770">
        <v>1</v>
      </c>
      <c r="NI796" s="770">
        <v>0</v>
      </c>
      <c r="NJ796" s="770">
        <v>0</v>
      </c>
      <c r="NK796" s="770">
        <v>0</v>
      </c>
      <c r="NL796" s="770">
        <v>0</v>
      </c>
      <c r="NM796" s="770">
        <v>1</v>
      </c>
      <c r="NN796" s="770">
        <v>0</v>
      </c>
      <c r="NO796" s="770">
        <v>0</v>
      </c>
      <c r="NP796" s="770">
        <v>0</v>
      </c>
      <c r="NQ796" s="770">
        <v>0</v>
      </c>
      <c r="NR796" s="770">
        <v>0</v>
      </c>
      <c r="NS796" s="770">
        <v>0</v>
      </c>
      <c r="NT796" s="770">
        <v>0</v>
      </c>
      <c r="NU796" s="770">
        <v>0</v>
      </c>
      <c r="NV796" s="770">
        <v>0</v>
      </c>
      <c r="NW796" s="770">
        <v>0</v>
      </c>
      <c r="NX796" s="770">
        <v>0</v>
      </c>
      <c r="NY796" s="770" t="s">
        <v>1208</v>
      </c>
      <c r="NZ796" s="770" t="s">
        <v>1208</v>
      </c>
      <c r="OA796" s="770"/>
      <c r="OB796" s="770"/>
      <c r="OC796" s="770" t="s">
        <v>1208</v>
      </c>
      <c r="OD796" s="770"/>
      <c r="OE796" s="770"/>
      <c r="OF796" s="770"/>
      <c r="OG796" s="770"/>
      <c r="OH796" s="770"/>
      <c r="OI796" s="770"/>
      <c r="OJ796" s="770"/>
      <c r="OK796" s="770"/>
      <c r="OL796" s="770"/>
      <c r="OM796" s="770"/>
      <c r="ON796" s="770"/>
      <c r="OO796" s="770"/>
      <c r="OP796" s="770"/>
      <c r="OQ796" s="770"/>
      <c r="OR796" s="770"/>
      <c r="OS796" s="770"/>
      <c r="OT796" s="770"/>
      <c r="OU796" s="770"/>
      <c r="OV796" s="770"/>
      <c r="OW796" s="770"/>
      <c r="OX796" s="770"/>
      <c r="OY796" s="770"/>
      <c r="OZ796" s="770"/>
      <c r="PA796" s="770"/>
      <c r="PB796" s="770"/>
      <c r="PC796" s="770"/>
      <c r="PD796" s="770"/>
      <c r="PE796" s="770"/>
      <c r="PF796" s="770"/>
      <c r="PG796" s="770"/>
      <c r="PH796" s="770"/>
      <c r="PI796" s="770"/>
      <c r="PJ796" s="770"/>
      <c r="PK796" s="770"/>
      <c r="PL796" s="770"/>
      <c r="PM796" s="770"/>
      <c r="PN796" s="770"/>
      <c r="PO796" s="770"/>
      <c r="PP796" s="770"/>
      <c r="PQ796" s="770"/>
      <c r="PR796" s="770"/>
      <c r="PS796" s="770"/>
      <c r="PT796" s="770"/>
      <c r="PU796" s="770"/>
      <c r="PV796" s="770"/>
      <c r="PW796" s="770"/>
      <c r="PX796" s="770"/>
      <c r="PY796" s="770"/>
      <c r="PZ796" s="770"/>
      <c r="QA796" s="770"/>
      <c r="QB796" s="770"/>
      <c r="QC796" s="770"/>
      <c r="QD796" s="770"/>
      <c r="QE796" s="770"/>
      <c r="QF796" s="770"/>
      <c r="QG796" s="770"/>
      <c r="QH796" s="770"/>
      <c r="QI796" s="770"/>
      <c r="QJ796" s="770"/>
      <c r="QK796" s="770"/>
      <c r="QL796" s="770"/>
      <c r="QM796" s="770"/>
      <c r="QN796" s="770"/>
      <c r="QO796" s="770"/>
      <c r="QP796" s="770"/>
      <c r="QQ796" s="770"/>
      <c r="QR796" s="770"/>
      <c r="QS796" s="770"/>
      <c r="QT796" s="770"/>
      <c r="QU796" s="770"/>
      <c r="QV796" s="770"/>
      <c r="QW796" s="770"/>
      <c r="QX796" s="770"/>
      <c r="QY796" s="770"/>
      <c r="QZ796" s="770"/>
      <c r="RA796" s="770"/>
      <c r="RB796" s="770" t="s">
        <v>1214</v>
      </c>
      <c r="RC796" s="770"/>
      <c r="RD796" s="770"/>
      <c r="RE796" s="770"/>
      <c r="RF796" s="304"/>
      <c r="RG796" s="770"/>
      <c r="RH796" s="306"/>
      <c r="RI796" s="770"/>
      <c r="RJ796" s="94" t="s">
        <v>5110</v>
      </c>
      <c r="RK796" s="770" t="s">
        <v>13550</v>
      </c>
      <c r="RL796" s="1710">
        <v>42851</v>
      </c>
      <c r="RM796" s="12"/>
      <c r="RN796" s="1711"/>
      <c r="RO796" s="149" t="s">
        <v>5107</v>
      </c>
      <c r="RP796" s="11"/>
      <c r="RQ796" s="11"/>
      <c r="RR796" s="311" t="s">
        <v>7421</v>
      </c>
      <c r="RS796" s="1139" t="s">
        <v>12980</v>
      </c>
      <c r="RT796" s="11"/>
      <c r="RU796" s="11"/>
      <c r="RV796" s="771" t="s">
        <v>7421</v>
      </c>
      <c r="RW796" s="11" t="s">
        <v>7474</v>
      </c>
      <c r="RX796" s="11" t="s">
        <v>5103</v>
      </c>
      <c r="RY796" s="11"/>
      <c r="RZ796" s="11" t="s">
        <v>2209</v>
      </c>
      <c r="SA796" s="771"/>
      <c r="SB796" s="11"/>
      <c r="SC796" s="11"/>
    </row>
    <row r="797" spans="1:497" ht="12.75" customHeight="1">
      <c r="A797" s="311" t="s">
        <v>14249</v>
      </c>
      <c r="B797" s="292" t="s">
        <v>7912</v>
      </c>
      <c r="C797" s="149" t="s">
        <v>5111</v>
      </c>
      <c r="D797" s="94" t="s">
        <v>5168</v>
      </c>
      <c r="E797" s="766" t="s">
        <v>5312</v>
      </c>
      <c r="F797" s="770" t="s">
        <v>20</v>
      </c>
      <c r="G797" s="770" t="s">
        <v>18</v>
      </c>
      <c r="H797" s="12"/>
      <c r="I797" s="295" t="s">
        <v>5169</v>
      </c>
      <c r="J797" s="94" t="s">
        <v>5170</v>
      </c>
      <c r="K797" s="770"/>
      <c r="L797" s="770"/>
      <c r="M797" s="770" t="s">
        <v>1238</v>
      </c>
      <c r="N797" s="1757"/>
      <c r="O797" s="1757" t="s">
        <v>3255</v>
      </c>
      <c r="P797" s="94" t="s">
        <v>5171</v>
      </c>
      <c r="Q797" s="1088">
        <v>25717</v>
      </c>
      <c r="R797" s="297">
        <v>46</v>
      </c>
      <c r="S797" s="770" t="s">
        <v>10</v>
      </c>
      <c r="T797" s="770"/>
      <c r="U797" s="298"/>
      <c r="V797" s="770" t="s">
        <v>707</v>
      </c>
      <c r="W797" s="770"/>
      <c r="X797" s="770"/>
      <c r="Y797" s="770" t="s">
        <v>5149</v>
      </c>
      <c r="Z797" s="770" t="s">
        <v>708</v>
      </c>
      <c r="AA797" s="770" t="s">
        <v>709</v>
      </c>
      <c r="AB797" s="770" t="s">
        <v>710</v>
      </c>
      <c r="AC797" s="770"/>
      <c r="AD797" s="770" t="s">
        <v>937</v>
      </c>
      <c r="AE797" s="770"/>
      <c r="AF797" s="770" t="s">
        <v>712</v>
      </c>
      <c r="AG797" s="770"/>
      <c r="AH797" s="770"/>
      <c r="AI797" s="770"/>
      <c r="AJ797" s="770"/>
      <c r="AK797" s="770" t="s">
        <v>1101</v>
      </c>
      <c r="AL797" s="531"/>
      <c r="AM797" s="780"/>
      <c r="AN797" s="532"/>
      <c r="AO797" s="766"/>
      <c r="AP797" s="766"/>
      <c r="AQ797" s="766"/>
      <c r="AR797" s="766"/>
      <c r="AS797" s="770"/>
      <c r="AT797" s="770"/>
      <c r="AU797" s="770"/>
      <c r="AV797" s="770"/>
      <c r="AW797" s="770"/>
      <c r="AX797" s="770"/>
      <c r="AY797" s="770"/>
      <c r="AZ797" s="770"/>
      <c r="BA797" s="770"/>
      <c r="BB797" s="770"/>
      <c r="BC797" s="770"/>
      <c r="BD797" s="770"/>
      <c r="BE797" s="770"/>
      <c r="BF797" s="302"/>
      <c r="BG797" s="302"/>
      <c r="BH797" s="770"/>
      <c r="BI797" s="770"/>
      <c r="BJ797" s="770"/>
      <c r="BK797" s="766" t="s">
        <v>1095</v>
      </c>
      <c r="BL797" s="766" t="s">
        <v>5172</v>
      </c>
      <c r="BM797" s="766" t="s">
        <v>1096</v>
      </c>
      <c r="BN797" s="766" t="s">
        <v>1230</v>
      </c>
      <c r="BO797" s="766" t="s">
        <v>1246</v>
      </c>
      <c r="BP797" s="765">
        <v>7.5</v>
      </c>
      <c r="BQ797" s="773">
        <v>3</v>
      </c>
      <c r="BR797" s="774">
        <f t="shared" si="247"/>
        <v>0.4</v>
      </c>
      <c r="BS797" s="766" t="s">
        <v>1149</v>
      </c>
      <c r="BT797" s="766" t="s">
        <v>8133</v>
      </c>
      <c r="BU797" s="770" t="s">
        <v>1249</v>
      </c>
      <c r="BV797" s="769"/>
      <c r="BW797" s="770">
        <v>1979</v>
      </c>
      <c r="BX797" s="302"/>
      <c r="BY797" s="770"/>
      <c r="BZ797" s="302"/>
      <c r="CA797" s="770"/>
      <c r="CB797" s="770"/>
      <c r="CC797" s="770"/>
      <c r="CD797" s="770"/>
      <c r="CE797" s="302"/>
      <c r="CF797" s="304"/>
      <c r="CG797" s="321"/>
      <c r="CH797" s="770"/>
      <c r="CI797" s="770"/>
      <c r="CJ797" s="770"/>
      <c r="CK797" s="770"/>
      <c r="CL797" s="770"/>
      <c r="CM797" s="770"/>
      <c r="CN797" s="770"/>
      <c r="CO797" s="770"/>
      <c r="CP797" s="770"/>
      <c r="CQ797" s="770"/>
      <c r="CR797" s="302"/>
      <c r="CS797" s="770"/>
      <c r="CT797" s="770"/>
      <c r="CU797" s="305"/>
      <c r="CV797" s="770"/>
      <c r="CW797" s="770"/>
      <c r="CX797" s="770"/>
      <c r="CY797" s="770"/>
      <c r="CZ797" s="770"/>
      <c r="DA797" s="306"/>
      <c r="DB797" s="770"/>
      <c r="DC797" s="770"/>
      <c r="DD797" s="770"/>
      <c r="DE797" s="300"/>
      <c r="DF797" s="770"/>
      <c r="DG797" s="770"/>
      <c r="DH797" s="770"/>
      <c r="DI797" s="770"/>
      <c r="DJ797" s="770"/>
      <c r="DK797" s="770"/>
      <c r="DL797" s="770"/>
      <c r="DM797" s="770"/>
      <c r="DN797" s="322"/>
      <c r="DO797" s="770"/>
      <c r="DP797" s="770"/>
      <c r="DQ797" s="770"/>
      <c r="DR797" s="770"/>
      <c r="DS797" s="307"/>
      <c r="DT797" s="770"/>
      <c r="DU797" s="770"/>
      <c r="DV797" s="770"/>
      <c r="DW797" s="306"/>
      <c r="DX797" s="306"/>
      <c r="DY797" s="1055"/>
      <c r="DZ797" s="770"/>
      <c r="EA797" s="770"/>
      <c r="EB797" s="770"/>
      <c r="EC797" s="770"/>
      <c r="ED797" s="770"/>
      <c r="EE797" s="770"/>
      <c r="EF797" s="770"/>
      <c r="EG797" s="770"/>
      <c r="EH797" s="770"/>
      <c r="EI797" s="770"/>
      <c r="EJ797" s="770"/>
      <c r="EK797" s="770"/>
      <c r="EL797" s="770"/>
      <c r="EM797" s="770"/>
      <c r="EN797" s="770"/>
      <c r="EO797" s="770"/>
      <c r="EP797" s="94"/>
      <c r="EQ797" s="770"/>
      <c r="ER797" s="770"/>
      <c r="ES797" s="770"/>
      <c r="ET797" s="770"/>
      <c r="EU797" s="770"/>
      <c r="EV797" s="770"/>
      <c r="EW797" s="770"/>
      <c r="EX797" s="770"/>
      <c r="EY797" s="770"/>
      <c r="EZ797" s="770"/>
      <c r="FA797" s="770"/>
      <c r="FB797" s="770"/>
      <c r="FC797" s="770"/>
      <c r="FD797" s="302"/>
      <c r="FE797" s="770"/>
      <c r="FF797" s="770"/>
      <c r="FG797" s="770"/>
      <c r="FH797" s="770" t="s">
        <v>478</v>
      </c>
      <c r="FI797" s="770">
        <v>1</v>
      </c>
      <c r="FJ797" s="770"/>
      <c r="FK797" s="770"/>
      <c r="FL797" s="770"/>
      <c r="FM797" s="302"/>
      <c r="FN797" s="302"/>
      <c r="FO797" s="302"/>
      <c r="FP797" s="766" t="s">
        <v>1602</v>
      </c>
      <c r="FQ797" s="766" t="s">
        <v>1660</v>
      </c>
      <c r="FR797" s="770" t="s">
        <v>1214</v>
      </c>
      <c r="FS797" s="770"/>
      <c r="FT797" s="770"/>
      <c r="FU797" s="770"/>
      <c r="FV797" s="770"/>
      <c r="FW797" s="770"/>
      <c r="FX797" s="770"/>
      <c r="FY797" s="770"/>
      <c r="FZ797" s="770"/>
      <c r="GA797" s="770"/>
      <c r="GB797" s="770" t="s">
        <v>1734</v>
      </c>
      <c r="GC797" s="308"/>
      <c r="GD797" s="297">
        <v>1979</v>
      </c>
      <c r="GE797" s="770" t="s">
        <v>1214</v>
      </c>
      <c r="GF797" s="302"/>
      <c r="GG797" s="302"/>
      <c r="GH797" s="712" t="s">
        <v>1791</v>
      </c>
      <c r="GI797" s="770" t="s">
        <v>1008</v>
      </c>
      <c r="GJ797" s="770" t="s">
        <v>3209</v>
      </c>
      <c r="GK797" s="770" t="s">
        <v>2335</v>
      </c>
      <c r="GL797" s="770"/>
      <c r="GM797" s="770"/>
      <c r="GN797" s="299">
        <f>4500/30</f>
        <v>150</v>
      </c>
      <c r="GO797" s="770"/>
      <c r="GP797" s="770" t="s">
        <v>1208</v>
      </c>
      <c r="GQ797" s="770"/>
      <c r="GR797" s="770"/>
      <c r="GS797" s="770"/>
      <c r="GT797" s="770"/>
      <c r="GU797" s="770"/>
      <c r="GV797" s="770"/>
      <c r="GW797" s="770" t="s">
        <v>1207</v>
      </c>
      <c r="GX797" s="770"/>
      <c r="GY797" s="770" t="s">
        <v>1208</v>
      </c>
      <c r="GZ797" s="770" t="s">
        <v>1208</v>
      </c>
      <c r="HA797" s="770" t="s">
        <v>1208</v>
      </c>
      <c r="HB797" s="770"/>
      <c r="HC797" s="770"/>
      <c r="HD797" s="770"/>
      <c r="HE797" s="770" t="s">
        <v>1208</v>
      </c>
      <c r="HF797" s="770"/>
      <c r="HG797" s="770"/>
      <c r="HH797" s="770"/>
      <c r="HI797" s="770" t="s">
        <v>1214</v>
      </c>
      <c r="HJ797" s="770"/>
      <c r="HK797" s="770"/>
      <c r="HL797" s="770" t="s">
        <v>1214</v>
      </c>
      <c r="HM797" s="770"/>
      <c r="HN797" s="770"/>
      <c r="HO797" s="770"/>
      <c r="HP797" s="770"/>
      <c r="HQ797" s="770"/>
      <c r="HR797" s="770"/>
      <c r="HS797" s="770"/>
      <c r="HT797" s="770"/>
      <c r="HU797" s="770"/>
      <c r="HV797" s="770"/>
      <c r="HW797" s="770"/>
      <c r="HX797" s="770"/>
      <c r="HY797" s="770"/>
      <c r="HZ797" s="770"/>
      <c r="IA797" s="770"/>
      <c r="IB797" s="14" t="e">
        <f>IF(#REF!&gt;0,IF(#REF!&lt;=10000,"Y",""),"")</f>
        <v>#REF!</v>
      </c>
      <c r="IC797" s="770"/>
      <c r="ID797" s="770"/>
      <c r="IE797" s="770">
        <v>1</v>
      </c>
      <c r="IF797" s="770"/>
      <c r="IG797" s="770"/>
      <c r="IH797" s="770"/>
      <c r="II797" s="770"/>
      <c r="IJ797" s="770"/>
      <c r="IK797" s="770"/>
      <c r="IL797" s="770"/>
      <c r="IM797" s="770"/>
      <c r="IN797" s="770"/>
      <c r="IO797" s="296"/>
      <c r="IP797" s="770"/>
      <c r="IQ797" s="770"/>
      <c r="IR797" s="770"/>
      <c r="IS797" s="770"/>
      <c r="IT797" s="770"/>
      <c r="IU797" s="770"/>
      <c r="IV797" s="770"/>
      <c r="IW797" s="770"/>
      <c r="IX797" s="770"/>
      <c r="IY797" s="770"/>
      <c r="IZ797" s="770"/>
      <c r="JA797" s="770"/>
      <c r="JB797" s="770"/>
      <c r="JC797" s="770"/>
      <c r="JD797" s="302"/>
      <c r="JE797" s="770"/>
      <c r="JF797" s="770"/>
      <c r="JG797" s="770"/>
      <c r="JH797" s="307"/>
      <c r="JI797" s="307"/>
      <c r="JJ797" s="770">
        <v>8</v>
      </c>
      <c r="JK797" s="1139" t="s">
        <v>5112</v>
      </c>
      <c r="JL797" s="770">
        <v>1</v>
      </c>
      <c r="JM797" s="770">
        <v>1</v>
      </c>
      <c r="JN797" s="770">
        <v>2</v>
      </c>
      <c r="JO797" s="770">
        <v>4</v>
      </c>
      <c r="JP797" s="770"/>
      <c r="JQ797" s="770"/>
      <c r="JR797" s="770"/>
      <c r="JS797" s="770"/>
      <c r="JT797" s="766">
        <f t="shared" si="248"/>
        <v>3</v>
      </c>
      <c r="JU797" s="766">
        <f t="shared" si="248"/>
        <v>5</v>
      </c>
      <c r="JV797" s="712" t="str">
        <f t="shared" si="250"/>
        <v>ok</v>
      </c>
      <c r="JW797" s="712" t="str">
        <f t="shared" si="251"/>
        <v>ok</v>
      </c>
      <c r="JX797" s="770"/>
      <c r="JY797" s="770"/>
      <c r="JZ797" s="770">
        <v>1</v>
      </c>
      <c r="KA797" s="770">
        <v>1</v>
      </c>
      <c r="KB797" s="770">
        <v>1</v>
      </c>
      <c r="KC797" s="770">
        <v>3</v>
      </c>
      <c r="KD797" s="770">
        <v>1</v>
      </c>
      <c r="KE797" s="770">
        <v>1</v>
      </c>
      <c r="KF797" s="770"/>
      <c r="KG797" s="770"/>
      <c r="KH797" s="770"/>
      <c r="KI797" s="770"/>
      <c r="KJ797" s="770">
        <f t="shared" si="249"/>
        <v>3</v>
      </c>
      <c r="KK797" s="770">
        <f t="shared" si="249"/>
        <v>5</v>
      </c>
      <c r="KL797" s="712" t="str">
        <f t="shared" si="252"/>
        <v>ok</v>
      </c>
      <c r="KM797" s="712" t="str">
        <f t="shared" si="253"/>
        <v>ok</v>
      </c>
      <c r="KN797" s="770" t="s">
        <v>707</v>
      </c>
      <c r="KO797" s="770"/>
      <c r="KP797" s="770"/>
      <c r="KQ797" s="770"/>
      <c r="KR797" s="770"/>
      <c r="KS797" s="770"/>
      <c r="KT797" s="770">
        <v>2</v>
      </c>
      <c r="KU797" s="770">
        <v>2</v>
      </c>
      <c r="KV797" s="770"/>
      <c r="KW797" s="770"/>
      <c r="KX797" s="770">
        <v>1</v>
      </c>
      <c r="KY797" s="770">
        <v>2</v>
      </c>
      <c r="KZ797" s="770"/>
      <c r="LA797" s="770"/>
      <c r="LB797" s="770"/>
      <c r="LC797" s="770">
        <v>1</v>
      </c>
      <c r="LD797" s="770"/>
      <c r="LE797" s="770"/>
      <c r="LF797" s="770"/>
      <c r="LG797" s="770"/>
      <c r="LH797" s="770"/>
      <c r="LI797" s="770"/>
      <c r="LJ797" s="770"/>
      <c r="LK797" s="770"/>
      <c r="LL797" s="770"/>
      <c r="LM797" s="770"/>
      <c r="LN797" s="766">
        <f t="shared" si="230"/>
        <v>3</v>
      </c>
      <c r="LO797" s="766">
        <f t="shared" si="230"/>
        <v>5</v>
      </c>
      <c r="LP797" s="770">
        <v>2</v>
      </c>
      <c r="LQ797" s="770">
        <v>2</v>
      </c>
      <c r="LR797" s="770"/>
      <c r="LS797" s="770"/>
      <c r="LT797" s="712" t="str">
        <f t="shared" si="254"/>
        <v>OK</v>
      </c>
      <c r="LU797" s="770"/>
      <c r="LV797" s="770">
        <v>2</v>
      </c>
      <c r="LW797" s="770"/>
      <c r="LX797" s="769">
        <v>3</v>
      </c>
      <c r="LY797" s="766" t="str">
        <f t="shared" si="231"/>
        <v>within the PROVINCE</v>
      </c>
      <c r="LZ797" s="1709">
        <f>SUM(3000,1500)</f>
        <v>4500</v>
      </c>
      <c r="MA797" s="1709"/>
      <c r="MB797" s="1709"/>
      <c r="MC797" s="1679">
        <f t="shared" si="229"/>
        <v>4500</v>
      </c>
      <c r="MD797" s="1709">
        <f>SUM(8000,12000)</f>
        <v>20000</v>
      </c>
      <c r="ME797" s="1709"/>
      <c r="MF797" s="1709"/>
      <c r="MG797" s="1680">
        <f t="shared" si="255"/>
        <v>20000</v>
      </c>
      <c r="MH797" s="770" t="s">
        <v>2215</v>
      </c>
      <c r="MI797" s="302">
        <v>9000</v>
      </c>
      <c r="MJ797" s="302">
        <v>4950</v>
      </c>
      <c r="MK797" s="302">
        <v>3000</v>
      </c>
      <c r="ML797" s="302"/>
      <c r="MM797" s="302"/>
      <c r="MN797" s="302"/>
      <c r="MO797" s="302"/>
      <c r="MP797" s="302">
        <v>300</v>
      </c>
      <c r="MQ797" s="302"/>
      <c r="MR797" s="302"/>
      <c r="MS797" s="302">
        <v>300</v>
      </c>
      <c r="MT797" s="302">
        <v>600</v>
      </c>
      <c r="MU797" s="302"/>
      <c r="MV797" s="302"/>
      <c r="MW797" s="302"/>
      <c r="MX797" s="302"/>
      <c r="MY797" s="1682">
        <f t="shared" si="243"/>
        <v>18150</v>
      </c>
      <c r="MZ797" s="770" t="s">
        <v>1835</v>
      </c>
      <c r="NA797" s="770" t="s">
        <v>13585</v>
      </c>
      <c r="NB797" s="770" t="s">
        <v>13151</v>
      </c>
      <c r="NC797" s="770" t="s">
        <v>13602</v>
      </c>
      <c r="ND797" s="770">
        <v>0</v>
      </c>
      <c r="NE797" s="770">
        <v>0</v>
      </c>
      <c r="NF797" s="770">
        <v>0</v>
      </c>
      <c r="NG797" s="770">
        <v>2</v>
      </c>
      <c r="NH797" s="770">
        <v>1</v>
      </c>
      <c r="NI797" s="770">
        <v>0</v>
      </c>
      <c r="NJ797" s="770">
        <v>1</v>
      </c>
      <c r="NK797" s="770">
        <v>0</v>
      </c>
      <c r="NL797" s="770">
        <v>1</v>
      </c>
      <c r="NM797" s="770">
        <v>1</v>
      </c>
      <c r="NN797" s="770">
        <v>0</v>
      </c>
      <c r="NO797" s="770">
        <v>0</v>
      </c>
      <c r="NP797" s="770">
        <v>0</v>
      </c>
      <c r="NQ797" s="770">
        <v>0</v>
      </c>
      <c r="NR797" s="770">
        <v>0</v>
      </c>
      <c r="NS797" s="770">
        <v>1</v>
      </c>
      <c r="NT797" s="770">
        <v>0</v>
      </c>
      <c r="NU797" s="770">
        <v>0</v>
      </c>
      <c r="NV797" s="770">
        <v>0</v>
      </c>
      <c r="NW797" s="770">
        <v>0</v>
      </c>
      <c r="NX797" s="770">
        <v>0</v>
      </c>
      <c r="NY797" s="770" t="s">
        <v>1208</v>
      </c>
      <c r="NZ797" s="770"/>
      <c r="OA797" s="770"/>
      <c r="OB797" s="770"/>
      <c r="OC797" s="770" t="s">
        <v>1208</v>
      </c>
      <c r="OD797" s="770" t="s">
        <v>1208</v>
      </c>
      <c r="OE797" s="770"/>
      <c r="OF797" s="770"/>
      <c r="OG797" s="770"/>
      <c r="OH797" s="770"/>
      <c r="OI797" s="770"/>
      <c r="OJ797" s="770"/>
      <c r="OK797" s="770"/>
      <c r="OL797" s="770"/>
      <c r="OM797" s="770"/>
      <c r="ON797" s="770"/>
      <c r="OO797" s="770"/>
      <c r="OP797" s="770"/>
      <c r="OQ797" s="770"/>
      <c r="OR797" s="770"/>
      <c r="OS797" s="770"/>
      <c r="OT797" s="770"/>
      <c r="OU797" s="770"/>
      <c r="OV797" s="770"/>
      <c r="OW797" s="770"/>
      <c r="OX797" s="770"/>
      <c r="OY797" s="770"/>
      <c r="OZ797" s="770"/>
      <c r="PA797" s="770"/>
      <c r="PB797" s="770"/>
      <c r="PC797" s="770"/>
      <c r="PD797" s="770"/>
      <c r="PE797" s="770"/>
      <c r="PF797" s="770"/>
      <c r="PG797" s="770"/>
      <c r="PH797" s="770"/>
      <c r="PI797" s="770"/>
      <c r="PJ797" s="770"/>
      <c r="PK797" s="770"/>
      <c r="PL797" s="770"/>
      <c r="PM797" s="770" t="s">
        <v>1208</v>
      </c>
      <c r="PN797" s="770"/>
      <c r="PO797" s="770"/>
      <c r="PP797" s="770"/>
      <c r="PQ797" s="770"/>
      <c r="PR797" s="770"/>
      <c r="PS797" s="770"/>
      <c r="PT797" s="770"/>
      <c r="PU797" s="770"/>
      <c r="PV797" s="770"/>
      <c r="PW797" s="770"/>
      <c r="PX797" s="770"/>
      <c r="PY797" s="770"/>
      <c r="PZ797" s="770"/>
      <c r="QA797" s="770"/>
      <c r="QB797" s="770"/>
      <c r="QC797" s="770"/>
      <c r="QD797" s="770"/>
      <c r="QE797" s="770"/>
      <c r="QF797" s="770"/>
      <c r="QG797" s="770"/>
      <c r="QH797" s="770"/>
      <c r="QI797" s="770"/>
      <c r="QJ797" s="770"/>
      <c r="QK797" s="770"/>
      <c r="QL797" s="770"/>
      <c r="QM797" s="770"/>
      <c r="QN797" s="770"/>
      <c r="QO797" s="770"/>
      <c r="QP797" s="770"/>
      <c r="QQ797" s="770"/>
      <c r="QR797" s="770"/>
      <c r="QS797" s="770"/>
      <c r="QT797" s="770"/>
      <c r="QU797" s="770"/>
      <c r="QV797" s="770"/>
      <c r="QW797" s="770"/>
      <c r="QX797" s="770"/>
      <c r="QY797" s="770"/>
      <c r="QZ797" s="770"/>
      <c r="RA797" s="770"/>
      <c r="RB797" s="770" t="s">
        <v>1207</v>
      </c>
      <c r="RC797" s="770">
        <v>2014</v>
      </c>
      <c r="RD797" s="770" t="s">
        <v>13251</v>
      </c>
      <c r="RE797" s="770" t="s">
        <v>12999</v>
      </c>
      <c r="RF797" s="304">
        <v>0.5</v>
      </c>
      <c r="RG797" s="770" t="s">
        <v>13047</v>
      </c>
      <c r="RH797" s="306">
        <v>1500</v>
      </c>
      <c r="RI797" s="770">
        <v>3</v>
      </c>
      <c r="RJ797" s="94" t="s">
        <v>5113</v>
      </c>
      <c r="RK797" s="770" t="s">
        <v>13550</v>
      </c>
      <c r="RL797" s="1710">
        <v>42851</v>
      </c>
      <c r="RM797" s="12"/>
      <c r="RN797" s="1711"/>
      <c r="RO797" s="149" t="s">
        <v>5111</v>
      </c>
      <c r="RP797" s="11"/>
      <c r="RQ797" s="11"/>
      <c r="RR797" s="311" t="s">
        <v>7421</v>
      </c>
      <c r="RS797" s="1139" t="s">
        <v>12980</v>
      </c>
      <c r="RT797" s="11"/>
      <c r="RU797" s="11"/>
      <c r="RV797" s="771" t="s">
        <v>7421</v>
      </c>
      <c r="RW797" s="11" t="s">
        <v>7475</v>
      </c>
      <c r="RX797" s="11" t="s">
        <v>5105</v>
      </c>
      <c r="RY797" s="11"/>
      <c r="RZ797" s="11" t="s">
        <v>2209</v>
      </c>
      <c r="SA797" s="771"/>
      <c r="SB797" s="11"/>
      <c r="SC797" s="11"/>
    </row>
    <row r="798" spans="1:497" ht="12.75" customHeight="1">
      <c r="A798" s="311" t="s">
        <v>14249</v>
      </c>
      <c r="B798" s="292" t="s">
        <v>7913</v>
      </c>
      <c r="C798" s="149" t="s">
        <v>5114</v>
      </c>
      <c r="D798" s="94" t="s">
        <v>5173</v>
      </c>
      <c r="E798" s="766" t="s">
        <v>5312</v>
      </c>
      <c r="F798" s="770" t="s">
        <v>20</v>
      </c>
      <c r="G798" s="770" t="s">
        <v>18</v>
      </c>
      <c r="H798" s="12"/>
      <c r="I798" s="295" t="s">
        <v>5174</v>
      </c>
      <c r="J798" s="94" t="s">
        <v>5176</v>
      </c>
      <c r="K798" s="770"/>
      <c r="L798" s="770"/>
      <c r="M798" s="770" t="s">
        <v>1238</v>
      </c>
      <c r="N798" s="1757"/>
      <c r="O798" s="1757" t="s">
        <v>3255</v>
      </c>
      <c r="P798" s="94" t="s">
        <v>5175</v>
      </c>
      <c r="Q798" s="1088">
        <v>26500</v>
      </c>
      <c r="R798" s="297">
        <v>44</v>
      </c>
      <c r="S798" s="770" t="s">
        <v>10</v>
      </c>
      <c r="T798" s="770"/>
      <c r="U798" s="298" t="s">
        <v>5174</v>
      </c>
      <c r="V798" s="770" t="s">
        <v>707</v>
      </c>
      <c r="W798" s="770"/>
      <c r="X798" s="770"/>
      <c r="Y798" s="770" t="s">
        <v>5149</v>
      </c>
      <c r="Z798" s="770" t="s">
        <v>708</v>
      </c>
      <c r="AA798" s="770" t="s">
        <v>709</v>
      </c>
      <c r="AB798" s="770" t="s">
        <v>710</v>
      </c>
      <c r="AC798" s="770"/>
      <c r="AD798" s="770" t="s">
        <v>711</v>
      </c>
      <c r="AE798" s="770"/>
      <c r="AF798" s="770" t="s">
        <v>712</v>
      </c>
      <c r="AG798" s="770"/>
      <c r="AH798" s="770"/>
      <c r="AI798" s="770"/>
      <c r="AJ798" s="770"/>
      <c r="AK798" s="770" t="s">
        <v>1101</v>
      </c>
      <c r="AL798" s="531"/>
      <c r="AM798" s="780"/>
      <c r="AN798" s="532"/>
      <c r="AO798" s="766"/>
      <c r="AP798" s="766"/>
      <c r="AQ798" s="766"/>
      <c r="AR798" s="766"/>
      <c r="AS798" s="770"/>
      <c r="AT798" s="770"/>
      <c r="AU798" s="770"/>
      <c r="AV798" s="770"/>
      <c r="AW798" s="770"/>
      <c r="AX798" s="770"/>
      <c r="AY798" s="770"/>
      <c r="AZ798" s="770"/>
      <c r="BA798" s="770"/>
      <c r="BB798" s="770"/>
      <c r="BC798" s="770"/>
      <c r="BD798" s="770"/>
      <c r="BE798" s="770"/>
      <c r="BF798" s="302"/>
      <c r="BG798" s="302"/>
      <c r="BH798" s="770"/>
      <c r="BI798" s="770"/>
      <c r="BJ798" s="770"/>
      <c r="BK798" s="766" t="s">
        <v>1095</v>
      </c>
      <c r="BL798" s="766" t="s">
        <v>5177</v>
      </c>
      <c r="BM798" s="766" t="s">
        <v>1096</v>
      </c>
      <c r="BN798" s="766" t="s">
        <v>1230</v>
      </c>
      <c r="BO798" s="766" t="s">
        <v>1246</v>
      </c>
      <c r="BP798" s="765">
        <v>10</v>
      </c>
      <c r="BQ798" s="773">
        <v>6</v>
      </c>
      <c r="BR798" s="774">
        <f t="shared" si="247"/>
        <v>0.6</v>
      </c>
      <c r="BS798" s="766" t="s">
        <v>1105</v>
      </c>
      <c r="BT798" s="766" t="s">
        <v>8133</v>
      </c>
      <c r="BU798" s="770" t="s">
        <v>1249</v>
      </c>
      <c r="BV798" s="769"/>
      <c r="BW798" s="770">
        <v>1979</v>
      </c>
      <c r="BX798" s="302"/>
      <c r="BY798" s="770"/>
      <c r="BZ798" s="302"/>
      <c r="CA798" s="770"/>
      <c r="CB798" s="770"/>
      <c r="CC798" s="770"/>
      <c r="CD798" s="770"/>
      <c r="CE798" s="302"/>
      <c r="CF798" s="304"/>
      <c r="CG798" s="321"/>
      <c r="CH798" s="770"/>
      <c r="CI798" s="770"/>
      <c r="CJ798" s="770"/>
      <c r="CK798" s="770"/>
      <c r="CL798" s="770"/>
      <c r="CM798" s="770"/>
      <c r="CN798" s="770"/>
      <c r="CO798" s="770"/>
      <c r="CP798" s="770"/>
      <c r="CQ798" s="770"/>
      <c r="CR798" s="302"/>
      <c r="CS798" s="770"/>
      <c r="CT798" s="770"/>
      <c r="CU798" s="305"/>
      <c r="CV798" s="770"/>
      <c r="CW798" s="770"/>
      <c r="CX798" s="770"/>
      <c r="CY798" s="770"/>
      <c r="CZ798" s="770"/>
      <c r="DA798" s="306"/>
      <c r="DB798" s="770"/>
      <c r="DC798" s="770"/>
      <c r="DD798" s="770"/>
      <c r="DE798" s="300"/>
      <c r="DF798" s="770"/>
      <c r="DG798" s="770"/>
      <c r="DH798" s="770"/>
      <c r="DI798" s="770"/>
      <c r="DJ798" s="770"/>
      <c r="DK798" s="770"/>
      <c r="DL798" s="770"/>
      <c r="DM798" s="770"/>
      <c r="DN798" s="322"/>
      <c r="DO798" s="770"/>
      <c r="DP798" s="770"/>
      <c r="DQ798" s="770"/>
      <c r="DR798" s="770"/>
      <c r="DS798" s="307"/>
      <c r="DT798" s="770"/>
      <c r="DU798" s="770"/>
      <c r="DV798" s="770"/>
      <c r="DW798" s="306"/>
      <c r="DX798" s="306"/>
      <c r="DY798" s="1055"/>
      <c r="DZ798" s="770"/>
      <c r="EA798" s="770"/>
      <c r="EB798" s="770"/>
      <c r="EC798" s="770"/>
      <c r="ED798" s="770"/>
      <c r="EE798" s="770"/>
      <c r="EF798" s="770"/>
      <c r="EG798" s="770"/>
      <c r="EH798" s="770"/>
      <c r="EI798" s="770"/>
      <c r="EJ798" s="770"/>
      <c r="EK798" s="770"/>
      <c r="EL798" s="770"/>
      <c r="EM798" s="770"/>
      <c r="EN798" s="770"/>
      <c r="EO798" s="770"/>
      <c r="EP798" s="94"/>
      <c r="EQ798" s="770"/>
      <c r="ER798" s="770"/>
      <c r="ES798" s="770"/>
      <c r="ET798" s="770"/>
      <c r="EU798" s="770"/>
      <c r="EV798" s="770"/>
      <c r="EW798" s="770"/>
      <c r="EX798" s="770"/>
      <c r="EY798" s="770"/>
      <c r="EZ798" s="770"/>
      <c r="FA798" s="770"/>
      <c r="FB798" s="770"/>
      <c r="FC798" s="770"/>
      <c r="FD798" s="302"/>
      <c r="FE798" s="770"/>
      <c r="FF798" s="770"/>
      <c r="FG798" s="770"/>
      <c r="FH798" s="770" t="s">
        <v>478</v>
      </c>
      <c r="FI798" s="770">
        <v>1</v>
      </c>
      <c r="FJ798" s="770"/>
      <c r="FK798" s="770"/>
      <c r="FL798" s="770"/>
      <c r="FM798" s="302"/>
      <c r="FN798" s="302"/>
      <c r="FO798" s="302"/>
      <c r="FP798" s="766" t="s">
        <v>1602</v>
      </c>
      <c r="FQ798" s="766" t="s">
        <v>1660</v>
      </c>
      <c r="FR798" s="770" t="s">
        <v>1214</v>
      </c>
      <c r="FS798" s="770"/>
      <c r="FT798" s="770"/>
      <c r="FU798" s="770"/>
      <c r="FV798" s="770"/>
      <c r="FW798" s="770"/>
      <c r="FX798" s="770"/>
      <c r="FY798" s="770"/>
      <c r="FZ798" s="770"/>
      <c r="GA798" s="770"/>
      <c r="GB798" s="770" t="s">
        <v>1734</v>
      </c>
      <c r="GC798" s="308"/>
      <c r="GD798" s="297">
        <v>1979</v>
      </c>
      <c r="GE798" s="770" t="s">
        <v>1214</v>
      </c>
      <c r="GF798" s="302"/>
      <c r="GG798" s="302"/>
      <c r="GH798" s="712" t="s">
        <v>1791</v>
      </c>
      <c r="GI798" s="770" t="s">
        <v>1008</v>
      </c>
      <c r="GJ798" s="770"/>
      <c r="GK798" s="770" t="s">
        <v>2345</v>
      </c>
      <c r="GL798" s="770"/>
      <c r="GM798" s="770"/>
      <c r="GN798" s="299"/>
      <c r="GO798" s="770"/>
      <c r="GP798" s="770" t="s">
        <v>1208</v>
      </c>
      <c r="GQ798" s="770" t="s">
        <v>1208</v>
      </c>
      <c r="GR798" s="770" t="s">
        <v>1208</v>
      </c>
      <c r="GS798" s="770" t="s">
        <v>1208</v>
      </c>
      <c r="GT798" s="770" t="s">
        <v>1208</v>
      </c>
      <c r="GU798" s="770"/>
      <c r="GV798" s="770"/>
      <c r="GW798" s="770" t="s">
        <v>1207</v>
      </c>
      <c r="GX798" s="770"/>
      <c r="GY798" s="770" t="s">
        <v>1208</v>
      </c>
      <c r="GZ798" s="770" t="s">
        <v>1208</v>
      </c>
      <c r="HA798" s="770" t="s">
        <v>1208</v>
      </c>
      <c r="HB798" s="770" t="s">
        <v>1208</v>
      </c>
      <c r="HC798" s="770" t="s">
        <v>1208</v>
      </c>
      <c r="HD798" s="770" t="s">
        <v>1208</v>
      </c>
      <c r="HE798" s="770" t="s">
        <v>1208</v>
      </c>
      <c r="HF798" s="770"/>
      <c r="HG798" s="770"/>
      <c r="HH798" s="770"/>
      <c r="HI798" s="770" t="s">
        <v>1214</v>
      </c>
      <c r="HJ798" s="770"/>
      <c r="HK798" s="770"/>
      <c r="HL798" s="770" t="s">
        <v>1214</v>
      </c>
      <c r="HM798" s="770"/>
      <c r="HN798" s="770"/>
      <c r="HO798" s="770"/>
      <c r="HP798" s="770"/>
      <c r="HQ798" s="770"/>
      <c r="HR798" s="770"/>
      <c r="HS798" s="770"/>
      <c r="HT798" s="770"/>
      <c r="HU798" s="770"/>
      <c r="HV798" s="770"/>
      <c r="HW798" s="770"/>
      <c r="HX798" s="770"/>
      <c r="HY798" s="770"/>
      <c r="HZ798" s="770"/>
      <c r="IA798" s="770"/>
      <c r="IB798" s="14" t="e">
        <f>IF(#REF!&gt;0,IF(#REF!&lt;=10000,"Y",""),"")</f>
        <v>#REF!</v>
      </c>
      <c r="IC798" s="770"/>
      <c r="ID798" s="770"/>
      <c r="IE798" s="770">
        <v>1</v>
      </c>
      <c r="IF798" s="770"/>
      <c r="IG798" s="770"/>
      <c r="IH798" s="770"/>
      <c r="II798" s="770"/>
      <c r="IJ798" s="770"/>
      <c r="IK798" s="770"/>
      <c r="IL798" s="770"/>
      <c r="IM798" s="770"/>
      <c r="IN798" s="770"/>
      <c r="IO798" s="296"/>
      <c r="IP798" s="770"/>
      <c r="IQ798" s="770"/>
      <c r="IR798" s="770"/>
      <c r="IS798" s="770"/>
      <c r="IT798" s="770"/>
      <c r="IU798" s="770"/>
      <c r="IV798" s="770"/>
      <c r="IW798" s="770"/>
      <c r="IX798" s="770"/>
      <c r="IY798" s="770"/>
      <c r="IZ798" s="770"/>
      <c r="JA798" s="770"/>
      <c r="JB798" s="770"/>
      <c r="JC798" s="770"/>
      <c r="JD798" s="302"/>
      <c r="JE798" s="770"/>
      <c r="JF798" s="770"/>
      <c r="JG798" s="770"/>
      <c r="JH798" s="307"/>
      <c r="JI798" s="307"/>
      <c r="JJ798" s="770">
        <v>8</v>
      </c>
      <c r="JK798" s="1139" t="s">
        <v>5115</v>
      </c>
      <c r="JL798" s="770">
        <v>1</v>
      </c>
      <c r="JM798" s="770">
        <v>1</v>
      </c>
      <c r="JN798" s="770">
        <v>4</v>
      </c>
      <c r="JO798" s="770">
        <v>2</v>
      </c>
      <c r="JP798" s="770"/>
      <c r="JQ798" s="770"/>
      <c r="JR798" s="770"/>
      <c r="JS798" s="770"/>
      <c r="JT798" s="766">
        <f t="shared" si="248"/>
        <v>5</v>
      </c>
      <c r="JU798" s="766">
        <f t="shared" si="248"/>
        <v>3</v>
      </c>
      <c r="JV798" s="712" t="str">
        <f t="shared" si="250"/>
        <v>ok</v>
      </c>
      <c r="JW798" s="712" t="str">
        <f t="shared" si="251"/>
        <v>ok</v>
      </c>
      <c r="JX798" s="770"/>
      <c r="JY798" s="770"/>
      <c r="JZ798" s="770">
        <v>1</v>
      </c>
      <c r="KA798" s="770">
        <v>1</v>
      </c>
      <c r="KB798" s="770">
        <v>3</v>
      </c>
      <c r="KC798" s="770">
        <v>1</v>
      </c>
      <c r="KD798" s="770">
        <v>1</v>
      </c>
      <c r="KE798" s="770">
        <v>1</v>
      </c>
      <c r="KF798" s="770"/>
      <c r="KG798" s="770"/>
      <c r="KH798" s="770"/>
      <c r="KI798" s="770"/>
      <c r="KJ798" s="770">
        <f t="shared" si="249"/>
        <v>5</v>
      </c>
      <c r="KK798" s="770">
        <f t="shared" si="249"/>
        <v>3</v>
      </c>
      <c r="KL798" s="712" t="str">
        <f t="shared" si="252"/>
        <v>ok</v>
      </c>
      <c r="KM798" s="712" t="str">
        <f t="shared" si="253"/>
        <v>ok</v>
      </c>
      <c r="KN798" s="770" t="s">
        <v>707</v>
      </c>
      <c r="KO798" s="770"/>
      <c r="KP798" s="770"/>
      <c r="KQ798" s="770"/>
      <c r="KR798" s="770"/>
      <c r="KS798" s="770"/>
      <c r="KT798" s="770">
        <v>1</v>
      </c>
      <c r="KU798" s="770">
        <v>1</v>
      </c>
      <c r="KV798" s="770"/>
      <c r="KW798" s="770"/>
      <c r="KX798" s="770"/>
      <c r="KY798" s="770">
        <v>1</v>
      </c>
      <c r="KZ798" s="770">
        <v>3</v>
      </c>
      <c r="LA798" s="770">
        <v>1</v>
      </c>
      <c r="LB798" s="770">
        <v>1</v>
      </c>
      <c r="LC798" s="770"/>
      <c r="LD798" s="770"/>
      <c r="LE798" s="770"/>
      <c r="LF798" s="770"/>
      <c r="LG798" s="770"/>
      <c r="LH798" s="770"/>
      <c r="LI798" s="770"/>
      <c r="LJ798" s="770"/>
      <c r="LK798" s="770"/>
      <c r="LL798" s="770"/>
      <c r="LM798" s="770"/>
      <c r="LN798" s="766">
        <f t="shared" si="230"/>
        <v>5</v>
      </c>
      <c r="LO798" s="766">
        <f t="shared" si="230"/>
        <v>3</v>
      </c>
      <c r="LP798" s="770">
        <v>2</v>
      </c>
      <c r="LQ798" s="770">
        <v>1</v>
      </c>
      <c r="LR798" s="770"/>
      <c r="LS798" s="770">
        <v>1</v>
      </c>
      <c r="LT798" s="712" t="str">
        <f t="shared" si="254"/>
        <v>OK</v>
      </c>
      <c r="LU798" s="770"/>
      <c r="LV798" s="770">
        <v>1</v>
      </c>
      <c r="LW798" s="770"/>
      <c r="LX798" s="769">
        <v>3</v>
      </c>
      <c r="LY798" s="766" t="str">
        <f t="shared" si="231"/>
        <v>within the PROVINCE</v>
      </c>
      <c r="LZ798" s="1709">
        <v>500</v>
      </c>
      <c r="MA798" s="1709"/>
      <c r="MB798" s="1709"/>
      <c r="MC798" s="1679">
        <f t="shared" si="229"/>
        <v>500</v>
      </c>
      <c r="MD798" s="1709">
        <f>450*26</f>
        <v>11700</v>
      </c>
      <c r="ME798" s="1709"/>
      <c r="MF798" s="1709">
        <f>250*26</f>
        <v>6500</v>
      </c>
      <c r="MG798" s="1680">
        <f t="shared" si="255"/>
        <v>18200</v>
      </c>
      <c r="MH798" s="770" t="s">
        <v>14016</v>
      </c>
      <c r="MI798" s="302">
        <f>350*30</f>
        <v>10500</v>
      </c>
      <c r="MJ798" s="302">
        <f>500*30</f>
        <v>15000</v>
      </c>
      <c r="MK798" s="302">
        <v>500</v>
      </c>
      <c r="ML798" s="302">
        <v>1000</v>
      </c>
      <c r="MM798" s="302">
        <f>50*30</f>
        <v>1500</v>
      </c>
      <c r="MN798" s="302"/>
      <c r="MO798" s="302">
        <v>150</v>
      </c>
      <c r="MP798" s="302"/>
      <c r="MQ798" s="302">
        <v>250</v>
      </c>
      <c r="MR798" s="302"/>
      <c r="MS798" s="302"/>
      <c r="MT798" s="302"/>
      <c r="MU798" s="302"/>
      <c r="MV798" s="302"/>
      <c r="MW798" s="302"/>
      <c r="MX798" s="302"/>
      <c r="MY798" s="1682">
        <f t="shared" si="243"/>
        <v>28900</v>
      </c>
      <c r="MZ798" s="770" t="s">
        <v>13395</v>
      </c>
      <c r="NA798" s="770" t="s">
        <v>13005</v>
      </c>
      <c r="NB798" s="770" t="s">
        <v>13151</v>
      </c>
      <c r="NC798" s="770" t="s">
        <v>13602</v>
      </c>
      <c r="ND798" s="770">
        <v>0</v>
      </c>
      <c r="NE798" s="770">
        <v>0</v>
      </c>
      <c r="NF798" s="770">
        <v>0</v>
      </c>
      <c r="NG798" s="770">
        <v>1</v>
      </c>
      <c r="NH798" s="770">
        <v>1</v>
      </c>
      <c r="NI798" s="770">
        <v>1</v>
      </c>
      <c r="NJ798" s="770">
        <v>1</v>
      </c>
      <c r="NK798" s="770">
        <v>0</v>
      </c>
      <c r="NL798" s="770">
        <v>1</v>
      </c>
      <c r="NM798" s="770">
        <v>0</v>
      </c>
      <c r="NN798" s="770">
        <v>0</v>
      </c>
      <c r="NO798" s="770">
        <v>0</v>
      </c>
      <c r="NP798" s="770">
        <v>0</v>
      </c>
      <c r="NQ798" s="770">
        <v>0</v>
      </c>
      <c r="NR798" s="770">
        <v>1</v>
      </c>
      <c r="NS798" s="770">
        <v>0</v>
      </c>
      <c r="NT798" s="770">
        <v>0</v>
      </c>
      <c r="NU798" s="770">
        <v>0</v>
      </c>
      <c r="NV798" s="770">
        <v>0</v>
      </c>
      <c r="NW798" s="770">
        <v>0</v>
      </c>
      <c r="NX798" s="770">
        <v>0</v>
      </c>
      <c r="NY798" s="770" t="s">
        <v>1208</v>
      </c>
      <c r="NZ798" s="770" t="s">
        <v>1208</v>
      </c>
      <c r="OA798" s="770" t="s">
        <v>1208</v>
      </c>
      <c r="OB798" s="770" t="s">
        <v>1208</v>
      </c>
      <c r="OC798" s="770" t="s">
        <v>1208</v>
      </c>
      <c r="OD798" s="770" t="s">
        <v>1208</v>
      </c>
      <c r="OE798" s="770"/>
      <c r="OF798" s="770"/>
      <c r="OG798" s="770"/>
      <c r="OH798" s="770"/>
      <c r="OI798" s="770"/>
      <c r="OJ798" s="770"/>
      <c r="OK798" s="770"/>
      <c r="OL798" s="770"/>
      <c r="OM798" s="770"/>
      <c r="ON798" s="770"/>
      <c r="OO798" s="770"/>
      <c r="OP798" s="770"/>
      <c r="OQ798" s="770"/>
      <c r="OR798" s="770"/>
      <c r="OS798" s="770"/>
      <c r="OT798" s="770"/>
      <c r="OU798" s="770"/>
      <c r="OV798" s="770"/>
      <c r="OW798" s="770"/>
      <c r="OX798" s="770"/>
      <c r="OY798" s="770"/>
      <c r="OZ798" s="770"/>
      <c r="PA798" s="770"/>
      <c r="PB798" s="770"/>
      <c r="PC798" s="770"/>
      <c r="PD798" s="770"/>
      <c r="PE798" s="770"/>
      <c r="PF798" s="770" t="s">
        <v>1208</v>
      </c>
      <c r="PG798" s="770"/>
      <c r="PH798" s="770"/>
      <c r="PI798" s="770"/>
      <c r="PJ798" s="770"/>
      <c r="PK798" s="770"/>
      <c r="PL798" s="770"/>
      <c r="PM798" s="770"/>
      <c r="PN798" s="770"/>
      <c r="PO798" s="770"/>
      <c r="PP798" s="770"/>
      <c r="PQ798" s="770"/>
      <c r="PR798" s="770"/>
      <c r="PS798" s="770"/>
      <c r="PT798" s="770"/>
      <c r="PU798" s="770"/>
      <c r="PV798" s="770"/>
      <c r="PW798" s="770"/>
      <c r="PX798" s="770"/>
      <c r="PY798" s="770"/>
      <c r="PZ798" s="770"/>
      <c r="QA798" s="770"/>
      <c r="QB798" s="770"/>
      <c r="QC798" s="770"/>
      <c r="QD798" s="770"/>
      <c r="QE798" s="770"/>
      <c r="QF798" s="770"/>
      <c r="QG798" s="770"/>
      <c r="QH798" s="770"/>
      <c r="QI798" s="770"/>
      <c r="QJ798" s="770"/>
      <c r="QK798" s="770"/>
      <c r="QL798" s="770"/>
      <c r="QM798" s="770"/>
      <c r="QN798" s="770"/>
      <c r="QO798" s="770"/>
      <c r="QP798" s="770"/>
      <c r="QQ798" s="770"/>
      <c r="QR798" s="770"/>
      <c r="QS798" s="770"/>
      <c r="QT798" s="770"/>
      <c r="QU798" s="770"/>
      <c r="QV798" s="770"/>
      <c r="QW798" s="770"/>
      <c r="QX798" s="770"/>
      <c r="QY798" s="770"/>
      <c r="QZ798" s="770"/>
      <c r="RA798" s="770"/>
      <c r="RB798" s="770" t="s">
        <v>1214</v>
      </c>
      <c r="RC798" s="770"/>
      <c r="RD798" s="770"/>
      <c r="RE798" s="770"/>
      <c r="RF798" s="304"/>
      <c r="RG798" s="770"/>
      <c r="RH798" s="306"/>
      <c r="RI798" s="770"/>
      <c r="RJ798" s="94" t="s">
        <v>5116</v>
      </c>
      <c r="RK798" s="770" t="s">
        <v>13552</v>
      </c>
      <c r="RL798" s="1710" t="s">
        <v>1604</v>
      </c>
      <c r="RM798" s="12"/>
      <c r="RN798" s="1711"/>
      <c r="RO798" s="149" t="s">
        <v>5114</v>
      </c>
      <c r="RP798" s="11"/>
      <c r="RQ798" s="11"/>
      <c r="RR798" s="311" t="s">
        <v>7421</v>
      </c>
      <c r="RS798" s="1139" t="s">
        <v>12980</v>
      </c>
      <c r="RT798" s="11"/>
      <c r="RU798" s="11"/>
      <c r="RV798" s="771" t="s">
        <v>7421</v>
      </c>
      <c r="RW798" s="11" t="s">
        <v>7476</v>
      </c>
      <c r="RX798" s="11" t="s">
        <v>5107</v>
      </c>
      <c r="RY798" s="11"/>
      <c r="RZ798" s="11" t="s">
        <v>2209</v>
      </c>
      <c r="SA798" s="771"/>
      <c r="SB798" s="11"/>
      <c r="SC798" s="11"/>
    </row>
    <row r="799" spans="1:497" ht="12.75" customHeight="1">
      <c r="A799" s="311" t="s">
        <v>14249</v>
      </c>
      <c r="B799" s="292" t="s">
        <v>7477</v>
      </c>
      <c r="C799" s="149" t="s">
        <v>5117</v>
      </c>
      <c r="D799" s="94" t="s">
        <v>5178</v>
      </c>
      <c r="E799" s="766" t="s">
        <v>5312</v>
      </c>
      <c r="F799" s="770" t="s">
        <v>28</v>
      </c>
      <c r="G799" s="770" t="s">
        <v>10</v>
      </c>
      <c r="H799" s="12"/>
      <c r="I799" s="295" t="s">
        <v>5179</v>
      </c>
      <c r="J799" s="94" t="s">
        <v>5178</v>
      </c>
      <c r="K799" s="770"/>
      <c r="L799" s="770"/>
      <c r="M799" s="770" t="s">
        <v>1238</v>
      </c>
      <c r="N799" s="1757"/>
      <c r="O799" s="1757" t="s">
        <v>3255</v>
      </c>
      <c r="P799" s="94" t="s">
        <v>5180</v>
      </c>
      <c r="Q799" s="1088">
        <v>17141</v>
      </c>
      <c r="R799" s="297">
        <v>69</v>
      </c>
      <c r="S799" s="770" t="s">
        <v>10</v>
      </c>
      <c r="T799" s="770"/>
      <c r="U799" s="295" t="s">
        <v>5179</v>
      </c>
      <c r="V799" s="770" t="s">
        <v>722</v>
      </c>
      <c r="W799" s="770"/>
      <c r="X799" s="770"/>
      <c r="Y799" s="770" t="s">
        <v>5149</v>
      </c>
      <c r="Z799" s="770" t="s">
        <v>708</v>
      </c>
      <c r="AA799" s="770" t="s">
        <v>709</v>
      </c>
      <c r="AB799" s="770" t="s">
        <v>710</v>
      </c>
      <c r="AC799" s="770" t="s">
        <v>724</v>
      </c>
      <c r="AD799" s="770" t="s">
        <v>711</v>
      </c>
      <c r="AE799" s="770"/>
      <c r="AF799" s="770" t="s">
        <v>712</v>
      </c>
      <c r="AG799" s="770"/>
      <c r="AH799" s="770"/>
      <c r="AI799" s="770"/>
      <c r="AJ799" s="770"/>
      <c r="AK799" s="770" t="s">
        <v>1101</v>
      </c>
      <c r="AL799" s="531"/>
      <c r="AM799" s="780"/>
      <c r="AN799" s="532"/>
      <c r="AO799" s="766"/>
      <c r="AP799" s="766"/>
      <c r="AQ799" s="766"/>
      <c r="AR799" s="766"/>
      <c r="AS799" s="409"/>
      <c r="AT799" s="770"/>
      <c r="AU799" s="770"/>
      <c r="AV799" s="770"/>
      <c r="AW799" s="770"/>
      <c r="AX799" s="770"/>
      <c r="AY799" s="770"/>
      <c r="AZ799" s="770"/>
      <c r="BA799" s="770"/>
      <c r="BB799" s="770"/>
      <c r="BC799" s="770"/>
      <c r="BD799" s="770"/>
      <c r="BE799" s="770"/>
      <c r="BF799" s="302"/>
      <c r="BG799" s="302"/>
      <c r="BH799" s="770"/>
      <c r="BI799" s="770"/>
      <c r="BJ799" s="770"/>
      <c r="BK799" s="766" t="s">
        <v>1095</v>
      </c>
      <c r="BL799" s="766" t="s">
        <v>5181</v>
      </c>
      <c r="BM799" s="766" t="s">
        <v>1096</v>
      </c>
      <c r="BN799" s="766" t="s">
        <v>1230</v>
      </c>
      <c r="BO799" s="766" t="s">
        <v>1246</v>
      </c>
      <c r="BP799" s="765">
        <v>45</v>
      </c>
      <c r="BQ799" s="773">
        <v>10</v>
      </c>
      <c r="BR799" s="774">
        <f t="shared" si="247"/>
        <v>0.22222222222222221</v>
      </c>
      <c r="BS799" s="766" t="s">
        <v>1149</v>
      </c>
      <c r="BT799" s="766" t="s">
        <v>8133</v>
      </c>
      <c r="BU799" s="770" t="s">
        <v>1249</v>
      </c>
      <c r="BV799" s="770" t="s">
        <v>5182</v>
      </c>
      <c r="BW799" s="770">
        <v>1971</v>
      </c>
      <c r="BX799" s="302"/>
      <c r="BY799" s="770"/>
      <c r="BZ799" s="302"/>
      <c r="CA799" s="770"/>
      <c r="CB799" s="770"/>
      <c r="CC799" s="770"/>
      <c r="CD799" s="770"/>
      <c r="CE799" s="302"/>
      <c r="CF799" s="304"/>
      <c r="CG799" s="321"/>
      <c r="CH799" s="770"/>
      <c r="CI799" s="770"/>
      <c r="CJ799" s="770"/>
      <c r="CK799" s="770"/>
      <c r="CL799" s="770"/>
      <c r="CM799" s="770"/>
      <c r="CN799" s="770"/>
      <c r="CO799" s="770"/>
      <c r="CP799" s="770"/>
      <c r="CQ799" s="770"/>
      <c r="CR799" s="302"/>
      <c r="CS799" s="770"/>
      <c r="CT799" s="770"/>
      <c r="CU799" s="305"/>
      <c r="CV799" s="770"/>
      <c r="CW799" s="770"/>
      <c r="CX799" s="770"/>
      <c r="CY799" s="770"/>
      <c r="CZ799" s="770"/>
      <c r="DA799" s="306"/>
      <c r="DB799" s="770"/>
      <c r="DC799" s="770"/>
      <c r="DD799" s="770"/>
      <c r="DE799" s="300"/>
      <c r="DF799" s="770"/>
      <c r="DG799" s="770"/>
      <c r="DH799" s="770"/>
      <c r="DI799" s="770"/>
      <c r="DJ799" s="770"/>
      <c r="DK799" s="770"/>
      <c r="DL799" s="770"/>
      <c r="DM799" s="770"/>
      <c r="DN799" s="322"/>
      <c r="DO799" s="770"/>
      <c r="DP799" s="770"/>
      <c r="DQ799" s="770"/>
      <c r="DR799" s="770"/>
      <c r="DS799" s="307"/>
      <c r="DT799" s="770"/>
      <c r="DU799" s="770"/>
      <c r="DV799" s="770"/>
      <c r="DW799" s="306"/>
      <c r="DX799" s="306"/>
      <c r="DY799" s="1055"/>
      <c r="DZ799" s="770"/>
      <c r="EA799" s="770"/>
      <c r="EB799" s="770"/>
      <c r="EC799" s="770"/>
      <c r="ED799" s="770"/>
      <c r="EE799" s="770"/>
      <c r="EF799" s="770"/>
      <c r="EG799" s="770"/>
      <c r="EH799" s="770"/>
      <c r="EI799" s="770"/>
      <c r="EJ799" s="770"/>
      <c r="EK799" s="770"/>
      <c r="EL799" s="770"/>
      <c r="EM799" s="770"/>
      <c r="EN799" s="770"/>
      <c r="EO799" s="770"/>
      <c r="EP799" s="94"/>
      <c r="EQ799" s="770"/>
      <c r="ER799" s="770"/>
      <c r="ES799" s="770"/>
      <c r="ET799" s="770"/>
      <c r="EU799" s="770"/>
      <c r="EV799" s="770"/>
      <c r="EW799" s="770"/>
      <c r="EX799" s="770"/>
      <c r="EY799" s="770"/>
      <c r="EZ799" s="770"/>
      <c r="FA799" s="770"/>
      <c r="FB799" s="770"/>
      <c r="FC799" s="770"/>
      <c r="FD799" s="302"/>
      <c r="FE799" s="770"/>
      <c r="FF799" s="770"/>
      <c r="FG799" s="770"/>
      <c r="FH799" s="770" t="s">
        <v>478</v>
      </c>
      <c r="FI799" s="770">
        <v>1</v>
      </c>
      <c r="FJ799" s="770"/>
      <c r="FK799" s="770"/>
      <c r="FL799" s="770"/>
      <c r="FM799" s="302"/>
      <c r="FN799" s="302"/>
      <c r="FO799" s="302"/>
      <c r="FP799" s="766" t="s">
        <v>1602</v>
      </c>
      <c r="FQ799" s="766" t="s">
        <v>1660</v>
      </c>
      <c r="FR799" s="770" t="s">
        <v>1214</v>
      </c>
      <c r="FS799" s="770"/>
      <c r="FT799" s="770"/>
      <c r="FU799" s="770"/>
      <c r="FV799" s="770"/>
      <c r="FW799" s="770"/>
      <c r="FX799" s="770"/>
      <c r="FY799" s="770"/>
      <c r="FZ799" s="770"/>
      <c r="GA799" s="770"/>
      <c r="GB799" s="770"/>
      <c r="GC799" s="308"/>
      <c r="GD799" s="297"/>
      <c r="GE799" s="770" t="s">
        <v>1214</v>
      </c>
      <c r="GF799" s="302"/>
      <c r="GG799" s="302"/>
      <c r="GH799" s="712" t="s">
        <v>1791</v>
      </c>
      <c r="GI799" s="770" t="s">
        <v>1008</v>
      </c>
      <c r="GJ799" s="770" t="s">
        <v>1831</v>
      </c>
      <c r="GK799" s="766" t="s">
        <v>2693</v>
      </c>
      <c r="GL799" s="770"/>
      <c r="GM799" s="770"/>
      <c r="GN799" s="299">
        <v>120</v>
      </c>
      <c r="GO799" s="770" t="s">
        <v>2770</v>
      </c>
      <c r="GP799" s="770"/>
      <c r="GQ799" s="770" t="s">
        <v>1208</v>
      </c>
      <c r="GR799" s="770" t="s">
        <v>1208</v>
      </c>
      <c r="GS799" s="770" t="s">
        <v>1208</v>
      </c>
      <c r="GT799" s="770" t="s">
        <v>1208</v>
      </c>
      <c r="GU799" s="770"/>
      <c r="GV799" s="770"/>
      <c r="GW799" s="770" t="s">
        <v>1207</v>
      </c>
      <c r="GX799" s="770"/>
      <c r="GY799" s="770" t="s">
        <v>1208</v>
      </c>
      <c r="GZ799" s="770"/>
      <c r="HA799" s="770" t="s">
        <v>1208</v>
      </c>
      <c r="HB799" s="770" t="s">
        <v>1208</v>
      </c>
      <c r="HC799" s="770" t="s">
        <v>1208</v>
      </c>
      <c r="HD799" s="770" t="s">
        <v>1208</v>
      </c>
      <c r="HE799" s="770" t="s">
        <v>1208</v>
      </c>
      <c r="HF799" s="770"/>
      <c r="HG799" s="770"/>
      <c r="HH799" s="770"/>
      <c r="HI799" s="770" t="s">
        <v>1214</v>
      </c>
      <c r="HJ799" s="770"/>
      <c r="HK799" s="770"/>
      <c r="HL799" s="770" t="s">
        <v>1214</v>
      </c>
      <c r="HM799" s="770"/>
      <c r="HN799" s="770"/>
      <c r="HO799" s="770"/>
      <c r="HP799" s="770"/>
      <c r="HQ799" s="770"/>
      <c r="HR799" s="770"/>
      <c r="HS799" s="770"/>
      <c r="HT799" s="770"/>
      <c r="HU799" s="770"/>
      <c r="HV799" s="770"/>
      <c r="HW799" s="770"/>
      <c r="HX799" s="770"/>
      <c r="HY799" s="770"/>
      <c r="HZ799" s="770"/>
      <c r="IA799" s="770"/>
      <c r="IB799" s="14" t="e">
        <f>IF(#REF!&gt;0,IF(#REF!&lt;=10000,"Y",""),"")</f>
        <v>#REF!</v>
      </c>
      <c r="IC799" s="770"/>
      <c r="ID799" s="770">
        <v>1</v>
      </c>
      <c r="IE799" s="770"/>
      <c r="IF799" s="770"/>
      <c r="IG799" s="770"/>
      <c r="IH799" s="770"/>
      <c r="II799" s="770"/>
      <c r="IJ799" s="770"/>
      <c r="IK799" s="770"/>
      <c r="IL799" s="770"/>
      <c r="IM799" s="770"/>
      <c r="IN799" s="770"/>
      <c r="IO799" s="296"/>
      <c r="IP799" s="770"/>
      <c r="IQ799" s="770"/>
      <c r="IR799" s="770"/>
      <c r="IS799" s="770"/>
      <c r="IT799" s="770"/>
      <c r="IU799" s="770"/>
      <c r="IV799" s="770"/>
      <c r="IW799" s="770"/>
      <c r="IX799" s="770"/>
      <c r="IY799" s="770"/>
      <c r="IZ799" s="770"/>
      <c r="JA799" s="770"/>
      <c r="JB799" s="770"/>
      <c r="JC799" s="770"/>
      <c r="JD799" s="302"/>
      <c r="JE799" s="770"/>
      <c r="JF799" s="770"/>
      <c r="JG799" s="770"/>
      <c r="JH799" s="307"/>
      <c r="JI799" s="307"/>
      <c r="JJ799" s="770">
        <v>5</v>
      </c>
      <c r="JK799" s="1139" t="s">
        <v>5118</v>
      </c>
      <c r="JL799" s="770">
        <v>2</v>
      </c>
      <c r="JM799" s="770">
        <v>1</v>
      </c>
      <c r="JN799" s="770"/>
      <c r="JO799" s="770">
        <v>1</v>
      </c>
      <c r="JP799" s="770">
        <v>1</v>
      </c>
      <c r="JQ799" s="770"/>
      <c r="JR799" s="770"/>
      <c r="JS799" s="770"/>
      <c r="JT799" s="766">
        <f t="shared" si="248"/>
        <v>3</v>
      </c>
      <c r="JU799" s="766">
        <f t="shared" si="248"/>
        <v>2</v>
      </c>
      <c r="JV799" s="712" t="str">
        <f t="shared" si="250"/>
        <v>ok</v>
      </c>
      <c r="JW799" s="712" t="str">
        <f t="shared" si="251"/>
        <v>ok</v>
      </c>
      <c r="JX799" s="770"/>
      <c r="JY799" s="770">
        <v>1</v>
      </c>
      <c r="JZ799" s="770">
        <v>2</v>
      </c>
      <c r="KA799" s="770"/>
      <c r="KB799" s="770"/>
      <c r="KC799" s="770"/>
      <c r="KD799" s="770"/>
      <c r="KE799" s="770">
        <v>1</v>
      </c>
      <c r="KF799" s="770">
        <v>1</v>
      </c>
      <c r="KG799" s="770"/>
      <c r="KH799" s="770"/>
      <c r="KI799" s="770"/>
      <c r="KJ799" s="770">
        <f t="shared" si="249"/>
        <v>3</v>
      </c>
      <c r="KK799" s="770">
        <f t="shared" si="249"/>
        <v>2</v>
      </c>
      <c r="KL799" s="712" t="str">
        <f t="shared" si="252"/>
        <v>ok</v>
      </c>
      <c r="KM799" s="712" t="str">
        <f t="shared" si="253"/>
        <v>ok</v>
      </c>
      <c r="KN799" s="770" t="s">
        <v>722</v>
      </c>
      <c r="KO799" s="770"/>
      <c r="KP799" s="770">
        <v>1</v>
      </c>
      <c r="KQ799" s="770"/>
      <c r="KR799" s="770"/>
      <c r="KS799" s="770"/>
      <c r="KT799" s="770">
        <v>1</v>
      </c>
      <c r="KU799" s="770"/>
      <c r="KV799" s="770"/>
      <c r="KW799" s="770"/>
      <c r="KX799" s="770">
        <v>1</v>
      </c>
      <c r="KY799" s="770"/>
      <c r="KZ799" s="770"/>
      <c r="LA799" s="770"/>
      <c r="LB799" s="770"/>
      <c r="LC799" s="770"/>
      <c r="LD799" s="770"/>
      <c r="LE799" s="770">
        <v>1</v>
      </c>
      <c r="LF799" s="770"/>
      <c r="LG799" s="770"/>
      <c r="LH799" s="770"/>
      <c r="LI799" s="770"/>
      <c r="LJ799" s="770"/>
      <c r="LK799" s="770">
        <v>1</v>
      </c>
      <c r="LL799" s="770"/>
      <c r="LM799" s="770"/>
      <c r="LN799" s="766">
        <f t="shared" si="230"/>
        <v>3</v>
      </c>
      <c r="LO799" s="766">
        <f t="shared" si="230"/>
        <v>2</v>
      </c>
      <c r="LP799" s="770">
        <v>1</v>
      </c>
      <c r="LQ799" s="770"/>
      <c r="LR799" s="770"/>
      <c r="LS799" s="770">
        <v>1</v>
      </c>
      <c r="LT799" s="712" t="str">
        <f t="shared" si="254"/>
        <v>OK</v>
      </c>
      <c r="LU799" s="770"/>
      <c r="LV799" s="770"/>
      <c r="LW799" s="770"/>
      <c r="LX799" s="769">
        <v>1</v>
      </c>
      <c r="LY799" s="766" t="str">
        <f t="shared" si="231"/>
        <v>within the BRGY</v>
      </c>
      <c r="LZ799" s="1709"/>
      <c r="MA799" s="1709"/>
      <c r="MB799" s="1709"/>
      <c r="MC799" s="1679">
        <f t="shared" si="229"/>
        <v>0</v>
      </c>
      <c r="MD799" s="1709"/>
      <c r="ME799" s="1709"/>
      <c r="MF799" s="1709">
        <f>200*26</f>
        <v>5200</v>
      </c>
      <c r="MG799" s="1680">
        <f t="shared" si="255"/>
        <v>5200</v>
      </c>
      <c r="MH799" s="770" t="s">
        <v>14017</v>
      </c>
      <c r="MI799" s="302">
        <f>250*30</f>
        <v>7500</v>
      </c>
      <c r="MJ799" s="302">
        <f>80*30</f>
        <v>2400</v>
      </c>
      <c r="MK799" s="302">
        <v>500</v>
      </c>
      <c r="ML799" s="302"/>
      <c r="MM799" s="302">
        <v>800</v>
      </c>
      <c r="MN799" s="302"/>
      <c r="MO799" s="302">
        <v>250</v>
      </c>
      <c r="MP799" s="302">
        <v>200</v>
      </c>
      <c r="MQ799" s="302"/>
      <c r="MR799" s="302">
        <v>500</v>
      </c>
      <c r="MS799" s="302">
        <v>500</v>
      </c>
      <c r="MT799" s="302"/>
      <c r="MU799" s="302"/>
      <c r="MV799" s="302"/>
      <c r="MW799" s="302"/>
      <c r="MX799" s="302"/>
      <c r="MY799" s="1682">
        <f t="shared" si="243"/>
        <v>12650</v>
      </c>
      <c r="MZ799" s="770" t="s">
        <v>13395</v>
      </c>
      <c r="NA799" s="770" t="s">
        <v>1249</v>
      </c>
      <c r="NB799" s="770" t="s">
        <v>13161</v>
      </c>
      <c r="NC799" s="770" t="s">
        <v>13965</v>
      </c>
      <c r="ND799" s="770">
        <v>0</v>
      </c>
      <c r="NE799" s="770">
        <v>0</v>
      </c>
      <c r="NF799" s="770">
        <v>0</v>
      </c>
      <c r="NG799" s="770">
        <v>1</v>
      </c>
      <c r="NH799" s="770">
        <v>1</v>
      </c>
      <c r="NI799" s="770">
        <v>1</v>
      </c>
      <c r="NJ799" s="770">
        <v>0</v>
      </c>
      <c r="NK799" s="770">
        <v>0</v>
      </c>
      <c r="NL799" s="770">
        <v>0</v>
      </c>
      <c r="NM799" s="770">
        <v>0</v>
      </c>
      <c r="NN799" s="770">
        <v>0</v>
      </c>
      <c r="NO799" s="770">
        <v>0</v>
      </c>
      <c r="NP799" s="770">
        <v>0</v>
      </c>
      <c r="NQ799" s="770">
        <v>0</v>
      </c>
      <c r="NR799" s="770">
        <v>0</v>
      </c>
      <c r="NS799" s="770">
        <v>0</v>
      </c>
      <c r="NT799" s="770">
        <v>0</v>
      </c>
      <c r="NU799" s="770">
        <v>0</v>
      </c>
      <c r="NV799" s="770">
        <v>0</v>
      </c>
      <c r="NW799" s="770">
        <v>0</v>
      </c>
      <c r="NX799" s="770">
        <v>0</v>
      </c>
      <c r="NY799" s="770" t="s">
        <v>1208</v>
      </c>
      <c r="NZ799" s="770" t="s">
        <v>1208</v>
      </c>
      <c r="OA799" s="770" t="s">
        <v>1208</v>
      </c>
      <c r="OB799" s="770" t="s">
        <v>1208</v>
      </c>
      <c r="OC799" s="770" t="s">
        <v>1208</v>
      </c>
      <c r="OD799" s="770" t="s">
        <v>1208</v>
      </c>
      <c r="OE799" s="770"/>
      <c r="OF799" s="770" t="s">
        <v>13277</v>
      </c>
      <c r="OG799" s="770" t="s">
        <v>1208</v>
      </c>
      <c r="OH799" s="770"/>
      <c r="OI799" s="770"/>
      <c r="OJ799" s="770"/>
      <c r="OK799" s="770"/>
      <c r="OL799" s="770"/>
      <c r="OM799" s="770"/>
      <c r="ON799" s="770"/>
      <c r="OO799" s="770" t="s">
        <v>1214</v>
      </c>
      <c r="OP799" s="770"/>
      <c r="OQ799" s="770"/>
      <c r="OR799" s="770"/>
      <c r="OS799" s="770"/>
      <c r="OT799" s="770"/>
      <c r="OU799" s="770"/>
      <c r="OV799" s="770"/>
      <c r="OW799" s="770"/>
      <c r="OX799" s="770"/>
      <c r="OY799" s="770"/>
      <c r="OZ799" s="770"/>
      <c r="PA799" s="770"/>
      <c r="PB799" s="770"/>
      <c r="PC799" s="770"/>
      <c r="PD799" s="770"/>
      <c r="PE799" s="770"/>
      <c r="PF799" s="770"/>
      <c r="PG799" s="770"/>
      <c r="PH799" s="770" t="s">
        <v>1208</v>
      </c>
      <c r="PI799" s="770"/>
      <c r="PJ799" s="770"/>
      <c r="PK799" s="770" t="s">
        <v>1208</v>
      </c>
      <c r="PL799" s="770"/>
      <c r="PM799" s="770" t="s">
        <v>1208</v>
      </c>
      <c r="PN799" s="770"/>
      <c r="PO799" s="770"/>
      <c r="PP799" s="770"/>
      <c r="PQ799" s="770"/>
      <c r="PR799" s="770"/>
      <c r="PS799" s="770"/>
      <c r="PT799" s="770"/>
      <c r="PU799" s="770"/>
      <c r="PV799" s="770"/>
      <c r="PW799" s="770"/>
      <c r="PX799" s="770"/>
      <c r="PY799" s="770"/>
      <c r="PZ799" s="770"/>
      <c r="QA799" s="770"/>
      <c r="QB799" s="770"/>
      <c r="QC799" s="770"/>
      <c r="QD799" s="770"/>
      <c r="QE799" s="770"/>
      <c r="QF799" s="770"/>
      <c r="QG799" s="770"/>
      <c r="QH799" s="770"/>
      <c r="QI799" s="770"/>
      <c r="QJ799" s="770"/>
      <c r="QK799" s="770"/>
      <c r="QL799" s="770"/>
      <c r="QM799" s="770"/>
      <c r="QN799" s="770"/>
      <c r="QO799" s="770"/>
      <c r="QP799" s="770"/>
      <c r="QQ799" s="770"/>
      <c r="QR799" s="770"/>
      <c r="QS799" s="770"/>
      <c r="QT799" s="770"/>
      <c r="QU799" s="770"/>
      <c r="QV799" s="770"/>
      <c r="QW799" s="770"/>
      <c r="QX799" s="770"/>
      <c r="QY799" s="770"/>
      <c r="QZ799" s="770"/>
      <c r="RA799" s="770"/>
      <c r="RB799" s="770" t="s">
        <v>1207</v>
      </c>
      <c r="RC799" s="770">
        <v>2013</v>
      </c>
      <c r="RD799" s="770" t="s">
        <v>13036</v>
      </c>
      <c r="RE799" s="770" t="s">
        <v>12999</v>
      </c>
      <c r="RF799" s="304">
        <v>0.5</v>
      </c>
      <c r="RG799" s="770" t="s">
        <v>13047</v>
      </c>
      <c r="RH799" s="306">
        <v>0</v>
      </c>
      <c r="RI799" s="770">
        <v>12</v>
      </c>
      <c r="RJ799" s="94" t="s">
        <v>14018</v>
      </c>
      <c r="RK799" s="770" t="s">
        <v>13556</v>
      </c>
      <c r="RL799" s="1710">
        <v>42851</v>
      </c>
      <c r="RM799" s="12"/>
      <c r="RN799" s="1711"/>
      <c r="RO799" s="149" t="s">
        <v>5117</v>
      </c>
      <c r="RP799" s="11"/>
      <c r="RQ799" s="11"/>
      <c r="RR799" s="311" t="s">
        <v>7421</v>
      </c>
      <c r="RS799" s="1139" t="s">
        <v>12980</v>
      </c>
      <c r="RT799" s="11"/>
      <c r="RU799" s="11"/>
      <c r="RV799" s="771" t="s">
        <v>7421</v>
      </c>
      <c r="RW799" s="11" t="s">
        <v>7912</v>
      </c>
      <c r="RX799" s="11" t="s">
        <v>5111</v>
      </c>
      <c r="RY799" s="11"/>
      <c r="RZ799" s="11" t="s">
        <v>2209</v>
      </c>
      <c r="SA799" s="771"/>
      <c r="SB799" s="11"/>
      <c r="SC799" s="11"/>
    </row>
    <row r="800" spans="1:497" ht="12.75" customHeight="1">
      <c r="A800" s="19" t="s">
        <v>7421</v>
      </c>
      <c r="B800" s="292" t="s">
        <v>7478</v>
      </c>
      <c r="C800" s="149" t="s">
        <v>3236</v>
      </c>
      <c r="D800" s="94" t="s">
        <v>5751</v>
      </c>
      <c r="E800" s="766" t="s">
        <v>5309</v>
      </c>
      <c r="F800" s="770" t="s">
        <v>28</v>
      </c>
      <c r="G800" s="770" t="s">
        <v>18</v>
      </c>
      <c r="H800" s="12"/>
      <c r="I800" s="295" t="s">
        <v>5183</v>
      </c>
      <c r="J800" s="94" t="s">
        <v>5184</v>
      </c>
      <c r="K800" s="766" t="s">
        <v>5185</v>
      </c>
      <c r="L800" s="766" t="s">
        <v>3434</v>
      </c>
      <c r="M800" s="770" t="s">
        <v>1238</v>
      </c>
      <c r="N800" s="1757"/>
      <c r="O800" s="1757" t="s">
        <v>3255</v>
      </c>
      <c r="P800" s="94" t="s">
        <v>5186</v>
      </c>
      <c r="Q800" s="1088">
        <v>18155</v>
      </c>
      <c r="R800" s="297">
        <v>67</v>
      </c>
      <c r="S800" s="770" t="s">
        <v>18</v>
      </c>
      <c r="T800" s="770"/>
      <c r="U800" s="298" t="s">
        <v>5187</v>
      </c>
      <c r="V800" s="770" t="s">
        <v>719</v>
      </c>
      <c r="W800" s="770"/>
      <c r="X800" s="770"/>
      <c r="Y800" s="770" t="s">
        <v>3237</v>
      </c>
      <c r="Z800" s="770" t="s">
        <v>708</v>
      </c>
      <c r="AA800" s="770" t="s">
        <v>723</v>
      </c>
      <c r="AB800" s="770" t="s">
        <v>710</v>
      </c>
      <c r="AC800" s="770" t="s">
        <v>724</v>
      </c>
      <c r="AD800" s="770"/>
      <c r="AE800" s="770"/>
      <c r="AF800" s="770" t="s">
        <v>798</v>
      </c>
      <c r="AG800" s="766" t="s">
        <v>1095</v>
      </c>
      <c r="AH800" s="766" t="s">
        <v>1096</v>
      </c>
      <c r="AI800" s="770" t="s">
        <v>3294</v>
      </c>
      <c r="AJ800" s="770"/>
      <c r="AK800" s="770" t="s">
        <v>1101</v>
      </c>
      <c r="AL800" s="531">
        <v>115</v>
      </c>
      <c r="AM800" s="780">
        <v>21</v>
      </c>
      <c r="AN800" s="532">
        <f>AM800/AL800</f>
        <v>0.18260869565217391</v>
      </c>
      <c r="AO800" s="766" t="s">
        <v>1109</v>
      </c>
      <c r="AP800" s="766"/>
      <c r="AQ800" s="766"/>
      <c r="AR800" s="766"/>
      <c r="AS800" s="409"/>
      <c r="AT800" s="770"/>
      <c r="AU800" s="770"/>
      <c r="AV800" s="770"/>
      <c r="AW800" s="770"/>
      <c r="AX800" s="770"/>
      <c r="AY800" s="770"/>
      <c r="AZ800" s="770"/>
      <c r="BA800" s="770"/>
      <c r="BB800" s="770"/>
      <c r="BC800" s="770"/>
      <c r="BD800" s="770"/>
      <c r="BE800" s="770"/>
      <c r="BF800" s="302"/>
      <c r="BG800" s="302"/>
      <c r="BH800" s="770"/>
      <c r="BI800" s="770"/>
      <c r="BJ800" s="770"/>
      <c r="BK800" s="766" t="s">
        <v>1095</v>
      </c>
      <c r="BL800" s="766" t="s">
        <v>5188</v>
      </c>
      <c r="BM800" s="766" t="s">
        <v>1096</v>
      </c>
      <c r="BN800" s="766" t="s">
        <v>1230</v>
      </c>
      <c r="BO800" s="770" t="s">
        <v>1333</v>
      </c>
      <c r="BP800" s="1109">
        <v>210</v>
      </c>
      <c r="BQ800" s="773">
        <v>29.4</v>
      </c>
      <c r="BR800" s="774">
        <f t="shared" si="247"/>
        <v>0.13999999999999999</v>
      </c>
      <c r="BS800" s="766" t="s">
        <v>1242</v>
      </c>
      <c r="BT800" s="766" t="s">
        <v>8133</v>
      </c>
      <c r="BU800" s="770" t="s">
        <v>1249</v>
      </c>
      <c r="BV800" s="770" t="s">
        <v>1247</v>
      </c>
      <c r="BW800" s="770">
        <v>1989</v>
      </c>
      <c r="BX800" s="302"/>
      <c r="BY800" s="770"/>
      <c r="BZ800" s="302"/>
      <c r="CA800" s="770"/>
      <c r="CB800" s="770"/>
      <c r="CC800" s="770"/>
      <c r="CD800" s="770"/>
      <c r="CE800" s="302"/>
      <c r="CF800" s="304"/>
      <c r="CG800" s="321"/>
      <c r="CH800" s="770"/>
      <c r="CI800" s="770"/>
      <c r="CJ800" s="770"/>
      <c r="CK800" s="770"/>
      <c r="CL800" s="770"/>
      <c r="CM800" s="770"/>
      <c r="CN800" s="770"/>
      <c r="CO800" s="770"/>
      <c r="CP800" s="770"/>
      <c r="CQ800" s="770"/>
      <c r="CR800" s="302"/>
      <c r="CS800" s="770"/>
      <c r="CT800" s="770"/>
      <c r="CU800" s="305"/>
      <c r="CV800" s="770"/>
      <c r="CW800" s="770"/>
      <c r="CX800" s="770"/>
      <c r="CY800" s="770"/>
      <c r="CZ800" s="770"/>
      <c r="DA800" s="306"/>
      <c r="DB800" s="770"/>
      <c r="DC800" s="770"/>
      <c r="DD800" s="770"/>
      <c r="DE800" s="300"/>
      <c r="DF800" s="770"/>
      <c r="DG800" s="770"/>
      <c r="DH800" s="770"/>
      <c r="DI800" s="770"/>
      <c r="DJ800" s="770"/>
      <c r="DK800" s="770"/>
      <c r="DL800" s="770"/>
      <c r="DM800" s="770"/>
      <c r="DN800" s="322"/>
      <c r="DO800" s="770"/>
      <c r="DP800" s="770"/>
      <c r="DQ800" s="770"/>
      <c r="DR800" s="770"/>
      <c r="DS800" s="307"/>
      <c r="DT800" s="770"/>
      <c r="DU800" s="770"/>
      <c r="DV800" s="770"/>
      <c r="DW800" s="306"/>
      <c r="DX800" s="306"/>
      <c r="DY800" s="1055"/>
      <c r="DZ800" s="770"/>
      <c r="EA800" s="770"/>
      <c r="EB800" s="770"/>
      <c r="EC800" s="770"/>
      <c r="ED800" s="770"/>
      <c r="EE800" s="770"/>
      <c r="EF800" s="770"/>
      <c r="EG800" s="770"/>
      <c r="EH800" s="770"/>
      <c r="EI800" s="770"/>
      <c r="EJ800" s="770"/>
      <c r="EK800" s="770"/>
      <c r="EL800" s="770"/>
      <c r="EM800" s="770"/>
      <c r="EN800" s="770"/>
      <c r="EO800" s="770"/>
      <c r="EP800" s="94"/>
      <c r="EQ800" s="770"/>
      <c r="ER800" s="770"/>
      <c r="ES800" s="770"/>
      <c r="ET800" s="770"/>
      <c r="EU800" s="770"/>
      <c r="EV800" s="770"/>
      <c r="EW800" s="770"/>
      <c r="EX800" s="770"/>
      <c r="EY800" s="770"/>
      <c r="EZ800" s="770"/>
      <c r="FA800" s="770"/>
      <c r="FB800" s="770"/>
      <c r="FC800" s="770"/>
      <c r="FD800" s="302"/>
      <c r="FE800" s="770"/>
      <c r="FF800" s="770"/>
      <c r="FG800" s="770"/>
      <c r="FH800" s="770" t="s">
        <v>478</v>
      </c>
      <c r="FI800" s="770"/>
      <c r="FJ800" s="770"/>
      <c r="FK800" s="770"/>
      <c r="FL800" s="770"/>
      <c r="FM800" s="302"/>
      <c r="FN800" s="302"/>
      <c r="FO800" s="302"/>
      <c r="FP800" s="770" t="s">
        <v>1600</v>
      </c>
      <c r="FQ800" s="770" t="s">
        <v>1642</v>
      </c>
      <c r="FR800" s="770" t="s">
        <v>1214</v>
      </c>
      <c r="FS800" s="770"/>
      <c r="FT800" s="770"/>
      <c r="FU800" s="770"/>
      <c r="FV800" s="770"/>
      <c r="FW800" s="770"/>
      <c r="FX800" s="770"/>
      <c r="FY800" s="770"/>
      <c r="FZ800" s="770"/>
      <c r="GA800" s="770"/>
      <c r="GB800" s="770" t="s">
        <v>1734</v>
      </c>
      <c r="GC800" s="308"/>
      <c r="GD800" s="297">
        <v>1989</v>
      </c>
      <c r="GE800" s="770" t="s">
        <v>1214</v>
      </c>
      <c r="GF800" s="302"/>
      <c r="GG800" s="302"/>
      <c r="GH800" s="770"/>
      <c r="GI800" s="770"/>
      <c r="GJ800" s="770"/>
      <c r="GK800" s="770"/>
      <c r="GL800" s="770"/>
      <c r="GM800" s="770"/>
      <c r="GN800" s="299"/>
      <c r="GO800" s="770"/>
      <c r="GP800" s="770"/>
      <c r="GQ800" s="770"/>
      <c r="GR800" s="770"/>
      <c r="GS800" s="770"/>
      <c r="GT800" s="770"/>
      <c r="GU800" s="770"/>
      <c r="GV800" s="770"/>
      <c r="GW800" s="770"/>
      <c r="GX800" s="770"/>
      <c r="GY800" s="770"/>
      <c r="GZ800" s="770"/>
      <c r="HA800" s="770"/>
      <c r="HB800" s="770"/>
      <c r="HC800" s="770"/>
      <c r="HD800" s="770"/>
      <c r="HE800" s="770"/>
      <c r="HF800" s="770"/>
      <c r="HG800" s="770"/>
      <c r="HH800" s="770"/>
      <c r="HI800" s="770"/>
      <c r="HJ800" s="770"/>
      <c r="HK800" s="770"/>
      <c r="HL800" s="770"/>
      <c r="HM800" s="770"/>
      <c r="HN800" s="770"/>
      <c r="HO800" s="770"/>
      <c r="HP800" s="770"/>
      <c r="HQ800" s="770"/>
      <c r="HR800" s="770"/>
      <c r="HS800" s="770"/>
      <c r="HT800" s="770"/>
      <c r="HU800" s="770"/>
      <c r="HV800" s="770"/>
      <c r="HW800" s="770"/>
      <c r="HX800" s="770"/>
      <c r="HY800" s="770"/>
      <c r="HZ800" s="770"/>
      <c r="IA800" s="770"/>
      <c r="IB800" s="14" t="e">
        <f>IF(#REF!&gt;0,IF(#REF!&lt;=10000,"Y",""),"")</f>
        <v>#REF!</v>
      </c>
      <c r="IC800" s="770" t="s">
        <v>1207</v>
      </c>
      <c r="ID800" s="770">
        <v>1</v>
      </c>
      <c r="IE800" s="770"/>
      <c r="IF800" s="770"/>
      <c r="IG800" s="770"/>
      <c r="IH800" s="770"/>
      <c r="II800" s="770"/>
      <c r="IJ800" s="770"/>
      <c r="IK800" s="770"/>
      <c r="IL800" s="770"/>
      <c r="IM800" s="770"/>
      <c r="IN800" s="770"/>
      <c r="IO800" s="296"/>
      <c r="IP800" s="770"/>
      <c r="IQ800" s="770"/>
      <c r="IR800" s="770"/>
      <c r="IS800" s="770"/>
      <c r="IT800" s="770"/>
      <c r="IU800" s="770"/>
      <c r="IV800" s="770"/>
      <c r="IW800" s="770"/>
      <c r="IX800" s="770"/>
      <c r="IY800" s="770"/>
      <c r="IZ800" s="770"/>
      <c r="JA800" s="770"/>
      <c r="JB800" s="770"/>
      <c r="JC800" s="770"/>
      <c r="JD800" s="302"/>
      <c r="JE800" s="770"/>
      <c r="JF800" s="770"/>
      <c r="JG800" s="770"/>
      <c r="JH800" s="307"/>
      <c r="JI800" s="712" t="str">
        <f>IF(SUM(JT800,JU800)=JJ800,"ok","review")</f>
        <v>ok</v>
      </c>
      <c r="JJ800" s="770">
        <v>2</v>
      </c>
      <c r="JK800" s="1139" t="s">
        <v>5189</v>
      </c>
      <c r="JL800" s="770"/>
      <c r="JM800" s="770"/>
      <c r="JN800" s="770">
        <v>1</v>
      </c>
      <c r="JO800" s="770"/>
      <c r="JP800" s="770"/>
      <c r="JQ800" s="770">
        <v>1</v>
      </c>
      <c r="JR800" s="770"/>
      <c r="JS800" s="770"/>
      <c r="JT800" s="766">
        <f t="shared" si="248"/>
        <v>1</v>
      </c>
      <c r="JU800" s="766">
        <f t="shared" si="248"/>
        <v>1</v>
      </c>
      <c r="JV800" s="712" t="str">
        <f t="shared" si="250"/>
        <v>ok</v>
      </c>
      <c r="JW800" s="712" t="str">
        <f t="shared" si="251"/>
        <v>ok</v>
      </c>
      <c r="JX800" s="770"/>
      <c r="JY800" s="770"/>
      <c r="JZ800" s="770"/>
      <c r="KA800" s="770"/>
      <c r="KB800" s="770"/>
      <c r="KC800" s="770"/>
      <c r="KD800" s="770">
        <v>1</v>
      </c>
      <c r="KE800" s="770"/>
      <c r="KF800" s="770"/>
      <c r="KG800" s="770">
        <v>1</v>
      </c>
      <c r="KH800" s="770"/>
      <c r="KI800" s="770"/>
      <c r="KJ800" s="770">
        <f t="shared" si="249"/>
        <v>1</v>
      </c>
      <c r="KK800" s="770">
        <f t="shared" si="249"/>
        <v>1</v>
      </c>
      <c r="KL800" s="712" t="str">
        <f t="shared" si="252"/>
        <v>ok</v>
      </c>
      <c r="KM800" s="712" t="str">
        <f t="shared" si="253"/>
        <v>ok</v>
      </c>
      <c r="KN800" s="770" t="s">
        <v>719</v>
      </c>
      <c r="KO800" s="770"/>
      <c r="KP800" s="770"/>
      <c r="KQ800" s="770"/>
      <c r="KR800" s="770"/>
      <c r="KS800" s="770"/>
      <c r="KT800" s="770"/>
      <c r="KU800" s="770"/>
      <c r="KV800" s="770"/>
      <c r="KW800" s="770">
        <v>1</v>
      </c>
      <c r="KX800" s="770"/>
      <c r="KY800" s="770"/>
      <c r="KZ800" s="770"/>
      <c r="LA800" s="770"/>
      <c r="LB800" s="770"/>
      <c r="LC800" s="770"/>
      <c r="LD800" s="770"/>
      <c r="LE800" s="770"/>
      <c r="LF800" s="770"/>
      <c r="LG800" s="770"/>
      <c r="LH800" s="770">
        <v>1</v>
      </c>
      <c r="LI800" s="770"/>
      <c r="LJ800" s="770"/>
      <c r="LK800" s="770"/>
      <c r="LL800" s="770"/>
      <c r="LM800" s="770"/>
      <c r="LN800" s="766">
        <f t="shared" si="230"/>
        <v>1</v>
      </c>
      <c r="LO800" s="766">
        <f t="shared" si="230"/>
        <v>1</v>
      </c>
      <c r="LP800" s="770">
        <v>2</v>
      </c>
      <c r="LQ800" s="770">
        <v>1</v>
      </c>
      <c r="LR800" s="770"/>
      <c r="LS800" s="770">
        <v>1</v>
      </c>
      <c r="LT800" s="712" t="str">
        <f t="shared" si="254"/>
        <v>OK</v>
      </c>
      <c r="LU800" s="770"/>
      <c r="LV800" s="770">
        <v>1</v>
      </c>
      <c r="LW800" s="770"/>
      <c r="LX800" s="769">
        <v>1</v>
      </c>
      <c r="LY800" s="766" t="str">
        <f t="shared" si="231"/>
        <v>within the BRGY</v>
      </c>
      <c r="LZ800" s="1709">
        <v>960</v>
      </c>
      <c r="MA800" s="1709"/>
      <c r="MB800" s="1709"/>
      <c r="MC800" s="1679">
        <f t="shared" si="229"/>
        <v>960</v>
      </c>
      <c r="MD800" s="1709">
        <v>12000</v>
      </c>
      <c r="ME800" s="1709"/>
      <c r="MF800" s="1709">
        <f>SUM(3000,2400)</f>
        <v>5400</v>
      </c>
      <c r="MG800" s="1680">
        <f t="shared" si="255"/>
        <v>17400</v>
      </c>
      <c r="MH800" s="770" t="s">
        <v>5317</v>
      </c>
      <c r="MI800" s="302">
        <v>3000</v>
      </c>
      <c r="MJ800" s="302">
        <v>960</v>
      </c>
      <c r="MK800" s="302"/>
      <c r="ML800" s="302">
        <v>1000</v>
      </c>
      <c r="MM800" s="302"/>
      <c r="MN800" s="302"/>
      <c r="MO800" s="302">
        <v>20</v>
      </c>
      <c r="MP800" s="302">
        <v>1500</v>
      </c>
      <c r="MQ800" s="302">
        <v>600</v>
      </c>
      <c r="MR800" s="302">
        <v>500</v>
      </c>
      <c r="MS800" s="302"/>
      <c r="MT800" s="302"/>
      <c r="MU800" s="302"/>
      <c r="MV800" s="302"/>
      <c r="MW800" s="302"/>
      <c r="MX800" s="302"/>
      <c r="MY800" s="1682">
        <f t="shared" si="243"/>
        <v>7580</v>
      </c>
      <c r="MZ800" s="770" t="s">
        <v>13370</v>
      </c>
      <c r="NA800" s="770" t="s">
        <v>13005</v>
      </c>
      <c r="NB800" s="770" t="s">
        <v>13016</v>
      </c>
      <c r="NC800" s="770" t="s">
        <v>13602</v>
      </c>
      <c r="ND800" s="770">
        <v>0</v>
      </c>
      <c r="NE800" s="770">
        <v>0</v>
      </c>
      <c r="NF800" s="770">
        <v>0</v>
      </c>
      <c r="NG800" s="770">
        <v>4</v>
      </c>
      <c r="NH800" s="770">
        <v>1</v>
      </c>
      <c r="NI800" s="770">
        <v>0</v>
      </c>
      <c r="NJ800" s="770">
        <v>0</v>
      </c>
      <c r="NK800" s="770">
        <v>0</v>
      </c>
      <c r="NL800" s="770">
        <v>1</v>
      </c>
      <c r="NM800" s="770">
        <v>1</v>
      </c>
      <c r="NN800" s="770">
        <v>0</v>
      </c>
      <c r="NO800" s="770">
        <v>0</v>
      </c>
      <c r="NP800" s="770">
        <v>0</v>
      </c>
      <c r="NQ800" s="770">
        <v>0</v>
      </c>
      <c r="NR800" s="770">
        <v>0</v>
      </c>
      <c r="NS800" s="770">
        <v>0</v>
      </c>
      <c r="NT800" s="770">
        <v>0</v>
      </c>
      <c r="NU800" s="770">
        <v>0</v>
      </c>
      <c r="NV800" s="770">
        <v>0</v>
      </c>
      <c r="NW800" s="770">
        <v>0</v>
      </c>
      <c r="NX800" s="770">
        <v>0</v>
      </c>
      <c r="NY800" s="770" t="s">
        <v>1208</v>
      </c>
      <c r="NZ800" s="770"/>
      <c r="OA800" s="770"/>
      <c r="OB800" s="770"/>
      <c r="OC800" s="770" t="s">
        <v>1208</v>
      </c>
      <c r="OD800" s="770"/>
      <c r="OE800" s="770"/>
      <c r="OF800" s="770"/>
      <c r="OG800" s="770"/>
      <c r="OH800" s="770"/>
      <c r="OI800" s="770"/>
      <c r="OJ800" s="770"/>
      <c r="OK800" s="770"/>
      <c r="OL800" s="770"/>
      <c r="OM800" s="770"/>
      <c r="ON800" s="770"/>
      <c r="OO800" s="770"/>
      <c r="OP800" s="770"/>
      <c r="OQ800" s="770"/>
      <c r="OR800" s="770"/>
      <c r="OS800" s="770"/>
      <c r="OT800" s="770"/>
      <c r="OU800" s="770"/>
      <c r="OV800" s="770"/>
      <c r="OW800" s="770"/>
      <c r="OX800" s="770"/>
      <c r="OY800" s="770"/>
      <c r="OZ800" s="770"/>
      <c r="PA800" s="770"/>
      <c r="PB800" s="770"/>
      <c r="PC800" s="770"/>
      <c r="PD800" s="770"/>
      <c r="PE800" s="770"/>
      <c r="PF800" s="770"/>
      <c r="PG800" s="770"/>
      <c r="PH800" s="770"/>
      <c r="PI800" s="770"/>
      <c r="PJ800" s="770"/>
      <c r="PK800" s="770"/>
      <c r="PL800" s="770" t="s">
        <v>1208</v>
      </c>
      <c r="PM800" s="770" t="s">
        <v>1208</v>
      </c>
      <c r="PN800" s="770"/>
      <c r="PO800" s="770"/>
      <c r="PP800" s="770"/>
      <c r="PQ800" s="770"/>
      <c r="PR800" s="770"/>
      <c r="PS800" s="770"/>
      <c r="PT800" s="770"/>
      <c r="PU800" s="770"/>
      <c r="PV800" s="770"/>
      <c r="PW800" s="770"/>
      <c r="PX800" s="770"/>
      <c r="PY800" s="770"/>
      <c r="PZ800" s="770"/>
      <c r="QA800" s="770"/>
      <c r="QB800" s="770"/>
      <c r="QC800" s="770"/>
      <c r="QD800" s="770"/>
      <c r="QE800" s="770"/>
      <c r="QF800" s="770"/>
      <c r="QG800" s="770"/>
      <c r="QH800" s="770"/>
      <c r="QI800" s="770"/>
      <c r="QJ800" s="770"/>
      <c r="QK800" s="770"/>
      <c r="QL800" s="770"/>
      <c r="QM800" s="770"/>
      <c r="QN800" s="770"/>
      <c r="QO800" s="770"/>
      <c r="QP800" s="770"/>
      <c r="QQ800" s="770"/>
      <c r="QR800" s="770"/>
      <c r="QS800" s="770"/>
      <c r="QT800" s="770"/>
      <c r="QU800" s="770"/>
      <c r="QV800" s="770"/>
      <c r="QW800" s="770"/>
      <c r="QX800" s="770"/>
      <c r="QY800" s="770"/>
      <c r="QZ800" s="770"/>
      <c r="RA800" s="770"/>
      <c r="RB800" s="770" t="s">
        <v>1857</v>
      </c>
      <c r="RC800" s="770">
        <v>2014</v>
      </c>
      <c r="RD800" s="770" t="s">
        <v>13251</v>
      </c>
      <c r="RE800" s="770" t="s">
        <v>12999</v>
      </c>
      <c r="RF800" s="304">
        <v>0.1</v>
      </c>
      <c r="RG800" s="770" t="s">
        <v>13047</v>
      </c>
      <c r="RH800" s="306">
        <v>0</v>
      </c>
      <c r="RI800" s="770">
        <v>24</v>
      </c>
      <c r="RJ800" s="94" t="s">
        <v>5189</v>
      </c>
      <c r="RK800" s="770" t="s">
        <v>13550</v>
      </c>
      <c r="RL800" s="1710">
        <v>42851</v>
      </c>
      <c r="RM800" s="12"/>
      <c r="RN800" s="1711"/>
      <c r="RO800" s="149" t="s">
        <v>3236</v>
      </c>
      <c r="RP800" s="11"/>
      <c r="RQ800" s="11"/>
      <c r="RR800" s="19" t="s">
        <v>7421</v>
      </c>
      <c r="RS800" s="1139" t="s">
        <v>12980</v>
      </c>
      <c r="RT800" s="11"/>
      <c r="RU800" s="11"/>
      <c r="RV800" s="771" t="s">
        <v>7421</v>
      </c>
      <c r="RW800" s="11" t="s">
        <v>7913</v>
      </c>
      <c r="RX800" s="11" t="s">
        <v>5114</v>
      </c>
      <c r="RY800" s="11"/>
      <c r="RZ800" s="11" t="s">
        <v>2209</v>
      </c>
      <c r="SA800" s="771"/>
      <c r="SB800" s="11"/>
      <c r="SC800" s="11"/>
    </row>
    <row r="801" spans="1:497" ht="12.75" customHeight="1">
      <c r="A801" s="311" t="s">
        <v>14250</v>
      </c>
      <c r="B801" s="292" t="s">
        <v>7479</v>
      </c>
      <c r="C801" s="149" t="s">
        <v>3236</v>
      </c>
      <c r="D801" s="94" t="s">
        <v>3238</v>
      </c>
      <c r="E801" s="766" t="s">
        <v>5309</v>
      </c>
      <c r="F801" s="770" t="s">
        <v>20</v>
      </c>
      <c r="G801" s="770" t="s">
        <v>18</v>
      </c>
      <c r="H801" s="12"/>
      <c r="I801" s="295" t="s">
        <v>3239</v>
      </c>
      <c r="J801" s="94" t="s">
        <v>3248</v>
      </c>
      <c r="K801" s="770"/>
      <c r="L801" s="770"/>
      <c r="M801" s="770"/>
      <c r="N801" s="1757"/>
      <c r="O801" s="1757"/>
      <c r="P801" s="94" t="s">
        <v>3240</v>
      </c>
      <c r="Q801" s="1088">
        <v>26486</v>
      </c>
      <c r="R801" s="297">
        <v>45</v>
      </c>
      <c r="S801" s="770" t="s">
        <v>10</v>
      </c>
      <c r="T801" s="770"/>
      <c r="U801" s="295" t="s">
        <v>3239</v>
      </c>
      <c r="V801" s="770" t="s">
        <v>707</v>
      </c>
      <c r="W801" s="770"/>
      <c r="X801" s="770"/>
      <c r="Y801" s="770" t="s">
        <v>3237</v>
      </c>
      <c r="Z801" s="770" t="s">
        <v>708</v>
      </c>
      <c r="AA801" s="770" t="s">
        <v>2463</v>
      </c>
      <c r="AB801" s="770" t="s">
        <v>710</v>
      </c>
      <c r="AC801" s="770" t="s">
        <v>724</v>
      </c>
      <c r="AD801" s="770" t="s">
        <v>3241</v>
      </c>
      <c r="AE801" s="770"/>
      <c r="AF801" s="770" t="s">
        <v>712</v>
      </c>
      <c r="AG801" s="770"/>
      <c r="AH801" s="770"/>
      <c r="AI801" s="770"/>
      <c r="AJ801" s="770"/>
      <c r="AK801" s="770" t="s">
        <v>1101</v>
      </c>
      <c r="AL801" s="531"/>
      <c r="AM801" s="780"/>
      <c r="AN801" s="532"/>
      <c r="AO801" s="766"/>
      <c r="AP801" s="766"/>
      <c r="AQ801" s="766"/>
      <c r="AR801" s="766"/>
      <c r="AS801" s="770"/>
      <c r="AT801" s="770"/>
      <c r="AU801" s="770"/>
      <c r="AV801" s="770"/>
      <c r="AW801" s="770"/>
      <c r="AX801" s="770"/>
      <c r="AY801" s="770"/>
      <c r="AZ801" s="770"/>
      <c r="BA801" s="770"/>
      <c r="BB801" s="770"/>
      <c r="BC801" s="770"/>
      <c r="BD801" s="770"/>
      <c r="BE801" s="770"/>
      <c r="BF801" s="302"/>
      <c r="BG801" s="302"/>
      <c r="BH801" s="770"/>
      <c r="BI801" s="770"/>
      <c r="BJ801" s="770"/>
      <c r="BK801" s="766"/>
      <c r="BL801" s="766"/>
      <c r="BM801" s="766" t="s">
        <v>1238</v>
      </c>
      <c r="BN801" s="766" t="s">
        <v>1299</v>
      </c>
      <c r="BO801" s="770"/>
      <c r="BP801" s="765"/>
      <c r="BQ801" s="773"/>
      <c r="BR801" s="774"/>
      <c r="BS801" s="766" t="s">
        <v>1242</v>
      </c>
      <c r="BT801" s="770"/>
      <c r="BU801" s="770"/>
      <c r="BV801" s="770"/>
      <c r="BW801" s="770"/>
      <c r="BX801" s="302"/>
      <c r="BY801" s="770"/>
      <c r="BZ801" s="302"/>
      <c r="CA801" s="770"/>
      <c r="CB801" s="770"/>
      <c r="CC801" s="770"/>
      <c r="CD801" s="770"/>
      <c r="CE801" s="302"/>
      <c r="CF801" s="304"/>
      <c r="CG801" s="321"/>
      <c r="CH801" s="770"/>
      <c r="CI801" s="770"/>
      <c r="CJ801" s="770"/>
      <c r="CK801" s="770"/>
      <c r="CL801" s="770"/>
      <c r="CM801" s="770"/>
      <c r="CN801" s="770"/>
      <c r="CO801" s="770"/>
      <c r="CP801" s="770"/>
      <c r="CQ801" s="770"/>
      <c r="CR801" s="302"/>
      <c r="CS801" s="770"/>
      <c r="CT801" s="770"/>
      <c r="CU801" s="305"/>
      <c r="CV801" s="770"/>
      <c r="CW801" s="770"/>
      <c r="CX801" s="770"/>
      <c r="CY801" s="770"/>
      <c r="CZ801" s="770"/>
      <c r="DA801" s="306"/>
      <c r="DB801" s="770"/>
      <c r="DC801" s="770"/>
      <c r="DD801" s="770"/>
      <c r="DE801" s="300"/>
      <c r="DF801" s="770"/>
      <c r="DG801" s="770"/>
      <c r="DH801" s="770"/>
      <c r="DI801" s="770"/>
      <c r="DJ801" s="770"/>
      <c r="DK801" s="770"/>
      <c r="DL801" s="770"/>
      <c r="DM801" s="770"/>
      <c r="DN801" s="322"/>
      <c r="DO801" s="770"/>
      <c r="DP801" s="770"/>
      <c r="DQ801" s="770"/>
      <c r="DR801" s="770"/>
      <c r="DS801" s="307"/>
      <c r="DT801" s="770"/>
      <c r="DU801" s="770"/>
      <c r="DV801" s="770"/>
      <c r="DW801" s="306"/>
      <c r="DX801" s="306"/>
      <c r="DY801" s="1055"/>
      <c r="DZ801" s="770"/>
      <c r="EA801" s="770"/>
      <c r="EB801" s="770"/>
      <c r="EC801" s="770"/>
      <c r="ED801" s="770"/>
      <c r="EE801" s="770"/>
      <c r="EF801" s="770"/>
      <c r="EG801" s="770"/>
      <c r="EH801" s="770"/>
      <c r="EI801" s="770"/>
      <c r="EJ801" s="770"/>
      <c r="EK801" s="770"/>
      <c r="EL801" s="770"/>
      <c r="EM801" s="770"/>
      <c r="EN801" s="770"/>
      <c r="EO801" s="770"/>
      <c r="EP801" s="94"/>
      <c r="EQ801" s="770"/>
      <c r="ER801" s="770"/>
      <c r="ES801" s="770"/>
      <c r="ET801" s="770"/>
      <c r="EU801" s="770"/>
      <c r="EV801" s="770"/>
      <c r="EW801" s="770"/>
      <c r="EX801" s="770"/>
      <c r="EY801" s="770"/>
      <c r="EZ801" s="770"/>
      <c r="FA801" s="770"/>
      <c r="FB801" s="770"/>
      <c r="FC801" s="770"/>
      <c r="FD801" s="302"/>
      <c r="FE801" s="770"/>
      <c r="FF801" s="770"/>
      <c r="FG801" s="770"/>
      <c r="FH801" s="770" t="s">
        <v>1299</v>
      </c>
      <c r="FI801" s="770">
        <v>1</v>
      </c>
      <c r="FJ801" s="770" t="s">
        <v>3242</v>
      </c>
      <c r="FK801" s="770"/>
      <c r="FL801" s="770" t="s">
        <v>3237</v>
      </c>
      <c r="FM801" s="302"/>
      <c r="FN801" s="302"/>
      <c r="FO801" s="302"/>
      <c r="FP801" s="770" t="s">
        <v>1600</v>
      </c>
      <c r="FQ801" s="770" t="s">
        <v>1642</v>
      </c>
      <c r="FR801" s="770"/>
      <c r="FS801" s="770"/>
      <c r="FT801" s="770"/>
      <c r="FU801" s="770"/>
      <c r="FV801" s="770"/>
      <c r="FW801" s="770"/>
      <c r="FX801" s="770"/>
      <c r="FY801" s="770"/>
      <c r="FZ801" s="770"/>
      <c r="GA801" s="770"/>
      <c r="GB801" s="770"/>
      <c r="GC801" s="308"/>
      <c r="GD801" s="297"/>
      <c r="GE801" s="770"/>
      <c r="GF801" s="302"/>
      <c r="GG801" s="302"/>
      <c r="GH801" s="770"/>
      <c r="GI801" s="770"/>
      <c r="GJ801" s="770"/>
      <c r="GK801" s="770"/>
      <c r="GL801" s="770"/>
      <c r="GM801" s="770"/>
      <c r="GN801" s="299"/>
      <c r="GO801" s="770"/>
      <c r="GP801" s="770"/>
      <c r="GQ801" s="770"/>
      <c r="GR801" s="770"/>
      <c r="GS801" s="770"/>
      <c r="GT801" s="770"/>
      <c r="GU801" s="770"/>
      <c r="GV801" s="770"/>
      <c r="GW801" s="770"/>
      <c r="GX801" s="770"/>
      <c r="GY801" s="770"/>
      <c r="GZ801" s="770"/>
      <c r="HA801" s="770"/>
      <c r="HB801" s="770"/>
      <c r="HC801" s="770"/>
      <c r="HD801" s="770"/>
      <c r="HE801" s="770"/>
      <c r="HF801" s="770"/>
      <c r="HG801" s="770"/>
      <c r="HH801" s="770"/>
      <c r="HI801" s="770"/>
      <c r="HJ801" s="770"/>
      <c r="HK801" s="770"/>
      <c r="HL801" s="770"/>
      <c r="HM801" s="770"/>
      <c r="HN801" s="770"/>
      <c r="HO801" s="770"/>
      <c r="HP801" s="770"/>
      <c r="HQ801" s="770"/>
      <c r="HR801" s="770"/>
      <c r="HS801" s="770"/>
      <c r="HT801" s="770"/>
      <c r="HU801" s="770"/>
      <c r="HV801" s="770"/>
      <c r="HW801" s="770"/>
      <c r="HX801" s="770"/>
      <c r="HY801" s="770"/>
      <c r="HZ801" s="770"/>
      <c r="IA801" s="770"/>
      <c r="IB801" s="14" t="e">
        <f>IF(#REF!&gt;0,IF(#REF!&lt;=10000,"Y",""),"")</f>
        <v>#REF!</v>
      </c>
      <c r="IC801" s="770"/>
      <c r="ID801" s="770"/>
      <c r="IE801" s="770"/>
      <c r="IF801" s="770"/>
      <c r="IG801" s="770"/>
      <c r="IH801" s="770"/>
      <c r="II801" s="770"/>
      <c r="IJ801" s="770"/>
      <c r="IK801" s="770"/>
      <c r="IL801" s="770"/>
      <c r="IM801" s="770"/>
      <c r="IN801" s="770"/>
      <c r="IO801" s="296"/>
      <c r="IP801" s="770"/>
      <c r="IQ801" s="770"/>
      <c r="IR801" s="770"/>
      <c r="IS801" s="770"/>
      <c r="IT801" s="770"/>
      <c r="IU801" s="770"/>
      <c r="IV801" s="770"/>
      <c r="IW801" s="770"/>
      <c r="IX801" s="770"/>
      <c r="IY801" s="770"/>
      <c r="IZ801" s="770"/>
      <c r="JA801" s="770"/>
      <c r="JB801" s="770"/>
      <c r="JC801" s="770"/>
      <c r="JD801" s="302"/>
      <c r="JE801" s="770"/>
      <c r="JF801" s="770"/>
      <c r="JG801" s="770"/>
      <c r="JH801" s="307"/>
      <c r="JI801" s="307"/>
      <c r="JJ801" s="770">
        <v>3</v>
      </c>
      <c r="JK801" s="1139" t="s">
        <v>3243</v>
      </c>
      <c r="JL801" s="770"/>
      <c r="JM801" s="770"/>
      <c r="JN801" s="770">
        <v>2</v>
      </c>
      <c r="JO801" s="770">
        <v>1</v>
      </c>
      <c r="JP801" s="770"/>
      <c r="JQ801" s="770"/>
      <c r="JR801" s="770"/>
      <c r="JS801" s="770"/>
      <c r="JT801" s="766">
        <f t="shared" si="248"/>
        <v>2</v>
      </c>
      <c r="JU801" s="766">
        <f t="shared" si="248"/>
        <v>1</v>
      </c>
      <c r="JV801" s="712" t="str">
        <f t="shared" si="250"/>
        <v>ok</v>
      </c>
      <c r="JW801" s="712" t="str">
        <f t="shared" si="251"/>
        <v>ok</v>
      </c>
      <c r="JX801" s="770"/>
      <c r="JY801" s="770"/>
      <c r="JZ801" s="770"/>
      <c r="KA801" s="770"/>
      <c r="KB801" s="770">
        <v>1</v>
      </c>
      <c r="KC801" s="770"/>
      <c r="KD801" s="770">
        <v>1</v>
      </c>
      <c r="KE801" s="770">
        <v>1</v>
      </c>
      <c r="KF801" s="770"/>
      <c r="KG801" s="770"/>
      <c r="KH801" s="770"/>
      <c r="KI801" s="770"/>
      <c r="KJ801" s="770">
        <f t="shared" si="249"/>
        <v>2</v>
      </c>
      <c r="KK801" s="770">
        <f t="shared" si="249"/>
        <v>1</v>
      </c>
      <c r="KL801" s="712" t="str">
        <f t="shared" si="252"/>
        <v>ok</v>
      </c>
      <c r="KM801" s="712" t="str">
        <f t="shared" si="253"/>
        <v>ok</v>
      </c>
      <c r="KN801" s="770" t="s">
        <v>707</v>
      </c>
      <c r="KO801" s="770"/>
      <c r="KP801" s="770"/>
      <c r="KQ801" s="770"/>
      <c r="KR801" s="770"/>
      <c r="KS801" s="770"/>
      <c r="KT801" s="770"/>
      <c r="KU801" s="770"/>
      <c r="KV801" s="770"/>
      <c r="KW801" s="770"/>
      <c r="KX801" s="770">
        <v>1</v>
      </c>
      <c r="KY801" s="770"/>
      <c r="KZ801" s="770"/>
      <c r="LA801" s="770">
        <v>1</v>
      </c>
      <c r="LB801" s="770">
        <v>1</v>
      </c>
      <c r="LC801" s="770"/>
      <c r="LD801" s="770"/>
      <c r="LE801" s="770"/>
      <c r="LF801" s="770"/>
      <c r="LG801" s="770"/>
      <c r="LH801" s="770"/>
      <c r="LI801" s="770"/>
      <c r="LJ801" s="770"/>
      <c r="LK801" s="770"/>
      <c r="LL801" s="770"/>
      <c r="LM801" s="770"/>
      <c r="LN801" s="766">
        <f t="shared" si="230"/>
        <v>2</v>
      </c>
      <c r="LO801" s="766">
        <f t="shared" si="230"/>
        <v>1</v>
      </c>
      <c r="LP801" s="770">
        <v>1</v>
      </c>
      <c r="LQ801" s="770">
        <v>1</v>
      </c>
      <c r="LR801" s="770"/>
      <c r="LS801" s="770"/>
      <c r="LT801" s="712" t="str">
        <f t="shared" si="254"/>
        <v>OK</v>
      </c>
      <c r="LU801" s="770">
        <v>1</v>
      </c>
      <c r="LV801" s="770"/>
      <c r="LW801" s="770"/>
      <c r="LX801" s="769">
        <v>3</v>
      </c>
      <c r="LY801" s="766" t="str">
        <f t="shared" si="231"/>
        <v>within the PROVINCE</v>
      </c>
      <c r="LZ801" s="1709">
        <f>40*26</f>
        <v>1040</v>
      </c>
      <c r="MA801" s="1709"/>
      <c r="MB801" s="1709"/>
      <c r="MC801" s="1679">
        <f t="shared" si="229"/>
        <v>1040</v>
      </c>
      <c r="MD801" s="1709">
        <v>6000</v>
      </c>
      <c r="ME801" s="1709"/>
      <c r="MF801" s="1709"/>
      <c r="MG801" s="1680">
        <f t="shared" si="255"/>
        <v>6000</v>
      </c>
      <c r="MH801" s="770" t="s">
        <v>2225</v>
      </c>
      <c r="MI801" s="302">
        <f>80*30</f>
        <v>2400</v>
      </c>
      <c r="MJ801" s="302">
        <f>40*30</f>
        <v>1200</v>
      </c>
      <c r="MK801" s="302">
        <v>500</v>
      </c>
      <c r="ML801" s="302">
        <v>300</v>
      </c>
      <c r="MM801" s="302">
        <v>700</v>
      </c>
      <c r="MN801" s="302"/>
      <c r="MO801" s="302">
        <v>200</v>
      </c>
      <c r="MP801" s="302">
        <v>400</v>
      </c>
      <c r="MQ801" s="302">
        <v>600</v>
      </c>
      <c r="MR801" s="302">
        <v>200</v>
      </c>
      <c r="MS801" s="302"/>
      <c r="MT801" s="302"/>
      <c r="MU801" s="302"/>
      <c r="MV801" s="302"/>
      <c r="MW801" s="302"/>
      <c r="MX801" s="302"/>
      <c r="MY801" s="1682">
        <f t="shared" si="243"/>
        <v>6500</v>
      </c>
      <c r="MZ801" s="770" t="s">
        <v>13395</v>
      </c>
      <c r="NA801" s="770" t="s">
        <v>13005</v>
      </c>
      <c r="NB801" s="770" t="s">
        <v>13092</v>
      </c>
      <c r="NC801" s="770" t="s">
        <v>13965</v>
      </c>
      <c r="ND801" s="770">
        <v>0</v>
      </c>
      <c r="NE801" s="770">
        <v>0</v>
      </c>
      <c r="NF801" s="770">
        <v>0</v>
      </c>
      <c r="NG801" s="770">
        <v>1</v>
      </c>
      <c r="NH801" s="770">
        <v>1</v>
      </c>
      <c r="NI801" s="770">
        <v>1</v>
      </c>
      <c r="NJ801" s="770">
        <v>0</v>
      </c>
      <c r="NK801" s="770">
        <v>0</v>
      </c>
      <c r="NL801" s="770">
        <v>0</v>
      </c>
      <c r="NM801" s="770">
        <v>0</v>
      </c>
      <c r="NN801" s="770">
        <v>0</v>
      </c>
      <c r="NO801" s="770">
        <v>0</v>
      </c>
      <c r="NP801" s="770">
        <v>0</v>
      </c>
      <c r="NQ801" s="770">
        <v>0</v>
      </c>
      <c r="NR801" s="770">
        <v>0</v>
      </c>
      <c r="NS801" s="770">
        <v>0</v>
      </c>
      <c r="NT801" s="770">
        <v>0</v>
      </c>
      <c r="NU801" s="770">
        <v>0</v>
      </c>
      <c r="NV801" s="770">
        <v>0</v>
      </c>
      <c r="NW801" s="770">
        <v>1</v>
      </c>
      <c r="NX801" s="770">
        <v>0</v>
      </c>
      <c r="NY801" s="770" t="s">
        <v>1208</v>
      </c>
      <c r="NZ801" s="770" t="s">
        <v>1208</v>
      </c>
      <c r="OA801" s="770" t="s">
        <v>1208</v>
      </c>
      <c r="OB801" s="770" t="s">
        <v>1208</v>
      </c>
      <c r="OC801" s="770" t="s">
        <v>1208</v>
      </c>
      <c r="OD801" s="770" t="s">
        <v>1208</v>
      </c>
      <c r="OE801" s="770"/>
      <c r="OF801" s="770"/>
      <c r="OG801" s="770"/>
      <c r="OH801" s="770"/>
      <c r="OI801" s="770"/>
      <c r="OJ801" s="770"/>
      <c r="OK801" s="770"/>
      <c r="OL801" s="770"/>
      <c r="OM801" s="770"/>
      <c r="ON801" s="770"/>
      <c r="OO801" s="770"/>
      <c r="OP801" s="770"/>
      <c r="OQ801" s="770"/>
      <c r="OR801" s="770"/>
      <c r="OS801" s="770"/>
      <c r="OT801" s="770"/>
      <c r="OU801" s="770"/>
      <c r="OV801" s="770"/>
      <c r="OW801" s="770"/>
      <c r="OX801" s="770"/>
      <c r="OY801" s="770"/>
      <c r="OZ801" s="770"/>
      <c r="PA801" s="770"/>
      <c r="PB801" s="770"/>
      <c r="PC801" s="770"/>
      <c r="PD801" s="770"/>
      <c r="PE801" s="770"/>
      <c r="PF801" s="770"/>
      <c r="PG801" s="770"/>
      <c r="PH801" s="770" t="s">
        <v>1208</v>
      </c>
      <c r="PI801" s="770"/>
      <c r="PJ801" s="770"/>
      <c r="PK801" s="770" t="s">
        <v>1208</v>
      </c>
      <c r="PL801" s="770"/>
      <c r="PM801" s="770"/>
      <c r="PN801" s="770"/>
      <c r="PO801" s="770"/>
      <c r="PP801" s="770"/>
      <c r="PQ801" s="770"/>
      <c r="PR801" s="770"/>
      <c r="PS801" s="770"/>
      <c r="PT801" s="770"/>
      <c r="PU801" s="770"/>
      <c r="PV801" s="770"/>
      <c r="PW801" s="770"/>
      <c r="PX801" s="770"/>
      <c r="PY801" s="770"/>
      <c r="PZ801" s="770"/>
      <c r="QA801" s="770"/>
      <c r="QB801" s="770"/>
      <c r="QC801" s="770"/>
      <c r="QD801" s="770"/>
      <c r="QE801" s="770"/>
      <c r="QF801" s="770"/>
      <c r="QG801" s="770"/>
      <c r="QH801" s="770"/>
      <c r="QI801" s="770"/>
      <c r="QJ801" s="770"/>
      <c r="QK801" s="770"/>
      <c r="QL801" s="770"/>
      <c r="QM801" s="770"/>
      <c r="QN801" s="770"/>
      <c r="QO801" s="770"/>
      <c r="QP801" s="770"/>
      <c r="QQ801" s="770"/>
      <c r="QR801" s="770"/>
      <c r="QS801" s="770"/>
      <c r="QT801" s="770"/>
      <c r="QU801" s="770"/>
      <c r="QV801" s="770"/>
      <c r="QW801" s="770"/>
      <c r="QX801" s="770"/>
      <c r="QY801" s="770"/>
      <c r="QZ801" s="770"/>
      <c r="RA801" s="770"/>
      <c r="RB801" s="770" t="s">
        <v>1207</v>
      </c>
      <c r="RC801" s="770">
        <v>2015</v>
      </c>
      <c r="RD801" s="770" t="s">
        <v>13251</v>
      </c>
      <c r="RE801" s="770"/>
      <c r="RF801" s="304">
        <v>0.5</v>
      </c>
      <c r="RG801" s="770" t="s">
        <v>13047</v>
      </c>
      <c r="RH801" s="306">
        <v>2000</v>
      </c>
      <c r="RI801" s="770">
        <v>24</v>
      </c>
      <c r="RJ801" s="94" t="s">
        <v>14019</v>
      </c>
      <c r="RK801" s="770" t="s">
        <v>13556</v>
      </c>
      <c r="RL801" s="1710">
        <v>42851</v>
      </c>
      <c r="RM801" s="12"/>
      <c r="RN801" s="1711"/>
      <c r="RO801" s="149" t="s">
        <v>3236</v>
      </c>
      <c r="RP801" s="11"/>
      <c r="RQ801" s="11"/>
      <c r="RR801" s="311" t="s">
        <v>12355</v>
      </c>
      <c r="RS801" s="1139" t="s">
        <v>12980</v>
      </c>
      <c r="RT801" s="11"/>
      <c r="RU801" s="11"/>
      <c r="RV801" s="771" t="s">
        <v>7421</v>
      </c>
      <c r="RW801" s="11" t="s">
        <v>7477</v>
      </c>
      <c r="RX801" s="11" t="s">
        <v>5117</v>
      </c>
      <c r="RY801" s="11"/>
      <c r="RZ801" s="11"/>
      <c r="SA801" s="771"/>
      <c r="SB801" s="11"/>
      <c r="SC801" s="11"/>
    </row>
    <row r="802" spans="1:497" ht="12.75" customHeight="1">
      <c r="A802" s="311" t="s">
        <v>14250</v>
      </c>
      <c r="B802" s="292" t="s">
        <v>7479</v>
      </c>
      <c r="C802" s="149" t="s">
        <v>3236</v>
      </c>
      <c r="D802" s="94" t="s">
        <v>3246</v>
      </c>
      <c r="E802" s="766" t="s">
        <v>5309</v>
      </c>
      <c r="F802" s="770"/>
      <c r="G802" s="770" t="s">
        <v>18</v>
      </c>
      <c r="H802" s="12"/>
      <c r="I802" s="295"/>
      <c r="J802" s="94" t="s">
        <v>3247</v>
      </c>
      <c r="K802" s="770"/>
      <c r="L802" s="770"/>
      <c r="M802" s="770"/>
      <c r="N802" s="1757"/>
      <c r="O802" s="1757"/>
      <c r="P802" s="94" t="s">
        <v>3247</v>
      </c>
      <c r="Q802" s="1088">
        <v>28471</v>
      </c>
      <c r="R802" s="297">
        <v>39</v>
      </c>
      <c r="S802" s="770" t="s">
        <v>10</v>
      </c>
      <c r="T802" s="770"/>
      <c r="U802" s="298"/>
      <c r="V802" s="770" t="s">
        <v>768</v>
      </c>
      <c r="W802" s="770"/>
      <c r="X802" s="770"/>
      <c r="Y802" s="770" t="s">
        <v>3237</v>
      </c>
      <c r="Z802" s="770" t="s">
        <v>708</v>
      </c>
      <c r="AA802" s="770" t="s">
        <v>709</v>
      </c>
      <c r="AB802" s="770" t="s">
        <v>710</v>
      </c>
      <c r="AC802" s="770"/>
      <c r="AD802" s="770" t="s">
        <v>711</v>
      </c>
      <c r="AE802" s="770"/>
      <c r="AF802" s="770" t="s">
        <v>712</v>
      </c>
      <c r="AG802" s="770"/>
      <c r="AH802" s="770"/>
      <c r="AI802" s="770"/>
      <c r="AJ802" s="770"/>
      <c r="AK802" s="770" t="s">
        <v>1101</v>
      </c>
      <c r="AL802" s="531"/>
      <c r="AM802" s="780"/>
      <c r="AN802" s="532"/>
      <c r="AO802" s="766"/>
      <c r="AP802" s="766"/>
      <c r="AQ802" s="766"/>
      <c r="AR802" s="766"/>
      <c r="AS802" s="770"/>
      <c r="AT802" s="770"/>
      <c r="AU802" s="770"/>
      <c r="AV802" s="770"/>
      <c r="AW802" s="770"/>
      <c r="AX802" s="770"/>
      <c r="AY802" s="770"/>
      <c r="AZ802" s="770"/>
      <c r="BA802" s="770"/>
      <c r="BB802" s="770"/>
      <c r="BC802" s="770"/>
      <c r="BD802" s="770"/>
      <c r="BE802" s="770"/>
      <c r="BF802" s="302"/>
      <c r="BG802" s="302"/>
      <c r="BH802" s="770"/>
      <c r="BI802" s="770"/>
      <c r="BJ802" s="770"/>
      <c r="BK802" s="766"/>
      <c r="BL802" s="766"/>
      <c r="BM802" s="766" t="s">
        <v>1238</v>
      </c>
      <c r="BN802" s="766" t="s">
        <v>1299</v>
      </c>
      <c r="BO802" s="770"/>
      <c r="BP802" s="765"/>
      <c r="BQ802" s="773"/>
      <c r="BR802" s="774"/>
      <c r="BS802" s="766" t="s">
        <v>1242</v>
      </c>
      <c r="BT802" s="770"/>
      <c r="BU802" s="770"/>
      <c r="BV802" s="770"/>
      <c r="BW802" s="770"/>
      <c r="BX802" s="302"/>
      <c r="BY802" s="770"/>
      <c r="BZ802" s="302"/>
      <c r="CA802" s="770"/>
      <c r="CB802" s="770"/>
      <c r="CC802" s="770"/>
      <c r="CD802" s="770"/>
      <c r="CE802" s="302"/>
      <c r="CF802" s="304"/>
      <c r="CG802" s="321"/>
      <c r="CH802" s="770"/>
      <c r="CI802" s="770"/>
      <c r="CJ802" s="770"/>
      <c r="CK802" s="770"/>
      <c r="CL802" s="770"/>
      <c r="CM802" s="770"/>
      <c r="CN802" s="770"/>
      <c r="CO802" s="770"/>
      <c r="CP802" s="770"/>
      <c r="CQ802" s="770"/>
      <c r="CR802" s="302"/>
      <c r="CS802" s="770"/>
      <c r="CT802" s="770"/>
      <c r="CU802" s="305"/>
      <c r="CV802" s="770"/>
      <c r="CW802" s="770"/>
      <c r="CX802" s="770"/>
      <c r="CY802" s="770"/>
      <c r="CZ802" s="770"/>
      <c r="DA802" s="306"/>
      <c r="DB802" s="770"/>
      <c r="DC802" s="770"/>
      <c r="DD802" s="770"/>
      <c r="DE802" s="300"/>
      <c r="DF802" s="770"/>
      <c r="DG802" s="770"/>
      <c r="DH802" s="770"/>
      <c r="DI802" s="770"/>
      <c r="DJ802" s="770"/>
      <c r="DK802" s="770"/>
      <c r="DL802" s="770"/>
      <c r="DM802" s="770"/>
      <c r="DN802" s="322"/>
      <c r="DO802" s="770"/>
      <c r="DP802" s="770"/>
      <c r="DQ802" s="770"/>
      <c r="DR802" s="770"/>
      <c r="DS802" s="307"/>
      <c r="DT802" s="770"/>
      <c r="DU802" s="770"/>
      <c r="DV802" s="770"/>
      <c r="DW802" s="306"/>
      <c r="DX802" s="306"/>
      <c r="DY802" s="1055"/>
      <c r="DZ802" s="770"/>
      <c r="EA802" s="770"/>
      <c r="EB802" s="770"/>
      <c r="EC802" s="770"/>
      <c r="ED802" s="770"/>
      <c r="EE802" s="770"/>
      <c r="EF802" s="770"/>
      <c r="EG802" s="770"/>
      <c r="EH802" s="770"/>
      <c r="EI802" s="770"/>
      <c r="EJ802" s="770"/>
      <c r="EK802" s="770"/>
      <c r="EL802" s="770"/>
      <c r="EM802" s="770"/>
      <c r="EN802" s="770"/>
      <c r="EO802" s="770"/>
      <c r="EP802" s="94"/>
      <c r="EQ802" s="770"/>
      <c r="ER802" s="770"/>
      <c r="ES802" s="770"/>
      <c r="ET802" s="770"/>
      <c r="EU802" s="770"/>
      <c r="EV802" s="770"/>
      <c r="EW802" s="770"/>
      <c r="EX802" s="770"/>
      <c r="EY802" s="770"/>
      <c r="EZ802" s="770"/>
      <c r="FA802" s="770"/>
      <c r="FB802" s="770"/>
      <c r="FC802" s="770"/>
      <c r="FD802" s="302"/>
      <c r="FE802" s="770"/>
      <c r="FF802" s="770"/>
      <c r="FG802" s="770"/>
      <c r="FH802" s="770" t="s">
        <v>1299</v>
      </c>
      <c r="FI802" s="770">
        <v>1</v>
      </c>
      <c r="FJ802" s="770" t="s">
        <v>3242</v>
      </c>
      <c r="FK802" s="770"/>
      <c r="FL802" s="770" t="s">
        <v>3237</v>
      </c>
      <c r="FM802" s="302"/>
      <c r="FN802" s="302"/>
      <c r="FO802" s="302"/>
      <c r="FP802" s="770" t="s">
        <v>1600</v>
      </c>
      <c r="FQ802" s="770" t="s">
        <v>1642</v>
      </c>
      <c r="FR802" s="770"/>
      <c r="FS802" s="770"/>
      <c r="FT802" s="770"/>
      <c r="FU802" s="770"/>
      <c r="FV802" s="770"/>
      <c r="FW802" s="770"/>
      <c r="FX802" s="770"/>
      <c r="FY802" s="770"/>
      <c r="FZ802" s="770"/>
      <c r="GA802" s="770"/>
      <c r="GB802" s="770"/>
      <c r="GC802" s="308"/>
      <c r="GD802" s="297"/>
      <c r="GE802" s="770"/>
      <c r="GF802" s="302"/>
      <c r="GG802" s="302"/>
      <c r="GH802" s="766" t="s">
        <v>14260</v>
      </c>
      <c r="GI802" s="770"/>
      <c r="GJ802" s="770"/>
      <c r="GK802" s="770"/>
      <c r="GL802" s="770"/>
      <c r="GM802" s="770"/>
      <c r="GN802" s="299"/>
      <c r="GO802" s="770"/>
      <c r="GP802" s="770"/>
      <c r="GQ802" s="770"/>
      <c r="GR802" s="770"/>
      <c r="GS802" s="770"/>
      <c r="GT802" s="770"/>
      <c r="GU802" s="770"/>
      <c r="GV802" s="770"/>
      <c r="GW802" s="770"/>
      <c r="GX802" s="770"/>
      <c r="GY802" s="770"/>
      <c r="GZ802" s="770"/>
      <c r="HA802" s="770"/>
      <c r="HB802" s="770"/>
      <c r="HC802" s="770"/>
      <c r="HD802" s="770"/>
      <c r="HE802" s="770"/>
      <c r="HF802" s="770"/>
      <c r="HG802" s="770"/>
      <c r="HH802" s="770"/>
      <c r="HI802" s="770" t="s">
        <v>1214</v>
      </c>
      <c r="HJ802" s="770"/>
      <c r="HK802" s="770"/>
      <c r="HL802" s="770" t="s">
        <v>1214</v>
      </c>
      <c r="HM802" s="770"/>
      <c r="HN802" s="770"/>
      <c r="HO802" s="770"/>
      <c r="HP802" s="770"/>
      <c r="HQ802" s="770"/>
      <c r="HR802" s="770"/>
      <c r="HS802" s="770"/>
      <c r="HT802" s="770"/>
      <c r="HU802" s="770"/>
      <c r="HV802" s="770"/>
      <c r="HW802" s="770"/>
      <c r="HX802" s="770"/>
      <c r="HY802" s="770"/>
      <c r="HZ802" s="770"/>
      <c r="IA802" s="770"/>
      <c r="IB802" s="14" t="e">
        <f>IF(#REF!&gt;0,IF(#REF!&lt;=10000,"Y",""),"")</f>
        <v>#REF!</v>
      </c>
      <c r="IC802" s="770"/>
      <c r="ID802" s="770"/>
      <c r="IE802" s="770"/>
      <c r="IF802" s="770"/>
      <c r="IG802" s="770"/>
      <c r="IH802" s="770"/>
      <c r="II802" s="770"/>
      <c r="IJ802" s="770"/>
      <c r="IK802" s="770"/>
      <c r="IL802" s="770"/>
      <c r="IM802" s="770"/>
      <c r="IN802" s="770"/>
      <c r="IO802" s="296"/>
      <c r="IP802" s="770"/>
      <c r="IQ802" s="770"/>
      <c r="IR802" s="770"/>
      <c r="IS802" s="770"/>
      <c r="IT802" s="770"/>
      <c r="IU802" s="770"/>
      <c r="IV802" s="770"/>
      <c r="IW802" s="770"/>
      <c r="IX802" s="770"/>
      <c r="IY802" s="770"/>
      <c r="IZ802" s="770"/>
      <c r="JA802" s="770"/>
      <c r="JB802" s="770"/>
      <c r="JC802" s="770"/>
      <c r="JD802" s="302"/>
      <c r="JE802" s="770"/>
      <c r="JF802" s="770"/>
      <c r="JG802" s="770"/>
      <c r="JH802" s="307"/>
      <c r="JI802" s="712" t="str">
        <f>IF(SUM(JT802,JU802)=JJ802,"ok","review")</f>
        <v>ok</v>
      </c>
      <c r="JJ802" s="770">
        <v>1</v>
      </c>
      <c r="JK802" s="1139" t="s">
        <v>3244</v>
      </c>
      <c r="JL802" s="770"/>
      <c r="JM802" s="770"/>
      <c r="JN802" s="770">
        <v>1</v>
      </c>
      <c r="JO802" s="770"/>
      <c r="JP802" s="770"/>
      <c r="JQ802" s="770"/>
      <c r="JR802" s="770"/>
      <c r="JS802" s="770"/>
      <c r="JT802" s="766">
        <f t="shared" si="248"/>
        <v>1</v>
      </c>
      <c r="JU802" s="766">
        <f t="shared" si="248"/>
        <v>0</v>
      </c>
      <c r="JV802" s="712" t="str">
        <f t="shared" si="250"/>
        <v>ok</v>
      </c>
      <c r="JW802" s="712" t="str">
        <f t="shared" si="251"/>
        <v>ok</v>
      </c>
      <c r="JX802" s="770"/>
      <c r="JY802" s="770"/>
      <c r="JZ802" s="770"/>
      <c r="KA802" s="770"/>
      <c r="KB802" s="770"/>
      <c r="KC802" s="770"/>
      <c r="KD802" s="770">
        <v>1</v>
      </c>
      <c r="KE802" s="770"/>
      <c r="KF802" s="770"/>
      <c r="KG802" s="770"/>
      <c r="KH802" s="770"/>
      <c r="KI802" s="770"/>
      <c r="KJ802" s="770">
        <f t="shared" si="249"/>
        <v>1</v>
      </c>
      <c r="KK802" s="770">
        <f t="shared" si="249"/>
        <v>0</v>
      </c>
      <c r="KL802" s="712" t="str">
        <f t="shared" si="252"/>
        <v>ok</v>
      </c>
      <c r="KM802" s="712" t="str">
        <f t="shared" si="253"/>
        <v>ok</v>
      </c>
      <c r="KN802" s="770" t="s">
        <v>768</v>
      </c>
      <c r="KO802" s="770"/>
      <c r="KP802" s="770"/>
      <c r="KQ802" s="770"/>
      <c r="KR802" s="770"/>
      <c r="KS802" s="770"/>
      <c r="KT802" s="770"/>
      <c r="KU802" s="770"/>
      <c r="KV802" s="770"/>
      <c r="KW802" s="770"/>
      <c r="KX802" s="770"/>
      <c r="KY802" s="770"/>
      <c r="KZ802" s="770"/>
      <c r="LA802" s="770"/>
      <c r="LB802" s="770">
        <v>1</v>
      </c>
      <c r="LC802" s="770"/>
      <c r="LD802" s="770"/>
      <c r="LE802" s="770"/>
      <c r="LF802" s="770"/>
      <c r="LG802" s="770"/>
      <c r="LH802" s="770"/>
      <c r="LI802" s="770"/>
      <c r="LJ802" s="770"/>
      <c r="LK802" s="770"/>
      <c r="LL802" s="770"/>
      <c r="LM802" s="770"/>
      <c r="LN802" s="766">
        <f t="shared" si="230"/>
        <v>1</v>
      </c>
      <c r="LO802" s="766">
        <f t="shared" si="230"/>
        <v>0</v>
      </c>
      <c r="LP802" s="770">
        <v>1</v>
      </c>
      <c r="LQ802" s="770">
        <v>1</v>
      </c>
      <c r="LR802" s="770"/>
      <c r="LS802" s="770"/>
      <c r="LT802" s="712" t="str">
        <f t="shared" si="254"/>
        <v>OK</v>
      </c>
      <c r="LU802" s="770"/>
      <c r="LV802" s="770">
        <v>1</v>
      </c>
      <c r="LW802" s="770"/>
      <c r="LX802" s="769">
        <v>2</v>
      </c>
      <c r="LY802" s="766" t="str">
        <f t="shared" si="231"/>
        <v>within the MUNICIPALITY</v>
      </c>
      <c r="LZ802" s="1709">
        <v>960</v>
      </c>
      <c r="MA802" s="1709"/>
      <c r="MB802" s="1709"/>
      <c r="MC802" s="1679">
        <f t="shared" si="229"/>
        <v>960</v>
      </c>
      <c r="MD802" s="1709">
        <v>9660</v>
      </c>
      <c r="ME802" s="1709"/>
      <c r="MF802" s="1709"/>
      <c r="MG802" s="1680">
        <f t="shared" si="255"/>
        <v>9660</v>
      </c>
      <c r="MH802" s="770" t="s">
        <v>3245</v>
      </c>
      <c r="MI802" s="302">
        <v>1500</v>
      </c>
      <c r="MJ802" s="302">
        <v>960</v>
      </c>
      <c r="MK802" s="302">
        <v>50</v>
      </c>
      <c r="ML802" s="302"/>
      <c r="MM802" s="302"/>
      <c r="MN802" s="302"/>
      <c r="MO802" s="302">
        <v>50</v>
      </c>
      <c r="MP802" s="302">
        <v>200</v>
      </c>
      <c r="MQ802" s="302">
        <v>100</v>
      </c>
      <c r="MR802" s="302">
        <v>100</v>
      </c>
      <c r="MS802" s="302"/>
      <c r="MT802" s="302"/>
      <c r="MU802" s="302"/>
      <c r="MV802" s="302"/>
      <c r="MW802" s="302"/>
      <c r="MX802" s="302"/>
      <c r="MY802" s="1682">
        <f t="shared" si="243"/>
        <v>2960</v>
      </c>
      <c r="MZ802" s="770" t="s">
        <v>13395</v>
      </c>
      <c r="NA802" s="770" t="s">
        <v>13230</v>
      </c>
      <c r="NB802" s="770" t="s">
        <v>13016</v>
      </c>
      <c r="NC802" s="770" t="s">
        <v>13621</v>
      </c>
      <c r="ND802" s="770">
        <v>0</v>
      </c>
      <c r="NE802" s="770">
        <v>0</v>
      </c>
      <c r="NF802" s="770">
        <v>0</v>
      </c>
      <c r="NG802" s="770">
        <v>1</v>
      </c>
      <c r="NH802" s="770">
        <v>0</v>
      </c>
      <c r="NI802" s="770">
        <v>0</v>
      </c>
      <c r="NJ802" s="770">
        <v>0</v>
      </c>
      <c r="NK802" s="770">
        <v>0</v>
      </c>
      <c r="NL802" s="770">
        <v>0</v>
      </c>
      <c r="NM802" s="770">
        <v>0</v>
      </c>
      <c r="NN802" s="770">
        <v>0</v>
      </c>
      <c r="NO802" s="770">
        <v>0</v>
      </c>
      <c r="NP802" s="770">
        <v>0</v>
      </c>
      <c r="NQ802" s="770">
        <v>0</v>
      </c>
      <c r="NR802" s="770">
        <v>0</v>
      </c>
      <c r="NS802" s="770">
        <v>0</v>
      </c>
      <c r="NT802" s="770">
        <v>0</v>
      </c>
      <c r="NU802" s="770">
        <v>0</v>
      </c>
      <c r="NV802" s="770">
        <v>0</v>
      </c>
      <c r="NW802" s="770">
        <v>0</v>
      </c>
      <c r="NX802" s="770">
        <v>0</v>
      </c>
      <c r="NY802" s="770"/>
      <c r="NZ802" s="770"/>
      <c r="OA802" s="770"/>
      <c r="OB802" s="770"/>
      <c r="OC802" s="770"/>
      <c r="OD802" s="770"/>
      <c r="OE802" s="770"/>
      <c r="OF802" s="770"/>
      <c r="OG802" s="770"/>
      <c r="OH802" s="770"/>
      <c r="OI802" s="770"/>
      <c r="OJ802" s="770"/>
      <c r="OK802" s="770"/>
      <c r="OL802" s="770"/>
      <c r="OM802" s="770"/>
      <c r="ON802" s="770"/>
      <c r="OO802" s="770"/>
      <c r="OP802" s="770"/>
      <c r="OQ802" s="770"/>
      <c r="OR802" s="770"/>
      <c r="OS802" s="770"/>
      <c r="OT802" s="770"/>
      <c r="OU802" s="770"/>
      <c r="OV802" s="770"/>
      <c r="OW802" s="770"/>
      <c r="OX802" s="770"/>
      <c r="OY802" s="770"/>
      <c r="OZ802" s="770"/>
      <c r="PA802" s="770"/>
      <c r="PB802" s="770"/>
      <c r="PC802" s="770"/>
      <c r="PD802" s="770"/>
      <c r="PE802" s="770"/>
      <c r="PF802" s="770"/>
      <c r="PG802" s="770"/>
      <c r="PH802" s="770"/>
      <c r="PI802" s="770"/>
      <c r="PJ802" s="770"/>
      <c r="PK802" s="770"/>
      <c r="PL802" s="770"/>
      <c r="PM802" s="770"/>
      <c r="PN802" s="770"/>
      <c r="PO802" s="770"/>
      <c r="PP802" s="770"/>
      <c r="PQ802" s="770"/>
      <c r="PR802" s="770"/>
      <c r="PS802" s="770"/>
      <c r="PT802" s="770"/>
      <c r="PU802" s="770"/>
      <c r="PV802" s="770"/>
      <c r="PW802" s="770"/>
      <c r="PX802" s="770"/>
      <c r="PY802" s="770"/>
      <c r="PZ802" s="770"/>
      <c r="QA802" s="770"/>
      <c r="QB802" s="770"/>
      <c r="QC802" s="770"/>
      <c r="QD802" s="770"/>
      <c r="QE802" s="770"/>
      <c r="QF802" s="770"/>
      <c r="QG802" s="770"/>
      <c r="QH802" s="770"/>
      <c r="QI802" s="770"/>
      <c r="QJ802" s="770"/>
      <c r="QK802" s="770"/>
      <c r="QL802" s="770"/>
      <c r="QM802" s="770"/>
      <c r="QN802" s="770"/>
      <c r="QO802" s="770"/>
      <c r="QP802" s="770"/>
      <c r="QQ802" s="770"/>
      <c r="QR802" s="770"/>
      <c r="QS802" s="770"/>
      <c r="QT802" s="770"/>
      <c r="QU802" s="770"/>
      <c r="QV802" s="770"/>
      <c r="QW802" s="770"/>
      <c r="QX802" s="770"/>
      <c r="QY802" s="770"/>
      <c r="QZ802" s="770"/>
      <c r="RA802" s="770"/>
      <c r="RB802" s="770" t="s">
        <v>1214</v>
      </c>
      <c r="RC802" s="770"/>
      <c r="RD802" s="770"/>
      <c r="RE802" s="770"/>
      <c r="RF802" s="304"/>
      <c r="RG802" s="770"/>
      <c r="RH802" s="306"/>
      <c r="RI802" s="770"/>
      <c r="RJ802" s="94" t="s">
        <v>14020</v>
      </c>
      <c r="RK802" s="770" t="s">
        <v>13550</v>
      </c>
      <c r="RL802" s="1710" t="s">
        <v>1604</v>
      </c>
      <c r="RM802" s="12"/>
      <c r="RN802" s="1711"/>
      <c r="RO802" s="149" t="s">
        <v>3236</v>
      </c>
      <c r="RP802" s="11"/>
      <c r="RQ802" s="11"/>
      <c r="RR802" s="311" t="s">
        <v>12355</v>
      </c>
      <c r="RS802" s="1139" t="s">
        <v>12980</v>
      </c>
      <c r="RT802" s="11"/>
      <c r="RU802" s="11"/>
      <c r="RV802" s="771" t="s">
        <v>7421</v>
      </c>
      <c r="RW802" s="11" t="s">
        <v>7478</v>
      </c>
      <c r="RX802" s="11" t="s">
        <v>3236</v>
      </c>
      <c r="RY802" s="11"/>
      <c r="RZ802" s="11"/>
      <c r="SA802" s="771"/>
      <c r="SB802" s="11"/>
      <c r="SC802" s="11"/>
    </row>
    <row r="803" spans="1:497" ht="12.75" customHeight="1">
      <c r="A803" s="19" t="s">
        <v>7421</v>
      </c>
      <c r="B803" s="292" t="s">
        <v>7480</v>
      </c>
      <c r="C803" s="149" t="s">
        <v>4816</v>
      </c>
      <c r="D803" s="94" t="s">
        <v>4817</v>
      </c>
      <c r="E803" s="766" t="s">
        <v>5310</v>
      </c>
      <c r="F803" s="770" t="s">
        <v>28</v>
      </c>
      <c r="G803" s="770" t="s">
        <v>10</v>
      </c>
      <c r="H803" s="12"/>
      <c r="I803" s="295" t="s">
        <v>4819</v>
      </c>
      <c r="J803" s="94" t="s">
        <v>4820</v>
      </c>
      <c r="K803" s="766" t="s">
        <v>4821</v>
      </c>
      <c r="L803" s="766" t="s">
        <v>3254</v>
      </c>
      <c r="M803" s="770" t="s">
        <v>1238</v>
      </c>
      <c r="N803" s="1757"/>
      <c r="O803" s="1757" t="s">
        <v>3255</v>
      </c>
      <c r="P803" s="94" t="s">
        <v>4822</v>
      </c>
      <c r="Q803" s="1088">
        <v>27653</v>
      </c>
      <c r="R803" s="297">
        <v>41</v>
      </c>
      <c r="S803" s="770" t="s">
        <v>10</v>
      </c>
      <c r="T803" s="770"/>
      <c r="U803" s="295" t="s">
        <v>4819</v>
      </c>
      <c r="V803" s="770" t="s">
        <v>707</v>
      </c>
      <c r="W803" s="770"/>
      <c r="X803" s="770"/>
      <c r="Y803" s="770" t="s">
        <v>4818</v>
      </c>
      <c r="Z803" s="770" t="s">
        <v>708</v>
      </c>
      <c r="AA803" s="12" t="s">
        <v>2586</v>
      </c>
      <c r="AB803" s="770" t="s">
        <v>710</v>
      </c>
      <c r="AC803" s="770" t="s">
        <v>724</v>
      </c>
      <c r="AD803" s="770" t="s">
        <v>3241</v>
      </c>
      <c r="AE803" s="770"/>
      <c r="AF803" s="770" t="s">
        <v>712</v>
      </c>
      <c r="AG803" s="766" t="s">
        <v>1095</v>
      </c>
      <c r="AH803" s="766" t="s">
        <v>1096</v>
      </c>
      <c r="AI803" s="770" t="s">
        <v>3294</v>
      </c>
      <c r="AJ803" s="770"/>
      <c r="AK803" s="770" t="s">
        <v>1101</v>
      </c>
      <c r="AL803" s="531">
        <v>20.399999999999999</v>
      </c>
      <c r="AM803" s="780">
        <v>15.64</v>
      </c>
      <c r="AN803" s="532">
        <f>AM803/AL803</f>
        <v>0.76666666666666672</v>
      </c>
      <c r="AO803" s="766" t="s">
        <v>1105</v>
      </c>
      <c r="AP803" s="766"/>
      <c r="AQ803" s="766"/>
      <c r="AR803" s="766"/>
      <c r="AS803" s="770"/>
      <c r="AT803" s="770"/>
      <c r="AU803" s="770"/>
      <c r="AV803" s="770"/>
      <c r="AW803" s="770"/>
      <c r="AX803" s="770"/>
      <c r="AY803" s="770"/>
      <c r="AZ803" s="770" t="s">
        <v>1208</v>
      </c>
      <c r="BA803" s="770"/>
      <c r="BB803" s="770" t="s">
        <v>4825</v>
      </c>
      <c r="BC803" s="770"/>
      <c r="BD803" s="770" t="s">
        <v>1207</v>
      </c>
      <c r="BE803" s="770"/>
      <c r="BF803" s="302">
        <v>6500</v>
      </c>
      <c r="BG803" s="302">
        <f>BF803*12</f>
        <v>78000</v>
      </c>
      <c r="BH803" s="770"/>
      <c r="BI803" s="770"/>
      <c r="BJ803" s="770"/>
      <c r="BK803" s="766" t="s">
        <v>1095</v>
      </c>
      <c r="BL803" s="766" t="s">
        <v>4823</v>
      </c>
      <c r="BM803" s="766" t="s">
        <v>1096</v>
      </c>
      <c r="BN803" s="766" t="s">
        <v>1230</v>
      </c>
      <c r="BO803" s="766" t="s">
        <v>1246</v>
      </c>
      <c r="BP803" s="1109">
        <v>40.799999999999997</v>
      </c>
      <c r="BQ803" s="773">
        <v>31.22</v>
      </c>
      <c r="BR803" s="774">
        <f t="shared" si="247"/>
        <v>0.76519607843137261</v>
      </c>
      <c r="BS803" s="766" t="s">
        <v>1105</v>
      </c>
      <c r="BT803" s="766" t="s">
        <v>8133</v>
      </c>
      <c r="BU803" s="770" t="s">
        <v>1249</v>
      </c>
      <c r="BV803" s="770" t="s">
        <v>1247</v>
      </c>
      <c r="BW803" s="770">
        <v>1998</v>
      </c>
      <c r="BX803" s="302">
        <v>260000</v>
      </c>
      <c r="BY803" s="770"/>
      <c r="BZ803" s="302"/>
      <c r="CA803" s="770"/>
      <c r="CB803" s="770"/>
      <c r="CC803" s="770"/>
      <c r="CD803" s="770"/>
      <c r="CE803" s="302"/>
      <c r="CF803" s="304"/>
      <c r="CG803" s="321"/>
      <c r="CH803" s="770"/>
      <c r="CI803" s="770"/>
      <c r="CJ803" s="770"/>
      <c r="CK803" s="770"/>
      <c r="CL803" s="770"/>
      <c r="CM803" s="770"/>
      <c r="CN803" s="770"/>
      <c r="CO803" s="770"/>
      <c r="CP803" s="770"/>
      <c r="CQ803" s="770"/>
      <c r="CR803" s="302"/>
      <c r="CS803" s="770"/>
      <c r="CT803" s="770"/>
      <c r="CU803" s="305"/>
      <c r="CV803" s="770"/>
      <c r="CW803" s="770"/>
      <c r="CX803" s="770"/>
      <c r="CY803" s="770"/>
      <c r="CZ803" s="770"/>
      <c r="DA803" s="306"/>
      <c r="DB803" s="770"/>
      <c r="DC803" s="770"/>
      <c r="DD803" s="770"/>
      <c r="DE803" s="300"/>
      <c r="DF803" s="770"/>
      <c r="DG803" s="770"/>
      <c r="DH803" s="770"/>
      <c r="DI803" s="770"/>
      <c r="DJ803" s="770"/>
      <c r="DK803" s="770"/>
      <c r="DL803" s="770"/>
      <c r="DM803" s="770"/>
      <c r="DN803" s="322"/>
      <c r="DO803" s="770"/>
      <c r="DP803" s="770"/>
      <c r="DQ803" s="770"/>
      <c r="DR803" s="770"/>
      <c r="DS803" s="307"/>
      <c r="DT803" s="770"/>
      <c r="DU803" s="770"/>
      <c r="DV803" s="770"/>
      <c r="DW803" s="306"/>
      <c r="DX803" s="306"/>
      <c r="DY803" s="1055"/>
      <c r="DZ803" s="770"/>
      <c r="EA803" s="770"/>
      <c r="EB803" s="770"/>
      <c r="EC803" s="770"/>
      <c r="ED803" s="770"/>
      <c r="EE803" s="770"/>
      <c r="EF803" s="770"/>
      <c r="EG803" s="770"/>
      <c r="EH803" s="770"/>
      <c r="EI803" s="770"/>
      <c r="EJ803" s="770"/>
      <c r="EK803" s="770"/>
      <c r="EL803" s="770"/>
      <c r="EM803" s="770"/>
      <c r="EN803" s="770"/>
      <c r="EO803" s="770"/>
      <c r="EP803" s="94"/>
      <c r="EQ803" s="770"/>
      <c r="ER803" s="770"/>
      <c r="ES803" s="770"/>
      <c r="ET803" s="770"/>
      <c r="EU803" s="770"/>
      <c r="EV803" s="770"/>
      <c r="EW803" s="770"/>
      <c r="EX803" s="770"/>
      <c r="EY803" s="770"/>
      <c r="EZ803" s="770"/>
      <c r="FA803" s="770"/>
      <c r="FB803" s="770"/>
      <c r="FC803" s="770"/>
      <c r="FD803" s="302"/>
      <c r="FE803" s="770"/>
      <c r="FF803" s="770"/>
      <c r="FG803" s="770"/>
      <c r="FH803" s="770" t="s">
        <v>478</v>
      </c>
      <c r="FI803" s="770">
        <v>1</v>
      </c>
      <c r="FJ803" s="770"/>
      <c r="FK803" s="770"/>
      <c r="FL803" s="770"/>
      <c r="FM803" s="302"/>
      <c r="FN803" s="302"/>
      <c r="FO803" s="302"/>
      <c r="FP803" s="766" t="s">
        <v>1602</v>
      </c>
      <c r="FQ803" s="766" t="s">
        <v>1660</v>
      </c>
      <c r="FR803" s="770" t="s">
        <v>1207</v>
      </c>
      <c r="FS803" s="770"/>
      <c r="FT803" s="770"/>
      <c r="FU803" s="770"/>
      <c r="FV803" s="770"/>
      <c r="FW803" s="770" t="s">
        <v>1208</v>
      </c>
      <c r="FX803" s="770"/>
      <c r="FY803" s="770"/>
      <c r="FZ803" s="770"/>
      <c r="GA803" s="770"/>
      <c r="GB803" s="770" t="s">
        <v>4824</v>
      </c>
      <c r="GC803" s="308" t="s">
        <v>4825</v>
      </c>
      <c r="GD803" s="297">
        <v>1998</v>
      </c>
      <c r="GE803" s="770" t="s">
        <v>1214</v>
      </c>
      <c r="GF803" s="302"/>
      <c r="GG803" s="302"/>
      <c r="GH803" s="712" t="s">
        <v>14260</v>
      </c>
      <c r="GI803" s="770"/>
      <c r="GJ803" s="770"/>
      <c r="GK803" s="770"/>
      <c r="GL803" s="770"/>
      <c r="GM803" s="770"/>
      <c r="GN803" s="299"/>
      <c r="GO803" s="770"/>
      <c r="GP803" s="770"/>
      <c r="GQ803" s="770"/>
      <c r="GR803" s="770"/>
      <c r="GS803" s="770"/>
      <c r="GT803" s="770"/>
      <c r="GU803" s="770"/>
      <c r="GV803" s="770"/>
      <c r="GW803" s="770"/>
      <c r="GX803" s="770"/>
      <c r="GY803" s="770"/>
      <c r="GZ803" s="770"/>
      <c r="HA803" s="770"/>
      <c r="HB803" s="770"/>
      <c r="HC803" s="770"/>
      <c r="HD803" s="770"/>
      <c r="HE803" s="770"/>
      <c r="HF803" s="770"/>
      <c r="HG803" s="770"/>
      <c r="HH803" s="770"/>
      <c r="HI803" s="770" t="s">
        <v>1214</v>
      </c>
      <c r="HJ803" s="770"/>
      <c r="HK803" s="770"/>
      <c r="HL803" s="770" t="s">
        <v>1214</v>
      </c>
      <c r="HM803" s="770"/>
      <c r="HN803" s="770"/>
      <c r="HO803" s="770"/>
      <c r="HP803" s="770"/>
      <c r="HQ803" s="770"/>
      <c r="HR803" s="770"/>
      <c r="HS803" s="770"/>
      <c r="HT803" s="770"/>
      <c r="HU803" s="770"/>
      <c r="HV803" s="770"/>
      <c r="HW803" s="770"/>
      <c r="HX803" s="770"/>
      <c r="HY803" s="770"/>
      <c r="HZ803" s="770"/>
      <c r="IA803" s="770"/>
      <c r="IB803" s="14" t="e">
        <f>IF(#REF!&gt;0,IF(#REF!&lt;=10000,"Y",""),"")</f>
        <v>#REF!</v>
      </c>
      <c r="IC803" s="770"/>
      <c r="ID803" s="770"/>
      <c r="IE803" s="770"/>
      <c r="IF803" s="770"/>
      <c r="IG803" s="770"/>
      <c r="IH803" s="770"/>
      <c r="II803" s="770"/>
      <c r="IJ803" s="770"/>
      <c r="IK803" s="770"/>
      <c r="IL803" s="770"/>
      <c r="IM803" s="770"/>
      <c r="IN803" s="770"/>
      <c r="IO803" s="296"/>
      <c r="IP803" s="770"/>
      <c r="IQ803" s="770"/>
      <c r="IR803" s="770"/>
      <c r="IS803" s="770"/>
      <c r="IT803" s="770"/>
      <c r="IU803" s="770"/>
      <c r="IV803" s="770"/>
      <c r="IW803" s="770"/>
      <c r="IX803" s="770"/>
      <c r="IY803" s="770"/>
      <c r="IZ803" s="770"/>
      <c r="JA803" s="770"/>
      <c r="JB803" s="770"/>
      <c r="JC803" s="770"/>
      <c r="JD803" s="302"/>
      <c r="JE803" s="770"/>
      <c r="JF803" s="770"/>
      <c r="JG803" s="770"/>
      <c r="JH803" s="307"/>
      <c r="JI803" s="307"/>
      <c r="JJ803" s="770">
        <v>7</v>
      </c>
      <c r="JK803" s="1139" t="s">
        <v>4826</v>
      </c>
      <c r="JL803" s="770"/>
      <c r="JM803" s="770"/>
      <c r="JN803" s="770">
        <v>3</v>
      </c>
      <c r="JO803" s="770">
        <v>4</v>
      </c>
      <c r="JP803" s="770"/>
      <c r="JQ803" s="770"/>
      <c r="JR803" s="770"/>
      <c r="JS803" s="770"/>
      <c r="JT803" s="766">
        <f t="shared" si="248"/>
        <v>3</v>
      </c>
      <c r="JU803" s="766">
        <f t="shared" si="248"/>
        <v>4</v>
      </c>
      <c r="JV803" s="712" t="str">
        <f t="shared" si="250"/>
        <v>ok</v>
      </c>
      <c r="JW803" s="712" t="str">
        <f t="shared" si="251"/>
        <v>ok</v>
      </c>
      <c r="JX803" s="770"/>
      <c r="JY803" s="770"/>
      <c r="JZ803" s="770"/>
      <c r="KA803" s="770">
        <v>1</v>
      </c>
      <c r="KB803" s="770">
        <v>2</v>
      </c>
      <c r="KC803" s="770">
        <v>1</v>
      </c>
      <c r="KD803" s="770">
        <v>1</v>
      </c>
      <c r="KE803" s="770">
        <v>2</v>
      </c>
      <c r="KF803" s="770"/>
      <c r="KG803" s="770"/>
      <c r="KH803" s="770"/>
      <c r="KI803" s="770"/>
      <c r="KJ803" s="770">
        <f t="shared" si="249"/>
        <v>3</v>
      </c>
      <c r="KK803" s="770">
        <f t="shared" si="249"/>
        <v>4</v>
      </c>
      <c r="KL803" s="712" t="str">
        <f t="shared" si="252"/>
        <v>ok</v>
      </c>
      <c r="KM803" s="712" t="str">
        <f t="shared" si="253"/>
        <v>ok</v>
      </c>
      <c r="KN803" s="770" t="s">
        <v>707</v>
      </c>
      <c r="KO803" s="770"/>
      <c r="KP803" s="770"/>
      <c r="KQ803" s="770">
        <v>1</v>
      </c>
      <c r="KR803" s="770"/>
      <c r="KS803" s="770"/>
      <c r="KT803" s="770"/>
      <c r="KU803" s="770"/>
      <c r="KV803" s="770"/>
      <c r="KW803" s="770"/>
      <c r="KX803" s="770"/>
      <c r="KY803" s="770">
        <v>1</v>
      </c>
      <c r="KZ803" s="770"/>
      <c r="LA803" s="770"/>
      <c r="LB803" s="770">
        <v>1</v>
      </c>
      <c r="LC803" s="770">
        <v>1</v>
      </c>
      <c r="LD803" s="770">
        <v>2</v>
      </c>
      <c r="LE803" s="770">
        <v>1</v>
      </c>
      <c r="LF803" s="770"/>
      <c r="LG803" s="770"/>
      <c r="LH803" s="770"/>
      <c r="LI803" s="770"/>
      <c r="LJ803" s="770"/>
      <c r="LK803" s="770"/>
      <c r="LL803" s="770"/>
      <c r="LM803" s="770"/>
      <c r="LN803" s="766">
        <f t="shared" si="230"/>
        <v>3</v>
      </c>
      <c r="LO803" s="766">
        <f t="shared" si="230"/>
        <v>4</v>
      </c>
      <c r="LP803" s="770">
        <v>3</v>
      </c>
      <c r="LQ803" s="770">
        <v>3</v>
      </c>
      <c r="LR803" s="770"/>
      <c r="LS803" s="770"/>
      <c r="LT803" s="712" t="str">
        <f t="shared" si="254"/>
        <v>OK</v>
      </c>
      <c r="LU803" s="770">
        <v>1</v>
      </c>
      <c r="LV803" s="770">
        <v>2</v>
      </c>
      <c r="LW803" s="770"/>
      <c r="LX803" s="769">
        <v>2</v>
      </c>
      <c r="LY803" s="766" t="str">
        <f t="shared" si="231"/>
        <v>within the MUNICIPALITY</v>
      </c>
      <c r="LZ803" s="1728">
        <f>SUM(60*26,34*25)</f>
        <v>2410</v>
      </c>
      <c r="MA803" s="1709"/>
      <c r="MB803" s="1709"/>
      <c r="MC803" s="1679">
        <f t="shared" si="229"/>
        <v>2410</v>
      </c>
      <c r="MD803" s="1709">
        <f>SUM(15000,15000,15000)</f>
        <v>45000</v>
      </c>
      <c r="ME803" s="1709"/>
      <c r="MF803" s="1709"/>
      <c r="MG803" s="1680">
        <f t="shared" si="255"/>
        <v>45000</v>
      </c>
      <c r="MH803" s="770" t="s">
        <v>2226</v>
      </c>
      <c r="MI803" s="302">
        <f>500*30</f>
        <v>15000</v>
      </c>
      <c r="MJ803" s="302">
        <f>500*30</f>
        <v>15000</v>
      </c>
      <c r="MK803" s="302">
        <v>15000</v>
      </c>
      <c r="ML803" s="302">
        <v>35000</v>
      </c>
      <c r="MM803" s="302">
        <f>18000/12</f>
        <v>1500</v>
      </c>
      <c r="MN803" s="302"/>
      <c r="MO803" s="302">
        <v>5000</v>
      </c>
      <c r="MP803" s="302">
        <v>6000</v>
      </c>
      <c r="MQ803" s="302">
        <v>350</v>
      </c>
      <c r="MR803" s="302">
        <v>965</v>
      </c>
      <c r="MS803" s="302">
        <v>10000</v>
      </c>
      <c r="MT803" s="302"/>
      <c r="MU803" s="302"/>
      <c r="MV803" s="302"/>
      <c r="MW803" s="302"/>
      <c r="MX803" s="302"/>
      <c r="MY803" s="1682">
        <f t="shared" si="243"/>
        <v>103815</v>
      </c>
      <c r="MZ803" s="770" t="s">
        <v>13370</v>
      </c>
      <c r="NA803" s="770" t="s">
        <v>13005</v>
      </c>
      <c r="NB803" s="770" t="s">
        <v>13016</v>
      </c>
      <c r="NC803" s="770" t="s">
        <v>13602</v>
      </c>
      <c r="ND803" s="770">
        <v>0</v>
      </c>
      <c r="NE803" s="770">
        <v>1</v>
      </c>
      <c r="NF803" s="770">
        <v>0</v>
      </c>
      <c r="NG803" s="770">
        <v>1</v>
      </c>
      <c r="NH803" s="770">
        <v>2</v>
      </c>
      <c r="NI803" s="770">
        <v>0</v>
      </c>
      <c r="NJ803" s="770">
        <v>1</v>
      </c>
      <c r="NK803" s="770">
        <v>0</v>
      </c>
      <c r="NL803" s="770">
        <v>1</v>
      </c>
      <c r="NM803" s="770">
        <v>1</v>
      </c>
      <c r="NN803" s="770">
        <v>0</v>
      </c>
      <c r="NO803" s="770">
        <v>0</v>
      </c>
      <c r="NP803" s="770">
        <v>0</v>
      </c>
      <c r="NQ803" s="770">
        <v>0</v>
      </c>
      <c r="NR803" s="770">
        <v>0</v>
      </c>
      <c r="NS803" s="770">
        <v>0</v>
      </c>
      <c r="NT803" s="770">
        <v>0</v>
      </c>
      <c r="NU803" s="770">
        <v>0</v>
      </c>
      <c r="NV803" s="770">
        <v>0</v>
      </c>
      <c r="NW803" s="770">
        <v>1</v>
      </c>
      <c r="NX803" s="770">
        <v>0</v>
      </c>
      <c r="NY803" s="770" t="s">
        <v>1208</v>
      </c>
      <c r="NZ803" s="770" t="s">
        <v>1208</v>
      </c>
      <c r="OA803" s="770" t="s">
        <v>1208</v>
      </c>
      <c r="OB803" s="770" t="s">
        <v>1208</v>
      </c>
      <c r="OC803" s="770" t="s">
        <v>1208</v>
      </c>
      <c r="OD803" s="770" t="s">
        <v>1208</v>
      </c>
      <c r="OE803" s="770"/>
      <c r="OF803" s="770"/>
      <c r="OG803" s="770"/>
      <c r="OH803" s="770"/>
      <c r="OI803" s="770"/>
      <c r="OJ803" s="770"/>
      <c r="OK803" s="770"/>
      <c r="OL803" s="770"/>
      <c r="OM803" s="770"/>
      <c r="ON803" s="770"/>
      <c r="OO803" s="770"/>
      <c r="OP803" s="770"/>
      <c r="OQ803" s="770"/>
      <c r="OR803" s="770"/>
      <c r="OS803" s="770"/>
      <c r="OT803" s="770"/>
      <c r="OU803" s="770"/>
      <c r="OV803" s="770"/>
      <c r="OW803" s="770"/>
      <c r="OX803" s="770"/>
      <c r="OY803" s="770"/>
      <c r="OZ803" s="770"/>
      <c r="PA803" s="770"/>
      <c r="PB803" s="770"/>
      <c r="PC803" s="770"/>
      <c r="PD803" s="770"/>
      <c r="PE803" s="770"/>
      <c r="PF803" s="770"/>
      <c r="PG803" s="770"/>
      <c r="PH803" s="770" t="s">
        <v>1208</v>
      </c>
      <c r="PI803" s="770"/>
      <c r="PJ803" s="770"/>
      <c r="PK803" s="770"/>
      <c r="PL803" s="770"/>
      <c r="PM803" s="770"/>
      <c r="PN803" s="770"/>
      <c r="PO803" s="770"/>
      <c r="PP803" s="770"/>
      <c r="PQ803" s="770"/>
      <c r="PR803" s="770"/>
      <c r="PS803" s="770"/>
      <c r="PT803" s="770"/>
      <c r="PU803" s="770"/>
      <c r="PV803" s="770"/>
      <c r="PW803" s="770"/>
      <c r="PX803" s="770"/>
      <c r="PY803" s="770"/>
      <c r="PZ803" s="770"/>
      <c r="QA803" s="770"/>
      <c r="QB803" s="770"/>
      <c r="QC803" s="770"/>
      <c r="QD803" s="770"/>
      <c r="QE803" s="770"/>
      <c r="QF803" s="770"/>
      <c r="QG803" s="770" t="s">
        <v>1208</v>
      </c>
      <c r="QH803" s="770"/>
      <c r="QI803" s="770"/>
      <c r="QJ803" s="770"/>
      <c r="QK803" s="770"/>
      <c r="QL803" s="770"/>
      <c r="QM803" s="770"/>
      <c r="QN803" s="770"/>
      <c r="QO803" s="770"/>
      <c r="QP803" s="770"/>
      <c r="QQ803" s="770"/>
      <c r="QR803" s="770"/>
      <c r="QS803" s="770"/>
      <c r="QT803" s="770"/>
      <c r="QU803" s="770"/>
      <c r="QV803" s="770"/>
      <c r="QW803" s="770"/>
      <c r="QX803" s="770"/>
      <c r="QY803" s="770"/>
      <c r="QZ803" s="770"/>
      <c r="RA803" s="770"/>
      <c r="RB803" s="770" t="s">
        <v>1207</v>
      </c>
      <c r="RC803" s="770">
        <v>2015</v>
      </c>
      <c r="RD803" s="770" t="s">
        <v>13251</v>
      </c>
      <c r="RE803" s="770" t="s">
        <v>12999</v>
      </c>
      <c r="RF803" s="304">
        <v>1</v>
      </c>
      <c r="RG803" s="770" t="s">
        <v>13047</v>
      </c>
      <c r="RH803" s="306">
        <v>3500</v>
      </c>
      <c r="RI803" s="770">
        <v>2</v>
      </c>
      <c r="RJ803" s="94" t="s">
        <v>4826</v>
      </c>
      <c r="RK803" s="770" t="s">
        <v>13556</v>
      </c>
      <c r="RL803" s="1710">
        <v>42851</v>
      </c>
      <c r="RM803" s="12" t="s">
        <v>13011</v>
      </c>
      <c r="RN803" s="1711"/>
      <c r="RO803" s="149" t="s">
        <v>4816</v>
      </c>
      <c r="RP803" s="11"/>
      <c r="RQ803" s="11"/>
      <c r="RR803" s="19" t="s">
        <v>7421</v>
      </c>
      <c r="RS803" s="1139" t="s">
        <v>12980</v>
      </c>
      <c r="RT803" s="11"/>
      <c r="RU803" s="11"/>
      <c r="RV803" s="771" t="s">
        <v>12355</v>
      </c>
      <c r="RW803" s="11" t="s">
        <v>7479</v>
      </c>
      <c r="RX803" s="11" t="s">
        <v>3236</v>
      </c>
      <c r="RY803" s="11"/>
      <c r="RZ803" s="11"/>
      <c r="SA803" s="771"/>
      <c r="SB803" s="11"/>
      <c r="SC803" s="11"/>
    </row>
    <row r="804" spans="1:497" ht="12.75" customHeight="1">
      <c r="A804" s="19" t="s">
        <v>7421</v>
      </c>
      <c r="B804" s="292" t="s">
        <v>7481</v>
      </c>
      <c r="C804" s="149" t="s">
        <v>3249</v>
      </c>
      <c r="D804" s="94" t="s">
        <v>5190</v>
      </c>
      <c r="E804" s="766" t="s">
        <v>5307</v>
      </c>
      <c r="F804" s="770" t="s">
        <v>28</v>
      </c>
      <c r="G804" s="770" t="s">
        <v>10</v>
      </c>
      <c r="H804" s="12"/>
      <c r="I804" s="295" t="s">
        <v>3258</v>
      </c>
      <c r="J804" s="94" t="s">
        <v>5190</v>
      </c>
      <c r="K804" s="766" t="s">
        <v>3253</v>
      </c>
      <c r="L804" s="766" t="s">
        <v>3254</v>
      </c>
      <c r="M804" s="770" t="s">
        <v>1238</v>
      </c>
      <c r="N804" s="1757"/>
      <c r="O804" s="1757" t="s">
        <v>3255</v>
      </c>
      <c r="P804" s="94" t="s">
        <v>5191</v>
      </c>
      <c r="Q804" s="1088">
        <v>34788</v>
      </c>
      <c r="R804" s="297">
        <v>22</v>
      </c>
      <c r="S804" s="770" t="s">
        <v>10</v>
      </c>
      <c r="T804" s="770"/>
      <c r="U804" s="295" t="s">
        <v>3258</v>
      </c>
      <c r="V804" s="770" t="s">
        <v>722</v>
      </c>
      <c r="W804" s="770"/>
      <c r="X804" s="770"/>
      <c r="Y804" s="770" t="s">
        <v>3251</v>
      </c>
      <c r="Z804" s="770" t="s">
        <v>708</v>
      </c>
      <c r="AA804" s="12" t="s">
        <v>709</v>
      </c>
      <c r="AB804" s="766" t="s">
        <v>7274</v>
      </c>
      <c r="AC804" s="770"/>
      <c r="AD804" s="770" t="s">
        <v>711</v>
      </c>
      <c r="AE804" s="770"/>
      <c r="AF804" s="770" t="s">
        <v>712</v>
      </c>
      <c r="AG804" s="766" t="s">
        <v>1132</v>
      </c>
      <c r="AH804" s="766" t="s">
        <v>1096</v>
      </c>
      <c r="AI804" s="770" t="s">
        <v>3294</v>
      </c>
      <c r="AJ804" s="770" t="s">
        <v>1137</v>
      </c>
      <c r="AK804" s="770" t="s">
        <v>1101</v>
      </c>
      <c r="AL804" s="531">
        <v>12.18</v>
      </c>
      <c r="AM804" s="780">
        <v>7.54</v>
      </c>
      <c r="AN804" s="532">
        <f>AM804/AL804</f>
        <v>0.61904761904761907</v>
      </c>
      <c r="AO804" s="766" t="s">
        <v>1105</v>
      </c>
      <c r="AP804" s="766"/>
      <c r="AQ804" s="766"/>
      <c r="AR804" s="766"/>
      <c r="AS804" s="770"/>
      <c r="AT804" s="770"/>
      <c r="AU804" s="770"/>
      <c r="AV804" s="770"/>
      <c r="AW804" s="770"/>
      <c r="AX804" s="770"/>
      <c r="AY804" s="770"/>
      <c r="AZ804" s="770"/>
      <c r="BA804" s="770"/>
      <c r="BB804" s="770"/>
      <c r="BC804" s="770"/>
      <c r="BD804" s="770"/>
      <c r="BE804" s="770"/>
      <c r="BF804" s="302"/>
      <c r="BG804" s="302"/>
      <c r="BH804" s="770"/>
      <c r="BI804" s="770"/>
      <c r="BJ804" s="770"/>
      <c r="BK804" s="766" t="s">
        <v>1095</v>
      </c>
      <c r="BL804" s="766" t="s">
        <v>5192</v>
      </c>
      <c r="BM804" s="766" t="s">
        <v>1096</v>
      </c>
      <c r="BN804" s="766" t="s">
        <v>1230</v>
      </c>
      <c r="BO804" s="766" t="s">
        <v>1239</v>
      </c>
      <c r="BP804" s="1109">
        <v>24.36</v>
      </c>
      <c r="BQ804" s="773">
        <v>7.54</v>
      </c>
      <c r="BR804" s="774">
        <f t="shared" si="247"/>
        <v>0.30952380952380953</v>
      </c>
      <c r="BS804" s="766" t="s">
        <v>1149</v>
      </c>
      <c r="BT804" s="766" t="s">
        <v>8133</v>
      </c>
      <c r="BU804" s="770" t="s">
        <v>1249</v>
      </c>
      <c r="BV804" s="770" t="s">
        <v>1247</v>
      </c>
      <c r="BW804" s="770">
        <v>1990</v>
      </c>
      <c r="BX804" s="302"/>
      <c r="BY804" s="770"/>
      <c r="BZ804" s="302"/>
      <c r="CA804" s="770"/>
      <c r="CB804" s="770"/>
      <c r="CC804" s="770"/>
      <c r="CD804" s="770"/>
      <c r="CE804" s="302"/>
      <c r="CF804" s="304"/>
      <c r="CG804" s="321"/>
      <c r="CH804" s="770"/>
      <c r="CI804" s="770"/>
      <c r="CJ804" s="770"/>
      <c r="CK804" s="770"/>
      <c r="CL804" s="770"/>
      <c r="CM804" s="770"/>
      <c r="CN804" s="770"/>
      <c r="CO804" s="770"/>
      <c r="CP804" s="770"/>
      <c r="CQ804" s="770"/>
      <c r="CR804" s="302"/>
      <c r="CS804" s="770"/>
      <c r="CT804" s="770"/>
      <c r="CU804" s="305"/>
      <c r="CV804" s="770"/>
      <c r="CW804" s="770"/>
      <c r="CX804" s="770"/>
      <c r="CY804" s="770"/>
      <c r="CZ804" s="770"/>
      <c r="DA804" s="306"/>
      <c r="DB804" s="770"/>
      <c r="DC804" s="770"/>
      <c r="DD804" s="770"/>
      <c r="DE804" s="300"/>
      <c r="DF804" s="770"/>
      <c r="DG804" s="770"/>
      <c r="DH804" s="770"/>
      <c r="DI804" s="770"/>
      <c r="DJ804" s="770"/>
      <c r="DK804" s="770"/>
      <c r="DL804" s="770"/>
      <c r="DM804" s="770"/>
      <c r="DN804" s="322"/>
      <c r="DO804" s="770"/>
      <c r="DP804" s="770"/>
      <c r="DQ804" s="770"/>
      <c r="DR804" s="770"/>
      <c r="DS804" s="307"/>
      <c r="DT804" s="770"/>
      <c r="DU804" s="770"/>
      <c r="DV804" s="770"/>
      <c r="DW804" s="306"/>
      <c r="DX804" s="306"/>
      <c r="DY804" s="1055"/>
      <c r="DZ804" s="770"/>
      <c r="EA804" s="770"/>
      <c r="EB804" s="770"/>
      <c r="EC804" s="770"/>
      <c r="ED804" s="770"/>
      <c r="EE804" s="770"/>
      <c r="EF804" s="770"/>
      <c r="EG804" s="770"/>
      <c r="EH804" s="770"/>
      <c r="EI804" s="770"/>
      <c r="EJ804" s="770"/>
      <c r="EK804" s="770"/>
      <c r="EL804" s="770"/>
      <c r="EM804" s="770"/>
      <c r="EN804" s="770"/>
      <c r="EO804" s="770"/>
      <c r="EP804" s="94"/>
      <c r="EQ804" s="770"/>
      <c r="ER804" s="770"/>
      <c r="ES804" s="770"/>
      <c r="ET804" s="770"/>
      <c r="EU804" s="770"/>
      <c r="EV804" s="770"/>
      <c r="EW804" s="770"/>
      <c r="EX804" s="770"/>
      <c r="EY804" s="770"/>
      <c r="EZ804" s="770"/>
      <c r="FA804" s="770"/>
      <c r="FB804" s="770"/>
      <c r="FC804" s="770"/>
      <c r="FD804" s="302"/>
      <c r="FE804" s="770"/>
      <c r="FF804" s="770"/>
      <c r="FG804" s="770"/>
      <c r="FH804" s="770" t="s">
        <v>478</v>
      </c>
      <c r="FI804" s="770">
        <v>1</v>
      </c>
      <c r="FJ804" s="770"/>
      <c r="FK804" s="770"/>
      <c r="FL804" s="770"/>
      <c r="FM804" s="302"/>
      <c r="FN804" s="302"/>
      <c r="FO804" s="302"/>
      <c r="FP804" s="766" t="s">
        <v>1602</v>
      </c>
      <c r="FQ804" s="766" t="s">
        <v>1660</v>
      </c>
      <c r="FR804" s="770" t="s">
        <v>1214</v>
      </c>
      <c r="FS804" s="770"/>
      <c r="FT804" s="770"/>
      <c r="FU804" s="770"/>
      <c r="FV804" s="770"/>
      <c r="FW804" s="770"/>
      <c r="FX804" s="770"/>
      <c r="FY804" s="770"/>
      <c r="FZ804" s="770"/>
      <c r="GA804" s="770"/>
      <c r="GB804" s="770" t="s">
        <v>4824</v>
      </c>
      <c r="GC804" s="308"/>
      <c r="GD804" s="297">
        <v>1990</v>
      </c>
      <c r="GE804" s="770" t="s">
        <v>1207</v>
      </c>
      <c r="GF804" s="302">
        <v>1700</v>
      </c>
      <c r="GG804" s="302">
        <f>GF804*12</f>
        <v>20400</v>
      </c>
      <c r="GH804" s="712" t="s">
        <v>1791</v>
      </c>
      <c r="GI804" s="770" t="s">
        <v>2352</v>
      </c>
      <c r="GJ804" s="770" t="s">
        <v>3209</v>
      </c>
      <c r="GK804" s="770" t="s">
        <v>2345</v>
      </c>
      <c r="GL804" s="770"/>
      <c r="GM804" s="770" t="s">
        <v>5193</v>
      </c>
      <c r="GN804" s="299">
        <f>9000/30</f>
        <v>300</v>
      </c>
      <c r="GO804" s="770" t="s">
        <v>5194</v>
      </c>
      <c r="GP804" s="770"/>
      <c r="GQ804" s="770" t="s">
        <v>1208</v>
      </c>
      <c r="GR804" s="770"/>
      <c r="GS804" s="770"/>
      <c r="GT804" s="770"/>
      <c r="GU804" s="770"/>
      <c r="GV804" s="770"/>
      <c r="GW804" s="770" t="s">
        <v>1207</v>
      </c>
      <c r="GX804" s="770"/>
      <c r="GY804" s="770" t="s">
        <v>1208</v>
      </c>
      <c r="GZ804" s="770"/>
      <c r="HA804" s="770" t="s">
        <v>1208</v>
      </c>
      <c r="HB804" s="770" t="s">
        <v>1208</v>
      </c>
      <c r="HC804" s="770"/>
      <c r="HD804" s="770" t="s">
        <v>1208</v>
      </c>
      <c r="HE804" s="770" t="s">
        <v>1208</v>
      </c>
      <c r="HF804" s="770"/>
      <c r="HG804" s="770"/>
      <c r="HH804" s="770"/>
      <c r="HI804" s="770" t="s">
        <v>1214</v>
      </c>
      <c r="HJ804" s="770"/>
      <c r="HK804" s="770"/>
      <c r="HL804" s="770" t="s">
        <v>1214</v>
      </c>
      <c r="HM804" s="770"/>
      <c r="HN804" s="770"/>
      <c r="HO804" s="770"/>
      <c r="HP804" s="770"/>
      <c r="HQ804" s="770"/>
      <c r="HR804" s="770"/>
      <c r="HS804" s="770"/>
      <c r="HT804" s="770"/>
      <c r="HU804" s="770"/>
      <c r="HV804" s="770"/>
      <c r="HW804" s="770"/>
      <c r="HX804" s="770"/>
      <c r="HY804" s="770"/>
      <c r="HZ804" s="770"/>
      <c r="IA804" s="770"/>
      <c r="IB804" s="14" t="e">
        <f>IF(#REF!&gt;0,IF(#REF!&lt;=10000,"Y",""),"")</f>
        <v>#REF!</v>
      </c>
      <c r="IC804" s="770"/>
      <c r="ID804" s="770"/>
      <c r="IE804" s="770"/>
      <c r="IF804" s="770" t="s">
        <v>5196</v>
      </c>
      <c r="IG804" s="770" t="s">
        <v>10</v>
      </c>
      <c r="IH804" s="770" t="s">
        <v>478</v>
      </c>
      <c r="II804" s="770" t="s">
        <v>3251</v>
      </c>
      <c r="IJ804" s="770" t="s">
        <v>1835</v>
      </c>
      <c r="IK804" s="770" t="s">
        <v>5195</v>
      </c>
      <c r="IL804" s="770" t="s">
        <v>3257</v>
      </c>
      <c r="IM804" s="770">
        <v>1990</v>
      </c>
      <c r="IN804" s="770" t="s">
        <v>3257</v>
      </c>
      <c r="IO804" s="296">
        <v>34788</v>
      </c>
      <c r="IP804" s="770" t="s">
        <v>478</v>
      </c>
      <c r="IQ804" s="13" t="s">
        <v>8144</v>
      </c>
      <c r="IR804" s="770" t="s">
        <v>2716</v>
      </c>
      <c r="IS804" s="770" t="s">
        <v>1883</v>
      </c>
      <c r="IT804" s="770" t="s">
        <v>1208</v>
      </c>
      <c r="IU804" s="770"/>
      <c r="IV804" s="770"/>
      <c r="IW804" s="770" t="s">
        <v>14021</v>
      </c>
      <c r="IX804" s="770"/>
      <c r="IY804" s="770" t="s">
        <v>3258</v>
      </c>
      <c r="IZ804" s="770"/>
      <c r="JA804" s="770" t="s">
        <v>12805</v>
      </c>
      <c r="JB804" s="770"/>
      <c r="JC804" s="770"/>
      <c r="JD804" s="302">
        <v>1700</v>
      </c>
      <c r="JE804" s="770"/>
      <c r="JF804" s="770"/>
      <c r="JG804" s="770"/>
      <c r="JH804" s="307"/>
      <c r="JI804" s="712" t="str">
        <f>IF(SUM(JT804,JU804)=JJ804,"ok","review")</f>
        <v>ok</v>
      </c>
      <c r="JJ804" s="770">
        <v>2</v>
      </c>
      <c r="JK804" s="1139" t="s">
        <v>3257</v>
      </c>
      <c r="JL804" s="770"/>
      <c r="JM804" s="770"/>
      <c r="JN804" s="770">
        <v>1</v>
      </c>
      <c r="JO804" s="770">
        <v>1</v>
      </c>
      <c r="JP804" s="770"/>
      <c r="JQ804" s="770"/>
      <c r="JR804" s="770"/>
      <c r="JS804" s="770"/>
      <c r="JT804" s="766">
        <f t="shared" si="248"/>
        <v>1</v>
      </c>
      <c r="JU804" s="766">
        <f t="shared" si="248"/>
        <v>1</v>
      </c>
      <c r="JV804" s="712" t="str">
        <f t="shared" si="250"/>
        <v>ok</v>
      </c>
      <c r="JW804" s="712" t="str">
        <f t="shared" si="251"/>
        <v>ok</v>
      </c>
      <c r="JX804" s="770"/>
      <c r="JY804" s="770"/>
      <c r="JZ804" s="770"/>
      <c r="KA804" s="770"/>
      <c r="KB804" s="770">
        <v>1</v>
      </c>
      <c r="KC804" s="770">
        <v>1</v>
      </c>
      <c r="KD804" s="770"/>
      <c r="KE804" s="770"/>
      <c r="KF804" s="770"/>
      <c r="KG804" s="770"/>
      <c r="KH804" s="770"/>
      <c r="KI804" s="770"/>
      <c r="KJ804" s="770">
        <f t="shared" si="249"/>
        <v>1</v>
      </c>
      <c r="KK804" s="770">
        <f t="shared" si="249"/>
        <v>1</v>
      </c>
      <c r="KL804" s="712" t="str">
        <f t="shared" si="252"/>
        <v>ok</v>
      </c>
      <c r="KM804" s="712" t="str">
        <f t="shared" si="253"/>
        <v>ok</v>
      </c>
      <c r="KN804" s="770" t="s">
        <v>722</v>
      </c>
      <c r="KO804" s="770"/>
      <c r="KP804" s="770"/>
      <c r="KQ804" s="770"/>
      <c r="KR804" s="770"/>
      <c r="KS804" s="770"/>
      <c r="KT804" s="770"/>
      <c r="KU804" s="770"/>
      <c r="KV804" s="770"/>
      <c r="KW804" s="770"/>
      <c r="KX804" s="770"/>
      <c r="KY804" s="770"/>
      <c r="KZ804" s="770">
        <v>1</v>
      </c>
      <c r="LA804" s="770">
        <v>1</v>
      </c>
      <c r="LB804" s="770"/>
      <c r="LC804" s="770"/>
      <c r="LD804" s="770"/>
      <c r="LE804" s="770"/>
      <c r="LF804" s="770"/>
      <c r="LG804" s="770"/>
      <c r="LH804" s="770"/>
      <c r="LI804" s="770"/>
      <c r="LJ804" s="770"/>
      <c r="LK804" s="770"/>
      <c r="LL804" s="770"/>
      <c r="LM804" s="770"/>
      <c r="LN804" s="766">
        <f t="shared" si="230"/>
        <v>1</v>
      </c>
      <c r="LO804" s="766">
        <f t="shared" si="230"/>
        <v>1</v>
      </c>
      <c r="LP804" s="770">
        <v>1</v>
      </c>
      <c r="LQ804" s="770">
        <v>1</v>
      </c>
      <c r="LR804" s="770"/>
      <c r="LS804" s="770">
        <v>1</v>
      </c>
      <c r="LT804" s="712" t="str">
        <f t="shared" si="254"/>
        <v>OK</v>
      </c>
      <c r="LU804" s="770"/>
      <c r="LV804" s="770">
        <v>1</v>
      </c>
      <c r="LW804" s="770"/>
      <c r="LX804" s="769">
        <v>2</v>
      </c>
      <c r="LY804" s="766" t="str">
        <f t="shared" si="231"/>
        <v>within the MUNICIPALITY</v>
      </c>
      <c r="LZ804" s="1728">
        <v>1800</v>
      </c>
      <c r="MA804" s="1709"/>
      <c r="MB804" s="1709"/>
      <c r="MC804" s="1679">
        <f t="shared" si="229"/>
        <v>1800</v>
      </c>
      <c r="MD804" s="1709">
        <v>12980</v>
      </c>
      <c r="ME804" s="1709"/>
      <c r="MF804" s="1709">
        <v>1700</v>
      </c>
      <c r="MG804" s="1680">
        <f t="shared" si="255"/>
        <v>14680</v>
      </c>
      <c r="MH804" s="770" t="s">
        <v>5197</v>
      </c>
      <c r="MI804" s="302">
        <v>10000</v>
      </c>
      <c r="MJ804" s="302">
        <v>1800</v>
      </c>
      <c r="MK804" s="302">
        <v>3000</v>
      </c>
      <c r="ML804" s="302">
        <v>500</v>
      </c>
      <c r="MM804" s="302"/>
      <c r="MN804" s="302"/>
      <c r="MO804" s="302"/>
      <c r="MP804" s="302"/>
      <c r="MQ804" s="302"/>
      <c r="MR804" s="302"/>
      <c r="MS804" s="302"/>
      <c r="MT804" s="302"/>
      <c r="MU804" s="302"/>
      <c r="MV804" s="302"/>
      <c r="MW804" s="302"/>
      <c r="MX804" s="302"/>
      <c r="MY804" s="1682">
        <f t="shared" si="243"/>
        <v>15300</v>
      </c>
      <c r="MZ804" s="770" t="s">
        <v>1835</v>
      </c>
      <c r="NA804" s="770" t="s">
        <v>13585</v>
      </c>
      <c r="NB804" s="770" t="s">
        <v>13151</v>
      </c>
      <c r="NC804" s="770" t="s">
        <v>13602</v>
      </c>
      <c r="ND804" s="770">
        <v>0</v>
      </c>
      <c r="NE804" s="770">
        <v>0</v>
      </c>
      <c r="NF804" s="770">
        <v>0</v>
      </c>
      <c r="NG804" s="770">
        <v>1</v>
      </c>
      <c r="NH804" s="770">
        <v>0</v>
      </c>
      <c r="NI804" s="770">
        <v>0</v>
      </c>
      <c r="NJ804" s="770">
        <v>0</v>
      </c>
      <c r="NK804" s="770">
        <v>0</v>
      </c>
      <c r="NL804" s="770">
        <v>1</v>
      </c>
      <c r="NM804" s="770">
        <v>1</v>
      </c>
      <c r="NN804" s="770">
        <v>0</v>
      </c>
      <c r="NO804" s="770">
        <v>1</v>
      </c>
      <c r="NP804" s="770">
        <v>0</v>
      </c>
      <c r="NQ804" s="770">
        <v>0</v>
      </c>
      <c r="NR804" s="770">
        <v>0</v>
      </c>
      <c r="NS804" s="770">
        <v>0</v>
      </c>
      <c r="NT804" s="770">
        <v>0</v>
      </c>
      <c r="NU804" s="770">
        <v>0</v>
      </c>
      <c r="NV804" s="770">
        <v>0</v>
      </c>
      <c r="NW804" s="770">
        <v>0</v>
      </c>
      <c r="NX804" s="770">
        <v>0</v>
      </c>
      <c r="NY804" s="770"/>
      <c r="NZ804" s="770"/>
      <c r="OA804" s="770"/>
      <c r="OB804" s="770"/>
      <c r="OC804" s="770" t="s">
        <v>1208</v>
      </c>
      <c r="OD804" s="770" t="s">
        <v>1208</v>
      </c>
      <c r="OE804" s="770"/>
      <c r="OF804" s="770" t="s">
        <v>2143</v>
      </c>
      <c r="OG804" s="770"/>
      <c r="OH804" s="770"/>
      <c r="OI804" s="770"/>
      <c r="OJ804" s="770"/>
      <c r="OK804" s="770"/>
      <c r="OL804" s="770"/>
      <c r="OM804" s="770"/>
      <c r="ON804" s="770"/>
      <c r="OO804" s="770"/>
      <c r="OP804" s="770"/>
      <c r="OQ804" s="770"/>
      <c r="OR804" s="770"/>
      <c r="OS804" s="770"/>
      <c r="OT804" s="770"/>
      <c r="OU804" s="770"/>
      <c r="OV804" s="770"/>
      <c r="OW804" s="770"/>
      <c r="OX804" s="770"/>
      <c r="OY804" s="770"/>
      <c r="OZ804" s="770"/>
      <c r="PA804" s="770"/>
      <c r="PB804" s="770"/>
      <c r="PC804" s="770"/>
      <c r="PD804" s="770"/>
      <c r="PE804" s="770"/>
      <c r="PF804" s="770"/>
      <c r="PG804" s="770"/>
      <c r="PH804" s="770"/>
      <c r="PI804" s="770"/>
      <c r="PJ804" s="770"/>
      <c r="PK804" s="770"/>
      <c r="PL804" s="770"/>
      <c r="PM804" s="770"/>
      <c r="PN804" s="770"/>
      <c r="PO804" s="770"/>
      <c r="PP804" s="770"/>
      <c r="PQ804" s="770"/>
      <c r="PR804" s="770"/>
      <c r="PS804" s="770"/>
      <c r="PT804" s="770"/>
      <c r="PU804" s="770"/>
      <c r="PV804" s="770"/>
      <c r="PW804" s="770"/>
      <c r="PX804" s="770"/>
      <c r="PY804" s="770"/>
      <c r="PZ804" s="770"/>
      <c r="QA804" s="770"/>
      <c r="QB804" s="770"/>
      <c r="QC804" s="770"/>
      <c r="QD804" s="770"/>
      <c r="QE804" s="770"/>
      <c r="QF804" s="770"/>
      <c r="QG804" s="770"/>
      <c r="QH804" s="770"/>
      <c r="QI804" s="770"/>
      <c r="QJ804" s="770"/>
      <c r="QK804" s="770"/>
      <c r="QL804" s="770"/>
      <c r="QM804" s="770"/>
      <c r="QN804" s="770"/>
      <c r="QO804" s="770"/>
      <c r="QP804" s="770"/>
      <c r="QQ804" s="770"/>
      <c r="QR804" s="770"/>
      <c r="QS804" s="770"/>
      <c r="QT804" s="770"/>
      <c r="QU804" s="770"/>
      <c r="QV804" s="770"/>
      <c r="QW804" s="770"/>
      <c r="QX804" s="770"/>
      <c r="QY804" s="770"/>
      <c r="QZ804" s="770"/>
      <c r="RA804" s="770"/>
      <c r="RB804" s="770"/>
      <c r="RC804" s="770"/>
      <c r="RD804" s="770"/>
      <c r="RE804" s="770"/>
      <c r="RF804" s="304"/>
      <c r="RG804" s="770"/>
      <c r="RH804" s="306"/>
      <c r="RI804" s="770"/>
      <c r="RJ804" s="94"/>
      <c r="RK804" s="770"/>
      <c r="RL804" s="1710">
        <v>42851</v>
      </c>
      <c r="RM804" s="12"/>
      <c r="RN804" s="1711"/>
      <c r="RO804" s="149" t="s">
        <v>3249</v>
      </c>
      <c r="RP804" s="11"/>
      <c r="RQ804" s="11"/>
      <c r="RR804" s="19" t="s">
        <v>7421</v>
      </c>
      <c r="RS804" s="1139" t="s">
        <v>12980</v>
      </c>
      <c r="RT804" s="11"/>
      <c r="RU804" s="11"/>
      <c r="RV804" s="771" t="s">
        <v>12355</v>
      </c>
      <c r="RW804" s="11" t="s">
        <v>7479</v>
      </c>
      <c r="RX804" s="11" t="s">
        <v>3236</v>
      </c>
      <c r="RY804" s="11"/>
      <c r="RZ804" s="11" t="s">
        <v>2209</v>
      </c>
      <c r="SA804" s="771"/>
      <c r="SB804" s="11"/>
      <c r="SC804" s="11"/>
    </row>
    <row r="805" spans="1:497" ht="12.75" customHeight="1">
      <c r="A805" s="19" t="s">
        <v>14273</v>
      </c>
      <c r="B805" s="292" t="s">
        <v>7482</v>
      </c>
      <c r="C805" s="149" t="s">
        <v>3249</v>
      </c>
      <c r="D805" s="94" t="s">
        <v>3250</v>
      </c>
      <c r="E805" s="766" t="s">
        <v>5307</v>
      </c>
      <c r="F805" s="770" t="s">
        <v>28</v>
      </c>
      <c r="G805" s="770" t="s">
        <v>18</v>
      </c>
      <c r="H805" s="12"/>
      <c r="I805" s="295" t="s">
        <v>3252</v>
      </c>
      <c r="J805" s="94" t="str">
        <f ca="1">IF(F805="Head",CELL("contents",D805))</f>
        <v>Pronto, Zyra Capor</v>
      </c>
      <c r="K805" s="766" t="s">
        <v>3253</v>
      </c>
      <c r="L805" s="766" t="s">
        <v>3254</v>
      </c>
      <c r="M805" s="770" t="s">
        <v>1238</v>
      </c>
      <c r="N805" s="1757"/>
      <c r="O805" s="1757" t="s">
        <v>3255</v>
      </c>
      <c r="P805" s="770" t="s">
        <v>3256</v>
      </c>
      <c r="Q805" s="1088">
        <v>32061</v>
      </c>
      <c r="R805" s="297">
        <v>29</v>
      </c>
      <c r="S805" s="770" t="s">
        <v>18</v>
      </c>
      <c r="T805" s="770"/>
      <c r="U805" s="295" t="s">
        <v>3252</v>
      </c>
      <c r="V805" s="770" t="s">
        <v>768</v>
      </c>
      <c r="W805" s="770"/>
      <c r="X805" s="770"/>
      <c r="Y805" s="770" t="s">
        <v>3251</v>
      </c>
      <c r="Z805" s="770" t="s">
        <v>708</v>
      </c>
      <c r="AA805" s="770" t="s">
        <v>709</v>
      </c>
      <c r="AB805" s="770" t="s">
        <v>710</v>
      </c>
      <c r="AC805" s="770"/>
      <c r="AD805" s="770" t="s">
        <v>790</v>
      </c>
      <c r="AE805" s="770"/>
      <c r="AF805" s="770" t="s">
        <v>712</v>
      </c>
      <c r="AG805" s="770"/>
      <c r="AH805" s="770"/>
      <c r="AI805" s="770"/>
      <c r="AJ805" s="770"/>
      <c r="AK805" s="770" t="s">
        <v>1101</v>
      </c>
      <c r="AL805" s="531"/>
      <c r="AM805" s="780"/>
      <c r="AN805" s="532"/>
      <c r="AO805" s="766"/>
      <c r="AP805" s="766"/>
      <c r="AQ805" s="766"/>
      <c r="AR805" s="766"/>
      <c r="AS805" s="770"/>
      <c r="AT805" s="770"/>
      <c r="AU805" s="770"/>
      <c r="AV805" s="770"/>
      <c r="AW805" s="770"/>
      <c r="AX805" s="770"/>
      <c r="AY805" s="770"/>
      <c r="AZ805" s="770"/>
      <c r="BA805" s="770"/>
      <c r="BB805" s="770"/>
      <c r="BC805" s="770"/>
      <c r="BD805" s="770"/>
      <c r="BE805" s="770"/>
      <c r="BF805" s="302"/>
      <c r="BG805" s="302"/>
      <c r="BH805" s="770"/>
      <c r="BI805" s="770"/>
      <c r="BJ805" s="770"/>
      <c r="BK805" s="766"/>
      <c r="BL805" s="766"/>
      <c r="BM805" s="766" t="s">
        <v>1238</v>
      </c>
      <c r="BN805" s="766" t="s">
        <v>1230</v>
      </c>
      <c r="BO805" s="770"/>
      <c r="BP805" s="765"/>
      <c r="BQ805" s="773"/>
      <c r="BR805" s="774"/>
      <c r="BS805" s="6" t="s">
        <v>1149</v>
      </c>
      <c r="BT805" s="770"/>
      <c r="BU805" s="770"/>
      <c r="BV805" s="770"/>
      <c r="BW805" s="770"/>
      <c r="BX805" s="302"/>
      <c r="BY805" s="770"/>
      <c r="BZ805" s="302"/>
      <c r="CA805" s="770"/>
      <c r="CB805" s="770"/>
      <c r="CC805" s="770"/>
      <c r="CD805" s="770"/>
      <c r="CE805" s="302"/>
      <c r="CF805" s="304"/>
      <c r="CG805" s="321"/>
      <c r="CH805" s="770"/>
      <c r="CI805" s="770"/>
      <c r="CJ805" s="770"/>
      <c r="CK805" s="770"/>
      <c r="CL805" s="770"/>
      <c r="CM805" s="770"/>
      <c r="CN805" s="770"/>
      <c r="CO805" s="770"/>
      <c r="CP805" s="770"/>
      <c r="CQ805" s="770"/>
      <c r="CR805" s="302"/>
      <c r="CS805" s="770"/>
      <c r="CT805" s="770"/>
      <c r="CU805" s="305"/>
      <c r="CV805" s="770"/>
      <c r="CW805" s="770"/>
      <c r="CX805" s="770"/>
      <c r="CY805" s="770"/>
      <c r="CZ805" s="770"/>
      <c r="DA805" s="306"/>
      <c r="DB805" s="770"/>
      <c r="DC805" s="770"/>
      <c r="DD805" s="770"/>
      <c r="DE805" s="300"/>
      <c r="DF805" s="770"/>
      <c r="DG805" s="770"/>
      <c r="DH805" s="770"/>
      <c r="DI805" s="770"/>
      <c r="DJ805" s="770"/>
      <c r="DK805" s="770"/>
      <c r="DL805" s="770"/>
      <c r="DM805" s="770"/>
      <c r="DN805" s="322"/>
      <c r="DO805" s="770"/>
      <c r="DP805" s="770"/>
      <c r="DQ805" s="770"/>
      <c r="DR805" s="770"/>
      <c r="DS805" s="307"/>
      <c r="DT805" s="770"/>
      <c r="DU805" s="770"/>
      <c r="DV805" s="770"/>
      <c r="DW805" s="306"/>
      <c r="DX805" s="306"/>
      <c r="DY805" s="1055"/>
      <c r="DZ805" s="770"/>
      <c r="EA805" s="770"/>
      <c r="EB805" s="770"/>
      <c r="EC805" s="770"/>
      <c r="ED805" s="770"/>
      <c r="EE805" s="770"/>
      <c r="EF805" s="770"/>
      <c r="EG805" s="770"/>
      <c r="EH805" s="770"/>
      <c r="EI805" s="770"/>
      <c r="EJ805" s="770"/>
      <c r="EK805" s="770"/>
      <c r="EL805" s="770"/>
      <c r="EM805" s="770"/>
      <c r="EN805" s="770"/>
      <c r="EO805" s="770"/>
      <c r="EP805" s="94"/>
      <c r="EQ805" s="770"/>
      <c r="ER805" s="770"/>
      <c r="ES805" s="770"/>
      <c r="ET805" s="770"/>
      <c r="EU805" s="770"/>
      <c r="EV805" s="770"/>
      <c r="EW805" s="770"/>
      <c r="EX805" s="770"/>
      <c r="EY805" s="770"/>
      <c r="EZ805" s="770"/>
      <c r="FA805" s="770"/>
      <c r="FB805" s="770"/>
      <c r="FC805" s="770"/>
      <c r="FD805" s="302"/>
      <c r="FE805" s="770"/>
      <c r="FF805" s="770"/>
      <c r="FG805" s="770"/>
      <c r="FH805" s="770" t="s">
        <v>1306</v>
      </c>
      <c r="FI805" s="770">
        <v>1</v>
      </c>
      <c r="FJ805" s="770" t="s">
        <v>3257</v>
      </c>
      <c r="FK805" s="770" t="s">
        <v>3258</v>
      </c>
      <c r="FL805" s="770" t="s">
        <v>3259</v>
      </c>
      <c r="FM805" s="147">
        <v>1700</v>
      </c>
      <c r="FN805" s="302">
        <v>0</v>
      </c>
      <c r="FO805" s="302">
        <v>0</v>
      </c>
      <c r="FP805" s="770" t="s">
        <v>1602</v>
      </c>
      <c r="FQ805" s="770" t="s">
        <v>1660</v>
      </c>
      <c r="FR805" s="770"/>
      <c r="FS805" s="770"/>
      <c r="FT805" s="770"/>
      <c r="FU805" s="770"/>
      <c r="FV805" s="770"/>
      <c r="FW805" s="770"/>
      <c r="FX805" s="770"/>
      <c r="FY805" s="770"/>
      <c r="FZ805" s="770"/>
      <c r="GA805" s="770"/>
      <c r="GB805" s="770"/>
      <c r="GC805" s="308"/>
      <c r="GD805" s="297"/>
      <c r="GE805" s="770"/>
      <c r="GF805" s="302"/>
      <c r="GG805" s="302"/>
      <c r="GH805" s="770"/>
      <c r="GI805" s="770"/>
      <c r="GJ805" s="770"/>
      <c r="GK805" s="770"/>
      <c r="GL805" s="770"/>
      <c r="GM805" s="770"/>
      <c r="GN805" s="299"/>
      <c r="GO805" s="770"/>
      <c r="GP805" s="770"/>
      <c r="GQ805" s="770"/>
      <c r="GR805" s="770"/>
      <c r="GS805" s="770"/>
      <c r="GT805" s="770"/>
      <c r="GU805" s="770"/>
      <c r="GV805" s="770"/>
      <c r="GW805" s="770"/>
      <c r="GX805" s="770"/>
      <c r="GY805" s="770"/>
      <c r="GZ805" s="770"/>
      <c r="HA805" s="770"/>
      <c r="HB805" s="770"/>
      <c r="HC805" s="770"/>
      <c r="HD805" s="770"/>
      <c r="HE805" s="770"/>
      <c r="HF805" s="770"/>
      <c r="HG805" s="770"/>
      <c r="HH805" s="770"/>
      <c r="HI805" s="770"/>
      <c r="HJ805" s="770"/>
      <c r="HK805" s="770"/>
      <c r="HL805" s="770"/>
      <c r="HM805" s="770"/>
      <c r="HN805" s="770"/>
      <c r="HO805" s="770"/>
      <c r="HP805" s="770"/>
      <c r="HQ805" s="770"/>
      <c r="HR805" s="770"/>
      <c r="HS805" s="770"/>
      <c r="HT805" s="770"/>
      <c r="HU805" s="770"/>
      <c r="HV805" s="770"/>
      <c r="HW805" s="770"/>
      <c r="HX805" s="770"/>
      <c r="HY805" s="770"/>
      <c r="HZ805" s="770"/>
      <c r="IA805" s="770"/>
      <c r="IB805" s="770" t="s">
        <v>1207</v>
      </c>
      <c r="IC805" s="770" t="s">
        <v>1207</v>
      </c>
      <c r="ID805" s="770"/>
      <c r="IE805" s="770"/>
      <c r="IF805" s="770"/>
      <c r="IG805" s="770"/>
      <c r="IH805" s="770"/>
      <c r="II805" s="770"/>
      <c r="IJ805" s="770"/>
      <c r="IK805" s="770"/>
      <c r="IL805" s="770"/>
      <c r="IM805" s="770"/>
      <c r="IN805" s="770"/>
      <c r="IO805" s="296"/>
      <c r="IP805" s="770"/>
      <c r="IQ805" s="770"/>
      <c r="IR805" s="770"/>
      <c r="IS805" s="770"/>
      <c r="IT805" s="770"/>
      <c r="IU805" s="770"/>
      <c r="IV805" s="770"/>
      <c r="IW805" s="770"/>
      <c r="IX805" s="770"/>
      <c r="IY805" s="770"/>
      <c r="IZ805" s="770"/>
      <c r="JA805" s="770"/>
      <c r="JB805" s="770"/>
      <c r="JC805" s="770"/>
      <c r="JD805" s="302"/>
      <c r="JE805" s="770"/>
      <c r="JF805" s="770"/>
      <c r="JG805" s="770"/>
      <c r="JH805" s="307"/>
      <c r="JI805" s="307"/>
      <c r="JJ805" s="770"/>
      <c r="JK805" s="770"/>
      <c r="JL805" s="770"/>
      <c r="JM805" s="770"/>
      <c r="JN805" s="770"/>
      <c r="JO805" s="770"/>
      <c r="JP805" s="770"/>
      <c r="JQ805" s="770"/>
      <c r="JR805" s="770"/>
      <c r="JS805" s="770"/>
      <c r="JT805" s="766"/>
      <c r="JU805" s="766"/>
      <c r="JV805" s="766"/>
      <c r="JW805" s="766"/>
      <c r="JX805" s="770"/>
      <c r="JY805" s="770"/>
      <c r="JZ805" s="770"/>
      <c r="KA805" s="770"/>
      <c r="KB805" s="770"/>
      <c r="KC805" s="770"/>
      <c r="KD805" s="770"/>
      <c r="KE805" s="770"/>
      <c r="KF805" s="770"/>
      <c r="KG805" s="770"/>
      <c r="KH805" s="770"/>
      <c r="KI805" s="770"/>
      <c r="KJ805" s="770"/>
      <c r="KK805" s="770"/>
      <c r="KL805" s="770"/>
      <c r="KM805" s="770"/>
      <c r="KN805" s="770"/>
      <c r="KO805" s="770"/>
      <c r="KP805" s="770"/>
      <c r="KQ805" s="770"/>
      <c r="KR805" s="770"/>
      <c r="KS805" s="770"/>
      <c r="KT805" s="770"/>
      <c r="KU805" s="770"/>
      <c r="KV805" s="770"/>
      <c r="KW805" s="770"/>
      <c r="KX805" s="770"/>
      <c r="KY805" s="770"/>
      <c r="KZ805" s="770"/>
      <c r="LA805" s="770"/>
      <c r="LB805" s="770"/>
      <c r="LC805" s="770"/>
      <c r="LD805" s="770"/>
      <c r="LE805" s="770"/>
      <c r="LF805" s="770"/>
      <c r="LG805" s="770"/>
      <c r="LH805" s="770"/>
      <c r="LI805" s="770"/>
      <c r="LJ805" s="770"/>
      <c r="LK805" s="770"/>
      <c r="LL805" s="770"/>
      <c r="LM805" s="770"/>
      <c r="LN805" s="766"/>
      <c r="LO805" s="766"/>
      <c r="LP805" s="770"/>
      <c r="LQ805" s="770"/>
      <c r="LR805" s="770"/>
      <c r="LS805" s="770"/>
      <c r="LT805" s="770"/>
      <c r="LU805" s="770"/>
      <c r="LV805" s="770"/>
      <c r="LW805" s="770"/>
      <c r="LX805" s="769"/>
      <c r="LY805" s="766" t="str">
        <f t="shared" si="231"/>
        <v/>
      </c>
      <c r="LZ805" s="1709"/>
      <c r="MA805" s="1709"/>
      <c r="MB805" s="1709"/>
      <c r="MC805" s="1679">
        <f t="shared" ref="MC805:MC831" si="256">SUM(LZ805:MB805)</f>
        <v>0</v>
      </c>
      <c r="MD805" s="1709"/>
      <c r="ME805" s="1709"/>
      <c r="MF805" s="1709"/>
      <c r="MG805" s="1680">
        <f t="shared" ref="MG805:MG811" si="257">SUM(MD805:MF805)</f>
        <v>0</v>
      </c>
      <c r="MH805" s="770"/>
      <c r="MI805" s="302"/>
      <c r="MJ805" s="302"/>
      <c r="MK805" s="302"/>
      <c r="ML805" s="302"/>
      <c r="MM805" s="302"/>
      <c r="MN805" s="302"/>
      <c r="MO805" s="302"/>
      <c r="MP805" s="302"/>
      <c r="MQ805" s="302"/>
      <c r="MR805" s="302"/>
      <c r="MS805" s="302"/>
      <c r="MT805" s="302"/>
      <c r="MU805" s="302"/>
      <c r="MV805" s="302"/>
      <c r="MW805" s="302"/>
      <c r="MX805" s="302"/>
      <c r="MY805" s="1682">
        <f t="shared" si="243"/>
        <v>0</v>
      </c>
      <c r="MZ805" s="770"/>
      <c r="NA805" s="770"/>
      <c r="NB805" s="770"/>
      <c r="NC805" s="770"/>
      <c r="ND805" s="770"/>
      <c r="NE805" s="770"/>
      <c r="NF805" s="770"/>
      <c r="NG805" s="770"/>
      <c r="NH805" s="770"/>
      <c r="NI805" s="770"/>
      <c r="NJ805" s="770"/>
      <c r="NK805" s="770"/>
      <c r="NL805" s="770"/>
      <c r="NM805" s="770"/>
      <c r="NN805" s="770"/>
      <c r="NO805" s="770"/>
      <c r="NP805" s="770"/>
      <c r="NQ805" s="770"/>
      <c r="NR805" s="770"/>
      <c r="NS805" s="770"/>
      <c r="NT805" s="770"/>
      <c r="NU805" s="770"/>
      <c r="NV805" s="770"/>
      <c r="NW805" s="770"/>
      <c r="NX805" s="770"/>
      <c r="NY805" s="770"/>
      <c r="NZ805" s="770"/>
      <c r="OA805" s="770"/>
      <c r="OB805" s="770"/>
      <c r="OC805" s="770"/>
      <c r="OD805" s="770"/>
      <c r="OE805" s="770"/>
      <c r="OF805" s="770"/>
      <c r="OG805" s="770"/>
      <c r="OH805" s="770"/>
      <c r="OI805" s="770"/>
      <c r="OJ805" s="770"/>
      <c r="OK805" s="770"/>
      <c r="OL805" s="770"/>
      <c r="OM805" s="770"/>
      <c r="ON805" s="770"/>
      <c r="OO805" s="770"/>
      <c r="OP805" s="770"/>
      <c r="OQ805" s="770"/>
      <c r="OR805" s="770"/>
      <c r="OS805" s="770"/>
      <c r="OT805" s="770"/>
      <c r="OU805" s="770"/>
      <c r="OV805" s="770"/>
      <c r="OW805" s="770"/>
      <c r="OX805" s="770"/>
      <c r="OY805" s="770"/>
      <c r="OZ805" s="770"/>
      <c r="PA805" s="770"/>
      <c r="PB805" s="770"/>
      <c r="PC805" s="770"/>
      <c r="PD805" s="770"/>
      <c r="PE805" s="770"/>
      <c r="PF805" s="770"/>
      <c r="PG805" s="770"/>
      <c r="PH805" s="770"/>
      <c r="PI805" s="770"/>
      <c r="PJ805" s="770"/>
      <c r="PK805" s="770"/>
      <c r="PL805" s="770"/>
      <c r="PM805" s="770"/>
      <c r="PN805" s="770"/>
      <c r="PO805" s="770"/>
      <c r="PP805" s="770"/>
      <c r="PQ805" s="770"/>
      <c r="PR805" s="770"/>
      <c r="PS805" s="770"/>
      <c r="PT805" s="770"/>
      <c r="PU805" s="770"/>
      <c r="PV805" s="770"/>
      <c r="PW805" s="770"/>
      <c r="PX805" s="770"/>
      <c r="PY805" s="770"/>
      <c r="PZ805" s="770"/>
      <c r="QA805" s="770"/>
      <c r="QB805" s="770"/>
      <c r="QC805" s="770"/>
      <c r="QD805" s="770"/>
      <c r="QE805" s="770"/>
      <c r="QF805" s="770"/>
      <c r="QG805" s="770"/>
      <c r="QH805" s="770"/>
      <c r="QI805" s="770"/>
      <c r="QJ805" s="770"/>
      <c r="QK805" s="770"/>
      <c r="QL805" s="770"/>
      <c r="QM805" s="770"/>
      <c r="QN805" s="770"/>
      <c r="QO805" s="770"/>
      <c r="QP805" s="770"/>
      <c r="QQ805" s="770"/>
      <c r="QR805" s="770"/>
      <c r="QS805" s="770"/>
      <c r="QT805" s="770"/>
      <c r="QU805" s="770"/>
      <c r="QV805" s="770"/>
      <c r="QW805" s="770"/>
      <c r="QX805" s="770"/>
      <c r="QY805" s="770"/>
      <c r="QZ805" s="770"/>
      <c r="RA805" s="770"/>
      <c r="RB805" s="770"/>
      <c r="RC805" s="770"/>
      <c r="RD805" s="770"/>
      <c r="RE805" s="770"/>
      <c r="RF805" s="304"/>
      <c r="RG805" s="770"/>
      <c r="RH805" s="306"/>
      <c r="RI805" s="770"/>
      <c r="RJ805" s="94" t="s">
        <v>14022</v>
      </c>
      <c r="RK805" s="770" t="s">
        <v>13556</v>
      </c>
      <c r="RL805" s="1710">
        <v>42851</v>
      </c>
      <c r="RM805" s="12"/>
      <c r="RN805" s="1711"/>
      <c r="RO805" s="149" t="s">
        <v>3249</v>
      </c>
      <c r="RP805" s="11"/>
      <c r="RQ805" s="11"/>
      <c r="RR805" s="17"/>
      <c r="RS805" s="767"/>
      <c r="RT805" s="11"/>
      <c r="RU805" s="11"/>
      <c r="RV805" s="771" t="s">
        <v>7421</v>
      </c>
      <c r="RW805" s="11" t="s">
        <v>7480</v>
      </c>
      <c r="RX805" s="11" t="s">
        <v>4816</v>
      </c>
      <c r="RY805" s="11"/>
      <c r="RZ805" s="11"/>
      <c r="SA805" s="771"/>
      <c r="SB805" s="11"/>
      <c r="SC805" s="11"/>
    </row>
    <row r="806" spans="1:497" ht="12.75" hidden="1" customHeight="1">
      <c r="A806" s="343" t="s">
        <v>7419</v>
      </c>
      <c r="B806" s="292" t="s">
        <v>7483</v>
      </c>
      <c r="C806" s="149" t="s">
        <v>5198</v>
      </c>
      <c r="D806" s="94" t="s">
        <v>5199</v>
      </c>
      <c r="E806" s="766" t="s">
        <v>5308</v>
      </c>
      <c r="F806" s="770" t="s">
        <v>28</v>
      </c>
      <c r="G806" s="770" t="s">
        <v>18</v>
      </c>
      <c r="H806" s="12"/>
      <c r="I806" s="295" t="s">
        <v>5201</v>
      </c>
      <c r="J806" s="94" t="s">
        <v>5199</v>
      </c>
      <c r="K806" s="766" t="s">
        <v>5202</v>
      </c>
      <c r="L806" s="766" t="s">
        <v>2429</v>
      </c>
      <c r="M806" s="770" t="s">
        <v>1238</v>
      </c>
      <c r="N806" s="1757"/>
      <c r="O806" s="1757" t="s">
        <v>3255</v>
      </c>
      <c r="P806" s="770" t="s">
        <v>5203</v>
      </c>
      <c r="Q806" s="1088">
        <v>17704</v>
      </c>
      <c r="R806" s="297">
        <v>68</v>
      </c>
      <c r="S806" s="770" t="s">
        <v>18</v>
      </c>
      <c r="T806" s="770"/>
      <c r="U806" s="295" t="s">
        <v>5201</v>
      </c>
      <c r="V806" s="770" t="s">
        <v>707</v>
      </c>
      <c r="W806" s="770"/>
      <c r="X806" s="770"/>
      <c r="Y806" s="770" t="s">
        <v>5200</v>
      </c>
      <c r="Z806" s="770" t="s">
        <v>708</v>
      </c>
      <c r="AA806" s="770" t="s">
        <v>709</v>
      </c>
      <c r="AB806" s="770" t="s">
        <v>710</v>
      </c>
      <c r="AC806" s="770" t="s">
        <v>724</v>
      </c>
      <c r="AD806" s="770" t="s">
        <v>711</v>
      </c>
      <c r="AE806" s="770"/>
      <c r="AF806" s="770" t="s">
        <v>712</v>
      </c>
      <c r="AG806" s="766" t="s">
        <v>1095</v>
      </c>
      <c r="AH806" s="766" t="s">
        <v>1096</v>
      </c>
      <c r="AI806" s="770" t="s">
        <v>3294</v>
      </c>
      <c r="AJ806" s="770"/>
      <c r="AK806" s="770" t="s">
        <v>1097</v>
      </c>
      <c r="AL806" s="531">
        <v>96.38</v>
      </c>
      <c r="AM806" s="780">
        <v>14.03</v>
      </c>
      <c r="AN806" s="532">
        <f>AM806/AL806</f>
        <v>0.14556962025316456</v>
      </c>
      <c r="AO806" s="766" t="s">
        <v>1109</v>
      </c>
      <c r="AP806" s="766" t="s">
        <v>7224</v>
      </c>
      <c r="AQ806" s="766" t="s">
        <v>7418</v>
      </c>
      <c r="AR806" s="766"/>
      <c r="AS806" s="766"/>
      <c r="AT806" s="770"/>
      <c r="AU806" s="770"/>
      <c r="AV806" s="770"/>
      <c r="AW806" s="770"/>
      <c r="AX806" s="770"/>
      <c r="AY806" s="770"/>
      <c r="AZ806" s="770"/>
      <c r="BA806" s="770"/>
      <c r="BB806" s="770"/>
      <c r="BC806" s="770"/>
      <c r="BD806" s="770"/>
      <c r="BE806" s="770"/>
      <c r="BF806" s="302"/>
      <c r="BG806" s="302"/>
      <c r="BH806" s="770"/>
      <c r="BI806" s="770"/>
      <c r="BJ806" s="770"/>
      <c r="BK806" s="766" t="s">
        <v>1095</v>
      </c>
      <c r="BL806" s="766" t="s">
        <v>5204</v>
      </c>
      <c r="BM806" s="766" t="s">
        <v>1096</v>
      </c>
      <c r="BN806" s="766" t="s">
        <v>1230</v>
      </c>
      <c r="BO806" s="770" t="s">
        <v>1333</v>
      </c>
      <c r="BP806" s="765">
        <v>192.76</v>
      </c>
      <c r="BQ806" s="773">
        <v>28.06</v>
      </c>
      <c r="BR806" s="774">
        <f t="shared" si="247"/>
        <v>0.14556962025316456</v>
      </c>
      <c r="BS806" s="766" t="s">
        <v>1242</v>
      </c>
      <c r="BT806" s="766" t="s">
        <v>2040</v>
      </c>
      <c r="BU806" s="770" t="s">
        <v>1249</v>
      </c>
      <c r="BV806" s="770" t="s">
        <v>1247</v>
      </c>
      <c r="BW806" s="770">
        <v>1970</v>
      </c>
      <c r="BX806" s="302"/>
      <c r="BY806" s="770"/>
      <c r="BZ806" s="302"/>
      <c r="CA806" s="770"/>
      <c r="CB806" s="770"/>
      <c r="CC806" s="770"/>
      <c r="CD806" s="770"/>
      <c r="CE806" s="302"/>
      <c r="CF806" s="304"/>
      <c r="CG806" s="321"/>
      <c r="CH806" s="770"/>
      <c r="CI806" s="770"/>
      <c r="CJ806" s="770"/>
      <c r="CK806" s="770"/>
      <c r="CL806" s="770"/>
      <c r="CM806" s="770"/>
      <c r="CN806" s="770"/>
      <c r="CO806" s="770"/>
      <c r="CP806" s="770"/>
      <c r="CQ806" s="770"/>
      <c r="CR806" s="302"/>
      <c r="CS806" s="770"/>
      <c r="CT806" s="770"/>
      <c r="CU806" s="305"/>
      <c r="CV806" s="770"/>
      <c r="CW806" s="770"/>
      <c r="CX806" s="770"/>
      <c r="CY806" s="770"/>
      <c r="CZ806" s="770"/>
      <c r="DA806" s="306"/>
      <c r="DB806" s="770"/>
      <c r="DC806" s="770"/>
      <c r="DD806" s="770"/>
      <c r="DE806" s="300"/>
      <c r="DF806" s="770"/>
      <c r="DG806" s="770"/>
      <c r="DH806" s="770"/>
      <c r="DI806" s="770"/>
      <c r="DJ806" s="770"/>
      <c r="DK806" s="770"/>
      <c r="DL806" s="770"/>
      <c r="DM806" s="770"/>
      <c r="DN806" s="322"/>
      <c r="DO806" s="770"/>
      <c r="DP806" s="770"/>
      <c r="DQ806" s="770"/>
      <c r="DR806" s="770"/>
      <c r="DS806" s="307"/>
      <c r="DT806" s="770"/>
      <c r="DU806" s="770"/>
      <c r="DV806" s="770"/>
      <c r="DW806" s="306"/>
      <c r="DX806" s="306"/>
      <c r="DY806" s="1055"/>
      <c r="DZ806" s="770"/>
      <c r="EA806" s="770"/>
      <c r="EB806" s="770"/>
      <c r="EC806" s="770"/>
      <c r="ED806" s="770"/>
      <c r="EE806" s="770"/>
      <c r="EF806" s="770"/>
      <c r="EG806" s="770"/>
      <c r="EH806" s="770"/>
      <c r="EI806" s="770"/>
      <c r="EJ806" s="770"/>
      <c r="EK806" s="770"/>
      <c r="EL806" s="770"/>
      <c r="EM806" s="770"/>
      <c r="EN806" s="770"/>
      <c r="EO806" s="770"/>
      <c r="EP806" s="94"/>
      <c r="EQ806" s="770"/>
      <c r="ER806" s="770"/>
      <c r="ES806" s="770"/>
      <c r="ET806" s="770"/>
      <c r="EU806" s="770"/>
      <c r="EV806" s="770"/>
      <c r="EW806" s="770"/>
      <c r="EX806" s="770"/>
      <c r="EY806" s="770"/>
      <c r="EZ806" s="770"/>
      <c r="FA806" s="770"/>
      <c r="FB806" s="770"/>
      <c r="FC806" s="770"/>
      <c r="FD806" s="302"/>
      <c r="FE806" s="770"/>
      <c r="FF806" s="770"/>
      <c r="FG806" s="770"/>
      <c r="FH806" s="770" t="s">
        <v>478</v>
      </c>
      <c r="FI806" s="770">
        <v>1</v>
      </c>
      <c r="FJ806" s="770"/>
      <c r="FK806" s="770"/>
      <c r="FL806" s="770"/>
      <c r="FM806" s="302"/>
      <c r="FN806" s="302"/>
      <c r="FO806" s="302"/>
      <c r="FP806" s="770" t="s">
        <v>1600</v>
      </c>
      <c r="FQ806" s="770" t="s">
        <v>1642</v>
      </c>
      <c r="FR806" s="770" t="s">
        <v>1214</v>
      </c>
      <c r="FS806" s="770"/>
      <c r="FT806" s="770"/>
      <c r="FU806" s="770"/>
      <c r="FV806" s="770"/>
      <c r="FW806" s="770"/>
      <c r="FX806" s="770"/>
      <c r="FY806" s="770"/>
      <c r="FZ806" s="770"/>
      <c r="GA806" s="770"/>
      <c r="GB806" s="770" t="s">
        <v>853</v>
      </c>
      <c r="GC806" s="308"/>
      <c r="GD806" s="297"/>
      <c r="GE806" s="770" t="s">
        <v>1214</v>
      </c>
      <c r="GF806" s="302"/>
      <c r="GG806" s="302"/>
      <c r="GH806" s="770"/>
      <c r="GI806" s="770"/>
      <c r="GJ806" s="770"/>
      <c r="GK806" s="770"/>
      <c r="GL806" s="770"/>
      <c r="GM806" s="770"/>
      <c r="GN806" s="299"/>
      <c r="GO806" s="770"/>
      <c r="GP806" s="770"/>
      <c r="GQ806" s="770"/>
      <c r="GR806" s="770"/>
      <c r="GS806" s="770"/>
      <c r="GT806" s="770"/>
      <c r="GU806" s="770"/>
      <c r="GV806" s="770"/>
      <c r="GW806" s="770"/>
      <c r="GX806" s="770"/>
      <c r="GY806" s="770"/>
      <c r="GZ806" s="770"/>
      <c r="HA806" s="770"/>
      <c r="HB806" s="770"/>
      <c r="HC806" s="770"/>
      <c r="HD806" s="770"/>
      <c r="HE806" s="770"/>
      <c r="HF806" s="770"/>
      <c r="HG806" s="770"/>
      <c r="HH806" s="770"/>
      <c r="HI806" s="770"/>
      <c r="HJ806" s="770"/>
      <c r="HK806" s="770"/>
      <c r="HL806" s="770"/>
      <c r="HM806" s="770"/>
      <c r="HN806" s="770"/>
      <c r="HO806" s="770"/>
      <c r="HP806" s="770"/>
      <c r="HQ806" s="770"/>
      <c r="HR806" s="770"/>
      <c r="HS806" s="770"/>
      <c r="HT806" s="770"/>
      <c r="HU806" s="770"/>
      <c r="HV806" s="770"/>
      <c r="HW806" s="770"/>
      <c r="HX806" s="770"/>
      <c r="HY806" s="770"/>
      <c r="HZ806" s="770"/>
      <c r="IA806" s="770"/>
      <c r="IB806" s="770"/>
      <c r="IC806" s="770" t="s">
        <v>1207</v>
      </c>
      <c r="ID806" s="770">
        <v>1</v>
      </c>
      <c r="IE806" s="770">
        <v>1</v>
      </c>
      <c r="IF806" s="770"/>
      <c r="IG806" s="770"/>
      <c r="IH806" s="770"/>
      <c r="II806" s="770"/>
      <c r="IJ806" s="770"/>
      <c r="IK806" s="770"/>
      <c r="IL806" s="770"/>
      <c r="IM806" s="770"/>
      <c r="IN806" s="770"/>
      <c r="IO806" s="296"/>
      <c r="IP806" s="770"/>
      <c r="IQ806" s="770"/>
      <c r="IR806" s="770"/>
      <c r="IS806" s="770"/>
      <c r="IT806" s="770"/>
      <c r="IU806" s="770"/>
      <c r="IV806" s="770"/>
      <c r="IW806" s="770"/>
      <c r="IX806" s="770"/>
      <c r="IY806" s="770"/>
      <c r="IZ806" s="770"/>
      <c r="JA806" s="770"/>
      <c r="JB806" s="770"/>
      <c r="JC806" s="770"/>
      <c r="JD806" s="302"/>
      <c r="JE806" s="770"/>
      <c r="JF806" s="770"/>
      <c r="JG806" s="770"/>
      <c r="JH806" s="307"/>
      <c r="JI806" s="307"/>
      <c r="JJ806" s="770">
        <v>7</v>
      </c>
      <c r="JK806" s="770" t="s">
        <v>5205</v>
      </c>
      <c r="JL806" s="770"/>
      <c r="JM806" s="770">
        <v>1</v>
      </c>
      <c r="JN806" s="770">
        <v>1</v>
      </c>
      <c r="JO806" s="770">
        <v>4</v>
      </c>
      <c r="JP806" s="770"/>
      <c r="JQ806" s="770">
        <v>1</v>
      </c>
      <c r="JR806" s="770"/>
      <c r="JS806" s="770"/>
      <c r="JT806" s="766">
        <f>SUM(JP806,JN806,JL806,JR806)</f>
        <v>1</v>
      </c>
      <c r="JU806" s="766">
        <f>SUM(JQ806,JO806,JM806,JS806)</f>
        <v>6</v>
      </c>
      <c r="JV806" s="766"/>
      <c r="JW806" s="766"/>
      <c r="JX806" s="770"/>
      <c r="JY806" s="770"/>
      <c r="JZ806" s="770"/>
      <c r="KA806" s="770">
        <v>2</v>
      </c>
      <c r="KB806" s="770">
        <v>1</v>
      </c>
      <c r="KC806" s="770"/>
      <c r="KD806" s="770"/>
      <c r="KE806" s="770">
        <v>3</v>
      </c>
      <c r="KF806" s="770"/>
      <c r="KG806" s="770">
        <v>1</v>
      </c>
      <c r="KH806" s="770"/>
      <c r="KI806" s="770"/>
      <c r="KJ806" s="770">
        <f t="shared" si="249"/>
        <v>1</v>
      </c>
      <c r="KK806" s="770">
        <f t="shared" si="249"/>
        <v>6</v>
      </c>
      <c r="KL806" s="770"/>
      <c r="KM806" s="770"/>
      <c r="KN806" s="770" t="s">
        <v>707</v>
      </c>
      <c r="KO806" s="770"/>
      <c r="KP806" s="770"/>
      <c r="KQ806" s="770"/>
      <c r="KR806" s="770"/>
      <c r="KS806" s="770"/>
      <c r="KT806" s="770"/>
      <c r="KU806" s="770">
        <v>1</v>
      </c>
      <c r="KV806" s="770"/>
      <c r="KW806" s="770"/>
      <c r="KX806" s="770"/>
      <c r="KY806" s="770">
        <v>1</v>
      </c>
      <c r="KZ806" s="770"/>
      <c r="LA806" s="770"/>
      <c r="LB806" s="770"/>
      <c r="LC806" s="770">
        <v>2</v>
      </c>
      <c r="LD806" s="770">
        <v>1</v>
      </c>
      <c r="LE806" s="770">
        <v>2</v>
      </c>
      <c r="LF806" s="770"/>
      <c r="LG806" s="770"/>
      <c r="LH806" s="770"/>
      <c r="LI806" s="770"/>
      <c r="LJ806" s="770"/>
      <c r="LK806" s="770"/>
      <c r="LL806" s="770"/>
      <c r="LM806" s="770"/>
      <c r="LN806" s="766">
        <f t="shared" si="230"/>
        <v>1</v>
      </c>
      <c r="LO806" s="766">
        <f t="shared" si="230"/>
        <v>6</v>
      </c>
      <c r="LP806" s="770">
        <v>3</v>
      </c>
      <c r="LQ806" s="770">
        <v>3</v>
      </c>
      <c r="LR806" s="770"/>
      <c r="LS806" s="770"/>
      <c r="LT806" s="770"/>
      <c r="LU806" s="770">
        <v>3</v>
      </c>
      <c r="LV806" s="770"/>
      <c r="LW806" s="770"/>
      <c r="LX806" s="769">
        <v>3</v>
      </c>
      <c r="LY806" s="766" t="str">
        <f t="shared" si="231"/>
        <v>within the PROVINCE</v>
      </c>
      <c r="LZ806" s="1709">
        <f>SUM(6000,960,40*26)</f>
        <v>8000</v>
      </c>
      <c r="MA806" s="1709"/>
      <c r="MB806" s="1709"/>
      <c r="MC806" s="1679">
        <f t="shared" si="256"/>
        <v>8000</v>
      </c>
      <c r="MD806" s="1709" t="s">
        <v>4328</v>
      </c>
      <c r="ME806" s="1709"/>
      <c r="MF806" s="1709"/>
      <c r="MG806" s="1680">
        <f t="shared" si="257"/>
        <v>0</v>
      </c>
      <c r="MH806" s="770" t="s">
        <v>5206</v>
      </c>
      <c r="MI806" s="302">
        <f>200*30</f>
        <v>6000</v>
      </c>
      <c r="MJ806" s="302">
        <v>10000</v>
      </c>
      <c r="MK806" s="302">
        <v>3000</v>
      </c>
      <c r="ML806" s="302">
        <v>9000</v>
      </c>
      <c r="MM806" s="302">
        <v>900</v>
      </c>
      <c r="MN806" s="302"/>
      <c r="MO806" s="302">
        <v>200</v>
      </c>
      <c r="MP806" s="302">
        <v>2000</v>
      </c>
      <c r="MQ806" s="302">
        <v>340</v>
      </c>
      <c r="MR806" s="302">
        <v>200</v>
      </c>
      <c r="MS806" s="302">
        <v>1000</v>
      </c>
      <c r="MT806" s="302"/>
      <c r="MU806" s="302"/>
      <c r="MV806" s="302"/>
      <c r="MW806" s="302"/>
      <c r="MX806" s="302"/>
      <c r="MY806" s="1682">
        <f t="shared" si="243"/>
        <v>32640</v>
      </c>
      <c r="MZ806" s="770" t="s">
        <v>13370</v>
      </c>
      <c r="NA806" s="770" t="s">
        <v>13230</v>
      </c>
      <c r="NB806" s="770" t="s">
        <v>13016</v>
      </c>
      <c r="NC806" s="770" t="s">
        <v>13602</v>
      </c>
      <c r="ND806" s="770">
        <v>0</v>
      </c>
      <c r="NE806" s="770">
        <v>0</v>
      </c>
      <c r="NF806" s="770">
        <v>1</v>
      </c>
      <c r="NG806" s="770">
        <v>3</v>
      </c>
      <c r="NH806" s="770">
        <v>1</v>
      </c>
      <c r="NI806" s="770">
        <v>0</v>
      </c>
      <c r="NJ806" s="770">
        <v>0</v>
      </c>
      <c r="NK806" s="770">
        <v>0</v>
      </c>
      <c r="NL806" s="770">
        <v>1</v>
      </c>
      <c r="NM806" s="770">
        <v>1</v>
      </c>
      <c r="NN806" s="770">
        <v>0</v>
      </c>
      <c r="NO806" s="770">
        <v>0</v>
      </c>
      <c r="NP806" s="770">
        <v>0</v>
      </c>
      <c r="NQ806" s="770">
        <v>0</v>
      </c>
      <c r="NR806" s="770">
        <v>0</v>
      </c>
      <c r="NS806" s="770">
        <v>0</v>
      </c>
      <c r="NT806" s="770">
        <v>0</v>
      </c>
      <c r="NU806" s="770">
        <v>0</v>
      </c>
      <c r="NV806" s="770">
        <v>0</v>
      </c>
      <c r="NW806" s="770">
        <v>1</v>
      </c>
      <c r="NX806" s="770">
        <v>0</v>
      </c>
      <c r="NY806" s="770" t="s">
        <v>1208</v>
      </c>
      <c r="NZ806" s="770" t="s">
        <v>1208</v>
      </c>
      <c r="OA806" s="770" t="s">
        <v>1208</v>
      </c>
      <c r="OB806" s="770" t="s">
        <v>1208</v>
      </c>
      <c r="OC806" s="770" t="s">
        <v>1208</v>
      </c>
      <c r="OD806" s="770" t="s">
        <v>1208</v>
      </c>
      <c r="OE806" s="770"/>
      <c r="OF806" s="770"/>
      <c r="OG806" s="770"/>
      <c r="OH806" s="770"/>
      <c r="OI806" s="770"/>
      <c r="OJ806" s="770"/>
      <c r="OK806" s="770"/>
      <c r="OL806" s="770"/>
      <c r="OM806" s="770"/>
      <c r="ON806" s="770"/>
      <c r="OO806" s="770"/>
      <c r="OP806" s="770"/>
      <c r="OQ806" s="770"/>
      <c r="OR806" s="770"/>
      <c r="OS806" s="770"/>
      <c r="OT806" s="770"/>
      <c r="OU806" s="770"/>
      <c r="OV806" s="770"/>
      <c r="OW806" s="770"/>
      <c r="OX806" s="770"/>
      <c r="OY806" s="770"/>
      <c r="OZ806" s="770"/>
      <c r="PA806" s="770"/>
      <c r="PB806" s="770"/>
      <c r="PC806" s="770"/>
      <c r="PD806" s="770"/>
      <c r="PE806" s="770"/>
      <c r="PF806" s="770"/>
      <c r="PG806" s="770"/>
      <c r="PH806" s="770"/>
      <c r="PI806" s="770"/>
      <c r="PJ806" s="770"/>
      <c r="PK806" s="770" t="s">
        <v>1208</v>
      </c>
      <c r="PL806" s="770"/>
      <c r="PM806" s="770"/>
      <c r="PN806" s="770"/>
      <c r="PO806" s="770"/>
      <c r="PP806" s="770"/>
      <c r="PQ806" s="770"/>
      <c r="PR806" s="770"/>
      <c r="PS806" s="770"/>
      <c r="PT806" s="770"/>
      <c r="PU806" s="770"/>
      <c r="PV806" s="770"/>
      <c r="PW806" s="770"/>
      <c r="PX806" s="770"/>
      <c r="PY806" s="770"/>
      <c r="PZ806" s="770"/>
      <c r="QA806" s="770"/>
      <c r="QB806" s="770"/>
      <c r="QC806" s="770"/>
      <c r="QD806" s="770"/>
      <c r="QE806" s="770"/>
      <c r="QF806" s="770"/>
      <c r="QG806" s="770"/>
      <c r="QH806" s="770"/>
      <c r="QI806" s="770"/>
      <c r="QJ806" s="770"/>
      <c r="QK806" s="770"/>
      <c r="QL806" s="770"/>
      <c r="QM806" s="770"/>
      <c r="QN806" s="770"/>
      <c r="QO806" s="770"/>
      <c r="QP806" s="770"/>
      <c r="QQ806" s="770"/>
      <c r="QR806" s="770"/>
      <c r="QS806" s="770"/>
      <c r="QT806" s="770"/>
      <c r="QU806" s="770"/>
      <c r="QV806" s="770"/>
      <c r="QW806" s="770"/>
      <c r="QX806" s="770"/>
      <c r="QY806" s="770"/>
      <c r="QZ806" s="770"/>
      <c r="RA806" s="770"/>
      <c r="RB806" s="770" t="s">
        <v>1207</v>
      </c>
      <c r="RC806" s="770">
        <v>2015</v>
      </c>
      <c r="RD806" s="770" t="s">
        <v>13251</v>
      </c>
      <c r="RE806" s="770" t="s">
        <v>12999</v>
      </c>
      <c r="RF806" s="304">
        <v>0.5</v>
      </c>
      <c r="RG806" s="770" t="s">
        <v>13047</v>
      </c>
      <c r="RH806" s="306">
        <v>0</v>
      </c>
      <c r="RI806" s="770">
        <v>36</v>
      </c>
      <c r="RJ806" s="94" t="s">
        <v>14023</v>
      </c>
      <c r="RK806" s="770" t="s">
        <v>13550</v>
      </c>
      <c r="RL806" s="1710">
        <v>42851</v>
      </c>
      <c r="RM806" s="12"/>
      <c r="RN806" s="1711"/>
      <c r="RO806" s="149" t="s">
        <v>5198</v>
      </c>
      <c r="RP806" s="11"/>
      <c r="RQ806" s="11"/>
      <c r="RR806" s="17"/>
      <c r="RS806" s="767"/>
      <c r="RT806" s="11"/>
      <c r="RU806" s="11"/>
      <c r="RV806" s="771" t="s">
        <v>7421</v>
      </c>
      <c r="RW806" s="11" t="s">
        <v>7481</v>
      </c>
      <c r="RX806" s="11" t="s">
        <v>3249</v>
      </c>
      <c r="RY806" s="11"/>
      <c r="RZ806" s="11" t="s">
        <v>2209</v>
      </c>
      <c r="SA806" s="771"/>
      <c r="SB806" s="11"/>
      <c r="SC806" s="11"/>
    </row>
    <row r="807" spans="1:497" ht="12.75" hidden="1" customHeight="1">
      <c r="A807" s="343" t="s">
        <v>14251</v>
      </c>
      <c r="B807" s="292" t="s">
        <v>8035</v>
      </c>
      <c r="C807" s="149" t="s">
        <v>5207</v>
      </c>
      <c r="D807" s="94" t="s">
        <v>5208</v>
      </c>
      <c r="E807" s="766" t="s">
        <v>5308</v>
      </c>
      <c r="F807" s="770" t="s">
        <v>28</v>
      </c>
      <c r="G807" s="770" t="s">
        <v>18</v>
      </c>
      <c r="H807" s="12"/>
      <c r="I807" s="295" t="s">
        <v>5209</v>
      </c>
      <c r="J807" s="94" t="s">
        <v>5208</v>
      </c>
      <c r="K807" s="766"/>
      <c r="L807" s="766"/>
      <c r="M807" s="770" t="s">
        <v>1238</v>
      </c>
      <c r="N807" s="1757"/>
      <c r="O807" s="1757" t="s">
        <v>3255</v>
      </c>
      <c r="P807" s="770"/>
      <c r="Q807" s="1088"/>
      <c r="R807" s="297"/>
      <c r="S807" s="770"/>
      <c r="T807" s="770"/>
      <c r="U807" s="295"/>
      <c r="V807" s="770"/>
      <c r="W807" s="770"/>
      <c r="X807" s="770"/>
      <c r="Y807" s="770"/>
      <c r="Z807" s="770"/>
      <c r="AA807" s="770"/>
      <c r="AB807" s="770"/>
      <c r="AC807" s="770"/>
      <c r="AD807" s="770"/>
      <c r="AE807" s="770"/>
      <c r="AF807" s="770"/>
      <c r="AG807" s="770"/>
      <c r="AH807" s="770"/>
      <c r="AI807" s="770"/>
      <c r="AJ807" s="770"/>
      <c r="AK807" s="770" t="s">
        <v>5454</v>
      </c>
      <c r="AL807" s="531"/>
      <c r="AM807" s="780"/>
      <c r="AN807" s="532"/>
      <c r="AO807" s="766"/>
      <c r="AP807" s="766"/>
      <c r="AQ807" s="766"/>
      <c r="AR807" s="766"/>
      <c r="AS807" s="770"/>
      <c r="AT807" s="770"/>
      <c r="AU807" s="770"/>
      <c r="AV807" s="770"/>
      <c r="AW807" s="770"/>
      <c r="AX807" s="770"/>
      <c r="AY807" s="770"/>
      <c r="AZ807" s="770"/>
      <c r="BA807" s="770"/>
      <c r="BB807" s="770"/>
      <c r="BC807" s="770"/>
      <c r="BD807" s="770"/>
      <c r="BE807" s="770"/>
      <c r="BF807" s="302"/>
      <c r="BG807" s="302"/>
      <c r="BH807" s="770"/>
      <c r="BI807" s="770"/>
      <c r="BJ807" s="770"/>
      <c r="BK807" s="766"/>
      <c r="BL807" s="766"/>
      <c r="BM807" s="766"/>
      <c r="BN807" s="766"/>
      <c r="BO807" s="770"/>
      <c r="BP807" s="765"/>
      <c r="BQ807" s="773"/>
      <c r="BR807" s="774"/>
      <c r="BS807" s="766"/>
      <c r="BT807" s="770"/>
      <c r="BU807" s="770"/>
      <c r="BV807" s="770"/>
      <c r="BW807" s="770"/>
      <c r="BX807" s="302"/>
      <c r="BY807" s="770"/>
      <c r="BZ807" s="302"/>
      <c r="CA807" s="770"/>
      <c r="CB807" s="770" t="s">
        <v>1207</v>
      </c>
      <c r="CC807" s="770"/>
      <c r="CD807" s="770"/>
      <c r="CE807" s="302"/>
      <c r="CF807" s="304"/>
      <c r="CG807" s="321"/>
      <c r="CH807" s="770"/>
      <c r="CI807" s="770"/>
      <c r="CJ807" s="770"/>
      <c r="CK807" s="770"/>
      <c r="CL807" s="770"/>
      <c r="CM807" s="770"/>
      <c r="CN807" s="770"/>
      <c r="CO807" s="770"/>
      <c r="CP807" s="770"/>
      <c r="CQ807" s="770"/>
      <c r="CR807" s="302"/>
      <c r="CS807" s="770"/>
      <c r="CT807" s="770"/>
      <c r="CU807" s="305"/>
      <c r="CV807" s="770"/>
      <c r="CW807" s="770"/>
      <c r="CX807" s="770"/>
      <c r="CY807" s="770"/>
      <c r="CZ807" s="770"/>
      <c r="DA807" s="306"/>
      <c r="DB807" s="770"/>
      <c r="DC807" s="770"/>
      <c r="DD807" s="770"/>
      <c r="DE807" s="300"/>
      <c r="DF807" s="770"/>
      <c r="DG807" s="770"/>
      <c r="DH807" s="770"/>
      <c r="DI807" s="770"/>
      <c r="DJ807" s="770"/>
      <c r="DK807" s="770"/>
      <c r="DL807" s="770"/>
      <c r="DM807" s="770"/>
      <c r="DN807" s="322"/>
      <c r="DO807" s="770"/>
      <c r="DP807" s="770"/>
      <c r="DQ807" s="770"/>
      <c r="DR807" s="770"/>
      <c r="DS807" s="307"/>
      <c r="DT807" s="770"/>
      <c r="DU807" s="770"/>
      <c r="DV807" s="770"/>
      <c r="DW807" s="306"/>
      <c r="DX807" s="306"/>
      <c r="DY807" s="1055"/>
      <c r="DZ807" s="770"/>
      <c r="EA807" s="770"/>
      <c r="EB807" s="770"/>
      <c r="EC807" s="770"/>
      <c r="ED807" s="770"/>
      <c r="EE807" s="770"/>
      <c r="EF807" s="770"/>
      <c r="EG807" s="770"/>
      <c r="EH807" s="770"/>
      <c r="EI807" s="770"/>
      <c r="EJ807" s="770"/>
      <c r="EK807" s="770"/>
      <c r="EL807" s="770"/>
      <c r="EM807" s="770"/>
      <c r="EN807" s="770"/>
      <c r="EO807" s="770"/>
      <c r="EP807" s="94"/>
      <c r="EQ807" s="770"/>
      <c r="ER807" s="770"/>
      <c r="ES807" s="770"/>
      <c r="ET807" s="770"/>
      <c r="EU807" s="770"/>
      <c r="EV807" s="770"/>
      <c r="EW807" s="770"/>
      <c r="EX807" s="770"/>
      <c r="EY807" s="770"/>
      <c r="EZ807" s="770" t="s">
        <v>5210</v>
      </c>
      <c r="FA807" s="770" t="s">
        <v>3099</v>
      </c>
      <c r="FB807" s="770" t="s">
        <v>1257</v>
      </c>
      <c r="FC807" s="770"/>
      <c r="FD807" s="302"/>
      <c r="FE807" s="770" t="s">
        <v>5211</v>
      </c>
      <c r="FF807" s="770"/>
      <c r="FG807" s="770" t="s">
        <v>5212</v>
      </c>
      <c r="FH807" s="770"/>
      <c r="FI807" s="770"/>
      <c r="FJ807" s="770"/>
      <c r="FK807" s="770"/>
      <c r="FL807" s="770"/>
      <c r="FM807" s="302"/>
      <c r="FN807" s="302"/>
      <c r="FO807" s="302"/>
      <c r="FP807" s="770"/>
      <c r="FQ807" s="770"/>
      <c r="FR807" s="770"/>
      <c r="FS807" s="770"/>
      <c r="FT807" s="770"/>
      <c r="FU807" s="770"/>
      <c r="FV807" s="770"/>
      <c r="FW807" s="770"/>
      <c r="FX807" s="770"/>
      <c r="FY807" s="770"/>
      <c r="FZ807" s="770"/>
      <c r="GA807" s="770"/>
      <c r="GB807" s="770"/>
      <c r="GC807" s="308"/>
      <c r="GD807" s="297"/>
      <c r="GE807" s="770"/>
      <c r="GF807" s="302"/>
      <c r="GG807" s="302"/>
      <c r="GH807" s="770"/>
      <c r="GI807" s="770"/>
      <c r="GJ807" s="770"/>
      <c r="GK807" s="770"/>
      <c r="GL807" s="770"/>
      <c r="GM807" s="770"/>
      <c r="GN807" s="299"/>
      <c r="GO807" s="770"/>
      <c r="GP807" s="770"/>
      <c r="GQ807" s="770"/>
      <c r="GR807" s="770"/>
      <c r="GS807" s="770"/>
      <c r="GT807" s="770"/>
      <c r="GU807" s="770"/>
      <c r="GV807" s="770"/>
      <c r="GW807" s="770"/>
      <c r="GX807" s="770"/>
      <c r="GY807" s="770"/>
      <c r="GZ807" s="770"/>
      <c r="HA807" s="770"/>
      <c r="HB807" s="770"/>
      <c r="HC807" s="770"/>
      <c r="HD807" s="770"/>
      <c r="HE807" s="770"/>
      <c r="HF807" s="770"/>
      <c r="HG807" s="770"/>
      <c r="HH807" s="770"/>
      <c r="HI807" s="770"/>
      <c r="HJ807" s="770"/>
      <c r="HK807" s="770"/>
      <c r="HL807" s="770"/>
      <c r="HM807" s="770"/>
      <c r="HN807" s="770"/>
      <c r="HO807" s="770"/>
      <c r="HP807" s="770"/>
      <c r="HQ807" s="770"/>
      <c r="HR807" s="770"/>
      <c r="HS807" s="770"/>
      <c r="HT807" s="770"/>
      <c r="HU807" s="770"/>
      <c r="HV807" s="770"/>
      <c r="HW807" s="770"/>
      <c r="HX807" s="770"/>
      <c r="HY807" s="770"/>
      <c r="HZ807" s="770"/>
      <c r="IA807" s="770"/>
      <c r="IB807" s="770"/>
      <c r="IC807" s="770"/>
      <c r="ID807" s="770"/>
      <c r="IE807" s="770"/>
      <c r="IF807" s="770"/>
      <c r="IG807" s="770"/>
      <c r="IH807" s="770"/>
      <c r="II807" s="770"/>
      <c r="IJ807" s="770"/>
      <c r="IK807" s="770"/>
      <c r="IL807" s="770"/>
      <c r="IM807" s="770"/>
      <c r="IN807" s="770"/>
      <c r="IO807" s="296"/>
      <c r="IP807" s="770"/>
      <c r="IQ807" s="770"/>
      <c r="IR807" s="770"/>
      <c r="IS807" s="770"/>
      <c r="IT807" s="770"/>
      <c r="IU807" s="770"/>
      <c r="IV807" s="770"/>
      <c r="IW807" s="770"/>
      <c r="IX807" s="770"/>
      <c r="IY807" s="770"/>
      <c r="IZ807" s="770"/>
      <c r="JA807" s="770"/>
      <c r="JB807" s="770"/>
      <c r="JC807" s="770"/>
      <c r="JD807" s="302"/>
      <c r="JE807" s="770"/>
      <c r="JF807" s="770"/>
      <c r="JG807" s="770"/>
      <c r="JH807" s="307"/>
      <c r="JI807" s="307"/>
      <c r="JJ807" s="770"/>
      <c r="JK807" s="770"/>
      <c r="JL807" s="770"/>
      <c r="JM807" s="770"/>
      <c r="JN807" s="770"/>
      <c r="JO807" s="770"/>
      <c r="JP807" s="770"/>
      <c r="JQ807" s="770"/>
      <c r="JR807" s="770"/>
      <c r="JS807" s="770"/>
      <c r="JT807" s="766"/>
      <c r="JU807" s="766"/>
      <c r="JV807" s="766"/>
      <c r="JW807" s="766"/>
      <c r="JX807" s="770"/>
      <c r="JY807" s="770"/>
      <c r="JZ807" s="770"/>
      <c r="KA807" s="770"/>
      <c r="KB807" s="770"/>
      <c r="KC807" s="770"/>
      <c r="KD807" s="770"/>
      <c r="KE807" s="770"/>
      <c r="KF807" s="770"/>
      <c r="KG807" s="770"/>
      <c r="KH807" s="770"/>
      <c r="KI807" s="770"/>
      <c r="KJ807" s="770"/>
      <c r="KK807" s="770"/>
      <c r="KL807" s="770"/>
      <c r="KM807" s="770"/>
      <c r="KN807" s="770"/>
      <c r="KO807" s="770"/>
      <c r="KP807" s="770"/>
      <c r="KQ807" s="770"/>
      <c r="KR807" s="770"/>
      <c r="KS807" s="770"/>
      <c r="KT807" s="770"/>
      <c r="KU807" s="770"/>
      <c r="KV807" s="770"/>
      <c r="KW807" s="770"/>
      <c r="KX807" s="770"/>
      <c r="KY807" s="770"/>
      <c r="KZ807" s="770"/>
      <c r="LA807" s="770"/>
      <c r="LB807" s="770"/>
      <c r="LC807" s="770"/>
      <c r="LD807" s="770"/>
      <c r="LE807" s="770"/>
      <c r="LF807" s="770"/>
      <c r="LG807" s="770"/>
      <c r="LH807" s="770"/>
      <c r="LI807" s="770"/>
      <c r="LJ807" s="770"/>
      <c r="LK807" s="770"/>
      <c r="LL807" s="770"/>
      <c r="LM807" s="770"/>
      <c r="LN807" s="766"/>
      <c r="LO807" s="766"/>
      <c r="LP807" s="770"/>
      <c r="LQ807" s="770"/>
      <c r="LR807" s="770"/>
      <c r="LS807" s="770"/>
      <c r="LT807" s="770"/>
      <c r="LU807" s="770"/>
      <c r="LV807" s="770"/>
      <c r="LW807" s="770"/>
      <c r="LX807" s="769"/>
      <c r="LY807" s="766" t="str">
        <f t="shared" si="231"/>
        <v/>
      </c>
      <c r="LZ807" s="1709"/>
      <c r="MA807" s="1709"/>
      <c r="MB807" s="1709"/>
      <c r="MC807" s="1679">
        <f t="shared" si="256"/>
        <v>0</v>
      </c>
      <c r="MD807" s="1709"/>
      <c r="ME807" s="1709"/>
      <c r="MF807" s="1709"/>
      <c r="MG807" s="1680">
        <f t="shared" si="257"/>
        <v>0</v>
      </c>
      <c r="MH807" s="770"/>
      <c r="MI807" s="302"/>
      <c r="MJ807" s="302"/>
      <c r="MK807" s="302"/>
      <c r="ML807" s="302"/>
      <c r="MM807" s="302"/>
      <c r="MN807" s="302"/>
      <c r="MO807" s="302"/>
      <c r="MP807" s="302"/>
      <c r="MQ807" s="302"/>
      <c r="MR807" s="302"/>
      <c r="MS807" s="302"/>
      <c r="MT807" s="302"/>
      <c r="MU807" s="302"/>
      <c r="MV807" s="302"/>
      <c r="MW807" s="302"/>
      <c r="MX807" s="302"/>
      <c r="MY807" s="1682">
        <f t="shared" si="243"/>
        <v>0</v>
      </c>
      <c r="MZ807" s="770"/>
      <c r="NA807" s="770"/>
      <c r="NB807" s="770"/>
      <c r="NC807" s="770"/>
      <c r="ND807" s="770"/>
      <c r="NE807" s="770"/>
      <c r="NF807" s="770"/>
      <c r="NG807" s="770"/>
      <c r="NH807" s="770"/>
      <c r="NI807" s="770"/>
      <c r="NJ807" s="770"/>
      <c r="NK807" s="770"/>
      <c r="NL807" s="770"/>
      <c r="NM807" s="770"/>
      <c r="NN807" s="770"/>
      <c r="NO807" s="770"/>
      <c r="NP807" s="770"/>
      <c r="NQ807" s="770"/>
      <c r="NR807" s="770"/>
      <c r="NS807" s="770"/>
      <c r="NT807" s="770"/>
      <c r="NU807" s="770"/>
      <c r="NV807" s="770"/>
      <c r="NW807" s="770"/>
      <c r="NX807" s="770"/>
      <c r="NY807" s="770"/>
      <c r="NZ807" s="770"/>
      <c r="OA807" s="770"/>
      <c r="OB807" s="770"/>
      <c r="OC807" s="770"/>
      <c r="OD807" s="770"/>
      <c r="OE807" s="770"/>
      <c r="OF807" s="770"/>
      <c r="OG807" s="770"/>
      <c r="OH807" s="770"/>
      <c r="OI807" s="770"/>
      <c r="OJ807" s="770"/>
      <c r="OK807" s="770"/>
      <c r="OL807" s="770"/>
      <c r="OM807" s="770"/>
      <c r="ON807" s="770"/>
      <c r="OO807" s="770"/>
      <c r="OP807" s="770"/>
      <c r="OQ807" s="770"/>
      <c r="OR807" s="770"/>
      <c r="OS807" s="770"/>
      <c r="OT807" s="770"/>
      <c r="OU807" s="770"/>
      <c r="OV807" s="770"/>
      <c r="OW807" s="770"/>
      <c r="OX807" s="770"/>
      <c r="OY807" s="770"/>
      <c r="OZ807" s="770"/>
      <c r="PA807" s="770"/>
      <c r="PB807" s="770"/>
      <c r="PC807" s="770"/>
      <c r="PD807" s="770"/>
      <c r="PE807" s="770"/>
      <c r="PF807" s="770"/>
      <c r="PG807" s="770"/>
      <c r="PH807" s="770"/>
      <c r="PI807" s="770"/>
      <c r="PJ807" s="770"/>
      <c r="PK807" s="770"/>
      <c r="PL807" s="770"/>
      <c r="PM807" s="770"/>
      <c r="PN807" s="770"/>
      <c r="PO807" s="770"/>
      <c r="PP807" s="770"/>
      <c r="PQ807" s="770"/>
      <c r="PR807" s="770"/>
      <c r="PS807" s="770"/>
      <c r="PT807" s="770"/>
      <c r="PU807" s="770"/>
      <c r="PV807" s="770"/>
      <c r="PW807" s="770"/>
      <c r="PX807" s="770"/>
      <c r="PY807" s="770"/>
      <c r="PZ807" s="770"/>
      <c r="QA807" s="770"/>
      <c r="QB807" s="770"/>
      <c r="QC807" s="770"/>
      <c r="QD807" s="770"/>
      <c r="QE807" s="770"/>
      <c r="QF807" s="770"/>
      <c r="QG807" s="770"/>
      <c r="QH807" s="770"/>
      <c r="QI807" s="770"/>
      <c r="QJ807" s="770"/>
      <c r="QK807" s="770"/>
      <c r="QL807" s="770"/>
      <c r="QM807" s="770"/>
      <c r="QN807" s="770"/>
      <c r="QO807" s="770"/>
      <c r="QP807" s="770"/>
      <c r="QQ807" s="770"/>
      <c r="QR807" s="770"/>
      <c r="QS807" s="770"/>
      <c r="QT807" s="770"/>
      <c r="QU807" s="770"/>
      <c r="QV807" s="770"/>
      <c r="QW807" s="770"/>
      <c r="QX807" s="770"/>
      <c r="QY807" s="770"/>
      <c r="QZ807" s="770"/>
      <c r="RA807" s="770"/>
      <c r="RB807" s="770"/>
      <c r="RC807" s="770"/>
      <c r="RD807" s="770"/>
      <c r="RE807" s="770"/>
      <c r="RF807" s="304"/>
      <c r="RG807" s="770"/>
      <c r="RH807" s="306"/>
      <c r="RI807" s="770"/>
      <c r="RJ807" s="94"/>
      <c r="RK807" s="770"/>
      <c r="RL807" s="1710"/>
      <c r="RM807" s="12"/>
      <c r="RN807" s="1711"/>
      <c r="RO807" s="149" t="s">
        <v>5207</v>
      </c>
      <c r="RP807" s="11"/>
      <c r="RQ807" s="11"/>
      <c r="RR807" s="17"/>
      <c r="RS807" s="767"/>
      <c r="RT807" s="11"/>
      <c r="RU807" s="11"/>
      <c r="RV807" s="771" t="s">
        <v>7419</v>
      </c>
      <c r="RW807" s="11" t="s">
        <v>7482</v>
      </c>
      <c r="RX807" s="11" t="s">
        <v>3249</v>
      </c>
      <c r="RY807" s="11"/>
      <c r="RZ807" s="11"/>
      <c r="SA807" s="771"/>
      <c r="SB807" s="11"/>
      <c r="SC807" s="11"/>
    </row>
    <row r="808" spans="1:497" ht="12.75" hidden="1" customHeight="1">
      <c r="A808" s="343" t="s">
        <v>7419</v>
      </c>
      <c r="B808" s="292" t="s">
        <v>7484</v>
      </c>
      <c r="C808" s="149" t="s">
        <v>3260</v>
      </c>
      <c r="D808" s="94" t="s">
        <v>5213</v>
      </c>
      <c r="E808" s="766" t="s">
        <v>5306</v>
      </c>
      <c r="F808" s="770" t="s">
        <v>20</v>
      </c>
      <c r="G808" s="770" t="s">
        <v>18</v>
      </c>
      <c r="H808" s="12"/>
      <c r="I808" s="295" t="s">
        <v>5214</v>
      </c>
      <c r="J808" s="295" t="s">
        <v>5215</v>
      </c>
      <c r="K808" s="766" t="s">
        <v>4807</v>
      </c>
      <c r="L808" s="766" t="s">
        <v>2721</v>
      </c>
      <c r="M808" s="770" t="s">
        <v>1238</v>
      </c>
      <c r="N808" s="1757"/>
      <c r="O808" s="1757" t="s">
        <v>4830</v>
      </c>
      <c r="P808" s="770" t="s">
        <v>5216</v>
      </c>
      <c r="Q808" s="1088">
        <v>26579</v>
      </c>
      <c r="R808" s="297">
        <v>42</v>
      </c>
      <c r="S808" s="770" t="s">
        <v>10</v>
      </c>
      <c r="T808" s="770"/>
      <c r="U808" s="295" t="s">
        <v>5214</v>
      </c>
      <c r="V808" s="770" t="s">
        <v>707</v>
      </c>
      <c r="W808" s="770"/>
      <c r="X808" s="770"/>
      <c r="Y808" s="770" t="s">
        <v>3262</v>
      </c>
      <c r="Z808" s="770" t="s">
        <v>708</v>
      </c>
      <c r="AA808" s="770" t="s">
        <v>709</v>
      </c>
      <c r="AB808" s="770" t="s">
        <v>710</v>
      </c>
      <c r="AC808" s="770" t="s">
        <v>724</v>
      </c>
      <c r="AD808" s="770" t="s">
        <v>937</v>
      </c>
      <c r="AE808" s="770"/>
      <c r="AF808" s="770" t="s">
        <v>712</v>
      </c>
      <c r="AG808" s="766" t="s">
        <v>1095</v>
      </c>
      <c r="AH808" s="766" t="s">
        <v>1096</v>
      </c>
      <c r="AI808" s="770" t="s">
        <v>3294</v>
      </c>
      <c r="AJ808" s="770"/>
      <c r="AK808" s="770" t="s">
        <v>1097</v>
      </c>
      <c r="AL808" s="531">
        <v>85</v>
      </c>
      <c r="AM808" s="780">
        <v>15.64</v>
      </c>
      <c r="AN808" s="532">
        <f>AM808/AL808</f>
        <v>0.184</v>
      </c>
      <c r="AO808" s="766" t="s">
        <v>1109</v>
      </c>
      <c r="AP808" s="766" t="s">
        <v>7224</v>
      </c>
      <c r="AQ808" s="766" t="s">
        <v>7418</v>
      </c>
      <c r="AR808" s="766"/>
      <c r="AS808" s="770"/>
      <c r="AT808" s="770"/>
      <c r="AU808" s="770"/>
      <c r="AV808" s="770"/>
      <c r="AW808" s="770"/>
      <c r="AX808" s="770"/>
      <c r="AY808" s="770"/>
      <c r="AZ808" s="770"/>
      <c r="BA808" s="770"/>
      <c r="BB808" s="770"/>
      <c r="BC808" s="770"/>
      <c r="BD808" s="770"/>
      <c r="BE808" s="770"/>
      <c r="BF808" s="302"/>
      <c r="BG808" s="302"/>
      <c r="BH808" s="770"/>
      <c r="BI808" s="770"/>
      <c r="BJ808" s="770"/>
      <c r="BK808" s="766" t="s">
        <v>1095</v>
      </c>
      <c r="BL808" s="766" t="s">
        <v>5217</v>
      </c>
      <c r="BM808" s="766" t="s">
        <v>1096</v>
      </c>
      <c r="BN808" s="766" t="s">
        <v>1230</v>
      </c>
      <c r="BO808" s="766" t="s">
        <v>1239</v>
      </c>
      <c r="BP808" s="765">
        <v>170</v>
      </c>
      <c r="BQ808" s="773">
        <v>31.28</v>
      </c>
      <c r="BR808" s="774">
        <f>BQ808/BP808</f>
        <v>0.184</v>
      </c>
      <c r="BS808" s="766" t="s">
        <v>1242</v>
      </c>
      <c r="BT808" s="766" t="s">
        <v>2040</v>
      </c>
      <c r="BU808" s="770" t="s">
        <v>1249</v>
      </c>
      <c r="BV808" s="770" t="s">
        <v>1247</v>
      </c>
      <c r="BW808" s="770">
        <v>1980</v>
      </c>
      <c r="BX808" s="302"/>
      <c r="BY808" s="770"/>
      <c r="BZ808" s="302"/>
      <c r="CA808" s="770"/>
      <c r="CB808" s="770"/>
      <c r="CC808" s="770"/>
      <c r="CD808" s="770"/>
      <c r="CE808" s="302"/>
      <c r="CF808" s="304"/>
      <c r="CG808" s="321"/>
      <c r="CH808" s="770"/>
      <c r="CI808" s="770"/>
      <c r="CJ808" s="770"/>
      <c r="CK808" s="770"/>
      <c r="CL808" s="770"/>
      <c r="CM808" s="770"/>
      <c r="CN808" s="770"/>
      <c r="CO808" s="770"/>
      <c r="CP808" s="770"/>
      <c r="CQ808" s="770"/>
      <c r="CR808" s="302"/>
      <c r="CS808" s="770"/>
      <c r="CT808" s="770"/>
      <c r="CU808" s="305"/>
      <c r="CV808" s="770"/>
      <c r="CW808" s="770"/>
      <c r="CX808" s="770"/>
      <c r="CY808" s="770"/>
      <c r="CZ808" s="770"/>
      <c r="DA808" s="306"/>
      <c r="DB808" s="770"/>
      <c r="DC808" s="770"/>
      <c r="DD808" s="770"/>
      <c r="DE808" s="300"/>
      <c r="DF808" s="770"/>
      <c r="DG808" s="770"/>
      <c r="DH808" s="770"/>
      <c r="DI808" s="770"/>
      <c r="DJ808" s="770"/>
      <c r="DK808" s="770"/>
      <c r="DL808" s="770"/>
      <c r="DM808" s="770"/>
      <c r="DN808" s="322"/>
      <c r="DO808" s="770"/>
      <c r="DP808" s="770"/>
      <c r="DQ808" s="770"/>
      <c r="DR808" s="770"/>
      <c r="DS808" s="307"/>
      <c r="DT808" s="770"/>
      <c r="DU808" s="770"/>
      <c r="DV808" s="770"/>
      <c r="DW808" s="306"/>
      <c r="DX808" s="306"/>
      <c r="DY808" s="1055"/>
      <c r="DZ808" s="770"/>
      <c r="EA808" s="770"/>
      <c r="EB808" s="770"/>
      <c r="EC808" s="770"/>
      <c r="ED808" s="770"/>
      <c r="EE808" s="770"/>
      <c r="EF808" s="770"/>
      <c r="EG808" s="770"/>
      <c r="EH808" s="770"/>
      <c r="EI808" s="770"/>
      <c r="EJ808" s="770"/>
      <c r="EK808" s="770"/>
      <c r="EL808" s="770"/>
      <c r="EM808" s="770"/>
      <c r="EN808" s="770"/>
      <c r="EO808" s="770"/>
      <c r="EP808" s="94"/>
      <c r="EQ808" s="770"/>
      <c r="ER808" s="770"/>
      <c r="ES808" s="770"/>
      <c r="ET808" s="770"/>
      <c r="EU808" s="770"/>
      <c r="EV808" s="770"/>
      <c r="EW808" s="770"/>
      <c r="EX808" s="770"/>
      <c r="EY808" s="770"/>
      <c r="EZ808" s="770"/>
      <c r="FA808" s="770"/>
      <c r="FB808" s="770"/>
      <c r="FC808" s="770"/>
      <c r="FD808" s="302"/>
      <c r="FE808" s="770"/>
      <c r="FF808" s="770"/>
      <c r="FG808" s="770"/>
      <c r="FH808" s="770" t="s">
        <v>478</v>
      </c>
      <c r="FI808" s="770">
        <v>1</v>
      </c>
      <c r="FJ808" s="770"/>
      <c r="FK808" s="770"/>
      <c r="FL808" s="770"/>
      <c r="FM808" s="302"/>
      <c r="FN808" s="302"/>
      <c r="FO808" s="302"/>
      <c r="FP808" s="770" t="s">
        <v>1600</v>
      </c>
      <c r="FQ808" s="770" t="s">
        <v>1642</v>
      </c>
      <c r="FR808" s="770" t="s">
        <v>1214</v>
      </c>
      <c r="FS808" s="770"/>
      <c r="FT808" s="770"/>
      <c r="FU808" s="770"/>
      <c r="FV808" s="770"/>
      <c r="FW808" s="770"/>
      <c r="FX808" s="770"/>
      <c r="FY808" s="770"/>
      <c r="FZ808" s="770"/>
      <c r="GA808" s="770"/>
      <c r="GB808" s="770" t="s">
        <v>1734</v>
      </c>
      <c r="GC808" s="308"/>
      <c r="GD808" s="297">
        <v>1980</v>
      </c>
      <c r="GE808" s="770" t="s">
        <v>1207</v>
      </c>
      <c r="GF808" s="302">
        <v>4500</v>
      </c>
      <c r="GG808" s="302">
        <f>GF808*12</f>
        <v>54000</v>
      </c>
      <c r="GH808" s="770"/>
      <c r="GI808" s="770"/>
      <c r="GJ808" s="770"/>
      <c r="GK808" s="770"/>
      <c r="GL808" s="770"/>
      <c r="GM808" s="770"/>
      <c r="GN808" s="299"/>
      <c r="GO808" s="770"/>
      <c r="GP808" s="770"/>
      <c r="GQ808" s="770"/>
      <c r="GR808" s="770"/>
      <c r="GS808" s="770"/>
      <c r="GT808" s="770"/>
      <c r="GU808" s="770"/>
      <c r="GV808" s="770"/>
      <c r="GW808" s="770"/>
      <c r="GX808" s="770"/>
      <c r="GY808" s="770"/>
      <c r="GZ808" s="770"/>
      <c r="HA808" s="770"/>
      <c r="HB808" s="770"/>
      <c r="HC808" s="770"/>
      <c r="HD808" s="770"/>
      <c r="HE808" s="770"/>
      <c r="HF808" s="770"/>
      <c r="HG808" s="770"/>
      <c r="HH808" s="770"/>
      <c r="HI808" s="770"/>
      <c r="HJ808" s="770"/>
      <c r="HK808" s="770"/>
      <c r="HL808" s="770"/>
      <c r="HM808" s="770"/>
      <c r="HN808" s="770"/>
      <c r="HO808" s="770"/>
      <c r="HP808" s="770"/>
      <c r="HQ808" s="770"/>
      <c r="HR808" s="770"/>
      <c r="HS808" s="770"/>
      <c r="HT808" s="770"/>
      <c r="HU808" s="770"/>
      <c r="HV808" s="770"/>
      <c r="HW808" s="770"/>
      <c r="HX808" s="770"/>
      <c r="HY808" s="770"/>
      <c r="HZ808" s="770"/>
      <c r="IA808" s="770"/>
      <c r="IB808" s="770"/>
      <c r="IC808" s="770"/>
      <c r="ID808" s="770"/>
      <c r="IE808" s="770"/>
      <c r="IF808" s="770" t="s">
        <v>5218</v>
      </c>
      <c r="IG808" s="770" t="s">
        <v>18</v>
      </c>
      <c r="IH808" s="770" t="s">
        <v>478</v>
      </c>
      <c r="II808" s="770" t="s">
        <v>3262</v>
      </c>
      <c r="IJ808" s="770" t="s">
        <v>1835</v>
      </c>
      <c r="IK808" s="766" t="s">
        <v>1888</v>
      </c>
      <c r="IL808" s="770" t="s">
        <v>5219</v>
      </c>
      <c r="IM808" s="770">
        <v>1980</v>
      </c>
      <c r="IN808" s="770" t="s">
        <v>5219</v>
      </c>
      <c r="IO808" s="296"/>
      <c r="IP808" s="770" t="s">
        <v>478</v>
      </c>
      <c r="IQ808" s="769" t="s">
        <v>8144</v>
      </c>
      <c r="IR808" s="770" t="s">
        <v>2716</v>
      </c>
      <c r="IS808" s="770" t="s">
        <v>1883</v>
      </c>
      <c r="IT808" s="770"/>
      <c r="IU808" s="770" t="s">
        <v>1208</v>
      </c>
      <c r="IV808" s="770"/>
      <c r="IW808" s="770" t="s">
        <v>14024</v>
      </c>
      <c r="IX808" s="770"/>
      <c r="IY808" s="770" t="s">
        <v>5214</v>
      </c>
      <c r="IZ808" s="770"/>
      <c r="JA808" s="770" t="s">
        <v>1886</v>
      </c>
      <c r="JB808" s="770" t="s">
        <v>1918</v>
      </c>
      <c r="JC808" s="770"/>
      <c r="JD808" s="302">
        <v>3000</v>
      </c>
      <c r="JE808" s="770"/>
      <c r="JF808" s="770"/>
      <c r="JG808" s="770"/>
      <c r="JH808" s="307"/>
      <c r="JI808" s="307"/>
      <c r="JJ808" s="770">
        <v>7</v>
      </c>
      <c r="JK808" s="770" t="s">
        <v>5220</v>
      </c>
      <c r="JL808" s="770">
        <v>3</v>
      </c>
      <c r="JM808" s="770"/>
      <c r="JN808" s="770">
        <v>2</v>
      </c>
      <c r="JO808" s="770">
        <v>2</v>
      </c>
      <c r="JP808" s="770"/>
      <c r="JQ808" s="770"/>
      <c r="JR808" s="770"/>
      <c r="JS808" s="770"/>
      <c r="JT808" s="766">
        <f>SUM(JP808,JN808,JL808,JR808)</f>
        <v>5</v>
      </c>
      <c r="JU808" s="766">
        <f>SUM(JQ808,JO808,JM808,JS808)</f>
        <v>2</v>
      </c>
      <c r="JV808" s="766"/>
      <c r="JW808" s="766"/>
      <c r="JX808" s="770">
        <v>1</v>
      </c>
      <c r="JY808" s="770"/>
      <c r="JZ808" s="770">
        <v>2</v>
      </c>
      <c r="KA808" s="770"/>
      <c r="KB808" s="770">
        <v>1</v>
      </c>
      <c r="KC808" s="770">
        <v>1</v>
      </c>
      <c r="KD808" s="770">
        <v>1</v>
      </c>
      <c r="KE808" s="770">
        <v>1</v>
      </c>
      <c r="KF808" s="770"/>
      <c r="KG808" s="770"/>
      <c r="KH808" s="770"/>
      <c r="KI808" s="770"/>
      <c r="KJ808" s="770">
        <f t="shared" si="249"/>
        <v>5</v>
      </c>
      <c r="KK808" s="770">
        <f t="shared" si="249"/>
        <v>2</v>
      </c>
      <c r="KL808" s="770"/>
      <c r="KM808" s="770"/>
      <c r="KN808" s="770"/>
      <c r="KO808" s="770"/>
      <c r="KP808" s="770"/>
      <c r="KQ808" s="770"/>
      <c r="KR808" s="770"/>
      <c r="KS808" s="770"/>
      <c r="KT808" s="770">
        <v>1</v>
      </c>
      <c r="KU808" s="770"/>
      <c r="KV808" s="770"/>
      <c r="KW808" s="770"/>
      <c r="KX808" s="770">
        <v>1</v>
      </c>
      <c r="KY808" s="770"/>
      <c r="KZ808" s="770">
        <v>2</v>
      </c>
      <c r="LA808" s="770">
        <v>1</v>
      </c>
      <c r="LB808" s="770">
        <v>1</v>
      </c>
      <c r="LC808" s="770"/>
      <c r="LD808" s="770"/>
      <c r="LE808" s="770"/>
      <c r="LF808" s="770"/>
      <c r="LG808" s="770"/>
      <c r="LH808" s="770"/>
      <c r="LI808" s="770"/>
      <c r="LJ808" s="770">
        <v>1</v>
      </c>
      <c r="LK808" s="770"/>
      <c r="LL808" s="770"/>
      <c r="LM808" s="770"/>
      <c r="LN808" s="766">
        <f>SUM(KP808,KR808,KT808,KV808,KX808,KZ808,LB808,LD808,LF808,LH808,LJ808,LL808)</f>
        <v>6</v>
      </c>
      <c r="LO808" s="766">
        <f>SUM(KQ808,KS808,KU808,KW808,KY808,LA808,LC808,LE808,LG808,LI808,LK808,LM808)</f>
        <v>1</v>
      </c>
      <c r="LP808" s="770">
        <v>3</v>
      </c>
      <c r="LQ808" s="770">
        <v>1</v>
      </c>
      <c r="LR808" s="770"/>
      <c r="LS808" s="770">
        <v>2</v>
      </c>
      <c r="LT808" s="770"/>
      <c r="LU808" s="770">
        <v>1</v>
      </c>
      <c r="LV808" s="770"/>
      <c r="LW808" s="770"/>
      <c r="LX808" s="769">
        <v>1</v>
      </c>
      <c r="LY808" s="766" t="str">
        <f t="shared" si="231"/>
        <v>within the BRGY</v>
      </c>
      <c r="LZ808" s="1709">
        <f>16*26</f>
        <v>416</v>
      </c>
      <c r="MA808" s="1709"/>
      <c r="MB808" s="1709"/>
      <c r="MC808" s="1679">
        <f t="shared" si="256"/>
        <v>416</v>
      </c>
      <c r="MD808" s="1709"/>
      <c r="ME808" s="1709"/>
      <c r="MF808" s="1709">
        <f>SUM(3000,3000)</f>
        <v>6000</v>
      </c>
      <c r="MG808" s="1680">
        <f t="shared" si="257"/>
        <v>6000</v>
      </c>
      <c r="MH808" s="770" t="s">
        <v>2220</v>
      </c>
      <c r="MI808" s="302">
        <f>200*30</f>
        <v>6000</v>
      </c>
      <c r="MJ808" s="302">
        <v>600</v>
      </c>
      <c r="MK808" s="302">
        <v>2000</v>
      </c>
      <c r="ML808" s="302">
        <v>1500</v>
      </c>
      <c r="MM808" s="302">
        <v>600</v>
      </c>
      <c r="MN808" s="302"/>
      <c r="MO808" s="302">
        <v>100</v>
      </c>
      <c r="MP808" s="302">
        <v>300</v>
      </c>
      <c r="MQ808" s="302"/>
      <c r="MR808" s="302">
        <v>400</v>
      </c>
      <c r="MS808" s="302">
        <v>500</v>
      </c>
      <c r="MT808" s="302"/>
      <c r="MU808" s="302"/>
      <c r="MV808" s="302"/>
      <c r="MW808" s="302"/>
      <c r="MX808" s="302"/>
      <c r="MY808" s="1682">
        <f t="shared" si="243"/>
        <v>12000</v>
      </c>
      <c r="MZ808" s="770" t="s">
        <v>13395</v>
      </c>
      <c r="NA808" s="770" t="s">
        <v>13585</v>
      </c>
      <c r="NB808" s="770" t="s">
        <v>13016</v>
      </c>
      <c r="NC808" s="770" t="s">
        <v>13602</v>
      </c>
      <c r="ND808" s="770">
        <v>0</v>
      </c>
      <c r="NE808" s="770">
        <v>0</v>
      </c>
      <c r="NF808" s="770">
        <v>0</v>
      </c>
      <c r="NG808" s="770">
        <v>2</v>
      </c>
      <c r="NH808" s="770">
        <v>1</v>
      </c>
      <c r="NI808" s="770">
        <v>0</v>
      </c>
      <c r="NJ808" s="770">
        <v>2</v>
      </c>
      <c r="NK808" s="770">
        <v>0</v>
      </c>
      <c r="NL808" s="770">
        <v>1</v>
      </c>
      <c r="NM808" s="770">
        <v>0</v>
      </c>
      <c r="NN808" s="770">
        <v>0</v>
      </c>
      <c r="NO808" s="770">
        <v>0</v>
      </c>
      <c r="NP808" s="770">
        <v>0</v>
      </c>
      <c r="NQ808" s="770">
        <v>0</v>
      </c>
      <c r="NR808" s="770">
        <v>0</v>
      </c>
      <c r="NS808" s="770">
        <v>0</v>
      </c>
      <c r="NT808" s="770">
        <v>0</v>
      </c>
      <c r="NU808" s="770">
        <v>0</v>
      </c>
      <c r="NV808" s="770">
        <v>0</v>
      </c>
      <c r="NW808" s="770">
        <v>1</v>
      </c>
      <c r="NX808" s="770">
        <v>0</v>
      </c>
      <c r="NY808" s="770" t="s">
        <v>1208</v>
      </c>
      <c r="NZ808" s="770" t="s">
        <v>1208</v>
      </c>
      <c r="OA808" s="770" t="s">
        <v>1208</v>
      </c>
      <c r="OB808" s="770" t="s">
        <v>1208</v>
      </c>
      <c r="OC808" s="770" t="s">
        <v>1208</v>
      </c>
      <c r="OD808" s="770" t="s">
        <v>1208</v>
      </c>
      <c r="OE808" s="770"/>
      <c r="OF808" s="770" t="s">
        <v>2143</v>
      </c>
      <c r="OG808" s="770"/>
      <c r="OH808" s="770"/>
      <c r="OI808" s="770"/>
      <c r="OJ808" s="770"/>
      <c r="OK808" s="770" t="s">
        <v>1208</v>
      </c>
      <c r="OL808" s="770"/>
      <c r="OM808" s="770"/>
      <c r="ON808" s="770"/>
      <c r="OO808" s="770" t="s">
        <v>1207</v>
      </c>
      <c r="OP808" s="770" t="s">
        <v>13677</v>
      </c>
      <c r="OQ808" s="770" t="s">
        <v>14025</v>
      </c>
      <c r="OR808" s="770"/>
      <c r="OS808" s="770" t="s">
        <v>12885</v>
      </c>
      <c r="OT808" s="770"/>
      <c r="OU808" s="770"/>
      <c r="OV808" s="770" t="s">
        <v>1208</v>
      </c>
      <c r="OW808" s="770"/>
      <c r="OX808" s="770"/>
      <c r="OY808" s="770"/>
      <c r="OZ808" s="770"/>
      <c r="PA808" s="770"/>
      <c r="PB808" s="770"/>
      <c r="PC808" s="770"/>
      <c r="PD808" s="770"/>
      <c r="PE808" s="770"/>
      <c r="PF808" s="770"/>
      <c r="PG808" s="770"/>
      <c r="PH808" s="770"/>
      <c r="PI808" s="770"/>
      <c r="PJ808" s="770"/>
      <c r="PK808" s="770" t="s">
        <v>1208</v>
      </c>
      <c r="PL808" s="770"/>
      <c r="PM808" s="770"/>
      <c r="PN808" s="770"/>
      <c r="PO808" s="770"/>
      <c r="PP808" s="770"/>
      <c r="PQ808" s="770"/>
      <c r="PR808" s="770"/>
      <c r="PS808" s="770"/>
      <c r="PT808" s="770"/>
      <c r="PU808" s="770"/>
      <c r="PV808" s="770"/>
      <c r="PW808" s="770"/>
      <c r="PX808" s="770"/>
      <c r="PY808" s="770"/>
      <c r="PZ808" s="770"/>
      <c r="QA808" s="770"/>
      <c r="QB808" s="770"/>
      <c r="QC808" s="770"/>
      <c r="QD808" s="770"/>
      <c r="QE808" s="770"/>
      <c r="QF808" s="770"/>
      <c r="QG808" s="770"/>
      <c r="QH808" s="770"/>
      <c r="QI808" s="770"/>
      <c r="QJ808" s="770"/>
      <c r="QK808" s="770"/>
      <c r="QL808" s="770"/>
      <c r="QM808" s="770"/>
      <c r="QN808" s="770"/>
      <c r="QO808" s="770"/>
      <c r="QP808" s="770"/>
      <c r="QQ808" s="770"/>
      <c r="QR808" s="770"/>
      <c r="QS808" s="770"/>
      <c r="QT808" s="770"/>
      <c r="QU808" s="770"/>
      <c r="QV808" s="770"/>
      <c r="QW808" s="770"/>
      <c r="QX808" s="770"/>
      <c r="QY808" s="770"/>
      <c r="QZ808" s="770"/>
      <c r="RA808" s="770"/>
      <c r="RB808" s="770" t="s">
        <v>1207</v>
      </c>
      <c r="RC808" s="770">
        <v>2009</v>
      </c>
      <c r="RD808" s="770" t="s">
        <v>13036</v>
      </c>
      <c r="RE808" s="770"/>
      <c r="RF808" s="304">
        <v>0.5</v>
      </c>
      <c r="RG808" s="770" t="s">
        <v>13047</v>
      </c>
      <c r="RH808" s="306">
        <v>0</v>
      </c>
      <c r="RI808" s="770">
        <v>48</v>
      </c>
      <c r="RJ808" s="94" t="s">
        <v>5219</v>
      </c>
      <c r="RK808" s="770" t="s">
        <v>13556</v>
      </c>
      <c r="RL808" s="1710">
        <v>42852</v>
      </c>
      <c r="RM808" s="12"/>
      <c r="RN808" s="1711"/>
      <c r="RO808" s="149" t="s">
        <v>3260</v>
      </c>
      <c r="RP808" s="11"/>
      <c r="RQ808" s="11"/>
      <c r="RR808" s="17"/>
      <c r="RS808" s="767"/>
      <c r="RT808" s="11"/>
      <c r="RU808" s="11"/>
      <c r="RV808" s="771" t="s">
        <v>7419</v>
      </c>
      <c r="RW808" s="11" t="s">
        <v>7483</v>
      </c>
      <c r="RX808" s="11" t="s">
        <v>5198</v>
      </c>
      <c r="RY808" s="11"/>
      <c r="RZ808" s="11" t="s">
        <v>2209</v>
      </c>
      <c r="SA808" s="771"/>
      <c r="SB808" s="11"/>
      <c r="SC808" s="11"/>
    </row>
    <row r="809" spans="1:497" ht="12.75" hidden="1" customHeight="1">
      <c r="A809" s="343" t="s">
        <v>14252</v>
      </c>
      <c r="B809" s="292" t="s">
        <v>7485</v>
      </c>
      <c r="C809" s="149" t="s">
        <v>3260</v>
      </c>
      <c r="D809" s="94" t="s">
        <v>3261</v>
      </c>
      <c r="E809" s="766" t="s">
        <v>5306</v>
      </c>
      <c r="F809" s="770" t="s">
        <v>42</v>
      </c>
      <c r="G809" s="770" t="s">
        <v>10</v>
      </c>
      <c r="H809" s="12"/>
      <c r="I809" s="5" t="s">
        <v>5214</v>
      </c>
      <c r="J809" s="94" t="s">
        <v>3264</v>
      </c>
      <c r="K809" s="770"/>
      <c r="L809" s="770"/>
      <c r="M809" s="770"/>
      <c r="N809" s="1757"/>
      <c r="O809" s="1757"/>
      <c r="P809" s="94" t="s">
        <v>3263</v>
      </c>
      <c r="Q809" s="1088">
        <v>17392</v>
      </c>
      <c r="R809" s="297">
        <v>70</v>
      </c>
      <c r="S809" s="770" t="s">
        <v>10</v>
      </c>
      <c r="T809" s="770"/>
      <c r="U809" s="298"/>
      <c r="V809" s="770" t="s">
        <v>707</v>
      </c>
      <c r="W809" s="770"/>
      <c r="X809" s="770"/>
      <c r="Y809" s="770" t="s">
        <v>3262</v>
      </c>
      <c r="Z809" s="770" t="s">
        <v>1057</v>
      </c>
      <c r="AA809" s="770" t="s">
        <v>709</v>
      </c>
      <c r="AB809" s="770" t="s">
        <v>7273</v>
      </c>
      <c r="AC809" s="770" t="s">
        <v>815</v>
      </c>
      <c r="AD809" s="770"/>
      <c r="AE809" s="770"/>
      <c r="AF809" s="770" t="s">
        <v>712</v>
      </c>
      <c r="AG809" s="770"/>
      <c r="AH809" s="770"/>
      <c r="AI809" s="770"/>
      <c r="AJ809" s="770"/>
      <c r="AK809" s="770" t="s">
        <v>1899</v>
      </c>
      <c r="AL809" s="531"/>
      <c r="AM809" s="780"/>
      <c r="AN809" s="532"/>
      <c r="AO809" s="766"/>
      <c r="AP809" s="766"/>
      <c r="AQ809" s="766"/>
      <c r="AR809" s="766"/>
      <c r="AS809" s="770"/>
      <c r="AT809" s="770"/>
      <c r="AU809" s="770"/>
      <c r="AV809" s="770"/>
      <c r="AW809" s="770"/>
      <c r="AX809" s="770"/>
      <c r="AY809" s="770"/>
      <c r="AZ809" s="770"/>
      <c r="BA809" s="770"/>
      <c r="BB809" s="770"/>
      <c r="BC809" s="770"/>
      <c r="BD809" s="770"/>
      <c r="BE809" s="770"/>
      <c r="BF809" s="302"/>
      <c r="BG809" s="302"/>
      <c r="BH809" s="770"/>
      <c r="BI809" s="770"/>
      <c r="BJ809" s="770"/>
      <c r="BK809" s="766"/>
      <c r="BL809" s="766"/>
      <c r="BM809" s="766" t="s">
        <v>1238</v>
      </c>
      <c r="BN809" s="766" t="s">
        <v>1256</v>
      </c>
      <c r="BO809" s="770"/>
      <c r="BP809" s="765"/>
      <c r="BQ809" s="773"/>
      <c r="BR809" s="774"/>
      <c r="BS809" s="766" t="s">
        <v>1242</v>
      </c>
      <c r="BT809" s="770"/>
      <c r="BU809" s="770"/>
      <c r="BV809" s="770"/>
      <c r="BW809" s="770"/>
      <c r="BX809" s="302"/>
      <c r="BY809" s="770"/>
      <c r="BZ809" s="302"/>
      <c r="CA809" s="770"/>
      <c r="CB809" s="770"/>
      <c r="CC809" s="770"/>
      <c r="CD809" s="770"/>
      <c r="CE809" s="302"/>
      <c r="CF809" s="304"/>
      <c r="CG809" s="321"/>
      <c r="CH809" s="770"/>
      <c r="CI809" s="770"/>
      <c r="CJ809" s="770"/>
      <c r="CK809" s="770"/>
      <c r="CL809" s="770"/>
      <c r="CM809" s="770"/>
      <c r="CN809" s="770"/>
      <c r="CO809" s="770"/>
      <c r="CP809" s="770"/>
      <c r="CQ809" s="770"/>
      <c r="CR809" s="302"/>
      <c r="CS809" s="770"/>
      <c r="CT809" s="770"/>
      <c r="CU809" s="305"/>
      <c r="CV809" s="770"/>
      <c r="CW809" s="770"/>
      <c r="CX809" s="770"/>
      <c r="CY809" s="770"/>
      <c r="CZ809" s="770"/>
      <c r="DA809" s="306"/>
      <c r="DB809" s="770"/>
      <c r="DC809" s="770"/>
      <c r="DD809" s="770"/>
      <c r="DE809" s="300"/>
      <c r="DF809" s="770"/>
      <c r="DG809" s="770"/>
      <c r="DH809" s="770"/>
      <c r="DI809" s="770"/>
      <c r="DJ809" s="770"/>
      <c r="DK809" s="770"/>
      <c r="DL809" s="770"/>
      <c r="DM809" s="770"/>
      <c r="DN809" s="322"/>
      <c r="DO809" s="770"/>
      <c r="DP809" s="770"/>
      <c r="DQ809" s="770"/>
      <c r="DR809" s="770"/>
      <c r="DS809" s="307"/>
      <c r="DT809" s="770"/>
      <c r="DU809" s="770"/>
      <c r="DV809" s="770"/>
      <c r="DW809" s="306"/>
      <c r="DX809" s="306"/>
      <c r="DY809" s="1055"/>
      <c r="DZ809" s="770"/>
      <c r="EA809" s="770"/>
      <c r="EB809" s="770"/>
      <c r="EC809" s="770"/>
      <c r="ED809" s="770"/>
      <c r="EE809" s="770"/>
      <c r="EF809" s="770"/>
      <c r="EG809" s="770"/>
      <c r="EH809" s="770"/>
      <c r="EI809" s="770"/>
      <c r="EJ809" s="770"/>
      <c r="EK809" s="770"/>
      <c r="EL809" s="770"/>
      <c r="EM809" s="770"/>
      <c r="EN809" s="770"/>
      <c r="EO809" s="770"/>
      <c r="EP809" s="94"/>
      <c r="EQ809" s="770"/>
      <c r="ER809" s="770"/>
      <c r="ES809" s="770"/>
      <c r="ET809" s="770"/>
      <c r="EU809" s="770"/>
      <c r="EV809" s="770"/>
      <c r="EW809" s="770"/>
      <c r="EX809" s="770"/>
      <c r="EY809" s="770"/>
      <c r="EZ809" s="770"/>
      <c r="FA809" s="770"/>
      <c r="FB809" s="770"/>
      <c r="FC809" s="770"/>
      <c r="FD809" s="302"/>
      <c r="FE809" s="770"/>
      <c r="FF809" s="770"/>
      <c r="FG809" s="770"/>
      <c r="FH809" s="770" t="s">
        <v>1306</v>
      </c>
      <c r="FI809" s="770">
        <v>1</v>
      </c>
      <c r="FJ809" s="770" t="s">
        <v>3269</v>
      </c>
      <c r="FK809" s="770"/>
      <c r="FL809" s="770" t="s">
        <v>3275</v>
      </c>
      <c r="FM809" s="302"/>
      <c r="FN809" s="302"/>
      <c r="FO809" s="302"/>
      <c r="FP809" s="770" t="s">
        <v>1600</v>
      </c>
      <c r="FQ809" s="770" t="s">
        <v>1642</v>
      </c>
      <c r="FR809" s="770" t="s">
        <v>1214</v>
      </c>
      <c r="FS809" s="770"/>
      <c r="FT809" s="770"/>
      <c r="FU809" s="770"/>
      <c r="FV809" s="770"/>
      <c r="FW809" s="770"/>
      <c r="FX809" s="770"/>
      <c r="FY809" s="770"/>
      <c r="FZ809" s="770"/>
      <c r="GA809" s="770"/>
      <c r="GB809" s="770"/>
      <c r="GC809" s="308"/>
      <c r="GD809" s="297"/>
      <c r="GE809" s="770"/>
      <c r="GF809" s="302"/>
      <c r="GG809" s="302"/>
      <c r="GH809" s="770"/>
      <c r="GI809" s="770"/>
      <c r="GJ809" s="770"/>
      <c r="GK809" s="770"/>
      <c r="GL809" s="770"/>
      <c r="GM809" s="770"/>
      <c r="GN809" s="299"/>
      <c r="GO809" s="770"/>
      <c r="GP809" s="770"/>
      <c r="GQ809" s="770"/>
      <c r="GR809" s="770"/>
      <c r="GS809" s="770"/>
      <c r="GT809" s="770"/>
      <c r="GU809" s="770"/>
      <c r="GV809" s="770"/>
      <c r="GW809" s="770"/>
      <c r="GX809" s="770"/>
      <c r="GY809" s="770"/>
      <c r="GZ809" s="770"/>
      <c r="HA809" s="770"/>
      <c r="HB809" s="770"/>
      <c r="HC809" s="770"/>
      <c r="HD809" s="770"/>
      <c r="HE809" s="770"/>
      <c r="HF809" s="770"/>
      <c r="HG809" s="770"/>
      <c r="HH809" s="770"/>
      <c r="HI809" s="770"/>
      <c r="HJ809" s="770"/>
      <c r="HK809" s="770"/>
      <c r="HL809" s="770"/>
      <c r="HM809" s="770"/>
      <c r="HN809" s="770"/>
      <c r="HO809" s="770"/>
      <c r="HP809" s="770"/>
      <c r="HQ809" s="770"/>
      <c r="HR809" s="770"/>
      <c r="HS809" s="770"/>
      <c r="HT809" s="770"/>
      <c r="HU809" s="770"/>
      <c r="HV809" s="770"/>
      <c r="HW809" s="770"/>
      <c r="HX809" s="770"/>
      <c r="HY809" s="770"/>
      <c r="HZ809" s="770"/>
      <c r="IA809" s="770"/>
      <c r="IB809" s="770"/>
      <c r="IC809" s="770" t="s">
        <v>1207</v>
      </c>
      <c r="ID809" s="770">
        <v>2</v>
      </c>
      <c r="IE809" s="770">
        <v>1</v>
      </c>
      <c r="IF809" s="770"/>
      <c r="IG809" s="770"/>
      <c r="IH809" s="770"/>
      <c r="II809" s="770"/>
      <c r="IJ809" s="770"/>
      <c r="IK809" s="770"/>
      <c r="IL809" s="770"/>
      <c r="IM809" s="770"/>
      <c r="IN809" s="770"/>
      <c r="IO809" s="296"/>
      <c r="IP809" s="770"/>
      <c r="IQ809" s="770"/>
      <c r="IR809" s="770"/>
      <c r="IS809" s="770"/>
      <c r="IT809" s="770"/>
      <c r="IU809" s="770"/>
      <c r="IV809" s="770"/>
      <c r="IW809" s="770"/>
      <c r="IX809" s="770"/>
      <c r="IY809" s="770"/>
      <c r="IZ809" s="770"/>
      <c r="JA809" s="770"/>
      <c r="JB809" s="770"/>
      <c r="JC809" s="770"/>
      <c r="JD809" s="302"/>
      <c r="JE809" s="770"/>
      <c r="JF809" s="770"/>
      <c r="JG809" s="770"/>
      <c r="JH809" s="307"/>
      <c r="JI809" s="307"/>
      <c r="JJ809" s="770"/>
      <c r="JK809" s="770"/>
      <c r="JL809" s="770"/>
      <c r="JM809" s="770"/>
      <c r="JN809" s="770"/>
      <c r="JO809" s="770"/>
      <c r="JP809" s="770"/>
      <c r="JQ809" s="770"/>
      <c r="JR809" s="770"/>
      <c r="JS809" s="770"/>
      <c r="JT809" s="766"/>
      <c r="JU809" s="766"/>
      <c r="JV809" s="766"/>
      <c r="JW809" s="766"/>
      <c r="JX809" s="770"/>
      <c r="JY809" s="770"/>
      <c r="JZ809" s="770"/>
      <c r="KA809" s="770"/>
      <c r="KB809" s="770"/>
      <c r="KC809" s="770"/>
      <c r="KD809" s="770"/>
      <c r="KE809" s="770"/>
      <c r="KF809" s="770"/>
      <c r="KG809" s="770"/>
      <c r="KH809" s="770"/>
      <c r="KI809" s="770"/>
      <c r="KJ809" s="770"/>
      <c r="KK809" s="770"/>
      <c r="KL809" s="770"/>
      <c r="KM809" s="770"/>
      <c r="KN809" s="770"/>
      <c r="KO809" s="770"/>
      <c r="KP809" s="770"/>
      <c r="KQ809" s="770"/>
      <c r="KR809" s="770"/>
      <c r="KS809" s="770"/>
      <c r="KT809" s="770"/>
      <c r="KU809" s="770"/>
      <c r="KV809" s="770"/>
      <c r="KW809" s="770"/>
      <c r="KX809" s="770"/>
      <c r="KY809" s="770"/>
      <c r="KZ809" s="770"/>
      <c r="LA809" s="770"/>
      <c r="LB809" s="770"/>
      <c r="LC809" s="770"/>
      <c r="LD809" s="770"/>
      <c r="LE809" s="770"/>
      <c r="LF809" s="770"/>
      <c r="LG809" s="770"/>
      <c r="LH809" s="770"/>
      <c r="LI809" s="770"/>
      <c r="LJ809" s="770"/>
      <c r="LK809" s="770"/>
      <c r="LL809" s="770"/>
      <c r="LM809" s="770"/>
      <c r="LN809" s="766"/>
      <c r="LO809" s="766"/>
      <c r="LP809" s="770"/>
      <c r="LQ809" s="770"/>
      <c r="LR809" s="770"/>
      <c r="LS809" s="770"/>
      <c r="LT809" s="770"/>
      <c r="LU809" s="770"/>
      <c r="LV809" s="770"/>
      <c r="LW809" s="770"/>
      <c r="LX809" s="769"/>
      <c r="LY809" s="766" t="str">
        <f t="shared" si="231"/>
        <v/>
      </c>
      <c r="LZ809" s="1709"/>
      <c r="MA809" s="1709"/>
      <c r="MB809" s="1709"/>
      <c r="MC809" s="1679">
        <f t="shared" si="256"/>
        <v>0</v>
      </c>
      <c r="MD809" s="1709"/>
      <c r="ME809" s="1709"/>
      <c r="MF809" s="1709"/>
      <c r="MG809" s="1680">
        <f t="shared" si="257"/>
        <v>0</v>
      </c>
      <c r="MH809" s="770"/>
      <c r="MI809" s="302"/>
      <c r="MJ809" s="302"/>
      <c r="MK809" s="302"/>
      <c r="ML809" s="302"/>
      <c r="MM809" s="302"/>
      <c r="MN809" s="302"/>
      <c r="MO809" s="302"/>
      <c r="MP809" s="302"/>
      <c r="MQ809" s="302"/>
      <c r="MR809" s="302"/>
      <c r="MS809" s="302"/>
      <c r="MT809" s="302"/>
      <c r="MU809" s="302"/>
      <c r="MV809" s="302"/>
      <c r="MW809" s="302"/>
      <c r="MX809" s="302"/>
      <c r="MY809" s="1682">
        <f t="shared" si="243"/>
        <v>0</v>
      </c>
      <c r="MZ809" s="770"/>
      <c r="NA809" s="770"/>
      <c r="NB809" s="770"/>
      <c r="NC809" s="770"/>
      <c r="ND809" s="770"/>
      <c r="NE809" s="770"/>
      <c r="NF809" s="770"/>
      <c r="NG809" s="770"/>
      <c r="NH809" s="770"/>
      <c r="NI809" s="770"/>
      <c r="NJ809" s="770"/>
      <c r="NK809" s="770"/>
      <c r="NL809" s="770"/>
      <c r="NM809" s="770"/>
      <c r="NN809" s="770"/>
      <c r="NO809" s="770"/>
      <c r="NP809" s="770"/>
      <c r="NQ809" s="770"/>
      <c r="NR809" s="770"/>
      <c r="NS809" s="770"/>
      <c r="NT809" s="770"/>
      <c r="NU809" s="770"/>
      <c r="NV809" s="770"/>
      <c r="NW809" s="770"/>
      <c r="NX809" s="770"/>
      <c r="NY809" s="770"/>
      <c r="NZ809" s="770"/>
      <c r="OA809" s="770"/>
      <c r="OB809" s="770"/>
      <c r="OC809" s="770"/>
      <c r="OD809" s="770"/>
      <c r="OE809" s="770"/>
      <c r="OF809" s="770"/>
      <c r="OG809" s="770"/>
      <c r="OH809" s="770"/>
      <c r="OI809" s="770"/>
      <c r="OJ809" s="770"/>
      <c r="OK809" s="770"/>
      <c r="OL809" s="770"/>
      <c r="OM809" s="770"/>
      <c r="ON809" s="770"/>
      <c r="OO809" s="770"/>
      <c r="OP809" s="770"/>
      <c r="OQ809" s="770"/>
      <c r="OR809" s="770"/>
      <c r="OS809" s="770"/>
      <c r="OT809" s="770"/>
      <c r="OU809" s="770"/>
      <c r="OV809" s="770"/>
      <c r="OW809" s="770"/>
      <c r="OX809" s="770"/>
      <c r="OY809" s="770"/>
      <c r="OZ809" s="770"/>
      <c r="PA809" s="770"/>
      <c r="PB809" s="770"/>
      <c r="PC809" s="770"/>
      <c r="PD809" s="770"/>
      <c r="PE809" s="770"/>
      <c r="PF809" s="770"/>
      <c r="PG809" s="770"/>
      <c r="PH809" s="770"/>
      <c r="PI809" s="770"/>
      <c r="PJ809" s="770"/>
      <c r="PK809" s="770"/>
      <c r="PL809" s="770"/>
      <c r="PM809" s="770"/>
      <c r="PN809" s="770"/>
      <c r="PO809" s="770"/>
      <c r="PP809" s="770"/>
      <c r="PQ809" s="770"/>
      <c r="PR809" s="770"/>
      <c r="PS809" s="770"/>
      <c r="PT809" s="770"/>
      <c r="PU809" s="770"/>
      <c r="PV809" s="770"/>
      <c r="PW809" s="770"/>
      <c r="PX809" s="770"/>
      <c r="PY809" s="770"/>
      <c r="PZ809" s="770"/>
      <c r="QA809" s="770"/>
      <c r="QB809" s="770"/>
      <c r="QC809" s="770"/>
      <c r="QD809" s="770"/>
      <c r="QE809" s="770"/>
      <c r="QF809" s="770"/>
      <c r="QG809" s="770"/>
      <c r="QH809" s="770"/>
      <c r="QI809" s="770"/>
      <c r="QJ809" s="770"/>
      <c r="QK809" s="770"/>
      <c r="QL809" s="770"/>
      <c r="QM809" s="770"/>
      <c r="QN809" s="770"/>
      <c r="QO809" s="770"/>
      <c r="QP809" s="770"/>
      <c r="QQ809" s="770"/>
      <c r="QR809" s="770"/>
      <c r="QS809" s="770"/>
      <c r="QT809" s="770"/>
      <c r="QU809" s="770"/>
      <c r="QV809" s="770"/>
      <c r="QW809" s="770"/>
      <c r="QX809" s="770"/>
      <c r="QY809" s="770"/>
      <c r="QZ809" s="770"/>
      <c r="RA809" s="770"/>
      <c r="RB809" s="770"/>
      <c r="RC809" s="770"/>
      <c r="RD809" s="770"/>
      <c r="RE809" s="770"/>
      <c r="RF809" s="304"/>
      <c r="RG809" s="770"/>
      <c r="RH809" s="306"/>
      <c r="RI809" s="770"/>
      <c r="RJ809" s="94" t="s">
        <v>14026</v>
      </c>
      <c r="RK809" s="770" t="s">
        <v>13550</v>
      </c>
      <c r="RL809" s="1710">
        <v>42852</v>
      </c>
      <c r="RM809" s="12"/>
      <c r="RN809" s="1711"/>
      <c r="RO809" s="149" t="s">
        <v>3260</v>
      </c>
      <c r="RP809" s="11"/>
      <c r="RQ809" s="11"/>
      <c r="RR809" s="17"/>
      <c r="RS809" s="767"/>
      <c r="RT809" s="11"/>
      <c r="RU809" s="11"/>
      <c r="RV809" s="771" t="s">
        <v>14027</v>
      </c>
      <c r="RW809" s="11" t="s">
        <v>8035</v>
      </c>
      <c r="RX809" s="11" t="s">
        <v>5207</v>
      </c>
      <c r="RY809" s="11"/>
      <c r="RZ809" s="11"/>
      <c r="SA809" s="771"/>
      <c r="SB809" s="11"/>
      <c r="SC809" s="11"/>
    </row>
    <row r="810" spans="1:497" ht="12.75" hidden="1" customHeight="1">
      <c r="A810" s="343" t="s">
        <v>14252</v>
      </c>
      <c r="B810" s="292" t="s">
        <v>7485</v>
      </c>
      <c r="C810" s="149" t="s">
        <v>3260</v>
      </c>
      <c r="D810" s="94" t="s">
        <v>3265</v>
      </c>
      <c r="E810" s="766" t="s">
        <v>3262</v>
      </c>
      <c r="F810" s="770" t="s">
        <v>20</v>
      </c>
      <c r="G810" s="770" t="s">
        <v>18</v>
      </c>
      <c r="H810" s="12"/>
      <c r="I810" s="295" t="s">
        <v>3266</v>
      </c>
      <c r="J810" s="94" t="str">
        <f ca="1">IF(F810="Head",CELL("contents",D810),CELL("contents",P810))</f>
        <v>Baldomero, William</v>
      </c>
      <c r="K810" s="770"/>
      <c r="L810" s="770"/>
      <c r="M810" s="770"/>
      <c r="N810" s="1757"/>
      <c r="O810" s="1757"/>
      <c r="P810" s="770" t="s">
        <v>3267</v>
      </c>
      <c r="Q810" s="1088">
        <v>27655</v>
      </c>
      <c r="R810" s="297">
        <v>41</v>
      </c>
      <c r="S810" s="770" t="s">
        <v>10</v>
      </c>
      <c r="T810" s="770"/>
      <c r="U810" s="295" t="s">
        <v>3268</v>
      </c>
      <c r="V810" s="770" t="s">
        <v>722</v>
      </c>
      <c r="W810" s="770"/>
      <c r="X810" s="770"/>
      <c r="Y810" s="770" t="s">
        <v>3262</v>
      </c>
      <c r="Z810" s="770" t="s">
        <v>1057</v>
      </c>
      <c r="AA810" s="770" t="s">
        <v>709</v>
      </c>
      <c r="AB810" s="766" t="s">
        <v>7274</v>
      </c>
      <c r="AC810" s="770" t="s">
        <v>724</v>
      </c>
      <c r="AD810" s="770"/>
      <c r="AE810" s="770"/>
      <c r="AF810" s="770" t="s">
        <v>712</v>
      </c>
      <c r="AG810" s="770"/>
      <c r="AH810" s="770"/>
      <c r="AI810" s="770"/>
      <c r="AJ810" s="770"/>
      <c r="AK810" s="770" t="s">
        <v>1899</v>
      </c>
      <c r="AL810" s="531"/>
      <c r="AM810" s="780"/>
      <c r="AN810" s="532"/>
      <c r="AO810" s="766"/>
      <c r="AP810" s="766"/>
      <c r="AQ810" s="766"/>
      <c r="AR810" s="766"/>
      <c r="AS810" s="770"/>
      <c r="AT810" s="770"/>
      <c r="AU810" s="770"/>
      <c r="AV810" s="770"/>
      <c r="AW810" s="770"/>
      <c r="AX810" s="770"/>
      <c r="AY810" s="770"/>
      <c r="AZ810" s="770"/>
      <c r="BA810" s="770"/>
      <c r="BB810" s="770"/>
      <c r="BC810" s="770"/>
      <c r="BD810" s="770"/>
      <c r="BE810" s="770"/>
      <c r="BF810" s="302"/>
      <c r="BG810" s="302"/>
      <c r="BH810" s="770"/>
      <c r="BI810" s="770"/>
      <c r="BJ810" s="770"/>
      <c r="BK810" s="766"/>
      <c r="BL810" s="766"/>
      <c r="BM810" s="766" t="s">
        <v>1238</v>
      </c>
      <c r="BN810" s="766" t="s">
        <v>1256</v>
      </c>
      <c r="BO810" s="770"/>
      <c r="BP810" s="765"/>
      <c r="BQ810" s="773"/>
      <c r="BR810" s="774"/>
      <c r="BS810" s="766" t="s">
        <v>1242</v>
      </c>
      <c r="BT810" s="770"/>
      <c r="BU810" s="770"/>
      <c r="BV810" s="770"/>
      <c r="BW810" s="770"/>
      <c r="BX810" s="302"/>
      <c r="BY810" s="770"/>
      <c r="BZ810" s="302"/>
      <c r="CA810" s="770"/>
      <c r="CB810" s="770"/>
      <c r="CC810" s="770"/>
      <c r="CD810" s="770"/>
      <c r="CE810" s="302"/>
      <c r="CF810" s="304"/>
      <c r="CG810" s="321"/>
      <c r="CH810" s="770"/>
      <c r="CI810" s="770"/>
      <c r="CJ810" s="770"/>
      <c r="CK810" s="770"/>
      <c r="CL810" s="770"/>
      <c r="CM810" s="770"/>
      <c r="CN810" s="770"/>
      <c r="CO810" s="770"/>
      <c r="CP810" s="770"/>
      <c r="CQ810" s="770"/>
      <c r="CR810" s="302"/>
      <c r="CS810" s="770"/>
      <c r="CT810" s="770"/>
      <c r="CU810" s="305"/>
      <c r="CV810" s="770"/>
      <c r="CW810" s="770"/>
      <c r="CX810" s="770"/>
      <c r="CY810" s="770"/>
      <c r="CZ810" s="770"/>
      <c r="DA810" s="306"/>
      <c r="DB810" s="770"/>
      <c r="DC810" s="770"/>
      <c r="DD810" s="770"/>
      <c r="DE810" s="300"/>
      <c r="DF810" s="770"/>
      <c r="DG810" s="770"/>
      <c r="DH810" s="770"/>
      <c r="DI810" s="770"/>
      <c r="DJ810" s="770"/>
      <c r="DK810" s="770"/>
      <c r="DL810" s="770"/>
      <c r="DM810" s="770"/>
      <c r="DN810" s="322"/>
      <c r="DO810" s="770"/>
      <c r="DP810" s="770"/>
      <c r="DQ810" s="770"/>
      <c r="DR810" s="770"/>
      <c r="DS810" s="307"/>
      <c r="DT810" s="770"/>
      <c r="DU810" s="770"/>
      <c r="DV810" s="770"/>
      <c r="DW810" s="306"/>
      <c r="DX810" s="306"/>
      <c r="DY810" s="1055"/>
      <c r="DZ810" s="770"/>
      <c r="EA810" s="770"/>
      <c r="EB810" s="770"/>
      <c r="EC810" s="770"/>
      <c r="ED810" s="770"/>
      <c r="EE810" s="770"/>
      <c r="EF810" s="770"/>
      <c r="EG810" s="770"/>
      <c r="EH810" s="770"/>
      <c r="EI810" s="770"/>
      <c r="EJ810" s="770"/>
      <c r="EK810" s="770"/>
      <c r="EL810" s="770"/>
      <c r="EM810" s="770"/>
      <c r="EN810" s="770"/>
      <c r="EO810" s="770"/>
      <c r="EP810" s="94"/>
      <c r="EQ810" s="770"/>
      <c r="ER810" s="770"/>
      <c r="ES810" s="770"/>
      <c r="ET810" s="770"/>
      <c r="EU810" s="770"/>
      <c r="EV810" s="770"/>
      <c r="EW810" s="770"/>
      <c r="EX810" s="770"/>
      <c r="EY810" s="770"/>
      <c r="EZ810" s="770"/>
      <c r="FA810" s="770"/>
      <c r="FB810" s="770"/>
      <c r="FC810" s="770"/>
      <c r="FD810" s="302"/>
      <c r="FE810" s="770"/>
      <c r="FF810" s="770"/>
      <c r="FG810" s="770"/>
      <c r="FH810" s="770" t="s">
        <v>1306</v>
      </c>
      <c r="FI810" s="770">
        <v>1</v>
      </c>
      <c r="FJ810" s="770" t="s">
        <v>3269</v>
      </c>
      <c r="FK810" s="770"/>
      <c r="FL810" s="770" t="s">
        <v>3275</v>
      </c>
      <c r="FM810" s="147">
        <v>3000</v>
      </c>
      <c r="FN810" s="302">
        <v>340</v>
      </c>
      <c r="FO810" s="302">
        <v>0</v>
      </c>
      <c r="FP810" s="770" t="s">
        <v>1600</v>
      </c>
      <c r="FQ810" s="770" t="s">
        <v>1642</v>
      </c>
      <c r="FR810" s="770"/>
      <c r="FS810" s="770"/>
      <c r="FT810" s="770"/>
      <c r="FU810" s="770"/>
      <c r="FV810" s="770"/>
      <c r="FW810" s="770"/>
      <c r="FX810" s="770"/>
      <c r="FY810" s="770"/>
      <c r="FZ810" s="770"/>
      <c r="GA810" s="770"/>
      <c r="GB810" s="770"/>
      <c r="GC810" s="308"/>
      <c r="GD810" s="297"/>
      <c r="GE810" s="770"/>
      <c r="GF810" s="302"/>
      <c r="GG810" s="302"/>
      <c r="GH810" s="770"/>
      <c r="GI810" s="770"/>
      <c r="GJ810" s="770"/>
      <c r="GK810" s="770"/>
      <c r="GL810" s="770"/>
      <c r="GM810" s="770"/>
      <c r="GN810" s="299"/>
      <c r="GO810" s="770"/>
      <c r="GP810" s="770"/>
      <c r="GQ810" s="770"/>
      <c r="GR810" s="770"/>
      <c r="GS810" s="770"/>
      <c r="GT810" s="770"/>
      <c r="GU810" s="770"/>
      <c r="GV810" s="770"/>
      <c r="GW810" s="770"/>
      <c r="GX810" s="770"/>
      <c r="GY810" s="770"/>
      <c r="GZ810" s="770"/>
      <c r="HA810" s="770"/>
      <c r="HB810" s="770"/>
      <c r="HC810" s="770"/>
      <c r="HD810" s="770"/>
      <c r="HE810" s="770"/>
      <c r="HF810" s="770"/>
      <c r="HG810" s="770"/>
      <c r="HH810" s="770"/>
      <c r="HI810" s="770"/>
      <c r="HJ810" s="770"/>
      <c r="HK810" s="770"/>
      <c r="HL810" s="770"/>
      <c r="HM810" s="770"/>
      <c r="HN810" s="770"/>
      <c r="HO810" s="770"/>
      <c r="HP810" s="770"/>
      <c r="HQ810" s="770"/>
      <c r="HR810" s="770"/>
      <c r="HS810" s="770"/>
      <c r="HT810" s="770"/>
      <c r="HU810" s="770"/>
      <c r="HV810" s="770"/>
      <c r="HW810" s="770"/>
      <c r="HX810" s="770"/>
      <c r="HY810" s="770"/>
      <c r="HZ810" s="770"/>
      <c r="IA810" s="770"/>
      <c r="IB810" s="770" t="s">
        <v>1207</v>
      </c>
      <c r="IC810" s="770"/>
      <c r="ID810" s="770"/>
      <c r="IE810" s="770"/>
      <c r="IF810" s="770"/>
      <c r="IG810" s="770"/>
      <c r="IH810" s="770"/>
      <c r="II810" s="770"/>
      <c r="IJ810" s="770"/>
      <c r="IK810" s="770"/>
      <c r="IL810" s="770"/>
      <c r="IM810" s="770"/>
      <c r="IN810" s="770"/>
      <c r="IO810" s="296"/>
      <c r="IP810" s="770"/>
      <c r="IQ810" s="770"/>
      <c r="IR810" s="770"/>
      <c r="IS810" s="770"/>
      <c r="IT810" s="770"/>
      <c r="IU810" s="770"/>
      <c r="IV810" s="770"/>
      <c r="IW810" s="770"/>
      <c r="IX810" s="770"/>
      <c r="IY810" s="770"/>
      <c r="IZ810" s="770"/>
      <c r="JA810" s="770"/>
      <c r="JB810" s="770"/>
      <c r="JC810" s="770"/>
      <c r="JD810" s="302"/>
      <c r="JE810" s="770"/>
      <c r="JF810" s="770"/>
      <c r="JG810" s="770"/>
      <c r="JH810" s="307"/>
      <c r="JI810" s="307"/>
      <c r="JJ810" s="770"/>
      <c r="JK810" s="770"/>
      <c r="JL810" s="770"/>
      <c r="JM810" s="770"/>
      <c r="JN810" s="770"/>
      <c r="JO810" s="770"/>
      <c r="JP810" s="770"/>
      <c r="JQ810" s="770"/>
      <c r="JR810" s="770"/>
      <c r="JS810" s="770"/>
      <c r="JT810" s="766"/>
      <c r="JU810" s="766"/>
      <c r="JV810" s="766"/>
      <c r="JW810" s="766"/>
      <c r="JX810" s="770"/>
      <c r="JY810" s="770"/>
      <c r="JZ810" s="770"/>
      <c r="KA810" s="770"/>
      <c r="KB810" s="770"/>
      <c r="KC810" s="770"/>
      <c r="KD810" s="770"/>
      <c r="KE810" s="770"/>
      <c r="KF810" s="770"/>
      <c r="KG810" s="770"/>
      <c r="KH810" s="770"/>
      <c r="KI810" s="770"/>
      <c r="KJ810" s="770"/>
      <c r="KK810" s="770"/>
      <c r="KL810" s="770"/>
      <c r="KM810" s="770"/>
      <c r="KN810" s="770"/>
      <c r="KO810" s="770"/>
      <c r="KP810" s="770"/>
      <c r="KQ810" s="770"/>
      <c r="KR810" s="770"/>
      <c r="KS810" s="770"/>
      <c r="KT810" s="770"/>
      <c r="KU810" s="770"/>
      <c r="KV810" s="770"/>
      <c r="KW810" s="770"/>
      <c r="KX810" s="770"/>
      <c r="KY810" s="770"/>
      <c r="KZ810" s="770"/>
      <c r="LA810" s="770"/>
      <c r="LB810" s="770"/>
      <c r="LC810" s="770"/>
      <c r="LD810" s="770"/>
      <c r="LE810" s="770"/>
      <c r="LF810" s="770"/>
      <c r="LG810" s="770"/>
      <c r="LH810" s="770"/>
      <c r="LI810" s="770"/>
      <c r="LJ810" s="770"/>
      <c r="LK810" s="770"/>
      <c r="LL810" s="770"/>
      <c r="LM810" s="770"/>
      <c r="LN810" s="766"/>
      <c r="LO810" s="766"/>
      <c r="LP810" s="770"/>
      <c r="LQ810" s="770"/>
      <c r="LR810" s="770"/>
      <c r="LS810" s="770"/>
      <c r="LT810" s="770"/>
      <c r="LU810" s="770"/>
      <c r="LV810" s="770"/>
      <c r="LW810" s="770"/>
      <c r="LX810" s="769"/>
      <c r="LY810" s="766" t="str">
        <f t="shared" si="231"/>
        <v/>
      </c>
      <c r="LZ810" s="1709"/>
      <c r="MA810" s="1709"/>
      <c r="MB810" s="1709"/>
      <c r="MC810" s="1679">
        <f t="shared" si="256"/>
        <v>0</v>
      </c>
      <c r="MD810" s="1709"/>
      <c r="ME810" s="1709"/>
      <c r="MF810" s="1728"/>
      <c r="MG810" s="1680">
        <f t="shared" si="257"/>
        <v>0</v>
      </c>
      <c r="MH810" s="12"/>
      <c r="MI810" s="12"/>
      <c r="MJ810" s="12"/>
      <c r="MK810" s="12"/>
      <c r="ML810" s="12"/>
      <c r="MM810" s="12"/>
      <c r="MN810" s="12"/>
      <c r="MO810" s="12"/>
      <c r="MP810" s="12"/>
      <c r="MQ810" s="12"/>
      <c r="MR810" s="12"/>
      <c r="MS810" s="12"/>
      <c r="MT810" s="12"/>
      <c r="MU810" s="12"/>
      <c r="MV810" s="12"/>
      <c r="MW810" s="12"/>
      <c r="MX810" s="12"/>
      <c r="MY810" s="1682">
        <f t="shared" si="243"/>
        <v>0</v>
      </c>
      <c r="MZ810" s="12"/>
      <c r="NA810" s="12"/>
      <c r="NB810" s="12"/>
      <c r="NC810" s="12"/>
      <c r="ND810" s="12"/>
      <c r="NE810" s="12"/>
      <c r="NF810" s="12"/>
      <c r="NG810" s="12"/>
      <c r="NH810" s="12"/>
      <c r="NI810" s="12"/>
      <c r="NJ810" s="12"/>
      <c r="NK810" s="12"/>
      <c r="NL810" s="12"/>
      <c r="NM810" s="12"/>
      <c r="NN810" s="12"/>
      <c r="NO810" s="12"/>
      <c r="NP810" s="12"/>
      <c r="NQ810" s="12"/>
      <c r="NR810" s="12"/>
      <c r="NS810" s="12"/>
      <c r="NT810" s="12"/>
      <c r="NU810" s="12"/>
      <c r="NV810" s="12"/>
      <c r="NW810" s="12"/>
      <c r="NX810" s="12"/>
      <c r="NY810" s="12"/>
      <c r="NZ810" s="12"/>
      <c r="OA810" s="12"/>
      <c r="OB810" s="12"/>
      <c r="OC810" s="12"/>
      <c r="OD810" s="12"/>
      <c r="OE810" s="12"/>
      <c r="OF810" s="12"/>
      <c r="OG810" s="12"/>
      <c r="OH810" s="12"/>
      <c r="OI810" s="12"/>
      <c r="OJ810" s="12"/>
      <c r="OK810" s="12"/>
      <c r="OL810" s="12"/>
      <c r="OM810" s="12"/>
      <c r="ON810" s="12"/>
      <c r="OO810" s="12"/>
      <c r="OP810" s="12"/>
      <c r="OQ810" s="12"/>
      <c r="OR810" s="12"/>
      <c r="OS810" s="12"/>
      <c r="OT810" s="12"/>
      <c r="OU810" s="12"/>
      <c r="OV810" s="12"/>
      <c r="OW810" s="12"/>
      <c r="OX810" s="12"/>
      <c r="OY810" s="12"/>
      <c r="OZ810" s="12"/>
      <c r="PA810" s="12"/>
      <c r="PB810" s="12"/>
      <c r="PC810" s="12"/>
      <c r="PD810" s="12"/>
      <c r="PE810" s="12"/>
      <c r="PF810" s="12"/>
      <c r="PG810" s="12"/>
      <c r="PH810" s="12"/>
      <c r="PI810" s="12"/>
      <c r="PJ810" s="12"/>
      <c r="PK810" s="12"/>
      <c r="PL810" s="12"/>
      <c r="PM810" s="12"/>
      <c r="PN810" s="12"/>
      <c r="PO810" s="12"/>
      <c r="PP810" s="12"/>
      <c r="PQ810" s="12"/>
      <c r="PR810" s="12"/>
      <c r="PS810" s="12"/>
      <c r="PT810" s="12"/>
      <c r="PU810" s="12"/>
      <c r="PV810" s="12"/>
      <c r="PW810" s="12"/>
      <c r="PX810" s="12"/>
      <c r="PY810" s="12"/>
      <c r="PZ810" s="12"/>
      <c r="QA810" s="12"/>
      <c r="QB810" s="12"/>
      <c r="QC810" s="12"/>
      <c r="QD810" s="12"/>
      <c r="QE810" s="12"/>
      <c r="QF810" s="12"/>
      <c r="QG810" s="12"/>
      <c r="QH810" s="12"/>
      <c r="QI810" s="12"/>
      <c r="QJ810" s="12"/>
      <c r="QK810" s="12"/>
      <c r="QL810" s="12"/>
      <c r="QM810" s="12"/>
      <c r="QN810" s="12"/>
      <c r="QO810" s="12"/>
      <c r="QP810" s="12"/>
      <c r="QQ810" s="12"/>
      <c r="QR810" s="12"/>
      <c r="QS810" s="12"/>
      <c r="QT810" s="12"/>
      <c r="QU810" s="12"/>
      <c r="QV810" s="12"/>
      <c r="QW810" s="12"/>
      <c r="QX810" s="12"/>
      <c r="QY810" s="12"/>
      <c r="QZ810" s="12"/>
      <c r="RA810" s="12"/>
      <c r="RB810" s="12"/>
      <c r="RC810" s="770"/>
      <c r="RD810" s="770"/>
      <c r="RE810" s="770"/>
      <c r="RF810" s="304"/>
      <c r="RG810" s="770"/>
      <c r="RH810" s="306"/>
      <c r="RI810" s="770"/>
      <c r="RJ810" s="94" t="s">
        <v>14028</v>
      </c>
      <c r="RK810" s="770" t="s">
        <v>13556</v>
      </c>
      <c r="RL810" s="1710">
        <v>42852</v>
      </c>
      <c r="RM810" s="12"/>
      <c r="RN810" s="1711"/>
      <c r="RO810" s="149" t="s">
        <v>3260</v>
      </c>
      <c r="RP810" s="11"/>
      <c r="RQ810" s="11"/>
      <c r="RR810" s="17"/>
      <c r="RS810" s="767"/>
      <c r="RT810" s="11"/>
      <c r="RU810" s="11"/>
      <c r="RV810" s="771" t="s">
        <v>7419</v>
      </c>
      <c r="RW810" s="11" t="s">
        <v>7484</v>
      </c>
      <c r="RX810" s="11" t="s">
        <v>3260</v>
      </c>
      <c r="RY810" s="11"/>
      <c r="RZ810" s="11"/>
      <c r="SA810" s="771"/>
      <c r="SB810" s="11"/>
      <c r="SC810" s="11"/>
    </row>
    <row r="811" spans="1:497" ht="12.75" customHeight="1">
      <c r="A811" s="19" t="s">
        <v>7421</v>
      </c>
      <c r="B811" s="292" t="s">
        <v>7486</v>
      </c>
      <c r="C811" s="149" t="s">
        <v>3270</v>
      </c>
      <c r="D811" s="94" t="s">
        <v>5221</v>
      </c>
      <c r="E811" s="766" t="s">
        <v>5303</v>
      </c>
      <c r="F811" s="770" t="s">
        <v>28</v>
      </c>
      <c r="G811" s="770" t="s">
        <v>18</v>
      </c>
      <c r="H811" s="12"/>
      <c r="I811" s="295"/>
      <c r="J811" s="94" t="s">
        <v>5221</v>
      </c>
      <c r="K811" s="766" t="s">
        <v>5222</v>
      </c>
      <c r="L811" s="766" t="s">
        <v>2721</v>
      </c>
      <c r="M811" s="770" t="s">
        <v>1238</v>
      </c>
      <c r="N811" s="1757"/>
      <c r="O811" s="1757" t="s">
        <v>4830</v>
      </c>
      <c r="P811" s="94" t="s">
        <v>5223</v>
      </c>
      <c r="Q811" s="1088">
        <v>14290</v>
      </c>
      <c r="R811" s="297">
        <v>88</v>
      </c>
      <c r="S811" s="770" t="s">
        <v>18</v>
      </c>
      <c r="T811" s="770"/>
      <c r="U811" s="295"/>
      <c r="V811" s="770" t="s">
        <v>707</v>
      </c>
      <c r="W811" s="770"/>
      <c r="X811" s="770"/>
      <c r="Y811" s="770" t="s">
        <v>3272</v>
      </c>
      <c r="Z811" s="770" t="s">
        <v>708</v>
      </c>
      <c r="AA811" s="770" t="s">
        <v>709</v>
      </c>
      <c r="AB811" s="770" t="s">
        <v>710</v>
      </c>
      <c r="AC811" s="770" t="s">
        <v>5224</v>
      </c>
      <c r="AD811" s="770" t="s">
        <v>711</v>
      </c>
      <c r="AE811" s="770"/>
      <c r="AF811" s="770" t="s">
        <v>712</v>
      </c>
      <c r="AG811" s="766" t="s">
        <v>1095</v>
      </c>
      <c r="AH811" s="766" t="s">
        <v>1096</v>
      </c>
      <c r="AI811" s="770" t="s">
        <v>3294</v>
      </c>
      <c r="AJ811" s="770"/>
      <c r="AK811" s="770" t="s">
        <v>1101</v>
      </c>
      <c r="AL811" s="531">
        <v>107.1</v>
      </c>
      <c r="AM811" s="780">
        <v>14.7</v>
      </c>
      <c r="AN811" s="532">
        <f>AM811/AL811</f>
        <v>0.13725490196078433</v>
      </c>
      <c r="AO811" s="766" t="s">
        <v>1109</v>
      </c>
      <c r="AP811" s="766"/>
      <c r="AQ811" s="766"/>
      <c r="AR811" s="766"/>
      <c r="AS811" s="770"/>
      <c r="AT811" s="770"/>
      <c r="AU811" s="770"/>
      <c r="AV811" s="770"/>
      <c r="AW811" s="770"/>
      <c r="AX811" s="770"/>
      <c r="AY811" s="770"/>
      <c r="AZ811" s="770"/>
      <c r="BA811" s="770"/>
      <c r="BB811" s="770"/>
      <c r="BC811" s="770"/>
      <c r="BD811" s="770"/>
      <c r="BE811" s="770"/>
      <c r="BF811" s="302"/>
      <c r="BG811" s="302"/>
      <c r="BH811" s="770"/>
      <c r="BI811" s="770"/>
      <c r="BJ811" s="770"/>
      <c r="BK811" s="766" t="s">
        <v>1095</v>
      </c>
      <c r="BL811" s="766" t="s">
        <v>5225</v>
      </c>
      <c r="BM811" s="766" t="s">
        <v>1096</v>
      </c>
      <c r="BN811" s="766" t="s">
        <v>1230</v>
      </c>
      <c r="BO811" s="766" t="s">
        <v>1239</v>
      </c>
      <c r="BP811" s="1109">
        <v>214.2</v>
      </c>
      <c r="BQ811" s="773">
        <v>29.4</v>
      </c>
      <c r="BR811" s="774">
        <f>BQ811/BP811</f>
        <v>0.13725490196078433</v>
      </c>
      <c r="BS811" s="766" t="s">
        <v>1242</v>
      </c>
      <c r="BT811" s="770" t="s">
        <v>8133</v>
      </c>
      <c r="BU811" s="770" t="s">
        <v>1249</v>
      </c>
      <c r="BV811" s="770" t="s">
        <v>1247</v>
      </c>
      <c r="BW811" s="770">
        <v>1954</v>
      </c>
      <c r="BX811" s="302" t="s">
        <v>2769</v>
      </c>
      <c r="BY811" s="770" t="s">
        <v>1207</v>
      </c>
      <c r="BZ811" s="302"/>
      <c r="CA811" s="770"/>
      <c r="CB811" s="770"/>
      <c r="CC811" s="770"/>
      <c r="CD811" s="770"/>
      <c r="CE811" s="302"/>
      <c r="CF811" s="304"/>
      <c r="CG811" s="321"/>
      <c r="CH811" s="770"/>
      <c r="CI811" s="770"/>
      <c r="CJ811" s="770"/>
      <c r="CK811" s="770"/>
      <c r="CL811" s="770"/>
      <c r="CM811" s="770"/>
      <c r="CN811" s="770"/>
      <c r="CO811" s="770"/>
      <c r="CP811" s="770"/>
      <c r="CQ811" s="770"/>
      <c r="CR811" s="302"/>
      <c r="CS811" s="770"/>
      <c r="CT811" s="770"/>
      <c r="CU811" s="305"/>
      <c r="CV811" s="770"/>
      <c r="CW811" s="770"/>
      <c r="CX811" s="770"/>
      <c r="CY811" s="770"/>
      <c r="CZ811" s="770"/>
      <c r="DA811" s="306"/>
      <c r="DB811" s="770"/>
      <c r="DC811" s="770"/>
      <c r="DD811" s="770"/>
      <c r="DE811" s="300"/>
      <c r="DF811" s="770"/>
      <c r="DG811" s="770"/>
      <c r="DH811" s="770"/>
      <c r="DI811" s="770"/>
      <c r="DJ811" s="770"/>
      <c r="DK811" s="770"/>
      <c r="DL811" s="770"/>
      <c r="DM811" s="770"/>
      <c r="DN811" s="322"/>
      <c r="DO811" s="770"/>
      <c r="DP811" s="770"/>
      <c r="DQ811" s="770"/>
      <c r="DR811" s="770"/>
      <c r="DS811" s="307"/>
      <c r="DT811" s="770"/>
      <c r="DU811" s="770"/>
      <c r="DV811" s="770"/>
      <c r="DW811" s="306"/>
      <c r="DX811" s="306"/>
      <c r="DY811" s="1055"/>
      <c r="DZ811" s="770"/>
      <c r="EA811" s="770"/>
      <c r="EB811" s="770"/>
      <c r="EC811" s="770"/>
      <c r="ED811" s="770"/>
      <c r="EE811" s="770"/>
      <c r="EF811" s="770"/>
      <c r="EG811" s="770"/>
      <c r="EH811" s="770"/>
      <c r="EI811" s="770"/>
      <c r="EJ811" s="770"/>
      <c r="EK811" s="770"/>
      <c r="EL811" s="770"/>
      <c r="EM811" s="770"/>
      <c r="EN811" s="770"/>
      <c r="EO811" s="770"/>
      <c r="EP811" s="94"/>
      <c r="EQ811" s="770"/>
      <c r="ER811" s="770"/>
      <c r="ES811" s="770"/>
      <c r="ET811" s="770"/>
      <c r="EU811" s="770"/>
      <c r="EV811" s="770"/>
      <c r="EW811" s="770"/>
      <c r="EX811" s="770"/>
      <c r="EY811" s="770"/>
      <c r="EZ811" s="770"/>
      <c r="FA811" s="770"/>
      <c r="FB811" s="770"/>
      <c r="FC811" s="770"/>
      <c r="FD811" s="302"/>
      <c r="FE811" s="770"/>
      <c r="FF811" s="770"/>
      <c r="FG811" s="770"/>
      <c r="FH811" s="770" t="s">
        <v>478</v>
      </c>
      <c r="FI811" s="770">
        <v>1</v>
      </c>
      <c r="FJ811" s="770"/>
      <c r="FK811" s="770"/>
      <c r="FL811" s="770"/>
      <c r="FM811" s="302"/>
      <c r="FN811" s="302"/>
      <c r="FO811" s="302"/>
      <c r="FP811" s="770" t="s">
        <v>1600</v>
      </c>
      <c r="FQ811" s="770" t="s">
        <v>1642</v>
      </c>
      <c r="FR811" s="770" t="s">
        <v>1207</v>
      </c>
      <c r="FS811" s="770"/>
      <c r="FT811" s="770" t="s">
        <v>1208</v>
      </c>
      <c r="FU811" s="770"/>
      <c r="FV811" s="770"/>
      <c r="FW811" s="770"/>
      <c r="FX811" s="770"/>
      <c r="FY811" s="770"/>
      <c r="FZ811" s="770"/>
      <c r="GA811" s="770"/>
      <c r="GB811" s="770" t="s">
        <v>853</v>
      </c>
      <c r="GC811" s="308"/>
      <c r="GD811" s="297"/>
      <c r="GE811" s="770" t="s">
        <v>1207</v>
      </c>
      <c r="GF811" s="302">
        <v>1500</v>
      </c>
      <c r="GG811" s="302">
        <f>GF811*12</f>
        <v>18000</v>
      </c>
      <c r="GH811" s="770"/>
      <c r="GI811" s="770"/>
      <c r="GJ811" s="770"/>
      <c r="GK811" s="770"/>
      <c r="GL811" s="770"/>
      <c r="GM811" s="770"/>
      <c r="GN811" s="299"/>
      <c r="GO811" s="770"/>
      <c r="GP811" s="770"/>
      <c r="GQ811" s="770"/>
      <c r="GR811" s="770"/>
      <c r="GS811" s="770"/>
      <c r="GT811" s="770"/>
      <c r="GU811" s="770"/>
      <c r="GV811" s="770"/>
      <c r="GW811" s="770"/>
      <c r="GX811" s="770"/>
      <c r="GY811" s="770"/>
      <c r="GZ811" s="770"/>
      <c r="HA811" s="770"/>
      <c r="HB811" s="770"/>
      <c r="HC811" s="770"/>
      <c r="HD811" s="770"/>
      <c r="HE811" s="770"/>
      <c r="HF811" s="770"/>
      <c r="HG811" s="770"/>
      <c r="HH811" s="770"/>
      <c r="HI811" s="770"/>
      <c r="HJ811" s="770"/>
      <c r="HK811" s="770"/>
      <c r="HL811" s="770"/>
      <c r="HM811" s="770"/>
      <c r="HN811" s="770"/>
      <c r="HO811" s="770"/>
      <c r="HP811" s="770"/>
      <c r="HQ811" s="770"/>
      <c r="HR811" s="770"/>
      <c r="HS811" s="770"/>
      <c r="HT811" s="770"/>
      <c r="HU811" s="770"/>
      <c r="HV811" s="770"/>
      <c r="HW811" s="770"/>
      <c r="HX811" s="770"/>
      <c r="HY811" s="770"/>
      <c r="HZ811" s="770"/>
      <c r="IA811" s="770"/>
      <c r="IB811" s="14" t="e">
        <f>IF(#REF!&gt;0,IF(#REF!&lt;=10000,"Y",""),"")</f>
        <v>#REF!</v>
      </c>
      <c r="IC811" s="770" t="s">
        <v>1207</v>
      </c>
      <c r="ID811" s="770">
        <v>1</v>
      </c>
      <c r="IE811" s="770">
        <v>1</v>
      </c>
      <c r="IF811" s="770" t="s">
        <v>5226</v>
      </c>
      <c r="IG811" s="770" t="s">
        <v>18</v>
      </c>
      <c r="IH811" s="770" t="s">
        <v>478</v>
      </c>
      <c r="II811" s="770" t="s">
        <v>3272</v>
      </c>
      <c r="IJ811" s="770" t="s">
        <v>1835</v>
      </c>
      <c r="IK811" s="766" t="s">
        <v>1888</v>
      </c>
      <c r="IL811" s="770" t="s">
        <v>5227</v>
      </c>
      <c r="IM811" s="770">
        <v>1980</v>
      </c>
      <c r="IN811" s="770" t="s">
        <v>5227</v>
      </c>
      <c r="IO811" s="296">
        <v>14290</v>
      </c>
      <c r="IP811" s="770" t="s">
        <v>478</v>
      </c>
      <c r="IQ811" s="13" t="s">
        <v>8144</v>
      </c>
      <c r="IR811" s="770" t="s">
        <v>2716</v>
      </c>
      <c r="IS811" s="770" t="s">
        <v>1883</v>
      </c>
      <c r="IT811" s="770"/>
      <c r="IU811" s="770"/>
      <c r="IV811" s="770"/>
      <c r="IW811" s="770" t="s">
        <v>14029</v>
      </c>
      <c r="IX811" s="770"/>
      <c r="IY811" s="770"/>
      <c r="IZ811" s="770"/>
      <c r="JA811" s="770" t="s">
        <v>12805</v>
      </c>
      <c r="JB811" s="770" t="s">
        <v>1901</v>
      </c>
      <c r="JC811" s="770"/>
      <c r="JD811" s="302">
        <v>1500</v>
      </c>
      <c r="JE811" s="770"/>
      <c r="JF811" s="770"/>
      <c r="JG811" s="770"/>
      <c r="JH811" s="307"/>
      <c r="JI811" s="307"/>
      <c r="JJ811" s="770">
        <v>1</v>
      </c>
      <c r="JK811" s="1139" t="s">
        <v>5228</v>
      </c>
      <c r="JL811" s="770"/>
      <c r="JM811" s="770"/>
      <c r="JN811" s="770"/>
      <c r="JO811" s="770"/>
      <c r="JP811" s="770"/>
      <c r="JQ811" s="770">
        <v>1</v>
      </c>
      <c r="JR811" s="770"/>
      <c r="JS811" s="770"/>
      <c r="JT811" s="766">
        <f>SUM(JP811,JN811,JL811,JR811)</f>
        <v>0</v>
      </c>
      <c r="JU811" s="766">
        <f>SUM(JQ811,JO811,JM811,JS811)</f>
        <v>1</v>
      </c>
      <c r="JV811" s="712" t="str">
        <f>IF(JT811=KJ811,"ok","male")</f>
        <v>ok</v>
      </c>
      <c r="JW811" s="712" t="str">
        <f>IF(JU811=KK811,"ok","female")</f>
        <v>ok</v>
      </c>
      <c r="JX811" s="770"/>
      <c r="JY811" s="770"/>
      <c r="JZ811" s="770"/>
      <c r="KA811" s="770"/>
      <c r="KB811" s="770"/>
      <c r="KC811" s="770"/>
      <c r="KD811" s="770"/>
      <c r="KE811" s="770"/>
      <c r="KF811" s="770"/>
      <c r="KG811" s="770">
        <v>1</v>
      </c>
      <c r="KH811" s="770"/>
      <c r="KI811" s="770"/>
      <c r="KJ811" s="770">
        <f t="shared" si="249"/>
        <v>0</v>
      </c>
      <c r="KK811" s="770">
        <f t="shared" si="249"/>
        <v>1</v>
      </c>
      <c r="KL811" s="712" t="str">
        <f>IF(KJ811=LN811,"ok","male")</f>
        <v>ok</v>
      </c>
      <c r="KM811" s="712" t="str">
        <f>IF(KK811=LO811,"ok","female")</f>
        <v>ok</v>
      </c>
      <c r="KN811" s="770" t="s">
        <v>707</v>
      </c>
      <c r="KO811" s="770"/>
      <c r="KP811" s="770"/>
      <c r="KQ811" s="770"/>
      <c r="KR811" s="770"/>
      <c r="KS811" s="770"/>
      <c r="KT811" s="770"/>
      <c r="KU811" s="770"/>
      <c r="KV811" s="770"/>
      <c r="KW811" s="770"/>
      <c r="KX811" s="770"/>
      <c r="KY811" s="770">
        <v>1</v>
      </c>
      <c r="KZ811" s="770"/>
      <c r="LA811" s="770"/>
      <c r="LB811" s="770"/>
      <c r="LC811" s="770"/>
      <c r="LD811" s="770"/>
      <c r="LE811" s="770"/>
      <c r="LF811" s="770"/>
      <c r="LG811" s="770"/>
      <c r="LH811" s="770"/>
      <c r="LI811" s="770"/>
      <c r="LJ811" s="770"/>
      <c r="LK811" s="770"/>
      <c r="LL811" s="770"/>
      <c r="LM811" s="770"/>
      <c r="LN811" s="766">
        <f>SUM(KP811,KR811,KT811,KV811,KX811,KZ811,LB811,LD811,LF811,LH811,LJ811,LL811)</f>
        <v>0</v>
      </c>
      <c r="LO811" s="766">
        <f>SUM(KQ811,KS811,KU811,KW811,KY811,LA811,LC811,LE811,LG811,LI811,LK811,LM811)</f>
        <v>1</v>
      </c>
      <c r="LP811" s="770">
        <v>1</v>
      </c>
      <c r="LQ811" s="770"/>
      <c r="LR811" s="770"/>
      <c r="LS811" s="770">
        <v>1</v>
      </c>
      <c r="LT811" s="712" t="str">
        <f>IF(LQ811=SUM(LU811:LW811),"OK","REV")</f>
        <v>OK</v>
      </c>
      <c r="LU811" s="770"/>
      <c r="LV811" s="770"/>
      <c r="LW811" s="770"/>
      <c r="LX811" s="769">
        <v>1</v>
      </c>
      <c r="LY811" s="766" t="str">
        <f t="shared" ref="LY811:LY831" si="258">IF(ISBLANK(LX811)=TRUE,"",LOOKUP(LX811,RT:RU))</f>
        <v>within the BRGY</v>
      </c>
      <c r="LZ811" s="1709"/>
      <c r="MA811" s="1709"/>
      <c r="MB811" s="1709"/>
      <c r="MC811" s="1679">
        <f t="shared" si="256"/>
        <v>0</v>
      </c>
      <c r="MD811" s="1709"/>
      <c r="ME811" s="1709"/>
      <c r="MF811" s="1709">
        <v>1500</v>
      </c>
      <c r="MG811" s="1680">
        <f t="shared" si="257"/>
        <v>1500</v>
      </c>
      <c r="MH811" s="770" t="s">
        <v>3703</v>
      </c>
      <c r="MI811" s="302">
        <f>200*30</f>
        <v>6000</v>
      </c>
      <c r="MJ811" s="302"/>
      <c r="MK811" s="302">
        <v>100</v>
      </c>
      <c r="ML811" s="302">
        <v>2500</v>
      </c>
      <c r="MM811" s="302"/>
      <c r="MN811" s="302"/>
      <c r="MO811" s="302"/>
      <c r="MP811" s="302">
        <v>2480</v>
      </c>
      <c r="MQ811" s="302">
        <f>30*30</f>
        <v>900</v>
      </c>
      <c r="MR811" s="302">
        <v>500</v>
      </c>
      <c r="MS811" s="302"/>
      <c r="MT811" s="302"/>
      <c r="MU811" s="302"/>
      <c r="MV811" s="302"/>
      <c r="MW811" s="302"/>
      <c r="MX811" s="302"/>
      <c r="MY811" s="1682">
        <f t="shared" si="243"/>
        <v>12480</v>
      </c>
      <c r="MZ811" s="770" t="s">
        <v>13370</v>
      </c>
      <c r="NA811" s="770" t="s">
        <v>13065</v>
      </c>
      <c r="NB811" s="770" t="s">
        <v>13016</v>
      </c>
      <c r="NC811" s="770" t="s">
        <v>13602</v>
      </c>
      <c r="ND811" s="770">
        <v>0</v>
      </c>
      <c r="NE811" s="770">
        <v>0</v>
      </c>
      <c r="NF811" s="770">
        <v>0</v>
      </c>
      <c r="NG811" s="770">
        <v>3</v>
      </c>
      <c r="NH811" s="770">
        <v>0</v>
      </c>
      <c r="NI811" s="770">
        <v>1</v>
      </c>
      <c r="NJ811" s="770">
        <v>0</v>
      </c>
      <c r="NK811" s="770">
        <v>0</v>
      </c>
      <c r="NL811" s="770">
        <v>0</v>
      </c>
      <c r="NM811" s="770">
        <v>0</v>
      </c>
      <c r="NN811" s="770">
        <v>0</v>
      </c>
      <c r="NO811" s="770">
        <v>0</v>
      </c>
      <c r="NP811" s="770">
        <v>0</v>
      </c>
      <c r="NQ811" s="770">
        <v>0</v>
      </c>
      <c r="NR811" s="770">
        <v>0</v>
      </c>
      <c r="NS811" s="770">
        <v>0</v>
      </c>
      <c r="NT811" s="770">
        <v>0</v>
      </c>
      <c r="NU811" s="770">
        <v>0</v>
      </c>
      <c r="NV811" s="770">
        <v>0</v>
      </c>
      <c r="NW811" s="770">
        <v>0</v>
      </c>
      <c r="NX811" s="770">
        <v>0</v>
      </c>
      <c r="NY811" s="770" t="s">
        <v>1208</v>
      </c>
      <c r="NZ811" s="770"/>
      <c r="OA811" s="770"/>
      <c r="OB811" s="770"/>
      <c r="OC811" s="770" t="s">
        <v>1208</v>
      </c>
      <c r="OD811" s="770"/>
      <c r="OE811" s="770"/>
      <c r="OF811" s="770" t="s">
        <v>2143</v>
      </c>
      <c r="OG811" s="770"/>
      <c r="OH811" s="770"/>
      <c r="OI811" s="770"/>
      <c r="OJ811" s="770"/>
      <c r="OK811" s="770" t="s">
        <v>1208</v>
      </c>
      <c r="OL811" s="770"/>
      <c r="OM811" s="770"/>
      <c r="ON811" s="770"/>
      <c r="OO811" s="770" t="s">
        <v>1214</v>
      </c>
      <c r="OP811" s="770"/>
      <c r="OQ811" s="770"/>
      <c r="OR811" s="770"/>
      <c r="OS811" s="770"/>
      <c r="OT811" s="770"/>
      <c r="OU811" s="770"/>
      <c r="OV811" s="770" t="s">
        <v>1208</v>
      </c>
      <c r="OW811" s="770"/>
      <c r="OX811" s="770"/>
      <c r="OY811" s="770"/>
      <c r="OZ811" s="770"/>
      <c r="PA811" s="770"/>
      <c r="PB811" s="770"/>
      <c r="PC811" s="770"/>
      <c r="PD811" s="770"/>
      <c r="PE811" s="770"/>
      <c r="PF811" s="770"/>
      <c r="PG811" s="770"/>
      <c r="PH811" s="770"/>
      <c r="PI811" s="770"/>
      <c r="PJ811" s="770"/>
      <c r="PK811" s="770" t="s">
        <v>1208</v>
      </c>
      <c r="PL811" s="770"/>
      <c r="PM811" s="770"/>
      <c r="PN811" s="770" t="s">
        <v>1208</v>
      </c>
      <c r="PO811" s="770"/>
      <c r="PP811" s="770"/>
      <c r="PQ811" s="770"/>
      <c r="PR811" s="770"/>
      <c r="PS811" s="770"/>
      <c r="PT811" s="770"/>
      <c r="PU811" s="770"/>
      <c r="PV811" s="770"/>
      <c r="PW811" s="770"/>
      <c r="PX811" s="770"/>
      <c r="PY811" s="770"/>
      <c r="PZ811" s="770"/>
      <c r="QA811" s="770"/>
      <c r="QB811" s="770"/>
      <c r="QC811" s="770"/>
      <c r="QD811" s="770"/>
      <c r="QE811" s="770" t="s">
        <v>1208</v>
      </c>
      <c r="QF811" s="770"/>
      <c r="QG811" s="770"/>
      <c r="QH811" s="770"/>
      <c r="QI811" s="770"/>
      <c r="QJ811" s="770"/>
      <c r="QK811" s="770"/>
      <c r="QL811" s="770"/>
      <c r="QM811" s="770"/>
      <c r="QN811" s="770"/>
      <c r="QO811" s="770"/>
      <c r="QP811" s="770"/>
      <c r="QQ811" s="770"/>
      <c r="QR811" s="770"/>
      <c r="QS811" s="770"/>
      <c r="QT811" s="770"/>
      <c r="QU811" s="770"/>
      <c r="QV811" s="770"/>
      <c r="QW811" s="770"/>
      <c r="QX811" s="770"/>
      <c r="QY811" s="770"/>
      <c r="QZ811" s="770"/>
      <c r="RA811" s="770"/>
      <c r="RB811" s="770" t="s">
        <v>1214</v>
      </c>
      <c r="RC811" s="770"/>
      <c r="RD811" s="770"/>
      <c r="RE811" s="770"/>
      <c r="RF811" s="304"/>
      <c r="RG811" s="770"/>
      <c r="RH811" s="306"/>
      <c r="RI811" s="770"/>
      <c r="RJ811" s="94" t="s">
        <v>5228</v>
      </c>
      <c r="RK811" s="770" t="s">
        <v>13544</v>
      </c>
      <c r="RL811" s="1710" t="s">
        <v>1604</v>
      </c>
      <c r="RM811" s="12"/>
      <c r="RN811" s="1711"/>
      <c r="RO811" s="149" t="s">
        <v>3270</v>
      </c>
      <c r="RP811" s="11"/>
      <c r="RQ811" s="11"/>
      <c r="RR811" s="19" t="s">
        <v>7421</v>
      </c>
      <c r="RS811" s="1139" t="s">
        <v>12980</v>
      </c>
      <c r="RT811" s="11"/>
      <c r="RU811" s="11"/>
      <c r="RV811" s="771" t="s">
        <v>14030</v>
      </c>
      <c r="RW811" s="11" t="s">
        <v>7485</v>
      </c>
      <c r="RX811" s="11" t="s">
        <v>3260</v>
      </c>
      <c r="RY811" s="11"/>
      <c r="RZ811" s="11" t="s">
        <v>2209</v>
      </c>
      <c r="SA811" s="771"/>
      <c r="SB811" s="11"/>
      <c r="SC811" s="11"/>
    </row>
    <row r="812" spans="1:497" ht="12.75" customHeight="1">
      <c r="A812" s="311" t="s">
        <v>14253</v>
      </c>
      <c r="B812" s="292" t="s">
        <v>7487</v>
      </c>
      <c r="C812" s="149" t="s">
        <v>3270</v>
      </c>
      <c r="D812" s="94" t="s">
        <v>3271</v>
      </c>
      <c r="E812" s="766" t="s">
        <v>5303</v>
      </c>
      <c r="F812" s="770" t="s">
        <v>20</v>
      </c>
      <c r="G812" s="770" t="s">
        <v>18</v>
      </c>
      <c r="H812" s="12"/>
      <c r="I812" s="295" t="s">
        <v>3273</v>
      </c>
      <c r="J812" s="94" t="s">
        <v>3282</v>
      </c>
      <c r="K812" s="770"/>
      <c r="L812" s="770"/>
      <c r="M812" s="770"/>
      <c r="N812" s="1757"/>
      <c r="O812" s="1757"/>
      <c r="P812" s="94" t="s">
        <v>3274</v>
      </c>
      <c r="Q812" s="1088">
        <v>27192</v>
      </c>
      <c r="R812" s="297">
        <v>44</v>
      </c>
      <c r="S812" s="770" t="s">
        <v>10</v>
      </c>
      <c r="T812" s="770"/>
      <c r="U812" s="295" t="s">
        <v>3273</v>
      </c>
      <c r="V812" s="770" t="s">
        <v>722</v>
      </c>
      <c r="W812" s="770"/>
      <c r="X812" s="770"/>
      <c r="Y812" s="770" t="s">
        <v>3272</v>
      </c>
      <c r="Z812" s="770" t="s">
        <v>708</v>
      </c>
      <c r="AA812" s="770" t="s">
        <v>709</v>
      </c>
      <c r="AB812" s="770" t="s">
        <v>744</v>
      </c>
      <c r="AC812" s="770" t="s">
        <v>724</v>
      </c>
      <c r="AD812" s="770" t="s">
        <v>711</v>
      </c>
      <c r="AE812" s="770"/>
      <c r="AF812" s="770" t="s">
        <v>798</v>
      </c>
      <c r="AG812" s="766" t="s">
        <v>1095</v>
      </c>
      <c r="AH812" s="766" t="s">
        <v>1096</v>
      </c>
      <c r="AI812" s="770" t="s">
        <v>3294</v>
      </c>
      <c r="AJ812" s="770"/>
      <c r="AK812" s="770" t="s">
        <v>1101</v>
      </c>
      <c r="AL812" s="531"/>
      <c r="AM812" s="780"/>
      <c r="AN812" s="532"/>
      <c r="AO812" s="766"/>
      <c r="AP812" s="766"/>
      <c r="AQ812" s="766"/>
      <c r="AR812" s="766"/>
      <c r="AS812" s="770"/>
      <c r="AT812" s="770"/>
      <c r="AU812" s="770"/>
      <c r="AV812" s="770"/>
      <c r="AW812" s="770"/>
      <c r="AX812" s="770"/>
      <c r="AY812" s="770"/>
      <c r="AZ812" s="770"/>
      <c r="BA812" s="770"/>
      <c r="BB812" s="770"/>
      <c r="BC812" s="770"/>
      <c r="BD812" s="770"/>
      <c r="BE812" s="770"/>
      <c r="BF812" s="302"/>
      <c r="BG812" s="302"/>
      <c r="BH812" s="770"/>
      <c r="BI812" s="770"/>
      <c r="BJ812" s="770"/>
      <c r="BK812" s="766"/>
      <c r="BL812" s="766"/>
      <c r="BM812" s="766" t="s">
        <v>1238</v>
      </c>
      <c r="BN812" s="766" t="s">
        <v>1256</v>
      </c>
      <c r="BO812" s="766"/>
      <c r="BP812" s="765"/>
      <c r="BQ812" s="773"/>
      <c r="BR812" s="774"/>
      <c r="BS812" s="766" t="s">
        <v>1242</v>
      </c>
      <c r="BT812" s="770"/>
      <c r="BU812" s="770"/>
      <c r="BV812" s="770"/>
      <c r="BW812" s="770"/>
      <c r="BX812" s="302"/>
      <c r="BY812" s="770"/>
      <c r="BZ812" s="302"/>
      <c r="CA812" s="770"/>
      <c r="CB812" s="770"/>
      <c r="CC812" s="770"/>
      <c r="CD812" s="770"/>
      <c r="CE812" s="302"/>
      <c r="CF812" s="304"/>
      <c r="CG812" s="321"/>
      <c r="CH812" s="770"/>
      <c r="CI812" s="770"/>
      <c r="CJ812" s="770"/>
      <c r="CK812" s="770"/>
      <c r="CL812" s="770"/>
      <c r="CM812" s="770"/>
      <c r="CN812" s="770"/>
      <c r="CO812" s="770"/>
      <c r="CP812" s="770"/>
      <c r="CQ812" s="770"/>
      <c r="CR812" s="302"/>
      <c r="CS812" s="770"/>
      <c r="CT812" s="770"/>
      <c r="CU812" s="305"/>
      <c r="CV812" s="770"/>
      <c r="CW812" s="770"/>
      <c r="CX812" s="770"/>
      <c r="CY812" s="770"/>
      <c r="CZ812" s="770"/>
      <c r="DA812" s="306"/>
      <c r="DB812" s="770"/>
      <c r="DC812" s="770"/>
      <c r="DD812" s="770"/>
      <c r="DE812" s="300"/>
      <c r="DF812" s="770"/>
      <c r="DG812" s="770"/>
      <c r="DH812" s="770"/>
      <c r="DI812" s="770"/>
      <c r="DJ812" s="770"/>
      <c r="DK812" s="770"/>
      <c r="DL812" s="770"/>
      <c r="DM812" s="770"/>
      <c r="DN812" s="322"/>
      <c r="DO812" s="770"/>
      <c r="DP812" s="770"/>
      <c r="DQ812" s="770"/>
      <c r="DR812" s="770"/>
      <c r="DS812" s="307"/>
      <c r="DT812" s="770"/>
      <c r="DU812" s="770"/>
      <c r="DV812" s="770"/>
      <c r="DW812" s="306"/>
      <c r="DX812" s="306"/>
      <c r="DY812" s="1055"/>
      <c r="DZ812" s="770"/>
      <c r="EA812" s="770"/>
      <c r="EB812" s="770"/>
      <c r="EC812" s="770"/>
      <c r="ED812" s="770"/>
      <c r="EE812" s="770"/>
      <c r="EF812" s="770"/>
      <c r="EG812" s="770"/>
      <c r="EH812" s="770"/>
      <c r="EI812" s="770"/>
      <c r="EJ812" s="770"/>
      <c r="EK812" s="770"/>
      <c r="EL812" s="770"/>
      <c r="EM812" s="770"/>
      <c r="EN812" s="770"/>
      <c r="EO812" s="770"/>
      <c r="EP812" s="94"/>
      <c r="EQ812" s="770"/>
      <c r="ER812" s="770"/>
      <c r="ES812" s="770"/>
      <c r="ET812" s="770"/>
      <c r="EU812" s="770"/>
      <c r="EV812" s="770"/>
      <c r="EW812" s="770"/>
      <c r="EX812" s="770"/>
      <c r="EY812" s="770"/>
      <c r="EZ812" s="770"/>
      <c r="FA812" s="770"/>
      <c r="FB812" s="770"/>
      <c r="FC812" s="770"/>
      <c r="FD812" s="302"/>
      <c r="FE812" s="770"/>
      <c r="FF812" s="770"/>
      <c r="FG812" s="770"/>
      <c r="FH812" s="770" t="s">
        <v>1306</v>
      </c>
      <c r="FI812" s="770">
        <v>1</v>
      </c>
      <c r="FJ812" s="770" t="s">
        <v>5225</v>
      </c>
      <c r="FK812" s="770"/>
      <c r="FL812" s="770" t="s">
        <v>3276</v>
      </c>
      <c r="FM812" s="147">
        <v>1500</v>
      </c>
      <c r="FN812" s="302">
        <v>60</v>
      </c>
      <c r="FO812" s="302">
        <v>450</v>
      </c>
      <c r="FP812" s="770" t="s">
        <v>1600</v>
      </c>
      <c r="FQ812" s="770" t="s">
        <v>1642</v>
      </c>
      <c r="FR812" s="770"/>
      <c r="FS812" s="770"/>
      <c r="FT812" s="770"/>
      <c r="FU812" s="770"/>
      <c r="FV812" s="770"/>
      <c r="FW812" s="770"/>
      <c r="FX812" s="770"/>
      <c r="FY812" s="770"/>
      <c r="FZ812" s="770"/>
      <c r="GA812" s="770"/>
      <c r="GB812" s="770"/>
      <c r="GC812" s="308"/>
      <c r="GD812" s="297"/>
      <c r="GE812" s="770"/>
      <c r="GF812" s="302"/>
      <c r="GG812" s="302"/>
      <c r="GH812" s="770"/>
      <c r="GI812" s="770"/>
      <c r="GJ812" s="770"/>
      <c r="GK812" s="770"/>
      <c r="GL812" s="770"/>
      <c r="GM812" s="770"/>
      <c r="GN812" s="299"/>
      <c r="GO812" s="770"/>
      <c r="GP812" s="770"/>
      <c r="GQ812" s="770"/>
      <c r="GR812" s="770"/>
      <c r="GS812" s="770"/>
      <c r="GT812" s="770"/>
      <c r="GU812" s="770"/>
      <c r="GV812" s="770"/>
      <c r="GW812" s="770"/>
      <c r="GX812" s="770"/>
      <c r="GY812" s="770"/>
      <c r="GZ812" s="770"/>
      <c r="HA812" s="770"/>
      <c r="HB812" s="770"/>
      <c r="HC812" s="770"/>
      <c r="HD812" s="770"/>
      <c r="HE812" s="770"/>
      <c r="HF812" s="770"/>
      <c r="HG812" s="770"/>
      <c r="HH812" s="770"/>
      <c r="HI812" s="770"/>
      <c r="HJ812" s="770"/>
      <c r="HK812" s="770"/>
      <c r="HL812" s="770"/>
      <c r="HM812" s="770"/>
      <c r="HN812" s="770"/>
      <c r="HO812" s="770"/>
      <c r="HP812" s="770"/>
      <c r="HQ812" s="770"/>
      <c r="HR812" s="770"/>
      <c r="HS812" s="770"/>
      <c r="HT812" s="770"/>
      <c r="HU812" s="770"/>
      <c r="HV812" s="770"/>
      <c r="HW812" s="770"/>
      <c r="HX812" s="770"/>
      <c r="HY812" s="770"/>
      <c r="HZ812" s="770"/>
      <c r="IA812" s="770"/>
      <c r="IB812" s="14" t="e">
        <f>IF(#REF!&gt;0,IF(#REF!&lt;=10000,"Y",""),"")</f>
        <v>#REF!</v>
      </c>
      <c r="IC812" s="770"/>
      <c r="ID812" s="770"/>
      <c r="IE812" s="770"/>
      <c r="IF812" s="770"/>
      <c r="IG812" s="770"/>
      <c r="IH812" s="770"/>
      <c r="II812" s="770"/>
      <c r="IJ812" s="770"/>
      <c r="IK812" s="770"/>
      <c r="IL812" s="770"/>
      <c r="IM812" s="770"/>
      <c r="IN812" s="770"/>
      <c r="IO812" s="296"/>
      <c r="IP812" s="770"/>
      <c r="IQ812" s="770"/>
      <c r="IR812" s="770"/>
      <c r="IS812" s="770"/>
      <c r="IT812" s="770"/>
      <c r="IU812" s="770"/>
      <c r="IV812" s="770"/>
      <c r="IW812" s="770"/>
      <c r="IX812" s="770"/>
      <c r="IY812" s="770"/>
      <c r="IZ812" s="770"/>
      <c r="JA812" s="770"/>
      <c r="JB812" s="770"/>
      <c r="JC812" s="770"/>
      <c r="JD812" s="302"/>
      <c r="JE812" s="770"/>
      <c r="JF812" s="770"/>
      <c r="JG812" s="770"/>
      <c r="JH812" s="307"/>
      <c r="JI812" s="307"/>
      <c r="JJ812" s="94"/>
      <c r="JK812" s="1047" t="s">
        <v>14031</v>
      </c>
      <c r="JL812" s="770"/>
      <c r="JM812" s="770"/>
      <c r="JN812" s="770"/>
      <c r="JO812" s="770"/>
      <c r="JP812" s="770"/>
      <c r="JQ812" s="770"/>
      <c r="JR812" s="770"/>
      <c r="JS812" s="770"/>
      <c r="JT812" s="766"/>
      <c r="JU812" s="766"/>
      <c r="JV812" s="712" t="str">
        <f>IF(JT812=KJ812,"ok","male")</f>
        <v>ok</v>
      </c>
      <c r="JW812" s="712" t="str">
        <f>IF(JU812=KK812,"ok","female")</f>
        <v>ok</v>
      </c>
      <c r="JX812" s="770"/>
      <c r="JY812" s="770"/>
      <c r="JZ812" s="770"/>
      <c r="KA812" s="770"/>
      <c r="KB812" s="770"/>
      <c r="KC812" s="770"/>
      <c r="KD812" s="770"/>
      <c r="KE812" s="770"/>
      <c r="KF812" s="770"/>
      <c r="KG812" s="770"/>
      <c r="KH812" s="770"/>
      <c r="KI812" s="770"/>
      <c r="KJ812" s="770"/>
      <c r="KK812" s="770"/>
      <c r="KL812" s="712" t="str">
        <f>IF(KJ812=LN812,"ok","male")</f>
        <v>ok</v>
      </c>
      <c r="KM812" s="712" t="str">
        <f>IF(KK812=LO812,"ok","female")</f>
        <v>ok</v>
      </c>
      <c r="KN812" s="770"/>
      <c r="KO812" s="770"/>
      <c r="KP812" s="770"/>
      <c r="KQ812" s="770"/>
      <c r="KR812" s="770"/>
      <c r="KS812" s="770"/>
      <c r="KT812" s="770"/>
      <c r="KU812" s="770"/>
      <c r="KV812" s="770"/>
      <c r="KW812" s="770"/>
      <c r="KX812" s="770"/>
      <c r="KY812" s="770"/>
      <c r="KZ812" s="770"/>
      <c r="LA812" s="770"/>
      <c r="LB812" s="770"/>
      <c r="LC812" s="770"/>
      <c r="LD812" s="770"/>
      <c r="LE812" s="770"/>
      <c r="LF812" s="770"/>
      <c r="LG812" s="770"/>
      <c r="LH812" s="770"/>
      <c r="LI812" s="770"/>
      <c r="LJ812" s="770"/>
      <c r="LK812" s="770"/>
      <c r="LL812" s="770"/>
      <c r="LM812" s="770"/>
      <c r="LN812" s="766"/>
      <c r="LO812" s="766"/>
      <c r="LP812" s="770"/>
      <c r="LQ812" s="770"/>
      <c r="LR812" s="770"/>
      <c r="LS812" s="770"/>
      <c r="LT812" s="712" t="str">
        <f>IF(LQ812=SUM(LU812:LW812),"OK","REV")</f>
        <v>OK</v>
      </c>
      <c r="LU812" s="770"/>
      <c r="LV812" s="770"/>
      <c r="LW812" s="770"/>
      <c r="LX812" s="769"/>
      <c r="LY812" s="766" t="str">
        <f t="shared" si="258"/>
        <v/>
      </c>
      <c r="LZ812" s="1709"/>
      <c r="MA812" s="1709"/>
      <c r="MB812" s="1709"/>
      <c r="MC812" s="1679">
        <f t="shared" si="256"/>
        <v>0</v>
      </c>
      <c r="MD812" s="1709"/>
      <c r="ME812" s="1709"/>
      <c r="MF812" s="1709"/>
      <c r="MG812" s="1680">
        <v>0</v>
      </c>
      <c r="MH812" s="770"/>
      <c r="MI812" s="302"/>
      <c r="MJ812" s="302"/>
      <c r="MK812" s="302"/>
      <c r="ML812" s="302"/>
      <c r="MM812" s="302"/>
      <c r="MN812" s="302"/>
      <c r="MO812" s="302"/>
      <c r="MP812" s="302"/>
      <c r="MQ812" s="302"/>
      <c r="MR812" s="302"/>
      <c r="MS812" s="302"/>
      <c r="MT812" s="302"/>
      <c r="MU812" s="302"/>
      <c r="MV812" s="302"/>
      <c r="MW812" s="302"/>
      <c r="MX812" s="302"/>
      <c r="MY812" s="1682"/>
      <c r="MZ812" s="770"/>
      <c r="NA812" s="770"/>
      <c r="NB812" s="770"/>
      <c r="NC812" s="770"/>
      <c r="ND812" s="770"/>
      <c r="NE812" s="770"/>
      <c r="NF812" s="770"/>
      <c r="NG812" s="770"/>
      <c r="NH812" s="770"/>
      <c r="NI812" s="770"/>
      <c r="NJ812" s="770"/>
      <c r="NK812" s="770"/>
      <c r="NL812" s="770"/>
      <c r="NM812" s="770"/>
      <c r="NN812" s="770"/>
      <c r="NO812" s="770"/>
      <c r="NP812" s="770"/>
      <c r="NQ812" s="770"/>
      <c r="NR812" s="770"/>
      <c r="NS812" s="770"/>
      <c r="NT812" s="770"/>
      <c r="NU812" s="770"/>
      <c r="NV812" s="770"/>
      <c r="NW812" s="770"/>
      <c r="NX812" s="770"/>
      <c r="NY812" s="770"/>
      <c r="NZ812" s="770"/>
      <c r="OA812" s="770"/>
      <c r="OB812" s="770"/>
      <c r="OC812" s="770"/>
      <c r="OD812" s="770"/>
      <c r="OE812" s="770"/>
      <c r="OF812" s="770"/>
      <c r="OG812" s="770"/>
      <c r="OH812" s="770"/>
      <c r="OI812" s="770"/>
      <c r="OJ812" s="770"/>
      <c r="OK812" s="770"/>
      <c r="OL812" s="770"/>
      <c r="OM812" s="770"/>
      <c r="ON812" s="770"/>
      <c r="OO812" s="770"/>
      <c r="OP812" s="770"/>
      <c r="OQ812" s="770"/>
      <c r="OR812" s="770"/>
      <c r="OS812" s="770"/>
      <c r="OT812" s="770"/>
      <c r="OU812" s="770"/>
      <c r="OV812" s="770"/>
      <c r="OW812" s="770"/>
      <c r="OX812" s="770"/>
      <c r="OY812" s="770"/>
      <c r="OZ812" s="770"/>
      <c r="PA812" s="770"/>
      <c r="PB812" s="770"/>
      <c r="PC812" s="770"/>
      <c r="PD812" s="770"/>
      <c r="PE812" s="770"/>
      <c r="PF812" s="770"/>
      <c r="PG812" s="770"/>
      <c r="PH812" s="770"/>
      <c r="PI812" s="770"/>
      <c r="PJ812" s="770"/>
      <c r="PK812" s="770"/>
      <c r="PL812" s="770"/>
      <c r="PM812" s="770"/>
      <c r="PN812" s="770"/>
      <c r="PO812" s="770"/>
      <c r="PP812" s="770"/>
      <c r="PQ812" s="770"/>
      <c r="PR812" s="770"/>
      <c r="PS812" s="770"/>
      <c r="PT812" s="770"/>
      <c r="PU812" s="770"/>
      <c r="PV812" s="770"/>
      <c r="PW812" s="770"/>
      <c r="PX812" s="770"/>
      <c r="PY812" s="770"/>
      <c r="PZ812" s="770"/>
      <c r="QA812" s="770"/>
      <c r="QB812" s="770"/>
      <c r="QC812" s="770"/>
      <c r="QD812" s="770"/>
      <c r="QE812" s="770"/>
      <c r="QF812" s="770"/>
      <c r="QG812" s="770"/>
      <c r="QH812" s="770"/>
      <c r="QI812" s="770"/>
      <c r="QJ812" s="770"/>
      <c r="QK812" s="770"/>
      <c r="QL812" s="770"/>
      <c r="QM812" s="770"/>
      <c r="QN812" s="770"/>
      <c r="QO812" s="770"/>
      <c r="QP812" s="770"/>
      <c r="QQ812" s="770"/>
      <c r="QR812" s="770"/>
      <c r="QS812" s="770"/>
      <c r="QT812" s="770"/>
      <c r="QU812" s="770"/>
      <c r="QV812" s="770"/>
      <c r="QW812" s="770"/>
      <c r="QX812" s="770"/>
      <c r="QY812" s="770"/>
      <c r="QZ812" s="770"/>
      <c r="RA812" s="770"/>
      <c r="RB812" s="770"/>
      <c r="RC812" s="770"/>
      <c r="RD812" s="770"/>
      <c r="RE812" s="770"/>
      <c r="RF812" s="304"/>
      <c r="RG812" s="770"/>
      <c r="RH812" s="306"/>
      <c r="RI812" s="770"/>
      <c r="RJ812" s="94" t="s">
        <v>14032</v>
      </c>
      <c r="RK812" s="770" t="s">
        <v>13556</v>
      </c>
      <c r="RL812" s="1710">
        <v>42852</v>
      </c>
      <c r="RM812" s="12"/>
      <c r="RN812" s="1711"/>
      <c r="RO812" s="149" t="s">
        <v>3270</v>
      </c>
      <c r="RP812" s="11"/>
      <c r="RQ812" s="11"/>
      <c r="RR812" s="311" t="s">
        <v>12452</v>
      </c>
      <c r="RS812" s="1139" t="s">
        <v>12980</v>
      </c>
      <c r="RT812" s="11"/>
      <c r="RU812" s="11"/>
      <c r="RV812" s="6" t="s">
        <v>14030</v>
      </c>
      <c r="RW812" s="11" t="s">
        <v>7485</v>
      </c>
      <c r="RX812" s="11" t="s">
        <v>3260</v>
      </c>
      <c r="RY812" s="11"/>
      <c r="RZ812" s="11"/>
      <c r="SA812" s="6"/>
      <c r="SB812" s="11"/>
      <c r="SC812" s="11"/>
    </row>
    <row r="813" spans="1:497" ht="12.75" customHeight="1">
      <c r="A813" s="343" t="s">
        <v>7421</v>
      </c>
      <c r="B813" s="292" t="s">
        <v>7488</v>
      </c>
      <c r="C813" s="149" t="s">
        <v>3277</v>
      </c>
      <c r="D813" s="94" t="s">
        <v>4827</v>
      </c>
      <c r="E813" s="766" t="s">
        <v>5305</v>
      </c>
      <c r="F813" s="770" t="s">
        <v>28</v>
      </c>
      <c r="G813" s="770" t="s">
        <v>10</v>
      </c>
      <c r="H813" s="295" t="s">
        <v>3286</v>
      </c>
      <c r="I813" s="12"/>
      <c r="J813" s="94" t="s">
        <v>4827</v>
      </c>
      <c r="K813" s="766" t="s">
        <v>4829</v>
      </c>
      <c r="L813" s="766" t="s">
        <v>2777</v>
      </c>
      <c r="M813" s="770" t="s">
        <v>1238</v>
      </c>
      <c r="N813" s="1757"/>
      <c r="O813" s="1757" t="s">
        <v>4830</v>
      </c>
      <c r="P813" s="770" t="s">
        <v>4831</v>
      </c>
      <c r="Q813" s="1088">
        <v>21508</v>
      </c>
      <c r="R813" s="297">
        <v>50</v>
      </c>
      <c r="S813" s="770" t="s">
        <v>10</v>
      </c>
      <c r="T813" s="295" t="s">
        <v>3286</v>
      </c>
      <c r="U813" s="298"/>
      <c r="V813" s="770" t="s">
        <v>768</v>
      </c>
      <c r="W813" s="770"/>
      <c r="X813" s="770"/>
      <c r="Y813" s="770" t="s">
        <v>4828</v>
      </c>
      <c r="Z813" s="770" t="s">
        <v>708</v>
      </c>
      <c r="AA813" s="12" t="s">
        <v>709</v>
      </c>
      <c r="AB813" s="770" t="s">
        <v>710</v>
      </c>
      <c r="AC813" s="770"/>
      <c r="AD813" s="770" t="s">
        <v>711</v>
      </c>
      <c r="AE813" s="770"/>
      <c r="AF813" s="770" t="s">
        <v>712</v>
      </c>
      <c r="AG813" s="766" t="s">
        <v>1095</v>
      </c>
      <c r="AH813" s="766" t="s">
        <v>1096</v>
      </c>
      <c r="AI813" s="770" t="s">
        <v>3294</v>
      </c>
      <c r="AJ813" s="770"/>
      <c r="AK813" s="770" t="s">
        <v>1101</v>
      </c>
      <c r="AL813" s="531">
        <v>10.92</v>
      </c>
      <c r="AM813" s="780">
        <v>9.5340000000000007</v>
      </c>
      <c r="AN813" s="532">
        <f t="shared" ref="AN813:AN828" si="259">AM813/AL813</f>
        <v>0.87307692307692319</v>
      </c>
      <c r="AO813" s="766" t="s">
        <v>1105</v>
      </c>
      <c r="AP813" s="766"/>
      <c r="AQ813" s="766"/>
      <c r="AR813" s="766"/>
      <c r="AS813" s="770" t="s">
        <v>1207</v>
      </c>
      <c r="AT813" s="770"/>
      <c r="AU813" s="770"/>
      <c r="AV813" s="770"/>
      <c r="AW813" s="770"/>
      <c r="AX813" s="770"/>
      <c r="AY813" s="770"/>
      <c r="AZ813" s="770" t="s">
        <v>1208</v>
      </c>
      <c r="BA813" s="770"/>
      <c r="BB813" s="770" t="s">
        <v>4832</v>
      </c>
      <c r="BC813" s="770"/>
      <c r="BD813" s="770" t="s">
        <v>1207</v>
      </c>
      <c r="BE813" s="770" t="s">
        <v>1207</v>
      </c>
      <c r="BF813" s="302">
        <v>5000</v>
      </c>
      <c r="BG813" s="302">
        <f>BF813*12</f>
        <v>60000</v>
      </c>
      <c r="BH813" s="770"/>
      <c r="BI813" s="770"/>
      <c r="BJ813" s="770"/>
      <c r="BK813" s="766" t="s">
        <v>1095</v>
      </c>
      <c r="BL813" s="766" t="s">
        <v>4833</v>
      </c>
      <c r="BM813" s="766" t="s">
        <v>1096</v>
      </c>
      <c r="BN813" s="766" t="s">
        <v>1230</v>
      </c>
      <c r="BO813" s="766" t="s">
        <v>1239</v>
      </c>
      <c r="BP813" s="765">
        <v>21.84</v>
      </c>
      <c r="BQ813" s="773">
        <v>19.068000000000001</v>
      </c>
      <c r="BR813" s="774">
        <f>BQ813/BP813</f>
        <v>0.87307692307692319</v>
      </c>
      <c r="BS813" s="766" t="s">
        <v>1105</v>
      </c>
      <c r="BT813" s="766" t="s">
        <v>8133</v>
      </c>
      <c r="BU813" s="770" t="s">
        <v>1249</v>
      </c>
      <c r="BV813" s="770" t="s">
        <v>1247</v>
      </c>
      <c r="BW813" s="770">
        <v>1980</v>
      </c>
      <c r="BX813" s="302"/>
      <c r="BY813" s="770" t="s">
        <v>1214</v>
      </c>
      <c r="BZ813" s="302"/>
      <c r="CA813" s="770" t="s">
        <v>4834</v>
      </c>
      <c r="CB813" s="770" t="s">
        <v>1207</v>
      </c>
      <c r="CC813" s="770"/>
      <c r="CD813" s="770"/>
      <c r="CE813" s="302"/>
      <c r="CF813" s="304"/>
      <c r="CG813" s="321"/>
      <c r="CH813" s="770"/>
      <c r="CI813" s="770"/>
      <c r="CJ813" s="770"/>
      <c r="CK813" s="770"/>
      <c r="CL813" s="770"/>
      <c r="CM813" s="770"/>
      <c r="CN813" s="770"/>
      <c r="CO813" s="770"/>
      <c r="CP813" s="770"/>
      <c r="CQ813" s="770"/>
      <c r="CR813" s="302"/>
      <c r="CS813" s="770"/>
      <c r="CT813" s="770"/>
      <c r="CU813" s="305"/>
      <c r="CV813" s="770"/>
      <c r="CW813" s="770"/>
      <c r="CX813" s="770"/>
      <c r="CY813" s="770"/>
      <c r="CZ813" s="770"/>
      <c r="DA813" s="306"/>
      <c r="DB813" s="770"/>
      <c r="DC813" s="770"/>
      <c r="DD813" s="770"/>
      <c r="DE813" s="300"/>
      <c r="DF813" s="770"/>
      <c r="DG813" s="770"/>
      <c r="DH813" s="770"/>
      <c r="DI813" s="770"/>
      <c r="DJ813" s="770"/>
      <c r="DK813" s="770"/>
      <c r="DL813" s="770"/>
      <c r="DM813" s="770"/>
      <c r="DN813" s="322"/>
      <c r="DO813" s="770"/>
      <c r="DP813" s="770"/>
      <c r="DQ813" s="770"/>
      <c r="DR813" s="770"/>
      <c r="DS813" s="307"/>
      <c r="DT813" s="770"/>
      <c r="DU813" s="770"/>
      <c r="DV813" s="770"/>
      <c r="DW813" s="306"/>
      <c r="DX813" s="306"/>
      <c r="DY813" s="1055"/>
      <c r="DZ813" s="770"/>
      <c r="EA813" s="770"/>
      <c r="EB813" s="770"/>
      <c r="EC813" s="770"/>
      <c r="ED813" s="770"/>
      <c r="EE813" s="770"/>
      <c r="EF813" s="770"/>
      <c r="EG813" s="770"/>
      <c r="EH813" s="770"/>
      <c r="EI813" s="770"/>
      <c r="EJ813" s="770"/>
      <c r="EK813" s="770"/>
      <c r="EL813" s="770"/>
      <c r="EM813" s="770"/>
      <c r="EN813" s="770"/>
      <c r="EO813" s="770"/>
      <c r="EP813" s="94"/>
      <c r="EQ813" s="770"/>
      <c r="ER813" s="770"/>
      <c r="ES813" s="770"/>
      <c r="ET813" s="770"/>
      <c r="EU813" s="770"/>
      <c r="EV813" s="770"/>
      <c r="EW813" s="770"/>
      <c r="EX813" s="770"/>
      <c r="EY813" s="770"/>
      <c r="EZ813" s="770" t="s">
        <v>4833</v>
      </c>
      <c r="FA813" s="770" t="s">
        <v>3099</v>
      </c>
      <c r="FB813" s="770" t="s">
        <v>1257</v>
      </c>
      <c r="FC813" s="770"/>
      <c r="FD813" s="302"/>
      <c r="FE813" s="770" t="s">
        <v>4835</v>
      </c>
      <c r="FF813" s="770" t="s">
        <v>4836</v>
      </c>
      <c r="FG813" s="770" t="s">
        <v>4837</v>
      </c>
      <c r="FH813" s="770" t="s">
        <v>478</v>
      </c>
      <c r="FI813" s="770">
        <v>1</v>
      </c>
      <c r="FJ813" s="770"/>
      <c r="FK813" s="770"/>
      <c r="FL813" s="770"/>
      <c r="FM813" s="302"/>
      <c r="FN813" s="302"/>
      <c r="FO813" s="302"/>
      <c r="FP813" s="770" t="s">
        <v>1602</v>
      </c>
      <c r="FQ813" s="770" t="s">
        <v>1660</v>
      </c>
      <c r="FR813" s="770" t="s">
        <v>1207</v>
      </c>
      <c r="FS813" s="770"/>
      <c r="FT813" s="770" t="s">
        <v>1208</v>
      </c>
      <c r="FU813" s="770"/>
      <c r="FV813" s="770"/>
      <c r="FW813" s="770"/>
      <c r="FX813" s="770"/>
      <c r="FY813" s="770"/>
      <c r="FZ813" s="770"/>
      <c r="GA813" s="770"/>
      <c r="GB813" s="770" t="s">
        <v>2208</v>
      </c>
      <c r="GC813" s="308"/>
      <c r="GD813" s="297">
        <v>1980</v>
      </c>
      <c r="GE813" s="770" t="s">
        <v>1207</v>
      </c>
      <c r="GF813" s="302"/>
      <c r="GG813" s="302"/>
      <c r="GH813" s="766"/>
      <c r="GI813" s="770"/>
      <c r="GJ813" s="770"/>
      <c r="GK813" s="770"/>
      <c r="GL813" s="770"/>
      <c r="GM813" s="770"/>
      <c r="GN813" s="299"/>
      <c r="GO813" s="770"/>
      <c r="GP813" s="770"/>
      <c r="GQ813" s="770"/>
      <c r="GR813" s="770"/>
      <c r="GS813" s="770"/>
      <c r="GT813" s="770"/>
      <c r="GU813" s="770"/>
      <c r="GV813" s="770"/>
      <c r="GW813" s="770"/>
      <c r="GX813" s="770"/>
      <c r="GY813" s="770"/>
      <c r="GZ813" s="770"/>
      <c r="HA813" s="770"/>
      <c r="HB813" s="770"/>
      <c r="HC813" s="770"/>
      <c r="HD813" s="770"/>
      <c r="HE813" s="770"/>
      <c r="HF813" s="770"/>
      <c r="HG813" s="770"/>
      <c r="HH813" s="770"/>
      <c r="HI813" s="770"/>
      <c r="HJ813" s="770"/>
      <c r="HK813" s="770"/>
      <c r="HL813" s="770"/>
      <c r="HM813" s="770"/>
      <c r="HN813" s="770"/>
      <c r="HO813" s="770"/>
      <c r="HP813" s="770"/>
      <c r="HQ813" s="770"/>
      <c r="HR813" s="770"/>
      <c r="HS813" s="770"/>
      <c r="HT813" s="770"/>
      <c r="HU813" s="770"/>
      <c r="HV813" s="770"/>
      <c r="HW813" s="770"/>
      <c r="HX813" s="770"/>
      <c r="HY813" s="770"/>
      <c r="HZ813" s="770"/>
      <c r="IA813" s="770"/>
      <c r="IB813" s="770"/>
      <c r="IC813" s="770"/>
      <c r="ID813" s="770"/>
      <c r="IE813" s="770"/>
      <c r="IF813" s="770" t="s">
        <v>4827</v>
      </c>
      <c r="IG813" s="770" t="s">
        <v>10</v>
      </c>
      <c r="IH813" s="770" t="s">
        <v>478</v>
      </c>
      <c r="II813" s="770" t="s">
        <v>4828</v>
      </c>
      <c r="IJ813" s="766" t="s">
        <v>1604</v>
      </c>
      <c r="IK813" s="766" t="s">
        <v>1888</v>
      </c>
      <c r="IL813" s="770" t="s">
        <v>4838</v>
      </c>
      <c r="IM813" s="770">
        <v>1980</v>
      </c>
      <c r="IN813" s="770" t="s">
        <v>4838</v>
      </c>
      <c r="IO813" s="296">
        <v>21508</v>
      </c>
      <c r="IP813" s="770" t="s">
        <v>478</v>
      </c>
      <c r="IQ813" s="13" t="s">
        <v>8144</v>
      </c>
      <c r="IR813" s="770" t="s">
        <v>2716</v>
      </c>
      <c r="IS813" s="770" t="s">
        <v>1883</v>
      </c>
      <c r="IT813" s="770"/>
      <c r="IU813" s="770" t="s">
        <v>1208</v>
      </c>
      <c r="IV813" s="770"/>
      <c r="IW813" s="770"/>
      <c r="IX813" s="770" t="s">
        <v>3286</v>
      </c>
      <c r="IY813" s="770"/>
      <c r="IZ813" s="770"/>
      <c r="JA813" s="770" t="s">
        <v>1880</v>
      </c>
      <c r="JB813" s="770" t="s">
        <v>1901</v>
      </c>
      <c r="JC813" s="770"/>
      <c r="JD813" s="302">
        <v>2000</v>
      </c>
      <c r="JE813" s="770"/>
      <c r="JF813" s="770"/>
      <c r="JG813" s="770"/>
      <c r="JH813" s="307"/>
      <c r="JI813" s="307"/>
      <c r="JJ813" s="770">
        <v>11</v>
      </c>
      <c r="JK813" s="770" t="s">
        <v>3285</v>
      </c>
      <c r="JL813" s="770"/>
      <c r="JM813" s="770"/>
      <c r="JN813" s="770"/>
      <c r="JO813" s="770">
        <v>6</v>
      </c>
      <c r="JP813" s="770">
        <v>5</v>
      </c>
      <c r="JQ813" s="770"/>
      <c r="JR813" s="770"/>
      <c r="JS813" s="770"/>
      <c r="JT813" s="766">
        <f>SUM(JP813,JN813,JL813,JR813)</f>
        <v>5</v>
      </c>
      <c r="JU813" s="766">
        <f>SUM(JQ813,JO813,JM813,JS813)</f>
        <v>6</v>
      </c>
      <c r="JV813" s="766"/>
      <c r="JW813" s="766"/>
      <c r="JX813" s="770"/>
      <c r="JY813" s="770"/>
      <c r="JZ813" s="770"/>
      <c r="KA813" s="770"/>
      <c r="KB813" s="770"/>
      <c r="KC813" s="770"/>
      <c r="KD813" s="770">
        <v>4</v>
      </c>
      <c r="KE813" s="770">
        <v>4</v>
      </c>
      <c r="KF813" s="770">
        <v>1</v>
      </c>
      <c r="KG813" s="770">
        <v>2</v>
      </c>
      <c r="KH813" s="770"/>
      <c r="KI813" s="770"/>
      <c r="KJ813" s="770">
        <f t="shared" si="249"/>
        <v>5</v>
      </c>
      <c r="KK813" s="770">
        <f t="shared" si="249"/>
        <v>6</v>
      </c>
      <c r="KL813" s="770"/>
      <c r="KM813" s="770"/>
      <c r="KN813" s="770" t="s">
        <v>722</v>
      </c>
      <c r="KO813" s="770"/>
      <c r="KP813" s="770"/>
      <c r="KQ813" s="770"/>
      <c r="KR813" s="770"/>
      <c r="KS813" s="770"/>
      <c r="KT813" s="770"/>
      <c r="KU813" s="770">
        <v>1</v>
      </c>
      <c r="KV813" s="770"/>
      <c r="KW813" s="770">
        <v>1</v>
      </c>
      <c r="KX813" s="770">
        <v>1</v>
      </c>
      <c r="KY813" s="770">
        <v>1</v>
      </c>
      <c r="KZ813" s="770">
        <v>3</v>
      </c>
      <c r="LA813" s="770">
        <v>1</v>
      </c>
      <c r="LB813" s="770">
        <v>1</v>
      </c>
      <c r="LC813" s="770">
        <v>1</v>
      </c>
      <c r="LD813" s="770"/>
      <c r="LE813" s="770">
        <v>1</v>
      </c>
      <c r="LF813" s="770"/>
      <c r="LG813" s="770"/>
      <c r="LH813" s="770"/>
      <c r="LI813" s="770"/>
      <c r="LJ813" s="770"/>
      <c r="LK813" s="770"/>
      <c r="LL813" s="770"/>
      <c r="LM813" s="770"/>
      <c r="LN813" s="766">
        <f>SUM(KP813,KR813,KT813,KV813,KX813,KZ813,LB813,LD813,LF813,LH813,LJ813,LL813)</f>
        <v>5</v>
      </c>
      <c r="LO813" s="766">
        <f>SUM(KQ813,KS813,KU813,KW813,KY813,LA813,LC813,LE813,LG813,LI813,LK813,LM813)</f>
        <v>6</v>
      </c>
      <c r="LP813" s="770">
        <v>2</v>
      </c>
      <c r="LQ813" s="770">
        <v>2</v>
      </c>
      <c r="LR813" s="770"/>
      <c r="LS813" s="770"/>
      <c r="LT813" s="770"/>
      <c r="LU813" s="770">
        <v>1</v>
      </c>
      <c r="LV813" s="770">
        <v>1</v>
      </c>
      <c r="LW813" s="770"/>
      <c r="LX813" s="769">
        <v>1</v>
      </c>
      <c r="LY813" s="766" t="str">
        <f t="shared" si="258"/>
        <v>within the BRGY</v>
      </c>
      <c r="LZ813" s="1709">
        <v>1500</v>
      </c>
      <c r="MA813" s="1709"/>
      <c r="MB813" s="1709"/>
      <c r="MC813" s="1679">
        <f t="shared" si="256"/>
        <v>1500</v>
      </c>
      <c r="MD813" s="1709">
        <f>12000+6000</f>
        <v>18000</v>
      </c>
      <c r="ME813" s="1709"/>
      <c r="MF813" s="1709"/>
      <c r="MG813" s="1680">
        <f t="shared" ref="MG813:MG819" si="260">SUM(MD813:MF813)</f>
        <v>18000</v>
      </c>
      <c r="MH813" s="770" t="s">
        <v>14033</v>
      </c>
      <c r="MI813" s="302">
        <v>9000</v>
      </c>
      <c r="MJ813" s="302">
        <v>1500</v>
      </c>
      <c r="MK813" s="302">
        <f>1000/12</f>
        <v>83.333333333333329</v>
      </c>
      <c r="ML813" s="302">
        <v>10000</v>
      </c>
      <c r="MM813" s="302"/>
      <c r="MN813" s="302">
        <v>6000</v>
      </c>
      <c r="MO813" s="302">
        <v>1500</v>
      </c>
      <c r="MP813" s="302">
        <v>1400</v>
      </c>
      <c r="MQ813" s="302">
        <v>600</v>
      </c>
      <c r="MR813" s="302">
        <v>200</v>
      </c>
      <c r="MS813" s="302">
        <v>2000</v>
      </c>
      <c r="MT813" s="302"/>
      <c r="MU813" s="302"/>
      <c r="MV813" s="302"/>
      <c r="MW813" s="302"/>
      <c r="MX813" s="302"/>
      <c r="MY813" s="1682">
        <f t="shared" si="243"/>
        <v>32283.333333333336</v>
      </c>
      <c r="MZ813" s="770" t="s">
        <v>13370</v>
      </c>
      <c r="NA813" s="770" t="s">
        <v>13005</v>
      </c>
      <c r="NB813" s="770" t="s">
        <v>13092</v>
      </c>
      <c r="NC813" s="770" t="s">
        <v>13965</v>
      </c>
      <c r="ND813" s="770">
        <v>0</v>
      </c>
      <c r="NE813" s="770">
        <v>0</v>
      </c>
      <c r="NF813" s="770">
        <v>0</v>
      </c>
      <c r="NG813" s="770">
        <v>5</v>
      </c>
      <c r="NH813" s="770">
        <v>1</v>
      </c>
      <c r="NI813" s="770">
        <v>1</v>
      </c>
      <c r="NJ813" s="770">
        <v>0</v>
      </c>
      <c r="NK813" s="770">
        <v>0</v>
      </c>
      <c r="NL813" s="770">
        <v>0</v>
      </c>
      <c r="NM813" s="770">
        <v>1</v>
      </c>
      <c r="NN813" s="770">
        <v>0</v>
      </c>
      <c r="NO813" s="770">
        <v>0</v>
      </c>
      <c r="NP813" s="770">
        <v>0</v>
      </c>
      <c r="NQ813" s="770">
        <v>0</v>
      </c>
      <c r="NR813" s="770">
        <v>0</v>
      </c>
      <c r="NS813" s="770">
        <v>0</v>
      </c>
      <c r="NT813" s="770">
        <v>0</v>
      </c>
      <c r="NU813" s="770">
        <v>0</v>
      </c>
      <c r="NV813" s="770">
        <v>0</v>
      </c>
      <c r="NW813" s="770">
        <v>0</v>
      </c>
      <c r="NX813" s="770">
        <v>0</v>
      </c>
      <c r="NY813" s="770" t="s">
        <v>1208</v>
      </c>
      <c r="NZ813" s="770"/>
      <c r="OA813" s="770"/>
      <c r="OB813" s="770" t="s">
        <v>1208</v>
      </c>
      <c r="OC813" s="770" t="s">
        <v>1208</v>
      </c>
      <c r="OD813" s="770" t="s">
        <v>1208</v>
      </c>
      <c r="OE813" s="770"/>
      <c r="OF813" s="770" t="s">
        <v>2143</v>
      </c>
      <c r="OG813" s="770"/>
      <c r="OH813" s="770"/>
      <c r="OI813" s="770"/>
      <c r="OJ813" s="770"/>
      <c r="OK813" s="770"/>
      <c r="OL813" s="770"/>
      <c r="OM813" s="770"/>
      <c r="ON813" s="770"/>
      <c r="OO813" s="770"/>
      <c r="OP813" s="770"/>
      <c r="OQ813" s="770"/>
      <c r="OR813" s="770"/>
      <c r="OS813" s="770"/>
      <c r="OT813" s="770"/>
      <c r="OU813" s="770"/>
      <c r="OV813" s="770"/>
      <c r="OW813" s="770"/>
      <c r="OX813" s="770"/>
      <c r="OY813" s="770"/>
      <c r="OZ813" s="770"/>
      <c r="PA813" s="770"/>
      <c r="PB813" s="770"/>
      <c r="PC813" s="770"/>
      <c r="PD813" s="770"/>
      <c r="PE813" s="770"/>
      <c r="PF813" s="770"/>
      <c r="PG813" s="770"/>
      <c r="PH813" s="770"/>
      <c r="PI813" s="770"/>
      <c r="PJ813" s="770"/>
      <c r="PK813" s="770"/>
      <c r="PL813" s="770"/>
      <c r="PM813" s="770"/>
      <c r="PN813" s="770"/>
      <c r="PO813" s="770"/>
      <c r="PP813" s="770"/>
      <c r="PQ813" s="770"/>
      <c r="PR813" s="770"/>
      <c r="PS813" s="770"/>
      <c r="PT813" s="770" t="s">
        <v>1208</v>
      </c>
      <c r="PU813" s="770"/>
      <c r="PV813" s="770"/>
      <c r="PW813" s="770"/>
      <c r="PX813" s="770"/>
      <c r="PY813" s="770"/>
      <c r="PZ813" s="770"/>
      <c r="QA813" s="770"/>
      <c r="QB813" s="770"/>
      <c r="QC813" s="770"/>
      <c r="QD813" s="770" t="s">
        <v>1208</v>
      </c>
      <c r="QE813" s="770"/>
      <c r="QF813" s="770"/>
      <c r="QG813" s="770"/>
      <c r="QH813" s="770"/>
      <c r="QI813" s="770"/>
      <c r="QJ813" s="770"/>
      <c r="QK813" s="770"/>
      <c r="QL813" s="770"/>
      <c r="QM813" s="770"/>
      <c r="QN813" s="770"/>
      <c r="QO813" s="770"/>
      <c r="QP813" s="770"/>
      <c r="QQ813" s="770"/>
      <c r="QR813" s="770"/>
      <c r="QS813" s="770"/>
      <c r="QT813" s="770"/>
      <c r="QU813" s="770"/>
      <c r="QV813" s="770"/>
      <c r="QW813" s="770"/>
      <c r="QX813" s="770"/>
      <c r="QY813" s="770"/>
      <c r="QZ813" s="770"/>
      <c r="RA813" s="770"/>
      <c r="RB813" s="770" t="s">
        <v>1207</v>
      </c>
      <c r="RC813" s="770">
        <v>2015</v>
      </c>
      <c r="RD813" s="770" t="s">
        <v>14034</v>
      </c>
      <c r="RE813" s="770" t="s">
        <v>12999</v>
      </c>
      <c r="RF813" s="304">
        <v>0.5</v>
      </c>
      <c r="RG813" s="770" t="s">
        <v>13474</v>
      </c>
      <c r="RH813" s="306">
        <v>10000</v>
      </c>
      <c r="RI813" s="770">
        <v>24</v>
      </c>
      <c r="RJ813" s="94" t="s">
        <v>4838</v>
      </c>
      <c r="RK813" s="770" t="s">
        <v>13544</v>
      </c>
      <c r="RL813" s="1710" t="s">
        <v>1604</v>
      </c>
      <c r="RM813" s="12"/>
      <c r="RN813" s="1711"/>
      <c r="RO813" s="149" t="s">
        <v>3277</v>
      </c>
      <c r="RP813" s="11"/>
      <c r="RQ813" s="11"/>
      <c r="RR813" s="17"/>
      <c r="RS813" s="767"/>
      <c r="RT813" s="11"/>
      <c r="RU813" s="11"/>
      <c r="RV813" s="771" t="s">
        <v>7421</v>
      </c>
      <c r="RW813" s="11" t="s">
        <v>7486</v>
      </c>
      <c r="RX813" s="11" t="s">
        <v>3270</v>
      </c>
      <c r="RY813" s="11"/>
      <c r="RZ813" s="11" t="s">
        <v>2209</v>
      </c>
      <c r="SA813" s="771"/>
      <c r="SB813" s="11"/>
      <c r="SC813" s="11"/>
    </row>
    <row r="814" spans="1:497" ht="12.75" customHeight="1">
      <c r="A814" s="343" t="s">
        <v>14254</v>
      </c>
      <c r="B814" s="292" t="s">
        <v>7489</v>
      </c>
      <c r="C814" s="149" t="s">
        <v>3277</v>
      </c>
      <c r="D814" s="94" t="s">
        <v>3278</v>
      </c>
      <c r="E814" s="766" t="s">
        <v>5304</v>
      </c>
      <c r="F814" s="770" t="s">
        <v>20</v>
      </c>
      <c r="G814" s="770" t="s">
        <v>18</v>
      </c>
      <c r="H814" s="12"/>
      <c r="I814" s="295" t="s">
        <v>3280</v>
      </c>
      <c r="J814" s="94" t="s">
        <v>3283</v>
      </c>
      <c r="K814" s="770"/>
      <c r="L814" s="770"/>
      <c r="M814" s="770"/>
      <c r="N814" s="1757"/>
      <c r="O814" s="1757"/>
      <c r="P814" s="770" t="s">
        <v>3281</v>
      </c>
      <c r="Q814" s="1088">
        <v>29716</v>
      </c>
      <c r="R814" s="297">
        <v>35</v>
      </c>
      <c r="S814" s="770" t="s">
        <v>10</v>
      </c>
      <c r="T814" s="770"/>
      <c r="U814" s="298" t="s">
        <v>3284</v>
      </c>
      <c r="V814" s="770" t="s">
        <v>722</v>
      </c>
      <c r="W814" s="770" t="s">
        <v>11659</v>
      </c>
      <c r="X814" s="770"/>
      <c r="Y814" s="770" t="s">
        <v>3279</v>
      </c>
      <c r="Z814" s="770" t="s">
        <v>708</v>
      </c>
      <c r="AA814" s="770" t="s">
        <v>709</v>
      </c>
      <c r="AB814" s="766" t="s">
        <v>7274</v>
      </c>
      <c r="AC814" s="770"/>
      <c r="AD814" s="770" t="s">
        <v>711</v>
      </c>
      <c r="AE814" s="770"/>
      <c r="AF814" s="770" t="s">
        <v>712</v>
      </c>
      <c r="AG814" s="770"/>
      <c r="AH814" s="770"/>
      <c r="AI814" s="770"/>
      <c r="AJ814" s="770"/>
      <c r="AK814" s="770" t="s">
        <v>1101</v>
      </c>
      <c r="AL814" s="531"/>
      <c r="AM814" s="780"/>
      <c r="AN814" s="532"/>
      <c r="AO814" s="766"/>
      <c r="AP814" s="766"/>
      <c r="AQ814" s="766"/>
      <c r="AR814" s="766"/>
      <c r="AS814" s="770"/>
      <c r="AT814" s="770"/>
      <c r="AU814" s="770"/>
      <c r="AV814" s="770"/>
      <c r="AW814" s="770"/>
      <c r="AX814" s="770"/>
      <c r="AY814" s="770"/>
      <c r="AZ814" s="770"/>
      <c r="BA814" s="770"/>
      <c r="BB814" s="770"/>
      <c r="BC814" s="770"/>
      <c r="BD814" s="770"/>
      <c r="BE814" s="770"/>
      <c r="BF814" s="302"/>
      <c r="BG814" s="302"/>
      <c r="BH814" s="770"/>
      <c r="BI814" s="770"/>
      <c r="BJ814" s="770"/>
      <c r="BK814" s="766"/>
      <c r="BL814" s="766"/>
      <c r="BM814" s="766" t="s">
        <v>1238</v>
      </c>
      <c r="BN814" s="766" t="s">
        <v>1256</v>
      </c>
      <c r="BO814" s="766"/>
      <c r="BP814" s="765"/>
      <c r="BQ814" s="773"/>
      <c r="BR814" s="774"/>
      <c r="BS814" s="766" t="s">
        <v>1105</v>
      </c>
      <c r="BT814" s="770"/>
      <c r="BU814" s="770"/>
      <c r="BV814" s="770"/>
      <c r="BW814" s="770"/>
      <c r="BX814" s="302"/>
      <c r="BY814" s="770"/>
      <c r="BZ814" s="302"/>
      <c r="CA814" s="770"/>
      <c r="CB814" s="770"/>
      <c r="CC814" s="770"/>
      <c r="CD814" s="770"/>
      <c r="CE814" s="302"/>
      <c r="CF814" s="304"/>
      <c r="CG814" s="321"/>
      <c r="CH814" s="770"/>
      <c r="CI814" s="770"/>
      <c r="CJ814" s="770"/>
      <c r="CK814" s="770"/>
      <c r="CL814" s="770"/>
      <c r="CM814" s="770"/>
      <c r="CN814" s="770"/>
      <c r="CO814" s="770"/>
      <c r="CP814" s="770"/>
      <c r="CQ814" s="770"/>
      <c r="CR814" s="302"/>
      <c r="CS814" s="770"/>
      <c r="CT814" s="770"/>
      <c r="CU814" s="305"/>
      <c r="CV814" s="770"/>
      <c r="CW814" s="770"/>
      <c r="CX814" s="770"/>
      <c r="CY814" s="770"/>
      <c r="CZ814" s="770"/>
      <c r="DA814" s="306"/>
      <c r="DB814" s="770"/>
      <c r="DC814" s="770"/>
      <c r="DD814" s="770"/>
      <c r="DE814" s="300"/>
      <c r="DF814" s="770"/>
      <c r="DG814" s="770"/>
      <c r="DH814" s="770"/>
      <c r="DI814" s="770"/>
      <c r="DJ814" s="770"/>
      <c r="DK814" s="770"/>
      <c r="DL814" s="770"/>
      <c r="DM814" s="770"/>
      <c r="DN814" s="322"/>
      <c r="DO814" s="770"/>
      <c r="DP814" s="770"/>
      <c r="DQ814" s="770"/>
      <c r="DR814" s="770"/>
      <c r="DS814" s="307"/>
      <c r="DT814" s="770"/>
      <c r="DU814" s="770"/>
      <c r="DV814" s="770"/>
      <c r="DW814" s="306"/>
      <c r="DX814" s="306"/>
      <c r="DY814" s="1055"/>
      <c r="DZ814" s="770"/>
      <c r="EA814" s="770"/>
      <c r="EB814" s="770"/>
      <c r="EC814" s="770"/>
      <c r="ED814" s="770"/>
      <c r="EE814" s="770"/>
      <c r="EF814" s="770"/>
      <c r="EG814" s="770"/>
      <c r="EH814" s="770"/>
      <c r="EI814" s="770"/>
      <c r="EJ814" s="770"/>
      <c r="EK814" s="770"/>
      <c r="EL814" s="770"/>
      <c r="EM814" s="770"/>
      <c r="EN814" s="770"/>
      <c r="EO814" s="770"/>
      <c r="EP814" s="94"/>
      <c r="EQ814" s="770"/>
      <c r="ER814" s="770"/>
      <c r="ES814" s="770"/>
      <c r="ET814" s="770"/>
      <c r="EU814" s="770"/>
      <c r="EV814" s="770"/>
      <c r="EW814" s="770"/>
      <c r="EX814" s="770"/>
      <c r="EY814" s="770"/>
      <c r="EZ814" s="770"/>
      <c r="FA814" s="770"/>
      <c r="FB814" s="770"/>
      <c r="FC814" s="770"/>
      <c r="FD814" s="302"/>
      <c r="FE814" s="770"/>
      <c r="FF814" s="770"/>
      <c r="FG814" s="770"/>
      <c r="FH814" s="770" t="s">
        <v>1306</v>
      </c>
      <c r="FI814" s="770">
        <v>1</v>
      </c>
      <c r="FJ814" s="770" t="s">
        <v>3285</v>
      </c>
      <c r="FK814" s="770" t="s">
        <v>3286</v>
      </c>
      <c r="FL814" s="770" t="s">
        <v>3287</v>
      </c>
      <c r="FM814" s="147">
        <v>2500</v>
      </c>
      <c r="FN814" s="302">
        <v>250</v>
      </c>
      <c r="FO814" s="302">
        <v>1200</v>
      </c>
      <c r="FP814" s="770"/>
      <c r="FQ814" s="770"/>
      <c r="FR814" s="770"/>
      <c r="FS814" s="770"/>
      <c r="FT814" s="770"/>
      <c r="FU814" s="770"/>
      <c r="FV814" s="770"/>
      <c r="FW814" s="770"/>
      <c r="FX814" s="770"/>
      <c r="FY814" s="770"/>
      <c r="FZ814" s="770"/>
      <c r="GA814" s="770"/>
      <c r="GB814" s="770"/>
      <c r="GC814" s="308"/>
      <c r="GD814" s="297"/>
      <c r="GE814" s="770"/>
      <c r="GF814" s="302"/>
      <c r="GG814" s="302"/>
      <c r="GH814" s="770"/>
      <c r="GI814" s="770"/>
      <c r="GJ814" s="770"/>
      <c r="GK814" s="770"/>
      <c r="GL814" s="770"/>
      <c r="GM814" s="770"/>
      <c r="GN814" s="299"/>
      <c r="GO814" s="770"/>
      <c r="GP814" s="770"/>
      <c r="GQ814" s="770"/>
      <c r="GR814" s="770"/>
      <c r="GS814" s="770"/>
      <c r="GT814" s="770"/>
      <c r="GU814" s="770"/>
      <c r="GV814" s="770"/>
      <c r="GW814" s="770"/>
      <c r="GX814" s="770"/>
      <c r="GY814" s="770"/>
      <c r="GZ814" s="770"/>
      <c r="HA814" s="770"/>
      <c r="HB814" s="770"/>
      <c r="HC814" s="770"/>
      <c r="HD814" s="770"/>
      <c r="HE814" s="770"/>
      <c r="HF814" s="770"/>
      <c r="HG814" s="770"/>
      <c r="HH814" s="770"/>
      <c r="HI814" s="770"/>
      <c r="HJ814" s="770"/>
      <c r="HK814" s="770"/>
      <c r="HL814" s="770"/>
      <c r="HM814" s="770"/>
      <c r="HN814" s="770"/>
      <c r="HO814" s="770"/>
      <c r="HP814" s="770"/>
      <c r="HQ814" s="770"/>
      <c r="HR814" s="770"/>
      <c r="HS814" s="770"/>
      <c r="HT814" s="770"/>
      <c r="HU814" s="770"/>
      <c r="HV814" s="770"/>
      <c r="HW814" s="770"/>
      <c r="HX814" s="770"/>
      <c r="HY814" s="770"/>
      <c r="HZ814" s="770"/>
      <c r="IA814" s="770"/>
      <c r="IB814" s="770"/>
      <c r="IC814" s="770"/>
      <c r="ID814" s="770"/>
      <c r="IE814" s="770"/>
      <c r="IF814" s="770"/>
      <c r="IG814" s="770"/>
      <c r="IH814" s="770"/>
      <c r="II814" s="770"/>
      <c r="IJ814" s="770"/>
      <c r="IK814" s="770"/>
      <c r="IL814" s="770"/>
      <c r="IM814" s="770"/>
      <c r="IN814" s="770"/>
      <c r="IO814" s="296"/>
      <c r="IP814" s="770"/>
      <c r="IQ814" s="770"/>
      <c r="IR814" s="770"/>
      <c r="IS814" s="770"/>
      <c r="IT814" s="770"/>
      <c r="IU814" s="770"/>
      <c r="IV814" s="770"/>
      <c r="IW814" s="770"/>
      <c r="IX814" s="770"/>
      <c r="IY814" s="770"/>
      <c r="IZ814" s="770"/>
      <c r="JA814" s="770"/>
      <c r="JB814" s="770"/>
      <c r="JC814" s="770"/>
      <c r="JD814" s="302"/>
      <c r="JE814" s="770"/>
      <c r="JF814" s="770"/>
      <c r="JG814" s="770"/>
      <c r="JH814" s="307"/>
      <c r="JI814" s="307"/>
      <c r="JJ814" s="770"/>
      <c r="JK814" s="770"/>
      <c r="JL814" s="770"/>
      <c r="JM814" s="770"/>
      <c r="JN814" s="770"/>
      <c r="JO814" s="770"/>
      <c r="JP814" s="770"/>
      <c r="JQ814" s="770"/>
      <c r="JR814" s="770"/>
      <c r="JS814" s="770"/>
      <c r="JT814" s="766"/>
      <c r="JU814" s="766"/>
      <c r="JV814" s="766"/>
      <c r="JW814" s="766"/>
      <c r="JX814" s="770"/>
      <c r="JY814" s="770"/>
      <c r="JZ814" s="770"/>
      <c r="KA814" s="770"/>
      <c r="KB814" s="770"/>
      <c r="KC814" s="770"/>
      <c r="KD814" s="770"/>
      <c r="KE814" s="770"/>
      <c r="KF814" s="770"/>
      <c r="KG814" s="770"/>
      <c r="KH814" s="770"/>
      <c r="KI814" s="770"/>
      <c r="KJ814" s="770"/>
      <c r="KK814" s="770"/>
      <c r="KL814" s="770"/>
      <c r="KM814" s="770"/>
      <c r="KN814" s="770"/>
      <c r="KO814" s="770"/>
      <c r="KP814" s="770"/>
      <c r="KQ814" s="770"/>
      <c r="KR814" s="770"/>
      <c r="KS814" s="770"/>
      <c r="KT814" s="770"/>
      <c r="KU814" s="770"/>
      <c r="KV814" s="770"/>
      <c r="KW814" s="770"/>
      <c r="KX814" s="770"/>
      <c r="KY814" s="770"/>
      <c r="KZ814" s="770"/>
      <c r="LA814" s="770"/>
      <c r="LB814" s="770"/>
      <c r="LC814" s="770"/>
      <c r="LD814" s="770"/>
      <c r="LE814" s="770"/>
      <c r="LF814" s="770"/>
      <c r="LG814" s="770"/>
      <c r="LH814" s="770"/>
      <c r="LI814" s="770"/>
      <c r="LJ814" s="770"/>
      <c r="LK814" s="770"/>
      <c r="LL814" s="770"/>
      <c r="LM814" s="770"/>
      <c r="LN814" s="766"/>
      <c r="LO814" s="766"/>
      <c r="LP814" s="770"/>
      <c r="LQ814" s="770"/>
      <c r="LR814" s="770"/>
      <c r="LS814" s="770"/>
      <c r="LT814" s="770"/>
      <c r="LU814" s="770"/>
      <c r="LV814" s="770"/>
      <c r="LW814" s="770"/>
      <c r="LX814" s="769"/>
      <c r="LY814" s="766" t="str">
        <f t="shared" si="258"/>
        <v/>
      </c>
      <c r="LZ814" s="1709"/>
      <c r="MA814" s="1709"/>
      <c r="MB814" s="1709"/>
      <c r="MC814" s="1679">
        <f t="shared" si="256"/>
        <v>0</v>
      </c>
      <c r="MD814" s="1709"/>
      <c r="ME814" s="1728"/>
      <c r="MF814" s="1728"/>
      <c r="MG814" s="1680">
        <f t="shared" si="260"/>
        <v>0</v>
      </c>
      <c r="MH814" s="12"/>
      <c r="MI814" s="12"/>
      <c r="MJ814" s="12"/>
      <c r="MK814" s="12"/>
      <c r="ML814" s="12"/>
      <c r="MM814" s="12"/>
      <c r="MN814" s="12"/>
      <c r="MO814" s="12"/>
      <c r="MP814" s="12"/>
      <c r="MQ814" s="12"/>
      <c r="MR814" s="12"/>
      <c r="MS814" s="12"/>
      <c r="MT814" s="12"/>
      <c r="MU814" s="12"/>
      <c r="MV814" s="12"/>
      <c r="MW814" s="12"/>
      <c r="MX814" s="12"/>
      <c r="MY814" s="1682">
        <f t="shared" si="243"/>
        <v>0</v>
      </c>
      <c r="MZ814" s="12"/>
      <c r="NA814" s="12"/>
      <c r="NB814" s="12"/>
      <c r="NC814" s="12"/>
      <c r="ND814" s="12"/>
      <c r="NE814" s="12"/>
      <c r="NF814" s="12"/>
      <c r="NG814" s="12"/>
      <c r="NH814" s="12"/>
      <c r="NI814" s="12"/>
      <c r="NJ814" s="12"/>
      <c r="NK814" s="12"/>
      <c r="NL814" s="12"/>
      <c r="NM814" s="12"/>
      <c r="NN814" s="12"/>
      <c r="NO814" s="12"/>
      <c r="NP814" s="12"/>
      <c r="NQ814" s="12"/>
      <c r="NR814" s="12"/>
      <c r="NS814" s="12"/>
      <c r="NT814" s="12"/>
      <c r="NU814" s="12"/>
      <c r="NV814" s="12"/>
      <c r="NW814" s="12"/>
      <c r="NX814" s="12"/>
      <c r="NY814" s="12"/>
      <c r="NZ814" s="12"/>
      <c r="OA814" s="12"/>
      <c r="OB814" s="12"/>
      <c r="OC814" s="12"/>
      <c r="OD814" s="12"/>
      <c r="OE814" s="12"/>
      <c r="OF814" s="12"/>
      <c r="OG814" s="12"/>
      <c r="OH814" s="12"/>
      <c r="OI814" s="12"/>
      <c r="OJ814" s="12"/>
      <c r="OK814" s="12"/>
      <c r="OL814" s="12"/>
      <c r="OM814" s="12"/>
      <c r="ON814" s="12"/>
      <c r="OO814" s="12"/>
      <c r="OP814" s="12"/>
      <c r="OQ814" s="12"/>
      <c r="OR814" s="12"/>
      <c r="OS814" s="12"/>
      <c r="OT814" s="12"/>
      <c r="OU814" s="12"/>
      <c r="OV814" s="12"/>
      <c r="OW814" s="12"/>
      <c r="OX814" s="12"/>
      <c r="OY814" s="12"/>
      <c r="OZ814" s="12"/>
      <c r="PA814" s="12"/>
      <c r="PB814" s="12"/>
      <c r="PC814" s="12"/>
      <c r="PD814" s="12"/>
      <c r="PE814" s="12"/>
      <c r="PF814" s="12"/>
      <c r="PG814" s="12"/>
      <c r="PH814" s="12"/>
      <c r="PI814" s="12"/>
      <c r="PJ814" s="12"/>
      <c r="PK814" s="12"/>
      <c r="PL814" s="12"/>
      <c r="PM814" s="12"/>
      <c r="PN814" s="12"/>
      <c r="PO814" s="12"/>
      <c r="PP814" s="12"/>
      <c r="PQ814" s="12"/>
      <c r="PR814" s="12"/>
      <c r="PS814" s="12"/>
      <c r="PT814" s="12"/>
      <c r="PU814" s="12"/>
      <c r="PV814" s="12"/>
      <c r="PW814" s="12"/>
      <c r="PX814" s="12"/>
      <c r="PY814" s="12"/>
      <c r="PZ814" s="12"/>
      <c r="QA814" s="12"/>
      <c r="QB814" s="12"/>
      <c r="QC814" s="12"/>
      <c r="QD814" s="12"/>
      <c r="QE814" s="12"/>
      <c r="QF814" s="12"/>
      <c r="QG814" s="12"/>
      <c r="QH814" s="12"/>
      <c r="QI814" s="12"/>
      <c r="QJ814" s="12"/>
      <c r="QK814" s="12"/>
      <c r="QL814" s="12"/>
      <c r="QM814" s="12"/>
      <c r="QN814" s="12"/>
      <c r="QO814" s="12"/>
      <c r="QP814" s="12"/>
      <c r="QQ814" s="12"/>
      <c r="QR814" s="12"/>
      <c r="QS814" s="12"/>
      <c r="QT814" s="12"/>
      <c r="QU814" s="12"/>
      <c r="QV814" s="12"/>
      <c r="QW814" s="12"/>
      <c r="QX814" s="12"/>
      <c r="QY814" s="12"/>
      <c r="QZ814" s="12"/>
      <c r="RA814" s="12"/>
      <c r="RB814" s="12"/>
      <c r="RC814" s="12"/>
      <c r="RD814" s="12"/>
      <c r="RE814" s="12"/>
      <c r="RF814" s="12"/>
      <c r="RG814" s="12"/>
      <c r="RH814" s="12"/>
      <c r="RI814" s="12"/>
      <c r="RJ814" s="94" t="s">
        <v>14035</v>
      </c>
      <c r="RK814" s="770" t="s">
        <v>13556</v>
      </c>
      <c r="RL814" s="1710">
        <v>42852</v>
      </c>
      <c r="RM814" s="12"/>
      <c r="RN814" s="1711"/>
      <c r="RO814" s="149" t="s">
        <v>3277</v>
      </c>
      <c r="RP814" s="11"/>
      <c r="RQ814" s="11"/>
      <c r="RR814" s="17"/>
      <c r="RS814" s="767"/>
      <c r="RT814" s="11"/>
      <c r="RU814" s="11"/>
      <c r="RV814" s="771" t="s">
        <v>12452</v>
      </c>
      <c r="RW814" s="11" t="s">
        <v>7487</v>
      </c>
      <c r="RX814" s="11" t="s">
        <v>3270</v>
      </c>
      <c r="RY814" s="11"/>
      <c r="RZ814" s="11"/>
      <c r="SA814" s="771"/>
      <c r="SB814" s="11"/>
      <c r="SC814" s="11"/>
    </row>
    <row r="815" spans="1:497" ht="12.75" customHeight="1">
      <c r="A815" s="343" t="s">
        <v>7421</v>
      </c>
      <c r="B815" s="292" t="s">
        <v>8034</v>
      </c>
      <c r="C815" s="149" t="s">
        <v>5229</v>
      </c>
      <c r="D815" s="94" t="s">
        <v>5230</v>
      </c>
      <c r="E815" s="766" t="s">
        <v>5303</v>
      </c>
      <c r="F815" s="770" t="s">
        <v>28</v>
      </c>
      <c r="G815" s="770" t="s">
        <v>18</v>
      </c>
      <c r="H815" s="295" t="s">
        <v>5231</v>
      </c>
      <c r="I815" s="12"/>
      <c r="J815" s="94" t="s">
        <v>5232</v>
      </c>
      <c r="K815" s="766" t="s">
        <v>5086</v>
      </c>
      <c r="L815" s="766" t="s">
        <v>2721</v>
      </c>
      <c r="M815" s="770" t="s">
        <v>1238</v>
      </c>
      <c r="N815" s="1757"/>
      <c r="O815" s="1757" t="s">
        <v>4830</v>
      </c>
      <c r="P815" s="770" t="s">
        <v>5232</v>
      </c>
      <c r="Q815" s="1088">
        <v>13839</v>
      </c>
      <c r="R815" s="297">
        <v>79</v>
      </c>
      <c r="S815" s="770" t="s">
        <v>18</v>
      </c>
      <c r="T815" s="295" t="s">
        <v>5231</v>
      </c>
      <c r="U815" s="298"/>
      <c r="V815" s="770" t="s">
        <v>719</v>
      </c>
      <c r="W815" s="770"/>
      <c r="X815" s="770"/>
      <c r="Y815" s="770" t="s">
        <v>3272</v>
      </c>
      <c r="Z815" s="770" t="s">
        <v>708</v>
      </c>
      <c r="AA815" s="12" t="s">
        <v>709</v>
      </c>
      <c r="AB815" s="770" t="s">
        <v>710</v>
      </c>
      <c r="AC815" s="770"/>
      <c r="AD815" s="770" t="s">
        <v>3241</v>
      </c>
      <c r="AE815" s="770"/>
      <c r="AF815" s="770" t="s">
        <v>712</v>
      </c>
      <c r="AG815" s="766" t="s">
        <v>1095</v>
      </c>
      <c r="AH815" s="766" t="s">
        <v>1096</v>
      </c>
      <c r="AI815" s="770" t="s">
        <v>3294</v>
      </c>
      <c r="AJ815" s="770"/>
      <c r="AK815" s="770" t="s">
        <v>1101</v>
      </c>
      <c r="AL815" s="531">
        <v>21</v>
      </c>
      <c r="AM815" s="780">
        <v>18.399999999999999</v>
      </c>
      <c r="AN815" s="532">
        <f t="shared" si="259"/>
        <v>0.87619047619047608</v>
      </c>
      <c r="AO815" s="766" t="s">
        <v>1105</v>
      </c>
      <c r="AP815" s="766"/>
      <c r="AQ815" s="766"/>
      <c r="AR815" s="766"/>
      <c r="AS815" s="770" t="s">
        <v>1207</v>
      </c>
      <c r="AT815" s="770"/>
      <c r="AU815" s="770"/>
      <c r="AV815" s="770"/>
      <c r="AW815" s="770"/>
      <c r="AX815" s="770"/>
      <c r="AY815" s="770"/>
      <c r="AZ815" s="770" t="s">
        <v>1208</v>
      </c>
      <c r="BA815" s="770"/>
      <c r="BB815" s="770" t="s">
        <v>5233</v>
      </c>
      <c r="BC815" s="770"/>
      <c r="BD815" s="770"/>
      <c r="BE815" s="770"/>
      <c r="BF815" s="302"/>
      <c r="BG815" s="302"/>
      <c r="BH815" s="770"/>
      <c r="BI815" s="770"/>
      <c r="BJ815" s="770"/>
      <c r="BK815" s="766" t="s">
        <v>1095</v>
      </c>
      <c r="BL815" s="766" t="s">
        <v>5234</v>
      </c>
      <c r="BM815" s="766" t="s">
        <v>1096</v>
      </c>
      <c r="BN815" s="766" t="s">
        <v>1230</v>
      </c>
      <c r="BO815" s="766" t="s">
        <v>1239</v>
      </c>
      <c r="BP815" s="765">
        <v>42</v>
      </c>
      <c r="BQ815" s="773">
        <v>37.799999999999997</v>
      </c>
      <c r="BR815" s="774">
        <f>BQ815/BP815</f>
        <v>0.89999999999999991</v>
      </c>
      <c r="BS815" s="766" t="s">
        <v>1105</v>
      </c>
      <c r="BT815" s="766" t="s">
        <v>8133</v>
      </c>
      <c r="BU815" s="770" t="s">
        <v>1249</v>
      </c>
      <c r="BV815" s="770" t="s">
        <v>1247</v>
      </c>
      <c r="BW815" s="770">
        <v>1968</v>
      </c>
      <c r="BX815" s="302"/>
      <c r="BY815" s="770" t="s">
        <v>1207</v>
      </c>
      <c r="BZ815" s="302"/>
      <c r="CA815" s="770"/>
      <c r="CB815" s="770" t="s">
        <v>1207</v>
      </c>
      <c r="CC815" s="770"/>
      <c r="CD815" s="770"/>
      <c r="CE815" s="302"/>
      <c r="CF815" s="304"/>
      <c r="CG815" s="321"/>
      <c r="CH815" s="770"/>
      <c r="CI815" s="770"/>
      <c r="CJ815" s="770"/>
      <c r="CK815" s="770"/>
      <c r="CL815" s="770"/>
      <c r="CM815" s="770"/>
      <c r="CN815" s="770"/>
      <c r="CO815" s="770"/>
      <c r="CP815" s="770"/>
      <c r="CQ815" s="770"/>
      <c r="CR815" s="302"/>
      <c r="CS815" s="770"/>
      <c r="CT815" s="770"/>
      <c r="CU815" s="305"/>
      <c r="CV815" s="770"/>
      <c r="CW815" s="770"/>
      <c r="CX815" s="770"/>
      <c r="CY815" s="770"/>
      <c r="CZ815" s="770"/>
      <c r="DA815" s="306"/>
      <c r="DB815" s="770"/>
      <c r="DC815" s="770"/>
      <c r="DD815" s="770"/>
      <c r="DE815" s="300"/>
      <c r="DF815" s="770"/>
      <c r="DG815" s="770"/>
      <c r="DH815" s="770"/>
      <c r="DI815" s="770"/>
      <c r="DJ815" s="770"/>
      <c r="DK815" s="770"/>
      <c r="DL815" s="770"/>
      <c r="DM815" s="770"/>
      <c r="DN815" s="322"/>
      <c r="DO815" s="770"/>
      <c r="DP815" s="770"/>
      <c r="DQ815" s="770"/>
      <c r="DR815" s="770"/>
      <c r="DS815" s="307"/>
      <c r="DT815" s="770"/>
      <c r="DU815" s="770"/>
      <c r="DV815" s="770"/>
      <c r="DW815" s="306"/>
      <c r="DX815" s="306"/>
      <c r="DY815" s="1055"/>
      <c r="DZ815" s="770"/>
      <c r="EA815" s="770"/>
      <c r="EB815" s="770"/>
      <c r="EC815" s="770"/>
      <c r="ED815" s="770"/>
      <c r="EE815" s="770"/>
      <c r="EF815" s="770"/>
      <c r="EG815" s="770"/>
      <c r="EH815" s="770"/>
      <c r="EI815" s="770"/>
      <c r="EJ815" s="770"/>
      <c r="EK815" s="770"/>
      <c r="EL815" s="770"/>
      <c r="EM815" s="770"/>
      <c r="EN815" s="770"/>
      <c r="EO815" s="770"/>
      <c r="EP815" s="94"/>
      <c r="EQ815" s="770"/>
      <c r="ER815" s="770"/>
      <c r="ES815" s="770"/>
      <c r="ET815" s="770"/>
      <c r="EU815" s="770"/>
      <c r="EV815" s="770"/>
      <c r="EW815" s="770"/>
      <c r="EX815" s="770"/>
      <c r="EY815" s="770"/>
      <c r="EZ815" s="770" t="s">
        <v>5234</v>
      </c>
      <c r="FA815" s="770" t="s">
        <v>3099</v>
      </c>
      <c r="FB815" s="770" t="s">
        <v>1257</v>
      </c>
      <c r="FC815" s="770"/>
      <c r="FD815" s="302"/>
      <c r="FE815" s="770" t="s">
        <v>5235</v>
      </c>
      <c r="FF815" s="770" t="s">
        <v>5236</v>
      </c>
      <c r="FG815" s="770" t="s">
        <v>5237</v>
      </c>
      <c r="FH815" s="770" t="s">
        <v>478</v>
      </c>
      <c r="FI815" s="770">
        <v>1</v>
      </c>
      <c r="FJ815" s="770"/>
      <c r="FK815" s="770"/>
      <c r="FL815" s="770"/>
      <c r="FM815" s="302"/>
      <c r="FN815" s="302"/>
      <c r="FO815" s="302"/>
      <c r="FP815" s="770" t="s">
        <v>1602</v>
      </c>
      <c r="FQ815" s="770" t="s">
        <v>1660</v>
      </c>
      <c r="FR815" s="770" t="s">
        <v>1214</v>
      </c>
      <c r="FS815" s="770"/>
      <c r="FT815" s="770"/>
      <c r="FU815" s="770"/>
      <c r="FV815" s="770"/>
      <c r="FW815" s="770"/>
      <c r="FX815" s="770"/>
      <c r="FY815" s="770"/>
      <c r="FZ815" s="770"/>
      <c r="GA815" s="770"/>
      <c r="GB815" s="770" t="s">
        <v>1734</v>
      </c>
      <c r="GC815" s="308"/>
      <c r="GD815" s="297">
        <v>1968</v>
      </c>
      <c r="GE815" s="770" t="s">
        <v>1214</v>
      </c>
      <c r="GF815" s="302"/>
      <c r="GG815" s="302"/>
      <c r="GH815" s="766" t="s">
        <v>14260</v>
      </c>
      <c r="GI815" s="770"/>
      <c r="GJ815" s="770"/>
      <c r="GK815" s="770"/>
      <c r="GL815" s="770"/>
      <c r="GM815" s="770"/>
      <c r="GN815" s="299"/>
      <c r="GO815" s="770"/>
      <c r="GP815" s="770"/>
      <c r="GQ815" s="770"/>
      <c r="GR815" s="770"/>
      <c r="GS815" s="770"/>
      <c r="GT815" s="770"/>
      <c r="GU815" s="770"/>
      <c r="GV815" s="770"/>
      <c r="GW815" s="770"/>
      <c r="GX815" s="770"/>
      <c r="GY815" s="770"/>
      <c r="GZ815" s="770"/>
      <c r="HA815" s="770"/>
      <c r="HB815" s="770"/>
      <c r="HC815" s="770"/>
      <c r="HD815" s="770"/>
      <c r="HE815" s="770"/>
      <c r="HF815" s="770"/>
      <c r="HG815" s="770"/>
      <c r="HH815" s="770"/>
      <c r="HI815" s="770" t="s">
        <v>1214</v>
      </c>
      <c r="HJ815" s="770"/>
      <c r="HK815" s="770"/>
      <c r="HL815" s="770" t="s">
        <v>1214</v>
      </c>
      <c r="HM815" s="770"/>
      <c r="HN815" s="770"/>
      <c r="HO815" s="770"/>
      <c r="HP815" s="770"/>
      <c r="HQ815" s="770"/>
      <c r="HR815" s="770"/>
      <c r="HS815" s="770"/>
      <c r="HT815" s="770"/>
      <c r="HU815" s="770"/>
      <c r="HV815" s="770"/>
      <c r="HW815" s="770"/>
      <c r="HX815" s="770"/>
      <c r="HY815" s="770"/>
      <c r="HZ815" s="770"/>
      <c r="IA815" s="770"/>
      <c r="IB815" s="770"/>
      <c r="IC815" s="770" t="s">
        <v>1207</v>
      </c>
      <c r="ID815" s="770">
        <v>1</v>
      </c>
      <c r="IE815" s="770"/>
      <c r="IF815" s="770"/>
      <c r="IG815" s="770"/>
      <c r="IH815" s="770"/>
      <c r="II815" s="770"/>
      <c r="IJ815" s="770"/>
      <c r="IK815" s="770"/>
      <c r="IL815" s="770"/>
      <c r="IM815" s="770"/>
      <c r="IN815" s="770"/>
      <c r="IO815" s="296"/>
      <c r="IP815" s="770"/>
      <c r="IQ815" s="770"/>
      <c r="IR815" s="770"/>
      <c r="IS815" s="770"/>
      <c r="IT815" s="770"/>
      <c r="IU815" s="770"/>
      <c r="IV815" s="770"/>
      <c r="IW815" s="770"/>
      <c r="IX815" s="770"/>
      <c r="IY815" s="770"/>
      <c r="IZ815" s="770"/>
      <c r="JA815" s="770"/>
      <c r="JB815" s="770"/>
      <c r="JC815" s="770"/>
      <c r="JD815" s="302"/>
      <c r="JE815" s="770"/>
      <c r="JF815" s="770"/>
      <c r="JG815" s="770"/>
      <c r="JH815" s="307"/>
      <c r="JI815" s="307"/>
      <c r="JJ815" s="770">
        <v>2</v>
      </c>
      <c r="JK815" s="770" t="s">
        <v>5238</v>
      </c>
      <c r="JL815" s="770"/>
      <c r="JM815" s="770"/>
      <c r="JN815" s="770"/>
      <c r="JO815" s="770">
        <v>1</v>
      </c>
      <c r="JP815" s="770"/>
      <c r="JQ815" s="770">
        <v>1</v>
      </c>
      <c r="JR815" s="770"/>
      <c r="JS815" s="770"/>
      <c r="JT815" s="766">
        <f t="shared" ref="JT815:JU818" si="261">SUM(JP815,JN815,JL815,JR815)</f>
        <v>0</v>
      </c>
      <c r="JU815" s="766">
        <f t="shared" si="261"/>
        <v>2</v>
      </c>
      <c r="JV815" s="766"/>
      <c r="JW815" s="766"/>
      <c r="JX815" s="770"/>
      <c r="JY815" s="770"/>
      <c r="JZ815" s="770"/>
      <c r="KA815" s="770"/>
      <c r="KB815" s="770"/>
      <c r="KC815" s="770"/>
      <c r="KD815" s="770"/>
      <c r="KE815" s="770">
        <v>1</v>
      </c>
      <c r="KF815" s="770"/>
      <c r="KG815" s="770">
        <v>1</v>
      </c>
      <c r="KH815" s="770"/>
      <c r="KI815" s="770"/>
      <c r="KJ815" s="770">
        <f t="shared" si="249"/>
        <v>0</v>
      </c>
      <c r="KK815" s="770">
        <f t="shared" si="249"/>
        <v>2</v>
      </c>
      <c r="KL815" s="770"/>
      <c r="KM815" s="770"/>
      <c r="KN815" s="770" t="s">
        <v>719</v>
      </c>
      <c r="KO815" s="770"/>
      <c r="KP815" s="770"/>
      <c r="KQ815" s="770"/>
      <c r="KR815" s="770"/>
      <c r="KS815" s="770"/>
      <c r="KT815" s="770"/>
      <c r="KU815" s="770">
        <v>1</v>
      </c>
      <c r="KV815" s="770"/>
      <c r="KW815" s="770"/>
      <c r="KX815" s="770"/>
      <c r="KY815" s="770"/>
      <c r="KZ815" s="770"/>
      <c r="LA815" s="770"/>
      <c r="LB815" s="770"/>
      <c r="LC815" s="770">
        <v>1</v>
      </c>
      <c r="LD815" s="770"/>
      <c r="LE815" s="770"/>
      <c r="LF815" s="770"/>
      <c r="LG815" s="770"/>
      <c r="LH815" s="770"/>
      <c r="LI815" s="770"/>
      <c r="LJ815" s="770"/>
      <c r="LK815" s="770"/>
      <c r="LL815" s="770"/>
      <c r="LM815" s="770"/>
      <c r="LN815" s="766">
        <f t="shared" ref="LN815:LO818" si="262">SUM(KP815,KR815,KT815,KV815,KX815,KZ815,LB815,LD815,LF815,LH815,LJ815,LL815)</f>
        <v>0</v>
      </c>
      <c r="LO815" s="766">
        <f t="shared" si="262"/>
        <v>2</v>
      </c>
      <c r="LP815" s="770">
        <v>1</v>
      </c>
      <c r="LQ815" s="770"/>
      <c r="LR815" s="770"/>
      <c r="LS815" s="770">
        <v>1</v>
      </c>
      <c r="LT815" s="770"/>
      <c r="LU815" s="770"/>
      <c r="LV815" s="770"/>
      <c r="LW815" s="770"/>
      <c r="LX815" s="769">
        <v>1</v>
      </c>
      <c r="LY815" s="766" t="str">
        <f t="shared" si="258"/>
        <v>within the BRGY</v>
      </c>
      <c r="LZ815" s="1709"/>
      <c r="MA815" s="1709"/>
      <c r="MB815" s="1709"/>
      <c r="MC815" s="1679">
        <f t="shared" si="256"/>
        <v>0</v>
      </c>
      <c r="MD815" s="1709"/>
      <c r="ME815" s="1709"/>
      <c r="MF815" s="1709">
        <v>10000</v>
      </c>
      <c r="MG815" s="1680">
        <f t="shared" si="260"/>
        <v>10000</v>
      </c>
      <c r="MH815" s="770" t="s">
        <v>5239</v>
      </c>
      <c r="MI815" s="302">
        <v>6000</v>
      </c>
      <c r="MJ815" s="302"/>
      <c r="MK815" s="302">
        <v>5000</v>
      </c>
      <c r="ML815" s="302">
        <v>10000</v>
      </c>
      <c r="MM815" s="302"/>
      <c r="MN815" s="302">
        <v>6000</v>
      </c>
      <c r="MO815" s="302">
        <v>1300</v>
      </c>
      <c r="MP815" s="302">
        <v>1200</v>
      </c>
      <c r="MQ815" s="302">
        <v>475</v>
      </c>
      <c r="MR815" s="302">
        <v>500</v>
      </c>
      <c r="MS815" s="302">
        <v>4000</v>
      </c>
      <c r="MT815" s="302"/>
      <c r="MU815" s="302"/>
      <c r="MV815" s="302"/>
      <c r="MW815" s="302"/>
      <c r="MX815" s="302"/>
      <c r="MY815" s="1682">
        <f t="shared" si="243"/>
        <v>34475</v>
      </c>
      <c r="MZ815" s="770" t="s">
        <v>13370</v>
      </c>
      <c r="NA815" s="770" t="s">
        <v>13005</v>
      </c>
      <c r="NB815" s="770" t="s">
        <v>13016</v>
      </c>
      <c r="NC815" s="770" t="s">
        <v>13621</v>
      </c>
      <c r="ND815" s="770">
        <v>0</v>
      </c>
      <c r="NE815" s="770">
        <v>0</v>
      </c>
      <c r="NF815" s="770">
        <v>1</v>
      </c>
      <c r="NG815" s="770">
        <v>6</v>
      </c>
      <c r="NH815" s="770">
        <v>2</v>
      </c>
      <c r="NI815" s="770">
        <v>0</v>
      </c>
      <c r="NJ815" s="770">
        <v>1</v>
      </c>
      <c r="NK815" s="770">
        <v>0</v>
      </c>
      <c r="NL815" s="770">
        <v>1</v>
      </c>
      <c r="NM815" s="770">
        <v>1</v>
      </c>
      <c r="NN815" s="770">
        <v>0</v>
      </c>
      <c r="NO815" s="770">
        <v>0</v>
      </c>
      <c r="NP815" s="770">
        <v>0</v>
      </c>
      <c r="NQ815" s="770">
        <v>0</v>
      </c>
      <c r="NR815" s="770">
        <v>0</v>
      </c>
      <c r="NS815" s="770">
        <v>1</v>
      </c>
      <c r="NT815" s="770">
        <v>0</v>
      </c>
      <c r="NU815" s="770">
        <v>0</v>
      </c>
      <c r="NV815" s="770">
        <v>0</v>
      </c>
      <c r="NW815" s="770">
        <v>0</v>
      </c>
      <c r="NX815" s="770">
        <v>0</v>
      </c>
      <c r="NY815" s="770"/>
      <c r="NZ815" s="770"/>
      <c r="OA815" s="770"/>
      <c r="OB815" s="770"/>
      <c r="OC815" s="770" t="s">
        <v>1208</v>
      </c>
      <c r="OD815" s="770"/>
      <c r="OE815" s="770"/>
      <c r="OF815" s="770"/>
      <c r="OG815" s="770"/>
      <c r="OH815" s="770"/>
      <c r="OI815" s="770"/>
      <c r="OJ815" s="770"/>
      <c r="OK815" s="770"/>
      <c r="OL815" s="770"/>
      <c r="OM815" s="770"/>
      <c r="ON815" s="770"/>
      <c r="OO815" s="770"/>
      <c r="OP815" s="770"/>
      <c r="OQ815" s="770"/>
      <c r="OR815" s="770"/>
      <c r="OS815" s="770"/>
      <c r="OT815" s="770"/>
      <c r="OU815" s="770"/>
      <c r="OV815" s="770"/>
      <c r="OW815" s="770"/>
      <c r="OX815" s="770"/>
      <c r="OY815" s="770"/>
      <c r="OZ815" s="770"/>
      <c r="PA815" s="770"/>
      <c r="PB815" s="770"/>
      <c r="PC815" s="770"/>
      <c r="PD815" s="770"/>
      <c r="PE815" s="770"/>
      <c r="PF815" s="770"/>
      <c r="PG815" s="770"/>
      <c r="PH815" s="770"/>
      <c r="PI815" s="770"/>
      <c r="PJ815" s="770"/>
      <c r="PK815" s="770"/>
      <c r="PL815" s="770"/>
      <c r="PM815" s="770" t="s">
        <v>1208</v>
      </c>
      <c r="PN815" s="770"/>
      <c r="PO815" s="770"/>
      <c r="PP815" s="770"/>
      <c r="PQ815" s="770"/>
      <c r="PR815" s="770"/>
      <c r="PS815" s="770"/>
      <c r="PT815" s="770"/>
      <c r="PU815" s="770"/>
      <c r="PV815" s="770"/>
      <c r="PW815" s="770"/>
      <c r="PX815" s="770"/>
      <c r="PY815" s="770"/>
      <c r="PZ815" s="770"/>
      <c r="QA815" s="770"/>
      <c r="QB815" s="770"/>
      <c r="QC815" s="770"/>
      <c r="QD815" s="770"/>
      <c r="QE815" s="770"/>
      <c r="QF815" s="770"/>
      <c r="QG815" s="770"/>
      <c r="QH815" s="770"/>
      <c r="QI815" s="770"/>
      <c r="QJ815" s="770"/>
      <c r="QK815" s="770"/>
      <c r="QL815" s="770"/>
      <c r="QM815" s="770"/>
      <c r="QN815" s="770"/>
      <c r="QO815" s="770"/>
      <c r="QP815" s="770"/>
      <c r="QQ815" s="770"/>
      <c r="QR815" s="770"/>
      <c r="QS815" s="770"/>
      <c r="QT815" s="770"/>
      <c r="QU815" s="770"/>
      <c r="QV815" s="770"/>
      <c r="QW815" s="770"/>
      <c r="QX815" s="770"/>
      <c r="QY815" s="770"/>
      <c r="QZ815" s="770"/>
      <c r="RA815" s="770"/>
      <c r="RB815" s="770" t="s">
        <v>1207</v>
      </c>
      <c r="RC815" s="770">
        <v>2015</v>
      </c>
      <c r="RD815" s="770" t="s">
        <v>13582</v>
      </c>
      <c r="RE815" s="770" t="s">
        <v>12999</v>
      </c>
      <c r="RF815" s="304">
        <v>0.5</v>
      </c>
      <c r="RG815" s="770" t="s">
        <v>13047</v>
      </c>
      <c r="RH815" s="306">
        <v>0</v>
      </c>
      <c r="RI815" s="770">
        <v>0.5</v>
      </c>
      <c r="RJ815" s="94" t="s">
        <v>5238</v>
      </c>
      <c r="RK815" s="770" t="s">
        <v>13550</v>
      </c>
      <c r="RL815" s="1710">
        <v>42852</v>
      </c>
      <c r="RM815" s="12"/>
      <c r="RN815" s="1711"/>
      <c r="RO815" s="149" t="s">
        <v>5229</v>
      </c>
      <c r="RP815" s="11"/>
      <c r="RQ815" s="11"/>
      <c r="RR815" s="17"/>
      <c r="RS815" s="767"/>
      <c r="RT815" s="11"/>
      <c r="RU815" s="11"/>
      <c r="RV815" s="771" t="s">
        <v>7419</v>
      </c>
      <c r="RW815" s="11" t="s">
        <v>7488</v>
      </c>
      <c r="RX815" s="11" t="s">
        <v>3277</v>
      </c>
      <c r="RY815" s="11"/>
      <c r="RZ815" s="11" t="s">
        <v>2209</v>
      </c>
      <c r="SA815" s="771"/>
      <c r="SB815" s="11"/>
      <c r="SC815" s="11"/>
    </row>
    <row r="816" spans="1:497" ht="12.75" customHeight="1">
      <c r="A816" s="19" t="s">
        <v>7421</v>
      </c>
      <c r="B816" s="292" t="s">
        <v>7490</v>
      </c>
      <c r="C816" s="149" t="s">
        <v>3288</v>
      </c>
      <c r="D816" s="94" t="s">
        <v>5240</v>
      </c>
      <c r="E816" s="766" t="s">
        <v>5302</v>
      </c>
      <c r="F816" s="770" t="s">
        <v>28</v>
      </c>
      <c r="G816" s="770" t="s">
        <v>10</v>
      </c>
      <c r="H816" s="295"/>
      <c r="I816" s="12"/>
      <c r="J816" s="94" t="s">
        <v>5240</v>
      </c>
      <c r="K816" s="766" t="s">
        <v>5091</v>
      </c>
      <c r="L816" s="766" t="s">
        <v>2755</v>
      </c>
      <c r="M816" s="770" t="s">
        <v>1238</v>
      </c>
      <c r="N816" s="1757"/>
      <c r="O816" s="1757" t="s">
        <v>4830</v>
      </c>
      <c r="P816" s="94" t="s">
        <v>5241</v>
      </c>
      <c r="Q816" s="1088">
        <v>21660</v>
      </c>
      <c r="R816" s="297">
        <v>58</v>
      </c>
      <c r="S816" s="770" t="s">
        <v>10</v>
      </c>
      <c r="T816" s="770"/>
      <c r="U816" s="298"/>
      <c r="V816" s="770" t="s">
        <v>707</v>
      </c>
      <c r="W816" s="770"/>
      <c r="X816" s="770"/>
      <c r="Y816" s="770" t="s">
        <v>3290</v>
      </c>
      <c r="Z816" s="770" t="s">
        <v>708</v>
      </c>
      <c r="AA816" s="770" t="s">
        <v>709</v>
      </c>
      <c r="AB816" s="770" t="s">
        <v>710</v>
      </c>
      <c r="AC816" s="770"/>
      <c r="AD816" s="770" t="s">
        <v>711</v>
      </c>
      <c r="AE816" s="770"/>
      <c r="AF816" s="770" t="s">
        <v>712</v>
      </c>
      <c r="AG816" s="766" t="s">
        <v>1095</v>
      </c>
      <c r="AH816" s="766" t="s">
        <v>1096</v>
      </c>
      <c r="AI816" s="770" t="s">
        <v>3294</v>
      </c>
      <c r="AJ816" s="770"/>
      <c r="AK816" s="770" t="s">
        <v>1101</v>
      </c>
      <c r="AL816" s="531">
        <v>94.86</v>
      </c>
      <c r="AM816" s="780">
        <v>15.3</v>
      </c>
      <c r="AN816" s="532">
        <f t="shared" si="259"/>
        <v>0.16129032258064516</v>
      </c>
      <c r="AO816" s="766" t="s">
        <v>1109</v>
      </c>
      <c r="AP816" s="766"/>
      <c r="AQ816" s="766"/>
      <c r="AR816" s="766"/>
      <c r="AS816" s="770"/>
      <c r="AT816" s="770"/>
      <c r="AU816" s="770"/>
      <c r="AV816" s="770"/>
      <c r="AW816" s="770"/>
      <c r="AX816" s="770"/>
      <c r="AY816" s="770"/>
      <c r="AZ816" s="770"/>
      <c r="BA816" s="770"/>
      <c r="BB816" s="770"/>
      <c r="BC816" s="770"/>
      <c r="BD816" s="770"/>
      <c r="BE816" s="770"/>
      <c r="BF816" s="302"/>
      <c r="BG816" s="302"/>
      <c r="BH816" s="770"/>
      <c r="BI816" s="770"/>
      <c r="BJ816" s="770"/>
      <c r="BK816" s="766" t="s">
        <v>1095</v>
      </c>
      <c r="BL816" s="766" t="s">
        <v>3299</v>
      </c>
      <c r="BM816" s="766" t="s">
        <v>1096</v>
      </c>
      <c r="BN816" s="766" t="s">
        <v>1230</v>
      </c>
      <c r="BO816" s="766" t="s">
        <v>1239</v>
      </c>
      <c r="BP816" s="1109">
        <v>189.72</v>
      </c>
      <c r="BQ816" s="773">
        <v>30.6</v>
      </c>
      <c r="BR816" s="774">
        <f>BQ816/BP816</f>
        <v>0.16129032258064516</v>
      </c>
      <c r="BS816" s="766" t="s">
        <v>1242</v>
      </c>
      <c r="BT816" s="766" t="s">
        <v>8133</v>
      </c>
      <c r="BU816" s="770" t="s">
        <v>1249</v>
      </c>
      <c r="BV816" s="770" t="s">
        <v>1247</v>
      </c>
      <c r="BW816" s="770">
        <v>1967</v>
      </c>
      <c r="BX816" s="302"/>
      <c r="BY816" s="770"/>
      <c r="BZ816" s="302"/>
      <c r="CA816" s="770"/>
      <c r="CB816" s="770"/>
      <c r="CC816" s="770"/>
      <c r="CD816" s="770"/>
      <c r="CE816" s="302"/>
      <c r="CF816" s="304"/>
      <c r="CG816" s="321"/>
      <c r="CH816" s="770"/>
      <c r="CI816" s="770"/>
      <c r="CJ816" s="770"/>
      <c r="CK816" s="770"/>
      <c r="CL816" s="770"/>
      <c r="CM816" s="770"/>
      <c r="CN816" s="770"/>
      <c r="CO816" s="770"/>
      <c r="CP816" s="770"/>
      <c r="CQ816" s="770"/>
      <c r="CR816" s="302"/>
      <c r="CS816" s="770"/>
      <c r="CT816" s="770"/>
      <c r="CU816" s="305"/>
      <c r="CV816" s="770"/>
      <c r="CW816" s="770"/>
      <c r="CX816" s="770"/>
      <c r="CY816" s="770"/>
      <c r="CZ816" s="770"/>
      <c r="DA816" s="306"/>
      <c r="DB816" s="770"/>
      <c r="DC816" s="770"/>
      <c r="DD816" s="770"/>
      <c r="DE816" s="300"/>
      <c r="DF816" s="770"/>
      <c r="DG816" s="770"/>
      <c r="DH816" s="770"/>
      <c r="DI816" s="770"/>
      <c r="DJ816" s="770"/>
      <c r="DK816" s="770"/>
      <c r="DL816" s="770"/>
      <c r="DM816" s="770"/>
      <c r="DN816" s="322"/>
      <c r="DO816" s="770"/>
      <c r="DP816" s="770"/>
      <c r="DQ816" s="770"/>
      <c r="DR816" s="770"/>
      <c r="DS816" s="307"/>
      <c r="DT816" s="770"/>
      <c r="DU816" s="770"/>
      <c r="DV816" s="770"/>
      <c r="DW816" s="306"/>
      <c r="DX816" s="306"/>
      <c r="DY816" s="1055"/>
      <c r="DZ816" s="770"/>
      <c r="EA816" s="770"/>
      <c r="EB816" s="770"/>
      <c r="EC816" s="770"/>
      <c r="ED816" s="770"/>
      <c r="EE816" s="770"/>
      <c r="EF816" s="770"/>
      <c r="EG816" s="770"/>
      <c r="EH816" s="770"/>
      <c r="EI816" s="770"/>
      <c r="EJ816" s="770"/>
      <c r="EK816" s="770"/>
      <c r="EL816" s="770"/>
      <c r="EM816" s="770"/>
      <c r="EN816" s="770"/>
      <c r="EO816" s="770"/>
      <c r="EP816" s="94"/>
      <c r="EQ816" s="770"/>
      <c r="ER816" s="770"/>
      <c r="ES816" s="770"/>
      <c r="ET816" s="770"/>
      <c r="EU816" s="770"/>
      <c r="EV816" s="770"/>
      <c r="EW816" s="770"/>
      <c r="EX816" s="770"/>
      <c r="EY816" s="770"/>
      <c r="EZ816" s="770"/>
      <c r="FA816" s="770"/>
      <c r="FB816" s="770"/>
      <c r="FC816" s="770"/>
      <c r="FD816" s="302"/>
      <c r="FE816" s="770"/>
      <c r="FF816" s="770"/>
      <c r="FG816" s="770"/>
      <c r="FH816" s="770" t="s">
        <v>478</v>
      </c>
      <c r="FI816" s="770">
        <v>4</v>
      </c>
      <c r="FJ816" s="770"/>
      <c r="FK816" s="770"/>
      <c r="FL816" s="770"/>
      <c r="FM816" s="302"/>
      <c r="FN816" s="302"/>
      <c r="FO816" s="302"/>
      <c r="FP816" s="770" t="s">
        <v>1600</v>
      </c>
      <c r="FQ816" s="770" t="s">
        <v>1642</v>
      </c>
      <c r="FR816" s="770" t="s">
        <v>1214</v>
      </c>
      <c r="FS816" s="770"/>
      <c r="FT816" s="770"/>
      <c r="FU816" s="770"/>
      <c r="FV816" s="770"/>
      <c r="FW816" s="770"/>
      <c r="FX816" s="770"/>
      <c r="FY816" s="770"/>
      <c r="FZ816" s="770"/>
      <c r="GA816" s="770"/>
      <c r="GB816" s="770" t="s">
        <v>853</v>
      </c>
      <c r="GC816" s="308" t="s">
        <v>5242</v>
      </c>
      <c r="GD816" s="297"/>
      <c r="GE816" s="770" t="s">
        <v>1214</v>
      </c>
      <c r="GF816" s="302"/>
      <c r="GG816" s="302"/>
      <c r="GH816" s="770"/>
      <c r="GI816" s="770"/>
      <c r="GJ816" s="770"/>
      <c r="GK816" s="770"/>
      <c r="GL816" s="770"/>
      <c r="GM816" s="770"/>
      <c r="GN816" s="299"/>
      <c r="GO816" s="770"/>
      <c r="GP816" s="770"/>
      <c r="GQ816" s="770"/>
      <c r="GR816" s="770"/>
      <c r="GS816" s="770"/>
      <c r="GT816" s="770"/>
      <c r="GU816" s="770"/>
      <c r="GV816" s="770"/>
      <c r="GW816" s="770"/>
      <c r="GX816" s="770"/>
      <c r="GY816" s="770"/>
      <c r="GZ816" s="770"/>
      <c r="HA816" s="770"/>
      <c r="HB816" s="770"/>
      <c r="HC816" s="770"/>
      <c r="HD816" s="770"/>
      <c r="HE816" s="770"/>
      <c r="HF816" s="770"/>
      <c r="HG816" s="770"/>
      <c r="HH816" s="770"/>
      <c r="HI816" s="770"/>
      <c r="HJ816" s="770"/>
      <c r="HK816" s="770"/>
      <c r="HL816" s="770"/>
      <c r="HM816" s="770"/>
      <c r="HN816" s="770"/>
      <c r="HO816" s="770"/>
      <c r="HP816" s="770"/>
      <c r="HQ816" s="770"/>
      <c r="HR816" s="770"/>
      <c r="HS816" s="770"/>
      <c r="HT816" s="770"/>
      <c r="HU816" s="770"/>
      <c r="HV816" s="770"/>
      <c r="HW816" s="770"/>
      <c r="HX816" s="770"/>
      <c r="HY816" s="770"/>
      <c r="HZ816" s="770"/>
      <c r="IA816" s="770"/>
      <c r="IB816" s="14" t="e">
        <f>IF(#REF!&gt;0,IF(#REF!&lt;=10000,"Y",""),"")</f>
        <v>#REF!</v>
      </c>
      <c r="IC816" s="770"/>
      <c r="ID816" s="770"/>
      <c r="IE816" s="770"/>
      <c r="IF816" s="770"/>
      <c r="IG816" s="770"/>
      <c r="IH816" s="770"/>
      <c r="II816" s="770"/>
      <c r="IJ816" s="770"/>
      <c r="IK816" s="770"/>
      <c r="IL816" s="770"/>
      <c r="IM816" s="770"/>
      <c r="IN816" s="770"/>
      <c r="IO816" s="296"/>
      <c r="IP816" s="770"/>
      <c r="IQ816" s="770"/>
      <c r="IR816" s="770"/>
      <c r="IS816" s="770"/>
      <c r="IT816" s="770"/>
      <c r="IU816" s="770"/>
      <c r="IV816" s="770"/>
      <c r="IW816" s="770"/>
      <c r="IX816" s="770"/>
      <c r="IY816" s="770"/>
      <c r="IZ816" s="770"/>
      <c r="JA816" s="770"/>
      <c r="JB816" s="770"/>
      <c r="JC816" s="770"/>
      <c r="JD816" s="302"/>
      <c r="JE816" s="770"/>
      <c r="JF816" s="770"/>
      <c r="JG816" s="770"/>
      <c r="JH816" s="307"/>
      <c r="JI816" s="307"/>
      <c r="JJ816" s="770">
        <v>6</v>
      </c>
      <c r="JK816" s="1139" t="s">
        <v>3299</v>
      </c>
      <c r="JL816" s="770"/>
      <c r="JM816" s="770"/>
      <c r="JN816" s="770">
        <v>3</v>
      </c>
      <c r="JO816" s="770">
        <v>3</v>
      </c>
      <c r="JP816" s="770"/>
      <c r="JQ816" s="770"/>
      <c r="JR816" s="770"/>
      <c r="JS816" s="770"/>
      <c r="JT816" s="766">
        <f t="shared" si="261"/>
        <v>3</v>
      </c>
      <c r="JU816" s="766">
        <f t="shared" si="261"/>
        <v>3</v>
      </c>
      <c r="JV816" s="712" t="str">
        <f>IF(JT816=KJ816,"ok","male")</f>
        <v>ok</v>
      </c>
      <c r="JW816" s="712" t="str">
        <f>IF(JU816=KK816,"ok","female")</f>
        <v>ok</v>
      </c>
      <c r="JX816" s="770"/>
      <c r="JY816" s="770"/>
      <c r="JZ816" s="770"/>
      <c r="KA816" s="770"/>
      <c r="KB816" s="770">
        <v>2</v>
      </c>
      <c r="KC816" s="770">
        <v>2</v>
      </c>
      <c r="KD816" s="770">
        <v>1</v>
      </c>
      <c r="KE816" s="770">
        <v>1</v>
      </c>
      <c r="KF816" s="770"/>
      <c r="KG816" s="770"/>
      <c r="KH816" s="770"/>
      <c r="KI816" s="770"/>
      <c r="KJ816" s="770">
        <f t="shared" si="249"/>
        <v>3</v>
      </c>
      <c r="KK816" s="770">
        <f t="shared" si="249"/>
        <v>3</v>
      </c>
      <c r="KL816" s="712" t="str">
        <f>IF(KJ816=LN816,"ok","male")</f>
        <v>ok</v>
      </c>
      <c r="KM816" s="712" t="str">
        <f>IF(KK816=LO816,"ok","female")</f>
        <v>ok</v>
      </c>
      <c r="KN816" s="770" t="s">
        <v>707</v>
      </c>
      <c r="KO816" s="770"/>
      <c r="KP816" s="770"/>
      <c r="KQ816" s="770"/>
      <c r="KR816" s="770"/>
      <c r="KS816" s="770"/>
      <c r="KT816" s="770"/>
      <c r="KU816" s="770"/>
      <c r="KV816" s="770"/>
      <c r="KW816" s="770"/>
      <c r="KX816" s="770">
        <v>1</v>
      </c>
      <c r="KY816" s="770">
        <v>2</v>
      </c>
      <c r="KZ816" s="770">
        <v>2</v>
      </c>
      <c r="LA816" s="770">
        <v>1</v>
      </c>
      <c r="LB816" s="770"/>
      <c r="LC816" s="770"/>
      <c r="LD816" s="770"/>
      <c r="LE816" s="770"/>
      <c r="LF816" s="770"/>
      <c r="LG816" s="770"/>
      <c r="LH816" s="770"/>
      <c r="LI816" s="770"/>
      <c r="LJ816" s="770"/>
      <c r="LK816" s="770"/>
      <c r="LL816" s="770"/>
      <c r="LM816" s="770"/>
      <c r="LN816" s="766">
        <f t="shared" si="262"/>
        <v>3</v>
      </c>
      <c r="LO816" s="766">
        <f t="shared" si="262"/>
        <v>3</v>
      </c>
      <c r="LP816" s="770">
        <v>3</v>
      </c>
      <c r="LQ816" s="770">
        <v>2</v>
      </c>
      <c r="LR816" s="770"/>
      <c r="LS816" s="770">
        <v>1</v>
      </c>
      <c r="LT816" s="712" t="str">
        <f>IF(LQ816=SUM(LU816:LW816),"OK","REV")</f>
        <v>OK</v>
      </c>
      <c r="LU816" s="770"/>
      <c r="LV816" s="770">
        <v>2</v>
      </c>
      <c r="LW816" s="770"/>
      <c r="LX816" s="769">
        <v>1</v>
      </c>
      <c r="LY816" s="766" t="str">
        <f t="shared" si="258"/>
        <v>within the BRGY</v>
      </c>
      <c r="LZ816" s="1709">
        <f>SUM(130*26,120*26)</f>
        <v>6500</v>
      </c>
      <c r="MA816" s="1709"/>
      <c r="MB816" s="1709"/>
      <c r="MC816" s="1679">
        <f t="shared" si="256"/>
        <v>6500</v>
      </c>
      <c r="MD816" s="1709">
        <f>SUM(5000,8000)</f>
        <v>13000</v>
      </c>
      <c r="ME816" s="1709"/>
      <c r="MF816" s="1709">
        <v>2000</v>
      </c>
      <c r="MG816" s="1680">
        <f t="shared" si="260"/>
        <v>15000</v>
      </c>
      <c r="MH816" s="770" t="s">
        <v>14036</v>
      </c>
      <c r="MI816" s="302">
        <f>300*30</f>
        <v>9000</v>
      </c>
      <c r="MJ816" s="302">
        <f>250*30</f>
        <v>7500</v>
      </c>
      <c r="MK816" s="302">
        <f>6000/12</f>
        <v>500</v>
      </c>
      <c r="ML816" s="302">
        <v>1500</v>
      </c>
      <c r="MM816" s="302">
        <v>4500</v>
      </c>
      <c r="MN816" s="302"/>
      <c r="MO816" s="302"/>
      <c r="MP816" s="302"/>
      <c r="MQ816" s="302">
        <v>320</v>
      </c>
      <c r="MR816" s="302">
        <v>1400</v>
      </c>
      <c r="MS816" s="302"/>
      <c r="MT816" s="302"/>
      <c r="MU816" s="302"/>
      <c r="MV816" s="302"/>
      <c r="MW816" s="302"/>
      <c r="MX816" s="302"/>
      <c r="MY816" s="1682">
        <f t="shared" si="243"/>
        <v>24720</v>
      </c>
      <c r="MZ816" s="770" t="s">
        <v>13395</v>
      </c>
      <c r="NA816" s="770" t="s">
        <v>13005</v>
      </c>
      <c r="NB816" s="770" t="s">
        <v>13016</v>
      </c>
      <c r="NC816" s="770" t="s">
        <v>13602</v>
      </c>
      <c r="ND816" s="770">
        <v>0</v>
      </c>
      <c r="NE816" s="770">
        <v>0</v>
      </c>
      <c r="NF816" s="770">
        <v>0</v>
      </c>
      <c r="NG816" s="770">
        <v>4</v>
      </c>
      <c r="NH816" s="770">
        <v>2</v>
      </c>
      <c r="NI816" s="770">
        <v>1</v>
      </c>
      <c r="NJ816" s="770">
        <v>0</v>
      </c>
      <c r="NK816" s="770">
        <v>0</v>
      </c>
      <c r="NL816" s="770">
        <v>1</v>
      </c>
      <c r="NM816" s="770">
        <v>0</v>
      </c>
      <c r="NN816" s="770">
        <v>0</v>
      </c>
      <c r="NO816" s="770">
        <v>0</v>
      </c>
      <c r="NP816" s="770">
        <v>0</v>
      </c>
      <c r="NQ816" s="770">
        <v>0</v>
      </c>
      <c r="NR816" s="770">
        <v>0</v>
      </c>
      <c r="NS816" s="770">
        <v>0</v>
      </c>
      <c r="NT816" s="770">
        <v>0</v>
      </c>
      <c r="NU816" s="770">
        <v>0</v>
      </c>
      <c r="NV816" s="770">
        <v>0</v>
      </c>
      <c r="NW816" s="770">
        <v>0</v>
      </c>
      <c r="NX816" s="770">
        <v>0</v>
      </c>
      <c r="NY816" s="770"/>
      <c r="NZ816" s="770"/>
      <c r="OA816" s="770"/>
      <c r="OB816" s="770"/>
      <c r="OC816" s="770"/>
      <c r="OD816" s="770"/>
      <c r="OE816" s="770"/>
      <c r="OF816" s="770"/>
      <c r="OG816" s="770"/>
      <c r="OH816" s="770"/>
      <c r="OI816" s="770"/>
      <c r="OJ816" s="770"/>
      <c r="OK816" s="770"/>
      <c r="OL816" s="770"/>
      <c r="OM816" s="770"/>
      <c r="ON816" s="770"/>
      <c r="OO816" s="770"/>
      <c r="OP816" s="770"/>
      <c r="OQ816" s="770"/>
      <c r="OR816" s="770"/>
      <c r="OS816" s="770"/>
      <c r="OT816" s="770"/>
      <c r="OU816" s="770"/>
      <c r="OV816" s="770"/>
      <c r="OW816" s="770"/>
      <c r="OX816" s="770"/>
      <c r="OY816" s="770"/>
      <c r="OZ816" s="770"/>
      <c r="PA816" s="770"/>
      <c r="PB816" s="770"/>
      <c r="PC816" s="770"/>
      <c r="PD816" s="770"/>
      <c r="PE816" s="770"/>
      <c r="PF816" s="770"/>
      <c r="PG816" s="770"/>
      <c r="PH816" s="770" t="s">
        <v>1208</v>
      </c>
      <c r="PI816" s="770"/>
      <c r="PJ816" s="770"/>
      <c r="PK816" s="770" t="s">
        <v>1208</v>
      </c>
      <c r="PL816" s="770"/>
      <c r="PM816" s="770"/>
      <c r="PN816" s="770"/>
      <c r="PO816" s="770"/>
      <c r="PP816" s="770"/>
      <c r="PQ816" s="770"/>
      <c r="PR816" s="770"/>
      <c r="PS816" s="770"/>
      <c r="PT816" s="770"/>
      <c r="PU816" s="770"/>
      <c r="PV816" s="770"/>
      <c r="PW816" s="770"/>
      <c r="PX816" s="770"/>
      <c r="PY816" s="770" t="s">
        <v>1208</v>
      </c>
      <c r="PZ816" s="770"/>
      <c r="QA816" s="770"/>
      <c r="QB816" s="770"/>
      <c r="QC816" s="770"/>
      <c r="QD816" s="770"/>
      <c r="QE816" s="770"/>
      <c r="QF816" s="770"/>
      <c r="QG816" s="770"/>
      <c r="QH816" s="770"/>
      <c r="QI816" s="770"/>
      <c r="QJ816" s="770"/>
      <c r="QK816" s="770"/>
      <c r="QL816" s="770"/>
      <c r="QM816" s="770"/>
      <c r="QN816" s="770"/>
      <c r="QO816" s="770"/>
      <c r="QP816" s="770"/>
      <c r="QQ816" s="770"/>
      <c r="QR816" s="770"/>
      <c r="QS816" s="770"/>
      <c r="QT816" s="770"/>
      <c r="QU816" s="770"/>
      <c r="QV816" s="770"/>
      <c r="QW816" s="770"/>
      <c r="QX816" s="770"/>
      <c r="QY816" s="770"/>
      <c r="QZ816" s="770"/>
      <c r="RA816" s="770"/>
      <c r="RB816" s="770" t="s">
        <v>1207</v>
      </c>
      <c r="RC816" s="770" t="s">
        <v>13812</v>
      </c>
      <c r="RD816" s="770" t="s">
        <v>14037</v>
      </c>
      <c r="RE816" s="770" t="s">
        <v>12999</v>
      </c>
      <c r="RF816" s="304">
        <v>1</v>
      </c>
      <c r="RG816" s="770" t="s">
        <v>13047</v>
      </c>
      <c r="RH816" s="306">
        <v>0</v>
      </c>
      <c r="RI816" s="770">
        <v>4</v>
      </c>
      <c r="RJ816" s="94" t="s">
        <v>3299</v>
      </c>
      <c r="RK816" s="770" t="s">
        <v>13544</v>
      </c>
      <c r="RL816" s="1710" t="s">
        <v>1604</v>
      </c>
      <c r="RM816" s="12"/>
      <c r="RN816" s="1711"/>
      <c r="RO816" s="149" t="s">
        <v>3288</v>
      </c>
      <c r="RP816" s="11"/>
      <c r="RQ816" s="11"/>
      <c r="RR816" s="19" t="s">
        <v>7421</v>
      </c>
      <c r="RS816" s="1139" t="s">
        <v>12980</v>
      </c>
      <c r="RT816" s="11"/>
      <c r="RU816" s="11"/>
      <c r="RV816" s="771" t="s">
        <v>14038</v>
      </c>
      <c r="RW816" s="11" t="s">
        <v>7489</v>
      </c>
      <c r="RX816" s="11" t="s">
        <v>3277</v>
      </c>
      <c r="RY816" s="11"/>
      <c r="RZ816" s="11" t="s">
        <v>2209</v>
      </c>
      <c r="SA816" s="771"/>
      <c r="SB816" s="11"/>
      <c r="SC816" s="11"/>
    </row>
    <row r="817" spans="1:497" ht="12.75" customHeight="1">
      <c r="A817" s="311" t="s">
        <v>14255</v>
      </c>
      <c r="B817" s="292" t="s">
        <v>7491</v>
      </c>
      <c r="C817" s="149" t="s">
        <v>3288</v>
      </c>
      <c r="D817" s="94" t="s">
        <v>3289</v>
      </c>
      <c r="E817" s="766" t="s">
        <v>5302</v>
      </c>
      <c r="F817" s="770"/>
      <c r="G817" s="770" t="s">
        <v>10</v>
      </c>
      <c r="H817" s="12"/>
      <c r="I817" s="295" t="s">
        <v>3291</v>
      </c>
      <c r="J817" s="94" t="s">
        <v>3292</v>
      </c>
      <c r="K817" s="770"/>
      <c r="L817" s="770"/>
      <c r="M817" s="770"/>
      <c r="N817" s="1757"/>
      <c r="O817" s="1757"/>
      <c r="P817" s="94" t="s">
        <v>3293</v>
      </c>
      <c r="Q817" s="1088">
        <v>21601</v>
      </c>
      <c r="R817" s="297">
        <v>58</v>
      </c>
      <c r="S817" s="770" t="s">
        <v>10</v>
      </c>
      <c r="T817" s="770"/>
      <c r="U817" s="298"/>
      <c r="V817" s="770" t="s">
        <v>707</v>
      </c>
      <c r="W817" s="770"/>
      <c r="X817" s="770"/>
      <c r="Y817" s="770" t="s">
        <v>3290</v>
      </c>
      <c r="Z817" s="770" t="s">
        <v>708</v>
      </c>
      <c r="AA817" s="770" t="s">
        <v>709</v>
      </c>
      <c r="AB817" s="770" t="s">
        <v>710</v>
      </c>
      <c r="AC817" s="770"/>
      <c r="AD817" s="770" t="s">
        <v>711</v>
      </c>
      <c r="AE817" s="770"/>
      <c r="AF817" s="770" t="s">
        <v>712</v>
      </c>
      <c r="AG817" s="770"/>
      <c r="AH817" s="770"/>
      <c r="AI817" s="770"/>
      <c r="AJ817" s="770"/>
      <c r="AK817" s="770" t="s">
        <v>1101</v>
      </c>
      <c r="AL817" s="531"/>
      <c r="AM817" s="780"/>
      <c r="AN817" s="532"/>
      <c r="AO817" s="766"/>
      <c r="AP817" s="766"/>
      <c r="AQ817" s="766"/>
      <c r="AR817" s="766"/>
      <c r="AS817" s="770"/>
      <c r="AT817" s="770"/>
      <c r="AU817" s="770"/>
      <c r="AV817" s="770"/>
      <c r="AW817" s="770"/>
      <c r="AX817" s="770"/>
      <c r="AY817" s="770"/>
      <c r="AZ817" s="770"/>
      <c r="BA817" s="770"/>
      <c r="BB817" s="770"/>
      <c r="BC817" s="770"/>
      <c r="BD817" s="770"/>
      <c r="BE817" s="770"/>
      <c r="BF817" s="302"/>
      <c r="BG817" s="302"/>
      <c r="BH817" s="770"/>
      <c r="BI817" s="770"/>
      <c r="BJ817" s="770"/>
      <c r="BK817" s="766"/>
      <c r="BL817" s="766"/>
      <c r="BM817" s="766" t="s">
        <v>1238</v>
      </c>
      <c r="BN817" s="766" t="s">
        <v>1299</v>
      </c>
      <c r="BO817" s="770"/>
      <c r="BP817" s="765"/>
      <c r="BQ817" s="773"/>
      <c r="BR817" s="774"/>
      <c r="BS817" s="766" t="s">
        <v>1242</v>
      </c>
      <c r="BT817" s="770"/>
      <c r="BU817" s="770"/>
      <c r="BV817" s="770"/>
      <c r="BW817" s="770"/>
      <c r="BX817" s="302"/>
      <c r="BY817" s="770"/>
      <c r="BZ817" s="302"/>
      <c r="CA817" s="770"/>
      <c r="CB817" s="770"/>
      <c r="CC817" s="770"/>
      <c r="CD817" s="770"/>
      <c r="CE817" s="302"/>
      <c r="CF817" s="304"/>
      <c r="CG817" s="321"/>
      <c r="CH817" s="770"/>
      <c r="CI817" s="770"/>
      <c r="CJ817" s="770"/>
      <c r="CK817" s="770"/>
      <c r="CL817" s="770"/>
      <c r="CM817" s="770"/>
      <c r="CN817" s="770"/>
      <c r="CO817" s="770"/>
      <c r="CP817" s="770"/>
      <c r="CQ817" s="770"/>
      <c r="CR817" s="302"/>
      <c r="CS817" s="770"/>
      <c r="CT817" s="770"/>
      <c r="CU817" s="305"/>
      <c r="CV817" s="770"/>
      <c r="CW817" s="770"/>
      <c r="CX817" s="770"/>
      <c r="CY817" s="770"/>
      <c r="CZ817" s="770"/>
      <c r="DA817" s="306"/>
      <c r="DB817" s="770"/>
      <c r="DC817" s="770"/>
      <c r="DD817" s="770"/>
      <c r="DE817" s="300"/>
      <c r="DF817" s="770"/>
      <c r="DG817" s="770"/>
      <c r="DH817" s="770"/>
      <c r="DI817" s="770"/>
      <c r="DJ817" s="770"/>
      <c r="DK817" s="770"/>
      <c r="DL817" s="770"/>
      <c r="DM817" s="770"/>
      <c r="DN817" s="322"/>
      <c r="DO817" s="770"/>
      <c r="DP817" s="770"/>
      <c r="DQ817" s="770"/>
      <c r="DR817" s="770"/>
      <c r="DS817" s="307"/>
      <c r="DT817" s="770"/>
      <c r="DU817" s="770"/>
      <c r="DV817" s="770"/>
      <c r="DW817" s="306"/>
      <c r="DX817" s="306"/>
      <c r="DY817" s="1055"/>
      <c r="DZ817" s="770"/>
      <c r="EA817" s="770"/>
      <c r="EB817" s="770"/>
      <c r="EC817" s="770"/>
      <c r="ED817" s="770"/>
      <c r="EE817" s="770"/>
      <c r="EF817" s="770"/>
      <c r="EG817" s="770"/>
      <c r="EH817" s="770"/>
      <c r="EI817" s="770"/>
      <c r="EJ817" s="770"/>
      <c r="EK817" s="770"/>
      <c r="EL817" s="770"/>
      <c r="EM817" s="770"/>
      <c r="EN817" s="770"/>
      <c r="EO817" s="770"/>
      <c r="EP817" s="94"/>
      <c r="EQ817" s="770"/>
      <c r="ER817" s="770"/>
      <c r="ES817" s="770"/>
      <c r="ET817" s="770"/>
      <c r="EU817" s="770"/>
      <c r="EV817" s="770"/>
      <c r="EW817" s="770"/>
      <c r="EX817" s="770"/>
      <c r="EY817" s="770"/>
      <c r="EZ817" s="770"/>
      <c r="FA817" s="770"/>
      <c r="FB817" s="770"/>
      <c r="FC817" s="770"/>
      <c r="FD817" s="302"/>
      <c r="FE817" s="770"/>
      <c r="FF817" s="770"/>
      <c r="FG817" s="770"/>
      <c r="FH817" s="770" t="s">
        <v>1299</v>
      </c>
      <c r="FI817" s="770">
        <v>1</v>
      </c>
      <c r="FJ817" s="770" t="s">
        <v>3299</v>
      </c>
      <c r="FK817" s="770"/>
      <c r="FL817" s="770"/>
      <c r="FM817" s="302"/>
      <c r="FN817" s="302"/>
      <c r="FO817" s="302"/>
      <c r="FP817" s="770" t="s">
        <v>1600</v>
      </c>
      <c r="FQ817" s="770" t="s">
        <v>1642</v>
      </c>
      <c r="FR817" s="770"/>
      <c r="FS817" s="770"/>
      <c r="FT817" s="770"/>
      <c r="FU817" s="770"/>
      <c r="FV817" s="770"/>
      <c r="FW817" s="770"/>
      <c r="FX817" s="770"/>
      <c r="FY817" s="770"/>
      <c r="FZ817" s="770"/>
      <c r="GA817" s="770"/>
      <c r="GB817" s="770"/>
      <c r="GC817" s="308"/>
      <c r="GD817" s="297"/>
      <c r="GE817" s="770"/>
      <c r="GF817" s="302"/>
      <c r="GG817" s="302"/>
      <c r="GH817" s="770"/>
      <c r="GI817" s="770"/>
      <c r="GJ817" s="770"/>
      <c r="GK817" s="770"/>
      <c r="GL817" s="770"/>
      <c r="GM817" s="770"/>
      <c r="GN817" s="299"/>
      <c r="GO817" s="770"/>
      <c r="GP817" s="770"/>
      <c r="GQ817" s="770"/>
      <c r="GR817" s="770"/>
      <c r="GS817" s="770"/>
      <c r="GT817" s="770"/>
      <c r="GU817" s="770"/>
      <c r="GV817" s="770"/>
      <c r="GW817" s="770"/>
      <c r="GX817" s="770"/>
      <c r="GY817" s="770"/>
      <c r="GZ817" s="770"/>
      <c r="HA817" s="770"/>
      <c r="HB817" s="770"/>
      <c r="HC817" s="770"/>
      <c r="HD817" s="770"/>
      <c r="HE817" s="770"/>
      <c r="HF817" s="770"/>
      <c r="HG817" s="770"/>
      <c r="HH817" s="770"/>
      <c r="HI817" s="770"/>
      <c r="HJ817" s="770"/>
      <c r="HK817" s="770"/>
      <c r="HL817" s="770"/>
      <c r="HM817" s="770"/>
      <c r="HN817" s="770"/>
      <c r="HO817" s="770"/>
      <c r="HP817" s="770"/>
      <c r="HQ817" s="770"/>
      <c r="HR817" s="770"/>
      <c r="HS817" s="770"/>
      <c r="HT817" s="770"/>
      <c r="HU817" s="770"/>
      <c r="HV817" s="770"/>
      <c r="HW817" s="770"/>
      <c r="HX817" s="770"/>
      <c r="HY817" s="770"/>
      <c r="HZ817" s="770"/>
      <c r="IA817" s="770"/>
      <c r="IB817" s="14" t="e">
        <f>IF(#REF!&gt;0,IF(#REF!&lt;=10000,"Y",""),"")</f>
        <v>#REF!</v>
      </c>
      <c r="IC817" s="770"/>
      <c r="ID817" s="770">
        <v>1</v>
      </c>
      <c r="IE817" s="770">
        <v>1</v>
      </c>
      <c r="IF817" s="770"/>
      <c r="IG817" s="770"/>
      <c r="IH817" s="770"/>
      <c r="II817" s="770"/>
      <c r="IJ817" s="770"/>
      <c r="IK817" s="770"/>
      <c r="IL817" s="770"/>
      <c r="IM817" s="770"/>
      <c r="IN817" s="770"/>
      <c r="IO817" s="296"/>
      <c r="IP817" s="770"/>
      <c r="IQ817" s="770"/>
      <c r="IR817" s="770"/>
      <c r="IS817" s="770"/>
      <c r="IT817" s="770"/>
      <c r="IU817" s="770"/>
      <c r="IV817" s="770"/>
      <c r="IW817" s="770"/>
      <c r="IX817" s="770"/>
      <c r="IY817" s="770"/>
      <c r="IZ817" s="770"/>
      <c r="JA817" s="770"/>
      <c r="JB817" s="770"/>
      <c r="JC817" s="770"/>
      <c r="JD817" s="302"/>
      <c r="JE817" s="770"/>
      <c r="JF817" s="770"/>
      <c r="JG817" s="770"/>
      <c r="JH817" s="307"/>
      <c r="JI817" s="307"/>
      <c r="JJ817" s="770">
        <v>5</v>
      </c>
      <c r="JK817" s="1139" t="s">
        <v>3295</v>
      </c>
      <c r="JL817" s="770"/>
      <c r="JM817" s="770"/>
      <c r="JN817" s="770">
        <v>4</v>
      </c>
      <c r="JO817" s="770">
        <v>1</v>
      </c>
      <c r="JP817" s="770"/>
      <c r="JQ817" s="770"/>
      <c r="JR817" s="770"/>
      <c r="JS817" s="770"/>
      <c r="JT817" s="766">
        <f t="shared" si="261"/>
        <v>4</v>
      </c>
      <c r="JU817" s="766">
        <f t="shared" si="261"/>
        <v>1</v>
      </c>
      <c r="JV817" s="712" t="str">
        <f>IF(JT817=KJ817,"ok","male")</f>
        <v>ok</v>
      </c>
      <c r="JW817" s="712" t="str">
        <f>IF(JU817=KK817,"ok","female")</f>
        <v>ok</v>
      </c>
      <c r="JX817" s="770"/>
      <c r="JY817" s="770"/>
      <c r="JZ817" s="770"/>
      <c r="KA817" s="770"/>
      <c r="KB817" s="770">
        <v>2</v>
      </c>
      <c r="KC817" s="770"/>
      <c r="KD817" s="770">
        <v>1</v>
      </c>
      <c r="KE817" s="770"/>
      <c r="KF817" s="770">
        <v>1</v>
      </c>
      <c r="KG817" s="770">
        <v>1</v>
      </c>
      <c r="KH817" s="770"/>
      <c r="KI817" s="770"/>
      <c r="KJ817" s="770">
        <f t="shared" si="249"/>
        <v>4</v>
      </c>
      <c r="KK817" s="770">
        <f t="shared" si="249"/>
        <v>1</v>
      </c>
      <c r="KL817" s="712" t="str">
        <f>IF(KJ817=LN817,"ok","male")</f>
        <v>ok</v>
      </c>
      <c r="KM817" s="712" t="str">
        <f>IF(KK817=LO817,"ok","female")</f>
        <v>ok</v>
      </c>
      <c r="KN817" s="770" t="s">
        <v>707</v>
      </c>
      <c r="KO817" s="770"/>
      <c r="KP817" s="770">
        <v>1</v>
      </c>
      <c r="KQ817" s="770"/>
      <c r="KR817" s="770"/>
      <c r="KS817" s="770"/>
      <c r="KT817" s="770"/>
      <c r="KU817" s="770"/>
      <c r="KV817" s="770"/>
      <c r="KW817" s="770"/>
      <c r="KX817" s="770">
        <v>1</v>
      </c>
      <c r="KY817" s="770"/>
      <c r="KZ817" s="770">
        <v>1</v>
      </c>
      <c r="LA817" s="770">
        <v>1</v>
      </c>
      <c r="LB817" s="770">
        <v>1</v>
      </c>
      <c r="LC817" s="770"/>
      <c r="LD817" s="770"/>
      <c r="LE817" s="770"/>
      <c r="LF817" s="770"/>
      <c r="LG817" s="770"/>
      <c r="LH817" s="770"/>
      <c r="LI817" s="770"/>
      <c r="LJ817" s="770"/>
      <c r="LK817" s="770"/>
      <c r="LL817" s="770"/>
      <c r="LM817" s="770"/>
      <c r="LN817" s="766">
        <f t="shared" si="262"/>
        <v>4</v>
      </c>
      <c r="LO817" s="766">
        <f t="shared" si="262"/>
        <v>1</v>
      </c>
      <c r="LP817" s="770">
        <v>1</v>
      </c>
      <c r="LQ817" s="770">
        <v>1</v>
      </c>
      <c r="LR817" s="770"/>
      <c r="LS817" s="770"/>
      <c r="LT817" s="712" t="str">
        <f>IF(LQ817=SUM(LU817:LW817),"OK","REV")</f>
        <v>OK</v>
      </c>
      <c r="LU817" s="770"/>
      <c r="LV817" s="770">
        <v>1</v>
      </c>
      <c r="LW817" s="770"/>
      <c r="LX817" s="769">
        <v>5</v>
      </c>
      <c r="LY817" s="766" t="str">
        <f t="shared" si="258"/>
        <v>OVERSEAS Worker</v>
      </c>
      <c r="LZ817" s="1709"/>
      <c r="MA817" s="1709"/>
      <c r="MB817" s="1709"/>
      <c r="MC817" s="1679">
        <f t="shared" si="256"/>
        <v>0</v>
      </c>
      <c r="MD817" s="1709">
        <v>20000</v>
      </c>
      <c r="ME817" s="1709"/>
      <c r="MF817" s="1709"/>
      <c r="MG817" s="1680">
        <f t="shared" si="260"/>
        <v>20000</v>
      </c>
      <c r="MH817" s="770" t="s">
        <v>2210</v>
      </c>
      <c r="MI817" s="302">
        <v>4000</v>
      </c>
      <c r="MJ817" s="302">
        <v>3000</v>
      </c>
      <c r="MK817" s="302"/>
      <c r="ML817" s="302">
        <v>3000</v>
      </c>
      <c r="MM817" s="302">
        <v>12800</v>
      </c>
      <c r="MN817" s="302"/>
      <c r="MO817" s="302">
        <v>300</v>
      </c>
      <c r="MP817" s="302">
        <v>2500</v>
      </c>
      <c r="MQ817" s="302">
        <v>500</v>
      </c>
      <c r="MR817" s="302">
        <v>500</v>
      </c>
      <c r="MS817" s="302"/>
      <c r="MT817" s="302"/>
      <c r="MU817" s="302"/>
      <c r="MV817" s="302"/>
      <c r="MW817" s="302"/>
      <c r="MX817" s="302"/>
      <c r="MY817" s="1682">
        <f t="shared" si="243"/>
        <v>26600</v>
      </c>
      <c r="MZ817" s="770" t="s">
        <v>13370</v>
      </c>
      <c r="NA817" s="770" t="s">
        <v>13005</v>
      </c>
      <c r="NB817" s="770" t="s">
        <v>13016</v>
      </c>
      <c r="NC817" s="770" t="s">
        <v>13602</v>
      </c>
      <c r="ND817" s="770">
        <v>0</v>
      </c>
      <c r="NE817" s="770">
        <v>0</v>
      </c>
      <c r="NF817" s="770">
        <v>0</v>
      </c>
      <c r="NG817" s="770">
        <v>2</v>
      </c>
      <c r="NH817" s="770">
        <v>1</v>
      </c>
      <c r="NI817" s="770">
        <v>0</v>
      </c>
      <c r="NJ817" s="770">
        <v>0</v>
      </c>
      <c r="NK817" s="770">
        <v>0</v>
      </c>
      <c r="NL817" s="770">
        <v>1</v>
      </c>
      <c r="NM817" s="770">
        <v>0</v>
      </c>
      <c r="NN817" s="770">
        <v>0</v>
      </c>
      <c r="NO817" s="770">
        <v>0</v>
      </c>
      <c r="NP817" s="770">
        <v>0</v>
      </c>
      <c r="NQ817" s="770">
        <v>0</v>
      </c>
      <c r="NR817" s="770">
        <v>0</v>
      </c>
      <c r="NS817" s="770">
        <v>0</v>
      </c>
      <c r="NT817" s="770">
        <v>0</v>
      </c>
      <c r="NU817" s="770">
        <v>0</v>
      </c>
      <c r="NV817" s="770">
        <v>0</v>
      </c>
      <c r="NW817" s="770">
        <v>0</v>
      </c>
      <c r="NX817" s="770">
        <v>0</v>
      </c>
      <c r="NY817" s="770" t="s">
        <v>1208</v>
      </c>
      <c r="NZ817" s="770"/>
      <c r="OA817" s="770"/>
      <c r="OB817" s="770"/>
      <c r="OC817" s="770"/>
      <c r="OD817" s="770"/>
      <c r="OE817" s="770"/>
      <c r="OF817" s="770"/>
      <c r="OG817" s="770"/>
      <c r="OH817" s="770"/>
      <c r="OI817" s="770"/>
      <c r="OJ817" s="770"/>
      <c r="OK817" s="770"/>
      <c r="OL817" s="770"/>
      <c r="OM817" s="770"/>
      <c r="ON817" s="770"/>
      <c r="OO817" s="770"/>
      <c r="OP817" s="770"/>
      <c r="OQ817" s="770"/>
      <c r="OR817" s="770"/>
      <c r="OS817" s="770"/>
      <c r="OT817" s="770"/>
      <c r="OU817" s="770"/>
      <c r="OV817" s="770"/>
      <c r="OW817" s="770"/>
      <c r="OX817" s="770"/>
      <c r="OY817" s="770"/>
      <c r="OZ817" s="770"/>
      <c r="PA817" s="770"/>
      <c r="PB817" s="770"/>
      <c r="PC817" s="770"/>
      <c r="PD817" s="770"/>
      <c r="PE817" s="770"/>
      <c r="PF817" s="770"/>
      <c r="PG817" s="770"/>
      <c r="PH817" s="770"/>
      <c r="PI817" s="770"/>
      <c r="PJ817" s="770"/>
      <c r="PK817" s="770" t="s">
        <v>1208</v>
      </c>
      <c r="PL817" s="770"/>
      <c r="PM817" s="770"/>
      <c r="PN817" s="770"/>
      <c r="PO817" s="770"/>
      <c r="PP817" s="770"/>
      <c r="PQ817" s="770"/>
      <c r="PR817" s="770"/>
      <c r="PS817" s="770"/>
      <c r="PT817" s="770"/>
      <c r="PU817" s="770"/>
      <c r="PV817" s="770"/>
      <c r="PW817" s="770"/>
      <c r="PX817" s="770"/>
      <c r="PY817" s="770"/>
      <c r="PZ817" s="770"/>
      <c r="QA817" s="770"/>
      <c r="QB817" s="770"/>
      <c r="QC817" s="770"/>
      <c r="QD817" s="770"/>
      <c r="QE817" s="770"/>
      <c r="QF817" s="770"/>
      <c r="QG817" s="770"/>
      <c r="QH817" s="770"/>
      <c r="QI817" s="770"/>
      <c r="QJ817" s="770"/>
      <c r="QK817" s="770"/>
      <c r="QL817" s="770"/>
      <c r="QM817" s="770"/>
      <c r="QN817" s="770"/>
      <c r="QO817" s="770"/>
      <c r="QP817" s="770"/>
      <c r="QQ817" s="770"/>
      <c r="QR817" s="770"/>
      <c r="QS817" s="770"/>
      <c r="QT817" s="770"/>
      <c r="QU817" s="770"/>
      <c r="QV817" s="770"/>
      <c r="QW817" s="770"/>
      <c r="QX817" s="770"/>
      <c r="QY817" s="770"/>
      <c r="QZ817" s="770"/>
      <c r="RA817" s="770"/>
      <c r="RB817" s="770" t="s">
        <v>1207</v>
      </c>
      <c r="RC817" s="770" t="s">
        <v>13812</v>
      </c>
      <c r="RD817" s="770"/>
      <c r="RE817" s="770" t="s">
        <v>12999</v>
      </c>
      <c r="RF817" s="304">
        <v>1</v>
      </c>
      <c r="RG817" s="770" t="s">
        <v>13047</v>
      </c>
      <c r="RH817" s="306">
        <v>0</v>
      </c>
      <c r="RI817" s="770">
        <v>1</v>
      </c>
      <c r="RJ817" s="94" t="s">
        <v>14039</v>
      </c>
      <c r="RK817" s="770" t="s">
        <v>13544</v>
      </c>
      <c r="RL817" s="1710" t="s">
        <v>1604</v>
      </c>
      <c r="RM817" s="12"/>
      <c r="RN817" s="1711"/>
      <c r="RO817" s="149" t="s">
        <v>3288</v>
      </c>
      <c r="RP817" s="11"/>
      <c r="RQ817" s="11"/>
      <c r="RR817" s="311" t="s">
        <v>12355</v>
      </c>
      <c r="RS817" s="1139" t="s">
        <v>12980</v>
      </c>
      <c r="RT817" s="11"/>
      <c r="RU817" s="11"/>
      <c r="RV817" s="771" t="s">
        <v>7419</v>
      </c>
      <c r="RW817" s="11" t="s">
        <v>8034</v>
      </c>
      <c r="RX817" s="11" t="s">
        <v>5229</v>
      </c>
      <c r="RY817" s="11"/>
      <c r="RZ817" s="11"/>
      <c r="SA817" s="771"/>
      <c r="SB817" s="11"/>
      <c r="SC817" s="11"/>
    </row>
    <row r="818" spans="1:497" ht="12.75" customHeight="1">
      <c r="A818" s="311" t="s">
        <v>14255</v>
      </c>
      <c r="B818" s="292" t="s">
        <v>7491</v>
      </c>
      <c r="C818" s="149" t="s">
        <v>3288</v>
      </c>
      <c r="D818" s="94" t="s">
        <v>3296</v>
      </c>
      <c r="E818" s="766" t="s">
        <v>5302</v>
      </c>
      <c r="F818" s="770" t="s">
        <v>28</v>
      </c>
      <c r="G818" s="770" t="s">
        <v>18</v>
      </c>
      <c r="H818" s="12"/>
      <c r="I818" s="295" t="s">
        <v>3297</v>
      </c>
      <c r="J818" s="94" t="str">
        <f ca="1">IF(F818="Head",CELL("contents",D818),"NAMES")</f>
        <v>Meneses, Lucia Elatico</v>
      </c>
      <c r="K818" s="770"/>
      <c r="L818" s="770"/>
      <c r="M818" s="770"/>
      <c r="N818" s="1757"/>
      <c r="O818" s="1757"/>
      <c r="P818" s="94" t="s">
        <v>3298</v>
      </c>
      <c r="Q818" s="1088">
        <v>22499</v>
      </c>
      <c r="R818" s="297">
        <v>55</v>
      </c>
      <c r="S818" s="770" t="s">
        <v>18</v>
      </c>
      <c r="T818" s="770"/>
      <c r="U818" s="295" t="s">
        <v>3297</v>
      </c>
      <c r="V818" s="770" t="s">
        <v>719</v>
      </c>
      <c r="W818" s="770"/>
      <c r="X818" s="770"/>
      <c r="Y818" s="770" t="s">
        <v>3290</v>
      </c>
      <c r="Z818" s="770" t="s">
        <v>708</v>
      </c>
      <c r="AA818" s="770" t="s">
        <v>709</v>
      </c>
      <c r="AB818" s="770" t="s">
        <v>710</v>
      </c>
      <c r="AC818" s="770"/>
      <c r="AD818" s="770" t="s">
        <v>937</v>
      </c>
      <c r="AE818" s="770"/>
      <c r="AF818" s="770" t="s">
        <v>712</v>
      </c>
      <c r="AG818" s="770"/>
      <c r="AH818" s="770"/>
      <c r="AI818" s="770"/>
      <c r="AJ818" s="770"/>
      <c r="AK818" s="770" t="s">
        <v>1101</v>
      </c>
      <c r="AL818" s="531"/>
      <c r="AM818" s="780"/>
      <c r="AN818" s="532"/>
      <c r="AO818" s="766"/>
      <c r="AP818" s="766"/>
      <c r="AQ818" s="766"/>
      <c r="AR818" s="766"/>
      <c r="AS818" s="770"/>
      <c r="AT818" s="770"/>
      <c r="AU818" s="770"/>
      <c r="AV818" s="770"/>
      <c r="AW818" s="770"/>
      <c r="AX818" s="770"/>
      <c r="AY818" s="770"/>
      <c r="AZ818" s="770"/>
      <c r="BA818" s="770"/>
      <c r="BB818" s="770"/>
      <c r="BC818" s="770"/>
      <c r="BD818" s="770"/>
      <c r="BE818" s="770"/>
      <c r="BF818" s="302"/>
      <c r="BG818" s="302"/>
      <c r="BH818" s="770"/>
      <c r="BI818" s="770"/>
      <c r="BJ818" s="770"/>
      <c r="BK818" s="766"/>
      <c r="BL818" s="766"/>
      <c r="BM818" s="766" t="s">
        <v>1238</v>
      </c>
      <c r="BN818" s="766" t="s">
        <v>1299</v>
      </c>
      <c r="BO818" s="770"/>
      <c r="BP818" s="765"/>
      <c r="BQ818" s="773"/>
      <c r="BR818" s="774"/>
      <c r="BS818" s="766" t="s">
        <v>1242</v>
      </c>
      <c r="BT818" s="770"/>
      <c r="BU818" s="770"/>
      <c r="BV818" s="770"/>
      <c r="BW818" s="770"/>
      <c r="BX818" s="302"/>
      <c r="BY818" s="770"/>
      <c r="BZ818" s="302"/>
      <c r="CA818" s="770"/>
      <c r="CB818" s="770"/>
      <c r="CC818" s="770"/>
      <c r="CD818" s="770"/>
      <c r="CE818" s="302"/>
      <c r="CF818" s="304"/>
      <c r="CG818" s="321"/>
      <c r="CH818" s="770"/>
      <c r="CI818" s="770"/>
      <c r="CJ818" s="770"/>
      <c r="CK818" s="770"/>
      <c r="CL818" s="770"/>
      <c r="CM818" s="770"/>
      <c r="CN818" s="770"/>
      <c r="CO818" s="770"/>
      <c r="CP818" s="770"/>
      <c r="CQ818" s="770"/>
      <c r="CR818" s="302"/>
      <c r="CS818" s="770"/>
      <c r="CT818" s="770"/>
      <c r="CU818" s="305"/>
      <c r="CV818" s="770"/>
      <c r="CW818" s="770"/>
      <c r="CX818" s="770"/>
      <c r="CY818" s="770"/>
      <c r="CZ818" s="770"/>
      <c r="DA818" s="306"/>
      <c r="DB818" s="770"/>
      <c r="DC818" s="770"/>
      <c r="DD818" s="770"/>
      <c r="DE818" s="300"/>
      <c r="DF818" s="770"/>
      <c r="DG818" s="770"/>
      <c r="DH818" s="770"/>
      <c r="DI818" s="770"/>
      <c r="DJ818" s="770"/>
      <c r="DK818" s="770"/>
      <c r="DL818" s="770"/>
      <c r="DM818" s="770"/>
      <c r="DN818" s="322"/>
      <c r="DO818" s="770"/>
      <c r="DP818" s="770"/>
      <c r="DQ818" s="770"/>
      <c r="DR818" s="770"/>
      <c r="DS818" s="307"/>
      <c r="DT818" s="770"/>
      <c r="DU818" s="770"/>
      <c r="DV818" s="770"/>
      <c r="DW818" s="306"/>
      <c r="DX818" s="306"/>
      <c r="DY818" s="1055"/>
      <c r="DZ818" s="770"/>
      <c r="EA818" s="770"/>
      <c r="EB818" s="770"/>
      <c r="EC818" s="770"/>
      <c r="ED818" s="770"/>
      <c r="EE818" s="770"/>
      <c r="EF818" s="770"/>
      <c r="EG818" s="770"/>
      <c r="EH818" s="770"/>
      <c r="EI818" s="770"/>
      <c r="EJ818" s="770"/>
      <c r="EK818" s="770"/>
      <c r="EL818" s="770"/>
      <c r="EM818" s="770"/>
      <c r="EN818" s="770"/>
      <c r="EO818" s="770"/>
      <c r="EP818" s="94"/>
      <c r="EQ818" s="770"/>
      <c r="ER818" s="770"/>
      <c r="ES818" s="770"/>
      <c r="ET818" s="770"/>
      <c r="EU818" s="770"/>
      <c r="EV818" s="770"/>
      <c r="EW818" s="770"/>
      <c r="EX818" s="770"/>
      <c r="EY818" s="770"/>
      <c r="EZ818" s="770"/>
      <c r="FA818" s="770"/>
      <c r="FB818" s="770"/>
      <c r="FC818" s="770"/>
      <c r="FD818" s="302"/>
      <c r="FE818" s="770"/>
      <c r="FF818" s="770"/>
      <c r="FG818" s="770"/>
      <c r="FH818" s="770" t="s">
        <v>478</v>
      </c>
      <c r="FI818" s="770">
        <v>1</v>
      </c>
      <c r="FJ818" s="770" t="s">
        <v>3299</v>
      </c>
      <c r="FK818" s="770"/>
      <c r="FL818" s="770"/>
      <c r="FM818" s="302"/>
      <c r="FN818" s="302"/>
      <c r="FO818" s="302"/>
      <c r="FP818" s="770" t="s">
        <v>1600</v>
      </c>
      <c r="FQ818" s="770" t="s">
        <v>1642</v>
      </c>
      <c r="FR818" s="770"/>
      <c r="FS818" s="770"/>
      <c r="FT818" s="770"/>
      <c r="FU818" s="770"/>
      <c r="FV818" s="770"/>
      <c r="FW818" s="770"/>
      <c r="FX818" s="770"/>
      <c r="FY818" s="770"/>
      <c r="FZ818" s="770"/>
      <c r="GA818" s="770"/>
      <c r="GB818" s="770"/>
      <c r="GC818" s="308"/>
      <c r="GD818" s="297"/>
      <c r="GE818" s="770"/>
      <c r="GF818" s="302"/>
      <c r="GG818" s="302"/>
      <c r="GH818" s="770"/>
      <c r="GI818" s="770"/>
      <c r="GJ818" s="770"/>
      <c r="GK818" s="770"/>
      <c r="GL818" s="770"/>
      <c r="GM818" s="770"/>
      <c r="GN818" s="299"/>
      <c r="GO818" s="770"/>
      <c r="GP818" s="770"/>
      <c r="GQ818" s="770"/>
      <c r="GR818" s="770"/>
      <c r="GS818" s="770"/>
      <c r="GT818" s="770"/>
      <c r="GU818" s="770"/>
      <c r="GV818" s="770"/>
      <c r="GW818" s="770"/>
      <c r="GX818" s="770"/>
      <c r="GY818" s="770"/>
      <c r="GZ818" s="770"/>
      <c r="HA818" s="770"/>
      <c r="HB818" s="770"/>
      <c r="HC818" s="770"/>
      <c r="HD818" s="770"/>
      <c r="HE818" s="770"/>
      <c r="HF818" s="770"/>
      <c r="HG818" s="770"/>
      <c r="HH818" s="770"/>
      <c r="HI818" s="770"/>
      <c r="HJ818" s="770"/>
      <c r="HK818" s="770"/>
      <c r="HL818" s="770"/>
      <c r="HM818" s="770"/>
      <c r="HN818" s="770"/>
      <c r="HO818" s="770"/>
      <c r="HP818" s="770"/>
      <c r="HQ818" s="770"/>
      <c r="HR818" s="770"/>
      <c r="HS818" s="770"/>
      <c r="HT818" s="770"/>
      <c r="HU818" s="770"/>
      <c r="HV818" s="770"/>
      <c r="HW818" s="770"/>
      <c r="HX818" s="770"/>
      <c r="HY818" s="770"/>
      <c r="HZ818" s="770"/>
      <c r="IA818" s="770"/>
      <c r="IB818" s="14" t="e">
        <f>IF(#REF!&gt;0,IF(#REF!&lt;=10000,"Y",""),"")</f>
        <v>#REF!</v>
      </c>
      <c r="IC818" s="770" t="s">
        <v>1207</v>
      </c>
      <c r="ID818" s="770"/>
      <c r="IE818" s="770"/>
      <c r="IF818" s="770"/>
      <c r="IG818" s="770"/>
      <c r="IH818" s="770"/>
      <c r="II818" s="770"/>
      <c r="IJ818" s="770"/>
      <c r="IK818" s="770"/>
      <c r="IL818" s="770"/>
      <c r="IM818" s="770"/>
      <c r="IN818" s="770"/>
      <c r="IO818" s="296"/>
      <c r="IP818" s="770"/>
      <c r="IQ818" s="770"/>
      <c r="IR818" s="770"/>
      <c r="IS818" s="770"/>
      <c r="IT818" s="770"/>
      <c r="IU818" s="770"/>
      <c r="IV818" s="770"/>
      <c r="IW818" s="770"/>
      <c r="IX818" s="770"/>
      <c r="IY818" s="770"/>
      <c r="IZ818" s="770"/>
      <c r="JA818" s="770"/>
      <c r="JB818" s="770"/>
      <c r="JC818" s="770"/>
      <c r="JD818" s="302"/>
      <c r="JE818" s="770"/>
      <c r="JF818" s="770"/>
      <c r="JG818" s="770"/>
      <c r="JH818" s="307"/>
      <c r="JI818" s="712" t="str">
        <f>IF(SUM(JT818,JU818)=JJ818,"ok","review")</f>
        <v>ok</v>
      </c>
      <c r="JJ818" s="770">
        <v>2</v>
      </c>
      <c r="JK818" s="1139" t="s">
        <v>3300</v>
      </c>
      <c r="JL818" s="770"/>
      <c r="JM818" s="770"/>
      <c r="JN818" s="770">
        <v>1</v>
      </c>
      <c r="JO818" s="770">
        <v>1</v>
      </c>
      <c r="JP818" s="770"/>
      <c r="JQ818" s="770"/>
      <c r="JR818" s="770"/>
      <c r="JS818" s="770"/>
      <c r="JT818" s="766">
        <f t="shared" si="261"/>
        <v>1</v>
      </c>
      <c r="JU818" s="766">
        <f t="shared" si="261"/>
        <v>1</v>
      </c>
      <c r="JV818" s="712" t="str">
        <f>IF(JT818=KJ818,"ok","male")</f>
        <v>ok</v>
      </c>
      <c r="JW818" s="712" t="str">
        <f>IF(JU818=KK818,"ok","female")</f>
        <v>ok</v>
      </c>
      <c r="JX818" s="770"/>
      <c r="JY818" s="770"/>
      <c r="JZ818" s="770"/>
      <c r="KA818" s="770"/>
      <c r="KB818" s="770">
        <v>1</v>
      </c>
      <c r="KC818" s="770"/>
      <c r="KD818" s="770"/>
      <c r="KE818" s="770">
        <v>1</v>
      </c>
      <c r="KF818" s="770"/>
      <c r="KG818" s="770"/>
      <c r="KH818" s="770"/>
      <c r="KI818" s="770"/>
      <c r="KJ818" s="770">
        <f t="shared" si="249"/>
        <v>1</v>
      </c>
      <c r="KK818" s="770">
        <f t="shared" si="249"/>
        <v>1</v>
      </c>
      <c r="KL818" s="712" t="str">
        <f>IF(KJ818=LN818,"ok","male")</f>
        <v>ok</v>
      </c>
      <c r="KM818" s="712" t="str">
        <f>IF(KK818=LO818,"ok","female")</f>
        <v>ok</v>
      </c>
      <c r="KN818" s="770" t="s">
        <v>719</v>
      </c>
      <c r="KO818" s="770"/>
      <c r="KP818" s="770"/>
      <c r="KQ818" s="770"/>
      <c r="KR818" s="770"/>
      <c r="KS818" s="770"/>
      <c r="KT818" s="770"/>
      <c r="KU818" s="770"/>
      <c r="KV818" s="770"/>
      <c r="KW818" s="770"/>
      <c r="KX818" s="770"/>
      <c r="KY818" s="770"/>
      <c r="KZ818" s="770"/>
      <c r="LA818" s="770">
        <v>1</v>
      </c>
      <c r="LB818" s="770">
        <v>1</v>
      </c>
      <c r="LC818" s="770"/>
      <c r="LD818" s="770"/>
      <c r="LE818" s="770"/>
      <c r="LF818" s="770"/>
      <c r="LG818" s="770"/>
      <c r="LH818" s="770"/>
      <c r="LI818" s="770"/>
      <c r="LJ818" s="770"/>
      <c r="LK818" s="770"/>
      <c r="LL818" s="770"/>
      <c r="LM818" s="770"/>
      <c r="LN818" s="766">
        <f t="shared" si="262"/>
        <v>1</v>
      </c>
      <c r="LO818" s="766">
        <f t="shared" si="262"/>
        <v>1</v>
      </c>
      <c r="LP818" s="770">
        <v>1</v>
      </c>
      <c r="LQ818" s="770">
        <v>1</v>
      </c>
      <c r="LR818" s="770"/>
      <c r="LS818" s="770"/>
      <c r="LT818" s="712" t="str">
        <f>IF(LQ818=SUM(LU818:LW818),"OK","REV")</f>
        <v>OK</v>
      </c>
      <c r="LU818" s="770"/>
      <c r="LV818" s="770">
        <v>1</v>
      </c>
      <c r="LW818" s="770"/>
      <c r="LX818" s="769">
        <v>3</v>
      </c>
      <c r="LY818" s="766" t="str">
        <f t="shared" si="258"/>
        <v>within the PROVINCE</v>
      </c>
      <c r="LZ818" s="1709">
        <v>3000</v>
      </c>
      <c r="MA818" s="1709"/>
      <c r="MB818" s="1709"/>
      <c r="MC818" s="1679">
        <f t="shared" si="256"/>
        <v>3000</v>
      </c>
      <c r="MD818" s="1709">
        <v>8000</v>
      </c>
      <c r="ME818" s="1709"/>
      <c r="MF818" s="1709"/>
      <c r="MG818" s="1680">
        <f t="shared" si="260"/>
        <v>8000</v>
      </c>
      <c r="MH818" s="770" t="s">
        <v>2198</v>
      </c>
      <c r="MI818" s="302">
        <v>6000</v>
      </c>
      <c r="MJ818" s="302">
        <v>3000</v>
      </c>
      <c r="MK818" s="302">
        <v>1000</v>
      </c>
      <c r="ML818" s="302">
        <v>3000</v>
      </c>
      <c r="MM818" s="302"/>
      <c r="MN818" s="302"/>
      <c r="MO818" s="302">
        <v>200</v>
      </c>
      <c r="MP818" s="302">
        <v>1000</v>
      </c>
      <c r="MQ818" s="302">
        <v>200</v>
      </c>
      <c r="MR818" s="302">
        <v>300</v>
      </c>
      <c r="MS818" s="302">
        <v>1000</v>
      </c>
      <c r="MT818" s="302"/>
      <c r="MU818" s="302"/>
      <c r="MV818" s="302"/>
      <c r="MW818" s="302"/>
      <c r="MX818" s="302"/>
      <c r="MY818" s="1682">
        <f t="shared" si="243"/>
        <v>15700</v>
      </c>
      <c r="MZ818" s="770" t="s">
        <v>13370</v>
      </c>
      <c r="NA818" s="770" t="s">
        <v>13230</v>
      </c>
      <c r="NB818" s="770" t="s">
        <v>13016</v>
      </c>
      <c r="NC818" s="770" t="s">
        <v>13621</v>
      </c>
      <c r="ND818" s="770">
        <v>0</v>
      </c>
      <c r="NE818" s="770">
        <v>0</v>
      </c>
      <c r="NF818" s="770">
        <v>0</v>
      </c>
      <c r="NG818" s="770">
        <v>2</v>
      </c>
      <c r="NH818" s="770">
        <v>1</v>
      </c>
      <c r="NI818" s="770">
        <v>0</v>
      </c>
      <c r="NJ818" s="770">
        <v>0</v>
      </c>
      <c r="NK818" s="770">
        <v>0</v>
      </c>
      <c r="NL818" s="770">
        <v>1</v>
      </c>
      <c r="NM818" s="770">
        <v>0</v>
      </c>
      <c r="NN818" s="770">
        <v>0</v>
      </c>
      <c r="NO818" s="770">
        <v>0</v>
      </c>
      <c r="NP818" s="770">
        <v>0</v>
      </c>
      <c r="NQ818" s="770">
        <v>0</v>
      </c>
      <c r="NR818" s="770">
        <v>0</v>
      </c>
      <c r="NS818" s="770">
        <v>0</v>
      </c>
      <c r="NT818" s="770">
        <v>0</v>
      </c>
      <c r="NU818" s="770">
        <v>0</v>
      </c>
      <c r="NV818" s="770">
        <v>0</v>
      </c>
      <c r="NW818" s="770">
        <v>0</v>
      </c>
      <c r="NX818" s="770">
        <v>0</v>
      </c>
      <c r="NY818" s="770" t="s">
        <v>1208</v>
      </c>
      <c r="NZ818" s="770"/>
      <c r="OA818" s="770"/>
      <c r="OB818" s="770"/>
      <c r="OC818" s="770" t="s">
        <v>1208</v>
      </c>
      <c r="OD818" s="770"/>
      <c r="OE818" s="770"/>
      <c r="OF818" s="770"/>
      <c r="OG818" s="770"/>
      <c r="OH818" s="770"/>
      <c r="OI818" s="770"/>
      <c r="OJ818" s="770"/>
      <c r="OK818" s="770"/>
      <c r="OL818" s="770"/>
      <c r="OM818" s="770"/>
      <c r="ON818" s="770"/>
      <c r="OO818" s="770"/>
      <c r="OP818" s="770"/>
      <c r="OQ818" s="770"/>
      <c r="OR818" s="770"/>
      <c r="OS818" s="770"/>
      <c r="OT818" s="770"/>
      <c r="OU818" s="770"/>
      <c r="OV818" s="770"/>
      <c r="OW818" s="770"/>
      <c r="OX818" s="770"/>
      <c r="OY818" s="770"/>
      <c r="OZ818" s="770"/>
      <c r="PA818" s="770"/>
      <c r="PB818" s="770"/>
      <c r="PC818" s="770"/>
      <c r="PD818" s="770"/>
      <c r="PE818" s="770"/>
      <c r="PF818" s="770"/>
      <c r="PG818" s="770"/>
      <c r="PH818" s="770"/>
      <c r="PI818" s="770"/>
      <c r="PJ818" s="770"/>
      <c r="PK818" s="770"/>
      <c r="PL818" s="770"/>
      <c r="PM818" s="770"/>
      <c r="PN818" s="770"/>
      <c r="PO818" s="770"/>
      <c r="PP818" s="770"/>
      <c r="PQ818" s="770"/>
      <c r="PR818" s="770"/>
      <c r="PS818" s="770"/>
      <c r="PT818" s="770"/>
      <c r="PU818" s="770"/>
      <c r="PV818" s="770"/>
      <c r="PW818" s="770"/>
      <c r="PX818" s="770"/>
      <c r="PY818" s="770"/>
      <c r="PZ818" s="770"/>
      <c r="QA818" s="770"/>
      <c r="QB818" s="770"/>
      <c r="QC818" s="770" t="s">
        <v>1208</v>
      </c>
      <c r="QD818" s="770"/>
      <c r="QE818" s="770"/>
      <c r="QF818" s="770"/>
      <c r="QG818" s="770"/>
      <c r="QH818" s="770"/>
      <c r="QI818" s="770"/>
      <c r="QJ818" s="770"/>
      <c r="QK818" s="770"/>
      <c r="QL818" s="770"/>
      <c r="QM818" s="770"/>
      <c r="QN818" s="770"/>
      <c r="QO818" s="770"/>
      <c r="QP818" s="770"/>
      <c r="QQ818" s="770"/>
      <c r="QR818" s="770"/>
      <c r="QS818" s="770"/>
      <c r="QT818" s="770"/>
      <c r="QU818" s="770"/>
      <c r="QV818" s="770"/>
      <c r="QW818" s="770"/>
      <c r="QX818" s="770"/>
      <c r="QY818" s="770"/>
      <c r="QZ818" s="770"/>
      <c r="RA818" s="770"/>
      <c r="RB818" s="770" t="s">
        <v>1207</v>
      </c>
      <c r="RC818" s="770">
        <v>2014</v>
      </c>
      <c r="RD818" s="770" t="s">
        <v>13251</v>
      </c>
      <c r="RE818" s="770" t="s">
        <v>12999</v>
      </c>
      <c r="RF818" s="304">
        <v>0.5</v>
      </c>
      <c r="RG818" s="770" t="s">
        <v>13047</v>
      </c>
      <c r="RH818" s="306">
        <v>500</v>
      </c>
      <c r="RI818" s="770">
        <v>24</v>
      </c>
      <c r="RJ818" s="94" t="s">
        <v>3300</v>
      </c>
      <c r="RK818" s="770" t="s">
        <v>13550</v>
      </c>
      <c r="RL818" s="1710">
        <v>42852</v>
      </c>
      <c r="RM818" s="12"/>
      <c r="RN818" s="1711"/>
      <c r="RO818" s="149" t="s">
        <v>3288</v>
      </c>
      <c r="RP818" s="11"/>
      <c r="RQ818" s="11"/>
      <c r="RR818" s="311" t="s">
        <v>12355</v>
      </c>
      <c r="RS818" s="1139" t="s">
        <v>12980</v>
      </c>
      <c r="RT818" s="11"/>
      <c r="RU818" s="11"/>
      <c r="RV818" s="771" t="s">
        <v>7421</v>
      </c>
      <c r="RW818" s="11" t="s">
        <v>7490</v>
      </c>
      <c r="RX818" s="11" t="s">
        <v>3288</v>
      </c>
      <c r="RY818" s="11"/>
      <c r="RZ818" s="11"/>
      <c r="SA818" s="771"/>
      <c r="SB818" s="11"/>
      <c r="SC818" s="11"/>
    </row>
    <row r="819" spans="1:497" ht="12.75" hidden="1" customHeight="1">
      <c r="A819" s="19" t="s">
        <v>7419</v>
      </c>
      <c r="B819" s="292" t="s">
        <v>7492</v>
      </c>
      <c r="C819" s="149" t="s">
        <v>5243</v>
      </c>
      <c r="D819" s="94" t="s">
        <v>5244</v>
      </c>
      <c r="E819" s="766" t="s">
        <v>5301</v>
      </c>
      <c r="F819" s="770" t="s">
        <v>28</v>
      </c>
      <c r="G819" s="770" t="s">
        <v>18</v>
      </c>
      <c r="H819" s="12"/>
      <c r="I819" s="295" t="s">
        <v>5245</v>
      </c>
      <c r="J819" s="94" t="s">
        <v>5244</v>
      </c>
      <c r="K819" s="766" t="s">
        <v>5246</v>
      </c>
      <c r="L819" s="766" t="s">
        <v>3254</v>
      </c>
      <c r="M819" s="770" t="s">
        <v>1238</v>
      </c>
      <c r="N819" s="1757"/>
      <c r="O819" s="1757" t="s">
        <v>4830</v>
      </c>
      <c r="P819" s="770"/>
      <c r="Q819" s="1088"/>
      <c r="R819" s="297"/>
      <c r="S819" s="770"/>
      <c r="T819" s="770"/>
      <c r="U819" s="295"/>
      <c r="V819" s="770"/>
      <c r="W819" s="770"/>
      <c r="X819" s="770"/>
      <c r="Y819" s="770"/>
      <c r="Z819" s="770"/>
      <c r="AA819" s="770"/>
      <c r="AB819" s="770"/>
      <c r="AC819" s="770"/>
      <c r="AD819" s="770"/>
      <c r="AE819" s="770"/>
      <c r="AF819" s="770"/>
      <c r="AG819" s="766" t="s">
        <v>1095</v>
      </c>
      <c r="AH819" s="766" t="s">
        <v>1096</v>
      </c>
      <c r="AI819" s="770" t="s">
        <v>3294</v>
      </c>
      <c r="AJ819" s="770"/>
      <c r="AK819" s="770" t="s">
        <v>1097</v>
      </c>
      <c r="AL819" s="531">
        <v>103.75</v>
      </c>
      <c r="AM819" s="780">
        <v>13.8</v>
      </c>
      <c r="AN819" s="532">
        <f t="shared" si="259"/>
        <v>0.1330120481927711</v>
      </c>
      <c r="AO819" s="766" t="s">
        <v>1109</v>
      </c>
      <c r="AP819" s="766" t="s">
        <v>7224</v>
      </c>
      <c r="AQ819" s="766" t="s">
        <v>7418</v>
      </c>
      <c r="AR819" s="766"/>
      <c r="AS819" s="770"/>
      <c r="AT819" s="770"/>
      <c r="AU819" s="770"/>
      <c r="AV819" s="770"/>
      <c r="AW819" s="770"/>
      <c r="AX819" s="770"/>
      <c r="AY819" s="770"/>
      <c r="AZ819" s="770"/>
      <c r="BA819" s="770"/>
      <c r="BB819" s="770"/>
      <c r="BC819" s="770"/>
      <c r="BD819" s="770"/>
      <c r="BE819" s="770"/>
      <c r="BF819" s="302"/>
      <c r="BG819" s="302"/>
      <c r="BH819" s="770"/>
      <c r="BI819" s="770"/>
      <c r="BJ819" s="770"/>
      <c r="BK819" s="766"/>
      <c r="BL819" s="766"/>
      <c r="BM819" s="766"/>
      <c r="BN819" s="766"/>
      <c r="BO819" s="770"/>
      <c r="BP819" s="765"/>
      <c r="BQ819" s="773"/>
      <c r="BR819" s="774"/>
      <c r="BS819" s="766"/>
      <c r="BT819" s="770"/>
      <c r="BU819" s="770"/>
      <c r="BV819" s="770"/>
      <c r="BW819" s="770"/>
      <c r="BX819" s="302"/>
      <c r="BY819" s="770"/>
      <c r="BZ819" s="302"/>
      <c r="CA819" s="770"/>
      <c r="CB819" s="770" t="s">
        <v>1207</v>
      </c>
      <c r="CC819" s="770" t="s">
        <v>5247</v>
      </c>
      <c r="CD819" s="770">
        <v>1969</v>
      </c>
      <c r="CE819" s="302"/>
      <c r="CF819" s="304">
        <v>3</v>
      </c>
      <c r="CG819" s="321">
        <v>30</v>
      </c>
      <c r="CH819" s="770" t="s">
        <v>5248</v>
      </c>
      <c r="CI819" s="770"/>
      <c r="CJ819" s="770"/>
      <c r="CK819" s="770">
        <v>4</v>
      </c>
      <c r="CL819" s="770" t="s">
        <v>1240</v>
      </c>
      <c r="CM819" s="770"/>
      <c r="CN819" s="770"/>
      <c r="CO819" s="770" t="s">
        <v>1242</v>
      </c>
      <c r="CP819" s="770"/>
      <c r="CQ819" s="770"/>
      <c r="CR819" s="302"/>
      <c r="CS819" s="770"/>
      <c r="CT819" s="770"/>
      <c r="CU819" s="305"/>
      <c r="CV819" s="770"/>
      <c r="CW819" s="770"/>
      <c r="CX819" s="770"/>
      <c r="CY819" s="770"/>
      <c r="CZ819" s="770"/>
      <c r="DA819" s="306"/>
      <c r="DB819" s="770"/>
      <c r="DC819" s="770"/>
      <c r="DD819" s="770"/>
      <c r="DE819" s="300"/>
      <c r="DF819" s="770"/>
      <c r="DG819" s="770"/>
      <c r="DH819" s="770"/>
      <c r="DI819" s="770"/>
      <c r="DJ819" s="770"/>
      <c r="DK819" s="770"/>
      <c r="DL819" s="770"/>
      <c r="DM819" s="770"/>
      <c r="DN819" s="322"/>
      <c r="DO819" s="770"/>
      <c r="DP819" s="770"/>
      <c r="DQ819" s="770"/>
      <c r="DR819" s="770"/>
      <c r="DS819" s="307"/>
      <c r="DT819" s="770"/>
      <c r="DU819" s="770"/>
      <c r="DV819" s="770"/>
      <c r="DW819" s="306"/>
      <c r="DX819" s="306"/>
      <c r="DY819" s="1055"/>
      <c r="DZ819" s="770"/>
      <c r="EA819" s="770"/>
      <c r="EB819" s="770"/>
      <c r="EC819" s="770"/>
      <c r="ED819" s="770"/>
      <c r="EE819" s="770"/>
      <c r="EF819" s="770"/>
      <c r="EG819" s="770"/>
      <c r="EH819" s="770"/>
      <c r="EI819" s="770"/>
      <c r="EJ819" s="770"/>
      <c r="EK819" s="770"/>
      <c r="EL819" s="770"/>
      <c r="EM819" s="770"/>
      <c r="EN819" s="770"/>
      <c r="EO819" s="770"/>
      <c r="EP819" s="94"/>
      <c r="EQ819" s="770"/>
      <c r="ER819" s="770"/>
      <c r="ES819" s="770"/>
      <c r="ET819" s="770"/>
      <c r="EU819" s="770"/>
      <c r="EV819" s="770"/>
      <c r="EW819" s="770"/>
      <c r="EX819" s="770"/>
      <c r="EY819" s="770"/>
      <c r="EZ819" s="770" t="s">
        <v>5247</v>
      </c>
      <c r="FA819" s="770" t="s">
        <v>5249</v>
      </c>
      <c r="FB819" s="770" t="s">
        <v>1257</v>
      </c>
      <c r="FC819" s="770"/>
      <c r="FD819" s="302"/>
      <c r="FE819" s="770" t="s">
        <v>5250</v>
      </c>
      <c r="FF819" s="770" t="s">
        <v>5251</v>
      </c>
      <c r="FG819" s="770"/>
      <c r="FH819" s="770"/>
      <c r="FI819" s="770"/>
      <c r="FJ819" s="770"/>
      <c r="FK819" s="770"/>
      <c r="FL819" s="770"/>
      <c r="FM819" s="302"/>
      <c r="FN819" s="302"/>
      <c r="FO819" s="302"/>
      <c r="FP819" s="770"/>
      <c r="FQ819" s="770"/>
      <c r="FR819" s="770"/>
      <c r="FS819" s="770"/>
      <c r="FT819" s="770"/>
      <c r="FU819" s="770"/>
      <c r="FV819" s="770"/>
      <c r="FW819" s="770"/>
      <c r="FX819" s="770"/>
      <c r="FY819" s="770"/>
      <c r="FZ819" s="770"/>
      <c r="GA819" s="770"/>
      <c r="GB819" s="770"/>
      <c r="GC819" s="308"/>
      <c r="GD819" s="297"/>
      <c r="GE819" s="770"/>
      <c r="GF819" s="302"/>
      <c r="GG819" s="302"/>
      <c r="GH819" s="770"/>
      <c r="GI819" s="770"/>
      <c r="GJ819" s="770"/>
      <c r="GK819" s="770"/>
      <c r="GL819" s="770"/>
      <c r="GM819" s="770"/>
      <c r="GN819" s="299"/>
      <c r="GO819" s="770"/>
      <c r="GP819" s="770"/>
      <c r="GQ819" s="770"/>
      <c r="GR819" s="770"/>
      <c r="GS819" s="770"/>
      <c r="GT819" s="770"/>
      <c r="GU819" s="770"/>
      <c r="GV819" s="770"/>
      <c r="GW819" s="770"/>
      <c r="GX819" s="770"/>
      <c r="GY819" s="770"/>
      <c r="GZ819" s="770"/>
      <c r="HA819" s="770"/>
      <c r="HB819" s="770"/>
      <c r="HC819" s="770"/>
      <c r="HD819" s="770"/>
      <c r="HE819" s="770"/>
      <c r="HF819" s="770"/>
      <c r="HG819" s="770"/>
      <c r="HH819" s="770"/>
      <c r="HI819" s="770"/>
      <c r="HJ819" s="770"/>
      <c r="HK819" s="770"/>
      <c r="HL819" s="770"/>
      <c r="HM819" s="770"/>
      <c r="HN819" s="770"/>
      <c r="HO819" s="770"/>
      <c r="HP819" s="770"/>
      <c r="HQ819" s="770"/>
      <c r="HR819" s="770"/>
      <c r="HS819" s="770"/>
      <c r="HT819" s="770"/>
      <c r="HU819" s="770"/>
      <c r="HV819" s="770"/>
      <c r="HW819" s="770"/>
      <c r="HX819" s="770"/>
      <c r="HY819" s="770"/>
      <c r="HZ819" s="770"/>
      <c r="IA819" s="770"/>
      <c r="IB819" s="770"/>
      <c r="IC819" s="770"/>
      <c r="ID819" s="770"/>
      <c r="IE819" s="770"/>
      <c r="IF819" s="770"/>
      <c r="IG819" s="770"/>
      <c r="IH819" s="770"/>
      <c r="II819" s="770"/>
      <c r="IJ819" s="770"/>
      <c r="IK819" s="770"/>
      <c r="IL819" s="770"/>
      <c r="IM819" s="770"/>
      <c r="IN819" s="770"/>
      <c r="IO819" s="296"/>
      <c r="IP819" s="770"/>
      <c r="IQ819" s="770"/>
      <c r="IR819" s="770"/>
      <c r="IS819" s="770"/>
      <c r="IT819" s="770"/>
      <c r="IU819" s="770"/>
      <c r="IV819" s="770"/>
      <c r="IW819" s="770"/>
      <c r="IX819" s="770"/>
      <c r="IY819" s="770"/>
      <c r="IZ819" s="770"/>
      <c r="JA819" s="770"/>
      <c r="JB819" s="770"/>
      <c r="JC819" s="770"/>
      <c r="JD819" s="302"/>
      <c r="JE819" s="770"/>
      <c r="JF819" s="770"/>
      <c r="JG819" s="770"/>
      <c r="JH819" s="307"/>
      <c r="JI819" s="307"/>
      <c r="JJ819" s="770"/>
      <c r="JK819" s="770"/>
      <c r="JL819" s="770"/>
      <c r="JM819" s="770"/>
      <c r="JN819" s="770"/>
      <c r="JO819" s="770"/>
      <c r="JP819" s="770"/>
      <c r="JQ819" s="770"/>
      <c r="JR819" s="770"/>
      <c r="JS819" s="770"/>
      <c r="JT819" s="766"/>
      <c r="JU819" s="766"/>
      <c r="JV819" s="766"/>
      <c r="JW819" s="766"/>
      <c r="JX819" s="770"/>
      <c r="JY819" s="770"/>
      <c r="JZ819" s="770"/>
      <c r="KA819" s="770"/>
      <c r="KB819" s="770"/>
      <c r="KC819" s="770"/>
      <c r="KD819" s="770"/>
      <c r="KE819" s="770"/>
      <c r="KF819" s="770"/>
      <c r="KG819" s="770"/>
      <c r="KH819" s="770"/>
      <c r="KI819" s="770"/>
      <c r="KJ819" s="770"/>
      <c r="KK819" s="770"/>
      <c r="KL819" s="770"/>
      <c r="KM819" s="770"/>
      <c r="KN819" s="770"/>
      <c r="KO819" s="770"/>
      <c r="KP819" s="770"/>
      <c r="KQ819" s="770"/>
      <c r="KR819" s="770"/>
      <c r="KS819" s="770"/>
      <c r="KT819" s="770"/>
      <c r="KU819" s="770"/>
      <c r="KV819" s="770"/>
      <c r="KW819" s="770"/>
      <c r="KX819" s="770"/>
      <c r="KY819" s="770"/>
      <c r="KZ819" s="770"/>
      <c r="LA819" s="770"/>
      <c r="LB819" s="770"/>
      <c r="LC819" s="770"/>
      <c r="LD819" s="770"/>
      <c r="LE819" s="770"/>
      <c r="LF819" s="770"/>
      <c r="LG819" s="770"/>
      <c r="LH819" s="770"/>
      <c r="LI819" s="770"/>
      <c r="LJ819" s="770"/>
      <c r="LK819" s="770"/>
      <c r="LL819" s="770"/>
      <c r="LM819" s="770"/>
      <c r="LN819" s="766"/>
      <c r="LO819" s="766"/>
      <c r="LP819" s="770"/>
      <c r="LQ819" s="770"/>
      <c r="LR819" s="770"/>
      <c r="LS819" s="770"/>
      <c r="LT819" s="770"/>
      <c r="LU819" s="770"/>
      <c r="LV819" s="770"/>
      <c r="LW819" s="770"/>
      <c r="LX819" s="769"/>
      <c r="LY819" s="766" t="str">
        <f t="shared" si="258"/>
        <v/>
      </c>
      <c r="LZ819" s="1709"/>
      <c r="MA819" s="1709"/>
      <c r="MB819" s="1709"/>
      <c r="MC819" s="1679">
        <f t="shared" si="256"/>
        <v>0</v>
      </c>
      <c r="MD819" s="1709"/>
      <c r="ME819" s="1709"/>
      <c r="MF819" s="1709"/>
      <c r="MG819" s="1680">
        <f t="shared" si="260"/>
        <v>0</v>
      </c>
      <c r="MH819" s="770"/>
      <c r="MI819" s="302"/>
      <c r="MJ819" s="302"/>
      <c r="MK819" s="302"/>
      <c r="ML819" s="302"/>
      <c r="MM819" s="302"/>
      <c r="MN819" s="302"/>
      <c r="MO819" s="302"/>
      <c r="MP819" s="302"/>
      <c r="MQ819" s="302"/>
      <c r="MR819" s="302"/>
      <c r="MS819" s="302"/>
      <c r="MT819" s="302"/>
      <c r="MU819" s="302"/>
      <c r="MV819" s="302"/>
      <c r="MW819" s="302"/>
      <c r="MX819" s="302"/>
      <c r="MY819" s="1682">
        <f t="shared" si="243"/>
        <v>0</v>
      </c>
      <c r="MZ819" s="770"/>
      <c r="NA819" s="770"/>
      <c r="NB819" s="770"/>
      <c r="NC819" s="770"/>
      <c r="ND819" s="770"/>
      <c r="NE819" s="770"/>
      <c r="NF819" s="770"/>
      <c r="NG819" s="770"/>
      <c r="NH819" s="770"/>
      <c r="NI819" s="770"/>
      <c r="NJ819" s="770"/>
      <c r="NK819" s="770"/>
      <c r="NL819" s="770"/>
      <c r="NM819" s="770"/>
      <c r="NN819" s="770"/>
      <c r="NO819" s="770"/>
      <c r="NP819" s="770"/>
      <c r="NQ819" s="770"/>
      <c r="NR819" s="770"/>
      <c r="NS819" s="770"/>
      <c r="NT819" s="770"/>
      <c r="NU819" s="770"/>
      <c r="NV819" s="770"/>
      <c r="NW819" s="770"/>
      <c r="NX819" s="770"/>
      <c r="NY819" s="770"/>
      <c r="NZ819" s="770"/>
      <c r="OA819" s="770"/>
      <c r="OB819" s="770"/>
      <c r="OC819" s="770"/>
      <c r="OD819" s="770"/>
      <c r="OE819" s="770"/>
      <c r="OF819" s="770"/>
      <c r="OG819" s="770"/>
      <c r="OH819" s="770"/>
      <c r="OI819" s="770"/>
      <c r="OJ819" s="770"/>
      <c r="OK819" s="770"/>
      <c r="OL819" s="770"/>
      <c r="OM819" s="770"/>
      <c r="ON819" s="770"/>
      <c r="OO819" s="770"/>
      <c r="OP819" s="770"/>
      <c r="OQ819" s="770"/>
      <c r="OR819" s="770"/>
      <c r="OS819" s="770"/>
      <c r="OT819" s="770"/>
      <c r="OU819" s="770"/>
      <c r="OV819" s="770"/>
      <c r="OW819" s="770"/>
      <c r="OX819" s="770"/>
      <c r="OY819" s="770"/>
      <c r="OZ819" s="770"/>
      <c r="PA819" s="770"/>
      <c r="PB819" s="770"/>
      <c r="PC819" s="770"/>
      <c r="PD819" s="770"/>
      <c r="PE819" s="770"/>
      <c r="PF819" s="770"/>
      <c r="PG819" s="770"/>
      <c r="PH819" s="770"/>
      <c r="PI819" s="770"/>
      <c r="PJ819" s="770"/>
      <c r="PK819" s="770"/>
      <c r="PL819" s="770"/>
      <c r="PM819" s="770"/>
      <c r="PN819" s="770"/>
      <c r="PO819" s="770"/>
      <c r="PP819" s="770"/>
      <c r="PQ819" s="770"/>
      <c r="PR819" s="770"/>
      <c r="PS819" s="770"/>
      <c r="PT819" s="770"/>
      <c r="PU819" s="770"/>
      <c r="PV819" s="770"/>
      <c r="PW819" s="770"/>
      <c r="PX819" s="770"/>
      <c r="PY819" s="770"/>
      <c r="PZ819" s="770"/>
      <c r="QA819" s="770"/>
      <c r="QB819" s="770"/>
      <c r="QC819" s="770"/>
      <c r="QD819" s="770"/>
      <c r="QE819" s="770"/>
      <c r="QF819" s="770"/>
      <c r="QG819" s="770"/>
      <c r="QH819" s="770"/>
      <c r="QI819" s="770"/>
      <c r="QJ819" s="770"/>
      <c r="QK819" s="770"/>
      <c r="QL819" s="770"/>
      <c r="QM819" s="770"/>
      <c r="QN819" s="770"/>
      <c r="QO819" s="770"/>
      <c r="QP819" s="770"/>
      <c r="QQ819" s="770"/>
      <c r="QR819" s="770"/>
      <c r="QS819" s="770"/>
      <c r="QT819" s="770"/>
      <c r="QU819" s="770"/>
      <c r="QV819" s="770"/>
      <c r="QW819" s="770"/>
      <c r="QX819" s="770"/>
      <c r="QY819" s="770"/>
      <c r="QZ819" s="770"/>
      <c r="RA819" s="770"/>
      <c r="RB819" s="770"/>
      <c r="RC819" s="770"/>
      <c r="RD819" s="770"/>
      <c r="RE819" s="770"/>
      <c r="RF819" s="304"/>
      <c r="RG819" s="770"/>
      <c r="RH819" s="306"/>
      <c r="RI819" s="770"/>
      <c r="RJ819" s="94" t="s">
        <v>14040</v>
      </c>
      <c r="RK819" s="770" t="s">
        <v>13898</v>
      </c>
      <c r="RL819" s="1710">
        <v>42852</v>
      </c>
      <c r="RM819" s="12"/>
      <c r="RN819" s="1711"/>
      <c r="RO819" s="149" t="s">
        <v>5243</v>
      </c>
      <c r="RP819" s="11"/>
      <c r="RQ819" s="11"/>
      <c r="RR819" s="17"/>
      <c r="RS819" s="767"/>
      <c r="RT819" s="11"/>
      <c r="RU819" s="11"/>
      <c r="RV819" s="771" t="s">
        <v>12355</v>
      </c>
      <c r="RW819" s="11" t="s">
        <v>7491</v>
      </c>
      <c r="RX819" s="11" t="s">
        <v>3288</v>
      </c>
      <c r="RY819" s="11"/>
      <c r="RZ819" s="11" t="s">
        <v>2209</v>
      </c>
      <c r="SA819" s="771"/>
      <c r="SB819" s="11"/>
      <c r="SC819" s="11"/>
    </row>
    <row r="820" spans="1:497" ht="12.75" customHeight="1">
      <c r="A820" s="19" t="s">
        <v>7421</v>
      </c>
      <c r="B820" s="292" t="s">
        <v>7493</v>
      </c>
      <c r="C820" s="149" t="s">
        <v>5252</v>
      </c>
      <c r="D820" s="94" t="s">
        <v>5253</v>
      </c>
      <c r="E820" s="766" t="s">
        <v>5300</v>
      </c>
      <c r="F820" s="770" t="s">
        <v>28</v>
      </c>
      <c r="G820" s="770" t="s">
        <v>10</v>
      </c>
      <c r="H820" s="295" t="s">
        <v>5254</v>
      </c>
      <c r="I820" s="12"/>
      <c r="J820" s="94" t="s">
        <v>5253</v>
      </c>
      <c r="K820" s="766" t="s">
        <v>5255</v>
      </c>
      <c r="L820" s="766" t="s">
        <v>2461</v>
      </c>
      <c r="M820" s="770" t="s">
        <v>1238</v>
      </c>
      <c r="N820" s="1757"/>
      <c r="O820" s="1757" t="s">
        <v>4830</v>
      </c>
      <c r="P820" s="94" t="s">
        <v>5253</v>
      </c>
      <c r="Q820" s="1088">
        <v>26051</v>
      </c>
      <c r="R820" s="297">
        <v>46</v>
      </c>
      <c r="S820" s="770" t="s">
        <v>10</v>
      </c>
      <c r="T820" s="770"/>
      <c r="U820" s="295" t="s">
        <v>11816</v>
      </c>
      <c r="V820" s="770" t="s">
        <v>707</v>
      </c>
      <c r="W820" s="770"/>
      <c r="X820" s="770"/>
      <c r="Y820" s="770" t="s">
        <v>11817</v>
      </c>
      <c r="Z820" s="770" t="s">
        <v>708</v>
      </c>
      <c r="AA820" s="770" t="s">
        <v>709</v>
      </c>
      <c r="AB820" s="770" t="s">
        <v>710</v>
      </c>
      <c r="AC820" s="770"/>
      <c r="AD820" s="770" t="s">
        <v>711</v>
      </c>
      <c r="AE820" s="770"/>
      <c r="AF820" s="770" t="s">
        <v>798</v>
      </c>
      <c r="AG820" s="770" t="s">
        <v>1095</v>
      </c>
      <c r="AH820" s="766" t="s">
        <v>1096</v>
      </c>
      <c r="AI820" s="770" t="s">
        <v>3294</v>
      </c>
      <c r="AJ820" s="770"/>
      <c r="AK820" s="770" t="s">
        <v>1101</v>
      </c>
      <c r="AL820" s="531">
        <v>24</v>
      </c>
      <c r="AM820" s="780">
        <v>10</v>
      </c>
      <c r="AN820" s="532">
        <f>AM820/AL820</f>
        <v>0.41666666666666669</v>
      </c>
      <c r="AO820" s="766" t="s">
        <v>1149</v>
      </c>
      <c r="AP820" s="766"/>
      <c r="AQ820" s="766"/>
      <c r="AR820" s="766"/>
      <c r="AS820" s="770"/>
      <c r="AT820" s="770"/>
      <c r="AU820" s="770"/>
      <c r="AV820" s="770"/>
      <c r="AW820" s="770"/>
      <c r="AX820" s="770"/>
      <c r="AY820" s="770"/>
      <c r="AZ820" s="770" t="s">
        <v>1208</v>
      </c>
      <c r="BA820" s="770"/>
      <c r="BB820" s="770" t="s">
        <v>5257</v>
      </c>
      <c r="BC820" s="770"/>
      <c r="BD820" s="770"/>
      <c r="BE820" s="770"/>
      <c r="BF820" s="302"/>
      <c r="BG820" s="302"/>
      <c r="BH820" s="770"/>
      <c r="BI820" s="770"/>
      <c r="BJ820" s="770"/>
      <c r="BK820" s="766" t="s">
        <v>1095</v>
      </c>
      <c r="BL820" s="766" t="s">
        <v>5256</v>
      </c>
      <c r="BM820" s="766" t="s">
        <v>1096</v>
      </c>
      <c r="BN820" s="766" t="s">
        <v>1230</v>
      </c>
      <c r="BO820" s="770" t="s">
        <v>2254</v>
      </c>
      <c r="BP820" s="1109">
        <v>24</v>
      </c>
      <c r="BQ820" s="773">
        <v>10</v>
      </c>
      <c r="BR820" s="774">
        <f t="shared" ref="BR820:BR828" si="263">BQ820/BP820</f>
        <v>0.41666666666666669</v>
      </c>
      <c r="BS820" s="766" t="s">
        <v>1149</v>
      </c>
      <c r="BT820" s="766" t="s">
        <v>2040</v>
      </c>
      <c r="BU820" s="770" t="s">
        <v>1241</v>
      </c>
      <c r="BV820" s="770" t="s">
        <v>1247</v>
      </c>
      <c r="BW820" s="770">
        <v>1984</v>
      </c>
      <c r="BX820" s="302"/>
      <c r="BY820" s="770"/>
      <c r="BZ820" s="302"/>
      <c r="CA820" s="770"/>
      <c r="CB820" s="770"/>
      <c r="CC820" s="770"/>
      <c r="CD820" s="770"/>
      <c r="CE820" s="302"/>
      <c r="CF820" s="304"/>
      <c r="CG820" s="321"/>
      <c r="CH820" s="770"/>
      <c r="CI820" s="770"/>
      <c r="CJ820" s="770"/>
      <c r="CK820" s="770"/>
      <c r="CL820" s="770"/>
      <c r="CM820" s="770"/>
      <c r="CN820" s="770"/>
      <c r="CO820" s="770"/>
      <c r="CP820" s="770"/>
      <c r="CQ820" s="770"/>
      <c r="CR820" s="302"/>
      <c r="CS820" s="770"/>
      <c r="CT820" s="770"/>
      <c r="CU820" s="305"/>
      <c r="CV820" s="770"/>
      <c r="CW820" s="770"/>
      <c r="CX820" s="770"/>
      <c r="CY820" s="770"/>
      <c r="CZ820" s="770"/>
      <c r="DA820" s="306"/>
      <c r="DB820" s="770"/>
      <c r="DC820" s="770"/>
      <c r="DD820" s="770"/>
      <c r="DE820" s="300"/>
      <c r="DF820" s="770"/>
      <c r="DG820" s="770"/>
      <c r="DH820" s="770"/>
      <c r="DI820" s="770"/>
      <c r="DJ820" s="770"/>
      <c r="DK820" s="770"/>
      <c r="DL820" s="770"/>
      <c r="DM820" s="770"/>
      <c r="DN820" s="322"/>
      <c r="DO820" s="770"/>
      <c r="DP820" s="770"/>
      <c r="DQ820" s="770"/>
      <c r="DR820" s="770"/>
      <c r="DS820" s="307"/>
      <c r="DT820" s="770"/>
      <c r="DU820" s="770"/>
      <c r="DV820" s="770"/>
      <c r="DW820" s="306"/>
      <c r="DX820" s="306"/>
      <c r="DY820" s="1055"/>
      <c r="DZ820" s="770"/>
      <c r="EA820" s="770"/>
      <c r="EB820" s="770"/>
      <c r="EC820" s="770"/>
      <c r="ED820" s="770"/>
      <c r="EE820" s="770"/>
      <c r="EF820" s="770"/>
      <c r="EG820" s="770"/>
      <c r="EH820" s="770"/>
      <c r="EI820" s="770"/>
      <c r="EJ820" s="770"/>
      <c r="EK820" s="770"/>
      <c r="EL820" s="770"/>
      <c r="EM820" s="770"/>
      <c r="EN820" s="770"/>
      <c r="EO820" s="770"/>
      <c r="EP820" s="94"/>
      <c r="EQ820" s="770"/>
      <c r="ER820" s="770"/>
      <c r="ES820" s="770"/>
      <c r="ET820" s="770"/>
      <c r="EU820" s="770"/>
      <c r="EV820" s="770"/>
      <c r="EW820" s="770"/>
      <c r="EX820" s="770"/>
      <c r="EY820" s="770"/>
      <c r="EZ820" s="770"/>
      <c r="FA820" s="770"/>
      <c r="FB820" s="770"/>
      <c r="FC820" s="770"/>
      <c r="FD820" s="302"/>
      <c r="FE820" s="770"/>
      <c r="FF820" s="770"/>
      <c r="FG820" s="770"/>
      <c r="FH820" s="770"/>
      <c r="FI820" s="770"/>
      <c r="FJ820" s="770"/>
      <c r="FK820" s="770"/>
      <c r="FL820" s="770"/>
      <c r="FM820" s="302"/>
      <c r="FN820" s="302"/>
      <c r="FO820" s="302"/>
      <c r="FP820" s="766" t="s">
        <v>1602</v>
      </c>
      <c r="FQ820" s="766" t="s">
        <v>1660</v>
      </c>
      <c r="FR820" s="770" t="s">
        <v>1207</v>
      </c>
      <c r="FS820" s="770"/>
      <c r="FT820" s="770"/>
      <c r="FU820" s="770"/>
      <c r="FV820" s="770"/>
      <c r="FW820" s="770"/>
      <c r="FX820" s="770" t="s">
        <v>1208</v>
      </c>
      <c r="FY820" s="770"/>
      <c r="FZ820" s="770"/>
      <c r="GA820" s="770"/>
      <c r="GB820" s="770" t="s">
        <v>2208</v>
      </c>
      <c r="GC820" s="308"/>
      <c r="GD820" s="297">
        <v>1984</v>
      </c>
      <c r="GE820" s="770" t="s">
        <v>1214</v>
      </c>
      <c r="GF820" s="302"/>
      <c r="GG820" s="302"/>
      <c r="GH820" s="766"/>
      <c r="GI820" s="770"/>
      <c r="GJ820" s="770"/>
      <c r="GK820" s="770"/>
      <c r="GL820" s="770"/>
      <c r="GM820" s="770"/>
      <c r="GN820" s="299"/>
      <c r="GO820" s="770"/>
      <c r="GP820" s="770"/>
      <c r="GQ820" s="770"/>
      <c r="GR820" s="770"/>
      <c r="GS820" s="770"/>
      <c r="GT820" s="770"/>
      <c r="GU820" s="770"/>
      <c r="GV820" s="770"/>
      <c r="GW820" s="770"/>
      <c r="GX820" s="770"/>
      <c r="GY820" s="770"/>
      <c r="GZ820" s="770"/>
      <c r="HA820" s="770"/>
      <c r="HB820" s="770"/>
      <c r="HC820" s="770"/>
      <c r="HD820" s="770"/>
      <c r="HE820" s="770"/>
      <c r="HF820" s="770"/>
      <c r="HG820" s="770"/>
      <c r="HH820" s="770"/>
      <c r="HI820" s="770"/>
      <c r="HJ820" s="770"/>
      <c r="HK820" s="770"/>
      <c r="HL820" s="770"/>
      <c r="HM820" s="770"/>
      <c r="HN820" s="770"/>
      <c r="HO820" s="770"/>
      <c r="HP820" s="770"/>
      <c r="HQ820" s="770"/>
      <c r="HR820" s="770"/>
      <c r="HS820" s="770"/>
      <c r="HT820" s="770"/>
      <c r="HU820" s="770"/>
      <c r="HV820" s="770"/>
      <c r="HW820" s="770"/>
      <c r="HX820" s="770"/>
      <c r="HY820" s="770"/>
      <c r="HZ820" s="770"/>
      <c r="IA820" s="770"/>
      <c r="IB820" s="14" t="e">
        <f>IF(#REF!&gt;0,IF(#REF!&lt;=10000,"Y",""),"")</f>
        <v>#REF!</v>
      </c>
      <c r="IC820" s="770"/>
      <c r="ID820" s="770"/>
      <c r="IE820" s="770"/>
      <c r="IF820" s="770"/>
      <c r="IG820" s="770"/>
      <c r="IH820" s="770"/>
      <c r="II820" s="770"/>
      <c r="IJ820" s="770"/>
      <c r="IK820" s="770"/>
      <c r="IL820" s="770"/>
      <c r="IM820" s="770"/>
      <c r="IN820" s="770"/>
      <c r="IO820" s="296"/>
      <c r="IP820" s="770"/>
      <c r="IQ820" s="770"/>
      <c r="IR820" s="770"/>
      <c r="IS820" s="770"/>
      <c r="IT820" s="770"/>
      <c r="IU820" s="770"/>
      <c r="IV820" s="770"/>
      <c r="IW820" s="770"/>
      <c r="IX820" s="770"/>
      <c r="IY820" s="770"/>
      <c r="IZ820" s="770"/>
      <c r="JA820" s="770"/>
      <c r="JB820" s="770"/>
      <c r="JC820" s="770"/>
      <c r="JD820" s="302"/>
      <c r="JE820" s="770"/>
      <c r="JF820" s="770"/>
      <c r="JG820" s="770"/>
      <c r="JH820" s="307"/>
      <c r="JI820" s="307"/>
      <c r="JJ820" s="94"/>
      <c r="JK820" s="1047" t="s">
        <v>5256</v>
      </c>
      <c r="JL820" s="770"/>
      <c r="JM820" s="770"/>
      <c r="JN820" s="770"/>
      <c r="JO820" s="770"/>
      <c r="JP820" s="770"/>
      <c r="JQ820" s="770"/>
      <c r="JR820" s="770"/>
      <c r="JS820" s="770"/>
      <c r="JT820" s="766"/>
      <c r="JU820" s="766"/>
      <c r="JV820" s="712" t="str">
        <f>IF(JT820=KJ820,"ok","male")</f>
        <v>ok</v>
      </c>
      <c r="JW820" s="712" t="str">
        <f>IF(JU820=KK820,"ok","female")</f>
        <v>ok</v>
      </c>
      <c r="JX820" s="770"/>
      <c r="JY820" s="770"/>
      <c r="JZ820" s="770"/>
      <c r="KA820" s="770"/>
      <c r="KB820" s="770"/>
      <c r="KC820" s="770"/>
      <c r="KD820" s="770"/>
      <c r="KE820" s="770"/>
      <c r="KF820" s="770"/>
      <c r="KG820" s="770"/>
      <c r="KH820" s="770"/>
      <c r="KI820" s="770"/>
      <c r="KJ820" s="770"/>
      <c r="KK820" s="770"/>
      <c r="KL820" s="712" t="str">
        <f>IF(KJ820=LN820,"ok","male")</f>
        <v>ok</v>
      </c>
      <c r="KM820" s="712" t="str">
        <f>IF(KK820=LO820,"ok","female")</f>
        <v>ok</v>
      </c>
      <c r="KN820" s="770"/>
      <c r="KO820" s="770"/>
      <c r="KP820" s="770"/>
      <c r="KQ820" s="770"/>
      <c r="KR820" s="770"/>
      <c r="KS820" s="770"/>
      <c r="KT820" s="770"/>
      <c r="KU820" s="770"/>
      <c r="KV820" s="770"/>
      <c r="KW820" s="770"/>
      <c r="KX820" s="770"/>
      <c r="KY820" s="770"/>
      <c r="KZ820" s="770"/>
      <c r="LA820" s="770"/>
      <c r="LB820" s="770"/>
      <c r="LC820" s="770"/>
      <c r="LD820" s="770"/>
      <c r="LE820" s="770"/>
      <c r="LF820" s="770"/>
      <c r="LG820" s="770"/>
      <c r="LH820" s="770"/>
      <c r="LI820" s="770"/>
      <c r="LJ820" s="770"/>
      <c r="LK820" s="770"/>
      <c r="LL820" s="770"/>
      <c r="LM820" s="770"/>
      <c r="LN820" s="766"/>
      <c r="LO820" s="766"/>
      <c r="LP820" s="770"/>
      <c r="LQ820" s="770"/>
      <c r="LR820" s="770"/>
      <c r="LS820" s="770"/>
      <c r="LT820" s="712" t="str">
        <f>IF(LQ820=SUM(LU820:LW820),"OK","REV")</f>
        <v>OK</v>
      </c>
      <c r="LU820" s="770"/>
      <c r="LV820" s="770"/>
      <c r="LW820" s="770"/>
      <c r="LX820" s="769"/>
      <c r="LY820" s="766" t="str">
        <f t="shared" si="258"/>
        <v/>
      </c>
      <c r="LZ820" s="1709">
        <v>350</v>
      </c>
      <c r="MA820" s="1709"/>
      <c r="MB820" s="1709"/>
      <c r="MC820" s="1679">
        <f t="shared" si="256"/>
        <v>350</v>
      </c>
      <c r="MD820" s="1709"/>
      <c r="ME820" s="1709"/>
      <c r="MF820" s="1709"/>
      <c r="MG820" s="1680">
        <v>0</v>
      </c>
      <c r="MH820" s="770"/>
      <c r="MI820" s="302"/>
      <c r="MJ820" s="302"/>
      <c r="MK820" s="302"/>
      <c r="ML820" s="302"/>
      <c r="MM820" s="302"/>
      <c r="MN820" s="302"/>
      <c r="MO820" s="302"/>
      <c r="MP820" s="302"/>
      <c r="MQ820" s="302"/>
      <c r="MR820" s="302"/>
      <c r="MS820" s="302"/>
      <c r="MT820" s="302"/>
      <c r="MU820" s="302"/>
      <c r="MV820" s="302"/>
      <c r="MW820" s="302"/>
      <c r="MX820" s="302"/>
      <c r="MY820" s="1682"/>
      <c r="MZ820" s="770"/>
      <c r="NA820" s="770"/>
      <c r="NB820" s="770"/>
      <c r="NC820" s="770"/>
      <c r="ND820" s="770"/>
      <c r="NE820" s="770"/>
      <c r="NF820" s="770"/>
      <c r="NG820" s="770"/>
      <c r="NH820" s="770"/>
      <c r="NI820" s="770"/>
      <c r="NJ820" s="770"/>
      <c r="NK820" s="770"/>
      <c r="NL820" s="770"/>
      <c r="NM820" s="770"/>
      <c r="NN820" s="770"/>
      <c r="NO820" s="770"/>
      <c r="NP820" s="770"/>
      <c r="NQ820" s="770"/>
      <c r="NR820" s="770"/>
      <c r="NS820" s="770"/>
      <c r="NT820" s="770"/>
      <c r="NU820" s="770"/>
      <c r="NV820" s="770"/>
      <c r="NW820" s="770"/>
      <c r="NX820" s="770"/>
      <c r="NY820" s="770"/>
      <c r="NZ820" s="770"/>
      <c r="OA820" s="770"/>
      <c r="OB820" s="770"/>
      <c r="OC820" s="770"/>
      <c r="OD820" s="770"/>
      <c r="OE820" s="770"/>
      <c r="OF820" s="770"/>
      <c r="OG820" s="770"/>
      <c r="OH820" s="770"/>
      <c r="OI820" s="770"/>
      <c r="OJ820" s="770"/>
      <c r="OK820" s="770"/>
      <c r="OL820" s="770"/>
      <c r="OM820" s="770"/>
      <c r="ON820" s="770"/>
      <c r="OO820" s="770"/>
      <c r="OP820" s="770"/>
      <c r="OQ820" s="770"/>
      <c r="OR820" s="770"/>
      <c r="OS820" s="770"/>
      <c r="OT820" s="770"/>
      <c r="OU820" s="770"/>
      <c r="OV820" s="770"/>
      <c r="OW820" s="770"/>
      <c r="OX820" s="770"/>
      <c r="OY820" s="770"/>
      <c r="OZ820" s="770"/>
      <c r="PA820" s="770"/>
      <c r="PB820" s="770"/>
      <c r="PC820" s="770"/>
      <c r="PD820" s="770"/>
      <c r="PE820" s="770"/>
      <c r="PF820" s="770"/>
      <c r="PG820" s="770"/>
      <c r="PH820" s="770"/>
      <c r="PI820" s="770"/>
      <c r="PJ820" s="770"/>
      <c r="PK820" s="770"/>
      <c r="PL820" s="770"/>
      <c r="PM820" s="770"/>
      <c r="PN820" s="770"/>
      <c r="PO820" s="770"/>
      <c r="PP820" s="770"/>
      <c r="PQ820" s="770"/>
      <c r="PR820" s="770"/>
      <c r="PS820" s="770"/>
      <c r="PT820" s="770"/>
      <c r="PU820" s="770"/>
      <c r="PV820" s="770"/>
      <c r="PW820" s="770"/>
      <c r="PX820" s="770"/>
      <c r="PY820" s="770"/>
      <c r="PZ820" s="770"/>
      <c r="QA820" s="770"/>
      <c r="QB820" s="770"/>
      <c r="QC820" s="770"/>
      <c r="QD820" s="770"/>
      <c r="QE820" s="770"/>
      <c r="QF820" s="770"/>
      <c r="QG820" s="770"/>
      <c r="QH820" s="770"/>
      <c r="QI820" s="770"/>
      <c r="QJ820" s="770"/>
      <c r="QK820" s="770"/>
      <c r="QL820" s="770"/>
      <c r="QM820" s="770"/>
      <c r="QN820" s="770"/>
      <c r="QO820" s="770"/>
      <c r="QP820" s="770"/>
      <c r="QQ820" s="770"/>
      <c r="QR820" s="770"/>
      <c r="QS820" s="770"/>
      <c r="QT820" s="770"/>
      <c r="QU820" s="770"/>
      <c r="QV820" s="770"/>
      <c r="QW820" s="770"/>
      <c r="QX820" s="770"/>
      <c r="QY820" s="770"/>
      <c r="QZ820" s="770"/>
      <c r="RA820" s="770"/>
      <c r="RB820" s="770"/>
      <c r="RC820" s="770"/>
      <c r="RD820" s="770"/>
      <c r="RE820" s="770"/>
      <c r="RF820" s="304"/>
      <c r="RG820" s="770"/>
      <c r="RH820" s="306"/>
      <c r="RI820" s="770"/>
      <c r="RJ820" s="94" t="s">
        <v>14041</v>
      </c>
      <c r="RK820" s="770" t="s">
        <v>13898</v>
      </c>
      <c r="RL820" s="1710">
        <v>42852</v>
      </c>
      <c r="RM820" s="12"/>
      <c r="RN820" s="1711"/>
      <c r="RO820" s="149" t="s">
        <v>5252</v>
      </c>
      <c r="RP820" s="11"/>
      <c r="RQ820" s="11"/>
      <c r="RR820" s="19" t="s">
        <v>7421</v>
      </c>
      <c r="RS820" s="1139" t="s">
        <v>12980</v>
      </c>
      <c r="RT820" s="11"/>
      <c r="RU820" s="11"/>
      <c r="RV820" s="6" t="s">
        <v>12355</v>
      </c>
      <c r="RW820" s="11" t="s">
        <v>7491</v>
      </c>
      <c r="RX820" s="11" t="s">
        <v>3288</v>
      </c>
      <c r="RY820" s="11"/>
      <c r="RZ820" s="11" t="s">
        <v>2209</v>
      </c>
      <c r="SA820" s="6"/>
      <c r="SB820" s="11"/>
      <c r="SC820" s="11"/>
    </row>
    <row r="821" spans="1:497" ht="12.75" hidden="1" customHeight="1">
      <c r="A821" s="343" t="s">
        <v>7419</v>
      </c>
      <c r="B821" s="292" t="s">
        <v>7494</v>
      </c>
      <c r="C821" s="149" t="s">
        <v>5258</v>
      </c>
      <c r="D821" s="94" t="s">
        <v>5263</v>
      </c>
      <c r="E821" s="766" t="s">
        <v>5298</v>
      </c>
      <c r="F821" s="770" t="s">
        <v>28</v>
      </c>
      <c r="G821" s="770" t="s">
        <v>10</v>
      </c>
      <c r="H821" s="295" t="s">
        <v>5260</v>
      </c>
      <c r="I821" s="12"/>
      <c r="J821" s="94" t="s">
        <v>5264</v>
      </c>
      <c r="K821" s="766" t="s">
        <v>5262</v>
      </c>
      <c r="L821" s="766" t="s">
        <v>2429</v>
      </c>
      <c r="M821" s="770" t="s">
        <v>1238</v>
      </c>
      <c r="N821" s="1757"/>
      <c r="O821" s="1757" t="s">
        <v>4830</v>
      </c>
      <c r="P821" s="770" t="s">
        <v>5265</v>
      </c>
      <c r="Q821" s="1088">
        <v>28231</v>
      </c>
      <c r="R821" s="297">
        <v>40</v>
      </c>
      <c r="S821" s="770" t="s">
        <v>10</v>
      </c>
      <c r="T821" s="295" t="s">
        <v>5260</v>
      </c>
      <c r="U821" s="298"/>
      <c r="V821" s="770" t="s">
        <v>707</v>
      </c>
      <c r="W821" s="770"/>
      <c r="X821" s="770"/>
      <c r="Y821" s="770" t="s">
        <v>5259</v>
      </c>
      <c r="Z821" s="770" t="s">
        <v>708</v>
      </c>
      <c r="AA821" s="770" t="s">
        <v>709</v>
      </c>
      <c r="AB821" s="770" t="s">
        <v>710</v>
      </c>
      <c r="AC821" s="770" t="s">
        <v>724</v>
      </c>
      <c r="AD821" s="770" t="s">
        <v>711</v>
      </c>
      <c r="AE821" s="770"/>
      <c r="AF821" s="770" t="s">
        <v>798</v>
      </c>
      <c r="AG821" s="766" t="s">
        <v>1095</v>
      </c>
      <c r="AH821" s="766" t="s">
        <v>1096</v>
      </c>
      <c r="AI821" s="770" t="s">
        <v>3294</v>
      </c>
      <c r="AJ821" s="770"/>
      <c r="AK821" s="770" t="s">
        <v>1097</v>
      </c>
      <c r="AL821" s="531">
        <v>13.94</v>
      </c>
      <c r="AM821" s="780">
        <v>9.52</v>
      </c>
      <c r="AN821" s="532">
        <f t="shared" si="259"/>
        <v>0.68292682926829262</v>
      </c>
      <c r="AO821" s="766" t="s">
        <v>1105</v>
      </c>
      <c r="AP821" s="766" t="s">
        <v>7224</v>
      </c>
      <c r="AQ821" s="766" t="s">
        <v>7418</v>
      </c>
      <c r="AR821" s="766"/>
      <c r="AS821" s="770"/>
      <c r="AT821" s="770"/>
      <c r="AU821" s="770"/>
      <c r="AV821" s="770"/>
      <c r="AW821" s="770"/>
      <c r="AX821" s="770"/>
      <c r="AY821" s="770"/>
      <c r="AZ821" s="770"/>
      <c r="BA821" s="770"/>
      <c r="BB821" s="770"/>
      <c r="BC821" s="770"/>
      <c r="BD821" s="770"/>
      <c r="BE821" s="770"/>
      <c r="BF821" s="302"/>
      <c r="BG821" s="302"/>
      <c r="BH821" s="770"/>
      <c r="BI821" s="770"/>
      <c r="BJ821" s="770"/>
      <c r="BK821" s="766" t="s">
        <v>1095</v>
      </c>
      <c r="BL821" s="766" t="s">
        <v>5266</v>
      </c>
      <c r="BM821" s="766" t="s">
        <v>1096</v>
      </c>
      <c r="BN821" s="766" t="s">
        <v>1230</v>
      </c>
      <c r="BO821" s="766" t="s">
        <v>1239</v>
      </c>
      <c r="BP821" s="765">
        <v>27.88</v>
      </c>
      <c r="BQ821" s="773">
        <v>19.04</v>
      </c>
      <c r="BR821" s="774">
        <f t="shared" si="263"/>
        <v>0.68292682926829262</v>
      </c>
      <c r="BS821" s="766" t="s">
        <v>1105</v>
      </c>
      <c r="BT821" s="766" t="s">
        <v>2040</v>
      </c>
      <c r="BU821" s="770" t="s">
        <v>1249</v>
      </c>
      <c r="BV821" s="770" t="s">
        <v>1247</v>
      </c>
      <c r="BW821" s="769"/>
      <c r="BX821" s="302"/>
      <c r="BY821" s="770"/>
      <c r="BZ821" s="302"/>
      <c r="CA821" s="770"/>
      <c r="CB821" s="770"/>
      <c r="CC821" s="770"/>
      <c r="CD821" s="770"/>
      <c r="CE821" s="302"/>
      <c r="CF821" s="304"/>
      <c r="CG821" s="321"/>
      <c r="CH821" s="770"/>
      <c r="CI821" s="770"/>
      <c r="CJ821" s="770"/>
      <c r="CK821" s="770"/>
      <c r="CL821" s="770"/>
      <c r="CM821" s="770"/>
      <c r="CN821" s="770"/>
      <c r="CO821" s="770"/>
      <c r="CP821" s="770"/>
      <c r="CQ821" s="770"/>
      <c r="CR821" s="302"/>
      <c r="CS821" s="770"/>
      <c r="CT821" s="770"/>
      <c r="CU821" s="305"/>
      <c r="CV821" s="770"/>
      <c r="CW821" s="770"/>
      <c r="CX821" s="770"/>
      <c r="CY821" s="770"/>
      <c r="CZ821" s="770"/>
      <c r="DA821" s="306"/>
      <c r="DB821" s="770"/>
      <c r="DC821" s="770"/>
      <c r="DD821" s="770"/>
      <c r="DE821" s="300"/>
      <c r="DF821" s="770"/>
      <c r="DG821" s="770"/>
      <c r="DH821" s="770"/>
      <c r="DI821" s="770"/>
      <c r="DJ821" s="770"/>
      <c r="DK821" s="770"/>
      <c r="DL821" s="770"/>
      <c r="DM821" s="770"/>
      <c r="DN821" s="322"/>
      <c r="DO821" s="770"/>
      <c r="DP821" s="770"/>
      <c r="DQ821" s="770"/>
      <c r="DR821" s="770"/>
      <c r="DS821" s="307"/>
      <c r="DT821" s="770"/>
      <c r="DU821" s="770"/>
      <c r="DV821" s="770"/>
      <c r="DW821" s="306"/>
      <c r="DX821" s="306"/>
      <c r="DY821" s="1055"/>
      <c r="DZ821" s="770"/>
      <c r="EA821" s="770"/>
      <c r="EB821" s="770"/>
      <c r="EC821" s="770"/>
      <c r="ED821" s="770"/>
      <c r="EE821" s="770"/>
      <c r="EF821" s="770"/>
      <c r="EG821" s="770"/>
      <c r="EH821" s="770"/>
      <c r="EI821" s="770"/>
      <c r="EJ821" s="770"/>
      <c r="EK821" s="770"/>
      <c r="EL821" s="770"/>
      <c r="EM821" s="770"/>
      <c r="EN821" s="770"/>
      <c r="EO821" s="770"/>
      <c r="EP821" s="94"/>
      <c r="EQ821" s="770"/>
      <c r="ER821" s="770"/>
      <c r="ES821" s="770"/>
      <c r="ET821" s="770"/>
      <c r="EU821" s="770"/>
      <c r="EV821" s="770"/>
      <c r="EW821" s="770"/>
      <c r="EX821" s="770"/>
      <c r="EY821" s="770"/>
      <c r="EZ821" s="770"/>
      <c r="FA821" s="770"/>
      <c r="FB821" s="770"/>
      <c r="FC821" s="770"/>
      <c r="FD821" s="302"/>
      <c r="FE821" s="770"/>
      <c r="FF821" s="770"/>
      <c r="FG821" s="770"/>
      <c r="FH821" s="770" t="s">
        <v>478</v>
      </c>
      <c r="FI821" s="770">
        <v>1</v>
      </c>
      <c r="FJ821" s="770"/>
      <c r="FK821" s="770"/>
      <c r="FL821" s="770"/>
      <c r="FM821" s="302"/>
      <c r="FN821" s="302"/>
      <c r="FO821" s="302"/>
      <c r="FP821" s="770" t="s">
        <v>1602</v>
      </c>
      <c r="FQ821" s="770" t="s">
        <v>1660</v>
      </c>
      <c r="FR821" s="770"/>
      <c r="FS821" s="770"/>
      <c r="FT821" s="770"/>
      <c r="FU821" s="770"/>
      <c r="FV821" s="770"/>
      <c r="FW821" s="770"/>
      <c r="FX821" s="770"/>
      <c r="FY821" s="770"/>
      <c r="FZ821" s="770"/>
      <c r="GA821" s="770"/>
      <c r="GB821" s="770"/>
      <c r="GC821" s="308"/>
      <c r="GD821" s="297"/>
      <c r="GE821" s="770"/>
      <c r="GF821" s="302"/>
      <c r="GG821" s="302"/>
      <c r="GH821" s="766" t="s">
        <v>14260</v>
      </c>
      <c r="GI821" s="770"/>
      <c r="GJ821" s="770"/>
      <c r="GK821" s="770"/>
      <c r="GL821" s="770"/>
      <c r="GM821" s="770"/>
      <c r="GN821" s="299"/>
      <c r="GO821" s="770"/>
      <c r="GP821" s="770"/>
      <c r="GQ821" s="770"/>
      <c r="GR821" s="770"/>
      <c r="GS821" s="770"/>
      <c r="GT821" s="770"/>
      <c r="GU821" s="770"/>
      <c r="GV821" s="770"/>
      <c r="GW821" s="770"/>
      <c r="GX821" s="770"/>
      <c r="GY821" s="770"/>
      <c r="GZ821" s="770"/>
      <c r="HA821" s="770"/>
      <c r="HB821" s="770"/>
      <c r="HC821" s="770"/>
      <c r="HD821" s="770"/>
      <c r="HE821" s="770"/>
      <c r="HF821" s="770"/>
      <c r="HG821" s="770"/>
      <c r="HH821" s="770"/>
      <c r="HI821" s="770" t="s">
        <v>1214</v>
      </c>
      <c r="HJ821" s="770"/>
      <c r="HK821" s="770"/>
      <c r="HL821" s="770" t="s">
        <v>1214</v>
      </c>
      <c r="HM821" s="770"/>
      <c r="HN821" s="770"/>
      <c r="HO821" s="770"/>
      <c r="HP821" s="770"/>
      <c r="HQ821" s="770"/>
      <c r="HR821" s="770"/>
      <c r="HS821" s="770"/>
      <c r="HT821" s="770"/>
      <c r="HU821" s="770"/>
      <c r="HV821" s="770"/>
      <c r="HW821" s="770"/>
      <c r="HX821" s="770"/>
      <c r="HY821" s="770"/>
      <c r="HZ821" s="770"/>
      <c r="IA821" s="770"/>
      <c r="IB821" s="770" t="s">
        <v>1207</v>
      </c>
      <c r="IC821" s="770"/>
      <c r="ID821" s="770"/>
      <c r="IE821" s="770">
        <v>2</v>
      </c>
      <c r="IF821" s="770"/>
      <c r="IG821" s="770"/>
      <c r="IH821" s="770"/>
      <c r="II821" s="770"/>
      <c r="IJ821" s="770"/>
      <c r="IK821" s="770"/>
      <c r="IL821" s="770"/>
      <c r="IM821" s="770"/>
      <c r="IN821" s="770"/>
      <c r="IO821" s="296"/>
      <c r="IP821" s="770"/>
      <c r="IQ821" s="770"/>
      <c r="IR821" s="770"/>
      <c r="IS821" s="770"/>
      <c r="IT821" s="770"/>
      <c r="IU821" s="770"/>
      <c r="IV821" s="770"/>
      <c r="IW821" s="770"/>
      <c r="IX821" s="770"/>
      <c r="IY821" s="770"/>
      <c r="IZ821" s="770"/>
      <c r="JA821" s="770"/>
      <c r="JB821" s="770"/>
      <c r="JC821" s="770"/>
      <c r="JD821" s="302"/>
      <c r="JE821" s="770"/>
      <c r="JF821" s="770"/>
      <c r="JG821" s="770"/>
      <c r="JH821" s="307"/>
      <c r="JI821" s="307"/>
      <c r="JJ821" s="770">
        <v>2</v>
      </c>
      <c r="JK821" s="770" t="s">
        <v>5267</v>
      </c>
      <c r="JL821" s="770"/>
      <c r="JM821" s="770"/>
      <c r="JN821" s="770">
        <v>1</v>
      </c>
      <c r="JO821" s="770">
        <v>1</v>
      </c>
      <c r="JP821" s="770"/>
      <c r="JQ821" s="770"/>
      <c r="JR821" s="770"/>
      <c r="JS821" s="770"/>
      <c r="JT821" s="766">
        <f>SUM(JP821,JN821,JL821,JR821)</f>
        <v>1</v>
      </c>
      <c r="JU821" s="766">
        <f>SUM(JQ821,JO821,JM821,JS821)</f>
        <v>1</v>
      </c>
      <c r="JV821" s="766"/>
      <c r="JW821" s="766"/>
      <c r="JX821" s="770"/>
      <c r="JY821" s="770"/>
      <c r="JZ821" s="770"/>
      <c r="KA821" s="770"/>
      <c r="KB821" s="770"/>
      <c r="KC821" s="770"/>
      <c r="KD821" s="770">
        <v>1</v>
      </c>
      <c r="KE821" s="770">
        <v>1</v>
      </c>
      <c r="KF821" s="770"/>
      <c r="KG821" s="770"/>
      <c r="KH821" s="770"/>
      <c r="KI821" s="770"/>
      <c r="KJ821" s="770">
        <f t="shared" si="249"/>
        <v>1</v>
      </c>
      <c r="KK821" s="770">
        <f t="shared" si="249"/>
        <v>1</v>
      </c>
      <c r="KL821" s="770"/>
      <c r="KM821" s="770"/>
      <c r="KN821" s="770" t="s">
        <v>707</v>
      </c>
      <c r="KO821" s="770"/>
      <c r="KP821" s="770"/>
      <c r="KQ821" s="770"/>
      <c r="KR821" s="770"/>
      <c r="KS821" s="770"/>
      <c r="KT821" s="770"/>
      <c r="KU821" s="770"/>
      <c r="KV821" s="770"/>
      <c r="KW821" s="770"/>
      <c r="KX821" s="770"/>
      <c r="KY821" s="770"/>
      <c r="KZ821" s="770"/>
      <c r="LA821" s="770">
        <v>1</v>
      </c>
      <c r="LB821" s="770"/>
      <c r="LC821" s="770"/>
      <c r="LD821" s="770">
        <v>1</v>
      </c>
      <c r="LE821" s="770"/>
      <c r="LF821" s="770"/>
      <c r="LG821" s="770"/>
      <c r="LH821" s="770"/>
      <c r="LI821" s="770"/>
      <c r="LJ821" s="770"/>
      <c r="LK821" s="770"/>
      <c r="LL821" s="770"/>
      <c r="LM821" s="770"/>
      <c r="LN821" s="766">
        <f>SUM(KP821,KR821,KT821,KV821,KX821,KZ821,LB821,LD821,LF821,LH821,LJ821,LL821)</f>
        <v>1</v>
      </c>
      <c r="LO821" s="766">
        <f>SUM(KQ821,KS821,KU821,KW821,KY821,LA821,LC821,LE821,LG821,LI821,LK821,LM821)</f>
        <v>1</v>
      </c>
      <c r="LP821" s="770">
        <v>1</v>
      </c>
      <c r="LQ821" s="770"/>
      <c r="LR821" s="770"/>
      <c r="LS821" s="770">
        <v>1</v>
      </c>
      <c r="LT821" s="770"/>
      <c r="LU821" s="770"/>
      <c r="LV821" s="770"/>
      <c r="LW821" s="770"/>
      <c r="LX821" s="769">
        <v>1</v>
      </c>
      <c r="LY821" s="766" t="str">
        <f t="shared" si="258"/>
        <v>within the BRGY</v>
      </c>
      <c r="LZ821" s="1709"/>
      <c r="MA821" s="1709"/>
      <c r="MB821" s="1709"/>
      <c r="MC821" s="1679">
        <f t="shared" si="256"/>
        <v>0</v>
      </c>
      <c r="MD821" s="1709"/>
      <c r="ME821" s="1709"/>
      <c r="MF821" s="1709">
        <v>6000</v>
      </c>
      <c r="MG821" s="1680">
        <f>SUM(MD821:MF821)</f>
        <v>6000</v>
      </c>
      <c r="MH821" s="770" t="s">
        <v>2974</v>
      </c>
      <c r="MI821" s="302">
        <f>150*30</f>
        <v>4500</v>
      </c>
      <c r="MJ821" s="302">
        <v>900</v>
      </c>
      <c r="MK821" s="302">
        <v>1000</v>
      </c>
      <c r="ML821" s="302">
        <v>5000</v>
      </c>
      <c r="MM821" s="302"/>
      <c r="MN821" s="302"/>
      <c r="MO821" s="302">
        <v>100</v>
      </c>
      <c r="MP821" s="302">
        <v>500</v>
      </c>
      <c r="MQ821" s="302">
        <v>550</v>
      </c>
      <c r="MR821" s="302">
        <v>200</v>
      </c>
      <c r="MS821" s="302">
        <v>150</v>
      </c>
      <c r="MT821" s="302"/>
      <c r="MU821" s="302"/>
      <c r="MV821" s="302"/>
      <c r="MW821" s="302"/>
      <c r="MX821" s="302"/>
      <c r="MY821" s="1682">
        <f t="shared" si="243"/>
        <v>12900</v>
      </c>
      <c r="MZ821" s="770" t="s">
        <v>13370</v>
      </c>
      <c r="NA821" s="770" t="s">
        <v>13005</v>
      </c>
      <c r="NB821" s="770" t="s">
        <v>13016</v>
      </c>
      <c r="NC821" s="770" t="s">
        <v>13602</v>
      </c>
      <c r="ND821" s="770">
        <v>0</v>
      </c>
      <c r="NE821" s="770">
        <v>0</v>
      </c>
      <c r="NF821" s="770">
        <v>0</v>
      </c>
      <c r="NG821" s="770">
        <v>3</v>
      </c>
      <c r="NH821" s="770">
        <v>1</v>
      </c>
      <c r="NI821" s="770">
        <v>0</v>
      </c>
      <c r="NJ821" s="770">
        <v>0</v>
      </c>
      <c r="NK821" s="770">
        <v>0</v>
      </c>
      <c r="NL821" s="770">
        <v>0</v>
      </c>
      <c r="NM821" s="770">
        <v>1</v>
      </c>
      <c r="NN821" s="770">
        <v>1</v>
      </c>
      <c r="NO821" s="770">
        <v>0</v>
      </c>
      <c r="NP821" s="770">
        <v>0</v>
      </c>
      <c r="NQ821" s="770">
        <v>0</v>
      </c>
      <c r="NR821" s="770">
        <v>0</v>
      </c>
      <c r="NS821" s="770">
        <v>0</v>
      </c>
      <c r="NT821" s="770">
        <v>0</v>
      </c>
      <c r="NU821" s="770">
        <v>0</v>
      </c>
      <c r="NV821" s="770">
        <v>0</v>
      </c>
      <c r="NW821" s="770">
        <v>0</v>
      </c>
      <c r="NX821" s="770">
        <v>0</v>
      </c>
      <c r="NY821" s="770" t="s">
        <v>1208</v>
      </c>
      <c r="NZ821" s="770"/>
      <c r="OA821" s="770"/>
      <c r="OB821" s="770" t="s">
        <v>1208</v>
      </c>
      <c r="OC821" s="770" t="s">
        <v>1208</v>
      </c>
      <c r="OD821" s="770" t="s">
        <v>1208</v>
      </c>
      <c r="OE821" s="770"/>
      <c r="OF821" s="770"/>
      <c r="OG821" s="770"/>
      <c r="OH821" s="770"/>
      <c r="OI821" s="770"/>
      <c r="OJ821" s="770"/>
      <c r="OK821" s="770"/>
      <c r="OL821" s="770"/>
      <c r="OM821" s="770"/>
      <c r="ON821" s="770"/>
      <c r="OO821" s="770"/>
      <c r="OP821" s="770"/>
      <c r="OQ821" s="770"/>
      <c r="OR821" s="770"/>
      <c r="OS821" s="770"/>
      <c r="OT821" s="770"/>
      <c r="OU821" s="770"/>
      <c r="OV821" s="770"/>
      <c r="OW821" s="770"/>
      <c r="OX821" s="770"/>
      <c r="OY821" s="770"/>
      <c r="OZ821" s="770"/>
      <c r="PA821" s="770"/>
      <c r="PB821" s="770"/>
      <c r="PC821" s="770"/>
      <c r="PD821" s="770"/>
      <c r="PE821" s="770"/>
      <c r="PF821" s="770"/>
      <c r="PG821" s="770"/>
      <c r="PH821" s="770"/>
      <c r="PI821" s="770"/>
      <c r="PJ821" s="770"/>
      <c r="PK821" s="770"/>
      <c r="PL821" s="770"/>
      <c r="PM821" s="770"/>
      <c r="PN821" s="770"/>
      <c r="PO821" s="770"/>
      <c r="PP821" s="770"/>
      <c r="PQ821" s="770"/>
      <c r="PR821" s="770"/>
      <c r="PS821" s="770"/>
      <c r="PT821" s="770"/>
      <c r="PU821" s="770"/>
      <c r="PV821" s="770"/>
      <c r="PW821" s="770"/>
      <c r="PX821" s="770"/>
      <c r="PY821" s="770"/>
      <c r="PZ821" s="770"/>
      <c r="QA821" s="770"/>
      <c r="QB821" s="770"/>
      <c r="QC821" s="770"/>
      <c r="QD821" s="770"/>
      <c r="QE821" s="770"/>
      <c r="QF821" s="770"/>
      <c r="QG821" s="770"/>
      <c r="QH821" s="770"/>
      <c r="QI821" s="770"/>
      <c r="QJ821" s="770"/>
      <c r="QK821" s="770"/>
      <c r="QL821" s="770"/>
      <c r="QM821" s="770"/>
      <c r="QN821" s="770"/>
      <c r="QO821" s="770"/>
      <c r="QP821" s="770"/>
      <c r="QQ821" s="770"/>
      <c r="QR821" s="770"/>
      <c r="QS821" s="770"/>
      <c r="QT821" s="770"/>
      <c r="QU821" s="770"/>
      <c r="QV821" s="770"/>
      <c r="QW821" s="770"/>
      <c r="QX821" s="770"/>
      <c r="QY821" s="770"/>
      <c r="QZ821" s="770"/>
      <c r="RA821" s="770"/>
      <c r="RB821" s="770" t="s">
        <v>1207</v>
      </c>
      <c r="RC821" s="770">
        <v>2015</v>
      </c>
      <c r="RD821" s="770" t="s">
        <v>13251</v>
      </c>
      <c r="RE821" s="770" t="s">
        <v>13008</v>
      </c>
      <c r="RF821" s="304">
        <f>CONVERT(1,"ft","m")</f>
        <v>0.30480000000000002</v>
      </c>
      <c r="RG821" s="770" t="s">
        <v>13047</v>
      </c>
      <c r="RH821" s="306">
        <v>0</v>
      </c>
      <c r="RI821" s="770">
        <v>2</v>
      </c>
      <c r="RJ821" s="94" t="s">
        <v>14042</v>
      </c>
      <c r="RK821" s="770" t="s">
        <v>13556</v>
      </c>
      <c r="RL821" s="1710">
        <v>42852</v>
      </c>
      <c r="RM821" s="12"/>
      <c r="RN821" s="1711"/>
      <c r="RO821" s="149" t="s">
        <v>5258</v>
      </c>
      <c r="RP821" s="11"/>
      <c r="RQ821" s="11"/>
      <c r="RR821" s="17"/>
      <c r="RS821" s="767"/>
      <c r="RT821" s="11"/>
      <c r="RU821" s="11"/>
      <c r="RV821" s="771" t="s">
        <v>7419</v>
      </c>
      <c r="RW821" s="11" t="s">
        <v>7492</v>
      </c>
      <c r="RX821" s="11" t="s">
        <v>5243</v>
      </c>
      <c r="RY821" s="11"/>
      <c r="RZ821" s="11" t="s">
        <v>2209</v>
      </c>
      <c r="SA821" s="771"/>
      <c r="SB821" s="11"/>
      <c r="SC821" s="11"/>
    </row>
    <row r="822" spans="1:497" ht="12.75" hidden="1" customHeight="1">
      <c r="A822" s="343" t="s">
        <v>7419</v>
      </c>
      <c r="B822" s="292" t="s">
        <v>7495</v>
      </c>
      <c r="C822" s="149" t="s">
        <v>5268</v>
      </c>
      <c r="D822" s="94" t="s">
        <v>5270</v>
      </c>
      <c r="E822" s="766" t="s">
        <v>5299</v>
      </c>
      <c r="F822" s="770" t="s">
        <v>28</v>
      </c>
      <c r="G822" s="770" t="s">
        <v>18</v>
      </c>
      <c r="H822" s="770"/>
      <c r="I822" s="295" t="s">
        <v>5272</v>
      </c>
      <c r="J822" s="94" t="s">
        <v>5270</v>
      </c>
      <c r="K822" s="766" t="s">
        <v>5273</v>
      </c>
      <c r="L822" s="766" t="s">
        <v>2429</v>
      </c>
      <c r="M822" s="770" t="s">
        <v>1238</v>
      </c>
      <c r="N822" s="1757"/>
      <c r="O822" s="1757" t="s">
        <v>4830</v>
      </c>
      <c r="P822" s="94" t="s">
        <v>5274</v>
      </c>
      <c r="Q822" s="1088">
        <v>22945</v>
      </c>
      <c r="R822" s="297">
        <v>54</v>
      </c>
      <c r="S822" s="770" t="s">
        <v>18</v>
      </c>
      <c r="T822" s="770"/>
      <c r="U822" s="295" t="s">
        <v>5272</v>
      </c>
      <c r="V822" s="770" t="s">
        <v>719</v>
      </c>
      <c r="W822" s="770"/>
      <c r="X822" s="770"/>
      <c r="Y822" s="770" t="s">
        <v>5271</v>
      </c>
      <c r="Z822" s="770" t="s">
        <v>708</v>
      </c>
      <c r="AA822" s="12" t="s">
        <v>709</v>
      </c>
      <c r="AB822" s="770" t="s">
        <v>710</v>
      </c>
      <c r="AC822" s="770"/>
      <c r="AD822" s="770" t="s">
        <v>770</v>
      </c>
      <c r="AE822" s="770"/>
      <c r="AF822" s="770" t="s">
        <v>712</v>
      </c>
      <c r="AG822" s="766" t="s">
        <v>1095</v>
      </c>
      <c r="AH822" s="766" t="s">
        <v>1096</v>
      </c>
      <c r="AI822" s="770" t="s">
        <v>3294</v>
      </c>
      <c r="AJ822" s="770"/>
      <c r="AK822" s="770" t="s">
        <v>1097</v>
      </c>
      <c r="AL822" s="531">
        <v>22.36</v>
      </c>
      <c r="AM822" s="780">
        <v>7.8</v>
      </c>
      <c r="AN822" s="532">
        <f t="shared" si="259"/>
        <v>0.34883720930232559</v>
      </c>
      <c r="AO822" s="766" t="s">
        <v>1149</v>
      </c>
      <c r="AP822" s="766" t="s">
        <v>7224</v>
      </c>
      <c r="AQ822" s="766" t="s">
        <v>7418</v>
      </c>
      <c r="AR822" s="766"/>
      <c r="AS822" s="409"/>
      <c r="AT822" s="770"/>
      <c r="AU822" s="770"/>
      <c r="AV822" s="770"/>
      <c r="AW822" s="770"/>
      <c r="AX822" s="770"/>
      <c r="AY822" s="770"/>
      <c r="AZ822" s="770"/>
      <c r="BA822" s="770"/>
      <c r="BB822" s="770"/>
      <c r="BC822" s="770"/>
      <c r="BD822" s="770"/>
      <c r="BE822" s="770"/>
      <c r="BF822" s="302"/>
      <c r="BG822" s="302"/>
      <c r="BH822" s="770"/>
      <c r="BI822" s="770"/>
      <c r="BJ822" s="770"/>
      <c r="BK822" s="766" t="s">
        <v>1095</v>
      </c>
      <c r="BL822" s="766" t="s">
        <v>5282</v>
      </c>
      <c r="BM822" s="766" t="s">
        <v>1096</v>
      </c>
      <c r="BN822" s="766" t="s">
        <v>1230</v>
      </c>
      <c r="BO822" s="766" t="s">
        <v>1239</v>
      </c>
      <c r="BP822" s="765">
        <v>44.7</v>
      </c>
      <c r="BQ822" s="773">
        <v>15.7</v>
      </c>
      <c r="BR822" s="774">
        <f t="shared" si="263"/>
        <v>0.35123042505592839</v>
      </c>
      <c r="BS822" s="6" t="s">
        <v>1149</v>
      </c>
      <c r="BT822" s="766" t="s">
        <v>2040</v>
      </c>
      <c r="BU822" s="770" t="s">
        <v>1249</v>
      </c>
      <c r="BV822" s="770" t="s">
        <v>1247</v>
      </c>
      <c r="BW822" s="770">
        <v>1977</v>
      </c>
      <c r="BX822" s="302"/>
      <c r="BY822" s="770" t="s">
        <v>1214</v>
      </c>
      <c r="BZ822" s="302"/>
      <c r="CA822" s="770" t="s">
        <v>5275</v>
      </c>
      <c r="CB822" s="770"/>
      <c r="CC822" s="770"/>
      <c r="CD822" s="770"/>
      <c r="CE822" s="302"/>
      <c r="CF822" s="304"/>
      <c r="CG822" s="321"/>
      <c r="CH822" s="770"/>
      <c r="CI822" s="770"/>
      <c r="CJ822" s="770"/>
      <c r="CK822" s="770"/>
      <c r="CL822" s="770"/>
      <c r="CM822" s="770"/>
      <c r="CN822" s="770"/>
      <c r="CO822" s="770"/>
      <c r="CP822" s="770"/>
      <c r="CQ822" s="770"/>
      <c r="CR822" s="302"/>
      <c r="CS822" s="770"/>
      <c r="CT822" s="770"/>
      <c r="CU822" s="305"/>
      <c r="CV822" s="770"/>
      <c r="CW822" s="770"/>
      <c r="CX822" s="770"/>
      <c r="CY822" s="770"/>
      <c r="CZ822" s="770"/>
      <c r="DA822" s="306"/>
      <c r="DB822" s="770"/>
      <c r="DC822" s="770"/>
      <c r="DD822" s="770"/>
      <c r="DE822" s="300"/>
      <c r="DF822" s="770"/>
      <c r="DG822" s="770"/>
      <c r="DH822" s="770"/>
      <c r="DI822" s="770"/>
      <c r="DJ822" s="770"/>
      <c r="DK822" s="770"/>
      <c r="DL822" s="770"/>
      <c r="DM822" s="770"/>
      <c r="DN822" s="322"/>
      <c r="DO822" s="770"/>
      <c r="DP822" s="770"/>
      <c r="DQ822" s="770"/>
      <c r="DR822" s="770"/>
      <c r="DS822" s="307"/>
      <c r="DT822" s="770"/>
      <c r="DU822" s="770"/>
      <c r="DV822" s="770"/>
      <c r="DW822" s="306"/>
      <c r="DX822" s="306"/>
      <c r="DY822" s="1055"/>
      <c r="DZ822" s="770"/>
      <c r="EA822" s="770"/>
      <c r="EB822" s="770"/>
      <c r="EC822" s="770"/>
      <c r="ED822" s="770"/>
      <c r="EE822" s="770"/>
      <c r="EF822" s="770"/>
      <c r="EG822" s="770"/>
      <c r="EH822" s="770"/>
      <c r="EI822" s="770"/>
      <c r="EJ822" s="770"/>
      <c r="EK822" s="770"/>
      <c r="EL822" s="770"/>
      <c r="EM822" s="770"/>
      <c r="EN822" s="770"/>
      <c r="EO822" s="770"/>
      <c r="EP822" s="94"/>
      <c r="EQ822" s="770"/>
      <c r="ER822" s="770"/>
      <c r="ES822" s="770"/>
      <c r="ET822" s="770"/>
      <c r="EU822" s="770"/>
      <c r="EV822" s="770"/>
      <c r="EW822" s="770"/>
      <c r="EX822" s="770"/>
      <c r="EY822" s="770"/>
      <c r="EZ822" s="770"/>
      <c r="FA822" s="770"/>
      <c r="FB822" s="770"/>
      <c r="FC822" s="770"/>
      <c r="FD822" s="302"/>
      <c r="FE822" s="770"/>
      <c r="FF822" s="770"/>
      <c r="FG822" s="770"/>
      <c r="FH822" s="770" t="s">
        <v>478</v>
      </c>
      <c r="FI822" s="770">
        <v>1</v>
      </c>
      <c r="FJ822" s="770"/>
      <c r="FK822" s="770"/>
      <c r="FL822" s="770"/>
      <c r="FM822" s="302"/>
      <c r="FN822" s="302"/>
      <c r="FO822" s="302"/>
      <c r="FP822" s="766" t="s">
        <v>1602</v>
      </c>
      <c r="FQ822" s="766" t="s">
        <v>1660</v>
      </c>
      <c r="FR822" s="770" t="s">
        <v>1214</v>
      </c>
      <c r="FS822" s="770"/>
      <c r="FT822" s="770"/>
      <c r="FU822" s="770"/>
      <c r="FV822" s="770"/>
      <c r="FW822" s="770"/>
      <c r="FX822" s="770"/>
      <c r="FY822" s="770"/>
      <c r="FZ822" s="770"/>
      <c r="GA822" s="770"/>
      <c r="GB822" s="770" t="s">
        <v>1734</v>
      </c>
      <c r="GC822" s="308"/>
      <c r="GD822" s="297">
        <v>1977</v>
      </c>
      <c r="GE822" s="770" t="s">
        <v>1214</v>
      </c>
      <c r="GF822" s="302"/>
      <c r="GG822" s="302"/>
      <c r="GH822" s="766" t="s">
        <v>14260</v>
      </c>
      <c r="GI822" s="770"/>
      <c r="GJ822" s="770"/>
      <c r="GK822" s="770"/>
      <c r="GL822" s="770"/>
      <c r="GM822" s="770"/>
      <c r="GN822" s="299"/>
      <c r="GO822" s="770"/>
      <c r="GP822" s="770"/>
      <c r="GQ822" s="770"/>
      <c r="GR822" s="770"/>
      <c r="GS822" s="770"/>
      <c r="GT822" s="770"/>
      <c r="GU822" s="770"/>
      <c r="GV822" s="770"/>
      <c r="GW822" s="770"/>
      <c r="GX822" s="770"/>
      <c r="GY822" s="770"/>
      <c r="GZ822" s="770"/>
      <c r="HA822" s="770"/>
      <c r="HB822" s="770"/>
      <c r="HC822" s="770"/>
      <c r="HD822" s="770"/>
      <c r="HE822" s="770"/>
      <c r="HF822" s="770"/>
      <c r="HG822" s="770"/>
      <c r="HH822" s="770"/>
      <c r="HI822" s="770" t="s">
        <v>1214</v>
      </c>
      <c r="HJ822" s="770"/>
      <c r="HK822" s="770"/>
      <c r="HL822" s="770" t="s">
        <v>1214</v>
      </c>
      <c r="HM822" s="770"/>
      <c r="HN822" s="770"/>
      <c r="HO822" s="770"/>
      <c r="HP822" s="770"/>
      <c r="HQ822" s="770"/>
      <c r="HR822" s="770"/>
      <c r="HS822" s="770"/>
      <c r="HT822" s="770"/>
      <c r="HU822" s="770"/>
      <c r="HV822" s="770"/>
      <c r="HW822" s="770"/>
      <c r="HX822" s="770"/>
      <c r="HY822" s="770"/>
      <c r="HZ822" s="770"/>
      <c r="IA822" s="770"/>
      <c r="IB822" s="14" t="e">
        <f>IF(#REF!&gt;0,IF(#REF!&lt;=10000,"Y",""),"")</f>
        <v>#REF!</v>
      </c>
      <c r="IC822" s="770"/>
      <c r="ID822" s="770"/>
      <c r="IE822" s="770">
        <v>1</v>
      </c>
      <c r="IF822" s="770"/>
      <c r="IG822" s="770"/>
      <c r="IH822" s="770"/>
      <c r="II822" s="770"/>
      <c r="IJ822" s="770"/>
      <c r="IK822" s="770"/>
      <c r="IL822" s="770"/>
      <c r="IM822" s="770"/>
      <c r="IN822" s="770"/>
      <c r="IO822" s="296"/>
      <c r="IP822" s="770"/>
      <c r="IQ822" s="770"/>
      <c r="IR822" s="770"/>
      <c r="IS822" s="770"/>
      <c r="IT822" s="770"/>
      <c r="IU822" s="770"/>
      <c r="IV822" s="770"/>
      <c r="IW822" s="770"/>
      <c r="IX822" s="770"/>
      <c r="IY822" s="770"/>
      <c r="IZ822" s="770"/>
      <c r="JA822" s="770"/>
      <c r="JB822" s="770"/>
      <c r="JC822" s="770"/>
      <c r="JD822" s="302"/>
      <c r="JE822" s="770"/>
      <c r="JF822" s="770"/>
      <c r="JG822" s="770"/>
      <c r="JH822" s="307"/>
      <c r="JI822" s="307"/>
      <c r="JJ822" s="770">
        <v>5</v>
      </c>
      <c r="JK822" s="1139" t="s">
        <v>5269</v>
      </c>
      <c r="JL822" s="770">
        <v>1</v>
      </c>
      <c r="JM822" s="770">
        <v>1</v>
      </c>
      <c r="JN822" s="770">
        <v>1</v>
      </c>
      <c r="JO822" s="770">
        <v>2</v>
      </c>
      <c r="JP822" s="770"/>
      <c r="JQ822" s="770"/>
      <c r="JR822" s="770"/>
      <c r="JS822" s="770"/>
      <c r="JT822" s="766">
        <f>SUM(JP822,JN822,JL822,JR822)</f>
        <v>2</v>
      </c>
      <c r="JU822" s="766">
        <f>SUM(JQ822,JO822,JM822,JS822)</f>
        <v>3</v>
      </c>
      <c r="JV822" s="712" t="str">
        <f>IF(JT822=KJ822,"ok","male")</f>
        <v>ok</v>
      </c>
      <c r="JW822" s="712" t="str">
        <f>IF(JU822=KK822,"ok","female")</f>
        <v>ok</v>
      </c>
      <c r="JX822" s="770">
        <v>1</v>
      </c>
      <c r="JY822" s="770">
        <v>1</v>
      </c>
      <c r="JZ822" s="770"/>
      <c r="KA822" s="770"/>
      <c r="KB822" s="770">
        <v>1</v>
      </c>
      <c r="KC822" s="770">
        <v>1</v>
      </c>
      <c r="KD822" s="770"/>
      <c r="KE822" s="770">
        <v>1</v>
      </c>
      <c r="KF822" s="770"/>
      <c r="KG822" s="770"/>
      <c r="KH822" s="770"/>
      <c r="KI822" s="770"/>
      <c r="KJ822" s="770">
        <f t="shared" si="249"/>
        <v>2</v>
      </c>
      <c r="KK822" s="770">
        <f t="shared" si="249"/>
        <v>3</v>
      </c>
      <c r="KL822" s="712" t="str">
        <f>IF(KJ822=LN822,"ok","male")</f>
        <v>ok</v>
      </c>
      <c r="KM822" s="712" t="str">
        <f>IF(KK822=LO822,"ok","female")</f>
        <v>ok</v>
      </c>
      <c r="KN822" s="770" t="s">
        <v>719</v>
      </c>
      <c r="KO822" s="770"/>
      <c r="KP822" s="770"/>
      <c r="KQ822" s="770"/>
      <c r="KR822" s="770"/>
      <c r="KS822" s="770"/>
      <c r="KT822" s="770"/>
      <c r="KU822" s="770">
        <v>1</v>
      </c>
      <c r="KV822" s="770"/>
      <c r="KW822" s="770"/>
      <c r="KX822" s="770"/>
      <c r="KY822" s="770"/>
      <c r="KZ822" s="770">
        <v>1</v>
      </c>
      <c r="LA822" s="770">
        <v>2</v>
      </c>
      <c r="LB822" s="770"/>
      <c r="LC822" s="770"/>
      <c r="LD822" s="770"/>
      <c r="LE822" s="770"/>
      <c r="LF822" s="770"/>
      <c r="LG822" s="770"/>
      <c r="LH822" s="770"/>
      <c r="LI822" s="770"/>
      <c r="LJ822" s="770">
        <v>1</v>
      </c>
      <c r="LK822" s="770"/>
      <c r="LL822" s="770"/>
      <c r="LM822" s="770"/>
      <c r="LN822" s="766">
        <f>SUM(KP822,KR822,KT822,KV822,KX822,KZ822,LB822,LD822,LF822,LH822,LJ822,LL822)</f>
        <v>2</v>
      </c>
      <c r="LO822" s="766">
        <f>SUM(KQ822,KS822,KU822,KW822,KY822,LA822,LC822,LE822,LG822,LI822,LK822,LM822)</f>
        <v>3</v>
      </c>
      <c r="LP822" s="770">
        <v>2</v>
      </c>
      <c r="LQ822" s="770">
        <v>1</v>
      </c>
      <c r="LR822" s="770">
        <v>1</v>
      </c>
      <c r="LS822" s="770"/>
      <c r="LT822" s="712" t="str">
        <f>IF(LQ822=SUM(LU822:LW822),"OK","REV")</f>
        <v>OK</v>
      </c>
      <c r="LU822" s="770"/>
      <c r="LV822" s="770">
        <v>1</v>
      </c>
      <c r="LW822" s="770"/>
      <c r="LX822" s="769">
        <v>1</v>
      </c>
      <c r="LY822" s="766" t="str">
        <f t="shared" si="258"/>
        <v>within the BRGY</v>
      </c>
      <c r="LZ822" s="1709">
        <f>500*26</f>
        <v>13000</v>
      </c>
      <c r="MA822" s="1709"/>
      <c r="MB822" s="1709"/>
      <c r="MC822" s="1679">
        <f t="shared" si="256"/>
        <v>13000</v>
      </c>
      <c r="MD822" s="1709">
        <v>4000</v>
      </c>
      <c r="ME822" s="1709">
        <v>3000</v>
      </c>
      <c r="MF822" s="1709"/>
      <c r="MG822" s="1680">
        <f>SUM(MD822:MF822)</f>
        <v>7000</v>
      </c>
      <c r="MH822" s="770" t="s">
        <v>14043</v>
      </c>
      <c r="MI822" s="302">
        <f>400*30</f>
        <v>12000</v>
      </c>
      <c r="MJ822" s="302">
        <v>3000</v>
      </c>
      <c r="MK822" s="302">
        <v>500</v>
      </c>
      <c r="ML822" s="302">
        <f>1500*4</f>
        <v>6000</v>
      </c>
      <c r="MM822" s="302">
        <v>2500</v>
      </c>
      <c r="MN822" s="302"/>
      <c r="MO822" s="302">
        <v>1800</v>
      </c>
      <c r="MP822" s="302">
        <v>2085</v>
      </c>
      <c r="MQ822" s="302">
        <v>600</v>
      </c>
      <c r="MR822" s="302">
        <v>500</v>
      </c>
      <c r="MS822" s="302">
        <v>500</v>
      </c>
      <c r="MT822" s="302"/>
      <c r="MU822" s="302"/>
      <c r="MV822" s="302"/>
      <c r="MW822" s="302"/>
      <c r="MX822" s="302"/>
      <c r="MY822" s="1682">
        <f t="shared" si="243"/>
        <v>29485</v>
      </c>
      <c r="MZ822" s="770" t="s">
        <v>13370</v>
      </c>
      <c r="NA822" s="770" t="s">
        <v>13005</v>
      </c>
      <c r="NB822" s="770" t="s">
        <v>13016</v>
      </c>
      <c r="NC822" s="770" t="s">
        <v>13602</v>
      </c>
      <c r="ND822" s="770">
        <v>0</v>
      </c>
      <c r="NE822" s="770">
        <v>0</v>
      </c>
      <c r="NF822" s="770">
        <v>0</v>
      </c>
      <c r="NG822" s="770">
        <v>5</v>
      </c>
      <c r="NH822" s="770">
        <v>1</v>
      </c>
      <c r="NI822" s="770">
        <v>0</v>
      </c>
      <c r="NJ822" s="770">
        <v>0</v>
      </c>
      <c r="NK822" s="770">
        <v>0</v>
      </c>
      <c r="NL822" s="770">
        <v>1</v>
      </c>
      <c r="NM822" s="770">
        <v>1</v>
      </c>
      <c r="NN822" s="770">
        <v>0</v>
      </c>
      <c r="NO822" s="770">
        <v>0</v>
      </c>
      <c r="NP822" s="770">
        <v>0</v>
      </c>
      <c r="NQ822" s="770">
        <v>0</v>
      </c>
      <c r="NR822" s="770">
        <v>0</v>
      </c>
      <c r="NS822" s="770">
        <v>0</v>
      </c>
      <c r="NT822" s="770">
        <v>0</v>
      </c>
      <c r="NU822" s="770">
        <v>0</v>
      </c>
      <c r="NV822" s="770">
        <v>0</v>
      </c>
      <c r="NW822" s="770">
        <v>0</v>
      </c>
      <c r="NX822" s="770">
        <v>0</v>
      </c>
      <c r="NY822" s="770" t="s">
        <v>1208</v>
      </c>
      <c r="NZ822" s="770" t="s">
        <v>1208</v>
      </c>
      <c r="OA822" s="770" t="s">
        <v>1208</v>
      </c>
      <c r="OB822" s="770" t="s">
        <v>1208</v>
      </c>
      <c r="OC822" s="770" t="s">
        <v>1208</v>
      </c>
      <c r="OD822" s="770"/>
      <c r="OE822" s="770"/>
      <c r="OF822" s="770"/>
      <c r="OG822" s="770"/>
      <c r="OH822" s="770"/>
      <c r="OI822" s="770"/>
      <c r="OJ822" s="770"/>
      <c r="OK822" s="770"/>
      <c r="OL822" s="770"/>
      <c r="OM822" s="770"/>
      <c r="ON822" s="770"/>
      <c r="OO822" s="770"/>
      <c r="OP822" s="770"/>
      <c r="OQ822" s="770"/>
      <c r="OR822" s="770"/>
      <c r="OS822" s="770"/>
      <c r="OT822" s="770"/>
      <c r="OU822" s="770"/>
      <c r="OV822" s="770"/>
      <c r="OW822" s="770"/>
      <c r="OX822" s="770"/>
      <c r="OY822" s="770"/>
      <c r="OZ822" s="770"/>
      <c r="PA822" s="770"/>
      <c r="PB822" s="770"/>
      <c r="PC822" s="770"/>
      <c r="PD822" s="770"/>
      <c r="PE822" s="770"/>
      <c r="PF822" s="770"/>
      <c r="PG822" s="770"/>
      <c r="PH822" s="770"/>
      <c r="PI822" s="770"/>
      <c r="PJ822" s="770"/>
      <c r="PK822" s="770"/>
      <c r="PL822" s="770"/>
      <c r="PM822" s="770"/>
      <c r="PN822" s="770"/>
      <c r="PO822" s="770"/>
      <c r="PP822" s="770"/>
      <c r="PQ822" s="770"/>
      <c r="PR822" s="770"/>
      <c r="PS822" s="770"/>
      <c r="PT822" s="770"/>
      <c r="PU822" s="770"/>
      <c r="PV822" s="770"/>
      <c r="PW822" s="770"/>
      <c r="PX822" s="770"/>
      <c r="PY822" s="770" t="s">
        <v>1208</v>
      </c>
      <c r="PZ822" s="770"/>
      <c r="QA822" s="770"/>
      <c r="QB822" s="770"/>
      <c r="QC822" s="770"/>
      <c r="QD822" s="770"/>
      <c r="QE822" s="770"/>
      <c r="QF822" s="770"/>
      <c r="QG822" s="770"/>
      <c r="QH822" s="770"/>
      <c r="QI822" s="770"/>
      <c r="QJ822" s="770"/>
      <c r="QK822" s="770"/>
      <c r="QL822" s="770"/>
      <c r="QM822" s="770"/>
      <c r="QN822" s="770"/>
      <c r="QO822" s="770"/>
      <c r="QP822" s="770"/>
      <c r="QQ822" s="770"/>
      <c r="QR822" s="770"/>
      <c r="QS822" s="770"/>
      <c r="QT822" s="770"/>
      <c r="QU822" s="770"/>
      <c r="QV822" s="770"/>
      <c r="QW822" s="770"/>
      <c r="QX822" s="770"/>
      <c r="QY822" s="770"/>
      <c r="QZ822" s="770"/>
      <c r="RA822" s="770"/>
      <c r="RB822" s="770" t="s">
        <v>1857</v>
      </c>
      <c r="RC822" s="770">
        <v>2016</v>
      </c>
      <c r="RD822" s="770" t="s">
        <v>14044</v>
      </c>
      <c r="RE822" s="770" t="s">
        <v>12999</v>
      </c>
      <c r="RF822" s="304">
        <v>1.5</v>
      </c>
      <c r="RG822" s="770" t="s">
        <v>13047</v>
      </c>
      <c r="RH822" s="306">
        <v>1000</v>
      </c>
      <c r="RI822" s="770">
        <v>24</v>
      </c>
      <c r="RJ822" s="94" t="s">
        <v>5269</v>
      </c>
      <c r="RK822" s="770" t="s">
        <v>13544</v>
      </c>
      <c r="RL822" s="1710" t="s">
        <v>1604</v>
      </c>
      <c r="RM822" s="12"/>
      <c r="RN822" s="1711"/>
      <c r="RO822" s="149" t="s">
        <v>5268</v>
      </c>
      <c r="RP822" s="11"/>
      <c r="RQ822" s="11"/>
      <c r="RR822" s="343" t="s">
        <v>7419</v>
      </c>
      <c r="RS822" s="1139" t="s">
        <v>12980</v>
      </c>
      <c r="RT822" s="11"/>
      <c r="RU822" s="11"/>
      <c r="RV822" s="771" t="s">
        <v>7421</v>
      </c>
      <c r="RW822" s="11" t="s">
        <v>7493</v>
      </c>
      <c r="RX822" s="11" t="s">
        <v>5252</v>
      </c>
      <c r="RY822" s="11"/>
      <c r="RZ822" s="11" t="s">
        <v>2209</v>
      </c>
      <c r="SA822" s="771"/>
      <c r="SB822" s="11"/>
      <c r="SC822" s="11"/>
    </row>
    <row r="823" spans="1:497" ht="12.75" hidden="1" customHeight="1">
      <c r="A823" s="343" t="s">
        <v>14256</v>
      </c>
      <c r="B823" s="292" t="s">
        <v>7496</v>
      </c>
      <c r="C823" s="149" t="s">
        <v>5285</v>
      </c>
      <c r="D823" s="94" t="s">
        <v>5286</v>
      </c>
      <c r="E823" s="766" t="s">
        <v>5299</v>
      </c>
      <c r="F823" s="770" t="s">
        <v>28</v>
      </c>
      <c r="G823" s="770" t="s">
        <v>10</v>
      </c>
      <c r="H823" s="770"/>
      <c r="I823" s="295" t="s">
        <v>5287</v>
      </c>
      <c r="J823" s="94" t="s">
        <v>5286</v>
      </c>
      <c r="K823" s="766" t="s">
        <v>5067</v>
      </c>
      <c r="L823" s="766" t="s">
        <v>3254</v>
      </c>
      <c r="M823" s="770" t="s">
        <v>1238</v>
      </c>
      <c r="N823" s="1757"/>
      <c r="O823" s="1757" t="s">
        <v>4830</v>
      </c>
      <c r="P823" s="770"/>
      <c r="Q823" s="1088"/>
      <c r="R823" s="297"/>
      <c r="S823" s="770"/>
      <c r="T823" s="770"/>
      <c r="U823" s="295"/>
      <c r="V823" s="770"/>
      <c r="W823" s="770"/>
      <c r="X823" s="770"/>
      <c r="Y823" s="770"/>
      <c r="Z823" s="770"/>
      <c r="AA823" s="12"/>
      <c r="AB823" s="12"/>
      <c r="AC823" s="770"/>
      <c r="AD823" s="770"/>
      <c r="AE823" s="770"/>
      <c r="AF823" s="770"/>
      <c r="AG823" s="770"/>
      <c r="AH823" s="770"/>
      <c r="AI823" s="770"/>
      <c r="AJ823" s="770"/>
      <c r="AK823" s="770" t="s">
        <v>5454</v>
      </c>
      <c r="AL823" s="120"/>
      <c r="AM823" s="773"/>
      <c r="AN823" s="37"/>
      <c r="AO823" s="766"/>
      <c r="AP823" s="766"/>
      <c r="AQ823" s="766"/>
      <c r="AR823" s="766"/>
      <c r="AS823" s="409"/>
      <c r="AT823" s="770"/>
      <c r="AU823" s="770"/>
      <c r="AV823" s="770"/>
      <c r="AW823" s="770"/>
      <c r="AX823" s="770"/>
      <c r="AY823" s="770"/>
      <c r="AZ823" s="770"/>
      <c r="BA823" s="770"/>
      <c r="BB823" s="770"/>
      <c r="BC823" s="770"/>
      <c r="BD823" s="770"/>
      <c r="BE823" s="770"/>
      <c r="BF823" s="302"/>
      <c r="BG823" s="302"/>
      <c r="BH823" s="770"/>
      <c r="BI823" s="770"/>
      <c r="BJ823" s="770"/>
      <c r="BK823" s="766" t="s">
        <v>1095</v>
      </c>
      <c r="BL823" s="766" t="s">
        <v>5752</v>
      </c>
      <c r="BM823" s="766" t="s">
        <v>1096</v>
      </c>
      <c r="BN823" s="766" t="s">
        <v>1230</v>
      </c>
      <c r="BO823" s="766" t="s">
        <v>1239</v>
      </c>
      <c r="BP823" s="765">
        <v>34.5</v>
      </c>
      <c r="BQ823" s="773">
        <v>3</v>
      </c>
      <c r="BR823" s="774">
        <f t="shared" si="263"/>
        <v>8.6956521739130432E-2</v>
      </c>
      <c r="BS823" s="766" t="s">
        <v>1242</v>
      </c>
      <c r="BT823" s="766" t="s">
        <v>2040</v>
      </c>
      <c r="BU823" s="770" t="s">
        <v>1249</v>
      </c>
      <c r="BV823" s="770" t="s">
        <v>1247</v>
      </c>
      <c r="BW823" s="770">
        <v>1942</v>
      </c>
      <c r="BX823" s="302"/>
      <c r="BY823" s="770" t="s">
        <v>1207</v>
      </c>
      <c r="BZ823" s="302"/>
      <c r="CA823" s="770"/>
      <c r="CB823" s="770" t="s">
        <v>1207</v>
      </c>
      <c r="CC823" s="770"/>
      <c r="CD823" s="770"/>
      <c r="CE823" s="302"/>
      <c r="CF823" s="304"/>
      <c r="CG823" s="321"/>
      <c r="CH823" s="770"/>
      <c r="CI823" s="770"/>
      <c r="CJ823" s="770"/>
      <c r="CK823" s="770"/>
      <c r="CL823" s="770"/>
      <c r="CM823" s="770"/>
      <c r="CN823" s="770"/>
      <c r="CO823" s="770"/>
      <c r="CP823" s="770"/>
      <c r="CQ823" s="770"/>
      <c r="CR823" s="302"/>
      <c r="CS823" s="770"/>
      <c r="CT823" s="770"/>
      <c r="CU823" s="305"/>
      <c r="CV823" s="770"/>
      <c r="CW823" s="770"/>
      <c r="CX823" s="770"/>
      <c r="CY823" s="770"/>
      <c r="CZ823" s="770"/>
      <c r="DA823" s="306"/>
      <c r="DB823" s="770"/>
      <c r="DC823" s="770"/>
      <c r="DD823" s="770"/>
      <c r="DE823" s="300"/>
      <c r="DF823" s="770"/>
      <c r="DG823" s="770"/>
      <c r="DH823" s="770"/>
      <c r="DI823" s="770"/>
      <c r="DJ823" s="770"/>
      <c r="DK823" s="770"/>
      <c r="DL823" s="770"/>
      <c r="DM823" s="770"/>
      <c r="DN823" s="322"/>
      <c r="DO823" s="770"/>
      <c r="DP823" s="770"/>
      <c r="DQ823" s="770"/>
      <c r="DR823" s="770"/>
      <c r="DS823" s="307"/>
      <c r="DT823" s="770"/>
      <c r="DU823" s="770"/>
      <c r="DV823" s="770"/>
      <c r="DW823" s="306"/>
      <c r="DX823" s="306"/>
      <c r="DY823" s="1055"/>
      <c r="DZ823" s="770"/>
      <c r="EA823" s="770"/>
      <c r="EB823" s="770"/>
      <c r="EC823" s="770"/>
      <c r="ED823" s="770"/>
      <c r="EE823" s="770"/>
      <c r="EF823" s="770"/>
      <c r="EG823" s="770"/>
      <c r="EH823" s="770"/>
      <c r="EI823" s="770"/>
      <c r="EJ823" s="770"/>
      <c r="EK823" s="770"/>
      <c r="EL823" s="770"/>
      <c r="EM823" s="770"/>
      <c r="EN823" s="770"/>
      <c r="EO823" s="770"/>
      <c r="EP823" s="94"/>
      <c r="EQ823" s="770"/>
      <c r="ER823" s="770"/>
      <c r="ES823" s="770"/>
      <c r="ET823" s="770"/>
      <c r="EU823" s="770"/>
      <c r="EV823" s="770"/>
      <c r="EW823" s="770"/>
      <c r="EX823" s="770"/>
      <c r="EY823" s="770"/>
      <c r="EZ823" s="770" t="s">
        <v>5288</v>
      </c>
      <c r="FA823" s="770" t="s">
        <v>3099</v>
      </c>
      <c r="FB823" s="770" t="s">
        <v>1149</v>
      </c>
      <c r="FC823" s="770"/>
      <c r="FD823" s="302"/>
      <c r="FE823" s="770" t="s">
        <v>5289</v>
      </c>
      <c r="FF823" s="770"/>
      <c r="FG823" s="770" t="s">
        <v>5290</v>
      </c>
      <c r="FH823" s="770" t="s">
        <v>478</v>
      </c>
      <c r="FI823" s="770">
        <v>1</v>
      </c>
      <c r="FJ823" s="770"/>
      <c r="FK823" s="770"/>
      <c r="FL823" s="770"/>
      <c r="FM823" s="302"/>
      <c r="FN823" s="302"/>
      <c r="FO823" s="302"/>
      <c r="FP823" s="770" t="s">
        <v>1600</v>
      </c>
      <c r="FQ823" s="770" t="s">
        <v>1642</v>
      </c>
      <c r="FR823" s="770" t="s">
        <v>1214</v>
      </c>
      <c r="FS823" s="770"/>
      <c r="FT823" s="770"/>
      <c r="FU823" s="770"/>
      <c r="FV823" s="770"/>
      <c r="FW823" s="770"/>
      <c r="FX823" s="770"/>
      <c r="FY823" s="770"/>
      <c r="FZ823" s="770"/>
      <c r="GA823" s="770"/>
      <c r="GB823" s="770"/>
      <c r="GC823" s="308"/>
      <c r="GD823" s="297"/>
      <c r="GE823" s="770" t="s">
        <v>1207</v>
      </c>
      <c r="GF823" s="302"/>
      <c r="GG823" s="302"/>
      <c r="GH823" s="770"/>
      <c r="GI823" s="770"/>
      <c r="GJ823" s="770"/>
      <c r="GK823" s="770"/>
      <c r="GL823" s="770"/>
      <c r="GM823" s="770"/>
      <c r="GN823" s="299"/>
      <c r="GO823" s="770"/>
      <c r="GP823" s="770"/>
      <c r="GQ823" s="770"/>
      <c r="GR823" s="770"/>
      <c r="GS823" s="770"/>
      <c r="GT823" s="770"/>
      <c r="GU823" s="770"/>
      <c r="GV823" s="770"/>
      <c r="GW823" s="770"/>
      <c r="GX823" s="770"/>
      <c r="GY823" s="770"/>
      <c r="GZ823" s="770"/>
      <c r="HA823" s="770"/>
      <c r="HB823" s="770"/>
      <c r="HC823" s="770"/>
      <c r="HD823" s="770"/>
      <c r="HE823" s="770"/>
      <c r="HF823" s="770"/>
      <c r="HG823" s="770"/>
      <c r="HH823" s="770"/>
      <c r="HI823" s="770"/>
      <c r="HJ823" s="770"/>
      <c r="HK823" s="770"/>
      <c r="HL823" s="770"/>
      <c r="HM823" s="770"/>
      <c r="HN823" s="770"/>
      <c r="HO823" s="770"/>
      <c r="HP823" s="770"/>
      <c r="HQ823" s="770"/>
      <c r="HR823" s="770"/>
      <c r="HS823" s="770"/>
      <c r="HT823" s="770"/>
      <c r="HU823" s="770"/>
      <c r="HV823" s="770"/>
      <c r="HW823" s="770"/>
      <c r="HX823" s="770"/>
      <c r="HY823" s="770"/>
      <c r="HZ823" s="770"/>
      <c r="IA823" s="770"/>
      <c r="IB823" s="770"/>
      <c r="IC823" s="770"/>
      <c r="ID823" s="770"/>
      <c r="IE823" s="770"/>
      <c r="IF823" s="770"/>
      <c r="IG823" s="770"/>
      <c r="IH823" s="770"/>
      <c r="II823" s="770"/>
      <c r="IJ823" s="770"/>
      <c r="IK823" s="770"/>
      <c r="IL823" s="770"/>
      <c r="IM823" s="770"/>
      <c r="IN823" s="770"/>
      <c r="IO823" s="296"/>
      <c r="IP823" s="770"/>
      <c r="IQ823" s="770"/>
      <c r="IR823" s="770"/>
      <c r="IS823" s="770"/>
      <c r="IT823" s="770"/>
      <c r="IU823" s="770"/>
      <c r="IV823" s="770"/>
      <c r="IW823" s="770"/>
      <c r="IX823" s="770"/>
      <c r="IY823" s="770"/>
      <c r="IZ823" s="770"/>
      <c r="JA823" s="770"/>
      <c r="JB823" s="770"/>
      <c r="JC823" s="770"/>
      <c r="JD823" s="302"/>
      <c r="JE823" s="770"/>
      <c r="JF823" s="770"/>
      <c r="JG823" s="770"/>
      <c r="JH823" s="307"/>
      <c r="JI823" s="307"/>
      <c r="JJ823" s="770"/>
      <c r="JK823" s="770"/>
      <c r="JL823" s="770"/>
      <c r="JM823" s="770"/>
      <c r="JN823" s="770"/>
      <c r="JO823" s="770"/>
      <c r="JP823" s="770"/>
      <c r="JQ823" s="770"/>
      <c r="JR823" s="770"/>
      <c r="JS823" s="770"/>
      <c r="JT823" s="766"/>
      <c r="JU823" s="766"/>
      <c r="JV823" s="766"/>
      <c r="JW823" s="766"/>
      <c r="JX823" s="770"/>
      <c r="JY823" s="770"/>
      <c r="JZ823" s="770"/>
      <c r="KA823" s="770"/>
      <c r="KB823" s="770"/>
      <c r="KC823" s="770"/>
      <c r="KD823" s="770"/>
      <c r="KE823" s="770"/>
      <c r="KF823" s="770"/>
      <c r="KG823" s="770"/>
      <c r="KH823" s="770"/>
      <c r="KI823" s="770"/>
      <c r="KJ823" s="770"/>
      <c r="KK823" s="770"/>
      <c r="KL823" s="770"/>
      <c r="KM823" s="770"/>
      <c r="KN823" s="770"/>
      <c r="KO823" s="770"/>
      <c r="KP823" s="770"/>
      <c r="KQ823" s="770"/>
      <c r="KR823" s="770"/>
      <c r="KS823" s="770"/>
      <c r="KT823" s="770"/>
      <c r="KU823" s="770"/>
      <c r="KV823" s="770"/>
      <c r="KW823" s="770"/>
      <c r="KX823" s="770"/>
      <c r="KY823" s="770"/>
      <c r="KZ823" s="770"/>
      <c r="LA823" s="770"/>
      <c r="LB823" s="770"/>
      <c r="LC823" s="770"/>
      <c r="LD823" s="770"/>
      <c r="LE823" s="770"/>
      <c r="LF823" s="770"/>
      <c r="LG823" s="770"/>
      <c r="LH823" s="770"/>
      <c r="LI823" s="770"/>
      <c r="LJ823" s="770"/>
      <c r="LK823" s="770"/>
      <c r="LL823" s="770"/>
      <c r="LM823" s="770"/>
      <c r="LN823" s="766"/>
      <c r="LO823" s="766"/>
      <c r="LP823" s="770"/>
      <c r="LQ823" s="770"/>
      <c r="LR823" s="770"/>
      <c r="LS823" s="770"/>
      <c r="LT823" s="770"/>
      <c r="LU823" s="770"/>
      <c r="LV823" s="770"/>
      <c r="LW823" s="770"/>
      <c r="LX823" s="769"/>
      <c r="LY823" s="766" t="str">
        <f t="shared" si="258"/>
        <v/>
      </c>
      <c r="LZ823" s="1709"/>
      <c r="MA823" s="1709"/>
      <c r="MB823" s="1709"/>
      <c r="MC823" s="1679">
        <f t="shared" si="256"/>
        <v>0</v>
      </c>
      <c r="MD823" s="1709"/>
      <c r="ME823" s="1709"/>
      <c r="MF823" s="1709"/>
      <c r="MG823" s="1680">
        <f>SUM(MD823:MF823)</f>
        <v>0</v>
      </c>
      <c r="MH823" s="770"/>
      <c r="MI823" s="302"/>
      <c r="MJ823" s="302"/>
      <c r="MK823" s="302"/>
      <c r="ML823" s="302"/>
      <c r="MM823" s="302"/>
      <c r="MN823" s="302"/>
      <c r="MO823" s="302"/>
      <c r="MP823" s="302"/>
      <c r="MQ823" s="302"/>
      <c r="MR823" s="302"/>
      <c r="MS823" s="302"/>
      <c r="MT823" s="302"/>
      <c r="MU823" s="302"/>
      <c r="MV823" s="302"/>
      <c r="MW823" s="302"/>
      <c r="MX823" s="302"/>
      <c r="MY823" s="1682">
        <f t="shared" si="243"/>
        <v>0</v>
      </c>
      <c r="MZ823" s="770"/>
      <c r="NA823" s="770"/>
      <c r="NB823" s="770"/>
      <c r="NC823" s="770"/>
      <c r="ND823" s="770"/>
      <c r="NE823" s="770"/>
      <c r="NF823" s="770"/>
      <c r="NG823" s="770"/>
      <c r="NH823" s="770"/>
      <c r="NI823" s="770"/>
      <c r="NJ823" s="770"/>
      <c r="NK823" s="770"/>
      <c r="NL823" s="770"/>
      <c r="NM823" s="770"/>
      <c r="NN823" s="770"/>
      <c r="NO823" s="770"/>
      <c r="NP823" s="770"/>
      <c r="NQ823" s="770"/>
      <c r="NR823" s="770"/>
      <c r="NS823" s="770"/>
      <c r="NT823" s="770"/>
      <c r="NU823" s="770"/>
      <c r="NV823" s="770"/>
      <c r="NW823" s="770"/>
      <c r="NX823" s="770"/>
      <c r="NY823" s="770"/>
      <c r="NZ823" s="770"/>
      <c r="OA823" s="770"/>
      <c r="OB823" s="770"/>
      <c r="OC823" s="770"/>
      <c r="OD823" s="770"/>
      <c r="OE823" s="770"/>
      <c r="OF823" s="770"/>
      <c r="OG823" s="770"/>
      <c r="OH823" s="770"/>
      <c r="OI823" s="770"/>
      <c r="OJ823" s="770"/>
      <c r="OK823" s="770"/>
      <c r="OL823" s="770"/>
      <c r="OM823" s="770"/>
      <c r="ON823" s="770"/>
      <c r="OO823" s="770"/>
      <c r="OP823" s="770"/>
      <c r="OQ823" s="770"/>
      <c r="OR823" s="770"/>
      <c r="OS823" s="770"/>
      <c r="OT823" s="770"/>
      <c r="OU823" s="770"/>
      <c r="OV823" s="770"/>
      <c r="OW823" s="770"/>
      <c r="OX823" s="770"/>
      <c r="OY823" s="770"/>
      <c r="OZ823" s="770"/>
      <c r="PA823" s="770"/>
      <c r="PB823" s="770"/>
      <c r="PC823" s="770"/>
      <c r="PD823" s="770"/>
      <c r="PE823" s="770"/>
      <c r="PF823" s="770"/>
      <c r="PG823" s="770"/>
      <c r="PH823" s="770"/>
      <c r="PI823" s="770"/>
      <c r="PJ823" s="770"/>
      <c r="PK823" s="770"/>
      <c r="PL823" s="770"/>
      <c r="PM823" s="770"/>
      <c r="PN823" s="770"/>
      <c r="PO823" s="770"/>
      <c r="PP823" s="770"/>
      <c r="PQ823" s="770"/>
      <c r="PR823" s="770"/>
      <c r="PS823" s="770"/>
      <c r="PT823" s="770"/>
      <c r="PU823" s="770"/>
      <c r="PV823" s="770"/>
      <c r="PW823" s="770"/>
      <c r="PX823" s="770"/>
      <c r="PY823" s="770"/>
      <c r="PZ823" s="770"/>
      <c r="QA823" s="770"/>
      <c r="QB823" s="770"/>
      <c r="QC823" s="770"/>
      <c r="QD823" s="770"/>
      <c r="QE823" s="770"/>
      <c r="QF823" s="770"/>
      <c r="QG823" s="770"/>
      <c r="QH823" s="770"/>
      <c r="QI823" s="770"/>
      <c r="QJ823" s="770"/>
      <c r="QK823" s="770"/>
      <c r="QL823" s="770"/>
      <c r="QM823" s="770"/>
      <c r="QN823" s="770"/>
      <c r="QO823" s="770"/>
      <c r="QP823" s="770"/>
      <c r="QQ823" s="770"/>
      <c r="QR823" s="770"/>
      <c r="QS823" s="770"/>
      <c r="QT823" s="770"/>
      <c r="QU823" s="770"/>
      <c r="QV823" s="770"/>
      <c r="QW823" s="770"/>
      <c r="QX823" s="770"/>
      <c r="QY823" s="770"/>
      <c r="QZ823" s="770"/>
      <c r="RA823" s="770"/>
      <c r="RB823" s="770"/>
      <c r="RC823" s="770"/>
      <c r="RD823" s="770"/>
      <c r="RE823" s="770"/>
      <c r="RF823" s="304"/>
      <c r="RG823" s="770"/>
      <c r="RH823" s="306"/>
      <c r="RI823" s="770"/>
      <c r="RJ823" s="94" t="s">
        <v>14045</v>
      </c>
      <c r="RK823" s="770" t="s">
        <v>13898</v>
      </c>
      <c r="RL823" s="1710">
        <v>42852</v>
      </c>
      <c r="RM823" s="12"/>
      <c r="RN823" s="1711"/>
      <c r="RO823" s="149" t="s">
        <v>5285</v>
      </c>
      <c r="RP823" s="11"/>
      <c r="RQ823" s="11"/>
      <c r="RR823" s="17"/>
      <c r="RS823" s="767"/>
      <c r="RT823" s="11"/>
      <c r="RU823" s="11"/>
      <c r="RV823" s="771" t="s">
        <v>7419</v>
      </c>
      <c r="RW823" s="11" t="s">
        <v>7494</v>
      </c>
      <c r="RX823" s="11" t="s">
        <v>5258</v>
      </c>
      <c r="RY823" s="11"/>
      <c r="RZ823" s="11" t="s">
        <v>2209</v>
      </c>
      <c r="SA823" s="771"/>
      <c r="SB823" s="11"/>
      <c r="SC823" s="11"/>
    </row>
    <row r="824" spans="1:497" ht="12.75" customHeight="1">
      <c r="A824" s="19" t="s">
        <v>7421</v>
      </c>
      <c r="B824" s="292" t="s">
        <v>11825</v>
      </c>
      <c r="C824" s="149" t="s">
        <v>5276</v>
      </c>
      <c r="D824" s="94" t="s">
        <v>5277</v>
      </c>
      <c r="E824" s="766" t="s">
        <v>5278</v>
      </c>
      <c r="F824" s="770" t="s">
        <v>1263</v>
      </c>
      <c r="G824" s="770" t="s">
        <v>18</v>
      </c>
      <c r="H824" s="770"/>
      <c r="I824" s="295" t="s">
        <v>5279</v>
      </c>
      <c r="J824" s="94"/>
      <c r="K824" s="766" t="s">
        <v>5280</v>
      </c>
      <c r="L824" s="766" t="s">
        <v>2704</v>
      </c>
      <c r="M824" s="770" t="s">
        <v>1238</v>
      </c>
      <c r="N824" s="1757"/>
      <c r="O824" s="1757" t="s">
        <v>4830</v>
      </c>
      <c r="P824" s="94"/>
      <c r="Q824" s="1088"/>
      <c r="R824" s="297"/>
      <c r="S824" s="770"/>
      <c r="T824" s="770"/>
      <c r="U824" s="295"/>
      <c r="V824" s="770"/>
      <c r="W824" s="770"/>
      <c r="X824" s="770"/>
      <c r="Y824" s="770"/>
      <c r="Z824" s="770"/>
      <c r="AA824" s="770"/>
      <c r="AB824" s="770"/>
      <c r="AC824" s="770"/>
      <c r="AD824" s="770"/>
      <c r="AE824" s="770"/>
      <c r="AF824" s="770"/>
      <c r="AG824" s="766" t="s">
        <v>1095</v>
      </c>
      <c r="AH824" s="766" t="s">
        <v>1096</v>
      </c>
      <c r="AI824" s="770" t="s">
        <v>3294</v>
      </c>
      <c r="AJ824" s="770"/>
      <c r="AK824" s="770" t="s">
        <v>1101</v>
      </c>
      <c r="AL824" s="531">
        <v>88.92</v>
      </c>
      <c r="AM824" s="780">
        <v>5.9850000000000003</v>
      </c>
      <c r="AN824" s="532">
        <f t="shared" si="259"/>
        <v>6.7307692307692304E-2</v>
      </c>
      <c r="AO824" s="766" t="s">
        <v>1098</v>
      </c>
      <c r="AP824" s="766"/>
      <c r="AQ824" s="766"/>
      <c r="AR824" s="766"/>
      <c r="AS824" s="409"/>
      <c r="AT824" s="770"/>
      <c r="AU824" s="770"/>
      <c r="AV824" s="770"/>
      <c r="AW824" s="770"/>
      <c r="AX824" s="770"/>
      <c r="AY824" s="770"/>
      <c r="AZ824" s="770"/>
      <c r="BA824" s="770"/>
      <c r="BB824" s="770"/>
      <c r="BC824" s="770"/>
      <c r="BD824" s="770"/>
      <c r="BE824" s="770"/>
      <c r="BF824" s="302"/>
      <c r="BG824" s="302"/>
      <c r="BH824" s="770"/>
      <c r="BI824" s="770"/>
      <c r="BJ824" s="770"/>
      <c r="BK824" s="766" t="s">
        <v>1095</v>
      </c>
      <c r="BL824" s="94" t="s">
        <v>5277</v>
      </c>
      <c r="BM824" s="766" t="s">
        <v>1096</v>
      </c>
      <c r="BN824" s="766" t="s">
        <v>1305</v>
      </c>
      <c r="BO824" s="770" t="s">
        <v>1275</v>
      </c>
      <c r="BP824" s="1109">
        <v>266.76</v>
      </c>
      <c r="BQ824" s="773">
        <v>17.96</v>
      </c>
      <c r="BR824" s="774">
        <f t="shared" si="263"/>
        <v>6.7326435747488381E-2</v>
      </c>
      <c r="BS824" s="766" t="s">
        <v>1242</v>
      </c>
      <c r="BT824" s="766" t="s">
        <v>8133</v>
      </c>
      <c r="BU824" s="770" t="s">
        <v>1249</v>
      </c>
      <c r="BV824" s="770" t="s">
        <v>1247</v>
      </c>
      <c r="BW824" s="769"/>
      <c r="BX824" s="302"/>
      <c r="BY824" s="770"/>
      <c r="BZ824" s="302"/>
      <c r="CA824" s="770"/>
      <c r="CB824" s="770"/>
      <c r="CC824" s="770"/>
      <c r="CD824" s="770"/>
      <c r="CE824" s="302"/>
      <c r="CF824" s="304"/>
      <c r="CG824" s="321"/>
      <c r="CH824" s="770"/>
      <c r="CI824" s="770"/>
      <c r="CJ824" s="770"/>
      <c r="CK824" s="770"/>
      <c r="CL824" s="770"/>
      <c r="CM824" s="770"/>
      <c r="CN824" s="770"/>
      <c r="CO824" s="770"/>
      <c r="CP824" s="770"/>
      <c r="CQ824" s="770"/>
      <c r="CR824" s="302"/>
      <c r="CS824" s="770"/>
      <c r="CT824" s="770"/>
      <c r="CU824" s="305"/>
      <c r="CV824" s="770"/>
      <c r="CW824" s="770"/>
      <c r="CX824" s="770"/>
      <c r="CY824" s="770"/>
      <c r="CZ824" s="770"/>
      <c r="DA824" s="306"/>
      <c r="DB824" s="770"/>
      <c r="DC824" s="770"/>
      <c r="DD824" s="770"/>
      <c r="DE824" s="300"/>
      <c r="DF824" s="770"/>
      <c r="DG824" s="770"/>
      <c r="DH824" s="770"/>
      <c r="DI824" s="770"/>
      <c r="DJ824" s="770"/>
      <c r="DK824" s="770"/>
      <c r="DL824" s="770"/>
      <c r="DM824" s="770"/>
      <c r="DN824" s="322"/>
      <c r="DO824" s="770"/>
      <c r="DP824" s="770"/>
      <c r="DQ824" s="770"/>
      <c r="DR824" s="770"/>
      <c r="DS824" s="307"/>
      <c r="DT824" s="770"/>
      <c r="DU824" s="770"/>
      <c r="DV824" s="770"/>
      <c r="DW824" s="306"/>
      <c r="DX824" s="306"/>
      <c r="DY824" s="1055"/>
      <c r="DZ824" s="770"/>
      <c r="EA824" s="770"/>
      <c r="EB824" s="770"/>
      <c r="EC824" s="770"/>
      <c r="ED824" s="770"/>
      <c r="EE824" s="770"/>
      <c r="EF824" s="770"/>
      <c r="EG824" s="770"/>
      <c r="EH824" s="770"/>
      <c r="EI824" s="770"/>
      <c r="EJ824" s="770"/>
      <c r="EK824" s="770"/>
      <c r="EL824" s="770"/>
      <c r="EM824" s="770"/>
      <c r="EN824" s="770"/>
      <c r="EO824" s="770"/>
      <c r="EP824" s="94"/>
      <c r="EQ824" s="770"/>
      <c r="ER824" s="770"/>
      <c r="ES824" s="770"/>
      <c r="ET824" s="770"/>
      <c r="EU824" s="770"/>
      <c r="EV824" s="770"/>
      <c r="EW824" s="770"/>
      <c r="EX824" s="770"/>
      <c r="EY824" s="770"/>
      <c r="EZ824" s="770"/>
      <c r="FA824" s="770"/>
      <c r="FB824" s="770"/>
      <c r="FC824" s="770"/>
      <c r="FD824" s="302"/>
      <c r="FE824" s="770"/>
      <c r="FF824" s="770"/>
      <c r="FG824" s="770"/>
      <c r="FH824" s="770" t="s">
        <v>5283</v>
      </c>
      <c r="FI824" s="770">
        <v>3</v>
      </c>
      <c r="FJ824" s="770" t="s">
        <v>5281</v>
      </c>
      <c r="FK824" s="770" t="s">
        <v>5284</v>
      </c>
      <c r="FL824" s="770" t="s">
        <v>5278</v>
      </c>
      <c r="FM824" s="302"/>
      <c r="FN824" s="302"/>
      <c r="FO824" s="302"/>
      <c r="FP824" s="770" t="s">
        <v>1600</v>
      </c>
      <c r="FQ824" s="770" t="s">
        <v>1642</v>
      </c>
      <c r="FR824" s="770" t="s">
        <v>1217</v>
      </c>
      <c r="FS824" s="770"/>
      <c r="FT824" s="770"/>
      <c r="FU824" s="770"/>
      <c r="FV824" s="770"/>
      <c r="FW824" s="770"/>
      <c r="FX824" s="770"/>
      <c r="FY824" s="770"/>
      <c r="FZ824" s="770"/>
      <c r="GA824" s="770"/>
      <c r="GB824" s="770"/>
      <c r="GC824" s="308"/>
      <c r="GD824" s="297"/>
      <c r="GE824" s="770" t="s">
        <v>1207</v>
      </c>
      <c r="GF824" s="302"/>
      <c r="GG824" s="302"/>
      <c r="GH824" s="770"/>
      <c r="GI824" s="770"/>
      <c r="GJ824" s="770"/>
      <c r="GK824" s="770"/>
      <c r="GL824" s="770"/>
      <c r="GM824" s="770"/>
      <c r="GN824" s="299"/>
      <c r="GO824" s="770"/>
      <c r="GP824" s="770"/>
      <c r="GQ824" s="770"/>
      <c r="GR824" s="770"/>
      <c r="GS824" s="770"/>
      <c r="GT824" s="770"/>
      <c r="GU824" s="770"/>
      <c r="GV824" s="770"/>
      <c r="GW824" s="770"/>
      <c r="GX824" s="770"/>
      <c r="GY824" s="770"/>
      <c r="GZ824" s="770"/>
      <c r="HA824" s="770"/>
      <c r="HB824" s="770"/>
      <c r="HC824" s="770"/>
      <c r="HD824" s="770"/>
      <c r="HE824" s="770"/>
      <c r="HF824" s="770"/>
      <c r="HG824" s="770"/>
      <c r="HH824" s="770"/>
      <c r="HI824" s="770"/>
      <c r="HJ824" s="770"/>
      <c r="HK824" s="770"/>
      <c r="HL824" s="770"/>
      <c r="HM824" s="770"/>
      <c r="HN824" s="770"/>
      <c r="HO824" s="770"/>
      <c r="HP824" s="770"/>
      <c r="HQ824" s="770"/>
      <c r="HR824" s="770"/>
      <c r="HS824" s="770"/>
      <c r="HT824" s="770"/>
      <c r="HU824" s="770"/>
      <c r="HV824" s="770"/>
      <c r="HW824" s="770"/>
      <c r="HX824" s="770"/>
      <c r="HY824" s="770"/>
      <c r="HZ824" s="770"/>
      <c r="IA824" s="770"/>
      <c r="IB824" s="14" t="e">
        <f>IF(#REF!&gt;0,IF(#REF!&lt;=10000,"Y",""),"")</f>
        <v>#REF!</v>
      </c>
      <c r="IC824" s="770"/>
      <c r="ID824" s="770"/>
      <c r="IE824" s="770"/>
      <c r="IF824" s="770"/>
      <c r="IG824" s="770"/>
      <c r="IH824" s="770"/>
      <c r="II824" s="770"/>
      <c r="IJ824" s="770"/>
      <c r="IK824" s="770"/>
      <c r="IL824" s="770"/>
      <c r="IM824" s="770"/>
      <c r="IN824" s="770"/>
      <c r="IO824" s="296"/>
      <c r="IP824" s="770"/>
      <c r="IQ824" s="770"/>
      <c r="IR824" s="770"/>
      <c r="IS824" s="770"/>
      <c r="IT824" s="770"/>
      <c r="IU824" s="770"/>
      <c r="IV824" s="770"/>
      <c r="IW824" s="770"/>
      <c r="IX824" s="770"/>
      <c r="IY824" s="770"/>
      <c r="IZ824" s="770"/>
      <c r="JA824" s="770"/>
      <c r="JB824" s="770"/>
      <c r="JC824" s="770"/>
      <c r="JD824" s="302"/>
      <c r="JE824" s="770"/>
      <c r="JF824" s="770"/>
      <c r="JG824" s="770"/>
      <c r="JH824" s="307"/>
      <c r="JI824" s="307"/>
      <c r="JJ824" s="94"/>
      <c r="JK824" s="1047" t="s">
        <v>1352</v>
      </c>
      <c r="JL824" s="770"/>
      <c r="JM824" s="770"/>
      <c r="JN824" s="770"/>
      <c r="JO824" s="770"/>
      <c r="JP824" s="770"/>
      <c r="JQ824" s="770"/>
      <c r="JR824" s="770"/>
      <c r="JS824" s="770"/>
      <c r="JT824" s="766"/>
      <c r="JU824" s="766"/>
      <c r="JV824" s="712" t="str">
        <f t="shared" ref="JV824:JV831" si="264">IF(JT824=KJ824,"ok","male")</f>
        <v>ok</v>
      </c>
      <c r="JW824" s="712" t="str">
        <f t="shared" ref="JW824:JW831" si="265">IF(JU824=KK824,"ok","female")</f>
        <v>ok</v>
      </c>
      <c r="JX824" s="770"/>
      <c r="JY824" s="770"/>
      <c r="JZ824" s="770"/>
      <c r="KA824" s="770"/>
      <c r="KB824" s="770"/>
      <c r="KC824" s="770"/>
      <c r="KD824" s="770"/>
      <c r="KE824" s="770"/>
      <c r="KF824" s="770"/>
      <c r="KG824" s="770"/>
      <c r="KH824" s="770"/>
      <c r="KI824" s="770"/>
      <c r="KJ824" s="770"/>
      <c r="KK824" s="770"/>
      <c r="KL824" s="712" t="str">
        <f t="shared" ref="KL824:KL831" si="266">IF(KJ824=LN824,"ok","male")</f>
        <v>ok</v>
      </c>
      <c r="KM824" s="712" t="str">
        <f t="shared" ref="KM824:KM831" si="267">IF(KK824=LO824,"ok","female")</f>
        <v>ok</v>
      </c>
      <c r="KN824" s="770"/>
      <c r="KO824" s="770"/>
      <c r="KP824" s="770"/>
      <c r="KQ824" s="770"/>
      <c r="KR824" s="770"/>
      <c r="KS824" s="770"/>
      <c r="KT824" s="770"/>
      <c r="KU824" s="770"/>
      <c r="KV824" s="770"/>
      <c r="KW824" s="770"/>
      <c r="KX824" s="770"/>
      <c r="KY824" s="770"/>
      <c r="KZ824" s="770"/>
      <c r="LA824" s="770"/>
      <c r="LB824" s="770"/>
      <c r="LC824" s="770"/>
      <c r="LD824" s="770"/>
      <c r="LE824" s="770"/>
      <c r="LF824" s="770"/>
      <c r="LG824" s="770"/>
      <c r="LH824" s="770"/>
      <c r="LI824" s="770"/>
      <c r="LJ824" s="770"/>
      <c r="LK824" s="770"/>
      <c r="LL824" s="770"/>
      <c r="LM824" s="770"/>
      <c r="LN824" s="766"/>
      <c r="LO824" s="766"/>
      <c r="LP824" s="770"/>
      <c r="LQ824" s="770"/>
      <c r="LR824" s="770"/>
      <c r="LS824" s="770"/>
      <c r="LT824" s="712" t="str">
        <f t="shared" ref="LT824:LT831" si="268">IF(LQ824=SUM(LU824:LW824),"OK","REV")</f>
        <v>OK</v>
      </c>
      <c r="LU824" s="770"/>
      <c r="LV824" s="770"/>
      <c r="LW824" s="770"/>
      <c r="LX824" s="769"/>
      <c r="LY824" s="766" t="str">
        <f t="shared" si="258"/>
        <v/>
      </c>
      <c r="LZ824" s="1709"/>
      <c r="MA824" s="1709"/>
      <c r="MB824" s="1709"/>
      <c r="MC824" s="1679">
        <f t="shared" si="256"/>
        <v>0</v>
      </c>
      <c r="MD824" s="1709"/>
      <c r="ME824" s="1709"/>
      <c r="MF824" s="1709"/>
      <c r="MG824" s="1680">
        <v>0</v>
      </c>
      <c r="MH824" s="770"/>
      <c r="MI824" s="302"/>
      <c r="MJ824" s="302"/>
      <c r="MK824" s="302"/>
      <c r="ML824" s="302"/>
      <c r="MM824" s="302"/>
      <c r="MN824" s="302"/>
      <c r="MO824" s="302"/>
      <c r="MP824" s="302"/>
      <c r="MQ824" s="302"/>
      <c r="MR824" s="302"/>
      <c r="MS824" s="302"/>
      <c r="MT824" s="302"/>
      <c r="MU824" s="302"/>
      <c r="MV824" s="302"/>
      <c r="MW824" s="302"/>
      <c r="MX824" s="302"/>
      <c r="MY824" s="1682"/>
      <c r="MZ824" s="770"/>
      <c r="NA824" s="770"/>
      <c r="NB824" s="770"/>
      <c r="NC824" s="770"/>
      <c r="ND824" s="770"/>
      <c r="NE824" s="770"/>
      <c r="NF824" s="770"/>
      <c r="NG824" s="770"/>
      <c r="NH824" s="770"/>
      <c r="NI824" s="770"/>
      <c r="NJ824" s="770"/>
      <c r="NK824" s="770"/>
      <c r="NL824" s="770"/>
      <c r="NM824" s="770"/>
      <c r="NN824" s="770"/>
      <c r="NO824" s="770"/>
      <c r="NP824" s="770"/>
      <c r="NQ824" s="770"/>
      <c r="NR824" s="770"/>
      <c r="NS824" s="770"/>
      <c r="NT824" s="770"/>
      <c r="NU824" s="770"/>
      <c r="NV824" s="770"/>
      <c r="NW824" s="770"/>
      <c r="NX824" s="770"/>
      <c r="NY824" s="770"/>
      <c r="NZ824" s="770"/>
      <c r="OA824" s="770"/>
      <c r="OB824" s="770"/>
      <c r="OC824" s="770"/>
      <c r="OD824" s="770"/>
      <c r="OE824" s="770"/>
      <c r="OF824" s="770"/>
      <c r="OG824" s="770"/>
      <c r="OH824" s="770"/>
      <c r="OI824" s="770"/>
      <c r="OJ824" s="770"/>
      <c r="OK824" s="770"/>
      <c r="OL824" s="770"/>
      <c r="OM824" s="770"/>
      <c r="ON824" s="770"/>
      <c r="OO824" s="770"/>
      <c r="OP824" s="770"/>
      <c r="OQ824" s="770"/>
      <c r="OR824" s="770"/>
      <c r="OS824" s="770"/>
      <c r="OT824" s="770"/>
      <c r="OU824" s="770"/>
      <c r="OV824" s="770"/>
      <c r="OW824" s="770"/>
      <c r="OX824" s="770"/>
      <c r="OY824" s="770"/>
      <c r="OZ824" s="770"/>
      <c r="PA824" s="770"/>
      <c r="PB824" s="770"/>
      <c r="PC824" s="770"/>
      <c r="PD824" s="770"/>
      <c r="PE824" s="770"/>
      <c r="PF824" s="770"/>
      <c r="PG824" s="770"/>
      <c r="PH824" s="770"/>
      <c r="PI824" s="770"/>
      <c r="PJ824" s="770"/>
      <c r="PK824" s="770"/>
      <c r="PL824" s="770"/>
      <c r="PM824" s="770"/>
      <c r="PN824" s="770"/>
      <c r="PO824" s="770"/>
      <c r="PP824" s="770"/>
      <c r="PQ824" s="770"/>
      <c r="PR824" s="770"/>
      <c r="PS824" s="770"/>
      <c r="PT824" s="770"/>
      <c r="PU824" s="770"/>
      <c r="PV824" s="770"/>
      <c r="PW824" s="770"/>
      <c r="PX824" s="770"/>
      <c r="PY824" s="770"/>
      <c r="PZ824" s="770"/>
      <c r="QA824" s="770"/>
      <c r="QB824" s="770"/>
      <c r="QC824" s="770"/>
      <c r="QD824" s="770"/>
      <c r="QE824" s="770"/>
      <c r="QF824" s="770"/>
      <c r="QG824" s="770"/>
      <c r="QH824" s="770"/>
      <c r="QI824" s="770"/>
      <c r="QJ824" s="770"/>
      <c r="QK824" s="770"/>
      <c r="QL824" s="770"/>
      <c r="QM824" s="770"/>
      <c r="QN824" s="770"/>
      <c r="QO824" s="770"/>
      <c r="QP824" s="770"/>
      <c r="QQ824" s="770"/>
      <c r="QR824" s="770"/>
      <c r="QS824" s="770"/>
      <c r="QT824" s="770"/>
      <c r="QU824" s="770"/>
      <c r="QV824" s="770"/>
      <c r="QW824" s="770"/>
      <c r="QX824" s="770"/>
      <c r="QY824" s="770"/>
      <c r="QZ824" s="770"/>
      <c r="RA824" s="770"/>
      <c r="RB824" s="770"/>
      <c r="RC824" s="770"/>
      <c r="RD824" s="770"/>
      <c r="RE824" s="770"/>
      <c r="RF824" s="304"/>
      <c r="RG824" s="770"/>
      <c r="RH824" s="306"/>
      <c r="RI824" s="770"/>
      <c r="RJ824" s="94" t="s">
        <v>14046</v>
      </c>
      <c r="RK824" s="770" t="s">
        <v>13378</v>
      </c>
      <c r="RL824" s="1710">
        <v>42852</v>
      </c>
      <c r="RM824" s="12"/>
      <c r="RN824" s="1711"/>
      <c r="RO824" s="149" t="s">
        <v>5276</v>
      </c>
      <c r="RP824" s="11"/>
      <c r="RQ824" s="11"/>
      <c r="RR824" s="19" t="s">
        <v>7421</v>
      </c>
      <c r="RS824" s="1139" t="s">
        <v>12980</v>
      </c>
      <c r="RT824" s="11"/>
      <c r="RU824" s="11"/>
      <c r="RV824" s="6" t="s">
        <v>7419</v>
      </c>
      <c r="RW824" s="11" t="s">
        <v>7495</v>
      </c>
      <c r="RX824" s="11" t="s">
        <v>5268</v>
      </c>
      <c r="RY824" s="11"/>
      <c r="RZ824" s="11"/>
      <c r="SA824" s="6"/>
      <c r="SB824" s="11"/>
      <c r="SC824" s="11"/>
    </row>
    <row r="825" spans="1:497" ht="12.75" customHeight="1">
      <c r="A825" s="19" t="s">
        <v>14257</v>
      </c>
      <c r="B825" s="288" t="s">
        <v>11826</v>
      </c>
      <c r="C825" s="149" t="s">
        <v>5276</v>
      </c>
      <c r="D825" s="94" t="s">
        <v>11818</v>
      </c>
      <c r="E825" s="766" t="s">
        <v>11819</v>
      </c>
      <c r="F825" s="770" t="s">
        <v>722</v>
      </c>
      <c r="G825" s="770" t="s">
        <v>18</v>
      </c>
      <c r="H825" s="770"/>
      <c r="I825" s="295" t="s">
        <v>11820</v>
      </c>
      <c r="J825" s="94" t="s">
        <v>11821</v>
      </c>
      <c r="K825" s="766"/>
      <c r="L825" s="766"/>
      <c r="M825" s="770"/>
      <c r="N825" s="1757"/>
      <c r="O825" s="1757"/>
      <c r="P825" s="94" t="s">
        <v>11821</v>
      </c>
      <c r="Q825" s="1088">
        <v>32774</v>
      </c>
      <c r="R825" s="297">
        <v>28</v>
      </c>
      <c r="S825" s="770" t="s">
        <v>10</v>
      </c>
      <c r="T825" s="770"/>
      <c r="U825" s="295" t="s">
        <v>11822</v>
      </c>
      <c r="V825" s="770" t="s">
        <v>2049</v>
      </c>
      <c r="W825" s="94" t="s">
        <v>11823</v>
      </c>
      <c r="X825" s="770"/>
      <c r="Y825" s="766" t="s">
        <v>11819</v>
      </c>
      <c r="Z825" s="770" t="s">
        <v>708</v>
      </c>
      <c r="AA825" s="770" t="s">
        <v>709</v>
      </c>
      <c r="AB825" s="770" t="s">
        <v>11824</v>
      </c>
      <c r="AC825" s="770"/>
      <c r="AD825" s="770" t="s">
        <v>711</v>
      </c>
      <c r="AE825" s="770"/>
      <c r="AF825" s="770" t="s">
        <v>712</v>
      </c>
      <c r="AG825" s="766"/>
      <c r="AH825" s="770"/>
      <c r="AI825" s="770"/>
      <c r="AJ825" s="770"/>
      <c r="AK825" s="770" t="s">
        <v>1101</v>
      </c>
      <c r="AL825" s="531"/>
      <c r="AM825" s="780"/>
      <c r="AN825" s="532"/>
      <c r="AO825" s="766"/>
      <c r="AP825" s="766"/>
      <c r="AQ825" s="766"/>
      <c r="AR825" s="766"/>
      <c r="AS825" s="409"/>
      <c r="AT825" s="770"/>
      <c r="AU825" s="770"/>
      <c r="AV825" s="770"/>
      <c r="AW825" s="770"/>
      <c r="AX825" s="770"/>
      <c r="AY825" s="770"/>
      <c r="AZ825" s="770"/>
      <c r="BA825" s="770"/>
      <c r="BB825" s="770"/>
      <c r="BC825" s="770"/>
      <c r="BD825" s="770"/>
      <c r="BE825" s="770"/>
      <c r="BF825" s="302"/>
      <c r="BG825" s="302"/>
      <c r="BH825" s="770"/>
      <c r="BI825" s="770"/>
      <c r="BJ825" s="770"/>
      <c r="BK825" s="766"/>
      <c r="BL825" s="94"/>
      <c r="BM825" s="766" t="s">
        <v>1238</v>
      </c>
      <c r="BN825" s="766" t="s">
        <v>1305</v>
      </c>
      <c r="BO825" s="770"/>
      <c r="BP825" s="765"/>
      <c r="BQ825" s="773"/>
      <c r="BR825" s="774"/>
      <c r="BS825" s="766" t="s">
        <v>1242</v>
      </c>
      <c r="BT825" s="770"/>
      <c r="BU825" s="770"/>
      <c r="BV825" s="770"/>
      <c r="BW825" s="770"/>
      <c r="BX825" s="302"/>
      <c r="BY825" s="770"/>
      <c r="BZ825" s="302"/>
      <c r="CA825" s="770"/>
      <c r="CB825" s="770"/>
      <c r="CC825" s="770"/>
      <c r="CD825" s="770"/>
      <c r="CE825" s="302"/>
      <c r="CF825" s="304"/>
      <c r="CG825" s="321"/>
      <c r="CH825" s="770"/>
      <c r="CI825" s="770"/>
      <c r="CJ825" s="770"/>
      <c r="CK825" s="770"/>
      <c r="CL825" s="770"/>
      <c r="CM825" s="770"/>
      <c r="CN825" s="770"/>
      <c r="CO825" s="770"/>
      <c r="CP825" s="770"/>
      <c r="CQ825" s="770"/>
      <c r="CR825" s="302"/>
      <c r="CS825" s="770"/>
      <c r="CT825" s="770"/>
      <c r="CU825" s="305"/>
      <c r="CV825" s="770"/>
      <c r="CW825" s="770"/>
      <c r="CX825" s="770"/>
      <c r="CY825" s="770"/>
      <c r="CZ825" s="770"/>
      <c r="DA825" s="306"/>
      <c r="DB825" s="770"/>
      <c r="DC825" s="770"/>
      <c r="DD825" s="770"/>
      <c r="DE825" s="300"/>
      <c r="DF825" s="770"/>
      <c r="DG825" s="770"/>
      <c r="DH825" s="770"/>
      <c r="DI825" s="770"/>
      <c r="DJ825" s="770"/>
      <c r="DK825" s="770"/>
      <c r="DL825" s="770"/>
      <c r="DM825" s="770"/>
      <c r="DN825" s="322"/>
      <c r="DO825" s="770"/>
      <c r="DP825" s="770"/>
      <c r="DQ825" s="770"/>
      <c r="DR825" s="770"/>
      <c r="DS825" s="307"/>
      <c r="DT825" s="770"/>
      <c r="DU825" s="770"/>
      <c r="DV825" s="770"/>
      <c r="DW825" s="306"/>
      <c r="DX825" s="306"/>
      <c r="DY825" s="1055"/>
      <c r="DZ825" s="770"/>
      <c r="EA825" s="770"/>
      <c r="EB825" s="770"/>
      <c r="EC825" s="770"/>
      <c r="ED825" s="770"/>
      <c r="EE825" s="770"/>
      <c r="EF825" s="770"/>
      <c r="EG825" s="770"/>
      <c r="EH825" s="770"/>
      <c r="EI825" s="770"/>
      <c r="EJ825" s="770"/>
      <c r="EK825" s="770"/>
      <c r="EL825" s="770"/>
      <c r="EM825" s="770"/>
      <c r="EN825" s="770"/>
      <c r="EO825" s="770"/>
      <c r="EP825" s="94"/>
      <c r="EQ825" s="770"/>
      <c r="ER825" s="770"/>
      <c r="ES825" s="770"/>
      <c r="ET825" s="770"/>
      <c r="EU825" s="770"/>
      <c r="EV825" s="770"/>
      <c r="EW825" s="770"/>
      <c r="EX825" s="770"/>
      <c r="EY825" s="770"/>
      <c r="EZ825" s="770"/>
      <c r="FA825" s="770"/>
      <c r="FB825" s="770"/>
      <c r="FC825" s="770"/>
      <c r="FD825" s="302"/>
      <c r="FE825" s="770"/>
      <c r="FF825" s="770"/>
      <c r="FG825" s="770"/>
      <c r="FH825" s="770"/>
      <c r="FI825" s="770"/>
      <c r="FJ825" s="770"/>
      <c r="FK825" s="770"/>
      <c r="FL825" s="770"/>
      <c r="FM825" s="302"/>
      <c r="FN825" s="302"/>
      <c r="FO825" s="302"/>
      <c r="FP825" s="766" t="s">
        <v>1600</v>
      </c>
      <c r="FQ825" s="766" t="s">
        <v>1642</v>
      </c>
      <c r="FR825" s="770"/>
      <c r="FS825" s="770"/>
      <c r="FT825" s="770"/>
      <c r="FU825" s="770"/>
      <c r="FV825" s="770"/>
      <c r="FW825" s="770"/>
      <c r="FX825" s="770"/>
      <c r="FY825" s="770"/>
      <c r="FZ825" s="770"/>
      <c r="GA825" s="770"/>
      <c r="GB825" s="770"/>
      <c r="GC825" s="308"/>
      <c r="GD825" s="297"/>
      <c r="GE825" s="770"/>
      <c r="GF825" s="302"/>
      <c r="GG825" s="302"/>
      <c r="GH825" s="770"/>
      <c r="GI825" s="770"/>
      <c r="GJ825" s="770"/>
      <c r="GK825" s="770"/>
      <c r="GL825" s="770"/>
      <c r="GM825" s="770"/>
      <c r="GN825" s="299"/>
      <c r="GO825" s="770"/>
      <c r="GP825" s="770"/>
      <c r="GQ825" s="770"/>
      <c r="GR825" s="770"/>
      <c r="GS825" s="770"/>
      <c r="GT825" s="770"/>
      <c r="GU825" s="770"/>
      <c r="GV825" s="770"/>
      <c r="GW825" s="770"/>
      <c r="GX825" s="770"/>
      <c r="GY825" s="770"/>
      <c r="GZ825" s="770"/>
      <c r="HA825" s="770"/>
      <c r="HB825" s="770"/>
      <c r="HC825" s="770"/>
      <c r="HD825" s="770"/>
      <c r="HE825" s="770"/>
      <c r="HF825" s="770"/>
      <c r="HG825" s="770"/>
      <c r="HH825" s="770"/>
      <c r="HI825" s="770"/>
      <c r="HJ825" s="770"/>
      <c r="HK825" s="770"/>
      <c r="HL825" s="770"/>
      <c r="HM825" s="770"/>
      <c r="HN825" s="770"/>
      <c r="HO825" s="770"/>
      <c r="HP825" s="770"/>
      <c r="HQ825" s="770"/>
      <c r="HR825" s="770"/>
      <c r="HS825" s="770"/>
      <c r="HT825" s="770"/>
      <c r="HU825" s="770"/>
      <c r="HV825" s="770"/>
      <c r="HW825" s="770"/>
      <c r="HX825" s="770"/>
      <c r="HY825" s="770"/>
      <c r="HZ825" s="770"/>
      <c r="IA825" s="770"/>
      <c r="IB825" s="14" t="e">
        <f>IF(#REF!&gt;0,IF(#REF!&lt;=10000,"Y",""),"")</f>
        <v>#REF!</v>
      </c>
      <c r="IC825" s="770"/>
      <c r="ID825" s="770"/>
      <c r="IE825" s="770"/>
      <c r="IF825" s="770"/>
      <c r="IG825" s="770"/>
      <c r="IH825" s="770"/>
      <c r="II825" s="770"/>
      <c r="IJ825" s="770"/>
      <c r="IK825" s="770"/>
      <c r="IL825" s="770"/>
      <c r="IM825" s="770"/>
      <c r="IN825" s="770"/>
      <c r="IO825" s="296"/>
      <c r="IP825" s="770"/>
      <c r="IQ825" s="770"/>
      <c r="IR825" s="770"/>
      <c r="IS825" s="770"/>
      <c r="IT825" s="770"/>
      <c r="IU825" s="770"/>
      <c r="IV825" s="770"/>
      <c r="IW825" s="770"/>
      <c r="IX825" s="770"/>
      <c r="IY825" s="770"/>
      <c r="IZ825" s="770"/>
      <c r="JA825" s="770"/>
      <c r="JB825" s="770"/>
      <c r="JC825" s="770"/>
      <c r="JD825" s="302"/>
      <c r="JE825" s="770"/>
      <c r="JF825" s="770"/>
      <c r="JG825" s="770"/>
      <c r="JH825" s="307"/>
      <c r="JI825" s="307"/>
      <c r="JJ825" s="94"/>
      <c r="JK825" s="1767" t="s">
        <v>11821</v>
      </c>
      <c r="JL825" s="770"/>
      <c r="JM825" s="770"/>
      <c r="JN825" s="770"/>
      <c r="JO825" s="770"/>
      <c r="JP825" s="770"/>
      <c r="JQ825" s="770"/>
      <c r="JR825" s="770"/>
      <c r="JS825" s="770"/>
      <c r="JT825" s="766"/>
      <c r="JU825" s="766"/>
      <c r="JV825" s="712" t="str">
        <f t="shared" si="264"/>
        <v>ok</v>
      </c>
      <c r="JW825" s="712" t="str">
        <f t="shared" si="265"/>
        <v>ok</v>
      </c>
      <c r="JX825" s="770"/>
      <c r="JY825" s="770"/>
      <c r="JZ825" s="770"/>
      <c r="KA825" s="770"/>
      <c r="KB825" s="770"/>
      <c r="KC825" s="770"/>
      <c r="KD825" s="770"/>
      <c r="KE825" s="770"/>
      <c r="KF825" s="770"/>
      <c r="KG825" s="770"/>
      <c r="KH825" s="770"/>
      <c r="KI825" s="770"/>
      <c r="KJ825" s="770"/>
      <c r="KK825" s="770"/>
      <c r="KL825" s="712" t="str">
        <f t="shared" si="266"/>
        <v>ok</v>
      </c>
      <c r="KM825" s="712" t="str">
        <f t="shared" si="267"/>
        <v>ok</v>
      </c>
      <c r="KN825" s="770"/>
      <c r="KO825" s="770"/>
      <c r="KP825" s="770"/>
      <c r="KQ825" s="770"/>
      <c r="KR825" s="770"/>
      <c r="KS825" s="770"/>
      <c r="KT825" s="770"/>
      <c r="KU825" s="770"/>
      <c r="KV825" s="770"/>
      <c r="KW825" s="770"/>
      <c r="KX825" s="770"/>
      <c r="KY825" s="770"/>
      <c r="KZ825" s="770"/>
      <c r="LA825" s="770"/>
      <c r="LB825" s="770"/>
      <c r="LC825" s="770"/>
      <c r="LD825" s="770"/>
      <c r="LE825" s="770"/>
      <c r="LF825" s="770"/>
      <c r="LG825" s="770"/>
      <c r="LH825" s="770"/>
      <c r="LI825" s="770"/>
      <c r="LJ825" s="770"/>
      <c r="LK825" s="770"/>
      <c r="LL825" s="770"/>
      <c r="LM825" s="770"/>
      <c r="LN825" s="766"/>
      <c r="LO825" s="766"/>
      <c r="LP825" s="770"/>
      <c r="LQ825" s="770"/>
      <c r="LR825" s="770"/>
      <c r="LS825" s="770"/>
      <c r="LT825" s="712" t="str">
        <f t="shared" si="268"/>
        <v>OK</v>
      </c>
      <c r="LU825" s="770"/>
      <c r="LV825" s="770"/>
      <c r="LW825" s="770"/>
      <c r="LX825" s="769"/>
      <c r="LY825" s="766" t="str">
        <f t="shared" si="258"/>
        <v/>
      </c>
      <c r="LZ825" s="1709"/>
      <c r="MA825" s="1709"/>
      <c r="MB825" s="1709"/>
      <c r="MC825" s="1679">
        <f t="shared" si="256"/>
        <v>0</v>
      </c>
      <c r="MD825" s="1709"/>
      <c r="ME825" s="1709"/>
      <c r="MF825" s="1709"/>
      <c r="MG825" s="1680">
        <v>0</v>
      </c>
      <c r="MH825" s="770"/>
      <c r="MI825" s="302"/>
      <c r="MJ825" s="302"/>
      <c r="MK825" s="302"/>
      <c r="ML825" s="302"/>
      <c r="MM825" s="302"/>
      <c r="MN825" s="302"/>
      <c r="MO825" s="302"/>
      <c r="MP825" s="302"/>
      <c r="MQ825" s="302"/>
      <c r="MR825" s="302"/>
      <c r="MS825" s="302"/>
      <c r="MT825" s="302"/>
      <c r="MU825" s="302"/>
      <c r="MV825" s="302"/>
      <c r="MW825" s="302"/>
      <c r="MX825" s="302"/>
      <c r="MY825" s="1682"/>
      <c r="MZ825" s="770"/>
      <c r="NA825" s="770"/>
      <c r="NB825" s="770"/>
      <c r="NC825" s="770"/>
      <c r="ND825" s="770"/>
      <c r="NE825" s="770"/>
      <c r="NF825" s="770"/>
      <c r="NG825" s="770"/>
      <c r="NH825" s="770"/>
      <c r="NI825" s="770"/>
      <c r="NJ825" s="770"/>
      <c r="NK825" s="770"/>
      <c r="NL825" s="770"/>
      <c r="NM825" s="770"/>
      <c r="NN825" s="770"/>
      <c r="NO825" s="770"/>
      <c r="NP825" s="770"/>
      <c r="NQ825" s="770"/>
      <c r="NR825" s="770"/>
      <c r="NS825" s="770"/>
      <c r="NT825" s="770"/>
      <c r="NU825" s="770"/>
      <c r="NV825" s="770"/>
      <c r="NW825" s="770"/>
      <c r="NX825" s="770"/>
      <c r="NY825" s="770"/>
      <c r="NZ825" s="770"/>
      <c r="OA825" s="770"/>
      <c r="OB825" s="770"/>
      <c r="OC825" s="770"/>
      <c r="OD825" s="770"/>
      <c r="OE825" s="770"/>
      <c r="OF825" s="770"/>
      <c r="OG825" s="770"/>
      <c r="OH825" s="770"/>
      <c r="OI825" s="770"/>
      <c r="OJ825" s="770"/>
      <c r="OK825" s="770"/>
      <c r="OL825" s="770"/>
      <c r="OM825" s="770"/>
      <c r="ON825" s="770"/>
      <c r="OO825" s="770"/>
      <c r="OP825" s="770"/>
      <c r="OQ825" s="770"/>
      <c r="OR825" s="770"/>
      <c r="OS825" s="770"/>
      <c r="OT825" s="770"/>
      <c r="OU825" s="770"/>
      <c r="OV825" s="770"/>
      <c r="OW825" s="770"/>
      <c r="OX825" s="770"/>
      <c r="OY825" s="770"/>
      <c r="OZ825" s="770"/>
      <c r="PA825" s="770"/>
      <c r="PB825" s="770"/>
      <c r="PC825" s="770"/>
      <c r="PD825" s="770"/>
      <c r="PE825" s="770"/>
      <c r="PF825" s="770"/>
      <c r="PG825" s="770"/>
      <c r="PH825" s="770"/>
      <c r="PI825" s="770"/>
      <c r="PJ825" s="770"/>
      <c r="PK825" s="770"/>
      <c r="PL825" s="770"/>
      <c r="PM825" s="770"/>
      <c r="PN825" s="770"/>
      <c r="PO825" s="770"/>
      <c r="PP825" s="770"/>
      <c r="PQ825" s="770"/>
      <c r="PR825" s="770"/>
      <c r="PS825" s="770"/>
      <c r="PT825" s="770"/>
      <c r="PU825" s="770"/>
      <c r="PV825" s="770"/>
      <c r="PW825" s="770"/>
      <c r="PX825" s="770"/>
      <c r="PY825" s="770"/>
      <c r="PZ825" s="770"/>
      <c r="QA825" s="770"/>
      <c r="QB825" s="770"/>
      <c r="QC825" s="770"/>
      <c r="QD825" s="770"/>
      <c r="QE825" s="770"/>
      <c r="QF825" s="770"/>
      <c r="QG825" s="770"/>
      <c r="QH825" s="770"/>
      <c r="QI825" s="770"/>
      <c r="QJ825" s="770"/>
      <c r="QK825" s="770"/>
      <c r="QL825" s="770"/>
      <c r="QM825" s="770"/>
      <c r="QN825" s="770"/>
      <c r="QO825" s="770"/>
      <c r="QP825" s="770"/>
      <c r="QQ825" s="770"/>
      <c r="QR825" s="770"/>
      <c r="QS825" s="770"/>
      <c r="QT825" s="770"/>
      <c r="QU825" s="770"/>
      <c r="QV825" s="770"/>
      <c r="QW825" s="770"/>
      <c r="QX825" s="770"/>
      <c r="QY825" s="770"/>
      <c r="QZ825" s="770"/>
      <c r="RA825" s="770"/>
      <c r="RB825" s="770"/>
      <c r="RC825" s="770"/>
      <c r="RD825" s="770"/>
      <c r="RE825" s="770"/>
      <c r="RF825" s="304"/>
      <c r="RG825" s="770"/>
      <c r="RH825" s="306"/>
      <c r="RI825" s="770"/>
      <c r="RJ825" s="94"/>
      <c r="RK825" s="770"/>
      <c r="RL825" s="1710"/>
      <c r="RM825" s="12"/>
      <c r="RN825" s="1711"/>
      <c r="RO825" s="149" t="s">
        <v>5276</v>
      </c>
      <c r="RP825" s="11"/>
      <c r="RQ825" s="11"/>
      <c r="RR825" s="19" t="s">
        <v>12452</v>
      </c>
      <c r="RS825" s="1139" t="s">
        <v>12980</v>
      </c>
      <c r="RT825" s="11"/>
      <c r="RU825" s="11"/>
      <c r="RV825" s="6" t="s">
        <v>8107</v>
      </c>
      <c r="RW825" s="11" t="s">
        <v>7496</v>
      </c>
      <c r="RX825" s="11" t="s">
        <v>5285</v>
      </c>
      <c r="RY825" s="11" t="s">
        <v>14274</v>
      </c>
      <c r="RZ825" s="11"/>
      <c r="SA825" s="6"/>
      <c r="SB825" s="11"/>
      <c r="SC825" s="11"/>
    </row>
    <row r="826" spans="1:497" ht="12.75" customHeight="1">
      <c r="A826" s="19" t="s">
        <v>14257</v>
      </c>
      <c r="B826" s="744" t="s">
        <v>11827</v>
      </c>
      <c r="C826" s="149" t="s">
        <v>5276</v>
      </c>
      <c r="D826" s="6" t="s">
        <v>488</v>
      </c>
      <c r="E826" s="766" t="s">
        <v>11819</v>
      </c>
      <c r="F826" s="770"/>
      <c r="G826" s="770"/>
      <c r="H826" s="770"/>
      <c r="I826" s="295"/>
      <c r="J826" s="94" t="s">
        <v>488</v>
      </c>
      <c r="K826" s="766"/>
      <c r="L826" s="766"/>
      <c r="M826" s="770"/>
      <c r="N826" s="1757"/>
      <c r="O826" s="1757"/>
      <c r="P826" s="94"/>
      <c r="Q826" s="1088"/>
      <c r="R826" s="297"/>
      <c r="S826" s="770"/>
      <c r="T826" s="770"/>
      <c r="U826" s="295"/>
      <c r="V826" s="770"/>
      <c r="W826" s="770"/>
      <c r="X826" s="770"/>
      <c r="Y826" s="770"/>
      <c r="Z826" s="770"/>
      <c r="AA826" s="770"/>
      <c r="AB826" s="770"/>
      <c r="AC826" s="770"/>
      <c r="AD826" s="770"/>
      <c r="AE826" s="770"/>
      <c r="AF826" s="770"/>
      <c r="AG826" s="766"/>
      <c r="AH826" s="770"/>
      <c r="AI826" s="770"/>
      <c r="AJ826" s="770"/>
      <c r="AK826" s="770" t="s">
        <v>1101</v>
      </c>
      <c r="AL826" s="531"/>
      <c r="AM826" s="780"/>
      <c r="AN826" s="532"/>
      <c r="AO826" s="766"/>
      <c r="AP826" s="766"/>
      <c r="AQ826" s="766"/>
      <c r="AR826" s="766"/>
      <c r="AS826" s="409"/>
      <c r="AT826" s="770"/>
      <c r="AU826" s="770"/>
      <c r="AV826" s="770"/>
      <c r="AW826" s="770"/>
      <c r="AX826" s="770"/>
      <c r="AY826" s="770"/>
      <c r="AZ826" s="770"/>
      <c r="BA826" s="770"/>
      <c r="BB826" s="770"/>
      <c r="BC826" s="770"/>
      <c r="BD826" s="770"/>
      <c r="BE826" s="770"/>
      <c r="BF826" s="302"/>
      <c r="BG826" s="302"/>
      <c r="BH826" s="770"/>
      <c r="BI826" s="770"/>
      <c r="BJ826" s="770"/>
      <c r="BK826" s="766"/>
      <c r="BL826" s="766"/>
      <c r="BM826" s="766" t="s">
        <v>1238</v>
      </c>
      <c r="BN826" s="766" t="s">
        <v>1305</v>
      </c>
      <c r="BO826" s="770"/>
      <c r="BP826" s="765"/>
      <c r="BQ826" s="773"/>
      <c r="BR826" s="774"/>
      <c r="BS826" s="766" t="s">
        <v>1242</v>
      </c>
      <c r="BT826" s="770"/>
      <c r="BU826" s="770"/>
      <c r="BV826" s="770"/>
      <c r="BW826" s="770"/>
      <c r="BX826" s="302"/>
      <c r="BY826" s="770"/>
      <c r="BZ826" s="302"/>
      <c r="CA826" s="770"/>
      <c r="CB826" s="770"/>
      <c r="CC826" s="770"/>
      <c r="CD826" s="770"/>
      <c r="CE826" s="302"/>
      <c r="CF826" s="304"/>
      <c r="CG826" s="321"/>
      <c r="CH826" s="770"/>
      <c r="CI826" s="770"/>
      <c r="CJ826" s="770"/>
      <c r="CK826" s="770"/>
      <c r="CL826" s="770"/>
      <c r="CM826" s="770"/>
      <c r="CN826" s="770"/>
      <c r="CO826" s="770"/>
      <c r="CP826" s="770"/>
      <c r="CQ826" s="770"/>
      <c r="CR826" s="302"/>
      <c r="CS826" s="770"/>
      <c r="CT826" s="770"/>
      <c r="CU826" s="305"/>
      <c r="CV826" s="770"/>
      <c r="CW826" s="770"/>
      <c r="CX826" s="770"/>
      <c r="CY826" s="770"/>
      <c r="CZ826" s="770"/>
      <c r="DA826" s="306"/>
      <c r="DB826" s="770"/>
      <c r="DC826" s="770"/>
      <c r="DD826" s="770"/>
      <c r="DE826" s="300"/>
      <c r="DF826" s="770"/>
      <c r="DG826" s="770"/>
      <c r="DH826" s="770"/>
      <c r="DI826" s="770"/>
      <c r="DJ826" s="770"/>
      <c r="DK826" s="770"/>
      <c r="DL826" s="770"/>
      <c r="DM826" s="770"/>
      <c r="DN826" s="322"/>
      <c r="DO826" s="770"/>
      <c r="DP826" s="770"/>
      <c r="DQ826" s="770"/>
      <c r="DR826" s="770"/>
      <c r="DS826" s="307"/>
      <c r="DT826" s="770"/>
      <c r="DU826" s="770"/>
      <c r="DV826" s="770"/>
      <c r="DW826" s="306"/>
      <c r="DX826" s="306"/>
      <c r="DY826" s="1055"/>
      <c r="DZ826" s="770"/>
      <c r="EA826" s="770"/>
      <c r="EB826" s="770"/>
      <c r="EC826" s="770"/>
      <c r="ED826" s="770"/>
      <c r="EE826" s="770"/>
      <c r="EF826" s="770"/>
      <c r="EG826" s="770"/>
      <c r="EH826" s="770"/>
      <c r="EI826" s="770"/>
      <c r="EJ826" s="770"/>
      <c r="EK826" s="770"/>
      <c r="EL826" s="770"/>
      <c r="EM826" s="770"/>
      <c r="EN826" s="770"/>
      <c r="EO826" s="770"/>
      <c r="EP826" s="94"/>
      <c r="EQ826" s="770"/>
      <c r="ER826" s="770"/>
      <c r="ES826" s="770"/>
      <c r="ET826" s="770"/>
      <c r="EU826" s="770"/>
      <c r="EV826" s="770"/>
      <c r="EW826" s="770"/>
      <c r="EX826" s="770"/>
      <c r="EY826" s="770"/>
      <c r="EZ826" s="770"/>
      <c r="FA826" s="770"/>
      <c r="FB826" s="770"/>
      <c r="FC826" s="770"/>
      <c r="FD826" s="302"/>
      <c r="FE826" s="770"/>
      <c r="FF826" s="770"/>
      <c r="FG826" s="770"/>
      <c r="FH826" s="770"/>
      <c r="FI826" s="770"/>
      <c r="FJ826" s="770"/>
      <c r="FK826" s="770"/>
      <c r="FL826" s="770"/>
      <c r="FM826" s="302"/>
      <c r="FN826" s="302"/>
      <c r="FO826" s="302"/>
      <c r="FP826" s="766" t="s">
        <v>1600</v>
      </c>
      <c r="FQ826" s="766" t="s">
        <v>1642</v>
      </c>
      <c r="FR826" s="770"/>
      <c r="FS826" s="770"/>
      <c r="FT826" s="770"/>
      <c r="FU826" s="770"/>
      <c r="FV826" s="770"/>
      <c r="FW826" s="770"/>
      <c r="FX826" s="770"/>
      <c r="FY826" s="770"/>
      <c r="FZ826" s="770"/>
      <c r="GA826" s="770"/>
      <c r="GB826" s="770"/>
      <c r="GC826" s="308"/>
      <c r="GD826" s="297"/>
      <c r="GE826" s="770"/>
      <c r="GF826" s="302"/>
      <c r="GG826" s="302"/>
      <c r="GH826" s="770"/>
      <c r="GI826" s="770"/>
      <c r="GJ826" s="770"/>
      <c r="GK826" s="770"/>
      <c r="GL826" s="770"/>
      <c r="GM826" s="770"/>
      <c r="GN826" s="299"/>
      <c r="GO826" s="770"/>
      <c r="GP826" s="770"/>
      <c r="GQ826" s="770"/>
      <c r="GR826" s="770"/>
      <c r="GS826" s="770"/>
      <c r="GT826" s="770"/>
      <c r="GU826" s="770"/>
      <c r="GV826" s="770"/>
      <c r="GW826" s="770"/>
      <c r="GX826" s="770"/>
      <c r="GY826" s="770"/>
      <c r="GZ826" s="770"/>
      <c r="HA826" s="770"/>
      <c r="HB826" s="770"/>
      <c r="HC826" s="770"/>
      <c r="HD826" s="770"/>
      <c r="HE826" s="770"/>
      <c r="HF826" s="770"/>
      <c r="HG826" s="770"/>
      <c r="HH826" s="770"/>
      <c r="HI826" s="770"/>
      <c r="HJ826" s="770"/>
      <c r="HK826" s="770"/>
      <c r="HL826" s="770"/>
      <c r="HM826" s="770"/>
      <c r="HN826" s="770"/>
      <c r="HO826" s="770"/>
      <c r="HP826" s="770"/>
      <c r="HQ826" s="770"/>
      <c r="HR826" s="770"/>
      <c r="HS826" s="770"/>
      <c r="HT826" s="770"/>
      <c r="HU826" s="770"/>
      <c r="HV826" s="770"/>
      <c r="HW826" s="770"/>
      <c r="HX826" s="770"/>
      <c r="HY826" s="770"/>
      <c r="HZ826" s="770"/>
      <c r="IA826" s="770"/>
      <c r="IB826" s="14" t="e">
        <f>IF(#REF!&gt;0,IF(#REF!&lt;=10000,"Y",""),"")</f>
        <v>#REF!</v>
      </c>
      <c r="IC826" s="770"/>
      <c r="ID826" s="770"/>
      <c r="IE826" s="770"/>
      <c r="IF826" s="770"/>
      <c r="IG826" s="770"/>
      <c r="IH826" s="770"/>
      <c r="II826" s="770"/>
      <c r="IJ826" s="770"/>
      <c r="IK826" s="770"/>
      <c r="IL826" s="770"/>
      <c r="IM826" s="770"/>
      <c r="IN826" s="770"/>
      <c r="IO826" s="296"/>
      <c r="IP826" s="770"/>
      <c r="IQ826" s="770"/>
      <c r="IR826" s="770"/>
      <c r="IS826" s="770"/>
      <c r="IT826" s="770"/>
      <c r="IU826" s="770"/>
      <c r="IV826" s="770"/>
      <c r="IW826" s="770"/>
      <c r="IX826" s="770"/>
      <c r="IY826" s="770"/>
      <c r="IZ826" s="770"/>
      <c r="JA826" s="770"/>
      <c r="JB826" s="770"/>
      <c r="JC826" s="770"/>
      <c r="JD826" s="302"/>
      <c r="JE826" s="770"/>
      <c r="JF826" s="770"/>
      <c r="JG826" s="770"/>
      <c r="JH826" s="307"/>
      <c r="JI826" s="307"/>
      <c r="JJ826" s="94"/>
      <c r="JK826" s="1047" t="s">
        <v>488</v>
      </c>
      <c r="JL826" s="770"/>
      <c r="JM826" s="770"/>
      <c r="JN826" s="770"/>
      <c r="JO826" s="770"/>
      <c r="JP826" s="770"/>
      <c r="JQ826" s="770"/>
      <c r="JR826" s="770"/>
      <c r="JS826" s="770"/>
      <c r="JT826" s="766"/>
      <c r="JU826" s="766"/>
      <c r="JV826" s="712" t="str">
        <f t="shared" si="264"/>
        <v>ok</v>
      </c>
      <c r="JW826" s="712" t="str">
        <f t="shared" si="265"/>
        <v>ok</v>
      </c>
      <c r="JX826" s="770"/>
      <c r="JY826" s="770"/>
      <c r="JZ826" s="770"/>
      <c r="KA826" s="770"/>
      <c r="KB826" s="770"/>
      <c r="KC826" s="770"/>
      <c r="KD826" s="770"/>
      <c r="KE826" s="770"/>
      <c r="KF826" s="770"/>
      <c r="KG826" s="770"/>
      <c r="KH826" s="770"/>
      <c r="KI826" s="770"/>
      <c r="KJ826" s="770"/>
      <c r="KK826" s="770"/>
      <c r="KL826" s="712" t="str">
        <f t="shared" si="266"/>
        <v>ok</v>
      </c>
      <c r="KM826" s="712" t="str">
        <f t="shared" si="267"/>
        <v>ok</v>
      </c>
      <c r="KN826" s="770"/>
      <c r="KO826" s="770"/>
      <c r="KP826" s="770"/>
      <c r="KQ826" s="770"/>
      <c r="KR826" s="770"/>
      <c r="KS826" s="770"/>
      <c r="KT826" s="770"/>
      <c r="KU826" s="770"/>
      <c r="KV826" s="770"/>
      <c r="KW826" s="770"/>
      <c r="KX826" s="770"/>
      <c r="KY826" s="770"/>
      <c r="KZ826" s="770"/>
      <c r="LA826" s="770"/>
      <c r="LB826" s="770"/>
      <c r="LC826" s="770"/>
      <c r="LD826" s="770"/>
      <c r="LE826" s="770"/>
      <c r="LF826" s="770"/>
      <c r="LG826" s="770"/>
      <c r="LH826" s="770"/>
      <c r="LI826" s="770"/>
      <c r="LJ826" s="770"/>
      <c r="LK826" s="770"/>
      <c r="LL826" s="770"/>
      <c r="LM826" s="770"/>
      <c r="LN826" s="766"/>
      <c r="LO826" s="766"/>
      <c r="LP826" s="770"/>
      <c r="LQ826" s="770"/>
      <c r="LR826" s="770"/>
      <c r="LS826" s="770"/>
      <c r="LT826" s="712" t="str">
        <f t="shared" si="268"/>
        <v>OK</v>
      </c>
      <c r="LU826" s="770"/>
      <c r="LV826" s="770"/>
      <c r="LW826" s="770"/>
      <c r="LX826" s="769"/>
      <c r="LY826" s="766" t="str">
        <f t="shared" si="258"/>
        <v/>
      </c>
      <c r="LZ826" s="1709"/>
      <c r="MA826" s="1709"/>
      <c r="MB826" s="1709"/>
      <c r="MC826" s="1679">
        <f t="shared" si="256"/>
        <v>0</v>
      </c>
      <c r="MD826" s="1709"/>
      <c r="ME826" s="1709"/>
      <c r="MF826" s="1709"/>
      <c r="MG826" s="1680">
        <v>0</v>
      </c>
      <c r="MH826" s="770"/>
      <c r="MI826" s="302"/>
      <c r="MJ826" s="302"/>
      <c r="MK826" s="302"/>
      <c r="ML826" s="302"/>
      <c r="MM826" s="302"/>
      <c r="MN826" s="302"/>
      <c r="MO826" s="302"/>
      <c r="MP826" s="302"/>
      <c r="MQ826" s="302"/>
      <c r="MR826" s="302"/>
      <c r="MS826" s="302"/>
      <c r="MT826" s="302"/>
      <c r="MU826" s="302"/>
      <c r="MV826" s="302"/>
      <c r="MW826" s="302"/>
      <c r="MX826" s="302"/>
      <c r="MY826" s="1682"/>
      <c r="MZ826" s="770"/>
      <c r="NA826" s="770"/>
      <c r="NB826" s="770"/>
      <c r="NC826" s="770"/>
      <c r="ND826" s="770"/>
      <c r="NE826" s="770"/>
      <c r="NF826" s="770"/>
      <c r="NG826" s="770"/>
      <c r="NH826" s="770"/>
      <c r="NI826" s="770"/>
      <c r="NJ826" s="770"/>
      <c r="NK826" s="770"/>
      <c r="NL826" s="770"/>
      <c r="NM826" s="770"/>
      <c r="NN826" s="770"/>
      <c r="NO826" s="770"/>
      <c r="NP826" s="770"/>
      <c r="NQ826" s="770"/>
      <c r="NR826" s="770"/>
      <c r="NS826" s="770"/>
      <c r="NT826" s="770"/>
      <c r="NU826" s="770"/>
      <c r="NV826" s="770"/>
      <c r="NW826" s="770"/>
      <c r="NX826" s="770"/>
      <c r="NY826" s="770"/>
      <c r="NZ826" s="770"/>
      <c r="OA826" s="770"/>
      <c r="OB826" s="770"/>
      <c r="OC826" s="770"/>
      <c r="OD826" s="770"/>
      <c r="OE826" s="770"/>
      <c r="OF826" s="770"/>
      <c r="OG826" s="770"/>
      <c r="OH826" s="770"/>
      <c r="OI826" s="770"/>
      <c r="OJ826" s="770"/>
      <c r="OK826" s="770"/>
      <c r="OL826" s="770"/>
      <c r="OM826" s="770"/>
      <c r="ON826" s="770"/>
      <c r="OO826" s="770"/>
      <c r="OP826" s="770"/>
      <c r="OQ826" s="770"/>
      <c r="OR826" s="770"/>
      <c r="OS826" s="770"/>
      <c r="OT826" s="770"/>
      <c r="OU826" s="770"/>
      <c r="OV826" s="770"/>
      <c r="OW826" s="770"/>
      <c r="OX826" s="770"/>
      <c r="OY826" s="770"/>
      <c r="OZ826" s="770"/>
      <c r="PA826" s="770"/>
      <c r="PB826" s="770"/>
      <c r="PC826" s="770"/>
      <c r="PD826" s="770"/>
      <c r="PE826" s="770"/>
      <c r="PF826" s="770"/>
      <c r="PG826" s="770"/>
      <c r="PH826" s="770"/>
      <c r="PI826" s="770"/>
      <c r="PJ826" s="770"/>
      <c r="PK826" s="770"/>
      <c r="PL826" s="770"/>
      <c r="PM826" s="770"/>
      <c r="PN826" s="770"/>
      <c r="PO826" s="770"/>
      <c r="PP826" s="770"/>
      <c r="PQ826" s="770"/>
      <c r="PR826" s="770"/>
      <c r="PS826" s="770"/>
      <c r="PT826" s="770"/>
      <c r="PU826" s="770"/>
      <c r="PV826" s="770"/>
      <c r="PW826" s="770"/>
      <c r="PX826" s="770"/>
      <c r="PY826" s="770"/>
      <c r="PZ826" s="770"/>
      <c r="QA826" s="770"/>
      <c r="QB826" s="770"/>
      <c r="QC826" s="770"/>
      <c r="QD826" s="770"/>
      <c r="QE826" s="770"/>
      <c r="QF826" s="770"/>
      <c r="QG826" s="770"/>
      <c r="QH826" s="770"/>
      <c r="QI826" s="770"/>
      <c r="QJ826" s="770"/>
      <c r="QK826" s="770"/>
      <c r="QL826" s="770"/>
      <c r="QM826" s="770"/>
      <c r="QN826" s="770"/>
      <c r="QO826" s="770"/>
      <c r="QP826" s="770"/>
      <c r="QQ826" s="770"/>
      <c r="QR826" s="770"/>
      <c r="QS826" s="770"/>
      <c r="QT826" s="770"/>
      <c r="QU826" s="770"/>
      <c r="QV826" s="770"/>
      <c r="QW826" s="770"/>
      <c r="QX826" s="770"/>
      <c r="QY826" s="770"/>
      <c r="QZ826" s="770"/>
      <c r="RA826" s="770"/>
      <c r="RB826" s="770"/>
      <c r="RC826" s="770"/>
      <c r="RD826" s="770"/>
      <c r="RE826" s="770"/>
      <c r="RF826" s="304"/>
      <c r="RG826" s="770"/>
      <c r="RH826" s="306"/>
      <c r="RI826" s="770"/>
      <c r="RJ826" s="94"/>
      <c r="RK826" s="770"/>
      <c r="RL826" s="1710"/>
      <c r="RM826" s="12"/>
      <c r="RN826" s="1711"/>
      <c r="RO826" s="149" t="s">
        <v>5276</v>
      </c>
      <c r="RP826" s="11"/>
      <c r="RQ826" s="11"/>
      <c r="RR826" s="19" t="s">
        <v>12452</v>
      </c>
      <c r="RS826" s="1139" t="s">
        <v>12980</v>
      </c>
      <c r="RT826" s="11"/>
      <c r="RU826" s="11"/>
      <c r="RV826" s="6" t="s">
        <v>7421</v>
      </c>
      <c r="RW826" s="11" t="s">
        <v>11825</v>
      </c>
      <c r="RX826" s="11" t="s">
        <v>5276</v>
      </c>
      <c r="RY826" s="11"/>
      <c r="RZ826" s="11"/>
      <c r="SA826" s="6"/>
      <c r="SB826" s="11"/>
      <c r="SC826" s="11"/>
    </row>
    <row r="827" spans="1:497" ht="12.75" customHeight="1">
      <c r="A827" s="19" t="s">
        <v>14257</v>
      </c>
      <c r="B827" s="744" t="s">
        <v>11828</v>
      </c>
      <c r="C827" s="149" t="s">
        <v>5276</v>
      </c>
      <c r="D827" s="6" t="s">
        <v>488</v>
      </c>
      <c r="E827" s="766" t="s">
        <v>11819</v>
      </c>
      <c r="F827" s="770"/>
      <c r="G827" s="770"/>
      <c r="H827" s="770"/>
      <c r="I827" s="295"/>
      <c r="J827" s="94" t="s">
        <v>488</v>
      </c>
      <c r="K827" s="766"/>
      <c r="L827" s="766"/>
      <c r="M827" s="770"/>
      <c r="N827" s="1757"/>
      <c r="O827" s="1757"/>
      <c r="P827" s="94"/>
      <c r="Q827" s="1088"/>
      <c r="R827" s="297"/>
      <c r="S827" s="770"/>
      <c r="T827" s="770"/>
      <c r="U827" s="295"/>
      <c r="V827" s="770"/>
      <c r="W827" s="770"/>
      <c r="X827" s="770"/>
      <c r="Y827" s="770"/>
      <c r="Z827" s="770"/>
      <c r="AA827" s="770"/>
      <c r="AB827" s="770"/>
      <c r="AC827" s="770"/>
      <c r="AD827" s="770"/>
      <c r="AE827" s="770"/>
      <c r="AF827" s="770"/>
      <c r="AG827" s="766"/>
      <c r="AH827" s="770"/>
      <c r="AI827" s="770"/>
      <c r="AJ827" s="770"/>
      <c r="AK827" s="770" t="s">
        <v>1101</v>
      </c>
      <c r="AL827" s="531"/>
      <c r="AM827" s="780"/>
      <c r="AN827" s="532"/>
      <c r="AO827" s="766"/>
      <c r="AP827" s="766"/>
      <c r="AQ827" s="766"/>
      <c r="AR827" s="766"/>
      <c r="AS827" s="409"/>
      <c r="AT827" s="770"/>
      <c r="AU827" s="770"/>
      <c r="AV827" s="770"/>
      <c r="AW827" s="770"/>
      <c r="AX827" s="770"/>
      <c r="AY827" s="770"/>
      <c r="AZ827" s="770"/>
      <c r="BA827" s="770"/>
      <c r="BB827" s="770"/>
      <c r="BC827" s="770"/>
      <c r="BD827" s="770"/>
      <c r="BE827" s="770"/>
      <c r="BF827" s="302"/>
      <c r="BG827" s="302"/>
      <c r="BH827" s="770"/>
      <c r="BI827" s="770"/>
      <c r="BJ827" s="770"/>
      <c r="BK827" s="766"/>
      <c r="BL827" s="766"/>
      <c r="BM827" s="766" t="s">
        <v>1238</v>
      </c>
      <c r="BN827" s="766" t="s">
        <v>1305</v>
      </c>
      <c r="BO827" s="770"/>
      <c r="BP827" s="765"/>
      <c r="BQ827" s="773"/>
      <c r="BR827" s="774"/>
      <c r="BS827" s="766" t="s">
        <v>1242</v>
      </c>
      <c r="BT827" s="770"/>
      <c r="BU827" s="770"/>
      <c r="BV827" s="770"/>
      <c r="BW827" s="770"/>
      <c r="BX827" s="302"/>
      <c r="BY827" s="770"/>
      <c r="BZ827" s="302"/>
      <c r="CA827" s="770"/>
      <c r="CB827" s="770"/>
      <c r="CC827" s="770"/>
      <c r="CD827" s="770"/>
      <c r="CE827" s="302"/>
      <c r="CF827" s="304"/>
      <c r="CG827" s="321"/>
      <c r="CH827" s="770"/>
      <c r="CI827" s="770"/>
      <c r="CJ827" s="770"/>
      <c r="CK827" s="770"/>
      <c r="CL827" s="770"/>
      <c r="CM827" s="770"/>
      <c r="CN827" s="770"/>
      <c r="CO827" s="770"/>
      <c r="CP827" s="770"/>
      <c r="CQ827" s="770"/>
      <c r="CR827" s="302"/>
      <c r="CS827" s="770"/>
      <c r="CT827" s="770"/>
      <c r="CU827" s="305"/>
      <c r="CV827" s="770"/>
      <c r="CW827" s="770"/>
      <c r="CX827" s="770"/>
      <c r="CY827" s="770"/>
      <c r="CZ827" s="770"/>
      <c r="DA827" s="306"/>
      <c r="DB827" s="770"/>
      <c r="DC827" s="770"/>
      <c r="DD827" s="770"/>
      <c r="DE827" s="300"/>
      <c r="DF827" s="770"/>
      <c r="DG827" s="770"/>
      <c r="DH827" s="770"/>
      <c r="DI827" s="770"/>
      <c r="DJ827" s="770"/>
      <c r="DK827" s="770"/>
      <c r="DL827" s="770"/>
      <c r="DM827" s="770"/>
      <c r="DN827" s="322"/>
      <c r="DO827" s="770"/>
      <c r="DP827" s="770"/>
      <c r="DQ827" s="770"/>
      <c r="DR827" s="770"/>
      <c r="DS827" s="307"/>
      <c r="DT827" s="770"/>
      <c r="DU827" s="770"/>
      <c r="DV827" s="770"/>
      <c r="DW827" s="306"/>
      <c r="DX827" s="306"/>
      <c r="DY827" s="1055"/>
      <c r="DZ827" s="770"/>
      <c r="EA827" s="770"/>
      <c r="EB827" s="770"/>
      <c r="EC827" s="770"/>
      <c r="ED827" s="770"/>
      <c r="EE827" s="770"/>
      <c r="EF827" s="770"/>
      <c r="EG827" s="770"/>
      <c r="EH827" s="770"/>
      <c r="EI827" s="770"/>
      <c r="EJ827" s="770"/>
      <c r="EK827" s="770"/>
      <c r="EL827" s="770"/>
      <c r="EM827" s="770"/>
      <c r="EN827" s="770"/>
      <c r="EO827" s="770"/>
      <c r="EP827" s="94"/>
      <c r="EQ827" s="770"/>
      <c r="ER827" s="770"/>
      <c r="ES827" s="770"/>
      <c r="ET827" s="770"/>
      <c r="EU827" s="770"/>
      <c r="EV827" s="770"/>
      <c r="EW827" s="770"/>
      <c r="EX827" s="770"/>
      <c r="EY827" s="770"/>
      <c r="EZ827" s="770"/>
      <c r="FA827" s="770"/>
      <c r="FB827" s="770"/>
      <c r="FC827" s="770"/>
      <c r="FD827" s="302"/>
      <c r="FE827" s="770"/>
      <c r="FF827" s="770"/>
      <c r="FG827" s="770"/>
      <c r="FH827" s="770"/>
      <c r="FI827" s="770"/>
      <c r="FJ827" s="770"/>
      <c r="FK827" s="770"/>
      <c r="FL827" s="770"/>
      <c r="FM827" s="302"/>
      <c r="FN827" s="302"/>
      <c r="FO827" s="302"/>
      <c r="FP827" s="766" t="s">
        <v>1600</v>
      </c>
      <c r="FQ827" s="766" t="s">
        <v>1642</v>
      </c>
      <c r="FR827" s="770"/>
      <c r="FS827" s="770"/>
      <c r="FT827" s="770"/>
      <c r="FU827" s="770"/>
      <c r="FV827" s="770"/>
      <c r="FW827" s="770"/>
      <c r="FX827" s="770"/>
      <c r="FY827" s="770"/>
      <c r="FZ827" s="770"/>
      <c r="GA827" s="770"/>
      <c r="GB827" s="770"/>
      <c r="GC827" s="308"/>
      <c r="GD827" s="297"/>
      <c r="GE827" s="770"/>
      <c r="GF827" s="302"/>
      <c r="GG827" s="302"/>
      <c r="GH827" s="770"/>
      <c r="GI827" s="770"/>
      <c r="GJ827" s="770"/>
      <c r="GK827" s="770"/>
      <c r="GL827" s="770"/>
      <c r="GM827" s="770"/>
      <c r="GN827" s="299"/>
      <c r="GO827" s="770"/>
      <c r="GP827" s="770"/>
      <c r="GQ827" s="770"/>
      <c r="GR827" s="770"/>
      <c r="GS827" s="770"/>
      <c r="GT827" s="770"/>
      <c r="GU827" s="770"/>
      <c r="GV827" s="770"/>
      <c r="GW827" s="770"/>
      <c r="GX827" s="770"/>
      <c r="GY827" s="770"/>
      <c r="GZ827" s="770"/>
      <c r="HA827" s="770"/>
      <c r="HB827" s="770"/>
      <c r="HC827" s="770"/>
      <c r="HD827" s="770"/>
      <c r="HE827" s="770"/>
      <c r="HF827" s="770"/>
      <c r="HG827" s="770"/>
      <c r="HH827" s="770"/>
      <c r="HI827" s="770"/>
      <c r="HJ827" s="770"/>
      <c r="HK827" s="770"/>
      <c r="HL827" s="770"/>
      <c r="HM827" s="770"/>
      <c r="HN827" s="770"/>
      <c r="HO827" s="770"/>
      <c r="HP827" s="770"/>
      <c r="HQ827" s="770"/>
      <c r="HR827" s="770"/>
      <c r="HS827" s="770"/>
      <c r="HT827" s="770"/>
      <c r="HU827" s="770"/>
      <c r="HV827" s="770"/>
      <c r="HW827" s="770"/>
      <c r="HX827" s="770"/>
      <c r="HY827" s="770"/>
      <c r="HZ827" s="770"/>
      <c r="IA827" s="770"/>
      <c r="IB827" s="14" t="e">
        <f>IF(#REF!&gt;0,IF(#REF!&lt;=10000,"Y",""),"")</f>
        <v>#REF!</v>
      </c>
      <c r="IC827" s="770"/>
      <c r="ID827" s="770"/>
      <c r="IE827" s="770"/>
      <c r="IF827" s="770"/>
      <c r="IG827" s="770"/>
      <c r="IH827" s="770"/>
      <c r="II827" s="770"/>
      <c r="IJ827" s="770"/>
      <c r="IK827" s="770"/>
      <c r="IL827" s="770"/>
      <c r="IM827" s="770"/>
      <c r="IN827" s="770"/>
      <c r="IO827" s="296"/>
      <c r="IP827" s="770"/>
      <c r="IQ827" s="770"/>
      <c r="IR827" s="770"/>
      <c r="IS827" s="770"/>
      <c r="IT827" s="770"/>
      <c r="IU827" s="770"/>
      <c r="IV827" s="770"/>
      <c r="IW827" s="770"/>
      <c r="IX827" s="770"/>
      <c r="IY827" s="770"/>
      <c r="IZ827" s="770"/>
      <c r="JA827" s="770"/>
      <c r="JB827" s="770"/>
      <c r="JC827" s="770"/>
      <c r="JD827" s="302"/>
      <c r="JE827" s="770"/>
      <c r="JF827" s="770"/>
      <c r="JG827" s="770"/>
      <c r="JH827" s="307"/>
      <c r="JI827" s="307"/>
      <c r="JJ827" s="94"/>
      <c r="JK827" s="1047" t="s">
        <v>488</v>
      </c>
      <c r="JL827" s="770"/>
      <c r="JM827" s="770"/>
      <c r="JN827" s="770"/>
      <c r="JO827" s="770"/>
      <c r="JP827" s="770"/>
      <c r="JQ827" s="770"/>
      <c r="JR827" s="770"/>
      <c r="JS827" s="770"/>
      <c r="JT827" s="766"/>
      <c r="JU827" s="766"/>
      <c r="JV827" s="712" t="str">
        <f t="shared" si="264"/>
        <v>ok</v>
      </c>
      <c r="JW827" s="712" t="str">
        <f t="shared" si="265"/>
        <v>ok</v>
      </c>
      <c r="JX827" s="770"/>
      <c r="JY827" s="770"/>
      <c r="JZ827" s="770"/>
      <c r="KA827" s="770"/>
      <c r="KB827" s="770"/>
      <c r="KC827" s="770"/>
      <c r="KD827" s="770"/>
      <c r="KE827" s="770"/>
      <c r="KF827" s="770"/>
      <c r="KG827" s="770"/>
      <c r="KH827" s="770"/>
      <c r="KI827" s="770"/>
      <c r="KJ827" s="770"/>
      <c r="KK827" s="770"/>
      <c r="KL827" s="712" t="str">
        <f t="shared" si="266"/>
        <v>ok</v>
      </c>
      <c r="KM827" s="712" t="str">
        <f t="shared" si="267"/>
        <v>ok</v>
      </c>
      <c r="KN827" s="770"/>
      <c r="KO827" s="770"/>
      <c r="KP827" s="770"/>
      <c r="KQ827" s="770"/>
      <c r="KR827" s="770"/>
      <c r="KS827" s="770"/>
      <c r="KT827" s="770"/>
      <c r="KU827" s="770"/>
      <c r="KV827" s="770"/>
      <c r="KW827" s="770"/>
      <c r="KX827" s="770"/>
      <c r="KY827" s="770"/>
      <c r="KZ827" s="770"/>
      <c r="LA827" s="770"/>
      <c r="LB827" s="770"/>
      <c r="LC827" s="770"/>
      <c r="LD827" s="770"/>
      <c r="LE827" s="770"/>
      <c r="LF827" s="770"/>
      <c r="LG827" s="770"/>
      <c r="LH827" s="770"/>
      <c r="LI827" s="770"/>
      <c r="LJ827" s="770"/>
      <c r="LK827" s="770"/>
      <c r="LL827" s="770"/>
      <c r="LM827" s="770"/>
      <c r="LN827" s="766"/>
      <c r="LO827" s="766"/>
      <c r="LP827" s="770"/>
      <c r="LQ827" s="770"/>
      <c r="LR827" s="770"/>
      <c r="LS827" s="770"/>
      <c r="LT827" s="712" t="str">
        <f t="shared" si="268"/>
        <v>OK</v>
      </c>
      <c r="LU827" s="770"/>
      <c r="LV827" s="770"/>
      <c r="LW827" s="770"/>
      <c r="LX827" s="769"/>
      <c r="LY827" s="766" t="str">
        <f t="shared" si="258"/>
        <v/>
      </c>
      <c r="LZ827" s="1709"/>
      <c r="MA827" s="1709"/>
      <c r="MB827" s="1709"/>
      <c r="MC827" s="1679">
        <f t="shared" si="256"/>
        <v>0</v>
      </c>
      <c r="MD827" s="1709"/>
      <c r="ME827" s="1709"/>
      <c r="MF827" s="1709"/>
      <c r="MG827" s="1680">
        <v>0</v>
      </c>
      <c r="MH827" s="770"/>
      <c r="MI827" s="302"/>
      <c r="MJ827" s="302"/>
      <c r="MK827" s="302"/>
      <c r="ML827" s="302"/>
      <c r="MM827" s="302"/>
      <c r="MN827" s="302"/>
      <c r="MO827" s="302"/>
      <c r="MP827" s="302"/>
      <c r="MQ827" s="302"/>
      <c r="MR827" s="302"/>
      <c r="MS827" s="302"/>
      <c r="MT827" s="302"/>
      <c r="MU827" s="302"/>
      <c r="MV827" s="302"/>
      <c r="MW827" s="302"/>
      <c r="MX827" s="302"/>
      <c r="MY827" s="1682"/>
      <c r="MZ827" s="770"/>
      <c r="NA827" s="770"/>
      <c r="NB827" s="770"/>
      <c r="NC827" s="770"/>
      <c r="ND827" s="770"/>
      <c r="NE827" s="770"/>
      <c r="NF827" s="770"/>
      <c r="NG827" s="770"/>
      <c r="NH827" s="770"/>
      <c r="NI827" s="770"/>
      <c r="NJ827" s="770"/>
      <c r="NK827" s="770"/>
      <c r="NL827" s="770"/>
      <c r="NM827" s="770"/>
      <c r="NN827" s="770"/>
      <c r="NO827" s="770"/>
      <c r="NP827" s="770"/>
      <c r="NQ827" s="770"/>
      <c r="NR827" s="770"/>
      <c r="NS827" s="770"/>
      <c r="NT827" s="770"/>
      <c r="NU827" s="770"/>
      <c r="NV827" s="770"/>
      <c r="NW827" s="770"/>
      <c r="NX827" s="770"/>
      <c r="NY827" s="770"/>
      <c r="NZ827" s="770"/>
      <c r="OA827" s="770"/>
      <c r="OB827" s="770"/>
      <c r="OC827" s="770"/>
      <c r="OD827" s="770"/>
      <c r="OE827" s="770"/>
      <c r="OF827" s="770"/>
      <c r="OG827" s="770"/>
      <c r="OH827" s="770"/>
      <c r="OI827" s="770"/>
      <c r="OJ827" s="770"/>
      <c r="OK827" s="770"/>
      <c r="OL827" s="770"/>
      <c r="OM827" s="770"/>
      <c r="ON827" s="770"/>
      <c r="OO827" s="770"/>
      <c r="OP827" s="770"/>
      <c r="OQ827" s="770"/>
      <c r="OR827" s="770"/>
      <c r="OS827" s="770"/>
      <c r="OT827" s="770"/>
      <c r="OU827" s="770"/>
      <c r="OV827" s="770"/>
      <c r="OW827" s="770"/>
      <c r="OX827" s="770"/>
      <c r="OY827" s="770"/>
      <c r="OZ827" s="770"/>
      <c r="PA827" s="770"/>
      <c r="PB827" s="770"/>
      <c r="PC827" s="770"/>
      <c r="PD827" s="770"/>
      <c r="PE827" s="770"/>
      <c r="PF827" s="770"/>
      <c r="PG827" s="770"/>
      <c r="PH827" s="770"/>
      <c r="PI827" s="770"/>
      <c r="PJ827" s="770"/>
      <c r="PK827" s="770"/>
      <c r="PL827" s="770"/>
      <c r="PM827" s="770"/>
      <c r="PN827" s="770"/>
      <c r="PO827" s="770"/>
      <c r="PP827" s="770"/>
      <c r="PQ827" s="770"/>
      <c r="PR827" s="770"/>
      <c r="PS827" s="770"/>
      <c r="PT827" s="770"/>
      <c r="PU827" s="770"/>
      <c r="PV827" s="770"/>
      <c r="PW827" s="770"/>
      <c r="PX827" s="770"/>
      <c r="PY827" s="770"/>
      <c r="PZ827" s="770"/>
      <c r="QA827" s="770"/>
      <c r="QB827" s="770"/>
      <c r="QC827" s="770"/>
      <c r="QD827" s="770"/>
      <c r="QE827" s="770"/>
      <c r="QF827" s="770"/>
      <c r="QG827" s="770"/>
      <c r="QH827" s="770"/>
      <c r="QI827" s="770"/>
      <c r="QJ827" s="770"/>
      <c r="QK827" s="770"/>
      <c r="QL827" s="770"/>
      <c r="QM827" s="770"/>
      <c r="QN827" s="770"/>
      <c r="QO827" s="770"/>
      <c r="QP827" s="770"/>
      <c r="QQ827" s="770"/>
      <c r="QR827" s="770"/>
      <c r="QS827" s="770"/>
      <c r="QT827" s="770"/>
      <c r="QU827" s="770"/>
      <c r="QV827" s="770"/>
      <c r="QW827" s="770"/>
      <c r="QX827" s="770"/>
      <c r="QY827" s="770"/>
      <c r="QZ827" s="770"/>
      <c r="RA827" s="770"/>
      <c r="RB827" s="770"/>
      <c r="RC827" s="770"/>
      <c r="RD827" s="770"/>
      <c r="RE827" s="770"/>
      <c r="RF827" s="304"/>
      <c r="RG827" s="770"/>
      <c r="RH827" s="306"/>
      <c r="RI827" s="770"/>
      <c r="RJ827" s="94"/>
      <c r="RK827" s="770"/>
      <c r="RL827" s="1710"/>
      <c r="RM827" s="12"/>
      <c r="RN827" s="1711"/>
      <c r="RO827" s="149" t="s">
        <v>5276</v>
      </c>
      <c r="RP827" s="11"/>
      <c r="RQ827" s="11"/>
      <c r="RR827" s="19" t="s">
        <v>12452</v>
      </c>
      <c r="RS827" s="1139" t="s">
        <v>12980</v>
      </c>
      <c r="RT827" s="11"/>
      <c r="RU827" s="11"/>
      <c r="RV827" s="6" t="s">
        <v>12452</v>
      </c>
      <c r="RW827" s="11" t="s">
        <v>11826</v>
      </c>
      <c r="RX827" s="11" t="s">
        <v>5276</v>
      </c>
      <c r="RY827" s="11"/>
      <c r="RZ827" s="11"/>
      <c r="SA827" s="6"/>
      <c r="SB827" s="11"/>
      <c r="SC827" s="11"/>
    </row>
    <row r="828" spans="1:497" ht="12.75" customHeight="1">
      <c r="A828" s="19" t="s">
        <v>7421</v>
      </c>
      <c r="B828" s="292" t="s">
        <v>7497</v>
      </c>
      <c r="C828" s="149" t="s">
        <v>3304</v>
      </c>
      <c r="D828" s="94" t="s">
        <v>5754</v>
      </c>
      <c r="E828" s="766" t="s">
        <v>5297</v>
      </c>
      <c r="F828" s="770" t="s">
        <v>28</v>
      </c>
      <c r="G828" s="770" t="s">
        <v>18</v>
      </c>
      <c r="H828" s="770"/>
      <c r="I828" s="295" t="s">
        <v>5292</v>
      </c>
      <c r="J828" s="94" t="s">
        <v>5291</v>
      </c>
      <c r="K828" s="766" t="s">
        <v>5293</v>
      </c>
      <c r="L828" s="766" t="s">
        <v>2461</v>
      </c>
      <c r="M828" s="770" t="s">
        <v>1238</v>
      </c>
      <c r="N828" s="1757"/>
      <c r="O828" s="1757" t="s">
        <v>4830</v>
      </c>
      <c r="P828" s="94" t="s">
        <v>5294</v>
      </c>
      <c r="Q828" s="1088">
        <v>23229</v>
      </c>
      <c r="R828" s="297">
        <v>53</v>
      </c>
      <c r="S828" s="770" t="s">
        <v>18</v>
      </c>
      <c r="T828" s="770"/>
      <c r="U828" s="295" t="s">
        <v>5292</v>
      </c>
      <c r="V828" s="770" t="s">
        <v>719</v>
      </c>
      <c r="W828" s="770"/>
      <c r="X828" s="770"/>
      <c r="Y828" s="770" t="s">
        <v>3306</v>
      </c>
      <c r="Z828" s="770" t="s">
        <v>708</v>
      </c>
      <c r="AA828" s="770" t="s">
        <v>709</v>
      </c>
      <c r="AB828" s="770" t="s">
        <v>710</v>
      </c>
      <c r="AC828" s="770"/>
      <c r="AD828" s="770" t="s">
        <v>711</v>
      </c>
      <c r="AE828" s="770"/>
      <c r="AF828" s="770" t="s">
        <v>712</v>
      </c>
      <c r="AG828" s="766" t="s">
        <v>1095</v>
      </c>
      <c r="AH828" s="766" t="s">
        <v>1096</v>
      </c>
      <c r="AI828" s="770" t="s">
        <v>3294</v>
      </c>
      <c r="AJ828" s="770"/>
      <c r="AK828" s="770" t="s">
        <v>1101</v>
      </c>
      <c r="AL828" s="531">
        <v>105</v>
      </c>
      <c r="AM828" s="780">
        <v>5.7</v>
      </c>
      <c r="AN828" s="532">
        <f t="shared" si="259"/>
        <v>5.4285714285714284E-2</v>
      </c>
      <c r="AO828" s="766" t="s">
        <v>1098</v>
      </c>
      <c r="AP828" s="766"/>
      <c r="AQ828" s="766"/>
      <c r="AR828" s="766"/>
      <c r="AS828" s="770"/>
      <c r="AT828" s="770"/>
      <c r="AU828" s="770"/>
      <c r="AV828" s="770"/>
      <c r="AW828" s="770"/>
      <c r="AX828" s="770"/>
      <c r="AY828" s="770"/>
      <c r="AZ828" s="770"/>
      <c r="BA828" s="770"/>
      <c r="BB828" s="770"/>
      <c r="BC828" s="770"/>
      <c r="BD828" s="770"/>
      <c r="BE828" s="770"/>
      <c r="BF828" s="302"/>
      <c r="BG828" s="302"/>
      <c r="BH828" s="770"/>
      <c r="BI828" s="770"/>
      <c r="BJ828" s="770"/>
      <c r="BK828" s="766" t="s">
        <v>1095</v>
      </c>
      <c r="BL828" s="766" t="s">
        <v>5753</v>
      </c>
      <c r="BM828" s="766" t="s">
        <v>1096</v>
      </c>
      <c r="BN828" s="766" t="s">
        <v>1230</v>
      </c>
      <c r="BO828" s="770" t="s">
        <v>1275</v>
      </c>
      <c r="BP828" s="1109">
        <v>315</v>
      </c>
      <c r="BQ828" s="773">
        <v>21</v>
      </c>
      <c r="BR828" s="774">
        <f t="shared" si="263"/>
        <v>6.6666666666666666E-2</v>
      </c>
      <c r="BS828" s="766" t="s">
        <v>1242</v>
      </c>
      <c r="BT828" s="766" t="s">
        <v>8133</v>
      </c>
      <c r="BU828" s="770" t="s">
        <v>1249</v>
      </c>
      <c r="BV828" s="770" t="s">
        <v>1247</v>
      </c>
      <c r="BW828" s="770">
        <v>2008</v>
      </c>
      <c r="BX828" s="302" t="s">
        <v>2769</v>
      </c>
      <c r="BY828" s="770" t="s">
        <v>1214</v>
      </c>
      <c r="BZ828" s="302"/>
      <c r="CA828" s="770"/>
      <c r="CB828" s="770"/>
      <c r="CC828" s="770"/>
      <c r="CD828" s="770"/>
      <c r="CE828" s="302"/>
      <c r="CF828" s="304"/>
      <c r="CG828" s="321"/>
      <c r="CH828" s="770"/>
      <c r="CI828" s="770"/>
      <c r="CJ828" s="770"/>
      <c r="CK828" s="770"/>
      <c r="CL828" s="770"/>
      <c r="CM828" s="770"/>
      <c r="CN828" s="770"/>
      <c r="CO828" s="770"/>
      <c r="CP828" s="770"/>
      <c r="CQ828" s="770"/>
      <c r="CR828" s="302"/>
      <c r="CS828" s="770"/>
      <c r="CT828" s="770"/>
      <c r="CU828" s="305"/>
      <c r="CV828" s="770"/>
      <c r="CW828" s="770"/>
      <c r="CX828" s="770"/>
      <c r="CY828" s="770"/>
      <c r="CZ828" s="770"/>
      <c r="DA828" s="306"/>
      <c r="DB828" s="770"/>
      <c r="DC828" s="770"/>
      <c r="DD828" s="770"/>
      <c r="DE828" s="300"/>
      <c r="DF828" s="770"/>
      <c r="DG828" s="770"/>
      <c r="DH828" s="770"/>
      <c r="DI828" s="770"/>
      <c r="DJ828" s="770"/>
      <c r="DK828" s="770"/>
      <c r="DL828" s="770"/>
      <c r="DM828" s="770"/>
      <c r="DN828" s="322"/>
      <c r="DO828" s="770"/>
      <c r="DP828" s="770"/>
      <c r="DQ828" s="770"/>
      <c r="DR828" s="770"/>
      <c r="DS828" s="307"/>
      <c r="DT828" s="770"/>
      <c r="DU828" s="770"/>
      <c r="DV828" s="770"/>
      <c r="DW828" s="306"/>
      <c r="DX828" s="306"/>
      <c r="DY828" s="1055"/>
      <c r="DZ828" s="770"/>
      <c r="EA828" s="770"/>
      <c r="EB828" s="770"/>
      <c r="EC828" s="770"/>
      <c r="ED828" s="770"/>
      <c r="EE828" s="770"/>
      <c r="EF828" s="770"/>
      <c r="EG828" s="770"/>
      <c r="EH828" s="770"/>
      <c r="EI828" s="770"/>
      <c r="EJ828" s="770"/>
      <c r="EK828" s="770"/>
      <c r="EL828" s="770"/>
      <c r="EM828" s="770"/>
      <c r="EN828" s="770"/>
      <c r="EO828" s="770"/>
      <c r="EP828" s="94"/>
      <c r="EQ828" s="770"/>
      <c r="ER828" s="770"/>
      <c r="ES828" s="770"/>
      <c r="ET828" s="770"/>
      <c r="EU828" s="770"/>
      <c r="EV828" s="770"/>
      <c r="EW828" s="770"/>
      <c r="EX828" s="770"/>
      <c r="EY828" s="770"/>
      <c r="EZ828" s="770"/>
      <c r="FA828" s="770"/>
      <c r="FB828" s="770"/>
      <c r="FC828" s="770"/>
      <c r="FD828" s="302"/>
      <c r="FE828" s="770"/>
      <c r="FF828" s="770"/>
      <c r="FG828" s="770"/>
      <c r="FH828" s="770" t="s">
        <v>478</v>
      </c>
      <c r="FI828" s="770">
        <v>10</v>
      </c>
      <c r="FJ828" s="770"/>
      <c r="FK828" s="770"/>
      <c r="FL828" s="770"/>
      <c r="FM828" s="302"/>
      <c r="FN828" s="302"/>
      <c r="FO828" s="302"/>
      <c r="FP828" s="770" t="s">
        <v>1600</v>
      </c>
      <c r="FQ828" s="770" t="s">
        <v>1642</v>
      </c>
      <c r="FR828" s="770" t="s">
        <v>1214</v>
      </c>
      <c r="FS828" s="770"/>
      <c r="FT828" s="770"/>
      <c r="FU828" s="770"/>
      <c r="FV828" s="770"/>
      <c r="FW828" s="770"/>
      <c r="FX828" s="770"/>
      <c r="FY828" s="770"/>
      <c r="FZ828" s="770"/>
      <c r="GA828" s="770"/>
      <c r="GB828" s="770"/>
      <c r="GC828" s="308"/>
      <c r="GD828" s="297"/>
      <c r="GE828" s="770" t="s">
        <v>1207</v>
      </c>
      <c r="GF828" s="302"/>
      <c r="GG828" s="302"/>
      <c r="GH828" s="770"/>
      <c r="GI828" s="770"/>
      <c r="GJ828" s="770"/>
      <c r="GK828" s="770"/>
      <c r="GL828" s="770"/>
      <c r="GM828" s="770"/>
      <c r="GN828" s="299"/>
      <c r="GO828" s="770"/>
      <c r="GP828" s="770"/>
      <c r="GQ828" s="770"/>
      <c r="GR828" s="770"/>
      <c r="GS828" s="770"/>
      <c r="GT828" s="770"/>
      <c r="GU828" s="770"/>
      <c r="GV828" s="770"/>
      <c r="GW828" s="770"/>
      <c r="GX828" s="770"/>
      <c r="GY828" s="770"/>
      <c r="GZ828" s="770"/>
      <c r="HA828" s="770"/>
      <c r="HB828" s="770"/>
      <c r="HC828" s="770"/>
      <c r="HD828" s="770"/>
      <c r="HE828" s="770"/>
      <c r="HF828" s="770"/>
      <c r="HG828" s="770"/>
      <c r="HH828" s="770"/>
      <c r="HI828" s="770"/>
      <c r="HJ828" s="770"/>
      <c r="HK828" s="770"/>
      <c r="HL828" s="770"/>
      <c r="HM828" s="770"/>
      <c r="HN828" s="770"/>
      <c r="HO828" s="770"/>
      <c r="HP828" s="770"/>
      <c r="HQ828" s="770"/>
      <c r="HR828" s="770"/>
      <c r="HS828" s="770"/>
      <c r="HT828" s="770"/>
      <c r="HU828" s="770"/>
      <c r="HV828" s="770"/>
      <c r="HW828" s="770"/>
      <c r="HX828" s="770"/>
      <c r="HY828" s="770"/>
      <c r="HZ828" s="770"/>
      <c r="IA828" s="770"/>
      <c r="IB828" s="14" t="e">
        <f>IF(#REF!&gt;0,IF(#REF!&lt;=10000,"Y",""),"")</f>
        <v>#REF!</v>
      </c>
      <c r="IC828" s="770" t="s">
        <v>1207</v>
      </c>
      <c r="ID828" s="770"/>
      <c r="IE828" s="770">
        <v>1</v>
      </c>
      <c r="IF828" s="770" t="s">
        <v>5291</v>
      </c>
      <c r="IG828" s="770" t="s">
        <v>18</v>
      </c>
      <c r="IH828" s="770" t="s">
        <v>478</v>
      </c>
      <c r="II828" s="770" t="s">
        <v>3306</v>
      </c>
      <c r="IJ828" s="770" t="s">
        <v>1835</v>
      </c>
      <c r="IK828" s="766" t="s">
        <v>1888</v>
      </c>
      <c r="IL828" s="770" t="s">
        <v>5295</v>
      </c>
      <c r="IM828" s="770">
        <v>2011</v>
      </c>
      <c r="IN828" s="770" t="s">
        <v>5295</v>
      </c>
      <c r="IO828" s="296">
        <v>23229</v>
      </c>
      <c r="IP828" s="770" t="s">
        <v>478</v>
      </c>
      <c r="IQ828" s="13" t="s">
        <v>8144</v>
      </c>
      <c r="IR828" s="770" t="s">
        <v>2716</v>
      </c>
      <c r="IS828" s="770" t="s">
        <v>1879</v>
      </c>
      <c r="IT828" s="770" t="s">
        <v>1208</v>
      </c>
      <c r="IU828" s="770"/>
      <c r="IV828" s="770" t="s">
        <v>5296</v>
      </c>
      <c r="IW828" s="770" t="s">
        <v>14047</v>
      </c>
      <c r="IX828" s="770"/>
      <c r="IY828" s="770" t="s">
        <v>5292</v>
      </c>
      <c r="IZ828" s="770"/>
      <c r="JA828" s="770"/>
      <c r="JB828" s="770"/>
      <c r="JC828" s="770"/>
      <c r="JD828" s="302">
        <v>10500</v>
      </c>
      <c r="JE828" s="770"/>
      <c r="JF828" s="770"/>
      <c r="JG828" s="770"/>
      <c r="JH828" s="307"/>
      <c r="JI828" s="307"/>
      <c r="JJ828" s="94"/>
      <c r="JK828" s="1047" t="s">
        <v>14048</v>
      </c>
      <c r="JL828" s="770"/>
      <c r="JM828" s="770"/>
      <c r="JN828" s="770"/>
      <c r="JO828" s="770"/>
      <c r="JP828" s="770"/>
      <c r="JQ828" s="770"/>
      <c r="JR828" s="770"/>
      <c r="JS828" s="770"/>
      <c r="JT828" s="766"/>
      <c r="JU828" s="766"/>
      <c r="JV828" s="712" t="str">
        <f t="shared" si="264"/>
        <v>ok</v>
      </c>
      <c r="JW828" s="712" t="str">
        <f t="shared" si="265"/>
        <v>ok</v>
      </c>
      <c r="JX828" s="770"/>
      <c r="JY828" s="770"/>
      <c r="JZ828" s="770"/>
      <c r="KA828" s="770"/>
      <c r="KB828" s="770"/>
      <c r="KC828" s="770"/>
      <c r="KD828" s="770"/>
      <c r="KE828" s="770"/>
      <c r="KF828" s="770"/>
      <c r="KG828" s="770"/>
      <c r="KH828" s="770"/>
      <c r="KI828" s="770"/>
      <c r="KJ828" s="770"/>
      <c r="KK828" s="770"/>
      <c r="KL828" s="712" t="str">
        <f t="shared" si="266"/>
        <v>ok</v>
      </c>
      <c r="KM828" s="712" t="str">
        <f t="shared" si="267"/>
        <v>ok</v>
      </c>
      <c r="KN828" s="770"/>
      <c r="KO828" s="770"/>
      <c r="KP828" s="770"/>
      <c r="KQ828" s="770"/>
      <c r="KR828" s="770"/>
      <c r="KS828" s="770"/>
      <c r="KT828" s="770"/>
      <c r="KU828" s="770"/>
      <c r="KV828" s="770"/>
      <c r="KW828" s="770"/>
      <c r="KX828" s="770"/>
      <c r="KY828" s="770"/>
      <c r="KZ828" s="770"/>
      <c r="LA828" s="770"/>
      <c r="LB828" s="770"/>
      <c r="LC828" s="770"/>
      <c r="LD828" s="770"/>
      <c r="LE828" s="770"/>
      <c r="LF828" s="770"/>
      <c r="LG828" s="770"/>
      <c r="LH828" s="770"/>
      <c r="LI828" s="770"/>
      <c r="LJ828" s="770"/>
      <c r="LK828" s="770"/>
      <c r="LL828" s="770"/>
      <c r="LM828" s="770"/>
      <c r="LN828" s="766"/>
      <c r="LO828" s="766"/>
      <c r="LP828" s="770"/>
      <c r="LQ828" s="770"/>
      <c r="LR828" s="770"/>
      <c r="LS828" s="770"/>
      <c r="LT828" s="712" t="str">
        <f t="shared" si="268"/>
        <v>OK</v>
      </c>
      <c r="LU828" s="770"/>
      <c r="LV828" s="770"/>
      <c r="LW828" s="770"/>
      <c r="LX828" s="769"/>
      <c r="LY828" s="766" t="str">
        <f t="shared" si="258"/>
        <v/>
      </c>
      <c r="LZ828" s="1709"/>
      <c r="MA828" s="1709"/>
      <c r="MB828" s="1709"/>
      <c r="MC828" s="1679">
        <f t="shared" si="256"/>
        <v>0</v>
      </c>
      <c r="MD828" s="1709"/>
      <c r="ME828" s="1709"/>
      <c r="MF828" s="1709"/>
      <c r="MG828" s="1680">
        <v>0</v>
      </c>
      <c r="MH828" s="770"/>
      <c r="MI828" s="302"/>
      <c r="MJ828" s="302"/>
      <c r="MK828" s="302"/>
      <c r="ML828" s="302"/>
      <c r="MM828" s="302"/>
      <c r="MN828" s="302"/>
      <c r="MO828" s="302"/>
      <c r="MP828" s="302"/>
      <c r="MQ828" s="302"/>
      <c r="MR828" s="302"/>
      <c r="MS828" s="302"/>
      <c r="MT828" s="302"/>
      <c r="MU828" s="302"/>
      <c r="MV828" s="302"/>
      <c r="MW828" s="302"/>
      <c r="MX828" s="302"/>
      <c r="MY828" s="1682"/>
      <c r="MZ828" s="770"/>
      <c r="NA828" s="770"/>
      <c r="NB828" s="770"/>
      <c r="NC828" s="770"/>
      <c r="ND828" s="770"/>
      <c r="NE828" s="770"/>
      <c r="NF828" s="770"/>
      <c r="NG828" s="770"/>
      <c r="NH828" s="770"/>
      <c r="NI828" s="770"/>
      <c r="NJ828" s="770"/>
      <c r="NK828" s="770"/>
      <c r="NL828" s="770"/>
      <c r="NM828" s="770"/>
      <c r="NN828" s="770"/>
      <c r="NO828" s="770"/>
      <c r="NP828" s="770"/>
      <c r="NQ828" s="770"/>
      <c r="NR828" s="770"/>
      <c r="NS828" s="770"/>
      <c r="NT828" s="770"/>
      <c r="NU828" s="770"/>
      <c r="NV828" s="770"/>
      <c r="NW828" s="770"/>
      <c r="NX828" s="770"/>
      <c r="NY828" s="770"/>
      <c r="NZ828" s="770"/>
      <c r="OA828" s="770"/>
      <c r="OB828" s="770"/>
      <c r="OC828" s="770"/>
      <c r="OD828" s="770"/>
      <c r="OE828" s="770"/>
      <c r="OF828" s="770"/>
      <c r="OG828" s="770"/>
      <c r="OH828" s="770"/>
      <c r="OI828" s="770"/>
      <c r="OJ828" s="770"/>
      <c r="OK828" s="770"/>
      <c r="OL828" s="770"/>
      <c r="OM828" s="770"/>
      <c r="ON828" s="770"/>
      <c r="OO828" s="770"/>
      <c r="OP828" s="770"/>
      <c r="OQ828" s="770"/>
      <c r="OR828" s="770"/>
      <c r="OS828" s="770"/>
      <c r="OT828" s="770"/>
      <c r="OU828" s="770"/>
      <c r="OV828" s="770"/>
      <c r="OW828" s="770"/>
      <c r="OX828" s="770"/>
      <c r="OY828" s="770"/>
      <c r="OZ828" s="770"/>
      <c r="PA828" s="770"/>
      <c r="PB828" s="770"/>
      <c r="PC828" s="770"/>
      <c r="PD828" s="770"/>
      <c r="PE828" s="770"/>
      <c r="PF828" s="770"/>
      <c r="PG828" s="770"/>
      <c r="PH828" s="770"/>
      <c r="PI828" s="770"/>
      <c r="PJ828" s="770"/>
      <c r="PK828" s="770"/>
      <c r="PL828" s="770"/>
      <c r="PM828" s="770"/>
      <c r="PN828" s="770"/>
      <c r="PO828" s="770"/>
      <c r="PP828" s="770"/>
      <c r="PQ828" s="770"/>
      <c r="PR828" s="770"/>
      <c r="PS828" s="770"/>
      <c r="PT828" s="770"/>
      <c r="PU828" s="770"/>
      <c r="PV828" s="770"/>
      <c r="PW828" s="770"/>
      <c r="PX828" s="770"/>
      <c r="PY828" s="770"/>
      <c r="PZ828" s="770"/>
      <c r="QA828" s="770"/>
      <c r="QB828" s="770"/>
      <c r="QC828" s="770" t="s">
        <v>1208</v>
      </c>
      <c r="QD828" s="770"/>
      <c r="QE828" s="770"/>
      <c r="QF828" s="770"/>
      <c r="QG828" s="770"/>
      <c r="QH828" s="770"/>
      <c r="QI828" s="770"/>
      <c r="QJ828" s="770"/>
      <c r="QK828" s="770"/>
      <c r="QL828" s="770"/>
      <c r="QM828" s="770"/>
      <c r="QN828" s="770"/>
      <c r="QO828" s="770"/>
      <c r="QP828" s="770"/>
      <c r="QQ828" s="770"/>
      <c r="QR828" s="770"/>
      <c r="QS828" s="770"/>
      <c r="QT828" s="770"/>
      <c r="QU828" s="770"/>
      <c r="QV828" s="770"/>
      <c r="QW828" s="770"/>
      <c r="QX828" s="770"/>
      <c r="QY828" s="770"/>
      <c r="QZ828" s="770"/>
      <c r="RA828" s="770"/>
      <c r="RB828" s="770" t="s">
        <v>1214</v>
      </c>
      <c r="RC828" s="770"/>
      <c r="RD828" s="770"/>
      <c r="RE828" s="770"/>
      <c r="RF828" s="304"/>
      <c r="RG828" s="770"/>
      <c r="RH828" s="306"/>
      <c r="RI828" s="770"/>
      <c r="RJ828" s="94" t="s">
        <v>5295</v>
      </c>
      <c r="RK828" s="770" t="s">
        <v>13544</v>
      </c>
      <c r="RL828" s="1710" t="s">
        <v>1604</v>
      </c>
      <c r="RM828" s="12"/>
      <c r="RN828" s="1711"/>
      <c r="RO828" s="149" t="s">
        <v>3304</v>
      </c>
      <c r="RP828" s="11"/>
      <c r="RQ828" s="11"/>
      <c r="RR828" s="19" t="s">
        <v>7421</v>
      </c>
      <c r="RS828" s="1139" t="s">
        <v>12980</v>
      </c>
      <c r="RT828" s="11"/>
      <c r="RU828" s="11"/>
      <c r="RV828" s="6" t="s">
        <v>12452</v>
      </c>
      <c r="RW828" s="11" t="s">
        <v>11827</v>
      </c>
      <c r="RX828" s="11" t="s">
        <v>5276</v>
      </c>
      <c r="RY828" s="11"/>
      <c r="RZ828" s="11" t="s">
        <v>2209</v>
      </c>
      <c r="SA828" s="6"/>
      <c r="SB828" s="11"/>
      <c r="SC828" s="11"/>
    </row>
    <row r="829" spans="1:497" ht="12.75" customHeight="1">
      <c r="A829" s="311" t="s">
        <v>14258</v>
      </c>
      <c r="B829" s="288" t="s">
        <v>7498</v>
      </c>
      <c r="C829" s="149" t="s">
        <v>3304</v>
      </c>
      <c r="D829" s="94" t="s">
        <v>3305</v>
      </c>
      <c r="E829" s="766" t="s">
        <v>5297</v>
      </c>
      <c r="F829" s="770" t="s">
        <v>28</v>
      </c>
      <c r="G829" s="770" t="s">
        <v>10</v>
      </c>
      <c r="H829" s="770"/>
      <c r="I829" s="295" t="s">
        <v>3307</v>
      </c>
      <c r="J829" s="94" t="str">
        <f ca="1">IF(F829="Head",CELL("contents",D829),"NAMES")</f>
        <v>Vicente, Jayson Gallegar</v>
      </c>
      <c r="K829" s="770"/>
      <c r="L829" s="770"/>
      <c r="M829" s="770"/>
      <c r="N829" s="1757"/>
      <c r="O829" s="1757"/>
      <c r="P829" s="94" t="s">
        <v>3308</v>
      </c>
      <c r="Q829" s="1088">
        <v>29222</v>
      </c>
      <c r="R829" s="297">
        <v>37</v>
      </c>
      <c r="S829" s="770" t="s">
        <v>10</v>
      </c>
      <c r="T829" s="770"/>
      <c r="U829" s="295" t="s">
        <v>3307</v>
      </c>
      <c r="V829" s="770" t="s">
        <v>707</v>
      </c>
      <c r="W829" s="770"/>
      <c r="X829" s="770"/>
      <c r="Y829" s="770" t="s">
        <v>3306</v>
      </c>
      <c r="Z829" s="770" t="s">
        <v>708</v>
      </c>
      <c r="AA829" s="770" t="s">
        <v>709</v>
      </c>
      <c r="AB829" s="770" t="s">
        <v>710</v>
      </c>
      <c r="AC829" s="770"/>
      <c r="AD829" s="770" t="s">
        <v>711</v>
      </c>
      <c r="AE829" s="770"/>
      <c r="AF829" s="770" t="s">
        <v>712</v>
      </c>
      <c r="AG829" s="770"/>
      <c r="AH829" s="770"/>
      <c r="AI829" s="770"/>
      <c r="AJ829" s="770"/>
      <c r="AK829" s="770" t="s">
        <v>1101</v>
      </c>
      <c r="AL829" s="531"/>
      <c r="AM829" s="780"/>
      <c r="AN829" s="532"/>
      <c r="AO829" s="766"/>
      <c r="AP829" s="766"/>
      <c r="AQ829" s="766"/>
      <c r="AR829" s="766"/>
      <c r="AS829" s="770"/>
      <c r="AT829" s="770"/>
      <c r="AU829" s="770"/>
      <c r="AV829" s="770"/>
      <c r="AW829" s="770"/>
      <c r="AX829" s="770"/>
      <c r="AY829" s="770"/>
      <c r="AZ829" s="770"/>
      <c r="BA829" s="770"/>
      <c r="BB829" s="770"/>
      <c r="BC829" s="770"/>
      <c r="BD829" s="770"/>
      <c r="BE829" s="770"/>
      <c r="BF829" s="302"/>
      <c r="BG829" s="302"/>
      <c r="BH829" s="770"/>
      <c r="BI829" s="770"/>
      <c r="BJ829" s="770"/>
      <c r="BK829" s="766"/>
      <c r="BL829" s="766"/>
      <c r="BM829" s="766" t="s">
        <v>1238</v>
      </c>
      <c r="BN829" s="766" t="s">
        <v>1299</v>
      </c>
      <c r="BO829" s="770"/>
      <c r="BP829" s="765"/>
      <c r="BQ829" s="773"/>
      <c r="BR829" s="774"/>
      <c r="BS829" s="766" t="s">
        <v>1242</v>
      </c>
      <c r="BT829" s="770"/>
      <c r="BU829" s="770"/>
      <c r="BV829" s="770"/>
      <c r="BW829" s="770"/>
      <c r="BX829" s="302"/>
      <c r="BY829" s="770"/>
      <c r="BZ829" s="302"/>
      <c r="CA829" s="770"/>
      <c r="CB829" s="770"/>
      <c r="CC829" s="770"/>
      <c r="CD829" s="770"/>
      <c r="CE829" s="302"/>
      <c r="CF829" s="304"/>
      <c r="CG829" s="321"/>
      <c r="CH829" s="770"/>
      <c r="CI829" s="770"/>
      <c r="CJ829" s="770"/>
      <c r="CK829" s="770"/>
      <c r="CL829" s="770"/>
      <c r="CM829" s="770"/>
      <c r="CN829" s="770"/>
      <c r="CO829" s="770"/>
      <c r="CP829" s="770"/>
      <c r="CQ829" s="770"/>
      <c r="CR829" s="302"/>
      <c r="CS829" s="770"/>
      <c r="CT829" s="770"/>
      <c r="CU829" s="305"/>
      <c r="CV829" s="770"/>
      <c r="CW829" s="770"/>
      <c r="CX829" s="770"/>
      <c r="CY829" s="770"/>
      <c r="CZ829" s="770"/>
      <c r="DA829" s="306"/>
      <c r="DB829" s="770"/>
      <c r="DC829" s="770"/>
      <c r="DD829" s="770"/>
      <c r="DE829" s="300"/>
      <c r="DF829" s="770"/>
      <c r="DG829" s="770"/>
      <c r="DH829" s="770"/>
      <c r="DI829" s="770"/>
      <c r="DJ829" s="770"/>
      <c r="DK829" s="770"/>
      <c r="DL829" s="770"/>
      <c r="DM829" s="770"/>
      <c r="DN829" s="322"/>
      <c r="DO829" s="770"/>
      <c r="DP829" s="770"/>
      <c r="DQ829" s="770"/>
      <c r="DR829" s="770"/>
      <c r="DS829" s="307"/>
      <c r="DT829" s="770"/>
      <c r="DU829" s="770"/>
      <c r="DV829" s="770"/>
      <c r="DW829" s="306"/>
      <c r="DX829" s="306"/>
      <c r="DY829" s="1055"/>
      <c r="DZ829" s="770"/>
      <c r="EA829" s="770"/>
      <c r="EB829" s="770"/>
      <c r="EC829" s="770"/>
      <c r="ED829" s="770"/>
      <c r="EE829" s="770"/>
      <c r="EF829" s="770"/>
      <c r="EG829" s="770"/>
      <c r="EH829" s="770"/>
      <c r="EI829" s="770"/>
      <c r="EJ829" s="770"/>
      <c r="EK829" s="770"/>
      <c r="EL829" s="770"/>
      <c r="EM829" s="770"/>
      <c r="EN829" s="770"/>
      <c r="EO829" s="770"/>
      <c r="EP829" s="94"/>
      <c r="EQ829" s="770"/>
      <c r="ER829" s="770"/>
      <c r="ES829" s="770"/>
      <c r="ET829" s="770"/>
      <c r="EU829" s="770"/>
      <c r="EV829" s="770"/>
      <c r="EW829" s="770"/>
      <c r="EX829" s="770"/>
      <c r="EY829" s="770"/>
      <c r="EZ829" s="770"/>
      <c r="FA829" s="770"/>
      <c r="FB829" s="770"/>
      <c r="FC829" s="770"/>
      <c r="FD829" s="302"/>
      <c r="FE829" s="770"/>
      <c r="FF829" s="770"/>
      <c r="FG829" s="770"/>
      <c r="FH829" s="770" t="s">
        <v>478</v>
      </c>
      <c r="FI829" s="770">
        <v>1</v>
      </c>
      <c r="FJ829" s="770" t="s">
        <v>3299</v>
      </c>
      <c r="FK829" s="770"/>
      <c r="FL829" s="770"/>
      <c r="FM829" s="302"/>
      <c r="FN829" s="302"/>
      <c r="FO829" s="302"/>
      <c r="FP829" s="770" t="s">
        <v>1600</v>
      </c>
      <c r="FQ829" s="770" t="s">
        <v>1642</v>
      </c>
      <c r="FR829" s="770"/>
      <c r="FS829" s="770"/>
      <c r="FT829" s="770"/>
      <c r="FU829" s="770"/>
      <c r="FV829" s="770"/>
      <c r="FW829" s="770"/>
      <c r="FX829" s="770"/>
      <c r="FY829" s="770"/>
      <c r="FZ829" s="770"/>
      <c r="GA829" s="770"/>
      <c r="GB829" s="770"/>
      <c r="GC829" s="308"/>
      <c r="GD829" s="297"/>
      <c r="GE829" s="770"/>
      <c r="GF829" s="302"/>
      <c r="GG829" s="302"/>
      <c r="GH829" s="766" t="s">
        <v>14260</v>
      </c>
      <c r="GI829" s="770"/>
      <c r="GJ829" s="770" t="s">
        <v>3309</v>
      </c>
      <c r="GK829" s="770"/>
      <c r="GL829" s="770"/>
      <c r="GM829" s="770"/>
      <c r="GN829" s="299"/>
      <c r="GO829" s="770"/>
      <c r="GP829" s="770"/>
      <c r="GQ829" s="770"/>
      <c r="GR829" s="770"/>
      <c r="GS829" s="770"/>
      <c r="GT829" s="770"/>
      <c r="GU829" s="770"/>
      <c r="GV829" s="770"/>
      <c r="GW829" s="770"/>
      <c r="GX829" s="770"/>
      <c r="GY829" s="770"/>
      <c r="GZ829" s="770"/>
      <c r="HA829" s="770"/>
      <c r="HB829" s="770"/>
      <c r="HC829" s="770"/>
      <c r="HD829" s="770"/>
      <c r="HE829" s="770"/>
      <c r="HF829" s="770"/>
      <c r="HG829" s="770"/>
      <c r="HH829" s="770"/>
      <c r="HI829" s="770" t="s">
        <v>1214</v>
      </c>
      <c r="HJ829" s="770"/>
      <c r="HK829" s="770"/>
      <c r="HL829" s="770" t="s">
        <v>1214</v>
      </c>
      <c r="HM829" s="770"/>
      <c r="HN829" s="770"/>
      <c r="HO829" s="770"/>
      <c r="HP829" s="770"/>
      <c r="HQ829" s="770"/>
      <c r="HR829" s="770"/>
      <c r="HS829" s="770"/>
      <c r="HT829" s="770"/>
      <c r="HU829" s="770"/>
      <c r="HV829" s="770"/>
      <c r="HW829" s="770"/>
      <c r="HX829" s="770"/>
      <c r="HY829" s="770"/>
      <c r="HZ829" s="770"/>
      <c r="IA829" s="770"/>
      <c r="IB829" s="14" t="e">
        <f>IF(#REF!&gt;0,IF(#REF!&lt;=10000,"Y",""),"")</f>
        <v>#REF!</v>
      </c>
      <c r="IC829" s="770"/>
      <c r="ID829" s="770"/>
      <c r="IE829" s="770"/>
      <c r="IF829" s="770"/>
      <c r="IG829" s="770"/>
      <c r="IH829" s="770"/>
      <c r="II829" s="770"/>
      <c r="IJ829" s="770"/>
      <c r="IK829" s="770"/>
      <c r="IL829" s="770"/>
      <c r="IM829" s="770"/>
      <c r="IN829" s="770"/>
      <c r="IO829" s="296"/>
      <c r="IP829" s="770"/>
      <c r="IQ829" s="770"/>
      <c r="IR829" s="770"/>
      <c r="IS829" s="770"/>
      <c r="IT829" s="770"/>
      <c r="IU829" s="770"/>
      <c r="IV829" s="770"/>
      <c r="IW829" s="770"/>
      <c r="IX829" s="770"/>
      <c r="IY829" s="770"/>
      <c r="IZ829" s="770"/>
      <c r="JA829" s="770"/>
      <c r="JB829" s="770"/>
      <c r="JC829" s="770"/>
      <c r="JD829" s="302"/>
      <c r="JE829" s="770"/>
      <c r="JF829" s="770"/>
      <c r="JG829" s="770"/>
      <c r="JH829" s="307"/>
      <c r="JI829" s="307"/>
      <c r="JJ829" s="770">
        <v>4</v>
      </c>
      <c r="JK829" s="1139" t="s">
        <v>3301</v>
      </c>
      <c r="JL829" s="770">
        <v>1</v>
      </c>
      <c r="JM829" s="770"/>
      <c r="JN829" s="770">
        <v>1</v>
      </c>
      <c r="JO829" s="770">
        <v>2</v>
      </c>
      <c r="JP829" s="770"/>
      <c r="JQ829" s="770"/>
      <c r="JR829" s="770"/>
      <c r="JS829" s="770"/>
      <c r="JT829" s="766">
        <f>SUM(JP829,JN829,JL829,JR829)</f>
        <v>2</v>
      </c>
      <c r="JU829" s="766">
        <f>SUM(JQ829,JO829,JM829,JS829)</f>
        <v>2</v>
      </c>
      <c r="JV829" s="712" t="str">
        <f t="shared" si="264"/>
        <v>ok</v>
      </c>
      <c r="JW829" s="712" t="str">
        <f t="shared" si="265"/>
        <v>ok</v>
      </c>
      <c r="JX829" s="770">
        <v>1</v>
      </c>
      <c r="JY829" s="770"/>
      <c r="JZ829" s="770"/>
      <c r="KA829" s="770"/>
      <c r="KB829" s="770"/>
      <c r="KC829" s="770"/>
      <c r="KD829" s="770">
        <v>1</v>
      </c>
      <c r="KE829" s="770">
        <v>2</v>
      </c>
      <c r="KF829" s="770"/>
      <c r="KG829" s="770"/>
      <c r="KH829" s="770"/>
      <c r="KI829" s="770"/>
      <c r="KJ829" s="770">
        <f t="shared" si="249"/>
        <v>2</v>
      </c>
      <c r="KK829" s="770">
        <f t="shared" si="249"/>
        <v>2</v>
      </c>
      <c r="KL829" s="712" t="str">
        <f t="shared" si="266"/>
        <v>ok</v>
      </c>
      <c r="KM829" s="712" t="str">
        <f t="shared" si="267"/>
        <v>ok</v>
      </c>
      <c r="KN829" s="770" t="s">
        <v>707</v>
      </c>
      <c r="KO829" s="770"/>
      <c r="KP829" s="770"/>
      <c r="KQ829" s="770"/>
      <c r="KR829" s="770"/>
      <c r="KS829" s="770"/>
      <c r="KT829" s="770"/>
      <c r="KU829" s="770"/>
      <c r="KV829" s="770"/>
      <c r="KW829" s="770"/>
      <c r="KX829" s="770"/>
      <c r="KY829" s="770"/>
      <c r="KZ829" s="770"/>
      <c r="LA829" s="770">
        <v>1</v>
      </c>
      <c r="LB829" s="770"/>
      <c r="LC829" s="770">
        <v>1</v>
      </c>
      <c r="LD829" s="770">
        <v>1</v>
      </c>
      <c r="LE829" s="770"/>
      <c r="LF829" s="770"/>
      <c r="LG829" s="770"/>
      <c r="LH829" s="770"/>
      <c r="LI829" s="770"/>
      <c r="LJ829" s="770">
        <v>1</v>
      </c>
      <c r="LK829" s="770"/>
      <c r="LL829" s="770"/>
      <c r="LM829" s="770"/>
      <c r="LN829" s="766">
        <f>SUM(KP829,KR829,KT829,KV829,KX829,KZ829,LB829,LD829,LF829,LH829,LJ829,LL829)</f>
        <v>2</v>
      </c>
      <c r="LO829" s="766">
        <f>SUM(KQ829,KS829,KU829,KW829,KY829,LA829,LC829,LE829,LG829,LI829,LK829,LM829)</f>
        <v>2</v>
      </c>
      <c r="LP829" s="770">
        <v>2</v>
      </c>
      <c r="LQ829" s="770">
        <v>2</v>
      </c>
      <c r="LR829" s="770"/>
      <c r="LS829" s="770"/>
      <c r="LT829" s="712" t="str">
        <f t="shared" si="268"/>
        <v>OK</v>
      </c>
      <c r="LU829" s="770">
        <v>1</v>
      </c>
      <c r="LV829" s="770">
        <v>1</v>
      </c>
      <c r="LW829" s="770"/>
      <c r="LX829" s="769">
        <v>2</v>
      </c>
      <c r="LY829" s="766" t="str">
        <f t="shared" si="258"/>
        <v>within the MUNICIPALITY</v>
      </c>
      <c r="LZ829" s="1709"/>
      <c r="MA829" s="1709"/>
      <c r="MB829" s="1709"/>
      <c r="MC829" s="1679">
        <f t="shared" si="256"/>
        <v>0</v>
      </c>
      <c r="MD829" s="1709">
        <f>18865+8000</f>
        <v>26865</v>
      </c>
      <c r="ME829" s="1709"/>
      <c r="MF829" s="1709"/>
      <c r="MG829" s="1680">
        <f>SUM(MD829:MF829)</f>
        <v>26865</v>
      </c>
      <c r="MH829" s="770" t="s">
        <v>3302</v>
      </c>
      <c r="MI829" s="302">
        <v>15000</v>
      </c>
      <c r="MJ829" s="302"/>
      <c r="MK829" s="302">
        <f>5000/12</f>
        <v>416.66666666666669</v>
      </c>
      <c r="ML829" s="302">
        <v>5000</v>
      </c>
      <c r="MM829" s="302"/>
      <c r="MN829" s="302"/>
      <c r="MO829" s="302">
        <v>1200</v>
      </c>
      <c r="MP829" s="302">
        <v>1000</v>
      </c>
      <c r="MQ829" s="302"/>
      <c r="MR829" s="302">
        <v>500</v>
      </c>
      <c r="MS829" s="302">
        <f>5000/12</f>
        <v>416.66666666666669</v>
      </c>
      <c r="MT829" s="302"/>
      <c r="MU829" s="302"/>
      <c r="MV829" s="302"/>
      <c r="MW829" s="302"/>
      <c r="MX829" s="302"/>
      <c r="MY829" s="1682">
        <f t="shared" si="243"/>
        <v>23533.333333333332</v>
      </c>
      <c r="MZ829" s="770" t="s">
        <v>13370</v>
      </c>
      <c r="NA829" s="770" t="s">
        <v>13585</v>
      </c>
      <c r="NB829" s="770" t="s">
        <v>13016</v>
      </c>
      <c r="NC829" s="770" t="s">
        <v>13602</v>
      </c>
      <c r="ND829" s="770">
        <v>0</v>
      </c>
      <c r="NE829" s="770">
        <v>1</v>
      </c>
      <c r="NF829" s="770">
        <v>0</v>
      </c>
      <c r="NG829" s="770">
        <v>2</v>
      </c>
      <c r="NH829" s="770">
        <v>1</v>
      </c>
      <c r="NI829" s="770">
        <v>0</v>
      </c>
      <c r="NJ829" s="770">
        <v>0</v>
      </c>
      <c r="NK829" s="770">
        <v>0</v>
      </c>
      <c r="NL829" s="770">
        <v>1</v>
      </c>
      <c r="NM829" s="770">
        <v>1</v>
      </c>
      <c r="NN829" s="770">
        <v>0</v>
      </c>
      <c r="NO829" s="770">
        <v>0</v>
      </c>
      <c r="NP829" s="770">
        <v>0</v>
      </c>
      <c r="NQ829" s="770">
        <v>0</v>
      </c>
      <c r="NR829" s="770">
        <v>0</v>
      </c>
      <c r="NS829" s="770">
        <v>0</v>
      </c>
      <c r="NT829" s="770">
        <v>0</v>
      </c>
      <c r="NU829" s="770">
        <v>0</v>
      </c>
      <c r="NV829" s="770">
        <v>0</v>
      </c>
      <c r="NW829" s="770">
        <v>0</v>
      </c>
      <c r="NX829" s="770">
        <v>0</v>
      </c>
      <c r="NY829" s="770" t="s">
        <v>1208</v>
      </c>
      <c r="NZ829" s="770"/>
      <c r="OA829" s="770" t="s">
        <v>1208</v>
      </c>
      <c r="OB829" s="770"/>
      <c r="OC829" s="770" t="s">
        <v>1208</v>
      </c>
      <c r="OD829" s="770" t="s">
        <v>1208</v>
      </c>
      <c r="OE829" s="770"/>
      <c r="OF829" s="770"/>
      <c r="OG829" s="770"/>
      <c r="OH829" s="770"/>
      <c r="OI829" s="770"/>
      <c r="OJ829" s="770"/>
      <c r="OK829" s="770"/>
      <c r="OL829" s="770"/>
      <c r="OM829" s="770"/>
      <c r="ON829" s="770"/>
      <c r="OO829" s="770"/>
      <c r="OP829" s="770"/>
      <c r="OQ829" s="770"/>
      <c r="OR829" s="770"/>
      <c r="OS829" s="770"/>
      <c r="OT829" s="770"/>
      <c r="OU829" s="770"/>
      <c r="OV829" s="770"/>
      <c r="OW829" s="770"/>
      <c r="OX829" s="770"/>
      <c r="OY829" s="770"/>
      <c r="OZ829" s="770"/>
      <c r="PA829" s="770"/>
      <c r="PB829" s="770"/>
      <c r="PC829" s="770"/>
      <c r="PD829" s="770"/>
      <c r="PE829" s="770"/>
      <c r="PF829" s="770"/>
      <c r="PG829" s="770"/>
      <c r="PH829" s="770"/>
      <c r="PI829" s="770"/>
      <c r="PJ829" s="770"/>
      <c r="PK829" s="770"/>
      <c r="PL829" s="770"/>
      <c r="PM829" s="770"/>
      <c r="PN829" s="770"/>
      <c r="PO829" s="770"/>
      <c r="PP829" s="770"/>
      <c r="PQ829" s="770"/>
      <c r="PR829" s="770"/>
      <c r="PS829" s="770"/>
      <c r="PT829" s="770"/>
      <c r="PU829" s="770"/>
      <c r="PV829" s="770"/>
      <c r="PW829" s="770"/>
      <c r="PX829" s="770"/>
      <c r="PY829" s="770"/>
      <c r="PZ829" s="770"/>
      <c r="QA829" s="770"/>
      <c r="QB829" s="770"/>
      <c r="QC829" s="770"/>
      <c r="QD829" s="770"/>
      <c r="QE829" s="770"/>
      <c r="QF829" s="770"/>
      <c r="QG829" s="770"/>
      <c r="QH829" s="770"/>
      <c r="QI829" s="770"/>
      <c r="QJ829" s="770"/>
      <c r="QK829" s="770"/>
      <c r="QL829" s="770"/>
      <c r="QM829" s="770"/>
      <c r="QN829" s="770"/>
      <c r="QO829" s="770"/>
      <c r="QP829" s="770"/>
      <c r="QQ829" s="770" t="s">
        <v>1208</v>
      </c>
      <c r="QR829" s="770"/>
      <c r="QS829" s="770"/>
      <c r="QT829" s="770"/>
      <c r="QU829" s="770"/>
      <c r="QV829" s="770"/>
      <c r="QW829" s="770"/>
      <c r="QX829" s="770"/>
      <c r="QY829" s="770"/>
      <c r="QZ829" s="770"/>
      <c r="RA829" s="770"/>
      <c r="RB829" s="770" t="s">
        <v>1214</v>
      </c>
      <c r="RC829" s="770"/>
      <c r="RD829" s="770"/>
      <c r="RE829" s="770"/>
      <c r="RF829" s="304"/>
      <c r="RG829" s="770"/>
      <c r="RH829" s="306"/>
      <c r="RI829" s="770"/>
      <c r="RJ829" s="94" t="s">
        <v>14049</v>
      </c>
      <c r="RK829" s="770" t="s">
        <v>13550</v>
      </c>
      <c r="RL829" s="1710">
        <v>42852</v>
      </c>
      <c r="RM829" s="12"/>
      <c r="RN829" s="1711"/>
      <c r="RO829" s="149" t="s">
        <v>3304</v>
      </c>
      <c r="RP829" s="11"/>
      <c r="RQ829" s="11"/>
      <c r="RR829" s="311" t="s">
        <v>12355</v>
      </c>
      <c r="RS829" s="1139" t="s">
        <v>12980</v>
      </c>
      <c r="RT829" s="11"/>
      <c r="RU829" s="11"/>
      <c r="RV829" s="771" t="s">
        <v>12452</v>
      </c>
      <c r="RW829" s="11" t="s">
        <v>11828</v>
      </c>
      <c r="RX829" s="11" t="s">
        <v>5276</v>
      </c>
      <c r="RY829" s="11"/>
      <c r="RZ829" s="11"/>
      <c r="SA829" s="771"/>
      <c r="SB829" s="11"/>
      <c r="SC829" s="11"/>
    </row>
    <row r="830" spans="1:497" ht="12.75" customHeight="1">
      <c r="A830" s="311" t="s">
        <v>14259</v>
      </c>
      <c r="B830" s="292" t="s">
        <v>7499</v>
      </c>
      <c r="C830" s="149" t="s">
        <v>3304</v>
      </c>
      <c r="D830" s="94" t="s">
        <v>3310</v>
      </c>
      <c r="E830" s="766" t="s">
        <v>5297</v>
      </c>
      <c r="F830" s="770"/>
      <c r="G830" s="770"/>
      <c r="H830" s="770"/>
      <c r="I830" s="295"/>
      <c r="J830" s="94" t="str">
        <f ca="1">IF(F830="Head",CELL("contents",D830),"")</f>
        <v/>
      </c>
      <c r="K830" s="770"/>
      <c r="L830" s="770"/>
      <c r="M830" s="770"/>
      <c r="N830" s="1757"/>
      <c r="O830" s="1757"/>
      <c r="P830" s="843" t="s">
        <v>12536</v>
      </c>
      <c r="Q830" s="1088"/>
      <c r="R830" s="297"/>
      <c r="S830" s="770" t="s">
        <v>10</v>
      </c>
      <c r="T830" s="770"/>
      <c r="U830" s="298"/>
      <c r="V830" s="770"/>
      <c r="W830" s="770"/>
      <c r="X830" s="770"/>
      <c r="Y830" s="770"/>
      <c r="Z830" s="770"/>
      <c r="AA830" s="770"/>
      <c r="AB830" s="770"/>
      <c r="AC830" s="770"/>
      <c r="AD830" s="770"/>
      <c r="AE830" s="770"/>
      <c r="AF830" s="770"/>
      <c r="AG830" s="770"/>
      <c r="AH830" s="770"/>
      <c r="AI830" s="770"/>
      <c r="AJ830" s="770"/>
      <c r="AK830" s="770" t="s">
        <v>1101</v>
      </c>
      <c r="AL830" s="531"/>
      <c r="AM830" s="780"/>
      <c r="AN830" s="532"/>
      <c r="AO830" s="766"/>
      <c r="AP830" s="766"/>
      <c r="AQ830" s="766"/>
      <c r="AR830" s="766"/>
      <c r="AS830" s="770"/>
      <c r="AT830" s="770"/>
      <c r="AU830" s="770"/>
      <c r="AV830" s="770"/>
      <c r="AW830" s="770"/>
      <c r="AX830" s="770"/>
      <c r="AY830" s="770"/>
      <c r="AZ830" s="770"/>
      <c r="BA830" s="770"/>
      <c r="BB830" s="770"/>
      <c r="BC830" s="770"/>
      <c r="BD830" s="770"/>
      <c r="BE830" s="770"/>
      <c r="BF830" s="302"/>
      <c r="BG830" s="302"/>
      <c r="BH830" s="770"/>
      <c r="BI830" s="770"/>
      <c r="BJ830" s="770"/>
      <c r="BK830" s="766"/>
      <c r="BL830" s="766"/>
      <c r="BM830" s="766" t="s">
        <v>1238</v>
      </c>
      <c r="BN830" s="766" t="s">
        <v>1256</v>
      </c>
      <c r="BO830" s="770"/>
      <c r="BP830" s="765"/>
      <c r="BQ830" s="773"/>
      <c r="BR830" s="774"/>
      <c r="BS830" s="766" t="s">
        <v>1242</v>
      </c>
      <c r="BT830" s="770"/>
      <c r="BU830" s="770"/>
      <c r="BV830" s="770"/>
      <c r="BW830" s="770"/>
      <c r="BX830" s="302"/>
      <c r="BY830" s="770"/>
      <c r="BZ830" s="302"/>
      <c r="CA830" s="770"/>
      <c r="CB830" s="770"/>
      <c r="CC830" s="770"/>
      <c r="CD830" s="770"/>
      <c r="CE830" s="302"/>
      <c r="CF830" s="304"/>
      <c r="CG830" s="321"/>
      <c r="CH830" s="770"/>
      <c r="CI830" s="770"/>
      <c r="CJ830" s="770"/>
      <c r="CK830" s="770"/>
      <c r="CL830" s="770"/>
      <c r="CM830" s="770"/>
      <c r="CN830" s="770"/>
      <c r="CO830" s="770"/>
      <c r="CP830" s="770"/>
      <c r="CQ830" s="770"/>
      <c r="CR830" s="302"/>
      <c r="CS830" s="770"/>
      <c r="CT830" s="770"/>
      <c r="CU830" s="305"/>
      <c r="CV830" s="770"/>
      <c r="CW830" s="770"/>
      <c r="CX830" s="770"/>
      <c r="CY830" s="770"/>
      <c r="CZ830" s="770"/>
      <c r="DA830" s="306"/>
      <c r="DB830" s="770"/>
      <c r="DC830" s="770"/>
      <c r="DD830" s="770"/>
      <c r="DE830" s="300"/>
      <c r="DF830" s="770"/>
      <c r="DG830" s="770"/>
      <c r="DH830" s="770"/>
      <c r="DI830" s="770"/>
      <c r="DJ830" s="770"/>
      <c r="DK830" s="770"/>
      <c r="DL830" s="770"/>
      <c r="DM830" s="770"/>
      <c r="DN830" s="322"/>
      <c r="DO830" s="770"/>
      <c r="DP830" s="770"/>
      <c r="DQ830" s="770"/>
      <c r="DR830" s="770"/>
      <c r="DS830" s="307"/>
      <c r="DT830" s="770"/>
      <c r="DU830" s="770"/>
      <c r="DV830" s="770"/>
      <c r="DW830" s="306"/>
      <c r="DX830" s="306"/>
      <c r="DY830" s="1055"/>
      <c r="DZ830" s="770"/>
      <c r="EA830" s="770"/>
      <c r="EB830" s="770"/>
      <c r="EC830" s="770"/>
      <c r="ED830" s="770"/>
      <c r="EE830" s="770"/>
      <c r="EF830" s="770"/>
      <c r="EG830" s="770"/>
      <c r="EH830" s="770"/>
      <c r="EI830" s="770"/>
      <c r="EJ830" s="770"/>
      <c r="EK830" s="770"/>
      <c r="EL830" s="770"/>
      <c r="EM830" s="770"/>
      <c r="EN830" s="770"/>
      <c r="EO830" s="770"/>
      <c r="EP830" s="94"/>
      <c r="EQ830" s="770"/>
      <c r="ER830" s="770"/>
      <c r="ES830" s="770"/>
      <c r="ET830" s="770"/>
      <c r="EU830" s="770"/>
      <c r="EV830" s="770"/>
      <c r="EW830" s="770"/>
      <c r="EX830" s="770"/>
      <c r="EY830" s="770"/>
      <c r="EZ830" s="770"/>
      <c r="FA830" s="770"/>
      <c r="FB830" s="770"/>
      <c r="FC830" s="770"/>
      <c r="FD830" s="302"/>
      <c r="FE830" s="770"/>
      <c r="FF830" s="770"/>
      <c r="FG830" s="770"/>
      <c r="FH830" s="770" t="s">
        <v>1306</v>
      </c>
      <c r="FI830" s="770">
        <v>1</v>
      </c>
      <c r="FJ830" s="770" t="s">
        <v>3299</v>
      </c>
      <c r="FK830" s="770"/>
      <c r="FL830" s="770"/>
      <c r="FM830" s="1782"/>
      <c r="FN830" s="1782"/>
      <c r="FO830" s="1782"/>
      <c r="FP830" s="770" t="s">
        <v>1600</v>
      </c>
      <c r="FQ830" s="770" t="s">
        <v>1642</v>
      </c>
      <c r="FR830" s="770"/>
      <c r="FS830" s="770"/>
      <c r="FT830" s="770"/>
      <c r="FU830" s="770"/>
      <c r="FV830" s="770"/>
      <c r="FW830" s="770"/>
      <c r="FX830" s="770"/>
      <c r="FY830" s="770"/>
      <c r="FZ830" s="770"/>
      <c r="GA830" s="770"/>
      <c r="GB830" s="770"/>
      <c r="GC830" s="308"/>
      <c r="GD830" s="297"/>
      <c r="GE830" s="770"/>
      <c r="GF830" s="302"/>
      <c r="GG830" s="302"/>
      <c r="GH830" s="770"/>
      <c r="GI830" s="770"/>
      <c r="GJ830" s="770"/>
      <c r="GK830" s="770"/>
      <c r="GL830" s="770"/>
      <c r="GM830" s="770"/>
      <c r="GN830" s="299"/>
      <c r="GO830" s="770"/>
      <c r="GP830" s="770"/>
      <c r="GQ830" s="770"/>
      <c r="GR830" s="770"/>
      <c r="GS830" s="770"/>
      <c r="GT830" s="770"/>
      <c r="GU830" s="770"/>
      <c r="GV830" s="770"/>
      <c r="GW830" s="770"/>
      <c r="GX830" s="770"/>
      <c r="GY830" s="770"/>
      <c r="GZ830" s="770"/>
      <c r="HA830" s="770"/>
      <c r="HB830" s="770"/>
      <c r="HC830" s="770"/>
      <c r="HD830" s="770"/>
      <c r="HE830" s="770"/>
      <c r="HF830" s="770"/>
      <c r="HG830" s="770"/>
      <c r="HH830" s="770"/>
      <c r="HI830" s="770"/>
      <c r="HJ830" s="770"/>
      <c r="HK830" s="770"/>
      <c r="HL830" s="770"/>
      <c r="HM830" s="770"/>
      <c r="HN830" s="770"/>
      <c r="HO830" s="770"/>
      <c r="HP830" s="770"/>
      <c r="HQ830" s="770"/>
      <c r="HR830" s="770"/>
      <c r="HS830" s="770"/>
      <c r="HT830" s="770"/>
      <c r="HU830" s="770"/>
      <c r="HV830" s="770"/>
      <c r="HW830" s="770"/>
      <c r="HX830" s="770"/>
      <c r="HY830" s="770"/>
      <c r="HZ830" s="770"/>
      <c r="IA830" s="770"/>
      <c r="IB830" s="14" t="e">
        <f>IF(#REF!&gt;0,IF(#REF!&lt;=10000,"Y",""),"")</f>
        <v>#REF!</v>
      </c>
      <c r="IC830" s="770"/>
      <c r="ID830" s="770"/>
      <c r="IE830" s="770"/>
      <c r="IF830" s="770"/>
      <c r="IG830" s="770"/>
      <c r="IH830" s="770"/>
      <c r="II830" s="770"/>
      <c r="IJ830" s="770"/>
      <c r="IK830" s="770"/>
      <c r="IL830" s="770"/>
      <c r="IM830" s="770"/>
      <c r="IN830" s="770"/>
      <c r="IO830" s="296"/>
      <c r="IP830" s="770"/>
      <c r="IQ830" s="770"/>
      <c r="IR830" s="770"/>
      <c r="IS830" s="770"/>
      <c r="IT830" s="770"/>
      <c r="IU830" s="770"/>
      <c r="IV830" s="770"/>
      <c r="IW830" s="770"/>
      <c r="IX830" s="770"/>
      <c r="IY830" s="770"/>
      <c r="IZ830" s="770"/>
      <c r="JA830" s="770"/>
      <c r="JB830" s="770"/>
      <c r="JC830" s="770"/>
      <c r="JD830" s="302"/>
      <c r="JE830" s="770"/>
      <c r="JF830" s="770"/>
      <c r="JG830" s="770"/>
      <c r="JH830" s="307"/>
      <c r="JI830" s="307"/>
      <c r="JJ830" s="94"/>
      <c r="JK830" s="1047" t="s">
        <v>12536</v>
      </c>
      <c r="JL830" s="770"/>
      <c r="JM830" s="770"/>
      <c r="JN830" s="770"/>
      <c r="JO830" s="770"/>
      <c r="JP830" s="770"/>
      <c r="JQ830" s="770"/>
      <c r="JR830" s="770"/>
      <c r="JS830" s="770"/>
      <c r="JT830" s="766"/>
      <c r="JU830" s="766"/>
      <c r="JV830" s="712" t="str">
        <f t="shared" si="264"/>
        <v>ok</v>
      </c>
      <c r="JW830" s="712" t="str">
        <f t="shared" si="265"/>
        <v>ok</v>
      </c>
      <c r="JX830" s="770"/>
      <c r="JY830" s="770"/>
      <c r="JZ830" s="770"/>
      <c r="KA830" s="770"/>
      <c r="KB830" s="770"/>
      <c r="KC830" s="770"/>
      <c r="KD830" s="770"/>
      <c r="KE830" s="770"/>
      <c r="KF830" s="770"/>
      <c r="KG830" s="770"/>
      <c r="KH830" s="770"/>
      <c r="KI830" s="770"/>
      <c r="KJ830" s="770"/>
      <c r="KK830" s="770"/>
      <c r="KL830" s="712" t="str">
        <f t="shared" si="266"/>
        <v>ok</v>
      </c>
      <c r="KM830" s="712" t="str">
        <f t="shared" si="267"/>
        <v>ok</v>
      </c>
      <c r="KN830" s="770"/>
      <c r="KO830" s="770"/>
      <c r="KP830" s="770"/>
      <c r="KQ830" s="770"/>
      <c r="KR830" s="770"/>
      <c r="KS830" s="770"/>
      <c r="KT830" s="770"/>
      <c r="KU830" s="770"/>
      <c r="KV830" s="770"/>
      <c r="KW830" s="770"/>
      <c r="KX830" s="770"/>
      <c r="KY830" s="770"/>
      <c r="KZ830" s="770"/>
      <c r="LA830" s="770"/>
      <c r="LB830" s="770"/>
      <c r="LC830" s="770"/>
      <c r="LD830" s="770"/>
      <c r="LE830" s="770"/>
      <c r="LF830" s="770"/>
      <c r="LG830" s="770"/>
      <c r="LH830" s="770"/>
      <c r="LI830" s="770"/>
      <c r="LJ830" s="770"/>
      <c r="LK830" s="770"/>
      <c r="LL830" s="770"/>
      <c r="LM830" s="770"/>
      <c r="LN830" s="766"/>
      <c r="LO830" s="766"/>
      <c r="LP830" s="770"/>
      <c r="LQ830" s="770"/>
      <c r="LR830" s="770"/>
      <c r="LS830" s="770"/>
      <c r="LT830" s="712" t="str">
        <f t="shared" si="268"/>
        <v>OK</v>
      </c>
      <c r="LU830" s="770"/>
      <c r="LV830" s="770"/>
      <c r="LW830" s="770"/>
      <c r="LX830" s="769"/>
      <c r="LY830" s="766" t="str">
        <f t="shared" si="258"/>
        <v/>
      </c>
      <c r="LZ830" s="1709"/>
      <c r="MA830" s="1709"/>
      <c r="MB830" s="1709"/>
      <c r="MC830" s="1679">
        <f t="shared" si="256"/>
        <v>0</v>
      </c>
      <c r="MD830" s="1709"/>
      <c r="ME830" s="1709"/>
      <c r="MF830" s="1709"/>
      <c r="MG830" s="1680">
        <v>0</v>
      </c>
      <c r="MH830" s="770"/>
      <c r="MI830" s="302"/>
      <c r="MJ830" s="302"/>
      <c r="MK830" s="302"/>
      <c r="ML830" s="302"/>
      <c r="MM830" s="302"/>
      <c r="MN830" s="302"/>
      <c r="MO830" s="302"/>
      <c r="MP830" s="302"/>
      <c r="MQ830" s="302"/>
      <c r="MR830" s="302"/>
      <c r="MS830" s="302"/>
      <c r="MT830" s="302"/>
      <c r="MU830" s="302"/>
      <c r="MV830" s="302"/>
      <c r="MW830" s="302"/>
      <c r="MX830" s="302"/>
      <c r="MY830" s="1682"/>
      <c r="MZ830" s="770"/>
      <c r="NA830" s="770"/>
      <c r="NB830" s="770"/>
      <c r="NC830" s="770"/>
      <c r="ND830" s="770"/>
      <c r="NE830" s="770"/>
      <c r="NF830" s="770"/>
      <c r="NG830" s="770"/>
      <c r="NH830" s="770"/>
      <c r="NI830" s="770"/>
      <c r="NJ830" s="770"/>
      <c r="NK830" s="770"/>
      <c r="NL830" s="770"/>
      <c r="NM830" s="770"/>
      <c r="NN830" s="770"/>
      <c r="NO830" s="770"/>
      <c r="NP830" s="770"/>
      <c r="NQ830" s="770"/>
      <c r="NR830" s="770"/>
      <c r="NS830" s="770"/>
      <c r="NT830" s="770"/>
      <c r="NU830" s="770"/>
      <c r="NV830" s="770"/>
      <c r="NW830" s="770"/>
      <c r="NX830" s="770"/>
      <c r="NY830" s="770"/>
      <c r="NZ830" s="770"/>
      <c r="OA830" s="770"/>
      <c r="OB830" s="770"/>
      <c r="OC830" s="770"/>
      <c r="OD830" s="770"/>
      <c r="OE830" s="770"/>
      <c r="OF830" s="770"/>
      <c r="OG830" s="770"/>
      <c r="OH830" s="770"/>
      <c r="OI830" s="770"/>
      <c r="OJ830" s="770"/>
      <c r="OK830" s="770"/>
      <c r="OL830" s="770"/>
      <c r="OM830" s="770"/>
      <c r="ON830" s="770"/>
      <c r="OO830" s="770"/>
      <c r="OP830" s="770"/>
      <c r="OQ830" s="770"/>
      <c r="OR830" s="770"/>
      <c r="OS830" s="770"/>
      <c r="OT830" s="770"/>
      <c r="OU830" s="770"/>
      <c r="OV830" s="770"/>
      <c r="OW830" s="770"/>
      <c r="OX830" s="770"/>
      <c r="OY830" s="770"/>
      <c r="OZ830" s="770"/>
      <c r="PA830" s="770"/>
      <c r="PB830" s="770"/>
      <c r="PC830" s="770"/>
      <c r="PD830" s="770"/>
      <c r="PE830" s="770"/>
      <c r="PF830" s="770"/>
      <c r="PG830" s="770"/>
      <c r="PH830" s="770"/>
      <c r="PI830" s="770"/>
      <c r="PJ830" s="770"/>
      <c r="PK830" s="770"/>
      <c r="PL830" s="770"/>
      <c r="PM830" s="770"/>
      <c r="PN830" s="770"/>
      <c r="PO830" s="770"/>
      <c r="PP830" s="770"/>
      <c r="PQ830" s="770"/>
      <c r="PR830" s="770"/>
      <c r="PS830" s="770"/>
      <c r="PT830" s="770"/>
      <c r="PU830" s="770"/>
      <c r="PV830" s="770"/>
      <c r="PW830" s="770"/>
      <c r="PX830" s="770"/>
      <c r="PY830" s="770"/>
      <c r="PZ830" s="770"/>
      <c r="QA830" s="770"/>
      <c r="QB830" s="770"/>
      <c r="QC830" s="770"/>
      <c r="QD830" s="770"/>
      <c r="QE830" s="770"/>
      <c r="QF830" s="770"/>
      <c r="QG830" s="770"/>
      <c r="QH830" s="770"/>
      <c r="QI830" s="770"/>
      <c r="QJ830" s="770"/>
      <c r="QK830" s="770"/>
      <c r="QL830" s="770"/>
      <c r="QM830" s="770"/>
      <c r="QN830" s="770"/>
      <c r="QO830" s="770"/>
      <c r="QP830" s="770"/>
      <c r="QQ830" s="770"/>
      <c r="QR830" s="770"/>
      <c r="QS830" s="770"/>
      <c r="QT830" s="770"/>
      <c r="QU830" s="770"/>
      <c r="QV830" s="770"/>
      <c r="QW830" s="770"/>
      <c r="QX830" s="770"/>
      <c r="QY830" s="770"/>
      <c r="QZ830" s="770"/>
      <c r="RA830" s="770"/>
      <c r="RB830" s="770"/>
      <c r="RC830" s="770"/>
      <c r="RD830" s="770"/>
      <c r="RE830" s="770"/>
      <c r="RF830" s="304"/>
      <c r="RG830" s="770"/>
      <c r="RH830" s="306"/>
      <c r="RI830" s="770"/>
      <c r="RJ830" s="94"/>
      <c r="RK830" s="770"/>
      <c r="RL830" s="1710">
        <v>42852</v>
      </c>
      <c r="RM830" s="12"/>
      <c r="RN830" s="1711"/>
      <c r="RO830" s="149" t="s">
        <v>3304</v>
      </c>
      <c r="RP830" s="11"/>
      <c r="RQ830" s="11"/>
      <c r="RR830" s="311" t="s">
        <v>12452</v>
      </c>
      <c r="RS830" s="1139" t="s">
        <v>12980</v>
      </c>
      <c r="RT830" s="11"/>
      <c r="RU830" s="11"/>
      <c r="RV830" s="6" t="s">
        <v>7421</v>
      </c>
      <c r="RW830" s="11" t="s">
        <v>7497</v>
      </c>
      <c r="RX830" s="11" t="s">
        <v>3304</v>
      </c>
      <c r="RY830" s="11"/>
      <c r="RZ830" s="11"/>
      <c r="SA830" s="6"/>
      <c r="SB830" s="11"/>
      <c r="SC830" s="11"/>
    </row>
    <row r="831" spans="1:497" ht="12.75" customHeight="1">
      <c r="A831" s="311" t="s">
        <v>14259</v>
      </c>
      <c r="B831" s="292" t="s">
        <v>7499</v>
      </c>
      <c r="C831" s="149" t="s">
        <v>3304</v>
      </c>
      <c r="D831" s="94" t="s">
        <v>3311</v>
      </c>
      <c r="E831" s="766" t="s">
        <v>5297</v>
      </c>
      <c r="F831" s="770" t="s">
        <v>2366</v>
      </c>
      <c r="G831" s="770" t="s">
        <v>10</v>
      </c>
      <c r="H831" s="770"/>
      <c r="I831" s="295"/>
      <c r="J831" s="94" t="s">
        <v>3311</v>
      </c>
      <c r="K831" s="770"/>
      <c r="L831" s="770"/>
      <c r="M831" s="770"/>
      <c r="N831" s="1757"/>
      <c r="O831" s="1757"/>
      <c r="P831" s="94" t="s">
        <v>3312</v>
      </c>
      <c r="Q831" s="1088">
        <v>32276</v>
      </c>
      <c r="R831" s="297">
        <v>28</v>
      </c>
      <c r="S831" s="770" t="s">
        <v>18</v>
      </c>
      <c r="T831" s="770"/>
      <c r="U831" s="298" t="s">
        <v>3313</v>
      </c>
      <c r="V831" s="770" t="s">
        <v>768</v>
      </c>
      <c r="W831" s="770"/>
      <c r="X831" s="770"/>
      <c r="Y831" s="770"/>
      <c r="Z831" s="770" t="s">
        <v>708</v>
      </c>
      <c r="AA831" s="770" t="s">
        <v>2463</v>
      </c>
      <c r="AB831" s="770" t="s">
        <v>710</v>
      </c>
      <c r="AC831" s="770" t="s">
        <v>724</v>
      </c>
      <c r="AD831" s="770" t="s">
        <v>711</v>
      </c>
      <c r="AE831" s="770"/>
      <c r="AF831" s="770" t="s">
        <v>712</v>
      </c>
      <c r="AG831" s="770"/>
      <c r="AH831" s="770"/>
      <c r="AI831" s="770"/>
      <c r="AJ831" s="770"/>
      <c r="AK831" s="770" t="s">
        <v>1101</v>
      </c>
      <c r="AL831" s="531"/>
      <c r="AM831" s="780"/>
      <c r="AN831" s="532"/>
      <c r="AO831" s="766"/>
      <c r="AP831" s="766"/>
      <c r="AQ831" s="766"/>
      <c r="AR831" s="766"/>
      <c r="AS831" s="770"/>
      <c r="AT831" s="770"/>
      <c r="AU831" s="770"/>
      <c r="AV831" s="770"/>
      <c r="AW831" s="770"/>
      <c r="AX831" s="770"/>
      <c r="AY831" s="770"/>
      <c r="AZ831" s="770"/>
      <c r="BA831" s="770"/>
      <c r="BB831" s="770"/>
      <c r="BC831" s="770"/>
      <c r="BD831" s="770"/>
      <c r="BE831" s="770"/>
      <c r="BF831" s="302"/>
      <c r="BG831" s="302"/>
      <c r="BH831" s="770"/>
      <c r="BI831" s="770"/>
      <c r="BJ831" s="770"/>
      <c r="BK831" s="766"/>
      <c r="BL831" s="766"/>
      <c r="BM831" s="766" t="s">
        <v>1238</v>
      </c>
      <c r="BN831" s="766" t="s">
        <v>1256</v>
      </c>
      <c r="BO831" s="770"/>
      <c r="BP831" s="765"/>
      <c r="BQ831" s="773"/>
      <c r="BR831" s="774"/>
      <c r="BS831" s="766" t="s">
        <v>1242</v>
      </c>
      <c r="BT831" s="770"/>
      <c r="BU831" s="770"/>
      <c r="BV831" s="770"/>
      <c r="BW831" s="770"/>
      <c r="BX831" s="302"/>
      <c r="BY831" s="770"/>
      <c r="BZ831" s="302"/>
      <c r="CA831" s="770"/>
      <c r="CB831" s="770"/>
      <c r="CC831" s="770"/>
      <c r="CD831" s="770"/>
      <c r="CE831" s="302"/>
      <c r="CF831" s="304"/>
      <c r="CG831" s="321"/>
      <c r="CH831" s="770"/>
      <c r="CI831" s="770"/>
      <c r="CJ831" s="770"/>
      <c r="CK831" s="770"/>
      <c r="CL831" s="770"/>
      <c r="CM831" s="770"/>
      <c r="CN831" s="770"/>
      <c r="CO831" s="770"/>
      <c r="CP831" s="770"/>
      <c r="CQ831" s="770"/>
      <c r="CR831" s="302"/>
      <c r="CS831" s="770"/>
      <c r="CT831" s="770"/>
      <c r="CU831" s="305"/>
      <c r="CV831" s="770"/>
      <c r="CW831" s="770"/>
      <c r="CX831" s="770"/>
      <c r="CY831" s="770"/>
      <c r="CZ831" s="770"/>
      <c r="DA831" s="306"/>
      <c r="DB831" s="770"/>
      <c r="DC831" s="770"/>
      <c r="DD831" s="770"/>
      <c r="DE831" s="300"/>
      <c r="DF831" s="770"/>
      <c r="DG831" s="770"/>
      <c r="DH831" s="770"/>
      <c r="DI831" s="770"/>
      <c r="DJ831" s="770"/>
      <c r="DK831" s="770"/>
      <c r="DL831" s="770"/>
      <c r="DM831" s="770"/>
      <c r="DN831" s="322"/>
      <c r="DO831" s="770"/>
      <c r="DP831" s="770"/>
      <c r="DQ831" s="770"/>
      <c r="DR831" s="770"/>
      <c r="DS831" s="307"/>
      <c r="DT831" s="770"/>
      <c r="DU831" s="770"/>
      <c r="DV831" s="770"/>
      <c r="DW831" s="306"/>
      <c r="DX831" s="306"/>
      <c r="DY831" s="1055"/>
      <c r="DZ831" s="770"/>
      <c r="EA831" s="770"/>
      <c r="EB831" s="770"/>
      <c r="EC831" s="770"/>
      <c r="ED831" s="770"/>
      <c r="EE831" s="770"/>
      <c r="EF831" s="770"/>
      <c r="EG831" s="770"/>
      <c r="EH831" s="770"/>
      <c r="EI831" s="770"/>
      <c r="EJ831" s="770"/>
      <c r="EK831" s="770"/>
      <c r="EL831" s="770"/>
      <c r="EM831" s="770"/>
      <c r="EN831" s="770"/>
      <c r="EO831" s="770"/>
      <c r="EP831" s="94"/>
      <c r="EQ831" s="770"/>
      <c r="ER831" s="770"/>
      <c r="ES831" s="770"/>
      <c r="ET831" s="770"/>
      <c r="EU831" s="770"/>
      <c r="EV831" s="770"/>
      <c r="EW831" s="770"/>
      <c r="EX831" s="770"/>
      <c r="EY831" s="770"/>
      <c r="EZ831" s="770"/>
      <c r="FA831" s="770"/>
      <c r="FB831" s="770"/>
      <c r="FC831" s="770"/>
      <c r="FD831" s="302"/>
      <c r="FE831" s="770"/>
      <c r="FF831" s="770"/>
      <c r="FG831" s="770"/>
      <c r="FH831" s="770" t="s">
        <v>1306</v>
      </c>
      <c r="FI831" s="770">
        <v>1</v>
      </c>
      <c r="FJ831" s="770" t="s">
        <v>3299</v>
      </c>
      <c r="FK831" s="770"/>
      <c r="FL831" s="770"/>
      <c r="FM831" s="147">
        <v>3300</v>
      </c>
      <c r="FN831" s="302">
        <v>500</v>
      </c>
      <c r="FO831" s="302">
        <v>0</v>
      </c>
      <c r="FP831" s="770" t="s">
        <v>1600</v>
      </c>
      <c r="FQ831" s="770" t="s">
        <v>1642</v>
      </c>
      <c r="FR831" s="770"/>
      <c r="FS831" s="770"/>
      <c r="FT831" s="770"/>
      <c r="FU831" s="770"/>
      <c r="FV831" s="770"/>
      <c r="FW831" s="770"/>
      <c r="FX831" s="770"/>
      <c r="FY831" s="770"/>
      <c r="FZ831" s="770"/>
      <c r="GA831" s="770"/>
      <c r="GB831" s="770"/>
      <c r="GC831" s="308"/>
      <c r="GD831" s="297"/>
      <c r="GE831" s="770"/>
      <c r="GF831" s="302"/>
      <c r="GG831" s="302"/>
      <c r="GH831" s="770"/>
      <c r="GI831" s="770"/>
      <c r="GJ831" s="770"/>
      <c r="GK831" s="770"/>
      <c r="GL831" s="770"/>
      <c r="GM831" s="770"/>
      <c r="GN831" s="299"/>
      <c r="GO831" s="770"/>
      <c r="GP831" s="770"/>
      <c r="GQ831" s="770"/>
      <c r="GR831" s="770"/>
      <c r="GS831" s="770"/>
      <c r="GT831" s="770"/>
      <c r="GU831" s="770"/>
      <c r="GV831" s="770"/>
      <c r="GW831" s="770"/>
      <c r="GX831" s="770"/>
      <c r="GY831" s="770"/>
      <c r="GZ831" s="770"/>
      <c r="HA831" s="770"/>
      <c r="HB831" s="770"/>
      <c r="HC831" s="770"/>
      <c r="HD831" s="770"/>
      <c r="HE831" s="770"/>
      <c r="HF831" s="770"/>
      <c r="HG831" s="770"/>
      <c r="HH831" s="770"/>
      <c r="HI831" s="770"/>
      <c r="HJ831" s="770"/>
      <c r="HK831" s="770"/>
      <c r="HL831" s="770"/>
      <c r="HM831" s="770"/>
      <c r="HN831" s="770"/>
      <c r="HO831" s="770"/>
      <c r="HP831" s="770"/>
      <c r="HQ831" s="770"/>
      <c r="HR831" s="770"/>
      <c r="HS831" s="770"/>
      <c r="HT831" s="770"/>
      <c r="HU831" s="770"/>
      <c r="HV831" s="770"/>
      <c r="HW831" s="770"/>
      <c r="HX831" s="770"/>
      <c r="HY831" s="770"/>
      <c r="HZ831" s="770"/>
      <c r="IA831" s="770"/>
      <c r="IB831" s="14" t="e">
        <f>IF(#REF!&gt;0,IF(#REF!&lt;=10000,"Y",""),"")</f>
        <v>#REF!</v>
      </c>
      <c r="IC831" s="770"/>
      <c r="ID831" s="770"/>
      <c r="IE831" s="770"/>
      <c r="IF831" s="770"/>
      <c r="IG831" s="770"/>
      <c r="IH831" s="770"/>
      <c r="II831" s="770"/>
      <c r="IJ831" s="770"/>
      <c r="IK831" s="770"/>
      <c r="IL831" s="770"/>
      <c r="IM831" s="770"/>
      <c r="IN831" s="770"/>
      <c r="IO831" s="296"/>
      <c r="IP831" s="770"/>
      <c r="IQ831" s="770"/>
      <c r="IR831" s="770"/>
      <c r="IS831" s="770"/>
      <c r="IT831" s="770"/>
      <c r="IU831" s="770"/>
      <c r="IV831" s="770"/>
      <c r="IW831" s="770"/>
      <c r="IX831" s="770"/>
      <c r="IY831" s="770"/>
      <c r="IZ831" s="770"/>
      <c r="JA831" s="770"/>
      <c r="JB831" s="770"/>
      <c r="JC831" s="770"/>
      <c r="JD831" s="302"/>
      <c r="JE831" s="770"/>
      <c r="JF831" s="770"/>
      <c r="JG831" s="770"/>
      <c r="JH831" s="307"/>
      <c r="JI831" s="307"/>
      <c r="JJ831" s="94"/>
      <c r="JK831" s="1047" t="s">
        <v>14050</v>
      </c>
      <c r="JL831" s="770"/>
      <c r="JM831" s="770"/>
      <c r="JN831" s="770"/>
      <c r="JO831" s="770"/>
      <c r="JP831" s="770"/>
      <c r="JQ831" s="770"/>
      <c r="JR831" s="770"/>
      <c r="JS831" s="770"/>
      <c r="JT831" s="766"/>
      <c r="JU831" s="766"/>
      <c r="JV831" s="712" t="str">
        <f t="shared" si="264"/>
        <v>ok</v>
      </c>
      <c r="JW831" s="712" t="str">
        <f t="shared" si="265"/>
        <v>ok</v>
      </c>
      <c r="JX831" s="770"/>
      <c r="JY831" s="770"/>
      <c r="JZ831" s="770"/>
      <c r="KA831" s="770"/>
      <c r="KB831" s="770"/>
      <c r="KC831" s="770"/>
      <c r="KD831" s="770"/>
      <c r="KE831" s="770"/>
      <c r="KF831" s="770"/>
      <c r="KG831" s="770"/>
      <c r="KH831" s="770"/>
      <c r="KI831" s="770"/>
      <c r="KJ831" s="770"/>
      <c r="KK831" s="770"/>
      <c r="KL831" s="712" t="str">
        <f t="shared" si="266"/>
        <v>ok</v>
      </c>
      <c r="KM831" s="712" t="str">
        <f t="shared" si="267"/>
        <v>ok</v>
      </c>
      <c r="KN831" s="770"/>
      <c r="KO831" s="770"/>
      <c r="KP831" s="770"/>
      <c r="KQ831" s="770"/>
      <c r="KR831" s="770"/>
      <c r="KS831" s="770"/>
      <c r="KT831" s="770"/>
      <c r="KU831" s="770"/>
      <c r="KV831" s="770"/>
      <c r="KW831" s="770"/>
      <c r="KX831" s="770"/>
      <c r="KY831" s="770"/>
      <c r="KZ831" s="770"/>
      <c r="LA831" s="770"/>
      <c r="LB831" s="770"/>
      <c r="LC831" s="770"/>
      <c r="LD831" s="770"/>
      <c r="LE831" s="770"/>
      <c r="LF831" s="770"/>
      <c r="LG831" s="770"/>
      <c r="LH831" s="770"/>
      <c r="LI831" s="770"/>
      <c r="LJ831" s="770"/>
      <c r="LK831" s="770"/>
      <c r="LL831" s="770"/>
      <c r="LM831" s="770"/>
      <c r="LN831" s="766"/>
      <c r="LO831" s="766"/>
      <c r="LP831" s="770"/>
      <c r="LQ831" s="770"/>
      <c r="LR831" s="770"/>
      <c r="LS831" s="770"/>
      <c r="LT831" s="712" t="str">
        <f t="shared" si="268"/>
        <v>OK</v>
      </c>
      <c r="LU831" s="770"/>
      <c r="LV831" s="770"/>
      <c r="LW831" s="770"/>
      <c r="LX831" s="769"/>
      <c r="LY831" s="766" t="str">
        <f t="shared" si="258"/>
        <v/>
      </c>
      <c r="LZ831" s="1709"/>
      <c r="MA831" s="1709"/>
      <c r="MB831" s="1709"/>
      <c r="MC831" s="1679">
        <f t="shared" si="256"/>
        <v>0</v>
      </c>
      <c r="MD831" s="1709"/>
      <c r="ME831" s="1709"/>
      <c r="MF831" s="1709"/>
      <c r="MG831" s="1680">
        <v>0</v>
      </c>
      <c r="MH831" s="770"/>
      <c r="MI831" s="302"/>
      <c r="MJ831" s="302"/>
      <c r="MK831" s="302"/>
      <c r="ML831" s="302"/>
      <c r="MM831" s="302"/>
      <c r="MN831" s="302"/>
      <c r="MO831" s="302"/>
      <c r="MP831" s="302"/>
      <c r="MQ831" s="302"/>
      <c r="MR831" s="302"/>
      <c r="MS831" s="302"/>
      <c r="MT831" s="302"/>
      <c r="MU831" s="302"/>
      <c r="MV831" s="302"/>
      <c r="MW831" s="302"/>
      <c r="MX831" s="302"/>
      <c r="MY831" s="1682"/>
      <c r="MZ831" s="770"/>
      <c r="NA831" s="770"/>
      <c r="NB831" s="770"/>
      <c r="NC831" s="770"/>
      <c r="ND831" s="770"/>
      <c r="NE831" s="770"/>
      <c r="NF831" s="770"/>
      <c r="NG831" s="770"/>
      <c r="NH831" s="770"/>
      <c r="NI831" s="770"/>
      <c r="NJ831" s="770"/>
      <c r="NK831" s="770"/>
      <c r="NL831" s="770"/>
      <c r="NM831" s="770"/>
      <c r="NN831" s="770"/>
      <c r="NO831" s="770"/>
      <c r="NP831" s="770"/>
      <c r="NQ831" s="770"/>
      <c r="NR831" s="770"/>
      <c r="NS831" s="770"/>
      <c r="NT831" s="770"/>
      <c r="NU831" s="770"/>
      <c r="NV831" s="770"/>
      <c r="NW831" s="770"/>
      <c r="NX831" s="770"/>
      <c r="NY831" s="770"/>
      <c r="NZ831" s="770"/>
      <c r="OA831" s="770"/>
      <c r="OB831" s="770"/>
      <c r="OC831" s="770"/>
      <c r="OD831" s="770"/>
      <c r="OE831" s="770"/>
      <c r="OF831" s="770"/>
      <c r="OG831" s="770"/>
      <c r="OH831" s="770"/>
      <c r="OI831" s="770"/>
      <c r="OJ831" s="770"/>
      <c r="OK831" s="770"/>
      <c r="OL831" s="770"/>
      <c r="OM831" s="770"/>
      <c r="ON831" s="770"/>
      <c r="OO831" s="770"/>
      <c r="OP831" s="770"/>
      <c r="OQ831" s="770"/>
      <c r="OR831" s="770"/>
      <c r="OS831" s="770"/>
      <c r="OT831" s="770"/>
      <c r="OU831" s="770"/>
      <c r="OV831" s="770"/>
      <c r="OW831" s="770"/>
      <c r="OX831" s="770"/>
      <c r="OY831" s="770"/>
      <c r="OZ831" s="770"/>
      <c r="PA831" s="770"/>
      <c r="PB831" s="770"/>
      <c r="PC831" s="770"/>
      <c r="PD831" s="770"/>
      <c r="PE831" s="770"/>
      <c r="PF831" s="770"/>
      <c r="PG831" s="770"/>
      <c r="PH831" s="770"/>
      <c r="PI831" s="770"/>
      <c r="PJ831" s="770"/>
      <c r="PK831" s="770"/>
      <c r="PL831" s="770"/>
      <c r="PM831" s="770"/>
      <c r="PN831" s="770"/>
      <c r="PO831" s="770"/>
      <c r="PP831" s="770"/>
      <c r="PQ831" s="770"/>
      <c r="PR831" s="770"/>
      <c r="PS831" s="770"/>
      <c r="PT831" s="770"/>
      <c r="PU831" s="770"/>
      <c r="PV831" s="770"/>
      <c r="PW831" s="770"/>
      <c r="PX831" s="770"/>
      <c r="PY831" s="770"/>
      <c r="PZ831" s="770"/>
      <c r="QA831" s="770"/>
      <c r="QB831" s="770"/>
      <c r="QC831" s="770"/>
      <c r="QD831" s="770"/>
      <c r="QE831" s="770"/>
      <c r="QF831" s="770"/>
      <c r="QG831" s="770"/>
      <c r="QH831" s="770"/>
      <c r="QI831" s="770"/>
      <c r="QJ831" s="770"/>
      <c r="QK831" s="770"/>
      <c r="QL831" s="770"/>
      <c r="QM831" s="770"/>
      <c r="QN831" s="770"/>
      <c r="QO831" s="770"/>
      <c r="QP831" s="770"/>
      <c r="QQ831" s="770"/>
      <c r="QR831" s="770"/>
      <c r="QS831" s="770"/>
      <c r="QT831" s="770"/>
      <c r="QU831" s="770"/>
      <c r="QV831" s="770"/>
      <c r="QW831" s="770"/>
      <c r="QX831" s="770"/>
      <c r="QY831" s="770"/>
      <c r="QZ831" s="770"/>
      <c r="RA831" s="770"/>
      <c r="RB831" s="770"/>
      <c r="RC831" s="770"/>
      <c r="RD831" s="770"/>
      <c r="RE831" s="770"/>
      <c r="RF831" s="304"/>
      <c r="RG831" s="770"/>
      <c r="RH831" s="306"/>
      <c r="RI831" s="770"/>
      <c r="RJ831" s="94" t="s">
        <v>14051</v>
      </c>
      <c r="RK831" s="770" t="s">
        <v>13556</v>
      </c>
      <c r="RL831" s="1710">
        <v>42852</v>
      </c>
      <c r="RM831" s="12"/>
      <c r="RN831" s="1711"/>
      <c r="RO831" s="149" t="s">
        <v>3304</v>
      </c>
      <c r="RP831" s="11"/>
      <c r="RQ831" s="11"/>
      <c r="RR831" s="311" t="s">
        <v>12452</v>
      </c>
      <c r="RS831" s="1139" t="s">
        <v>12980</v>
      </c>
      <c r="RT831" s="11"/>
      <c r="RU831" s="11"/>
      <c r="RV831" s="6" t="s">
        <v>12355</v>
      </c>
      <c r="RW831" s="11" t="s">
        <v>7498</v>
      </c>
      <c r="RX831" s="11" t="s">
        <v>3304</v>
      </c>
      <c r="RY831" s="11"/>
      <c r="RZ831" s="11"/>
      <c r="SA831" s="6"/>
      <c r="SB831" s="11"/>
      <c r="SC831" s="11"/>
    </row>
    <row r="832" spans="1:497" s="763" customFormat="1" ht="13.5" hidden="1" customHeight="1" thickBot="1">
      <c r="A832" s="1011"/>
      <c r="B832" s="1011"/>
      <c r="AG832" s="763">
        <v>445</v>
      </c>
      <c r="AH832" s="763">
        <v>445</v>
      </c>
      <c r="AK832" s="763">
        <v>740</v>
      </c>
      <c r="BK832" s="763">
        <v>419</v>
      </c>
      <c r="BL832" s="763">
        <v>419</v>
      </c>
      <c r="BM832" s="763">
        <v>419</v>
      </c>
      <c r="BN832" s="763">
        <v>601</v>
      </c>
      <c r="BQ832" s="764"/>
    </row>
    <row r="833" spans="1:256" ht="12.75" customHeight="1">
      <c r="A833" s="571"/>
      <c r="B833" s="1008"/>
      <c r="C833" s="7"/>
      <c r="P833" s="7"/>
      <c r="AX833" s="7"/>
      <c r="BP833" s="61"/>
      <c r="CE833" s="55"/>
      <c r="CF833" s="104"/>
      <c r="CG833" s="105"/>
      <c r="FK833" s="7"/>
    </row>
    <row r="834" spans="1:256" s="1188" customFormat="1">
      <c r="A834" s="1162"/>
      <c r="B834" s="1163"/>
      <c r="C834" s="1162"/>
      <c r="D834" s="1164"/>
      <c r="E834" s="1162"/>
      <c r="F834" s="1162"/>
      <c r="G834" s="1162"/>
      <c r="H834" s="1164"/>
      <c r="I834" s="1165"/>
      <c r="J834" s="1164"/>
      <c r="K834" s="1162"/>
      <c r="L834" s="1162"/>
      <c r="M834" s="1162"/>
      <c r="N834" s="1166"/>
      <c r="O834" s="1166"/>
      <c r="P834" s="1162"/>
      <c r="Q834" s="1167"/>
      <c r="R834" s="1168"/>
      <c r="S834" s="1162"/>
      <c r="T834" s="1162"/>
      <c r="U834" s="1169"/>
      <c r="V834" s="1162"/>
      <c r="W834" s="1162"/>
      <c r="X834" s="1170"/>
      <c r="Y834" s="1162"/>
      <c r="Z834" s="1162"/>
      <c r="AA834" s="1162"/>
      <c r="AB834" s="1162"/>
      <c r="AC834" s="1162"/>
      <c r="AD834" s="1162"/>
      <c r="AE834" s="1162"/>
      <c r="AF834" s="1162"/>
      <c r="AG834" s="1162"/>
      <c r="AH834" s="1162"/>
      <c r="AI834" s="1162"/>
      <c r="AJ834" s="1162"/>
      <c r="AK834" s="1162"/>
      <c r="AL834" s="1171"/>
      <c r="AM834" s="1172"/>
      <c r="AN834" s="1173"/>
      <c r="AO834" s="1162"/>
      <c r="AP834" s="1162"/>
      <c r="AQ834" s="1162"/>
      <c r="AR834" s="1162"/>
      <c r="AS834" s="1162"/>
      <c r="AT834" s="1162"/>
      <c r="AU834" s="1162"/>
      <c r="AV834" s="1162"/>
      <c r="AW834" s="1162"/>
      <c r="AX834" s="1162"/>
      <c r="AY834" s="1162"/>
      <c r="AZ834" s="1162"/>
      <c r="BA834" s="1162"/>
      <c r="BB834" s="1162"/>
      <c r="BC834" s="1162"/>
      <c r="BD834" s="1162"/>
      <c r="BE834" s="1162"/>
      <c r="BF834" s="1174"/>
      <c r="BG834" s="1174"/>
      <c r="BH834" s="1162"/>
      <c r="BI834" s="1162"/>
      <c r="BJ834" s="1162"/>
      <c r="BK834" s="1162"/>
      <c r="BL834" s="1162"/>
      <c r="BM834" s="1162"/>
      <c r="BN834" s="1162"/>
      <c r="BO834" s="1162"/>
      <c r="BP834" s="1175"/>
      <c r="BQ834" s="1172"/>
      <c r="BR834" s="1176"/>
      <c r="BS834" s="1162"/>
      <c r="BT834" s="1162"/>
      <c r="BU834" s="1162"/>
      <c r="BV834" s="1162"/>
      <c r="BW834" s="1162"/>
      <c r="BX834" s="1174"/>
      <c r="BY834" s="1162"/>
      <c r="BZ834" s="1174"/>
      <c r="CA834" s="1162"/>
      <c r="CB834" s="1162"/>
      <c r="CC834" s="1162"/>
      <c r="CD834" s="1162"/>
      <c r="CE834" s="1174"/>
      <c r="CF834" s="1177"/>
      <c r="CG834" s="1178"/>
      <c r="CH834" s="1162"/>
      <c r="CI834" s="1162"/>
      <c r="CJ834" s="1162"/>
      <c r="CK834" s="1162"/>
      <c r="CL834" s="1162"/>
      <c r="CM834" s="1162"/>
      <c r="CN834" s="1162"/>
      <c r="CO834" s="1162"/>
      <c r="CP834" s="1162"/>
      <c r="CQ834" s="1162"/>
      <c r="CR834" s="1174"/>
      <c r="CS834" s="1162"/>
      <c r="CT834" s="1162"/>
      <c r="CU834" s="1179"/>
      <c r="CV834" s="1162"/>
      <c r="CW834" s="1162"/>
      <c r="CX834" s="1162"/>
      <c r="CY834" s="1162"/>
      <c r="CZ834" s="1162"/>
      <c r="DA834" s="1180"/>
      <c r="DB834" s="1162"/>
      <c r="DC834" s="1162"/>
      <c r="DD834" s="1162"/>
      <c r="DE834" s="1181"/>
      <c r="DF834" s="1162"/>
      <c r="DG834" s="1162"/>
      <c r="DH834" s="1162"/>
      <c r="DI834" s="1162"/>
      <c r="DJ834" s="1162"/>
      <c r="DK834" s="1162"/>
      <c r="DL834" s="1162"/>
      <c r="DM834" s="1162"/>
      <c r="DN834" s="1182"/>
      <c r="DO834" s="1162"/>
      <c r="DP834" s="1162"/>
      <c r="DQ834" s="1162"/>
      <c r="DR834" s="1162"/>
      <c r="DS834" s="1183"/>
      <c r="DT834" s="1162"/>
      <c r="DU834" s="1162"/>
      <c r="DV834" s="1162"/>
      <c r="DW834" s="1180"/>
      <c r="DX834" s="1180"/>
      <c r="DY834" s="1184"/>
      <c r="DZ834" s="1162"/>
      <c r="EA834" s="1162"/>
      <c r="EB834" s="1162"/>
      <c r="EC834" s="1162"/>
      <c r="ED834" s="1162"/>
      <c r="EE834" s="1162"/>
      <c r="EF834" s="1162"/>
      <c r="EG834" s="1162"/>
      <c r="EH834" s="1162"/>
      <c r="EI834" s="1162"/>
      <c r="EJ834" s="1162"/>
      <c r="EK834" s="1162"/>
      <c r="EL834" s="1162"/>
      <c r="EM834" s="1162"/>
      <c r="EN834" s="1162"/>
      <c r="EO834" s="1162"/>
      <c r="EP834" s="1164"/>
      <c r="EQ834" s="1162"/>
      <c r="ER834" s="1162"/>
      <c r="ES834" s="1162"/>
      <c r="ET834" s="1162"/>
      <c r="EU834" s="1162"/>
      <c r="EV834" s="1162"/>
      <c r="EW834" s="1162"/>
      <c r="EX834" s="1162"/>
      <c r="EY834" s="1162"/>
      <c r="EZ834" s="1162"/>
      <c r="FA834" s="1162"/>
      <c r="FB834" s="1162"/>
      <c r="FC834" s="1162"/>
      <c r="FD834" s="1174"/>
      <c r="FE834" s="1162"/>
      <c r="FF834" s="1162"/>
      <c r="FG834" s="1162"/>
      <c r="FH834" s="1162"/>
      <c r="FI834" s="1162"/>
      <c r="FJ834" s="1162"/>
      <c r="FK834" s="1162"/>
      <c r="FL834" s="1162"/>
      <c r="FM834" s="1174"/>
      <c r="FN834" s="1174"/>
      <c r="FO834" s="1174"/>
      <c r="FP834" s="1162"/>
      <c r="FQ834" s="1162"/>
      <c r="FR834" s="1162"/>
      <c r="FS834" s="1162"/>
      <c r="FT834" s="1162"/>
      <c r="FU834" s="1162"/>
      <c r="FV834" s="1162"/>
      <c r="FW834" s="1162"/>
      <c r="FX834" s="1162"/>
      <c r="FY834" s="1162"/>
      <c r="FZ834" s="1162"/>
      <c r="GA834" s="1162"/>
      <c r="GB834" s="1162"/>
      <c r="GC834" s="1185"/>
      <c r="GD834" s="1168"/>
      <c r="GE834" s="1162"/>
      <c r="GF834" s="1174"/>
      <c r="GG834" s="1174"/>
      <c r="GH834" s="1162"/>
      <c r="GI834" s="1162"/>
      <c r="GJ834" s="1162"/>
      <c r="GK834" s="1162"/>
      <c r="GL834" s="1162"/>
      <c r="GM834" s="1162"/>
      <c r="GN834" s="1186"/>
      <c r="GO834" s="1162"/>
      <c r="GP834" s="1162"/>
      <c r="GQ834" s="1162"/>
      <c r="GR834" s="1162"/>
      <c r="GS834" s="1162"/>
      <c r="GT834" s="1162"/>
      <c r="GU834" s="1162"/>
      <c r="GV834" s="1162"/>
      <c r="GW834" s="1162"/>
      <c r="GX834" s="1162"/>
      <c r="GY834" s="1162"/>
      <c r="GZ834" s="1162"/>
      <c r="HA834" s="1162"/>
      <c r="HB834" s="1162"/>
      <c r="HC834" s="1162"/>
      <c r="HD834" s="1162"/>
      <c r="HE834" s="1162"/>
      <c r="HF834" s="1162"/>
      <c r="HG834" s="1162"/>
      <c r="HH834" s="1162"/>
      <c r="HI834" s="1162"/>
      <c r="HJ834" s="1162"/>
      <c r="HK834" s="1162"/>
      <c r="HL834" s="1162"/>
      <c r="HM834" s="1162"/>
      <c r="HN834" s="1162"/>
      <c r="HO834" s="1162"/>
      <c r="HP834" s="1162"/>
      <c r="HQ834" s="1162"/>
      <c r="HR834" s="1162"/>
      <c r="HS834" s="1162"/>
      <c r="HT834" s="1162"/>
      <c r="HU834" s="1162"/>
      <c r="HV834" s="1162"/>
      <c r="HW834" s="1162"/>
      <c r="HX834" s="1162"/>
      <c r="HY834" s="1162"/>
      <c r="HZ834" s="1162"/>
      <c r="IA834" s="1162"/>
      <c r="IC834" s="1162"/>
      <c r="ID834" s="1162"/>
      <c r="IE834" s="1162"/>
      <c r="IF834" s="1162"/>
      <c r="IG834" s="1162"/>
      <c r="IH834" s="1162"/>
      <c r="II834" s="1162"/>
      <c r="IJ834" s="1162"/>
      <c r="IK834" s="1162"/>
      <c r="IL834" s="1162"/>
      <c r="IM834" s="1162"/>
      <c r="IN834" s="1162"/>
      <c r="IO834" s="1170"/>
      <c r="IP834" s="1162"/>
      <c r="IQ834" s="1162"/>
      <c r="IR834" s="1162"/>
      <c r="IS834" s="1162"/>
      <c r="IT834" s="1162"/>
      <c r="IU834" s="1162"/>
      <c r="IV834" s="1162"/>
    </row>
    <row r="835" spans="1:256">
      <c r="A835" s="571"/>
      <c r="B835" s="1008"/>
      <c r="C835" s="7"/>
      <c r="P835" s="7"/>
      <c r="AX835" s="7"/>
      <c r="BP835" s="61"/>
      <c r="CE835" s="55"/>
      <c r="CF835" s="104"/>
      <c r="CG835" s="105"/>
      <c r="FK835" s="7"/>
      <c r="IB835" s="1162" t="e">
        <f>COUNTIFS(IB:IB,"Y",#REF!,"&lt;10001")</f>
        <v>#REF!</v>
      </c>
    </row>
    <row r="836" spans="1:256">
      <c r="A836" s="571"/>
      <c r="B836" s="1008"/>
      <c r="C836" s="7"/>
      <c r="P836" s="7"/>
      <c r="AX836" s="7"/>
      <c r="BP836" s="61"/>
      <c r="CE836" s="55"/>
      <c r="CF836" s="104"/>
      <c r="CG836" s="105"/>
      <c r="FK836" s="7"/>
    </row>
    <row r="837" spans="1:256">
      <c r="A837" s="571"/>
      <c r="B837" s="1008"/>
      <c r="C837" s="7"/>
      <c r="P837" s="7"/>
      <c r="AX837" s="7"/>
      <c r="BP837" s="61"/>
      <c r="CE837" s="55"/>
      <c r="CF837" s="104"/>
      <c r="CG837" s="105"/>
      <c r="FK837" s="7"/>
    </row>
    <row r="838" spans="1:256">
      <c r="A838" s="571"/>
      <c r="B838" s="1008"/>
      <c r="C838" s="7"/>
      <c r="P838" s="7"/>
      <c r="AX838" s="7"/>
      <c r="BP838" s="61"/>
      <c r="CE838" s="55"/>
      <c r="CF838" s="104"/>
      <c r="CG838" s="105"/>
      <c r="FK838" s="7"/>
    </row>
    <row r="839" spans="1:256">
      <c r="A839" s="571"/>
      <c r="B839" s="1008"/>
      <c r="C839" s="7"/>
      <c r="P839" s="7"/>
      <c r="AX839" s="7"/>
      <c r="BP839" s="61"/>
      <c r="CE839" s="55"/>
      <c r="CF839" s="104"/>
      <c r="CG839" s="105"/>
      <c r="FK839" s="7"/>
    </row>
    <row r="840" spans="1:256">
      <c r="A840" s="571"/>
      <c r="B840" s="1008"/>
      <c r="C840" s="7"/>
      <c r="P840" s="7"/>
      <c r="AX840" s="7"/>
      <c r="BP840" s="61"/>
      <c r="CE840" s="55"/>
      <c r="CF840" s="104"/>
      <c r="CG840" s="105"/>
      <c r="FK840" s="7"/>
    </row>
    <row r="841" spans="1:256">
      <c r="A841" s="571"/>
      <c r="B841" s="1008"/>
      <c r="C841" s="7"/>
      <c r="P841" s="7"/>
      <c r="AX841" s="7"/>
      <c r="BP841" s="61"/>
      <c r="CE841" s="55"/>
      <c r="CF841" s="104"/>
      <c r="CG841" s="105"/>
      <c r="FK841" s="7"/>
    </row>
    <row r="842" spans="1:256">
      <c r="A842" s="571"/>
      <c r="B842" s="1008"/>
      <c r="C842" s="7"/>
      <c r="P842" s="7"/>
      <c r="AX842" s="7"/>
      <c r="BP842" s="61"/>
      <c r="CE842" s="55"/>
      <c r="CF842" s="104"/>
      <c r="CG842" s="105"/>
      <c r="FK842" s="7"/>
    </row>
    <row r="843" spans="1:256">
      <c r="A843" s="571"/>
      <c r="B843" s="1008"/>
      <c r="C843" s="7"/>
      <c r="P843" s="7"/>
      <c r="AX843" s="7"/>
      <c r="BP843" s="61"/>
      <c r="CE843" s="55"/>
      <c r="CF843" s="104"/>
      <c r="CG843" s="105"/>
      <c r="FK843" s="7"/>
    </row>
    <row r="844" spans="1:256">
      <c r="A844" s="571"/>
      <c r="B844" s="1008"/>
      <c r="C844" s="7"/>
      <c r="P844" s="7"/>
      <c r="AX844" s="7"/>
      <c r="BP844" s="61"/>
      <c r="CE844" s="55"/>
      <c r="CF844" s="104"/>
      <c r="CG844" s="105"/>
      <c r="FK844" s="7"/>
    </row>
    <row r="845" spans="1:256">
      <c r="A845" s="571"/>
      <c r="B845" s="1008"/>
      <c r="C845" s="7"/>
      <c r="P845" s="7"/>
      <c r="AX845" s="7"/>
      <c r="BP845" s="61"/>
      <c r="CE845" s="55"/>
      <c r="CF845" s="104"/>
      <c r="CG845" s="105"/>
      <c r="FK845" s="7"/>
    </row>
    <row r="846" spans="1:256">
      <c r="A846" s="571"/>
      <c r="B846" s="1008"/>
      <c r="C846" s="7"/>
      <c r="P846" s="7"/>
      <c r="AX846" s="7"/>
      <c r="BP846" s="61"/>
      <c r="CE846" s="55"/>
      <c r="CF846" s="104"/>
      <c r="CG846" s="105"/>
      <c r="FK846" s="7"/>
    </row>
    <row r="847" spans="1:256">
      <c r="A847" s="571"/>
      <c r="B847" s="1008"/>
      <c r="C847" s="7"/>
      <c r="P847" s="7"/>
      <c r="AX847" s="7"/>
      <c r="BP847" s="61"/>
      <c r="CE847" s="55"/>
      <c r="CF847" s="104"/>
      <c r="CG847" s="105"/>
      <c r="FK847" s="7"/>
    </row>
    <row r="848" spans="1:256">
      <c r="A848" s="571"/>
      <c r="B848" s="1008"/>
      <c r="C848" s="7"/>
      <c r="P848" s="7"/>
      <c r="AX848" s="7"/>
      <c r="BP848" s="61"/>
      <c r="CE848" s="55"/>
      <c r="CF848" s="104"/>
      <c r="CG848" s="105"/>
      <c r="FK848" s="7"/>
    </row>
    <row r="849" spans="1:167">
      <c r="A849" s="571"/>
      <c r="B849" s="1008"/>
      <c r="C849" s="7"/>
      <c r="P849" s="7"/>
      <c r="AX849" s="7"/>
      <c r="BP849" s="61"/>
      <c r="CE849" s="55"/>
      <c r="CF849" s="104"/>
      <c r="CG849" s="105"/>
      <c r="FK849" s="7"/>
    </row>
    <row r="850" spans="1:167">
      <c r="A850" s="571"/>
      <c r="B850" s="1008"/>
      <c r="C850" s="7"/>
      <c r="P850" s="7"/>
      <c r="AX850" s="7"/>
      <c r="BP850" s="61"/>
      <c r="CE850" s="55"/>
      <c r="CF850" s="104"/>
      <c r="CG850" s="105"/>
      <c r="FK850" s="7"/>
    </row>
    <row r="851" spans="1:167">
      <c r="A851" s="571"/>
      <c r="B851" s="1008"/>
      <c r="C851" s="7"/>
      <c r="P851" s="7"/>
      <c r="AX851" s="7"/>
      <c r="BP851" s="61"/>
      <c r="CE851" s="55"/>
      <c r="CF851" s="104"/>
      <c r="CG851" s="105"/>
      <c r="FK851" s="7"/>
    </row>
    <row r="852" spans="1:167">
      <c r="A852" s="571"/>
      <c r="B852" s="1008"/>
      <c r="C852" s="7"/>
      <c r="P852" s="7"/>
      <c r="AX852" s="7"/>
      <c r="BP852" s="61"/>
      <c r="CE852" s="55"/>
      <c r="CF852" s="104"/>
      <c r="CG852" s="105"/>
      <c r="FK852" s="7"/>
    </row>
    <row r="853" spans="1:167">
      <c r="A853" s="571"/>
      <c r="B853" s="1008"/>
      <c r="C853" s="7"/>
      <c r="P853" s="7"/>
      <c r="AX853" s="7"/>
      <c r="BP853" s="61"/>
      <c r="CE853" s="55"/>
      <c r="CF853" s="104"/>
      <c r="CG853" s="105"/>
      <c r="FK853" s="7"/>
    </row>
    <row r="854" spans="1:167">
      <c r="A854" s="571"/>
      <c r="B854" s="1008"/>
      <c r="C854" s="7"/>
      <c r="P854" s="7"/>
      <c r="AX854" s="7"/>
      <c r="BP854" s="61"/>
      <c r="CE854" s="55"/>
      <c r="CF854" s="104"/>
      <c r="CG854" s="105"/>
      <c r="FK854" s="7"/>
    </row>
    <row r="855" spans="1:167">
      <c r="A855" s="571"/>
      <c r="B855" s="1008"/>
      <c r="C855" s="7"/>
      <c r="P855" s="7"/>
      <c r="AX855" s="7"/>
      <c r="BP855" s="61"/>
      <c r="CE855" s="55"/>
      <c r="CF855" s="104"/>
      <c r="CG855" s="105"/>
      <c r="FK855" s="7"/>
    </row>
    <row r="856" spans="1:167">
      <c r="A856" s="571"/>
      <c r="B856" s="1008"/>
      <c r="C856" s="7"/>
      <c r="P856" s="7"/>
      <c r="AX856" s="7"/>
      <c r="BP856" s="61"/>
      <c r="CE856" s="55"/>
      <c r="CF856" s="104"/>
      <c r="CG856" s="105"/>
      <c r="FK856" s="7"/>
    </row>
    <row r="857" spans="1:167">
      <c r="A857" s="571"/>
      <c r="B857" s="1008"/>
      <c r="C857" s="7"/>
      <c r="P857" s="7"/>
      <c r="AX857" s="7"/>
      <c r="BP857" s="61"/>
      <c r="CE857" s="55"/>
      <c r="CF857" s="104"/>
      <c r="CG857" s="105"/>
      <c r="FK857" s="7"/>
    </row>
    <row r="858" spans="1:167">
      <c r="A858" s="571"/>
      <c r="B858" s="1008"/>
      <c r="C858" s="7"/>
      <c r="P858" s="7"/>
      <c r="AX858" s="7"/>
      <c r="BP858" s="61"/>
      <c r="CE858" s="55"/>
      <c r="CF858" s="104"/>
      <c r="CG858" s="105"/>
      <c r="FK858" s="7"/>
    </row>
    <row r="859" spans="1:167">
      <c r="A859" s="571"/>
      <c r="B859" s="1008"/>
      <c r="C859" s="7"/>
      <c r="P859" s="7"/>
      <c r="AX859" s="7"/>
      <c r="BP859" s="61"/>
      <c r="CE859" s="55"/>
      <c r="CF859" s="104"/>
      <c r="CG859" s="105"/>
      <c r="FK859" s="7"/>
    </row>
    <row r="860" spans="1:167">
      <c r="A860" s="571"/>
      <c r="B860" s="1008"/>
      <c r="C860" s="7"/>
      <c r="P860" s="7"/>
      <c r="AX860" s="7"/>
      <c r="BP860" s="61"/>
      <c r="CE860" s="55"/>
      <c r="CF860" s="104"/>
      <c r="CG860" s="105"/>
      <c r="FK860" s="7"/>
    </row>
    <row r="861" spans="1:167">
      <c r="A861" s="571"/>
      <c r="B861" s="1008"/>
      <c r="C861" s="7"/>
      <c r="P861" s="7"/>
      <c r="AX861" s="7"/>
      <c r="BP861" s="61"/>
      <c r="CE861" s="55"/>
      <c r="CF861" s="104"/>
      <c r="CG861" s="105"/>
      <c r="FK861" s="7"/>
    </row>
    <row r="862" spans="1:167">
      <c r="A862" s="571"/>
      <c r="B862" s="1008"/>
      <c r="C862" s="7"/>
      <c r="P862" s="7"/>
      <c r="AX862" s="7"/>
      <c r="BP862" s="61"/>
      <c r="CE862" s="55"/>
      <c r="CF862" s="104"/>
      <c r="CG862" s="105"/>
      <c r="FK862" s="7"/>
    </row>
    <row r="863" spans="1:167">
      <c r="A863" s="571"/>
      <c r="B863" s="1008"/>
      <c r="C863" s="7"/>
      <c r="P863" s="7"/>
      <c r="AX863" s="7"/>
      <c r="BP863" s="61"/>
      <c r="CE863" s="55"/>
      <c r="CF863" s="104"/>
      <c r="CG863" s="105"/>
      <c r="FK863" s="7"/>
    </row>
    <row r="864" spans="1:167">
      <c r="A864" s="571"/>
      <c r="B864" s="1008"/>
      <c r="C864" s="7"/>
      <c r="P864" s="7"/>
      <c r="AX864" s="7"/>
      <c r="BP864" s="61"/>
      <c r="CE864" s="55"/>
      <c r="CF864" s="104"/>
      <c r="CG864" s="105"/>
      <c r="FK864" s="7"/>
    </row>
    <row r="865" spans="1:167">
      <c r="A865" s="571"/>
      <c r="B865" s="1008"/>
      <c r="C865" s="7"/>
      <c r="P865" s="7"/>
      <c r="AX865" s="7"/>
      <c r="BP865" s="61"/>
      <c r="CE865" s="55"/>
      <c r="CF865" s="104"/>
      <c r="CG865" s="105"/>
      <c r="FK865" s="7"/>
    </row>
    <row r="866" spans="1:167">
      <c r="A866" s="571"/>
      <c r="B866" s="1008"/>
      <c r="C866" s="7"/>
      <c r="P866" s="7"/>
      <c r="AX866" s="7"/>
      <c r="BP866" s="61"/>
      <c r="CE866" s="55"/>
      <c r="CF866" s="104"/>
      <c r="CG866" s="105"/>
      <c r="FK866" s="7"/>
    </row>
    <row r="867" spans="1:167">
      <c r="A867" s="571"/>
      <c r="B867" s="1008"/>
      <c r="C867" s="7"/>
      <c r="P867" s="7"/>
      <c r="AX867" s="7"/>
      <c r="BP867" s="61"/>
      <c r="CE867" s="55"/>
      <c r="CF867" s="104"/>
      <c r="CG867" s="105"/>
      <c r="FK867" s="7"/>
    </row>
    <row r="868" spans="1:167">
      <c r="A868" s="571"/>
      <c r="B868" s="1008"/>
      <c r="C868" s="7"/>
      <c r="P868" s="7"/>
      <c r="AX868" s="7"/>
      <c r="BP868" s="61"/>
      <c r="CE868" s="55"/>
      <c r="CF868" s="104"/>
      <c r="CG868" s="105"/>
      <c r="FK868" s="7"/>
    </row>
    <row r="869" spans="1:167">
      <c r="A869" s="571"/>
      <c r="B869" s="1008"/>
      <c r="C869" s="7"/>
      <c r="P869" s="7"/>
      <c r="AX869" s="7"/>
      <c r="BP869" s="61"/>
      <c r="CE869" s="55"/>
      <c r="CF869" s="104"/>
      <c r="CG869" s="105"/>
      <c r="FK869" s="7"/>
    </row>
    <row r="870" spans="1:167">
      <c r="A870" s="571"/>
      <c r="B870" s="1008"/>
      <c r="C870" s="7"/>
      <c r="P870" s="7"/>
      <c r="AX870" s="7"/>
      <c r="BP870" s="61"/>
      <c r="CE870" s="55"/>
      <c r="CF870" s="104"/>
      <c r="CG870" s="105"/>
      <c r="FK870" s="7"/>
    </row>
    <row r="871" spans="1:167">
      <c r="A871" s="571"/>
      <c r="B871" s="1008"/>
      <c r="C871" s="7"/>
      <c r="P871" s="7"/>
      <c r="AX871" s="7"/>
      <c r="BP871" s="61"/>
      <c r="CE871" s="55"/>
      <c r="CF871" s="104"/>
      <c r="CG871" s="105"/>
      <c r="FK871" s="7"/>
    </row>
    <row r="872" spans="1:167">
      <c r="A872" s="571"/>
      <c r="B872" s="1008"/>
      <c r="C872" s="7"/>
      <c r="P872" s="7"/>
      <c r="AX872" s="7"/>
      <c r="BP872" s="61"/>
      <c r="CE872" s="55"/>
      <c r="CF872" s="104"/>
      <c r="CG872" s="105"/>
      <c r="FK872" s="7"/>
    </row>
    <row r="873" spans="1:167">
      <c r="A873" s="571"/>
      <c r="B873" s="1008"/>
      <c r="C873" s="7"/>
      <c r="P873" s="7"/>
      <c r="AX873" s="7"/>
      <c r="BP873" s="61"/>
      <c r="CE873" s="55"/>
      <c r="CF873" s="104"/>
      <c r="CG873" s="105"/>
      <c r="FK873" s="7"/>
    </row>
    <row r="874" spans="1:167">
      <c r="A874" s="571"/>
      <c r="B874" s="1008"/>
      <c r="C874" s="7"/>
      <c r="P874" s="7"/>
      <c r="AX874" s="7"/>
      <c r="BP874" s="61"/>
      <c r="CE874" s="55"/>
      <c r="CF874" s="104"/>
      <c r="CG874" s="105"/>
      <c r="FK874" s="7"/>
    </row>
    <row r="875" spans="1:167">
      <c r="A875" s="571"/>
      <c r="B875" s="1008"/>
      <c r="C875" s="7"/>
      <c r="P875" s="7"/>
      <c r="AX875" s="7"/>
      <c r="BP875" s="61"/>
      <c r="CE875" s="55"/>
      <c r="CF875" s="104"/>
      <c r="CG875" s="105"/>
      <c r="FK875" s="7"/>
    </row>
    <row r="876" spans="1:167">
      <c r="A876" s="571"/>
      <c r="B876" s="1008"/>
      <c r="C876" s="7"/>
      <c r="P876" s="7"/>
      <c r="AX876" s="7"/>
      <c r="BP876" s="61"/>
      <c r="CE876" s="55"/>
      <c r="CF876" s="104"/>
      <c r="CG876" s="105"/>
      <c r="FK876" s="7"/>
    </row>
    <row r="877" spans="1:167">
      <c r="A877" s="571"/>
      <c r="B877" s="1008"/>
      <c r="C877" s="7"/>
      <c r="P877" s="7"/>
      <c r="AX877" s="7"/>
      <c r="BP877" s="61"/>
      <c r="CE877" s="55"/>
      <c r="CF877" s="104"/>
      <c r="CG877" s="105"/>
      <c r="FK877" s="7"/>
    </row>
    <row r="878" spans="1:167">
      <c r="A878" s="571"/>
      <c r="B878" s="1008"/>
      <c r="C878" s="7"/>
      <c r="P878" s="7"/>
      <c r="AX878" s="7"/>
      <c r="BP878" s="61"/>
      <c r="CE878" s="55"/>
      <c r="CF878" s="104"/>
      <c r="CG878" s="105"/>
      <c r="FK878" s="7"/>
    </row>
    <row r="879" spans="1:167">
      <c r="A879" s="571"/>
      <c r="B879" s="1008"/>
      <c r="C879" s="7"/>
      <c r="P879" s="7"/>
      <c r="AX879" s="7"/>
      <c r="BP879" s="61"/>
      <c r="CE879" s="55"/>
      <c r="CF879" s="104"/>
      <c r="CG879" s="105"/>
      <c r="FK879" s="7"/>
    </row>
    <row r="880" spans="1:167">
      <c r="A880" s="571"/>
      <c r="B880" s="1008"/>
      <c r="C880" s="7"/>
      <c r="P880" s="7"/>
      <c r="AX880" s="7"/>
      <c r="BP880" s="61"/>
      <c r="CE880" s="55"/>
      <c r="CF880" s="104"/>
      <c r="CG880" s="105"/>
      <c r="FK880" s="7"/>
    </row>
    <row r="881" spans="1:167">
      <c r="A881" s="571"/>
      <c r="B881" s="1008"/>
      <c r="C881" s="7"/>
      <c r="P881" s="7"/>
      <c r="AX881" s="7"/>
      <c r="BP881" s="61"/>
      <c r="CE881" s="55"/>
      <c r="CF881" s="104"/>
      <c r="CG881" s="105"/>
      <c r="FK881" s="7"/>
    </row>
    <row r="882" spans="1:167">
      <c r="A882" s="571"/>
      <c r="B882" s="1008"/>
      <c r="C882" s="7"/>
      <c r="P882" s="7"/>
      <c r="AX882" s="7"/>
      <c r="BP882" s="61"/>
      <c r="CE882" s="55"/>
      <c r="CF882" s="104"/>
      <c r="CG882" s="105"/>
      <c r="FK882" s="7"/>
    </row>
    <row r="883" spans="1:167">
      <c r="A883" s="571"/>
      <c r="B883" s="1008"/>
      <c r="C883" s="7"/>
      <c r="P883" s="7"/>
      <c r="AX883" s="7"/>
      <c r="BP883" s="61"/>
      <c r="CE883" s="55"/>
      <c r="CF883" s="104"/>
      <c r="CG883" s="105"/>
      <c r="FK883" s="7"/>
    </row>
    <row r="884" spans="1:167">
      <c r="A884" s="571"/>
      <c r="B884" s="1008"/>
      <c r="C884" s="7"/>
      <c r="P884" s="7"/>
      <c r="AX884" s="7"/>
      <c r="BP884" s="61"/>
      <c r="CE884" s="55"/>
      <c r="CF884" s="104"/>
      <c r="CG884" s="105"/>
      <c r="FK884" s="7"/>
    </row>
    <row r="885" spans="1:167">
      <c r="A885" s="571"/>
      <c r="B885" s="1008"/>
      <c r="C885" s="7"/>
      <c r="P885" s="7"/>
      <c r="AX885" s="7"/>
      <c r="BP885" s="61"/>
      <c r="CE885" s="55"/>
      <c r="CF885" s="104"/>
      <c r="CG885" s="105"/>
      <c r="FK885" s="7"/>
    </row>
    <row r="886" spans="1:167">
      <c r="A886" s="571"/>
      <c r="B886" s="1008"/>
      <c r="C886" s="7"/>
      <c r="P886" s="7"/>
      <c r="AX886" s="7"/>
      <c r="BP886" s="61"/>
      <c r="CE886" s="55"/>
      <c r="CF886" s="104"/>
      <c r="CG886" s="105"/>
      <c r="FK886" s="7"/>
    </row>
    <row r="887" spans="1:167">
      <c r="A887" s="571"/>
      <c r="B887" s="1008"/>
      <c r="C887" s="7"/>
      <c r="P887" s="7"/>
      <c r="AX887" s="7"/>
      <c r="BP887" s="61"/>
      <c r="CE887" s="55"/>
      <c r="CF887" s="104"/>
      <c r="CG887" s="105"/>
      <c r="FK887" s="7"/>
    </row>
    <row r="888" spans="1:167">
      <c r="A888" s="571"/>
      <c r="B888" s="1008"/>
      <c r="C888" s="7"/>
      <c r="P888" s="7"/>
      <c r="AX888" s="7"/>
      <c r="BP888" s="61"/>
      <c r="CE888" s="55"/>
      <c r="CF888" s="104"/>
      <c r="CG888" s="105"/>
      <c r="FK888" s="7"/>
    </row>
    <row r="889" spans="1:167">
      <c r="A889" s="571"/>
      <c r="B889" s="1008"/>
      <c r="C889" s="7"/>
      <c r="P889" s="7"/>
      <c r="AX889" s="7"/>
      <c r="BP889" s="61"/>
      <c r="CE889" s="55"/>
      <c r="CF889" s="104"/>
      <c r="CG889" s="105"/>
      <c r="FK889" s="7"/>
    </row>
    <row r="890" spans="1:167">
      <c r="A890" s="571"/>
      <c r="B890" s="1008"/>
      <c r="C890" s="7"/>
      <c r="P890" s="7"/>
      <c r="AX890" s="7"/>
      <c r="BP890" s="61"/>
      <c r="CE890" s="55"/>
      <c r="CF890" s="104"/>
      <c r="CG890" s="105"/>
      <c r="FK890" s="7"/>
    </row>
    <row r="891" spans="1:167">
      <c r="A891" s="571"/>
      <c r="B891" s="1008"/>
      <c r="C891" s="7"/>
      <c r="P891" s="7"/>
      <c r="AX891" s="7"/>
      <c r="BP891" s="61"/>
      <c r="CE891" s="55"/>
      <c r="CF891" s="104"/>
      <c r="CG891" s="105"/>
      <c r="FK891" s="7"/>
    </row>
    <row r="892" spans="1:167">
      <c r="A892" s="571"/>
      <c r="B892" s="1008"/>
      <c r="C892" s="7"/>
      <c r="P892" s="7"/>
      <c r="AX892" s="7"/>
      <c r="BP892" s="61"/>
      <c r="CE892" s="55"/>
      <c r="CF892" s="104"/>
      <c r="CG892" s="105"/>
      <c r="FK892" s="7"/>
    </row>
    <row r="893" spans="1:167">
      <c r="A893" s="571"/>
      <c r="B893" s="1008"/>
      <c r="C893" s="7"/>
      <c r="P893" s="7"/>
      <c r="AX893" s="7"/>
      <c r="BP893" s="61"/>
      <c r="CE893" s="55"/>
      <c r="CF893" s="104"/>
      <c r="CG893" s="105"/>
      <c r="FK893" s="7"/>
    </row>
    <row r="894" spans="1:167">
      <c r="A894" s="571"/>
      <c r="B894" s="1008"/>
      <c r="C894" s="7"/>
      <c r="P894" s="7"/>
      <c r="AX894" s="7"/>
      <c r="BP894" s="61"/>
      <c r="CE894" s="55"/>
      <c r="CF894" s="104"/>
      <c r="CG894" s="105"/>
      <c r="FK894" s="7"/>
    </row>
    <row r="895" spans="1:167">
      <c r="A895" s="571"/>
      <c r="B895" s="1008"/>
      <c r="C895" s="7"/>
      <c r="P895" s="7"/>
      <c r="AX895" s="7"/>
      <c r="BP895" s="61"/>
      <c r="CE895" s="55"/>
      <c r="CF895" s="104"/>
      <c r="CG895" s="105"/>
      <c r="FK895" s="7"/>
    </row>
    <row r="896" spans="1:167">
      <c r="A896" s="571"/>
      <c r="B896" s="1008"/>
      <c r="C896" s="7"/>
      <c r="P896" s="7"/>
      <c r="AX896" s="7"/>
      <c r="BP896" s="61"/>
      <c r="CE896" s="55"/>
      <c r="CF896" s="104"/>
      <c r="CG896" s="105"/>
      <c r="FK896" s="7"/>
    </row>
    <row r="897" spans="1:167">
      <c r="A897" s="571"/>
      <c r="B897" s="1008"/>
      <c r="C897" s="7"/>
      <c r="P897" s="7"/>
      <c r="AX897" s="7"/>
      <c r="BP897" s="61"/>
      <c r="CE897" s="55"/>
      <c r="CF897" s="104"/>
      <c r="CG897" s="105"/>
      <c r="FK897" s="7"/>
    </row>
    <row r="898" spans="1:167">
      <c r="A898" s="571"/>
      <c r="B898" s="1008"/>
      <c r="C898" s="7"/>
      <c r="P898" s="7"/>
      <c r="AX898" s="7"/>
      <c r="BP898" s="61"/>
      <c r="CE898" s="55"/>
      <c r="CF898" s="104"/>
      <c r="CG898" s="105"/>
      <c r="FK898" s="7"/>
    </row>
    <row r="899" spans="1:167">
      <c r="A899" s="571"/>
      <c r="B899" s="1008"/>
      <c r="C899" s="7"/>
      <c r="P899" s="7"/>
      <c r="AX899" s="7"/>
      <c r="BP899" s="61"/>
      <c r="CE899" s="55"/>
      <c r="CF899" s="104"/>
      <c r="CG899" s="105"/>
      <c r="FK899" s="7"/>
    </row>
    <row r="900" spans="1:167">
      <c r="A900" s="571"/>
      <c r="B900" s="1008"/>
      <c r="C900" s="7"/>
      <c r="P900" s="7"/>
      <c r="AX900" s="7"/>
      <c r="BP900" s="61"/>
      <c r="CE900" s="55"/>
      <c r="CF900" s="104"/>
      <c r="CG900" s="105"/>
      <c r="FK900" s="7"/>
    </row>
    <row r="901" spans="1:167">
      <c r="A901" s="571"/>
      <c r="B901" s="1008"/>
      <c r="C901" s="7"/>
      <c r="P901" s="7"/>
      <c r="AX901" s="7"/>
      <c r="BP901" s="61"/>
      <c r="CE901" s="55"/>
      <c r="CF901" s="104"/>
      <c r="CG901" s="105"/>
      <c r="FK901" s="7"/>
    </row>
    <row r="902" spans="1:167">
      <c r="A902" s="571"/>
      <c r="B902" s="1008"/>
      <c r="C902" s="7"/>
      <c r="P902" s="7"/>
      <c r="AX902" s="7"/>
      <c r="BP902" s="61"/>
      <c r="CE902" s="55"/>
      <c r="CF902" s="104"/>
      <c r="CG902" s="105"/>
      <c r="FK902" s="7"/>
    </row>
    <row r="903" spans="1:167">
      <c r="A903" s="571"/>
      <c r="B903" s="1008"/>
      <c r="C903" s="7"/>
      <c r="P903" s="7"/>
      <c r="AX903" s="7"/>
      <c r="BP903" s="61"/>
      <c r="CE903" s="55"/>
      <c r="CF903" s="104"/>
      <c r="CG903" s="105"/>
      <c r="FK903" s="7"/>
    </row>
    <row r="904" spans="1:167">
      <c r="A904" s="571"/>
      <c r="B904" s="1008"/>
      <c r="C904" s="7"/>
      <c r="P904" s="7"/>
      <c r="AX904" s="7"/>
      <c r="BP904" s="61"/>
      <c r="CE904" s="55"/>
      <c r="CF904" s="104"/>
      <c r="CG904" s="105"/>
      <c r="FK904" s="7"/>
    </row>
    <row r="905" spans="1:167">
      <c r="A905" s="571"/>
      <c r="B905" s="1008"/>
      <c r="C905" s="7"/>
      <c r="P905" s="7"/>
      <c r="AX905" s="7"/>
      <c r="BP905" s="61"/>
      <c r="CE905" s="55"/>
      <c r="CF905" s="104"/>
      <c r="CG905" s="105"/>
      <c r="FK905" s="7"/>
    </row>
    <row r="906" spans="1:167">
      <c r="A906" s="571"/>
      <c r="B906" s="1008"/>
      <c r="C906" s="7"/>
      <c r="P906" s="7"/>
      <c r="AX906" s="7"/>
      <c r="BP906" s="61"/>
      <c r="CE906" s="55"/>
      <c r="CF906" s="104"/>
      <c r="CG906" s="105"/>
      <c r="FK906" s="7"/>
    </row>
    <row r="907" spans="1:167">
      <c r="A907" s="571"/>
      <c r="B907" s="1008"/>
      <c r="C907" s="7"/>
      <c r="P907" s="7"/>
      <c r="AX907" s="7"/>
      <c r="BP907" s="61"/>
      <c r="CE907" s="55"/>
      <c r="CF907" s="104"/>
      <c r="CG907" s="105"/>
      <c r="FK907" s="7"/>
    </row>
    <row r="908" spans="1:167">
      <c r="A908" s="571"/>
      <c r="B908" s="1008"/>
      <c r="C908" s="7"/>
      <c r="P908" s="7"/>
      <c r="AX908" s="7"/>
      <c r="BP908" s="61"/>
      <c r="CE908" s="55"/>
      <c r="CF908" s="104"/>
      <c r="CG908" s="105"/>
      <c r="FK908" s="7"/>
    </row>
    <row r="909" spans="1:167">
      <c r="A909" s="571"/>
      <c r="B909" s="1008"/>
      <c r="C909" s="7"/>
      <c r="P909" s="7"/>
      <c r="AX909" s="7"/>
      <c r="BP909" s="61"/>
      <c r="CE909" s="55"/>
      <c r="CF909" s="104"/>
      <c r="CG909" s="105"/>
      <c r="FK909" s="7"/>
    </row>
    <row r="910" spans="1:167">
      <c r="A910" s="571"/>
      <c r="B910" s="1008"/>
      <c r="C910" s="7"/>
      <c r="P910" s="7"/>
      <c r="AX910" s="7"/>
      <c r="BP910" s="61"/>
      <c r="CE910" s="55"/>
      <c r="CF910" s="104"/>
      <c r="CG910" s="105"/>
      <c r="FK910" s="7"/>
    </row>
    <row r="911" spans="1:167">
      <c r="A911" s="571"/>
      <c r="B911" s="1008"/>
      <c r="C911" s="7"/>
      <c r="P911" s="7"/>
      <c r="AX911" s="7"/>
      <c r="BP911" s="61"/>
      <c r="CE911" s="55"/>
      <c r="CF911" s="104"/>
      <c r="CG911" s="105"/>
      <c r="FK911" s="7"/>
    </row>
    <row r="912" spans="1:167">
      <c r="A912" s="571"/>
      <c r="B912" s="1008"/>
      <c r="C912" s="7"/>
      <c r="P912" s="7"/>
      <c r="AX912" s="7"/>
      <c r="BP912" s="61"/>
      <c r="CE912" s="55"/>
      <c r="CF912" s="104"/>
      <c r="CG912" s="105"/>
      <c r="FK912" s="7"/>
    </row>
    <row r="913" spans="1:167">
      <c r="A913" s="571"/>
      <c r="B913" s="1008"/>
      <c r="C913" s="7"/>
      <c r="P913" s="7"/>
      <c r="AX913" s="7"/>
      <c r="BP913" s="61"/>
      <c r="CE913" s="55"/>
      <c r="CF913" s="104"/>
      <c r="CG913" s="105"/>
      <c r="FK913" s="7"/>
    </row>
    <row r="914" spans="1:167">
      <c r="A914" s="571"/>
      <c r="B914" s="1008"/>
      <c r="C914" s="7"/>
      <c r="P914" s="7"/>
      <c r="AX914" s="7"/>
      <c r="BP914" s="61"/>
      <c r="CE914" s="55"/>
      <c r="CF914" s="104"/>
      <c r="CG914" s="105"/>
      <c r="FK914" s="7"/>
    </row>
    <row r="915" spans="1:167">
      <c r="A915" s="571"/>
      <c r="B915" s="1008"/>
      <c r="C915" s="7"/>
      <c r="P915" s="7"/>
      <c r="AX915" s="7"/>
      <c r="BP915" s="61"/>
      <c r="CE915" s="55"/>
      <c r="CF915" s="104"/>
      <c r="CG915" s="105"/>
      <c r="FK915" s="7"/>
    </row>
    <row r="916" spans="1:167">
      <c r="A916" s="571"/>
      <c r="B916" s="1008"/>
      <c r="C916" s="7"/>
      <c r="P916" s="7"/>
      <c r="AX916" s="7"/>
      <c r="BP916" s="61"/>
      <c r="CE916" s="55"/>
      <c r="CF916" s="104"/>
      <c r="CG916" s="105"/>
      <c r="FK916" s="7"/>
    </row>
    <row r="917" spans="1:167">
      <c r="A917" s="571"/>
      <c r="B917" s="1008"/>
      <c r="C917" s="7"/>
      <c r="P917" s="7"/>
      <c r="AX917" s="7"/>
      <c r="BP917" s="61"/>
      <c r="CF917" s="104"/>
      <c r="CG917" s="105"/>
      <c r="FK917" s="7"/>
    </row>
    <row r="918" spans="1:167">
      <c r="A918" s="571"/>
      <c r="B918" s="1008"/>
      <c r="C918" s="7"/>
      <c r="P918" s="7"/>
      <c r="AX918" s="7"/>
      <c r="BP918" s="61"/>
      <c r="CF918" s="104"/>
      <c r="CG918" s="105"/>
      <c r="FK918" s="7"/>
    </row>
    <row r="919" spans="1:167">
      <c r="A919" s="571"/>
      <c r="B919" s="1008"/>
      <c r="C919" s="7"/>
      <c r="P919" s="7"/>
      <c r="AX919" s="7"/>
      <c r="BP919" s="61"/>
      <c r="CF919" s="104"/>
      <c r="CG919" s="105"/>
      <c r="FK919" s="7"/>
    </row>
    <row r="920" spans="1:167">
      <c r="A920" s="571"/>
      <c r="B920" s="1008"/>
      <c r="C920" s="7"/>
      <c r="P920" s="7"/>
      <c r="AX920" s="7"/>
      <c r="BP920" s="61"/>
      <c r="CF920" s="104"/>
      <c r="CG920" s="105"/>
      <c r="FK920" s="7"/>
    </row>
    <row r="921" spans="1:167">
      <c r="A921" s="571"/>
      <c r="B921" s="1008"/>
      <c r="C921" s="7"/>
      <c r="P921" s="7"/>
      <c r="AX921" s="7"/>
      <c r="BP921" s="61"/>
      <c r="CF921" s="104"/>
      <c r="CG921" s="105"/>
      <c r="FK921" s="7"/>
    </row>
    <row r="922" spans="1:167">
      <c r="A922" s="571"/>
      <c r="B922" s="1008"/>
      <c r="C922" s="7"/>
      <c r="P922" s="7"/>
      <c r="AX922" s="7"/>
      <c r="BP922" s="61"/>
      <c r="CF922" s="104"/>
      <c r="CG922" s="105"/>
      <c r="FK922" s="7"/>
    </row>
    <row r="923" spans="1:167">
      <c r="A923" s="571"/>
      <c r="B923" s="1008"/>
      <c r="C923" s="7"/>
      <c r="P923" s="7"/>
      <c r="AX923" s="7"/>
      <c r="BP923" s="61"/>
      <c r="CF923" s="104"/>
      <c r="CG923" s="105"/>
      <c r="FK923" s="7"/>
    </row>
    <row r="924" spans="1:167">
      <c r="A924" s="571"/>
      <c r="B924" s="1008"/>
      <c r="C924" s="7"/>
      <c r="P924" s="7"/>
      <c r="AX924" s="7"/>
      <c r="BP924" s="61"/>
      <c r="CF924" s="104"/>
      <c r="CG924" s="105"/>
      <c r="FK924" s="7"/>
    </row>
    <row r="925" spans="1:167">
      <c r="A925" s="571"/>
      <c r="B925" s="1008"/>
      <c r="C925" s="7"/>
      <c r="P925" s="7"/>
      <c r="AX925" s="7"/>
      <c r="BP925" s="61"/>
      <c r="CF925" s="104"/>
      <c r="CG925" s="105"/>
      <c r="FK925" s="7"/>
    </row>
    <row r="926" spans="1:167">
      <c r="A926" s="571"/>
      <c r="B926" s="1008"/>
      <c r="C926" s="7"/>
      <c r="P926" s="7"/>
      <c r="AX926" s="7"/>
      <c r="BP926" s="61"/>
      <c r="CF926" s="104"/>
      <c r="CG926" s="105"/>
      <c r="FK926" s="7"/>
    </row>
    <row r="927" spans="1:167">
      <c r="A927" s="571"/>
      <c r="B927" s="1008"/>
      <c r="C927" s="7"/>
      <c r="P927" s="7"/>
      <c r="AX927" s="7"/>
      <c r="BP927" s="61"/>
      <c r="CF927" s="104"/>
      <c r="CG927" s="105"/>
      <c r="FK927" s="7"/>
    </row>
    <row r="928" spans="1:167">
      <c r="A928" s="571"/>
      <c r="B928" s="1008"/>
      <c r="C928" s="7"/>
      <c r="P928" s="7"/>
      <c r="AX928" s="7"/>
      <c r="BP928" s="61"/>
      <c r="CF928" s="104"/>
      <c r="CG928" s="105"/>
      <c r="FK928" s="7"/>
    </row>
    <row r="929" spans="1:167">
      <c r="A929" s="571"/>
      <c r="B929" s="1008"/>
      <c r="C929" s="7"/>
      <c r="P929" s="7"/>
      <c r="AX929" s="7"/>
      <c r="BP929" s="61"/>
      <c r="CF929" s="104"/>
      <c r="CG929" s="105"/>
      <c r="FK929" s="7"/>
    </row>
    <row r="930" spans="1:167">
      <c r="A930" s="571"/>
      <c r="B930" s="1008"/>
      <c r="C930" s="7"/>
      <c r="P930" s="7"/>
      <c r="AX930" s="7"/>
      <c r="BP930" s="61"/>
      <c r="CF930" s="104"/>
      <c r="CG930" s="105"/>
      <c r="FK930" s="7"/>
    </row>
    <row r="931" spans="1:167">
      <c r="A931" s="571"/>
      <c r="B931" s="1008"/>
      <c r="C931" s="7"/>
      <c r="P931" s="7"/>
      <c r="AX931" s="7"/>
      <c r="BP931" s="61"/>
      <c r="CF931" s="104"/>
      <c r="CG931" s="105"/>
      <c r="FK931" s="7"/>
    </row>
    <row r="932" spans="1:167">
      <c r="A932" s="571"/>
      <c r="B932" s="1008"/>
      <c r="C932" s="7"/>
      <c r="P932" s="7"/>
      <c r="AX932" s="7"/>
      <c r="BP932" s="61"/>
      <c r="CF932" s="104"/>
      <c r="CG932" s="105"/>
      <c r="FK932" s="7"/>
    </row>
    <row r="933" spans="1:167">
      <c r="A933" s="571"/>
      <c r="B933" s="1008"/>
      <c r="C933" s="7"/>
      <c r="P933" s="7"/>
      <c r="AX933" s="7"/>
      <c r="BP933" s="61"/>
      <c r="CF933" s="104"/>
      <c r="CG933" s="105"/>
      <c r="FK933" s="7"/>
    </row>
    <row r="934" spans="1:167">
      <c r="A934" s="571"/>
      <c r="B934" s="1008"/>
      <c r="C934" s="7"/>
      <c r="P934" s="7"/>
      <c r="AX934" s="7"/>
      <c r="BP934" s="61"/>
      <c r="CF934" s="104"/>
      <c r="CG934" s="105"/>
      <c r="FK934" s="7"/>
    </row>
    <row r="935" spans="1:167">
      <c r="A935" s="571"/>
      <c r="B935" s="1008"/>
      <c r="C935" s="7"/>
      <c r="P935" s="7"/>
      <c r="AX935" s="7"/>
      <c r="BP935" s="61"/>
      <c r="CF935" s="104"/>
      <c r="CG935" s="105"/>
      <c r="FK935" s="7"/>
    </row>
    <row r="936" spans="1:167">
      <c r="A936" s="571"/>
      <c r="B936" s="1008"/>
      <c r="C936" s="7"/>
      <c r="P936" s="7"/>
      <c r="AX936" s="7"/>
      <c r="BP936" s="61"/>
      <c r="CF936" s="104"/>
      <c r="CG936" s="105"/>
      <c r="FK936" s="7"/>
    </row>
    <row r="937" spans="1:167">
      <c r="A937" s="571"/>
      <c r="B937" s="1008"/>
      <c r="C937" s="7"/>
      <c r="P937" s="7"/>
      <c r="AX937" s="7"/>
      <c r="BP937" s="61"/>
      <c r="CF937" s="104"/>
      <c r="CG937" s="105"/>
      <c r="FK937" s="7"/>
    </row>
    <row r="938" spans="1:167">
      <c r="A938" s="571"/>
      <c r="B938" s="1008"/>
      <c r="C938" s="7"/>
      <c r="P938" s="7"/>
      <c r="AX938" s="7"/>
      <c r="BP938" s="61"/>
      <c r="CF938" s="104"/>
      <c r="CG938" s="105"/>
      <c r="FK938" s="7"/>
    </row>
    <row r="939" spans="1:167">
      <c r="A939" s="571"/>
      <c r="B939" s="1008"/>
      <c r="C939" s="7"/>
      <c r="P939" s="7"/>
      <c r="AX939" s="7"/>
      <c r="BP939" s="61"/>
      <c r="CF939" s="104"/>
      <c r="CG939" s="105"/>
      <c r="FK939" s="7"/>
    </row>
    <row r="940" spans="1:167">
      <c r="A940" s="571"/>
      <c r="B940" s="1008"/>
      <c r="C940" s="7"/>
      <c r="P940" s="7"/>
      <c r="AX940" s="7"/>
      <c r="BP940" s="61"/>
      <c r="CF940" s="104"/>
      <c r="CG940" s="105"/>
      <c r="FK940" s="7"/>
    </row>
    <row r="941" spans="1:167">
      <c r="A941" s="571"/>
      <c r="B941" s="1008"/>
      <c r="C941" s="7"/>
      <c r="P941" s="7"/>
      <c r="AX941" s="7"/>
      <c r="BP941" s="61"/>
      <c r="CF941" s="104"/>
      <c r="CG941" s="105"/>
      <c r="FK941" s="7"/>
    </row>
    <row r="942" spans="1:167">
      <c r="A942" s="571"/>
      <c r="B942" s="1008"/>
      <c r="C942" s="7"/>
      <c r="P942" s="7"/>
      <c r="AX942" s="7"/>
      <c r="BP942" s="61"/>
      <c r="CF942" s="104"/>
      <c r="CG942" s="105"/>
      <c r="FK942" s="7"/>
    </row>
    <row r="943" spans="1:167">
      <c r="A943" s="571"/>
      <c r="B943" s="1008"/>
      <c r="C943" s="7"/>
      <c r="P943" s="7"/>
      <c r="AX943" s="7"/>
      <c r="BP943" s="61"/>
      <c r="CF943" s="104"/>
      <c r="CG943" s="105"/>
      <c r="FK943" s="7"/>
    </row>
    <row r="944" spans="1:167">
      <c r="A944" s="571"/>
      <c r="B944" s="1008"/>
      <c r="C944" s="7"/>
      <c r="P944" s="7"/>
      <c r="AX944" s="7"/>
      <c r="BP944" s="61"/>
      <c r="CF944" s="104"/>
      <c r="CG944" s="105"/>
      <c r="FK944" s="7"/>
    </row>
    <row r="945" spans="1:167">
      <c r="A945" s="571"/>
      <c r="B945" s="1008"/>
      <c r="C945" s="7"/>
      <c r="P945" s="7"/>
      <c r="AX945" s="7"/>
      <c r="BP945" s="61"/>
      <c r="CF945" s="104"/>
      <c r="CG945" s="105"/>
      <c r="FK945" s="7"/>
    </row>
    <row r="946" spans="1:167">
      <c r="A946" s="571"/>
      <c r="B946" s="1008"/>
      <c r="C946" s="7"/>
      <c r="P946" s="7"/>
      <c r="AX946" s="7"/>
      <c r="BP946" s="61"/>
      <c r="CF946" s="104"/>
      <c r="CG946" s="105"/>
      <c r="FK946" s="7"/>
    </row>
    <row r="947" spans="1:167">
      <c r="A947" s="571"/>
      <c r="B947" s="1008"/>
      <c r="C947" s="7"/>
      <c r="P947" s="7"/>
      <c r="AX947" s="7"/>
      <c r="BP947" s="61"/>
      <c r="CF947" s="104"/>
      <c r="CG947" s="105"/>
      <c r="FK947" s="7"/>
    </row>
    <row r="948" spans="1:167">
      <c r="A948" s="571"/>
      <c r="B948" s="1008"/>
      <c r="C948" s="7"/>
      <c r="P948" s="7"/>
      <c r="AX948" s="7"/>
      <c r="BP948" s="61"/>
      <c r="CF948" s="104"/>
      <c r="CG948" s="105"/>
      <c r="FK948" s="7"/>
    </row>
    <row r="949" spans="1:167">
      <c r="A949" s="571"/>
      <c r="B949" s="1008"/>
      <c r="C949" s="7"/>
      <c r="P949" s="7"/>
      <c r="AX949" s="7"/>
      <c r="BP949" s="61"/>
      <c r="CF949" s="104"/>
      <c r="CG949" s="105"/>
      <c r="FK949" s="7"/>
    </row>
    <row r="950" spans="1:167">
      <c r="A950" s="571"/>
      <c r="B950" s="1008"/>
      <c r="C950" s="7"/>
      <c r="P950" s="7"/>
      <c r="AX950" s="7"/>
      <c r="BP950" s="61"/>
      <c r="CF950" s="104"/>
      <c r="CG950" s="105"/>
      <c r="FK950" s="7"/>
    </row>
    <row r="951" spans="1:167">
      <c r="A951" s="571"/>
      <c r="B951" s="1008"/>
      <c r="C951" s="7"/>
      <c r="P951" s="7"/>
      <c r="AX951" s="7"/>
      <c r="BP951" s="61"/>
      <c r="CF951" s="104"/>
      <c r="CG951" s="105"/>
      <c r="FK951" s="7"/>
    </row>
    <row r="952" spans="1:167">
      <c r="A952" s="571"/>
      <c r="B952" s="1008"/>
      <c r="C952" s="7"/>
      <c r="P952" s="7"/>
      <c r="AX952" s="7"/>
      <c r="BP952" s="61"/>
      <c r="CF952" s="104"/>
      <c r="CG952" s="105"/>
      <c r="FK952" s="7"/>
    </row>
    <row r="953" spans="1:167">
      <c r="A953" s="571"/>
      <c r="B953" s="1008"/>
      <c r="C953" s="7"/>
      <c r="P953" s="7"/>
      <c r="AX953" s="7"/>
      <c r="BP953" s="61"/>
      <c r="CF953" s="104"/>
      <c r="CG953" s="105"/>
      <c r="FK953" s="7"/>
    </row>
    <row r="954" spans="1:167">
      <c r="A954" s="571"/>
      <c r="B954" s="1008"/>
      <c r="C954" s="7"/>
      <c r="P954" s="7"/>
      <c r="AX954" s="7"/>
      <c r="BP954" s="61"/>
      <c r="CF954" s="104"/>
      <c r="CG954" s="105"/>
      <c r="FK954" s="7"/>
    </row>
    <row r="955" spans="1:167">
      <c r="A955" s="571"/>
      <c r="B955" s="1008"/>
      <c r="C955" s="7"/>
      <c r="P955" s="7"/>
      <c r="AX955" s="7"/>
      <c r="BP955" s="61"/>
      <c r="CF955" s="104"/>
      <c r="CG955" s="105"/>
      <c r="FK955" s="7"/>
    </row>
    <row r="956" spans="1:167">
      <c r="A956" s="571"/>
      <c r="B956" s="1008"/>
      <c r="C956" s="7"/>
      <c r="P956" s="7"/>
      <c r="AX956" s="7"/>
      <c r="BP956" s="61"/>
      <c r="CF956" s="104"/>
      <c r="CG956" s="105"/>
      <c r="FK956" s="7"/>
    </row>
    <row r="957" spans="1:167">
      <c r="A957" s="571"/>
      <c r="B957" s="1008"/>
      <c r="C957" s="7"/>
      <c r="P957" s="7"/>
      <c r="AX957" s="7"/>
      <c r="BP957" s="61"/>
      <c r="CF957" s="104"/>
      <c r="CG957" s="105"/>
      <c r="FK957" s="7"/>
    </row>
    <row r="958" spans="1:167">
      <c r="A958" s="571"/>
      <c r="B958" s="1008"/>
      <c r="C958" s="7"/>
      <c r="P958" s="7"/>
      <c r="AX958" s="7"/>
      <c r="BP958" s="61"/>
      <c r="CF958" s="104"/>
      <c r="CG958" s="105"/>
      <c r="FK958" s="7"/>
    </row>
    <row r="959" spans="1:167">
      <c r="A959" s="571"/>
      <c r="B959" s="1008"/>
      <c r="C959" s="7"/>
      <c r="P959" s="7"/>
      <c r="AX959" s="7"/>
      <c r="BP959" s="61"/>
      <c r="CF959" s="104"/>
      <c r="CG959" s="105"/>
      <c r="FK959" s="7"/>
    </row>
    <row r="960" spans="1:167">
      <c r="A960" s="571"/>
      <c r="B960" s="1008"/>
      <c r="C960" s="7"/>
      <c r="P960" s="7"/>
      <c r="AX960" s="7"/>
      <c r="BP960" s="61"/>
      <c r="CF960" s="104"/>
      <c r="CG960" s="105"/>
      <c r="FK960" s="7"/>
    </row>
    <row r="961" spans="1:167">
      <c r="A961" s="571"/>
      <c r="B961" s="1008"/>
      <c r="C961" s="7"/>
      <c r="P961" s="7"/>
      <c r="AX961" s="7"/>
      <c r="BP961" s="61"/>
      <c r="CF961" s="104"/>
      <c r="CG961" s="105"/>
      <c r="FK961" s="7"/>
    </row>
    <row r="962" spans="1:167">
      <c r="A962" s="571"/>
      <c r="B962" s="1008"/>
      <c r="C962" s="7"/>
      <c r="P962" s="7"/>
      <c r="AX962" s="7"/>
      <c r="BP962" s="61"/>
      <c r="CF962" s="104"/>
      <c r="CG962" s="105"/>
      <c r="FK962" s="7"/>
    </row>
    <row r="963" spans="1:167">
      <c r="A963" s="571"/>
      <c r="B963" s="1008"/>
      <c r="C963" s="7"/>
      <c r="P963" s="7"/>
      <c r="AX963" s="7"/>
      <c r="BP963" s="61"/>
      <c r="CF963" s="104"/>
      <c r="CG963" s="105"/>
      <c r="FK963" s="7"/>
    </row>
    <row r="964" spans="1:167">
      <c r="A964" s="571"/>
      <c r="B964" s="1008"/>
      <c r="C964" s="7"/>
      <c r="P964" s="7"/>
      <c r="AX964" s="7"/>
      <c r="BP964" s="61"/>
      <c r="CF964" s="104"/>
      <c r="CG964" s="105"/>
      <c r="FK964" s="7"/>
    </row>
    <row r="965" spans="1:167">
      <c r="A965" s="571"/>
      <c r="B965" s="1008"/>
      <c r="C965" s="7"/>
      <c r="P965" s="7"/>
      <c r="AX965" s="7"/>
      <c r="BP965" s="61"/>
      <c r="CF965" s="104"/>
      <c r="CG965" s="105"/>
      <c r="FK965" s="7"/>
    </row>
    <row r="966" spans="1:167">
      <c r="A966" s="571"/>
      <c r="B966" s="1008"/>
      <c r="C966" s="7"/>
      <c r="P966" s="7"/>
      <c r="AX966" s="7"/>
      <c r="BP966" s="61"/>
      <c r="CF966" s="104"/>
      <c r="CG966" s="105"/>
      <c r="FK966" s="7"/>
    </row>
    <row r="967" spans="1:167">
      <c r="A967" s="571"/>
      <c r="B967" s="1008"/>
      <c r="C967" s="7"/>
      <c r="P967" s="7"/>
      <c r="AX967" s="7"/>
      <c r="BP967" s="61"/>
      <c r="CF967" s="104"/>
      <c r="CG967" s="105"/>
      <c r="FK967" s="7"/>
    </row>
    <row r="968" spans="1:167">
      <c r="A968" s="571"/>
      <c r="B968" s="1008"/>
      <c r="C968" s="7"/>
      <c r="P968" s="7"/>
      <c r="AX968" s="7"/>
      <c r="BP968" s="61"/>
      <c r="CF968" s="104"/>
      <c r="CG968" s="105"/>
      <c r="FK968" s="7"/>
    </row>
    <row r="969" spans="1:167">
      <c r="A969" s="571"/>
      <c r="B969" s="1008"/>
      <c r="C969" s="7"/>
      <c r="P969" s="7"/>
      <c r="AX969" s="7"/>
      <c r="BP969" s="61"/>
      <c r="CF969" s="104"/>
      <c r="CG969" s="105"/>
      <c r="FK969" s="7"/>
    </row>
    <row r="970" spans="1:167">
      <c r="A970" s="571"/>
      <c r="B970" s="1008"/>
      <c r="C970" s="7"/>
      <c r="P970" s="7"/>
      <c r="AX970" s="7"/>
      <c r="BP970" s="61"/>
      <c r="CF970" s="104"/>
      <c r="CG970" s="105"/>
      <c r="FK970" s="7"/>
    </row>
    <row r="971" spans="1:167">
      <c r="A971" s="571"/>
      <c r="B971" s="1008"/>
      <c r="C971" s="7"/>
      <c r="P971" s="7"/>
      <c r="AX971" s="7"/>
      <c r="BP971" s="61"/>
      <c r="CF971" s="104"/>
      <c r="CG971" s="105"/>
      <c r="FK971" s="7"/>
    </row>
    <row r="972" spans="1:167">
      <c r="A972" s="571"/>
      <c r="B972" s="1008"/>
      <c r="C972" s="7"/>
      <c r="P972" s="7"/>
      <c r="AX972" s="7"/>
      <c r="BP972" s="61"/>
      <c r="CF972" s="104"/>
      <c r="CG972" s="105"/>
      <c r="FK972" s="7"/>
    </row>
    <row r="973" spans="1:167">
      <c r="A973" s="571"/>
      <c r="B973" s="1008"/>
      <c r="C973" s="7"/>
      <c r="P973" s="7"/>
      <c r="AX973" s="7"/>
      <c r="BP973" s="61"/>
      <c r="CF973" s="104"/>
      <c r="CG973" s="105"/>
      <c r="FK973" s="7"/>
    </row>
    <row r="974" spans="1:167">
      <c r="A974" s="571"/>
      <c r="B974" s="1008"/>
      <c r="C974" s="7"/>
      <c r="P974" s="7"/>
      <c r="AX974" s="7"/>
      <c r="BP974" s="61"/>
      <c r="CF974" s="104"/>
      <c r="CG974" s="105"/>
      <c r="FK974" s="7"/>
    </row>
    <row r="975" spans="1:167">
      <c r="A975" s="571"/>
      <c r="B975" s="1008"/>
      <c r="C975" s="7"/>
      <c r="P975" s="7"/>
      <c r="AX975" s="7"/>
      <c r="BP975" s="61"/>
      <c r="CF975" s="104"/>
      <c r="CG975" s="105"/>
      <c r="FK975" s="7"/>
    </row>
    <row r="976" spans="1:167">
      <c r="A976" s="571"/>
      <c r="B976" s="1008"/>
      <c r="C976" s="7"/>
      <c r="P976" s="7"/>
      <c r="AX976" s="7"/>
      <c r="BP976" s="61"/>
      <c r="CF976" s="104"/>
      <c r="CG976" s="105"/>
      <c r="FK976" s="7"/>
    </row>
    <row r="977" spans="1:167">
      <c r="A977" s="571"/>
      <c r="B977" s="1008"/>
      <c r="C977" s="7"/>
      <c r="P977" s="7"/>
      <c r="AX977" s="7"/>
      <c r="BP977" s="61"/>
      <c r="CF977" s="104"/>
      <c r="CG977" s="105"/>
      <c r="FK977" s="7"/>
    </row>
    <row r="978" spans="1:167">
      <c r="A978" s="571"/>
      <c r="B978" s="1008"/>
      <c r="C978" s="7"/>
      <c r="P978" s="7"/>
      <c r="AX978" s="7"/>
      <c r="BP978" s="61"/>
      <c r="CF978" s="104"/>
      <c r="CG978" s="105"/>
      <c r="FK978" s="7"/>
    </row>
    <row r="979" spans="1:167">
      <c r="A979" s="571"/>
      <c r="B979" s="1008"/>
      <c r="C979" s="7"/>
      <c r="P979" s="7"/>
      <c r="AX979" s="7"/>
      <c r="BP979" s="61"/>
      <c r="CF979" s="104"/>
      <c r="CG979" s="105"/>
      <c r="FK979" s="7"/>
    </row>
    <row r="980" spans="1:167">
      <c r="A980" s="571"/>
      <c r="B980" s="1008"/>
      <c r="C980" s="7"/>
      <c r="P980" s="7"/>
      <c r="AX980" s="7"/>
      <c r="BP980" s="61"/>
      <c r="CF980" s="104"/>
      <c r="CG980" s="105"/>
      <c r="FK980" s="7"/>
    </row>
    <row r="981" spans="1:167">
      <c r="A981" s="571"/>
      <c r="B981" s="1008"/>
      <c r="C981" s="7"/>
      <c r="P981" s="7"/>
      <c r="AX981" s="7"/>
      <c r="BP981" s="61"/>
      <c r="CF981" s="104"/>
      <c r="CG981" s="105"/>
      <c r="FK981" s="7"/>
    </row>
    <row r="982" spans="1:167">
      <c r="A982" s="571"/>
      <c r="B982" s="1008"/>
      <c r="C982" s="7"/>
      <c r="P982" s="7"/>
      <c r="AX982" s="7"/>
      <c r="BP982" s="61"/>
      <c r="CF982" s="104"/>
      <c r="CG982" s="105"/>
      <c r="FK982" s="7"/>
    </row>
    <row r="983" spans="1:167">
      <c r="A983" s="571"/>
      <c r="B983" s="1008"/>
      <c r="C983" s="7"/>
      <c r="P983" s="7"/>
      <c r="AX983" s="7"/>
      <c r="BP983" s="61"/>
      <c r="CF983" s="104"/>
      <c r="CG983" s="105"/>
      <c r="FK983" s="7"/>
    </row>
    <row r="984" spans="1:167">
      <c r="A984" s="571"/>
      <c r="B984" s="1008"/>
      <c r="C984" s="7"/>
      <c r="P984" s="7"/>
      <c r="AX984" s="7"/>
      <c r="BP984" s="61"/>
      <c r="CF984" s="104"/>
      <c r="CG984" s="105"/>
      <c r="FK984" s="7"/>
    </row>
    <row r="985" spans="1:167">
      <c r="A985" s="571"/>
      <c r="B985" s="1008"/>
      <c r="C985" s="7"/>
      <c r="P985" s="7"/>
      <c r="AX985" s="7"/>
      <c r="BP985" s="61"/>
      <c r="CF985" s="104"/>
      <c r="CG985" s="105"/>
      <c r="FK985" s="7"/>
    </row>
    <row r="986" spans="1:167">
      <c r="A986" s="571"/>
      <c r="B986" s="1008"/>
      <c r="C986" s="7"/>
      <c r="P986" s="7"/>
      <c r="AX986" s="7"/>
      <c r="BP986" s="61"/>
      <c r="CF986" s="104"/>
      <c r="CG986" s="105"/>
      <c r="FK986" s="7"/>
    </row>
    <row r="987" spans="1:167">
      <c r="A987" s="571"/>
      <c r="B987" s="1008"/>
      <c r="C987" s="7"/>
      <c r="P987" s="7"/>
      <c r="AX987" s="7"/>
      <c r="BP987" s="61"/>
      <c r="CF987" s="104"/>
      <c r="CG987" s="105"/>
      <c r="FK987" s="7"/>
    </row>
    <row r="988" spans="1:167">
      <c r="A988" s="571"/>
      <c r="B988" s="1008"/>
      <c r="C988" s="7"/>
      <c r="P988" s="7"/>
      <c r="AX988" s="7"/>
      <c r="BP988" s="61"/>
      <c r="CF988" s="104"/>
      <c r="CG988" s="105"/>
      <c r="FK988" s="7"/>
    </row>
    <row r="989" spans="1:167">
      <c r="A989" s="571"/>
      <c r="B989" s="1008"/>
      <c r="C989" s="7"/>
      <c r="P989" s="7"/>
      <c r="AX989" s="7"/>
      <c r="BP989" s="61"/>
      <c r="CF989" s="104"/>
      <c r="CG989" s="105"/>
      <c r="FK989" s="7"/>
    </row>
    <row r="990" spans="1:167">
      <c r="A990" s="571"/>
      <c r="B990" s="1008"/>
      <c r="C990" s="7"/>
      <c r="P990" s="7"/>
      <c r="AX990" s="7"/>
      <c r="BP990" s="61"/>
      <c r="CF990" s="104"/>
      <c r="CG990" s="105"/>
      <c r="FK990" s="7"/>
    </row>
    <row r="991" spans="1:167">
      <c r="A991" s="571"/>
      <c r="B991" s="1008"/>
      <c r="C991" s="7"/>
      <c r="P991" s="7"/>
      <c r="AX991" s="7"/>
      <c r="BP991" s="61"/>
      <c r="CF991" s="104"/>
      <c r="CG991" s="105"/>
      <c r="FK991" s="7"/>
    </row>
    <row r="992" spans="1:167">
      <c r="A992" s="571"/>
      <c r="B992" s="1008"/>
      <c r="C992" s="7"/>
      <c r="P992" s="7"/>
      <c r="AX992" s="7"/>
      <c r="BP992" s="61"/>
      <c r="CF992" s="104"/>
      <c r="CG992" s="105"/>
      <c r="FK992" s="7"/>
    </row>
    <row r="993" spans="1:167">
      <c r="A993" s="571"/>
      <c r="B993" s="1008"/>
      <c r="C993" s="7"/>
      <c r="P993" s="7"/>
      <c r="AX993" s="7"/>
      <c r="BP993" s="61"/>
      <c r="CF993" s="104"/>
      <c r="CG993" s="105"/>
      <c r="FK993" s="7"/>
    </row>
    <row r="994" spans="1:167">
      <c r="A994" s="571"/>
      <c r="B994" s="1008"/>
      <c r="C994" s="7"/>
      <c r="P994" s="7"/>
      <c r="AX994" s="7"/>
      <c r="BP994" s="61"/>
      <c r="CF994" s="104"/>
      <c r="CG994" s="105"/>
      <c r="FK994" s="7"/>
    </row>
    <row r="995" spans="1:167">
      <c r="A995" s="571"/>
      <c r="B995" s="1008"/>
      <c r="C995" s="7"/>
      <c r="P995" s="7"/>
      <c r="AX995" s="7"/>
      <c r="BP995" s="61"/>
      <c r="CF995" s="104"/>
      <c r="CG995" s="105"/>
      <c r="FK995" s="7"/>
    </row>
    <row r="996" spans="1:167">
      <c r="A996" s="571"/>
      <c r="B996" s="1008"/>
      <c r="C996" s="7"/>
      <c r="P996" s="7"/>
      <c r="AX996" s="7"/>
      <c r="BP996" s="61"/>
      <c r="CF996" s="104"/>
      <c r="CG996" s="105"/>
      <c r="FK996" s="7"/>
    </row>
    <row r="997" spans="1:167">
      <c r="A997" s="571"/>
      <c r="B997" s="1008"/>
      <c r="C997" s="7"/>
      <c r="P997" s="7"/>
      <c r="AX997" s="7"/>
      <c r="BP997" s="61"/>
      <c r="CF997" s="104"/>
      <c r="CG997" s="105"/>
      <c r="FK997" s="7"/>
    </row>
    <row r="998" spans="1:167">
      <c r="A998" s="571"/>
      <c r="B998" s="1008"/>
      <c r="C998" s="7"/>
      <c r="P998" s="7"/>
      <c r="AX998" s="7"/>
      <c r="BP998" s="61"/>
      <c r="CF998" s="104"/>
      <c r="CG998" s="105"/>
      <c r="FK998" s="7"/>
    </row>
    <row r="999" spans="1:167">
      <c r="A999" s="571"/>
      <c r="B999" s="1008"/>
      <c r="C999" s="7"/>
      <c r="P999" s="7"/>
      <c r="AX999" s="7"/>
      <c r="BP999" s="61"/>
      <c r="CF999" s="104"/>
      <c r="CG999" s="105"/>
      <c r="FK999" s="7"/>
    </row>
    <row r="1000" spans="1:167">
      <c r="A1000" s="571"/>
      <c r="B1000" s="1008"/>
      <c r="C1000" s="7"/>
      <c r="P1000" s="7"/>
      <c r="AX1000" s="7"/>
      <c r="BP1000" s="61"/>
      <c r="CF1000" s="104"/>
      <c r="CG1000" s="105"/>
      <c r="FK1000" s="7"/>
    </row>
    <row r="1001" spans="1:167">
      <c r="A1001" s="571"/>
      <c r="B1001" s="1008"/>
      <c r="C1001" s="7"/>
      <c r="P1001" s="7"/>
      <c r="AX1001" s="7"/>
      <c r="BP1001" s="61"/>
      <c r="CF1001" s="104"/>
      <c r="CG1001" s="105"/>
      <c r="FK1001" s="7"/>
    </row>
    <row r="1002" spans="1:167">
      <c r="A1002" s="571"/>
      <c r="B1002" s="1008"/>
      <c r="C1002" s="7"/>
      <c r="P1002" s="7"/>
      <c r="AX1002" s="7"/>
      <c r="BP1002" s="61"/>
      <c r="CF1002" s="104"/>
      <c r="CG1002" s="105"/>
      <c r="FK1002" s="7"/>
    </row>
    <row r="1003" spans="1:167">
      <c r="A1003" s="571"/>
      <c r="B1003" s="1008"/>
      <c r="C1003" s="7"/>
      <c r="P1003" s="7"/>
      <c r="AX1003" s="7"/>
      <c r="BP1003" s="61"/>
      <c r="CF1003" s="104"/>
      <c r="CG1003" s="105"/>
      <c r="FK1003" s="7"/>
    </row>
    <row r="1004" spans="1:167">
      <c r="A1004" s="571"/>
      <c r="B1004" s="1008"/>
      <c r="C1004" s="7"/>
      <c r="P1004" s="7"/>
      <c r="AX1004" s="7"/>
      <c r="BP1004" s="61"/>
      <c r="CF1004" s="104"/>
      <c r="CG1004" s="105"/>
      <c r="FK1004" s="7"/>
    </row>
    <row r="1005" spans="1:167">
      <c r="A1005" s="571"/>
      <c r="B1005" s="1008"/>
      <c r="C1005" s="7"/>
      <c r="P1005" s="7"/>
      <c r="AX1005" s="7"/>
      <c r="BP1005" s="61"/>
      <c r="CF1005" s="104"/>
      <c r="CG1005" s="105"/>
      <c r="FK1005" s="7"/>
    </row>
    <row r="1006" spans="1:167">
      <c r="A1006" s="571"/>
      <c r="B1006" s="1008"/>
      <c r="C1006" s="7"/>
      <c r="P1006" s="7"/>
      <c r="AX1006" s="7"/>
      <c r="BP1006" s="61"/>
      <c r="CF1006" s="104"/>
      <c r="CG1006" s="105"/>
      <c r="FK1006" s="7"/>
    </row>
    <row r="1007" spans="1:167">
      <c r="A1007" s="571"/>
      <c r="B1007" s="1008"/>
      <c r="C1007" s="7"/>
      <c r="P1007" s="7"/>
      <c r="AX1007" s="7"/>
      <c r="BP1007" s="61"/>
      <c r="CF1007" s="104"/>
      <c r="CG1007" s="105"/>
      <c r="FK1007" s="7"/>
    </row>
    <row r="1008" spans="1:167">
      <c r="A1008" s="571"/>
      <c r="B1008" s="1008"/>
      <c r="C1008" s="7"/>
      <c r="P1008" s="7"/>
      <c r="AX1008" s="7"/>
      <c r="BP1008" s="61"/>
      <c r="CF1008" s="104"/>
      <c r="CG1008" s="105"/>
      <c r="FK1008" s="7"/>
    </row>
    <row r="1009" spans="1:167">
      <c r="A1009" s="571"/>
      <c r="B1009" s="1008"/>
      <c r="C1009" s="7"/>
      <c r="P1009" s="7"/>
      <c r="AX1009" s="7"/>
      <c r="BP1009" s="61"/>
      <c r="CF1009" s="104"/>
      <c r="CG1009" s="105"/>
      <c r="FK1009" s="7"/>
    </row>
    <row r="1010" spans="1:167">
      <c r="A1010" s="571"/>
      <c r="B1010" s="1008"/>
      <c r="C1010" s="7"/>
      <c r="P1010" s="7"/>
      <c r="AX1010" s="7"/>
      <c r="BP1010" s="61"/>
      <c r="CF1010" s="104"/>
      <c r="CG1010" s="105"/>
      <c r="FK1010" s="7"/>
    </row>
    <row r="1011" spans="1:167">
      <c r="A1011" s="571"/>
      <c r="B1011" s="1008"/>
      <c r="C1011" s="7"/>
      <c r="P1011" s="7"/>
      <c r="AX1011" s="7"/>
      <c r="BP1011" s="61"/>
      <c r="CF1011" s="104"/>
      <c r="CG1011" s="105"/>
      <c r="FK1011" s="7"/>
    </row>
    <row r="1012" spans="1:167">
      <c r="A1012" s="571"/>
      <c r="B1012" s="1008"/>
      <c r="C1012" s="7"/>
      <c r="P1012" s="7"/>
      <c r="AX1012" s="7"/>
      <c r="BP1012" s="61"/>
      <c r="CF1012" s="104"/>
      <c r="CG1012" s="105"/>
      <c r="FK1012" s="7"/>
    </row>
    <row r="1013" spans="1:167">
      <c r="A1013" s="571"/>
      <c r="B1013" s="1008"/>
      <c r="C1013" s="7"/>
      <c r="P1013" s="7"/>
      <c r="AX1013" s="7"/>
      <c r="BP1013" s="61"/>
      <c r="CF1013" s="104"/>
      <c r="CG1013" s="105"/>
      <c r="FK1013" s="7"/>
    </row>
    <row r="1014" spans="1:167">
      <c r="A1014" s="571"/>
      <c r="B1014" s="1008"/>
      <c r="C1014" s="7"/>
      <c r="P1014" s="7"/>
      <c r="AX1014" s="7"/>
      <c r="BP1014" s="61"/>
      <c r="CF1014" s="104"/>
      <c r="CG1014" s="105"/>
      <c r="FK1014" s="7"/>
    </row>
    <row r="1015" spans="1:167">
      <c r="A1015" s="571"/>
      <c r="B1015" s="1008"/>
      <c r="C1015" s="7"/>
      <c r="P1015" s="7"/>
      <c r="AX1015" s="7"/>
      <c r="BP1015" s="61"/>
      <c r="CF1015" s="104"/>
      <c r="CG1015" s="105"/>
      <c r="FK1015" s="7"/>
    </row>
    <row r="1016" spans="1:167">
      <c r="A1016" s="571"/>
      <c r="B1016" s="1008"/>
      <c r="C1016" s="7"/>
      <c r="P1016" s="7"/>
      <c r="AX1016" s="7"/>
      <c r="BP1016" s="61"/>
      <c r="CF1016" s="104"/>
      <c r="CG1016" s="105"/>
      <c r="FK1016" s="7"/>
    </row>
    <row r="1017" spans="1:167">
      <c r="A1017" s="571"/>
      <c r="B1017" s="1008"/>
      <c r="C1017" s="7"/>
      <c r="P1017" s="7"/>
      <c r="AX1017" s="7"/>
      <c r="BP1017" s="61"/>
      <c r="CF1017" s="104"/>
      <c r="CG1017" s="105"/>
      <c r="FK1017" s="7"/>
    </row>
    <row r="1018" spans="1:167">
      <c r="A1018" s="571"/>
      <c r="B1018" s="1008"/>
      <c r="C1018" s="7"/>
      <c r="P1018" s="7"/>
      <c r="AX1018" s="7"/>
      <c r="BP1018" s="61"/>
      <c r="CF1018" s="104"/>
      <c r="CG1018" s="105"/>
      <c r="FK1018" s="7"/>
    </row>
    <row r="1019" spans="1:167">
      <c r="A1019" s="571"/>
      <c r="B1019" s="1008"/>
      <c r="C1019" s="7"/>
      <c r="P1019" s="7"/>
      <c r="AX1019" s="7"/>
      <c r="BP1019" s="61"/>
      <c r="CF1019" s="104"/>
      <c r="CG1019" s="105"/>
      <c r="FK1019" s="7"/>
    </row>
    <row r="1020" spans="1:167">
      <c r="A1020" s="571"/>
      <c r="B1020" s="1008"/>
      <c r="C1020" s="7"/>
      <c r="P1020" s="7"/>
      <c r="AX1020" s="7"/>
      <c r="BP1020" s="61"/>
      <c r="CF1020" s="104"/>
      <c r="CG1020" s="105"/>
      <c r="FK1020" s="7"/>
    </row>
    <row r="1021" spans="1:167">
      <c r="A1021" s="571"/>
      <c r="B1021" s="1008"/>
      <c r="C1021" s="7"/>
      <c r="P1021" s="7"/>
      <c r="AX1021" s="7"/>
      <c r="BP1021" s="61"/>
      <c r="CF1021" s="104"/>
      <c r="CG1021" s="105"/>
      <c r="FK1021" s="7"/>
    </row>
    <row r="1022" spans="1:167">
      <c r="A1022" s="571"/>
      <c r="B1022" s="1008"/>
      <c r="C1022" s="7"/>
      <c r="P1022" s="7"/>
      <c r="AX1022" s="7"/>
      <c r="BP1022" s="61"/>
      <c r="CF1022" s="104"/>
      <c r="CG1022" s="105"/>
      <c r="FK1022" s="7"/>
    </row>
    <row r="1023" spans="1:167">
      <c r="A1023" s="571"/>
      <c r="B1023" s="1008"/>
      <c r="C1023" s="7"/>
      <c r="P1023" s="7"/>
      <c r="AX1023" s="7"/>
      <c r="BP1023" s="61"/>
      <c r="CF1023" s="104"/>
      <c r="CG1023" s="105"/>
      <c r="FK1023" s="7"/>
    </row>
    <row r="1024" spans="1:167">
      <c r="A1024" s="571"/>
      <c r="B1024" s="1008"/>
      <c r="C1024" s="7"/>
      <c r="P1024" s="7"/>
      <c r="AX1024" s="7"/>
      <c r="BP1024" s="61"/>
      <c r="CF1024" s="104"/>
      <c r="CG1024" s="105"/>
      <c r="FK1024" s="7"/>
    </row>
    <row r="1025" spans="1:167">
      <c r="A1025" s="571"/>
      <c r="B1025" s="1008"/>
      <c r="C1025" s="7"/>
      <c r="P1025" s="7"/>
      <c r="AX1025" s="7"/>
      <c r="BP1025" s="61"/>
      <c r="CF1025" s="104"/>
      <c r="CG1025" s="105"/>
      <c r="FK1025" s="7"/>
    </row>
    <row r="1026" spans="1:167">
      <c r="A1026" s="571"/>
      <c r="B1026" s="1008"/>
      <c r="C1026" s="7"/>
      <c r="P1026" s="7"/>
      <c r="AX1026" s="7"/>
      <c r="BP1026" s="61"/>
      <c r="CF1026" s="104"/>
      <c r="CG1026" s="105"/>
      <c r="FK1026" s="7"/>
    </row>
    <row r="1027" spans="1:167">
      <c r="A1027" s="571"/>
      <c r="B1027" s="1008"/>
      <c r="C1027" s="7"/>
      <c r="P1027" s="7"/>
      <c r="AX1027" s="7"/>
      <c r="BP1027" s="61"/>
      <c r="CF1027" s="104"/>
      <c r="CG1027" s="105"/>
      <c r="FK1027" s="7"/>
    </row>
    <row r="1028" spans="1:167">
      <c r="A1028" s="571"/>
      <c r="B1028" s="1008"/>
      <c r="C1028" s="7"/>
      <c r="P1028" s="7"/>
      <c r="AX1028" s="7"/>
      <c r="BP1028" s="61"/>
      <c r="CF1028" s="104"/>
      <c r="CG1028" s="105"/>
      <c r="FK1028" s="7"/>
    </row>
    <row r="1029" spans="1:167">
      <c r="A1029" s="571"/>
      <c r="B1029" s="1008"/>
      <c r="C1029" s="7"/>
      <c r="P1029" s="7"/>
      <c r="AX1029" s="7"/>
      <c r="BP1029" s="61"/>
      <c r="CF1029" s="104"/>
      <c r="CG1029" s="105"/>
      <c r="FK1029" s="7"/>
    </row>
    <row r="1030" spans="1:167">
      <c r="A1030" s="571"/>
      <c r="B1030" s="1008"/>
      <c r="C1030" s="7"/>
      <c r="P1030" s="7"/>
      <c r="AX1030" s="7"/>
      <c r="BP1030" s="61"/>
      <c r="CF1030" s="104"/>
      <c r="CG1030" s="105"/>
      <c r="FK1030" s="7"/>
    </row>
    <row r="1031" spans="1:167">
      <c r="A1031" s="571"/>
      <c r="B1031" s="1008"/>
      <c r="C1031" s="7"/>
      <c r="P1031" s="7"/>
      <c r="AX1031" s="7"/>
      <c r="BP1031" s="61"/>
      <c r="CF1031" s="104"/>
      <c r="CG1031" s="105"/>
      <c r="FK1031" s="7"/>
    </row>
    <row r="1032" spans="1:167">
      <c r="A1032" s="571"/>
      <c r="B1032" s="1008"/>
      <c r="C1032" s="7"/>
      <c r="P1032" s="7"/>
      <c r="AX1032" s="7"/>
      <c r="BP1032" s="61"/>
      <c r="CF1032" s="104"/>
      <c r="CG1032" s="105"/>
      <c r="FK1032" s="7"/>
    </row>
    <row r="1033" spans="1:167">
      <c r="A1033" s="571"/>
      <c r="B1033" s="1008"/>
      <c r="C1033" s="7"/>
      <c r="P1033" s="7"/>
      <c r="AX1033" s="7"/>
      <c r="BP1033" s="61"/>
      <c r="CF1033" s="104"/>
      <c r="CG1033" s="105"/>
      <c r="FK1033" s="7"/>
    </row>
    <row r="1034" spans="1:167">
      <c r="A1034" s="571"/>
      <c r="B1034" s="1008"/>
      <c r="C1034" s="7"/>
      <c r="P1034" s="7"/>
      <c r="AX1034" s="7"/>
      <c r="BP1034" s="61"/>
      <c r="CF1034" s="104"/>
      <c r="CG1034" s="105"/>
      <c r="FK1034" s="7"/>
    </row>
    <row r="1035" spans="1:167">
      <c r="A1035" s="571"/>
      <c r="B1035" s="1008"/>
      <c r="C1035" s="7"/>
      <c r="P1035" s="7"/>
      <c r="AX1035" s="7"/>
      <c r="BP1035" s="61"/>
      <c r="CF1035" s="104"/>
      <c r="CG1035" s="105"/>
      <c r="FK1035" s="7"/>
    </row>
    <row r="1036" spans="1:167">
      <c r="A1036" s="571"/>
      <c r="B1036" s="1008"/>
      <c r="C1036" s="7"/>
      <c r="P1036" s="7"/>
      <c r="AX1036" s="7"/>
      <c r="BP1036" s="61"/>
      <c r="CF1036" s="104"/>
      <c r="CG1036" s="105"/>
      <c r="FK1036" s="7"/>
    </row>
    <row r="1037" spans="1:167">
      <c r="A1037" s="571"/>
      <c r="B1037" s="1008"/>
      <c r="C1037" s="7"/>
      <c r="P1037" s="7"/>
      <c r="AX1037" s="7"/>
      <c r="BP1037" s="61"/>
      <c r="CF1037" s="104"/>
      <c r="CG1037" s="105"/>
      <c r="FK1037" s="7"/>
    </row>
    <row r="1038" spans="1:167">
      <c r="A1038" s="571"/>
      <c r="B1038" s="1008"/>
      <c r="C1038" s="7"/>
      <c r="P1038" s="7"/>
      <c r="AX1038" s="7"/>
      <c r="BP1038" s="61"/>
      <c r="CF1038" s="104"/>
      <c r="CG1038" s="105"/>
      <c r="FK1038" s="7"/>
    </row>
    <row r="1039" spans="1:167">
      <c r="A1039" s="571"/>
      <c r="B1039" s="1008"/>
      <c r="C1039" s="7"/>
      <c r="P1039" s="7"/>
      <c r="AX1039" s="7"/>
      <c r="BP1039" s="61"/>
      <c r="CF1039" s="104"/>
      <c r="CG1039" s="105"/>
      <c r="FK1039" s="7"/>
    </row>
    <row r="1040" spans="1:167">
      <c r="A1040" s="571"/>
      <c r="B1040" s="1008"/>
      <c r="C1040" s="7"/>
      <c r="P1040" s="7"/>
      <c r="AX1040" s="7"/>
      <c r="BP1040" s="61"/>
      <c r="CF1040" s="104"/>
      <c r="CG1040" s="105"/>
      <c r="FK1040" s="7"/>
    </row>
    <row r="1041" spans="1:167">
      <c r="A1041" s="571"/>
      <c r="B1041" s="1008"/>
      <c r="C1041" s="7"/>
      <c r="P1041" s="7"/>
      <c r="AX1041" s="7"/>
      <c r="BP1041" s="61"/>
      <c r="CF1041" s="104"/>
      <c r="CG1041" s="105"/>
      <c r="FK1041" s="7"/>
    </row>
    <row r="1042" spans="1:167">
      <c r="A1042" s="571"/>
      <c r="B1042" s="1008"/>
      <c r="C1042" s="7"/>
      <c r="P1042" s="7"/>
      <c r="AX1042" s="7"/>
      <c r="BP1042" s="61"/>
      <c r="CF1042" s="104"/>
      <c r="CG1042" s="105"/>
      <c r="FK1042" s="7"/>
    </row>
    <row r="1043" spans="1:167">
      <c r="A1043" s="571"/>
      <c r="B1043" s="1008"/>
      <c r="C1043" s="7"/>
      <c r="P1043" s="7"/>
      <c r="AX1043" s="7"/>
      <c r="BP1043" s="61"/>
      <c r="CF1043" s="104"/>
      <c r="CG1043" s="105"/>
      <c r="FK1043" s="7"/>
    </row>
    <row r="1044" spans="1:167">
      <c r="A1044" s="571"/>
      <c r="B1044" s="1008"/>
      <c r="C1044" s="7"/>
      <c r="P1044" s="7"/>
      <c r="AX1044" s="7"/>
      <c r="BP1044" s="61"/>
      <c r="CF1044" s="104"/>
      <c r="CG1044" s="105"/>
      <c r="FK1044" s="7"/>
    </row>
    <row r="1045" spans="1:167">
      <c r="A1045" s="571"/>
      <c r="B1045" s="1008"/>
      <c r="C1045" s="7"/>
      <c r="P1045" s="7"/>
      <c r="AX1045" s="7"/>
      <c r="BP1045" s="61"/>
      <c r="CF1045" s="104"/>
      <c r="CG1045" s="105"/>
      <c r="FK1045" s="7"/>
    </row>
    <row r="1046" spans="1:167">
      <c r="A1046" s="571"/>
      <c r="B1046" s="1008"/>
      <c r="C1046" s="7"/>
      <c r="P1046" s="7"/>
      <c r="AX1046" s="7"/>
      <c r="BP1046" s="61"/>
      <c r="CF1046" s="104"/>
      <c r="CG1046" s="105"/>
      <c r="FK1046" s="7"/>
    </row>
    <row r="1047" spans="1:167">
      <c r="A1047" s="571"/>
      <c r="B1047" s="1008"/>
      <c r="C1047" s="7"/>
      <c r="P1047" s="7"/>
      <c r="AX1047" s="7"/>
      <c r="BP1047" s="61"/>
      <c r="CF1047" s="104"/>
      <c r="CG1047" s="105"/>
      <c r="FK1047" s="7"/>
    </row>
    <row r="1048" spans="1:167">
      <c r="A1048" s="571"/>
      <c r="B1048" s="1008"/>
      <c r="C1048" s="7"/>
      <c r="P1048" s="7"/>
      <c r="AX1048" s="7"/>
      <c r="BP1048" s="61"/>
      <c r="CF1048" s="104"/>
      <c r="CG1048" s="105"/>
      <c r="FK1048" s="7"/>
    </row>
    <row r="1049" spans="1:167">
      <c r="A1049" s="571"/>
      <c r="B1049" s="1008"/>
      <c r="C1049" s="7"/>
      <c r="P1049" s="7"/>
      <c r="AX1049" s="7"/>
      <c r="BP1049" s="61"/>
      <c r="CF1049" s="104"/>
      <c r="CG1049" s="105"/>
      <c r="FK1049" s="7"/>
    </row>
    <row r="1050" spans="1:167">
      <c r="A1050" s="571"/>
      <c r="B1050" s="1008"/>
      <c r="C1050" s="7"/>
      <c r="P1050" s="7"/>
      <c r="AX1050" s="7"/>
      <c r="BP1050" s="61"/>
      <c r="CF1050" s="104"/>
      <c r="CG1050" s="105"/>
      <c r="FK1050" s="7"/>
    </row>
    <row r="1051" spans="1:167">
      <c r="A1051" s="571"/>
      <c r="B1051" s="1008"/>
      <c r="C1051" s="7"/>
      <c r="P1051" s="7"/>
      <c r="AX1051" s="7"/>
      <c r="BP1051" s="61"/>
      <c r="CF1051" s="104"/>
      <c r="CG1051" s="105"/>
      <c r="FK1051" s="7"/>
    </row>
    <row r="1052" spans="1:167">
      <c r="A1052" s="571"/>
      <c r="B1052" s="1008"/>
      <c r="C1052" s="7"/>
      <c r="P1052" s="7"/>
      <c r="AX1052" s="7"/>
      <c r="BP1052" s="61"/>
      <c r="CF1052" s="104"/>
      <c r="CG1052" s="105"/>
      <c r="FK1052" s="7"/>
    </row>
    <row r="1053" spans="1:167">
      <c r="A1053" s="571"/>
      <c r="B1053" s="1008"/>
      <c r="C1053" s="7"/>
      <c r="P1053" s="7"/>
      <c r="AX1053" s="7"/>
      <c r="BP1053" s="61"/>
      <c r="CF1053" s="104"/>
      <c r="CG1053" s="105"/>
      <c r="FK1053" s="7"/>
    </row>
    <row r="1054" spans="1:167">
      <c r="A1054" s="571"/>
      <c r="B1054" s="1008"/>
      <c r="C1054" s="7"/>
      <c r="P1054" s="7"/>
      <c r="AX1054" s="7"/>
      <c r="BP1054" s="61"/>
      <c r="CF1054" s="104"/>
      <c r="CG1054" s="105"/>
      <c r="FK1054" s="7"/>
    </row>
    <row r="1055" spans="1:167">
      <c r="A1055" s="571"/>
      <c r="B1055" s="1008"/>
      <c r="C1055" s="7"/>
      <c r="P1055" s="7"/>
      <c r="AX1055" s="7"/>
      <c r="BP1055" s="61"/>
      <c r="CF1055" s="104"/>
      <c r="CG1055" s="105"/>
      <c r="FK1055" s="7"/>
    </row>
    <row r="1056" spans="1:167">
      <c r="A1056" s="571"/>
      <c r="B1056" s="1008"/>
      <c r="C1056" s="7"/>
      <c r="P1056" s="7"/>
      <c r="AX1056" s="7"/>
      <c r="BP1056" s="61"/>
      <c r="CF1056" s="104"/>
      <c r="CG1056" s="105"/>
      <c r="FK1056" s="7"/>
    </row>
    <row r="1057" spans="1:167">
      <c r="A1057" s="571"/>
      <c r="B1057" s="1008"/>
      <c r="C1057" s="7"/>
      <c r="P1057" s="7"/>
      <c r="AX1057" s="7"/>
      <c r="BP1057" s="61"/>
      <c r="CF1057" s="104"/>
      <c r="CG1057" s="105"/>
      <c r="FK1057" s="7"/>
    </row>
    <row r="1058" spans="1:167">
      <c r="A1058" s="571"/>
      <c r="B1058" s="1008"/>
      <c r="C1058" s="7"/>
      <c r="P1058" s="7"/>
      <c r="AX1058" s="7"/>
      <c r="BP1058" s="61"/>
      <c r="CF1058" s="104"/>
      <c r="CG1058" s="105"/>
      <c r="FK1058" s="7"/>
    </row>
    <row r="1059" spans="1:167">
      <c r="A1059" s="571"/>
      <c r="B1059" s="1008"/>
      <c r="C1059" s="7"/>
      <c r="P1059" s="7"/>
      <c r="AX1059" s="7"/>
      <c r="BP1059" s="61"/>
      <c r="CF1059" s="104"/>
      <c r="CG1059" s="105"/>
      <c r="FK1059" s="7"/>
    </row>
    <row r="1060" spans="1:167">
      <c r="A1060" s="571"/>
      <c r="B1060" s="1008"/>
      <c r="C1060" s="7"/>
      <c r="P1060" s="7"/>
      <c r="AX1060" s="7"/>
      <c r="BP1060" s="61"/>
      <c r="CF1060" s="104"/>
      <c r="CG1060" s="105"/>
      <c r="FK1060" s="7"/>
    </row>
    <row r="1061" spans="1:167">
      <c r="A1061" s="571"/>
      <c r="B1061" s="1008"/>
      <c r="C1061" s="7"/>
      <c r="P1061" s="7"/>
      <c r="AX1061" s="7"/>
      <c r="BP1061" s="61"/>
      <c r="CF1061" s="104"/>
      <c r="CG1061" s="105"/>
      <c r="FK1061" s="7"/>
    </row>
    <row r="1062" spans="1:167">
      <c r="A1062" s="571"/>
      <c r="B1062" s="1008"/>
      <c r="C1062" s="7"/>
      <c r="P1062" s="7"/>
      <c r="AX1062" s="7"/>
      <c r="BP1062" s="61"/>
      <c r="CF1062" s="104"/>
      <c r="CG1062" s="105"/>
      <c r="FK1062" s="7"/>
    </row>
    <row r="1063" spans="1:167">
      <c r="A1063" s="571"/>
      <c r="B1063" s="1008"/>
      <c r="C1063" s="7"/>
      <c r="P1063" s="7"/>
      <c r="AX1063" s="7"/>
      <c r="BP1063" s="61"/>
      <c r="CF1063" s="104"/>
      <c r="CG1063" s="105"/>
      <c r="FK1063" s="7"/>
    </row>
    <row r="1064" spans="1:167">
      <c r="A1064" s="571"/>
      <c r="B1064" s="1008"/>
      <c r="C1064" s="7"/>
      <c r="P1064" s="7"/>
      <c r="AX1064" s="7"/>
      <c r="BP1064" s="61"/>
      <c r="CF1064" s="104"/>
      <c r="CG1064" s="105"/>
      <c r="FK1064" s="7"/>
    </row>
    <row r="1065" spans="1:167">
      <c r="A1065" s="571"/>
      <c r="B1065" s="1008"/>
      <c r="C1065" s="7"/>
      <c r="P1065" s="7"/>
      <c r="AX1065" s="7"/>
      <c r="BP1065" s="61"/>
      <c r="CF1065" s="104"/>
      <c r="CG1065" s="105"/>
      <c r="FK1065" s="7"/>
    </row>
    <row r="1066" spans="1:167">
      <c r="A1066" s="571"/>
      <c r="B1066" s="1008"/>
      <c r="C1066" s="7"/>
      <c r="P1066" s="7"/>
      <c r="AX1066" s="7"/>
      <c r="BP1066" s="61"/>
      <c r="CF1066" s="104"/>
      <c r="CG1066" s="105"/>
      <c r="FK1066" s="7"/>
    </row>
    <row r="1067" spans="1:167">
      <c r="A1067" s="571"/>
      <c r="B1067" s="1008"/>
      <c r="C1067" s="7"/>
      <c r="P1067" s="7"/>
      <c r="AX1067" s="7"/>
      <c r="BP1067" s="61"/>
      <c r="CF1067" s="104"/>
      <c r="CG1067" s="105"/>
      <c r="FK1067" s="7"/>
    </row>
    <row r="1068" spans="1:167">
      <c r="A1068" s="571"/>
      <c r="B1068" s="1008"/>
      <c r="C1068" s="7"/>
      <c r="P1068" s="7"/>
      <c r="AX1068" s="7"/>
      <c r="BP1068" s="61"/>
      <c r="CF1068" s="104"/>
      <c r="CG1068" s="105"/>
      <c r="FK1068" s="7"/>
    </row>
    <row r="1069" spans="1:167">
      <c r="A1069" s="571"/>
      <c r="B1069" s="1008"/>
      <c r="C1069" s="7"/>
      <c r="P1069" s="7"/>
      <c r="AX1069" s="7"/>
      <c r="BP1069" s="61"/>
      <c r="CF1069" s="104"/>
      <c r="CG1069" s="105"/>
      <c r="FK1069" s="7"/>
    </row>
    <row r="1070" spans="1:167">
      <c r="A1070" s="571"/>
      <c r="B1070" s="1008"/>
      <c r="C1070" s="7"/>
      <c r="P1070" s="7"/>
      <c r="AX1070" s="7"/>
      <c r="BP1070" s="61"/>
      <c r="CF1070" s="104"/>
      <c r="CG1070" s="105"/>
      <c r="FK1070" s="7"/>
    </row>
    <row r="1071" spans="1:167">
      <c r="A1071" s="571"/>
      <c r="B1071" s="1008"/>
      <c r="C1071" s="7"/>
      <c r="P1071" s="7"/>
      <c r="AX1071" s="7"/>
      <c r="BP1071" s="61"/>
      <c r="CF1071" s="104"/>
      <c r="CG1071" s="105"/>
      <c r="FK1071" s="7"/>
    </row>
    <row r="1072" spans="1:167">
      <c r="A1072" s="571"/>
      <c r="B1072" s="1008"/>
      <c r="C1072" s="7"/>
      <c r="P1072" s="7"/>
      <c r="AX1072" s="7"/>
      <c r="BP1072" s="61"/>
      <c r="CF1072" s="104"/>
      <c r="CG1072" s="105"/>
      <c r="FK1072" s="7"/>
    </row>
    <row r="1073" spans="1:167">
      <c r="A1073" s="571"/>
      <c r="B1073" s="1008"/>
      <c r="C1073" s="7"/>
      <c r="P1073" s="7"/>
      <c r="AX1073" s="7"/>
      <c r="BP1073" s="61"/>
      <c r="CF1073" s="104"/>
      <c r="CG1073" s="105"/>
      <c r="FK1073" s="7"/>
    </row>
    <row r="1074" spans="1:167">
      <c r="A1074" s="571"/>
      <c r="B1074" s="1008"/>
      <c r="C1074" s="7"/>
      <c r="P1074" s="7"/>
      <c r="AX1074" s="7"/>
      <c r="BP1074" s="61"/>
      <c r="CF1074" s="104"/>
      <c r="CG1074" s="105"/>
      <c r="FK1074" s="7"/>
    </row>
    <row r="1075" spans="1:167">
      <c r="A1075" s="571"/>
      <c r="B1075" s="1008"/>
      <c r="C1075" s="7"/>
      <c r="P1075" s="7"/>
      <c r="AX1075" s="7"/>
      <c r="BP1075" s="61"/>
      <c r="CF1075" s="104"/>
      <c r="CG1075" s="105"/>
      <c r="FK1075" s="7"/>
    </row>
    <row r="1076" spans="1:167">
      <c r="A1076" s="571"/>
      <c r="B1076" s="1008"/>
      <c r="C1076" s="7"/>
      <c r="P1076" s="7"/>
      <c r="AX1076" s="7"/>
      <c r="BP1076" s="61"/>
      <c r="CF1076" s="104"/>
      <c r="CG1076" s="105"/>
      <c r="FK1076" s="7"/>
    </row>
    <row r="1077" spans="1:167">
      <c r="A1077" s="571"/>
      <c r="B1077" s="1008"/>
      <c r="C1077" s="7"/>
      <c r="P1077" s="7"/>
      <c r="AX1077" s="7"/>
      <c r="BP1077" s="61"/>
      <c r="CF1077" s="104"/>
      <c r="CG1077" s="105"/>
      <c r="FK1077" s="7"/>
    </row>
    <row r="1078" spans="1:167">
      <c r="A1078" s="571"/>
      <c r="B1078" s="1008"/>
      <c r="C1078" s="7"/>
      <c r="P1078" s="7"/>
      <c r="AX1078" s="7"/>
      <c r="BP1078" s="61"/>
      <c r="CF1078" s="104"/>
      <c r="CG1078" s="105"/>
      <c r="FK1078" s="7"/>
    </row>
    <row r="1079" spans="1:167">
      <c r="A1079" s="571"/>
      <c r="B1079" s="1008"/>
      <c r="C1079" s="7"/>
      <c r="P1079" s="7"/>
      <c r="AX1079" s="7"/>
      <c r="BP1079" s="61"/>
      <c r="CF1079" s="104"/>
      <c r="CG1079" s="105"/>
      <c r="FK1079" s="7"/>
    </row>
    <row r="1080" spans="1:167">
      <c r="A1080" s="571"/>
      <c r="B1080" s="1008"/>
      <c r="C1080" s="7"/>
      <c r="P1080" s="7"/>
      <c r="AX1080" s="7"/>
      <c r="BP1080" s="61"/>
      <c r="CF1080" s="104"/>
      <c r="CG1080" s="105"/>
      <c r="FK1080" s="7"/>
    </row>
    <row r="1081" spans="1:167">
      <c r="A1081" s="571"/>
      <c r="B1081" s="1008"/>
      <c r="C1081" s="7"/>
      <c r="P1081" s="7"/>
      <c r="AX1081" s="7"/>
      <c r="BP1081" s="61"/>
      <c r="CF1081" s="104"/>
      <c r="CG1081" s="105"/>
      <c r="FK1081" s="7"/>
    </row>
    <row r="1082" spans="1:167">
      <c r="A1082" s="571"/>
      <c r="B1082" s="1008"/>
      <c r="C1082" s="7"/>
      <c r="P1082" s="7"/>
      <c r="AX1082" s="7"/>
      <c r="BP1082" s="61"/>
      <c r="CF1082" s="104"/>
      <c r="CG1082" s="105"/>
      <c r="FK1082" s="7"/>
    </row>
    <row r="1083" spans="1:167">
      <c r="A1083" s="571"/>
      <c r="B1083" s="1008"/>
      <c r="C1083" s="7"/>
      <c r="P1083" s="7"/>
      <c r="AX1083" s="7"/>
      <c r="BP1083" s="61"/>
      <c r="CF1083" s="104"/>
      <c r="CG1083" s="105"/>
      <c r="FK1083" s="7"/>
    </row>
    <row r="1084" spans="1:167">
      <c r="A1084" s="571"/>
      <c r="B1084" s="1008"/>
      <c r="C1084" s="7"/>
      <c r="P1084" s="7"/>
      <c r="AX1084" s="7"/>
      <c r="BP1084" s="61"/>
      <c r="CF1084" s="104"/>
      <c r="CG1084" s="105"/>
      <c r="FK1084" s="7"/>
    </row>
    <row r="1085" spans="1:167">
      <c r="A1085" s="571"/>
      <c r="B1085" s="1008"/>
      <c r="C1085" s="7"/>
      <c r="P1085" s="7"/>
      <c r="AX1085" s="7"/>
      <c r="BP1085" s="61"/>
      <c r="CF1085" s="104"/>
      <c r="CG1085" s="105"/>
      <c r="FK1085" s="7"/>
    </row>
    <row r="1086" spans="1:167">
      <c r="A1086" s="571"/>
      <c r="B1086" s="1008"/>
      <c r="C1086" s="7"/>
      <c r="P1086" s="7"/>
      <c r="AX1086" s="7"/>
      <c r="BP1086" s="61"/>
      <c r="CF1086" s="104"/>
      <c r="CG1086" s="105"/>
      <c r="FK1086" s="7"/>
    </row>
    <row r="1087" spans="1:167">
      <c r="A1087" s="571"/>
      <c r="B1087" s="1008"/>
      <c r="C1087" s="7"/>
      <c r="P1087" s="7"/>
      <c r="AX1087" s="7"/>
      <c r="BP1087" s="61"/>
      <c r="CF1087" s="104"/>
      <c r="CG1087" s="105"/>
      <c r="FK1087" s="7"/>
    </row>
    <row r="1088" spans="1:167">
      <c r="A1088" s="571"/>
      <c r="B1088" s="1008"/>
      <c r="C1088" s="7"/>
      <c r="P1088" s="7"/>
      <c r="AX1088" s="7"/>
      <c r="BP1088" s="61"/>
      <c r="CF1088" s="104"/>
      <c r="CG1088" s="105"/>
      <c r="FK1088" s="7"/>
    </row>
    <row r="1089" spans="1:167">
      <c r="A1089" s="571"/>
      <c r="B1089" s="1008"/>
      <c r="C1089" s="7"/>
      <c r="P1089" s="7"/>
      <c r="AX1089" s="7"/>
      <c r="BP1089" s="61"/>
      <c r="CF1089" s="104"/>
      <c r="CG1089" s="105"/>
      <c r="FK1089" s="7"/>
    </row>
    <row r="1090" spans="1:167">
      <c r="A1090" s="571"/>
      <c r="B1090" s="1008"/>
      <c r="C1090" s="7"/>
      <c r="P1090" s="7"/>
      <c r="AX1090" s="7"/>
      <c r="BP1090" s="61"/>
      <c r="CF1090" s="104"/>
      <c r="CG1090" s="105"/>
      <c r="FK1090" s="7"/>
    </row>
    <row r="1091" spans="1:167">
      <c r="A1091" s="571"/>
      <c r="B1091" s="1008"/>
      <c r="C1091" s="7"/>
      <c r="P1091" s="7"/>
      <c r="AX1091" s="7"/>
      <c r="BP1091" s="61"/>
      <c r="CF1091" s="104"/>
      <c r="CG1091" s="105"/>
      <c r="FK1091" s="7"/>
    </row>
    <row r="1092" spans="1:167">
      <c r="A1092" s="571"/>
      <c r="B1092" s="1008"/>
      <c r="C1092" s="7"/>
      <c r="P1092" s="7"/>
      <c r="AX1092" s="7"/>
      <c r="BP1092" s="61"/>
      <c r="CF1092" s="104"/>
      <c r="CG1092" s="105"/>
      <c r="FK1092" s="7"/>
    </row>
    <row r="1093" spans="1:167">
      <c r="A1093" s="571"/>
      <c r="B1093" s="1008"/>
      <c r="C1093" s="7"/>
      <c r="P1093" s="7"/>
      <c r="AX1093" s="7"/>
      <c r="BP1093" s="61"/>
      <c r="CF1093" s="104"/>
      <c r="CG1093" s="105"/>
      <c r="FK1093" s="7"/>
    </row>
    <row r="1094" spans="1:167">
      <c r="A1094" s="571"/>
      <c r="B1094" s="1008"/>
      <c r="C1094" s="7"/>
      <c r="P1094" s="7"/>
      <c r="AX1094" s="7"/>
      <c r="BP1094" s="61"/>
      <c r="CF1094" s="104"/>
      <c r="CG1094" s="105"/>
      <c r="FK1094" s="7"/>
    </row>
    <row r="1095" spans="1:167">
      <c r="A1095" s="571"/>
      <c r="B1095" s="1008"/>
      <c r="C1095" s="7"/>
      <c r="P1095" s="7"/>
      <c r="AX1095" s="7"/>
      <c r="BP1095" s="61"/>
      <c r="CF1095" s="104"/>
      <c r="CG1095" s="105"/>
      <c r="FK1095" s="7"/>
    </row>
    <row r="1096" spans="1:167">
      <c r="A1096" s="571"/>
      <c r="B1096" s="1008"/>
      <c r="C1096" s="7"/>
      <c r="P1096" s="7"/>
      <c r="AX1096" s="7"/>
      <c r="BP1096" s="61"/>
      <c r="CF1096" s="104"/>
      <c r="CG1096" s="105"/>
      <c r="FK1096" s="7"/>
    </row>
    <row r="1097" spans="1:167">
      <c r="A1097" s="571"/>
      <c r="B1097" s="1008"/>
      <c r="C1097" s="7"/>
      <c r="P1097" s="7"/>
      <c r="AX1097" s="7"/>
      <c r="BP1097" s="61"/>
      <c r="CF1097" s="104"/>
      <c r="CG1097" s="105"/>
      <c r="FK1097" s="7"/>
    </row>
    <row r="1098" spans="1:167">
      <c r="A1098" s="571"/>
      <c r="B1098" s="1008"/>
      <c r="C1098" s="7"/>
      <c r="P1098" s="7"/>
      <c r="AX1098" s="7"/>
      <c r="BP1098" s="61"/>
      <c r="CF1098" s="104"/>
      <c r="CG1098" s="105"/>
      <c r="FK1098" s="7"/>
    </row>
    <row r="1099" spans="1:167">
      <c r="A1099" s="571"/>
      <c r="B1099" s="1008"/>
      <c r="C1099" s="7"/>
      <c r="P1099" s="7"/>
      <c r="AX1099" s="7"/>
      <c r="BP1099" s="61"/>
      <c r="CF1099" s="104"/>
      <c r="CG1099" s="105"/>
      <c r="FK1099" s="7"/>
    </row>
    <row r="1100" spans="1:167">
      <c r="A1100" s="571"/>
      <c r="B1100" s="1008"/>
      <c r="C1100" s="7"/>
      <c r="P1100" s="7"/>
      <c r="AX1100" s="7"/>
      <c r="BP1100" s="61"/>
      <c r="CF1100" s="104"/>
      <c r="CG1100" s="105"/>
      <c r="FK1100" s="7"/>
    </row>
    <row r="1101" spans="1:167">
      <c r="A1101" s="571"/>
      <c r="B1101" s="1008"/>
      <c r="C1101" s="7"/>
      <c r="P1101" s="7"/>
      <c r="AX1101" s="7"/>
      <c r="BP1101" s="61"/>
      <c r="CF1101" s="104"/>
      <c r="CG1101" s="105"/>
      <c r="FK1101" s="7"/>
    </row>
    <row r="1102" spans="1:167">
      <c r="A1102" s="571"/>
      <c r="B1102" s="1008"/>
      <c r="C1102" s="7"/>
      <c r="P1102" s="7"/>
      <c r="AX1102" s="7"/>
      <c r="BP1102" s="61"/>
      <c r="CF1102" s="104"/>
      <c r="CG1102" s="105"/>
      <c r="FK1102" s="7"/>
    </row>
    <row r="1103" spans="1:167">
      <c r="A1103" s="571"/>
      <c r="B1103" s="1008"/>
      <c r="C1103" s="7"/>
      <c r="P1103" s="7"/>
      <c r="AX1103" s="7"/>
      <c r="BP1103" s="61"/>
      <c r="CF1103" s="104"/>
      <c r="CG1103" s="105"/>
      <c r="FK1103" s="7"/>
    </row>
    <row r="1104" spans="1:167">
      <c r="A1104" s="571"/>
      <c r="B1104" s="1008"/>
      <c r="C1104" s="7"/>
      <c r="P1104" s="7"/>
      <c r="AX1104" s="7"/>
      <c r="BP1104" s="61"/>
      <c r="CF1104" s="104"/>
      <c r="CG1104" s="105"/>
      <c r="FK1104" s="7"/>
    </row>
    <row r="1105" spans="1:167">
      <c r="A1105" s="571"/>
      <c r="B1105" s="1008"/>
      <c r="C1105" s="7"/>
      <c r="P1105" s="7"/>
      <c r="AX1105" s="7"/>
      <c r="BP1105" s="61"/>
      <c r="CF1105" s="104"/>
      <c r="CG1105" s="105"/>
      <c r="FK1105" s="7"/>
    </row>
    <row r="1106" spans="1:167">
      <c r="A1106" s="571"/>
      <c r="B1106" s="1008"/>
      <c r="C1106" s="7"/>
      <c r="P1106" s="7"/>
      <c r="AX1106" s="7"/>
      <c r="BP1106" s="61"/>
      <c r="CF1106" s="104"/>
      <c r="CG1106" s="105"/>
      <c r="FK1106" s="7"/>
    </row>
    <row r="1107" spans="1:167">
      <c r="A1107" s="571"/>
      <c r="B1107" s="1008"/>
      <c r="C1107" s="7"/>
      <c r="P1107" s="7"/>
      <c r="AX1107" s="7"/>
      <c r="BP1107" s="61"/>
      <c r="CF1107" s="104"/>
      <c r="CG1107" s="105"/>
      <c r="FK1107" s="7"/>
    </row>
    <row r="1108" spans="1:167">
      <c r="A1108" s="571"/>
      <c r="B1108" s="1008"/>
      <c r="C1108" s="7"/>
      <c r="P1108" s="7"/>
      <c r="AX1108" s="7"/>
      <c r="BP1108" s="61"/>
      <c r="CF1108" s="104"/>
      <c r="CG1108" s="105"/>
      <c r="FK1108" s="7"/>
    </row>
    <row r="1109" spans="1:167">
      <c r="A1109" s="571"/>
      <c r="B1109" s="1008"/>
      <c r="C1109" s="7"/>
      <c r="P1109" s="7"/>
      <c r="AX1109" s="7"/>
      <c r="BP1109" s="61"/>
      <c r="CF1109" s="104"/>
      <c r="CG1109" s="105"/>
      <c r="FK1109" s="7"/>
    </row>
    <row r="1110" spans="1:167">
      <c r="A1110" s="571"/>
      <c r="B1110" s="1008"/>
      <c r="C1110" s="7"/>
      <c r="P1110" s="7"/>
      <c r="AX1110" s="7"/>
      <c r="BP1110" s="61"/>
      <c r="CF1110" s="104"/>
      <c r="CG1110" s="105"/>
      <c r="FK1110" s="7"/>
    </row>
    <row r="1111" spans="1:167">
      <c r="A1111" s="571"/>
      <c r="B1111" s="1008"/>
      <c r="C1111" s="7"/>
      <c r="P1111" s="7"/>
      <c r="AX1111" s="7"/>
      <c r="BP1111" s="61"/>
      <c r="CF1111" s="104"/>
      <c r="CG1111" s="105"/>
      <c r="FK1111" s="7"/>
    </row>
    <row r="1112" spans="1:167">
      <c r="A1112" s="571"/>
      <c r="B1112" s="1008"/>
      <c r="C1112" s="7"/>
      <c r="P1112" s="7"/>
      <c r="AX1112" s="7"/>
      <c r="BP1112" s="61"/>
      <c r="CF1112" s="104"/>
      <c r="CG1112" s="105"/>
      <c r="FK1112" s="7"/>
    </row>
    <row r="1113" spans="1:167">
      <c r="A1113" s="571"/>
      <c r="B1113" s="1008"/>
      <c r="C1113" s="7"/>
      <c r="P1113" s="7"/>
      <c r="AX1113" s="7"/>
      <c r="BP1113" s="61"/>
      <c r="CF1113" s="104"/>
      <c r="CG1113" s="105"/>
      <c r="FK1113" s="7"/>
    </row>
    <row r="1114" spans="1:167">
      <c r="A1114" s="571"/>
      <c r="B1114" s="1008"/>
      <c r="C1114" s="7"/>
      <c r="P1114" s="7"/>
      <c r="AX1114" s="7"/>
      <c r="BP1114" s="61"/>
      <c r="CF1114" s="104"/>
      <c r="CG1114" s="105"/>
      <c r="FK1114" s="7"/>
    </row>
    <row r="1115" spans="1:167">
      <c r="A1115" s="571"/>
      <c r="B1115" s="1008"/>
      <c r="C1115" s="7"/>
      <c r="P1115" s="7"/>
      <c r="AX1115" s="7"/>
      <c r="BP1115" s="61"/>
      <c r="CF1115" s="104"/>
      <c r="CG1115" s="105"/>
      <c r="FK1115" s="7"/>
    </row>
    <row r="1116" spans="1:167">
      <c r="A1116" s="571"/>
      <c r="B1116" s="1008"/>
      <c r="C1116" s="7"/>
      <c r="P1116" s="7"/>
      <c r="AX1116" s="7"/>
      <c r="BP1116" s="61"/>
      <c r="CF1116" s="104"/>
      <c r="CG1116" s="105"/>
      <c r="FK1116" s="7"/>
    </row>
    <row r="1117" spans="1:167">
      <c r="A1117" s="571"/>
      <c r="B1117" s="1008"/>
      <c r="C1117" s="7"/>
      <c r="P1117" s="7"/>
      <c r="AX1117" s="7"/>
      <c r="BP1117" s="61"/>
      <c r="CF1117" s="104"/>
      <c r="CG1117" s="105"/>
      <c r="FK1117" s="7"/>
    </row>
    <row r="1118" spans="1:167">
      <c r="A1118" s="571"/>
      <c r="B1118" s="1008"/>
      <c r="C1118" s="7"/>
      <c r="P1118" s="7"/>
      <c r="AX1118" s="7"/>
      <c r="BP1118" s="61"/>
      <c r="CF1118" s="104"/>
      <c r="CG1118" s="105"/>
      <c r="FK1118" s="7"/>
    </row>
    <row r="1119" spans="1:167">
      <c r="A1119" s="571"/>
      <c r="B1119" s="1008"/>
      <c r="C1119" s="7"/>
      <c r="P1119" s="7"/>
      <c r="AX1119" s="7"/>
      <c r="BP1119" s="61"/>
      <c r="CF1119" s="104"/>
      <c r="CG1119" s="105"/>
      <c r="FK1119" s="7"/>
    </row>
    <row r="1120" spans="1:167">
      <c r="A1120" s="571"/>
      <c r="B1120" s="1008"/>
      <c r="C1120" s="7"/>
      <c r="P1120" s="7"/>
      <c r="AX1120" s="7"/>
      <c r="BP1120" s="61"/>
      <c r="CF1120" s="104"/>
      <c r="CG1120" s="105"/>
      <c r="FK1120" s="7"/>
    </row>
    <row r="1121" spans="1:167">
      <c r="A1121" s="571"/>
      <c r="B1121" s="1008"/>
      <c r="C1121" s="7"/>
      <c r="P1121" s="7"/>
      <c r="AX1121" s="7"/>
      <c r="BP1121" s="61"/>
      <c r="CF1121" s="104"/>
      <c r="CG1121" s="105"/>
      <c r="FK1121" s="7"/>
    </row>
    <row r="1122" spans="1:167">
      <c r="A1122" s="571"/>
      <c r="B1122" s="1008"/>
      <c r="C1122" s="7"/>
      <c r="P1122" s="7"/>
      <c r="AX1122" s="7"/>
      <c r="BP1122" s="61"/>
      <c r="CF1122" s="104"/>
      <c r="CG1122" s="105"/>
      <c r="FK1122" s="7"/>
    </row>
    <row r="1123" spans="1:167">
      <c r="A1123" s="571"/>
      <c r="B1123" s="1008"/>
      <c r="C1123" s="7"/>
      <c r="P1123" s="7"/>
      <c r="AX1123" s="7"/>
      <c r="BP1123" s="61"/>
      <c r="CF1123" s="104"/>
      <c r="CG1123" s="105"/>
      <c r="FK1123" s="7"/>
    </row>
    <row r="1124" spans="1:167">
      <c r="A1124" s="571"/>
      <c r="B1124" s="1008"/>
      <c r="C1124" s="7"/>
      <c r="P1124" s="7"/>
      <c r="AX1124" s="7"/>
      <c r="BP1124" s="61"/>
      <c r="CF1124" s="104"/>
      <c r="CG1124" s="105"/>
      <c r="FK1124" s="7"/>
    </row>
    <row r="1125" spans="1:167">
      <c r="A1125" s="571"/>
      <c r="B1125" s="1008"/>
      <c r="C1125" s="7"/>
      <c r="P1125" s="7"/>
      <c r="AX1125" s="7"/>
      <c r="BP1125" s="61"/>
      <c r="CF1125" s="104"/>
      <c r="CG1125" s="105"/>
      <c r="FK1125" s="7"/>
    </row>
    <row r="1126" spans="1:167">
      <c r="A1126" s="571"/>
      <c r="B1126" s="1008"/>
      <c r="C1126" s="7"/>
      <c r="P1126" s="7"/>
      <c r="AX1126" s="7"/>
      <c r="BP1126" s="61"/>
      <c r="CF1126" s="104"/>
      <c r="CG1126" s="105"/>
      <c r="FK1126" s="7"/>
    </row>
    <row r="1127" spans="1:167">
      <c r="A1127" s="571"/>
      <c r="B1127" s="1008"/>
      <c r="C1127" s="7"/>
      <c r="P1127" s="7"/>
      <c r="AX1127" s="7"/>
      <c r="BP1127" s="61"/>
      <c r="CF1127" s="104"/>
      <c r="CG1127" s="105"/>
      <c r="FK1127" s="7"/>
    </row>
    <row r="1128" spans="1:167">
      <c r="A1128" s="571"/>
      <c r="B1128" s="1008"/>
      <c r="C1128" s="7"/>
      <c r="P1128" s="7"/>
      <c r="AX1128" s="7"/>
      <c r="BP1128" s="61"/>
      <c r="CF1128" s="104"/>
      <c r="CG1128" s="105"/>
      <c r="FK1128" s="7"/>
    </row>
    <row r="1129" spans="1:167">
      <c r="A1129" s="571"/>
      <c r="B1129" s="1008"/>
      <c r="C1129" s="7"/>
      <c r="P1129" s="7"/>
      <c r="AX1129" s="7"/>
      <c r="BP1129" s="61"/>
      <c r="CF1129" s="104"/>
      <c r="CG1129" s="105"/>
      <c r="FK1129" s="7"/>
    </row>
    <row r="1130" spans="1:167">
      <c r="A1130" s="571"/>
      <c r="B1130" s="1008"/>
      <c r="C1130" s="7"/>
      <c r="P1130" s="7"/>
      <c r="AX1130" s="7"/>
      <c r="BP1130" s="61"/>
      <c r="CF1130" s="104"/>
      <c r="CG1130" s="105"/>
      <c r="FK1130" s="7"/>
    </row>
    <row r="1131" spans="1:167">
      <c r="A1131" s="571"/>
      <c r="B1131" s="1008"/>
      <c r="C1131" s="7"/>
      <c r="P1131" s="7"/>
      <c r="AX1131" s="7"/>
      <c r="BP1131" s="61"/>
      <c r="CF1131" s="104"/>
      <c r="CG1131" s="105"/>
      <c r="FK1131" s="7"/>
    </row>
    <row r="1132" spans="1:167">
      <c r="A1132" s="571"/>
      <c r="B1132" s="1008"/>
      <c r="C1132" s="7"/>
      <c r="P1132" s="7"/>
      <c r="AX1132" s="7"/>
      <c r="BP1132" s="61"/>
      <c r="CF1132" s="104"/>
      <c r="CG1132" s="105"/>
      <c r="FK1132" s="7"/>
    </row>
    <row r="1133" spans="1:167">
      <c r="A1133" s="571"/>
      <c r="B1133" s="1008"/>
      <c r="C1133" s="7"/>
      <c r="P1133" s="7"/>
      <c r="AX1133" s="7"/>
      <c r="BP1133" s="61"/>
      <c r="CF1133" s="104"/>
      <c r="CG1133" s="105"/>
      <c r="FK1133" s="7"/>
    </row>
    <row r="1134" spans="1:167">
      <c r="A1134" s="571"/>
      <c r="B1134" s="1008"/>
      <c r="C1134" s="7"/>
      <c r="P1134" s="7"/>
      <c r="AX1134" s="7"/>
      <c r="BP1134" s="61"/>
      <c r="CF1134" s="104"/>
      <c r="CG1134" s="105"/>
      <c r="FK1134" s="7"/>
    </row>
    <row r="1135" spans="1:167">
      <c r="A1135" s="571"/>
      <c r="B1135" s="1008"/>
      <c r="C1135" s="7"/>
      <c r="P1135" s="7"/>
      <c r="AX1135" s="7"/>
      <c r="BP1135" s="61"/>
      <c r="CF1135" s="104"/>
      <c r="CG1135" s="105"/>
      <c r="FK1135" s="7"/>
    </row>
    <row r="1136" spans="1:167">
      <c r="A1136" s="571"/>
      <c r="B1136" s="1008"/>
      <c r="C1136" s="7"/>
      <c r="P1136" s="7"/>
      <c r="AX1136" s="7"/>
      <c r="BP1136" s="61"/>
      <c r="CF1136" s="104"/>
      <c r="CG1136" s="105"/>
      <c r="FK1136" s="7"/>
    </row>
    <row r="1137" spans="1:167">
      <c r="A1137" s="571"/>
      <c r="B1137" s="1008"/>
      <c r="C1137" s="7"/>
      <c r="P1137" s="7"/>
      <c r="AX1137" s="7"/>
      <c r="BP1137" s="61"/>
      <c r="CF1137" s="104"/>
      <c r="CG1137" s="105"/>
      <c r="FK1137" s="7"/>
    </row>
    <row r="1138" spans="1:167">
      <c r="A1138" s="571"/>
      <c r="B1138" s="1008"/>
      <c r="C1138" s="7"/>
      <c r="P1138" s="7"/>
      <c r="AX1138" s="7"/>
      <c r="BP1138" s="61"/>
      <c r="CF1138" s="104"/>
      <c r="CG1138" s="105"/>
      <c r="FK1138" s="7"/>
    </row>
    <row r="1139" spans="1:167">
      <c r="A1139" s="571"/>
      <c r="B1139" s="1008"/>
      <c r="C1139" s="7"/>
      <c r="P1139" s="7"/>
      <c r="AX1139" s="7"/>
      <c r="BP1139" s="61"/>
      <c r="CF1139" s="104"/>
      <c r="CG1139" s="105"/>
      <c r="FK1139" s="7"/>
    </row>
    <row r="1140" spans="1:167">
      <c r="A1140" s="571"/>
      <c r="B1140" s="1008"/>
      <c r="C1140" s="7"/>
      <c r="P1140" s="7"/>
      <c r="AX1140" s="7"/>
      <c r="BP1140" s="61"/>
      <c r="CF1140" s="104"/>
      <c r="CG1140" s="105"/>
      <c r="FK1140" s="7"/>
    </row>
    <row r="1141" spans="1:167">
      <c r="A1141" s="571"/>
      <c r="B1141" s="1008"/>
      <c r="C1141" s="7"/>
      <c r="P1141" s="7"/>
      <c r="AX1141" s="7"/>
      <c r="BP1141" s="61"/>
      <c r="CF1141" s="104"/>
      <c r="CG1141" s="105"/>
      <c r="FK1141" s="7"/>
    </row>
    <row r="1142" spans="1:167">
      <c r="A1142" s="571"/>
      <c r="B1142" s="1008"/>
      <c r="C1142" s="7"/>
      <c r="P1142" s="7"/>
      <c r="AX1142" s="7"/>
      <c r="BP1142" s="61"/>
      <c r="CF1142" s="104"/>
      <c r="CG1142" s="105"/>
      <c r="FK1142" s="7"/>
    </row>
    <row r="1143" spans="1:167">
      <c r="A1143" s="571"/>
      <c r="B1143" s="1008"/>
      <c r="C1143" s="7"/>
      <c r="P1143" s="7"/>
      <c r="AX1143" s="7"/>
      <c r="BP1143" s="61"/>
      <c r="CF1143" s="104"/>
      <c r="CG1143" s="105"/>
      <c r="FK1143" s="7"/>
    </row>
    <row r="1144" spans="1:167">
      <c r="A1144" s="571"/>
      <c r="B1144" s="1008"/>
      <c r="C1144" s="7"/>
      <c r="P1144" s="7"/>
      <c r="AX1144" s="7"/>
      <c r="BP1144" s="61"/>
      <c r="CF1144" s="104"/>
      <c r="CG1144" s="105"/>
      <c r="FK1144" s="7"/>
    </row>
    <row r="1145" spans="1:167">
      <c r="A1145" s="571"/>
      <c r="B1145" s="1008"/>
      <c r="C1145" s="7"/>
      <c r="P1145" s="7"/>
      <c r="AX1145" s="7"/>
      <c r="BP1145" s="61"/>
      <c r="CF1145" s="104"/>
      <c r="CG1145" s="105"/>
      <c r="FK1145" s="7"/>
    </row>
    <row r="1146" spans="1:167">
      <c r="A1146" s="571"/>
      <c r="B1146" s="1008"/>
      <c r="C1146" s="7"/>
      <c r="P1146" s="7"/>
      <c r="AX1146" s="7"/>
      <c r="BP1146" s="61"/>
      <c r="CF1146" s="104"/>
      <c r="CG1146" s="105"/>
      <c r="FK1146" s="7"/>
    </row>
    <row r="1147" spans="1:167">
      <c r="A1147" s="571"/>
      <c r="B1147" s="1008"/>
      <c r="C1147" s="7"/>
      <c r="P1147" s="7"/>
      <c r="AX1147" s="7"/>
      <c r="BP1147" s="61"/>
      <c r="CF1147" s="104"/>
      <c r="CG1147" s="105"/>
      <c r="FK1147" s="7"/>
    </row>
    <row r="1148" spans="1:167">
      <c r="A1148" s="571"/>
      <c r="B1148" s="1008"/>
      <c r="C1148" s="7"/>
      <c r="P1148" s="7"/>
      <c r="AX1148" s="7"/>
      <c r="BP1148" s="61"/>
      <c r="CF1148" s="104"/>
      <c r="CG1148" s="105"/>
      <c r="FK1148" s="7"/>
    </row>
    <row r="1149" spans="1:167">
      <c r="A1149" s="571"/>
      <c r="B1149" s="1008"/>
      <c r="C1149" s="7"/>
      <c r="P1149" s="7"/>
      <c r="AX1149" s="7"/>
      <c r="BP1149" s="61"/>
      <c r="CF1149" s="104"/>
      <c r="CG1149" s="105"/>
      <c r="FK1149" s="7"/>
    </row>
    <row r="1150" spans="1:167">
      <c r="A1150" s="571"/>
      <c r="B1150" s="1008"/>
      <c r="C1150" s="7"/>
      <c r="P1150" s="7"/>
      <c r="AX1150" s="7"/>
      <c r="BP1150" s="61"/>
      <c r="CF1150" s="104"/>
      <c r="CG1150" s="105"/>
      <c r="FK1150" s="7"/>
    </row>
    <row r="1151" spans="1:167">
      <c r="A1151" s="571"/>
      <c r="B1151" s="1008"/>
      <c r="C1151" s="7"/>
      <c r="P1151" s="7"/>
      <c r="AX1151" s="7"/>
      <c r="BP1151" s="61"/>
      <c r="CF1151" s="104"/>
      <c r="CG1151" s="105"/>
      <c r="FK1151" s="7"/>
    </row>
    <row r="1152" spans="1:167">
      <c r="A1152" s="571"/>
      <c r="B1152" s="1008"/>
      <c r="C1152" s="7"/>
      <c r="P1152" s="7"/>
      <c r="AX1152" s="7"/>
      <c r="BP1152" s="61"/>
      <c r="CF1152" s="104"/>
      <c r="CG1152" s="105"/>
      <c r="FK1152" s="7"/>
    </row>
    <row r="1153" spans="1:167">
      <c r="A1153" s="571"/>
      <c r="B1153" s="1008"/>
      <c r="C1153" s="7"/>
      <c r="P1153" s="7"/>
      <c r="AX1153" s="7"/>
      <c r="BP1153" s="61"/>
      <c r="CF1153" s="104"/>
      <c r="CG1153" s="105"/>
      <c r="FK1153" s="7"/>
    </row>
    <row r="1154" spans="1:167">
      <c r="A1154" s="571"/>
      <c r="B1154" s="1008"/>
      <c r="C1154" s="7"/>
      <c r="P1154" s="7"/>
      <c r="AX1154" s="7"/>
      <c r="BP1154" s="61"/>
      <c r="CF1154" s="104"/>
      <c r="CG1154" s="105"/>
      <c r="FK1154" s="7"/>
    </row>
    <row r="1155" spans="1:167">
      <c r="A1155" s="571"/>
      <c r="B1155" s="1008"/>
      <c r="C1155" s="7"/>
      <c r="P1155" s="7"/>
      <c r="AX1155" s="7"/>
      <c r="BP1155" s="61"/>
      <c r="CF1155" s="104"/>
      <c r="CG1155" s="105"/>
      <c r="FK1155" s="7"/>
    </row>
    <row r="1156" spans="1:167">
      <c r="A1156" s="571"/>
      <c r="B1156" s="1008"/>
      <c r="C1156" s="7"/>
      <c r="P1156" s="7"/>
      <c r="AX1156" s="7"/>
      <c r="BP1156" s="61"/>
      <c r="CF1156" s="104"/>
      <c r="CG1156" s="105"/>
      <c r="FK1156" s="7"/>
    </row>
    <row r="1157" spans="1:167">
      <c r="A1157" s="571"/>
      <c r="B1157" s="1008"/>
      <c r="C1157" s="7"/>
      <c r="P1157" s="7"/>
      <c r="AX1157" s="7"/>
      <c r="BP1157" s="61"/>
      <c r="CF1157" s="104"/>
      <c r="CG1157" s="105"/>
      <c r="FK1157" s="7"/>
    </row>
    <row r="1158" spans="1:167">
      <c r="A1158" s="571"/>
      <c r="B1158" s="1008"/>
      <c r="C1158" s="7"/>
      <c r="P1158" s="7"/>
      <c r="AX1158" s="7"/>
      <c r="BP1158" s="61"/>
      <c r="CF1158" s="104"/>
      <c r="CG1158" s="105"/>
      <c r="FK1158" s="7"/>
    </row>
    <row r="1159" spans="1:167">
      <c r="A1159" s="571"/>
      <c r="B1159" s="1008"/>
      <c r="C1159" s="7"/>
      <c r="P1159" s="7"/>
      <c r="AX1159" s="7"/>
      <c r="BP1159" s="61"/>
      <c r="CF1159" s="104"/>
      <c r="CG1159" s="105"/>
      <c r="FK1159" s="7"/>
    </row>
    <row r="1160" spans="1:167">
      <c r="A1160" s="571"/>
      <c r="B1160" s="1008"/>
      <c r="C1160" s="7"/>
      <c r="P1160" s="7"/>
      <c r="AX1160" s="7"/>
      <c r="BP1160" s="61"/>
      <c r="CF1160" s="104"/>
      <c r="CG1160" s="105"/>
      <c r="FK1160" s="7"/>
    </row>
    <row r="1161" spans="1:167">
      <c r="A1161" s="571"/>
      <c r="B1161" s="1008"/>
      <c r="C1161" s="7"/>
      <c r="P1161" s="7"/>
      <c r="AX1161" s="7"/>
      <c r="BP1161" s="61"/>
      <c r="CF1161" s="104"/>
      <c r="CG1161" s="105"/>
      <c r="FK1161" s="7"/>
    </row>
    <row r="1162" spans="1:167">
      <c r="A1162" s="571"/>
      <c r="B1162" s="1008"/>
      <c r="C1162" s="7"/>
      <c r="P1162" s="7"/>
      <c r="AX1162" s="7"/>
      <c r="BP1162" s="61"/>
      <c r="CF1162" s="104"/>
      <c r="CG1162" s="105"/>
      <c r="FK1162" s="7"/>
    </row>
    <row r="1163" spans="1:167">
      <c r="A1163" s="571"/>
      <c r="B1163" s="1008"/>
      <c r="C1163" s="7"/>
      <c r="P1163" s="7"/>
      <c r="AX1163" s="7"/>
      <c r="BP1163" s="61"/>
      <c r="CF1163" s="104"/>
      <c r="CG1163" s="105"/>
      <c r="FK1163" s="7"/>
    </row>
    <row r="1164" spans="1:167">
      <c r="A1164" s="571"/>
      <c r="B1164" s="1008"/>
      <c r="C1164" s="7"/>
      <c r="P1164" s="7"/>
      <c r="AX1164" s="7"/>
      <c r="BP1164" s="61"/>
      <c r="CF1164" s="104"/>
      <c r="CG1164" s="105"/>
      <c r="FK1164" s="7"/>
    </row>
    <row r="1165" spans="1:167">
      <c r="A1165" s="571"/>
      <c r="B1165" s="1008"/>
      <c r="C1165" s="7"/>
      <c r="P1165" s="7"/>
      <c r="AX1165" s="7"/>
      <c r="BP1165" s="61"/>
      <c r="CF1165" s="104"/>
      <c r="CG1165" s="105"/>
      <c r="FK1165" s="7"/>
    </row>
    <row r="1166" spans="1:167">
      <c r="A1166" s="571"/>
      <c r="B1166" s="1008"/>
      <c r="C1166" s="7"/>
      <c r="P1166" s="7"/>
      <c r="AX1166" s="7"/>
      <c r="BP1166" s="61"/>
      <c r="CF1166" s="104"/>
      <c r="CG1166" s="105"/>
      <c r="FK1166" s="7"/>
    </row>
    <row r="1167" spans="1:167">
      <c r="A1167" s="571"/>
      <c r="B1167" s="1008"/>
      <c r="C1167" s="7"/>
      <c r="P1167" s="7"/>
      <c r="AX1167" s="7"/>
      <c r="BP1167" s="61"/>
      <c r="CF1167" s="104"/>
      <c r="CG1167" s="105"/>
      <c r="FK1167" s="7"/>
    </row>
    <row r="1168" spans="1:167">
      <c r="A1168" s="571"/>
      <c r="B1168" s="1008"/>
      <c r="C1168" s="7"/>
      <c r="P1168" s="7"/>
      <c r="AX1168" s="7"/>
      <c r="BP1168" s="61"/>
      <c r="CF1168" s="104"/>
      <c r="CG1168" s="105"/>
      <c r="FK1168" s="7"/>
    </row>
    <row r="1169" spans="1:167">
      <c r="A1169" s="571"/>
      <c r="B1169" s="1008"/>
      <c r="C1169" s="7"/>
      <c r="P1169" s="7"/>
      <c r="AX1169" s="7"/>
      <c r="BP1169" s="61"/>
      <c r="CF1169" s="104"/>
      <c r="CG1169" s="105"/>
      <c r="FK1169" s="7"/>
    </row>
    <row r="1170" spans="1:167">
      <c r="A1170" s="571"/>
      <c r="B1170" s="1008"/>
      <c r="C1170" s="7"/>
      <c r="P1170" s="7"/>
      <c r="AX1170" s="7"/>
      <c r="BP1170" s="61"/>
      <c r="CF1170" s="104"/>
      <c r="CG1170" s="105"/>
      <c r="FK1170" s="7"/>
    </row>
    <row r="1171" spans="1:167">
      <c r="A1171" s="571"/>
      <c r="B1171" s="1008"/>
      <c r="C1171" s="7"/>
      <c r="P1171" s="7"/>
      <c r="AX1171" s="7"/>
      <c r="BP1171" s="61"/>
      <c r="CF1171" s="104"/>
      <c r="CG1171" s="105"/>
      <c r="FK1171" s="7"/>
    </row>
    <row r="1172" spans="1:167">
      <c r="A1172" s="571"/>
      <c r="B1172" s="1008"/>
      <c r="C1172" s="7"/>
      <c r="P1172" s="7"/>
      <c r="AX1172" s="7"/>
      <c r="BP1172" s="61"/>
      <c r="CF1172" s="104"/>
      <c r="CG1172" s="105"/>
      <c r="FK1172" s="7"/>
    </row>
    <row r="1173" spans="1:167">
      <c r="A1173" s="571"/>
      <c r="B1173" s="1008"/>
      <c r="C1173" s="7"/>
      <c r="P1173" s="7"/>
      <c r="AX1173" s="7"/>
      <c r="BP1173" s="61"/>
      <c r="CF1173" s="104"/>
      <c r="CG1173" s="105"/>
      <c r="FK1173" s="7"/>
    </row>
    <row r="1174" spans="1:167">
      <c r="A1174" s="571"/>
      <c r="B1174" s="1008"/>
      <c r="C1174" s="7"/>
      <c r="P1174" s="7"/>
      <c r="AX1174" s="7"/>
      <c r="BP1174" s="61"/>
      <c r="CF1174" s="104"/>
      <c r="CG1174" s="105"/>
      <c r="FK1174" s="7"/>
    </row>
    <row r="1175" spans="1:167">
      <c r="A1175" s="571"/>
      <c r="B1175" s="1008"/>
      <c r="C1175" s="7"/>
      <c r="P1175" s="7"/>
      <c r="AX1175" s="7"/>
      <c r="BP1175" s="61"/>
      <c r="CF1175" s="104"/>
      <c r="CG1175" s="105"/>
      <c r="FK1175" s="7"/>
    </row>
    <row r="1176" spans="1:167">
      <c r="A1176" s="571"/>
      <c r="B1176" s="1008"/>
      <c r="C1176" s="7"/>
      <c r="P1176" s="7"/>
      <c r="AX1176" s="7"/>
      <c r="BP1176" s="61"/>
      <c r="CF1176" s="104"/>
      <c r="CG1176" s="105"/>
      <c r="FK1176" s="7"/>
    </row>
    <row r="1177" spans="1:167">
      <c r="A1177" s="571"/>
      <c r="B1177" s="1008"/>
      <c r="C1177" s="7"/>
      <c r="P1177" s="7"/>
      <c r="AX1177" s="7"/>
      <c r="BP1177" s="61"/>
      <c r="CF1177" s="104"/>
      <c r="CG1177" s="105"/>
      <c r="FK1177" s="7"/>
    </row>
    <row r="1178" spans="1:167">
      <c r="A1178" s="571"/>
      <c r="B1178" s="1008"/>
      <c r="C1178" s="7"/>
      <c r="P1178" s="7"/>
      <c r="AX1178" s="7"/>
      <c r="BP1178" s="61"/>
      <c r="CF1178" s="104"/>
      <c r="CG1178" s="105"/>
      <c r="FK1178" s="7"/>
    </row>
    <row r="1179" spans="1:167">
      <c r="A1179" s="571"/>
      <c r="B1179" s="1008"/>
      <c r="C1179" s="7"/>
      <c r="P1179" s="7"/>
      <c r="AX1179" s="7"/>
      <c r="BP1179" s="61"/>
      <c r="CF1179" s="104"/>
      <c r="CG1179" s="105"/>
      <c r="FK1179" s="7"/>
    </row>
    <row r="1180" spans="1:167">
      <c r="A1180" s="571"/>
      <c r="B1180" s="1008"/>
      <c r="C1180" s="7"/>
      <c r="P1180" s="7"/>
      <c r="AX1180" s="7"/>
      <c r="BP1180" s="61"/>
      <c r="CF1180" s="104"/>
      <c r="CG1180" s="105"/>
      <c r="FK1180" s="7"/>
    </row>
    <row r="1181" spans="1:167">
      <c r="A1181" s="571"/>
      <c r="B1181" s="1008"/>
      <c r="C1181" s="7"/>
      <c r="P1181" s="7"/>
      <c r="AX1181" s="7"/>
      <c r="BP1181" s="61"/>
      <c r="CF1181" s="104"/>
      <c r="CG1181" s="105"/>
      <c r="FK1181" s="7"/>
    </row>
    <row r="1182" spans="1:167">
      <c r="A1182" s="571"/>
      <c r="B1182" s="1008"/>
      <c r="C1182" s="7"/>
      <c r="P1182" s="7"/>
      <c r="AX1182" s="7"/>
      <c r="BP1182" s="61"/>
      <c r="CF1182" s="104"/>
      <c r="CG1182" s="105"/>
      <c r="FK1182" s="7"/>
    </row>
    <row r="1183" spans="1:167">
      <c r="A1183" s="571"/>
      <c r="B1183" s="1008"/>
      <c r="C1183" s="7"/>
      <c r="P1183" s="7"/>
      <c r="AX1183" s="7"/>
      <c r="BP1183" s="61"/>
      <c r="CF1183" s="104"/>
      <c r="CG1183" s="105"/>
      <c r="FK1183" s="7"/>
    </row>
    <row r="1184" spans="1:167">
      <c r="A1184" s="571"/>
      <c r="B1184" s="1008"/>
      <c r="C1184" s="7"/>
      <c r="P1184" s="7"/>
      <c r="AX1184" s="7"/>
      <c r="BP1184" s="61"/>
      <c r="CF1184" s="104"/>
      <c r="CG1184" s="105"/>
      <c r="FK1184" s="7"/>
    </row>
    <row r="1185" spans="1:167">
      <c r="A1185" s="571"/>
      <c r="B1185" s="1008"/>
      <c r="C1185" s="7"/>
      <c r="P1185" s="7"/>
      <c r="AX1185" s="7"/>
      <c r="BP1185" s="61"/>
      <c r="CF1185" s="104"/>
      <c r="CG1185" s="105"/>
      <c r="FK1185" s="7"/>
    </row>
    <row r="1186" spans="1:167">
      <c r="A1186" s="571"/>
      <c r="B1186" s="1008"/>
      <c r="C1186" s="7"/>
      <c r="P1186" s="7"/>
      <c r="AX1186" s="7"/>
      <c r="BP1186" s="61"/>
      <c r="CF1186" s="104"/>
      <c r="CG1186" s="105"/>
      <c r="FK1186" s="7"/>
    </row>
    <row r="1187" spans="1:167">
      <c r="A1187" s="571"/>
      <c r="B1187" s="1008"/>
      <c r="C1187" s="7"/>
      <c r="P1187" s="7"/>
      <c r="AX1187" s="7"/>
      <c r="BP1187" s="61"/>
      <c r="CF1187" s="104"/>
      <c r="CG1187" s="105"/>
      <c r="FK1187" s="7"/>
    </row>
    <row r="1188" spans="1:167">
      <c r="A1188" s="571"/>
      <c r="B1188" s="1008"/>
      <c r="C1188" s="7"/>
      <c r="P1188" s="7"/>
      <c r="AX1188" s="7"/>
      <c r="BP1188" s="61"/>
      <c r="CF1188" s="104"/>
      <c r="CG1188" s="105"/>
      <c r="FK1188" s="7"/>
    </row>
    <row r="1189" spans="1:167">
      <c r="A1189" s="571"/>
      <c r="B1189" s="1008"/>
      <c r="C1189" s="7"/>
      <c r="P1189" s="7"/>
      <c r="AX1189" s="7"/>
      <c r="BP1189" s="61"/>
      <c r="CF1189" s="104"/>
      <c r="CG1189" s="105"/>
      <c r="FK1189" s="7"/>
    </row>
    <row r="1190" spans="1:167">
      <c r="A1190" s="571"/>
      <c r="B1190" s="1008"/>
      <c r="C1190" s="7"/>
      <c r="P1190" s="7"/>
      <c r="AX1190" s="7"/>
      <c r="BP1190" s="61"/>
      <c r="CF1190" s="104"/>
      <c r="CG1190" s="105"/>
      <c r="FK1190" s="7"/>
    </row>
    <row r="1191" spans="1:167">
      <c r="A1191" s="571"/>
      <c r="B1191" s="1008"/>
      <c r="C1191" s="7"/>
      <c r="P1191" s="7"/>
      <c r="AX1191" s="7"/>
      <c r="BP1191" s="61"/>
      <c r="CF1191" s="104"/>
      <c r="CG1191" s="105"/>
      <c r="FK1191" s="7"/>
    </row>
    <row r="1192" spans="1:167">
      <c r="A1192" s="571"/>
      <c r="B1192" s="1008"/>
      <c r="C1192" s="7"/>
      <c r="P1192" s="7"/>
      <c r="AX1192" s="7"/>
      <c r="BP1192" s="61"/>
      <c r="CF1192" s="104"/>
      <c r="CG1192" s="105"/>
      <c r="FK1192" s="7"/>
    </row>
    <row r="1193" spans="1:167">
      <c r="A1193" s="571"/>
      <c r="B1193" s="1008"/>
      <c r="C1193" s="7"/>
      <c r="P1193" s="7"/>
      <c r="AX1193" s="7"/>
      <c r="BP1193" s="61"/>
      <c r="CF1193" s="104"/>
      <c r="CG1193" s="105"/>
      <c r="FK1193" s="7"/>
    </row>
    <row r="1194" spans="1:167">
      <c r="A1194" s="571"/>
      <c r="B1194" s="1008"/>
      <c r="C1194" s="7"/>
      <c r="P1194" s="7"/>
      <c r="AX1194" s="7"/>
      <c r="BP1194" s="61"/>
      <c r="CF1194" s="104"/>
      <c r="CG1194" s="105"/>
      <c r="FK1194" s="7"/>
    </row>
    <row r="1195" spans="1:167">
      <c r="A1195" s="571"/>
      <c r="B1195" s="1008"/>
      <c r="C1195" s="7"/>
      <c r="P1195" s="7"/>
      <c r="AX1195" s="7"/>
      <c r="BP1195" s="61"/>
      <c r="CF1195" s="104"/>
      <c r="CG1195" s="105"/>
      <c r="FK1195" s="7"/>
    </row>
    <row r="1196" spans="1:167">
      <c r="A1196" s="571"/>
      <c r="B1196" s="1008"/>
      <c r="C1196" s="7"/>
      <c r="P1196" s="7"/>
      <c r="AX1196" s="7"/>
      <c r="BP1196" s="61"/>
      <c r="CF1196" s="104"/>
      <c r="CG1196" s="105"/>
      <c r="FK1196" s="7"/>
    </row>
    <row r="1197" spans="1:167">
      <c r="A1197" s="571"/>
      <c r="B1197" s="1008"/>
      <c r="C1197" s="7"/>
      <c r="P1197" s="7"/>
      <c r="AX1197" s="7"/>
      <c r="BP1197" s="61"/>
      <c r="CF1197" s="104"/>
      <c r="CG1197" s="105"/>
      <c r="FK1197" s="7"/>
    </row>
    <row r="1198" spans="1:167">
      <c r="A1198" s="571"/>
      <c r="B1198" s="1008"/>
      <c r="C1198" s="7"/>
      <c r="P1198" s="7"/>
      <c r="AX1198" s="7"/>
      <c r="BP1198" s="61"/>
      <c r="CF1198" s="104"/>
      <c r="CG1198" s="105"/>
      <c r="FK1198" s="7"/>
    </row>
    <row r="1199" spans="1:167">
      <c r="A1199" s="571"/>
      <c r="B1199" s="1008"/>
      <c r="C1199" s="7"/>
      <c r="P1199" s="7"/>
      <c r="AX1199" s="7"/>
      <c r="BP1199" s="61"/>
      <c r="CF1199" s="104"/>
      <c r="CG1199" s="105"/>
      <c r="FK1199" s="7"/>
    </row>
    <row r="1200" spans="1:167">
      <c r="A1200" s="571"/>
      <c r="B1200" s="1008"/>
      <c r="C1200" s="7"/>
      <c r="P1200" s="7"/>
      <c r="AX1200" s="7"/>
      <c r="BP1200" s="61"/>
      <c r="CF1200" s="104"/>
      <c r="CG1200" s="105"/>
      <c r="FK1200" s="7"/>
    </row>
    <row r="1201" spans="1:167">
      <c r="A1201" s="571"/>
      <c r="B1201" s="1008"/>
      <c r="C1201" s="7"/>
      <c r="P1201" s="7"/>
      <c r="AX1201" s="7"/>
      <c r="BP1201" s="61"/>
      <c r="CF1201" s="104"/>
      <c r="CG1201" s="105"/>
      <c r="FK1201" s="7"/>
    </row>
    <row r="1202" spans="1:167">
      <c r="A1202" s="571"/>
      <c r="B1202" s="1008"/>
      <c r="C1202" s="7"/>
      <c r="P1202" s="7"/>
      <c r="AX1202" s="7"/>
      <c r="BP1202" s="61"/>
      <c r="CF1202" s="104"/>
      <c r="CG1202" s="105"/>
      <c r="FK1202" s="7"/>
    </row>
    <row r="1203" spans="1:167">
      <c r="A1203" s="571"/>
      <c r="B1203" s="1008"/>
      <c r="C1203" s="7"/>
      <c r="P1203" s="7"/>
      <c r="AX1203" s="7"/>
      <c r="BP1203" s="61"/>
      <c r="CF1203" s="104"/>
      <c r="CG1203" s="105"/>
      <c r="FK1203" s="7"/>
    </row>
    <row r="1204" spans="1:167">
      <c r="A1204" s="571"/>
      <c r="B1204" s="1008"/>
      <c r="C1204" s="7"/>
      <c r="P1204" s="7"/>
      <c r="AX1204" s="7"/>
      <c r="BP1204" s="61"/>
      <c r="CF1204" s="104"/>
      <c r="CG1204" s="105"/>
      <c r="FK1204" s="7"/>
    </row>
    <row r="1205" spans="1:167">
      <c r="A1205" s="571"/>
      <c r="B1205" s="1008"/>
      <c r="C1205" s="7"/>
      <c r="P1205" s="7"/>
      <c r="AX1205" s="7"/>
      <c r="BP1205" s="61"/>
      <c r="CF1205" s="104"/>
      <c r="CG1205" s="105"/>
      <c r="FK1205" s="7"/>
    </row>
    <row r="1206" spans="1:167">
      <c r="A1206" s="571"/>
      <c r="B1206" s="1008"/>
      <c r="C1206" s="7"/>
      <c r="P1206" s="7"/>
      <c r="AX1206" s="7"/>
      <c r="BP1206" s="61"/>
      <c r="CF1206" s="104"/>
      <c r="CG1206" s="105"/>
      <c r="FK1206" s="7"/>
    </row>
    <row r="1207" spans="1:167">
      <c r="A1207" s="571"/>
      <c r="B1207" s="1008"/>
      <c r="C1207" s="7"/>
      <c r="P1207" s="7"/>
      <c r="AX1207" s="7"/>
      <c r="BP1207" s="61"/>
      <c r="CF1207" s="104"/>
      <c r="CG1207" s="105"/>
      <c r="FK1207" s="7"/>
    </row>
    <row r="1208" spans="1:167">
      <c r="A1208" s="571"/>
      <c r="B1208" s="1008"/>
      <c r="C1208" s="7"/>
      <c r="P1208" s="7"/>
      <c r="AX1208" s="7"/>
      <c r="BP1208" s="61"/>
      <c r="CF1208" s="104"/>
      <c r="CG1208" s="105"/>
      <c r="FK1208" s="7"/>
    </row>
    <row r="1209" spans="1:167">
      <c r="A1209" s="571"/>
      <c r="B1209" s="1008"/>
      <c r="C1209" s="7"/>
      <c r="P1209" s="7"/>
      <c r="AX1209" s="7"/>
      <c r="BP1209" s="61"/>
      <c r="CF1209" s="104"/>
      <c r="CG1209" s="105"/>
      <c r="FK1209" s="7"/>
    </row>
    <row r="1210" spans="1:167">
      <c r="A1210" s="571"/>
      <c r="B1210" s="1008"/>
      <c r="C1210" s="7"/>
      <c r="P1210" s="7"/>
      <c r="AX1210" s="7"/>
      <c r="BP1210" s="61"/>
      <c r="CF1210" s="104"/>
      <c r="CG1210" s="105"/>
      <c r="FK1210" s="7"/>
    </row>
    <row r="1211" spans="1:167">
      <c r="A1211" s="571"/>
      <c r="B1211" s="1008"/>
      <c r="C1211" s="7"/>
      <c r="P1211" s="7"/>
      <c r="AX1211" s="7"/>
      <c r="BP1211" s="61"/>
      <c r="CF1211" s="104"/>
      <c r="CG1211" s="105"/>
      <c r="FK1211" s="7"/>
    </row>
    <row r="1212" spans="1:167">
      <c r="A1212" s="571"/>
      <c r="B1212" s="1008"/>
      <c r="C1212" s="7"/>
      <c r="P1212" s="7"/>
      <c r="AX1212" s="7"/>
      <c r="BP1212" s="61"/>
      <c r="CF1212" s="104"/>
      <c r="CG1212" s="105"/>
      <c r="FK1212" s="7"/>
    </row>
    <row r="1213" spans="1:167">
      <c r="A1213" s="571"/>
      <c r="B1213" s="1008"/>
      <c r="C1213" s="7"/>
      <c r="P1213" s="7"/>
      <c r="AX1213" s="7"/>
      <c r="BP1213" s="61"/>
      <c r="CF1213" s="104"/>
      <c r="CG1213" s="105"/>
      <c r="FK1213" s="7"/>
    </row>
    <row r="1214" spans="1:167">
      <c r="A1214" s="571"/>
      <c r="B1214" s="1008"/>
      <c r="C1214" s="7"/>
      <c r="P1214" s="7"/>
      <c r="AX1214" s="7"/>
      <c r="BP1214" s="61"/>
      <c r="CF1214" s="104"/>
      <c r="CG1214" s="105"/>
      <c r="FK1214" s="7"/>
    </row>
    <row r="1215" spans="1:167">
      <c r="A1215" s="571"/>
      <c r="B1215" s="1008"/>
      <c r="C1215" s="7"/>
      <c r="P1215" s="7"/>
      <c r="AX1215" s="7"/>
      <c r="BP1215" s="61"/>
      <c r="CF1215" s="104"/>
      <c r="CG1215" s="105"/>
      <c r="FK1215" s="7"/>
    </row>
    <row r="1216" spans="1:167">
      <c r="A1216" s="571"/>
      <c r="B1216" s="1008"/>
      <c r="C1216" s="7"/>
      <c r="P1216" s="7"/>
      <c r="AX1216" s="7"/>
      <c r="BP1216" s="61"/>
      <c r="CF1216" s="104"/>
      <c r="CG1216" s="105"/>
      <c r="FK1216" s="7"/>
    </row>
    <row r="1217" spans="1:167">
      <c r="A1217" s="571"/>
      <c r="B1217" s="1008"/>
      <c r="C1217" s="7"/>
      <c r="P1217" s="7"/>
      <c r="AX1217" s="7"/>
      <c r="BP1217" s="61"/>
      <c r="CF1217" s="104"/>
      <c r="CG1217" s="105"/>
      <c r="FK1217" s="7"/>
    </row>
    <row r="1218" spans="1:167">
      <c r="A1218" s="571"/>
      <c r="B1218" s="1008"/>
      <c r="C1218" s="7"/>
      <c r="P1218" s="7"/>
      <c r="AX1218" s="7"/>
      <c r="BP1218" s="61"/>
      <c r="CF1218" s="104"/>
      <c r="CG1218" s="105"/>
      <c r="FK1218" s="7"/>
    </row>
    <row r="1219" spans="1:167">
      <c r="A1219" s="571"/>
      <c r="B1219" s="1008"/>
      <c r="C1219" s="7"/>
      <c r="P1219" s="7"/>
      <c r="AX1219" s="7"/>
      <c r="BP1219" s="61"/>
      <c r="CF1219" s="104"/>
      <c r="CG1219" s="105"/>
      <c r="FK1219" s="7"/>
    </row>
    <row r="1220" spans="1:167">
      <c r="A1220" s="571"/>
      <c r="B1220" s="1008"/>
      <c r="C1220" s="7"/>
      <c r="P1220" s="7"/>
      <c r="AX1220" s="7"/>
      <c r="BP1220" s="61"/>
      <c r="CF1220" s="104"/>
      <c r="CG1220" s="105"/>
      <c r="FK1220" s="7"/>
    </row>
    <row r="1221" spans="1:167">
      <c r="A1221" s="571"/>
      <c r="B1221" s="1008"/>
      <c r="C1221" s="7"/>
      <c r="P1221" s="7"/>
      <c r="AX1221" s="7"/>
      <c r="BP1221" s="61"/>
      <c r="CF1221" s="104"/>
      <c r="CG1221" s="105"/>
      <c r="FK1221" s="7"/>
    </row>
    <row r="1222" spans="1:167">
      <c r="A1222" s="571"/>
      <c r="B1222" s="1008"/>
      <c r="C1222" s="7"/>
      <c r="P1222" s="7"/>
      <c r="AX1222" s="7"/>
      <c r="BP1222" s="61"/>
      <c r="CF1222" s="104"/>
      <c r="CG1222" s="105"/>
      <c r="FK1222" s="7"/>
    </row>
    <row r="1223" spans="1:167">
      <c r="A1223" s="571"/>
      <c r="B1223" s="1008"/>
      <c r="C1223" s="7"/>
      <c r="P1223" s="7"/>
      <c r="AX1223" s="7"/>
      <c r="BP1223" s="61"/>
      <c r="CF1223" s="104"/>
      <c r="CG1223" s="105"/>
      <c r="FK1223" s="7"/>
    </row>
    <row r="1224" spans="1:167">
      <c r="A1224" s="571"/>
      <c r="B1224" s="1008"/>
      <c r="C1224" s="7"/>
      <c r="P1224" s="7"/>
      <c r="AX1224" s="7"/>
      <c r="BP1224" s="61"/>
      <c r="CF1224" s="104"/>
      <c r="CG1224" s="105"/>
      <c r="FK1224" s="7"/>
    </row>
    <row r="1225" spans="1:167">
      <c r="A1225" s="571"/>
      <c r="B1225" s="1008"/>
      <c r="C1225" s="7"/>
      <c r="P1225" s="7"/>
      <c r="AX1225" s="7"/>
      <c r="BP1225" s="61"/>
      <c r="CF1225" s="104"/>
      <c r="CG1225" s="105"/>
      <c r="FK1225" s="7"/>
    </row>
    <row r="1226" spans="1:167">
      <c r="A1226" s="571"/>
      <c r="B1226" s="1008"/>
      <c r="C1226" s="7"/>
      <c r="P1226" s="7"/>
      <c r="AX1226" s="7"/>
      <c r="BP1226" s="61"/>
      <c r="CF1226" s="104"/>
      <c r="CG1226" s="105"/>
      <c r="FK1226" s="7"/>
    </row>
    <row r="1227" spans="1:167">
      <c r="A1227" s="571"/>
      <c r="B1227" s="1008"/>
      <c r="C1227" s="7"/>
      <c r="P1227" s="7"/>
      <c r="AX1227" s="7"/>
      <c r="BP1227" s="61"/>
      <c r="CF1227" s="104"/>
      <c r="CG1227" s="105"/>
      <c r="FK1227" s="7"/>
    </row>
    <row r="1228" spans="1:167">
      <c r="A1228" s="571"/>
      <c r="B1228" s="1008"/>
      <c r="C1228" s="7"/>
      <c r="P1228" s="7"/>
      <c r="AX1228" s="7"/>
      <c r="BP1228" s="61"/>
      <c r="CF1228" s="104"/>
      <c r="CG1228" s="105"/>
      <c r="FK1228" s="7"/>
    </row>
    <row r="1229" spans="1:167">
      <c r="A1229" s="571"/>
      <c r="B1229" s="1008"/>
      <c r="C1229" s="7"/>
      <c r="P1229" s="7"/>
      <c r="AX1229" s="7"/>
      <c r="BP1229" s="61"/>
      <c r="CF1229" s="104"/>
      <c r="CG1229" s="105"/>
      <c r="FK1229" s="7"/>
    </row>
    <row r="1230" spans="1:167">
      <c r="A1230" s="571"/>
      <c r="B1230" s="1008"/>
      <c r="C1230" s="7"/>
      <c r="P1230" s="7"/>
      <c r="AX1230" s="7"/>
      <c r="BP1230" s="61"/>
      <c r="CF1230" s="104"/>
      <c r="CG1230" s="105"/>
      <c r="FK1230" s="7"/>
    </row>
    <row r="1231" spans="1:167">
      <c r="A1231" s="571"/>
      <c r="B1231" s="1008"/>
      <c r="C1231" s="7"/>
      <c r="P1231" s="7"/>
      <c r="AX1231" s="7"/>
      <c r="BP1231" s="61"/>
      <c r="CF1231" s="104"/>
      <c r="CG1231" s="105"/>
      <c r="FK1231" s="7"/>
    </row>
    <row r="1232" spans="1:167">
      <c r="A1232" s="571"/>
      <c r="B1232" s="1008"/>
      <c r="C1232" s="7"/>
      <c r="P1232" s="7"/>
      <c r="AX1232" s="7"/>
      <c r="BP1232" s="61"/>
      <c r="CF1232" s="104"/>
      <c r="CG1232" s="105"/>
      <c r="FK1232" s="7"/>
    </row>
    <row r="1233" spans="1:167">
      <c r="A1233" s="571"/>
      <c r="B1233" s="1008"/>
      <c r="C1233" s="7"/>
      <c r="P1233" s="7"/>
      <c r="AX1233" s="7"/>
      <c r="BP1233" s="61"/>
      <c r="CF1233" s="104"/>
      <c r="CG1233" s="105"/>
      <c r="FK1233" s="7"/>
    </row>
    <row r="1234" spans="1:167">
      <c r="A1234" s="571"/>
      <c r="B1234" s="1008"/>
      <c r="C1234" s="7"/>
      <c r="P1234" s="7"/>
      <c r="AX1234" s="7"/>
      <c r="BP1234" s="61"/>
      <c r="CF1234" s="104"/>
      <c r="CG1234" s="105"/>
      <c r="FK1234" s="7"/>
    </row>
    <row r="1235" spans="1:167">
      <c r="A1235" s="571"/>
      <c r="B1235" s="1008"/>
      <c r="C1235" s="7"/>
      <c r="P1235" s="7"/>
      <c r="AX1235" s="7"/>
      <c r="BP1235" s="61"/>
      <c r="CF1235" s="104"/>
      <c r="CG1235" s="105"/>
      <c r="FK1235" s="7"/>
    </row>
    <row r="1236" spans="1:167">
      <c r="A1236" s="571"/>
      <c r="B1236" s="1008"/>
      <c r="C1236" s="7"/>
      <c r="P1236" s="7"/>
      <c r="AX1236" s="7"/>
      <c r="BP1236" s="61"/>
      <c r="CF1236" s="104"/>
      <c r="CG1236" s="105"/>
      <c r="FK1236" s="7"/>
    </row>
    <row r="1237" spans="1:167">
      <c r="A1237" s="571"/>
      <c r="B1237" s="1008"/>
      <c r="C1237" s="7"/>
      <c r="P1237" s="7"/>
      <c r="AX1237" s="7"/>
      <c r="BP1237" s="61"/>
      <c r="CF1237" s="104"/>
      <c r="CG1237" s="105"/>
      <c r="FK1237" s="7"/>
    </row>
    <row r="1238" spans="1:167">
      <c r="A1238" s="571"/>
      <c r="B1238" s="1008"/>
      <c r="C1238" s="7"/>
      <c r="P1238" s="7"/>
      <c r="AX1238" s="7"/>
      <c r="BP1238" s="61"/>
      <c r="CF1238" s="104"/>
      <c r="CG1238" s="105"/>
      <c r="FK1238" s="7"/>
    </row>
    <row r="1239" spans="1:167">
      <c r="A1239" s="571"/>
      <c r="B1239" s="1008"/>
      <c r="C1239" s="7"/>
      <c r="P1239" s="7"/>
      <c r="AX1239" s="7"/>
      <c r="BP1239" s="61"/>
      <c r="CF1239" s="104"/>
      <c r="CG1239" s="105"/>
      <c r="FK1239" s="7"/>
    </row>
    <row r="1240" spans="1:167">
      <c r="A1240" s="571"/>
      <c r="B1240" s="1008"/>
      <c r="C1240" s="7"/>
      <c r="P1240" s="7"/>
      <c r="AX1240" s="7"/>
      <c r="BP1240" s="61"/>
      <c r="CF1240" s="104"/>
      <c r="CG1240" s="105"/>
      <c r="FK1240" s="7"/>
    </row>
    <row r="1241" spans="1:167">
      <c r="A1241" s="571"/>
      <c r="B1241" s="1008"/>
      <c r="C1241" s="7"/>
      <c r="P1241" s="7"/>
      <c r="AX1241" s="7"/>
      <c r="BP1241" s="61"/>
      <c r="CF1241" s="104"/>
      <c r="CG1241" s="105"/>
      <c r="FK1241" s="7"/>
    </row>
    <row r="1242" spans="1:167">
      <c r="A1242" s="571"/>
      <c r="B1242" s="1008"/>
      <c r="C1242" s="7"/>
      <c r="P1242" s="7"/>
      <c r="AX1242" s="7"/>
      <c r="BP1242" s="61"/>
      <c r="CF1242" s="104"/>
      <c r="CG1242" s="105"/>
      <c r="FK1242" s="7"/>
    </row>
    <row r="1243" spans="1:167">
      <c r="A1243" s="571"/>
      <c r="B1243" s="1008"/>
      <c r="C1243" s="7"/>
      <c r="P1243" s="7"/>
      <c r="AX1243" s="7"/>
      <c r="BP1243" s="61"/>
      <c r="CF1243" s="104"/>
      <c r="CG1243" s="105"/>
      <c r="FK1243" s="7"/>
    </row>
    <row r="1244" spans="1:167">
      <c r="A1244" s="571"/>
      <c r="B1244" s="1008"/>
      <c r="C1244" s="7"/>
      <c r="P1244" s="7"/>
      <c r="AX1244" s="7"/>
      <c r="BP1244" s="61"/>
      <c r="CF1244" s="104"/>
      <c r="CG1244" s="105"/>
      <c r="FK1244" s="7"/>
    </row>
    <row r="1245" spans="1:167">
      <c r="A1245" s="571"/>
      <c r="B1245" s="1008"/>
      <c r="C1245" s="7"/>
      <c r="P1245" s="7"/>
      <c r="AX1245" s="7"/>
      <c r="BP1245" s="61"/>
      <c r="CF1245" s="104"/>
      <c r="CG1245" s="105"/>
      <c r="FK1245" s="7"/>
    </row>
    <row r="1246" spans="1:167">
      <c r="A1246" s="571"/>
      <c r="B1246" s="1008"/>
      <c r="C1246" s="7"/>
      <c r="P1246" s="7"/>
      <c r="AX1246" s="7"/>
      <c r="BP1246" s="61"/>
      <c r="CF1246" s="104"/>
      <c r="CG1246" s="105"/>
      <c r="FK1246" s="7"/>
    </row>
    <row r="1247" spans="1:167">
      <c r="A1247" s="571"/>
      <c r="B1247" s="1008"/>
      <c r="C1247" s="7"/>
      <c r="P1247" s="7"/>
      <c r="AX1247" s="7"/>
      <c r="BP1247" s="61"/>
      <c r="CF1247" s="104"/>
      <c r="CG1247" s="105"/>
      <c r="FK1247" s="7"/>
    </row>
    <row r="1248" spans="1:167">
      <c r="A1248" s="571"/>
      <c r="B1248" s="1008"/>
      <c r="C1248" s="7"/>
      <c r="P1248" s="7"/>
      <c r="AX1248" s="7"/>
      <c r="BP1248" s="61"/>
      <c r="CF1248" s="104"/>
      <c r="CG1248" s="105"/>
      <c r="FK1248" s="7"/>
    </row>
    <row r="1249" spans="1:167">
      <c r="A1249" s="571"/>
      <c r="B1249" s="1008"/>
      <c r="C1249" s="7"/>
      <c r="P1249" s="7"/>
      <c r="AX1249" s="7"/>
      <c r="BP1249" s="61"/>
      <c r="CF1249" s="104"/>
      <c r="CG1249" s="105"/>
      <c r="FK1249" s="7"/>
    </row>
    <row r="1250" spans="1:167">
      <c r="A1250" s="571"/>
      <c r="B1250" s="1008"/>
      <c r="C1250" s="7"/>
      <c r="P1250" s="7"/>
      <c r="AX1250" s="7"/>
      <c r="BP1250" s="61"/>
      <c r="CF1250" s="104"/>
      <c r="CG1250" s="105"/>
      <c r="FK1250" s="7"/>
    </row>
    <row r="1251" spans="1:167">
      <c r="A1251" s="571"/>
      <c r="B1251" s="1008"/>
      <c r="C1251" s="7"/>
      <c r="P1251" s="7"/>
      <c r="AX1251" s="7"/>
      <c r="BP1251" s="61"/>
      <c r="CF1251" s="104"/>
      <c r="CG1251" s="105"/>
      <c r="FK1251" s="7"/>
    </row>
    <row r="1252" spans="1:167">
      <c r="A1252" s="571"/>
      <c r="B1252" s="1008"/>
      <c r="C1252" s="7"/>
      <c r="P1252" s="7"/>
      <c r="AX1252" s="7"/>
      <c r="BP1252" s="61"/>
      <c r="CF1252" s="104"/>
      <c r="CG1252" s="105"/>
      <c r="FK1252" s="7"/>
    </row>
    <row r="1253" spans="1:167">
      <c r="A1253" s="571"/>
      <c r="B1253" s="1008"/>
      <c r="C1253" s="7"/>
      <c r="P1253" s="7"/>
      <c r="AX1253" s="7"/>
      <c r="BP1253" s="61"/>
      <c r="CF1253" s="104"/>
      <c r="CG1253" s="105"/>
      <c r="FK1253" s="7"/>
    </row>
    <row r="1254" spans="1:167">
      <c r="A1254" s="571"/>
      <c r="B1254" s="1008"/>
      <c r="C1254" s="7"/>
      <c r="P1254" s="7"/>
      <c r="AX1254" s="7"/>
      <c r="BP1254" s="61"/>
      <c r="CF1254" s="104"/>
      <c r="CG1254" s="105"/>
      <c r="FK1254" s="7"/>
    </row>
    <row r="1255" spans="1:167">
      <c r="A1255" s="571"/>
      <c r="B1255" s="1008"/>
      <c r="C1255" s="7"/>
      <c r="P1255" s="7"/>
      <c r="AX1255" s="7"/>
      <c r="BP1255" s="61"/>
      <c r="CF1255" s="104"/>
      <c r="CG1255" s="105"/>
      <c r="FK1255" s="7"/>
    </row>
    <row r="1256" spans="1:167">
      <c r="A1256" s="571"/>
      <c r="B1256" s="1008"/>
      <c r="C1256" s="7"/>
      <c r="P1256" s="7"/>
      <c r="AX1256" s="7"/>
      <c r="BP1256" s="61"/>
      <c r="CF1256" s="104"/>
      <c r="CG1256" s="105"/>
      <c r="FK1256" s="7"/>
    </row>
    <row r="1257" spans="1:167">
      <c r="A1257" s="571"/>
      <c r="B1257" s="1008"/>
      <c r="C1257" s="7"/>
      <c r="P1257" s="7"/>
      <c r="AX1257" s="7"/>
      <c r="BP1257" s="61"/>
      <c r="CF1257" s="104"/>
      <c r="CG1257" s="105"/>
      <c r="FK1257" s="7"/>
    </row>
    <row r="1258" spans="1:167">
      <c r="A1258" s="571"/>
      <c r="B1258" s="1008"/>
      <c r="C1258" s="7"/>
      <c r="P1258" s="7"/>
      <c r="AX1258" s="7"/>
      <c r="BP1258" s="61"/>
      <c r="CF1258" s="104"/>
      <c r="CG1258" s="105"/>
      <c r="FK1258" s="7"/>
    </row>
    <row r="1259" spans="1:167">
      <c r="A1259" s="571"/>
      <c r="B1259" s="1008"/>
      <c r="C1259" s="7"/>
      <c r="P1259" s="7"/>
      <c r="AX1259" s="7"/>
      <c r="BP1259" s="61"/>
      <c r="CF1259" s="104"/>
      <c r="CG1259" s="105"/>
      <c r="FK1259" s="7"/>
    </row>
    <row r="1260" spans="1:167">
      <c r="A1260" s="571"/>
      <c r="B1260" s="1008"/>
      <c r="C1260" s="7"/>
      <c r="P1260" s="7"/>
      <c r="AX1260" s="7"/>
      <c r="BP1260" s="61"/>
      <c r="CF1260" s="104"/>
      <c r="CG1260" s="105"/>
      <c r="FK1260" s="7"/>
    </row>
    <row r="1261" spans="1:167">
      <c r="A1261" s="571"/>
      <c r="B1261" s="1008"/>
      <c r="C1261" s="7"/>
      <c r="P1261" s="7"/>
      <c r="AX1261" s="7"/>
      <c r="BP1261" s="61"/>
      <c r="CF1261" s="104"/>
      <c r="CG1261" s="105"/>
      <c r="FK1261" s="7"/>
    </row>
    <row r="1262" spans="1:167">
      <c r="A1262" s="571"/>
      <c r="B1262" s="1008"/>
      <c r="C1262" s="7"/>
      <c r="P1262" s="7"/>
      <c r="AX1262" s="7"/>
      <c r="BP1262" s="61"/>
      <c r="CF1262" s="104"/>
      <c r="CG1262" s="105"/>
      <c r="FK1262" s="7"/>
    </row>
    <row r="1263" spans="1:167">
      <c r="A1263" s="571"/>
      <c r="B1263" s="1008"/>
      <c r="C1263" s="7"/>
      <c r="P1263" s="7"/>
      <c r="AX1263" s="7"/>
      <c r="BP1263" s="61"/>
      <c r="CF1263" s="104"/>
      <c r="CG1263" s="105"/>
      <c r="FK1263" s="7"/>
    </row>
    <row r="1264" spans="1:167">
      <c r="A1264" s="571"/>
      <c r="B1264" s="1008"/>
      <c r="C1264" s="7"/>
      <c r="P1264" s="7"/>
      <c r="AX1264" s="7"/>
      <c r="BP1264" s="61"/>
      <c r="CF1264" s="104"/>
      <c r="CG1264" s="105"/>
      <c r="FK1264" s="7"/>
    </row>
    <row r="1265" spans="1:167">
      <c r="A1265" s="571"/>
      <c r="B1265" s="1008"/>
      <c r="C1265" s="7"/>
      <c r="P1265" s="7"/>
      <c r="AX1265" s="7"/>
      <c r="BP1265" s="61"/>
      <c r="CF1265" s="104"/>
      <c r="CG1265" s="105"/>
      <c r="FK1265" s="7"/>
    </row>
    <row r="1266" spans="1:167">
      <c r="A1266" s="571"/>
      <c r="B1266" s="1008"/>
      <c r="C1266" s="7"/>
      <c r="P1266" s="7"/>
      <c r="AX1266" s="7"/>
      <c r="BP1266" s="61"/>
      <c r="CF1266" s="104"/>
      <c r="CG1266" s="105"/>
      <c r="FK1266" s="7"/>
    </row>
    <row r="1267" spans="1:167">
      <c r="A1267" s="571"/>
      <c r="B1267" s="1008"/>
      <c r="C1267" s="7"/>
      <c r="P1267" s="7"/>
      <c r="AX1267" s="7"/>
      <c r="BP1267" s="61"/>
      <c r="CF1267" s="104"/>
      <c r="CG1267" s="105"/>
      <c r="FK1267" s="7"/>
    </row>
    <row r="1268" spans="1:167">
      <c r="A1268" s="571"/>
      <c r="B1268" s="1008"/>
      <c r="C1268" s="7"/>
      <c r="P1268" s="7"/>
      <c r="AX1268" s="7"/>
      <c r="BP1268" s="61"/>
      <c r="CF1268" s="104"/>
      <c r="CG1268" s="105"/>
      <c r="FK1268" s="7"/>
    </row>
    <row r="1269" spans="1:167">
      <c r="A1269" s="571"/>
      <c r="B1269" s="1008"/>
      <c r="C1269" s="7"/>
      <c r="P1269" s="7"/>
      <c r="AX1269" s="7"/>
      <c r="BP1269" s="61"/>
      <c r="CF1269" s="104"/>
      <c r="CG1269" s="105"/>
      <c r="FK1269" s="7"/>
    </row>
    <row r="1270" spans="1:167">
      <c r="A1270" s="571"/>
      <c r="B1270" s="1008"/>
      <c r="C1270" s="7"/>
      <c r="P1270" s="7"/>
      <c r="AX1270" s="7"/>
      <c r="BP1270" s="61"/>
      <c r="CF1270" s="104"/>
      <c r="CG1270" s="105"/>
      <c r="FK1270" s="7"/>
    </row>
    <row r="1271" spans="1:167">
      <c r="A1271" s="571"/>
      <c r="B1271" s="1008"/>
      <c r="C1271" s="7"/>
      <c r="P1271" s="7"/>
      <c r="AX1271" s="7"/>
      <c r="BP1271" s="61"/>
      <c r="CF1271" s="104"/>
      <c r="CG1271" s="105"/>
      <c r="FK1271" s="7"/>
    </row>
    <row r="1272" spans="1:167">
      <c r="A1272" s="571"/>
      <c r="B1272" s="1008"/>
      <c r="C1272" s="7"/>
      <c r="P1272" s="7"/>
      <c r="AX1272" s="7"/>
      <c r="BP1272" s="61"/>
      <c r="CF1272" s="104"/>
      <c r="CG1272" s="105"/>
      <c r="FK1272" s="7"/>
    </row>
    <row r="1273" spans="1:167">
      <c r="A1273" s="571"/>
      <c r="B1273" s="1008"/>
      <c r="C1273" s="7"/>
      <c r="P1273" s="7"/>
      <c r="AX1273" s="7"/>
      <c r="BP1273" s="61"/>
      <c r="CF1273" s="104"/>
      <c r="CG1273" s="105"/>
      <c r="FK1273" s="7"/>
    </row>
    <row r="1274" spans="1:167">
      <c r="A1274" s="571"/>
      <c r="B1274" s="1008"/>
      <c r="C1274" s="7"/>
      <c r="P1274" s="7"/>
      <c r="AX1274" s="7"/>
      <c r="BP1274" s="61"/>
      <c r="CF1274" s="104"/>
      <c r="CG1274" s="105"/>
      <c r="FK1274" s="7"/>
    </row>
    <row r="1275" spans="1:167">
      <c r="A1275" s="571"/>
      <c r="B1275" s="1008"/>
      <c r="C1275" s="7"/>
      <c r="P1275" s="7"/>
      <c r="AX1275" s="7"/>
      <c r="BP1275" s="61"/>
      <c r="CF1275" s="104"/>
      <c r="CG1275" s="105"/>
      <c r="FK1275" s="7"/>
    </row>
    <row r="1276" spans="1:167">
      <c r="A1276" s="571"/>
      <c r="B1276" s="1008"/>
      <c r="C1276" s="7"/>
      <c r="P1276" s="7"/>
      <c r="AX1276" s="7"/>
      <c r="BP1276" s="61"/>
      <c r="CF1276" s="104"/>
      <c r="CG1276" s="105"/>
      <c r="FK1276" s="7"/>
    </row>
    <row r="1277" spans="1:167">
      <c r="A1277" s="571"/>
      <c r="B1277" s="1008"/>
      <c r="C1277" s="7"/>
      <c r="P1277" s="7"/>
      <c r="AX1277" s="7"/>
      <c r="BP1277" s="61"/>
      <c r="CF1277" s="104"/>
      <c r="CG1277" s="105"/>
      <c r="FK1277" s="7"/>
    </row>
    <row r="1278" spans="1:167">
      <c r="A1278" s="571"/>
      <c r="B1278" s="1008"/>
      <c r="C1278" s="7"/>
      <c r="P1278" s="7"/>
      <c r="AX1278" s="7"/>
      <c r="BP1278" s="61"/>
      <c r="CF1278" s="104"/>
      <c r="CG1278" s="105"/>
      <c r="FK1278" s="7"/>
    </row>
    <row r="1279" spans="1:167">
      <c r="A1279" s="571"/>
      <c r="B1279" s="1008"/>
      <c r="C1279" s="7"/>
      <c r="P1279" s="7"/>
      <c r="AX1279" s="7"/>
      <c r="BP1279" s="61"/>
      <c r="CF1279" s="104"/>
      <c r="CG1279" s="105"/>
      <c r="FK1279" s="7"/>
    </row>
    <row r="1280" spans="1:167">
      <c r="A1280" s="571"/>
      <c r="B1280" s="1008"/>
      <c r="C1280" s="7"/>
      <c r="P1280" s="7"/>
      <c r="AX1280" s="7"/>
      <c r="BP1280" s="61"/>
      <c r="CF1280" s="104"/>
      <c r="CG1280" s="105"/>
      <c r="FK1280" s="7"/>
    </row>
    <row r="1281" spans="1:167">
      <c r="A1281" s="571"/>
      <c r="B1281" s="1008"/>
      <c r="C1281" s="7"/>
      <c r="P1281" s="7"/>
      <c r="AX1281" s="7"/>
      <c r="BP1281" s="61"/>
      <c r="CF1281" s="104"/>
      <c r="CG1281" s="105"/>
      <c r="FK1281" s="7"/>
    </row>
    <row r="1282" spans="1:167">
      <c r="A1282" s="571"/>
      <c r="B1282" s="1008"/>
      <c r="C1282" s="7"/>
      <c r="P1282" s="7"/>
      <c r="AX1282" s="7"/>
      <c r="BP1282" s="61"/>
      <c r="CF1282" s="104"/>
      <c r="CG1282" s="105"/>
      <c r="FK1282" s="7"/>
    </row>
    <row r="1283" spans="1:167">
      <c r="A1283" s="571"/>
      <c r="B1283" s="1008"/>
      <c r="C1283" s="7"/>
      <c r="P1283" s="7"/>
      <c r="AX1283" s="7"/>
      <c r="BP1283" s="61"/>
      <c r="CF1283" s="104"/>
      <c r="CG1283" s="105"/>
      <c r="FK1283" s="7"/>
    </row>
    <row r="1284" spans="1:167">
      <c r="A1284" s="571"/>
      <c r="B1284" s="1008"/>
      <c r="C1284" s="7"/>
      <c r="P1284" s="7"/>
      <c r="AX1284" s="7"/>
      <c r="BP1284" s="61"/>
      <c r="CF1284" s="104"/>
      <c r="CG1284" s="105"/>
      <c r="FK1284" s="7"/>
    </row>
    <row r="1285" spans="1:167">
      <c r="A1285" s="571"/>
      <c r="B1285" s="1008"/>
      <c r="C1285" s="7"/>
      <c r="P1285" s="7"/>
      <c r="AX1285" s="7"/>
      <c r="BP1285" s="61"/>
      <c r="CF1285" s="104"/>
      <c r="CG1285" s="105"/>
      <c r="FK1285" s="7"/>
    </row>
    <row r="1286" spans="1:167">
      <c r="A1286" s="571"/>
      <c r="B1286" s="1008"/>
      <c r="C1286" s="7"/>
      <c r="P1286" s="7"/>
      <c r="AX1286" s="7"/>
      <c r="BP1286" s="61"/>
      <c r="CF1286" s="104"/>
      <c r="CG1286" s="105"/>
      <c r="FK1286" s="7"/>
    </row>
    <row r="1287" spans="1:167">
      <c r="A1287" s="571"/>
      <c r="B1287" s="1008"/>
      <c r="C1287" s="7"/>
      <c r="P1287" s="7"/>
      <c r="AX1287" s="7"/>
      <c r="BP1287" s="61"/>
      <c r="CF1287" s="104"/>
      <c r="CG1287" s="105"/>
      <c r="FK1287" s="7"/>
    </row>
    <row r="1288" spans="1:167">
      <c r="A1288" s="571"/>
      <c r="B1288" s="1008"/>
      <c r="C1288" s="7"/>
      <c r="P1288" s="7"/>
      <c r="AX1288" s="7"/>
      <c r="BP1288" s="61"/>
      <c r="CF1288" s="104"/>
      <c r="CG1288" s="105"/>
      <c r="FK1288" s="7"/>
    </row>
    <row r="1289" spans="1:167">
      <c r="A1289" s="571"/>
      <c r="B1289" s="1008"/>
      <c r="C1289" s="7"/>
      <c r="P1289" s="7"/>
      <c r="AX1289" s="7"/>
      <c r="BP1289" s="61"/>
      <c r="CF1289" s="104"/>
      <c r="CG1289" s="105"/>
      <c r="FK1289" s="7"/>
    </row>
    <row r="1290" spans="1:167">
      <c r="A1290" s="571"/>
      <c r="B1290" s="1008"/>
      <c r="C1290" s="7"/>
      <c r="P1290" s="7"/>
      <c r="AX1290" s="7"/>
      <c r="BP1290" s="61"/>
      <c r="CF1290" s="104"/>
      <c r="CG1290" s="105"/>
      <c r="FK1290" s="7"/>
    </row>
    <row r="1291" spans="1:167">
      <c r="A1291" s="571"/>
      <c r="B1291" s="1008"/>
      <c r="C1291" s="7"/>
      <c r="P1291" s="7"/>
      <c r="AX1291" s="7"/>
      <c r="BP1291" s="61"/>
      <c r="CF1291" s="104"/>
      <c r="CG1291" s="105"/>
      <c r="FK1291" s="7"/>
    </row>
    <row r="1292" spans="1:167">
      <c r="A1292" s="571"/>
      <c r="B1292" s="1008"/>
      <c r="C1292" s="7"/>
      <c r="P1292" s="7"/>
      <c r="AX1292" s="7"/>
      <c r="BP1292" s="61"/>
      <c r="CF1292" s="104"/>
      <c r="CG1292" s="105"/>
      <c r="FK1292" s="7"/>
    </row>
    <row r="1293" spans="1:167">
      <c r="A1293" s="571"/>
      <c r="B1293" s="1008"/>
      <c r="C1293" s="7"/>
      <c r="P1293" s="7"/>
      <c r="AX1293" s="7"/>
      <c r="BP1293" s="61"/>
      <c r="CF1293" s="104"/>
      <c r="CG1293" s="105"/>
      <c r="FK1293" s="7"/>
    </row>
    <row r="1294" spans="1:167">
      <c r="A1294" s="571"/>
      <c r="B1294" s="1008"/>
      <c r="C1294" s="7"/>
      <c r="P1294" s="7"/>
      <c r="AX1294" s="7"/>
      <c r="BP1294" s="61"/>
      <c r="CF1294" s="104"/>
      <c r="CG1294" s="105"/>
      <c r="FK1294" s="7"/>
    </row>
    <row r="1295" spans="1:167">
      <c r="A1295" s="571"/>
      <c r="B1295" s="1008"/>
      <c r="C1295" s="7"/>
      <c r="P1295" s="7"/>
      <c r="AX1295" s="7"/>
      <c r="BP1295" s="61"/>
      <c r="CF1295" s="104"/>
      <c r="CG1295" s="105"/>
      <c r="FK1295" s="7"/>
    </row>
    <row r="1296" spans="1:167">
      <c r="A1296" s="571"/>
      <c r="B1296" s="1008"/>
      <c r="C1296" s="7"/>
      <c r="P1296" s="7"/>
      <c r="AX1296" s="7"/>
      <c r="BP1296" s="61"/>
      <c r="CF1296" s="104"/>
      <c r="CG1296" s="105"/>
      <c r="FK1296" s="7"/>
    </row>
    <row r="1297" spans="1:167">
      <c r="A1297" s="571"/>
      <c r="B1297" s="1008"/>
      <c r="C1297" s="7"/>
      <c r="P1297" s="7"/>
      <c r="AX1297" s="7"/>
      <c r="BP1297" s="61"/>
      <c r="CF1297" s="104"/>
      <c r="CG1297" s="105"/>
      <c r="FK1297" s="7"/>
    </row>
    <row r="1298" spans="1:167">
      <c r="A1298" s="571"/>
      <c r="B1298" s="1008"/>
      <c r="C1298" s="7"/>
      <c r="P1298" s="7"/>
      <c r="AX1298" s="7"/>
      <c r="BP1298" s="61"/>
      <c r="CF1298" s="104"/>
      <c r="CG1298" s="105"/>
      <c r="FK1298" s="7"/>
    </row>
    <row r="1299" spans="1:167">
      <c r="A1299" s="571"/>
      <c r="B1299" s="1008"/>
      <c r="C1299" s="7"/>
      <c r="P1299" s="7"/>
      <c r="AX1299" s="7"/>
      <c r="BP1299" s="61"/>
      <c r="CF1299" s="104"/>
      <c r="CG1299" s="105"/>
      <c r="FK1299" s="7"/>
    </row>
    <row r="1300" spans="1:167">
      <c r="A1300" s="571"/>
      <c r="B1300" s="1008"/>
      <c r="C1300" s="7"/>
      <c r="P1300" s="7"/>
      <c r="AX1300" s="7"/>
      <c r="BP1300" s="61"/>
      <c r="CF1300" s="104"/>
      <c r="CG1300" s="105"/>
      <c r="FK1300" s="7"/>
    </row>
    <row r="1301" spans="1:167">
      <c r="A1301" s="571"/>
      <c r="B1301" s="1008"/>
      <c r="C1301" s="7"/>
      <c r="P1301" s="7"/>
      <c r="AX1301" s="7"/>
      <c r="BP1301" s="61"/>
      <c r="CF1301" s="104"/>
      <c r="CG1301" s="105"/>
      <c r="FK1301" s="7"/>
    </row>
    <row r="1302" spans="1:167">
      <c r="A1302" s="571"/>
      <c r="B1302" s="1008"/>
      <c r="C1302" s="7"/>
      <c r="P1302" s="7"/>
      <c r="AX1302" s="7"/>
      <c r="BP1302" s="61"/>
      <c r="CF1302" s="104"/>
      <c r="CG1302" s="105"/>
      <c r="FK1302" s="7"/>
    </row>
    <row r="1303" spans="1:167">
      <c r="A1303" s="571"/>
      <c r="B1303" s="1008"/>
      <c r="C1303" s="7"/>
      <c r="P1303" s="7"/>
      <c r="AX1303" s="7"/>
      <c r="BP1303" s="61"/>
      <c r="CF1303" s="104"/>
      <c r="CG1303" s="105"/>
      <c r="FK1303" s="7"/>
    </row>
    <row r="1304" spans="1:167">
      <c r="A1304" s="571"/>
      <c r="B1304" s="1008"/>
      <c r="C1304" s="7"/>
      <c r="P1304" s="7"/>
      <c r="AX1304" s="7"/>
      <c r="BP1304" s="61"/>
      <c r="CF1304" s="104"/>
      <c r="CG1304" s="105"/>
      <c r="FK1304" s="7"/>
    </row>
    <row r="1305" spans="1:167">
      <c r="A1305" s="571"/>
      <c r="B1305" s="1008"/>
      <c r="C1305" s="7"/>
      <c r="P1305" s="7"/>
      <c r="AX1305" s="7"/>
      <c r="BP1305" s="61"/>
      <c r="CF1305" s="104"/>
      <c r="CG1305" s="105"/>
      <c r="FK1305" s="7"/>
    </row>
    <row r="1306" spans="1:167">
      <c r="A1306" s="571"/>
      <c r="B1306" s="1008"/>
      <c r="C1306" s="7"/>
      <c r="P1306" s="7"/>
      <c r="AX1306" s="7"/>
      <c r="BP1306" s="61"/>
      <c r="CF1306" s="104"/>
      <c r="CG1306" s="105"/>
      <c r="FK1306" s="7"/>
    </row>
    <row r="1307" spans="1:167">
      <c r="A1307" s="571"/>
      <c r="B1307" s="1008"/>
      <c r="C1307" s="7"/>
      <c r="P1307" s="7"/>
      <c r="AX1307" s="7"/>
      <c r="BP1307" s="61"/>
      <c r="CF1307" s="104"/>
      <c r="CG1307" s="105"/>
      <c r="FK1307" s="7"/>
    </row>
    <row r="1308" spans="1:167">
      <c r="A1308" s="571"/>
      <c r="B1308" s="1008"/>
      <c r="C1308" s="7"/>
      <c r="P1308" s="7"/>
      <c r="AX1308" s="7"/>
      <c r="BP1308" s="61"/>
      <c r="CF1308" s="104"/>
      <c r="CG1308" s="105"/>
      <c r="FK1308" s="7"/>
    </row>
    <row r="1309" spans="1:167">
      <c r="A1309" s="571"/>
      <c r="B1309" s="1008"/>
      <c r="C1309" s="7"/>
      <c r="P1309" s="7"/>
      <c r="AX1309" s="7"/>
      <c r="BP1309" s="61"/>
      <c r="CF1309" s="104"/>
      <c r="CG1309" s="105"/>
      <c r="FK1309" s="7"/>
    </row>
    <row r="1310" spans="1:167">
      <c r="A1310" s="571"/>
      <c r="B1310" s="1008"/>
      <c r="C1310" s="7"/>
      <c r="P1310" s="7"/>
      <c r="AX1310" s="7"/>
      <c r="BP1310" s="61"/>
      <c r="CF1310" s="104"/>
      <c r="CG1310" s="105"/>
      <c r="FK1310" s="7"/>
    </row>
    <row r="1311" spans="1:167">
      <c r="A1311" s="571"/>
      <c r="B1311" s="1008"/>
      <c r="C1311" s="7"/>
      <c r="P1311" s="7"/>
      <c r="AX1311" s="7"/>
      <c r="BP1311" s="61"/>
      <c r="CF1311" s="104"/>
      <c r="CG1311" s="105"/>
      <c r="FK1311" s="7"/>
    </row>
    <row r="1312" spans="1:167">
      <c r="A1312" s="571"/>
      <c r="B1312" s="1008"/>
      <c r="C1312" s="7"/>
      <c r="P1312" s="7"/>
      <c r="AX1312" s="7"/>
      <c r="BP1312" s="61"/>
      <c r="CF1312" s="104"/>
      <c r="CG1312" s="105"/>
      <c r="FK1312" s="7"/>
    </row>
    <row r="1313" spans="1:167">
      <c r="A1313" s="571"/>
      <c r="B1313" s="1008"/>
      <c r="C1313" s="7"/>
      <c r="P1313" s="7"/>
      <c r="AX1313" s="7"/>
      <c r="BP1313" s="61"/>
      <c r="CF1313" s="104"/>
      <c r="CG1313" s="105"/>
      <c r="FK1313" s="7"/>
    </row>
    <row r="1314" spans="1:167">
      <c r="A1314" s="571"/>
      <c r="B1314" s="1008"/>
      <c r="C1314" s="7"/>
      <c r="P1314" s="7"/>
      <c r="AX1314" s="7"/>
      <c r="BP1314" s="61"/>
      <c r="CF1314" s="104"/>
      <c r="CG1314" s="105"/>
      <c r="FK1314" s="7"/>
    </row>
    <row r="1315" spans="1:167">
      <c r="A1315" s="571"/>
      <c r="B1315" s="1008"/>
      <c r="C1315" s="7"/>
      <c r="P1315" s="7"/>
      <c r="AX1315" s="7"/>
      <c r="BP1315" s="61"/>
      <c r="CF1315" s="104"/>
      <c r="CG1315" s="105"/>
      <c r="FK1315" s="7"/>
    </row>
    <row r="1316" spans="1:167">
      <c r="A1316" s="571"/>
      <c r="B1316" s="1008"/>
      <c r="C1316" s="7"/>
      <c r="P1316" s="7"/>
      <c r="AX1316" s="7"/>
      <c r="BP1316" s="61"/>
      <c r="CF1316" s="104"/>
      <c r="CG1316" s="105"/>
      <c r="FK1316" s="7"/>
    </row>
    <row r="1317" spans="1:167">
      <c r="A1317" s="571"/>
      <c r="B1317" s="1008"/>
      <c r="C1317" s="7"/>
      <c r="P1317" s="7"/>
      <c r="AX1317" s="7"/>
      <c r="BP1317" s="61"/>
      <c r="CF1317" s="104"/>
      <c r="CG1317" s="105"/>
      <c r="FK1317" s="7"/>
    </row>
    <row r="1318" spans="1:167">
      <c r="A1318" s="571"/>
      <c r="B1318" s="1008"/>
      <c r="C1318" s="7"/>
      <c r="P1318" s="7"/>
      <c r="AX1318" s="7"/>
      <c r="BP1318" s="61"/>
      <c r="CF1318" s="104"/>
      <c r="CG1318" s="105"/>
      <c r="FK1318" s="7"/>
    </row>
    <row r="1319" spans="1:167">
      <c r="A1319" s="571"/>
      <c r="B1319" s="1008"/>
      <c r="C1319" s="7"/>
      <c r="P1319" s="7"/>
      <c r="AX1319" s="7"/>
      <c r="BP1319" s="61"/>
      <c r="CF1319" s="104"/>
      <c r="CG1319" s="105"/>
      <c r="FK1319" s="7"/>
    </row>
    <row r="1320" spans="1:167">
      <c r="A1320" s="571"/>
      <c r="B1320" s="1008"/>
      <c r="C1320" s="7"/>
      <c r="P1320" s="7"/>
      <c r="AX1320" s="7"/>
      <c r="BP1320" s="61"/>
      <c r="CF1320" s="104"/>
      <c r="CG1320" s="105"/>
      <c r="FK1320" s="7"/>
    </row>
    <row r="1321" spans="1:167">
      <c r="A1321" s="571"/>
      <c r="B1321" s="1008"/>
      <c r="C1321" s="7"/>
      <c r="P1321" s="7"/>
      <c r="AX1321" s="7"/>
      <c r="BP1321" s="61"/>
      <c r="CF1321" s="104"/>
      <c r="CG1321" s="105"/>
      <c r="FK1321" s="7"/>
    </row>
    <row r="1322" spans="1:167">
      <c r="A1322" s="571"/>
      <c r="B1322" s="1008"/>
      <c r="C1322" s="7"/>
      <c r="P1322" s="7"/>
      <c r="AX1322" s="7"/>
      <c r="BP1322" s="61"/>
      <c r="CF1322" s="104"/>
      <c r="CG1322" s="105"/>
      <c r="FK1322" s="7"/>
    </row>
    <row r="1323" spans="1:167">
      <c r="A1323" s="571"/>
      <c r="B1323" s="1008"/>
      <c r="C1323" s="7"/>
      <c r="P1323" s="7"/>
      <c r="AX1323" s="7"/>
      <c r="BP1323" s="61"/>
      <c r="CF1323" s="104"/>
      <c r="CG1323" s="105"/>
      <c r="FK1323" s="7"/>
    </row>
    <row r="1324" spans="1:167">
      <c r="A1324" s="571"/>
      <c r="B1324" s="1008"/>
      <c r="C1324" s="7"/>
      <c r="P1324" s="7"/>
      <c r="AX1324" s="7"/>
      <c r="BP1324" s="61"/>
      <c r="CF1324" s="104"/>
      <c r="CG1324" s="105"/>
      <c r="FK1324" s="7"/>
    </row>
    <row r="1325" spans="1:167">
      <c r="A1325" s="571"/>
      <c r="B1325" s="1008"/>
      <c r="C1325" s="7"/>
      <c r="P1325" s="7"/>
      <c r="AX1325" s="7"/>
      <c r="BP1325" s="61"/>
      <c r="CF1325" s="104"/>
      <c r="CG1325" s="105"/>
      <c r="FK1325" s="7"/>
    </row>
    <row r="1326" spans="1:167">
      <c r="A1326" s="571"/>
      <c r="B1326" s="1008"/>
      <c r="C1326" s="7"/>
      <c r="P1326" s="7"/>
      <c r="AX1326" s="7"/>
      <c r="BP1326" s="61"/>
      <c r="CF1326" s="104"/>
      <c r="CG1326" s="105"/>
      <c r="FK1326" s="7"/>
    </row>
    <row r="1327" spans="1:167">
      <c r="A1327" s="571"/>
      <c r="B1327" s="1008"/>
      <c r="C1327" s="7"/>
      <c r="P1327" s="7"/>
      <c r="AX1327" s="7"/>
      <c r="BP1327" s="61"/>
      <c r="CF1327" s="104"/>
      <c r="CG1327" s="105"/>
      <c r="FK1327" s="7"/>
    </row>
    <row r="1328" spans="1:167">
      <c r="A1328" s="571"/>
      <c r="B1328" s="1008"/>
      <c r="C1328" s="7"/>
      <c r="P1328" s="7"/>
      <c r="AX1328" s="7"/>
      <c r="BP1328" s="61"/>
      <c r="CF1328" s="104"/>
      <c r="CG1328" s="105"/>
      <c r="FK1328" s="7"/>
    </row>
    <row r="1329" spans="1:167">
      <c r="A1329" s="571"/>
      <c r="B1329" s="1008"/>
      <c r="C1329" s="7"/>
      <c r="P1329" s="7"/>
      <c r="AX1329" s="7"/>
      <c r="BP1329" s="61"/>
      <c r="CF1329" s="104"/>
      <c r="CG1329" s="105"/>
      <c r="FK1329" s="7"/>
    </row>
    <row r="1330" spans="1:167">
      <c r="A1330" s="571"/>
      <c r="B1330" s="1008"/>
      <c r="C1330" s="7"/>
      <c r="P1330" s="7"/>
      <c r="AX1330" s="7"/>
      <c r="BP1330" s="61"/>
      <c r="CF1330" s="104"/>
      <c r="CG1330" s="105"/>
      <c r="FK1330" s="7"/>
    </row>
    <row r="1331" spans="1:167">
      <c r="A1331" s="571"/>
      <c r="B1331" s="1008"/>
      <c r="C1331" s="7"/>
      <c r="P1331" s="7"/>
      <c r="AX1331" s="7"/>
      <c r="BP1331" s="61"/>
      <c r="CF1331" s="104"/>
      <c r="CG1331" s="105"/>
      <c r="FK1331" s="7"/>
    </row>
    <row r="1332" spans="1:167">
      <c r="A1332" s="571"/>
      <c r="B1332" s="1008"/>
      <c r="C1332" s="7"/>
      <c r="P1332" s="7"/>
      <c r="AX1332" s="7"/>
      <c r="BP1332" s="61"/>
      <c r="CF1332" s="104"/>
      <c r="CG1332" s="105"/>
      <c r="FK1332" s="7"/>
    </row>
    <row r="1333" spans="1:167">
      <c r="A1333" s="571"/>
      <c r="B1333" s="1008"/>
      <c r="C1333" s="7"/>
      <c r="P1333" s="7"/>
      <c r="AX1333" s="7"/>
      <c r="BP1333" s="61"/>
      <c r="CF1333" s="104"/>
      <c r="CG1333" s="105"/>
      <c r="FK1333" s="7"/>
    </row>
    <row r="1334" spans="1:167">
      <c r="A1334" s="571"/>
      <c r="B1334" s="1008"/>
      <c r="C1334" s="7"/>
      <c r="P1334" s="7"/>
      <c r="AX1334" s="7"/>
      <c r="BP1334" s="61"/>
      <c r="CF1334" s="104"/>
      <c r="CG1334" s="105"/>
      <c r="FK1334" s="7"/>
    </row>
    <row r="1335" spans="1:167">
      <c r="A1335" s="571"/>
      <c r="B1335" s="1008"/>
      <c r="C1335" s="7"/>
      <c r="P1335" s="7"/>
      <c r="AX1335" s="7"/>
      <c r="BP1335" s="61"/>
      <c r="CF1335" s="104"/>
      <c r="CG1335" s="105"/>
      <c r="FK1335" s="7"/>
    </row>
    <row r="1336" spans="1:167">
      <c r="A1336" s="571"/>
      <c r="B1336" s="1008"/>
      <c r="C1336" s="7"/>
      <c r="P1336" s="7"/>
      <c r="AX1336" s="7"/>
      <c r="BP1336" s="61"/>
      <c r="CF1336" s="104"/>
      <c r="CG1336" s="105"/>
      <c r="FK1336" s="7"/>
    </row>
    <row r="1337" spans="1:167">
      <c r="A1337" s="571"/>
      <c r="B1337" s="1008"/>
      <c r="C1337" s="7"/>
      <c r="P1337" s="7"/>
      <c r="AX1337" s="7"/>
      <c r="BP1337" s="61"/>
      <c r="CF1337" s="104"/>
      <c r="CG1337" s="105"/>
      <c r="FK1337" s="7"/>
    </row>
    <row r="1338" spans="1:167">
      <c r="A1338" s="571"/>
      <c r="B1338" s="1008"/>
      <c r="C1338" s="7"/>
      <c r="P1338" s="7"/>
      <c r="AX1338" s="7"/>
      <c r="BP1338" s="61"/>
      <c r="CF1338" s="104"/>
      <c r="CG1338" s="105"/>
      <c r="FK1338" s="7"/>
    </row>
    <row r="1339" spans="1:167">
      <c r="A1339" s="571"/>
      <c r="B1339" s="1008"/>
      <c r="C1339" s="7"/>
      <c r="P1339" s="7"/>
      <c r="AX1339" s="7"/>
      <c r="BP1339" s="61"/>
      <c r="CF1339" s="104"/>
      <c r="CG1339" s="105"/>
      <c r="FK1339" s="7"/>
    </row>
    <row r="1340" spans="1:167">
      <c r="A1340" s="571"/>
      <c r="B1340" s="1008"/>
      <c r="C1340" s="7"/>
      <c r="P1340" s="7"/>
      <c r="AX1340" s="7"/>
      <c r="BP1340" s="61"/>
      <c r="CF1340" s="104"/>
      <c r="CG1340" s="105"/>
      <c r="FK1340" s="7"/>
    </row>
    <row r="1341" spans="1:167">
      <c r="A1341" s="571"/>
      <c r="B1341" s="1008"/>
      <c r="C1341" s="7"/>
      <c r="P1341" s="7"/>
      <c r="AX1341" s="7"/>
      <c r="BP1341" s="61"/>
      <c r="CF1341" s="104"/>
      <c r="CG1341" s="105"/>
      <c r="FK1341" s="7"/>
    </row>
    <row r="1342" spans="1:167">
      <c r="A1342" s="571"/>
      <c r="B1342" s="1008"/>
      <c r="C1342" s="7"/>
      <c r="P1342" s="7"/>
      <c r="AX1342" s="7"/>
      <c r="BP1342" s="61"/>
      <c r="CF1342" s="104"/>
      <c r="CG1342" s="105"/>
      <c r="FK1342" s="7"/>
    </row>
    <row r="1343" spans="1:167">
      <c r="A1343" s="571"/>
      <c r="B1343" s="1008"/>
      <c r="C1343" s="7"/>
      <c r="P1343" s="7"/>
      <c r="AX1343" s="7"/>
      <c r="BP1343" s="61"/>
      <c r="CF1343" s="104"/>
      <c r="CG1343" s="105"/>
      <c r="FK1343" s="7"/>
    </row>
    <row r="1344" spans="1:167">
      <c r="A1344" s="571"/>
      <c r="B1344" s="1008"/>
      <c r="C1344" s="7"/>
      <c r="P1344" s="7"/>
      <c r="AX1344" s="7"/>
      <c r="BP1344" s="61"/>
      <c r="CF1344" s="104"/>
      <c r="CG1344" s="105"/>
      <c r="FK1344" s="7"/>
    </row>
    <row r="1345" spans="1:167">
      <c r="A1345" s="571"/>
      <c r="B1345" s="1008"/>
      <c r="C1345" s="7"/>
      <c r="P1345" s="7"/>
      <c r="AX1345" s="7"/>
      <c r="BP1345" s="61"/>
      <c r="CF1345" s="104"/>
      <c r="CG1345" s="105"/>
      <c r="FK1345" s="7"/>
    </row>
    <row r="1346" spans="1:167">
      <c r="A1346" s="571"/>
      <c r="B1346" s="1008"/>
      <c r="C1346" s="7"/>
      <c r="P1346" s="7"/>
      <c r="AX1346" s="7"/>
      <c r="BP1346" s="61"/>
      <c r="CF1346" s="104"/>
      <c r="CG1346" s="105"/>
      <c r="FK1346" s="7"/>
    </row>
    <row r="1347" spans="1:167">
      <c r="A1347" s="571"/>
      <c r="B1347" s="1008"/>
      <c r="C1347" s="7"/>
      <c r="P1347" s="7"/>
      <c r="AX1347" s="7"/>
      <c r="BP1347" s="61"/>
      <c r="CF1347" s="104"/>
      <c r="CG1347" s="105"/>
      <c r="FK1347" s="7"/>
    </row>
    <row r="1348" spans="1:167">
      <c r="A1348" s="571"/>
      <c r="B1348" s="1008"/>
      <c r="C1348" s="7"/>
      <c r="P1348" s="7"/>
      <c r="AX1348" s="7"/>
      <c r="BP1348" s="61"/>
      <c r="CF1348" s="104"/>
      <c r="CG1348" s="105"/>
      <c r="FK1348" s="7"/>
    </row>
    <row r="1349" spans="1:167">
      <c r="A1349" s="571"/>
      <c r="B1349" s="1008"/>
      <c r="C1349" s="7"/>
      <c r="P1349" s="7"/>
      <c r="AX1349" s="7"/>
      <c r="BP1349" s="61"/>
      <c r="CF1349" s="104"/>
      <c r="CG1349" s="105"/>
      <c r="FK1349" s="7"/>
    </row>
    <row r="1350" spans="1:167">
      <c r="A1350" s="571"/>
      <c r="B1350" s="1008"/>
      <c r="C1350" s="7"/>
      <c r="P1350" s="7"/>
      <c r="AX1350" s="7"/>
      <c r="BP1350" s="61"/>
      <c r="CF1350" s="104"/>
      <c r="CG1350" s="105"/>
      <c r="FK1350" s="7"/>
    </row>
    <row r="1351" spans="1:167">
      <c r="A1351" s="571"/>
      <c r="B1351" s="1008"/>
      <c r="C1351" s="7"/>
      <c r="P1351" s="7"/>
      <c r="AX1351" s="7"/>
      <c r="BP1351" s="61"/>
      <c r="CF1351" s="104"/>
      <c r="CG1351" s="105"/>
      <c r="FK1351" s="7"/>
    </row>
    <row r="1352" spans="1:167">
      <c r="A1352" s="571"/>
      <c r="B1352" s="1008"/>
      <c r="C1352" s="7"/>
      <c r="P1352" s="7"/>
      <c r="AX1352" s="7"/>
      <c r="BP1352" s="61"/>
      <c r="CF1352" s="104"/>
      <c r="CG1352" s="105"/>
      <c r="FK1352" s="7"/>
    </row>
    <row r="1353" spans="1:167">
      <c r="A1353" s="571"/>
      <c r="B1353" s="1008"/>
      <c r="C1353" s="7"/>
      <c r="P1353" s="7"/>
      <c r="AX1353" s="7"/>
      <c r="BP1353" s="61"/>
      <c r="CF1353" s="104"/>
      <c r="CG1353" s="105"/>
      <c r="FK1353" s="7"/>
    </row>
    <row r="1354" spans="1:167">
      <c r="A1354" s="571"/>
      <c r="B1354" s="1008"/>
      <c r="C1354" s="7"/>
      <c r="P1354" s="7"/>
      <c r="AX1354" s="7"/>
      <c r="BP1354" s="61"/>
      <c r="CF1354" s="104"/>
      <c r="CG1354" s="105"/>
      <c r="FK1354" s="7"/>
    </row>
    <row r="1355" spans="1:167">
      <c r="A1355" s="571"/>
      <c r="B1355" s="1008"/>
      <c r="C1355" s="7"/>
      <c r="P1355" s="7"/>
      <c r="AX1355" s="7"/>
      <c r="BP1355" s="61"/>
      <c r="CF1355" s="104"/>
      <c r="CG1355" s="105"/>
      <c r="FK1355" s="7"/>
    </row>
    <row r="1356" spans="1:167">
      <c r="A1356" s="571"/>
      <c r="B1356" s="1008"/>
      <c r="C1356" s="7"/>
      <c r="P1356" s="7"/>
      <c r="AX1356" s="7"/>
      <c r="BP1356" s="61"/>
      <c r="CF1356" s="104"/>
      <c r="CG1356" s="105"/>
      <c r="FK1356" s="7"/>
    </row>
    <row r="1357" spans="1:167">
      <c r="A1357" s="571"/>
      <c r="B1357" s="1008"/>
      <c r="C1357" s="7"/>
      <c r="P1357" s="7"/>
      <c r="AX1357" s="7"/>
      <c r="BP1357" s="61"/>
      <c r="CF1357" s="104"/>
      <c r="CG1357" s="105"/>
      <c r="FK1357" s="7"/>
    </row>
    <row r="1358" spans="1:167">
      <c r="A1358" s="571"/>
      <c r="B1358" s="1008"/>
      <c r="C1358" s="7"/>
      <c r="P1358" s="7"/>
      <c r="AX1358" s="7"/>
      <c r="BP1358" s="61"/>
      <c r="CF1358" s="104"/>
      <c r="CG1358" s="105"/>
      <c r="FK1358" s="7"/>
    </row>
    <row r="1359" spans="1:167">
      <c r="A1359" s="571"/>
      <c r="B1359" s="1008"/>
      <c r="C1359" s="7"/>
      <c r="P1359" s="7"/>
      <c r="AX1359" s="7"/>
      <c r="BP1359" s="61"/>
      <c r="CF1359" s="104"/>
      <c r="CG1359" s="105"/>
      <c r="FK1359" s="7"/>
    </row>
    <row r="1360" spans="1:167">
      <c r="A1360" s="571"/>
      <c r="B1360" s="1008"/>
      <c r="C1360" s="7"/>
      <c r="P1360" s="7"/>
      <c r="AX1360" s="7"/>
      <c r="BP1360" s="61"/>
      <c r="CF1360" s="104"/>
      <c r="CG1360" s="105"/>
      <c r="FK1360" s="7"/>
    </row>
    <row r="1361" spans="1:167">
      <c r="A1361" s="571"/>
      <c r="B1361" s="1008"/>
      <c r="C1361" s="7"/>
      <c r="P1361" s="7"/>
      <c r="AX1361" s="7"/>
      <c r="BP1361" s="61"/>
      <c r="CF1361" s="104"/>
      <c r="CG1361" s="105"/>
      <c r="FK1361" s="7"/>
    </row>
    <row r="1362" spans="1:167">
      <c r="A1362" s="571"/>
      <c r="B1362" s="1008"/>
      <c r="C1362" s="7"/>
      <c r="P1362" s="7"/>
      <c r="AX1362" s="7"/>
      <c r="BP1362" s="61"/>
      <c r="CF1362" s="104"/>
      <c r="CG1362" s="105"/>
      <c r="FK1362" s="7"/>
    </row>
    <row r="1363" spans="1:167">
      <c r="A1363" s="571"/>
      <c r="B1363" s="1008"/>
      <c r="C1363" s="7"/>
      <c r="P1363" s="7"/>
      <c r="AX1363" s="7"/>
      <c r="BP1363" s="61"/>
      <c r="CF1363" s="104"/>
      <c r="CG1363" s="105"/>
      <c r="FK1363" s="7"/>
    </row>
    <row r="1364" spans="1:167">
      <c r="A1364" s="571"/>
      <c r="B1364" s="1008"/>
      <c r="C1364" s="7"/>
      <c r="P1364" s="7"/>
      <c r="AX1364" s="7"/>
      <c r="BP1364" s="61"/>
      <c r="CF1364" s="104"/>
      <c r="CG1364" s="105"/>
      <c r="FK1364" s="7"/>
    </row>
    <row r="1365" spans="1:167">
      <c r="A1365" s="571"/>
      <c r="B1365" s="1008"/>
      <c r="C1365" s="7"/>
      <c r="P1365" s="7"/>
      <c r="AX1365" s="7"/>
      <c r="BP1365" s="61"/>
      <c r="CF1365" s="104"/>
      <c r="CG1365" s="105"/>
      <c r="FK1365" s="7"/>
    </row>
    <row r="1366" spans="1:167">
      <c r="A1366" s="571"/>
      <c r="B1366" s="1008"/>
      <c r="C1366" s="7"/>
      <c r="P1366" s="7"/>
      <c r="AX1366" s="7"/>
      <c r="BP1366" s="61"/>
      <c r="CF1366" s="104"/>
      <c r="CG1366" s="105"/>
      <c r="FK1366" s="7"/>
    </row>
    <row r="1367" spans="1:167">
      <c r="A1367" s="571"/>
      <c r="B1367" s="1008"/>
      <c r="C1367" s="7"/>
      <c r="P1367" s="7"/>
      <c r="AX1367" s="7"/>
      <c r="BP1367" s="61"/>
      <c r="CF1367" s="104"/>
      <c r="CG1367" s="105"/>
      <c r="FK1367" s="7"/>
    </row>
    <row r="1368" spans="1:167">
      <c r="A1368" s="571"/>
      <c r="B1368" s="1008"/>
      <c r="C1368" s="7"/>
      <c r="P1368" s="7"/>
      <c r="AX1368" s="7"/>
      <c r="BP1368" s="61"/>
      <c r="CF1368" s="104"/>
      <c r="CG1368" s="105"/>
      <c r="FK1368" s="7"/>
    </row>
    <row r="1369" spans="1:167">
      <c r="A1369" s="571"/>
      <c r="B1369" s="1008"/>
      <c r="C1369" s="7"/>
      <c r="P1369" s="7"/>
      <c r="AX1369" s="7"/>
      <c r="BP1369" s="61"/>
      <c r="CF1369" s="104"/>
      <c r="CG1369" s="105"/>
      <c r="FK1369" s="7"/>
    </row>
    <row r="1370" spans="1:167">
      <c r="A1370" s="571"/>
      <c r="B1370" s="1008"/>
      <c r="C1370" s="7"/>
      <c r="P1370" s="7"/>
      <c r="AX1370" s="7"/>
      <c r="BP1370" s="61"/>
      <c r="CF1370" s="104"/>
      <c r="CG1370" s="105"/>
      <c r="FK1370" s="7"/>
    </row>
    <row r="1371" spans="1:167">
      <c r="A1371" s="571"/>
      <c r="B1371" s="1008"/>
      <c r="C1371" s="7"/>
      <c r="P1371" s="7"/>
      <c r="AX1371" s="7"/>
      <c r="BP1371" s="61"/>
      <c r="CF1371" s="104"/>
      <c r="CG1371" s="105"/>
      <c r="FK1371" s="7"/>
    </row>
    <row r="1372" spans="1:167">
      <c r="A1372" s="571"/>
      <c r="B1372" s="1008"/>
      <c r="C1372" s="7"/>
      <c r="P1372" s="7"/>
      <c r="AX1372" s="7"/>
      <c r="BP1372" s="61"/>
      <c r="CF1372" s="104"/>
      <c r="CG1372" s="105"/>
      <c r="FK1372" s="7"/>
    </row>
    <row r="1373" spans="1:167">
      <c r="A1373" s="571"/>
      <c r="B1373" s="1008"/>
      <c r="C1373" s="7"/>
      <c r="P1373" s="7"/>
      <c r="AX1373" s="7"/>
      <c r="BP1373" s="61"/>
      <c r="CF1373" s="104"/>
      <c r="CG1373" s="105"/>
      <c r="FK1373" s="7"/>
    </row>
    <row r="1374" spans="1:167">
      <c r="A1374" s="571"/>
      <c r="B1374" s="1008"/>
      <c r="C1374" s="7"/>
      <c r="P1374" s="7"/>
      <c r="AX1374" s="7"/>
      <c r="BP1374" s="61"/>
      <c r="CF1374" s="104"/>
      <c r="CG1374" s="105"/>
      <c r="FK1374" s="7"/>
    </row>
    <row r="1375" spans="1:167">
      <c r="A1375" s="571"/>
      <c r="B1375" s="1008"/>
      <c r="C1375" s="7"/>
      <c r="P1375" s="7"/>
      <c r="AX1375" s="7"/>
      <c r="BP1375" s="61"/>
      <c r="CF1375" s="104"/>
      <c r="CG1375" s="105"/>
      <c r="FK1375" s="7"/>
    </row>
    <row r="1376" spans="1:167">
      <c r="A1376" s="571"/>
      <c r="B1376" s="1008"/>
      <c r="C1376" s="7"/>
      <c r="P1376" s="7"/>
      <c r="AX1376" s="7"/>
      <c r="BP1376" s="61"/>
      <c r="CF1376" s="104"/>
      <c r="CG1376" s="105"/>
      <c r="FK1376" s="7"/>
    </row>
    <row r="1377" spans="1:167">
      <c r="A1377" s="571"/>
      <c r="B1377" s="1008"/>
      <c r="C1377" s="7"/>
      <c r="P1377" s="7"/>
      <c r="AX1377" s="7"/>
      <c r="BP1377" s="61"/>
      <c r="CF1377" s="104"/>
      <c r="CG1377" s="105"/>
      <c r="FK1377" s="7"/>
    </row>
    <row r="1378" spans="1:167">
      <c r="A1378" s="571"/>
      <c r="B1378" s="1008"/>
      <c r="C1378" s="7"/>
      <c r="P1378" s="7"/>
      <c r="AX1378" s="7"/>
      <c r="BP1378" s="61"/>
      <c r="CF1378" s="104"/>
      <c r="CG1378" s="105"/>
      <c r="FK1378" s="7"/>
    </row>
    <row r="1379" spans="1:167">
      <c r="A1379" s="571"/>
      <c r="B1379" s="1008"/>
      <c r="C1379" s="7"/>
      <c r="P1379" s="7"/>
      <c r="AX1379" s="7"/>
      <c r="BP1379" s="61"/>
      <c r="CF1379" s="104"/>
      <c r="CG1379" s="105"/>
      <c r="FK1379" s="7"/>
    </row>
    <row r="1380" spans="1:167">
      <c r="A1380" s="571"/>
      <c r="B1380" s="1008"/>
      <c r="C1380" s="7"/>
      <c r="P1380" s="7"/>
      <c r="AX1380" s="7"/>
      <c r="BP1380" s="61"/>
      <c r="CF1380" s="104"/>
      <c r="CG1380" s="105"/>
      <c r="FK1380" s="7"/>
    </row>
    <row r="1381" spans="1:167">
      <c r="A1381" s="571"/>
      <c r="B1381" s="1008"/>
      <c r="C1381" s="7"/>
      <c r="P1381" s="7"/>
      <c r="AX1381" s="7"/>
      <c r="BP1381" s="61"/>
      <c r="CF1381" s="104"/>
      <c r="CG1381" s="105"/>
      <c r="FK1381" s="7"/>
    </row>
    <row r="1382" spans="1:167">
      <c r="A1382" s="571"/>
      <c r="B1382" s="1008"/>
      <c r="C1382" s="7"/>
      <c r="P1382" s="7"/>
      <c r="AX1382" s="7"/>
      <c r="BP1382" s="61"/>
      <c r="CF1382" s="104"/>
      <c r="CG1382" s="105"/>
      <c r="FK1382" s="7"/>
    </row>
    <row r="1383" spans="1:167">
      <c r="A1383" s="571"/>
      <c r="B1383" s="1008"/>
      <c r="C1383" s="7"/>
      <c r="P1383" s="7"/>
      <c r="AX1383" s="7"/>
      <c r="BP1383" s="61"/>
      <c r="CF1383" s="104"/>
      <c r="CG1383" s="105"/>
      <c r="FK1383" s="7"/>
    </row>
    <row r="1384" spans="1:167">
      <c r="A1384" s="571"/>
      <c r="B1384" s="1008"/>
      <c r="C1384" s="7"/>
      <c r="P1384" s="7"/>
      <c r="AX1384" s="7"/>
      <c r="BP1384" s="61"/>
      <c r="CF1384" s="104"/>
      <c r="CG1384" s="105"/>
      <c r="FK1384" s="7"/>
    </row>
    <row r="1385" spans="1:167">
      <c r="A1385" s="571"/>
      <c r="B1385" s="1008"/>
      <c r="C1385" s="7"/>
      <c r="P1385" s="7"/>
      <c r="AX1385" s="7"/>
      <c r="BP1385" s="61"/>
      <c r="CF1385" s="104"/>
      <c r="CG1385" s="105"/>
      <c r="FK1385" s="7"/>
    </row>
    <row r="1386" spans="1:167">
      <c r="A1386" s="571"/>
      <c r="B1386" s="1008"/>
      <c r="C1386" s="7"/>
      <c r="P1386" s="7"/>
      <c r="AX1386" s="7"/>
      <c r="BP1386" s="61"/>
      <c r="CF1386" s="104"/>
      <c r="CG1386" s="105"/>
      <c r="FK1386" s="7"/>
    </row>
    <row r="1387" spans="1:167">
      <c r="A1387" s="571"/>
      <c r="B1387" s="1008"/>
      <c r="C1387" s="7"/>
      <c r="P1387" s="7"/>
      <c r="AX1387" s="7"/>
      <c r="BP1387" s="61"/>
      <c r="CF1387" s="104"/>
      <c r="CG1387" s="105"/>
      <c r="FK1387" s="7"/>
    </row>
    <row r="1388" spans="1:167">
      <c r="A1388" s="571"/>
      <c r="B1388" s="1008"/>
      <c r="C1388" s="7"/>
      <c r="P1388" s="7"/>
      <c r="AX1388" s="7"/>
      <c r="BP1388" s="61"/>
      <c r="CF1388" s="104"/>
      <c r="CG1388" s="105"/>
      <c r="FK1388" s="7"/>
    </row>
    <row r="1389" spans="1:167">
      <c r="A1389" s="571"/>
      <c r="B1389" s="1008"/>
      <c r="C1389" s="7"/>
      <c r="P1389" s="7"/>
      <c r="AX1389" s="7"/>
      <c r="BP1389" s="61"/>
      <c r="CF1389" s="104"/>
      <c r="CG1389" s="105"/>
      <c r="FK1389" s="7"/>
    </row>
    <row r="1390" spans="1:167">
      <c r="A1390" s="571"/>
      <c r="B1390" s="1008"/>
      <c r="C1390" s="7"/>
      <c r="P1390" s="7"/>
      <c r="AX1390" s="7"/>
      <c r="BP1390" s="61"/>
      <c r="CF1390" s="104"/>
      <c r="CG1390" s="105"/>
      <c r="FK1390" s="7"/>
    </row>
    <row r="1391" spans="1:167">
      <c r="A1391" s="571"/>
      <c r="B1391" s="1008"/>
      <c r="C1391" s="7"/>
      <c r="P1391" s="7"/>
      <c r="AX1391" s="7"/>
      <c r="BP1391" s="61"/>
      <c r="CF1391" s="104"/>
      <c r="CG1391" s="105"/>
      <c r="FK1391" s="7"/>
    </row>
    <row r="1392" spans="1:167">
      <c r="A1392" s="571"/>
      <c r="B1392" s="1008"/>
      <c r="C1392" s="7"/>
      <c r="P1392" s="7"/>
      <c r="AX1392" s="7"/>
      <c r="BP1392" s="61"/>
      <c r="CF1392" s="104"/>
      <c r="CG1392" s="105"/>
      <c r="FK1392" s="7"/>
    </row>
    <row r="1393" spans="1:167">
      <c r="A1393" s="571"/>
      <c r="B1393" s="1008"/>
      <c r="C1393" s="7"/>
      <c r="P1393" s="7"/>
      <c r="AX1393" s="7"/>
      <c r="BP1393" s="61"/>
      <c r="CF1393" s="104"/>
      <c r="CG1393" s="105"/>
      <c r="FK1393" s="7"/>
    </row>
    <row r="1394" spans="1:167">
      <c r="A1394" s="571"/>
      <c r="B1394" s="1008"/>
      <c r="C1394" s="7"/>
      <c r="P1394" s="7"/>
      <c r="AX1394" s="7"/>
      <c r="BP1394" s="61"/>
      <c r="CF1394" s="104"/>
      <c r="CG1394" s="105"/>
      <c r="FK1394" s="7"/>
    </row>
    <row r="1395" spans="1:167">
      <c r="A1395" s="571"/>
      <c r="B1395" s="1008"/>
      <c r="C1395" s="7"/>
      <c r="P1395" s="7"/>
      <c r="AX1395" s="7"/>
      <c r="BP1395" s="61"/>
      <c r="CF1395" s="104"/>
      <c r="CG1395" s="105"/>
      <c r="FK1395" s="7"/>
    </row>
    <row r="1396" spans="1:167">
      <c r="A1396" s="571"/>
      <c r="B1396" s="1008"/>
      <c r="C1396" s="7"/>
      <c r="P1396" s="7"/>
      <c r="AX1396" s="7"/>
      <c r="BP1396" s="61"/>
      <c r="CF1396" s="104"/>
      <c r="CG1396" s="105"/>
      <c r="FK1396" s="7"/>
    </row>
    <row r="1397" spans="1:167">
      <c r="A1397" s="571"/>
      <c r="B1397" s="1008"/>
      <c r="C1397" s="7"/>
      <c r="P1397" s="7"/>
      <c r="AX1397" s="7"/>
      <c r="BP1397" s="61"/>
      <c r="CF1397" s="104"/>
      <c r="CG1397" s="105"/>
      <c r="FK1397" s="7"/>
    </row>
    <row r="1398" spans="1:167">
      <c r="A1398" s="571"/>
      <c r="B1398" s="1008"/>
      <c r="C1398" s="7"/>
      <c r="P1398" s="7"/>
      <c r="AX1398" s="7"/>
      <c r="BP1398" s="61"/>
      <c r="CF1398" s="104"/>
      <c r="CG1398" s="105"/>
      <c r="FK1398" s="7"/>
    </row>
    <row r="1399" spans="1:167">
      <c r="A1399" s="571"/>
      <c r="B1399" s="1008"/>
      <c r="C1399" s="7"/>
      <c r="P1399" s="7"/>
      <c r="AX1399" s="7"/>
      <c r="BP1399" s="61"/>
      <c r="CF1399" s="104"/>
      <c r="CG1399" s="105"/>
      <c r="FK1399" s="7"/>
    </row>
    <row r="1400" spans="1:167">
      <c r="A1400" s="571"/>
      <c r="B1400" s="1008"/>
      <c r="C1400" s="7"/>
      <c r="P1400" s="7"/>
      <c r="AX1400" s="7"/>
      <c r="BP1400" s="61"/>
      <c r="CF1400" s="104"/>
      <c r="CG1400" s="105"/>
      <c r="FK1400" s="7"/>
    </row>
    <row r="1401" spans="1:167">
      <c r="A1401" s="571"/>
      <c r="B1401" s="1008"/>
      <c r="C1401" s="7"/>
      <c r="P1401" s="7"/>
      <c r="AX1401" s="7"/>
      <c r="BP1401" s="61"/>
      <c r="CF1401" s="104"/>
      <c r="CG1401" s="105"/>
      <c r="FK1401" s="7"/>
    </row>
    <row r="1402" spans="1:167">
      <c r="A1402" s="571"/>
      <c r="B1402" s="1008"/>
      <c r="C1402" s="7"/>
      <c r="P1402" s="7"/>
      <c r="AX1402" s="7"/>
      <c r="BP1402" s="61"/>
      <c r="CF1402" s="104"/>
      <c r="CG1402" s="105"/>
      <c r="FK1402" s="7"/>
    </row>
    <row r="1403" spans="1:167">
      <c r="A1403" s="571"/>
      <c r="B1403" s="1008"/>
      <c r="C1403" s="7"/>
      <c r="P1403" s="7"/>
      <c r="AX1403" s="7"/>
      <c r="BP1403" s="61"/>
      <c r="CF1403" s="104"/>
      <c r="CG1403" s="105"/>
      <c r="FK1403" s="7"/>
    </row>
    <row r="1404" spans="1:167">
      <c r="A1404" s="571"/>
      <c r="B1404" s="1008"/>
      <c r="C1404" s="7"/>
      <c r="P1404" s="7"/>
      <c r="AX1404" s="7"/>
      <c r="BP1404" s="61"/>
      <c r="CF1404" s="104"/>
      <c r="CG1404" s="105"/>
      <c r="FK1404" s="7"/>
    </row>
    <row r="1405" spans="1:167">
      <c r="A1405" s="571"/>
      <c r="B1405" s="1008"/>
      <c r="C1405" s="7"/>
      <c r="P1405" s="7"/>
      <c r="AX1405" s="7"/>
      <c r="BP1405" s="61"/>
      <c r="CF1405" s="104"/>
      <c r="CG1405" s="105"/>
      <c r="FK1405" s="7"/>
    </row>
    <row r="1406" spans="1:167">
      <c r="A1406" s="571"/>
      <c r="B1406" s="1008"/>
      <c r="C1406" s="7"/>
      <c r="P1406" s="7"/>
      <c r="AX1406" s="7"/>
      <c r="BP1406" s="61"/>
      <c r="CF1406" s="104"/>
      <c r="CG1406" s="105"/>
      <c r="FK1406" s="7"/>
    </row>
    <row r="1407" spans="1:167">
      <c r="A1407" s="571"/>
      <c r="B1407" s="1008"/>
      <c r="C1407" s="7"/>
      <c r="P1407" s="7"/>
      <c r="AX1407" s="7"/>
      <c r="BP1407" s="61"/>
      <c r="CF1407" s="104"/>
      <c r="CG1407" s="105"/>
      <c r="FK1407" s="7"/>
    </row>
    <row r="1408" spans="1:167">
      <c r="A1408" s="571"/>
      <c r="B1408" s="1008"/>
      <c r="C1408" s="7"/>
      <c r="P1408" s="7"/>
      <c r="AX1408" s="7"/>
      <c r="BP1408" s="61"/>
      <c r="CF1408" s="104"/>
      <c r="CG1408" s="105"/>
      <c r="FK1408" s="7"/>
    </row>
    <row r="1409" spans="1:167">
      <c r="A1409" s="571"/>
      <c r="B1409" s="1008"/>
      <c r="C1409" s="7"/>
      <c r="P1409" s="7"/>
      <c r="AX1409" s="7"/>
      <c r="BP1409" s="61"/>
      <c r="CF1409" s="104"/>
      <c r="CG1409" s="105"/>
      <c r="FK1409" s="7"/>
    </row>
    <row r="1410" spans="1:167">
      <c r="A1410" s="571"/>
      <c r="B1410" s="1008"/>
      <c r="C1410" s="7"/>
      <c r="P1410" s="7"/>
      <c r="AX1410" s="7"/>
      <c r="BP1410" s="61"/>
      <c r="CF1410" s="104"/>
      <c r="CG1410" s="105"/>
      <c r="FK1410" s="7"/>
    </row>
    <row r="1411" spans="1:167">
      <c r="A1411" s="571"/>
      <c r="B1411" s="1008"/>
      <c r="C1411" s="7"/>
      <c r="P1411" s="7"/>
      <c r="AX1411" s="7"/>
      <c r="BP1411" s="61"/>
      <c r="CF1411" s="104"/>
      <c r="CG1411" s="105"/>
      <c r="FK1411" s="7"/>
    </row>
    <row r="1412" spans="1:167">
      <c r="A1412" s="571"/>
      <c r="B1412" s="1008"/>
      <c r="C1412" s="7"/>
      <c r="P1412" s="7"/>
      <c r="AX1412" s="7"/>
      <c r="BP1412" s="61"/>
      <c r="CF1412" s="104"/>
      <c r="CG1412" s="105"/>
      <c r="FK1412" s="7"/>
    </row>
    <row r="1413" spans="1:167">
      <c r="A1413" s="571"/>
      <c r="B1413" s="1008"/>
      <c r="C1413" s="7"/>
      <c r="P1413" s="7"/>
      <c r="AX1413" s="7"/>
      <c r="BP1413" s="61"/>
      <c r="CF1413" s="104"/>
      <c r="CG1413" s="105"/>
      <c r="FK1413" s="7"/>
    </row>
    <row r="1414" spans="1:167">
      <c r="A1414" s="571"/>
      <c r="B1414" s="1008"/>
      <c r="C1414" s="7"/>
      <c r="P1414" s="7"/>
      <c r="AX1414" s="7"/>
      <c r="BP1414" s="61"/>
      <c r="CF1414" s="104"/>
      <c r="CG1414" s="105"/>
      <c r="FK1414" s="7"/>
    </row>
    <row r="1415" spans="1:167">
      <c r="A1415" s="571"/>
      <c r="B1415" s="1008"/>
      <c r="C1415" s="7"/>
      <c r="P1415" s="7"/>
      <c r="AX1415" s="7"/>
      <c r="BP1415" s="61"/>
      <c r="CF1415" s="104"/>
      <c r="CG1415" s="105"/>
      <c r="FK1415" s="7"/>
    </row>
    <row r="1416" spans="1:167">
      <c r="A1416" s="571"/>
      <c r="B1416" s="1008"/>
      <c r="C1416" s="7"/>
      <c r="P1416" s="7"/>
      <c r="AX1416" s="7"/>
      <c r="BP1416" s="61"/>
      <c r="CF1416" s="104"/>
      <c r="CG1416" s="105"/>
      <c r="FK1416" s="7"/>
    </row>
    <row r="1417" spans="1:167">
      <c r="A1417" s="571"/>
      <c r="B1417" s="1008"/>
      <c r="C1417" s="7"/>
      <c r="P1417" s="7"/>
      <c r="AX1417" s="7"/>
      <c r="BP1417" s="61"/>
      <c r="CF1417" s="104"/>
      <c r="CG1417" s="105"/>
      <c r="FK1417" s="7"/>
    </row>
    <row r="1418" spans="1:167">
      <c r="A1418" s="571"/>
      <c r="B1418" s="1008"/>
      <c r="C1418" s="7"/>
      <c r="P1418" s="7"/>
      <c r="AX1418" s="7"/>
      <c r="BP1418" s="61"/>
      <c r="CF1418" s="104"/>
      <c r="CG1418" s="105"/>
      <c r="FK1418" s="7"/>
    </row>
    <row r="1419" spans="1:167">
      <c r="A1419" s="571"/>
      <c r="B1419" s="1008"/>
      <c r="C1419" s="7"/>
      <c r="P1419" s="7"/>
      <c r="AX1419" s="7"/>
      <c r="BP1419" s="61"/>
      <c r="CF1419" s="104"/>
      <c r="CG1419" s="105"/>
      <c r="FK1419" s="7"/>
    </row>
    <row r="1420" spans="1:167">
      <c r="A1420" s="571"/>
      <c r="B1420" s="1008"/>
      <c r="C1420" s="7"/>
      <c r="P1420" s="7"/>
      <c r="AX1420" s="7"/>
      <c r="BP1420" s="61"/>
      <c r="CF1420" s="104"/>
      <c r="CG1420" s="105"/>
      <c r="FK1420" s="7"/>
    </row>
    <row r="1421" spans="1:167">
      <c r="A1421" s="571"/>
      <c r="B1421" s="1008"/>
      <c r="C1421" s="7"/>
      <c r="P1421" s="7"/>
      <c r="AX1421" s="7"/>
      <c r="BP1421" s="61"/>
      <c r="CF1421" s="104"/>
      <c r="CG1421" s="105"/>
      <c r="FK1421" s="7"/>
    </row>
    <row r="1422" spans="1:167">
      <c r="A1422" s="571"/>
      <c r="B1422" s="1008"/>
      <c r="C1422" s="7"/>
      <c r="P1422" s="7"/>
      <c r="AX1422" s="7"/>
      <c r="BP1422" s="61"/>
      <c r="CF1422" s="104"/>
      <c r="CG1422" s="105"/>
      <c r="FK1422" s="7"/>
    </row>
    <row r="1423" spans="1:167">
      <c r="A1423" s="571"/>
      <c r="B1423" s="1008"/>
      <c r="C1423" s="7"/>
      <c r="P1423" s="7"/>
      <c r="AX1423" s="7"/>
      <c r="BP1423" s="61"/>
      <c r="CF1423" s="104"/>
      <c r="CG1423" s="105"/>
      <c r="FK1423" s="7"/>
    </row>
    <row r="1424" spans="1:167">
      <c r="A1424" s="571"/>
      <c r="B1424" s="1008"/>
      <c r="C1424" s="7"/>
      <c r="P1424" s="7"/>
      <c r="AX1424" s="7"/>
      <c r="BP1424" s="61"/>
      <c r="CF1424" s="104"/>
      <c r="CG1424" s="105"/>
      <c r="FK1424" s="7"/>
    </row>
    <row r="1425" spans="1:167">
      <c r="A1425" s="571"/>
      <c r="B1425" s="1008"/>
      <c r="C1425" s="7"/>
      <c r="P1425" s="7"/>
      <c r="AX1425" s="7"/>
      <c r="BP1425" s="61"/>
      <c r="CF1425" s="104"/>
      <c r="CG1425" s="105"/>
      <c r="FK1425" s="7"/>
    </row>
    <row r="1426" spans="1:167">
      <c r="A1426" s="571"/>
      <c r="B1426" s="1008"/>
      <c r="C1426" s="7"/>
      <c r="P1426" s="7"/>
      <c r="AX1426" s="7"/>
      <c r="BP1426" s="61"/>
      <c r="CF1426" s="104"/>
      <c r="CG1426" s="105"/>
      <c r="FK1426" s="7"/>
    </row>
    <row r="1427" spans="1:167">
      <c r="A1427" s="571"/>
      <c r="B1427" s="1008"/>
      <c r="C1427" s="7"/>
      <c r="P1427" s="7"/>
      <c r="AX1427" s="7"/>
      <c r="BP1427" s="61"/>
      <c r="CF1427" s="104"/>
      <c r="CG1427" s="105"/>
      <c r="FK1427" s="7"/>
    </row>
    <row r="1428" spans="1:167">
      <c r="A1428" s="571"/>
      <c r="B1428" s="1008"/>
      <c r="C1428" s="7"/>
      <c r="P1428" s="7"/>
      <c r="AX1428" s="7"/>
      <c r="BP1428" s="61"/>
      <c r="CF1428" s="104"/>
      <c r="CG1428" s="105"/>
      <c r="FK1428" s="7"/>
    </row>
    <row r="1429" spans="1:167">
      <c r="A1429" s="571"/>
      <c r="B1429" s="1008"/>
      <c r="C1429" s="7"/>
      <c r="P1429" s="7"/>
      <c r="AX1429" s="7"/>
      <c r="BP1429" s="61"/>
      <c r="CF1429" s="104"/>
      <c r="CG1429" s="105"/>
      <c r="FK1429" s="7"/>
    </row>
    <row r="1430" spans="1:167">
      <c r="A1430" s="571"/>
      <c r="B1430" s="1008"/>
      <c r="C1430" s="7"/>
      <c r="P1430" s="7"/>
      <c r="AX1430" s="7"/>
      <c r="BP1430" s="61"/>
      <c r="CF1430" s="104"/>
      <c r="CG1430" s="105"/>
      <c r="FK1430" s="7"/>
    </row>
    <row r="1431" spans="1:167">
      <c r="A1431" s="571"/>
      <c r="B1431" s="1008"/>
      <c r="C1431" s="7"/>
      <c r="P1431" s="7"/>
      <c r="AX1431" s="7"/>
      <c r="BP1431" s="61"/>
      <c r="CF1431" s="104"/>
      <c r="CG1431" s="105"/>
      <c r="FK1431" s="7"/>
    </row>
    <row r="1432" spans="1:167">
      <c r="A1432" s="571"/>
      <c r="B1432" s="1008"/>
      <c r="C1432" s="7"/>
      <c r="P1432" s="7"/>
      <c r="AX1432" s="7"/>
      <c r="BP1432" s="61"/>
      <c r="CF1432" s="104"/>
      <c r="CG1432" s="105"/>
      <c r="FK1432" s="7"/>
    </row>
    <row r="1433" spans="1:167">
      <c r="A1433" s="571"/>
      <c r="B1433" s="1008"/>
      <c r="C1433" s="7"/>
      <c r="P1433" s="7"/>
      <c r="AX1433" s="7"/>
      <c r="BP1433" s="61"/>
      <c r="CF1433" s="104"/>
      <c r="CG1433" s="105"/>
      <c r="FK1433" s="7"/>
    </row>
    <row r="1434" spans="1:167">
      <c r="A1434" s="571"/>
      <c r="B1434" s="1008"/>
      <c r="C1434" s="7"/>
      <c r="P1434" s="7"/>
      <c r="AX1434" s="7"/>
      <c r="BP1434" s="61"/>
      <c r="CF1434" s="104"/>
      <c r="CG1434" s="105"/>
      <c r="FK1434" s="7"/>
    </row>
    <row r="1435" spans="1:167">
      <c r="A1435" s="571"/>
      <c r="B1435" s="1008"/>
      <c r="C1435" s="7"/>
      <c r="P1435" s="7"/>
      <c r="AX1435" s="7"/>
      <c r="BP1435" s="61"/>
      <c r="CF1435" s="104"/>
      <c r="CG1435" s="105"/>
      <c r="FK1435" s="7"/>
    </row>
    <row r="1436" spans="1:167">
      <c r="A1436" s="571"/>
      <c r="B1436" s="1008"/>
      <c r="C1436" s="7"/>
      <c r="P1436" s="7"/>
      <c r="AX1436" s="7"/>
      <c r="BP1436" s="61"/>
      <c r="CF1436" s="104"/>
      <c r="CG1436" s="105"/>
      <c r="FK1436" s="7"/>
    </row>
    <row r="1437" spans="1:167">
      <c r="A1437" s="571"/>
      <c r="B1437" s="1008"/>
      <c r="C1437" s="7"/>
      <c r="P1437" s="7"/>
      <c r="AX1437" s="7"/>
      <c r="BP1437" s="61"/>
      <c r="CF1437" s="104"/>
      <c r="CG1437" s="105"/>
      <c r="FK1437" s="7"/>
    </row>
    <row r="1438" spans="1:167">
      <c r="A1438" s="571"/>
      <c r="B1438" s="1008"/>
      <c r="C1438" s="7"/>
      <c r="P1438" s="7"/>
      <c r="AX1438" s="7"/>
      <c r="BP1438" s="61"/>
      <c r="CF1438" s="104"/>
      <c r="CG1438" s="105"/>
      <c r="FK1438" s="7"/>
    </row>
    <row r="1439" spans="1:167">
      <c r="A1439" s="571"/>
      <c r="B1439" s="1008"/>
      <c r="C1439" s="7"/>
      <c r="P1439" s="7"/>
      <c r="AX1439" s="7"/>
      <c r="BP1439" s="61"/>
      <c r="CF1439" s="104"/>
      <c r="CG1439" s="105"/>
      <c r="FK1439" s="7"/>
    </row>
    <row r="1440" spans="1:167">
      <c r="A1440" s="571"/>
      <c r="B1440" s="1008"/>
      <c r="C1440" s="7"/>
      <c r="P1440" s="7"/>
      <c r="AX1440" s="7"/>
      <c r="BP1440" s="61"/>
      <c r="CF1440" s="104"/>
      <c r="CG1440" s="105"/>
      <c r="FK1440" s="7"/>
    </row>
    <row r="1441" spans="1:167">
      <c r="A1441" s="571"/>
      <c r="B1441" s="1008"/>
      <c r="C1441" s="7"/>
      <c r="P1441" s="7"/>
      <c r="AX1441" s="7"/>
      <c r="BP1441" s="61"/>
      <c r="CF1441" s="104"/>
      <c r="CG1441" s="105"/>
      <c r="FK1441" s="7"/>
    </row>
    <row r="1442" spans="1:167">
      <c r="A1442" s="571"/>
      <c r="B1442" s="1008"/>
      <c r="C1442" s="7"/>
      <c r="P1442" s="7"/>
      <c r="AX1442" s="7"/>
      <c r="BP1442" s="61"/>
      <c r="CF1442" s="104"/>
      <c r="CG1442" s="105"/>
      <c r="FK1442" s="7"/>
    </row>
    <row r="1443" spans="1:167">
      <c r="A1443" s="571"/>
      <c r="B1443" s="1008"/>
      <c r="C1443" s="7"/>
      <c r="P1443" s="7"/>
      <c r="AX1443" s="7"/>
      <c r="BP1443" s="61"/>
      <c r="CF1443" s="104"/>
      <c r="CG1443" s="105"/>
      <c r="FK1443" s="7"/>
    </row>
    <row r="1444" spans="1:167">
      <c r="A1444" s="571"/>
      <c r="B1444" s="1008"/>
      <c r="C1444" s="7"/>
      <c r="P1444" s="7"/>
      <c r="AX1444" s="7"/>
      <c r="BP1444" s="61"/>
      <c r="CF1444" s="104"/>
      <c r="CG1444" s="105"/>
      <c r="FK1444" s="7"/>
    </row>
    <row r="1445" spans="1:167">
      <c r="A1445" s="571"/>
      <c r="B1445" s="1008"/>
      <c r="C1445" s="7"/>
      <c r="P1445" s="7"/>
      <c r="AX1445" s="7"/>
      <c r="BP1445" s="61"/>
      <c r="CF1445" s="104"/>
      <c r="CG1445" s="105"/>
      <c r="FK1445" s="7"/>
    </row>
    <row r="1446" spans="1:167">
      <c r="A1446" s="571"/>
      <c r="B1446" s="1008"/>
      <c r="C1446" s="7"/>
      <c r="P1446" s="7"/>
      <c r="AX1446" s="7"/>
      <c r="BP1446" s="61"/>
      <c r="CF1446" s="104"/>
      <c r="CG1446" s="105"/>
      <c r="FK1446" s="7"/>
    </row>
    <row r="1447" spans="1:167">
      <c r="A1447" s="571"/>
      <c r="B1447" s="1008"/>
      <c r="C1447" s="7"/>
      <c r="P1447" s="7"/>
      <c r="AX1447" s="7"/>
      <c r="BP1447" s="61"/>
      <c r="CF1447" s="104"/>
      <c r="CG1447" s="105"/>
      <c r="FK1447" s="7"/>
    </row>
    <row r="1448" spans="1:167">
      <c r="A1448" s="571"/>
      <c r="B1448" s="1008"/>
      <c r="C1448" s="7"/>
      <c r="P1448" s="7"/>
      <c r="AX1448" s="7"/>
      <c r="BP1448" s="61"/>
      <c r="CF1448" s="104"/>
      <c r="CG1448" s="105"/>
      <c r="FK1448" s="7"/>
    </row>
    <row r="1449" spans="1:167">
      <c r="A1449" s="571"/>
      <c r="B1449" s="1008"/>
      <c r="C1449" s="7"/>
      <c r="P1449" s="7"/>
      <c r="AX1449" s="7"/>
      <c r="BP1449" s="61"/>
      <c r="CF1449" s="104"/>
      <c r="CG1449" s="105"/>
      <c r="FK1449" s="7"/>
    </row>
    <row r="1450" spans="1:167">
      <c r="A1450" s="571"/>
      <c r="B1450" s="1008"/>
      <c r="C1450" s="7"/>
      <c r="P1450" s="7"/>
      <c r="AX1450" s="7"/>
      <c r="BP1450" s="61"/>
      <c r="CF1450" s="104"/>
      <c r="CG1450" s="105"/>
      <c r="FK1450" s="7"/>
    </row>
    <row r="1451" spans="1:167">
      <c r="A1451" s="571"/>
      <c r="B1451" s="1008"/>
      <c r="C1451" s="7"/>
      <c r="P1451" s="7"/>
      <c r="AX1451" s="7"/>
      <c r="BP1451" s="61"/>
      <c r="CF1451" s="104"/>
      <c r="CG1451" s="105"/>
      <c r="FK1451" s="7"/>
    </row>
    <row r="1452" spans="1:167">
      <c r="A1452" s="571"/>
      <c r="B1452" s="1008"/>
      <c r="C1452" s="7"/>
      <c r="P1452" s="7"/>
      <c r="AX1452" s="7"/>
      <c r="BP1452" s="61"/>
      <c r="CF1452" s="104"/>
      <c r="CG1452" s="105"/>
      <c r="FK1452" s="7"/>
    </row>
    <row r="1453" spans="1:167">
      <c r="A1453" s="571"/>
      <c r="B1453" s="1008"/>
      <c r="C1453" s="7"/>
      <c r="P1453" s="7"/>
      <c r="AX1453" s="7"/>
      <c r="BP1453" s="61"/>
      <c r="CF1453" s="104"/>
      <c r="CG1453" s="105"/>
      <c r="FK1453" s="7"/>
    </row>
    <row r="1454" spans="1:167">
      <c r="A1454" s="571"/>
      <c r="B1454" s="1008"/>
      <c r="C1454" s="7"/>
      <c r="P1454" s="7"/>
      <c r="AX1454" s="7"/>
      <c r="BP1454" s="61"/>
      <c r="CF1454" s="104"/>
      <c r="CG1454" s="105"/>
      <c r="FK1454" s="7"/>
    </row>
    <row r="1455" spans="1:167">
      <c r="A1455" s="571"/>
      <c r="B1455" s="1008"/>
      <c r="C1455" s="7"/>
      <c r="P1455" s="7"/>
      <c r="AX1455" s="7"/>
      <c r="BP1455" s="61"/>
      <c r="CF1455" s="104"/>
      <c r="CG1455" s="105"/>
      <c r="FK1455" s="7"/>
    </row>
    <row r="1456" spans="1:167">
      <c r="A1456" s="571"/>
      <c r="B1456" s="1008"/>
      <c r="C1456" s="7"/>
      <c r="P1456" s="7"/>
      <c r="AX1456" s="7"/>
      <c r="BP1456" s="61"/>
      <c r="CF1456" s="104"/>
      <c r="CG1456" s="105"/>
      <c r="FK1456" s="7"/>
    </row>
    <row r="1457" spans="1:167">
      <c r="A1457" s="571"/>
      <c r="B1457" s="1008"/>
      <c r="C1457" s="7"/>
      <c r="P1457" s="7"/>
      <c r="AX1457" s="7"/>
      <c r="BP1457" s="61"/>
      <c r="CF1457" s="104"/>
      <c r="CG1457" s="105"/>
      <c r="FK1457" s="7"/>
    </row>
    <row r="1458" spans="1:167">
      <c r="A1458" s="571"/>
      <c r="B1458" s="1008"/>
      <c r="C1458" s="7"/>
      <c r="P1458" s="7"/>
      <c r="AX1458" s="7"/>
      <c r="BP1458" s="61"/>
      <c r="CF1458" s="104"/>
      <c r="CG1458" s="105"/>
      <c r="FK1458" s="7"/>
    </row>
    <row r="1459" spans="1:167">
      <c r="A1459" s="571"/>
      <c r="B1459" s="1008"/>
      <c r="C1459" s="7"/>
      <c r="P1459" s="7"/>
      <c r="AX1459" s="7"/>
      <c r="BP1459" s="61"/>
      <c r="CF1459" s="104"/>
      <c r="CG1459" s="105"/>
      <c r="FK1459" s="7"/>
    </row>
    <row r="1460" spans="1:167">
      <c r="A1460" s="571"/>
      <c r="B1460" s="1008"/>
      <c r="C1460" s="7"/>
      <c r="P1460" s="7"/>
      <c r="AX1460" s="7"/>
      <c r="BP1460" s="61"/>
      <c r="CF1460" s="104"/>
      <c r="CG1460" s="105"/>
      <c r="FK1460" s="7"/>
    </row>
    <row r="1461" spans="1:167">
      <c r="A1461" s="571"/>
      <c r="B1461" s="1008"/>
      <c r="C1461" s="7"/>
      <c r="P1461" s="7"/>
      <c r="AX1461" s="7"/>
      <c r="BP1461" s="61"/>
      <c r="CF1461" s="104"/>
      <c r="CG1461" s="105"/>
      <c r="FK1461" s="7"/>
    </row>
    <row r="1462" spans="1:167">
      <c r="A1462" s="571"/>
      <c r="B1462" s="1008"/>
      <c r="C1462" s="7"/>
      <c r="P1462" s="7"/>
      <c r="AX1462" s="7"/>
      <c r="BP1462" s="61"/>
      <c r="CF1462" s="104"/>
      <c r="CG1462" s="105"/>
      <c r="FK1462" s="7"/>
    </row>
    <row r="1463" spans="1:167">
      <c r="A1463" s="571"/>
      <c r="B1463" s="1008"/>
      <c r="C1463" s="7"/>
      <c r="P1463" s="7"/>
      <c r="AX1463" s="7"/>
      <c r="BP1463" s="61"/>
      <c r="CF1463" s="104"/>
      <c r="CG1463" s="105"/>
      <c r="FK1463" s="7"/>
    </row>
    <row r="1464" spans="1:167">
      <c r="A1464" s="571"/>
      <c r="B1464" s="1008"/>
      <c r="C1464" s="7"/>
      <c r="P1464" s="7"/>
      <c r="AX1464" s="7"/>
      <c r="BP1464" s="61"/>
      <c r="CF1464" s="104"/>
      <c r="CG1464" s="105"/>
      <c r="FK1464" s="7"/>
    </row>
    <row r="1465" spans="1:167">
      <c r="A1465" s="571"/>
      <c r="B1465" s="1008"/>
      <c r="C1465" s="7"/>
      <c r="P1465" s="7"/>
      <c r="AX1465" s="7"/>
      <c r="BP1465" s="61"/>
      <c r="CF1465" s="104"/>
      <c r="CG1465" s="105"/>
      <c r="FK1465" s="7"/>
    </row>
    <row r="1466" spans="1:167">
      <c r="A1466" s="571"/>
      <c r="B1466" s="1008"/>
      <c r="C1466" s="7"/>
      <c r="P1466" s="7"/>
      <c r="AX1466" s="7"/>
      <c r="BP1466" s="61"/>
      <c r="CF1466" s="104"/>
      <c r="CG1466" s="105"/>
      <c r="FK1466" s="7"/>
    </row>
    <row r="1467" spans="1:167">
      <c r="A1467" s="571"/>
      <c r="B1467" s="1008"/>
      <c r="C1467" s="7"/>
      <c r="P1467" s="7"/>
      <c r="AX1467" s="7"/>
      <c r="BP1467" s="61"/>
      <c r="CF1467" s="104"/>
      <c r="CG1467" s="105"/>
      <c r="FK1467" s="7"/>
    </row>
    <row r="1468" spans="1:167">
      <c r="A1468" s="571"/>
      <c r="B1468" s="1008"/>
      <c r="C1468" s="7"/>
      <c r="P1468" s="7"/>
      <c r="AX1468" s="7"/>
      <c r="BP1468" s="61"/>
      <c r="CF1468" s="104"/>
      <c r="CG1468" s="105"/>
      <c r="FK1468" s="7"/>
    </row>
    <row r="1469" spans="1:167">
      <c r="A1469" s="571"/>
      <c r="B1469" s="1008"/>
      <c r="C1469" s="7"/>
      <c r="P1469" s="7"/>
      <c r="AX1469" s="7"/>
      <c r="BP1469" s="61"/>
      <c r="CF1469" s="104"/>
      <c r="CG1469" s="105"/>
      <c r="FK1469" s="7"/>
    </row>
    <row r="1470" spans="1:167">
      <c r="A1470" s="571"/>
      <c r="B1470" s="1008"/>
      <c r="C1470" s="7"/>
      <c r="P1470" s="7"/>
      <c r="AX1470" s="7"/>
      <c r="BP1470" s="61"/>
      <c r="CF1470" s="104"/>
      <c r="CG1470" s="105"/>
      <c r="FK1470" s="7"/>
    </row>
    <row r="1471" spans="1:167">
      <c r="A1471" s="571"/>
      <c r="B1471" s="1008"/>
      <c r="C1471" s="7"/>
      <c r="P1471" s="7"/>
      <c r="AX1471" s="7"/>
      <c r="BP1471" s="61"/>
      <c r="CF1471" s="104"/>
      <c r="CG1471" s="105"/>
      <c r="FK1471" s="7"/>
    </row>
    <row r="1472" spans="1:167">
      <c r="A1472" s="571"/>
      <c r="B1472" s="1008"/>
      <c r="C1472" s="7"/>
      <c r="P1472" s="7"/>
      <c r="AX1472" s="7"/>
      <c r="BP1472" s="61"/>
      <c r="CF1472" s="104"/>
      <c r="CG1472" s="105"/>
      <c r="FK1472" s="7"/>
    </row>
    <row r="1473" spans="1:167">
      <c r="A1473" s="571"/>
      <c r="B1473" s="1008"/>
      <c r="C1473" s="7"/>
      <c r="P1473" s="7"/>
      <c r="AX1473" s="7"/>
      <c r="BP1473" s="61"/>
      <c r="CF1473" s="104"/>
      <c r="CG1473" s="105"/>
      <c r="FK1473" s="7"/>
    </row>
    <row r="1474" spans="1:167">
      <c r="A1474" s="571"/>
      <c r="B1474" s="1008"/>
      <c r="C1474" s="7"/>
      <c r="P1474" s="7"/>
      <c r="AX1474" s="7"/>
      <c r="BP1474" s="61"/>
      <c r="CF1474" s="104"/>
      <c r="CG1474" s="105"/>
      <c r="FK1474" s="7"/>
    </row>
    <row r="1475" spans="1:167">
      <c r="A1475" s="571"/>
      <c r="B1475" s="1008"/>
      <c r="C1475" s="7"/>
      <c r="P1475" s="7"/>
      <c r="AX1475" s="7"/>
      <c r="BP1475" s="61"/>
      <c r="CF1475" s="104"/>
      <c r="CG1475" s="105"/>
      <c r="FK1475" s="7"/>
    </row>
    <row r="1476" spans="1:167">
      <c r="A1476" s="571"/>
      <c r="B1476" s="1008"/>
      <c r="C1476" s="7"/>
      <c r="P1476" s="7"/>
      <c r="AX1476" s="7"/>
      <c r="BP1476" s="61"/>
      <c r="CF1476" s="104"/>
      <c r="CG1476" s="105"/>
      <c r="FK1476" s="7"/>
    </row>
    <row r="1477" spans="1:167">
      <c r="A1477" s="571"/>
      <c r="B1477" s="1008"/>
      <c r="C1477" s="7"/>
      <c r="P1477" s="7"/>
      <c r="AX1477" s="7"/>
      <c r="BP1477" s="61"/>
      <c r="CF1477" s="104"/>
      <c r="CG1477" s="105"/>
      <c r="FK1477" s="7"/>
    </row>
    <row r="1478" spans="1:167">
      <c r="A1478" s="571"/>
      <c r="B1478" s="1008"/>
      <c r="C1478" s="7"/>
      <c r="P1478" s="7"/>
      <c r="AX1478" s="7"/>
      <c r="BP1478" s="61"/>
      <c r="CF1478" s="104"/>
      <c r="CG1478" s="105"/>
      <c r="FK1478" s="7"/>
    </row>
    <row r="1479" spans="1:167">
      <c r="A1479" s="571"/>
      <c r="B1479" s="1008"/>
      <c r="C1479" s="7"/>
      <c r="P1479" s="7"/>
      <c r="AX1479" s="7"/>
      <c r="BP1479" s="61"/>
      <c r="CF1479" s="104"/>
      <c r="CG1479" s="105"/>
      <c r="FK1479" s="7"/>
    </row>
    <row r="1480" spans="1:167">
      <c r="A1480" s="571"/>
      <c r="B1480" s="1008"/>
      <c r="C1480" s="7"/>
      <c r="P1480" s="7"/>
      <c r="AX1480" s="7"/>
      <c r="BP1480" s="61"/>
      <c r="CF1480" s="104"/>
      <c r="CG1480" s="105"/>
      <c r="FK1480" s="7"/>
    </row>
    <row r="1481" spans="1:167">
      <c r="A1481" s="571"/>
      <c r="B1481" s="1008"/>
      <c r="C1481" s="7"/>
      <c r="P1481" s="7"/>
      <c r="AX1481" s="7"/>
      <c r="BP1481" s="61"/>
      <c r="CF1481" s="104"/>
      <c r="CG1481" s="105"/>
      <c r="FK1481" s="7"/>
    </row>
    <row r="1482" spans="1:167">
      <c r="A1482" s="571"/>
      <c r="B1482" s="1008"/>
      <c r="C1482" s="7"/>
      <c r="P1482" s="7"/>
      <c r="AX1482" s="7"/>
      <c r="BP1482" s="61"/>
      <c r="CF1482" s="104"/>
      <c r="CG1482" s="105"/>
      <c r="FK1482" s="7"/>
    </row>
    <row r="1483" spans="1:167">
      <c r="A1483" s="571"/>
      <c r="B1483" s="1008"/>
      <c r="C1483" s="7"/>
      <c r="P1483" s="7"/>
      <c r="AX1483" s="7"/>
      <c r="BP1483" s="61"/>
      <c r="CF1483" s="104"/>
      <c r="CG1483" s="105"/>
      <c r="FK1483" s="7"/>
    </row>
    <row r="1484" spans="1:167">
      <c r="A1484" s="571"/>
      <c r="B1484" s="1008"/>
      <c r="C1484" s="7"/>
      <c r="P1484" s="7"/>
      <c r="AX1484" s="7"/>
      <c r="BP1484" s="61"/>
      <c r="CF1484" s="104"/>
      <c r="CG1484" s="105"/>
      <c r="FK1484" s="7"/>
    </row>
    <row r="1485" spans="1:167">
      <c r="A1485" s="571"/>
      <c r="B1485" s="1008"/>
      <c r="C1485" s="7"/>
      <c r="P1485" s="7"/>
      <c r="AX1485" s="7"/>
      <c r="BP1485" s="61"/>
      <c r="CF1485" s="104"/>
      <c r="CG1485" s="105"/>
      <c r="FK1485" s="7"/>
    </row>
    <row r="1486" spans="1:167">
      <c r="A1486" s="571"/>
      <c r="B1486" s="1008"/>
      <c r="C1486" s="7"/>
      <c r="P1486" s="7"/>
      <c r="AX1486" s="7"/>
      <c r="BP1486" s="61"/>
      <c r="CF1486" s="104"/>
      <c r="CG1486" s="105"/>
      <c r="FK1486" s="7"/>
    </row>
    <row r="1487" spans="1:167">
      <c r="A1487" s="571"/>
      <c r="B1487" s="1008"/>
      <c r="C1487" s="7"/>
      <c r="P1487" s="7"/>
      <c r="AX1487" s="7"/>
      <c r="BP1487" s="61"/>
      <c r="CF1487" s="104"/>
      <c r="CG1487" s="105"/>
      <c r="FK1487" s="7"/>
    </row>
    <row r="1488" spans="1:167">
      <c r="A1488" s="571"/>
      <c r="B1488" s="1008"/>
      <c r="C1488" s="7"/>
      <c r="P1488" s="7"/>
      <c r="AX1488" s="7"/>
      <c r="BP1488" s="61"/>
      <c r="CF1488" s="104"/>
      <c r="CG1488" s="105"/>
      <c r="FK1488" s="7"/>
    </row>
    <row r="1489" spans="1:167">
      <c r="A1489" s="571"/>
      <c r="B1489" s="1008"/>
      <c r="C1489" s="7"/>
      <c r="P1489" s="7"/>
      <c r="AX1489" s="7"/>
      <c r="BP1489" s="61"/>
      <c r="CF1489" s="104"/>
      <c r="CG1489" s="105"/>
      <c r="FK1489" s="7"/>
    </row>
    <row r="1490" spans="1:167">
      <c r="A1490" s="571"/>
      <c r="B1490" s="1008"/>
      <c r="C1490" s="7"/>
      <c r="P1490" s="7"/>
      <c r="AX1490" s="7"/>
      <c r="BP1490" s="61"/>
      <c r="CF1490" s="104"/>
      <c r="CG1490" s="105"/>
      <c r="FK1490" s="7"/>
    </row>
    <row r="1491" spans="1:167">
      <c r="A1491" s="571"/>
      <c r="B1491" s="1008"/>
      <c r="C1491" s="7"/>
      <c r="P1491" s="7"/>
      <c r="AX1491" s="7"/>
      <c r="BP1491" s="61"/>
      <c r="CF1491" s="104"/>
      <c r="CG1491" s="105"/>
      <c r="FK1491" s="7"/>
    </row>
    <row r="1492" spans="1:167">
      <c r="A1492" s="571"/>
      <c r="B1492" s="1008"/>
      <c r="C1492" s="7"/>
      <c r="P1492" s="7"/>
      <c r="AX1492" s="7"/>
      <c r="BP1492" s="61"/>
      <c r="CF1492" s="104"/>
      <c r="CG1492" s="105"/>
      <c r="FK1492" s="7"/>
    </row>
    <row r="1493" spans="1:167">
      <c r="A1493" s="571"/>
      <c r="B1493" s="1008"/>
      <c r="C1493" s="7"/>
      <c r="P1493" s="7"/>
      <c r="AX1493" s="7"/>
      <c r="BP1493" s="61"/>
      <c r="CF1493" s="104"/>
      <c r="CG1493" s="105"/>
      <c r="FK1493" s="7"/>
    </row>
    <row r="1494" spans="1:167">
      <c r="A1494" s="571"/>
      <c r="B1494" s="1008"/>
      <c r="C1494" s="7"/>
      <c r="P1494" s="7"/>
      <c r="AX1494" s="7"/>
      <c r="BP1494" s="61"/>
      <c r="CF1494" s="104"/>
      <c r="CG1494" s="105"/>
      <c r="FK1494" s="7"/>
    </row>
    <row r="1495" spans="1:167">
      <c r="A1495" s="571"/>
      <c r="B1495" s="1008"/>
      <c r="C1495" s="7"/>
      <c r="P1495" s="7"/>
      <c r="AX1495" s="7"/>
      <c r="BP1495" s="61"/>
      <c r="CF1495" s="104"/>
      <c r="CG1495" s="105"/>
      <c r="FK1495" s="7"/>
    </row>
    <row r="1496" spans="1:167">
      <c r="A1496" s="571"/>
      <c r="B1496" s="1008"/>
      <c r="C1496" s="7"/>
      <c r="P1496" s="7"/>
      <c r="AX1496" s="7"/>
      <c r="BP1496" s="61"/>
      <c r="CF1496" s="104"/>
      <c r="CG1496" s="105"/>
      <c r="FK1496" s="7"/>
    </row>
    <row r="1497" spans="1:167">
      <c r="A1497" s="571"/>
      <c r="B1497" s="1008"/>
      <c r="C1497" s="7"/>
      <c r="P1497" s="7"/>
      <c r="AX1497" s="7"/>
      <c r="BP1497" s="61"/>
      <c r="CF1497" s="104"/>
      <c r="CG1497" s="105"/>
      <c r="FK1497" s="7"/>
    </row>
    <row r="1498" spans="1:167">
      <c r="A1498" s="571"/>
      <c r="B1498" s="1008"/>
      <c r="C1498" s="7"/>
      <c r="P1498" s="7"/>
      <c r="AX1498" s="7"/>
      <c r="BP1498" s="61"/>
      <c r="CF1498" s="104"/>
      <c r="CG1498" s="105"/>
      <c r="FK1498" s="7"/>
    </row>
    <row r="1499" spans="1:167">
      <c r="A1499" s="571"/>
      <c r="B1499" s="1008"/>
      <c r="C1499" s="7"/>
      <c r="P1499" s="7"/>
      <c r="AX1499" s="7"/>
      <c r="BP1499" s="61"/>
      <c r="CF1499" s="104"/>
      <c r="CG1499" s="105"/>
      <c r="FK1499" s="7"/>
    </row>
    <row r="1500" spans="1:167">
      <c r="A1500" s="571"/>
      <c r="B1500" s="1008"/>
      <c r="C1500" s="7"/>
      <c r="P1500" s="7"/>
      <c r="AX1500" s="7"/>
      <c r="BP1500" s="61"/>
      <c r="CF1500" s="104"/>
      <c r="CG1500" s="105"/>
      <c r="FK1500" s="7"/>
    </row>
    <row r="1501" spans="1:167">
      <c r="A1501" s="571"/>
      <c r="B1501" s="1008"/>
      <c r="C1501" s="7"/>
      <c r="P1501" s="7"/>
      <c r="AX1501" s="7"/>
      <c r="BP1501" s="61"/>
      <c r="CF1501" s="104"/>
      <c r="CG1501" s="105"/>
      <c r="FK1501" s="7"/>
    </row>
    <row r="1502" spans="1:167">
      <c r="A1502" s="571"/>
      <c r="B1502" s="1008"/>
      <c r="C1502" s="7"/>
      <c r="P1502" s="7"/>
      <c r="AX1502" s="7"/>
      <c r="BP1502" s="61"/>
      <c r="CF1502" s="104"/>
      <c r="CG1502" s="105"/>
      <c r="FK1502" s="7"/>
    </row>
    <row r="1503" spans="1:167">
      <c r="A1503" s="571"/>
      <c r="B1503" s="1008"/>
      <c r="C1503" s="7"/>
      <c r="P1503" s="7"/>
      <c r="AX1503" s="7"/>
      <c r="BP1503" s="61"/>
      <c r="CF1503" s="104"/>
      <c r="CG1503" s="105"/>
      <c r="FK1503" s="7"/>
    </row>
    <row r="1504" spans="1:167">
      <c r="A1504" s="571"/>
      <c r="B1504" s="1008"/>
      <c r="C1504" s="7"/>
      <c r="P1504" s="7"/>
      <c r="AX1504" s="7"/>
      <c r="BP1504" s="61"/>
      <c r="CF1504" s="104"/>
      <c r="CG1504" s="105"/>
      <c r="FK1504" s="7"/>
    </row>
    <row r="1505" spans="1:167">
      <c r="A1505" s="571"/>
      <c r="B1505" s="1008"/>
      <c r="C1505" s="7"/>
      <c r="P1505" s="7"/>
      <c r="AX1505" s="7"/>
      <c r="BP1505" s="61"/>
      <c r="CF1505" s="104"/>
      <c r="CG1505" s="105"/>
      <c r="FK1505" s="7"/>
    </row>
    <row r="1506" spans="1:167">
      <c r="A1506" s="571"/>
      <c r="B1506" s="1008"/>
      <c r="C1506" s="7"/>
      <c r="P1506" s="7"/>
      <c r="AX1506" s="7"/>
      <c r="BP1506" s="61"/>
      <c r="CF1506" s="104"/>
      <c r="CG1506" s="105"/>
      <c r="FK1506" s="7"/>
    </row>
    <row r="1507" spans="1:167">
      <c r="A1507" s="571"/>
      <c r="B1507" s="1008"/>
      <c r="C1507" s="7"/>
      <c r="P1507" s="7"/>
      <c r="AX1507" s="7"/>
      <c r="BP1507" s="61"/>
      <c r="CF1507" s="104"/>
      <c r="CG1507" s="105"/>
      <c r="FK1507" s="7"/>
    </row>
    <row r="1508" spans="1:167">
      <c r="A1508" s="571"/>
      <c r="B1508" s="1008"/>
      <c r="C1508" s="7"/>
      <c r="P1508" s="7"/>
      <c r="AX1508" s="7"/>
      <c r="BP1508" s="61"/>
      <c r="CF1508" s="104"/>
      <c r="CG1508" s="105"/>
      <c r="FK1508" s="7"/>
    </row>
    <row r="1509" spans="1:167">
      <c r="A1509" s="571"/>
      <c r="B1509" s="1008"/>
      <c r="C1509" s="7"/>
      <c r="P1509" s="7"/>
      <c r="AX1509" s="7"/>
      <c r="BP1509" s="61"/>
      <c r="CF1509" s="104"/>
      <c r="CG1509" s="105"/>
      <c r="FK1509" s="7"/>
    </row>
    <row r="1510" spans="1:167">
      <c r="A1510" s="571"/>
      <c r="B1510" s="1008"/>
      <c r="C1510" s="7"/>
      <c r="P1510" s="7"/>
      <c r="AX1510" s="7"/>
      <c r="BP1510" s="61"/>
      <c r="CF1510" s="104"/>
      <c r="CG1510" s="105"/>
      <c r="FK1510" s="7"/>
    </row>
    <row r="1511" spans="1:167">
      <c r="A1511" s="571"/>
      <c r="B1511" s="1008"/>
      <c r="C1511" s="7"/>
      <c r="P1511" s="7"/>
      <c r="AX1511" s="7"/>
      <c r="BP1511" s="61"/>
      <c r="CF1511" s="104"/>
      <c r="CG1511" s="105"/>
      <c r="FK1511" s="7"/>
    </row>
    <row r="1512" spans="1:167">
      <c r="A1512" s="571"/>
      <c r="B1512" s="1008"/>
      <c r="C1512" s="7"/>
      <c r="P1512" s="7"/>
      <c r="AX1512" s="7"/>
      <c r="BP1512" s="61"/>
      <c r="CF1512" s="104"/>
      <c r="CG1512" s="105"/>
      <c r="FK1512" s="7"/>
    </row>
    <row r="1513" spans="1:167">
      <c r="A1513" s="571"/>
      <c r="B1513" s="1008"/>
      <c r="C1513" s="7"/>
      <c r="P1513" s="7"/>
      <c r="AX1513" s="7"/>
      <c r="BP1513" s="61"/>
      <c r="CF1513" s="104"/>
      <c r="CG1513" s="105"/>
      <c r="FK1513" s="7"/>
    </row>
    <row r="1514" spans="1:167">
      <c r="A1514" s="571"/>
      <c r="B1514" s="1008"/>
      <c r="C1514" s="7"/>
      <c r="P1514" s="7"/>
      <c r="AX1514" s="7"/>
      <c r="BP1514" s="61"/>
      <c r="CF1514" s="104"/>
      <c r="CG1514" s="105"/>
      <c r="FK1514" s="7"/>
    </row>
    <row r="1515" spans="1:167">
      <c r="A1515" s="571"/>
      <c r="B1515" s="1008"/>
      <c r="C1515" s="7"/>
      <c r="P1515" s="7"/>
      <c r="AX1515" s="7"/>
      <c r="BP1515" s="61"/>
      <c r="CF1515" s="104"/>
      <c r="CG1515" s="105"/>
      <c r="FK1515" s="7"/>
    </row>
    <row r="1516" spans="1:167">
      <c r="A1516" s="571"/>
      <c r="B1516" s="1008"/>
      <c r="C1516" s="7"/>
      <c r="P1516" s="7"/>
      <c r="AX1516" s="7"/>
      <c r="BP1516" s="61"/>
      <c r="CF1516" s="104"/>
      <c r="CG1516" s="105"/>
      <c r="FK1516" s="7"/>
    </row>
    <row r="1517" spans="1:167">
      <c r="A1517" s="571"/>
      <c r="B1517" s="1008"/>
      <c r="C1517" s="7"/>
      <c r="P1517" s="7"/>
      <c r="AX1517" s="7"/>
      <c r="BP1517" s="61"/>
      <c r="CF1517" s="104"/>
      <c r="CG1517" s="105"/>
      <c r="FK1517" s="7"/>
    </row>
    <row r="1518" spans="1:167">
      <c r="A1518" s="571"/>
      <c r="B1518" s="1008"/>
      <c r="C1518" s="7"/>
      <c r="P1518" s="7"/>
      <c r="AX1518" s="7"/>
      <c r="BP1518" s="61"/>
      <c r="CF1518" s="104"/>
      <c r="CG1518" s="105"/>
      <c r="FK1518" s="7"/>
    </row>
    <row r="1519" spans="1:167">
      <c r="A1519" s="571"/>
      <c r="B1519" s="1008"/>
      <c r="C1519" s="7"/>
      <c r="P1519" s="7"/>
      <c r="AX1519" s="7"/>
      <c r="BP1519" s="61"/>
      <c r="CF1519" s="104"/>
      <c r="CG1519" s="105"/>
      <c r="FK1519" s="7"/>
    </row>
    <row r="1520" spans="1:167">
      <c r="A1520" s="571"/>
      <c r="B1520" s="1008"/>
      <c r="C1520" s="7"/>
      <c r="P1520" s="7"/>
      <c r="AX1520" s="7"/>
      <c r="BP1520" s="61"/>
      <c r="CF1520" s="104"/>
      <c r="CG1520" s="105"/>
      <c r="FK1520" s="7"/>
    </row>
    <row r="1521" spans="1:167">
      <c r="A1521" s="571"/>
      <c r="B1521" s="1008"/>
      <c r="C1521" s="7"/>
      <c r="P1521" s="7"/>
      <c r="AX1521" s="7"/>
      <c r="BP1521" s="61"/>
      <c r="CF1521" s="104"/>
      <c r="CG1521" s="105"/>
      <c r="FK1521" s="7"/>
    </row>
    <row r="1522" spans="1:167">
      <c r="A1522" s="571"/>
      <c r="B1522" s="1008"/>
      <c r="C1522" s="7"/>
      <c r="P1522" s="7"/>
      <c r="AX1522" s="7"/>
      <c r="BP1522" s="61"/>
      <c r="CF1522" s="104"/>
      <c r="CG1522" s="105"/>
      <c r="FK1522" s="7"/>
    </row>
    <row r="1523" spans="1:167">
      <c r="A1523" s="571"/>
      <c r="B1523" s="1008"/>
      <c r="C1523" s="7"/>
      <c r="P1523" s="7"/>
      <c r="AX1523" s="7"/>
      <c r="BP1523" s="61"/>
      <c r="CF1523" s="104"/>
      <c r="CG1523" s="105"/>
      <c r="FK1523" s="7"/>
    </row>
    <row r="1524" spans="1:167">
      <c r="A1524" s="571"/>
      <c r="B1524" s="1008"/>
      <c r="C1524" s="7"/>
      <c r="P1524" s="7"/>
      <c r="AX1524" s="7"/>
      <c r="BP1524" s="61"/>
      <c r="CF1524" s="104"/>
      <c r="CG1524" s="105"/>
      <c r="FK1524" s="7"/>
    </row>
    <row r="1525" spans="1:167">
      <c r="A1525" s="571"/>
      <c r="B1525" s="1008"/>
      <c r="C1525" s="7"/>
      <c r="P1525" s="7"/>
      <c r="AX1525" s="7"/>
      <c r="BP1525" s="61"/>
      <c r="CF1525" s="104"/>
      <c r="CG1525" s="105"/>
      <c r="FK1525" s="7"/>
    </row>
    <row r="1526" spans="1:167">
      <c r="A1526" s="571"/>
      <c r="B1526" s="1008"/>
      <c r="C1526" s="7"/>
      <c r="P1526" s="7"/>
      <c r="AX1526" s="7"/>
      <c r="BP1526" s="61"/>
      <c r="CF1526" s="104"/>
      <c r="CG1526" s="105"/>
      <c r="FK1526" s="7"/>
    </row>
    <row r="1527" spans="1:167">
      <c r="A1527" s="571"/>
      <c r="B1527" s="1008"/>
      <c r="C1527" s="7"/>
      <c r="P1527" s="7"/>
      <c r="AX1527" s="7"/>
      <c r="BP1527" s="61"/>
      <c r="CF1527" s="104"/>
      <c r="CG1527" s="105"/>
      <c r="FK1527" s="7"/>
    </row>
    <row r="1528" spans="1:167">
      <c r="A1528" s="571"/>
      <c r="B1528" s="1008"/>
      <c r="C1528" s="7"/>
      <c r="P1528" s="7"/>
      <c r="AX1528" s="7"/>
      <c r="BP1528" s="61"/>
      <c r="CF1528" s="104"/>
      <c r="CG1528" s="105"/>
      <c r="FK1528" s="7"/>
    </row>
    <row r="1529" spans="1:167">
      <c r="A1529" s="571"/>
      <c r="B1529" s="1008"/>
      <c r="C1529" s="7"/>
      <c r="P1529" s="7"/>
      <c r="AX1529" s="7"/>
      <c r="BP1529" s="61"/>
      <c r="CF1529" s="104"/>
      <c r="CG1529" s="105"/>
      <c r="FK1529" s="7"/>
    </row>
    <row r="1530" spans="1:167">
      <c r="A1530" s="571"/>
      <c r="B1530" s="1008"/>
      <c r="C1530" s="7"/>
      <c r="P1530" s="7"/>
      <c r="AX1530" s="7"/>
      <c r="BP1530" s="61"/>
      <c r="CF1530" s="104"/>
      <c r="CG1530" s="105"/>
      <c r="FK1530" s="7"/>
    </row>
    <row r="1531" spans="1:167">
      <c r="A1531" s="571"/>
      <c r="B1531" s="1008"/>
      <c r="C1531" s="7"/>
      <c r="P1531" s="7"/>
      <c r="AX1531" s="7"/>
      <c r="BP1531" s="61"/>
      <c r="CF1531" s="104"/>
      <c r="CG1531" s="105"/>
      <c r="FK1531" s="7"/>
    </row>
    <row r="1532" spans="1:167">
      <c r="A1532" s="571"/>
      <c r="B1532" s="1008"/>
      <c r="C1532" s="7"/>
      <c r="P1532" s="7"/>
      <c r="AX1532" s="7"/>
      <c r="BP1532" s="61"/>
      <c r="CF1532" s="104"/>
      <c r="CG1532" s="105"/>
      <c r="FK1532" s="7"/>
    </row>
    <row r="1533" spans="1:167">
      <c r="A1533" s="571"/>
      <c r="B1533" s="1008"/>
      <c r="C1533" s="7"/>
      <c r="P1533" s="7"/>
      <c r="AX1533" s="7"/>
      <c r="BP1533" s="61"/>
      <c r="CF1533" s="104"/>
      <c r="CG1533" s="105"/>
      <c r="FK1533" s="7"/>
    </row>
    <row r="1534" spans="1:167">
      <c r="A1534" s="571"/>
      <c r="B1534" s="1008"/>
      <c r="C1534" s="7"/>
      <c r="P1534" s="7"/>
      <c r="AX1534" s="7"/>
      <c r="BP1534" s="61"/>
      <c r="CF1534" s="104"/>
      <c r="CG1534" s="105"/>
      <c r="FK1534" s="7"/>
    </row>
    <row r="1535" spans="1:167">
      <c r="A1535" s="571"/>
      <c r="B1535" s="1008"/>
      <c r="C1535" s="7"/>
      <c r="P1535" s="7"/>
      <c r="AX1535" s="7"/>
      <c r="BP1535" s="61"/>
      <c r="CF1535" s="104"/>
      <c r="CG1535" s="105"/>
      <c r="FK1535" s="7"/>
    </row>
    <row r="1536" spans="1:167">
      <c r="A1536" s="571"/>
      <c r="B1536" s="1008"/>
      <c r="C1536" s="7"/>
      <c r="P1536" s="7"/>
      <c r="AX1536" s="7"/>
      <c r="BP1536" s="61"/>
      <c r="CF1536" s="104"/>
      <c r="CG1536" s="105"/>
      <c r="FK1536" s="7"/>
    </row>
    <row r="1537" spans="1:167">
      <c r="A1537" s="571"/>
      <c r="B1537" s="1008"/>
      <c r="C1537" s="7"/>
      <c r="P1537" s="7"/>
      <c r="AX1537" s="7"/>
      <c r="BP1537" s="61"/>
      <c r="CF1537" s="104"/>
      <c r="CG1537" s="105"/>
      <c r="FK1537" s="7"/>
    </row>
    <row r="1538" spans="1:167">
      <c r="A1538" s="571"/>
      <c r="B1538" s="1008"/>
      <c r="C1538" s="7"/>
      <c r="P1538" s="7"/>
      <c r="AX1538" s="7"/>
      <c r="BP1538" s="61"/>
      <c r="CF1538" s="104"/>
      <c r="CG1538" s="105"/>
      <c r="FK1538" s="7"/>
    </row>
    <row r="1539" spans="1:167">
      <c r="A1539" s="571"/>
      <c r="B1539" s="1008"/>
      <c r="C1539" s="7"/>
      <c r="P1539" s="7"/>
      <c r="AX1539" s="7"/>
      <c r="BP1539" s="61"/>
      <c r="CF1539" s="104"/>
      <c r="CG1539" s="105"/>
      <c r="FK1539" s="7"/>
    </row>
    <row r="1540" spans="1:167">
      <c r="A1540" s="571"/>
      <c r="B1540" s="1008"/>
      <c r="C1540" s="7"/>
      <c r="P1540" s="7"/>
      <c r="AX1540" s="7"/>
      <c r="BP1540" s="61"/>
      <c r="CF1540" s="104"/>
      <c r="CG1540" s="105"/>
      <c r="FK1540" s="7"/>
    </row>
    <row r="1541" spans="1:167">
      <c r="A1541" s="571"/>
      <c r="B1541" s="1008"/>
      <c r="C1541" s="7"/>
      <c r="P1541" s="7"/>
      <c r="AX1541" s="7"/>
      <c r="BP1541" s="61"/>
      <c r="CF1541" s="104"/>
      <c r="CG1541" s="105"/>
      <c r="FK1541" s="7"/>
    </row>
    <row r="1542" spans="1:167">
      <c r="A1542" s="571"/>
      <c r="B1542" s="1008"/>
      <c r="C1542" s="7"/>
      <c r="P1542" s="7"/>
      <c r="AX1542" s="7"/>
      <c r="BP1542" s="61"/>
      <c r="CF1542" s="104"/>
      <c r="CG1542" s="105"/>
      <c r="FK1542" s="7"/>
    </row>
    <row r="1543" spans="1:167">
      <c r="A1543" s="571"/>
      <c r="B1543" s="1008"/>
      <c r="C1543" s="7"/>
      <c r="P1543" s="7"/>
      <c r="AX1543" s="7"/>
      <c r="BP1543" s="61"/>
      <c r="CF1543" s="104"/>
      <c r="CG1543" s="105"/>
      <c r="FK1543" s="7"/>
    </row>
    <row r="1544" spans="1:167">
      <c r="A1544" s="571"/>
      <c r="B1544" s="1008"/>
      <c r="C1544" s="7"/>
      <c r="P1544" s="7"/>
      <c r="AX1544" s="7"/>
      <c r="BP1544" s="61"/>
      <c r="CF1544" s="104"/>
      <c r="CG1544" s="105"/>
      <c r="FK1544" s="7"/>
    </row>
    <row r="1545" spans="1:167">
      <c r="A1545" s="571"/>
      <c r="B1545" s="1008"/>
      <c r="C1545" s="7"/>
      <c r="P1545" s="7"/>
      <c r="AX1545" s="7"/>
      <c r="BP1545" s="61"/>
      <c r="CF1545" s="104"/>
      <c r="CG1545" s="105"/>
      <c r="FK1545" s="7"/>
    </row>
    <row r="1546" spans="1:167">
      <c r="A1546" s="571"/>
      <c r="B1546" s="1008"/>
      <c r="C1546" s="7"/>
      <c r="P1546" s="7"/>
      <c r="AX1546" s="7"/>
      <c r="BP1546" s="61"/>
      <c r="CF1546" s="104"/>
      <c r="CG1546" s="105"/>
      <c r="FK1546" s="7"/>
    </row>
    <row r="1547" spans="1:167">
      <c r="A1547" s="571"/>
      <c r="B1547" s="1008"/>
      <c r="C1547" s="7"/>
      <c r="P1547" s="7"/>
      <c r="AX1547" s="7"/>
      <c r="BP1547" s="61"/>
      <c r="CF1547" s="104"/>
      <c r="CG1547" s="105"/>
      <c r="FK1547" s="7"/>
    </row>
    <row r="1548" spans="1:167">
      <c r="A1548" s="571"/>
      <c r="B1548" s="1008"/>
      <c r="C1548" s="7"/>
      <c r="P1548" s="7"/>
      <c r="AX1548" s="7"/>
      <c r="BP1548" s="61"/>
      <c r="CF1548" s="104"/>
      <c r="CG1548" s="105"/>
      <c r="FK1548" s="7"/>
    </row>
    <row r="1549" spans="1:167">
      <c r="A1549" s="571"/>
      <c r="B1549" s="1008"/>
      <c r="C1549" s="7"/>
      <c r="P1549" s="7"/>
      <c r="AX1549" s="7"/>
      <c r="BP1549" s="61"/>
      <c r="CF1549" s="104"/>
      <c r="CG1549" s="105"/>
      <c r="FK1549" s="7"/>
    </row>
    <row r="1550" spans="1:167">
      <c r="A1550" s="571"/>
      <c r="B1550" s="1008"/>
      <c r="C1550" s="7"/>
      <c r="P1550" s="7"/>
      <c r="AX1550" s="7"/>
      <c r="BP1550" s="61"/>
      <c r="CF1550" s="104"/>
      <c r="CG1550" s="105"/>
      <c r="FK1550" s="7"/>
    </row>
    <row r="1551" spans="1:167">
      <c r="A1551" s="571"/>
      <c r="B1551" s="1008"/>
      <c r="C1551" s="7"/>
      <c r="P1551" s="7"/>
      <c r="AX1551" s="7"/>
      <c r="BP1551" s="61"/>
      <c r="CF1551" s="104"/>
      <c r="CG1551" s="105"/>
      <c r="FK1551" s="7"/>
    </row>
    <row r="1552" spans="1:167">
      <c r="A1552" s="571"/>
      <c r="B1552" s="1008"/>
      <c r="C1552" s="7"/>
      <c r="P1552" s="7"/>
      <c r="AX1552" s="7"/>
      <c r="BP1552" s="61"/>
      <c r="CF1552" s="104"/>
      <c r="CG1552" s="105"/>
      <c r="FK1552" s="7"/>
    </row>
    <row r="1553" spans="1:167">
      <c r="A1553" s="571"/>
      <c r="B1553" s="1008"/>
      <c r="C1553" s="7"/>
      <c r="P1553" s="7"/>
      <c r="AX1553" s="7"/>
      <c r="BP1553" s="61"/>
      <c r="CF1553" s="104"/>
      <c r="CG1553" s="105"/>
      <c r="FK1553" s="7"/>
    </row>
    <row r="1554" spans="1:167">
      <c r="A1554" s="571"/>
      <c r="B1554" s="1008"/>
      <c r="C1554" s="7"/>
      <c r="P1554" s="7"/>
      <c r="AX1554" s="7"/>
      <c r="BP1554" s="61"/>
      <c r="CF1554" s="104"/>
      <c r="CG1554" s="105"/>
      <c r="FK1554" s="7"/>
    </row>
    <row r="1555" spans="1:167">
      <c r="A1555" s="571"/>
      <c r="B1555" s="1008"/>
      <c r="C1555" s="7"/>
      <c r="P1555" s="7"/>
      <c r="AX1555" s="7"/>
      <c r="BP1555" s="61"/>
      <c r="CF1555" s="104"/>
      <c r="CG1555" s="105"/>
      <c r="FK1555" s="7"/>
    </row>
    <row r="1556" spans="1:167">
      <c r="A1556" s="571"/>
      <c r="B1556" s="1008"/>
      <c r="C1556" s="7"/>
      <c r="P1556" s="7"/>
      <c r="AX1556" s="7"/>
      <c r="BP1556" s="61"/>
      <c r="CF1556" s="104"/>
      <c r="CG1556" s="105"/>
      <c r="FK1556" s="7"/>
    </row>
    <row r="1557" spans="1:167">
      <c r="A1557" s="571"/>
      <c r="B1557" s="1008"/>
      <c r="C1557" s="7"/>
      <c r="P1557" s="7"/>
      <c r="AX1557" s="7"/>
      <c r="BP1557" s="61"/>
      <c r="CF1557" s="104"/>
      <c r="CG1557" s="105"/>
      <c r="FK1557" s="7"/>
    </row>
    <row r="1558" spans="1:167">
      <c r="A1558" s="571"/>
      <c r="B1558" s="1008"/>
      <c r="C1558" s="7"/>
      <c r="P1558" s="7"/>
      <c r="AX1558" s="7"/>
      <c r="BP1558" s="61"/>
      <c r="CF1558" s="104"/>
      <c r="CG1558" s="105"/>
      <c r="FK1558" s="7"/>
    </row>
    <row r="1559" spans="1:167">
      <c r="A1559" s="571"/>
      <c r="B1559" s="1008"/>
      <c r="C1559" s="7"/>
      <c r="P1559" s="7"/>
      <c r="AX1559" s="7"/>
      <c r="BP1559" s="61"/>
      <c r="CF1559" s="104"/>
      <c r="CG1559" s="105"/>
      <c r="FK1559" s="7"/>
    </row>
    <row r="1560" spans="1:167">
      <c r="A1560" s="571"/>
      <c r="B1560" s="1008"/>
      <c r="C1560" s="7"/>
      <c r="P1560" s="7"/>
      <c r="AX1560" s="7"/>
      <c r="BP1560" s="61"/>
      <c r="CF1560" s="104"/>
      <c r="CG1560" s="105"/>
      <c r="FK1560" s="7"/>
    </row>
    <row r="1561" spans="1:167">
      <c r="A1561" s="571"/>
      <c r="B1561" s="1008"/>
      <c r="C1561" s="7"/>
      <c r="P1561" s="7"/>
      <c r="AX1561" s="7"/>
      <c r="BP1561" s="61"/>
      <c r="CF1561" s="104"/>
      <c r="CG1561" s="105"/>
      <c r="FK1561" s="7"/>
    </row>
    <row r="1562" spans="1:167">
      <c r="A1562" s="571"/>
      <c r="B1562" s="1008"/>
      <c r="C1562" s="7"/>
      <c r="P1562" s="7"/>
      <c r="AX1562" s="7"/>
      <c r="BP1562" s="61"/>
      <c r="CF1562" s="104"/>
      <c r="CG1562" s="105"/>
      <c r="FK1562" s="7"/>
    </row>
    <row r="1563" spans="1:167">
      <c r="A1563" s="571"/>
      <c r="B1563" s="1008"/>
      <c r="C1563" s="7"/>
      <c r="P1563" s="7"/>
      <c r="AX1563" s="7"/>
      <c r="BP1563" s="61"/>
      <c r="CF1563" s="104"/>
      <c r="CG1563" s="105"/>
      <c r="FK1563" s="7"/>
    </row>
    <row r="1564" spans="1:167">
      <c r="A1564" s="571"/>
      <c r="B1564" s="1008"/>
      <c r="C1564" s="7"/>
      <c r="P1564" s="7"/>
      <c r="AX1564" s="7"/>
      <c r="BP1564" s="61"/>
      <c r="CF1564" s="104"/>
      <c r="CG1564" s="105"/>
      <c r="FK1564" s="7"/>
    </row>
    <row r="1565" spans="1:167">
      <c r="A1565" s="571"/>
      <c r="B1565" s="1008"/>
      <c r="C1565" s="7"/>
      <c r="P1565" s="7"/>
      <c r="AX1565" s="7"/>
      <c r="BP1565" s="61"/>
      <c r="CF1565" s="104"/>
      <c r="CG1565" s="105"/>
      <c r="FK1565" s="7"/>
    </row>
    <row r="1566" spans="1:167">
      <c r="A1566" s="571"/>
      <c r="B1566" s="1008"/>
      <c r="C1566" s="7"/>
      <c r="P1566" s="7"/>
      <c r="AX1566" s="7"/>
      <c r="BP1566" s="61"/>
      <c r="CF1566" s="104"/>
      <c r="CG1566" s="105"/>
      <c r="FK1566" s="7"/>
    </row>
    <row r="1567" spans="1:167">
      <c r="A1567" s="571"/>
      <c r="B1567" s="1008"/>
      <c r="C1567" s="7"/>
      <c r="P1567" s="7"/>
      <c r="AX1567" s="7"/>
      <c r="BP1567" s="61"/>
      <c r="CF1567" s="104"/>
      <c r="CG1567" s="105"/>
      <c r="FK1567" s="7"/>
    </row>
    <row r="1568" spans="1:167">
      <c r="A1568" s="571"/>
      <c r="B1568" s="1008"/>
      <c r="C1568" s="7"/>
      <c r="P1568" s="7"/>
      <c r="AX1568" s="7"/>
      <c r="BP1568" s="61"/>
      <c r="CF1568" s="104"/>
      <c r="CG1568" s="105"/>
      <c r="FK1568" s="7"/>
    </row>
    <row r="1569" spans="1:167">
      <c r="A1569" s="571"/>
      <c r="B1569" s="1008"/>
      <c r="C1569" s="7"/>
      <c r="P1569" s="7"/>
      <c r="AX1569" s="7"/>
      <c r="BP1569" s="61"/>
      <c r="CF1569" s="104"/>
      <c r="CG1569" s="105"/>
      <c r="FK1569" s="7"/>
    </row>
    <row r="1570" spans="1:167">
      <c r="A1570" s="571"/>
      <c r="B1570" s="1008"/>
      <c r="C1570" s="7"/>
      <c r="P1570" s="7"/>
      <c r="AX1570" s="7"/>
      <c r="BP1570" s="61"/>
      <c r="CF1570" s="104"/>
      <c r="CG1570" s="105"/>
      <c r="FK1570" s="7"/>
    </row>
    <row r="1571" spans="1:167">
      <c r="A1571" s="571"/>
      <c r="B1571" s="1008"/>
      <c r="C1571" s="7"/>
      <c r="P1571" s="7"/>
      <c r="AX1571" s="7"/>
      <c r="BP1571" s="61"/>
      <c r="CF1571" s="104"/>
      <c r="CG1571" s="105"/>
      <c r="FK1571" s="7"/>
    </row>
    <row r="1572" spans="1:167">
      <c r="A1572" s="571"/>
      <c r="B1572" s="1008"/>
      <c r="C1572" s="7"/>
      <c r="P1572" s="7"/>
      <c r="AX1572" s="7"/>
      <c r="BP1572" s="61"/>
      <c r="CF1572" s="104"/>
      <c r="CG1572" s="105"/>
      <c r="FK1572" s="7"/>
    </row>
    <row r="1573" spans="1:167">
      <c r="A1573" s="571"/>
      <c r="B1573" s="1008"/>
      <c r="C1573" s="7"/>
      <c r="P1573" s="7"/>
      <c r="AX1573" s="7"/>
      <c r="BP1573" s="61"/>
      <c r="CF1573" s="104"/>
      <c r="CG1573" s="105"/>
      <c r="FK1573" s="7"/>
    </row>
    <row r="1574" spans="1:167">
      <c r="A1574" s="571"/>
      <c r="B1574" s="1008"/>
      <c r="C1574" s="7"/>
      <c r="P1574" s="7"/>
      <c r="AX1574" s="7"/>
      <c r="BP1574" s="61"/>
      <c r="CF1574" s="104"/>
      <c r="CG1574" s="105"/>
      <c r="FK1574" s="7"/>
    </row>
    <row r="1575" spans="1:167">
      <c r="A1575" s="571"/>
      <c r="B1575" s="1008"/>
      <c r="C1575" s="7"/>
      <c r="P1575" s="7"/>
      <c r="AX1575" s="7"/>
      <c r="BP1575" s="61"/>
      <c r="CF1575" s="104"/>
      <c r="CG1575" s="105"/>
      <c r="FK1575" s="7"/>
    </row>
    <row r="1576" spans="1:167">
      <c r="A1576" s="571"/>
      <c r="B1576" s="1008"/>
      <c r="C1576" s="7"/>
      <c r="P1576" s="7"/>
      <c r="AX1576" s="7"/>
      <c r="BP1576" s="61"/>
      <c r="CF1576" s="104"/>
      <c r="CG1576" s="105"/>
      <c r="FK1576" s="7"/>
    </row>
    <row r="1577" spans="1:167">
      <c r="A1577" s="571"/>
      <c r="B1577" s="1008"/>
      <c r="C1577" s="7"/>
      <c r="P1577" s="7"/>
      <c r="AX1577" s="7"/>
      <c r="BP1577" s="61"/>
      <c r="CF1577" s="104"/>
      <c r="CG1577" s="105"/>
      <c r="FK1577" s="7"/>
    </row>
    <row r="1578" spans="1:167">
      <c r="A1578" s="571"/>
      <c r="B1578" s="1008"/>
      <c r="C1578" s="7"/>
      <c r="P1578" s="7"/>
      <c r="AX1578" s="7"/>
      <c r="BP1578" s="61"/>
      <c r="CF1578" s="104"/>
      <c r="CG1578" s="105"/>
      <c r="FK1578" s="7"/>
    </row>
    <row r="1579" spans="1:167">
      <c r="A1579" s="571"/>
      <c r="B1579" s="1008"/>
      <c r="C1579" s="7"/>
      <c r="P1579" s="7"/>
      <c r="AX1579" s="7"/>
      <c r="BP1579" s="61"/>
      <c r="CF1579" s="104"/>
      <c r="CG1579" s="105"/>
      <c r="FK1579" s="7"/>
    </row>
    <row r="1580" spans="1:167">
      <c r="A1580" s="571"/>
      <c r="B1580" s="1008"/>
      <c r="C1580" s="7"/>
      <c r="P1580" s="7"/>
      <c r="AX1580" s="7"/>
      <c r="BP1580" s="61"/>
      <c r="CF1580" s="104"/>
      <c r="CG1580" s="105"/>
      <c r="FK1580" s="7"/>
    </row>
    <row r="1581" spans="1:167">
      <c r="A1581" s="571"/>
      <c r="B1581" s="1008"/>
      <c r="C1581" s="7"/>
      <c r="P1581" s="7"/>
      <c r="AX1581" s="7"/>
      <c r="BP1581" s="61"/>
      <c r="CF1581" s="104"/>
      <c r="CG1581" s="105"/>
      <c r="FK1581" s="7"/>
    </row>
    <row r="1582" spans="1:167">
      <c r="A1582" s="571"/>
      <c r="B1582" s="1008"/>
      <c r="C1582" s="7"/>
      <c r="P1582" s="7"/>
      <c r="AX1582" s="7"/>
      <c r="BP1582" s="61"/>
      <c r="CF1582" s="104"/>
      <c r="CG1582" s="105"/>
      <c r="FK1582" s="7"/>
    </row>
    <row r="1583" spans="1:167">
      <c r="A1583" s="571"/>
      <c r="B1583" s="1008"/>
      <c r="C1583" s="7"/>
      <c r="P1583" s="7"/>
      <c r="AX1583" s="7"/>
      <c r="BP1583" s="61"/>
      <c r="CF1583" s="104"/>
      <c r="CG1583" s="105"/>
      <c r="FK1583" s="7"/>
    </row>
    <row r="1584" spans="1:167">
      <c r="A1584" s="571"/>
      <c r="B1584" s="1008"/>
      <c r="C1584" s="7"/>
      <c r="P1584" s="7"/>
      <c r="AX1584" s="7"/>
      <c r="BP1584" s="61"/>
      <c r="CF1584" s="104"/>
      <c r="CG1584" s="105"/>
      <c r="FK1584" s="7"/>
    </row>
    <row r="1585" spans="1:167">
      <c r="A1585" s="571"/>
      <c r="B1585" s="1008"/>
      <c r="C1585" s="7"/>
      <c r="P1585" s="7"/>
      <c r="AX1585" s="7"/>
      <c r="BP1585" s="61"/>
      <c r="CF1585" s="104"/>
      <c r="CG1585" s="105"/>
      <c r="FK1585" s="7"/>
    </row>
    <row r="1586" spans="1:167">
      <c r="A1586" s="571"/>
      <c r="B1586" s="1008"/>
      <c r="C1586" s="7"/>
      <c r="P1586" s="7"/>
      <c r="AX1586" s="7"/>
      <c r="BP1586" s="61"/>
      <c r="CF1586" s="104"/>
      <c r="CG1586" s="105"/>
      <c r="FK1586" s="7"/>
    </row>
    <row r="1587" spans="1:167">
      <c r="A1587" s="571"/>
      <c r="B1587" s="1008"/>
      <c r="C1587" s="7"/>
      <c r="P1587" s="7"/>
      <c r="AX1587" s="7"/>
      <c r="BP1587" s="61"/>
      <c r="CF1587" s="104"/>
      <c r="CG1587" s="105"/>
      <c r="FK1587" s="7"/>
    </row>
    <row r="1588" spans="1:167">
      <c r="A1588" s="571"/>
      <c r="B1588" s="1008"/>
      <c r="C1588" s="7"/>
      <c r="P1588" s="7"/>
      <c r="AX1588" s="7"/>
      <c r="BP1588" s="61"/>
      <c r="CF1588" s="104"/>
      <c r="CG1588" s="105"/>
      <c r="FK1588" s="7"/>
    </row>
    <row r="1589" spans="1:167">
      <c r="A1589" s="571"/>
      <c r="B1589" s="1008"/>
      <c r="C1589" s="7"/>
      <c r="P1589" s="7"/>
      <c r="AX1589" s="7"/>
      <c r="BP1589" s="61"/>
      <c r="CF1589" s="104"/>
      <c r="CG1589" s="105"/>
      <c r="FK1589" s="7"/>
    </row>
    <row r="1590" spans="1:167">
      <c r="A1590" s="571"/>
      <c r="B1590" s="1008"/>
      <c r="C1590" s="7"/>
      <c r="P1590" s="7"/>
      <c r="AX1590" s="7"/>
      <c r="BP1590" s="61"/>
      <c r="CF1590" s="104"/>
      <c r="CG1590" s="105"/>
      <c r="FK1590" s="7"/>
    </row>
    <row r="1591" spans="1:167">
      <c r="A1591" s="571"/>
      <c r="B1591" s="1008"/>
      <c r="C1591" s="7"/>
      <c r="P1591" s="7"/>
      <c r="AX1591" s="7"/>
      <c r="BP1591" s="61"/>
      <c r="CF1591" s="104"/>
      <c r="CG1591" s="105"/>
      <c r="FK1591" s="7"/>
    </row>
    <row r="1592" spans="1:167">
      <c r="A1592" s="571"/>
      <c r="B1592" s="1008"/>
      <c r="C1592" s="7"/>
      <c r="P1592" s="7"/>
      <c r="AX1592" s="7"/>
      <c r="BP1592" s="61"/>
      <c r="CF1592" s="104"/>
      <c r="CG1592" s="105"/>
      <c r="FK1592" s="7"/>
    </row>
    <row r="1593" spans="1:167">
      <c r="A1593" s="571"/>
      <c r="B1593" s="1008"/>
      <c r="C1593" s="7"/>
      <c r="P1593" s="7"/>
      <c r="AX1593" s="7"/>
      <c r="BP1593" s="61"/>
      <c r="CF1593" s="104"/>
      <c r="CG1593" s="105"/>
      <c r="FK1593" s="7"/>
    </row>
    <row r="1594" spans="1:167">
      <c r="A1594" s="571"/>
      <c r="B1594" s="1008"/>
      <c r="C1594" s="7"/>
      <c r="P1594" s="7"/>
      <c r="AX1594" s="7"/>
      <c r="BP1594" s="61"/>
      <c r="CF1594" s="104"/>
      <c r="CG1594" s="105"/>
      <c r="FK1594" s="7"/>
    </row>
    <row r="1595" spans="1:167">
      <c r="A1595" s="571"/>
      <c r="B1595" s="1008"/>
      <c r="C1595" s="7"/>
      <c r="P1595" s="7"/>
      <c r="AX1595" s="7"/>
      <c r="BP1595" s="61"/>
      <c r="CF1595" s="104"/>
      <c r="CG1595" s="105"/>
      <c r="FK1595" s="7"/>
    </row>
    <row r="1596" spans="1:167">
      <c r="A1596" s="571"/>
      <c r="B1596" s="1008"/>
      <c r="C1596" s="7"/>
      <c r="P1596" s="7"/>
      <c r="AX1596" s="7"/>
      <c r="BP1596" s="61"/>
      <c r="CF1596" s="104"/>
      <c r="CG1596" s="105"/>
      <c r="FK1596" s="7"/>
    </row>
    <row r="1597" spans="1:167">
      <c r="A1597" s="571"/>
      <c r="B1597" s="1008"/>
      <c r="C1597" s="7"/>
      <c r="P1597" s="7"/>
      <c r="AX1597" s="7"/>
      <c r="BP1597" s="61"/>
      <c r="CF1597" s="104"/>
      <c r="CG1597" s="105"/>
      <c r="FK1597" s="7"/>
    </row>
    <row r="1598" spans="1:167">
      <c r="A1598" s="571"/>
      <c r="B1598" s="1008"/>
      <c r="C1598" s="7"/>
      <c r="P1598" s="7"/>
      <c r="AX1598" s="7"/>
      <c r="BP1598" s="61"/>
      <c r="CF1598" s="104"/>
      <c r="CG1598" s="105"/>
      <c r="FK1598" s="7"/>
    </row>
    <row r="1599" spans="1:167">
      <c r="A1599" s="571"/>
      <c r="B1599" s="1008"/>
      <c r="C1599" s="7"/>
      <c r="P1599" s="7"/>
      <c r="AX1599" s="7"/>
      <c r="BP1599" s="61"/>
      <c r="CF1599" s="104"/>
      <c r="CG1599" s="105"/>
      <c r="FK1599" s="7"/>
    </row>
    <row r="1600" spans="1:167">
      <c r="A1600" s="571"/>
      <c r="B1600" s="1008"/>
      <c r="C1600" s="7"/>
      <c r="P1600" s="7"/>
      <c r="AX1600" s="7"/>
      <c r="BP1600" s="61"/>
      <c r="CF1600" s="104"/>
      <c r="CG1600" s="105"/>
      <c r="FK1600" s="7"/>
    </row>
    <row r="1601" spans="1:167">
      <c r="A1601" s="571"/>
      <c r="B1601" s="1008"/>
      <c r="C1601" s="7"/>
      <c r="P1601" s="7"/>
      <c r="AX1601" s="7"/>
      <c r="BP1601" s="61"/>
      <c r="CF1601" s="104"/>
      <c r="CG1601" s="105"/>
      <c r="FK1601" s="7"/>
    </row>
    <row r="1602" spans="1:167">
      <c r="A1602" s="571"/>
      <c r="B1602" s="1008"/>
      <c r="C1602" s="7"/>
      <c r="P1602" s="7"/>
      <c r="AX1602" s="7"/>
      <c r="BP1602" s="61"/>
      <c r="CF1602" s="104"/>
      <c r="CG1602" s="105"/>
      <c r="FK1602" s="7"/>
    </row>
    <row r="1603" spans="1:167">
      <c r="A1603" s="571"/>
      <c r="B1603" s="1008"/>
      <c r="C1603" s="7"/>
      <c r="P1603" s="7"/>
      <c r="AX1603" s="7"/>
      <c r="BP1603" s="61"/>
      <c r="CF1603" s="104"/>
      <c r="CG1603" s="105"/>
      <c r="FK1603" s="7"/>
    </row>
    <row r="1604" spans="1:167">
      <c r="A1604" s="571"/>
      <c r="B1604" s="1008"/>
      <c r="C1604" s="7"/>
      <c r="P1604" s="7"/>
      <c r="AX1604" s="7"/>
      <c r="BP1604" s="61"/>
      <c r="CF1604" s="104"/>
      <c r="CG1604" s="105"/>
      <c r="FK1604" s="7"/>
    </row>
    <row r="1605" spans="1:167">
      <c r="A1605" s="571"/>
      <c r="B1605" s="1008"/>
      <c r="C1605" s="7"/>
      <c r="P1605" s="7"/>
      <c r="AX1605" s="7"/>
      <c r="BP1605" s="61"/>
      <c r="CF1605" s="104"/>
      <c r="CG1605" s="105"/>
      <c r="FK1605" s="7"/>
    </row>
    <row r="1606" spans="1:167">
      <c r="A1606" s="571"/>
      <c r="B1606" s="1008"/>
      <c r="C1606" s="7"/>
      <c r="P1606" s="7"/>
      <c r="AX1606" s="7"/>
      <c r="BP1606" s="61"/>
      <c r="CF1606" s="104"/>
      <c r="CG1606" s="105"/>
      <c r="FK1606" s="7"/>
    </row>
    <row r="1607" spans="1:167">
      <c r="A1607" s="571"/>
      <c r="B1607" s="1008"/>
      <c r="C1607" s="7"/>
      <c r="P1607" s="7"/>
      <c r="AX1607" s="7"/>
      <c r="BP1607" s="61"/>
      <c r="CF1607" s="104"/>
      <c r="CG1607" s="105"/>
      <c r="FK1607" s="7"/>
    </row>
    <row r="1608" spans="1:167">
      <c r="A1608" s="571"/>
      <c r="B1608" s="1008"/>
      <c r="C1608" s="7"/>
      <c r="P1608" s="7"/>
      <c r="AX1608" s="7"/>
      <c r="BP1608" s="61"/>
      <c r="CF1608" s="104"/>
      <c r="CG1608" s="105"/>
      <c r="FK1608" s="7"/>
    </row>
    <row r="1609" spans="1:167">
      <c r="A1609" s="571"/>
      <c r="B1609" s="1008"/>
      <c r="C1609" s="7"/>
      <c r="P1609" s="7"/>
      <c r="AX1609" s="7"/>
      <c r="BP1609" s="61"/>
      <c r="CF1609" s="104"/>
      <c r="CG1609" s="105"/>
      <c r="FK1609" s="7"/>
    </row>
    <row r="1610" spans="1:167">
      <c r="A1610" s="571"/>
      <c r="B1610" s="1008"/>
      <c r="C1610" s="7"/>
      <c r="P1610" s="7"/>
      <c r="AX1610" s="7"/>
      <c r="BP1610" s="61"/>
      <c r="CF1610" s="104"/>
      <c r="CG1610" s="105"/>
      <c r="FK1610" s="7"/>
    </row>
    <row r="1611" spans="1:167">
      <c r="A1611" s="571"/>
      <c r="B1611" s="1008"/>
      <c r="C1611" s="7"/>
      <c r="P1611" s="7"/>
      <c r="AX1611" s="7"/>
      <c r="BP1611" s="61"/>
      <c r="CF1611" s="104"/>
      <c r="CG1611" s="105"/>
      <c r="FK1611" s="7"/>
    </row>
    <row r="1612" spans="1:167">
      <c r="A1612" s="571"/>
      <c r="B1612" s="1008"/>
      <c r="C1612" s="7"/>
      <c r="P1612" s="7"/>
      <c r="AX1612" s="7"/>
      <c r="BP1612" s="61"/>
      <c r="CF1612" s="104"/>
      <c r="CG1612" s="105"/>
      <c r="FK1612" s="7"/>
    </row>
    <row r="1613" spans="1:167">
      <c r="A1613" s="571"/>
      <c r="B1613" s="1008"/>
      <c r="C1613" s="7"/>
      <c r="P1613" s="7"/>
      <c r="AX1613" s="7"/>
      <c r="BP1613" s="61"/>
      <c r="CF1613" s="104"/>
      <c r="CG1613" s="105"/>
      <c r="FK1613" s="7"/>
    </row>
    <row r="1614" spans="1:167">
      <c r="A1614" s="571"/>
      <c r="B1614" s="1008"/>
      <c r="C1614" s="7"/>
      <c r="P1614" s="7"/>
      <c r="AX1614" s="7"/>
      <c r="BP1614" s="61"/>
      <c r="CF1614" s="104"/>
      <c r="CG1614" s="105"/>
      <c r="FK1614" s="7"/>
    </row>
    <row r="1615" spans="1:167">
      <c r="A1615" s="571"/>
      <c r="B1615" s="1008"/>
      <c r="C1615" s="7"/>
      <c r="P1615" s="7"/>
      <c r="AX1615" s="7"/>
      <c r="BP1615" s="61"/>
      <c r="CF1615" s="104"/>
      <c r="CG1615" s="105"/>
      <c r="FK1615" s="7"/>
    </row>
    <row r="1616" spans="1:167">
      <c r="A1616" s="571"/>
      <c r="B1616" s="1008"/>
      <c r="C1616" s="7"/>
      <c r="P1616" s="7"/>
      <c r="AX1616" s="7"/>
      <c r="BP1616" s="61"/>
      <c r="CF1616" s="104"/>
      <c r="CG1616" s="105"/>
      <c r="FK1616" s="7"/>
    </row>
    <row r="1617" spans="1:167">
      <c r="A1617" s="571"/>
      <c r="B1617" s="1008"/>
      <c r="C1617" s="7"/>
      <c r="P1617" s="7"/>
      <c r="AX1617" s="7"/>
      <c r="BP1617" s="61"/>
      <c r="CF1617" s="104"/>
      <c r="CG1617" s="105"/>
      <c r="FK1617" s="7"/>
    </row>
    <row r="1618" spans="1:167">
      <c r="A1618" s="571"/>
      <c r="B1618" s="1008"/>
      <c r="C1618" s="7"/>
      <c r="P1618" s="7"/>
      <c r="AX1618" s="7"/>
      <c r="BP1618" s="61"/>
      <c r="CF1618" s="104"/>
      <c r="CG1618" s="105"/>
      <c r="FK1618" s="7"/>
    </row>
    <row r="1619" spans="1:167">
      <c r="A1619" s="571"/>
      <c r="B1619" s="1008"/>
      <c r="C1619" s="7"/>
      <c r="P1619" s="7"/>
      <c r="AX1619" s="7"/>
      <c r="BP1619" s="61"/>
      <c r="CF1619" s="104"/>
      <c r="CG1619" s="105"/>
      <c r="FK1619" s="7"/>
    </row>
    <row r="1620" spans="1:167">
      <c r="A1620" s="571"/>
      <c r="B1620" s="1008"/>
      <c r="C1620" s="7"/>
      <c r="P1620" s="7"/>
      <c r="AX1620" s="7"/>
      <c r="BP1620" s="61"/>
      <c r="CF1620" s="104"/>
      <c r="CG1620" s="105"/>
      <c r="FK1620" s="7"/>
    </row>
    <row r="1621" spans="1:167">
      <c r="A1621" s="571"/>
      <c r="B1621" s="1008"/>
      <c r="C1621" s="7"/>
      <c r="P1621" s="7"/>
      <c r="AX1621" s="7"/>
      <c r="BP1621" s="61"/>
      <c r="CF1621" s="104"/>
      <c r="CG1621" s="105"/>
      <c r="FK1621" s="7"/>
    </row>
    <row r="1622" spans="1:167">
      <c r="A1622" s="571"/>
      <c r="B1622" s="1008"/>
      <c r="C1622" s="7"/>
      <c r="P1622" s="7"/>
      <c r="AX1622" s="7"/>
      <c r="BP1622" s="61"/>
      <c r="CF1622" s="104"/>
      <c r="CG1622" s="105"/>
      <c r="FK1622" s="7"/>
    </row>
    <row r="1623" spans="1:167">
      <c r="A1623" s="571"/>
      <c r="B1623" s="1008"/>
      <c r="C1623" s="7"/>
      <c r="P1623" s="7"/>
      <c r="AX1623" s="7"/>
      <c r="BP1623" s="61"/>
      <c r="CF1623" s="104"/>
      <c r="CG1623" s="105"/>
      <c r="FK1623" s="7"/>
    </row>
    <row r="1624" spans="1:167">
      <c r="A1624" s="571"/>
      <c r="B1624" s="1008"/>
      <c r="C1624" s="7"/>
      <c r="P1624" s="7"/>
      <c r="AX1624" s="7"/>
      <c r="BP1624" s="61"/>
      <c r="CF1624" s="104"/>
      <c r="CG1624" s="105"/>
      <c r="FK1624" s="7"/>
    </row>
    <row r="1625" spans="1:167">
      <c r="A1625" s="571"/>
      <c r="B1625" s="1008"/>
      <c r="C1625" s="7"/>
      <c r="P1625" s="7"/>
      <c r="AX1625" s="7"/>
      <c r="BP1625" s="61"/>
      <c r="CF1625" s="104"/>
      <c r="CG1625" s="105"/>
      <c r="FK1625" s="7"/>
    </row>
    <row r="1626" spans="1:167">
      <c r="A1626" s="571"/>
      <c r="B1626" s="1008"/>
      <c r="C1626" s="7"/>
      <c r="P1626" s="7"/>
      <c r="AX1626" s="7"/>
      <c r="BP1626" s="61"/>
      <c r="CF1626" s="104"/>
      <c r="CG1626" s="105"/>
      <c r="FK1626" s="7"/>
    </row>
    <row r="1627" spans="1:167">
      <c r="A1627" s="571"/>
      <c r="B1627" s="1008"/>
      <c r="C1627" s="7"/>
      <c r="P1627" s="7"/>
      <c r="AX1627" s="7"/>
      <c r="BP1627" s="61"/>
      <c r="CF1627" s="104"/>
      <c r="CG1627" s="105"/>
      <c r="FK1627" s="7"/>
    </row>
    <row r="1628" spans="1:167">
      <c r="A1628" s="571"/>
      <c r="B1628" s="1008"/>
      <c r="C1628" s="7"/>
      <c r="P1628" s="7"/>
      <c r="AX1628" s="7"/>
      <c r="BP1628" s="61"/>
      <c r="CF1628" s="104"/>
      <c r="CG1628" s="105"/>
      <c r="FK1628" s="7"/>
    </row>
    <row r="1629" spans="1:167">
      <c r="A1629" s="571"/>
      <c r="B1629" s="1008"/>
      <c r="C1629" s="7"/>
      <c r="P1629" s="7"/>
      <c r="AX1629" s="7"/>
      <c r="BP1629" s="61"/>
      <c r="CF1629" s="104"/>
      <c r="CG1629" s="105"/>
      <c r="FK1629" s="7"/>
    </row>
    <row r="1630" spans="1:167">
      <c r="A1630" s="571"/>
      <c r="B1630" s="1008"/>
      <c r="C1630" s="7"/>
      <c r="P1630" s="7"/>
      <c r="AX1630" s="7"/>
      <c r="BP1630" s="61"/>
      <c r="CF1630" s="104"/>
      <c r="CG1630" s="105"/>
      <c r="FK1630" s="7"/>
    </row>
    <row r="1631" spans="1:167">
      <c r="A1631" s="571"/>
      <c r="B1631" s="1008"/>
      <c r="C1631" s="7"/>
      <c r="P1631" s="7"/>
      <c r="AX1631" s="7"/>
      <c r="BP1631" s="61"/>
      <c r="CF1631" s="104"/>
      <c r="CG1631" s="105"/>
      <c r="FK1631" s="7"/>
    </row>
    <row r="1632" spans="1:167">
      <c r="A1632" s="571"/>
      <c r="B1632" s="1008"/>
      <c r="C1632" s="7"/>
      <c r="P1632" s="7"/>
      <c r="AX1632" s="7"/>
      <c r="BP1632" s="61"/>
      <c r="CF1632" s="104"/>
      <c r="CG1632" s="105"/>
      <c r="FK1632" s="7"/>
    </row>
    <row r="1633" spans="1:167">
      <c r="A1633" s="571"/>
      <c r="B1633" s="1008"/>
      <c r="C1633" s="7"/>
      <c r="P1633" s="7"/>
      <c r="AX1633" s="7"/>
      <c r="BP1633" s="61"/>
      <c r="CF1633" s="104"/>
      <c r="CG1633" s="105"/>
      <c r="FK1633" s="7"/>
    </row>
    <row r="1634" spans="1:167">
      <c r="A1634" s="571"/>
      <c r="B1634" s="1008"/>
      <c r="C1634" s="7"/>
      <c r="P1634" s="7"/>
      <c r="AX1634" s="7"/>
      <c r="BP1634" s="61"/>
      <c r="CF1634" s="104"/>
      <c r="CG1634" s="105"/>
      <c r="FK1634" s="7"/>
    </row>
    <row r="1635" spans="1:167">
      <c r="A1635" s="571"/>
      <c r="B1635" s="1008"/>
      <c r="C1635" s="7"/>
      <c r="P1635" s="7"/>
      <c r="AX1635" s="7"/>
      <c r="BP1635" s="61"/>
      <c r="CF1635" s="104"/>
      <c r="CG1635" s="105"/>
      <c r="FK1635" s="7"/>
    </row>
    <row r="1636" spans="1:167">
      <c r="A1636" s="571"/>
      <c r="B1636" s="1008"/>
      <c r="C1636" s="7"/>
      <c r="P1636" s="7"/>
      <c r="AX1636" s="7"/>
      <c r="BP1636" s="61"/>
      <c r="CF1636" s="104"/>
      <c r="CG1636" s="105"/>
      <c r="FK1636" s="7"/>
    </row>
    <row r="1637" spans="1:167">
      <c r="A1637" s="571"/>
      <c r="B1637" s="1008"/>
      <c r="C1637" s="7"/>
      <c r="P1637" s="7"/>
      <c r="AX1637" s="7"/>
      <c r="BP1637" s="61"/>
      <c r="CF1637" s="104"/>
      <c r="CG1637" s="105"/>
      <c r="FK1637" s="7"/>
    </row>
    <row r="1638" spans="1:167">
      <c r="A1638" s="571"/>
      <c r="B1638" s="1008"/>
      <c r="C1638" s="7"/>
      <c r="P1638" s="7"/>
      <c r="AX1638" s="7"/>
      <c r="BP1638" s="61"/>
      <c r="CF1638" s="104"/>
      <c r="CG1638" s="105"/>
      <c r="FK1638" s="7"/>
    </row>
    <row r="1639" spans="1:167">
      <c r="A1639" s="571"/>
      <c r="B1639" s="1008"/>
      <c r="C1639" s="7"/>
      <c r="P1639" s="7"/>
      <c r="AX1639" s="7"/>
      <c r="BP1639" s="61"/>
      <c r="CF1639" s="104"/>
      <c r="CG1639" s="105"/>
      <c r="FK1639" s="7"/>
    </row>
    <row r="1640" spans="1:167">
      <c r="A1640" s="571"/>
      <c r="B1640" s="1008"/>
      <c r="C1640" s="7"/>
      <c r="P1640" s="7"/>
      <c r="AX1640" s="7"/>
      <c r="BP1640" s="61"/>
      <c r="CF1640" s="104"/>
      <c r="CG1640" s="105"/>
      <c r="FK1640" s="7"/>
    </row>
    <row r="1641" spans="1:167">
      <c r="A1641" s="571"/>
      <c r="B1641" s="1008"/>
      <c r="C1641" s="7"/>
      <c r="P1641" s="7"/>
      <c r="AX1641" s="7"/>
      <c r="BP1641" s="61"/>
      <c r="CF1641" s="104"/>
      <c r="CG1641" s="105"/>
      <c r="FK1641" s="7"/>
    </row>
    <row r="1642" spans="1:167">
      <c r="A1642" s="571"/>
      <c r="B1642" s="1008"/>
      <c r="C1642" s="7"/>
      <c r="P1642" s="7"/>
      <c r="AX1642" s="7"/>
      <c r="BP1642" s="61"/>
      <c r="CF1642" s="104"/>
      <c r="CG1642" s="105"/>
      <c r="FK1642" s="7"/>
    </row>
    <row r="1643" spans="1:167">
      <c r="A1643" s="571"/>
      <c r="B1643" s="1008"/>
      <c r="C1643" s="7"/>
      <c r="P1643" s="7"/>
      <c r="AX1643" s="7"/>
      <c r="BP1643" s="61"/>
      <c r="CF1643" s="104"/>
      <c r="CG1643" s="105"/>
      <c r="FK1643" s="7"/>
    </row>
    <row r="1644" spans="1:167">
      <c r="A1644" s="571"/>
      <c r="B1644" s="1008"/>
      <c r="C1644" s="7"/>
      <c r="P1644" s="7"/>
      <c r="AX1644" s="7"/>
      <c r="BP1644" s="61"/>
      <c r="CF1644" s="104"/>
      <c r="CG1644" s="105"/>
      <c r="FK1644" s="7"/>
    </row>
    <row r="1645" spans="1:167">
      <c r="A1645" s="571"/>
      <c r="B1645" s="1008"/>
      <c r="C1645" s="7"/>
      <c r="P1645" s="7"/>
      <c r="AX1645" s="7"/>
      <c r="BP1645" s="61"/>
      <c r="CF1645" s="104"/>
      <c r="CG1645" s="105"/>
      <c r="FK1645" s="7"/>
    </row>
    <row r="1646" spans="1:167">
      <c r="A1646" s="571"/>
      <c r="B1646" s="1008"/>
      <c r="C1646" s="7"/>
      <c r="P1646" s="7"/>
      <c r="AX1646" s="7"/>
      <c r="BP1646" s="61"/>
      <c r="CF1646" s="104"/>
      <c r="CG1646" s="105"/>
      <c r="FK1646" s="7"/>
    </row>
    <row r="1647" spans="1:167">
      <c r="A1647" s="571"/>
      <c r="B1647" s="1008"/>
      <c r="C1647" s="7"/>
      <c r="P1647" s="7"/>
      <c r="AX1647" s="7"/>
      <c r="BP1647" s="61"/>
      <c r="CF1647" s="104"/>
      <c r="CG1647" s="105"/>
      <c r="FK1647" s="7"/>
    </row>
    <row r="1648" spans="1:167">
      <c r="A1648" s="571"/>
      <c r="B1648" s="1008"/>
      <c r="C1648" s="7"/>
      <c r="P1648" s="7"/>
      <c r="AX1648" s="7"/>
      <c r="BP1648" s="61"/>
      <c r="CF1648" s="104"/>
      <c r="CG1648" s="105"/>
      <c r="FK1648" s="7"/>
    </row>
    <row r="1649" spans="1:167">
      <c r="A1649" s="571"/>
      <c r="B1649" s="1008"/>
      <c r="C1649" s="7"/>
      <c r="P1649" s="7"/>
      <c r="AX1649" s="7"/>
      <c r="BP1649" s="61"/>
      <c r="CF1649" s="104"/>
      <c r="CG1649" s="105"/>
      <c r="FK1649" s="7"/>
    </row>
    <row r="1650" spans="1:167">
      <c r="A1650" s="571"/>
      <c r="B1650" s="1008"/>
      <c r="C1650" s="7"/>
      <c r="P1650" s="7"/>
      <c r="AX1650" s="7"/>
      <c r="BP1650" s="61"/>
      <c r="CF1650" s="104"/>
      <c r="CG1650" s="105"/>
      <c r="FK1650" s="7"/>
    </row>
    <row r="1651" spans="1:167">
      <c r="A1651" s="571"/>
      <c r="B1651" s="1008"/>
      <c r="C1651" s="7"/>
      <c r="P1651" s="7"/>
      <c r="AX1651" s="7"/>
      <c r="BP1651" s="61"/>
      <c r="CF1651" s="104"/>
      <c r="CG1651" s="105"/>
      <c r="FK1651" s="7"/>
    </row>
    <row r="1652" spans="1:167">
      <c r="A1652" s="571"/>
      <c r="B1652" s="1008"/>
      <c r="C1652" s="7"/>
      <c r="P1652" s="7"/>
      <c r="AX1652" s="7"/>
      <c r="BP1652" s="61"/>
      <c r="CF1652" s="104"/>
      <c r="CG1652" s="105"/>
      <c r="FK1652" s="7"/>
    </row>
    <row r="1653" spans="1:167">
      <c r="A1653" s="571"/>
      <c r="B1653" s="1008"/>
      <c r="C1653" s="7"/>
      <c r="P1653" s="7"/>
      <c r="AX1653" s="7"/>
      <c r="BP1653" s="61"/>
      <c r="CF1653" s="104"/>
      <c r="CG1653" s="105"/>
      <c r="FK1653" s="7"/>
    </row>
    <row r="1654" spans="1:167">
      <c r="A1654" s="571"/>
      <c r="B1654" s="1008"/>
      <c r="C1654" s="7"/>
      <c r="P1654" s="7"/>
      <c r="AX1654" s="7"/>
      <c r="BP1654" s="61"/>
      <c r="CF1654" s="104"/>
      <c r="CG1654" s="105"/>
      <c r="FK1654" s="7"/>
    </row>
    <row r="1655" spans="1:167">
      <c r="A1655" s="571"/>
      <c r="B1655" s="1008"/>
      <c r="C1655" s="7"/>
      <c r="P1655" s="7"/>
      <c r="AX1655" s="7"/>
      <c r="BP1655" s="61"/>
      <c r="CF1655" s="104"/>
      <c r="CG1655" s="105"/>
      <c r="FK1655" s="7"/>
    </row>
    <row r="1656" spans="1:167">
      <c r="A1656" s="571"/>
      <c r="B1656" s="1008"/>
      <c r="C1656" s="7"/>
      <c r="P1656" s="7"/>
      <c r="AX1656" s="7"/>
      <c r="BP1656" s="61"/>
      <c r="CF1656" s="104"/>
      <c r="CG1656" s="105"/>
      <c r="FK1656" s="7"/>
    </row>
    <row r="1657" spans="1:167">
      <c r="A1657" s="571"/>
      <c r="B1657" s="1008"/>
      <c r="C1657" s="7"/>
      <c r="P1657" s="7"/>
      <c r="AX1657" s="7"/>
      <c r="BP1657" s="61"/>
      <c r="CF1657" s="104"/>
      <c r="CG1657" s="105"/>
      <c r="FK1657" s="7"/>
    </row>
    <row r="1658" spans="1:167">
      <c r="A1658" s="571"/>
      <c r="B1658" s="1008"/>
      <c r="C1658" s="7"/>
      <c r="P1658" s="7"/>
      <c r="AX1658" s="7"/>
      <c r="BP1658" s="61"/>
      <c r="CF1658" s="104"/>
      <c r="CG1658" s="105"/>
      <c r="FK1658" s="7"/>
    </row>
    <row r="1659" spans="1:167">
      <c r="A1659" s="571"/>
      <c r="B1659" s="1008"/>
      <c r="C1659" s="7"/>
      <c r="P1659" s="7"/>
      <c r="AX1659" s="7"/>
      <c r="BP1659" s="61"/>
      <c r="CF1659" s="104"/>
      <c r="CG1659" s="105"/>
      <c r="FK1659" s="7"/>
    </row>
    <row r="1660" spans="1:167">
      <c r="A1660" s="571"/>
      <c r="B1660" s="1008"/>
      <c r="C1660" s="7"/>
      <c r="P1660" s="7"/>
      <c r="AX1660" s="7"/>
      <c r="BP1660" s="61"/>
      <c r="CF1660" s="104"/>
      <c r="CG1660" s="105"/>
      <c r="FK1660" s="7"/>
    </row>
    <row r="1661" spans="1:167">
      <c r="A1661" s="571"/>
      <c r="B1661" s="1008"/>
      <c r="C1661" s="7"/>
      <c r="P1661" s="7"/>
      <c r="AX1661" s="7"/>
      <c r="BP1661" s="61"/>
      <c r="CF1661" s="104"/>
      <c r="CG1661" s="105"/>
      <c r="FK1661" s="7"/>
    </row>
    <row r="1662" spans="1:167">
      <c r="A1662" s="571"/>
      <c r="B1662" s="1008"/>
      <c r="C1662" s="7"/>
      <c r="P1662" s="7"/>
      <c r="AX1662" s="7"/>
      <c r="BP1662" s="61"/>
      <c r="CF1662" s="104"/>
      <c r="CG1662" s="105"/>
      <c r="FK1662" s="7"/>
    </row>
    <row r="1663" spans="1:167">
      <c r="A1663" s="571"/>
      <c r="B1663" s="1008"/>
      <c r="C1663" s="7"/>
      <c r="P1663" s="7"/>
      <c r="AX1663" s="7"/>
      <c r="BP1663" s="61"/>
      <c r="CF1663" s="104"/>
      <c r="CG1663" s="105"/>
      <c r="FK1663" s="7"/>
    </row>
    <row r="1664" spans="1:167">
      <c r="A1664" s="571"/>
      <c r="B1664" s="1008"/>
      <c r="C1664" s="7"/>
      <c r="P1664" s="7"/>
      <c r="AX1664" s="7"/>
      <c r="BP1664" s="61"/>
      <c r="CF1664" s="104"/>
      <c r="CG1664" s="105"/>
      <c r="FK1664" s="7"/>
    </row>
    <row r="1665" spans="1:167">
      <c r="A1665" s="571"/>
      <c r="B1665" s="1008"/>
      <c r="C1665" s="7"/>
      <c r="P1665" s="7"/>
      <c r="AX1665" s="7"/>
      <c r="BP1665" s="61"/>
      <c r="CF1665" s="104"/>
      <c r="CG1665" s="105"/>
      <c r="FK1665" s="7"/>
    </row>
    <row r="1666" spans="1:167">
      <c r="A1666" s="571"/>
      <c r="B1666" s="1008"/>
      <c r="C1666" s="7"/>
      <c r="P1666" s="7"/>
      <c r="AX1666" s="7"/>
      <c r="BP1666" s="61"/>
      <c r="CF1666" s="104"/>
      <c r="CG1666" s="105"/>
      <c r="FK1666" s="7"/>
    </row>
    <row r="1667" spans="1:167">
      <c r="A1667" s="571"/>
      <c r="B1667" s="1008"/>
      <c r="C1667" s="7"/>
      <c r="P1667" s="7"/>
      <c r="AX1667" s="7"/>
      <c r="BP1667" s="61"/>
      <c r="CF1667" s="104"/>
      <c r="CG1667" s="105"/>
      <c r="FK1667" s="7"/>
    </row>
    <row r="1668" spans="1:167">
      <c r="A1668" s="571"/>
      <c r="B1668" s="1008"/>
      <c r="C1668" s="7"/>
      <c r="P1668" s="7"/>
      <c r="AX1668" s="7"/>
      <c r="BP1668" s="61"/>
      <c r="CF1668" s="104"/>
      <c r="CG1668" s="105"/>
      <c r="FK1668" s="7"/>
    </row>
    <row r="1669" spans="1:167">
      <c r="A1669" s="571"/>
      <c r="B1669" s="1008"/>
      <c r="C1669" s="7"/>
      <c r="P1669" s="7"/>
      <c r="AX1669" s="7"/>
      <c r="BP1669" s="61"/>
      <c r="CF1669" s="104"/>
      <c r="CG1669" s="105"/>
      <c r="FK1669" s="7"/>
    </row>
    <row r="1670" spans="1:167">
      <c r="A1670" s="571"/>
      <c r="B1670" s="1008"/>
      <c r="C1670" s="7"/>
      <c r="P1670" s="7"/>
      <c r="AX1670" s="7"/>
      <c r="BP1670" s="61"/>
      <c r="CF1670" s="104"/>
      <c r="CG1670" s="105"/>
      <c r="FK1670" s="7"/>
    </row>
    <row r="1671" spans="1:167">
      <c r="A1671" s="571"/>
      <c r="B1671" s="1008"/>
      <c r="C1671" s="7"/>
      <c r="P1671" s="7"/>
      <c r="AX1671" s="7"/>
      <c r="BP1671" s="61"/>
      <c r="CF1671" s="104"/>
      <c r="CG1671" s="105"/>
      <c r="FK1671" s="7"/>
    </row>
    <row r="1672" spans="1:167">
      <c r="A1672" s="571"/>
      <c r="B1672" s="1008"/>
      <c r="C1672" s="7"/>
      <c r="P1672" s="7"/>
      <c r="AX1672" s="7"/>
      <c r="BP1672" s="61"/>
      <c r="CF1672" s="104"/>
      <c r="CG1672" s="105"/>
      <c r="FK1672" s="7"/>
    </row>
    <row r="1673" spans="1:167">
      <c r="A1673" s="571"/>
      <c r="B1673" s="1008"/>
      <c r="C1673" s="7"/>
      <c r="P1673" s="7"/>
      <c r="AX1673" s="7"/>
      <c r="BP1673" s="61"/>
      <c r="CF1673" s="104"/>
      <c r="CG1673" s="105"/>
      <c r="FK1673" s="7"/>
    </row>
    <row r="1674" spans="1:167">
      <c r="A1674" s="571"/>
      <c r="B1674" s="1008"/>
      <c r="C1674" s="7"/>
      <c r="P1674" s="7"/>
      <c r="AX1674" s="7"/>
      <c r="BP1674" s="61"/>
      <c r="CF1674" s="104"/>
      <c r="CG1674" s="105"/>
      <c r="FK1674" s="7"/>
    </row>
    <row r="1675" spans="1:167">
      <c r="A1675" s="571"/>
      <c r="B1675" s="1008"/>
      <c r="C1675" s="7"/>
      <c r="P1675" s="7"/>
      <c r="AX1675" s="7"/>
      <c r="BP1675" s="61"/>
      <c r="CF1675" s="104"/>
      <c r="CG1675" s="105"/>
      <c r="FK1675" s="7"/>
    </row>
    <row r="1676" spans="1:167">
      <c r="A1676" s="571"/>
      <c r="B1676" s="1008"/>
      <c r="C1676" s="7"/>
      <c r="P1676" s="7"/>
      <c r="AX1676" s="7"/>
      <c r="BP1676" s="61"/>
      <c r="CF1676" s="104"/>
      <c r="CG1676" s="105"/>
      <c r="FK1676" s="7"/>
    </row>
    <row r="1677" spans="1:167">
      <c r="A1677" s="571"/>
      <c r="B1677" s="1008"/>
      <c r="C1677" s="7"/>
      <c r="P1677" s="7"/>
      <c r="AX1677" s="7"/>
      <c r="BP1677" s="61"/>
      <c r="CF1677" s="104"/>
      <c r="CG1677" s="105"/>
      <c r="FK1677" s="7"/>
    </row>
    <row r="1678" spans="1:167">
      <c r="A1678" s="571"/>
      <c r="B1678" s="1008"/>
      <c r="C1678" s="7"/>
      <c r="P1678" s="7"/>
      <c r="AX1678" s="7"/>
      <c r="BP1678" s="61"/>
      <c r="CF1678" s="104"/>
      <c r="CG1678" s="105"/>
      <c r="FK1678" s="7"/>
    </row>
    <row r="1679" spans="1:167">
      <c r="A1679" s="571"/>
      <c r="B1679" s="1008"/>
      <c r="C1679" s="7"/>
      <c r="P1679" s="7"/>
      <c r="AX1679" s="7"/>
      <c r="BP1679" s="61"/>
      <c r="CF1679" s="104"/>
      <c r="CG1679" s="105"/>
      <c r="FK1679" s="7"/>
    </row>
    <row r="1680" spans="1:167">
      <c r="A1680" s="571"/>
      <c r="B1680" s="1008"/>
      <c r="C1680" s="7"/>
      <c r="P1680" s="7"/>
      <c r="AX1680" s="7"/>
      <c r="BP1680" s="61"/>
      <c r="CF1680" s="104"/>
      <c r="CG1680" s="105"/>
      <c r="FK1680" s="7"/>
    </row>
    <row r="1681" spans="1:167">
      <c r="A1681" s="571"/>
      <c r="B1681" s="1008"/>
      <c r="C1681" s="7"/>
      <c r="P1681" s="7"/>
      <c r="AX1681" s="7"/>
      <c r="BP1681" s="61"/>
      <c r="CF1681" s="104"/>
      <c r="CG1681" s="105"/>
      <c r="FK1681" s="7"/>
    </row>
    <row r="1682" spans="1:167">
      <c r="A1682" s="571"/>
      <c r="B1682" s="1008"/>
      <c r="C1682" s="7"/>
      <c r="P1682" s="7"/>
      <c r="AX1682" s="7"/>
      <c r="BP1682" s="61"/>
      <c r="CF1682" s="104"/>
      <c r="CG1682" s="105"/>
      <c r="FK1682" s="7"/>
    </row>
    <row r="1683" spans="1:167">
      <c r="A1683" s="571"/>
      <c r="B1683" s="1008"/>
      <c r="C1683" s="7"/>
      <c r="P1683" s="7"/>
      <c r="AX1683" s="7"/>
      <c r="BP1683" s="61"/>
      <c r="CF1683" s="104"/>
      <c r="CG1683" s="105"/>
      <c r="FK1683" s="7"/>
    </row>
    <row r="1684" spans="1:167">
      <c r="A1684" s="571"/>
      <c r="B1684" s="1008"/>
      <c r="C1684" s="7"/>
      <c r="P1684" s="7"/>
      <c r="AX1684" s="7"/>
      <c r="BP1684" s="61"/>
      <c r="CF1684" s="104"/>
      <c r="CG1684" s="105"/>
      <c r="FK1684" s="7"/>
    </row>
    <row r="1685" spans="1:167">
      <c r="A1685" s="571"/>
      <c r="B1685" s="1008"/>
      <c r="C1685" s="7"/>
      <c r="P1685" s="7"/>
      <c r="AX1685" s="7"/>
      <c r="BP1685" s="61"/>
      <c r="CF1685" s="104"/>
      <c r="CG1685" s="105"/>
      <c r="FK1685" s="7"/>
    </row>
    <row r="1686" spans="1:167">
      <c r="A1686" s="571"/>
      <c r="B1686" s="1008"/>
      <c r="C1686" s="7"/>
      <c r="P1686" s="7"/>
      <c r="AX1686" s="7"/>
      <c r="BP1686" s="61"/>
      <c r="CF1686" s="104"/>
      <c r="CG1686" s="105"/>
      <c r="FK1686" s="7"/>
    </row>
    <row r="1687" spans="1:167">
      <c r="A1687" s="571"/>
      <c r="B1687" s="1008"/>
      <c r="C1687" s="7"/>
      <c r="P1687" s="7"/>
      <c r="AX1687" s="7"/>
      <c r="BP1687" s="61"/>
      <c r="CF1687" s="104"/>
      <c r="CG1687" s="105"/>
      <c r="FK1687" s="7"/>
    </row>
    <row r="1688" spans="1:167">
      <c r="A1688" s="571"/>
      <c r="B1688" s="1008"/>
      <c r="C1688" s="7"/>
      <c r="P1688" s="7"/>
      <c r="AX1688" s="7"/>
      <c r="BP1688" s="61"/>
      <c r="CF1688" s="104"/>
      <c r="CG1688" s="105"/>
      <c r="FK1688" s="7"/>
    </row>
    <row r="1689" spans="1:167">
      <c r="A1689" s="571"/>
      <c r="B1689" s="1008"/>
      <c r="C1689" s="7"/>
      <c r="P1689" s="7"/>
      <c r="AX1689" s="7"/>
      <c r="BP1689" s="61"/>
      <c r="CF1689" s="104"/>
      <c r="CG1689" s="105"/>
      <c r="FK1689" s="7"/>
    </row>
    <row r="1690" spans="1:167">
      <c r="A1690" s="571"/>
      <c r="B1690" s="1008"/>
      <c r="C1690" s="7"/>
      <c r="P1690" s="7"/>
      <c r="AX1690" s="7"/>
      <c r="BP1690" s="61"/>
      <c r="CF1690" s="104"/>
      <c r="CG1690" s="105"/>
      <c r="FK1690" s="7"/>
    </row>
    <row r="1691" spans="1:167">
      <c r="A1691" s="571"/>
      <c r="B1691" s="1008"/>
      <c r="C1691" s="7"/>
      <c r="P1691" s="7"/>
      <c r="AX1691" s="7"/>
      <c r="BP1691" s="61"/>
      <c r="CF1691" s="104"/>
      <c r="CG1691" s="105"/>
      <c r="FK1691" s="7"/>
    </row>
    <row r="1692" spans="1:167">
      <c r="A1692" s="571"/>
      <c r="B1692" s="1008"/>
      <c r="C1692" s="7"/>
      <c r="P1692" s="7"/>
      <c r="AX1692" s="7"/>
      <c r="BP1692" s="61"/>
      <c r="CF1692" s="104"/>
      <c r="CG1692" s="105"/>
      <c r="FK1692" s="7"/>
    </row>
    <row r="1693" spans="1:167">
      <c r="A1693" s="571"/>
      <c r="B1693" s="1008"/>
      <c r="C1693" s="7"/>
      <c r="P1693" s="7"/>
      <c r="AX1693" s="7"/>
      <c r="BP1693" s="61"/>
      <c r="CF1693" s="104"/>
      <c r="CG1693" s="105"/>
      <c r="FK1693" s="7"/>
    </row>
    <row r="1694" spans="1:167">
      <c r="A1694" s="571"/>
      <c r="B1694" s="1008"/>
      <c r="C1694" s="7"/>
      <c r="P1694" s="7"/>
      <c r="AX1694" s="7"/>
      <c r="BP1694" s="61"/>
      <c r="CF1694" s="104"/>
      <c r="CG1694" s="105"/>
      <c r="FK1694" s="7"/>
    </row>
    <row r="1695" spans="1:167">
      <c r="A1695" s="571"/>
      <c r="B1695" s="1008"/>
      <c r="C1695" s="7"/>
      <c r="P1695" s="7"/>
      <c r="AX1695" s="7"/>
      <c r="BP1695" s="61"/>
      <c r="CF1695" s="104"/>
      <c r="CG1695" s="105"/>
      <c r="FK1695" s="7"/>
    </row>
    <row r="1696" spans="1:167">
      <c r="A1696" s="571"/>
      <c r="B1696" s="1008"/>
      <c r="C1696" s="7"/>
      <c r="P1696" s="7"/>
      <c r="AX1696" s="7"/>
      <c r="BP1696" s="61"/>
      <c r="CF1696" s="104"/>
      <c r="CG1696" s="105"/>
      <c r="FK1696" s="7"/>
    </row>
    <row r="1697" spans="1:167">
      <c r="A1697" s="571"/>
      <c r="B1697" s="1008"/>
      <c r="C1697" s="7"/>
      <c r="P1697" s="7"/>
      <c r="AX1697" s="7"/>
      <c r="BP1697" s="61"/>
      <c r="CF1697" s="104"/>
      <c r="CG1697" s="105"/>
      <c r="FK1697" s="7"/>
    </row>
    <row r="1698" spans="1:167">
      <c r="A1698" s="571"/>
      <c r="B1698" s="1008"/>
      <c r="C1698" s="7"/>
      <c r="P1698" s="7"/>
      <c r="AX1698" s="7"/>
      <c r="BP1698" s="61"/>
      <c r="CF1698" s="104"/>
      <c r="CG1698" s="105"/>
      <c r="FK1698" s="7"/>
    </row>
    <row r="1699" spans="1:167">
      <c r="A1699" s="571"/>
      <c r="B1699" s="1008"/>
      <c r="C1699" s="7"/>
      <c r="P1699" s="7"/>
      <c r="AX1699" s="7"/>
      <c r="BP1699" s="61"/>
      <c r="CF1699" s="104"/>
      <c r="CG1699" s="105"/>
      <c r="FK1699" s="7"/>
    </row>
    <row r="1700" spans="1:167">
      <c r="A1700" s="571"/>
      <c r="B1700" s="1008"/>
      <c r="C1700" s="7"/>
      <c r="P1700" s="7"/>
      <c r="AX1700" s="7"/>
      <c r="BP1700" s="61"/>
      <c r="CF1700" s="104"/>
      <c r="CG1700" s="105"/>
      <c r="FK1700" s="7"/>
    </row>
    <row r="1701" spans="1:167">
      <c r="A1701" s="571"/>
      <c r="B1701" s="1008"/>
      <c r="C1701" s="7"/>
      <c r="P1701" s="7"/>
      <c r="AX1701" s="7"/>
      <c r="BP1701" s="61"/>
      <c r="CF1701" s="104"/>
      <c r="CG1701" s="105"/>
      <c r="FK1701" s="7"/>
    </row>
    <row r="1702" spans="1:167">
      <c r="A1702" s="571"/>
      <c r="B1702" s="1008"/>
      <c r="C1702" s="7"/>
      <c r="P1702" s="7"/>
      <c r="AX1702" s="7"/>
      <c r="BP1702" s="61"/>
      <c r="CF1702" s="104"/>
      <c r="CG1702" s="105"/>
      <c r="FK1702" s="7"/>
    </row>
    <row r="1703" spans="1:167">
      <c r="A1703" s="571"/>
      <c r="B1703" s="1008"/>
      <c r="C1703" s="7"/>
      <c r="P1703" s="7"/>
      <c r="AX1703" s="7"/>
      <c r="BP1703" s="61"/>
      <c r="CF1703" s="104"/>
      <c r="CG1703" s="105"/>
      <c r="FK1703" s="7"/>
    </row>
    <row r="1704" spans="1:167">
      <c r="A1704" s="571"/>
      <c r="B1704" s="1008"/>
      <c r="C1704" s="7"/>
      <c r="P1704" s="7"/>
      <c r="AX1704" s="7"/>
      <c r="BP1704" s="61"/>
      <c r="CF1704" s="104"/>
      <c r="CG1704" s="105"/>
      <c r="FK1704" s="7"/>
    </row>
    <row r="1705" spans="1:167">
      <c r="A1705" s="571"/>
      <c r="B1705" s="1008"/>
      <c r="C1705" s="7"/>
      <c r="P1705" s="7"/>
      <c r="AX1705" s="7"/>
      <c r="BP1705" s="61"/>
      <c r="CF1705" s="104"/>
      <c r="CG1705" s="105"/>
      <c r="FK1705" s="7"/>
    </row>
    <row r="1706" spans="1:167">
      <c r="A1706" s="571"/>
      <c r="B1706" s="1008"/>
      <c r="C1706" s="7"/>
      <c r="P1706" s="7"/>
      <c r="AX1706" s="7"/>
      <c r="BP1706" s="61"/>
      <c r="CF1706" s="104"/>
      <c r="CG1706" s="105"/>
      <c r="FK1706" s="7"/>
    </row>
    <row r="1707" spans="1:167">
      <c r="A1707" s="571"/>
      <c r="B1707" s="1008"/>
      <c r="C1707" s="7"/>
      <c r="P1707" s="7"/>
      <c r="AX1707" s="7"/>
      <c r="BP1707" s="61"/>
      <c r="CF1707" s="104"/>
      <c r="CG1707" s="105"/>
      <c r="FK1707" s="7"/>
    </row>
    <row r="1708" spans="1:167">
      <c r="A1708" s="571"/>
      <c r="B1708" s="1008"/>
      <c r="C1708" s="7"/>
      <c r="P1708" s="7"/>
      <c r="AX1708" s="7"/>
      <c r="BP1708" s="61"/>
      <c r="CF1708" s="104"/>
      <c r="CG1708" s="105"/>
      <c r="FK1708" s="7"/>
    </row>
    <row r="1709" spans="1:167">
      <c r="A1709" s="571"/>
      <c r="B1709" s="1008"/>
      <c r="C1709" s="7"/>
      <c r="P1709" s="7"/>
      <c r="AX1709" s="7"/>
      <c r="BP1709" s="61"/>
      <c r="CF1709" s="104"/>
      <c r="CG1709" s="105"/>
      <c r="FK1709" s="7"/>
    </row>
    <row r="1710" spans="1:167">
      <c r="A1710" s="571"/>
      <c r="B1710" s="1008"/>
      <c r="C1710" s="7"/>
      <c r="P1710" s="7"/>
      <c r="AX1710" s="7"/>
      <c r="BP1710" s="61"/>
      <c r="CF1710" s="104"/>
      <c r="CG1710" s="105"/>
      <c r="FK1710" s="7"/>
    </row>
    <row r="1711" spans="1:167">
      <c r="A1711" s="571"/>
      <c r="B1711" s="1008"/>
      <c r="C1711" s="7"/>
      <c r="P1711" s="7"/>
      <c r="AX1711" s="7"/>
      <c r="BP1711" s="61"/>
      <c r="CF1711" s="104"/>
      <c r="CG1711" s="105"/>
      <c r="FK1711" s="7"/>
    </row>
    <row r="1712" spans="1:167">
      <c r="A1712" s="571"/>
      <c r="B1712" s="1008"/>
      <c r="C1712" s="7"/>
      <c r="P1712" s="7"/>
      <c r="AX1712" s="7"/>
      <c r="BP1712" s="61"/>
      <c r="CF1712" s="104"/>
      <c r="CG1712" s="105"/>
      <c r="FK1712" s="7"/>
    </row>
    <row r="1713" spans="1:167">
      <c r="A1713" s="571"/>
      <c r="B1713" s="1008"/>
      <c r="C1713" s="7"/>
      <c r="P1713" s="7"/>
      <c r="AX1713" s="7"/>
      <c r="BP1713" s="61"/>
      <c r="CF1713" s="104"/>
      <c r="CG1713" s="105"/>
      <c r="FK1713" s="7"/>
    </row>
    <row r="1714" spans="1:167">
      <c r="A1714" s="571"/>
      <c r="B1714" s="1008"/>
      <c r="C1714" s="7"/>
      <c r="P1714" s="7"/>
      <c r="AX1714" s="7"/>
      <c r="BP1714" s="61"/>
      <c r="CF1714" s="104"/>
      <c r="CG1714" s="105"/>
      <c r="FK1714" s="7"/>
    </row>
    <row r="1715" spans="1:167">
      <c r="A1715" s="571"/>
      <c r="B1715" s="1008"/>
      <c r="C1715" s="7"/>
      <c r="P1715" s="7"/>
      <c r="AX1715" s="7"/>
      <c r="BP1715" s="61"/>
      <c r="CF1715" s="104"/>
      <c r="CG1715" s="105"/>
      <c r="FK1715" s="7"/>
    </row>
    <row r="1716" spans="1:167">
      <c r="A1716" s="571"/>
      <c r="B1716" s="1008"/>
      <c r="C1716" s="7"/>
      <c r="P1716" s="7"/>
      <c r="AX1716" s="7"/>
      <c r="BP1716" s="61"/>
      <c r="CF1716" s="104"/>
      <c r="CG1716" s="105"/>
      <c r="FK1716" s="7"/>
    </row>
    <row r="1717" spans="1:167">
      <c r="A1717" s="571"/>
      <c r="B1717" s="1008"/>
      <c r="C1717" s="7"/>
      <c r="P1717" s="7"/>
      <c r="AX1717" s="7"/>
      <c r="BP1717" s="61"/>
      <c r="CF1717" s="104"/>
      <c r="CG1717" s="105"/>
      <c r="FK1717" s="7"/>
    </row>
    <row r="1718" spans="1:167">
      <c r="A1718" s="571"/>
      <c r="B1718" s="1008"/>
      <c r="C1718" s="7"/>
      <c r="P1718" s="7"/>
      <c r="AX1718" s="7"/>
      <c r="BP1718" s="61"/>
      <c r="CF1718" s="104"/>
      <c r="CG1718" s="105"/>
      <c r="FK1718" s="7"/>
    </row>
    <row r="1719" spans="1:167">
      <c r="A1719" s="571"/>
      <c r="B1719" s="1008"/>
      <c r="C1719" s="7"/>
      <c r="P1719" s="7"/>
      <c r="AX1719" s="7"/>
      <c r="BP1719" s="61"/>
      <c r="CF1719" s="104"/>
      <c r="CG1719" s="105"/>
      <c r="FK1719" s="7"/>
    </row>
    <row r="1720" spans="1:167">
      <c r="A1720" s="571"/>
      <c r="B1720" s="1008"/>
      <c r="C1720" s="7"/>
      <c r="P1720" s="7"/>
      <c r="AX1720" s="7"/>
      <c r="BP1720" s="61"/>
      <c r="CF1720" s="104"/>
      <c r="CG1720" s="105"/>
      <c r="FK1720" s="7"/>
    </row>
    <row r="1721" spans="1:167">
      <c r="A1721" s="571"/>
      <c r="B1721" s="1008"/>
      <c r="C1721" s="7"/>
      <c r="P1721" s="7"/>
      <c r="AX1721" s="7"/>
      <c r="BP1721" s="61"/>
      <c r="CF1721" s="104"/>
      <c r="CG1721" s="105"/>
      <c r="FK1721" s="7"/>
    </row>
    <row r="1722" spans="1:167">
      <c r="A1722" s="571"/>
      <c r="B1722" s="1008"/>
      <c r="C1722" s="7"/>
      <c r="P1722" s="7"/>
      <c r="AX1722" s="7"/>
      <c r="BP1722" s="61"/>
      <c r="CF1722" s="104"/>
      <c r="CG1722" s="105"/>
      <c r="FK1722" s="7"/>
    </row>
    <row r="1723" spans="1:167">
      <c r="A1723" s="571"/>
      <c r="B1723" s="1008"/>
      <c r="C1723" s="7"/>
      <c r="P1723" s="7"/>
      <c r="AX1723" s="7"/>
      <c r="BP1723" s="61"/>
      <c r="CF1723" s="104"/>
      <c r="CG1723" s="105"/>
      <c r="FK1723" s="7"/>
    </row>
    <row r="1724" spans="1:167">
      <c r="A1724" s="571"/>
      <c r="B1724" s="1008"/>
      <c r="C1724" s="7"/>
      <c r="P1724" s="7"/>
      <c r="AX1724" s="7"/>
      <c r="BP1724" s="61"/>
      <c r="CF1724" s="104"/>
      <c r="CG1724" s="105"/>
      <c r="FK1724" s="7"/>
    </row>
    <row r="1725" spans="1:167">
      <c r="A1725" s="571"/>
      <c r="B1725" s="1008"/>
      <c r="C1725" s="7"/>
      <c r="P1725" s="7"/>
      <c r="AX1725" s="7"/>
      <c r="BP1725" s="61"/>
      <c r="CF1725" s="104"/>
      <c r="CG1725" s="105"/>
      <c r="FK1725" s="7"/>
    </row>
    <row r="1726" spans="1:167">
      <c r="A1726" s="571"/>
      <c r="B1726" s="1008"/>
      <c r="C1726" s="7"/>
      <c r="P1726" s="7"/>
      <c r="AX1726" s="7"/>
      <c r="BP1726" s="61"/>
      <c r="CF1726" s="104"/>
      <c r="CG1726" s="105"/>
      <c r="FK1726" s="7"/>
    </row>
    <row r="1727" spans="1:167">
      <c r="A1727" s="571"/>
      <c r="B1727" s="1008"/>
      <c r="C1727" s="7"/>
      <c r="P1727" s="7"/>
      <c r="AX1727" s="7"/>
      <c r="BP1727" s="61"/>
      <c r="CF1727" s="104"/>
      <c r="CG1727" s="105"/>
      <c r="FK1727" s="7"/>
    </row>
    <row r="1728" spans="1:167">
      <c r="A1728" s="571"/>
      <c r="B1728" s="1008"/>
      <c r="C1728" s="7"/>
      <c r="P1728" s="7"/>
      <c r="AX1728" s="7"/>
      <c r="BP1728" s="61"/>
      <c r="CF1728" s="104"/>
      <c r="CG1728" s="105"/>
      <c r="FK1728" s="7"/>
    </row>
    <row r="1729" spans="1:167">
      <c r="A1729" s="571"/>
      <c r="B1729" s="1008"/>
      <c r="C1729" s="7"/>
      <c r="P1729" s="7"/>
      <c r="AX1729" s="7"/>
      <c r="BP1729" s="61"/>
      <c r="CF1729" s="104"/>
      <c r="CG1729" s="105"/>
      <c r="FK1729" s="7"/>
    </row>
    <row r="1730" spans="1:167">
      <c r="A1730" s="571"/>
      <c r="B1730" s="1008"/>
      <c r="C1730" s="7"/>
      <c r="P1730" s="7"/>
      <c r="AX1730" s="7"/>
      <c r="BP1730" s="61"/>
      <c r="CF1730" s="104"/>
      <c r="CG1730" s="105"/>
      <c r="FK1730" s="7"/>
    </row>
    <row r="1731" spans="1:167">
      <c r="A1731" s="571"/>
      <c r="B1731" s="1008"/>
      <c r="C1731" s="7"/>
      <c r="P1731" s="7"/>
      <c r="AX1731" s="7"/>
      <c r="BP1731" s="61"/>
      <c r="CF1731" s="104"/>
      <c r="CG1731" s="105"/>
      <c r="FK1731" s="7"/>
    </row>
    <row r="1732" spans="1:167">
      <c r="A1732" s="571"/>
      <c r="B1732" s="1008"/>
      <c r="C1732" s="7"/>
      <c r="P1732" s="7"/>
      <c r="AX1732" s="7"/>
      <c r="BP1732" s="61"/>
      <c r="CF1732" s="104"/>
      <c r="CG1732" s="105"/>
      <c r="FK1732" s="7"/>
    </row>
    <row r="1733" spans="1:167">
      <c r="A1733" s="571"/>
      <c r="B1733" s="1008"/>
      <c r="C1733" s="7"/>
      <c r="P1733" s="7"/>
      <c r="AX1733" s="7"/>
      <c r="BP1733" s="61"/>
      <c r="CF1733" s="104"/>
      <c r="CG1733" s="105"/>
      <c r="FK1733" s="7"/>
    </row>
    <row r="1734" spans="1:167">
      <c r="A1734" s="571"/>
      <c r="B1734" s="1008"/>
      <c r="C1734" s="7"/>
      <c r="P1734" s="7"/>
      <c r="AX1734" s="7"/>
      <c r="BP1734" s="61"/>
      <c r="CF1734" s="104"/>
      <c r="CG1734" s="105"/>
      <c r="FK1734" s="7"/>
    </row>
    <row r="1735" spans="1:167">
      <c r="A1735" s="571"/>
      <c r="B1735" s="1008"/>
      <c r="C1735" s="7"/>
      <c r="P1735" s="7"/>
      <c r="AX1735" s="7"/>
      <c r="BP1735" s="61"/>
      <c r="CF1735" s="104"/>
      <c r="CG1735" s="105"/>
      <c r="FK1735" s="7"/>
    </row>
    <row r="1736" spans="1:167">
      <c r="A1736" s="571"/>
      <c r="B1736" s="1008"/>
      <c r="C1736" s="7"/>
      <c r="P1736" s="7"/>
      <c r="AX1736" s="7"/>
      <c r="BP1736" s="61"/>
      <c r="CF1736" s="104"/>
      <c r="CG1736" s="105"/>
      <c r="FK1736" s="7"/>
    </row>
    <row r="1737" spans="1:167">
      <c r="A1737" s="571"/>
      <c r="B1737" s="1008"/>
      <c r="C1737" s="7"/>
      <c r="P1737" s="7"/>
      <c r="AX1737" s="7"/>
      <c r="BP1737" s="61"/>
      <c r="CF1737" s="104"/>
      <c r="CG1737" s="105"/>
      <c r="FK1737" s="7"/>
    </row>
    <row r="1738" spans="1:167">
      <c r="A1738" s="571"/>
      <c r="B1738" s="1008"/>
      <c r="C1738" s="7"/>
      <c r="P1738" s="7"/>
      <c r="AX1738" s="7"/>
      <c r="BP1738" s="61"/>
      <c r="CF1738" s="104"/>
      <c r="CG1738" s="105"/>
      <c r="FK1738" s="7"/>
    </row>
    <row r="1739" spans="1:167">
      <c r="A1739" s="571"/>
      <c r="B1739" s="1008"/>
      <c r="C1739" s="7"/>
      <c r="P1739" s="7"/>
      <c r="AX1739" s="7"/>
      <c r="BP1739" s="61"/>
      <c r="CF1739" s="104"/>
      <c r="CG1739" s="105"/>
      <c r="FK1739" s="7"/>
    </row>
    <row r="1740" spans="1:167">
      <c r="A1740" s="571"/>
      <c r="B1740" s="1008"/>
      <c r="C1740" s="7"/>
      <c r="P1740" s="7"/>
      <c r="AX1740" s="7"/>
      <c r="BP1740" s="61"/>
      <c r="CF1740" s="104"/>
      <c r="CG1740" s="105"/>
      <c r="FK1740" s="7"/>
    </row>
    <row r="1741" spans="1:167">
      <c r="A1741" s="571"/>
      <c r="B1741" s="1008"/>
      <c r="C1741" s="7"/>
      <c r="P1741" s="7"/>
      <c r="AX1741" s="7"/>
      <c r="BP1741" s="61"/>
      <c r="CF1741" s="104"/>
      <c r="CG1741" s="105"/>
      <c r="FK1741" s="7"/>
    </row>
    <row r="1742" spans="1:167">
      <c r="A1742" s="571"/>
      <c r="B1742" s="1008"/>
      <c r="C1742" s="7"/>
      <c r="P1742" s="7"/>
      <c r="AX1742" s="7"/>
      <c r="BP1742" s="61"/>
      <c r="CF1742" s="104"/>
      <c r="CG1742" s="105"/>
      <c r="FK1742" s="7"/>
    </row>
    <row r="1743" spans="1:167">
      <c r="A1743" s="571"/>
      <c r="B1743" s="1008"/>
      <c r="C1743" s="7"/>
      <c r="P1743" s="7"/>
      <c r="AX1743" s="7"/>
      <c r="BP1743" s="61"/>
      <c r="CF1743" s="104"/>
      <c r="CG1743" s="105"/>
      <c r="FK1743" s="7"/>
    </row>
    <row r="1744" spans="1:167">
      <c r="A1744" s="571"/>
      <c r="B1744" s="1008"/>
      <c r="C1744" s="7"/>
      <c r="P1744" s="7"/>
      <c r="AX1744" s="7"/>
      <c r="BP1744" s="61"/>
      <c r="CF1744" s="104"/>
      <c r="CG1744" s="105"/>
      <c r="FK1744" s="7"/>
    </row>
    <row r="1745" spans="1:167">
      <c r="A1745" s="571"/>
      <c r="B1745" s="1008"/>
      <c r="C1745" s="7"/>
      <c r="P1745" s="7"/>
      <c r="AX1745" s="7"/>
      <c r="BP1745" s="61"/>
      <c r="CF1745" s="104"/>
      <c r="CG1745" s="105"/>
      <c r="FK1745" s="7"/>
    </row>
    <row r="1746" spans="1:167">
      <c r="A1746" s="571"/>
      <c r="B1746" s="1008"/>
      <c r="C1746" s="7"/>
      <c r="P1746" s="7"/>
      <c r="AX1746" s="7"/>
      <c r="BP1746" s="61"/>
      <c r="CF1746" s="104"/>
      <c r="CG1746" s="105"/>
      <c r="FK1746" s="7"/>
    </row>
    <row r="1747" spans="1:167">
      <c r="A1747" s="571"/>
      <c r="B1747" s="1008"/>
      <c r="C1747" s="7"/>
      <c r="P1747" s="7"/>
      <c r="AX1747" s="7"/>
      <c r="BP1747" s="61"/>
      <c r="CF1747" s="104"/>
      <c r="CG1747" s="105"/>
      <c r="FK1747" s="7"/>
    </row>
    <row r="1748" spans="1:167">
      <c r="A1748" s="571"/>
      <c r="B1748" s="1008"/>
      <c r="C1748" s="7"/>
      <c r="P1748" s="7"/>
      <c r="AX1748" s="7"/>
      <c r="BP1748" s="61"/>
      <c r="CF1748" s="104"/>
      <c r="CG1748" s="105"/>
      <c r="FK1748" s="7"/>
    </row>
    <row r="1749" spans="1:167">
      <c r="A1749" s="571"/>
      <c r="B1749" s="1008"/>
      <c r="C1749" s="7"/>
      <c r="P1749" s="7"/>
      <c r="AX1749" s="7"/>
      <c r="BP1749" s="61"/>
      <c r="CF1749" s="104"/>
      <c r="CG1749" s="105"/>
      <c r="FK1749" s="7"/>
    </row>
    <row r="1750" spans="1:167">
      <c r="A1750" s="571"/>
      <c r="B1750" s="1008"/>
      <c r="C1750" s="7"/>
      <c r="P1750" s="7"/>
      <c r="AX1750" s="7"/>
      <c r="BP1750" s="61"/>
      <c r="CF1750" s="104"/>
      <c r="CG1750" s="105"/>
      <c r="FK1750" s="7"/>
    </row>
    <row r="1751" spans="1:167">
      <c r="A1751" s="571"/>
      <c r="B1751" s="1008"/>
      <c r="C1751" s="7"/>
      <c r="P1751" s="7"/>
      <c r="AX1751" s="7"/>
      <c r="BP1751" s="61"/>
      <c r="CF1751" s="104"/>
      <c r="CG1751" s="105"/>
      <c r="FK1751" s="7"/>
    </row>
    <row r="1752" spans="1:167">
      <c r="A1752" s="571"/>
      <c r="B1752" s="1008"/>
      <c r="C1752" s="7"/>
      <c r="P1752" s="7"/>
      <c r="AX1752" s="7"/>
      <c r="BP1752" s="61"/>
      <c r="CF1752" s="104"/>
      <c r="CG1752" s="105"/>
      <c r="FK1752" s="7"/>
    </row>
    <row r="1753" spans="1:167">
      <c r="A1753" s="571"/>
      <c r="B1753" s="1008"/>
      <c r="C1753" s="7"/>
      <c r="P1753" s="7"/>
      <c r="AX1753" s="7"/>
      <c r="BP1753" s="61"/>
      <c r="CF1753" s="104"/>
      <c r="CG1753" s="105"/>
      <c r="FK1753" s="7"/>
    </row>
    <row r="1754" spans="1:167">
      <c r="A1754" s="571"/>
      <c r="B1754" s="1008"/>
      <c r="C1754" s="7"/>
      <c r="P1754" s="7"/>
      <c r="AX1754" s="7"/>
      <c r="BP1754" s="61"/>
      <c r="CF1754" s="104"/>
      <c r="CG1754" s="105"/>
      <c r="FK1754" s="7"/>
    </row>
    <row r="1755" spans="1:167">
      <c r="A1755" s="571"/>
      <c r="B1755" s="1008"/>
      <c r="C1755" s="7"/>
      <c r="P1755" s="7"/>
      <c r="AX1755" s="7"/>
      <c r="BP1755" s="61"/>
      <c r="CF1755" s="104"/>
      <c r="CG1755" s="105"/>
      <c r="FK1755" s="7"/>
    </row>
    <row r="1756" spans="1:167">
      <c r="A1756" s="571"/>
      <c r="B1756" s="1008"/>
      <c r="C1756" s="7"/>
      <c r="P1756" s="7"/>
      <c r="AX1756" s="7"/>
      <c r="BP1756" s="61"/>
      <c r="CF1756" s="104"/>
      <c r="CG1756" s="105"/>
      <c r="FK1756" s="7"/>
    </row>
    <row r="1757" spans="1:167">
      <c r="A1757" s="571"/>
      <c r="B1757" s="1008"/>
      <c r="C1757" s="7"/>
      <c r="P1757" s="7"/>
      <c r="AX1757" s="7"/>
      <c r="BP1757" s="61"/>
      <c r="CF1757" s="104"/>
      <c r="CG1757" s="105"/>
      <c r="FK1757" s="7"/>
    </row>
    <row r="1758" spans="1:167">
      <c r="A1758" s="571"/>
      <c r="B1758" s="1008"/>
      <c r="C1758" s="7"/>
      <c r="P1758" s="7"/>
      <c r="AX1758" s="7"/>
      <c r="BP1758" s="61"/>
      <c r="CF1758" s="104"/>
      <c r="CG1758" s="105"/>
      <c r="FK1758" s="7"/>
    </row>
    <row r="1759" spans="1:167">
      <c r="A1759" s="571"/>
      <c r="B1759" s="1008"/>
      <c r="C1759" s="7"/>
      <c r="P1759" s="7"/>
      <c r="AX1759" s="7"/>
      <c r="BP1759" s="61"/>
      <c r="CF1759" s="104"/>
      <c r="CG1759" s="105"/>
      <c r="FK1759" s="7"/>
    </row>
    <row r="1760" spans="1:167">
      <c r="A1760" s="571"/>
      <c r="B1760" s="1008"/>
      <c r="C1760" s="7"/>
      <c r="P1760" s="7"/>
      <c r="AX1760" s="7"/>
      <c r="BP1760" s="61"/>
      <c r="CF1760" s="104"/>
      <c r="CG1760" s="105"/>
      <c r="FK1760" s="7"/>
    </row>
    <row r="1761" spans="1:167">
      <c r="A1761" s="571"/>
      <c r="B1761" s="1008"/>
      <c r="C1761" s="7"/>
      <c r="P1761" s="7"/>
      <c r="AX1761" s="7"/>
      <c r="BP1761" s="61"/>
      <c r="CF1761" s="104"/>
      <c r="CG1761" s="105"/>
      <c r="FK1761" s="7"/>
    </row>
    <row r="1762" spans="1:167">
      <c r="A1762" s="571"/>
      <c r="B1762" s="1008"/>
      <c r="C1762" s="7"/>
      <c r="P1762" s="7"/>
      <c r="AX1762" s="7"/>
      <c r="BP1762" s="61"/>
      <c r="CF1762" s="104"/>
      <c r="CG1762" s="105"/>
      <c r="FK1762" s="7"/>
    </row>
    <row r="1763" spans="1:167">
      <c r="A1763" s="571"/>
      <c r="B1763" s="1008"/>
      <c r="C1763" s="7"/>
      <c r="P1763" s="7"/>
      <c r="AX1763" s="7"/>
      <c r="BP1763" s="61"/>
      <c r="CF1763" s="104"/>
      <c r="CG1763" s="105"/>
      <c r="FK1763" s="7"/>
    </row>
    <row r="1764" spans="1:167">
      <c r="A1764" s="571"/>
      <c r="B1764" s="1008"/>
      <c r="C1764" s="7"/>
      <c r="P1764" s="7"/>
      <c r="AX1764" s="7"/>
      <c r="BP1764" s="61"/>
      <c r="CF1764" s="104"/>
      <c r="CG1764" s="105"/>
      <c r="FK1764" s="7"/>
    </row>
    <row r="1765" spans="1:167">
      <c r="A1765" s="571"/>
      <c r="B1765" s="1008"/>
      <c r="C1765" s="7"/>
      <c r="P1765" s="7"/>
      <c r="AX1765" s="7"/>
      <c r="BP1765" s="61"/>
      <c r="CF1765" s="104"/>
      <c r="CG1765" s="105"/>
      <c r="FK1765" s="7"/>
    </row>
    <row r="1766" spans="1:167">
      <c r="A1766" s="571"/>
      <c r="B1766" s="1008"/>
      <c r="C1766" s="7"/>
      <c r="P1766" s="7"/>
      <c r="AX1766" s="7"/>
      <c r="BP1766" s="61"/>
      <c r="CF1766" s="104"/>
      <c r="CG1766" s="105"/>
      <c r="FK1766" s="7"/>
    </row>
    <row r="1767" spans="1:167">
      <c r="A1767" s="571"/>
      <c r="B1767" s="1008"/>
      <c r="C1767" s="7"/>
      <c r="P1767" s="7"/>
      <c r="AX1767" s="7"/>
      <c r="BP1767" s="61"/>
      <c r="CF1767" s="104"/>
      <c r="CG1767" s="105"/>
      <c r="FK1767" s="7"/>
    </row>
    <row r="1768" spans="1:167">
      <c r="A1768" s="571"/>
      <c r="B1768" s="1008"/>
      <c r="C1768" s="7"/>
      <c r="P1768" s="7"/>
      <c r="AX1768" s="7"/>
      <c r="BP1768" s="61"/>
      <c r="CF1768" s="104"/>
      <c r="CG1768" s="105"/>
      <c r="FK1768" s="7"/>
    </row>
    <row r="1769" spans="1:167">
      <c r="A1769" s="571"/>
      <c r="B1769" s="1008"/>
      <c r="C1769" s="7"/>
      <c r="P1769" s="7"/>
      <c r="AX1769" s="7"/>
      <c r="BP1769" s="61"/>
      <c r="CF1769" s="104"/>
      <c r="CG1769" s="105"/>
      <c r="FK1769" s="7"/>
    </row>
    <row r="1770" spans="1:167">
      <c r="A1770" s="571"/>
      <c r="B1770" s="1008"/>
      <c r="C1770" s="7"/>
      <c r="P1770" s="7"/>
      <c r="AX1770" s="7"/>
      <c r="BP1770" s="61"/>
      <c r="CF1770" s="104"/>
      <c r="CG1770" s="105"/>
      <c r="FK1770" s="7"/>
    </row>
    <row r="1771" spans="1:167">
      <c r="A1771" s="571"/>
      <c r="B1771" s="1008"/>
      <c r="C1771" s="7"/>
      <c r="P1771" s="7"/>
      <c r="AX1771" s="7"/>
      <c r="BP1771" s="61"/>
      <c r="CF1771" s="104"/>
      <c r="CG1771" s="105"/>
      <c r="FK1771" s="7"/>
    </row>
    <row r="1772" spans="1:167">
      <c r="A1772" s="571"/>
      <c r="B1772" s="1008"/>
      <c r="C1772" s="7"/>
      <c r="P1772" s="7"/>
      <c r="AX1772" s="7"/>
      <c r="BP1772" s="61"/>
      <c r="CF1772" s="104"/>
      <c r="CG1772" s="105"/>
      <c r="FK1772" s="7"/>
    </row>
    <row r="1773" spans="1:167">
      <c r="A1773" s="571"/>
      <c r="B1773" s="1008"/>
      <c r="C1773" s="7"/>
      <c r="P1773" s="7"/>
      <c r="AX1773" s="7"/>
      <c r="BP1773" s="61"/>
      <c r="CF1773" s="104"/>
      <c r="CG1773" s="105"/>
      <c r="FK1773" s="7"/>
    </row>
    <row r="1774" spans="1:167">
      <c r="A1774" s="571"/>
      <c r="B1774" s="1008"/>
      <c r="C1774" s="7"/>
      <c r="P1774" s="7"/>
      <c r="AX1774" s="7"/>
      <c r="BP1774" s="61"/>
      <c r="CF1774" s="104"/>
      <c r="CG1774" s="105"/>
      <c r="FK1774" s="7"/>
    </row>
    <row r="1775" spans="1:167">
      <c r="A1775" s="571"/>
      <c r="B1775" s="1008"/>
      <c r="C1775" s="7"/>
      <c r="P1775" s="7"/>
      <c r="AX1775" s="7"/>
      <c r="BP1775" s="61"/>
      <c r="CF1775" s="104"/>
      <c r="CG1775" s="105"/>
      <c r="FK1775" s="7"/>
    </row>
    <row r="1776" spans="1:167">
      <c r="A1776" s="571"/>
      <c r="B1776" s="1008"/>
      <c r="C1776" s="7"/>
      <c r="P1776" s="7"/>
      <c r="AX1776" s="7"/>
      <c r="BP1776" s="61"/>
      <c r="CF1776" s="104"/>
      <c r="CG1776" s="105"/>
      <c r="FK1776" s="7"/>
    </row>
    <row r="1777" spans="1:167">
      <c r="A1777" s="571"/>
      <c r="B1777" s="1008"/>
      <c r="C1777" s="7"/>
      <c r="P1777" s="7"/>
      <c r="AX1777" s="7"/>
      <c r="BP1777" s="61"/>
      <c r="CF1777" s="104"/>
      <c r="CG1777" s="105"/>
      <c r="FK1777" s="7"/>
    </row>
    <row r="1778" spans="1:167">
      <c r="A1778" s="571"/>
      <c r="B1778" s="1008"/>
      <c r="C1778" s="7"/>
      <c r="P1778" s="7"/>
      <c r="AX1778" s="7"/>
      <c r="BP1778" s="61"/>
      <c r="CF1778" s="104"/>
      <c r="CG1778" s="105"/>
      <c r="FK1778" s="7"/>
    </row>
    <row r="1779" spans="1:167">
      <c r="A1779" s="571"/>
      <c r="B1779" s="1008"/>
      <c r="C1779" s="7"/>
      <c r="P1779" s="7"/>
      <c r="AX1779" s="7"/>
      <c r="BP1779" s="61"/>
      <c r="CF1779" s="104"/>
      <c r="CG1779" s="105"/>
      <c r="FK1779" s="7"/>
    </row>
    <row r="1780" spans="1:167">
      <c r="A1780" s="571"/>
      <c r="B1780" s="1008"/>
      <c r="C1780" s="7"/>
      <c r="P1780" s="7"/>
      <c r="AX1780" s="7"/>
      <c r="BP1780" s="61"/>
      <c r="CF1780" s="104"/>
      <c r="CG1780" s="105"/>
      <c r="FK1780" s="7"/>
    </row>
    <row r="1781" spans="1:167">
      <c r="A1781" s="571"/>
      <c r="B1781" s="1008"/>
      <c r="C1781" s="7"/>
      <c r="P1781" s="7"/>
      <c r="AX1781" s="7"/>
      <c r="BP1781" s="61"/>
      <c r="CF1781" s="104"/>
      <c r="CG1781" s="105"/>
      <c r="FK1781" s="7"/>
    </row>
    <row r="1782" spans="1:167">
      <c r="A1782" s="571"/>
      <c r="B1782" s="1008"/>
      <c r="C1782" s="7"/>
      <c r="P1782" s="7"/>
      <c r="AX1782" s="7"/>
      <c r="BP1782" s="61"/>
      <c r="CF1782" s="104"/>
      <c r="CG1782" s="105"/>
      <c r="FK1782" s="7"/>
    </row>
    <row r="1783" spans="1:167">
      <c r="A1783" s="571"/>
      <c r="B1783" s="1008"/>
      <c r="C1783" s="7"/>
      <c r="P1783" s="7"/>
      <c r="AX1783" s="7"/>
      <c r="BP1783" s="61"/>
      <c r="CF1783" s="104"/>
      <c r="CG1783" s="105"/>
      <c r="FK1783" s="7"/>
    </row>
    <row r="1784" spans="1:167">
      <c r="A1784" s="571"/>
      <c r="B1784" s="1008"/>
      <c r="C1784" s="7"/>
      <c r="P1784" s="7"/>
      <c r="AX1784" s="7"/>
      <c r="BP1784" s="61"/>
      <c r="CF1784" s="104"/>
      <c r="CG1784" s="105"/>
      <c r="FK1784" s="7"/>
    </row>
    <row r="1785" spans="1:167">
      <c r="A1785" s="571"/>
      <c r="B1785" s="1008"/>
      <c r="C1785" s="7"/>
      <c r="P1785" s="7"/>
      <c r="AX1785" s="7"/>
      <c r="BP1785" s="61"/>
      <c r="CF1785" s="104"/>
      <c r="CG1785" s="105"/>
      <c r="FK1785" s="7"/>
    </row>
    <row r="1786" spans="1:167">
      <c r="A1786" s="571"/>
      <c r="B1786" s="1008"/>
      <c r="C1786" s="7"/>
      <c r="P1786" s="7"/>
      <c r="AX1786" s="7"/>
      <c r="BP1786" s="61"/>
      <c r="CF1786" s="104"/>
      <c r="CG1786" s="105"/>
      <c r="FK1786" s="7"/>
    </row>
    <row r="1787" spans="1:167">
      <c r="A1787" s="571"/>
      <c r="B1787" s="1008"/>
      <c r="C1787" s="7"/>
      <c r="P1787" s="7"/>
      <c r="AX1787" s="7"/>
      <c r="BP1787" s="61"/>
      <c r="CF1787" s="104"/>
      <c r="CG1787" s="105"/>
      <c r="FK1787" s="7"/>
    </row>
    <row r="1788" spans="1:167">
      <c r="A1788" s="571"/>
      <c r="B1788" s="1008"/>
      <c r="C1788" s="7"/>
      <c r="P1788" s="7"/>
      <c r="AX1788" s="7"/>
      <c r="BP1788" s="61"/>
      <c r="CF1788" s="104"/>
      <c r="CG1788" s="105"/>
      <c r="FK1788" s="7"/>
    </row>
    <row r="1789" spans="1:167">
      <c r="A1789" s="571"/>
      <c r="B1789" s="1008"/>
      <c r="C1789" s="7"/>
      <c r="P1789" s="7"/>
      <c r="AX1789" s="7"/>
      <c r="BP1789" s="61"/>
      <c r="CF1789" s="104"/>
      <c r="CG1789" s="105"/>
      <c r="FK1789" s="7"/>
    </row>
    <row r="1790" spans="1:167">
      <c r="A1790" s="571"/>
      <c r="B1790" s="1008"/>
      <c r="C1790" s="7"/>
      <c r="P1790" s="7"/>
      <c r="AX1790" s="7"/>
      <c r="BP1790" s="61"/>
      <c r="CF1790" s="104"/>
      <c r="CG1790" s="105"/>
      <c r="FK1790" s="7"/>
    </row>
    <row r="1791" spans="1:167">
      <c r="A1791" s="571"/>
      <c r="B1791" s="1008"/>
      <c r="C1791" s="7"/>
      <c r="P1791" s="7"/>
      <c r="AX1791" s="7"/>
      <c r="BP1791" s="61"/>
      <c r="CF1791" s="104"/>
      <c r="CG1791" s="105"/>
      <c r="FK1791" s="7"/>
    </row>
    <row r="1792" spans="1:167">
      <c r="A1792" s="571"/>
      <c r="B1792" s="1008"/>
      <c r="C1792" s="7"/>
      <c r="P1792" s="7"/>
      <c r="AX1792" s="7"/>
      <c r="BP1792" s="61"/>
      <c r="CF1792" s="104"/>
      <c r="CG1792" s="105"/>
      <c r="FK1792" s="7"/>
    </row>
    <row r="1793" spans="1:167">
      <c r="A1793" s="571"/>
      <c r="B1793" s="1008"/>
      <c r="C1793" s="7"/>
      <c r="P1793" s="7"/>
      <c r="AX1793" s="7"/>
      <c r="BP1793" s="61"/>
      <c r="CF1793" s="104"/>
      <c r="CG1793" s="105"/>
      <c r="FK1793" s="7"/>
    </row>
    <row r="1794" spans="1:167">
      <c r="A1794" s="571"/>
      <c r="B1794" s="1008"/>
      <c r="C1794" s="7"/>
      <c r="P1794" s="7"/>
      <c r="AX1794" s="7"/>
      <c r="BP1794" s="61"/>
      <c r="CF1794" s="104"/>
      <c r="CG1794" s="105"/>
      <c r="FK1794" s="7"/>
    </row>
    <row r="1795" spans="1:167">
      <c r="A1795" s="571"/>
      <c r="B1795" s="1008"/>
      <c r="C1795" s="7"/>
      <c r="P1795" s="7"/>
      <c r="AX1795" s="7"/>
      <c r="BP1795" s="61"/>
      <c r="CF1795" s="104"/>
      <c r="CG1795" s="105"/>
      <c r="FK1795" s="7"/>
    </row>
    <row r="1796" spans="1:167">
      <c r="A1796" s="571"/>
      <c r="B1796" s="1008"/>
      <c r="C1796" s="7"/>
      <c r="P1796" s="7"/>
      <c r="AX1796" s="7"/>
      <c r="BP1796" s="61"/>
      <c r="CF1796" s="104"/>
      <c r="CG1796" s="105"/>
      <c r="FK1796" s="7"/>
    </row>
    <row r="1797" spans="1:167">
      <c r="A1797" s="571"/>
      <c r="B1797" s="1008"/>
      <c r="C1797" s="7"/>
      <c r="P1797" s="7"/>
      <c r="AX1797" s="7"/>
      <c r="BP1797" s="61"/>
      <c r="CF1797" s="104"/>
      <c r="CG1797" s="105"/>
      <c r="FK1797" s="7"/>
    </row>
    <row r="1798" spans="1:167">
      <c r="A1798" s="571"/>
      <c r="B1798" s="1008"/>
      <c r="C1798" s="7"/>
      <c r="P1798" s="7"/>
      <c r="AX1798" s="7"/>
      <c r="BP1798" s="61"/>
      <c r="CF1798" s="104"/>
      <c r="CG1798" s="105"/>
      <c r="FK1798" s="7"/>
    </row>
    <row r="1799" spans="1:167">
      <c r="A1799" s="571"/>
      <c r="B1799" s="1008"/>
      <c r="C1799" s="7"/>
      <c r="P1799" s="7"/>
      <c r="AX1799" s="7"/>
      <c r="BP1799" s="61"/>
      <c r="CF1799" s="104"/>
      <c r="CG1799" s="105"/>
      <c r="FK1799" s="7"/>
    </row>
    <row r="1800" spans="1:167">
      <c r="A1800" s="571"/>
      <c r="B1800" s="1008"/>
      <c r="C1800" s="7"/>
      <c r="P1800" s="7"/>
      <c r="AX1800" s="7"/>
      <c r="BP1800" s="61"/>
      <c r="CF1800" s="104"/>
      <c r="CG1800" s="105"/>
      <c r="FK1800" s="7"/>
    </row>
    <row r="1801" spans="1:167">
      <c r="A1801" s="571"/>
      <c r="B1801" s="1008"/>
      <c r="C1801" s="7"/>
      <c r="P1801" s="7"/>
      <c r="AX1801" s="7"/>
      <c r="BP1801" s="61"/>
      <c r="CF1801" s="104"/>
      <c r="CG1801" s="105"/>
      <c r="FK1801" s="7"/>
    </row>
    <row r="1802" spans="1:167">
      <c r="A1802" s="571"/>
      <c r="B1802" s="1008"/>
      <c r="C1802" s="7"/>
      <c r="P1802" s="7"/>
      <c r="AX1802" s="7"/>
      <c r="BP1802" s="61"/>
      <c r="CF1802" s="104"/>
      <c r="CG1802" s="105"/>
      <c r="FK1802" s="7"/>
    </row>
    <row r="1803" spans="1:167">
      <c r="A1803" s="571"/>
      <c r="B1803" s="1008"/>
      <c r="C1803" s="7"/>
      <c r="P1803" s="7"/>
      <c r="AX1803" s="7"/>
      <c r="BP1803" s="61"/>
      <c r="CF1803" s="104"/>
      <c r="CG1803" s="105"/>
      <c r="FK1803" s="7"/>
    </row>
    <row r="1804" spans="1:167">
      <c r="A1804" s="571"/>
      <c r="B1804" s="1008"/>
      <c r="C1804" s="7"/>
      <c r="P1804" s="7"/>
      <c r="AX1804" s="7"/>
      <c r="BP1804" s="61"/>
      <c r="CF1804" s="104"/>
      <c r="CG1804" s="105"/>
      <c r="FK1804" s="7"/>
    </row>
    <row r="1805" spans="1:167">
      <c r="A1805" s="571"/>
      <c r="B1805" s="1008"/>
      <c r="C1805" s="7"/>
      <c r="P1805" s="7"/>
      <c r="AX1805" s="7"/>
      <c r="BP1805" s="61"/>
      <c r="CF1805" s="104"/>
      <c r="CG1805" s="105"/>
      <c r="FK1805" s="7"/>
    </row>
    <row r="1806" spans="1:167">
      <c r="A1806" s="571"/>
      <c r="B1806" s="1008"/>
      <c r="C1806" s="7"/>
      <c r="P1806" s="7"/>
      <c r="AX1806" s="7"/>
      <c r="BP1806" s="61"/>
      <c r="CF1806" s="104"/>
      <c r="CG1806" s="105"/>
      <c r="FK1806" s="7"/>
    </row>
    <row r="1807" spans="1:167">
      <c r="A1807" s="571"/>
      <c r="B1807" s="1008"/>
      <c r="C1807" s="7"/>
      <c r="P1807" s="7"/>
      <c r="AX1807" s="7"/>
      <c r="BP1807" s="61"/>
      <c r="CF1807" s="104"/>
      <c r="CG1807" s="105"/>
      <c r="FK1807" s="7"/>
    </row>
    <row r="1808" spans="1:167">
      <c r="A1808" s="571"/>
      <c r="B1808" s="1008"/>
      <c r="C1808" s="7"/>
      <c r="P1808" s="7"/>
      <c r="AX1808" s="7"/>
      <c r="BP1808" s="61"/>
      <c r="CF1808" s="104"/>
      <c r="CG1808" s="105"/>
      <c r="FK1808" s="7"/>
    </row>
    <row r="1809" spans="1:167">
      <c r="A1809" s="571"/>
      <c r="B1809" s="1008"/>
      <c r="C1809" s="7"/>
      <c r="P1809" s="7"/>
      <c r="AX1809" s="7"/>
      <c r="BP1809" s="61"/>
      <c r="CF1809" s="104"/>
      <c r="CG1809" s="105"/>
      <c r="FK1809" s="7"/>
    </row>
    <row r="1810" spans="1:167">
      <c r="A1810" s="571"/>
      <c r="B1810" s="1008"/>
      <c r="C1810" s="7"/>
      <c r="P1810" s="7"/>
      <c r="AX1810" s="7"/>
      <c r="BP1810" s="61"/>
      <c r="CF1810" s="104"/>
      <c r="CG1810" s="105"/>
      <c r="FK1810" s="7"/>
    </row>
    <row r="1811" spans="1:167">
      <c r="A1811" s="571"/>
      <c r="B1811" s="1008"/>
      <c r="C1811" s="7"/>
      <c r="P1811" s="7"/>
      <c r="AX1811" s="7"/>
      <c r="BP1811" s="61"/>
      <c r="CF1811" s="104"/>
      <c r="CG1811" s="105"/>
      <c r="FK1811" s="7"/>
    </row>
    <row r="1812" spans="1:167">
      <c r="A1812" s="571"/>
      <c r="B1812" s="1008"/>
      <c r="C1812" s="7"/>
      <c r="P1812" s="7"/>
      <c r="AX1812" s="7"/>
      <c r="BP1812" s="61"/>
      <c r="CF1812" s="104"/>
      <c r="CG1812" s="105"/>
      <c r="FK1812" s="7"/>
    </row>
    <row r="1813" spans="1:167">
      <c r="A1813" s="571"/>
      <c r="B1813" s="1008"/>
      <c r="C1813" s="7"/>
      <c r="P1813" s="7"/>
      <c r="AX1813" s="7"/>
      <c r="BP1813" s="61"/>
      <c r="CF1813" s="104"/>
      <c r="CG1813" s="105"/>
      <c r="FK1813" s="7"/>
    </row>
    <row r="1814" spans="1:167">
      <c r="A1814" s="571"/>
      <c r="B1814" s="1008"/>
      <c r="C1814" s="7"/>
      <c r="P1814" s="7"/>
      <c r="AX1814" s="7"/>
      <c r="BP1814" s="61"/>
      <c r="CF1814" s="104"/>
      <c r="CG1814" s="105"/>
      <c r="FK1814" s="7"/>
    </row>
    <row r="1815" spans="1:167">
      <c r="A1815" s="571"/>
      <c r="B1815" s="1008"/>
      <c r="C1815" s="7"/>
      <c r="P1815" s="7"/>
      <c r="AX1815" s="7"/>
      <c r="BP1815" s="61"/>
      <c r="CF1815" s="104"/>
      <c r="CG1815" s="105"/>
      <c r="FK1815" s="7"/>
    </row>
    <row r="1816" spans="1:167">
      <c r="A1816" s="571"/>
      <c r="B1816" s="1008"/>
      <c r="C1816" s="7"/>
      <c r="P1816" s="7"/>
      <c r="AX1816" s="7"/>
      <c r="BP1816" s="61"/>
      <c r="CF1816" s="104"/>
      <c r="CG1816" s="105"/>
      <c r="FK1816" s="7"/>
    </row>
    <row r="1817" spans="1:167">
      <c r="A1817" s="571"/>
      <c r="B1817" s="1008"/>
      <c r="C1817" s="7"/>
      <c r="P1817" s="7"/>
      <c r="AX1817" s="7"/>
      <c r="BP1817" s="61"/>
      <c r="CF1817" s="104"/>
      <c r="CG1817" s="105"/>
      <c r="FK1817" s="7"/>
    </row>
    <row r="1818" spans="1:167">
      <c r="A1818" s="571"/>
      <c r="B1818" s="1008"/>
      <c r="C1818" s="7"/>
      <c r="P1818" s="7"/>
      <c r="AX1818" s="7"/>
      <c r="BP1818" s="61"/>
      <c r="CF1818" s="104"/>
      <c r="CG1818" s="105"/>
      <c r="FK1818" s="7"/>
    </row>
    <row r="1819" spans="1:167">
      <c r="A1819" s="571"/>
      <c r="B1819" s="1008"/>
      <c r="C1819" s="7"/>
      <c r="P1819" s="7"/>
      <c r="AX1819" s="7"/>
      <c r="BP1819" s="61"/>
      <c r="CF1819" s="104"/>
      <c r="CG1819" s="105"/>
      <c r="FK1819" s="7"/>
    </row>
    <row r="1820" spans="1:167">
      <c r="A1820" s="571"/>
      <c r="B1820" s="1008"/>
      <c r="C1820" s="7"/>
      <c r="P1820" s="7"/>
      <c r="AX1820" s="7"/>
      <c r="BP1820" s="61"/>
      <c r="CF1820" s="104"/>
      <c r="CG1820" s="105"/>
      <c r="FK1820" s="7"/>
    </row>
    <row r="1821" spans="1:167">
      <c r="A1821" s="571"/>
      <c r="B1821" s="1008"/>
      <c r="C1821" s="7"/>
      <c r="P1821" s="7"/>
      <c r="AX1821" s="7"/>
      <c r="BP1821" s="61"/>
      <c r="CF1821" s="104"/>
      <c r="CG1821" s="105"/>
      <c r="FK1821" s="7"/>
    </row>
    <row r="1822" spans="1:167">
      <c r="A1822" s="571"/>
      <c r="B1822" s="1008"/>
      <c r="C1822" s="7"/>
      <c r="P1822" s="7"/>
      <c r="AX1822" s="7"/>
      <c r="BP1822" s="61"/>
      <c r="CF1822" s="104"/>
      <c r="CG1822" s="105"/>
      <c r="FK1822" s="7"/>
    </row>
    <row r="1823" spans="1:167">
      <c r="A1823" s="571"/>
      <c r="B1823" s="1008"/>
      <c r="C1823" s="7"/>
      <c r="P1823" s="7"/>
      <c r="AX1823" s="7"/>
      <c r="BP1823" s="61"/>
      <c r="CF1823" s="104"/>
      <c r="CG1823" s="105"/>
      <c r="FK1823" s="7"/>
    </row>
    <row r="1824" spans="1:167">
      <c r="A1824" s="571"/>
      <c r="B1824" s="1008"/>
      <c r="C1824" s="7"/>
      <c r="P1824" s="7"/>
      <c r="AX1824" s="7"/>
      <c r="BP1824" s="61"/>
      <c r="CF1824" s="104"/>
      <c r="CG1824" s="105"/>
      <c r="FK1824" s="7"/>
    </row>
    <row r="1825" spans="1:167">
      <c r="A1825" s="571"/>
      <c r="B1825" s="1008"/>
      <c r="C1825" s="7"/>
      <c r="P1825" s="7"/>
      <c r="AX1825" s="7"/>
      <c r="BP1825" s="61"/>
      <c r="CF1825" s="104"/>
      <c r="CG1825" s="105"/>
      <c r="FK1825" s="7"/>
    </row>
    <row r="1826" spans="1:167">
      <c r="A1826" s="571"/>
      <c r="B1826" s="1008"/>
      <c r="C1826" s="7"/>
      <c r="P1826" s="7"/>
      <c r="AX1826" s="7"/>
      <c r="BP1826" s="61"/>
      <c r="CF1826" s="104"/>
      <c r="CG1826" s="105"/>
      <c r="FK1826" s="7"/>
    </row>
    <row r="1827" spans="1:167">
      <c r="A1827" s="571"/>
      <c r="B1827" s="1008"/>
      <c r="C1827" s="7"/>
      <c r="P1827" s="7"/>
      <c r="AX1827" s="7"/>
      <c r="BP1827" s="61"/>
      <c r="CF1827" s="104"/>
      <c r="CG1827" s="105"/>
      <c r="FK1827" s="7"/>
    </row>
    <row r="1828" spans="1:167">
      <c r="A1828" s="571"/>
      <c r="B1828" s="1008"/>
      <c r="C1828" s="7"/>
      <c r="P1828" s="7"/>
      <c r="AX1828" s="7"/>
      <c r="BP1828" s="61"/>
      <c r="CF1828" s="104"/>
      <c r="CG1828" s="105"/>
      <c r="FK1828" s="7"/>
    </row>
    <row r="1829" spans="1:167">
      <c r="A1829" s="571"/>
      <c r="B1829" s="1008"/>
      <c r="C1829" s="7"/>
      <c r="P1829" s="7"/>
      <c r="AX1829" s="7"/>
      <c r="BP1829" s="61"/>
      <c r="CF1829" s="104"/>
      <c r="CG1829" s="105"/>
      <c r="FK1829" s="7"/>
    </row>
    <row r="1830" spans="1:167">
      <c r="A1830" s="571"/>
      <c r="B1830" s="1008"/>
      <c r="C1830" s="7"/>
      <c r="P1830" s="7"/>
      <c r="AX1830" s="7"/>
      <c r="BP1830" s="61"/>
      <c r="CF1830" s="104"/>
      <c r="CG1830" s="105"/>
      <c r="FK1830" s="7"/>
    </row>
    <row r="1831" spans="1:167">
      <c r="A1831" s="571"/>
      <c r="B1831" s="1008"/>
      <c r="C1831" s="7"/>
      <c r="P1831" s="7"/>
      <c r="AX1831" s="7"/>
      <c r="BP1831" s="61"/>
      <c r="CF1831" s="104"/>
      <c r="CG1831" s="105"/>
      <c r="FK1831" s="7"/>
    </row>
    <row r="1832" spans="1:167">
      <c r="A1832" s="571"/>
      <c r="B1832" s="1008"/>
      <c r="C1832" s="7"/>
      <c r="P1832" s="7"/>
      <c r="AX1832" s="7"/>
      <c r="BP1832" s="61"/>
      <c r="CF1832" s="104"/>
      <c r="CG1832" s="105"/>
      <c r="FK1832" s="7"/>
    </row>
    <row r="1833" spans="1:167">
      <c r="A1833" s="571"/>
      <c r="B1833" s="1008"/>
      <c r="C1833" s="7"/>
      <c r="P1833" s="7"/>
      <c r="AX1833" s="7"/>
      <c r="BP1833" s="61"/>
      <c r="CF1833" s="104"/>
      <c r="CG1833" s="105"/>
      <c r="FK1833" s="7"/>
    </row>
    <row r="1834" spans="1:167">
      <c r="A1834" s="571"/>
      <c r="B1834" s="1008"/>
      <c r="C1834" s="7"/>
      <c r="P1834" s="7"/>
      <c r="AX1834" s="7"/>
      <c r="BP1834" s="61"/>
      <c r="CF1834" s="104"/>
      <c r="CG1834" s="105"/>
      <c r="FK1834" s="7"/>
    </row>
    <row r="1835" spans="1:167">
      <c r="A1835" s="571"/>
      <c r="B1835" s="1008"/>
      <c r="C1835" s="7"/>
      <c r="P1835" s="7"/>
      <c r="AX1835" s="7"/>
      <c r="BP1835" s="61"/>
      <c r="CF1835" s="104"/>
      <c r="CG1835" s="105"/>
      <c r="FK1835" s="7"/>
    </row>
    <row r="1836" spans="1:167">
      <c r="A1836" s="571"/>
      <c r="B1836" s="1008"/>
      <c r="C1836" s="7"/>
      <c r="P1836" s="7"/>
      <c r="AX1836" s="7"/>
      <c r="BP1836" s="61"/>
      <c r="CF1836" s="104"/>
      <c r="CG1836" s="105"/>
      <c r="FK1836" s="7"/>
    </row>
    <row r="1837" spans="1:167">
      <c r="A1837" s="571"/>
      <c r="B1837" s="1008"/>
      <c r="C1837" s="7"/>
      <c r="P1837" s="7"/>
      <c r="AX1837" s="7"/>
      <c r="BP1837" s="61"/>
      <c r="CF1837" s="104"/>
      <c r="CG1837" s="105"/>
      <c r="FK1837" s="7"/>
    </row>
    <row r="1838" spans="1:167">
      <c r="A1838" s="571"/>
      <c r="B1838" s="1008"/>
      <c r="C1838" s="7"/>
      <c r="P1838" s="7"/>
      <c r="AX1838" s="7"/>
      <c r="BP1838" s="61"/>
      <c r="CF1838" s="104"/>
      <c r="CG1838" s="105"/>
      <c r="FK1838" s="7"/>
    </row>
    <row r="1839" spans="1:167">
      <c r="A1839" s="571"/>
      <c r="B1839" s="1008"/>
      <c r="C1839" s="7"/>
      <c r="P1839" s="7"/>
      <c r="AX1839" s="7"/>
      <c r="BP1839" s="61"/>
      <c r="CF1839" s="104"/>
      <c r="CG1839" s="105"/>
      <c r="FK1839" s="7"/>
    </row>
    <row r="1840" spans="1:167">
      <c r="A1840" s="571"/>
      <c r="B1840" s="1008"/>
      <c r="C1840" s="7"/>
      <c r="P1840" s="7"/>
      <c r="AX1840" s="7"/>
      <c r="BP1840" s="61"/>
      <c r="CF1840" s="104"/>
      <c r="CG1840" s="105"/>
      <c r="FK1840" s="7"/>
    </row>
    <row r="1841" spans="1:167">
      <c r="A1841" s="571"/>
      <c r="B1841" s="1008"/>
      <c r="C1841" s="7"/>
      <c r="P1841" s="7"/>
      <c r="AX1841" s="7"/>
      <c r="BP1841" s="61"/>
      <c r="CF1841" s="104"/>
      <c r="CG1841" s="105"/>
      <c r="FK1841" s="7"/>
    </row>
    <row r="1842" spans="1:167">
      <c r="A1842" s="571"/>
      <c r="B1842" s="1008"/>
      <c r="C1842" s="7"/>
      <c r="P1842" s="7"/>
      <c r="AX1842" s="7"/>
      <c r="BP1842" s="61"/>
      <c r="CF1842" s="104"/>
      <c r="CG1842" s="105"/>
      <c r="FK1842" s="7"/>
    </row>
    <row r="1843" spans="1:167">
      <c r="A1843" s="571"/>
      <c r="B1843" s="1008"/>
      <c r="C1843" s="7"/>
      <c r="P1843" s="7"/>
      <c r="AX1843" s="7"/>
      <c r="BP1843" s="61"/>
      <c r="CF1843" s="104"/>
      <c r="CG1843" s="105"/>
      <c r="FK1843" s="7"/>
    </row>
    <row r="1844" spans="1:167">
      <c r="A1844" s="571"/>
      <c r="B1844" s="1008"/>
      <c r="C1844" s="7"/>
      <c r="P1844" s="7"/>
      <c r="AX1844" s="7"/>
      <c r="BP1844" s="61"/>
      <c r="CF1844" s="104"/>
      <c r="CG1844" s="105"/>
      <c r="FK1844" s="7"/>
    </row>
    <row r="1845" spans="1:167">
      <c r="A1845" s="571"/>
      <c r="B1845" s="1008"/>
      <c r="C1845" s="7"/>
      <c r="P1845" s="7"/>
      <c r="AX1845" s="7"/>
      <c r="BP1845" s="61"/>
      <c r="CF1845" s="104"/>
      <c r="CG1845" s="105"/>
      <c r="FK1845" s="7"/>
    </row>
    <row r="1846" spans="1:167">
      <c r="A1846" s="571"/>
      <c r="B1846" s="1008"/>
      <c r="C1846" s="7"/>
      <c r="P1846" s="7"/>
      <c r="AX1846" s="7"/>
      <c r="BP1846" s="61"/>
      <c r="CF1846" s="104"/>
      <c r="CG1846" s="105"/>
      <c r="FK1846" s="7"/>
    </row>
    <row r="1847" spans="1:167">
      <c r="A1847" s="571"/>
      <c r="B1847" s="1008"/>
      <c r="C1847" s="7"/>
      <c r="P1847" s="7"/>
      <c r="AX1847" s="7"/>
      <c r="BP1847" s="61"/>
      <c r="CF1847" s="104"/>
      <c r="CG1847" s="105"/>
      <c r="FK1847" s="7"/>
    </row>
    <row r="1848" spans="1:167">
      <c r="A1848" s="571"/>
      <c r="B1848" s="1008"/>
      <c r="C1848" s="7"/>
      <c r="P1848" s="7"/>
      <c r="AX1848" s="7"/>
      <c r="BP1848" s="61"/>
      <c r="CF1848" s="104"/>
      <c r="CG1848" s="105"/>
      <c r="FK1848" s="7"/>
    </row>
    <row r="1849" spans="1:167">
      <c r="A1849" s="571"/>
      <c r="B1849" s="1008"/>
      <c r="C1849" s="7"/>
      <c r="P1849" s="7"/>
      <c r="AX1849" s="7"/>
      <c r="BP1849" s="61"/>
      <c r="CF1849" s="104"/>
      <c r="CG1849" s="105"/>
      <c r="FK1849" s="7"/>
    </row>
    <row r="1850" spans="1:167">
      <c r="A1850" s="571"/>
      <c r="B1850" s="1008"/>
      <c r="C1850" s="7"/>
      <c r="P1850" s="7"/>
      <c r="AX1850" s="7"/>
      <c r="BP1850" s="61"/>
      <c r="CF1850" s="104"/>
      <c r="CG1850" s="105"/>
      <c r="FK1850" s="7"/>
    </row>
    <row r="1851" spans="1:167">
      <c r="A1851" s="571"/>
      <c r="B1851" s="1008"/>
      <c r="C1851" s="7"/>
      <c r="P1851" s="7"/>
      <c r="AX1851" s="7"/>
      <c r="BP1851" s="61"/>
      <c r="CF1851" s="104"/>
      <c r="CG1851" s="105"/>
      <c r="FK1851" s="7"/>
    </row>
    <row r="1852" spans="1:167">
      <c r="A1852" s="571"/>
      <c r="B1852" s="1008"/>
      <c r="C1852" s="7"/>
      <c r="P1852" s="7"/>
      <c r="AX1852" s="7"/>
      <c r="BP1852" s="61"/>
      <c r="CF1852" s="104"/>
      <c r="CG1852" s="105"/>
      <c r="FK1852" s="7"/>
    </row>
    <row r="1853" spans="1:167">
      <c r="A1853" s="571"/>
      <c r="B1853" s="1008"/>
      <c r="C1853" s="7"/>
      <c r="P1853" s="7"/>
      <c r="AX1853" s="7"/>
      <c r="BP1853" s="61"/>
      <c r="CF1853" s="104"/>
      <c r="CG1853" s="105"/>
      <c r="FK1853" s="7"/>
    </row>
    <row r="1854" spans="1:167">
      <c r="A1854" s="571"/>
      <c r="B1854" s="1008"/>
      <c r="C1854" s="7"/>
      <c r="P1854" s="7"/>
      <c r="AX1854" s="7"/>
      <c r="BP1854" s="61"/>
      <c r="CF1854" s="104"/>
      <c r="CG1854" s="105"/>
      <c r="FK1854" s="7"/>
    </row>
    <row r="1855" spans="1:167">
      <c r="A1855" s="571"/>
      <c r="B1855" s="1008"/>
      <c r="C1855" s="7"/>
      <c r="P1855" s="7"/>
      <c r="AX1855" s="7"/>
      <c r="BP1855" s="61"/>
      <c r="CF1855" s="104"/>
      <c r="CG1855" s="105"/>
      <c r="FK1855" s="7"/>
    </row>
    <row r="1856" spans="1:167">
      <c r="A1856" s="571"/>
      <c r="B1856" s="1008"/>
      <c r="C1856" s="7"/>
      <c r="P1856" s="7"/>
      <c r="AX1856" s="7"/>
      <c r="BP1856" s="61"/>
      <c r="CF1856" s="104"/>
      <c r="CG1856" s="105"/>
      <c r="FK1856" s="7"/>
    </row>
    <row r="1857" spans="1:167">
      <c r="A1857" s="571"/>
      <c r="B1857" s="1008"/>
      <c r="C1857" s="7"/>
      <c r="P1857" s="7"/>
      <c r="AX1857" s="7"/>
      <c r="BP1857" s="61"/>
      <c r="CF1857" s="104"/>
      <c r="CG1857" s="105"/>
      <c r="FK1857" s="7"/>
    </row>
    <row r="1858" spans="1:167">
      <c r="A1858" s="571"/>
      <c r="B1858" s="1008"/>
      <c r="C1858" s="7"/>
      <c r="P1858" s="7"/>
      <c r="AX1858" s="7"/>
      <c r="BP1858" s="61"/>
      <c r="CF1858" s="104"/>
      <c r="CG1858" s="105"/>
      <c r="FK1858" s="7"/>
    </row>
    <row r="1859" spans="1:167">
      <c r="A1859" s="571"/>
      <c r="B1859" s="1008"/>
      <c r="C1859" s="7"/>
      <c r="P1859" s="7"/>
      <c r="AX1859" s="7"/>
      <c r="BP1859" s="61"/>
      <c r="CF1859" s="104"/>
      <c r="CG1859" s="105"/>
      <c r="FK1859" s="7"/>
    </row>
    <row r="1860" spans="1:167">
      <c r="A1860" s="571"/>
      <c r="B1860" s="1008"/>
      <c r="C1860" s="7"/>
      <c r="P1860" s="7"/>
      <c r="AX1860" s="7"/>
      <c r="BP1860" s="61"/>
      <c r="CF1860" s="104"/>
      <c r="CG1860" s="105"/>
      <c r="FK1860" s="7"/>
    </row>
    <row r="1861" spans="1:167">
      <c r="A1861" s="571"/>
      <c r="B1861" s="1008"/>
      <c r="C1861" s="7"/>
      <c r="P1861" s="7"/>
      <c r="AX1861" s="7"/>
      <c r="BP1861" s="61"/>
      <c r="CF1861" s="104"/>
      <c r="CG1861" s="105"/>
      <c r="FK1861" s="7"/>
    </row>
    <row r="1862" spans="1:167">
      <c r="A1862" s="571"/>
      <c r="B1862" s="1008"/>
      <c r="C1862" s="7"/>
      <c r="P1862" s="7"/>
      <c r="AX1862" s="7"/>
      <c r="BP1862" s="61"/>
      <c r="CF1862" s="104"/>
      <c r="CG1862" s="105"/>
      <c r="FK1862" s="7"/>
    </row>
    <row r="1863" spans="1:167">
      <c r="A1863" s="571"/>
      <c r="B1863" s="1008"/>
      <c r="C1863" s="7"/>
      <c r="P1863" s="7"/>
      <c r="AX1863" s="7"/>
      <c r="BP1863" s="61"/>
      <c r="CF1863" s="104"/>
      <c r="CG1863" s="105"/>
      <c r="FK1863" s="7"/>
    </row>
    <row r="1864" spans="1:167">
      <c r="A1864" s="571"/>
      <c r="B1864" s="1008"/>
      <c r="C1864" s="7"/>
      <c r="P1864" s="7"/>
      <c r="AX1864" s="7"/>
      <c r="BP1864" s="61"/>
      <c r="CF1864" s="104"/>
      <c r="CG1864" s="105"/>
      <c r="FK1864" s="7"/>
    </row>
    <row r="1865" spans="1:167">
      <c r="A1865" s="571"/>
      <c r="B1865" s="1008"/>
      <c r="C1865" s="7"/>
      <c r="P1865" s="7"/>
      <c r="AX1865" s="7"/>
      <c r="BP1865" s="61"/>
      <c r="CF1865" s="104"/>
      <c r="CG1865" s="105"/>
      <c r="FK1865" s="7"/>
    </row>
    <row r="1866" spans="1:167">
      <c r="A1866" s="571"/>
      <c r="B1866" s="1008"/>
      <c r="C1866" s="7"/>
      <c r="P1866" s="7"/>
      <c r="AX1866" s="7"/>
      <c r="BP1866" s="61"/>
      <c r="CF1866" s="104"/>
      <c r="CG1866" s="105"/>
      <c r="FK1866" s="7"/>
    </row>
    <row r="1867" spans="1:167">
      <c r="A1867" s="571"/>
      <c r="B1867" s="1008"/>
      <c r="C1867" s="7"/>
      <c r="P1867" s="7"/>
      <c r="AX1867" s="7"/>
      <c r="BP1867" s="61"/>
      <c r="CF1867" s="104"/>
      <c r="CG1867" s="105"/>
      <c r="FK1867" s="7"/>
    </row>
    <row r="1868" spans="1:167">
      <c r="A1868" s="571"/>
      <c r="B1868" s="1008"/>
      <c r="C1868" s="7"/>
      <c r="P1868" s="7"/>
      <c r="AX1868" s="7"/>
      <c r="BP1868" s="61"/>
      <c r="CF1868" s="104"/>
      <c r="CG1868" s="105"/>
      <c r="FK1868" s="7"/>
    </row>
    <row r="1869" spans="1:167">
      <c r="A1869" s="571"/>
      <c r="B1869" s="1008"/>
      <c r="C1869" s="7"/>
      <c r="P1869" s="7"/>
      <c r="AX1869" s="7"/>
      <c r="BP1869" s="61"/>
      <c r="CF1869" s="104"/>
      <c r="CG1869" s="105"/>
      <c r="FK1869" s="7"/>
    </row>
    <row r="1870" spans="1:167">
      <c r="A1870" s="571"/>
      <c r="B1870" s="1008"/>
      <c r="C1870" s="7"/>
      <c r="P1870" s="7"/>
      <c r="AX1870" s="7"/>
      <c r="BP1870" s="61"/>
      <c r="CF1870" s="104"/>
      <c r="CG1870" s="105"/>
      <c r="FK1870" s="7"/>
    </row>
    <row r="1871" spans="1:167">
      <c r="A1871" s="571"/>
      <c r="B1871" s="1008"/>
      <c r="C1871" s="7"/>
      <c r="P1871" s="7"/>
      <c r="AX1871" s="7"/>
      <c r="BP1871" s="61"/>
      <c r="CF1871" s="104"/>
      <c r="CG1871" s="105"/>
      <c r="FK1871" s="7"/>
    </row>
    <row r="1872" spans="1:167">
      <c r="A1872" s="571"/>
      <c r="B1872" s="1008"/>
      <c r="C1872" s="7"/>
      <c r="P1872" s="7"/>
      <c r="AX1872" s="7"/>
      <c r="BP1872" s="61"/>
      <c r="CF1872" s="104"/>
      <c r="CG1872" s="105"/>
      <c r="FK1872" s="7"/>
    </row>
    <row r="1873" spans="1:167">
      <c r="A1873" s="571"/>
      <c r="B1873" s="1008"/>
      <c r="C1873" s="7"/>
      <c r="P1873" s="7"/>
      <c r="AX1873" s="7"/>
      <c r="BP1873" s="61"/>
      <c r="CF1873" s="104"/>
      <c r="CG1873" s="105"/>
      <c r="FK1873" s="7"/>
    </row>
    <row r="1874" spans="1:167">
      <c r="A1874" s="571"/>
      <c r="B1874" s="1008"/>
      <c r="C1874" s="7"/>
      <c r="P1874" s="7"/>
      <c r="AX1874" s="7"/>
      <c r="BP1874" s="61"/>
      <c r="CF1874" s="104"/>
      <c r="CG1874" s="105"/>
      <c r="FK1874" s="7"/>
    </row>
    <row r="1875" spans="1:167">
      <c r="A1875" s="571"/>
      <c r="B1875" s="1008"/>
      <c r="C1875" s="7"/>
      <c r="P1875" s="7"/>
      <c r="AX1875" s="7"/>
      <c r="BP1875" s="61"/>
      <c r="CF1875" s="104"/>
      <c r="CG1875" s="105"/>
      <c r="FK1875" s="7"/>
    </row>
    <row r="1876" spans="1:167">
      <c r="A1876" s="571"/>
      <c r="B1876" s="1008"/>
      <c r="C1876" s="7"/>
      <c r="P1876" s="7"/>
      <c r="AX1876" s="7"/>
      <c r="BP1876" s="61"/>
      <c r="CF1876" s="104"/>
      <c r="CG1876" s="105"/>
      <c r="FK1876" s="7"/>
    </row>
    <row r="1877" spans="1:167">
      <c r="A1877" s="571"/>
      <c r="B1877" s="1008"/>
      <c r="C1877" s="7"/>
      <c r="P1877" s="7"/>
      <c r="AX1877" s="7"/>
      <c r="BP1877" s="61"/>
      <c r="CF1877" s="104"/>
      <c r="CG1877" s="105"/>
      <c r="FK1877" s="7"/>
    </row>
    <row r="1878" spans="1:167">
      <c r="A1878" s="571"/>
      <c r="B1878" s="1008"/>
      <c r="C1878" s="7"/>
      <c r="P1878" s="7"/>
      <c r="AX1878" s="7"/>
      <c r="BP1878" s="61"/>
      <c r="CF1878" s="104"/>
      <c r="CG1878" s="105"/>
      <c r="FK1878" s="7"/>
    </row>
    <row r="1879" spans="1:167">
      <c r="A1879" s="571"/>
      <c r="B1879" s="1008"/>
      <c r="C1879" s="7"/>
      <c r="P1879" s="7"/>
      <c r="AX1879" s="7"/>
      <c r="BP1879" s="61"/>
      <c r="CF1879" s="104"/>
      <c r="CG1879" s="105"/>
      <c r="FK1879" s="7"/>
    </row>
    <row r="1880" spans="1:167">
      <c r="A1880" s="571"/>
      <c r="B1880" s="1008"/>
      <c r="C1880" s="7"/>
      <c r="P1880" s="7"/>
      <c r="AX1880" s="7"/>
      <c r="BP1880" s="61"/>
      <c r="CF1880" s="104"/>
      <c r="CG1880" s="105"/>
      <c r="FK1880" s="7"/>
    </row>
    <row r="1881" spans="1:167">
      <c r="A1881" s="571"/>
      <c r="B1881" s="1008"/>
      <c r="C1881" s="7"/>
      <c r="P1881" s="7"/>
      <c r="AX1881" s="7"/>
      <c r="BP1881" s="61"/>
      <c r="CF1881" s="104"/>
      <c r="CG1881" s="105"/>
      <c r="FK1881" s="7"/>
    </row>
    <row r="1882" spans="1:167">
      <c r="A1882" s="571"/>
      <c r="B1882" s="1008"/>
      <c r="C1882" s="7"/>
      <c r="P1882" s="7"/>
      <c r="AX1882" s="7"/>
      <c r="BP1882" s="61"/>
      <c r="CF1882" s="104"/>
      <c r="CG1882" s="105"/>
      <c r="FK1882" s="7"/>
    </row>
    <row r="1883" spans="1:167">
      <c r="A1883" s="571"/>
      <c r="B1883" s="1008"/>
      <c r="C1883" s="7"/>
      <c r="P1883" s="7"/>
      <c r="AX1883" s="7"/>
      <c r="BP1883" s="61"/>
      <c r="CF1883" s="104"/>
      <c r="CG1883" s="105"/>
      <c r="FK1883" s="7"/>
    </row>
    <row r="1884" spans="1:167">
      <c r="A1884" s="571"/>
      <c r="B1884" s="1008"/>
      <c r="C1884" s="7"/>
      <c r="P1884" s="7"/>
      <c r="AX1884" s="7"/>
      <c r="BP1884" s="61"/>
      <c r="CF1884" s="104"/>
      <c r="CG1884" s="105"/>
      <c r="FK1884" s="7"/>
    </row>
    <row r="1885" spans="1:167">
      <c r="A1885" s="571"/>
      <c r="B1885" s="1008"/>
      <c r="C1885" s="7"/>
      <c r="P1885" s="7"/>
      <c r="AX1885" s="7"/>
      <c r="BP1885" s="61"/>
      <c r="CF1885" s="104"/>
      <c r="CG1885" s="105"/>
      <c r="FK1885" s="7"/>
    </row>
    <row r="1886" spans="1:167">
      <c r="A1886" s="571"/>
      <c r="B1886" s="1008"/>
      <c r="C1886" s="7"/>
      <c r="P1886" s="7"/>
      <c r="AX1886" s="7"/>
      <c r="BP1886" s="61"/>
      <c r="CF1886" s="104"/>
      <c r="CG1886" s="105"/>
      <c r="FK1886" s="7"/>
    </row>
    <row r="1887" spans="1:167">
      <c r="A1887" s="571"/>
      <c r="B1887" s="1008"/>
      <c r="C1887" s="7"/>
      <c r="P1887" s="7"/>
      <c r="AX1887" s="7"/>
      <c r="BP1887" s="61"/>
      <c r="CF1887" s="104"/>
      <c r="CG1887" s="105"/>
      <c r="FK1887" s="7"/>
    </row>
    <row r="1888" spans="1:167">
      <c r="A1888" s="571"/>
      <c r="B1888" s="1008"/>
      <c r="C1888" s="7"/>
      <c r="P1888" s="7"/>
      <c r="AX1888" s="7"/>
      <c r="BP1888" s="61"/>
      <c r="CF1888" s="104"/>
      <c r="CG1888" s="105"/>
      <c r="FK1888" s="7"/>
    </row>
    <row r="1889" spans="1:167">
      <c r="A1889" s="571"/>
      <c r="B1889" s="1008"/>
      <c r="C1889" s="7"/>
      <c r="P1889" s="7"/>
      <c r="AX1889" s="7"/>
      <c r="BP1889" s="61"/>
      <c r="CF1889" s="104"/>
      <c r="CG1889" s="105"/>
      <c r="FK1889" s="7"/>
    </row>
    <row r="1890" spans="1:167">
      <c r="A1890" s="571"/>
      <c r="B1890" s="1008"/>
      <c r="C1890" s="7"/>
      <c r="P1890" s="7"/>
      <c r="AX1890" s="7"/>
      <c r="BP1890" s="61"/>
      <c r="CF1890" s="104"/>
      <c r="CG1890" s="105"/>
      <c r="FK1890" s="7"/>
    </row>
    <row r="1891" spans="1:167">
      <c r="A1891" s="571"/>
      <c r="B1891" s="1008"/>
      <c r="C1891" s="7"/>
      <c r="P1891" s="7"/>
      <c r="AX1891" s="7"/>
      <c r="BP1891" s="61"/>
      <c r="CF1891" s="104"/>
      <c r="CG1891" s="105"/>
      <c r="FK1891" s="7"/>
    </row>
    <row r="1892" spans="1:167">
      <c r="A1892" s="571"/>
      <c r="B1892" s="1008"/>
      <c r="C1892" s="7"/>
      <c r="P1892" s="7"/>
      <c r="AX1892" s="7"/>
      <c r="BP1892" s="61"/>
      <c r="CF1892" s="104"/>
      <c r="CG1892" s="105"/>
      <c r="FK1892" s="7"/>
    </row>
    <row r="1893" spans="1:167">
      <c r="A1893" s="571"/>
      <c r="B1893" s="1008"/>
      <c r="C1893" s="7"/>
      <c r="P1893" s="7"/>
      <c r="AX1893" s="7"/>
      <c r="BP1893" s="61"/>
      <c r="CF1893" s="104"/>
      <c r="CG1893" s="105"/>
      <c r="FK1893" s="7"/>
    </row>
    <row r="1894" spans="1:167">
      <c r="A1894" s="571"/>
      <c r="B1894" s="1008"/>
      <c r="C1894" s="7"/>
      <c r="P1894" s="7"/>
      <c r="AX1894" s="7"/>
      <c r="BP1894" s="61"/>
      <c r="CF1894" s="104"/>
      <c r="CG1894" s="105"/>
      <c r="FK1894" s="7"/>
    </row>
    <row r="1895" spans="1:167">
      <c r="A1895" s="571"/>
      <c r="B1895" s="1008"/>
      <c r="C1895" s="7"/>
      <c r="P1895" s="7"/>
      <c r="AX1895" s="7"/>
      <c r="BP1895" s="61"/>
      <c r="CF1895" s="104"/>
      <c r="CG1895" s="105"/>
      <c r="FK1895" s="7"/>
    </row>
    <row r="1896" spans="1:167">
      <c r="A1896" s="571"/>
      <c r="B1896" s="1008"/>
      <c r="C1896" s="7"/>
      <c r="P1896" s="7"/>
      <c r="AX1896" s="7"/>
      <c r="BP1896" s="61"/>
      <c r="CF1896" s="104"/>
      <c r="CG1896" s="105"/>
      <c r="FK1896" s="7"/>
    </row>
    <row r="1897" spans="1:167">
      <c r="A1897" s="571"/>
      <c r="B1897" s="1008"/>
      <c r="C1897" s="7"/>
      <c r="P1897" s="7"/>
      <c r="AX1897" s="7"/>
      <c r="BP1897" s="61"/>
      <c r="CF1897" s="104"/>
      <c r="CG1897" s="105"/>
      <c r="FK1897" s="7"/>
    </row>
    <row r="1898" spans="1:167">
      <c r="A1898" s="571"/>
      <c r="B1898" s="1008"/>
      <c r="C1898" s="7"/>
      <c r="P1898" s="7"/>
      <c r="AX1898" s="7"/>
      <c r="BP1898" s="61"/>
      <c r="CF1898" s="104"/>
      <c r="CG1898" s="105"/>
      <c r="FK1898" s="7"/>
    </row>
    <row r="1899" spans="1:167">
      <c r="A1899" s="571"/>
      <c r="B1899" s="1008"/>
      <c r="C1899" s="7"/>
      <c r="P1899" s="7"/>
      <c r="AX1899" s="7"/>
      <c r="BP1899" s="61"/>
      <c r="CF1899" s="104"/>
      <c r="CG1899" s="105"/>
      <c r="FK1899" s="7"/>
    </row>
    <row r="1900" spans="1:167">
      <c r="A1900" s="571"/>
      <c r="B1900" s="1008"/>
      <c r="C1900" s="7"/>
      <c r="P1900" s="7"/>
      <c r="AX1900" s="7"/>
      <c r="BP1900" s="61"/>
      <c r="CF1900" s="104"/>
      <c r="CG1900" s="105"/>
      <c r="FK1900" s="7"/>
    </row>
    <row r="1901" spans="1:167">
      <c r="A1901" s="571"/>
      <c r="B1901" s="1008"/>
      <c r="C1901" s="7"/>
      <c r="P1901" s="7"/>
      <c r="AX1901" s="7"/>
      <c r="BP1901" s="61"/>
      <c r="CF1901" s="104"/>
      <c r="CG1901" s="105"/>
      <c r="FK1901" s="7"/>
    </row>
    <row r="1902" spans="1:167">
      <c r="A1902" s="571"/>
      <c r="B1902" s="1008"/>
      <c r="C1902" s="7"/>
      <c r="P1902" s="7"/>
      <c r="AX1902" s="7"/>
      <c r="BP1902" s="61"/>
      <c r="CF1902" s="104"/>
      <c r="CG1902" s="105"/>
      <c r="FK1902" s="7"/>
    </row>
    <row r="1903" spans="1:167">
      <c r="A1903" s="571"/>
      <c r="B1903" s="1008"/>
      <c r="C1903" s="7"/>
      <c r="P1903" s="7"/>
      <c r="AX1903" s="7"/>
      <c r="BP1903" s="61"/>
      <c r="CF1903" s="104"/>
      <c r="CG1903" s="105"/>
      <c r="FK1903" s="7"/>
    </row>
    <row r="1904" spans="1:167">
      <c r="A1904" s="571"/>
      <c r="B1904" s="1008"/>
      <c r="C1904" s="7"/>
      <c r="P1904" s="7"/>
      <c r="AX1904" s="7"/>
      <c r="BP1904" s="61"/>
      <c r="CF1904" s="104"/>
      <c r="CG1904" s="105"/>
      <c r="FK1904" s="7"/>
    </row>
    <row r="1905" spans="1:167">
      <c r="A1905" s="571"/>
      <c r="B1905" s="1008"/>
      <c r="C1905" s="7"/>
      <c r="P1905" s="7"/>
      <c r="AX1905" s="7"/>
      <c r="BP1905" s="61"/>
      <c r="CF1905" s="104"/>
      <c r="CG1905" s="105"/>
      <c r="FK1905" s="7"/>
    </row>
    <row r="1906" spans="1:167">
      <c r="A1906" s="571"/>
      <c r="B1906" s="1008"/>
      <c r="C1906" s="7"/>
      <c r="P1906" s="7"/>
      <c r="AX1906" s="7"/>
      <c r="BP1906" s="61"/>
      <c r="CF1906" s="104"/>
      <c r="CG1906" s="105"/>
      <c r="FK1906" s="7"/>
    </row>
    <row r="1907" spans="1:167">
      <c r="A1907" s="571"/>
      <c r="B1907" s="1008"/>
      <c r="C1907" s="7"/>
      <c r="P1907" s="7"/>
      <c r="AX1907" s="7"/>
      <c r="BP1907" s="61"/>
      <c r="CF1907" s="104"/>
      <c r="CG1907" s="105"/>
      <c r="FK1907" s="7"/>
    </row>
    <row r="1908" spans="1:167">
      <c r="A1908" s="571"/>
      <c r="B1908" s="1008"/>
      <c r="C1908" s="7"/>
      <c r="P1908" s="7"/>
      <c r="AX1908" s="7"/>
      <c r="BP1908" s="61"/>
      <c r="CF1908" s="104"/>
      <c r="CG1908" s="105"/>
      <c r="FK1908" s="7"/>
    </row>
    <row r="1909" spans="1:167">
      <c r="A1909" s="571"/>
      <c r="B1909" s="1008"/>
      <c r="C1909" s="7"/>
      <c r="P1909" s="7"/>
      <c r="AX1909" s="7"/>
      <c r="BP1909" s="61"/>
      <c r="CF1909" s="104"/>
      <c r="CG1909" s="105"/>
      <c r="FK1909" s="7"/>
    </row>
    <row r="1910" spans="1:167">
      <c r="A1910" s="571"/>
      <c r="B1910" s="1008"/>
      <c r="C1910" s="7"/>
      <c r="P1910" s="7"/>
      <c r="AX1910" s="7"/>
      <c r="BP1910" s="61"/>
      <c r="CF1910" s="104"/>
      <c r="CG1910" s="105"/>
      <c r="FK1910" s="7"/>
    </row>
    <row r="1911" spans="1:167">
      <c r="A1911" s="571"/>
      <c r="B1911" s="1008"/>
      <c r="C1911" s="7"/>
      <c r="P1911" s="7"/>
      <c r="AX1911" s="7"/>
      <c r="BP1911" s="61"/>
      <c r="CF1911" s="104"/>
      <c r="CG1911" s="105"/>
      <c r="FK1911" s="7"/>
    </row>
    <row r="1912" spans="1:167">
      <c r="A1912" s="571"/>
      <c r="B1912" s="1008"/>
      <c r="C1912" s="7"/>
      <c r="P1912" s="7"/>
      <c r="AX1912" s="7"/>
      <c r="BP1912" s="61"/>
      <c r="CF1912" s="104"/>
      <c r="CG1912" s="105"/>
      <c r="FK1912" s="7"/>
    </row>
    <row r="1913" spans="1:167">
      <c r="A1913" s="571"/>
      <c r="B1913" s="1008"/>
      <c r="C1913" s="7"/>
      <c r="P1913" s="7"/>
      <c r="AX1913" s="7"/>
      <c r="BP1913" s="61"/>
      <c r="CF1913" s="104"/>
      <c r="CG1913" s="105"/>
      <c r="FK1913" s="7"/>
    </row>
    <row r="1914" spans="1:167">
      <c r="A1914" s="571"/>
      <c r="B1914" s="1008"/>
      <c r="C1914" s="7"/>
      <c r="P1914" s="7"/>
      <c r="AX1914" s="7"/>
      <c r="BP1914" s="61"/>
      <c r="CF1914" s="104"/>
      <c r="CG1914" s="105"/>
      <c r="FK1914" s="7"/>
    </row>
    <row r="1915" spans="1:167">
      <c r="A1915" s="571"/>
      <c r="B1915" s="1008"/>
      <c r="C1915" s="7"/>
      <c r="P1915" s="7"/>
      <c r="AX1915" s="7"/>
      <c r="BP1915" s="61"/>
      <c r="CF1915" s="104"/>
      <c r="CG1915" s="105"/>
      <c r="FK1915" s="7"/>
    </row>
    <row r="1916" spans="1:167">
      <c r="A1916" s="571"/>
      <c r="B1916" s="1008"/>
      <c r="C1916" s="7"/>
      <c r="P1916" s="7"/>
      <c r="AX1916" s="7"/>
      <c r="BP1916" s="61"/>
      <c r="CF1916" s="104"/>
      <c r="CG1916" s="105"/>
      <c r="FK1916" s="7"/>
    </row>
    <row r="1917" spans="1:167">
      <c r="A1917" s="571"/>
      <c r="B1917" s="1008"/>
      <c r="C1917" s="7"/>
      <c r="P1917" s="7"/>
      <c r="AX1917" s="7"/>
      <c r="BP1917" s="61"/>
      <c r="CF1917" s="104"/>
      <c r="CG1917" s="105"/>
      <c r="FK1917" s="7"/>
    </row>
    <row r="1918" spans="1:167">
      <c r="A1918" s="571"/>
      <c r="B1918" s="1008"/>
      <c r="C1918" s="7"/>
      <c r="P1918" s="7"/>
      <c r="AX1918" s="7"/>
      <c r="BP1918" s="61"/>
      <c r="CF1918" s="104"/>
      <c r="CG1918" s="105"/>
      <c r="FK1918" s="7"/>
    </row>
    <row r="1919" spans="1:167">
      <c r="A1919" s="571"/>
      <c r="B1919" s="1008"/>
      <c r="C1919" s="7"/>
      <c r="P1919" s="7"/>
      <c r="AX1919" s="7"/>
      <c r="BP1919" s="61"/>
      <c r="CF1919" s="104"/>
      <c r="CG1919" s="105"/>
      <c r="FK1919" s="7"/>
    </row>
    <row r="1920" spans="1:167">
      <c r="A1920" s="571"/>
      <c r="B1920" s="1008"/>
      <c r="C1920" s="7"/>
      <c r="P1920" s="7"/>
      <c r="AX1920" s="7"/>
      <c r="BP1920" s="61"/>
      <c r="CF1920" s="104"/>
      <c r="CG1920" s="105"/>
      <c r="FK1920" s="7"/>
    </row>
    <row r="1921" spans="1:167">
      <c r="A1921" s="571"/>
      <c r="B1921" s="1008"/>
      <c r="C1921" s="7"/>
      <c r="P1921" s="7"/>
      <c r="AX1921" s="7"/>
      <c r="BP1921" s="61"/>
      <c r="CF1921" s="104"/>
      <c r="CG1921" s="105"/>
      <c r="FK1921" s="7"/>
    </row>
    <row r="1922" spans="1:167">
      <c r="A1922" s="571"/>
      <c r="B1922" s="1008"/>
      <c r="C1922" s="7"/>
      <c r="P1922" s="7"/>
      <c r="AX1922" s="7"/>
      <c r="BP1922" s="61"/>
      <c r="CF1922" s="104"/>
      <c r="CG1922" s="105"/>
      <c r="FK1922" s="7"/>
    </row>
    <row r="1923" spans="1:167">
      <c r="A1923" s="571"/>
      <c r="B1923" s="1008"/>
      <c r="C1923" s="7"/>
      <c r="P1923" s="7"/>
      <c r="AX1923" s="7"/>
      <c r="BP1923" s="61"/>
      <c r="CF1923" s="104"/>
      <c r="CG1923" s="105"/>
      <c r="FK1923" s="7"/>
    </row>
    <row r="1924" spans="1:167">
      <c r="A1924" s="571"/>
      <c r="B1924" s="1008"/>
      <c r="C1924" s="7"/>
      <c r="P1924" s="7"/>
      <c r="AX1924" s="7"/>
      <c r="BP1924" s="61"/>
      <c r="CF1924" s="104"/>
      <c r="CG1924" s="105"/>
      <c r="FK1924" s="7"/>
    </row>
    <row r="1925" spans="1:167">
      <c r="A1925" s="571"/>
      <c r="B1925" s="1008"/>
      <c r="C1925" s="7"/>
      <c r="P1925" s="7"/>
      <c r="AX1925" s="7"/>
      <c r="BP1925" s="61"/>
      <c r="CF1925" s="104"/>
      <c r="CG1925" s="105"/>
      <c r="FK1925" s="7"/>
    </row>
    <row r="1926" spans="1:167">
      <c r="A1926" s="571"/>
      <c r="B1926" s="1008"/>
      <c r="C1926" s="7"/>
      <c r="P1926" s="7"/>
      <c r="AX1926" s="7"/>
      <c r="BP1926" s="61"/>
      <c r="CF1926" s="104"/>
      <c r="CG1926" s="105"/>
      <c r="FK1926" s="7"/>
    </row>
    <row r="1927" spans="1:167">
      <c r="A1927" s="571"/>
      <c r="B1927" s="1008"/>
      <c r="C1927" s="7"/>
      <c r="P1927" s="7"/>
      <c r="AX1927" s="7"/>
      <c r="BP1927" s="61"/>
      <c r="CF1927" s="104"/>
      <c r="CG1927" s="105"/>
      <c r="FK1927" s="7"/>
    </row>
    <row r="1928" spans="1:167">
      <c r="A1928" s="571"/>
      <c r="B1928" s="1008"/>
      <c r="C1928" s="7"/>
      <c r="P1928" s="7"/>
      <c r="AX1928" s="7"/>
      <c r="BP1928" s="61"/>
      <c r="CF1928" s="104"/>
      <c r="CG1928" s="105"/>
      <c r="FK1928" s="7"/>
    </row>
    <row r="1929" spans="1:167">
      <c r="A1929" s="571"/>
      <c r="B1929" s="1008"/>
      <c r="C1929" s="7"/>
      <c r="P1929" s="7"/>
      <c r="AX1929" s="7"/>
      <c r="BP1929" s="61"/>
      <c r="CF1929" s="104"/>
      <c r="CG1929" s="105"/>
      <c r="FK1929" s="7"/>
    </row>
    <row r="1930" spans="1:167">
      <c r="A1930" s="571"/>
      <c r="B1930" s="1008"/>
      <c r="C1930" s="7"/>
      <c r="P1930" s="7"/>
      <c r="AX1930" s="7"/>
      <c r="BP1930" s="61"/>
      <c r="CF1930" s="104"/>
      <c r="CG1930" s="105"/>
      <c r="FK1930" s="7"/>
    </row>
    <row r="1931" spans="1:167">
      <c r="A1931" s="571"/>
      <c r="B1931" s="1008"/>
      <c r="C1931" s="7"/>
      <c r="P1931" s="7"/>
      <c r="AX1931" s="7"/>
      <c r="BP1931" s="61"/>
      <c r="CF1931" s="104"/>
      <c r="CG1931" s="105"/>
      <c r="FK1931" s="7"/>
    </row>
    <row r="1932" spans="1:167">
      <c r="A1932" s="571"/>
      <c r="B1932" s="1008"/>
      <c r="C1932" s="7"/>
      <c r="P1932" s="7"/>
      <c r="AX1932" s="7"/>
      <c r="BP1932" s="61"/>
      <c r="CF1932" s="104"/>
      <c r="CG1932" s="105"/>
      <c r="FK1932" s="7"/>
    </row>
    <row r="1933" spans="1:167">
      <c r="A1933" s="571"/>
      <c r="B1933" s="1008"/>
      <c r="C1933" s="7"/>
      <c r="P1933" s="7"/>
      <c r="AX1933" s="7"/>
      <c r="BP1933" s="61"/>
      <c r="CF1933" s="104"/>
      <c r="CG1933" s="105"/>
      <c r="FK1933" s="7"/>
    </row>
    <row r="1934" spans="1:167">
      <c r="A1934" s="571"/>
      <c r="B1934" s="1008"/>
      <c r="C1934" s="7"/>
      <c r="P1934" s="7"/>
      <c r="AX1934" s="7"/>
      <c r="BP1934" s="61"/>
      <c r="CF1934" s="104"/>
      <c r="CG1934" s="105"/>
      <c r="FK1934" s="7"/>
    </row>
    <row r="1935" spans="1:167">
      <c r="A1935" s="571"/>
      <c r="B1935" s="1008"/>
      <c r="C1935" s="7"/>
      <c r="P1935" s="7"/>
      <c r="AX1935" s="7"/>
      <c r="BP1935" s="61"/>
      <c r="CF1935" s="104"/>
      <c r="CG1935" s="105"/>
      <c r="FK1935" s="7"/>
    </row>
    <row r="1936" spans="1:167">
      <c r="A1936" s="571"/>
      <c r="B1936" s="1008"/>
      <c r="C1936" s="7"/>
      <c r="P1936" s="7"/>
      <c r="AX1936" s="7"/>
      <c r="BP1936" s="61"/>
      <c r="CF1936" s="104"/>
      <c r="CG1936" s="105"/>
      <c r="FK1936" s="7"/>
    </row>
    <row r="1937" spans="1:167">
      <c r="A1937" s="571"/>
      <c r="B1937" s="1008"/>
      <c r="C1937" s="7"/>
      <c r="P1937" s="7"/>
      <c r="AX1937" s="7"/>
      <c r="BP1937" s="61"/>
      <c r="CF1937" s="104"/>
      <c r="CG1937" s="105"/>
      <c r="FK1937" s="7"/>
    </row>
    <row r="1938" spans="1:167">
      <c r="A1938" s="571"/>
      <c r="B1938" s="1008"/>
      <c r="C1938" s="7"/>
      <c r="P1938" s="7"/>
      <c r="AX1938" s="7"/>
      <c r="BP1938" s="61"/>
      <c r="CF1938" s="104"/>
      <c r="CG1938" s="105"/>
      <c r="FK1938" s="7"/>
    </row>
    <row r="1939" spans="1:167">
      <c r="A1939" s="571"/>
      <c r="B1939" s="1008"/>
      <c r="C1939" s="7"/>
      <c r="P1939" s="7"/>
      <c r="AX1939" s="7"/>
      <c r="BP1939" s="61"/>
      <c r="CF1939" s="104"/>
      <c r="CG1939" s="105"/>
      <c r="FK1939" s="7"/>
    </row>
    <row r="1940" spans="1:167">
      <c r="A1940" s="571"/>
      <c r="B1940" s="1008"/>
      <c r="C1940" s="7"/>
      <c r="P1940" s="7"/>
      <c r="AX1940" s="7"/>
      <c r="BP1940" s="61"/>
      <c r="CF1940" s="104"/>
      <c r="CG1940" s="105"/>
      <c r="FK1940" s="7"/>
    </row>
    <row r="1941" spans="1:167">
      <c r="A1941" s="571"/>
      <c r="B1941" s="1008"/>
      <c r="C1941" s="7"/>
      <c r="P1941" s="7"/>
      <c r="AX1941" s="7"/>
      <c r="BP1941" s="61"/>
      <c r="CF1941" s="104"/>
      <c r="CG1941" s="105"/>
      <c r="FK1941" s="7"/>
    </row>
    <row r="1942" spans="1:167">
      <c r="A1942" s="571"/>
      <c r="B1942" s="1008"/>
      <c r="C1942" s="7"/>
      <c r="P1942" s="7"/>
      <c r="AX1942" s="7"/>
      <c r="BP1942" s="61"/>
      <c r="CF1942" s="104"/>
      <c r="CG1942" s="105"/>
      <c r="FK1942" s="7"/>
    </row>
    <row r="1943" spans="1:167">
      <c r="A1943" s="571"/>
      <c r="B1943" s="1008"/>
      <c r="C1943" s="7"/>
      <c r="P1943" s="7"/>
      <c r="AX1943" s="7"/>
      <c r="BP1943" s="61"/>
      <c r="CF1943" s="104"/>
      <c r="CG1943" s="105"/>
      <c r="FK1943" s="7"/>
    </row>
    <row r="1944" spans="1:167">
      <c r="A1944" s="571"/>
      <c r="B1944" s="1008"/>
      <c r="C1944" s="7"/>
      <c r="P1944" s="7"/>
      <c r="AX1944" s="7"/>
      <c r="BP1944" s="61"/>
      <c r="CF1944" s="104"/>
      <c r="CG1944" s="105"/>
      <c r="FK1944" s="7"/>
    </row>
    <row r="1945" spans="1:167">
      <c r="A1945" s="571"/>
      <c r="B1945" s="1008"/>
      <c r="C1945" s="7"/>
      <c r="P1945" s="7"/>
      <c r="AX1945" s="7"/>
      <c r="BP1945" s="61"/>
      <c r="CF1945" s="104"/>
      <c r="CG1945" s="105"/>
      <c r="FK1945" s="7"/>
    </row>
    <row r="1946" spans="1:167">
      <c r="A1946" s="571"/>
      <c r="B1946" s="1008"/>
      <c r="C1946" s="7"/>
      <c r="P1946" s="7"/>
      <c r="AX1946" s="7"/>
      <c r="BP1946" s="61"/>
      <c r="CF1946" s="104"/>
      <c r="CG1946" s="105"/>
      <c r="FK1946" s="7"/>
    </row>
    <row r="1947" spans="1:167">
      <c r="A1947" s="571"/>
      <c r="B1947" s="1008"/>
      <c r="C1947" s="7"/>
      <c r="P1947" s="7"/>
      <c r="AX1947" s="7"/>
      <c r="BP1947" s="61"/>
      <c r="CF1947" s="104"/>
      <c r="CG1947" s="105"/>
      <c r="FK1947" s="7"/>
    </row>
    <row r="1948" spans="1:167">
      <c r="A1948" s="571"/>
      <c r="B1948" s="1008"/>
      <c r="C1948" s="7"/>
      <c r="P1948" s="7"/>
      <c r="AX1948" s="7"/>
      <c r="BP1948" s="61"/>
      <c r="CF1948" s="104"/>
      <c r="CG1948" s="105"/>
      <c r="FK1948" s="7"/>
    </row>
    <row r="1949" spans="1:167">
      <c r="A1949" s="571"/>
      <c r="B1949" s="1008"/>
      <c r="C1949" s="7"/>
      <c r="P1949" s="7"/>
      <c r="AX1949" s="7"/>
      <c r="BP1949" s="61"/>
      <c r="CF1949" s="104"/>
      <c r="CG1949" s="105"/>
      <c r="FK1949" s="7"/>
    </row>
    <row r="1950" spans="1:167">
      <c r="A1950" s="571"/>
      <c r="B1950" s="1008"/>
      <c r="C1950" s="7"/>
      <c r="P1950" s="7"/>
      <c r="AX1950" s="7"/>
      <c r="BP1950" s="61"/>
      <c r="CF1950" s="104"/>
      <c r="CG1950" s="105"/>
      <c r="FK1950" s="7"/>
    </row>
    <row r="1951" spans="1:167">
      <c r="A1951" s="571"/>
      <c r="B1951" s="1008"/>
      <c r="C1951" s="7"/>
      <c r="P1951" s="7"/>
      <c r="AX1951" s="7"/>
      <c r="BP1951" s="61"/>
      <c r="CF1951" s="104"/>
      <c r="CG1951" s="105"/>
      <c r="FK1951" s="7"/>
    </row>
    <row r="1952" spans="1:167">
      <c r="A1952" s="571"/>
      <c r="B1952" s="1008"/>
      <c r="C1952" s="7"/>
      <c r="P1952" s="7"/>
      <c r="AX1952" s="7"/>
      <c r="BP1952" s="61"/>
      <c r="CF1952" s="104"/>
      <c r="CG1952" s="105"/>
      <c r="FK1952" s="7"/>
    </row>
    <row r="1953" spans="1:167">
      <c r="A1953" s="571"/>
      <c r="B1953" s="1008"/>
      <c r="C1953" s="7"/>
      <c r="P1953" s="7"/>
      <c r="AX1953" s="7"/>
      <c r="BP1953" s="61"/>
      <c r="CF1953" s="104"/>
      <c r="CG1953" s="105"/>
      <c r="FK1953" s="7"/>
    </row>
    <row r="1954" spans="1:167">
      <c r="A1954" s="571"/>
      <c r="B1954" s="1008"/>
      <c r="C1954" s="7"/>
      <c r="P1954" s="7"/>
      <c r="AX1954" s="7"/>
      <c r="BP1954" s="61"/>
      <c r="CF1954" s="104"/>
      <c r="CG1954" s="105"/>
      <c r="FK1954" s="7"/>
    </row>
    <row r="1955" spans="1:167">
      <c r="A1955" s="571"/>
      <c r="B1955" s="1008"/>
      <c r="C1955" s="7"/>
      <c r="P1955" s="7"/>
      <c r="AX1955" s="7"/>
      <c r="BP1955" s="61"/>
      <c r="CF1955" s="104"/>
      <c r="CG1955" s="105"/>
      <c r="FK1955" s="7"/>
    </row>
    <row r="1956" spans="1:167">
      <c r="A1956" s="571"/>
      <c r="B1956" s="1008"/>
      <c r="C1956" s="7"/>
      <c r="P1956" s="7"/>
      <c r="AX1956" s="7"/>
      <c r="BP1956" s="61"/>
      <c r="CF1956" s="104"/>
      <c r="CG1956" s="105"/>
      <c r="FK1956" s="7"/>
    </row>
    <row r="1957" spans="1:167">
      <c r="A1957" s="571"/>
      <c r="B1957" s="1008"/>
      <c r="C1957" s="7"/>
      <c r="P1957" s="7"/>
      <c r="AX1957" s="7"/>
      <c r="BP1957" s="61"/>
      <c r="CF1957" s="104"/>
      <c r="CG1957" s="105"/>
      <c r="FK1957" s="7"/>
    </row>
    <row r="1958" spans="1:167">
      <c r="A1958" s="571"/>
      <c r="B1958" s="1008"/>
      <c r="C1958" s="7"/>
      <c r="P1958" s="7"/>
      <c r="AX1958" s="7"/>
      <c r="BP1958" s="61"/>
      <c r="CF1958" s="104"/>
      <c r="CG1958" s="105"/>
      <c r="FK1958" s="7"/>
    </row>
    <row r="1959" spans="1:167">
      <c r="A1959" s="571"/>
      <c r="B1959" s="1008"/>
      <c r="C1959" s="7"/>
      <c r="P1959" s="7"/>
      <c r="AX1959" s="7"/>
      <c r="BP1959" s="61"/>
      <c r="CF1959" s="104"/>
      <c r="CG1959" s="105"/>
      <c r="FK1959" s="7"/>
    </row>
    <row r="1960" spans="1:167">
      <c r="A1960" s="571"/>
      <c r="B1960" s="1008"/>
      <c r="C1960" s="7"/>
      <c r="P1960" s="7"/>
      <c r="AX1960" s="7"/>
      <c r="BP1960" s="61"/>
      <c r="CF1960" s="104"/>
      <c r="CG1960" s="105"/>
      <c r="FK1960" s="7"/>
    </row>
    <row r="1961" spans="1:167">
      <c r="A1961" s="571"/>
      <c r="B1961" s="1008"/>
      <c r="C1961" s="7"/>
      <c r="P1961" s="7"/>
      <c r="AX1961" s="7"/>
      <c r="BP1961" s="61"/>
      <c r="CF1961" s="104"/>
      <c r="CG1961" s="105"/>
      <c r="FK1961" s="7"/>
    </row>
    <row r="1962" spans="1:167">
      <c r="A1962" s="571"/>
      <c r="B1962" s="1008"/>
      <c r="C1962" s="7"/>
      <c r="P1962" s="7"/>
      <c r="AX1962" s="7"/>
      <c r="BP1962" s="61"/>
      <c r="CF1962" s="104"/>
      <c r="CG1962" s="105"/>
      <c r="FK1962" s="7"/>
    </row>
    <row r="1963" spans="1:167">
      <c r="A1963" s="571"/>
      <c r="B1963" s="1008"/>
      <c r="C1963" s="7"/>
      <c r="P1963" s="7"/>
      <c r="AX1963" s="7"/>
      <c r="BP1963" s="61"/>
      <c r="CF1963" s="104"/>
      <c r="CG1963" s="105"/>
      <c r="FK1963" s="7"/>
    </row>
    <row r="1964" spans="1:167">
      <c r="A1964" s="571"/>
      <c r="B1964" s="1008"/>
      <c r="C1964" s="7"/>
      <c r="P1964" s="7"/>
      <c r="AX1964" s="7"/>
      <c r="BP1964" s="61"/>
      <c r="CF1964" s="104"/>
      <c r="CG1964" s="105"/>
      <c r="FK1964" s="7"/>
    </row>
    <row r="1965" spans="1:167">
      <c r="A1965" s="571"/>
      <c r="B1965" s="1008"/>
      <c r="C1965" s="7"/>
      <c r="P1965" s="7"/>
      <c r="AX1965" s="7"/>
      <c r="BP1965" s="61"/>
      <c r="CF1965" s="104"/>
      <c r="CG1965" s="105"/>
      <c r="FK1965" s="7"/>
    </row>
    <row r="1966" spans="1:167">
      <c r="A1966" s="571"/>
      <c r="B1966" s="1008"/>
      <c r="C1966" s="7"/>
      <c r="P1966" s="7"/>
      <c r="AX1966" s="7"/>
      <c r="BP1966" s="61"/>
      <c r="CF1966" s="104"/>
      <c r="CG1966" s="105"/>
      <c r="FK1966" s="7"/>
    </row>
    <row r="1967" spans="1:167">
      <c r="A1967" s="571"/>
      <c r="B1967" s="1008"/>
      <c r="C1967" s="7"/>
      <c r="P1967" s="7"/>
      <c r="AX1967" s="7"/>
      <c r="BP1967" s="61"/>
      <c r="CF1967" s="104"/>
      <c r="CG1967" s="105"/>
      <c r="FK1967" s="7"/>
    </row>
    <row r="1968" spans="1:167">
      <c r="A1968" s="571"/>
      <c r="B1968" s="1008"/>
      <c r="C1968" s="7"/>
      <c r="P1968" s="7"/>
      <c r="AX1968" s="7"/>
      <c r="BP1968" s="61"/>
      <c r="CF1968" s="104"/>
      <c r="CG1968" s="105"/>
      <c r="FK1968" s="7"/>
    </row>
    <row r="1969" spans="1:167">
      <c r="A1969" s="571"/>
      <c r="B1969" s="1008"/>
      <c r="C1969" s="7"/>
      <c r="P1969" s="7"/>
      <c r="AX1969" s="7"/>
      <c r="BP1969" s="61"/>
      <c r="CF1969" s="104"/>
      <c r="CG1969" s="105"/>
      <c r="FK1969" s="7"/>
    </row>
    <row r="1970" spans="1:167">
      <c r="A1970" s="571"/>
      <c r="B1970" s="1008"/>
      <c r="C1970" s="7"/>
      <c r="P1970" s="7"/>
      <c r="AX1970" s="7"/>
      <c r="BP1970" s="61"/>
      <c r="CF1970" s="104"/>
      <c r="CG1970" s="105"/>
      <c r="FK1970" s="7"/>
    </row>
    <row r="1971" spans="1:167">
      <c r="A1971" s="571"/>
      <c r="B1971" s="1008"/>
      <c r="C1971" s="7"/>
      <c r="P1971" s="7"/>
      <c r="AX1971" s="7"/>
      <c r="BP1971" s="61"/>
      <c r="CF1971" s="104"/>
      <c r="CG1971" s="105"/>
      <c r="FK1971" s="7"/>
    </row>
    <row r="1972" spans="1:167">
      <c r="A1972" s="571"/>
      <c r="B1972" s="1008"/>
      <c r="C1972" s="7"/>
      <c r="P1972" s="7"/>
      <c r="AX1972" s="7"/>
      <c r="BP1972" s="61"/>
      <c r="CF1972" s="104"/>
      <c r="CG1972" s="105"/>
      <c r="FK1972" s="7"/>
    </row>
    <row r="1973" spans="1:167">
      <c r="A1973" s="571"/>
      <c r="B1973" s="1008"/>
      <c r="C1973" s="7"/>
      <c r="P1973" s="7"/>
      <c r="AX1973" s="7"/>
      <c r="BP1973" s="61"/>
      <c r="CF1973" s="104"/>
      <c r="CG1973" s="105"/>
      <c r="FK1973" s="7"/>
    </row>
    <row r="1974" spans="1:167">
      <c r="A1974" s="571"/>
      <c r="B1974" s="1008"/>
      <c r="C1974" s="7"/>
      <c r="P1974" s="7"/>
      <c r="AX1974" s="7"/>
      <c r="BP1974" s="61"/>
      <c r="CF1974" s="104"/>
      <c r="CG1974" s="105"/>
      <c r="FK1974" s="7"/>
    </row>
    <row r="1975" spans="1:167">
      <c r="A1975" s="571"/>
      <c r="B1975" s="1008"/>
      <c r="C1975" s="7"/>
      <c r="P1975" s="7"/>
      <c r="AX1975" s="7"/>
      <c r="BP1975" s="61"/>
      <c r="CF1975" s="104"/>
      <c r="CG1975" s="105"/>
      <c r="FK1975" s="7"/>
    </row>
    <row r="1976" spans="1:167">
      <c r="A1976" s="571"/>
      <c r="B1976" s="1008"/>
      <c r="C1976" s="7"/>
      <c r="P1976" s="7"/>
      <c r="AX1976" s="7"/>
      <c r="BP1976" s="61"/>
      <c r="CF1976" s="104"/>
      <c r="CG1976" s="105"/>
      <c r="FK1976" s="7"/>
    </row>
    <row r="1977" spans="1:167">
      <c r="A1977" s="571"/>
      <c r="B1977" s="1008"/>
      <c r="C1977" s="7"/>
      <c r="P1977" s="7"/>
      <c r="AX1977" s="7"/>
      <c r="BP1977" s="61"/>
      <c r="CF1977" s="104"/>
      <c r="CG1977" s="105"/>
      <c r="FK1977" s="7"/>
    </row>
    <row r="1978" spans="1:167">
      <c r="A1978" s="571"/>
      <c r="B1978" s="1008"/>
      <c r="C1978" s="7"/>
      <c r="P1978" s="7"/>
      <c r="AX1978" s="7"/>
      <c r="BP1978" s="61"/>
      <c r="CF1978" s="104"/>
      <c r="CG1978" s="105"/>
      <c r="FK1978" s="7"/>
    </row>
    <row r="1979" spans="1:167">
      <c r="A1979" s="571"/>
      <c r="B1979" s="1008"/>
      <c r="C1979" s="7"/>
      <c r="P1979" s="7"/>
      <c r="AX1979" s="7"/>
      <c r="BP1979" s="61"/>
      <c r="CF1979" s="104"/>
      <c r="CG1979" s="105"/>
      <c r="FK1979" s="7"/>
    </row>
    <row r="1980" spans="1:167">
      <c r="A1980" s="571"/>
      <c r="B1980" s="1008"/>
      <c r="C1980" s="7"/>
      <c r="P1980" s="7"/>
      <c r="AX1980" s="7"/>
      <c r="BP1980" s="61"/>
      <c r="CF1980" s="104"/>
      <c r="CG1980" s="105"/>
      <c r="FK1980" s="7"/>
    </row>
    <row r="1981" spans="1:167">
      <c r="A1981" s="571"/>
      <c r="B1981" s="1008"/>
      <c r="C1981" s="7"/>
      <c r="P1981" s="7"/>
      <c r="AX1981" s="7"/>
      <c r="BP1981" s="61"/>
      <c r="CF1981" s="104"/>
      <c r="CG1981" s="105"/>
      <c r="FK1981" s="7"/>
    </row>
    <row r="1982" spans="1:167">
      <c r="A1982" s="571"/>
      <c r="B1982" s="1008"/>
      <c r="C1982" s="7"/>
      <c r="P1982" s="7"/>
      <c r="AX1982" s="7"/>
      <c r="BP1982" s="61"/>
      <c r="CF1982" s="104"/>
      <c r="CG1982" s="105"/>
      <c r="FK1982" s="7"/>
    </row>
    <row r="1983" spans="1:167">
      <c r="A1983" s="571"/>
      <c r="B1983" s="1008"/>
      <c r="C1983" s="7"/>
      <c r="P1983" s="7"/>
      <c r="AX1983" s="7"/>
      <c r="BP1983" s="61"/>
      <c r="CF1983" s="104"/>
      <c r="CG1983" s="105"/>
      <c r="FK1983" s="7"/>
    </row>
    <row r="1984" spans="1:167">
      <c r="A1984" s="571"/>
      <c r="B1984" s="1008"/>
      <c r="C1984" s="7"/>
      <c r="P1984" s="7"/>
      <c r="AX1984" s="7"/>
      <c r="BP1984" s="61"/>
      <c r="CF1984" s="104"/>
      <c r="CG1984" s="105"/>
      <c r="FK1984" s="7"/>
    </row>
    <row r="1985" spans="1:167">
      <c r="A1985" s="571"/>
      <c r="B1985" s="1008"/>
      <c r="C1985" s="7"/>
      <c r="P1985" s="7"/>
      <c r="AX1985" s="7"/>
      <c r="BP1985" s="61"/>
      <c r="CF1985" s="104"/>
      <c r="CG1985" s="105"/>
      <c r="FK1985" s="7"/>
    </row>
    <row r="1986" spans="1:167">
      <c r="A1986" s="571"/>
      <c r="B1986" s="1008"/>
      <c r="C1986" s="7"/>
      <c r="P1986" s="7"/>
      <c r="AX1986" s="7"/>
      <c r="BP1986" s="61"/>
      <c r="CF1986" s="104"/>
      <c r="CG1986" s="105"/>
      <c r="FK1986" s="7"/>
    </row>
    <row r="1987" spans="1:167">
      <c r="A1987" s="571"/>
      <c r="B1987" s="1008"/>
      <c r="C1987" s="7"/>
      <c r="P1987" s="7"/>
      <c r="AX1987" s="7"/>
      <c r="BP1987" s="61"/>
      <c r="CF1987" s="104"/>
      <c r="CG1987" s="105"/>
      <c r="FK1987" s="7"/>
    </row>
    <row r="1988" spans="1:167">
      <c r="A1988" s="571"/>
      <c r="B1988" s="1008"/>
      <c r="C1988" s="7"/>
      <c r="P1988" s="7"/>
      <c r="AX1988" s="7"/>
      <c r="BP1988" s="61"/>
      <c r="CF1988" s="104"/>
      <c r="CG1988" s="105"/>
      <c r="FK1988" s="7"/>
    </row>
    <row r="1989" spans="1:167">
      <c r="A1989" s="571"/>
      <c r="B1989" s="1008"/>
      <c r="C1989" s="7"/>
      <c r="P1989" s="7"/>
      <c r="AX1989" s="7"/>
      <c r="BP1989" s="61"/>
      <c r="CF1989" s="104"/>
      <c r="CG1989" s="105"/>
      <c r="FK1989" s="7"/>
    </row>
    <row r="1990" spans="1:167">
      <c r="A1990" s="571"/>
      <c r="B1990" s="1008"/>
      <c r="C1990" s="7"/>
      <c r="P1990" s="7"/>
      <c r="AX1990" s="7"/>
      <c r="BP1990" s="61"/>
      <c r="CF1990" s="104"/>
      <c r="CG1990" s="105"/>
      <c r="FK1990" s="7"/>
    </row>
    <row r="1991" spans="1:167">
      <c r="A1991" s="571"/>
      <c r="B1991" s="1008"/>
      <c r="C1991" s="7"/>
      <c r="P1991" s="7"/>
      <c r="AX1991" s="7"/>
      <c r="BP1991" s="61"/>
      <c r="CF1991" s="104"/>
      <c r="CG1991" s="105"/>
      <c r="FK1991" s="7"/>
    </row>
    <row r="1992" spans="1:167">
      <c r="A1992" s="571"/>
      <c r="B1992" s="1008"/>
      <c r="C1992" s="7"/>
      <c r="P1992" s="7"/>
      <c r="AX1992" s="7"/>
      <c r="BP1992" s="61"/>
      <c r="CF1992" s="104"/>
      <c r="CG1992" s="105"/>
      <c r="FK1992" s="7"/>
    </row>
    <row r="1993" spans="1:167">
      <c r="A1993" s="571"/>
      <c r="B1993" s="1008"/>
      <c r="C1993" s="7"/>
      <c r="P1993" s="7"/>
      <c r="AX1993" s="7"/>
      <c r="BP1993" s="61"/>
      <c r="CF1993" s="104"/>
      <c r="CG1993" s="105"/>
      <c r="FK1993" s="7"/>
    </row>
    <row r="1994" spans="1:167">
      <c r="A1994" s="571"/>
      <c r="B1994" s="1008"/>
      <c r="C1994" s="7"/>
      <c r="P1994" s="7"/>
      <c r="AX1994" s="7"/>
      <c r="BP1994" s="61"/>
      <c r="CF1994" s="104"/>
      <c r="CG1994" s="105"/>
      <c r="FK1994" s="7"/>
    </row>
    <row r="1995" spans="1:167">
      <c r="A1995" s="571"/>
      <c r="B1995" s="1008"/>
      <c r="C1995" s="7"/>
      <c r="P1995" s="7"/>
      <c r="AX1995" s="7"/>
      <c r="BP1995" s="61"/>
      <c r="CF1995" s="104"/>
      <c r="CG1995" s="105"/>
      <c r="FK1995" s="7"/>
    </row>
    <row r="1996" spans="1:167">
      <c r="A1996" s="571"/>
      <c r="B1996" s="1008"/>
      <c r="C1996" s="7"/>
      <c r="P1996" s="7"/>
      <c r="AX1996" s="7"/>
      <c r="BP1996" s="61"/>
      <c r="CF1996" s="104"/>
      <c r="CG1996" s="105"/>
      <c r="FK1996" s="7"/>
    </row>
    <row r="1997" spans="1:167">
      <c r="A1997" s="571"/>
      <c r="B1997" s="1008"/>
      <c r="C1997" s="7"/>
      <c r="P1997" s="7"/>
      <c r="AX1997" s="7"/>
      <c r="BP1997" s="61"/>
      <c r="CF1997" s="104"/>
      <c r="CG1997" s="105"/>
      <c r="FK1997" s="7"/>
    </row>
    <row r="1998" spans="1:167">
      <c r="A1998" s="571"/>
      <c r="B1998" s="1008"/>
      <c r="C1998" s="7"/>
      <c r="P1998" s="7"/>
      <c r="AX1998" s="7"/>
      <c r="BP1998" s="61"/>
      <c r="CF1998" s="104"/>
      <c r="CG1998" s="105"/>
      <c r="FK1998" s="7"/>
    </row>
    <row r="1999" spans="1:167">
      <c r="A1999" s="571"/>
      <c r="B1999" s="1008"/>
      <c r="C1999" s="7"/>
      <c r="P1999" s="7"/>
      <c r="AX1999" s="7"/>
      <c r="BP1999" s="61"/>
      <c r="CF1999" s="104"/>
      <c r="CG1999" s="105"/>
      <c r="FK1999" s="7"/>
    </row>
    <row r="2000" spans="1:167">
      <c r="A2000" s="571"/>
      <c r="B2000" s="1008"/>
      <c r="C2000" s="7"/>
      <c r="P2000" s="7"/>
      <c r="AX2000" s="7"/>
      <c r="BP2000" s="61"/>
      <c r="CF2000" s="104"/>
      <c r="CG2000" s="105"/>
      <c r="FK2000" s="7"/>
    </row>
    <row r="2001" spans="1:167">
      <c r="A2001" s="571"/>
      <c r="B2001" s="1008"/>
      <c r="C2001" s="7"/>
      <c r="P2001" s="7"/>
      <c r="AX2001" s="7"/>
      <c r="BP2001" s="61"/>
      <c r="CF2001" s="104"/>
      <c r="CG2001" s="105"/>
      <c r="FK2001" s="7"/>
    </row>
    <row r="2002" spans="1:167">
      <c r="A2002" s="571"/>
      <c r="B2002" s="1008"/>
      <c r="C2002" s="7"/>
      <c r="P2002" s="7"/>
      <c r="AX2002" s="7"/>
      <c r="BP2002" s="61"/>
      <c r="CF2002" s="104"/>
      <c r="CG2002" s="105"/>
      <c r="FK2002" s="7"/>
    </row>
    <row r="2003" spans="1:167">
      <c r="A2003" s="571"/>
      <c r="B2003" s="1008"/>
      <c r="C2003" s="7"/>
      <c r="P2003" s="7"/>
      <c r="AX2003" s="7"/>
      <c r="BP2003" s="61"/>
      <c r="CF2003" s="104"/>
      <c r="CG2003" s="105"/>
      <c r="FK2003" s="7"/>
    </row>
    <row r="2004" spans="1:167">
      <c r="A2004" s="571"/>
      <c r="B2004" s="1008"/>
      <c r="C2004" s="7"/>
      <c r="P2004" s="7"/>
      <c r="AX2004" s="7"/>
      <c r="BP2004" s="61"/>
      <c r="CF2004" s="104"/>
      <c r="CG2004" s="105"/>
      <c r="FK2004" s="7"/>
    </row>
    <row r="2005" spans="1:167">
      <c r="A2005" s="571"/>
      <c r="B2005" s="1008"/>
      <c r="C2005" s="7"/>
      <c r="P2005" s="7"/>
      <c r="AX2005" s="7"/>
      <c r="BP2005" s="61"/>
      <c r="CF2005" s="104"/>
      <c r="CG2005" s="105"/>
      <c r="FK2005" s="7"/>
    </row>
    <row r="2006" spans="1:167">
      <c r="A2006" s="571"/>
      <c r="B2006" s="1008"/>
      <c r="C2006" s="7"/>
      <c r="P2006" s="7"/>
      <c r="AX2006" s="7"/>
      <c r="BP2006" s="61"/>
      <c r="CF2006" s="104"/>
      <c r="CG2006" s="105"/>
      <c r="FK2006" s="7"/>
    </row>
    <row r="2007" spans="1:167">
      <c r="A2007" s="571"/>
      <c r="B2007" s="1008"/>
      <c r="C2007" s="7"/>
      <c r="P2007" s="7"/>
      <c r="AX2007" s="7"/>
      <c r="BP2007" s="61"/>
      <c r="CF2007" s="104"/>
      <c r="CG2007" s="105"/>
      <c r="FK2007" s="7"/>
    </row>
    <row r="2008" spans="1:167">
      <c r="A2008" s="571"/>
      <c r="B2008" s="1008"/>
      <c r="C2008" s="7"/>
      <c r="P2008" s="7"/>
      <c r="AX2008" s="7"/>
      <c r="BP2008" s="61"/>
      <c r="CF2008" s="104"/>
      <c r="CG2008" s="105"/>
      <c r="FK2008" s="7"/>
    </row>
    <row r="2009" spans="1:167">
      <c r="A2009" s="571"/>
      <c r="B2009" s="1008"/>
      <c r="C2009" s="7"/>
      <c r="P2009" s="7"/>
      <c r="AX2009" s="7"/>
      <c r="BP2009" s="61"/>
      <c r="CF2009" s="104"/>
      <c r="CG2009" s="105"/>
      <c r="FK2009" s="7"/>
    </row>
    <row r="2010" spans="1:167">
      <c r="A2010" s="571"/>
      <c r="B2010" s="1008"/>
      <c r="C2010" s="7"/>
      <c r="P2010" s="7"/>
      <c r="AX2010" s="7"/>
      <c r="BP2010" s="61"/>
      <c r="CF2010" s="104"/>
      <c r="CG2010" s="105"/>
      <c r="FK2010" s="7"/>
    </row>
    <row r="2011" spans="1:167">
      <c r="A2011" s="571"/>
      <c r="B2011" s="1008"/>
      <c r="C2011" s="7"/>
      <c r="P2011" s="7"/>
      <c r="AX2011" s="7"/>
      <c r="BP2011" s="61"/>
      <c r="CF2011" s="104"/>
      <c r="CG2011" s="105"/>
      <c r="FK2011" s="7"/>
    </row>
    <row r="2012" spans="1:167">
      <c r="A2012" s="571"/>
      <c r="B2012" s="1008"/>
      <c r="C2012" s="7"/>
      <c r="P2012" s="7"/>
      <c r="AX2012" s="7"/>
      <c r="BP2012" s="61"/>
      <c r="CF2012" s="104"/>
      <c r="CG2012" s="105"/>
      <c r="FK2012" s="7"/>
    </row>
    <row r="2013" spans="1:167">
      <c r="A2013" s="571"/>
      <c r="B2013" s="1008"/>
      <c r="C2013" s="7"/>
      <c r="P2013" s="7"/>
      <c r="AX2013" s="7"/>
      <c r="BP2013" s="61"/>
      <c r="CF2013" s="104"/>
      <c r="CG2013" s="105"/>
      <c r="FK2013" s="7"/>
    </row>
    <row r="2014" spans="1:167">
      <c r="A2014" s="571"/>
      <c r="B2014" s="1008"/>
      <c r="C2014" s="7"/>
      <c r="P2014" s="7"/>
      <c r="AX2014" s="7"/>
      <c r="BP2014" s="61"/>
      <c r="CF2014" s="104"/>
      <c r="CG2014" s="105"/>
      <c r="FK2014" s="7"/>
    </row>
    <row r="2015" spans="1:167">
      <c r="A2015" s="571"/>
      <c r="B2015" s="1008"/>
      <c r="C2015" s="7"/>
      <c r="P2015" s="7"/>
      <c r="AX2015" s="7"/>
      <c r="BP2015" s="61"/>
      <c r="CF2015" s="104"/>
      <c r="CG2015" s="105"/>
      <c r="FK2015" s="7"/>
    </row>
    <row r="2016" spans="1:167">
      <c r="A2016" s="571"/>
      <c r="B2016" s="1008"/>
      <c r="C2016" s="7"/>
      <c r="P2016" s="7"/>
      <c r="AX2016" s="7"/>
      <c r="BP2016" s="61"/>
      <c r="CF2016" s="104"/>
      <c r="CG2016" s="105"/>
      <c r="FK2016" s="7"/>
    </row>
    <row r="2017" spans="1:167">
      <c r="A2017" s="571"/>
      <c r="B2017" s="1008"/>
      <c r="C2017" s="7"/>
      <c r="P2017" s="7"/>
      <c r="AX2017" s="7"/>
      <c r="BP2017" s="61"/>
      <c r="CF2017" s="104"/>
      <c r="CG2017" s="105"/>
      <c r="FK2017" s="7"/>
    </row>
    <row r="2018" spans="1:167">
      <c r="A2018" s="571"/>
      <c r="B2018" s="1008"/>
      <c r="C2018" s="7"/>
      <c r="P2018" s="7"/>
      <c r="AX2018" s="7"/>
      <c r="BP2018" s="61"/>
      <c r="CF2018" s="104"/>
      <c r="CG2018" s="105"/>
      <c r="FK2018" s="7"/>
    </row>
    <row r="2019" spans="1:167">
      <c r="A2019" s="571"/>
      <c r="B2019" s="1008"/>
      <c r="C2019" s="7"/>
      <c r="P2019" s="7"/>
      <c r="AX2019" s="7"/>
      <c r="BP2019" s="61"/>
      <c r="CF2019" s="104"/>
      <c r="CG2019" s="105"/>
      <c r="FK2019" s="7"/>
    </row>
    <row r="2020" spans="1:167">
      <c r="A2020" s="571"/>
      <c r="B2020" s="1008"/>
      <c r="C2020" s="7"/>
      <c r="P2020" s="7"/>
      <c r="AX2020" s="7"/>
      <c r="BP2020" s="61"/>
      <c r="CF2020" s="104"/>
      <c r="CG2020" s="105"/>
      <c r="FK2020" s="7"/>
    </row>
    <row r="2021" spans="1:167">
      <c r="A2021" s="571"/>
      <c r="B2021" s="1008"/>
      <c r="C2021" s="7"/>
      <c r="P2021" s="7"/>
      <c r="AX2021" s="7"/>
      <c r="BP2021" s="61"/>
      <c r="CF2021" s="104"/>
      <c r="CG2021" s="105"/>
      <c r="FK2021" s="7"/>
    </row>
    <row r="2022" spans="1:167">
      <c r="A2022" s="571"/>
      <c r="B2022" s="1008"/>
      <c r="C2022" s="7"/>
      <c r="P2022" s="7"/>
      <c r="AX2022" s="7"/>
      <c r="BP2022" s="61"/>
      <c r="CF2022" s="104"/>
      <c r="CG2022" s="105"/>
      <c r="FK2022" s="7"/>
    </row>
    <row r="2023" spans="1:167">
      <c r="A2023" s="571"/>
      <c r="B2023" s="1008"/>
      <c r="C2023" s="7"/>
      <c r="P2023" s="7"/>
      <c r="AX2023" s="7"/>
      <c r="BP2023" s="61"/>
      <c r="CF2023" s="104"/>
      <c r="CG2023" s="105"/>
      <c r="FK2023" s="7"/>
    </row>
    <row r="2024" spans="1:167">
      <c r="A2024" s="571"/>
      <c r="B2024" s="1008"/>
      <c r="C2024" s="7"/>
      <c r="P2024" s="7"/>
      <c r="AX2024" s="7"/>
      <c r="BP2024" s="61"/>
      <c r="CF2024" s="104"/>
      <c r="CG2024" s="105"/>
      <c r="FK2024" s="7"/>
    </row>
    <row r="2025" spans="1:167">
      <c r="A2025" s="571"/>
      <c r="B2025" s="1008"/>
      <c r="C2025" s="7"/>
      <c r="P2025" s="7"/>
      <c r="AX2025" s="7"/>
      <c r="BP2025" s="61"/>
      <c r="CF2025" s="104"/>
      <c r="CG2025" s="105"/>
      <c r="FK2025" s="7"/>
    </row>
    <row r="2026" spans="1:167">
      <c r="A2026" s="571"/>
      <c r="B2026" s="1008"/>
      <c r="C2026" s="7"/>
      <c r="P2026" s="7"/>
      <c r="AX2026" s="7"/>
      <c r="BP2026" s="61"/>
      <c r="CF2026" s="104"/>
      <c r="CG2026" s="105"/>
      <c r="FK2026" s="7"/>
    </row>
    <row r="2027" spans="1:167">
      <c r="A2027" s="571"/>
      <c r="B2027" s="1008"/>
      <c r="C2027" s="7"/>
      <c r="P2027" s="7"/>
      <c r="AX2027" s="7"/>
      <c r="BP2027" s="61"/>
      <c r="CF2027" s="104"/>
      <c r="CG2027" s="105"/>
      <c r="FK2027" s="7"/>
    </row>
    <row r="2028" spans="1:167">
      <c r="A2028" s="571"/>
      <c r="B2028" s="1008"/>
      <c r="C2028" s="7"/>
      <c r="P2028" s="7"/>
      <c r="AX2028" s="7"/>
      <c r="BP2028" s="61"/>
      <c r="CF2028" s="104"/>
      <c r="CG2028" s="105"/>
      <c r="FK2028" s="7"/>
    </row>
    <row r="2029" spans="1:167">
      <c r="A2029" s="571"/>
      <c r="B2029" s="1008"/>
      <c r="C2029" s="7"/>
      <c r="P2029" s="7"/>
      <c r="AX2029" s="7"/>
      <c r="BP2029" s="61"/>
      <c r="CF2029" s="104"/>
      <c r="CG2029" s="105"/>
      <c r="FK2029" s="7"/>
    </row>
    <row r="2030" spans="1:167">
      <c r="A2030" s="571"/>
      <c r="B2030" s="1008"/>
      <c r="C2030" s="7"/>
      <c r="P2030" s="7"/>
      <c r="AX2030" s="7"/>
      <c r="BP2030" s="61"/>
      <c r="CF2030" s="104"/>
      <c r="CG2030" s="105"/>
      <c r="FK2030" s="7"/>
    </row>
    <row r="2031" spans="1:167">
      <c r="A2031" s="571"/>
      <c r="B2031" s="1008"/>
      <c r="C2031" s="7"/>
      <c r="P2031" s="7"/>
      <c r="AX2031" s="7"/>
      <c r="BP2031" s="61"/>
      <c r="CF2031" s="104"/>
      <c r="CG2031" s="105"/>
      <c r="FK2031" s="7"/>
    </row>
    <row r="2032" spans="1:167">
      <c r="A2032" s="571"/>
      <c r="B2032" s="1008"/>
      <c r="C2032" s="7"/>
      <c r="P2032" s="7"/>
      <c r="AX2032" s="7"/>
      <c r="BP2032" s="61"/>
      <c r="CF2032" s="104"/>
      <c r="CG2032" s="105"/>
      <c r="FK2032" s="7"/>
    </row>
    <row r="2033" spans="1:167">
      <c r="A2033" s="571"/>
      <c r="B2033" s="1008"/>
      <c r="C2033" s="7"/>
      <c r="P2033" s="7"/>
      <c r="AX2033" s="7"/>
      <c r="BP2033" s="61"/>
      <c r="CF2033" s="104"/>
      <c r="CG2033" s="105"/>
      <c r="FK2033" s="7"/>
    </row>
    <row r="2034" spans="1:167">
      <c r="A2034" s="571"/>
      <c r="B2034" s="1008"/>
      <c r="C2034" s="7"/>
      <c r="P2034" s="7"/>
      <c r="AX2034" s="7"/>
      <c r="BP2034" s="61"/>
      <c r="CF2034" s="104"/>
      <c r="CG2034" s="105"/>
      <c r="FK2034" s="7"/>
    </row>
    <row r="2035" spans="1:167">
      <c r="A2035" s="571"/>
      <c r="B2035" s="1008"/>
      <c r="C2035" s="7"/>
      <c r="P2035" s="7"/>
      <c r="AX2035" s="7"/>
      <c r="BP2035" s="61"/>
      <c r="CF2035" s="104"/>
      <c r="CG2035" s="105"/>
      <c r="FK2035" s="7"/>
    </row>
    <row r="2036" spans="1:167">
      <c r="A2036" s="571"/>
      <c r="B2036" s="1008"/>
      <c r="C2036" s="7"/>
      <c r="P2036" s="7"/>
      <c r="AX2036" s="7"/>
      <c r="BP2036" s="61"/>
      <c r="CF2036" s="104"/>
      <c r="CG2036" s="105"/>
      <c r="FK2036" s="7"/>
    </row>
    <row r="2037" spans="1:167">
      <c r="A2037" s="571"/>
      <c r="B2037" s="1008"/>
      <c r="C2037" s="7"/>
      <c r="P2037" s="7"/>
      <c r="AX2037" s="7"/>
      <c r="BP2037" s="61"/>
      <c r="CF2037" s="104"/>
      <c r="CG2037" s="105"/>
      <c r="FK2037" s="7"/>
    </row>
    <row r="2038" spans="1:167">
      <c r="A2038" s="571"/>
      <c r="B2038" s="1008"/>
      <c r="C2038" s="7"/>
      <c r="P2038" s="7"/>
      <c r="AX2038" s="7"/>
      <c r="BP2038" s="61"/>
      <c r="CF2038" s="104"/>
      <c r="CG2038" s="105"/>
      <c r="FK2038" s="7"/>
    </row>
    <row r="2039" spans="1:167">
      <c r="A2039" s="571"/>
      <c r="B2039" s="1008"/>
      <c r="C2039" s="7"/>
      <c r="P2039" s="7"/>
      <c r="AX2039" s="7"/>
      <c r="BP2039" s="61"/>
      <c r="CF2039" s="104"/>
      <c r="CG2039" s="105"/>
      <c r="FK2039" s="7"/>
    </row>
    <row r="2040" spans="1:167">
      <c r="A2040" s="571"/>
      <c r="B2040" s="1008"/>
      <c r="C2040" s="7"/>
      <c r="P2040" s="7"/>
      <c r="AX2040" s="7"/>
      <c r="BP2040" s="61"/>
      <c r="CF2040" s="104"/>
      <c r="CG2040" s="105"/>
      <c r="FK2040" s="7"/>
    </row>
    <row r="2041" spans="1:167">
      <c r="A2041" s="571"/>
      <c r="B2041" s="1008"/>
      <c r="C2041" s="7"/>
      <c r="P2041" s="7"/>
      <c r="AX2041" s="7"/>
      <c r="BP2041" s="61"/>
      <c r="CF2041" s="104"/>
      <c r="CG2041" s="105"/>
      <c r="FK2041" s="7"/>
    </row>
    <row r="2042" spans="1:167">
      <c r="A2042" s="571"/>
      <c r="B2042" s="1008"/>
      <c r="C2042" s="7"/>
      <c r="P2042" s="7"/>
      <c r="AX2042" s="7"/>
      <c r="BP2042" s="61"/>
      <c r="CF2042" s="104"/>
      <c r="CG2042" s="105"/>
      <c r="FK2042" s="7"/>
    </row>
    <row r="2043" spans="1:167">
      <c r="A2043" s="571"/>
      <c r="B2043" s="1008"/>
      <c r="C2043" s="7"/>
      <c r="P2043" s="7"/>
      <c r="AX2043" s="7"/>
      <c r="BP2043" s="61"/>
      <c r="CF2043" s="104"/>
      <c r="CG2043" s="105"/>
      <c r="FK2043" s="7"/>
    </row>
    <row r="2044" spans="1:167">
      <c r="A2044" s="571"/>
      <c r="B2044" s="1008"/>
      <c r="C2044" s="7"/>
      <c r="P2044" s="7"/>
      <c r="AX2044" s="7"/>
      <c r="BP2044" s="61"/>
      <c r="CF2044" s="104"/>
      <c r="CG2044" s="105"/>
      <c r="FK2044" s="7"/>
    </row>
    <row r="2045" spans="1:167">
      <c r="A2045" s="571"/>
      <c r="B2045" s="1008"/>
      <c r="C2045" s="7"/>
      <c r="P2045" s="7"/>
      <c r="AX2045" s="7"/>
      <c r="BP2045" s="61"/>
      <c r="CF2045" s="104"/>
      <c r="CG2045" s="105"/>
      <c r="FK2045" s="7"/>
    </row>
    <row r="2046" spans="1:167">
      <c r="A2046" s="571"/>
      <c r="B2046" s="1008"/>
      <c r="C2046" s="7"/>
      <c r="P2046" s="7"/>
      <c r="AX2046" s="7"/>
      <c r="BP2046" s="61"/>
      <c r="CF2046" s="104"/>
      <c r="CG2046" s="105"/>
      <c r="FK2046" s="7"/>
    </row>
    <row r="2047" spans="1:167">
      <c r="A2047" s="571"/>
      <c r="B2047" s="1008"/>
      <c r="C2047" s="7"/>
      <c r="P2047" s="7"/>
      <c r="AX2047" s="7"/>
      <c r="BP2047" s="61"/>
      <c r="CF2047" s="104"/>
      <c r="CG2047" s="105"/>
      <c r="FK2047" s="7"/>
    </row>
    <row r="2048" spans="1:167">
      <c r="A2048" s="571"/>
      <c r="B2048" s="1008"/>
      <c r="C2048" s="7"/>
      <c r="P2048" s="7"/>
      <c r="AX2048" s="7"/>
      <c r="BP2048" s="61"/>
      <c r="CF2048" s="104"/>
      <c r="CG2048" s="105"/>
      <c r="FK2048" s="7"/>
    </row>
    <row r="2049" spans="1:167">
      <c r="A2049" s="571"/>
      <c r="B2049" s="1008"/>
      <c r="C2049" s="7"/>
      <c r="P2049" s="7"/>
      <c r="AX2049" s="7"/>
      <c r="BP2049" s="61"/>
      <c r="CF2049" s="104"/>
      <c r="CG2049" s="105"/>
      <c r="FK2049" s="7"/>
    </row>
    <row r="2050" spans="1:167">
      <c r="A2050" s="571"/>
      <c r="B2050" s="1008"/>
      <c r="C2050" s="7"/>
      <c r="P2050" s="7"/>
      <c r="AX2050" s="7"/>
      <c r="BP2050" s="61"/>
      <c r="CF2050" s="104"/>
      <c r="CG2050" s="105"/>
      <c r="FK2050" s="7"/>
    </row>
    <row r="2051" spans="1:167">
      <c r="A2051" s="571"/>
      <c r="B2051" s="1008"/>
      <c r="C2051" s="7"/>
      <c r="P2051" s="7"/>
      <c r="AX2051" s="7"/>
      <c r="BP2051" s="61"/>
      <c r="CF2051" s="104"/>
      <c r="CG2051" s="105"/>
      <c r="FK2051" s="7"/>
    </row>
    <row r="2052" spans="1:167">
      <c r="A2052" s="571"/>
      <c r="B2052" s="1008"/>
      <c r="C2052" s="7"/>
      <c r="P2052" s="7"/>
      <c r="AX2052" s="7"/>
      <c r="BP2052" s="61"/>
      <c r="CF2052" s="104"/>
      <c r="CG2052" s="105"/>
      <c r="FK2052" s="7"/>
    </row>
    <row r="2053" spans="1:167">
      <c r="A2053" s="571"/>
      <c r="B2053" s="1008"/>
      <c r="C2053" s="7"/>
      <c r="P2053" s="7"/>
      <c r="AX2053" s="7"/>
      <c r="BP2053" s="61"/>
      <c r="CF2053" s="104"/>
      <c r="CG2053" s="105"/>
      <c r="FK2053" s="7"/>
    </row>
    <row r="2054" spans="1:167">
      <c r="A2054" s="571"/>
      <c r="B2054" s="1008"/>
      <c r="C2054" s="7"/>
      <c r="P2054" s="7"/>
      <c r="AX2054" s="7"/>
      <c r="BP2054" s="61"/>
      <c r="CF2054" s="104"/>
      <c r="CG2054" s="105"/>
      <c r="FK2054" s="7"/>
    </row>
    <row r="2055" spans="1:167">
      <c r="A2055" s="571"/>
      <c r="B2055" s="1008"/>
      <c r="C2055" s="7"/>
      <c r="P2055" s="7"/>
      <c r="AX2055" s="7"/>
      <c r="BP2055" s="61"/>
      <c r="CF2055" s="104"/>
      <c r="CG2055" s="105"/>
      <c r="FK2055" s="7"/>
    </row>
    <row r="2056" spans="1:167">
      <c r="A2056" s="571"/>
      <c r="B2056" s="1008"/>
      <c r="C2056" s="7"/>
      <c r="P2056" s="7"/>
      <c r="AX2056" s="7"/>
      <c r="BP2056" s="61"/>
      <c r="CF2056" s="104"/>
      <c r="CG2056" s="105"/>
      <c r="FK2056" s="7"/>
    </row>
    <row r="2057" spans="1:167">
      <c r="A2057" s="571"/>
      <c r="B2057" s="1008"/>
      <c r="C2057" s="7"/>
      <c r="P2057" s="7"/>
      <c r="AX2057" s="7"/>
      <c r="BP2057" s="61"/>
      <c r="CF2057" s="104"/>
      <c r="CG2057" s="105"/>
      <c r="FK2057" s="7"/>
    </row>
    <row r="2058" spans="1:167">
      <c r="A2058" s="571"/>
      <c r="B2058" s="1008"/>
      <c r="C2058" s="7"/>
      <c r="P2058" s="7"/>
      <c r="AX2058" s="7"/>
      <c r="BP2058" s="61"/>
      <c r="CF2058" s="104"/>
      <c r="CG2058" s="105"/>
      <c r="FK2058" s="7"/>
    </row>
    <row r="2059" spans="1:167">
      <c r="A2059" s="571"/>
      <c r="B2059" s="1008"/>
      <c r="C2059" s="7"/>
      <c r="P2059" s="7"/>
      <c r="AX2059" s="7"/>
      <c r="BP2059" s="61"/>
      <c r="CF2059" s="104"/>
      <c r="CG2059" s="105"/>
      <c r="FK2059" s="7"/>
    </row>
    <row r="2060" spans="1:167">
      <c r="A2060" s="571"/>
      <c r="B2060" s="1008"/>
      <c r="C2060" s="7"/>
      <c r="P2060" s="7"/>
      <c r="AX2060" s="7"/>
      <c r="BP2060" s="61"/>
      <c r="CF2060" s="104"/>
      <c r="CG2060" s="105"/>
      <c r="FK2060" s="7"/>
    </row>
    <row r="2061" spans="1:167">
      <c r="A2061" s="571"/>
      <c r="B2061" s="1008"/>
      <c r="C2061" s="7"/>
      <c r="P2061" s="7"/>
      <c r="AX2061" s="7"/>
      <c r="BP2061" s="61"/>
      <c r="CF2061" s="104"/>
      <c r="CG2061" s="105"/>
      <c r="FK2061" s="7"/>
    </row>
    <row r="2062" spans="1:167">
      <c r="A2062" s="571"/>
      <c r="B2062" s="1008"/>
      <c r="C2062" s="7"/>
      <c r="P2062" s="7"/>
      <c r="AX2062" s="7"/>
      <c r="BP2062" s="61"/>
      <c r="CF2062" s="104"/>
      <c r="CG2062" s="105"/>
      <c r="FK2062" s="7"/>
    </row>
    <row r="2063" spans="1:167">
      <c r="A2063" s="571"/>
      <c r="B2063" s="1008"/>
      <c r="C2063" s="7"/>
      <c r="P2063" s="7"/>
      <c r="AX2063" s="7"/>
      <c r="BP2063" s="61"/>
      <c r="CF2063" s="104"/>
      <c r="CG2063" s="105"/>
      <c r="FK2063" s="7"/>
    </row>
    <row r="2064" spans="1:167">
      <c r="A2064" s="571"/>
      <c r="B2064" s="1008"/>
      <c r="C2064" s="7"/>
      <c r="P2064" s="7"/>
      <c r="AX2064" s="7"/>
      <c r="BP2064" s="61"/>
      <c r="CF2064" s="104"/>
      <c r="CG2064" s="105"/>
      <c r="FK2064" s="7"/>
    </row>
    <row r="2065" spans="1:167">
      <c r="A2065" s="571"/>
      <c r="B2065" s="1008"/>
      <c r="C2065" s="7"/>
      <c r="P2065" s="7"/>
      <c r="AX2065" s="7"/>
      <c r="BP2065" s="61"/>
      <c r="CF2065" s="104"/>
      <c r="CG2065" s="105"/>
      <c r="FK2065" s="7"/>
    </row>
    <row r="2066" spans="1:167">
      <c r="A2066" s="571"/>
      <c r="B2066" s="1008"/>
      <c r="C2066" s="7"/>
      <c r="P2066" s="7"/>
      <c r="AX2066" s="7"/>
      <c r="BP2066" s="61"/>
      <c r="CF2066" s="104"/>
      <c r="CG2066" s="105"/>
      <c r="FK2066" s="7"/>
    </row>
    <row r="2067" spans="1:167">
      <c r="A2067" s="571"/>
      <c r="B2067" s="1008"/>
      <c r="C2067" s="7"/>
      <c r="P2067" s="7"/>
      <c r="AX2067" s="7"/>
      <c r="BP2067" s="61"/>
      <c r="CF2067" s="104"/>
      <c r="CG2067" s="105"/>
      <c r="FK2067" s="7"/>
    </row>
    <row r="2068" spans="1:167">
      <c r="A2068" s="571"/>
      <c r="B2068" s="1008"/>
      <c r="C2068" s="7"/>
      <c r="P2068" s="7"/>
      <c r="AX2068" s="7"/>
      <c r="BP2068" s="61"/>
      <c r="CF2068" s="104"/>
      <c r="CG2068" s="105"/>
      <c r="FK2068" s="7"/>
    </row>
    <row r="2069" spans="1:167">
      <c r="A2069" s="571"/>
      <c r="B2069" s="1008"/>
      <c r="C2069" s="7"/>
      <c r="P2069" s="7"/>
      <c r="AX2069" s="7"/>
      <c r="BP2069" s="61"/>
      <c r="CF2069" s="104"/>
      <c r="CG2069" s="105"/>
      <c r="FK2069" s="7"/>
    </row>
    <row r="2070" spans="1:167">
      <c r="A2070" s="571"/>
      <c r="B2070" s="1008"/>
      <c r="C2070" s="7"/>
      <c r="P2070" s="7"/>
      <c r="AX2070" s="7"/>
      <c r="BP2070" s="61"/>
      <c r="CF2070" s="104"/>
      <c r="CG2070" s="105"/>
      <c r="FK2070" s="7"/>
    </row>
    <row r="2071" spans="1:167">
      <c r="A2071" s="571"/>
      <c r="B2071" s="1008"/>
      <c r="C2071" s="7"/>
      <c r="P2071" s="7"/>
      <c r="AX2071" s="7"/>
      <c r="BP2071" s="61"/>
      <c r="CF2071" s="104"/>
      <c r="CG2071" s="105"/>
      <c r="FK2071" s="7"/>
    </row>
    <row r="2072" spans="1:167">
      <c r="A2072" s="571"/>
      <c r="B2072" s="1008"/>
      <c r="C2072" s="7"/>
      <c r="P2072" s="7"/>
      <c r="AX2072" s="7"/>
      <c r="BP2072" s="61"/>
      <c r="CF2072" s="104"/>
      <c r="CG2072" s="105"/>
      <c r="FK2072" s="7"/>
    </row>
    <row r="2073" spans="1:167">
      <c r="A2073" s="571"/>
      <c r="B2073" s="1008"/>
      <c r="C2073" s="7"/>
      <c r="P2073" s="7"/>
      <c r="AX2073" s="7"/>
      <c r="BP2073" s="61"/>
      <c r="CF2073" s="104"/>
      <c r="CG2073" s="105"/>
      <c r="FK2073" s="7"/>
    </row>
    <row r="2074" spans="1:167">
      <c r="A2074" s="571"/>
      <c r="B2074" s="1008"/>
      <c r="C2074" s="7"/>
      <c r="P2074" s="7"/>
      <c r="AX2074" s="7"/>
      <c r="BP2074" s="61"/>
      <c r="CF2074" s="104"/>
      <c r="CG2074" s="105"/>
      <c r="FK2074" s="7"/>
    </row>
    <row r="2075" spans="1:167">
      <c r="A2075" s="571"/>
      <c r="B2075" s="1008"/>
      <c r="C2075" s="7"/>
      <c r="P2075" s="7"/>
      <c r="AX2075" s="7"/>
      <c r="BP2075" s="61"/>
      <c r="CF2075" s="104"/>
      <c r="CG2075" s="105"/>
      <c r="FK2075" s="7"/>
    </row>
    <row r="2076" spans="1:167">
      <c r="A2076" s="571"/>
      <c r="B2076" s="1008"/>
      <c r="C2076" s="7"/>
      <c r="P2076" s="7"/>
      <c r="AX2076" s="7"/>
      <c r="BP2076" s="61"/>
      <c r="CF2076" s="104"/>
      <c r="CG2076" s="105"/>
      <c r="FK2076" s="7"/>
    </row>
    <row r="2077" spans="1:167">
      <c r="A2077" s="571"/>
      <c r="B2077" s="1008"/>
      <c r="C2077" s="7"/>
      <c r="P2077" s="7"/>
      <c r="AX2077" s="7"/>
      <c r="BP2077" s="61"/>
      <c r="CF2077" s="104"/>
      <c r="CG2077" s="105"/>
      <c r="FK2077" s="7"/>
    </row>
    <row r="2078" spans="1:167">
      <c r="A2078" s="571"/>
      <c r="B2078" s="1008"/>
      <c r="C2078" s="7"/>
      <c r="P2078" s="7"/>
      <c r="AX2078" s="7"/>
      <c r="BP2078" s="61"/>
      <c r="CF2078" s="104"/>
      <c r="CG2078" s="105"/>
      <c r="FK2078" s="7"/>
    </row>
    <row r="2079" spans="1:167">
      <c r="A2079" s="571"/>
      <c r="B2079" s="1008"/>
      <c r="C2079" s="7"/>
      <c r="P2079" s="7"/>
      <c r="AX2079" s="7"/>
      <c r="BP2079" s="61"/>
      <c r="CF2079" s="104"/>
      <c r="CG2079" s="105"/>
      <c r="FK2079" s="7"/>
    </row>
    <row r="2080" spans="1:167">
      <c r="A2080" s="571"/>
      <c r="B2080" s="1008"/>
      <c r="C2080" s="7"/>
      <c r="P2080" s="7"/>
      <c r="AX2080" s="7"/>
      <c r="BP2080" s="61"/>
      <c r="CF2080" s="104"/>
      <c r="CG2080" s="105"/>
      <c r="FK2080" s="7"/>
    </row>
    <row r="2081" spans="1:167">
      <c r="A2081" s="571"/>
      <c r="B2081" s="1008"/>
      <c r="C2081" s="7"/>
      <c r="P2081" s="7"/>
      <c r="AX2081" s="7"/>
      <c r="BP2081" s="61"/>
      <c r="CF2081" s="104"/>
      <c r="CG2081" s="105"/>
      <c r="FK2081" s="7"/>
    </row>
    <row r="2082" spans="1:167">
      <c r="A2082" s="571"/>
      <c r="B2082" s="1008"/>
      <c r="C2082" s="7"/>
      <c r="P2082" s="7"/>
      <c r="AX2082" s="7"/>
      <c r="BP2082" s="61"/>
      <c r="CF2082" s="104"/>
      <c r="CG2082" s="105"/>
      <c r="FK2082" s="7"/>
    </row>
    <row r="2083" spans="1:167">
      <c r="A2083" s="571"/>
      <c r="B2083" s="1008"/>
      <c r="C2083" s="7"/>
      <c r="P2083" s="7"/>
      <c r="AX2083" s="7"/>
      <c r="BP2083" s="61"/>
      <c r="CF2083" s="104"/>
      <c r="CG2083" s="105"/>
      <c r="FK2083" s="7"/>
    </row>
    <row r="2084" spans="1:167">
      <c r="A2084" s="571"/>
      <c r="B2084" s="1008"/>
      <c r="C2084" s="7"/>
      <c r="P2084" s="7"/>
      <c r="AX2084" s="7"/>
      <c r="BP2084" s="61"/>
      <c r="CF2084" s="104"/>
      <c r="CG2084" s="105"/>
      <c r="FK2084" s="7"/>
    </row>
    <row r="2085" spans="1:167">
      <c r="A2085" s="571"/>
      <c r="B2085" s="1008"/>
      <c r="C2085" s="7"/>
      <c r="P2085" s="7"/>
      <c r="AX2085" s="7"/>
      <c r="BP2085" s="61"/>
      <c r="CF2085" s="104"/>
      <c r="CG2085" s="105"/>
      <c r="FK2085" s="7"/>
    </row>
    <row r="2086" spans="1:167">
      <c r="A2086" s="571"/>
      <c r="B2086" s="1008"/>
      <c r="C2086" s="7"/>
      <c r="P2086" s="7"/>
      <c r="AX2086" s="7"/>
      <c r="BP2086" s="61"/>
      <c r="CF2086" s="104"/>
      <c r="CG2086" s="105"/>
      <c r="FK2086" s="7"/>
    </row>
    <row r="2087" spans="1:167">
      <c r="A2087" s="571"/>
      <c r="B2087" s="1008"/>
      <c r="C2087" s="7"/>
      <c r="P2087" s="7"/>
      <c r="AX2087" s="7"/>
      <c r="BP2087" s="61"/>
      <c r="CF2087" s="104"/>
      <c r="CG2087" s="105"/>
      <c r="FK2087" s="7"/>
    </row>
    <row r="2088" spans="1:167">
      <c r="A2088" s="571"/>
      <c r="B2088" s="1008"/>
      <c r="C2088" s="7"/>
      <c r="P2088" s="7"/>
      <c r="AX2088" s="7"/>
      <c r="BP2088" s="61"/>
      <c r="CF2088" s="104"/>
      <c r="CG2088" s="105"/>
      <c r="FK2088" s="7"/>
    </row>
    <row r="2089" spans="1:167">
      <c r="A2089" s="571"/>
      <c r="B2089" s="1008"/>
      <c r="C2089" s="7"/>
      <c r="P2089" s="7"/>
      <c r="AX2089" s="7"/>
      <c r="BP2089" s="61"/>
      <c r="CF2089" s="104"/>
      <c r="CG2089" s="105"/>
      <c r="FK2089" s="7"/>
    </row>
    <row r="2090" spans="1:167">
      <c r="A2090" s="571"/>
      <c r="B2090" s="1008"/>
      <c r="C2090" s="7"/>
      <c r="P2090" s="7"/>
      <c r="AX2090" s="7"/>
      <c r="BP2090" s="61"/>
      <c r="CF2090" s="104"/>
      <c r="CG2090" s="105"/>
      <c r="FK2090" s="7"/>
    </row>
    <row r="2091" spans="1:167">
      <c r="A2091" s="571"/>
      <c r="B2091" s="1008"/>
      <c r="C2091" s="7"/>
      <c r="P2091" s="7"/>
      <c r="AX2091" s="7"/>
      <c r="BP2091" s="61"/>
      <c r="CF2091" s="104"/>
      <c r="CG2091" s="105"/>
      <c r="FK2091" s="7"/>
    </row>
    <row r="2092" spans="1:167">
      <c r="A2092" s="571"/>
      <c r="B2092" s="1008"/>
      <c r="C2092" s="7"/>
      <c r="P2092" s="7"/>
      <c r="AX2092" s="7"/>
      <c r="BP2092" s="61"/>
      <c r="CF2092" s="104"/>
      <c r="CG2092" s="105"/>
      <c r="FK2092" s="7"/>
    </row>
    <row r="2093" spans="1:167">
      <c r="A2093" s="571"/>
      <c r="B2093" s="1008"/>
      <c r="C2093" s="7"/>
      <c r="P2093" s="7"/>
      <c r="AX2093" s="7"/>
      <c r="BP2093" s="61"/>
      <c r="CF2093" s="104"/>
      <c r="CG2093" s="105"/>
      <c r="FK2093" s="7"/>
    </row>
    <row r="2094" spans="1:167">
      <c r="A2094" s="571"/>
      <c r="B2094" s="1008"/>
      <c r="C2094" s="7"/>
      <c r="P2094" s="7"/>
      <c r="AX2094" s="7"/>
      <c r="BP2094" s="61"/>
      <c r="CF2094" s="104"/>
      <c r="CG2094" s="105"/>
      <c r="FK2094" s="7"/>
    </row>
    <row r="2095" spans="1:167">
      <c r="A2095" s="571"/>
      <c r="B2095" s="1008"/>
      <c r="C2095" s="7"/>
      <c r="P2095" s="7"/>
      <c r="AX2095" s="7"/>
      <c r="BP2095" s="61"/>
      <c r="CF2095" s="104"/>
      <c r="CG2095" s="105"/>
      <c r="FK2095" s="7"/>
    </row>
    <row r="2096" spans="1:167">
      <c r="A2096" s="571"/>
      <c r="B2096" s="1008"/>
      <c r="C2096" s="7"/>
      <c r="P2096" s="7"/>
      <c r="AX2096" s="7"/>
      <c r="BP2096" s="61"/>
      <c r="CF2096" s="104"/>
      <c r="CG2096" s="105"/>
      <c r="FK2096" s="7"/>
    </row>
    <row r="2097" spans="1:167">
      <c r="A2097" s="571"/>
      <c r="B2097" s="1008"/>
      <c r="C2097" s="7"/>
      <c r="P2097" s="7"/>
      <c r="AX2097" s="7"/>
      <c r="BP2097" s="61"/>
      <c r="CF2097" s="104"/>
      <c r="CG2097" s="105"/>
      <c r="FK2097" s="7"/>
    </row>
    <row r="2098" spans="1:167">
      <c r="A2098" s="571"/>
      <c r="B2098" s="1008"/>
      <c r="C2098" s="7"/>
      <c r="P2098" s="7"/>
      <c r="AX2098" s="7"/>
      <c r="BP2098" s="61"/>
      <c r="CF2098" s="104"/>
      <c r="CG2098" s="105"/>
      <c r="FK2098" s="7"/>
    </row>
    <row r="2099" spans="1:167">
      <c r="A2099" s="571"/>
      <c r="B2099" s="1008"/>
      <c r="C2099" s="7"/>
      <c r="P2099" s="7"/>
      <c r="AX2099" s="7"/>
      <c r="BP2099" s="61"/>
      <c r="CF2099" s="104"/>
      <c r="CG2099" s="105"/>
      <c r="FK2099" s="7"/>
    </row>
    <row r="2100" spans="1:167">
      <c r="A2100" s="571"/>
      <c r="B2100" s="1008"/>
      <c r="C2100" s="7"/>
      <c r="P2100" s="7"/>
      <c r="AX2100" s="7"/>
      <c r="BP2100" s="61"/>
      <c r="CF2100" s="104"/>
      <c r="CG2100" s="105"/>
      <c r="FK2100" s="7"/>
    </row>
    <row r="2101" spans="1:167">
      <c r="A2101" s="571"/>
      <c r="B2101" s="1008"/>
      <c r="C2101" s="7"/>
      <c r="P2101" s="7"/>
      <c r="AX2101" s="7"/>
      <c r="BP2101" s="61"/>
      <c r="CF2101" s="104"/>
      <c r="CG2101" s="105"/>
      <c r="FK2101" s="7"/>
    </row>
    <row r="2102" spans="1:167">
      <c r="A2102" s="571"/>
      <c r="B2102" s="1008"/>
      <c r="C2102" s="7"/>
      <c r="P2102" s="7"/>
      <c r="AX2102" s="7"/>
      <c r="BP2102" s="61"/>
      <c r="CF2102" s="104"/>
      <c r="CG2102" s="105"/>
      <c r="FK2102" s="7"/>
    </row>
    <row r="2103" spans="1:167">
      <c r="A2103" s="571"/>
      <c r="B2103" s="1008"/>
      <c r="C2103" s="7"/>
      <c r="P2103" s="7"/>
      <c r="AX2103" s="7"/>
      <c r="BP2103" s="61"/>
      <c r="CF2103" s="104"/>
      <c r="CG2103" s="105"/>
      <c r="FK2103" s="7"/>
    </row>
    <row r="2104" spans="1:167">
      <c r="A2104" s="571"/>
      <c r="B2104" s="1008"/>
      <c r="C2104" s="7"/>
      <c r="P2104" s="7"/>
      <c r="AX2104" s="7"/>
      <c r="BP2104" s="61"/>
      <c r="CF2104" s="104"/>
      <c r="CG2104" s="105"/>
      <c r="FK2104" s="7"/>
    </row>
    <row r="2105" spans="1:167">
      <c r="A2105" s="571"/>
      <c r="B2105" s="1008"/>
      <c r="C2105" s="7"/>
      <c r="P2105" s="7"/>
      <c r="AX2105" s="7"/>
      <c r="BP2105" s="61"/>
      <c r="CF2105" s="104"/>
      <c r="CG2105" s="105"/>
      <c r="FK2105" s="7"/>
    </row>
    <row r="2106" spans="1:167">
      <c r="A2106" s="571"/>
      <c r="B2106" s="1008"/>
      <c r="C2106" s="7"/>
      <c r="P2106" s="7"/>
      <c r="AX2106" s="7"/>
      <c r="BP2106" s="61"/>
      <c r="CF2106" s="104"/>
      <c r="CG2106" s="105"/>
      <c r="FK2106" s="7"/>
    </row>
    <row r="2107" spans="1:167">
      <c r="A2107" s="571"/>
      <c r="B2107" s="1008"/>
      <c r="C2107" s="7"/>
      <c r="P2107" s="7"/>
      <c r="AX2107" s="7"/>
      <c r="BP2107" s="61"/>
      <c r="CF2107" s="104"/>
      <c r="CG2107" s="105"/>
      <c r="FK2107" s="7"/>
    </row>
    <row r="2108" spans="1:167">
      <c r="A2108" s="571"/>
      <c r="B2108" s="1008"/>
      <c r="C2108" s="7"/>
      <c r="P2108" s="7"/>
      <c r="AX2108" s="7"/>
      <c r="BP2108" s="61"/>
      <c r="CF2108" s="104"/>
      <c r="CG2108" s="105"/>
      <c r="FK2108" s="7"/>
    </row>
    <row r="2109" spans="1:167">
      <c r="A2109" s="571"/>
      <c r="B2109" s="1008"/>
      <c r="C2109" s="7"/>
      <c r="P2109" s="7"/>
      <c r="AX2109" s="7"/>
      <c r="BP2109" s="61"/>
      <c r="CF2109" s="104"/>
      <c r="CG2109" s="105"/>
      <c r="FK2109" s="7"/>
    </row>
    <row r="2110" spans="1:167">
      <c r="A2110" s="571"/>
      <c r="B2110" s="1008"/>
      <c r="C2110" s="7"/>
      <c r="P2110" s="7"/>
      <c r="AX2110" s="7"/>
      <c r="BP2110" s="61"/>
      <c r="CF2110" s="104"/>
      <c r="CG2110" s="105"/>
      <c r="FK2110" s="7"/>
    </row>
    <row r="2111" spans="1:167">
      <c r="A2111" s="571"/>
      <c r="B2111" s="1008"/>
      <c r="C2111" s="7"/>
      <c r="P2111" s="7"/>
      <c r="AX2111" s="7"/>
      <c r="BP2111" s="61"/>
      <c r="CF2111" s="104"/>
      <c r="CG2111" s="105"/>
      <c r="FK2111" s="7"/>
    </row>
    <row r="2112" spans="1:167">
      <c r="A2112" s="571"/>
      <c r="B2112" s="1008"/>
      <c r="C2112" s="7"/>
      <c r="P2112" s="7"/>
      <c r="AX2112" s="7"/>
      <c r="BP2112" s="61"/>
      <c r="CF2112" s="104"/>
      <c r="CG2112" s="105"/>
      <c r="FK2112" s="7"/>
    </row>
    <row r="2113" spans="1:167">
      <c r="A2113" s="571"/>
      <c r="B2113" s="1008"/>
      <c r="C2113" s="7"/>
      <c r="P2113" s="7"/>
      <c r="AX2113" s="7"/>
      <c r="BP2113" s="61"/>
      <c r="CF2113" s="104"/>
      <c r="CG2113" s="105"/>
      <c r="FK2113" s="7"/>
    </row>
    <row r="2114" spans="1:167">
      <c r="A2114" s="571"/>
      <c r="B2114" s="1008"/>
      <c r="C2114" s="7"/>
      <c r="P2114" s="7"/>
      <c r="AX2114" s="7"/>
      <c r="BP2114" s="61"/>
      <c r="CF2114" s="104"/>
      <c r="CG2114" s="105"/>
      <c r="FK2114" s="7"/>
    </row>
    <row r="2115" spans="1:167">
      <c r="A2115" s="571"/>
      <c r="B2115" s="1008"/>
      <c r="C2115" s="7"/>
      <c r="P2115" s="7"/>
      <c r="AX2115" s="7"/>
      <c r="BP2115" s="61"/>
      <c r="CF2115" s="104"/>
      <c r="CG2115" s="105"/>
      <c r="FK2115" s="7"/>
    </row>
    <row r="2116" spans="1:167">
      <c r="A2116" s="571"/>
      <c r="B2116" s="1008"/>
      <c r="C2116" s="7"/>
      <c r="P2116" s="7"/>
      <c r="AX2116" s="7"/>
      <c r="BP2116" s="61"/>
      <c r="CF2116" s="104"/>
      <c r="CG2116" s="105"/>
      <c r="FK2116" s="7"/>
    </row>
    <row r="2117" spans="1:167">
      <c r="A2117" s="571"/>
      <c r="B2117" s="1008"/>
      <c r="C2117" s="7"/>
      <c r="P2117" s="7"/>
      <c r="AX2117" s="7"/>
      <c r="BP2117" s="61"/>
      <c r="CF2117" s="104"/>
      <c r="CG2117" s="105"/>
      <c r="FK2117" s="7"/>
    </row>
    <row r="2118" spans="1:167">
      <c r="A2118" s="571"/>
      <c r="B2118" s="1008"/>
      <c r="C2118" s="7"/>
      <c r="P2118" s="7"/>
      <c r="AX2118" s="7"/>
      <c r="BP2118" s="61"/>
      <c r="CF2118" s="104"/>
      <c r="CG2118" s="105"/>
      <c r="FK2118" s="7"/>
    </row>
    <row r="2119" spans="1:167">
      <c r="A2119" s="571"/>
      <c r="B2119" s="1008"/>
      <c r="C2119" s="7"/>
      <c r="P2119" s="7"/>
      <c r="AX2119" s="7"/>
      <c r="BP2119" s="61"/>
      <c r="CF2119" s="104"/>
      <c r="CG2119" s="105"/>
      <c r="FK2119" s="7"/>
    </row>
    <row r="2120" spans="1:167">
      <c r="A2120" s="571"/>
      <c r="B2120" s="1008"/>
      <c r="C2120" s="7"/>
      <c r="P2120" s="7"/>
      <c r="AX2120" s="7"/>
      <c r="BP2120" s="61"/>
      <c r="CF2120" s="104"/>
      <c r="CG2120" s="105"/>
      <c r="FK2120" s="7"/>
    </row>
    <row r="2121" spans="1:167">
      <c r="A2121" s="571"/>
      <c r="B2121" s="1008"/>
      <c r="C2121" s="7"/>
      <c r="P2121" s="7"/>
      <c r="AX2121" s="7"/>
      <c r="BP2121" s="61"/>
      <c r="CF2121" s="104"/>
      <c r="CG2121" s="105"/>
      <c r="FK2121" s="7"/>
    </row>
    <row r="2122" spans="1:167">
      <c r="A2122" s="571"/>
      <c r="B2122" s="1008"/>
      <c r="C2122" s="7"/>
      <c r="P2122" s="7"/>
      <c r="AX2122" s="7"/>
      <c r="BP2122" s="61"/>
      <c r="CF2122" s="104"/>
      <c r="CG2122" s="105"/>
      <c r="FK2122" s="7"/>
    </row>
    <row r="2123" spans="1:167">
      <c r="A2123" s="571"/>
      <c r="B2123" s="1008"/>
      <c r="C2123" s="7"/>
      <c r="P2123" s="7"/>
      <c r="AX2123" s="7"/>
      <c r="BP2123" s="61"/>
      <c r="CF2123" s="104"/>
      <c r="CG2123" s="105"/>
      <c r="FK2123" s="7"/>
    </row>
    <row r="2124" spans="1:167">
      <c r="A2124" s="571"/>
      <c r="B2124" s="1008"/>
      <c r="C2124" s="7"/>
      <c r="P2124" s="7"/>
      <c r="AX2124" s="7"/>
      <c r="BP2124" s="61"/>
      <c r="CF2124" s="104"/>
      <c r="CG2124" s="105"/>
      <c r="FK2124" s="7"/>
    </row>
    <row r="2125" spans="1:167">
      <c r="A2125" s="571"/>
      <c r="B2125" s="1008"/>
      <c r="C2125" s="7"/>
      <c r="P2125" s="7"/>
      <c r="AX2125" s="7"/>
      <c r="BP2125" s="61"/>
      <c r="CF2125" s="104"/>
      <c r="CG2125" s="105"/>
      <c r="FK2125" s="7"/>
    </row>
    <row r="2126" spans="1:167">
      <c r="A2126" s="571"/>
      <c r="B2126" s="1008"/>
      <c r="C2126" s="7"/>
      <c r="P2126" s="7"/>
      <c r="AX2126" s="7"/>
      <c r="BP2126" s="61"/>
      <c r="CF2126" s="104"/>
      <c r="CG2126" s="105"/>
      <c r="FK2126" s="7"/>
    </row>
    <row r="2127" spans="1:167">
      <c r="A2127" s="571"/>
      <c r="B2127" s="1008"/>
      <c r="C2127" s="7"/>
      <c r="P2127" s="7"/>
      <c r="AX2127" s="7"/>
      <c r="BP2127" s="61"/>
      <c r="CF2127" s="104"/>
      <c r="CG2127" s="105"/>
      <c r="FK2127" s="7"/>
    </row>
    <row r="2128" spans="1:167">
      <c r="A2128" s="571"/>
      <c r="B2128" s="1008"/>
      <c r="C2128" s="7"/>
      <c r="P2128" s="7"/>
      <c r="AX2128" s="7"/>
      <c r="BP2128" s="61"/>
      <c r="CF2128" s="104"/>
      <c r="CG2128" s="105"/>
      <c r="FK2128" s="7"/>
    </row>
    <row r="2129" spans="1:167">
      <c r="A2129" s="571"/>
      <c r="B2129" s="1008"/>
      <c r="C2129" s="7"/>
      <c r="P2129" s="7"/>
      <c r="AX2129" s="7"/>
      <c r="BP2129" s="61"/>
      <c r="CF2129" s="104"/>
      <c r="CG2129" s="105"/>
      <c r="FK2129" s="7"/>
    </row>
    <row r="2130" spans="1:167">
      <c r="A2130" s="571"/>
      <c r="B2130" s="1008"/>
      <c r="C2130" s="7"/>
      <c r="P2130" s="7"/>
      <c r="AX2130" s="7"/>
      <c r="BP2130" s="61"/>
      <c r="CF2130" s="104"/>
      <c r="CG2130" s="105"/>
      <c r="FK2130" s="7"/>
    </row>
    <row r="2131" spans="1:167">
      <c r="A2131" s="571"/>
      <c r="B2131" s="1008"/>
      <c r="C2131" s="7"/>
      <c r="P2131" s="7"/>
      <c r="AX2131" s="7"/>
      <c r="BP2131" s="61"/>
      <c r="CF2131" s="104"/>
      <c r="CG2131" s="105"/>
      <c r="FK2131" s="7"/>
    </row>
    <row r="2132" spans="1:167">
      <c r="A2132" s="571"/>
      <c r="B2132" s="1008"/>
      <c r="C2132" s="7"/>
      <c r="P2132" s="7"/>
      <c r="AX2132" s="7"/>
      <c r="BP2132" s="61"/>
      <c r="CF2132" s="104"/>
      <c r="CG2132" s="105"/>
      <c r="FK2132" s="7"/>
    </row>
    <row r="2133" spans="1:167">
      <c r="A2133" s="571"/>
      <c r="B2133" s="1008"/>
      <c r="C2133" s="7"/>
      <c r="P2133" s="7"/>
      <c r="AX2133" s="7"/>
      <c r="BP2133" s="61"/>
      <c r="CF2133" s="104"/>
      <c r="CG2133" s="105"/>
      <c r="FK2133" s="7"/>
    </row>
    <row r="2134" spans="1:167">
      <c r="A2134" s="571"/>
      <c r="B2134" s="1008"/>
      <c r="C2134" s="7"/>
      <c r="P2134" s="7"/>
      <c r="AX2134" s="7"/>
      <c r="BP2134" s="61"/>
      <c r="CF2134" s="104"/>
      <c r="CG2134" s="105"/>
      <c r="FK2134" s="7"/>
    </row>
    <row r="2135" spans="1:167">
      <c r="A2135" s="571"/>
      <c r="B2135" s="1008"/>
      <c r="C2135" s="7"/>
      <c r="P2135" s="7"/>
      <c r="AX2135" s="7"/>
      <c r="BP2135" s="61"/>
      <c r="CF2135" s="104"/>
      <c r="CG2135" s="105"/>
      <c r="FK2135" s="7"/>
    </row>
    <row r="2136" spans="1:167">
      <c r="A2136" s="571"/>
      <c r="B2136" s="1008"/>
      <c r="C2136" s="7"/>
      <c r="P2136" s="7"/>
      <c r="AX2136" s="7"/>
      <c r="BP2136" s="61"/>
      <c r="CF2136" s="104"/>
      <c r="CG2136" s="105"/>
      <c r="FK2136" s="7"/>
    </row>
    <row r="2137" spans="1:167">
      <c r="A2137" s="571"/>
      <c r="B2137" s="1008"/>
      <c r="C2137" s="7"/>
      <c r="P2137" s="7"/>
      <c r="AX2137" s="7"/>
      <c r="BP2137" s="61"/>
      <c r="CF2137" s="104"/>
      <c r="CG2137" s="105"/>
      <c r="FK2137" s="7"/>
    </row>
    <row r="2138" spans="1:167">
      <c r="A2138" s="571"/>
      <c r="B2138" s="1008"/>
      <c r="C2138" s="7"/>
      <c r="P2138" s="7"/>
      <c r="AX2138" s="7"/>
      <c r="BP2138" s="61"/>
      <c r="CF2138" s="104"/>
      <c r="CG2138" s="105"/>
      <c r="FK2138" s="7"/>
    </row>
    <row r="2139" spans="1:167">
      <c r="A2139" s="571"/>
      <c r="B2139" s="1008"/>
      <c r="C2139" s="7"/>
      <c r="P2139" s="7"/>
      <c r="AX2139" s="7"/>
      <c r="BP2139" s="61"/>
      <c r="CF2139" s="104"/>
      <c r="CG2139" s="105"/>
      <c r="FK2139" s="7"/>
    </row>
    <row r="2140" spans="1:167">
      <c r="A2140" s="571"/>
      <c r="B2140" s="1008"/>
      <c r="C2140" s="7"/>
      <c r="P2140" s="7"/>
      <c r="AX2140" s="7"/>
      <c r="BP2140" s="61"/>
      <c r="CF2140" s="104"/>
      <c r="CG2140" s="105"/>
      <c r="FK2140" s="7"/>
    </row>
    <row r="2141" spans="1:167">
      <c r="A2141" s="571"/>
      <c r="B2141" s="1008"/>
      <c r="C2141" s="7"/>
      <c r="P2141" s="7"/>
      <c r="AX2141" s="7"/>
      <c r="BP2141" s="61"/>
      <c r="CF2141" s="104"/>
      <c r="CG2141" s="105"/>
      <c r="FK2141" s="7"/>
    </row>
    <row r="2142" spans="1:167">
      <c r="A2142" s="571"/>
      <c r="B2142" s="1008"/>
      <c r="C2142" s="7"/>
      <c r="P2142" s="7"/>
      <c r="AX2142" s="7"/>
      <c r="BP2142" s="61"/>
      <c r="CF2142" s="104"/>
      <c r="CG2142" s="105"/>
      <c r="FK2142" s="7"/>
    </row>
    <row r="2143" spans="1:167">
      <c r="A2143" s="571"/>
      <c r="B2143" s="1008"/>
      <c r="C2143" s="7"/>
      <c r="P2143" s="7"/>
      <c r="AX2143" s="7"/>
      <c r="BP2143" s="61"/>
      <c r="CF2143" s="104"/>
      <c r="CG2143" s="105"/>
      <c r="FK2143" s="7"/>
    </row>
    <row r="2144" spans="1:167">
      <c r="A2144" s="571"/>
      <c r="B2144" s="1008"/>
      <c r="C2144" s="7"/>
      <c r="P2144" s="7"/>
      <c r="AX2144" s="7"/>
      <c r="BP2144" s="61"/>
      <c r="CF2144" s="104"/>
      <c r="CG2144" s="105"/>
      <c r="FK2144" s="7"/>
    </row>
    <row r="2145" spans="1:167">
      <c r="A2145" s="571"/>
      <c r="B2145" s="1008"/>
      <c r="C2145" s="7"/>
      <c r="P2145" s="7"/>
      <c r="AX2145" s="7"/>
      <c r="BP2145" s="61"/>
      <c r="CF2145" s="104"/>
      <c r="CG2145" s="105"/>
      <c r="FK2145" s="7"/>
    </row>
    <row r="2146" spans="1:167">
      <c r="A2146" s="571"/>
      <c r="B2146" s="1008"/>
      <c r="C2146" s="7"/>
      <c r="P2146" s="7"/>
      <c r="AX2146" s="7"/>
      <c r="BP2146" s="61"/>
      <c r="CF2146" s="104"/>
      <c r="CG2146" s="105"/>
      <c r="FK2146" s="7"/>
    </row>
    <row r="2147" spans="1:167">
      <c r="A2147" s="571"/>
      <c r="B2147" s="1008"/>
      <c r="C2147" s="7"/>
      <c r="P2147" s="7"/>
      <c r="AX2147" s="7"/>
      <c r="BP2147" s="61"/>
      <c r="CF2147" s="104"/>
      <c r="CG2147" s="105"/>
      <c r="FK2147" s="7"/>
    </row>
    <row r="2148" spans="1:167">
      <c r="A2148" s="571"/>
      <c r="B2148" s="1008"/>
      <c r="C2148" s="7"/>
      <c r="P2148" s="7"/>
      <c r="AX2148" s="7"/>
      <c r="BP2148" s="61"/>
      <c r="CF2148" s="104"/>
      <c r="CG2148" s="105"/>
      <c r="FK2148" s="7"/>
    </row>
    <row r="2149" spans="1:167">
      <c r="A2149" s="571"/>
      <c r="B2149" s="1008"/>
      <c r="C2149" s="7"/>
      <c r="P2149" s="7"/>
      <c r="AX2149" s="7"/>
      <c r="BP2149" s="61"/>
      <c r="CF2149" s="104"/>
      <c r="CG2149" s="105"/>
      <c r="FK2149" s="7"/>
    </row>
    <row r="2150" spans="1:167">
      <c r="A2150" s="571"/>
      <c r="B2150" s="1008"/>
      <c r="C2150" s="7"/>
      <c r="P2150" s="7"/>
      <c r="AX2150" s="7"/>
      <c r="BP2150" s="61"/>
      <c r="CF2150" s="104"/>
      <c r="CG2150" s="105"/>
      <c r="FK2150" s="7"/>
    </row>
    <row r="2151" spans="1:167">
      <c r="A2151" s="571"/>
      <c r="B2151" s="1008"/>
      <c r="C2151" s="7"/>
      <c r="P2151" s="7"/>
      <c r="AX2151" s="7"/>
      <c r="BP2151" s="61"/>
      <c r="CF2151" s="104"/>
      <c r="CG2151" s="105"/>
      <c r="FK2151" s="7"/>
    </row>
    <row r="2152" spans="1:167">
      <c r="A2152" s="571"/>
      <c r="B2152" s="1008"/>
      <c r="C2152" s="7"/>
      <c r="P2152" s="7"/>
      <c r="AX2152" s="7"/>
      <c r="BP2152" s="61"/>
      <c r="CF2152" s="104"/>
      <c r="CG2152" s="105"/>
      <c r="FK2152" s="7"/>
    </row>
    <row r="2153" spans="1:167">
      <c r="A2153" s="571"/>
      <c r="B2153" s="1008"/>
      <c r="C2153" s="7"/>
      <c r="P2153" s="7"/>
      <c r="AX2153" s="7"/>
      <c r="BP2153" s="61"/>
      <c r="CF2153" s="104"/>
      <c r="CG2153" s="105"/>
      <c r="FK2153" s="7"/>
    </row>
    <row r="2154" spans="1:167">
      <c r="A2154" s="571"/>
      <c r="B2154" s="1008"/>
      <c r="C2154" s="7"/>
      <c r="P2154" s="7"/>
      <c r="AX2154" s="7"/>
      <c r="BP2154" s="61"/>
      <c r="CF2154" s="104"/>
      <c r="CG2154" s="105"/>
      <c r="FK2154" s="7"/>
    </row>
    <row r="2155" spans="1:167">
      <c r="A2155" s="571"/>
      <c r="B2155" s="1008"/>
      <c r="C2155" s="7"/>
      <c r="P2155" s="7"/>
      <c r="AX2155" s="7"/>
      <c r="BP2155" s="61"/>
      <c r="CF2155" s="104"/>
      <c r="CG2155" s="105"/>
      <c r="FK2155" s="7"/>
    </row>
    <row r="2156" spans="1:167">
      <c r="A2156" s="571"/>
      <c r="B2156" s="1008"/>
      <c r="C2156" s="7"/>
      <c r="P2156" s="7"/>
      <c r="AX2156" s="7"/>
      <c r="BP2156" s="61"/>
      <c r="CF2156" s="104"/>
      <c r="CG2156" s="105"/>
      <c r="FK2156" s="7"/>
    </row>
    <row r="2157" spans="1:167">
      <c r="A2157" s="571"/>
      <c r="B2157" s="1008"/>
      <c r="C2157" s="7"/>
      <c r="P2157" s="7"/>
      <c r="AX2157" s="7"/>
      <c r="BP2157" s="61"/>
      <c r="CF2157" s="104"/>
      <c r="CG2157" s="105"/>
      <c r="FK2157" s="7"/>
    </row>
    <row r="2158" spans="1:167">
      <c r="A2158" s="571"/>
      <c r="B2158" s="1008"/>
      <c r="C2158" s="7"/>
      <c r="P2158" s="7"/>
      <c r="AX2158" s="7"/>
      <c r="BP2158" s="61"/>
      <c r="CF2158" s="104"/>
      <c r="CG2158" s="105"/>
      <c r="FK2158" s="7"/>
    </row>
    <row r="2159" spans="1:167">
      <c r="A2159" s="571"/>
      <c r="B2159" s="1008"/>
      <c r="C2159" s="7"/>
      <c r="P2159" s="7"/>
      <c r="AX2159" s="7"/>
      <c r="BP2159" s="61"/>
      <c r="CF2159" s="104"/>
      <c r="CG2159" s="105"/>
      <c r="FK2159" s="7"/>
    </row>
    <row r="2160" spans="1:167">
      <c r="A2160" s="571"/>
      <c r="B2160" s="1008"/>
      <c r="C2160" s="7"/>
      <c r="P2160" s="7"/>
      <c r="AX2160" s="7"/>
      <c r="BP2160" s="61"/>
      <c r="CF2160" s="104"/>
      <c r="CG2160" s="105"/>
      <c r="FK2160" s="7"/>
    </row>
    <row r="2161" spans="1:167">
      <c r="A2161" s="571"/>
      <c r="B2161" s="1008"/>
      <c r="C2161" s="7"/>
      <c r="P2161" s="7"/>
      <c r="AX2161" s="7"/>
      <c r="BP2161" s="61"/>
      <c r="CF2161" s="104"/>
      <c r="CG2161" s="105"/>
      <c r="FK2161" s="7"/>
    </row>
    <row r="2162" spans="1:167">
      <c r="A2162" s="571"/>
      <c r="B2162" s="1008"/>
      <c r="C2162" s="7"/>
      <c r="P2162" s="7"/>
      <c r="AX2162" s="7"/>
      <c r="BP2162" s="61"/>
      <c r="CF2162" s="104"/>
      <c r="CG2162" s="105"/>
      <c r="FK2162" s="7"/>
    </row>
    <row r="2163" spans="1:167">
      <c r="A2163" s="571"/>
      <c r="B2163" s="1008"/>
      <c r="C2163" s="7"/>
      <c r="P2163" s="7"/>
      <c r="AX2163" s="7"/>
      <c r="BP2163" s="61"/>
      <c r="CF2163" s="104"/>
      <c r="CG2163" s="105"/>
      <c r="FK2163" s="7"/>
    </row>
    <row r="2164" spans="1:167">
      <c r="A2164" s="571"/>
      <c r="B2164" s="1008"/>
      <c r="C2164" s="7"/>
      <c r="P2164" s="7"/>
      <c r="AX2164" s="7"/>
      <c r="BP2164" s="61"/>
      <c r="CF2164" s="104"/>
      <c r="CG2164" s="105"/>
      <c r="FK2164" s="7"/>
    </row>
    <row r="2165" spans="1:167">
      <c r="A2165" s="571"/>
      <c r="B2165" s="1008"/>
      <c r="C2165" s="7"/>
      <c r="P2165" s="7"/>
      <c r="AX2165" s="7"/>
      <c r="BP2165" s="61"/>
      <c r="CF2165" s="104"/>
      <c r="CG2165" s="105"/>
      <c r="FK2165" s="7"/>
    </row>
    <row r="2166" spans="1:167">
      <c r="A2166" s="571"/>
      <c r="B2166" s="1008"/>
      <c r="C2166" s="7"/>
      <c r="P2166" s="7"/>
      <c r="AX2166" s="7"/>
      <c r="BP2166" s="61"/>
      <c r="CF2166" s="104"/>
      <c r="CG2166" s="105"/>
      <c r="FK2166" s="7"/>
    </row>
    <row r="2167" spans="1:167">
      <c r="A2167" s="571"/>
      <c r="B2167" s="1008"/>
      <c r="C2167" s="7"/>
      <c r="P2167" s="7"/>
      <c r="AX2167" s="7"/>
      <c r="BP2167" s="61"/>
      <c r="CF2167" s="104"/>
      <c r="CG2167" s="105"/>
      <c r="FK2167" s="7"/>
    </row>
    <row r="2168" spans="1:167">
      <c r="A2168" s="571"/>
      <c r="B2168" s="1008"/>
      <c r="C2168" s="7"/>
      <c r="P2168" s="7"/>
      <c r="AX2168" s="7"/>
      <c r="BP2168" s="61"/>
      <c r="CF2168" s="104"/>
      <c r="CG2168" s="105"/>
      <c r="FK2168" s="7"/>
    </row>
    <row r="2169" spans="1:167">
      <c r="A2169" s="571"/>
      <c r="B2169" s="1008"/>
      <c r="C2169" s="7"/>
      <c r="P2169" s="7"/>
      <c r="AX2169" s="7"/>
      <c r="BP2169" s="61"/>
      <c r="CF2169" s="104"/>
      <c r="CG2169" s="105"/>
      <c r="FK2169" s="7"/>
    </row>
    <row r="2170" spans="1:167">
      <c r="A2170" s="571"/>
      <c r="B2170" s="1008"/>
      <c r="C2170" s="7"/>
      <c r="P2170" s="7"/>
      <c r="AX2170" s="7"/>
      <c r="BP2170" s="61"/>
      <c r="CF2170" s="104"/>
      <c r="CG2170" s="105"/>
      <c r="FK2170" s="7"/>
    </row>
    <row r="2171" spans="1:167">
      <c r="A2171" s="571"/>
      <c r="B2171" s="1008"/>
      <c r="C2171" s="7"/>
      <c r="P2171" s="7"/>
      <c r="AX2171" s="7"/>
      <c r="BP2171" s="61"/>
      <c r="CF2171" s="104"/>
      <c r="CG2171" s="105"/>
      <c r="FK2171" s="7"/>
    </row>
    <row r="2172" spans="1:167">
      <c r="A2172" s="571"/>
      <c r="B2172" s="1008"/>
      <c r="C2172" s="7"/>
      <c r="P2172" s="7"/>
      <c r="AX2172" s="7"/>
      <c r="BP2172" s="61"/>
      <c r="CF2172" s="104"/>
      <c r="CG2172" s="105"/>
      <c r="FK2172" s="7"/>
    </row>
    <row r="2173" spans="1:167">
      <c r="A2173" s="571"/>
      <c r="B2173" s="1008"/>
      <c r="C2173" s="7"/>
      <c r="P2173" s="7"/>
      <c r="AX2173" s="7"/>
      <c r="BP2173" s="61"/>
      <c r="CF2173" s="104"/>
      <c r="CG2173" s="105"/>
      <c r="FK2173" s="7"/>
    </row>
    <row r="2174" spans="1:167">
      <c r="A2174" s="571"/>
      <c r="B2174" s="1008"/>
      <c r="C2174" s="7"/>
      <c r="P2174" s="7"/>
      <c r="AX2174" s="7"/>
      <c r="BP2174" s="61"/>
      <c r="CF2174" s="104"/>
      <c r="CG2174" s="105"/>
      <c r="FK2174" s="7"/>
    </row>
    <row r="2175" spans="1:167">
      <c r="A2175" s="571"/>
      <c r="B2175" s="1008"/>
      <c r="C2175" s="7"/>
      <c r="P2175" s="7"/>
      <c r="AX2175" s="7"/>
      <c r="BP2175" s="61"/>
      <c r="CF2175" s="104"/>
      <c r="CG2175" s="105"/>
      <c r="FK2175" s="7"/>
    </row>
    <row r="2176" spans="1:167">
      <c r="A2176" s="571"/>
      <c r="B2176" s="1008"/>
      <c r="C2176" s="7"/>
      <c r="P2176" s="7"/>
      <c r="AX2176" s="7"/>
      <c r="BP2176" s="61"/>
      <c r="CF2176" s="104"/>
      <c r="CG2176" s="105"/>
      <c r="FK2176" s="7"/>
    </row>
    <row r="2177" spans="1:167">
      <c r="A2177" s="571"/>
      <c r="B2177" s="1008"/>
      <c r="C2177" s="7"/>
      <c r="P2177" s="7"/>
      <c r="AX2177" s="7"/>
      <c r="BP2177" s="61"/>
      <c r="CF2177" s="104"/>
      <c r="CG2177" s="105"/>
      <c r="FK2177" s="7"/>
    </row>
    <row r="2178" spans="1:167">
      <c r="A2178" s="571"/>
      <c r="B2178" s="1008"/>
      <c r="C2178" s="7"/>
      <c r="P2178" s="7"/>
      <c r="AX2178" s="7"/>
      <c r="BP2178" s="61"/>
      <c r="CF2178" s="104"/>
      <c r="CG2178" s="105"/>
      <c r="FK2178" s="7"/>
    </row>
    <row r="2179" spans="1:167">
      <c r="A2179" s="571"/>
      <c r="B2179" s="1008"/>
      <c r="C2179" s="7"/>
      <c r="P2179" s="7"/>
      <c r="AX2179" s="7"/>
      <c r="BP2179" s="61"/>
      <c r="CF2179" s="104"/>
      <c r="CG2179" s="105"/>
      <c r="FK2179" s="7"/>
    </row>
    <row r="2180" spans="1:167">
      <c r="A2180" s="571"/>
      <c r="B2180" s="1008"/>
      <c r="C2180" s="7"/>
      <c r="P2180" s="7"/>
      <c r="AX2180" s="7"/>
      <c r="BP2180" s="61"/>
      <c r="CF2180" s="104"/>
      <c r="CG2180" s="105"/>
      <c r="FK2180" s="7"/>
    </row>
    <row r="2181" spans="1:167">
      <c r="A2181" s="571"/>
      <c r="B2181" s="1008"/>
      <c r="C2181" s="7"/>
      <c r="P2181" s="7"/>
      <c r="AX2181" s="7"/>
      <c r="BP2181" s="61"/>
      <c r="CF2181" s="104"/>
      <c r="CG2181" s="105"/>
      <c r="FK2181" s="7"/>
    </row>
    <row r="2182" spans="1:167">
      <c r="A2182" s="571"/>
      <c r="B2182" s="1008"/>
      <c r="C2182" s="7"/>
      <c r="P2182" s="7"/>
      <c r="AX2182" s="7"/>
      <c r="BP2182" s="61"/>
      <c r="CF2182" s="104"/>
      <c r="CG2182" s="105"/>
      <c r="FK2182" s="7"/>
    </row>
    <row r="2183" spans="1:167">
      <c r="A2183" s="571"/>
      <c r="B2183" s="1008"/>
      <c r="C2183" s="7"/>
      <c r="P2183" s="7"/>
      <c r="AX2183" s="7"/>
      <c r="BP2183" s="61"/>
      <c r="CF2183" s="104"/>
      <c r="CG2183" s="105"/>
      <c r="FK2183" s="7"/>
    </row>
    <row r="2184" spans="1:167">
      <c r="A2184" s="571"/>
      <c r="B2184" s="1008"/>
      <c r="C2184" s="7"/>
      <c r="P2184" s="7"/>
      <c r="AX2184" s="7"/>
      <c r="BP2184" s="61"/>
      <c r="CF2184" s="104"/>
      <c r="CG2184" s="105"/>
      <c r="FK2184" s="7"/>
    </row>
    <row r="2185" spans="1:167">
      <c r="A2185" s="571"/>
      <c r="B2185" s="1008"/>
      <c r="C2185" s="7"/>
      <c r="P2185" s="7"/>
      <c r="AX2185" s="7"/>
      <c r="BP2185" s="61"/>
      <c r="CF2185" s="104"/>
      <c r="CG2185" s="105"/>
      <c r="FK2185" s="7"/>
    </row>
    <row r="2186" spans="1:167">
      <c r="A2186" s="571"/>
      <c r="B2186" s="1008"/>
      <c r="C2186" s="7"/>
      <c r="P2186" s="7"/>
      <c r="AX2186" s="7"/>
      <c r="BP2186" s="61"/>
      <c r="CF2186" s="104"/>
      <c r="CG2186" s="105"/>
      <c r="FK2186" s="7"/>
    </row>
    <row r="2187" spans="1:167">
      <c r="A2187" s="571"/>
      <c r="B2187" s="1008"/>
      <c r="C2187" s="7"/>
      <c r="P2187" s="7"/>
      <c r="AX2187" s="7"/>
      <c r="BP2187" s="61"/>
      <c r="CF2187" s="104"/>
      <c r="CG2187" s="105"/>
      <c r="FK2187" s="7"/>
    </row>
    <row r="2188" spans="1:167">
      <c r="A2188" s="571"/>
      <c r="B2188" s="1008"/>
      <c r="C2188" s="7"/>
      <c r="P2188" s="7"/>
      <c r="AX2188" s="7"/>
      <c r="BP2188" s="61"/>
      <c r="CF2188" s="104"/>
      <c r="CG2188" s="105"/>
      <c r="FK2188" s="7"/>
    </row>
    <row r="2189" spans="1:167">
      <c r="A2189" s="571"/>
      <c r="B2189" s="1008"/>
      <c r="C2189" s="7"/>
      <c r="P2189" s="7"/>
      <c r="AX2189" s="7"/>
      <c r="BP2189" s="61"/>
      <c r="CF2189" s="104"/>
      <c r="CG2189" s="105"/>
      <c r="FK2189" s="7"/>
    </row>
    <row r="2190" spans="1:167">
      <c r="A2190" s="571"/>
      <c r="B2190" s="1008"/>
      <c r="C2190" s="7"/>
      <c r="P2190" s="7"/>
      <c r="AX2190" s="7"/>
      <c r="BP2190" s="61"/>
      <c r="CF2190" s="104"/>
      <c r="CG2190" s="105"/>
      <c r="FK2190" s="7"/>
    </row>
    <row r="2191" spans="1:167">
      <c r="A2191" s="571"/>
      <c r="B2191" s="1008"/>
      <c r="C2191" s="7"/>
      <c r="P2191" s="7"/>
      <c r="AX2191" s="7"/>
      <c r="BP2191" s="61"/>
      <c r="CF2191" s="104"/>
      <c r="CG2191" s="105"/>
      <c r="FK2191" s="7"/>
    </row>
    <row r="2192" spans="1:167">
      <c r="A2192" s="571"/>
      <c r="B2192" s="1008"/>
      <c r="C2192" s="7"/>
      <c r="P2192" s="7"/>
      <c r="AX2192" s="7"/>
      <c r="BP2192" s="61"/>
      <c r="CF2192" s="104"/>
      <c r="CG2192" s="105"/>
      <c r="FK2192" s="7"/>
    </row>
    <row r="2193" spans="1:167">
      <c r="A2193" s="571"/>
      <c r="B2193" s="1008"/>
      <c r="C2193" s="7"/>
      <c r="P2193" s="7"/>
      <c r="AX2193" s="7"/>
      <c r="BP2193" s="61"/>
      <c r="CF2193" s="104"/>
      <c r="CG2193" s="105"/>
      <c r="FK2193" s="7"/>
    </row>
    <row r="2194" spans="1:167">
      <c r="A2194" s="571"/>
      <c r="B2194" s="1008"/>
      <c r="C2194" s="7"/>
      <c r="P2194" s="7"/>
      <c r="AX2194" s="7"/>
      <c r="BP2194" s="61"/>
      <c r="CF2194" s="104"/>
      <c r="CG2194" s="105"/>
      <c r="FK2194" s="7"/>
    </row>
    <row r="2195" spans="1:167">
      <c r="A2195" s="571"/>
      <c r="B2195" s="1008"/>
      <c r="C2195" s="7"/>
      <c r="P2195" s="7"/>
      <c r="AX2195" s="7"/>
      <c r="BP2195" s="61"/>
      <c r="CF2195" s="104"/>
      <c r="CG2195" s="105"/>
      <c r="FK2195" s="7"/>
    </row>
    <row r="2196" spans="1:167">
      <c r="A2196" s="571"/>
      <c r="B2196" s="1008"/>
      <c r="C2196" s="7"/>
      <c r="P2196" s="7"/>
      <c r="AX2196" s="7"/>
      <c r="BP2196" s="61"/>
      <c r="CF2196" s="104"/>
      <c r="CG2196" s="105"/>
      <c r="FK2196" s="7"/>
    </row>
    <row r="2197" spans="1:167">
      <c r="A2197" s="571"/>
      <c r="B2197" s="1008"/>
      <c r="C2197" s="7"/>
      <c r="P2197" s="7"/>
      <c r="AX2197" s="7"/>
      <c r="BP2197" s="61"/>
      <c r="CF2197" s="104"/>
      <c r="CG2197" s="105"/>
      <c r="FK2197" s="7"/>
    </row>
    <row r="2198" spans="1:167">
      <c r="A2198" s="571"/>
      <c r="B2198" s="1008"/>
      <c r="C2198" s="7"/>
      <c r="P2198" s="7"/>
      <c r="AX2198" s="7"/>
      <c r="BP2198" s="61"/>
      <c r="CF2198" s="104"/>
      <c r="CG2198" s="105"/>
      <c r="FK2198" s="7"/>
    </row>
    <row r="2199" spans="1:167">
      <c r="A2199" s="571"/>
      <c r="B2199" s="1008"/>
      <c r="C2199" s="7"/>
      <c r="P2199" s="7"/>
      <c r="AX2199" s="7"/>
      <c r="BP2199" s="61"/>
      <c r="CF2199" s="104"/>
      <c r="CG2199" s="105"/>
      <c r="FK2199" s="7"/>
    </row>
    <row r="2200" spans="1:167">
      <c r="A2200" s="571"/>
      <c r="B2200" s="1008"/>
      <c r="C2200" s="7"/>
      <c r="P2200" s="7"/>
      <c r="AX2200" s="7"/>
      <c r="BP2200" s="61"/>
      <c r="CF2200" s="104"/>
      <c r="CG2200" s="105"/>
      <c r="FK2200" s="7"/>
    </row>
    <row r="2201" spans="1:167">
      <c r="A2201" s="571"/>
      <c r="B2201" s="1008"/>
      <c r="C2201" s="7"/>
      <c r="P2201" s="7"/>
      <c r="AX2201" s="7"/>
      <c r="BP2201" s="61"/>
      <c r="CF2201" s="104"/>
      <c r="CG2201" s="105"/>
      <c r="FK2201" s="7"/>
    </row>
    <row r="2202" spans="1:167">
      <c r="A2202" s="571"/>
      <c r="B2202" s="1008"/>
      <c r="C2202" s="7"/>
      <c r="P2202" s="7"/>
      <c r="AX2202" s="7"/>
      <c r="BP2202" s="61"/>
      <c r="CF2202" s="104"/>
      <c r="CG2202" s="105"/>
      <c r="FK2202" s="7"/>
    </row>
    <row r="2203" spans="1:167">
      <c r="A2203" s="571"/>
      <c r="B2203" s="1008"/>
      <c r="C2203" s="7"/>
      <c r="P2203" s="7"/>
      <c r="AX2203" s="7"/>
      <c r="BP2203" s="61"/>
      <c r="CF2203" s="104"/>
      <c r="CG2203" s="105"/>
      <c r="FK2203" s="7"/>
    </row>
    <row r="2204" spans="1:167">
      <c r="A2204" s="571"/>
      <c r="B2204" s="1008"/>
      <c r="C2204" s="7"/>
      <c r="P2204" s="7"/>
      <c r="AX2204" s="7"/>
      <c r="BP2204" s="61"/>
      <c r="CF2204" s="104"/>
      <c r="CG2204" s="105"/>
      <c r="FK2204" s="7"/>
    </row>
    <row r="2205" spans="1:167">
      <c r="A2205" s="571"/>
      <c r="B2205" s="1008"/>
      <c r="C2205" s="7"/>
      <c r="P2205" s="7"/>
      <c r="AX2205" s="7"/>
      <c r="BP2205" s="61"/>
      <c r="CF2205" s="104"/>
      <c r="CG2205" s="105"/>
      <c r="FK2205" s="7"/>
    </row>
    <row r="2206" spans="1:167">
      <c r="A2206" s="571"/>
      <c r="B2206" s="1008"/>
      <c r="C2206" s="7"/>
      <c r="P2206" s="7"/>
      <c r="AX2206" s="7"/>
      <c r="BP2206" s="61"/>
      <c r="CF2206" s="104"/>
      <c r="CG2206" s="105"/>
      <c r="FK2206" s="7"/>
    </row>
    <row r="2207" spans="1:167">
      <c r="A2207" s="571"/>
      <c r="B2207" s="1008"/>
      <c r="C2207" s="7"/>
      <c r="P2207" s="7"/>
      <c r="AX2207" s="7"/>
      <c r="BP2207" s="61"/>
      <c r="CF2207" s="104"/>
      <c r="CG2207" s="105"/>
      <c r="FK2207" s="7"/>
    </row>
    <row r="2208" spans="1:167">
      <c r="A2208" s="571"/>
      <c r="B2208" s="1008"/>
      <c r="C2208" s="7"/>
      <c r="P2208" s="7"/>
      <c r="AX2208" s="7"/>
      <c r="BP2208" s="61"/>
      <c r="CF2208" s="104"/>
      <c r="CG2208" s="105"/>
      <c r="FK2208" s="7"/>
    </row>
    <row r="2209" spans="1:167">
      <c r="A2209" s="571"/>
      <c r="B2209" s="1008"/>
      <c r="C2209" s="7"/>
      <c r="P2209" s="7"/>
      <c r="AX2209" s="7"/>
      <c r="BP2209" s="61"/>
      <c r="CF2209" s="104"/>
      <c r="CG2209" s="105"/>
      <c r="FK2209" s="7"/>
    </row>
    <row r="2210" spans="1:167">
      <c r="A2210" s="571"/>
      <c r="B2210" s="1008"/>
      <c r="C2210" s="7"/>
      <c r="P2210" s="7"/>
      <c r="AX2210" s="7"/>
      <c r="BP2210" s="61"/>
      <c r="CF2210" s="104"/>
      <c r="CG2210" s="105"/>
      <c r="FK2210" s="7"/>
    </row>
    <row r="2211" spans="1:167">
      <c r="A2211" s="571"/>
      <c r="B2211" s="1008"/>
      <c r="C2211" s="7"/>
      <c r="P2211" s="7"/>
      <c r="AX2211" s="7"/>
      <c r="BP2211" s="61"/>
      <c r="CF2211" s="104"/>
      <c r="CG2211" s="105"/>
      <c r="FK2211" s="7"/>
    </row>
    <row r="2212" spans="1:167">
      <c r="A2212" s="571"/>
      <c r="B2212" s="1008"/>
      <c r="C2212" s="7"/>
      <c r="P2212" s="7"/>
      <c r="AX2212" s="7"/>
      <c r="BP2212" s="61"/>
      <c r="CF2212" s="104"/>
      <c r="CG2212" s="105"/>
      <c r="FK2212" s="7"/>
    </row>
    <row r="2213" spans="1:167">
      <c r="A2213" s="571"/>
      <c r="B2213" s="1008"/>
      <c r="C2213" s="7"/>
      <c r="P2213" s="7"/>
      <c r="AX2213" s="7"/>
      <c r="BP2213" s="61"/>
      <c r="CF2213" s="104"/>
      <c r="CG2213" s="105"/>
      <c r="FK2213" s="7"/>
    </row>
    <row r="2214" spans="1:167">
      <c r="A2214" s="571"/>
      <c r="B2214" s="1008"/>
      <c r="C2214" s="7"/>
      <c r="P2214" s="7"/>
      <c r="AX2214" s="7"/>
      <c r="BP2214" s="61"/>
      <c r="CF2214" s="104"/>
      <c r="CG2214" s="105"/>
      <c r="FK2214" s="7"/>
    </row>
    <row r="2215" spans="1:167">
      <c r="A2215" s="571"/>
      <c r="B2215" s="1008"/>
      <c r="C2215" s="7"/>
      <c r="P2215" s="7"/>
      <c r="AX2215" s="7"/>
      <c r="BP2215" s="61"/>
      <c r="CF2215" s="104"/>
      <c r="CG2215" s="105"/>
      <c r="FK2215" s="7"/>
    </row>
    <row r="2216" spans="1:167">
      <c r="A2216" s="571"/>
      <c r="B2216" s="1008"/>
      <c r="C2216" s="7"/>
      <c r="P2216" s="7"/>
      <c r="AX2216" s="7"/>
      <c r="BP2216" s="61"/>
      <c r="CF2216" s="104"/>
      <c r="CG2216" s="105"/>
      <c r="FK2216" s="7"/>
    </row>
    <row r="2217" spans="1:167">
      <c r="A2217" s="571"/>
      <c r="B2217" s="1008"/>
      <c r="C2217" s="7"/>
      <c r="P2217" s="7"/>
      <c r="AX2217" s="7"/>
      <c r="BP2217" s="61"/>
      <c r="CF2217" s="104"/>
      <c r="CG2217" s="105"/>
      <c r="FK2217" s="7"/>
    </row>
    <row r="2218" spans="1:167">
      <c r="A2218" s="571"/>
      <c r="B2218" s="1008"/>
      <c r="C2218" s="7"/>
      <c r="P2218" s="7"/>
      <c r="AX2218" s="7"/>
      <c r="BP2218" s="61"/>
      <c r="CF2218" s="104"/>
      <c r="CG2218" s="105"/>
      <c r="FK2218" s="7"/>
    </row>
    <row r="2219" spans="1:167">
      <c r="A2219" s="571"/>
      <c r="B2219" s="1008"/>
      <c r="C2219" s="7"/>
      <c r="P2219" s="7"/>
      <c r="AX2219" s="7"/>
      <c r="BP2219" s="61"/>
      <c r="CF2219" s="104"/>
      <c r="CG2219" s="105"/>
      <c r="FK2219" s="7"/>
    </row>
    <row r="2220" spans="1:167">
      <c r="A2220" s="571"/>
      <c r="B2220" s="1008"/>
      <c r="C2220" s="7"/>
      <c r="P2220" s="7"/>
      <c r="AX2220" s="7"/>
      <c r="BP2220" s="61"/>
      <c r="CF2220" s="104"/>
      <c r="CG2220" s="105"/>
      <c r="FK2220" s="7"/>
    </row>
    <row r="2221" spans="1:167">
      <c r="A2221" s="571"/>
      <c r="B2221" s="1008"/>
      <c r="C2221" s="7"/>
      <c r="P2221" s="7"/>
      <c r="AX2221" s="7"/>
      <c r="BP2221" s="61"/>
      <c r="CF2221" s="104"/>
      <c r="CG2221" s="105"/>
      <c r="FK2221" s="7"/>
    </row>
    <row r="2222" spans="1:167">
      <c r="A2222" s="571"/>
      <c r="B2222" s="1008"/>
      <c r="C2222" s="7"/>
      <c r="P2222" s="7"/>
      <c r="AX2222" s="7"/>
      <c r="BP2222" s="61"/>
      <c r="CF2222" s="104"/>
      <c r="CG2222" s="105"/>
      <c r="FK2222" s="7"/>
    </row>
    <row r="2223" spans="1:167">
      <c r="A2223" s="571"/>
      <c r="B2223" s="1008"/>
      <c r="C2223" s="7"/>
      <c r="P2223" s="7"/>
      <c r="AX2223" s="7"/>
      <c r="BP2223" s="61"/>
      <c r="CF2223" s="104"/>
      <c r="CG2223" s="105"/>
      <c r="FK2223" s="7"/>
    </row>
    <row r="2224" spans="1:167">
      <c r="A2224" s="571"/>
      <c r="B2224" s="1008"/>
      <c r="C2224" s="7"/>
      <c r="P2224" s="7"/>
      <c r="AX2224" s="7"/>
      <c r="BP2224" s="61"/>
      <c r="CF2224" s="104"/>
      <c r="CG2224" s="105"/>
      <c r="FK2224" s="7"/>
    </row>
    <row r="2225" spans="1:167">
      <c r="A2225" s="571"/>
      <c r="B2225" s="1008"/>
      <c r="C2225" s="7"/>
      <c r="P2225" s="7"/>
      <c r="AX2225" s="7"/>
      <c r="BP2225" s="61"/>
      <c r="CF2225" s="104"/>
      <c r="CG2225" s="105"/>
      <c r="FK2225" s="7"/>
    </row>
    <row r="2226" spans="1:167">
      <c r="A2226" s="571"/>
      <c r="B2226" s="1008"/>
      <c r="C2226" s="7"/>
      <c r="P2226" s="7"/>
      <c r="AX2226" s="7"/>
      <c r="BP2226" s="61"/>
      <c r="CF2226" s="104"/>
      <c r="CG2226" s="105"/>
      <c r="FK2226" s="7"/>
    </row>
    <row r="2227" spans="1:167">
      <c r="A2227" s="571"/>
      <c r="B2227" s="1008"/>
      <c r="C2227" s="7"/>
      <c r="P2227" s="7"/>
      <c r="AX2227" s="7"/>
      <c r="BP2227" s="61"/>
      <c r="CF2227" s="104"/>
      <c r="CG2227" s="105"/>
      <c r="FK2227" s="7"/>
    </row>
    <row r="2228" spans="1:167">
      <c r="A2228" s="571"/>
      <c r="B2228" s="1008"/>
      <c r="C2228" s="7"/>
      <c r="P2228" s="7"/>
      <c r="AX2228" s="7"/>
      <c r="BP2228" s="61"/>
      <c r="CF2228" s="104"/>
      <c r="CG2228" s="105"/>
      <c r="FK2228" s="7"/>
    </row>
    <row r="2229" spans="1:167">
      <c r="A2229" s="571"/>
      <c r="B2229" s="1008"/>
      <c r="C2229" s="7"/>
      <c r="P2229" s="7"/>
      <c r="AX2229" s="7"/>
      <c r="BP2229" s="61"/>
      <c r="CF2229" s="104"/>
      <c r="CG2229" s="105"/>
      <c r="FK2229" s="7"/>
    </row>
    <row r="2230" spans="1:167">
      <c r="A2230" s="571"/>
      <c r="B2230" s="1008"/>
      <c r="C2230" s="7"/>
      <c r="P2230" s="7"/>
      <c r="AX2230" s="7"/>
      <c r="BP2230" s="61"/>
      <c r="CF2230" s="104"/>
      <c r="CG2230" s="105"/>
      <c r="FK2230" s="7"/>
    </row>
    <row r="2231" spans="1:167">
      <c r="A2231" s="571"/>
      <c r="B2231" s="1008"/>
      <c r="C2231" s="7"/>
      <c r="P2231" s="7"/>
      <c r="AX2231" s="7"/>
      <c r="BP2231" s="61"/>
      <c r="CF2231" s="104"/>
      <c r="CG2231" s="105"/>
      <c r="FK2231" s="7"/>
    </row>
    <row r="2232" spans="1:167">
      <c r="A2232" s="571"/>
      <c r="B2232" s="1008"/>
      <c r="C2232" s="7"/>
      <c r="P2232" s="7"/>
      <c r="AX2232" s="7"/>
      <c r="BP2232" s="61"/>
      <c r="CF2232" s="104"/>
      <c r="CG2232" s="105"/>
      <c r="FK2232" s="7"/>
    </row>
    <row r="2233" spans="1:167">
      <c r="A2233" s="571"/>
      <c r="B2233" s="1008"/>
      <c r="C2233" s="7"/>
      <c r="P2233" s="7"/>
      <c r="AX2233" s="7"/>
      <c r="BP2233" s="61"/>
      <c r="CF2233" s="104"/>
      <c r="CG2233" s="105"/>
      <c r="FK2233" s="7"/>
    </row>
    <row r="2234" spans="1:167">
      <c r="A2234" s="571"/>
      <c r="B2234" s="1008"/>
      <c r="C2234" s="7"/>
      <c r="P2234" s="7"/>
      <c r="AX2234" s="7"/>
      <c r="BP2234" s="61"/>
      <c r="CF2234" s="104"/>
      <c r="CG2234" s="105"/>
      <c r="FK2234" s="7"/>
    </row>
    <row r="2235" spans="1:167">
      <c r="A2235" s="571"/>
      <c r="B2235" s="1008"/>
      <c r="C2235" s="7"/>
      <c r="P2235" s="7"/>
      <c r="AX2235" s="7"/>
      <c r="BP2235" s="61"/>
      <c r="CF2235" s="104"/>
      <c r="CG2235" s="105"/>
      <c r="FK2235" s="7"/>
    </row>
    <row r="2236" spans="1:167">
      <c r="A2236" s="571"/>
      <c r="B2236" s="1008"/>
      <c r="C2236" s="7"/>
      <c r="P2236" s="7"/>
      <c r="AX2236" s="7"/>
      <c r="BP2236" s="61"/>
      <c r="CF2236" s="104"/>
      <c r="CG2236" s="105"/>
      <c r="FK2236" s="7"/>
    </row>
    <row r="2237" spans="1:167">
      <c r="A2237" s="571"/>
      <c r="B2237" s="1008"/>
      <c r="C2237" s="7"/>
      <c r="P2237" s="7"/>
      <c r="AX2237" s="7"/>
      <c r="BP2237" s="61"/>
      <c r="CF2237" s="104"/>
      <c r="CG2237" s="105"/>
      <c r="FK2237" s="7"/>
    </row>
    <row r="2238" spans="1:167">
      <c r="A2238" s="571"/>
      <c r="B2238" s="1008"/>
      <c r="C2238" s="7"/>
      <c r="P2238" s="7"/>
      <c r="AX2238" s="7"/>
      <c r="BP2238" s="61"/>
      <c r="CF2238" s="104"/>
      <c r="CG2238" s="105"/>
      <c r="FK2238" s="7"/>
    </row>
    <row r="2239" spans="1:167">
      <c r="A2239" s="571"/>
      <c r="B2239" s="1008"/>
      <c r="C2239" s="7"/>
      <c r="P2239" s="7"/>
      <c r="AX2239" s="7"/>
      <c r="BP2239" s="61"/>
      <c r="CF2239" s="104"/>
      <c r="CG2239" s="105"/>
      <c r="FK2239" s="7"/>
    </row>
    <row r="2240" spans="1:167">
      <c r="A2240" s="571"/>
      <c r="B2240" s="1008"/>
      <c r="C2240" s="7"/>
      <c r="P2240" s="7"/>
      <c r="AX2240" s="7"/>
      <c r="BP2240" s="61"/>
      <c r="CF2240" s="104"/>
      <c r="CG2240" s="105"/>
      <c r="FK2240" s="7"/>
    </row>
    <row r="2241" spans="1:167">
      <c r="A2241" s="571"/>
      <c r="B2241" s="1008"/>
      <c r="C2241" s="7"/>
      <c r="P2241" s="7"/>
      <c r="AX2241" s="7"/>
      <c r="BP2241" s="61"/>
      <c r="CF2241" s="104"/>
      <c r="CG2241" s="105"/>
      <c r="FK2241" s="7"/>
    </row>
    <row r="2242" spans="1:167">
      <c r="A2242" s="571"/>
      <c r="B2242" s="1008"/>
      <c r="C2242" s="7"/>
      <c r="P2242" s="7"/>
      <c r="AX2242" s="7"/>
      <c r="BP2242" s="61"/>
      <c r="CF2242" s="104"/>
      <c r="CG2242" s="105"/>
      <c r="FK2242" s="7"/>
    </row>
    <row r="2243" spans="1:167">
      <c r="A2243" s="571"/>
      <c r="B2243" s="1008"/>
      <c r="C2243" s="7"/>
      <c r="P2243" s="7"/>
      <c r="AX2243" s="7"/>
      <c r="BP2243" s="61"/>
      <c r="CF2243" s="104"/>
      <c r="CG2243" s="105"/>
      <c r="FK2243" s="7"/>
    </row>
    <row r="2244" spans="1:167">
      <c r="A2244" s="571"/>
      <c r="B2244" s="1008"/>
      <c r="C2244" s="7"/>
      <c r="P2244" s="7"/>
      <c r="AX2244" s="7"/>
      <c r="BP2244" s="61"/>
      <c r="CF2244" s="104"/>
      <c r="CG2244" s="105"/>
      <c r="FK2244" s="7"/>
    </row>
    <row r="2245" spans="1:167">
      <c r="A2245" s="571"/>
      <c r="B2245" s="1008"/>
      <c r="C2245" s="7"/>
      <c r="P2245" s="7"/>
      <c r="AX2245" s="7"/>
      <c r="BP2245" s="61"/>
      <c r="CF2245" s="104"/>
      <c r="CG2245" s="105"/>
      <c r="FK2245" s="7"/>
    </row>
    <row r="2246" spans="1:167">
      <c r="A2246" s="571"/>
      <c r="B2246" s="1008"/>
      <c r="C2246" s="7"/>
      <c r="P2246" s="7"/>
      <c r="AX2246" s="7"/>
      <c r="BP2246" s="61"/>
      <c r="CF2246" s="104"/>
      <c r="CG2246" s="105"/>
      <c r="FK2246" s="7"/>
    </row>
    <row r="2247" spans="1:167">
      <c r="A2247" s="571"/>
      <c r="B2247" s="1008"/>
      <c r="C2247" s="7"/>
      <c r="P2247" s="7"/>
      <c r="AX2247" s="7"/>
      <c r="BP2247" s="61"/>
      <c r="CF2247" s="104"/>
      <c r="CG2247" s="105"/>
      <c r="FK2247" s="7"/>
    </row>
    <row r="2248" spans="1:167">
      <c r="A2248" s="571"/>
      <c r="B2248" s="1008"/>
      <c r="C2248" s="7"/>
      <c r="P2248" s="7"/>
      <c r="AX2248" s="7"/>
      <c r="BP2248" s="61"/>
      <c r="CF2248" s="104"/>
      <c r="CG2248" s="105"/>
      <c r="FK2248" s="7"/>
    </row>
    <row r="2249" spans="1:167">
      <c r="A2249" s="571"/>
      <c r="B2249" s="1008"/>
      <c r="C2249" s="7"/>
      <c r="P2249" s="7"/>
      <c r="AX2249" s="7"/>
      <c r="BP2249" s="61"/>
      <c r="CF2249" s="104"/>
      <c r="CG2249" s="105"/>
      <c r="FK2249" s="7"/>
    </row>
    <row r="2250" spans="1:167">
      <c r="A2250" s="571"/>
      <c r="B2250" s="1008"/>
      <c r="C2250" s="7"/>
      <c r="P2250" s="7"/>
      <c r="AX2250" s="7"/>
      <c r="BP2250" s="61"/>
      <c r="CF2250" s="104"/>
      <c r="CG2250" s="105"/>
      <c r="FK2250" s="7"/>
    </row>
    <row r="2251" spans="1:167">
      <c r="A2251" s="571"/>
      <c r="B2251" s="1008"/>
      <c r="C2251" s="7"/>
      <c r="P2251" s="7"/>
      <c r="AX2251" s="7"/>
      <c r="BP2251" s="61"/>
      <c r="CF2251" s="104"/>
      <c r="CG2251" s="105"/>
      <c r="FK2251" s="7"/>
    </row>
    <row r="2252" spans="1:167">
      <c r="A2252" s="571"/>
      <c r="B2252" s="1008"/>
      <c r="C2252" s="7"/>
      <c r="P2252" s="7"/>
      <c r="AX2252" s="7"/>
      <c r="BP2252" s="61"/>
      <c r="CF2252" s="104"/>
      <c r="CG2252" s="105"/>
      <c r="FK2252" s="7"/>
    </row>
    <row r="2253" spans="1:167">
      <c r="A2253" s="571"/>
      <c r="B2253" s="1008"/>
      <c r="C2253" s="7"/>
      <c r="P2253" s="7"/>
      <c r="AX2253" s="7"/>
      <c r="BP2253" s="61"/>
      <c r="CF2253" s="104"/>
      <c r="CG2253" s="105"/>
      <c r="FK2253" s="7"/>
    </row>
    <row r="2254" spans="1:167">
      <c r="A2254" s="571"/>
      <c r="B2254" s="1008"/>
      <c r="C2254" s="7"/>
      <c r="P2254" s="7"/>
      <c r="AX2254" s="7"/>
      <c r="BP2254" s="61"/>
      <c r="CF2254" s="104"/>
      <c r="CG2254" s="105"/>
      <c r="FK2254" s="7"/>
    </row>
    <row r="2255" spans="1:167">
      <c r="A2255" s="571"/>
      <c r="B2255" s="1008"/>
      <c r="C2255" s="7"/>
      <c r="P2255" s="7"/>
      <c r="AX2255" s="7"/>
      <c r="BP2255" s="61"/>
      <c r="CF2255" s="104"/>
      <c r="CG2255" s="105"/>
      <c r="FK2255" s="7"/>
    </row>
    <row r="2256" spans="1:167">
      <c r="A2256" s="571"/>
      <c r="B2256" s="1008"/>
      <c r="C2256" s="7"/>
      <c r="P2256" s="7"/>
      <c r="AX2256" s="7"/>
      <c r="BP2256" s="61"/>
      <c r="CF2256" s="104"/>
      <c r="CG2256" s="105"/>
      <c r="FK2256" s="7"/>
    </row>
    <row r="2257" spans="1:167">
      <c r="A2257" s="571"/>
      <c r="B2257" s="1008"/>
      <c r="C2257" s="7"/>
      <c r="P2257" s="7"/>
      <c r="AX2257" s="7"/>
      <c r="BP2257" s="61"/>
      <c r="CF2257" s="104"/>
      <c r="CG2257" s="105"/>
      <c r="FK2257" s="7"/>
    </row>
    <row r="2258" spans="1:167">
      <c r="A2258" s="571"/>
      <c r="B2258" s="1008"/>
      <c r="C2258" s="7"/>
      <c r="P2258" s="7"/>
      <c r="AX2258" s="7"/>
      <c r="BP2258" s="61"/>
      <c r="CF2258" s="104"/>
      <c r="CG2258" s="105"/>
      <c r="FK2258" s="7"/>
    </row>
    <row r="2259" spans="1:167">
      <c r="A2259" s="571"/>
      <c r="B2259" s="1008"/>
      <c r="C2259" s="7"/>
      <c r="P2259" s="7"/>
      <c r="AX2259" s="7"/>
      <c r="BP2259" s="61"/>
      <c r="CF2259" s="104"/>
      <c r="CG2259" s="105"/>
      <c r="FK2259" s="7"/>
    </row>
    <row r="2260" spans="1:167">
      <c r="A2260" s="571"/>
      <c r="B2260" s="1008"/>
      <c r="C2260" s="7"/>
      <c r="P2260" s="7"/>
      <c r="AX2260" s="7"/>
      <c r="BP2260" s="61"/>
      <c r="CF2260" s="104"/>
      <c r="CG2260" s="105"/>
      <c r="FK2260" s="7"/>
    </row>
    <row r="2261" spans="1:167">
      <c r="A2261" s="571"/>
      <c r="B2261" s="1008"/>
      <c r="C2261" s="7"/>
      <c r="P2261" s="7"/>
      <c r="AX2261" s="7"/>
      <c r="BP2261" s="61"/>
      <c r="CF2261" s="104"/>
      <c r="CG2261" s="105"/>
      <c r="FK2261" s="7"/>
    </row>
    <row r="2262" spans="1:167">
      <c r="A2262" s="571"/>
      <c r="B2262" s="1008"/>
      <c r="C2262" s="7"/>
      <c r="P2262" s="7"/>
      <c r="AX2262" s="7"/>
      <c r="BP2262" s="61"/>
      <c r="CF2262" s="104"/>
      <c r="CG2262" s="105"/>
      <c r="FK2262" s="7"/>
    </row>
    <row r="2263" spans="1:167">
      <c r="A2263" s="571"/>
      <c r="B2263" s="1008"/>
      <c r="C2263" s="7"/>
      <c r="P2263" s="7"/>
      <c r="AX2263" s="7"/>
      <c r="BP2263" s="61"/>
      <c r="CF2263" s="104"/>
      <c r="CG2263" s="105"/>
      <c r="FK2263" s="7"/>
    </row>
    <row r="2264" spans="1:167">
      <c r="A2264" s="571"/>
      <c r="B2264" s="1008"/>
      <c r="C2264" s="7"/>
      <c r="P2264" s="7"/>
      <c r="AX2264" s="7"/>
      <c r="BP2264" s="61"/>
      <c r="CF2264" s="104"/>
      <c r="CG2264" s="105"/>
      <c r="FK2264" s="7"/>
    </row>
    <row r="2265" spans="1:167">
      <c r="A2265" s="571"/>
      <c r="B2265" s="1008"/>
      <c r="C2265" s="7"/>
      <c r="P2265" s="7"/>
      <c r="AX2265" s="7"/>
      <c r="BP2265" s="61"/>
      <c r="CF2265" s="104"/>
      <c r="CG2265" s="105"/>
      <c r="FK2265" s="7"/>
    </row>
    <row r="2266" spans="1:167">
      <c r="A2266" s="571"/>
      <c r="B2266" s="1008"/>
      <c r="C2266" s="7"/>
      <c r="P2266" s="7"/>
      <c r="AX2266" s="7"/>
      <c r="BP2266" s="61"/>
      <c r="CF2266" s="104"/>
      <c r="CG2266" s="105"/>
      <c r="FK2266" s="7"/>
    </row>
    <row r="2267" spans="1:167">
      <c r="A2267" s="571"/>
      <c r="B2267" s="1008"/>
      <c r="C2267" s="7"/>
      <c r="P2267" s="7"/>
      <c r="AX2267" s="7"/>
      <c r="BP2267" s="61"/>
      <c r="CF2267" s="104"/>
      <c r="CG2267" s="105"/>
      <c r="FK2267" s="7"/>
    </row>
    <row r="2268" spans="1:167">
      <c r="A2268" s="571"/>
      <c r="B2268" s="1008"/>
      <c r="C2268" s="7"/>
      <c r="P2268" s="7"/>
      <c r="AX2268" s="7"/>
      <c r="BP2268" s="61"/>
      <c r="CF2268" s="104"/>
      <c r="CG2268" s="105"/>
      <c r="FK2268" s="7"/>
    </row>
    <row r="2269" spans="1:167">
      <c r="A2269" s="571"/>
      <c r="B2269" s="1008"/>
      <c r="C2269" s="7"/>
      <c r="P2269" s="7"/>
      <c r="AX2269" s="7"/>
      <c r="BP2269" s="61"/>
      <c r="CF2269" s="104"/>
      <c r="CG2269" s="105"/>
      <c r="FK2269" s="7"/>
    </row>
    <row r="2270" spans="1:167">
      <c r="A2270" s="571"/>
      <c r="B2270" s="1008"/>
      <c r="C2270" s="7"/>
      <c r="P2270" s="7"/>
      <c r="AX2270" s="7"/>
      <c r="BP2270" s="61"/>
      <c r="CF2270" s="104"/>
      <c r="CG2270" s="105"/>
      <c r="FK2270" s="7"/>
    </row>
    <row r="2271" spans="1:167">
      <c r="A2271" s="571"/>
      <c r="B2271" s="1008"/>
      <c r="C2271" s="7"/>
      <c r="P2271" s="7"/>
      <c r="AX2271" s="7"/>
      <c r="BP2271" s="61"/>
      <c r="CF2271" s="104"/>
      <c r="CG2271" s="105"/>
      <c r="FK2271" s="7"/>
    </row>
    <row r="2272" spans="1:167">
      <c r="A2272" s="571"/>
      <c r="B2272" s="1008"/>
      <c r="C2272" s="7"/>
      <c r="P2272" s="7"/>
      <c r="AX2272" s="7"/>
      <c r="BP2272" s="61"/>
      <c r="CF2272" s="104"/>
      <c r="CG2272" s="105"/>
      <c r="FK2272" s="7"/>
    </row>
    <row r="2273" spans="1:167">
      <c r="A2273" s="571"/>
      <c r="B2273" s="1008"/>
      <c r="C2273" s="7"/>
      <c r="P2273" s="7"/>
      <c r="AX2273" s="7"/>
      <c r="BP2273" s="61"/>
      <c r="CF2273" s="104"/>
      <c r="CG2273" s="105"/>
      <c r="FK2273" s="7"/>
    </row>
    <row r="2274" spans="1:167">
      <c r="A2274" s="571"/>
      <c r="B2274" s="1008"/>
      <c r="C2274" s="7"/>
      <c r="P2274" s="7"/>
      <c r="AX2274" s="7"/>
      <c r="BP2274" s="61"/>
      <c r="CF2274" s="104"/>
      <c r="CG2274" s="105"/>
      <c r="FK2274" s="7"/>
    </row>
    <row r="2275" spans="1:167">
      <c r="A2275" s="571"/>
      <c r="B2275" s="1008"/>
      <c r="C2275" s="7"/>
      <c r="P2275" s="7"/>
      <c r="AX2275" s="7"/>
      <c r="BP2275" s="61"/>
      <c r="CF2275" s="104"/>
      <c r="CG2275" s="105"/>
      <c r="FK2275" s="7"/>
    </row>
    <row r="2276" spans="1:167">
      <c r="A2276" s="571"/>
      <c r="B2276" s="1008"/>
      <c r="C2276" s="7"/>
      <c r="P2276" s="7"/>
      <c r="AX2276" s="7"/>
      <c r="BP2276" s="61"/>
      <c r="CF2276" s="104"/>
      <c r="CG2276" s="105"/>
      <c r="FK2276" s="7"/>
    </row>
    <row r="2277" spans="1:167">
      <c r="A2277" s="571"/>
      <c r="B2277" s="1008"/>
      <c r="C2277" s="7"/>
      <c r="P2277" s="7"/>
      <c r="AX2277" s="7"/>
      <c r="BP2277" s="61"/>
      <c r="CF2277" s="104"/>
      <c r="CG2277" s="105"/>
      <c r="FK2277" s="7"/>
    </row>
    <row r="2278" spans="1:167">
      <c r="A2278" s="571"/>
      <c r="B2278" s="1008"/>
      <c r="C2278" s="7"/>
      <c r="P2278" s="7"/>
      <c r="AX2278" s="7"/>
      <c r="BP2278" s="61"/>
      <c r="CF2278" s="104"/>
      <c r="CG2278" s="105"/>
      <c r="FK2278" s="7"/>
    </row>
    <row r="2279" spans="1:167">
      <c r="A2279" s="571"/>
      <c r="B2279" s="1008"/>
      <c r="C2279" s="7"/>
      <c r="P2279" s="7"/>
      <c r="AX2279" s="7"/>
      <c r="BP2279" s="61"/>
      <c r="CF2279" s="104"/>
      <c r="CG2279" s="105"/>
      <c r="FK2279" s="7"/>
    </row>
    <row r="2280" spans="1:167">
      <c r="A2280" s="571"/>
      <c r="B2280" s="1008"/>
      <c r="C2280" s="7"/>
      <c r="P2280" s="7"/>
      <c r="AX2280" s="7"/>
      <c r="BP2280" s="61"/>
      <c r="CF2280" s="104"/>
      <c r="CG2280" s="105"/>
      <c r="FK2280" s="7"/>
    </row>
    <row r="2281" spans="1:167">
      <c r="A2281" s="571"/>
      <c r="B2281" s="1008"/>
      <c r="C2281" s="7"/>
      <c r="P2281" s="7"/>
      <c r="AX2281" s="7"/>
      <c r="BP2281" s="61"/>
      <c r="CF2281" s="104"/>
      <c r="CG2281" s="105"/>
      <c r="FK2281" s="7"/>
    </row>
    <row r="2282" spans="1:167">
      <c r="A2282" s="571"/>
      <c r="B2282" s="1008"/>
      <c r="C2282" s="7"/>
      <c r="P2282" s="7"/>
      <c r="AX2282" s="7"/>
      <c r="BP2282" s="61"/>
      <c r="CF2282" s="104"/>
      <c r="CG2282" s="105"/>
      <c r="FK2282" s="7"/>
    </row>
    <row r="2283" spans="1:167">
      <c r="A2283" s="571"/>
      <c r="B2283" s="1008"/>
      <c r="C2283" s="7"/>
      <c r="P2283" s="7"/>
      <c r="AX2283" s="7"/>
      <c r="BP2283" s="61"/>
      <c r="CF2283" s="104"/>
      <c r="CG2283" s="105"/>
      <c r="FK2283" s="7"/>
    </row>
    <row r="2284" spans="1:167">
      <c r="A2284" s="571"/>
      <c r="B2284" s="1008"/>
      <c r="C2284" s="7"/>
      <c r="P2284" s="7"/>
      <c r="AX2284" s="7"/>
      <c r="BP2284" s="61"/>
      <c r="CF2284" s="104"/>
      <c r="CG2284" s="105"/>
      <c r="FK2284" s="7"/>
    </row>
    <row r="2285" spans="1:167">
      <c r="A2285" s="571"/>
      <c r="B2285" s="1008"/>
      <c r="C2285" s="7"/>
      <c r="P2285" s="7"/>
      <c r="AX2285" s="7"/>
      <c r="BP2285" s="61"/>
      <c r="CF2285" s="104"/>
      <c r="CG2285" s="105"/>
      <c r="FK2285" s="7"/>
    </row>
    <row r="2286" spans="1:167">
      <c r="A2286" s="571"/>
      <c r="B2286" s="1008"/>
      <c r="C2286" s="7"/>
      <c r="P2286" s="7"/>
      <c r="AX2286" s="7"/>
      <c r="BP2286" s="61"/>
      <c r="CF2286" s="104"/>
      <c r="CG2286" s="105"/>
      <c r="FK2286" s="7"/>
    </row>
    <row r="2287" spans="1:167">
      <c r="A2287" s="571"/>
      <c r="B2287" s="1008"/>
      <c r="C2287" s="7"/>
      <c r="P2287" s="7"/>
      <c r="AX2287" s="7"/>
      <c r="BP2287" s="61"/>
      <c r="CF2287" s="104"/>
      <c r="CG2287" s="105"/>
      <c r="FK2287" s="7"/>
    </row>
    <row r="2288" spans="1:167">
      <c r="A2288" s="571"/>
      <c r="B2288" s="1008"/>
      <c r="C2288" s="7"/>
      <c r="P2288" s="7"/>
      <c r="AX2288" s="7"/>
      <c r="BP2288" s="61"/>
      <c r="CF2288" s="104"/>
      <c r="CG2288" s="105"/>
      <c r="FK2288" s="7"/>
    </row>
    <row r="2289" spans="1:167">
      <c r="A2289" s="571"/>
      <c r="B2289" s="1008"/>
      <c r="C2289" s="7"/>
      <c r="P2289" s="7"/>
      <c r="AX2289" s="7"/>
      <c r="BP2289" s="61"/>
      <c r="CF2289" s="104"/>
      <c r="CG2289" s="105"/>
      <c r="FK2289" s="7"/>
    </row>
    <row r="2290" spans="1:167">
      <c r="A2290" s="571"/>
      <c r="B2290" s="1008"/>
      <c r="C2290" s="7"/>
      <c r="P2290" s="7"/>
      <c r="AX2290" s="7"/>
      <c r="BP2290" s="61"/>
      <c r="CF2290" s="104"/>
      <c r="CG2290" s="105"/>
      <c r="FK2290" s="7"/>
    </row>
    <row r="2291" spans="1:167">
      <c r="A2291" s="571"/>
      <c r="B2291" s="1008"/>
      <c r="C2291" s="7"/>
      <c r="P2291" s="7"/>
      <c r="AX2291" s="7"/>
      <c r="BP2291" s="61"/>
      <c r="CF2291" s="104"/>
      <c r="CG2291" s="105"/>
      <c r="FK2291" s="7"/>
    </row>
    <row r="2292" spans="1:167">
      <c r="A2292" s="571"/>
      <c r="B2292" s="1008"/>
      <c r="C2292" s="7"/>
      <c r="P2292" s="7"/>
      <c r="AX2292" s="7"/>
      <c r="BP2292" s="61"/>
      <c r="CF2292" s="104"/>
      <c r="CG2292" s="105"/>
      <c r="FK2292" s="7"/>
    </row>
    <row r="2293" spans="1:167">
      <c r="A2293" s="571"/>
      <c r="B2293" s="1008"/>
      <c r="C2293" s="7"/>
      <c r="P2293" s="7"/>
      <c r="AX2293" s="7"/>
      <c r="BP2293" s="61"/>
      <c r="CF2293" s="104"/>
      <c r="CG2293" s="105"/>
      <c r="FK2293" s="7"/>
    </row>
    <row r="2294" spans="1:167">
      <c r="A2294" s="571"/>
      <c r="B2294" s="1008"/>
      <c r="C2294" s="7"/>
      <c r="P2294" s="7"/>
      <c r="AX2294" s="7"/>
      <c r="BP2294" s="61"/>
      <c r="CF2294" s="104"/>
      <c r="CG2294" s="105"/>
      <c r="FK2294" s="7"/>
    </row>
    <row r="2295" spans="1:167">
      <c r="A2295" s="571"/>
      <c r="B2295" s="1008"/>
      <c r="C2295" s="7"/>
      <c r="P2295" s="7"/>
      <c r="AX2295" s="7"/>
      <c r="BP2295" s="61"/>
      <c r="CF2295" s="104"/>
      <c r="CG2295" s="105"/>
      <c r="FK2295" s="7"/>
    </row>
    <row r="2296" spans="1:167">
      <c r="A2296" s="571"/>
      <c r="B2296" s="1008"/>
      <c r="C2296" s="7"/>
      <c r="P2296" s="7"/>
      <c r="AX2296" s="7"/>
      <c r="BP2296" s="61"/>
      <c r="CF2296" s="104"/>
      <c r="CG2296" s="105"/>
      <c r="FK2296" s="7"/>
    </row>
    <row r="2297" spans="1:167">
      <c r="A2297" s="571"/>
      <c r="B2297" s="1008"/>
      <c r="C2297" s="7"/>
      <c r="P2297" s="7"/>
      <c r="AX2297" s="7"/>
      <c r="BP2297" s="61"/>
      <c r="CF2297" s="104"/>
      <c r="CG2297" s="105"/>
      <c r="FK2297" s="7"/>
    </row>
    <row r="2298" spans="1:167">
      <c r="A2298" s="571"/>
      <c r="B2298" s="1008"/>
      <c r="C2298" s="7"/>
      <c r="P2298" s="7"/>
      <c r="AX2298" s="7"/>
      <c r="BP2298" s="61"/>
      <c r="CF2298" s="104"/>
      <c r="CG2298" s="105"/>
      <c r="FK2298" s="7"/>
    </row>
    <row r="2299" spans="1:167">
      <c r="A2299" s="571"/>
      <c r="B2299" s="1008"/>
      <c r="C2299" s="7"/>
      <c r="P2299" s="7"/>
      <c r="AX2299" s="7"/>
      <c r="BP2299" s="61"/>
      <c r="CF2299" s="104"/>
      <c r="CG2299" s="105"/>
      <c r="FK2299" s="7"/>
    </row>
    <row r="2300" spans="1:167">
      <c r="A2300" s="571"/>
      <c r="B2300" s="1008"/>
      <c r="C2300" s="7"/>
      <c r="P2300" s="7"/>
      <c r="AX2300" s="7"/>
      <c r="BP2300" s="61"/>
      <c r="CF2300" s="104"/>
      <c r="CG2300" s="105"/>
      <c r="FK2300" s="7"/>
    </row>
    <row r="2301" spans="1:167">
      <c r="A2301" s="571"/>
      <c r="B2301" s="1008"/>
      <c r="C2301" s="7"/>
      <c r="P2301" s="7"/>
      <c r="AX2301" s="7"/>
      <c r="BP2301" s="61"/>
      <c r="CF2301" s="104"/>
      <c r="CG2301" s="105"/>
      <c r="FK2301" s="7"/>
    </row>
    <row r="2302" spans="1:167">
      <c r="A2302" s="571"/>
      <c r="B2302" s="1008"/>
      <c r="C2302" s="7"/>
      <c r="P2302" s="7"/>
      <c r="AX2302" s="7"/>
      <c r="BP2302" s="61"/>
      <c r="CF2302" s="104"/>
      <c r="CG2302" s="105"/>
      <c r="FK2302" s="7"/>
    </row>
    <row r="2303" spans="1:167">
      <c r="A2303" s="571"/>
      <c r="B2303" s="1008"/>
      <c r="C2303" s="7"/>
      <c r="P2303" s="7"/>
      <c r="AX2303" s="7"/>
      <c r="BP2303" s="61"/>
      <c r="CF2303" s="104"/>
      <c r="CG2303" s="105"/>
      <c r="FK2303" s="7"/>
    </row>
    <row r="2304" spans="1:167">
      <c r="A2304" s="571"/>
      <c r="B2304" s="1008"/>
      <c r="C2304" s="7"/>
      <c r="P2304" s="7"/>
      <c r="AX2304" s="7"/>
      <c r="BP2304" s="61"/>
      <c r="CF2304" s="104"/>
      <c r="CG2304" s="105"/>
      <c r="FK2304" s="7"/>
    </row>
    <row r="2305" spans="1:167">
      <c r="A2305" s="571"/>
      <c r="B2305" s="1008"/>
      <c r="C2305" s="7"/>
      <c r="P2305" s="7"/>
      <c r="AX2305" s="7"/>
      <c r="BP2305" s="61"/>
      <c r="CF2305" s="104"/>
      <c r="CG2305" s="105"/>
      <c r="FK2305" s="7"/>
    </row>
    <row r="2306" spans="1:167">
      <c r="A2306" s="571"/>
      <c r="B2306" s="1008"/>
      <c r="C2306" s="7"/>
      <c r="P2306" s="7"/>
      <c r="AX2306" s="7"/>
      <c r="BP2306" s="61"/>
      <c r="CF2306" s="104"/>
      <c r="CG2306" s="105"/>
      <c r="FK2306" s="7"/>
    </row>
    <row r="2307" spans="1:167">
      <c r="A2307" s="571"/>
      <c r="B2307" s="1008"/>
      <c r="C2307" s="7"/>
      <c r="P2307" s="7"/>
      <c r="AX2307" s="7"/>
      <c r="BP2307" s="61"/>
      <c r="CF2307" s="104"/>
      <c r="CG2307" s="105"/>
      <c r="FK2307" s="7"/>
    </row>
    <row r="2308" spans="1:167">
      <c r="A2308" s="571"/>
      <c r="B2308" s="1008"/>
      <c r="C2308" s="7"/>
      <c r="P2308" s="7"/>
      <c r="AX2308" s="7"/>
      <c r="BP2308" s="61"/>
      <c r="CF2308" s="104"/>
      <c r="CG2308" s="105"/>
      <c r="FK2308" s="7"/>
    </row>
    <row r="2309" spans="1:167">
      <c r="A2309" s="571"/>
      <c r="B2309" s="1008"/>
      <c r="C2309" s="7"/>
      <c r="P2309" s="7"/>
      <c r="AX2309" s="7"/>
      <c r="BP2309" s="61"/>
      <c r="CF2309" s="104"/>
      <c r="CG2309" s="105"/>
      <c r="FK2309" s="7"/>
    </row>
    <row r="2310" spans="1:167">
      <c r="A2310" s="571"/>
      <c r="B2310" s="1008"/>
      <c r="C2310" s="7"/>
      <c r="P2310" s="7"/>
      <c r="AX2310" s="7"/>
      <c r="BP2310" s="61"/>
      <c r="CF2310" s="104"/>
      <c r="CG2310" s="105"/>
      <c r="FK2310" s="7"/>
    </row>
    <row r="2311" spans="1:167">
      <c r="A2311" s="571"/>
      <c r="B2311" s="1008"/>
      <c r="C2311" s="7"/>
      <c r="P2311" s="7"/>
      <c r="AX2311" s="7"/>
      <c r="BP2311" s="61"/>
      <c r="CF2311" s="104"/>
      <c r="CG2311" s="105"/>
      <c r="FK2311" s="7"/>
    </row>
    <row r="2312" spans="1:167">
      <c r="A2312" s="571"/>
      <c r="B2312" s="1008"/>
      <c r="C2312" s="7"/>
      <c r="P2312" s="7"/>
      <c r="AX2312" s="7"/>
      <c r="BP2312" s="61"/>
      <c r="CF2312" s="104"/>
      <c r="CG2312" s="105"/>
      <c r="FK2312" s="7"/>
    </row>
    <row r="2313" spans="1:167">
      <c r="A2313" s="571"/>
      <c r="B2313" s="1008"/>
      <c r="C2313" s="7"/>
      <c r="P2313" s="7"/>
      <c r="AX2313" s="7"/>
      <c r="BP2313" s="61"/>
      <c r="CF2313" s="104"/>
      <c r="CG2313" s="105"/>
      <c r="FK2313" s="7"/>
    </row>
    <row r="2314" spans="1:167">
      <c r="A2314" s="571"/>
      <c r="B2314" s="1008"/>
      <c r="C2314" s="7"/>
      <c r="P2314" s="7"/>
      <c r="AX2314" s="7"/>
      <c r="BP2314" s="61"/>
      <c r="CF2314" s="104"/>
      <c r="CG2314" s="105"/>
      <c r="FK2314" s="7"/>
    </row>
    <row r="2315" spans="1:167">
      <c r="A2315" s="571"/>
      <c r="B2315" s="1008"/>
      <c r="C2315" s="7"/>
      <c r="P2315" s="7"/>
      <c r="AX2315" s="7"/>
      <c r="BP2315" s="61"/>
      <c r="CF2315" s="104"/>
      <c r="CG2315" s="105"/>
      <c r="FK2315" s="7"/>
    </row>
    <row r="2316" spans="1:167">
      <c r="A2316" s="571"/>
      <c r="B2316" s="1008"/>
      <c r="C2316" s="7"/>
      <c r="P2316" s="7"/>
      <c r="AX2316" s="7"/>
      <c r="BP2316" s="61"/>
      <c r="CF2316" s="104"/>
      <c r="CG2316" s="105"/>
      <c r="FK2316" s="7"/>
    </row>
    <row r="2317" spans="1:167">
      <c r="A2317" s="571"/>
      <c r="B2317" s="1008"/>
      <c r="C2317" s="7"/>
      <c r="P2317" s="7"/>
      <c r="AX2317" s="7"/>
      <c r="BP2317" s="61"/>
      <c r="CF2317" s="104"/>
      <c r="CG2317" s="105"/>
      <c r="FK2317" s="7"/>
    </row>
    <row r="2318" spans="1:167">
      <c r="A2318" s="571"/>
      <c r="B2318" s="1008"/>
      <c r="C2318" s="7"/>
      <c r="P2318" s="7"/>
      <c r="AX2318" s="7"/>
      <c r="BP2318" s="61"/>
      <c r="CF2318" s="104"/>
      <c r="CG2318" s="105"/>
      <c r="FK2318" s="7"/>
    </row>
    <row r="2319" spans="1:167">
      <c r="A2319" s="571"/>
      <c r="B2319" s="1008"/>
      <c r="C2319" s="7"/>
      <c r="P2319" s="7"/>
      <c r="AX2319" s="7"/>
      <c r="BP2319" s="61"/>
      <c r="CF2319" s="104"/>
      <c r="CG2319" s="105"/>
      <c r="FK2319" s="7"/>
    </row>
    <row r="2320" spans="1:167">
      <c r="A2320" s="571"/>
      <c r="B2320" s="1008"/>
      <c r="C2320" s="7"/>
      <c r="P2320" s="7"/>
      <c r="AX2320" s="7"/>
      <c r="BP2320" s="61"/>
      <c r="CF2320" s="104"/>
      <c r="CG2320" s="105"/>
      <c r="FK2320" s="7"/>
    </row>
    <row r="2321" spans="1:167">
      <c r="A2321" s="571"/>
      <c r="B2321" s="1008"/>
      <c r="C2321" s="7"/>
      <c r="P2321" s="7"/>
      <c r="AX2321" s="7"/>
      <c r="BP2321" s="61"/>
      <c r="CF2321" s="104"/>
      <c r="CG2321" s="105"/>
      <c r="FK2321" s="7"/>
    </row>
    <row r="2322" spans="1:167">
      <c r="A2322" s="571"/>
      <c r="B2322" s="1008"/>
      <c r="C2322" s="7"/>
      <c r="P2322" s="7"/>
      <c r="AX2322" s="7"/>
      <c r="BP2322" s="61"/>
      <c r="CF2322" s="104"/>
      <c r="CG2322" s="105"/>
      <c r="FK2322" s="7"/>
    </row>
    <row r="2323" spans="1:167">
      <c r="A2323" s="571"/>
      <c r="B2323" s="1008"/>
      <c r="C2323" s="7"/>
      <c r="P2323" s="7"/>
      <c r="AX2323" s="7"/>
      <c r="BP2323" s="61"/>
      <c r="CF2323" s="104"/>
      <c r="CG2323" s="105"/>
      <c r="FK2323" s="7"/>
    </row>
    <row r="2324" spans="1:167">
      <c r="A2324" s="571"/>
      <c r="B2324" s="1008"/>
      <c r="C2324" s="7"/>
      <c r="P2324" s="7"/>
      <c r="AX2324" s="7"/>
      <c r="BP2324" s="61"/>
      <c r="CF2324" s="104"/>
      <c r="CG2324" s="105"/>
      <c r="FK2324" s="7"/>
    </row>
    <row r="2325" spans="1:167">
      <c r="A2325" s="571"/>
      <c r="B2325" s="1008"/>
      <c r="C2325" s="7"/>
      <c r="P2325" s="7"/>
      <c r="AX2325" s="7"/>
      <c r="BP2325" s="61"/>
      <c r="CF2325" s="104"/>
      <c r="CG2325" s="105"/>
      <c r="FK2325" s="7"/>
    </row>
    <row r="2326" spans="1:167">
      <c r="A2326" s="571"/>
      <c r="B2326" s="1008"/>
      <c r="C2326" s="7"/>
      <c r="P2326" s="7"/>
      <c r="AX2326" s="7"/>
      <c r="BP2326" s="61"/>
      <c r="CF2326" s="104"/>
      <c r="CG2326" s="105"/>
      <c r="FK2326" s="7"/>
    </row>
    <row r="2327" spans="1:167">
      <c r="A2327" s="571"/>
      <c r="B2327" s="1008"/>
      <c r="C2327" s="7"/>
      <c r="P2327" s="7"/>
      <c r="AX2327" s="7"/>
      <c r="BP2327" s="61"/>
      <c r="CF2327" s="104"/>
      <c r="CG2327" s="105"/>
      <c r="FK2327" s="7"/>
    </row>
    <row r="2328" spans="1:167">
      <c r="A2328" s="571"/>
      <c r="B2328" s="1008"/>
      <c r="C2328" s="7"/>
      <c r="P2328" s="7"/>
      <c r="AX2328" s="7"/>
      <c r="BP2328" s="61"/>
      <c r="CF2328" s="104"/>
      <c r="CG2328" s="105"/>
      <c r="FK2328" s="7"/>
    </row>
    <row r="2329" spans="1:167">
      <c r="A2329" s="571"/>
      <c r="B2329" s="1008"/>
      <c r="C2329" s="7"/>
      <c r="P2329" s="7"/>
      <c r="AX2329" s="7"/>
      <c r="BP2329" s="61"/>
      <c r="CF2329" s="104"/>
      <c r="CG2329" s="105"/>
      <c r="FK2329" s="7"/>
    </row>
    <row r="2330" spans="1:167">
      <c r="A2330" s="571"/>
      <c r="B2330" s="1008"/>
      <c r="C2330" s="7"/>
      <c r="P2330" s="7"/>
      <c r="AX2330" s="7"/>
      <c r="BP2330" s="61"/>
      <c r="CF2330" s="104"/>
      <c r="CG2330" s="105"/>
      <c r="FK2330" s="7"/>
    </row>
    <row r="2331" spans="1:167">
      <c r="A2331" s="571"/>
      <c r="B2331" s="1008"/>
      <c r="C2331" s="7"/>
      <c r="P2331" s="7"/>
      <c r="AX2331" s="7"/>
      <c r="BP2331" s="61"/>
      <c r="CF2331" s="104"/>
      <c r="CG2331" s="105"/>
      <c r="FK2331" s="7"/>
    </row>
    <row r="2332" spans="1:167">
      <c r="A2332" s="571"/>
      <c r="B2332" s="1008"/>
      <c r="C2332" s="7"/>
      <c r="P2332" s="7"/>
      <c r="AX2332" s="7"/>
      <c r="BP2332" s="61"/>
      <c r="CF2332" s="104"/>
      <c r="CG2332" s="105"/>
      <c r="FK2332" s="7"/>
    </row>
    <row r="2333" spans="1:167">
      <c r="A2333" s="571"/>
      <c r="B2333" s="1008"/>
      <c r="C2333" s="7"/>
      <c r="P2333" s="7"/>
      <c r="AX2333" s="7"/>
      <c r="BP2333" s="61"/>
      <c r="CF2333" s="104"/>
      <c r="CG2333" s="105"/>
      <c r="FK2333" s="7"/>
    </row>
    <row r="2334" spans="1:167">
      <c r="A2334" s="571"/>
      <c r="B2334" s="1008"/>
      <c r="C2334" s="7"/>
      <c r="P2334" s="7"/>
      <c r="AX2334" s="7"/>
      <c r="BP2334" s="61"/>
      <c r="CF2334" s="104"/>
      <c r="CG2334" s="105"/>
      <c r="FK2334" s="7"/>
    </row>
    <row r="2335" spans="1:167">
      <c r="A2335" s="571"/>
      <c r="B2335" s="1008"/>
      <c r="C2335" s="7"/>
      <c r="P2335" s="7"/>
      <c r="AX2335" s="7"/>
      <c r="BP2335" s="61"/>
      <c r="CF2335" s="104"/>
      <c r="CG2335" s="105"/>
      <c r="FK2335" s="7"/>
    </row>
    <row r="2336" spans="1:167">
      <c r="A2336" s="571"/>
      <c r="B2336" s="1008"/>
      <c r="C2336" s="7"/>
      <c r="P2336" s="7"/>
      <c r="AX2336" s="7"/>
      <c r="BP2336" s="61"/>
      <c r="CF2336" s="104"/>
      <c r="CG2336" s="105"/>
      <c r="FK2336" s="7"/>
    </row>
    <row r="2337" spans="1:167">
      <c r="A2337" s="571"/>
      <c r="B2337" s="1008"/>
      <c r="C2337" s="7"/>
      <c r="P2337" s="7"/>
      <c r="AX2337" s="7"/>
      <c r="BP2337" s="61"/>
      <c r="CF2337" s="104"/>
      <c r="CG2337" s="105"/>
      <c r="FK2337" s="7"/>
    </row>
    <row r="2338" spans="1:167">
      <c r="A2338" s="571"/>
      <c r="B2338" s="1008"/>
      <c r="C2338" s="7"/>
      <c r="P2338" s="7"/>
      <c r="AX2338" s="7"/>
      <c r="BP2338" s="61"/>
      <c r="CF2338" s="104"/>
      <c r="CG2338" s="105"/>
      <c r="FK2338" s="7"/>
    </row>
    <row r="2339" spans="1:167">
      <c r="A2339" s="571"/>
      <c r="B2339" s="1008"/>
      <c r="C2339" s="7"/>
      <c r="P2339" s="7"/>
      <c r="AX2339" s="7"/>
      <c r="BP2339" s="61"/>
      <c r="CF2339" s="104"/>
      <c r="CG2339" s="105"/>
      <c r="FK2339" s="7"/>
    </row>
    <row r="2340" spans="1:167">
      <c r="A2340" s="571"/>
      <c r="B2340" s="1008"/>
      <c r="C2340" s="7"/>
      <c r="P2340" s="7"/>
      <c r="AX2340" s="7"/>
      <c r="BP2340" s="61"/>
      <c r="CF2340" s="104"/>
      <c r="CG2340" s="105"/>
      <c r="FK2340" s="7"/>
    </row>
    <row r="2341" spans="1:167">
      <c r="A2341" s="571"/>
      <c r="B2341" s="1008"/>
      <c r="C2341" s="7"/>
      <c r="P2341" s="7"/>
      <c r="AX2341" s="7"/>
      <c r="BP2341" s="61"/>
      <c r="CF2341" s="104"/>
      <c r="CG2341" s="105"/>
      <c r="FK2341" s="7"/>
    </row>
    <row r="2342" spans="1:167">
      <c r="A2342" s="571"/>
      <c r="B2342" s="1008"/>
      <c r="C2342" s="7"/>
      <c r="P2342" s="7"/>
      <c r="AX2342" s="7"/>
      <c r="BP2342" s="61"/>
      <c r="CF2342" s="104"/>
      <c r="CG2342" s="105"/>
      <c r="FK2342" s="7"/>
    </row>
    <row r="2343" spans="1:167">
      <c r="A2343" s="571"/>
      <c r="B2343" s="1008"/>
      <c r="C2343" s="7"/>
      <c r="P2343" s="7"/>
      <c r="AX2343" s="7"/>
      <c r="BP2343" s="61"/>
      <c r="CF2343" s="104"/>
      <c r="CG2343" s="105"/>
      <c r="FK2343" s="7"/>
    </row>
    <row r="2344" spans="1:167">
      <c r="A2344" s="571"/>
      <c r="B2344" s="1008"/>
      <c r="C2344" s="7"/>
      <c r="P2344" s="7"/>
      <c r="AX2344" s="7"/>
      <c r="BP2344" s="61"/>
      <c r="CF2344" s="104"/>
      <c r="CG2344" s="105"/>
      <c r="FK2344" s="7"/>
    </row>
    <row r="2345" spans="1:167">
      <c r="A2345" s="571"/>
      <c r="B2345" s="1008"/>
      <c r="C2345" s="7"/>
      <c r="P2345" s="7"/>
      <c r="AX2345" s="7"/>
      <c r="BP2345" s="61"/>
      <c r="CF2345" s="104"/>
      <c r="CG2345" s="105"/>
      <c r="FK2345" s="7"/>
    </row>
    <row r="2346" spans="1:167">
      <c r="A2346" s="571"/>
      <c r="B2346" s="1008"/>
      <c r="C2346" s="7"/>
      <c r="P2346" s="7"/>
      <c r="AX2346" s="7"/>
      <c r="BP2346" s="61"/>
      <c r="CF2346" s="104"/>
      <c r="CG2346" s="105"/>
      <c r="FK2346" s="7"/>
    </row>
    <row r="2347" spans="1:167">
      <c r="A2347" s="571"/>
      <c r="B2347" s="1008"/>
      <c r="C2347" s="7"/>
      <c r="P2347" s="7"/>
      <c r="AX2347" s="7"/>
      <c r="BP2347" s="61"/>
      <c r="CF2347" s="104"/>
      <c r="CG2347" s="105"/>
      <c r="FK2347" s="7"/>
    </row>
    <row r="2348" spans="1:167">
      <c r="A2348" s="571"/>
      <c r="B2348" s="1008"/>
      <c r="C2348" s="7"/>
      <c r="P2348" s="7"/>
      <c r="AX2348" s="7"/>
      <c r="BP2348" s="61"/>
      <c r="CF2348" s="104"/>
      <c r="CG2348" s="105"/>
      <c r="FK2348" s="7"/>
    </row>
    <row r="2349" spans="1:167">
      <c r="A2349" s="571"/>
      <c r="B2349" s="1008"/>
      <c r="C2349" s="7"/>
      <c r="P2349" s="7"/>
      <c r="AX2349" s="7"/>
      <c r="BP2349" s="61"/>
      <c r="CF2349" s="104"/>
      <c r="CG2349" s="105"/>
      <c r="FK2349" s="7"/>
    </row>
    <row r="2350" spans="1:167">
      <c r="A2350" s="571"/>
      <c r="B2350" s="1008"/>
      <c r="C2350" s="7"/>
      <c r="P2350" s="7"/>
      <c r="AX2350" s="7"/>
      <c r="BP2350" s="61"/>
      <c r="CF2350" s="104"/>
      <c r="CG2350" s="105"/>
      <c r="FK2350" s="7"/>
    </row>
    <row r="2351" spans="1:167">
      <c r="A2351" s="571"/>
      <c r="B2351" s="1008"/>
      <c r="C2351" s="7"/>
      <c r="P2351" s="7"/>
      <c r="AX2351" s="7"/>
      <c r="BP2351" s="61"/>
      <c r="CF2351" s="104"/>
      <c r="CG2351" s="105"/>
      <c r="FK2351" s="7"/>
    </row>
    <row r="2352" spans="1:167">
      <c r="A2352" s="571"/>
      <c r="B2352" s="1008"/>
      <c r="C2352" s="7"/>
      <c r="P2352" s="7"/>
      <c r="AX2352" s="7"/>
      <c r="BP2352" s="61"/>
      <c r="CF2352" s="104"/>
      <c r="CG2352" s="105"/>
      <c r="FK2352" s="7"/>
    </row>
    <row r="2353" spans="1:167">
      <c r="A2353" s="571"/>
      <c r="B2353" s="1008"/>
      <c r="C2353" s="7"/>
      <c r="P2353" s="7"/>
      <c r="AX2353" s="7"/>
      <c r="BP2353" s="61"/>
      <c r="CF2353" s="104"/>
      <c r="CG2353" s="105"/>
      <c r="FK2353" s="7"/>
    </row>
    <row r="2354" spans="1:167">
      <c r="A2354" s="571"/>
      <c r="B2354" s="1008"/>
      <c r="C2354" s="7"/>
      <c r="P2354" s="7"/>
      <c r="AX2354" s="7"/>
      <c r="BP2354" s="61"/>
      <c r="CF2354" s="104"/>
      <c r="CG2354" s="105"/>
      <c r="FK2354" s="7"/>
    </row>
    <row r="2355" spans="1:167">
      <c r="A2355" s="571"/>
      <c r="B2355" s="1008"/>
      <c r="C2355" s="7"/>
      <c r="P2355" s="7"/>
      <c r="AX2355" s="7"/>
      <c r="BP2355" s="61"/>
      <c r="CF2355" s="104"/>
      <c r="CG2355" s="105"/>
      <c r="FK2355" s="7"/>
    </row>
    <row r="2356" spans="1:167">
      <c r="A2356" s="571"/>
      <c r="B2356" s="1008"/>
      <c r="C2356" s="7"/>
      <c r="P2356" s="7"/>
      <c r="AX2356" s="7"/>
      <c r="BP2356" s="61"/>
      <c r="CF2356" s="104"/>
      <c r="CG2356" s="105"/>
      <c r="FK2356" s="7"/>
    </row>
    <row r="2357" spans="1:167">
      <c r="A2357" s="571"/>
      <c r="B2357" s="1008"/>
      <c r="C2357" s="7"/>
      <c r="P2357" s="7"/>
      <c r="AX2357" s="7"/>
      <c r="BP2357" s="61"/>
      <c r="CF2357" s="104"/>
      <c r="CG2357" s="105"/>
      <c r="FK2357" s="7"/>
    </row>
    <row r="2358" spans="1:167">
      <c r="A2358" s="571"/>
      <c r="B2358" s="1008"/>
      <c r="C2358" s="7"/>
      <c r="P2358" s="7"/>
      <c r="AX2358" s="7"/>
      <c r="BP2358" s="61"/>
      <c r="CF2358" s="104"/>
      <c r="CG2358" s="105"/>
      <c r="FK2358" s="7"/>
    </row>
    <row r="2359" spans="1:167">
      <c r="A2359" s="571"/>
      <c r="B2359" s="1008"/>
      <c r="C2359" s="7"/>
      <c r="P2359" s="7"/>
      <c r="AX2359" s="7"/>
      <c r="BP2359" s="61"/>
      <c r="CF2359" s="104"/>
      <c r="CG2359" s="105"/>
      <c r="FK2359" s="7"/>
    </row>
    <row r="2360" spans="1:167">
      <c r="A2360" s="571"/>
      <c r="B2360" s="1008"/>
      <c r="C2360" s="7"/>
      <c r="P2360" s="7"/>
      <c r="AX2360" s="7"/>
      <c r="BP2360" s="61"/>
      <c r="CF2360" s="104"/>
      <c r="CG2360" s="105"/>
      <c r="FK2360" s="7"/>
    </row>
    <row r="2361" spans="1:167">
      <c r="A2361" s="571"/>
      <c r="B2361" s="1008"/>
      <c r="C2361" s="7"/>
      <c r="P2361" s="7"/>
      <c r="AX2361" s="7"/>
      <c r="BP2361" s="61"/>
      <c r="CF2361" s="104"/>
      <c r="CG2361" s="105"/>
      <c r="FK2361" s="7"/>
    </row>
    <row r="2362" spans="1:167">
      <c r="A2362" s="571"/>
      <c r="B2362" s="1008"/>
      <c r="C2362" s="7"/>
      <c r="P2362" s="7"/>
      <c r="AX2362" s="7"/>
      <c r="BP2362" s="61"/>
      <c r="CF2362" s="104"/>
      <c r="CG2362" s="105"/>
      <c r="FK2362" s="7"/>
    </row>
    <row r="2363" spans="1:167">
      <c r="A2363" s="571"/>
      <c r="B2363" s="1008"/>
      <c r="C2363" s="7"/>
      <c r="P2363" s="7"/>
      <c r="AX2363" s="7"/>
      <c r="BP2363" s="61"/>
      <c r="CF2363" s="104"/>
      <c r="CG2363" s="105"/>
      <c r="FK2363" s="7"/>
    </row>
    <row r="2364" spans="1:167">
      <c r="A2364" s="571"/>
      <c r="B2364" s="1008"/>
      <c r="C2364" s="7"/>
      <c r="P2364" s="7"/>
      <c r="AX2364" s="7"/>
      <c r="BP2364" s="61"/>
      <c r="CF2364" s="104"/>
      <c r="CG2364" s="105"/>
      <c r="FK2364" s="7"/>
    </row>
    <row r="2365" spans="1:167">
      <c r="A2365" s="571"/>
      <c r="B2365" s="1008"/>
      <c r="C2365" s="7"/>
      <c r="P2365" s="7"/>
      <c r="AX2365" s="7"/>
      <c r="BP2365" s="61"/>
      <c r="CF2365" s="104"/>
      <c r="CG2365" s="105"/>
      <c r="FK2365" s="7"/>
    </row>
    <row r="2366" spans="1:167">
      <c r="A2366" s="571"/>
      <c r="B2366" s="1008"/>
      <c r="C2366" s="7"/>
      <c r="P2366" s="7"/>
      <c r="AX2366" s="7"/>
      <c r="BP2366" s="61"/>
      <c r="CF2366" s="104"/>
      <c r="CG2366" s="105"/>
      <c r="FK2366" s="7"/>
    </row>
    <row r="2367" spans="1:167">
      <c r="A2367" s="571"/>
      <c r="B2367" s="1008"/>
      <c r="C2367" s="7"/>
      <c r="P2367" s="7"/>
      <c r="AX2367" s="7"/>
      <c r="BP2367" s="61"/>
      <c r="CF2367" s="104"/>
      <c r="CG2367" s="105"/>
      <c r="FK2367" s="7"/>
    </row>
    <row r="2368" spans="1:167">
      <c r="A2368" s="571"/>
      <c r="B2368" s="1008"/>
      <c r="C2368" s="7"/>
      <c r="P2368" s="7"/>
      <c r="AX2368" s="7"/>
      <c r="BP2368" s="61"/>
      <c r="CF2368" s="104"/>
      <c r="CG2368" s="105"/>
      <c r="FK2368" s="7"/>
    </row>
    <row r="2369" spans="1:167">
      <c r="A2369" s="571"/>
      <c r="B2369" s="1008"/>
      <c r="C2369" s="7"/>
      <c r="P2369" s="7"/>
      <c r="AX2369" s="7"/>
      <c r="BP2369" s="61"/>
      <c r="CF2369" s="104"/>
      <c r="CG2369" s="105"/>
      <c r="FK2369" s="7"/>
    </row>
    <row r="2370" spans="1:167">
      <c r="A2370" s="571"/>
      <c r="B2370" s="1008"/>
      <c r="C2370" s="7"/>
      <c r="P2370" s="7"/>
      <c r="AX2370" s="7"/>
      <c r="BP2370" s="61"/>
      <c r="CF2370" s="104"/>
      <c r="CG2370" s="105"/>
      <c r="FK2370" s="7"/>
    </row>
    <row r="2371" spans="1:167">
      <c r="A2371" s="571"/>
      <c r="B2371" s="1008"/>
      <c r="C2371" s="7"/>
      <c r="P2371" s="7"/>
      <c r="AX2371" s="7"/>
      <c r="BP2371" s="61"/>
      <c r="CF2371" s="104"/>
      <c r="CG2371" s="105"/>
      <c r="FK2371" s="7"/>
    </row>
    <row r="2372" spans="1:167">
      <c r="A2372" s="571"/>
      <c r="B2372" s="1008"/>
      <c r="C2372" s="7"/>
      <c r="P2372" s="7"/>
      <c r="AX2372" s="7"/>
      <c r="BP2372" s="61"/>
      <c r="CF2372" s="104"/>
      <c r="CG2372" s="105"/>
      <c r="FK2372" s="7"/>
    </row>
    <row r="2373" spans="1:167">
      <c r="A2373" s="571"/>
      <c r="B2373" s="1008"/>
      <c r="C2373" s="7"/>
      <c r="P2373" s="7"/>
      <c r="AX2373" s="7"/>
      <c r="BP2373" s="61"/>
      <c r="CF2373" s="104"/>
      <c r="CG2373" s="105"/>
      <c r="FK2373" s="7"/>
    </row>
    <row r="2374" spans="1:167">
      <c r="A2374" s="571"/>
      <c r="B2374" s="1008"/>
      <c r="C2374" s="7"/>
      <c r="P2374" s="7"/>
      <c r="AX2374" s="7"/>
      <c r="BP2374" s="61"/>
      <c r="CF2374" s="104"/>
      <c r="CG2374" s="105"/>
      <c r="FK2374" s="7"/>
    </row>
    <row r="2375" spans="1:167">
      <c r="A2375" s="571"/>
      <c r="B2375" s="1008"/>
      <c r="C2375" s="7"/>
      <c r="P2375" s="7"/>
      <c r="AX2375" s="7"/>
      <c r="BP2375" s="61"/>
      <c r="CF2375" s="104"/>
      <c r="CG2375" s="105"/>
      <c r="FK2375" s="7"/>
    </row>
    <row r="2376" spans="1:167">
      <c r="A2376" s="571"/>
      <c r="B2376" s="1008"/>
      <c r="C2376" s="7"/>
      <c r="P2376" s="7"/>
      <c r="AX2376" s="7"/>
      <c r="BP2376" s="61"/>
      <c r="CF2376" s="104"/>
      <c r="CG2376" s="105"/>
      <c r="FK2376" s="7"/>
    </row>
    <row r="2377" spans="1:167">
      <c r="A2377" s="571"/>
      <c r="B2377" s="1008"/>
      <c r="C2377" s="7"/>
      <c r="P2377" s="7"/>
      <c r="AX2377" s="7"/>
      <c r="BP2377" s="61"/>
      <c r="CF2377" s="104"/>
      <c r="CG2377" s="105"/>
      <c r="FK2377" s="7"/>
    </row>
    <row r="2378" spans="1:167">
      <c r="A2378" s="571"/>
      <c r="B2378" s="1008"/>
      <c r="C2378" s="7"/>
      <c r="P2378" s="7"/>
      <c r="AX2378" s="7"/>
      <c r="BP2378" s="61"/>
      <c r="CF2378" s="104"/>
      <c r="CG2378" s="105"/>
      <c r="FK2378" s="7"/>
    </row>
    <row r="2379" spans="1:167">
      <c r="A2379" s="571"/>
      <c r="B2379" s="1008"/>
      <c r="C2379" s="7"/>
      <c r="P2379" s="7"/>
      <c r="AX2379" s="7"/>
      <c r="BP2379" s="61"/>
      <c r="CF2379" s="104"/>
      <c r="CG2379" s="105"/>
      <c r="FK2379" s="7"/>
    </row>
    <row r="2380" spans="1:167">
      <c r="A2380" s="571"/>
      <c r="B2380" s="1008"/>
      <c r="C2380" s="7"/>
      <c r="P2380" s="7"/>
      <c r="AX2380" s="7"/>
      <c r="BP2380" s="61"/>
      <c r="CF2380" s="104"/>
      <c r="CG2380" s="105"/>
      <c r="FK2380" s="7"/>
    </row>
    <row r="2381" spans="1:167">
      <c r="A2381" s="571"/>
      <c r="B2381" s="1008"/>
      <c r="C2381" s="7"/>
      <c r="P2381" s="7"/>
      <c r="AX2381" s="7"/>
      <c r="BP2381" s="61"/>
      <c r="CF2381" s="104"/>
      <c r="CG2381" s="105"/>
      <c r="FK2381" s="7"/>
    </row>
    <row r="2382" spans="1:167">
      <c r="A2382" s="571"/>
      <c r="B2382" s="1008"/>
      <c r="C2382" s="7"/>
      <c r="P2382" s="7"/>
      <c r="AX2382" s="7"/>
      <c r="BP2382" s="61"/>
      <c r="CF2382" s="104"/>
      <c r="CG2382" s="105"/>
      <c r="FK2382" s="7"/>
    </row>
    <row r="2383" spans="1:167">
      <c r="A2383" s="571"/>
      <c r="B2383" s="1008"/>
      <c r="C2383" s="7"/>
      <c r="P2383" s="7"/>
      <c r="AX2383" s="7"/>
      <c r="BP2383" s="61"/>
      <c r="CF2383" s="104"/>
      <c r="CG2383" s="105"/>
      <c r="FK2383" s="7"/>
    </row>
    <row r="2384" spans="1:167">
      <c r="A2384" s="571"/>
      <c r="B2384" s="1008"/>
      <c r="C2384" s="7"/>
      <c r="P2384" s="7"/>
      <c r="AX2384" s="7"/>
      <c r="BP2384" s="61"/>
      <c r="CF2384" s="104"/>
      <c r="CG2384" s="105"/>
      <c r="FK2384" s="7"/>
    </row>
    <row r="2385" spans="1:167">
      <c r="A2385" s="571"/>
      <c r="B2385" s="1008"/>
      <c r="C2385" s="7"/>
      <c r="P2385" s="7"/>
      <c r="AX2385" s="7"/>
      <c r="BP2385" s="61"/>
      <c r="CF2385" s="104"/>
      <c r="CG2385" s="105"/>
      <c r="FK2385" s="7"/>
    </row>
    <row r="2386" spans="1:167">
      <c r="A2386" s="571"/>
      <c r="B2386" s="1008"/>
      <c r="C2386" s="7"/>
      <c r="P2386" s="7"/>
      <c r="AX2386" s="7"/>
      <c r="BP2386" s="61"/>
      <c r="CF2386" s="104"/>
      <c r="CG2386" s="105"/>
      <c r="FK2386" s="7"/>
    </row>
    <row r="2387" spans="1:167">
      <c r="A2387" s="571"/>
      <c r="B2387" s="1008"/>
      <c r="C2387" s="7"/>
      <c r="P2387" s="7"/>
      <c r="AX2387" s="7"/>
      <c r="BP2387" s="61"/>
      <c r="CF2387" s="104"/>
      <c r="CG2387" s="105"/>
      <c r="FK2387" s="7"/>
    </row>
    <row r="2388" spans="1:167">
      <c r="A2388" s="571"/>
      <c r="B2388" s="1008"/>
      <c r="C2388" s="7"/>
      <c r="P2388" s="7"/>
      <c r="AX2388" s="7"/>
      <c r="BP2388" s="61"/>
      <c r="CF2388" s="104"/>
      <c r="CG2388" s="105"/>
      <c r="FK2388" s="7"/>
    </row>
    <row r="2389" spans="1:167">
      <c r="A2389" s="571"/>
      <c r="B2389" s="1008"/>
      <c r="C2389" s="7"/>
      <c r="P2389" s="7"/>
      <c r="AX2389" s="7"/>
      <c r="BP2389" s="61"/>
      <c r="CF2389" s="104"/>
      <c r="CG2389" s="105"/>
      <c r="FK2389" s="7"/>
    </row>
    <row r="2390" spans="1:167">
      <c r="A2390" s="571"/>
      <c r="B2390" s="1008"/>
      <c r="C2390" s="7"/>
      <c r="P2390" s="7"/>
      <c r="AX2390" s="7"/>
      <c r="BP2390" s="61"/>
      <c r="CF2390" s="104"/>
      <c r="CG2390" s="105"/>
      <c r="FK2390" s="7"/>
    </row>
    <row r="2391" spans="1:167">
      <c r="A2391" s="571"/>
      <c r="B2391" s="1008"/>
      <c r="C2391" s="7"/>
      <c r="P2391" s="7"/>
      <c r="AX2391" s="7"/>
      <c r="BP2391" s="61"/>
      <c r="CF2391" s="104"/>
      <c r="CG2391" s="105"/>
      <c r="FK2391" s="7"/>
    </row>
    <row r="2392" spans="1:167">
      <c r="A2392" s="571"/>
      <c r="B2392" s="1008"/>
      <c r="C2392" s="7"/>
      <c r="P2392" s="7"/>
      <c r="AX2392" s="7"/>
      <c r="BP2392" s="61"/>
      <c r="CF2392" s="104"/>
      <c r="CG2392" s="105"/>
      <c r="FK2392" s="7"/>
    </row>
    <row r="2393" spans="1:167">
      <c r="A2393" s="571"/>
      <c r="B2393" s="1008"/>
      <c r="C2393" s="7"/>
      <c r="P2393" s="7"/>
      <c r="AX2393" s="7"/>
      <c r="BP2393" s="61"/>
      <c r="CF2393" s="104"/>
      <c r="CG2393" s="105"/>
      <c r="FK2393" s="7"/>
    </row>
    <row r="2394" spans="1:167">
      <c r="A2394" s="571"/>
      <c r="B2394" s="1008"/>
      <c r="C2394" s="7"/>
      <c r="P2394" s="7"/>
      <c r="AX2394" s="7"/>
      <c r="BP2394" s="61"/>
      <c r="CF2394" s="104"/>
      <c r="CG2394" s="105"/>
      <c r="FK2394" s="7"/>
    </row>
    <row r="2395" spans="1:167">
      <c r="A2395" s="571"/>
      <c r="B2395" s="1008"/>
      <c r="C2395" s="7"/>
      <c r="P2395" s="7"/>
      <c r="AX2395" s="7"/>
      <c r="BP2395" s="61"/>
      <c r="CF2395" s="104"/>
      <c r="CG2395" s="105"/>
      <c r="FK2395" s="7"/>
    </row>
    <row r="2396" spans="1:167">
      <c r="A2396" s="571"/>
      <c r="B2396" s="1008"/>
      <c r="C2396" s="7"/>
      <c r="P2396" s="7"/>
      <c r="AX2396" s="7"/>
      <c r="BP2396" s="61"/>
      <c r="CF2396" s="104"/>
      <c r="CG2396" s="105"/>
      <c r="FK2396" s="7"/>
    </row>
    <row r="2397" spans="1:167">
      <c r="A2397" s="571"/>
      <c r="B2397" s="1008"/>
      <c r="C2397" s="7"/>
      <c r="P2397" s="7"/>
      <c r="AX2397" s="7"/>
      <c r="BP2397" s="61"/>
      <c r="CF2397" s="104"/>
      <c r="CG2397" s="105"/>
      <c r="FK2397" s="7"/>
    </row>
    <row r="2398" spans="1:167">
      <c r="A2398" s="571"/>
      <c r="B2398" s="1008"/>
      <c r="C2398" s="7"/>
      <c r="P2398" s="7"/>
      <c r="AX2398" s="7"/>
      <c r="BP2398" s="61"/>
      <c r="CF2398" s="104"/>
      <c r="CG2398" s="105"/>
      <c r="FK2398" s="7"/>
    </row>
    <row r="2399" spans="1:167">
      <c r="A2399" s="571"/>
      <c r="B2399" s="1008"/>
      <c r="C2399" s="7"/>
      <c r="P2399" s="7"/>
      <c r="AX2399" s="7"/>
      <c r="BP2399" s="61"/>
      <c r="CF2399" s="104"/>
      <c r="CG2399" s="105"/>
      <c r="FK2399" s="7"/>
    </row>
    <row r="2400" spans="1:167">
      <c r="A2400" s="571"/>
      <c r="B2400" s="1008"/>
      <c r="C2400" s="7"/>
      <c r="P2400" s="7"/>
      <c r="AX2400" s="7"/>
      <c r="BP2400" s="61"/>
      <c r="CF2400" s="104"/>
      <c r="CG2400" s="105"/>
      <c r="FK2400" s="7"/>
    </row>
    <row r="2401" spans="1:167">
      <c r="A2401" s="571"/>
      <c r="B2401" s="1008"/>
      <c r="C2401" s="7"/>
      <c r="P2401" s="7"/>
      <c r="AX2401" s="7"/>
      <c r="BP2401" s="61"/>
      <c r="CF2401" s="104"/>
      <c r="CG2401" s="105"/>
      <c r="FK2401" s="7"/>
    </row>
    <row r="2402" spans="1:167">
      <c r="A2402" s="571"/>
      <c r="B2402" s="1008"/>
      <c r="C2402" s="7"/>
      <c r="P2402" s="7"/>
      <c r="AX2402" s="7"/>
      <c r="BP2402" s="61"/>
      <c r="CF2402" s="104"/>
      <c r="CG2402" s="105"/>
      <c r="FK2402" s="7"/>
    </row>
    <row r="2403" spans="1:167">
      <c r="A2403" s="571"/>
      <c r="B2403" s="1008"/>
      <c r="C2403" s="7"/>
      <c r="P2403" s="7"/>
      <c r="AX2403" s="7"/>
      <c r="BP2403" s="61"/>
      <c r="CF2403" s="104"/>
      <c r="CG2403" s="105"/>
      <c r="FK2403" s="7"/>
    </row>
    <row r="2404" spans="1:167">
      <c r="A2404" s="571"/>
      <c r="B2404" s="1008"/>
      <c r="C2404" s="7"/>
      <c r="P2404" s="7"/>
      <c r="AX2404" s="7"/>
      <c r="BP2404" s="61"/>
      <c r="CF2404" s="104"/>
      <c r="CG2404" s="105"/>
      <c r="FK2404" s="7"/>
    </row>
    <row r="2405" spans="1:167">
      <c r="A2405" s="571"/>
      <c r="B2405" s="1008"/>
      <c r="C2405" s="7"/>
      <c r="P2405" s="7"/>
      <c r="AX2405" s="7"/>
      <c r="BP2405" s="61"/>
      <c r="CF2405" s="104"/>
      <c r="CG2405" s="105"/>
      <c r="FK2405" s="7"/>
    </row>
    <row r="2406" spans="1:167">
      <c r="A2406" s="571"/>
      <c r="B2406" s="1008"/>
      <c r="C2406" s="7"/>
      <c r="P2406" s="7"/>
      <c r="AX2406" s="7"/>
      <c r="BP2406" s="61"/>
      <c r="CF2406" s="104"/>
      <c r="CG2406" s="105"/>
      <c r="FK2406" s="7"/>
    </row>
    <row r="2407" spans="1:167">
      <c r="A2407" s="571"/>
      <c r="B2407" s="1008"/>
      <c r="C2407" s="7"/>
      <c r="P2407" s="7"/>
      <c r="AX2407" s="7"/>
      <c r="BP2407" s="61"/>
      <c r="CF2407" s="104"/>
      <c r="CG2407" s="105"/>
      <c r="FK2407" s="7"/>
    </row>
    <row r="2408" spans="1:167">
      <c r="A2408" s="571"/>
      <c r="B2408" s="1008"/>
      <c r="C2408" s="7"/>
      <c r="P2408" s="7"/>
      <c r="AX2408" s="7"/>
      <c r="BP2408" s="61"/>
      <c r="CF2408" s="104"/>
      <c r="CG2408" s="105"/>
      <c r="FK2408" s="7"/>
    </row>
    <row r="2409" spans="1:167">
      <c r="A2409" s="571"/>
      <c r="B2409" s="1008"/>
      <c r="C2409" s="7"/>
      <c r="P2409" s="7"/>
      <c r="AX2409" s="7"/>
      <c r="BP2409" s="61"/>
      <c r="CF2409" s="104"/>
      <c r="CG2409" s="105"/>
      <c r="FK2409" s="7"/>
    </row>
    <row r="2410" spans="1:167">
      <c r="A2410" s="571"/>
      <c r="B2410" s="1008"/>
      <c r="C2410" s="7"/>
      <c r="P2410" s="7"/>
      <c r="AX2410" s="7"/>
      <c r="BP2410" s="61"/>
      <c r="CF2410" s="104"/>
      <c r="CG2410" s="105"/>
      <c r="FK2410" s="7"/>
    </row>
    <row r="2411" spans="1:167">
      <c r="A2411" s="571"/>
      <c r="B2411" s="1008"/>
      <c r="C2411" s="7"/>
      <c r="P2411" s="7"/>
      <c r="AX2411" s="7"/>
      <c r="BP2411" s="61"/>
      <c r="CF2411" s="104"/>
      <c r="CG2411" s="105"/>
      <c r="FK2411" s="7"/>
    </row>
    <row r="2412" spans="1:167">
      <c r="A2412" s="571"/>
      <c r="B2412" s="1008"/>
      <c r="C2412" s="7"/>
      <c r="P2412" s="7"/>
      <c r="AX2412" s="7"/>
      <c r="BP2412" s="61"/>
      <c r="CF2412" s="104"/>
      <c r="CG2412" s="105"/>
      <c r="FK2412" s="7"/>
    </row>
    <row r="2413" spans="1:167">
      <c r="A2413" s="571"/>
      <c r="B2413" s="1008"/>
      <c r="C2413" s="7"/>
      <c r="P2413" s="7"/>
      <c r="AX2413" s="7"/>
      <c r="BP2413" s="61"/>
      <c r="CF2413" s="104"/>
      <c r="CG2413" s="105"/>
      <c r="FK2413" s="7"/>
    </row>
    <row r="2414" spans="1:167">
      <c r="A2414" s="571"/>
      <c r="B2414" s="1008"/>
      <c r="C2414" s="7"/>
      <c r="P2414" s="7"/>
      <c r="AX2414" s="7"/>
      <c r="BP2414" s="61"/>
      <c r="CF2414" s="104"/>
      <c r="CG2414" s="105"/>
      <c r="FK2414" s="7"/>
    </row>
    <row r="2415" spans="1:167">
      <c r="A2415" s="571"/>
      <c r="B2415" s="1008"/>
      <c r="C2415" s="7"/>
      <c r="P2415" s="7"/>
      <c r="AX2415" s="7"/>
      <c r="BP2415" s="61"/>
      <c r="CF2415" s="104"/>
      <c r="CG2415" s="105"/>
      <c r="FK2415" s="7"/>
    </row>
    <row r="2416" spans="1:167">
      <c r="A2416" s="571"/>
      <c r="B2416" s="1008"/>
      <c r="C2416" s="7"/>
      <c r="P2416" s="7"/>
      <c r="AX2416" s="7"/>
      <c r="BP2416" s="61"/>
      <c r="CF2416" s="104"/>
      <c r="CG2416" s="105"/>
      <c r="FK2416" s="7"/>
    </row>
    <row r="2417" spans="1:167">
      <c r="A2417" s="571"/>
      <c r="B2417" s="1008"/>
      <c r="C2417" s="7"/>
      <c r="P2417" s="7"/>
      <c r="AX2417" s="7"/>
      <c r="BP2417" s="61"/>
      <c r="CF2417" s="104"/>
      <c r="CG2417" s="105"/>
      <c r="FK2417" s="7"/>
    </row>
    <row r="2418" spans="1:167">
      <c r="A2418" s="571"/>
      <c r="B2418" s="1008"/>
      <c r="C2418" s="7"/>
      <c r="P2418" s="7"/>
      <c r="AX2418" s="7"/>
      <c r="BP2418" s="61"/>
      <c r="CF2418" s="104"/>
      <c r="CG2418" s="105"/>
      <c r="FK2418" s="7"/>
    </row>
    <row r="2419" spans="1:167">
      <c r="A2419" s="571"/>
      <c r="B2419" s="1008"/>
      <c r="C2419" s="7"/>
      <c r="P2419" s="7"/>
      <c r="AX2419" s="7"/>
      <c r="BP2419" s="61"/>
      <c r="CF2419" s="104"/>
      <c r="CG2419" s="105"/>
      <c r="FK2419" s="7"/>
    </row>
    <row r="2420" spans="1:167">
      <c r="A2420" s="571"/>
      <c r="B2420" s="1008"/>
      <c r="C2420" s="7"/>
      <c r="P2420" s="7"/>
      <c r="AX2420" s="7"/>
      <c r="BP2420" s="61"/>
      <c r="CF2420" s="104"/>
      <c r="CG2420" s="105"/>
      <c r="FK2420" s="7"/>
    </row>
    <row r="2421" spans="1:167">
      <c r="A2421" s="571"/>
      <c r="B2421" s="1008"/>
      <c r="C2421" s="7"/>
      <c r="P2421" s="7"/>
      <c r="AX2421" s="7"/>
      <c r="BP2421" s="61"/>
      <c r="CF2421" s="104"/>
      <c r="CG2421" s="105"/>
      <c r="FK2421" s="7"/>
    </row>
    <row r="2422" spans="1:167">
      <c r="A2422" s="571"/>
      <c r="B2422" s="1008"/>
      <c r="C2422" s="7"/>
      <c r="P2422" s="7"/>
      <c r="AX2422" s="7"/>
      <c r="BP2422" s="61"/>
      <c r="CF2422" s="104"/>
      <c r="CG2422" s="105"/>
      <c r="FK2422" s="7"/>
    </row>
    <row r="2423" spans="1:167">
      <c r="A2423" s="571"/>
      <c r="B2423" s="1008"/>
      <c r="C2423" s="7"/>
      <c r="P2423" s="7"/>
      <c r="AX2423" s="7"/>
      <c r="BP2423" s="61"/>
      <c r="CF2423" s="104"/>
      <c r="CG2423" s="105"/>
      <c r="FK2423" s="7"/>
    </row>
    <row r="2424" spans="1:167">
      <c r="A2424" s="571"/>
      <c r="B2424" s="1008"/>
      <c r="C2424" s="7"/>
      <c r="P2424" s="7"/>
      <c r="AX2424" s="7"/>
      <c r="BP2424" s="61"/>
      <c r="CF2424" s="104"/>
      <c r="CG2424" s="105"/>
      <c r="FK2424" s="7"/>
    </row>
    <row r="2425" spans="1:167">
      <c r="A2425" s="571"/>
      <c r="B2425" s="1008"/>
      <c r="C2425" s="7"/>
      <c r="P2425" s="7"/>
      <c r="AX2425" s="7"/>
      <c r="BP2425" s="61"/>
      <c r="CF2425" s="104"/>
      <c r="CG2425" s="105"/>
      <c r="FK2425" s="7"/>
    </row>
    <row r="2426" spans="1:167">
      <c r="A2426" s="571"/>
      <c r="B2426" s="1008"/>
      <c r="C2426" s="7"/>
      <c r="P2426" s="7"/>
      <c r="AX2426" s="7"/>
      <c r="BP2426" s="61"/>
      <c r="CF2426" s="104"/>
      <c r="CG2426" s="105"/>
      <c r="FK2426" s="7"/>
    </row>
    <row r="2427" spans="1:167">
      <c r="A2427" s="571"/>
      <c r="B2427" s="1008"/>
      <c r="C2427" s="7"/>
      <c r="P2427" s="7"/>
      <c r="AX2427" s="7"/>
      <c r="BP2427" s="61"/>
      <c r="CF2427" s="104"/>
      <c r="CG2427" s="105"/>
      <c r="FK2427" s="7"/>
    </row>
    <row r="2428" spans="1:167">
      <c r="A2428" s="571"/>
      <c r="B2428" s="1008"/>
      <c r="C2428" s="7"/>
      <c r="P2428" s="7"/>
      <c r="AX2428" s="7"/>
      <c r="BP2428" s="61"/>
      <c r="CF2428" s="104"/>
      <c r="CG2428" s="105"/>
      <c r="FK2428" s="7"/>
    </row>
    <row r="2429" spans="1:167">
      <c r="A2429" s="571"/>
      <c r="B2429" s="1008"/>
      <c r="C2429" s="7"/>
      <c r="P2429" s="7"/>
      <c r="AX2429" s="7"/>
      <c r="BP2429" s="61"/>
      <c r="CF2429" s="104"/>
      <c r="CG2429" s="105"/>
      <c r="FK2429" s="7"/>
    </row>
    <row r="2430" spans="1:167">
      <c r="A2430" s="571"/>
      <c r="B2430" s="1008"/>
      <c r="C2430" s="7"/>
      <c r="P2430" s="7"/>
      <c r="AX2430" s="7"/>
      <c r="BP2430" s="61"/>
      <c r="CF2430" s="104"/>
      <c r="CG2430" s="105"/>
      <c r="FK2430" s="7"/>
    </row>
    <row r="2431" spans="1:167">
      <c r="A2431" s="571"/>
      <c r="B2431" s="1008"/>
      <c r="C2431" s="7"/>
      <c r="P2431" s="7"/>
      <c r="AX2431" s="7"/>
      <c r="BP2431" s="61"/>
      <c r="CF2431" s="104"/>
      <c r="CG2431" s="105"/>
      <c r="FK2431" s="7"/>
    </row>
    <row r="2432" spans="1:167">
      <c r="A2432" s="571"/>
      <c r="B2432" s="1008"/>
      <c r="C2432" s="7"/>
      <c r="P2432" s="7"/>
      <c r="AX2432" s="7"/>
      <c r="BP2432" s="61"/>
      <c r="CF2432" s="104"/>
      <c r="CG2432" s="105"/>
      <c r="FK2432" s="7"/>
    </row>
    <row r="2433" spans="1:167">
      <c r="A2433" s="571"/>
      <c r="B2433" s="1008"/>
      <c r="C2433" s="7"/>
      <c r="P2433" s="7"/>
      <c r="AX2433" s="7"/>
      <c r="BP2433" s="61"/>
      <c r="CF2433" s="104"/>
      <c r="CG2433" s="105"/>
      <c r="FK2433" s="7"/>
    </row>
    <row r="2434" spans="1:167">
      <c r="A2434" s="571"/>
      <c r="B2434" s="1008"/>
      <c r="C2434" s="7"/>
      <c r="P2434" s="7"/>
      <c r="AX2434" s="7"/>
      <c r="BP2434" s="61"/>
      <c r="CF2434" s="104"/>
      <c r="CG2434" s="105"/>
      <c r="FK2434" s="7"/>
    </row>
    <row r="2435" spans="1:167">
      <c r="A2435" s="571"/>
      <c r="B2435" s="1008"/>
      <c r="C2435" s="7"/>
      <c r="P2435" s="7"/>
      <c r="AX2435" s="7"/>
      <c r="BP2435" s="61"/>
      <c r="CF2435" s="104"/>
      <c r="CG2435" s="105"/>
      <c r="FK2435" s="7"/>
    </row>
    <row r="2436" spans="1:167">
      <c r="A2436" s="571"/>
      <c r="B2436" s="1008"/>
      <c r="C2436" s="7"/>
      <c r="P2436" s="7"/>
      <c r="AX2436" s="7"/>
      <c r="BP2436" s="61"/>
      <c r="CF2436" s="104"/>
      <c r="CG2436" s="105"/>
      <c r="FK2436" s="7"/>
    </row>
    <row r="2437" spans="1:167">
      <c r="A2437" s="571"/>
      <c r="B2437" s="1008"/>
      <c r="C2437" s="7"/>
      <c r="P2437" s="7"/>
      <c r="AX2437" s="7"/>
      <c r="BP2437" s="61"/>
      <c r="CF2437" s="104"/>
      <c r="CG2437" s="105"/>
      <c r="FK2437" s="7"/>
    </row>
    <row r="2438" spans="1:167">
      <c r="A2438" s="571"/>
      <c r="B2438" s="1008"/>
      <c r="C2438" s="7"/>
      <c r="P2438" s="7"/>
      <c r="AX2438" s="7"/>
      <c r="BP2438" s="61"/>
      <c r="CF2438" s="104"/>
      <c r="CG2438" s="105"/>
      <c r="FK2438" s="7"/>
    </row>
    <row r="2439" spans="1:167">
      <c r="A2439" s="571"/>
      <c r="B2439" s="1008"/>
      <c r="C2439" s="7"/>
      <c r="P2439" s="7"/>
      <c r="AX2439" s="7"/>
      <c r="BP2439" s="61"/>
      <c r="CF2439" s="104"/>
      <c r="CG2439" s="105"/>
      <c r="FK2439" s="7"/>
    </row>
    <row r="2440" spans="1:167">
      <c r="A2440" s="571"/>
      <c r="B2440" s="1008"/>
      <c r="C2440" s="7"/>
      <c r="P2440" s="7"/>
      <c r="AX2440" s="7"/>
      <c r="BP2440" s="61"/>
      <c r="CF2440" s="104"/>
      <c r="CG2440" s="105"/>
      <c r="FK2440" s="7"/>
    </row>
    <row r="2441" spans="1:167">
      <c r="A2441" s="571"/>
      <c r="B2441" s="1008"/>
      <c r="C2441" s="7"/>
      <c r="P2441" s="7"/>
      <c r="AX2441" s="7"/>
      <c r="BP2441" s="61"/>
      <c r="CF2441" s="104"/>
      <c r="CG2441" s="105"/>
      <c r="FK2441" s="7"/>
    </row>
    <row r="2442" spans="1:167">
      <c r="A2442" s="571"/>
      <c r="B2442" s="1008"/>
      <c r="C2442" s="7"/>
      <c r="P2442" s="7"/>
      <c r="AX2442" s="7"/>
      <c r="BP2442" s="61"/>
      <c r="CF2442" s="104"/>
      <c r="CG2442" s="105"/>
      <c r="FK2442" s="7"/>
    </row>
    <row r="2443" spans="1:167">
      <c r="A2443" s="571"/>
      <c r="B2443" s="1008"/>
      <c r="C2443" s="7"/>
      <c r="P2443" s="7"/>
      <c r="AX2443" s="7"/>
      <c r="BP2443" s="61"/>
      <c r="CF2443" s="104"/>
      <c r="CG2443" s="105"/>
      <c r="FK2443" s="7"/>
    </row>
    <row r="2444" spans="1:167">
      <c r="A2444" s="571"/>
      <c r="B2444" s="1008"/>
      <c r="C2444" s="7"/>
      <c r="P2444" s="7"/>
      <c r="AX2444" s="7"/>
      <c r="BP2444" s="61"/>
      <c r="CF2444" s="104"/>
      <c r="CG2444" s="105"/>
      <c r="FK2444" s="7"/>
    </row>
    <row r="2445" spans="1:167">
      <c r="A2445" s="571"/>
      <c r="B2445" s="1008"/>
      <c r="C2445" s="7"/>
      <c r="P2445" s="7"/>
      <c r="AX2445" s="7"/>
      <c r="BP2445" s="61"/>
      <c r="CF2445" s="104"/>
      <c r="CG2445" s="105"/>
      <c r="FK2445" s="7"/>
    </row>
    <row r="2446" spans="1:167">
      <c r="A2446" s="571"/>
      <c r="B2446" s="1008"/>
      <c r="C2446" s="7"/>
      <c r="P2446" s="7"/>
      <c r="AX2446" s="7"/>
      <c r="BP2446" s="61"/>
      <c r="CF2446" s="104"/>
      <c r="CG2446" s="105"/>
      <c r="FK2446" s="7"/>
    </row>
    <row r="2447" spans="1:167">
      <c r="A2447" s="571"/>
      <c r="B2447" s="1008"/>
      <c r="C2447" s="7"/>
      <c r="P2447" s="7"/>
      <c r="AX2447" s="7"/>
      <c r="BP2447" s="61"/>
      <c r="CF2447" s="104"/>
      <c r="CG2447" s="105"/>
      <c r="FK2447" s="7"/>
    </row>
    <row r="2448" spans="1:167">
      <c r="A2448" s="571"/>
      <c r="B2448" s="1008"/>
      <c r="C2448" s="7"/>
      <c r="P2448" s="7"/>
      <c r="AX2448" s="7"/>
      <c r="BP2448" s="61"/>
      <c r="CF2448" s="104"/>
      <c r="CG2448" s="105"/>
      <c r="FK2448" s="7"/>
    </row>
    <row r="2449" spans="1:167">
      <c r="A2449" s="571"/>
      <c r="B2449" s="1008"/>
      <c r="C2449" s="7"/>
      <c r="P2449" s="7"/>
      <c r="AX2449" s="7"/>
      <c r="BP2449" s="61"/>
      <c r="CF2449" s="104"/>
      <c r="CG2449" s="105"/>
      <c r="FK2449" s="7"/>
    </row>
    <row r="2450" spans="1:167">
      <c r="A2450" s="571"/>
      <c r="B2450" s="1008"/>
      <c r="C2450" s="7"/>
      <c r="P2450" s="7"/>
      <c r="AX2450" s="7"/>
      <c r="BP2450" s="61"/>
      <c r="CF2450" s="104"/>
      <c r="CG2450" s="105"/>
      <c r="FK2450" s="7"/>
    </row>
    <row r="2451" spans="1:167">
      <c r="A2451" s="571"/>
      <c r="B2451" s="1008"/>
      <c r="C2451" s="7"/>
      <c r="P2451" s="7"/>
      <c r="AX2451" s="7"/>
      <c r="BP2451" s="61"/>
      <c r="CF2451" s="104"/>
      <c r="CG2451" s="105"/>
      <c r="FK2451" s="7"/>
    </row>
    <row r="2452" spans="1:167">
      <c r="A2452" s="571"/>
      <c r="B2452" s="1008"/>
      <c r="C2452" s="7"/>
      <c r="P2452" s="7"/>
      <c r="AX2452" s="7"/>
      <c r="BP2452" s="61"/>
      <c r="CF2452" s="104"/>
      <c r="CG2452" s="105"/>
      <c r="FK2452" s="7"/>
    </row>
    <row r="2453" spans="1:167">
      <c r="A2453" s="571"/>
      <c r="B2453" s="1008"/>
      <c r="C2453" s="7"/>
      <c r="P2453" s="7"/>
      <c r="AX2453" s="7"/>
      <c r="BP2453" s="61"/>
      <c r="CF2453" s="104"/>
      <c r="CG2453" s="105"/>
      <c r="FK2453" s="7"/>
    </row>
    <row r="2454" spans="1:167">
      <c r="A2454" s="571"/>
      <c r="B2454" s="1008"/>
      <c r="C2454" s="7"/>
      <c r="P2454" s="7"/>
      <c r="AX2454" s="7"/>
      <c r="BP2454" s="61"/>
      <c r="CF2454" s="104"/>
      <c r="CG2454" s="105"/>
      <c r="FK2454" s="7"/>
    </row>
    <row r="2455" spans="1:167">
      <c r="A2455" s="571"/>
      <c r="B2455" s="1008"/>
      <c r="C2455" s="7"/>
      <c r="P2455" s="7"/>
      <c r="AX2455" s="7"/>
      <c r="BP2455" s="61"/>
      <c r="CF2455" s="104"/>
      <c r="CG2455" s="105"/>
      <c r="FK2455" s="7"/>
    </row>
    <row r="2456" spans="1:167">
      <c r="A2456" s="571"/>
      <c r="B2456" s="1008"/>
      <c r="C2456" s="7"/>
      <c r="P2456" s="7"/>
      <c r="AX2456" s="7"/>
      <c r="BP2456" s="61"/>
      <c r="CF2456" s="104"/>
      <c r="CG2456" s="105"/>
      <c r="FK2456" s="7"/>
    </row>
    <row r="2457" spans="1:167">
      <c r="A2457" s="571"/>
      <c r="B2457" s="1008"/>
      <c r="C2457" s="7"/>
      <c r="P2457" s="7"/>
      <c r="AX2457" s="7"/>
      <c r="BP2457" s="61"/>
      <c r="CF2457" s="104"/>
      <c r="CG2457" s="105"/>
      <c r="FK2457" s="7"/>
    </row>
    <row r="2458" spans="1:167">
      <c r="A2458" s="571"/>
      <c r="B2458" s="1008"/>
      <c r="C2458" s="7"/>
      <c r="P2458" s="7"/>
      <c r="AX2458" s="7"/>
      <c r="BP2458" s="61"/>
      <c r="CF2458" s="104"/>
      <c r="CG2458" s="105"/>
      <c r="FK2458" s="7"/>
    </row>
    <row r="2459" spans="1:167">
      <c r="A2459" s="571"/>
      <c r="B2459" s="1008"/>
      <c r="C2459" s="7"/>
      <c r="P2459" s="7"/>
      <c r="AX2459" s="7"/>
      <c r="BP2459" s="61"/>
      <c r="CF2459" s="104"/>
      <c r="CG2459" s="105"/>
      <c r="FK2459" s="7"/>
    </row>
    <row r="2460" spans="1:167">
      <c r="A2460" s="571"/>
      <c r="B2460" s="1008"/>
      <c r="C2460" s="7"/>
      <c r="P2460" s="7"/>
      <c r="AX2460" s="7"/>
      <c r="BP2460" s="61"/>
      <c r="CF2460" s="104"/>
      <c r="CG2460" s="105"/>
      <c r="FK2460" s="7"/>
    </row>
    <row r="2461" spans="1:167">
      <c r="A2461" s="571"/>
      <c r="B2461" s="1008"/>
      <c r="C2461" s="7"/>
      <c r="P2461" s="7"/>
      <c r="AX2461" s="7"/>
      <c r="BP2461" s="61"/>
      <c r="CF2461" s="104"/>
      <c r="CG2461" s="105"/>
      <c r="FK2461" s="7"/>
    </row>
    <row r="2462" spans="1:167">
      <c r="A2462" s="571"/>
      <c r="B2462" s="1008"/>
      <c r="C2462" s="7"/>
      <c r="P2462" s="7"/>
      <c r="AX2462" s="7"/>
      <c r="BP2462" s="61"/>
      <c r="CF2462" s="104"/>
      <c r="CG2462" s="105"/>
      <c r="FK2462" s="7"/>
    </row>
    <row r="2463" spans="1:167">
      <c r="A2463" s="571"/>
      <c r="B2463" s="1008"/>
      <c r="C2463" s="7"/>
      <c r="P2463" s="7"/>
      <c r="AX2463" s="7"/>
      <c r="BP2463" s="61"/>
      <c r="CF2463" s="104"/>
      <c r="CG2463" s="105"/>
      <c r="FK2463" s="7"/>
    </row>
    <row r="2464" spans="1:167">
      <c r="A2464" s="571"/>
      <c r="B2464" s="1008"/>
      <c r="C2464" s="7"/>
      <c r="P2464" s="7"/>
      <c r="AX2464" s="7"/>
      <c r="BP2464" s="61"/>
      <c r="CF2464" s="104"/>
      <c r="CG2464" s="105"/>
      <c r="FK2464" s="7"/>
    </row>
    <row r="2465" spans="1:167">
      <c r="A2465" s="571"/>
      <c r="B2465" s="1008"/>
      <c r="C2465" s="7"/>
      <c r="P2465" s="7"/>
      <c r="AX2465" s="7"/>
      <c r="BP2465" s="61"/>
      <c r="CF2465" s="104"/>
      <c r="CG2465" s="105"/>
      <c r="FK2465" s="7"/>
    </row>
    <row r="2466" spans="1:167">
      <c r="A2466" s="571"/>
      <c r="B2466" s="1008"/>
      <c r="C2466" s="7"/>
      <c r="P2466" s="7"/>
      <c r="AX2466" s="7"/>
      <c r="BP2466" s="61"/>
      <c r="CF2466" s="104"/>
      <c r="CG2466" s="105"/>
      <c r="FK2466" s="7"/>
    </row>
    <row r="2467" spans="1:167">
      <c r="A2467" s="571"/>
      <c r="B2467" s="1008"/>
      <c r="C2467" s="7"/>
      <c r="P2467" s="7"/>
      <c r="AX2467" s="7"/>
      <c r="BP2467" s="61"/>
      <c r="CF2467" s="104"/>
      <c r="CG2467" s="105"/>
      <c r="FK2467" s="7"/>
    </row>
    <row r="2468" spans="1:167">
      <c r="A2468" s="571"/>
      <c r="B2468" s="1008"/>
      <c r="C2468" s="7"/>
      <c r="P2468" s="7"/>
      <c r="AX2468" s="7"/>
      <c r="BP2468" s="61"/>
      <c r="CF2468" s="104"/>
      <c r="CG2468" s="105"/>
      <c r="FK2468" s="7"/>
    </row>
    <row r="2469" spans="1:167">
      <c r="A2469" s="571"/>
      <c r="B2469" s="1008"/>
      <c r="C2469" s="7"/>
      <c r="P2469" s="7"/>
      <c r="AX2469" s="7"/>
      <c r="BP2469" s="61"/>
      <c r="CF2469" s="104"/>
      <c r="CG2469" s="105"/>
      <c r="FK2469" s="7"/>
    </row>
    <row r="2470" spans="1:167">
      <c r="A2470" s="571"/>
      <c r="B2470" s="1008"/>
      <c r="C2470" s="7"/>
      <c r="P2470" s="7"/>
      <c r="AX2470" s="7"/>
      <c r="BP2470" s="61"/>
      <c r="CF2470" s="104"/>
      <c r="CG2470" s="105"/>
      <c r="FK2470" s="7"/>
    </row>
    <row r="2471" spans="1:167">
      <c r="A2471" s="571"/>
      <c r="B2471" s="1008"/>
      <c r="C2471" s="7"/>
      <c r="P2471" s="7"/>
      <c r="AX2471" s="7"/>
      <c r="BP2471" s="61"/>
      <c r="CF2471" s="104"/>
      <c r="CG2471" s="105"/>
      <c r="FK2471" s="7"/>
    </row>
    <row r="2472" spans="1:167">
      <c r="A2472" s="571"/>
      <c r="B2472" s="1008"/>
      <c r="C2472" s="7"/>
      <c r="P2472" s="7"/>
      <c r="AX2472" s="7"/>
      <c r="BP2472" s="61"/>
      <c r="CF2472" s="104"/>
      <c r="CG2472" s="105"/>
      <c r="FK2472" s="7"/>
    </row>
    <row r="2473" spans="1:167">
      <c r="A2473" s="571"/>
      <c r="B2473" s="1008"/>
      <c r="C2473" s="7"/>
      <c r="P2473" s="7"/>
      <c r="AX2473" s="7"/>
      <c r="BP2473" s="61"/>
      <c r="CF2473" s="104"/>
      <c r="CG2473" s="105"/>
      <c r="FK2473" s="7"/>
    </row>
    <row r="2474" spans="1:167">
      <c r="A2474" s="571"/>
      <c r="B2474" s="1008"/>
      <c r="C2474" s="7"/>
      <c r="P2474" s="7"/>
      <c r="AX2474" s="7"/>
      <c r="BP2474" s="61"/>
      <c r="CF2474" s="104"/>
      <c r="CG2474" s="105"/>
      <c r="FK2474" s="7"/>
    </row>
    <row r="2475" spans="1:167">
      <c r="A2475" s="571"/>
      <c r="B2475" s="1008"/>
      <c r="C2475" s="7"/>
      <c r="P2475" s="7"/>
      <c r="AX2475" s="7"/>
      <c r="BP2475" s="61"/>
      <c r="CF2475" s="104"/>
      <c r="CG2475" s="105"/>
      <c r="FK2475" s="7"/>
    </row>
    <row r="2476" spans="1:167">
      <c r="A2476" s="571"/>
      <c r="B2476" s="1008"/>
      <c r="C2476" s="7"/>
      <c r="P2476" s="7"/>
      <c r="AX2476" s="7"/>
      <c r="BP2476" s="61"/>
      <c r="CF2476" s="104"/>
      <c r="CG2476" s="105"/>
      <c r="FK2476" s="7"/>
    </row>
    <row r="2477" spans="1:167">
      <c r="A2477" s="571"/>
      <c r="B2477" s="1008"/>
      <c r="C2477" s="7"/>
      <c r="P2477" s="7"/>
      <c r="AX2477" s="7"/>
      <c r="BP2477" s="61"/>
      <c r="CF2477" s="104"/>
      <c r="CG2477" s="105"/>
      <c r="FK2477" s="7"/>
    </row>
    <row r="2478" spans="1:167">
      <c r="A2478" s="571"/>
      <c r="B2478" s="1008"/>
      <c r="C2478" s="7"/>
      <c r="P2478" s="7"/>
      <c r="AX2478" s="7"/>
      <c r="BP2478" s="61"/>
      <c r="CF2478" s="104"/>
      <c r="CG2478" s="105"/>
      <c r="FK2478" s="7"/>
    </row>
    <row r="2479" spans="1:167">
      <c r="A2479" s="571"/>
      <c r="B2479" s="1008"/>
      <c r="C2479" s="7"/>
      <c r="P2479" s="7"/>
      <c r="AX2479" s="7"/>
      <c r="BP2479" s="61"/>
      <c r="CF2479" s="104"/>
      <c r="CG2479" s="105"/>
      <c r="FK2479" s="7"/>
    </row>
    <row r="2480" spans="1:167">
      <c r="A2480" s="571"/>
      <c r="B2480" s="1008"/>
      <c r="C2480" s="7"/>
      <c r="P2480" s="7"/>
      <c r="AX2480" s="7"/>
      <c r="BP2480" s="61"/>
      <c r="CF2480" s="104"/>
      <c r="CG2480" s="105"/>
      <c r="FK2480" s="7"/>
    </row>
    <row r="2481" spans="1:167">
      <c r="A2481" s="571"/>
      <c r="B2481" s="1008"/>
      <c r="C2481" s="7"/>
      <c r="P2481" s="7"/>
      <c r="AX2481" s="7"/>
      <c r="BP2481" s="61"/>
      <c r="CF2481" s="104"/>
      <c r="CG2481" s="105"/>
      <c r="FK2481" s="7"/>
    </row>
    <row r="2482" spans="1:167">
      <c r="A2482" s="571"/>
      <c r="B2482" s="1008"/>
      <c r="C2482" s="7"/>
      <c r="P2482" s="7"/>
      <c r="AX2482" s="7"/>
      <c r="BP2482" s="61"/>
      <c r="CF2482" s="104"/>
      <c r="CG2482" s="105"/>
      <c r="FK2482" s="7"/>
    </row>
    <row r="2483" spans="1:167">
      <c r="A2483" s="571"/>
      <c r="B2483" s="1008"/>
      <c r="C2483" s="7"/>
      <c r="P2483" s="7"/>
      <c r="AX2483" s="7"/>
      <c r="BP2483" s="61"/>
      <c r="CF2483" s="104"/>
      <c r="CG2483" s="105"/>
      <c r="FK2483" s="7"/>
    </row>
    <row r="2484" spans="1:167">
      <c r="A2484" s="571"/>
      <c r="B2484" s="1008"/>
      <c r="C2484" s="7"/>
      <c r="P2484" s="7"/>
      <c r="AX2484" s="7"/>
      <c r="BP2484" s="61"/>
      <c r="CF2484" s="104"/>
      <c r="CG2484" s="105"/>
      <c r="FK2484" s="7"/>
    </row>
    <row r="2485" spans="1:167">
      <c r="A2485" s="571"/>
      <c r="B2485" s="1008"/>
      <c r="C2485" s="7"/>
      <c r="P2485" s="7"/>
      <c r="AX2485" s="7"/>
      <c r="BP2485" s="61"/>
      <c r="CF2485" s="104"/>
      <c r="CG2485" s="105"/>
      <c r="FK2485" s="7"/>
    </row>
    <row r="2486" spans="1:167">
      <c r="A2486" s="571"/>
      <c r="B2486" s="1008"/>
      <c r="C2486" s="7"/>
      <c r="P2486" s="7"/>
      <c r="AX2486" s="7"/>
      <c r="BP2486" s="61"/>
      <c r="CF2486" s="104"/>
      <c r="CG2486" s="105"/>
      <c r="FK2486" s="7"/>
    </row>
    <row r="2487" spans="1:167">
      <c r="A2487" s="571"/>
      <c r="B2487" s="1008"/>
      <c r="C2487" s="7"/>
      <c r="P2487" s="7"/>
      <c r="AX2487" s="7"/>
      <c r="BP2487" s="61"/>
      <c r="CF2487" s="104"/>
      <c r="CG2487" s="105"/>
      <c r="FK2487" s="7"/>
    </row>
    <row r="2488" spans="1:167">
      <c r="A2488" s="571"/>
      <c r="B2488" s="1008"/>
      <c r="C2488" s="7"/>
      <c r="P2488" s="7"/>
      <c r="AX2488" s="7"/>
      <c r="BP2488" s="61"/>
      <c r="CF2488" s="104"/>
      <c r="CG2488" s="105"/>
      <c r="FK2488" s="7"/>
    </row>
    <row r="2489" spans="1:167">
      <c r="A2489" s="571"/>
      <c r="B2489" s="1008"/>
      <c r="C2489" s="7"/>
      <c r="P2489" s="7"/>
      <c r="AX2489" s="7"/>
      <c r="BP2489" s="61"/>
      <c r="CF2489" s="104"/>
      <c r="CG2489" s="105"/>
      <c r="FK2489" s="7"/>
    </row>
    <row r="2490" spans="1:167">
      <c r="A2490" s="571"/>
      <c r="B2490" s="1008"/>
      <c r="C2490" s="7"/>
      <c r="P2490" s="7"/>
      <c r="AX2490" s="7"/>
      <c r="BP2490" s="61"/>
      <c r="CF2490" s="104"/>
      <c r="CG2490" s="105"/>
      <c r="FK2490" s="7"/>
    </row>
    <row r="2491" spans="1:167">
      <c r="A2491" s="571"/>
      <c r="B2491" s="1008"/>
      <c r="C2491" s="7"/>
      <c r="P2491" s="7"/>
      <c r="AX2491" s="7"/>
      <c r="BP2491" s="61"/>
      <c r="CF2491" s="104"/>
      <c r="CG2491" s="105"/>
      <c r="FK2491" s="7"/>
    </row>
    <row r="2492" spans="1:167">
      <c r="A2492" s="571"/>
      <c r="B2492" s="1008"/>
      <c r="C2492" s="7"/>
      <c r="P2492" s="7"/>
      <c r="AX2492" s="7"/>
      <c r="BP2492" s="61"/>
      <c r="CF2492" s="104"/>
      <c r="CG2492" s="105"/>
      <c r="FK2492" s="7"/>
    </row>
    <row r="2493" spans="1:167">
      <c r="A2493" s="571"/>
      <c r="B2493" s="1008"/>
      <c r="C2493" s="7"/>
      <c r="P2493" s="7"/>
      <c r="AX2493" s="7"/>
      <c r="BP2493" s="61"/>
      <c r="CF2493" s="104"/>
      <c r="CG2493" s="105"/>
      <c r="FK2493" s="7"/>
    </row>
    <row r="2494" spans="1:167">
      <c r="A2494" s="571"/>
      <c r="B2494" s="1008"/>
      <c r="C2494" s="7"/>
      <c r="P2494" s="7"/>
      <c r="AX2494" s="7"/>
      <c r="BP2494" s="61"/>
      <c r="CF2494" s="104"/>
      <c r="CG2494" s="105"/>
      <c r="FK2494" s="7"/>
    </row>
    <row r="2495" spans="1:167">
      <c r="A2495" s="571"/>
      <c r="B2495" s="1008"/>
      <c r="C2495" s="7"/>
      <c r="P2495" s="7"/>
      <c r="AX2495" s="7"/>
      <c r="BP2495" s="61"/>
      <c r="CF2495" s="104"/>
      <c r="CG2495" s="105"/>
      <c r="FK2495" s="7"/>
    </row>
    <row r="2496" spans="1:167">
      <c r="A2496" s="571"/>
      <c r="B2496" s="1008"/>
      <c r="C2496" s="7"/>
      <c r="P2496" s="7"/>
      <c r="AX2496" s="7"/>
      <c r="BP2496" s="61"/>
      <c r="CF2496" s="104"/>
      <c r="CG2496" s="105"/>
      <c r="FK2496" s="7"/>
    </row>
    <row r="2497" spans="1:167">
      <c r="A2497" s="571"/>
      <c r="B2497" s="1008"/>
      <c r="C2497" s="7"/>
      <c r="P2497" s="7"/>
      <c r="AX2497" s="7"/>
      <c r="BP2497" s="61"/>
      <c r="CF2497" s="104"/>
      <c r="CG2497" s="105"/>
      <c r="FK2497" s="7"/>
    </row>
    <row r="2498" spans="1:167">
      <c r="A2498" s="571"/>
      <c r="B2498" s="1008"/>
      <c r="C2498" s="7"/>
      <c r="P2498" s="7"/>
      <c r="AX2498" s="7"/>
      <c r="BP2498" s="61"/>
      <c r="CF2498" s="104"/>
      <c r="CG2498" s="105"/>
      <c r="FK2498" s="7"/>
    </row>
    <row r="2499" spans="1:167">
      <c r="A2499" s="571"/>
      <c r="B2499" s="1008"/>
      <c r="C2499" s="7"/>
      <c r="P2499" s="7"/>
      <c r="AX2499" s="7"/>
      <c r="BP2499" s="61"/>
      <c r="CF2499" s="104"/>
      <c r="CG2499" s="105"/>
      <c r="FK2499" s="7"/>
    </row>
    <row r="2500" spans="1:167">
      <c r="A2500" s="571"/>
      <c r="B2500" s="1008"/>
      <c r="C2500" s="7"/>
      <c r="P2500" s="7"/>
      <c r="AX2500" s="7"/>
      <c r="BP2500" s="61"/>
      <c r="CF2500" s="104"/>
      <c r="CG2500" s="105"/>
      <c r="FK2500" s="7"/>
    </row>
    <row r="2501" spans="1:167">
      <c r="A2501" s="571"/>
      <c r="B2501" s="1008"/>
      <c r="C2501" s="7"/>
      <c r="P2501" s="7"/>
      <c r="AX2501" s="7"/>
      <c r="BP2501" s="61"/>
      <c r="CF2501" s="104"/>
      <c r="CG2501" s="105"/>
      <c r="FK2501" s="7"/>
    </row>
    <row r="2502" spans="1:167">
      <c r="A2502" s="571"/>
      <c r="B2502" s="1008"/>
      <c r="C2502" s="7"/>
      <c r="P2502" s="7"/>
      <c r="AX2502" s="7"/>
      <c r="BP2502" s="61"/>
      <c r="CF2502" s="104"/>
      <c r="CG2502" s="105"/>
      <c r="FK2502" s="7"/>
    </row>
    <row r="2503" spans="1:167">
      <c r="A2503" s="571"/>
      <c r="B2503" s="1008"/>
      <c r="C2503" s="7"/>
      <c r="P2503" s="7"/>
      <c r="AX2503" s="7"/>
      <c r="BP2503" s="61"/>
      <c r="CF2503" s="104"/>
      <c r="CG2503" s="105"/>
      <c r="FK2503" s="7"/>
    </row>
    <row r="2504" spans="1:167">
      <c r="A2504" s="571"/>
      <c r="B2504" s="1008"/>
      <c r="C2504" s="7"/>
      <c r="P2504" s="7"/>
      <c r="AX2504" s="7"/>
      <c r="BP2504" s="61"/>
      <c r="CF2504" s="104"/>
      <c r="CG2504" s="105"/>
      <c r="FK2504" s="7"/>
    </row>
    <row r="2505" spans="1:167">
      <c r="A2505" s="571"/>
      <c r="B2505" s="1008"/>
      <c r="C2505" s="7"/>
      <c r="P2505" s="7"/>
      <c r="AX2505" s="7"/>
      <c r="BP2505" s="61"/>
      <c r="CF2505" s="104"/>
      <c r="CG2505" s="105"/>
      <c r="FK2505" s="7"/>
    </row>
    <row r="2506" spans="1:167">
      <c r="A2506" s="571"/>
      <c r="B2506" s="1008"/>
      <c r="C2506" s="7"/>
      <c r="P2506" s="7"/>
      <c r="AX2506" s="7"/>
      <c r="BP2506" s="61"/>
      <c r="CF2506" s="104"/>
      <c r="CG2506" s="105"/>
      <c r="FK2506" s="7"/>
    </row>
    <row r="2507" spans="1:167">
      <c r="A2507" s="571"/>
      <c r="B2507" s="1008"/>
      <c r="C2507" s="7"/>
      <c r="P2507" s="7"/>
      <c r="AX2507" s="7"/>
      <c r="BP2507" s="61"/>
      <c r="CF2507" s="104"/>
      <c r="CG2507" s="105"/>
      <c r="FK2507" s="7"/>
    </row>
    <row r="2508" spans="1:167">
      <c r="A2508" s="571"/>
      <c r="B2508" s="1008"/>
      <c r="C2508" s="7"/>
      <c r="P2508" s="7"/>
      <c r="AX2508" s="7"/>
      <c r="BP2508" s="61"/>
      <c r="CF2508" s="104"/>
      <c r="CG2508" s="105"/>
      <c r="FK2508" s="7"/>
    </row>
    <row r="2509" spans="1:167">
      <c r="A2509" s="571"/>
      <c r="B2509" s="1008"/>
      <c r="C2509" s="7"/>
      <c r="P2509" s="7"/>
      <c r="AX2509" s="7"/>
      <c r="BP2509" s="61"/>
      <c r="CF2509" s="104"/>
      <c r="CG2509" s="105"/>
      <c r="FK2509" s="7"/>
    </row>
    <row r="2510" spans="1:167">
      <c r="A2510" s="571"/>
      <c r="B2510" s="1008"/>
      <c r="C2510" s="7"/>
      <c r="P2510" s="7"/>
      <c r="AX2510" s="7"/>
      <c r="BP2510" s="61"/>
      <c r="CF2510" s="104"/>
      <c r="CG2510" s="105"/>
      <c r="FK2510" s="7"/>
    </row>
    <row r="2511" spans="1:167">
      <c r="A2511" s="571"/>
      <c r="B2511" s="1008"/>
      <c r="C2511" s="7"/>
      <c r="P2511" s="7"/>
      <c r="AX2511" s="7"/>
      <c r="BP2511" s="61"/>
      <c r="CF2511" s="104"/>
      <c r="CG2511" s="105"/>
      <c r="FK2511" s="7"/>
    </row>
    <row r="2512" spans="1:167">
      <c r="A2512" s="571"/>
      <c r="B2512" s="1008"/>
      <c r="C2512" s="7"/>
      <c r="P2512" s="7"/>
      <c r="AX2512" s="7"/>
      <c r="BP2512" s="61"/>
      <c r="CF2512" s="104"/>
      <c r="CG2512" s="105"/>
      <c r="FK2512" s="7"/>
    </row>
    <row r="2513" spans="1:167">
      <c r="A2513" s="571"/>
      <c r="B2513" s="1008"/>
      <c r="C2513" s="7"/>
      <c r="P2513" s="7"/>
      <c r="AX2513" s="7"/>
      <c r="BP2513" s="61"/>
      <c r="CF2513" s="104"/>
      <c r="CG2513" s="105"/>
      <c r="FK2513" s="7"/>
    </row>
    <row r="2514" spans="1:167">
      <c r="A2514" s="571"/>
      <c r="B2514" s="1008"/>
      <c r="C2514" s="7"/>
      <c r="P2514" s="7"/>
      <c r="AX2514" s="7"/>
      <c r="BP2514" s="61"/>
      <c r="CF2514" s="104"/>
      <c r="CG2514" s="105"/>
      <c r="FK2514" s="7"/>
    </row>
    <row r="2515" spans="1:167">
      <c r="A2515" s="571"/>
      <c r="B2515" s="1008"/>
      <c r="C2515" s="7"/>
      <c r="P2515" s="7"/>
      <c r="AX2515" s="7"/>
      <c r="BP2515" s="61"/>
      <c r="CF2515" s="104"/>
      <c r="CG2515" s="105"/>
      <c r="FK2515" s="7"/>
    </row>
    <row r="2516" spans="1:167">
      <c r="A2516" s="571"/>
      <c r="B2516" s="1008"/>
      <c r="C2516" s="7"/>
      <c r="P2516" s="7"/>
      <c r="AX2516" s="7"/>
      <c r="BP2516" s="61"/>
      <c r="CF2516" s="104"/>
      <c r="CG2516" s="105"/>
      <c r="FK2516" s="7"/>
    </row>
    <row r="2517" spans="1:167">
      <c r="A2517" s="571"/>
      <c r="B2517" s="1008"/>
      <c r="C2517" s="7"/>
      <c r="P2517" s="7"/>
      <c r="AX2517" s="7"/>
      <c r="BP2517" s="61"/>
      <c r="CF2517" s="104"/>
      <c r="CG2517" s="105"/>
      <c r="FK2517" s="7"/>
    </row>
    <row r="2518" spans="1:167">
      <c r="A2518" s="571"/>
      <c r="B2518" s="1008"/>
      <c r="C2518" s="7"/>
      <c r="P2518" s="7"/>
      <c r="AX2518" s="7"/>
      <c r="BP2518" s="61"/>
      <c r="CF2518" s="104"/>
      <c r="CG2518" s="105"/>
      <c r="FK2518" s="7"/>
    </row>
    <row r="2519" spans="1:167">
      <c r="A2519" s="571"/>
      <c r="B2519" s="1008"/>
      <c r="C2519" s="7"/>
      <c r="P2519" s="7"/>
      <c r="AX2519" s="7"/>
      <c r="BP2519" s="61"/>
      <c r="CF2519" s="104"/>
      <c r="CG2519" s="105"/>
      <c r="FK2519" s="7"/>
    </row>
    <row r="2520" spans="1:167">
      <c r="A2520" s="571"/>
      <c r="B2520" s="1008"/>
      <c r="C2520" s="7"/>
      <c r="P2520" s="7"/>
      <c r="AX2520" s="7"/>
      <c r="BP2520" s="61"/>
      <c r="CF2520" s="104"/>
      <c r="CG2520" s="105"/>
      <c r="FK2520" s="7"/>
    </row>
    <row r="2521" spans="1:167">
      <c r="A2521" s="571"/>
      <c r="B2521" s="1008"/>
      <c r="C2521" s="7"/>
      <c r="P2521" s="7"/>
      <c r="AX2521" s="7"/>
      <c r="BP2521" s="61"/>
      <c r="CF2521" s="104"/>
      <c r="CG2521" s="105"/>
      <c r="FK2521" s="7"/>
    </row>
    <row r="2522" spans="1:167">
      <c r="A2522" s="571"/>
      <c r="B2522" s="1008"/>
      <c r="C2522" s="7"/>
      <c r="P2522" s="7"/>
      <c r="AX2522" s="7"/>
      <c r="BP2522" s="61"/>
      <c r="CF2522" s="104"/>
      <c r="CG2522" s="105"/>
      <c r="FK2522" s="7"/>
    </row>
    <row r="2523" spans="1:167">
      <c r="A2523" s="571"/>
      <c r="B2523" s="1008"/>
      <c r="C2523" s="7"/>
      <c r="P2523" s="7"/>
      <c r="AX2523" s="7"/>
      <c r="BP2523" s="61"/>
      <c r="CF2523" s="104"/>
      <c r="CG2523" s="105"/>
      <c r="FK2523" s="7"/>
    </row>
    <row r="2524" spans="1:167">
      <c r="A2524" s="571"/>
      <c r="B2524" s="1008"/>
      <c r="C2524" s="7"/>
      <c r="P2524" s="7"/>
      <c r="AX2524" s="7"/>
      <c r="BP2524" s="61"/>
      <c r="CF2524" s="104"/>
      <c r="CG2524" s="105"/>
      <c r="FK2524" s="7"/>
    </row>
    <row r="2525" spans="1:167">
      <c r="A2525" s="571"/>
      <c r="B2525" s="1008"/>
      <c r="C2525" s="7"/>
      <c r="P2525" s="7"/>
      <c r="AX2525" s="7"/>
      <c r="BP2525" s="61"/>
      <c r="CF2525" s="104"/>
      <c r="CG2525" s="105"/>
      <c r="FK2525" s="7"/>
    </row>
    <row r="2526" spans="1:167">
      <c r="A2526" s="571"/>
      <c r="B2526" s="1008"/>
      <c r="C2526" s="7"/>
      <c r="P2526" s="7"/>
      <c r="AX2526" s="7"/>
      <c r="BP2526" s="61"/>
      <c r="CF2526" s="104"/>
      <c r="CG2526" s="105"/>
      <c r="FK2526" s="7"/>
    </row>
    <row r="2527" spans="1:167">
      <c r="A2527" s="571"/>
      <c r="B2527" s="1008"/>
      <c r="C2527" s="7"/>
      <c r="P2527" s="7"/>
      <c r="AX2527" s="7"/>
      <c r="BP2527" s="61"/>
      <c r="CF2527" s="104"/>
      <c r="CG2527" s="105"/>
      <c r="FK2527" s="7"/>
    </row>
    <row r="2528" spans="1:167">
      <c r="A2528" s="571"/>
      <c r="B2528" s="1008"/>
      <c r="C2528" s="7"/>
      <c r="P2528" s="7"/>
      <c r="AX2528" s="7"/>
      <c r="BP2528" s="61"/>
      <c r="CF2528" s="104"/>
      <c r="CG2528" s="105"/>
      <c r="FK2528" s="7"/>
    </row>
    <row r="2529" spans="1:167">
      <c r="A2529" s="571"/>
      <c r="B2529" s="1008"/>
      <c r="C2529" s="7"/>
      <c r="P2529" s="7"/>
      <c r="AX2529" s="7"/>
      <c r="BP2529" s="61"/>
      <c r="CF2529" s="104"/>
      <c r="CG2529" s="105"/>
      <c r="FK2529" s="7"/>
    </row>
    <row r="2530" spans="1:167">
      <c r="A2530" s="571"/>
      <c r="B2530" s="1008"/>
      <c r="C2530" s="7"/>
      <c r="P2530" s="7"/>
      <c r="AX2530" s="7"/>
      <c r="BP2530" s="61"/>
      <c r="CF2530" s="104"/>
      <c r="CG2530" s="105"/>
      <c r="FK2530" s="7"/>
    </row>
    <row r="2531" spans="1:167">
      <c r="A2531" s="571"/>
      <c r="B2531" s="1008"/>
      <c r="C2531" s="7"/>
      <c r="P2531" s="7"/>
      <c r="AX2531" s="7"/>
      <c r="BP2531" s="61"/>
      <c r="CF2531" s="104"/>
      <c r="CG2531" s="105"/>
      <c r="FK2531" s="7"/>
    </row>
    <row r="2532" spans="1:167">
      <c r="A2532" s="571"/>
      <c r="B2532" s="1008"/>
      <c r="C2532" s="7"/>
      <c r="P2532" s="7"/>
      <c r="AX2532" s="7"/>
      <c r="BP2532" s="61"/>
      <c r="CF2532" s="104"/>
      <c r="CG2532" s="105"/>
      <c r="FK2532" s="7"/>
    </row>
    <row r="2533" spans="1:167">
      <c r="A2533" s="571"/>
      <c r="B2533" s="1008"/>
      <c r="C2533" s="7"/>
      <c r="P2533" s="7"/>
      <c r="AX2533" s="7"/>
      <c r="BP2533" s="61"/>
      <c r="CF2533" s="104"/>
      <c r="CG2533" s="105"/>
      <c r="FK2533" s="7"/>
    </row>
    <row r="2534" spans="1:167">
      <c r="A2534" s="571"/>
      <c r="B2534" s="1008"/>
      <c r="C2534" s="7"/>
      <c r="P2534" s="7"/>
      <c r="AX2534" s="7"/>
      <c r="BP2534" s="61"/>
      <c r="CF2534" s="104"/>
      <c r="CG2534" s="105"/>
      <c r="FK2534" s="7"/>
    </row>
    <row r="2535" spans="1:167">
      <c r="A2535" s="571"/>
      <c r="B2535" s="1008"/>
      <c r="C2535" s="7"/>
      <c r="P2535" s="7"/>
      <c r="AX2535" s="7"/>
      <c r="BP2535" s="61"/>
      <c r="CF2535" s="104"/>
      <c r="CG2535" s="105"/>
      <c r="FK2535" s="7"/>
    </row>
    <row r="2536" spans="1:167">
      <c r="A2536" s="571"/>
      <c r="B2536" s="1008"/>
      <c r="C2536" s="7"/>
      <c r="P2536" s="7"/>
      <c r="AX2536" s="7"/>
      <c r="BP2536" s="61"/>
      <c r="CF2536" s="104"/>
      <c r="CG2536" s="105"/>
      <c r="FK2536" s="7"/>
    </row>
    <row r="2537" spans="1:167">
      <c r="A2537" s="571"/>
      <c r="B2537" s="1008"/>
      <c r="C2537" s="7"/>
      <c r="P2537" s="7"/>
      <c r="AX2537" s="7"/>
      <c r="BP2537" s="61"/>
      <c r="CF2537" s="104"/>
      <c r="CG2537" s="105"/>
      <c r="FK2537" s="7"/>
    </row>
    <row r="2538" spans="1:167">
      <c r="A2538" s="571"/>
      <c r="B2538" s="1008"/>
      <c r="C2538" s="7"/>
      <c r="P2538" s="7"/>
      <c r="AX2538" s="7"/>
      <c r="BP2538" s="61"/>
      <c r="CF2538" s="104"/>
      <c r="CG2538" s="105"/>
      <c r="FK2538" s="7"/>
    </row>
    <row r="2539" spans="1:167">
      <c r="A2539" s="571"/>
      <c r="B2539" s="1008"/>
      <c r="C2539" s="7"/>
      <c r="P2539" s="7"/>
      <c r="AX2539" s="7"/>
      <c r="BP2539" s="61"/>
      <c r="CF2539" s="104"/>
      <c r="CG2539" s="105"/>
      <c r="FK2539" s="7"/>
    </row>
    <row r="2540" spans="1:167">
      <c r="A2540" s="571"/>
      <c r="B2540" s="1008"/>
      <c r="C2540" s="7"/>
      <c r="P2540" s="7"/>
      <c r="AX2540" s="7"/>
      <c r="BP2540" s="61"/>
      <c r="CF2540" s="104"/>
      <c r="CG2540" s="105"/>
      <c r="FK2540" s="7"/>
    </row>
    <row r="2541" spans="1:167">
      <c r="A2541" s="571"/>
      <c r="B2541" s="1008"/>
      <c r="C2541" s="7"/>
      <c r="P2541" s="7"/>
      <c r="AX2541" s="7"/>
      <c r="BP2541" s="61"/>
      <c r="CF2541" s="104"/>
      <c r="CG2541" s="105"/>
      <c r="FK2541" s="7"/>
    </row>
    <row r="2542" spans="1:167">
      <c r="A2542" s="571"/>
      <c r="B2542" s="1008"/>
      <c r="C2542" s="7"/>
      <c r="P2542" s="7"/>
      <c r="AX2542" s="7"/>
      <c r="BP2542" s="61"/>
      <c r="CF2542" s="104"/>
      <c r="CG2542" s="105"/>
      <c r="FK2542" s="7"/>
    </row>
    <row r="2543" spans="1:167">
      <c r="A2543" s="571"/>
      <c r="B2543" s="1008"/>
      <c r="C2543" s="7"/>
      <c r="P2543" s="7"/>
      <c r="AX2543" s="7"/>
      <c r="BP2543" s="61"/>
      <c r="CF2543" s="104"/>
      <c r="CG2543" s="105"/>
      <c r="FK2543" s="7"/>
    </row>
    <row r="2544" spans="1:167">
      <c r="A2544" s="571"/>
      <c r="B2544" s="1008"/>
      <c r="C2544" s="7"/>
      <c r="P2544" s="7"/>
      <c r="AX2544" s="7"/>
      <c r="BP2544" s="61"/>
      <c r="CF2544" s="104"/>
      <c r="CG2544" s="105"/>
      <c r="FK2544" s="7"/>
    </row>
    <row r="2545" spans="1:167">
      <c r="A2545" s="571"/>
      <c r="B2545" s="1008"/>
      <c r="C2545" s="7"/>
      <c r="P2545" s="7"/>
      <c r="AX2545" s="7"/>
      <c r="BP2545" s="61"/>
      <c r="CF2545" s="104"/>
      <c r="CG2545" s="105"/>
      <c r="FK2545" s="7"/>
    </row>
    <row r="2546" spans="1:167">
      <c r="A2546" s="571"/>
      <c r="B2546" s="1008"/>
      <c r="C2546" s="7"/>
      <c r="P2546" s="7"/>
      <c r="AX2546" s="7"/>
      <c r="BP2546" s="61"/>
      <c r="CF2546" s="104"/>
      <c r="CG2546" s="105"/>
      <c r="FK2546" s="7"/>
    </row>
    <row r="2547" spans="1:167">
      <c r="A2547" s="571"/>
      <c r="B2547" s="1008"/>
      <c r="C2547" s="7"/>
      <c r="P2547" s="7"/>
      <c r="AX2547" s="7"/>
      <c r="BP2547" s="61"/>
      <c r="CF2547" s="104"/>
      <c r="CG2547" s="105"/>
      <c r="FK2547" s="7"/>
    </row>
    <row r="2548" spans="1:167">
      <c r="A2548" s="571"/>
      <c r="B2548" s="1008"/>
      <c r="C2548" s="7"/>
      <c r="P2548" s="7"/>
      <c r="AX2548" s="7"/>
      <c r="BP2548" s="61"/>
      <c r="CF2548" s="104"/>
      <c r="CG2548" s="105"/>
      <c r="FK2548" s="7"/>
    </row>
    <row r="2549" spans="1:167">
      <c r="A2549" s="571"/>
      <c r="B2549" s="1008"/>
      <c r="C2549" s="7"/>
      <c r="P2549" s="7"/>
      <c r="AX2549" s="7"/>
      <c r="BP2549" s="61"/>
      <c r="CF2549" s="104"/>
      <c r="CG2549" s="105"/>
      <c r="FK2549" s="7"/>
    </row>
    <row r="2550" spans="1:167">
      <c r="A2550" s="571"/>
      <c r="B2550" s="1008"/>
      <c r="C2550" s="7"/>
      <c r="P2550" s="7"/>
      <c r="AX2550" s="7"/>
      <c r="BP2550" s="61"/>
      <c r="CF2550" s="104"/>
      <c r="CG2550" s="105"/>
      <c r="FK2550" s="7"/>
    </row>
    <row r="2551" spans="1:167">
      <c r="A2551" s="571"/>
      <c r="B2551" s="1008"/>
      <c r="C2551" s="7"/>
      <c r="P2551" s="7"/>
      <c r="AX2551" s="7"/>
      <c r="BP2551" s="61"/>
      <c r="CF2551" s="104"/>
      <c r="CG2551" s="105"/>
      <c r="FK2551" s="7"/>
    </row>
    <row r="2552" spans="1:167">
      <c r="A2552" s="571"/>
      <c r="B2552" s="1008"/>
      <c r="C2552" s="7"/>
      <c r="P2552" s="7"/>
      <c r="AX2552" s="7"/>
      <c r="BP2552" s="61"/>
      <c r="CF2552" s="104"/>
      <c r="CG2552" s="105"/>
      <c r="FK2552" s="7"/>
    </row>
    <row r="2553" spans="1:167">
      <c r="A2553" s="571"/>
      <c r="B2553" s="1008"/>
      <c r="C2553" s="7"/>
      <c r="P2553" s="7"/>
      <c r="AX2553" s="7"/>
      <c r="BP2553" s="61"/>
      <c r="CF2553" s="104"/>
      <c r="CG2553" s="105"/>
      <c r="FK2553" s="7"/>
    </row>
    <row r="2554" spans="1:167">
      <c r="A2554" s="571"/>
      <c r="B2554" s="1008"/>
      <c r="C2554" s="7"/>
      <c r="P2554" s="7"/>
      <c r="AX2554" s="7"/>
      <c r="BP2554" s="61"/>
      <c r="CF2554" s="104"/>
      <c r="CG2554" s="105"/>
      <c r="FK2554" s="7"/>
    </row>
    <row r="2555" spans="1:167">
      <c r="A2555" s="571"/>
      <c r="B2555" s="1008"/>
      <c r="C2555" s="7"/>
      <c r="P2555" s="7"/>
      <c r="AX2555" s="7"/>
      <c r="BP2555" s="61"/>
      <c r="CF2555" s="104"/>
      <c r="CG2555" s="105"/>
      <c r="FK2555" s="7"/>
    </row>
    <row r="2556" spans="1:167">
      <c r="A2556" s="571"/>
      <c r="B2556" s="1008"/>
      <c r="C2556" s="7"/>
      <c r="P2556" s="7"/>
      <c r="AX2556" s="7"/>
      <c r="BP2556" s="61"/>
      <c r="CF2556" s="104"/>
      <c r="CG2556" s="105"/>
      <c r="FK2556" s="7"/>
    </row>
    <row r="2557" spans="1:167">
      <c r="A2557" s="571"/>
      <c r="B2557" s="1008"/>
      <c r="C2557" s="7"/>
      <c r="P2557" s="7"/>
      <c r="AX2557" s="7"/>
      <c r="BP2557" s="61"/>
      <c r="CF2557" s="104"/>
      <c r="CG2557" s="105"/>
      <c r="FK2557" s="7"/>
    </row>
    <row r="2558" spans="1:167">
      <c r="A2558" s="571"/>
      <c r="B2558" s="1008"/>
      <c r="C2558" s="7"/>
      <c r="P2558" s="7"/>
      <c r="AX2558" s="7"/>
      <c r="BP2558" s="61"/>
      <c r="CF2558" s="104"/>
      <c r="CG2558" s="105"/>
      <c r="FK2558" s="7"/>
    </row>
    <row r="2559" spans="1:167">
      <c r="A2559" s="571"/>
      <c r="B2559" s="1008"/>
      <c r="C2559" s="7"/>
      <c r="P2559" s="7"/>
      <c r="AX2559" s="7"/>
      <c r="BP2559" s="61"/>
      <c r="CF2559" s="104"/>
      <c r="CG2559" s="105"/>
      <c r="FK2559" s="7"/>
    </row>
    <row r="2560" spans="1:167">
      <c r="A2560" s="571"/>
      <c r="B2560" s="1008"/>
      <c r="C2560" s="7"/>
      <c r="P2560" s="7"/>
      <c r="AX2560" s="7"/>
      <c r="BP2560" s="61"/>
      <c r="CF2560" s="104"/>
      <c r="CG2560" s="105"/>
      <c r="FK2560" s="7"/>
    </row>
    <row r="2561" spans="1:167">
      <c r="A2561" s="571"/>
      <c r="B2561" s="1008"/>
      <c r="C2561" s="7"/>
      <c r="P2561" s="7"/>
      <c r="AX2561" s="7"/>
      <c r="BP2561" s="61"/>
      <c r="CF2561" s="104"/>
      <c r="CG2561" s="105"/>
      <c r="FK2561" s="7"/>
    </row>
    <row r="2562" spans="1:167">
      <c r="A2562" s="571"/>
      <c r="B2562" s="1008"/>
      <c r="C2562" s="7"/>
      <c r="P2562" s="7"/>
      <c r="AX2562" s="7"/>
      <c r="BP2562" s="61"/>
      <c r="CF2562" s="104"/>
      <c r="CG2562" s="105"/>
      <c r="FK2562" s="7"/>
    </row>
    <row r="2563" spans="1:167">
      <c r="A2563" s="571"/>
      <c r="B2563" s="1008"/>
      <c r="C2563" s="7"/>
      <c r="P2563" s="7"/>
      <c r="AX2563" s="7"/>
      <c r="BP2563" s="61"/>
      <c r="CF2563" s="104"/>
      <c r="CG2563" s="105"/>
      <c r="FK2563" s="7"/>
    </row>
    <row r="2564" spans="1:167">
      <c r="A2564" s="571"/>
      <c r="B2564" s="1008"/>
      <c r="C2564" s="7"/>
      <c r="P2564" s="7"/>
      <c r="AX2564" s="7"/>
      <c r="BP2564" s="61"/>
      <c r="CF2564" s="104"/>
      <c r="CG2564" s="105"/>
      <c r="FK2564" s="7"/>
    </row>
    <row r="2565" spans="1:167">
      <c r="A2565" s="571"/>
      <c r="B2565" s="1008"/>
      <c r="C2565" s="7"/>
      <c r="P2565" s="7"/>
      <c r="AX2565" s="7"/>
      <c r="BP2565" s="61"/>
      <c r="CF2565" s="104"/>
      <c r="CG2565" s="105"/>
      <c r="FK2565" s="7"/>
    </row>
    <row r="2566" spans="1:167">
      <c r="A2566" s="571"/>
      <c r="B2566" s="1008"/>
      <c r="C2566" s="7"/>
      <c r="P2566" s="7"/>
      <c r="AX2566" s="7"/>
      <c r="BP2566" s="61"/>
      <c r="CF2566" s="104"/>
      <c r="CG2566" s="105"/>
      <c r="FK2566" s="7"/>
    </row>
    <row r="2567" spans="1:167">
      <c r="A2567" s="571"/>
      <c r="B2567" s="1008"/>
      <c r="C2567" s="7"/>
      <c r="P2567" s="7"/>
      <c r="AX2567" s="7"/>
      <c r="BP2567" s="61"/>
      <c r="CF2567" s="104"/>
      <c r="CG2567" s="105"/>
      <c r="FK2567" s="7"/>
    </row>
    <row r="2568" spans="1:167">
      <c r="A2568" s="571"/>
      <c r="B2568" s="1008"/>
      <c r="C2568" s="7"/>
      <c r="P2568" s="7"/>
      <c r="AX2568" s="7"/>
      <c r="BP2568" s="61"/>
      <c r="CF2568" s="104"/>
      <c r="CG2568" s="105"/>
      <c r="FK2568" s="7"/>
    </row>
    <row r="2569" spans="1:167">
      <c r="A2569" s="571"/>
      <c r="B2569" s="1008"/>
      <c r="C2569" s="7"/>
      <c r="P2569" s="7"/>
      <c r="AX2569" s="7"/>
      <c r="BP2569" s="61"/>
      <c r="CF2569" s="104"/>
      <c r="CG2569" s="105"/>
      <c r="FK2569" s="7"/>
    </row>
    <row r="2570" spans="1:167">
      <c r="A2570" s="571"/>
      <c r="B2570" s="1008"/>
      <c r="C2570" s="7"/>
      <c r="P2570" s="7"/>
      <c r="AX2570" s="7"/>
      <c r="BP2570" s="61"/>
      <c r="CF2570" s="104"/>
      <c r="CG2570" s="105"/>
      <c r="FK2570" s="7"/>
    </row>
    <row r="2571" spans="1:167">
      <c r="A2571" s="571"/>
      <c r="B2571" s="1008"/>
      <c r="C2571" s="7"/>
      <c r="P2571" s="7"/>
      <c r="AX2571" s="7"/>
      <c r="BP2571" s="61"/>
      <c r="CF2571" s="104"/>
      <c r="CG2571" s="105"/>
      <c r="FK2571" s="7"/>
    </row>
    <row r="2572" spans="1:167">
      <c r="A2572" s="571"/>
      <c r="B2572" s="1008"/>
      <c r="C2572" s="7"/>
      <c r="P2572" s="7"/>
      <c r="AX2572" s="7"/>
      <c r="BP2572" s="61"/>
      <c r="CF2572" s="104"/>
      <c r="CG2572" s="105"/>
      <c r="FK2572" s="7"/>
    </row>
    <row r="2573" spans="1:167">
      <c r="A2573" s="571"/>
      <c r="B2573" s="1008"/>
      <c r="C2573" s="7"/>
      <c r="P2573" s="7"/>
      <c r="AX2573" s="7"/>
      <c r="BP2573" s="61"/>
      <c r="CF2573" s="104"/>
      <c r="CG2573" s="105"/>
      <c r="FK2573" s="7"/>
    </row>
    <row r="2574" spans="1:167">
      <c r="A2574" s="571"/>
      <c r="B2574" s="1008"/>
      <c r="C2574" s="7"/>
      <c r="P2574" s="7"/>
      <c r="AX2574" s="7"/>
      <c r="BP2574" s="61"/>
      <c r="CF2574" s="104"/>
      <c r="CG2574" s="105"/>
      <c r="FK2574" s="7"/>
    </row>
    <row r="2575" spans="1:167">
      <c r="A2575" s="571"/>
      <c r="B2575" s="1008"/>
      <c r="C2575" s="7"/>
      <c r="P2575" s="7"/>
      <c r="AX2575" s="7"/>
      <c r="BP2575" s="61"/>
      <c r="CF2575" s="104"/>
      <c r="CG2575" s="105"/>
      <c r="FK2575" s="7"/>
    </row>
    <row r="2576" spans="1:167">
      <c r="A2576" s="571"/>
      <c r="B2576" s="1008"/>
      <c r="C2576" s="7"/>
      <c r="P2576" s="7"/>
      <c r="AX2576" s="7"/>
      <c r="BP2576" s="61"/>
      <c r="CF2576" s="104"/>
      <c r="CG2576" s="105"/>
      <c r="FK2576" s="7"/>
    </row>
    <row r="2577" spans="1:167">
      <c r="A2577" s="571"/>
      <c r="B2577" s="1008"/>
      <c r="C2577" s="7"/>
      <c r="P2577" s="7"/>
      <c r="AX2577" s="7"/>
      <c r="BP2577" s="61"/>
      <c r="CF2577" s="104"/>
      <c r="CG2577" s="105"/>
      <c r="FK2577" s="7"/>
    </row>
    <row r="2578" spans="1:167">
      <c r="A2578" s="571"/>
      <c r="B2578" s="1008"/>
      <c r="C2578" s="7"/>
      <c r="P2578" s="7"/>
      <c r="AX2578" s="7"/>
      <c r="BP2578" s="61"/>
      <c r="CF2578" s="104"/>
      <c r="CG2578" s="105"/>
      <c r="FK2578" s="7"/>
    </row>
    <row r="2579" spans="1:167">
      <c r="A2579" s="571"/>
      <c r="B2579" s="1008"/>
      <c r="C2579" s="7"/>
      <c r="P2579" s="7"/>
      <c r="AX2579" s="7"/>
      <c r="BP2579" s="61"/>
      <c r="CF2579" s="104"/>
      <c r="CG2579" s="105"/>
      <c r="FK2579" s="7"/>
    </row>
    <row r="2580" spans="1:167">
      <c r="A2580" s="571"/>
      <c r="B2580" s="1008"/>
      <c r="C2580" s="7"/>
      <c r="P2580" s="7"/>
      <c r="AX2580" s="7"/>
      <c r="BP2580" s="61"/>
      <c r="CF2580" s="104"/>
      <c r="CG2580" s="105"/>
      <c r="FK2580" s="7"/>
    </row>
    <row r="2581" spans="1:167">
      <c r="A2581" s="571"/>
      <c r="B2581" s="1008"/>
      <c r="C2581" s="7"/>
      <c r="P2581" s="7"/>
      <c r="AX2581" s="7"/>
      <c r="BP2581" s="61"/>
      <c r="CF2581" s="104"/>
      <c r="CG2581" s="105"/>
      <c r="FK2581" s="7"/>
    </row>
    <row r="2582" spans="1:167">
      <c r="A2582" s="571"/>
      <c r="B2582" s="1008"/>
      <c r="C2582" s="7"/>
      <c r="P2582" s="7"/>
      <c r="AX2582" s="7"/>
      <c r="BP2582" s="61"/>
      <c r="CF2582" s="104"/>
      <c r="CG2582" s="105"/>
      <c r="FK2582" s="7"/>
    </row>
    <row r="2583" spans="1:167">
      <c r="A2583" s="571"/>
      <c r="B2583" s="1008"/>
      <c r="C2583" s="7"/>
      <c r="P2583" s="7"/>
      <c r="AX2583" s="7"/>
      <c r="BP2583" s="61"/>
      <c r="CF2583" s="104"/>
      <c r="CG2583" s="105"/>
      <c r="FK2583" s="7"/>
    </row>
    <row r="2584" spans="1:167">
      <c r="A2584" s="571"/>
      <c r="B2584" s="1008"/>
      <c r="C2584" s="7"/>
      <c r="P2584" s="7"/>
      <c r="AX2584" s="7"/>
      <c r="BP2584" s="61"/>
      <c r="CF2584" s="104"/>
      <c r="CG2584" s="105"/>
      <c r="FK2584" s="7"/>
    </row>
    <row r="2585" spans="1:167">
      <c r="A2585" s="571"/>
      <c r="B2585" s="1008"/>
      <c r="C2585" s="7"/>
      <c r="P2585" s="7"/>
      <c r="AX2585" s="7"/>
      <c r="BP2585" s="61"/>
      <c r="CF2585" s="104"/>
      <c r="CG2585" s="105"/>
      <c r="FK2585" s="7"/>
    </row>
    <row r="2586" spans="1:167">
      <c r="A2586" s="571"/>
      <c r="B2586" s="1008"/>
      <c r="C2586" s="7"/>
      <c r="P2586" s="7"/>
      <c r="AX2586" s="7"/>
      <c r="BP2586" s="61"/>
      <c r="CF2586" s="104"/>
      <c r="CG2586" s="105"/>
      <c r="FK2586" s="7"/>
    </row>
    <row r="2587" spans="1:167">
      <c r="A2587" s="571"/>
      <c r="B2587" s="1008"/>
      <c r="C2587" s="7"/>
      <c r="P2587" s="7"/>
      <c r="AX2587" s="7"/>
      <c r="BP2587" s="61"/>
      <c r="CF2587" s="104"/>
      <c r="CG2587" s="105"/>
      <c r="FK2587" s="7"/>
    </row>
    <row r="2588" spans="1:167">
      <c r="A2588" s="571"/>
      <c r="B2588" s="1008"/>
      <c r="C2588" s="7"/>
      <c r="P2588" s="7"/>
      <c r="AX2588" s="7"/>
      <c r="BP2588" s="61"/>
      <c r="CF2588" s="104"/>
      <c r="CG2588" s="105"/>
      <c r="FK2588" s="7"/>
    </row>
    <row r="2589" spans="1:167">
      <c r="A2589" s="571"/>
      <c r="B2589" s="1008"/>
      <c r="C2589" s="7"/>
      <c r="P2589" s="7"/>
      <c r="AX2589" s="7"/>
      <c r="BP2589" s="61"/>
      <c r="CF2589" s="104"/>
      <c r="CG2589" s="105"/>
      <c r="FK2589" s="7"/>
    </row>
    <row r="2590" spans="1:167">
      <c r="A2590" s="571"/>
      <c r="B2590" s="1008"/>
      <c r="C2590" s="7"/>
      <c r="P2590" s="7"/>
      <c r="AX2590" s="7"/>
      <c r="BP2590" s="61"/>
      <c r="CF2590" s="104"/>
      <c r="CG2590" s="105"/>
      <c r="FK2590" s="7"/>
    </row>
    <row r="2591" spans="1:167">
      <c r="A2591" s="571"/>
      <c r="B2591" s="1008"/>
      <c r="C2591" s="7"/>
      <c r="P2591" s="7"/>
      <c r="AX2591" s="7"/>
      <c r="BP2591" s="61"/>
      <c r="CF2591" s="104"/>
      <c r="CG2591" s="105"/>
      <c r="FK2591" s="7"/>
    </row>
    <row r="2592" spans="1:167">
      <c r="A2592" s="571"/>
      <c r="B2592" s="1008"/>
      <c r="C2592" s="7"/>
      <c r="P2592" s="7"/>
      <c r="AX2592" s="7"/>
      <c r="BP2592" s="61"/>
      <c r="CF2592" s="104"/>
      <c r="CG2592" s="105"/>
      <c r="FK2592" s="7"/>
    </row>
    <row r="2593" spans="1:167">
      <c r="A2593" s="571"/>
      <c r="B2593" s="1008"/>
      <c r="C2593" s="7"/>
      <c r="P2593" s="7"/>
      <c r="AX2593" s="7"/>
      <c r="BP2593" s="61"/>
      <c r="CF2593" s="104"/>
      <c r="CG2593" s="105"/>
      <c r="FK2593" s="7"/>
    </row>
    <row r="2594" spans="1:167">
      <c r="A2594" s="571"/>
      <c r="B2594" s="1008"/>
      <c r="C2594" s="7"/>
      <c r="P2594" s="7"/>
      <c r="AX2594" s="7"/>
      <c r="BP2594" s="61"/>
      <c r="CF2594" s="104"/>
      <c r="CG2594" s="105"/>
      <c r="FK2594" s="7"/>
    </row>
    <row r="2595" spans="1:167">
      <c r="A2595" s="571"/>
      <c r="B2595" s="1008"/>
      <c r="C2595" s="7"/>
      <c r="P2595" s="7"/>
      <c r="AX2595" s="7"/>
      <c r="BP2595" s="61"/>
      <c r="CF2595" s="104"/>
      <c r="CG2595" s="105"/>
      <c r="FK2595" s="7"/>
    </row>
    <row r="2596" spans="1:167">
      <c r="A2596" s="571"/>
      <c r="B2596" s="1008"/>
      <c r="C2596" s="7"/>
      <c r="P2596" s="7"/>
      <c r="AX2596" s="7"/>
      <c r="BP2596" s="61"/>
      <c r="CF2596" s="104"/>
      <c r="CG2596" s="105"/>
      <c r="FK2596" s="7"/>
    </row>
    <row r="2597" spans="1:167">
      <c r="A2597" s="571"/>
      <c r="B2597" s="1008"/>
      <c r="C2597" s="7"/>
      <c r="P2597" s="7"/>
      <c r="AX2597" s="7"/>
      <c r="BP2597" s="61"/>
      <c r="CF2597" s="104"/>
      <c r="CG2597" s="105"/>
      <c r="FK2597" s="7"/>
    </row>
    <row r="2598" spans="1:167">
      <c r="A2598" s="571"/>
      <c r="B2598" s="1008"/>
      <c r="C2598" s="7"/>
      <c r="P2598" s="7"/>
      <c r="AX2598" s="7"/>
      <c r="BP2598" s="61"/>
      <c r="CF2598" s="104"/>
      <c r="CG2598" s="105"/>
      <c r="FK2598" s="7"/>
    </row>
    <row r="2599" spans="1:167">
      <c r="A2599" s="571"/>
      <c r="B2599" s="1008"/>
      <c r="C2599" s="7"/>
      <c r="P2599" s="7"/>
      <c r="AX2599" s="7"/>
      <c r="BP2599" s="61"/>
      <c r="CF2599" s="104"/>
      <c r="CG2599" s="105"/>
      <c r="FK2599" s="7"/>
    </row>
    <row r="2600" spans="1:167">
      <c r="A2600" s="571"/>
      <c r="B2600" s="1008"/>
      <c r="C2600" s="7"/>
      <c r="P2600" s="7"/>
      <c r="AX2600" s="7"/>
      <c r="BP2600" s="61"/>
      <c r="CF2600" s="104"/>
      <c r="CG2600" s="105"/>
      <c r="FK2600" s="7"/>
    </row>
    <row r="2601" spans="1:167">
      <c r="A2601" s="571"/>
      <c r="B2601" s="1008"/>
      <c r="C2601" s="7"/>
      <c r="P2601" s="7"/>
      <c r="AX2601" s="7"/>
      <c r="BP2601" s="61"/>
      <c r="CF2601" s="104"/>
      <c r="CG2601" s="105"/>
      <c r="FK2601" s="7"/>
    </row>
    <row r="2602" spans="1:167">
      <c r="A2602" s="571"/>
      <c r="B2602" s="1008"/>
      <c r="C2602" s="7"/>
      <c r="P2602" s="7"/>
      <c r="AX2602" s="7"/>
      <c r="BP2602" s="61"/>
      <c r="CF2602" s="104"/>
      <c r="CG2602" s="105"/>
      <c r="FK2602" s="7"/>
    </row>
    <row r="2603" spans="1:167">
      <c r="A2603" s="571"/>
      <c r="B2603" s="1008"/>
      <c r="C2603" s="7"/>
      <c r="P2603" s="7"/>
      <c r="AX2603" s="7"/>
      <c r="BP2603" s="61"/>
      <c r="CF2603" s="104"/>
      <c r="CG2603" s="105"/>
      <c r="FK2603" s="7"/>
    </row>
    <row r="2604" spans="1:167">
      <c r="A2604" s="571"/>
      <c r="B2604" s="1008"/>
      <c r="C2604" s="7"/>
      <c r="P2604" s="7"/>
      <c r="AX2604" s="7"/>
      <c r="BP2604" s="61"/>
      <c r="CF2604" s="104"/>
      <c r="CG2604" s="105"/>
      <c r="FK2604" s="7"/>
    </row>
    <row r="2605" spans="1:167">
      <c r="A2605" s="571"/>
      <c r="B2605" s="1008"/>
      <c r="C2605" s="7"/>
      <c r="P2605" s="7"/>
      <c r="AX2605" s="7"/>
      <c r="BP2605" s="61"/>
      <c r="CF2605" s="104"/>
      <c r="CG2605" s="105"/>
      <c r="FK2605" s="7"/>
    </row>
    <row r="2606" spans="1:167">
      <c r="A2606" s="571"/>
      <c r="B2606" s="1008"/>
      <c r="C2606" s="7"/>
      <c r="P2606" s="7"/>
      <c r="AX2606" s="7"/>
      <c r="BP2606" s="61"/>
      <c r="CF2606" s="104"/>
      <c r="CG2606" s="105"/>
      <c r="FK2606" s="7"/>
    </row>
    <row r="2607" spans="1:167">
      <c r="A2607" s="571"/>
      <c r="B2607" s="1008"/>
      <c r="C2607" s="7"/>
      <c r="P2607" s="7"/>
      <c r="AX2607" s="7"/>
      <c r="BP2607" s="61"/>
      <c r="CF2607" s="104"/>
      <c r="CG2607" s="105"/>
      <c r="FK2607" s="7"/>
    </row>
    <row r="2608" spans="1:167">
      <c r="A2608" s="571"/>
      <c r="B2608" s="1008"/>
      <c r="C2608" s="7"/>
      <c r="P2608" s="7"/>
      <c r="AX2608" s="7"/>
      <c r="BP2608" s="61"/>
      <c r="CF2608" s="104"/>
      <c r="CG2608" s="105"/>
      <c r="FK2608" s="7"/>
    </row>
    <row r="2609" spans="1:167">
      <c r="A2609" s="571"/>
      <c r="B2609" s="1008"/>
      <c r="C2609" s="7"/>
      <c r="P2609" s="7"/>
      <c r="AX2609" s="7"/>
      <c r="BP2609" s="61"/>
      <c r="CF2609" s="104"/>
      <c r="CG2609" s="105"/>
      <c r="FK2609" s="7"/>
    </row>
    <row r="2610" spans="1:167">
      <c r="A2610" s="571"/>
      <c r="B2610" s="1008"/>
      <c r="C2610" s="7"/>
      <c r="P2610" s="7"/>
      <c r="AX2610" s="7"/>
      <c r="BP2610" s="61"/>
      <c r="CF2610" s="104"/>
      <c r="CG2610" s="105"/>
      <c r="FK2610" s="7"/>
    </row>
    <row r="2611" spans="1:167">
      <c r="A2611" s="571"/>
      <c r="B2611" s="1008"/>
      <c r="C2611" s="7"/>
      <c r="P2611" s="7"/>
      <c r="AX2611" s="7"/>
      <c r="BP2611" s="61"/>
      <c r="CF2611" s="104"/>
      <c r="CG2611" s="105"/>
      <c r="FK2611" s="7"/>
    </row>
    <row r="2612" spans="1:167">
      <c r="A2612" s="571"/>
      <c r="B2612" s="1008"/>
      <c r="C2612" s="7"/>
      <c r="P2612" s="7"/>
      <c r="AX2612" s="7"/>
      <c r="BP2612" s="61"/>
      <c r="CF2612" s="104"/>
      <c r="CG2612" s="105"/>
      <c r="FK2612" s="7"/>
    </row>
    <row r="2613" spans="1:167">
      <c r="A2613" s="571"/>
      <c r="B2613" s="1008"/>
      <c r="C2613" s="7"/>
      <c r="P2613" s="7"/>
      <c r="AX2613" s="7"/>
      <c r="BP2613" s="61"/>
      <c r="CF2613" s="104"/>
      <c r="CG2613" s="105"/>
      <c r="FK2613" s="7"/>
    </row>
    <row r="2614" spans="1:167">
      <c r="A2614" s="571"/>
      <c r="B2614" s="1008"/>
      <c r="C2614" s="7"/>
      <c r="P2614" s="7"/>
      <c r="AX2614" s="7"/>
      <c r="BP2614" s="61"/>
      <c r="CF2614" s="104"/>
      <c r="CG2614" s="105"/>
      <c r="FK2614" s="7"/>
    </row>
    <row r="2615" spans="1:167">
      <c r="A2615" s="571"/>
      <c r="B2615" s="1008"/>
      <c r="C2615" s="7"/>
      <c r="P2615" s="7"/>
      <c r="AX2615" s="7"/>
      <c r="BP2615" s="61"/>
      <c r="CF2615" s="104"/>
      <c r="CG2615" s="105"/>
      <c r="FK2615" s="7"/>
    </row>
    <row r="2616" spans="1:167">
      <c r="A2616" s="571"/>
      <c r="B2616" s="1008"/>
      <c r="C2616" s="7"/>
      <c r="P2616" s="7"/>
      <c r="AX2616" s="7"/>
      <c r="BP2616" s="61"/>
      <c r="CF2616" s="104"/>
      <c r="CG2616" s="105"/>
      <c r="FK2616" s="7"/>
    </row>
    <row r="2617" spans="1:167">
      <c r="A2617" s="571"/>
      <c r="B2617" s="1008"/>
      <c r="C2617" s="7"/>
      <c r="P2617" s="7"/>
      <c r="AX2617" s="7"/>
      <c r="BP2617" s="61"/>
      <c r="CF2617" s="104"/>
      <c r="CG2617" s="105"/>
      <c r="FK2617" s="7"/>
    </row>
    <row r="2618" spans="1:167">
      <c r="A2618" s="571"/>
      <c r="B2618" s="1008"/>
      <c r="C2618" s="7"/>
      <c r="P2618" s="7"/>
      <c r="AX2618" s="7"/>
      <c r="BP2618" s="61"/>
      <c r="CF2618" s="104"/>
      <c r="CG2618" s="105"/>
      <c r="FK2618" s="7"/>
    </row>
    <row r="2619" spans="1:167">
      <c r="A2619" s="571"/>
      <c r="B2619" s="1008"/>
      <c r="C2619" s="7"/>
      <c r="P2619" s="7"/>
      <c r="AX2619" s="7"/>
      <c r="BP2619" s="61"/>
      <c r="CF2619" s="104"/>
      <c r="CG2619" s="105"/>
      <c r="FK2619" s="7"/>
    </row>
    <row r="2620" spans="1:167">
      <c r="A2620" s="571"/>
      <c r="B2620" s="1008"/>
      <c r="C2620" s="7"/>
      <c r="P2620" s="7"/>
      <c r="AX2620" s="7"/>
      <c r="BP2620" s="61"/>
      <c r="CF2620" s="104"/>
      <c r="CG2620" s="105"/>
      <c r="FK2620" s="7"/>
    </row>
    <row r="2621" spans="1:167">
      <c r="A2621" s="571"/>
      <c r="B2621" s="1008"/>
      <c r="C2621" s="7"/>
      <c r="P2621" s="7"/>
      <c r="AX2621" s="7"/>
      <c r="BP2621" s="61"/>
      <c r="CF2621" s="104"/>
      <c r="CG2621" s="105"/>
      <c r="FK2621" s="7"/>
    </row>
    <row r="2622" spans="1:167">
      <c r="A2622" s="571"/>
      <c r="B2622" s="1008"/>
      <c r="C2622" s="7"/>
      <c r="P2622" s="7"/>
      <c r="AX2622" s="7"/>
      <c r="BP2622" s="61"/>
      <c r="CF2622" s="104"/>
      <c r="CG2622" s="105"/>
      <c r="FK2622" s="7"/>
    </row>
    <row r="2623" spans="1:167">
      <c r="A2623" s="571"/>
      <c r="B2623" s="1008"/>
      <c r="C2623" s="7"/>
      <c r="P2623" s="7"/>
      <c r="AX2623" s="7"/>
      <c r="BP2623" s="61"/>
      <c r="CF2623" s="104"/>
      <c r="CG2623" s="105"/>
      <c r="FK2623" s="7"/>
    </row>
    <row r="2624" spans="1:167">
      <c r="A2624" s="571"/>
      <c r="B2624" s="1008"/>
      <c r="C2624" s="7"/>
      <c r="P2624" s="7"/>
      <c r="AX2624" s="7"/>
      <c r="BP2624" s="61"/>
      <c r="CF2624" s="104"/>
      <c r="CG2624" s="105"/>
      <c r="FK2624" s="7"/>
    </row>
    <row r="2625" spans="1:167">
      <c r="A2625" s="571"/>
      <c r="B2625" s="1008"/>
      <c r="C2625" s="7"/>
      <c r="P2625" s="7"/>
      <c r="AX2625" s="7"/>
      <c r="BP2625" s="61"/>
      <c r="CF2625" s="104"/>
      <c r="CG2625" s="105"/>
      <c r="FK2625" s="7"/>
    </row>
    <row r="2626" spans="1:167">
      <c r="A2626" s="571"/>
      <c r="B2626" s="1008"/>
      <c r="C2626" s="7"/>
      <c r="P2626" s="7"/>
      <c r="AX2626" s="7"/>
      <c r="BP2626" s="61"/>
      <c r="CF2626" s="104"/>
      <c r="CG2626" s="105"/>
      <c r="FK2626" s="7"/>
    </row>
    <row r="2627" spans="1:167">
      <c r="A2627" s="571"/>
      <c r="B2627" s="1008"/>
      <c r="C2627" s="7"/>
      <c r="P2627" s="7"/>
      <c r="AX2627" s="7"/>
      <c r="BP2627" s="61"/>
      <c r="CF2627" s="104"/>
      <c r="CG2627" s="105"/>
      <c r="FK2627" s="7"/>
    </row>
    <row r="2628" spans="1:167">
      <c r="A2628" s="571"/>
      <c r="B2628" s="1008"/>
      <c r="C2628" s="7"/>
      <c r="P2628" s="7"/>
      <c r="AX2628" s="7"/>
      <c r="BP2628" s="61"/>
      <c r="CF2628" s="104"/>
      <c r="CG2628" s="105"/>
      <c r="FK2628" s="7"/>
    </row>
    <row r="2629" spans="1:167">
      <c r="A2629" s="571"/>
      <c r="B2629" s="1008"/>
      <c r="C2629" s="7"/>
      <c r="P2629" s="7"/>
      <c r="AX2629" s="7"/>
      <c r="BP2629" s="61"/>
      <c r="CF2629" s="104"/>
      <c r="CG2629" s="105"/>
      <c r="FK2629" s="7"/>
    </row>
    <row r="2630" spans="1:167">
      <c r="A2630" s="571"/>
      <c r="B2630" s="1008"/>
      <c r="C2630" s="7"/>
      <c r="P2630" s="7"/>
      <c r="AX2630" s="7"/>
      <c r="BP2630" s="61"/>
      <c r="CF2630" s="104"/>
      <c r="CG2630" s="105"/>
      <c r="FK2630" s="7"/>
    </row>
    <row r="2631" spans="1:167">
      <c r="A2631" s="571"/>
      <c r="B2631" s="1008"/>
      <c r="C2631" s="7"/>
      <c r="P2631" s="7"/>
      <c r="AX2631" s="7"/>
      <c r="BP2631" s="61"/>
      <c r="CF2631" s="104"/>
      <c r="CG2631" s="105"/>
      <c r="FK2631" s="7"/>
    </row>
    <row r="2632" spans="1:167">
      <c r="A2632" s="571"/>
      <c r="B2632" s="1008"/>
      <c r="C2632" s="7"/>
      <c r="P2632" s="7"/>
      <c r="AX2632" s="7"/>
      <c r="BP2632" s="61"/>
      <c r="CF2632" s="104"/>
      <c r="CG2632" s="105"/>
      <c r="FK2632" s="7"/>
    </row>
    <row r="2633" spans="1:167">
      <c r="A2633" s="571"/>
      <c r="B2633" s="1008"/>
      <c r="C2633" s="7"/>
      <c r="P2633" s="7"/>
      <c r="AX2633" s="7"/>
      <c r="BP2633" s="61"/>
      <c r="CF2633" s="104"/>
      <c r="CG2633" s="105"/>
      <c r="FK2633" s="7"/>
    </row>
    <row r="2634" spans="1:167">
      <c r="A2634" s="571"/>
      <c r="B2634" s="1008"/>
      <c r="C2634" s="7"/>
      <c r="P2634" s="7"/>
      <c r="AX2634" s="7"/>
      <c r="BP2634" s="61"/>
      <c r="CF2634" s="104"/>
      <c r="CG2634" s="105"/>
      <c r="FK2634" s="7"/>
    </row>
    <row r="2635" spans="1:167">
      <c r="A2635" s="571"/>
      <c r="B2635" s="1008"/>
      <c r="C2635" s="7"/>
      <c r="P2635" s="7"/>
      <c r="AX2635" s="7"/>
      <c r="BP2635" s="61"/>
      <c r="CF2635" s="104"/>
      <c r="CG2635" s="105"/>
      <c r="FK2635" s="7"/>
    </row>
    <row r="2636" spans="1:167">
      <c r="A2636" s="571"/>
      <c r="B2636" s="1008"/>
      <c r="C2636" s="7"/>
      <c r="P2636" s="7"/>
      <c r="AX2636" s="7"/>
      <c r="BP2636" s="61"/>
      <c r="CF2636" s="104"/>
      <c r="CG2636" s="105"/>
      <c r="FK2636" s="7"/>
    </row>
    <row r="2637" spans="1:167">
      <c r="A2637" s="571"/>
      <c r="B2637" s="1008"/>
      <c r="C2637" s="7"/>
      <c r="P2637" s="7"/>
      <c r="AX2637" s="7"/>
      <c r="BP2637" s="61"/>
      <c r="CF2637" s="104"/>
      <c r="CG2637" s="105"/>
      <c r="FK2637" s="7"/>
    </row>
    <row r="2638" spans="1:167">
      <c r="A2638" s="571"/>
      <c r="B2638" s="1008"/>
      <c r="C2638" s="7"/>
      <c r="P2638" s="7"/>
      <c r="AX2638" s="7"/>
      <c r="BP2638" s="61"/>
      <c r="CF2638" s="104"/>
      <c r="CG2638" s="105"/>
      <c r="FK2638" s="7"/>
    </row>
    <row r="2639" spans="1:167">
      <c r="A2639" s="571"/>
      <c r="B2639" s="1008"/>
      <c r="C2639" s="7"/>
      <c r="P2639" s="7"/>
      <c r="AX2639" s="7"/>
      <c r="BP2639" s="61"/>
      <c r="CF2639" s="104"/>
      <c r="CG2639" s="105"/>
      <c r="FK2639" s="7"/>
    </row>
    <row r="2640" spans="1:167">
      <c r="A2640" s="571"/>
      <c r="B2640" s="1008"/>
      <c r="C2640" s="7"/>
      <c r="P2640" s="7"/>
      <c r="AX2640" s="7"/>
      <c r="BP2640" s="61"/>
      <c r="CF2640" s="104"/>
      <c r="CG2640" s="105"/>
      <c r="FK2640" s="7"/>
    </row>
    <row r="2641" spans="1:167">
      <c r="A2641" s="571"/>
      <c r="B2641" s="1008"/>
      <c r="C2641" s="7"/>
      <c r="P2641" s="7"/>
      <c r="AX2641" s="7"/>
      <c r="BP2641" s="61"/>
      <c r="CF2641" s="104"/>
      <c r="CG2641" s="105"/>
      <c r="FK2641" s="7"/>
    </row>
    <row r="2642" spans="1:167">
      <c r="A2642" s="571"/>
      <c r="B2642" s="1008"/>
      <c r="C2642" s="7"/>
      <c r="P2642" s="7"/>
      <c r="AX2642" s="7"/>
      <c r="BP2642" s="61"/>
      <c r="CF2642" s="104"/>
      <c r="CG2642" s="105"/>
      <c r="FK2642" s="7"/>
    </row>
    <row r="2643" spans="1:167">
      <c r="A2643" s="571"/>
      <c r="B2643" s="1008"/>
      <c r="C2643" s="7"/>
      <c r="P2643" s="7"/>
      <c r="AX2643" s="7"/>
      <c r="BP2643" s="61"/>
      <c r="CF2643" s="104"/>
      <c r="CG2643" s="105"/>
      <c r="FK2643" s="7"/>
    </row>
    <row r="2644" spans="1:167">
      <c r="A2644" s="571"/>
      <c r="B2644" s="1008"/>
      <c r="C2644" s="7"/>
      <c r="P2644" s="7"/>
      <c r="AX2644" s="7"/>
      <c r="BP2644" s="61"/>
      <c r="CF2644" s="104"/>
      <c r="CG2644" s="105"/>
      <c r="FK2644" s="7"/>
    </row>
    <row r="2645" spans="1:167">
      <c r="A2645" s="571"/>
      <c r="B2645" s="1008"/>
      <c r="C2645" s="7"/>
      <c r="P2645" s="7"/>
      <c r="AX2645" s="7"/>
      <c r="BP2645" s="61"/>
      <c r="CF2645" s="104"/>
      <c r="CG2645" s="105"/>
      <c r="FK2645" s="7"/>
    </row>
    <row r="2646" spans="1:167">
      <c r="A2646" s="571"/>
      <c r="B2646" s="1008"/>
      <c r="C2646" s="7"/>
      <c r="P2646" s="7"/>
      <c r="AX2646" s="7"/>
      <c r="BP2646" s="61"/>
      <c r="CF2646" s="104"/>
      <c r="CG2646" s="105"/>
      <c r="FK2646" s="7"/>
    </row>
    <row r="2647" spans="1:167">
      <c r="A2647" s="571"/>
      <c r="B2647" s="1008"/>
      <c r="C2647" s="7"/>
      <c r="P2647" s="7"/>
      <c r="AX2647" s="7"/>
      <c r="BP2647" s="61"/>
      <c r="CF2647" s="104"/>
      <c r="CG2647" s="105"/>
      <c r="FK2647" s="7"/>
    </row>
    <row r="2648" spans="1:167">
      <c r="A2648" s="571"/>
      <c r="B2648" s="1008"/>
      <c r="C2648" s="7"/>
      <c r="P2648" s="7"/>
      <c r="AX2648" s="7"/>
      <c r="BP2648" s="61"/>
      <c r="CF2648" s="104"/>
      <c r="CG2648" s="105"/>
      <c r="FK2648" s="7"/>
    </row>
    <row r="2649" spans="1:167">
      <c r="A2649" s="571"/>
      <c r="B2649" s="1008"/>
      <c r="C2649" s="7"/>
      <c r="P2649" s="7"/>
      <c r="AX2649" s="7"/>
      <c r="BP2649" s="61"/>
      <c r="CF2649" s="104"/>
      <c r="CG2649" s="105"/>
      <c r="FK2649" s="7"/>
    </row>
    <row r="2650" spans="1:167">
      <c r="A2650" s="571"/>
      <c r="B2650" s="1008"/>
      <c r="C2650" s="7"/>
      <c r="P2650" s="7"/>
      <c r="AX2650" s="7"/>
      <c r="BP2650" s="61"/>
      <c r="CF2650" s="104"/>
      <c r="CG2650" s="105"/>
      <c r="FK2650" s="7"/>
    </row>
    <row r="2651" spans="1:167">
      <c r="A2651" s="571"/>
      <c r="B2651" s="1008"/>
      <c r="C2651" s="7"/>
      <c r="P2651" s="7"/>
      <c r="AX2651" s="7"/>
      <c r="BP2651" s="61"/>
      <c r="CF2651" s="104"/>
      <c r="CG2651" s="105"/>
      <c r="FK2651" s="7"/>
    </row>
    <row r="2652" spans="1:167">
      <c r="A2652" s="571"/>
      <c r="B2652" s="1008"/>
      <c r="C2652" s="7"/>
      <c r="P2652" s="7"/>
      <c r="AX2652" s="7"/>
      <c r="BP2652" s="61"/>
      <c r="CF2652" s="104"/>
      <c r="CG2652" s="105"/>
      <c r="FK2652" s="7"/>
    </row>
    <row r="2653" spans="1:167">
      <c r="A2653" s="571"/>
      <c r="B2653" s="1008"/>
      <c r="C2653" s="7"/>
      <c r="P2653" s="7"/>
      <c r="AX2653" s="7"/>
      <c r="BP2653" s="61"/>
      <c r="CF2653" s="104"/>
      <c r="CG2653" s="105"/>
      <c r="FK2653" s="7"/>
    </row>
    <row r="2654" spans="1:167">
      <c r="A2654" s="571"/>
      <c r="B2654" s="1008"/>
      <c r="C2654" s="7"/>
      <c r="P2654" s="7"/>
      <c r="AX2654" s="7"/>
      <c r="BP2654" s="61"/>
      <c r="CF2654" s="104"/>
      <c r="CG2654" s="105"/>
      <c r="FK2654" s="7"/>
    </row>
    <row r="2655" spans="1:167">
      <c r="A2655" s="571"/>
      <c r="B2655" s="1008"/>
      <c r="C2655" s="7"/>
      <c r="P2655" s="7"/>
      <c r="AX2655" s="7"/>
      <c r="BP2655" s="61"/>
      <c r="CF2655" s="104"/>
      <c r="CG2655" s="105"/>
      <c r="FK2655" s="7"/>
    </row>
    <row r="2656" spans="1:167">
      <c r="A2656" s="571"/>
      <c r="B2656" s="1008"/>
      <c r="C2656" s="7"/>
      <c r="P2656" s="7"/>
      <c r="AX2656" s="7"/>
      <c r="BP2656" s="61"/>
      <c r="CF2656" s="104"/>
      <c r="CG2656" s="105"/>
      <c r="FK2656" s="7"/>
    </row>
    <row r="2657" spans="1:167">
      <c r="A2657" s="571"/>
      <c r="B2657" s="1008"/>
      <c r="C2657" s="7"/>
      <c r="P2657" s="7"/>
      <c r="AX2657" s="7"/>
      <c r="BP2657" s="61"/>
      <c r="CF2657" s="104"/>
      <c r="CG2657" s="105"/>
      <c r="FK2657" s="7"/>
    </row>
    <row r="2658" spans="1:167">
      <c r="A2658" s="571"/>
      <c r="B2658" s="1008"/>
      <c r="C2658" s="7"/>
      <c r="P2658" s="7"/>
      <c r="AX2658" s="7"/>
      <c r="BP2658" s="61"/>
      <c r="CF2658" s="104"/>
      <c r="CG2658" s="105"/>
      <c r="FK2658" s="7"/>
    </row>
    <row r="2659" spans="1:167">
      <c r="A2659" s="571"/>
      <c r="B2659" s="1008"/>
      <c r="C2659" s="7"/>
      <c r="P2659" s="7"/>
      <c r="AX2659" s="7"/>
      <c r="BP2659" s="61"/>
      <c r="CF2659" s="104"/>
      <c r="CG2659" s="105"/>
      <c r="FK2659" s="7"/>
    </row>
    <row r="2660" spans="1:167">
      <c r="A2660" s="571"/>
      <c r="B2660" s="1008"/>
      <c r="C2660" s="7"/>
      <c r="P2660" s="7"/>
      <c r="AX2660" s="7"/>
      <c r="BP2660" s="61"/>
      <c r="CF2660" s="104"/>
      <c r="CG2660" s="105"/>
      <c r="FK2660" s="7"/>
    </row>
    <row r="2661" spans="1:167">
      <c r="A2661" s="571"/>
      <c r="B2661" s="1008"/>
      <c r="C2661" s="7"/>
      <c r="P2661" s="7"/>
      <c r="AX2661" s="7"/>
      <c r="BP2661" s="61"/>
      <c r="CF2661" s="104"/>
      <c r="CG2661" s="105"/>
      <c r="FK2661" s="7"/>
    </row>
    <row r="2662" spans="1:167">
      <c r="A2662" s="571"/>
      <c r="B2662" s="1008"/>
      <c r="C2662" s="7"/>
      <c r="P2662" s="7"/>
      <c r="AX2662" s="7"/>
      <c r="BP2662" s="61"/>
      <c r="CF2662" s="104"/>
      <c r="CG2662" s="105"/>
      <c r="FK2662" s="7"/>
    </row>
    <row r="2663" spans="1:167">
      <c r="A2663" s="571"/>
      <c r="B2663" s="1008"/>
      <c r="C2663" s="7"/>
      <c r="P2663" s="7"/>
      <c r="AX2663" s="7"/>
      <c r="BP2663" s="61"/>
      <c r="CF2663" s="104"/>
      <c r="CG2663" s="105"/>
      <c r="FK2663" s="7"/>
    </row>
    <row r="2664" spans="1:167">
      <c r="A2664" s="571"/>
      <c r="B2664" s="1008"/>
      <c r="C2664" s="7"/>
      <c r="P2664" s="7"/>
      <c r="AX2664" s="7"/>
      <c r="BP2664" s="61"/>
      <c r="CF2664" s="104"/>
      <c r="CG2664" s="105"/>
      <c r="FK2664" s="7"/>
    </row>
    <row r="2665" spans="1:167">
      <c r="A2665" s="571"/>
      <c r="B2665" s="1008"/>
      <c r="C2665" s="7"/>
      <c r="P2665" s="7"/>
      <c r="AX2665" s="7"/>
      <c r="BP2665" s="61"/>
      <c r="CF2665" s="104"/>
      <c r="CG2665" s="105"/>
      <c r="FK2665" s="7"/>
    </row>
    <row r="2666" spans="1:167">
      <c r="A2666" s="571"/>
      <c r="B2666" s="1008"/>
      <c r="C2666" s="7"/>
      <c r="P2666" s="7"/>
      <c r="AX2666" s="7"/>
      <c r="BP2666" s="61"/>
      <c r="CF2666" s="104"/>
      <c r="CG2666" s="105"/>
      <c r="FK2666" s="7"/>
    </row>
    <row r="2667" spans="1:167">
      <c r="A2667" s="571"/>
      <c r="B2667" s="1008"/>
      <c r="C2667" s="7"/>
      <c r="P2667" s="7"/>
      <c r="AX2667" s="7"/>
      <c r="BP2667" s="61"/>
      <c r="CF2667" s="104"/>
      <c r="CG2667" s="105"/>
      <c r="FK2667" s="7"/>
    </row>
    <row r="2668" spans="1:167">
      <c r="A2668" s="571"/>
      <c r="B2668" s="1008"/>
      <c r="C2668" s="7"/>
      <c r="P2668" s="7"/>
      <c r="AX2668" s="7"/>
      <c r="BP2668" s="61"/>
      <c r="CF2668" s="104"/>
      <c r="CG2668" s="105"/>
      <c r="FK2668" s="7"/>
    </row>
    <row r="2669" spans="1:167">
      <c r="A2669" s="571"/>
      <c r="B2669" s="1008"/>
      <c r="C2669" s="7"/>
      <c r="P2669" s="7"/>
      <c r="AX2669" s="7"/>
      <c r="BP2669" s="61"/>
      <c r="CF2669" s="104"/>
      <c r="CG2669" s="105"/>
      <c r="FK2669" s="7"/>
    </row>
    <row r="2670" spans="1:167">
      <c r="A2670" s="571"/>
      <c r="B2670" s="1008"/>
      <c r="C2670" s="7"/>
      <c r="P2670" s="7"/>
      <c r="AX2670" s="7"/>
      <c r="BP2670" s="61"/>
      <c r="CF2670" s="104"/>
      <c r="CG2670" s="105"/>
      <c r="FK2670" s="7"/>
    </row>
    <row r="2671" spans="1:167">
      <c r="A2671" s="571"/>
      <c r="B2671" s="1008"/>
      <c r="C2671" s="7"/>
      <c r="P2671" s="7"/>
      <c r="AX2671" s="7"/>
      <c r="BP2671" s="61"/>
      <c r="CF2671" s="104"/>
      <c r="CG2671" s="105"/>
      <c r="FK2671" s="7"/>
    </row>
    <row r="2672" spans="1:167">
      <c r="A2672" s="571"/>
      <c r="B2672" s="1008"/>
      <c r="C2672" s="7"/>
      <c r="P2672" s="7"/>
      <c r="AX2672" s="7"/>
      <c r="BP2672" s="61"/>
      <c r="CF2672" s="104"/>
      <c r="CG2672" s="105"/>
      <c r="FK2672" s="7"/>
    </row>
    <row r="2673" spans="1:167">
      <c r="A2673" s="571"/>
      <c r="B2673" s="1008"/>
      <c r="C2673" s="7"/>
      <c r="P2673" s="7"/>
      <c r="AX2673" s="7"/>
      <c r="BP2673" s="61"/>
      <c r="CF2673" s="104"/>
      <c r="CG2673" s="105"/>
      <c r="FK2673" s="7"/>
    </row>
    <row r="2674" spans="1:167">
      <c r="A2674" s="571"/>
      <c r="B2674" s="1008"/>
      <c r="C2674" s="7"/>
      <c r="P2674" s="7"/>
      <c r="AX2674" s="7"/>
      <c r="BP2674" s="61"/>
      <c r="CF2674" s="104"/>
      <c r="CG2674" s="105"/>
      <c r="FK2674" s="7"/>
    </row>
    <row r="2675" spans="1:167">
      <c r="A2675" s="571"/>
      <c r="B2675" s="1008"/>
      <c r="C2675" s="7"/>
      <c r="P2675" s="7"/>
      <c r="AX2675" s="7"/>
      <c r="BP2675" s="61"/>
      <c r="CF2675" s="104"/>
      <c r="CG2675" s="105"/>
      <c r="FK2675" s="7"/>
    </row>
    <row r="2676" spans="1:167">
      <c r="A2676" s="571"/>
      <c r="B2676" s="1008"/>
      <c r="C2676" s="7"/>
      <c r="P2676" s="7"/>
      <c r="AX2676" s="7"/>
      <c r="BP2676" s="61"/>
      <c r="CF2676" s="104"/>
      <c r="CG2676" s="105"/>
      <c r="FK2676" s="7"/>
    </row>
    <row r="2677" spans="1:167">
      <c r="A2677" s="571"/>
      <c r="B2677" s="1008"/>
      <c r="C2677" s="7"/>
      <c r="P2677" s="7"/>
      <c r="AX2677" s="7"/>
      <c r="BP2677" s="61"/>
      <c r="CF2677" s="104"/>
      <c r="CG2677" s="105"/>
      <c r="FK2677" s="7"/>
    </row>
    <row r="2678" spans="1:167">
      <c r="A2678" s="571"/>
      <c r="B2678" s="1008"/>
      <c r="C2678" s="7"/>
      <c r="P2678" s="7"/>
      <c r="AX2678" s="7"/>
      <c r="BP2678" s="61"/>
      <c r="CF2678" s="104"/>
      <c r="CG2678" s="105"/>
      <c r="FK2678" s="7"/>
    </row>
    <row r="2679" spans="1:167">
      <c r="A2679" s="571"/>
      <c r="B2679" s="1008"/>
      <c r="C2679" s="7"/>
      <c r="P2679" s="7"/>
      <c r="AX2679" s="7"/>
      <c r="BP2679" s="61"/>
      <c r="CF2679" s="104"/>
      <c r="CG2679" s="105"/>
      <c r="FK2679" s="7"/>
    </row>
    <row r="2680" spans="1:167">
      <c r="A2680" s="571"/>
      <c r="B2680" s="1008"/>
      <c r="C2680" s="7"/>
      <c r="P2680" s="7"/>
      <c r="AX2680" s="7"/>
      <c r="BP2680" s="61"/>
      <c r="CF2680" s="104"/>
      <c r="CG2680" s="105"/>
      <c r="FK2680" s="7"/>
    </row>
    <row r="2681" spans="1:167">
      <c r="A2681" s="571"/>
      <c r="B2681" s="1008"/>
      <c r="C2681" s="7"/>
      <c r="P2681" s="7"/>
      <c r="AX2681" s="7"/>
      <c r="BP2681" s="61"/>
      <c r="CF2681" s="104"/>
      <c r="CG2681" s="105"/>
      <c r="FK2681" s="7"/>
    </row>
    <row r="2682" spans="1:167">
      <c r="A2682" s="571"/>
      <c r="B2682" s="1008"/>
      <c r="C2682" s="7"/>
      <c r="P2682" s="7"/>
      <c r="AX2682" s="7"/>
      <c r="BP2682" s="61"/>
      <c r="CF2682" s="104"/>
      <c r="CG2682" s="105"/>
      <c r="FK2682" s="7"/>
    </row>
    <row r="2683" spans="1:167">
      <c r="A2683" s="571"/>
      <c r="B2683" s="1008"/>
      <c r="C2683" s="7"/>
      <c r="P2683" s="7"/>
      <c r="AX2683" s="7"/>
      <c r="BP2683" s="61"/>
      <c r="CF2683" s="104"/>
      <c r="CG2683" s="105"/>
      <c r="FK2683" s="7"/>
    </row>
    <row r="2684" spans="1:167">
      <c r="A2684" s="571"/>
      <c r="B2684" s="1008"/>
      <c r="C2684" s="7"/>
      <c r="P2684" s="7"/>
      <c r="AX2684" s="7"/>
      <c r="BP2684" s="61"/>
      <c r="CF2684" s="104"/>
      <c r="CG2684" s="105"/>
      <c r="FK2684" s="7"/>
    </row>
    <row r="2685" spans="1:167">
      <c r="A2685" s="571"/>
      <c r="B2685" s="1008"/>
      <c r="C2685" s="7"/>
      <c r="P2685" s="7"/>
      <c r="AX2685" s="7"/>
      <c r="BP2685" s="61"/>
      <c r="CF2685" s="104"/>
      <c r="CG2685" s="105"/>
      <c r="FK2685" s="7"/>
    </row>
    <row r="2686" spans="1:167">
      <c r="A2686" s="571"/>
      <c r="B2686" s="1008"/>
      <c r="C2686" s="7"/>
      <c r="P2686" s="7"/>
      <c r="AX2686" s="7"/>
      <c r="BP2686" s="61"/>
      <c r="CF2686" s="104"/>
      <c r="CG2686" s="105"/>
      <c r="FK2686" s="7"/>
    </row>
    <row r="2687" spans="1:167">
      <c r="A2687" s="571"/>
      <c r="B2687" s="1008"/>
      <c r="C2687" s="7"/>
      <c r="P2687" s="7"/>
      <c r="AX2687" s="7"/>
      <c r="BP2687" s="61"/>
      <c r="CF2687" s="104"/>
      <c r="CG2687" s="105"/>
      <c r="FK2687" s="7"/>
    </row>
    <row r="2688" spans="1:167">
      <c r="A2688" s="571"/>
      <c r="B2688" s="1008"/>
      <c r="C2688" s="7"/>
      <c r="P2688" s="7"/>
      <c r="AX2688" s="7"/>
      <c r="BP2688" s="61"/>
      <c r="CF2688" s="104"/>
      <c r="CG2688" s="105"/>
      <c r="FK2688" s="7"/>
    </row>
    <row r="2689" spans="1:167">
      <c r="A2689" s="571"/>
      <c r="B2689" s="1008"/>
      <c r="C2689" s="7"/>
      <c r="P2689" s="7"/>
      <c r="AX2689" s="7"/>
      <c r="BP2689" s="61"/>
      <c r="CF2689" s="104"/>
      <c r="CG2689" s="105"/>
      <c r="FK2689" s="7"/>
    </row>
    <row r="2690" spans="1:167">
      <c r="A2690" s="571"/>
      <c r="B2690" s="1008"/>
      <c r="C2690" s="7"/>
      <c r="P2690" s="7"/>
      <c r="AX2690" s="7"/>
      <c r="BP2690" s="61"/>
      <c r="CF2690" s="104"/>
      <c r="CG2690" s="105"/>
      <c r="FK2690" s="7"/>
    </row>
    <row r="2691" spans="1:167">
      <c r="A2691" s="571"/>
      <c r="B2691" s="1008"/>
      <c r="C2691" s="7"/>
      <c r="P2691" s="7"/>
      <c r="AX2691" s="7"/>
      <c r="BP2691" s="61"/>
      <c r="CF2691" s="104"/>
      <c r="CG2691" s="105"/>
      <c r="FK2691" s="7"/>
    </row>
    <row r="2692" spans="1:167">
      <c r="A2692" s="571"/>
      <c r="B2692" s="1008"/>
      <c r="C2692" s="7"/>
      <c r="P2692" s="7"/>
      <c r="AX2692" s="7"/>
      <c r="BP2692" s="61"/>
      <c r="CF2692" s="104"/>
      <c r="CG2692" s="105"/>
      <c r="FK2692" s="7"/>
    </row>
    <row r="2693" spans="1:167">
      <c r="A2693" s="571"/>
      <c r="B2693" s="1008"/>
      <c r="C2693" s="7"/>
      <c r="P2693" s="7"/>
      <c r="AX2693" s="7"/>
      <c r="BP2693" s="61"/>
      <c r="CF2693" s="104"/>
      <c r="CG2693" s="105"/>
      <c r="FK2693" s="7"/>
    </row>
    <row r="2694" spans="1:167">
      <c r="A2694" s="571"/>
      <c r="B2694" s="1008"/>
      <c r="C2694" s="7"/>
      <c r="P2694" s="7"/>
      <c r="AX2694" s="7"/>
      <c r="BP2694" s="61"/>
      <c r="CF2694" s="104"/>
      <c r="CG2694" s="105"/>
      <c r="FK2694" s="7"/>
    </row>
    <row r="2695" spans="1:167">
      <c r="A2695" s="571"/>
      <c r="B2695" s="1008"/>
      <c r="C2695" s="7"/>
      <c r="P2695" s="7"/>
      <c r="AX2695" s="7"/>
      <c r="BP2695" s="61"/>
      <c r="CF2695" s="104"/>
      <c r="CG2695" s="105"/>
      <c r="FK2695" s="7"/>
    </row>
    <row r="2696" spans="1:167">
      <c r="A2696" s="571"/>
      <c r="B2696" s="1008"/>
      <c r="C2696" s="7"/>
      <c r="P2696" s="7"/>
      <c r="AX2696" s="7"/>
      <c r="BP2696" s="61"/>
      <c r="CF2696" s="104"/>
      <c r="CG2696" s="105"/>
      <c r="FK2696" s="7"/>
    </row>
    <row r="2697" spans="1:167">
      <c r="A2697" s="571"/>
      <c r="B2697" s="1008"/>
      <c r="C2697" s="7"/>
      <c r="P2697" s="7"/>
      <c r="AX2697" s="7"/>
      <c r="BP2697" s="61"/>
      <c r="CF2697" s="104"/>
      <c r="CG2697" s="105"/>
      <c r="FK2697" s="7"/>
    </row>
    <row r="2698" spans="1:167">
      <c r="A2698" s="571"/>
      <c r="B2698" s="1008"/>
      <c r="C2698" s="7"/>
      <c r="P2698" s="7"/>
      <c r="AX2698" s="7"/>
      <c r="BP2698" s="61"/>
      <c r="CF2698" s="104"/>
      <c r="CG2698" s="105"/>
      <c r="FK2698" s="7"/>
    </row>
    <row r="2699" spans="1:167">
      <c r="A2699" s="571"/>
      <c r="B2699" s="1008"/>
      <c r="C2699" s="7"/>
      <c r="P2699" s="7"/>
      <c r="AX2699" s="7"/>
      <c r="BP2699" s="61"/>
      <c r="CF2699" s="104"/>
      <c r="CG2699" s="105"/>
      <c r="FK2699" s="7"/>
    </row>
    <row r="2700" spans="1:167">
      <c r="A2700" s="571"/>
      <c r="B2700" s="1008"/>
      <c r="C2700" s="7"/>
      <c r="P2700" s="7"/>
      <c r="AX2700" s="7"/>
      <c r="BP2700" s="61"/>
      <c r="CF2700" s="104"/>
      <c r="CG2700" s="105"/>
      <c r="FK2700" s="7"/>
    </row>
    <row r="2701" spans="1:167">
      <c r="A2701" s="571"/>
      <c r="B2701" s="1008"/>
      <c r="C2701" s="7"/>
      <c r="P2701" s="7"/>
      <c r="AX2701" s="7"/>
      <c r="BP2701" s="61"/>
      <c r="CF2701" s="104"/>
      <c r="CG2701" s="105"/>
      <c r="FK2701" s="7"/>
    </row>
    <row r="2702" spans="1:167">
      <c r="A2702" s="571"/>
      <c r="B2702" s="1008"/>
      <c r="C2702" s="7"/>
      <c r="P2702" s="7"/>
      <c r="AX2702" s="7"/>
      <c r="BP2702" s="61"/>
      <c r="CF2702" s="104"/>
      <c r="CG2702" s="105"/>
      <c r="FK2702" s="7"/>
    </row>
    <row r="2703" spans="1:167">
      <c r="A2703" s="571"/>
      <c r="B2703" s="1008"/>
      <c r="C2703" s="7"/>
      <c r="P2703" s="7"/>
      <c r="AX2703" s="7"/>
      <c r="BP2703" s="61"/>
      <c r="CF2703" s="104"/>
      <c r="CG2703" s="105"/>
      <c r="FK2703" s="7"/>
    </row>
    <row r="2704" spans="1:167">
      <c r="A2704" s="571"/>
      <c r="B2704" s="1008"/>
      <c r="C2704" s="7"/>
      <c r="P2704" s="7"/>
      <c r="AX2704" s="7"/>
      <c r="BP2704" s="61"/>
      <c r="CF2704" s="104"/>
      <c r="CG2704" s="105"/>
      <c r="FK2704" s="7"/>
    </row>
    <row r="2705" spans="1:167">
      <c r="A2705" s="571"/>
      <c r="B2705" s="1008"/>
      <c r="C2705" s="7"/>
      <c r="P2705" s="7"/>
      <c r="AX2705" s="7"/>
      <c r="BP2705" s="61"/>
      <c r="CF2705" s="104"/>
      <c r="CG2705" s="105"/>
      <c r="FK2705" s="7"/>
    </row>
    <row r="2706" spans="1:167">
      <c r="A2706" s="571"/>
      <c r="B2706" s="1008"/>
      <c r="C2706" s="7"/>
      <c r="P2706" s="7"/>
      <c r="AX2706" s="7"/>
      <c r="BP2706" s="61"/>
      <c r="CF2706" s="104"/>
      <c r="CG2706" s="105"/>
      <c r="FK2706" s="7"/>
    </row>
    <row r="2707" spans="1:167">
      <c r="A2707" s="571"/>
      <c r="B2707" s="1008"/>
      <c r="C2707" s="7"/>
      <c r="P2707" s="7"/>
      <c r="AX2707" s="7"/>
      <c r="BP2707" s="61"/>
      <c r="CF2707" s="104"/>
      <c r="CG2707" s="105"/>
      <c r="FK2707" s="7"/>
    </row>
    <row r="2708" spans="1:167">
      <c r="A2708" s="571"/>
      <c r="B2708" s="1008"/>
      <c r="C2708" s="7"/>
      <c r="P2708" s="7"/>
      <c r="AX2708" s="7"/>
      <c r="BP2708" s="61"/>
      <c r="CF2708" s="104"/>
      <c r="CG2708" s="105"/>
      <c r="FK2708" s="7"/>
    </row>
    <row r="2709" spans="1:167">
      <c r="A2709" s="571"/>
      <c r="B2709" s="1008"/>
      <c r="C2709" s="7"/>
      <c r="P2709" s="7"/>
      <c r="AX2709" s="7"/>
      <c r="BP2709" s="61"/>
      <c r="CF2709" s="104"/>
      <c r="CG2709" s="105"/>
      <c r="FK2709" s="7"/>
    </row>
    <row r="2710" spans="1:167">
      <c r="A2710" s="571"/>
      <c r="B2710" s="1008"/>
      <c r="C2710" s="7"/>
      <c r="P2710" s="7"/>
      <c r="AX2710" s="7"/>
      <c r="BP2710" s="61"/>
      <c r="CF2710" s="104"/>
      <c r="CG2710" s="105"/>
      <c r="FK2710" s="7"/>
    </row>
    <row r="2711" spans="1:167">
      <c r="A2711" s="571"/>
      <c r="B2711" s="1008"/>
      <c r="C2711" s="7"/>
      <c r="P2711" s="7"/>
      <c r="AX2711" s="7"/>
      <c r="BP2711" s="61"/>
      <c r="CF2711" s="104"/>
      <c r="CG2711" s="105"/>
      <c r="FK2711" s="7"/>
    </row>
    <row r="2712" spans="1:167">
      <c r="A2712" s="571"/>
      <c r="B2712" s="1008"/>
      <c r="C2712" s="7"/>
      <c r="P2712" s="7"/>
      <c r="AX2712" s="7"/>
      <c r="BP2712" s="61"/>
      <c r="CF2712" s="104"/>
      <c r="CG2712" s="105"/>
      <c r="FK2712" s="7"/>
    </row>
    <row r="2713" spans="1:167">
      <c r="A2713" s="571"/>
      <c r="B2713" s="1008"/>
      <c r="C2713" s="7"/>
      <c r="P2713" s="7"/>
      <c r="AX2713" s="7"/>
      <c r="BP2713" s="61"/>
      <c r="CF2713" s="104"/>
      <c r="CG2713" s="105"/>
      <c r="FK2713" s="7"/>
    </row>
    <row r="2714" spans="1:167">
      <c r="A2714" s="571"/>
      <c r="B2714" s="1008"/>
      <c r="C2714" s="7"/>
      <c r="P2714" s="7"/>
      <c r="AX2714" s="7"/>
      <c r="BP2714" s="61"/>
      <c r="CF2714" s="104"/>
      <c r="CG2714" s="105"/>
      <c r="FK2714" s="7"/>
    </row>
    <row r="2715" spans="1:167">
      <c r="A2715" s="571"/>
      <c r="B2715" s="1008"/>
      <c r="C2715" s="7"/>
      <c r="P2715" s="7"/>
      <c r="AX2715" s="7"/>
      <c r="BP2715" s="61"/>
      <c r="CF2715" s="104"/>
      <c r="CG2715" s="105"/>
      <c r="FK2715" s="7"/>
    </row>
    <row r="2716" spans="1:167">
      <c r="A2716" s="571"/>
      <c r="B2716" s="1008"/>
      <c r="C2716" s="7"/>
      <c r="P2716" s="7"/>
      <c r="AX2716" s="7"/>
      <c r="BP2716" s="61"/>
      <c r="CF2716" s="104"/>
      <c r="CG2716" s="105"/>
      <c r="FK2716" s="7"/>
    </row>
    <row r="2717" spans="1:167">
      <c r="A2717" s="571"/>
      <c r="B2717" s="1008"/>
      <c r="C2717" s="7"/>
      <c r="P2717" s="7"/>
      <c r="AX2717" s="7"/>
      <c r="BP2717" s="61"/>
      <c r="CF2717" s="104"/>
      <c r="CG2717" s="105"/>
      <c r="FK2717" s="7"/>
    </row>
    <row r="2718" spans="1:167">
      <c r="A2718" s="571"/>
      <c r="B2718" s="1008"/>
      <c r="C2718" s="7"/>
      <c r="P2718" s="7"/>
      <c r="AX2718" s="7"/>
      <c r="BP2718" s="61"/>
      <c r="CF2718" s="104"/>
      <c r="CG2718" s="105"/>
      <c r="FK2718" s="7"/>
    </row>
    <row r="2719" spans="1:167">
      <c r="A2719" s="571"/>
      <c r="B2719" s="1008"/>
      <c r="C2719" s="7"/>
      <c r="P2719" s="7"/>
      <c r="AX2719" s="7"/>
      <c r="BP2719" s="61"/>
      <c r="CF2719" s="104"/>
      <c r="CG2719" s="105"/>
      <c r="FK2719" s="7"/>
    </row>
    <row r="2720" spans="1:167">
      <c r="A2720" s="571"/>
      <c r="B2720" s="1008"/>
      <c r="C2720" s="7"/>
      <c r="P2720" s="7"/>
      <c r="AX2720" s="7"/>
      <c r="BP2720" s="61"/>
      <c r="CF2720" s="104"/>
      <c r="CG2720" s="105"/>
      <c r="FK2720" s="7"/>
    </row>
    <row r="2721" spans="1:167">
      <c r="A2721" s="571"/>
      <c r="B2721" s="1008"/>
      <c r="C2721" s="7"/>
      <c r="P2721" s="7"/>
      <c r="AX2721" s="7"/>
      <c r="BP2721" s="61"/>
      <c r="CF2721" s="104"/>
      <c r="CG2721" s="105"/>
      <c r="FK2721" s="7"/>
    </row>
    <row r="2722" spans="1:167">
      <c r="A2722" s="571"/>
      <c r="B2722" s="1008"/>
      <c r="C2722" s="7"/>
      <c r="P2722" s="7"/>
      <c r="AX2722" s="7"/>
      <c r="BP2722" s="61"/>
      <c r="CF2722" s="104"/>
      <c r="CG2722" s="105"/>
      <c r="FK2722" s="7"/>
    </row>
    <row r="2723" spans="1:167">
      <c r="A2723" s="571"/>
      <c r="B2723" s="1008"/>
      <c r="C2723" s="7"/>
      <c r="P2723" s="7"/>
      <c r="AX2723" s="7"/>
      <c r="BP2723" s="61"/>
      <c r="CF2723" s="104"/>
      <c r="CG2723" s="105"/>
      <c r="FK2723" s="7"/>
    </row>
    <row r="2724" spans="1:167">
      <c r="A2724" s="571"/>
      <c r="B2724" s="1008"/>
      <c r="C2724" s="7"/>
      <c r="P2724" s="7"/>
      <c r="AX2724" s="7"/>
      <c r="BP2724" s="61"/>
      <c r="CF2724" s="104"/>
      <c r="CG2724" s="105"/>
      <c r="FK2724" s="7"/>
    </row>
    <row r="2725" spans="1:167">
      <c r="A2725" s="571"/>
      <c r="B2725" s="1008"/>
      <c r="C2725" s="7"/>
      <c r="P2725" s="7"/>
      <c r="AX2725" s="7"/>
      <c r="BP2725" s="61"/>
      <c r="CF2725" s="104"/>
      <c r="CG2725" s="105"/>
      <c r="FK2725" s="7"/>
    </row>
    <row r="2726" spans="1:167">
      <c r="A2726" s="571"/>
      <c r="B2726" s="1008"/>
      <c r="C2726" s="7"/>
      <c r="P2726" s="7"/>
      <c r="AX2726" s="7"/>
      <c r="BP2726" s="61"/>
      <c r="CF2726" s="104"/>
      <c r="CG2726" s="105"/>
      <c r="FK2726" s="7"/>
    </row>
    <row r="2727" spans="1:167">
      <c r="A2727" s="571"/>
      <c r="B2727" s="1008"/>
      <c r="C2727" s="7"/>
      <c r="P2727" s="7"/>
      <c r="AX2727" s="7"/>
      <c r="BP2727" s="61"/>
      <c r="CF2727" s="104"/>
      <c r="CG2727" s="105"/>
      <c r="FK2727" s="7"/>
    </row>
    <row r="2728" spans="1:167">
      <c r="A2728" s="571"/>
      <c r="B2728" s="1008"/>
      <c r="C2728" s="7"/>
      <c r="P2728" s="7"/>
      <c r="AX2728" s="7"/>
      <c r="BP2728" s="61"/>
      <c r="CF2728" s="104"/>
      <c r="CG2728" s="105"/>
      <c r="FK2728" s="7"/>
    </row>
    <row r="2729" spans="1:167">
      <c r="A2729" s="571"/>
      <c r="B2729" s="1008"/>
      <c r="C2729" s="7"/>
      <c r="P2729" s="7"/>
      <c r="AX2729" s="7"/>
      <c r="BP2729" s="61"/>
      <c r="CF2729" s="104"/>
      <c r="CG2729" s="105"/>
      <c r="FK2729" s="7"/>
    </row>
    <row r="2730" spans="1:167">
      <c r="A2730" s="571"/>
      <c r="B2730" s="1008"/>
      <c r="C2730" s="7"/>
      <c r="P2730" s="7"/>
      <c r="AX2730" s="7"/>
      <c r="BP2730" s="61"/>
      <c r="CF2730" s="104"/>
      <c r="CG2730" s="105"/>
      <c r="FK2730" s="7"/>
    </row>
    <row r="2731" spans="1:167">
      <c r="A2731" s="571"/>
      <c r="B2731" s="1008"/>
      <c r="C2731" s="7"/>
      <c r="P2731" s="7"/>
      <c r="AX2731" s="7"/>
      <c r="BP2731" s="61"/>
      <c r="CF2731" s="104"/>
      <c r="CG2731" s="105"/>
      <c r="FK2731" s="7"/>
    </row>
    <row r="2732" spans="1:167">
      <c r="A2732" s="571"/>
      <c r="B2732" s="1008"/>
      <c r="C2732" s="7"/>
      <c r="P2732" s="7"/>
      <c r="AX2732" s="7"/>
      <c r="BP2732" s="61"/>
      <c r="CF2732" s="104"/>
      <c r="CG2732" s="105"/>
      <c r="FK2732" s="7"/>
    </row>
    <row r="2733" spans="1:167">
      <c r="A2733" s="571"/>
      <c r="B2733" s="1008"/>
      <c r="C2733" s="7"/>
      <c r="P2733" s="7"/>
      <c r="AX2733" s="7"/>
      <c r="BP2733" s="61"/>
      <c r="CF2733" s="104"/>
      <c r="CG2733" s="105"/>
      <c r="FK2733" s="7"/>
    </row>
    <row r="2734" spans="1:167">
      <c r="A2734" s="571"/>
      <c r="B2734" s="1008"/>
      <c r="C2734" s="7"/>
      <c r="P2734" s="7"/>
      <c r="AX2734" s="7"/>
      <c r="BP2734" s="61"/>
      <c r="CF2734" s="104"/>
      <c r="CG2734" s="105"/>
      <c r="FK2734" s="7"/>
    </row>
    <row r="2735" spans="1:167">
      <c r="A2735" s="571"/>
      <c r="B2735" s="1008"/>
      <c r="C2735" s="7"/>
      <c r="P2735" s="7"/>
      <c r="AX2735" s="7"/>
      <c r="BP2735" s="61"/>
      <c r="CF2735" s="104"/>
      <c r="CG2735" s="105"/>
      <c r="FK2735" s="7"/>
    </row>
    <row r="2736" spans="1:167">
      <c r="A2736" s="571"/>
      <c r="B2736" s="1008"/>
      <c r="C2736" s="7"/>
      <c r="P2736" s="7"/>
      <c r="AX2736" s="7"/>
      <c r="BP2736" s="61"/>
      <c r="CF2736" s="104"/>
      <c r="CG2736" s="105"/>
      <c r="FK2736" s="7"/>
    </row>
    <row r="2737" spans="1:167">
      <c r="A2737" s="571"/>
      <c r="B2737" s="1008"/>
      <c r="C2737" s="7"/>
      <c r="P2737" s="7"/>
      <c r="AX2737" s="7"/>
      <c r="BP2737" s="61"/>
      <c r="CF2737" s="104"/>
      <c r="CG2737" s="105"/>
      <c r="FK2737" s="7"/>
    </row>
    <row r="2738" spans="1:167">
      <c r="A2738" s="571"/>
      <c r="B2738" s="1008"/>
      <c r="C2738" s="7"/>
      <c r="P2738" s="7"/>
      <c r="AX2738" s="7"/>
      <c r="BP2738" s="61"/>
      <c r="CF2738" s="104"/>
      <c r="CG2738" s="105"/>
      <c r="FK2738" s="7"/>
    </row>
    <row r="2739" spans="1:167">
      <c r="A2739" s="571"/>
      <c r="B2739" s="1008"/>
      <c r="C2739" s="7"/>
      <c r="P2739" s="7"/>
      <c r="AX2739" s="7"/>
      <c r="BP2739" s="61"/>
      <c r="CF2739" s="104"/>
      <c r="CG2739" s="105"/>
      <c r="FK2739" s="7"/>
    </row>
    <row r="2740" spans="1:167">
      <c r="A2740" s="571"/>
      <c r="B2740" s="1008"/>
      <c r="C2740" s="7"/>
      <c r="P2740" s="7"/>
      <c r="AX2740" s="7"/>
      <c r="BP2740" s="61"/>
      <c r="CF2740" s="104"/>
      <c r="CG2740" s="105"/>
      <c r="FK2740" s="7"/>
    </row>
    <row r="2741" spans="1:167">
      <c r="A2741" s="571"/>
      <c r="B2741" s="1008"/>
      <c r="C2741" s="7"/>
      <c r="P2741" s="7"/>
      <c r="AX2741" s="7"/>
      <c r="BP2741" s="61"/>
      <c r="CF2741" s="104"/>
      <c r="CG2741" s="105"/>
      <c r="FK2741" s="7"/>
    </row>
    <row r="2742" spans="1:167">
      <c r="A2742" s="571"/>
      <c r="B2742" s="1008"/>
      <c r="C2742" s="7"/>
      <c r="P2742" s="7"/>
      <c r="AX2742" s="7"/>
      <c r="BP2742" s="61"/>
      <c r="CF2742" s="104"/>
      <c r="CG2742" s="105"/>
      <c r="FK2742" s="7"/>
    </row>
    <row r="2743" spans="1:167">
      <c r="A2743" s="571"/>
      <c r="B2743" s="1008"/>
      <c r="C2743" s="7"/>
      <c r="P2743" s="7"/>
      <c r="AX2743" s="7"/>
      <c r="BP2743" s="61"/>
      <c r="CF2743" s="104"/>
      <c r="CG2743" s="105"/>
      <c r="FK2743" s="7"/>
    </row>
    <row r="2744" spans="1:167">
      <c r="A2744" s="571"/>
      <c r="B2744" s="1008"/>
      <c r="C2744" s="7"/>
      <c r="P2744" s="7"/>
      <c r="AX2744" s="7"/>
      <c r="BP2744" s="61"/>
      <c r="CF2744" s="104"/>
      <c r="CG2744" s="105"/>
      <c r="FK2744" s="7"/>
    </row>
    <row r="2745" spans="1:167">
      <c r="A2745" s="571"/>
      <c r="B2745" s="1008"/>
      <c r="C2745" s="7"/>
      <c r="P2745" s="7"/>
      <c r="AX2745" s="7"/>
      <c r="BP2745" s="61"/>
      <c r="CF2745" s="104"/>
      <c r="CG2745" s="105"/>
      <c r="FK2745" s="7"/>
    </row>
    <row r="2746" spans="1:167">
      <c r="A2746" s="571"/>
      <c r="B2746" s="1008"/>
      <c r="C2746" s="7"/>
      <c r="P2746" s="7"/>
      <c r="AX2746" s="7"/>
      <c r="BP2746" s="61"/>
      <c r="CF2746" s="104"/>
      <c r="CG2746" s="105"/>
      <c r="FK2746" s="7"/>
    </row>
    <row r="2747" spans="1:167">
      <c r="A2747" s="571"/>
      <c r="B2747" s="1008"/>
      <c r="C2747" s="7"/>
      <c r="P2747" s="7"/>
      <c r="AX2747" s="7"/>
      <c r="BP2747" s="61"/>
      <c r="CF2747" s="104"/>
      <c r="CG2747" s="105"/>
      <c r="FK2747" s="7"/>
    </row>
    <row r="2748" spans="1:167">
      <c r="A2748" s="571"/>
      <c r="B2748" s="1008"/>
      <c r="C2748" s="7"/>
      <c r="P2748" s="7"/>
      <c r="AX2748" s="7"/>
      <c r="BP2748" s="61"/>
      <c r="CF2748" s="104"/>
      <c r="CG2748" s="105"/>
      <c r="FK2748" s="7"/>
    </row>
    <row r="2749" spans="1:167">
      <c r="A2749" s="571"/>
      <c r="B2749" s="1008"/>
      <c r="C2749" s="7"/>
      <c r="P2749" s="7"/>
      <c r="AX2749" s="7"/>
      <c r="BP2749" s="61"/>
      <c r="CF2749" s="104"/>
      <c r="CG2749" s="105"/>
      <c r="FK2749" s="7"/>
    </row>
    <row r="2750" spans="1:167">
      <c r="A2750" s="571"/>
      <c r="B2750" s="1008"/>
      <c r="C2750" s="7"/>
      <c r="P2750" s="7"/>
      <c r="AX2750" s="7"/>
      <c r="BP2750" s="61"/>
      <c r="CF2750" s="104"/>
      <c r="CG2750" s="105"/>
      <c r="FK2750" s="7"/>
    </row>
    <row r="2751" spans="1:167">
      <c r="A2751" s="571"/>
      <c r="B2751" s="1008"/>
      <c r="C2751" s="7"/>
      <c r="P2751" s="7"/>
      <c r="AX2751" s="7"/>
      <c r="BP2751" s="61"/>
      <c r="CF2751" s="104"/>
      <c r="CG2751" s="105"/>
      <c r="FK2751" s="7"/>
    </row>
    <row r="2752" spans="1:167">
      <c r="A2752" s="571"/>
      <c r="B2752" s="1008"/>
      <c r="C2752" s="7"/>
      <c r="P2752" s="7"/>
      <c r="AX2752" s="7"/>
      <c r="BP2752" s="61"/>
      <c r="CF2752" s="104"/>
      <c r="CG2752" s="105"/>
      <c r="FK2752" s="7"/>
    </row>
    <row r="2753" spans="1:167">
      <c r="A2753" s="571"/>
      <c r="B2753" s="1008"/>
      <c r="C2753" s="7"/>
      <c r="P2753" s="7"/>
      <c r="AX2753" s="7"/>
      <c r="BP2753" s="61"/>
      <c r="CF2753" s="104"/>
      <c r="CG2753" s="105"/>
      <c r="FK2753" s="7"/>
    </row>
    <row r="2754" spans="1:167">
      <c r="A2754" s="571"/>
      <c r="B2754" s="1008"/>
      <c r="C2754" s="7"/>
      <c r="P2754" s="7"/>
      <c r="AX2754" s="7"/>
      <c r="BP2754" s="61"/>
      <c r="CF2754" s="104"/>
      <c r="CG2754" s="105"/>
      <c r="FK2754" s="7"/>
    </row>
    <row r="2755" spans="1:167">
      <c r="A2755" s="571"/>
      <c r="B2755" s="1008"/>
      <c r="C2755" s="7"/>
      <c r="P2755" s="7"/>
      <c r="AX2755" s="7"/>
      <c r="BP2755" s="61"/>
      <c r="CF2755" s="104"/>
      <c r="CG2755" s="105"/>
      <c r="FK2755" s="7"/>
    </row>
    <row r="2756" spans="1:167">
      <c r="A2756" s="571"/>
      <c r="B2756" s="1008"/>
      <c r="C2756" s="7"/>
      <c r="P2756" s="7"/>
      <c r="AX2756" s="7"/>
      <c r="BP2756" s="61"/>
      <c r="CF2756" s="104"/>
      <c r="CG2756" s="105"/>
      <c r="FK2756" s="7"/>
    </row>
    <row r="2757" spans="1:167">
      <c r="A2757" s="571"/>
      <c r="B2757" s="1008"/>
      <c r="C2757" s="7"/>
      <c r="P2757" s="7"/>
      <c r="AX2757" s="7"/>
      <c r="BP2757" s="61"/>
      <c r="CF2757" s="104"/>
      <c r="CG2757" s="105"/>
      <c r="FK2757" s="7"/>
    </row>
    <row r="2758" spans="1:167">
      <c r="A2758" s="571"/>
      <c r="B2758" s="1008"/>
      <c r="C2758" s="7"/>
      <c r="P2758" s="7"/>
      <c r="AX2758" s="7"/>
      <c r="BP2758" s="61"/>
      <c r="CF2758" s="104"/>
      <c r="CG2758" s="105"/>
      <c r="FK2758" s="7"/>
    </row>
    <row r="2759" spans="1:167">
      <c r="A2759" s="571"/>
      <c r="B2759" s="1008"/>
      <c r="C2759" s="7"/>
      <c r="P2759" s="7"/>
      <c r="AX2759" s="7"/>
      <c r="BP2759" s="61"/>
      <c r="CF2759" s="104"/>
      <c r="CG2759" s="105"/>
      <c r="FK2759" s="7"/>
    </row>
    <row r="2760" spans="1:167">
      <c r="A2760" s="571"/>
      <c r="B2760" s="1008"/>
      <c r="C2760" s="7"/>
      <c r="P2760" s="7"/>
      <c r="AX2760" s="7"/>
      <c r="BP2760" s="61"/>
      <c r="CF2760" s="104"/>
      <c r="CG2760" s="105"/>
      <c r="FK2760" s="7"/>
    </row>
    <row r="2761" spans="1:167">
      <c r="A2761" s="571"/>
      <c r="B2761" s="1008"/>
      <c r="C2761" s="7"/>
      <c r="P2761" s="7"/>
      <c r="AX2761" s="7"/>
      <c r="BP2761" s="61"/>
      <c r="CF2761" s="104"/>
      <c r="CG2761" s="105"/>
      <c r="FK2761" s="7"/>
    </row>
    <row r="2762" spans="1:167">
      <c r="A2762" s="571"/>
      <c r="B2762" s="1008"/>
      <c r="C2762" s="7"/>
      <c r="P2762" s="7"/>
      <c r="AX2762" s="7"/>
      <c r="BP2762" s="61"/>
      <c r="CF2762" s="104"/>
      <c r="CG2762" s="105"/>
      <c r="FK2762" s="7"/>
    </row>
    <row r="2763" spans="1:167">
      <c r="A2763" s="571"/>
      <c r="B2763" s="1008"/>
      <c r="C2763" s="7"/>
      <c r="P2763" s="7"/>
      <c r="AX2763" s="7"/>
      <c r="BP2763" s="61"/>
      <c r="CF2763" s="104"/>
      <c r="CG2763" s="105"/>
      <c r="FK2763" s="7"/>
    </row>
    <row r="2764" spans="1:167">
      <c r="A2764" s="571"/>
      <c r="B2764" s="1008"/>
      <c r="C2764" s="7"/>
      <c r="P2764" s="7"/>
      <c r="AX2764" s="7"/>
      <c r="BP2764" s="61"/>
      <c r="CF2764" s="104"/>
      <c r="CG2764" s="105"/>
      <c r="FK2764" s="7"/>
    </row>
    <row r="2765" spans="1:167">
      <c r="A2765" s="571"/>
      <c r="B2765" s="1008"/>
      <c r="C2765" s="7"/>
      <c r="P2765" s="7"/>
      <c r="AX2765" s="7"/>
      <c r="BP2765" s="61"/>
      <c r="CF2765" s="104"/>
      <c r="CG2765" s="105"/>
      <c r="FK2765" s="7"/>
    </row>
    <row r="2766" spans="1:167">
      <c r="A2766" s="571"/>
      <c r="B2766" s="1008"/>
      <c r="C2766" s="7"/>
      <c r="P2766" s="7"/>
      <c r="AX2766" s="7"/>
      <c r="BP2766" s="61"/>
      <c r="CF2766" s="104"/>
      <c r="CG2766" s="105"/>
      <c r="FK2766" s="7"/>
    </row>
    <row r="2767" spans="1:167">
      <c r="A2767" s="571"/>
      <c r="B2767" s="1008"/>
      <c r="C2767" s="7"/>
      <c r="P2767" s="7"/>
      <c r="AX2767" s="7"/>
      <c r="BP2767" s="61"/>
      <c r="CF2767" s="104"/>
      <c r="CG2767" s="105"/>
      <c r="FK2767" s="7"/>
    </row>
    <row r="2768" spans="1:167">
      <c r="A2768" s="571"/>
      <c r="B2768" s="1008"/>
      <c r="C2768" s="7"/>
      <c r="P2768" s="7"/>
      <c r="AX2768" s="7"/>
      <c r="BP2768" s="61"/>
      <c r="CF2768" s="104"/>
      <c r="CG2768" s="105"/>
      <c r="FK2768" s="7"/>
    </row>
    <row r="2769" spans="1:167">
      <c r="A2769" s="571"/>
      <c r="B2769" s="1008"/>
      <c r="C2769" s="7"/>
      <c r="P2769" s="7"/>
      <c r="AX2769" s="7"/>
      <c r="BP2769" s="61"/>
      <c r="CF2769" s="104"/>
      <c r="CG2769" s="105"/>
      <c r="FK2769" s="7"/>
    </row>
    <row r="2770" spans="1:167">
      <c r="A2770" s="571"/>
      <c r="B2770" s="1008"/>
      <c r="C2770" s="7"/>
      <c r="P2770" s="7"/>
      <c r="AX2770" s="7"/>
      <c r="BP2770" s="61"/>
      <c r="CF2770" s="104"/>
      <c r="CG2770" s="105"/>
      <c r="FK2770" s="7"/>
    </row>
    <row r="2771" spans="1:167">
      <c r="A2771" s="571"/>
      <c r="B2771" s="1008"/>
      <c r="C2771" s="7"/>
      <c r="P2771" s="7"/>
      <c r="AX2771" s="7"/>
      <c r="BP2771" s="61"/>
      <c r="CF2771" s="104"/>
      <c r="CG2771" s="105"/>
      <c r="FK2771" s="7"/>
    </row>
    <row r="2772" spans="1:167">
      <c r="A2772" s="571"/>
      <c r="B2772" s="1008"/>
      <c r="C2772" s="7"/>
      <c r="P2772" s="7"/>
      <c r="AX2772" s="7"/>
      <c r="BP2772" s="61"/>
      <c r="CF2772" s="104"/>
      <c r="CG2772" s="105"/>
      <c r="FK2772" s="7"/>
    </row>
    <row r="2773" spans="1:167">
      <c r="A2773" s="571"/>
      <c r="B2773" s="1008"/>
      <c r="C2773" s="7"/>
      <c r="P2773" s="7"/>
      <c r="AX2773" s="7"/>
      <c r="BP2773" s="61"/>
      <c r="CF2773" s="104"/>
      <c r="CG2773" s="105"/>
      <c r="FK2773" s="7"/>
    </row>
    <row r="2774" spans="1:167">
      <c r="A2774" s="571"/>
      <c r="B2774" s="1008"/>
      <c r="C2774" s="7"/>
      <c r="P2774" s="7"/>
      <c r="AX2774" s="7"/>
      <c r="BP2774" s="61"/>
      <c r="CF2774" s="104"/>
      <c r="CG2774" s="105"/>
      <c r="FK2774" s="7"/>
    </row>
    <row r="2775" spans="1:167">
      <c r="A2775" s="571"/>
      <c r="B2775" s="1008"/>
      <c r="C2775" s="7"/>
      <c r="P2775" s="7"/>
      <c r="AX2775" s="7"/>
      <c r="BP2775" s="61"/>
      <c r="CF2775" s="104"/>
      <c r="CG2775" s="105"/>
      <c r="FK2775" s="7"/>
    </row>
    <row r="2776" spans="1:167">
      <c r="A2776" s="571"/>
      <c r="B2776" s="1008"/>
      <c r="C2776" s="7"/>
      <c r="P2776" s="7"/>
      <c r="AX2776" s="7"/>
      <c r="BP2776" s="61"/>
      <c r="CF2776" s="104"/>
      <c r="CG2776" s="105"/>
      <c r="FK2776" s="7"/>
    </row>
    <row r="2777" spans="1:167">
      <c r="A2777" s="571"/>
      <c r="B2777" s="1008"/>
      <c r="C2777" s="7"/>
      <c r="P2777" s="7"/>
      <c r="AX2777" s="7"/>
      <c r="BP2777" s="61"/>
      <c r="CF2777" s="104"/>
      <c r="CG2777" s="105"/>
      <c r="FK2777" s="7"/>
    </row>
    <row r="2778" spans="1:167">
      <c r="A2778" s="571"/>
      <c r="B2778" s="1008"/>
      <c r="C2778" s="7"/>
      <c r="P2778" s="7"/>
      <c r="AX2778" s="7"/>
      <c r="BP2778" s="61"/>
      <c r="CF2778" s="104"/>
      <c r="CG2778" s="105"/>
      <c r="FK2778" s="7"/>
    </row>
    <row r="2779" spans="1:167">
      <c r="A2779" s="571"/>
      <c r="B2779" s="1008"/>
      <c r="C2779" s="7"/>
      <c r="P2779" s="7"/>
      <c r="AX2779" s="7"/>
      <c r="BP2779" s="61"/>
      <c r="CF2779" s="104"/>
      <c r="CG2779" s="105"/>
      <c r="FK2779" s="7"/>
    </row>
    <row r="2780" spans="1:167">
      <c r="A2780" s="571"/>
      <c r="B2780" s="1008"/>
      <c r="C2780" s="7"/>
      <c r="P2780" s="7"/>
      <c r="AX2780" s="7"/>
      <c r="BP2780" s="61"/>
      <c r="CF2780" s="104"/>
      <c r="CG2780" s="105"/>
      <c r="FK2780" s="7"/>
    </row>
    <row r="2781" spans="1:167">
      <c r="A2781" s="571"/>
      <c r="B2781" s="1008"/>
      <c r="C2781" s="7"/>
      <c r="P2781" s="7"/>
      <c r="AX2781" s="7"/>
      <c r="BP2781" s="61"/>
      <c r="CF2781" s="104"/>
      <c r="CG2781" s="105"/>
      <c r="FK2781" s="7"/>
    </row>
    <row r="2782" spans="1:167">
      <c r="A2782" s="571"/>
      <c r="B2782" s="1008"/>
      <c r="C2782" s="7"/>
      <c r="P2782" s="7"/>
      <c r="AX2782" s="7"/>
      <c r="BP2782" s="61"/>
      <c r="CF2782" s="104"/>
      <c r="CG2782" s="105"/>
      <c r="FK2782" s="7"/>
    </row>
    <row r="2783" spans="1:167">
      <c r="A2783" s="571"/>
      <c r="B2783" s="1008"/>
      <c r="C2783" s="7"/>
      <c r="P2783" s="7"/>
      <c r="AX2783" s="7"/>
      <c r="BP2783" s="61"/>
      <c r="CF2783" s="104"/>
      <c r="CG2783" s="105"/>
      <c r="FK2783" s="7"/>
    </row>
    <row r="2784" spans="1:167">
      <c r="A2784" s="571"/>
      <c r="B2784" s="1008"/>
      <c r="C2784" s="7"/>
      <c r="P2784" s="7"/>
      <c r="AX2784" s="7"/>
      <c r="BP2784" s="61"/>
      <c r="CF2784" s="104"/>
      <c r="CG2784" s="105"/>
      <c r="FK2784" s="7"/>
    </row>
    <row r="2785" spans="1:167">
      <c r="A2785" s="571"/>
      <c r="B2785" s="1008"/>
      <c r="C2785" s="7"/>
      <c r="P2785" s="7"/>
      <c r="AX2785" s="7"/>
      <c r="BP2785" s="61"/>
      <c r="CF2785" s="104"/>
      <c r="CG2785" s="105"/>
      <c r="FK2785" s="7"/>
    </row>
    <row r="2786" spans="1:167">
      <c r="A2786" s="571"/>
      <c r="B2786" s="1008"/>
      <c r="C2786" s="7"/>
      <c r="P2786" s="7"/>
      <c r="AX2786" s="7"/>
      <c r="BP2786" s="61"/>
      <c r="CF2786" s="104"/>
      <c r="CG2786" s="105"/>
      <c r="FK2786" s="7"/>
    </row>
    <row r="2787" spans="1:167">
      <c r="A2787" s="571"/>
      <c r="B2787" s="1008"/>
      <c r="C2787" s="7"/>
      <c r="P2787" s="7"/>
      <c r="AX2787" s="7"/>
      <c r="BP2787" s="61"/>
      <c r="CF2787" s="104"/>
      <c r="CG2787" s="105"/>
      <c r="FK2787" s="7"/>
    </row>
    <row r="2788" spans="1:167">
      <c r="A2788" s="571"/>
      <c r="B2788" s="1008"/>
      <c r="C2788" s="7"/>
      <c r="P2788" s="7"/>
      <c r="AX2788" s="7"/>
      <c r="BP2788" s="61"/>
      <c r="CF2788" s="104"/>
      <c r="CG2788" s="105"/>
      <c r="FK2788" s="7"/>
    </row>
    <row r="2789" spans="1:167">
      <c r="A2789" s="571"/>
      <c r="B2789" s="1008"/>
      <c r="C2789" s="7"/>
      <c r="P2789" s="7"/>
      <c r="AX2789" s="7"/>
      <c r="BP2789" s="61"/>
      <c r="CF2789" s="104"/>
      <c r="CG2789" s="105"/>
      <c r="FK2789" s="7"/>
    </row>
    <row r="2790" spans="1:167">
      <c r="A2790" s="571"/>
      <c r="B2790" s="1008"/>
      <c r="C2790" s="7"/>
      <c r="P2790" s="7"/>
      <c r="AX2790" s="7"/>
      <c r="BP2790" s="61"/>
      <c r="CF2790" s="104"/>
      <c r="CG2790" s="105"/>
      <c r="FK2790" s="7"/>
    </row>
    <row r="2791" spans="1:167">
      <c r="A2791" s="571"/>
      <c r="B2791" s="1008"/>
      <c r="C2791" s="7"/>
      <c r="P2791" s="7"/>
      <c r="AX2791" s="7"/>
      <c r="BP2791" s="61"/>
      <c r="CF2791" s="104"/>
      <c r="CG2791" s="105"/>
      <c r="FK2791" s="7"/>
    </row>
    <row r="2792" spans="1:167">
      <c r="A2792" s="571"/>
      <c r="B2792" s="1008"/>
      <c r="C2792" s="7"/>
      <c r="P2792" s="7"/>
      <c r="AX2792" s="7"/>
      <c r="BP2792" s="61"/>
      <c r="CF2792" s="104"/>
      <c r="CG2792" s="105"/>
      <c r="FK2792" s="7"/>
    </row>
    <row r="2793" spans="1:167">
      <c r="A2793" s="571"/>
      <c r="B2793" s="1008"/>
      <c r="C2793" s="7"/>
      <c r="P2793" s="7"/>
      <c r="AX2793" s="7"/>
      <c r="BP2793" s="61"/>
      <c r="CF2793" s="104"/>
      <c r="CG2793" s="105"/>
      <c r="FK2793" s="7"/>
    </row>
    <row r="2794" spans="1:167">
      <c r="A2794" s="571"/>
      <c r="B2794" s="1008"/>
      <c r="C2794" s="7"/>
      <c r="P2794" s="7"/>
      <c r="AX2794" s="7"/>
      <c r="BP2794" s="61"/>
      <c r="CF2794" s="104"/>
      <c r="CG2794" s="105"/>
      <c r="FK2794" s="7"/>
    </row>
    <row r="2795" spans="1:167">
      <c r="A2795" s="571"/>
      <c r="B2795" s="1008"/>
      <c r="C2795" s="7"/>
      <c r="P2795" s="7"/>
      <c r="AX2795" s="7"/>
      <c r="BP2795" s="61"/>
      <c r="CF2795" s="104"/>
      <c r="CG2795" s="105"/>
      <c r="FK2795" s="7"/>
    </row>
    <row r="2796" spans="1:167">
      <c r="A2796" s="571"/>
      <c r="B2796" s="1008"/>
      <c r="C2796" s="7"/>
      <c r="P2796" s="7"/>
      <c r="AX2796" s="7"/>
      <c r="BP2796" s="61"/>
      <c r="CF2796" s="104"/>
      <c r="CG2796" s="105"/>
      <c r="FK2796" s="7"/>
    </row>
    <row r="2797" spans="1:167">
      <c r="A2797" s="571"/>
      <c r="B2797" s="1008"/>
      <c r="C2797" s="7"/>
      <c r="P2797" s="7"/>
      <c r="AX2797" s="7"/>
      <c r="BP2797" s="61"/>
      <c r="CF2797" s="104"/>
      <c r="CG2797" s="105"/>
      <c r="FK2797" s="7"/>
    </row>
    <row r="2798" spans="1:167">
      <c r="A2798" s="571"/>
      <c r="B2798" s="1008"/>
      <c r="C2798" s="7"/>
      <c r="P2798" s="7"/>
      <c r="AX2798" s="7"/>
      <c r="BP2798" s="61"/>
      <c r="CF2798" s="104"/>
      <c r="CG2798" s="105"/>
      <c r="FK2798" s="7"/>
    </row>
    <row r="2799" spans="1:167">
      <c r="A2799" s="571"/>
      <c r="B2799" s="1008"/>
      <c r="C2799" s="7"/>
      <c r="P2799" s="7"/>
      <c r="AX2799" s="7"/>
      <c r="BP2799" s="61"/>
      <c r="CF2799" s="104"/>
      <c r="CG2799" s="105"/>
      <c r="FK2799" s="7"/>
    </row>
    <row r="2800" spans="1:167">
      <c r="A2800" s="571"/>
      <c r="B2800" s="1008"/>
      <c r="C2800" s="7"/>
      <c r="P2800" s="7"/>
      <c r="AX2800" s="7"/>
      <c r="BP2800" s="61"/>
      <c r="CF2800" s="104"/>
      <c r="CG2800" s="105"/>
      <c r="FK2800" s="7"/>
    </row>
    <row r="2801" spans="1:167">
      <c r="A2801" s="571"/>
      <c r="B2801" s="1008"/>
      <c r="C2801" s="7"/>
      <c r="P2801" s="7"/>
      <c r="AX2801" s="7"/>
      <c r="BP2801" s="61"/>
      <c r="CF2801" s="104"/>
      <c r="CG2801" s="105"/>
      <c r="FK2801" s="7"/>
    </row>
    <row r="2802" spans="1:167">
      <c r="A2802" s="571"/>
      <c r="B2802" s="1008"/>
      <c r="C2802" s="7"/>
      <c r="P2802" s="7"/>
      <c r="AX2802" s="7"/>
      <c r="BP2802" s="61"/>
      <c r="CF2802" s="104"/>
      <c r="CG2802" s="105"/>
      <c r="FK2802" s="7"/>
    </row>
    <row r="2803" spans="1:167">
      <c r="A2803" s="571"/>
      <c r="B2803" s="1008"/>
      <c r="C2803" s="7"/>
      <c r="P2803" s="7"/>
      <c r="AX2803" s="7"/>
      <c r="BP2803" s="61"/>
      <c r="CF2803" s="104"/>
      <c r="CG2803" s="105"/>
      <c r="FK2803" s="7"/>
    </row>
    <row r="2804" spans="1:167">
      <c r="A2804" s="571"/>
      <c r="B2804" s="1008"/>
      <c r="C2804" s="7"/>
      <c r="P2804" s="7"/>
      <c r="AX2804" s="7"/>
      <c r="BP2804" s="61"/>
      <c r="CF2804" s="104"/>
      <c r="CG2804" s="105"/>
      <c r="FK2804" s="7"/>
    </row>
    <row r="2805" spans="1:167">
      <c r="A2805" s="571"/>
      <c r="B2805" s="1008"/>
      <c r="C2805" s="7"/>
      <c r="P2805" s="7"/>
      <c r="AX2805" s="7"/>
      <c r="BP2805" s="61"/>
      <c r="CF2805" s="104"/>
      <c r="CG2805" s="105"/>
      <c r="FK2805" s="7"/>
    </row>
    <row r="2806" spans="1:167">
      <c r="A2806" s="571"/>
      <c r="B2806" s="1008"/>
      <c r="C2806" s="7"/>
      <c r="P2806" s="7"/>
      <c r="AX2806" s="7"/>
      <c r="BP2806" s="61"/>
      <c r="CF2806" s="104"/>
      <c r="CG2806" s="105"/>
      <c r="FK2806" s="7"/>
    </row>
    <row r="2807" spans="1:167">
      <c r="A2807" s="571"/>
      <c r="B2807" s="1008"/>
      <c r="C2807" s="7"/>
      <c r="P2807" s="7"/>
      <c r="AX2807" s="7"/>
      <c r="BP2807" s="61"/>
      <c r="CF2807" s="104"/>
      <c r="CG2807" s="105"/>
      <c r="FK2807" s="7"/>
    </row>
    <row r="2808" spans="1:167">
      <c r="A2808" s="571"/>
      <c r="B2808" s="1008"/>
      <c r="C2808" s="7"/>
      <c r="P2808" s="7"/>
      <c r="AX2808" s="7"/>
      <c r="BP2808" s="61"/>
      <c r="CF2808" s="104"/>
      <c r="CG2808" s="105"/>
      <c r="FK2808" s="7"/>
    </row>
    <row r="2809" spans="1:167">
      <c r="A2809" s="571"/>
      <c r="B2809" s="1008"/>
      <c r="C2809" s="7"/>
      <c r="P2809" s="7"/>
      <c r="AX2809" s="7"/>
      <c r="BP2809" s="61"/>
      <c r="CF2809" s="104"/>
      <c r="CG2809" s="105"/>
      <c r="FK2809" s="7"/>
    </row>
    <row r="2810" spans="1:167">
      <c r="A2810" s="571"/>
      <c r="B2810" s="1008"/>
      <c r="C2810" s="7"/>
      <c r="P2810" s="7"/>
      <c r="AX2810" s="7"/>
      <c r="BP2810" s="61"/>
      <c r="CF2810" s="104"/>
      <c r="CG2810" s="105"/>
      <c r="FK2810" s="7"/>
    </row>
    <row r="2811" spans="1:167">
      <c r="A2811" s="571"/>
      <c r="B2811" s="1008"/>
      <c r="C2811" s="7"/>
      <c r="P2811" s="7"/>
      <c r="AX2811" s="7"/>
      <c r="BP2811" s="61"/>
      <c r="CF2811" s="104"/>
      <c r="CG2811" s="105"/>
      <c r="FK2811" s="7"/>
    </row>
    <row r="2812" spans="1:167">
      <c r="A2812" s="571"/>
      <c r="B2812" s="1008"/>
      <c r="C2812" s="7"/>
      <c r="P2812" s="7"/>
      <c r="AX2812" s="7"/>
      <c r="BP2812" s="61"/>
      <c r="CF2812" s="104"/>
      <c r="CG2812" s="105"/>
      <c r="FK2812" s="7"/>
    </row>
    <row r="2813" spans="1:167">
      <c r="A2813" s="571"/>
      <c r="B2813" s="1008"/>
      <c r="C2813" s="7"/>
      <c r="P2813" s="7"/>
      <c r="AX2813" s="7"/>
      <c r="BP2813" s="61"/>
      <c r="CF2813" s="104"/>
      <c r="CG2813" s="105"/>
      <c r="FK2813" s="7"/>
    </row>
    <row r="2814" spans="1:167">
      <c r="A2814" s="571"/>
      <c r="B2814" s="1008"/>
      <c r="C2814" s="7"/>
      <c r="P2814" s="7"/>
      <c r="AX2814" s="7"/>
      <c r="BP2814" s="61"/>
      <c r="CF2814" s="104"/>
      <c r="CG2814" s="105"/>
      <c r="FK2814" s="7"/>
    </row>
    <row r="2815" spans="1:167">
      <c r="A2815" s="571"/>
      <c r="B2815" s="1008"/>
      <c r="C2815" s="7"/>
      <c r="P2815" s="7"/>
      <c r="AX2815" s="7"/>
      <c r="BP2815" s="61"/>
      <c r="CF2815" s="104"/>
      <c r="CG2815" s="105"/>
      <c r="FK2815" s="7"/>
    </row>
    <row r="2816" spans="1:167">
      <c r="A2816" s="571"/>
      <c r="B2816" s="1008"/>
      <c r="C2816" s="7"/>
      <c r="P2816" s="7"/>
      <c r="AX2816" s="7"/>
      <c r="BP2816" s="61"/>
      <c r="CF2816" s="104"/>
      <c r="CG2816" s="105"/>
      <c r="FK2816" s="7"/>
    </row>
    <row r="2817" spans="1:167">
      <c r="A2817" s="571"/>
      <c r="B2817" s="1008"/>
      <c r="C2817" s="7"/>
      <c r="P2817" s="7"/>
      <c r="AX2817" s="7"/>
      <c r="BP2817" s="61"/>
      <c r="CF2817" s="104"/>
      <c r="CG2817" s="105"/>
      <c r="FK2817" s="7"/>
    </row>
    <row r="2818" spans="1:167">
      <c r="A2818" s="571"/>
      <c r="B2818" s="1008"/>
      <c r="C2818" s="7"/>
      <c r="P2818" s="7"/>
      <c r="AX2818" s="7"/>
      <c r="BP2818" s="61"/>
      <c r="CF2818" s="104"/>
      <c r="CG2818" s="105"/>
      <c r="FK2818" s="7"/>
    </row>
    <row r="2819" spans="1:167">
      <c r="A2819" s="571"/>
      <c r="B2819" s="1008"/>
      <c r="C2819" s="7"/>
      <c r="P2819" s="7"/>
      <c r="AX2819" s="7"/>
      <c r="BP2819" s="61"/>
      <c r="CF2819" s="104"/>
      <c r="CG2819" s="105"/>
      <c r="FK2819" s="7"/>
    </row>
    <row r="2820" spans="1:167">
      <c r="A2820" s="571"/>
      <c r="B2820" s="1008"/>
      <c r="C2820" s="7"/>
      <c r="P2820" s="7"/>
      <c r="AX2820" s="7"/>
      <c r="BP2820" s="61"/>
      <c r="CF2820" s="104"/>
      <c r="CG2820" s="105"/>
      <c r="FK2820" s="7"/>
    </row>
    <row r="2821" spans="1:167">
      <c r="A2821" s="571"/>
      <c r="B2821" s="1008"/>
      <c r="C2821" s="7"/>
      <c r="P2821" s="7"/>
      <c r="AX2821" s="7"/>
      <c r="BP2821" s="61"/>
      <c r="CF2821" s="104"/>
      <c r="CG2821" s="105"/>
      <c r="FK2821" s="7"/>
    </row>
    <row r="2822" spans="1:167">
      <c r="A2822" s="571"/>
      <c r="B2822" s="1008"/>
      <c r="C2822" s="7"/>
      <c r="P2822" s="7"/>
      <c r="AX2822" s="7"/>
      <c r="BP2822" s="61"/>
      <c r="CF2822" s="104"/>
      <c r="CG2822" s="105"/>
      <c r="FK2822" s="7"/>
    </row>
    <row r="2823" spans="1:167">
      <c r="A2823" s="571"/>
      <c r="B2823" s="1008"/>
      <c r="C2823" s="7"/>
      <c r="P2823" s="7"/>
      <c r="AX2823" s="7"/>
      <c r="BP2823" s="61"/>
      <c r="CF2823" s="104"/>
      <c r="CG2823" s="105"/>
      <c r="FK2823" s="7"/>
    </row>
    <row r="2824" spans="1:167">
      <c r="A2824" s="571"/>
      <c r="B2824" s="1008"/>
      <c r="C2824" s="7"/>
      <c r="P2824" s="7"/>
      <c r="AX2824" s="7"/>
      <c r="BP2824" s="61"/>
      <c r="CF2824" s="104"/>
      <c r="CG2824" s="105"/>
      <c r="FK2824" s="7"/>
    </row>
    <row r="2825" spans="1:167">
      <c r="A2825" s="571"/>
      <c r="B2825" s="1008"/>
      <c r="C2825" s="7"/>
      <c r="P2825" s="7"/>
      <c r="AX2825" s="7"/>
      <c r="BP2825" s="61"/>
      <c r="CF2825" s="104"/>
      <c r="CG2825" s="105"/>
      <c r="FK2825" s="7"/>
    </row>
    <row r="2826" spans="1:167">
      <c r="A2826" s="571"/>
      <c r="B2826" s="1008"/>
      <c r="C2826" s="7"/>
      <c r="P2826" s="7"/>
      <c r="AX2826" s="7"/>
      <c r="BP2826" s="61"/>
      <c r="CF2826" s="104"/>
      <c r="CG2826" s="105"/>
      <c r="FK2826" s="7"/>
    </row>
    <row r="2827" spans="1:167">
      <c r="A2827" s="571"/>
      <c r="B2827" s="1008"/>
      <c r="C2827" s="7"/>
      <c r="P2827" s="7"/>
      <c r="AX2827" s="7"/>
      <c r="BP2827" s="61"/>
      <c r="CF2827" s="104"/>
      <c r="CG2827" s="105"/>
      <c r="FK2827" s="7"/>
    </row>
    <row r="2828" spans="1:167">
      <c r="A2828" s="571"/>
      <c r="B2828" s="1008"/>
      <c r="C2828" s="7"/>
      <c r="P2828" s="7"/>
      <c r="AX2828" s="7"/>
      <c r="BP2828" s="61"/>
      <c r="CF2828" s="104"/>
      <c r="CG2828" s="105"/>
      <c r="FK2828" s="7"/>
    </row>
    <row r="2829" spans="1:167">
      <c r="A2829" s="571"/>
      <c r="B2829" s="1008"/>
      <c r="C2829" s="7"/>
      <c r="P2829" s="7"/>
      <c r="AX2829" s="7"/>
      <c r="BP2829" s="61"/>
      <c r="CF2829" s="104"/>
      <c r="CG2829" s="105"/>
      <c r="FK2829" s="7"/>
    </row>
    <row r="2830" spans="1:167">
      <c r="A2830" s="571"/>
      <c r="B2830" s="1008"/>
      <c r="C2830" s="7"/>
      <c r="P2830" s="7"/>
      <c r="AX2830" s="7"/>
      <c r="BP2830" s="61"/>
      <c r="CF2830" s="104"/>
      <c r="CG2830" s="105"/>
      <c r="FK2830" s="7"/>
    </row>
    <row r="2831" spans="1:167">
      <c r="A2831" s="571"/>
      <c r="B2831" s="1008"/>
      <c r="C2831" s="7"/>
      <c r="P2831" s="7"/>
      <c r="AX2831" s="7"/>
      <c r="BP2831" s="61"/>
      <c r="CF2831" s="104"/>
      <c r="CG2831" s="105"/>
      <c r="FK2831" s="7"/>
    </row>
    <row r="2832" spans="1:167">
      <c r="A2832" s="571"/>
      <c r="B2832" s="1008"/>
      <c r="C2832" s="7"/>
      <c r="P2832" s="7"/>
      <c r="AX2832" s="7"/>
      <c r="BP2832" s="61"/>
      <c r="CF2832" s="104"/>
      <c r="CG2832" s="105"/>
      <c r="FK2832" s="7"/>
    </row>
    <row r="2833" spans="1:167">
      <c r="A2833" s="571"/>
      <c r="B2833" s="1008"/>
      <c r="C2833" s="7"/>
      <c r="P2833" s="7"/>
      <c r="AX2833" s="7"/>
      <c r="BP2833" s="61"/>
      <c r="CF2833" s="104"/>
      <c r="CG2833" s="105"/>
      <c r="FK2833" s="7"/>
    </row>
    <row r="2834" spans="1:167">
      <c r="A2834" s="571"/>
      <c r="B2834" s="1008"/>
      <c r="C2834" s="7"/>
      <c r="P2834" s="7"/>
      <c r="AX2834" s="7"/>
      <c r="BP2834" s="61"/>
      <c r="CF2834" s="104"/>
      <c r="CG2834" s="105"/>
      <c r="FK2834" s="7"/>
    </row>
    <row r="2835" spans="1:167">
      <c r="A2835" s="571"/>
      <c r="B2835" s="1008"/>
      <c r="C2835" s="7"/>
      <c r="P2835" s="7"/>
      <c r="AX2835" s="7"/>
      <c r="BP2835" s="61"/>
      <c r="CF2835" s="104"/>
      <c r="CG2835" s="105"/>
      <c r="FK2835" s="7"/>
    </row>
    <row r="2836" spans="1:167">
      <c r="A2836" s="571"/>
      <c r="B2836" s="1008"/>
      <c r="C2836" s="7"/>
      <c r="P2836" s="7"/>
      <c r="AX2836" s="7"/>
      <c r="BP2836" s="61"/>
      <c r="CF2836" s="104"/>
      <c r="CG2836" s="105"/>
      <c r="FK2836" s="7"/>
    </row>
    <row r="2837" spans="1:167">
      <c r="A2837" s="571"/>
      <c r="B2837" s="1008"/>
      <c r="C2837" s="7"/>
      <c r="P2837" s="7"/>
      <c r="AX2837" s="7"/>
      <c r="BP2837" s="61"/>
      <c r="CF2837" s="104"/>
      <c r="CG2837" s="105"/>
      <c r="FK2837" s="7"/>
    </row>
    <row r="2838" spans="1:167">
      <c r="A2838" s="571"/>
      <c r="B2838" s="1008"/>
      <c r="C2838" s="7"/>
      <c r="P2838" s="7"/>
      <c r="AX2838" s="7"/>
      <c r="BP2838" s="61"/>
      <c r="CF2838" s="104"/>
      <c r="CG2838" s="105"/>
      <c r="FK2838" s="7"/>
    </row>
    <row r="2839" spans="1:167">
      <c r="A2839" s="571"/>
      <c r="B2839" s="1008"/>
      <c r="C2839" s="7"/>
      <c r="P2839" s="7"/>
      <c r="AX2839" s="7"/>
      <c r="BP2839" s="61"/>
      <c r="CF2839" s="104"/>
      <c r="CG2839" s="105"/>
      <c r="FK2839" s="7"/>
    </row>
    <row r="2840" spans="1:167">
      <c r="A2840" s="571"/>
      <c r="B2840" s="1008"/>
      <c r="C2840" s="7"/>
      <c r="P2840" s="7"/>
      <c r="AX2840" s="7"/>
      <c r="BP2840" s="61"/>
      <c r="CF2840" s="104"/>
      <c r="CG2840" s="105"/>
      <c r="FK2840" s="7"/>
    </row>
    <row r="2841" spans="1:167">
      <c r="A2841" s="571"/>
      <c r="B2841" s="1008"/>
      <c r="C2841" s="7"/>
      <c r="P2841" s="7"/>
      <c r="AX2841" s="7"/>
      <c r="BP2841" s="61"/>
      <c r="CF2841" s="104"/>
      <c r="CG2841" s="105"/>
      <c r="FK2841" s="7"/>
    </row>
    <row r="2842" spans="1:167">
      <c r="A2842" s="571"/>
      <c r="B2842" s="1008"/>
      <c r="C2842" s="7"/>
      <c r="P2842" s="7"/>
      <c r="AX2842" s="7"/>
      <c r="BP2842" s="61"/>
      <c r="CF2842" s="104"/>
      <c r="CG2842" s="105"/>
      <c r="FK2842" s="7"/>
    </row>
    <row r="2843" spans="1:167">
      <c r="A2843" s="571"/>
      <c r="B2843" s="1008"/>
      <c r="C2843" s="7"/>
      <c r="P2843" s="7"/>
      <c r="AX2843" s="7"/>
      <c r="BP2843" s="61"/>
      <c r="CF2843" s="104"/>
      <c r="CG2843" s="105"/>
      <c r="FK2843" s="7"/>
    </row>
    <row r="2844" spans="1:167">
      <c r="A2844" s="571"/>
      <c r="B2844" s="1008"/>
      <c r="C2844" s="7"/>
      <c r="P2844" s="7"/>
      <c r="AX2844" s="7"/>
      <c r="BP2844" s="61"/>
      <c r="CF2844" s="104"/>
      <c r="CG2844" s="105"/>
      <c r="FK2844" s="7"/>
    </row>
    <row r="2845" spans="1:167">
      <c r="A2845" s="571"/>
      <c r="B2845" s="1008"/>
      <c r="C2845" s="7"/>
      <c r="P2845" s="7"/>
      <c r="AX2845" s="7"/>
      <c r="BP2845" s="61"/>
      <c r="CF2845" s="104"/>
      <c r="CG2845" s="105"/>
      <c r="FK2845" s="7"/>
    </row>
    <row r="2846" spans="1:167">
      <c r="A2846" s="571"/>
      <c r="B2846" s="1008"/>
      <c r="C2846" s="7"/>
      <c r="P2846" s="7"/>
      <c r="AX2846" s="7"/>
      <c r="BP2846" s="61"/>
      <c r="CF2846" s="104"/>
      <c r="CG2846" s="105"/>
      <c r="FK2846" s="7"/>
    </row>
    <row r="2847" spans="1:167">
      <c r="A2847" s="571"/>
      <c r="B2847" s="1008"/>
      <c r="C2847" s="7"/>
      <c r="P2847" s="7"/>
      <c r="AX2847" s="7"/>
      <c r="BP2847" s="61"/>
      <c r="CF2847" s="104"/>
      <c r="CG2847" s="105"/>
      <c r="FK2847" s="7"/>
    </row>
    <row r="2848" spans="1:167">
      <c r="A2848" s="571"/>
      <c r="B2848" s="1008"/>
      <c r="C2848" s="7"/>
      <c r="P2848" s="7"/>
      <c r="AX2848" s="7"/>
      <c r="BP2848" s="61"/>
      <c r="CF2848" s="104"/>
      <c r="CG2848" s="105"/>
      <c r="FK2848" s="7"/>
    </row>
    <row r="2849" spans="1:167">
      <c r="A2849" s="571"/>
      <c r="B2849" s="1008"/>
      <c r="C2849" s="7"/>
      <c r="P2849" s="7"/>
      <c r="AX2849" s="7"/>
      <c r="BP2849" s="61"/>
      <c r="CF2849" s="104"/>
      <c r="CG2849" s="105"/>
      <c r="FK2849" s="7"/>
    </row>
    <row r="2850" spans="1:167">
      <c r="A2850" s="571"/>
      <c r="B2850" s="1008"/>
      <c r="C2850" s="7"/>
      <c r="P2850" s="7"/>
      <c r="AX2850" s="7"/>
      <c r="BP2850" s="61"/>
      <c r="CF2850" s="104"/>
      <c r="CG2850" s="105"/>
      <c r="FK2850" s="7"/>
    </row>
    <row r="2851" spans="1:167">
      <c r="A2851" s="571"/>
      <c r="B2851" s="1008"/>
      <c r="C2851" s="7"/>
      <c r="P2851" s="7"/>
      <c r="AX2851" s="7"/>
      <c r="BP2851" s="61"/>
      <c r="CF2851" s="104"/>
      <c r="CG2851" s="105"/>
      <c r="FK2851" s="7"/>
    </row>
    <row r="2852" spans="1:167">
      <c r="A2852" s="571"/>
      <c r="B2852" s="1008"/>
      <c r="C2852" s="7"/>
      <c r="P2852" s="7"/>
      <c r="AX2852" s="7"/>
      <c r="BP2852" s="61"/>
      <c r="CF2852" s="104"/>
      <c r="CG2852" s="105"/>
      <c r="FK2852" s="7"/>
    </row>
    <row r="2853" spans="1:167">
      <c r="A2853" s="571"/>
      <c r="B2853" s="1008"/>
      <c r="C2853" s="7"/>
      <c r="P2853" s="7"/>
      <c r="AX2853" s="7"/>
      <c r="BP2853" s="61"/>
      <c r="CF2853" s="104"/>
      <c r="CG2853" s="105"/>
      <c r="FK2853" s="7"/>
    </row>
    <row r="2854" spans="1:167">
      <c r="A2854" s="571"/>
      <c r="B2854" s="1008"/>
      <c r="C2854" s="7"/>
      <c r="P2854" s="7"/>
      <c r="AX2854" s="7"/>
      <c r="BP2854" s="61"/>
      <c r="CF2854" s="104"/>
      <c r="CG2854" s="105"/>
      <c r="FK2854" s="7"/>
    </row>
    <row r="2855" spans="1:167">
      <c r="A2855" s="571"/>
      <c r="B2855" s="1008"/>
      <c r="C2855" s="7"/>
      <c r="P2855" s="7"/>
      <c r="AX2855" s="7"/>
      <c r="BP2855" s="61"/>
      <c r="CF2855" s="104"/>
      <c r="CG2855" s="105"/>
      <c r="FK2855" s="7"/>
    </row>
    <row r="2856" spans="1:167">
      <c r="A2856" s="571"/>
      <c r="B2856" s="1008"/>
      <c r="C2856" s="7"/>
      <c r="P2856" s="7"/>
      <c r="AX2856" s="7"/>
      <c r="BP2856" s="61"/>
      <c r="CF2856" s="104"/>
      <c r="CG2856" s="105"/>
      <c r="FK2856" s="7"/>
    </row>
    <row r="2857" spans="1:167">
      <c r="A2857" s="571"/>
      <c r="B2857" s="1008"/>
      <c r="C2857" s="7"/>
      <c r="P2857" s="7"/>
      <c r="AX2857" s="7"/>
      <c r="BP2857" s="61"/>
      <c r="CF2857" s="104"/>
      <c r="CG2857" s="105"/>
      <c r="FK2857" s="7"/>
    </row>
    <row r="2858" spans="1:167">
      <c r="A2858" s="571"/>
      <c r="B2858" s="1008"/>
      <c r="C2858" s="7"/>
      <c r="P2858" s="7"/>
      <c r="AX2858" s="7"/>
      <c r="BP2858" s="61"/>
      <c r="CF2858" s="104"/>
      <c r="CG2858" s="105"/>
      <c r="FK2858" s="7"/>
    </row>
    <row r="2859" spans="1:167">
      <c r="A2859" s="571"/>
      <c r="B2859" s="1008"/>
      <c r="C2859" s="7"/>
      <c r="P2859" s="7"/>
      <c r="AX2859" s="7"/>
      <c r="BP2859" s="61"/>
      <c r="CF2859" s="104"/>
      <c r="CG2859" s="105"/>
      <c r="FK2859" s="7"/>
    </row>
    <row r="2860" spans="1:167">
      <c r="A2860" s="571"/>
      <c r="B2860" s="1008"/>
      <c r="C2860" s="7"/>
      <c r="P2860" s="7"/>
      <c r="AX2860" s="7"/>
      <c r="BP2860" s="61"/>
      <c r="CF2860" s="104"/>
      <c r="CG2860" s="105"/>
      <c r="FK2860" s="7"/>
    </row>
    <row r="2861" spans="1:167">
      <c r="A2861" s="571"/>
      <c r="B2861" s="1008"/>
      <c r="C2861" s="7"/>
      <c r="P2861" s="7"/>
      <c r="AX2861" s="7"/>
      <c r="BP2861" s="61"/>
      <c r="CF2861" s="104"/>
      <c r="CG2861" s="105"/>
      <c r="FK2861" s="7"/>
    </row>
    <row r="2862" spans="1:167">
      <c r="A2862" s="571"/>
      <c r="B2862" s="1008"/>
      <c r="C2862" s="7"/>
      <c r="P2862" s="7"/>
      <c r="AX2862" s="7"/>
      <c r="BP2862" s="61"/>
      <c r="CF2862" s="104"/>
      <c r="CG2862" s="105"/>
      <c r="FK2862" s="7"/>
    </row>
    <row r="2863" spans="1:167">
      <c r="A2863" s="571"/>
      <c r="B2863" s="1008"/>
      <c r="C2863" s="7"/>
      <c r="P2863" s="7"/>
      <c r="AX2863" s="7"/>
      <c r="BP2863" s="61"/>
      <c r="CF2863" s="104"/>
      <c r="CG2863" s="105"/>
      <c r="FK2863" s="7"/>
    </row>
    <row r="2864" spans="1:167">
      <c r="A2864" s="571"/>
      <c r="B2864" s="1008"/>
      <c r="C2864" s="7"/>
      <c r="P2864" s="7"/>
      <c r="AX2864" s="7"/>
      <c r="BP2864" s="61"/>
      <c r="CF2864" s="104"/>
      <c r="CG2864" s="105"/>
      <c r="FK2864" s="7"/>
    </row>
    <row r="2865" spans="1:167">
      <c r="A2865" s="571"/>
      <c r="B2865" s="1008"/>
      <c r="C2865" s="7"/>
      <c r="P2865" s="7"/>
      <c r="AX2865" s="7"/>
      <c r="BP2865" s="61"/>
      <c r="CF2865" s="104"/>
      <c r="CG2865" s="105"/>
      <c r="FK2865" s="7"/>
    </row>
    <row r="2866" spans="1:167">
      <c r="A2866" s="571"/>
      <c r="B2866" s="1008"/>
      <c r="C2866" s="7"/>
      <c r="P2866" s="7"/>
      <c r="AX2866" s="7"/>
      <c r="BP2866" s="61"/>
      <c r="CF2866" s="104"/>
      <c r="CG2866" s="105"/>
      <c r="FK2866" s="7"/>
    </row>
    <row r="2867" spans="1:167">
      <c r="A2867" s="571"/>
      <c r="B2867" s="1008"/>
      <c r="C2867" s="7"/>
      <c r="P2867" s="7"/>
      <c r="AX2867" s="7"/>
      <c r="BP2867" s="61"/>
      <c r="CF2867" s="104"/>
      <c r="CG2867" s="105"/>
      <c r="FK2867" s="7"/>
    </row>
    <row r="2868" spans="1:167">
      <c r="A2868" s="571"/>
      <c r="B2868" s="1008"/>
      <c r="C2868" s="7"/>
      <c r="P2868" s="7"/>
      <c r="AX2868" s="7"/>
      <c r="BP2868" s="61"/>
      <c r="CF2868" s="104"/>
      <c r="CG2868" s="105"/>
      <c r="FK2868" s="7"/>
    </row>
    <row r="2869" spans="1:167">
      <c r="A2869" s="571"/>
      <c r="B2869" s="1008"/>
      <c r="C2869" s="7"/>
      <c r="P2869" s="7"/>
      <c r="AX2869" s="7"/>
      <c r="BP2869" s="61"/>
      <c r="CF2869" s="104"/>
      <c r="CG2869" s="105"/>
      <c r="FK2869" s="7"/>
    </row>
    <row r="2870" spans="1:167">
      <c r="A2870" s="571"/>
      <c r="B2870" s="1008"/>
      <c r="C2870" s="7"/>
      <c r="P2870" s="7"/>
      <c r="AX2870" s="7"/>
      <c r="BP2870" s="61"/>
      <c r="CF2870" s="104"/>
      <c r="CG2870" s="105"/>
      <c r="FK2870" s="7"/>
    </row>
    <row r="2871" spans="1:167">
      <c r="A2871" s="571"/>
      <c r="B2871" s="1008"/>
      <c r="C2871" s="7"/>
      <c r="P2871" s="7"/>
      <c r="AX2871" s="7"/>
      <c r="BP2871" s="61"/>
      <c r="CF2871" s="104"/>
      <c r="CG2871" s="105"/>
      <c r="FK2871" s="7"/>
    </row>
    <row r="2872" spans="1:167">
      <c r="A2872" s="571"/>
      <c r="B2872" s="1008"/>
      <c r="C2872" s="7"/>
      <c r="P2872" s="7"/>
      <c r="AX2872" s="7"/>
      <c r="BP2872" s="61"/>
      <c r="CF2872" s="104"/>
      <c r="CG2872" s="105"/>
      <c r="FK2872" s="7"/>
    </row>
    <row r="2873" spans="1:167">
      <c r="A2873" s="571"/>
      <c r="B2873" s="1008"/>
      <c r="C2873" s="7"/>
      <c r="P2873" s="7"/>
      <c r="AX2873" s="7"/>
      <c r="BP2873" s="61"/>
      <c r="CF2873" s="104"/>
      <c r="CG2873" s="105"/>
      <c r="FK2873" s="7"/>
    </row>
    <row r="2874" spans="1:167">
      <c r="A2874" s="571"/>
      <c r="B2874" s="1008"/>
      <c r="C2874" s="7"/>
      <c r="P2874" s="7"/>
      <c r="AX2874" s="7"/>
      <c r="BP2874" s="61"/>
      <c r="CF2874" s="104"/>
      <c r="CG2874" s="105"/>
      <c r="FK2874" s="7"/>
    </row>
    <row r="2875" spans="1:167">
      <c r="A2875" s="571"/>
      <c r="B2875" s="1008"/>
      <c r="C2875" s="7"/>
      <c r="P2875" s="7"/>
      <c r="AX2875" s="7"/>
      <c r="BP2875" s="61"/>
      <c r="CF2875" s="104"/>
      <c r="CG2875" s="105"/>
      <c r="FK2875" s="7"/>
    </row>
    <row r="2876" spans="1:167">
      <c r="A2876" s="571"/>
      <c r="B2876" s="1008"/>
      <c r="C2876" s="7"/>
      <c r="P2876" s="7"/>
      <c r="AX2876" s="7"/>
      <c r="BP2876" s="61"/>
      <c r="CF2876" s="104"/>
      <c r="CG2876" s="105"/>
      <c r="FK2876" s="7"/>
    </row>
    <row r="2877" spans="1:167">
      <c r="A2877" s="571"/>
      <c r="B2877" s="1008"/>
      <c r="C2877" s="7"/>
      <c r="P2877" s="7"/>
      <c r="AX2877" s="7"/>
      <c r="BP2877" s="61"/>
      <c r="CF2877" s="104"/>
      <c r="CG2877" s="105"/>
      <c r="FK2877" s="7"/>
    </row>
    <row r="2878" spans="1:167">
      <c r="A2878" s="571"/>
      <c r="B2878" s="1008"/>
      <c r="C2878" s="7"/>
      <c r="P2878" s="7"/>
      <c r="AX2878" s="7"/>
      <c r="BP2878" s="61"/>
      <c r="CF2878" s="104"/>
      <c r="CG2878" s="105"/>
      <c r="FK2878" s="7"/>
    </row>
    <row r="2879" spans="1:167">
      <c r="A2879" s="571"/>
      <c r="B2879" s="1008"/>
      <c r="C2879" s="7"/>
      <c r="P2879" s="7"/>
      <c r="AX2879" s="7"/>
      <c r="BP2879" s="61"/>
      <c r="CF2879" s="104"/>
      <c r="CG2879" s="105"/>
      <c r="FK2879" s="7"/>
    </row>
    <row r="2880" spans="1:167">
      <c r="A2880" s="571"/>
      <c r="B2880" s="1008"/>
      <c r="C2880" s="7"/>
      <c r="P2880" s="7"/>
      <c r="AX2880" s="7"/>
      <c r="BP2880" s="61"/>
      <c r="CF2880" s="104"/>
      <c r="CG2880" s="105"/>
      <c r="FK2880" s="7"/>
    </row>
    <row r="2881" spans="1:167">
      <c r="A2881" s="571"/>
      <c r="B2881" s="1008"/>
      <c r="C2881" s="7"/>
      <c r="P2881" s="7"/>
      <c r="AX2881" s="7"/>
      <c r="BP2881" s="61"/>
      <c r="CF2881" s="104"/>
      <c r="CG2881" s="105"/>
      <c r="FK2881" s="7"/>
    </row>
    <row r="2882" spans="1:167">
      <c r="A2882" s="571"/>
      <c r="B2882" s="1008"/>
      <c r="C2882" s="7"/>
      <c r="P2882" s="7"/>
      <c r="AX2882" s="7"/>
      <c r="BP2882" s="61"/>
      <c r="CF2882" s="104"/>
      <c r="CG2882" s="105"/>
      <c r="FK2882" s="7"/>
    </row>
    <row r="2883" spans="1:167">
      <c r="A2883" s="571"/>
      <c r="B2883" s="1008"/>
      <c r="C2883" s="7"/>
      <c r="P2883" s="7"/>
      <c r="AX2883" s="7"/>
      <c r="BP2883" s="61"/>
      <c r="CF2883" s="104"/>
      <c r="CG2883" s="105"/>
      <c r="FK2883" s="7"/>
    </row>
    <row r="2884" spans="1:167">
      <c r="A2884" s="571"/>
      <c r="B2884" s="1008"/>
      <c r="C2884" s="7"/>
      <c r="P2884" s="7"/>
      <c r="AX2884" s="7"/>
      <c r="BP2884" s="61"/>
      <c r="CF2884" s="104"/>
      <c r="CG2884" s="105"/>
      <c r="FK2884" s="7"/>
    </row>
    <row r="2885" spans="1:167">
      <c r="A2885" s="571"/>
      <c r="B2885" s="1008"/>
      <c r="C2885" s="7"/>
      <c r="P2885" s="7"/>
      <c r="AX2885" s="7"/>
      <c r="BP2885" s="61"/>
      <c r="CF2885" s="104"/>
      <c r="CG2885" s="105"/>
      <c r="FK2885" s="7"/>
    </row>
    <row r="2886" spans="1:167">
      <c r="A2886" s="571"/>
      <c r="B2886" s="1008"/>
      <c r="C2886" s="7"/>
      <c r="P2886" s="7"/>
      <c r="AX2886" s="7"/>
      <c r="BP2886" s="61"/>
      <c r="CF2886" s="104"/>
      <c r="CG2886" s="105"/>
      <c r="FK2886" s="7"/>
    </row>
    <row r="2887" spans="1:167">
      <c r="A2887" s="571"/>
      <c r="B2887" s="1008"/>
      <c r="C2887" s="7"/>
      <c r="P2887" s="7"/>
      <c r="AX2887" s="7"/>
      <c r="BP2887" s="61"/>
      <c r="CF2887" s="104"/>
      <c r="CG2887" s="105"/>
      <c r="FK2887" s="7"/>
    </row>
    <row r="2888" spans="1:167">
      <c r="A2888" s="571"/>
      <c r="B2888" s="1008"/>
      <c r="C2888" s="7"/>
      <c r="P2888" s="7"/>
      <c r="AX2888" s="7"/>
      <c r="BP2888" s="61"/>
      <c r="CF2888" s="104"/>
      <c r="CG2888" s="105"/>
      <c r="FK2888" s="7"/>
    </row>
    <row r="2889" spans="1:167">
      <c r="A2889" s="571"/>
      <c r="B2889" s="1008"/>
      <c r="C2889" s="7"/>
      <c r="P2889" s="7"/>
      <c r="AX2889" s="7"/>
      <c r="BP2889" s="61"/>
      <c r="CF2889" s="104"/>
      <c r="CG2889" s="105"/>
      <c r="FK2889" s="7"/>
    </row>
    <row r="2890" spans="1:167">
      <c r="A2890" s="571"/>
      <c r="B2890" s="1008"/>
      <c r="C2890" s="7"/>
      <c r="P2890" s="7"/>
      <c r="AX2890" s="7"/>
      <c r="BP2890" s="61"/>
      <c r="CF2890" s="104"/>
      <c r="CG2890" s="105"/>
      <c r="FK2890" s="7"/>
    </row>
    <row r="2891" spans="1:167">
      <c r="A2891" s="571"/>
      <c r="B2891" s="1008"/>
      <c r="C2891" s="7"/>
      <c r="P2891" s="7"/>
      <c r="AX2891" s="7"/>
      <c r="BP2891" s="61"/>
      <c r="CF2891" s="104"/>
      <c r="CG2891" s="105"/>
      <c r="FK2891" s="7"/>
    </row>
    <row r="2892" spans="1:167">
      <c r="A2892" s="571"/>
      <c r="B2892" s="1008"/>
      <c r="C2892" s="7"/>
      <c r="P2892" s="7"/>
      <c r="AX2892" s="7"/>
      <c r="BP2892" s="61"/>
      <c r="CF2892" s="104"/>
      <c r="CG2892" s="105"/>
      <c r="FK2892" s="7"/>
    </row>
    <row r="2893" spans="1:167">
      <c r="A2893" s="571"/>
      <c r="B2893" s="1008"/>
      <c r="C2893" s="7"/>
      <c r="P2893" s="7"/>
      <c r="AX2893" s="7"/>
      <c r="BP2893" s="61"/>
      <c r="CF2893" s="104"/>
      <c r="CG2893" s="105"/>
      <c r="FK2893" s="7"/>
    </row>
    <row r="2894" spans="1:167">
      <c r="A2894" s="571"/>
      <c r="B2894" s="1008"/>
      <c r="C2894" s="7"/>
      <c r="P2894" s="7"/>
      <c r="AX2894" s="7"/>
      <c r="BP2894" s="61"/>
      <c r="CF2894" s="104"/>
      <c r="CG2894" s="105"/>
      <c r="FK2894" s="7"/>
    </row>
    <row r="2895" spans="1:167">
      <c r="A2895" s="571"/>
      <c r="B2895" s="1008"/>
      <c r="C2895" s="7"/>
      <c r="P2895" s="7"/>
      <c r="AX2895" s="7"/>
      <c r="BP2895" s="61"/>
      <c r="CF2895" s="104"/>
      <c r="CG2895" s="105"/>
      <c r="FK2895" s="7"/>
    </row>
    <row r="2896" spans="1:167">
      <c r="A2896" s="571"/>
      <c r="B2896" s="1008"/>
      <c r="C2896" s="7"/>
      <c r="P2896" s="7"/>
      <c r="AX2896" s="7"/>
      <c r="BP2896" s="61"/>
      <c r="CF2896" s="104"/>
      <c r="CG2896" s="105"/>
      <c r="FK2896" s="7"/>
    </row>
    <row r="2897" spans="1:167">
      <c r="A2897" s="571"/>
      <c r="B2897" s="1008"/>
      <c r="C2897" s="7"/>
      <c r="P2897" s="7"/>
      <c r="AX2897" s="7"/>
      <c r="BP2897" s="61"/>
      <c r="CF2897" s="104"/>
      <c r="CG2897" s="105"/>
      <c r="FK2897" s="7"/>
    </row>
    <row r="2898" spans="1:167">
      <c r="A2898" s="571"/>
      <c r="B2898" s="1008"/>
      <c r="C2898" s="7"/>
      <c r="P2898" s="7"/>
      <c r="AX2898" s="7"/>
      <c r="BP2898" s="61"/>
      <c r="CF2898" s="104"/>
      <c r="CG2898" s="105"/>
      <c r="FK2898" s="7"/>
    </row>
    <row r="2899" spans="1:167">
      <c r="A2899" s="571"/>
      <c r="B2899" s="1008"/>
      <c r="C2899" s="7"/>
      <c r="P2899" s="7"/>
      <c r="AX2899" s="7"/>
      <c r="BP2899" s="61"/>
      <c r="CF2899" s="104"/>
      <c r="CG2899" s="105"/>
      <c r="FK2899" s="7"/>
    </row>
    <row r="2900" spans="1:167">
      <c r="A2900" s="571"/>
      <c r="B2900" s="1008"/>
      <c r="C2900" s="7"/>
      <c r="P2900" s="7"/>
      <c r="AX2900" s="7"/>
      <c r="BP2900" s="61"/>
      <c r="CF2900" s="104"/>
      <c r="CG2900" s="105"/>
      <c r="FK2900" s="7"/>
    </row>
    <row r="2901" spans="1:167">
      <c r="A2901" s="571"/>
      <c r="B2901" s="1008"/>
      <c r="C2901" s="7"/>
      <c r="P2901" s="7"/>
      <c r="AX2901" s="7"/>
      <c r="BP2901" s="61"/>
      <c r="CF2901" s="104"/>
      <c r="CG2901" s="105"/>
      <c r="FK2901" s="7"/>
    </row>
    <row r="2902" spans="1:167">
      <c r="A2902" s="571"/>
      <c r="B2902" s="1008"/>
      <c r="C2902" s="7"/>
      <c r="P2902" s="7"/>
      <c r="AX2902" s="7"/>
      <c r="BP2902" s="61"/>
      <c r="CF2902" s="104"/>
      <c r="CG2902" s="105"/>
      <c r="FK2902" s="7"/>
    </row>
    <row r="2903" spans="1:167">
      <c r="A2903" s="571"/>
      <c r="B2903" s="1008"/>
      <c r="C2903" s="7"/>
      <c r="P2903" s="7"/>
      <c r="AX2903" s="7"/>
      <c r="BP2903" s="61"/>
      <c r="CF2903" s="104"/>
      <c r="CG2903" s="105"/>
      <c r="FK2903" s="7"/>
    </row>
    <row r="2904" spans="1:167">
      <c r="A2904" s="571"/>
      <c r="B2904" s="1008"/>
      <c r="C2904" s="7"/>
      <c r="P2904" s="7"/>
      <c r="AX2904" s="7"/>
      <c r="BP2904" s="61"/>
      <c r="CF2904" s="104"/>
      <c r="CG2904" s="105"/>
      <c r="FK2904" s="7"/>
    </row>
    <row r="2905" spans="1:167">
      <c r="A2905" s="571"/>
      <c r="B2905" s="1008"/>
      <c r="C2905" s="7"/>
      <c r="P2905" s="7"/>
      <c r="AX2905" s="7"/>
      <c r="BP2905" s="61"/>
      <c r="CF2905" s="104"/>
      <c r="CG2905" s="105"/>
      <c r="FK2905" s="7"/>
    </row>
    <row r="2906" spans="1:167">
      <c r="A2906" s="571"/>
      <c r="B2906" s="1008"/>
      <c r="C2906" s="7"/>
      <c r="P2906" s="7"/>
      <c r="AX2906" s="7"/>
      <c r="BP2906" s="61"/>
      <c r="CF2906" s="104"/>
      <c r="CG2906" s="105"/>
      <c r="FK2906" s="7"/>
    </row>
    <row r="2907" spans="1:167">
      <c r="A2907" s="571"/>
      <c r="B2907" s="1008"/>
      <c r="C2907" s="7"/>
      <c r="P2907" s="7"/>
      <c r="AX2907" s="7"/>
      <c r="BP2907" s="61"/>
      <c r="CF2907" s="104"/>
      <c r="CG2907" s="105"/>
      <c r="FK2907" s="7"/>
    </row>
    <row r="2908" spans="1:167">
      <c r="A2908" s="571"/>
      <c r="B2908" s="1008"/>
      <c r="C2908" s="7"/>
      <c r="P2908" s="7"/>
      <c r="AX2908" s="7"/>
      <c r="BP2908" s="61"/>
      <c r="CF2908" s="104"/>
      <c r="CG2908" s="105"/>
      <c r="FK2908" s="7"/>
    </row>
    <row r="2909" spans="1:167">
      <c r="A2909" s="571"/>
      <c r="B2909" s="1008"/>
      <c r="C2909" s="7"/>
      <c r="P2909" s="7"/>
      <c r="AX2909" s="7"/>
      <c r="BP2909" s="61"/>
      <c r="CF2909" s="104"/>
      <c r="CG2909" s="105"/>
      <c r="FK2909" s="7"/>
    </row>
    <row r="2910" spans="1:167">
      <c r="A2910" s="571"/>
      <c r="B2910" s="1008"/>
      <c r="C2910" s="7"/>
      <c r="P2910" s="7"/>
      <c r="AX2910" s="7"/>
      <c r="BP2910" s="61"/>
      <c r="CF2910" s="104"/>
      <c r="CG2910" s="105"/>
      <c r="FK2910" s="7"/>
    </row>
    <row r="2911" spans="1:167">
      <c r="A2911" s="571"/>
      <c r="B2911" s="1008"/>
      <c r="C2911" s="7"/>
      <c r="P2911" s="7"/>
      <c r="AX2911" s="7"/>
      <c r="BP2911" s="61"/>
      <c r="CF2911" s="104"/>
      <c r="CG2911" s="105"/>
      <c r="FK2911" s="7"/>
    </row>
    <row r="2912" spans="1:167">
      <c r="A2912" s="571"/>
      <c r="B2912" s="1008"/>
      <c r="C2912" s="7"/>
      <c r="P2912" s="7"/>
      <c r="AX2912" s="7"/>
      <c r="BP2912" s="61"/>
      <c r="CF2912" s="104"/>
      <c r="CG2912" s="105"/>
      <c r="FK2912" s="7"/>
    </row>
    <row r="2913" spans="1:167">
      <c r="A2913" s="571"/>
      <c r="B2913" s="1008"/>
      <c r="C2913" s="7"/>
      <c r="P2913" s="7"/>
      <c r="AX2913" s="7"/>
      <c r="BP2913" s="61"/>
      <c r="CF2913" s="104"/>
      <c r="CG2913" s="105"/>
      <c r="FK2913" s="7"/>
    </row>
    <row r="2914" spans="1:167">
      <c r="A2914" s="571"/>
      <c r="B2914" s="1008"/>
      <c r="C2914" s="7"/>
      <c r="P2914" s="7"/>
      <c r="AX2914" s="7"/>
      <c r="BP2914" s="61"/>
      <c r="CF2914" s="104"/>
      <c r="CG2914" s="105"/>
      <c r="FK2914" s="7"/>
    </row>
    <row r="2915" spans="1:167">
      <c r="A2915" s="571"/>
      <c r="B2915" s="1008"/>
      <c r="C2915" s="7"/>
      <c r="P2915" s="7"/>
      <c r="AX2915" s="7"/>
      <c r="BP2915" s="61"/>
      <c r="CF2915" s="104"/>
      <c r="CG2915" s="105"/>
      <c r="FK2915" s="7"/>
    </row>
    <row r="2916" spans="1:167">
      <c r="A2916" s="571"/>
      <c r="B2916" s="1008"/>
      <c r="C2916" s="7"/>
      <c r="P2916" s="7"/>
      <c r="AX2916" s="7"/>
      <c r="BP2916" s="61"/>
      <c r="CF2916" s="104"/>
      <c r="CG2916" s="105"/>
      <c r="FK2916" s="7"/>
    </row>
    <row r="2917" spans="1:167">
      <c r="A2917" s="571"/>
      <c r="B2917" s="1008"/>
      <c r="C2917" s="7"/>
      <c r="P2917" s="7"/>
      <c r="AX2917" s="7"/>
      <c r="BP2917" s="61"/>
      <c r="CF2917" s="104"/>
      <c r="CG2917" s="105"/>
      <c r="FK2917" s="7"/>
    </row>
    <row r="2918" spans="1:167">
      <c r="A2918" s="571"/>
      <c r="B2918" s="1008"/>
      <c r="C2918" s="7"/>
      <c r="P2918" s="7"/>
      <c r="AX2918" s="7"/>
      <c r="BP2918" s="61"/>
      <c r="CF2918" s="104"/>
      <c r="CG2918" s="105"/>
      <c r="FK2918" s="7"/>
    </row>
    <row r="2919" spans="1:167">
      <c r="A2919" s="571"/>
      <c r="B2919" s="1008"/>
      <c r="C2919" s="7"/>
      <c r="P2919" s="7"/>
      <c r="AX2919" s="7"/>
      <c r="BP2919" s="61"/>
      <c r="CF2919" s="104"/>
      <c r="CG2919" s="105"/>
      <c r="FK2919" s="7"/>
    </row>
    <row r="2920" spans="1:167">
      <c r="A2920" s="571"/>
      <c r="B2920" s="1008"/>
      <c r="C2920" s="7"/>
      <c r="P2920" s="7"/>
      <c r="AX2920" s="7"/>
      <c r="BP2920" s="61"/>
      <c r="CF2920" s="104"/>
      <c r="CG2920" s="105"/>
      <c r="FK2920" s="7"/>
    </row>
    <row r="2921" spans="1:167">
      <c r="A2921" s="571"/>
      <c r="B2921" s="1008"/>
      <c r="C2921" s="7"/>
      <c r="P2921" s="7"/>
      <c r="AX2921" s="7"/>
      <c r="BP2921" s="61"/>
      <c r="CF2921" s="104"/>
      <c r="CG2921" s="105"/>
      <c r="FK2921" s="7"/>
    </row>
    <row r="2922" spans="1:167">
      <c r="A2922" s="571"/>
      <c r="B2922" s="1008"/>
      <c r="C2922" s="7"/>
      <c r="P2922" s="7"/>
      <c r="AX2922" s="7"/>
      <c r="BP2922" s="61"/>
      <c r="CF2922" s="104"/>
      <c r="CG2922" s="105"/>
      <c r="FK2922" s="7"/>
    </row>
    <row r="2923" spans="1:167">
      <c r="A2923" s="571"/>
      <c r="B2923" s="1008"/>
      <c r="C2923" s="7"/>
      <c r="P2923" s="7"/>
      <c r="AX2923" s="7"/>
      <c r="BP2923" s="61"/>
      <c r="CF2923" s="104"/>
      <c r="CG2923" s="105"/>
      <c r="FK2923" s="7"/>
    </row>
    <row r="2924" spans="1:167">
      <c r="A2924" s="571"/>
      <c r="B2924" s="1008"/>
      <c r="C2924" s="7"/>
      <c r="P2924" s="7"/>
      <c r="AX2924" s="7"/>
      <c r="BP2924" s="61"/>
      <c r="CF2924" s="104"/>
      <c r="CG2924" s="105"/>
      <c r="FK2924" s="7"/>
    </row>
    <row r="2925" spans="1:167">
      <c r="A2925" s="571"/>
      <c r="B2925" s="1008"/>
      <c r="C2925" s="7"/>
      <c r="P2925" s="7"/>
      <c r="AX2925" s="7"/>
      <c r="BP2925" s="61"/>
      <c r="CF2925" s="104"/>
      <c r="CG2925" s="105"/>
      <c r="FK2925" s="7"/>
    </row>
    <row r="2926" spans="1:167">
      <c r="A2926" s="571"/>
      <c r="B2926" s="1008"/>
      <c r="C2926" s="7"/>
      <c r="P2926" s="7"/>
      <c r="AX2926" s="7"/>
      <c r="BP2926" s="61"/>
      <c r="CF2926" s="104"/>
      <c r="CG2926" s="105"/>
      <c r="FK2926" s="7"/>
    </row>
    <row r="2927" spans="1:167">
      <c r="A2927" s="571"/>
      <c r="B2927" s="1008"/>
      <c r="C2927" s="7"/>
      <c r="P2927" s="7"/>
      <c r="AX2927" s="7"/>
      <c r="BP2927" s="61"/>
      <c r="CF2927" s="104"/>
      <c r="CG2927" s="105"/>
      <c r="FK2927" s="7"/>
    </row>
    <row r="2928" spans="1:167">
      <c r="A2928" s="571"/>
      <c r="B2928" s="1008"/>
      <c r="C2928" s="7"/>
      <c r="P2928" s="7"/>
      <c r="AX2928" s="7"/>
      <c r="BP2928" s="61"/>
      <c r="CF2928" s="104"/>
      <c r="CG2928" s="105"/>
      <c r="FK2928" s="7"/>
    </row>
    <row r="2929" spans="1:167">
      <c r="A2929" s="571"/>
      <c r="B2929" s="1008"/>
      <c r="C2929" s="7"/>
      <c r="P2929" s="7"/>
      <c r="AX2929" s="7"/>
      <c r="BP2929" s="61"/>
      <c r="CF2929" s="104"/>
      <c r="CG2929" s="105"/>
      <c r="FK2929" s="7"/>
    </row>
    <row r="2930" spans="1:167">
      <c r="A2930" s="571"/>
      <c r="B2930" s="1008"/>
      <c r="C2930" s="7"/>
      <c r="P2930" s="7"/>
      <c r="AX2930" s="7"/>
      <c r="BP2930" s="61"/>
      <c r="CF2930" s="104"/>
      <c r="CG2930" s="105"/>
      <c r="FK2930" s="7"/>
    </row>
    <row r="2931" spans="1:167">
      <c r="A2931" s="571"/>
      <c r="B2931" s="1008"/>
      <c r="C2931" s="7"/>
      <c r="P2931" s="7"/>
      <c r="AX2931" s="7"/>
      <c r="BP2931" s="61"/>
      <c r="CF2931" s="104"/>
      <c r="CG2931" s="105"/>
      <c r="FK2931" s="7"/>
    </row>
    <row r="2932" spans="1:167">
      <c r="A2932" s="571"/>
      <c r="B2932" s="1008"/>
      <c r="C2932" s="7"/>
      <c r="P2932" s="7"/>
      <c r="AX2932" s="7"/>
      <c r="BP2932" s="61"/>
      <c r="CF2932" s="104"/>
      <c r="CG2932" s="105"/>
      <c r="FK2932" s="7"/>
    </row>
    <row r="2933" spans="1:167">
      <c r="A2933" s="571"/>
      <c r="B2933" s="1008"/>
      <c r="C2933" s="7"/>
      <c r="P2933" s="7"/>
      <c r="AX2933" s="7"/>
      <c r="BP2933" s="61"/>
      <c r="CF2933" s="104"/>
      <c r="CG2933" s="105"/>
      <c r="FK2933" s="7"/>
    </row>
    <row r="2934" spans="1:167">
      <c r="A2934" s="571"/>
      <c r="B2934" s="1008"/>
      <c r="C2934" s="7"/>
      <c r="P2934" s="7"/>
      <c r="AX2934" s="7"/>
      <c r="BP2934" s="61"/>
      <c r="CF2934" s="104"/>
      <c r="CG2934" s="105"/>
      <c r="FK2934" s="7"/>
    </row>
    <row r="2935" spans="1:167">
      <c r="A2935" s="571"/>
      <c r="B2935" s="1008"/>
      <c r="C2935" s="7"/>
      <c r="P2935" s="7"/>
      <c r="AX2935" s="7"/>
      <c r="BP2935" s="61"/>
      <c r="CF2935" s="104"/>
      <c r="CG2935" s="105"/>
      <c r="FK2935" s="7"/>
    </row>
    <row r="2936" spans="1:167">
      <c r="A2936" s="571"/>
      <c r="B2936" s="1008"/>
      <c r="C2936" s="7"/>
      <c r="P2936" s="7"/>
      <c r="AX2936" s="7"/>
      <c r="BP2936" s="61"/>
      <c r="CF2936" s="104"/>
      <c r="CG2936" s="105"/>
      <c r="FK2936" s="7"/>
    </row>
    <row r="2937" spans="1:167">
      <c r="A2937" s="571"/>
      <c r="B2937" s="1008"/>
      <c r="C2937" s="7"/>
      <c r="P2937" s="7"/>
      <c r="AX2937" s="7"/>
      <c r="BP2937" s="61"/>
      <c r="CF2937" s="104"/>
      <c r="CG2937" s="105"/>
      <c r="FK2937" s="7"/>
    </row>
    <row r="2938" spans="1:167">
      <c r="A2938" s="571"/>
      <c r="B2938" s="1008"/>
      <c r="C2938" s="7"/>
      <c r="P2938" s="7"/>
      <c r="AX2938" s="7"/>
      <c r="BP2938" s="61"/>
      <c r="CF2938" s="104"/>
      <c r="CG2938" s="105"/>
      <c r="FK2938" s="7"/>
    </row>
    <row r="2939" spans="1:167">
      <c r="A2939" s="571"/>
      <c r="B2939" s="1008"/>
      <c r="C2939" s="7"/>
      <c r="P2939" s="7"/>
      <c r="AX2939" s="7"/>
      <c r="BP2939" s="61"/>
      <c r="CF2939" s="104"/>
      <c r="CG2939" s="105"/>
      <c r="FK2939" s="7"/>
    </row>
    <row r="2940" spans="1:167">
      <c r="A2940" s="571"/>
      <c r="B2940" s="1008"/>
      <c r="C2940" s="7"/>
      <c r="P2940" s="7"/>
      <c r="AX2940" s="7"/>
      <c r="BP2940" s="61"/>
      <c r="CF2940" s="104"/>
      <c r="CG2940" s="105"/>
      <c r="FK2940" s="7"/>
    </row>
    <row r="2941" spans="1:167">
      <c r="A2941" s="571"/>
      <c r="B2941" s="1008"/>
      <c r="C2941" s="7"/>
      <c r="P2941" s="7"/>
      <c r="AX2941" s="7"/>
      <c r="BP2941" s="61"/>
      <c r="CF2941" s="104"/>
      <c r="CG2941" s="105"/>
      <c r="FK2941" s="7"/>
    </row>
    <row r="2942" spans="1:167">
      <c r="A2942" s="571"/>
      <c r="B2942" s="1008"/>
      <c r="C2942" s="7"/>
      <c r="P2942" s="7"/>
      <c r="AX2942" s="7"/>
      <c r="BP2942" s="61"/>
      <c r="CF2942" s="104"/>
      <c r="CG2942" s="105"/>
      <c r="FK2942" s="7"/>
    </row>
    <row r="2943" spans="1:167">
      <c r="A2943" s="571"/>
      <c r="B2943" s="1008"/>
      <c r="C2943" s="7"/>
      <c r="P2943" s="7"/>
      <c r="AX2943" s="7"/>
      <c r="BP2943" s="61"/>
      <c r="CF2943" s="104"/>
      <c r="CG2943" s="105"/>
      <c r="FK2943" s="7"/>
    </row>
    <row r="2944" spans="1:167">
      <c r="A2944" s="571"/>
      <c r="B2944" s="1008"/>
      <c r="C2944" s="7"/>
      <c r="P2944" s="7"/>
      <c r="AX2944" s="7"/>
      <c r="BP2944" s="61"/>
      <c r="CF2944" s="104"/>
      <c r="CG2944" s="105"/>
      <c r="FK2944" s="7"/>
    </row>
    <row r="2945" spans="1:167">
      <c r="A2945" s="571"/>
      <c r="B2945" s="1008"/>
      <c r="C2945" s="7"/>
      <c r="P2945" s="7"/>
      <c r="AX2945" s="7"/>
      <c r="BP2945" s="61"/>
      <c r="CF2945" s="104"/>
      <c r="CG2945" s="105"/>
      <c r="FK2945" s="7"/>
    </row>
    <row r="2946" spans="1:167">
      <c r="A2946" s="571"/>
      <c r="B2946" s="1008"/>
      <c r="C2946" s="7"/>
      <c r="P2946" s="7"/>
      <c r="AX2946" s="7"/>
      <c r="BP2946" s="61"/>
      <c r="CF2946" s="104"/>
      <c r="CG2946" s="105"/>
      <c r="FK2946" s="7"/>
    </row>
    <row r="2947" spans="1:167">
      <c r="A2947" s="571"/>
      <c r="B2947" s="1008"/>
      <c r="C2947" s="7"/>
      <c r="P2947" s="7"/>
      <c r="AX2947" s="7"/>
      <c r="BP2947" s="61"/>
      <c r="CF2947" s="104"/>
      <c r="CG2947" s="105"/>
      <c r="FK2947" s="7"/>
    </row>
    <row r="2948" spans="1:167">
      <c r="A2948" s="571"/>
      <c r="B2948" s="1008"/>
      <c r="C2948" s="7"/>
      <c r="P2948" s="7"/>
      <c r="AX2948" s="7"/>
      <c r="BP2948" s="61"/>
      <c r="CF2948" s="104"/>
      <c r="CG2948" s="105"/>
      <c r="FK2948" s="7"/>
    </row>
    <row r="2949" spans="1:167">
      <c r="A2949" s="571"/>
      <c r="B2949" s="1008"/>
      <c r="C2949" s="7"/>
      <c r="P2949" s="7"/>
      <c r="AX2949" s="7"/>
      <c r="BP2949" s="61"/>
      <c r="CF2949" s="104"/>
      <c r="CG2949" s="105"/>
      <c r="FK2949" s="7"/>
    </row>
    <row r="2950" spans="1:167">
      <c r="A2950" s="571"/>
      <c r="B2950" s="1008"/>
      <c r="C2950" s="7"/>
      <c r="P2950" s="7"/>
      <c r="AX2950" s="7"/>
      <c r="BP2950" s="61"/>
      <c r="CF2950" s="104"/>
      <c r="CG2950" s="105"/>
      <c r="FK2950" s="7"/>
    </row>
    <row r="2951" spans="1:167">
      <c r="A2951" s="571"/>
      <c r="B2951" s="1008"/>
      <c r="C2951" s="7"/>
      <c r="P2951" s="7"/>
      <c r="AX2951" s="7"/>
      <c r="BP2951" s="61"/>
      <c r="CF2951" s="104"/>
      <c r="CG2951" s="105"/>
      <c r="FK2951" s="7"/>
    </row>
    <row r="2952" spans="1:167">
      <c r="A2952" s="571"/>
      <c r="B2952" s="1008"/>
      <c r="C2952" s="7"/>
      <c r="P2952" s="7"/>
      <c r="AX2952" s="7"/>
      <c r="BP2952" s="61"/>
      <c r="CF2952" s="104"/>
      <c r="CG2952" s="105"/>
      <c r="FK2952" s="7"/>
    </row>
    <row r="2953" spans="1:167">
      <c r="A2953" s="571"/>
      <c r="B2953" s="1008"/>
      <c r="C2953" s="7"/>
      <c r="P2953" s="7"/>
      <c r="AX2953" s="7"/>
      <c r="BP2953" s="61"/>
      <c r="CF2953" s="104"/>
      <c r="CG2953" s="105"/>
      <c r="FK2953" s="7"/>
    </row>
    <row r="2954" spans="1:167">
      <c r="A2954" s="571"/>
      <c r="B2954" s="1008"/>
      <c r="C2954" s="7"/>
      <c r="P2954" s="7"/>
      <c r="AX2954" s="7"/>
      <c r="BP2954" s="61"/>
      <c r="CF2954" s="104"/>
      <c r="CG2954" s="105"/>
      <c r="FK2954" s="7"/>
    </row>
    <row r="2955" spans="1:167">
      <c r="A2955" s="571"/>
      <c r="B2955" s="1008"/>
      <c r="C2955" s="7"/>
      <c r="P2955" s="7"/>
      <c r="AX2955" s="7"/>
      <c r="BP2955" s="61"/>
      <c r="CF2955" s="104"/>
      <c r="CG2955" s="105"/>
      <c r="FK2955" s="7"/>
    </row>
    <row r="2956" spans="1:167">
      <c r="A2956" s="571"/>
      <c r="B2956" s="1008"/>
      <c r="C2956" s="7"/>
      <c r="P2956" s="7"/>
      <c r="AX2956" s="7"/>
      <c r="BP2956" s="61"/>
      <c r="CF2956" s="104"/>
      <c r="CG2956" s="105"/>
      <c r="FK2956" s="7"/>
    </row>
    <row r="2957" spans="1:167">
      <c r="A2957" s="571"/>
      <c r="B2957" s="1008"/>
      <c r="C2957" s="7"/>
      <c r="P2957" s="7"/>
      <c r="AX2957" s="7"/>
      <c r="BP2957" s="61"/>
      <c r="CF2957" s="104"/>
      <c r="CG2957" s="105"/>
      <c r="FK2957" s="7"/>
    </row>
    <row r="2958" spans="1:167">
      <c r="A2958" s="571"/>
      <c r="B2958" s="1008"/>
      <c r="C2958" s="7"/>
      <c r="P2958" s="7"/>
      <c r="AX2958" s="7"/>
      <c r="BP2958" s="61"/>
      <c r="CF2958" s="104"/>
      <c r="CG2958" s="105"/>
      <c r="FK2958" s="7"/>
    </row>
    <row r="2959" spans="1:167">
      <c r="A2959" s="571"/>
      <c r="B2959" s="1008"/>
      <c r="C2959" s="7"/>
      <c r="P2959" s="7"/>
      <c r="AX2959" s="7"/>
      <c r="BP2959" s="61"/>
      <c r="CF2959" s="104"/>
      <c r="CG2959" s="105"/>
      <c r="FK2959" s="7"/>
    </row>
    <row r="2960" spans="1:167">
      <c r="A2960" s="571"/>
      <c r="B2960" s="1008"/>
      <c r="C2960" s="7"/>
      <c r="P2960" s="7"/>
      <c r="AX2960" s="7"/>
      <c r="BP2960" s="61"/>
      <c r="CF2960" s="104"/>
      <c r="CG2960" s="105"/>
      <c r="FK2960" s="7"/>
    </row>
    <row r="2961" spans="1:167">
      <c r="A2961" s="571"/>
      <c r="B2961" s="1008"/>
      <c r="C2961" s="7"/>
      <c r="P2961" s="7"/>
      <c r="AX2961" s="7"/>
      <c r="BP2961" s="61"/>
      <c r="CF2961" s="104"/>
      <c r="CG2961" s="105"/>
      <c r="FK2961" s="7"/>
    </row>
    <row r="2962" spans="1:167">
      <c r="A2962" s="571"/>
      <c r="B2962" s="1008"/>
      <c r="C2962" s="7"/>
      <c r="P2962" s="7"/>
      <c r="AX2962" s="7"/>
      <c r="BP2962" s="61"/>
      <c r="CF2962" s="104"/>
      <c r="CG2962" s="105"/>
      <c r="FK2962" s="7"/>
    </row>
    <row r="2963" spans="1:167">
      <c r="A2963" s="571"/>
      <c r="B2963" s="1008"/>
      <c r="C2963" s="7"/>
      <c r="P2963" s="7"/>
      <c r="AX2963" s="7"/>
      <c r="BP2963" s="61"/>
      <c r="CF2963" s="104"/>
      <c r="CG2963" s="105"/>
      <c r="FK2963" s="7"/>
    </row>
    <row r="2964" spans="1:167">
      <c r="A2964" s="571"/>
      <c r="B2964" s="1008"/>
      <c r="C2964" s="7"/>
      <c r="P2964" s="7"/>
      <c r="AX2964" s="7"/>
      <c r="BP2964" s="61"/>
      <c r="CF2964" s="104"/>
      <c r="CG2964" s="105"/>
      <c r="FK2964" s="7"/>
    </row>
    <row r="2965" spans="1:167">
      <c r="A2965" s="571"/>
      <c r="B2965" s="1008"/>
      <c r="C2965" s="7"/>
      <c r="P2965" s="7"/>
      <c r="AX2965" s="7"/>
      <c r="BP2965" s="61"/>
      <c r="CF2965" s="104"/>
      <c r="CG2965" s="105"/>
      <c r="FK2965" s="7"/>
    </row>
    <row r="2966" spans="1:167">
      <c r="A2966" s="571"/>
      <c r="B2966" s="1008"/>
      <c r="C2966" s="7"/>
      <c r="P2966" s="7"/>
      <c r="AX2966" s="7"/>
      <c r="BP2966" s="61"/>
      <c r="CF2966" s="104"/>
      <c r="CG2966" s="105"/>
      <c r="FK2966" s="7"/>
    </row>
    <row r="2967" spans="1:167">
      <c r="A2967" s="571"/>
      <c r="B2967" s="1008"/>
      <c r="C2967" s="7"/>
      <c r="P2967" s="7"/>
      <c r="AX2967" s="7"/>
      <c r="BP2967" s="61"/>
      <c r="CF2967" s="104"/>
      <c r="CG2967" s="105"/>
      <c r="FK2967" s="7"/>
    </row>
    <row r="2968" spans="1:167">
      <c r="A2968" s="571"/>
      <c r="B2968" s="1008"/>
      <c r="C2968" s="7"/>
      <c r="P2968" s="7"/>
      <c r="AX2968" s="7"/>
      <c r="BP2968" s="61"/>
      <c r="CF2968" s="104"/>
      <c r="CG2968" s="105"/>
      <c r="FK2968" s="7"/>
    </row>
    <row r="2969" spans="1:167">
      <c r="A2969" s="571"/>
      <c r="B2969" s="1008"/>
      <c r="C2969" s="7"/>
      <c r="P2969" s="7"/>
      <c r="AX2969" s="7"/>
      <c r="BP2969" s="61"/>
      <c r="CF2969" s="104"/>
      <c r="CG2969" s="105"/>
      <c r="FK2969" s="7"/>
    </row>
    <row r="2970" spans="1:167">
      <c r="A2970" s="571"/>
      <c r="B2970" s="1008"/>
      <c r="C2970" s="7"/>
      <c r="P2970" s="7"/>
      <c r="AX2970" s="7"/>
      <c r="BP2970" s="61"/>
      <c r="CF2970" s="104"/>
      <c r="CG2970" s="105"/>
      <c r="FK2970" s="7"/>
    </row>
    <row r="2971" spans="1:167">
      <c r="A2971" s="571"/>
      <c r="B2971" s="1008"/>
      <c r="C2971" s="7"/>
      <c r="P2971" s="7"/>
      <c r="AX2971" s="7"/>
      <c r="BP2971" s="61"/>
      <c r="CF2971" s="104"/>
      <c r="CG2971" s="105"/>
      <c r="FK2971" s="7"/>
    </row>
    <row r="2972" spans="1:167">
      <c r="A2972" s="571"/>
      <c r="B2972" s="1008"/>
      <c r="C2972" s="7"/>
      <c r="P2972" s="7"/>
      <c r="AX2972" s="7"/>
      <c r="BP2972" s="61"/>
      <c r="CF2972" s="104"/>
      <c r="CG2972" s="105"/>
      <c r="FK2972" s="7"/>
    </row>
    <row r="2973" spans="1:167">
      <c r="A2973" s="571"/>
      <c r="B2973" s="1008"/>
      <c r="C2973" s="7"/>
      <c r="P2973" s="7"/>
      <c r="AX2973" s="7"/>
      <c r="BP2973" s="61"/>
      <c r="CF2973" s="104"/>
      <c r="CG2973" s="105"/>
      <c r="FK2973" s="7"/>
    </row>
    <row r="2974" spans="1:167">
      <c r="A2974" s="571"/>
      <c r="B2974" s="1008"/>
      <c r="C2974" s="7"/>
      <c r="P2974" s="7"/>
      <c r="AX2974" s="7"/>
      <c r="BP2974" s="61"/>
      <c r="CF2974" s="104"/>
      <c r="CG2974" s="105"/>
      <c r="FK2974" s="7"/>
    </row>
    <row r="2975" spans="1:167">
      <c r="A2975" s="571"/>
      <c r="B2975" s="1008"/>
      <c r="C2975" s="7"/>
      <c r="P2975" s="7"/>
      <c r="AX2975" s="7"/>
      <c r="BP2975" s="61"/>
      <c r="CF2975" s="104"/>
      <c r="CG2975" s="105"/>
      <c r="FK2975" s="7"/>
    </row>
    <row r="2976" spans="1:167">
      <c r="A2976" s="571"/>
      <c r="B2976" s="1008"/>
      <c r="C2976" s="7"/>
      <c r="P2976" s="7"/>
      <c r="AX2976" s="7"/>
      <c r="BP2976" s="61"/>
      <c r="CF2976" s="104"/>
      <c r="CG2976" s="105"/>
      <c r="FK2976" s="7"/>
    </row>
    <row r="2977" spans="1:167">
      <c r="A2977" s="571"/>
      <c r="B2977" s="1008"/>
      <c r="C2977" s="7"/>
      <c r="P2977" s="7"/>
      <c r="AX2977" s="7"/>
      <c r="BP2977" s="61"/>
      <c r="CF2977" s="104"/>
      <c r="CG2977" s="105"/>
      <c r="FK2977" s="7"/>
    </row>
    <row r="2978" spans="1:167">
      <c r="A2978" s="571"/>
      <c r="B2978" s="1008"/>
      <c r="C2978" s="7"/>
      <c r="P2978" s="7"/>
      <c r="AX2978" s="7"/>
      <c r="BP2978" s="61"/>
      <c r="CF2978" s="104"/>
      <c r="CG2978" s="105"/>
      <c r="FK2978" s="7"/>
    </row>
    <row r="2979" spans="1:167">
      <c r="A2979" s="571"/>
      <c r="B2979" s="1008"/>
      <c r="C2979" s="7"/>
      <c r="P2979" s="7"/>
      <c r="AX2979" s="7"/>
      <c r="BP2979" s="61"/>
      <c r="CF2979" s="104"/>
      <c r="CG2979" s="105"/>
      <c r="FK2979" s="7"/>
    </row>
    <row r="2980" spans="1:167">
      <c r="A2980" s="571"/>
      <c r="B2980" s="1008"/>
      <c r="C2980" s="7"/>
      <c r="P2980" s="7"/>
      <c r="AX2980" s="7"/>
      <c r="BP2980" s="61"/>
      <c r="CF2980" s="104"/>
      <c r="CG2980" s="105"/>
      <c r="FK2980" s="7"/>
    </row>
    <row r="2981" spans="1:167">
      <c r="A2981" s="571"/>
      <c r="B2981" s="1008"/>
      <c r="C2981" s="7"/>
      <c r="P2981" s="7"/>
      <c r="AX2981" s="7"/>
      <c r="BP2981" s="61"/>
      <c r="CF2981" s="104"/>
      <c r="CG2981" s="105"/>
      <c r="FK2981" s="7"/>
    </row>
    <row r="2982" spans="1:167">
      <c r="A2982" s="571"/>
      <c r="B2982" s="1008"/>
      <c r="C2982" s="7"/>
      <c r="P2982" s="7"/>
      <c r="AX2982" s="7"/>
      <c r="BP2982" s="61"/>
      <c r="CF2982" s="104"/>
      <c r="CG2982" s="105"/>
      <c r="FK2982" s="7"/>
    </row>
    <row r="2983" spans="1:167">
      <c r="A2983" s="571"/>
      <c r="B2983" s="1008"/>
      <c r="C2983" s="7"/>
      <c r="P2983" s="7"/>
      <c r="AX2983" s="7"/>
      <c r="BP2983" s="61"/>
      <c r="CF2983" s="104"/>
      <c r="CG2983" s="105"/>
      <c r="FK2983" s="7"/>
    </row>
    <row r="2984" spans="1:167">
      <c r="A2984" s="571"/>
      <c r="B2984" s="1008"/>
      <c r="C2984" s="7"/>
      <c r="P2984" s="7"/>
      <c r="AX2984" s="7"/>
      <c r="BP2984" s="61"/>
      <c r="CF2984" s="104"/>
      <c r="CG2984" s="105"/>
      <c r="FK2984" s="7"/>
    </row>
    <row r="2985" spans="1:167">
      <c r="A2985" s="571"/>
      <c r="B2985" s="1008"/>
      <c r="C2985" s="7"/>
      <c r="P2985" s="7"/>
      <c r="AX2985" s="7"/>
      <c r="BP2985" s="61"/>
      <c r="CF2985" s="104"/>
      <c r="CG2985" s="105"/>
      <c r="FK2985" s="7"/>
    </row>
    <row r="2986" spans="1:167">
      <c r="A2986" s="571"/>
      <c r="B2986" s="1008"/>
      <c r="C2986" s="7"/>
      <c r="P2986" s="7"/>
      <c r="AX2986" s="7"/>
      <c r="BP2986" s="61"/>
      <c r="CF2986" s="104"/>
      <c r="CG2986" s="105"/>
      <c r="FK2986" s="7"/>
    </row>
    <row r="2987" spans="1:167">
      <c r="A2987" s="571"/>
      <c r="B2987" s="1008"/>
      <c r="C2987" s="7"/>
      <c r="P2987" s="7"/>
      <c r="AX2987" s="7"/>
      <c r="BP2987" s="61"/>
      <c r="CF2987" s="104"/>
      <c r="CG2987" s="105"/>
      <c r="FK2987" s="7"/>
    </row>
    <row r="2988" spans="1:167">
      <c r="A2988" s="571"/>
      <c r="B2988" s="1008"/>
      <c r="C2988" s="7"/>
      <c r="P2988" s="7"/>
      <c r="AX2988" s="7"/>
      <c r="BP2988" s="61"/>
      <c r="CF2988" s="104"/>
      <c r="CG2988" s="105"/>
      <c r="FK2988" s="7"/>
    </row>
    <row r="2989" spans="1:167">
      <c r="A2989" s="571"/>
      <c r="B2989" s="1008"/>
      <c r="C2989" s="7"/>
      <c r="P2989" s="7"/>
      <c r="AX2989" s="7"/>
      <c r="BP2989" s="61"/>
      <c r="CF2989" s="104"/>
      <c r="CG2989" s="105"/>
      <c r="FK2989" s="7"/>
    </row>
    <row r="2990" spans="1:167">
      <c r="A2990" s="571"/>
      <c r="B2990" s="1008"/>
      <c r="C2990" s="7"/>
      <c r="P2990" s="7"/>
      <c r="AX2990" s="7"/>
      <c r="BP2990" s="61"/>
      <c r="CF2990" s="104"/>
      <c r="CG2990" s="105"/>
      <c r="FK2990" s="7"/>
    </row>
    <row r="2991" spans="1:167">
      <c r="A2991" s="571"/>
      <c r="B2991" s="1008"/>
      <c r="C2991" s="7"/>
      <c r="P2991" s="7"/>
      <c r="AX2991" s="7"/>
      <c r="BP2991" s="61"/>
      <c r="CF2991" s="104"/>
      <c r="CG2991" s="105"/>
      <c r="FK2991" s="7"/>
    </row>
    <row r="2992" spans="1:167">
      <c r="A2992" s="571"/>
      <c r="B2992" s="1008"/>
      <c r="C2992" s="7"/>
      <c r="P2992" s="7"/>
      <c r="AX2992" s="7"/>
      <c r="BP2992" s="61"/>
      <c r="CF2992" s="104"/>
      <c r="CG2992" s="105"/>
      <c r="FK2992" s="7"/>
    </row>
    <row r="2993" spans="1:167">
      <c r="A2993" s="571"/>
      <c r="B2993" s="1008"/>
      <c r="C2993" s="7"/>
      <c r="P2993" s="7"/>
      <c r="AX2993" s="7"/>
      <c r="BP2993" s="61"/>
      <c r="CF2993" s="104"/>
      <c r="CG2993" s="105"/>
      <c r="FK2993" s="7"/>
    </row>
    <row r="2994" spans="1:167">
      <c r="A2994" s="571"/>
      <c r="B2994" s="1008"/>
      <c r="C2994" s="7"/>
      <c r="P2994" s="7"/>
      <c r="AX2994" s="7"/>
      <c r="BP2994" s="61"/>
      <c r="CF2994" s="104"/>
      <c r="CG2994" s="105"/>
      <c r="FK2994" s="7"/>
    </row>
    <row r="2995" spans="1:167">
      <c r="A2995" s="571"/>
      <c r="B2995" s="1008"/>
      <c r="C2995" s="7"/>
      <c r="P2995" s="7"/>
      <c r="AX2995" s="7"/>
      <c r="BP2995" s="61"/>
      <c r="CF2995" s="104"/>
      <c r="CG2995" s="105"/>
      <c r="FK2995" s="7"/>
    </row>
    <row r="2996" spans="1:167">
      <c r="A2996" s="571"/>
      <c r="B2996" s="1008"/>
      <c r="C2996" s="7"/>
      <c r="P2996" s="7"/>
      <c r="AX2996" s="7"/>
      <c r="BP2996" s="61"/>
      <c r="CF2996" s="104"/>
      <c r="CG2996" s="105"/>
      <c r="FK2996" s="7"/>
    </row>
    <row r="2997" spans="1:167">
      <c r="A2997" s="571"/>
      <c r="B2997" s="1008"/>
      <c r="C2997" s="7"/>
      <c r="P2997" s="7"/>
      <c r="AX2997" s="7"/>
      <c r="BP2997" s="61"/>
      <c r="CF2997" s="104"/>
      <c r="CG2997" s="105"/>
      <c r="FK2997" s="7"/>
    </row>
    <row r="2998" spans="1:167">
      <c r="A2998" s="571"/>
      <c r="B2998" s="1008"/>
      <c r="C2998" s="7"/>
      <c r="P2998" s="7"/>
      <c r="AX2998" s="7"/>
      <c r="BP2998" s="61"/>
      <c r="CF2998" s="104"/>
      <c r="CG2998" s="105"/>
      <c r="FK2998" s="7"/>
    </row>
    <row r="2999" spans="1:167">
      <c r="A2999" s="571"/>
      <c r="B2999" s="1008"/>
      <c r="C2999" s="7"/>
      <c r="P2999" s="7"/>
      <c r="AX2999" s="7"/>
      <c r="BP2999" s="61"/>
      <c r="CF2999" s="104"/>
      <c r="CG2999" s="105"/>
      <c r="FK2999" s="7"/>
    </row>
    <row r="3000" spans="1:167">
      <c r="A3000" s="571"/>
      <c r="B3000" s="1008"/>
      <c r="C3000" s="7"/>
      <c r="P3000" s="7"/>
      <c r="AX3000" s="7"/>
      <c r="BP3000" s="61"/>
      <c r="CF3000" s="104"/>
      <c r="CG3000" s="105"/>
      <c r="FK3000" s="7"/>
    </row>
    <row r="3001" spans="1:167">
      <c r="A3001" s="571"/>
      <c r="B3001" s="1008"/>
      <c r="C3001" s="7"/>
      <c r="P3001" s="7"/>
      <c r="AX3001" s="7"/>
      <c r="BP3001" s="61"/>
      <c r="CF3001" s="104"/>
      <c r="CG3001" s="105"/>
      <c r="FK3001" s="7"/>
    </row>
    <row r="3002" spans="1:167">
      <c r="A3002" s="571"/>
      <c r="B3002" s="1008"/>
      <c r="C3002" s="7"/>
      <c r="P3002" s="7"/>
      <c r="AX3002" s="7"/>
      <c r="BP3002" s="61"/>
      <c r="CF3002" s="104"/>
      <c r="CG3002" s="105"/>
      <c r="FK3002" s="7"/>
    </row>
    <row r="3003" spans="1:167">
      <c r="A3003" s="571"/>
      <c r="B3003" s="1008"/>
      <c r="C3003" s="7"/>
      <c r="P3003" s="7"/>
      <c r="AX3003" s="7"/>
      <c r="BP3003" s="61"/>
      <c r="CF3003" s="104"/>
      <c r="CG3003" s="105"/>
      <c r="FK3003" s="7"/>
    </row>
    <row r="3004" spans="1:167">
      <c r="A3004" s="571"/>
      <c r="B3004" s="1008"/>
      <c r="C3004" s="7"/>
      <c r="P3004" s="7"/>
      <c r="AX3004" s="7"/>
      <c r="BP3004" s="61"/>
      <c r="CF3004" s="104"/>
      <c r="CG3004" s="105"/>
      <c r="FK3004" s="7"/>
    </row>
    <row r="3005" spans="1:167">
      <c r="A3005" s="571"/>
      <c r="B3005" s="1008"/>
      <c r="C3005" s="7"/>
      <c r="P3005" s="7"/>
      <c r="AX3005" s="7"/>
      <c r="BP3005" s="61"/>
      <c r="CF3005" s="104"/>
      <c r="CG3005" s="105"/>
      <c r="FK3005" s="7"/>
    </row>
    <row r="3006" spans="1:167">
      <c r="A3006" s="571"/>
      <c r="B3006" s="1008"/>
      <c r="C3006" s="7"/>
      <c r="P3006" s="7"/>
      <c r="AX3006" s="7"/>
      <c r="BP3006" s="61"/>
      <c r="CF3006" s="104"/>
      <c r="CG3006" s="105"/>
      <c r="FK3006" s="7"/>
    </row>
    <row r="3007" spans="1:167">
      <c r="A3007" s="571"/>
      <c r="B3007" s="1008"/>
      <c r="C3007" s="7"/>
      <c r="P3007" s="7"/>
      <c r="AX3007" s="7"/>
      <c r="BP3007" s="61"/>
      <c r="CF3007" s="104"/>
      <c r="CG3007" s="105"/>
      <c r="FK3007" s="7"/>
    </row>
    <row r="3008" spans="1:167">
      <c r="A3008" s="571"/>
      <c r="B3008" s="1008"/>
      <c r="C3008" s="7"/>
      <c r="P3008" s="7"/>
      <c r="AX3008" s="7"/>
      <c r="BP3008" s="61"/>
      <c r="CF3008" s="104"/>
      <c r="CG3008" s="105"/>
      <c r="FK3008" s="7"/>
    </row>
    <row r="3009" spans="1:167">
      <c r="A3009" s="571"/>
      <c r="B3009" s="1008"/>
      <c r="C3009" s="7"/>
      <c r="P3009" s="7"/>
      <c r="AX3009" s="7"/>
      <c r="BP3009" s="61"/>
      <c r="CF3009" s="104"/>
      <c r="CG3009" s="105"/>
      <c r="FK3009" s="7"/>
    </row>
    <row r="3010" spans="1:167">
      <c r="A3010" s="571"/>
      <c r="B3010" s="1008"/>
      <c r="C3010" s="7"/>
      <c r="P3010" s="7"/>
      <c r="AX3010" s="7"/>
      <c r="BP3010" s="61"/>
      <c r="CF3010" s="104"/>
      <c r="CG3010" s="105"/>
      <c r="FK3010" s="7"/>
    </row>
    <row r="3011" spans="1:167">
      <c r="A3011" s="571"/>
      <c r="B3011" s="1008"/>
      <c r="C3011" s="7"/>
      <c r="P3011" s="7"/>
      <c r="AX3011" s="7"/>
      <c r="BP3011" s="61"/>
      <c r="CF3011" s="104"/>
      <c r="CG3011" s="105"/>
      <c r="FK3011" s="7"/>
    </row>
    <row r="3012" spans="1:167">
      <c r="A3012" s="571"/>
      <c r="B3012" s="1008"/>
      <c r="C3012" s="7"/>
      <c r="P3012" s="7"/>
      <c r="AX3012" s="7"/>
      <c r="BP3012" s="61"/>
      <c r="CF3012" s="104"/>
      <c r="CG3012" s="105"/>
      <c r="FK3012" s="7"/>
    </row>
    <row r="3013" spans="1:167">
      <c r="A3013" s="571"/>
      <c r="B3013" s="1008"/>
      <c r="C3013" s="7"/>
      <c r="P3013" s="7"/>
      <c r="AX3013" s="7"/>
      <c r="BP3013" s="61"/>
      <c r="CF3013" s="104"/>
      <c r="CG3013" s="105"/>
      <c r="FK3013" s="7"/>
    </row>
    <row r="3014" spans="1:167">
      <c r="A3014" s="571"/>
      <c r="B3014" s="1008"/>
      <c r="C3014" s="7"/>
      <c r="P3014" s="7"/>
      <c r="AX3014" s="7"/>
      <c r="BP3014" s="61"/>
      <c r="CF3014" s="104"/>
      <c r="CG3014" s="105"/>
      <c r="FK3014" s="7"/>
    </row>
    <row r="3015" spans="1:167">
      <c r="A3015" s="571"/>
      <c r="B3015" s="1008"/>
      <c r="C3015" s="7"/>
      <c r="P3015" s="7"/>
      <c r="AX3015" s="7"/>
      <c r="BP3015" s="61"/>
      <c r="CF3015" s="104"/>
      <c r="CG3015" s="105"/>
      <c r="FK3015" s="7"/>
    </row>
    <row r="3016" spans="1:167">
      <c r="A3016" s="571"/>
      <c r="B3016" s="1008"/>
      <c r="C3016" s="7"/>
      <c r="P3016" s="7"/>
      <c r="AX3016" s="7"/>
      <c r="BP3016" s="61"/>
      <c r="CF3016" s="104"/>
      <c r="CG3016" s="105"/>
      <c r="FK3016" s="7"/>
    </row>
    <row r="3017" spans="1:167">
      <c r="A3017" s="571"/>
      <c r="B3017" s="1008"/>
      <c r="C3017" s="7"/>
      <c r="P3017" s="7"/>
      <c r="AX3017" s="7"/>
      <c r="BP3017" s="61"/>
      <c r="CF3017" s="104"/>
      <c r="CG3017" s="105"/>
      <c r="FK3017" s="7"/>
    </row>
    <row r="3018" spans="1:167">
      <c r="A3018" s="571"/>
      <c r="B3018" s="1008"/>
      <c r="C3018" s="7"/>
      <c r="P3018" s="7"/>
      <c r="AX3018" s="7"/>
      <c r="BP3018" s="61"/>
      <c r="CF3018" s="104"/>
      <c r="CG3018" s="105"/>
      <c r="FK3018" s="7"/>
    </row>
    <row r="3019" spans="1:167">
      <c r="A3019" s="571"/>
      <c r="B3019" s="1008"/>
      <c r="C3019" s="7"/>
      <c r="P3019" s="7"/>
      <c r="AX3019" s="7"/>
      <c r="BP3019" s="61"/>
      <c r="CF3019" s="104"/>
      <c r="CG3019" s="105"/>
      <c r="FK3019" s="7"/>
    </row>
    <row r="3020" spans="1:167">
      <c r="A3020" s="571"/>
      <c r="B3020" s="1008"/>
      <c r="C3020" s="7"/>
      <c r="P3020" s="7"/>
      <c r="AX3020" s="7"/>
      <c r="BP3020" s="61"/>
      <c r="CF3020" s="104"/>
      <c r="CG3020" s="105"/>
      <c r="FK3020" s="7"/>
    </row>
    <row r="3021" spans="1:167">
      <c r="A3021" s="571"/>
      <c r="B3021" s="1008"/>
      <c r="C3021" s="7"/>
      <c r="P3021" s="7"/>
      <c r="AX3021" s="7"/>
      <c r="BP3021" s="61"/>
      <c r="CF3021" s="104"/>
      <c r="CG3021" s="105"/>
      <c r="FK3021" s="7"/>
    </row>
    <row r="3022" spans="1:167">
      <c r="A3022" s="571"/>
      <c r="B3022" s="1008"/>
      <c r="C3022" s="7"/>
      <c r="P3022" s="7"/>
      <c r="AX3022" s="7"/>
      <c r="BP3022" s="61"/>
      <c r="CF3022" s="104"/>
      <c r="CG3022" s="105"/>
      <c r="FK3022" s="7"/>
    </row>
    <row r="3023" spans="1:167">
      <c r="A3023" s="571"/>
      <c r="B3023" s="1008"/>
      <c r="C3023" s="7"/>
      <c r="P3023" s="7"/>
      <c r="AX3023" s="7"/>
      <c r="BP3023" s="61"/>
      <c r="CF3023" s="104"/>
      <c r="CG3023" s="105"/>
      <c r="FK3023" s="7"/>
    </row>
    <row r="3024" spans="1:167">
      <c r="A3024" s="571"/>
      <c r="B3024" s="1008"/>
      <c r="C3024" s="7"/>
      <c r="P3024" s="7"/>
      <c r="AX3024" s="7"/>
      <c r="BP3024" s="61"/>
      <c r="CF3024" s="104"/>
      <c r="CG3024" s="105"/>
      <c r="FK3024" s="7"/>
    </row>
    <row r="3025" spans="1:167">
      <c r="A3025" s="571"/>
      <c r="B3025" s="1008"/>
      <c r="C3025" s="7"/>
      <c r="P3025" s="7"/>
      <c r="AX3025" s="7"/>
      <c r="BP3025" s="61"/>
      <c r="CF3025" s="104"/>
      <c r="CG3025" s="105"/>
      <c r="FK3025" s="7"/>
    </row>
    <row r="3026" spans="1:167">
      <c r="A3026" s="571"/>
      <c r="B3026" s="1008"/>
      <c r="C3026" s="7"/>
      <c r="P3026" s="7"/>
      <c r="AX3026" s="7"/>
      <c r="BP3026" s="61"/>
      <c r="CF3026" s="104"/>
      <c r="CG3026" s="105"/>
      <c r="FK3026" s="7"/>
    </row>
    <row r="3027" spans="1:167">
      <c r="A3027" s="571"/>
      <c r="B3027" s="1008"/>
      <c r="C3027" s="7"/>
      <c r="P3027" s="7"/>
      <c r="AX3027" s="7"/>
      <c r="BP3027" s="61"/>
      <c r="CF3027" s="104"/>
      <c r="CG3027" s="105"/>
      <c r="FK3027" s="7"/>
    </row>
    <row r="3028" spans="1:167">
      <c r="A3028" s="571"/>
      <c r="B3028" s="1008"/>
      <c r="C3028" s="7"/>
      <c r="P3028" s="7"/>
      <c r="AX3028" s="7"/>
      <c r="BP3028" s="61"/>
      <c r="CF3028" s="104"/>
      <c r="CG3028" s="105"/>
      <c r="FK3028" s="7"/>
    </row>
    <row r="3029" spans="1:167">
      <c r="A3029" s="571"/>
      <c r="B3029" s="1008"/>
      <c r="C3029" s="7"/>
      <c r="P3029" s="7"/>
      <c r="AX3029" s="7"/>
      <c r="BP3029" s="61"/>
      <c r="CF3029" s="104"/>
      <c r="CG3029" s="105"/>
      <c r="FK3029" s="7"/>
    </row>
    <row r="3030" spans="1:167">
      <c r="A3030" s="571"/>
      <c r="B3030" s="1008"/>
      <c r="C3030" s="7"/>
      <c r="P3030" s="7"/>
      <c r="AX3030" s="7"/>
      <c r="BP3030" s="61"/>
      <c r="CF3030" s="104"/>
      <c r="CG3030" s="105"/>
      <c r="FK3030" s="7"/>
    </row>
    <row r="3031" spans="1:167">
      <c r="A3031" s="571"/>
      <c r="B3031" s="1008"/>
      <c r="C3031" s="7"/>
      <c r="P3031" s="7"/>
      <c r="AX3031" s="7"/>
      <c r="BP3031" s="61"/>
      <c r="CF3031" s="104"/>
      <c r="CG3031" s="105"/>
      <c r="FK3031" s="7"/>
    </row>
    <row r="3032" spans="1:167">
      <c r="A3032" s="571"/>
      <c r="B3032" s="1008"/>
      <c r="C3032" s="7"/>
      <c r="P3032" s="7"/>
      <c r="AX3032" s="7"/>
      <c r="BP3032" s="61"/>
      <c r="CF3032" s="104"/>
      <c r="CG3032" s="105"/>
      <c r="FK3032" s="7"/>
    </row>
    <row r="3033" spans="1:167">
      <c r="A3033" s="571"/>
      <c r="B3033" s="1008"/>
      <c r="C3033" s="7"/>
      <c r="P3033" s="7"/>
      <c r="AX3033" s="7"/>
      <c r="BP3033" s="61"/>
      <c r="CF3033" s="104"/>
      <c r="CG3033" s="105"/>
      <c r="FK3033" s="7"/>
    </row>
    <row r="3034" spans="1:167">
      <c r="A3034" s="571"/>
      <c r="B3034" s="1008"/>
      <c r="C3034" s="7"/>
      <c r="P3034" s="7"/>
      <c r="AX3034" s="7"/>
      <c r="BP3034" s="61"/>
      <c r="CF3034" s="104"/>
      <c r="CG3034" s="105"/>
      <c r="FK3034" s="7"/>
    </row>
    <row r="3035" spans="1:167">
      <c r="A3035" s="571"/>
      <c r="B3035" s="1008"/>
      <c r="C3035" s="7"/>
      <c r="P3035" s="7"/>
      <c r="AX3035" s="7"/>
      <c r="BP3035" s="61"/>
      <c r="CF3035" s="104"/>
      <c r="CG3035" s="105"/>
      <c r="FK3035" s="7"/>
    </row>
    <row r="3036" spans="1:167">
      <c r="A3036" s="571"/>
      <c r="B3036" s="1008"/>
      <c r="C3036" s="7"/>
      <c r="P3036" s="7"/>
      <c r="AX3036" s="7"/>
      <c r="BP3036" s="61"/>
      <c r="CF3036" s="104"/>
      <c r="CG3036" s="105"/>
      <c r="FK3036" s="7"/>
    </row>
    <row r="3037" spans="1:167">
      <c r="A3037" s="571"/>
      <c r="B3037" s="1008"/>
      <c r="C3037" s="7"/>
      <c r="P3037" s="7"/>
      <c r="AX3037" s="7"/>
      <c r="BP3037" s="61"/>
      <c r="CF3037" s="104"/>
      <c r="CG3037" s="105"/>
      <c r="FK3037" s="7"/>
    </row>
    <row r="3038" spans="1:167">
      <c r="A3038" s="571"/>
      <c r="B3038" s="1008"/>
      <c r="C3038" s="7"/>
      <c r="P3038" s="7"/>
      <c r="AX3038" s="7"/>
      <c r="BP3038" s="61"/>
      <c r="CF3038" s="104"/>
      <c r="CG3038" s="105"/>
      <c r="FK3038" s="7"/>
    </row>
    <row r="3039" spans="1:167">
      <c r="A3039" s="571"/>
      <c r="B3039" s="1008"/>
      <c r="C3039" s="7"/>
      <c r="P3039" s="7"/>
      <c r="AX3039" s="7"/>
      <c r="BP3039" s="61"/>
      <c r="CF3039" s="104"/>
      <c r="CG3039" s="105"/>
      <c r="FK3039" s="7"/>
    </row>
    <row r="3040" spans="1:167">
      <c r="A3040" s="571"/>
      <c r="B3040" s="1008"/>
      <c r="C3040" s="7"/>
      <c r="P3040" s="7"/>
      <c r="AX3040" s="7"/>
      <c r="BP3040" s="61"/>
      <c r="CF3040" s="104"/>
      <c r="CG3040" s="105"/>
      <c r="FK3040" s="7"/>
    </row>
    <row r="3041" spans="1:167">
      <c r="A3041" s="571"/>
      <c r="B3041" s="1008"/>
      <c r="C3041" s="7"/>
      <c r="P3041" s="7"/>
      <c r="AX3041" s="7"/>
      <c r="BP3041" s="61"/>
      <c r="CF3041" s="104"/>
      <c r="CG3041" s="105"/>
      <c r="FK3041" s="7"/>
    </row>
    <row r="3042" spans="1:167">
      <c r="A3042" s="571"/>
      <c r="B3042" s="1008"/>
      <c r="C3042" s="7"/>
      <c r="P3042" s="7"/>
      <c r="AX3042" s="7"/>
      <c r="BP3042" s="61"/>
      <c r="CF3042" s="104"/>
      <c r="CG3042" s="105"/>
      <c r="FK3042" s="7"/>
    </row>
    <row r="3043" spans="1:167">
      <c r="A3043" s="571"/>
      <c r="B3043" s="1008"/>
      <c r="C3043" s="7"/>
      <c r="P3043" s="7"/>
      <c r="AX3043" s="7"/>
      <c r="BP3043" s="61"/>
      <c r="CF3043" s="104"/>
      <c r="CG3043" s="105"/>
      <c r="FK3043" s="7"/>
    </row>
    <row r="3044" spans="1:167">
      <c r="A3044" s="571"/>
      <c r="B3044" s="1008"/>
      <c r="C3044" s="7"/>
      <c r="P3044" s="7"/>
      <c r="AX3044" s="7"/>
      <c r="BP3044" s="61"/>
      <c r="CF3044" s="104"/>
      <c r="CG3044" s="105"/>
      <c r="FK3044" s="7"/>
    </row>
    <row r="3045" spans="1:167">
      <c r="A3045" s="571"/>
      <c r="B3045" s="1008"/>
      <c r="C3045" s="7"/>
      <c r="P3045" s="7"/>
      <c r="AX3045" s="7"/>
      <c r="BP3045" s="61"/>
      <c r="CF3045" s="104"/>
      <c r="CG3045" s="105"/>
      <c r="FK3045" s="7"/>
    </row>
    <row r="3046" spans="1:167">
      <c r="A3046" s="571"/>
      <c r="B3046" s="1008"/>
      <c r="C3046" s="7"/>
      <c r="P3046" s="7"/>
      <c r="AX3046" s="7"/>
      <c r="BP3046" s="61"/>
      <c r="CF3046" s="104"/>
      <c r="CG3046" s="105"/>
      <c r="FK3046" s="7"/>
    </row>
    <row r="3047" spans="1:167">
      <c r="A3047" s="571"/>
      <c r="B3047" s="1008"/>
      <c r="C3047" s="7"/>
      <c r="P3047" s="7"/>
      <c r="AX3047" s="7"/>
      <c r="BP3047" s="61"/>
      <c r="CF3047" s="104"/>
      <c r="CG3047" s="105"/>
      <c r="FK3047" s="7"/>
    </row>
    <row r="3048" spans="1:167">
      <c r="A3048" s="571"/>
      <c r="B3048" s="1008"/>
      <c r="C3048" s="7"/>
      <c r="P3048" s="7"/>
      <c r="AX3048" s="7"/>
      <c r="BP3048" s="61"/>
      <c r="CF3048" s="104"/>
      <c r="CG3048" s="105"/>
      <c r="FK3048" s="7"/>
    </row>
    <row r="3049" spans="1:167">
      <c r="A3049" s="571"/>
      <c r="B3049" s="1008"/>
      <c r="C3049" s="7"/>
      <c r="P3049" s="7"/>
      <c r="AX3049" s="7"/>
      <c r="BP3049" s="61"/>
      <c r="CF3049" s="104"/>
      <c r="CG3049" s="105"/>
      <c r="FK3049" s="7"/>
    </row>
    <row r="3050" spans="1:167">
      <c r="A3050" s="571"/>
      <c r="B3050" s="1008"/>
      <c r="C3050" s="7"/>
      <c r="P3050" s="7"/>
      <c r="AX3050" s="7"/>
      <c r="BP3050" s="61"/>
      <c r="CF3050" s="104"/>
      <c r="CG3050" s="105"/>
      <c r="FK3050" s="7"/>
    </row>
    <row r="3051" spans="1:167">
      <c r="A3051" s="571"/>
      <c r="B3051" s="1008"/>
      <c r="C3051" s="7"/>
      <c r="P3051" s="7"/>
      <c r="AX3051" s="7"/>
      <c r="BP3051" s="61"/>
      <c r="CF3051" s="104"/>
      <c r="CG3051" s="105"/>
      <c r="FK3051" s="7"/>
    </row>
    <row r="3052" spans="1:167">
      <c r="A3052" s="571"/>
      <c r="B3052" s="1008"/>
      <c r="C3052" s="7"/>
      <c r="P3052" s="7"/>
      <c r="AX3052" s="7"/>
      <c r="BP3052" s="61"/>
      <c r="CF3052" s="104"/>
      <c r="CG3052" s="105"/>
      <c r="FK3052" s="7"/>
    </row>
    <row r="3053" spans="1:167">
      <c r="A3053" s="571"/>
      <c r="B3053" s="1008"/>
      <c r="C3053" s="7"/>
      <c r="P3053" s="7"/>
      <c r="AX3053" s="7"/>
      <c r="BP3053" s="61"/>
      <c r="CF3053" s="104"/>
      <c r="CG3053" s="105"/>
      <c r="FK3053" s="7"/>
    </row>
    <row r="3054" spans="1:167">
      <c r="A3054" s="571"/>
      <c r="B3054" s="1008"/>
      <c r="C3054" s="7"/>
      <c r="P3054" s="7"/>
      <c r="AX3054" s="7"/>
      <c r="BP3054" s="61"/>
      <c r="CF3054" s="104"/>
      <c r="CG3054" s="105"/>
      <c r="FK3054" s="7"/>
    </row>
    <row r="3055" spans="1:167">
      <c r="A3055" s="571"/>
      <c r="B3055" s="1008"/>
      <c r="C3055" s="7"/>
      <c r="P3055" s="7"/>
      <c r="AX3055" s="7"/>
      <c r="BP3055" s="61"/>
      <c r="CF3055" s="104"/>
      <c r="CG3055" s="105"/>
      <c r="FK3055" s="7"/>
    </row>
    <row r="3056" spans="1:167">
      <c r="A3056" s="571"/>
      <c r="B3056" s="1008"/>
      <c r="C3056" s="7"/>
      <c r="P3056" s="7"/>
      <c r="AX3056" s="7"/>
      <c r="BP3056" s="61"/>
      <c r="CF3056" s="104"/>
      <c r="CG3056" s="105"/>
      <c r="FK3056" s="7"/>
    </row>
    <row r="3057" spans="1:167">
      <c r="A3057" s="571"/>
      <c r="B3057" s="1008"/>
      <c r="C3057" s="7"/>
      <c r="P3057" s="7"/>
      <c r="AX3057" s="7"/>
      <c r="BP3057" s="61"/>
      <c r="CF3057" s="104"/>
      <c r="CG3057" s="105"/>
      <c r="FK3057" s="7"/>
    </row>
    <row r="3058" spans="1:167">
      <c r="A3058" s="571"/>
      <c r="B3058" s="1008"/>
      <c r="C3058" s="7"/>
      <c r="P3058" s="7"/>
      <c r="AX3058" s="7"/>
      <c r="BP3058" s="61"/>
      <c r="CF3058" s="104"/>
      <c r="CG3058" s="105"/>
      <c r="FK3058" s="7"/>
    </row>
    <row r="3059" spans="1:167">
      <c r="A3059" s="571"/>
      <c r="B3059" s="1008"/>
      <c r="C3059" s="7"/>
      <c r="P3059" s="7"/>
      <c r="AX3059" s="7"/>
      <c r="BP3059" s="61"/>
      <c r="CF3059" s="104"/>
      <c r="CG3059" s="105"/>
      <c r="FK3059" s="7"/>
    </row>
    <row r="3060" spans="1:167">
      <c r="A3060" s="571"/>
      <c r="B3060" s="1008"/>
      <c r="C3060" s="7"/>
      <c r="P3060" s="7"/>
      <c r="AX3060" s="7"/>
      <c r="BP3060" s="61"/>
      <c r="CF3060" s="104"/>
      <c r="CG3060" s="105"/>
      <c r="FK3060" s="7"/>
    </row>
    <row r="3061" spans="1:167">
      <c r="A3061" s="571"/>
      <c r="B3061" s="1008"/>
      <c r="C3061" s="7"/>
      <c r="P3061" s="7"/>
      <c r="AX3061" s="7"/>
      <c r="BP3061" s="61"/>
      <c r="CF3061" s="104"/>
      <c r="CG3061" s="105"/>
      <c r="FK3061" s="7"/>
    </row>
    <row r="3062" spans="1:167">
      <c r="A3062" s="571"/>
      <c r="B3062" s="1008"/>
      <c r="C3062" s="7"/>
      <c r="P3062" s="7"/>
      <c r="AX3062" s="7"/>
      <c r="BP3062" s="61"/>
      <c r="CF3062" s="104"/>
      <c r="CG3062" s="105"/>
      <c r="FK3062" s="7"/>
    </row>
    <row r="3063" spans="1:167">
      <c r="A3063" s="571"/>
      <c r="B3063" s="1008"/>
      <c r="C3063" s="7"/>
      <c r="P3063" s="7"/>
      <c r="AX3063" s="7"/>
      <c r="BP3063" s="61"/>
      <c r="CF3063" s="104"/>
      <c r="CG3063" s="105"/>
      <c r="FK3063" s="7"/>
    </row>
    <row r="3064" spans="1:167">
      <c r="A3064" s="571"/>
      <c r="B3064" s="1008"/>
      <c r="C3064" s="7"/>
      <c r="P3064" s="7"/>
      <c r="AX3064" s="7"/>
      <c r="BP3064" s="61"/>
      <c r="CF3064" s="104"/>
      <c r="CG3064" s="105"/>
      <c r="FK3064" s="7"/>
    </row>
    <row r="3065" spans="1:167">
      <c r="A3065" s="571"/>
      <c r="B3065" s="1008"/>
      <c r="C3065" s="7"/>
      <c r="P3065" s="7"/>
      <c r="AX3065" s="7"/>
      <c r="BP3065" s="61"/>
      <c r="CF3065" s="104"/>
      <c r="CG3065" s="105"/>
      <c r="FK3065" s="7"/>
    </row>
    <row r="3066" spans="1:167">
      <c r="A3066" s="571"/>
      <c r="B3066" s="1008"/>
      <c r="C3066" s="7"/>
      <c r="P3066" s="7"/>
      <c r="AX3066" s="7"/>
      <c r="BP3066" s="61"/>
      <c r="CF3066" s="104"/>
      <c r="CG3066" s="105"/>
      <c r="FK3066" s="7"/>
    </row>
    <row r="3067" spans="1:167">
      <c r="A3067" s="571"/>
      <c r="B3067" s="1008"/>
      <c r="C3067" s="7"/>
      <c r="P3067" s="7"/>
      <c r="AX3067" s="7"/>
      <c r="BP3067" s="61"/>
      <c r="CF3067" s="104"/>
      <c r="CG3067" s="105"/>
      <c r="FK3067" s="7"/>
    </row>
    <row r="3068" spans="1:167">
      <c r="A3068" s="571"/>
      <c r="B3068" s="1008"/>
      <c r="C3068" s="7"/>
      <c r="P3068" s="7"/>
      <c r="AX3068" s="7"/>
      <c r="BP3068" s="61"/>
      <c r="CF3068" s="104"/>
      <c r="CG3068" s="105"/>
      <c r="FK3068" s="7"/>
    </row>
    <row r="3069" spans="1:167">
      <c r="A3069" s="571"/>
      <c r="B3069" s="1008"/>
      <c r="C3069" s="7"/>
      <c r="P3069" s="7"/>
      <c r="AX3069" s="7"/>
      <c r="BP3069" s="61"/>
      <c r="CF3069" s="104"/>
      <c r="CG3069" s="105"/>
      <c r="FK3069" s="7"/>
    </row>
    <row r="3070" spans="1:167">
      <c r="A3070" s="571"/>
      <c r="B3070" s="1008"/>
      <c r="C3070" s="7"/>
      <c r="P3070" s="7"/>
      <c r="AX3070" s="7"/>
      <c r="BP3070" s="61"/>
      <c r="CF3070" s="104"/>
      <c r="CG3070" s="105"/>
      <c r="FK3070" s="7"/>
    </row>
    <row r="3071" spans="1:167">
      <c r="A3071" s="571"/>
      <c r="B3071" s="1008"/>
      <c r="C3071" s="7"/>
      <c r="P3071" s="7"/>
      <c r="AX3071" s="7"/>
      <c r="BP3071" s="61"/>
      <c r="CF3071" s="104"/>
      <c r="CG3071" s="105"/>
      <c r="FK3071" s="7"/>
    </row>
    <row r="3072" spans="1:167">
      <c r="A3072" s="571"/>
      <c r="B3072" s="1008"/>
      <c r="C3072" s="7"/>
      <c r="P3072" s="7"/>
      <c r="AX3072" s="7"/>
      <c r="BP3072" s="61"/>
      <c r="CF3072" s="104"/>
      <c r="CG3072" s="105"/>
      <c r="FK3072" s="7"/>
    </row>
    <row r="3073" spans="1:167">
      <c r="A3073" s="571"/>
      <c r="B3073" s="1008"/>
      <c r="C3073" s="7"/>
      <c r="P3073" s="7"/>
      <c r="AX3073" s="7"/>
      <c r="BP3073" s="61"/>
      <c r="CF3073" s="104"/>
      <c r="CG3073" s="105"/>
      <c r="FK3073" s="7"/>
    </row>
    <row r="3074" spans="1:167">
      <c r="A3074" s="571"/>
      <c r="B3074" s="1008"/>
      <c r="C3074" s="7"/>
      <c r="P3074" s="7"/>
      <c r="AX3074" s="7"/>
      <c r="BP3074" s="61"/>
      <c r="CF3074" s="104"/>
      <c r="CG3074" s="105"/>
      <c r="FK3074" s="7"/>
    </row>
    <row r="3075" spans="1:167">
      <c r="A3075" s="571"/>
      <c r="B3075" s="1008"/>
      <c r="C3075" s="7"/>
      <c r="P3075" s="7"/>
      <c r="AX3075" s="7"/>
      <c r="BP3075" s="61"/>
      <c r="CF3075" s="104"/>
      <c r="CG3075" s="105"/>
      <c r="FK3075" s="7"/>
    </row>
    <row r="3076" spans="1:167">
      <c r="A3076" s="571"/>
      <c r="B3076" s="1008"/>
      <c r="C3076" s="7"/>
      <c r="P3076" s="7"/>
      <c r="AX3076" s="7"/>
      <c r="BP3076" s="61"/>
      <c r="CF3076" s="104"/>
      <c r="CG3076" s="105"/>
      <c r="FK3076" s="7"/>
    </row>
    <row r="3077" spans="1:167">
      <c r="A3077" s="571"/>
      <c r="B3077" s="1008"/>
      <c r="C3077" s="7"/>
      <c r="P3077" s="7"/>
      <c r="AX3077" s="7"/>
      <c r="BP3077" s="61"/>
      <c r="CF3077" s="104"/>
      <c r="CG3077" s="105"/>
      <c r="FK3077" s="7"/>
    </row>
    <row r="3078" spans="1:167">
      <c r="A3078" s="571"/>
      <c r="B3078" s="1008"/>
      <c r="C3078" s="7"/>
      <c r="P3078" s="7"/>
      <c r="AX3078" s="7"/>
      <c r="BP3078" s="61"/>
      <c r="CF3078" s="104"/>
      <c r="CG3078" s="105"/>
      <c r="FK3078" s="7"/>
    </row>
    <row r="3079" spans="1:167">
      <c r="A3079" s="571"/>
      <c r="B3079" s="1008"/>
      <c r="C3079" s="7"/>
      <c r="P3079" s="7"/>
      <c r="AX3079" s="7"/>
      <c r="BP3079" s="61"/>
      <c r="CF3079" s="104"/>
      <c r="CG3079" s="105"/>
      <c r="FK3079" s="7"/>
    </row>
    <row r="3080" spans="1:167">
      <c r="A3080" s="571"/>
      <c r="B3080" s="1008"/>
      <c r="C3080" s="7"/>
      <c r="P3080" s="7"/>
      <c r="AX3080" s="7"/>
      <c r="BP3080" s="61"/>
      <c r="CF3080" s="104"/>
      <c r="CG3080" s="105"/>
      <c r="FK3080" s="7"/>
    </row>
    <row r="3081" spans="1:167">
      <c r="A3081" s="571"/>
      <c r="B3081" s="1008"/>
      <c r="C3081" s="7"/>
      <c r="P3081" s="7"/>
      <c r="AX3081" s="7"/>
      <c r="BP3081" s="61"/>
      <c r="CF3081" s="104"/>
      <c r="CG3081" s="105"/>
      <c r="FK3081" s="7"/>
    </row>
    <row r="3082" spans="1:167">
      <c r="A3082" s="571"/>
      <c r="B3082" s="1008"/>
      <c r="C3082" s="7"/>
      <c r="P3082" s="7"/>
      <c r="AX3082" s="7"/>
      <c r="BP3082" s="61"/>
      <c r="CF3082" s="104"/>
      <c r="CG3082" s="105"/>
      <c r="FK3082" s="7"/>
    </row>
    <row r="3083" spans="1:167">
      <c r="A3083" s="571"/>
      <c r="B3083" s="1008"/>
      <c r="C3083" s="7"/>
      <c r="P3083" s="7"/>
      <c r="AX3083" s="7"/>
      <c r="BP3083" s="61"/>
      <c r="CF3083" s="104"/>
      <c r="CG3083" s="105"/>
      <c r="FK3083" s="7"/>
    </row>
    <row r="3084" spans="1:167">
      <c r="A3084" s="571"/>
      <c r="B3084" s="1008"/>
      <c r="C3084" s="7"/>
      <c r="P3084" s="7"/>
      <c r="AX3084" s="7"/>
      <c r="BP3084" s="61"/>
      <c r="CF3084" s="104"/>
      <c r="CG3084" s="105"/>
      <c r="FK3084" s="7"/>
    </row>
    <row r="3085" spans="1:167">
      <c r="A3085" s="571"/>
      <c r="B3085" s="1008"/>
      <c r="C3085" s="7"/>
      <c r="P3085" s="7"/>
      <c r="AX3085" s="7"/>
      <c r="BP3085" s="61"/>
      <c r="CF3085" s="104"/>
      <c r="CG3085" s="105"/>
      <c r="FK3085" s="7"/>
    </row>
    <row r="3086" spans="1:167">
      <c r="A3086" s="571"/>
      <c r="B3086" s="1008"/>
      <c r="C3086" s="7"/>
      <c r="P3086" s="7"/>
      <c r="AX3086" s="7"/>
      <c r="BP3086" s="61"/>
      <c r="CF3086" s="104"/>
      <c r="CG3086" s="105"/>
      <c r="FK3086" s="7"/>
    </row>
    <row r="3087" spans="1:167">
      <c r="A3087" s="571"/>
      <c r="B3087" s="1008"/>
      <c r="C3087" s="7"/>
      <c r="P3087" s="7"/>
      <c r="AX3087" s="7"/>
      <c r="BP3087" s="61"/>
      <c r="CF3087" s="104"/>
      <c r="CG3087" s="105"/>
      <c r="FK3087" s="7"/>
    </row>
    <row r="3088" spans="1:167">
      <c r="A3088" s="571"/>
      <c r="B3088" s="1008"/>
      <c r="C3088" s="7"/>
      <c r="P3088" s="7"/>
      <c r="AX3088" s="7"/>
      <c r="BP3088" s="61"/>
      <c r="CF3088" s="104"/>
      <c r="CG3088" s="105"/>
      <c r="FK3088" s="7"/>
    </row>
    <row r="3089" spans="1:167">
      <c r="A3089" s="571"/>
      <c r="B3089" s="1008"/>
      <c r="C3089" s="7"/>
      <c r="P3089" s="7"/>
      <c r="AX3089" s="7"/>
      <c r="BP3089" s="61"/>
      <c r="CF3089" s="104"/>
      <c r="CG3089" s="105"/>
      <c r="FK3089" s="7"/>
    </row>
    <row r="3090" spans="1:167">
      <c r="A3090" s="571"/>
      <c r="B3090" s="1008"/>
      <c r="C3090" s="7"/>
      <c r="P3090" s="7"/>
      <c r="AX3090" s="7"/>
      <c r="BP3090" s="61"/>
      <c r="CF3090" s="104"/>
      <c r="CG3090" s="105"/>
      <c r="FK3090" s="7"/>
    </row>
    <row r="3091" spans="1:167">
      <c r="A3091" s="571"/>
      <c r="B3091" s="1008"/>
      <c r="C3091" s="7"/>
      <c r="P3091" s="7"/>
      <c r="AX3091" s="7"/>
      <c r="BP3091" s="61"/>
      <c r="CF3091" s="104"/>
      <c r="CG3091" s="105"/>
      <c r="FK3091" s="7"/>
    </row>
    <row r="3092" spans="1:167">
      <c r="A3092" s="571"/>
      <c r="B3092" s="1008"/>
      <c r="C3092" s="7"/>
      <c r="P3092" s="7"/>
      <c r="AX3092" s="7"/>
      <c r="BP3092" s="61"/>
      <c r="CF3092" s="104"/>
      <c r="CG3092" s="105"/>
      <c r="FK3092" s="7"/>
    </row>
    <row r="3093" spans="1:167">
      <c r="A3093" s="571"/>
      <c r="B3093" s="1008"/>
      <c r="C3093" s="7"/>
      <c r="P3093" s="7"/>
      <c r="AX3093" s="7"/>
      <c r="BP3093" s="61"/>
      <c r="CF3093" s="104"/>
      <c r="CG3093" s="105"/>
      <c r="FK3093" s="7"/>
    </row>
    <row r="3094" spans="1:167">
      <c r="A3094" s="571"/>
      <c r="B3094" s="1008"/>
      <c r="C3094" s="7"/>
      <c r="P3094" s="7"/>
      <c r="AX3094" s="7"/>
      <c r="BP3094" s="61"/>
      <c r="CF3094" s="104"/>
      <c r="CG3094" s="105"/>
      <c r="FK3094" s="7"/>
    </row>
    <row r="3095" spans="1:167">
      <c r="A3095" s="571"/>
      <c r="B3095" s="1008"/>
      <c r="C3095" s="7"/>
      <c r="P3095" s="7"/>
      <c r="AX3095" s="7"/>
      <c r="BP3095" s="61"/>
      <c r="CF3095" s="104"/>
      <c r="CG3095" s="105"/>
      <c r="FK3095" s="7"/>
    </row>
    <row r="3096" spans="1:167">
      <c r="A3096" s="571"/>
      <c r="B3096" s="1008"/>
      <c r="C3096" s="7"/>
      <c r="P3096" s="7"/>
      <c r="AX3096" s="7"/>
      <c r="BP3096" s="61"/>
      <c r="CF3096" s="104"/>
      <c r="CG3096" s="105"/>
      <c r="FK3096" s="7"/>
    </row>
    <row r="3097" spans="1:167">
      <c r="A3097" s="571"/>
      <c r="B3097" s="1008"/>
      <c r="C3097" s="7"/>
      <c r="P3097" s="7"/>
      <c r="AX3097" s="7"/>
      <c r="BP3097" s="61"/>
      <c r="CF3097" s="104"/>
      <c r="CG3097" s="105"/>
      <c r="FK3097" s="7"/>
    </row>
    <row r="3098" spans="1:167">
      <c r="A3098" s="571"/>
      <c r="B3098" s="1008"/>
      <c r="C3098" s="7"/>
      <c r="P3098" s="7"/>
      <c r="AX3098" s="7"/>
      <c r="BP3098" s="61"/>
      <c r="CF3098" s="104"/>
      <c r="CG3098" s="105"/>
      <c r="FK3098" s="7"/>
    </row>
    <row r="3099" spans="1:167">
      <c r="A3099" s="571"/>
      <c r="B3099" s="1008"/>
      <c r="C3099" s="7"/>
      <c r="P3099" s="7"/>
      <c r="AX3099" s="7"/>
      <c r="BP3099" s="61"/>
      <c r="CF3099" s="104"/>
      <c r="CG3099" s="105"/>
      <c r="FK3099" s="7"/>
    </row>
    <row r="3100" spans="1:167">
      <c r="A3100" s="571"/>
      <c r="B3100" s="1008"/>
      <c r="C3100" s="7"/>
      <c r="P3100" s="7"/>
      <c r="AX3100" s="7"/>
      <c r="BP3100" s="61"/>
      <c r="CF3100" s="104"/>
      <c r="CG3100" s="105"/>
      <c r="FK3100" s="7"/>
    </row>
    <row r="3101" spans="1:167">
      <c r="A3101" s="571"/>
      <c r="B3101" s="1008"/>
      <c r="C3101" s="7"/>
      <c r="P3101" s="7"/>
      <c r="AX3101" s="7"/>
      <c r="BP3101" s="61"/>
      <c r="CF3101" s="104"/>
      <c r="CG3101" s="105"/>
      <c r="FK3101" s="7"/>
    </row>
    <row r="3102" spans="1:167">
      <c r="A3102" s="571"/>
      <c r="B3102" s="1008"/>
      <c r="C3102" s="7"/>
      <c r="P3102" s="7"/>
      <c r="AX3102" s="7"/>
      <c r="BP3102" s="61"/>
      <c r="CF3102" s="104"/>
      <c r="CG3102" s="105"/>
      <c r="FK3102" s="7"/>
    </row>
    <row r="3103" spans="1:167">
      <c r="A3103" s="571"/>
      <c r="B3103" s="1008"/>
      <c r="C3103" s="7"/>
      <c r="P3103" s="7"/>
      <c r="AX3103" s="7"/>
      <c r="BP3103" s="61"/>
      <c r="CF3103" s="104"/>
      <c r="CG3103" s="105"/>
      <c r="FK3103" s="7"/>
    </row>
    <row r="3104" spans="1:167">
      <c r="A3104" s="571"/>
      <c r="B3104" s="1008"/>
      <c r="C3104" s="7"/>
      <c r="P3104" s="7"/>
      <c r="AX3104" s="7"/>
      <c r="BP3104" s="61"/>
      <c r="CF3104" s="104"/>
      <c r="CG3104" s="105"/>
      <c r="FK3104" s="7"/>
    </row>
    <row r="3105" spans="1:167">
      <c r="A3105" s="571"/>
      <c r="B3105" s="1008"/>
      <c r="C3105" s="7"/>
      <c r="P3105" s="7"/>
      <c r="AX3105" s="7"/>
      <c r="BP3105" s="61"/>
      <c r="CF3105" s="104"/>
      <c r="CG3105" s="105"/>
      <c r="FK3105" s="7"/>
    </row>
    <row r="3106" spans="1:167">
      <c r="A3106" s="571"/>
      <c r="B3106" s="1008"/>
      <c r="C3106" s="7"/>
      <c r="P3106" s="7"/>
      <c r="AX3106" s="7"/>
      <c r="BP3106" s="61"/>
      <c r="CF3106" s="104"/>
      <c r="CG3106" s="105"/>
      <c r="FK3106" s="7"/>
    </row>
    <row r="3107" spans="1:167">
      <c r="A3107" s="571"/>
      <c r="B3107" s="1008"/>
      <c r="C3107" s="7"/>
      <c r="P3107" s="7"/>
      <c r="AX3107" s="7"/>
      <c r="BP3107" s="61"/>
      <c r="CF3107" s="104"/>
      <c r="CG3107" s="105"/>
      <c r="FK3107" s="7"/>
    </row>
    <row r="3108" spans="1:167">
      <c r="A3108" s="571"/>
      <c r="B3108" s="1008"/>
      <c r="C3108" s="7"/>
      <c r="P3108" s="7"/>
      <c r="AX3108" s="7"/>
      <c r="BP3108" s="61"/>
      <c r="CF3108" s="104"/>
      <c r="CG3108" s="105"/>
      <c r="FK3108" s="7"/>
    </row>
    <row r="3109" spans="1:167">
      <c r="A3109" s="571"/>
      <c r="B3109" s="1008"/>
      <c r="C3109" s="7"/>
      <c r="P3109" s="7"/>
      <c r="AX3109" s="7"/>
      <c r="BP3109" s="61"/>
      <c r="CF3109" s="104"/>
      <c r="CG3109" s="105"/>
      <c r="FK3109" s="7"/>
    </row>
    <row r="3110" spans="1:167">
      <c r="A3110" s="571"/>
      <c r="B3110" s="1008"/>
      <c r="C3110" s="7"/>
      <c r="P3110" s="7"/>
      <c r="AX3110" s="7"/>
      <c r="BP3110" s="61"/>
      <c r="CF3110" s="104"/>
      <c r="CG3110" s="105"/>
      <c r="FK3110" s="7"/>
    </row>
    <row r="3111" spans="1:167">
      <c r="A3111" s="571"/>
      <c r="B3111" s="1008"/>
      <c r="C3111" s="7"/>
      <c r="P3111" s="7"/>
      <c r="AX3111" s="7"/>
      <c r="BP3111" s="61"/>
      <c r="CF3111" s="104"/>
      <c r="CG3111" s="105"/>
      <c r="FK3111" s="7"/>
    </row>
    <row r="3112" spans="1:167">
      <c r="A3112" s="571"/>
      <c r="B3112" s="1008"/>
      <c r="C3112" s="7"/>
      <c r="P3112" s="7"/>
      <c r="AX3112" s="7"/>
      <c r="BP3112" s="61"/>
      <c r="CF3112" s="104"/>
      <c r="CG3112" s="105"/>
      <c r="FK3112" s="7"/>
    </row>
    <row r="3113" spans="1:167">
      <c r="A3113" s="571"/>
      <c r="B3113" s="1008"/>
      <c r="C3113" s="7"/>
      <c r="P3113" s="7"/>
      <c r="AX3113" s="7"/>
      <c r="BP3113" s="61"/>
      <c r="CF3113" s="104"/>
      <c r="CG3113" s="105"/>
      <c r="FK3113" s="7"/>
    </row>
    <row r="3114" spans="1:167">
      <c r="A3114" s="571"/>
      <c r="B3114" s="1008"/>
      <c r="C3114" s="7"/>
      <c r="P3114" s="7"/>
      <c r="AX3114" s="7"/>
      <c r="BP3114" s="61"/>
      <c r="CF3114" s="104"/>
      <c r="CG3114" s="105"/>
      <c r="FK3114" s="7"/>
    </row>
    <row r="3115" spans="1:167">
      <c r="A3115" s="571"/>
      <c r="B3115" s="1008"/>
      <c r="C3115" s="7"/>
      <c r="P3115" s="7"/>
      <c r="AX3115" s="7"/>
      <c r="BP3115" s="61"/>
      <c r="CF3115" s="104"/>
      <c r="CG3115" s="105"/>
      <c r="FK3115" s="7"/>
    </row>
    <row r="3116" spans="1:167">
      <c r="A3116" s="571"/>
      <c r="B3116" s="1008"/>
      <c r="C3116" s="7"/>
      <c r="P3116" s="7"/>
      <c r="AX3116" s="7"/>
      <c r="BP3116" s="61"/>
      <c r="CF3116" s="104"/>
      <c r="CG3116" s="105"/>
      <c r="FK3116" s="7"/>
    </row>
    <row r="3117" spans="1:167">
      <c r="A3117" s="571"/>
      <c r="B3117" s="1008"/>
      <c r="C3117" s="7"/>
      <c r="P3117" s="7"/>
      <c r="AX3117" s="7"/>
      <c r="BP3117" s="61"/>
      <c r="CF3117" s="104"/>
      <c r="CG3117" s="105"/>
      <c r="FK3117" s="7"/>
    </row>
    <row r="3118" spans="1:167">
      <c r="A3118" s="571"/>
      <c r="B3118" s="1008"/>
      <c r="C3118" s="7"/>
      <c r="P3118" s="7"/>
      <c r="AX3118" s="7"/>
      <c r="BP3118" s="61"/>
      <c r="CF3118" s="104"/>
      <c r="CG3118" s="105"/>
      <c r="FK3118" s="7"/>
    </row>
    <row r="3119" spans="1:167">
      <c r="A3119" s="571"/>
      <c r="B3119" s="1008"/>
      <c r="C3119" s="7"/>
      <c r="P3119" s="7"/>
      <c r="AX3119" s="7"/>
      <c r="BP3119" s="61"/>
      <c r="CF3119" s="104"/>
      <c r="CG3119" s="105"/>
      <c r="FK3119" s="7"/>
    </row>
    <row r="3120" spans="1:167">
      <c r="A3120" s="571"/>
      <c r="B3120" s="1008"/>
      <c r="C3120" s="7"/>
      <c r="P3120" s="7"/>
      <c r="AX3120" s="7"/>
      <c r="BP3120" s="61"/>
      <c r="CF3120" s="104"/>
      <c r="CG3120" s="105"/>
      <c r="FK3120" s="7"/>
    </row>
    <row r="3121" spans="1:167">
      <c r="A3121" s="571"/>
      <c r="B3121" s="1008"/>
      <c r="C3121" s="7"/>
      <c r="P3121" s="7"/>
      <c r="AX3121" s="7"/>
      <c r="BP3121" s="61"/>
      <c r="CF3121" s="104"/>
      <c r="CG3121" s="105"/>
      <c r="FK3121" s="7"/>
    </row>
    <row r="3122" spans="1:167">
      <c r="A3122" s="571"/>
      <c r="B3122" s="1008"/>
      <c r="C3122" s="7"/>
      <c r="P3122" s="7"/>
      <c r="AX3122" s="7"/>
      <c r="BP3122" s="61"/>
      <c r="CF3122" s="104"/>
      <c r="CG3122" s="105"/>
      <c r="FK3122" s="7"/>
    </row>
    <row r="3123" spans="1:167">
      <c r="A3123" s="571"/>
      <c r="B3123" s="1008"/>
      <c r="C3123" s="7"/>
      <c r="P3123" s="7"/>
      <c r="AX3123" s="7"/>
      <c r="BP3123" s="61"/>
      <c r="CF3123" s="104"/>
      <c r="CG3123" s="105"/>
      <c r="FK3123" s="7"/>
    </row>
    <row r="3124" spans="1:167">
      <c r="A3124" s="571"/>
      <c r="B3124" s="1008"/>
      <c r="C3124" s="7"/>
      <c r="P3124" s="7"/>
      <c r="AX3124" s="7"/>
      <c r="BP3124" s="61"/>
      <c r="CF3124" s="104"/>
      <c r="CG3124" s="105"/>
      <c r="FK3124" s="7"/>
    </row>
    <row r="3125" spans="1:167">
      <c r="A3125" s="571"/>
      <c r="B3125" s="1008"/>
      <c r="C3125" s="7"/>
      <c r="P3125" s="7"/>
      <c r="AX3125" s="7"/>
      <c r="BP3125" s="61"/>
      <c r="CF3125" s="104"/>
      <c r="CG3125" s="105"/>
      <c r="FK3125" s="7"/>
    </row>
    <row r="3126" spans="1:167">
      <c r="A3126" s="571"/>
      <c r="B3126" s="1008"/>
      <c r="C3126" s="7"/>
      <c r="P3126" s="7"/>
      <c r="AX3126" s="7"/>
      <c r="BP3126" s="61"/>
      <c r="CF3126" s="104"/>
      <c r="CG3126" s="105"/>
      <c r="FK3126" s="7"/>
    </row>
    <row r="3127" spans="1:167">
      <c r="A3127" s="571"/>
      <c r="B3127" s="1008"/>
      <c r="C3127" s="7"/>
      <c r="P3127" s="7"/>
      <c r="AX3127" s="7"/>
      <c r="BP3127" s="61"/>
      <c r="CF3127" s="104"/>
      <c r="CG3127" s="105"/>
      <c r="FK3127" s="7"/>
    </row>
    <row r="3128" spans="1:167">
      <c r="A3128" s="571"/>
      <c r="B3128" s="1008"/>
      <c r="C3128" s="7"/>
      <c r="P3128" s="7"/>
      <c r="AX3128" s="7"/>
      <c r="BP3128" s="61"/>
      <c r="CF3128" s="104"/>
      <c r="CG3128" s="105"/>
      <c r="FK3128" s="7"/>
    </row>
    <row r="3129" spans="1:167">
      <c r="A3129" s="571"/>
      <c r="B3129" s="1008"/>
      <c r="C3129" s="7"/>
      <c r="P3129" s="7"/>
      <c r="AX3129" s="7"/>
      <c r="BP3129" s="61"/>
      <c r="CF3129" s="104"/>
      <c r="CG3129" s="105"/>
      <c r="FK3129" s="7"/>
    </row>
    <row r="3130" spans="1:167">
      <c r="A3130" s="571"/>
      <c r="B3130" s="1008"/>
      <c r="C3130" s="7"/>
      <c r="P3130" s="7"/>
      <c r="AX3130" s="7"/>
      <c r="BP3130" s="61"/>
      <c r="CF3130" s="104"/>
      <c r="CG3130" s="105"/>
      <c r="FK3130" s="7"/>
    </row>
    <row r="3131" spans="1:167">
      <c r="A3131" s="571"/>
      <c r="B3131" s="1008"/>
      <c r="C3131" s="7"/>
      <c r="P3131" s="7"/>
      <c r="AX3131" s="7"/>
      <c r="BP3131" s="61"/>
      <c r="CF3131" s="104"/>
      <c r="CG3131" s="105"/>
      <c r="FK3131" s="7"/>
    </row>
    <row r="3132" spans="1:167">
      <c r="A3132" s="571"/>
      <c r="B3132" s="1008"/>
      <c r="C3132" s="7"/>
      <c r="P3132" s="7"/>
      <c r="AX3132" s="7"/>
      <c r="BP3132" s="61"/>
      <c r="CF3132" s="104"/>
      <c r="CG3132" s="105"/>
      <c r="FK3132" s="7"/>
    </row>
    <row r="3133" spans="1:167">
      <c r="A3133" s="571"/>
      <c r="B3133" s="1008"/>
      <c r="C3133" s="7"/>
      <c r="P3133" s="7"/>
      <c r="AX3133" s="7"/>
      <c r="BP3133" s="61"/>
      <c r="CF3133" s="104"/>
      <c r="CG3133" s="105"/>
      <c r="FK3133" s="7"/>
    </row>
    <row r="3134" spans="1:167">
      <c r="A3134" s="571"/>
      <c r="B3134" s="1008"/>
      <c r="C3134" s="7"/>
      <c r="P3134" s="7"/>
      <c r="AX3134" s="7"/>
      <c r="BP3134" s="61"/>
      <c r="CF3134" s="104"/>
      <c r="CG3134" s="105"/>
      <c r="FK3134" s="7"/>
    </row>
    <row r="3135" spans="1:167">
      <c r="A3135" s="571"/>
      <c r="B3135" s="1008"/>
      <c r="C3135" s="7"/>
      <c r="P3135" s="7"/>
      <c r="AX3135" s="7"/>
      <c r="BP3135" s="61"/>
      <c r="CF3135" s="104"/>
      <c r="CG3135" s="105"/>
      <c r="FK3135" s="7"/>
    </row>
    <row r="3136" spans="1:167">
      <c r="A3136" s="571"/>
      <c r="B3136" s="1008"/>
      <c r="C3136" s="7"/>
      <c r="P3136" s="7"/>
      <c r="AX3136" s="7"/>
      <c r="BP3136" s="61"/>
      <c r="CF3136" s="104"/>
      <c r="CG3136" s="105"/>
      <c r="FK3136" s="7"/>
    </row>
    <row r="3137" spans="1:167">
      <c r="A3137" s="571"/>
      <c r="B3137" s="1008"/>
      <c r="C3137" s="7"/>
      <c r="P3137" s="7"/>
      <c r="AX3137" s="7"/>
      <c r="BP3137" s="61"/>
      <c r="CF3137" s="104"/>
      <c r="CG3137" s="105"/>
      <c r="FK3137" s="7"/>
    </row>
    <row r="3138" spans="1:167">
      <c r="A3138" s="571"/>
      <c r="B3138" s="1008"/>
      <c r="C3138" s="7"/>
      <c r="P3138" s="7"/>
      <c r="AX3138" s="7"/>
      <c r="BP3138" s="61"/>
      <c r="CF3138" s="104"/>
      <c r="CG3138" s="105"/>
      <c r="FK3138" s="7"/>
    </row>
    <row r="3139" spans="1:167">
      <c r="A3139" s="571"/>
      <c r="B3139" s="1008"/>
      <c r="C3139" s="7"/>
      <c r="P3139" s="7"/>
      <c r="AX3139" s="7"/>
      <c r="BP3139" s="61"/>
      <c r="CF3139" s="104"/>
      <c r="CG3139" s="105"/>
      <c r="FK3139" s="7"/>
    </row>
    <row r="3140" spans="1:167">
      <c r="A3140" s="571"/>
      <c r="B3140" s="1008"/>
      <c r="C3140" s="7"/>
      <c r="P3140" s="7"/>
      <c r="AX3140" s="7"/>
      <c r="BP3140" s="61"/>
      <c r="CF3140" s="104"/>
      <c r="CG3140" s="105"/>
      <c r="FK3140" s="7"/>
    </row>
    <row r="3141" spans="1:167">
      <c r="A3141" s="571"/>
      <c r="B3141" s="1008"/>
      <c r="C3141" s="7"/>
      <c r="P3141" s="7"/>
      <c r="AX3141" s="7"/>
      <c r="BP3141" s="61"/>
      <c r="CF3141" s="104"/>
      <c r="CG3141" s="105"/>
      <c r="FK3141" s="7"/>
    </row>
    <row r="3142" spans="1:167">
      <c r="A3142" s="571"/>
      <c r="B3142" s="1008"/>
      <c r="C3142" s="7"/>
      <c r="P3142" s="7"/>
      <c r="AX3142" s="7"/>
      <c r="BP3142" s="61"/>
      <c r="CF3142" s="104"/>
      <c r="CG3142" s="105"/>
      <c r="FK3142" s="7"/>
    </row>
    <row r="3143" spans="1:167">
      <c r="A3143" s="571"/>
      <c r="B3143" s="1008"/>
      <c r="C3143" s="7"/>
      <c r="P3143" s="7"/>
      <c r="AX3143" s="7"/>
      <c r="BP3143" s="61"/>
      <c r="CF3143" s="104"/>
      <c r="CG3143" s="105"/>
      <c r="FK3143" s="7"/>
    </row>
    <row r="3144" spans="1:167">
      <c r="A3144" s="571"/>
      <c r="B3144" s="1008"/>
      <c r="C3144" s="7"/>
      <c r="P3144" s="7"/>
      <c r="AX3144" s="7"/>
      <c r="BP3144" s="61"/>
      <c r="CF3144" s="104"/>
      <c r="CG3144" s="105"/>
      <c r="FK3144" s="7"/>
    </row>
    <row r="3145" spans="1:167">
      <c r="A3145" s="571"/>
      <c r="B3145" s="1008"/>
      <c r="C3145" s="7"/>
      <c r="P3145" s="7"/>
      <c r="AX3145" s="7"/>
      <c r="BP3145" s="61"/>
      <c r="CF3145" s="104"/>
      <c r="CG3145" s="105"/>
      <c r="FK3145" s="7"/>
    </row>
    <row r="3146" spans="1:167">
      <c r="A3146" s="571"/>
      <c r="B3146" s="1008"/>
      <c r="C3146" s="7"/>
      <c r="P3146" s="7"/>
      <c r="AX3146" s="7"/>
      <c r="BP3146" s="61"/>
      <c r="CF3146" s="104"/>
      <c r="CG3146" s="105"/>
      <c r="FK3146" s="7"/>
    </row>
    <row r="3147" spans="1:167">
      <c r="A3147" s="571"/>
      <c r="B3147" s="1008"/>
      <c r="C3147" s="7"/>
      <c r="P3147" s="7"/>
      <c r="AX3147" s="7"/>
      <c r="BP3147" s="61"/>
      <c r="CF3147" s="104"/>
      <c r="CG3147" s="105"/>
      <c r="FK3147" s="7"/>
    </row>
    <row r="3148" spans="1:167">
      <c r="A3148" s="571"/>
      <c r="B3148" s="1008"/>
      <c r="C3148" s="7"/>
      <c r="P3148" s="7"/>
      <c r="AX3148" s="7"/>
      <c r="BP3148" s="61"/>
      <c r="CF3148" s="104"/>
      <c r="CG3148" s="105"/>
      <c r="FK3148" s="7"/>
    </row>
    <row r="3149" spans="1:167">
      <c r="A3149" s="571"/>
      <c r="B3149" s="1008"/>
      <c r="C3149" s="7"/>
      <c r="P3149" s="7"/>
      <c r="AX3149" s="7"/>
      <c r="BP3149" s="61"/>
      <c r="CF3149" s="104"/>
      <c r="CG3149" s="105"/>
      <c r="FK3149" s="7"/>
    </row>
    <row r="3150" spans="1:167">
      <c r="A3150" s="571"/>
      <c r="B3150" s="1008"/>
      <c r="C3150" s="7"/>
      <c r="P3150" s="7"/>
      <c r="AX3150" s="7"/>
      <c r="BP3150" s="61"/>
      <c r="CF3150" s="104"/>
      <c r="CG3150" s="105"/>
      <c r="FK3150" s="7"/>
    </row>
    <row r="3151" spans="1:167">
      <c r="A3151" s="571"/>
      <c r="B3151" s="1008"/>
      <c r="C3151" s="7"/>
      <c r="P3151" s="7"/>
      <c r="AX3151" s="7"/>
      <c r="BP3151" s="61"/>
      <c r="CF3151" s="104"/>
      <c r="CG3151" s="105"/>
      <c r="FK3151" s="7"/>
    </row>
    <row r="3152" spans="1:167">
      <c r="A3152" s="571"/>
      <c r="B3152" s="1008"/>
      <c r="C3152" s="7"/>
      <c r="P3152" s="7"/>
      <c r="AX3152" s="7"/>
      <c r="BP3152" s="61"/>
      <c r="CF3152" s="104"/>
      <c r="CG3152" s="105"/>
      <c r="FK3152" s="7"/>
    </row>
    <row r="3153" spans="1:167">
      <c r="A3153" s="571"/>
      <c r="B3153" s="1008"/>
      <c r="C3153" s="7"/>
      <c r="P3153" s="7"/>
      <c r="AX3153" s="7"/>
      <c r="BP3153" s="61"/>
      <c r="CF3153" s="104"/>
      <c r="CG3153" s="105"/>
      <c r="FK3153" s="7"/>
    </row>
    <row r="3154" spans="1:167">
      <c r="A3154" s="571"/>
      <c r="B3154" s="1008"/>
      <c r="C3154" s="7"/>
      <c r="P3154" s="7"/>
      <c r="AX3154" s="7"/>
      <c r="BP3154" s="61"/>
      <c r="CF3154" s="104"/>
      <c r="CG3154" s="105"/>
      <c r="FK3154" s="7"/>
    </row>
    <row r="3155" spans="1:167">
      <c r="A3155" s="571"/>
      <c r="B3155" s="1008"/>
      <c r="C3155" s="7"/>
      <c r="P3155" s="7"/>
      <c r="AX3155" s="7"/>
      <c r="BP3155" s="61"/>
      <c r="CF3155" s="104"/>
      <c r="CG3155" s="105"/>
      <c r="FK3155" s="7"/>
    </row>
    <row r="3156" spans="1:167">
      <c r="A3156" s="571"/>
      <c r="B3156" s="1008"/>
      <c r="C3156" s="7"/>
      <c r="P3156" s="7"/>
      <c r="AX3156" s="7"/>
      <c r="BP3156" s="61"/>
      <c r="CF3156" s="104"/>
      <c r="CG3156" s="105"/>
      <c r="FK3156" s="7"/>
    </row>
    <row r="3157" spans="1:167">
      <c r="A3157" s="571"/>
      <c r="B3157" s="1008"/>
      <c r="C3157" s="7"/>
      <c r="P3157" s="7"/>
      <c r="AX3157" s="7"/>
      <c r="BP3157" s="61"/>
      <c r="CF3157" s="104"/>
      <c r="CG3157" s="105"/>
      <c r="FK3157" s="7"/>
    </row>
    <row r="3158" spans="1:167">
      <c r="A3158" s="571"/>
      <c r="B3158" s="1008"/>
      <c r="C3158" s="7"/>
      <c r="P3158" s="7"/>
      <c r="AX3158" s="7"/>
      <c r="BP3158" s="61"/>
      <c r="CF3158" s="104"/>
      <c r="CG3158" s="105"/>
      <c r="FK3158" s="7"/>
    </row>
    <row r="3159" spans="1:167">
      <c r="A3159" s="571"/>
      <c r="B3159" s="1008"/>
      <c r="C3159" s="7"/>
      <c r="P3159" s="7"/>
      <c r="AX3159" s="7"/>
      <c r="BP3159" s="61"/>
      <c r="CF3159" s="104"/>
      <c r="CG3159" s="105"/>
      <c r="FK3159" s="7"/>
    </row>
    <row r="3160" spans="1:167">
      <c r="A3160" s="571"/>
      <c r="B3160" s="1008"/>
      <c r="C3160" s="7"/>
      <c r="P3160" s="7"/>
      <c r="AX3160" s="7"/>
      <c r="BP3160" s="61"/>
      <c r="CF3160" s="104"/>
      <c r="CG3160" s="105"/>
      <c r="FK3160" s="7"/>
    </row>
    <row r="3161" spans="1:167">
      <c r="A3161" s="571"/>
      <c r="B3161" s="1008"/>
      <c r="C3161" s="7"/>
      <c r="P3161" s="7"/>
      <c r="AX3161" s="7"/>
      <c r="BP3161" s="61"/>
      <c r="CF3161" s="104"/>
      <c r="CG3161" s="105"/>
      <c r="FK3161" s="7"/>
    </row>
    <row r="3162" spans="1:167">
      <c r="A3162" s="571"/>
      <c r="B3162" s="1008"/>
      <c r="C3162" s="7"/>
      <c r="P3162" s="7"/>
      <c r="AX3162" s="7"/>
      <c r="BP3162" s="61"/>
      <c r="CF3162" s="104"/>
      <c r="CG3162" s="105"/>
      <c r="FK3162" s="7"/>
    </row>
    <row r="3163" spans="1:167">
      <c r="A3163" s="571"/>
      <c r="B3163" s="1008"/>
      <c r="C3163" s="7"/>
      <c r="P3163" s="7"/>
      <c r="AX3163" s="7"/>
      <c r="BP3163" s="61"/>
      <c r="CF3163" s="104"/>
      <c r="CG3163" s="105"/>
      <c r="FK3163" s="7"/>
    </row>
    <row r="3164" spans="1:167">
      <c r="A3164" s="571"/>
      <c r="B3164" s="1008"/>
      <c r="C3164" s="7"/>
      <c r="P3164" s="7"/>
      <c r="AX3164" s="7"/>
      <c r="BP3164" s="61"/>
      <c r="CF3164" s="104"/>
      <c r="CG3164" s="105"/>
      <c r="FK3164" s="7"/>
    </row>
    <row r="3165" spans="1:167">
      <c r="A3165" s="571"/>
      <c r="B3165" s="1008"/>
      <c r="C3165" s="7"/>
      <c r="P3165" s="7"/>
      <c r="AX3165" s="7"/>
      <c r="BP3165" s="61"/>
      <c r="CF3165" s="104"/>
      <c r="CG3165" s="105"/>
      <c r="FK3165" s="7"/>
    </row>
    <row r="3166" spans="1:167">
      <c r="A3166" s="571"/>
      <c r="B3166" s="1008"/>
      <c r="C3166" s="7"/>
      <c r="P3166" s="7"/>
      <c r="AX3166" s="7"/>
      <c r="BP3166" s="61"/>
      <c r="CF3166" s="104"/>
      <c r="CG3166" s="105"/>
      <c r="FK3166" s="7"/>
    </row>
    <row r="3167" spans="1:167">
      <c r="A3167" s="571"/>
      <c r="B3167" s="1008"/>
      <c r="C3167" s="7"/>
      <c r="P3167" s="7"/>
      <c r="AX3167" s="7"/>
      <c r="BP3167" s="61"/>
      <c r="CF3167" s="104"/>
      <c r="CG3167" s="105"/>
      <c r="FK3167" s="7"/>
    </row>
    <row r="3168" spans="1:167">
      <c r="A3168" s="571"/>
      <c r="B3168" s="1008"/>
      <c r="C3168" s="7"/>
      <c r="P3168" s="7"/>
      <c r="AX3168" s="7"/>
      <c r="BP3168" s="61"/>
      <c r="CF3168" s="104"/>
      <c r="CG3168" s="105"/>
      <c r="FK3168" s="7"/>
    </row>
    <row r="3169" spans="1:167">
      <c r="A3169" s="571"/>
      <c r="B3169" s="1008"/>
      <c r="C3169" s="7"/>
      <c r="P3169" s="7"/>
      <c r="AX3169" s="7"/>
      <c r="BP3169" s="61"/>
      <c r="CF3169" s="104"/>
      <c r="CG3169" s="105"/>
      <c r="FK3169" s="7"/>
    </row>
    <row r="3170" spans="1:167">
      <c r="A3170" s="571"/>
      <c r="B3170" s="1008"/>
      <c r="C3170" s="7"/>
      <c r="P3170" s="7"/>
      <c r="AX3170" s="7"/>
      <c r="BP3170" s="61"/>
      <c r="CF3170" s="104"/>
      <c r="CG3170" s="105"/>
      <c r="FK3170" s="7"/>
    </row>
    <row r="3171" spans="1:167">
      <c r="A3171" s="571"/>
      <c r="B3171" s="1008"/>
      <c r="C3171" s="7"/>
      <c r="P3171" s="7"/>
      <c r="AX3171" s="7"/>
      <c r="BP3171" s="61"/>
      <c r="CF3171" s="104"/>
      <c r="CG3171" s="105"/>
      <c r="FK3171" s="7"/>
    </row>
    <row r="3172" spans="1:167">
      <c r="A3172" s="571"/>
      <c r="B3172" s="1008"/>
      <c r="C3172" s="7"/>
      <c r="P3172" s="7"/>
      <c r="AX3172" s="7"/>
      <c r="BP3172" s="61"/>
      <c r="CF3172" s="104"/>
      <c r="CG3172" s="105"/>
      <c r="FK3172" s="7"/>
    </row>
    <row r="3173" spans="1:167">
      <c r="A3173" s="571"/>
      <c r="B3173" s="1008"/>
      <c r="C3173" s="7"/>
      <c r="P3173" s="7"/>
      <c r="AX3173" s="7"/>
      <c r="BP3173" s="61"/>
      <c r="CF3173" s="104"/>
      <c r="CG3173" s="105"/>
      <c r="FK3173" s="7"/>
    </row>
    <row r="3174" spans="1:167">
      <c r="A3174" s="571"/>
      <c r="B3174" s="1008"/>
      <c r="C3174" s="7"/>
      <c r="P3174" s="7"/>
      <c r="AX3174" s="7"/>
      <c r="BP3174" s="61"/>
      <c r="CF3174" s="104"/>
      <c r="CG3174" s="105"/>
      <c r="FK3174" s="7"/>
    </row>
    <row r="3175" spans="1:167">
      <c r="A3175" s="571"/>
      <c r="B3175" s="1008"/>
      <c r="C3175" s="7"/>
      <c r="P3175" s="7"/>
      <c r="AX3175" s="7"/>
      <c r="BP3175" s="61"/>
      <c r="CF3175" s="104"/>
      <c r="CG3175" s="105"/>
      <c r="FK3175" s="7"/>
    </row>
    <row r="3176" spans="1:167">
      <c r="A3176" s="571"/>
      <c r="B3176" s="1008"/>
      <c r="C3176" s="7"/>
      <c r="P3176" s="7"/>
      <c r="AX3176" s="7"/>
      <c r="BP3176" s="61"/>
      <c r="CF3176" s="104"/>
      <c r="CG3176" s="105"/>
      <c r="FK3176" s="7"/>
    </row>
    <row r="3177" spans="1:167">
      <c r="A3177" s="571"/>
      <c r="B3177" s="1008"/>
      <c r="C3177" s="7"/>
      <c r="P3177" s="7"/>
      <c r="AX3177" s="7"/>
      <c r="BP3177" s="61"/>
      <c r="CF3177" s="104"/>
      <c r="CG3177" s="105"/>
      <c r="FK3177" s="7"/>
    </row>
    <row r="3178" spans="1:167">
      <c r="A3178" s="571"/>
      <c r="B3178" s="1008"/>
      <c r="C3178" s="7"/>
      <c r="P3178" s="7"/>
      <c r="AX3178" s="7"/>
      <c r="BP3178" s="61"/>
      <c r="CF3178" s="104"/>
      <c r="CG3178" s="105"/>
      <c r="FK3178" s="7"/>
    </row>
    <row r="3179" spans="1:167">
      <c r="A3179" s="571"/>
      <c r="B3179" s="1008"/>
      <c r="C3179" s="7"/>
      <c r="P3179" s="7"/>
      <c r="AX3179" s="7"/>
      <c r="BP3179" s="61"/>
      <c r="CF3179" s="104"/>
      <c r="CG3179" s="105"/>
      <c r="FK3179" s="7"/>
    </row>
    <row r="3180" spans="1:167">
      <c r="A3180" s="571"/>
      <c r="B3180" s="1008"/>
      <c r="C3180" s="7"/>
      <c r="P3180" s="7"/>
      <c r="AX3180" s="7"/>
      <c r="BP3180" s="61"/>
      <c r="CF3180" s="104"/>
      <c r="CG3180" s="105"/>
      <c r="FK3180" s="7"/>
    </row>
    <row r="3181" spans="1:167">
      <c r="A3181" s="571"/>
      <c r="B3181" s="1008"/>
      <c r="C3181" s="7"/>
      <c r="P3181" s="7"/>
      <c r="AX3181" s="7"/>
      <c r="BP3181" s="61"/>
      <c r="CF3181" s="104"/>
      <c r="CG3181" s="105"/>
      <c r="FK3181" s="7"/>
    </row>
    <row r="3182" spans="1:167">
      <c r="A3182" s="571"/>
      <c r="B3182" s="1008"/>
      <c r="C3182" s="7"/>
      <c r="P3182" s="7"/>
      <c r="AX3182" s="7"/>
      <c r="BP3182" s="61"/>
      <c r="CF3182" s="104"/>
      <c r="CG3182" s="105"/>
      <c r="FK3182" s="7"/>
    </row>
    <row r="3183" spans="1:167">
      <c r="A3183" s="571"/>
      <c r="B3183" s="1008"/>
      <c r="C3183" s="7"/>
      <c r="P3183" s="7"/>
      <c r="AX3183" s="7"/>
      <c r="BP3183" s="61"/>
      <c r="CF3183" s="104"/>
      <c r="CG3183" s="105"/>
      <c r="FK3183" s="7"/>
    </row>
    <row r="3184" spans="1:167">
      <c r="A3184" s="571"/>
      <c r="B3184" s="1008"/>
      <c r="C3184" s="7"/>
      <c r="P3184" s="7"/>
      <c r="AX3184" s="7"/>
      <c r="BP3184" s="61"/>
      <c r="CF3184" s="104"/>
      <c r="CG3184" s="105"/>
      <c r="FK3184" s="7"/>
    </row>
    <row r="3185" spans="1:167">
      <c r="A3185" s="571"/>
      <c r="B3185" s="1008"/>
      <c r="C3185" s="7"/>
      <c r="P3185" s="7"/>
      <c r="AX3185" s="7"/>
      <c r="BP3185" s="61"/>
      <c r="CF3185" s="104"/>
      <c r="CG3185" s="105"/>
      <c r="FK3185" s="7"/>
    </row>
    <row r="3186" spans="1:167">
      <c r="A3186" s="571"/>
      <c r="B3186" s="1008"/>
      <c r="C3186" s="7"/>
      <c r="P3186" s="7"/>
      <c r="AX3186" s="7"/>
      <c r="BP3186" s="61"/>
      <c r="CF3186" s="104"/>
      <c r="CG3186" s="105"/>
      <c r="FK3186" s="7"/>
    </row>
    <row r="3187" spans="1:167">
      <c r="A3187" s="571"/>
      <c r="B3187" s="1008"/>
      <c r="C3187" s="7"/>
      <c r="P3187" s="7"/>
      <c r="AX3187" s="7"/>
      <c r="BP3187" s="61"/>
      <c r="CF3187" s="104"/>
      <c r="CG3187" s="105"/>
      <c r="FK3187" s="7"/>
    </row>
    <row r="3188" spans="1:167">
      <c r="A3188" s="571"/>
      <c r="B3188" s="1008"/>
      <c r="C3188" s="7"/>
      <c r="P3188" s="7"/>
      <c r="AX3188" s="7"/>
      <c r="BP3188" s="61"/>
      <c r="CF3188" s="104"/>
      <c r="CG3188" s="105"/>
      <c r="FK3188" s="7"/>
    </row>
    <row r="3189" spans="1:167">
      <c r="A3189" s="571"/>
      <c r="B3189" s="1008"/>
      <c r="C3189" s="7"/>
      <c r="P3189" s="7"/>
      <c r="AX3189" s="7"/>
      <c r="BP3189" s="61"/>
      <c r="CF3189" s="104"/>
      <c r="CG3189" s="105"/>
      <c r="FK3189" s="7"/>
    </row>
    <row r="3190" spans="1:167">
      <c r="A3190" s="571"/>
      <c r="B3190" s="1008"/>
      <c r="C3190" s="7"/>
      <c r="P3190" s="7"/>
      <c r="AX3190" s="7"/>
      <c r="BP3190" s="61"/>
      <c r="CF3190" s="104"/>
      <c r="CG3190" s="105"/>
      <c r="FK3190" s="7"/>
    </row>
    <row r="3191" spans="1:167">
      <c r="A3191" s="571"/>
      <c r="B3191" s="1008"/>
      <c r="C3191" s="7"/>
      <c r="P3191" s="7"/>
      <c r="AX3191" s="7"/>
      <c r="BP3191" s="61"/>
      <c r="CF3191" s="104"/>
      <c r="CG3191" s="105"/>
      <c r="FK3191" s="7"/>
    </row>
    <row r="3192" spans="1:167">
      <c r="A3192" s="571"/>
      <c r="B3192" s="1008"/>
      <c r="C3192" s="7"/>
      <c r="P3192" s="7"/>
      <c r="AX3192" s="7"/>
      <c r="BP3192" s="61"/>
      <c r="CF3192" s="104"/>
      <c r="CG3192" s="105"/>
      <c r="FK3192" s="7"/>
    </row>
    <row r="3193" spans="1:167">
      <c r="A3193" s="571"/>
      <c r="B3193" s="1008"/>
      <c r="C3193" s="7"/>
      <c r="P3193" s="7"/>
      <c r="AX3193" s="7"/>
      <c r="BP3193" s="61"/>
      <c r="CF3193" s="104"/>
      <c r="CG3193" s="105"/>
      <c r="FK3193" s="7"/>
    </row>
    <row r="3194" spans="1:167">
      <c r="A3194" s="571"/>
      <c r="B3194" s="1008"/>
      <c r="C3194" s="7"/>
      <c r="P3194" s="7"/>
      <c r="AX3194" s="7"/>
      <c r="BP3194" s="61"/>
      <c r="CF3194" s="104"/>
      <c r="CG3194" s="105"/>
      <c r="FK3194" s="7"/>
    </row>
    <row r="3195" spans="1:167">
      <c r="A3195" s="571"/>
      <c r="B3195" s="1008"/>
      <c r="C3195" s="7"/>
      <c r="P3195" s="7"/>
      <c r="AX3195" s="7"/>
      <c r="BP3195" s="61"/>
      <c r="CF3195" s="104"/>
      <c r="CG3195" s="105"/>
      <c r="FK3195" s="7"/>
    </row>
    <row r="3196" spans="1:167">
      <c r="A3196" s="571"/>
      <c r="B3196" s="1008"/>
      <c r="C3196" s="7"/>
      <c r="P3196" s="7"/>
      <c r="AX3196" s="7"/>
      <c r="BP3196" s="61"/>
      <c r="CF3196" s="104"/>
      <c r="CG3196" s="105"/>
      <c r="FK3196" s="7"/>
    </row>
    <row r="3197" spans="1:167">
      <c r="A3197" s="571"/>
      <c r="B3197" s="1008"/>
      <c r="C3197" s="7"/>
      <c r="P3197" s="7"/>
      <c r="AX3197" s="7"/>
      <c r="BP3197" s="61"/>
      <c r="CF3197" s="104"/>
      <c r="CG3197" s="105"/>
      <c r="FK3197" s="7"/>
    </row>
    <row r="3198" spans="1:167">
      <c r="A3198" s="571"/>
      <c r="B3198" s="1008"/>
      <c r="C3198" s="7"/>
      <c r="P3198" s="7"/>
      <c r="AX3198" s="7"/>
      <c r="BP3198" s="61"/>
      <c r="CF3198" s="104"/>
      <c r="CG3198" s="105"/>
      <c r="FK3198" s="7"/>
    </row>
    <row r="3199" spans="1:167">
      <c r="A3199" s="571"/>
      <c r="B3199" s="1008"/>
      <c r="C3199" s="7"/>
      <c r="P3199" s="7"/>
      <c r="AX3199" s="7"/>
      <c r="BP3199" s="61"/>
      <c r="CF3199" s="104"/>
      <c r="CG3199" s="105"/>
      <c r="FK3199" s="7"/>
    </row>
    <row r="3200" spans="1:167">
      <c r="A3200" s="571"/>
      <c r="B3200" s="1008"/>
      <c r="C3200" s="7"/>
      <c r="P3200" s="7"/>
      <c r="AX3200" s="7"/>
      <c r="BP3200" s="61"/>
      <c r="CF3200" s="104"/>
      <c r="CG3200" s="105"/>
      <c r="FK3200" s="7"/>
    </row>
    <row r="3201" spans="1:167">
      <c r="A3201" s="571"/>
      <c r="B3201" s="1008"/>
      <c r="C3201" s="7"/>
      <c r="P3201" s="7"/>
      <c r="AX3201" s="7"/>
      <c r="BP3201" s="61"/>
      <c r="CF3201" s="104"/>
      <c r="CG3201" s="105"/>
      <c r="FK3201" s="7"/>
    </row>
    <row r="3202" spans="1:167">
      <c r="A3202" s="571"/>
      <c r="B3202" s="1008"/>
      <c r="C3202" s="7"/>
      <c r="P3202" s="7"/>
      <c r="AX3202" s="7"/>
      <c r="BP3202" s="61"/>
      <c r="CF3202" s="104"/>
      <c r="CG3202" s="105"/>
      <c r="FK3202" s="7"/>
    </row>
    <row r="3203" spans="1:167">
      <c r="A3203" s="571"/>
      <c r="B3203" s="1008"/>
      <c r="C3203" s="7"/>
      <c r="P3203" s="7"/>
      <c r="AX3203" s="7"/>
      <c r="BP3203" s="61"/>
      <c r="CF3203" s="104"/>
      <c r="CG3203" s="105"/>
      <c r="FK3203" s="7"/>
    </row>
    <row r="3204" spans="1:167">
      <c r="A3204" s="571"/>
      <c r="B3204" s="1008"/>
      <c r="C3204" s="7"/>
      <c r="P3204" s="7"/>
      <c r="AX3204" s="7"/>
      <c r="BP3204" s="61"/>
      <c r="CF3204" s="104"/>
      <c r="CG3204" s="105"/>
      <c r="FK3204" s="7"/>
    </row>
    <row r="3205" spans="1:167">
      <c r="A3205" s="571"/>
      <c r="B3205" s="1008"/>
      <c r="C3205" s="7"/>
      <c r="P3205" s="7"/>
      <c r="AX3205" s="7"/>
      <c r="BP3205" s="61"/>
      <c r="CF3205" s="104"/>
      <c r="CG3205" s="105"/>
      <c r="FK3205" s="7"/>
    </row>
    <row r="3206" spans="1:167">
      <c r="A3206" s="571"/>
      <c r="B3206" s="1008"/>
      <c r="C3206" s="7"/>
      <c r="P3206" s="7"/>
      <c r="AX3206" s="7"/>
      <c r="BP3206" s="61"/>
      <c r="CF3206" s="104"/>
      <c r="CG3206" s="105"/>
      <c r="FK3206" s="7"/>
    </row>
    <row r="3207" spans="1:167">
      <c r="A3207" s="571"/>
      <c r="B3207" s="1008"/>
      <c r="C3207" s="7"/>
      <c r="P3207" s="7"/>
      <c r="AX3207" s="7"/>
      <c r="BP3207" s="61"/>
      <c r="CF3207" s="104"/>
      <c r="CG3207" s="105"/>
      <c r="FK3207" s="7"/>
    </row>
    <row r="3208" spans="1:167">
      <c r="A3208" s="571"/>
      <c r="B3208" s="1008"/>
      <c r="C3208" s="7"/>
      <c r="P3208" s="7"/>
      <c r="AX3208" s="7"/>
      <c r="BP3208" s="61"/>
      <c r="CF3208" s="104"/>
      <c r="CG3208" s="105"/>
      <c r="FK3208" s="7"/>
    </row>
    <row r="3209" spans="1:167">
      <c r="A3209" s="571"/>
      <c r="B3209" s="1008"/>
      <c r="C3209" s="7"/>
      <c r="P3209" s="7"/>
      <c r="AX3209" s="7"/>
      <c r="BP3209" s="61"/>
      <c r="CF3209" s="104"/>
      <c r="CG3209" s="105"/>
      <c r="FK3209" s="7"/>
    </row>
    <row r="3210" spans="1:167">
      <c r="A3210" s="571"/>
      <c r="B3210" s="1008"/>
      <c r="C3210" s="7"/>
      <c r="P3210" s="7"/>
      <c r="AX3210" s="7"/>
      <c r="BP3210" s="61"/>
      <c r="CF3210" s="104"/>
      <c r="CG3210" s="105"/>
      <c r="FK3210" s="7"/>
    </row>
    <row r="3211" spans="1:167">
      <c r="A3211" s="571"/>
      <c r="B3211" s="1008"/>
      <c r="C3211" s="7"/>
      <c r="P3211" s="7"/>
      <c r="AX3211" s="7"/>
      <c r="BP3211" s="61"/>
      <c r="CF3211" s="104"/>
      <c r="CG3211" s="105"/>
      <c r="FK3211" s="7"/>
    </row>
    <row r="3212" spans="1:167">
      <c r="A3212" s="571"/>
      <c r="B3212" s="1008"/>
      <c r="C3212" s="7"/>
      <c r="P3212" s="7"/>
      <c r="AX3212" s="7"/>
      <c r="BP3212" s="61"/>
      <c r="CF3212" s="104"/>
      <c r="CG3212" s="105"/>
      <c r="FK3212" s="7"/>
    </row>
    <row r="3213" spans="1:167">
      <c r="A3213" s="571"/>
      <c r="B3213" s="1008"/>
      <c r="C3213" s="7"/>
      <c r="P3213" s="7"/>
      <c r="AX3213" s="7"/>
      <c r="BP3213" s="61"/>
      <c r="CF3213" s="104"/>
      <c r="CG3213" s="105"/>
      <c r="FK3213" s="7"/>
    </row>
    <row r="3214" spans="1:167">
      <c r="A3214" s="571"/>
      <c r="B3214" s="1008"/>
      <c r="C3214" s="7"/>
      <c r="P3214" s="7"/>
      <c r="AX3214" s="7"/>
      <c r="BP3214" s="61"/>
      <c r="CF3214" s="104"/>
      <c r="CG3214" s="105"/>
      <c r="FK3214" s="7"/>
    </row>
    <row r="3215" spans="1:167">
      <c r="A3215" s="571"/>
      <c r="B3215" s="1008"/>
      <c r="C3215" s="7"/>
      <c r="P3215" s="7"/>
      <c r="AX3215" s="7"/>
      <c r="BP3215" s="61"/>
      <c r="CF3215" s="104"/>
      <c r="CG3215" s="105"/>
      <c r="FK3215" s="7"/>
    </row>
    <row r="3216" spans="1:167">
      <c r="A3216" s="571"/>
      <c r="B3216" s="1008"/>
      <c r="C3216" s="7"/>
      <c r="P3216" s="7"/>
      <c r="AX3216" s="7"/>
      <c r="BP3216" s="61"/>
      <c r="CF3216" s="104"/>
      <c r="CG3216" s="105"/>
      <c r="FK3216" s="7"/>
    </row>
    <row r="3217" spans="1:167">
      <c r="A3217" s="571"/>
      <c r="B3217" s="1008"/>
      <c r="C3217" s="7"/>
      <c r="P3217" s="7"/>
      <c r="AX3217" s="7"/>
      <c r="BP3217" s="61"/>
      <c r="CF3217" s="104"/>
      <c r="CG3217" s="105"/>
      <c r="FK3217" s="7"/>
    </row>
    <row r="3218" spans="1:167">
      <c r="A3218" s="571"/>
      <c r="B3218" s="1008"/>
      <c r="C3218" s="7"/>
      <c r="P3218" s="7"/>
      <c r="AX3218" s="7"/>
      <c r="BP3218" s="61"/>
      <c r="CF3218" s="104"/>
      <c r="CG3218" s="105"/>
      <c r="FK3218" s="7"/>
    </row>
    <row r="3219" spans="1:167">
      <c r="A3219" s="571"/>
      <c r="B3219" s="1008"/>
      <c r="C3219" s="7"/>
      <c r="P3219" s="7"/>
      <c r="AX3219" s="7"/>
      <c r="BP3219" s="61"/>
      <c r="CF3219" s="104"/>
      <c r="CG3219" s="105"/>
      <c r="FK3219" s="7"/>
    </row>
    <row r="3220" spans="1:167">
      <c r="A3220" s="571"/>
      <c r="B3220" s="1008"/>
      <c r="C3220" s="7"/>
      <c r="P3220" s="7"/>
      <c r="AX3220" s="7"/>
      <c r="BP3220" s="61"/>
      <c r="CF3220" s="104"/>
      <c r="CG3220" s="105"/>
      <c r="FK3220" s="7"/>
    </row>
    <row r="3221" spans="1:167">
      <c r="A3221" s="571"/>
      <c r="B3221" s="1008"/>
      <c r="C3221" s="7"/>
      <c r="P3221" s="7"/>
      <c r="AX3221" s="7"/>
      <c r="BP3221" s="61"/>
      <c r="CF3221" s="104"/>
      <c r="CG3221" s="105"/>
      <c r="FK3221" s="7"/>
    </row>
    <row r="3222" spans="1:167">
      <c r="A3222" s="571"/>
      <c r="B3222" s="1008"/>
      <c r="C3222" s="7"/>
      <c r="P3222" s="7"/>
      <c r="AX3222" s="7"/>
      <c r="BP3222" s="61"/>
      <c r="CF3222" s="104"/>
      <c r="CG3222" s="105"/>
      <c r="FK3222" s="7"/>
    </row>
    <row r="3223" spans="1:167">
      <c r="A3223" s="571"/>
      <c r="B3223" s="1008"/>
      <c r="C3223" s="7"/>
      <c r="P3223" s="7"/>
      <c r="AX3223" s="7"/>
      <c r="BP3223" s="61"/>
      <c r="CF3223" s="104"/>
      <c r="CG3223" s="105"/>
      <c r="FK3223" s="7"/>
    </row>
    <row r="3224" spans="1:167">
      <c r="A3224" s="571"/>
      <c r="B3224" s="1008"/>
      <c r="C3224" s="7"/>
      <c r="P3224" s="7"/>
      <c r="AX3224" s="7"/>
      <c r="BP3224" s="61"/>
      <c r="CF3224" s="104"/>
      <c r="CG3224" s="105"/>
      <c r="FK3224" s="7"/>
    </row>
    <row r="3225" spans="1:167">
      <c r="A3225" s="571"/>
      <c r="B3225" s="1008"/>
      <c r="C3225" s="7"/>
      <c r="P3225" s="7"/>
      <c r="AX3225" s="7"/>
      <c r="BP3225" s="61"/>
      <c r="CF3225" s="104"/>
      <c r="CG3225" s="105"/>
      <c r="FK3225" s="7"/>
    </row>
    <row r="3226" spans="1:167">
      <c r="A3226" s="571"/>
      <c r="B3226" s="1008"/>
      <c r="C3226" s="7"/>
      <c r="P3226" s="7"/>
      <c r="AX3226" s="7"/>
      <c r="BP3226" s="61"/>
      <c r="CF3226" s="104"/>
      <c r="CG3226" s="105"/>
      <c r="FK3226" s="7"/>
    </row>
    <row r="3227" spans="1:167">
      <c r="A3227" s="571"/>
      <c r="B3227" s="1008"/>
      <c r="C3227" s="7"/>
      <c r="P3227" s="7"/>
      <c r="AX3227" s="7"/>
      <c r="BP3227" s="61"/>
      <c r="CF3227" s="104"/>
      <c r="CG3227" s="105"/>
      <c r="FK3227" s="7"/>
    </row>
    <row r="3228" spans="1:167">
      <c r="A3228" s="571"/>
      <c r="B3228" s="1008"/>
      <c r="C3228" s="7"/>
      <c r="P3228" s="7"/>
      <c r="AX3228" s="7"/>
      <c r="BP3228" s="61"/>
      <c r="CF3228" s="104"/>
      <c r="CG3228" s="105"/>
      <c r="FK3228" s="7"/>
    </row>
    <row r="3229" spans="1:167">
      <c r="A3229" s="571"/>
      <c r="B3229" s="1008"/>
      <c r="C3229" s="7"/>
      <c r="P3229" s="7"/>
      <c r="AX3229" s="7"/>
      <c r="BP3229" s="61"/>
      <c r="CF3229" s="104"/>
      <c r="CG3229" s="105"/>
      <c r="FK3229" s="7"/>
    </row>
    <row r="3230" spans="1:167">
      <c r="A3230" s="571"/>
      <c r="B3230" s="1008"/>
      <c r="C3230" s="7"/>
      <c r="P3230" s="7"/>
      <c r="AX3230" s="7"/>
      <c r="BP3230" s="61"/>
      <c r="CF3230" s="104"/>
      <c r="CG3230" s="105"/>
      <c r="FK3230" s="7"/>
    </row>
    <row r="3231" spans="1:167">
      <c r="A3231" s="571"/>
      <c r="B3231" s="1008"/>
      <c r="C3231" s="7"/>
      <c r="P3231" s="7"/>
      <c r="AX3231" s="7"/>
      <c r="BP3231" s="61"/>
      <c r="CF3231" s="104"/>
      <c r="CG3231" s="105"/>
      <c r="FK3231" s="7"/>
    </row>
    <row r="3232" spans="1:167">
      <c r="A3232" s="571"/>
      <c r="B3232" s="1008"/>
      <c r="C3232" s="7"/>
      <c r="P3232" s="7"/>
      <c r="AX3232" s="7"/>
      <c r="BP3232" s="61"/>
      <c r="CF3232" s="104"/>
      <c r="CG3232" s="105"/>
      <c r="FK3232" s="7"/>
    </row>
    <row r="3233" spans="1:167">
      <c r="A3233" s="571"/>
      <c r="B3233" s="1008"/>
      <c r="C3233" s="7"/>
      <c r="P3233" s="7"/>
      <c r="AX3233" s="7"/>
      <c r="BP3233" s="61"/>
      <c r="CF3233" s="104"/>
      <c r="CG3233" s="105"/>
      <c r="FK3233" s="7"/>
    </row>
    <row r="3234" spans="1:167">
      <c r="A3234" s="571"/>
      <c r="B3234" s="1008"/>
      <c r="C3234" s="7"/>
      <c r="P3234" s="7"/>
      <c r="AX3234" s="7"/>
      <c r="BP3234" s="61"/>
      <c r="CF3234" s="104"/>
      <c r="CG3234" s="105"/>
      <c r="FK3234" s="7"/>
    </row>
    <row r="3235" spans="1:167">
      <c r="A3235" s="571"/>
      <c r="B3235" s="1008"/>
      <c r="C3235" s="7"/>
      <c r="P3235" s="7"/>
      <c r="AX3235" s="7"/>
      <c r="BP3235" s="61"/>
      <c r="CF3235" s="104"/>
      <c r="CG3235" s="105"/>
      <c r="FK3235" s="7"/>
    </row>
    <row r="3236" spans="1:167">
      <c r="A3236" s="571"/>
      <c r="B3236" s="1008"/>
      <c r="C3236" s="7"/>
      <c r="P3236" s="7"/>
      <c r="AX3236" s="7"/>
      <c r="BP3236" s="61"/>
      <c r="CF3236" s="104"/>
      <c r="CG3236" s="105"/>
      <c r="FK3236" s="7"/>
    </row>
    <row r="3237" spans="1:167">
      <c r="A3237" s="571"/>
      <c r="B3237" s="1008"/>
      <c r="C3237" s="7"/>
      <c r="P3237" s="7"/>
      <c r="AX3237" s="7"/>
      <c r="BP3237" s="61"/>
      <c r="CF3237" s="104"/>
      <c r="CG3237" s="105"/>
      <c r="FK3237" s="7"/>
    </row>
    <row r="3238" spans="1:167">
      <c r="A3238" s="571"/>
      <c r="B3238" s="1008"/>
      <c r="C3238" s="7"/>
      <c r="P3238" s="7"/>
      <c r="AX3238" s="7"/>
      <c r="BP3238" s="61"/>
      <c r="CF3238" s="104"/>
      <c r="CG3238" s="105"/>
      <c r="FK3238" s="7"/>
    </row>
    <row r="3239" spans="1:167">
      <c r="A3239" s="571"/>
      <c r="B3239" s="1008"/>
      <c r="C3239" s="7"/>
      <c r="P3239" s="7"/>
      <c r="AX3239" s="7"/>
      <c r="BP3239" s="61"/>
      <c r="CF3239" s="104"/>
      <c r="CG3239" s="105"/>
      <c r="FK3239" s="7"/>
    </row>
    <row r="3240" spans="1:167">
      <c r="A3240" s="571"/>
      <c r="B3240" s="1008"/>
      <c r="C3240" s="7"/>
      <c r="P3240" s="7"/>
      <c r="AX3240" s="7"/>
      <c r="BP3240" s="61"/>
      <c r="CF3240" s="104"/>
      <c r="CG3240" s="105"/>
      <c r="FK3240" s="7"/>
    </row>
    <row r="3241" spans="1:167">
      <c r="A3241" s="571"/>
      <c r="B3241" s="1008"/>
      <c r="C3241" s="7"/>
      <c r="P3241" s="7"/>
      <c r="AX3241" s="7"/>
      <c r="BP3241" s="61"/>
      <c r="CF3241" s="104"/>
      <c r="CG3241" s="105"/>
      <c r="FK3241" s="7"/>
    </row>
    <row r="3242" spans="1:167">
      <c r="A3242" s="571"/>
      <c r="B3242" s="1008"/>
      <c r="C3242" s="7"/>
      <c r="P3242" s="7"/>
      <c r="AX3242" s="7"/>
      <c r="BP3242" s="61"/>
      <c r="CF3242" s="104"/>
      <c r="CG3242" s="105"/>
      <c r="FK3242" s="7"/>
    </row>
    <row r="3243" spans="1:167">
      <c r="A3243" s="571"/>
      <c r="B3243" s="1008"/>
      <c r="C3243" s="7"/>
      <c r="P3243" s="7"/>
      <c r="AX3243" s="7"/>
      <c r="BP3243" s="61"/>
      <c r="CF3243" s="104"/>
      <c r="CG3243" s="105"/>
      <c r="FK3243" s="7"/>
    </row>
    <row r="3244" spans="1:167">
      <c r="A3244" s="571"/>
      <c r="B3244" s="1008"/>
      <c r="C3244" s="7"/>
      <c r="P3244" s="7"/>
      <c r="AX3244" s="7"/>
      <c r="BP3244" s="61"/>
      <c r="CF3244" s="104"/>
      <c r="CG3244" s="105"/>
      <c r="FK3244" s="7"/>
    </row>
    <row r="3245" spans="1:167">
      <c r="A3245" s="571"/>
      <c r="B3245" s="1008"/>
      <c r="C3245" s="7"/>
      <c r="P3245" s="7"/>
      <c r="AX3245" s="7"/>
      <c r="BP3245" s="61"/>
      <c r="CF3245" s="104"/>
      <c r="CG3245" s="105"/>
      <c r="FK3245" s="7"/>
    </row>
    <row r="3246" spans="1:167">
      <c r="A3246" s="571"/>
      <c r="B3246" s="1008"/>
      <c r="C3246" s="7"/>
      <c r="P3246" s="7"/>
      <c r="AX3246" s="7"/>
      <c r="BP3246" s="61"/>
      <c r="CF3246" s="104"/>
      <c r="CG3246" s="105"/>
      <c r="FK3246" s="7"/>
    </row>
    <row r="3247" spans="1:167">
      <c r="A3247" s="571"/>
      <c r="B3247" s="1008"/>
      <c r="C3247" s="7"/>
      <c r="P3247" s="7"/>
      <c r="AX3247" s="7"/>
      <c r="BP3247" s="61"/>
      <c r="CF3247" s="104"/>
      <c r="CG3247" s="105"/>
      <c r="FK3247" s="7"/>
    </row>
    <row r="3248" spans="1:167">
      <c r="A3248" s="571"/>
      <c r="B3248" s="1008"/>
      <c r="C3248" s="7"/>
      <c r="P3248" s="7"/>
      <c r="AX3248" s="7"/>
      <c r="BP3248" s="61"/>
      <c r="CF3248" s="104"/>
      <c r="CG3248" s="105"/>
      <c r="FK3248" s="7"/>
    </row>
    <row r="3249" spans="1:167">
      <c r="A3249" s="571"/>
      <c r="B3249" s="1008"/>
      <c r="C3249" s="7"/>
      <c r="P3249" s="7"/>
      <c r="AX3249" s="7"/>
      <c r="BP3249" s="61"/>
      <c r="CF3249" s="104"/>
      <c r="CG3249" s="105"/>
      <c r="FK3249" s="7"/>
    </row>
    <row r="3250" spans="1:167">
      <c r="A3250" s="571"/>
      <c r="B3250" s="1008"/>
      <c r="C3250" s="7"/>
      <c r="P3250" s="7"/>
      <c r="AX3250" s="7"/>
      <c r="BP3250" s="61"/>
      <c r="CF3250" s="104"/>
      <c r="CG3250" s="105"/>
      <c r="FK3250" s="7"/>
    </row>
    <row r="3251" spans="1:167">
      <c r="A3251" s="571"/>
      <c r="B3251" s="1008"/>
      <c r="C3251" s="7"/>
      <c r="P3251" s="7"/>
      <c r="AX3251" s="7"/>
      <c r="BP3251" s="61"/>
      <c r="CF3251" s="104"/>
      <c r="CG3251" s="105"/>
      <c r="FK3251" s="7"/>
    </row>
    <row r="3252" spans="1:167">
      <c r="A3252" s="571"/>
      <c r="B3252" s="1008"/>
      <c r="C3252" s="7"/>
      <c r="P3252" s="7"/>
      <c r="AX3252" s="7"/>
      <c r="BP3252" s="61"/>
      <c r="CF3252" s="104"/>
      <c r="CG3252" s="105"/>
      <c r="FK3252" s="7"/>
    </row>
    <row r="3253" spans="1:167">
      <c r="A3253" s="571"/>
      <c r="B3253" s="1008"/>
      <c r="C3253" s="7"/>
      <c r="P3253" s="7"/>
      <c r="AX3253" s="7"/>
      <c r="BP3253" s="61"/>
      <c r="CF3253" s="104"/>
      <c r="CG3253" s="105"/>
      <c r="FK3253" s="7"/>
    </row>
    <row r="3254" spans="1:167">
      <c r="A3254" s="571"/>
      <c r="B3254" s="1008"/>
      <c r="C3254" s="7"/>
      <c r="P3254" s="7"/>
      <c r="AX3254" s="7"/>
      <c r="BP3254" s="61"/>
      <c r="CF3254" s="104"/>
      <c r="CG3254" s="105"/>
      <c r="FK3254" s="7"/>
    </row>
    <row r="3255" spans="1:167">
      <c r="A3255" s="571"/>
      <c r="B3255" s="1008"/>
      <c r="C3255" s="7"/>
      <c r="P3255" s="7"/>
      <c r="AX3255" s="7"/>
      <c r="BP3255" s="61"/>
      <c r="CF3255" s="104"/>
      <c r="CG3255" s="105"/>
      <c r="FK3255" s="7"/>
    </row>
    <row r="3256" spans="1:167">
      <c r="A3256" s="571"/>
      <c r="B3256" s="1008"/>
      <c r="C3256" s="7"/>
      <c r="P3256" s="7"/>
      <c r="AX3256" s="7"/>
      <c r="BP3256" s="61"/>
      <c r="CF3256" s="104"/>
      <c r="CG3256" s="105"/>
      <c r="FK3256" s="7"/>
    </row>
    <row r="3257" spans="1:167">
      <c r="A3257" s="571"/>
      <c r="B3257" s="1008"/>
      <c r="C3257" s="7"/>
      <c r="P3257" s="7"/>
      <c r="AX3257" s="7"/>
      <c r="BP3257" s="61"/>
      <c r="CF3257" s="104"/>
      <c r="CG3257" s="105"/>
      <c r="FK3257" s="7"/>
    </row>
    <row r="3258" spans="1:167">
      <c r="A3258" s="571"/>
      <c r="B3258" s="1008"/>
      <c r="C3258" s="7"/>
      <c r="P3258" s="7"/>
      <c r="AX3258" s="7"/>
      <c r="BP3258" s="61"/>
      <c r="CF3258" s="104"/>
      <c r="CG3258" s="105"/>
      <c r="FK3258" s="7"/>
    </row>
    <row r="3259" spans="1:167">
      <c r="A3259" s="571"/>
      <c r="B3259" s="1008"/>
      <c r="C3259" s="7"/>
      <c r="P3259" s="7"/>
      <c r="AX3259" s="7"/>
      <c r="BP3259" s="61"/>
      <c r="CF3259" s="104"/>
      <c r="CG3259" s="105"/>
      <c r="FK3259" s="7"/>
    </row>
    <row r="3260" spans="1:167">
      <c r="A3260" s="571"/>
      <c r="B3260" s="1008"/>
      <c r="C3260" s="7"/>
      <c r="P3260" s="7"/>
      <c r="AX3260" s="7"/>
      <c r="BP3260" s="61"/>
      <c r="CF3260" s="104"/>
      <c r="CG3260" s="105"/>
      <c r="FK3260" s="7"/>
    </row>
    <row r="3261" spans="1:167">
      <c r="A3261" s="571"/>
      <c r="B3261" s="1008"/>
      <c r="C3261" s="7"/>
      <c r="P3261" s="7"/>
      <c r="AX3261" s="7"/>
      <c r="BP3261" s="61"/>
      <c r="CF3261" s="104"/>
      <c r="CG3261" s="105"/>
      <c r="FK3261" s="7"/>
    </row>
    <row r="3262" spans="1:167">
      <c r="A3262" s="571"/>
      <c r="B3262" s="1008"/>
      <c r="C3262" s="7"/>
      <c r="P3262" s="7"/>
      <c r="AX3262" s="7"/>
      <c r="BP3262" s="61"/>
      <c r="CF3262" s="104"/>
      <c r="CG3262" s="105"/>
      <c r="FK3262" s="7"/>
    </row>
    <row r="3263" spans="1:167">
      <c r="A3263" s="571"/>
      <c r="B3263" s="1008"/>
      <c r="C3263" s="7"/>
      <c r="P3263" s="7"/>
      <c r="AX3263" s="7"/>
      <c r="BP3263" s="61"/>
      <c r="CF3263" s="104"/>
      <c r="CG3263" s="105"/>
      <c r="FK3263" s="7"/>
    </row>
    <row r="3264" spans="1:167">
      <c r="A3264" s="571"/>
      <c r="B3264" s="1008"/>
      <c r="C3264" s="7"/>
      <c r="P3264" s="7"/>
      <c r="AX3264" s="7"/>
      <c r="BP3264" s="61"/>
      <c r="CF3264" s="104"/>
      <c r="CG3264" s="105"/>
      <c r="FK3264" s="7"/>
    </row>
    <row r="3265" spans="1:167">
      <c r="A3265" s="571"/>
      <c r="B3265" s="1008"/>
      <c r="C3265" s="7"/>
      <c r="P3265" s="7"/>
      <c r="AX3265" s="7"/>
      <c r="BP3265" s="61"/>
      <c r="CF3265" s="104"/>
      <c r="CG3265" s="105"/>
      <c r="FK3265" s="7"/>
    </row>
    <row r="3266" spans="1:167">
      <c r="A3266" s="571"/>
      <c r="B3266" s="1008"/>
      <c r="C3266" s="7"/>
      <c r="P3266" s="7"/>
      <c r="AX3266" s="7"/>
      <c r="BP3266" s="61"/>
      <c r="CF3266" s="104"/>
      <c r="CG3266" s="105"/>
      <c r="FK3266" s="7"/>
    </row>
    <row r="3267" spans="1:167">
      <c r="A3267" s="571"/>
      <c r="B3267" s="1008"/>
      <c r="C3267" s="7"/>
      <c r="P3267" s="7"/>
      <c r="AX3267" s="7"/>
      <c r="BP3267" s="61"/>
      <c r="CF3267" s="104"/>
      <c r="CG3267" s="105"/>
      <c r="FK3267" s="7"/>
    </row>
    <row r="3268" spans="1:167">
      <c r="A3268" s="571"/>
      <c r="B3268" s="1008"/>
      <c r="C3268" s="7"/>
      <c r="P3268" s="7"/>
      <c r="AX3268" s="7"/>
      <c r="BP3268" s="61"/>
      <c r="CF3268" s="104"/>
      <c r="CG3268" s="105"/>
      <c r="FK3268" s="7"/>
    </row>
    <row r="3269" spans="1:167">
      <c r="A3269" s="571"/>
      <c r="B3269" s="1008"/>
      <c r="C3269" s="7"/>
      <c r="P3269" s="7"/>
      <c r="AX3269" s="7"/>
      <c r="BP3269" s="61"/>
      <c r="CF3269" s="104"/>
      <c r="CG3269" s="105"/>
      <c r="FK3269" s="7"/>
    </row>
    <row r="3270" spans="1:167">
      <c r="A3270" s="571"/>
      <c r="B3270" s="1008"/>
      <c r="C3270" s="7"/>
      <c r="P3270" s="7"/>
      <c r="AX3270" s="7"/>
      <c r="BP3270" s="61"/>
      <c r="CF3270" s="104"/>
      <c r="CG3270" s="105"/>
      <c r="FK3270" s="7"/>
    </row>
    <row r="3271" spans="1:167">
      <c r="A3271" s="571"/>
      <c r="B3271" s="1008"/>
      <c r="C3271" s="7"/>
      <c r="P3271" s="7"/>
      <c r="AX3271" s="7"/>
      <c r="BP3271" s="61"/>
      <c r="CF3271" s="104"/>
      <c r="CG3271" s="105"/>
      <c r="FK3271" s="7"/>
    </row>
    <row r="3272" spans="1:167">
      <c r="A3272" s="571"/>
      <c r="B3272" s="1008"/>
      <c r="C3272" s="7"/>
      <c r="P3272" s="7"/>
      <c r="AX3272" s="7"/>
      <c r="BP3272" s="61"/>
      <c r="CF3272" s="104"/>
      <c r="CG3272" s="105"/>
      <c r="FK3272" s="7"/>
    </row>
    <row r="3273" spans="1:167">
      <c r="A3273" s="571"/>
      <c r="B3273" s="1008"/>
      <c r="C3273" s="7"/>
      <c r="P3273" s="7"/>
      <c r="AX3273" s="7"/>
      <c r="BP3273" s="61"/>
      <c r="CF3273" s="104"/>
      <c r="CG3273" s="105"/>
      <c r="FK3273" s="7"/>
    </row>
    <row r="3274" spans="1:167">
      <c r="A3274" s="571"/>
      <c r="B3274" s="1008"/>
      <c r="C3274" s="7"/>
      <c r="P3274" s="7"/>
      <c r="AX3274" s="7"/>
      <c r="BP3274" s="61"/>
      <c r="CF3274" s="104"/>
      <c r="CG3274" s="105"/>
      <c r="FK3274" s="7"/>
    </row>
    <row r="3275" spans="1:167">
      <c r="A3275" s="571"/>
      <c r="B3275" s="1008"/>
      <c r="C3275" s="7"/>
      <c r="P3275" s="7"/>
      <c r="AX3275" s="7"/>
      <c r="BP3275" s="61"/>
      <c r="CF3275" s="104"/>
      <c r="CG3275" s="105"/>
      <c r="FK3275" s="7"/>
    </row>
    <row r="3276" spans="1:167">
      <c r="A3276" s="571"/>
      <c r="B3276" s="1008"/>
      <c r="C3276" s="7"/>
      <c r="P3276" s="7"/>
      <c r="AX3276" s="7"/>
      <c r="BP3276" s="61"/>
      <c r="CF3276" s="104"/>
      <c r="CG3276" s="105"/>
      <c r="FK3276" s="7"/>
    </row>
    <row r="3277" spans="1:167">
      <c r="A3277" s="571"/>
      <c r="B3277" s="1008"/>
      <c r="C3277" s="7"/>
      <c r="P3277" s="7"/>
      <c r="AX3277" s="7"/>
      <c r="BP3277" s="61"/>
      <c r="CF3277" s="104"/>
      <c r="CG3277" s="105"/>
      <c r="FK3277" s="7"/>
    </row>
    <row r="3278" spans="1:167">
      <c r="A3278" s="571"/>
      <c r="B3278" s="1008"/>
      <c r="C3278" s="7"/>
      <c r="P3278" s="7"/>
      <c r="AX3278" s="7"/>
      <c r="BP3278" s="61"/>
      <c r="CF3278" s="104"/>
      <c r="CG3278" s="105"/>
      <c r="FK3278" s="7"/>
    </row>
    <row r="3279" spans="1:167">
      <c r="A3279" s="571"/>
      <c r="B3279" s="1008"/>
      <c r="C3279" s="7"/>
      <c r="P3279" s="7"/>
      <c r="AX3279" s="7"/>
      <c r="BP3279" s="61"/>
      <c r="CF3279" s="104"/>
      <c r="CG3279" s="105"/>
      <c r="FK3279" s="7"/>
    </row>
    <row r="3280" spans="1:167">
      <c r="A3280" s="571"/>
      <c r="B3280" s="1008"/>
      <c r="C3280" s="7"/>
      <c r="P3280" s="7"/>
      <c r="AX3280" s="7"/>
      <c r="BP3280" s="61"/>
      <c r="CF3280" s="104"/>
      <c r="CG3280" s="105"/>
      <c r="FK3280" s="7"/>
    </row>
    <row r="3281" spans="1:167">
      <c r="A3281" s="571"/>
      <c r="B3281" s="1008"/>
      <c r="C3281" s="7"/>
      <c r="P3281" s="7"/>
      <c r="AX3281" s="7"/>
      <c r="BP3281" s="61"/>
      <c r="CF3281" s="104"/>
      <c r="CG3281" s="105"/>
      <c r="FK3281" s="7"/>
    </row>
    <row r="3282" spans="1:167">
      <c r="A3282" s="571"/>
      <c r="B3282" s="1008"/>
      <c r="C3282" s="7"/>
      <c r="P3282" s="7"/>
      <c r="AX3282" s="7"/>
      <c r="BP3282" s="61"/>
      <c r="CF3282" s="104"/>
      <c r="CG3282" s="105"/>
      <c r="FK3282" s="7"/>
    </row>
    <row r="3283" spans="1:167">
      <c r="A3283" s="571"/>
      <c r="B3283" s="1008"/>
      <c r="C3283" s="7"/>
      <c r="P3283" s="7"/>
      <c r="AX3283" s="7"/>
      <c r="BP3283" s="61"/>
      <c r="CF3283" s="104"/>
      <c r="CG3283" s="105"/>
      <c r="FK3283" s="7"/>
    </row>
    <row r="3284" spans="1:167">
      <c r="A3284" s="571"/>
      <c r="B3284" s="1008"/>
      <c r="C3284" s="7"/>
      <c r="P3284" s="7"/>
      <c r="AX3284" s="7"/>
      <c r="BP3284" s="61"/>
      <c r="CF3284" s="104"/>
      <c r="CG3284" s="105"/>
      <c r="FK3284" s="7"/>
    </row>
    <row r="3285" spans="1:167">
      <c r="A3285" s="571"/>
      <c r="B3285" s="1008"/>
      <c r="C3285" s="7"/>
      <c r="P3285" s="7"/>
      <c r="AX3285" s="7"/>
      <c r="BP3285" s="61"/>
      <c r="CF3285" s="104"/>
      <c r="CG3285" s="105"/>
      <c r="FK3285" s="7"/>
    </row>
    <row r="3286" spans="1:167">
      <c r="A3286" s="571"/>
      <c r="B3286" s="1008"/>
      <c r="C3286" s="7"/>
      <c r="P3286" s="7"/>
      <c r="AX3286" s="7"/>
      <c r="BP3286" s="61"/>
      <c r="CF3286" s="104"/>
      <c r="CG3286" s="105"/>
      <c r="FK3286" s="7"/>
    </row>
    <row r="3287" spans="1:167">
      <c r="A3287" s="571"/>
      <c r="B3287" s="1008"/>
      <c r="C3287" s="7"/>
      <c r="P3287" s="7"/>
      <c r="AX3287" s="7"/>
      <c r="BP3287" s="61"/>
      <c r="CF3287" s="104"/>
      <c r="CG3287" s="105"/>
      <c r="FK3287" s="7"/>
    </row>
    <row r="3288" spans="1:167">
      <c r="A3288" s="571"/>
      <c r="B3288" s="1008"/>
      <c r="C3288" s="7"/>
      <c r="P3288" s="7"/>
      <c r="AX3288" s="7"/>
      <c r="BP3288" s="61"/>
      <c r="CF3288" s="104"/>
      <c r="CG3288" s="105"/>
      <c r="FK3288" s="7"/>
    </row>
    <row r="3289" spans="1:167">
      <c r="A3289" s="571"/>
      <c r="B3289" s="1008"/>
      <c r="C3289" s="7"/>
      <c r="P3289" s="7"/>
      <c r="AX3289" s="7"/>
      <c r="BP3289" s="61"/>
      <c r="CF3289" s="104"/>
      <c r="CG3289" s="105"/>
      <c r="FK3289" s="7"/>
    </row>
    <row r="3290" spans="1:167">
      <c r="A3290" s="571"/>
      <c r="B3290" s="1008"/>
      <c r="C3290" s="7"/>
      <c r="P3290" s="7"/>
      <c r="AX3290" s="7"/>
      <c r="BP3290" s="61"/>
      <c r="CF3290" s="104"/>
      <c r="CG3290" s="105"/>
      <c r="FK3290" s="7"/>
    </row>
    <row r="3291" spans="1:167">
      <c r="A3291" s="571"/>
      <c r="B3291" s="1008"/>
      <c r="C3291" s="7"/>
      <c r="P3291" s="7"/>
      <c r="AX3291" s="7"/>
      <c r="BP3291" s="61"/>
      <c r="CF3291" s="104"/>
      <c r="CG3291" s="105"/>
      <c r="FK3291" s="7"/>
    </row>
    <row r="3292" spans="1:167">
      <c r="A3292" s="571"/>
      <c r="B3292" s="1008"/>
      <c r="C3292" s="7"/>
      <c r="P3292" s="7"/>
      <c r="AX3292" s="7"/>
      <c r="BP3292" s="61"/>
      <c r="CF3292" s="104"/>
      <c r="CG3292" s="105"/>
      <c r="FK3292" s="7"/>
    </row>
    <row r="3293" spans="1:167">
      <c r="A3293" s="571"/>
      <c r="B3293" s="1008"/>
      <c r="C3293" s="7"/>
      <c r="P3293" s="7"/>
      <c r="AX3293" s="7"/>
      <c r="BP3293" s="61"/>
      <c r="CF3293" s="104"/>
      <c r="CG3293" s="105"/>
      <c r="FK3293" s="7"/>
    </row>
    <row r="3294" spans="1:167">
      <c r="A3294" s="571"/>
      <c r="B3294" s="1008"/>
      <c r="C3294" s="7"/>
      <c r="P3294" s="7"/>
      <c r="AX3294" s="7"/>
      <c r="BP3294" s="61"/>
      <c r="CF3294" s="104"/>
      <c r="CG3294" s="105"/>
      <c r="FK3294" s="7"/>
    </row>
    <row r="3295" spans="1:167">
      <c r="A3295" s="571"/>
      <c r="B3295" s="1008"/>
      <c r="C3295" s="7"/>
      <c r="P3295" s="7"/>
      <c r="AX3295" s="7"/>
      <c r="BP3295" s="61"/>
      <c r="CF3295" s="104"/>
      <c r="CG3295" s="105"/>
      <c r="FK3295" s="7"/>
    </row>
    <row r="3296" spans="1:167">
      <c r="A3296" s="571"/>
      <c r="B3296" s="1008"/>
      <c r="C3296" s="7"/>
      <c r="P3296" s="7"/>
      <c r="AX3296" s="7"/>
      <c r="BP3296" s="61"/>
      <c r="CF3296" s="104"/>
      <c r="CG3296" s="105"/>
      <c r="FK3296" s="7"/>
    </row>
    <row r="3297" spans="1:167">
      <c r="A3297" s="571"/>
      <c r="B3297" s="1008"/>
      <c r="C3297" s="7"/>
      <c r="P3297" s="7"/>
      <c r="AX3297" s="7"/>
      <c r="BP3297" s="61"/>
      <c r="CF3297" s="104"/>
      <c r="CG3297" s="105"/>
      <c r="FK3297" s="7"/>
    </row>
    <row r="3298" spans="1:167">
      <c r="A3298" s="571"/>
      <c r="B3298" s="1008"/>
      <c r="C3298" s="7"/>
      <c r="P3298" s="7"/>
      <c r="AX3298" s="7"/>
      <c r="BP3298" s="61"/>
      <c r="CF3298" s="104"/>
      <c r="CG3298" s="105"/>
      <c r="FK3298" s="7"/>
    </row>
    <row r="3299" spans="1:167">
      <c r="A3299" s="571"/>
      <c r="B3299" s="1008"/>
      <c r="C3299" s="7"/>
      <c r="P3299" s="7"/>
      <c r="AX3299" s="7"/>
      <c r="BP3299" s="61"/>
      <c r="CF3299" s="104"/>
      <c r="CG3299" s="105"/>
      <c r="FK3299" s="7"/>
    </row>
    <row r="3300" spans="1:167">
      <c r="A3300" s="571"/>
      <c r="B3300" s="1008"/>
      <c r="C3300" s="7"/>
      <c r="P3300" s="7"/>
      <c r="AX3300" s="7"/>
      <c r="BP3300" s="61"/>
      <c r="CF3300" s="104"/>
      <c r="CG3300" s="105"/>
      <c r="FK3300" s="7"/>
    </row>
    <row r="3301" spans="1:167">
      <c r="A3301" s="571"/>
      <c r="B3301" s="1008"/>
      <c r="C3301" s="7"/>
      <c r="P3301" s="7"/>
      <c r="AX3301" s="7"/>
      <c r="BP3301" s="61"/>
      <c r="CF3301" s="104"/>
      <c r="CG3301" s="105"/>
      <c r="FK3301" s="7"/>
    </row>
    <row r="3302" spans="1:167">
      <c r="A3302" s="571"/>
      <c r="B3302" s="1008"/>
      <c r="C3302" s="7"/>
      <c r="P3302" s="7"/>
      <c r="AX3302" s="7"/>
      <c r="BP3302" s="61"/>
      <c r="CF3302" s="104"/>
      <c r="CG3302" s="105"/>
      <c r="FK3302" s="7"/>
    </row>
    <row r="3303" spans="1:167">
      <c r="A3303" s="571"/>
      <c r="B3303" s="1008"/>
      <c r="C3303" s="7"/>
      <c r="P3303" s="7"/>
      <c r="AX3303" s="7"/>
      <c r="BP3303" s="61"/>
      <c r="CF3303" s="104"/>
      <c r="CG3303" s="105"/>
      <c r="FK3303" s="7"/>
    </row>
    <row r="3304" spans="1:167">
      <c r="A3304" s="571"/>
      <c r="B3304" s="1008"/>
      <c r="C3304" s="7"/>
      <c r="P3304" s="7"/>
      <c r="AX3304" s="7"/>
      <c r="BP3304" s="61"/>
      <c r="CF3304" s="104"/>
      <c r="CG3304" s="105"/>
      <c r="FK3304" s="7"/>
    </row>
    <row r="3305" spans="1:167">
      <c r="A3305" s="571"/>
      <c r="B3305" s="1008"/>
      <c r="C3305" s="7"/>
      <c r="P3305" s="7"/>
      <c r="AX3305" s="7"/>
      <c r="BP3305" s="61"/>
      <c r="CF3305" s="104"/>
      <c r="CG3305" s="105"/>
      <c r="FK3305" s="7"/>
    </row>
    <row r="3306" spans="1:167">
      <c r="A3306" s="571"/>
      <c r="B3306" s="1008"/>
      <c r="C3306" s="7"/>
      <c r="P3306" s="7"/>
      <c r="AX3306" s="7"/>
      <c r="BP3306" s="61"/>
      <c r="CF3306" s="104"/>
      <c r="CG3306" s="105"/>
      <c r="FK3306" s="7"/>
    </row>
    <row r="3307" spans="1:167">
      <c r="A3307" s="571"/>
      <c r="B3307" s="1008"/>
      <c r="C3307" s="7"/>
      <c r="P3307" s="7"/>
      <c r="AX3307" s="7"/>
      <c r="BP3307" s="61"/>
      <c r="CF3307" s="104"/>
      <c r="CG3307" s="105"/>
      <c r="FK3307" s="7"/>
    </row>
    <row r="3308" spans="1:167">
      <c r="A3308" s="571"/>
      <c r="B3308" s="1008"/>
      <c r="C3308" s="7"/>
      <c r="P3308" s="7"/>
      <c r="AX3308" s="7"/>
      <c r="BP3308" s="61"/>
      <c r="CF3308" s="104"/>
      <c r="CG3308" s="105"/>
      <c r="FK3308" s="7"/>
    </row>
    <row r="3309" spans="1:167">
      <c r="A3309" s="571"/>
      <c r="B3309" s="1008"/>
      <c r="C3309" s="7"/>
      <c r="P3309" s="7"/>
      <c r="AX3309" s="7"/>
      <c r="BP3309" s="61"/>
      <c r="CF3309" s="104"/>
      <c r="CG3309" s="105"/>
      <c r="FK3309" s="7"/>
    </row>
    <row r="3310" spans="1:167">
      <c r="A3310" s="571"/>
      <c r="B3310" s="1008"/>
      <c r="C3310" s="7"/>
      <c r="P3310" s="7"/>
      <c r="AX3310" s="7"/>
      <c r="BP3310" s="61"/>
      <c r="CF3310" s="104"/>
      <c r="CG3310" s="105"/>
      <c r="FK3310" s="7"/>
    </row>
    <row r="3311" spans="1:167">
      <c r="A3311" s="571"/>
      <c r="B3311" s="1008"/>
      <c r="C3311" s="7"/>
      <c r="P3311" s="7"/>
      <c r="AX3311" s="7"/>
      <c r="BP3311" s="61"/>
      <c r="CF3311" s="104"/>
      <c r="CG3311" s="105"/>
      <c r="FK3311" s="7"/>
    </row>
    <row r="3312" spans="1:167">
      <c r="A3312" s="571"/>
      <c r="B3312" s="1008"/>
      <c r="C3312" s="7"/>
      <c r="P3312" s="7"/>
      <c r="AX3312" s="7"/>
      <c r="BP3312" s="61"/>
      <c r="CF3312" s="104"/>
      <c r="CG3312" s="105"/>
      <c r="FK3312" s="7"/>
    </row>
    <row r="3313" spans="1:167">
      <c r="A3313" s="571"/>
      <c r="B3313" s="1008"/>
      <c r="C3313" s="7"/>
      <c r="P3313" s="7"/>
      <c r="AX3313" s="7"/>
      <c r="BP3313" s="61"/>
      <c r="CF3313" s="104"/>
      <c r="CG3313" s="105"/>
      <c r="FK3313" s="7"/>
    </row>
    <row r="3314" spans="1:167">
      <c r="A3314" s="571"/>
      <c r="B3314" s="1008"/>
      <c r="C3314" s="7"/>
      <c r="P3314" s="7"/>
      <c r="AX3314" s="7"/>
      <c r="BP3314" s="61"/>
      <c r="CF3314" s="104"/>
      <c r="CG3314" s="105"/>
      <c r="FK3314" s="7"/>
    </row>
    <row r="3315" spans="1:167">
      <c r="A3315" s="571"/>
      <c r="B3315" s="1008"/>
      <c r="C3315" s="7"/>
      <c r="P3315" s="7"/>
      <c r="AX3315" s="7"/>
      <c r="BP3315" s="61"/>
      <c r="CF3315" s="104"/>
      <c r="CG3315" s="105"/>
      <c r="FK3315" s="7"/>
    </row>
    <row r="3316" spans="1:167">
      <c r="A3316" s="571"/>
      <c r="B3316" s="1008"/>
      <c r="C3316" s="7"/>
      <c r="P3316" s="7"/>
      <c r="AX3316" s="7"/>
      <c r="BP3316" s="61"/>
      <c r="CF3316" s="104"/>
      <c r="CG3316" s="105"/>
      <c r="FK3316" s="7"/>
    </row>
    <row r="3317" spans="1:167">
      <c r="A3317" s="571"/>
      <c r="B3317" s="1008"/>
      <c r="C3317" s="7"/>
      <c r="P3317" s="7"/>
      <c r="AX3317" s="7"/>
      <c r="BP3317" s="61"/>
      <c r="CF3317" s="104"/>
      <c r="CG3317" s="105"/>
      <c r="FK3317" s="7"/>
    </row>
    <row r="3318" spans="1:167">
      <c r="A3318" s="571"/>
      <c r="B3318" s="1008"/>
      <c r="C3318" s="7"/>
      <c r="P3318" s="7"/>
      <c r="AX3318" s="7"/>
      <c r="BP3318" s="61"/>
      <c r="CF3318" s="104"/>
      <c r="CG3318" s="105"/>
      <c r="FK3318" s="7"/>
    </row>
    <row r="3319" spans="1:167">
      <c r="A3319" s="571"/>
      <c r="B3319" s="1008"/>
      <c r="C3319" s="7"/>
      <c r="P3319" s="7"/>
      <c r="AX3319" s="7"/>
      <c r="BP3319" s="61"/>
      <c r="CF3319" s="104"/>
      <c r="CG3319" s="105"/>
      <c r="FK3319" s="7"/>
    </row>
    <row r="3320" spans="1:167">
      <c r="A3320" s="571"/>
      <c r="B3320" s="1008"/>
      <c r="C3320" s="7"/>
      <c r="P3320" s="7"/>
      <c r="AX3320" s="7"/>
      <c r="BP3320" s="61"/>
      <c r="CF3320" s="104"/>
      <c r="CG3320" s="105"/>
      <c r="FK3320" s="7"/>
    </row>
    <row r="3321" spans="1:167">
      <c r="A3321" s="571"/>
      <c r="B3321" s="1008"/>
      <c r="C3321" s="7"/>
      <c r="P3321" s="7"/>
      <c r="AX3321" s="7"/>
      <c r="BP3321" s="61"/>
      <c r="CF3321" s="104"/>
      <c r="CG3321" s="105"/>
      <c r="FK3321" s="7"/>
    </row>
    <row r="3322" spans="1:167">
      <c r="A3322" s="571"/>
      <c r="B3322" s="1008"/>
      <c r="C3322" s="7"/>
      <c r="P3322" s="7"/>
      <c r="AX3322" s="7"/>
      <c r="BP3322" s="61"/>
      <c r="CF3322" s="104"/>
      <c r="CG3322" s="105"/>
      <c r="FK3322" s="7"/>
    </row>
    <row r="3323" spans="1:167">
      <c r="A3323" s="571"/>
      <c r="B3323" s="1008"/>
      <c r="C3323" s="7"/>
      <c r="P3323" s="7"/>
      <c r="AX3323" s="7"/>
      <c r="BP3323" s="61"/>
      <c r="CF3323" s="104"/>
      <c r="CG3323" s="105"/>
      <c r="FK3323" s="7"/>
    </row>
    <row r="3324" spans="1:167">
      <c r="A3324" s="571"/>
      <c r="B3324" s="1008"/>
      <c r="C3324" s="7"/>
      <c r="P3324" s="7"/>
      <c r="AX3324" s="7"/>
      <c r="BP3324" s="61"/>
      <c r="CF3324" s="104"/>
      <c r="CG3324" s="105"/>
      <c r="FK3324" s="7"/>
    </row>
    <row r="3325" spans="1:167">
      <c r="A3325" s="571"/>
      <c r="B3325" s="1008"/>
      <c r="C3325" s="7"/>
      <c r="P3325" s="7"/>
      <c r="AX3325" s="7"/>
      <c r="BP3325" s="61"/>
      <c r="CF3325" s="104"/>
      <c r="CG3325" s="105"/>
      <c r="FK3325" s="7"/>
    </row>
    <row r="3326" spans="1:167">
      <c r="A3326" s="571"/>
      <c r="B3326" s="1008"/>
      <c r="C3326" s="7"/>
      <c r="P3326" s="7"/>
      <c r="AX3326" s="7"/>
      <c r="BP3326" s="61"/>
      <c r="CF3326" s="104"/>
      <c r="CG3326" s="105"/>
      <c r="FK3326" s="7"/>
    </row>
    <row r="3327" spans="1:167">
      <c r="A3327" s="571"/>
      <c r="B3327" s="1008"/>
      <c r="C3327" s="7"/>
      <c r="P3327" s="7"/>
      <c r="AX3327" s="7"/>
      <c r="BP3327" s="61"/>
      <c r="CF3327" s="104"/>
      <c r="CG3327" s="105"/>
      <c r="FK3327" s="7"/>
    </row>
    <row r="3328" spans="1:167">
      <c r="A3328" s="571"/>
      <c r="B3328" s="1008"/>
      <c r="C3328" s="7"/>
      <c r="P3328" s="7"/>
      <c r="AX3328" s="7"/>
      <c r="BP3328" s="61"/>
      <c r="CF3328" s="104"/>
      <c r="CG3328" s="105"/>
      <c r="FK3328" s="7"/>
    </row>
    <row r="3329" spans="1:167">
      <c r="A3329" s="571"/>
      <c r="B3329" s="1008"/>
      <c r="C3329" s="7"/>
      <c r="P3329" s="7"/>
      <c r="AX3329" s="7"/>
      <c r="BP3329" s="61"/>
      <c r="CF3329" s="104"/>
      <c r="CG3329" s="105"/>
      <c r="FK3329" s="7"/>
    </row>
    <row r="3330" spans="1:167">
      <c r="A3330" s="571"/>
      <c r="B3330" s="1008"/>
      <c r="C3330" s="7"/>
      <c r="P3330" s="7"/>
      <c r="AX3330" s="7"/>
      <c r="BP3330" s="61"/>
      <c r="CF3330" s="104"/>
      <c r="CG3330" s="105"/>
      <c r="FK3330" s="7"/>
    </row>
    <row r="3331" spans="1:167">
      <c r="A3331" s="571"/>
      <c r="B3331" s="1008"/>
      <c r="C3331" s="7"/>
      <c r="P3331" s="7"/>
      <c r="AX3331" s="7"/>
      <c r="BP3331" s="61"/>
      <c r="CF3331" s="104"/>
      <c r="CG3331" s="105"/>
      <c r="FK3331" s="7"/>
    </row>
    <row r="3332" spans="1:167">
      <c r="A3332" s="571"/>
      <c r="B3332" s="1008"/>
      <c r="C3332" s="7"/>
      <c r="P3332" s="7"/>
      <c r="AX3332" s="7"/>
      <c r="BP3332" s="61"/>
      <c r="CF3332" s="104"/>
      <c r="CG3332" s="105"/>
      <c r="FK3332" s="7"/>
    </row>
    <row r="3333" spans="1:167">
      <c r="A3333" s="571"/>
      <c r="B3333" s="1008"/>
      <c r="C3333" s="7"/>
      <c r="P3333" s="7"/>
      <c r="AX3333" s="7"/>
      <c r="BP3333" s="61"/>
      <c r="CF3333" s="104"/>
      <c r="CG3333" s="105"/>
      <c r="FK3333" s="7"/>
    </row>
    <row r="3334" spans="1:167">
      <c r="A3334" s="571"/>
      <c r="B3334" s="1008"/>
      <c r="C3334" s="7"/>
      <c r="P3334" s="7"/>
      <c r="AX3334" s="7"/>
      <c r="BP3334" s="61"/>
      <c r="CF3334" s="104"/>
      <c r="CG3334" s="105"/>
      <c r="FK3334" s="7"/>
    </row>
    <row r="3335" spans="1:167">
      <c r="A3335" s="571"/>
      <c r="B3335" s="1008"/>
      <c r="C3335" s="7"/>
      <c r="P3335" s="7"/>
      <c r="AX3335" s="7"/>
      <c r="BP3335" s="61"/>
      <c r="CF3335" s="104"/>
      <c r="CG3335" s="105"/>
      <c r="FK3335" s="7"/>
    </row>
    <row r="3336" spans="1:167">
      <c r="A3336" s="571"/>
      <c r="B3336" s="1008"/>
      <c r="C3336" s="7"/>
      <c r="P3336" s="7"/>
      <c r="AX3336" s="7"/>
      <c r="BP3336" s="61"/>
      <c r="CF3336" s="104"/>
      <c r="CG3336" s="105"/>
      <c r="FK3336" s="7"/>
    </row>
    <row r="3337" spans="1:167">
      <c r="A3337" s="571"/>
      <c r="B3337" s="1008"/>
      <c r="C3337" s="7"/>
      <c r="P3337" s="7"/>
      <c r="AX3337" s="7"/>
      <c r="BP3337" s="61"/>
      <c r="CF3337" s="104"/>
      <c r="CG3337" s="105"/>
      <c r="FK3337" s="7"/>
    </row>
    <row r="3338" spans="1:167">
      <c r="A3338" s="571"/>
      <c r="B3338" s="1008"/>
      <c r="C3338" s="7"/>
      <c r="P3338" s="7"/>
      <c r="AX3338" s="7"/>
      <c r="BP3338" s="61"/>
      <c r="CF3338" s="104"/>
      <c r="CG3338" s="105"/>
      <c r="FK3338" s="7"/>
    </row>
    <row r="3339" spans="1:167">
      <c r="A3339" s="571"/>
      <c r="B3339" s="1008"/>
      <c r="C3339" s="7"/>
      <c r="P3339" s="7"/>
      <c r="AX3339" s="7"/>
      <c r="BP3339" s="61"/>
      <c r="CF3339" s="104"/>
      <c r="CG3339" s="105"/>
      <c r="FK3339" s="7"/>
    </row>
    <row r="3340" spans="1:167">
      <c r="A3340" s="571"/>
      <c r="B3340" s="1008"/>
      <c r="C3340" s="7"/>
      <c r="P3340" s="7"/>
      <c r="AX3340" s="7"/>
      <c r="BP3340" s="61"/>
      <c r="CF3340" s="104"/>
      <c r="CG3340" s="105"/>
      <c r="FK3340" s="7"/>
    </row>
    <row r="3341" spans="1:167">
      <c r="A3341" s="571"/>
      <c r="B3341" s="1008"/>
      <c r="C3341" s="7"/>
      <c r="P3341" s="7"/>
      <c r="AX3341" s="7"/>
      <c r="BP3341" s="61"/>
      <c r="CF3341" s="104"/>
      <c r="CG3341" s="105"/>
      <c r="FK3341" s="7"/>
    </row>
    <row r="3342" spans="1:167">
      <c r="A3342" s="571"/>
      <c r="B3342" s="1008"/>
      <c r="C3342" s="7"/>
      <c r="P3342" s="7"/>
      <c r="AX3342" s="7"/>
      <c r="BP3342" s="61"/>
      <c r="CF3342" s="104"/>
      <c r="CG3342" s="105"/>
      <c r="FK3342" s="7"/>
    </row>
    <row r="3343" spans="1:167">
      <c r="A3343" s="571"/>
      <c r="B3343" s="1008"/>
      <c r="C3343" s="7"/>
      <c r="P3343" s="7"/>
      <c r="AX3343" s="7"/>
      <c r="BP3343" s="61"/>
      <c r="CF3343" s="104"/>
      <c r="CG3343" s="105"/>
      <c r="FK3343" s="7"/>
    </row>
    <row r="3344" spans="1:167">
      <c r="A3344" s="571"/>
      <c r="B3344" s="1008"/>
      <c r="C3344" s="7"/>
      <c r="P3344" s="7"/>
      <c r="AX3344" s="7"/>
      <c r="BP3344" s="61"/>
      <c r="CF3344" s="104"/>
      <c r="CG3344" s="105"/>
      <c r="FK3344" s="7"/>
    </row>
    <row r="3345" spans="1:167">
      <c r="A3345" s="571"/>
      <c r="B3345" s="1008"/>
      <c r="C3345" s="7"/>
      <c r="P3345" s="7"/>
      <c r="AX3345" s="7"/>
      <c r="BP3345" s="61"/>
      <c r="CF3345" s="104"/>
      <c r="CG3345" s="105"/>
      <c r="FK3345" s="7"/>
    </row>
    <row r="3346" spans="1:167">
      <c r="A3346" s="571"/>
      <c r="B3346" s="1008"/>
      <c r="C3346" s="7"/>
      <c r="P3346" s="7"/>
      <c r="AX3346" s="7"/>
      <c r="BP3346" s="61"/>
      <c r="CF3346" s="104"/>
      <c r="CG3346" s="105"/>
      <c r="FK3346" s="7"/>
    </row>
    <row r="3347" spans="1:167">
      <c r="A3347" s="571"/>
      <c r="B3347" s="1008"/>
      <c r="C3347" s="7"/>
      <c r="P3347" s="7"/>
      <c r="AX3347" s="7"/>
      <c r="BP3347" s="61"/>
      <c r="CF3347" s="104"/>
      <c r="CG3347" s="105"/>
      <c r="FK3347" s="7"/>
    </row>
    <row r="3348" spans="1:167">
      <c r="A3348" s="571"/>
      <c r="B3348" s="1008"/>
      <c r="C3348" s="7"/>
      <c r="P3348" s="7"/>
      <c r="AX3348" s="7"/>
      <c r="BP3348" s="61"/>
      <c r="CF3348" s="104"/>
      <c r="CG3348" s="105"/>
      <c r="FK3348" s="7"/>
    </row>
    <row r="3349" spans="1:167">
      <c r="A3349" s="571"/>
      <c r="B3349" s="1008"/>
      <c r="C3349" s="7"/>
      <c r="P3349" s="7"/>
      <c r="AX3349" s="7"/>
      <c r="BP3349" s="61"/>
      <c r="CF3349" s="104"/>
      <c r="CG3349" s="105"/>
      <c r="FK3349" s="7"/>
    </row>
    <row r="3350" spans="1:167">
      <c r="A3350" s="571"/>
      <c r="B3350" s="1008"/>
      <c r="C3350" s="7"/>
      <c r="P3350" s="7"/>
      <c r="AX3350" s="7"/>
      <c r="BP3350" s="61"/>
      <c r="CF3350" s="104"/>
      <c r="CG3350" s="105"/>
      <c r="FK3350" s="7"/>
    </row>
    <row r="3351" spans="1:167">
      <c r="A3351" s="571"/>
      <c r="B3351" s="1008"/>
      <c r="C3351" s="7"/>
      <c r="P3351" s="7"/>
      <c r="AX3351" s="7"/>
      <c r="BP3351" s="61"/>
      <c r="CF3351" s="104"/>
      <c r="CG3351" s="105"/>
      <c r="FK3351" s="7"/>
    </row>
    <row r="3352" spans="1:167">
      <c r="A3352" s="571"/>
      <c r="B3352" s="1008"/>
      <c r="C3352" s="7"/>
      <c r="P3352" s="7"/>
      <c r="AX3352" s="7"/>
      <c r="BP3352" s="61"/>
      <c r="CF3352" s="104"/>
      <c r="CG3352" s="105"/>
      <c r="FK3352" s="7"/>
    </row>
    <row r="3353" spans="1:167">
      <c r="A3353" s="571"/>
      <c r="B3353" s="1008"/>
      <c r="C3353" s="7"/>
      <c r="P3353" s="7"/>
      <c r="AX3353" s="7"/>
      <c r="BP3353" s="61"/>
      <c r="CF3353" s="104"/>
      <c r="CG3353" s="105"/>
      <c r="FK3353" s="7"/>
    </row>
    <row r="3354" spans="1:167">
      <c r="A3354" s="571"/>
      <c r="B3354" s="1008"/>
      <c r="C3354" s="7"/>
      <c r="P3354" s="7"/>
      <c r="AX3354" s="7"/>
      <c r="BP3354" s="61"/>
      <c r="CF3354" s="104"/>
      <c r="CG3354" s="105"/>
      <c r="FK3354" s="7"/>
    </row>
    <row r="3355" spans="1:167">
      <c r="A3355" s="571"/>
      <c r="B3355" s="1008"/>
      <c r="C3355" s="7"/>
      <c r="P3355" s="7"/>
      <c r="AX3355" s="7"/>
      <c r="BP3355" s="61"/>
      <c r="CF3355" s="104"/>
      <c r="CG3355" s="105"/>
      <c r="FK3355" s="7"/>
    </row>
    <row r="3356" spans="1:167">
      <c r="A3356" s="571"/>
      <c r="B3356" s="1008"/>
      <c r="C3356" s="7"/>
      <c r="P3356" s="7"/>
      <c r="AX3356" s="7"/>
      <c r="BP3356" s="61"/>
      <c r="CF3356" s="104"/>
      <c r="CG3356" s="105"/>
      <c r="FK3356" s="7"/>
    </row>
    <row r="3357" spans="1:167">
      <c r="A3357" s="571"/>
      <c r="B3357" s="1008"/>
      <c r="C3357" s="7"/>
      <c r="P3357" s="7"/>
      <c r="AX3357" s="7"/>
      <c r="BP3357" s="61"/>
      <c r="CF3357" s="104"/>
      <c r="CG3357" s="105"/>
      <c r="FK3357" s="7"/>
    </row>
    <row r="3358" spans="1:167">
      <c r="A3358" s="571"/>
      <c r="B3358" s="1008"/>
      <c r="C3358" s="7"/>
      <c r="P3358" s="7"/>
      <c r="AX3358" s="7"/>
      <c r="BP3358" s="61"/>
      <c r="CF3358" s="104"/>
      <c r="CG3358" s="105"/>
      <c r="FK3358" s="7"/>
    </row>
    <row r="3359" spans="1:167">
      <c r="A3359" s="571"/>
      <c r="B3359" s="1008"/>
      <c r="C3359" s="7"/>
      <c r="P3359" s="7"/>
      <c r="AX3359" s="7"/>
      <c r="BP3359" s="61"/>
      <c r="CF3359" s="104"/>
      <c r="CG3359" s="105"/>
      <c r="FK3359" s="7"/>
    </row>
    <row r="3360" spans="1:167">
      <c r="A3360" s="571"/>
      <c r="B3360" s="1008"/>
      <c r="C3360" s="7"/>
      <c r="P3360" s="7"/>
      <c r="AX3360" s="7"/>
      <c r="BP3360" s="61"/>
      <c r="CF3360" s="104"/>
      <c r="CG3360" s="105"/>
      <c r="FK3360" s="7"/>
    </row>
    <row r="3361" spans="1:167">
      <c r="A3361" s="571"/>
      <c r="B3361" s="1008"/>
      <c r="C3361" s="7"/>
      <c r="P3361" s="7"/>
      <c r="AX3361" s="7"/>
      <c r="BP3361" s="61"/>
      <c r="CF3361" s="104"/>
      <c r="CG3361" s="105"/>
      <c r="FK3361" s="7"/>
    </row>
    <row r="3362" spans="1:167">
      <c r="A3362" s="571"/>
      <c r="B3362" s="1008"/>
      <c r="C3362" s="7"/>
      <c r="P3362" s="7"/>
      <c r="AX3362" s="7"/>
      <c r="BP3362" s="61"/>
      <c r="CF3362" s="104"/>
      <c r="CG3362" s="105"/>
      <c r="FK3362" s="7"/>
    </row>
    <row r="3363" spans="1:167">
      <c r="A3363" s="571"/>
      <c r="B3363" s="1008"/>
      <c r="C3363" s="7"/>
      <c r="P3363" s="7"/>
      <c r="AX3363" s="7"/>
      <c r="BP3363" s="61"/>
      <c r="CF3363" s="104"/>
      <c r="CG3363" s="105"/>
      <c r="FK3363" s="7"/>
    </row>
    <row r="3364" spans="1:167">
      <c r="A3364" s="571"/>
      <c r="B3364" s="1008"/>
      <c r="C3364" s="7"/>
      <c r="P3364" s="7"/>
      <c r="AX3364" s="7"/>
      <c r="BP3364" s="61"/>
      <c r="CF3364" s="104"/>
      <c r="CG3364" s="105"/>
      <c r="FK3364" s="7"/>
    </row>
    <row r="3365" spans="1:167">
      <c r="A3365" s="571"/>
      <c r="B3365" s="1008"/>
      <c r="C3365" s="7"/>
      <c r="P3365" s="7"/>
      <c r="AX3365" s="7"/>
      <c r="BP3365" s="61"/>
      <c r="CF3365" s="104"/>
      <c r="CG3365" s="105"/>
      <c r="FK3365" s="7"/>
    </row>
    <row r="3366" spans="1:167">
      <c r="A3366" s="571"/>
      <c r="B3366" s="1008"/>
      <c r="C3366" s="7"/>
      <c r="P3366" s="7"/>
      <c r="AX3366" s="7"/>
      <c r="BP3366" s="61"/>
      <c r="CF3366" s="104"/>
      <c r="CG3366" s="105"/>
      <c r="FK3366" s="7"/>
    </row>
    <row r="3367" spans="1:167">
      <c r="A3367" s="571"/>
      <c r="B3367" s="1008"/>
      <c r="C3367" s="7"/>
      <c r="P3367" s="7"/>
      <c r="AX3367" s="7"/>
      <c r="BP3367" s="61"/>
      <c r="CF3367" s="104"/>
      <c r="CG3367" s="105"/>
      <c r="FK3367" s="7"/>
    </row>
    <row r="3368" spans="1:167">
      <c r="A3368" s="571"/>
      <c r="B3368" s="1008"/>
      <c r="C3368" s="7"/>
      <c r="P3368" s="7"/>
      <c r="AX3368" s="7"/>
      <c r="BP3368" s="61"/>
      <c r="CF3368" s="104"/>
      <c r="CG3368" s="105"/>
      <c r="FK3368" s="7"/>
    </row>
    <row r="3369" spans="1:167">
      <c r="A3369" s="571"/>
      <c r="B3369" s="1008"/>
      <c r="C3369" s="7"/>
      <c r="P3369" s="7"/>
      <c r="AX3369" s="7"/>
      <c r="BP3369" s="61"/>
      <c r="CF3369" s="104"/>
      <c r="CG3369" s="105"/>
      <c r="FK3369" s="7"/>
    </row>
    <row r="3370" spans="1:167">
      <c r="A3370" s="571"/>
      <c r="B3370" s="1008"/>
      <c r="C3370" s="7"/>
      <c r="P3370" s="7"/>
      <c r="AX3370" s="7"/>
      <c r="BP3370" s="61"/>
      <c r="CF3370" s="104"/>
      <c r="CG3370" s="105"/>
      <c r="FK3370" s="7"/>
    </row>
    <row r="3371" spans="1:167">
      <c r="A3371" s="571"/>
      <c r="B3371" s="1008"/>
      <c r="C3371" s="7"/>
      <c r="P3371" s="7"/>
      <c r="AX3371" s="7"/>
      <c r="BP3371" s="61"/>
      <c r="CF3371" s="104"/>
      <c r="CG3371" s="105"/>
      <c r="FK3371" s="7"/>
    </row>
    <row r="3372" spans="1:167">
      <c r="A3372" s="571"/>
      <c r="B3372" s="1008"/>
      <c r="C3372" s="7"/>
      <c r="P3372" s="7"/>
      <c r="AX3372" s="7"/>
      <c r="BP3372" s="61"/>
      <c r="CF3372" s="104"/>
      <c r="CG3372" s="105"/>
      <c r="FK3372" s="7"/>
    </row>
    <row r="3373" spans="1:167">
      <c r="A3373" s="571"/>
      <c r="B3373" s="1008"/>
      <c r="C3373" s="7"/>
      <c r="P3373" s="7"/>
      <c r="AX3373" s="7"/>
      <c r="BP3373" s="61"/>
      <c r="CF3373" s="104"/>
      <c r="CG3373" s="105"/>
      <c r="FK3373" s="7"/>
    </row>
    <row r="3374" spans="1:167">
      <c r="A3374" s="571"/>
      <c r="B3374" s="1008"/>
      <c r="C3374" s="7"/>
      <c r="P3374" s="7"/>
      <c r="AX3374" s="7"/>
      <c r="BP3374" s="61"/>
      <c r="CF3374" s="104"/>
      <c r="CG3374" s="105"/>
      <c r="FK3374" s="7"/>
    </row>
    <row r="3375" spans="1:167">
      <c r="A3375" s="571"/>
      <c r="B3375" s="1008"/>
      <c r="C3375" s="7"/>
      <c r="P3375" s="7"/>
      <c r="AX3375" s="7"/>
      <c r="BP3375" s="61"/>
      <c r="CF3375" s="104"/>
      <c r="CG3375" s="105"/>
      <c r="FK3375" s="7"/>
    </row>
    <row r="3376" spans="1:167">
      <c r="A3376" s="571"/>
      <c r="B3376" s="1008"/>
      <c r="C3376" s="7"/>
      <c r="P3376" s="7"/>
      <c r="AX3376" s="7"/>
      <c r="BP3376" s="61"/>
      <c r="CF3376" s="104"/>
      <c r="CG3376" s="105"/>
      <c r="FK3376" s="7"/>
    </row>
    <row r="3377" spans="1:167">
      <c r="A3377" s="571"/>
      <c r="B3377" s="1008"/>
      <c r="C3377" s="7"/>
      <c r="P3377" s="7"/>
      <c r="AX3377" s="7"/>
      <c r="BP3377" s="61"/>
      <c r="CF3377" s="104"/>
      <c r="CG3377" s="105"/>
      <c r="FK3377" s="7"/>
    </row>
    <row r="3378" spans="1:167">
      <c r="A3378" s="571"/>
      <c r="B3378" s="1008"/>
      <c r="C3378" s="7"/>
      <c r="P3378" s="7"/>
      <c r="AX3378" s="7"/>
      <c r="BP3378" s="61"/>
      <c r="CF3378" s="104"/>
      <c r="CG3378" s="105"/>
      <c r="FK3378" s="7"/>
    </row>
    <row r="3379" spans="1:167">
      <c r="A3379" s="571"/>
      <c r="B3379" s="1008"/>
      <c r="C3379" s="7"/>
      <c r="P3379" s="7"/>
      <c r="AX3379" s="7"/>
      <c r="BP3379" s="61"/>
      <c r="CF3379" s="104"/>
      <c r="CG3379" s="105"/>
      <c r="FK3379" s="7"/>
    </row>
    <row r="3380" spans="1:167">
      <c r="A3380" s="571"/>
      <c r="B3380" s="1008"/>
      <c r="C3380" s="7"/>
      <c r="P3380" s="7"/>
      <c r="AX3380" s="7"/>
      <c r="BP3380" s="61"/>
      <c r="CF3380" s="104"/>
      <c r="CG3380" s="105"/>
      <c r="FK3380" s="7"/>
    </row>
    <row r="3381" spans="1:167">
      <c r="A3381" s="571"/>
      <c r="B3381" s="1008"/>
      <c r="C3381" s="7"/>
      <c r="P3381" s="7"/>
      <c r="AX3381" s="7"/>
      <c r="BP3381" s="61"/>
      <c r="CF3381" s="104"/>
      <c r="CG3381" s="105"/>
      <c r="FK3381" s="7"/>
    </row>
    <row r="3382" spans="1:167">
      <c r="A3382" s="571"/>
      <c r="B3382" s="1008"/>
      <c r="C3382" s="7"/>
      <c r="P3382" s="7"/>
      <c r="AX3382" s="7"/>
      <c r="BP3382" s="61"/>
      <c r="CF3382" s="104"/>
      <c r="CG3382" s="105"/>
      <c r="FK3382" s="7"/>
    </row>
    <row r="3383" spans="1:167">
      <c r="A3383" s="571"/>
      <c r="B3383" s="1008"/>
      <c r="C3383" s="7"/>
      <c r="P3383" s="7"/>
      <c r="AX3383" s="7"/>
      <c r="BP3383" s="61"/>
      <c r="CF3383" s="104"/>
      <c r="CG3383" s="105"/>
      <c r="FK3383" s="7"/>
    </row>
    <row r="3384" spans="1:167">
      <c r="A3384" s="571"/>
      <c r="B3384" s="1008"/>
      <c r="C3384" s="7"/>
      <c r="P3384" s="7"/>
      <c r="AX3384" s="7"/>
      <c r="BP3384" s="61"/>
      <c r="CF3384" s="104"/>
      <c r="CG3384" s="105"/>
      <c r="FK3384" s="7"/>
    </row>
    <row r="3385" spans="1:167">
      <c r="A3385" s="571"/>
      <c r="B3385" s="1008"/>
      <c r="C3385" s="7"/>
      <c r="P3385" s="7"/>
      <c r="AX3385" s="7"/>
      <c r="BP3385" s="61"/>
      <c r="CF3385" s="104"/>
      <c r="CG3385" s="105"/>
      <c r="FK3385" s="7"/>
    </row>
    <row r="3386" spans="1:167">
      <c r="A3386" s="571"/>
      <c r="B3386" s="1008"/>
      <c r="C3386" s="7"/>
      <c r="P3386" s="7"/>
      <c r="AX3386" s="7"/>
      <c r="BP3386" s="61"/>
      <c r="CF3386" s="104"/>
      <c r="CG3386" s="105"/>
      <c r="FK3386" s="7"/>
    </row>
    <row r="3387" spans="1:167">
      <c r="A3387" s="571"/>
      <c r="B3387" s="1008"/>
      <c r="C3387" s="7"/>
      <c r="P3387" s="7"/>
      <c r="AX3387" s="7"/>
      <c r="BP3387" s="61"/>
      <c r="CF3387" s="104"/>
      <c r="CG3387" s="105"/>
      <c r="FK3387" s="7"/>
    </row>
    <row r="3388" spans="1:167">
      <c r="A3388" s="571"/>
      <c r="B3388" s="1008"/>
      <c r="C3388" s="7"/>
      <c r="P3388" s="7"/>
      <c r="AX3388" s="7"/>
      <c r="BP3388" s="61"/>
      <c r="CF3388" s="104"/>
      <c r="CG3388" s="105"/>
      <c r="FK3388" s="7"/>
    </row>
    <row r="3389" spans="1:167">
      <c r="A3389" s="571"/>
      <c r="B3389" s="1008"/>
      <c r="C3389" s="7"/>
      <c r="P3389" s="7"/>
      <c r="AX3389" s="7"/>
      <c r="BP3389" s="61"/>
      <c r="CF3389" s="104"/>
      <c r="CG3389" s="105"/>
      <c r="FK3389" s="7"/>
    </row>
    <row r="3390" spans="1:167">
      <c r="A3390" s="571"/>
      <c r="B3390" s="1008"/>
      <c r="C3390" s="7"/>
      <c r="P3390" s="7"/>
      <c r="AX3390" s="7"/>
      <c r="BP3390" s="61"/>
      <c r="CF3390" s="104"/>
      <c r="CG3390" s="105"/>
      <c r="FK3390" s="7"/>
    </row>
    <row r="3391" spans="1:167">
      <c r="A3391" s="571"/>
      <c r="B3391" s="1008"/>
      <c r="C3391" s="7"/>
      <c r="P3391" s="7"/>
      <c r="AX3391" s="7"/>
      <c r="BP3391" s="61"/>
      <c r="CF3391" s="104"/>
      <c r="CG3391" s="105"/>
      <c r="FK3391" s="7"/>
    </row>
    <row r="3392" spans="1:167">
      <c r="A3392" s="571"/>
      <c r="B3392" s="1008"/>
      <c r="C3392" s="7"/>
      <c r="P3392" s="7"/>
      <c r="AX3392" s="7"/>
      <c r="BP3392" s="61"/>
      <c r="CF3392" s="104"/>
      <c r="CG3392" s="105"/>
      <c r="FK3392" s="7"/>
    </row>
    <row r="3393" spans="1:167">
      <c r="A3393" s="571"/>
      <c r="B3393" s="1008"/>
      <c r="C3393" s="7"/>
      <c r="P3393" s="7"/>
      <c r="AX3393" s="7"/>
      <c r="BP3393" s="61"/>
      <c r="CF3393" s="104"/>
      <c r="CG3393" s="105"/>
      <c r="FK3393" s="7"/>
    </row>
    <row r="3394" spans="1:167">
      <c r="A3394" s="571"/>
      <c r="B3394" s="1008"/>
      <c r="C3394" s="7"/>
      <c r="P3394" s="7"/>
      <c r="AX3394" s="7"/>
      <c r="BP3394" s="61"/>
      <c r="CF3394" s="104"/>
      <c r="CG3394" s="105"/>
      <c r="FK3394" s="7"/>
    </row>
    <row r="3395" spans="1:167">
      <c r="A3395" s="571"/>
      <c r="B3395" s="1008"/>
      <c r="C3395" s="7"/>
      <c r="P3395" s="7"/>
      <c r="AX3395" s="7"/>
      <c r="BP3395" s="61"/>
      <c r="CF3395" s="104"/>
      <c r="CG3395" s="105"/>
      <c r="FK3395" s="7"/>
    </row>
    <row r="3396" spans="1:167">
      <c r="A3396" s="571"/>
      <c r="B3396" s="1008"/>
      <c r="C3396" s="7"/>
      <c r="P3396" s="7"/>
      <c r="AX3396" s="7"/>
      <c r="BP3396" s="61"/>
      <c r="CF3396" s="104"/>
      <c r="CG3396" s="105"/>
      <c r="FK3396" s="7"/>
    </row>
    <row r="3397" spans="1:167">
      <c r="A3397" s="571"/>
      <c r="B3397" s="1008"/>
      <c r="C3397" s="7"/>
      <c r="P3397" s="7"/>
      <c r="AX3397" s="7"/>
      <c r="BP3397" s="61"/>
      <c r="CF3397" s="104"/>
      <c r="CG3397" s="105"/>
      <c r="FK3397" s="7"/>
    </row>
    <row r="3398" spans="1:167">
      <c r="A3398" s="571"/>
      <c r="B3398" s="1008"/>
      <c r="C3398" s="7"/>
      <c r="P3398" s="7"/>
      <c r="AX3398" s="7"/>
      <c r="BP3398" s="61"/>
      <c r="CF3398" s="104"/>
      <c r="CG3398" s="105"/>
      <c r="FK3398" s="7"/>
    </row>
    <row r="3399" spans="1:167">
      <c r="A3399" s="571"/>
      <c r="B3399" s="1008"/>
      <c r="C3399" s="7"/>
      <c r="P3399" s="7"/>
      <c r="AX3399" s="7"/>
      <c r="BP3399" s="61"/>
      <c r="CF3399" s="104"/>
      <c r="CG3399" s="105"/>
      <c r="FK3399" s="7"/>
    </row>
    <row r="3400" spans="1:167">
      <c r="A3400" s="571"/>
      <c r="B3400" s="1008"/>
      <c r="C3400" s="7"/>
      <c r="P3400" s="7"/>
      <c r="AX3400" s="7"/>
      <c r="BP3400" s="61"/>
      <c r="CF3400" s="104"/>
      <c r="CG3400" s="105"/>
      <c r="FK3400" s="7"/>
    </row>
    <row r="3401" spans="1:167">
      <c r="A3401" s="571"/>
      <c r="B3401" s="1008"/>
      <c r="C3401" s="7"/>
      <c r="P3401" s="7"/>
      <c r="AX3401" s="7"/>
      <c r="BP3401" s="61"/>
      <c r="CF3401" s="104"/>
      <c r="CG3401" s="105"/>
      <c r="FK3401" s="7"/>
    </row>
    <row r="3402" spans="1:167">
      <c r="A3402" s="571"/>
      <c r="B3402" s="1008"/>
      <c r="C3402" s="7"/>
      <c r="P3402" s="7"/>
      <c r="AX3402" s="7"/>
      <c r="BP3402" s="61"/>
      <c r="CF3402" s="104"/>
      <c r="CG3402" s="105"/>
      <c r="FK3402" s="7"/>
    </row>
    <row r="3403" spans="1:167">
      <c r="A3403" s="571"/>
      <c r="B3403" s="1008"/>
      <c r="C3403" s="7"/>
      <c r="P3403" s="7"/>
      <c r="AX3403" s="7"/>
      <c r="BP3403" s="61"/>
      <c r="CF3403" s="104"/>
      <c r="CG3403" s="105"/>
      <c r="FK3403" s="7"/>
    </row>
    <row r="3404" spans="1:167">
      <c r="A3404" s="571"/>
      <c r="B3404" s="1008"/>
      <c r="C3404" s="7"/>
      <c r="P3404" s="7"/>
      <c r="AX3404" s="7"/>
      <c r="BP3404" s="61"/>
      <c r="CF3404" s="104"/>
      <c r="CG3404" s="105"/>
      <c r="FK3404" s="7"/>
    </row>
    <row r="3405" spans="1:167">
      <c r="A3405" s="571"/>
      <c r="B3405" s="1008"/>
      <c r="C3405" s="7"/>
      <c r="P3405" s="7"/>
      <c r="AX3405" s="7"/>
      <c r="BP3405" s="61"/>
      <c r="CF3405" s="104"/>
      <c r="CG3405" s="105"/>
      <c r="FK3405" s="7"/>
    </row>
    <row r="3406" spans="1:167">
      <c r="A3406" s="571"/>
      <c r="B3406" s="1008"/>
      <c r="C3406" s="7"/>
      <c r="P3406" s="7"/>
      <c r="AX3406" s="7"/>
      <c r="BP3406" s="61"/>
      <c r="CF3406" s="104"/>
      <c r="CG3406" s="105"/>
      <c r="FK3406" s="7"/>
    </row>
    <row r="3407" spans="1:167">
      <c r="A3407" s="571"/>
      <c r="B3407" s="1008"/>
      <c r="C3407" s="7"/>
      <c r="P3407" s="7"/>
      <c r="AX3407" s="7"/>
      <c r="BP3407" s="61"/>
      <c r="CF3407" s="104"/>
      <c r="CG3407" s="105"/>
      <c r="FK3407" s="7"/>
    </row>
    <row r="3408" spans="1:167">
      <c r="A3408" s="571"/>
      <c r="B3408" s="1008"/>
      <c r="C3408" s="7"/>
      <c r="P3408" s="7"/>
      <c r="AX3408" s="7"/>
      <c r="BP3408" s="61"/>
      <c r="CF3408" s="104"/>
      <c r="CG3408" s="105"/>
      <c r="FK3408" s="7"/>
    </row>
    <row r="3409" spans="1:167">
      <c r="A3409" s="571"/>
      <c r="B3409" s="1008"/>
      <c r="C3409" s="7"/>
      <c r="P3409" s="7"/>
      <c r="AX3409" s="7"/>
      <c r="BP3409" s="61"/>
      <c r="CF3409" s="104"/>
      <c r="CG3409" s="105"/>
      <c r="FK3409" s="7"/>
    </row>
    <row r="3410" spans="1:167">
      <c r="A3410" s="571"/>
      <c r="B3410" s="1008"/>
      <c r="C3410" s="7"/>
      <c r="P3410" s="7"/>
      <c r="AX3410" s="7"/>
      <c r="BP3410" s="61"/>
      <c r="CF3410" s="104"/>
      <c r="CG3410" s="105"/>
      <c r="FK3410" s="7"/>
    </row>
    <row r="3411" spans="1:167">
      <c r="A3411" s="571"/>
      <c r="B3411" s="1008"/>
      <c r="C3411" s="7"/>
      <c r="P3411" s="7"/>
      <c r="AX3411" s="7"/>
      <c r="BP3411" s="61"/>
      <c r="CF3411" s="104"/>
      <c r="CG3411" s="105"/>
      <c r="FK3411" s="7"/>
    </row>
    <row r="3412" spans="1:167">
      <c r="A3412" s="571"/>
      <c r="B3412" s="1008"/>
      <c r="C3412" s="7"/>
      <c r="P3412" s="7"/>
      <c r="AX3412" s="7"/>
      <c r="BP3412" s="61"/>
      <c r="CF3412" s="104"/>
      <c r="CG3412" s="105"/>
      <c r="FK3412" s="7"/>
    </row>
    <row r="3413" spans="1:167">
      <c r="A3413" s="571"/>
      <c r="B3413" s="1008"/>
      <c r="C3413" s="7"/>
      <c r="P3413" s="7"/>
      <c r="AX3413" s="7"/>
      <c r="BP3413" s="61"/>
      <c r="CF3413" s="104"/>
      <c r="CG3413" s="105"/>
      <c r="FK3413" s="7"/>
    </row>
    <row r="3414" spans="1:167">
      <c r="A3414" s="571"/>
      <c r="B3414" s="1008"/>
      <c r="C3414" s="7"/>
      <c r="P3414" s="7"/>
      <c r="AX3414" s="7"/>
      <c r="BP3414" s="61"/>
      <c r="CF3414" s="104"/>
      <c r="CG3414" s="105"/>
      <c r="FK3414" s="7"/>
    </row>
    <row r="3415" spans="1:167">
      <c r="A3415" s="571"/>
      <c r="B3415" s="1008"/>
      <c r="C3415" s="7"/>
      <c r="P3415" s="7"/>
      <c r="AX3415" s="7"/>
      <c r="BP3415" s="61"/>
      <c r="CF3415" s="104"/>
      <c r="CG3415" s="105"/>
      <c r="FK3415" s="7"/>
    </row>
    <row r="3416" spans="1:167">
      <c r="A3416" s="571"/>
      <c r="B3416" s="1008"/>
      <c r="C3416" s="7"/>
      <c r="P3416" s="7"/>
      <c r="AX3416" s="7"/>
      <c r="BP3416" s="61"/>
      <c r="CF3416" s="104"/>
      <c r="CG3416" s="105"/>
      <c r="FK3416" s="7"/>
    </row>
    <row r="3417" spans="1:167">
      <c r="A3417" s="571"/>
      <c r="B3417" s="1008"/>
      <c r="C3417" s="7"/>
      <c r="P3417" s="7"/>
      <c r="AX3417" s="7"/>
      <c r="BP3417" s="61"/>
      <c r="CF3417" s="104"/>
      <c r="CG3417" s="105"/>
      <c r="FK3417" s="7"/>
    </row>
    <row r="3418" spans="1:167">
      <c r="A3418" s="571"/>
      <c r="B3418" s="1008"/>
      <c r="C3418" s="7"/>
      <c r="P3418" s="7"/>
      <c r="AX3418" s="7"/>
      <c r="BP3418" s="61"/>
      <c r="CF3418" s="104"/>
      <c r="CG3418" s="105"/>
      <c r="FK3418" s="7"/>
    </row>
    <row r="3419" spans="1:167">
      <c r="A3419" s="571"/>
      <c r="B3419" s="1008"/>
      <c r="C3419" s="7"/>
      <c r="P3419" s="7"/>
      <c r="AX3419" s="7"/>
      <c r="BP3419" s="61"/>
      <c r="CF3419" s="104"/>
      <c r="CG3419" s="105"/>
      <c r="FK3419" s="7"/>
    </row>
    <row r="3420" spans="1:167">
      <c r="A3420" s="571"/>
      <c r="B3420" s="1008"/>
      <c r="C3420" s="7"/>
      <c r="P3420" s="7"/>
      <c r="AX3420" s="7"/>
      <c r="BP3420" s="61"/>
      <c r="CF3420" s="104"/>
      <c r="CG3420" s="105"/>
      <c r="FK3420" s="7"/>
    </row>
    <row r="3421" spans="1:167">
      <c r="A3421" s="571"/>
      <c r="B3421" s="1008"/>
      <c r="C3421" s="7"/>
      <c r="P3421" s="7"/>
      <c r="AX3421" s="7"/>
      <c r="BP3421" s="61"/>
      <c r="CF3421" s="104"/>
      <c r="CG3421" s="105"/>
      <c r="FK3421" s="7"/>
    </row>
    <row r="3422" spans="1:167">
      <c r="A3422" s="571"/>
      <c r="B3422" s="1008"/>
      <c r="C3422" s="7"/>
      <c r="P3422" s="7"/>
      <c r="AX3422" s="7"/>
      <c r="BP3422" s="61"/>
      <c r="CF3422" s="104"/>
      <c r="CG3422" s="105"/>
      <c r="FK3422" s="7"/>
    </row>
    <row r="3423" spans="1:167">
      <c r="A3423" s="571"/>
      <c r="B3423" s="1008"/>
      <c r="C3423" s="7"/>
      <c r="P3423" s="7"/>
      <c r="AX3423" s="7"/>
      <c r="BP3423" s="61"/>
      <c r="CF3423" s="104"/>
      <c r="CG3423" s="105"/>
      <c r="FK3423" s="7"/>
    </row>
    <row r="3424" spans="1:167">
      <c r="A3424" s="571"/>
      <c r="B3424" s="1008"/>
      <c r="C3424" s="7"/>
      <c r="P3424" s="7"/>
      <c r="AX3424" s="7"/>
      <c r="BP3424" s="61"/>
      <c r="CF3424" s="104"/>
      <c r="CG3424" s="105"/>
      <c r="FK3424" s="7"/>
    </row>
    <row r="3425" spans="1:167">
      <c r="A3425" s="571"/>
      <c r="B3425" s="1008"/>
      <c r="C3425" s="7"/>
      <c r="P3425" s="7"/>
      <c r="AX3425" s="7"/>
      <c r="BP3425" s="61"/>
      <c r="CF3425" s="104"/>
      <c r="CG3425" s="105"/>
      <c r="FK3425" s="7"/>
    </row>
    <row r="3426" spans="1:167">
      <c r="A3426" s="571"/>
      <c r="B3426" s="1008"/>
      <c r="C3426" s="7"/>
      <c r="P3426" s="7"/>
      <c r="AX3426" s="7"/>
      <c r="BP3426" s="61"/>
      <c r="CF3426" s="104"/>
      <c r="CG3426" s="105"/>
      <c r="FK3426" s="7"/>
    </row>
    <row r="3427" spans="1:167">
      <c r="A3427" s="571"/>
      <c r="B3427" s="1008"/>
      <c r="C3427" s="7"/>
      <c r="P3427" s="7"/>
      <c r="AX3427" s="7"/>
      <c r="BP3427" s="61"/>
      <c r="CF3427" s="104"/>
      <c r="CG3427" s="105"/>
      <c r="FK3427" s="7"/>
    </row>
    <row r="3428" spans="1:167">
      <c r="A3428" s="571"/>
      <c r="B3428" s="1008"/>
      <c r="C3428" s="7"/>
      <c r="P3428" s="7"/>
      <c r="AX3428" s="7"/>
      <c r="BP3428" s="61"/>
      <c r="CF3428" s="104"/>
      <c r="CG3428" s="105"/>
      <c r="FK3428" s="7"/>
    </row>
    <row r="3429" spans="1:167">
      <c r="A3429" s="571"/>
      <c r="B3429" s="1008"/>
      <c r="C3429" s="7"/>
      <c r="P3429" s="7"/>
      <c r="AX3429" s="7"/>
      <c r="BP3429" s="61"/>
      <c r="CF3429" s="104"/>
      <c r="CG3429" s="105"/>
      <c r="FK3429" s="7"/>
    </row>
    <row r="3430" spans="1:167">
      <c r="A3430" s="571"/>
      <c r="B3430" s="1008"/>
      <c r="C3430" s="7"/>
      <c r="P3430" s="7"/>
      <c r="AX3430" s="7"/>
      <c r="BP3430" s="61"/>
      <c r="CF3430" s="104"/>
      <c r="CG3430" s="105"/>
      <c r="FK3430" s="7"/>
    </row>
    <row r="3431" spans="1:167">
      <c r="A3431" s="571"/>
      <c r="B3431" s="1008"/>
      <c r="C3431" s="7"/>
      <c r="P3431" s="7"/>
      <c r="AX3431" s="7"/>
      <c r="BP3431" s="61"/>
      <c r="CF3431" s="104"/>
      <c r="CG3431" s="105"/>
      <c r="FK3431" s="7"/>
    </row>
    <row r="3432" spans="1:167">
      <c r="A3432" s="571"/>
      <c r="B3432" s="1008"/>
      <c r="C3432" s="7"/>
      <c r="P3432" s="7"/>
      <c r="AX3432" s="7"/>
      <c r="BP3432" s="61"/>
      <c r="CF3432" s="104"/>
      <c r="CG3432" s="105"/>
      <c r="FK3432" s="7"/>
    </row>
    <row r="3433" spans="1:167">
      <c r="A3433" s="571"/>
      <c r="B3433" s="1008"/>
      <c r="C3433" s="7"/>
      <c r="P3433" s="7"/>
      <c r="AX3433" s="7"/>
      <c r="BP3433" s="61"/>
      <c r="CF3433" s="104"/>
      <c r="CG3433" s="105"/>
      <c r="FK3433" s="7"/>
    </row>
    <row r="3434" spans="1:167">
      <c r="A3434" s="571"/>
      <c r="B3434" s="1008"/>
      <c r="C3434" s="7"/>
      <c r="P3434" s="7"/>
      <c r="AX3434" s="7"/>
      <c r="BP3434" s="61"/>
      <c r="CF3434" s="104"/>
      <c r="CG3434" s="105"/>
      <c r="FK3434" s="7"/>
    </row>
    <row r="3435" spans="1:167">
      <c r="A3435" s="571"/>
      <c r="B3435" s="1008"/>
      <c r="C3435" s="7"/>
      <c r="P3435" s="7"/>
      <c r="AX3435" s="7"/>
      <c r="BP3435" s="61"/>
      <c r="CF3435" s="104"/>
      <c r="CG3435" s="105"/>
      <c r="FK3435" s="7"/>
    </row>
    <row r="3436" spans="1:167">
      <c r="A3436" s="571"/>
      <c r="B3436" s="1008"/>
      <c r="C3436" s="7"/>
      <c r="P3436" s="7"/>
      <c r="AX3436" s="7"/>
      <c r="BP3436" s="61"/>
      <c r="CF3436" s="104"/>
      <c r="CG3436" s="105"/>
      <c r="FK3436" s="7"/>
    </row>
    <row r="3437" spans="1:167">
      <c r="A3437" s="571"/>
      <c r="B3437" s="1008"/>
      <c r="C3437" s="7"/>
      <c r="P3437" s="7"/>
      <c r="AX3437" s="7"/>
      <c r="BP3437" s="61"/>
      <c r="CF3437" s="104"/>
      <c r="CG3437" s="105"/>
      <c r="FK3437" s="7"/>
    </row>
    <row r="3438" spans="1:167">
      <c r="A3438" s="571"/>
      <c r="B3438" s="1008"/>
      <c r="C3438" s="7"/>
      <c r="P3438" s="7"/>
      <c r="AX3438" s="7"/>
      <c r="BP3438" s="61"/>
      <c r="CF3438" s="104"/>
      <c r="CG3438" s="105"/>
      <c r="FK3438" s="7"/>
    </row>
    <row r="3439" spans="1:167">
      <c r="A3439" s="571"/>
      <c r="B3439" s="1008"/>
      <c r="C3439" s="7"/>
      <c r="P3439" s="7"/>
      <c r="AX3439" s="7"/>
      <c r="BP3439" s="61"/>
      <c r="CF3439" s="104"/>
      <c r="CG3439" s="105"/>
      <c r="FK3439" s="7"/>
    </row>
    <row r="3440" spans="1:167">
      <c r="A3440" s="571"/>
      <c r="B3440" s="1008"/>
      <c r="C3440" s="7"/>
      <c r="P3440" s="7"/>
      <c r="AX3440" s="7"/>
      <c r="BP3440" s="61"/>
      <c r="CF3440" s="104"/>
      <c r="CG3440" s="105"/>
      <c r="FK3440" s="7"/>
    </row>
    <row r="3441" spans="1:167">
      <c r="A3441" s="571"/>
      <c r="B3441" s="1008"/>
      <c r="C3441" s="7"/>
      <c r="P3441" s="7"/>
      <c r="AX3441" s="7"/>
      <c r="BP3441" s="61"/>
      <c r="CF3441" s="104"/>
      <c r="CG3441" s="105"/>
      <c r="FK3441" s="7"/>
    </row>
    <row r="3442" spans="1:167">
      <c r="A3442" s="571"/>
      <c r="B3442" s="1008"/>
      <c r="C3442" s="7"/>
      <c r="P3442" s="7"/>
      <c r="AX3442" s="7"/>
      <c r="BP3442" s="61"/>
      <c r="CF3442" s="104"/>
      <c r="CG3442" s="105"/>
      <c r="FK3442" s="7"/>
    </row>
    <row r="3443" spans="1:167">
      <c r="A3443" s="571"/>
      <c r="B3443" s="1008"/>
      <c r="C3443" s="7"/>
      <c r="P3443" s="7"/>
      <c r="AX3443" s="7"/>
      <c r="BP3443" s="61"/>
      <c r="CF3443" s="104"/>
      <c r="CG3443" s="105"/>
      <c r="FK3443" s="7"/>
    </row>
    <row r="3444" spans="1:167">
      <c r="A3444" s="571"/>
      <c r="B3444" s="1008"/>
      <c r="C3444" s="7"/>
      <c r="P3444" s="7"/>
      <c r="AX3444" s="7"/>
      <c r="BP3444" s="61"/>
      <c r="CF3444" s="104"/>
      <c r="CG3444" s="105"/>
      <c r="FK3444" s="7"/>
    </row>
    <row r="3445" spans="1:167">
      <c r="A3445" s="571"/>
      <c r="B3445" s="1008"/>
      <c r="C3445" s="7"/>
      <c r="P3445" s="7"/>
      <c r="AX3445" s="7"/>
      <c r="BP3445" s="61"/>
      <c r="CF3445" s="104"/>
      <c r="CG3445" s="105"/>
      <c r="FK3445" s="7"/>
    </row>
    <row r="3446" spans="1:167">
      <c r="A3446" s="571"/>
      <c r="B3446" s="1008"/>
      <c r="C3446" s="7"/>
      <c r="P3446" s="7"/>
      <c r="AX3446" s="7"/>
      <c r="BP3446" s="61"/>
      <c r="CF3446" s="104"/>
      <c r="CG3446" s="105"/>
      <c r="FK3446" s="7"/>
    </row>
    <row r="3447" spans="1:167">
      <c r="A3447" s="571"/>
      <c r="B3447" s="1008"/>
      <c r="C3447" s="7"/>
      <c r="P3447" s="7"/>
      <c r="AX3447" s="7"/>
      <c r="BP3447" s="61"/>
      <c r="CF3447" s="104"/>
      <c r="CG3447" s="105"/>
      <c r="FK3447" s="7"/>
    </row>
    <row r="3448" spans="1:167">
      <c r="A3448" s="571"/>
      <c r="B3448" s="1008"/>
      <c r="C3448" s="7"/>
      <c r="P3448" s="7"/>
      <c r="AX3448" s="7"/>
      <c r="BP3448" s="61"/>
      <c r="CF3448" s="104"/>
      <c r="CG3448" s="105"/>
      <c r="FK3448" s="7"/>
    </row>
    <row r="3449" spans="1:167">
      <c r="A3449" s="571"/>
      <c r="B3449" s="1008"/>
      <c r="C3449" s="7"/>
      <c r="P3449" s="7"/>
      <c r="AX3449" s="7"/>
      <c r="BP3449" s="61"/>
      <c r="CF3449" s="104"/>
      <c r="CG3449" s="105"/>
      <c r="FK3449" s="7"/>
    </row>
    <row r="3450" spans="1:167">
      <c r="A3450" s="571"/>
      <c r="B3450" s="1008"/>
      <c r="C3450" s="7"/>
      <c r="P3450" s="7"/>
      <c r="AX3450" s="7"/>
      <c r="BP3450" s="61"/>
      <c r="CF3450" s="104"/>
      <c r="CG3450" s="105"/>
      <c r="FK3450" s="7"/>
    </row>
    <row r="3451" spans="1:167">
      <c r="A3451" s="571"/>
      <c r="B3451" s="1008"/>
      <c r="C3451" s="7"/>
      <c r="P3451" s="7"/>
      <c r="AX3451" s="7"/>
      <c r="BP3451" s="61"/>
      <c r="CF3451" s="104"/>
      <c r="CG3451" s="105"/>
      <c r="FK3451" s="7"/>
    </row>
    <row r="3452" spans="1:167">
      <c r="A3452" s="571"/>
      <c r="B3452" s="1008"/>
      <c r="C3452" s="7"/>
      <c r="P3452" s="7"/>
      <c r="AX3452" s="7"/>
      <c r="BP3452" s="61"/>
      <c r="CF3452" s="104"/>
      <c r="CG3452" s="105"/>
      <c r="FK3452" s="7"/>
    </row>
    <row r="3453" spans="1:167">
      <c r="A3453" s="571"/>
      <c r="B3453" s="1008"/>
      <c r="C3453" s="7"/>
      <c r="P3453" s="7"/>
      <c r="AX3453" s="7"/>
      <c r="BP3453" s="61"/>
      <c r="CF3453" s="104"/>
      <c r="CG3453" s="105"/>
      <c r="FK3453" s="7"/>
    </row>
    <row r="3454" spans="1:167">
      <c r="A3454" s="571"/>
      <c r="B3454" s="1008"/>
      <c r="C3454" s="7"/>
      <c r="P3454" s="7"/>
      <c r="AX3454" s="7"/>
      <c r="BP3454" s="61"/>
      <c r="CF3454" s="104"/>
      <c r="CG3454" s="105"/>
      <c r="FK3454" s="7"/>
    </row>
    <row r="3455" spans="1:167">
      <c r="A3455" s="571"/>
      <c r="B3455" s="1008"/>
      <c r="C3455" s="7"/>
      <c r="P3455" s="7"/>
      <c r="AX3455" s="7"/>
      <c r="BP3455" s="61"/>
      <c r="CF3455" s="104"/>
      <c r="CG3455" s="105"/>
      <c r="FK3455" s="7"/>
    </row>
    <row r="3456" spans="1:167">
      <c r="A3456" s="571"/>
      <c r="B3456" s="1008"/>
      <c r="C3456" s="7"/>
      <c r="P3456" s="7"/>
      <c r="AX3456" s="7"/>
      <c r="BP3456" s="61"/>
      <c r="CF3456" s="104"/>
      <c r="CG3456" s="105"/>
      <c r="FK3456" s="7"/>
    </row>
    <row r="3457" spans="1:167">
      <c r="A3457" s="571"/>
      <c r="B3457" s="1008"/>
      <c r="C3457" s="7"/>
      <c r="P3457" s="7"/>
      <c r="AX3457" s="7"/>
      <c r="BP3457" s="61"/>
      <c r="CF3457" s="104"/>
      <c r="CG3457" s="105"/>
      <c r="FK3457" s="7"/>
    </row>
    <row r="3458" spans="1:167">
      <c r="A3458" s="571"/>
      <c r="B3458" s="1008"/>
      <c r="C3458" s="7"/>
      <c r="P3458" s="7"/>
      <c r="AX3458" s="7"/>
      <c r="BP3458" s="61"/>
      <c r="CF3458" s="104"/>
      <c r="CG3458" s="105"/>
      <c r="FK3458" s="7"/>
    </row>
    <row r="3459" spans="1:167">
      <c r="A3459" s="571"/>
      <c r="B3459" s="1008"/>
      <c r="C3459" s="7"/>
      <c r="P3459" s="7"/>
      <c r="AX3459" s="7"/>
      <c r="BP3459" s="61"/>
      <c r="CF3459" s="104"/>
      <c r="CG3459" s="105"/>
      <c r="FK3459" s="7"/>
    </row>
    <row r="3460" spans="1:167">
      <c r="A3460" s="571"/>
      <c r="B3460" s="1008"/>
      <c r="C3460" s="7"/>
      <c r="P3460" s="7"/>
      <c r="AX3460" s="7"/>
      <c r="BP3460" s="61"/>
      <c r="CF3460" s="104"/>
      <c r="CG3460" s="105"/>
      <c r="FK3460" s="7"/>
    </row>
    <row r="3461" spans="1:167">
      <c r="A3461" s="571"/>
      <c r="B3461" s="1008"/>
      <c r="C3461" s="7"/>
      <c r="P3461" s="7"/>
      <c r="AX3461" s="7"/>
      <c r="BP3461" s="61"/>
      <c r="CF3461" s="104"/>
      <c r="CG3461" s="105"/>
      <c r="FK3461" s="7"/>
    </row>
    <row r="3462" spans="1:167">
      <c r="A3462" s="571"/>
      <c r="B3462" s="1008"/>
      <c r="C3462" s="7"/>
      <c r="P3462" s="7"/>
      <c r="AX3462" s="7"/>
      <c r="BP3462" s="61"/>
      <c r="CF3462" s="104"/>
      <c r="CG3462" s="105"/>
      <c r="FK3462" s="7"/>
    </row>
    <row r="3463" spans="1:167">
      <c r="A3463" s="571"/>
      <c r="B3463" s="1008"/>
      <c r="C3463" s="7"/>
      <c r="P3463" s="7"/>
      <c r="AX3463" s="7"/>
      <c r="BP3463" s="61"/>
      <c r="CF3463" s="104"/>
      <c r="CG3463" s="105"/>
      <c r="FK3463" s="7"/>
    </row>
    <row r="3464" spans="1:167">
      <c r="A3464" s="571"/>
      <c r="B3464" s="1008"/>
      <c r="C3464" s="7"/>
      <c r="P3464" s="7"/>
      <c r="AX3464" s="7"/>
      <c r="BP3464" s="61"/>
      <c r="CF3464" s="104"/>
      <c r="CG3464" s="105"/>
      <c r="FK3464" s="7"/>
    </row>
    <row r="3465" spans="1:167">
      <c r="A3465" s="571"/>
      <c r="B3465" s="1008"/>
      <c r="C3465" s="7"/>
      <c r="P3465" s="7"/>
      <c r="AX3465" s="7"/>
      <c r="BP3465" s="61"/>
      <c r="CF3465" s="104"/>
      <c r="CG3465" s="105"/>
      <c r="FK3465" s="7"/>
    </row>
    <row r="3466" spans="1:167">
      <c r="A3466" s="571"/>
      <c r="B3466" s="1008"/>
      <c r="C3466" s="7"/>
      <c r="P3466" s="7"/>
      <c r="AX3466" s="7"/>
      <c r="BP3466" s="61"/>
      <c r="CF3466" s="104"/>
      <c r="CG3466" s="105"/>
      <c r="FK3466" s="7"/>
    </row>
    <row r="3467" spans="1:167">
      <c r="A3467" s="571"/>
      <c r="B3467" s="1008"/>
      <c r="C3467" s="7"/>
      <c r="P3467" s="7"/>
      <c r="AX3467" s="7"/>
      <c r="BP3467" s="61"/>
      <c r="CF3467" s="104"/>
      <c r="CG3467" s="105"/>
      <c r="FK3467" s="7"/>
    </row>
    <row r="3468" spans="1:167">
      <c r="A3468" s="571"/>
      <c r="B3468" s="1008"/>
      <c r="C3468" s="7"/>
      <c r="P3468" s="7"/>
      <c r="AX3468" s="7"/>
      <c r="BP3468" s="61"/>
      <c r="CF3468" s="104"/>
      <c r="CG3468" s="105"/>
      <c r="FK3468" s="7"/>
    </row>
    <row r="3469" spans="1:167">
      <c r="A3469" s="571"/>
      <c r="B3469" s="1008"/>
      <c r="C3469" s="7"/>
      <c r="P3469" s="7"/>
      <c r="AX3469" s="7"/>
      <c r="BP3469" s="61"/>
      <c r="CF3469" s="104"/>
      <c r="CG3469" s="105"/>
      <c r="FK3469" s="7"/>
    </row>
    <row r="3470" spans="1:167">
      <c r="A3470" s="571"/>
      <c r="B3470" s="1008"/>
      <c r="C3470" s="7"/>
      <c r="P3470" s="7"/>
      <c r="AX3470" s="7"/>
      <c r="BP3470" s="61"/>
      <c r="CF3470" s="104"/>
      <c r="CG3470" s="105"/>
      <c r="FK3470" s="7"/>
    </row>
    <row r="3471" spans="1:167">
      <c r="A3471" s="571"/>
      <c r="B3471" s="1008"/>
      <c r="C3471" s="7"/>
      <c r="P3471" s="7"/>
      <c r="AX3471" s="7"/>
      <c r="BP3471" s="61"/>
      <c r="CF3471" s="104"/>
      <c r="CG3471" s="105"/>
      <c r="FK3471" s="7"/>
    </row>
    <row r="3472" spans="1:167">
      <c r="A3472" s="571"/>
      <c r="B3472" s="1008"/>
      <c r="C3472" s="7"/>
      <c r="P3472" s="7"/>
      <c r="AX3472" s="7"/>
      <c r="BP3472" s="61"/>
      <c r="CF3472" s="104"/>
      <c r="CG3472" s="105"/>
      <c r="FK3472" s="7"/>
    </row>
    <row r="3473" spans="1:167">
      <c r="A3473" s="571"/>
      <c r="B3473" s="1008"/>
      <c r="C3473" s="7"/>
      <c r="P3473" s="7"/>
      <c r="AX3473" s="7"/>
      <c r="BP3473" s="61"/>
      <c r="CF3473" s="104"/>
      <c r="CG3473" s="105"/>
      <c r="FK3473" s="7"/>
    </row>
    <row r="3474" spans="1:167">
      <c r="A3474" s="571"/>
      <c r="B3474" s="1008"/>
      <c r="C3474" s="7"/>
      <c r="P3474" s="7"/>
      <c r="AX3474" s="7"/>
      <c r="BP3474" s="61"/>
      <c r="CF3474" s="104"/>
      <c r="CG3474" s="105"/>
      <c r="FK3474" s="7"/>
    </row>
    <row r="3475" spans="1:167">
      <c r="A3475" s="571"/>
      <c r="B3475" s="1008"/>
      <c r="C3475" s="7"/>
      <c r="P3475" s="7"/>
      <c r="AX3475" s="7"/>
      <c r="BP3475" s="61"/>
      <c r="CF3475" s="104"/>
      <c r="CG3475" s="105"/>
      <c r="FK3475" s="7"/>
    </row>
    <row r="3476" spans="1:167">
      <c r="A3476" s="571"/>
      <c r="B3476" s="1008"/>
      <c r="C3476" s="7"/>
      <c r="P3476" s="7"/>
      <c r="AX3476" s="7"/>
      <c r="BP3476" s="61"/>
      <c r="CF3476" s="104"/>
      <c r="CG3476" s="105"/>
      <c r="FK3476" s="7"/>
    </row>
    <row r="3477" spans="1:167">
      <c r="A3477" s="571"/>
      <c r="B3477" s="1008"/>
      <c r="C3477" s="7"/>
      <c r="P3477" s="7"/>
      <c r="AX3477" s="7"/>
      <c r="BP3477" s="61"/>
      <c r="CF3477" s="104"/>
      <c r="CG3477" s="105"/>
      <c r="FK3477" s="7"/>
    </row>
    <row r="3478" spans="1:167">
      <c r="A3478" s="571"/>
      <c r="B3478" s="1008"/>
      <c r="C3478" s="7"/>
      <c r="P3478" s="7"/>
      <c r="AX3478" s="7"/>
      <c r="BP3478" s="61"/>
      <c r="CF3478" s="104"/>
      <c r="CG3478" s="105"/>
      <c r="FK3478" s="7"/>
    </row>
    <row r="3479" spans="1:167">
      <c r="A3479" s="571"/>
      <c r="B3479" s="1008"/>
      <c r="C3479" s="7"/>
      <c r="P3479" s="7"/>
      <c r="AX3479" s="7"/>
      <c r="BP3479" s="61"/>
      <c r="CF3479" s="104"/>
      <c r="CG3479" s="105"/>
      <c r="FK3479" s="7"/>
    </row>
    <row r="3480" spans="1:167">
      <c r="A3480" s="571"/>
      <c r="B3480" s="1008"/>
      <c r="C3480" s="7"/>
      <c r="P3480" s="7"/>
      <c r="AX3480" s="7"/>
      <c r="BP3480" s="61"/>
      <c r="CF3480" s="104"/>
      <c r="CG3480" s="105"/>
      <c r="FK3480" s="7"/>
    </row>
    <row r="3481" spans="1:167">
      <c r="A3481" s="571"/>
      <c r="B3481" s="1008"/>
      <c r="C3481" s="7"/>
      <c r="P3481" s="7"/>
      <c r="AX3481" s="7"/>
      <c r="BP3481" s="61"/>
      <c r="CF3481" s="104"/>
      <c r="CG3481" s="105"/>
      <c r="FK3481" s="7"/>
    </row>
    <row r="3482" spans="1:167">
      <c r="A3482" s="571"/>
      <c r="B3482" s="1008"/>
      <c r="C3482" s="7"/>
      <c r="P3482" s="7"/>
      <c r="AX3482" s="7"/>
      <c r="BP3482" s="61"/>
      <c r="CF3482" s="104"/>
      <c r="CG3482" s="105"/>
      <c r="FK3482" s="7"/>
    </row>
    <row r="3483" spans="1:167">
      <c r="A3483" s="571"/>
      <c r="B3483" s="1008"/>
      <c r="C3483" s="7"/>
      <c r="P3483" s="7"/>
      <c r="AX3483" s="7"/>
      <c r="BP3483" s="61"/>
      <c r="CF3483" s="104"/>
      <c r="CG3483" s="105"/>
      <c r="FK3483" s="7"/>
    </row>
    <row r="3484" spans="1:167">
      <c r="A3484" s="571"/>
      <c r="B3484" s="1008"/>
      <c r="C3484" s="7"/>
      <c r="P3484" s="7"/>
      <c r="AX3484" s="7"/>
      <c r="BP3484" s="61"/>
      <c r="CF3484" s="104"/>
      <c r="CG3484" s="105"/>
      <c r="FK3484" s="7"/>
    </row>
    <row r="3485" spans="1:167">
      <c r="A3485" s="571"/>
      <c r="B3485" s="1008"/>
      <c r="C3485" s="7"/>
      <c r="P3485" s="7"/>
      <c r="AX3485" s="7"/>
      <c r="BP3485" s="61"/>
      <c r="CF3485" s="104"/>
      <c r="CG3485" s="105"/>
      <c r="FK3485" s="7"/>
    </row>
    <row r="3486" spans="1:167">
      <c r="A3486" s="571"/>
      <c r="B3486" s="1008"/>
      <c r="C3486" s="7"/>
      <c r="P3486" s="7"/>
      <c r="AX3486" s="7"/>
      <c r="BP3486" s="61"/>
      <c r="CF3486" s="104"/>
      <c r="CG3486" s="105"/>
      <c r="FK3486" s="7"/>
    </row>
    <row r="3487" spans="1:167">
      <c r="A3487" s="571"/>
      <c r="B3487" s="1008"/>
      <c r="C3487" s="7"/>
      <c r="P3487" s="7"/>
      <c r="AX3487" s="7"/>
      <c r="BP3487" s="61"/>
      <c r="CF3487" s="104"/>
      <c r="CG3487" s="105"/>
      <c r="FK3487" s="7"/>
    </row>
    <row r="3488" spans="1:167">
      <c r="A3488" s="571"/>
      <c r="B3488" s="1008"/>
      <c r="C3488" s="7"/>
      <c r="P3488" s="7"/>
      <c r="AX3488" s="7"/>
      <c r="BP3488" s="61"/>
      <c r="CF3488" s="104"/>
      <c r="CG3488" s="105"/>
      <c r="FK3488" s="7"/>
    </row>
    <row r="3489" spans="1:167">
      <c r="A3489" s="571"/>
      <c r="B3489" s="1008"/>
      <c r="C3489" s="7"/>
      <c r="P3489" s="7"/>
      <c r="AX3489" s="7"/>
      <c r="BP3489" s="61"/>
      <c r="CF3489" s="104"/>
      <c r="CG3489" s="105"/>
      <c r="FK3489" s="7"/>
    </row>
    <row r="3490" spans="1:167">
      <c r="A3490" s="571"/>
      <c r="B3490" s="1008"/>
      <c r="C3490" s="7"/>
      <c r="P3490" s="7"/>
      <c r="AX3490" s="7"/>
      <c r="BP3490" s="61"/>
      <c r="CF3490" s="104"/>
      <c r="CG3490" s="105"/>
      <c r="FK3490" s="7"/>
    </row>
    <row r="3491" spans="1:167">
      <c r="A3491" s="571"/>
      <c r="B3491" s="1008"/>
      <c r="C3491" s="7"/>
      <c r="P3491" s="7"/>
      <c r="AX3491" s="7"/>
      <c r="BP3491" s="61"/>
      <c r="CF3491" s="104"/>
      <c r="CG3491" s="105"/>
      <c r="FK3491" s="7"/>
    </row>
    <row r="3492" spans="1:167">
      <c r="A3492" s="571"/>
      <c r="B3492" s="1008"/>
      <c r="C3492" s="7"/>
      <c r="P3492" s="7"/>
      <c r="AX3492" s="7"/>
      <c r="BP3492" s="61"/>
      <c r="CF3492" s="104"/>
      <c r="CG3492" s="105"/>
      <c r="FK3492" s="7"/>
    </row>
    <row r="3493" spans="1:167">
      <c r="A3493" s="571"/>
      <c r="B3493" s="1008"/>
      <c r="C3493" s="7"/>
      <c r="P3493" s="7"/>
      <c r="AX3493" s="7"/>
      <c r="BP3493" s="61"/>
      <c r="CF3493" s="104"/>
      <c r="CG3493" s="105"/>
      <c r="FK3493" s="7"/>
    </row>
    <row r="3494" spans="1:167">
      <c r="A3494" s="571"/>
      <c r="B3494" s="1008"/>
      <c r="C3494" s="7"/>
      <c r="P3494" s="7"/>
      <c r="AX3494" s="7"/>
      <c r="BP3494" s="61"/>
      <c r="CF3494" s="104"/>
      <c r="CG3494" s="105"/>
      <c r="FK3494" s="7"/>
    </row>
    <row r="3495" spans="1:167">
      <c r="A3495" s="571"/>
      <c r="B3495" s="1008"/>
      <c r="C3495" s="7"/>
      <c r="P3495" s="7"/>
      <c r="AX3495" s="7"/>
      <c r="BP3495" s="61"/>
      <c r="CF3495" s="104"/>
      <c r="CG3495" s="105"/>
      <c r="FK3495" s="7"/>
    </row>
    <row r="3496" spans="1:167">
      <c r="A3496" s="571"/>
      <c r="B3496" s="1008"/>
      <c r="C3496" s="7"/>
      <c r="P3496" s="7"/>
      <c r="AX3496" s="7"/>
      <c r="BP3496" s="61"/>
      <c r="CF3496" s="104"/>
      <c r="CG3496" s="105"/>
      <c r="FK3496" s="7"/>
    </row>
    <row r="3497" spans="1:167">
      <c r="A3497" s="571"/>
      <c r="B3497" s="1008"/>
      <c r="C3497" s="7"/>
      <c r="P3497" s="7"/>
      <c r="AX3497" s="7"/>
      <c r="BP3497" s="61"/>
      <c r="CF3497" s="104"/>
      <c r="CG3497" s="105"/>
      <c r="FK3497" s="7"/>
    </row>
    <row r="3498" spans="1:167">
      <c r="A3498" s="571"/>
      <c r="B3498" s="1008"/>
      <c r="C3498" s="7"/>
      <c r="P3498" s="7"/>
      <c r="AX3498" s="7"/>
      <c r="BP3498" s="61"/>
      <c r="CF3498" s="104"/>
      <c r="CG3498" s="105"/>
      <c r="FK3498" s="7"/>
    </row>
    <row r="3499" spans="1:167">
      <c r="A3499" s="571"/>
      <c r="B3499" s="1008"/>
      <c r="C3499" s="7"/>
      <c r="P3499" s="7"/>
      <c r="AX3499" s="7"/>
      <c r="BP3499" s="61"/>
      <c r="CF3499" s="104"/>
      <c r="CG3499" s="105"/>
      <c r="FK3499" s="7"/>
    </row>
    <row r="3500" spans="1:167">
      <c r="A3500" s="571"/>
      <c r="B3500" s="1008"/>
      <c r="C3500" s="7"/>
      <c r="P3500" s="7"/>
      <c r="AX3500" s="7"/>
      <c r="BP3500" s="61"/>
      <c r="CF3500" s="104"/>
      <c r="CG3500" s="105"/>
      <c r="FK3500" s="7"/>
    </row>
    <row r="3501" spans="1:167">
      <c r="A3501" s="571"/>
      <c r="B3501" s="1008"/>
      <c r="C3501" s="7"/>
      <c r="P3501" s="7"/>
      <c r="AX3501" s="7"/>
      <c r="BP3501" s="61"/>
      <c r="CF3501" s="104"/>
      <c r="CG3501" s="105"/>
      <c r="FK3501" s="7"/>
    </row>
    <row r="3502" spans="1:167">
      <c r="A3502" s="571"/>
      <c r="B3502" s="1008"/>
      <c r="C3502" s="7"/>
      <c r="P3502" s="7"/>
      <c r="AX3502" s="7"/>
      <c r="BP3502" s="61"/>
      <c r="CF3502" s="104"/>
      <c r="CG3502" s="105"/>
      <c r="FK3502" s="7"/>
    </row>
    <row r="3503" spans="1:167">
      <c r="A3503" s="571"/>
      <c r="B3503" s="1008"/>
      <c r="C3503" s="7"/>
      <c r="P3503" s="7"/>
      <c r="AX3503" s="7"/>
      <c r="BP3503" s="61"/>
      <c r="CF3503" s="104"/>
      <c r="CG3503" s="105"/>
      <c r="FK3503" s="7"/>
    </row>
    <row r="3504" spans="1:167">
      <c r="A3504" s="571"/>
      <c r="B3504" s="1008"/>
      <c r="C3504" s="7"/>
      <c r="P3504" s="7"/>
      <c r="AX3504" s="7"/>
      <c r="BP3504" s="61"/>
      <c r="CF3504" s="104"/>
      <c r="CG3504" s="105"/>
      <c r="FK3504" s="7"/>
    </row>
    <row r="3505" spans="1:167">
      <c r="A3505" s="571"/>
      <c r="B3505" s="1008"/>
      <c r="C3505" s="7"/>
      <c r="P3505" s="7"/>
      <c r="AX3505" s="7"/>
      <c r="BP3505" s="61"/>
      <c r="CF3505" s="104"/>
      <c r="CG3505" s="105"/>
      <c r="FK3505" s="7"/>
    </row>
    <row r="3506" spans="1:167">
      <c r="A3506" s="571"/>
      <c r="B3506" s="1008"/>
      <c r="C3506" s="7"/>
      <c r="P3506" s="7"/>
      <c r="AX3506" s="7"/>
      <c r="BP3506" s="61"/>
      <c r="CF3506" s="104"/>
      <c r="CG3506" s="105"/>
      <c r="FK3506" s="7"/>
    </row>
    <row r="3507" spans="1:167">
      <c r="A3507" s="571"/>
      <c r="B3507" s="1008"/>
      <c r="C3507" s="7"/>
      <c r="P3507" s="7"/>
      <c r="AX3507" s="7"/>
      <c r="BP3507" s="61"/>
      <c r="CF3507" s="104"/>
      <c r="CG3507" s="105"/>
      <c r="FK3507" s="7"/>
    </row>
    <row r="3508" spans="1:167">
      <c r="A3508" s="571"/>
      <c r="B3508" s="1008"/>
      <c r="C3508" s="7"/>
      <c r="P3508" s="7"/>
      <c r="AX3508" s="7"/>
      <c r="BP3508" s="61"/>
      <c r="CF3508" s="104"/>
      <c r="CG3508" s="105"/>
      <c r="FK3508" s="7"/>
    </row>
    <row r="3509" spans="1:167">
      <c r="A3509" s="571"/>
      <c r="B3509" s="1008"/>
      <c r="C3509" s="7"/>
      <c r="P3509" s="7"/>
      <c r="AX3509" s="7"/>
      <c r="BP3509" s="61"/>
      <c r="CF3509" s="104"/>
      <c r="CG3509" s="105"/>
      <c r="FK3509" s="7"/>
    </row>
    <row r="3510" spans="1:167">
      <c r="A3510" s="571"/>
      <c r="B3510" s="1008"/>
      <c r="C3510" s="7"/>
      <c r="P3510" s="7"/>
      <c r="AX3510" s="7"/>
      <c r="BP3510" s="61"/>
      <c r="CF3510" s="104"/>
      <c r="CG3510" s="105"/>
      <c r="FK3510" s="7"/>
    </row>
    <row r="3511" spans="1:167">
      <c r="A3511" s="571"/>
      <c r="B3511" s="1008"/>
      <c r="C3511" s="7"/>
      <c r="P3511" s="7"/>
      <c r="AX3511" s="7"/>
      <c r="BP3511" s="61"/>
      <c r="CF3511" s="104"/>
      <c r="CG3511" s="105"/>
      <c r="FK3511" s="7"/>
    </row>
    <row r="3512" spans="1:167">
      <c r="A3512" s="571"/>
      <c r="B3512" s="1008"/>
      <c r="C3512" s="7"/>
      <c r="P3512" s="7"/>
      <c r="AX3512" s="7"/>
      <c r="BP3512" s="61"/>
      <c r="CF3512" s="104"/>
      <c r="CG3512" s="105"/>
      <c r="FK3512" s="7"/>
    </row>
    <row r="3513" spans="1:167">
      <c r="A3513" s="571"/>
      <c r="B3513" s="1008"/>
      <c r="C3513" s="7"/>
      <c r="P3513" s="7"/>
      <c r="AX3513" s="7"/>
      <c r="BP3513" s="61"/>
      <c r="CF3513" s="104"/>
      <c r="CG3513" s="105"/>
      <c r="FK3513" s="7"/>
    </row>
    <row r="3514" spans="1:167">
      <c r="A3514" s="571"/>
      <c r="B3514" s="1008"/>
      <c r="C3514" s="7"/>
      <c r="P3514" s="7"/>
      <c r="AX3514" s="7"/>
      <c r="BP3514" s="61"/>
      <c r="CF3514" s="104"/>
      <c r="CG3514" s="105"/>
      <c r="FK3514" s="7"/>
    </row>
    <row r="3515" spans="1:167">
      <c r="A3515" s="571"/>
      <c r="B3515" s="1008"/>
      <c r="C3515" s="7"/>
      <c r="P3515" s="7"/>
      <c r="AX3515" s="7"/>
      <c r="BP3515" s="61"/>
      <c r="CF3515" s="104"/>
      <c r="CG3515" s="105"/>
      <c r="FK3515" s="7"/>
    </row>
    <row r="3516" spans="1:167">
      <c r="A3516" s="571"/>
      <c r="B3516" s="1008"/>
      <c r="C3516" s="7"/>
      <c r="P3516" s="7"/>
      <c r="AX3516" s="7"/>
      <c r="BP3516" s="61"/>
      <c r="CF3516" s="104"/>
      <c r="CG3516" s="105"/>
      <c r="FK3516" s="7"/>
    </row>
    <row r="3517" spans="1:167">
      <c r="A3517" s="571"/>
      <c r="B3517" s="1008"/>
      <c r="C3517" s="7"/>
      <c r="P3517" s="7"/>
      <c r="AX3517" s="7"/>
      <c r="BP3517" s="61"/>
      <c r="CF3517" s="104"/>
      <c r="CG3517" s="105"/>
      <c r="FK3517" s="7"/>
    </row>
    <row r="3518" spans="1:167">
      <c r="A3518" s="571"/>
      <c r="B3518" s="1008"/>
      <c r="C3518" s="7"/>
      <c r="P3518" s="7"/>
      <c r="AX3518" s="7"/>
      <c r="BP3518" s="61"/>
      <c r="CF3518" s="104"/>
      <c r="CG3518" s="105"/>
      <c r="FK3518" s="7"/>
    </row>
    <row r="3519" spans="1:167">
      <c r="A3519" s="571"/>
      <c r="B3519" s="1008"/>
      <c r="C3519" s="7"/>
      <c r="P3519" s="7"/>
      <c r="AX3519" s="7"/>
      <c r="BP3519" s="61"/>
      <c r="CF3519" s="104"/>
      <c r="CG3519" s="105"/>
      <c r="FK3519" s="7"/>
    </row>
    <row r="3520" spans="1:167">
      <c r="A3520" s="571"/>
      <c r="B3520" s="1008"/>
      <c r="C3520" s="7"/>
      <c r="P3520" s="7"/>
      <c r="AX3520" s="7"/>
      <c r="BP3520" s="61"/>
      <c r="CF3520" s="104"/>
      <c r="CG3520" s="105"/>
      <c r="FK3520" s="7"/>
    </row>
    <row r="3521" spans="1:167">
      <c r="A3521" s="571"/>
      <c r="B3521" s="1008"/>
      <c r="C3521" s="7"/>
      <c r="P3521" s="7"/>
      <c r="AX3521" s="7"/>
      <c r="BP3521" s="61"/>
      <c r="CF3521" s="104"/>
      <c r="CG3521" s="105"/>
      <c r="FK3521" s="7"/>
    </row>
    <row r="3522" spans="1:167">
      <c r="A3522" s="571"/>
      <c r="B3522" s="1008"/>
      <c r="C3522" s="7"/>
      <c r="P3522" s="7"/>
      <c r="AX3522" s="7"/>
      <c r="BP3522" s="61"/>
      <c r="CF3522" s="104"/>
      <c r="CG3522" s="105"/>
      <c r="FK3522" s="7"/>
    </row>
    <row r="3523" spans="1:167">
      <c r="A3523" s="571"/>
      <c r="B3523" s="1008"/>
      <c r="C3523" s="7"/>
      <c r="P3523" s="7"/>
      <c r="AX3523" s="7"/>
      <c r="BP3523" s="61"/>
      <c r="CF3523" s="104"/>
      <c r="CG3523" s="105"/>
      <c r="FK3523" s="7"/>
    </row>
    <row r="3524" spans="1:167">
      <c r="A3524" s="571"/>
      <c r="B3524" s="1008"/>
      <c r="C3524" s="7"/>
      <c r="P3524" s="7"/>
      <c r="AX3524" s="7"/>
      <c r="BP3524" s="61"/>
      <c r="CF3524" s="104"/>
      <c r="CG3524" s="105"/>
      <c r="FK3524" s="7"/>
    </row>
    <row r="3525" spans="1:167">
      <c r="A3525" s="571"/>
      <c r="B3525" s="1008"/>
      <c r="C3525" s="7"/>
      <c r="P3525" s="7"/>
      <c r="AX3525" s="7"/>
      <c r="BP3525" s="61"/>
      <c r="CF3525" s="104"/>
      <c r="CG3525" s="105"/>
      <c r="FK3525" s="7"/>
    </row>
    <row r="3526" spans="1:167">
      <c r="A3526" s="571"/>
      <c r="B3526" s="1008"/>
      <c r="C3526" s="7"/>
      <c r="P3526" s="7"/>
      <c r="AX3526" s="7"/>
      <c r="BP3526" s="61"/>
      <c r="CF3526" s="104"/>
      <c r="CG3526" s="105"/>
      <c r="FK3526" s="7"/>
    </row>
    <row r="3527" spans="1:167">
      <c r="A3527" s="571"/>
      <c r="B3527" s="1008"/>
      <c r="C3527" s="7"/>
      <c r="P3527" s="7"/>
      <c r="AX3527" s="7"/>
      <c r="BP3527" s="61"/>
      <c r="CF3527" s="104"/>
      <c r="CG3527" s="105"/>
      <c r="FK3527" s="7"/>
    </row>
    <row r="3528" spans="1:167">
      <c r="A3528" s="571"/>
      <c r="B3528" s="1008"/>
      <c r="C3528" s="7"/>
      <c r="P3528" s="7"/>
      <c r="AX3528" s="7"/>
      <c r="BP3528" s="61"/>
      <c r="CF3528" s="104"/>
      <c r="CG3528" s="105"/>
      <c r="FK3528" s="7"/>
    </row>
    <row r="3529" spans="1:167">
      <c r="A3529" s="571"/>
      <c r="B3529" s="1008"/>
      <c r="C3529" s="7"/>
      <c r="P3529" s="7"/>
      <c r="AX3529" s="7"/>
      <c r="BP3529" s="61"/>
      <c r="CF3529" s="104"/>
      <c r="CG3529" s="105"/>
      <c r="FK3529" s="7"/>
    </row>
    <row r="3530" spans="1:167">
      <c r="A3530" s="571"/>
      <c r="B3530" s="1008"/>
      <c r="C3530" s="7"/>
      <c r="P3530" s="7"/>
      <c r="AX3530" s="7"/>
      <c r="BP3530" s="61"/>
      <c r="CF3530" s="104"/>
      <c r="CG3530" s="105"/>
      <c r="FK3530" s="7"/>
    </row>
    <row r="3531" spans="1:167">
      <c r="A3531" s="571"/>
      <c r="B3531" s="1008"/>
      <c r="C3531" s="7"/>
      <c r="P3531" s="7"/>
      <c r="AX3531" s="7"/>
      <c r="BP3531" s="61"/>
      <c r="CF3531" s="104"/>
      <c r="CG3531" s="105"/>
      <c r="FK3531" s="7"/>
    </row>
    <row r="3532" spans="1:167">
      <c r="A3532" s="571"/>
      <c r="B3532" s="1008"/>
      <c r="C3532" s="7"/>
      <c r="P3532" s="7"/>
      <c r="AX3532" s="7"/>
      <c r="BP3532" s="61"/>
      <c r="CF3532" s="104"/>
      <c r="CG3532" s="105"/>
      <c r="FK3532" s="7"/>
    </row>
    <row r="3533" spans="1:167">
      <c r="A3533" s="571"/>
      <c r="B3533" s="1008"/>
      <c r="C3533" s="7"/>
      <c r="P3533" s="7"/>
      <c r="AX3533" s="7"/>
      <c r="BP3533" s="61"/>
      <c r="CF3533" s="104"/>
      <c r="CG3533" s="105"/>
      <c r="FK3533" s="7"/>
    </row>
    <row r="3534" spans="1:167">
      <c r="A3534" s="571"/>
      <c r="B3534" s="1008"/>
      <c r="C3534" s="7"/>
      <c r="P3534" s="7"/>
      <c r="AX3534" s="7"/>
      <c r="BP3534" s="61"/>
      <c r="CF3534" s="104"/>
      <c r="CG3534" s="105"/>
      <c r="FK3534" s="7"/>
    </row>
    <row r="3535" spans="1:167">
      <c r="A3535" s="571"/>
      <c r="B3535" s="1008"/>
      <c r="C3535" s="7"/>
      <c r="P3535" s="7"/>
      <c r="AX3535" s="7"/>
      <c r="BP3535" s="61"/>
      <c r="CF3535" s="104"/>
      <c r="CG3535" s="105"/>
      <c r="FK3535" s="7"/>
    </row>
    <row r="3536" spans="1:167">
      <c r="A3536" s="571"/>
      <c r="B3536" s="1008"/>
      <c r="C3536" s="7"/>
      <c r="P3536" s="7"/>
      <c r="AX3536" s="7"/>
      <c r="BP3536" s="61"/>
      <c r="CF3536" s="104"/>
      <c r="CG3536" s="105"/>
      <c r="FK3536" s="7"/>
    </row>
    <row r="3537" spans="1:167">
      <c r="A3537" s="571"/>
      <c r="B3537" s="1008"/>
      <c r="C3537" s="7"/>
      <c r="P3537" s="7"/>
      <c r="AX3537" s="7"/>
      <c r="BP3537" s="61"/>
      <c r="CF3537" s="104"/>
      <c r="CG3537" s="105"/>
      <c r="FK3537" s="7"/>
    </row>
    <row r="3538" spans="1:167">
      <c r="A3538" s="571"/>
      <c r="B3538" s="1008"/>
      <c r="C3538" s="7"/>
      <c r="P3538" s="7"/>
      <c r="AX3538" s="7"/>
      <c r="BP3538" s="61"/>
      <c r="CF3538" s="104"/>
      <c r="CG3538" s="105"/>
      <c r="FK3538" s="7"/>
    </row>
    <row r="3539" spans="1:167">
      <c r="A3539" s="571"/>
      <c r="B3539" s="1008"/>
      <c r="C3539" s="7"/>
      <c r="P3539" s="7"/>
      <c r="AX3539" s="7"/>
      <c r="BP3539" s="61"/>
      <c r="CF3539" s="104"/>
      <c r="CG3539" s="105"/>
      <c r="FK3539" s="7"/>
    </row>
    <row r="3540" spans="1:167">
      <c r="A3540" s="571"/>
      <c r="B3540" s="1008"/>
      <c r="C3540" s="7"/>
      <c r="P3540" s="7"/>
      <c r="AX3540" s="7"/>
      <c r="BP3540" s="61"/>
      <c r="CF3540" s="104"/>
      <c r="CG3540" s="105"/>
      <c r="FK3540" s="7"/>
    </row>
    <row r="3541" spans="1:167">
      <c r="A3541" s="571"/>
      <c r="B3541" s="1008"/>
      <c r="C3541" s="7"/>
      <c r="P3541" s="7"/>
      <c r="AX3541" s="7"/>
      <c r="BP3541" s="61"/>
      <c r="CF3541" s="104"/>
      <c r="CG3541" s="105"/>
      <c r="FK3541" s="7"/>
    </row>
    <row r="3542" spans="1:167">
      <c r="A3542" s="571"/>
      <c r="B3542" s="1008"/>
      <c r="C3542" s="7"/>
      <c r="P3542" s="7"/>
      <c r="AX3542" s="7"/>
      <c r="BP3542" s="61"/>
      <c r="CF3542" s="104"/>
      <c r="CG3542" s="105"/>
      <c r="FK3542" s="7"/>
    </row>
    <row r="3543" spans="1:167">
      <c r="A3543" s="571"/>
      <c r="B3543" s="1008"/>
      <c r="C3543" s="7"/>
      <c r="P3543" s="7"/>
      <c r="AX3543" s="7"/>
      <c r="BP3543" s="61"/>
      <c r="CF3543" s="104"/>
      <c r="CG3543" s="105"/>
      <c r="FK3543" s="7"/>
    </row>
    <row r="3544" spans="1:167">
      <c r="A3544" s="571"/>
      <c r="B3544" s="1008"/>
      <c r="C3544" s="7"/>
      <c r="P3544" s="7"/>
      <c r="AX3544" s="7"/>
      <c r="BP3544" s="61"/>
      <c r="CF3544" s="104"/>
      <c r="CG3544" s="105"/>
      <c r="FK3544" s="7"/>
    </row>
    <row r="3545" spans="1:167">
      <c r="A3545" s="571"/>
      <c r="B3545" s="1008"/>
      <c r="C3545" s="7"/>
      <c r="P3545" s="7"/>
      <c r="AX3545" s="7"/>
      <c r="BP3545" s="61"/>
      <c r="CF3545" s="104"/>
      <c r="CG3545" s="105"/>
      <c r="FK3545" s="7"/>
    </row>
    <row r="3546" spans="1:167">
      <c r="A3546" s="571"/>
      <c r="B3546" s="1008"/>
      <c r="C3546" s="7"/>
      <c r="P3546" s="7"/>
      <c r="AX3546" s="7"/>
      <c r="BP3546" s="61"/>
      <c r="CF3546" s="104"/>
      <c r="CG3546" s="105"/>
      <c r="FK3546" s="7"/>
    </row>
    <row r="3547" spans="1:167">
      <c r="A3547" s="571"/>
      <c r="B3547" s="1008"/>
      <c r="C3547" s="7"/>
      <c r="P3547" s="7"/>
      <c r="AX3547" s="7"/>
      <c r="BP3547" s="61"/>
      <c r="CF3547" s="104"/>
      <c r="CG3547" s="105"/>
      <c r="FK3547" s="7"/>
    </row>
    <row r="3548" spans="1:167">
      <c r="A3548" s="571"/>
      <c r="B3548" s="1008"/>
      <c r="C3548" s="7"/>
      <c r="P3548" s="7"/>
      <c r="AX3548" s="7"/>
      <c r="BP3548" s="61"/>
      <c r="CF3548" s="104"/>
      <c r="CG3548" s="105"/>
      <c r="FK3548" s="7"/>
    </row>
    <row r="3549" spans="1:167">
      <c r="A3549" s="571"/>
      <c r="B3549" s="1008"/>
      <c r="C3549" s="7"/>
      <c r="P3549" s="7"/>
      <c r="AX3549" s="7"/>
      <c r="BP3549" s="61"/>
      <c r="CF3549" s="104"/>
      <c r="CG3549" s="105"/>
      <c r="FK3549" s="7"/>
    </row>
    <row r="3550" spans="1:167">
      <c r="A3550" s="571"/>
      <c r="B3550" s="1008"/>
      <c r="C3550" s="7"/>
      <c r="P3550" s="7"/>
      <c r="AX3550" s="7"/>
      <c r="BP3550" s="61"/>
      <c r="CF3550" s="104"/>
      <c r="CG3550" s="105"/>
      <c r="FK3550" s="7"/>
    </row>
    <row r="3551" spans="1:167">
      <c r="A3551" s="571"/>
      <c r="B3551" s="1008"/>
      <c r="C3551" s="7"/>
      <c r="P3551" s="7"/>
      <c r="AX3551" s="7"/>
      <c r="BP3551" s="61"/>
      <c r="CF3551" s="104"/>
      <c r="CG3551" s="105"/>
      <c r="FK3551" s="7"/>
    </row>
    <row r="3552" spans="1:167">
      <c r="A3552" s="571"/>
      <c r="B3552" s="1008"/>
      <c r="C3552" s="7"/>
      <c r="P3552" s="7"/>
      <c r="AX3552" s="7"/>
      <c r="BP3552" s="61"/>
      <c r="CF3552" s="104"/>
      <c r="CG3552" s="105"/>
      <c r="FK3552" s="7"/>
    </row>
    <row r="3553" spans="1:167">
      <c r="A3553" s="571"/>
      <c r="B3553" s="1008"/>
      <c r="C3553" s="7"/>
      <c r="P3553" s="7"/>
      <c r="AX3553" s="7"/>
      <c r="BP3553" s="61"/>
      <c r="CF3553" s="104"/>
      <c r="CG3553" s="105"/>
      <c r="FK3553" s="7"/>
    </row>
    <row r="3554" spans="1:167">
      <c r="A3554" s="571"/>
      <c r="B3554" s="1008"/>
      <c r="C3554" s="7"/>
      <c r="P3554" s="7"/>
      <c r="AX3554" s="7"/>
      <c r="BP3554" s="61"/>
      <c r="CF3554" s="104"/>
      <c r="CG3554" s="105"/>
      <c r="FK3554" s="7"/>
    </row>
    <row r="3555" spans="1:167">
      <c r="A3555" s="571"/>
      <c r="B3555" s="1008"/>
      <c r="C3555" s="7"/>
      <c r="P3555" s="7"/>
      <c r="AX3555" s="7"/>
      <c r="BP3555" s="61"/>
      <c r="CF3555" s="104"/>
      <c r="CG3555" s="105"/>
      <c r="FK3555" s="7"/>
    </row>
    <row r="3556" spans="1:167">
      <c r="A3556" s="571"/>
      <c r="B3556" s="1008"/>
      <c r="C3556" s="7"/>
      <c r="P3556" s="7"/>
      <c r="AX3556" s="7"/>
      <c r="BP3556" s="61"/>
      <c r="CF3556" s="104"/>
      <c r="CG3556" s="105"/>
      <c r="FK3556" s="7"/>
    </row>
    <row r="3557" spans="1:167">
      <c r="A3557" s="571"/>
      <c r="B3557" s="1008"/>
      <c r="C3557" s="7"/>
      <c r="P3557" s="7"/>
      <c r="AX3557" s="7"/>
      <c r="BP3557" s="61"/>
      <c r="CF3557" s="104"/>
      <c r="CG3557" s="105"/>
      <c r="FK3557" s="7"/>
    </row>
    <row r="3558" spans="1:167">
      <c r="A3558" s="571"/>
      <c r="B3558" s="1008"/>
      <c r="C3558" s="7"/>
      <c r="P3558" s="7"/>
      <c r="AX3558" s="7"/>
      <c r="BP3558" s="61"/>
      <c r="CF3558" s="104"/>
      <c r="CG3558" s="105"/>
      <c r="FK3558" s="7"/>
    </row>
    <row r="3559" spans="1:167">
      <c r="A3559" s="571"/>
      <c r="B3559" s="1008"/>
      <c r="C3559" s="7"/>
      <c r="P3559" s="7"/>
      <c r="AX3559" s="7"/>
      <c r="BP3559" s="61"/>
      <c r="CF3559" s="104"/>
      <c r="CG3559" s="105"/>
      <c r="FK3559" s="7"/>
    </row>
    <row r="3560" spans="1:167">
      <c r="A3560" s="571"/>
      <c r="B3560" s="1008"/>
      <c r="C3560" s="7"/>
      <c r="P3560" s="7"/>
      <c r="AX3560" s="7"/>
      <c r="BP3560" s="61"/>
      <c r="CF3560" s="104"/>
      <c r="CG3560" s="105"/>
      <c r="FK3560" s="7"/>
    </row>
    <row r="3561" spans="1:167">
      <c r="A3561" s="571"/>
      <c r="B3561" s="1008"/>
      <c r="C3561" s="7"/>
      <c r="P3561" s="7"/>
      <c r="AX3561" s="7"/>
      <c r="BP3561" s="61"/>
      <c r="CF3561" s="104"/>
      <c r="CG3561" s="105"/>
      <c r="FK3561" s="7"/>
    </row>
    <row r="3562" spans="1:167">
      <c r="A3562" s="571"/>
      <c r="B3562" s="1008"/>
      <c r="C3562" s="7"/>
      <c r="P3562" s="7"/>
      <c r="AX3562" s="7"/>
      <c r="BP3562" s="61"/>
      <c r="CF3562" s="104"/>
      <c r="CG3562" s="105"/>
      <c r="FK3562" s="7"/>
    </row>
    <row r="3563" spans="1:167">
      <c r="A3563" s="571"/>
      <c r="B3563" s="1008"/>
      <c r="C3563" s="7"/>
      <c r="P3563" s="7"/>
      <c r="AX3563" s="7"/>
      <c r="BP3563" s="61"/>
      <c r="CF3563" s="104"/>
      <c r="CG3563" s="105"/>
      <c r="FK3563" s="7"/>
    </row>
    <row r="3564" spans="1:167">
      <c r="A3564" s="571"/>
      <c r="B3564" s="1008"/>
      <c r="C3564" s="7"/>
      <c r="P3564" s="7"/>
      <c r="AX3564" s="7"/>
      <c r="BP3564" s="61"/>
      <c r="CF3564" s="104"/>
      <c r="CG3564" s="105"/>
      <c r="FK3564" s="7"/>
    </row>
    <row r="3565" spans="1:167">
      <c r="A3565" s="571"/>
      <c r="B3565" s="1008"/>
      <c r="C3565" s="7"/>
      <c r="P3565" s="7"/>
      <c r="AX3565" s="7"/>
      <c r="BP3565" s="61"/>
      <c r="CF3565" s="104"/>
      <c r="CG3565" s="105"/>
      <c r="FK3565" s="7"/>
    </row>
    <row r="3566" spans="1:167">
      <c r="A3566" s="571"/>
      <c r="B3566" s="1008"/>
      <c r="C3566" s="7"/>
      <c r="P3566" s="7"/>
      <c r="AX3566" s="7"/>
      <c r="BP3566" s="61"/>
      <c r="CF3566" s="104"/>
      <c r="CG3566" s="105"/>
      <c r="FK3566" s="7"/>
    </row>
    <row r="3567" spans="1:167">
      <c r="A3567" s="571"/>
      <c r="B3567" s="1008"/>
      <c r="C3567" s="7"/>
      <c r="P3567" s="7"/>
      <c r="AX3567" s="7"/>
      <c r="BP3567" s="61"/>
      <c r="CF3567" s="104"/>
      <c r="CG3567" s="105"/>
      <c r="FK3567" s="7"/>
    </row>
    <row r="3568" spans="1:167">
      <c r="A3568" s="571"/>
      <c r="B3568" s="1008"/>
      <c r="C3568" s="7"/>
      <c r="P3568" s="7"/>
      <c r="AX3568" s="7"/>
      <c r="BP3568" s="61"/>
      <c r="CF3568" s="104"/>
      <c r="CG3568" s="105"/>
      <c r="FK3568" s="7"/>
    </row>
    <row r="3569" spans="1:167">
      <c r="A3569" s="571"/>
      <c r="B3569" s="1008"/>
      <c r="C3569" s="7"/>
      <c r="P3569" s="7"/>
      <c r="AX3569" s="7"/>
      <c r="BP3569" s="61"/>
      <c r="CF3569" s="104"/>
      <c r="CG3569" s="105"/>
      <c r="FK3569" s="7"/>
    </row>
    <row r="3570" spans="1:167">
      <c r="A3570" s="571"/>
      <c r="B3570" s="1008"/>
      <c r="C3570" s="7"/>
      <c r="P3570" s="7"/>
      <c r="AX3570" s="7"/>
      <c r="BP3570" s="61"/>
      <c r="CF3570" s="104"/>
      <c r="CG3570" s="105"/>
      <c r="FK3570" s="7"/>
    </row>
    <row r="3571" spans="1:167">
      <c r="A3571" s="571"/>
      <c r="B3571" s="1008"/>
      <c r="C3571" s="7"/>
      <c r="P3571" s="7"/>
      <c r="AX3571" s="7"/>
      <c r="BP3571" s="61"/>
      <c r="CF3571" s="104"/>
      <c r="CG3571" s="105"/>
      <c r="FK3571" s="7"/>
    </row>
    <row r="3572" spans="1:167">
      <c r="A3572" s="571"/>
      <c r="B3572" s="1008"/>
      <c r="C3572" s="7"/>
      <c r="P3572" s="7"/>
      <c r="AX3572" s="7"/>
      <c r="BP3572" s="61"/>
      <c r="CF3572" s="104"/>
      <c r="CG3572" s="105"/>
      <c r="FK3572" s="7"/>
    </row>
    <row r="3573" spans="1:167">
      <c r="A3573" s="571"/>
      <c r="B3573" s="1008"/>
      <c r="C3573" s="7"/>
      <c r="P3573" s="7"/>
      <c r="AX3573" s="7"/>
      <c r="BP3573" s="61"/>
      <c r="CF3573" s="104"/>
      <c r="CG3573" s="105"/>
      <c r="FK3573" s="7"/>
    </row>
    <row r="3574" spans="1:167">
      <c r="A3574" s="571"/>
      <c r="B3574" s="1008"/>
      <c r="C3574" s="7"/>
      <c r="P3574" s="7"/>
      <c r="AX3574" s="7"/>
      <c r="BP3574" s="61"/>
      <c r="CF3574" s="104"/>
      <c r="CG3574" s="105"/>
      <c r="FK3574" s="7"/>
    </row>
    <row r="3575" spans="1:167">
      <c r="A3575" s="571"/>
      <c r="B3575" s="1008"/>
      <c r="C3575" s="7"/>
      <c r="P3575" s="7"/>
      <c r="AX3575" s="7"/>
      <c r="BP3575" s="61"/>
      <c r="CF3575" s="104"/>
      <c r="CG3575" s="105"/>
      <c r="FK3575" s="7"/>
    </row>
    <row r="3576" spans="1:167">
      <c r="A3576" s="571"/>
      <c r="B3576" s="1008"/>
      <c r="C3576" s="7"/>
      <c r="P3576" s="7"/>
      <c r="AX3576" s="7"/>
      <c r="BP3576" s="61"/>
      <c r="CF3576" s="104"/>
      <c r="CG3576" s="105"/>
      <c r="FK3576" s="7"/>
    </row>
    <row r="3577" spans="1:167">
      <c r="A3577" s="571"/>
      <c r="B3577" s="1008"/>
      <c r="C3577" s="7"/>
      <c r="P3577" s="7"/>
      <c r="AX3577" s="7"/>
      <c r="BP3577" s="61"/>
      <c r="CF3577" s="104"/>
      <c r="CG3577" s="105"/>
      <c r="FK3577" s="7"/>
    </row>
    <row r="3578" spans="1:167">
      <c r="A3578" s="571"/>
      <c r="B3578" s="1008"/>
      <c r="C3578" s="7"/>
      <c r="P3578" s="7"/>
      <c r="AX3578" s="7"/>
      <c r="BP3578" s="61"/>
      <c r="CF3578" s="104"/>
      <c r="CG3578" s="105"/>
      <c r="FK3578" s="7"/>
    </row>
    <row r="3579" spans="1:167">
      <c r="A3579" s="571"/>
      <c r="B3579" s="1008"/>
      <c r="C3579" s="7"/>
      <c r="P3579" s="7"/>
      <c r="AX3579" s="7"/>
      <c r="BP3579" s="61"/>
      <c r="CF3579" s="104"/>
      <c r="CG3579" s="105"/>
      <c r="FK3579" s="7"/>
    </row>
    <row r="3580" spans="1:167">
      <c r="A3580" s="571"/>
      <c r="B3580" s="1008"/>
      <c r="C3580" s="7"/>
      <c r="P3580" s="7"/>
      <c r="AX3580" s="7"/>
      <c r="BP3580" s="61"/>
      <c r="CF3580" s="104"/>
      <c r="CG3580" s="105"/>
      <c r="FK3580" s="7"/>
    </row>
    <row r="3581" spans="1:167">
      <c r="A3581" s="571"/>
      <c r="B3581" s="1008"/>
      <c r="C3581" s="7"/>
      <c r="P3581" s="7"/>
      <c r="AX3581" s="7"/>
      <c r="BP3581" s="61"/>
      <c r="CF3581" s="104"/>
      <c r="CG3581" s="105"/>
      <c r="FK3581" s="7"/>
    </row>
    <row r="3582" spans="1:167">
      <c r="A3582" s="571"/>
      <c r="B3582" s="1008"/>
      <c r="C3582" s="7"/>
      <c r="P3582" s="7"/>
      <c r="AX3582" s="7"/>
      <c r="BP3582" s="61"/>
      <c r="CF3582" s="104"/>
      <c r="CG3582" s="105"/>
      <c r="FK3582" s="7"/>
    </row>
    <row r="3583" spans="1:167">
      <c r="A3583" s="571"/>
      <c r="B3583" s="1008"/>
      <c r="C3583" s="7"/>
      <c r="P3583" s="7"/>
      <c r="AX3583" s="7"/>
      <c r="BP3583" s="61"/>
      <c r="CF3583" s="104"/>
      <c r="CG3583" s="105"/>
      <c r="FK3583" s="7"/>
    </row>
    <row r="3584" spans="1:167">
      <c r="A3584" s="571"/>
      <c r="B3584" s="1008"/>
      <c r="C3584" s="7"/>
      <c r="P3584" s="7"/>
      <c r="AX3584" s="7"/>
      <c r="BP3584" s="61"/>
      <c r="CF3584" s="104"/>
      <c r="CG3584" s="105"/>
      <c r="FK3584" s="7"/>
    </row>
    <row r="3585" spans="1:167">
      <c r="A3585" s="571"/>
      <c r="B3585" s="1008"/>
      <c r="C3585" s="7"/>
      <c r="P3585" s="7"/>
      <c r="AX3585" s="7"/>
      <c r="BP3585" s="61"/>
      <c r="CF3585" s="104"/>
      <c r="CG3585" s="105"/>
      <c r="FK3585" s="7"/>
    </row>
    <row r="3586" spans="1:167">
      <c r="A3586" s="571"/>
      <c r="B3586" s="1008"/>
      <c r="C3586" s="7"/>
      <c r="P3586" s="7"/>
      <c r="AX3586" s="7"/>
      <c r="BP3586" s="61"/>
      <c r="CF3586" s="104"/>
      <c r="CG3586" s="105"/>
      <c r="FK3586" s="7"/>
    </row>
    <row r="3587" spans="1:167">
      <c r="A3587" s="571"/>
      <c r="B3587" s="1008"/>
      <c r="C3587" s="7"/>
      <c r="P3587" s="7"/>
      <c r="AX3587" s="7"/>
      <c r="BP3587" s="61"/>
      <c r="CF3587" s="104"/>
      <c r="CG3587" s="105"/>
      <c r="FK3587" s="7"/>
    </row>
    <row r="3588" spans="1:167">
      <c r="A3588" s="571"/>
      <c r="B3588" s="1008"/>
      <c r="C3588" s="7"/>
      <c r="P3588" s="7"/>
      <c r="AX3588" s="7"/>
      <c r="BP3588" s="61"/>
      <c r="CF3588" s="104"/>
      <c r="CG3588" s="105"/>
      <c r="FK3588" s="7"/>
    </row>
    <row r="3589" spans="1:167">
      <c r="A3589" s="571"/>
      <c r="B3589" s="1008"/>
      <c r="C3589" s="7"/>
      <c r="P3589" s="7"/>
      <c r="AX3589" s="7"/>
      <c r="BP3589" s="61"/>
      <c r="CF3589" s="104"/>
      <c r="CG3589" s="105"/>
      <c r="FK3589" s="7"/>
    </row>
    <row r="3590" spans="1:167">
      <c r="A3590" s="571"/>
      <c r="B3590" s="1008"/>
      <c r="C3590" s="7"/>
      <c r="P3590" s="7"/>
      <c r="AX3590" s="7"/>
      <c r="BP3590" s="61"/>
      <c r="CF3590" s="104"/>
      <c r="CG3590" s="105"/>
      <c r="FK3590" s="7"/>
    </row>
    <row r="3591" spans="1:167">
      <c r="A3591" s="571"/>
      <c r="B3591" s="1008"/>
      <c r="C3591" s="7"/>
      <c r="P3591" s="7"/>
      <c r="AX3591" s="7"/>
      <c r="BP3591" s="61"/>
      <c r="CF3591" s="104"/>
      <c r="CG3591" s="105"/>
      <c r="FK3591" s="7"/>
    </row>
    <row r="3592" spans="1:167">
      <c r="A3592" s="571"/>
      <c r="B3592" s="1008"/>
      <c r="C3592" s="7"/>
      <c r="P3592" s="7"/>
      <c r="AX3592" s="7"/>
      <c r="BP3592" s="61"/>
      <c r="CF3592" s="104"/>
      <c r="CG3592" s="105"/>
      <c r="FK3592" s="7"/>
    </row>
    <row r="3593" spans="1:167">
      <c r="A3593" s="571"/>
      <c r="B3593" s="1008"/>
      <c r="C3593" s="7"/>
      <c r="P3593" s="7"/>
      <c r="AX3593" s="7"/>
      <c r="BP3593" s="61"/>
      <c r="CF3593" s="104"/>
      <c r="CG3593" s="105"/>
      <c r="FK3593" s="7"/>
    </row>
    <row r="3594" spans="1:167">
      <c r="A3594" s="571"/>
      <c r="B3594" s="1008"/>
      <c r="C3594" s="7"/>
      <c r="P3594" s="7"/>
      <c r="AX3594" s="7"/>
      <c r="BP3594" s="61"/>
      <c r="CF3594" s="104"/>
      <c r="CG3594" s="105"/>
      <c r="FK3594" s="7"/>
    </row>
    <row r="3595" spans="1:167">
      <c r="A3595" s="571"/>
      <c r="B3595" s="1008"/>
      <c r="C3595" s="7"/>
      <c r="P3595" s="7"/>
      <c r="AX3595" s="7"/>
      <c r="BP3595" s="61"/>
      <c r="CF3595" s="104"/>
      <c r="CG3595" s="105"/>
      <c r="FK3595" s="7"/>
    </row>
    <row r="3596" spans="1:167">
      <c r="A3596" s="571"/>
      <c r="B3596" s="1008"/>
      <c r="C3596" s="7"/>
      <c r="P3596" s="7"/>
      <c r="AX3596" s="7"/>
      <c r="BP3596" s="61"/>
      <c r="CF3596" s="104"/>
      <c r="CG3596" s="105"/>
      <c r="FK3596" s="7"/>
    </row>
    <row r="3597" spans="1:167">
      <c r="A3597" s="571"/>
      <c r="B3597" s="1008"/>
      <c r="C3597" s="7"/>
      <c r="P3597" s="7"/>
      <c r="AX3597" s="7"/>
      <c r="BP3597" s="61"/>
      <c r="CF3597" s="104"/>
      <c r="CG3597" s="105"/>
      <c r="FK3597" s="7"/>
    </row>
    <row r="3598" spans="1:167">
      <c r="A3598" s="571"/>
      <c r="B3598" s="1008"/>
      <c r="C3598" s="7"/>
      <c r="P3598" s="7"/>
      <c r="AX3598" s="7"/>
      <c r="BP3598" s="61"/>
      <c r="CF3598" s="104"/>
      <c r="CG3598" s="105"/>
      <c r="FK3598" s="7"/>
    </row>
    <row r="3599" spans="1:167">
      <c r="A3599" s="571"/>
      <c r="B3599" s="1008"/>
      <c r="C3599" s="7"/>
      <c r="P3599" s="7"/>
      <c r="AX3599" s="7"/>
      <c r="BP3599" s="61"/>
      <c r="CF3599" s="104"/>
      <c r="CG3599" s="105"/>
      <c r="FK3599" s="7"/>
    </row>
    <row r="3600" spans="1:167">
      <c r="A3600" s="571"/>
      <c r="B3600" s="1008"/>
      <c r="C3600" s="7"/>
      <c r="P3600" s="7"/>
      <c r="AX3600" s="7"/>
      <c r="BP3600" s="61"/>
      <c r="CF3600" s="104"/>
      <c r="CG3600" s="105"/>
      <c r="FK3600" s="7"/>
    </row>
    <row r="3601" spans="1:167">
      <c r="A3601" s="571"/>
      <c r="B3601" s="1008"/>
      <c r="C3601" s="7"/>
      <c r="P3601" s="7"/>
      <c r="AX3601" s="7"/>
      <c r="BP3601" s="61"/>
      <c r="CF3601" s="104"/>
      <c r="CG3601" s="105"/>
      <c r="FK3601" s="7"/>
    </row>
    <row r="3602" spans="1:167">
      <c r="A3602" s="571"/>
      <c r="B3602" s="1008"/>
      <c r="C3602" s="7"/>
      <c r="P3602" s="7"/>
      <c r="AX3602" s="7"/>
      <c r="BP3602" s="61"/>
      <c r="CF3602" s="104"/>
      <c r="CG3602" s="105"/>
      <c r="FK3602" s="7"/>
    </row>
    <row r="3603" spans="1:167">
      <c r="A3603" s="571"/>
      <c r="B3603" s="1008"/>
      <c r="C3603" s="7"/>
      <c r="P3603" s="7"/>
      <c r="AX3603" s="7"/>
      <c r="BP3603" s="61"/>
      <c r="CF3603" s="104"/>
      <c r="CG3603" s="105"/>
      <c r="FK3603" s="7"/>
    </row>
    <row r="3604" spans="1:167">
      <c r="A3604" s="571"/>
      <c r="B3604" s="1008"/>
      <c r="C3604" s="7"/>
      <c r="P3604" s="7"/>
      <c r="AX3604" s="7"/>
      <c r="BP3604" s="61"/>
      <c r="CF3604" s="104"/>
      <c r="CG3604" s="105"/>
      <c r="FK3604" s="7"/>
    </row>
    <row r="3605" spans="1:167">
      <c r="A3605" s="571"/>
      <c r="B3605" s="1008"/>
      <c r="C3605" s="7"/>
      <c r="P3605" s="7"/>
      <c r="AX3605" s="7"/>
      <c r="BP3605" s="61"/>
      <c r="CF3605" s="104"/>
      <c r="CG3605" s="105"/>
      <c r="FK3605" s="7"/>
    </row>
    <row r="3606" spans="1:167">
      <c r="A3606" s="571"/>
      <c r="B3606" s="1008"/>
      <c r="C3606" s="7"/>
      <c r="P3606" s="7"/>
      <c r="AX3606" s="7"/>
      <c r="BP3606" s="61"/>
      <c r="CF3606" s="104"/>
      <c r="CG3606" s="105"/>
      <c r="FK3606" s="7"/>
    </row>
    <row r="3607" spans="1:167">
      <c r="A3607" s="571"/>
      <c r="B3607" s="1008"/>
      <c r="C3607" s="7"/>
      <c r="P3607" s="7"/>
      <c r="AX3607" s="7"/>
      <c r="BP3607" s="61"/>
      <c r="CF3607" s="104"/>
      <c r="CG3607" s="105"/>
      <c r="FK3607" s="7"/>
    </row>
    <row r="3608" spans="1:167">
      <c r="A3608" s="571"/>
      <c r="B3608" s="1008"/>
      <c r="C3608" s="7"/>
      <c r="P3608" s="7"/>
      <c r="AX3608" s="7"/>
      <c r="BP3608" s="61"/>
      <c r="CF3608" s="104"/>
      <c r="CG3608" s="105"/>
      <c r="FK3608" s="7"/>
    </row>
    <row r="3609" spans="1:167">
      <c r="A3609" s="571"/>
      <c r="B3609" s="1008"/>
      <c r="C3609" s="7"/>
      <c r="P3609" s="7"/>
      <c r="AX3609" s="7"/>
      <c r="BP3609" s="61"/>
      <c r="CF3609" s="104"/>
      <c r="CG3609" s="105"/>
      <c r="FK3609" s="7"/>
    </row>
    <row r="3610" spans="1:167">
      <c r="A3610" s="571"/>
      <c r="B3610" s="1008"/>
      <c r="C3610" s="7"/>
      <c r="P3610" s="7"/>
      <c r="AX3610" s="7"/>
      <c r="BP3610" s="61"/>
      <c r="CF3610" s="104"/>
      <c r="CG3610" s="105"/>
      <c r="FK3610" s="7"/>
    </row>
    <row r="3611" spans="1:167">
      <c r="A3611" s="571"/>
      <c r="B3611" s="1008"/>
      <c r="C3611" s="7"/>
      <c r="P3611" s="7"/>
      <c r="AX3611" s="7"/>
      <c r="BP3611" s="61"/>
      <c r="CF3611" s="104"/>
      <c r="CG3611" s="105"/>
      <c r="FK3611" s="7"/>
    </row>
    <row r="3612" spans="1:167">
      <c r="A3612" s="571"/>
      <c r="B3612" s="1008"/>
      <c r="C3612" s="7"/>
      <c r="P3612" s="7"/>
      <c r="AX3612" s="7"/>
      <c r="BP3612" s="61"/>
      <c r="CF3612" s="104"/>
      <c r="CG3612" s="105"/>
      <c r="FK3612" s="7"/>
    </row>
    <row r="3613" spans="1:167">
      <c r="A3613" s="571"/>
      <c r="B3613" s="1008"/>
      <c r="C3613" s="7"/>
      <c r="P3613" s="7"/>
      <c r="AX3613" s="7"/>
      <c r="BP3613" s="61"/>
      <c r="CF3613" s="104"/>
      <c r="CG3613" s="105"/>
      <c r="FK3613" s="7"/>
    </row>
    <row r="3614" spans="1:167">
      <c r="A3614" s="571"/>
      <c r="B3614" s="1008"/>
      <c r="C3614" s="7"/>
      <c r="P3614" s="7"/>
      <c r="AX3614" s="7"/>
      <c r="BP3614" s="61"/>
      <c r="CF3614" s="104"/>
      <c r="CG3614" s="105"/>
      <c r="FK3614" s="7"/>
    </row>
    <row r="3615" spans="1:167">
      <c r="A3615" s="571"/>
      <c r="B3615" s="1008"/>
      <c r="C3615" s="7"/>
      <c r="P3615" s="7"/>
      <c r="AX3615" s="7"/>
      <c r="BP3615" s="61"/>
      <c r="CF3615" s="104"/>
      <c r="CG3615" s="105"/>
      <c r="FK3615" s="7"/>
    </row>
    <row r="3616" spans="1:167">
      <c r="A3616" s="571"/>
      <c r="B3616" s="1008"/>
      <c r="C3616" s="7"/>
      <c r="P3616" s="7"/>
      <c r="AX3616" s="7"/>
      <c r="BP3616" s="61"/>
      <c r="CF3616" s="104"/>
      <c r="CG3616" s="105"/>
      <c r="FK3616" s="7"/>
    </row>
    <row r="3617" spans="1:167">
      <c r="A3617" s="571"/>
      <c r="B3617" s="1008"/>
      <c r="C3617" s="7"/>
      <c r="P3617" s="7"/>
      <c r="AX3617" s="7"/>
      <c r="BP3617" s="61"/>
      <c r="CF3617" s="104"/>
      <c r="CG3617" s="105"/>
      <c r="FK3617" s="7"/>
    </row>
    <row r="3618" spans="1:167">
      <c r="A3618" s="571"/>
      <c r="B3618" s="1008"/>
      <c r="C3618" s="7"/>
      <c r="P3618" s="7"/>
      <c r="AX3618" s="7"/>
      <c r="BP3618" s="61"/>
      <c r="CF3618" s="104"/>
      <c r="CG3618" s="105"/>
      <c r="FK3618" s="7"/>
    </row>
    <row r="3619" spans="1:167">
      <c r="A3619" s="571"/>
      <c r="B3619" s="1008"/>
      <c r="C3619" s="7"/>
      <c r="P3619" s="7"/>
      <c r="AX3619" s="7"/>
      <c r="BP3619" s="61"/>
      <c r="CF3619" s="104"/>
      <c r="CG3619" s="105"/>
      <c r="FK3619" s="7"/>
    </row>
    <row r="3620" spans="1:167">
      <c r="A3620" s="571"/>
      <c r="B3620" s="1008"/>
      <c r="C3620" s="7"/>
      <c r="P3620" s="7"/>
      <c r="AX3620" s="7"/>
      <c r="BP3620" s="61"/>
      <c r="CF3620" s="104"/>
      <c r="CG3620" s="105"/>
      <c r="FK3620" s="7"/>
    </row>
    <row r="3621" spans="1:167">
      <c r="A3621" s="571"/>
      <c r="B3621" s="1008"/>
      <c r="C3621" s="7"/>
      <c r="P3621" s="7"/>
      <c r="AX3621" s="7"/>
      <c r="BP3621" s="61"/>
      <c r="CF3621" s="104"/>
      <c r="CG3621" s="105"/>
      <c r="FK3621" s="7"/>
    </row>
    <row r="3622" spans="1:167">
      <c r="A3622" s="571"/>
      <c r="B3622" s="1008"/>
      <c r="C3622" s="7"/>
      <c r="P3622" s="7"/>
      <c r="AX3622" s="7"/>
      <c r="BP3622" s="61"/>
      <c r="CF3622" s="104"/>
      <c r="CG3622" s="105"/>
      <c r="FK3622" s="7"/>
    </row>
    <row r="3623" spans="1:167">
      <c r="A3623" s="571"/>
      <c r="B3623" s="1008"/>
      <c r="C3623" s="7"/>
      <c r="P3623" s="7"/>
      <c r="AX3623" s="7"/>
      <c r="BP3623" s="61"/>
      <c r="CF3623" s="104"/>
      <c r="CG3623" s="105"/>
      <c r="FK3623" s="7"/>
    </row>
    <row r="3624" spans="1:167">
      <c r="A3624" s="571"/>
      <c r="B3624" s="1008"/>
      <c r="C3624" s="7"/>
      <c r="P3624" s="7"/>
      <c r="AX3624" s="7"/>
      <c r="BP3624" s="61"/>
      <c r="CF3624" s="104"/>
      <c r="CG3624" s="105"/>
      <c r="FK3624" s="7"/>
    </row>
    <row r="3625" spans="1:167">
      <c r="A3625" s="571"/>
      <c r="B3625" s="1008"/>
      <c r="C3625" s="7"/>
      <c r="P3625" s="7"/>
      <c r="AX3625" s="7"/>
      <c r="BP3625" s="61"/>
      <c r="CF3625" s="104"/>
      <c r="CG3625" s="105"/>
      <c r="FK3625" s="7"/>
    </row>
    <row r="3626" spans="1:167">
      <c r="A3626" s="571"/>
      <c r="B3626" s="1008"/>
      <c r="C3626" s="7"/>
      <c r="P3626" s="7"/>
      <c r="AX3626" s="7"/>
      <c r="BP3626" s="61"/>
      <c r="CF3626" s="104"/>
      <c r="CG3626" s="105"/>
      <c r="FK3626" s="7"/>
    </row>
    <row r="3627" spans="1:167">
      <c r="A3627" s="571"/>
      <c r="B3627" s="1008"/>
      <c r="C3627" s="7"/>
      <c r="P3627" s="7"/>
      <c r="AX3627" s="7"/>
      <c r="BP3627" s="61"/>
      <c r="CF3627" s="104"/>
      <c r="CG3627" s="105"/>
      <c r="FK3627" s="7"/>
    </row>
    <row r="3628" spans="1:167">
      <c r="A3628" s="571"/>
      <c r="B3628" s="1008"/>
      <c r="C3628" s="7"/>
      <c r="P3628" s="7"/>
      <c r="AX3628" s="7"/>
      <c r="BP3628" s="61"/>
      <c r="CF3628" s="104"/>
      <c r="CG3628" s="105"/>
      <c r="FK3628" s="7"/>
    </row>
    <row r="3629" spans="1:167">
      <c r="A3629" s="571"/>
      <c r="B3629" s="1008"/>
      <c r="C3629" s="7"/>
      <c r="P3629" s="7"/>
      <c r="AX3629" s="7"/>
      <c r="BP3629" s="61"/>
      <c r="CF3629" s="104"/>
      <c r="CG3629" s="105"/>
      <c r="FK3629" s="7"/>
    </row>
    <row r="3630" spans="1:167">
      <c r="A3630" s="571"/>
      <c r="B3630" s="1008"/>
      <c r="C3630" s="7"/>
      <c r="P3630" s="7"/>
      <c r="AX3630" s="7"/>
      <c r="BP3630" s="61"/>
      <c r="CF3630" s="104"/>
      <c r="CG3630" s="105"/>
      <c r="FK3630" s="7"/>
    </row>
    <row r="3631" spans="1:167">
      <c r="A3631" s="571"/>
      <c r="B3631" s="1008"/>
      <c r="C3631" s="7"/>
      <c r="P3631" s="7"/>
      <c r="AX3631" s="7"/>
      <c r="BP3631" s="61"/>
      <c r="CF3631" s="104"/>
      <c r="CG3631" s="105"/>
      <c r="FK3631" s="7"/>
    </row>
    <row r="3632" spans="1:167">
      <c r="A3632" s="571"/>
      <c r="B3632" s="1008"/>
      <c r="C3632" s="7"/>
      <c r="P3632" s="7"/>
      <c r="AX3632" s="7"/>
      <c r="BP3632" s="61"/>
      <c r="CF3632" s="104"/>
      <c r="CG3632" s="105"/>
      <c r="FK3632" s="7"/>
    </row>
    <row r="3633" spans="1:167">
      <c r="A3633" s="571"/>
      <c r="B3633" s="1008"/>
      <c r="C3633" s="7"/>
      <c r="P3633" s="7"/>
      <c r="AX3633" s="7"/>
      <c r="BP3633" s="61"/>
      <c r="CF3633" s="104"/>
      <c r="CG3633" s="105"/>
      <c r="FK3633" s="7"/>
    </row>
    <row r="3634" spans="1:167">
      <c r="A3634" s="571"/>
      <c r="B3634" s="1008"/>
      <c r="C3634" s="7"/>
      <c r="P3634" s="7"/>
      <c r="AX3634" s="7"/>
      <c r="BP3634" s="61"/>
      <c r="CF3634" s="104"/>
      <c r="CG3634" s="105"/>
      <c r="FK3634" s="7"/>
    </row>
    <row r="3635" spans="1:167">
      <c r="A3635" s="571"/>
      <c r="B3635" s="1008"/>
      <c r="C3635" s="7"/>
      <c r="P3635" s="7"/>
      <c r="AX3635" s="7"/>
      <c r="BP3635" s="61"/>
      <c r="CF3635" s="104"/>
      <c r="CG3635" s="105"/>
      <c r="FK3635" s="7"/>
    </row>
    <row r="3636" spans="1:167">
      <c r="A3636" s="571"/>
      <c r="B3636" s="1008"/>
      <c r="C3636" s="7"/>
      <c r="P3636" s="7"/>
      <c r="AX3636" s="7"/>
      <c r="BP3636" s="61"/>
      <c r="CF3636" s="104"/>
      <c r="CG3636" s="105"/>
      <c r="FK3636" s="7"/>
    </row>
    <row r="3637" spans="1:167">
      <c r="A3637" s="571"/>
      <c r="B3637" s="1008"/>
      <c r="C3637" s="7"/>
      <c r="P3637" s="7"/>
      <c r="AX3637" s="7"/>
      <c r="BP3637" s="61"/>
      <c r="CF3637" s="104"/>
      <c r="CG3637" s="105"/>
      <c r="FK3637" s="7"/>
    </row>
    <row r="3638" spans="1:167">
      <c r="A3638" s="571"/>
      <c r="B3638" s="1008"/>
      <c r="C3638" s="7"/>
      <c r="P3638" s="7"/>
      <c r="AX3638" s="7"/>
      <c r="BP3638" s="61"/>
      <c r="CF3638" s="104"/>
      <c r="CG3638" s="105"/>
      <c r="FK3638" s="7"/>
    </row>
    <row r="3639" spans="1:167">
      <c r="A3639" s="571"/>
      <c r="B3639" s="1008"/>
      <c r="C3639" s="7"/>
      <c r="P3639" s="7"/>
      <c r="AX3639" s="7"/>
      <c r="BP3639" s="61"/>
      <c r="CF3639" s="104"/>
      <c r="CG3639" s="105"/>
      <c r="FK3639" s="7"/>
    </row>
    <row r="3640" spans="1:167">
      <c r="A3640" s="571"/>
      <c r="B3640" s="1008"/>
      <c r="C3640" s="7"/>
      <c r="P3640" s="7"/>
      <c r="AX3640" s="7"/>
      <c r="BP3640" s="61"/>
      <c r="CF3640" s="104"/>
      <c r="CG3640" s="105"/>
      <c r="FK3640" s="7"/>
    </row>
    <row r="3641" spans="1:167">
      <c r="A3641" s="571"/>
      <c r="B3641" s="1008"/>
      <c r="C3641" s="7"/>
      <c r="P3641" s="7"/>
      <c r="AX3641" s="7"/>
      <c r="BP3641" s="61"/>
      <c r="CF3641" s="104"/>
      <c r="CG3641" s="105"/>
      <c r="FK3641" s="7"/>
    </row>
    <row r="3642" spans="1:167">
      <c r="A3642" s="571"/>
      <c r="B3642" s="1008"/>
      <c r="C3642" s="7"/>
      <c r="P3642" s="7"/>
      <c r="AX3642" s="7"/>
      <c r="BP3642" s="61"/>
      <c r="CF3642" s="104"/>
      <c r="CG3642" s="105"/>
      <c r="FK3642" s="7"/>
    </row>
    <row r="3643" spans="1:167">
      <c r="A3643" s="571"/>
      <c r="B3643" s="1008"/>
      <c r="C3643" s="7"/>
      <c r="P3643" s="7"/>
      <c r="AX3643" s="7"/>
      <c r="BP3643" s="61"/>
      <c r="CF3643" s="104"/>
      <c r="CG3643" s="105"/>
      <c r="FK3643" s="7"/>
    </row>
    <row r="3644" spans="1:167">
      <c r="A3644" s="571"/>
      <c r="B3644" s="1008"/>
      <c r="C3644" s="7"/>
      <c r="P3644" s="7"/>
      <c r="AX3644" s="7"/>
      <c r="BP3644" s="61"/>
      <c r="CF3644" s="104"/>
      <c r="CG3644" s="105"/>
      <c r="FK3644" s="7"/>
    </row>
    <row r="3645" spans="1:167">
      <c r="A3645" s="571"/>
      <c r="B3645" s="1008"/>
      <c r="C3645" s="7"/>
      <c r="P3645" s="7"/>
      <c r="AX3645" s="7"/>
      <c r="BP3645" s="61"/>
      <c r="CF3645" s="104"/>
      <c r="CG3645" s="105"/>
      <c r="FK3645" s="7"/>
    </row>
    <row r="3646" spans="1:167">
      <c r="A3646" s="571"/>
      <c r="B3646" s="1008"/>
      <c r="C3646" s="7"/>
      <c r="P3646" s="7"/>
      <c r="AX3646" s="7"/>
      <c r="BP3646" s="61"/>
      <c r="CF3646" s="104"/>
      <c r="CG3646" s="105"/>
      <c r="FK3646" s="7"/>
    </row>
    <row r="3647" spans="1:167">
      <c r="A3647" s="571"/>
      <c r="B3647" s="1008"/>
      <c r="C3647" s="7"/>
      <c r="P3647" s="7"/>
      <c r="AX3647" s="7"/>
      <c r="BP3647" s="61"/>
      <c r="CF3647" s="104"/>
      <c r="CG3647" s="105"/>
      <c r="FK3647" s="7"/>
    </row>
    <row r="3648" spans="1:167">
      <c r="A3648" s="571"/>
      <c r="B3648" s="1008"/>
      <c r="C3648" s="7"/>
      <c r="P3648" s="7"/>
      <c r="AX3648" s="7"/>
      <c r="BP3648" s="61"/>
      <c r="CF3648" s="104"/>
      <c r="CG3648" s="105"/>
      <c r="FK3648" s="7"/>
    </row>
    <row r="3649" spans="1:167">
      <c r="A3649" s="571"/>
      <c r="B3649" s="1008"/>
      <c r="C3649" s="7"/>
      <c r="P3649" s="7"/>
      <c r="AX3649" s="7"/>
      <c r="BP3649" s="61"/>
      <c r="CF3649" s="104"/>
      <c r="CG3649" s="105"/>
      <c r="FK3649" s="7"/>
    </row>
    <row r="3650" spans="1:167">
      <c r="A3650" s="571"/>
      <c r="B3650" s="1008"/>
      <c r="C3650" s="7"/>
      <c r="P3650" s="7"/>
      <c r="AX3650" s="7"/>
      <c r="BP3650" s="61"/>
      <c r="CF3650" s="104"/>
      <c r="CG3650" s="105"/>
      <c r="FK3650" s="7"/>
    </row>
    <row r="3651" spans="1:167">
      <c r="A3651" s="571"/>
      <c r="B3651" s="1008"/>
      <c r="C3651" s="7"/>
      <c r="P3651" s="7"/>
      <c r="AX3651" s="7"/>
      <c r="BP3651" s="61"/>
      <c r="CF3651" s="104"/>
      <c r="CG3651" s="105"/>
      <c r="FK3651" s="7"/>
    </row>
    <row r="3652" spans="1:167">
      <c r="A3652" s="571"/>
      <c r="B3652" s="1008"/>
      <c r="C3652" s="7"/>
      <c r="P3652" s="7"/>
      <c r="AX3652" s="7"/>
      <c r="BP3652" s="61"/>
      <c r="CF3652" s="104"/>
      <c r="CG3652" s="105"/>
      <c r="FK3652" s="7"/>
    </row>
    <row r="3653" spans="1:167">
      <c r="A3653" s="571"/>
      <c r="B3653" s="1008"/>
      <c r="C3653" s="7"/>
      <c r="P3653" s="7"/>
      <c r="AX3653" s="7"/>
      <c r="BP3653" s="61"/>
      <c r="CF3653" s="104"/>
      <c r="CG3653" s="105"/>
      <c r="FK3653" s="7"/>
    </row>
    <row r="3654" spans="1:167">
      <c r="A3654" s="571"/>
      <c r="B3654" s="1008"/>
      <c r="C3654" s="7"/>
      <c r="P3654" s="7"/>
      <c r="AX3654" s="7"/>
      <c r="BP3654" s="61"/>
      <c r="CF3654" s="104"/>
      <c r="CG3654" s="105"/>
      <c r="FK3654" s="7"/>
    </row>
    <row r="3655" spans="1:167">
      <c r="A3655" s="571"/>
      <c r="B3655" s="1008"/>
      <c r="C3655" s="7"/>
      <c r="P3655" s="7"/>
      <c r="AX3655" s="7"/>
      <c r="BP3655" s="61"/>
      <c r="CF3655" s="104"/>
      <c r="CG3655" s="105"/>
      <c r="FK3655" s="7"/>
    </row>
    <row r="3656" spans="1:167">
      <c r="A3656" s="571"/>
      <c r="B3656" s="1008"/>
      <c r="C3656" s="7"/>
      <c r="P3656" s="7"/>
      <c r="AX3656" s="7"/>
      <c r="BP3656" s="61"/>
      <c r="CF3656" s="104"/>
      <c r="CG3656" s="105"/>
      <c r="FK3656" s="7"/>
    </row>
    <row r="3657" spans="1:167">
      <c r="A3657" s="571"/>
      <c r="B3657" s="1008"/>
      <c r="C3657" s="7"/>
      <c r="P3657" s="7"/>
      <c r="AX3657" s="7"/>
      <c r="BP3657" s="61"/>
      <c r="CF3657" s="104"/>
      <c r="CG3657" s="105"/>
      <c r="FK3657" s="7"/>
    </row>
    <row r="3658" spans="1:167">
      <c r="A3658" s="571"/>
      <c r="B3658" s="1008"/>
      <c r="C3658" s="7"/>
      <c r="P3658" s="7"/>
      <c r="AX3658" s="7"/>
      <c r="BP3658" s="61"/>
      <c r="CF3658" s="104"/>
      <c r="CG3658" s="105"/>
      <c r="FK3658" s="7"/>
    </row>
    <row r="3659" spans="1:167">
      <c r="A3659" s="571"/>
      <c r="B3659" s="1008"/>
      <c r="C3659" s="7"/>
      <c r="P3659" s="7"/>
      <c r="AX3659" s="7"/>
      <c r="BP3659" s="61"/>
      <c r="CF3659" s="104"/>
      <c r="CG3659" s="105"/>
      <c r="FK3659" s="7"/>
    </row>
    <row r="3660" spans="1:167">
      <c r="A3660" s="571"/>
      <c r="B3660" s="1008"/>
      <c r="C3660" s="7"/>
      <c r="P3660" s="7"/>
      <c r="AX3660" s="7"/>
      <c r="BP3660" s="61"/>
      <c r="CF3660" s="104"/>
      <c r="CG3660" s="105"/>
      <c r="FK3660" s="7"/>
    </row>
    <row r="3661" spans="1:167">
      <c r="A3661" s="571"/>
      <c r="B3661" s="1008"/>
      <c r="C3661" s="7"/>
      <c r="P3661" s="7"/>
      <c r="AX3661" s="7"/>
      <c r="BP3661" s="61"/>
      <c r="CF3661" s="104"/>
      <c r="CG3661" s="105"/>
      <c r="FK3661" s="7"/>
    </row>
    <row r="3662" spans="1:167">
      <c r="A3662" s="571"/>
      <c r="B3662" s="1008"/>
      <c r="C3662" s="7"/>
      <c r="P3662" s="7"/>
      <c r="AX3662" s="7"/>
      <c r="BP3662" s="61"/>
      <c r="CF3662" s="104"/>
      <c r="CG3662" s="105"/>
      <c r="FK3662" s="7"/>
    </row>
    <row r="3663" spans="1:167">
      <c r="A3663" s="571"/>
      <c r="B3663" s="1008"/>
      <c r="C3663" s="7"/>
      <c r="P3663" s="7"/>
      <c r="AX3663" s="7"/>
      <c r="BP3663" s="61"/>
      <c r="CF3663" s="104"/>
      <c r="CG3663" s="105"/>
      <c r="FK3663" s="7"/>
    </row>
    <row r="3664" spans="1:167">
      <c r="A3664" s="571"/>
      <c r="B3664" s="1008"/>
      <c r="C3664" s="7"/>
      <c r="P3664" s="7"/>
      <c r="AX3664" s="7"/>
      <c r="BP3664" s="61"/>
      <c r="CF3664" s="104"/>
      <c r="CG3664" s="105"/>
      <c r="FK3664" s="7"/>
    </row>
    <row r="3665" spans="1:167">
      <c r="A3665" s="571"/>
      <c r="B3665" s="1008"/>
      <c r="C3665" s="7"/>
      <c r="P3665" s="7"/>
      <c r="AX3665" s="7"/>
      <c r="BP3665" s="61"/>
      <c r="CF3665" s="104"/>
      <c r="CG3665" s="105"/>
      <c r="FK3665" s="7"/>
    </row>
    <row r="3666" spans="1:167">
      <c r="A3666" s="571"/>
      <c r="B3666" s="1008"/>
      <c r="C3666" s="7"/>
      <c r="P3666" s="7"/>
      <c r="AX3666" s="7"/>
      <c r="BP3666" s="61"/>
      <c r="CF3666" s="104"/>
      <c r="CG3666" s="105"/>
      <c r="FK3666" s="7"/>
    </row>
    <row r="3667" spans="1:167">
      <c r="A3667" s="571"/>
      <c r="B3667" s="1008"/>
      <c r="C3667" s="7"/>
      <c r="P3667" s="7"/>
      <c r="AX3667" s="7"/>
      <c r="BP3667" s="61"/>
      <c r="CF3667" s="104"/>
      <c r="CG3667" s="105"/>
      <c r="FK3667" s="7"/>
    </row>
    <row r="3668" spans="1:167">
      <c r="A3668" s="571"/>
      <c r="B3668" s="1008"/>
      <c r="C3668" s="7"/>
      <c r="P3668" s="7"/>
      <c r="AX3668" s="7"/>
      <c r="BP3668" s="61"/>
      <c r="CF3668" s="104"/>
      <c r="CG3668" s="105"/>
      <c r="FK3668" s="7"/>
    </row>
    <row r="3669" spans="1:167">
      <c r="A3669" s="571"/>
      <c r="B3669" s="1008"/>
      <c r="C3669" s="7"/>
      <c r="P3669" s="7"/>
      <c r="AX3669" s="7"/>
      <c r="BP3669" s="61"/>
      <c r="CF3669" s="104"/>
      <c r="CG3669" s="105"/>
      <c r="FK3669" s="7"/>
    </row>
    <row r="3670" spans="1:167">
      <c r="A3670" s="571"/>
      <c r="B3670" s="1008"/>
      <c r="C3670" s="7"/>
      <c r="P3670" s="7"/>
      <c r="AX3670" s="7"/>
      <c r="BP3670" s="61"/>
      <c r="CF3670" s="104"/>
      <c r="CG3670" s="105"/>
      <c r="FK3670" s="7"/>
    </row>
    <row r="3671" spans="1:167">
      <c r="A3671" s="571"/>
      <c r="B3671" s="1008"/>
      <c r="C3671" s="7"/>
      <c r="P3671" s="7"/>
      <c r="AX3671" s="7"/>
      <c r="BP3671" s="61"/>
      <c r="CF3671" s="104"/>
      <c r="CG3671" s="105"/>
      <c r="FK3671" s="7"/>
    </row>
    <row r="3672" spans="1:167">
      <c r="A3672" s="571"/>
      <c r="B3672" s="1008"/>
      <c r="C3672" s="7"/>
      <c r="P3672" s="7"/>
      <c r="AX3672" s="7"/>
      <c r="BP3672" s="61"/>
      <c r="CF3672" s="104"/>
      <c r="CG3672" s="105"/>
      <c r="FK3672" s="7"/>
    </row>
    <row r="3673" spans="1:167">
      <c r="A3673" s="571"/>
      <c r="B3673" s="1008"/>
      <c r="C3673" s="7"/>
      <c r="P3673" s="7"/>
      <c r="AX3673" s="7"/>
      <c r="BP3673" s="61"/>
      <c r="CF3673" s="104"/>
      <c r="CG3673" s="105"/>
      <c r="FK3673" s="7"/>
    </row>
    <row r="3674" spans="1:167">
      <c r="A3674" s="571"/>
      <c r="B3674" s="1008"/>
      <c r="C3674" s="7"/>
      <c r="P3674" s="7"/>
      <c r="AX3674" s="7"/>
      <c r="BP3674" s="61"/>
      <c r="CF3674" s="104"/>
      <c r="CG3674" s="105"/>
      <c r="FK3674" s="7"/>
    </row>
    <row r="3675" spans="1:167">
      <c r="A3675" s="571"/>
      <c r="B3675" s="1008"/>
      <c r="C3675" s="7"/>
      <c r="P3675" s="7"/>
      <c r="AX3675" s="7"/>
      <c r="BP3675" s="61"/>
      <c r="CF3675" s="104"/>
      <c r="CG3675" s="105"/>
      <c r="FK3675" s="7"/>
    </row>
    <row r="3676" spans="1:167">
      <c r="A3676" s="571"/>
      <c r="B3676" s="1008"/>
      <c r="C3676" s="7"/>
      <c r="P3676" s="7"/>
      <c r="AX3676" s="7"/>
      <c r="BP3676" s="61"/>
      <c r="CF3676" s="104"/>
      <c r="CG3676" s="105"/>
      <c r="FK3676" s="7"/>
    </row>
    <row r="3677" spans="1:167">
      <c r="A3677" s="571"/>
      <c r="B3677" s="1008"/>
      <c r="C3677" s="7"/>
      <c r="P3677" s="7"/>
      <c r="AX3677" s="7"/>
      <c r="BP3677" s="61"/>
      <c r="CF3677" s="104"/>
      <c r="CG3677" s="105"/>
      <c r="FK3677" s="7"/>
    </row>
    <row r="3678" spans="1:167">
      <c r="A3678" s="571"/>
      <c r="B3678" s="1008"/>
      <c r="C3678" s="7"/>
      <c r="P3678" s="7"/>
      <c r="AX3678" s="7"/>
      <c r="BP3678" s="61"/>
      <c r="CF3678" s="104"/>
      <c r="CG3678" s="105"/>
      <c r="FK3678" s="7"/>
    </row>
    <row r="3679" spans="1:167">
      <c r="A3679" s="571"/>
      <c r="B3679" s="1008"/>
      <c r="C3679" s="7"/>
      <c r="P3679" s="7"/>
      <c r="AX3679" s="7"/>
      <c r="BP3679" s="61"/>
      <c r="CF3679" s="104"/>
      <c r="CG3679" s="105"/>
      <c r="FK3679" s="7"/>
    </row>
    <row r="3680" spans="1:167">
      <c r="A3680" s="571"/>
      <c r="B3680" s="1008"/>
      <c r="C3680" s="7"/>
      <c r="P3680" s="7"/>
      <c r="AX3680" s="7"/>
      <c r="BP3680" s="61"/>
      <c r="CF3680" s="104"/>
      <c r="CG3680" s="105"/>
      <c r="FK3680" s="7"/>
    </row>
    <row r="3681" spans="1:167">
      <c r="A3681" s="571"/>
      <c r="B3681" s="1008"/>
      <c r="C3681" s="7"/>
      <c r="P3681" s="7"/>
      <c r="AX3681" s="7"/>
      <c r="BP3681" s="61"/>
      <c r="CF3681" s="104"/>
      <c r="CG3681" s="105"/>
      <c r="FK3681" s="7"/>
    </row>
    <row r="3682" spans="1:167">
      <c r="A3682" s="571"/>
      <c r="B3682" s="1008"/>
      <c r="C3682" s="7"/>
      <c r="P3682" s="7"/>
      <c r="AX3682" s="7"/>
      <c r="BP3682" s="61"/>
      <c r="CF3682" s="104"/>
      <c r="CG3682" s="105"/>
      <c r="FK3682" s="7"/>
    </row>
    <row r="3683" spans="1:167">
      <c r="A3683" s="571"/>
      <c r="B3683" s="1008"/>
      <c r="C3683" s="7"/>
      <c r="P3683" s="7"/>
      <c r="AX3683" s="7"/>
      <c r="BP3683" s="61"/>
      <c r="CF3683" s="104"/>
      <c r="CG3683" s="105"/>
      <c r="FK3683" s="7"/>
    </row>
    <row r="3684" spans="1:167">
      <c r="A3684" s="571"/>
      <c r="B3684" s="1008"/>
      <c r="C3684" s="7"/>
      <c r="P3684" s="7"/>
      <c r="AX3684" s="7"/>
      <c r="BP3684" s="61"/>
      <c r="CF3684" s="104"/>
      <c r="CG3684" s="105"/>
      <c r="FK3684" s="7"/>
    </row>
    <row r="3685" spans="1:167">
      <c r="A3685" s="571"/>
      <c r="B3685" s="1008"/>
      <c r="C3685" s="7"/>
      <c r="P3685" s="7"/>
      <c r="AX3685" s="7"/>
      <c r="BP3685" s="61"/>
      <c r="CF3685" s="104"/>
      <c r="CG3685" s="105"/>
      <c r="FK3685" s="7"/>
    </row>
    <row r="3686" spans="1:167">
      <c r="A3686" s="571"/>
      <c r="B3686" s="1008"/>
      <c r="C3686" s="7"/>
      <c r="P3686" s="7"/>
      <c r="AX3686" s="7"/>
      <c r="BP3686" s="61"/>
      <c r="CF3686" s="104"/>
      <c r="CG3686" s="105"/>
      <c r="FK3686" s="7"/>
    </row>
    <row r="3687" spans="1:167">
      <c r="A3687" s="571"/>
      <c r="B3687" s="1008"/>
      <c r="C3687" s="7"/>
      <c r="P3687" s="7"/>
      <c r="AX3687" s="7"/>
      <c r="BP3687" s="61"/>
      <c r="CF3687" s="104"/>
      <c r="CG3687" s="105"/>
      <c r="FK3687" s="7"/>
    </row>
    <row r="3688" spans="1:167">
      <c r="A3688" s="571"/>
      <c r="B3688" s="1008"/>
      <c r="C3688" s="7"/>
      <c r="P3688" s="7"/>
      <c r="AX3688" s="7"/>
      <c r="BP3688" s="61"/>
      <c r="CF3688" s="104"/>
      <c r="CG3688" s="105"/>
      <c r="FK3688" s="7"/>
    </row>
    <row r="3689" spans="1:167">
      <c r="A3689" s="571"/>
      <c r="B3689" s="1008"/>
      <c r="C3689" s="7"/>
      <c r="P3689" s="7"/>
      <c r="AX3689" s="7"/>
      <c r="BP3689" s="61"/>
      <c r="CF3689" s="104"/>
      <c r="CG3689" s="105"/>
      <c r="FK3689" s="7"/>
    </row>
    <row r="3690" spans="1:167">
      <c r="A3690" s="571"/>
      <c r="B3690" s="1008"/>
      <c r="C3690" s="7"/>
      <c r="P3690" s="7"/>
      <c r="AX3690" s="7"/>
      <c r="BP3690" s="61"/>
      <c r="CF3690" s="104"/>
      <c r="CG3690" s="105"/>
      <c r="FK3690" s="7"/>
    </row>
    <row r="3691" spans="1:167">
      <c r="A3691" s="571"/>
      <c r="B3691" s="1008"/>
      <c r="C3691" s="7"/>
      <c r="P3691" s="7"/>
      <c r="AX3691" s="7"/>
      <c r="BP3691" s="61"/>
      <c r="CF3691" s="104"/>
      <c r="CG3691" s="105"/>
      <c r="FK3691" s="7"/>
    </row>
    <row r="3692" spans="1:167">
      <c r="A3692" s="571"/>
      <c r="B3692" s="1008"/>
      <c r="C3692" s="7"/>
      <c r="P3692" s="7"/>
      <c r="AX3692" s="7"/>
      <c r="BP3692" s="61"/>
      <c r="CF3692" s="104"/>
      <c r="CG3692" s="105"/>
      <c r="FK3692" s="7"/>
    </row>
    <row r="3693" spans="1:167">
      <c r="A3693" s="571"/>
      <c r="B3693" s="1008"/>
      <c r="C3693" s="7"/>
      <c r="P3693" s="7"/>
      <c r="AX3693" s="7"/>
      <c r="BP3693" s="61"/>
      <c r="CF3693" s="104"/>
      <c r="CG3693" s="105"/>
      <c r="FK3693" s="7"/>
    </row>
    <row r="3694" spans="1:167">
      <c r="A3694" s="571"/>
      <c r="B3694" s="1008"/>
      <c r="C3694" s="7"/>
      <c r="P3694" s="7"/>
      <c r="AX3694" s="7"/>
      <c r="BP3694" s="61"/>
      <c r="CF3694" s="104"/>
      <c r="CG3694" s="105"/>
      <c r="FK3694" s="7"/>
    </row>
    <row r="3695" spans="1:167">
      <c r="A3695" s="571"/>
      <c r="B3695" s="1008"/>
      <c r="C3695" s="7"/>
      <c r="P3695" s="7"/>
      <c r="AX3695" s="7"/>
      <c r="BP3695" s="61"/>
      <c r="CF3695" s="104"/>
      <c r="CG3695" s="105"/>
      <c r="FK3695" s="7"/>
    </row>
    <row r="3696" spans="1:167">
      <c r="A3696" s="571"/>
      <c r="B3696" s="1008"/>
      <c r="C3696" s="7"/>
      <c r="P3696" s="7"/>
      <c r="AX3696" s="7"/>
      <c r="BP3696" s="61"/>
      <c r="CF3696" s="104"/>
      <c r="CG3696" s="105"/>
      <c r="FK3696" s="7"/>
    </row>
    <row r="3697" spans="1:167">
      <c r="A3697" s="571"/>
      <c r="B3697" s="1008"/>
      <c r="C3697" s="7"/>
      <c r="P3697" s="7"/>
      <c r="AX3697" s="7"/>
      <c r="BP3697" s="61"/>
      <c r="CF3697" s="104"/>
      <c r="CG3697" s="105"/>
      <c r="FK3697" s="7"/>
    </row>
    <row r="3698" spans="1:167">
      <c r="A3698" s="571"/>
      <c r="B3698" s="1008"/>
      <c r="C3698" s="7"/>
      <c r="P3698" s="7"/>
      <c r="AX3698" s="7"/>
      <c r="BP3698" s="61"/>
      <c r="CF3698" s="104"/>
      <c r="CG3698" s="105"/>
      <c r="FK3698" s="7"/>
    </row>
    <row r="3699" spans="1:167">
      <c r="A3699" s="571"/>
      <c r="B3699" s="1008"/>
      <c r="C3699" s="7"/>
      <c r="P3699" s="7"/>
      <c r="AX3699" s="7"/>
      <c r="BP3699" s="61"/>
      <c r="CF3699" s="104"/>
      <c r="CG3699" s="105"/>
      <c r="FK3699" s="7"/>
    </row>
    <row r="3700" spans="1:167">
      <c r="A3700" s="571"/>
      <c r="B3700" s="1008"/>
      <c r="C3700" s="7"/>
      <c r="P3700" s="7"/>
      <c r="AX3700" s="7"/>
      <c r="BP3700" s="61"/>
      <c r="CF3700" s="104"/>
      <c r="CG3700" s="105"/>
      <c r="FK3700" s="7"/>
    </row>
    <row r="3701" spans="1:167">
      <c r="A3701" s="571"/>
      <c r="B3701" s="1008"/>
      <c r="C3701" s="7"/>
      <c r="P3701" s="7"/>
      <c r="AX3701" s="7"/>
      <c r="BP3701" s="61"/>
      <c r="CF3701" s="104"/>
      <c r="CG3701" s="105"/>
      <c r="FK3701" s="7"/>
    </row>
    <row r="3702" spans="1:167">
      <c r="A3702" s="571"/>
      <c r="B3702" s="1008"/>
      <c r="C3702" s="7"/>
      <c r="P3702" s="7"/>
      <c r="AX3702" s="7"/>
      <c r="BP3702" s="61"/>
      <c r="CF3702" s="104"/>
      <c r="CG3702" s="105"/>
      <c r="FK3702" s="7"/>
    </row>
    <row r="3703" spans="1:167">
      <c r="A3703" s="571"/>
      <c r="B3703" s="1008"/>
      <c r="C3703" s="7"/>
      <c r="P3703" s="7"/>
      <c r="AX3703" s="7"/>
      <c r="BP3703" s="61"/>
      <c r="CF3703" s="104"/>
      <c r="CG3703" s="105"/>
      <c r="FK3703" s="7"/>
    </row>
    <row r="3704" spans="1:167">
      <c r="A3704" s="571"/>
      <c r="B3704" s="1008"/>
      <c r="C3704" s="7"/>
      <c r="P3704" s="7"/>
      <c r="AX3704" s="7"/>
      <c r="BP3704" s="61"/>
      <c r="CF3704" s="104"/>
      <c r="CG3704" s="105"/>
      <c r="FK3704" s="7"/>
    </row>
    <row r="3705" spans="1:167">
      <c r="A3705" s="571"/>
      <c r="B3705" s="1008"/>
      <c r="C3705" s="7"/>
      <c r="P3705" s="7"/>
      <c r="AX3705" s="7"/>
      <c r="BP3705" s="61"/>
      <c r="CF3705" s="104"/>
      <c r="CG3705" s="105"/>
      <c r="FK3705" s="7"/>
    </row>
    <row r="3706" spans="1:167">
      <c r="A3706" s="571"/>
      <c r="B3706" s="1008"/>
      <c r="C3706" s="7"/>
      <c r="P3706" s="7"/>
      <c r="AX3706" s="7"/>
      <c r="BP3706" s="61"/>
      <c r="CF3706" s="104"/>
      <c r="CG3706" s="105"/>
      <c r="FK3706" s="7"/>
    </row>
    <row r="3707" spans="1:167">
      <c r="A3707" s="571"/>
      <c r="B3707" s="1008"/>
      <c r="C3707" s="7"/>
      <c r="P3707" s="7"/>
      <c r="AX3707" s="7"/>
      <c r="BP3707" s="61"/>
      <c r="CF3707" s="104"/>
      <c r="CG3707" s="105"/>
      <c r="FK3707" s="7"/>
    </row>
    <row r="3708" spans="1:167">
      <c r="A3708" s="571"/>
      <c r="B3708" s="1008"/>
      <c r="C3708" s="7"/>
      <c r="P3708" s="7"/>
      <c r="AX3708" s="7"/>
      <c r="BP3708" s="61"/>
      <c r="CF3708" s="104"/>
      <c r="CG3708" s="105"/>
      <c r="FK3708" s="7"/>
    </row>
    <row r="3709" spans="1:167">
      <c r="A3709" s="571"/>
      <c r="B3709" s="1008"/>
      <c r="C3709" s="7"/>
      <c r="P3709" s="7"/>
      <c r="AX3709" s="7"/>
      <c r="BP3709" s="61"/>
      <c r="CF3709" s="104"/>
      <c r="CG3709" s="105"/>
      <c r="FK3709" s="7"/>
    </row>
    <row r="3710" spans="1:167">
      <c r="A3710" s="571"/>
      <c r="B3710" s="1008"/>
      <c r="C3710" s="7"/>
      <c r="P3710" s="7"/>
      <c r="AX3710" s="7"/>
      <c r="BP3710" s="61"/>
      <c r="CF3710" s="104"/>
      <c r="CG3710" s="105"/>
      <c r="FK3710" s="7"/>
    </row>
    <row r="3711" spans="1:167">
      <c r="A3711" s="571"/>
      <c r="B3711" s="1008"/>
      <c r="C3711" s="7"/>
      <c r="P3711" s="7"/>
      <c r="AX3711" s="7"/>
      <c r="BP3711" s="61"/>
      <c r="CF3711" s="104"/>
      <c r="CG3711" s="105"/>
      <c r="FK3711" s="7"/>
    </row>
    <row r="3712" spans="1:167">
      <c r="A3712" s="571"/>
      <c r="B3712" s="1008"/>
      <c r="C3712" s="7"/>
      <c r="P3712" s="7"/>
      <c r="AX3712" s="7"/>
      <c r="BP3712" s="61"/>
      <c r="CF3712" s="104"/>
      <c r="CG3712" s="105"/>
      <c r="FK3712" s="7"/>
    </row>
    <row r="3713" spans="1:167">
      <c r="A3713" s="571"/>
      <c r="B3713" s="1008"/>
      <c r="C3713" s="7"/>
      <c r="P3713" s="7"/>
      <c r="AX3713" s="7"/>
      <c r="BP3713" s="61"/>
      <c r="CF3713" s="104"/>
      <c r="CG3713" s="105"/>
      <c r="FK3713" s="7"/>
    </row>
    <row r="3714" spans="1:167">
      <c r="A3714" s="571"/>
      <c r="B3714" s="1008"/>
      <c r="C3714" s="7"/>
      <c r="P3714" s="7"/>
      <c r="AX3714" s="7"/>
      <c r="BP3714" s="61"/>
      <c r="CF3714" s="104"/>
      <c r="CG3714" s="105"/>
      <c r="FK3714" s="7"/>
    </row>
    <row r="3715" spans="1:167">
      <c r="A3715" s="571"/>
      <c r="B3715" s="1008"/>
      <c r="C3715" s="7"/>
      <c r="P3715" s="7"/>
      <c r="AX3715" s="7"/>
      <c r="BP3715" s="61"/>
      <c r="CF3715" s="104"/>
      <c r="CG3715" s="105"/>
      <c r="FK3715" s="7"/>
    </row>
    <row r="3716" spans="1:167">
      <c r="A3716" s="571"/>
      <c r="B3716" s="1008"/>
      <c r="C3716" s="7"/>
      <c r="P3716" s="7"/>
      <c r="AX3716" s="7"/>
      <c r="BP3716" s="61"/>
      <c r="CF3716" s="104"/>
      <c r="CG3716" s="105"/>
      <c r="FK3716" s="7"/>
    </row>
    <row r="3717" spans="1:167">
      <c r="A3717" s="571"/>
      <c r="B3717" s="1008"/>
      <c r="C3717" s="7"/>
      <c r="P3717" s="7"/>
      <c r="AX3717" s="7"/>
      <c r="BP3717" s="61"/>
      <c r="CF3717" s="104"/>
      <c r="CG3717" s="105"/>
      <c r="FK3717" s="7"/>
    </row>
    <row r="3718" spans="1:167">
      <c r="A3718" s="571"/>
      <c r="B3718" s="1008"/>
      <c r="C3718" s="7"/>
      <c r="P3718" s="7"/>
      <c r="AX3718" s="7"/>
      <c r="BP3718" s="61"/>
      <c r="CF3718" s="104"/>
      <c r="CG3718" s="105"/>
      <c r="FK3718" s="7"/>
    </row>
    <row r="3719" spans="1:167">
      <c r="A3719" s="571"/>
      <c r="B3719" s="1008"/>
      <c r="C3719" s="7"/>
      <c r="P3719" s="7"/>
      <c r="AX3719" s="7"/>
      <c r="BP3719" s="61"/>
      <c r="CF3719" s="104"/>
      <c r="CG3719" s="105"/>
      <c r="FK3719" s="7"/>
    </row>
    <row r="3720" spans="1:167">
      <c r="A3720" s="571"/>
      <c r="B3720" s="1008"/>
      <c r="C3720" s="7"/>
      <c r="P3720" s="7"/>
      <c r="AX3720" s="7"/>
      <c r="BP3720" s="61"/>
      <c r="CF3720" s="104"/>
      <c r="CG3720" s="105"/>
      <c r="FK3720" s="7"/>
    </row>
    <row r="3721" spans="1:167">
      <c r="A3721" s="571"/>
      <c r="B3721" s="1008"/>
      <c r="C3721" s="7"/>
      <c r="P3721" s="7"/>
      <c r="AX3721" s="7"/>
      <c r="BP3721" s="61"/>
      <c r="CF3721" s="104"/>
      <c r="CG3721" s="105"/>
      <c r="FK3721" s="7"/>
    </row>
    <row r="3722" spans="1:167">
      <c r="A3722" s="571"/>
      <c r="B3722" s="1008"/>
      <c r="C3722" s="7"/>
      <c r="P3722" s="7"/>
      <c r="AX3722" s="7"/>
      <c r="BP3722" s="61"/>
      <c r="CF3722" s="104"/>
      <c r="CG3722" s="105"/>
      <c r="FK3722" s="7"/>
    </row>
    <row r="3723" spans="1:167">
      <c r="A3723" s="571"/>
      <c r="B3723" s="1008"/>
      <c r="C3723" s="7"/>
      <c r="P3723" s="7"/>
      <c r="AX3723" s="7"/>
      <c r="BP3723" s="61"/>
      <c r="CF3723" s="104"/>
      <c r="CG3723" s="105"/>
      <c r="FK3723" s="7"/>
    </row>
    <row r="3724" spans="1:167">
      <c r="A3724" s="571"/>
      <c r="B3724" s="1008"/>
      <c r="C3724" s="7"/>
      <c r="P3724" s="7"/>
      <c r="AX3724" s="7"/>
      <c r="BP3724" s="61"/>
      <c r="CF3724" s="104"/>
      <c r="CG3724" s="105"/>
      <c r="FK3724" s="7"/>
    </row>
    <row r="3725" spans="1:167">
      <c r="A3725" s="571"/>
      <c r="B3725" s="1008"/>
      <c r="C3725" s="7"/>
      <c r="P3725" s="7"/>
      <c r="AX3725" s="7"/>
      <c r="BP3725" s="61"/>
      <c r="CF3725" s="104"/>
      <c r="CG3725" s="105"/>
      <c r="FK3725" s="7"/>
    </row>
    <row r="3726" spans="1:167">
      <c r="A3726" s="571"/>
      <c r="B3726" s="1008"/>
      <c r="C3726" s="7"/>
      <c r="P3726" s="7"/>
      <c r="AX3726" s="7"/>
      <c r="BP3726" s="61"/>
      <c r="CF3726" s="104"/>
      <c r="CG3726" s="105"/>
      <c r="FK3726" s="7"/>
    </row>
    <row r="3727" spans="1:167">
      <c r="A3727" s="571"/>
      <c r="B3727" s="1008"/>
      <c r="C3727" s="7"/>
      <c r="P3727" s="7"/>
      <c r="AX3727" s="7"/>
      <c r="BP3727" s="61"/>
      <c r="CF3727" s="104"/>
      <c r="CG3727" s="105"/>
      <c r="FK3727" s="7"/>
    </row>
    <row r="3728" spans="1:167">
      <c r="A3728" s="571"/>
      <c r="B3728" s="1008"/>
      <c r="C3728" s="7"/>
      <c r="P3728" s="7"/>
      <c r="AX3728" s="7"/>
      <c r="BP3728" s="61"/>
      <c r="CF3728" s="104"/>
      <c r="CG3728" s="105"/>
      <c r="FK3728" s="7"/>
    </row>
    <row r="3729" spans="1:167">
      <c r="A3729" s="571"/>
      <c r="B3729" s="1008"/>
      <c r="C3729" s="7"/>
      <c r="P3729" s="7"/>
      <c r="AX3729" s="7"/>
      <c r="BP3729" s="61"/>
      <c r="CF3729" s="104"/>
      <c r="CG3729" s="105"/>
      <c r="FK3729" s="7"/>
    </row>
    <row r="3730" spans="1:167">
      <c r="A3730" s="571"/>
      <c r="B3730" s="1008"/>
      <c r="C3730" s="7"/>
      <c r="P3730" s="7"/>
      <c r="AX3730" s="7"/>
      <c r="BP3730" s="61"/>
      <c r="CF3730" s="104"/>
      <c r="CG3730" s="105"/>
      <c r="FK3730" s="7"/>
    </row>
    <row r="3731" spans="1:167">
      <c r="A3731" s="571"/>
      <c r="B3731" s="1008"/>
      <c r="C3731" s="7"/>
      <c r="P3731" s="7"/>
      <c r="AX3731" s="7"/>
      <c r="BP3731" s="61"/>
      <c r="CF3731" s="104"/>
      <c r="CG3731" s="105"/>
      <c r="FK3731" s="7"/>
    </row>
    <row r="3732" spans="1:167">
      <c r="A3732" s="571"/>
      <c r="B3732" s="1008"/>
      <c r="C3732" s="7"/>
      <c r="P3732" s="7"/>
      <c r="AX3732" s="7"/>
      <c r="BP3732" s="61"/>
      <c r="CF3732" s="104"/>
      <c r="CG3732" s="105"/>
      <c r="FK3732" s="7"/>
    </row>
    <row r="3733" spans="1:167">
      <c r="A3733" s="571"/>
      <c r="B3733" s="1008"/>
      <c r="C3733" s="7"/>
      <c r="P3733" s="7"/>
      <c r="AX3733" s="7"/>
      <c r="BP3733" s="61"/>
      <c r="CF3733" s="104"/>
      <c r="CG3733" s="105"/>
      <c r="FK3733" s="7"/>
    </row>
    <row r="3734" spans="1:167">
      <c r="A3734" s="571"/>
      <c r="B3734" s="1008"/>
      <c r="C3734" s="7"/>
      <c r="P3734" s="7"/>
      <c r="AX3734" s="7"/>
      <c r="BP3734" s="61"/>
      <c r="CF3734" s="104"/>
      <c r="CG3734" s="105"/>
      <c r="FK3734" s="7"/>
    </row>
    <row r="3735" spans="1:167">
      <c r="A3735" s="571"/>
      <c r="B3735" s="1008"/>
      <c r="C3735" s="7"/>
      <c r="P3735" s="7"/>
      <c r="AX3735" s="7"/>
      <c r="BP3735" s="61"/>
      <c r="CF3735" s="104"/>
      <c r="CG3735" s="105"/>
      <c r="FK3735" s="7"/>
    </row>
    <row r="3736" spans="1:167">
      <c r="A3736" s="571"/>
      <c r="B3736" s="1008"/>
      <c r="C3736" s="7"/>
      <c r="P3736" s="7"/>
      <c r="AX3736" s="7"/>
      <c r="BP3736" s="61"/>
      <c r="CF3736" s="104"/>
      <c r="CG3736" s="105"/>
      <c r="FK3736" s="7"/>
    </row>
    <row r="3737" spans="1:167">
      <c r="A3737" s="571"/>
      <c r="B3737" s="1008"/>
      <c r="C3737" s="7"/>
      <c r="P3737" s="7"/>
      <c r="AX3737" s="7"/>
      <c r="BP3737" s="61"/>
      <c r="CF3737" s="104"/>
      <c r="CG3737" s="105"/>
      <c r="FK3737" s="7"/>
    </row>
    <row r="3738" spans="1:167">
      <c r="A3738" s="571"/>
      <c r="B3738" s="1008"/>
      <c r="C3738" s="7"/>
      <c r="P3738" s="7"/>
      <c r="AX3738" s="7"/>
      <c r="BP3738" s="61"/>
      <c r="CF3738" s="104"/>
      <c r="CG3738" s="105"/>
      <c r="FK3738" s="7"/>
    </row>
    <row r="3739" spans="1:167">
      <c r="A3739" s="571"/>
      <c r="B3739" s="1008"/>
      <c r="C3739" s="7"/>
      <c r="P3739" s="7"/>
      <c r="AX3739" s="7"/>
      <c r="BP3739" s="61"/>
      <c r="CF3739" s="104"/>
      <c r="CG3739" s="105"/>
      <c r="FK3739" s="7"/>
    </row>
    <row r="3740" spans="1:167">
      <c r="A3740" s="571"/>
      <c r="B3740" s="1008"/>
      <c r="C3740" s="7"/>
      <c r="P3740" s="7"/>
      <c r="AX3740" s="7"/>
      <c r="BP3740" s="61"/>
      <c r="CF3740" s="104"/>
      <c r="CG3740" s="105"/>
      <c r="FK3740" s="7"/>
    </row>
    <row r="3741" spans="1:167">
      <c r="A3741" s="571"/>
      <c r="B3741" s="1008"/>
      <c r="C3741" s="7"/>
      <c r="P3741" s="7"/>
      <c r="AX3741" s="7"/>
      <c r="BP3741" s="61"/>
      <c r="CF3741" s="104"/>
      <c r="CG3741" s="105"/>
      <c r="FK3741" s="7"/>
    </row>
    <row r="3742" spans="1:167">
      <c r="A3742" s="571"/>
      <c r="B3742" s="1008"/>
      <c r="C3742" s="7"/>
      <c r="P3742" s="7"/>
      <c r="AX3742" s="7"/>
      <c r="BP3742" s="61"/>
      <c r="CF3742" s="104"/>
      <c r="CG3742" s="105"/>
      <c r="FK3742" s="7"/>
    </row>
    <row r="3743" spans="1:167">
      <c r="A3743" s="571"/>
      <c r="B3743" s="1008"/>
      <c r="C3743" s="7"/>
      <c r="P3743" s="7"/>
      <c r="AX3743" s="7"/>
      <c r="BP3743" s="61"/>
      <c r="CF3743" s="104"/>
      <c r="CG3743" s="105"/>
      <c r="FK3743" s="7"/>
    </row>
    <row r="3744" spans="1:167">
      <c r="A3744" s="571"/>
      <c r="B3744" s="1008"/>
      <c r="C3744" s="7"/>
      <c r="P3744" s="7"/>
      <c r="AX3744" s="7"/>
      <c r="BP3744" s="61"/>
      <c r="CF3744" s="104"/>
      <c r="CG3744" s="105"/>
      <c r="FK3744" s="7"/>
    </row>
    <row r="3745" spans="1:167">
      <c r="A3745" s="571"/>
      <c r="B3745" s="1008"/>
      <c r="C3745" s="7"/>
      <c r="P3745" s="7"/>
      <c r="AX3745" s="7"/>
      <c r="BP3745" s="61"/>
      <c r="CF3745" s="104"/>
      <c r="CG3745" s="105"/>
      <c r="FK3745" s="7"/>
    </row>
    <row r="3746" spans="1:167">
      <c r="A3746" s="571"/>
      <c r="B3746" s="1008"/>
      <c r="C3746" s="7"/>
      <c r="P3746" s="7"/>
      <c r="AX3746" s="7"/>
      <c r="BP3746" s="61"/>
      <c r="CF3746" s="104"/>
      <c r="CG3746" s="105"/>
      <c r="FK3746" s="7"/>
    </row>
    <row r="3747" spans="1:167">
      <c r="A3747" s="571"/>
      <c r="B3747" s="1008"/>
      <c r="C3747" s="7"/>
      <c r="P3747" s="7"/>
      <c r="AX3747" s="7"/>
      <c r="BP3747" s="61"/>
      <c r="CF3747" s="104"/>
      <c r="CG3747" s="105"/>
      <c r="FK3747" s="7"/>
    </row>
    <row r="3748" spans="1:167">
      <c r="A3748" s="571"/>
      <c r="B3748" s="1008"/>
      <c r="C3748" s="7"/>
      <c r="P3748" s="7"/>
      <c r="AX3748" s="7"/>
      <c r="BP3748" s="61"/>
      <c r="CF3748" s="104"/>
      <c r="CG3748" s="105"/>
      <c r="FK3748" s="7"/>
    </row>
    <row r="3749" spans="1:167">
      <c r="A3749" s="571"/>
      <c r="B3749" s="1008"/>
      <c r="C3749" s="7"/>
      <c r="P3749" s="7"/>
      <c r="AX3749" s="7"/>
      <c r="BP3749" s="61"/>
      <c r="CF3749" s="104"/>
      <c r="CG3749" s="105"/>
      <c r="FK3749" s="7"/>
    </row>
    <row r="3750" spans="1:167">
      <c r="A3750" s="571"/>
      <c r="B3750" s="1008"/>
      <c r="C3750" s="7"/>
      <c r="P3750" s="7"/>
      <c r="AX3750" s="7"/>
      <c r="BP3750" s="61"/>
      <c r="CF3750" s="104"/>
      <c r="CG3750" s="105"/>
      <c r="FK3750" s="7"/>
    </row>
    <row r="3751" spans="1:167">
      <c r="A3751" s="571"/>
      <c r="B3751" s="1008"/>
      <c r="C3751" s="7"/>
      <c r="P3751" s="7"/>
      <c r="AX3751" s="7"/>
      <c r="BP3751" s="61"/>
      <c r="CF3751" s="104"/>
      <c r="CG3751" s="105"/>
      <c r="FK3751" s="7"/>
    </row>
    <row r="3752" spans="1:167">
      <c r="A3752" s="571"/>
      <c r="B3752" s="1008"/>
      <c r="C3752" s="7"/>
      <c r="P3752" s="7"/>
      <c r="AX3752" s="7"/>
      <c r="BP3752" s="61"/>
      <c r="CF3752" s="104"/>
      <c r="CG3752" s="105"/>
      <c r="FK3752" s="7"/>
    </row>
    <row r="3753" spans="1:167">
      <c r="A3753" s="571"/>
      <c r="B3753" s="1008"/>
      <c r="C3753" s="7"/>
      <c r="P3753" s="7"/>
      <c r="AX3753" s="7"/>
      <c r="BP3753" s="61"/>
      <c r="CF3753" s="104"/>
      <c r="CG3753" s="105"/>
      <c r="FK3753" s="7"/>
    </row>
    <row r="3754" spans="1:167">
      <c r="A3754" s="571"/>
      <c r="B3754" s="1008"/>
      <c r="C3754" s="7"/>
      <c r="P3754" s="7"/>
      <c r="AX3754" s="7"/>
      <c r="BP3754" s="61"/>
      <c r="CF3754" s="104"/>
      <c r="CG3754" s="105"/>
      <c r="FK3754" s="7"/>
    </row>
    <row r="3755" spans="1:167">
      <c r="A3755" s="571"/>
      <c r="B3755" s="1008"/>
      <c r="C3755" s="7"/>
      <c r="P3755" s="7"/>
      <c r="AX3755" s="7"/>
      <c r="BP3755" s="61"/>
      <c r="CF3755" s="104"/>
      <c r="CG3755" s="105"/>
      <c r="FK3755" s="7"/>
    </row>
    <row r="3756" spans="1:167">
      <c r="A3756" s="571"/>
      <c r="B3756" s="1008"/>
      <c r="C3756" s="7"/>
      <c r="P3756" s="7"/>
      <c r="AX3756" s="7"/>
      <c r="BP3756" s="61"/>
      <c r="CF3756" s="104"/>
      <c r="CG3756" s="105"/>
      <c r="FK3756" s="7"/>
    </row>
    <row r="3757" spans="1:167">
      <c r="A3757" s="571"/>
      <c r="B3757" s="1008"/>
      <c r="C3757" s="7"/>
      <c r="P3757" s="7"/>
      <c r="AX3757" s="7"/>
      <c r="BP3757" s="61"/>
      <c r="CF3757" s="104"/>
      <c r="CG3757" s="105"/>
      <c r="FK3757" s="7"/>
    </row>
    <row r="3758" spans="1:167">
      <c r="A3758" s="571"/>
      <c r="B3758" s="1008"/>
      <c r="C3758" s="7"/>
      <c r="P3758" s="7"/>
      <c r="AX3758" s="7"/>
      <c r="BP3758" s="61"/>
      <c r="CF3758" s="104"/>
      <c r="CG3758" s="105"/>
      <c r="FK3758" s="7"/>
    </row>
    <row r="3759" spans="1:167">
      <c r="A3759" s="571"/>
      <c r="B3759" s="1008"/>
      <c r="C3759" s="7"/>
      <c r="P3759" s="7"/>
      <c r="AX3759" s="7"/>
      <c r="BP3759" s="61"/>
      <c r="CF3759" s="104"/>
      <c r="CG3759" s="105"/>
      <c r="FK3759" s="7"/>
    </row>
    <row r="3760" spans="1:167">
      <c r="A3760" s="571"/>
      <c r="B3760" s="1008"/>
      <c r="C3760" s="7"/>
      <c r="P3760" s="7"/>
      <c r="AX3760" s="7"/>
      <c r="BP3760" s="61"/>
      <c r="CF3760" s="104"/>
      <c r="CG3760" s="105"/>
      <c r="FK3760" s="7"/>
    </row>
    <row r="3761" spans="1:167">
      <c r="A3761" s="571"/>
      <c r="B3761" s="1008"/>
      <c r="C3761" s="7"/>
      <c r="P3761" s="7"/>
      <c r="AX3761" s="7"/>
      <c r="BP3761" s="61"/>
      <c r="CF3761" s="104"/>
      <c r="CG3761" s="105"/>
      <c r="FK3761" s="7"/>
    </row>
    <row r="3762" spans="1:167">
      <c r="A3762" s="571"/>
      <c r="B3762" s="1008"/>
      <c r="C3762" s="7"/>
      <c r="P3762" s="7"/>
      <c r="AX3762" s="7"/>
      <c r="BP3762" s="61"/>
      <c r="CF3762" s="104"/>
      <c r="CG3762" s="105"/>
      <c r="FK3762" s="7"/>
    </row>
    <row r="3763" spans="1:167">
      <c r="A3763" s="571"/>
      <c r="B3763" s="1008"/>
      <c r="C3763" s="7"/>
      <c r="P3763" s="7"/>
      <c r="AX3763" s="7"/>
      <c r="BP3763" s="61"/>
      <c r="CF3763" s="104"/>
      <c r="CG3763" s="105"/>
      <c r="FK3763" s="7"/>
    </row>
    <row r="3764" spans="1:167">
      <c r="A3764" s="571"/>
      <c r="B3764" s="1008"/>
      <c r="C3764" s="7"/>
      <c r="P3764" s="7"/>
      <c r="AX3764" s="7"/>
      <c r="BP3764" s="61"/>
      <c r="CF3764" s="104"/>
      <c r="CG3764" s="105"/>
      <c r="FK3764" s="7"/>
    </row>
    <row r="3765" spans="1:167">
      <c r="A3765" s="571"/>
      <c r="B3765" s="1008"/>
      <c r="C3765" s="7"/>
      <c r="P3765" s="7"/>
      <c r="AX3765" s="7"/>
      <c r="BP3765" s="61"/>
      <c r="CF3765" s="104"/>
      <c r="CG3765" s="105"/>
      <c r="FK3765" s="7"/>
    </row>
    <row r="3766" spans="1:167">
      <c r="A3766" s="571"/>
      <c r="B3766" s="1008"/>
      <c r="C3766" s="7"/>
      <c r="P3766" s="7"/>
      <c r="AX3766" s="7"/>
      <c r="BP3766" s="61"/>
      <c r="CF3766" s="104"/>
      <c r="CG3766" s="105"/>
      <c r="FK3766" s="7"/>
    </row>
    <row r="3767" spans="1:167">
      <c r="A3767" s="571"/>
      <c r="B3767" s="1008"/>
      <c r="C3767" s="7"/>
      <c r="P3767" s="7"/>
      <c r="AX3767" s="7"/>
      <c r="BP3767" s="61"/>
      <c r="CF3767" s="104"/>
      <c r="CG3767" s="105"/>
      <c r="FK3767" s="7"/>
    </row>
    <row r="3768" spans="1:167">
      <c r="A3768" s="571"/>
      <c r="B3768" s="1008"/>
      <c r="C3768" s="7"/>
      <c r="P3768" s="7"/>
      <c r="AX3768" s="7"/>
      <c r="BP3768" s="61"/>
      <c r="CF3768" s="104"/>
      <c r="CG3768" s="105"/>
      <c r="FK3768" s="7"/>
    </row>
    <row r="3769" spans="1:167">
      <c r="A3769" s="571"/>
      <c r="B3769" s="1008"/>
      <c r="C3769" s="7"/>
      <c r="P3769" s="7"/>
      <c r="AX3769" s="7"/>
      <c r="BP3769" s="61"/>
      <c r="CF3769" s="104"/>
      <c r="CG3769" s="105"/>
      <c r="FK3769" s="7"/>
    </row>
    <row r="3770" spans="1:167">
      <c r="A3770" s="571"/>
      <c r="B3770" s="1008"/>
      <c r="C3770" s="7"/>
      <c r="P3770" s="7"/>
      <c r="AX3770" s="7"/>
      <c r="BP3770" s="61"/>
      <c r="CF3770" s="104"/>
      <c r="CG3770" s="105"/>
      <c r="FK3770" s="7"/>
    </row>
    <row r="3771" spans="1:167">
      <c r="A3771" s="571"/>
      <c r="B3771" s="1008"/>
      <c r="C3771" s="7"/>
      <c r="P3771" s="7"/>
      <c r="AX3771" s="7"/>
      <c r="BP3771" s="61"/>
      <c r="CF3771" s="104"/>
      <c r="CG3771" s="105"/>
      <c r="FK3771" s="7"/>
    </row>
    <row r="3772" spans="1:167">
      <c r="A3772" s="571"/>
      <c r="B3772" s="1008"/>
      <c r="C3772" s="7"/>
      <c r="P3772" s="7"/>
      <c r="AX3772" s="7"/>
      <c r="BP3772" s="61"/>
      <c r="CF3772" s="104"/>
      <c r="CG3772" s="105"/>
      <c r="FK3772" s="7"/>
    </row>
    <row r="3773" spans="1:167">
      <c r="A3773" s="571"/>
      <c r="B3773" s="1008"/>
      <c r="C3773" s="7"/>
      <c r="P3773" s="7"/>
      <c r="AX3773" s="7"/>
      <c r="BP3773" s="61"/>
      <c r="CF3773" s="104"/>
      <c r="CG3773" s="105"/>
      <c r="FK3773" s="7"/>
    </row>
    <row r="3774" spans="1:167">
      <c r="A3774" s="571"/>
      <c r="B3774" s="1008"/>
      <c r="C3774" s="7"/>
      <c r="P3774" s="7"/>
      <c r="AX3774" s="7"/>
      <c r="BP3774" s="61"/>
      <c r="CF3774" s="104"/>
      <c r="CG3774" s="105"/>
      <c r="FK3774" s="7"/>
    </row>
    <row r="3775" spans="1:167">
      <c r="A3775" s="571"/>
      <c r="B3775" s="1008"/>
      <c r="C3775" s="7"/>
      <c r="P3775" s="7"/>
      <c r="AX3775" s="7"/>
      <c r="BP3775" s="61"/>
      <c r="CF3775" s="104"/>
      <c r="CG3775" s="105"/>
      <c r="FK3775" s="7"/>
    </row>
    <row r="3776" spans="1:167">
      <c r="A3776" s="571"/>
      <c r="B3776" s="1008"/>
      <c r="C3776" s="7"/>
      <c r="P3776" s="7"/>
      <c r="AX3776" s="7"/>
      <c r="BP3776" s="61"/>
      <c r="CF3776" s="104"/>
      <c r="CG3776" s="105"/>
      <c r="FK3776" s="7"/>
    </row>
    <row r="3777" spans="1:167">
      <c r="A3777" s="571"/>
      <c r="B3777" s="1008"/>
      <c r="C3777" s="7"/>
      <c r="P3777" s="7"/>
      <c r="AX3777" s="7"/>
      <c r="BP3777" s="61"/>
      <c r="CF3777" s="104"/>
      <c r="CG3777" s="105"/>
      <c r="FK3777" s="7"/>
    </row>
    <row r="3778" spans="1:167">
      <c r="A3778" s="571"/>
      <c r="B3778" s="1008"/>
      <c r="C3778" s="7"/>
      <c r="P3778" s="7"/>
      <c r="AX3778" s="7"/>
      <c r="BP3778" s="61"/>
      <c r="CF3778" s="104"/>
      <c r="CG3778" s="105"/>
      <c r="FK3778" s="7"/>
    </row>
    <row r="3779" spans="1:167">
      <c r="A3779" s="571"/>
      <c r="B3779" s="1008"/>
      <c r="C3779" s="7"/>
      <c r="P3779" s="7"/>
      <c r="AX3779" s="7"/>
      <c r="BP3779" s="61"/>
      <c r="CF3779" s="104"/>
      <c r="CG3779" s="105"/>
      <c r="FK3779" s="7"/>
    </row>
    <row r="3780" spans="1:167">
      <c r="A3780" s="571"/>
      <c r="B3780" s="1008"/>
      <c r="C3780" s="7"/>
      <c r="P3780" s="7"/>
      <c r="AX3780" s="7"/>
      <c r="BP3780" s="61"/>
      <c r="CF3780" s="104"/>
      <c r="CG3780" s="105"/>
      <c r="FK3780" s="7"/>
    </row>
    <row r="3781" spans="1:167">
      <c r="A3781" s="571"/>
      <c r="B3781" s="1008"/>
      <c r="C3781" s="7"/>
      <c r="P3781" s="7"/>
      <c r="AX3781" s="7"/>
      <c r="BP3781" s="61"/>
      <c r="CF3781" s="104"/>
      <c r="CG3781" s="105"/>
      <c r="FK3781" s="7"/>
    </row>
    <row r="3782" spans="1:167">
      <c r="A3782" s="571"/>
      <c r="B3782" s="1008"/>
      <c r="C3782" s="7"/>
      <c r="P3782" s="7"/>
      <c r="AX3782" s="7"/>
      <c r="BP3782" s="61"/>
      <c r="CF3782" s="104"/>
      <c r="CG3782" s="105"/>
      <c r="FK3782" s="7"/>
    </row>
    <row r="3783" spans="1:167">
      <c r="A3783" s="571"/>
      <c r="B3783" s="1008"/>
      <c r="C3783" s="7"/>
      <c r="P3783" s="7"/>
      <c r="AX3783" s="7"/>
      <c r="BP3783" s="61"/>
      <c r="CF3783" s="104"/>
      <c r="CG3783" s="105"/>
      <c r="FK3783" s="7"/>
    </row>
    <row r="3784" spans="1:167">
      <c r="A3784" s="571"/>
      <c r="B3784" s="1008"/>
      <c r="C3784" s="7"/>
      <c r="P3784" s="7"/>
      <c r="AX3784" s="7"/>
      <c r="BP3784" s="61"/>
      <c r="CF3784" s="104"/>
      <c r="CG3784" s="105"/>
      <c r="FK3784" s="7"/>
    </row>
    <row r="3785" spans="1:167">
      <c r="A3785" s="571"/>
      <c r="B3785" s="1008"/>
      <c r="C3785" s="7"/>
      <c r="P3785" s="7"/>
      <c r="AX3785" s="7"/>
      <c r="BP3785" s="61"/>
      <c r="CF3785" s="104"/>
      <c r="CG3785" s="105"/>
      <c r="FK3785" s="7"/>
    </row>
    <row r="3786" spans="1:167">
      <c r="A3786" s="571"/>
      <c r="B3786" s="1008"/>
      <c r="C3786" s="7"/>
      <c r="P3786" s="7"/>
      <c r="AX3786" s="7"/>
      <c r="BP3786" s="61"/>
      <c r="CF3786" s="104"/>
      <c r="CG3786" s="105"/>
      <c r="FK3786" s="7"/>
    </row>
    <row r="3787" spans="1:167">
      <c r="A3787" s="571"/>
      <c r="B3787" s="1008"/>
      <c r="C3787" s="7"/>
      <c r="P3787" s="7"/>
      <c r="AX3787" s="7"/>
      <c r="BP3787" s="61"/>
      <c r="CF3787" s="104"/>
      <c r="CG3787" s="105"/>
      <c r="FK3787" s="7"/>
    </row>
    <row r="3788" spans="1:167">
      <c r="A3788" s="571"/>
      <c r="B3788" s="1008"/>
      <c r="C3788" s="7"/>
      <c r="P3788" s="7"/>
      <c r="AX3788" s="7"/>
      <c r="BP3788" s="61"/>
      <c r="CF3788" s="104"/>
      <c r="CG3788" s="105"/>
      <c r="FK3788" s="7"/>
    </row>
    <row r="3789" spans="1:167">
      <c r="A3789" s="571"/>
      <c r="B3789" s="1008"/>
      <c r="C3789" s="7"/>
      <c r="P3789" s="7"/>
      <c r="AX3789" s="7"/>
      <c r="BP3789" s="61"/>
      <c r="CF3789" s="104"/>
      <c r="CG3789" s="105"/>
      <c r="FK3789" s="7"/>
    </row>
    <row r="3790" spans="1:167">
      <c r="A3790" s="571"/>
      <c r="B3790" s="1008"/>
      <c r="C3790" s="7"/>
      <c r="P3790" s="7"/>
      <c r="AX3790" s="7"/>
      <c r="BP3790" s="61"/>
      <c r="CF3790" s="104"/>
      <c r="CG3790" s="105"/>
      <c r="FK3790" s="7"/>
    </row>
    <row r="3791" spans="1:167">
      <c r="A3791" s="571"/>
      <c r="B3791" s="1008"/>
      <c r="C3791" s="7"/>
      <c r="P3791" s="7"/>
      <c r="AX3791" s="7"/>
      <c r="BP3791" s="61"/>
      <c r="CF3791" s="104"/>
      <c r="CG3791" s="105"/>
      <c r="FK3791" s="7"/>
    </row>
    <row r="3792" spans="1:167">
      <c r="A3792" s="571"/>
      <c r="B3792" s="1008"/>
      <c r="C3792" s="7"/>
      <c r="P3792" s="7"/>
      <c r="AX3792" s="7"/>
      <c r="BP3792" s="61"/>
      <c r="CF3792" s="104"/>
      <c r="CG3792" s="105"/>
      <c r="FK3792" s="7"/>
    </row>
    <row r="3793" spans="1:167">
      <c r="A3793" s="571"/>
      <c r="B3793" s="1008"/>
      <c r="C3793" s="7"/>
      <c r="P3793" s="7"/>
      <c r="AX3793" s="7"/>
      <c r="BP3793" s="61"/>
      <c r="CF3793" s="104"/>
      <c r="CG3793" s="105"/>
      <c r="FK3793" s="7"/>
    </row>
    <row r="3794" spans="1:167">
      <c r="A3794" s="571"/>
      <c r="B3794" s="1008"/>
      <c r="C3794" s="7"/>
      <c r="P3794" s="7"/>
      <c r="AX3794" s="7"/>
      <c r="BP3794" s="61"/>
      <c r="CF3794" s="104"/>
      <c r="CG3794" s="105"/>
      <c r="FK3794" s="7"/>
    </row>
    <row r="3795" spans="1:167">
      <c r="A3795" s="571"/>
      <c r="B3795" s="1008"/>
      <c r="C3795" s="7"/>
      <c r="P3795" s="7"/>
      <c r="AX3795" s="7"/>
      <c r="BP3795" s="61"/>
      <c r="CF3795" s="104"/>
      <c r="CG3795" s="105"/>
      <c r="FK3795" s="7"/>
    </row>
    <row r="3796" spans="1:167">
      <c r="A3796" s="571"/>
      <c r="B3796" s="1008"/>
      <c r="C3796" s="7"/>
      <c r="P3796" s="7"/>
      <c r="AX3796" s="7"/>
      <c r="BP3796" s="61"/>
      <c r="CF3796" s="104"/>
      <c r="CG3796" s="105"/>
      <c r="FK3796" s="7"/>
    </row>
    <row r="3797" spans="1:167">
      <c r="A3797" s="571"/>
      <c r="B3797" s="1008"/>
      <c r="C3797" s="7"/>
      <c r="P3797" s="7"/>
      <c r="AX3797" s="7"/>
      <c r="BP3797" s="61"/>
      <c r="CF3797" s="104"/>
      <c r="CG3797" s="105"/>
      <c r="FK3797" s="7"/>
    </row>
    <row r="3798" spans="1:167">
      <c r="A3798" s="571"/>
      <c r="B3798" s="1008"/>
      <c r="C3798" s="7"/>
      <c r="P3798" s="7"/>
      <c r="AX3798" s="7"/>
      <c r="BP3798" s="61"/>
      <c r="CF3798" s="104"/>
      <c r="CG3798" s="105"/>
      <c r="FK3798" s="7"/>
    </row>
    <row r="3799" spans="1:167">
      <c r="A3799" s="571"/>
      <c r="B3799" s="1008"/>
      <c r="C3799" s="7"/>
      <c r="P3799" s="7"/>
      <c r="AX3799" s="7"/>
      <c r="BP3799" s="61"/>
      <c r="CF3799" s="104"/>
      <c r="CG3799" s="105"/>
      <c r="FK3799" s="7"/>
    </row>
    <row r="3800" spans="1:167">
      <c r="A3800" s="571"/>
      <c r="B3800" s="1008"/>
      <c r="C3800" s="7"/>
      <c r="P3800" s="7"/>
      <c r="AX3800" s="7"/>
      <c r="BP3800" s="61"/>
      <c r="CF3800" s="104"/>
      <c r="CG3800" s="105"/>
      <c r="FK3800" s="7"/>
    </row>
    <row r="3801" spans="1:167">
      <c r="A3801" s="571"/>
      <c r="B3801" s="1008"/>
      <c r="C3801" s="7"/>
      <c r="P3801" s="7"/>
      <c r="AX3801" s="7"/>
      <c r="BP3801" s="61"/>
      <c r="CF3801" s="104"/>
      <c r="CG3801" s="105"/>
      <c r="FK3801" s="7"/>
    </row>
    <row r="3802" spans="1:167">
      <c r="A3802" s="571"/>
      <c r="B3802" s="1008"/>
      <c r="C3802" s="7"/>
      <c r="P3802" s="7"/>
      <c r="AX3802" s="7"/>
      <c r="BP3802" s="61"/>
      <c r="CF3802" s="104"/>
      <c r="CG3802" s="105"/>
      <c r="FK3802" s="7"/>
    </row>
    <row r="3803" spans="1:167">
      <c r="A3803" s="571"/>
      <c r="B3803" s="1008"/>
      <c r="C3803" s="7"/>
      <c r="P3803" s="7"/>
      <c r="AX3803" s="7"/>
      <c r="BP3803" s="61"/>
      <c r="CF3803" s="104"/>
      <c r="CG3803" s="105"/>
      <c r="FK3803" s="7"/>
    </row>
    <row r="3804" spans="1:167">
      <c r="A3804" s="571"/>
      <c r="B3804" s="1008"/>
      <c r="C3804" s="7"/>
      <c r="P3804" s="7"/>
      <c r="AX3804" s="7"/>
      <c r="BP3804" s="61"/>
      <c r="CF3804" s="104"/>
      <c r="CG3804" s="105"/>
      <c r="FK3804" s="7"/>
    </row>
    <row r="3805" spans="1:167">
      <c r="A3805" s="571"/>
      <c r="B3805" s="1008"/>
      <c r="C3805" s="7"/>
      <c r="P3805" s="7"/>
      <c r="AX3805" s="7"/>
      <c r="BP3805" s="61"/>
      <c r="CF3805" s="104"/>
      <c r="CG3805" s="105"/>
      <c r="FK3805" s="7"/>
    </row>
    <row r="3806" spans="1:167">
      <c r="A3806" s="571"/>
      <c r="B3806" s="1008"/>
      <c r="C3806" s="7"/>
      <c r="P3806" s="7"/>
      <c r="AX3806" s="7"/>
      <c r="BP3806" s="61"/>
      <c r="CF3806" s="104"/>
      <c r="CG3806" s="105"/>
      <c r="FK3806" s="7"/>
    </row>
    <row r="3807" spans="1:167">
      <c r="A3807" s="571"/>
      <c r="B3807" s="1008"/>
      <c r="C3807" s="7"/>
      <c r="P3807" s="7"/>
      <c r="AX3807" s="7"/>
      <c r="BP3807" s="61"/>
      <c r="CF3807" s="104"/>
      <c r="CG3807" s="105"/>
      <c r="FK3807" s="7"/>
    </row>
    <row r="3808" spans="1:167">
      <c r="A3808" s="571"/>
      <c r="B3808" s="1008"/>
      <c r="C3808" s="7"/>
      <c r="P3808" s="7"/>
      <c r="AX3808" s="7"/>
      <c r="BP3808" s="61"/>
      <c r="CF3808" s="104"/>
      <c r="CG3808" s="105"/>
      <c r="FK3808" s="7"/>
    </row>
    <row r="3809" spans="1:167">
      <c r="A3809" s="571"/>
      <c r="B3809" s="1008"/>
      <c r="C3809" s="7"/>
      <c r="P3809" s="7"/>
      <c r="AX3809" s="7"/>
      <c r="BP3809" s="61"/>
      <c r="CF3809" s="104"/>
      <c r="CG3809" s="105"/>
      <c r="FK3809" s="7"/>
    </row>
    <row r="3810" spans="1:167">
      <c r="A3810" s="571"/>
      <c r="B3810" s="1008"/>
      <c r="C3810" s="7"/>
      <c r="P3810" s="7"/>
      <c r="AX3810" s="7"/>
      <c r="BP3810" s="61"/>
      <c r="CF3810" s="104"/>
      <c r="CG3810" s="105"/>
      <c r="FK3810" s="7"/>
    </row>
    <row r="3811" spans="1:167">
      <c r="A3811" s="571"/>
      <c r="B3811" s="1008"/>
      <c r="C3811" s="7"/>
      <c r="P3811" s="7"/>
      <c r="AX3811" s="7"/>
      <c r="BP3811" s="61"/>
      <c r="CF3811" s="104"/>
      <c r="CG3811" s="105"/>
      <c r="FK3811" s="7"/>
    </row>
    <row r="3812" spans="1:167">
      <c r="A3812" s="571"/>
      <c r="B3812" s="1008"/>
      <c r="C3812" s="7"/>
      <c r="P3812" s="7"/>
      <c r="AX3812" s="7"/>
      <c r="BP3812" s="61"/>
      <c r="CF3812" s="104"/>
      <c r="CG3812" s="105"/>
      <c r="FK3812" s="7"/>
    </row>
    <row r="3813" spans="1:167">
      <c r="A3813" s="571"/>
      <c r="B3813" s="1008"/>
      <c r="C3813" s="7"/>
      <c r="P3813" s="7"/>
      <c r="AX3813" s="7"/>
      <c r="BP3813" s="61"/>
      <c r="CF3813" s="104"/>
      <c r="CG3813" s="105"/>
      <c r="FK3813" s="7"/>
    </row>
    <row r="3814" spans="1:167">
      <c r="A3814" s="571"/>
      <c r="B3814" s="1008"/>
      <c r="C3814" s="7"/>
      <c r="P3814" s="7"/>
      <c r="AX3814" s="7"/>
      <c r="BP3814" s="61"/>
      <c r="CF3814" s="104"/>
      <c r="CG3814" s="105"/>
      <c r="FK3814" s="7"/>
    </row>
    <row r="3815" spans="1:167">
      <c r="A3815" s="571"/>
      <c r="B3815" s="1008"/>
      <c r="C3815" s="7"/>
      <c r="P3815" s="7"/>
      <c r="AX3815" s="7"/>
      <c r="BP3815" s="61"/>
      <c r="CF3815" s="104"/>
      <c r="CG3815" s="105"/>
      <c r="FK3815" s="7"/>
    </row>
    <row r="3816" spans="1:167">
      <c r="A3816" s="571"/>
      <c r="B3816" s="1008"/>
      <c r="C3816" s="7"/>
      <c r="P3816" s="7"/>
      <c r="AX3816" s="7"/>
      <c r="BP3816" s="61"/>
      <c r="CF3816" s="104"/>
      <c r="CG3816" s="105"/>
      <c r="FK3816" s="7"/>
    </row>
    <row r="3817" spans="1:167">
      <c r="A3817" s="571"/>
      <c r="B3817" s="1008"/>
      <c r="C3817" s="7"/>
      <c r="P3817" s="7"/>
      <c r="AX3817" s="7"/>
      <c r="BP3817" s="61"/>
      <c r="CF3817" s="104"/>
      <c r="CG3817" s="105"/>
      <c r="FK3817" s="7"/>
    </row>
    <row r="3818" spans="1:167">
      <c r="A3818" s="571"/>
      <c r="B3818" s="1008"/>
      <c r="C3818" s="7"/>
      <c r="P3818" s="7"/>
      <c r="AX3818" s="7"/>
      <c r="BP3818" s="61"/>
      <c r="CF3818" s="104"/>
      <c r="CG3818" s="105"/>
      <c r="FK3818" s="7"/>
    </row>
    <row r="3819" spans="1:167">
      <c r="A3819" s="571"/>
      <c r="B3819" s="1008"/>
      <c r="C3819" s="7"/>
      <c r="P3819" s="7"/>
      <c r="AX3819" s="7"/>
      <c r="BP3819" s="61"/>
      <c r="CF3819" s="104"/>
      <c r="CG3819" s="105"/>
      <c r="FK3819" s="7"/>
    </row>
    <row r="3820" spans="1:167">
      <c r="A3820" s="571"/>
      <c r="B3820" s="1008"/>
      <c r="C3820" s="7"/>
      <c r="P3820" s="7"/>
      <c r="AX3820" s="7"/>
      <c r="BP3820" s="61"/>
      <c r="CF3820" s="104"/>
      <c r="CG3820" s="105"/>
      <c r="FK3820" s="7"/>
    </row>
    <row r="3821" spans="1:167">
      <c r="A3821" s="571"/>
      <c r="B3821" s="1008"/>
      <c r="C3821" s="7"/>
      <c r="P3821" s="7"/>
      <c r="AX3821" s="7"/>
      <c r="BP3821" s="61"/>
      <c r="CF3821" s="104"/>
      <c r="CG3821" s="105"/>
      <c r="FK3821" s="7"/>
    </row>
    <row r="3822" spans="1:167">
      <c r="A3822" s="571"/>
      <c r="B3822" s="1008"/>
      <c r="C3822" s="7"/>
      <c r="P3822" s="7"/>
      <c r="AX3822" s="7"/>
      <c r="BP3822" s="61"/>
      <c r="CF3822" s="104"/>
      <c r="CG3822" s="105"/>
      <c r="FK3822" s="7"/>
    </row>
    <row r="3823" spans="1:167">
      <c r="A3823" s="571"/>
      <c r="B3823" s="1008"/>
      <c r="C3823" s="7"/>
      <c r="P3823" s="7"/>
      <c r="AX3823" s="7"/>
      <c r="BP3823" s="61"/>
      <c r="CF3823" s="104"/>
      <c r="CG3823" s="105"/>
      <c r="FK3823" s="7"/>
    </row>
    <row r="3824" spans="1:167">
      <c r="A3824" s="571"/>
      <c r="B3824" s="1008"/>
      <c r="C3824" s="7"/>
      <c r="P3824" s="7"/>
      <c r="AX3824" s="7"/>
      <c r="BP3824" s="61"/>
      <c r="CF3824" s="104"/>
      <c r="CG3824" s="105"/>
      <c r="FK3824" s="7"/>
    </row>
    <row r="3825" spans="1:167">
      <c r="A3825" s="571"/>
      <c r="B3825" s="1008"/>
      <c r="C3825" s="7"/>
      <c r="P3825" s="7"/>
      <c r="AX3825" s="7"/>
      <c r="BP3825" s="61"/>
      <c r="CF3825" s="104"/>
      <c r="CG3825" s="105"/>
      <c r="FK3825" s="7"/>
    </row>
    <row r="3826" spans="1:167">
      <c r="A3826" s="571"/>
      <c r="B3826" s="1008"/>
      <c r="C3826" s="7"/>
      <c r="P3826" s="7"/>
      <c r="AX3826" s="7"/>
      <c r="BP3826" s="61"/>
      <c r="CF3826" s="104"/>
      <c r="CG3826" s="105"/>
      <c r="FK3826" s="7"/>
    </row>
    <row r="3827" spans="1:167">
      <c r="A3827" s="571"/>
      <c r="B3827" s="1008"/>
      <c r="C3827" s="7"/>
      <c r="P3827" s="7"/>
      <c r="AX3827" s="7"/>
      <c r="BP3827" s="61"/>
      <c r="CF3827" s="104"/>
      <c r="CG3827" s="105"/>
      <c r="FK3827" s="7"/>
    </row>
    <row r="3828" spans="1:167">
      <c r="A3828" s="571"/>
      <c r="B3828" s="1008"/>
      <c r="C3828" s="7"/>
      <c r="P3828" s="7"/>
      <c r="AX3828" s="7"/>
      <c r="BP3828" s="61"/>
      <c r="CF3828" s="104"/>
      <c r="CG3828" s="105"/>
      <c r="FK3828" s="7"/>
    </row>
    <row r="3829" spans="1:167">
      <c r="A3829" s="571"/>
      <c r="B3829" s="1008"/>
      <c r="C3829" s="7"/>
      <c r="P3829" s="7"/>
      <c r="AX3829" s="7"/>
      <c r="BP3829" s="61"/>
      <c r="CF3829" s="104"/>
      <c r="CG3829" s="105"/>
      <c r="FK3829" s="7"/>
    </row>
    <row r="3830" spans="1:167">
      <c r="A3830" s="571"/>
      <c r="B3830" s="1008"/>
      <c r="C3830" s="7"/>
      <c r="P3830" s="7"/>
      <c r="AX3830" s="7"/>
      <c r="BP3830" s="61"/>
      <c r="CF3830" s="104"/>
      <c r="CG3830" s="105"/>
      <c r="FK3830" s="7"/>
    </row>
    <row r="3831" spans="1:167">
      <c r="A3831" s="571"/>
      <c r="B3831" s="1008"/>
      <c r="C3831" s="7"/>
      <c r="P3831" s="7"/>
      <c r="AX3831" s="7"/>
      <c r="BP3831" s="61"/>
      <c r="CF3831" s="104"/>
      <c r="CG3831" s="105"/>
      <c r="FK3831" s="7"/>
    </row>
    <row r="3832" spans="1:167">
      <c r="A3832" s="571"/>
      <c r="B3832" s="1008"/>
      <c r="C3832" s="7"/>
      <c r="P3832" s="7"/>
      <c r="AX3832" s="7"/>
      <c r="BP3832" s="61"/>
      <c r="CF3832" s="104"/>
      <c r="CG3832" s="105"/>
      <c r="FK3832" s="7"/>
    </row>
    <row r="3833" spans="1:167">
      <c r="A3833" s="571"/>
      <c r="B3833" s="1008"/>
      <c r="C3833" s="7"/>
      <c r="P3833" s="7"/>
      <c r="AX3833" s="7"/>
      <c r="BP3833" s="61"/>
      <c r="CF3833" s="104"/>
      <c r="CG3833" s="105"/>
      <c r="FK3833" s="7"/>
    </row>
    <row r="3834" spans="1:167">
      <c r="A3834" s="571"/>
      <c r="B3834" s="1008"/>
      <c r="C3834" s="7"/>
      <c r="P3834" s="7"/>
      <c r="AX3834" s="7"/>
      <c r="BP3834" s="61"/>
      <c r="CF3834" s="104"/>
      <c r="CG3834" s="105"/>
      <c r="FK3834" s="7"/>
    </row>
    <row r="3835" spans="1:167">
      <c r="A3835" s="571"/>
      <c r="B3835" s="1008"/>
      <c r="C3835" s="7"/>
      <c r="P3835" s="7"/>
      <c r="AX3835" s="7"/>
      <c r="BP3835" s="61"/>
      <c r="CF3835" s="104"/>
      <c r="CG3835" s="105"/>
      <c r="FK3835" s="7"/>
    </row>
    <row r="3836" spans="1:167">
      <c r="A3836" s="571"/>
      <c r="B3836" s="1008"/>
      <c r="C3836" s="7"/>
      <c r="P3836" s="7"/>
      <c r="AX3836" s="7"/>
      <c r="BP3836" s="61"/>
      <c r="CF3836" s="104"/>
      <c r="CG3836" s="105"/>
      <c r="FK3836" s="7"/>
    </row>
    <row r="3837" spans="1:167">
      <c r="A3837" s="571"/>
      <c r="B3837" s="1008"/>
      <c r="C3837" s="7"/>
      <c r="P3837" s="7"/>
      <c r="AX3837" s="7"/>
      <c r="BP3837" s="61"/>
      <c r="CF3837" s="104"/>
      <c r="CG3837" s="105"/>
      <c r="FK3837" s="7"/>
    </row>
    <row r="3838" spans="1:167">
      <c r="A3838" s="571"/>
      <c r="B3838" s="1008"/>
      <c r="C3838" s="7"/>
      <c r="P3838" s="7"/>
      <c r="AX3838" s="7"/>
      <c r="BP3838" s="61"/>
      <c r="CF3838" s="104"/>
      <c r="CG3838" s="105"/>
      <c r="FK3838" s="7"/>
    </row>
    <row r="3839" spans="1:167">
      <c r="A3839" s="571"/>
      <c r="B3839" s="1008"/>
      <c r="C3839" s="7"/>
      <c r="P3839" s="7"/>
      <c r="AX3839" s="7"/>
      <c r="BP3839" s="61"/>
      <c r="CF3839" s="104"/>
      <c r="CG3839" s="105"/>
      <c r="FK3839" s="7"/>
    </row>
    <row r="3840" spans="1:167">
      <c r="A3840" s="571"/>
      <c r="B3840" s="1008"/>
      <c r="C3840" s="7"/>
      <c r="P3840" s="7"/>
      <c r="AX3840" s="7"/>
      <c r="BP3840" s="61"/>
      <c r="CF3840" s="104"/>
      <c r="CG3840" s="105"/>
      <c r="FK3840" s="7"/>
    </row>
    <row r="3841" spans="1:167">
      <c r="A3841" s="571"/>
      <c r="B3841" s="1008"/>
      <c r="C3841" s="7"/>
      <c r="P3841" s="7"/>
      <c r="AX3841" s="7"/>
      <c r="BP3841" s="61"/>
      <c r="CF3841" s="104"/>
      <c r="CG3841" s="105"/>
      <c r="FK3841" s="7"/>
    </row>
    <row r="3842" spans="1:167">
      <c r="A3842" s="571"/>
      <c r="B3842" s="1008"/>
      <c r="C3842" s="7"/>
      <c r="P3842" s="7"/>
      <c r="AX3842" s="7"/>
      <c r="BP3842" s="61"/>
      <c r="CF3842" s="104"/>
      <c r="CG3842" s="105"/>
      <c r="FK3842" s="7"/>
    </row>
    <row r="3843" spans="1:167">
      <c r="A3843" s="571"/>
      <c r="B3843" s="1008"/>
      <c r="C3843" s="7"/>
      <c r="P3843" s="7"/>
      <c r="AX3843" s="7"/>
      <c r="BP3843" s="61"/>
      <c r="CF3843" s="104"/>
      <c r="CG3843" s="105"/>
      <c r="FK3843" s="7"/>
    </row>
    <row r="3844" spans="1:167">
      <c r="A3844" s="571"/>
      <c r="B3844" s="1008"/>
      <c r="C3844" s="7"/>
      <c r="P3844" s="7"/>
      <c r="AX3844" s="7"/>
      <c r="BP3844" s="61"/>
      <c r="CF3844" s="104"/>
      <c r="CG3844" s="105"/>
      <c r="FK3844" s="7"/>
    </row>
    <row r="3845" spans="1:167">
      <c r="A3845" s="571"/>
      <c r="B3845" s="1008"/>
      <c r="C3845" s="7"/>
      <c r="P3845" s="7"/>
      <c r="AX3845" s="7"/>
      <c r="BP3845" s="61"/>
      <c r="CF3845" s="104"/>
      <c r="CG3845" s="105"/>
      <c r="FK3845" s="7"/>
    </row>
    <row r="3846" spans="1:167">
      <c r="A3846" s="571"/>
      <c r="B3846" s="1008"/>
      <c r="C3846" s="7"/>
      <c r="P3846" s="7"/>
      <c r="AX3846" s="7"/>
      <c r="BP3846" s="61"/>
      <c r="CF3846" s="104"/>
      <c r="CG3846" s="105"/>
      <c r="FK3846" s="7"/>
    </row>
    <row r="3847" spans="1:167">
      <c r="A3847" s="571"/>
      <c r="B3847" s="1008"/>
      <c r="C3847" s="7"/>
      <c r="P3847" s="7"/>
      <c r="AX3847" s="7"/>
      <c r="BP3847" s="61"/>
      <c r="CF3847" s="104"/>
      <c r="CG3847" s="105"/>
      <c r="FK3847" s="7"/>
    </row>
    <row r="3848" spans="1:167">
      <c r="A3848" s="571"/>
      <c r="B3848" s="1008"/>
      <c r="C3848" s="7"/>
      <c r="P3848" s="7"/>
      <c r="AX3848" s="7"/>
      <c r="BP3848" s="61"/>
      <c r="CF3848" s="104"/>
      <c r="CG3848" s="105"/>
      <c r="FK3848" s="7"/>
    </row>
    <row r="3849" spans="1:167">
      <c r="A3849" s="571"/>
      <c r="B3849" s="1008"/>
      <c r="C3849" s="7"/>
      <c r="P3849" s="7"/>
      <c r="AX3849" s="7"/>
      <c r="BP3849" s="61"/>
      <c r="CF3849" s="104"/>
      <c r="CG3849" s="105"/>
      <c r="FK3849" s="7"/>
    </row>
    <row r="3850" spans="1:167">
      <c r="A3850" s="571"/>
      <c r="B3850" s="1008"/>
      <c r="C3850" s="7"/>
      <c r="P3850" s="7"/>
      <c r="AX3850" s="7"/>
      <c r="BP3850" s="61"/>
      <c r="CF3850" s="104"/>
      <c r="CG3850" s="105"/>
      <c r="FK3850" s="7"/>
    </row>
    <row r="3851" spans="1:167">
      <c r="A3851" s="571"/>
      <c r="B3851" s="1008"/>
      <c r="C3851" s="7"/>
      <c r="P3851" s="7"/>
      <c r="AX3851" s="7"/>
      <c r="BP3851" s="61"/>
      <c r="CF3851" s="104"/>
      <c r="CG3851" s="105"/>
      <c r="FK3851" s="7"/>
    </row>
    <row r="3852" spans="1:167">
      <c r="A3852" s="571"/>
      <c r="B3852" s="1008"/>
      <c r="C3852" s="7"/>
      <c r="P3852" s="7"/>
      <c r="AX3852" s="7"/>
      <c r="BP3852" s="61"/>
      <c r="CF3852" s="104"/>
      <c r="CG3852" s="105"/>
      <c r="FK3852" s="7"/>
    </row>
    <row r="3853" spans="1:167">
      <c r="A3853" s="571"/>
      <c r="B3853" s="1008"/>
      <c r="C3853" s="7"/>
      <c r="P3853" s="7"/>
      <c r="AX3853" s="7"/>
      <c r="BP3853" s="61"/>
      <c r="CF3853" s="104"/>
      <c r="CG3853" s="105"/>
      <c r="FK3853" s="7"/>
    </row>
    <row r="3854" spans="1:167">
      <c r="A3854" s="571"/>
      <c r="B3854" s="1008"/>
      <c r="C3854" s="7"/>
      <c r="P3854" s="7"/>
      <c r="AX3854" s="7"/>
      <c r="BP3854" s="61"/>
      <c r="CF3854" s="104"/>
      <c r="CG3854" s="105"/>
      <c r="FK3854" s="7"/>
    </row>
    <row r="3855" spans="1:167">
      <c r="A3855" s="571"/>
      <c r="B3855" s="1008"/>
      <c r="C3855" s="7"/>
      <c r="P3855" s="7"/>
      <c r="AX3855" s="7"/>
      <c r="BP3855" s="61"/>
      <c r="CF3855" s="104"/>
      <c r="CG3855" s="105"/>
      <c r="FK3855" s="7"/>
    </row>
    <row r="3856" spans="1:167">
      <c r="A3856" s="571"/>
      <c r="B3856" s="1008"/>
      <c r="C3856" s="7"/>
      <c r="P3856" s="7"/>
      <c r="AX3856" s="7"/>
      <c r="BP3856" s="61"/>
      <c r="CF3856" s="104"/>
      <c r="CG3856" s="105"/>
      <c r="FK3856" s="7"/>
    </row>
    <row r="3857" spans="1:167">
      <c r="A3857" s="571"/>
      <c r="B3857" s="1008"/>
      <c r="C3857" s="7"/>
      <c r="P3857" s="7"/>
      <c r="AX3857" s="7"/>
      <c r="BP3857" s="61"/>
      <c r="CF3857" s="104"/>
      <c r="CG3857" s="105"/>
      <c r="FK3857" s="7"/>
    </row>
    <row r="3858" spans="1:167">
      <c r="A3858" s="571"/>
      <c r="B3858" s="1008"/>
      <c r="C3858" s="7"/>
      <c r="P3858" s="7"/>
      <c r="AX3858" s="7"/>
      <c r="BP3858" s="61"/>
      <c r="CF3858" s="104"/>
      <c r="CG3858" s="105"/>
      <c r="FK3858" s="7"/>
    </row>
    <row r="3859" spans="1:167">
      <c r="A3859" s="571"/>
      <c r="B3859" s="1008"/>
      <c r="C3859" s="7"/>
      <c r="P3859" s="7"/>
      <c r="AX3859" s="7"/>
      <c r="BP3859" s="61"/>
      <c r="CF3859" s="104"/>
      <c r="CG3859" s="105"/>
      <c r="FK3859" s="7"/>
    </row>
    <row r="3860" spans="1:167">
      <c r="A3860" s="571"/>
      <c r="B3860" s="1008"/>
      <c r="C3860" s="7"/>
      <c r="P3860" s="7"/>
      <c r="AX3860" s="7"/>
      <c r="BP3860" s="61"/>
      <c r="CF3860" s="104"/>
      <c r="CG3860" s="105"/>
      <c r="FK3860" s="7"/>
    </row>
    <row r="3861" spans="1:167">
      <c r="A3861" s="571"/>
      <c r="B3861" s="1008"/>
      <c r="C3861" s="7"/>
      <c r="P3861" s="7"/>
      <c r="AX3861" s="7"/>
      <c r="BP3861" s="61"/>
      <c r="CF3861" s="104"/>
      <c r="CG3861" s="105"/>
      <c r="FK3861" s="7"/>
    </row>
    <row r="3862" spans="1:167">
      <c r="A3862" s="571"/>
      <c r="B3862" s="1008"/>
      <c r="C3862" s="7"/>
      <c r="P3862" s="7"/>
      <c r="AX3862" s="7"/>
      <c r="BP3862" s="61"/>
      <c r="CF3862" s="104"/>
      <c r="CG3862" s="105"/>
      <c r="FK3862" s="7"/>
    </row>
    <row r="3863" spans="1:167">
      <c r="A3863" s="571"/>
      <c r="B3863" s="1008"/>
      <c r="C3863" s="7"/>
      <c r="P3863" s="7"/>
      <c r="AX3863" s="7"/>
      <c r="BP3863" s="61"/>
      <c r="CF3863" s="104"/>
      <c r="CG3863" s="105"/>
      <c r="FK3863" s="7"/>
    </row>
    <row r="3864" spans="1:167">
      <c r="A3864" s="571"/>
      <c r="B3864" s="1008"/>
      <c r="C3864" s="7"/>
      <c r="P3864" s="7"/>
      <c r="AX3864" s="7"/>
      <c r="BP3864" s="61"/>
      <c r="CF3864" s="104"/>
      <c r="CG3864" s="105"/>
      <c r="FK3864" s="7"/>
    </row>
    <row r="3865" spans="1:167">
      <c r="A3865" s="571"/>
      <c r="B3865" s="1008"/>
      <c r="C3865" s="7"/>
      <c r="P3865" s="7"/>
      <c r="AX3865" s="7"/>
      <c r="BP3865" s="61"/>
      <c r="CF3865" s="104"/>
      <c r="CG3865" s="105"/>
      <c r="FK3865" s="7"/>
    </row>
    <row r="3866" spans="1:167">
      <c r="A3866" s="571"/>
      <c r="B3866" s="1008"/>
      <c r="C3866" s="7"/>
      <c r="P3866" s="7"/>
      <c r="AX3866" s="7"/>
      <c r="BP3866" s="61"/>
      <c r="CF3866" s="104"/>
      <c r="CG3866" s="105"/>
      <c r="FK3866" s="7"/>
    </row>
    <row r="3867" spans="1:167">
      <c r="A3867" s="571"/>
      <c r="B3867" s="1008"/>
      <c r="C3867" s="7"/>
      <c r="P3867" s="7"/>
      <c r="AX3867" s="7"/>
      <c r="BP3867" s="61"/>
      <c r="CF3867" s="104"/>
      <c r="CG3867" s="105"/>
      <c r="FK3867" s="7"/>
    </row>
    <row r="3868" spans="1:167">
      <c r="A3868" s="571"/>
      <c r="B3868" s="1008"/>
      <c r="C3868" s="7"/>
      <c r="P3868" s="7"/>
      <c r="AX3868" s="7"/>
      <c r="BP3868" s="61"/>
      <c r="CF3868" s="104"/>
      <c r="CG3868" s="105"/>
      <c r="FK3868" s="7"/>
    </row>
    <row r="3869" spans="1:167">
      <c r="A3869" s="571"/>
      <c r="B3869" s="1008"/>
      <c r="C3869" s="7"/>
      <c r="P3869" s="7"/>
      <c r="AX3869" s="7"/>
      <c r="BP3869" s="61"/>
      <c r="CF3869" s="104"/>
      <c r="CG3869" s="105"/>
      <c r="FK3869" s="7"/>
    </row>
    <row r="3870" spans="1:167">
      <c r="A3870" s="571"/>
      <c r="B3870" s="1008"/>
      <c r="C3870" s="7"/>
      <c r="P3870" s="7"/>
      <c r="AX3870" s="7"/>
      <c r="BP3870" s="61"/>
      <c r="CF3870" s="104"/>
      <c r="CG3870" s="105"/>
      <c r="FK3870" s="7"/>
    </row>
    <row r="3871" spans="1:167">
      <c r="A3871" s="571"/>
      <c r="B3871" s="1008"/>
      <c r="C3871" s="7"/>
      <c r="P3871" s="7"/>
      <c r="AX3871" s="7"/>
      <c r="BP3871" s="61"/>
      <c r="CF3871" s="104"/>
      <c r="CG3871" s="105"/>
      <c r="FK3871" s="7"/>
    </row>
    <row r="3872" spans="1:167">
      <c r="A3872" s="571"/>
      <c r="B3872" s="1008"/>
      <c r="C3872" s="7"/>
      <c r="P3872" s="7"/>
      <c r="AX3872" s="7"/>
      <c r="BP3872" s="61"/>
      <c r="CF3872" s="104"/>
      <c r="CG3872" s="105"/>
      <c r="FK3872" s="7"/>
    </row>
    <row r="3873" spans="1:167">
      <c r="A3873" s="571"/>
      <c r="B3873" s="1008"/>
      <c r="C3873" s="7"/>
      <c r="P3873" s="7"/>
      <c r="AX3873" s="7"/>
      <c r="BP3873" s="61"/>
      <c r="CF3873" s="104"/>
      <c r="CG3873" s="105"/>
      <c r="FK3873" s="7"/>
    </row>
    <row r="3874" spans="1:167">
      <c r="A3874" s="571"/>
      <c r="B3874" s="1008"/>
      <c r="C3874" s="7"/>
      <c r="P3874" s="7"/>
      <c r="AX3874" s="7"/>
      <c r="BP3874" s="61"/>
      <c r="CF3874" s="104"/>
      <c r="CG3874" s="105"/>
      <c r="FK3874" s="7"/>
    </row>
    <row r="3875" spans="1:167">
      <c r="A3875" s="571"/>
      <c r="B3875" s="1008"/>
      <c r="C3875" s="7"/>
      <c r="P3875" s="7"/>
      <c r="AX3875" s="7"/>
      <c r="BP3875" s="61"/>
      <c r="CF3875" s="104"/>
      <c r="CG3875" s="105"/>
      <c r="FK3875" s="7"/>
    </row>
    <row r="3876" spans="1:167">
      <c r="A3876" s="571"/>
      <c r="B3876" s="1008"/>
      <c r="C3876" s="7"/>
      <c r="P3876" s="7"/>
      <c r="AX3876" s="7"/>
      <c r="BP3876" s="61"/>
      <c r="CF3876" s="104"/>
      <c r="CG3876" s="105"/>
      <c r="FK3876" s="7"/>
    </row>
    <row r="3877" spans="1:167">
      <c r="A3877" s="571"/>
      <c r="B3877" s="1008"/>
      <c r="C3877" s="7"/>
      <c r="P3877" s="7"/>
      <c r="AX3877" s="7"/>
      <c r="BP3877" s="61"/>
      <c r="CF3877" s="104"/>
      <c r="CG3877" s="105"/>
      <c r="FK3877" s="7"/>
    </row>
    <row r="3878" spans="1:167">
      <c r="A3878" s="571"/>
      <c r="B3878" s="1008"/>
      <c r="C3878" s="7"/>
      <c r="P3878" s="7"/>
      <c r="AX3878" s="7"/>
      <c r="BP3878" s="61"/>
      <c r="CF3878" s="104"/>
      <c r="CG3878" s="105"/>
      <c r="FK3878" s="7"/>
    </row>
    <row r="3879" spans="1:167">
      <c r="A3879" s="571"/>
      <c r="B3879" s="1008"/>
      <c r="C3879" s="7"/>
      <c r="P3879" s="7"/>
      <c r="AX3879" s="7"/>
      <c r="BP3879" s="61"/>
      <c r="CF3879" s="104"/>
      <c r="CG3879" s="105"/>
      <c r="FK3879" s="7"/>
    </row>
    <row r="3880" spans="1:167">
      <c r="A3880" s="571"/>
      <c r="B3880" s="1008"/>
      <c r="C3880" s="7"/>
      <c r="P3880" s="7"/>
      <c r="AX3880" s="7"/>
      <c r="BP3880" s="61"/>
      <c r="CF3880" s="104"/>
      <c r="CG3880" s="105"/>
      <c r="FK3880" s="7"/>
    </row>
    <row r="3881" spans="1:167">
      <c r="A3881" s="571"/>
      <c r="B3881" s="1008"/>
      <c r="C3881" s="7"/>
      <c r="P3881" s="7"/>
      <c r="AX3881" s="7"/>
      <c r="BP3881" s="61"/>
      <c r="CF3881" s="104"/>
      <c r="CG3881" s="105"/>
      <c r="FK3881" s="7"/>
    </row>
    <row r="3882" spans="1:167">
      <c r="A3882" s="571"/>
      <c r="B3882" s="1008"/>
      <c r="C3882" s="7"/>
      <c r="P3882" s="7"/>
      <c r="AX3882" s="7"/>
      <c r="BP3882" s="61"/>
      <c r="CF3882" s="104"/>
      <c r="CG3882" s="105"/>
      <c r="FK3882" s="7"/>
    </row>
    <row r="3883" spans="1:167">
      <c r="A3883" s="571"/>
      <c r="B3883" s="1008"/>
      <c r="C3883" s="7"/>
      <c r="P3883" s="7"/>
      <c r="AX3883" s="7"/>
      <c r="BP3883" s="61"/>
      <c r="CF3883" s="104"/>
      <c r="CG3883" s="105"/>
      <c r="FK3883" s="7"/>
    </row>
    <row r="3884" spans="1:167">
      <c r="A3884" s="571"/>
      <c r="B3884" s="1008"/>
      <c r="C3884" s="7"/>
      <c r="P3884" s="7"/>
      <c r="AX3884" s="7"/>
      <c r="BP3884" s="61"/>
      <c r="CF3884" s="104"/>
      <c r="CG3884" s="105"/>
      <c r="FK3884" s="7"/>
    </row>
    <row r="3885" spans="1:167">
      <c r="A3885" s="571"/>
      <c r="B3885" s="1008"/>
      <c r="C3885" s="7"/>
      <c r="P3885" s="7"/>
      <c r="AX3885" s="7"/>
      <c r="BP3885" s="61"/>
      <c r="CF3885" s="104"/>
      <c r="CG3885" s="105"/>
      <c r="FK3885" s="7"/>
    </row>
    <row r="3886" spans="1:167">
      <c r="A3886" s="571"/>
      <c r="B3886" s="1008"/>
      <c r="C3886" s="7"/>
      <c r="P3886" s="7"/>
      <c r="AX3886" s="7"/>
      <c r="BP3886" s="61"/>
      <c r="CF3886" s="104"/>
      <c r="CG3886" s="105"/>
      <c r="FK3886" s="7"/>
    </row>
    <row r="3887" spans="1:167">
      <c r="A3887" s="571"/>
      <c r="B3887" s="1008"/>
      <c r="C3887" s="7"/>
      <c r="P3887" s="7"/>
      <c r="AX3887" s="7"/>
      <c r="BP3887" s="61"/>
      <c r="CF3887" s="104"/>
      <c r="CG3887" s="105"/>
      <c r="FK3887" s="7"/>
    </row>
    <row r="3888" spans="1:167">
      <c r="A3888" s="571"/>
      <c r="B3888" s="1008"/>
      <c r="C3888" s="7"/>
      <c r="P3888" s="7"/>
      <c r="AX3888" s="7"/>
      <c r="BP3888" s="61"/>
      <c r="CF3888" s="104"/>
      <c r="CG3888" s="105"/>
      <c r="FK3888" s="7"/>
    </row>
    <row r="3889" spans="1:167">
      <c r="A3889" s="571"/>
      <c r="B3889" s="1008"/>
      <c r="C3889" s="7"/>
      <c r="P3889" s="7"/>
      <c r="AX3889" s="7"/>
      <c r="BP3889" s="61"/>
      <c r="CF3889" s="104"/>
      <c r="CG3889" s="105"/>
      <c r="FK3889" s="7"/>
    </row>
    <row r="3890" spans="1:167">
      <c r="A3890" s="571"/>
      <c r="B3890" s="1008"/>
      <c r="C3890" s="7"/>
      <c r="P3890" s="7"/>
      <c r="AX3890" s="7"/>
      <c r="BP3890" s="61"/>
      <c r="CF3890" s="104"/>
      <c r="CG3890" s="105"/>
      <c r="FK3890" s="7"/>
    </row>
    <row r="3891" spans="1:167">
      <c r="A3891" s="571"/>
      <c r="B3891" s="1008"/>
      <c r="C3891" s="7"/>
      <c r="P3891" s="7"/>
      <c r="AX3891" s="7"/>
      <c r="BP3891" s="61"/>
      <c r="CF3891" s="104"/>
      <c r="CG3891" s="105"/>
      <c r="FK3891" s="7"/>
    </row>
    <row r="3892" spans="1:167">
      <c r="A3892" s="571"/>
      <c r="B3892" s="1008"/>
      <c r="C3892" s="7"/>
      <c r="P3892" s="7"/>
      <c r="AX3892" s="7"/>
      <c r="BP3892" s="61"/>
      <c r="CF3892" s="104"/>
      <c r="CG3892" s="105"/>
      <c r="FK3892" s="7"/>
    </row>
    <row r="3893" spans="1:167">
      <c r="A3893" s="571"/>
      <c r="B3893" s="1008"/>
      <c r="C3893" s="7"/>
      <c r="P3893" s="7"/>
      <c r="AX3893" s="7"/>
      <c r="BP3893" s="61"/>
      <c r="CF3893" s="104"/>
      <c r="CG3893" s="105"/>
      <c r="FK3893" s="7"/>
    </row>
    <row r="3894" spans="1:167">
      <c r="A3894" s="571"/>
      <c r="B3894" s="1008"/>
      <c r="C3894" s="7"/>
      <c r="P3894" s="7"/>
      <c r="AX3894" s="7"/>
      <c r="BP3894" s="61"/>
      <c r="CF3894" s="104"/>
      <c r="CG3894" s="105"/>
      <c r="FK3894" s="7"/>
    </row>
    <row r="3895" spans="1:167">
      <c r="A3895" s="571"/>
      <c r="B3895" s="1008"/>
      <c r="C3895" s="7"/>
      <c r="P3895" s="7"/>
      <c r="AX3895" s="7"/>
      <c r="BP3895" s="61"/>
      <c r="CF3895" s="104"/>
      <c r="CG3895" s="105"/>
      <c r="FK3895" s="7"/>
    </row>
    <row r="3896" spans="1:167">
      <c r="A3896" s="571"/>
      <c r="B3896" s="1008"/>
      <c r="C3896" s="7"/>
      <c r="P3896" s="7"/>
      <c r="AX3896" s="7"/>
      <c r="BP3896" s="61"/>
      <c r="CF3896" s="104"/>
      <c r="CG3896" s="105"/>
      <c r="FK3896" s="7"/>
    </row>
    <row r="3897" spans="1:167">
      <c r="A3897" s="571"/>
      <c r="B3897" s="1008"/>
      <c r="C3897" s="7"/>
      <c r="P3897" s="7"/>
      <c r="AX3897" s="7"/>
      <c r="BP3897" s="61"/>
      <c r="CF3897" s="104"/>
      <c r="CG3897" s="105"/>
      <c r="FK3897" s="7"/>
    </row>
    <row r="3898" spans="1:167">
      <c r="A3898" s="571"/>
      <c r="B3898" s="1008"/>
      <c r="C3898" s="7"/>
      <c r="P3898" s="7"/>
      <c r="AX3898" s="7"/>
      <c r="BP3898" s="61"/>
      <c r="CF3898" s="104"/>
      <c r="CG3898" s="105"/>
      <c r="FK3898" s="7"/>
    </row>
    <row r="3899" spans="1:167">
      <c r="A3899" s="571"/>
      <c r="B3899" s="1008"/>
      <c r="C3899" s="7"/>
      <c r="P3899" s="7"/>
      <c r="AX3899" s="7"/>
      <c r="BP3899" s="61"/>
      <c r="CF3899" s="104"/>
      <c r="CG3899" s="105"/>
      <c r="FK3899" s="7"/>
    </row>
    <row r="3900" spans="1:167">
      <c r="A3900" s="571"/>
      <c r="B3900" s="1008"/>
      <c r="C3900" s="7"/>
      <c r="P3900" s="7"/>
      <c r="AX3900" s="7"/>
      <c r="BP3900" s="61"/>
      <c r="CF3900" s="104"/>
      <c r="CG3900" s="105"/>
      <c r="FK3900" s="7"/>
    </row>
    <row r="3901" spans="1:167">
      <c r="A3901" s="571"/>
      <c r="B3901" s="1008"/>
      <c r="C3901" s="7"/>
      <c r="P3901" s="7"/>
      <c r="AX3901" s="7"/>
      <c r="BP3901" s="61"/>
      <c r="CF3901" s="104"/>
      <c r="CG3901" s="105"/>
      <c r="FK3901" s="7"/>
    </row>
    <row r="3902" spans="1:167">
      <c r="A3902" s="571"/>
      <c r="B3902" s="1008"/>
      <c r="C3902" s="7"/>
      <c r="P3902" s="7"/>
      <c r="AX3902" s="7"/>
      <c r="BP3902" s="61"/>
      <c r="CF3902" s="104"/>
      <c r="CG3902" s="105"/>
      <c r="FK3902" s="7"/>
    </row>
    <row r="3903" spans="1:167">
      <c r="A3903" s="571"/>
      <c r="B3903" s="1008"/>
      <c r="C3903" s="7"/>
      <c r="P3903" s="7"/>
      <c r="AX3903" s="7"/>
      <c r="BP3903" s="61"/>
      <c r="CF3903" s="104"/>
      <c r="CG3903" s="105"/>
      <c r="FK3903" s="7"/>
    </row>
    <row r="3904" spans="1:167">
      <c r="A3904" s="571"/>
      <c r="B3904" s="1008"/>
      <c r="C3904" s="7"/>
      <c r="P3904" s="7"/>
      <c r="AX3904" s="7"/>
      <c r="BP3904" s="61"/>
      <c r="CF3904" s="104"/>
      <c r="CG3904" s="105"/>
      <c r="FK3904" s="7"/>
    </row>
    <row r="3905" spans="1:167">
      <c r="A3905" s="571"/>
      <c r="B3905" s="1008"/>
      <c r="C3905" s="7"/>
      <c r="P3905" s="7"/>
      <c r="AX3905" s="7"/>
      <c r="BP3905" s="61"/>
      <c r="CF3905" s="104"/>
      <c r="CG3905" s="105"/>
      <c r="FK3905" s="7"/>
    </row>
    <row r="3906" spans="1:167">
      <c r="A3906" s="571"/>
      <c r="B3906" s="1008"/>
      <c r="C3906" s="7"/>
      <c r="P3906" s="7"/>
      <c r="AX3906" s="7"/>
      <c r="BP3906" s="61"/>
      <c r="CF3906" s="104"/>
      <c r="CG3906" s="105"/>
      <c r="FK3906" s="7"/>
    </row>
    <row r="3907" spans="1:167">
      <c r="A3907" s="571"/>
      <c r="B3907" s="1008"/>
      <c r="C3907" s="7"/>
      <c r="P3907" s="7"/>
      <c r="AX3907" s="7"/>
      <c r="BP3907" s="61"/>
      <c r="CF3907" s="104"/>
      <c r="CG3907" s="105"/>
      <c r="FK3907" s="7"/>
    </row>
    <row r="3908" spans="1:167">
      <c r="A3908" s="571"/>
      <c r="B3908" s="1008"/>
      <c r="C3908" s="7"/>
      <c r="P3908" s="7"/>
      <c r="AX3908" s="7"/>
      <c r="BP3908" s="61"/>
      <c r="CF3908" s="104"/>
      <c r="CG3908" s="105"/>
      <c r="FK3908" s="7"/>
    </row>
    <row r="3909" spans="1:167">
      <c r="A3909" s="571"/>
      <c r="B3909" s="1008"/>
      <c r="C3909" s="7"/>
      <c r="P3909" s="7"/>
      <c r="AX3909" s="7"/>
      <c r="BP3909" s="61"/>
      <c r="CF3909" s="104"/>
      <c r="CG3909" s="105"/>
      <c r="FK3909" s="7"/>
    </row>
    <row r="3910" spans="1:167">
      <c r="A3910" s="571"/>
      <c r="B3910" s="1008"/>
      <c r="C3910" s="7"/>
      <c r="P3910" s="7"/>
      <c r="AX3910" s="7"/>
      <c r="BP3910" s="61"/>
      <c r="CF3910" s="104"/>
      <c r="CG3910" s="105"/>
      <c r="FK3910" s="7"/>
    </row>
    <row r="3911" spans="1:167">
      <c r="A3911" s="571"/>
      <c r="B3911" s="1008"/>
      <c r="C3911" s="7"/>
      <c r="P3911" s="7"/>
      <c r="AX3911" s="7"/>
      <c r="BP3911" s="61"/>
      <c r="CF3911" s="104"/>
      <c r="CG3911" s="105"/>
      <c r="FK3911" s="7"/>
    </row>
    <row r="3912" spans="1:167">
      <c r="A3912" s="571"/>
      <c r="B3912" s="1008"/>
      <c r="C3912" s="7"/>
      <c r="P3912" s="7"/>
      <c r="AX3912" s="7"/>
      <c r="BP3912" s="61"/>
      <c r="CF3912" s="104"/>
      <c r="CG3912" s="105"/>
      <c r="FK3912" s="7"/>
    </row>
    <row r="3913" spans="1:167">
      <c r="A3913" s="571"/>
      <c r="B3913" s="1008"/>
      <c r="C3913" s="7"/>
      <c r="P3913" s="7"/>
      <c r="AX3913" s="7"/>
      <c r="BP3913" s="61"/>
      <c r="CF3913" s="104"/>
      <c r="CG3913" s="105"/>
      <c r="FK3913" s="7"/>
    </row>
    <row r="3914" spans="1:167">
      <c r="A3914" s="571"/>
      <c r="B3914" s="1008"/>
      <c r="C3914" s="7"/>
      <c r="P3914" s="7"/>
      <c r="AX3914" s="7"/>
      <c r="BP3914" s="61"/>
      <c r="CF3914" s="104"/>
      <c r="CG3914" s="105"/>
      <c r="FK3914" s="7"/>
    </row>
    <row r="3915" spans="1:167">
      <c r="A3915" s="571"/>
      <c r="B3915" s="1008"/>
      <c r="C3915" s="7"/>
      <c r="P3915" s="7"/>
      <c r="AX3915" s="7"/>
      <c r="BP3915" s="61"/>
      <c r="CF3915" s="104"/>
      <c r="CG3915" s="105"/>
      <c r="FK3915" s="7"/>
    </row>
    <row r="3916" spans="1:167">
      <c r="A3916" s="571"/>
      <c r="B3916" s="1008"/>
      <c r="C3916" s="7"/>
      <c r="P3916" s="7"/>
      <c r="AX3916" s="7"/>
      <c r="BP3916" s="61"/>
      <c r="CF3916" s="104"/>
      <c r="CG3916" s="105"/>
      <c r="FK3916" s="7"/>
    </row>
    <row r="3917" spans="1:167">
      <c r="A3917" s="571"/>
      <c r="B3917" s="1008"/>
      <c r="C3917" s="7"/>
      <c r="P3917" s="7"/>
      <c r="AX3917" s="7"/>
      <c r="BP3917" s="61"/>
      <c r="CF3917" s="104"/>
      <c r="CG3917" s="105"/>
      <c r="FK3917" s="7"/>
    </row>
    <row r="3918" spans="1:167">
      <c r="A3918" s="571"/>
      <c r="B3918" s="1008"/>
      <c r="C3918" s="7"/>
      <c r="P3918" s="7"/>
      <c r="AX3918" s="7"/>
      <c r="BP3918" s="61"/>
      <c r="CF3918" s="104"/>
      <c r="CG3918" s="105"/>
      <c r="FK3918" s="7"/>
    </row>
    <row r="3919" spans="1:167">
      <c r="A3919" s="571"/>
      <c r="B3919" s="1008"/>
      <c r="C3919" s="7"/>
      <c r="P3919" s="7"/>
      <c r="AX3919" s="7"/>
      <c r="BP3919" s="61"/>
      <c r="CF3919" s="104"/>
      <c r="CG3919" s="105"/>
      <c r="FK3919" s="7"/>
    </row>
    <row r="3920" spans="1:167">
      <c r="A3920" s="571"/>
      <c r="B3920" s="1008"/>
      <c r="C3920" s="7"/>
      <c r="P3920" s="7"/>
      <c r="AX3920" s="7"/>
      <c r="BP3920" s="61"/>
      <c r="CF3920" s="104"/>
      <c r="CG3920" s="105"/>
      <c r="FK3920" s="7"/>
    </row>
    <row r="3921" spans="1:167">
      <c r="A3921" s="571"/>
      <c r="B3921" s="1008"/>
      <c r="C3921" s="7"/>
      <c r="P3921" s="7"/>
      <c r="AX3921" s="7"/>
      <c r="BP3921" s="61"/>
      <c r="CF3921" s="104"/>
      <c r="CG3921" s="105"/>
      <c r="FK3921" s="7"/>
    </row>
    <row r="3922" spans="1:167">
      <c r="A3922" s="571"/>
      <c r="B3922" s="1008"/>
      <c r="C3922" s="7"/>
      <c r="P3922" s="7"/>
      <c r="AX3922" s="7"/>
      <c r="BP3922" s="61"/>
      <c r="CF3922" s="104"/>
      <c r="CG3922" s="105"/>
      <c r="FK3922" s="7"/>
    </row>
    <row r="3923" spans="1:167">
      <c r="A3923" s="571"/>
      <c r="B3923" s="1008"/>
      <c r="C3923" s="7"/>
      <c r="P3923" s="7"/>
      <c r="AX3923" s="7"/>
      <c r="BP3923" s="61"/>
      <c r="CF3923" s="104"/>
      <c r="CG3923" s="105"/>
      <c r="FK3923" s="7"/>
    </row>
    <row r="3924" spans="1:167">
      <c r="A3924" s="571"/>
      <c r="B3924" s="1008"/>
      <c r="C3924" s="7"/>
      <c r="P3924" s="7"/>
      <c r="AX3924" s="7"/>
      <c r="BP3924" s="61"/>
      <c r="CF3924" s="104"/>
      <c r="CG3924" s="105"/>
      <c r="FK3924" s="7"/>
    </row>
    <row r="3925" spans="1:167">
      <c r="A3925" s="571"/>
      <c r="B3925" s="1008"/>
      <c r="C3925" s="7"/>
      <c r="P3925" s="7"/>
      <c r="AX3925" s="7"/>
      <c r="BP3925" s="61"/>
      <c r="CF3925" s="104"/>
      <c r="CG3925" s="105"/>
      <c r="FK3925" s="7"/>
    </row>
    <row r="3926" spans="1:167">
      <c r="A3926" s="571"/>
      <c r="B3926" s="1008"/>
      <c r="C3926" s="7"/>
      <c r="P3926" s="7"/>
      <c r="AX3926" s="7"/>
      <c r="BP3926" s="61"/>
      <c r="CF3926" s="104"/>
      <c r="CG3926" s="105"/>
      <c r="FK3926" s="7"/>
    </row>
    <row r="3927" spans="1:167">
      <c r="A3927" s="571"/>
      <c r="B3927" s="1008"/>
      <c r="C3927" s="7"/>
      <c r="P3927" s="7"/>
      <c r="AX3927" s="7"/>
      <c r="BP3927" s="61"/>
      <c r="CF3927" s="104"/>
      <c r="CG3927" s="105"/>
      <c r="FK3927" s="7"/>
    </row>
    <row r="3928" spans="1:167">
      <c r="A3928" s="571"/>
      <c r="B3928" s="1008"/>
      <c r="C3928" s="7"/>
      <c r="P3928" s="7"/>
      <c r="AX3928" s="7"/>
      <c r="BP3928" s="61"/>
      <c r="CF3928" s="104"/>
      <c r="CG3928" s="105"/>
      <c r="FK3928" s="7"/>
    </row>
    <row r="3929" spans="1:167">
      <c r="A3929" s="571"/>
      <c r="B3929" s="1008"/>
      <c r="C3929" s="7"/>
      <c r="P3929" s="7"/>
      <c r="AX3929" s="7"/>
      <c r="BP3929" s="61"/>
      <c r="CF3929" s="104"/>
      <c r="CG3929" s="105"/>
      <c r="FK3929" s="7"/>
    </row>
    <row r="3930" spans="1:167">
      <c r="A3930" s="571"/>
      <c r="B3930" s="1008"/>
      <c r="C3930" s="7"/>
      <c r="P3930" s="7"/>
      <c r="AX3930" s="7"/>
      <c r="BP3930" s="61"/>
      <c r="CF3930" s="104"/>
      <c r="CG3930" s="105"/>
      <c r="FK3930" s="7"/>
    </row>
    <row r="3931" spans="1:167">
      <c r="A3931" s="571"/>
      <c r="B3931" s="1008"/>
      <c r="C3931" s="7"/>
      <c r="P3931" s="7"/>
      <c r="AX3931" s="7"/>
      <c r="BP3931" s="61"/>
      <c r="CF3931" s="104"/>
      <c r="CG3931" s="105"/>
      <c r="FK3931" s="7"/>
    </row>
    <row r="3932" spans="1:167">
      <c r="A3932" s="571"/>
      <c r="B3932" s="1008"/>
      <c r="C3932" s="7"/>
      <c r="P3932" s="7"/>
      <c r="AX3932" s="7"/>
      <c r="BP3932" s="61"/>
      <c r="CF3932" s="104"/>
      <c r="CG3932" s="105"/>
      <c r="FK3932" s="7"/>
    </row>
    <row r="3933" spans="1:167">
      <c r="A3933" s="571"/>
      <c r="B3933" s="1008"/>
      <c r="C3933" s="7"/>
      <c r="P3933" s="7"/>
      <c r="AX3933" s="7"/>
      <c r="BP3933" s="61"/>
      <c r="CF3933" s="104"/>
      <c r="CG3933" s="105"/>
      <c r="FK3933" s="7"/>
    </row>
    <row r="3934" spans="1:167">
      <c r="A3934" s="571"/>
      <c r="B3934" s="1008"/>
      <c r="C3934" s="7"/>
      <c r="P3934" s="7"/>
      <c r="AX3934" s="7"/>
      <c r="BP3934" s="61"/>
      <c r="CF3934" s="104"/>
      <c r="CG3934" s="105"/>
      <c r="FK3934" s="7"/>
    </row>
    <row r="3935" spans="1:167">
      <c r="A3935" s="571"/>
      <c r="B3935" s="1008"/>
      <c r="C3935" s="7"/>
      <c r="P3935" s="7"/>
      <c r="AX3935" s="7"/>
      <c r="BP3935" s="61"/>
      <c r="CF3935" s="104"/>
      <c r="CG3935" s="105"/>
      <c r="FK3935" s="7"/>
    </row>
    <row r="3936" spans="1:167">
      <c r="A3936" s="571"/>
      <c r="B3936" s="1008"/>
      <c r="C3936" s="7"/>
      <c r="P3936" s="7"/>
      <c r="AX3936" s="7"/>
      <c r="BP3936" s="61"/>
      <c r="CF3936" s="104"/>
      <c r="CG3936" s="105"/>
      <c r="FK3936" s="7"/>
    </row>
    <row r="3937" spans="1:167">
      <c r="A3937" s="571"/>
      <c r="B3937" s="1008"/>
      <c r="C3937" s="7"/>
      <c r="P3937" s="7"/>
      <c r="AX3937" s="7"/>
      <c r="BP3937" s="61"/>
      <c r="CF3937" s="104"/>
      <c r="CG3937" s="105"/>
      <c r="FK3937" s="7"/>
    </row>
    <row r="3938" spans="1:167">
      <c r="A3938" s="571"/>
      <c r="B3938" s="1008"/>
      <c r="C3938" s="7"/>
      <c r="P3938" s="7"/>
      <c r="AX3938" s="7"/>
      <c r="BP3938" s="61"/>
      <c r="CF3938" s="104"/>
      <c r="CG3938" s="105"/>
      <c r="FK3938" s="7"/>
    </row>
    <row r="3939" spans="1:167">
      <c r="A3939" s="571"/>
      <c r="B3939" s="1008"/>
      <c r="C3939" s="7"/>
      <c r="P3939" s="7"/>
      <c r="AX3939" s="7"/>
      <c r="BP3939" s="61"/>
      <c r="CF3939" s="104"/>
      <c r="CG3939" s="105"/>
      <c r="FK3939" s="7"/>
    </row>
    <row r="3940" spans="1:167">
      <c r="A3940" s="571"/>
      <c r="B3940" s="1008"/>
      <c r="C3940" s="7"/>
      <c r="P3940" s="7"/>
      <c r="AX3940" s="7"/>
      <c r="BP3940" s="61"/>
      <c r="CF3940" s="104"/>
      <c r="CG3940" s="105"/>
      <c r="FK3940" s="7"/>
    </row>
    <row r="3941" spans="1:167">
      <c r="A3941" s="571"/>
      <c r="B3941" s="1008"/>
      <c r="C3941" s="7"/>
      <c r="P3941" s="7"/>
      <c r="AX3941" s="7"/>
      <c r="BP3941" s="61"/>
      <c r="CF3941" s="104"/>
      <c r="CG3941" s="105"/>
      <c r="FK3941" s="7"/>
    </row>
    <row r="3942" spans="1:167">
      <c r="A3942" s="571"/>
      <c r="B3942" s="1008"/>
      <c r="C3942" s="7"/>
      <c r="P3942" s="7"/>
      <c r="AX3942" s="7"/>
      <c r="BP3942" s="61"/>
      <c r="CF3942" s="104"/>
      <c r="CG3942" s="105"/>
      <c r="FK3942" s="7"/>
    </row>
    <row r="3943" spans="1:167">
      <c r="A3943" s="571"/>
      <c r="B3943" s="1008"/>
      <c r="C3943" s="7"/>
      <c r="P3943" s="7"/>
      <c r="AX3943" s="7"/>
      <c r="BP3943" s="61"/>
      <c r="CF3943" s="104"/>
      <c r="CG3943" s="105"/>
      <c r="FK3943" s="7"/>
    </row>
    <row r="3944" spans="1:167">
      <c r="A3944" s="571"/>
      <c r="B3944" s="1008"/>
      <c r="C3944" s="7"/>
      <c r="P3944" s="7"/>
      <c r="AX3944" s="7"/>
      <c r="BP3944" s="61"/>
      <c r="CF3944" s="104"/>
      <c r="CG3944" s="105"/>
      <c r="FK3944" s="7"/>
    </row>
    <row r="3945" spans="1:167">
      <c r="A3945" s="571"/>
      <c r="B3945" s="1008"/>
      <c r="C3945" s="7"/>
      <c r="P3945" s="7"/>
      <c r="AX3945" s="7"/>
      <c r="BP3945" s="61"/>
      <c r="CF3945" s="104"/>
      <c r="CG3945" s="105"/>
      <c r="FK3945" s="7"/>
    </row>
    <row r="3946" spans="1:167">
      <c r="A3946" s="571"/>
      <c r="B3946" s="1008"/>
      <c r="C3946" s="7"/>
      <c r="P3946" s="7"/>
      <c r="AX3946" s="7"/>
      <c r="BP3946" s="61"/>
      <c r="CF3946" s="104"/>
      <c r="CG3946" s="105"/>
      <c r="FK3946" s="7"/>
    </row>
    <row r="3947" spans="1:167">
      <c r="A3947" s="571"/>
      <c r="B3947" s="1008"/>
      <c r="C3947" s="7"/>
      <c r="P3947" s="7"/>
      <c r="AX3947" s="7"/>
      <c r="BP3947" s="61"/>
      <c r="CF3947" s="104"/>
      <c r="CG3947" s="105"/>
      <c r="FK3947" s="7"/>
    </row>
    <row r="3948" spans="1:167">
      <c r="A3948" s="571"/>
      <c r="B3948" s="1008"/>
      <c r="C3948" s="7"/>
      <c r="P3948" s="7"/>
      <c r="AX3948" s="7"/>
      <c r="BP3948" s="61"/>
      <c r="CF3948" s="104"/>
      <c r="CG3948" s="105"/>
      <c r="FK3948" s="7"/>
    </row>
    <row r="3949" spans="1:167">
      <c r="A3949" s="571"/>
      <c r="B3949" s="1008"/>
      <c r="C3949" s="7"/>
      <c r="P3949" s="7"/>
      <c r="AX3949" s="7"/>
      <c r="BP3949" s="61"/>
      <c r="CF3949" s="104"/>
      <c r="CG3949" s="105"/>
      <c r="FK3949" s="7"/>
    </row>
    <row r="3950" spans="1:167">
      <c r="A3950" s="571"/>
      <c r="B3950" s="1008"/>
      <c r="C3950" s="7"/>
      <c r="P3950" s="7"/>
      <c r="AX3950" s="7"/>
      <c r="BP3950" s="61"/>
      <c r="CF3950" s="104"/>
      <c r="CG3950" s="105"/>
      <c r="FK3950" s="7"/>
    </row>
    <row r="3951" spans="1:167">
      <c r="A3951" s="571"/>
      <c r="B3951" s="1008"/>
      <c r="C3951" s="7"/>
      <c r="P3951" s="7"/>
      <c r="AX3951" s="7"/>
      <c r="BP3951" s="61"/>
      <c r="CF3951" s="104"/>
      <c r="CG3951" s="105"/>
      <c r="FK3951" s="7"/>
    </row>
    <row r="3952" spans="1:167">
      <c r="A3952" s="571"/>
      <c r="B3952" s="1008"/>
      <c r="C3952" s="7"/>
      <c r="P3952" s="7"/>
      <c r="AX3952" s="7"/>
      <c r="BP3952" s="61"/>
      <c r="CF3952" s="104"/>
      <c r="CG3952" s="105"/>
      <c r="FK3952" s="7"/>
    </row>
    <row r="3953" spans="1:167">
      <c r="A3953" s="571"/>
      <c r="B3953" s="1008"/>
      <c r="C3953" s="7"/>
      <c r="P3953" s="7"/>
      <c r="AX3953" s="7"/>
      <c r="BP3953" s="61"/>
      <c r="CF3953" s="104"/>
      <c r="CG3953" s="105"/>
      <c r="FK3953" s="7"/>
    </row>
    <row r="3954" spans="1:167">
      <c r="A3954" s="571"/>
      <c r="B3954" s="1008"/>
      <c r="C3954" s="7"/>
      <c r="P3954" s="7"/>
      <c r="AX3954" s="7"/>
      <c r="BP3954" s="61"/>
      <c r="CF3954" s="104"/>
      <c r="CG3954" s="105"/>
      <c r="FK3954" s="7"/>
    </row>
    <row r="3955" spans="1:167">
      <c r="A3955" s="571"/>
      <c r="B3955" s="1008"/>
      <c r="C3955" s="7"/>
      <c r="P3955" s="7"/>
      <c r="AX3955" s="7"/>
      <c r="BP3955" s="61"/>
      <c r="CF3955" s="104"/>
      <c r="CG3955" s="105"/>
      <c r="FK3955" s="7"/>
    </row>
    <row r="3956" spans="1:167">
      <c r="A3956" s="571"/>
      <c r="B3956" s="1008"/>
      <c r="C3956" s="7"/>
      <c r="P3956" s="7"/>
      <c r="AX3956" s="7"/>
      <c r="BP3956" s="61"/>
      <c r="CF3956" s="104"/>
      <c r="CG3956" s="105"/>
      <c r="FK3956" s="7"/>
    </row>
    <row r="3957" spans="1:167">
      <c r="A3957" s="571"/>
      <c r="B3957" s="1008"/>
      <c r="C3957" s="7"/>
      <c r="P3957" s="7"/>
      <c r="AX3957" s="7"/>
      <c r="BP3957" s="61"/>
      <c r="CF3957" s="104"/>
      <c r="CG3957" s="105"/>
      <c r="FK3957" s="7"/>
    </row>
    <row r="3958" spans="1:167">
      <c r="A3958" s="571"/>
      <c r="B3958" s="1008"/>
      <c r="C3958" s="7"/>
      <c r="P3958" s="7"/>
      <c r="AX3958" s="7"/>
      <c r="BP3958" s="61"/>
      <c r="CF3958" s="104"/>
      <c r="CG3958" s="105"/>
      <c r="FK3958" s="7"/>
    </row>
    <row r="3959" spans="1:167">
      <c r="A3959" s="571"/>
      <c r="B3959" s="1008"/>
      <c r="C3959" s="7"/>
      <c r="P3959" s="7"/>
      <c r="AX3959" s="7"/>
      <c r="BP3959" s="61"/>
      <c r="CF3959" s="104"/>
      <c r="CG3959" s="105"/>
      <c r="FK3959" s="7"/>
    </row>
    <row r="3960" spans="1:167">
      <c r="A3960" s="571"/>
      <c r="B3960" s="1008"/>
      <c r="C3960" s="7"/>
      <c r="P3960" s="7"/>
      <c r="AX3960" s="7"/>
      <c r="BP3960" s="61"/>
      <c r="CF3960" s="104"/>
      <c r="CG3960" s="105"/>
      <c r="FK3960" s="7"/>
    </row>
    <row r="3961" spans="1:167">
      <c r="A3961" s="571"/>
      <c r="B3961" s="1008"/>
      <c r="C3961" s="7"/>
      <c r="P3961" s="7"/>
      <c r="AX3961" s="7"/>
      <c r="BP3961" s="61"/>
      <c r="CF3961" s="104"/>
      <c r="CG3961" s="105"/>
      <c r="FK3961" s="7"/>
    </row>
    <row r="3962" spans="1:167">
      <c r="A3962" s="571"/>
      <c r="B3962" s="1008"/>
      <c r="C3962" s="7"/>
      <c r="P3962" s="7"/>
      <c r="AX3962" s="7"/>
      <c r="BP3962" s="61"/>
      <c r="CF3962" s="104"/>
      <c r="CG3962" s="105"/>
      <c r="FK3962" s="7"/>
    </row>
    <row r="3963" spans="1:167">
      <c r="A3963" s="571"/>
      <c r="B3963" s="1008"/>
      <c r="C3963" s="7"/>
      <c r="P3963" s="7"/>
      <c r="AX3963" s="7"/>
      <c r="BP3963" s="61"/>
      <c r="CF3963" s="104"/>
      <c r="CG3963" s="105"/>
      <c r="FK3963" s="7"/>
    </row>
    <row r="3964" spans="1:167">
      <c r="A3964" s="571"/>
      <c r="B3964" s="1008"/>
      <c r="C3964" s="7"/>
      <c r="P3964" s="7"/>
      <c r="AX3964" s="7"/>
      <c r="BP3964" s="61"/>
      <c r="CF3964" s="104"/>
      <c r="CG3964" s="105"/>
      <c r="FK3964" s="7"/>
    </row>
    <row r="3965" spans="1:167">
      <c r="A3965" s="571"/>
      <c r="B3965" s="1008"/>
      <c r="C3965" s="7"/>
      <c r="P3965" s="7"/>
      <c r="AX3965" s="7"/>
      <c r="BP3965" s="61"/>
      <c r="CF3965" s="104"/>
      <c r="CG3965" s="105"/>
      <c r="FK3965" s="7"/>
    </row>
    <row r="3966" spans="1:167">
      <c r="A3966" s="571"/>
      <c r="B3966" s="1008"/>
      <c r="C3966" s="7"/>
      <c r="P3966" s="7"/>
      <c r="AX3966" s="7"/>
      <c r="BP3966" s="61"/>
      <c r="CF3966" s="104"/>
      <c r="CG3966" s="105"/>
      <c r="FK3966" s="7"/>
    </row>
    <row r="3967" spans="1:167">
      <c r="A3967" s="571"/>
      <c r="B3967" s="1008"/>
      <c r="C3967" s="7"/>
      <c r="P3967" s="7"/>
      <c r="AX3967" s="7"/>
      <c r="BP3967" s="61"/>
      <c r="CF3967" s="104"/>
      <c r="CG3967" s="105"/>
      <c r="FK3967" s="7"/>
    </row>
    <row r="3968" spans="1:167">
      <c r="A3968" s="571"/>
      <c r="B3968" s="1008"/>
      <c r="C3968" s="7"/>
      <c r="P3968" s="7"/>
      <c r="AX3968" s="7"/>
      <c r="BP3968" s="61"/>
      <c r="CF3968" s="104"/>
      <c r="CG3968" s="105"/>
      <c r="FK3968" s="7"/>
    </row>
    <row r="3969" spans="1:167">
      <c r="A3969" s="571"/>
      <c r="B3969" s="1008"/>
      <c r="C3969" s="7"/>
      <c r="P3969" s="7"/>
      <c r="AX3969" s="7"/>
      <c r="BP3969" s="61"/>
      <c r="CF3969" s="104"/>
      <c r="CG3969" s="105"/>
      <c r="FK3969" s="7"/>
    </row>
    <row r="3970" spans="1:167">
      <c r="A3970" s="571"/>
      <c r="B3970" s="1008"/>
      <c r="C3970" s="7"/>
      <c r="P3970" s="7"/>
      <c r="AX3970" s="7"/>
      <c r="BP3970" s="61"/>
      <c r="CF3970" s="104"/>
      <c r="CG3970" s="105"/>
      <c r="FK3970" s="7"/>
    </row>
    <row r="3971" spans="1:167">
      <c r="A3971" s="571"/>
      <c r="B3971" s="1008"/>
      <c r="C3971" s="7"/>
      <c r="P3971" s="7"/>
      <c r="AX3971" s="7"/>
      <c r="BP3971" s="61"/>
      <c r="CF3971" s="104"/>
      <c r="CG3971" s="105"/>
      <c r="FK3971" s="7"/>
    </row>
    <row r="3972" spans="1:167">
      <c r="A3972" s="571"/>
      <c r="B3972" s="1008"/>
      <c r="C3972" s="7"/>
      <c r="P3972" s="7"/>
      <c r="AX3972" s="7"/>
      <c r="BP3972" s="61"/>
      <c r="CF3972" s="104"/>
      <c r="CG3972" s="105"/>
      <c r="FK3972" s="7"/>
    </row>
    <row r="3973" spans="1:167">
      <c r="A3973" s="571"/>
      <c r="B3973" s="1008"/>
      <c r="C3973" s="7"/>
      <c r="P3973" s="7"/>
      <c r="AX3973" s="7"/>
      <c r="BP3973" s="61"/>
      <c r="CF3973" s="104"/>
      <c r="CG3973" s="105"/>
      <c r="FK3973" s="7"/>
    </row>
    <row r="3974" spans="1:167">
      <c r="A3974" s="571"/>
      <c r="B3974" s="1008"/>
      <c r="C3974" s="7"/>
      <c r="P3974" s="7"/>
      <c r="AX3974" s="7"/>
      <c r="BP3974" s="61"/>
      <c r="CF3974" s="104"/>
      <c r="CG3974" s="105"/>
      <c r="FK3974" s="7"/>
    </row>
    <row r="3975" spans="1:167">
      <c r="A3975" s="571"/>
      <c r="B3975" s="1008"/>
      <c r="C3975" s="7"/>
      <c r="P3975" s="7"/>
      <c r="AX3975" s="7"/>
      <c r="BP3975" s="61"/>
      <c r="CF3975" s="104"/>
      <c r="CG3975" s="105"/>
      <c r="FK3975" s="7"/>
    </row>
    <row r="3976" spans="1:167">
      <c r="A3976" s="571"/>
      <c r="B3976" s="1008"/>
      <c r="C3976" s="7"/>
      <c r="P3976" s="7"/>
      <c r="AX3976" s="7"/>
      <c r="BP3976" s="61"/>
      <c r="CF3976" s="104"/>
      <c r="CG3976" s="105"/>
      <c r="FK3976" s="7"/>
    </row>
    <row r="3977" spans="1:167">
      <c r="A3977" s="571"/>
      <c r="B3977" s="1008"/>
      <c r="C3977" s="7"/>
      <c r="P3977" s="7"/>
      <c r="AX3977" s="7"/>
      <c r="BP3977" s="61"/>
      <c r="CF3977" s="104"/>
      <c r="CG3977" s="105"/>
      <c r="FK3977" s="7"/>
    </row>
    <row r="3978" spans="1:167">
      <c r="A3978" s="571"/>
      <c r="B3978" s="1008"/>
      <c r="C3978" s="7"/>
      <c r="P3978" s="7"/>
      <c r="AX3978" s="7"/>
      <c r="BP3978" s="61"/>
      <c r="CF3978" s="104"/>
      <c r="CG3978" s="105"/>
      <c r="FK3978" s="7"/>
    </row>
    <row r="3979" spans="1:167">
      <c r="A3979" s="571"/>
      <c r="B3979" s="1008"/>
      <c r="C3979" s="7"/>
      <c r="P3979" s="7"/>
      <c r="AX3979" s="7"/>
      <c r="BP3979" s="61"/>
      <c r="CF3979" s="104"/>
      <c r="CG3979" s="105"/>
      <c r="FK3979" s="7"/>
    </row>
    <row r="3980" spans="1:167">
      <c r="A3980" s="571"/>
      <c r="B3980" s="1008"/>
      <c r="C3980" s="7"/>
      <c r="P3980" s="7"/>
      <c r="AX3980" s="7"/>
      <c r="BP3980" s="61"/>
      <c r="CF3980" s="104"/>
      <c r="CG3980" s="105"/>
      <c r="FK3980" s="7"/>
    </row>
    <row r="3981" spans="1:167">
      <c r="A3981" s="571"/>
      <c r="B3981" s="1008"/>
      <c r="C3981" s="7"/>
      <c r="P3981" s="7"/>
      <c r="AX3981" s="7"/>
      <c r="BP3981" s="61"/>
      <c r="CF3981" s="104"/>
      <c r="CG3981" s="105"/>
      <c r="FK3981" s="7"/>
    </row>
    <row r="3982" spans="1:167">
      <c r="A3982" s="571"/>
      <c r="B3982" s="1008"/>
      <c r="C3982" s="7"/>
      <c r="P3982" s="7"/>
      <c r="AX3982" s="7"/>
      <c r="BP3982" s="61"/>
      <c r="CF3982" s="104"/>
      <c r="CG3982" s="105"/>
      <c r="FK3982" s="7"/>
    </row>
    <row r="3983" spans="1:167">
      <c r="A3983" s="571"/>
      <c r="B3983" s="1008"/>
      <c r="C3983" s="7"/>
      <c r="P3983" s="7"/>
      <c r="AX3983" s="7"/>
      <c r="BP3983" s="61"/>
      <c r="CF3983" s="104"/>
      <c r="CG3983" s="105"/>
      <c r="FK3983" s="7"/>
    </row>
    <row r="3984" spans="1:167">
      <c r="A3984" s="571"/>
      <c r="B3984" s="1008"/>
      <c r="C3984" s="7"/>
      <c r="P3984" s="7"/>
      <c r="AX3984" s="7"/>
      <c r="BP3984" s="61"/>
      <c r="CF3984" s="104"/>
      <c r="CG3984" s="105"/>
      <c r="FK3984" s="7"/>
    </row>
    <row r="3985" spans="1:167">
      <c r="A3985" s="571"/>
      <c r="B3985" s="1008"/>
      <c r="C3985" s="7"/>
      <c r="P3985" s="7"/>
      <c r="AX3985" s="7"/>
      <c r="BP3985" s="61"/>
      <c r="CF3985" s="104"/>
      <c r="CG3985" s="105"/>
      <c r="FK3985" s="7"/>
    </row>
    <row r="3986" spans="1:167">
      <c r="A3986" s="571"/>
      <c r="B3986" s="1008"/>
      <c r="C3986" s="7"/>
      <c r="P3986" s="7"/>
      <c r="AX3986" s="7"/>
      <c r="BP3986" s="61"/>
      <c r="CF3986" s="104"/>
      <c r="CG3986" s="105"/>
      <c r="FK3986" s="7"/>
    </row>
    <row r="3987" spans="1:167">
      <c r="A3987" s="571"/>
      <c r="B3987" s="1008"/>
      <c r="C3987" s="7"/>
      <c r="P3987" s="7"/>
      <c r="AX3987" s="7"/>
      <c r="BP3987" s="61"/>
      <c r="CF3987" s="104"/>
      <c r="CG3987" s="105"/>
      <c r="FK3987" s="7"/>
    </row>
    <row r="3988" spans="1:167">
      <c r="A3988" s="571"/>
      <c r="B3988" s="1008"/>
      <c r="C3988" s="7"/>
      <c r="P3988" s="7"/>
      <c r="AX3988" s="7"/>
      <c r="BP3988" s="61"/>
      <c r="CF3988" s="104"/>
      <c r="CG3988" s="105"/>
      <c r="FK3988" s="7"/>
    </row>
    <row r="3989" spans="1:167">
      <c r="A3989" s="571"/>
      <c r="B3989" s="1008"/>
      <c r="C3989" s="7"/>
      <c r="P3989" s="7"/>
      <c r="AX3989" s="7"/>
      <c r="BP3989" s="61"/>
      <c r="CF3989" s="104"/>
      <c r="CG3989" s="105"/>
      <c r="FK3989" s="7"/>
    </row>
    <row r="3990" spans="1:167">
      <c r="A3990" s="571"/>
      <c r="B3990" s="1008"/>
      <c r="C3990" s="7"/>
      <c r="P3990" s="7"/>
      <c r="AX3990" s="7"/>
      <c r="BP3990" s="61"/>
      <c r="CF3990" s="104"/>
      <c r="CG3990" s="105"/>
      <c r="FK3990" s="7"/>
    </row>
    <row r="3991" spans="1:167">
      <c r="A3991" s="571"/>
      <c r="B3991" s="1008"/>
      <c r="C3991" s="7"/>
      <c r="P3991" s="7"/>
      <c r="AX3991" s="7"/>
      <c r="BP3991" s="61"/>
      <c r="CF3991" s="104"/>
      <c r="CG3991" s="105"/>
      <c r="FK3991" s="7"/>
    </row>
    <row r="3992" spans="1:167">
      <c r="A3992" s="571"/>
      <c r="B3992" s="1008"/>
      <c r="C3992" s="7"/>
      <c r="P3992" s="7"/>
      <c r="AX3992" s="7"/>
      <c r="BP3992" s="61"/>
      <c r="CF3992" s="104"/>
      <c r="CG3992" s="105"/>
      <c r="FK3992" s="7"/>
    </row>
    <row r="3993" spans="1:167">
      <c r="A3993" s="571"/>
      <c r="B3993" s="1008"/>
      <c r="C3993" s="7"/>
      <c r="P3993" s="7"/>
      <c r="AX3993" s="7"/>
      <c r="BP3993" s="61"/>
      <c r="CF3993" s="104"/>
      <c r="CG3993" s="105"/>
      <c r="FK3993" s="7"/>
    </row>
    <row r="3994" spans="1:167">
      <c r="A3994" s="571"/>
      <c r="B3994" s="1008"/>
      <c r="C3994" s="7"/>
      <c r="P3994" s="7"/>
      <c r="AX3994" s="7"/>
      <c r="BP3994" s="61"/>
      <c r="CF3994" s="104"/>
      <c r="CG3994" s="105"/>
      <c r="FK3994" s="7"/>
    </row>
    <row r="3995" spans="1:167">
      <c r="A3995" s="571"/>
      <c r="B3995" s="1008"/>
      <c r="C3995" s="7"/>
      <c r="P3995" s="7"/>
      <c r="AX3995" s="7"/>
      <c r="BP3995" s="61"/>
      <c r="CF3995" s="104"/>
      <c r="CG3995" s="105"/>
      <c r="FK3995" s="7"/>
    </row>
    <row r="3996" spans="1:167">
      <c r="A3996" s="571"/>
      <c r="B3996" s="1008"/>
      <c r="C3996" s="7"/>
      <c r="P3996" s="7"/>
      <c r="AX3996" s="7"/>
      <c r="BP3996" s="61"/>
      <c r="CF3996" s="104"/>
      <c r="CG3996" s="105"/>
      <c r="FK3996" s="7"/>
    </row>
    <row r="3997" spans="1:167">
      <c r="A3997" s="571"/>
      <c r="B3997" s="1008"/>
      <c r="C3997" s="7"/>
      <c r="P3997" s="7"/>
      <c r="AX3997" s="7"/>
      <c r="BP3997" s="61"/>
      <c r="CF3997" s="104"/>
      <c r="CG3997" s="105"/>
      <c r="FK3997" s="7"/>
    </row>
    <row r="3998" spans="1:167">
      <c r="A3998" s="571"/>
      <c r="B3998" s="1008"/>
      <c r="C3998" s="7"/>
      <c r="P3998" s="7"/>
      <c r="AX3998" s="7"/>
      <c r="BP3998" s="61"/>
      <c r="CF3998" s="104"/>
      <c r="CG3998" s="105"/>
      <c r="FK3998" s="7"/>
    </row>
    <row r="3999" spans="1:167">
      <c r="A3999" s="571"/>
      <c r="B3999" s="1008"/>
      <c r="C3999" s="7"/>
      <c r="P3999" s="7"/>
      <c r="AX3999" s="7"/>
      <c r="BP3999" s="61"/>
      <c r="CF3999" s="104"/>
      <c r="CG3999" s="105"/>
      <c r="FK3999" s="7"/>
    </row>
    <row r="4000" spans="1:167">
      <c r="A4000" s="571"/>
      <c r="B4000" s="1008"/>
      <c r="C4000" s="7"/>
      <c r="P4000" s="7"/>
      <c r="AX4000" s="7"/>
      <c r="BP4000" s="61"/>
      <c r="CF4000" s="104"/>
      <c r="CG4000" s="105"/>
      <c r="FK4000" s="7"/>
    </row>
    <row r="4001" spans="1:167">
      <c r="A4001" s="571"/>
      <c r="B4001" s="1008"/>
      <c r="C4001" s="7"/>
      <c r="P4001" s="7"/>
      <c r="AX4001" s="7"/>
      <c r="BP4001" s="61"/>
      <c r="CF4001" s="104"/>
      <c r="CG4001" s="105"/>
      <c r="FK4001" s="7"/>
    </row>
    <row r="4002" spans="1:167">
      <c r="A4002" s="571"/>
      <c r="B4002" s="1008"/>
      <c r="C4002" s="7"/>
      <c r="P4002" s="7"/>
      <c r="AX4002" s="7"/>
      <c r="BP4002" s="61"/>
      <c r="CF4002" s="104"/>
      <c r="CG4002" s="105"/>
      <c r="FK4002" s="7"/>
    </row>
    <row r="4003" spans="1:167">
      <c r="A4003" s="571"/>
      <c r="B4003" s="1008"/>
      <c r="C4003" s="7"/>
      <c r="P4003" s="7"/>
      <c r="AX4003" s="7"/>
      <c r="BP4003" s="61"/>
      <c r="CF4003" s="104"/>
      <c r="CG4003" s="105"/>
      <c r="FK4003" s="7"/>
    </row>
    <row r="4004" spans="1:167">
      <c r="A4004" s="571"/>
      <c r="B4004" s="1008"/>
      <c r="C4004" s="7"/>
      <c r="P4004" s="7"/>
      <c r="AX4004" s="7"/>
      <c r="BP4004" s="61"/>
      <c r="CF4004" s="104"/>
      <c r="CG4004" s="105"/>
      <c r="FK4004" s="7"/>
    </row>
    <row r="4005" spans="1:167">
      <c r="A4005" s="571"/>
      <c r="B4005" s="1008"/>
      <c r="C4005" s="7"/>
      <c r="P4005" s="7"/>
      <c r="AX4005" s="7"/>
      <c r="BP4005" s="61"/>
      <c r="CF4005" s="104"/>
      <c r="CG4005" s="105"/>
      <c r="FK4005" s="7"/>
    </row>
    <row r="4006" spans="1:167">
      <c r="A4006" s="571"/>
      <c r="B4006" s="1008"/>
      <c r="C4006" s="7"/>
      <c r="P4006" s="7"/>
      <c r="AX4006" s="7"/>
      <c r="BP4006" s="61"/>
      <c r="CF4006" s="104"/>
      <c r="CG4006" s="105"/>
      <c r="FK4006" s="7"/>
    </row>
    <row r="4007" spans="1:167">
      <c r="A4007" s="571"/>
      <c r="B4007" s="1008"/>
      <c r="C4007" s="7"/>
      <c r="P4007" s="7"/>
      <c r="AX4007" s="7"/>
      <c r="BP4007" s="61"/>
      <c r="CF4007" s="104"/>
      <c r="CG4007" s="105"/>
      <c r="FK4007" s="7"/>
    </row>
    <row r="4008" spans="1:167">
      <c r="A4008" s="571"/>
      <c r="B4008" s="1008"/>
      <c r="C4008" s="7"/>
      <c r="P4008" s="7"/>
      <c r="AX4008" s="7"/>
      <c r="BP4008" s="61"/>
      <c r="CF4008" s="104"/>
      <c r="CG4008" s="105"/>
      <c r="FK4008" s="7"/>
    </row>
    <row r="4009" spans="1:167">
      <c r="A4009" s="571"/>
      <c r="B4009" s="1008"/>
      <c r="C4009" s="7"/>
      <c r="P4009" s="7"/>
      <c r="AX4009" s="7"/>
      <c r="BP4009" s="61"/>
      <c r="CF4009" s="104"/>
      <c r="CG4009" s="105"/>
      <c r="FK4009" s="7"/>
    </row>
    <row r="4010" spans="1:167">
      <c r="A4010" s="571"/>
      <c r="B4010" s="1008"/>
      <c r="C4010" s="7"/>
      <c r="P4010" s="7"/>
      <c r="AX4010" s="7"/>
      <c r="BP4010" s="61"/>
      <c r="CF4010" s="104"/>
      <c r="CG4010" s="105"/>
      <c r="FK4010" s="7"/>
    </row>
    <row r="4011" spans="1:167">
      <c r="A4011" s="571"/>
      <c r="B4011" s="1008"/>
      <c r="C4011" s="7"/>
      <c r="P4011" s="7"/>
      <c r="AX4011" s="7"/>
      <c r="BP4011" s="61"/>
      <c r="CF4011" s="104"/>
      <c r="CG4011" s="105"/>
      <c r="FK4011" s="7"/>
    </row>
    <row r="4012" spans="1:167">
      <c r="A4012" s="571"/>
      <c r="B4012" s="1008"/>
      <c r="C4012" s="7"/>
      <c r="P4012" s="7"/>
      <c r="AX4012" s="7"/>
      <c r="BP4012" s="61"/>
      <c r="CF4012" s="104"/>
      <c r="CG4012" s="105"/>
      <c r="FK4012" s="7"/>
    </row>
    <row r="4013" spans="1:167">
      <c r="A4013" s="571"/>
      <c r="B4013" s="1008"/>
      <c r="C4013" s="7"/>
      <c r="P4013" s="7"/>
      <c r="AX4013" s="7"/>
      <c r="BP4013" s="61"/>
      <c r="CF4013" s="104"/>
      <c r="CG4013" s="105"/>
      <c r="FK4013" s="7"/>
    </row>
    <row r="4014" spans="1:167">
      <c r="A4014" s="571"/>
      <c r="B4014" s="1008"/>
      <c r="C4014" s="7"/>
      <c r="P4014" s="7"/>
      <c r="AX4014" s="7"/>
      <c r="BP4014" s="61"/>
      <c r="CF4014" s="104"/>
      <c r="CG4014" s="105"/>
      <c r="FK4014" s="7"/>
    </row>
    <row r="4015" spans="1:167">
      <c r="A4015" s="571"/>
      <c r="B4015" s="1008"/>
      <c r="C4015" s="7"/>
      <c r="P4015" s="7"/>
      <c r="AX4015" s="7"/>
      <c r="BP4015" s="61"/>
      <c r="CF4015" s="104"/>
      <c r="CG4015" s="105"/>
      <c r="FK4015" s="7"/>
    </row>
    <row r="4016" spans="1:167">
      <c r="A4016" s="571"/>
      <c r="B4016" s="1008"/>
      <c r="C4016" s="7"/>
      <c r="P4016" s="7"/>
      <c r="AX4016" s="7"/>
      <c r="BP4016" s="61"/>
      <c r="CF4016" s="104"/>
      <c r="CG4016" s="105"/>
      <c r="FK4016" s="7"/>
    </row>
    <row r="4017" spans="1:167">
      <c r="A4017" s="571"/>
      <c r="B4017" s="1008"/>
      <c r="C4017" s="7"/>
      <c r="P4017" s="7"/>
      <c r="AX4017" s="7"/>
      <c r="BP4017" s="61"/>
      <c r="CF4017" s="104"/>
      <c r="CG4017" s="105"/>
      <c r="FK4017" s="7"/>
    </row>
    <row r="4018" spans="1:167">
      <c r="A4018" s="571"/>
      <c r="B4018" s="1008"/>
      <c r="C4018" s="7"/>
      <c r="P4018" s="7"/>
      <c r="AX4018" s="7"/>
      <c r="BP4018" s="61"/>
      <c r="CF4018" s="104"/>
      <c r="CG4018" s="105"/>
      <c r="FK4018" s="7"/>
    </row>
    <row r="4019" spans="1:167">
      <c r="A4019" s="571"/>
      <c r="B4019" s="1008"/>
      <c r="C4019" s="7"/>
      <c r="P4019" s="7"/>
      <c r="AX4019" s="7"/>
      <c r="BP4019" s="61"/>
      <c r="CF4019" s="104"/>
      <c r="CG4019" s="105"/>
      <c r="FK4019" s="7"/>
    </row>
    <row r="4020" spans="1:167">
      <c r="A4020" s="571"/>
      <c r="B4020" s="1008"/>
      <c r="C4020" s="7"/>
      <c r="P4020" s="7"/>
      <c r="AX4020" s="7"/>
      <c r="BP4020" s="61"/>
      <c r="CF4020" s="104"/>
      <c r="CG4020" s="105"/>
      <c r="FK4020" s="7"/>
    </row>
    <row r="4021" spans="1:167">
      <c r="A4021" s="571"/>
      <c r="B4021" s="1008"/>
      <c r="C4021" s="7"/>
      <c r="P4021" s="7"/>
      <c r="AX4021" s="7"/>
      <c r="BP4021" s="61"/>
      <c r="CF4021" s="104"/>
      <c r="CG4021" s="105"/>
      <c r="FK4021" s="7"/>
    </row>
    <row r="4022" spans="1:167">
      <c r="A4022" s="571"/>
      <c r="B4022" s="1008"/>
      <c r="C4022" s="7"/>
      <c r="P4022" s="7"/>
      <c r="AX4022" s="7"/>
      <c r="BP4022" s="61"/>
      <c r="CF4022" s="104"/>
      <c r="CG4022" s="105"/>
      <c r="FK4022" s="7"/>
    </row>
    <row r="4023" spans="1:167">
      <c r="A4023" s="571"/>
      <c r="B4023" s="1008"/>
      <c r="C4023" s="7"/>
      <c r="P4023" s="7"/>
      <c r="AX4023" s="7"/>
      <c r="BP4023" s="61"/>
      <c r="CF4023" s="104"/>
      <c r="CG4023" s="105"/>
      <c r="FK4023" s="7"/>
    </row>
    <row r="4024" spans="1:167">
      <c r="A4024" s="571"/>
      <c r="B4024" s="1008"/>
      <c r="C4024" s="7"/>
      <c r="P4024" s="7"/>
      <c r="AX4024" s="7"/>
      <c r="BP4024" s="61"/>
      <c r="CF4024" s="104"/>
      <c r="CG4024" s="105"/>
      <c r="FK4024" s="7"/>
    </row>
    <row r="4025" spans="1:167">
      <c r="A4025" s="571"/>
      <c r="B4025" s="1008"/>
      <c r="C4025" s="7"/>
      <c r="P4025" s="7"/>
      <c r="AX4025" s="7"/>
      <c r="BP4025" s="61"/>
      <c r="CF4025" s="104"/>
      <c r="CG4025" s="105"/>
      <c r="FK4025" s="7"/>
    </row>
    <row r="4026" spans="1:167">
      <c r="A4026" s="571"/>
      <c r="B4026" s="1008"/>
      <c r="C4026" s="7"/>
      <c r="P4026" s="7"/>
      <c r="AX4026" s="7"/>
      <c r="BP4026" s="61"/>
      <c r="CF4026" s="104"/>
      <c r="CG4026" s="105"/>
      <c r="FK4026" s="7"/>
    </row>
    <row r="4027" spans="1:167">
      <c r="A4027" s="571"/>
      <c r="B4027" s="1008"/>
      <c r="C4027" s="7"/>
      <c r="P4027" s="7"/>
      <c r="AX4027" s="7"/>
      <c r="BP4027" s="61"/>
      <c r="CF4027" s="104"/>
      <c r="CG4027" s="105"/>
      <c r="FK4027" s="7"/>
    </row>
    <row r="4028" spans="1:167">
      <c r="A4028" s="571"/>
      <c r="B4028" s="1008"/>
      <c r="C4028" s="7"/>
      <c r="P4028" s="7"/>
      <c r="AX4028" s="7"/>
      <c r="BP4028" s="61"/>
      <c r="CF4028" s="104"/>
      <c r="CG4028" s="105"/>
      <c r="FK4028" s="7"/>
    </row>
    <row r="4029" spans="1:167">
      <c r="A4029" s="571"/>
      <c r="B4029" s="1008"/>
      <c r="C4029" s="7"/>
      <c r="P4029" s="7"/>
      <c r="AX4029" s="7"/>
      <c r="BP4029" s="61"/>
      <c r="CF4029" s="104"/>
      <c r="CG4029" s="105"/>
      <c r="FK4029" s="7"/>
    </row>
    <row r="4030" spans="1:167">
      <c r="A4030" s="571"/>
      <c r="B4030" s="1008"/>
      <c r="C4030" s="7"/>
      <c r="P4030" s="7"/>
      <c r="AX4030" s="7"/>
      <c r="BP4030" s="61"/>
      <c r="CF4030" s="104"/>
      <c r="CG4030" s="105"/>
      <c r="FK4030" s="7"/>
    </row>
    <row r="4031" spans="1:167">
      <c r="A4031" s="571"/>
      <c r="B4031" s="1008"/>
      <c r="C4031" s="7"/>
      <c r="P4031" s="7"/>
      <c r="AX4031" s="7"/>
      <c r="BP4031" s="61"/>
      <c r="CF4031" s="104"/>
      <c r="CG4031" s="105"/>
      <c r="FK4031" s="7"/>
    </row>
    <row r="4032" spans="1:167">
      <c r="A4032" s="571"/>
      <c r="B4032" s="1008"/>
      <c r="C4032" s="7"/>
      <c r="P4032" s="7"/>
      <c r="AX4032" s="7"/>
      <c r="BP4032" s="61"/>
      <c r="CF4032" s="104"/>
      <c r="CG4032" s="105"/>
      <c r="FK4032" s="7"/>
    </row>
    <row r="4033" spans="1:167">
      <c r="A4033" s="571"/>
      <c r="B4033" s="1008"/>
      <c r="C4033" s="7"/>
      <c r="P4033" s="7"/>
      <c r="AX4033" s="7"/>
      <c r="BP4033" s="61"/>
      <c r="CF4033" s="104"/>
      <c r="CG4033" s="105"/>
      <c r="FK4033" s="7"/>
    </row>
    <row r="4034" spans="1:167">
      <c r="A4034" s="571"/>
      <c r="B4034" s="1008"/>
      <c r="C4034" s="7"/>
      <c r="P4034" s="7"/>
      <c r="AX4034" s="7"/>
      <c r="BP4034" s="61"/>
      <c r="CF4034" s="104"/>
      <c r="CG4034" s="105"/>
      <c r="FK4034" s="7"/>
    </row>
    <row r="4035" spans="1:167">
      <c r="A4035" s="571"/>
      <c r="B4035" s="1008"/>
      <c r="C4035" s="7"/>
      <c r="P4035" s="7"/>
      <c r="AX4035" s="7"/>
      <c r="BP4035" s="61"/>
      <c r="CF4035" s="104"/>
      <c r="CG4035" s="105"/>
      <c r="FK4035" s="7"/>
    </row>
    <row r="4036" spans="1:167">
      <c r="A4036" s="571"/>
      <c r="B4036" s="1008"/>
      <c r="C4036" s="7"/>
      <c r="P4036" s="7"/>
      <c r="AX4036" s="7"/>
      <c r="BP4036" s="61"/>
      <c r="CF4036" s="104"/>
      <c r="CG4036" s="105"/>
      <c r="FK4036" s="7"/>
    </row>
    <row r="4037" spans="1:167">
      <c r="A4037" s="571"/>
      <c r="B4037" s="1008"/>
      <c r="C4037" s="7"/>
      <c r="P4037" s="7"/>
      <c r="AX4037" s="7"/>
      <c r="BP4037" s="61"/>
      <c r="CF4037" s="104"/>
      <c r="CG4037" s="105"/>
      <c r="FK4037" s="7"/>
    </row>
    <row r="4038" spans="1:167">
      <c r="A4038" s="571"/>
      <c r="B4038" s="1008"/>
      <c r="C4038" s="7"/>
      <c r="P4038" s="7"/>
      <c r="AX4038" s="7"/>
      <c r="BP4038" s="61"/>
      <c r="CF4038" s="104"/>
      <c r="CG4038" s="105"/>
      <c r="FK4038" s="7"/>
    </row>
    <row r="4039" spans="1:167">
      <c r="A4039" s="571"/>
      <c r="B4039" s="1008"/>
      <c r="C4039" s="7"/>
      <c r="P4039" s="7"/>
      <c r="AX4039" s="7"/>
      <c r="BP4039" s="61"/>
      <c r="CF4039" s="104"/>
      <c r="CG4039" s="105"/>
      <c r="FK4039" s="7"/>
    </row>
    <row r="4040" spans="1:167">
      <c r="A4040" s="571"/>
      <c r="B4040" s="1008"/>
      <c r="C4040" s="7"/>
      <c r="P4040" s="7"/>
      <c r="AX4040" s="7"/>
      <c r="BP4040" s="61"/>
      <c r="CF4040" s="104"/>
      <c r="CG4040" s="105"/>
      <c r="FK4040" s="7"/>
    </row>
    <row r="4041" spans="1:167">
      <c r="A4041" s="571"/>
      <c r="B4041" s="1008"/>
      <c r="C4041" s="7"/>
      <c r="P4041" s="7"/>
      <c r="AX4041" s="7"/>
      <c r="BP4041" s="61"/>
      <c r="CF4041" s="104"/>
      <c r="CG4041" s="105"/>
      <c r="FK4041" s="7"/>
    </row>
    <row r="4042" spans="1:167">
      <c r="A4042" s="571"/>
      <c r="B4042" s="1008"/>
      <c r="C4042" s="7"/>
      <c r="P4042" s="7"/>
      <c r="AX4042" s="7"/>
      <c r="BP4042" s="61"/>
      <c r="CF4042" s="104"/>
      <c r="CG4042" s="105"/>
      <c r="FK4042" s="7"/>
    </row>
    <row r="4043" spans="1:167">
      <c r="A4043" s="571"/>
      <c r="B4043" s="1008"/>
      <c r="C4043" s="7"/>
      <c r="P4043" s="7"/>
      <c r="AX4043" s="7"/>
      <c r="BP4043" s="61"/>
      <c r="CF4043" s="104"/>
      <c r="CG4043" s="105"/>
      <c r="FK4043" s="7"/>
    </row>
    <row r="4044" spans="1:167">
      <c r="A4044" s="571"/>
      <c r="B4044" s="1008"/>
      <c r="C4044" s="7"/>
      <c r="P4044" s="7"/>
      <c r="AX4044" s="7"/>
      <c r="BP4044" s="61"/>
      <c r="CF4044" s="104"/>
      <c r="CG4044" s="105"/>
      <c r="FK4044" s="7"/>
    </row>
    <row r="4045" spans="1:167">
      <c r="A4045" s="571"/>
      <c r="B4045" s="1008"/>
      <c r="C4045" s="7"/>
      <c r="P4045" s="7"/>
      <c r="AX4045" s="7"/>
      <c r="BP4045" s="61"/>
      <c r="CF4045" s="104"/>
      <c r="CG4045" s="105"/>
      <c r="FK4045" s="7"/>
    </row>
    <row r="4046" spans="1:167">
      <c r="A4046" s="571"/>
      <c r="B4046" s="1008"/>
      <c r="C4046" s="7"/>
      <c r="P4046" s="7"/>
      <c r="AX4046" s="7"/>
      <c r="BP4046" s="61"/>
      <c r="CF4046" s="104"/>
      <c r="CG4046" s="105"/>
      <c r="FK4046" s="7"/>
    </row>
    <row r="4047" spans="1:167">
      <c r="A4047" s="571"/>
      <c r="B4047" s="1008"/>
      <c r="C4047" s="7"/>
      <c r="P4047" s="7"/>
      <c r="AX4047" s="7"/>
      <c r="BP4047" s="61"/>
      <c r="CF4047" s="104"/>
      <c r="CG4047" s="105"/>
      <c r="FK4047" s="7"/>
    </row>
    <row r="4048" spans="1:167">
      <c r="A4048" s="571"/>
      <c r="B4048" s="1008"/>
      <c r="C4048" s="7"/>
      <c r="P4048" s="7"/>
      <c r="AX4048" s="7"/>
      <c r="BP4048" s="61"/>
      <c r="CF4048" s="104"/>
      <c r="CG4048" s="105"/>
      <c r="FK4048" s="7"/>
    </row>
    <row r="4049" spans="1:167">
      <c r="A4049" s="571"/>
      <c r="B4049" s="1008"/>
      <c r="C4049" s="7"/>
      <c r="P4049" s="7"/>
      <c r="AX4049" s="7"/>
      <c r="BP4049" s="61"/>
      <c r="CF4049" s="104"/>
      <c r="CG4049" s="105"/>
      <c r="FK4049" s="7"/>
    </row>
    <row r="4050" spans="1:167">
      <c r="A4050" s="571"/>
      <c r="B4050" s="1008"/>
      <c r="C4050" s="7"/>
      <c r="P4050" s="7"/>
      <c r="AX4050" s="7"/>
      <c r="BP4050" s="61"/>
      <c r="CF4050" s="104"/>
      <c r="CG4050" s="105"/>
      <c r="FK4050" s="7"/>
    </row>
    <row r="4051" spans="1:167">
      <c r="A4051" s="571"/>
      <c r="B4051" s="1008"/>
      <c r="C4051" s="7"/>
      <c r="P4051" s="7"/>
      <c r="AX4051" s="7"/>
      <c r="BP4051" s="61"/>
      <c r="CF4051" s="104"/>
      <c r="CG4051" s="105"/>
      <c r="FK4051" s="7"/>
    </row>
    <row r="4052" spans="1:167">
      <c r="A4052" s="571"/>
      <c r="B4052" s="1008"/>
      <c r="C4052" s="7"/>
      <c r="P4052" s="7"/>
      <c r="AX4052" s="7"/>
      <c r="BP4052" s="61"/>
      <c r="CF4052" s="104"/>
      <c r="CG4052" s="105"/>
      <c r="FK4052" s="7"/>
    </row>
    <row r="4053" spans="1:167">
      <c r="A4053" s="571"/>
      <c r="B4053" s="1008"/>
      <c r="C4053" s="7"/>
      <c r="P4053" s="7"/>
      <c r="AX4053" s="7"/>
      <c r="BP4053" s="61"/>
      <c r="CF4053" s="104"/>
      <c r="CG4053" s="105"/>
      <c r="FK4053" s="7"/>
    </row>
    <row r="4054" spans="1:167">
      <c r="A4054" s="571"/>
      <c r="B4054" s="1008"/>
      <c r="C4054" s="7"/>
      <c r="P4054" s="7"/>
      <c r="AX4054" s="7"/>
      <c r="BP4054" s="61"/>
      <c r="CF4054" s="104"/>
      <c r="CG4054" s="105"/>
      <c r="FK4054" s="7"/>
    </row>
    <row r="4055" spans="1:167">
      <c r="A4055" s="571"/>
      <c r="B4055" s="1008"/>
      <c r="C4055" s="7"/>
      <c r="P4055" s="7"/>
      <c r="AX4055" s="7"/>
      <c r="BP4055" s="61"/>
      <c r="CF4055" s="104"/>
      <c r="CG4055" s="105"/>
      <c r="FK4055" s="7"/>
    </row>
    <row r="4056" spans="1:167">
      <c r="A4056" s="571"/>
      <c r="B4056" s="1008"/>
      <c r="C4056" s="7"/>
      <c r="P4056" s="7"/>
      <c r="AX4056" s="7"/>
      <c r="BP4056" s="61"/>
      <c r="CF4056" s="104"/>
      <c r="CG4056" s="105"/>
      <c r="FK4056" s="7"/>
    </row>
    <row r="4057" spans="1:167">
      <c r="A4057" s="571"/>
      <c r="B4057" s="1008"/>
      <c r="C4057" s="7"/>
      <c r="P4057" s="7"/>
      <c r="AX4057" s="7"/>
      <c r="BP4057" s="61"/>
      <c r="CF4057" s="104"/>
      <c r="CG4057" s="105"/>
      <c r="FK4057" s="7"/>
    </row>
    <row r="4058" spans="1:167">
      <c r="A4058" s="571"/>
      <c r="B4058" s="1008"/>
      <c r="C4058" s="7"/>
      <c r="P4058" s="7"/>
      <c r="AX4058" s="7"/>
      <c r="BP4058" s="61"/>
      <c r="CF4058" s="104"/>
      <c r="CG4058" s="105"/>
      <c r="FK4058" s="7"/>
    </row>
    <row r="4059" spans="1:167">
      <c r="A4059" s="571"/>
      <c r="B4059" s="1008"/>
      <c r="C4059" s="7"/>
      <c r="P4059" s="7"/>
      <c r="AX4059" s="7"/>
      <c r="BP4059" s="61"/>
      <c r="CF4059" s="104"/>
      <c r="CG4059" s="105"/>
      <c r="FK4059" s="7"/>
    </row>
    <row r="4060" spans="1:167">
      <c r="A4060" s="571"/>
      <c r="B4060" s="1008"/>
      <c r="C4060" s="7"/>
      <c r="P4060" s="7"/>
      <c r="AX4060" s="7"/>
      <c r="BP4060" s="61"/>
      <c r="CF4060" s="104"/>
      <c r="CG4060" s="105"/>
      <c r="FK4060" s="7"/>
    </row>
    <row r="4061" spans="1:167">
      <c r="A4061" s="571"/>
      <c r="B4061" s="1008"/>
      <c r="C4061" s="7"/>
      <c r="P4061" s="7"/>
      <c r="AX4061" s="7"/>
      <c r="BP4061" s="61"/>
      <c r="CF4061" s="104"/>
      <c r="CG4061" s="105"/>
      <c r="FK4061" s="7"/>
    </row>
    <row r="4062" spans="1:167">
      <c r="A4062" s="571"/>
      <c r="B4062" s="1008"/>
      <c r="C4062" s="7"/>
      <c r="P4062" s="7"/>
      <c r="AX4062" s="7"/>
      <c r="BP4062" s="61"/>
      <c r="CF4062" s="104"/>
      <c r="CG4062" s="105"/>
      <c r="FK4062" s="7"/>
    </row>
    <row r="4063" spans="1:167">
      <c r="A4063" s="571"/>
      <c r="B4063" s="1008"/>
      <c r="C4063" s="7"/>
      <c r="P4063" s="7"/>
      <c r="AX4063" s="7"/>
      <c r="BP4063" s="61"/>
      <c r="CF4063" s="104"/>
      <c r="CG4063" s="105"/>
      <c r="FK4063" s="7"/>
    </row>
    <row r="4064" spans="1:167">
      <c r="A4064" s="571"/>
      <c r="B4064" s="1008"/>
      <c r="C4064" s="7"/>
      <c r="P4064" s="7"/>
      <c r="AX4064" s="7"/>
      <c r="BP4064" s="61"/>
      <c r="CF4064" s="104"/>
      <c r="CG4064" s="105"/>
      <c r="FK4064" s="7"/>
    </row>
    <row r="4065" spans="1:167">
      <c r="A4065" s="571"/>
      <c r="B4065" s="1008"/>
      <c r="C4065" s="7"/>
      <c r="P4065" s="7"/>
      <c r="AX4065" s="7"/>
      <c r="BP4065" s="61"/>
      <c r="CF4065" s="104"/>
      <c r="CG4065" s="105"/>
      <c r="FK4065" s="7"/>
    </row>
    <row r="4066" spans="1:167">
      <c r="A4066" s="571"/>
      <c r="B4066" s="1008"/>
      <c r="C4066" s="7"/>
      <c r="P4066" s="7"/>
      <c r="AX4066" s="7"/>
      <c r="BP4066" s="61"/>
      <c r="CF4066" s="104"/>
      <c r="CG4066" s="105"/>
      <c r="FK4066" s="7"/>
    </row>
    <row r="4067" spans="1:167">
      <c r="A4067" s="571"/>
      <c r="B4067" s="1008"/>
      <c r="C4067" s="7"/>
      <c r="P4067" s="7"/>
      <c r="AX4067" s="7"/>
      <c r="BP4067" s="61"/>
      <c r="CF4067" s="104"/>
      <c r="CG4067" s="105"/>
      <c r="FK4067" s="7"/>
    </row>
    <row r="4068" spans="1:167">
      <c r="A4068" s="571"/>
      <c r="B4068" s="1008"/>
      <c r="C4068" s="7"/>
      <c r="P4068" s="7"/>
      <c r="AX4068" s="7"/>
      <c r="BP4068" s="61"/>
      <c r="CF4068" s="104"/>
      <c r="CG4068" s="105"/>
      <c r="FK4068" s="7"/>
    </row>
    <row r="4069" spans="1:167">
      <c r="A4069" s="571"/>
      <c r="B4069" s="1008"/>
      <c r="C4069" s="7"/>
      <c r="P4069" s="7"/>
      <c r="AX4069" s="7"/>
      <c r="BP4069" s="61"/>
      <c r="CF4069" s="104"/>
      <c r="CG4069" s="105"/>
      <c r="FK4069" s="7"/>
    </row>
    <row r="4070" spans="1:167">
      <c r="A4070" s="571"/>
      <c r="B4070" s="1008"/>
      <c r="C4070" s="7"/>
      <c r="P4070" s="7"/>
      <c r="AX4070" s="7"/>
      <c r="BP4070" s="61"/>
      <c r="CF4070" s="104"/>
      <c r="CG4070" s="105"/>
      <c r="FK4070" s="7"/>
    </row>
    <row r="4071" spans="1:167">
      <c r="A4071" s="571"/>
      <c r="B4071" s="1008"/>
      <c r="C4071" s="7"/>
      <c r="P4071" s="7"/>
      <c r="AX4071" s="7"/>
      <c r="BP4071" s="61"/>
      <c r="CF4071" s="104"/>
      <c r="CG4071" s="105"/>
      <c r="FK4071" s="7"/>
    </row>
    <row r="4072" spans="1:167">
      <c r="A4072" s="571"/>
      <c r="B4072" s="1008"/>
      <c r="C4072" s="7"/>
      <c r="P4072" s="7"/>
      <c r="AX4072" s="7"/>
      <c r="BP4072" s="61"/>
      <c r="CF4072" s="104"/>
      <c r="CG4072" s="105"/>
      <c r="FK4072" s="7"/>
    </row>
    <row r="4073" spans="1:167">
      <c r="A4073" s="571"/>
      <c r="B4073" s="1008"/>
      <c r="C4073" s="7"/>
      <c r="P4073" s="7"/>
      <c r="AX4073" s="7"/>
      <c r="BP4073" s="61"/>
      <c r="CF4073" s="104"/>
      <c r="CG4073" s="105"/>
      <c r="FK4073" s="7"/>
    </row>
    <row r="4074" spans="1:167">
      <c r="A4074" s="571"/>
      <c r="B4074" s="1008"/>
      <c r="C4074" s="7"/>
      <c r="P4074" s="7"/>
      <c r="AX4074" s="7"/>
      <c r="BP4074" s="61"/>
      <c r="CF4074" s="104"/>
      <c r="CG4074" s="105"/>
      <c r="FK4074" s="7"/>
    </row>
    <row r="4075" spans="1:167">
      <c r="A4075" s="571"/>
      <c r="B4075" s="1008"/>
      <c r="C4075" s="7"/>
      <c r="P4075" s="7"/>
      <c r="AX4075" s="7"/>
      <c r="BP4075" s="61"/>
      <c r="CF4075" s="104"/>
      <c r="CG4075" s="105"/>
      <c r="FK4075" s="7"/>
    </row>
    <row r="4076" spans="1:167">
      <c r="A4076" s="571"/>
      <c r="B4076" s="1008"/>
      <c r="C4076" s="7"/>
      <c r="P4076" s="7"/>
      <c r="AX4076" s="7"/>
      <c r="BP4076" s="61"/>
      <c r="CF4076" s="104"/>
      <c r="CG4076" s="105"/>
      <c r="FK4076" s="7"/>
    </row>
    <row r="4077" spans="1:167">
      <c r="A4077" s="571"/>
      <c r="B4077" s="1008"/>
      <c r="C4077" s="7"/>
      <c r="P4077" s="7"/>
      <c r="AX4077" s="7"/>
      <c r="BP4077" s="61"/>
      <c r="CF4077" s="104"/>
      <c r="CG4077" s="105"/>
      <c r="FK4077" s="7"/>
    </row>
    <row r="4078" spans="1:167">
      <c r="A4078" s="571"/>
      <c r="B4078" s="1008"/>
      <c r="C4078" s="7"/>
      <c r="P4078" s="7"/>
      <c r="AX4078" s="7"/>
      <c r="BP4078" s="61"/>
      <c r="CF4078" s="104"/>
      <c r="CG4078" s="105"/>
      <c r="FK4078" s="7"/>
    </row>
    <row r="4079" spans="1:167">
      <c r="A4079" s="571"/>
      <c r="B4079" s="1008"/>
      <c r="C4079" s="7"/>
      <c r="P4079" s="7"/>
      <c r="AX4079" s="7"/>
      <c r="BP4079" s="61"/>
      <c r="CF4079" s="104"/>
      <c r="CG4079" s="105"/>
      <c r="FK4079" s="7"/>
    </row>
    <row r="4080" spans="1:167">
      <c r="A4080" s="571"/>
      <c r="B4080" s="1008"/>
      <c r="C4080" s="7"/>
      <c r="P4080" s="7"/>
      <c r="AX4080" s="7"/>
      <c r="BP4080" s="61"/>
      <c r="CF4080" s="104"/>
      <c r="CG4080" s="105"/>
      <c r="FK4080" s="7"/>
    </row>
    <row r="4081" spans="1:167">
      <c r="A4081" s="571"/>
      <c r="B4081" s="1008"/>
      <c r="C4081" s="7"/>
      <c r="P4081" s="7"/>
      <c r="AX4081" s="7"/>
      <c r="BP4081" s="61"/>
      <c r="CF4081" s="104"/>
      <c r="CG4081" s="105"/>
      <c r="FK4081" s="7"/>
    </row>
    <row r="4082" spans="1:167">
      <c r="A4082" s="571"/>
      <c r="B4082" s="1008"/>
      <c r="C4082" s="7"/>
      <c r="P4082" s="7"/>
      <c r="AX4082" s="7"/>
      <c r="BP4082" s="61"/>
      <c r="CF4082" s="104"/>
      <c r="CG4082" s="105"/>
      <c r="FK4082" s="7"/>
    </row>
    <row r="4083" spans="1:167">
      <c r="A4083" s="571"/>
      <c r="B4083" s="1008"/>
      <c r="C4083" s="7"/>
      <c r="P4083" s="7"/>
      <c r="AX4083" s="7"/>
      <c r="BP4083" s="61"/>
      <c r="CF4083" s="104"/>
      <c r="CG4083" s="105"/>
      <c r="FK4083" s="7"/>
    </row>
    <row r="4084" spans="1:167">
      <c r="A4084" s="571"/>
      <c r="B4084" s="1008"/>
      <c r="C4084" s="7"/>
      <c r="P4084" s="7"/>
      <c r="AX4084" s="7"/>
      <c r="BP4084" s="61"/>
      <c r="CF4084" s="104"/>
      <c r="CG4084" s="105"/>
      <c r="FK4084" s="7"/>
    </row>
    <row r="4085" spans="1:167">
      <c r="A4085" s="571"/>
      <c r="B4085" s="1008"/>
      <c r="C4085" s="7"/>
      <c r="P4085" s="7"/>
      <c r="AX4085" s="7"/>
      <c r="BP4085" s="61"/>
      <c r="CF4085" s="104"/>
      <c r="CG4085" s="105"/>
      <c r="FK4085" s="7"/>
    </row>
    <row r="4086" spans="1:167">
      <c r="A4086" s="571"/>
      <c r="B4086" s="1008"/>
      <c r="C4086" s="7"/>
      <c r="P4086" s="7"/>
      <c r="AX4086" s="7"/>
      <c r="BP4086" s="61"/>
      <c r="CF4086" s="104"/>
      <c r="CG4086" s="105"/>
      <c r="FK4086" s="7"/>
    </row>
    <row r="4087" spans="1:167">
      <c r="A4087" s="571"/>
      <c r="B4087" s="1008"/>
      <c r="C4087" s="7"/>
      <c r="P4087" s="7"/>
      <c r="AX4087" s="7"/>
      <c r="BP4087" s="61"/>
      <c r="CF4087" s="104"/>
      <c r="CG4087" s="105"/>
      <c r="FK4087" s="7"/>
    </row>
    <row r="4088" spans="1:167">
      <c r="A4088" s="571"/>
      <c r="B4088" s="1008"/>
      <c r="C4088" s="7"/>
      <c r="P4088" s="7"/>
      <c r="AX4088" s="7"/>
      <c r="BP4088" s="61"/>
      <c r="CF4088" s="104"/>
      <c r="CG4088" s="105"/>
      <c r="FK4088" s="7"/>
    </row>
    <row r="4089" spans="1:167">
      <c r="A4089" s="571"/>
      <c r="B4089" s="1008"/>
      <c r="C4089" s="7"/>
      <c r="P4089" s="7"/>
      <c r="AX4089" s="7"/>
      <c r="BP4089" s="61"/>
      <c r="CF4089" s="104"/>
      <c r="CG4089" s="105"/>
      <c r="FK4089" s="7"/>
    </row>
    <row r="4090" spans="1:167">
      <c r="A4090" s="571"/>
      <c r="B4090" s="1008"/>
      <c r="C4090" s="7"/>
      <c r="P4090" s="7"/>
      <c r="AX4090" s="7"/>
      <c r="BP4090" s="61"/>
      <c r="CF4090" s="104"/>
      <c r="CG4090" s="105"/>
      <c r="FK4090" s="7"/>
    </row>
    <row r="4091" spans="1:167">
      <c r="A4091" s="571"/>
      <c r="B4091" s="1008"/>
      <c r="C4091" s="7"/>
      <c r="P4091" s="7"/>
      <c r="AX4091" s="7"/>
      <c r="BP4091" s="61"/>
      <c r="CF4091" s="104"/>
      <c r="CG4091" s="105"/>
      <c r="FK4091" s="7"/>
    </row>
    <row r="4092" spans="1:167">
      <c r="A4092" s="571"/>
      <c r="B4092" s="1008"/>
      <c r="C4092" s="7"/>
      <c r="P4092" s="7"/>
      <c r="AX4092" s="7"/>
      <c r="BP4092" s="61"/>
      <c r="CF4092" s="104"/>
      <c r="CG4092" s="105"/>
      <c r="FK4092" s="7"/>
    </row>
    <row r="4093" spans="1:167">
      <c r="A4093" s="571"/>
      <c r="B4093" s="1008"/>
      <c r="C4093" s="7"/>
      <c r="P4093" s="7"/>
      <c r="AX4093" s="7"/>
      <c r="BP4093" s="61"/>
      <c r="CF4093" s="104"/>
      <c r="CG4093" s="105"/>
      <c r="FK4093" s="7"/>
    </row>
    <row r="4094" spans="1:167">
      <c r="A4094" s="571"/>
      <c r="B4094" s="1008"/>
      <c r="C4094" s="7"/>
      <c r="P4094" s="7"/>
      <c r="AX4094" s="7"/>
      <c r="BP4094" s="61"/>
      <c r="CF4094" s="104"/>
      <c r="CG4094" s="105"/>
      <c r="FK4094" s="7"/>
    </row>
    <row r="4095" spans="1:167">
      <c r="A4095" s="571"/>
      <c r="B4095" s="1008"/>
      <c r="C4095" s="7"/>
      <c r="P4095" s="7"/>
      <c r="AX4095" s="7"/>
      <c r="BP4095" s="61"/>
      <c r="CF4095" s="104"/>
      <c r="CG4095" s="105"/>
      <c r="FK4095" s="7"/>
    </row>
    <row r="4096" spans="1:167">
      <c r="A4096" s="571"/>
      <c r="B4096" s="1008"/>
      <c r="C4096" s="7"/>
      <c r="P4096" s="7"/>
      <c r="AX4096" s="7"/>
      <c r="BP4096" s="61"/>
      <c r="CF4096" s="104"/>
      <c r="CG4096" s="105"/>
      <c r="FK4096" s="7"/>
    </row>
    <row r="4097" spans="1:167">
      <c r="A4097" s="571"/>
      <c r="B4097" s="1008"/>
      <c r="C4097" s="7"/>
      <c r="P4097" s="7"/>
      <c r="AX4097" s="7"/>
      <c r="BP4097" s="61"/>
      <c r="CF4097" s="104"/>
      <c r="CG4097" s="105"/>
      <c r="FK4097" s="7"/>
    </row>
    <row r="4098" spans="1:167">
      <c r="A4098" s="571"/>
      <c r="B4098" s="1008"/>
      <c r="C4098" s="7"/>
      <c r="P4098" s="7"/>
      <c r="AX4098" s="7"/>
      <c r="BP4098" s="61"/>
      <c r="CF4098" s="104"/>
      <c r="CG4098" s="105"/>
      <c r="FK4098" s="7"/>
    </row>
    <row r="4099" spans="1:167">
      <c r="A4099" s="571"/>
      <c r="B4099" s="1008"/>
      <c r="C4099" s="7"/>
      <c r="P4099" s="7"/>
      <c r="AX4099" s="7"/>
      <c r="BP4099" s="61"/>
      <c r="CF4099" s="104"/>
      <c r="CG4099" s="105"/>
      <c r="FK4099" s="7"/>
    </row>
    <row r="4100" spans="1:167">
      <c r="A4100" s="571"/>
      <c r="B4100" s="1008"/>
      <c r="C4100" s="7"/>
      <c r="P4100" s="7"/>
      <c r="AX4100" s="7"/>
      <c r="BP4100" s="61"/>
      <c r="CF4100" s="104"/>
      <c r="CG4100" s="105"/>
      <c r="FK4100" s="7"/>
    </row>
    <row r="4101" spans="1:167">
      <c r="A4101" s="571"/>
      <c r="B4101" s="1008"/>
      <c r="C4101" s="7"/>
      <c r="P4101" s="7"/>
      <c r="AX4101" s="7"/>
      <c r="BP4101" s="61"/>
      <c r="CF4101" s="104"/>
      <c r="CG4101" s="105"/>
      <c r="FK4101" s="7"/>
    </row>
    <row r="4102" spans="1:167">
      <c r="A4102" s="571"/>
      <c r="B4102" s="1008"/>
      <c r="C4102" s="7"/>
      <c r="P4102" s="7"/>
      <c r="AX4102" s="7"/>
      <c r="BP4102" s="61"/>
      <c r="CF4102" s="104"/>
      <c r="CG4102" s="105"/>
      <c r="FK4102" s="7"/>
    </row>
    <row r="4103" spans="1:167">
      <c r="A4103" s="571"/>
      <c r="B4103" s="1008"/>
      <c r="C4103" s="7"/>
      <c r="P4103" s="7"/>
      <c r="AX4103" s="7"/>
      <c r="BP4103" s="61"/>
      <c r="CF4103" s="104"/>
      <c r="CG4103" s="105"/>
      <c r="FK4103" s="7"/>
    </row>
    <row r="4104" spans="1:167">
      <c r="A4104" s="571"/>
      <c r="B4104" s="1008"/>
      <c r="C4104" s="7"/>
      <c r="P4104" s="7"/>
      <c r="AX4104" s="7"/>
      <c r="BP4104" s="61"/>
      <c r="CF4104" s="104"/>
      <c r="CG4104" s="105"/>
      <c r="FK4104" s="7"/>
    </row>
    <row r="4105" spans="1:167">
      <c r="A4105" s="571"/>
      <c r="B4105" s="1008"/>
      <c r="C4105" s="7"/>
      <c r="P4105" s="7"/>
      <c r="AX4105" s="7"/>
      <c r="BP4105" s="61"/>
      <c r="CF4105" s="104"/>
      <c r="CG4105" s="105"/>
      <c r="FK4105" s="7"/>
    </row>
    <row r="4106" spans="1:167">
      <c r="A4106" s="571"/>
      <c r="B4106" s="1008"/>
      <c r="C4106" s="7"/>
      <c r="P4106" s="7"/>
      <c r="AX4106" s="7"/>
      <c r="BP4106" s="61"/>
      <c r="CF4106" s="104"/>
      <c r="CG4106" s="105"/>
      <c r="FK4106" s="7"/>
    </row>
    <row r="4107" spans="1:167">
      <c r="A4107" s="571"/>
      <c r="B4107" s="1008"/>
      <c r="C4107" s="7"/>
      <c r="P4107" s="7"/>
      <c r="AX4107" s="7"/>
      <c r="BP4107" s="61"/>
      <c r="CF4107" s="104"/>
      <c r="CG4107" s="105"/>
      <c r="FK4107" s="7"/>
    </row>
    <row r="4108" spans="1:167">
      <c r="A4108" s="571"/>
      <c r="B4108" s="1008"/>
      <c r="C4108" s="7"/>
      <c r="P4108" s="7"/>
      <c r="AX4108" s="7"/>
      <c r="BP4108" s="61"/>
      <c r="CF4108" s="104"/>
      <c r="CG4108" s="105"/>
      <c r="FK4108" s="7"/>
    </row>
    <row r="4109" spans="1:167">
      <c r="A4109" s="571"/>
      <c r="B4109" s="1008"/>
      <c r="C4109" s="7"/>
      <c r="P4109" s="7"/>
      <c r="AX4109" s="7"/>
      <c r="BP4109" s="61"/>
      <c r="CF4109" s="104"/>
      <c r="CG4109" s="105"/>
      <c r="FK4109" s="7"/>
    </row>
    <row r="4110" spans="1:167">
      <c r="A4110" s="571"/>
      <c r="B4110" s="1008"/>
      <c r="C4110" s="7"/>
      <c r="P4110" s="7"/>
      <c r="AX4110" s="7"/>
      <c r="BP4110" s="61"/>
      <c r="CF4110" s="104"/>
      <c r="CG4110" s="105"/>
      <c r="FK4110" s="7"/>
    </row>
    <row r="4111" spans="1:167">
      <c r="A4111" s="571"/>
      <c r="B4111" s="1008"/>
      <c r="C4111" s="7"/>
      <c r="P4111" s="7"/>
      <c r="AX4111" s="7"/>
      <c r="BP4111" s="61"/>
      <c r="CF4111" s="104"/>
      <c r="CG4111" s="105"/>
      <c r="FK4111" s="7"/>
    </row>
    <row r="4112" spans="1:167">
      <c r="A4112" s="571"/>
      <c r="B4112" s="1008"/>
      <c r="C4112" s="7"/>
      <c r="P4112" s="7"/>
      <c r="AX4112" s="7"/>
      <c r="BP4112" s="61"/>
      <c r="CF4112" s="104"/>
      <c r="CG4112" s="105"/>
      <c r="FK4112" s="7"/>
    </row>
    <row r="4113" spans="1:167">
      <c r="A4113" s="571"/>
      <c r="B4113" s="1008"/>
      <c r="C4113" s="7"/>
      <c r="P4113" s="7"/>
      <c r="AX4113" s="7"/>
      <c r="BP4113" s="61"/>
      <c r="CF4113" s="104"/>
      <c r="CG4113" s="105"/>
      <c r="FK4113" s="7"/>
    </row>
    <row r="4114" spans="1:167">
      <c r="A4114" s="571"/>
      <c r="B4114" s="1008"/>
      <c r="C4114" s="7"/>
      <c r="P4114" s="7"/>
      <c r="AX4114" s="7"/>
      <c r="BP4114" s="61"/>
      <c r="CF4114" s="104"/>
      <c r="CG4114" s="105"/>
      <c r="FK4114" s="7"/>
    </row>
    <row r="4115" spans="1:167">
      <c r="A4115" s="571"/>
      <c r="B4115" s="1008"/>
      <c r="C4115" s="7"/>
      <c r="P4115" s="7"/>
      <c r="AX4115" s="7"/>
      <c r="BP4115" s="61"/>
      <c r="CF4115" s="104"/>
      <c r="CG4115" s="105"/>
      <c r="FK4115" s="7"/>
    </row>
    <row r="4116" spans="1:167">
      <c r="A4116" s="571"/>
      <c r="B4116" s="1008"/>
      <c r="C4116" s="7"/>
      <c r="P4116" s="7"/>
      <c r="AX4116" s="7"/>
      <c r="BP4116" s="61"/>
      <c r="CF4116" s="104"/>
      <c r="CG4116" s="105"/>
      <c r="FK4116" s="7"/>
    </row>
    <row r="4117" spans="1:167">
      <c r="A4117" s="571"/>
      <c r="B4117" s="1008"/>
      <c r="C4117" s="7"/>
      <c r="P4117" s="7"/>
      <c r="AX4117" s="7"/>
      <c r="BP4117" s="61"/>
      <c r="CF4117" s="104"/>
      <c r="CG4117" s="105"/>
      <c r="FK4117" s="7"/>
    </row>
    <row r="4118" spans="1:167">
      <c r="A4118" s="571"/>
      <c r="B4118" s="1008"/>
      <c r="C4118" s="7"/>
      <c r="P4118" s="7"/>
      <c r="AX4118" s="7"/>
      <c r="BP4118" s="61"/>
      <c r="CF4118" s="104"/>
      <c r="CG4118" s="105"/>
      <c r="FK4118" s="7"/>
    </row>
    <row r="4119" spans="1:167">
      <c r="A4119" s="571"/>
      <c r="B4119" s="1008"/>
      <c r="C4119" s="7"/>
      <c r="P4119" s="7"/>
      <c r="AX4119" s="7"/>
      <c r="BP4119" s="61"/>
      <c r="CF4119" s="104"/>
      <c r="CG4119" s="105"/>
      <c r="FK4119" s="7"/>
    </row>
    <row r="4120" spans="1:167">
      <c r="A4120" s="571"/>
      <c r="B4120" s="1008"/>
      <c r="C4120" s="7"/>
      <c r="P4120" s="7"/>
      <c r="AX4120" s="7"/>
      <c r="BP4120" s="61"/>
      <c r="CF4120" s="104"/>
      <c r="CG4120" s="105"/>
      <c r="FK4120" s="7"/>
    </row>
    <row r="4121" spans="1:167">
      <c r="A4121" s="571"/>
      <c r="B4121" s="1008"/>
      <c r="C4121" s="7"/>
      <c r="P4121" s="7"/>
      <c r="AX4121" s="7"/>
      <c r="BP4121" s="61"/>
      <c r="CF4121" s="104"/>
      <c r="CG4121" s="105"/>
      <c r="FK4121" s="7"/>
    </row>
    <row r="4122" spans="1:167">
      <c r="A4122" s="571"/>
      <c r="B4122" s="1008"/>
      <c r="C4122" s="7"/>
      <c r="P4122" s="7"/>
      <c r="AX4122" s="7"/>
      <c r="BP4122" s="61"/>
      <c r="CF4122" s="104"/>
      <c r="CG4122" s="105"/>
      <c r="FK4122" s="7"/>
    </row>
    <row r="4123" spans="1:167">
      <c r="A4123" s="571"/>
      <c r="B4123" s="1008"/>
      <c r="C4123" s="7"/>
      <c r="P4123" s="7"/>
      <c r="AX4123" s="7"/>
      <c r="BP4123" s="61"/>
      <c r="CF4123" s="104"/>
      <c r="CG4123" s="105"/>
      <c r="FK4123" s="7"/>
    </row>
    <row r="4124" spans="1:167">
      <c r="A4124" s="571"/>
      <c r="B4124" s="1008"/>
      <c r="C4124" s="7"/>
      <c r="P4124" s="7"/>
      <c r="AX4124" s="7"/>
      <c r="BP4124" s="61"/>
      <c r="CF4124" s="104"/>
      <c r="CG4124" s="105"/>
      <c r="FK4124" s="7"/>
    </row>
    <row r="4125" spans="1:167">
      <c r="A4125" s="571"/>
      <c r="B4125" s="1008"/>
      <c r="C4125" s="7"/>
      <c r="P4125" s="7"/>
      <c r="AX4125" s="7"/>
      <c r="BP4125" s="61"/>
      <c r="CF4125" s="104"/>
      <c r="CG4125" s="105"/>
      <c r="FK4125" s="7"/>
    </row>
    <row r="4126" spans="1:167">
      <c r="A4126" s="571"/>
      <c r="B4126" s="1008"/>
      <c r="C4126" s="7"/>
      <c r="P4126" s="7"/>
      <c r="AX4126" s="7"/>
      <c r="BP4126" s="61"/>
      <c r="CF4126" s="104"/>
      <c r="CG4126" s="105"/>
      <c r="FK4126" s="7"/>
    </row>
    <row r="4127" spans="1:167">
      <c r="A4127" s="571"/>
      <c r="B4127" s="1008"/>
      <c r="C4127" s="7"/>
      <c r="P4127" s="7"/>
      <c r="AX4127" s="7"/>
      <c r="BP4127" s="61"/>
      <c r="CF4127" s="104"/>
      <c r="CG4127" s="105"/>
      <c r="FK4127" s="7"/>
    </row>
    <row r="4128" spans="1:167">
      <c r="A4128" s="571"/>
      <c r="B4128" s="1008"/>
      <c r="C4128" s="7"/>
      <c r="P4128" s="7"/>
      <c r="AX4128" s="7"/>
      <c r="BP4128" s="61"/>
      <c r="CF4128" s="104"/>
      <c r="CG4128" s="105"/>
      <c r="FK4128" s="7"/>
    </row>
    <row r="4129" spans="1:167">
      <c r="A4129" s="571"/>
      <c r="B4129" s="1008"/>
      <c r="C4129" s="7"/>
      <c r="P4129" s="7"/>
      <c r="AX4129" s="7"/>
      <c r="BP4129" s="61"/>
      <c r="CF4129" s="104"/>
      <c r="CG4129" s="105"/>
      <c r="FK4129" s="7"/>
    </row>
    <row r="4130" spans="1:167">
      <c r="A4130" s="571"/>
      <c r="B4130" s="1008"/>
      <c r="C4130" s="7"/>
      <c r="P4130" s="7"/>
      <c r="AX4130" s="7"/>
      <c r="BP4130" s="61"/>
      <c r="CF4130" s="104"/>
      <c r="CG4130" s="105"/>
      <c r="FK4130" s="7"/>
    </row>
    <row r="4131" spans="1:167">
      <c r="A4131" s="571"/>
      <c r="B4131" s="1008"/>
      <c r="C4131" s="7"/>
      <c r="P4131" s="7"/>
      <c r="AX4131" s="7"/>
      <c r="BP4131" s="61"/>
      <c r="CF4131" s="104"/>
      <c r="CG4131" s="105"/>
      <c r="FK4131" s="7"/>
    </row>
    <row r="4132" spans="1:167">
      <c r="A4132" s="571"/>
      <c r="B4132" s="1008"/>
      <c r="C4132" s="7"/>
      <c r="P4132" s="7"/>
      <c r="AX4132" s="7"/>
      <c r="BP4132" s="61"/>
      <c r="CF4132" s="104"/>
      <c r="CG4132" s="105"/>
      <c r="FK4132" s="7"/>
    </row>
    <row r="4133" spans="1:167">
      <c r="A4133" s="571"/>
      <c r="B4133" s="1008"/>
      <c r="C4133" s="7"/>
      <c r="P4133" s="7"/>
      <c r="AX4133" s="7"/>
      <c r="BP4133" s="61"/>
      <c r="CF4133" s="104"/>
      <c r="CG4133" s="105"/>
      <c r="FK4133" s="7"/>
    </row>
    <row r="4134" spans="1:167">
      <c r="A4134" s="571"/>
      <c r="B4134" s="1008"/>
      <c r="C4134" s="7"/>
      <c r="P4134" s="7"/>
      <c r="AX4134" s="7"/>
      <c r="BP4134" s="61"/>
      <c r="CF4134" s="104"/>
      <c r="CG4134" s="105"/>
      <c r="FK4134" s="7"/>
    </row>
    <row r="4135" spans="1:167">
      <c r="A4135" s="571"/>
      <c r="B4135" s="1008"/>
      <c r="C4135" s="7"/>
      <c r="P4135" s="7"/>
      <c r="AX4135" s="7"/>
      <c r="BP4135" s="61"/>
      <c r="CF4135" s="104"/>
      <c r="CG4135" s="105"/>
      <c r="FK4135" s="7"/>
    </row>
    <row r="4136" spans="1:167">
      <c r="A4136" s="571"/>
      <c r="B4136" s="1008"/>
      <c r="C4136" s="7"/>
      <c r="P4136" s="7"/>
      <c r="AX4136" s="7"/>
      <c r="BP4136" s="61"/>
      <c r="CF4136" s="104"/>
      <c r="CG4136" s="105"/>
      <c r="FK4136" s="7"/>
    </row>
    <row r="4137" spans="1:167">
      <c r="A4137" s="571"/>
      <c r="B4137" s="1008"/>
      <c r="C4137" s="7"/>
      <c r="P4137" s="7"/>
      <c r="AX4137" s="7"/>
      <c r="BP4137" s="61"/>
      <c r="CF4137" s="104"/>
      <c r="CG4137" s="105"/>
      <c r="FK4137" s="7"/>
    </row>
    <row r="4138" spans="1:167">
      <c r="A4138" s="571"/>
      <c r="B4138" s="1008"/>
      <c r="C4138" s="7"/>
      <c r="P4138" s="7"/>
      <c r="AX4138" s="7"/>
      <c r="BP4138" s="61"/>
      <c r="CF4138" s="104"/>
      <c r="CG4138" s="105"/>
      <c r="FK4138" s="7"/>
    </row>
    <row r="4139" spans="1:167">
      <c r="A4139" s="571"/>
      <c r="B4139" s="1008"/>
      <c r="C4139" s="7"/>
      <c r="P4139" s="7"/>
      <c r="AX4139" s="7"/>
      <c r="BP4139" s="61"/>
      <c r="CF4139" s="104"/>
      <c r="CG4139" s="105"/>
      <c r="FK4139" s="7"/>
    </row>
    <row r="4140" spans="1:167">
      <c r="A4140" s="571"/>
      <c r="B4140" s="1008"/>
      <c r="C4140" s="7"/>
      <c r="P4140" s="7"/>
      <c r="AX4140" s="7"/>
      <c r="BP4140" s="61"/>
      <c r="CF4140" s="104"/>
      <c r="CG4140" s="105"/>
      <c r="FK4140" s="7"/>
    </row>
    <row r="4141" spans="1:167">
      <c r="A4141" s="571"/>
      <c r="B4141" s="1008"/>
      <c r="C4141" s="7"/>
      <c r="P4141" s="7"/>
      <c r="AX4141" s="7"/>
      <c r="BP4141" s="61"/>
      <c r="CF4141" s="104"/>
      <c r="CG4141" s="105"/>
      <c r="FK4141" s="7"/>
    </row>
    <row r="4142" spans="1:167">
      <c r="A4142" s="571"/>
      <c r="B4142" s="1008"/>
      <c r="C4142" s="7"/>
      <c r="P4142" s="7"/>
      <c r="AX4142" s="7"/>
      <c r="BP4142" s="61"/>
      <c r="CF4142" s="104"/>
      <c r="CG4142" s="105"/>
      <c r="FK4142" s="7"/>
    </row>
    <row r="4143" spans="1:167">
      <c r="A4143" s="571"/>
      <c r="B4143" s="1008"/>
      <c r="C4143" s="7"/>
      <c r="P4143" s="7"/>
      <c r="AX4143" s="7"/>
      <c r="BP4143" s="61"/>
      <c r="CF4143" s="104"/>
      <c r="CG4143" s="105"/>
      <c r="FK4143" s="7"/>
    </row>
    <row r="4144" spans="1:167">
      <c r="A4144" s="571"/>
      <c r="B4144" s="1008"/>
      <c r="C4144" s="7"/>
      <c r="P4144" s="7"/>
      <c r="AX4144" s="7"/>
      <c r="BP4144" s="61"/>
      <c r="CF4144" s="104"/>
      <c r="CG4144" s="105"/>
      <c r="FK4144" s="7"/>
    </row>
    <row r="4145" spans="1:167">
      <c r="A4145" s="571"/>
      <c r="B4145" s="1008"/>
      <c r="C4145" s="7"/>
      <c r="P4145" s="7"/>
      <c r="AX4145" s="7"/>
      <c r="BP4145" s="61"/>
      <c r="CF4145" s="104"/>
      <c r="CG4145" s="105"/>
      <c r="FK4145" s="7"/>
    </row>
    <row r="4146" spans="1:167">
      <c r="A4146" s="571"/>
      <c r="B4146" s="1008"/>
      <c r="C4146" s="7"/>
      <c r="P4146" s="7"/>
      <c r="AX4146" s="7"/>
      <c r="BP4146" s="61"/>
      <c r="CF4146" s="104"/>
      <c r="CG4146" s="105"/>
      <c r="FK4146" s="7"/>
    </row>
    <row r="4147" spans="1:167">
      <c r="A4147" s="571"/>
      <c r="B4147" s="1008"/>
      <c r="C4147" s="7"/>
      <c r="P4147" s="7"/>
      <c r="AX4147" s="7"/>
      <c r="BP4147" s="61"/>
      <c r="CF4147" s="104"/>
      <c r="CG4147" s="105"/>
      <c r="FK4147" s="7"/>
    </row>
    <row r="4148" spans="1:167">
      <c r="A4148" s="571"/>
      <c r="B4148" s="1008"/>
      <c r="C4148" s="7"/>
      <c r="P4148" s="7"/>
      <c r="AX4148" s="7"/>
      <c r="BP4148" s="61"/>
      <c r="CF4148" s="104"/>
      <c r="CG4148" s="105"/>
      <c r="FK4148" s="7"/>
    </row>
    <row r="4149" spans="1:167">
      <c r="A4149" s="571"/>
      <c r="B4149" s="1008"/>
      <c r="C4149" s="7"/>
      <c r="P4149" s="7"/>
      <c r="AX4149" s="7"/>
      <c r="BP4149" s="61"/>
      <c r="CF4149" s="104"/>
      <c r="CG4149" s="105"/>
      <c r="FK4149" s="7"/>
    </row>
    <row r="4150" spans="1:167">
      <c r="A4150" s="571"/>
      <c r="B4150" s="1008"/>
      <c r="C4150" s="7"/>
      <c r="P4150" s="7"/>
      <c r="AX4150" s="7"/>
      <c r="BP4150" s="61"/>
      <c r="CF4150" s="104"/>
      <c r="CG4150" s="105"/>
      <c r="FK4150" s="7"/>
    </row>
    <row r="4151" spans="1:167">
      <c r="A4151" s="571"/>
      <c r="B4151" s="1008"/>
      <c r="C4151" s="7"/>
      <c r="P4151" s="7"/>
      <c r="AX4151" s="7"/>
      <c r="BP4151" s="61"/>
      <c r="CF4151" s="104"/>
      <c r="CG4151" s="105"/>
      <c r="FK4151" s="7"/>
    </row>
    <row r="4152" spans="1:167">
      <c r="A4152" s="571"/>
      <c r="B4152" s="1008"/>
      <c r="C4152" s="7"/>
      <c r="P4152" s="7"/>
      <c r="AX4152" s="7"/>
      <c r="BP4152" s="61"/>
      <c r="CF4152" s="104"/>
      <c r="CG4152" s="105"/>
      <c r="FK4152" s="7"/>
    </row>
    <row r="4153" spans="1:167">
      <c r="A4153" s="571"/>
      <c r="B4153" s="1008"/>
      <c r="C4153" s="7"/>
      <c r="P4153" s="7"/>
      <c r="AX4153" s="7"/>
      <c r="BP4153" s="61"/>
      <c r="CF4153" s="104"/>
      <c r="CG4153" s="105"/>
      <c r="FK4153" s="7"/>
    </row>
    <row r="4154" spans="1:167">
      <c r="A4154" s="571"/>
      <c r="B4154" s="1008"/>
      <c r="C4154" s="7"/>
      <c r="P4154" s="7"/>
      <c r="AX4154" s="7"/>
      <c r="BP4154" s="61"/>
      <c r="CF4154" s="104"/>
      <c r="CG4154" s="105"/>
      <c r="FK4154" s="7"/>
    </row>
    <row r="4155" spans="1:167">
      <c r="A4155" s="571"/>
      <c r="B4155" s="1008"/>
      <c r="C4155" s="7"/>
      <c r="P4155" s="7"/>
      <c r="AX4155" s="7"/>
      <c r="BP4155" s="61"/>
      <c r="CF4155" s="104"/>
      <c r="CG4155" s="105"/>
      <c r="FK4155" s="7"/>
    </row>
    <row r="4156" spans="1:167">
      <c r="A4156" s="571"/>
      <c r="B4156" s="1008"/>
      <c r="C4156" s="7"/>
      <c r="P4156" s="7"/>
      <c r="AX4156" s="7"/>
      <c r="BP4156" s="61"/>
      <c r="CF4156" s="104"/>
      <c r="CG4156" s="105"/>
      <c r="FK4156" s="7"/>
    </row>
    <row r="4157" spans="1:167">
      <c r="A4157" s="571"/>
      <c r="B4157" s="1008"/>
      <c r="C4157" s="7"/>
      <c r="P4157" s="7"/>
      <c r="AX4157" s="7"/>
      <c r="BP4157" s="61"/>
      <c r="CF4157" s="104"/>
      <c r="CG4157" s="105"/>
      <c r="FK4157" s="7"/>
    </row>
    <row r="4158" spans="1:167">
      <c r="A4158" s="571"/>
      <c r="B4158" s="1008"/>
      <c r="C4158" s="7"/>
      <c r="P4158" s="7"/>
      <c r="AX4158" s="7"/>
      <c r="BP4158" s="61"/>
      <c r="CF4158" s="104"/>
      <c r="CG4158" s="105"/>
      <c r="FK4158" s="7"/>
    </row>
    <row r="4159" spans="1:167">
      <c r="A4159" s="571"/>
      <c r="B4159" s="1008"/>
      <c r="C4159" s="7"/>
      <c r="P4159" s="7"/>
      <c r="AX4159" s="7"/>
      <c r="BP4159" s="61"/>
      <c r="CF4159" s="104"/>
      <c r="CG4159" s="105"/>
      <c r="FK4159" s="7"/>
    </row>
    <row r="4160" spans="1:167">
      <c r="A4160" s="571"/>
      <c r="B4160" s="1008"/>
      <c r="C4160" s="7"/>
      <c r="P4160" s="7"/>
      <c r="AX4160" s="7"/>
      <c r="BP4160" s="61"/>
      <c r="CF4160" s="104"/>
      <c r="CG4160" s="105"/>
      <c r="FK4160" s="7"/>
    </row>
    <row r="4161" spans="1:167">
      <c r="A4161" s="571"/>
      <c r="B4161" s="1008"/>
      <c r="C4161" s="7"/>
      <c r="P4161" s="7"/>
      <c r="AX4161" s="7"/>
      <c r="BP4161" s="61"/>
      <c r="CF4161" s="104"/>
      <c r="CG4161" s="105"/>
      <c r="FK4161" s="7"/>
    </row>
    <row r="4162" spans="1:167">
      <c r="A4162" s="571"/>
      <c r="B4162" s="1008"/>
      <c r="C4162" s="7"/>
      <c r="P4162" s="7"/>
      <c r="AX4162" s="7"/>
      <c r="BP4162" s="61"/>
      <c r="CF4162" s="104"/>
      <c r="CG4162" s="105"/>
      <c r="FK4162" s="7"/>
    </row>
    <row r="4163" spans="1:167">
      <c r="A4163" s="571"/>
      <c r="B4163" s="1008"/>
      <c r="C4163" s="7"/>
      <c r="P4163" s="7"/>
      <c r="AX4163" s="7"/>
      <c r="BP4163" s="61"/>
      <c r="CF4163" s="104"/>
      <c r="CG4163" s="105"/>
      <c r="FK4163" s="7"/>
    </row>
    <row r="4164" spans="1:167">
      <c r="A4164" s="571"/>
      <c r="B4164" s="1008"/>
      <c r="C4164" s="7"/>
      <c r="P4164" s="7"/>
      <c r="AX4164" s="7"/>
      <c r="BP4164" s="61"/>
      <c r="CF4164" s="104"/>
      <c r="CG4164" s="105"/>
      <c r="FK4164" s="7"/>
    </row>
    <row r="4165" spans="1:167">
      <c r="A4165" s="571"/>
      <c r="B4165" s="1008"/>
      <c r="C4165" s="7"/>
      <c r="P4165" s="7"/>
      <c r="AX4165" s="7"/>
      <c r="BP4165" s="61"/>
      <c r="CF4165" s="104"/>
      <c r="CG4165" s="105"/>
      <c r="FK4165" s="7"/>
    </row>
    <row r="4166" spans="1:167">
      <c r="A4166" s="571"/>
      <c r="B4166" s="1008"/>
      <c r="C4166" s="7"/>
      <c r="P4166" s="7"/>
      <c r="AX4166" s="7"/>
      <c r="BP4166" s="61"/>
      <c r="CF4166" s="104"/>
      <c r="CG4166" s="105"/>
      <c r="FK4166" s="7"/>
    </row>
    <row r="4167" spans="1:167">
      <c r="A4167" s="571"/>
      <c r="B4167" s="1008"/>
      <c r="C4167" s="7"/>
      <c r="P4167" s="7"/>
      <c r="AX4167" s="7"/>
      <c r="BP4167" s="61"/>
      <c r="CF4167" s="104"/>
      <c r="CG4167" s="105"/>
      <c r="FK4167" s="7"/>
    </row>
    <row r="4168" spans="1:167">
      <c r="A4168" s="571"/>
      <c r="B4168" s="1008"/>
      <c r="C4168" s="7"/>
      <c r="P4168" s="7"/>
      <c r="AX4168" s="7"/>
      <c r="BP4168" s="61"/>
      <c r="CF4168" s="104"/>
      <c r="CG4168" s="105"/>
      <c r="FK4168" s="7"/>
    </row>
    <row r="4169" spans="1:167">
      <c r="A4169" s="571"/>
      <c r="B4169" s="1008"/>
      <c r="C4169" s="7"/>
      <c r="P4169" s="7"/>
      <c r="AX4169" s="7"/>
      <c r="BP4169" s="61"/>
      <c r="CF4169" s="104"/>
      <c r="CG4169" s="105"/>
      <c r="FK4169" s="7"/>
    </row>
    <row r="4170" spans="1:167">
      <c r="A4170" s="571"/>
      <c r="B4170" s="1008"/>
      <c r="C4170" s="7"/>
      <c r="P4170" s="7"/>
      <c r="AX4170" s="7"/>
      <c r="BP4170" s="61"/>
      <c r="CF4170" s="104"/>
      <c r="CG4170" s="105"/>
      <c r="FK4170" s="7"/>
    </row>
    <row r="4171" spans="1:167">
      <c r="A4171" s="571"/>
      <c r="B4171" s="1008"/>
      <c r="C4171" s="7"/>
      <c r="P4171" s="7"/>
      <c r="AX4171" s="7"/>
      <c r="BP4171" s="61"/>
      <c r="CF4171" s="104"/>
      <c r="CG4171" s="105"/>
      <c r="FK4171" s="7"/>
    </row>
    <row r="4172" spans="1:167">
      <c r="A4172" s="571"/>
      <c r="B4172" s="1008"/>
      <c r="C4172" s="7"/>
      <c r="P4172" s="7"/>
      <c r="AX4172" s="7"/>
      <c r="BP4172" s="61"/>
      <c r="CF4172" s="104"/>
      <c r="CG4172" s="105"/>
      <c r="FK4172" s="7"/>
    </row>
    <row r="4173" spans="1:167">
      <c r="A4173" s="571"/>
      <c r="B4173" s="1008"/>
      <c r="C4173" s="7"/>
      <c r="P4173" s="7"/>
      <c r="AX4173" s="7"/>
      <c r="BP4173" s="61"/>
      <c r="CF4173" s="104"/>
      <c r="CG4173" s="105"/>
      <c r="FK4173" s="7"/>
    </row>
    <row r="4174" spans="1:167">
      <c r="A4174" s="571"/>
      <c r="B4174" s="1008"/>
      <c r="C4174" s="7"/>
      <c r="P4174" s="7"/>
      <c r="AX4174" s="7"/>
      <c r="BP4174" s="61"/>
      <c r="CF4174" s="104"/>
      <c r="CG4174" s="105"/>
      <c r="FK4174" s="7"/>
    </row>
    <row r="4175" spans="1:167">
      <c r="A4175" s="571"/>
      <c r="B4175" s="1008"/>
      <c r="C4175" s="7"/>
      <c r="P4175" s="7"/>
      <c r="AX4175" s="7"/>
      <c r="BP4175" s="61"/>
      <c r="CF4175" s="104"/>
      <c r="CG4175" s="105"/>
      <c r="FK4175" s="7"/>
    </row>
    <row r="4176" spans="1:167">
      <c r="A4176" s="571"/>
      <c r="B4176" s="1008"/>
      <c r="C4176" s="7"/>
      <c r="P4176" s="7"/>
      <c r="AX4176" s="7"/>
      <c r="BP4176" s="61"/>
      <c r="CF4176" s="104"/>
      <c r="CG4176" s="105"/>
      <c r="FK4176" s="7"/>
    </row>
    <row r="4177" spans="1:167">
      <c r="A4177" s="571"/>
      <c r="B4177" s="1008"/>
      <c r="C4177" s="7"/>
      <c r="P4177" s="7"/>
      <c r="AX4177" s="7"/>
      <c r="BP4177" s="61"/>
      <c r="CF4177" s="104"/>
      <c r="CG4177" s="105"/>
      <c r="FK4177" s="7"/>
    </row>
    <row r="4178" spans="1:167">
      <c r="A4178" s="571"/>
      <c r="B4178" s="1008"/>
      <c r="C4178" s="7"/>
      <c r="P4178" s="7"/>
      <c r="AX4178" s="7"/>
      <c r="BP4178" s="61"/>
      <c r="CF4178" s="104"/>
      <c r="CG4178" s="105"/>
      <c r="FK4178" s="7"/>
    </row>
    <row r="4179" spans="1:167">
      <c r="A4179" s="571"/>
      <c r="B4179" s="1008"/>
      <c r="C4179" s="7"/>
      <c r="P4179" s="7"/>
      <c r="AX4179" s="7"/>
      <c r="BP4179" s="61"/>
      <c r="CF4179" s="104"/>
      <c r="CG4179" s="105"/>
      <c r="FK4179" s="7"/>
    </row>
    <row r="4180" spans="1:167">
      <c r="A4180" s="571"/>
      <c r="B4180" s="1008"/>
      <c r="C4180" s="7"/>
      <c r="P4180" s="7"/>
      <c r="AX4180" s="7"/>
      <c r="BP4180" s="61"/>
      <c r="CF4180" s="104"/>
      <c r="CG4180" s="105"/>
      <c r="FK4180" s="7"/>
    </row>
    <row r="4181" spans="1:167">
      <c r="A4181" s="571"/>
      <c r="B4181" s="1008"/>
      <c r="C4181" s="7"/>
      <c r="P4181" s="7"/>
      <c r="AX4181" s="7"/>
      <c r="BP4181" s="61"/>
      <c r="CF4181" s="104"/>
      <c r="CG4181" s="105"/>
      <c r="FK4181" s="7"/>
    </row>
    <row r="4182" spans="1:167">
      <c r="A4182" s="571"/>
      <c r="B4182" s="1008"/>
      <c r="C4182" s="7"/>
      <c r="P4182" s="7"/>
      <c r="AX4182" s="7"/>
      <c r="BP4182" s="61"/>
      <c r="CF4182" s="104"/>
      <c r="CG4182" s="105"/>
      <c r="FK4182" s="7"/>
    </row>
    <row r="4183" spans="1:167">
      <c r="A4183" s="571"/>
      <c r="B4183" s="1008"/>
      <c r="C4183" s="7"/>
      <c r="P4183" s="7"/>
      <c r="AX4183" s="7"/>
      <c r="BP4183" s="61"/>
      <c r="CF4183" s="104"/>
      <c r="CG4183" s="105"/>
      <c r="FK4183" s="7"/>
    </row>
    <row r="4184" spans="1:167">
      <c r="A4184" s="571"/>
      <c r="B4184" s="1008"/>
      <c r="C4184" s="7"/>
      <c r="P4184" s="7"/>
      <c r="AX4184" s="7"/>
      <c r="BP4184" s="61"/>
      <c r="CF4184" s="104"/>
      <c r="CG4184" s="105"/>
      <c r="FK4184" s="7"/>
    </row>
    <row r="4185" spans="1:167">
      <c r="A4185" s="571"/>
      <c r="B4185" s="1008"/>
      <c r="C4185" s="7"/>
      <c r="P4185" s="7"/>
      <c r="AX4185" s="7"/>
      <c r="BP4185" s="61"/>
      <c r="CF4185" s="104"/>
      <c r="CG4185" s="105"/>
      <c r="FK4185" s="7"/>
    </row>
    <row r="4186" spans="1:167">
      <c r="A4186" s="571"/>
      <c r="B4186" s="1008"/>
      <c r="C4186" s="7"/>
      <c r="P4186" s="7"/>
      <c r="AX4186" s="7"/>
      <c r="BP4186" s="61"/>
      <c r="CF4186" s="104"/>
      <c r="CG4186" s="105"/>
      <c r="FK4186" s="7"/>
    </row>
    <row r="4187" spans="1:167">
      <c r="A4187" s="571"/>
      <c r="B4187" s="1008"/>
      <c r="C4187" s="7"/>
      <c r="P4187" s="7"/>
      <c r="AX4187" s="7"/>
      <c r="BP4187" s="61"/>
      <c r="CF4187" s="104"/>
      <c r="CG4187" s="105"/>
      <c r="FK4187" s="7"/>
    </row>
    <row r="4188" spans="1:167">
      <c r="A4188" s="571"/>
      <c r="B4188" s="1008"/>
      <c r="C4188" s="7"/>
      <c r="P4188" s="7"/>
      <c r="AX4188" s="7"/>
      <c r="BP4188" s="61"/>
      <c r="CF4188" s="104"/>
      <c r="CG4188" s="105"/>
      <c r="FK4188" s="7"/>
    </row>
    <row r="4189" spans="1:167">
      <c r="A4189" s="571"/>
      <c r="B4189" s="1008"/>
      <c r="C4189" s="7"/>
      <c r="P4189" s="7"/>
      <c r="AX4189" s="7"/>
      <c r="BP4189" s="61"/>
      <c r="CF4189" s="104"/>
      <c r="CG4189" s="105"/>
      <c r="FK4189" s="7"/>
    </row>
    <row r="4190" spans="1:167">
      <c r="A4190" s="571"/>
      <c r="B4190" s="1008"/>
      <c r="C4190" s="7"/>
      <c r="P4190" s="7"/>
      <c r="AX4190" s="7"/>
      <c r="BP4190" s="61"/>
      <c r="CF4190" s="104"/>
      <c r="CG4190" s="105"/>
      <c r="FK4190" s="7"/>
    </row>
    <row r="4191" spans="1:167">
      <c r="A4191" s="571"/>
      <c r="B4191" s="1008"/>
      <c r="C4191" s="7"/>
      <c r="P4191" s="7"/>
      <c r="AX4191" s="7"/>
      <c r="BP4191" s="61"/>
      <c r="CF4191" s="104"/>
      <c r="CG4191" s="105"/>
      <c r="FK4191" s="7"/>
    </row>
    <row r="4192" spans="1:167">
      <c r="A4192" s="571"/>
      <c r="B4192" s="1008"/>
      <c r="C4192" s="7"/>
      <c r="P4192" s="7"/>
      <c r="AX4192" s="7"/>
      <c r="BP4192" s="61"/>
      <c r="CF4192" s="104"/>
      <c r="CG4192" s="105"/>
      <c r="FK4192" s="7"/>
    </row>
    <row r="4193" spans="1:167">
      <c r="A4193" s="571"/>
      <c r="B4193" s="1008"/>
      <c r="C4193" s="7"/>
      <c r="P4193" s="7"/>
      <c r="AX4193" s="7"/>
      <c r="BP4193" s="61"/>
      <c r="CF4193" s="104"/>
      <c r="CG4193" s="105"/>
      <c r="FK4193" s="7"/>
    </row>
    <row r="4194" spans="1:167">
      <c r="A4194" s="571"/>
      <c r="B4194" s="1008"/>
      <c r="C4194" s="7"/>
      <c r="P4194" s="7"/>
      <c r="AX4194" s="7"/>
      <c r="BP4194" s="61"/>
      <c r="CF4194" s="104"/>
      <c r="CG4194" s="105"/>
      <c r="FK4194" s="7"/>
    </row>
    <row r="4195" spans="1:167">
      <c r="A4195" s="571"/>
      <c r="B4195" s="1008"/>
      <c r="C4195" s="7"/>
      <c r="P4195" s="7"/>
      <c r="AX4195" s="7"/>
      <c r="BP4195" s="61"/>
      <c r="CF4195" s="104"/>
      <c r="CG4195" s="105"/>
      <c r="FK4195" s="7"/>
    </row>
    <row r="4196" spans="1:167">
      <c r="A4196" s="571"/>
      <c r="B4196" s="1008"/>
      <c r="C4196" s="7"/>
      <c r="P4196" s="7"/>
      <c r="AX4196" s="7"/>
      <c r="BP4196" s="61"/>
      <c r="CF4196" s="104"/>
      <c r="CG4196" s="105"/>
      <c r="FK4196" s="7"/>
    </row>
    <row r="4197" spans="1:167">
      <c r="A4197" s="571"/>
      <c r="B4197" s="1008"/>
      <c r="C4197" s="7"/>
      <c r="P4197" s="7"/>
      <c r="AX4197" s="7"/>
      <c r="BP4197" s="61"/>
      <c r="CF4197" s="104"/>
      <c r="CG4197" s="105"/>
      <c r="FK4197" s="7"/>
    </row>
    <row r="4198" spans="1:167">
      <c r="A4198" s="571"/>
      <c r="B4198" s="1008"/>
      <c r="C4198" s="7"/>
      <c r="P4198" s="7"/>
      <c r="AX4198" s="7"/>
      <c r="BP4198" s="61"/>
      <c r="CF4198" s="104"/>
      <c r="CG4198" s="105"/>
      <c r="FK4198" s="7"/>
    </row>
    <row r="4199" spans="1:167">
      <c r="A4199" s="571"/>
      <c r="B4199" s="1008"/>
      <c r="C4199" s="7"/>
      <c r="P4199" s="7"/>
      <c r="AX4199" s="7"/>
      <c r="BP4199" s="61"/>
      <c r="CF4199" s="104"/>
      <c r="CG4199" s="105"/>
      <c r="FK4199" s="7"/>
    </row>
    <row r="4200" spans="1:167">
      <c r="A4200" s="571"/>
      <c r="B4200" s="1008"/>
      <c r="C4200" s="7"/>
      <c r="P4200" s="7"/>
      <c r="AX4200" s="7"/>
      <c r="BP4200" s="61"/>
      <c r="CF4200" s="104"/>
      <c r="CG4200" s="105"/>
      <c r="FK4200" s="7"/>
    </row>
    <row r="4201" spans="1:167">
      <c r="A4201" s="571"/>
      <c r="B4201" s="1008"/>
      <c r="C4201" s="7"/>
      <c r="P4201" s="7"/>
      <c r="AX4201" s="7"/>
      <c r="BP4201" s="61"/>
      <c r="CF4201" s="104"/>
      <c r="CG4201" s="105"/>
      <c r="FK4201" s="7"/>
    </row>
    <row r="4202" spans="1:167">
      <c r="A4202" s="571"/>
      <c r="B4202" s="1008"/>
      <c r="C4202" s="7"/>
      <c r="P4202" s="7"/>
      <c r="AX4202" s="7"/>
      <c r="BP4202" s="61"/>
      <c r="CF4202" s="104"/>
      <c r="CG4202" s="105"/>
      <c r="FK4202" s="7"/>
    </row>
    <row r="4203" spans="1:167">
      <c r="A4203" s="571"/>
      <c r="B4203" s="1008"/>
      <c r="C4203" s="7"/>
      <c r="P4203" s="7"/>
      <c r="AX4203" s="7"/>
      <c r="BP4203" s="61"/>
      <c r="CF4203" s="104"/>
      <c r="CG4203" s="105"/>
      <c r="FK4203" s="7"/>
    </row>
    <row r="4204" spans="1:167">
      <c r="A4204" s="571"/>
      <c r="B4204" s="1008"/>
      <c r="C4204" s="7"/>
      <c r="P4204" s="7"/>
      <c r="AX4204" s="7"/>
      <c r="BP4204" s="61"/>
      <c r="CF4204" s="104"/>
      <c r="CG4204" s="105"/>
      <c r="FK4204" s="7"/>
    </row>
    <row r="4205" spans="1:167">
      <c r="A4205" s="571"/>
      <c r="B4205" s="1008"/>
      <c r="C4205" s="7"/>
      <c r="P4205" s="7"/>
      <c r="AX4205" s="7"/>
      <c r="BP4205" s="61"/>
      <c r="CF4205" s="104"/>
      <c r="CG4205" s="105"/>
      <c r="FK4205" s="7"/>
    </row>
    <row r="4206" spans="1:167">
      <c r="A4206" s="571"/>
      <c r="B4206" s="1008"/>
      <c r="C4206" s="7"/>
      <c r="P4206" s="7"/>
      <c r="AX4206" s="7"/>
      <c r="BP4206" s="61"/>
      <c r="CF4206" s="104"/>
      <c r="CG4206" s="105"/>
      <c r="FK4206" s="7"/>
    </row>
    <row r="4207" spans="1:167">
      <c r="A4207" s="571"/>
      <c r="B4207" s="1008"/>
      <c r="C4207" s="7"/>
      <c r="P4207" s="7"/>
      <c r="AX4207" s="7"/>
      <c r="BP4207" s="61"/>
      <c r="CF4207" s="104"/>
      <c r="CG4207" s="105"/>
      <c r="FK4207" s="7"/>
    </row>
    <row r="4208" spans="1:167">
      <c r="A4208" s="571"/>
      <c r="B4208" s="1008"/>
      <c r="C4208" s="7"/>
      <c r="P4208" s="7"/>
      <c r="AX4208" s="7"/>
      <c r="BP4208" s="61"/>
      <c r="CF4208" s="104"/>
      <c r="CG4208" s="105"/>
      <c r="FK4208" s="7"/>
    </row>
    <row r="4209" spans="1:167">
      <c r="A4209" s="571"/>
      <c r="B4209" s="1008"/>
      <c r="C4209" s="7"/>
      <c r="P4209" s="7"/>
      <c r="AX4209" s="7"/>
      <c r="BP4209" s="61"/>
      <c r="CF4209" s="104"/>
      <c r="CG4209" s="105"/>
      <c r="FK4209" s="7"/>
    </row>
    <row r="4210" spans="1:167">
      <c r="A4210" s="571"/>
      <c r="B4210" s="1008"/>
      <c r="C4210" s="7"/>
      <c r="P4210" s="7"/>
      <c r="AX4210" s="7"/>
      <c r="BP4210" s="61"/>
      <c r="CF4210" s="104"/>
      <c r="CG4210" s="105"/>
      <c r="FK4210" s="7"/>
    </row>
    <row r="4211" spans="1:167">
      <c r="A4211" s="571"/>
      <c r="B4211" s="1008"/>
      <c r="C4211" s="7"/>
      <c r="P4211" s="7"/>
      <c r="AX4211" s="7"/>
      <c r="BP4211" s="61"/>
      <c r="CF4211" s="104"/>
      <c r="CG4211" s="105"/>
      <c r="FK4211" s="7"/>
    </row>
    <row r="4212" spans="1:167">
      <c r="A4212" s="571"/>
      <c r="B4212" s="1008"/>
      <c r="C4212" s="7"/>
      <c r="P4212" s="7"/>
      <c r="AX4212" s="7"/>
      <c r="BP4212" s="61"/>
      <c r="CF4212" s="104"/>
      <c r="CG4212" s="105"/>
      <c r="FK4212" s="7"/>
    </row>
    <row r="4213" spans="1:167">
      <c r="A4213" s="571"/>
      <c r="B4213" s="1008"/>
      <c r="C4213" s="7"/>
      <c r="P4213" s="7"/>
      <c r="AX4213" s="7"/>
      <c r="BP4213" s="61"/>
      <c r="CF4213" s="104"/>
      <c r="CG4213" s="105"/>
      <c r="FK4213" s="7"/>
    </row>
    <row r="4214" spans="1:167">
      <c r="A4214" s="571"/>
      <c r="B4214" s="1008"/>
      <c r="C4214" s="7"/>
      <c r="P4214" s="7"/>
      <c r="AX4214" s="7"/>
      <c r="BP4214" s="61"/>
      <c r="CF4214" s="104"/>
      <c r="CG4214" s="105"/>
      <c r="FK4214" s="7"/>
    </row>
    <row r="4215" spans="1:167">
      <c r="A4215" s="571"/>
      <c r="B4215" s="1008"/>
      <c r="C4215" s="7"/>
      <c r="P4215" s="7"/>
      <c r="AX4215" s="7"/>
      <c r="BP4215" s="61"/>
      <c r="CF4215" s="104"/>
      <c r="CG4215" s="105"/>
      <c r="FK4215" s="7"/>
    </row>
    <row r="4216" spans="1:167">
      <c r="A4216" s="571"/>
      <c r="B4216" s="1008"/>
      <c r="C4216" s="7"/>
      <c r="P4216" s="7"/>
      <c r="AX4216" s="7"/>
      <c r="BP4216" s="61"/>
      <c r="CF4216" s="104"/>
      <c r="CG4216" s="105"/>
      <c r="FK4216" s="7"/>
    </row>
    <row r="4217" spans="1:167">
      <c r="A4217" s="571"/>
      <c r="B4217" s="1008"/>
      <c r="C4217" s="7"/>
      <c r="P4217" s="7"/>
      <c r="AX4217" s="7"/>
      <c r="BP4217" s="61"/>
      <c r="CF4217" s="104"/>
      <c r="CG4217" s="105"/>
      <c r="FK4217" s="7"/>
    </row>
    <row r="4218" spans="1:167">
      <c r="A4218" s="571"/>
      <c r="B4218" s="1008"/>
      <c r="C4218" s="7"/>
      <c r="P4218" s="7"/>
      <c r="AX4218" s="7"/>
      <c r="BP4218" s="61"/>
      <c r="CF4218" s="104"/>
      <c r="CG4218" s="105"/>
      <c r="FK4218" s="7"/>
    </row>
    <row r="4219" spans="1:167">
      <c r="A4219" s="571"/>
      <c r="B4219" s="1008"/>
      <c r="C4219" s="7"/>
      <c r="P4219" s="7"/>
      <c r="AX4219" s="7"/>
      <c r="BP4219" s="61"/>
      <c r="CF4219" s="104"/>
      <c r="CG4219" s="105"/>
      <c r="FK4219" s="7"/>
    </row>
    <row r="4220" spans="1:167">
      <c r="A4220" s="571"/>
      <c r="B4220" s="1008"/>
      <c r="C4220" s="7"/>
      <c r="P4220" s="7"/>
      <c r="AX4220" s="7"/>
      <c r="BP4220" s="61"/>
      <c r="CF4220" s="104"/>
      <c r="CG4220" s="105"/>
      <c r="FK4220" s="7"/>
    </row>
    <row r="4221" spans="1:167">
      <c r="A4221" s="571"/>
      <c r="B4221" s="1008"/>
      <c r="C4221" s="7"/>
      <c r="P4221" s="7"/>
      <c r="AX4221" s="7"/>
      <c r="BP4221" s="61"/>
      <c r="CF4221" s="104"/>
      <c r="CG4221" s="105"/>
      <c r="FK4221" s="7"/>
    </row>
    <row r="4222" spans="1:167">
      <c r="A4222" s="571"/>
      <c r="B4222" s="1008"/>
      <c r="C4222" s="7"/>
      <c r="P4222" s="7"/>
      <c r="AX4222" s="7"/>
      <c r="BP4222" s="61"/>
      <c r="CF4222" s="104"/>
      <c r="CG4222" s="105"/>
      <c r="FK4222" s="7"/>
    </row>
    <row r="4223" spans="1:167">
      <c r="A4223" s="571"/>
      <c r="B4223" s="1008"/>
      <c r="C4223" s="7"/>
      <c r="P4223" s="7"/>
      <c r="AX4223" s="7"/>
      <c r="BP4223" s="61"/>
      <c r="CF4223" s="104"/>
      <c r="CG4223" s="105"/>
      <c r="FK4223" s="7"/>
    </row>
    <row r="4224" spans="1:167">
      <c r="A4224" s="571"/>
      <c r="B4224" s="1008"/>
      <c r="C4224" s="7"/>
      <c r="P4224" s="7"/>
      <c r="AX4224" s="7"/>
      <c r="BP4224" s="61"/>
      <c r="CF4224" s="104"/>
      <c r="CG4224" s="105"/>
      <c r="FK4224" s="7"/>
    </row>
    <row r="4225" spans="1:167">
      <c r="A4225" s="571"/>
      <c r="B4225" s="1008"/>
      <c r="C4225" s="7"/>
      <c r="P4225" s="7"/>
      <c r="AX4225" s="7"/>
      <c r="BP4225" s="61"/>
      <c r="CF4225" s="104"/>
      <c r="CG4225" s="105"/>
      <c r="FK4225" s="7"/>
    </row>
    <row r="4226" spans="1:167">
      <c r="A4226" s="571"/>
      <c r="B4226" s="1008"/>
      <c r="C4226" s="7"/>
      <c r="P4226" s="7"/>
      <c r="AX4226" s="7"/>
      <c r="BP4226" s="61"/>
      <c r="CF4226" s="104"/>
      <c r="CG4226" s="105"/>
      <c r="FK4226" s="7"/>
    </row>
    <row r="4227" spans="1:167">
      <c r="A4227" s="571"/>
      <c r="B4227" s="1008"/>
      <c r="C4227" s="7"/>
      <c r="P4227" s="7"/>
      <c r="AX4227" s="7"/>
      <c r="BP4227" s="61"/>
      <c r="CF4227" s="104"/>
      <c r="CG4227" s="105"/>
      <c r="FK4227" s="7"/>
    </row>
    <row r="4228" spans="1:167">
      <c r="A4228" s="571"/>
      <c r="B4228" s="1008"/>
      <c r="C4228" s="7"/>
      <c r="P4228" s="7"/>
      <c r="AX4228" s="7"/>
      <c r="BP4228" s="61"/>
      <c r="CF4228" s="104"/>
      <c r="CG4228" s="105"/>
      <c r="FK4228" s="7"/>
    </row>
    <row r="4229" spans="1:167">
      <c r="A4229" s="571"/>
      <c r="B4229" s="1008"/>
      <c r="C4229" s="7"/>
      <c r="P4229" s="7"/>
      <c r="AX4229" s="7"/>
      <c r="BP4229" s="61"/>
      <c r="CF4229" s="104"/>
      <c r="CG4229" s="105"/>
      <c r="FK4229" s="7"/>
    </row>
    <row r="4230" spans="1:167">
      <c r="A4230" s="571"/>
      <c r="B4230" s="1008"/>
      <c r="C4230" s="7"/>
      <c r="P4230" s="7"/>
      <c r="AX4230" s="7"/>
      <c r="BP4230" s="61"/>
      <c r="CF4230" s="104"/>
      <c r="CG4230" s="105"/>
      <c r="FK4230" s="7"/>
    </row>
    <row r="4231" spans="1:167">
      <c r="A4231" s="571"/>
      <c r="B4231" s="1008"/>
      <c r="C4231" s="7"/>
      <c r="P4231" s="7"/>
      <c r="AX4231" s="7"/>
      <c r="BP4231" s="61"/>
      <c r="CF4231" s="104"/>
      <c r="CG4231" s="105"/>
      <c r="FK4231" s="7"/>
    </row>
    <row r="4232" spans="1:167">
      <c r="A4232" s="571"/>
      <c r="B4232" s="1008"/>
      <c r="C4232" s="7"/>
      <c r="P4232" s="7"/>
      <c r="AX4232" s="7"/>
      <c r="BP4232" s="61"/>
      <c r="CF4232" s="104"/>
      <c r="CG4232" s="105"/>
      <c r="FK4232" s="7"/>
    </row>
    <row r="4233" spans="1:167">
      <c r="A4233" s="571"/>
      <c r="B4233" s="1008"/>
      <c r="C4233" s="7"/>
      <c r="P4233" s="7"/>
      <c r="AX4233" s="7"/>
      <c r="BP4233" s="61"/>
      <c r="CF4233" s="104"/>
      <c r="CG4233" s="105"/>
      <c r="FK4233" s="7"/>
    </row>
    <row r="4234" spans="1:167">
      <c r="A4234" s="571"/>
      <c r="B4234" s="1008"/>
      <c r="C4234" s="7"/>
      <c r="P4234" s="7"/>
      <c r="AX4234" s="7"/>
      <c r="BP4234" s="61"/>
      <c r="CF4234" s="104"/>
      <c r="CG4234" s="105"/>
      <c r="FK4234" s="7"/>
    </row>
    <row r="4235" spans="1:167">
      <c r="A4235" s="571"/>
      <c r="B4235" s="1008"/>
      <c r="C4235" s="7"/>
      <c r="P4235" s="7"/>
      <c r="AX4235" s="7"/>
      <c r="BP4235" s="61"/>
      <c r="CF4235" s="104"/>
      <c r="CG4235" s="105"/>
      <c r="FK4235" s="7"/>
    </row>
    <row r="4236" spans="1:167">
      <c r="A4236" s="571"/>
      <c r="B4236" s="1008"/>
      <c r="C4236" s="7"/>
      <c r="P4236" s="7"/>
      <c r="AX4236" s="7"/>
      <c r="BP4236" s="61"/>
      <c r="CF4236" s="104"/>
      <c r="CG4236" s="105"/>
      <c r="FK4236" s="7"/>
    </row>
    <row r="4237" spans="1:167">
      <c r="A4237" s="571"/>
      <c r="B4237" s="1008"/>
      <c r="C4237" s="7"/>
      <c r="P4237" s="7"/>
      <c r="AX4237" s="7"/>
      <c r="BP4237" s="61"/>
      <c r="CF4237" s="104"/>
      <c r="CG4237" s="105"/>
      <c r="FK4237" s="7"/>
    </row>
    <row r="4238" spans="1:167">
      <c r="A4238" s="571"/>
      <c r="B4238" s="1008"/>
      <c r="C4238" s="7"/>
      <c r="P4238" s="7"/>
      <c r="AX4238" s="7"/>
      <c r="BP4238" s="61"/>
      <c r="CF4238" s="104"/>
      <c r="CG4238" s="105"/>
      <c r="FK4238" s="7"/>
    </row>
    <row r="4239" spans="1:167">
      <c r="A4239" s="571"/>
      <c r="B4239" s="1008"/>
      <c r="C4239" s="7"/>
      <c r="P4239" s="7"/>
      <c r="AX4239" s="7"/>
      <c r="BP4239" s="61"/>
      <c r="CF4239" s="104"/>
      <c r="CG4239" s="105"/>
      <c r="FK4239" s="7"/>
    </row>
    <row r="4240" spans="1:167">
      <c r="A4240" s="571"/>
      <c r="B4240" s="1008"/>
      <c r="C4240" s="7"/>
      <c r="P4240" s="7"/>
      <c r="AX4240" s="7"/>
      <c r="BP4240" s="61"/>
      <c r="CF4240" s="104"/>
      <c r="CG4240" s="105"/>
      <c r="FK4240" s="7"/>
    </row>
    <row r="4241" spans="1:167">
      <c r="A4241" s="571"/>
      <c r="B4241" s="1008"/>
      <c r="C4241" s="7"/>
      <c r="P4241" s="7"/>
      <c r="AX4241" s="7"/>
      <c r="BP4241" s="61"/>
      <c r="CF4241" s="104"/>
      <c r="CG4241" s="105"/>
      <c r="FK4241" s="7"/>
    </row>
    <row r="4242" spans="1:167">
      <c r="A4242" s="571"/>
      <c r="B4242" s="1008"/>
      <c r="C4242" s="7"/>
      <c r="P4242" s="7"/>
      <c r="AX4242" s="7"/>
      <c r="BP4242" s="61"/>
      <c r="CF4242" s="104"/>
      <c r="CG4242" s="105"/>
      <c r="FK4242" s="7"/>
    </row>
    <row r="4243" spans="1:167">
      <c r="A4243" s="571"/>
      <c r="B4243" s="1008"/>
      <c r="C4243" s="7"/>
      <c r="P4243" s="7"/>
      <c r="AX4243" s="7"/>
      <c r="BP4243" s="61"/>
      <c r="CF4243" s="104"/>
      <c r="CG4243" s="105"/>
      <c r="FK4243" s="7"/>
    </row>
    <row r="4244" spans="1:167">
      <c r="A4244" s="571"/>
      <c r="B4244" s="1008"/>
      <c r="C4244" s="7"/>
      <c r="P4244" s="7"/>
      <c r="AX4244" s="7"/>
      <c r="BP4244" s="61"/>
      <c r="CF4244" s="104"/>
      <c r="CG4244" s="105"/>
      <c r="FK4244" s="7"/>
    </row>
    <row r="4245" spans="1:167">
      <c r="A4245" s="571"/>
      <c r="B4245" s="1008"/>
      <c r="C4245" s="7"/>
      <c r="P4245" s="7"/>
      <c r="AX4245" s="7"/>
      <c r="BP4245" s="61"/>
      <c r="CF4245" s="104"/>
      <c r="CG4245" s="105"/>
      <c r="FK4245" s="7"/>
    </row>
    <row r="4246" spans="1:167">
      <c r="A4246" s="571"/>
      <c r="B4246" s="1008"/>
      <c r="C4246" s="7"/>
      <c r="P4246" s="7"/>
      <c r="AX4246" s="7"/>
      <c r="BP4246" s="61"/>
      <c r="CF4246" s="104"/>
      <c r="CG4246" s="105"/>
      <c r="FK4246" s="7"/>
    </row>
    <row r="4247" spans="1:167">
      <c r="A4247" s="571"/>
      <c r="B4247" s="1008"/>
      <c r="C4247" s="7"/>
      <c r="P4247" s="7"/>
      <c r="AX4247" s="7"/>
      <c r="BP4247" s="61"/>
      <c r="CF4247" s="104"/>
      <c r="CG4247" s="105"/>
      <c r="FK4247" s="7"/>
    </row>
    <row r="4248" spans="1:167">
      <c r="A4248" s="571"/>
      <c r="B4248" s="1008"/>
      <c r="C4248" s="7"/>
      <c r="P4248" s="7"/>
      <c r="AX4248" s="7"/>
      <c r="BP4248" s="61"/>
      <c r="CF4248" s="104"/>
      <c r="CG4248" s="105"/>
      <c r="FK4248" s="7"/>
    </row>
    <row r="4249" spans="1:167">
      <c r="A4249" s="571"/>
      <c r="B4249" s="1008"/>
      <c r="C4249" s="7"/>
      <c r="P4249" s="7"/>
      <c r="AX4249" s="7"/>
      <c r="BP4249" s="61"/>
      <c r="CF4249" s="104"/>
      <c r="CG4249" s="105"/>
      <c r="FK4249" s="7"/>
    </row>
    <row r="4250" spans="1:167">
      <c r="A4250" s="571"/>
      <c r="B4250" s="1008"/>
      <c r="C4250" s="7"/>
      <c r="P4250" s="7"/>
      <c r="AX4250" s="7"/>
      <c r="BP4250" s="61"/>
      <c r="CF4250" s="104"/>
      <c r="CG4250" s="105"/>
      <c r="FK4250" s="7"/>
    </row>
    <row r="4251" spans="1:167">
      <c r="A4251" s="571"/>
      <c r="B4251" s="1008"/>
      <c r="C4251" s="7"/>
      <c r="P4251" s="7"/>
      <c r="AX4251" s="7"/>
      <c r="BP4251" s="61"/>
      <c r="CF4251" s="104"/>
      <c r="CG4251" s="105"/>
      <c r="FK4251" s="7"/>
    </row>
    <row r="4252" spans="1:167">
      <c r="A4252" s="571"/>
      <c r="B4252" s="1008"/>
      <c r="C4252" s="7"/>
      <c r="P4252" s="7"/>
      <c r="AX4252" s="7"/>
      <c r="BP4252" s="61"/>
      <c r="CF4252" s="104"/>
      <c r="CG4252" s="105"/>
      <c r="FK4252" s="7"/>
    </row>
    <row r="4253" spans="1:167">
      <c r="A4253" s="571"/>
      <c r="B4253" s="1008"/>
      <c r="C4253" s="7"/>
      <c r="P4253" s="7"/>
      <c r="AX4253" s="7"/>
      <c r="BP4253" s="61"/>
      <c r="CF4253" s="104"/>
      <c r="CG4253" s="105"/>
      <c r="FK4253" s="7"/>
    </row>
    <row r="4254" spans="1:167">
      <c r="A4254" s="571"/>
      <c r="B4254" s="1008"/>
      <c r="C4254" s="7"/>
      <c r="P4254" s="7"/>
      <c r="AX4254" s="7"/>
      <c r="BP4254" s="61"/>
      <c r="CF4254" s="104"/>
      <c r="CG4254" s="105"/>
      <c r="FK4254" s="7"/>
    </row>
    <row r="4255" spans="1:167">
      <c r="A4255" s="571"/>
      <c r="B4255" s="1008"/>
      <c r="C4255" s="7"/>
      <c r="P4255" s="7"/>
      <c r="AX4255" s="7"/>
      <c r="BP4255" s="61"/>
      <c r="CF4255" s="104"/>
      <c r="CG4255" s="105"/>
      <c r="FK4255" s="7"/>
    </row>
    <row r="4256" spans="1:167">
      <c r="A4256" s="571"/>
      <c r="B4256" s="1008"/>
      <c r="C4256" s="7"/>
      <c r="P4256" s="7"/>
      <c r="AX4256" s="7"/>
      <c r="BP4256" s="61"/>
      <c r="CF4256" s="104"/>
      <c r="CG4256" s="105"/>
      <c r="FK4256" s="7"/>
    </row>
    <row r="4257" spans="1:167">
      <c r="A4257" s="571"/>
      <c r="B4257" s="1008"/>
      <c r="C4257" s="7"/>
      <c r="P4257" s="7"/>
      <c r="AX4257" s="7"/>
      <c r="BP4257" s="61"/>
      <c r="CF4257" s="104"/>
      <c r="CG4257" s="105"/>
      <c r="FK4257" s="7"/>
    </row>
    <row r="4258" spans="1:167">
      <c r="A4258" s="571"/>
      <c r="B4258" s="1008"/>
      <c r="C4258" s="7"/>
      <c r="P4258" s="7"/>
      <c r="AX4258" s="7"/>
      <c r="BP4258" s="61"/>
      <c r="CF4258" s="104"/>
      <c r="CG4258" s="105"/>
      <c r="FK4258" s="7"/>
    </row>
    <row r="4259" spans="1:167">
      <c r="A4259" s="571"/>
      <c r="B4259" s="1008"/>
      <c r="C4259" s="7"/>
      <c r="P4259" s="7"/>
      <c r="AX4259" s="7"/>
      <c r="BP4259" s="61"/>
      <c r="CF4259" s="104"/>
      <c r="CG4259" s="105"/>
      <c r="FK4259" s="7"/>
    </row>
    <row r="4260" spans="1:167">
      <c r="A4260" s="571"/>
      <c r="B4260" s="1008"/>
      <c r="C4260" s="7"/>
      <c r="P4260" s="7"/>
      <c r="AX4260" s="7"/>
      <c r="BP4260" s="61"/>
      <c r="CF4260" s="104"/>
      <c r="CG4260" s="105"/>
      <c r="FK4260" s="7"/>
    </row>
    <row r="4261" spans="1:167">
      <c r="A4261" s="571"/>
      <c r="B4261" s="1008"/>
      <c r="C4261" s="7"/>
      <c r="P4261" s="7"/>
      <c r="AX4261" s="7"/>
      <c r="BP4261" s="61"/>
      <c r="CF4261" s="104"/>
      <c r="CG4261" s="105"/>
      <c r="FK4261" s="7"/>
    </row>
    <row r="4262" spans="1:167">
      <c r="A4262" s="571"/>
      <c r="B4262" s="1008"/>
      <c r="C4262" s="7"/>
      <c r="P4262" s="7"/>
      <c r="AX4262" s="7"/>
      <c r="BP4262" s="61"/>
      <c r="CF4262" s="104"/>
      <c r="CG4262" s="105"/>
      <c r="FK4262" s="7"/>
    </row>
    <row r="4263" spans="1:167">
      <c r="A4263" s="571"/>
      <c r="B4263" s="1008"/>
      <c r="C4263" s="7"/>
      <c r="P4263" s="7"/>
      <c r="AX4263" s="7"/>
      <c r="BP4263" s="61"/>
      <c r="CF4263" s="104"/>
      <c r="CG4263" s="105"/>
      <c r="FK4263" s="7"/>
    </row>
    <row r="4264" spans="1:167">
      <c r="A4264" s="571"/>
      <c r="B4264" s="1008"/>
      <c r="C4264" s="7"/>
      <c r="P4264" s="7"/>
      <c r="AX4264" s="7"/>
      <c r="BP4264" s="61"/>
      <c r="CF4264" s="104"/>
      <c r="CG4264" s="105"/>
      <c r="FK4264" s="7"/>
    </row>
    <row r="4265" spans="1:167">
      <c r="A4265" s="571"/>
      <c r="B4265" s="1008"/>
      <c r="C4265" s="7"/>
      <c r="P4265" s="7"/>
      <c r="AX4265" s="7"/>
      <c r="BP4265" s="61"/>
      <c r="CF4265" s="104"/>
      <c r="CG4265" s="105"/>
      <c r="FK4265" s="7"/>
    </row>
    <row r="4266" spans="1:167">
      <c r="A4266" s="571"/>
      <c r="B4266" s="1008"/>
      <c r="C4266" s="7"/>
      <c r="P4266" s="7"/>
      <c r="AX4266" s="7"/>
      <c r="BP4266" s="61"/>
      <c r="CF4266" s="104"/>
      <c r="CG4266" s="105"/>
      <c r="FK4266" s="7"/>
    </row>
    <row r="4267" spans="1:167">
      <c r="A4267" s="571"/>
      <c r="B4267" s="1008"/>
      <c r="C4267" s="7"/>
      <c r="P4267" s="7"/>
      <c r="AX4267" s="7"/>
      <c r="BP4267" s="61"/>
      <c r="CF4267" s="104"/>
      <c r="CG4267" s="105"/>
      <c r="FK4267" s="7"/>
    </row>
    <row r="4268" spans="1:167">
      <c r="A4268" s="571"/>
      <c r="B4268" s="1008"/>
      <c r="C4268" s="7"/>
      <c r="P4268" s="7"/>
      <c r="AX4268" s="7"/>
      <c r="BP4268" s="61"/>
      <c r="CF4268" s="104"/>
      <c r="CG4268" s="105"/>
      <c r="FK4268" s="7"/>
    </row>
    <row r="4269" spans="1:167">
      <c r="A4269" s="571"/>
      <c r="B4269" s="1008"/>
      <c r="C4269" s="7"/>
      <c r="P4269" s="7"/>
      <c r="AX4269" s="7"/>
      <c r="BP4269" s="61"/>
      <c r="CF4269" s="104"/>
      <c r="CG4269" s="105"/>
      <c r="FK4269" s="7"/>
    </row>
    <row r="4270" spans="1:167">
      <c r="A4270" s="571"/>
      <c r="B4270" s="1008"/>
      <c r="C4270" s="7"/>
      <c r="P4270" s="7"/>
      <c r="AX4270" s="7"/>
      <c r="BP4270" s="61"/>
      <c r="CF4270" s="104"/>
      <c r="CG4270" s="105"/>
      <c r="FK4270" s="7"/>
    </row>
    <row r="4271" spans="1:167">
      <c r="A4271" s="571"/>
      <c r="B4271" s="1008"/>
      <c r="C4271" s="7"/>
      <c r="P4271" s="7"/>
      <c r="AX4271" s="7"/>
      <c r="BP4271" s="61"/>
      <c r="CF4271" s="104"/>
      <c r="CG4271" s="105"/>
      <c r="FK4271" s="7"/>
    </row>
    <row r="4272" spans="1:167">
      <c r="A4272" s="571"/>
      <c r="B4272" s="1008"/>
      <c r="C4272" s="7"/>
      <c r="P4272" s="7"/>
      <c r="AX4272" s="7"/>
      <c r="BP4272" s="61"/>
      <c r="CF4272" s="104"/>
      <c r="CG4272" s="105"/>
      <c r="FK4272" s="7"/>
    </row>
    <row r="4273" spans="1:167">
      <c r="A4273" s="571"/>
      <c r="B4273" s="1008"/>
      <c r="C4273" s="7"/>
      <c r="P4273" s="7"/>
      <c r="AX4273" s="7"/>
      <c r="BP4273" s="61"/>
      <c r="CF4273" s="104"/>
      <c r="CG4273" s="105"/>
      <c r="FK4273" s="7"/>
    </row>
    <row r="4274" spans="1:167">
      <c r="A4274" s="571"/>
      <c r="B4274" s="1008"/>
      <c r="C4274" s="7"/>
      <c r="P4274" s="7"/>
      <c r="AX4274" s="7"/>
      <c r="BP4274" s="61"/>
      <c r="CF4274" s="104"/>
      <c r="CG4274" s="105"/>
      <c r="FK4274" s="7"/>
    </row>
    <row r="4275" spans="1:167">
      <c r="A4275" s="571"/>
      <c r="B4275" s="1008"/>
      <c r="C4275" s="7"/>
      <c r="P4275" s="7"/>
      <c r="AX4275" s="7"/>
      <c r="BP4275" s="61"/>
      <c r="CF4275" s="104"/>
      <c r="CG4275" s="105"/>
      <c r="FK4275" s="7"/>
    </row>
    <row r="4276" spans="1:167">
      <c r="A4276" s="571"/>
      <c r="B4276" s="1008"/>
      <c r="C4276" s="7"/>
      <c r="P4276" s="7"/>
      <c r="AX4276" s="7"/>
      <c r="BP4276" s="61"/>
      <c r="CF4276" s="104"/>
      <c r="CG4276" s="105"/>
      <c r="FK4276" s="7"/>
    </row>
    <row r="4277" spans="1:167">
      <c r="A4277" s="571"/>
      <c r="B4277" s="1008"/>
      <c r="C4277" s="7"/>
      <c r="P4277" s="7"/>
      <c r="AX4277" s="7"/>
      <c r="BP4277" s="61"/>
      <c r="CF4277" s="104"/>
      <c r="CG4277" s="105"/>
      <c r="FK4277" s="7"/>
    </row>
    <row r="4278" spans="1:167">
      <c r="A4278" s="571"/>
      <c r="B4278" s="1008"/>
      <c r="C4278" s="7"/>
      <c r="P4278" s="7"/>
      <c r="AX4278" s="7"/>
      <c r="BP4278" s="61"/>
      <c r="CF4278" s="104"/>
      <c r="CG4278" s="105"/>
      <c r="FK4278" s="7"/>
    </row>
    <row r="4279" spans="1:167">
      <c r="A4279" s="571"/>
      <c r="B4279" s="1008"/>
      <c r="C4279" s="7"/>
      <c r="P4279" s="7"/>
      <c r="AX4279" s="7"/>
      <c r="BP4279" s="61"/>
      <c r="CF4279" s="104"/>
      <c r="CG4279" s="105"/>
      <c r="FK4279" s="7"/>
    </row>
    <row r="4280" spans="1:167">
      <c r="A4280" s="571"/>
      <c r="B4280" s="1008"/>
      <c r="C4280" s="7"/>
      <c r="P4280" s="7"/>
      <c r="AX4280" s="7"/>
      <c r="BP4280" s="61"/>
      <c r="CF4280" s="104"/>
      <c r="CG4280" s="105"/>
      <c r="FK4280" s="7"/>
    </row>
    <row r="4281" spans="1:167">
      <c r="A4281" s="571"/>
      <c r="B4281" s="1008"/>
      <c r="C4281" s="7"/>
      <c r="P4281" s="7"/>
      <c r="AX4281" s="7"/>
      <c r="BP4281" s="61"/>
      <c r="CF4281" s="104"/>
      <c r="CG4281" s="105"/>
      <c r="FK4281" s="7"/>
    </row>
    <row r="4282" spans="1:167">
      <c r="A4282" s="571"/>
      <c r="B4282" s="1008"/>
      <c r="C4282" s="7"/>
      <c r="P4282" s="7"/>
      <c r="AX4282" s="7"/>
      <c r="BP4282" s="61"/>
      <c r="CF4282" s="104"/>
      <c r="CG4282" s="105"/>
      <c r="FK4282" s="7"/>
    </row>
    <row r="4283" spans="1:167">
      <c r="A4283" s="571"/>
      <c r="B4283" s="1008"/>
      <c r="C4283" s="7"/>
      <c r="P4283" s="7"/>
      <c r="AX4283" s="7"/>
      <c r="BP4283" s="61"/>
      <c r="CF4283" s="104"/>
      <c r="CG4283" s="105"/>
      <c r="FK4283" s="7"/>
    </row>
    <row r="4284" spans="1:167">
      <c r="A4284" s="571"/>
      <c r="B4284" s="1008"/>
      <c r="C4284" s="7"/>
      <c r="P4284" s="7"/>
      <c r="AX4284" s="7"/>
      <c r="BP4284" s="61"/>
      <c r="CF4284" s="104"/>
      <c r="CG4284" s="105"/>
      <c r="FK4284" s="7"/>
    </row>
    <row r="4285" spans="1:167">
      <c r="A4285" s="571"/>
      <c r="B4285" s="1008"/>
      <c r="C4285" s="7"/>
      <c r="P4285" s="7"/>
      <c r="AX4285" s="7"/>
      <c r="BP4285" s="61"/>
      <c r="CF4285" s="104"/>
      <c r="CG4285" s="105"/>
      <c r="FK4285" s="7"/>
    </row>
    <row r="4286" spans="1:167">
      <c r="A4286" s="571"/>
      <c r="B4286" s="1008"/>
      <c r="C4286" s="7"/>
      <c r="P4286" s="7"/>
      <c r="AX4286" s="7"/>
      <c r="BP4286" s="61"/>
      <c r="CF4286" s="104"/>
      <c r="CG4286" s="105"/>
      <c r="FK4286" s="7"/>
    </row>
    <row r="4287" spans="1:167">
      <c r="A4287" s="571"/>
      <c r="B4287" s="1008"/>
      <c r="C4287" s="7"/>
      <c r="P4287" s="7"/>
      <c r="AX4287" s="7"/>
      <c r="BP4287" s="61"/>
      <c r="CF4287" s="104"/>
      <c r="CG4287" s="105"/>
      <c r="FK4287" s="7"/>
    </row>
    <row r="4288" spans="1:167">
      <c r="A4288" s="571"/>
      <c r="B4288" s="1008"/>
      <c r="C4288" s="7"/>
      <c r="P4288" s="7"/>
      <c r="AX4288" s="7"/>
      <c r="BP4288" s="61"/>
      <c r="CF4288" s="104"/>
      <c r="CG4288" s="105"/>
      <c r="FK4288" s="7"/>
    </row>
    <row r="4289" spans="1:167">
      <c r="A4289" s="571"/>
      <c r="B4289" s="1008"/>
      <c r="C4289" s="7"/>
      <c r="P4289" s="7"/>
      <c r="AX4289" s="7"/>
      <c r="BP4289" s="61"/>
      <c r="CF4289" s="104"/>
      <c r="CG4289" s="105"/>
      <c r="FK4289" s="7"/>
    </row>
    <row r="4290" spans="1:167">
      <c r="A4290" s="571"/>
      <c r="B4290" s="1008"/>
      <c r="C4290" s="7"/>
      <c r="P4290" s="7"/>
      <c r="AX4290" s="7"/>
      <c r="BP4290" s="61"/>
      <c r="CF4290" s="104"/>
      <c r="CG4290" s="105"/>
      <c r="FK4290" s="7"/>
    </row>
    <row r="4291" spans="1:167">
      <c r="A4291" s="571"/>
      <c r="B4291" s="1008"/>
      <c r="C4291" s="7"/>
      <c r="P4291" s="7"/>
      <c r="AX4291" s="7"/>
      <c r="BP4291" s="61"/>
      <c r="CF4291" s="104"/>
      <c r="CG4291" s="105"/>
      <c r="FK4291" s="7"/>
    </row>
    <row r="4292" spans="1:167">
      <c r="A4292" s="571"/>
      <c r="B4292" s="1008"/>
      <c r="C4292" s="7"/>
      <c r="P4292" s="7"/>
      <c r="AX4292" s="7"/>
      <c r="BP4292" s="61"/>
      <c r="CF4292" s="104"/>
      <c r="CG4292" s="105"/>
      <c r="FK4292" s="7"/>
    </row>
    <row r="4293" spans="1:167">
      <c r="A4293" s="571"/>
      <c r="B4293" s="1008"/>
      <c r="C4293" s="7"/>
      <c r="P4293" s="7"/>
      <c r="AX4293" s="7"/>
      <c r="BP4293" s="61"/>
      <c r="CF4293" s="104"/>
      <c r="CG4293" s="105"/>
      <c r="FK4293" s="7"/>
    </row>
    <row r="4294" spans="1:167">
      <c r="A4294" s="571"/>
      <c r="B4294" s="1008"/>
      <c r="C4294" s="7"/>
      <c r="P4294" s="7"/>
      <c r="AX4294" s="7"/>
      <c r="BP4294" s="61"/>
      <c r="CF4294" s="104"/>
      <c r="CG4294" s="105"/>
      <c r="FK4294" s="7"/>
    </row>
    <row r="4295" spans="1:167">
      <c r="A4295" s="571"/>
      <c r="B4295" s="1008"/>
      <c r="C4295" s="7"/>
      <c r="P4295" s="7"/>
      <c r="AX4295" s="7"/>
      <c r="BP4295" s="61"/>
      <c r="CF4295" s="104"/>
      <c r="CG4295" s="105"/>
      <c r="FK4295" s="7"/>
    </row>
    <row r="4296" spans="1:167">
      <c r="A4296" s="571"/>
      <c r="B4296" s="1008"/>
      <c r="C4296" s="7"/>
      <c r="P4296" s="7"/>
      <c r="AX4296" s="7"/>
      <c r="BP4296" s="61"/>
      <c r="CF4296" s="104"/>
      <c r="CG4296" s="105"/>
      <c r="FK4296" s="7"/>
    </row>
    <row r="4297" spans="1:167">
      <c r="A4297" s="571"/>
      <c r="B4297" s="1008"/>
      <c r="C4297" s="7"/>
      <c r="P4297" s="7"/>
      <c r="AX4297" s="7"/>
      <c r="BP4297" s="61"/>
      <c r="CF4297" s="104"/>
      <c r="CG4297" s="105"/>
      <c r="FK4297" s="7"/>
    </row>
    <row r="4298" spans="1:167">
      <c r="A4298" s="571"/>
      <c r="B4298" s="1008"/>
      <c r="C4298" s="7"/>
      <c r="P4298" s="7"/>
      <c r="AX4298" s="7"/>
      <c r="BP4298" s="61"/>
      <c r="CF4298" s="104"/>
      <c r="CG4298" s="105"/>
      <c r="FK4298" s="7"/>
    </row>
    <row r="4299" spans="1:167">
      <c r="A4299" s="571"/>
      <c r="B4299" s="1008"/>
      <c r="C4299" s="7"/>
      <c r="P4299" s="7"/>
      <c r="AX4299" s="7"/>
      <c r="BP4299" s="61"/>
      <c r="CF4299" s="104"/>
      <c r="CG4299" s="105"/>
      <c r="FK4299" s="7"/>
    </row>
    <row r="4300" spans="1:167">
      <c r="A4300" s="571"/>
      <c r="B4300" s="1008"/>
      <c r="C4300" s="7"/>
      <c r="P4300" s="7"/>
      <c r="AX4300" s="7"/>
      <c r="BP4300" s="61"/>
      <c r="CF4300" s="104"/>
      <c r="CG4300" s="105"/>
      <c r="FK4300" s="7"/>
    </row>
    <row r="4301" spans="1:167">
      <c r="A4301" s="571"/>
      <c r="B4301" s="1008"/>
      <c r="C4301" s="7"/>
      <c r="P4301" s="7"/>
      <c r="AX4301" s="7"/>
      <c r="BP4301" s="61"/>
      <c r="CF4301" s="104"/>
      <c r="CG4301" s="105"/>
      <c r="FK4301" s="7"/>
    </row>
    <row r="4302" spans="1:167">
      <c r="A4302" s="571"/>
      <c r="B4302" s="1008"/>
      <c r="C4302" s="7"/>
      <c r="P4302" s="7"/>
      <c r="AX4302" s="7"/>
      <c r="BP4302" s="61"/>
      <c r="CF4302" s="104"/>
      <c r="CG4302" s="105"/>
      <c r="FK4302" s="7"/>
    </row>
    <row r="4303" spans="1:167">
      <c r="A4303" s="571"/>
      <c r="B4303" s="1008"/>
      <c r="C4303" s="7"/>
      <c r="P4303" s="7"/>
      <c r="AX4303" s="7"/>
      <c r="BP4303" s="61"/>
      <c r="CF4303" s="104"/>
      <c r="CG4303" s="105"/>
      <c r="FK4303" s="7"/>
    </row>
    <row r="4304" spans="1:167">
      <c r="A4304" s="571"/>
      <c r="B4304" s="1008"/>
      <c r="C4304" s="7"/>
      <c r="P4304" s="7"/>
      <c r="AX4304" s="7"/>
      <c r="BP4304" s="61"/>
      <c r="CF4304" s="104"/>
      <c r="CG4304" s="105"/>
      <c r="FK4304" s="7"/>
    </row>
    <row r="4305" spans="1:167">
      <c r="A4305" s="571"/>
      <c r="B4305" s="1008"/>
      <c r="C4305" s="7"/>
      <c r="P4305" s="7"/>
      <c r="AX4305" s="7"/>
      <c r="BP4305" s="61"/>
      <c r="CF4305" s="104"/>
      <c r="CG4305" s="105"/>
      <c r="FK4305" s="7"/>
    </row>
    <row r="4306" spans="1:167">
      <c r="A4306" s="571"/>
      <c r="B4306" s="1008"/>
      <c r="C4306" s="7"/>
      <c r="P4306" s="7"/>
      <c r="AX4306" s="7"/>
      <c r="BP4306" s="61"/>
      <c r="CF4306" s="104"/>
      <c r="CG4306" s="105"/>
      <c r="FK4306" s="7"/>
    </row>
    <row r="4307" spans="1:167">
      <c r="A4307" s="571"/>
      <c r="B4307" s="1008"/>
      <c r="C4307" s="7"/>
      <c r="P4307" s="7"/>
      <c r="AX4307" s="7"/>
      <c r="BP4307" s="61"/>
      <c r="CF4307" s="104"/>
      <c r="CG4307" s="105"/>
      <c r="FK4307" s="7"/>
    </row>
    <row r="4308" spans="1:167">
      <c r="A4308" s="571"/>
      <c r="B4308" s="1008"/>
      <c r="C4308" s="7"/>
      <c r="P4308" s="7"/>
      <c r="AX4308" s="7"/>
      <c r="BP4308" s="61"/>
      <c r="CF4308" s="104"/>
      <c r="CG4308" s="105"/>
      <c r="FK4308" s="7"/>
    </row>
    <row r="4309" spans="1:167">
      <c r="A4309" s="571"/>
      <c r="B4309" s="1008"/>
      <c r="C4309" s="7"/>
      <c r="P4309" s="7"/>
      <c r="AX4309" s="7"/>
      <c r="BP4309" s="61"/>
      <c r="CF4309" s="104"/>
      <c r="CG4309" s="105"/>
      <c r="FK4309" s="7"/>
    </row>
    <row r="4310" spans="1:167">
      <c r="A4310" s="571"/>
      <c r="B4310" s="1008"/>
      <c r="C4310" s="7"/>
      <c r="P4310" s="7"/>
      <c r="AX4310" s="7"/>
      <c r="BP4310" s="61"/>
      <c r="CF4310" s="104"/>
      <c r="CG4310" s="105"/>
      <c r="FK4310" s="7"/>
    </row>
    <row r="4311" spans="1:167">
      <c r="A4311" s="571"/>
      <c r="B4311" s="1008"/>
      <c r="C4311" s="7"/>
      <c r="P4311" s="7"/>
      <c r="AX4311" s="7"/>
      <c r="BP4311" s="61"/>
      <c r="CF4311" s="104"/>
      <c r="CG4311" s="105"/>
      <c r="FK4311" s="7"/>
    </row>
    <row r="4312" spans="1:167">
      <c r="A4312" s="571"/>
      <c r="B4312" s="1008"/>
      <c r="C4312" s="7"/>
      <c r="P4312" s="7"/>
      <c r="AX4312" s="7"/>
      <c r="BP4312" s="61"/>
      <c r="CF4312" s="104"/>
      <c r="CG4312" s="105"/>
      <c r="FK4312" s="7"/>
    </row>
    <row r="4313" spans="1:167">
      <c r="A4313" s="571"/>
      <c r="B4313" s="1008"/>
      <c r="C4313" s="7"/>
      <c r="P4313" s="7"/>
      <c r="AX4313" s="7"/>
      <c r="BP4313" s="61"/>
      <c r="CF4313" s="104"/>
      <c r="CG4313" s="105"/>
      <c r="FK4313" s="7"/>
    </row>
    <row r="4314" spans="1:167">
      <c r="A4314" s="571"/>
      <c r="B4314" s="1008"/>
      <c r="C4314" s="7"/>
      <c r="P4314" s="7"/>
      <c r="AX4314" s="7"/>
      <c r="BP4314" s="61"/>
      <c r="CF4314" s="104"/>
      <c r="CG4314" s="105"/>
      <c r="FK4314" s="7"/>
    </row>
    <row r="4315" spans="1:167">
      <c r="A4315" s="571"/>
      <c r="B4315" s="1008"/>
      <c r="C4315" s="7"/>
      <c r="P4315" s="7"/>
      <c r="AX4315" s="7"/>
      <c r="BP4315" s="61"/>
      <c r="CF4315" s="104"/>
      <c r="CG4315" s="105"/>
      <c r="FK4315" s="7"/>
    </row>
    <row r="4316" spans="1:167">
      <c r="A4316" s="571"/>
      <c r="B4316" s="1008"/>
      <c r="C4316" s="7"/>
      <c r="P4316" s="7"/>
      <c r="AX4316" s="7"/>
      <c r="BP4316" s="61"/>
      <c r="CF4316" s="104"/>
      <c r="CG4316" s="105"/>
      <c r="FK4316" s="7"/>
    </row>
    <row r="4317" spans="1:167">
      <c r="A4317" s="571"/>
      <c r="B4317" s="1008"/>
      <c r="C4317" s="7"/>
      <c r="P4317" s="7"/>
      <c r="AX4317" s="7"/>
      <c r="BP4317" s="61"/>
      <c r="CF4317" s="104"/>
      <c r="CG4317" s="105"/>
      <c r="FK4317" s="7"/>
    </row>
    <row r="4318" spans="1:167">
      <c r="A4318" s="571"/>
      <c r="B4318" s="1008"/>
      <c r="C4318" s="7"/>
      <c r="P4318" s="7"/>
      <c r="AX4318" s="7"/>
      <c r="BP4318" s="61"/>
      <c r="CF4318" s="104"/>
      <c r="CG4318" s="105"/>
      <c r="FK4318" s="7"/>
    </row>
    <row r="4319" spans="1:167">
      <c r="A4319" s="571"/>
      <c r="B4319" s="1008"/>
      <c r="C4319" s="7"/>
      <c r="P4319" s="7"/>
      <c r="AX4319" s="7"/>
      <c r="BP4319" s="61"/>
      <c r="CF4319" s="104"/>
      <c r="CG4319" s="105"/>
      <c r="FK4319" s="7"/>
    </row>
    <row r="4320" spans="1:167">
      <c r="A4320" s="571"/>
      <c r="B4320" s="1008"/>
      <c r="C4320" s="7"/>
      <c r="P4320" s="7"/>
      <c r="AX4320" s="7"/>
      <c r="BP4320" s="61"/>
      <c r="CF4320" s="104"/>
      <c r="CG4320" s="105"/>
      <c r="FK4320" s="7"/>
    </row>
    <row r="4321" spans="1:167">
      <c r="A4321" s="571"/>
      <c r="B4321" s="1008"/>
      <c r="C4321" s="7"/>
      <c r="P4321" s="7"/>
      <c r="AX4321" s="7"/>
      <c r="BP4321" s="61"/>
      <c r="CF4321" s="104"/>
      <c r="CG4321" s="105"/>
      <c r="FK4321" s="7"/>
    </row>
    <row r="4322" spans="1:167">
      <c r="A4322" s="571"/>
      <c r="B4322" s="1008"/>
      <c r="C4322" s="7"/>
      <c r="P4322" s="7"/>
      <c r="AX4322" s="7"/>
      <c r="BP4322" s="61"/>
      <c r="CF4322" s="104"/>
      <c r="CG4322" s="105"/>
      <c r="FK4322" s="7"/>
    </row>
    <row r="4323" spans="1:167">
      <c r="A4323" s="571"/>
      <c r="B4323" s="1008"/>
      <c r="C4323" s="7"/>
      <c r="P4323" s="7"/>
      <c r="AX4323" s="7"/>
      <c r="BP4323" s="61"/>
      <c r="CF4323" s="104"/>
      <c r="CG4323" s="105"/>
      <c r="FK4323" s="7"/>
    </row>
    <row r="4324" spans="1:167">
      <c r="A4324" s="571"/>
      <c r="B4324" s="1008"/>
      <c r="C4324" s="7"/>
      <c r="P4324" s="7"/>
      <c r="AX4324" s="7"/>
      <c r="BP4324" s="61"/>
      <c r="CF4324" s="104"/>
      <c r="CG4324" s="105"/>
      <c r="FK4324" s="7"/>
    </row>
    <row r="4325" spans="1:167">
      <c r="A4325" s="571"/>
      <c r="B4325" s="1008"/>
      <c r="C4325" s="7"/>
      <c r="P4325" s="7"/>
      <c r="AX4325" s="7"/>
      <c r="BP4325" s="61"/>
      <c r="CF4325" s="104"/>
      <c r="CG4325" s="105"/>
      <c r="FK4325" s="7"/>
    </row>
    <row r="4326" spans="1:167">
      <c r="A4326" s="571"/>
      <c r="B4326" s="1008"/>
      <c r="C4326" s="7"/>
      <c r="P4326" s="7"/>
      <c r="AX4326" s="7"/>
      <c r="BP4326" s="61"/>
      <c r="CF4326" s="104"/>
      <c r="CG4326" s="105"/>
      <c r="FK4326" s="7"/>
    </row>
    <row r="4327" spans="1:167">
      <c r="A4327" s="571"/>
      <c r="B4327" s="1008"/>
      <c r="C4327" s="7"/>
      <c r="P4327" s="7"/>
      <c r="AX4327" s="7"/>
      <c r="BP4327" s="61"/>
      <c r="CF4327" s="104"/>
      <c r="CG4327" s="105"/>
      <c r="FK4327" s="7"/>
    </row>
    <row r="4328" spans="1:167">
      <c r="A4328" s="571"/>
      <c r="B4328" s="1008"/>
      <c r="C4328" s="7"/>
      <c r="P4328" s="7"/>
      <c r="AX4328" s="7"/>
      <c r="BP4328" s="61"/>
      <c r="CF4328" s="104"/>
      <c r="CG4328" s="105"/>
      <c r="FK4328" s="7"/>
    </row>
    <row r="4329" spans="1:167">
      <c r="A4329" s="571"/>
      <c r="B4329" s="1008"/>
      <c r="C4329" s="7"/>
      <c r="P4329" s="7"/>
      <c r="AX4329" s="7"/>
      <c r="BP4329" s="61"/>
      <c r="CF4329" s="104"/>
      <c r="CG4329" s="105"/>
      <c r="FK4329" s="7"/>
    </row>
    <row r="4330" spans="1:167">
      <c r="A4330" s="571"/>
      <c r="B4330" s="1008"/>
      <c r="C4330" s="7"/>
      <c r="P4330" s="7"/>
      <c r="AX4330" s="7"/>
      <c r="BP4330" s="61"/>
      <c r="CF4330" s="104"/>
      <c r="CG4330" s="105"/>
      <c r="FK4330" s="7"/>
    </row>
    <row r="4331" spans="1:167">
      <c r="A4331" s="571"/>
      <c r="B4331" s="1008"/>
      <c r="C4331" s="7"/>
      <c r="P4331" s="7"/>
      <c r="AX4331" s="7"/>
      <c r="BP4331" s="61"/>
      <c r="CF4331" s="104"/>
      <c r="CG4331" s="105"/>
      <c r="FK4331" s="7"/>
    </row>
    <row r="4332" spans="1:167">
      <c r="A4332" s="571"/>
      <c r="B4332" s="1008"/>
      <c r="C4332" s="7"/>
      <c r="P4332" s="7"/>
      <c r="AX4332" s="7"/>
      <c r="BP4332" s="61"/>
      <c r="CF4332" s="104"/>
      <c r="CG4332" s="105"/>
      <c r="FK4332" s="7"/>
    </row>
    <row r="4333" spans="1:167">
      <c r="A4333" s="571"/>
      <c r="B4333" s="1008"/>
      <c r="C4333" s="7"/>
      <c r="P4333" s="7"/>
      <c r="AX4333" s="7"/>
      <c r="BP4333" s="61"/>
      <c r="CF4333" s="104"/>
      <c r="CG4333" s="105"/>
      <c r="FK4333" s="7"/>
    </row>
    <row r="4334" spans="1:167">
      <c r="A4334" s="571"/>
      <c r="B4334" s="1008"/>
      <c r="C4334" s="7"/>
      <c r="P4334" s="7"/>
      <c r="AX4334" s="7"/>
      <c r="BP4334" s="61"/>
      <c r="CF4334" s="104"/>
      <c r="CG4334" s="105"/>
      <c r="FK4334" s="7"/>
    </row>
    <row r="4335" spans="1:167">
      <c r="A4335" s="571"/>
      <c r="B4335" s="1008"/>
      <c r="C4335" s="7"/>
      <c r="P4335" s="7"/>
      <c r="AX4335" s="7"/>
      <c r="BP4335" s="61"/>
      <c r="CF4335" s="104"/>
      <c r="CG4335" s="105"/>
      <c r="FK4335" s="7"/>
    </row>
    <row r="4336" spans="1:167">
      <c r="A4336" s="571"/>
      <c r="B4336" s="1008"/>
      <c r="C4336" s="7"/>
      <c r="P4336" s="7"/>
      <c r="AX4336" s="7"/>
      <c r="BP4336" s="61"/>
      <c r="CF4336" s="104"/>
      <c r="CG4336" s="105"/>
      <c r="FK4336" s="7"/>
    </row>
    <row r="4337" spans="1:167">
      <c r="A4337" s="571"/>
      <c r="B4337" s="1008"/>
      <c r="C4337" s="7"/>
      <c r="P4337" s="7"/>
      <c r="AX4337" s="7"/>
      <c r="BP4337" s="61"/>
      <c r="CF4337" s="104"/>
      <c r="CG4337" s="105"/>
      <c r="FK4337" s="7"/>
    </row>
    <row r="4338" spans="1:167">
      <c r="A4338" s="571"/>
      <c r="B4338" s="1008"/>
      <c r="C4338" s="7"/>
      <c r="P4338" s="7"/>
      <c r="AX4338" s="7"/>
      <c r="BP4338" s="61"/>
      <c r="CF4338" s="104"/>
      <c r="CG4338" s="105"/>
      <c r="FK4338" s="7"/>
    </row>
    <row r="4339" spans="1:167">
      <c r="A4339" s="571"/>
      <c r="B4339" s="1008"/>
      <c r="C4339" s="7"/>
      <c r="P4339" s="7"/>
      <c r="AX4339" s="7"/>
      <c r="BP4339" s="61"/>
      <c r="CF4339" s="104"/>
      <c r="CG4339" s="105"/>
      <c r="FK4339" s="7"/>
    </row>
    <row r="4340" spans="1:167">
      <c r="A4340" s="571"/>
      <c r="B4340" s="1008"/>
      <c r="C4340" s="7"/>
      <c r="P4340" s="7"/>
      <c r="AX4340" s="7"/>
      <c r="BP4340" s="61"/>
      <c r="CF4340" s="104"/>
      <c r="CG4340" s="105"/>
      <c r="FK4340" s="7"/>
    </row>
    <row r="4341" spans="1:167">
      <c r="A4341" s="571"/>
      <c r="B4341" s="1008"/>
      <c r="C4341" s="7"/>
      <c r="P4341" s="7"/>
      <c r="AX4341" s="7"/>
      <c r="BP4341" s="61"/>
      <c r="CF4341" s="104"/>
      <c r="CG4341" s="105"/>
      <c r="FK4341" s="7"/>
    </row>
    <row r="4342" spans="1:167">
      <c r="A4342" s="571"/>
      <c r="B4342" s="1008"/>
      <c r="C4342" s="7"/>
      <c r="P4342" s="7"/>
      <c r="AX4342" s="7"/>
      <c r="BP4342" s="61"/>
      <c r="CF4342" s="104"/>
      <c r="CG4342" s="105"/>
      <c r="FK4342" s="7"/>
    </row>
    <row r="4343" spans="1:167">
      <c r="A4343" s="571"/>
      <c r="B4343" s="1008"/>
      <c r="C4343" s="7"/>
      <c r="P4343" s="7"/>
      <c r="AX4343" s="7"/>
      <c r="BP4343" s="61"/>
      <c r="CF4343" s="104"/>
      <c r="CG4343" s="105"/>
      <c r="FK4343" s="7"/>
    </row>
    <row r="4344" spans="1:167">
      <c r="A4344" s="571"/>
      <c r="B4344" s="1008"/>
      <c r="C4344" s="7"/>
      <c r="P4344" s="7"/>
      <c r="AX4344" s="7"/>
      <c r="BP4344" s="61"/>
      <c r="CF4344" s="104"/>
      <c r="CG4344" s="105"/>
      <c r="FK4344" s="7"/>
    </row>
    <row r="4345" spans="1:167">
      <c r="A4345" s="571"/>
      <c r="B4345" s="1008"/>
      <c r="C4345" s="7"/>
      <c r="P4345" s="7"/>
      <c r="AX4345" s="7"/>
      <c r="BP4345" s="61"/>
      <c r="CF4345" s="104"/>
      <c r="CG4345" s="105"/>
      <c r="FK4345" s="7"/>
    </row>
    <row r="4346" spans="1:167">
      <c r="A4346" s="571"/>
      <c r="B4346" s="1008"/>
      <c r="C4346" s="7"/>
      <c r="P4346" s="7"/>
      <c r="AX4346" s="7"/>
      <c r="BP4346" s="61"/>
      <c r="CF4346" s="104"/>
      <c r="CG4346" s="105"/>
      <c r="FK4346" s="7"/>
    </row>
    <row r="4347" spans="1:167">
      <c r="A4347" s="571"/>
      <c r="B4347" s="1008"/>
      <c r="C4347" s="7"/>
      <c r="P4347" s="7"/>
      <c r="AX4347" s="7"/>
      <c r="BP4347" s="61"/>
      <c r="CF4347" s="104"/>
      <c r="CG4347" s="105"/>
      <c r="FK4347" s="7"/>
    </row>
    <row r="4348" spans="1:167">
      <c r="A4348" s="571"/>
      <c r="B4348" s="1008"/>
      <c r="C4348" s="7"/>
      <c r="P4348" s="7"/>
      <c r="AX4348" s="7"/>
      <c r="BP4348" s="61"/>
      <c r="CF4348" s="104"/>
      <c r="CG4348" s="105"/>
      <c r="FK4348" s="7"/>
    </row>
    <row r="4349" spans="1:167">
      <c r="A4349" s="571"/>
      <c r="B4349" s="1008"/>
      <c r="C4349" s="7"/>
      <c r="P4349" s="7"/>
      <c r="AX4349" s="7"/>
      <c r="BP4349" s="61"/>
      <c r="CF4349" s="104"/>
      <c r="CG4349" s="105"/>
      <c r="FK4349" s="7"/>
    </row>
    <row r="4350" spans="1:167">
      <c r="A4350" s="571"/>
      <c r="B4350" s="1008"/>
      <c r="C4350" s="7"/>
      <c r="P4350" s="7"/>
      <c r="AX4350" s="7"/>
      <c r="BP4350" s="61"/>
      <c r="CF4350" s="104"/>
      <c r="CG4350" s="105"/>
      <c r="FK4350" s="7"/>
    </row>
    <row r="4351" spans="1:167">
      <c r="A4351" s="571"/>
      <c r="B4351" s="1008"/>
      <c r="C4351" s="7"/>
      <c r="P4351" s="7"/>
      <c r="AX4351" s="7"/>
      <c r="BP4351" s="61"/>
      <c r="CF4351" s="104"/>
      <c r="CG4351" s="105"/>
      <c r="FK4351" s="7"/>
    </row>
    <row r="4352" spans="1:167">
      <c r="A4352" s="571"/>
      <c r="B4352" s="1008"/>
      <c r="C4352" s="7"/>
      <c r="P4352" s="7"/>
      <c r="AX4352" s="7"/>
      <c r="BP4352" s="61"/>
      <c r="CF4352" s="104"/>
      <c r="CG4352" s="105"/>
      <c r="FK4352" s="7"/>
    </row>
    <row r="4353" spans="1:167">
      <c r="A4353" s="571"/>
      <c r="B4353" s="1008"/>
      <c r="C4353" s="7"/>
      <c r="P4353" s="7"/>
      <c r="AX4353" s="7"/>
      <c r="BP4353" s="61"/>
      <c r="CF4353" s="104"/>
      <c r="CG4353" s="105"/>
      <c r="FK4353" s="7"/>
    </row>
    <row r="4354" spans="1:167">
      <c r="A4354" s="571"/>
      <c r="B4354" s="1008"/>
      <c r="C4354" s="7"/>
      <c r="P4354" s="7"/>
      <c r="AX4354" s="7"/>
      <c r="BP4354" s="61"/>
      <c r="CF4354" s="104"/>
      <c r="CG4354" s="105"/>
      <c r="FK4354" s="7"/>
    </row>
    <row r="4355" spans="1:167">
      <c r="A4355" s="571"/>
      <c r="B4355" s="1008"/>
      <c r="C4355" s="7"/>
      <c r="P4355" s="7"/>
      <c r="AX4355" s="7"/>
      <c r="BP4355" s="61"/>
      <c r="CF4355" s="104"/>
      <c r="CG4355" s="105"/>
      <c r="FK4355" s="7"/>
    </row>
    <row r="4356" spans="1:167">
      <c r="A4356" s="571"/>
      <c r="B4356" s="1008"/>
      <c r="C4356" s="7"/>
      <c r="P4356" s="7"/>
      <c r="AX4356" s="7"/>
      <c r="BP4356" s="61"/>
      <c r="CF4356" s="104"/>
      <c r="CG4356" s="105"/>
      <c r="FK4356" s="7"/>
    </row>
    <row r="4357" spans="1:167">
      <c r="A4357" s="571"/>
      <c r="B4357" s="1008"/>
      <c r="C4357" s="7"/>
      <c r="P4357" s="7"/>
      <c r="AX4357" s="7"/>
      <c r="BP4357" s="61"/>
      <c r="CF4357" s="104"/>
      <c r="CG4357" s="105"/>
      <c r="FK4357" s="7"/>
    </row>
    <row r="4358" spans="1:167">
      <c r="A4358" s="571"/>
      <c r="B4358" s="1008"/>
      <c r="C4358" s="7"/>
      <c r="P4358" s="7"/>
      <c r="AX4358" s="7"/>
      <c r="BP4358" s="61"/>
      <c r="CF4358" s="104"/>
      <c r="CG4358" s="105"/>
      <c r="FK4358" s="7"/>
    </row>
    <row r="4359" spans="1:167">
      <c r="A4359" s="571"/>
      <c r="B4359" s="1008"/>
      <c r="C4359" s="7"/>
      <c r="P4359" s="7"/>
      <c r="AX4359" s="7"/>
      <c r="BP4359" s="61"/>
      <c r="CF4359" s="104"/>
      <c r="CG4359" s="105"/>
      <c r="FK4359" s="7"/>
    </row>
    <row r="4360" spans="1:167">
      <c r="A4360" s="571"/>
      <c r="B4360" s="1008"/>
      <c r="C4360" s="7"/>
      <c r="P4360" s="7"/>
      <c r="AX4360" s="7"/>
      <c r="BP4360" s="61"/>
      <c r="CF4360" s="104"/>
      <c r="CG4360" s="105"/>
      <c r="FK4360" s="7"/>
    </row>
    <row r="4361" spans="1:167">
      <c r="A4361" s="571"/>
      <c r="B4361" s="1008"/>
      <c r="C4361" s="7"/>
      <c r="P4361" s="7"/>
      <c r="AX4361" s="7"/>
      <c r="BP4361" s="61"/>
      <c r="CF4361" s="104"/>
      <c r="CG4361" s="105"/>
      <c r="FK4361" s="7"/>
    </row>
    <row r="4362" spans="1:167">
      <c r="A4362" s="571"/>
      <c r="B4362" s="1008"/>
      <c r="C4362" s="7"/>
      <c r="P4362" s="7"/>
      <c r="AX4362" s="7"/>
      <c r="BP4362" s="61"/>
      <c r="CF4362" s="104"/>
      <c r="CG4362" s="105"/>
      <c r="FK4362" s="7"/>
    </row>
    <row r="4363" spans="1:167">
      <c r="A4363" s="571"/>
      <c r="B4363" s="1008"/>
      <c r="C4363" s="7"/>
      <c r="P4363" s="7"/>
      <c r="AX4363" s="7"/>
      <c r="BP4363" s="61"/>
      <c r="CF4363" s="104"/>
      <c r="CG4363" s="105"/>
      <c r="FK4363" s="7"/>
    </row>
    <row r="4364" spans="1:167">
      <c r="A4364" s="571"/>
      <c r="B4364" s="1008"/>
      <c r="C4364" s="7"/>
      <c r="P4364" s="7"/>
      <c r="AX4364" s="7"/>
      <c r="BP4364" s="61"/>
      <c r="CF4364" s="104"/>
      <c r="CG4364" s="105"/>
      <c r="FK4364" s="7"/>
    </row>
    <row r="4365" spans="1:167">
      <c r="A4365" s="571"/>
      <c r="B4365" s="1008"/>
      <c r="C4365" s="7"/>
      <c r="P4365" s="7"/>
      <c r="AX4365" s="7"/>
      <c r="BP4365" s="61"/>
      <c r="CF4365" s="104"/>
      <c r="CG4365" s="105"/>
      <c r="FK4365" s="7"/>
    </row>
    <row r="4366" spans="1:167">
      <c r="A4366" s="571"/>
      <c r="B4366" s="1008"/>
      <c r="C4366" s="7"/>
      <c r="P4366" s="7"/>
      <c r="AX4366" s="7"/>
      <c r="BP4366" s="61"/>
      <c r="CF4366" s="104"/>
      <c r="CG4366" s="105"/>
      <c r="FK4366" s="7"/>
    </row>
    <row r="4367" spans="1:167">
      <c r="A4367" s="571"/>
      <c r="B4367" s="1008"/>
      <c r="C4367" s="7"/>
      <c r="P4367" s="7"/>
      <c r="AX4367" s="7"/>
      <c r="BP4367" s="61"/>
      <c r="CF4367" s="104"/>
      <c r="CG4367" s="105"/>
      <c r="FK4367" s="7"/>
    </row>
    <row r="4368" spans="1:167">
      <c r="A4368" s="571"/>
      <c r="B4368" s="1008"/>
      <c r="C4368" s="7"/>
      <c r="P4368" s="7"/>
      <c r="AX4368" s="7"/>
      <c r="BP4368" s="61"/>
      <c r="CF4368" s="104"/>
      <c r="CG4368" s="105"/>
      <c r="FK4368" s="7"/>
    </row>
    <row r="4369" spans="1:167">
      <c r="A4369" s="571"/>
      <c r="B4369" s="1008"/>
      <c r="C4369" s="7"/>
      <c r="P4369" s="7"/>
      <c r="AX4369" s="7"/>
      <c r="BP4369" s="61"/>
      <c r="CF4369" s="104"/>
      <c r="CG4369" s="105"/>
      <c r="FK4369" s="7"/>
    </row>
    <row r="4370" spans="1:167">
      <c r="A4370" s="571"/>
      <c r="B4370" s="1008"/>
      <c r="C4370" s="7"/>
      <c r="P4370" s="7"/>
      <c r="AX4370" s="7"/>
      <c r="BP4370" s="61"/>
      <c r="CF4370" s="104"/>
      <c r="CG4370" s="105"/>
      <c r="FK4370" s="7"/>
    </row>
    <row r="4371" spans="1:167">
      <c r="A4371" s="571"/>
      <c r="B4371" s="1008"/>
      <c r="C4371" s="7"/>
      <c r="P4371" s="7"/>
      <c r="AX4371" s="7"/>
      <c r="BP4371" s="61"/>
      <c r="CF4371" s="104"/>
      <c r="CG4371" s="105"/>
      <c r="FK4371" s="7"/>
    </row>
    <row r="4372" spans="1:167">
      <c r="A4372" s="571"/>
      <c r="B4372" s="1008"/>
      <c r="C4372" s="7"/>
      <c r="P4372" s="7"/>
      <c r="AX4372" s="7"/>
      <c r="BP4372" s="61"/>
      <c r="CF4372" s="104"/>
      <c r="CG4372" s="105"/>
      <c r="FK4372" s="7"/>
    </row>
    <row r="4373" spans="1:167">
      <c r="A4373" s="571"/>
      <c r="B4373" s="1008"/>
      <c r="C4373" s="7"/>
      <c r="P4373" s="7"/>
      <c r="AX4373" s="7"/>
      <c r="BP4373" s="61"/>
      <c r="CF4373" s="104"/>
      <c r="CG4373" s="105"/>
      <c r="FK4373" s="7"/>
    </row>
    <row r="4374" spans="1:167">
      <c r="A4374" s="571"/>
      <c r="B4374" s="1008"/>
      <c r="C4374" s="7"/>
      <c r="P4374" s="7"/>
      <c r="AX4374" s="7"/>
      <c r="BP4374" s="61"/>
      <c r="CF4374" s="104"/>
      <c r="CG4374" s="105"/>
      <c r="FK4374" s="7"/>
    </row>
    <row r="4375" spans="1:167">
      <c r="A4375" s="571"/>
      <c r="B4375" s="1008"/>
      <c r="C4375" s="7"/>
      <c r="P4375" s="7"/>
      <c r="AX4375" s="7"/>
      <c r="BP4375" s="61"/>
      <c r="CF4375" s="104"/>
      <c r="CG4375" s="105"/>
      <c r="FK4375" s="7"/>
    </row>
    <row r="4376" spans="1:167">
      <c r="A4376" s="571"/>
      <c r="B4376" s="1008"/>
      <c r="C4376" s="7"/>
      <c r="P4376" s="7"/>
      <c r="AX4376" s="7"/>
      <c r="BP4376" s="61"/>
      <c r="CF4376" s="104"/>
      <c r="CG4376" s="105"/>
      <c r="FK4376" s="7"/>
    </row>
    <row r="4377" spans="1:167">
      <c r="A4377" s="571"/>
      <c r="B4377" s="1008"/>
      <c r="C4377" s="7"/>
      <c r="P4377" s="7"/>
      <c r="AX4377" s="7"/>
      <c r="BP4377" s="61"/>
      <c r="CF4377" s="104"/>
      <c r="CG4377" s="105"/>
      <c r="FK4377" s="7"/>
    </row>
    <row r="4378" spans="1:167">
      <c r="A4378" s="571"/>
      <c r="B4378" s="1008"/>
      <c r="C4378" s="7"/>
      <c r="P4378" s="7"/>
      <c r="AX4378" s="7"/>
      <c r="BP4378" s="61"/>
      <c r="CF4378" s="104"/>
      <c r="CG4378" s="105"/>
      <c r="FK4378" s="7"/>
    </row>
    <row r="4379" spans="1:167">
      <c r="A4379" s="571"/>
      <c r="B4379" s="1008"/>
      <c r="C4379" s="7"/>
      <c r="P4379" s="7"/>
      <c r="AX4379" s="7"/>
      <c r="BP4379" s="61"/>
      <c r="CF4379" s="104"/>
      <c r="CG4379" s="105"/>
      <c r="FK4379" s="7"/>
    </row>
    <row r="4380" spans="1:167">
      <c r="A4380" s="571"/>
      <c r="B4380" s="1008"/>
      <c r="C4380" s="7"/>
      <c r="P4380" s="7"/>
      <c r="AX4380" s="7"/>
      <c r="BP4380" s="61"/>
      <c r="CF4380" s="104"/>
      <c r="CG4380" s="105"/>
      <c r="FK4380" s="7"/>
    </row>
    <row r="4381" spans="1:167">
      <c r="A4381" s="571"/>
      <c r="B4381" s="1008"/>
      <c r="C4381" s="7"/>
      <c r="P4381" s="7"/>
      <c r="AX4381" s="7"/>
      <c r="BP4381" s="61"/>
      <c r="CF4381" s="104"/>
      <c r="CG4381" s="105"/>
      <c r="FK4381" s="7"/>
    </row>
    <row r="4382" spans="1:167">
      <c r="A4382" s="571"/>
      <c r="B4382" s="1008"/>
      <c r="C4382" s="7"/>
      <c r="P4382" s="7"/>
      <c r="AX4382" s="7"/>
      <c r="BP4382" s="61"/>
      <c r="CF4382" s="104"/>
      <c r="CG4382" s="105"/>
      <c r="FK4382" s="7"/>
    </row>
    <row r="4383" spans="1:167">
      <c r="A4383" s="571"/>
      <c r="B4383" s="1008"/>
      <c r="C4383" s="7"/>
      <c r="P4383" s="7"/>
      <c r="AX4383" s="7"/>
      <c r="BP4383" s="61"/>
      <c r="CF4383" s="104"/>
      <c r="CG4383" s="105"/>
      <c r="FK4383" s="7"/>
    </row>
    <row r="4384" spans="1:167">
      <c r="A4384" s="571"/>
      <c r="B4384" s="1008"/>
      <c r="C4384" s="7"/>
      <c r="P4384" s="7"/>
      <c r="AX4384" s="7"/>
      <c r="BP4384" s="61"/>
      <c r="CF4384" s="104"/>
      <c r="CG4384" s="105"/>
      <c r="FK4384" s="7"/>
    </row>
    <row r="4385" spans="1:167">
      <c r="A4385" s="571"/>
      <c r="B4385" s="1008"/>
      <c r="C4385" s="7"/>
      <c r="P4385" s="7"/>
      <c r="AX4385" s="7"/>
      <c r="BP4385" s="61"/>
      <c r="CF4385" s="104"/>
      <c r="CG4385" s="105"/>
      <c r="FK4385" s="7"/>
    </row>
    <row r="4386" spans="1:167">
      <c r="A4386" s="571"/>
      <c r="B4386" s="1008"/>
      <c r="C4386" s="7"/>
      <c r="P4386" s="7"/>
      <c r="AX4386" s="7"/>
      <c r="BP4386" s="61"/>
      <c r="CF4386" s="104"/>
      <c r="CG4386" s="105"/>
      <c r="FK4386" s="7"/>
    </row>
    <row r="4387" spans="1:167">
      <c r="A4387" s="571"/>
      <c r="B4387" s="1008"/>
      <c r="C4387" s="7"/>
      <c r="P4387" s="7"/>
      <c r="AX4387" s="7"/>
      <c r="BP4387" s="61"/>
      <c r="CF4387" s="104"/>
      <c r="CG4387" s="105"/>
      <c r="FK4387" s="7"/>
    </row>
    <row r="4388" spans="1:167">
      <c r="A4388" s="571"/>
      <c r="B4388" s="1008"/>
      <c r="C4388" s="7"/>
      <c r="P4388" s="7"/>
      <c r="AX4388" s="7"/>
      <c r="BP4388" s="61"/>
      <c r="CF4388" s="104"/>
      <c r="CG4388" s="105"/>
      <c r="FK4388" s="7"/>
    </row>
    <row r="4389" spans="1:167">
      <c r="A4389" s="571"/>
      <c r="B4389" s="1008"/>
      <c r="C4389" s="7"/>
      <c r="P4389" s="7"/>
      <c r="AX4389" s="7"/>
      <c r="BP4389" s="61"/>
      <c r="CF4389" s="104"/>
      <c r="CG4389" s="105"/>
      <c r="FK4389" s="7"/>
    </row>
    <row r="4390" spans="1:167">
      <c r="A4390" s="571"/>
      <c r="B4390" s="1008"/>
      <c r="P4390" s="7"/>
      <c r="AX4390" s="7"/>
      <c r="BP4390" s="61"/>
      <c r="CF4390" s="104"/>
      <c r="CG4390" s="105"/>
      <c r="FK4390" s="7"/>
    </row>
    <row r="4391" spans="1:167" ht="13.5" thickBot="1">
      <c r="P4391" s="7"/>
      <c r="AX4391" s="49"/>
      <c r="BP4391" s="61"/>
      <c r="CF4391" s="104"/>
      <c r="CG4391" s="105"/>
      <c r="FK4391" s="7"/>
    </row>
    <row r="4392" spans="1:167" ht="13.5" thickTop="1"/>
  </sheetData>
  <autoFilter ref="A4:SC832">
    <filterColumn colId="0">
      <colorFilter dxfId="0"/>
    </filterColumn>
    <filterColumn colId="189"/>
    <filterColumn colId="335" showButton="0"/>
  </autoFilter>
  <mergeCells count="455">
    <mergeCell ref="QW3:QW4"/>
    <mergeCell ref="QX3:QX4"/>
    <mergeCell ref="QY3:QY4"/>
    <mergeCell ref="QZ3:QZ4"/>
    <mergeCell ref="RA3:RA4"/>
    <mergeCell ref="RB3:RB4"/>
    <mergeCell ref="RC3:RC4"/>
    <mergeCell ref="RM3:RM4"/>
    <mergeCell ref="RN3:RN4"/>
    <mergeCell ref="RD3:RD4"/>
    <mergeCell ref="RE3:RE4"/>
    <mergeCell ref="RF3:RF4"/>
    <mergeCell ref="RG3:RG4"/>
    <mergeCell ref="RH3:RH4"/>
    <mergeCell ref="RI3:RI4"/>
    <mergeCell ref="RJ3:RJ4"/>
    <mergeCell ref="RK3:RK4"/>
    <mergeCell ref="RL3:RL4"/>
    <mergeCell ref="QN3:QN4"/>
    <mergeCell ref="QO3:QO4"/>
    <mergeCell ref="QP3:QP4"/>
    <mergeCell ref="QQ3:QQ4"/>
    <mergeCell ref="QR3:QR4"/>
    <mergeCell ref="QS3:QS4"/>
    <mergeCell ref="QT3:QT4"/>
    <mergeCell ref="QU3:QU4"/>
    <mergeCell ref="QV3:QV4"/>
    <mergeCell ref="QE3:QE4"/>
    <mergeCell ref="QF3:QF4"/>
    <mergeCell ref="QG3:QG4"/>
    <mergeCell ref="QH3:QH4"/>
    <mergeCell ref="QI3:QI4"/>
    <mergeCell ref="QJ3:QJ4"/>
    <mergeCell ref="QK3:QK4"/>
    <mergeCell ref="QL3:QL4"/>
    <mergeCell ref="QM3:QM4"/>
    <mergeCell ref="PV3:PV4"/>
    <mergeCell ref="PW3:PW4"/>
    <mergeCell ref="PX3:PX4"/>
    <mergeCell ref="PY3:PY4"/>
    <mergeCell ref="PZ3:PZ4"/>
    <mergeCell ref="QA3:QA4"/>
    <mergeCell ref="QB3:QB4"/>
    <mergeCell ref="QC3:QC4"/>
    <mergeCell ref="QD3:QD4"/>
    <mergeCell ref="PM3:PM4"/>
    <mergeCell ref="PN3:PN4"/>
    <mergeCell ref="PO3:PO4"/>
    <mergeCell ref="PP3:PP4"/>
    <mergeCell ref="PQ3:PQ4"/>
    <mergeCell ref="PR3:PR4"/>
    <mergeCell ref="PS3:PS4"/>
    <mergeCell ref="PT3:PT4"/>
    <mergeCell ref="PU3:PU4"/>
    <mergeCell ref="PD3:PD4"/>
    <mergeCell ref="PE3:PE4"/>
    <mergeCell ref="PF3:PF4"/>
    <mergeCell ref="PG3:PG4"/>
    <mergeCell ref="PH3:PH4"/>
    <mergeCell ref="PI3:PI4"/>
    <mergeCell ref="PJ3:PJ4"/>
    <mergeCell ref="PK3:PK4"/>
    <mergeCell ref="PL3:PL4"/>
    <mergeCell ref="OH3:OJ3"/>
    <mergeCell ref="OK3:OK4"/>
    <mergeCell ref="OL3:ON3"/>
    <mergeCell ref="OV3:OV4"/>
    <mergeCell ref="OW3:OW4"/>
    <mergeCell ref="OX3:OX4"/>
    <mergeCell ref="OY3:OY4"/>
    <mergeCell ref="OZ3:OZ4"/>
    <mergeCell ref="PA3:PA4"/>
    <mergeCell ref="OP2:OR3"/>
    <mergeCell ref="OS2:OU3"/>
    <mergeCell ref="OV2:PC2"/>
    <mergeCell ref="PB3:PB4"/>
    <mergeCell ref="PC3:PC4"/>
    <mergeCell ref="NY3:NY4"/>
    <mergeCell ref="NZ3:NZ4"/>
    <mergeCell ref="OA3:OA4"/>
    <mergeCell ref="OB3:OB4"/>
    <mergeCell ref="OC3:OC4"/>
    <mergeCell ref="OD3:OD4"/>
    <mergeCell ref="OE3:OE4"/>
    <mergeCell ref="OF3:OF4"/>
    <mergeCell ref="OG3:OG4"/>
    <mergeCell ref="LD3:LE3"/>
    <mergeCell ref="LF3:LG3"/>
    <mergeCell ref="LH3:LI3"/>
    <mergeCell ref="LJ3:LK3"/>
    <mergeCell ref="LN3:LN4"/>
    <mergeCell ref="LO3:LO4"/>
    <mergeCell ref="MU3:MU4"/>
    <mergeCell ref="MD3:MD4"/>
    <mergeCell ref="ME3:ME4"/>
    <mergeCell ref="MF3:MF4"/>
    <mergeCell ref="MI3:MI4"/>
    <mergeCell ref="MJ3:MJ4"/>
    <mergeCell ref="MK3:MK4"/>
    <mergeCell ref="ML3:ML4"/>
    <mergeCell ref="MM3:MM4"/>
    <mergeCell ref="MN3:MN4"/>
    <mergeCell ref="KN3:KN4"/>
    <mergeCell ref="KO3:KO4"/>
    <mergeCell ref="KP3:KQ3"/>
    <mergeCell ref="KR3:KS3"/>
    <mergeCell ref="KT3:KU3"/>
    <mergeCell ref="KV3:KW3"/>
    <mergeCell ref="KX3:KY3"/>
    <mergeCell ref="KZ3:LA3"/>
    <mergeCell ref="LB3:LC3"/>
    <mergeCell ref="RB2:RI2"/>
    <mergeCell ref="RJ2:RN2"/>
    <mergeCell ref="IT3:IW3"/>
    <mergeCell ref="IX3:IY3"/>
    <mergeCell ref="JD3:JD4"/>
    <mergeCell ref="JE3:JE4"/>
    <mergeCell ref="JF3:JF4"/>
    <mergeCell ref="JG3:JG4"/>
    <mergeCell ref="JH3:JH4"/>
    <mergeCell ref="JJ3:JJ4"/>
    <mergeCell ref="JK3:JK4"/>
    <mergeCell ref="JL3:JM3"/>
    <mergeCell ref="JN3:JO3"/>
    <mergeCell ref="JP3:JQ3"/>
    <mergeCell ref="JR3:JS3"/>
    <mergeCell ref="JT3:JU3"/>
    <mergeCell ref="JX3:JY3"/>
    <mergeCell ref="JZ3:KA3"/>
    <mergeCell ref="KB3:KC3"/>
    <mergeCell ref="KD3:KE3"/>
    <mergeCell ref="MD2:MF2"/>
    <mergeCell ref="MG2:MG4"/>
    <mergeCell ref="MH2:MH4"/>
    <mergeCell ref="KF3:KG3"/>
    <mergeCell ref="RB1:RI1"/>
    <mergeCell ref="RJ1:RL1"/>
    <mergeCell ref="LJ2:LK2"/>
    <mergeCell ref="LL2:LM3"/>
    <mergeCell ref="LN2:LO2"/>
    <mergeCell ref="LP2:LP4"/>
    <mergeCell ref="LQ2:LS2"/>
    <mergeCell ref="LU2:LW2"/>
    <mergeCell ref="LX2:LY4"/>
    <mergeCell ref="LZ2:MB2"/>
    <mergeCell ref="MC2:MC4"/>
    <mergeCell ref="LQ3:LQ4"/>
    <mergeCell ref="LR3:LR4"/>
    <mergeCell ref="LS3:LS4"/>
    <mergeCell ref="LU3:LU4"/>
    <mergeCell ref="LV3:LV4"/>
    <mergeCell ref="LW3:LW4"/>
    <mergeCell ref="LZ3:LZ4"/>
    <mergeCell ref="MA3:MA4"/>
    <mergeCell ref="MB3:MB4"/>
    <mergeCell ref="MI2:MX2"/>
    <mergeCell ref="MZ2:NC2"/>
    <mergeCell ref="ND2:NX3"/>
    <mergeCell ref="NY2:OE2"/>
    <mergeCell ref="MI1:MY1"/>
    <mergeCell ref="MZ1:NC1"/>
    <mergeCell ref="ND1:NX1"/>
    <mergeCell ref="NY1:OE1"/>
    <mergeCell ref="OF1:ON1"/>
    <mergeCell ref="OO1:PC1"/>
    <mergeCell ref="PD1:RA1"/>
    <mergeCell ref="OF2:ON2"/>
    <mergeCell ref="OO2:OO4"/>
    <mergeCell ref="MO3:MO4"/>
    <mergeCell ref="MP3:MP4"/>
    <mergeCell ref="MQ3:MQ4"/>
    <mergeCell ref="MR3:MR4"/>
    <mergeCell ref="MS3:MS4"/>
    <mergeCell ref="MT3:MT4"/>
    <mergeCell ref="PD2:RA2"/>
    <mergeCell ref="MV3:MV4"/>
    <mergeCell ref="MW3:MW4"/>
    <mergeCell ref="MX3:MX4"/>
    <mergeCell ref="MY3:MY4"/>
    <mergeCell ref="MZ3:MZ4"/>
    <mergeCell ref="NA3:NA4"/>
    <mergeCell ref="NB3:NB4"/>
    <mergeCell ref="NC3:NC4"/>
    <mergeCell ref="JB3:JB4"/>
    <mergeCell ref="JC3:JC4"/>
    <mergeCell ref="IF1:JD1"/>
    <mergeCell ref="JJ1:LO1"/>
    <mergeCell ref="LP1:MH1"/>
    <mergeCell ref="IJ2:JD2"/>
    <mergeCell ref="JE2:JH2"/>
    <mergeCell ref="JJ2:JK2"/>
    <mergeCell ref="JL2:JU2"/>
    <mergeCell ref="JX2:KK2"/>
    <mergeCell ref="KP2:KQ2"/>
    <mergeCell ref="KR2:KS2"/>
    <mergeCell ref="KT2:KU2"/>
    <mergeCell ref="KV2:KW2"/>
    <mergeCell ref="KX2:KY2"/>
    <mergeCell ref="KZ2:LA2"/>
    <mergeCell ref="LB2:LC2"/>
    <mergeCell ref="LD2:LE2"/>
    <mergeCell ref="LF2:LG2"/>
    <mergeCell ref="LH2:LI2"/>
    <mergeCell ref="IS3:IS4"/>
    <mergeCell ref="IP3:IP4"/>
    <mergeCell ref="KH3:KI3"/>
    <mergeCell ref="KJ3:KK3"/>
    <mergeCell ref="P1:AF1"/>
    <mergeCell ref="P3:P4"/>
    <mergeCell ref="Q3:Q4"/>
    <mergeCell ref="IZ3:IZ4"/>
    <mergeCell ref="JA3:JA4"/>
    <mergeCell ref="FR2:GG2"/>
    <mergeCell ref="IM3:IM4"/>
    <mergeCell ref="IN3:IN4"/>
    <mergeCell ref="IO3:IO4"/>
    <mergeCell ref="IB3:IB4"/>
    <mergeCell ref="HZ3:HZ4"/>
    <mergeCell ref="IJ3:IJ4"/>
    <mergeCell ref="IK3:IK4"/>
    <mergeCell ref="GJ3:GJ4"/>
    <mergeCell ref="GM3:GM4"/>
    <mergeCell ref="GN3:GN4"/>
    <mergeCell ref="IG3:IG4"/>
    <mergeCell ref="GZ3:GZ4"/>
    <mergeCell ref="HR1:IA2"/>
    <mergeCell ref="HR3:HR4"/>
    <mergeCell ref="FR1:GG1"/>
    <mergeCell ref="FS3:GA3"/>
    <mergeCell ref="GB3:GB4"/>
    <mergeCell ref="GC3:GC4"/>
    <mergeCell ref="GD3:GD4"/>
    <mergeCell ref="GE3:GE4"/>
    <mergeCell ref="FR3:FR4"/>
    <mergeCell ref="AG1:AR1"/>
    <mergeCell ref="AP2:AR2"/>
    <mergeCell ref="AP3:AP4"/>
    <mergeCell ref="AQ3:AR3"/>
    <mergeCell ref="II3:II4"/>
    <mergeCell ref="IF3:IF4"/>
    <mergeCell ref="IA3:IA4"/>
    <mergeCell ref="HG3:HG4"/>
    <mergeCell ref="GQ3:GQ4"/>
    <mergeCell ref="HV3:HV4"/>
    <mergeCell ref="HW3:HW4"/>
    <mergeCell ref="GH1:HH1"/>
    <mergeCell ref="HI1:HQ1"/>
    <mergeCell ref="HJ3:HK3"/>
    <mergeCell ref="GR3:GR4"/>
    <mergeCell ref="GS3:GS4"/>
    <mergeCell ref="IH3:IH4"/>
    <mergeCell ref="IB1:IE1"/>
    <mergeCell ref="GY2:HH2"/>
    <mergeCell ref="HA3:HA4"/>
    <mergeCell ref="HB3:HB4"/>
    <mergeCell ref="GK2:GL3"/>
    <mergeCell ref="HS3:HS4"/>
    <mergeCell ref="HT3:HT4"/>
    <mergeCell ref="HU3:HU4"/>
    <mergeCell ref="HM3:HN3"/>
    <mergeCell ref="GW2:GX2"/>
    <mergeCell ref="FB3:FB4"/>
    <mergeCell ref="EA3:EA4"/>
    <mergeCell ref="DT3:DT4"/>
    <mergeCell ref="DX3:DX4"/>
    <mergeCell ref="DY3:DY4"/>
    <mergeCell ref="DZ3:DZ4"/>
    <mergeCell ref="DR3:DR4"/>
    <mergeCell ref="EZ3:EZ4"/>
    <mergeCell ref="IR3:IR4"/>
    <mergeCell ref="GT3:GT4"/>
    <mergeCell ref="IL3:IL4"/>
    <mergeCell ref="HD3:HD4"/>
    <mergeCell ref="GO3:GO4"/>
    <mergeCell ref="EY3:EY4"/>
    <mergeCell ref="ES3:ES4"/>
    <mergeCell ref="ET3:ET4"/>
    <mergeCell ref="DV3:DV4"/>
    <mergeCell ref="DW3:DW4"/>
    <mergeCell ref="DU3:DU4"/>
    <mergeCell ref="EL3:EL4"/>
    <mergeCell ref="EM3:EM4"/>
    <mergeCell ref="ER3:ER4"/>
    <mergeCell ref="EE3:EE4"/>
    <mergeCell ref="EF3:EF4"/>
    <mergeCell ref="FH1:FQ1"/>
    <mergeCell ref="FM2:FO2"/>
    <mergeCell ref="FJ2:FL2"/>
    <mergeCell ref="FH3:FH4"/>
    <mergeCell ref="FI3:FI4"/>
    <mergeCell ref="FQ3:FQ4"/>
    <mergeCell ref="FK3:FK4"/>
    <mergeCell ref="FL3:FL4"/>
    <mergeCell ref="FP3:FP4"/>
    <mergeCell ref="BH1:BJ1"/>
    <mergeCell ref="BF3:BG3"/>
    <mergeCell ref="BH2:BH4"/>
    <mergeCell ref="BO3:BO4"/>
    <mergeCell ref="AS1:BG1"/>
    <mergeCell ref="CC1:FG1"/>
    <mergeCell ref="CP2:CX2"/>
    <mergeCell ref="CY2:DG2"/>
    <mergeCell ref="DH2:DP2"/>
    <mergeCell ref="DQ2:DY2"/>
    <mergeCell ref="CK3:CN3"/>
    <mergeCell ref="DL3:DL4"/>
    <mergeCell ref="BN3:BN4"/>
    <mergeCell ref="DF3:DF4"/>
    <mergeCell ref="AT3:AT4"/>
    <mergeCell ref="AU3:AU4"/>
    <mergeCell ref="AV3:AV4"/>
    <mergeCell ref="AW3:AW4"/>
    <mergeCell ref="AX3:AX4"/>
    <mergeCell ref="BC3:BC4"/>
    <mergeCell ref="DH3:DH4"/>
    <mergeCell ref="DJ3:DJ4"/>
    <mergeCell ref="DN3:DN4"/>
    <mergeCell ref="DM3:DM4"/>
    <mergeCell ref="EG3:EG4"/>
    <mergeCell ref="EH3:EH4"/>
    <mergeCell ref="EI3:EI4"/>
    <mergeCell ref="H3:I3"/>
    <mergeCell ref="S3:S4"/>
    <mergeCell ref="V3:V4"/>
    <mergeCell ref="Y3:Y4"/>
    <mergeCell ref="K3:L3"/>
    <mergeCell ref="R3:R4"/>
    <mergeCell ref="BD3:BD4"/>
    <mergeCell ref="BE3:BE4"/>
    <mergeCell ref="CV3:CV4"/>
    <mergeCell ref="CW3:CW4"/>
    <mergeCell ref="CX3:CX4"/>
    <mergeCell ref="CT3:CT4"/>
    <mergeCell ref="CU3:CU4"/>
    <mergeCell ref="DC3:DC4"/>
    <mergeCell ref="CY3:CY4"/>
    <mergeCell ref="CP3:CP4"/>
    <mergeCell ref="N3:O3"/>
    <mergeCell ref="M3:M4"/>
    <mergeCell ref="T3:U3"/>
    <mergeCell ref="CQ3:CQ4"/>
    <mergeCell ref="AT2:BA2"/>
    <mergeCell ref="BB3:BB4"/>
    <mergeCell ref="Z3:Z4"/>
    <mergeCell ref="AA3:AA4"/>
    <mergeCell ref="AB3:AB4"/>
    <mergeCell ref="AC3:AC4"/>
    <mergeCell ref="AD3:AD4"/>
    <mergeCell ref="AG3:AG4"/>
    <mergeCell ref="AH3:AH4"/>
    <mergeCell ref="AF3:AF4"/>
    <mergeCell ref="AI3:AI4"/>
    <mergeCell ref="AJ3:AJ4"/>
    <mergeCell ref="AS3:AS4"/>
    <mergeCell ref="AZ3:AZ4"/>
    <mergeCell ref="AO3:AO4"/>
    <mergeCell ref="AE3:AE4"/>
    <mergeCell ref="AG2:AO2"/>
    <mergeCell ref="AC2:AE2"/>
    <mergeCell ref="CR3:CR4"/>
    <mergeCell ref="CS3:CS4"/>
    <mergeCell ref="IC3:IC4"/>
    <mergeCell ref="ID3:ID4"/>
    <mergeCell ref="IE3:IE4"/>
    <mergeCell ref="HX3:HX4"/>
    <mergeCell ref="HO3:HO4"/>
    <mergeCell ref="HY3:HY4"/>
    <mergeCell ref="GU3:GU4"/>
    <mergeCell ref="GV3:GV4"/>
    <mergeCell ref="GW3:GW4"/>
    <mergeCell ref="GX3:GX4"/>
    <mergeCell ref="GY3:GY4"/>
    <mergeCell ref="HP3:HQ3"/>
    <mergeCell ref="HC3:HC4"/>
    <mergeCell ref="HH3:HH4"/>
    <mergeCell ref="HI3:HI4"/>
    <mergeCell ref="HL3:HL4"/>
    <mergeCell ref="HE3:HE4"/>
    <mergeCell ref="HF3:HF4"/>
    <mergeCell ref="GH3:GH4"/>
    <mergeCell ref="GF3:GG3"/>
    <mergeCell ref="GP3:GP4"/>
    <mergeCell ref="EN3:EN4"/>
    <mergeCell ref="EL2:EQ2"/>
    <mergeCell ref="EZ2:FG2"/>
    <mergeCell ref="DZ2:EE2"/>
    <mergeCell ref="EF2:EK2"/>
    <mergeCell ref="ED3:ED4"/>
    <mergeCell ref="FC3:FC4"/>
    <mergeCell ref="FD3:FD4"/>
    <mergeCell ref="FG3:FG4"/>
    <mergeCell ref="GP2:GV2"/>
    <mergeCell ref="EB3:EB4"/>
    <mergeCell ref="FE3:FE4"/>
    <mergeCell ref="FJ3:FJ4"/>
    <mergeCell ref="EP3:EP4"/>
    <mergeCell ref="EQ3:EQ4"/>
    <mergeCell ref="FA3:FA4"/>
    <mergeCell ref="FM3:FO3"/>
    <mergeCell ref="EO3:EO4"/>
    <mergeCell ref="EU3:EU4"/>
    <mergeCell ref="EV3:EV4"/>
    <mergeCell ref="FF3:FF4"/>
    <mergeCell ref="EJ3:EJ4"/>
    <mergeCell ref="EW3:EW4"/>
    <mergeCell ref="EX3:EX4"/>
    <mergeCell ref="EK3:EK4"/>
    <mergeCell ref="C3:C4"/>
    <mergeCell ref="ER2:EY2"/>
    <mergeCell ref="CD3:CD4"/>
    <mergeCell ref="CE3:CE4"/>
    <mergeCell ref="CF3:CH3"/>
    <mergeCell ref="AK3:AK4"/>
    <mergeCell ref="AL3:AL4"/>
    <mergeCell ref="AM3:AM4"/>
    <mergeCell ref="BK3:BK4"/>
    <mergeCell ref="BP3:BP4"/>
    <mergeCell ref="DD3:DD4"/>
    <mergeCell ref="DE3:DE4"/>
    <mergeCell ref="EC3:EC4"/>
    <mergeCell ref="CB3:CB4"/>
    <mergeCell ref="CC3:CC4"/>
    <mergeCell ref="CI3:CJ3"/>
    <mergeCell ref="CO3:CO4"/>
    <mergeCell ref="DK3:DK4"/>
    <mergeCell ref="CZ3:CZ4"/>
    <mergeCell ref="DA3:DA4"/>
    <mergeCell ref="D3:D4"/>
    <mergeCell ref="E3:E4"/>
    <mergeCell ref="F3:F4"/>
    <mergeCell ref="G3:G4"/>
    <mergeCell ref="J3:J4"/>
    <mergeCell ref="AY3:AY4"/>
    <mergeCell ref="BA3:BA4"/>
    <mergeCell ref="CC2:CO2"/>
    <mergeCell ref="DS3:DS4"/>
    <mergeCell ref="BY3:BY4"/>
    <mergeCell ref="BZ3:BZ4"/>
    <mergeCell ref="CA3:CA4"/>
    <mergeCell ref="BI2:BI4"/>
    <mergeCell ref="BJ2:BJ4"/>
    <mergeCell ref="BT3:BT4"/>
    <mergeCell ref="BU3:BU4"/>
    <mergeCell ref="BV3:BV4"/>
    <mergeCell ref="BS3:BS4"/>
    <mergeCell ref="BW3:BW4"/>
    <mergeCell ref="BX3:BX4"/>
    <mergeCell ref="DO3:DO4"/>
    <mergeCell ref="DP3:DP4"/>
    <mergeCell ref="DQ3:DQ4"/>
    <mergeCell ref="DB3:DB4"/>
    <mergeCell ref="DG3:DG4"/>
    <mergeCell ref="DI3:DI4"/>
    <mergeCell ref="BQ3:BQ4"/>
    <mergeCell ref="BM3:BM4"/>
  </mergeCells>
  <conditionalFormatting sqref="AP788 AP787:AR787 AP761 AR761 AP715 AO575 AR575 AP713:AR714 AP758:AR760 AP762:AR763 AO546:AR574 AP716:AR728 AO764:AR786 AO758:AO763 AO713:AO728 AO787:AO788 AO789:AR65536 AO729:AR757 AO576:AR712 AO447:AR462 AQ446:AR446 AO478:AR494 AO463 AO464:AR475 AP425 AO430:AR431 AQ432:AR432 AQ434:AR444 AR425:AR429 AO432:AO444 AO426:AP429 AO445:AR445 AQ401:AR401 AP356:AR356 AO345:AR355 AO357:AR400 AO402:AR424 AP344:AR344 AP313:AR313 AP325:AR325 AP329:AR329 AO326:AR328 AO314:AR324 AO291:AR312 AO290 AO186 AO181:AR185 AP180:AR180 AP186:AR190 AO188:AO190 AP495:AR545 AO496:AO544 AO192:AR289 AO330:AR337 AO339:AR343 AP338:AR338 AQ4:AR4 AO3:AP3 AP51:AR84 AO85:AR96 AP98:AR99 AO100:AR179 AO51 AO5:AR49 AO53:AO73 AO75:AO83 AO85:AO97">
    <cfRule type="containsText" dxfId="56" priority="919" operator="containsText" text="Entire">
      <formula>NOT(ISERROR(SEARCH("Entire",AO3)))</formula>
    </cfRule>
    <cfRule type="containsText" dxfId="55" priority="920" operator="containsText" text="50%">
      <formula>NOT(ISERROR(SEARCH("50%",AO3)))</formula>
    </cfRule>
  </conditionalFormatting>
  <conditionalFormatting sqref="BV774 BS2:BS3 BS5:BS27 BS30:BS74 BS76:BS80 BS82:BS96 BS98:BS123 BS125:BS328 BS330 BS332:BS425 BS427:BS65536">
    <cfRule type="containsText" dxfId="54" priority="905" operator="containsText" text="Entire">
      <formula>NOT(ISERROR(SEARCH("Entire",BS2)))</formula>
    </cfRule>
    <cfRule type="containsText" dxfId="53" priority="906" operator="containsText" text="50%">
      <formula>NOT(ISERROR(SEARCH("50%",BS2)))</formula>
    </cfRule>
  </conditionalFormatting>
  <conditionalFormatting sqref="AQ543 AO533:AR541 AQ542:AR542 AP542:AP543">
    <cfRule type="containsText" dxfId="52" priority="896" operator="containsText" text="50%">
      <formula>NOT(ISERROR(SEARCH("50%",AO533)))</formula>
    </cfRule>
  </conditionalFormatting>
  <conditionalFormatting sqref="AP788 AP789:AR65536 AP761 AR761 AP715 AR575 AP762:AR787 AP716:AR760 AP576:AR714 AQ446:AR446 AP447:AR574 AQ432:AR444 AP430:AR431 AP425:AP429 AR425:AR429 AP445:AR445 AQ401:AR401 AP402:AR424 AP192:AR289 AP291:AR400 AQ4:AR4 AP3 AP5:AR49 AP51:AR96 AP98:AR190">
    <cfRule type="notContainsBlanks" dxfId="51" priority="814">
      <formula>LEN(TRIM(AP3))&gt;0</formula>
    </cfRule>
  </conditionalFormatting>
  <conditionalFormatting sqref="AH659:AJ661 AJ662 AG614:AG615 AI614:AJ615 AH615 AG492:AH492 AI484:AJ492 AG480:AG491 CC414:CC417 AJ351:AJ356 AH350:AJ350 EZ374 BL260 CC61:CC62 BB31:BB33 AH9:AI9 U73 AJ10:AJ82 BL43:BL44 BL64 BL59:BL60 AG75:AI82 AG5:AJ8 AG10:AI73 AH82:AH83 AG83:AJ97 AG100:AJ349 AG350:AH356 AH480:AJ483 AH484:AH491 AG616:AJ658 AG659:AH662 AG663:AJ831 AG357:AJ479 AG493:AJ613">
    <cfRule type="containsBlanks" dxfId="50" priority="928">
      <formula>LEN(TRIM(U5))=0</formula>
    </cfRule>
  </conditionalFormatting>
  <conditionalFormatting sqref="BK786 BK787:BN788 BM786:BN786 BK765 BK601 BK597:BL600 BK557 BM557:BN557 BK767:BN784 BK719:BN720 BK721:BM721 BK762:BN762 BK760:BM761 BK763:BM763 BK766:BL766 BK764:BL764 BK535 BM535:BN535 BK627 BM627:BN627 BK644 BM644:BN644 BK663:BL664 AI662 CC648 EZ656 EZ652 IF652 BK791:BK831 BL791:BL823 BL826:BL831 BL511:BL512 BK485 BK484:BL484 BK487:BM489 BK486:BL486 BK490:BN494 BN484:BN489 BM484:BM486 BK496:BK513 BL495:BL509 BK411 BM411:BN411 BK360 BM360:BN360 BK302:BM302 BK261 BK271 BM271:BN271 BK272:BN273 BK274 BM274:BN274 BK279:BK280 BK283 BM283:BN283 BM261:BN261 BN291:BN303 CC201 DZ131 BO160:BO166 BS160:BS166 BN764 BM791:BN831 BK789:BM790 BK785:BM785 BM764:BM766 BK718:BM718 BK665:BN717 BK645:BN662 BK628:BN643 BK602:BN626 BM597:BN601 BK558:BN596 BK536:BN556 BK514:BN534 BK361:BN410 BK304:BN359 BM303 BM301 BK284:BN289 BK281:BN282 BM279:BN280 BK275:BN278 BK262:BN270 BM195 BK290:BM300 BK93:BN96 CC78 CC81 CC71 CC47 FJ34 FJ36 CC32 BL90:BL92 BN103:BN196 BK91:BM91 BM89:BM92 BN89:BN90 BN92 BK98:BN102 BK74 BK68:BK70 BK71:BN73 BM74:BN74 BK89:BK92 BM89:BN89 BK47:BN65 BK27:BN42 BK20:BN25 BK19 BM19:BN19 BK5:BN18 BN26 BK46:BM46 BK43:BK44 BN43:BN46 BM43:BM45 BK105:BN130 IL92 BM66:BN70 BK75:BN88 BK103:BM194 BK196:BN260 BK722:BN759 BM495:BN513 BK412:BN483">
    <cfRule type="containsBlanks" dxfId="49" priority="926">
      <formula>LEN(TRIM(AI5))=0</formula>
    </cfRule>
  </conditionalFormatting>
  <conditionalFormatting sqref="Y409 Y377 Y387 Y400 Y404:Y405 Y385 Y393:Y395 Y361 Y363:Y375 Y389 Y299:Y358">
    <cfRule type="containsBlanks" dxfId="48" priority="693">
      <formula>LEN(TRIM(Y299))=0</formula>
    </cfRule>
  </conditionalFormatting>
  <conditionalFormatting sqref="D414:D417 II413 Y412:Y413 Y376 Y386 Y397:Y399 Y401:Y403 Y406:Y408 FL406:FL408 II396 Y388 II307:II308 FL303 FL295">
    <cfRule type="containsBlanks" dxfId="47" priority="691">
      <formula>LEN(TRIM(D295))=0</formula>
    </cfRule>
  </conditionalFormatting>
  <conditionalFormatting sqref="AU191:BA191 AU187:BA188 AS189:BA190 AS188:AT188 AS192:BA831 AS5:AS49 AS51:AS73 AT5:BA73 AS74:BA96 AS98:BA186">
    <cfRule type="containsBlanks" dxfId="46" priority="929">
      <formula>LEN(TRIM(AS5))=0</formula>
    </cfRule>
  </conditionalFormatting>
  <conditionalFormatting sqref="A616:A625 A627:A630 A632:A65536 A302:A613 A1:A300 RR5:RR86 RR88:RR96 QY87 RS97:RS101 RR103:RR300">
    <cfRule type="containsText" dxfId="45" priority="426" operator="containsText" text="isf">
      <formula>NOT(ISERROR(SEARCH("isf",A1)))</formula>
    </cfRule>
    <cfRule type="containsText" dxfId="44" priority="427" operator="containsText" text="LEGAL">
      <formula>NOT(ISERROR(SEARCH("LEGAL",A1)))</formula>
    </cfRule>
  </conditionalFormatting>
  <conditionalFormatting sqref="AG211:AJ220 AG134:AJ141 AG144:AJ159">
    <cfRule type="containsBlanks" dxfId="43" priority="245">
      <formula>LEN(TRIM(AG134))=0</formula>
    </cfRule>
  </conditionalFormatting>
  <conditionalFormatting sqref="BS125:BS130">
    <cfRule type="containsText" dxfId="42" priority="42" operator="containsText" text="Entire">
      <formula>NOT(ISERROR(SEARCH("Entire",BS125)))</formula>
    </cfRule>
    <cfRule type="containsText" dxfId="41" priority="43" operator="containsText" text="50%">
      <formula>NOT(ISERROR(SEARCH("50%",BS125)))</formula>
    </cfRule>
  </conditionalFormatting>
  <conditionalFormatting sqref="AO181:AO186 AO188:AO190 AO192:AO220 AO131:AO179">
    <cfRule type="containsText" dxfId="40" priority="39" operator="containsText" text="Entire">
      <formula>NOT(ISERROR(SEARCH("Entire",AO131)))</formula>
    </cfRule>
    <cfRule type="containsText" dxfId="39" priority="40" operator="containsText" text="50%">
      <formula>NOT(ISERROR(SEARCH("50%",AO131)))</formula>
    </cfRule>
  </conditionalFormatting>
  <conditionalFormatting sqref="BS131:BS220">
    <cfRule type="containsText" dxfId="38" priority="37" operator="containsText" text="Entire">
      <formula>NOT(ISERROR(SEARCH("Entire",BS131)))</formula>
    </cfRule>
    <cfRule type="containsText" dxfId="37" priority="38" operator="containsText" text="50%">
      <formula>NOT(ISERROR(SEARCH("50%",BS131)))</formula>
    </cfRule>
  </conditionalFormatting>
  <conditionalFormatting sqref="BM195 BK145:BM194 BO160:BO166 BS160:BS166 BK196:BN220 BN145:BN195 BK131:BN144">
    <cfRule type="containsBlanks" dxfId="36" priority="36">
      <formula>LEN(TRIM(BK131))=0</formula>
    </cfRule>
  </conditionalFormatting>
  <conditionalFormatting sqref="AO345:AO355 AO357:AO400 AO402:AO417 AO330:AO338 AO326:AO328 AO314:AO324 AO340:AO343 AO221:AO312">
    <cfRule type="containsText" dxfId="35" priority="34" operator="containsText" text="Entire">
      <formula>NOT(ISERROR(SEARCH("Entire",AO221)))</formula>
    </cfRule>
    <cfRule type="containsText" dxfId="34" priority="35" operator="containsText" text="50%">
      <formula>NOT(ISERROR(SEARCH("50%",AO221)))</formula>
    </cfRule>
  </conditionalFormatting>
  <conditionalFormatting sqref="AO302">
    <cfRule type="containsText" dxfId="33" priority="32" operator="containsText" text="Entire">
      <formula>NOT(ISERROR(SEARCH("Entire",AO302)))</formula>
    </cfRule>
    <cfRule type="containsText" dxfId="32" priority="33" operator="containsText" text="50%">
      <formula>NOT(ISERROR(SEARCH("50%",AO302)))</formula>
    </cfRule>
  </conditionalFormatting>
  <conditionalFormatting sqref="AO332">
    <cfRule type="containsText" dxfId="31" priority="30" operator="containsText" text="Entire">
      <formula>NOT(ISERROR(SEARCH("Entire",AO332)))</formula>
    </cfRule>
    <cfRule type="containsText" dxfId="30" priority="31" operator="containsText" text="50%">
      <formula>NOT(ISERROR(SEARCH("50%",AO332)))</formula>
    </cfRule>
  </conditionalFormatting>
  <conditionalFormatting sqref="BS330 BS332:BS417 BS221:BS328">
    <cfRule type="containsText" dxfId="29" priority="28" operator="containsText" text="Entire">
      <formula>NOT(ISERROR(SEARCH("Entire",BS221)))</formula>
    </cfRule>
    <cfRule type="containsText" dxfId="28" priority="29" operator="containsText" text="50%">
      <formula>NOT(ISERROR(SEARCH("50%",BS221)))</formula>
    </cfRule>
  </conditionalFormatting>
  <conditionalFormatting sqref="BL260">
    <cfRule type="containsBlanks" dxfId="27" priority="27">
      <formula>LEN(TRIM(BL260))=0</formula>
    </cfRule>
  </conditionalFormatting>
  <conditionalFormatting sqref="BK411 BM411:BN411 BK360 BM360:BN360 BK302:BM302 BK261 BK271 BK272:BN273 BK274 BM274:BN274 BK279:BK280 BK283 BM283:BN283 BM261:BN261 BN291:BN303 BK275:BN278 BM279:BN280 BK281:BN282 BK284:BN289 BK304:BN359 BM301 BM303 BK361:BN410 BK412:BN417 BK221:BN260 BK262:BN270 BM271:BN271 BK290:BM300">
    <cfRule type="containsBlanks" dxfId="26" priority="26">
      <formula>LEN(TRIM(BK221))=0</formula>
    </cfRule>
  </conditionalFormatting>
  <conditionalFormatting sqref="BS302">
    <cfRule type="containsText" dxfId="25" priority="24" operator="containsText" text="Entire">
      <formula>NOT(ISERROR(SEARCH("Entire",BS302)))</formula>
    </cfRule>
    <cfRule type="containsText" dxfId="24" priority="25" operator="containsText" text="50%">
      <formula>NOT(ISERROR(SEARCH("50%",BS302)))</formula>
    </cfRule>
  </conditionalFormatting>
  <conditionalFormatting sqref="BS330 BS332:BS417 BS221:BS328">
    <cfRule type="containsText" dxfId="23" priority="22" operator="containsText" text="Entire">
      <formula>NOT(ISERROR(SEARCH("Entire",BS221)))</formula>
    </cfRule>
    <cfRule type="containsText" dxfId="22" priority="23" operator="containsText" text="50%">
      <formula>NOT(ISERROR(SEARCH("50%",BS221)))</formula>
    </cfRule>
  </conditionalFormatting>
  <conditionalFormatting sqref="BL260">
    <cfRule type="containsBlanks" dxfId="21" priority="21">
      <formula>LEN(TRIM(BL260))=0</formula>
    </cfRule>
  </conditionalFormatting>
  <conditionalFormatting sqref="BK411 BM411:BN411 BK360 BM360:BN360 BK302:BM302 BK261 BK271 BK272:BN273 BK274 BM274:BN274 BK279:BK280 BK283 BM283:BN283 BM261:BN261 BN291:BN303 BK275:BN278 BM279:BN280 BK281:BN282 BK284:BN289 BK304:BN359 BM301 BM303 BK361:BN410 BK412:BN417 BK221:BN260 BK262:BN270 BM271:BN271 BK290:BM300">
    <cfRule type="containsBlanks" dxfId="20" priority="20">
      <formula>LEN(TRIM(BK221))=0</formula>
    </cfRule>
  </conditionalFormatting>
  <conditionalFormatting sqref="BS302">
    <cfRule type="containsText" dxfId="19" priority="18" operator="containsText" text="Entire">
      <formula>NOT(ISERROR(SEARCH("Entire",BS302)))</formula>
    </cfRule>
    <cfRule type="containsText" dxfId="18" priority="19" operator="containsText" text="50%">
      <formula>NOT(ISERROR(SEARCH("50%",BS302)))</formula>
    </cfRule>
  </conditionalFormatting>
  <conditionalFormatting sqref="BS427:BS659 BS418:BS425">
    <cfRule type="containsText" dxfId="17" priority="16" operator="containsText" text="Entire">
      <formula>NOT(ISERROR(SEARCH("Entire",BS418)))</formula>
    </cfRule>
    <cfRule type="containsText" dxfId="16" priority="17" operator="containsText" text="50%">
      <formula>NOT(ISERROR(SEARCH("50%",BS418)))</formula>
    </cfRule>
  </conditionalFormatting>
  <conditionalFormatting sqref="BK601 BK597:BL600 BK557 BM557:BN557 BK535 BM535:BN535 BK627 BM627:BN627 BK644 BM644:BN644 BL511:BL512 BK514:BN534 BK536:BN556 BK558:BN596 BM597:BN601 BK628:BN643 BK645:BN659 BK485 BK484:BL484 BK487:BM489 BK486:BL486 BK490:BN494 BN495 BN484:BN489 BM484:BM486 BK496:BK513 BL495:BL509 BK602:BN626 BM496:BN513 BK418:BN483">
    <cfRule type="containsBlanks" dxfId="15" priority="15">
      <formula>LEN(TRIM(BK418))=0</formula>
    </cfRule>
  </conditionalFormatting>
  <conditionalFormatting sqref="BK786 BK787:BN788 BM786:BN786 BK765 BK767:BN784 BK719:BN720 BK721:BM721 BK762:BN762 BK760:BM761 BK763:BM763 BK766:BM766 BK764:BN764 BK663:BL664 BK791:BK831 BL791:BL823 BL826:BL831 BK660:BN662 BK665:BN717 BK718:BM718 BK722:BN759 BM765 BK785:BM785 BK789:BM790 BM791:BN831">
    <cfRule type="containsBlanks" dxfId="14" priority="12">
      <formula>LEN(TRIM(BK660))=0</formula>
    </cfRule>
  </conditionalFormatting>
  <conditionalFormatting sqref="BS660:BS831">
    <cfRule type="containsText" dxfId="13" priority="13" operator="containsText" text="Entire">
      <formula>NOT(ISERROR(SEARCH("Entire",BS660)))</formula>
    </cfRule>
    <cfRule type="containsText" dxfId="12" priority="14" operator="containsText" text="50%">
      <formula>NOT(ISERROR(SEARCH("50%",BS660)))</formula>
    </cfRule>
  </conditionalFormatting>
  <conditionalFormatting sqref="IF652">
    <cfRule type="containsBlanks" dxfId="11" priority="11">
      <formula>LEN(TRIM(IF652))=0</formula>
    </cfRule>
  </conditionalFormatting>
  <conditionalFormatting sqref="II413 II396 II307:II308">
    <cfRule type="containsBlanks" dxfId="10" priority="10">
      <formula>LEN(TRIM(II307))=0</formula>
    </cfRule>
  </conditionalFormatting>
  <conditionalFormatting sqref="RR302:RR337 RR339:RR613">
    <cfRule type="containsText" dxfId="9" priority="8" operator="containsText" text="isf">
      <formula>NOT(ISERROR(SEARCH("isf",RR302)))</formula>
    </cfRule>
    <cfRule type="containsText" dxfId="8" priority="9" operator="containsText" text="LEGAL">
      <formula>NOT(ISERROR(SEARCH("LEGAL",RR302)))</formula>
    </cfRule>
  </conditionalFormatting>
  <conditionalFormatting sqref="RR632 RR636 RR616:RR625 RR627:RR630 RR639:RR831">
    <cfRule type="containsText" dxfId="7" priority="6" operator="containsText" text="isf">
      <formula>NOT(ISERROR(SEARCH("isf",RR616)))</formula>
    </cfRule>
    <cfRule type="containsText" dxfId="6" priority="7" operator="containsText" text="LEGAL">
      <formula>NOT(ISERROR(SEARCH("LEGAL",RR616)))</formula>
    </cfRule>
  </conditionalFormatting>
  <conditionalFormatting sqref="RR338">
    <cfRule type="containsText" dxfId="5" priority="4" operator="containsText" text="isf">
      <formula>NOT(ISERROR(SEARCH("isf",RR338)))</formula>
    </cfRule>
    <cfRule type="containsText" dxfId="4" priority="5" operator="containsText" text="LEGAL">
      <formula>NOT(ISERROR(SEARCH("LEGAL",RR338)))</formula>
    </cfRule>
  </conditionalFormatting>
  <conditionalFormatting sqref="A616:A625 A627:A630 A632:A831 A5:A300 A302:A613">
    <cfRule type="containsText" dxfId="3" priority="2" operator="containsText" text="isf">
      <formula>NOT(ISERROR(SEARCH("isf",A5)))</formula>
    </cfRule>
    <cfRule type="containsText" dxfId="2" priority="3" operator="containsText" text="LEGAL">
      <formula>NOT(ISERROR(SEARCH("LEGAL",A5)))</formula>
    </cfRule>
  </conditionalFormatting>
  <conditionalFormatting sqref="AH614">
    <cfRule type="containsBlanks" dxfId="1" priority="1">
      <formula>LEN(TRIM(AH614))=0</formula>
    </cfRule>
  </conditionalFormatting>
  <hyperlinks>
    <hyperlink ref="KO256" location="Names!E719" display="Names!E719"/>
    <hyperlink ref="JD3:JD4" location="SurveyDATA!PY485" display="Average monthly net income"/>
  </hyperlink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sheetPr>
    <tabColor rgb="FF99CC00"/>
  </sheetPr>
  <dimension ref="A4:AH226"/>
  <sheetViews>
    <sheetView topLeftCell="Y21" workbookViewId="0">
      <selection activeCell="Y41" sqref="Y41"/>
    </sheetView>
  </sheetViews>
  <sheetFormatPr defaultRowHeight="12.75"/>
  <cols>
    <col min="1" max="1" width="36" style="1382" customWidth="1"/>
    <col min="2" max="14" width="11.42578125" style="1382" customWidth="1"/>
    <col min="15" max="16" width="9.140625" style="1382"/>
    <col min="17" max="17" width="27.42578125" style="1382" customWidth="1"/>
    <col min="18" max="25" width="13.5703125" style="1382" customWidth="1"/>
    <col min="26" max="26" width="9.140625" style="1382"/>
    <col min="27" max="27" width="9" style="1382" customWidth="1"/>
    <col min="28" max="28" width="27.7109375" style="1382" customWidth="1"/>
    <col min="29" max="34" width="17.85546875" style="1382" customWidth="1"/>
    <col min="35" max="16384" width="9.140625" style="1382"/>
  </cols>
  <sheetData>
    <row r="4" spans="1:32" ht="14.25" customHeight="1">
      <c r="A4" s="1384" t="s">
        <v>7251</v>
      </c>
      <c r="AB4" s="1384" t="s">
        <v>7337</v>
      </c>
      <c r="AC4" s="1586"/>
      <c r="AD4" s="1586"/>
      <c r="AE4" s="1586"/>
      <c r="AF4" s="1586"/>
    </row>
    <row r="5" spans="1:32">
      <c r="A5" s="1250" t="s">
        <v>7214</v>
      </c>
      <c r="B5" s="1250" t="s">
        <v>10</v>
      </c>
      <c r="C5" s="1250" t="s">
        <v>18</v>
      </c>
      <c r="D5" s="1250" t="s">
        <v>2034</v>
      </c>
      <c r="AB5" s="1250" t="s">
        <v>7214</v>
      </c>
      <c r="AC5" s="1250" t="s">
        <v>10</v>
      </c>
      <c r="AD5" s="1250" t="s">
        <v>18</v>
      </c>
      <c r="AE5" s="1250" t="s">
        <v>12727</v>
      </c>
      <c r="AF5" s="1250" t="s">
        <v>2034</v>
      </c>
    </row>
    <row r="6" spans="1:32">
      <c r="A6" s="1347" t="s">
        <v>5848</v>
      </c>
      <c r="B6" s="1347">
        <v>16</v>
      </c>
      <c r="C6" s="1347">
        <v>17</v>
      </c>
      <c r="D6" s="1347">
        <v>33</v>
      </c>
      <c r="E6" s="1383"/>
      <c r="AB6" s="1347" t="s">
        <v>5848</v>
      </c>
      <c r="AC6" s="1347">
        <v>5</v>
      </c>
      <c r="AD6" s="1347">
        <v>1</v>
      </c>
      <c r="AE6" s="1347">
        <v>0</v>
      </c>
      <c r="AF6" s="1347">
        <v>6</v>
      </c>
    </row>
    <row r="7" spans="1:32">
      <c r="A7" s="1347" t="s">
        <v>5494</v>
      </c>
      <c r="B7" s="1347">
        <v>13</v>
      </c>
      <c r="C7" s="1347">
        <v>15</v>
      </c>
      <c r="D7" s="1347">
        <v>28</v>
      </c>
      <c r="E7" s="1383"/>
      <c r="AB7" s="1347" t="s">
        <v>5494</v>
      </c>
      <c r="AC7" s="1347">
        <v>5</v>
      </c>
      <c r="AD7" s="1347">
        <v>1</v>
      </c>
      <c r="AE7" s="1347">
        <v>0</v>
      </c>
      <c r="AF7" s="1347">
        <v>6</v>
      </c>
    </row>
    <row r="8" spans="1:32">
      <c r="A8" s="1347" t="s">
        <v>5847</v>
      </c>
      <c r="B8" s="1347">
        <v>0</v>
      </c>
      <c r="C8" s="1347">
        <v>0</v>
      </c>
      <c r="D8" s="1347">
        <v>0</v>
      </c>
      <c r="E8" s="1383"/>
      <c r="AB8" s="1347" t="s">
        <v>5847</v>
      </c>
      <c r="AC8" s="1347">
        <v>0</v>
      </c>
      <c r="AD8" s="1347">
        <v>0</v>
      </c>
      <c r="AE8" s="1347">
        <v>0</v>
      </c>
      <c r="AF8" s="1347">
        <v>0</v>
      </c>
    </row>
    <row r="9" spans="1:32">
      <c r="A9" s="1347" t="s">
        <v>771</v>
      </c>
      <c r="B9" s="1347">
        <v>2</v>
      </c>
      <c r="C9" s="1347">
        <v>1</v>
      </c>
      <c r="D9" s="1347">
        <v>3</v>
      </c>
      <c r="E9" s="1383"/>
      <c r="AB9" s="1347" t="s">
        <v>771</v>
      </c>
      <c r="AC9" s="1347">
        <v>1</v>
      </c>
      <c r="AD9" s="1347">
        <v>0</v>
      </c>
      <c r="AE9" s="1347">
        <v>0</v>
      </c>
      <c r="AF9" s="1347">
        <v>1</v>
      </c>
    </row>
    <row r="10" spans="1:32">
      <c r="A10" s="1347" t="s">
        <v>5495</v>
      </c>
      <c r="B10" s="1347">
        <v>13</v>
      </c>
      <c r="C10" s="1347">
        <v>16</v>
      </c>
      <c r="D10" s="1347">
        <v>29</v>
      </c>
      <c r="E10" s="1383"/>
      <c r="AB10" s="1347" t="s">
        <v>5495</v>
      </c>
      <c r="AC10" s="1347">
        <v>3</v>
      </c>
      <c r="AD10" s="1347">
        <v>3</v>
      </c>
      <c r="AE10" s="1347">
        <v>0</v>
      </c>
      <c r="AF10" s="1347">
        <v>6</v>
      </c>
    </row>
    <row r="11" spans="1:32">
      <c r="A11" s="1347" t="s">
        <v>5496</v>
      </c>
      <c r="B11" s="1347">
        <v>52</v>
      </c>
      <c r="C11" s="1347">
        <v>49</v>
      </c>
      <c r="D11" s="1347">
        <v>101</v>
      </c>
      <c r="E11" s="1383"/>
      <c r="AB11" s="1347" t="s">
        <v>5496</v>
      </c>
      <c r="AC11" s="1347">
        <v>12</v>
      </c>
      <c r="AD11" s="1347">
        <v>8</v>
      </c>
      <c r="AE11" s="1347">
        <v>0</v>
      </c>
      <c r="AF11" s="1347">
        <v>20</v>
      </c>
    </row>
    <row r="12" spans="1:32">
      <c r="A12" s="1347" t="s">
        <v>778</v>
      </c>
      <c r="B12" s="1347">
        <v>164</v>
      </c>
      <c r="C12" s="1347">
        <v>154</v>
      </c>
      <c r="D12" s="1347">
        <v>318</v>
      </c>
      <c r="E12" s="1383"/>
      <c r="AB12" s="1347" t="s">
        <v>778</v>
      </c>
      <c r="AC12" s="1347">
        <v>55</v>
      </c>
      <c r="AD12" s="1347">
        <v>19</v>
      </c>
      <c r="AE12" s="1347">
        <v>3</v>
      </c>
      <c r="AF12" s="1347">
        <v>77</v>
      </c>
    </row>
    <row r="13" spans="1:32">
      <c r="A13" s="1347" t="s">
        <v>5493</v>
      </c>
      <c r="B13" s="1347">
        <v>245</v>
      </c>
      <c r="C13" s="1347">
        <v>266</v>
      </c>
      <c r="D13" s="1347">
        <v>511</v>
      </c>
      <c r="E13" s="1383"/>
      <c r="AB13" s="1347" t="s">
        <v>5493</v>
      </c>
      <c r="AC13" s="1347">
        <v>83</v>
      </c>
      <c r="AD13" s="1347">
        <v>32</v>
      </c>
      <c r="AE13" s="1347">
        <v>2</v>
      </c>
      <c r="AF13" s="1347">
        <v>117</v>
      </c>
    </row>
    <row r="14" spans="1:32">
      <c r="A14" s="1347" t="s">
        <v>1020</v>
      </c>
      <c r="B14" s="1347">
        <v>185</v>
      </c>
      <c r="C14" s="1347">
        <v>173</v>
      </c>
      <c r="D14" s="1347">
        <v>358</v>
      </c>
      <c r="E14" s="1383"/>
      <c r="AB14" s="1347" t="s">
        <v>1020</v>
      </c>
      <c r="AC14" s="1347">
        <v>48</v>
      </c>
      <c r="AD14" s="1347">
        <v>35</v>
      </c>
      <c r="AE14" s="1347">
        <v>6</v>
      </c>
      <c r="AF14" s="1347">
        <v>89</v>
      </c>
    </row>
    <row r="15" spans="1:32">
      <c r="A15" s="1346" t="s">
        <v>2034</v>
      </c>
      <c r="B15" s="1361">
        <v>690</v>
      </c>
      <c r="C15" s="1361">
        <v>691</v>
      </c>
      <c r="D15" s="1361">
        <v>1381</v>
      </c>
      <c r="E15" s="1383"/>
      <c r="AB15" s="1346" t="s">
        <v>4348</v>
      </c>
      <c r="AC15" s="1358">
        <v>212</v>
      </c>
      <c r="AD15" s="1358">
        <v>99</v>
      </c>
      <c r="AE15" s="1358">
        <v>11</v>
      </c>
      <c r="AF15" s="1358">
        <v>322</v>
      </c>
    </row>
    <row r="16" spans="1:32">
      <c r="A16" s="1346" t="s">
        <v>7243</v>
      </c>
      <c r="B16" s="1362">
        <v>0.499637943519189</v>
      </c>
      <c r="C16" s="1362">
        <v>0.500362056480811</v>
      </c>
      <c r="D16" s="1362">
        <v>1</v>
      </c>
      <c r="E16" s="1383"/>
      <c r="Q16" s="1402" t="s">
        <v>12721</v>
      </c>
      <c r="R16" s="1400"/>
      <c r="S16" s="1400"/>
      <c r="T16" s="1400"/>
      <c r="U16" s="1400"/>
      <c r="V16" s="1400"/>
      <c r="W16" s="1400"/>
      <c r="AB16" s="1356" t="s">
        <v>7243</v>
      </c>
      <c r="AC16" s="1359">
        <v>0.65838509316770188</v>
      </c>
      <c r="AD16" s="1359">
        <v>0.30745341614906835</v>
      </c>
      <c r="AE16" s="1359">
        <v>3.4161490683229816E-2</v>
      </c>
      <c r="AF16" s="1359">
        <v>1</v>
      </c>
    </row>
    <row r="17" spans="1:34">
      <c r="Q17" s="2014" t="s">
        <v>7214</v>
      </c>
      <c r="R17" s="2014" t="s">
        <v>1468</v>
      </c>
      <c r="S17" s="2014"/>
      <c r="T17" s="2014" t="s">
        <v>1214</v>
      </c>
      <c r="U17" s="2014"/>
      <c r="V17" s="2014" t="s">
        <v>4348</v>
      </c>
      <c r="W17" s="2014"/>
      <c r="AB17" s="1383"/>
      <c r="AC17" s="1383"/>
    </row>
    <row r="18" spans="1:34">
      <c r="Q18" s="2014"/>
      <c r="R18" s="1250" t="s">
        <v>7281</v>
      </c>
      <c r="S18" s="1250" t="s">
        <v>5805</v>
      </c>
      <c r="T18" s="1250" t="s">
        <v>7281</v>
      </c>
      <c r="U18" s="1250" t="s">
        <v>5805</v>
      </c>
      <c r="V18" s="1250" t="s">
        <v>7281</v>
      </c>
      <c r="W18" s="1250" t="s">
        <v>5805</v>
      </c>
      <c r="AB18" s="1383"/>
      <c r="AC18" s="1383"/>
    </row>
    <row r="19" spans="1:34">
      <c r="A19" s="1384" t="s">
        <v>7253</v>
      </c>
      <c r="Q19" s="1380" t="s">
        <v>5848</v>
      </c>
      <c r="R19" s="637">
        <v>11</v>
      </c>
      <c r="S19" s="1149">
        <v>91.7</v>
      </c>
      <c r="T19" s="637">
        <v>1</v>
      </c>
      <c r="U19" s="1149">
        <v>8.3000000000000007</v>
      </c>
      <c r="V19" s="637">
        <v>12</v>
      </c>
      <c r="W19" s="1149">
        <v>2.9</v>
      </c>
      <c r="AB19" s="1402" t="s">
        <v>12576</v>
      </c>
      <c r="AC19" s="1400"/>
      <c r="AD19" s="1400"/>
      <c r="AE19" s="1400"/>
      <c r="AF19" s="1400"/>
      <c r="AG19" s="1400"/>
      <c r="AH19" s="1400"/>
    </row>
    <row r="20" spans="1:34" ht="25.5">
      <c r="A20" s="1385" t="s">
        <v>7214</v>
      </c>
      <c r="B20" s="1386"/>
      <c r="C20" s="1387"/>
      <c r="D20" s="1388" t="s">
        <v>7254</v>
      </c>
      <c r="E20" s="1387"/>
      <c r="F20" s="1389"/>
      <c r="G20" s="1390" t="s">
        <v>4348</v>
      </c>
      <c r="Q20" s="1380" t="s">
        <v>5494</v>
      </c>
      <c r="R20" s="637">
        <v>11</v>
      </c>
      <c r="S20" s="1149">
        <v>78.599999999999994</v>
      </c>
      <c r="T20" s="637">
        <v>3</v>
      </c>
      <c r="U20" s="1149">
        <v>21.4</v>
      </c>
      <c r="V20" s="637">
        <v>14</v>
      </c>
      <c r="W20" s="1149">
        <v>3.4</v>
      </c>
      <c r="AB20" s="1250" t="s">
        <v>7214</v>
      </c>
      <c r="AC20" s="1250" t="s">
        <v>12577</v>
      </c>
      <c r="AD20" s="1250" t="s">
        <v>12578</v>
      </c>
      <c r="AE20" s="1250" t="s">
        <v>12579</v>
      </c>
      <c r="AF20" s="1250" t="s">
        <v>12580</v>
      </c>
      <c r="AG20" s="1250" t="s">
        <v>8248</v>
      </c>
      <c r="AH20" s="1250" t="s">
        <v>2034</v>
      </c>
    </row>
    <row r="21" spans="1:34">
      <c r="A21" s="1391"/>
      <c r="B21" s="1392" t="s">
        <v>12469</v>
      </c>
      <c r="C21" s="1393" t="s">
        <v>11900</v>
      </c>
      <c r="D21" s="1393" t="s">
        <v>11901</v>
      </c>
      <c r="E21" s="1392" t="s">
        <v>11902</v>
      </c>
      <c r="F21" s="1392" t="s">
        <v>3650</v>
      </c>
      <c r="G21" s="1391"/>
      <c r="Q21" s="1380" t="s">
        <v>5847</v>
      </c>
      <c r="R21" s="637">
        <v>1</v>
      </c>
      <c r="S21" s="1149">
        <v>100</v>
      </c>
      <c r="T21" s="637">
        <v>0</v>
      </c>
      <c r="U21" s="637">
        <v>0</v>
      </c>
      <c r="V21" s="637">
        <v>1</v>
      </c>
      <c r="W21" s="1149">
        <v>0.2</v>
      </c>
      <c r="AB21" s="637" t="s">
        <v>5848</v>
      </c>
      <c r="AC21" s="637">
        <v>0</v>
      </c>
      <c r="AD21" s="637">
        <v>0</v>
      </c>
      <c r="AE21" s="637">
        <v>0</v>
      </c>
      <c r="AF21" s="637">
        <v>0</v>
      </c>
      <c r="AG21" s="637">
        <v>0</v>
      </c>
      <c r="AH21" s="637">
        <v>0</v>
      </c>
    </row>
    <row r="22" spans="1:34">
      <c r="A22" s="1394" t="s">
        <v>5848</v>
      </c>
      <c r="B22" s="1395">
        <v>1</v>
      </c>
      <c r="C22" s="1395">
        <v>2</v>
      </c>
      <c r="D22" s="1395">
        <v>0</v>
      </c>
      <c r="E22" s="1395">
        <v>2</v>
      </c>
      <c r="F22" s="1395">
        <v>1</v>
      </c>
      <c r="G22" s="1395">
        <v>6</v>
      </c>
      <c r="Q22" s="1380" t="s">
        <v>5495</v>
      </c>
      <c r="R22" s="637">
        <v>33</v>
      </c>
      <c r="S22" s="1149">
        <v>86.8</v>
      </c>
      <c r="T22" s="637">
        <v>5</v>
      </c>
      <c r="U22" s="1149">
        <v>13.2</v>
      </c>
      <c r="V22" s="637">
        <v>38</v>
      </c>
      <c r="W22" s="1149">
        <v>9.1</v>
      </c>
      <c r="AB22" s="637" t="s">
        <v>5494</v>
      </c>
      <c r="AC22" s="637">
        <v>0</v>
      </c>
      <c r="AD22" s="637">
        <v>0</v>
      </c>
      <c r="AE22" s="637">
        <v>0</v>
      </c>
      <c r="AF22" s="637">
        <v>0</v>
      </c>
      <c r="AG22" s="637">
        <v>0</v>
      </c>
      <c r="AH22" s="637">
        <v>0</v>
      </c>
    </row>
    <row r="23" spans="1:34">
      <c r="A23" s="1394" t="s">
        <v>5494</v>
      </c>
      <c r="B23" s="1395">
        <v>1</v>
      </c>
      <c r="C23" s="1395">
        <v>5</v>
      </c>
      <c r="D23" s="1395">
        <v>0</v>
      </c>
      <c r="E23" s="1395">
        <v>0</v>
      </c>
      <c r="F23" s="1395">
        <v>0</v>
      </c>
      <c r="G23" s="1395">
        <v>6</v>
      </c>
      <c r="Q23" s="1380" t="s">
        <v>5496</v>
      </c>
      <c r="R23" s="637">
        <v>15</v>
      </c>
      <c r="S23" s="1149">
        <v>100</v>
      </c>
      <c r="T23" s="637">
        <v>0</v>
      </c>
      <c r="U23" s="637">
        <v>0</v>
      </c>
      <c r="V23" s="637">
        <v>15</v>
      </c>
      <c r="W23" s="1149">
        <v>3.6</v>
      </c>
      <c r="AB23" s="637" t="s">
        <v>5847</v>
      </c>
      <c r="AC23" s="637">
        <v>0</v>
      </c>
      <c r="AD23" s="637">
        <v>0</v>
      </c>
      <c r="AE23" s="637">
        <v>0</v>
      </c>
      <c r="AF23" s="637">
        <v>0</v>
      </c>
      <c r="AG23" s="637">
        <v>0</v>
      </c>
      <c r="AH23" s="637">
        <v>0</v>
      </c>
    </row>
    <row r="24" spans="1:34">
      <c r="A24" s="1394" t="s">
        <v>5847</v>
      </c>
      <c r="B24" s="1395">
        <v>0</v>
      </c>
      <c r="C24" s="1395">
        <v>0</v>
      </c>
      <c r="D24" s="1395">
        <v>0</v>
      </c>
      <c r="E24" s="1395">
        <v>0</v>
      </c>
      <c r="F24" s="1395">
        <v>0</v>
      </c>
      <c r="G24" s="1395">
        <v>0</v>
      </c>
      <c r="Q24" s="1380" t="s">
        <v>778</v>
      </c>
      <c r="R24" s="637">
        <v>149</v>
      </c>
      <c r="S24" s="1149">
        <v>89.8</v>
      </c>
      <c r="T24" s="637">
        <v>17</v>
      </c>
      <c r="U24" s="1149">
        <v>10.199999999999999</v>
      </c>
      <c r="V24" s="637">
        <v>166</v>
      </c>
      <c r="W24" s="1149">
        <v>39.799999999999997</v>
      </c>
      <c r="AB24" s="637" t="s">
        <v>771</v>
      </c>
      <c r="AC24" s="637">
        <v>1</v>
      </c>
      <c r="AD24" s="637">
        <v>1</v>
      </c>
      <c r="AE24" s="637">
        <v>0</v>
      </c>
      <c r="AF24" s="637">
        <v>0</v>
      </c>
      <c r="AG24" s="637">
        <v>0</v>
      </c>
      <c r="AH24" s="637">
        <v>2</v>
      </c>
    </row>
    <row r="25" spans="1:34">
      <c r="A25" s="1394" t="s">
        <v>771</v>
      </c>
      <c r="B25" s="1395">
        <v>1</v>
      </c>
      <c r="C25" s="1395">
        <v>0</v>
      </c>
      <c r="D25" s="1395">
        <v>0</v>
      </c>
      <c r="E25" s="1395">
        <v>0</v>
      </c>
      <c r="F25" s="1395">
        <v>0</v>
      </c>
      <c r="G25" s="1395">
        <v>1</v>
      </c>
      <c r="Q25" s="1380" t="s">
        <v>5493</v>
      </c>
      <c r="R25" s="637">
        <v>79</v>
      </c>
      <c r="S25" s="1149">
        <v>76.7</v>
      </c>
      <c r="T25" s="637">
        <v>24</v>
      </c>
      <c r="U25" s="1149">
        <v>23.3</v>
      </c>
      <c r="V25" s="637">
        <v>103</v>
      </c>
      <c r="W25" s="1149">
        <v>24.7</v>
      </c>
      <c r="AB25" s="637" t="s">
        <v>5495</v>
      </c>
      <c r="AC25" s="637">
        <v>0</v>
      </c>
      <c r="AD25" s="637">
        <v>0</v>
      </c>
      <c r="AE25" s="637">
        <v>0</v>
      </c>
      <c r="AF25" s="637">
        <v>0</v>
      </c>
      <c r="AG25" s="637">
        <v>1</v>
      </c>
      <c r="AH25" s="637">
        <v>1</v>
      </c>
    </row>
    <row r="26" spans="1:34">
      <c r="A26" s="1394" t="s">
        <v>5495</v>
      </c>
      <c r="B26" s="1395">
        <v>2</v>
      </c>
      <c r="C26" s="1395">
        <v>2</v>
      </c>
      <c r="D26" s="1395">
        <v>2</v>
      </c>
      <c r="E26" s="1395">
        <v>0</v>
      </c>
      <c r="F26" s="1395">
        <v>0</v>
      </c>
      <c r="G26" s="1395">
        <v>6</v>
      </c>
      <c r="Q26" s="1380" t="s">
        <v>1020</v>
      </c>
      <c r="R26" s="637">
        <v>42</v>
      </c>
      <c r="S26" s="1149">
        <v>61.8</v>
      </c>
      <c r="T26" s="637">
        <v>26</v>
      </c>
      <c r="U26" s="1149">
        <v>38.200000000000003</v>
      </c>
      <c r="V26" s="637">
        <v>68</v>
      </c>
      <c r="W26" s="1149">
        <v>16.3</v>
      </c>
      <c r="AB26" s="637" t="s">
        <v>5496</v>
      </c>
      <c r="AC26" s="637">
        <v>2</v>
      </c>
      <c r="AD26" s="637">
        <v>1</v>
      </c>
      <c r="AE26" s="637">
        <v>0</v>
      </c>
      <c r="AF26" s="637">
        <v>0</v>
      </c>
      <c r="AG26" s="637">
        <v>0</v>
      </c>
      <c r="AH26" s="637">
        <v>3</v>
      </c>
    </row>
    <row r="27" spans="1:34">
      <c r="A27" s="1394" t="s">
        <v>5496</v>
      </c>
      <c r="B27" s="1395">
        <v>4</v>
      </c>
      <c r="C27" s="1395">
        <v>12</v>
      </c>
      <c r="D27" s="1395">
        <v>3</v>
      </c>
      <c r="E27" s="1395">
        <v>1</v>
      </c>
      <c r="F27" s="1395">
        <v>0</v>
      </c>
      <c r="G27" s="1395">
        <v>20</v>
      </c>
      <c r="Q27" s="638" t="s">
        <v>2034</v>
      </c>
      <c r="R27" s="638">
        <v>341</v>
      </c>
      <c r="S27" s="1147">
        <v>81.8</v>
      </c>
      <c r="T27" s="638">
        <v>76</v>
      </c>
      <c r="U27" s="1147">
        <v>18.2</v>
      </c>
      <c r="V27" s="638">
        <v>417</v>
      </c>
      <c r="W27" s="638">
        <v>100</v>
      </c>
      <c r="AB27" s="637" t="s">
        <v>778</v>
      </c>
      <c r="AC27" s="637">
        <v>6</v>
      </c>
      <c r="AD27" s="637">
        <v>4</v>
      </c>
      <c r="AE27" s="637">
        <v>3</v>
      </c>
      <c r="AF27" s="637">
        <v>4</v>
      </c>
      <c r="AG27" s="637">
        <v>2</v>
      </c>
      <c r="AH27" s="637">
        <v>19</v>
      </c>
    </row>
    <row r="28" spans="1:34">
      <c r="A28" s="1394" t="s">
        <v>778</v>
      </c>
      <c r="B28" s="1395">
        <v>33</v>
      </c>
      <c r="C28" s="1395">
        <v>25</v>
      </c>
      <c r="D28" s="1395">
        <v>10</v>
      </c>
      <c r="E28" s="1395">
        <v>4</v>
      </c>
      <c r="F28" s="1395">
        <v>5</v>
      </c>
      <c r="G28" s="1395">
        <v>77</v>
      </c>
      <c r="AB28" s="637" t="s">
        <v>5493</v>
      </c>
      <c r="AC28" s="637">
        <v>3</v>
      </c>
      <c r="AD28" s="637">
        <v>5</v>
      </c>
      <c r="AE28" s="637">
        <v>11</v>
      </c>
      <c r="AF28" s="637">
        <v>5</v>
      </c>
      <c r="AG28" s="637">
        <v>1</v>
      </c>
      <c r="AH28" s="637">
        <v>25</v>
      </c>
    </row>
    <row r="29" spans="1:34">
      <c r="A29" s="1394" t="s">
        <v>5493</v>
      </c>
      <c r="B29" s="1395">
        <v>45</v>
      </c>
      <c r="C29" s="1395">
        <v>42</v>
      </c>
      <c r="D29" s="1395">
        <v>14</v>
      </c>
      <c r="E29" s="1395">
        <v>8</v>
      </c>
      <c r="F29" s="1395">
        <v>8</v>
      </c>
      <c r="G29" s="1395">
        <v>117</v>
      </c>
      <c r="AA29" s="1383"/>
      <c r="AB29" s="637" t="s">
        <v>1020</v>
      </c>
      <c r="AC29" s="637">
        <v>0</v>
      </c>
      <c r="AD29" s="637">
        <v>3</v>
      </c>
      <c r="AE29" s="637">
        <v>5</v>
      </c>
      <c r="AF29" s="637">
        <v>0</v>
      </c>
      <c r="AG29" s="637">
        <v>0</v>
      </c>
      <c r="AH29" s="637">
        <v>8</v>
      </c>
    </row>
    <row r="30" spans="1:34">
      <c r="A30" s="1394" t="s">
        <v>1020</v>
      </c>
      <c r="B30" s="1395">
        <v>25</v>
      </c>
      <c r="C30" s="1395">
        <v>33</v>
      </c>
      <c r="D30" s="1395">
        <v>11</v>
      </c>
      <c r="E30" s="1395">
        <v>5</v>
      </c>
      <c r="F30" s="1395">
        <v>15</v>
      </c>
      <c r="G30" s="1395">
        <v>89</v>
      </c>
      <c r="Q30" s="1384" t="s">
        <v>12499</v>
      </c>
      <c r="AA30" s="1383"/>
      <c r="AB30" s="1236" t="s">
        <v>4348</v>
      </c>
      <c r="AC30" s="638">
        <v>12</v>
      </c>
      <c r="AD30" s="638">
        <v>14</v>
      </c>
      <c r="AE30" s="638">
        <v>19</v>
      </c>
      <c r="AF30" s="638">
        <v>9</v>
      </c>
      <c r="AG30" s="638">
        <v>4</v>
      </c>
      <c r="AH30" s="638">
        <v>58</v>
      </c>
    </row>
    <row r="31" spans="1:34">
      <c r="A31" s="1346" t="s">
        <v>2034</v>
      </c>
      <c r="B31" s="1396">
        <v>112</v>
      </c>
      <c r="C31" s="1396">
        <v>121</v>
      </c>
      <c r="D31" s="1396">
        <v>40</v>
      </c>
      <c r="E31" s="1396">
        <v>20</v>
      </c>
      <c r="F31" s="1396">
        <v>29</v>
      </c>
      <c r="G31" s="1396">
        <v>322</v>
      </c>
      <c r="Q31" s="2014" t="s">
        <v>7214</v>
      </c>
      <c r="R31" s="2014" t="s">
        <v>1468</v>
      </c>
      <c r="S31" s="2014"/>
      <c r="T31" s="2014" t="s">
        <v>1214</v>
      </c>
      <c r="U31" s="2014"/>
      <c r="V31" s="2014" t="s">
        <v>4348</v>
      </c>
      <c r="W31" s="2014"/>
    </row>
    <row r="32" spans="1:34">
      <c r="A32" s="1346" t="s">
        <v>7243</v>
      </c>
      <c r="B32" s="1397">
        <v>0.34782608695652173</v>
      </c>
      <c r="C32" s="1397">
        <v>0.37577639751552794</v>
      </c>
      <c r="D32" s="1397">
        <v>0.12422360248447205</v>
      </c>
      <c r="E32" s="1397">
        <v>6.2111801242236024E-2</v>
      </c>
      <c r="F32" s="1397">
        <v>9.0062111801242239E-2</v>
      </c>
      <c r="G32" s="1398">
        <v>1</v>
      </c>
      <c r="Q32" s="2014"/>
      <c r="R32" s="1250" t="s">
        <v>7281</v>
      </c>
      <c r="S32" s="1250" t="s">
        <v>5805</v>
      </c>
      <c r="T32" s="1250" t="s">
        <v>7281</v>
      </c>
      <c r="U32" s="1250" t="s">
        <v>5805</v>
      </c>
      <c r="V32" s="1250" t="s">
        <v>7281</v>
      </c>
      <c r="W32" s="1250" t="s">
        <v>5805</v>
      </c>
    </row>
    <row r="33" spans="1:33">
      <c r="A33" s="1383"/>
      <c r="B33" s="1383"/>
      <c r="C33" s="1383"/>
      <c r="D33" s="1383"/>
      <c r="E33" s="1383"/>
      <c r="F33" s="1383"/>
      <c r="G33" s="1383"/>
      <c r="Q33" s="1347" t="s">
        <v>5848</v>
      </c>
      <c r="R33" s="1347">
        <v>1</v>
      </c>
      <c r="S33" s="1377">
        <v>1.2195121951219513E-2</v>
      </c>
      <c r="T33" s="1347">
        <v>0</v>
      </c>
      <c r="U33" s="1377">
        <v>0</v>
      </c>
      <c r="V33" s="1347">
        <v>1</v>
      </c>
      <c r="W33" s="1377">
        <v>8.8495575221238937E-3</v>
      </c>
      <c r="AB33" s="1402" t="s">
        <v>12581</v>
      </c>
      <c r="AC33" s="1020"/>
      <c r="AD33" s="1020"/>
      <c r="AE33" s="1020"/>
      <c r="AF33" s="1020"/>
      <c r="AG33" s="1020"/>
    </row>
    <row r="34" spans="1:33" ht="25.5">
      <c r="A34" s="1383"/>
      <c r="B34" s="1383"/>
      <c r="C34" s="1383"/>
      <c r="D34" s="1383"/>
      <c r="E34" s="1383"/>
      <c r="F34" s="1383"/>
      <c r="G34" s="1383"/>
      <c r="Q34" s="1347" t="s">
        <v>5494</v>
      </c>
      <c r="R34" s="1347">
        <v>1</v>
      </c>
      <c r="S34" s="1377">
        <v>1.2195121951219513E-2</v>
      </c>
      <c r="T34" s="1347">
        <v>1</v>
      </c>
      <c r="U34" s="1377">
        <v>3.2258064516129031E-2</v>
      </c>
      <c r="V34" s="1347">
        <v>2</v>
      </c>
      <c r="W34" s="1377">
        <v>1.7699115044247787E-2</v>
      </c>
      <c r="AB34" s="1250" t="s">
        <v>12582</v>
      </c>
      <c r="AC34" s="1250" t="s">
        <v>12728</v>
      </c>
      <c r="AD34" s="1250" t="s">
        <v>12729</v>
      </c>
      <c r="AE34" s="1250" t="s">
        <v>12730</v>
      </c>
      <c r="AF34" s="1250" t="s">
        <v>12731</v>
      </c>
      <c r="AG34" s="1250" t="s">
        <v>2034</v>
      </c>
    </row>
    <row r="35" spans="1:33">
      <c r="A35" s="1384" t="s">
        <v>7261</v>
      </c>
      <c r="Q35" s="1347" t="s">
        <v>5847</v>
      </c>
      <c r="R35" s="1347">
        <v>0</v>
      </c>
      <c r="S35" s="1377">
        <v>0</v>
      </c>
      <c r="T35" s="1347">
        <v>0</v>
      </c>
      <c r="U35" s="1377">
        <v>0</v>
      </c>
      <c r="V35" s="1347">
        <v>0</v>
      </c>
      <c r="W35" s="1377">
        <v>0</v>
      </c>
      <c r="AB35" s="637" t="s">
        <v>5848</v>
      </c>
      <c r="AC35" s="637">
        <v>0</v>
      </c>
      <c r="AD35" s="637">
        <v>1</v>
      </c>
      <c r="AE35" s="637">
        <v>1</v>
      </c>
      <c r="AF35" s="637">
        <v>0</v>
      </c>
      <c r="AG35" s="1149">
        <v>2</v>
      </c>
    </row>
    <row r="36" spans="1:33">
      <c r="A36" s="1250" t="s">
        <v>7214</v>
      </c>
      <c r="B36" s="1142" t="s">
        <v>7262</v>
      </c>
      <c r="C36" s="1142" t="s">
        <v>5500</v>
      </c>
      <c r="D36" s="1142" t="s">
        <v>5501</v>
      </c>
      <c r="E36" s="1142" t="s">
        <v>12470</v>
      </c>
      <c r="F36" s="1142" t="s">
        <v>12541</v>
      </c>
      <c r="G36" s="1142" t="s">
        <v>3650</v>
      </c>
      <c r="H36" s="1142" t="s">
        <v>2034</v>
      </c>
      <c r="Q36" s="1347" t="s">
        <v>771</v>
      </c>
      <c r="R36" s="1347">
        <v>1</v>
      </c>
      <c r="S36" s="1377">
        <v>1.2195121951219513E-2</v>
      </c>
      <c r="T36" s="1347">
        <v>1</v>
      </c>
      <c r="U36" s="1377">
        <v>3.2258064516129031E-2</v>
      </c>
      <c r="V36" s="1347">
        <v>2</v>
      </c>
      <c r="W36" s="1377">
        <v>1.7699115044247787E-2</v>
      </c>
      <c r="AB36" s="637" t="s">
        <v>5494</v>
      </c>
      <c r="AC36" s="637">
        <v>3</v>
      </c>
      <c r="AD36" s="637">
        <v>2</v>
      </c>
      <c r="AE36" s="637">
        <v>1</v>
      </c>
      <c r="AF36" s="637">
        <v>0</v>
      </c>
      <c r="AG36" s="1149">
        <v>6</v>
      </c>
    </row>
    <row r="37" spans="1:33">
      <c r="A37" s="1347" t="s">
        <v>5848</v>
      </c>
      <c r="B37" s="1347">
        <v>5</v>
      </c>
      <c r="C37" s="1347">
        <v>4</v>
      </c>
      <c r="D37" s="1347">
        <v>9</v>
      </c>
      <c r="E37" s="1347">
        <v>14</v>
      </c>
      <c r="F37" s="1347">
        <v>1</v>
      </c>
      <c r="G37" s="1347">
        <v>0</v>
      </c>
      <c r="H37" s="1347">
        <v>33</v>
      </c>
      <c r="Q37" s="1347" t="s">
        <v>5495</v>
      </c>
      <c r="R37" s="1347">
        <v>3</v>
      </c>
      <c r="S37" s="1377">
        <v>3.6585365853658534E-2</v>
      </c>
      <c r="T37" s="1347">
        <v>3</v>
      </c>
      <c r="U37" s="1377">
        <v>9.6774193548387094E-2</v>
      </c>
      <c r="V37" s="1347">
        <v>6</v>
      </c>
      <c r="W37" s="1377">
        <v>5.3097345132743362E-2</v>
      </c>
      <c r="Z37" s="1383"/>
      <c r="AB37" s="637" t="s">
        <v>5847</v>
      </c>
      <c r="AC37" s="637">
        <v>0</v>
      </c>
      <c r="AD37" s="637">
        <v>0</v>
      </c>
      <c r="AE37" s="637">
        <v>0</v>
      </c>
      <c r="AF37" s="637">
        <v>0</v>
      </c>
      <c r="AG37" s="1149">
        <v>0</v>
      </c>
    </row>
    <row r="38" spans="1:33">
      <c r="A38" s="1347" t="s">
        <v>5494</v>
      </c>
      <c r="B38" s="1347">
        <v>4</v>
      </c>
      <c r="C38" s="1347">
        <v>7</v>
      </c>
      <c r="D38" s="1347">
        <v>6</v>
      </c>
      <c r="E38" s="1347">
        <v>10</v>
      </c>
      <c r="F38" s="1347">
        <v>1</v>
      </c>
      <c r="G38" s="1347">
        <v>0</v>
      </c>
      <c r="H38" s="1347">
        <v>28</v>
      </c>
      <c r="Q38" s="1347" t="s">
        <v>5496</v>
      </c>
      <c r="R38" s="1347">
        <v>0</v>
      </c>
      <c r="S38" s="1377">
        <v>0</v>
      </c>
      <c r="T38" s="1347">
        <v>0</v>
      </c>
      <c r="U38" s="1377">
        <v>0</v>
      </c>
      <c r="V38" s="1347">
        <v>0</v>
      </c>
      <c r="W38" s="1377">
        <v>0</v>
      </c>
      <c r="Z38" s="1383"/>
      <c r="AB38" s="637" t="s">
        <v>771</v>
      </c>
      <c r="AC38" s="637">
        <v>0</v>
      </c>
      <c r="AD38" s="637">
        <v>0</v>
      </c>
      <c r="AE38" s="637">
        <v>0</v>
      </c>
      <c r="AF38" s="637">
        <v>0</v>
      </c>
      <c r="AG38" s="1149">
        <v>0</v>
      </c>
    </row>
    <row r="39" spans="1:33">
      <c r="A39" s="1347" t="s">
        <v>5847</v>
      </c>
      <c r="B39" s="1347">
        <v>0</v>
      </c>
      <c r="C39" s="1347">
        <v>0</v>
      </c>
      <c r="D39" s="1347">
        <v>0</v>
      </c>
      <c r="E39" s="1347">
        <v>0</v>
      </c>
      <c r="F39" s="1347">
        <v>0</v>
      </c>
      <c r="G39" s="1347">
        <v>0</v>
      </c>
      <c r="H39" s="1347">
        <v>0</v>
      </c>
      <c r="Q39" s="1347" t="s">
        <v>778</v>
      </c>
      <c r="R39" s="1347">
        <v>17</v>
      </c>
      <c r="S39" s="1377">
        <v>0.2073170731707317</v>
      </c>
      <c r="T39" s="1347">
        <v>13</v>
      </c>
      <c r="U39" s="1377">
        <v>0.41935483870967744</v>
      </c>
      <c r="V39" s="1347">
        <v>30</v>
      </c>
      <c r="W39" s="1377">
        <v>0.26548672566371684</v>
      </c>
      <c r="AB39" s="637" t="s">
        <v>5495</v>
      </c>
      <c r="AC39" s="637">
        <v>2</v>
      </c>
      <c r="AD39" s="637">
        <v>1</v>
      </c>
      <c r="AE39" s="637">
        <v>3</v>
      </c>
      <c r="AF39" s="637">
        <v>0</v>
      </c>
      <c r="AG39" s="1149">
        <v>6</v>
      </c>
    </row>
    <row r="40" spans="1:33">
      <c r="A40" s="1347" t="s">
        <v>771</v>
      </c>
      <c r="B40" s="1347">
        <v>0</v>
      </c>
      <c r="C40" s="1347">
        <v>0</v>
      </c>
      <c r="D40" s="1347">
        <v>1</v>
      </c>
      <c r="E40" s="1347">
        <v>2</v>
      </c>
      <c r="F40" s="1347">
        <v>0</v>
      </c>
      <c r="G40" s="1347">
        <v>0</v>
      </c>
      <c r="H40" s="1347">
        <v>3</v>
      </c>
      <c r="Q40" s="1347" t="s">
        <v>5493</v>
      </c>
      <c r="R40" s="1347">
        <v>33</v>
      </c>
      <c r="S40" s="1377">
        <v>0.40243902439024393</v>
      </c>
      <c r="T40" s="1347">
        <v>10</v>
      </c>
      <c r="U40" s="1377">
        <v>0.32258064516129031</v>
      </c>
      <c r="V40" s="1347">
        <v>43</v>
      </c>
      <c r="W40" s="1377">
        <v>0.38053097345132741</v>
      </c>
      <c r="AB40" s="637" t="s">
        <v>5496</v>
      </c>
      <c r="AC40" s="637">
        <v>7</v>
      </c>
      <c r="AD40" s="637">
        <v>6</v>
      </c>
      <c r="AE40" s="637">
        <v>7</v>
      </c>
      <c r="AF40" s="637">
        <v>3</v>
      </c>
      <c r="AG40" s="1149">
        <v>23</v>
      </c>
    </row>
    <row r="41" spans="1:33">
      <c r="A41" s="1347" t="s">
        <v>5495</v>
      </c>
      <c r="B41" s="1347">
        <v>3</v>
      </c>
      <c r="C41" s="1347">
        <v>8</v>
      </c>
      <c r="D41" s="1347">
        <v>5</v>
      </c>
      <c r="E41" s="1347">
        <v>11</v>
      </c>
      <c r="F41" s="1347">
        <v>2</v>
      </c>
      <c r="G41" s="1347">
        <v>0</v>
      </c>
      <c r="H41" s="1347">
        <v>29</v>
      </c>
      <c r="Q41" s="1347" t="s">
        <v>1020</v>
      </c>
      <c r="R41" s="1347">
        <v>26</v>
      </c>
      <c r="S41" s="1377">
        <v>0.31707317073170732</v>
      </c>
      <c r="T41" s="1347">
        <v>3</v>
      </c>
      <c r="U41" s="1377">
        <v>9.6774193548387094E-2</v>
      </c>
      <c r="V41" s="1347">
        <v>29</v>
      </c>
      <c r="W41" s="1377">
        <v>0.25663716814159293</v>
      </c>
      <c r="AB41" s="637" t="s">
        <v>778</v>
      </c>
      <c r="AC41" s="637">
        <v>31</v>
      </c>
      <c r="AD41" s="637">
        <v>1</v>
      </c>
      <c r="AE41" s="637">
        <v>17</v>
      </c>
      <c r="AF41" s="637">
        <v>10</v>
      </c>
      <c r="AG41" s="1149">
        <v>59</v>
      </c>
    </row>
    <row r="42" spans="1:33">
      <c r="A42" s="1347" t="s">
        <v>5496</v>
      </c>
      <c r="B42" s="1347">
        <v>11</v>
      </c>
      <c r="C42" s="1347">
        <v>20</v>
      </c>
      <c r="D42" s="1347">
        <v>26</v>
      </c>
      <c r="E42" s="1347">
        <v>36</v>
      </c>
      <c r="F42" s="1347">
        <v>8</v>
      </c>
      <c r="G42" s="1347">
        <v>0</v>
      </c>
      <c r="H42" s="1347">
        <v>101</v>
      </c>
      <c r="Q42" s="1346" t="s">
        <v>4348</v>
      </c>
      <c r="R42" s="1358">
        <v>82</v>
      </c>
      <c r="S42" s="1378">
        <v>0.72566371681415931</v>
      </c>
      <c r="T42" s="1358">
        <v>31</v>
      </c>
      <c r="U42" s="1378">
        <v>0.27433628318584069</v>
      </c>
      <c r="V42" s="1358">
        <v>113</v>
      </c>
      <c r="W42" s="1378">
        <v>1</v>
      </c>
      <c r="AB42" s="637" t="s">
        <v>5493</v>
      </c>
      <c r="AC42" s="637">
        <v>43</v>
      </c>
      <c r="AD42" s="637">
        <v>1</v>
      </c>
      <c r="AE42" s="637">
        <v>30</v>
      </c>
      <c r="AF42" s="637">
        <v>21</v>
      </c>
      <c r="AG42" s="1149">
        <v>95</v>
      </c>
    </row>
    <row r="43" spans="1:33">
      <c r="A43" s="1347" t="s">
        <v>778</v>
      </c>
      <c r="B43" s="1347">
        <v>42</v>
      </c>
      <c r="C43" s="1347">
        <v>56</v>
      </c>
      <c r="D43" s="1347">
        <v>91</v>
      </c>
      <c r="E43" s="1347">
        <v>98</v>
      </c>
      <c r="F43" s="1347">
        <v>25</v>
      </c>
      <c r="G43" s="1347">
        <v>6</v>
      </c>
      <c r="H43" s="1347">
        <v>318</v>
      </c>
      <c r="Q43" s="1141"/>
      <c r="R43" s="1249"/>
      <c r="S43" s="1221"/>
      <c r="T43" s="1249"/>
      <c r="U43" s="1221"/>
      <c r="V43" s="1249"/>
      <c r="W43" s="1221"/>
      <c r="AB43" s="637" t="s">
        <v>1020</v>
      </c>
      <c r="AC43" s="637">
        <v>30</v>
      </c>
      <c r="AD43" s="637">
        <v>1</v>
      </c>
      <c r="AE43" s="637">
        <v>29</v>
      </c>
      <c r="AF43" s="637">
        <v>19</v>
      </c>
      <c r="AG43" s="1149">
        <v>79</v>
      </c>
    </row>
    <row r="44" spans="1:33">
      <c r="A44" s="1347" t="s">
        <v>5493</v>
      </c>
      <c r="B44" s="1347">
        <v>62</v>
      </c>
      <c r="C44" s="1347">
        <v>93</v>
      </c>
      <c r="D44" s="1347">
        <v>163</v>
      </c>
      <c r="E44" s="1347">
        <v>156</v>
      </c>
      <c r="F44" s="1347">
        <v>36</v>
      </c>
      <c r="G44" s="1347">
        <v>1</v>
      </c>
      <c r="H44" s="1347">
        <v>511</v>
      </c>
      <c r="Q44" s="1141"/>
      <c r="R44" s="1249"/>
      <c r="S44" s="1221"/>
      <c r="T44" s="1249"/>
      <c r="U44" s="1221"/>
      <c r="V44" s="1249"/>
      <c r="W44" s="1221"/>
      <c r="AB44" s="1236" t="s">
        <v>4348</v>
      </c>
      <c r="AC44" s="638">
        <v>116</v>
      </c>
      <c r="AD44" s="638">
        <v>13</v>
      </c>
      <c r="AE44" s="638">
        <v>88</v>
      </c>
      <c r="AF44" s="638">
        <v>53</v>
      </c>
      <c r="AG44" s="638">
        <v>270</v>
      </c>
    </row>
    <row r="45" spans="1:33">
      <c r="A45" s="1347" t="s">
        <v>1020</v>
      </c>
      <c r="B45" s="1347">
        <v>40</v>
      </c>
      <c r="C45" s="1347">
        <v>45</v>
      </c>
      <c r="D45" s="1347">
        <v>123</v>
      </c>
      <c r="E45" s="1347">
        <v>118</v>
      </c>
      <c r="F45" s="1347">
        <v>32</v>
      </c>
      <c r="G45" s="1347">
        <v>0</v>
      </c>
      <c r="H45" s="1347">
        <v>358</v>
      </c>
      <c r="Q45" s="1384" t="s">
        <v>7355</v>
      </c>
      <c r="AB45" s="1636" t="s">
        <v>12586</v>
      </c>
      <c r="AC45" s="1637" t="s">
        <v>12732</v>
      </c>
      <c r="AD45" s="1637"/>
      <c r="AE45" s="11"/>
      <c r="AF45" s="11"/>
      <c r="AG45" s="11"/>
    </row>
    <row r="46" spans="1:33">
      <c r="A46" s="1346" t="s">
        <v>2034</v>
      </c>
      <c r="B46" s="1358">
        <v>167</v>
      </c>
      <c r="C46" s="1358">
        <v>233</v>
      </c>
      <c r="D46" s="1358">
        <v>424</v>
      </c>
      <c r="E46" s="1358">
        <v>445</v>
      </c>
      <c r="F46" s="1358">
        <v>105</v>
      </c>
      <c r="G46" s="1358">
        <v>7</v>
      </c>
      <c r="H46" s="1358">
        <v>1381</v>
      </c>
      <c r="Q46" s="643" t="s">
        <v>7214</v>
      </c>
      <c r="R46" s="2013" t="s">
        <v>7356</v>
      </c>
      <c r="S46" s="2014"/>
      <c r="T46" s="2014" t="s">
        <v>1828</v>
      </c>
      <c r="U46" s="2014"/>
      <c r="V46" s="2015" t="s">
        <v>1227</v>
      </c>
      <c r="W46" s="2013"/>
      <c r="X46" s="643" t="s">
        <v>2034</v>
      </c>
      <c r="AB46" s="1637"/>
      <c r="AC46" s="1637" t="s">
        <v>12733</v>
      </c>
      <c r="AD46" s="1637"/>
    </row>
    <row r="47" spans="1:33">
      <c r="A47" s="1346" t="s">
        <v>7243</v>
      </c>
      <c r="B47" s="1359">
        <v>0.12092686459087618</v>
      </c>
      <c r="C47" s="1359">
        <v>0.16871832005792903</v>
      </c>
      <c r="D47" s="1359">
        <v>0.30702389572773353</v>
      </c>
      <c r="E47" s="1359">
        <v>0.32223026792179582</v>
      </c>
      <c r="F47" s="1359">
        <v>7.6031860970311366E-2</v>
      </c>
      <c r="G47" s="1359">
        <v>5.0687907313540911E-3</v>
      </c>
      <c r="H47" s="1359">
        <v>0.99493120926864587</v>
      </c>
      <c r="Q47" s="644"/>
      <c r="R47" s="1213" t="s">
        <v>7281</v>
      </c>
      <c r="S47" s="1154" t="s">
        <v>5805</v>
      </c>
      <c r="T47" s="1154" t="s">
        <v>7281</v>
      </c>
      <c r="U47" s="1154" t="s">
        <v>5805</v>
      </c>
      <c r="V47" s="1154" t="s">
        <v>7281</v>
      </c>
      <c r="W47" s="1214" t="s">
        <v>5805</v>
      </c>
      <c r="X47" s="644"/>
      <c r="AB47" s="1637"/>
      <c r="AC47" s="1637" t="s">
        <v>12734</v>
      </c>
      <c r="AD47" s="1637"/>
    </row>
    <row r="48" spans="1:33">
      <c r="Q48" s="1357" t="s">
        <v>5848</v>
      </c>
      <c r="R48" s="1347">
        <v>1</v>
      </c>
      <c r="S48" s="1377">
        <v>9.7087378640776691E-3</v>
      </c>
      <c r="T48" s="1347">
        <v>0</v>
      </c>
      <c r="U48" s="1377">
        <v>0</v>
      </c>
      <c r="V48" s="1347">
        <v>0</v>
      </c>
      <c r="W48" s="1377">
        <v>0</v>
      </c>
      <c r="X48" s="1357">
        <v>1</v>
      </c>
      <c r="AB48" s="1637"/>
      <c r="AC48" s="1637" t="s">
        <v>12735</v>
      </c>
      <c r="AD48" s="1637"/>
    </row>
    <row r="49" spans="1:30">
      <c r="Q49" s="1347" t="s">
        <v>5494</v>
      </c>
      <c r="R49" s="1347">
        <v>1</v>
      </c>
      <c r="S49" s="1377">
        <v>9.7087378640776691E-3</v>
      </c>
      <c r="T49" s="1347">
        <v>2</v>
      </c>
      <c r="U49" s="1377">
        <v>4.3478260869565216E-2</v>
      </c>
      <c r="V49" s="1347">
        <v>0</v>
      </c>
      <c r="W49" s="1377">
        <v>0</v>
      </c>
      <c r="X49" s="1347">
        <v>3</v>
      </c>
      <c r="AB49" s="1637"/>
      <c r="AC49" s="1637"/>
      <c r="AD49" s="1637"/>
    </row>
    <row r="50" spans="1:30">
      <c r="A50" s="1384" t="s">
        <v>7264</v>
      </c>
      <c r="I50" s="1399"/>
      <c r="J50" s="1399"/>
      <c r="M50" s="1383"/>
      <c r="Q50" s="1347" t="s">
        <v>5847</v>
      </c>
      <c r="R50" s="1347">
        <v>0</v>
      </c>
      <c r="S50" s="1377">
        <v>0</v>
      </c>
      <c r="T50" s="1347">
        <v>0</v>
      </c>
      <c r="U50" s="1377">
        <v>0</v>
      </c>
      <c r="V50" s="1347">
        <v>0</v>
      </c>
      <c r="W50" s="1377">
        <v>0</v>
      </c>
      <c r="X50" s="1347">
        <v>0</v>
      </c>
    </row>
    <row r="51" spans="1:30">
      <c r="A51" s="630"/>
      <c r="B51" s="632" t="s">
        <v>1214</v>
      </c>
      <c r="C51" s="632" t="s">
        <v>12473</v>
      </c>
      <c r="D51" s="632" t="s">
        <v>7266</v>
      </c>
      <c r="E51" s="632" t="s">
        <v>7266</v>
      </c>
      <c r="F51" s="632" t="s">
        <v>7267</v>
      </c>
      <c r="G51" s="632" t="s">
        <v>7267</v>
      </c>
      <c r="H51" s="632" t="s">
        <v>7268</v>
      </c>
      <c r="I51" s="632" t="s">
        <v>7268</v>
      </c>
      <c r="J51" s="630" t="s">
        <v>12474</v>
      </c>
      <c r="K51" s="632" t="s">
        <v>12474</v>
      </c>
      <c r="L51" s="1143" t="s">
        <v>12475</v>
      </c>
      <c r="M51" s="1143" t="s">
        <v>12543</v>
      </c>
      <c r="N51" s="1143"/>
      <c r="Q51" s="1347" t="s">
        <v>771</v>
      </c>
      <c r="R51" s="1347">
        <v>1</v>
      </c>
      <c r="S51" s="1377">
        <v>9.7087378640776691E-3</v>
      </c>
      <c r="T51" s="1347">
        <v>0</v>
      </c>
      <c r="U51" s="1377">
        <v>0</v>
      </c>
      <c r="V51" s="1347">
        <v>0</v>
      </c>
      <c r="W51" s="1377">
        <v>0</v>
      </c>
      <c r="X51" s="1347">
        <v>1</v>
      </c>
    </row>
    <row r="52" spans="1:30">
      <c r="A52" s="631" t="s">
        <v>7214</v>
      </c>
      <c r="B52" s="633" t="s">
        <v>12476</v>
      </c>
      <c r="C52" s="634" t="s">
        <v>7266</v>
      </c>
      <c r="D52" s="633" t="s">
        <v>12477</v>
      </c>
      <c r="E52" s="633" t="s">
        <v>7269</v>
      </c>
      <c r="F52" s="633" t="s">
        <v>12477</v>
      </c>
      <c r="G52" s="633" t="s">
        <v>7269</v>
      </c>
      <c r="H52" s="633" t="s">
        <v>12477</v>
      </c>
      <c r="I52" s="633" t="s">
        <v>7269</v>
      </c>
      <c r="J52" s="631" t="s">
        <v>12477</v>
      </c>
      <c r="K52" s="633" t="s">
        <v>7269</v>
      </c>
      <c r="L52" s="1144" t="s">
        <v>12478</v>
      </c>
      <c r="M52" s="1144" t="s">
        <v>12542</v>
      </c>
      <c r="N52" s="1144" t="s">
        <v>2034</v>
      </c>
      <c r="Q52" s="1347" t="s">
        <v>5495</v>
      </c>
      <c r="R52" s="1347">
        <v>3</v>
      </c>
      <c r="S52" s="1377">
        <v>2.9126213592233011E-2</v>
      </c>
      <c r="T52" s="1347">
        <v>0</v>
      </c>
      <c r="U52" s="1377">
        <v>0</v>
      </c>
      <c r="V52" s="1347">
        <v>0</v>
      </c>
      <c r="W52" s="1377">
        <v>0</v>
      </c>
      <c r="X52" s="1347">
        <v>3</v>
      </c>
    </row>
    <row r="53" spans="1:30">
      <c r="A53" s="1357" t="s">
        <v>5848</v>
      </c>
      <c r="B53" s="1357">
        <v>0</v>
      </c>
      <c r="C53" s="1357">
        <v>0</v>
      </c>
      <c r="D53" s="1357">
        <v>1</v>
      </c>
      <c r="E53" s="1357">
        <v>2</v>
      </c>
      <c r="F53" s="1357">
        <v>6</v>
      </c>
      <c r="G53" s="1357">
        <v>2</v>
      </c>
      <c r="H53" s="1357">
        <v>10</v>
      </c>
      <c r="I53" s="1357">
        <v>7</v>
      </c>
      <c r="J53" s="1357">
        <v>0</v>
      </c>
      <c r="K53" s="1357">
        <v>0</v>
      </c>
      <c r="L53" s="1357">
        <v>5</v>
      </c>
      <c r="M53" s="1357">
        <v>0</v>
      </c>
      <c r="N53" s="1357">
        <v>33</v>
      </c>
      <c r="Q53" s="1347" t="s">
        <v>5496</v>
      </c>
      <c r="R53" s="1347">
        <v>0</v>
      </c>
      <c r="S53" s="1377">
        <v>0</v>
      </c>
      <c r="T53" s="1347">
        <v>3</v>
      </c>
      <c r="U53" s="1377">
        <v>6.5217391304347824E-2</v>
      </c>
      <c r="V53" s="1347">
        <v>0</v>
      </c>
      <c r="W53" s="1377">
        <v>0</v>
      </c>
      <c r="X53" s="1347">
        <v>3</v>
      </c>
    </row>
    <row r="54" spans="1:30">
      <c r="A54" s="1347" t="s">
        <v>5494</v>
      </c>
      <c r="B54" s="1357">
        <v>1</v>
      </c>
      <c r="C54" s="1357">
        <v>1</v>
      </c>
      <c r="D54" s="1357">
        <v>10</v>
      </c>
      <c r="E54" s="1357">
        <v>2</v>
      </c>
      <c r="F54" s="1357">
        <v>5</v>
      </c>
      <c r="G54" s="1357">
        <v>3</v>
      </c>
      <c r="H54" s="1357">
        <v>2</v>
      </c>
      <c r="I54" s="1357">
        <v>3</v>
      </c>
      <c r="J54" s="1357">
        <v>0</v>
      </c>
      <c r="K54" s="1357">
        <v>0</v>
      </c>
      <c r="L54" s="1357">
        <v>1</v>
      </c>
      <c r="M54" s="1357">
        <v>0</v>
      </c>
      <c r="N54" s="1357">
        <v>28</v>
      </c>
      <c r="Q54" s="1347" t="s">
        <v>778</v>
      </c>
      <c r="R54" s="1347">
        <v>28</v>
      </c>
      <c r="S54" s="1377">
        <v>0.27184466019417475</v>
      </c>
      <c r="T54" s="1347">
        <v>12</v>
      </c>
      <c r="U54" s="1377">
        <v>0.2608695652173913</v>
      </c>
      <c r="V54" s="1347">
        <v>5</v>
      </c>
      <c r="W54" s="1377">
        <v>0.41666666666666669</v>
      </c>
      <c r="X54" s="1347">
        <v>45</v>
      </c>
    </row>
    <row r="55" spans="1:30">
      <c r="A55" s="1347" t="s">
        <v>5847</v>
      </c>
      <c r="B55" s="1357">
        <v>0</v>
      </c>
      <c r="C55" s="1357">
        <v>0</v>
      </c>
      <c r="D55" s="1357">
        <v>0</v>
      </c>
      <c r="E55" s="1357">
        <v>0</v>
      </c>
      <c r="F55" s="1357">
        <v>0</v>
      </c>
      <c r="G55" s="1357">
        <v>0</v>
      </c>
      <c r="H55" s="1357">
        <v>0</v>
      </c>
      <c r="I55" s="1357">
        <v>0</v>
      </c>
      <c r="J55" s="1357">
        <v>0</v>
      </c>
      <c r="K55" s="1357">
        <v>0</v>
      </c>
      <c r="L55" s="1357">
        <v>0</v>
      </c>
      <c r="M55" s="1357">
        <v>0</v>
      </c>
      <c r="N55" s="1357">
        <v>0</v>
      </c>
      <c r="Q55" s="1347" t="s">
        <v>5493</v>
      </c>
      <c r="R55" s="1347">
        <v>41</v>
      </c>
      <c r="S55" s="1377">
        <v>0.39805825242718446</v>
      </c>
      <c r="T55" s="1347">
        <v>21</v>
      </c>
      <c r="U55" s="1377">
        <v>0.45652173913043476</v>
      </c>
      <c r="V55" s="1347">
        <v>5</v>
      </c>
      <c r="W55" s="1377">
        <v>0.41666666666666669</v>
      </c>
      <c r="X55" s="1347">
        <v>67</v>
      </c>
    </row>
    <row r="56" spans="1:30">
      <c r="A56" s="1347" t="s">
        <v>771</v>
      </c>
      <c r="B56" s="1357">
        <v>0</v>
      </c>
      <c r="C56" s="1357">
        <v>0</v>
      </c>
      <c r="D56" s="1357">
        <v>1</v>
      </c>
      <c r="E56" s="1357">
        <v>0</v>
      </c>
      <c r="F56" s="1357">
        <v>1</v>
      </c>
      <c r="G56" s="1357">
        <v>1</v>
      </c>
      <c r="H56" s="1357">
        <v>0</v>
      </c>
      <c r="I56" s="1357">
        <v>0</v>
      </c>
      <c r="J56" s="1357">
        <v>0</v>
      </c>
      <c r="K56" s="1357">
        <v>0</v>
      </c>
      <c r="L56" s="1357">
        <v>0</v>
      </c>
      <c r="M56" s="1357">
        <v>0</v>
      </c>
      <c r="N56" s="1357">
        <v>3</v>
      </c>
      <c r="Q56" s="1347" t="s">
        <v>1020</v>
      </c>
      <c r="R56" s="1347">
        <v>28</v>
      </c>
      <c r="S56" s="1377">
        <v>0.27184466019417475</v>
      </c>
      <c r="T56" s="1347">
        <v>8</v>
      </c>
      <c r="U56" s="1377">
        <v>0.17391304347826086</v>
      </c>
      <c r="V56" s="1347">
        <v>2</v>
      </c>
      <c r="W56" s="1377">
        <v>0.16666666666666666</v>
      </c>
      <c r="X56" s="1347">
        <v>38</v>
      </c>
    </row>
    <row r="57" spans="1:30">
      <c r="A57" s="1347" t="s">
        <v>5495</v>
      </c>
      <c r="B57" s="1357">
        <v>0</v>
      </c>
      <c r="C57" s="1357">
        <v>1</v>
      </c>
      <c r="D57" s="1357">
        <v>8</v>
      </c>
      <c r="E57" s="1357">
        <v>2</v>
      </c>
      <c r="F57" s="1357">
        <v>4</v>
      </c>
      <c r="G57" s="1357">
        <v>1</v>
      </c>
      <c r="H57" s="1357">
        <v>5</v>
      </c>
      <c r="I57" s="1357">
        <v>4</v>
      </c>
      <c r="J57" s="1357">
        <v>0</v>
      </c>
      <c r="K57" s="1357">
        <v>2</v>
      </c>
      <c r="L57" s="1357">
        <v>2</v>
      </c>
      <c r="M57" s="1357">
        <v>0</v>
      </c>
      <c r="N57" s="1357">
        <v>29</v>
      </c>
      <c r="Q57" s="1346" t="s">
        <v>4348</v>
      </c>
      <c r="R57" s="1358">
        <v>103</v>
      </c>
      <c r="S57" s="1378">
        <v>0.63975155279503104</v>
      </c>
      <c r="T57" s="1358">
        <v>46</v>
      </c>
      <c r="U57" s="1362">
        <v>0.2857142857142857</v>
      </c>
      <c r="V57" s="1358">
        <v>12</v>
      </c>
      <c r="W57" s="1362">
        <v>7.4534161490683232E-2</v>
      </c>
      <c r="X57" s="1358">
        <v>161</v>
      </c>
    </row>
    <row r="58" spans="1:30">
      <c r="A58" s="1347" t="s">
        <v>5496</v>
      </c>
      <c r="B58" s="1357">
        <v>2</v>
      </c>
      <c r="C58" s="1357">
        <v>1</v>
      </c>
      <c r="D58" s="1357">
        <v>23</v>
      </c>
      <c r="E58" s="1357">
        <v>8</v>
      </c>
      <c r="F58" s="1357">
        <v>10</v>
      </c>
      <c r="G58" s="1357">
        <v>18</v>
      </c>
      <c r="H58" s="1357">
        <v>6</v>
      </c>
      <c r="I58" s="1357">
        <v>20</v>
      </c>
      <c r="J58" s="1357">
        <v>1</v>
      </c>
      <c r="K58" s="1357">
        <v>3</v>
      </c>
      <c r="L58" s="1357">
        <v>9</v>
      </c>
      <c r="M58" s="1357">
        <v>0</v>
      </c>
      <c r="N58" s="1357">
        <v>101</v>
      </c>
    </row>
    <row r="59" spans="1:30">
      <c r="A59" s="1347" t="s">
        <v>778</v>
      </c>
      <c r="B59" s="1357">
        <v>9</v>
      </c>
      <c r="C59" s="1357">
        <v>6</v>
      </c>
      <c r="D59" s="1357">
        <v>78</v>
      </c>
      <c r="E59" s="1357">
        <v>20</v>
      </c>
      <c r="F59" s="1357">
        <v>62</v>
      </c>
      <c r="G59" s="1357">
        <v>53</v>
      </c>
      <c r="H59" s="1357">
        <v>21</v>
      </c>
      <c r="I59" s="1357">
        <v>14</v>
      </c>
      <c r="J59" s="1357">
        <v>0</v>
      </c>
      <c r="K59" s="1357">
        <v>11</v>
      </c>
      <c r="L59" s="1357">
        <v>33</v>
      </c>
      <c r="M59" s="1357">
        <v>11</v>
      </c>
      <c r="N59" s="1357">
        <v>318</v>
      </c>
    </row>
    <row r="60" spans="1:30">
      <c r="A60" s="1347" t="s">
        <v>5493</v>
      </c>
      <c r="B60" s="1357">
        <v>9</v>
      </c>
      <c r="C60" s="1357">
        <v>17</v>
      </c>
      <c r="D60" s="1357">
        <v>90</v>
      </c>
      <c r="E60" s="1357">
        <v>36</v>
      </c>
      <c r="F60" s="1357">
        <v>103</v>
      </c>
      <c r="G60" s="1357">
        <v>102</v>
      </c>
      <c r="H60" s="1357">
        <v>56</v>
      </c>
      <c r="I60" s="1357">
        <v>41</v>
      </c>
      <c r="J60" s="1357">
        <v>3</v>
      </c>
      <c r="K60" s="1357">
        <v>11</v>
      </c>
      <c r="L60" s="1357">
        <v>38</v>
      </c>
      <c r="M60" s="1357">
        <v>5</v>
      </c>
      <c r="N60" s="1357">
        <v>511</v>
      </c>
      <c r="Q60" s="1384" t="s">
        <v>7361</v>
      </c>
    </row>
    <row r="61" spans="1:30">
      <c r="A61" s="1347" t="s">
        <v>1020</v>
      </c>
      <c r="B61" s="1357">
        <v>3</v>
      </c>
      <c r="C61" s="1357">
        <v>13</v>
      </c>
      <c r="D61" s="1357">
        <v>46</v>
      </c>
      <c r="E61" s="1357">
        <v>14</v>
      </c>
      <c r="F61" s="1357">
        <v>71</v>
      </c>
      <c r="G61" s="1357">
        <v>89</v>
      </c>
      <c r="H61" s="1357">
        <v>44</v>
      </c>
      <c r="I61" s="1357">
        <v>42</v>
      </c>
      <c r="J61" s="1357">
        <v>3</v>
      </c>
      <c r="K61" s="1357">
        <v>6</v>
      </c>
      <c r="L61" s="1357">
        <v>26</v>
      </c>
      <c r="M61" s="1357">
        <v>1</v>
      </c>
      <c r="N61" s="1357">
        <v>358</v>
      </c>
      <c r="Q61" s="643" t="s">
        <v>7214</v>
      </c>
      <c r="R61" s="2013" t="s">
        <v>7363</v>
      </c>
      <c r="S61" s="2014"/>
      <c r="T61" s="2014" t="s">
        <v>1008</v>
      </c>
      <c r="U61" s="2014"/>
      <c r="V61" s="2015" t="s">
        <v>2407</v>
      </c>
      <c r="W61" s="2013"/>
      <c r="X61" s="1250" t="s">
        <v>4348</v>
      </c>
      <c r="Y61" s="1250"/>
    </row>
    <row r="62" spans="1:30">
      <c r="A62" s="1346" t="s">
        <v>2034</v>
      </c>
      <c r="B62" s="1358">
        <v>24</v>
      </c>
      <c r="C62" s="1358">
        <v>39</v>
      </c>
      <c r="D62" s="1358">
        <v>257</v>
      </c>
      <c r="E62" s="1358">
        <v>84</v>
      </c>
      <c r="F62" s="1358">
        <v>262</v>
      </c>
      <c r="G62" s="1358">
        <v>269</v>
      </c>
      <c r="H62" s="1358">
        <v>144</v>
      </c>
      <c r="I62" s="1358">
        <v>131</v>
      </c>
      <c r="J62" s="1358">
        <v>7</v>
      </c>
      <c r="K62" s="1358">
        <v>33</v>
      </c>
      <c r="L62" s="1358">
        <v>114</v>
      </c>
      <c r="M62" s="1358">
        <v>17</v>
      </c>
      <c r="N62" s="1358">
        <v>1381</v>
      </c>
      <c r="Q62" s="644"/>
      <c r="R62" s="1252" t="s">
        <v>7281</v>
      </c>
      <c r="S62" s="1250" t="s">
        <v>5805</v>
      </c>
      <c r="T62" s="1250" t="s">
        <v>7281</v>
      </c>
      <c r="U62" s="1250" t="s">
        <v>5805</v>
      </c>
      <c r="V62" s="1250" t="s">
        <v>7281</v>
      </c>
      <c r="W62" s="1250" t="s">
        <v>5805</v>
      </c>
      <c r="X62" s="1250" t="s">
        <v>7281</v>
      </c>
      <c r="Y62" s="1250" t="s">
        <v>5805</v>
      </c>
    </row>
    <row r="63" spans="1:30">
      <c r="A63" s="1356" t="s">
        <v>7243</v>
      </c>
      <c r="B63" s="1359">
        <v>1.7378711078928313E-2</v>
      </c>
      <c r="C63" s="1359">
        <v>2.8240405503258507E-2</v>
      </c>
      <c r="D63" s="1359">
        <v>0.18609703113685735</v>
      </c>
      <c r="E63" s="1359">
        <v>6.0825488776249097E-2</v>
      </c>
      <c r="F63" s="1359">
        <v>0.18971759594496743</v>
      </c>
      <c r="G63" s="1359">
        <v>0.1947863866763215</v>
      </c>
      <c r="H63" s="1359">
        <v>0.10427226647356988</v>
      </c>
      <c r="I63" s="1359">
        <v>9.4858797972483713E-2</v>
      </c>
      <c r="J63" s="1359">
        <v>5.0687907313540911E-3</v>
      </c>
      <c r="K63" s="1359">
        <v>2.3895727733526429E-2</v>
      </c>
      <c r="L63" s="1359">
        <v>8.2548877624909492E-2</v>
      </c>
      <c r="M63" s="1359">
        <v>1.2309920347574221E-2</v>
      </c>
      <c r="N63" s="1360">
        <v>1.0000000000000002</v>
      </c>
      <c r="Q63" s="1357" t="s">
        <v>5848</v>
      </c>
      <c r="R63" s="1347">
        <v>0</v>
      </c>
      <c r="S63" s="1377">
        <v>0</v>
      </c>
      <c r="T63" s="1347">
        <v>0</v>
      </c>
      <c r="U63" s="1377">
        <v>0</v>
      </c>
      <c r="V63" s="1347">
        <v>0</v>
      </c>
      <c r="W63" s="1377">
        <v>0</v>
      </c>
      <c r="X63" s="1347">
        <v>0</v>
      </c>
      <c r="Y63" s="1377">
        <v>0</v>
      </c>
    </row>
    <row r="64" spans="1:30">
      <c r="Q64" s="1347" t="s">
        <v>5494</v>
      </c>
      <c r="R64" s="1347">
        <v>0</v>
      </c>
      <c r="S64" s="1377">
        <v>0</v>
      </c>
      <c r="T64" s="1347">
        <v>0</v>
      </c>
      <c r="U64" s="1377">
        <v>0</v>
      </c>
      <c r="V64" s="1347">
        <v>0</v>
      </c>
      <c r="W64" s="1377">
        <v>0</v>
      </c>
      <c r="X64" s="1347">
        <v>0</v>
      </c>
      <c r="Y64" s="1377">
        <v>0</v>
      </c>
    </row>
    <row r="65" spans="1:25">
      <c r="Q65" s="1347" t="s">
        <v>5847</v>
      </c>
      <c r="R65" s="1347">
        <v>0</v>
      </c>
      <c r="S65" s="1377">
        <v>0</v>
      </c>
      <c r="T65" s="1347">
        <v>0</v>
      </c>
      <c r="U65" s="1377">
        <v>0</v>
      </c>
      <c r="V65" s="1347">
        <v>0</v>
      </c>
      <c r="W65" s="1377">
        <v>0</v>
      </c>
      <c r="X65" s="1347">
        <v>0</v>
      </c>
      <c r="Y65" s="1377">
        <v>0</v>
      </c>
    </row>
    <row r="66" spans="1:25">
      <c r="A66" s="1384" t="s">
        <v>7272</v>
      </c>
      <c r="Q66" s="1347" t="s">
        <v>771</v>
      </c>
      <c r="R66" s="1347">
        <v>0</v>
      </c>
      <c r="S66" s="1377">
        <v>0</v>
      </c>
      <c r="T66" s="1347">
        <v>0</v>
      </c>
      <c r="U66" s="1377">
        <v>0</v>
      </c>
      <c r="V66" s="1347">
        <v>0</v>
      </c>
      <c r="W66" s="1377">
        <v>0</v>
      </c>
      <c r="X66" s="1347">
        <v>0</v>
      </c>
      <c r="Y66" s="1377">
        <v>0</v>
      </c>
    </row>
    <row r="67" spans="1:25">
      <c r="A67" s="643"/>
      <c r="B67" s="645" t="s">
        <v>12482</v>
      </c>
      <c r="C67" s="1145" t="s">
        <v>12483</v>
      </c>
      <c r="D67" s="645" t="s">
        <v>12484</v>
      </c>
      <c r="E67" s="645" t="s">
        <v>12485</v>
      </c>
      <c r="F67" s="645" t="s">
        <v>12486</v>
      </c>
      <c r="G67" s="645" t="s">
        <v>12487</v>
      </c>
      <c r="H67" s="645" t="s">
        <v>1214</v>
      </c>
      <c r="I67" s="645"/>
      <c r="Q67" s="1347" t="s">
        <v>5495</v>
      </c>
      <c r="R67" s="1347">
        <v>0</v>
      </c>
      <c r="S67" s="1377">
        <v>0</v>
      </c>
      <c r="T67" s="1347">
        <v>0</v>
      </c>
      <c r="U67" s="1377">
        <v>0</v>
      </c>
      <c r="V67" s="1347">
        <v>0</v>
      </c>
      <c r="W67" s="1377">
        <v>0</v>
      </c>
      <c r="X67" s="1347">
        <v>0</v>
      </c>
      <c r="Y67" s="1377">
        <v>0</v>
      </c>
    </row>
    <row r="68" spans="1:25">
      <c r="A68" s="644" t="s">
        <v>7214</v>
      </c>
      <c r="B68" s="646" t="s">
        <v>12488</v>
      </c>
      <c r="C68" s="646" t="s">
        <v>12489</v>
      </c>
      <c r="D68" s="646" t="s">
        <v>12490</v>
      </c>
      <c r="E68" s="646" t="s">
        <v>12491</v>
      </c>
      <c r="F68" s="646" t="s">
        <v>12492</v>
      </c>
      <c r="G68" s="646" t="s">
        <v>12493</v>
      </c>
      <c r="H68" s="646" t="s">
        <v>12542</v>
      </c>
      <c r="I68" s="646" t="s">
        <v>2034</v>
      </c>
      <c r="Q68" s="1347" t="s">
        <v>5496</v>
      </c>
      <c r="R68" s="1347">
        <v>0</v>
      </c>
      <c r="S68" s="1377">
        <v>0</v>
      </c>
      <c r="T68" s="1347">
        <v>0</v>
      </c>
      <c r="U68" s="1377">
        <v>0</v>
      </c>
      <c r="V68" s="1347">
        <v>0</v>
      </c>
      <c r="W68" s="1377">
        <v>0</v>
      </c>
      <c r="X68" s="1347">
        <v>0</v>
      </c>
      <c r="Y68" s="1377">
        <v>0</v>
      </c>
    </row>
    <row r="69" spans="1:25">
      <c r="A69" s="1357" t="s">
        <v>5848</v>
      </c>
      <c r="B69" s="1352">
        <v>0</v>
      </c>
      <c r="C69" s="1352">
        <v>0</v>
      </c>
      <c r="D69" s="1352">
        <v>1</v>
      </c>
      <c r="E69" s="1352">
        <v>0</v>
      </c>
      <c r="F69" s="1352">
        <v>1</v>
      </c>
      <c r="G69" s="1352">
        <v>3</v>
      </c>
      <c r="H69" s="1352">
        <v>1</v>
      </c>
      <c r="I69" s="1352">
        <v>6</v>
      </c>
      <c r="J69" s="1383"/>
      <c r="Q69" s="1347" t="s">
        <v>778</v>
      </c>
      <c r="R69" s="1347">
        <v>5</v>
      </c>
      <c r="S69" s="1377">
        <v>0.22727272727272727</v>
      </c>
      <c r="T69" s="1347">
        <v>2</v>
      </c>
      <c r="U69" s="1377">
        <v>6.8965517241379309E-2</v>
      </c>
      <c r="V69" s="1347">
        <v>0</v>
      </c>
      <c r="W69" s="1377">
        <v>0</v>
      </c>
      <c r="X69" s="1347">
        <v>7</v>
      </c>
      <c r="Y69" s="1377">
        <v>0.11666666666666667</v>
      </c>
    </row>
    <row r="70" spans="1:25">
      <c r="A70" s="1347" t="s">
        <v>5494</v>
      </c>
      <c r="B70" s="1352">
        <v>2</v>
      </c>
      <c r="C70" s="1352">
        <v>0</v>
      </c>
      <c r="D70" s="1352">
        <v>0</v>
      </c>
      <c r="E70" s="1352">
        <v>1</v>
      </c>
      <c r="F70" s="1352">
        <v>0</v>
      </c>
      <c r="G70" s="1352">
        <v>2</v>
      </c>
      <c r="H70" s="1352">
        <v>1</v>
      </c>
      <c r="I70" s="1352">
        <v>6</v>
      </c>
      <c r="J70" s="1383"/>
      <c r="Q70" s="1347" t="s">
        <v>5493</v>
      </c>
      <c r="R70" s="1347">
        <v>13</v>
      </c>
      <c r="S70" s="1377">
        <v>0.59090909090909094</v>
      </c>
      <c r="T70" s="1347">
        <v>13</v>
      </c>
      <c r="U70" s="1377">
        <v>0.44827586206896552</v>
      </c>
      <c r="V70" s="1347">
        <v>4</v>
      </c>
      <c r="W70" s="1377">
        <v>0.44444444444444442</v>
      </c>
      <c r="X70" s="1347">
        <v>30</v>
      </c>
      <c r="Y70" s="1377">
        <v>0.5</v>
      </c>
    </row>
    <row r="71" spans="1:25">
      <c r="A71" s="1347" t="s">
        <v>5847</v>
      </c>
      <c r="B71" s="1352">
        <v>0</v>
      </c>
      <c r="C71" s="1352">
        <v>0</v>
      </c>
      <c r="D71" s="1352">
        <v>0</v>
      </c>
      <c r="E71" s="1352">
        <v>0</v>
      </c>
      <c r="F71" s="1352">
        <v>0</v>
      </c>
      <c r="G71" s="1352">
        <v>0</v>
      </c>
      <c r="H71" s="1352">
        <v>0</v>
      </c>
      <c r="I71" s="1352">
        <v>0</v>
      </c>
      <c r="J71" s="1383"/>
      <c r="Q71" s="1347" t="s">
        <v>1020</v>
      </c>
      <c r="R71" s="1347">
        <v>4</v>
      </c>
      <c r="S71" s="1377">
        <v>0.18181818181818182</v>
      </c>
      <c r="T71" s="1347">
        <v>14</v>
      </c>
      <c r="U71" s="1377">
        <v>0.48275862068965519</v>
      </c>
      <c r="V71" s="1347">
        <v>5</v>
      </c>
      <c r="W71" s="1377">
        <v>0.55555555555555558</v>
      </c>
      <c r="X71" s="1347">
        <v>23</v>
      </c>
      <c r="Y71" s="1377">
        <v>0.38333333333333336</v>
      </c>
    </row>
    <row r="72" spans="1:25">
      <c r="A72" s="1347" t="s">
        <v>771</v>
      </c>
      <c r="B72" s="1352">
        <v>0</v>
      </c>
      <c r="C72" s="1352">
        <v>0</v>
      </c>
      <c r="D72" s="1352">
        <v>0</v>
      </c>
      <c r="E72" s="1352">
        <v>0</v>
      </c>
      <c r="F72" s="1352">
        <v>1</v>
      </c>
      <c r="G72" s="1352">
        <v>0</v>
      </c>
      <c r="H72" s="1352">
        <v>0</v>
      </c>
      <c r="I72" s="1352">
        <v>1</v>
      </c>
      <c r="J72" s="1383"/>
      <c r="Q72" s="1346" t="s">
        <v>4348</v>
      </c>
      <c r="R72" s="1358">
        <v>22</v>
      </c>
      <c r="S72" s="1378">
        <v>0.36666666666666664</v>
      </c>
      <c r="T72" s="1358">
        <v>29</v>
      </c>
      <c r="U72" s="1378">
        <v>0.48333333333333334</v>
      </c>
      <c r="V72" s="1358">
        <v>9</v>
      </c>
      <c r="W72" s="1378">
        <v>0.15</v>
      </c>
      <c r="X72" s="1358">
        <v>60</v>
      </c>
      <c r="Y72" s="1362">
        <v>1</v>
      </c>
    </row>
    <row r="73" spans="1:25">
      <c r="A73" s="1347" t="s">
        <v>5495</v>
      </c>
      <c r="B73" s="1352">
        <v>0</v>
      </c>
      <c r="C73" s="1352">
        <v>0</v>
      </c>
      <c r="D73" s="1352">
        <v>0</v>
      </c>
      <c r="E73" s="1352">
        <v>4</v>
      </c>
      <c r="F73" s="1352">
        <v>0</v>
      </c>
      <c r="G73" s="1352">
        <v>2</v>
      </c>
      <c r="H73" s="1352">
        <v>0</v>
      </c>
      <c r="I73" s="1352">
        <v>6</v>
      </c>
      <c r="J73" s="1383"/>
      <c r="O73" s="1383"/>
      <c r="P73" s="1383"/>
      <c r="Q73" s="1383"/>
      <c r="R73" s="1383"/>
      <c r="S73" s="1383"/>
      <c r="T73" s="1383"/>
      <c r="U73" s="1383"/>
      <c r="V73" s="1383"/>
      <c r="W73" s="1383"/>
      <c r="X73" s="1383"/>
      <c r="Y73" s="1383"/>
    </row>
    <row r="74" spans="1:25">
      <c r="A74" s="1347" t="s">
        <v>5496</v>
      </c>
      <c r="B74" s="1352">
        <v>0</v>
      </c>
      <c r="C74" s="1352">
        <v>1</v>
      </c>
      <c r="D74" s="1352">
        <v>0</v>
      </c>
      <c r="E74" s="1352">
        <v>1</v>
      </c>
      <c r="F74" s="1352">
        <v>3</v>
      </c>
      <c r="G74" s="1352">
        <v>14</v>
      </c>
      <c r="H74" s="1352">
        <v>1</v>
      </c>
      <c r="I74" s="1352">
        <v>20</v>
      </c>
      <c r="J74" s="1383"/>
      <c r="O74" s="1383"/>
      <c r="P74" s="1383"/>
      <c r="Q74" s="1383"/>
      <c r="R74" s="1383"/>
      <c r="S74" s="1383"/>
      <c r="T74" s="1383"/>
      <c r="U74" s="1383"/>
      <c r="V74" s="1383"/>
      <c r="W74" s="1383"/>
      <c r="X74" s="1383"/>
      <c r="Y74" s="1383"/>
    </row>
    <row r="75" spans="1:25">
      <c r="A75" s="1347" t="s">
        <v>778</v>
      </c>
      <c r="B75" s="1352">
        <v>2</v>
      </c>
      <c r="C75" s="1352">
        <v>4</v>
      </c>
      <c r="D75" s="1352">
        <v>7</v>
      </c>
      <c r="E75" s="1352">
        <v>10</v>
      </c>
      <c r="F75" s="1352">
        <v>8</v>
      </c>
      <c r="G75" s="1352">
        <v>32</v>
      </c>
      <c r="H75" s="1352">
        <v>14</v>
      </c>
      <c r="I75" s="1352">
        <v>77</v>
      </c>
      <c r="J75" s="1383"/>
      <c r="O75" s="1383"/>
      <c r="P75" s="1383"/>
      <c r="Q75" s="1384" t="s">
        <v>7365</v>
      </c>
    </row>
    <row r="76" spans="1:25">
      <c r="A76" s="1347" t="s">
        <v>5493</v>
      </c>
      <c r="B76" s="1352">
        <v>2</v>
      </c>
      <c r="C76" s="1352">
        <v>7</v>
      </c>
      <c r="D76" s="1352">
        <v>5</v>
      </c>
      <c r="E76" s="1352">
        <v>15</v>
      </c>
      <c r="F76" s="1352">
        <v>7</v>
      </c>
      <c r="G76" s="1352">
        <v>73</v>
      </c>
      <c r="H76" s="1352">
        <v>8</v>
      </c>
      <c r="I76" s="1352">
        <v>117</v>
      </c>
      <c r="J76" s="1383"/>
      <c r="O76" s="1383"/>
      <c r="P76" s="1383"/>
      <c r="Q76" s="1155"/>
      <c r="R76" s="1155" t="s">
        <v>7369</v>
      </c>
      <c r="S76" s="1155" t="s">
        <v>7369</v>
      </c>
      <c r="T76" s="1155" t="s">
        <v>7373</v>
      </c>
      <c r="U76" s="1155" t="s">
        <v>7375</v>
      </c>
      <c r="V76" s="1155" t="s">
        <v>7373</v>
      </c>
      <c r="W76" s="1155" t="s">
        <v>7380</v>
      </c>
      <c r="X76" s="1155"/>
      <c r="Y76" s="1156"/>
    </row>
    <row r="77" spans="1:25">
      <c r="A77" s="1347" t="s">
        <v>1020</v>
      </c>
      <c r="B77" s="1352">
        <v>0</v>
      </c>
      <c r="C77" s="1352">
        <v>6</v>
      </c>
      <c r="D77" s="1352">
        <v>3</v>
      </c>
      <c r="E77" s="1352">
        <v>5</v>
      </c>
      <c r="F77" s="1352">
        <v>5</v>
      </c>
      <c r="G77" s="1352">
        <v>61</v>
      </c>
      <c r="H77" s="1352">
        <v>9</v>
      </c>
      <c r="I77" s="1352">
        <v>89</v>
      </c>
      <c r="J77" s="1383"/>
      <c r="O77" s="1383"/>
      <c r="P77" s="1383"/>
      <c r="Q77" s="1157"/>
      <c r="R77" s="1158" t="s">
        <v>7366</v>
      </c>
      <c r="S77" s="1157" t="s">
        <v>7368</v>
      </c>
      <c r="T77" s="1157" t="s">
        <v>7370</v>
      </c>
      <c r="U77" s="1157" t="s">
        <v>7376</v>
      </c>
      <c r="V77" s="1157" t="s">
        <v>7377</v>
      </c>
      <c r="W77" s="1157" t="s">
        <v>7381</v>
      </c>
      <c r="X77" s="1155" t="s">
        <v>12560</v>
      </c>
      <c r="Y77" s="1159"/>
    </row>
    <row r="78" spans="1:25">
      <c r="A78" s="1358" t="s">
        <v>2034</v>
      </c>
      <c r="B78" s="1354">
        <v>6</v>
      </c>
      <c r="C78" s="1354">
        <v>18</v>
      </c>
      <c r="D78" s="1354">
        <v>16</v>
      </c>
      <c r="E78" s="1354">
        <v>36</v>
      </c>
      <c r="F78" s="1354">
        <v>25</v>
      </c>
      <c r="G78" s="1354">
        <v>187</v>
      </c>
      <c r="H78" s="1354">
        <v>34</v>
      </c>
      <c r="I78" s="1354">
        <v>322</v>
      </c>
      <c r="J78" s="1383"/>
      <c r="O78" s="1383"/>
      <c r="P78" s="1383"/>
      <c r="Q78" s="1157" t="s">
        <v>7214</v>
      </c>
      <c r="R78" s="1158" t="s">
        <v>7367</v>
      </c>
      <c r="S78" s="1157" t="s">
        <v>7379</v>
      </c>
      <c r="T78" s="1157" t="s">
        <v>7371</v>
      </c>
      <c r="U78" s="1157" t="s">
        <v>7374</v>
      </c>
      <c r="V78" s="1157" t="s">
        <v>7378</v>
      </c>
      <c r="W78" s="1157" t="s">
        <v>7382</v>
      </c>
      <c r="X78" s="1157" t="s">
        <v>12561</v>
      </c>
      <c r="Y78" s="1159" t="s">
        <v>2034</v>
      </c>
    </row>
    <row r="79" spans="1:25">
      <c r="A79" s="1347" t="s">
        <v>7243</v>
      </c>
      <c r="B79" s="1353">
        <v>1.8633540372670808E-2</v>
      </c>
      <c r="C79" s="1353">
        <v>5.5900621118012424E-2</v>
      </c>
      <c r="D79" s="1353">
        <v>4.9689440993788817E-2</v>
      </c>
      <c r="E79" s="1353">
        <v>0.11180124223602485</v>
      </c>
      <c r="F79" s="1353">
        <v>7.7639751552795025E-2</v>
      </c>
      <c r="G79" s="1353">
        <v>0.58074534161490687</v>
      </c>
      <c r="H79" s="1353">
        <v>0.10559006211180125</v>
      </c>
      <c r="I79" s="1353">
        <v>1</v>
      </c>
      <c r="J79" s="1383"/>
      <c r="O79" s="1383"/>
      <c r="P79" s="1383"/>
      <c r="Q79" s="1160"/>
      <c r="R79" s="1160"/>
      <c r="S79" s="1160" t="s">
        <v>1419</v>
      </c>
      <c r="T79" s="1160" t="s">
        <v>7372</v>
      </c>
      <c r="U79" s="1160"/>
      <c r="V79" s="1160" t="s">
        <v>2139</v>
      </c>
      <c r="W79" s="1160"/>
      <c r="X79" s="1160"/>
      <c r="Y79" s="1161"/>
    </row>
    <row r="80" spans="1:25">
      <c r="A80" s="1383"/>
      <c r="B80" s="1383"/>
      <c r="C80" s="1383"/>
      <c r="D80" s="1383"/>
      <c r="E80" s="1383"/>
      <c r="F80" s="1383"/>
      <c r="G80" s="1383"/>
      <c r="H80" s="1383"/>
      <c r="I80" s="1383"/>
      <c r="J80" s="1383"/>
      <c r="O80" s="1383"/>
      <c r="P80" s="1383"/>
      <c r="Q80" s="1357" t="s">
        <v>5848</v>
      </c>
      <c r="R80" s="1357">
        <v>1</v>
      </c>
      <c r="S80" s="1357">
        <v>0</v>
      </c>
      <c r="T80" s="1357">
        <v>0</v>
      </c>
      <c r="U80" s="1357">
        <v>0</v>
      </c>
      <c r="V80" s="1357">
        <v>0</v>
      </c>
      <c r="W80" s="1357">
        <v>0</v>
      </c>
      <c r="X80" s="1357">
        <v>0</v>
      </c>
      <c r="Y80" s="1357">
        <v>1</v>
      </c>
    </row>
    <row r="81" spans="1:26">
      <c r="O81" s="1383"/>
      <c r="P81" s="1383"/>
      <c r="Q81" s="1347" t="s">
        <v>5494</v>
      </c>
      <c r="R81" s="1357">
        <v>1</v>
      </c>
      <c r="S81" s="1357">
        <v>1</v>
      </c>
      <c r="T81" s="1357">
        <v>0</v>
      </c>
      <c r="U81" s="1357">
        <v>0</v>
      </c>
      <c r="V81" s="1357">
        <v>0</v>
      </c>
      <c r="W81" s="1357">
        <v>1</v>
      </c>
      <c r="X81" s="1357">
        <v>0</v>
      </c>
      <c r="Y81" s="1357">
        <v>3</v>
      </c>
    </row>
    <row r="82" spans="1:26">
      <c r="A82" s="1384" t="s">
        <v>7278</v>
      </c>
      <c r="O82" s="1383"/>
      <c r="P82" s="1383"/>
      <c r="Q82" s="1347" t="s">
        <v>5847</v>
      </c>
      <c r="R82" s="1357">
        <v>0</v>
      </c>
      <c r="S82" s="1357">
        <v>0</v>
      </c>
      <c r="T82" s="1357">
        <v>0</v>
      </c>
      <c r="U82" s="1357">
        <v>0</v>
      </c>
      <c r="V82" s="1357">
        <v>0</v>
      </c>
      <c r="W82" s="1357">
        <v>0</v>
      </c>
      <c r="X82" s="1357">
        <v>0</v>
      </c>
      <c r="Y82" s="1357">
        <v>0</v>
      </c>
    </row>
    <row r="83" spans="1:26">
      <c r="A83" s="643" t="s">
        <v>7279</v>
      </c>
      <c r="B83" s="2013" t="s">
        <v>1096</v>
      </c>
      <c r="C83" s="2014"/>
      <c r="D83" s="2014" t="s">
        <v>7280</v>
      </c>
      <c r="E83" s="2014"/>
      <c r="F83" s="2015" t="s">
        <v>12282</v>
      </c>
      <c r="G83" s="2013"/>
      <c r="H83" s="2015" t="s">
        <v>4348</v>
      </c>
      <c r="I83" s="2013"/>
      <c r="O83" s="1383"/>
      <c r="P83" s="1383"/>
      <c r="Q83" s="1347" t="s">
        <v>771</v>
      </c>
      <c r="R83" s="1357">
        <v>0</v>
      </c>
      <c r="S83" s="1357">
        <v>1</v>
      </c>
      <c r="T83" s="1357">
        <v>0</v>
      </c>
      <c r="U83" s="1357">
        <v>0</v>
      </c>
      <c r="V83" s="1357">
        <v>1</v>
      </c>
      <c r="W83" s="1357">
        <v>0</v>
      </c>
      <c r="X83" s="1357">
        <v>0</v>
      </c>
      <c r="Y83" s="1357">
        <v>2</v>
      </c>
    </row>
    <row r="84" spans="1:26">
      <c r="A84" s="1148"/>
      <c r="B84" s="1213" t="s">
        <v>7281</v>
      </c>
      <c r="C84" s="1154" t="s">
        <v>5805</v>
      </c>
      <c r="D84" s="1154" t="s">
        <v>7281</v>
      </c>
      <c r="E84" s="1154" t="s">
        <v>5805</v>
      </c>
      <c r="F84" s="1154" t="s">
        <v>7281</v>
      </c>
      <c r="G84" s="1154" t="s">
        <v>5805</v>
      </c>
      <c r="H84" s="1154" t="s">
        <v>7281</v>
      </c>
      <c r="I84" s="1154" t="s">
        <v>5805</v>
      </c>
      <c r="Q84" s="1347" t="s">
        <v>5495</v>
      </c>
      <c r="R84" s="1357">
        <v>0</v>
      </c>
      <c r="S84" s="1357">
        <v>3</v>
      </c>
      <c r="T84" s="1357">
        <v>2</v>
      </c>
      <c r="U84" s="1357">
        <v>3</v>
      </c>
      <c r="V84" s="1357">
        <v>1</v>
      </c>
      <c r="W84" s="1357">
        <v>0</v>
      </c>
      <c r="X84" s="1357">
        <v>0</v>
      </c>
      <c r="Y84" s="1357">
        <v>9</v>
      </c>
    </row>
    <row r="85" spans="1:26">
      <c r="A85" s="1222" t="s">
        <v>12562</v>
      </c>
      <c r="B85" s="1213"/>
      <c r="C85" s="1154"/>
      <c r="D85" s="1154"/>
      <c r="E85" s="1154"/>
      <c r="F85" s="1154"/>
      <c r="G85" s="1154"/>
      <c r="H85" s="1154"/>
      <c r="I85" s="1154"/>
      <c r="Q85" s="1347" t="s">
        <v>5496</v>
      </c>
      <c r="R85" s="1357">
        <v>0</v>
      </c>
      <c r="S85" s="1357">
        <v>0</v>
      </c>
      <c r="T85" s="1357">
        <v>0</v>
      </c>
      <c r="U85" s="1357">
        <v>0</v>
      </c>
      <c r="V85" s="1357">
        <v>0</v>
      </c>
      <c r="W85" s="1357">
        <v>0</v>
      </c>
      <c r="X85" s="1357">
        <v>0</v>
      </c>
      <c r="Y85" s="1357">
        <v>0</v>
      </c>
    </row>
    <row r="86" spans="1:26">
      <c r="A86" s="1363" t="s">
        <v>991</v>
      </c>
      <c r="B86" s="1343">
        <v>10</v>
      </c>
      <c r="C86" s="1364">
        <v>0.19230769230769232</v>
      </c>
      <c r="D86" s="1343">
        <v>17</v>
      </c>
      <c r="E86" s="1364">
        <v>0.45945945945945948</v>
      </c>
      <c r="F86" s="1343">
        <v>123</v>
      </c>
      <c r="G86" s="1364">
        <v>0.36936936936936937</v>
      </c>
      <c r="H86" s="1343">
        <v>150</v>
      </c>
      <c r="I86" s="1364">
        <v>0.35545023696682465</v>
      </c>
      <c r="Q86" s="1347" t="s">
        <v>778</v>
      </c>
      <c r="R86" s="1357">
        <v>16</v>
      </c>
      <c r="S86" s="1357">
        <v>13</v>
      </c>
      <c r="T86" s="1357">
        <v>7</v>
      </c>
      <c r="U86" s="1357">
        <v>6</v>
      </c>
      <c r="V86" s="1357">
        <v>5</v>
      </c>
      <c r="W86" s="1357">
        <v>1</v>
      </c>
      <c r="X86" s="1357">
        <v>3</v>
      </c>
      <c r="Y86" s="1357">
        <v>51</v>
      </c>
    </row>
    <row r="87" spans="1:26">
      <c r="A87" s="1363" t="s">
        <v>1071</v>
      </c>
      <c r="B87" s="1343">
        <v>3</v>
      </c>
      <c r="C87" s="1364">
        <v>5.7692307692307696E-2</v>
      </c>
      <c r="D87" s="1343">
        <v>0</v>
      </c>
      <c r="E87" s="1364">
        <v>0</v>
      </c>
      <c r="F87" s="1343">
        <v>12</v>
      </c>
      <c r="G87" s="1364">
        <v>3.6036036036036036E-2</v>
      </c>
      <c r="H87" s="1343">
        <v>15</v>
      </c>
      <c r="I87" s="1364">
        <v>3.5545023696682464E-2</v>
      </c>
      <c r="Q87" s="1347" t="s">
        <v>5493</v>
      </c>
      <c r="R87" s="1357">
        <v>18</v>
      </c>
      <c r="S87" s="1357">
        <v>22</v>
      </c>
      <c r="T87" s="1357">
        <v>19</v>
      </c>
      <c r="U87" s="1357">
        <v>17</v>
      </c>
      <c r="V87" s="1357">
        <v>16</v>
      </c>
      <c r="W87" s="1357">
        <v>0</v>
      </c>
      <c r="X87" s="1357">
        <v>1</v>
      </c>
      <c r="Y87" s="1357">
        <v>93</v>
      </c>
    </row>
    <row r="88" spans="1:26" ht="13.5" thickBot="1">
      <c r="A88" s="1365" t="s">
        <v>880</v>
      </c>
      <c r="B88" s="1366">
        <v>1</v>
      </c>
      <c r="C88" s="1367">
        <v>1.9230769230769232E-2</v>
      </c>
      <c r="D88" s="1366">
        <v>0</v>
      </c>
      <c r="E88" s="1367">
        <v>0</v>
      </c>
      <c r="F88" s="1366">
        <v>11</v>
      </c>
      <c r="G88" s="1367">
        <v>3.3033033033033031E-2</v>
      </c>
      <c r="H88" s="1366">
        <v>12</v>
      </c>
      <c r="I88" s="1367">
        <v>2.843601895734597E-2</v>
      </c>
      <c r="Q88" s="1347" t="s">
        <v>1020</v>
      </c>
      <c r="R88" s="1357">
        <v>15</v>
      </c>
      <c r="S88" s="1357">
        <v>20</v>
      </c>
      <c r="T88" s="1357">
        <v>18</v>
      </c>
      <c r="U88" s="1357">
        <v>16</v>
      </c>
      <c r="V88" s="1357">
        <v>17</v>
      </c>
      <c r="W88" s="1357">
        <v>0</v>
      </c>
      <c r="X88" s="1357">
        <v>0</v>
      </c>
      <c r="Y88" s="1357">
        <v>86</v>
      </c>
    </row>
    <row r="89" spans="1:26">
      <c r="A89" s="1226" t="s">
        <v>12563</v>
      </c>
      <c r="B89" s="1223"/>
      <c r="C89" s="1224"/>
      <c r="D89" s="1223"/>
      <c r="E89" s="1224"/>
      <c r="F89" s="1223"/>
      <c r="G89" s="1224"/>
      <c r="H89" s="1223"/>
      <c r="I89" s="1225"/>
      <c r="Q89" s="1346" t="s">
        <v>4348</v>
      </c>
      <c r="R89" s="1358">
        <v>51</v>
      </c>
      <c r="S89" s="1358">
        <v>60</v>
      </c>
      <c r="T89" s="1358">
        <v>46</v>
      </c>
      <c r="U89" s="1358">
        <v>42</v>
      </c>
      <c r="V89" s="1358">
        <v>40</v>
      </c>
      <c r="W89" s="1358">
        <v>2</v>
      </c>
      <c r="X89" s="1358">
        <v>4</v>
      </c>
      <c r="Y89" s="1358">
        <v>245</v>
      </c>
    </row>
    <row r="90" spans="1:26">
      <c r="A90" s="1368" t="s">
        <v>770</v>
      </c>
      <c r="B90" s="1343">
        <v>23</v>
      </c>
      <c r="C90" s="1364">
        <v>0.44230769230769229</v>
      </c>
      <c r="D90" s="1343">
        <v>16</v>
      </c>
      <c r="E90" s="1364">
        <v>0.43243243243243246</v>
      </c>
      <c r="F90" s="1343">
        <v>139</v>
      </c>
      <c r="G90" s="1364">
        <v>0.41741741741741739</v>
      </c>
      <c r="H90" s="1343">
        <v>178</v>
      </c>
      <c r="I90" s="1369">
        <v>0.4218009478672986</v>
      </c>
      <c r="Q90" s="1356" t="s">
        <v>7243</v>
      </c>
      <c r="R90" s="1377">
        <v>0.20816326530612245</v>
      </c>
      <c r="S90" s="1377">
        <v>0.24489795918367346</v>
      </c>
      <c r="T90" s="1377">
        <v>0.18775510204081633</v>
      </c>
      <c r="U90" s="1377">
        <v>0.17142857142857143</v>
      </c>
      <c r="V90" s="1377">
        <v>0.16326530612244897</v>
      </c>
      <c r="W90" s="1377">
        <v>8.1632653061224497E-3</v>
      </c>
      <c r="X90" s="1377">
        <v>1.6326530612244899E-2</v>
      </c>
      <c r="Y90" s="1377">
        <v>0.99999999999999989</v>
      </c>
    </row>
    <row r="91" spans="1:26">
      <c r="A91" s="1368" t="s">
        <v>1005</v>
      </c>
      <c r="B91" s="1343">
        <v>1</v>
      </c>
      <c r="C91" s="1364">
        <v>1.9230769230769232E-2</v>
      </c>
      <c r="D91" s="1343">
        <v>1</v>
      </c>
      <c r="E91" s="1364">
        <v>2.7027027027027029E-2</v>
      </c>
      <c r="F91" s="1343">
        <v>6</v>
      </c>
      <c r="G91" s="1364">
        <v>1.8018018018018018E-2</v>
      </c>
      <c r="H91" s="1343">
        <v>8</v>
      </c>
      <c r="I91" s="1369">
        <v>1.8957345971563982E-2</v>
      </c>
    </row>
    <row r="92" spans="1:26" ht="13.5" thickBot="1">
      <c r="A92" s="1370" t="s">
        <v>937</v>
      </c>
      <c r="B92" s="1371">
        <v>4</v>
      </c>
      <c r="C92" s="1372">
        <v>7.6923076923076927E-2</v>
      </c>
      <c r="D92" s="1371">
        <v>1</v>
      </c>
      <c r="E92" s="1372">
        <v>2.7027027027027029E-2</v>
      </c>
      <c r="F92" s="1371">
        <v>13</v>
      </c>
      <c r="G92" s="1372">
        <v>3.903903903903904E-2</v>
      </c>
      <c r="H92" s="1371">
        <v>18</v>
      </c>
      <c r="I92" s="1373">
        <v>4.2654028436018961E-2</v>
      </c>
    </row>
    <row r="93" spans="1:26">
      <c r="A93" s="1222" t="s">
        <v>12564</v>
      </c>
      <c r="B93" s="1227"/>
      <c r="C93" s="1228"/>
      <c r="D93" s="1227"/>
      <c r="E93" s="1228"/>
      <c r="F93" s="1227"/>
      <c r="G93" s="1228"/>
      <c r="H93" s="1227"/>
      <c r="I93" s="1228"/>
      <c r="Q93" s="1384" t="s">
        <v>7383</v>
      </c>
    </row>
    <row r="94" spans="1:26" ht="25.5">
      <c r="A94" s="1374" t="s">
        <v>4335</v>
      </c>
      <c r="B94" s="1352">
        <v>1</v>
      </c>
      <c r="C94" s="1375">
        <v>1.9230769230769232E-2</v>
      </c>
      <c r="D94" s="1352">
        <v>0</v>
      </c>
      <c r="E94" s="1375">
        <v>0</v>
      </c>
      <c r="F94" s="1352">
        <v>0</v>
      </c>
      <c r="G94" s="1375">
        <v>0</v>
      </c>
      <c r="H94" s="1352">
        <v>1</v>
      </c>
      <c r="I94" s="1375">
        <v>2.3696682464454978E-3</v>
      </c>
      <c r="Q94" s="1250" t="s">
        <v>7390</v>
      </c>
      <c r="R94" s="1250" t="s">
        <v>7384</v>
      </c>
      <c r="S94" s="1250" t="s">
        <v>7385</v>
      </c>
      <c r="T94" s="1250" t="s">
        <v>7386</v>
      </c>
      <c r="U94" s="1250" t="s">
        <v>7387</v>
      </c>
      <c r="V94" s="1250" t="s">
        <v>7388</v>
      </c>
      <c r="W94" s="1250" t="s">
        <v>1783</v>
      </c>
      <c r="X94" s="1250" t="s">
        <v>1784</v>
      </c>
      <c r="Y94" s="1250" t="s">
        <v>7391</v>
      </c>
      <c r="Z94" s="1250" t="s">
        <v>2034</v>
      </c>
    </row>
    <row r="95" spans="1:26">
      <c r="A95" s="1363" t="s">
        <v>1073</v>
      </c>
      <c r="B95" s="1343">
        <v>2</v>
      </c>
      <c r="C95" s="1364">
        <v>3.8461538461538464E-2</v>
      </c>
      <c r="D95" s="1343">
        <v>0</v>
      </c>
      <c r="E95" s="1364">
        <v>0</v>
      </c>
      <c r="F95" s="1343">
        <v>5</v>
      </c>
      <c r="G95" s="1364">
        <v>1.5015015015015015E-2</v>
      </c>
      <c r="H95" s="1343">
        <v>7</v>
      </c>
      <c r="I95" s="1364">
        <v>1.6587677725118485E-2</v>
      </c>
      <c r="Q95" s="1347" t="s">
        <v>5848</v>
      </c>
      <c r="R95" s="1347">
        <v>1</v>
      </c>
      <c r="S95" s="1347">
        <v>1</v>
      </c>
      <c r="T95" s="1347">
        <v>0</v>
      </c>
      <c r="U95" s="1347">
        <v>15</v>
      </c>
      <c r="V95" s="1347">
        <v>1</v>
      </c>
      <c r="W95" s="1347">
        <v>1</v>
      </c>
      <c r="X95" s="1347">
        <v>1</v>
      </c>
      <c r="Y95" s="1347">
        <v>0</v>
      </c>
      <c r="Z95" s="1347">
        <v>20</v>
      </c>
    </row>
    <row r="96" spans="1:26">
      <c r="A96" s="1363" t="s">
        <v>888</v>
      </c>
      <c r="B96" s="1343">
        <v>0</v>
      </c>
      <c r="C96" s="1364">
        <v>0</v>
      </c>
      <c r="D96" s="1343">
        <v>0</v>
      </c>
      <c r="E96" s="1364">
        <v>0</v>
      </c>
      <c r="F96" s="1343">
        <v>3</v>
      </c>
      <c r="G96" s="1364">
        <v>9.0090090090090089E-3</v>
      </c>
      <c r="H96" s="1343">
        <v>3</v>
      </c>
      <c r="I96" s="1364">
        <v>7.1090047393364926E-3</v>
      </c>
      <c r="Q96" s="1347" t="s">
        <v>5494</v>
      </c>
      <c r="R96" s="1347">
        <v>0</v>
      </c>
      <c r="S96" s="1347">
        <v>1</v>
      </c>
      <c r="T96" s="1347">
        <v>1</v>
      </c>
      <c r="U96" s="1347">
        <v>1</v>
      </c>
      <c r="V96" s="1347">
        <v>0</v>
      </c>
      <c r="W96" s="1347">
        <v>1</v>
      </c>
      <c r="X96" s="1347">
        <v>1</v>
      </c>
      <c r="Y96" s="1347">
        <v>0</v>
      </c>
      <c r="Z96" s="1347">
        <v>5</v>
      </c>
    </row>
    <row r="97" spans="1:26">
      <c r="A97" s="1363" t="s">
        <v>7283</v>
      </c>
      <c r="B97" s="1343">
        <v>1</v>
      </c>
      <c r="C97" s="1364">
        <v>1.9230769230769232E-2</v>
      </c>
      <c r="D97" s="1343">
        <v>1</v>
      </c>
      <c r="E97" s="1364">
        <v>2.7027027027027029E-2</v>
      </c>
      <c r="F97" s="1343">
        <v>15</v>
      </c>
      <c r="G97" s="1364">
        <v>4.5045045045045043E-2</v>
      </c>
      <c r="H97" s="1343">
        <v>17</v>
      </c>
      <c r="I97" s="1364">
        <v>4.0284360189573459E-2</v>
      </c>
      <c r="Q97" s="1347" t="s">
        <v>5847</v>
      </c>
      <c r="R97" s="1347">
        <v>0</v>
      </c>
      <c r="S97" s="1347">
        <v>0</v>
      </c>
      <c r="T97" s="1347">
        <v>0</v>
      </c>
      <c r="U97" s="1347">
        <v>0</v>
      </c>
      <c r="V97" s="1347">
        <v>0</v>
      </c>
      <c r="W97" s="1347">
        <v>0</v>
      </c>
      <c r="X97" s="1347">
        <v>0</v>
      </c>
      <c r="Y97" s="1347">
        <v>0</v>
      </c>
      <c r="Z97" s="1347">
        <v>0</v>
      </c>
    </row>
    <row r="98" spans="1:26">
      <c r="A98" s="1363" t="s">
        <v>7284</v>
      </c>
      <c r="B98" s="1343">
        <v>3</v>
      </c>
      <c r="C98" s="1364">
        <v>5.7692307692307696E-2</v>
      </c>
      <c r="D98" s="1343">
        <v>1</v>
      </c>
      <c r="E98" s="1364">
        <v>2.7027027027027029E-2</v>
      </c>
      <c r="F98" s="1343">
        <v>5</v>
      </c>
      <c r="G98" s="1364">
        <v>1.5015015015015015E-2</v>
      </c>
      <c r="H98" s="1343">
        <v>9</v>
      </c>
      <c r="I98" s="1364">
        <v>2.132701421800948E-2</v>
      </c>
      <c r="Q98" s="1347" t="s">
        <v>771</v>
      </c>
      <c r="R98" s="1347">
        <v>0</v>
      </c>
      <c r="S98" s="1347">
        <v>0</v>
      </c>
      <c r="T98" s="1347">
        <v>1</v>
      </c>
      <c r="U98" s="1347">
        <v>1</v>
      </c>
      <c r="V98" s="1347">
        <v>0</v>
      </c>
      <c r="W98" s="1347">
        <v>0</v>
      </c>
      <c r="X98" s="1347">
        <v>0</v>
      </c>
      <c r="Y98" s="1347">
        <v>0</v>
      </c>
      <c r="Z98" s="1347">
        <v>2</v>
      </c>
    </row>
    <row r="99" spans="1:26">
      <c r="A99" s="1363" t="s">
        <v>796</v>
      </c>
      <c r="B99" s="1343">
        <v>1</v>
      </c>
      <c r="C99" s="1364">
        <v>1.9230769230769232E-2</v>
      </c>
      <c r="D99" s="1343">
        <v>0</v>
      </c>
      <c r="E99" s="1364">
        <v>0</v>
      </c>
      <c r="F99" s="1343">
        <v>0</v>
      </c>
      <c r="G99" s="1364">
        <v>0</v>
      </c>
      <c r="H99" s="1343">
        <v>1</v>
      </c>
      <c r="I99" s="1364">
        <v>2.3696682464454978E-3</v>
      </c>
      <c r="Q99" s="1347" t="s">
        <v>5495</v>
      </c>
      <c r="R99" s="1347">
        <v>0</v>
      </c>
      <c r="S99" s="1347">
        <v>0</v>
      </c>
      <c r="T99" s="1347">
        <v>3</v>
      </c>
      <c r="U99" s="1347">
        <v>1</v>
      </c>
      <c r="V99" s="1347">
        <v>2</v>
      </c>
      <c r="W99" s="1347">
        <v>2</v>
      </c>
      <c r="X99" s="1347">
        <v>2</v>
      </c>
      <c r="Y99" s="1347">
        <v>0</v>
      </c>
      <c r="Z99" s="1347">
        <v>10</v>
      </c>
    </row>
    <row r="100" spans="1:26">
      <c r="A100" s="1363" t="s">
        <v>7286</v>
      </c>
      <c r="B100" s="1343">
        <v>2</v>
      </c>
      <c r="C100" s="1364">
        <v>3.8461538461538464E-2</v>
      </c>
      <c r="D100" s="1343">
        <v>0</v>
      </c>
      <c r="E100" s="1364">
        <v>0</v>
      </c>
      <c r="F100" s="1343">
        <v>0</v>
      </c>
      <c r="G100" s="1364">
        <v>0</v>
      </c>
      <c r="H100" s="1343">
        <v>2</v>
      </c>
      <c r="I100" s="1364">
        <v>4.7393364928909956E-3</v>
      </c>
      <c r="Q100" s="1347" t="s">
        <v>5496</v>
      </c>
      <c r="R100" s="1347">
        <v>0</v>
      </c>
      <c r="S100" s="1347">
        <v>0</v>
      </c>
      <c r="T100" s="1347">
        <v>0</v>
      </c>
      <c r="U100" s="1347">
        <v>0</v>
      </c>
      <c r="V100" s="1347">
        <v>0</v>
      </c>
      <c r="W100" s="1347">
        <v>0</v>
      </c>
      <c r="X100" s="1347">
        <v>0</v>
      </c>
      <c r="Y100" s="1347">
        <v>0</v>
      </c>
      <c r="Z100" s="1347">
        <v>0</v>
      </c>
    </row>
    <row r="101" spans="1:26">
      <c r="A101" s="1363" t="s">
        <v>7287</v>
      </c>
      <c r="B101" s="1343">
        <v>0</v>
      </c>
      <c r="C101" s="1364">
        <v>0</v>
      </c>
      <c r="D101" s="1343">
        <v>0</v>
      </c>
      <c r="E101" s="1364">
        <v>0</v>
      </c>
      <c r="F101" s="1343">
        <v>1</v>
      </c>
      <c r="G101" s="1364">
        <v>3.003003003003003E-3</v>
      </c>
      <c r="H101" s="1343">
        <v>1</v>
      </c>
      <c r="I101" s="1364">
        <v>2.3696682464454978E-3</v>
      </c>
      <c r="Q101" s="1347" t="s">
        <v>778</v>
      </c>
      <c r="R101" s="1347">
        <v>14</v>
      </c>
      <c r="S101" s="1347">
        <v>7</v>
      </c>
      <c r="T101" s="1347">
        <v>12</v>
      </c>
      <c r="U101" s="1347">
        <v>10</v>
      </c>
      <c r="V101" s="1347">
        <v>16</v>
      </c>
      <c r="W101" s="1347">
        <v>10</v>
      </c>
      <c r="X101" s="1347">
        <v>12</v>
      </c>
      <c r="Y101" s="1347">
        <v>1</v>
      </c>
      <c r="Z101" s="1347">
        <v>82</v>
      </c>
    </row>
    <row r="102" spans="1:26">
      <c r="A102" s="1358" t="s">
        <v>2034</v>
      </c>
      <c r="B102" s="1354">
        <v>52</v>
      </c>
      <c r="C102" s="1376">
        <v>0.12322274881516587</v>
      </c>
      <c r="D102" s="1354">
        <v>37</v>
      </c>
      <c r="E102" s="1376">
        <v>8.7677725118483416E-2</v>
      </c>
      <c r="F102" s="1354">
        <v>333</v>
      </c>
      <c r="G102" s="1376">
        <v>0.7890995260663507</v>
      </c>
      <c r="H102" s="1354">
        <v>422</v>
      </c>
      <c r="I102" s="1376">
        <v>1</v>
      </c>
      <c r="Q102" s="1347" t="s">
        <v>5493</v>
      </c>
      <c r="R102" s="1347">
        <v>31</v>
      </c>
      <c r="S102" s="1347">
        <v>24</v>
      </c>
      <c r="T102" s="1347">
        <v>27</v>
      </c>
      <c r="U102" s="1347">
        <v>30</v>
      </c>
      <c r="V102" s="1347">
        <v>24</v>
      </c>
      <c r="W102" s="1347">
        <v>29</v>
      </c>
      <c r="X102" s="1347">
        <v>30</v>
      </c>
      <c r="Y102" s="1347">
        <v>0</v>
      </c>
      <c r="Z102" s="1347">
        <v>195</v>
      </c>
    </row>
    <row r="103" spans="1:26">
      <c r="Q103" s="1347" t="s">
        <v>1020</v>
      </c>
      <c r="R103" s="1347">
        <v>25</v>
      </c>
      <c r="S103" s="1347">
        <v>14</v>
      </c>
      <c r="T103" s="1347">
        <v>23</v>
      </c>
      <c r="U103" s="1347">
        <v>20</v>
      </c>
      <c r="V103" s="1347">
        <v>20</v>
      </c>
      <c r="W103" s="1347">
        <v>25</v>
      </c>
      <c r="X103" s="1347">
        <v>20</v>
      </c>
      <c r="Y103" s="1347">
        <v>0</v>
      </c>
      <c r="Z103" s="1347">
        <v>147</v>
      </c>
    </row>
    <row r="104" spans="1:26">
      <c r="Q104" s="1346" t="s">
        <v>4348</v>
      </c>
      <c r="R104" s="1358">
        <v>71</v>
      </c>
      <c r="S104" s="1358">
        <v>47</v>
      </c>
      <c r="T104" s="1358">
        <v>67</v>
      </c>
      <c r="U104" s="1358">
        <v>78</v>
      </c>
      <c r="V104" s="1358">
        <v>63</v>
      </c>
      <c r="W104" s="1358">
        <v>68</v>
      </c>
      <c r="X104" s="1358">
        <v>66</v>
      </c>
      <c r="Y104" s="1358">
        <v>1</v>
      </c>
      <c r="Z104" s="1358">
        <v>461</v>
      </c>
    </row>
    <row r="105" spans="1:26">
      <c r="Q105" s="1356" t="s">
        <v>7389</v>
      </c>
      <c r="R105" s="1377">
        <v>0.15401301518438179</v>
      </c>
      <c r="S105" s="1377">
        <v>0.1019522776572668</v>
      </c>
      <c r="T105" s="1377">
        <v>0.14533622559652928</v>
      </c>
      <c r="U105" s="1377">
        <v>0.16919739696312364</v>
      </c>
      <c r="V105" s="1377">
        <v>0.13665943600867678</v>
      </c>
      <c r="W105" s="1377">
        <v>0.1475054229934924</v>
      </c>
      <c r="X105" s="1377">
        <v>0.14316702819956617</v>
      </c>
      <c r="Y105" s="1377">
        <v>2.1691973969631237E-3</v>
      </c>
      <c r="Z105" s="1377">
        <v>0.99999999999999989</v>
      </c>
    </row>
    <row r="108" spans="1:26">
      <c r="Q108" s="1384" t="s">
        <v>7392</v>
      </c>
    </row>
    <row r="109" spans="1:26">
      <c r="Q109" s="643" t="s">
        <v>7214</v>
      </c>
      <c r="R109" s="2013" t="s">
        <v>7393</v>
      </c>
      <c r="S109" s="2014"/>
      <c r="T109" s="2014" t="s">
        <v>2143</v>
      </c>
      <c r="U109" s="2014"/>
      <c r="V109" s="2015" t="s">
        <v>7394</v>
      </c>
      <c r="W109" s="2013"/>
      <c r="X109" s="1250" t="s">
        <v>2034</v>
      </c>
      <c r="Y109" s="1250"/>
    </row>
    <row r="110" spans="1:26">
      <c r="Q110" s="644"/>
      <c r="R110" s="1252" t="s">
        <v>7281</v>
      </c>
      <c r="S110" s="1250" t="s">
        <v>5805</v>
      </c>
      <c r="T110" s="1250" t="s">
        <v>7281</v>
      </c>
      <c r="U110" s="1250" t="s">
        <v>5805</v>
      </c>
      <c r="V110" s="1250" t="s">
        <v>7281</v>
      </c>
      <c r="W110" s="1250" t="s">
        <v>5805</v>
      </c>
      <c r="X110" s="1250" t="s">
        <v>7281</v>
      </c>
      <c r="Y110" s="1250" t="s">
        <v>5805</v>
      </c>
    </row>
    <row r="111" spans="1:26">
      <c r="Q111" s="1357" t="s">
        <v>5848</v>
      </c>
      <c r="R111" s="1347">
        <v>0</v>
      </c>
      <c r="S111" s="1377">
        <v>0</v>
      </c>
      <c r="T111" s="1347">
        <v>0</v>
      </c>
      <c r="U111" s="1377">
        <v>0</v>
      </c>
      <c r="V111" s="1347">
        <v>0</v>
      </c>
      <c r="W111" s="1377">
        <v>0</v>
      </c>
      <c r="X111" s="1347">
        <v>0</v>
      </c>
      <c r="Y111" s="1377">
        <v>0</v>
      </c>
    </row>
    <row r="112" spans="1:26">
      <c r="Q112" s="1347" t="s">
        <v>5494</v>
      </c>
      <c r="R112" s="1347">
        <v>0</v>
      </c>
      <c r="S112" s="1348">
        <v>0</v>
      </c>
      <c r="T112" s="1347">
        <v>0</v>
      </c>
      <c r="U112" s="1348">
        <v>0</v>
      </c>
      <c r="V112" s="1347">
        <v>0</v>
      </c>
      <c r="W112" s="1348">
        <v>0</v>
      </c>
      <c r="X112" s="1347">
        <v>0</v>
      </c>
      <c r="Y112" s="1348">
        <v>0</v>
      </c>
    </row>
    <row r="113" spans="17:25">
      <c r="Q113" s="1347" t="s">
        <v>5847</v>
      </c>
      <c r="R113" s="1347">
        <v>0</v>
      </c>
      <c r="S113" s="1377">
        <v>0</v>
      </c>
      <c r="T113" s="1347">
        <v>0</v>
      </c>
      <c r="U113" s="1377">
        <v>0</v>
      </c>
      <c r="V113" s="1347">
        <v>0</v>
      </c>
      <c r="W113" s="1377">
        <v>0</v>
      </c>
      <c r="X113" s="1347">
        <v>0</v>
      </c>
      <c r="Y113" s="1377">
        <v>0</v>
      </c>
    </row>
    <row r="114" spans="17:25">
      <c r="Q114" s="1347" t="s">
        <v>771</v>
      </c>
      <c r="R114" s="1347">
        <v>0</v>
      </c>
      <c r="S114" s="1377">
        <v>0</v>
      </c>
      <c r="T114" s="1347">
        <v>1</v>
      </c>
      <c r="U114" s="1377">
        <v>3.7037037037037035E-2</v>
      </c>
      <c r="V114" s="1347">
        <v>0</v>
      </c>
      <c r="W114" s="1377">
        <v>0</v>
      </c>
      <c r="X114" s="1347">
        <v>1</v>
      </c>
      <c r="Y114" s="1377">
        <v>2.4390243902439025E-2</v>
      </c>
    </row>
    <row r="115" spans="17:25">
      <c r="Q115" s="1347" t="s">
        <v>5495</v>
      </c>
      <c r="R115" s="1347">
        <v>1</v>
      </c>
      <c r="S115" s="1348">
        <v>0.125</v>
      </c>
      <c r="T115" s="1347">
        <v>0</v>
      </c>
      <c r="U115" s="1348">
        <v>0</v>
      </c>
      <c r="V115" s="1347">
        <v>1</v>
      </c>
      <c r="W115" s="1348">
        <v>0.16666666666666666</v>
      </c>
      <c r="X115" s="1347">
        <v>2</v>
      </c>
      <c r="Y115" s="1348">
        <v>4.878048780487805E-2</v>
      </c>
    </row>
    <row r="116" spans="17:25">
      <c r="Q116" s="1347" t="s">
        <v>5496</v>
      </c>
      <c r="R116" s="1347">
        <v>0</v>
      </c>
      <c r="S116" s="1348">
        <v>0</v>
      </c>
      <c r="T116" s="1347">
        <v>0</v>
      </c>
      <c r="U116" s="1348">
        <v>0</v>
      </c>
      <c r="V116" s="1347">
        <v>0</v>
      </c>
      <c r="W116" s="1348">
        <v>0</v>
      </c>
      <c r="X116" s="1347">
        <v>0</v>
      </c>
      <c r="Y116" s="1348">
        <v>0</v>
      </c>
    </row>
    <row r="117" spans="17:25">
      <c r="Q117" s="1347" t="s">
        <v>778</v>
      </c>
      <c r="R117" s="1347">
        <v>4</v>
      </c>
      <c r="S117" s="1348">
        <v>0.5</v>
      </c>
      <c r="T117" s="1347">
        <v>6</v>
      </c>
      <c r="U117" s="1348">
        <v>0.22222222222222221</v>
      </c>
      <c r="V117" s="1347">
        <v>2</v>
      </c>
      <c r="W117" s="1348">
        <v>0.33333333333333331</v>
      </c>
      <c r="X117" s="1347">
        <v>12</v>
      </c>
      <c r="Y117" s="1348">
        <v>0.29268292682926828</v>
      </c>
    </row>
    <row r="118" spans="17:25">
      <c r="Q118" s="1347" t="s">
        <v>5493</v>
      </c>
      <c r="R118" s="1347">
        <v>0</v>
      </c>
      <c r="S118" s="1348">
        <v>0</v>
      </c>
      <c r="T118" s="1347">
        <v>11</v>
      </c>
      <c r="U118" s="1348">
        <v>0.40740740740740738</v>
      </c>
      <c r="V118" s="1347">
        <v>2</v>
      </c>
      <c r="W118" s="1348">
        <v>0.33333333333333331</v>
      </c>
      <c r="X118" s="1347">
        <v>13</v>
      </c>
      <c r="Y118" s="1348">
        <v>0.31707317073170732</v>
      </c>
    </row>
    <row r="119" spans="17:25">
      <c r="Q119" s="1347" t="s">
        <v>1020</v>
      </c>
      <c r="R119" s="1347">
        <v>3</v>
      </c>
      <c r="S119" s="1348">
        <v>0.375</v>
      </c>
      <c r="T119" s="1347">
        <v>9</v>
      </c>
      <c r="U119" s="1348">
        <v>0.33333333333333331</v>
      </c>
      <c r="V119" s="1347">
        <v>1</v>
      </c>
      <c r="W119" s="1348">
        <v>0.16666666666666666</v>
      </c>
      <c r="X119" s="1347">
        <v>13</v>
      </c>
      <c r="Y119" s="1348">
        <v>0.31707317073170732</v>
      </c>
    </row>
    <row r="120" spans="17:25">
      <c r="Q120" s="1346" t="s">
        <v>4348</v>
      </c>
      <c r="R120" s="1358">
        <v>8</v>
      </c>
      <c r="S120" s="1379">
        <v>0.1951219512195122</v>
      </c>
      <c r="T120" s="1358">
        <v>27</v>
      </c>
      <c r="U120" s="1379">
        <v>0.65853658536585369</v>
      </c>
      <c r="V120" s="1358">
        <v>6</v>
      </c>
      <c r="W120" s="1379">
        <v>0.14634146341463414</v>
      </c>
      <c r="X120" s="1358">
        <v>41</v>
      </c>
      <c r="Y120" s="1379">
        <v>1</v>
      </c>
    </row>
    <row r="121" spans="17:25">
      <c r="Q121" s="1383"/>
      <c r="R121" s="1383"/>
      <c r="S121" s="1383"/>
      <c r="T121" s="1383"/>
      <c r="U121" s="1383"/>
      <c r="V121" s="1383"/>
      <c r="W121" s="1383"/>
      <c r="X121" s="1383"/>
      <c r="Y121" s="1383"/>
    </row>
    <row r="122" spans="17:25">
      <c r="Q122" s="1383"/>
      <c r="R122" s="1383"/>
      <c r="S122" s="1383"/>
      <c r="T122" s="1383"/>
      <c r="U122" s="1383"/>
      <c r="V122" s="1383"/>
      <c r="W122" s="1383"/>
      <c r="X122" s="1383"/>
      <c r="Y122" s="1383"/>
    </row>
    <row r="150" spans="1:10">
      <c r="A150" s="1401" t="s">
        <v>7309</v>
      </c>
      <c r="J150" s="1381"/>
    </row>
    <row r="151" spans="1:10">
      <c r="A151" s="2014" t="s">
        <v>7214</v>
      </c>
      <c r="B151" s="1150"/>
      <c r="C151" s="1250"/>
      <c r="D151" s="1250"/>
      <c r="E151" s="1150" t="s">
        <v>7317</v>
      </c>
      <c r="F151" s="1250"/>
      <c r="G151" s="1250"/>
      <c r="H151" s="1251"/>
      <c r="I151" s="1344"/>
      <c r="J151" s="643"/>
    </row>
    <row r="152" spans="1:10" ht="25.5">
      <c r="A152" s="2014"/>
      <c r="B152" s="643" t="s">
        <v>7310</v>
      </c>
      <c r="C152" s="1250" t="s">
        <v>12495</v>
      </c>
      <c r="D152" s="643" t="s">
        <v>12496</v>
      </c>
      <c r="E152" s="643" t="s">
        <v>7313</v>
      </c>
      <c r="F152" s="643" t="s">
        <v>7314</v>
      </c>
      <c r="G152" s="643" t="s">
        <v>7315</v>
      </c>
      <c r="H152" s="1344" t="s">
        <v>7316</v>
      </c>
      <c r="I152" s="1345" t="s">
        <v>12684</v>
      </c>
      <c r="J152" s="644" t="s">
        <v>2034</v>
      </c>
    </row>
    <row r="153" spans="1:10">
      <c r="A153" s="1347" t="s">
        <v>5848</v>
      </c>
      <c r="B153" s="1343" t="e">
        <f>COUNTIFS(SurveyDATA!#REF!,"*SAMPLING*",SurveyDATA!E:E,"*MALOLOS*",SurveyDATA!#REF!,"&gt;0",SurveyDATA!#REF!,"&lt;5001")</f>
        <v>#REF!</v>
      </c>
      <c r="C153" s="1343" t="e">
        <f>COUNTIFS(SurveyDATA!#REF!,"*SAMPLING*",SurveyDATA!E:E,"*MALOLOS*",SurveyDATA!#REF!,"&gt;5000",SurveyDATA!#REF!,"&lt;10001")</f>
        <v>#REF!</v>
      </c>
      <c r="D153" s="1343" t="e">
        <f>COUNTIFS(SurveyDATA!#REF!,"*SAMPLING*",SurveyDATA!E:E,"*MALOLOS*",SurveyDATA!#REF!,"&gt;10000",SurveyDATA!#REF!,"&lt;15001")</f>
        <v>#REF!</v>
      </c>
      <c r="E153" s="1343" t="e">
        <f>COUNTIFS(SurveyDATA!#REF!,"*SAMPLING*",SurveyDATA!E:E,"*MALOLOS*",SurveyDATA!#REF!,"&gt;15000",SurveyDATA!#REF!,"&lt;20001")</f>
        <v>#REF!</v>
      </c>
      <c r="F153" s="1343" t="e">
        <f>COUNTIFS(SurveyDATA!#REF!,"*SAMPLING*",SurveyDATA!E:E,"*MALOLOS*",SurveyDATA!#REF!,"&gt;20000",SurveyDATA!#REF!,"&lt;30001")</f>
        <v>#REF!</v>
      </c>
      <c r="G153" s="1343" t="e">
        <f>COUNTIFS(SurveyDATA!#REF!,"*SAMPLING*",SurveyDATA!E:E,"*MALOLOS*",SurveyDATA!#REF!,"&gt;30000",SurveyDATA!#REF!,"&lt;50001")</f>
        <v>#REF!</v>
      </c>
      <c r="H153" s="1343" t="e">
        <f>COUNTIFS(SurveyDATA!#REF!,"*SAMPLING*",SurveyDATA!E:E,"*MALOLOS*",SurveyDATA!#REF!,"&gt;50000")</f>
        <v>#REF!</v>
      </c>
      <c r="I153" s="1352" t="e">
        <f>COUNTIFS(SurveyDATA!#REF!,"*SAMPLING*",SurveyDATA!E:E,"*MALOLOS*",SurveyDATA!#REF!,"0")</f>
        <v>#REF!</v>
      </c>
      <c r="J153" s="1352" t="e">
        <f>SUM(B153:I153)</f>
        <v>#REF!</v>
      </c>
    </row>
    <row r="154" spans="1:10">
      <c r="A154" s="1347" t="s">
        <v>5494</v>
      </c>
      <c r="B154" s="1343" t="e">
        <f>COUNTIFS(SurveyDATA!#REF!,"*SAMPLING*",SurveyDATA!E:E,"*GUIGUINTO*",SurveyDATA!#REF!,"&gt;0",SurveyDATA!#REF!,"&lt;5001")</f>
        <v>#REF!</v>
      </c>
      <c r="C154" s="1343" t="e">
        <f>COUNTIFS(SurveyDATA!#REF!,"*SAMPLING*",SurveyDATA!E:E,"*GUIGUINTO*",SurveyDATA!#REF!,"&gt;5000",SurveyDATA!#REF!,"&lt;10001")</f>
        <v>#REF!</v>
      </c>
      <c r="D154" s="1343" t="e">
        <f>COUNTIFS(SurveyDATA!#REF!,"*SAMPLING*",SurveyDATA!E:E,"*GUIGUINTO*",SurveyDATA!#REF!,"&gt;10000",SurveyDATA!#REF!,"&lt;15001")</f>
        <v>#REF!</v>
      </c>
      <c r="E154" s="1343" t="e">
        <f>COUNTIFS(SurveyDATA!#REF!,"*SAMPLING*",SurveyDATA!E:E,"*GUIGUINTO*",SurveyDATA!#REF!,"&gt;15000",SurveyDATA!#REF!,"&lt;20001")</f>
        <v>#REF!</v>
      </c>
      <c r="F154" s="1343" t="e">
        <f>COUNTIFS(SurveyDATA!#REF!,"*SAMPLING*",SurveyDATA!E:E,"*GUIGUINTO*",SurveyDATA!#REF!,"&gt;20000",SurveyDATA!#REF!,"&lt;30001")</f>
        <v>#REF!</v>
      </c>
      <c r="G154" s="1343" t="e">
        <f>COUNTIFS(SurveyDATA!#REF!,"*SAMPLING*",SurveyDATA!E:E,"*GUIGUINTO*",SurveyDATA!#REF!,"&gt;30000",SurveyDATA!#REF!,"&lt;50001")</f>
        <v>#REF!</v>
      </c>
      <c r="H154" s="1343" t="e">
        <f>COUNTIFS(SurveyDATA!#REF!,"*SAMPLING*",SurveyDATA!E:E,"*GUIGUINTO*",SurveyDATA!#REF!,"&gt;50000")</f>
        <v>#REF!</v>
      </c>
      <c r="I154" s="1352" t="e">
        <f>COUNTIFS(SurveyDATA!#REF!,"*SAMPLING*",SurveyDATA!E:E,"*GUIGUINTO*",SurveyDATA!#REF!,"0")</f>
        <v>#REF!</v>
      </c>
      <c r="J154" s="1352" t="e">
        <f t="shared" ref="J154:J161" si="0">SUM(B154:I154)</f>
        <v>#REF!</v>
      </c>
    </row>
    <row r="155" spans="1:10">
      <c r="A155" s="1347" t="s">
        <v>5847</v>
      </c>
      <c r="B155" s="1343" t="e">
        <f>COUNTIFS(SurveyDATA!#REF!,"*SAMPLING*",SurveyDATA!E:E,"*BALAGTAS*",SurveyDATA!#REF!,"&gt;0",SurveyDATA!#REF!,"&lt;5001")</f>
        <v>#REF!</v>
      </c>
      <c r="C155" s="1343" t="e">
        <f>COUNTIFS(SurveyDATA!#REF!,"*SAMPLING*",SurveyDATA!E:E,"*BALAGTAS*",SurveyDATA!#REF!,"&gt;5000",SurveyDATA!#REF!,"&lt;10001")</f>
        <v>#REF!</v>
      </c>
      <c r="D155" s="1343" t="e">
        <f>COUNTIFS(SurveyDATA!#REF!,"*SAMPLING*",SurveyDATA!E:E,"*BALAGTAS*",SurveyDATA!#REF!,"&gt;10000",SurveyDATA!#REF!,"&lt;15001")</f>
        <v>#REF!</v>
      </c>
      <c r="E155" s="1343" t="e">
        <f>COUNTIFS(SurveyDATA!#REF!,"*SAMPLING*",SurveyDATA!E:E,"*BALAGTAS*",SurveyDATA!#REF!,"&gt;15000",SurveyDATA!#REF!,"&lt;20001")</f>
        <v>#REF!</v>
      </c>
      <c r="F155" s="1343" t="e">
        <f>COUNTIFS(SurveyDATA!#REF!,"*SAMPLING*",SurveyDATA!E:E,"*BALAGTAS*",SurveyDATA!#REF!,"&gt;20000",SurveyDATA!#REF!,"&lt;30001")</f>
        <v>#REF!</v>
      </c>
      <c r="G155" s="1343" t="e">
        <f>COUNTIFS(SurveyDATA!#REF!,"*SAMPLING*",SurveyDATA!E:E,"*BALAGTAS*",SurveyDATA!#REF!,"&gt;30000",SurveyDATA!#REF!,"&lt;50001")</f>
        <v>#REF!</v>
      </c>
      <c r="H155" s="1343" t="e">
        <f>COUNTIFS(SurveyDATA!#REF!,"*SAMPLING*",SurveyDATA!E:E,"*BALAGTAS*",SurveyDATA!#REF!,"&gt;50000")</f>
        <v>#REF!</v>
      </c>
      <c r="I155" s="1352" t="e">
        <f>COUNTIFS(SurveyDATA!#REF!,"*SAMPLING*",SurveyDATA!E:E,"*BALAGTAS*",SurveyDATA!#REF!,"0")</f>
        <v>#REF!</v>
      </c>
      <c r="J155" s="1352" t="e">
        <f t="shared" si="0"/>
        <v>#REF!</v>
      </c>
    </row>
    <row r="156" spans="1:10">
      <c r="A156" s="1347" t="s">
        <v>771</v>
      </c>
      <c r="B156" s="1343" t="e">
        <f>COUNTIFS(SurveyDATA!#REF!,"*SAMPLING*",SurveyDATA!E:E,"*BOCAUE*",SurveyDATA!#REF!,"&gt;0",SurveyDATA!#REF!,"&lt;5001")</f>
        <v>#REF!</v>
      </c>
      <c r="C156" s="1343" t="e">
        <f>COUNTIFS(SurveyDATA!#REF!,"*SAMPLING*",SurveyDATA!E:E,"*BOCAUE*",SurveyDATA!#REF!,"&gt;5000",SurveyDATA!#REF!,"&lt;10001")</f>
        <v>#REF!</v>
      </c>
      <c r="D156" s="1343" t="e">
        <f>COUNTIFS(SurveyDATA!#REF!,"*SAMPLING*",SurveyDATA!E:E,"*BOCAUE*",SurveyDATA!#REF!,"&gt;10000",SurveyDATA!#REF!,"&lt;15001")</f>
        <v>#REF!</v>
      </c>
      <c r="E156" s="1343" t="e">
        <f>COUNTIFS(SurveyDATA!#REF!,"*SAMPLING*",SurveyDATA!E:E,"*BOCAUE*",SurveyDATA!#REF!,"&gt;15000",SurveyDATA!#REF!,"&lt;20001")</f>
        <v>#REF!</v>
      </c>
      <c r="F156" s="1343" t="e">
        <f>COUNTIFS(SurveyDATA!#REF!,"*SAMPLING*",SurveyDATA!E:E,"*BOCAUE*",SurveyDATA!#REF!,"&gt;20000",SurveyDATA!#REF!,"&lt;30001")</f>
        <v>#REF!</v>
      </c>
      <c r="G156" s="1343" t="e">
        <f>COUNTIFS(SurveyDATA!#REF!,"*SAMPLING*",SurveyDATA!E:E,"*BOCAUE*",SurveyDATA!#REF!,"&gt;30000",SurveyDATA!#REF!,"&lt;50001")</f>
        <v>#REF!</v>
      </c>
      <c r="H156" s="1343" t="e">
        <f>COUNTIFS(SurveyDATA!#REF!,"*SAMPLING*",SurveyDATA!E:E,"*BOCAUE*",SurveyDATA!#REF!,"&gt;50000")</f>
        <v>#REF!</v>
      </c>
      <c r="I156" s="1352" t="e">
        <f>COUNTIFS(SurveyDATA!#REF!,"*SAMPLING*",SurveyDATA!E:E,"*BOCAUE*",SurveyDATA!#REF!,"0")</f>
        <v>#REF!</v>
      </c>
      <c r="J156" s="1352" t="e">
        <f t="shared" si="0"/>
        <v>#REF!</v>
      </c>
    </row>
    <row r="157" spans="1:10">
      <c r="A157" s="1347" t="s">
        <v>5495</v>
      </c>
      <c r="B157" s="1343" t="e">
        <f>COUNTIFS(SurveyDATA!#REF!,"*SAMPLING*",SurveyDATA!E:E,"*MARILAO*",SurveyDATA!#REF!,"&gt;0",SurveyDATA!#REF!,"&lt;5001")</f>
        <v>#REF!</v>
      </c>
      <c r="C157" s="1343" t="e">
        <f>COUNTIFS(SurveyDATA!#REF!,"*SAMPLING*",SurveyDATA!E:E,"*MARILAO*",SurveyDATA!#REF!,"&gt;5000",SurveyDATA!#REF!,"&lt;10001")</f>
        <v>#REF!</v>
      </c>
      <c r="D157" s="1343" t="e">
        <f>COUNTIFS(SurveyDATA!#REF!,"*SAMPLING*",SurveyDATA!E:E,"*MARILAO*",SurveyDATA!#REF!,"&gt;10000",SurveyDATA!#REF!,"&lt;15001")</f>
        <v>#REF!</v>
      </c>
      <c r="E157" s="1343" t="e">
        <f>COUNTIFS(SurveyDATA!#REF!,"*SAMPLING*",SurveyDATA!E:E,"*MARILAO*",SurveyDATA!#REF!,"&gt;15000",SurveyDATA!#REF!,"&lt;20001")</f>
        <v>#REF!</v>
      </c>
      <c r="F157" s="1343" t="e">
        <f>COUNTIFS(SurveyDATA!#REF!,"*SAMPLING*",SurveyDATA!E:E,"*MARILAO*",SurveyDATA!#REF!,"&gt;20000",SurveyDATA!#REF!,"&lt;30001")</f>
        <v>#REF!</v>
      </c>
      <c r="G157" s="1343" t="e">
        <f>COUNTIFS(SurveyDATA!#REF!,"*SAMPLING*",SurveyDATA!E:E,"*MARILAO*",SurveyDATA!#REF!,"&gt;30000",SurveyDATA!#REF!,"&lt;50001")</f>
        <v>#REF!</v>
      </c>
      <c r="H157" s="1343" t="e">
        <f>COUNTIFS(SurveyDATA!#REF!,"*SAMPLING*",SurveyDATA!E:E,"*GUIGUINTO*",SurveyDATA!#REF!,"&gt;50000")</f>
        <v>#REF!</v>
      </c>
      <c r="I157" s="1352" t="e">
        <f>COUNTIFS(SurveyDATA!#REF!,"*SAMPLING*",SurveyDATA!E:E,"*MARILAO*",SurveyDATA!#REF!,"0")</f>
        <v>#REF!</v>
      </c>
      <c r="J157" s="1352" t="e">
        <f t="shared" si="0"/>
        <v>#REF!</v>
      </c>
    </row>
    <row r="158" spans="1:10">
      <c r="A158" s="1347" t="s">
        <v>5496</v>
      </c>
      <c r="B158" s="1343" t="e">
        <f>COUNTIFS(SurveyDATA!#REF!,"*SAMPLING*",SurveyDATA!E:E,"*MEYCAUAYAN*",SurveyDATA!#REF!,"&gt;0",SurveyDATA!#REF!,"&lt;5001")</f>
        <v>#REF!</v>
      </c>
      <c r="C158" s="1343" t="e">
        <f>COUNTIFS(SurveyDATA!#REF!,"*SAMPLING*",SurveyDATA!E:E,"*MEYCAUAYAN*",SurveyDATA!#REF!,"&gt;5000",SurveyDATA!#REF!,"&lt;10001")</f>
        <v>#REF!</v>
      </c>
      <c r="D158" s="1343" t="e">
        <f>COUNTIFS(SurveyDATA!#REF!,"*SAMPLING*",SurveyDATA!E:E,"*MEYCAUAYAN*",SurveyDATA!#REF!,"&gt;10000",SurveyDATA!#REF!,"&lt;15001")</f>
        <v>#REF!</v>
      </c>
      <c r="E158" s="1343" t="e">
        <f>COUNTIFS(SurveyDATA!#REF!,"*SAMPLING*",SurveyDATA!E:E,"*MEYCAUAYAN*",SurveyDATA!#REF!,"&gt;15000",SurveyDATA!#REF!,"&lt;20001")</f>
        <v>#REF!</v>
      </c>
      <c r="F158" s="1343" t="e">
        <f>COUNTIFS(SurveyDATA!#REF!,"*SAMPLING*",SurveyDATA!E:E,"*MEYCAUAYAN*",SurveyDATA!#REF!,"&gt;20000",SurveyDATA!#REF!,"&lt;30001")</f>
        <v>#REF!</v>
      </c>
      <c r="G158" s="1343" t="e">
        <f>COUNTIFS(SurveyDATA!#REF!,"*SAMPLING*",SurveyDATA!E:E,"*MEYCAUAYAN*",SurveyDATA!#REF!,"&gt;30000",SurveyDATA!#REF!,"&lt;50001")</f>
        <v>#REF!</v>
      </c>
      <c r="H158" s="1343" t="e">
        <f>COUNTIFS(SurveyDATA!#REF!,"*SAMPLING*",SurveyDATA!E:E,"*MEYCAUAYAN*",SurveyDATA!#REF!,"&gt;50000")</f>
        <v>#REF!</v>
      </c>
      <c r="I158" s="1352" t="e">
        <f>COUNTIFS(SurveyDATA!#REF!,"*SAMPLING*",SurveyDATA!E:E,"*MEYCAUAYAN*",SurveyDATA!#REF!,"0")</f>
        <v>#REF!</v>
      </c>
      <c r="J158" s="1352" t="e">
        <f t="shared" si="0"/>
        <v>#REF!</v>
      </c>
    </row>
    <row r="159" spans="1:10">
      <c r="A159" s="1347" t="s">
        <v>778</v>
      </c>
      <c r="B159" s="1343" t="e">
        <f>COUNTIFS(SurveyDATA!#REF!,"*SAMPLING*",SurveyDATA!E:E,"*VALENZUELA*",SurveyDATA!#REF!,"&gt;0",SurveyDATA!#REF!,"&lt;5001")</f>
        <v>#REF!</v>
      </c>
      <c r="C159" s="1343" t="e">
        <f>COUNTIFS(SurveyDATA!#REF!,"*SAMPLING*",SurveyDATA!E:E,"*VALENZUELA*",SurveyDATA!#REF!,"&gt;5000",SurveyDATA!#REF!,"&lt;10001")</f>
        <v>#REF!</v>
      </c>
      <c r="D159" s="1343" t="e">
        <f>COUNTIFS(SurveyDATA!#REF!,"*SAMPLING*",SurveyDATA!E:E,"*VALENZUELA*",SurveyDATA!#REF!,"&gt;10000",SurveyDATA!#REF!,"&lt;15001")</f>
        <v>#REF!</v>
      </c>
      <c r="E159" s="1343" t="e">
        <f>COUNTIFS(SurveyDATA!#REF!,"*SAMPLING*",SurveyDATA!E:E,"*VALENZUELA*",SurveyDATA!#REF!,"&gt;15000",SurveyDATA!#REF!,"&lt;20001")</f>
        <v>#REF!</v>
      </c>
      <c r="F159" s="1343" t="e">
        <f>COUNTIFS(SurveyDATA!#REF!,"*SAMPLING*",SurveyDATA!E:E,"*VALENZUELA*",SurveyDATA!#REF!,"&gt;20000",SurveyDATA!#REF!,"&lt;30001")</f>
        <v>#REF!</v>
      </c>
      <c r="G159" s="1343" t="e">
        <f>COUNTIFS(SurveyDATA!#REF!,"*SAMPLING*",SurveyDATA!E:E,"*VALENZUELA*",SurveyDATA!#REF!,"&gt;30000",SurveyDATA!#REF!,"&lt;50001")</f>
        <v>#REF!</v>
      </c>
      <c r="H159" s="1343" t="e">
        <f>COUNTIFS(SurveyDATA!#REF!,"*SAMPLING*",SurveyDATA!E:E,"*VALENZUELA*",SurveyDATA!#REF!,"&gt;50000")</f>
        <v>#REF!</v>
      </c>
      <c r="I159" s="1352" t="e">
        <f>COUNTIFS(SurveyDATA!#REF!,"*SAMPLING*",SurveyDATA!E:E,"*VALENZUELA*",SurveyDATA!#REF!,"0")</f>
        <v>#REF!</v>
      </c>
      <c r="J159" s="1352" t="e">
        <f t="shared" si="0"/>
        <v>#REF!</v>
      </c>
    </row>
    <row r="160" spans="1:10">
      <c r="A160" s="1347" t="s">
        <v>5493</v>
      </c>
      <c r="B160" s="1343" t="e">
        <f>COUNTIFS(SurveyDATA!#REF!,"*SAMPLING*",SurveyDATA!E:E,"*CALOOCAN*",SurveyDATA!#REF!,"&gt;0",SurveyDATA!#REF!,"&lt;5001")</f>
        <v>#REF!</v>
      </c>
      <c r="C160" s="1343" t="e">
        <f>COUNTIFS(SurveyDATA!#REF!,"*SAMPLING*",SurveyDATA!E:E,"*CALOOCAN*",SurveyDATA!#REF!,"&gt;5000",SurveyDATA!#REF!,"&lt;10001")</f>
        <v>#REF!</v>
      </c>
      <c r="D160" s="1343" t="e">
        <f>COUNTIFS(SurveyDATA!#REF!,"*SAMPLING*",SurveyDATA!E:E,"*CALOOCAN*",SurveyDATA!#REF!,"&gt;10000",SurveyDATA!#REF!,"&lt;15001")</f>
        <v>#REF!</v>
      </c>
      <c r="E160" s="1343" t="e">
        <f>COUNTIFS(SurveyDATA!#REF!,"*SAMPLING*",SurveyDATA!E:E,"*CALOOCAN*",SurveyDATA!#REF!,"&gt;15000",SurveyDATA!#REF!,"&lt;20001")</f>
        <v>#REF!</v>
      </c>
      <c r="F160" s="1343" t="e">
        <f>COUNTIFS(SurveyDATA!#REF!,"*SAMPLING*",SurveyDATA!E:E,"*CALOOCAN*",SurveyDATA!#REF!,"&gt;20000",SurveyDATA!#REF!,"&lt;30001")</f>
        <v>#REF!</v>
      </c>
      <c r="G160" s="1343" t="e">
        <f>COUNTIFS(SurveyDATA!#REF!,"*SAMPLING*",SurveyDATA!E:E,"*CALOOCAN*",SurveyDATA!#REF!,"&gt;30000",SurveyDATA!#REF!,"&lt;50001")</f>
        <v>#REF!</v>
      </c>
      <c r="H160" s="1343" t="e">
        <f>COUNTIFS(SurveyDATA!#REF!,"*SAMPLING*",SurveyDATA!E:E,"*CALOOCAN*",SurveyDATA!#REF!,"&gt;50000")</f>
        <v>#REF!</v>
      </c>
      <c r="I160" s="1352" t="e">
        <f>COUNTIFS(SurveyDATA!#REF!,"*SAMPLING*",SurveyDATA!E:E,"*CALOOCAN*",SurveyDATA!#REF!,"0")</f>
        <v>#REF!</v>
      </c>
      <c r="J160" s="1352" t="e">
        <f t="shared" si="0"/>
        <v>#REF!</v>
      </c>
    </row>
    <row r="161" spans="1:10">
      <c r="A161" s="1347" t="s">
        <v>1020</v>
      </c>
      <c r="B161" s="1343" t="e">
        <f>COUNTIFS(SurveyDATA!#REF!,"*SAMPLING*",SurveyDATA!E:E,"*MANILA*",SurveyDATA!#REF!,"&gt;0",SurveyDATA!#REF!,"&lt;5001")</f>
        <v>#REF!</v>
      </c>
      <c r="C161" s="1343" t="e">
        <f>COUNTIFS(SurveyDATA!#REF!,"*SAMPLING*",SurveyDATA!E:E,"*MANILA*",SurveyDATA!#REF!,"&gt;5000",SurveyDATA!#REF!,"&lt;10001")</f>
        <v>#REF!</v>
      </c>
      <c r="D161" s="1343" t="e">
        <f>COUNTIFS(SurveyDATA!#REF!,"*SAMPLING*",SurveyDATA!E:E,"*MANILA*",SurveyDATA!#REF!,"&gt;10000",SurveyDATA!#REF!,"&lt;15001")</f>
        <v>#REF!</v>
      </c>
      <c r="E161" s="1343" t="e">
        <f>COUNTIFS(SurveyDATA!#REF!,"*SAMPLING*",SurveyDATA!E:E,"*MANILA*",SurveyDATA!#REF!,"&gt;15000",SurveyDATA!#REF!,"&lt;20001")</f>
        <v>#REF!</v>
      </c>
      <c r="F161" s="1343" t="e">
        <f>COUNTIFS(SurveyDATA!#REF!,"*SAMPLING*",SurveyDATA!E:E,"*MANILA*",SurveyDATA!#REF!,"&gt;20000",SurveyDATA!#REF!,"&lt;30001")</f>
        <v>#REF!</v>
      </c>
      <c r="G161" s="1343" t="e">
        <f>COUNTIFS(SurveyDATA!#REF!,"*SAMPLING*",SurveyDATA!E:E,"*MANILA*",SurveyDATA!#REF!,"&gt;30000",SurveyDATA!#REF!,"&lt;50001")</f>
        <v>#REF!</v>
      </c>
      <c r="H161" s="1343" t="e">
        <f>COUNTIFS(SurveyDATA!#REF!,"*SAMPLING*",SurveyDATA!E:E,"*MANILA*",SurveyDATA!#REF!,"&gt;50000")</f>
        <v>#REF!</v>
      </c>
      <c r="I161" s="1352" t="e">
        <f>COUNTIFS(SurveyDATA!#REF!,"*SAMPLING*",SurveyDATA!E:E,"*MANILA*",SurveyDATA!#REF!,"0")</f>
        <v>#REF!</v>
      </c>
      <c r="J161" s="1352" t="e">
        <f t="shared" si="0"/>
        <v>#REF!</v>
      </c>
    </row>
    <row r="162" spans="1:10">
      <c r="A162" s="1346" t="s">
        <v>2034</v>
      </c>
      <c r="B162" s="1354" t="e">
        <f t="shared" ref="B162:I162" si="1">SUM(B153:B161)</f>
        <v>#REF!</v>
      </c>
      <c r="C162" s="1354" t="e">
        <f t="shared" si="1"/>
        <v>#REF!</v>
      </c>
      <c r="D162" s="1354" t="e">
        <f t="shared" si="1"/>
        <v>#REF!</v>
      </c>
      <c r="E162" s="1354" t="e">
        <f t="shared" si="1"/>
        <v>#REF!</v>
      </c>
      <c r="F162" s="1354" t="e">
        <f t="shared" si="1"/>
        <v>#REF!</v>
      </c>
      <c r="G162" s="1354" t="e">
        <f t="shared" si="1"/>
        <v>#REF!</v>
      </c>
      <c r="H162" s="1354" t="e">
        <f t="shared" si="1"/>
        <v>#REF!</v>
      </c>
      <c r="I162" s="1354" t="e">
        <f t="shared" si="1"/>
        <v>#REF!</v>
      </c>
      <c r="J162" s="1354" t="e">
        <f>SUM(J153:J161)</f>
        <v>#REF!</v>
      </c>
    </row>
    <row r="163" spans="1:10">
      <c r="A163" s="1356" t="s">
        <v>7243</v>
      </c>
      <c r="B163" s="1353" t="e">
        <f t="shared" ref="B163:I163" si="2">B162/$J162</f>
        <v>#REF!</v>
      </c>
      <c r="C163" s="1353" t="e">
        <f t="shared" si="2"/>
        <v>#REF!</v>
      </c>
      <c r="D163" s="1353" t="e">
        <f t="shared" si="2"/>
        <v>#REF!</v>
      </c>
      <c r="E163" s="1353" t="e">
        <f t="shared" si="2"/>
        <v>#REF!</v>
      </c>
      <c r="F163" s="1353" t="e">
        <f t="shared" si="2"/>
        <v>#REF!</v>
      </c>
      <c r="G163" s="1353" t="e">
        <f t="shared" si="2"/>
        <v>#REF!</v>
      </c>
      <c r="H163" s="1353" t="e">
        <f t="shared" si="2"/>
        <v>#REF!</v>
      </c>
      <c r="I163" s="1353" t="e">
        <f t="shared" si="2"/>
        <v>#REF!</v>
      </c>
      <c r="J163" s="1353" t="e">
        <f>SUM(B163:I163)</f>
        <v>#REF!</v>
      </c>
    </row>
    <row r="164" spans="1:10">
      <c r="A164" s="1383"/>
      <c r="B164" s="1383"/>
      <c r="C164" s="1383"/>
      <c r="D164" s="1383"/>
      <c r="E164" s="1383"/>
      <c r="F164" s="1383"/>
      <c r="G164" s="1383"/>
      <c r="H164" s="1383"/>
      <c r="I164" s="1383"/>
      <c r="J164" s="1383"/>
    </row>
    <row r="165" spans="1:10">
      <c r="A165" s="1383"/>
      <c r="B165" s="1383"/>
      <c r="C165" s="1383"/>
      <c r="D165" s="1383"/>
      <c r="E165" s="1383"/>
      <c r="F165" s="1383"/>
      <c r="G165" s="1383"/>
      <c r="H165" s="1383"/>
      <c r="I165" s="1383"/>
      <c r="J165" s="1383"/>
    </row>
    <row r="166" spans="1:10">
      <c r="A166" s="1384" t="s">
        <v>7323</v>
      </c>
    </row>
    <row r="167" spans="1:10" ht="25.5">
      <c r="A167" s="1250" t="s">
        <v>7214</v>
      </c>
      <c r="B167" s="1250" t="s">
        <v>7318</v>
      </c>
      <c r="C167" s="1250" t="s">
        <v>7319</v>
      </c>
      <c r="D167" s="1250" t="s">
        <v>7320</v>
      </c>
      <c r="E167" s="1250" t="s">
        <v>7321</v>
      </c>
      <c r="F167" s="1250" t="s">
        <v>7322</v>
      </c>
      <c r="G167" s="1250" t="s">
        <v>3650</v>
      </c>
      <c r="H167" s="1250" t="s">
        <v>2034</v>
      </c>
    </row>
    <row r="168" spans="1:10">
      <c r="A168" s="1347" t="s">
        <v>5848</v>
      </c>
      <c r="B168" s="1343">
        <v>0</v>
      </c>
      <c r="C168" s="1343">
        <v>0</v>
      </c>
      <c r="D168" s="1343">
        <v>0</v>
      </c>
      <c r="E168" s="1343">
        <v>3</v>
      </c>
      <c r="F168" s="1343">
        <v>2</v>
      </c>
      <c r="G168" s="1343">
        <v>1</v>
      </c>
      <c r="H168" s="1343">
        <v>6</v>
      </c>
      <c r="I168" s="1383"/>
    </row>
    <row r="169" spans="1:10">
      <c r="A169" s="1347" t="s">
        <v>5494</v>
      </c>
      <c r="B169" s="1343">
        <v>0</v>
      </c>
      <c r="C169" s="1343">
        <v>1</v>
      </c>
      <c r="D169" s="1343">
        <v>1</v>
      </c>
      <c r="E169" s="1343">
        <v>3</v>
      </c>
      <c r="F169" s="1343">
        <v>1</v>
      </c>
      <c r="G169" s="1343">
        <v>0</v>
      </c>
      <c r="H169" s="1343">
        <v>6</v>
      </c>
      <c r="I169" s="1383"/>
    </row>
    <row r="170" spans="1:10">
      <c r="A170" s="1347" t="s">
        <v>5847</v>
      </c>
      <c r="B170" s="1343">
        <v>0</v>
      </c>
      <c r="C170" s="1343">
        <v>0</v>
      </c>
      <c r="D170" s="1343">
        <v>0</v>
      </c>
      <c r="E170" s="1343">
        <v>0</v>
      </c>
      <c r="F170" s="1343">
        <v>0</v>
      </c>
      <c r="G170" s="1343">
        <v>0</v>
      </c>
      <c r="H170" s="1343">
        <v>0</v>
      </c>
      <c r="I170" s="1383"/>
    </row>
    <row r="171" spans="1:10">
      <c r="A171" s="1347" t="s">
        <v>771</v>
      </c>
      <c r="B171" s="1343">
        <v>0</v>
      </c>
      <c r="C171" s="1343">
        <v>0</v>
      </c>
      <c r="D171" s="1343">
        <v>0</v>
      </c>
      <c r="E171" s="1343">
        <v>1</v>
      </c>
      <c r="F171" s="1343">
        <v>0</v>
      </c>
      <c r="G171" s="1343">
        <v>0</v>
      </c>
      <c r="H171" s="1343">
        <v>1</v>
      </c>
      <c r="I171" s="1383"/>
    </row>
    <row r="172" spans="1:10">
      <c r="A172" s="1347" t="s">
        <v>5495</v>
      </c>
      <c r="B172" s="1343">
        <v>1</v>
      </c>
      <c r="C172" s="1343">
        <v>0</v>
      </c>
      <c r="D172" s="1343">
        <v>2</v>
      </c>
      <c r="E172" s="1343">
        <v>2</v>
      </c>
      <c r="F172" s="1343">
        <v>1</v>
      </c>
      <c r="G172" s="1343">
        <v>0</v>
      </c>
      <c r="H172" s="1343">
        <v>6</v>
      </c>
      <c r="I172" s="1383"/>
    </row>
    <row r="173" spans="1:10">
      <c r="A173" s="1347" t="s">
        <v>5496</v>
      </c>
      <c r="B173" s="1343">
        <v>0</v>
      </c>
      <c r="C173" s="1343">
        <v>3</v>
      </c>
      <c r="D173" s="1343">
        <v>2</v>
      </c>
      <c r="E173" s="1343">
        <v>9</v>
      </c>
      <c r="F173" s="1343">
        <v>6</v>
      </c>
      <c r="G173" s="1343">
        <v>0</v>
      </c>
      <c r="H173" s="1343">
        <v>20</v>
      </c>
      <c r="I173" s="1383"/>
    </row>
    <row r="174" spans="1:10">
      <c r="A174" s="1347" t="s">
        <v>778</v>
      </c>
      <c r="B174" s="1343">
        <v>3</v>
      </c>
      <c r="C174" s="1343">
        <v>5</v>
      </c>
      <c r="D174" s="1343">
        <v>27</v>
      </c>
      <c r="E174" s="1343">
        <v>30</v>
      </c>
      <c r="F174" s="1343">
        <v>3</v>
      </c>
      <c r="G174" s="1343">
        <v>9</v>
      </c>
      <c r="H174" s="1343">
        <v>77</v>
      </c>
      <c r="I174" s="1383"/>
    </row>
    <row r="175" spans="1:10">
      <c r="A175" s="1347" t="s">
        <v>5493</v>
      </c>
      <c r="B175" s="1343">
        <v>1</v>
      </c>
      <c r="C175" s="1343">
        <v>1</v>
      </c>
      <c r="D175" s="1343">
        <v>14</v>
      </c>
      <c r="E175" s="1343">
        <v>66</v>
      </c>
      <c r="F175" s="1343">
        <v>20</v>
      </c>
      <c r="G175" s="1343">
        <v>15</v>
      </c>
      <c r="H175" s="1343">
        <v>117</v>
      </c>
      <c r="I175" s="1383"/>
    </row>
    <row r="176" spans="1:10">
      <c r="A176" s="1347" t="s">
        <v>1020</v>
      </c>
      <c r="B176" s="1343">
        <v>3</v>
      </c>
      <c r="C176" s="1343">
        <v>2</v>
      </c>
      <c r="D176" s="1343">
        <v>13</v>
      </c>
      <c r="E176" s="1343">
        <v>44</v>
      </c>
      <c r="F176" s="1343">
        <v>11</v>
      </c>
      <c r="G176" s="1343">
        <v>16</v>
      </c>
      <c r="H176" s="1343">
        <v>89</v>
      </c>
      <c r="I176" s="1383"/>
    </row>
    <row r="177" spans="1:12">
      <c r="A177" s="1346" t="s">
        <v>2034</v>
      </c>
      <c r="B177" s="1354">
        <v>8</v>
      </c>
      <c r="C177" s="1354">
        <v>12</v>
      </c>
      <c r="D177" s="1354">
        <v>59</v>
      </c>
      <c r="E177" s="1354">
        <v>158</v>
      </c>
      <c r="F177" s="1354">
        <v>44</v>
      </c>
      <c r="G177" s="1354">
        <v>41</v>
      </c>
      <c r="H177" s="1354">
        <v>322</v>
      </c>
      <c r="I177" s="1383"/>
    </row>
    <row r="178" spans="1:12">
      <c r="A178" s="1356" t="s">
        <v>7243</v>
      </c>
      <c r="B178" s="1353">
        <v>2.4844720496894408E-2</v>
      </c>
      <c r="C178" s="1353">
        <v>3.7267080745341616E-2</v>
      </c>
      <c r="D178" s="1353">
        <v>0.18322981366459629</v>
      </c>
      <c r="E178" s="1353">
        <v>0.49068322981366458</v>
      </c>
      <c r="F178" s="1353">
        <v>0.13664596273291926</v>
      </c>
      <c r="G178" s="1353">
        <v>0.12732919254658384</v>
      </c>
      <c r="H178" s="1353">
        <v>1</v>
      </c>
      <c r="I178" s="1383"/>
    </row>
    <row r="181" spans="1:12">
      <c r="A181" s="1384" t="s">
        <v>7331</v>
      </c>
    </row>
    <row r="182" spans="1:12">
      <c r="A182" s="2329" t="s">
        <v>7214</v>
      </c>
      <c r="B182" s="2327" t="s">
        <v>7325</v>
      </c>
      <c r="C182" s="2327"/>
      <c r="D182" s="2331" t="s">
        <v>7326</v>
      </c>
      <c r="E182" s="2332"/>
      <c r="F182" s="2327" t="s">
        <v>7327</v>
      </c>
      <c r="G182" s="2327"/>
      <c r="H182" s="2327" t="s">
        <v>7328</v>
      </c>
      <c r="I182" s="2328"/>
      <c r="J182" s="2327" t="s">
        <v>12497</v>
      </c>
      <c r="K182" s="2328"/>
      <c r="L182" s="1253"/>
    </row>
    <row r="183" spans="1:12">
      <c r="A183" s="2330"/>
      <c r="B183" s="2327"/>
      <c r="C183" s="2327"/>
      <c r="D183" s="2333"/>
      <c r="E183" s="2334"/>
      <c r="F183" s="2327"/>
      <c r="G183" s="2327"/>
      <c r="H183" s="2327"/>
      <c r="I183" s="2328"/>
      <c r="J183" s="2327"/>
      <c r="K183" s="2328"/>
      <c r="L183" s="1254" t="s">
        <v>2034</v>
      </c>
    </row>
    <row r="184" spans="1:12">
      <c r="A184" s="1151"/>
      <c r="B184" s="1152" t="s">
        <v>7281</v>
      </c>
      <c r="C184" s="1152" t="s">
        <v>5805</v>
      </c>
      <c r="D184" s="1152" t="s">
        <v>7281</v>
      </c>
      <c r="E184" s="1152" t="s">
        <v>5805</v>
      </c>
      <c r="F184" s="1152" t="s">
        <v>7281</v>
      </c>
      <c r="G184" s="1152" t="s">
        <v>5805</v>
      </c>
      <c r="H184" s="1152" t="s">
        <v>7281</v>
      </c>
      <c r="I184" s="1153" t="s">
        <v>5805</v>
      </c>
      <c r="J184" s="1152" t="s">
        <v>7281</v>
      </c>
      <c r="K184" s="1153" t="s">
        <v>5805</v>
      </c>
      <c r="L184" s="1205"/>
    </row>
    <row r="185" spans="1:12">
      <c r="A185" s="1352" t="s">
        <v>5848</v>
      </c>
      <c r="B185" s="1343">
        <v>1</v>
      </c>
      <c r="C185" s="1353">
        <v>1.4084507042253521E-2</v>
      </c>
      <c r="D185" s="1343">
        <v>0</v>
      </c>
      <c r="E185" s="1353">
        <v>0</v>
      </c>
      <c r="F185" s="1343">
        <v>1</v>
      </c>
      <c r="G185" s="1353">
        <v>2.2727272727272728E-2</v>
      </c>
      <c r="H185" s="1343">
        <v>1</v>
      </c>
      <c r="I185" s="1353">
        <v>0.1111111111111111</v>
      </c>
      <c r="J185" s="1343">
        <v>1</v>
      </c>
      <c r="K185" s="1353">
        <v>0.16666666666666666</v>
      </c>
      <c r="L185" s="1352">
        <v>4</v>
      </c>
    </row>
    <row r="186" spans="1:12">
      <c r="A186" s="1343" t="s">
        <v>5494</v>
      </c>
      <c r="B186" s="1343">
        <v>1</v>
      </c>
      <c r="C186" s="1353">
        <v>1.4084507042253521E-2</v>
      </c>
      <c r="D186" s="1343">
        <v>1</v>
      </c>
      <c r="E186" s="1353">
        <v>2.0408163265306121E-2</v>
      </c>
      <c r="F186" s="1343">
        <v>3</v>
      </c>
      <c r="G186" s="1353">
        <v>6.8181818181818177E-2</v>
      </c>
      <c r="H186" s="1343">
        <v>0</v>
      </c>
      <c r="I186" s="1353">
        <v>0</v>
      </c>
      <c r="J186" s="1343">
        <v>0</v>
      </c>
      <c r="K186" s="1353">
        <v>0</v>
      </c>
      <c r="L186" s="1343">
        <v>4</v>
      </c>
    </row>
    <row r="187" spans="1:12">
      <c r="A187" s="1343" t="s">
        <v>5847</v>
      </c>
      <c r="B187" s="1343">
        <v>0</v>
      </c>
      <c r="C187" s="1353">
        <v>0</v>
      </c>
      <c r="D187" s="1343">
        <v>0</v>
      </c>
      <c r="E187" s="1353">
        <v>0</v>
      </c>
      <c r="F187" s="1343">
        <v>0</v>
      </c>
      <c r="G187" s="1353">
        <v>0</v>
      </c>
      <c r="H187" s="1343">
        <v>0</v>
      </c>
      <c r="I187" s="1353">
        <v>0</v>
      </c>
      <c r="J187" s="1343">
        <v>1</v>
      </c>
      <c r="K187" s="1353">
        <v>0.16666666666666666</v>
      </c>
      <c r="L187" s="1343">
        <v>1</v>
      </c>
    </row>
    <row r="188" spans="1:12">
      <c r="A188" s="1343" t="s">
        <v>771</v>
      </c>
      <c r="B188" s="1343">
        <v>1</v>
      </c>
      <c r="C188" s="1353">
        <v>1.4084507042253521E-2</v>
      </c>
      <c r="D188" s="1343">
        <v>0</v>
      </c>
      <c r="E188" s="1353">
        <v>0</v>
      </c>
      <c r="F188" s="1343">
        <v>0</v>
      </c>
      <c r="G188" s="1353">
        <v>0</v>
      </c>
      <c r="H188" s="1343">
        <v>0</v>
      </c>
      <c r="I188" s="1353">
        <v>0</v>
      </c>
      <c r="J188" s="1343">
        <v>0</v>
      </c>
      <c r="K188" s="1353">
        <v>0</v>
      </c>
      <c r="L188" s="1343">
        <v>1</v>
      </c>
    </row>
    <row r="189" spans="1:12">
      <c r="A189" s="1343" t="s">
        <v>5495</v>
      </c>
      <c r="B189" s="1343">
        <v>1</v>
      </c>
      <c r="C189" s="1353">
        <v>1.4084507042253521E-2</v>
      </c>
      <c r="D189" s="1343">
        <v>0</v>
      </c>
      <c r="E189" s="1353">
        <v>0</v>
      </c>
      <c r="F189" s="1343">
        <v>0</v>
      </c>
      <c r="G189" s="1353">
        <v>0</v>
      </c>
      <c r="H189" s="1343">
        <v>1</v>
      </c>
      <c r="I189" s="1353">
        <v>0.1111111111111111</v>
      </c>
      <c r="J189" s="1343">
        <v>0</v>
      </c>
      <c r="K189" s="1353">
        <v>0</v>
      </c>
      <c r="L189" s="1343">
        <v>2</v>
      </c>
    </row>
    <row r="190" spans="1:12">
      <c r="A190" s="1343" t="s">
        <v>5496</v>
      </c>
      <c r="B190" s="1343">
        <v>4</v>
      </c>
      <c r="C190" s="1353">
        <v>5.6338028169014086E-2</v>
      </c>
      <c r="D190" s="1343">
        <v>3</v>
      </c>
      <c r="E190" s="1353">
        <v>6.1224489795918366E-2</v>
      </c>
      <c r="F190" s="1343">
        <v>2</v>
      </c>
      <c r="G190" s="1353">
        <v>4.5454545454545456E-2</v>
      </c>
      <c r="H190" s="1343">
        <v>3</v>
      </c>
      <c r="I190" s="1353">
        <v>0.33333333333333331</v>
      </c>
      <c r="J190" s="1343">
        <v>0</v>
      </c>
      <c r="K190" s="1353">
        <v>0</v>
      </c>
      <c r="L190" s="1343">
        <v>9</v>
      </c>
    </row>
    <row r="191" spans="1:12">
      <c r="A191" s="1343" t="s">
        <v>778</v>
      </c>
      <c r="B191" s="1343">
        <v>23</v>
      </c>
      <c r="C191" s="1353">
        <v>0.323943661971831</v>
      </c>
      <c r="D191" s="1343">
        <v>19</v>
      </c>
      <c r="E191" s="1353">
        <v>0.38775510204081631</v>
      </c>
      <c r="F191" s="1343">
        <v>4</v>
      </c>
      <c r="G191" s="1353">
        <v>9.0909090909090912E-2</v>
      </c>
      <c r="H191" s="1343">
        <v>2</v>
      </c>
      <c r="I191" s="1353">
        <v>0.22222222222222221</v>
      </c>
      <c r="J191" s="1343">
        <v>1</v>
      </c>
      <c r="K191" s="1353">
        <v>0.16666666666666666</v>
      </c>
      <c r="L191" s="1343">
        <v>30</v>
      </c>
    </row>
    <row r="192" spans="1:12">
      <c r="A192" s="1343" t="s">
        <v>5493</v>
      </c>
      <c r="B192" s="1343">
        <v>29</v>
      </c>
      <c r="C192" s="1353">
        <v>0.40845070422535212</v>
      </c>
      <c r="D192" s="1343">
        <v>14</v>
      </c>
      <c r="E192" s="1353">
        <v>0.2857142857142857</v>
      </c>
      <c r="F192" s="1343">
        <v>21</v>
      </c>
      <c r="G192" s="1353">
        <v>0.47727272727272729</v>
      </c>
      <c r="H192" s="1343">
        <v>2</v>
      </c>
      <c r="I192" s="1353">
        <v>0.22222222222222221</v>
      </c>
      <c r="J192" s="1343">
        <v>1</v>
      </c>
      <c r="K192" s="1353">
        <v>0.16666666666666666</v>
      </c>
      <c r="L192" s="1343">
        <v>53</v>
      </c>
    </row>
    <row r="193" spans="1:14">
      <c r="A193" s="1343" t="s">
        <v>1020</v>
      </c>
      <c r="B193" s="1343">
        <v>11</v>
      </c>
      <c r="C193" s="1353">
        <v>0.15492957746478872</v>
      </c>
      <c r="D193" s="1343">
        <v>12</v>
      </c>
      <c r="E193" s="1353">
        <v>0.24489795918367346</v>
      </c>
      <c r="F193" s="1343">
        <v>13</v>
      </c>
      <c r="G193" s="1353">
        <v>0.29545454545454547</v>
      </c>
      <c r="H193" s="1343">
        <v>0</v>
      </c>
      <c r="I193" s="1353">
        <v>0</v>
      </c>
      <c r="J193" s="1343">
        <v>2</v>
      </c>
      <c r="K193" s="1353">
        <v>0.33333333333333331</v>
      </c>
      <c r="L193" s="1343">
        <v>26</v>
      </c>
    </row>
    <row r="194" spans="1:14">
      <c r="A194" s="1587" t="s">
        <v>4348</v>
      </c>
      <c r="B194" s="1354">
        <v>71</v>
      </c>
      <c r="C194" s="1355">
        <v>0.39664804469273746</v>
      </c>
      <c r="D194" s="1354">
        <v>49</v>
      </c>
      <c r="E194" s="1355">
        <v>0.27374301675977653</v>
      </c>
      <c r="F194" s="1354">
        <v>44</v>
      </c>
      <c r="G194" s="1355">
        <v>0.24581005586592178</v>
      </c>
      <c r="H194" s="1354">
        <v>9</v>
      </c>
      <c r="I194" s="1355">
        <v>5.027932960893855E-2</v>
      </c>
      <c r="J194" s="1354">
        <v>6</v>
      </c>
      <c r="K194" s="1355">
        <v>3.3519553072625698E-2</v>
      </c>
      <c r="L194" s="1343">
        <v>179</v>
      </c>
    </row>
    <row r="197" spans="1:14">
      <c r="A197" s="1384" t="s">
        <v>12498</v>
      </c>
      <c r="K197" s="1383"/>
      <c r="L197" s="1383"/>
    </row>
    <row r="198" spans="1:14">
      <c r="A198" s="2329" t="s">
        <v>7214</v>
      </c>
      <c r="B198" s="2327" t="s">
        <v>7325</v>
      </c>
      <c r="C198" s="2327"/>
      <c r="D198" s="2331" t="s">
        <v>7326</v>
      </c>
      <c r="E198" s="2332"/>
      <c r="F198" s="2327" t="s">
        <v>7327</v>
      </c>
      <c r="G198" s="2327"/>
      <c r="H198" s="2327" t="s">
        <v>7328</v>
      </c>
      <c r="I198" s="2328"/>
      <c r="J198" s="2327" t="s">
        <v>12497</v>
      </c>
      <c r="K198" s="2328"/>
      <c r="L198" s="1253"/>
    </row>
    <row r="199" spans="1:14">
      <c r="A199" s="2330"/>
      <c r="B199" s="2327"/>
      <c r="C199" s="2327"/>
      <c r="D199" s="2333"/>
      <c r="E199" s="2334"/>
      <c r="F199" s="2327"/>
      <c r="G199" s="2327"/>
      <c r="H199" s="2327"/>
      <c r="I199" s="2328"/>
      <c r="J199" s="2327"/>
      <c r="K199" s="2328"/>
      <c r="L199" s="1254" t="s">
        <v>2034</v>
      </c>
    </row>
    <row r="200" spans="1:14">
      <c r="A200" s="1151"/>
      <c r="B200" s="1152" t="s">
        <v>7281</v>
      </c>
      <c r="C200" s="1152" t="s">
        <v>5805</v>
      </c>
      <c r="D200" s="1152" t="s">
        <v>7281</v>
      </c>
      <c r="E200" s="1152" t="s">
        <v>5805</v>
      </c>
      <c r="F200" s="1152" t="s">
        <v>7281</v>
      </c>
      <c r="G200" s="1152" t="s">
        <v>5805</v>
      </c>
      <c r="H200" s="1152" t="s">
        <v>7281</v>
      </c>
      <c r="I200" s="1153" t="s">
        <v>5805</v>
      </c>
      <c r="J200" s="1152" t="s">
        <v>7281</v>
      </c>
      <c r="K200" s="1153" t="s">
        <v>5805</v>
      </c>
      <c r="L200" s="1205"/>
    </row>
    <row r="201" spans="1:14">
      <c r="A201" s="1352" t="s">
        <v>5848</v>
      </c>
      <c r="B201" s="1343">
        <v>1</v>
      </c>
      <c r="C201" s="1353">
        <v>2.7027027027027029E-2</v>
      </c>
      <c r="D201" s="1343">
        <v>0</v>
      </c>
      <c r="E201" s="1353">
        <v>0</v>
      </c>
      <c r="F201" s="1343">
        <v>0</v>
      </c>
      <c r="G201" s="1353">
        <v>0</v>
      </c>
      <c r="H201" s="1343">
        <v>0</v>
      </c>
      <c r="I201" s="1353">
        <v>0</v>
      </c>
      <c r="J201" s="1343">
        <v>0</v>
      </c>
      <c r="K201" s="1353">
        <v>0</v>
      </c>
      <c r="L201" s="1352">
        <v>1</v>
      </c>
      <c r="M201" s="1383"/>
      <c r="N201" s="1383"/>
    </row>
    <row r="202" spans="1:14">
      <c r="A202" s="1343" t="s">
        <v>5494</v>
      </c>
      <c r="B202" s="1343">
        <v>0</v>
      </c>
      <c r="C202" s="1353">
        <v>0</v>
      </c>
      <c r="D202" s="1343">
        <v>0</v>
      </c>
      <c r="E202" s="1353">
        <v>0</v>
      </c>
      <c r="F202" s="1343">
        <v>0</v>
      </c>
      <c r="G202" s="1353">
        <v>0</v>
      </c>
      <c r="H202" s="1343">
        <v>1</v>
      </c>
      <c r="I202" s="1353">
        <v>1</v>
      </c>
      <c r="J202" s="1343">
        <v>0</v>
      </c>
      <c r="K202" s="1353">
        <v>0</v>
      </c>
      <c r="L202" s="1352">
        <v>1</v>
      </c>
      <c r="M202" s="1383"/>
      <c r="N202" s="1383"/>
    </row>
    <row r="203" spans="1:14">
      <c r="A203" s="1343" t="s">
        <v>5847</v>
      </c>
      <c r="B203" s="1343">
        <v>0</v>
      </c>
      <c r="C203" s="1353">
        <v>0</v>
      </c>
      <c r="D203" s="1343">
        <v>0</v>
      </c>
      <c r="E203" s="1353">
        <v>0</v>
      </c>
      <c r="F203" s="1343">
        <v>0</v>
      </c>
      <c r="G203" s="1353">
        <v>0</v>
      </c>
      <c r="H203" s="1343">
        <v>0</v>
      </c>
      <c r="I203" s="1353">
        <v>0</v>
      </c>
      <c r="J203" s="1343">
        <v>0</v>
      </c>
      <c r="K203" s="1353">
        <v>0</v>
      </c>
      <c r="L203" s="1352">
        <v>0</v>
      </c>
      <c r="M203" s="1383"/>
      <c r="N203" s="1383"/>
    </row>
    <row r="204" spans="1:14">
      <c r="A204" s="1343" t="s">
        <v>771</v>
      </c>
      <c r="B204" s="1343">
        <v>0</v>
      </c>
      <c r="C204" s="1353">
        <v>0</v>
      </c>
      <c r="D204" s="1343">
        <v>0</v>
      </c>
      <c r="E204" s="1353">
        <v>0</v>
      </c>
      <c r="F204" s="1343">
        <v>0</v>
      </c>
      <c r="G204" s="1353">
        <v>0</v>
      </c>
      <c r="H204" s="1343">
        <v>0</v>
      </c>
      <c r="I204" s="1353">
        <v>0</v>
      </c>
      <c r="J204" s="1343">
        <v>0</v>
      </c>
      <c r="K204" s="1353">
        <v>0</v>
      </c>
      <c r="L204" s="1352">
        <v>0</v>
      </c>
      <c r="M204" s="1383"/>
      <c r="N204" s="1383"/>
    </row>
    <row r="205" spans="1:14">
      <c r="A205" s="1343" t="s">
        <v>5495</v>
      </c>
      <c r="B205" s="1343">
        <v>3</v>
      </c>
      <c r="C205" s="1353">
        <v>8.1081081081081086E-2</v>
      </c>
      <c r="D205" s="1343">
        <v>0</v>
      </c>
      <c r="E205" s="1353">
        <v>0</v>
      </c>
      <c r="F205" s="1343">
        <v>0</v>
      </c>
      <c r="G205" s="1353">
        <v>0</v>
      </c>
      <c r="H205" s="1343">
        <v>0</v>
      </c>
      <c r="I205" s="1353">
        <v>0</v>
      </c>
      <c r="J205" s="1343">
        <v>0</v>
      </c>
      <c r="K205" s="1353">
        <v>0</v>
      </c>
      <c r="L205" s="1352">
        <v>3</v>
      </c>
      <c r="M205" s="1383"/>
      <c r="N205" s="1383"/>
    </row>
    <row r="206" spans="1:14">
      <c r="A206" s="1343" t="s">
        <v>5496</v>
      </c>
      <c r="B206" s="1343">
        <v>2</v>
      </c>
      <c r="C206" s="1353">
        <v>5.4054054054054057E-2</v>
      </c>
      <c r="D206" s="1343">
        <v>1</v>
      </c>
      <c r="E206" s="1353">
        <v>4.5454545454545456E-2</v>
      </c>
      <c r="F206" s="1343">
        <v>2</v>
      </c>
      <c r="G206" s="1353">
        <v>0.1</v>
      </c>
      <c r="H206" s="1343">
        <v>0</v>
      </c>
      <c r="I206" s="1353">
        <v>0</v>
      </c>
      <c r="J206" s="1343">
        <v>1</v>
      </c>
      <c r="K206" s="1353">
        <v>1</v>
      </c>
      <c r="L206" s="1352">
        <v>5</v>
      </c>
      <c r="M206" s="1383"/>
      <c r="N206" s="1383"/>
    </row>
    <row r="207" spans="1:14">
      <c r="A207" s="1343" t="s">
        <v>778</v>
      </c>
      <c r="B207" s="1343">
        <v>3</v>
      </c>
      <c r="C207" s="1353">
        <v>8.1081081081081086E-2</v>
      </c>
      <c r="D207" s="1343">
        <v>9</v>
      </c>
      <c r="E207" s="1353">
        <v>0.40909090909090912</v>
      </c>
      <c r="F207" s="1343">
        <v>3</v>
      </c>
      <c r="G207" s="1353">
        <v>0.15</v>
      </c>
      <c r="H207" s="1343">
        <v>0</v>
      </c>
      <c r="I207" s="1353">
        <v>0</v>
      </c>
      <c r="J207" s="1343">
        <v>0</v>
      </c>
      <c r="K207" s="1353">
        <v>0</v>
      </c>
      <c r="L207" s="1352">
        <v>6</v>
      </c>
      <c r="M207" s="1383"/>
      <c r="N207" s="1383"/>
    </row>
    <row r="208" spans="1:14">
      <c r="A208" s="1343" t="s">
        <v>5493</v>
      </c>
      <c r="B208" s="1343">
        <v>12</v>
      </c>
      <c r="C208" s="1353">
        <v>0.32432432432432434</v>
      </c>
      <c r="D208" s="1343">
        <v>6</v>
      </c>
      <c r="E208" s="1353">
        <v>0.27272727272727271</v>
      </c>
      <c r="F208" s="1343">
        <v>7</v>
      </c>
      <c r="G208" s="1353">
        <v>0.35</v>
      </c>
      <c r="H208" s="1343">
        <v>0</v>
      </c>
      <c r="I208" s="1353">
        <v>0</v>
      </c>
      <c r="J208" s="1343">
        <v>0</v>
      </c>
      <c r="K208" s="1353">
        <v>0</v>
      </c>
      <c r="L208" s="1352">
        <v>19</v>
      </c>
      <c r="M208" s="1383"/>
      <c r="N208" s="1383"/>
    </row>
    <row r="209" spans="1:14">
      <c r="A209" s="1343" t="s">
        <v>1020</v>
      </c>
      <c r="B209" s="1343">
        <v>16</v>
      </c>
      <c r="C209" s="1353">
        <v>0.43243243243243246</v>
      </c>
      <c r="D209" s="1343">
        <v>6</v>
      </c>
      <c r="E209" s="1353">
        <v>0.27272727272727271</v>
      </c>
      <c r="F209" s="1343">
        <v>8</v>
      </c>
      <c r="G209" s="1353">
        <v>0.4</v>
      </c>
      <c r="H209" s="1343">
        <v>0</v>
      </c>
      <c r="I209" s="1353">
        <v>0</v>
      </c>
      <c r="J209" s="1343">
        <v>0</v>
      </c>
      <c r="K209" s="1353">
        <v>0</v>
      </c>
      <c r="L209" s="1352">
        <v>24</v>
      </c>
      <c r="M209" s="1383"/>
      <c r="N209" s="1383"/>
    </row>
    <row r="210" spans="1:14">
      <c r="A210" s="1587" t="s">
        <v>4348</v>
      </c>
      <c r="B210" s="1354">
        <v>37</v>
      </c>
      <c r="C210" s="1355">
        <v>0.4567901234567901</v>
      </c>
      <c r="D210" s="1354">
        <v>22</v>
      </c>
      <c r="E210" s="1355">
        <v>0.27160493827160492</v>
      </c>
      <c r="F210" s="1354">
        <v>20</v>
      </c>
      <c r="G210" s="1355">
        <v>0.24691358024691357</v>
      </c>
      <c r="H210" s="1354">
        <v>1</v>
      </c>
      <c r="I210" s="1355">
        <v>1.2345679012345678E-2</v>
      </c>
      <c r="J210" s="1354">
        <v>1</v>
      </c>
      <c r="K210" s="1355">
        <v>1.2345679012345678E-2</v>
      </c>
      <c r="L210" s="1343">
        <v>81</v>
      </c>
      <c r="M210" s="1383"/>
      <c r="N210" s="1383"/>
    </row>
    <row r="211" spans="1:14">
      <c r="A211" s="1383"/>
      <c r="B211" s="1383"/>
      <c r="C211" s="1383"/>
      <c r="D211" s="1383"/>
      <c r="E211" s="1383"/>
      <c r="F211" s="1383"/>
      <c r="G211" s="1383"/>
      <c r="H211" s="1383"/>
      <c r="I211" s="1383"/>
      <c r="J211" s="1383"/>
      <c r="K211" s="1383"/>
      <c r="L211" s="1383"/>
      <c r="M211" s="1383"/>
      <c r="N211" s="1383"/>
    </row>
    <row r="213" spans="1:14">
      <c r="A213" s="1402" t="s">
        <v>7332</v>
      </c>
      <c r="B213" s="1400"/>
      <c r="C213" s="1400"/>
    </row>
    <row r="214" spans="1:14">
      <c r="A214" s="1208"/>
      <c r="B214" s="1210" t="s">
        <v>5504</v>
      </c>
      <c r="C214" s="1210" t="s">
        <v>5503</v>
      </c>
    </row>
    <row r="215" spans="1:14">
      <c r="A215" s="1209" t="s">
        <v>7214</v>
      </c>
      <c r="B215" s="1211" t="s">
        <v>12559</v>
      </c>
      <c r="C215" s="1211" t="s">
        <v>12559</v>
      </c>
    </row>
    <row r="216" spans="1:14">
      <c r="A216" s="1207"/>
      <c r="B216" s="1212" t="s">
        <v>28</v>
      </c>
      <c r="C216" s="1212" t="s">
        <v>28</v>
      </c>
    </row>
    <row r="217" spans="1:14">
      <c r="A217" s="1146" t="s">
        <v>5848</v>
      </c>
      <c r="B217" s="1255">
        <v>138.2051282051282</v>
      </c>
      <c r="C217" s="1255">
        <v>0</v>
      </c>
    </row>
    <row r="218" spans="1:14">
      <c r="A218" s="1149" t="s">
        <v>5494</v>
      </c>
      <c r="B218" s="1256">
        <v>36.67</v>
      </c>
      <c r="C218" s="1256">
        <v>83.333333333333329</v>
      </c>
    </row>
    <row r="219" spans="1:14">
      <c r="A219" s="1149" t="s">
        <v>5847</v>
      </c>
      <c r="B219" s="1256">
        <v>0</v>
      </c>
      <c r="C219" s="1256">
        <v>0</v>
      </c>
    </row>
    <row r="220" spans="1:14">
      <c r="A220" s="1149" t="s">
        <v>771</v>
      </c>
      <c r="B220" s="1256">
        <v>30.76923076923077</v>
      </c>
      <c r="C220" s="1256">
        <v>0</v>
      </c>
    </row>
    <row r="221" spans="1:14">
      <c r="A221" s="1149" t="s">
        <v>5495</v>
      </c>
      <c r="B221" s="1256">
        <v>15.384615384615385</v>
      </c>
      <c r="C221" s="1256">
        <v>11.2</v>
      </c>
    </row>
    <row r="222" spans="1:14">
      <c r="A222" s="1149" t="s">
        <v>5496</v>
      </c>
      <c r="B222" s="1256">
        <v>46.861538461538466</v>
      </c>
      <c r="C222" s="1256">
        <v>56</v>
      </c>
    </row>
    <row r="223" spans="1:14">
      <c r="A223" s="1149" t="s">
        <v>778</v>
      </c>
      <c r="B223" s="1256">
        <v>78.102564102564102</v>
      </c>
      <c r="C223" s="1256">
        <v>30.755555555555556</v>
      </c>
    </row>
    <row r="224" spans="1:14">
      <c r="A224" s="1149" t="s">
        <v>5493</v>
      </c>
      <c r="B224" s="1256">
        <v>77.432692307692307</v>
      </c>
      <c r="C224" s="1256">
        <v>56.989010989010985</v>
      </c>
    </row>
    <row r="225" spans="1:3">
      <c r="A225" s="1149" t="s">
        <v>1020</v>
      </c>
      <c r="B225" s="1256">
        <v>45.263157894736842</v>
      </c>
      <c r="C225" s="1256">
        <v>57.374786324786328</v>
      </c>
    </row>
    <row r="226" spans="1:3">
      <c r="A226" s="1231" t="s">
        <v>7334</v>
      </c>
      <c r="B226" s="1257">
        <v>468.68892712550604</v>
      </c>
      <c r="C226" s="1257">
        <v>295.6526862026862</v>
      </c>
    </row>
  </sheetData>
  <mergeCells count="34">
    <mergeCell ref="B83:C83"/>
    <mergeCell ref="D83:E83"/>
    <mergeCell ref="F83:G83"/>
    <mergeCell ref="H83:I83"/>
    <mergeCell ref="A182:A183"/>
    <mergeCell ref="B182:C183"/>
    <mergeCell ref="D182:E183"/>
    <mergeCell ref="F182:G183"/>
    <mergeCell ref="H182:I183"/>
    <mergeCell ref="A151:A152"/>
    <mergeCell ref="J182:K183"/>
    <mergeCell ref="A198:A199"/>
    <mergeCell ref="B198:C199"/>
    <mergeCell ref="D198:E199"/>
    <mergeCell ref="F198:G199"/>
    <mergeCell ref="H198:I199"/>
    <mergeCell ref="J198:K199"/>
    <mergeCell ref="R109:S109"/>
    <mergeCell ref="T109:U109"/>
    <mergeCell ref="V109:W109"/>
    <mergeCell ref="Q31:Q32"/>
    <mergeCell ref="R31:S31"/>
    <mergeCell ref="T31:U31"/>
    <mergeCell ref="V31:W31"/>
    <mergeCell ref="R46:S46"/>
    <mergeCell ref="T46:U46"/>
    <mergeCell ref="V46:W46"/>
    <mergeCell ref="Q17:Q18"/>
    <mergeCell ref="R17:S17"/>
    <mergeCell ref="T17:U17"/>
    <mergeCell ref="V17:W17"/>
    <mergeCell ref="R61:S61"/>
    <mergeCell ref="T61:U61"/>
    <mergeCell ref="V61:W6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2:N4803"/>
  <sheetViews>
    <sheetView workbookViewId="0">
      <selection activeCell="B23" sqref="B23"/>
    </sheetView>
  </sheetViews>
  <sheetFormatPr defaultRowHeight="15"/>
  <cols>
    <col min="1" max="1" width="72.140625" customWidth="1"/>
    <col min="6" max="6" width="15.85546875" customWidth="1"/>
    <col min="12" max="12" width="9.140625" style="1246"/>
    <col min="13" max="13" width="49.28515625" bestFit="1" customWidth="1"/>
    <col min="14" max="14" width="8.140625" bestFit="1" customWidth="1"/>
  </cols>
  <sheetData>
    <row r="2" spans="1:14">
      <c r="M2" s="1242"/>
      <c r="N2" s="1242"/>
    </row>
    <row r="3" spans="1:14">
      <c r="A3" s="635" t="s">
        <v>7294</v>
      </c>
      <c r="L3" s="1246" t="s">
        <v>12617</v>
      </c>
      <c r="M3" s="1242" t="s">
        <v>7300</v>
      </c>
      <c r="N3" s="1242" t="s">
        <v>12617</v>
      </c>
    </row>
    <row r="4" spans="1:14">
      <c r="A4" s="1240" t="s">
        <v>7295</v>
      </c>
      <c r="B4" s="1240" t="s">
        <v>386</v>
      </c>
      <c r="C4" s="1240" t="s">
        <v>7296</v>
      </c>
      <c r="D4" s="1240" t="s">
        <v>7297</v>
      </c>
      <c r="E4" s="1240" t="s">
        <v>7298</v>
      </c>
      <c r="F4" s="1240" t="s">
        <v>7299</v>
      </c>
      <c r="M4" s="812"/>
      <c r="N4" s="812"/>
    </row>
    <row r="5" spans="1:14">
      <c r="A5" s="1206" t="s">
        <v>12594</v>
      </c>
      <c r="B5" s="241">
        <f>COUNTIFS(HH.names!C:C,"*",HH.names!R:R,"HEAD",HH.names!P:P,"1")</f>
        <v>2</v>
      </c>
      <c r="C5" s="1206"/>
      <c r="D5" s="1206"/>
      <c r="E5" s="1206"/>
      <c r="F5" s="1206"/>
      <c r="M5" s="812"/>
      <c r="N5" s="812"/>
    </row>
    <row r="6" spans="1:14">
      <c r="A6" s="1206" t="s">
        <v>12588</v>
      </c>
      <c r="B6" s="241">
        <f>COUNTIFS(HH.names!C:C,"*",HH.names!R:R,"HEAD",HH.names!P:P,"2")</f>
        <v>5</v>
      </c>
      <c r="C6" s="1206"/>
      <c r="D6" s="1206"/>
      <c r="E6" s="1206"/>
      <c r="F6" s="1206"/>
      <c r="M6" s="812"/>
      <c r="N6" s="812"/>
    </row>
    <row r="7" spans="1:14">
      <c r="A7" s="1206" t="s">
        <v>12589</v>
      </c>
      <c r="B7" s="241">
        <f>COUNTIFS(HH.names!C:C,"*",HH.names!R:R,"HEAD",HH.names!P:P,"3")</f>
        <v>7</v>
      </c>
      <c r="C7" s="1206"/>
      <c r="D7" s="1206"/>
      <c r="E7" s="1206"/>
      <c r="F7" s="1206"/>
      <c r="M7" s="812"/>
      <c r="N7" s="812"/>
    </row>
    <row r="8" spans="1:14">
      <c r="A8" s="1206" t="s">
        <v>12590</v>
      </c>
      <c r="B8" s="241">
        <f>COUNTIFS(HH.names!C:C,"*",HH.names!R:R,"HEAD",HH.names!P:P,"4")</f>
        <v>2</v>
      </c>
      <c r="C8" s="1206"/>
      <c r="D8" s="1206"/>
      <c r="E8" s="1206"/>
      <c r="F8" s="1206"/>
      <c r="M8" s="1050" t="s">
        <v>8233</v>
      </c>
      <c r="N8" s="1050"/>
    </row>
    <row r="9" spans="1:14">
      <c r="A9" s="1206" t="s">
        <v>12591</v>
      </c>
      <c r="B9" s="241">
        <f>COUNTIFS(HH.names!C:C,"*",HH.names!R:R,"HEAD",HH.names!P:P,"5")</f>
        <v>5</v>
      </c>
      <c r="C9" s="1206"/>
      <c r="D9" s="1206"/>
      <c r="E9" s="1206"/>
      <c r="F9" s="1206"/>
      <c r="M9" s="92" t="s">
        <v>8239</v>
      </c>
      <c r="N9" s="92"/>
    </row>
    <row r="10" spans="1:14">
      <c r="A10" s="1206" t="s">
        <v>12592</v>
      </c>
      <c r="B10" s="241">
        <f>COUNTIFS(HH.names!C:C,"*",HH.names!R:R,"HEAD",HH.names!P:P,"6")</f>
        <v>7</v>
      </c>
      <c r="C10" s="1206"/>
      <c r="D10" s="1206"/>
      <c r="E10" s="1206"/>
      <c r="F10" s="1206"/>
      <c r="M10" s="92"/>
      <c r="N10" s="92"/>
    </row>
    <row r="11" spans="1:14">
      <c r="A11" s="1206" t="s">
        <v>12593</v>
      </c>
      <c r="B11" s="241">
        <f>COUNTIFS(HH.names!C:C,"*",HH.names!R:R,"HEAD",HH.names!P:P,"7")</f>
        <v>4</v>
      </c>
      <c r="C11" s="1206"/>
      <c r="D11" s="1206"/>
      <c r="E11" s="1206"/>
      <c r="F11" s="1206"/>
      <c r="M11" s="92"/>
      <c r="N11" s="92"/>
    </row>
    <row r="12" spans="1:14">
      <c r="A12" s="1206" t="s">
        <v>12497</v>
      </c>
      <c r="B12" s="241">
        <f>COUNTIFS(HH.names!C:C,"*",HH.names!R:R,"HEAD",HH.names!P:P,"8")</f>
        <v>1</v>
      </c>
      <c r="C12" s="1206"/>
      <c r="D12" s="1206"/>
      <c r="E12" s="1206"/>
      <c r="F12" s="1206"/>
      <c r="M12" s="92"/>
      <c r="N12" s="92"/>
    </row>
    <row r="13" spans="1:14">
      <c r="A13" s="1206" t="s">
        <v>12595</v>
      </c>
      <c r="B13" s="241">
        <f>COUNTIFS(HH.names!C:C,"*",HH.names!R:R,"HEAD",HH.names!P:P,"9")</f>
        <v>33</v>
      </c>
      <c r="C13" s="1206"/>
      <c r="D13" s="1206"/>
      <c r="E13" s="1206"/>
      <c r="F13" s="1206"/>
      <c r="M13" s="812"/>
      <c r="N13" s="812"/>
    </row>
    <row r="14" spans="1:14">
      <c r="A14" s="1206" t="s">
        <v>12494</v>
      </c>
      <c r="B14" s="241">
        <f>COUNTIFS(HH.names!C:C,"*",HH.names!R:R,"HEAD",HH.names!P:P,"10")</f>
        <v>13</v>
      </c>
      <c r="C14" s="1206"/>
      <c r="D14" s="1206"/>
      <c r="E14" s="1206"/>
      <c r="F14" s="1206"/>
      <c r="M14" s="92" t="s">
        <v>8252</v>
      </c>
      <c r="N14" s="92"/>
    </row>
    <row r="15" spans="1:14">
      <c r="A15" s="1206" t="s">
        <v>12625</v>
      </c>
      <c r="B15" s="241">
        <f>COUNTIFS(HH.names!C:C,"*",HH.names!R:R,"HEAD",HH.names!P:P,"11")</f>
        <v>1</v>
      </c>
      <c r="C15" s="1206"/>
      <c r="D15" s="1206"/>
      <c r="E15" s="1206"/>
      <c r="F15" s="1206"/>
      <c r="M15" s="92" t="s">
        <v>8255</v>
      </c>
      <c r="N15" s="92"/>
    </row>
    <row r="16" spans="1:14">
      <c r="A16" s="1206" t="s">
        <v>12552</v>
      </c>
      <c r="B16" s="241">
        <f>COUNTIFS(HH.names!C:C,"*",HH.names!R:R,"HEAD",HH.names!P:P,"12")</f>
        <v>2</v>
      </c>
      <c r="C16" s="1206"/>
      <c r="D16" s="1206"/>
      <c r="E16" s="1206"/>
      <c r="F16" s="1206"/>
      <c r="M16" s="92" t="s">
        <v>2212</v>
      </c>
      <c r="N16" s="92"/>
    </row>
    <row r="17" spans="1:14">
      <c r="A17" s="1206" t="s">
        <v>12613</v>
      </c>
      <c r="B17" s="241">
        <f>COUNTIFS(HH.names!C:C,"*",HH.names!R:R,"HEAD",HH.names!P:P,"13")</f>
        <v>3</v>
      </c>
      <c r="C17" s="1206"/>
      <c r="D17" s="1206"/>
      <c r="E17" s="1206"/>
      <c r="F17" s="1206"/>
      <c r="M17" s="92"/>
      <c r="N17" s="92"/>
    </row>
    <row r="18" spans="1:14">
      <c r="M18" s="92"/>
      <c r="N18" s="92"/>
    </row>
    <row r="19" spans="1:14">
      <c r="M19" s="92" t="s">
        <v>2212</v>
      </c>
      <c r="N19" s="92"/>
    </row>
    <row r="20" spans="1:14">
      <c r="L20" s="1246" t="s">
        <v>12606</v>
      </c>
      <c r="M20" s="928" t="s">
        <v>8259</v>
      </c>
      <c r="N20" s="928" t="s">
        <v>12606</v>
      </c>
    </row>
    <row r="21" spans="1:14">
      <c r="M21" s="92" t="s">
        <v>2213</v>
      </c>
      <c r="N21" s="92"/>
    </row>
    <row r="22" spans="1:14">
      <c r="L22" s="1246" t="s">
        <v>12617</v>
      </c>
      <c r="M22" s="928" t="s">
        <v>8261</v>
      </c>
      <c r="N22" s="928" t="s">
        <v>12617</v>
      </c>
    </row>
    <row r="23" spans="1:14">
      <c r="M23" s="928"/>
      <c r="N23" s="928"/>
    </row>
    <row r="24" spans="1:14">
      <c r="L24" s="1246" t="s">
        <v>12607</v>
      </c>
      <c r="M24" s="928" t="s">
        <v>2210</v>
      </c>
      <c r="N24" s="928" t="s">
        <v>12607</v>
      </c>
    </row>
    <row r="25" spans="1:14">
      <c r="M25" s="92" t="s">
        <v>2213</v>
      </c>
      <c r="N25" s="92"/>
    </row>
    <row r="26" spans="1:14">
      <c r="L26" s="1246">
        <v>6</v>
      </c>
      <c r="M26" s="92"/>
      <c r="N26" s="92">
        <v>6</v>
      </c>
    </row>
    <row r="27" spans="1:14">
      <c r="M27" s="812"/>
      <c r="N27" s="812"/>
    </row>
    <row r="28" spans="1:14">
      <c r="M28" s="92" t="s">
        <v>2213</v>
      </c>
      <c r="N28" s="92"/>
    </row>
    <row r="29" spans="1:14">
      <c r="M29" s="92" t="s">
        <v>8270</v>
      </c>
      <c r="N29" s="92"/>
    </row>
    <row r="30" spans="1:14">
      <c r="L30" s="1246">
        <v>10</v>
      </c>
      <c r="M30" s="92"/>
      <c r="N30" s="92">
        <v>10</v>
      </c>
    </row>
    <row r="31" spans="1:14">
      <c r="L31" s="1246">
        <v>4</v>
      </c>
      <c r="M31" s="92"/>
      <c r="N31" s="92">
        <v>4</v>
      </c>
    </row>
    <row r="32" spans="1:14">
      <c r="M32" s="92" t="s">
        <v>8274</v>
      </c>
      <c r="N32" s="92"/>
    </row>
    <row r="33" spans="12:14">
      <c r="M33" s="92"/>
      <c r="N33" s="92"/>
    </row>
    <row r="34" spans="12:14">
      <c r="L34" s="1246">
        <v>5</v>
      </c>
      <c r="M34" s="92"/>
      <c r="N34" s="92">
        <v>5</v>
      </c>
    </row>
    <row r="35" spans="12:14">
      <c r="L35" s="1246">
        <v>9</v>
      </c>
      <c r="M35" s="92"/>
      <c r="N35" s="92">
        <v>9</v>
      </c>
    </row>
    <row r="36" spans="12:14">
      <c r="M36" s="92"/>
      <c r="N36" s="92"/>
    </row>
    <row r="37" spans="12:14">
      <c r="M37" s="92" t="s">
        <v>8284</v>
      </c>
      <c r="N37" s="92"/>
    </row>
    <row r="38" spans="12:14">
      <c r="L38" s="1246">
        <v>9</v>
      </c>
      <c r="M38" s="92"/>
      <c r="N38" s="92">
        <v>9</v>
      </c>
    </row>
    <row r="39" spans="12:14">
      <c r="L39" s="1246">
        <v>11</v>
      </c>
      <c r="M39" s="92"/>
      <c r="N39" s="92">
        <v>11</v>
      </c>
    </row>
    <row r="40" spans="12:14">
      <c r="L40" s="1246">
        <v>6</v>
      </c>
      <c r="M40" s="92"/>
      <c r="N40" s="92">
        <v>6</v>
      </c>
    </row>
    <row r="41" spans="12:14">
      <c r="L41" s="1246">
        <v>9</v>
      </c>
      <c r="M41" s="92"/>
      <c r="N41" s="92">
        <v>9</v>
      </c>
    </row>
    <row r="42" spans="12:14">
      <c r="M42" s="92"/>
      <c r="N42" s="92"/>
    </row>
    <row r="43" spans="12:14">
      <c r="L43" s="1246">
        <v>12</v>
      </c>
      <c r="M43" s="92"/>
      <c r="N43" s="92">
        <v>12</v>
      </c>
    </row>
    <row r="44" spans="12:14">
      <c r="L44" s="1246">
        <v>5</v>
      </c>
      <c r="M44" s="92"/>
      <c r="N44" s="92">
        <v>5</v>
      </c>
    </row>
    <row r="45" spans="12:14">
      <c r="L45" s="1246">
        <v>5</v>
      </c>
      <c r="M45" s="92"/>
      <c r="N45" s="92">
        <v>5</v>
      </c>
    </row>
    <row r="46" spans="12:14">
      <c r="L46" s="1246" t="s">
        <v>12596</v>
      </c>
      <c r="M46" s="92"/>
      <c r="N46" s="92" t="s">
        <v>12596</v>
      </c>
    </row>
    <row r="47" spans="12:14">
      <c r="L47" s="1246">
        <v>6</v>
      </c>
      <c r="M47" s="92"/>
      <c r="N47" s="92">
        <v>6</v>
      </c>
    </row>
    <row r="48" spans="12:14">
      <c r="L48" s="1246" t="s">
        <v>12598</v>
      </c>
      <c r="M48" s="92"/>
      <c r="N48" s="92" t="s">
        <v>12598</v>
      </c>
    </row>
    <row r="49" spans="12:14">
      <c r="L49" s="1246">
        <v>12</v>
      </c>
      <c r="M49" s="92"/>
      <c r="N49" s="92">
        <v>12</v>
      </c>
    </row>
    <row r="50" spans="12:14">
      <c r="M50" s="1050" t="s">
        <v>8302</v>
      </c>
      <c r="N50" s="1050"/>
    </row>
    <row r="51" spans="12:14">
      <c r="L51" s="1246" t="s">
        <v>12600</v>
      </c>
      <c r="M51" s="92"/>
      <c r="N51" s="92" t="s">
        <v>12600</v>
      </c>
    </row>
    <row r="52" spans="12:14">
      <c r="L52" s="1246" t="s">
        <v>12596</v>
      </c>
      <c r="M52" s="92"/>
      <c r="N52" s="92" t="s">
        <v>12596</v>
      </c>
    </row>
    <row r="53" spans="12:14">
      <c r="L53" s="1246" t="s">
        <v>12601</v>
      </c>
      <c r="M53" s="92"/>
      <c r="N53" s="92" t="s">
        <v>12601</v>
      </c>
    </row>
    <row r="54" spans="12:14">
      <c r="L54" s="1246" t="s">
        <v>12602</v>
      </c>
      <c r="M54" s="92"/>
      <c r="N54" s="92" t="s">
        <v>12602</v>
      </c>
    </row>
    <row r="55" spans="12:14">
      <c r="L55" s="1246" t="s">
        <v>12606</v>
      </c>
      <c r="M55" s="928" t="s">
        <v>8309</v>
      </c>
      <c r="N55" s="928" t="s">
        <v>12606</v>
      </c>
    </row>
    <row r="56" spans="12:14">
      <c r="M56" s="92" t="s">
        <v>8312</v>
      </c>
      <c r="N56" s="92"/>
    </row>
    <row r="57" spans="12:14">
      <c r="L57" s="1246" t="s">
        <v>12603</v>
      </c>
      <c r="M57" s="92"/>
      <c r="N57" s="92" t="s">
        <v>12603</v>
      </c>
    </row>
    <row r="58" spans="12:14">
      <c r="L58" s="1246" t="s">
        <v>12598</v>
      </c>
      <c r="M58" s="92"/>
      <c r="N58" s="92" t="s">
        <v>12598</v>
      </c>
    </row>
    <row r="59" spans="12:14">
      <c r="M59" s="92"/>
      <c r="N59" s="92"/>
    </row>
    <row r="60" spans="12:14">
      <c r="M60" s="92"/>
      <c r="N60" s="92"/>
    </row>
    <row r="61" spans="12:14">
      <c r="L61" s="1246" t="s">
        <v>12606</v>
      </c>
      <c r="M61" s="1242" t="s">
        <v>8317</v>
      </c>
      <c r="N61" s="1242" t="s">
        <v>12606</v>
      </c>
    </row>
    <row r="62" spans="12:14">
      <c r="L62" s="1246" t="s">
        <v>12604</v>
      </c>
      <c r="M62" s="806"/>
      <c r="N62" s="806" t="s">
        <v>12604</v>
      </c>
    </row>
    <row r="63" spans="12:14">
      <c r="M63" s="92" t="s">
        <v>8320</v>
      </c>
      <c r="N63" s="92"/>
    </row>
    <row r="64" spans="12:14">
      <c r="M64" s="92" t="s">
        <v>2215</v>
      </c>
      <c r="N64" s="92"/>
    </row>
    <row r="65" spans="12:14">
      <c r="L65" s="1246" t="s">
        <v>12606</v>
      </c>
      <c r="M65" s="928" t="s">
        <v>8323</v>
      </c>
      <c r="N65" s="928" t="s">
        <v>12606</v>
      </c>
    </row>
    <row r="66" spans="12:14">
      <c r="M66" s="92" t="s">
        <v>8326</v>
      </c>
      <c r="N66" s="92"/>
    </row>
    <row r="67" spans="12:14">
      <c r="L67" s="1246" t="s">
        <v>12606</v>
      </c>
      <c r="M67" s="92"/>
      <c r="N67" s="92" t="s">
        <v>12606</v>
      </c>
    </row>
    <row r="68" spans="12:14">
      <c r="L68" s="1246" t="s">
        <v>12606</v>
      </c>
      <c r="M68" s="92"/>
      <c r="N68" s="92" t="s">
        <v>12606</v>
      </c>
    </row>
    <row r="69" spans="12:14">
      <c r="L69" s="1246" t="s">
        <v>12602</v>
      </c>
      <c r="M69" s="92"/>
      <c r="N69" s="92" t="s">
        <v>12602</v>
      </c>
    </row>
    <row r="70" spans="12:14">
      <c r="L70" s="1246" t="s">
        <v>12597</v>
      </c>
      <c r="M70" s="92"/>
      <c r="N70" s="92" t="s">
        <v>12597</v>
      </c>
    </row>
    <row r="71" spans="12:14">
      <c r="M71" s="92" t="s">
        <v>8331</v>
      </c>
      <c r="N71" s="92"/>
    </row>
    <row r="72" spans="12:14">
      <c r="M72" s="92" t="s">
        <v>2210</v>
      </c>
      <c r="N72" s="92"/>
    </row>
    <row r="73" spans="12:14">
      <c r="L73" s="1246" t="s">
        <v>12606</v>
      </c>
      <c r="M73" s="92"/>
      <c r="N73" s="92" t="s">
        <v>12606</v>
      </c>
    </row>
    <row r="74" spans="12:14">
      <c r="L74" s="1246" t="s">
        <v>12602</v>
      </c>
      <c r="M74" s="92"/>
      <c r="N74" s="92" t="s">
        <v>12602</v>
      </c>
    </row>
    <row r="75" spans="12:14">
      <c r="L75" s="1246" t="s">
        <v>12597</v>
      </c>
      <c r="M75" s="92"/>
      <c r="N75" s="92" t="s">
        <v>12597</v>
      </c>
    </row>
    <row r="76" spans="12:14">
      <c r="L76" s="1246" t="s">
        <v>12606</v>
      </c>
      <c r="M76" s="92"/>
      <c r="N76" s="92" t="s">
        <v>12606</v>
      </c>
    </row>
    <row r="77" spans="12:14">
      <c r="M77" s="92"/>
      <c r="N77" s="92"/>
    </row>
    <row r="78" spans="12:14">
      <c r="M78" s="928"/>
      <c r="N78" s="928"/>
    </row>
    <row r="79" spans="12:14">
      <c r="L79" s="1246" t="s">
        <v>12605</v>
      </c>
      <c r="M79" s="92"/>
      <c r="N79" s="92" t="s">
        <v>12605</v>
      </c>
    </row>
    <row r="80" spans="12:14">
      <c r="M80" s="928"/>
      <c r="N80" s="928"/>
    </row>
    <row r="81" spans="12:14">
      <c r="M81" s="92"/>
      <c r="N81" s="92"/>
    </row>
    <row r="82" spans="12:14">
      <c r="L82" s="1246" t="s">
        <v>12605</v>
      </c>
      <c r="M82" s="92"/>
      <c r="N82" s="92" t="s">
        <v>12605</v>
      </c>
    </row>
    <row r="83" spans="12:14">
      <c r="L83" s="1246" t="s">
        <v>12606</v>
      </c>
      <c r="M83" s="92"/>
      <c r="N83" s="92" t="s">
        <v>12606</v>
      </c>
    </row>
    <row r="84" spans="12:14">
      <c r="M84" s="92"/>
      <c r="N84" s="92"/>
    </row>
    <row r="85" spans="12:14">
      <c r="M85" s="92" t="s">
        <v>2218</v>
      </c>
      <c r="N85" s="92"/>
    </row>
    <row r="86" spans="12:14">
      <c r="M86" s="92" t="s">
        <v>8345</v>
      </c>
      <c r="N86" s="92"/>
    </row>
    <row r="87" spans="12:14">
      <c r="M87" s="92" t="s">
        <v>8348</v>
      </c>
      <c r="N87" s="92"/>
    </row>
    <row r="88" spans="12:14">
      <c r="L88" s="1246" t="s">
        <v>12608</v>
      </c>
      <c r="M88" s="92"/>
      <c r="N88" s="92" t="s">
        <v>12608</v>
      </c>
    </row>
    <row r="89" spans="12:14">
      <c r="M89" s="92"/>
      <c r="N89" s="92"/>
    </row>
    <row r="90" spans="12:14">
      <c r="L90" s="1246" t="s">
        <v>12610</v>
      </c>
      <c r="M90" s="92"/>
      <c r="N90" s="92" t="s">
        <v>12610</v>
      </c>
    </row>
    <row r="91" spans="12:14">
      <c r="L91" s="1246" t="s">
        <v>12606</v>
      </c>
      <c r="M91" s="92"/>
      <c r="N91" s="92" t="s">
        <v>12606</v>
      </c>
    </row>
    <row r="92" spans="12:14">
      <c r="L92" s="1246" t="s">
        <v>12611</v>
      </c>
      <c r="M92" s="92"/>
      <c r="N92" s="92" t="s">
        <v>12611</v>
      </c>
    </row>
    <row r="93" spans="12:14">
      <c r="M93" s="812"/>
      <c r="N93" s="812"/>
    </row>
    <row r="94" spans="12:14">
      <c r="M94" s="92"/>
      <c r="N94" s="92"/>
    </row>
    <row r="95" spans="12:14">
      <c r="L95" s="1246" t="s">
        <v>12606</v>
      </c>
      <c r="M95" s="928" t="s">
        <v>8355</v>
      </c>
      <c r="N95" s="928" t="s">
        <v>12606</v>
      </c>
    </row>
    <row r="96" spans="12:14">
      <c r="M96" s="92"/>
      <c r="N96" s="92"/>
    </row>
    <row r="97" spans="12:14">
      <c r="L97" s="1246" t="s">
        <v>12606</v>
      </c>
      <c r="M97" s="92"/>
      <c r="N97" s="92" t="s">
        <v>12606</v>
      </c>
    </row>
    <row r="98" spans="12:14">
      <c r="L98" s="1246" t="s">
        <v>12609</v>
      </c>
      <c r="M98" s="92"/>
      <c r="N98" s="92" t="s">
        <v>12609</v>
      </c>
    </row>
    <row r="99" spans="12:14">
      <c r="M99" s="92" t="s">
        <v>8360</v>
      </c>
      <c r="N99" s="92"/>
    </row>
    <row r="100" spans="12:14">
      <c r="L100" s="1246" t="s">
        <v>12597</v>
      </c>
      <c r="M100" s="92"/>
      <c r="N100" s="92" t="s">
        <v>12597</v>
      </c>
    </row>
    <row r="101" spans="12:14">
      <c r="L101" s="1246" t="s">
        <v>12611</v>
      </c>
      <c r="M101" s="92"/>
      <c r="N101" s="92" t="s">
        <v>12611</v>
      </c>
    </row>
    <row r="102" spans="12:14">
      <c r="L102" s="1246" t="s">
        <v>12608</v>
      </c>
      <c r="M102" s="92"/>
      <c r="N102" s="92" t="s">
        <v>12608</v>
      </c>
    </row>
    <row r="103" spans="12:14">
      <c r="L103" s="1246" t="s">
        <v>12608</v>
      </c>
      <c r="M103" s="812"/>
      <c r="N103" s="812" t="s">
        <v>12608</v>
      </c>
    </row>
    <row r="104" spans="12:14">
      <c r="M104" s="92" t="s">
        <v>8366</v>
      </c>
      <c r="N104" s="92"/>
    </row>
    <row r="105" spans="12:14">
      <c r="L105" s="1246" t="s">
        <v>12606</v>
      </c>
      <c r="M105" s="92"/>
      <c r="N105" s="92" t="s">
        <v>12606</v>
      </c>
    </row>
    <row r="106" spans="12:14">
      <c r="M106" s="92"/>
      <c r="N106" s="92"/>
    </row>
    <row r="107" spans="12:14">
      <c r="M107" s="92"/>
      <c r="N107" s="92"/>
    </row>
    <row r="108" spans="12:14">
      <c r="M108" s="92"/>
      <c r="N108" s="92"/>
    </row>
    <row r="109" spans="12:14">
      <c r="L109" s="1246" t="s">
        <v>12606</v>
      </c>
      <c r="M109" s="92"/>
      <c r="N109" s="92" t="s">
        <v>12606</v>
      </c>
    </row>
    <row r="110" spans="12:14">
      <c r="L110" s="1246" t="s">
        <v>12612</v>
      </c>
      <c r="M110" s="92"/>
      <c r="N110" s="92" t="s">
        <v>12612</v>
      </c>
    </row>
    <row r="111" spans="12:14">
      <c r="L111" s="1246" t="s">
        <v>12611</v>
      </c>
      <c r="M111" s="812"/>
      <c r="N111" s="812" t="s">
        <v>12611</v>
      </c>
    </row>
    <row r="112" spans="12:14">
      <c r="L112" s="1246" t="s">
        <v>12605</v>
      </c>
      <c r="M112" s="812"/>
      <c r="N112" s="812" t="s">
        <v>12605</v>
      </c>
    </row>
    <row r="113" spans="12:14">
      <c r="M113" s="92" t="s">
        <v>2220</v>
      </c>
      <c r="N113" s="92"/>
    </row>
    <row r="114" spans="12:14">
      <c r="M114" s="92" t="s">
        <v>1907</v>
      </c>
      <c r="N114" s="92"/>
    </row>
    <row r="115" spans="12:14">
      <c r="M115" s="92" t="s">
        <v>8379</v>
      </c>
      <c r="N115" s="92"/>
    </row>
    <row r="116" spans="12:14">
      <c r="L116" s="1246" t="s">
        <v>12608</v>
      </c>
      <c r="M116" s="92"/>
      <c r="N116" s="92" t="s">
        <v>12608</v>
      </c>
    </row>
    <row r="117" spans="12:14">
      <c r="L117" s="1246" t="s">
        <v>12608</v>
      </c>
      <c r="M117" s="92"/>
      <c r="N117" s="92" t="s">
        <v>12608</v>
      </c>
    </row>
    <row r="118" spans="12:14">
      <c r="M118" s="92" t="s">
        <v>8331</v>
      </c>
      <c r="N118" s="92"/>
    </row>
    <row r="119" spans="12:14">
      <c r="L119" s="1246" t="s">
        <v>12606</v>
      </c>
      <c r="M119" s="92"/>
      <c r="N119" s="92" t="s">
        <v>12606</v>
      </c>
    </row>
    <row r="120" spans="12:14">
      <c r="M120" s="92" t="s">
        <v>2210</v>
      </c>
      <c r="N120" s="92"/>
    </row>
    <row r="121" spans="12:14">
      <c r="L121" s="1246" t="s">
        <v>12614</v>
      </c>
      <c r="M121" s="812"/>
      <c r="N121" s="812" t="s">
        <v>12614</v>
      </c>
    </row>
    <row r="122" spans="12:14">
      <c r="L122" s="1246" t="s">
        <v>12605</v>
      </c>
      <c r="M122" s="1243" t="s">
        <v>2220</v>
      </c>
      <c r="N122" s="1243" t="s">
        <v>12605</v>
      </c>
    </row>
    <row r="123" spans="12:14">
      <c r="M123" s="871" t="s">
        <v>8391</v>
      </c>
      <c r="N123" s="871"/>
    </row>
    <row r="124" spans="12:14">
      <c r="M124" s="872" t="s">
        <v>8393</v>
      </c>
      <c r="N124" s="872"/>
    </row>
    <row r="125" spans="12:14">
      <c r="M125" s="92" t="s">
        <v>8395</v>
      </c>
      <c r="N125" s="92"/>
    </row>
    <row r="126" spans="12:14">
      <c r="M126" s="92" t="s">
        <v>8398</v>
      </c>
      <c r="N126" s="92"/>
    </row>
    <row r="127" spans="12:14">
      <c r="L127" s="1246" t="s">
        <v>12605</v>
      </c>
      <c r="M127" s="92"/>
      <c r="N127" s="92" t="s">
        <v>12605</v>
      </c>
    </row>
    <row r="128" spans="12:14">
      <c r="L128" s="1246" t="s">
        <v>12604</v>
      </c>
      <c r="M128" s="92"/>
      <c r="N128" s="92" t="s">
        <v>12604</v>
      </c>
    </row>
    <row r="129" spans="12:14">
      <c r="L129" s="1246" t="s">
        <v>12615</v>
      </c>
      <c r="M129" s="92"/>
      <c r="N129" s="92" t="s">
        <v>12615</v>
      </c>
    </row>
    <row r="130" spans="12:14">
      <c r="L130" s="1246" t="s">
        <v>12615</v>
      </c>
      <c r="M130" s="92"/>
      <c r="N130" s="92" t="s">
        <v>12615</v>
      </c>
    </row>
    <row r="131" spans="12:14">
      <c r="L131" s="1246" t="s">
        <v>12608</v>
      </c>
      <c r="M131" s="92"/>
      <c r="N131" s="92" t="s">
        <v>12608</v>
      </c>
    </row>
    <row r="132" spans="12:14">
      <c r="L132" s="1246" t="s">
        <v>12605</v>
      </c>
      <c r="M132" s="92"/>
      <c r="N132" s="92" t="s">
        <v>12605</v>
      </c>
    </row>
    <row r="133" spans="12:14">
      <c r="L133" s="1246" t="s">
        <v>12608</v>
      </c>
      <c r="M133" s="92"/>
      <c r="N133" s="92" t="s">
        <v>12608</v>
      </c>
    </row>
    <row r="134" spans="12:14">
      <c r="L134" s="1246" t="s">
        <v>12606</v>
      </c>
      <c r="M134" s="92"/>
      <c r="N134" s="92" t="s">
        <v>12606</v>
      </c>
    </row>
    <row r="135" spans="12:14">
      <c r="M135" s="1050" t="s">
        <v>8406</v>
      </c>
      <c r="N135" s="1050"/>
    </row>
    <row r="136" spans="12:14">
      <c r="M136" s="92" t="s">
        <v>2213</v>
      </c>
      <c r="N136" s="92"/>
    </row>
    <row r="137" spans="12:14">
      <c r="M137" s="92" t="s">
        <v>2198</v>
      </c>
      <c r="N137" s="92"/>
    </row>
    <row r="138" spans="12:14">
      <c r="M138" s="92" t="s">
        <v>2213</v>
      </c>
      <c r="N138" s="92"/>
    </row>
    <row r="139" spans="12:14">
      <c r="M139" s="92"/>
      <c r="N139" s="92"/>
    </row>
    <row r="140" spans="12:14">
      <c r="M140" s="92"/>
      <c r="N140" s="92"/>
    </row>
    <row r="141" spans="12:14">
      <c r="M141" s="92"/>
      <c r="N141" s="92"/>
    </row>
    <row r="142" spans="12:14">
      <c r="L142" s="1246" t="s">
        <v>12604</v>
      </c>
      <c r="M142" s="92"/>
      <c r="N142" s="92" t="s">
        <v>12604</v>
      </c>
    </row>
    <row r="143" spans="12:14">
      <c r="M143" s="92"/>
      <c r="N143" s="92"/>
    </row>
    <row r="144" spans="12:14">
      <c r="M144" s="92" t="s">
        <v>8417</v>
      </c>
      <c r="N144" s="92"/>
    </row>
    <row r="145" spans="12:14">
      <c r="M145" s="92" t="s">
        <v>8418</v>
      </c>
      <c r="N145" s="92"/>
    </row>
    <row r="146" spans="12:14">
      <c r="M146" s="92" t="s">
        <v>2213</v>
      </c>
      <c r="N146" s="92"/>
    </row>
    <row r="147" spans="12:14">
      <c r="M147" s="92"/>
      <c r="N147" s="92"/>
    </row>
    <row r="148" spans="12:14">
      <c r="M148" s="92"/>
      <c r="N148" s="92"/>
    </row>
    <row r="149" spans="12:14">
      <c r="M149" s="92" t="s">
        <v>8422</v>
      </c>
      <c r="N149" s="92"/>
    </row>
    <row r="150" spans="12:14">
      <c r="M150" s="92" t="s">
        <v>2213</v>
      </c>
      <c r="N150" s="92"/>
    </row>
    <row r="151" spans="12:14">
      <c r="M151" s="92" t="s">
        <v>2213</v>
      </c>
      <c r="N151" s="92"/>
    </row>
    <row r="152" spans="12:14">
      <c r="M152" s="92"/>
      <c r="N152" s="92"/>
    </row>
    <row r="153" spans="12:14">
      <c r="M153" s="92" t="s">
        <v>8427</v>
      </c>
      <c r="N153" s="92"/>
    </row>
    <row r="154" spans="12:14">
      <c r="M154" s="92" t="s">
        <v>2213</v>
      </c>
      <c r="N154" s="92"/>
    </row>
    <row r="155" spans="12:14">
      <c r="M155" s="92" t="s">
        <v>8430</v>
      </c>
      <c r="N155" s="92"/>
    </row>
    <row r="156" spans="12:14">
      <c r="M156" s="92" t="s">
        <v>8432</v>
      </c>
      <c r="N156" s="92"/>
    </row>
    <row r="157" spans="12:14">
      <c r="M157" s="92"/>
      <c r="N157" s="92"/>
    </row>
    <row r="158" spans="12:14">
      <c r="L158" s="1246" t="s">
        <v>12597</v>
      </c>
      <c r="M158" s="92"/>
      <c r="N158" s="92" t="s">
        <v>12597</v>
      </c>
    </row>
    <row r="159" spans="12:14">
      <c r="M159" s="92"/>
      <c r="N159" s="92"/>
    </row>
    <row r="160" spans="12:14">
      <c r="M160" s="92"/>
      <c r="N160" s="92"/>
    </row>
    <row r="161" spans="13:14">
      <c r="M161" s="92"/>
      <c r="N161" s="92"/>
    </row>
    <row r="162" spans="13:14">
      <c r="M162" s="92" t="s">
        <v>8439</v>
      </c>
      <c r="N162" s="92"/>
    </row>
    <row r="163" spans="13:14">
      <c r="M163" s="92" t="s">
        <v>2213</v>
      </c>
      <c r="N163" s="92"/>
    </row>
    <row r="164" spans="13:14">
      <c r="M164" s="92"/>
      <c r="N164" s="92"/>
    </row>
    <row r="165" spans="13:14">
      <c r="M165" s="92"/>
      <c r="N165" s="92"/>
    </row>
    <row r="166" spans="13:14">
      <c r="M166" s="92" t="s">
        <v>8443</v>
      </c>
      <c r="N166" s="92"/>
    </row>
    <row r="167" spans="13:14">
      <c r="M167" s="92"/>
      <c r="N167" s="92"/>
    </row>
    <row r="168" spans="13:14">
      <c r="M168" s="92"/>
      <c r="N168" s="92"/>
    </row>
    <row r="169" spans="13:14">
      <c r="M169" s="92" t="s">
        <v>8447</v>
      </c>
      <c r="N169" s="92"/>
    </row>
    <row r="170" spans="13:14">
      <c r="M170" s="92" t="s">
        <v>8450</v>
      </c>
      <c r="N170" s="92"/>
    </row>
    <row r="171" spans="13:14">
      <c r="M171" s="92"/>
      <c r="N171" s="92"/>
    </row>
    <row r="172" spans="13:14">
      <c r="M172" s="92"/>
      <c r="N172" s="92"/>
    </row>
    <row r="173" spans="13:14">
      <c r="M173" s="92" t="s">
        <v>8455</v>
      </c>
      <c r="N173" s="92"/>
    </row>
    <row r="174" spans="13:14">
      <c r="M174" s="92"/>
      <c r="N174" s="92"/>
    </row>
    <row r="175" spans="13:14">
      <c r="M175" s="92"/>
      <c r="N175" s="92"/>
    </row>
    <row r="176" spans="13:14">
      <c r="M176" s="92" t="s">
        <v>8459</v>
      </c>
      <c r="N176" s="92"/>
    </row>
    <row r="177" spans="12:14">
      <c r="M177" s="92" t="s">
        <v>1898</v>
      </c>
      <c r="N177" s="92"/>
    </row>
    <row r="178" spans="12:14">
      <c r="M178" s="92"/>
      <c r="N178" s="92"/>
    </row>
    <row r="179" spans="12:14">
      <c r="L179" s="1246" t="s">
        <v>12604</v>
      </c>
      <c r="M179" s="928" t="s">
        <v>8461</v>
      </c>
      <c r="N179" s="928" t="s">
        <v>12604</v>
      </c>
    </row>
    <row r="180" spans="12:14">
      <c r="M180" s="92" t="s">
        <v>2214</v>
      </c>
      <c r="N180" s="92"/>
    </row>
    <row r="181" spans="12:14">
      <c r="M181" s="92"/>
      <c r="N181" s="92"/>
    </row>
    <row r="182" spans="12:14">
      <c r="M182" s="92"/>
      <c r="N182" s="92"/>
    </row>
    <row r="183" spans="12:14">
      <c r="L183" s="1246" t="s">
        <v>12604</v>
      </c>
      <c r="M183" s="928" t="s">
        <v>8467</v>
      </c>
      <c r="N183" s="928" t="s">
        <v>12604</v>
      </c>
    </row>
    <row r="184" spans="12:14">
      <c r="L184" s="1246" t="s">
        <v>12606</v>
      </c>
      <c r="M184" s="928" t="s">
        <v>8469</v>
      </c>
      <c r="N184" s="928" t="s">
        <v>12606</v>
      </c>
    </row>
    <row r="185" spans="12:14">
      <c r="M185" s="92" t="s">
        <v>8450</v>
      </c>
      <c r="N185" s="92"/>
    </row>
    <row r="186" spans="12:14">
      <c r="M186" s="92"/>
      <c r="N186" s="92"/>
    </row>
    <row r="187" spans="12:14">
      <c r="M187" s="92"/>
      <c r="N187" s="92"/>
    </row>
    <row r="188" spans="12:14">
      <c r="M188" s="92"/>
      <c r="N188" s="92"/>
    </row>
    <row r="189" spans="12:14">
      <c r="M189" s="92"/>
      <c r="N189" s="92"/>
    </row>
    <row r="190" spans="12:14">
      <c r="M190" s="92"/>
      <c r="N190" s="92"/>
    </row>
    <row r="191" spans="12:14">
      <c r="M191" s="92"/>
      <c r="N191" s="92"/>
    </row>
    <row r="192" spans="12:14">
      <c r="M192" s="92"/>
      <c r="N192" s="92"/>
    </row>
    <row r="193" spans="12:14">
      <c r="M193" s="889"/>
      <c r="N193" s="889"/>
    </row>
    <row r="194" spans="12:14">
      <c r="M194" s="92"/>
      <c r="N194" s="92"/>
    </row>
    <row r="195" spans="12:14">
      <c r="L195" s="1246" t="s">
        <v>12606</v>
      </c>
      <c r="M195" s="92"/>
      <c r="N195" s="92" t="s">
        <v>12606</v>
      </c>
    </row>
    <row r="196" spans="12:14">
      <c r="M196" s="812"/>
      <c r="N196" s="812"/>
    </row>
    <row r="197" spans="12:14">
      <c r="M197" s="812"/>
      <c r="N197" s="812"/>
    </row>
    <row r="198" spans="12:14">
      <c r="M198" s="812" t="s">
        <v>8492</v>
      </c>
      <c r="N198" s="812"/>
    </row>
    <row r="199" spans="12:14">
      <c r="M199" s="812"/>
      <c r="N199" s="812"/>
    </row>
    <row r="200" spans="12:14">
      <c r="L200" s="1246" t="s">
        <v>12624</v>
      </c>
      <c r="M200" s="812"/>
      <c r="N200" s="812" t="s">
        <v>12624</v>
      </c>
    </row>
    <row r="201" spans="12:14">
      <c r="L201" s="1246" t="s">
        <v>12605</v>
      </c>
      <c r="M201" s="812"/>
      <c r="N201" s="812" t="s">
        <v>12605</v>
      </c>
    </row>
    <row r="202" spans="12:14">
      <c r="M202" s="812" t="s">
        <v>8497</v>
      </c>
      <c r="N202" s="812"/>
    </row>
    <row r="203" spans="12:14">
      <c r="M203" s="812" t="s">
        <v>8499</v>
      </c>
      <c r="N203" s="812"/>
    </row>
    <row r="204" spans="12:14">
      <c r="L204" s="1246" t="s">
        <v>12608</v>
      </c>
      <c r="M204" s="812"/>
      <c r="N204" s="812" t="s">
        <v>12608</v>
      </c>
    </row>
    <row r="205" spans="12:14">
      <c r="L205" s="1246" t="s">
        <v>12606</v>
      </c>
      <c r="M205" s="812"/>
      <c r="N205" s="812" t="s">
        <v>12606</v>
      </c>
    </row>
    <row r="206" spans="12:14">
      <c r="L206" s="1246" t="s">
        <v>12606</v>
      </c>
      <c r="M206" s="812"/>
      <c r="N206" s="812" t="s">
        <v>12606</v>
      </c>
    </row>
    <row r="207" spans="12:14">
      <c r="L207" s="1246" t="s">
        <v>12606</v>
      </c>
      <c r="M207" s="812"/>
      <c r="N207" s="812" t="s">
        <v>12606</v>
      </c>
    </row>
    <row r="208" spans="12:14">
      <c r="M208" s="1242"/>
      <c r="N208" s="1242"/>
    </row>
    <row r="209" spans="12:14">
      <c r="L209" s="1246" t="s">
        <v>12606</v>
      </c>
      <c r="M209" s="812"/>
      <c r="N209" s="812" t="s">
        <v>12606</v>
      </c>
    </row>
    <row r="210" spans="12:14">
      <c r="L210" s="1246" t="s">
        <v>12615</v>
      </c>
      <c r="M210" s="812"/>
      <c r="N210" s="812" t="s">
        <v>12615</v>
      </c>
    </row>
    <row r="211" spans="12:14">
      <c r="L211" s="1246" t="s">
        <v>12607</v>
      </c>
      <c r="M211" s="92"/>
      <c r="N211" s="92" t="s">
        <v>12607</v>
      </c>
    </row>
    <row r="212" spans="12:14">
      <c r="L212" s="1246" t="s">
        <v>12606</v>
      </c>
      <c r="M212" s="812"/>
      <c r="N212" s="812" t="s">
        <v>12606</v>
      </c>
    </row>
    <row r="213" spans="12:14">
      <c r="L213" s="1246" t="s">
        <v>12606</v>
      </c>
      <c r="M213" s="812"/>
      <c r="N213" s="812" t="s">
        <v>12606</v>
      </c>
    </row>
    <row r="214" spans="12:14">
      <c r="M214" s="812" t="s">
        <v>2210</v>
      </c>
      <c r="N214" s="812"/>
    </row>
    <row r="215" spans="12:14">
      <c r="M215" s="812" t="s">
        <v>2210</v>
      </c>
      <c r="N215" s="812"/>
    </row>
    <row r="216" spans="12:14">
      <c r="M216" s="812" t="s">
        <v>8511</v>
      </c>
      <c r="N216" s="812"/>
    </row>
    <row r="217" spans="12:14">
      <c r="L217" s="1246" t="s">
        <v>12609</v>
      </c>
      <c r="M217" s="92"/>
      <c r="N217" s="92" t="s">
        <v>12609</v>
      </c>
    </row>
    <row r="218" spans="12:14">
      <c r="M218" s="812" t="s">
        <v>8514</v>
      </c>
      <c r="N218" s="812"/>
    </row>
    <row r="219" spans="12:14">
      <c r="L219" s="1246" t="s">
        <v>12606</v>
      </c>
      <c r="M219" s="812"/>
      <c r="N219" s="812" t="s">
        <v>12606</v>
      </c>
    </row>
    <row r="220" spans="12:14">
      <c r="L220" s="1246" t="s">
        <v>12597</v>
      </c>
      <c r="M220" s="812"/>
      <c r="N220" s="812" t="s">
        <v>12597</v>
      </c>
    </row>
    <row r="221" spans="12:14">
      <c r="M221" s="812" t="s">
        <v>8517</v>
      </c>
      <c r="N221" s="812"/>
    </row>
    <row r="222" spans="12:14">
      <c r="M222" s="812" t="s">
        <v>8520</v>
      </c>
      <c r="N222" s="812"/>
    </row>
    <row r="223" spans="12:14">
      <c r="M223" s="812" t="s">
        <v>8522</v>
      </c>
      <c r="N223" s="812"/>
    </row>
    <row r="224" spans="12:14">
      <c r="M224" s="812" t="s">
        <v>8523</v>
      </c>
      <c r="N224" s="812"/>
    </row>
    <row r="225" spans="12:14">
      <c r="L225" s="1246" t="s">
        <v>12617</v>
      </c>
      <c r="M225" s="812"/>
      <c r="N225" s="812" t="s">
        <v>12617</v>
      </c>
    </row>
    <row r="226" spans="12:14">
      <c r="M226" s="812"/>
      <c r="N226" s="812"/>
    </row>
    <row r="227" spans="12:14">
      <c r="M227" s="812"/>
      <c r="N227" s="812"/>
    </row>
    <row r="228" spans="12:14">
      <c r="M228" s="812"/>
      <c r="N228" s="812"/>
    </row>
    <row r="229" spans="12:14">
      <c r="L229" s="1246" t="s">
        <v>12605</v>
      </c>
      <c r="M229" s="812"/>
      <c r="N229" s="812" t="s">
        <v>12605</v>
      </c>
    </row>
    <row r="230" spans="12:14">
      <c r="M230" s="92" t="s">
        <v>8532</v>
      </c>
      <c r="N230" s="92"/>
    </row>
    <row r="231" spans="12:14">
      <c r="L231" s="1246" t="s">
        <v>12615</v>
      </c>
      <c r="M231" s="812"/>
      <c r="N231" s="812" t="s">
        <v>12615</v>
      </c>
    </row>
    <row r="232" spans="12:14">
      <c r="L232" s="1246" t="s">
        <v>12607</v>
      </c>
      <c r="M232" s="812"/>
      <c r="N232" s="812" t="s">
        <v>12607</v>
      </c>
    </row>
    <row r="233" spans="12:14">
      <c r="L233" s="1246" t="s">
        <v>12620</v>
      </c>
      <c r="M233" s="92"/>
      <c r="N233" s="92" t="s">
        <v>12620</v>
      </c>
    </row>
    <row r="234" spans="12:14">
      <c r="M234" s="92" t="s">
        <v>8536</v>
      </c>
      <c r="N234" s="92"/>
    </row>
    <row r="235" spans="12:14">
      <c r="M235" s="92" t="s">
        <v>8537</v>
      </c>
      <c r="N235" s="92"/>
    </row>
    <row r="236" spans="12:14">
      <c r="M236" s="812"/>
      <c r="N236" s="812"/>
    </row>
    <row r="237" spans="12:14">
      <c r="M237" s="812"/>
      <c r="N237" s="812"/>
    </row>
    <row r="238" spans="12:14">
      <c r="L238" s="1246" t="s">
        <v>12615</v>
      </c>
      <c r="M238" s="812"/>
      <c r="N238" s="812" t="s">
        <v>12615</v>
      </c>
    </row>
    <row r="239" spans="12:14">
      <c r="M239" s="812" t="s">
        <v>8543</v>
      </c>
      <c r="N239" s="812"/>
    </row>
    <row r="240" spans="12:14">
      <c r="L240" s="1246" t="s">
        <v>12606</v>
      </c>
      <c r="M240" s="1242" t="s">
        <v>8545</v>
      </c>
      <c r="N240" s="1242" t="s">
        <v>12606</v>
      </c>
    </row>
    <row r="241" spans="12:14">
      <c r="L241" s="1246" t="s">
        <v>12597</v>
      </c>
      <c r="M241" s="812"/>
      <c r="N241" s="812" t="s">
        <v>12597</v>
      </c>
    </row>
    <row r="242" spans="12:14">
      <c r="M242" s="812" t="s">
        <v>1985</v>
      </c>
      <c r="N242" s="812"/>
    </row>
    <row r="243" spans="12:14">
      <c r="M243" s="812" t="s">
        <v>8550</v>
      </c>
      <c r="N243" s="812"/>
    </row>
    <row r="244" spans="12:14">
      <c r="M244" s="812" t="s">
        <v>8552</v>
      </c>
      <c r="N244" s="812"/>
    </row>
    <row r="245" spans="12:14">
      <c r="M245" s="812" t="s">
        <v>8554</v>
      </c>
      <c r="N245" s="812"/>
    </row>
    <row r="246" spans="12:14">
      <c r="L246" s="1246" t="s">
        <v>12606</v>
      </c>
      <c r="M246" s="812"/>
      <c r="N246" s="812" t="s">
        <v>12606</v>
      </c>
    </row>
    <row r="247" spans="12:14">
      <c r="L247" s="1246" t="s">
        <v>12606</v>
      </c>
      <c r="M247" s="812"/>
      <c r="N247" s="812" t="s">
        <v>12606</v>
      </c>
    </row>
    <row r="248" spans="12:14">
      <c r="M248" s="812"/>
      <c r="N248" s="812"/>
    </row>
    <row r="249" spans="12:14">
      <c r="M249" s="812" t="s">
        <v>2199</v>
      </c>
      <c r="N249" s="812"/>
    </row>
    <row r="250" spans="12:14">
      <c r="M250" s="92" t="s">
        <v>8561</v>
      </c>
      <c r="N250" s="92"/>
    </row>
    <row r="251" spans="12:14">
      <c r="M251" s="812" t="s">
        <v>8563</v>
      </c>
      <c r="N251" s="812"/>
    </row>
    <row r="252" spans="12:14">
      <c r="M252" s="812" t="s">
        <v>8455</v>
      </c>
      <c r="N252" s="812"/>
    </row>
    <row r="253" spans="12:14">
      <c r="M253" s="812" t="s">
        <v>3614</v>
      </c>
      <c r="N253" s="812"/>
    </row>
    <row r="254" spans="12:14">
      <c r="L254" s="1246" t="s">
        <v>12602</v>
      </c>
      <c r="M254" s="812"/>
      <c r="N254" s="812" t="s">
        <v>12602</v>
      </c>
    </row>
    <row r="255" spans="12:14">
      <c r="M255" s="812"/>
      <c r="N255" s="812"/>
    </row>
    <row r="256" spans="12:14">
      <c r="M256" s="812" t="s">
        <v>2203</v>
      </c>
      <c r="N256" s="812"/>
    </row>
    <row r="257" spans="12:14">
      <c r="M257" s="812"/>
      <c r="N257" s="812"/>
    </row>
    <row r="258" spans="12:14">
      <c r="L258" s="1246" t="s">
        <v>12602</v>
      </c>
      <c r="M258" s="812"/>
      <c r="N258" s="812" t="s">
        <v>12602</v>
      </c>
    </row>
    <row r="259" spans="12:14">
      <c r="L259" s="1246" t="s">
        <v>12606</v>
      </c>
      <c r="M259" s="812"/>
      <c r="N259" s="812" t="s">
        <v>12606</v>
      </c>
    </row>
    <row r="260" spans="12:14">
      <c r="L260" s="1246" t="s">
        <v>12621</v>
      </c>
      <c r="M260" s="92"/>
      <c r="N260" s="92" t="s">
        <v>12621</v>
      </c>
    </row>
    <row r="261" spans="12:14">
      <c r="M261" s="812" t="s">
        <v>8574</v>
      </c>
      <c r="N261" s="812"/>
    </row>
    <row r="262" spans="12:14">
      <c r="M262" s="812"/>
      <c r="N262" s="812"/>
    </row>
    <row r="263" spans="12:14">
      <c r="M263" s="812"/>
      <c r="N263" s="812"/>
    </row>
    <row r="264" spans="12:14">
      <c r="L264" s="1246" t="s">
        <v>12617</v>
      </c>
      <c r="M264" s="812"/>
      <c r="N264" s="812" t="s">
        <v>12617</v>
      </c>
    </row>
    <row r="265" spans="12:14">
      <c r="L265" s="1246" t="s">
        <v>12615</v>
      </c>
      <c r="M265" s="812"/>
      <c r="N265" s="812" t="s">
        <v>12615</v>
      </c>
    </row>
    <row r="266" spans="12:14">
      <c r="M266" s="812"/>
      <c r="N266" s="812"/>
    </row>
    <row r="267" spans="12:14">
      <c r="L267" s="1246" t="s">
        <v>12606</v>
      </c>
      <c r="M267" s="812"/>
      <c r="N267" s="812" t="s">
        <v>12606</v>
      </c>
    </row>
    <row r="268" spans="12:14">
      <c r="L268" s="1246" t="s">
        <v>12605</v>
      </c>
      <c r="M268" s="92"/>
      <c r="N268" s="92" t="s">
        <v>12605</v>
      </c>
    </row>
    <row r="269" spans="12:14">
      <c r="M269" s="1242"/>
      <c r="N269" s="1242"/>
    </row>
    <row r="270" spans="12:14">
      <c r="M270" s="812" t="s">
        <v>8395</v>
      </c>
      <c r="N270" s="812"/>
    </row>
    <row r="271" spans="12:14">
      <c r="M271" s="812"/>
      <c r="N271" s="812"/>
    </row>
    <row r="272" spans="12:14">
      <c r="M272" s="92"/>
      <c r="N272" s="92"/>
    </row>
    <row r="273" spans="12:14">
      <c r="L273" s="1246" t="s">
        <v>12606</v>
      </c>
      <c r="M273" s="812"/>
      <c r="N273" s="812" t="s">
        <v>12606</v>
      </c>
    </row>
    <row r="274" spans="12:14">
      <c r="M274" s="812"/>
      <c r="N274" s="812"/>
    </row>
    <row r="275" spans="12:14">
      <c r="L275" s="1246" t="s">
        <v>12615</v>
      </c>
      <c r="M275" s="857"/>
      <c r="N275" s="857" t="s">
        <v>12615</v>
      </c>
    </row>
    <row r="276" spans="12:14">
      <c r="L276" s="1246" t="s">
        <v>12605</v>
      </c>
      <c r="M276" s="92"/>
      <c r="N276" s="92" t="s">
        <v>12605</v>
      </c>
    </row>
    <row r="277" spans="12:14">
      <c r="L277" s="1246" t="s">
        <v>12614</v>
      </c>
      <c r="M277" s="92"/>
      <c r="N277" s="92" t="s">
        <v>12614</v>
      </c>
    </row>
    <row r="278" spans="12:14">
      <c r="L278" s="1246" t="s">
        <v>12615</v>
      </c>
      <c r="M278" s="92"/>
      <c r="N278" s="92" t="s">
        <v>12615</v>
      </c>
    </row>
    <row r="279" spans="12:14">
      <c r="L279" s="1246" t="s">
        <v>12597</v>
      </c>
      <c r="M279" s="857"/>
      <c r="N279" s="857" t="s">
        <v>12597</v>
      </c>
    </row>
    <row r="280" spans="12:14">
      <c r="M280" s="812"/>
      <c r="N280" s="812"/>
    </row>
    <row r="281" spans="12:14">
      <c r="M281" s="812" t="s">
        <v>2225</v>
      </c>
      <c r="N281" s="812"/>
    </row>
    <row r="282" spans="12:14">
      <c r="L282" s="1246" t="s">
        <v>12602</v>
      </c>
      <c r="M282" s="812"/>
      <c r="N282" s="812" t="s">
        <v>12602</v>
      </c>
    </row>
    <row r="283" spans="12:14">
      <c r="L283" s="1246" t="s">
        <v>12605</v>
      </c>
      <c r="M283" s="812"/>
      <c r="N283" s="812" t="s">
        <v>12605</v>
      </c>
    </row>
    <row r="284" spans="12:14">
      <c r="M284" s="812" t="s">
        <v>12351</v>
      </c>
      <c r="N284" s="812"/>
    </row>
    <row r="285" spans="12:14">
      <c r="M285" s="812"/>
      <c r="N285" s="812"/>
    </row>
    <row r="286" spans="12:14">
      <c r="L286" s="1246" t="s">
        <v>12605</v>
      </c>
      <c r="M286" s="812"/>
      <c r="N286" s="812" t="s">
        <v>12605</v>
      </c>
    </row>
    <row r="287" spans="12:14">
      <c r="M287" s="812"/>
      <c r="N287" s="812"/>
    </row>
    <row r="288" spans="12:14">
      <c r="L288" s="1246" t="s">
        <v>12608</v>
      </c>
      <c r="M288" s="1242" t="s">
        <v>1909</v>
      </c>
      <c r="N288" s="1242" t="s">
        <v>12608</v>
      </c>
    </row>
    <row r="289" spans="12:14">
      <c r="M289" s="812" t="s">
        <v>12548</v>
      </c>
      <c r="N289" s="812"/>
    </row>
    <row r="290" spans="12:14">
      <c r="L290" s="1246" t="s">
        <v>12605</v>
      </c>
      <c r="M290" s="812"/>
      <c r="N290" s="812" t="s">
        <v>12605</v>
      </c>
    </row>
    <row r="291" spans="12:14">
      <c r="L291" s="1246" t="s">
        <v>12615</v>
      </c>
      <c r="M291" s="812"/>
      <c r="N291" s="812" t="s">
        <v>12615</v>
      </c>
    </row>
    <row r="292" spans="12:14">
      <c r="L292" s="1246" t="s">
        <v>12606</v>
      </c>
      <c r="M292" s="928" t="s">
        <v>8596</v>
      </c>
      <c r="N292" s="928" t="s">
        <v>12606</v>
      </c>
    </row>
    <row r="293" spans="12:14">
      <c r="M293" s="92" t="s">
        <v>8599</v>
      </c>
      <c r="N293" s="92"/>
    </row>
    <row r="294" spans="12:14">
      <c r="L294" s="1246" t="s">
        <v>12606</v>
      </c>
      <c r="M294" s="92"/>
      <c r="N294" s="92" t="s">
        <v>12606</v>
      </c>
    </row>
    <row r="295" spans="12:14">
      <c r="L295" s="1246" t="s">
        <v>12606</v>
      </c>
      <c r="M295" s="92"/>
      <c r="N295" s="92" t="s">
        <v>12606</v>
      </c>
    </row>
    <row r="296" spans="12:14">
      <c r="L296" s="1246" t="s">
        <v>12605</v>
      </c>
      <c r="M296" s="92"/>
      <c r="N296" s="92" t="s">
        <v>12605</v>
      </c>
    </row>
    <row r="297" spans="12:14">
      <c r="L297" s="1246" t="s">
        <v>12619</v>
      </c>
      <c r="M297" s="92"/>
      <c r="N297" s="92" t="s">
        <v>12619</v>
      </c>
    </row>
    <row r="298" spans="12:14">
      <c r="L298" s="1246" t="s">
        <v>12606</v>
      </c>
      <c r="M298" s="928" t="s">
        <v>8604</v>
      </c>
      <c r="N298" s="928" t="s">
        <v>12606</v>
      </c>
    </row>
    <row r="299" spans="12:14">
      <c r="L299" s="1246" t="s">
        <v>12606</v>
      </c>
      <c r="M299" s="92"/>
      <c r="N299" s="92" t="s">
        <v>12606</v>
      </c>
    </row>
    <row r="300" spans="12:14">
      <c r="L300" s="1246" t="s">
        <v>12606</v>
      </c>
      <c r="M300" s="92"/>
      <c r="N300" s="92" t="s">
        <v>12606</v>
      </c>
    </row>
    <row r="301" spans="12:14">
      <c r="M301" s="92" t="s">
        <v>3614</v>
      </c>
      <c r="N301" s="92"/>
    </row>
    <row r="302" spans="12:14">
      <c r="L302" s="1246" t="s">
        <v>12608</v>
      </c>
      <c r="M302" s="92"/>
      <c r="N302" s="92" t="s">
        <v>12608</v>
      </c>
    </row>
    <row r="303" spans="12:14">
      <c r="M303" s="92"/>
      <c r="N303" s="92"/>
    </row>
    <row r="304" spans="12:14">
      <c r="L304" s="1246" t="s">
        <v>12608</v>
      </c>
      <c r="M304" s="92"/>
      <c r="N304" s="92" t="s">
        <v>12608</v>
      </c>
    </row>
    <row r="305" spans="12:14">
      <c r="M305" s="92"/>
      <c r="N305" s="92"/>
    </row>
    <row r="306" spans="12:14">
      <c r="M306" s="92"/>
      <c r="N306" s="92"/>
    </row>
    <row r="307" spans="12:14">
      <c r="L307" s="1246" t="s">
        <v>12608</v>
      </c>
      <c r="M307" s="92"/>
      <c r="N307" s="92" t="s">
        <v>12608</v>
      </c>
    </row>
    <row r="308" spans="12:14">
      <c r="M308" s="92" t="s">
        <v>2225</v>
      </c>
      <c r="N308" s="92"/>
    </row>
    <row r="309" spans="12:14">
      <c r="M309" s="92" t="s">
        <v>2225</v>
      </c>
      <c r="N309" s="92"/>
    </row>
    <row r="310" spans="12:14">
      <c r="M310" s="92"/>
      <c r="N310" s="92"/>
    </row>
    <row r="311" spans="12:14">
      <c r="L311" s="1246" t="s">
        <v>12617</v>
      </c>
      <c r="M311" s="92"/>
      <c r="N311" s="92" t="s">
        <v>12617</v>
      </c>
    </row>
    <row r="312" spans="12:14">
      <c r="M312" s="92" t="s">
        <v>8628</v>
      </c>
      <c r="N312" s="92"/>
    </row>
    <row r="313" spans="12:14">
      <c r="M313" s="92"/>
      <c r="N313" s="92"/>
    </row>
    <row r="314" spans="12:14">
      <c r="M314" s="92"/>
      <c r="N314" s="92"/>
    </row>
    <row r="315" spans="12:14">
      <c r="M315" s="92" t="s">
        <v>8632</v>
      </c>
      <c r="N315" s="92"/>
    </row>
    <row r="316" spans="12:14">
      <c r="M316" s="92"/>
      <c r="N316" s="92"/>
    </row>
    <row r="317" spans="12:14">
      <c r="M317" s="92"/>
      <c r="N317" s="92"/>
    </row>
    <row r="318" spans="12:14">
      <c r="M318" s="92" t="s">
        <v>8636</v>
      </c>
      <c r="N318" s="92"/>
    </row>
    <row r="319" spans="12:14">
      <c r="M319" s="92" t="s">
        <v>8638</v>
      </c>
      <c r="N319" s="92"/>
    </row>
    <row r="320" spans="12:14">
      <c r="M320" s="92" t="s">
        <v>8640</v>
      </c>
      <c r="N320" s="92"/>
    </row>
    <row r="321" spans="13:14">
      <c r="M321" s="92"/>
      <c r="N321" s="92"/>
    </row>
    <row r="322" spans="13:14">
      <c r="M322" s="92" t="s">
        <v>2214</v>
      </c>
      <c r="N322" s="92"/>
    </row>
    <row r="323" spans="13:14">
      <c r="M323" s="92"/>
      <c r="N323" s="92"/>
    </row>
    <row r="324" spans="13:14">
      <c r="M324" s="92"/>
      <c r="N324" s="92"/>
    </row>
    <row r="325" spans="13:14">
      <c r="M325" s="92"/>
      <c r="N325" s="92"/>
    </row>
    <row r="326" spans="13:14">
      <c r="M326" s="92"/>
      <c r="N326" s="92"/>
    </row>
    <row r="327" spans="13:14">
      <c r="M327" s="92" t="s">
        <v>8649</v>
      </c>
      <c r="N327" s="92"/>
    </row>
    <row r="328" spans="13:14">
      <c r="M328" s="92"/>
      <c r="N328" s="92"/>
    </row>
    <row r="329" spans="13:14">
      <c r="M329" s="92" t="s">
        <v>8651</v>
      </c>
      <c r="N329" s="92"/>
    </row>
    <row r="330" spans="13:14">
      <c r="M330" s="92"/>
      <c r="N330" s="92"/>
    </row>
    <row r="331" spans="13:14">
      <c r="M331" s="92"/>
      <c r="N331" s="92"/>
    </row>
    <row r="332" spans="13:14">
      <c r="M332" s="92" t="s">
        <v>2225</v>
      </c>
      <c r="N332" s="92"/>
    </row>
    <row r="333" spans="13:14">
      <c r="M333" s="92" t="s">
        <v>8656</v>
      </c>
      <c r="N333" s="92"/>
    </row>
    <row r="334" spans="13:14">
      <c r="M334" s="92"/>
      <c r="N334" s="92"/>
    </row>
    <row r="335" spans="13:14">
      <c r="M335" s="92"/>
      <c r="N335" s="92"/>
    </row>
    <row r="336" spans="13:14">
      <c r="M336" s="92"/>
      <c r="N336" s="92"/>
    </row>
    <row r="337" spans="13:14">
      <c r="M337" s="92"/>
      <c r="N337" s="92"/>
    </row>
    <row r="338" spans="13:14">
      <c r="M338" s="92" t="s">
        <v>8662</v>
      </c>
      <c r="N338" s="92"/>
    </row>
    <row r="339" spans="13:14">
      <c r="M339" s="92" t="s">
        <v>8450</v>
      </c>
      <c r="N339" s="92"/>
    </row>
    <row r="340" spans="13:14">
      <c r="M340" s="92"/>
      <c r="N340" s="92"/>
    </row>
    <row r="341" spans="13:14">
      <c r="M341" s="92"/>
      <c r="N341" s="92"/>
    </row>
    <row r="342" spans="13:14">
      <c r="M342" s="92" t="s">
        <v>8666</v>
      </c>
      <c r="N342" s="92"/>
    </row>
    <row r="343" spans="13:14">
      <c r="M343" s="92" t="s">
        <v>8182</v>
      </c>
      <c r="N343" s="92"/>
    </row>
    <row r="344" spans="13:14">
      <c r="M344" s="92"/>
      <c r="N344" s="92"/>
    </row>
    <row r="345" spans="13:14">
      <c r="M345" s="92"/>
      <c r="N345" s="92"/>
    </row>
    <row r="346" spans="13:14">
      <c r="M346" s="92"/>
      <c r="N346" s="92"/>
    </row>
    <row r="347" spans="13:14">
      <c r="M347" s="928"/>
      <c r="N347" s="928"/>
    </row>
    <row r="348" spans="13:14">
      <c r="M348" s="92" t="s">
        <v>2225</v>
      </c>
      <c r="N348" s="92"/>
    </row>
    <row r="349" spans="13:14">
      <c r="M349" s="92" t="s">
        <v>8677</v>
      </c>
      <c r="N349" s="92"/>
    </row>
    <row r="350" spans="13:14">
      <c r="M350" s="92" t="s">
        <v>2226</v>
      </c>
      <c r="N350" s="92"/>
    </row>
    <row r="351" spans="13:14">
      <c r="M351" s="92" t="s">
        <v>8682</v>
      </c>
      <c r="N351" s="92"/>
    </row>
    <row r="352" spans="13:14">
      <c r="M352" s="92" t="s">
        <v>8685</v>
      </c>
      <c r="N352" s="92"/>
    </row>
    <row r="353" spans="13:14">
      <c r="M353" s="92"/>
      <c r="N353" s="92"/>
    </row>
    <row r="354" spans="13:14">
      <c r="M354" s="92"/>
      <c r="N354" s="92"/>
    </row>
    <row r="355" spans="13:14">
      <c r="M355" s="92"/>
      <c r="N355" s="92"/>
    </row>
    <row r="356" spans="13:14">
      <c r="M356" s="92"/>
      <c r="N356" s="92"/>
    </row>
    <row r="357" spans="13:14">
      <c r="M357" s="92"/>
      <c r="N357" s="92"/>
    </row>
    <row r="358" spans="13:14">
      <c r="M358" s="92" t="s">
        <v>2199</v>
      </c>
      <c r="N358" s="92"/>
    </row>
    <row r="359" spans="13:14">
      <c r="M359" s="92" t="s">
        <v>2200</v>
      </c>
      <c r="N359" s="92"/>
    </row>
    <row r="360" spans="13:14">
      <c r="M360" s="92"/>
      <c r="N360" s="92"/>
    </row>
    <row r="361" spans="13:14">
      <c r="M361" s="92" t="s">
        <v>8696</v>
      </c>
      <c r="N361" s="92"/>
    </row>
    <row r="362" spans="13:14">
      <c r="M362" s="92" t="s">
        <v>2199</v>
      </c>
      <c r="N362" s="92"/>
    </row>
    <row r="363" spans="13:14">
      <c r="M363" s="92" t="s">
        <v>8698</v>
      </c>
      <c r="N363" s="92"/>
    </row>
    <row r="364" spans="13:14">
      <c r="M364" s="92" t="s">
        <v>8700</v>
      </c>
      <c r="N364" s="92"/>
    </row>
    <row r="365" spans="13:14">
      <c r="M365" s="92"/>
      <c r="N365" s="92"/>
    </row>
    <row r="366" spans="13:14">
      <c r="M366" s="92"/>
      <c r="N366" s="92"/>
    </row>
    <row r="367" spans="13:14">
      <c r="M367" s="92"/>
      <c r="N367" s="92"/>
    </row>
    <row r="368" spans="13:14">
      <c r="M368" s="92" t="s">
        <v>8705</v>
      </c>
      <c r="N368" s="92"/>
    </row>
    <row r="369" spans="12:14">
      <c r="M369" s="92" t="s">
        <v>8707</v>
      </c>
      <c r="N369" s="92"/>
    </row>
    <row r="370" spans="12:14">
      <c r="M370" s="92"/>
      <c r="N370" s="92"/>
    </row>
    <row r="371" spans="12:14">
      <c r="M371" s="92"/>
      <c r="N371" s="92"/>
    </row>
    <row r="372" spans="12:14">
      <c r="M372" s="92"/>
      <c r="N372" s="92"/>
    </row>
    <row r="373" spans="12:14">
      <c r="M373" s="92"/>
      <c r="N373" s="92"/>
    </row>
    <row r="374" spans="12:14">
      <c r="M374" s="928"/>
      <c r="N374" s="928"/>
    </row>
    <row r="375" spans="12:14">
      <c r="M375" s="92" t="s">
        <v>2228</v>
      </c>
      <c r="N375" s="92"/>
    </row>
    <row r="376" spans="12:14">
      <c r="M376" s="92" t="s">
        <v>8714</v>
      </c>
      <c r="N376" s="92"/>
    </row>
    <row r="377" spans="12:14">
      <c r="M377" s="92"/>
      <c r="N377" s="92"/>
    </row>
    <row r="378" spans="12:14">
      <c r="M378" s="92" t="s">
        <v>2198</v>
      </c>
      <c r="N378" s="92"/>
    </row>
    <row r="379" spans="12:14">
      <c r="M379" s="92" t="s">
        <v>2220</v>
      </c>
      <c r="N379" s="92"/>
    </row>
    <row r="380" spans="12:14">
      <c r="M380" s="92"/>
      <c r="N380" s="92"/>
    </row>
    <row r="381" spans="12:14">
      <c r="M381" s="92" t="s">
        <v>8720</v>
      </c>
      <c r="N381" s="92"/>
    </row>
    <row r="382" spans="12:14">
      <c r="M382" s="92"/>
      <c r="N382" s="92"/>
    </row>
    <row r="383" spans="12:14">
      <c r="M383" s="92"/>
      <c r="N383" s="92"/>
    </row>
    <row r="384" spans="12:14">
      <c r="L384" s="1246" t="s">
        <v>12627</v>
      </c>
      <c r="M384" s="928" t="s">
        <v>8723</v>
      </c>
      <c r="N384" s="928" t="s">
        <v>12627</v>
      </c>
    </row>
    <row r="385" spans="13:14">
      <c r="M385" s="812"/>
      <c r="N385" s="812"/>
    </row>
    <row r="386" spans="13:14">
      <c r="M386" s="92" t="s">
        <v>8727</v>
      </c>
      <c r="N386" s="92"/>
    </row>
    <row r="387" spans="13:14">
      <c r="M387" s="92"/>
      <c r="N387" s="92"/>
    </row>
    <row r="388" spans="13:14">
      <c r="M388" s="92" t="s">
        <v>8730</v>
      </c>
      <c r="N388" s="92"/>
    </row>
    <row r="389" spans="13:14">
      <c r="M389" s="92" t="s">
        <v>8731</v>
      </c>
      <c r="N389" s="92"/>
    </row>
    <row r="390" spans="13:14">
      <c r="M390" s="92"/>
      <c r="N390" s="92"/>
    </row>
    <row r="391" spans="13:14">
      <c r="M391" s="92"/>
      <c r="N391" s="92"/>
    </row>
    <row r="392" spans="13:14">
      <c r="M392" s="92"/>
      <c r="N392" s="92"/>
    </row>
    <row r="393" spans="13:14">
      <c r="M393" s="92"/>
      <c r="N393" s="92"/>
    </row>
    <row r="394" spans="13:14">
      <c r="M394" s="92"/>
      <c r="N394" s="92"/>
    </row>
    <row r="395" spans="13:14">
      <c r="M395" s="92" t="s">
        <v>8737</v>
      </c>
      <c r="N395" s="92"/>
    </row>
    <row r="396" spans="13:14">
      <c r="M396" s="92" t="s">
        <v>8739</v>
      </c>
      <c r="N396" s="92"/>
    </row>
    <row r="397" spans="13:14">
      <c r="M397" s="92"/>
      <c r="N397" s="92"/>
    </row>
    <row r="398" spans="13:14">
      <c r="M398" s="928"/>
      <c r="N398" s="928"/>
    </row>
    <row r="399" spans="13:14">
      <c r="M399" s="92"/>
      <c r="N399" s="92"/>
    </row>
    <row r="400" spans="13:14">
      <c r="M400" s="92" t="s">
        <v>8743</v>
      </c>
      <c r="N400" s="92"/>
    </row>
    <row r="401" spans="13:14">
      <c r="M401" s="92" t="s">
        <v>8746</v>
      </c>
      <c r="N401" s="92"/>
    </row>
    <row r="402" spans="13:14">
      <c r="M402" s="92" t="s">
        <v>2229</v>
      </c>
      <c r="N402" s="92"/>
    </row>
    <row r="403" spans="13:14">
      <c r="M403" s="92"/>
      <c r="N403" s="92"/>
    </row>
    <row r="404" spans="13:14">
      <c r="M404" s="92"/>
      <c r="N404" s="92"/>
    </row>
    <row r="405" spans="13:14">
      <c r="M405" s="928"/>
      <c r="N405" s="928"/>
    </row>
    <row r="406" spans="13:14">
      <c r="M406" s="92"/>
      <c r="N406" s="92"/>
    </row>
    <row r="407" spans="13:14">
      <c r="M407" s="812"/>
      <c r="N407" s="812"/>
    </row>
    <row r="408" spans="13:14">
      <c r="M408" s="812"/>
      <c r="N408" s="812"/>
    </row>
    <row r="409" spans="13:14">
      <c r="M409" s="92"/>
      <c r="N409" s="92"/>
    </row>
    <row r="410" spans="13:14">
      <c r="M410" s="812"/>
      <c r="N410" s="812"/>
    </row>
    <row r="411" spans="13:14">
      <c r="M411" s="92" t="s">
        <v>8757</v>
      </c>
      <c r="N411" s="92"/>
    </row>
    <row r="412" spans="13:14">
      <c r="M412" s="92" t="s">
        <v>835</v>
      </c>
      <c r="N412" s="92"/>
    </row>
    <row r="413" spans="13:14">
      <c r="M413" s="92" t="s">
        <v>8761</v>
      </c>
      <c r="N413" s="92"/>
    </row>
    <row r="414" spans="13:14">
      <c r="M414" s="92" t="s">
        <v>1907</v>
      </c>
      <c r="N414" s="92"/>
    </row>
    <row r="415" spans="13:14">
      <c r="M415" s="92" t="s">
        <v>8764</v>
      </c>
      <c r="N415" s="92"/>
    </row>
    <row r="416" spans="13:14">
      <c r="M416" s="92"/>
      <c r="N416" s="92"/>
    </row>
    <row r="417" spans="12:14">
      <c r="M417" s="92"/>
      <c r="N417" s="92"/>
    </row>
    <row r="418" spans="12:14">
      <c r="M418" s="92"/>
      <c r="N418" s="92"/>
    </row>
    <row r="419" spans="12:14">
      <c r="M419" s="92" t="s">
        <v>8771</v>
      </c>
      <c r="N419" s="92"/>
    </row>
    <row r="420" spans="12:14">
      <c r="M420" s="92"/>
      <c r="N420" s="92"/>
    </row>
    <row r="421" spans="12:14">
      <c r="M421" s="92"/>
      <c r="N421" s="92"/>
    </row>
    <row r="422" spans="12:14">
      <c r="M422" s="92" t="s">
        <v>8775</v>
      </c>
      <c r="N422" s="92"/>
    </row>
    <row r="423" spans="12:14">
      <c r="M423" s="92" t="s">
        <v>2225</v>
      </c>
      <c r="N423" s="92"/>
    </row>
    <row r="424" spans="12:14">
      <c r="M424" s="92"/>
      <c r="N424" s="92"/>
    </row>
    <row r="425" spans="12:14">
      <c r="M425" s="92"/>
      <c r="N425" s="92"/>
    </row>
    <row r="426" spans="12:14">
      <c r="M426" s="92"/>
      <c r="N426" s="92"/>
    </row>
    <row r="427" spans="12:14">
      <c r="M427" s="92" t="s">
        <v>8780</v>
      </c>
      <c r="N427" s="92"/>
    </row>
    <row r="428" spans="12:14">
      <c r="M428" s="92"/>
      <c r="N428" s="92"/>
    </row>
    <row r="429" spans="12:14">
      <c r="M429" s="92"/>
      <c r="N429" s="92"/>
    </row>
    <row r="430" spans="12:14">
      <c r="L430" s="1246" t="s">
        <v>12602</v>
      </c>
      <c r="M430" s="928" t="s">
        <v>8783</v>
      </c>
      <c r="N430" s="928" t="s">
        <v>12602</v>
      </c>
    </row>
    <row r="431" spans="12:14">
      <c r="M431" s="92" t="s">
        <v>1898</v>
      </c>
      <c r="N431" s="92"/>
    </row>
    <row r="432" spans="12:14">
      <c r="M432" s="92"/>
      <c r="N432" s="92"/>
    </row>
    <row r="433" spans="13:14">
      <c r="M433" s="92" t="s">
        <v>8310</v>
      </c>
      <c r="N433" s="92"/>
    </row>
    <row r="434" spans="13:14">
      <c r="M434" s="92"/>
      <c r="N434" s="92"/>
    </row>
    <row r="435" spans="13:14">
      <c r="M435" s="92"/>
      <c r="N435" s="92"/>
    </row>
    <row r="436" spans="13:14">
      <c r="M436" s="92"/>
      <c r="N436" s="92"/>
    </row>
    <row r="437" spans="13:14">
      <c r="M437" s="92"/>
      <c r="N437" s="92"/>
    </row>
    <row r="438" spans="13:14">
      <c r="M438" s="92" t="s">
        <v>3614</v>
      </c>
      <c r="N438" s="92"/>
    </row>
    <row r="439" spans="13:14">
      <c r="M439" s="92"/>
      <c r="N439" s="92"/>
    </row>
    <row r="440" spans="13:14">
      <c r="M440" s="92"/>
      <c r="N440" s="92"/>
    </row>
    <row r="441" spans="13:14">
      <c r="M441" s="92" t="s">
        <v>2230</v>
      </c>
      <c r="N441" s="92"/>
    </row>
    <row r="442" spans="13:14">
      <c r="M442" s="92"/>
      <c r="N442" s="92"/>
    </row>
    <row r="443" spans="13:14">
      <c r="M443" s="812" t="s">
        <v>8796</v>
      </c>
      <c r="N443" s="812"/>
    </row>
    <row r="444" spans="13:14">
      <c r="M444" s="92" t="s">
        <v>8797</v>
      </c>
      <c r="N444" s="92"/>
    </row>
    <row r="445" spans="13:14">
      <c r="M445" s="812"/>
      <c r="N445" s="812"/>
    </row>
    <row r="446" spans="13:14">
      <c r="M446" s="812" t="s">
        <v>8800</v>
      </c>
      <c r="N446" s="812"/>
    </row>
    <row r="447" spans="13:14">
      <c r="M447" s="812" t="s">
        <v>8182</v>
      </c>
      <c r="N447" s="812"/>
    </row>
    <row r="448" spans="13:14">
      <c r="M448" s="812"/>
      <c r="N448" s="812"/>
    </row>
    <row r="449" spans="12:14">
      <c r="M449" s="812"/>
      <c r="N449" s="812"/>
    </row>
    <row r="450" spans="12:14">
      <c r="M450" s="92"/>
      <c r="N450" s="92"/>
    </row>
    <row r="451" spans="12:14">
      <c r="M451" s="812"/>
      <c r="N451" s="812"/>
    </row>
    <row r="452" spans="12:14">
      <c r="M452" s="812"/>
      <c r="N452" s="812"/>
    </row>
    <row r="453" spans="12:14">
      <c r="L453" s="1246" t="s">
        <v>12608</v>
      </c>
      <c r="M453" s="928" t="s">
        <v>8809</v>
      </c>
      <c r="N453" s="928" t="s">
        <v>12608</v>
      </c>
    </row>
    <row r="454" spans="12:14">
      <c r="M454" s="92"/>
      <c r="N454" s="92"/>
    </row>
    <row r="455" spans="12:14">
      <c r="M455" s="92"/>
      <c r="N455" s="92"/>
    </row>
    <row r="456" spans="12:14">
      <c r="M456" s="92"/>
      <c r="N456" s="92"/>
    </row>
    <row r="457" spans="12:14">
      <c r="M457" s="92"/>
      <c r="N457" s="92"/>
    </row>
    <row r="458" spans="12:14">
      <c r="M458" s="92"/>
      <c r="N458" s="92"/>
    </row>
    <row r="459" spans="12:14">
      <c r="L459" s="1246" t="s">
        <v>12609</v>
      </c>
      <c r="M459" s="928" t="s">
        <v>2199</v>
      </c>
      <c r="N459" s="928" t="s">
        <v>12609</v>
      </c>
    </row>
    <row r="460" spans="12:14">
      <c r="M460" s="92"/>
      <c r="N460" s="92"/>
    </row>
    <row r="461" spans="12:14">
      <c r="M461" s="92"/>
      <c r="N461" s="92"/>
    </row>
    <row r="462" spans="12:14">
      <c r="L462" s="1246" t="s">
        <v>12628</v>
      </c>
      <c r="M462" s="928" t="s">
        <v>8820</v>
      </c>
      <c r="N462" s="928" t="s">
        <v>12628</v>
      </c>
    </row>
    <row r="463" spans="12:14">
      <c r="M463" s="92"/>
      <c r="N463" s="92"/>
    </row>
    <row r="464" spans="12:14">
      <c r="M464" s="92"/>
      <c r="N464" s="92"/>
    </row>
    <row r="465" spans="12:14">
      <c r="M465" s="92"/>
      <c r="N465" s="92"/>
    </row>
    <row r="466" spans="12:14">
      <c r="M466" s="1242"/>
      <c r="N466" s="1242"/>
    </row>
    <row r="467" spans="12:14">
      <c r="M467" s="92" t="s">
        <v>8826</v>
      </c>
      <c r="N467" s="92"/>
    </row>
    <row r="468" spans="12:14">
      <c r="L468" s="1246" t="s">
        <v>12602</v>
      </c>
      <c r="M468" s="1242" t="s">
        <v>2232</v>
      </c>
      <c r="N468" s="1242" t="s">
        <v>12602</v>
      </c>
    </row>
    <row r="469" spans="12:14">
      <c r="M469" s="812" t="s">
        <v>1898</v>
      </c>
      <c r="N469" s="812"/>
    </row>
    <row r="470" spans="12:14">
      <c r="M470" s="92"/>
      <c r="N470" s="92"/>
    </row>
    <row r="471" spans="12:14">
      <c r="M471" s="812"/>
      <c r="N471" s="812"/>
    </row>
    <row r="472" spans="12:14">
      <c r="M472" s="812" t="s">
        <v>8832</v>
      </c>
      <c r="N472" s="812"/>
    </row>
    <row r="473" spans="12:14">
      <c r="L473" s="1246" t="s">
        <v>12606</v>
      </c>
      <c r="M473" s="1242" t="s">
        <v>8833</v>
      </c>
      <c r="N473" s="1242" t="s">
        <v>12606</v>
      </c>
    </row>
    <row r="474" spans="12:14">
      <c r="M474" s="812"/>
      <c r="N474" s="812"/>
    </row>
    <row r="475" spans="12:14">
      <c r="M475" s="812"/>
      <c r="N475" s="812"/>
    </row>
    <row r="476" spans="12:14">
      <c r="M476" s="812"/>
      <c r="N476" s="812"/>
    </row>
    <row r="477" spans="12:14">
      <c r="M477" s="812"/>
      <c r="N477" s="812"/>
    </row>
    <row r="478" spans="12:14">
      <c r="M478" s="812"/>
      <c r="N478" s="812"/>
    </row>
    <row r="479" spans="12:14">
      <c r="M479" s="812"/>
      <c r="N479" s="812"/>
    </row>
    <row r="480" spans="12:14">
      <c r="M480" s="812"/>
      <c r="N480" s="812"/>
    </row>
    <row r="481" spans="12:14">
      <c r="M481" s="812"/>
      <c r="N481" s="812"/>
    </row>
    <row r="482" spans="12:14">
      <c r="M482" s="1242"/>
      <c r="N482" s="1242"/>
    </row>
    <row r="483" spans="12:14">
      <c r="M483" s="812" t="s">
        <v>8844</v>
      </c>
      <c r="N483" s="812"/>
    </row>
    <row r="484" spans="12:14">
      <c r="M484" s="812"/>
      <c r="N484" s="812"/>
    </row>
    <row r="485" spans="12:14">
      <c r="M485" s="812"/>
      <c r="N485" s="812"/>
    </row>
    <row r="486" spans="12:14">
      <c r="L486" s="1246" t="s">
        <v>12606</v>
      </c>
      <c r="M486" s="1242" t="s">
        <v>8847</v>
      </c>
      <c r="N486" s="1242" t="s">
        <v>12606</v>
      </c>
    </row>
    <row r="487" spans="12:14">
      <c r="M487" s="812" t="s">
        <v>8848</v>
      </c>
      <c r="N487" s="812"/>
    </row>
    <row r="488" spans="12:14">
      <c r="M488" s="812"/>
      <c r="N488" s="812"/>
    </row>
    <row r="489" spans="12:14">
      <c r="M489" s="812"/>
      <c r="N489" s="812"/>
    </row>
    <row r="490" spans="12:14">
      <c r="L490" s="1246" t="s">
        <v>12606</v>
      </c>
      <c r="M490" s="1244" t="s">
        <v>8851</v>
      </c>
      <c r="N490" s="1244" t="s">
        <v>12606</v>
      </c>
    </row>
    <row r="491" spans="12:14">
      <c r="M491" s="812"/>
      <c r="N491" s="812"/>
    </row>
    <row r="492" spans="12:14">
      <c r="M492" s="92"/>
      <c r="N492" s="92"/>
    </row>
    <row r="493" spans="12:14">
      <c r="M493" s="812"/>
      <c r="N493" s="812"/>
    </row>
    <row r="494" spans="12:14">
      <c r="M494" s="812"/>
      <c r="N494" s="812"/>
    </row>
    <row r="495" spans="12:14">
      <c r="L495" s="1246" t="s">
        <v>12621</v>
      </c>
      <c r="M495" s="1242" t="s">
        <v>12202</v>
      </c>
      <c r="N495" s="1242" t="s">
        <v>12621</v>
      </c>
    </row>
    <row r="496" spans="12:14">
      <c r="M496" s="812" t="s">
        <v>12203</v>
      </c>
      <c r="N496" s="812"/>
    </row>
    <row r="497" spans="12:14">
      <c r="M497" s="812"/>
      <c r="N497" s="812"/>
    </row>
    <row r="498" spans="12:14">
      <c r="M498" s="812"/>
      <c r="N498" s="812"/>
    </row>
    <row r="499" spans="12:14">
      <c r="L499" s="1246" t="s">
        <v>12605</v>
      </c>
      <c r="M499" s="1242" t="s">
        <v>2214</v>
      </c>
      <c r="N499" s="1242" t="s">
        <v>12605</v>
      </c>
    </row>
    <row r="500" spans="12:14">
      <c r="M500" s="812"/>
      <c r="N500" s="812"/>
    </row>
    <row r="501" spans="12:14">
      <c r="M501" s="812"/>
      <c r="N501" s="812"/>
    </row>
    <row r="502" spans="12:14">
      <c r="M502" s="812"/>
      <c r="N502" s="812"/>
    </row>
    <row r="503" spans="12:14">
      <c r="M503" s="812"/>
      <c r="N503" s="812"/>
    </row>
    <row r="504" spans="12:14">
      <c r="M504" s="812" t="s">
        <v>2232</v>
      </c>
      <c r="N504" s="812"/>
    </row>
    <row r="505" spans="12:14">
      <c r="M505" s="812"/>
      <c r="N505" s="812"/>
    </row>
    <row r="506" spans="12:14">
      <c r="M506" s="812"/>
      <c r="N506" s="812"/>
    </row>
    <row r="507" spans="12:14">
      <c r="M507" s="812" t="s">
        <v>12222</v>
      </c>
      <c r="N507" s="812"/>
    </row>
    <row r="508" spans="12:14">
      <c r="M508" s="812"/>
      <c r="N508" s="812"/>
    </row>
    <row r="509" spans="12:14">
      <c r="M509" s="812"/>
      <c r="N509" s="812"/>
    </row>
    <row r="510" spans="12:14">
      <c r="M510" s="812" t="s">
        <v>8916</v>
      </c>
      <c r="N510" s="812"/>
    </row>
    <row r="511" spans="12:14">
      <c r="M511" s="812" t="s">
        <v>1985</v>
      </c>
      <c r="N511" s="812"/>
    </row>
    <row r="512" spans="12:14">
      <c r="M512" s="812" t="s">
        <v>2210</v>
      </c>
      <c r="N512" s="812"/>
    </row>
    <row r="513" spans="12:14">
      <c r="M513" s="812"/>
      <c r="N513" s="812"/>
    </row>
    <row r="514" spans="12:14">
      <c r="M514" s="812"/>
      <c r="N514" s="812"/>
    </row>
    <row r="515" spans="12:14">
      <c r="M515" s="812"/>
      <c r="N515" s="812"/>
    </row>
    <row r="516" spans="12:14">
      <c r="L516" s="1246" t="s">
        <v>12606</v>
      </c>
      <c r="M516" s="928" t="s">
        <v>8857</v>
      </c>
      <c r="N516" s="928" t="s">
        <v>12606</v>
      </c>
    </row>
    <row r="517" spans="12:14">
      <c r="M517" s="92"/>
      <c r="N517" s="92"/>
    </row>
    <row r="518" spans="12:14">
      <c r="M518" s="92"/>
      <c r="N518" s="92"/>
    </row>
    <row r="519" spans="12:14">
      <c r="M519" s="92"/>
      <c r="N519" s="92"/>
    </row>
    <row r="520" spans="12:14">
      <c r="M520" s="92"/>
      <c r="N520" s="92"/>
    </row>
    <row r="521" spans="12:14">
      <c r="M521" s="92"/>
      <c r="N521" s="92"/>
    </row>
    <row r="522" spans="12:14">
      <c r="M522" s="928"/>
      <c r="N522" s="928"/>
    </row>
    <row r="523" spans="12:14">
      <c r="L523" s="1246" t="s">
        <v>12610</v>
      </c>
      <c r="M523" s="928" t="s">
        <v>2216</v>
      </c>
      <c r="N523" s="928" t="s">
        <v>12610</v>
      </c>
    </row>
    <row r="524" spans="12:14">
      <c r="M524" s="92"/>
      <c r="N524" s="92"/>
    </row>
    <row r="525" spans="12:14">
      <c r="M525" s="92"/>
      <c r="N525" s="92"/>
    </row>
    <row r="526" spans="12:14">
      <c r="M526" s="92" t="s">
        <v>8868</v>
      </c>
      <c r="N526" s="92"/>
    </row>
    <row r="527" spans="12:14">
      <c r="M527" s="92"/>
      <c r="N527" s="92"/>
    </row>
    <row r="528" spans="12:14">
      <c r="M528" s="92"/>
      <c r="N528" s="92"/>
    </row>
    <row r="529" spans="12:14">
      <c r="M529" s="92"/>
      <c r="N529" s="92"/>
    </row>
    <row r="530" spans="12:14">
      <c r="M530" s="92"/>
      <c r="N530" s="92"/>
    </row>
    <row r="531" spans="12:14">
      <c r="M531" s="92"/>
      <c r="N531" s="92"/>
    </row>
    <row r="532" spans="12:14">
      <c r="M532" s="92"/>
      <c r="N532" s="92"/>
    </row>
    <row r="533" spans="12:14">
      <c r="L533" s="1246" t="s">
        <v>12602</v>
      </c>
      <c r="M533" s="928" t="s">
        <v>8875</v>
      </c>
      <c r="N533" s="928" t="s">
        <v>12602</v>
      </c>
    </row>
    <row r="534" spans="12:14">
      <c r="L534" s="1246" t="s">
        <v>12608</v>
      </c>
      <c r="M534" s="928" t="s">
        <v>8877</v>
      </c>
      <c r="N534" s="928" t="s">
        <v>12608</v>
      </c>
    </row>
    <row r="535" spans="12:14">
      <c r="L535" s="1246" t="s">
        <v>12599</v>
      </c>
      <c r="M535" s="928" t="s">
        <v>8880</v>
      </c>
      <c r="N535" s="928" t="s">
        <v>12599</v>
      </c>
    </row>
    <row r="536" spans="12:14">
      <c r="M536" s="857"/>
      <c r="N536" s="857"/>
    </row>
    <row r="537" spans="12:14">
      <c r="L537" s="1246" t="s">
        <v>12606</v>
      </c>
      <c r="M537" s="928" t="s">
        <v>2215</v>
      </c>
      <c r="N537" s="928" t="s">
        <v>12606</v>
      </c>
    </row>
    <row r="538" spans="12:14">
      <c r="M538" s="92" t="s">
        <v>2225</v>
      </c>
      <c r="N538" s="92"/>
    </row>
    <row r="539" spans="12:14">
      <c r="M539" s="92"/>
      <c r="N539" s="92"/>
    </row>
    <row r="540" spans="12:14">
      <c r="M540" s="92"/>
      <c r="N540" s="92"/>
    </row>
    <row r="541" spans="12:14">
      <c r="M541" s="92"/>
      <c r="N541" s="92"/>
    </row>
    <row r="542" spans="12:14">
      <c r="M542" s="92"/>
      <c r="N542" s="92"/>
    </row>
    <row r="543" spans="12:14">
      <c r="L543" s="1246" t="s">
        <v>12598</v>
      </c>
      <c r="M543" s="928" t="s">
        <v>5491</v>
      </c>
      <c r="N543" s="928" t="s">
        <v>12598</v>
      </c>
    </row>
    <row r="544" spans="12:14">
      <c r="M544" s="92" t="s">
        <v>8833</v>
      </c>
      <c r="N544" s="92"/>
    </row>
    <row r="545" spans="12:14">
      <c r="M545" s="92"/>
      <c r="N545" s="92"/>
    </row>
    <row r="546" spans="12:14">
      <c r="M546" s="92"/>
      <c r="N546" s="92"/>
    </row>
    <row r="547" spans="12:14">
      <c r="M547" s="92"/>
      <c r="N547" s="92"/>
    </row>
    <row r="548" spans="12:14">
      <c r="M548" s="92"/>
      <c r="N548" s="92"/>
    </row>
    <row r="549" spans="12:14">
      <c r="M549" s="92"/>
      <c r="N549" s="92"/>
    </row>
    <row r="550" spans="12:14">
      <c r="L550" s="1246" t="s">
        <v>12610</v>
      </c>
      <c r="M550" s="928" t="s">
        <v>2216</v>
      </c>
      <c r="N550" s="928" t="s">
        <v>12610</v>
      </c>
    </row>
    <row r="551" spans="12:14">
      <c r="M551" s="92" t="s">
        <v>2216</v>
      </c>
      <c r="N551" s="92"/>
    </row>
    <row r="552" spans="12:14">
      <c r="M552" s="92" t="s">
        <v>2234</v>
      </c>
      <c r="N552" s="92"/>
    </row>
    <row r="553" spans="12:14">
      <c r="M553" s="92"/>
      <c r="N553" s="92"/>
    </row>
    <row r="554" spans="12:14">
      <c r="M554" s="92"/>
      <c r="N554" s="92"/>
    </row>
    <row r="555" spans="12:14">
      <c r="M555" s="92"/>
      <c r="N555" s="92"/>
    </row>
    <row r="556" spans="12:14">
      <c r="M556" s="92"/>
      <c r="N556" s="92"/>
    </row>
    <row r="557" spans="12:14">
      <c r="M557" s="92" t="s">
        <v>2215</v>
      </c>
      <c r="N557" s="92"/>
    </row>
    <row r="558" spans="12:14">
      <c r="M558" s="92" t="s">
        <v>8833</v>
      </c>
      <c r="N558" s="92"/>
    </row>
    <row r="559" spans="12:14">
      <c r="M559" s="812"/>
      <c r="N559" s="812"/>
    </row>
    <row r="560" spans="12:14">
      <c r="M560" s="92"/>
      <c r="N560" s="92"/>
    </row>
    <row r="561" spans="12:14">
      <c r="L561" s="1246" t="s">
        <v>12606</v>
      </c>
      <c r="M561" s="928" t="s">
        <v>8909</v>
      </c>
      <c r="N561" s="928" t="s">
        <v>12606</v>
      </c>
    </row>
    <row r="562" spans="12:14">
      <c r="M562" s="92" t="s">
        <v>8912</v>
      </c>
      <c r="N562" s="92"/>
    </row>
    <row r="563" spans="12:14">
      <c r="M563" s="92" t="s">
        <v>2198</v>
      </c>
      <c r="N563" s="92"/>
    </row>
    <row r="564" spans="12:14">
      <c r="M564" s="92" t="s">
        <v>8916</v>
      </c>
      <c r="N564" s="92"/>
    </row>
    <row r="565" spans="12:14">
      <c r="M565" s="92"/>
      <c r="N565" s="92"/>
    </row>
    <row r="566" spans="12:14">
      <c r="M566" s="812"/>
      <c r="N566" s="812"/>
    </row>
    <row r="567" spans="12:14">
      <c r="L567" s="1246" t="s">
        <v>12600</v>
      </c>
      <c r="M567" s="928" t="s">
        <v>8919</v>
      </c>
      <c r="N567" s="928" t="s">
        <v>12600</v>
      </c>
    </row>
    <row r="568" spans="12:14">
      <c r="M568" s="92" t="s">
        <v>8922</v>
      </c>
      <c r="N568" s="92"/>
    </row>
    <row r="569" spans="12:14">
      <c r="M569" s="92"/>
      <c r="N569" s="92"/>
    </row>
    <row r="570" spans="12:14">
      <c r="M570" s="92"/>
      <c r="N570" s="92"/>
    </row>
    <row r="571" spans="12:14">
      <c r="L571" s="1246" t="s">
        <v>12596</v>
      </c>
      <c r="M571" s="928" t="s">
        <v>8925</v>
      </c>
      <c r="N571" s="928" t="s">
        <v>12596</v>
      </c>
    </row>
    <row r="572" spans="12:14">
      <c r="M572" s="92" t="s">
        <v>8310</v>
      </c>
      <c r="N572" s="92"/>
    </row>
    <row r="573" spans="12:14">
      <c r="M573" s="92"/>
      <c r="N573" s="92"/>
    </row>
    <row r="574" spans="12:14">
      <c r="L574" s="1246" t="s">
        <v>12601</v>
      </c>
      <c r="M574" s="928" t="s">
        <v>8927</v>
      </c>
      <c r="N574" s="928" t="s">
        <v>12601</v>
      </c>
    </row>
    <row r="575" spans="12:14">
      <c r="M575" s="92"/>
      <c r="N575" s="92"/>
    </row>
    <row r="576" spans="12:14">
      <c r="M576" s="92"/>
      <c r="N576" s="92"/>
    </row>
    <row r="577" spans="12:14">
      <c r="M577" s="92"/>
      <c r="N577" s="92"/>
    </row>
    <row r="578" spans="12:14">
      <c r="L578" s="1246" t="s">
        <v>12602</v>
      </c>
      <c r="M578" s="1245" t="s">
        <v>8932</v>
      </c>
      <c r="N578" s="1245" t="s">
        <v>12602</v>
      </c>
    </row>
    <row r="579" spans="12:14">
      <c r="M579" s="92" t="s">
        <v>8933</v>
      </c>
      <c r="N579" s="92"/>
    </row>
    <row r="580" spans="12:14">
      <c r="M580" s="92"/>
      <c r="N580" s="92"/>
    </row>
    <row r="581" spans="12:14">
      <c r="M581" s="92"/>
      <c r="N581" s="92"/>
    </row>
    <row r="582" spans="12:14">
      <c r="M582" s="92"/>
      <c r="N582" s="92"/>
    </row>
    <row r="583" spans="12:14">
      <c r="L583" s="1246" t="s">
        <v>12603</v>
      </c>
      <c r="M583" s="928" t="s">
        <v>8937</v>
      </c>
      <c r="N583" s="928" t="s">
        <v>12603</v>
      </c>
    </row>
    <row r="584" spans="12:14">
      <c r="M584" s="92" t="s">
        <v>8939</v>
      </c>
      <c r="N584" s="92"/>
    </row>
    <row r="585" spans="12:14">
      <c r="M585" s="92"/>
      <c r="N585" s="92"/>
    </row>
    <row r="586" spans="12:14">
      <c r="M586" s="92"/>
      <c r="N586" s="92"/>
    </row>
    <row r="587" spans="12:14">
      <c r="L587" s="1246" t="s">
        <v>12597</v>
      </c>
      <c r="M587" s="928" t="s">
        <v>2198</v>
      </c>
      <c r="N587" s="928" t="s">
        <v>12597</v>
      </c>
    </row>
    <row r="588" spans="12:14">
      <c r="M588" s="92"/>
      <c r="N588" s="92"/>
    </row>
    <row r="589" spans="12:14">
      <c r="M589" s="92"/>
      <c r="N589" s="92"/>
    </row>
    <row r="590" spans="12:14">
      <c r="M590" s="92"/>
      <c r="N590" s="92"/>
    </row>
    <row r="591" spans="12:14">
      <c r="L591" s="1246" t="s">
        <v>12603</v>
      </c>
      <c r="M591" s="928" t="s">
        <v>8947</v>
      </c>
      <c r="N591" s="928" t="s">
        <v>12603</v>
      </c>
    </row>
    <row r="592" spans="12:14">
      <c r="M592" s="92" t="s">
        <v>8949</v>
      </c>
      <c r="N592" s="92"/>
    </row>
    <row r="593" spans="12:14">
      <c r="M593" s="92"/>
      <c r="N593" s="92"/>
    </row>
    <row r="594" spans="12:14">
      <c r="M594" s="92"/>
      <c r="N594" s="92"/>
    </row>
    <row r="595" spans="12:14">
      <c r="L595" s="1246" t="s">
        <v>12598</v>
      </c>
      <c r="M595" s="928" t="s">
        <v>8952</v>
      </c>
      <c r="N595" s="928" t="s">
        <v>12598</v>
      </c>
    </row>
    <row r="596" spans="12:14">
      <c r="M596" s="1050"/>
      <c r="N596" s="1050"/>
    </row>
    <row r="597" spans="12:14">
      <c r="M597" s="92"/>
      <c r="N597" s="92"/>
    </row>
    <row r="598" spans="12:14">
      <c r="M598" s="928"/>
      <c r="N598" s="928"/>
    </row>
    <row r="599" spans="12:14">
      <c r="M599" s="92" t="s">
        <v>2214</v>
      </c>
      <c r="N599" s="92"/>
    </row>
    <row r="600" spans="12:14">
      <c r="M600" s="1052" t="s">
        <v>8955</v>
      </c>
      <c r="N600" s="1052"/>
    </row>
    <row r="601" spans="12:14">
      <c r="M601" s="812"/>
      <c r="N601" s="812"/>
    </row>
    <row r="602" spans="12:14">
      <c r="M602" s="812" t="s">
        <v>2229</v>
      </c>
      <c r="N602" s="812"/>
    </row>
    <row r="603" spans="12:14">
      <c r="M603" s="812" t="s">
        <v>2229</v>
      </c>
      <c r="N603" s="812"/>
    </row>
    <row r="604" spans="12:14">
      <c r="M604" s="812"/>
      <c r="N604" s="812"/>
    </row>
    <row r="605" spans="12:14">
      <c r="M605" s="812" t="s">
        <v>2212</v>
      </c>
      <c r="N605" s="812"/>
    </row>
    <row r="606" spans="12:14">
      <c r="M606" s="812" t="s">
        <v>8963</v>
      </c>
      <c r="N606" s="812"/>
    </row>
    <row r="607" spans="12:14">
      <c r="M607" s="812"/>
      <c r="N607" s="812"/>
    </row>
    <row r="608" spans="12:14">
      <c r="M608" s="812"/>
      <c r="N608" s="812"/>
    </row>
    <row r="609" spans="13:14">
      <c r="M609" s="812"/>
      <c r="N609" s="812"/>
    </row>
    <row r="610" spans="13:14">
      <c r="M610" s="812"/>
      <c r="N610" s="812"/>
    </row>
    <row r="611" spans="13:14">
      <c r="M611" s="812"/>
      <c r="N611" s="812"/>
    </row>
    <row r="612" spans="13:14">
      <c r="M612" s="812"/>
      <c r="N612" s="812"/>
    </row>
    <row r="613" spans="13:14">
      <c r="M613" s="812"/>
      <c r="N613" s="812"/>
    </row>
    <row r="614" spans="13:14">
      <c r="M614" s="812"/>
      <c r="N614" s="812"/>
    </row>
    <row r="615" spans="13:14">
      <c r="M615" s="812"/>
      <c r="N615" s="812"/>
    </row>
    <row r="616" spans="13:14">
      <c r="M616" s="812"/>
      <c r="N616" s="812"/>
    </row>
    <row r="617" spans="13:14">
      <c r="M617" s="92"/>
      <c r="N617" s="92"/>
    </row>
    <row r="618" spans="13:14">
      <c r="M618" s="92"/>
      <c r="N618" s="92"/>
    </row>
    <row r="619" spans="13:14">
      <c r="M619" s="92"/>
      <c r="N619" s="92"/>
    </row>
    <row r="620" spans="13:14">
      <c r="M620" s="92"/>
      <c r="N620" s="92"/>
    </row>
    <row r="621" spans="13:14">
      <c r="M621" s="92"/>
      <c r="N621" s="92"/>
    </row>
    <row r="622" spans="13:14">
      <c r="M622" s="92"/>
      <c r="N622" s="92"/>
    </row>
    <row r="623" spans="13:14">
      <c r="M623" s="928"/>
      <c r="N623" s="928"/>
    </row>
    <row r="624" spans="13:14">
      <c r="M624" s="92"/>
      <c r="N624" s="92"/>
    </row>
    <row r="625" spans="12:14">
      <c r="M625" s="1242"/>
      <c r="N625" s="1242"/>
    </row>
    <row r="626" spans="12:14">
      <c r="L626" s="1246" t="s">
        <v>12604</v>
      </c>
      <c r="M626" s="1242" t="s">
        <v>12524</v>
      </c>
      <c r="N626" s="1242" t="s">
        <v>12604</v>
      </c>
    </row>
    <row r="627" spans="12:14">
      <c r="M627" s="1242"/>
      <c r="N627" s="1242"/>
    </row>
    <row r="628" spans="12:14">
      <c r="M628" s="812"/>
      <c r="N628" s="812"/>
    </row>
    <row r="629" spans="12:14">
      <c r="M629" s="812"/>
      <c r="N629" s="812"/>
    </row>
    <row r="630" spans="12:14">
      <c r="M630" s="812"/>
      <c r="N630" s="812"/>
    </row>
    <row r="631" spans="12:14">
      <c r="L631" s="1246" t="s">
        <v>12597</v>
      </c>
      <c r="M631" s="1242" t="s">
        <v>8632</v>
      </c>
      <c r="N631" s="1242" t="s">
        <v>12597</v>
      </c>
    </row>
    <row r="632" spans="12:14">
      <c r="M632" s="812"/>
      <c r="N632" s="812"/>
    </row>
    <row r="633" spans="12:14">
      <c r="M633" s="812"/>
      <c r="N633" s="812"/>
    </row>
    <row r="634" spans="12:14">
      <c r="M634" s="1242"/>
      <c r="N634" s="1242"/>
    </row>
    <row r="635" spans="12:14">
      <c r="M635" s="812"/>
      <c r="N635" s="812"/>
    </row>
    <row r="636" spans="12:14">
      <c r="M636" s="812"/>
      <c r="N636" s="812"/>
    </row>
    <row r="637" spans="12:14">
      <c r="L637" s="1246" t="s">
        <v>12605</v>
      </c>
      <c r="M637" s="1242" t="s">
        <v>2214</v>
      </c>
      <c r="N637" s="1242" t="s">
        <v>12605</v>
      </c>
    </row>
    <row r="638" spans="12:14">
      <c r="L638" s="1246" t="s">
        <v>12606</v>
      </c>
      <c r="M638" s="1242" t="s">
        <v>2966</v>
      </c>
      <c r="N638" s="1242" t="s">
        <v>12606</v>
      </c>
    </row>
    <row r="639" spans="12:14">
      <c r="M639" s="812"/>
      <c r="N639" s="812"/>
    </row>
    <row r="640" spans="12:14">
      <c r="L640" s="1246" t="s">
        <v>12606</v>
      </c>
      <c r="M640" s="1242" t="s">
        <v>2225</v>
      </c>
      <c r="N640" s="1242" t="s">
        <v>12606</v>
      </c>
    </row>
    <row r="641" spans="12:14">
      <c r="L641" s="1246" t="s">
        <v>12602</v>
      </c>
      <c r="M641" s="1242" t="s">
        <v>9004</v>
      </c>
      <c r="N641" s="1242" t="s">
        <v>12602</v>
      </c>
    </row>
    <row r="642" spans="12:14">
      <c r="M642" s="812" t="s">
        <v>9008</v>
      </c>
      <c r="N642" s="812"/>
    </row>
    <row r="643" spans="12:14">
      <c r="L643" s="1246" t="s">
        <v>12597</v>
      </c>
      <c r="M643" s="1242" t="s">
        <v>8632</v>
      </c>
      <c r="N643" s="1242" t="s">
        <v>12597</v>
      </c>
    </row>
    <row r="644" spans="12:14">
      <c r="M644" s="812"/>
      <c r="N644" s="812"/>
    </row>
    <row r="645" spans="12:14">
      <c r="M645" s="812"/>
      <c r="N645" s="812"/>
    </row>
    <row r="646" spans="12:14">
      <c r="M646" s="812"/>
      <c r="N646" s="812"/>
    </row>
    <row r="647" spans="12:14">
      <c r="M647" s="812"/>
      <c r="N647" s="812"/>
    </row>
    <row r="648" spans="12:14">
      <c r="L648" s="1246" t="s">
        <v>12606</v>
      </c>
      <c r="M648" s="1242" t="s">
        <v>9015</v>
      </c>
      <c r="N648" s="1242" t="s">
        <v>12606</v>
      </c>
    </row>
    <row r="649" spans="12:14">
      <c r="M649" s="812"/>
      <c r="N649" s="812"/>
    </row>
    <row r="650" spans="12:14">
      <c r="M650" s="812" t="s">
        <v>2236</v>
      </c>
      <c r="N650" s="812"/>
    </row>
    <row r="651" spans="12:14">
      <c r="M651" s="812" t="s">
        <v>8190</v>
      </c>
      <c r="N651" s="812"/>
    </row>
    <row r="652" spans="12:14">
      <c r="M652" s="812"/>
      <c r="N652" s="812"/>
    </row>
    <row r="653" spans="12:14">
      <c r="M653" s="812"/>
      <c r="N653" s="812"/>
    </row>
    <row r="654" spans="12:14">
      <c r="M654" s="812"/>
      <c r="N654" s="812"/>
    </row>
    <row r="655" spans="12:14">
      <c r="M655" s="812" t="s">
        <v>9022</v>
      </c>
      <c r="N655" s="812"/>
    </row>
    <row r="656" spans="12:14">
      <c r="L656" s="1246" t="s">
        <v>12607</v>
      </c>
      <c r="M656" s="1242" t="s">
        <v>2217</v>
      </c>
      <c r="N656" s="1242" t="s">
        <v>12607</v>
      </c>
    </row>
    <row r="657" spans="12:14">
      <c r="M657" s="812"/>
      <c r="N657" s="812"/>
    </row>
    <row r="658" spans="12:14">
      <c r="M658" s="812"/>
      <c r="N658" s="812"/>
    </row>
    <row r="659" spans="12:14">
      <c r="M659" s="812"/>
      <c r="N659" s="812"/>
    </row>
    <row r="660" spans="12:14">
      <c r="L660" s="1246" t="s">
        <v>12606</v>
      </c>
      <c r="M660" s="1242" t="s">
        <v>9029</v>
      </c>
      <c r="N660" s="1242" t="s">
        <v>12606</v>
      </c>
    </row>
    <row r="661" spans="12:14">
      <c r="M661" s="812"/>
      <c r="N661" s="812"/>
    </row>
    <row r="662" spans="12:14">
      <c r="M662" s="812"/>
      <c r="N662" s="812"/>
    </row>
    <row r="663" spans="12:14">
      <c r="M663" s="812" t="s">
        <v>9032</v>
      </c>
      <c r="N663" s="812"/>
    </row>
    <row r="664" spans="12:14">
      <c r="M664" s="812"/>
      <c r="N664" s="812"/>
    </row>
    <row r="665" spans="12:14">
      <c r="M665" s="812"/>
      <c r="N665" s="812"/>
    </row>
    <row r="666" spans="12:14">
      <c r="M666" s="812"/>
      <c r="N666" s="812"/>
    </row>
    <row r="667" spans="12:14">
      <c r="M667" s="812" t="s">
        <v>8916</v>
      </c>
      <c r="N667" s="812"/>
    </row>
    <row r="668" spans="12:14">
      <c r="M668" s="812"/>
      <c r="N668" s="812"/>
    </row>
    <row r="669" spans="12:14">
      <c r="L669" s="1246" t="s">
        <v>12606</v>
      </c>
      <c r="M669" s="1242" t="s">
        <v>2238</v>
      </c>
      <c r="N669" s="1242" t="s">
        <v>12606</v>
      </c>
    </row>
    <row r="670" spans="12:14">
      <c r="M670" s="812"/>
      <c r="N670" s="812"/>
    </row>
    <row r="671" spans="12:14">
      <c r="M671" s="812"/>
      <c r="N671" s="812"/>
    </row>
    <row r="672" spans="12:14">
      <c r="L672" s="1246" t="s">
        <v>12597</v>
      </c>
      <c r="M672" s="1242" t="s">
        <v>8632</v>
      </c>
      <c r="N672" s="1242" t="s">
        <v>12597</v>
      </c>
    </row>
    <row r="673" spans="12:14">
      <c r="M673" s="812" t="s">
        <v>9044</v>
      </c>
      <c r="N673" s="812"/>
    </row>
    <row r="674" spans="12:14">
      <c r="M674" s="812"/>
      <c r="N674" s="812"/>
    </row>
    <row r="675" spans="12:14">
      <c r="M675" s="812"/>
      <c r="N675" s="812"/>
    </row>
    <row r="676" spans="12:14">
      <c r="M676" s="812" t="s">
        <v>9048</v>
      </c>
      <c r="N676" s="812"/>
    </row>
    <row r="677" spans="12:14">
      <c r="M677" s="932"/>
      <c r="N677" s="932"/>
    </row>
    <row r="678" spans="12:14">
      <c r="M678" s="812"/>
      <c r="N678" s="812"/>
    </row>
    <row r="679" spans="12:14">
      <c r="M679" s="812"/>
      <c r="N679" s="812"/>
    </row>
    <row r="680" spans="12:14">
      <c r="M680" s="812"/>
      <c r="N680" s="812"/>
    </row>
    <row r="681" spans="12:14">
      <c r="L681" s="1246" t="s">
        <v>12606</v>
      </c>
      <c r="M681" s="1242" t="s">
        <v>11307</v>
      </c>
      <c r="N681" s="1242" t="s">
        <v>12606</v>
      </c>
    </row>
    <row r="682" spans="12:14">
      <c r="M682" s="812"/>
      <c r="N682" s="812"/>
    </row>
    <row r="683" spans="12:14">
      <c r="M683" s="812"/>
      <c r="N683" s="812"/>
    </row>
    <row r="684" spans="12:14">
      <c r="M684" s="812"/>
      <c r="N684" s="812"/>
    </row>
    <row r="685" spans="12:14">
      <c r="M685" s="812"/>
      <c r="N685" s="812"/>
    </row>
    <row r="686" spans="12:14">
      <c r="M686" s="812"/>
      <c r="N686" s="812"/>
    </row>
    <row r="687" spans="12:14">
      <c r="M687" s="1242"/>
      <c r="N687" s="1242"/>
    </row>
    <row r="688" spans="12:14">
      <c r="M688" s="812"/>
      <c r="N688" s="812"/>
    </row>
    <row r="689" spans="12:14">
      <c r="M689" s="812"/>
      <c r="N689" s="812"/>
    </row>
    <row r="690" spans="12:14">
      <c r="M690" s="1242"/>
      <c r="N690" s="1242"/>
    </row>
    <row r="691" spans="12:14">
      <c r="M691" s="812"/>
      <c r="N691" s="812"/>
    </row>
    <row r="692" spans="12:14">
      <c r="M692" s="812"/>
      <c r="N692" s="812"/>
    </row>
    <row r="693" spans="12:14">
      <c r="M693" s="812"/>
      <c r="N693" s="812"/>
    </row>
    <row r="694" spans="12:14">
      <c r="M694" s="812"/>
      <c r="N694" s="812"/>
    </row>
    <row r="695" spans="12:14">
      <c r="L695" s="1246" t="s">
        <v>12605</v>
      </c>
      <c r="M695" s="1242" t="s">
        <v>2214</v>
      </c>
      <c r="N695" s="1242" t="s">
        <v>12605</v>
      </c>
    </row>
    <row r="696" spans="12:14">
      <c r="M696" s="812" t="s">
        <v>2214</v>
      </c>
      <c r="N696" s="812"/>
    </row>
    <row r="697" spans="12:14">
      <c r="M697" s="812"/>
      <c r="N697" s="812"/>
    </row>
    <row r="698" spans="12:14">
      <c r="M698" s="812"/>
      <c r="N698" s="812"/>
    </row>
    <row r="699" spans="12:14">
      <c r="M699" s="1242"/>
      <c r="N699" s="1242"/>
    </row>
    <row r="700" spans="12:14">
      <c r="M700" s="812"/>
      <c r="N700" s="812"/>
    </row>
    <row r="701" spans="12:14">
      <c r="M701" s="812"/>
      <c r="N701" s="812"/>
    </row>
    <row r="702" spans="12:14">
      <c r="M702" s="812"/>
      <c r="N702" s="812"/>
    </row>
    <row r="703" spans="12:14">
      <c r="M703" s="812"/>
      <c r="N703" s="812"/>
    </row>
    <row r="704" spans="12:14">
      <c r="M704" s="1242"/>
      <c r="N704" s="1242"/>
    </row>
    <row r="705" spans="12:14">
      <c r="M705" s="812"/>
      <c r="N705" s="812"/>
    </row>
    <row r="706" spans="12:14">
      <c r="M706" s="812"/>
      <c r="N706" s="812"/>
    </row>
    <row r="707" spans="12:14">
      <c r="M707" s="1051" t="s">
        <v>4298</v>
      </c>
      <c r="N707" s="1051"/>
    </row>
    <row r="708" spans="12:14">
      <c r="M708" s="812"/>
      <c r="N708" s="812"/>
    </row>
    <row r="709" spans="12:14">
      <c r="L709" s="1246" t="s">
        <v>12605</v>
      </c>
      <c r="M709" s="1242" t="s">
        <v>2214</v>
      </c>
      <c r="N709" s="1242" t="s">
        <v>12605</v>
      </c>
    </row>
    <row r="710" spans="12:14">
      <c r="M710" s="812" t="s">
        <v>2210</v>
      </c>
      <c r="N710" s="812"/>
    </row>
    <row r="711" spans="12:14">
      <c r="M711" s="812"/>
      <c r="N711" s="812"/>
    </row>
    <row r="712" spans="12:14">
      <c r="M712" s="812"/>
      <c r="N712" s="812"/>
    </row>
    <row r="713" spans="12:14">
      <c r="M713" s="812"/>
      <c r="N713" s="812"/>
    </row>
    <row r="714" spans="12:14">
      <c r="L714" s="1246" t="s">
        <v>12606</v>
      </c>
      <c r="M714" s="1242" t="s">
        <v>2215</v>
      </c>
      <c r="N714" s="1242" t="s">
        <v>12606</v>
      </c>
    </row>
    <row r="715" spans="12:14">
      <c r="M715" s="812"/>
      <c r="N715" s="812"/>
    </row>
    <row r="716" spans="12:14">
      <c r="M716" s="812" t="s">
        <v>2215</v>
      </c>
      <c r="N716" s="812"/>
    </row>
    <row r="717" spans="12:14">
      <c r="M717" s="812"/>
      <c r="N717" s="812"/>
    </row>
    <row r="718" spans="12:14">
      <c r="M718" s="812"/>
      <c r="N718" s="812"/>
    </row>
    <row r="719" spans="12:14">
      <c r="M719" s="812"/>
      <c r="N719" s="812"/>
    </row>
    <row r="720" spans="12:14">
      <c r="M720" s="812"/>
      <c r="N720" s="812"/>
    </row>
    <row r="721" spans="12:14">
      <c r="M721" s="812"/>
      <c r="N721" s="812"/>
    </row>
    <row r="722" spans="12:14">
      <c r="M722" s="812"/>
      <c r="N722" s="812"/>
    </row>
    <row r="723" spans="12:14">
      <c r="M723" s="812"/>
      <c r="N723" s="812"/>
    </row>
    <row r="724" spans="12:14">
      <c r="M724" s="1242"/>
      <c r="N724" s="1242"/>
    </row>
    <row r="725" spans="12:14">
      <c r="M725" s="812" t="s">
        <v>9103</v>
      </c>
      <c r="N725" s="812"/>
    </row>
    <row r="726" spans="12:14">
      <c r="M726" s="812"/>
      <c r="N726" s="812"/>
    </row>
    <row r="727" spans="12:14">
      <c r="L727" s="1246" t="s">
        <v>12620</v>
      </c>
      <c r="M727" s="1242" t="s">
        <v>9106</v>
      </c>
      <c r="N727" s="1242" t="s">
        <v>12620</v>
      </c>
    </row>
    <row r="728" spans="12:14">
      <c r="M728" s="812" t="s">
        <v>9108</v>
      </c>
      <c r="N728" s="812"/>
    </row>
    <row r="729" spans="12:14">
      <c r="L729" s="1246" t="s">
        <v>12597</v>
      </c>
      <c r="M729" s="1242" t="s">
        <v>2198</v>
      </c>
      <c r="N729" s="1242" t="s">
        <v>12597</v>
      </c>
    </row>
    <row r="730" spans="12:14">
      <c r="M730" s="812" t="s">
        <v>9111</v>
      </c>
      <c r="N730" s="812"/>
    </row>
    <row r="731" spans="12:14">
      <c r="M731" s="812"/>
      <c r="N731" s="812"/>
    </row>
    <row r="732" spans="12:14">
      <c r="M732" s="812"/>
      <c r="N732" s="812"/>
    </row>
    <row r="733" spans="12:14">
      <c r="M733" s="812"/>
      <c r="N733" s="812"/>
    </row>
    <row r="734" spans="12:14">
      <c r="M734" s="812"/>
      <c r="N734" s="812"/>
    </row>
    <row r="735" spans="12:14">
      <c r="L735" s="1246" t="s">
        <v>12609</v>
      </c>
      <c r="M735" s="1242" t="s">
        <v>2241</v>
      </c>
      <c r="N735" s="1242" t="s">
        <v>12609</v>
      </c>
    </row>
    <row r="736" spans="12:14">
      <c r="M736" s="812" t="s">
        <v>9119</v>
      </c>
      <c r="N736" s="812"/>
    </row>
    <row r="737" spans="12:14">
      <c r="M737" s="812"/>
      <c r="N737" s="812"/>
    </row>
    <row r="738" spans="12:14">
      <c r="M738" s="812"/>
      <c r="N738" s="812"/>
    </row>
    <row r="739" spans="12:14">
      <c r="M739" s="812"/>
      <c r="N739" s="812"/>
    </row>
    <row r="740" spans="12:14">
      <c r="M740" s="812" t="s">
        <v>9065</v>
      </c>
      <c r="N740" s="812"/>
    </row>
    <row r="741" spans="12:14">
      <c r="M741" s="812" t="s">
        <v>9068</v>
      </c>
      <c r="N741" s="812"/>
    </row>
    <row r="742" spans="12:14">
      <c r="M742" s="812"/>
      <c r="N742" s="812"/>
    </row>
    <row r="743" spans="12:14">
      <c r="L743" s="1246" t="s">
        <v>12608</v>
      </c>
      <c r="M743" s="1242" t="s">
        <v>3703</v>
      </c>
      <c r="N743" s="1242" t="s">
        <v>12608</v>
      </c>
    </row>
    <row r="744" spans="12:14">
      <c r="M744" s="812" t="s">
        <v>2966</v>
      </c>
      <c r="N744" s="812"/>
    </row>
    <row r="745" spans="12:14">
      <c r="M745" s="812"/>
      <c r="N745" s="812"/>
    </row>
    <row r="746" spans="12:14">
      <c r="M746" s="812"/>
      <c r="N746" s="812"/>
    </row>
    <row r="747" spans="12:14">
      <c r="M747" s="812"/>
      <c r="N747" s="812"/>
    </row>
    <row r="748" spans="12:14">
      <c r="M748" s="1242"/>
      <c r="N748" s="1242"/>
    </row>
    <row r="749" spans="12:14">
      <c r="L749" s="1246" t="s">
        <v>12615</v>
      </c>
      <c r="M749" s="1242" t="s">
        <v>9130</v>
      </c>
      <c r="N749" s="1242" t="s">
        <v>12615</v>
      </c>
    </row>
    <row r="750" spans="12:14">
      <c r="M750" s="812"/>
      <c r="N750" s="812"/>
    </row>
    <row r="751" spans="12:14">
      <c r="M751" s="812"/>
      <c r="N751" s="812"/>
    </row>
    <row r="752" spans="12:14">
      <c r="M752" s="812"/>
      <c r="N752" s="812"/>
    </row>
    <row r="753" spans="12:14">
      <c r="M753" s="812"/>
      <c r="N753" s="812"/>
    </row>
    <row r="754" spans="12:14">
      <c r="M754" s="812"/>
      <c r="N754" s="812"/>
    </row>
    <row r="755" spans="12:14">
      <c r="M755" s="812" t="s">
        <v>9136</v>
      </c>
      <c r="N755" s="812"/>
    </row>
    <row r="756" spans="12:14">
      <c r="M756" s="812" t="s">
        <v>9138</v>
      </c>
      <c r="N756" s="812"/>
    </row>
    <row r="757" spans="12:14">
      <c r="M757" s="812"/>
      <c r="N757" s="812"/>
    </row>
    <row r="758" spans="12:14">
      <c r="L758" s="1246" t="s">
        <v>12606</v>
      </c>
      <c r="M758" s="1242" t="s">
        <v>8682</v>
      </c>
      <c r="N758" s="1242" t="s">
        <v>12606</v>
      </c>
    </row>
    <row r="759" spans="12:14">
      <c r="M759" s="812"/>
      <c r="N759" s="812"/>
    </row>
    <row r="760" spans="12:14">
      <c r="M760" s="812"/>
      <c r="N760" s="812"/>
    </row>
    <row r="761" spans="12:14">
      <c r="M761" s="812"/>
      <c r="N761" s="812"/>
    </row>
    <row r="762" spans="12:14">
      <c r="M762" s="812"/>
      <c r="N762" s="812"/>
    </row>
    <row r="763" spans="12:14">
      <c r="M763" s="812"/>
      <c r="N763" s="812"/>
    </row>
    <row r="764" spans="12:14">
      <c r="M764" s="812" t="s">
        <v>9147</v>
      </c>
      <c r="N764" s="812"/>
    </row>
    <row r="765" spans="12:14">
      <c r="M765" s="812" t="s">
        <v>2243</v>
      </c>
      <c r="N765" s="812"/>
    </row>
    <row r="766" spans="12:14">
      <c r="L766" s="1246" t="s">
        <v>12611</v>
      </c>
      <c r="M766" s="1242" t="s">
        <v>2218</v>
      </c>
      <c r="N766" s="1242" t="s">
        <v>12611</v>
      </c>
    </row>
    <row r="767" spans="12:14">
      <c r="M767" s="812"/>
      <c r="N767" s="812"/>
    </row>
    <row r="768" spans="12:14">
      <c r="M768" s="932" t="s">
        <v>1985</v>
      </c>
      <c r="N768" s="932"/>
    </row>
    <row r="769" spans="12:14">
      <c r="M769" s="1242"/>
      <c r="N769" s="1242"/>
    </row>
    <row r="770" spans="12:14">
      <c r="M770" s="812"/>
      <c r="N770" s="812"/>
    </row>
    <row r="771" spans="12:14">
      <c r="M771" s="812"/>
      <c r="N771" s="812"/>
    </row>
    <row r="772" spans="12:14">
      <c r="M772" s="1242"/>
      <c r="N772" s="1242"/>
    </row>
    <row r="773" spans="12:14">
      <c r="M773" s="812" t="s">
        <v>2244</v>
      </c>
      <c r="N773" s="812"/>
    </row>
    <row r="774" spans="12:14">
      <c r="M774" s="812"/>
      <c r="N774" s="812"/>
    </row>
    <row r="775" spans="12:14">
      <c r="L775" s="1246" t="s">
        <v>12597</v>
      </c>
      <c r="M775" s="1242" t="s">
        <v>8632</v>
      </c>
      <c r="N775" s="1242" t="s">
        <v>12597</v>
      </c>
    </row>
    <row r="776" spans="12:14">
      <c r="M776" s="1242"/>
      <c r="N776" s="1242"/>
    </row>
    <row r="777" spans="12:14">
      <c r="M777" s="812" t="s">
        <v>9169</v>
      </c>
      <c r="N777" s="812"/>
    </row>
    <row r="778" spans="12:14">
      <c r="M778" s="812"/>
      <c r="N778" s="812"/>
    </row>
    <row r="779" spans="12:14">
      <c r="M779" s="812"/>
      <c r="N779" s="812"/>
    </row>
    <row r="780" spans="12:14">
      <c r="M780" s="812"/>
      <c r="N780" s="812"/>
    </row>
    <row r="781" spans="12:14">
      <c r="M781" s="812"/>
      <c r="N781" s="812"/>
    </row>
    <row r="782" spans="12:14">
      <c r="M782" s="812"/>
      <c r="N782" s="812"/>
    </row>
    <row r="783" spans="12:14">
      <c r="M783" s="812"/>
      <c r="N783" s="812"/>
    </row>
    <row r="784" spans="12:14">
      <c r="L784" s="1246" t="s">
        <v>12606</v>
      </c>
      <c r="M784" s="1242" t="s">
        <v>2215</v>
      </c>
      <c r="N784" s="1242" t="s">
        <v>12606</v>
      </c>
    </row>
    <row r="785" spans="12:14">
      <c r="M785" s="812"/>
      <c r="N785" s="812"/>
    </row>
    <row r="786" spans="12:14">
      <c r="M786" s="812"/>
      <c r="N786" s="812"/>
    </row>
    <row r="787" spans="12:14">
      <c r="M787" s="812" t="s">
        <v>2212</v>
      </c>
      <c r="N787" s="812"/>
    </row>
    <row r="788" spans="12:14">
      <c r="M788" s="812" t="s">
        <v>2212</v>
      </c>
      <c r="N788" s="812"/>
    </row>
    <row r="789" spans="12:14">
      <c r="L789" s="1246" t="s">
        <v>12606</v>
      </c>
      <c r="M789" s="1242" t="s">
        <v>9185</v>
      </c>
      <c r="N789" s="1242" t="s">
        <v>12606</v>
      </c>
    </row>
    <row r="790" spans="12:14">
      <c r="M790" s="812" t="s">
        <v>9188</v>
      </c>
      <c r="N790" s="812"/>
    </row>
    <row r="791" spans="12:14">
      <c r="M791" s="812" t="s">
        <v>9191</v>
      </c>
      <c r="N791" s="812"/>
    </row>
    <row r="792" spans="12:14">
      <c r="M792" s="812" t="s">
        <v>2245</v>
      </c>
      <c r="N792" s="812"/>
    </row>
    <row r="793" spans="12:14">
      <c r="M793" s="812" t="s">
        <v>9191</v>
      </c>
      <c r="N793" s="812"/>
    </row>
    <row r="794" spans="12:14">
      <c r="M794" s="812"/>
      <c r="N794" s="812"/>
    </row>
    <row r="795" spans="12:14">
      <c r="M795" s="812"/>
      <c r="N795" s="812"/>
    </row>
    <row r="796" spans="12:14">
      <c r="M796" s="812"/>
      <c r="N796" s="812"/>
    </row>
    <row r="797" spans="12:14">
      <c r="M797" s="812"/>
      <c r="N797" s="812"/>
    </row>
    <row r="798" spans="12:14">
      <c r="M798" s="812"/>
      <c r="N798" s="812"/>
    </row>
    <row r="799" spans="12:14">
      <c r="M799" s="812"/>
      <c r="N799" s="812"/>
    </row>
    <row r="800" spans="12:14">
      <c r="M800" s="812"/>
      <c r="N800" s="812"/>
    </row>
    <row r="801" spans="13:14">
      <c r="M801" s="812"/>
      <c r="N801" s="812"/>
    </row>
    <row r="802" spans="13:14">
      <c r="M802" s="812"/>
      <c r="N802" s="812"/>
    </row>
    <row r="803" spans="13:14">
      <c r="M803" s="812"/>
      <c r="N803" s="812"/>
    </row>
    <row r="804" spans="13:14">
      <c r="M804" s="812"/>
      <c r="N804" s="812"/>
    </row>
    <row r="805" spans="13:14">
      <c r="M805" s="812"/>
      <c r="N805" s="812"/>
    </row>
    <row r="806" spans="13:14">
      <c r="M806" s="812"/>
      <c r="N806" s="812"/>
    </row>
    <row r="807" spans="13:14">
      <c r="M807" s="812"/>
      <c r="N807" s="812"/>
    </row>
    <row r="808" spans="13:14">
      <c r="M808" s="812"/>
      <c r="N808" s="812"/>
    </row>
    <row r="809" spans="13:14">
      <c r="M809" s="1242"/>
      <c r="N809" s="1242"/>
    </row>
    <row r="810" spans="13:14">
      <c r="M810" s="812"/>
      <c r="N810" s="812"/>
    </row>
    <row r="811" spans="13:14">
      <c r="M811" s="812" t="s">
        <v>2225</v>
      </c>
      <c r="N811" s="812"/>
    </row>
    <row r="812" spans="13:14">
      <c r="M812" s="932"/>
      <c r="N812" s="932"/>
    </row>
    <row r="813" spans="13:14">
      <c r="M813" s="812" t="s">
        <v>2225</v>
      </c>
      <c r="N813" s="812"/>
    </row>
    <row r="814" spans="13:14">
      <c r="M814" s="812"/>
      <c r="N814" s="812"/>
    </row>
    <row r="815" spans="13:14">
      <c r="M815" s="812"/>
      <c r="N815" s="812"/>
    </row>
    <row r="816" spans="13:14">
      <c r="M816" s="812"/>
      <c r="N816" s="812"/>
    </row>
    <row r="817" spans="12:14">
      <c r="M817" s="1051" t="s">
        <v>2199</v>
      </c>
      <c r="N817" s="1051"/>
    </row>
    <row r="818" spans="12:14">
      <c r="M818" s="812" t="s">
        <v>2199</v>
      </c>
      <c r="N818" s="812"/>
    </row>
    <row r="819" spans="12:14">
      <c r="L819" s="1246" t="s">
        <v>12597</v>
      </c>
      <c r="M819" s="1242" t="s">
        <v>8632</v>
      </c>
      <c r="N819" s="1242" t="s">
        <v>12597</v>
      </c>
    </row>
    <row r="820" spans="12:14">
      <c r="M820" s="812" t="s">
        <v>9231</v>
      </c>
      <c r="N820" s="812"/>
    </row>
    <row r="821" spans="12:14">
      <c r="M821" s="812" t="s">
        <v>2246</v>
      </c>
      <c r="N821" s="812"/>
    </row>
    <row r="822" spans="12:14">
      <c r="M822" s="812" t="s">
        <v>9235</v>
      </c>
      <c r="N822" s="812"/>
    </row>
    <row r="823" spans="12:14">
      <c r="M823" s="1051"/>
      <c r="N823" s="1051"/>
    </row>
    <row r="824" spans="12:14">
      <c r="M824" s="932"/>
      <c r="N824" s="932"/>
    </row>
    <row r="825" spans="12:14">
      <c r="M825" s="812"/>
      <c r="N825" s="812"/>
    </row>
    <row r="826" spans="12:14">
      <c r="M826" s="812"/>
      <c r="N826" s="812"/>
    </row>
    <row r="827" spans="12:14">
      <c r="M827" s="812"/>
      <c r="N827" s="812"/>
    </row>
    <row r="828" spans="12:14">
      <c r="M828" s="812"/>
      <c r="N828" s="812"/>
    </row>
    <row r="829" spans="12:14">
      <c r="M829" s="812"/>
      <c r="N829" s="812"/>
    </row>
    <row r="830" spans="12:14">
      <c r="M830" s="812"/>
      <c r="N830" s="812"/>
    </row>
    <row r="831" spans="12:14">
      <c r="M831" s="812" t="s">
        <v>9249</v>
      </c>
      <c r="N831" s="812"/>
    </row>
    <row r="832" spans="12:14">
      <c r="M832" s="812"/>
      <c r="N832" s="812"/>
    </row>
    <row r="833" spans="12:14">
      <c r="M833" s="812"/>
      <c r="N833" s="812"/>
    </row>
    <row r="834" spans="12:14">
      <c r="M834" s="812"/>
      <c r="N834" s="812"/>
    </row>
    <row r="835" spans="12:14">
      <c r="M835" s="812"/>
      <c r="N835" s="812"/>
    </row>
    <row r="836" spans="12:14">
      <c r="M836" s="812"/>
      <c r="N836" s="812"/>
    </row>
    <row r="837" spans="12:14">
      <c r="M837" s="812" t="s">
        <v>9258</v>
      </c>
      <c r="N837" s="812"/>
    </row>
    <row r="838" spans="12:14">
      <c r="M838" s="812"/>
      <c r="N838" s="812"/>
    </row>
    <row r="839" spans="12:14">
      <c r="M839" s="812"/>
      <c r="N839" s="812"/>
    </row>
    <row r="840" spans="12:14">
      <c r="M840" s="812"/>
      <c r="N840" s="812"/>
    </row>
    <row r="841" spans="12:14">
      <c r="L841" s="1246" t="s">
        <v>12611</v>
      </c>
      <c r="M841" s="1242" t="s">
        <v>9265</v>
      </c>
      <c r="N841" s="1242" t="s">
        <v>12611</v>
      </c>
    </row>
    <row r="842" spans="12:14">
      <c r="M842" s="812" t="s">
        <v>9269</v>
      </c>
      <c r="N842" s="812"/>
    </row>
    <row r="843" spans="12:14">
      <c r="M843" s="812" t="s">
        <v>2214</v>
      </c>
      <c r="N843" s="812"/>
    </row>
    <row r="844" spans="12:14">
      <c r="M844" s="812"/>
      <c r="N844" s="812"/>
    </row>
    <row r="845" spans="12:14">
      <c r="M845" s="812"/>
      <c r="N845" s="812"/>
    </row>
    <row r="846" spans="12:14">
      <c r="M846" s="812"/>
      <c r="N846" s="812"/>
    </row>
    <row r="847" spans="12:14">
      <c r="M847" s="812"/>
      <c r="N847" s="812"/>
    </row>
    <row r="848" spans="12:14">
      <c r="M848" s="812"/>
      <c r="N848" s="812"/>
    </row>
    <row r="849" spans="12:14">
      <c r="M849" s="812"/>
      <c r="N849" s="812"/>
    </row>
    <row r="850" spans="12:14">
      <c r="M850" s="812"/>
      <c r="N850" s="812"/>
    </row>
    <row r="851" spans="12:14">
      <c r="M851" s="812"/>
      <c r="N851" s="812"/>
    </row>
    <row r="852" spans="12:14">
      <c r="M852" s="812"/>
      <c r="N852" s="812"/>
    </row>
    <row r="853" spans="12:14">
      <c r="M853" s="812"/>
      <c r="N853" s="812"/>
    </row>
    <row r="854" spans="12:14">
      <c r="M854" s="812"/>
      <c r="N854" s="812"/>
    </row>
    <row r="855" spans="12:14">
      <c r="M855" s="812"/>
      <c r="N855" s="812"/>
    </row>
    <row r="856" spans="12:14">
      <c r="M856" s="812"/>
      <c r="N856" s="812"/>
    </row>
    <row r="857" spans="12:14">
      <c r="M857" s="812"/>
      <c r="N857" s="812"/>
    </row>
    <row r="858" spans="12:14">
      <c r="M858" s="812"/>
      <c r="N858" s="812"/>
    </row>
    <row r="859" spans="12:14">
      <c r="M859" s="812"/>
      <c r="N859" s="812"/>
    </row>
    <row r="860" spans="12:14">
      <c r="L860" s="1246" t="s">
        <v>12608</v>
      </c>
      <c r="M860" s="1242" t="s">
        <v>9290</v>
      </c>
      <c r="N860" s="1242" t="s">
        <v>12608</v>
      </c>
    </row>
    <row r="861" spans="12:14">
      <c r="M861" s="812"/>
      <c r="N861" s="812"/>
    </row>
    <row r="862" spans="12:14">
      <c r="M862" s="812"/>
      <c r="N862" s="812"/>
    </row>
    <row r="863" spans="12:14">
      <c r="M863" s="812"/>
      <c r="N863" s="812"/>
    </row>
    <row r="864" spans="12:14">
      <c r="M864" s="812"/>
      <c r="N864" s="812"/>
    </row>
    <row r="865" spans="12:14">
      <c r="M865" s="812"/>
      <c r="N865" s="812"/>
    </row>
    <row r="866" spans="12:14">
      <c r="L866" s="1246" t="s">
        <v>12608</v>
      </c>
      <c r="M866" s="1242" t="s">
        <v>1882</v>
      </c>
      <c r="N866" s="1242" t="s">
        <v>12608</v>
      </c>
    </row>
    <row r="867" spans="12:14">
      <c r="M867" s="812"/>
      <c r="N867" s="812"/>
    </row>
    <row r="868" spans="12:14">
      <c r="M868" s="812"/>
      <c r="N868" s="812"/>
    </row>
    <row r="869" spans="12:14">
      <c r="M869" s="812"/>
      <c r="N869" s="812"/>
    </row>
    <row r="870" spans="12:14">
      <c r="M870" s="812"/>
      <c r="N870" s="812"/>
    </row>
    <row r="871" spans="12:14">
      <c r="M871" s="812"/>
      <c r="N871" s="812"/>
    </row>
    <row r="872" spans="12:14">
      <c r="M872" s="812"/>
      <c r="N872" s="812"/>
    </row>
    <row r="873" spans="12:14">
      <c r="M873" s="812"/>
      <c r="N873" s="812"/>
    </row>
    <row r="874" spans="12:14">
      <c r="M874" s="812"/>
      <c r="N874" s="812"/>
    </row>
    <row r="875" spans="12:14">
      <c r="L875" s="1246" t="s">
        <v>12606</v>
      </c>
      <c r="M875" s="1242" t="s">
        <v>9307</v>
      </c>
      <c r="N875" s="1242" t="s">
        <v>12606</v>
      </c>
    </row>
    <row r="876" spans="12:14">
      <c r="M876" s="941"/>
      <c r="N876" s="941"/>
    </row>
    <row r="877" spans="12:14">
      <c r="M877" s="941"/>
      <c r="N877" s="941"/>
    </row>
    <row r="878" spans="12:14">
      <c r="L878" s="1246" t="s">
        <v>12606</v>
      </c>
      <c r="M878" s="1242" t="s">
        <v>9311</v>
      </c>
      <c r="N878" s="1242" t="s">
        <v>12606</v>
      </c>
    </row>
    <row r="879" spans="12:14">
      <c r="M879" s="932"/>
      <c r="N879" s="932"/>
    </row>
    <row r="880" spans="12:14">
      <c r="M880" s="812"/>
      <c r="N880" s="812"/>
    </row>
    <row r="881" spans="13:14">
      <c r="M881" s="812"/>
      <c r="N881" s="812"/>
    </row>
    <row r="882" spans="13:14">
      <c r="M882" s="812"/>
      <c r="N882" s="812"/>
    </row>
    <row r="883" spans="13:14">
      <c r="M883" s="812"/>
      <c r="N883" s="812"/>
    </row>
    <row r="884" spans="13:14">
      <c r="M884" s="812"/>
      <c r="N884" s="812"/>
    </row>
    <row r="885" spans="13:14">
      <c r="M885" s="812"/>
      <c r="N885" s="812"/>
    </row>
    <row r="886" spans="13:14">
      <c r="M886" s="812"/>
      <c r="N886" s="812"/>
    </row>
    <row r="887" spans="13:14">
      <c r="M887" s="812"/>
      <c r="N887" s="812"/>
    </row>
    <row r="888" spans="13:14">
      <c r="M888" s="812"/>
      <c r="N888" s="812"/>
    </row>
    <row r="889" spans="13:14">
      <c r="M889" s="812"/>
      <c r="N889" s="812"/>
    </row>
    <row r="890" spans="13:14">
      <c r="M890" s="1242"/>
      <c r="N890" s="1242"/>
    </row>
    <row r="891" spans="13:14">
      <c r="M891" s="812"/>
      <c r="N891" s="812"/>
    </row>
    <row r="892" spans="13:14">
      <c r="M892" s="812"/>
      <c r="N892" s="812"/>
    </row>
    <row r="893" spans="13:14">
      <c r="M893" s="812"/>
      <c r="N893" s="812"/>
    </row>
    <row r="894" spans="13:14">
      <c r="M894" s="812"/>
      <c r="N894" s="812"/>
    </row>
    <row r="895" spans="13:14">
      <c r="M895" s="812"/>
      <c r="N895" s="812"/>
    </row>
    <row r="896" spans="13:14">
      <c r="M896" s="812"/>
      <c r="N896" s="812"/>
    </row>
    <row r="897" spans="13:14">
      <c r="M897" s="812"/>
      <c r="N897" s="812"/>
    </row>
    <row r="898" spans="13:14">
      <c r="M898" s="812"/>
      <c r="N898" s="812"/>
    </row>
    <row r="899" spans="13:14">
      <c r="M899" s="812"/>
      <c r="N899" s="812"/>
    </row>
    <row r="900" spans="13:14">
      <c r="M900" s="812"/>
      <c r="N900" s="812"/>
    </row>
    <row r="901" spans="13:14">
      <c r="M901" s="812"/>
      <c r="N901" s="812"/>
    </row>
    <row r="902" spans="13:14">
      <c r="M902" s="812"/>
      <c r="N902" s="812"/>
    </row>
    <row r="903" spans="13:14">
      <c r="M903" s="812"/>
      <c r="N903" s="812"/>
    </row>
    <row r="904" spans="13:14">
      <c r="M904" s="812"/>
      <c r="N904" s="812"/>
    </row>
    <row r="905" spans="13:14">
      <c r="M905" s="812"/>
      <c r="N905" s="812"/>
    </row>
    <row r="906" spans="13:14">
      <c r="M906" s="812"/>
      <c r="N906" s="812"/>
    </row>
    <row r="907" spans="13:14">
      <c r="M907" s="1242"/>
      <c r="N907" s="1242"/>
    </row>
    <row r="908" spans="13:14">
      <c r="M908" s="812"/>
      <c r="N908" s="812"/>
    </row>
    <row r="909" spans="13:14">
      <c r="M909" s="941" t="s">
        <v>2220</v>
      </c>
      <c r="N909" s="941"/>
    </row>
    <row r="910" spans="13:14">
      <c r="M910" s="812"/>
      <c r="N910" s="812"/>
    </row>
    <row r="911" spans="13:14">
      <c r="M911" s="812"/>
      <c r="N911" s="812"/>
    </row>
    <row r="912" spans="13:14">
      <c r="M912" s="812"/>
      <c r="N912" s="812"/>
    </row>
    <row r="913" spans="13:14">
      <c r="M913" s="1242"/>
      <c r="N913" s="1242"/>
    </row>
    <row r="914" spans="13:14">
      <c r="M914" s="932"/>
      <c r="N914" s="932"/>
    </row>
    <row r="915" spans="13:14">
      <c r="M915" s="812"/>
      <c r="N915" s="812"/>
    </row>
    <row r="916" spans="13:14">
      <c r="M916" s="812"/>
      <c r="N916" s="812"/>
    </row>
    <row r="917" spans="13:14">
      <c r="M917" s="812"/>
      <c r="N917" s="812"/>
    </row>
    <row r="918" spans="13:14">
      <c r="M918" s="812"/>
      <c r="N918" s="812"/>
    </row>
    <row r="919" spans="13:14">
      <c r="M919" s="812"/>
      <c r="N919" s="812"/>
    </row>
    <row r="920" spans="13:14">
      <c r="M920" s="812"/>
      <c r="N920" s="812"/>
    </row>
    <row r="921" spans="13:14">
      <c r="M921" s="812"/>
      <c r="N921" s="812"/>
    </row>
    <row r="922" spans="13:14">
      <c r="M922" s="812"/>
      <c r="N922" s="812"/>
    </row>
    <row r="923" spans="13:14">
      <c r="M923" s="812"/>
      <c r="N923" s="812"/>
    </row>
    <row r="924" spans="13:14">
      <c r="M924" s="812"/>
      <c r="N924" s="812"/>
    </row>
    <row r="925" spans="13:14">
      <c r="M925" s="812"/>
      <c r="N925" s="812"/>
    </row>
    <row r="926" spans="13:14">
      <c r="M926" s="812"/>
      <c r="N926" s="812"/>
    </row>
    <row r="927" spans="13:14">
      <c r="M927" s="812"/>
      <c r="N927" s="812"/>
    </row>
    <row r="928" spans="13:14">
      <c r="M928" s="812"/>
      <c r="N928" s="812"/>
    </row>
    <row r="929" spans="12:14">
      <c r="M929" s="812"/>
      <c r="N929" s="812"/>
    </row>
    <row r="930" spans="12:14">
      <c r="M930" s="812"/>
      <c r="N930" s="812"/>
    </row>
    <row r="931" spans="12:14">
      <c r="L931" s="1246" t="s">
        <v>12606</v>
      </c>
      <c r="M931" s="1242" t="s">
        <v>9363</v>
      </c>
      <c r="N931" s="1242" t="s">
        <v>12606</v>
      </c>
    </row>
    <row r="932" spans="12:14">
      <c r="M932" s="812"/>
      <c r="N932" s="812"/>
    </row>
    <row r="933" spans="12:14">
      <c r="M933" s="812"/>
      <c r="N933" s="812"/>
    </row>
    <row r="934" spans="12:14">
      <c r="M934" s="812"/>
      <c r="N934" s="812"/>
    </row>
    <row r="935" spans="12:14">
      <c r="M935" s="812" t="s">
        <v>9370</v>
      </c>
      <c r="N935" s="812"/>
    </row>
    <row r="936" spans="12:14">
      <c r="M936" s="812"/>
      <c r="N936" s="812"/>
    </row>
    <row r="937" spans="12:14">
      <c r="L937" s="1246" t="s">
        <v>12612</v>
      </c>
      <c r="M937" s="1242" t="s">
        <v>4299</v>
      </c>
      <c r="N937" s="1242" t="s">
        <v>12612</v>
      </c>
    </row>
    <row r="938" spans="12:14">
      <c r="M938" s="812"/>
      <c r="N938" s="812"/>
    </row>
    <row r="939" spans="12:14">
      <c r="M939" s="812"/>
      <c r="N939" s="812"/>
    </row>
    <row r="940" spans="12:14">
      <c r="M940" s="812" t="s">
        <v>9382</v>
      </c>
      <c r="N940" s="812"/>
    </row>
    <row r="941" spans="12:14">
      <c r="M941" s="1051" t="s">
        <v>2966</v>
      </c>
      <c r="N941" s="1051"/>
    </row>
    <row r="942" spans="12:14">
      <c r="M942" s="812"/>
      <c r="N942" s="812"/>
    </row>
    <row r="943" spans="12:14">
      <c r="M943" s="812"/>
      <c r="N943" s="812"/>
    </row>
    <row r="944" spans="12:14">
      <c r="M944" s="812"/>
      <c r="N944" s="812"/>
    </row>
    <row r="945" spans="12:14">
      <c r="M945" s="812"/>
      <c r="N945" s="812"/>
    </row>
    <row r="946" spans="12:14">
      <c r="M946" s="1051" t="s">
        <v>11308</v>
      </c>
      <c r="N946" s="1051"/>
    </row>
    <row r="947" spans="12:14">
      <c r="M947" s="812" t="s">
        <v>2235</v>
      </c>
      <c r="N947" s="812"/>
    </row>
    <row r="948" spans="12:14">
      <c r="M948" s="812"/>
      <c r="N948" s="812"/>
    </row>
    <row r="949" spans="12:14">
      <c r="M949" s="812"/>
      <c r="N949" s="812"/>
    </row>
    <row r="950" spans="12:14">
      <c r="M950" s="812"/>
      <c r="N950" s="812"/>
    </row>
    <row r="951" spans="12:14">
      <c r="M951" s="812"/>
      <c r="N951" s="812"/>
    </row>
    <row r="952" spans="12:14">
      <c r="M952" s="812"/>
      <c r="N952" s="812"/>
    </row>
    <row r="953" spans="12:14">
      <c r="L953" s="1246" t="s">
        <v>12611</v>
      </c>
      <c r="M953" s="1242" t="s">
        <v>9396</v>
      </c>
      <c r="N953" s="1242" t="s">
        <v>12611</v>
      </c>
    </row>
    <row r="954" spans="12:14">
      <c r="M954" s="812"/>
      <c r="N954" s="812"/>
    </row>
    <row r="955" spans="12:14">
      <c r="M955" s="812" t="s">
        <v>2225</v>
      </c>
      <c r="N955" s="812"/>
    </row>
    <row r="956" spans="12:14">
      <c r="M956" s="812" t="s">
        <v>9403</v>
      </c>
      <c r="N956" s="812"/>
    </row>
    <row r="957" spans="12:14">
      <c r="L957" s="1246" t="s">
        <v>12605</v>
      </c>
      <c r="M957" s="1242" t="s">
        <v>2220</v>
      </c>
      <c r="N957" s="1242" t="s">
        <v>12605</v>
      </c>
    </row>
    <row r="958" spans="12:14">
      <c r="M958" s="812"/>
      <c r="N958" s="812"/>
    </row>
    <row r="959" spans="12:14">
      <c r="M959" s="812"/>
      <c r="N959" s="812"/>
    </row>
    <row r="960" spans="12:14">
      <c r="M960" s="812"/>
      <c r="N960" s="812"/>
    </row>
    <row r="961" spans="12:14">
      <c r="M961" s="812"/>
      <c r="N961" s="812"/>
    </row>
    <row r="962" spans="12:14">
      <c r="L962" s="1246" t="s">
        <v>12606</v>
      </c>
      <c r="M962" s="1242" t="s">
        <v>11720</v>
      </c>
      <c r="N962" s="1242" t="s">
        <v>12606</v>
      </c>
    </row>
    <row r="963" spans="12:14">
      <c r="M963" s="812" t="s">
        <v>11076</v>
      </c>
      <c r="N963" s="812"/>
    </row>
    <row r="964" spans="12:14">
      <c r="M964" s="812"/>
      <c r="N964" s="812"/>
    </row>
    <row r="965" spans="12:14">
      <c r="L965" s="1246" t="s">
        <v>12606</v>
      </c>
      <c r="M965" s="1242" t="s">
        <v>9409</v>
      </c>
      <c r="N965" s="1242" t="s">
        <v>12606</v>
      </c>
    </row>
    <row r="966" spans="12:14">
      <c r="M966" s="812"/>
      <c r="N966" s="812"/>
    </row>
    <row r="967" spans="12:14">
      <c r="M967" s="812"/>
      <c r="N967" s="812"/>
    </row>
    <row r="968" spans="12:14">
      <c r="M968" s="812"/>
      <c r="N968" s="812"/>
    </row>
    <row r="969" spans="12:14">
      <c r="M969" s="1051" t="s">
        <v>2240</v>
      </c>
      <c r="N969" s="1051"/>
    </row>
    <row r="970" spans="12:14">
      <c r="M970" s="812"/>
      <c r="N970" s="812"/>
    </row>
    <row r="971" spans="12:14">
      <c r="M971" s="812"/>
      <c r="N971" s="812"/>
    </row>
    <row r="972" spans="12:14">
      <c r="M972" s="812"/>
      <c r="N972" s="812"/>
    </row>
    <row r="973" spans="12:14">
      <c r="M973" s="812"/>
      <c r="N973" s="812"/>
    </row>
    <row r="974" spans="12:14">
      <c r="L974" s="1246" t="s">
        <v>12608</v>
      </c>
      <c r="M974" s="1242" t="s">
        <v>9419</v>
      </c>
      <c r="N974" s="1242" t="s">
        <v>12608</v>
      </c>
    </row>
    <row r="975" spans="12:14">
      <c r="M975" s="812"/>
      <c r="N975" s="812"/>
    </row>
    <row r="976" spans="12:14">
      <c r="M976" s="92" t="s">
        <v>9424</v>
      </c>
      <c r="N976" s="92"/>
    </row>
    <row r="977" spans="12:14">
      <c r="M977" s="92"/>
      <c r="N977" s="92"/>
    </row>
    <row r="978" spans="12:14">
      <c r="M978" s="92" t="s">
        <v>1928</v>
      </c>
      <c r="N978" s="92"/>
    </row>
    <row r="979" spans="12:14">
      <c r="M979" s="92"/>
      <c r="N979" s="92"/>
    </row>
    <row r="980" spans="12:14">
      <c r="M980" s="92" t="s">
        <v>9431</v>
      </c>
      <c r="N980" s="92"/>
    </row>
    <row r="981" spans="12:14">
      <c r="M981" s="812" t="s">
        <v>9434</v>
      </c>
      <c r="N981" s="812"/>
    </row>
    <row r="982" spans="12:14">
      <c r="M982" s="92"/>
      <c r="N982" s="92"/>
    </row>
    <row r="983" spans="12:14">
      <c r="M983" s="807"/>
      <c r="N983" s="807"/>
    </row>
    <row r="984" spans="12:14">
      <c r="L984" s="1246" t="s">
        <v>12608</v>
      </c>
      <c r="M984" s="1242" t="s">
        <v>9441</v>
      </c>
      <c r="N984" s="1242" t="s">
        <v>12608</v>
      </c>
    </row>
    <row r="985" spans="12:14">
      <c r="M985" s="812"/>
      <c r="N985" s="812"/>
    </row>
    <row r="986" spans="12:14">
      <c r="M986" s="812"/>
      <c r="N986" s="812"/>
    </row>
    <row r="987" spans="12:14">
      <c r="M987" s="812"/>
      <c r="N987" s="812"/>
    </row>
    <row r="988" spans="12:14">
      <c r="M988" s="812"/>
      <c r="N988" s="812"/>
    </row>
    <row r="989" spans="12:14">
      <c r="L989" s="1246" t="s">
        <v>12608</v>
      </c>
      <c r="M989" s="1242" t="s">
        <v>9419</v>
      </c>
      <c r="N989" s="1242" t="s">
        <v>12608</v>
      </c>
    </row>
    <row r="990" spans="12:14">
      <c r="M990" s="812"/>
      <c r="N990" s="812"/>
    </row>
    <row r="991" spans="12:14">
      <c r="M991" s="1242"/>
      <c r="N991" s="1242"/>
    </row>
    <row r="992" spans="12:14">
      <c r="M992" s="812"/>
      <c r="N992" s="812"/>
    </row>
    <row r="993" spans="12:14">
      <c r="M993" s="812"/>
      <c r="N993" s="812"/>
    </row>
    <row r="994" spans="12:14">
      <c r="M994" s="812"/>
      <c r="N994" s="812"/>
    </row>
    <row r="995" spans="12:14">
      <c r="M995" s="812"/>
      <c r="N995" s="812"/>
    </row>
    <row r="996" spans="12:14">
      <c r="M996" s="807"/>
      <c r="N996" s="807"/>
    </row>
    <row r="997" spans="12:14">
      <c r="L997" s="1246" t="s">
        <v>12606</v>
      </c>
      <c r="M997" s="1242" t="s">
        <v>1985</v>
      </c>
      <c r="N997" s="1242" t="s">
        <v>12606</v>
      </c>
    </row>
    <row r="998" spans="12:14">
      <c r="M998" s="812"/>
      <c r="N998" s="812"/>
    </row>
    <row r="999" spans="12:14">
      <c r="M999" s="812"/>
      <c r="N999" s="812"/>
    </row>
    <row r="1000" spans="12:14">
      <c r="M1000" s="812"/>
      <c r="N1000" s="812"/>
    </row>
    <row r="1001" spans="12:14">
      <c r="M1001" s="812"/>
      <c r="N1001" s="812"/>
    </row>
    <row r="1002" spans="12:14">
      <c r="M1002" s="1242"/>
      <c r="N1002" s="1242"/>
    </row>
    <row r="1003" spans="12:14">
      <c r="M1003" s="812" t="s">
        <v>2966</v>
      </c>
      <c r="N1003" s="812"/>
    </row>
    <row r="1004" spans="12:14">
      <c r="M1004" s="812"/>
      <c r="N1004" s="812"/>
    </row>
    <row r="1005" spans="12:14">
      <c r="L1005" s="1246" t="s">
        <v>12614</v>
      </c>
      <c r="M1005" s="1242" t="s">
        <v>9462</v>
      </c>
      <c r="N1005" s="1242" t="s">
        <v>12614</v>
      </c>
    </row>
    <row r="1006" spans="12:14">
      <c r="M1006" s="812"/>
      <c r="N1006" s="812"/>
    </row>
    <row r="1007" spans="12:14">
      <c r="M1007" s="812"/>
      <c r="N1007" s="812"/>
    </row>
    <row r="1008" spans="12:14">
      <c r="M1008" s="812"/>
      <c r="N1008" s="812"/>
    </row>
    <row r="1009" spans="12:14">
      <c r="L1009" s="1246" t="s">
        <v>12608</v>
      </c>
      <c r="M1009" s="1242" t="s">
        <v>1909</v>
      </c>
      <c r="N1009" s="1242" t="s">
        <v>12608</v>
      </c>
    </row>
    <row r="1010" spans="12:14">
      <c r="L1010" s="1246" t="s">
        <v>12608</v>
      </c>
      <c r="M1010" s="1242" t="s">
        <v>3490</v>
      </c>
      <c r="N1010" s="1242" t="s">
        <v>12608</v>
      </c>
    </row>
    <row r="1011" spans="12:14">
      <c r="M1011" s="812"/>
      <c r="N1011" s="812"/>
    </row>
    <row r="1012" spans="12:14">
      <c r="M1012" s="812"/>
      <c r="N1012" s="812"/>
    </row>
    <row r="1013" spans="12:14">
      <c r="M1013" s="812"/>
      <c r="N1013" s="812"/>
    </row>
    <row r="1014" spans="12:14">
      <c r="M1014" s="812"/>
      <c r="N1014" s="812"/>
    </row>
    <row r="1015" spans="12:14">
      <c r="M1015" s="812"/>
      <c r="N1015" s="812"/>
    </row>
    <row r="1016" spans="12:14">
      <c r="L1016" s="1246" t="s">
        <v>12615</v>
      </c>
      <c r="M1016" s="1242" t="s">
        <v>2968</v>
      </c>
      <c r="N1016" s="1242" t="s">
        <v>12615</v>
      </c>
    </row>
    <row r="1017" spans="12:14">
      <c r="M1017" s="807"/>
      <c r="N1017" s="807"/>
    </row>
    <row r="1018" spans="12:14">
      <c r="M1018" s="812" t="s">
        <v>9483</v>
      </c>
      <c r="N1018" s="812"/>
    </row>
    <row r="1019" spans="12:14">
      <c r="M1019" s="812"/>
      <c r="N1019" s="812"/>
    </row>
    <row r="1020" spans="12:14">
      <c r="M1020" s="812"/>
      <c r="N1020" s="812"/>
    </row>
    <row r="1021" spans="12:14">
      <c r="M1021" s="812"/>
      <c r="N1021" s="812"/>
    </row>
    <row r="1022" spans="12:14">
      <c r="M1022" s="812"/>
      <c r="N1022" s="812"/>
    </row>
    <row r="1023" spans="12:14">
      <c r="M1023" s="812"/>
      <c r="N1023" s="812"/>
    </row>
    <row r="1024" spans="12:14">
      <c r="M1024" s="812" t="s">
        <v>2212</v>
      </c>
      <c r="N1024" s="812"/>
    </row>
    <row r="1025" spans="12:14">
      <c r="M1025" s="812"/>
      <c r="N1025" s="812"/>
    </row>
    <row r="1026" spans="12:14">
      <c r="M1026" s="812"/>
      <c r="N1026" s="812"/>
    </row>
    <row r="1027" spans="12:14">
      <c r="L1027" s="1246" t="s">
        <v>12616</v>
      </c>
      <c r="M1027" s="1242" t="s">
        <v>9493</v>
      </c>
      <c r="N1027" s="1242" t="s">
        <v>12616</v>
      </c>
    </row>
    <row r="1028" spans="12:14">
      <c r="M1028" s="1242"/>
      <c r="N1028" s="1242"/>
    </row>
    <row r="1029" spans="12:14">
      <c r="L1029" s="1246" t="s">
        <v>12605</v>
      </c>
      <c r="M1029" s="1242" t="s">
        <v>9496</v>
      </c>
      <c r="N1029" s="1242" t="s">
        <v>12605</v>
      </c>
    </row>
    <row r="1030" spans="12:14">
      <c r="L1030" s="1246" t="s">
        <v>12604</v>
      </c>
      <c r="M1030" s="1242" t="s">
        <v>2972</v>
      </c>
      <c r="N1030" s="1242" t="s">
        <v>12604</v>
      </c>
    </row>
    <row r="1031" spans="12:14">
      <c r="M1031" s="812" t="s">
        <v>2198</v>
      </c>
      <c r="N1031" s="812"/>
    </row>
    <row r="1032" spans="12:14">
      <c r="M1032" s="812" t="s">
        <v>9501</v>
      </c>
      <c r="N1032" s="812"/>
    </row>
    <row r="1033" spans="12:14">
      <c r="M1033" s="93" t="s">
        <v>2223</v>
      </c>
      <c r="N1033" s="93"/>
    </row>
    <row r="1034" spans="12:14">
      <c r="M1034" s="812"/>
      <c r="N1034" s="812"/>
    </row>
    <row r="1035" spans="12:14">
      <c r="M1035" s="812"/>
      <c r="N1035" s="812"/>
    </row>
    <row r="1036" spans="12:14">
      <c r="M1036" s="812"/>
      <c r="N1036" s="812"/>
    </row>
    <row r="1037" spans="12:14">
      <c r="M1037" s="812" t="s">
        <v>9507</v>
      </c>
      <c r="N1037" s="812"/>
    </row>
    <row r="1038" spans="12:14">
      <c r="M1038" s="812"/>
      <c r="N1038" s="812"/>
    </row>
    <row r="1039" spans="12:14">
      <c r="M1039" s="812"/>
      <c r="N1039" s="812"/>
    </row>
    <row r="1040" spans="12:14">
      <c r="M1040" s="812"/>
      <c r="N1040" s="812"/>
    </row>
    <row r="1041" spans="12:14">
      <c r="L1041" s="1246" t="s">
        <v>12615</v>
      </c>
      <c r="M1041" s="1242" t="s">
        <v>2968</v>
      </c>
      <c r="N1041" s="1242" t="s">
        <v>12615</v>
      </c>
    </row>
    <row r="1042" spans="12:14">
      <c r="M1042" s="812"/>
      <c r="N1042" s="812"/>
    </row>
    <row r="1043" spans="12:14">
      <c r="M1043" s="812"/>
      <c r="N1043" s="812"/>
    </row>
    <row r="1044" spans="12:14">
      <c r="M1044" s="812" t="s">
        <v>8916</v>
      </c>
      <c r="N1044" s="812"/>
    </row>
    <row r="1045" spans="12:14">
      <c r="L1045" s="1246" t="s">
        <v>12615</v>
      </c>
      <c r="M1045" s="1242" t="s">
        <v>2205</v>
      </c>
      <c r="N1045" s="1242" t="s">
        <v>12615</v>
      </c>
    </row>
    <row r="1046" spans="12:14">
      <c r="M1046" s="812"/>
      <c r="N1046" s="812"/>
    </row>
    <row r="1047" spans="12:14">
      <c r="M1047" s="812" t="s">
        <v>2205</v>
      </c>
      <c r="N1047" s="812"/>
    </row>
    <row r="1048" spans="12:14">
      <c r="M1048" s="812"/>
      <c r="N1048" s="812"/>
    </row>
    <row r="1049" spans="12:14">
      <c r="M1049" s="812"/>
      <c r="N1049" s="812"/>
    </row>
    <row r="1050" spans="12:14">
      <c r="M1050" s="812"/>
      <c r="N1050" s="812"/>
    </row>
    <row r="1051" spans="12:14">
      <c r="M1051" s="812"/>
      <c r="N1051" s="812"/>
    </row>
    <row r="1052" spans="12:14">
      <c r="M1052" s="812"/>
      <c r="N1052" s="812"/>
    </row>
    <row r="1053" spans="12:14">
      <c r="M1053" s="812"/>
      <c r="N1053" s="812"/>
    </row>
    <row r="1054" spans="12:14">
      <c r="L1054" s="1246" t="s">
        <v>12608</v>
      </c>
      <c r="M1054" s="1242" t="s">
        <v>9419</v>
      </c>
      <c r="N1054" s="1242" t="s">
        <v>12608</v>
      </c>
    </row>
    <row r="1055" spans="12:14">
      <c r="M1055" s="812"/>
      <c r="N1055" s="812"/>
    </row>
    <row r="1056" spans="12:14">
      <c r="L1056" s="1246" t="s">
        <v>12605</v>
      </c>
      <c r="M1056" s="1242" t="s">
        <v>2220</v>
      </c>
      <c r="N1056" s="1242" t="s">
        <v>12605</v>
      </c>
    </row>
    <row r="1057" spans="12:14">
      <c r="M1057" s="812"/>
      <c r="N1057" s="812"/>
    </row>
    <row r="1058" spans="12:14">
      <c r="L1058" s="1246" t="s">
        <v>12608</v>
      </c>
      <c r="M1058" s="1242" t="s">
        <v>3703</v>
      </c>
      <c r="N1058" s="1242" t="s">
        <v>12608</v>
      </c>
    </row>
    <row r="1059" spans="12:14">
      <c r="M1059" s="812"/>
      <c r="N1059" s="812"/>
    </row>
    <row r="1060" spans="12:14">
      <c r="M1060" s="812"/>
      <c r="N1060" s="812"/>
    </row>
    <row r="1061" spans="12:14">
      <c r="M1061" s="812"/>
      <c r="N1061" s="812"/>
    </row>
    <row r="1062" spans="12:14">
      <c r="M1062" s="812"/>
      <c r="N1062" s="812"/>
    </row>
    <row r="1063" spans="12:14">
      <c r="M1063" s="812"/>
      <c r="N1063" s="812"/>
    </row>
    <row r="1064" spans="12:14">
      <c r="M1064" s="812"/>
      <c r="N1064" s="812"/>
    </row>
    <row r="1065" spans="12:14">
      <c r="M1065" s="812" t="s">
        <v>9539</v>
      </c>
      <c r="N1065" s="812"/>
    </row>
    <row r="1066" spans="12:14">
      <c r="M1066" s="812" t="s">
        <v>2243</v>
      </c>
      <c r="N1066" s="812"/>
    </row>
    <row r="1067" spans="12:14">
      <c r="M1067" s="812"/>
      <c r="N1067" s="812"/>
    </row>
    <row r="1068" spans="12:14">
      <c r="M1068" s="812" t="s">
        <v>2968</v>
      </c>
      <c r="N1068" s="812"/>
    </row>
    <row r="1069" spans="12:14">
      <c r="M1069" s="812"/>
      <c r="N1069" s="812"/>
    </row>
    <row r="1070" spans="12:14">
      <c r="M1070" s="812" t="s">
        <v>2198</v>
      </c>
      <c r="N1070" s="812"/>
    </row>
    <row r="1071" spans="12:14">
      <c r="M1071" s="812"/>
      <c r="N1071" s="812"/>
    </row>
    <row r="1072" spans="12:14">
      <c r="M1072" s="812"/>
      <c r="N1072" s="812"/>
    </row>
    <row r="1073" spans="12:14">
      <c r="M1073" s="812"/>
      <c r="N1073" s="812"/>
    </row>
    <row r="1074" spans="12:14">
      <c r="M1074" s="812" t="s">
        <v>2968</v>
      </c>
      <c r="N1074" s="812"/>
    </row>
    <row r="1075" spans="12:14">
      <c r="M1075" s="812"/>
      <c r="N1075" s="812"/>
    </row>
    <row r="1076" spans="12:14">
      <c r="M1076" s="812"/>
      <c r="N1076" s="812"/>
    </row>
    <row r="1077" spans="12:14">
      <c r="M1077" s="812"/>
      <c r="N1077" s="812"/>
    </row>
    <row r="1078" spans="12:14">
      <c r="L1078" s="1246" t="s">
        <v>12606</v>
      </c>
      <c r="M1078" s="1242" t="s">
        <v>1985</v>
      </c>
      <c r="N1078" s="1242" t="s">
        <v>12606</v>
      </c>
    </row>
    <row r="1079" spans="12:14">
      <c r="M1079" s="1051" t="s">
        <v>1985</v>
      </c>
      <c r="N1079" s="1051"/>
    </row>
    <row r="1080" spans="12:14">
      <c r="M1080" s="812"/>
      <c r="N1080" s="812"/>
    </row>
    <row r="1081" spans="12:14">
      <c r="M1081" s="812"/>
      <c r="N1081" s="812"/>
    </row>
    <row r="1082" spans="12:14">
      <c r="M1082" s="812"/>
      <c r="N1082" s="812"/>
    </row>
    <row r="1083" spans="12:14">
      <c r="M1083" s="812" t="s">
        <v>1985</v>
      </c>
      <c r="N1083" s="812"/>
    </row>
    <row r="1084" spans="12:14">
      <c r="M1084" s="812"/>
      <c r="N1084" s="812"/>
    </row>
    <row r="1085" spans="12:14">
      <c r="M1085" s="812" t="s">
        <v>1898</v>
      </c>
      <c r="N1085" s="812"/>
    </row>
    <row r="1086" spans="12:14">
      <c r="M1086" s="812"/>
      <c r="N1086" s="812"/>
    </row>
    <row r="1087" spans="12:14">
      <c r="M1087" s="812" t="s">
        <v>2220</v>
      </c>
      <c r="N1087" s="812"/>
    </row>
    <row r="1088" spans="12:14">
      <c r="M1088" s="812"/>
      <c r="N1088" s="812"/>
    </row>
    <row r="1089" spans="13:14">
      <c r="M1089" s="812"/>
      <c r="N1089" s="812"/>
    </row>
    <row r="1090" spans="13:14">
      <c r="M1090" s="812"/>
      <c r="N1090" s="812"/>
    </row>
    <row r="1091" spans="13:14">
      <c r="M1091" s="812"/>
      <c r="N1091" s="812"/>
    </row>
    <row r="1092" spans="13:14">
      <c r="M1092" s="1051"/>
      <c r="N1092" s="1051"/>
    </row>
    <row r="1093" spans="13:14">
      <c r="M1093" s="812" t="s">
        <v>2222</v>
      </c>
      <c r="N1093" s="812"/>
    </row>
    <row r="1094" spans="13:14">
      <c r="M1094" s="812"/>
      <c r="N1094" s="812"/>
    </row>
    <row r="1095" spans="13:14">
      <c r="M1095" s="812" t="s">
        <v>2968</v>
      </c>
      <c r="N1095" s="812"/>
    </row>
    <row r="1096" spans="13:14">
      <c r="M1096" s="812"/>
      <c r="N1096" s="812"/>
    </row>
    <row r="1097" spans="13:14">
      <c r="M1097" s="812" t="s">
        <v>2243</v>
      </c>
      <c r="N1097" s="812"/>
    </row>
    <row r="1098" spans="13:14">
      <c r="M1098" s="812"/>
      <c r="N1098" s="812"/>
    </row>
    <row r="1099" spans="13:14">
      <c r="M1099" s="812" t="s">
        <v>2198</v>
      </c>
      <c r="N1099" s="812"/>
    </row>
    <row r="1100" spans="13:14">
      <c r="M1100" s="812"/>
      <c r="N1100" s="812"/>
    </row>
    <row r="1101" spans="13:14">
      <c r="M1101" s="812"/>
      <c r="N1101" s="812"/>
    </row>
    <row r="1102" spans="13:14">
      <c r="M1102" s="812" t="s">
        <v>9572</v>
      </c>
      <c r="N1102" s="812"/>
    </row>
    <row r="1103" spans="13:14">
      <c r="M1103" s="812"/>
      <c r="N1103" s="812"/>
    </row>
    <row r="1104" spans="13:14">
      <c r="M1104" s="812" t="s">
        <v>1985</v>
      </c>
      <c r="N1104" s="812"/>
    </row>
    <row r="1105" spans="13:14">
      <c r="M1105" s="812" t="s">
        <v>1985</v>
      </c>
      <c r="N1105" s="812"/>
    </row>
    <row r="1106" spans="13:14">
      <c r="M1106" s="812"/>
      <c r="N1106" s="812"/>
    </row>
    <row r="1107" spans="13:14">
      <c r="M1107" s="812" t="s">
        <v>1985</v>
      </c>
      <c r="N1107" s="812"/>
    </row>
    <row r="1108" spans="13:14">
      <c r="M1108" s="812"/>
      <c r="N1108" s="812"/>
    </row>
    <row r="1109" spans="13:14">
      <c r="M1109" s="812"/>
      <c r="N1109" s="812"/>
    </row>
    <row r="1110" spans="13:14">
      <c r="M1110" s="812"/>
      <c r="N1110" s="812"/>
    </row>
    <row r="1111" spans="13:14">
      <c r="M1111" s="812"/>
      <c r="N1111" s="812"/>
    </row>
    <row r="1112" spans="13:14">
      <c r="M1112" s="812"/>
      <c r="N1112" s="812"/>
    </row>
    <row r="1113" spans="13:14">
      <c r="M1113" s="812"/>
      <c r="N1113" s="812"/>
    </row>
    <row r="1114" spans="13:14">
      <c r="M1114" s="812" t="s">
        <v>3490</v>
      </c>
      <c r="N1114" s="812"/>
    </row>
    <row r="1115" spans="13:14">
      <c r="M1115" s="812" t="s">
        <v>1985</v>
      </c>
      <c r="N1115" s="812"/>
    </row>
    <row r="1116" spans="13:14">
      <c r="M1116" s="812"/>
      <c r="N1116" s="812"/>
    </row>
    <row r="1117" spans="13:14">
      <c r="M1117" s="812"/>
      <c r="N1117" s="812"/>
    </row>
    <row r="1118" spans="13:14">
      <c r="M1118" s="812"/>
      <c r="N1118" s="812"/>
    </row>
    <row r="1119" spans="13:14">
      <c r="M1119" s="812"/>
      <c r="N1119" s="812"/>
    </row>
    <row r="1120" spans="13:14">
      <c r="M1120" s="812"/>
      <c r="N1120" s="812"/>
    </row>
    <row r="1121" spans="13:14">
      <c r="M1121" s="812" t="s">
        <v>2214</v>
      </c>
      <c r="N1121" s="812"/>
    </row>
    <row r="1122" spans="13:14">
      <c r="M1122" s="812"/>
      <c r="N1122" s="812"/>
    </row>
    <row r="1123" spans="13:14">
      <c r="M1123" s="812"/>
      <c r="N1123" s="812"/>
    </row>
    <row r="1124" spans="13:14">
      <c r="M1124" s="812" t="s">
        <v>1985</v>
      </c>
      <c r="N1124" s="812"/>
    </row>
    <row r="1125" spans="13:14">
      <c r="M1125" s="812"/>
      <c r="N1125" s="812"/>
    </row>
    <row r="1126" spans="13:14">
      <c r="M1126" s="812"/>
      <c r="N1126" s="812"/>
    </row>
    <row r="1127" spans="13:14">
      <c r="M1127" s="812" t="s">
        <v>2226</v>
      </c>
      <c r="N1127" s="812"/>
    </row>
    <row r="1128" spans="13:14">
      <c r="M1128" s="812"/>
      <c r="N1128" s="812"/>
    </row>
    <row r="1129" spans="13:14">
      <c r="M1129" s="812"/>
      <c r="N1129" s="812"/>
    </row>
    <row r="1130" spans="13:14">
      <c r="M1130" s="812" t="s">
        <v>3749</v>
      </c>
      <c r="N1130" s="812"/>
    </row>
    <row r="1131" spans="13:14">
      <c r="M1131" s="812" t="s">
        <v>1909</v>
      </c>
      <c r="N1131" s="812"/>
    </row>
    <row r="1132" spans="13:14">
      <c r="M1132" s="812" t="s">
        <v>1985</v>
      </c>
      <c r="N1132" s="812"/>
    </row>
    <row r="1133" spans="13:14">
      <c r="M1133" s="812" t="s">
        <v>1985</v>
      </c>
      <c r="N1133" s="812"/>
    </row>
    <row r="1134" spans="13:14">
      <c r="M1134" s="812" t="s">
        <v>1985</v>
      </c>
      <c r="N1134" s="812"/>
    </row>
    <row r="1135" spans="13:14">
      <c r="M1135" s="812"/>
      <c r="N1135" s="812"/>
    </row>
    <row r="1136" spans="13:14">
      <c r="M1136" s="812"/>
      <c r="N1136" s="812"/>
    </row>
    <row r="1137" spans="13:14">
      <c r="M1137" s="812" t="s">
        <v>3387</v>
      </c>
      <c r="N1137" s="812"/>
    </row>
    <row r="1138" spans="13:14">
      <c r="M1138" s="812" t="s">
        <v>2229</v>
      </c>
      <c r="N1138" s="812"/>
    </row>
    <row r="1139" spans="13:14">
      <c r="M1139" s="812"/>
      <c r="N1139" s="812"/>
    </row>
    <row r="1140" spans="13:14">
      <c r="M1140" s="812" t="s">
        <v>2214</v>
      </c>
      <c r="N1140" s="812"/>
    </row>
    <row r="1141" spans="13:14">
      <c r="M1141" s="812"/>
      <c r="N1141" s="812"/>
    </row>
    <row r="1142" spans="13:14">
      <c r="M1142" s="932"/>
      <c r="N1142" s="932"/>
    </row>
    <row r="1143" spans="13:14">
      <c r="M1143" s="932"/>
      <c r="N1143" s="932"/>
    </row>
    <row r="1144" spans="13:14">
      <c r="M1144" s="1242"/>
      <c r="N1144" s="1242"/>
    </row>
    <row r="1145" spans="13:14">
      <c r="M1145" s="812" t="s">
        <v>2968</v>
      </c>
      <c r="N1145" s="812"/>
    </row>
    <row r="1146" spans="13:14">
      <c r="M1146" s="812"/>
      <c r="N1146" s="812"/>
    </row>
    <row r="1147" spans="13:14">
      <c r="M1147" s="812"/>
      <c r="N1147" s="812"/>
    </row>
    <row r="1148" spans="13:14">
      <c r="M1148" s="812" t="s">
        <v>2968</v>
      </c>
      <c r="N1148" s="812"/>
    </row>
    <row r="1149" spans="13:14">
      <c r="M1149" s="812"/>
      <c r="N1149" s="812"/>
    </row>
    <row r="1150" spans="13:14">
      <c r="M1150" s="812"/>
      <c r="N1150" s="812"/>
    </row>
    <row r="1151" spans="13:14">
      <c r="M1151" s="812"/>
      <c r="N1151" s="812"/>
    </row>
    <row r="1152" spans="13:14">
      <c r="M1152" s="812" t="s">
        <v>3640</v>
      </c>
      <c r="N1152" s="812"/>
    </row>
    <row r="1153" spans="13:14">
      <c r="M1153" s="812"/>
      <c r="N1153" s="812"/>
    </row>
    <row r="1154" spans="13:14">
      <c r="M1154" s="812" t="s">
        <v>2968</v>
      </c>
      <c r="N1154" s="812"/>
    </row>
    <row r="1155" spans="13:14">
      <c r="M1155" s="1242"/>
      <c r="N1155" s="1242"/>
    </row>
    <row r="1156" spans="13:14">
      <c r="M1156" s="1051"/>
      <c r="N1156" s="1051"/>
    </row>
    <row r="1157" spans="13:14">
      <c r="M1157" s="812" t="s">
        <v>9642</v>
      </c>
      <c r="N1157" s="812"/>
    </row>
    <row r="1158" spans="13:14">
      <c r="M1158" s="1242"/>
      <c r="N1158" s="1242"/>
    </row>
    <row r="1159" spans="13:14">
      <c r="M1159" s="1051" t="s">
        <v>1985</v>
      </c>
      <c r="N1159" s="1051"/>
    </row>
    <row r="1160" spans="13:14">
      <c r="M1160" s="812"/>
      <c r="N1160" s="812"/>
    </row>
    <row r="1161" spans="13:14">
      <c r="M1161" s="812"/>
      <c r="N1161" s="812"/>
    </row>
    <row r="1162" spans="13:14">
      <c r="M1162" s="1242"/>
      <c r="N1162" s="1242"/>
    </row>
    <row r="1163" spans="13:14">
      <c r="M1163" s="1051" t="s">
        <v>3545</v>
      </c>
      <c r="N1163" s="1051"/>
    </row>
    <row r="1164" spans="13:14">
      <c r="M1164" s="812"/>
      <c r="N1164" s="812"/>
    </row>
    <row r="1165" spans="13:14">
      <c r="M1165" s="812"/>
      <c r="N1165" s="812"/>
    </row>
    <row r="1166" spans="13:14">
      <c r="M1166" s="1242"/>
      <c r="N1166" s="1242"/>
    </row>
    <row r="1167" spans="13:14">
      <c r="M1167" s="1051" t="s">
        <v>3640</v>
      </c>
      <c r="N1167" s="1051"/>
    </row>
    <row r="1168" spans="13:14">
      <c r="M1168" s="812"/>
      <c r="N1168" s="812"/>
    </row>
    <row r="1169" spans="13:14">
      <c r="M1169" s="1242"/>
      <c r="N1169" s="1242"/>
    </row>
    <row r="1170" spans="13:14">
      <c r="M1170" s="1051" t="s">
        <v>9370</v>
      </c>
      <c r="N1170" s="1051"/>
    </row>
    <row r="1171" spans="13:14">
      <c r="M1171" s="812" t="s">
        <v>3650</v>
      </c>
      <c r="N1171" s="812"/>
    </row>
    <row r="1172" spans="13:14">
      <c r="M1172" s="812" t="s">
        <v>3650</v>
      </c>
      <c r="N1172" s="812"/>
    </row>
    <row r="1173" spans="13:14">
      <c r="M1173" s="812"/>
      <c r="N1173" s="812"/>
    </row>
    <row r="1174" spans="13:14">
      <c r="M1174" s="812"/>
      <c r="N1174" s="812"/>
    </row>
    <row r="1175" spans="13:14">
      <c r="M1175" s="812"/>
      <c r="N1175" s="812"/>
    </row>
    <row r="1176" spans="13:14">
      <c r="M1176" s="1242"/>
      <c r="N1176" s="1242"/>
    </row>
    <row r="1177" spans="13:14">
      <c r="M1177" s="1051"/>
      <c r="N1177" s="1051"/>
    </row>
    <row r="1178" spans="13:14">
      <c r="M1178" s="812" t="s">
        <v>3303</v>
      </c>
      <c r="N1178" s="812"/>
    </row>
    <row r="1179" spans="13:14">
      <c r="M1179" s="812" t="s">
        <v>2972</v>
      </c>
      <c r="N1179" s="812"/>
    </row>
    <row r="1180" spans="13:14">
      <c r="M1180" s="812"/>
      <c r="N1180" s="812"/>
    </row>
    <row r="1181" spans="13:14">
      <c r="M1181" s="812"/>
      <c r="N1181" s="812"/>
    </row>
    <row r="1182" spans="13:14">
      <c r="M1182" s="812"/>
      <c r="N1182" s="812"/>
    </row>
    <row r="1183" spans="13:14">
      <c r="M1183" s="812"/>
      <c r="N1183" s="812"/>
    </row>
    <row r="1184" spans="13:14">
      <c r="M1184" s="812"/>
      <c r="N1184" s="812"/>
    </row>
    <row r="1185" spans="12:14">
      <c r="M1185" s="812"/>
      <c r="N1185" s="812"/>
    </row>
    <row r="1186" spans="12:14">
      <c r="M1186" s="812" t="s">
        <v>9673</v>
      </c>
      <c r="N1186" s="812"/>
    </row>
    <row r="1187" spans="12:14">
      <c r="M1187" s="812"/>
      <c r="N1187" s="812"/>
    </row>
    <row r="1188" spans="12:14">
      <c r="M1188" s="812"/>
      <c r="N1188" s="812"/>
    </row>
    <row r="1189" spans="12:14">
      <c r="M1189" s="812"/>
      <c r="N1189" s="812"/>
    </row>
    <row r="1190" spans="12:14">
      <c r="M1190" s="812"/>
      <c r="N1190" s="812"/>
    </row>
    <row r="1191" spans="12:14">
      <c r="M1191" s="812"/>
      <c r="N1191" s="812"/>
    </row>
    <row r="1192" spans="12:14">
      <c r="M1192" s="812"/>
      <c r="N1192" s="812"/>
    </row>
    <row r="1193" spans="12:14">
      <c r="M1193" s="812"/>
      <c r="N1193" s="812"/>
    </row>
    <row r="1194" spans="12:14">
      <c r="L1194" s="1246" t="s">
        <v>12604</v>
      </c>
      <c r="M1194" s="1242" t="s">
        <v>9681</v>
      </c>
      <c r="N1194" s="1242" t="s">
        <v>12604</v>
      </c>
    </row>
    <row r="1195" spans="12:14">
      <c r="M1195" s="1051" t="s">
        <v>1985</v>
      </c>
      <c r="N1195" s="1051"/>
    </row>
    <row r="1196" spans="12:14">
      <c r="M1196" s="941"/>
      <c r="N1196" s="941"/>
    </row>
    <row r="1197" spans="12:14">
      <c r="M1197" s="812" t="s">
        <v>1985</v>
      </c>
      <c r="N1197" s="812"/>
    </row>
    <row r="1198" spans="12:14">
      <c r="M1198" s="941"/>
      <c r="N1198" s="941"/>
    </row>
    <row r="1199" spans="12:14">
      <c r="M1199" s="812" t="s">
        <v>1985</v>
      </c>
      <c r="N1199" s="812"/>
    </row>
    <row r="1200" spans="12:14">
      <c r="M1200" s="812" t="s">
        <v>2968</v>
      </c>
      <c r="N1200" s="812"/>
    </row>
    <row r="1201" spans="13:14">
      <c r="M1201" s="941"/>
      <c r="N1201" s="941"/>
    </row>
    <row r="1202" spans="13:14">
      <c r="M1202" s="812"/>
      <c r="N1202" s="812"/>
    </row>
    <row r="1203" spans="13:14">
      <c r="M1203" s="812"/>
      <c r="N1203" s="812"/>
    </row>
    <row r="1204" spans="13:14">
      <c r="M1204" s="812"/>
      <c r="N1204" s="812"/>
    </row>
    <row r="1205" spans="13:14">
      <c r="M1205" s="812"/>
      <c r="N1205" s="812"/>
    </row>
    <row r="1206" spans="13:14">
      <c r="M1206" s="1242"/>
      <c r="N1206" s="1242"/>
    </row>
    <row r="1207" spans="13:14">
      <c r="M1207" s="1051"/>
      <c r="N1207" s="1051"/>
    </row>
    <row r="1208" spans="13:14">
      <c r="M1208" s="812"/>
      <c r="N1208" s="812"/>
    </row>
    <row r="1209" spans="13:14">
      <c r="M1209" s="812"/>
      <c r="N1209" s="812"/>
    </row>
    <row r="1210" spans="13:14">
      <c r="M1210" s="1242"/>
      <c r="N1210" s="1242"/>
    </row>
    <row r="1211" spans="13:14">
      <c r="M1211" s="1051" t="s">
        <v>1882</v>
      </c>
      <c r="N1211" s="1051"/>
    </row>
    <row r="1212" spans="13:14">
      <c r="M1212" s="812" t="s">
        <v>3839</v>
      </c>
      <c r="N1212" s="812"/>
    </row>
    <row r="1213" spans="13:14">
      <c r="M1213" s="812"/>
      <c r="N1213" s="812"/>
    </row>
    <row r="1214" spans="13:14">
      <c r="M1214" s="812"/>
      <c r="N1214" s="812"/>
    </row>
    <row r="1215" spans="13:14">
      <c r="M1215" s="812"/>
      <c r="N1215" s="812"/>
    </row>
    <row r="1216" spans="13:14">
      <c r="M1216" s="812"/>
      <c r="N1216" s="812"/>
    </row>
    <row r="1217" spans="12:14">
      <c r="M1217" s="1242"/>
      <c r="N1217" s="1242"/>
    </row>
    <row r="1218" spans="12:14">
      <c r="M1218" s="1051" t="s">
        <v>3503</v>
      </c>
      <c r="N1218" s="1051"/>
    </row>
    <row r="1219" spans="12:14">
      <c r="M1219" s="812"/>
      <c r="N1219" s="812"/>
    </row>
    <row r="1220" spans="12:14">
      <c r="M1220" s="1242"/>
      <c r="N1220" s="1242"/>
    </row>
    <row r="1221" spans="12:14">
      <c r="M1221" s="1051"/>
      <c r="N1221" s="1051"/>
    </row>
    <row r="1222" spans="12:14">
      <c r="M1222" s="812" t="s">
        <v>2968</v>
      </c>
      <c r="N1222" s="812"/>
    </row>
    <row r="1223" spans="12:14">
      <c r="M1223" s="1242"/>
      <c r="N1223" s="1242"/>
    </row>
    <row r="1224" spans="12:14">
      <c r="M1224" s="1051" t="s">
        <v>3529</v>
      </c>
      <c r="N1224" s="1051"/>
    </row>
    <row r="1225" spans="12:14">
      <c r="M1225" s="812"/>
      <c r="N1225" s="812"/>
    </row>
    <row r="1226" spans="12:14">
      <c r="M1226" s="812"/>
      <c r="N1226" s="812"/>
    </row>
    <row r="1227" spans="12:14">
      <c r="M1227" s="812"/>
      <c r="N1227" s="812"/>
    </row>
    <row r="1228" spans="12:14">
      <c r="M1228" s="812"/>
      <c r="N1228" s="812"/>
    </row>
    <row r="1229" spans="12:14">
      <c r="M1229" s="812"/>
      <c r="N1229" s="812"/>
    </row>
    <row r="1230" spans="12:14">
      <c r="M1230" s="1242"/>
      <c r="N1230" s="1242"/>
    </row>
    <row r="1231" spans="12:14">
      <c r="M1231" s="1051" t="s">
        <v>9290</v>
      </c>
      <c r="N1231" s="1051"/>
    </row>
    <row r="1232" spans="12:14">
      <c r="L1232" s="1246" t="s">
        <v>12602</v>
      </c>
      <c r="M1232" s="1242" t="s">
        <v>9718</v>
      </c>
      <c r="N1232" s="1242" t="s">
        <v>12602</v>
      </c>
    </row>
    <row r="1233" spans="13:14">
      <c r="M1233" s="1051" t="s">
        <v>3545</v>
      </c>
      <c r="N1233" s="1051"/>
    </row>
    <row r="1234" spans="13:14">
      <c r="M1234" s="812"/>
      <c r="N1234" s="812"/>
    </row>
    <row r="1235" spans="13:14">
      <c r="M1235" s="812"/>
      <c r="N1235" s="812"/>
    </row>
    <row r="1236" spans="13:14">
      <c r="M1236" s="812"/>
      <c r="N1236" s="812"/>
    </row>
    <row r="1237" spans="13:14">
      <c r="M1237" s="1242"/>
      <c r="N1237" s="1242"/>
    </row>
    <row r="1238" spans="13:14">
      <c r="M1238" s="1051" t="s">
        <v>11309</v>
      </c>
      <c r="N1238" s="1051"/>
    </row>
    <row r="1239" spans="13:14">
      <c r="M1239" s="812"/>
      <c r="N1239" s="812"/>
    </row>
    <row r="1240" spans="13:14">
      <c r="M1240" s="812" t="s">
        <v>9729</v>
      </c>
      <c r="N1240" s="812"/>
    </row>
    <row r="1241" spans="13:14">
      <c r="M1241" s="812" t="s">
        <v>9731</v>
      </c>
      <c r="N1241" s="812"/>
    </row>
    <row r="1242" spans="13:14">
      <c r="M1242" s="812"/>
      <c r="N1242" s="812"/>
    </row>
    <row r="1243" spans="13:14">
      <c r="M1243" s="812" t="s">
        <v>9734</v>
      </c>
      <c r="N1243" s="812"/>
    </row>
    <row r="1244" spans="13:14">
      <c r="M1244" s="812"/>
      <c r="N1244" s="812"/>
    </row>
    <row r="1245" spans="13:14">
      <c r="M1245" s="812" t="s">
        <v>3337</v>
      </c>
      <c r="N1245" s="812"/>
    </row>
    <row r="1246" spans="13:14">
      <c r="M1246" s="812" t="s">
        <v>9734</v>
      </c>
      <c r="N1246" s="812"/>
    </row>
    <row r="1247" spans="13:14">
      <c r="M1247" s="812"/>
      <c r="N1247" s="812"/>
    </row>
    <row r="1248" spans="13:14">
      <c r="M1248" s="812"/>
      <c r="N1248" s="812"/>
    </row>
    <row r="1249" spans="12:14">
      <c r="M1249" s="812" t="s">
        <v>9734</v>
      </c>
      <c r="N1249" s="812"/>
    </row>
    <row r="1250" spans="12:14">
      <c r="M1250" s="812"/>
      <c r="N1250" s="812"/>
    </row>
    <row r="1251" spans="12:14">
      <c r="M1251" s="812"/>
      <c r="N1251" s="812"/>
    </row>
    <row r="1252" spans="12:14">
      <c r="M1252" s="812"/>
      <c r="N1252" s="812"/>
    </row>
    <row r="1253" spans="12:14">
      <c r="M1253" s="812"/>
      <c r="N1253" s="812"/>
    </row>
    <row r="1254" spans="12:14">
      <c r="M1254" s="812" t="s">
        <v>9747</v>
      </c>
      <c r="N1254" s="812"/>
    </row>
    <row r="1255" spans="12:14">
      <c r="M1255" s="812" t="s">
        <v>3387</v>
      </c>
      <c r="N1255" s="812"/>
    </row>
    <row r="1256" spans="12:14">
      <c r="L1256" s="1246" t="s">
        <v>12606</v>
      </c>
      <c r="M1256" s="1242" t="s">
        <v>3388</v>
      </c>
      <c r="N1256" s="1242" t="s">
        <v>12606</v>
      </c>
    </row>
    <row r="1257" spans="12:14">
      <c r="M1257" s="1051" t="s">
        <v>3401</v>
      </c>
      <c r="N1257" s="1051"/>
    </row>
    <row r="1258" spans="12:14">
      <c r="M1258" s="812" t="s">
        <v>1909</v>
      </c>
      <c r="N1258" s="812"/>
    </row>
    <row r="1259" spans="12:14">
      <c r="M1259" s="1242"/>
      <c r="N1259" s="1242"/>
    </row>
    <row r="1260" spans="12:14">
      <c r="M1260" s="1051" t="s">
        <v>2968</v>
      </c>
      <c r="N1260" s="1051"/>
    </row>
    <row r="1261" spans="12:14">
      <c r="M1261" s="812"/>
      <c r="N1261" s="812"/>
    </row>
    <row r="1262" spans="12:14">
      <c r="M1262" s="812"/>
      <c r="N1262" s="812"/>
    </row>
    <row r="1263" spans="12:14">
      <c r="M1263" s="812"/>
      <c r="N1263" s="812"/>
    </row>
    <row r="1264" spans="12:14">
      <c r="M1264" s="812"/>
      <c r="N1264" s="812"/>
    </row>
    <row r="1265" spans="12:14">
      <c r="M1265" s="812" t="s">
        <v>2968</v>
      </c>
      <c r="N1265" s="812"/>
    </row>
    <row r="1266" spans="12:14">
      <c r="M1266" s="812"/>
      <c r="N1266" s="812"/>
    </row>
    <row r="1267" spans="12:14">
      <c r="M1267" s="1242"/>
      <c r="N1267" s="1242"/>
    </row>
    <row r="1268" spans="12:14">
      <c r="L1268" s="1246" t="s">
        <v>12606</v>
      </c>
      <c r="M1268" s="1242" t="s">
        <v>9766</v>
      </c>
      <c r="N1268" s="1242" t="s">
        <v>12606</v>
      </c>
    </row>
    <row r="1269" spans="12:14">
      <c r="M1269" s="1051" t="s">
        <v>2225</v>
      </c>
      <c r="N1269" s="1051"/>
    </row>
    <row r="1270" spans="12:14">
      <c r="M1270" s="812" t="s">
        <v>2968</v>
      </c>
      <c r="N1270" s="812"/>
    </row>
    <row r="1271" spans="12:14">
      <c r="M1271" s="812"/>
      <c r="N1271" s="812"/>
    </row>
    <row r="1272" spans="12:14">
      <c r="M1272" s="812"/>
      <c r="N1272" s="812"/>
    </row>
    <row r="1273" spans="12:14">
      <c r="M1273" s="812"/>
      <c r="N1273" s="812"/>
    </row>
    <row r="1274" spans="12:14">
      <c r="M1274" s="1242"/>
      <c r="N1274" s="1242"/>
    </row>
    <row r="1275" spans="12:14">
      <c r="M1275" s="1051" t="s">
        <v>3570</v>
      </c>
      <c r="N1275" s="1051"/>
    </row>
    <row r="1276" spans="12:14">
      <c r="M1276" s="812"/>
      <c r="N1276" s="812"/>
    </row>
    <row r="1277" spans="12:14">
      <c r="M1277" s="812"/>
      <c r="N1277" s="812"/>
    </row>
    <row r="1278" spans="12:14">
      <c r="M1278" s="1242"/>
      <c r="N1278" s="1242"/>
    </row>
    <row r="1279" spans="12:14">
      <c r="M1279" s="1051" t="s">
        <v>1985</v>
      </c>
      <c r="N1279" s="1051"/>
    </row>
    <row r="1280" spans="12:14">
      <c r="M1280" s="812"/>
      <c r="N1280" s="812"/>
    </row>
    <row r="1281" spans="12:14">
      <c r="M1281" s="812" t="s">
        <v>2210</v>
      </c>
      <c r="N1281" s="812"/>
    </row>
    <row r="1282" spans="12:14">
      <c r="M1282" s="1242"/>
      <c r="N1282" s="1242"/>
    </row>
    <row r="1283" spans="12:14">
      <c r="M1283" s="1051" t="s">
        <v>3387</v>
      </c>
      <c r="N1283" s="1051"/>
    </row>
    <row r="1284" spans="12:14">
      <c r="M1284" s="812" t="s">
        <v>3421</v>
      </c>
      <c r="N1284" s="812"/>
    </row>
    <row r="1285" spans="12:14">
      <c r="M1285" s="812"/>
      <c r="N1285" s="812"/>
    </row>
    <row r="1286" spans="12:14">
      <c r="M1286" s="812" t="s">
        <v>9787</v>
      </c>
      <c r="N1286" s="812"/>
    </row>
    <row r="1287" spans="12:14">
      <c r="M1287" s="812"/>
      <c r="N1287" s="812"/>
    </row>
    <row r="1288" spans="12:14">
      <c r="M1288" s="812"/>
      <c r="N1288" s="812"/>
    </row>
    <row r="1289" spans="12:14">
      <c r="M1289" s="812"/>
      <c r="N1289" s="812"/>
    </row>
    <row r="1290" spans="12:14">
      <c r="L1290" s="1246" t="s">
        <v>12597</v>
      </c>
      <c r="M1290" s="1242" t="s">
        <v>8632</v>
      </c>
      <c r="N1290" s="1242" t="s">
        <v>12597</v>
      </c>
    </row>
    <row r="1291" spans="12:14">
      <c r="M1291" s="1051" t="s">
        <v>2220</v>
      </c>
      <c r="N1291" s="1051"/>
    </row>
    <row r="1292" spans="12:14">
      <c r="M1292" s="812"/>
      <c r="N1292" s="812"/>
    </row>
    <row r="1293" spans="12:14">
      <c r="M1293" s="812"/>
      <c r="N1293" s="812"/>
    </row>
    <row r="1294" spans="12:14">
      <c r="M1294" s="812"/>
      <c r="N1294" s="812"/>
    </row>
    <row r="1295" spans="12:14">
      <c r="M1295" s="1242"/>
      <c r="N1295" s="1242"/>
    </row>
    <row r="1296" spans="12:14">
      <c r="M1296" s="1051" t="s">
        <v>3437</v>
      </c>
      <c r="N1296" s="1051"/>
    </row>
    <row r="1297" spans="13:14">
      <c r="M1297" s="812"/>
      <c r="N1297" s="812"/>
    </row>
    <row r="1298" spans="13:14">
      <c r="M1298" s="812"/>
      <c r="N1298" s="812"/>
    </row>
    <row r="1299" spans="13:14">
      <c r="M1299" s="1242"/>
      <c r="N1299" s="1242"/>
    </row>
    <row r="1300" spans="13:14">
      <c r="M1300" s="1242"/>
      <c r="N1300" s="1242"/>
    </row>
    <row r="1301" spans="13:14">
      <c r="M1301" s="812" t="s">
        <v>1985</v>
      </c>
      <c r="N1301" s="812"/>
    </row>
    <row r="1302" spans="13:14">
      <c r="M1302" s="812"/>
      <c r="N1302" s="812"/>
    </row>
    <row r="1303" spans="13:14">
      <c r="M1303" s="812"/>
      <c r="N1303" s="812"/>
    </row>
    <row r="1304" spans="13:14">
      <c r="M1304" s="1242"/>
      <c r="N1304" s="1242"/>
    </row>
    <row r="1305" spans="13:14">
      <c r="M1305" s="812" t="s">
        <v>9807</v>
      </c>
      <c r="N1305" s="812"/>
    </row>
    <row r="1306" spans="13:14">
      <c r="M1306" s="812"/>
      <c r="N1306" s="812"/>
    </row>
    <row r="1307" spans="13:14">
      <c r="M1307" s="812"/>
      <c r="N1307" s="812"/>
    </row>
    <row r="1308" spans="13:14">
      <c r="M1308" s="812"/>
      <c r="N1308" s="812"/>
    </row>
    <row r="1309" spans="13:14">
      <c r="M1309" s="1242"/>
      <c r="N1309" s="1242"/>
    </row>
    <row r="1310" spans="13:14">
      <c r="M1310" s="1051" t="s">
        <v>3617</v>
      </c>
      <c r="N1310" s="1051"/>
    </row>
    <row r="1311" spans="13:14">
      <c r="M1311" s="812"/>
      <c r="N1311" s="812"/>
    </row>
    <row r="1312" spans="13:14">
      <c r="M1312" s="812"/>
      <c r="N1312" s="812"/>
    </row>
    <row r="1313" spans="13:14">
      <c r="M1313" s="812" t="s">
        <v>2220</v>
      </c>
      <c r="N1313" s="812"/>
    </row>
    <row r="1314" spans="13:14">
      <c r="M1314" s="812"/>
      <c r="N1314" s="812"/>
    </row>
    <row r="1315" spans="13:14">
      <c r="M1315" s="812"/>
      <c r="N1315" s="812"/>
    </row>
    <row r="1316" spans="13:14">
      <c r="M1316" s="1242"/>
      <c r="N1316" s="1242"/>
    </row>
    <row r="1317" spans="13:14">
      <c r="M1317" s="1051"/>
      <c r="N1317" s="1051"/>
    </row>
    <row r="1318" spans="13:14">
      <c r="M1318" s="812" t="s">
        <v>2966</v>
      </c>
      <c r="N1318" s="812"/>
    </row>
    <row r="1319" spans="13:14">
      <c r="M1319" s="812"/>
      <c r="N1319" s="812"/>
    </row>
    <row r="1320" spans="13:14">
      <c r="M1320" s="812"/>
      <c r="N1320" s="812"/>
    </row>
    <row r="1321" spans="13:14">
      <c r="M1321" s="1051" t="s">
        <v>11310</v>
      </c>
      <c r="N1321" s="1051"/>
    </row>
    <row r="1322" spans="13:14">
      <c r="M1322" s="812"/>
      <c r="N1322" s="812"/>
    </row>
    <row r="1323" spans="13:14">
      <c r="M1323" s="812"/>
      <c r="N1323" s="812"/>
    </row>
    <row r="1324" spans="13:14">
      <c r="M1324" s="812"/>
      <c r="N1324" s="812"/>
    </row>
    <row r="1325" spans="13:14">
      <c r="M1325" s="812"/>
      <c r="N1325" s="812"/>
    </row>
    <row r="1326" spans="13:14">
      <c r="M1326" s="812"/>
      <c r="N1326" s="812"/>
    </row>
    <row r="1327" spans="13:14">
      <c r="M1327" s="812"/>
      <c r="N1327" s="812"/>
    </row>
    <row r="1328" spans="13:14">
      <c r="M1328" s="812"/>
      <c r="N1328" s="812"/>
    </row>
    <row r="1329" spans="13:14">
      <c r="M1329" s="1242"/>
      <c r="N1329" s="1242"/>
    </row>
    <row r="1330" spans="13:14">
      <c r="M1330" s="1242"/>
      <c r="N1330" s="1242"/>
    </row>
    <row r="1331" spans="13:14">
      <c r="M1331" s="1051" t="s">
        <v>3640</v>
      </c>
      <c r="N1331" s="1051"/>
    </row>
    <row r="1332" spans="13:14">
      <c r="M1332" s="1051"/>
      <c r="N1332" s="1051"/>
    </row>
    <row r="1333" spans="13:14">
      <c r="M1333" s="812" t="s">
        <v>9840</v>
      </c>
      <c r="N1333" s="812"/>
    </row>
    <row r="1334" spans="13:14">
      <c r="M1334" s="812" t="s">
        <v>236</v>
      </c>
      <c r="N1334" s="812"/>
    </row>
    <row r="1335" spans="13:14">
      <c r="M1335" s="812"/>
      <c r="N1335" s="812"/>
    </row>
    <row r="1336" spans="13:14">
      <c r="M1336" s="812"/>
      <c r="N1336" s="812"/>
    </row>
    <row r="1337" spans="13:14">
      <c r="M1337" s="812" t="s">
        <v>2015</v>
      </c>
      <c r="N1337" s="812"/>
    </row>
    <row r="1338" spans="13:14">
      <c r="M1338" s="812" t="s">
        <v>9848</v>
      </c>
      <c r="N1338" s="812"/>
    </row>
    <row r="1339" spans="13:14">
      <c r="M1339" s="812" t="s">
        <v>9850</v>
      </c>
      <c r="N1339" s="812"/>
    </row>
    <row r="1340" spans="13:14">
      <c r="M1340" s="812" t="s">
        <v>2978</v>
      </c>
      <c r="N1340" s="812"/>
    </row>
    <row r="1341" spans="13:14">
      <c r="M1341" s="812" t="s">
        <v>9857</v>
      </c>
      <c r="N1341" s="812"/>
    </row>
    <row r="1342" spans="13:14">
      <c r="M1342" s="812"/>
      <c r="N1342" s="812"/>
    </row>
    <row r="1343" spans="13:14">
      <c r="M1343" s="812"/>
      <c r="N1343" s="812"/>
    </row>
    <row r="1344" spans="13:14">
      <c r="M1344" s="812"/>
      <c r="N1344" s="812"/>
    </row>
    <row r="1345" spans="12:14">
      <c r="M1345" s="812" t="s">
        <v>9862</v>
      </c>
      <c r="N1345" s="812"/>
    </row>
    <row r="1346" spans="12:14">
      <c r="M1346" s="1242"/>
      <c r="N1346" s="1242"/>
    </row>
    <row r="1347" spans="12:14">
      <c r="M1347" s="1242"/>
      <c r="N1347" s="1242"/>
    </row>
    <row r="1348" spans="12:14">
      <c r="M1348" s="1051"/>
      <c r="N1348" s="1051"/>
    </row>
    <row r="1349" spans="12:14">
      <c r="M1349" s="1242"/>
      <c r="N1349" s="1242"/>
    </row>
    <row r="1350" spans="12:14">
      <c r="M1350" s="1051"/>
      <c r="N1350" s="1051"/>
    </row>
    <row r="1351" spans="12:14">
      <c r="L1351" s="1246" t="s">
        <v>12606</v>
      </c>
      <c r="M1351" s="1242" t="s">
        <v>9871</v>
      </c>
      <c r="N1351" s="1242" t="s">
        <v>12606</v>
      </c>
    </row>
    <row r="1352" spans="12:14">
      <c r="M1352" s="1051" t="s">
        <v>2223</v>
      </c>
      <c r="N1352" s="1051"/>
    </row>
    <row r="1353" spans="12:14">
      <c r="M1353" s="812"/>
      <c r="N1353" s="812"/>
    </row>
    <row r="1354" spans="12:14">
      <c r="M1354" s="812"/>
      <c r="N1354" s="812"/>
    </row>
    <row r="1355" spans="12:14">
      <c r="M1355" s="1051" t="s">
        <v>9876</v>
      </c>
      <c r="N1355" s="1051"/>
    </row>
    <row r="1356" spans="12:14">
      <c r="L1356" s="1246" t="s">
        <v>12606</v>
      </c>
      <c r="M1356" s="1242" t="s">
        <v>9878</v>
      </c>
      <c r="N1356" s="1242" t="s">
        <v>12606</v>
      </c>
    </row>
    <row r="1357" spans="12:14">
      <c r="M1357" s="812" t="s">
        <v>2230</v>
      </c>
      <c r="N1357" s="812"/>
    </row>
    <row r="1358" spans="12:14">
      <c r="M1358" s="812"/>
      <c r="N1358" s="812"/>
    </row>
    <row r="1359" spans="12:14">
      <c r="M1359" s="812"/>
      <c r="N1359" s="812"/>
    </row>
    <row r="1360" spans="12:14">
      <c r="M1360" s="812"/>
      <c r="N1360" s="812"/>
    </row>
    <row r="1361" spans="13:14">
      <c r="M1361" s="812"/>
      <c r="N1361" s="812"/>
    </row>
    <row r="1362" spans="13:14">
      <c r="M1362" s="812"/>
      <c r="N1362" s="812"/>
    </row>
    <row r="1363" spans="13:14">
      <c r="M1363" s="812" t="s">
        <v>3678</v>
      </c>
      <c r="N1363" s="812"/>
    </row>
    <row r="1364" spans="13:14">
      <c r="M1364" s="812"/>
      <c r="N1364" s="812"/>
    </row>
    <row r="1365" spans="13:14">
      <c r="M1365" s="1242"/>
      <c r="N1365" s="1242"/>
    </row>
    <row r="1366" spans="13:14">
      <c r="M1366" s="812"/>
      <c r="N1366" s="812"/>
    </row>
    <row r="1367" spans="13:14">
      <c r="M1367" s="812"/>
      <c r="N1367" s="812"/>
    </row>
    <row r="1368" spans="13:14">
      <c r="M1368" s="812" t="s">
        <v>9894</v>
      </c>
      <c r="N1368" s="812"/>
    </row>
    <row r="1369" spans="13:14">
      <c r="M1369" s="812" t="s">
        <v>9896</v>
      </c>
      <c r="N1369" s="812"/>
    </row>
    <row r="1370" spans="13:14">
      <c r="M1370" s="812"/>
      <c r="N1370" s="812"/>
    </row>
    <row r="1371" spans="13:14">
      <c r="M1371" s="807"/>
      <c r="N1371" s="807"/>
    </row>
    <row r="1372" spans="13:14">
      <c r="M1372" s="812" t="s">
        <v>9900</v>
      </c>
      <c r="N1372" s="812"/>
    </row>
    <row r="1373" spans="13:14">
      <c r="M1373" s="812"/>
      <c r="N1373" s="812"/>
    </row>
    <row r="1374" spans="13:14">
      <c r="M1374" s="812"/>
      <c r="N1374" s="812"/>
    </row>
    <row r="1375" spans="13:14">
      <c r="M1375" s="812"/>
      <c r="N1375" s="812"/>
    </row>
    <row r="1376" spans="13:14">
      <c r="M1376" s="812"/>
      <c r="N1376" s="812"/>
    </row>
    <row r="1377" spans="13:14">
      <c r="M1377" s="812" t="s">
        <v>3706</v>
      </c>
      <c r="N1377" s="812"/>
    </row>
    <row r="1378" spans="13:14">
      <c r="M1378" s="812"/>
      <c r="N1378" s="812"/>
    </row>
    <row r="1379" spans="13:14">
      <c r="M1379" s="812" t="s">
        <v>3725</v>
      </c>
      <c r="N1379" s="812"/>
    </row>
    <row r="1380" spans="13:14">
      <c r="M1380" s="812"/>
      <c r="N1380" s="812"/>
    </row>
    <row r="1381" spans="13:14">
      <c r="M1381" s="812"/>
      <c r="N1381" s="812"/>
    </row>
    <row r="1382" spans="13:14">
      <c r="M1382" s="812" t="s">
        <v>9916</v>
      </c>
      <c r="N1382" s="812"/>
    </row>
    <row r="1383" spans="13:14">
      <c r="M1383" s="812"/>
      <c r="N1383" s="812"/>
    </row>
    <row r="1384" spans="13:14">
      <c r="M1384" s="812"/>
      <c r="N1384" s="812"/>
    </row>
    <row r="1385" spans="13:14">
      <c r="M1385" s="812"/>
      <c r="N1385" s="812"/>
    </row>
    <row r="1386" spans="13:14">
      <c r="M1386" s="812"/>
      <c r="N1386" s="812"/>
    </row>
    <row r="1387" spans="13:14">
      <c r="M1387" s="1242"/>
      <c r="N1387" s="1242"/>
    </row>
    <row r="1388" spans="13:14">
      <c r="M1388" s="1051" t="s">
        <v>9927</v>
      </c>
      <c r="N1388" s="1051"/>
    </row>
    <row r="1389" spans="13:14">
      <c r="M1389" s="812"/>
      <c r="N1389" s="812"/>
    </row>
    <row r="1390" spans="13:14">
      <c r="M1390" s="812"/>
      <c r="N1390" s="812"/>
    </row>
    <row r="1391" spans="13:14">
      <c r="M1391" s="812"/>
      <c r="N1391" s="812"/>
    </row>
    <row r="1392" spans="13:14">
      <c r="M1392" s="812"/>
      <c r="N1392" s="812"/>
    </row>
    <row r="1393" spans="13:14">
      <c r="M1393" s="1242"/>
      <c r="N1393" s="1242"/>
    </row>
    <row r="1394" spans="13:14">
      <c r="M1394" s="812" t="s">
        <v>3774</v>
      </c>
      <c r="N1394" s="812"/>
    </row>
    <row r="1395" spans="13:14">
      <c r="M1395" s="812" t="s">
        <v>9936</v>
      </c>
      <c r="N1395" s="812"/>
    </row>
    <row r="1396" spans="13:14">
      <c r="M1396" s="812"/>
      <c r="N1396" s="812"/>
    </row>
    <row r="1397" spans="13:14">
      <c r="M1397" s="1242"/>
      <c r="N1397" s="1242"/>
    </row>
    <row r="1398" spans="13:14">
      <c r="M1398" s="1242"/>
      <c r="N1398" s="1242"/>
    </row>
    <row r="1399" spans="13:14">
      <c r="M1399" s="1051" t="s">
        <v>3789</v>
      </c>
      <c r="N1399" s="1051"/>
    </row>
    <row r="1400" spans="13:14">
      <c r="M1400" s="812" t="s">
        <v>2972</v>
      </c>
      <c r="N1400" s="812"/>
    </row>
    <row r="1401" spans="13:14">
      <c r="M1401" s="812" t="s">
        <v>8632</v>
      </c>
      <c r="N1401" s="812"/>
    </row>
    <row r="1402" spans="13:14">
      <c r="M1402" s="812"/>
      <c r="N1402" s="812"/>
    </row>
    <row r="1403" spans="13:14">
      <c r="M1403" s="812" t="s">
        <v>9235</v>
      </c>
      <c r="N1403" s="812"/>
    </row>
    <row r="1404" spans="13:14">
      <c r="M1404" s="812"/>
      <c r="N1404" s="812"/>
    </row>
    <row r="1405" spans="13:14">
      <c r="M1405" s="812" t="s">
        <v>2222</v>
      </c>
      <c r="N1405" s="812"/>
    </row>
    <row r="1406" spans="13:14">
      <c r="M1406" s="812"/>
      <c r="N1406" s="812"/>
    </row>
    <row r="1407" spans="13:14">
      <c r="M1407" s="812"/>
      <c r="N1407" s="812"/>
    </row>
    <row r="1408" spans="13:14">
      <c r="M1408" s="812" t="s">
        <v>2968</v>
      </c>
      <c r="N1408" s="812"/>
    </row>
    <row r="1409" spans="12:14">
      <c r="M1409" s="812"/>
      <c r="N1409" s="812"/>
    </row>
    <row r="1410" spans="12:14">
      <c r="M1410" s="812"/>
      <c r="N1410" s="812"/>
    </row>
    <row r="1411" spans="12:14">
      <c r="M1411" s="812"/>
      <c r="N1411" s="812"/>
    </row>
    <row r="1412" spans="12:14">
      <c r="M1412" s="812"/>
      <c r="N1412" s="812"/>
    </row>
    <row r="1413" spans="12:14">
      <c r="M1413" s="812"/>
      <c r="N1413" s="812"/>
    </row>
    <row r="1414" spans="12:14">
      <c r="M1414" s="812"/>
      <c r="N1414" s="812"/>
    </row>
    <row r="1415" spans="12:14">
      <c r="M1415" s="812"/>
      <c r="N1415" s="812"/>
    </row>
    <row r="1416" spans="12:14">
      <c r="M1416" s="812"/>
      <c r="N1416" s="812"/>
    </row>
    <row r="1417" spans="12:14">
      <c r="M1417" s="812" t="s">
        <v>2981</v>
      </c>
      <c r="N1417" s="812"/>
    </row>
    <row r="1418" spans="12:14">
      <c r="M1418" s="812"/>
      <c r="N1418" s="812"/>
    </row>
    <row r="1419" spans="12:14">
      <c r="L1419" s="1246" t="s">
        <v>12606</v>
      </c>
      <c r="M1419" s="1242" t="s">
        <v>2215</v>
      </c>
      <c r="N1419" s="1242" t="s">
        <v>12606</v>
      </c>
    </row>
    <row r="1420" spans="12:14">
      <c r="M1420" s="812" t="s">
        <v>2968</v>
      </c>
      <c r="N1420" s="812"/>
    </row>
    <row r="1421" spans="12:14">
      <c r="M1421" s="812"/>
      <c r="N1421" s="812"/>
    </row>
    <row r="1422" spans="12:14">
      <c r="M1422" s="812"/>
      <c r="N1422" s="812"/>
    </row>
    <row r="1423" spans="12:14">
      <c r="M1423" s="812" t="s">
        <v>9370</v>
      </c>
      <c r="N1423" s="812"/>
    </row>
    <row r="1424" spans="12:14">
      <c r="M1424" s="1242"/>
      <c r="N1424" s="1242"/>
    </row>
    <row r="1425" spans="13:14">
      <c r="M1425" s="1051" t="s">
        <v>9972</v>
      </c>
      <c r="N1425" s="1051"/>
    </row>
    <row r="1426" spans="13:14">
      <c r="M1426" s="812"/>
      <c r="N1426" s="812"/>
    </row>
    <row r="1427" spans="13:14">
      <c r="M1427" s="1242"/>
      <c r="N1427" s="1242"/>
    </row>
    <row r="1428" spans="13:14">
      <c r="M1428" s="812"/>
      <c r="N1428" s="812"/>
    </row>
    <row r="1429" spans="13:14">
      <c r="M1429" s="812"/>
      <c r="N1429" s="812"/>
    </row>
    <row r="1430" spans="13:14">
      <c r="M1430" s="812"/>
      <c r="N1430" s="812"/>
    </row>
    <row r="1431" spans="13:14">
      <c r="M1431" s="812"/>
      <c r="N1431" s="812"/>
    </row>
    <row r="1432" spans="13:14">
      <c r="M1432" s="812"/>
      <c r="N1432" s="812"/>
    </row>
    <row r="1433" spans="13:14">
      <c r="M1433" s="812"/>
      <c r="N1433" s="812"/>
    </row>
    <row r="1434" spans="13:14">
      <c r="M1434" s="812" t="s">
        <v>2226</v>
      </c>
      <c r="N1434" s="812"/>
    </row>
    <row r="1435" spans="13:14">
      <c r="M1435" s="812"/>
      <c r="N1435" s="812"/>
    </row>
    <row r="1436" spans="13:14">
      <c r="M1436" s="812" t="s">
        <v>2226</v>
      </c>
      <c r="N1436" s="812"/>
    </row>
    <row r="1437" spans="13:14">
      <c r="M1437" s="812"/>
      <c r="N1437" s="812"/>
    </row>
    <row r="1438" spans="13:14">
      <c r="M1438" s="812" t="s">
        <v>2971</v>
      </c>
      <c r="N1438" s="812"/>
    </row>
    <row r="1439" spans="13:14">
      <c r="M1439" s="812" t="s">
        <v>2972</v>
      </c>
      <c r="N1439" s="812"/>
    </row>
    <row r="1440" spans="13:14">
      <c r="M1440" s="812" t="s">
        <v>9990</v>
      </c>
      <c r="N1440" s="812"/>
    </row>
    <row r="1441" spans="13:14">
      <c r="M1441" s="812"/>
      <c r="N1441" s="812"/>
    </row>
    <row r="1442" spans="13:14">
      <c r="M1442" s="1051" t="s">
        <v>3829</v>
      </c>
      <c r="N1442" s="1051"/>
    </row>
    <row r="1443" spans="13:14">
      <c r="M1443" s="812"/>
      <c r="N1443" s="812"/>
    </row>
    <row r="1444" spans="13:14">
      <c r="M1444" s="812"/>
      <c r="N1444" s="812"/>
    </row>
    <row r="1445" spans="13:14">
      <c r="M1445" s="812"/>
      <c r="N1445" s="812"/>
    </row>
    <row r="1446" spans="13:14">
      <c r="M1446" s="812"/>
      <c r="N1446" s="812"/>
    </row>
    <row r="1447" spans="13:14">
      <c r="M1447" s="812" t="s">
        <v>2974</v>
      </c>
      <c r="N1447" s="812"/>
    </row>
    <row r="1448" spans="13:14">
      <c r="M1448" s="812"/>
      <c r="N1448" s="812"/>
    </row>
    <row r="1449" spans="13:14">
      <c r="M1449" s="812"/>
      <c r="N1449" s="812"/>
    </row>
    <row r="1450" spans="13:14">
      <c r="M1450" s="812" t="s">
        <v>1985</v>
      </c>
      <c r="N1450" s="812"/>
    </row>
    <row r="1451" spans="13:14">
      <c r="M1451" s="1242"/>
      <c r="N1451" s="1242"/>
    </row>
    <row r="1452" spans="13:14">
      <c r="M1452" s="1051" t="s">
        <v>2229</v>
      </c>
      <c r="N1452" s="1051"/>
    </row>
    <row r="1453" spans="13:14">
      <c r="M1453" s="1242"/>
      <c r="N1453" s="1242"/>
    </row>
    <row r="1454" spans="13:14">
      <c r="M1454" s="1051"/>
      <c r="N1454" s="1051"/>
    </row>
    <row r="1455" spans="13:14">
      <c r="M1455" s="812"/>
      <c r="N1455" s="812"/>
    </row>
    <row r="1456" spans="13:14">
      <c r="M1456" s="812" t="s">
        <v>1985</v>
      </c>
      <c r="N1456" s="812"/>
    </row>
    <row r="1457" spans="13:14">
      <c r="M1457" s="812"/>
      <c r="N1457" s="812"/>
    </row>
    <row r="1458" spans="13:14">
      <c r="M1458" s="1242"/>
      <c r="N1458" s="1242"/>
    </row>
    <row r="1459" spans="13:14">
      <c r="M1459" s="1051" t="s">
        <v>10019</v>
      </c>
      <c r="N1459" s="1051"/>
    </row>
    <row r="1460" spans="13:14">
      <c r="M1460" s="812"/>
      <c r="N1460" s="812"/>
    </row>
    <row r="1461" spans="13:14">
      <c r="M1461" s="812"/>
      <c r="N1461" s="812"/>
    </row>
    <row r="1462" spans="13:14">
      <c r="M1462" s="812"/>
      <c r="N1462" s="812"/>
    </row>
    <row r="1463" spans="13:14">
      <c r="M1463" s="1242"/>
      <c r="N1463" s="1242"/>
    </row>
    <row r="1464" spans="13:14">
      <c r="M1464" s="1051" t="s">
        <v>2220</v>
      </c>
      <c r="N1464" s="1051"/>
    </row>
    <row r="1465" spans="13:14">
      <c r="M1465" s="812"/>
      <c r="N1465" s="812"/>
    </row>
    <row r="1466" spans="13:14">
      <c r="M1466" s="812"/>
      <c r="N1466" s="812"/>
    </row>
    <row r="1467" spans="13:14">
      <c r="M1467" s="812"/>
      <c r="N1467" s="812"/>
    </row>
    <row r="1468" spans="13:14">
      <c r="M1468" s="1242"/>
      <c r="N1468" s="1242"/>
    </row>
    <row r="1469" spans="13:14">
      <c r="M1469" s="1051" t="s">
        <v>10032</v>
      </c>
      <c r="N1469" s="1051"/>
    </row>
    <row r="1470" spans="13:14">
      <c r="M1470" s="812" t="s">
        <v>1909</v>
      </c>
      <c r="N1470" s="812"/>
    </row>
    <row r="1471" spans="13:14">
      <c r="M1471" s="812"/>
      <c r="N1471" s="812"/>
    </row>
    <row r="1472" spans="13:14">
      <c r="M1472" s="812"/>
      <c r="N1472" s="812"/>
    </row>
    <row r="1473" spans="13:14">
      <c r="M1473" s="812" t="s">
        <v>10038</v>
      </c>
      <c r="N1473" s="812"/>
    </row>
    <row r="1474" spans="13:14">
      <c r="M1474" s="812" t="s">
        <v>3337</v>
      </c>
      <c r="N1474" s="812"/>
    </row>
    <row r="1475" spans="13:14">
      <c r="M1475" s="812"/>
      <c r="N1475" s="812"/>
    </row>
    <row r="1476" spans="13:14">
      <c r="M1476" s="812"/>
      <c r="N1476" s="812"/>
    </row>
    <row r="1477" spans="13:14">
      <c r="M1477" s="812"/>
      <c r="N1477" s="812"/>
    </row>
    <row r="1478" spans="13:14">
      <c r="M1478" s="812" t="s">
        <v>8685</v>
      </c>
      <c r="N1478" s="812"/>
    </row>
    <row r="1479" spans="13:14">
      <c r="M1479" s="812"/>
      <c r="N1479" s="812"/>
    </row>
    <row r="1480" spans="13:14">
      <c r="M1480" s="812"/>
      <c r="N1480" s="812"/>
    </row>
    <row r="1481" spans="13:14">
      <c r="M1481" s="812"/>
      <c r="N1481" s="812"/>
    </row>
    <row r="1482" spans="13:14">
      <c r="M1482" s="812"/>
      <c r="N1482" s="812"/>
    </row>
    <row r="1483" spans="13:14">
      <c r="M1483" s="812"/>
      <c r="N1483" s="812"/>
    </row>
    <row r="1484" spans="13:14">
      <c r="M1484" s="812" t="s">
        <v>3837</v>
      </c>
      <c r="N1484" s="812"/>
    </row>
    <row r="1485" spans="13:14">
      <c r="M1485" s="812"/>
      <c r="N1485" s="812"/>
    </row>
    <row r="1486" spans="13:14">
      <c r="M1486" s="1242"/>
      <c r="N1486" s="1242"/>
    </row>
    <row r="1487" spans="13:14">
      <c r="M1487" s="812" t="s">
        <v>10054</v>
      </c>
      <c r="N1487" s="812"/>
    </row>
    <row r="1488" spans="13:14">
      <c r="M1488" s="812"/>
      <c r="N1488" s="812"/>
    </row>
    <row r="1489" spans="13:14">
      <c r="M1489" s="812"/>
      <c r="N1489" s="812"/>
    </row>
    <row r="1490" spans="13:14">
      <c r="M1490" s="812"/>
      <c r="N1490" s="812"/>
    </row>
    <row r="1491" spans="13:14">
      <c r="M1491" s="812"/>
      <c r="N1491" s="812"/>
    </row>
    <row r="1492" spans="13:14">
      <c r="M1492" s="1242"/>
      <c r="N1492" s="1242"/>
    </row>
    <row r="1493" spans="13:14">
      <c r="M1493" s="1051" t="s">
        <v>11311</v>
      </c>
      <c r="N1493" s="1051"/>
    </row>
    <row r="1494" spans="13:14">
      <c r="M1494" s="812"/>
      <c r="N1494" s="812"/>
    </row>
    <row r="1495" spans="13:14">
      <c r="M1495" s="812" t="s">
        <v>10063</v>
      </c>
      <c r="N1495" s="812"/>
    </row>
    <row r="1496" spans="13:14">
      <c r="M1496" s="812" t="s">
        <v>10063</v>
      </c>
      <c r="N1496" s="812"/>
    </row>
    <row r="1497" spans="13:14">
      <c r="M1497" s="1242"/>
      <c r="N1497" s="1242"/>
    </row>
    <row r="1498" spans="13:14">
      <c r="M1498" s="1051" t="s">
        <v>10067</v>
      </c>
      <c r="N1498" s="1051"/>
    </row>
    <row r="1499" spans="13:14">
      <c r="M1499" s="812"/>
      <c r="N1499" s="812"/>
    </row>
    <row r="1500" spans="13:14">
      <c r="M1500" s="812" t="s">
        <v>2228</v>
      </c>
      <c r="N1500" s="812"/>
    </row>
    <row r="1501" spans="13:14">
      <c r="M1501" s="812"/>
      <c r="N1501" s="812"/>
    </row>
    <row r="1502" spans="13:14">
      <c r="M1502" s="932"/>
      <c r="N1502" s="932"/>
    </row>
    <row r="1503" spans="13:14">
      <c r="M1503" s="812" t="s">
        <v>3401</v>
      </c>
      <c r="N1503" s="812"/>
    </row>
    <row r="1504" spans="13:14">
      <c r="M1504" s="812" t="s">
        <v>3401</v>
      </c>
      <c r="N1504" s="812"/>
    </row>
    <row r="1505" spans="13:14">
      <c r="M1505" s="812" t="s">
        <v>2230</v>
      </c>
      <c r="N1505" s="812"/>
    </row>
    <row r="1506" spans="13:14">
      <c r="M1506" s="1242"/>
      <c r="N1506" s="1242"/>
    </row>
    <row r="1507" spans="13:14">
      <c r="M1507" s="812" t="s">
        <v>10032</v>
      </c>
      <c r="N1507" s="812"/>
    </row>
    <row r="1508" spans="13:14">
      <c r="M1508" s="812" t="s">
        <v>2966</v>
      </c>
      <c r="N1508" s="812"/>
    </row>
    <row r="1509" spans="13:14">
      <c r="M1509" s="812"/>
      <c r="N1509" s="812"/>
    </row>
    <row r="1510" spans="13:14">
      <c r="M1510" s="812"/>
      <c r="N1510" s="812"/>
    </row>
    <row r="1511" spans="13:14">
      <c r="M1511" s="812"/>
      <c r="N1511" s="812"/>
    </row>
    <row r="1512" spans="13:14">
      <c r="M1512" s="812" t="s">
        <v>2966</v>
      </c>
      <c r="N1512" s="812"/>
    </row>
    <row r="1513" spans="13:14">
      <c r="M1513" s="812"/>
      <c r="N1513" s="812"/>
    </row>
    <row r="1514" spans="13:14">
      <c r="M1514" s="812"/>
      <c r="N1514" s="812"/>
    </row>
    <row r="1515" spans="13:14">
      <c r="M1515" s="812"/>
      <c r="N1515" s="812"/>
    </row>
    <row r="1516" spans="13:14">
      <c r="M1516" s="812"/>
      <c r="N1516" s="812"/>
    </row>
    <row r="1517" spans="13:14">
      <c r="M1517" s="812"/>
      <c r="N1517" s="812"/>
    </row>
    <row r="1518" spans="13:14">
      <c r="M1518" s="812"/>
      <c r="N1518" s="812"/>
    </row>
    <row r="1519" spans="13:14">
      <c r="M1519" s="812"/>
      <c r="N1519" s="812"/>
    </row>
    <row r="1520" spans="13:14">
      <c r="M1520" s="812" t="s">
        <v>2243</v>
      </c>
      <c r="N1520" s="812"/>
    </row>
    <row r="1521" spans="13:14">
      <c r="M1521" s="812"/>
      <c r="N1521" s="812"/>
    </row>
    <row r="1522" spans="13:14">
      <c r="M1522" s="812"/>
      <c r="N1522" s="812"/>
    </row>
    <row r="1523" spans="13:14">
      <c r="M1523" s="1242"/>
      <c r="N1523" s="1242"/>
    </row>
    <row r="1524" spans="13:14">
      <c r="M1524" s="812"/>
      <c r="N1524" s="812"/>
    </row>
    <row r="1525" spans="13:14">
      <c r="M1525" s="812" t="s">
        <v>10096</v>
      </c>
      <c r="N1525" s="812"/>
    </row>
    <row r="1526" spans="13:14">
      <c r="M1526" s="812"/>
      <c r="N1526" s="812"/>
    </row>
    <row r="1527" spans="13:14">
      <c r="M1527" s="812"/>
      <c r="N1527" s="812"/>
    </row>
    <row r="1528" spans="13:14">
      <c r="M1528" s="812"/>
      <c r="N1528" s="812"/>
    </row>
    <row r="1529" spans="13:14">
      <c r="M1529" s="812"/>
      <c r="N1529" s="812"/>
    </row>
    <row r="1530" spans="13:14">
      <c r="M1530" s="812"/>
      <c r="N1530" s="812"/>
    </row>
    <row r="1531" spans="13:14">
      <c r="M1531" s="812" t="s">
        <v>2978</v>
      </c>
      <c r="N1531" s="812"/>
    </row>
    <row r="1532" spans="13:14">
      <c r="M1532" s="812" t="s">
        <v>8483</v>
      </c>
      <c r="N1532" s="812"/>
    </row>
    <row r="1533" spans="13:14">
      <c r="M1533" s="812" t="s">
        <v>10105</v>
      </c>
      <c r="N1533" s="812"/>
    </row>
    <row r="1534" spans="13:14">
      <c r="M1534" s="812"/>
      <c r="N1534" s="812"/>
    </row>
    <row r="1535" spans="13:14">
      <c r="M1535" s="812"/>
      <c r="N1535" s="812"/>
    </row>
    <row r="1536" spans="13:14">
      <c r="M1536" s="812" t="s">
        <v>8632</v>
      </c>
      <c r="N1536" s="812"/>
    </row>
    <row r="1537" spans="13:14">
      <c r="M1537" s="812"/>
      <c r="N1537" s="812"/>
    </row>
    <row r="1538" spans="13:14">
      <c r="M1538" s="812"/>
      <c r="N1538" s="812"/>
    </row>
    <row r="1539" spans="13:14">
      <c r="M1539" s="812" t="s">
        <v>10113</v>
      </c>
      <c r="N1539" s="812"/>
    </row>
    <row r="1540" spans="13:14">
      <c r="M1540" s="812" t="s">
        <v>1896</v>
      </c>
      <c r="N1540" s="812"/>
    </row>
    <row r="1541" spans="13:14">
      <c r="M1541" s="812" t="s">
        <v>10116</v>
      </c>
      <c r="N1541" s="812"/>
    </row>
    <row r="1542" spans="13:14">
      <c r="M1542" s="812"/>
      <c r="N1542" s="812"/>
    </row>
    <row r="1543" spans="13:14">
      <c r="M1543" s="812" t="s">
        <v>1909</v>
      </c>
      <c r="N1543" s="812"/>
    </row>
    <row r="1544" spans="13:14">
      <c r="M1544" s="812"/>
      <c r="N1544" s="812"/>
    </row>
    <row r="1545" spans="13:14">
      <c r="M1545" s="812"/>
      <c r="N1545" s="812"/>
    </row>
    <row r="1546" spans="13:14">
      <c r="M1546" s="812"/>
      <c r="N1546" s="812"/>
    </row>
    <row r="1547" spans="13:14">
      <c r="M1547" s="812" t="s">
        <v>10123</v>
      </c>
      <c r="N1547" s="812"/>
    </row>
    <row r="1548" spans="13:14">
      <c r="M1548" s="1242"/>
      <c r="N1548" s="1242"/>
    </row>
    <row r="1549" spans="13:14">
      <c r="M1549" s="812" t="s">
        <v>3490</v>
      </c>
      <c r="N1549" s="812"/>
    </row>
    <row r="1550" spans="13:14">
      <c r="M1550" s="812"/>
      <c r="N1550" s="812"/>
    </row>
    <row r="1551" spans="13:14">
      <c r="M1551" s="932"/>
      <c r="N1551" s="932"/>
    </row>
    <row r="1552" spans="13:14">
      <c r="M1552" s="812"/>
      <c r="N1552" s="812"/>
    </row>
    <row r="1553" spans="13:14">
      <c r="M1553" s="812"/>
      <c r="N1553" s="812"/>
    </row>
    <row r="1554" spans="13:14">
      <c r="M1554" s="812"/>
      <c r="N1554" s="812"/>
    </row>
    <row r="1555" spans="13:14">
      <c r="M1555" s="812"/>
      <c r="N1555" s="812"/>
    </row>
    <row r="1556" spans="13:14">
      <c r="M1556" s="812"/>
      <c r="N1556" s="812"/>
    </row>
    <row r="1557" spans="13:14">
      <c r="M1557" s="812"/>
      <c r="N1557" s="812"/>
    </row>
    <row r="1558" spans="13:14">
      <c r="M1558" s="812" t="s">
        <v>1985</v>
      </c>
      <c r="N1558" s="812"/>
    </row>
    <row r="1559" spans="13:14">
      <c r="M1559" s="812"/>
      <c r="N1559" s="812"/>
    </row>
    <row r="1560" spans="13:14">
      <c r="M1560" s="812"/>
      <c r="N1560" s="812"/>
    </row>
    <row r="1561" spans="13:14">
      <c r="M1561" s="812" t="s">
        <v>2210</v>
      </c>
      <c r="N1561" s="812"/>
    </row>
    <row r="1562" spans="13:14">
      <c r="M1562" s="812"/>
      <c r="N1562" s="812"/>
    </row>
    <row r="1563" spans="13:14">
      <c r="M1563" s="812"/>
      <c r="N1563" s="812"/>
    </row>
    <row r="1564" spans="13:14">
      <c r="M1564" s="812" t="s">
        <v>2984</v>
      </c>
      <c r="N1564" s="812"/>
    </row>
    <row r="1565" spans="13:14">
      <c r="M1565" s="812"/>
      <c r="N1565" s="812"/>
    </row>
    <row r="1566" spans="13:14">
      <c r="M1566" s="812"/>
      <c r="N1566" s="812"/>
    </row>
    <row r="1567" spans="13:14">
      <c r="M1567" s="812"/>
      <c r="N1567" s="812"/>
    </row>
    <row r="1568" spans="13:14">
      <c r="M1568" s="812"/>
      <c r="N1568" s="812"/>
    </row>
    <row r="1569" spans="12:14">
      <c r="M1569" s="812" t="s">
        <v>10149</v>
      </c>
      <c r="N1569" s="812"/>
    </row>
    <row r="1570" spans="12:14">
      <c r="M1570" s="812" t="s">
        <v>2968</v>
      </c>
      <c r="N1570" s="812"/>
    </row>
    <row r="1571" spans="12:14">
      <c r="M1571" s="812"/>
      <c r="N1571" s="812"/>
    </row>
    <row r="1572" spans="12:14">
      <c r="M1572" s="812"/>
      <c r="N1572" s="812"/>
    </row>
    <row r="1573" spans="12:14">
      <c r="M1573" s="812" t="s">
        <v>2984</v>
      </c>
      <c r="N1573" s="812"/>
    </row>
    <row r="1574" spans="12:14">
      <c r="M1574" s="812"/>
      <c r="N1574" s="812"/>
    </row>
    <row r="1575" spans="12:14">
      <c r="M1575" s="812" t="s">
        <v>2210</v>
      </c>
      <c r="N1575" s="812"/>
    </row>
    <row r="1576" spans="12:14">
      <c r="M1576" s="812"/>
      <c r="N1576" s="812"/>
    </row>
    <row r="1577" spans="12:14">
      <c r="M1577" s="812"/>
      <c r="N1577" s="812"/>
    </row>
    <row r="1578" spans="12:14">
      <c r="M1578" s="812"/>
      <c r="N1578" s="812"/>
    </row>
    <row r="1579" spans="12:14">
      <c r="M1579" s="812" t="s">
        <v>8190</v>
      </c>
      <c r="N1579" s="812"/>
    </row>
    <row r="1580" spans="12:14">
      <c r="M1580" s="812"/>
      <c r="N1580" s="812"/>
    </row>
    <row r="1581" spans="12:14">
      <c r="L1581" s="1246" t="s">
        <v>12606</v>
      </c>
      <c r="M1581" s="1242" t="s">
        <v>2225</v>
      </c>
      <c r="N1581" s="1242" t="s">
        <v>12606</v>
      </c>
    </row>
    <row r="1582" spans="12:14">
      <c r="M1582" s="812" t="s">
        <v>3703</v>
      </c>
      <c r="N1582" s="812"/>
    </row>
    <row r="1583" spans="12:14">
      <c r="M1583" s="812"/>
      <c r="N1583" s="812"/>
    </row>
    <row r="1584" spans="12:14">
      <c r="M1584" s="812"/>
      <c r="N1584" s="812"/>
    </row>
    <row r="1585" spans="13:14">
      <c r="M1585" s="812"/>
      <c r="N1585" s="812"/>
    </row>
    <row r="1586" spans="13:14">
      <c r="M1586" s="812"/>
      <c r="N1586" s="812"/>
    </row>
    <row r="1587" spans="13:14">
      <c r="M1587" s="812" t="s">
        <v>8632</v>
      </c>
      <c r="N1587" s="812"/>
    </row>
    <row r="1588" spans="13:14">
      <c r="M1588" s="812" t="s">
        <v>10169</v>
      </c>
      <c r="N1588" s="812"/>
    </row>
    <row r="1589" spans="13:14">
      <c r="M1589" s="812" t="s">
        <v>2225</v>
      </c>
      <c r="N1589" s="812"/>
    </row>
    <row r="1590" spans="13:14">
      <c r="M1590" s="812"/>
      <c r="N1590" s="812"/>
    </row>
    <row r="1591" spans="13:14">
      <c r="M1591" s="812" t="s">
        <v>2986</v>
      </c>
      <c r="N1591" s="812"/>
    </row>
    <row r="1592" spans="13:14">
      <c r="M1592" s="812" t="s">
        <v>2220</v>
      </c>
      <c r="N1592" s="812"/>
    </row>
    <row r="1593" spans="13:14">
      <c r="M1593" s="812"/>
      <c r="N1593" s="812"/>
    </row>
    <row r="1594" spans="13:14">
      <c r="M1594" s="812" t="s">
        <v>2222</v>
      </c>
      <c r="N1594" s="812"/>
    </row>
    <row r="1595" spans="13:14">
      <c r="M1595" s="812" t="s">
        <v>10179</v>
      </c>
      <c r="N1595" s="812"/>
    </row>
    <row r="1596" spans="13:14">
      <c r="M1596" s="812"/>
      <c r="N1596" s="812"/>
    </row>
    <row r="1597" spans="13:14">
      <c r="M1597" s="812" t="s">
        <v>2966</v>
      </c>
      <c r="N1597" s="812"/>
    </row>
    <row r="1598" spans="13:14">
      <c r="M1598" s="1242"/>
      <c r="N1598" s="1242"/>
    </row>
    <row r="1599" spans="13:14">
      <c r="M1599" s="1051" t="s">
        <v>2222</v>
      </c>
      <c r="N1599" s="1051"/>
    </row>
    <row r="1600" spans="13:14">
      <c r="M1600" s="812" t="s">
        <v>2217</v>
      </c>
      <c r="N1600" s="812"/>
    </row>
    <row r="1601" spans="13:14">
      <c r="M1601" s="1242"/>
      <c r="N1601" s="1242"/>
    </row>
    <row r="1602" spans="13:14">
      <c r="M1602" s="1051" t="s">
        <v>10188</v>
      </c>
      <c r="N1602" s="1051"/>
    </row>
    <row r="1603" spans="13:14">
      <c r="M1603" s="812"/>
      <c r="N1603" s="812"/>
    </row>
    <row r="1604" spans="13:14">
      <c r="M1604" s="812"/>
      <c r="N1604" s="812"/>
    </row>
    <row r="1605" spans="13:14">
      <c r="M1605" s="812"/>
      <c r="N1605" s="812"/>
    </row>
    <row r="1606" spans="13:14">
      <c r="M1606" s="812"/>
      <c r="N1606" s="812"/>
    </row>
    <row r="1607" spans="13:14">
      <c r="M1607" s="812"/>
      <c r="N1607" s="812"/>
    </row>
    <row r="1608" spans="13:14">
      <c r="M1608" s="812" t="s">
        <v>4008</v>
      </c>
      <c r="N1608" s="812"/>
    </row>
    <row r="1609" spans="13:14">
      <c r="M1609" s="812"/>
      <c r="N1609" s="812"/>
    </row>
    <row r="1610" spans="13:14">
      <c r="M1610" s="812" t="s">
        <v>9681</v>
      </c>
      <c r="N1610" s="812"/>
    </row>
    <row r="1611" spans="13:14">
      <c r="M1611" s="812"/>
      <c r="N1611" s="812"/>
    </row>
    <row r="1612" spans="13:14">
      <c r="M1612" s="812"/>
      <c r="N1612" s="812"/>
    </row>
    <row r="1613" spans="13:14">
      <c r="M1613" s="812"/>
      <c r="N1613" s="812"/>
    </row>
    <row r="1614" spans="13:14">
      <c r="M1614" s="1242"/>
      <c r="N1614" s="1242"/>
    </row>
    <row r="1615" spans="13:14">
      <c r="M1615" s="812" t="s">
        <v>10203</v>
      </c>
      <c r="N1615" s="812"/>
    </row>
    <row r="1616" spans="13:14">
      <c r="M1616" s="812" t="s">
        <v>2972</v>
      </c>
      <c r="N1616" s="812"/>
    </row>
    <row r="1617" spans="13:14">
      <c r="M1617" s="812"/>
      <c r="N1617" s="812"/>
    </row>
    <row r="1618" spans="13:14">
      <c r="M1618" s="812"/>
      <c r="N1618" s="812"/>
    </row>
    <row r="1619" spans="13:14">
      <c r="M1619" s="812"/>
      <c r="N1619" s="812"/>
    </row>
    <row r="1620" spans="13:14">
      <c r="M1620" s="812"/>
      <c r="N1620" s="812"/>
    </row>
    <row r="1621" spans="13:14">
      <c r="M1621" s="812"/>
      <c r="N1621" s="812"/>
    </row>
    <row r="1622" spans="13:14">
      <c r="M1622" s="812"/>
      <c r="N1622" s="812"/>
    </row>
    <row r="1623" spans="13:14">
      <c r="M1623" s="812"/>
      <c r="N1623" s="812"/>
    </row>
    <row r="1624" spans="13:14">
      <c r="M1624" s="812"/>
      <c r="N1624" s="812"/>
    </row>
    <row r="1625" spans="13:14">
      <c r="M1625" s="812"/>
      <c r="N1625" s="812"/>
    </row>
    <row r="1626" spans="13:14">
      <c r="M1626" s="812"/>
      <c r="N1626" s="812"/>
    </row>
    <row r="1627" spans="13:14">
      <c r="M1627" s="812"/>
      <c r="N1627" s="812"/>
    </row>
    <row r="1628" spans="13:14">
      <c r="M1628" s="812" t="s">
        <v>10218</v>
      </c>
      <c r="N1628" s="812"/>
    </row>
    <row r="1629" spans="13:14">
      <c r="M1629" s="812"/>
      <c r="N1629" s="812"/>
    </row>
    <row r="1630" spans="13:14">
      <c r="M1630" s="812"/>
      <c r="N1630" s="812"/>
    </row>
    <row r="1631" spans="13:14">
      <c r="M1631" s="812" t="s">
        <v>2226</v>
      </c>
      <c r="N1631" s="812"/>
    </row>
    <row r="1632" spans="13:14">
      <c r="M1632" s="812"/>
      <c r="N1632" s="812"/>
    </row>
    <row r="1633" spans="12:14">
      <c r="M1633" s="812"/>
      <c r="N1633" s="812"/>
    </row>
    <row r="1634" spans="12:14">
      <c r="M1634" s="812"/>
      <c r="N1634" s="812"/>
    </row>
    <row r="1635" spans="12:14">
      <c r="M1635" s="812"/>
      <c r="N1635" s="812"/>
    </row>
    <row r="1636" spans="12:14">
      <c r="M1636" s="812" t="s">
        <v>3388</v>
      </c>
      <c r="N1636" s="812"/>
    </row>
    <row r="1637" spans="12:14">
      <c r="M1637" s="812"/>
      <c r="N1637" s="812"/>
    </row>
    <row r="1638" spans="12:14">
      <c r="L1638" s="1246" t="s">
        <v>12606</v>
      </c>
      <c r="M1638" s="1242" t="s">
        <v>10229</v>
      </c>
      <c r="N1638" s="1242" t="s">
        <v>12606</v>
      </c>
    </row>
    <row r="1639" spans="12:14">
      <c r="M1639" s="1051" t="s">
        <v>9419</v>
      </c>
      <c r="N1639" s="1051"/>
    </row>
    <row r="1640" spans="12:14">
      <c r="M1640" s="812"/>
      <c r="N1640" s="812"/>
    </row>
    <row r="1641" spans="12:14">
      <c r="M1641" s="812" t="s">
        <v>10236</v>
      </c>
      <c r="N1641" s="812"/>
    </row>
    <row r="1642" spans="12:14">
      <c r="M1642" s="1242"/>
      <c r="N1642" s="1242"/>
    </row>
    <row r="1643" spans="12:14">
      <c r="M1643" s="1242"/>
      <c r="N1643" s="1242"/>
    </row>
    <row r="1644" spans="12:14">
      <c r="M1644" s="812" t="s">
        <v>2214</v>
      </c>
      <c r="N1644" s="812"/>
    </row>
    <row r="1645" spans="12:14">
      <c r="M1645" s="812" t="s">
        <v>10240</v>
      </c>
      <c r="N1645" s="812"/>
    </row>
    <row r="1646" spans="12:14">
      <c r="M1646" s="812"/>
      <c r="N1646" s="812"/>
    </row>
    <row r="1647" spans="12:14">
      <c r="M1647" s="812"/>
      <c r="N1647" s="812"/>
    </row>
    <row r="1648" spans="12:14">
      <c r="L1648" s="1246" t="s">
        <v>12606</v>
      </c>
      <c r="M1648" s="1242" t="s">
        <v>7911</v>
      </c>
      <c r="N1648" s="1242" t="s">
        <v>12606</v>
      </c>
    </row>
    <row r="1649" spans="12:14">
      <c r="M1649" s="812"/>
      <c r="N1649" s="812"/>
    </row>
    <row r="1650" spans="12:14">
      <c r="M1650" s="812"/>
      <c r="N1650" s="812"/>
    </row>
    <row r="1651" spans="12:14">
      <c r="M1651" s="812"/>
      <c r="N1651" s="812"/>
    </row>
    <row r="1652" spans="12:14">
      <c r="M1652" s="1242"/>
      <c r="N1652" s="1242"/>
    </row>
    <row r="1653" spans="12:14">
      <c r="L1653" s="1246" t="s">
        <v>12624</v>
      </c>
      <c r="M1653" s="1242" t="s">
        <v>10251</v>
      </c>
      <c r="N1653" s="1242" t="s">
        <v>12624</v>
      </c>
    </row>
    <row r="1654" spans="12:14">
      <c r="M1654" s="812"/>
      <c r="N1654" s="812"/>
    </row>
    <row r="1655" spans="12:14">
      <c r="M1655" s="812"/>
      <c r="N1655" s="812"/>
    </row>
    <row r="1656" spans="12:14">
      <c r="M1656" s="812"/>
      <c r="N1656" s="812"/>
    </row>
    <row r="1657" spans="12:14">
      <c r="M1657" s="812"/>
      <c r="N1657" s="812"/>
    </row>
    <row r="1658" spans="12:14">
      <c r="M1658" s="812"/>
      <c r="N1658" s="812"/>
    </row>
    <row r="1659" spans="12:14">
      <c r="M1659" s="812"/>
      <c r="N1659" s="812"/>
    </row>
    <row r="1660" spans="12:14">
      <c r="M1660" s="812"/>
      <c r="N1660" s="812"/>
    </row>
    <row r="1661" spans="12:14">
      <c r="M1661" s="812"/>
      <c r="N1661" s="812"/>
    </row>
    <row r="1662" spans="12:14">
      <c r="L1662" s="1246" t="s">
        <v>12605</v>
      </c>
      <c r="M1662" s="1242" t="s">
        <v>2220</v>
      </c>
      <c r="N1662" s="1242" t="s">
        <v>12605</v>
      </c>
    </row>
    <row r="1663" spans="12:14">
      <c r="L1663" s="1246" t="s">
        <v>12606</v>
      </c>
      <c r="M1663" s="1242" t="s">
        <v>3388</v>
      </c>
      <c r="N1663" s="1242" t="s">
        <v>12606</v>
      </c>
    </row>
    <row r="1664" spans="12:14">
      <c r="M1664" s="812" t="s">
        <v>2239</v>
      </c>
      <c r="N1664" s="812"/>
    </row>
    <row r="1665" spans="12:14">
      <c r="M1665" s="812"/>
      <c r="N1665" s="812"/>
    </row>
    <row r="1666" spans="12:14">
      <c r="M1666" s="812"/>
      <c r="N1666" s="812"/>
    </row>
    <row r="1667" spans="12:14">
      <c r="M1667" s="1242"/>
      <c r="N1667" s="1242"/>
    </row>
    <row r="1668" spans="12:14">
      <c r="M1668" s="812"/>
      <c r="N1668" s="812"/>
    </row>
    <row r="1669" spans="12:14">
      <c r="L1669" s="1246" t="s">
        <v>12608</v>
      </c>
      <c r="M1669" s="1242" t="s">
        <v>3490</v>
      </c>
      <c r="N1669" s="1242" t="s">
        <v>12608</v>
      </c>
    </row>
    <row r="1670" spans="12:14">
      <c r="M1670" s="812" t="s">
        <v>8933</v>
      </c>
      <c r="N1670" s="812"/>
    </row>
    <row r="1671" spans="12:14">
      <c r="M1671" s="812"/>
      <c r="N1671" s="812"/>
    </row>
    <row r="1672" spans="12:14">
      <c r="L1672" s="1246" t="s">
        <v>12606</v>
      </c>
      <c r="M1672" s="1242" t="s">
        <v>2986</v>
      </c>
      <c r="N1672" s="1242" t="s">
        <v>12606</v>
      </c>
    </row>
    <row r="1673" spans="12:14">
      <c r="M1673" s="812"/>
      <c r="N1673" s="812"/>
    </row>
    <row r="1674" spans="12:14">
      <c r="L1674" s="1246" t="s">
        <v>12606</v>
      </c>
      <c r="M1674" s="1242" t="s">
        <v>2225</v>
      </c>
      <c r="N1674" s="1242" t="s">
        <v>12606</v>
      </c>
    </row>
    <row r="1675" spans="12:14">
      <c r="M1675" s="812" t="s">
        <v>2978</v>
      </c>
      <c r="N1675" s="812"/>
    </row>
    <row r="1676" spans="12:14">
      <c r="M1676" s="812"/>
      <c r="N1676" s="812"/>
    </row>
    <row r="1677" spans="12:14">
      <c r="M1677" s="812"/>
      <c r="N1677" s="812"/>
    </row>
    <row r="1678" spans="12:14">
      <c r="M1678" s="812"/>
      <c r="N1678" s="812"/>
    </row>
    <row r="1679" spans="12:14">
      <c r="M1679" s="812"/>
      <c r="N1679" s="812"/>
    </row>
    <row r="1680" spans="12:14">
      <c r="L1680" s="1246" t="s">
        <v>12606</v>
      </c>
      <c r="M1680" s="1242" t="s">
        <v>2225</v>
      </c>
      <c r="N1680" s="1242" t="s">
        <v>12606</v>
      </c>
    </row>
    <row r="1681" spans="12:14">
      <c r="M1681" s="812" t="s">
        <v>12572</v>
      </c>
      <c r="N1681" s="812"/>
    </row>
    <row r="1682" spans="12:14">
      <c r="M1682" s="812"/>
      <c r="N1682" s="812"/>
    </row>
    <row r="1683" spans="12:14">
      <c r="M1683" s="812"/>
      <c r="N1683" s="812"/>
    </row>
    <row r="1684" spans="12:14">
      <c r="M1684" s="812"/>
      <c r="N1684" s="812"/>
    </row>
    <row r="1685" spans="12:14">
      <c r="M1685" s="812"/>
      <c r="N1685" s="812"/>
    </row>
    <row r="1686" spans="12:14">
      <c r="M1686" s="812"/>
      <c r="N1686" s="812"/>
    </row>
    <row r="1687" spans="12:14">
      <c r="M1687" s="812"/>
      <c r="N1687" s="812"/>
    </row>
    <row r="1688" spans="12:14">
      <c r="M1688" s="812"/>
      <c r="N1688" s="812"/>
    </row>
    <row r="1689" spans="12:14">
      <c r="M1689" s="812"/>
      <c r="N1689" s="812"/>
    </row>
    <row r="1690" spans="12:14">
      <c r="L1690" s="1246" t="s">
        <v>12606</v>
      </c>
      <c r="M1690" s="1242" t="s">
        <v>10292</v>
      </c>
      <c r="N1690" s="1242" t="s">
        <v>12606</v>
      </c>
    </row>
    <row r="1691" spans="12:14">
      <c r="M1691" s="812" t="s">
        <v>1909</v>
      </c>
      <c r="N1691" s="812"/>
    </row>
    <row r="1692" spans="12:14">
      <c r="M1692" s="812"/>
      <c r="N1692" s="812"/>
    </row>
    <row r="1693" spans="12:14">
      <c r="M1693" s="812"/>
      <c r="N1693" s="812"/>
    </row>
    <row r="1694" spans="12:14">
      <c r="L1694" s="1246" t="s">
        <v>12606</v>
      </c>
      <c r="M1694" s="1242" t="s">
        <v>11316</v>
      </c>
      <c r="N1694" s="1242" t="s">
        <v>12606</v>
      </c>
    </row>
    <row r="1695" spans="12:14">
      <c r="M1695" s="812"/>
      <c r="N1695" s="812"/>
    </row>
    <row r="1696" spans="12:14">
      <c r="M1696" s="812" t="s">
        <v>10298</v>
      </c>
      <c r="N1696" s="812"/>
    </row>
    <row r="1697" spans="12:14">
      <c r="M1697" s="812" t="s">
        <v>2200</v>
      </c>
      <c r="N1697" s="812"/>
    </row>
    <row r="1698" spans="12:14">
      <c r="M1698" s="812"/>
      <c r="N1698" s="812"/>
    </row>
    <row r="1699" spans="12:14">
      <c r="M1699" s="812"/>
      <c r="N1699" s="812"/>
    </row>
    <row r="1700" spans="12:14">
      <c r="L1700" s="1246" t="s">
        <v>12615</v>
      </c>
      <c r="M1700" s="1242" t="s">
        <v>2968</v>
      </c>
      <c r="N1700" s="1242" t="s">
        <v>12615</v>
      </c>
    </row>
    <row r="1701" spans="12:14">
      <c r="M1701" s="812"/>
      <c r="N1701" s="812"/>
    </row>
    <row r="1702" spans="12:14">
      <c r="M1702" s="812"/>
      <c r="N1702" s="812"/>
    </row>
    <row r="1703" spans="12:14">
      <c r="M1703" s="812"/>
      <c r="N1703" s="812"/>
    </row>
    <row r="1704" spans="12:14">
      <c r="M1704" s="812"/>
      <c r="N1704" s="812"/>
    </row>
    <row r="1705" spans="12:14">
      <c r="M1705" s="932" t="s">
        <v>2979</v>
      </c>
      <c r="N1705" s="932"/>
    </row>
    <row r="1706" spans="12:14">
      <c r="M1706" s="812"/>
      <c r="N1706" s="812"/>
    </row>
    <row r="1707" spans="12:14">
      <c r="M1707" s="812"/>
      <c r="N1707" s="812"/>
    </row>
    <row r="1708" spans="12:14">
      <c r="L1708" s="1246" t="s">
        <v>12607</v>
      </c>
      <c r="M1708" s="1242" t="s">
        <v>2210</v>
      </c>
      <c r="N1708" s="1242" t="s">
        <v>12607</v>
      </c>
    </row>
    <row r="1709" spans="12:14">
      <c r="M1709" s="812"/>
      <c r="N1709" s="812"/>
    </row>
    <row r="1710" spans="12:14">
      <c r="M1710" s="812"/>
      <c r="N1710" s="812"/>
    </row>
    <row r="1711" spans="12:14">
      <c r="M1711" s="812"/>
      <c r="N1711" s="812"/>
    </row>
    <row r="1712" spans="12:14">
      <c r="L1712" s="1246" t="s">
        <v>12606</v>
      </c>
      <c r="M1712" s="1242" t="s">
        <v>10322</v>
      </c>
      <c r="N1712" s="1242" t="s">
        <v>12606</v>
      </c>
    </row>
    <row r="1713" spans="12:14">
      <c r="M1713" s="812"/>
      <c r="N1713" s="812"/>
    </row>
    <row r="1714" spans="12:14">
      <c r="L1714" s="1246" t="s">
        <v>12606</v>
      </c>
      <c r="M1714" s="1242" t="s">
        <v>10328</v>
      </c>
      <c r="N1714" s="1242" t="s">
        <v>12606</v>
      </c>
    </row>
    <row r="1715" spans="12:14">
      <c r="M1715" s="812"/>
      <c r="N1715" s="812"/>
    </row>
    <row r="1716" spans="12:14">
      <c r="M1716" s="812"/>
      <c r="N1716" s="812"/>
    </row>
    <row r="1717" spans="12:14">
      <c r="L1717" s="1246" t="s">
        <v>12602</v>
      </c>
      <c r="M1717" s="1242" t="s">
        <v>10334</v>
      </c>
      <c r="N1717" s="1242" t="s">
        <v>12602</v>
      </c>
    </row>
    <row r="1718" spans="12:14">
      <c r="M1718" s="812"/>
      <c r="N1718" s="812"/>
    </row>
    <row r="1719" spans="12:14">
      <c r="M1719" s="812" t="s">
        <v>3336</v>
      </c>
      <c r="N1719" s="812"/>
    </row>
    <row r="1720" spans="12:14">
      <c r="M1720" s="812"/>
      <c r="N1720" s="812"/>
    </row>
    <row r="1721" spans="12:14">
      <c r="M1721" s="812"/>
      <c r="N1721" s="812"/>
    </row>
    <row r="1722" spans="12:14">
      <c r="M1722" s="1242"/>
      <c r="N1722" s="1242"/>
    </row>
    <row r="1723" spans="12:14">
      <c r="M1723" s="1242"/>
      <c r="N1723" s="1242"/>
    </row>
    <row r="1724" spans="12:14">
      <c r="M1724" s="812"/>
      <c r="N1724" s="812"/>
    </row>
    <row r="1725" spans="12:14">
      <c r="M1725" s="812"/>
      <c r="N1725" s="812"/>
    </row>
    <row r="1726" spans="12:14">
      <c r="M1726" s="812" t="s">
        <v>10350</v>
      </c>
      <c r="N1726" s="812"/>
    </row>
    <row r="1727" spans="12:14">
      <c r="M1727" s="812" t="s">
        <v>2198</v>
      </c>
      <c r="N1727" s="812"/>
    </row>
    <row r="1728" spans="12:14">
      <c r="M1728" s="812" t="s">
        <v>10352</v>
      </c>
      <c r="N1728" s="812"/>
    </row>
    <row r="1729" spans="12:14">
      <c r="M1729" s="812"/>
      <c r="N1729" s="812"/>
    </row>
    <row r="1730" spans="12:14">
      <c r="M1730" s="812"/>
      <c r="N1730" s="812"/>
    </row>
    <row r="1731" spans="12:14">
      <c r="L1731" s="1246" t="s">
        <v>12602</v>
      </c>
      <c r="M1731" s="1242" t="s">
        <v>2232</v>
      </c>
      <c r="N1731" s="1242" t="s">
        <v>12602</v>
      </c>
    </row>
    <row r="1732" spans="12:14">
      <c r="M1732" s="812" t="s">
        <v>10678</v>
      </c>
      <c r="N1732" s="812"/>
    </row>
    <row r="1733" spans="12:14">
      <c r="M1733" s="812"/>
      <c r="N1733" s="812"/>
    </row>
    <row r="1734" spans="12:14">
      <c r="M1734" s="1242"/>
      <c r="N1734" s="1242"/>
    </row>
    <row r="1735" spans="12:14">
      <c r="M1735" s="812"/>
      <c r="N1735" s="812"/>
    </row>
    <row r="1736" spans="12:14">
      <c r="M1736" s="812" t="s">
        <v>2968</v>
      </c>
      <c r="N1736" s="812"/>
    </row>
    <row r="1737" spans="12:14">
      <c r="L1737" s="1246" t="s">
        <v>12606</v>
      </c>
      <c r="M1737" s="1242" t="s">
        <v>12515</v>
      </c>
      <c r="N1737" s="1242" t="s">
        <v>12606</v>
      </c>
    </row>
    <row r="1738" spans="12:14">
      <c r="M1738" s="812"/>
      <c r="N1738" s="812"/>
    </row>
    <row r="1739" spans="12:14">
      <c r="M1739" s="812"/>
      <c r="N1739" s="812"/>
    </row>
    <row r="1740" spans="12:14">
      <c r="M1740" s="812"/>
      <c r="N1740" s="812"/>
    </row>
    <row r="1741" spans="12:14">
      <c r="M1741" s="812"/>
      <c r="N1741" s="812"/>
    </row>
    <row r="1742" spans="12:14">
      <c r="M1742" s="812"/>
      <c r="N1742" s="812"/>
    </row>
    <row r="1743" spans="12:14">
      <c r="M1743" s="812" t="s">
        <v>12514</v>
      </c>
      <c r="N1743" s="812"/>
    </row>
    <row r="1744" spans="12:14">
      <c r="L1744" s="1246" t="s">
        <v>12597</v>
      </c>
      <c r="M1744" s="1242" t="s">
        <v>2198</v>
      </c>
      <c r="N1744" s="1242" t="s">
        <v>12597</v>
      </c>
    </row>
    <row r="1745" spans="12:14">
      <c r="M1745" s="812"/>
      <c r="N1745" s="812"/>
    </row>
    <row r="1746" spans="12:14">
      <c r="M1746" s="812"/>
      <c r="N1746" s="812"/>
    </row>
    <row r="1747" spans="12:14">
      <c r="M1747" s="812"/>
      <c r="N1747" s="812"/>
    </row>
    <row r="1748" spans="12:14">
      <c r="M1748" s="812"/>
      <c r="N1748" s="812"/>
    </row>
    <row r="1749" spans="12:14">
      <c r="M1749" s="812"/>
      <c r="N1749" s="812"/>
    </row>
    <row r="1750" spans="12:14">
      <c r="L1750" s="1246" t="s">
        <v>12615</v>
      </c>
      <c r="M1750" s="1242" t="s">
        <v>2968</v>
      </c>
      <c r="N1750" s="1242" t="s">
        <v>12615</v>
      </c>
    </row>
    <row r="1751" spans="12:14">
      <c r="M1751" s="812" t="s">
        <v>2968</v>
      </c>
      <c r="N1751" s="812"/>
    </row>
    <row r="1752" spans="12:14">
      <c r="M1752" s="812"/>
      <c r="N1752" s="812"/>
    </row>
    <row r="1753" spans="12:14">
      <c r="L1753" s="1246" t="s">
        <v>12618</v>
      </c>
      <c r="M1753" s="1242" t="s">
        <v>10366</v>
      </c>
      <c r="N1753" s="1242" t="s">
        <v>12618</v>
      </c>
    </row>
    <row r="1754" spans="12:14">
      <c r="M1754" s="812"/>
      <c r="N1754" s="812"/>
    </row>
    <row r="1755" spans="12:14">
      <c r="L1755" s="1246" t="s">
        <v>12605</v>
      </c>
      <c r="M1755" s="1242" t="s">
        <v>2214</v>
      </c>
      <c r="N1755" s="1242" t="s">
        <v>12605</v>
      </c>
    </row>
    <row r="1756" spans="12:14">
      <c r="M1756" s="812"/>
      <c r="N1756" s="812"/>
    </row>
    <row r="1757" spans="12:14">
      <c r="M1757" s="812"/>
      <c r="N1757" s="812"/>
    </row>
    <row r="1758" spans="12:14">
      <c r="L1758" s="1246" t="s">
        <v>12615</v>
      </c>
      <c r="M1758" s="1242" t="s">
        <v>2968</v>
      </c>
      <c r="N1758" s="1242" t="s">
        <v>12615</v>
      </c>
    </row>
    <row r="1759" spans="12:14">
      <c r="L1759" s="1246" t="s">
        <v>12606</v>
      </c>
      <c r="M1759" s="1242" t="s">
        <v>3040</v>
      </c>
      <c r="N1759" s="1242" t="s">
        <v>12606</v>
      </c>
    </row>
    <row r="1760" spans="12:14">
      <c r="M1760" s="812"/>
      <c r="N1760" s="812"/>
    </row>
    <row r="1761" spans="13:14">
      <c r="M1761" s="812"/>
      <c r="N1761" s="812"/>
    </row>
    <row r="1762" spans="13:14">
      <c r="M1762" s="812"/>
      <c r="N1762" s="812"/>
    </row>
    <row r="1763" spans="13:14">
      <c r="M1763" s="812"/>
      <c r="N1763" s="812"/>
    </row>
    <row r="1764" spans="13:14">
      <c r="M1764" s="812"/>
      <c r="N1764" s="812"/>
    </row>
    <row r="1765" spans="13:14">
      <c r="M1765" s="1242"/>
      <c r="N1765" s="1242"/>
    </row>
    <row r="1766" spans="13:14">
      <c r="M1766" s="812"/>
      <c r="N1766" s="812"/>
    </row>
    <row r="1767" spans="13:14">
      <c r="M1767" s="812"/>
      <c r="N1767" s="812"/>
    </row>
    <row r="1768" spans="13:14">
      <c r="M1768" s="812" t="s">
        <v>2198</v>
      </c>
      <c r="N1768" s="812"/>
    </row>
    <row r="1769" spans="13:14">
      <c r="M1769" s="812"/>
      <c r="N1769" s="812"/>
    </row>
    <row r="1770" spans="13:14">
      <c r="M1770" s="812"/>
      <c r="N1770" s="812"/>
    </row>
    <row r="1771" spans="13:14">
      <c r="M1771" s="812" t="s">
        <v>10387</v>
      </c>
      <c r="N1771" s="812"/>
    </row>
    <row r="1772" spans="13:14">
      <c r="M1772" s="812"/>
      <c r="N1772" s="812"/>
    </row>
    <row r="1773" spans="13:14">
      <c r="M1773" s="812" t="s">
        <v>10392</v>
      </c>
      <c r="N1773" s="812"/>
    </row>
    <row r="1774" spans="13:14">
      <c r="M1774" s="812" t="s">
        <v>10395</v>
      </c>
      <c r="N1774" s="812"/>
    </row>
    <row r="1775" spans="13:14">
      <c r="M1775" s="812" t="s">
        <v>10398</v>
      </c>
      <c r="N1775" s="812"/>
    </row>
    <row r="1776" spans="13:14">
      <c r="M1776" s="812"/>
      <c r="N1776" s="812"/>
    </row>
    <row r="1777" spans="12:14">
      <c r="M1777" s="812"/>
      <c r="N1777" s="812"/>
    </row>
    <row r="1778" spans="12:14">
      <c r="M1778" s="812"/>
      <c r="N1778" s="812"/>
    </row>
    <row r="1779" spans="12:14">
      <c r="M1779" s="812" t="s">
        <v>10405</v>
      </c>
      <c r="N1779" s="812"/>
    </row>
    <row r="1780" spans="12:14">
      <c r="M1780" s="812"/>
      <c r="N1780" s="812"/>
    </row>
    <row r="1781" spans="12:14">
      <c r="M1781" s="812"/>
      <c r="N1781" s="812"/>
    </row>
    <row r="1782" spans="12:14">
      <c r="M1782" s="812" t="s">
        <v>2210</v>
      </c>
      <c r="N1782" s="812"/>
    </row>
    <row r="1783" spans="12:14">
      <c r="M1783" s="1242"/>
      <c r="N1783" s="1242"/>
    </row>
    <row r="1784" spans="12:14">
      <c r="M1784" s="812" t="s">
        <v>4339</v>
      </c>
      <c r="N1784" s="812"/>
    </row>
    <row r="1785" spans="12:14">
      <c r="M1785" s="812"/>
      <c r="N1785" s="812"/>
    </row>
    <row r="1786" spans="12:14">
      <c r="L1786" s="1246" t="s">
        <v>12615</v>
      </c>
      <c r="M1786" s="1242" t="s">
        <v>4362</v>
      </c>
      <c r="N1786" s="1242" t="s">
        <v>12615</v>
      </c>
    </row>
    <row r="1787" spans="12:14">
      <c r="L1787" s="1246" t="s">
        <v>12605</v>
      </c>
      <c r="M1787" s="1242" t="s">
        <v>2220</v>
      </c>
      <c r="N1787" s="1242" t="s">
        <v>12605</v>
      </c>
    </row>
    <row r="1788" spans="12:14">
      <c r="M1788" s="812"/>
      <c r="N1788" s="812"/>
    </row>
    <row r="1789" spans="12:14">
      <c r="M1789" s="812"/>
      <c r="N1789" s="812"/>
    </row>
    <row r="1790" spans="12:14">
      <c r="M1790" s="812"/>
      <c r="N1790" s="812"/>
    </row>
    <row r="1791" spans="12:14">
      <c r="M1791" s="812"/>
      <c r="N1791" s="812"/>
    </row>
    <row r="1792" spans="12:14">
      <c r="L1792" s="1246" t="s">
        <v>12615</v>
      </c>
      <c r="M1792" s="1242" t="s">
        <v>2968</v>
      </c>
      <c r="N1792" s="1242" t="s">
        <v>12615</v>
      </c>
    </row>
    <row r="1793" spans="12:14">
      <c r="M1793" s="812"/>
      <c r="N1793" s="812"/>
    </row>
    <row r="1794" spans="12:14">
      <c r="M1794" s="812" t="s">
        <v>2968</v>
      </c>
      <c r="N1794" s="812"/>
    </row>
    <row r="1795" spans="12:14">
      <c r="M1795" s="812"/>
      <c r="N1795" s="812"/>
    </row>
    <row r="1796" spans="12:14">
      <c r="M1796" s="812"/>
      <c r="N1796" s="812"/>
    </row>
    <row r="1797" spans="12:14">
      <c r="L1797" s="1246" t="s">
        <v>12615</v>
      </c>
      <c r="M1797" s="1242" t="s">
        <v>2968</v>
      </c>
      <c r="N1797" s="1242" t="s">
        <v>12615</v>
      </c>
    </row>
    <row r="1798" spans="12:14">
      <c r="M1798" s="812" t="s">
        <v>4497</v>
      </c>
      <c r="N1798" s="812"/>
    </row>
    <row r="1799" spans="12:14">
      <c r="M1799" s="812"/>
      <c r="N1799" s="812"/>
    </row>
    <row r="1800" spans="12:14">
      <c r="M1800" s="812"/>
      <c r="N1800" s="812"/>
    </row>
    <row r="1801" spans="12:14">
      <c r="M1801" s="812"/>
      <c r="N1801" s="812"/>
    </row>
    <row r="1802" spans="12:14">
      <c r="M1802" s="812"/>
      <c r="N1802" s="812"/>
    </row>
    <row r="1803" spans="12:14">
      <c r="M1803" s="812"/>
      <c r="N1803" s="812"/>
    </row>
    <row r="1804" spans="12:14">
      <c r="L1804" s="1246" t="s">
        <v>12607</v>
      </c>
      <c r="M1804" s="1242" t="s">
        <v>2212</v>
      </c>
      <c r="N1804" s="1242" t="s">
        <v>12607</v>
      </c>
    </row>
    <row r="1805" spans="12:14">
      <c r="M1805" s="812" t="s">
        <v>1898</v>
      </c>
      <c r="N1805" s="812"/>
    </row>
    <row r="1806" spans="12:14">
      <c r="M1806" s="812" t="s">
        <v>11301</v>
      </c>
      <c r="N1806" s="812"/>
    </row>
    <row r="1807" spans="12:14">
      <c r="M1807" s="812" t="s">
        <v>2200</v>
      </c>
      <c r="N1807" s="812"/>
    </row>
    <row r="1808" spans="12:14">
      <c r="M1808" s="812"/>
      <c r="N1808" s="812"/>
    </row>
    <row r="1809" spans="12:14">
      <c r="M1809" s="812" t="s">
        <v>11302</v>
      </c>
      <c r="N1809" s="812"/>
    </row>
    <row r="1810" spans="12:14">
      <c r="M1810" s="812"/>
      <c r="N1810" s="812"/>
    </row>
    <row r="1811" spans="12:14">
      <c r="M1811" s="812"/>
      <c r="N1811" s="812"/>
    </row>
    <row r="1812" spans="12:14">
      <c r="M1812" s="812"/>
      <c r="N1812" s="812"/>
    </row>
    <row r="1813" spans="12:14">
      <c r="M1813" s="812"/>
      <c r="N1813" s="812"/>
    </row>
    <row r="1814" spans="12:14">
      <c r="M1814" s="812"/>
      <c r="N1814" s="812"/>
    </row>
    <row r="1815" spans="12:14">
      <c r="M1815" s="812"/>
      <c r="N1815" s="812"/>
    </row>
    <row r="1816" spans="12:14">
      <c r="L1816" s="1246" t="s">
        <v>12608</v>
      </c>
      <c r="M1816" s="1242" t="s">
        <v>11305</v>
      </c>
      <c r="N1816" s="1242" t="s">
        <v>12608</v>
      </c>
    </row>
    <row r="1817" spans="12:14">
      <c r="M1817" s="812"/>
      <c r="N1817" s="812"/>
    </row>
    <row r="1818" spans="12:14">
      <c r="M1818" s="812"/>
      <c r="N1818" s="812"/>
    </row>
    <row r="1819" spans="12:14">
      <c r="L1819" s="1246" t="s">
        <v>12615</v>
      </c>
      <c r="M1819" s="1242" t="s">
        <v>2968</v>
      </c>
      <c r="N1819" s="1242" t="s">
        <v>12615</v>
      </c>
    </row>
    <row r="1820" spans="12:14">
      <c r="M1820" s="812"/>
      <c r="N1820" s="812"/>
    </row>
    <row r="1821" spans="12:14">
      <c r="M1821" s="812" t="s">
        <v>2968</v>
      </c>
      <c r="N1821" s="812"/>
    </row>
    <row r="1822" spans="12:14">
      <c r="M1822" s="812"/>
      <c r="N1822" s="812"/>
    </row>
    <row r="1823" spans="12:14">
      <c r="M1823" s="812"/>
      <c r="N1823" s="812"/>
    </row>
    <row r="1824" spans="12:14">
      <c r="M1824" s="812"/>
      <c r="N1824" s="812"/>
    </row>
    <row r="1825" spans="12:14">
      <c r="L1825" s="1246" t="s">
        <v>12615</v>
      </c>
      <c r="M1825" s="1242" t="s">
        <v>2968</v>
      </c>
      <c r="N1825" s="1242" t="s">
        <v>12615</v>
      </c>
    </row>
    <row r="1826" spans="12:14">
      <c r="M1826" s="812"/>
      <c r="N1826" s="812"/>
    </row>
    <row r="1827" spans="12:14">
      <c r="M1827" s="812"/>
      <c r="N1827" s="812"/>
    </row>
    <row r="1828" spans="12:14">
      <c r="M1828" s="812"/>
      <c r="N1828" s="812"/>
    </row>
    <row r="1829" spans="12:14">
      <c r="M1829" s="812"/>
      <c r="N1829" s="812"/>
    </row>
    <row r="1830" spans="12:14">
      <c r="M1830" s="812" t="s">
        <v>4617</v>
      </c>
      <c r="N1830" s="812"/>
    </row>
    <row r="1831" spans="12:14">
      <c r="M1831" s="812"/>
      <c r="N1831" s="812"/>
    </row>
    <row r="1832" spans="12:14">
      <c r="M1832" s="812"/>
      <c r="N1832" s="812"/>
    </row>
    <row r="1833" spans="12:14">
      <c r="M1833" s="812" t="s">
        <v>4639</v>
      </c>
      <c r="N1833" s="812"/>
    </row>
    <row r="1834" spans="12:14">
      <c r="M1834" s="812"/>
      <c r="N1834" s="812"/>
    </row>
    <row r="1835" spans="12:14">
      <c r="M1835" s="1242"/>
      <c r="N1835" s="1242"/>
    </row>
    <row r="1836" spans="12:14">
      <c r="M1836" s="812"/>
      <c r="N1836" s="812"/>
    </row>
    <row r="1837" spans="12:14">
      <c r="M1837" s="812"/>
      <c r="N1837" s="812"/>
    </row>
    <row r="1838" spans="12:14">
      <c r="M1838" s="812"/>
      <c r="N1838" s="812"/>
    </row>
    <row r="1839" spans="12:14">
      <c r="M1839" s="812"/>
      <c r="N1839" s="812"/>
    </row>
    <row r="1840" spans="12:14">
      <c r="M1840" s="812"/>
      <c r="N1840" s="812"/>
    </row>
    <row r="1841" spans="13:14">
      <c r="M1841" s="1242"/>
      <c r="N1841" s="1242"/>
    </row>
    <row r="1842" spans="13:14">
      <c r="M1842" s="812"/>
      <c r="N1842" s="812"/>
    </row>
    <row r="1843" spans="13:14">
      <c r="M1843" s="812"/>
      <c r="N1843" s="812"/>
    </row>
    <row r="1844" spans="13:14">
      <c r="M1844" s="812" t="s">
        <v>10443</v>
      </c>
      <c r="N1844" s="812"/>
    </row>
    <row r="1845" spans="13:14">
      <c r="M1845" s="812" t="s">
        <v>10445</v>
      </c>
      <c r="N1845" s="812"/>
    </row>
    <row r="1846" spans="13:14">
      <c r="M1846" s="812"/>
      <c r="N1846" s="812"/>
    </row>
    <row r="1847" spans="13:14">
      <c r="M1847" s="812"/>
      <c r="N1847" s="812"/>
    </row>
    <row r="1848" spans="13:14">
      <c r="M1848" s="812"/>
      <c r="N1848" s="812"/>
    </row>
    <row r="1849" spans="13:14">
      <c r="M1849" s="812" t="s">
        <v>3703</v>
      </c>
      <c r="N1849" s="812"/>
    </row>
    <row r="1850" spans="13:14">
      <c r="M1850" s="812"/>
      <c r="N1850" s="812"/>
    </row>
    <row r="1851" spans="13:14">
      <c r="M1851" s="812" t="s">
        <v>3303</v>
      </c>
      <c r="N1851" s="812"/>
    </row>
    <row r="1852" spans="13:14">
      <c r="M1852" s="812"/>
      <c r="N1852" s="812"/>
    </row>
    <row r="1853" spans="13:14">
      <c r="M1853" s="812"/>
      <c r="N1853" s="812"/>
    </row>
    <row r="1854" spans="13:14">
      <c r="M1854" s="812"/>
      <c r="N1854" s="812"/>
    </row>
    <row r="1855" spans="13:14">
      <c r="M1855" s="812" t="s">
        <v>2220</v>
      </c>
      <c r="N1855" s="812"/>
    </row>
    <row r="1856" spans="13:14">
      <c r="M1856" s="812"/>
      <c r="N1856" s="812"/>
    </row>
    <row r="1857" spans="12:14">
      <c r="M1857" s="812"/>
      <c r="N1857" s="812"/>
    </row>
    <row r="1858" spans="12:14">
      <c r="M1858" s="812"/>
      <c r="N1858" s="812"/>
    </row>
    <row r="1859" spans="12:14">
      <c r="M1859" s="812"/>
      <c r="N1859" s="812"/>
    </row>
    <row r="1860" spans="12:14">
      <c r="M1860" s="812" t="s">
        <v>11325</v>
      </c>
      <c r="N1860" s="812"/>
    </row>
    <row r="1861" spans="12:14">
      <c r="M1861" s="812"/>
      <c r="N1861" s="812"/>
    </row>
    <row r="1862" spans="12:14">
      <c r="M1862" s="812"/>
      <c r="N1862" s="812"/>
    </row>
    <row r="1863" spans="12:14">
      <c r="M1863" s="812"/>
      <c r="N1863" s="812"/>
    </row>
    <row r="1864" spans="12:14">
      <c r="M1864" s="812" t="s">
        <v>2243</v>
      </c>
      <c r="N1864" s="812"/>
    </row>
    <row r="1865" spans="12:14">
      <c r="M1865" s="812" t="s">
        <v>10457</v>
      </c>
      <c r="N1865" s="812"/>
    </row>
    <row r="1866" spans="12:14">
      <c r="M1866" s="812" t="s">
        <v>2218</v>
      </c>
      <c r="N1866" s="812"/>
    </row>
    <row r="1867" spans="12:14">
      <c r="M1867" s="812" t="s">
        <v>10461</v>
      </c>
      <c r="N1867" s="812"/>
    </row>
    <row r="1868" spans="12:14">
      <c r="M1868" s="812"/>
      <c r="N1868" s="812"/>
    </row>
    <row r="1869" spans="12:14">
      <c r="M1869" s="812"/>
      <c r="N1869" s="812"/>
    </row>
    <row r="1870" spans="12:14">
      <c r="L1870" s="1246" t="s">
        <v>12615</v>
      </c>
      <c r="M1870" s="1242" t="s">
        <v>2203</v>
      </c>
      <c r="N1870" s="1242" t="s">
        <v>12615</v>
      </c>
    </row>
    <row r="1871" spans="12:14">
      <c r="M1871" s="812" t="s">
        <v>10467</v>
      </c>
      <c r="N1871" s="812"/>
    </row>
    <row r="1872" spans="12:14">
      <c r="M1872" s="812" t="s">
        <v>10467</v>
      </c>
      <c r="N1872" s="812"/>
    </row>
    <row r="1873" spans="12:14">
      <c r="M1873" s="812"/>
      <c r="N1873" s="812"/>
    </row>
    <row r="1874" spans="12:14">
      <c r="L1874" s="1246" t="s">
        <v>12621</v>
      </c>
      <c r="M1874" s="1242" t="s">
        <v>10472</v>
      </c>
      <c r="N1874" s="1242" t="s">
        <v>12621</v>
      </c>
    </row>
    <row r="1875" spans="12:14">
      <c r="M1875" s="812"/>
      <c r="N1875" s="812"/>
    </row>
    <row r="1876" spans="12:14">
      <c r="M1876" s="812"/>
      <c r="N1876" s="812"/>
    </row>
    <row r="1877" spans="12:14">
      <c r="M1877" s="812"/>
      <c r="N1877" s="812"/>
    </row>
    <row r="1878" spans="12:14">
      <c r="M1878" s="812"/>
      <c r="N1878" s="812"/>
    </row>
    <row r="1879" spans="12:14">
      <c r="M1879" s="812"/>
      <c r="N1879" s="812"/>
    </row>
    <row r="1880" spans="12:14">
      <c r="M1880" s="812"/>
      <c r="N1880" s="812"/>
    </row>
    <row r="1881" spans="12:14">
      <c r="M1881" s="812"/>
      <c r="N1881" s="812"/>
    </row>
    <row r="1882" spans="12:14">
      <c r="M1882" s="812"/>
      <c r="N1882" s="812"/>
    </row>
    <row r="1883" spans="12:14">
      <c r="M1883" s="812"/>
      <c r="N1883" s="812"/>
    </row>
    <row r="1884" spans="12:14">
      <c r="M1884" s="812"/>
      <c r="N1884" s="812"/>
    </row>
    <row r="1885" spans="12:14">
      <c r="M1885" s="812"/>
      <c r="N1885" s="812"/>
    </row>
    <row r="1886" spans="12:14">
      <c r="M1886" s="812" t="s">
        <v>2214</v>
      </c>
      <c r="N1886" s="812"/>
    </row>
    <row r="1887" spans="12:14">
      <c r="M1887" s="1242"/>
      <c r="N1887" s="1242"/>
    </row>
    <row r="1888" spans="12:14">
      <c r="M1888" s="812" t="s">
        <v>3122</v>
      </c>
      <c r="N1888" s="812"/>
    </row>
    <row r="1889" spans="12:14">
      <c r="M1889" s="812"/>
      <c r="N1889" s="812"/>
    </row>
    <row r="1890" spans="12:14">
      <c r="M1890" s="812"/>
      <c r="N1890" s="812"/>
    </row>
    <row r="1891" spans="12:14">
      <c r="L1891" s="1246" t="s">
        <v>12597</v>
      </c>
      <c r="M1891" s="1242" t="s">
        <v>2198</v>
      </c>
      <c r="N1891" s="1242" t="s">
        <v>12597</v>
      </c>
    </row>
    <row r="1892" spans="12:14">
      <c r="M1892" s="812" t="s">
        <v>10491</v>
      </c>
      <c r="N1892" s="812"/>
    </row>
    <row r="1893" spans="12:14">
      <c r="L1893" s="1246" t="s">
        <v>12629</v>
      </c>
      <c r="M1893" s="1242" t="s">
        <v>10493</v>
      </c>
      <c r="N1893" s="1242" t="s">
        <v>12629</v>
      </c>
    </row>
    <row r="1894" spans="12:14">
      <c r="M1894" s="812"/>
      <c r="N1894" s="812"/>
    </row>
    <row r="1895" spans="12:14">
      <c r="M1895" s="812"/>
      <c r="N1895" s="812"/>
    </row>
    <row r="1896" spans="12:14">
      <c r="M1896" s="812"/>
      <c r="N1896" s="812"/>
    </row>
    <row r="1897" spans="12:14">
      <c r="L1897" s="1246" t="s">
        <v>12606</v>
      </c>
      <c r="M1897" s="1242" t="s">
        <v>2225</v>
      </c>
      <c r="N1897" s="1242" t="s">
        <v>12606</v>
      </c>
    </row>
    <row r="1898" spans="12:14">
      <c r="M1898" s="812"/>
      <c r="N1898" s="812"/>
    </row>
    <row r="1899" spans="12:14">
      <c r="M1899" s="812"/>
      <c r="N1899" s="812"/>
    </row>
    <row r="1900" spans="12:14">
      <c r="M1900" s="812"/>
      <c r="N1900" s="812"/>
    </row>
    <row r="1901" spans="12:14">
      <c r="M1901" s="812"/>
      <c r="N1901" s="812"/>
    </row>
    <row r="1902" spans="12:14">
      <c r="M1902" s="812"/>
      <c r="N1902" s="812"/>
    </row>
    <row r="1903" spans="12:14">
      <c r="L1903" s="1246" t="s">
        <v>12614</v>
      </c>
      <c r="M1903" s="1242" t="s">
        <v>4634</v>
      </c>
      <c r="N1903" s="1242" t="s">
        <v>12614</v>
      </c>
    </row>
    <row r="1904" spans="12:14">
      <c r="L1904" s="1246" t="s">
        <v>12615</v>
      </c>
      <c r="M1904" s="1242" t="s">
        <v>2968</v>
      </c>
      <c r="N1904" s="1242" t="s">
        <v>12615</v>
      </c>
    </row>
    <row r="1905" spans="12:14">
      <c r="M1905" s="812"/>
      <c r="N1905" s="812"/>
    </row>
    <row r="1906" spans="12:14">
      <c r="M1906" s="812"/>
      <c r="N1906" s="812"/>
    </row>
    <row r="1907" spans="12:14">
      <c r="M1907" s="812"/>
      <c r="N1907" s="812"/>
    </row>
    <row r="1908" spans="12:14">
      <c r="M1908" s="812"/>
      <c r="N1908" s="812"/>
    </row>
    <row r="1909" spans="12:14">
      <c r="M1909" s="812" t="s">
        <v>4639</v>
      </c>
      <c r="N1909" s="812"/>
    </row>
    <row r="1910" spans="12:14">
      <c r="M1910" s="812"/>
      <c r="N1910" s="812"/>
    </row>
    <row r="1911" spans="12:14">
      <c r="M1911" s="812"/>
      <c r="N1911" s="812"/>
    </row>
    <row r="1912" spans="12:14">
      <c r="M1912" s="812" t="s">
        <v>10515</v>
      </c>
      <c r="N1912" s="812"/>
    </row>
    <row r="1913" spans="12:14">
      <c r="L1913" s="1246" t="s">
        <v>12606</v>
      </c>
      <c r="M1913" s="1242" t="s">
        <v>2229</v>
      </c>
      <c r="N1913" s="1242" t="s">
        <v>12606</v>
      </c>
    </row>
    <row r="1914" spans="12:14">
      <c r="M1914" s="812"/>
      <c r="N1914" s="812"/>
    </row>
    <row r="1915" spans="12:14">
      <c r="M1915" s="812"/>
      <c r="N1915" s="812"/>
    </row>
    <row r="1916" spans="12:14">
      <c r="M1916" s="812"/>
      <c r="N1916" s="812"/>
    </row>
    <row r="1917" spans="12:14">
      <c r="L1917" s="1246" t="s">
        <v>12606</v>
      </c>
      <c r="M1917" s="1242" t="s">
        <v>11312</v>
      </c>
      <c r="N1917" s="1242" t="s">
        <v>12606</v>
      </c>
    </row>
    <row r="1918" spans="12:14">
      <c r="M1918" s="812"/>
      <c r="N1918" s="812"/>
    </row>
    <row r="1919" spans="12:14">
      <c r="M1919" s="812"/>
      <c r="N1919" s="812"/>
    </row>
    <row r="1920" spans="12:14">
      <c r="M1920" s="812"/>
      <c r="N1920" s="812"/>
    </row>
    <row r="1921" spans="12:14">
      <c r="M1921" s="1242"/>
      <c r="N1921" s="1242"/>
    </row>
    <row r="1922" spans="12:14">
      <c r="M1922" s="812"/>
      <c r="N1922" s="812"/>
    </row>
    <row r="1923" spans="12:14">
      <c r="M1923" s="812" t="s">
        <v>10531</v>
      </c>
      <c r="N1923" s="812"/>
    </row>
    <row r="1924" spans="12:14">
      <c r="M1924" s="812"/>
      <c r="N1924" s="812"/>
    </row>
    <row r="1925" spans="12:14">
      <c r="M1925" s="812" t="s">
        <v>4638</v>
      </c>
      <c r="N1925" s="812"/>
    </row>
    <row r="1926" spans="12:14">
      <c r="M1926" s="812"/>
      <c r="N1926" s="812"/>
    </row>
    <row r="1927" spans="12:14">
      <c r="M1927" s="812" t="s">
        <v>10536</v>
      </c>
      <c r="N1927" s="812"/>
    </row>
    <row r="1928" spans="12:14">
      <c r="M1928" s="812"/>
      <c r="N1928" s="812"/>
    </row>
    <row r="1929" spans="12:14">
      <c r="M1929" s="812"/>
      <c r="N1929" s="812"/>
    </row>
    <row r="1930" spans="12:14">
      <c r="M1930" s="812" t="s">
        <v>10540</v>
      </c>
      <c r="N1930" s="812"/>
    </row>
    <row r="1931" spans="12:14">
      <c r="M1931" s="812" t="s">
        <v>10298</v>
      </c>
      <c r="N1931" s="812"/>
    </row>
    <row r="1932" spans="12:14">
      <c r="L1932" s="1246" t="s">
        <v>12606</v>
      </c>
      <c r="M1932" s="1242" t="s">
        <v>4679</v>
      </c>
      <c r="N1932" s="1242" t="s">
        <v>12606</v>
      </c>
    </row>
    <row r="1933" spans="12:14">
      <c r="M1933" s="1242"/>
      <c r="N1933" s="1242"/>
    </row>
    <row r="1934" spans="12:14">
      <c r="M1934" s="812" t="s">
        <v>10545</v>
      </c>
      <c r="N1934" s="812"/>
    </row>
    <row r="1935" spans="12:14">
      <c r="M1935" s="812" t="s">
        <v>9501</v>
      </c>
      <c r="N1935" s="812"/>
    </row>
    <row r="1936" spans="12:14">
      <c r="M1936" s="812"/>
      <c r="N1936" s="812"/>
    </row>
    <row r="1937" spans="13:14">
      <c r="M1937" s="812"/>
      <c r="N1937" s="812"/>
    </row>
    <row r="1938" spans="13:14">
      <c r="M1938" s="812" t="s">
        <v>11698</v>
      </c>
      <c r="N1938" s="812"/>
    </row>
    <row r="1939" spans="13:14">
      <c r="M1939" s="812"/>
      <c r="N1939" s="812"/>
    </row>
    <row r="1940" spans="13:14">
      <c r="M1940" s="812"/>
      <c r="N1940" s="812"/>
    </row>
    <row r="1941" spans="13:14">
      <c r="M1941" s="812"/>
      <c r="N1941" s="812"/>
    </row>
    <row r="1942" spans="13:14">
      <c r="M1942" s="812"/>
      <c r="N1942" s="812"/>
    </row>
    <row r="1943" spans="13:14">
      <c r="M1943" s="812"/>
      <c r="N1943" s="812"/>
    </row>
    <row r="1944" spans="13:14">
      <c r="M1944" s="812"/>
      <c r="N1944" s="812"/>
    </row>
    <row r="1945" spans="13:14">
      <c r="M1945" s="812" t="s">
        <v>4691</v>
      </c>
      <c r="N1945" s="812"/>
    </row>
    <row r="1946" spans="13:14">
      <c r="M1946" s="812"/>
      <c r="N1946" s="812"/>
    </row>
    <row r="1947" spans="13:14">
      <c r="M1947" s="812"/>
      <c r="N1947" s="812"/>
    </row>
    <row r="1948" spans="13:14">
      <c r="M1948" s="812" t="s">
        <v>10557</v>
      </c>
      <c r="N1948" s="812"/>
    </row>
    <row r="1949" spans="13:14">
      <c r="M1949" s="812" t="s">
        <v>10559</v>
      </c>
      <c r="N1949" s="812"/>
    </row>
    <row r="1950" spans="13:14">
      <c r="M1950" s="812"/>
      <c r="N1950" s="812"/>
    </row>
    <row r="1951" spans="13:14">
      <c r="M1951" s="812"/>
      <c r="N1951" s="812"/>
    </row>
    <row r="1952" spans="13:14">
      <c r="M1952" s="812" t="s">
        <v>10564</v>
      </c>
      <c r="N1952" s="812"/>
    </row>
    <row r="1953" spans="12:14">
      <c r="M1953" s="1242"/>
      <c r="N1953" s="1242"/>
    </row>
    <row r="1954" spans="12:14">
      <c r="M1954" s="807"/>
      <c r="N1954" s="807"/>
    </row>
    <row r="1955" spans="12:14">
      <c r="L1955" s="1246" t="s">
        <v>12606</v>
      </c>
      <c r="M1955" s="1242" t="s">
        <v>4720</v>
      </c>
      <c r="N1955" s="1242" t="s">
        <v>12606</v>
      </c>
    </row>
    <row r="1956" spans="12:14">
      <c r="M1956" s="812" t="s">
        <v>10573</v>
      </c>
      <c r="N1956" s="812"/>
    </row>
    <row r="1957" spans="12:14">
      <c r="M1957" s="812"/>
      <c r="N1957" s="812"/>
    </row>
    <row r="1958" spans="12:14">
      <c r="M1958" s="812" t="s">
        <v>2229</v>
      </c>
      <c r="N1958" s="812"/>
    </row>
    <row r="1959" spans="12:14">
      <c r="M1959" s="812" t="s">
        <v>8514</v>
      </c>
      <c r="N1959" s="812"/>
    </row>
    <row r="1960" spans="12:14">
      <c r="M1960" s="812" t="s">
        <v>10578</v>
      </c>
      <c r="N1960" s="812"/>
    </row>
    <row r="1961" spans="12:14">
      <c r="M1961" s="812"/>
      <c r="N1961" s="812"/>
    </row>
    <row r="1962" spans="12:14">
      <c r="M1962" s="812"/>
      <c r="N1962" s="812"/>
    </row>
    <row r="1963" spans="12:14">
      <c r="M1963" s="812" t="s">
        <v>10573</v>
      </c>
      <c r="N1963" s="812"/>
    </row>
    <row r="1964" spans="12:14">
      <c r="M1964" s="812"/>
      <c r="N1964" s="812"/>
    </row>
    <row r="1965" spans="12:14">
      <c r="M1965" s="812"/>
      <c r="N1965" s="812"/>
    </row>
    <row r="1966" spans="12:14">
      <c r="M1966" s="1242"/>
      <c r="N1966" s="1242"/>
    </row>
    <row r="1967" spans="12:14">
      <c r="M1967" s="812"/>
      <c r="N1967" s="812"/>
    </row>
    <row r="1968" spans="12:14">
      <c r="M1968" s="812" t="s">
        <v>10588</v>
      </c>
      <c r="N1968" s="812"/>
    </row>
    <row r="1969" spans="12:14">
      <c r="M1969" s="812"/>
      <c r="N1969" s="812"/>
    </row>
    <row r="1970" spans="12:14">
      <c r="M1970" s="812"/>
      <c r="N1970" s="812"/>
    </row>
    <row r="1971" spans="12:14">
      <c r="M1971" s="812"/>
      <c r="N1971" s="812"/>
    </row>
    <row r="1972" spans="12:14">
      <c r="M1972" s="812"/>
      <c r="N1972" s="812"/>
    </row>
    <row r="1973" spans="12:14">
      <c r="M1973" s="812"/>
      <c r="N1973" s="812"/>
    </row>
    <row r="1974" spans="12:14">
      <c r="L1974" s="1246" t="s">
        <v>12602</v>
      </c>
      <c r="M1974" s="1242" t="s">
        <v>10594</v>
      </c>
      <c r="N1974" s="1242" t="s">
        <v>12602</v>
      </c>
    </row>
    <row r="1975" spans="12:14">
      <c r="M1975" s="812"/>
      <c r="N1975" s="812"/>
    </row>
    <row r="1976" spans="12:14">
      <c r="M1976" s="812" t="s">
        <v>2201</v>
      </c>
      <c r="N1976" s="812"/>
    </row>
    <row r="1977" spans="12:14">
      <c r="M1977" s="812"/>
      <c r="N1977" s="812"/>
    </row>
    <row r="1978" spans="12:14">
      <c r="M1978" s="812"/>
      <c r="N1978" s="812"/>
    </row>
    <row r="1979" spans="12:14">
      <c r="M1979" s="812"/>
      <c r="N1979" s="812"/>
    </row>
    <row r="1980" spans="12:14">
      <c r="M1980" s="812" t="s">
        <v>2223</v>
      </c>
      <c r="N1980" s="812"/>
    </row>
    <row r="1981" spans="12:14">
      <c r="M1981" s="812"/>
      <c r="N1981" s="812"/>
    </row>
    <row r="1982" spans="12:14">
      <c r="M1982" s="812" t="s">
        <v>10602</v>
      </c>
      <c r="N1982" s="812"/>
    </row>
    <row r="1983" spans="12:14">
      <c r="M1983" s="812"/>
      <c r="N1983" s="812"/>
    </row>
    <row r="1984" spans="12:14">
      <c r="M1984" s="812" t="s">
        <v>2223</v>
      </c>
      <c r="N1984" s="812"/>
    </row>
    <row r="1985" spans="12:14">
      <c r="M1985" s="812"/>
      <c r="N1985" s="812"/>
    </row>
    <row r="1986" spans="12:14">
      <c r="M1986" s="812"/>
      <c r="N1986" s="812"/>
    </row>
    <row r="1987" spans="12:14">
      <c r="M1987" s="812"/>
      <c r="N1987" s="812"/>
    </row>
    <row r="1988" spans="12:14">
      <c r="M1988" s="812"/>
      <c r="N1988" s="812"/>
    </row>
    <row r="1989" spans="12:14">
      <c r="M1989" s="812"/>
      <c r="N1989" s="812"/>
    </row>
    <row r="1990" spans="12:14">
      <c r="M1990" s="812"/>
      <c r="N1990" s="812"/>
    </row>
    <row r="1991" spans="12:14">
      <c r="M1991" s="812"/>
      <c r="N1991" s="812"/>
    </row>
    <row r="1992" spans="12:14">
      <c r="M1992" s="1242"/>
      <c r="N1992" s="1242"/>
    </row>
    <row r="1993" spans="12:14">
      <c r="M1993" s="812"/>
      <c r="N1993" s="812"/>
    </row>
    <row r="1994" spans="12:14">
      <c r="M1994" s="1242"/>
      <c r="N1994" s="1242"/>
    </row>
    <row r="1995" spans="12:14">
      <c r="M1995" s="1242"/>
      <c r="N1995" s="1242"/>
    </row>
    <row r="1996" spans="12:14">
      <c r="M1996" s="812" t="s">
        <v>3172</v>
      </c>
      <c r="N1996" s="812"/>
    </row>
    <row r="1997" spans="12:14">
      <c r="M1997" s="812"/>
      <c r="N1997" s="812"/>
    </row>
    <row r="1998" spans="12:14">
      <c r="M1998" s="812"/>
      <c r="N1998" s="812"/>
    </row>
    <row r="1999" spans="12:14">
      <c r="L1999" s="1246" t="s">
        <v>12602</v>
      </c>
      <c r="M1999" s="1242" t="s">
        <v>12503</v>
      </c>
      <c r="N1999" s="1242" t="s">
        <v>12602</v>
      </c>
    </row>
    <row r="2000" spans="12:14">
      <c r="M2000" s="812" t="s">
        <v>12503</v>
      </c>
      <c r="N2000" s="812"/>
    </row>
    <row r="2001" spans="12:14">
      <c r="M2001" s="812"/>
      <c r="N2001" s="812"/>
    </row>
    <row r="2002" spans="12:14">
      <c r="M2002" s="812"/>
      <c r="N2002" s="812"/>
    </row>
    <row r="2003" spans="12:14">
      <c r="M2003" s="812"/>
      <c r="N2003" s="812"/>
    </row>
    <row r="2004" spans="12:14">
      <c r="M2004" s="812"/>
      <c r="N2004" s="812"/>
    </row>
    <row r="2005" spans="12:14">
      <c r="M2005" s="812"/>
      <c r="N2005" s="812"/>
    </row>
    <row r="2006" spans="12:14">
      <c r="M2006" s="812"/>
      <c r="N2006" s="812"/>
    </row>
    <row r="2007" spans="12:14">
      <c r="M2007" s="812" t="s">
        <v>2198</v>
      </c>
      <c r="N2007" s="812"/>
    </row>
    <row r="2008" spans="12:14">
      <c r="M2008" s="812" t="s">
        <v>2223</v>
      </c>
      <c r="N2008" s="812"/>
    </row>
    <row r="2009" spans="12:14">
      <c r="M2009" s="812"/>
      <c r="N2009" s="812"/>
    </row>
    <row r="2010" spans="12:14">
      <c r="M2010" s="812"/>
      <c r="N2010" s="812"/>
    </row>
    <row r="2011" spans="12:14">
      <c r="M2011" s="1051" t="s">
        <v>10638</v>
      </c>
      <c r="N2011" s="1051"/>
    </row>
    <row r="2012" spans="12:14">
      <c r="L2012" s="1246" t="s">
        <v>12606</v>
      </c>
      <c r="M2012" s="1242" t="s">
        <v>10640</v>
      </c>
      <c r="N2012" s="1242" t="s">
        <v>12606</v>
      </c>
    </row>
    <row r="2013" spans="12:14">
      <c r="M2013" s="812" t="s">
        <v>10405</v>
      </c>
      <c r="N2013" s="812"/>
    </row>
    <row r="2014" spans="12:14">
      <c r="M2014" s="812"/>
      <c r="N2014" s="812"/>
    </row>
    <row r="2015" spans="12:14">
      <c r="M2015" s="812"/>
      <c r="N2015" s="812"/>
    </row>
    <row r="2016" spans="12:14">
      <c r="M2016" s="812" t="s">
        <v>10652</v>
      </c>
      <c r="N2016" s="812"/>
    </row>
    <row r="2017" spans="13:14">
      <c r="M2017" s="812" t="s">
        <v>4889</v>
      </c>
      <c r="N2017" s="812"/>
    </row>
    <row r="2018" spans="13:14">
      <c r="M2018" s="812" t="s">
        <v>2225</v>
      </c>
      <c r="N2018" s="812"/>
    </row>
    <row r="2019" spans="13:14">
      <c r="M2019" s="812"/>
      <c r="N2019" s="812"/>
    </row>
    <row r="2020" spans="13:14">
      <c r="M2020" s="812"/>
      <c r="N2020" s="812"/>
    </row>
    <row r="2021" spans="13:14">
      <c r="M2021" s="812"/>
      <c r="N2021" s="812"/>
    </row>
    <row r="2022" spans="13:14">
      <c r="M2022" s="812"/>
      <c r="N2022" s="812"/>
    </row>
    <row r="2023" spans="13:14">
      <c r="M2023" s="812"/>
      <c r="N2023" s="812"/>
    </row>
    <row r="2024" spans="13:14">
      <c r="M2024" s="812"/>
      <c r="N2024" s="812"/>
    </row>
    <row r="2025" spans="13:14">
      <c r="M2025" s="812" t="s">
        <v>10662</v>
      </c>
      <c r="N2025" s="812"/>
    </row>
    <row r="2026" spans="13:14">
      <c r="M2026" s="812" t="s">
        <v>4896</v>
      </c>
      <c r="N2026" s="812"/>
    </row>
    <row r="2027" spans="13:14">
      <c r="M2027" s="812"/>
      <c r="N2027" s="812"/>
    </row>
    <row r="2028" spans="13:14">
      <c r="M2028" s="812" t="s">
        <v>2210</v>
      </c>
      <c r="N2028" s="812"/>
    </row>
    <row r="2029" spans="13:14">
      <c r="M2029" s="812"/>
      <c r="N2029" s="812"/>
    </row>
    <row r="2030" spans="13:14">
      <c r="M2030" s="812"/>
      <c r="N2030" s="812"/>
    </row>
    <row r="2031" spans="13:14">
      <c r="M2031" s="812"/>
      <c r="N2031" s="812"/>
    </row>
    <row r="2032" spans="13:14">
      <c r="M2032" s="812" t="s">
        <v>2234</v>
      </c>
      <c r="N2032" s="812"/>
    </row>
    <row r="2033" spans="12:14">
      <c r="M2033" s="812"/>
      <c r="N2033" s="812"/>
    </row>
    <row r="2034" spans="12:14">
      <c r="L2034" s="1246" t="s">
        <v>12621</v>
      </c>
      <c r="M2034" s="1242" t="s">
        <v>4603</v>
      </c>
      <c r="N2034" s="1242" t="s">
        <v>12621</v>
      </c>
    </row>
    <row r="2035" spans="12:14">
      <c r="M2035" s="812"/>
      <c r="N2035" s="812"/>
    </row>
    <row r="2036" spans="12:14">
      <c r="M2036" s="812"/>
      <c r="N2036" s="812"/>
    </row>
    <row r="2037" spans="12:14">
      <c r="M2037" s="812"/>
      <c r="N2037" s="812"/>
    </row>
    <row r="2038" spans="12:14">
      <c r="M2038" s="812"/>
      <c r="N2038" s="812"/>
    </row>
    <row r="2039" spans="12:14">
      <c r="M2039" s="812" t="s">
        <v>10678</v>
      </c>
      <c r="N2039" s="812"/>
    </row>
    <row r="2040" spans="12:14">
      <c r="M2040" s="812"/>
      <c r="N2040" s="812"/>
    </row>
    <row r="2041" spans="12:14">
      <c r="M2041" s="1242"/>
      <c r="N2041" s="1242"/>
    </row>
    <row r="2042" spans="12:14">
      <c r="M2042" s="812"/>
      <c r="N2042" s="812"/>
    </row>
    <row r="2043" spans="12:14">
      <c r="M2043" s="812"/>
      <c r="N2043" s="812"/>
    </row>
    <row r="2044" spans="12:14">
      <c r="M2044" s="812" t="s">
        <v>4912</v>
      </c>
      <c r="N2044" s="812"/>
    </row>
    <row r="2045" spans="12:14">
      <c r="M2045" s="932"/>
      <c r="N2045" s="932"/>
    </row>
    <row r="2046" spans="12:14">
      <c r="M2046" s="812"/>
      <c r="N2046" s="812"/>
    </row>
    <row r="2047" spans="12:14">
      <c r="M2047" s="1242"/>
      <c r="N2047" s="1242"/>
    </row>
    <row r="2048" spans="12:14">
      <c r="M2048" s="812" t="s">
        <v>4925</v>
      </c>
      <c r="N2048" s="812"/>
    </row>
    <row r="2049" spans="12:14">
      <c r="M2049" s="812"/>
      <c r="N2049" s="812"/>
    </row>
    <row r="2050" spans="12:14">
      <c r="M2050" s="812"/>
      <c r="N2050" s="812"/>
    </row>
    <row r="2051" spans="12:14">
      <c r="M2051" s="1242"/>
      <c r="N2051" s="1242"/>
    </row>
    <row r="2052" spans="12:14">
      <c r="M2052" s="812" t="s">
        <v>10697</v>
      </c>
      <c r="N2052" s="812"/>
    </row>
    <row r="2053" spans="12:14">
      <c r="L2053" s="1246" t="s">
        <v>12606</v>
      </c>
      <c r="M2053" s="1242" t="s">
        <v>11313</v>
      </c>
      <c r="N2053" s="1242" t="s">
        <v>12606</v>
      </c>
    </row>
    <row r="2054" spans="12:14">
      <c r="M2054" s="812" t="s">
        <v>8191</v>
      </c>
      <c r="N2054" s="812"/>
    </row>
    <row r="2055" spans="12:14">
      <c r="M2055" s="812"/>
      <c r="N2055" s="812"/>
    </row>
    <row r="2056" spans="12:14">
      <c r="M2056" s="812"/>
      <c r="N2056" s="812"/>
    </row>
    <row r="2057" spans="12:14">
      <c r="L2057" s="1246" t="s">
        <v>12615</v>
      </c>
      <c r="M2057" s="1242" t="s">
        <v>10703</v>
      </c>
      <c r="N2057" s="1242" t="s">
        <v>12615</v>
      </c>
    </row>
    <row r="2058" spans="12:14">
      <c r="M2058" s="1242"/>
      <c r="N2058" s="1242"/>
    </row>
    <row r="2059" spans="12:14">
      <c r="M2059" s="812"/>
      <c r="N2059" s="812"/>
    </row>
    <row r="2060" spans="12:14">
      <c r="M2060" s="812"/>
      <c r="N2060" s="812"/>
    </row>
    <row r="2061" spans="12:14">
      <c r="M2061" s="812"/>
      <c r="N2061" s="812"/>
    </row>
    <row r="2062" spans="12:14">
      <c r="M2062" s="812"/>
      <c r="N2062" s="812"/>
    </row>
    <row r="2063" spans="12:14">
      <c r="M2063" s="812" t="s">
        <v>3337</v>
      </c>
      <c r="N2063" s="812"/>
    </row>
    <row r="2064" spans="12:14">
      <c r="M2064" s="812"/>
      <c r="N2064" s="812"/>
    </row>
    <row r="2065" spans="12:14">
      <c r="L2065" s="1246" t="s">
        <v>12606</v>
      </c>
      <c r="M2065" s="1242" t="s">
        <v>2215</v>
      </c>
      <c r="N2065" s="1242" t="s">
        <v>12606</v>
      </c>
    </row>
    <row r="2066" spans="12:14">
      <c r="M2066" s="812"/>
      <c r="N2066" s="812"/>
    </row>
    <row r="2067" spans="12:14">
      <c r="M2067" s="812"/>
      <c r="N2067" s="812"/>
    </row>
    <row r="2068" spans="12:14">
      <c r="L2068" s="1246" t="s">
        <v>12605</v>
      </c>
      <c r="M2068" s="1242" t="s">
        <v>3640</v>
      </c>
      <c r="N2068" s="1242" t="s">
        <v>12605</v>
      </c>
    </row>
    <row r="2069" spans="12:14">
      <c r="M2069" s="812"/>
      <c r="N2069" s="812"/>
    </row>
    <row r="2070" spans="12:14">
      <c r="M2070" s="812"/>
      <c r="N2070" s="812"/>
    </row>
    <row r="2071" spans="12:14">
      <c r="M2071" s="812"/>
      <c r="N2071" s="812"/>
    </row>
    <row r="2072" spans="12:14">
      <c r="M2072" s="812"/>
      <c r="N2072" s="812"/>
    </row>
    <row r="2073" spans="12:14">
      <c r="L2073" s="1246" t="s">
        <v>12597</v>
      </c>
      <c r="M2073" s="1242" t="s">
        <v>2198</v>
      </c>
      <c r="N2073" s="1242" t="s">
        <v>12597</v>
      </c>
    </row>
    <row r="2074" spans="12:14">
      <c r="M2074" s="812" t="s">
        <v>10723</v>
      </c>
      <c r="N2074" s="812"/>
    </row>
    <row r="2075" spans="12:14">
      <c r="M2075" s="812"/>
      <c r="N2075" s="812"/>
    </row>
    <row r="2076" spans="12:14">
      <c r="L2076" s="1246" t="s">
        <v>12606</v>
      </c>
      <c r="M2076" s="1242" t="s">
        <v>2223</v>
      </c>
      <c r="N2076" s="1242" t="s">
        <v>12606</v>
      </c>
    </row>
    <row r="2077" spans="12:14">
      <c r="M2077" s="812"/>
      <c r="N2077" s="812"/>
    </row>
    <row r="2078" spans="12:14">
      <c r="M2078" s="1242"/>
      <c r="N2078" s="1242"/>
    </row>
    <row r="2079" spans="12:14">
      <c r="M2079" s="1242"/>
      <c r="N2079" s="1242"/>
    </row>
    <row r="2080" spans="12:14">
      <c r="M2080" s="812" t="s">
        <v>2233</v>
      </c>
      <c r="N2080" s="812"/>
    </row>
    <row r="2081" spans="12:14">
      <c r="M2081" s="812"/>
      <c r="N2081" s="812"/>
    </row>
    <row r="2082" spans="12:14">
      <c r="M2082" s="812"/>
      <c r="N2082" s="812"/>
    </row>
    <row r="2083" spans="12:14">
      <c r="L2083" s="1246" t="s">
        <v>12606</v>
      </c>
      <c r="M2083" s="1242" t="s">
        <v>3388</v>
      </c>
      <c r="N2083" s="1242" t="s">
        <v>12606</v>
      </c>
    </row>
    <row r="2084" spans="12:14">
      <c r="M2084" s="812"/>
      <c r="N2084" s="812"/>
    </row>
    <row r="2085" spans="12:14">
      <c r="M2085" s="1242"/>
      <c r="N2085" s="1242"/>
    </row>
    <row r="2086" spans="12:14">
      <c r="M2086" s="812"/>
      <c r="N2086" s="812"/>
    </row>
    <row r="2087" spans="12:14">
      <c r="M2087" s="812"/>
      <c r="N2087" s="812"/>
    </row>
    <row r="2088" spans="12:14">
      <c r="M2088" s="812"/>
      <c r="N2088" s="812"/>
    </row>
    <row r="2089" spans="12:14">
      <c r="L2089" s="1246" t="s">
        <v>12615</v>
      </c>
      <c r="M2089" s="1242" t="s">
        <v>2968</v>
      </c>
      <c r="N2089" s="1242" t="s">
        <v>12615</v>
      </c>
    </row>
    <row r="2090" spans="12:14">
      <c r="M2090" s="812"/>
      <c r="N2090" s="812"/>
    </row>
    <row r="2091" spans="12:14">
      <c r="M2091" s="812" t="s">
        <v>3303</v>
      </c>
      <c r="N2091" s="812"/>
    </row>
    <row r="2092" spans="12:14">
      <c r="M2092" s="812"/>
      <c r="N2092" s="812"/>
    </row>
    <row r="2093" spans="12:14">
      <c r="M2093" s="812"/>
      <c r="N2093" s="812"/>
    </row>
    <row r="2094" spans="12:14">
      <c r="M2094" s="812"/>
      <c r="N2094" s="812"/>
    </row>
    <row r="2095" spans="12:14">
      <c r="L2095" s="1246" t="s">
        <v>12605</v>
      </c>
      <c r="M2095" s="1242" t="s">
        <v>3640</v>
      </c>
      <c r="N2095" s="1242" t="s">
        <v>12605</v>
      </c>
    </row>
    <row r="2096" spans="12:14">
      <c r="M2096" s="812"/>
      <c r="N2096" s="812"/>
    </row>
    <row r="2097" spans="13:14">
      <c r="M2097" s="812" t="s">
        <v>10747</v>
      </c>
      <c r="N2097" s="812"/>
    </row>
    <row r="2098" spans="13:14">
      <c r="M2098" s="812" t="s">
        <v>8514</v>
      </c>
      <c r="N2098" s="812"/>
    </row>
    <row r="2099" spans="13:14">
      <c r="M2099" s="812" t="s">
        <v>10750</v>
      </c>
      <c r="N2099" s="812"/>
    </row>
    <row r="2100" spans="13:14">
      <c r="M2100" s="812"/>
      <c r="N2100" s="812"/>
    </row>
    <row r="2101" spans="13:14">
      <c r="M2101" s="812"/>
      <c r="N2101" s="812"/>
    </row>
    <row r="2102" spans="13:14">
      <c r="M2102" s="812"/>
      <c r="N2102" s="812"/>
    </row>
    <row r="2103" spans="13:14">
      <c r="M2103" s="812"/>
      <c r="N2103" s="812"/>
    </row>
    <row r="2104" spans="13:14">
      <c r="M2104" s="812"/>
      <c r="N2104" s="812"/>
    </row>
    <row r="2105" spans="13:14">
      <c r="M2105" s="812" t="s">
        <v>1263</v>
      </c>
      <c r="N2105" s="812"/>
    </row>
    <row r="2106" spans="13:14">
      <c r="M2106" s="812" t="s">
        <v>10760</v>
      </c>
      <c r="N2106" s="812"/>
    </row>
    <row r="2107" spans="13:14">
      <c r="M2107" s="812" t="s">
        <v>10762</v>
      </c>
      <c r="N2107" s="812"/>
    </row>
    <row r="2108" spans="13:14">
      <c r="M2108" s="812" t="s">
        <v>10764</v>
      </c>
      <c r="N2108" s="812"/>
    </row>
    <row r="2109" spans="13:14">
      <c r="M2109" s="812"/>
      <c r="N2109" s="812"/>
    </row>
    <row r="2110" spans="13:14">
      <c r="M2110" s="812"/>
      <c r="N2110" s="812"/>
    </row>
    <row r="2111" spans="13:14">
      <c r="M2111" s="812"/>
      <c r="N2111" s="812"/>
    </row>
    <row r="2112" spans="13:14">
      <c r="M2112" s="812" t="s">
        <v>10771</v>
      </c>
      <c r="N2112" s="812"/>
    </row>
    <row r="2113" spans="12:14">
      <c r="M2113" s="812"/>
      <c r="N2113" s="812"/>
    </row>
    <row r="2114" spans="12:14">
      <c r="M2114" s="812" t="s">
        <v>10774</v>
      </c>
      <c r="N2114" s="812"/>
    </row>
    <row r="2115" spans="12:14">
      <c r="L2115" s="1246" t="s">
        <v>12614</v>
      </c>
      <c r="M2115" s="1242" t="s">
        <v>10776</v>
      </c>
      <c r="N2115" s="1242" t="s">
        <v>12614</v>
      </c>
    </row>
    <row r="2116" spans="12:14">
      <c r="M2116" s="812" t="s">
        <v>10779</v>
      </c>
      <c r="N2116" s="812"/>
    </row>
    <row r="2117" spans="12:14">
      <c r="M2117" s="812"/>
      <c r="N2117" s="812"/>
    </row>
    <row r="2118" spans="12:14">
      <c r="M2118" s="812"/>
      <c r="N2118" s="812"/>
    </row>
    <row r="2119" spans="12:14">
      <c r="M2119" s="812"/>
      <c r="N2119" s="812"/>
    </row>
    <row r="2120" spans="12:14">
      <c r="M2120" s="812" t="s">
        <v>2200</v>
      </c>
      <c r="N2120" s="812"/>
    </row>
    <row r="2121" spans="12:14">
      <c r="M2121" s="812"/>
      <c r="N2121" s="812"/>
    </row>
    <row r="2122" spans="12:14">
      <c r="M2122" s="812"/>
      <c r="N2122" s="812"/>
    </row>
    <row r="2123" spans="12:14">
      <c r="L2123" s="1246" t="s">
        <v>12615</v>
      </c>
      <c r="M2123" s="1242" t="s">
        <v>2968</v>
      </c>
      <c r="N2123" s="1242" t="s">
        <v>12615</v>
      </c>
    </row>
    <row r="2124" spans="12:14">
      <c r="M2124" s="812" t="s">
        <v>2220</v>
      </c>
      <c r="N2124" s="812"/>
    </row>
    <row r="2125" spans="12:14">
      <c r="L2125" s="1246" t="s">
        <v>12597</v>
      </c>
      <c r="M2125" s="1242" t="s">
        <v>10789</v>
      </c>
      <c r="N2125" s="1242" t="s">
        <v>12597</v>
      </c>
    </row>
    <row r="2126" spans="12:14">
      <c r="M2126" s="1242"/>
      <c r="N2126" s="1242"/>
    </row>
    <row r="2127" spans="12:14">
      <c r="M2127" s="812"/>
      <c r="N2127" s="812"/>
    </row>
    <row r="2128" spans="12:14">
      <c r="M2128" s="812"/>
      <c r="N2128" s="812"/>
    </row>
    <row r="2129" spans="12:14">
      <c r="M2129" s="812"/>
      <c r="N2129" s="812"/>
    </row>
    <row r="2130" spans="12:14">
      <c r="M2130" s="812"/>
      <c r="N2130" s="812"/>
    </row>
    <row r="2131" spans="12:14">
      <c r="M2131" s="812"/>
      <c r="N2131" s="812"/>
    </row>
    <row r="2132" spans="12:14">
      <c r="L2132" s="1246" t="s">
        <v>12606</v>
      </c>
      <c r="M2132" s="1242" t="s">
        <v>2223</v>
      </c>
      <c r="N2132" s="1242" t="s">
        <v>12606</v>
      </c>
    </row>
    <row r="2133" spans="12:14">
      <c r="M2133" s="812"/>
      <c r="N2133" s="812"/>
    </row>
    <row r="2134" spans="12:14">
      <c r="M2134" s="812"/>
      <c r="N2134" s="812"/>
    </row>
    <row r="2135" spans="12:14">
      <c r="L2135" s="1246" t="s">
        <v>12602</v>
      </c>
      <c r="M2135" s="1242" t="s">
        <v>5119</v>
      </c>
      <c r="N2135" s="1242" t="s">
        <v>12602</v>
      </c>
    </row>
    <row r="2136" spans="12:14">
      <c r="M2136" s="812" t="s">
        <v>10801</v>
      </c>
      <c r="N2136" s="812"/>
    </row>
    <row r="2137" spans="12:14">
      <c r="M2137" s="812"/>
      <c r="N2137" s="812"/>
    </row>
    <row r="2138" spans="12:14">
      <c r="M2138" s="812"/>
      <c r="N2138" s="812"/>
    </row>
    <row r="2139" spans="12:14">
      <c r="M2139" s="812"/>
      <c r="N2139" s="812"/>
    </row>
    <row r="2140" spans="12:14">
      <c r="M2140" s="812"/>
      <c r="N2140" s="812"/>
    </row>
    <row r="2141" spans="12:14">
      <c r="L2141" s="1246" t="s">
        <v>12605</v>
      </c>
      <c r="M2141" s="1242" t="s">
        <v>2214</v>
      </c>
      <c r="N2141" s="1242" t="s">
        <v>12605</v>
      </c>
    </row>
    <row r="2142" spans="12:14">
      <c r="M2142" s="812"/>
      <c r="N2142" s="812"/>
    </row>
    <row r="2143" spans="12:14">
      <c r="M2143" s="812"/>
      <c r="N2143" s="812"/>
    </row>
    <row r="2144" spans="12:14">
      <c r="M2144" s="812"/>
      <c r="N2144" s="812"/>
    </row>
    <row r="2145" spans="12:14">
      <c r="M2145" s="812"/>
      <c r="N2145" s="812"/>
    </row>
    <row r="2146" spans="12:14">
      <c r="L2146" s="1246" t="s">
        <v>12608</v>
      </c>
      <c r="M2146" s="1242" t="s">
        <v>1909</v>
      </c>
      <c r="N2146" s="1242" t="s">
        <v>12608</v>
      </c>
    </row>
    <row r="2147" spans="12:14">
      <c r="M2147" s="812"/>
      <c r="N2147" s="812"/>
    </row>
    <row r="2148" spans="12:14">
      <c r="M2148" s="812"/>
      <c r="N2148" s="812"/>
    </row>
    <row r="2149" spans="12:14">
      <c r="M2149" s="812"/>
      <c r="N2149" s="812"/>
    </row>
    <row r="2150" spans="12:14">
      <c r="M2150" s="1242"/>
      <c r="N2150" s="1242"/>
    </row>
    <row r="2151" spans="12:14">
      <c r="M2151" s="812"/>
      <c r="N2151" s="812"/>
    </row>
    <row r="2152" spans="12:14">
      <c r="M2152" s="812"/>
      <c r="N2152" s="812"/>
    </row>
    <row r="2153" spans="12:14">
      <c r="M2153" s="812" t="s">
        <v>10678</v>
      </c>
      <c r="N2153" s="812"/>
    </row>
    <row r="2154" spans="12:14">
      <c r="M2154" s="812"/>
      <c r="N2154" s="812"/>
    </row>
    <row r="2155" spans="12:14">
      <c r="M2155" s="812" t="s">
        <v>5130</v>
      </c>
      <c r="N2155" s="812"/>
    </row>
    <row r="2156" spans="12:14">
      <c r="M2156" s="812"/>
      <c r="N2156" s="812"/>
    </row>
    <row r="2157" spans="12:14">
      <c r="M2157" s="812"/>
      <c r="N2157" s="812"/>
    </row>
    <row r="2158" spans="12:14">
      <c r="M2158" s="812" t="s">
        <v>2230</v>
      </c>
      <c r="N2158" s="812"/>
    </row>
    <row r="2159" spans="12:14">
      <c r="M2159" s="812" t="s">
        <v>2220</v>
      </c>
      <c r="N2159" s="812"/>
    </row>
    <row r="2160" spans="12:14">
      <c r="L2160" s="1246" t="s">
        <v>12605</v>
      </c>
      <c r="M2160" s="1242" t="s">
        <v>2220</v>
      </c>
      <c r="N2160" s="1242" t="s">
        <v>12605</v>
      </c>
    </row>
    <row r="2161" spans="12:14">
      <c r="M2161" s="812" t="s">
        <v>2972</v>
      </c>
      <c r="N2161" s="812"/>
    </row>
    <row r="2162" spans="12:14">
      <c r="M2162" s="812"/>
      <c r="N2162" s="812"/>
    </row>
    <row r="2163" spans="12:14">
      <c r="M2163" s="812"/>
      <c r="N2163" s="812"/>
    </row>
    <row r="2164" spans="12:14">
      <c r="M2164" s="812"/>
      <c r="N2164" s="812"/>
    </row>
    <row r="2165" spans="12:14">
      <c r="M2165" s="1242"/>
      <c r="N2165" s="1242"/>
    </row>
    <row r="2166" spans="12:14">
      <c r="M2166" s="812"/>
      <c r="N2166" s="812"/>
    </row>
    <row r="2167" spans="12:14">
      <c r="M2167" s="812" t="s">
        <v>9370</v>
      </c>
      <c r="N2167" s="812"/>
    </row>
    <row r="2168" spans="12:14">
      <c r="M2168" s="812"/>
      <c r="N2168" s="812"/>
    </row>
    <row r="2169" spans="12:14">
      <c r="M2169" s="812"/>
      <c r="N2169" s="812"/>
    </row>
    <row r="2170" spans="12:14">
      <c r="M2170" s="812"/>
      <c r="N2170" s="812"/>
    </row>
    <row r="2171" spans="12:14">
      <c r="L2171" s="1246" t="s">
        <v>12606</v>
      </c>
      <c r="M2171" s="1242" t="s">
        <v>11314</v>
      </c>
      <c r="N2171" s="1242" t="s">
        <v>12606</v>
      </c>
    </row>
    <row r="2172" spans="12:14">
      <c r="M2172" s="812" t="s">
        <v>10844</v>
      </c>
      <c r="N2172" s="812"/>
    </row>
    <row r="2173" spans="12:14">
      <c r="M2173" s="812"/>
      <c r="N2173" s="812"/>
    </row>
    <row r="2174" spans="12:14">
      <c r="M2174" s="812" t="s">
        <v>2220</v>
      </c>
      <c r="N2174" s="812"/>
    </row>
    <row r="2175" spans="12:14">
      <c r="M2175" s="812"/>
      <c r="N2175" s="812"/>
    </row>
    <row r="2176" spans="12:14">
      <c r="M2176" s="812"/>
      <c r="N2176" s="812"/>
    </row>
    <row r="2177" spans="12:14">
      <c r="M2177" s="812"/>
      <c r="N2177" s="812"/>
    </row>
    <row r="2178" spans="12:14">
      <c r="M2178" s="812"/>
      <c r="N2178" s="812"/>
    </row>
    <row r="2179" spans="12:14">
      <c r="L2179" s="1246" t="s">
        <v>12621</v>
      </c>
      <c r="M2179" s="1242" t="s">
        <v>10852</v>
      </c>
      <c r="N2179" s="1242" t="s">
        <v>12621</v>
      </c>
    </row>
    <row r="2180" spans="12:14">
      <c r="M2180" s="1051" t="s">
        <v>10854</v>
      </c>
      <c r="N2180" s="1051"/>
    </row>
    <row r="2181" spans="12:14">
      <c r="L2181" s="1246" t="s">
        <v>12605</v>
      </c>
      <c r="M2181" s="1242" t="s">
        <v>2220</v>
      </c>
      <c r="N2181" s="1242" t="s">
        <v>12605</v>
      </c>
    </row>
    <row r="2182" spans="12:14">
      <c r="M2182" s="812" t="s">
        <v>2198</v>
      </c>
      <c r="N2182" s="812"/>
    </row>
    <row r="2183" spans="12:14">
      <c r="L2183" s="1246" t="s">
        <v>12615</v>
      </c>
      <c r="M2183" s="1242" t="s">
        <v>2968</v>
      </c>
      <c r="N2183" s="1242" t="s">
        <v>12615</v>
      </c>
    </row>
    <row r="2184" spans="12:14">
      <c r="M2184" s="812" t="s">
        <v>2198</v>
      </c>
      <c r="N2184" s="812"/>
    </row>
    <row r="2185" spans="12:14">
      <c r="L2185" s="1246" t="s">
        <v>12597</v>
      </c>
      <c r="M2185" s="1242" t="s">
        <v>2198</v>
      </c>
      <c r="N2185" s="1242" t="s">
        <v>12597</v>
      </c>
    </row>
    <row r="2186" spans="12:14">
      <c r="M2186" s="812" t="s">
        <v>10862</v>
      </c>
      <c r="N2186" s="812"/>
    </row>
    <row r="2187" spans="12:14">
      <c r="M2187" s="812"/>
      <c r="N2187" s="812"/>
    </row>
    <row r="2188" spans="12:14">
      <c r="M2188" s="812"/>
      <c r="N2188" s="812"/>
    </row>
    <row r="2189" spans="12:14">
      <c r="M2189" s="812"/>
      <c r="N2189" s="812"/>
    </row>
    <row r="2190" spans="12:14">
      <c r="M2190" s="812"/>
      <c r="N2190" s="812"/>
    </row>
    <row r="2191" spans="12:14">
      <c r="L2191" s="1246" t="s">
        <v>12623</v>
      </c>
      <c r="M2191" s="1242" t="s">
        <v>5142</v>
      </c>
      <c r="N2191" s="1242" t="s">
        <v>12623</v>
      </c>
    </row>
    <row r="2192" spans="12:14">
      <c r="M2192" s="812" t="s">
        <v>10869</v>
      </c>
      <c r="N2192" s="812"/>
    </row>
    <row r="2193" spans="12:14">
      <c r="M2193" s="812"/>
      <c r="N2193" s="812"/>
    </row>
    <row r="2194" spans="12:14">
      <c r="M2194" s="812"/>
      <c r="N2194" s="812"/>
    </row>
    <row r="2195" spans="12:14">
      <c r="L2195" s="1246" t="s">
        <v>12606</v>
      </c>
      <c r="M2195" s="1242" t="s">
        <v>2215</v>
      </c>
      <c r="N2195" s="1242" t="s">
        <v>12606</v>
      </c>
    </row>
    <row r="2196" spans="12:14">
      <c r="M2196" s="812"/>
      <c r="N2196" s="812"/>
    </row>
    <row r="2197" spans="12:14">
      <c r="M2197" s="812" t="s">
        <v>2200</v>
      </c>
      <c r="N2197" s="812"/>
    </row>
    <row r="2198" spans="12:14">
      <c r="M2198" s="812"/>
      <c r="N2198" s="812"/>
    </row>
    <row r="2199" spans="12:14">
      <c r="M2199" s="812"/>
      <c r="N2199" s="812"/>
    </row>
    <row r="2200" spans="12:14">
      <c r="M2200" s="812"/>
      <c r="N2200" s="812"/>
    </row>
    <row r="2201" spans="12:14">
      <c r="M2201" s="812"/>
      <c r="N2201" s="812"/>
    </row>
    <row r="2202" spans="12:14">
      <c r="M2202" s="812"/>
      <c r="N2202" s="812"/>
    </row>
    <row r="2203" spans="12:14">
      <c r="L2203" s="1246" t="s">
        <v>12606</v>
      </c>
      <c r="M2203" s="1242" t="s">
        <v>11310</v>
      </c>
      <c r="N2203" s="1242" t="s">
        <v>12606</v>
      </c>
    </row>
    <row r="2204" spans="12:14">
      <c r="M2204" s="812" t="s">
        <v>10881</v>
      </c>
      <c r="N2204" s="812"/>
    </row>
    <row r="2205" spans="12:14">
      <c r="M2205" s="812"/>
      <c r="N2205" s="812"/>
    </row>
    <row r="2206" spans="12:14">
      <c r="M2206" s="812"/>
      <c r="N2206" s="812"/>
    </row>
    <row r="2207" spans="12:14">
      <c r="M2207" s="812"/>
      <c r="N2207" s="812"/>
    </row>
    <row r="2208" spans="12:14">
      <c r="M2208" s="812"/>
      <c r="N2208" s="812"/>
    </row>
    <row r="2209" spans="12:14">
      <c r="M2209" s="812"/>
      <c r="N2209" s="812"/>
    </row>
    <row r="2210" spans="12:14">
      <c r="M2210" s="812"/>
      <c r="N2210" s="812"/>
    </row>
    <row r="2211" spans="12:14">
      <c r="L2211" s="1246" t="s">
        <v>12605</v>
      </c>
      <c r="M2211" s="1242" t="s">
        <v>10889</v>
      </c>
      <c r="N2211" s="1242" t="s">
        <v>12605</v>
      </c>
    </row>
    <row r="2212" spans="12:14">
      <c r="M2212" s="812" t="s">
        <v>10892</v>
      </c>
      <c r="N2212" s="812"/>
    </row>
    <row r="2213" spans="12:14">
      <c r="M2213" s="812"/>
      <c r="N2213" s="812"/>
    </row>
    <row r="2214" spans="12:14">
      <c r="M2214" s="812"/>
      <c r="N2214" s="812"/>
    </row>
    <row r="2215" spans="12:14">
      <c r="M2215" s="812"/>
      <c r="N2215" s="812"/>
    </row>
    <row r="2216" spans="12:14">
      <c r="L2216" s="1246" t="s">
        <v>12619</v>
      </c>
      <c r="M2216" s="1242" t="s">
        <v>5317</v>
      </c>
      <c r="N2216" s="1242" t="s">
        <v>12619</v>
      </c>
    </row>
    <row r="2217" spans="12:14">
      <c r="M2217" s="812" t="s">
        <v>3337</v>
      </c>
      <c r="N2217" s="812"/>
    </row>
    <row r="2218" spans="12:14">
      <c r="L2218" s="1246" t="s">
        <v>12606</v>
      </c>
      <c r="M2218" s="1242" t="s">
        <v>2225</v>
      </c>
      <c r="N2218" s="1242" t="s">
        <v>12606</v>
      </c>
    </row>
    <row r="2219" spans="12:14">
      <c r="M2219" s="812"/>
      <c r="N2219" s="812"/>
    </row>
    <row r="2220" spans="12:14">
      <c r="M2220" s="812"/>
      <c r="N2220" s="812"/>
    </row>
    <row r="2221" spans="12:14">
      <c r="L2221" s="1246" t="s">
        <v>12606</v>
      </c>
      <c r="M2221" s="1242" t="s">
        <v>3245</v>
      </c>
      <c r="N2221" s="1242" t="s">
        <v>12606</v>
      </c>
    </row>
    <row r="2222" spans="12:14">
      <c r="L2222" s="1246" t="s">
        <v>12606</v>
      </c>
      <c r="M2222" s="1242" t="s">
        <v>2966</v>
      </c>
      <c r="N2222" s="1242" t="s">
        <v>12606</v>
      </c>
    </row>
    <row r="2223" spans="12:14">
      <c r="M2223" s="812"/>
      <c r="N2223" s="812"/>
    </row>
    <row r="2224" spans="12:14">
      <c r="M2224" s="932" t="s">
        <v>10906</v>
      </c>
      <c r="N2224" s="932"/>
    </row>
    <row r="2225" spans="12:14">
      <c r="M2225" s="812"/>
      <c r="N2225" s="812"/>
    </row>
    <row r="2226" spans="12:14">
      <c r="M2226" s="812" t="s">
        <v>10909</v>
      </c>
      <c r="N2226" s="812"/>
    </row>
    <row r="2227" spans="12:14">
      <c r="M2227" s="812"/>
      <c r="N2227" s="812"/>
    </row>
    <row r="2228" spans="12:14">
      <c r="M2228" s="812"/>
      <c r="N2228" s="812"/>
    </row>
    <row r="2229" spans="12:14">
      <c r="L2229" s="1246" t="s">
        <v>12618</v>
      </c>
      <c r="M2229" s="1242" t="s">
        <v>5197</v>
      </c>
      <c r="N2229" s="1242" t="s">
        <v>12618</v>
      </c>
    </row>
    <row r="2230" spans="12:14">
      <c r="M2230" s="812"/>
      <c r="N2230" s="812"/>
    </row>
    <row r="2231" spans="12:14">
      <c r="M2231" s="807"/>
      <c r="N2231" s="807"/>
    </row>
    <row r="2232" spans="12:14">
      <c r="M2232" s="812" t="s">
        <v>5206</v>
      </c>
      <c r="N2232" s="812"/>
    </row>
    <row r="2233" spans="12:14">
      <c r="M2233" s="812" t="s">
        <v>4912</v>
      </c>
      <c r="N2233" s="812"/>
    </row>
    <row r="2234" spans="12:14">
      <c r="M2234" s="812" t="s">
        <v>10921</v>
      </c>
      <c r="N2234" s="812"/>
    </row>
    <row r="2235" spans="12:14">
      <c r="M2235" s="812"/>
      <c r="N2235" s="812"/>
    </row>
    <row r="2236" spans="12:14">
      <c r="M2236" s="812"/>
      <c r="N2236" s="812"/>
    </row>
    <row r="2237" spans="12:14">
      <c r="M2237" s="812"/>
      <c r="N2237" s="812"/>
    </row>
    <row r="2238" spans="12:14">
      <c r="M2238" s="812" t="s">
        <v>2220</v>
      </c>
      <c r="N2238" s="812"/>
    </row>
    <row r="2239" spans="12:14">
      <c r="M2239" s="812" t="s">
        <v>2968</v>
      </c>
      <c r="N2239" s="812"/>
    </row>
    <row r="2240" spans="12:14">
      <c r="M2240" s="812"/>
      <c r="N2240" s="812"/>
    </row>
    <row r="2241" spans="12:14">
      <c r="M2241" s="812"/>
      <c r="N2241" s="812"/>
    </row>
    <row r="2242" spans="12:14">
      <c r="M2242" s="812" t="s">
        <v>10931</v>
      </c>
      <c r="N2242" s="812"/>
    </row>
    <row r="2243" spans="12:14">
      <c r="M2243" s="812"/>
      <c r="N2243" s="812"/>
    </row>
    <row r="2244" spans="12:14">
      <c r="M2244" s="812"/>
      <c r="N2244" s="812"/>
    </row>
    <row r="2245" spans="12:14">
      <c r="M2245" s="812"/>
      <c r="N2245" s="812"/>
    </row>
    <row r="2246" spans="12:14">
      <c r="M2246" s="812"/>
      <c r="N2246" s="812"/>
    </row>
    <row r="2247" spans="12:14">
      <c r="L2247" s="1246" t="s">
        <v>12608</v>
      </c>
      <c r="M2247" s="1242" t="s">
        <v>10940</v>
      </c>
      <c r="N2247" s="1242" t="s">
        <v>12608</v>
      </c>
    </row>
    <row r="2248" spans="12:14">
      <c r="M2248" s="1242"/>
      <c r="N2248" s="1242"/>
    </row>
    <row r="2249" spans="12:14">
      <c r="M2249" s="812"/>
      <c r="N2249" s="812"/>
    </row>
    <row r="2250" spans="12:14">
      <c r="M2250" s="812"/>
      <c r="N2250" s="812"/>
    </row>
    <row r="2251" spans="12:14">
      <c r="M2251" s="812" t="s">
        <v>3388</v>
      </c>
      <c r="N2251" s="812"/>
    </row>
    <row r="2252" spans="12:14">
      <c r="M2252" s="812" t="s">
        <v>2225</v>
      </c>
      <c r="N2252" s="812"/>
    </row>
    <row r="2253" spans="12:14">
      <c r="M2253" s="812"/>
      <c r="N2253" s="812"/>
    </row>
    <row r="2254" spans="12:14">
      <c r="M2254" s="812"/>
      <c r="N2254" s="812"/>
    </row>
    <row r="2255" spans="12:14">
      <c r="M2255" s="812"/>
      <c r="N2255" s="812"/>
    </row>
    <row r="2256" spans="12:14">
      <c r="M2256" s="812"/>
      <c r="N2256" s="812"/>
    </row>
    <row r="2257" spans="12:14">
      <c r="M2257" s="812"/>
      <c r="N2257" s="812"/>
    </row>
    <row r="2258" spans="12:14">
      <c r="M2258" s="812"/>
      <c r="N2258" s="812"/>
    </row>
    <row r="2259" spans="12:14">
      <c r="M2259" s="1051"/>
      <c r="N2259" s="1051"/>
    </row>
    <row r="2260" spans="12:14">
      <c r="M2260" s="812" t="s">
        <v>5239</v>
      </c>
      <c r="N2260" s="812"/>
    </row>
    <row r="2261" spans="12:14">
      <c r="L2261" s="1246" t="s">
        <v>12608</v>
      </c>
      <c r="M2261" s="1242" t="s">
        <v>10953</v>
      </c>
      <c r="N2261" s="1242" t="s">
        <v>12608</v>
      </c>
    </row>
    <row r="2262" spans="12:14">
      <c r="M2262" s="812"/>
      <c r="N2262" s="812"/>
    </row>
    <row r="2263" spans="12:14">
      <c r="M2263" s="812" t="s">
        <v>2225</v>
      </c>
      <c r="N2263" s="812"/>
    </row>
    <row r="2264" spans="12:14">
      <c r="M2264" s="812" t="s">
        <v>11319</v>
      </c>
      <c r="N2264" s="812"/>
    </row>
    <row r="2265" spans="12:14">
      <c r="M2265" s="812"/>
      <c r="N2265" s="812"/>
    </row>
    <row r="2266" spans="12:14">
      <c r="M2266" s="812"/>
      <c r="N2266" s="812"/>
    </row>
    <row r="2267" spans="12:14">
      <c r="M2267" s="1242"/>
      <c r="N2267" s="1242"/>
    </row>
    <row r="2268" spans="12:14">
      <c r="M2268" s="812"/>
      <c r="N2268" s="812"/>
    </row>
    <row r="2269" spans="12:14">
      <c r="M2269" s="812"/>
      <c r="N2269" s="812"/>
    </row>
    <row r="2270" spans="12:14">
      <c r="M2270" s="812"/>
      <c r="N2270" s="812"/>
    </row>
    <row r="2271" spans="12:14">
      <c r="M2271" s="812" t="s">
        <v>2210</v>
      </c>
      <c r="N2271" s="812"/>
    </row>
    <row r="2272" spans="12:14">
      <c r="M2272" s="1242"/>
      <c r="N2272" s="1242"/>
    </row>
    <row r="2273" spans="12:14">
      <c r="M2273" s="812" t="s">
        <v>2198</v>
      </c>
      <c r="N2273" s="812"/>
    </row>
    <row r="2274" spans="12:14">
      <c r="M2274" s="812" t="s">
        <v>10970</v>
      </c>
      <c r="N2274" s="812"/>
    </row>
    <row r="2275" spans="12:14">
      <c r="M2275" s="812"/>
      <c r="N2275" s="812"/>
    </row>
    <row r="2276" spans="12:14">
      <c r="L2276" s="1246" t="s">
        <v>12608</v>
      </c>
      <c r="M2276" s="1242" t="s">
        <v>11315</v>
      </c>
      <c r="N2276" s="1242" t="s">
        <v>12608</v>
      </c>
    </row>
    <row r="2277" spans="12:14">
      <c r="M2277" s="812"/>
      <c r="N2277" s="812"/>
    </row>
    <row r="2278" spans="12:14">
      <c r="M2278" s="812" t="s">
        <v>10977</v>
      </c>
      <c r="N2278" s="812"/>
    </row>
    <row r="2279" spans="12:14">
      <c r="M2279" s="812"/>
      <c r="N2279" s="812"/>
    </row>
    <row r="2280" spans="12:14">
      <c r="M2280" s="812"/>
      <c r="N2280" s="812"/>
    </row>
    <row r="2281" spans="12:14">
      <c r="M2281" s="1242"/>
      <c r="N2281" s="1242"/>
    </row>
    <row r="2282" spans="12:14">
      <c r="M2282" s="812"/>
      <c r="N2282" s="812"/>
    </row>
    <row r="2283" spans="12:14">
      <c r="M2283" s="1242"/>
      <c r="N2283" s="1242"/>
    </row>
    <row r="2284" spans="12:14">
      <c r="M2284" s="812"/>
      <c r="N2284" s="812"/>
    </row>
    <row r="2285" spans="12:14">
      <c r="M2285" s="1242"/>
      <c r="N2285" s="1242"/>
    </row>
    <row r="2286" spans="12:14">
      <c r="M2286" s="812"/>
      <c r="N2286" s="812"/>
    </row>
    <row r="2287" spans="12:14">
      <c r="L2287" s="1246" t="s">
        <v>12617</v>
      </c>
      <c r="M2287" s="1242" t="s">
        <v>3302</v>
      </c>
      <c r="N2287" s="1242" t="s">
        <v>12617</v>
      </c>
    </row>
    <row r="2288" spans="12:14">
      <c r="M2288" s="812" t="s">
        <v>3303</v>
      </c>
      <c r="N2288" s="812"/>
    </row>
    <row r="2289" spans="13:14">
      <c r="M2289" s="812"/>
      <c r="N2289" s="812"/>
    </row>
    <row r="2290" spans="13:14">
      <c r="M2290" s="812"/>
      <c r="N2290" s="812"/>
    </row>
    <row r="2475" spans="12:12">
      <c r="L2475" s="1246" t="s">
        <v>12626</v>
      </c>
    </row>
    <row r="2521" spans="12:12">
      <c r="L2521" s="1248"/>
    </row>
    <row r="2522" spans="12:12">
      <c r="L2522" s="1248"/>
    </row>
    <row r="2523" spans="12:12">
      <c r="L2523" s="1248">
        <v>1</v>
      </c>
    </row>
    <row r="2524" spans="12:12">
      <c r="L2524" s="1248">
        <v>3</v>
      </c>
    </row>
    <row r="2525" spans="12:12">
      <c r="L2525" s="1248">
        <v>1</v>
      </c>
    </row>
    <row r="2526" spans="12:12">
      <c r="L2526" s="1248"/>
    </row>
    <row r="2527" spans="12:12">
      <c r="L2527" s="1248">
        <v>8</v>
      </c>
    </row>
    <row r="2528" spans="12:12">
      <c r="L2528" s="1248">
        <v>4</v>
      </c>
    </row>
    <row r="2529" spans="12:12">
      <c r="L2529" s="1248">
        <v>9</v>
      </c>
    </row>
    <row r="2530" spans="12:12">
      <c r="L2530" s="1248">
        <v>9</v>
      </c>
    </row>
    <row r="2531" spans="12:12">
      <c r="L2531" s="1248"/>
    </row>
    <row r="2532" spans="12:12">
      <c r="L2532" s="1248"/>
    </row>
    <row r="2533" spans="12:12">
      <c r="L2533" s="1248">
        <v>9</v>
      </c>
    </row>
    <row r="2534" spans="12:12">
      <c r="L2534" s="1248">
        <v>6</v>
      </c>
    </row>
    <row r="2535" spans="12:12">
      <c r="L2535" s="1248">
        <v>7</v>
      </c>
    </row>
    <row r="2536" spans="12:12">
      <c r="L2536" s="1248">
        <v>7</v>
      </c>
    </row>
    <row r="2537" spans="12:12">
      <c r="L2537" s="1248">
        <v>9</v>
      </c>
    </row>
    <row r="2538" spans="12:12">
      <c r="L2538" s="1248"/>
    </row>
    <row r="2539" spans="12:12">
      <c r="L2539" s="1248">
        <v>9</v>
      </c>
    </row>
    <row r="2540" spans="12:12">
      <c r="L2540" s="1248"/>
    </row>
    <row r="2541" spans="12:12">
      <c r="L2541" s="1248">
        <v>2</v>
      </c>
    </row>
    <row r="2542" spans="12:12">
      <c r="L2542" s="1248">
        <v>9</v>
      </c>
    </row>
    <row r="2543" spans="12:12">
      <c r="L2543" s="1248">
        <v>9</v>
      </c>
    </row>
    <row r="2544" spans="12:12">
      <c r="L2544" s="1248"/>
    </row>
    <row r="2545" spans="12:12">
      <c r="L2545" s="1248"/>
    </row>
    <row r="2546" spans="12:12">
      <c r="L2546" s="1248">
        <v>6</v>
      </c>
    </row>
    <row r="2547" spans="12:12">
      <c r="L2547" s="1248"/>
    </row>
    <row r="2548" spans="12:12">
      <c r="L2548" s="1248"/>
    </row>
    <row r="2549" spans="12:12">
      <c r="L2549" s="1248">
        <v>5</v>
      </c>
    </row>
    <row r="2550" spans="12:12">
      <c r="L2550" s="1248">
        <v>10</v>
      </c>
    </row>
    <row r="2551" spans="12:12">
      <c r="L2551" s="1248">
        <v>4</v>
      </c>
    </row>
    <row r="2552" spans="12:12">
      <c r="L2552" s="1248">
        <v>4</v>
      </c>
    </row>
    <row r="2553" spans="12:12">
      <c r="L2553" s="1248"/>
    </row>
    <row r="2554" spans="12:12">
      <c r="L2554" s="1248">
        <v>5</v>
      </c>
    </row>
    <row r="2555" spans="12:12">
      <c r="L2555" s="1248">
        <v>9</v>
      </c>
    </row>
    <row r="2556" spans="12:12">
      <c r="L2556" s="1248"/>
    </row>
    <row r="2557" spans="12:12">
      <c r="L2557" s="1248">
        <v>9</v>
      </c>
    </row>
    <row r="2558" spans="12:12">
      <c r="L2558" s="1248">
        <v>9</v>
      </c>
    </row>
    <row r="2559" spans="12:12">
      <c r="L2559" s="1248">
        <v>11</v>
      </c>
    </row>
    <row r="2560" spans="12:12">
      <c r="L2560" s="1248">
        <v>6</v>
      </c>
    </row>
    <row r="2561" spans="12:12">
      <c r="L2561" s="1248">
        <v>9</v>
      </c>
    </row>
    <row r="2562" spans="12:12">
      <c r="L2562" s="1248"/>
    </row>
    <row r="2563" spans="12:12">
      <c r="L2563" s="1248">
        <v>12</v>
      </c>
    </row>
    <row r="2564" spans="12:12">
      <c r="L2564" s="1248">
        <v>5</v>
      </c>
    </row>
    <row r="2565" spans="12:12">
      <c r="L2565" s="1248">
        <v>5</v>
      </c>
    </row>
    <row r="2566" spans="12:12">
      <c r="L2566" s="1248" t="s">
        <v>12596</v>
      </c>
    </row>
    <row r="2567" spans="12:12">
      <c r="L2567" s="1248">
        <v>6</v>
      </c>
    </row>
    <row r="2568" spans="12:12">
      <c r="L2568" s="1248" t="s">
        <v>12598</v>
      </c>
    </row>
    <row r="2569" spans="12:12">
      <c r="L2569" s="1248">
        <v>12</v>
      </c>
    </row>
    <row r="2570" spans="12:12">
      <c r="L2570" s="1248">
        <v>9</v>
      </c>
    </row>
    <row r="2571" spans="12:12">
      <c r="L2571" s="1248" t="s">
        <v>12600</v>
      </c>
    </row>
    <row r="2572" spans="12:12">
      <c r="L2572" s="1248" t="s">
        <v>12596</v>
      </c>
    </row>
    <row r="2573" spans="12:12">
      <c r="L2573" s="1248" t="s">
        <v>12601</v>
      </c>
    </row>
    <row r="2574" spans="12:12">
      <c r="L2574" s="1248" t="s">
        <v>12602</v>
      </c>
    </row>
    <row r="2575" spans="12:12">
      <c r="L2575" s="1248" t="s">
        <v>12603</v>
      </c>
    </row>
    <row r="2576" spans="12:12">
      <c r="L2576" s="1248" t="s">
        <v>12597</v>
      </c>
    </row>
    <row r="2577" spans="12:12">
      <c r="L2577" s="1248" t="s">
        <v>12603</v>
      </c>
    </row>
    <row r="2578" spans="12:12">
      <c r="L2578" s="1248" t="s">
        <v>12598</v>
      </c>
    </row>
    <row r="2579" spans="12:12">
      <c r="L2579" s="1248"/>
    </row>
    <row r="2580" spans="12:12">
      <c r="L2580" s="1248"/>
    </row>
    <row r="2581" spans="12:12">
      <c r="L2581" s="1248"/>
    </row>
    <row r="2582" spans="12:12">
      <c r="L2582" s="1248" t="s">
        <v>12604</v>
      </c>
    </row>
    <row r="2583" spans="12:12">
      <c r="L2583" s="1248"/>
    </row>
    <row r="2584" spans="12:12">
      <c r="L2584" s="1248" t="s">
        <v>12597</v>
      </c>
    </row>
    <row r="2585" spans="12:12">
      <c r="L2585" s="1248"/>
    </row>
    <row r="2586" spans="12:12">
      <c r="L2586" s="1248" t="s">
        <v>12605</v>
      </c>
    </row>
    <row r="2587" spans="12:12">
      <c r="L2587" s="1248" t="s">
        <v>12606</v>
      </c>
    </row>
    <row r="2588" spans="12:12">
      <c r="L2588" s="1248" t="s">
        <v>12606</v>
      </c>
    </row>
    <row r="2589" spans="12:12">
      <c r="L2589" s="1248" t="s">
        <v>12602</v>
      </c>
    </row>
    <row r="2590" spans="12:12">
      <c r="L2590" s="1248" t="s">
        <v>12597</v>
      </c>
    </row>
    <row r="2591" spans="12:12">
      <c r="L2591" s="1248" t="s">
        <v>12606</v>
      </c>
    </row>
    <row r="2592" spans="12:12">
      <c r="L2592" s="1248" t="s">
        <v>12607</v>
      </c>
    </row>
    <row r="2593" spans="12:12">
      <c r="L2593" s="1248" t="s">
        <v>12606</v>
      </c>
    </row>
    <row r="2594" spans="12:12">
      <c r="L2594" s="1248" t="s">
        <v>12602</v>
      </c>
    </row>
    <row r="2595" spans="12:12">
      <c r="L2595" s="1248" t="s">
        <v>12597</v>
      </c>
    </row>
    <row r="2596" spans="12:12">
      <c r="L2596" s="1248" t="s">
        <v>12606</v>
      </c>
    </row>
    <row r="2597" spans="12:12">
      <c r="L2597" s="1248"/>
    </row>
    <row r="2598" spans="12:12">
      <c r="L2598" s="1248"/>
    </row>
    <row r="2599" spans="12:12">
      <c r="L2599" s="1248" t="s">
        <v>12605</v>
      </c>
    </row>
    <row r="2600" spans="12:12">
      <c r="L2600" s="1248"/>
    </row>
    <row r="2601" spans="12:12">
      <c r="L2601" s="1248"/>
    </row>
    <row r="2602" spans="12:12">
      <c r="L2602" s="1248" t="s">
        <v>12605</v>
      </c>
    </row>
    <row r="2603" spans="12:12">
      <c r="L2603" s="1248" t="s">
        <v>12606</v>
      </c>
    </row>
    <row r="2604" spans="12:12">
      <c r="L2604" s="1248"/>
    </row>
    <row r="2605" spans="12:12">
      <c r="L2605" s="1248" t="s">
        <v>12608</v>
      </c>
    </row>
    <row r="2606" spans="12:12">
      <c r="L2606" s="1248" t="s">
        <v>12597</v>
      </c>
    </row>
    <row r="2607" spans="12:12">
      <c r="L2607" s="1248" t="s">
        <v>12609</v>
      </c>
    </row>
    <row r="2608" spans="12:12">
      <c r="L2608" s="1248" t="s">
        <v>12608</v>
      </c>
    </row>
    <row r="2609" spans="12:12">
      <c r="L2609" s="1248"/>
    </row>
    <row r="2610" spans="12:12">
      <c r="L2610" s="1248" t="s">
        <v>12610</v>
      </c>
    </row>
    <row r="2611" spans="12:12">
      <c r="L2611" s="1248" t="s">
        <v>12606</v>
      </c>
    </row>
    <row r="2612" spans="12:12">
      <c r="L2612" s="1248" t="s">
        <v>12611</v>
      </c>
    </row>
    <row r="2613" spans="12:12">
      <c r="L2613" s="1248"/>
    </row>
    <row r="2614" spans="12:12">
      <c r="L2614" s="1248"/>
    </row>
    <row r="2615" spans="12:12">
      <c r="L2615" s="1248" t="s">
        <v>12597</v>
      </c>
    </row>
    <row r="2616" spans="12:12">
      <c r="L2616" s="1248"/>
    </row>
    <row r="2617" spans="12:12">
      <c r="L2617" s="1248" t="s">
        <v>12606</v>
      </c>
    </row>
    <row r="2618" spans="12:12">
      <c r="L2618" s="1248" t="s">
        <v>12609</v>
      </c>
    </row>
    <row r="2619" spans="12:12">
      <c r="L2619" s="1248"/>
    </row>
    <row r="2620" spans="12:12">
      <c r="L2620" s="1248" t="s">
        <v>12597</v>
      </c>
    </row>
    <row r="2621" spans="12:12">
      <c r="L2621" s="1248" t="s">
        <v>12611</v>
      </c>
    </row>
    <row r="2622" spans="12:12">
      <c r="L2622" s="1248" t="s">
        <v>12608</v>
      </c>
    </row>
    <row r="2623" spans="12:12">
      <c r="L2623" s="1248" t="s">
        <v>12608</v>
      </c>
    </row>
    <row r="2624" spans="12:12">
      <c r="L2624" s="1248" t="s">
        <v>12606</v>
      </c>
    </row>
    <row r="2625" spans="12:12">
      <c r="L2625" s="1248" t="s">
        <v>12606</v>
      </c>
    </row>
    <row r="2626" spans="12:12">
      <c r="L2626" s="1248"/>
    </row>
    <row r="2627" spans="12:12">
      <c r="L2627" s="1248"/>
    </row>
    <row r="2628" spans="12:12">
      <c r="L2628" s="1248"/>
    </row>
    <row r="2629" spans="12:12">
      <c r="L2629" s="1248" t="s">
        <v>12606</v>
      </c>
    </row>
    <row r="2630" spans="12:12">
      <c r="L2630" s="1248" t="s">
        <v>12612</v>
      </c>
    </row>
    <row r="2631" spans="12:12">
      <c r="L2631" s="1248" t="s">
        <v>12611</v>
      </c>
    </row>
    <row r="2632" spans="12:12">
      <c r="L2632" s="1248" t="s">
        <v>12605</v>
      </c>
    </row>
    <row r="2633" spans="12:12">
      <c r="L2633" s="1248" t="s">
        <v>12606</v>
      </c>
    </row>
    <row r="2634" spans="12:12">
      <c r="L2634" s="1248" t="s">
        <v>12606</v>
      </c>
    </row>
    <row r="2635" spans="12:12">
      <c r="L2635" s="1248" t="s">
        <v>12608</v>
      </c>
    </row>
    <row r="2636" spans="12:12">
      <c r="L2636" s="1248" t="s">
        <v>12608</v>
      </c>
    </row>
    <row r="2637" spans="12:12">
      <c r="L2637" s="1248" t="s">
        <v>12608</v>
      </c>
    </row>
    <row r="2638" spans="12:12">
      <c r="L2638" s="1248"/>
    </row>
    <row r="2639" spans="12:12">
      <c r="L2639" s="1248" t="s">
        <v>12606</v>
      </c>
    </row>
    <row r="2640" spans="12:12">
      <c r="L2640" s="1248"/>
    </row>
    <row r="2641" spans="12:12">
      <c r="L2641" s="1248" t="s">
        <v>12614</v>
      </c>
    </row>
    <row r="2642" spans="12:12">
      <c r="L2642" s="1248" t="s">
        <v>12608</v>
      </c>
    </row>
    <row r="2643" spans="12:12">
      <c r="L2643" s="1248" t="s">
        <v>12608</v>
      </c>
    </row>
    <row r="2644" spans="12:12">
      <c r="L2644" s="1248" t="s">
        <v>12615</v>
      </c>
    </row>
    <row r="2645" spans="12:12">
      <c r="L2645" s="1248" t="s">
        <v>12616</v>
      </c>
    </row>
    <row r="2646" spans="12:12">
      <c r="L2646" s="1248"/>
    </row>
    <row r="2647" spans="12:12">
      <c r="L2647" s="1248" t="s">
        <v>12605</v>
      </c>
    </row>
    <row r="2648" spans="12:12">
      <c r="L2648" s="1248" t="s">
        <v>12604</v>
      </c>
    </row>
    <row r="2649" spans="12:12">
      <c r="L2649" s="1248" t="s">
        <v>12615</v>
      </c>
    </row>
    <row r="2650" spans="12:12">
      <c r="L2650" s="1248" t="s">
        <v>12615</v>
      </c>
    </row>
    <row r="2651" spans="12:12">
      <c r="L2651" s="1248" t="s">
        <v>12608</v>
      </c>
    </row>
    <row r="2652" spans="12:12">
      <c r="L2652" s="1248" t="s">
        <v>12605</v>
      </c>
    </row>
    <row r="2653" spans="12:12">
      <c r="L2653" s="1248" t="s">
        <v>12608</v>
      </c>
    </row>
    <row r="2654" spans="12:12">
      <c r="L2654" s="1248" t="s">
        <v>12606</v>
      </c>
    </row>
    <row r="2655" spans="12:12">
      <c r="L2655" s="1248"/>
    </row>
    <row r="2656" spans="12:12">
      <c r="L2656" s="1248"/>
    </row>
    <row r="2657" spans="12:12">
      <c r="L2657" s="1248"/>
    </row>
    <row r="2658" spans="12:12">
      <c r="L2658" s="1248"/>
    </row>
    <row r="2659" spans="12:12">
      <c r="L2659" s="1248"/>
    </row>
    <row r="2660" spans="12:12">
      <c r="L2660" s="1248"/>
    </row>
    <row r="2661" spans="12:12">
      <c r="L2661" s="1248"/>
    </row>
    <row r="2662" spans="12:12">
      <c r="L2662" s="1248" t="s">
        <v>12604</v>
      </c>
    </row>
    <row r="2663" spans="12:12">
      <c r="L2663" s="1248"/>
    </row>
    <row r="2664" spans="12:12">
      <c r="L2664" s="1248"/>
    </row>
    <row r="2665" spans="12:12">
      <c r="L2665" s="1248"/>
    </row>
    <row r="2666" spans="12:12">
      <c r="L2666" s="1248"/>
    </row>
    <row r="2667" spans="12:12">
      <c r="L2667" s="1248"/>
    </row>
    <row r="2668" spans="12:12">
      <c r="L2668" s="1248"/>
    </row>
    <row r="2669" spans="12:12">
      <c r="L2669" s="1248" t="s">
        <v>12606</v>
      </c>
    </row>
    <row r="2670" spans="12:12">
      <c r="L2670" s="1248"/>
    </row>
    <row r="2671" spans="12:12">
      <c r="L2671" s="1248" t="s">
        <v>12602</v>
      </c>
    </row>
    <row r="2672" spans="12:12">
      <c r="L2672" s="1248"/>
    </row>
    <row r="2673" spans="12:12">
      <c r="L2673" s="1248"/>
    </row>
    <row r="2674" spans="12:12">
      <c r="L2674" s="1248" t="s">
        <v>12606</v>
      </c>
    </row>
    <row r="2675" spans="12:12">
      <c r="L2675" s="1248"/>
    </row>
    <row r="2676" spans="12:12">
      <c r="L2676" s="1248"/>
    </row>
    <row r="2677" spans="12:12">
      <c r="L2677" s="1248"/>
    </row>
    <row r="2678" spans="12:12">
      <c r="L2678" s="1248" t="s">
        <v>12597</v>
      </c>
    </row>
    <row r="2679" spans="12:12">
      <c r="L2679" s="1248"/>
    </row>
    <row r="2680" spans="12:12">
      <c r="L2680" s="1248"/>
    </row>
    <row r="2681" spans="12:12">
      <c r="L2681" s="1248"/>
    </row>
    <row r="2682" spans="12:12">
      <c r="L2682" s="1248"/>
    </row>
    <row r="2683" spans="12:12">
      <c r="L2683" s="1248"/>
    </row>
    <row r="2684" spans="12:12">
      <c r="L2684" s="1248"/>
    </row>
    <row r="2685" spans="12:12">
      <c r="L2685" s="1248"/>
    </row>
    <row r="2686" spans="12:12">
      <c r="L2686" s="1248"/>
    </row>
    <row r="2687" spans="12:12">
      <c r="L2687" s="1248"/>
    </row>
    <row r="2688" spans="12:12">
      <c r="L2688" s="1248"/>
    </row>
    <row r="2689" spans="12:12">
      <c r="L2689" s="1248"/>
    </row>
    <row r="2690" spans="12:12">
      <c r="L2690" s="1248"/>
    </row>
    <row r="2691" spans="12:12">
      <c r="L2691" s="1248"/>
    </row>
    <row r="2692" spans="12:12">
      <c r="L2692" s="1248"/>
    </row>
    <row r="2693" spans="12:12">
      <c r="L2693" s="1248"/>
    </row>
    <row r="2694" spans="12:12">
      <c r="L2694" s="1248"/>
    </row>
    <row r="2695" spans="12:12">
      <c r="L2695" s="1248"/>
    </row>
    <row r="2696" spans="12:12">
      <c r="L2696" s="1248"/>
    </row>
    <row r="2697" spans="12:12">
      <c r="L2697" s="1248"/>
    </row>
    <row r="2698" spans="12:12">
      <c r="L2698" s="1248"/>
    </row>
    <row r="2699" spans="12:12">
      <c r="L2699" s="1248"/>
    </row>
    <row r="2700" spans="12:12">
      <c r="L2700" s="1248"/>
    </row>
    <row r="2701" spans="12:12">
      <c r="L2701" s="1248"/>
    </row>
    <row r="2702" spans="12:12">
      <c r="L2702" s="1248"/>
    </row>
    <row r="2703" spans="12:12">
      <c r="L2703" s="1248"/>
    </row>
    <row r="2704" spans="12:12">
      <c r="L2704" s="1248"/>
    </row>
    <row r="2705" spans="12:12">
      <c r="L2705" s="1248"/>
    </row>
    <row r="2706" spans="12:12">
      <c r="L2706" s="1248"/>
    </row>
    <row r="2707" spans="12:12">
      <c r="L2707" s="1248"/>
    </row>
    <row r="2708" spans="12:12">
      <c r="L2708" s="1248"/>
    </row>
    <row r="2709" spans="12:12">
      <c r="L2709" s="1248"/>
    </row>
    <row r="2710" spans="12:12">
      <c r="L2710" s="1248"/>
    </row>
    <row r="2711" spans="12:12">
      <c r="L2711" s="1248"/>
    </row>
    <row r="2712" spans="12:12">
      <c r="L2712" s="1248"/>
    </row>
    <row r="2713" spans="12:12">
      <c r="L2713" s="1248"/>
    </row>
    <row r="2714" spans="12:12">
      <c r="L2714" s="1248"/>
    </row>
    <row r="2715" spans="12:12">
      <c r="L2715" s="1248" t="s">
        <v>12606</v>
      </c>
    </row>
    <row r="2716" spans="12:12">
      <c r="L2716" s="1248"/>
    </row>
    <row r="2717" spans="12:12">
      <c r="L2717" s="1248"/>
    </row>
    <row r="2718" spans="12:12">
      <c r="L2718" s="1248" t="s">
        <v>12606</v>
      </c>
    </row>
    <row r="2719" spans="12:12">
      <c r="L2719" s="1248"/>
    </row>
    <row r="2720" spans="12:12">
      <c r="L2720" s="1248" t="s">
        <v>12624</v>
      </c>
    </row>
    <row r="2721" spans="12:12">
      <c r="L2721" s="1248" t="s">
        <v>12605</v>
      </c>
    </row>
    <row r="2722" spans="12:12">
      <c r="L2722" s="1248" t="s">
        <v>12606</v>
      </c>
    </row>
    <row r="2723" spans="12:12">
      <c r="L2723" s="1248"/>
    </row>
    <row r="2724" spans="12:12">
      <c r="L2724" s="1248" t="s">
        <v>12608</v>
      </c>
    </row>
    <row r="2725" spans="12:12">
      <c r="L2725" s="1248" t="s">
        <v>12606</v>
      </c>
    </row>
    <row r="2726" spans="12:12">
      <c r="L2726" s="1248" t="s">
        <v>12606</v>
      </c>
    </row>
    <row r="2727" spans="12:12">
      <c r="L2727" s="1248" t="s">
        <v>12606</v>
      </c>
    </row>
    <row r="2728" spans="12:12">
      <c r="L2728" s="1248" t="s">
        <v>12606</v>
      </c>
    </row>
    <row r="2729" spans="12:12">
      <c r="L2729" s="1248" t="s">
        <v>12606</v>
      </c>
    </row>
    <row r="2730" spans="12:12">
      <c r="L2730" s="1248" t="s">
        <v>12615</v>
      </c>
    </row>
    <row r="2731" spans="12:12">
      <c r="L2731" s="1248" t="s">
        <v>12607</v>
      </c>
    </row>
    <row r="2732" spans="12:12">
      <c r="L2732" s="1248" t="s">
        <v>12606</v>
      </c>
    </row>
    <row r="2733" spans="12:12">
      <c r="L2733" s="1248" t="s">
        <v>12606</v>
      </c>
    </row>
    <row r="2734" spans="12:12">
      <c r="L2734" s="1248" t="s">
        <v>12602</v>
      </c>
    </row>
    <row r="2735" spans="12:12">
      <c r="L2735" s="1248"/>
    </row>
    <row r="2736" spans="12:12">
      <c r="L2736" s="1248"/>
    </row>
    <row r="2737" spans="12:12">
      <c r="L2737" s="1248" t="s">
        <v>12609</v>
      </c>
    </row>
    <row r="2738" spans="12:12">
      <c r="L2738" s="1248"/>
    </row>
    <row r="2739" spans="12:12">
      <c r="L2739" s="1248" t="s">
        <v>12606</v>
      </c>
    </row>
    <row r="2740" spans="12:12">
      <c r="L2740" s="1248" t="s">
        <v>12597</v>
      </c>
    </row>
    <row r="2741" spans="12:12">
      <c r="L2741" s="1248" t="s">
        <v>12615</v>
      </c>
    </row>
    <row r="2742" spans="12:12">
      <c r="L2742" s="1248" t="s">
        <v>12618</v>
      </c>
    </row>
    <row r="2743" spans="12:12">
      <c r="L2743" s="1248" t="s">
        <v>12605</v>
      </c>
    </row>
    <row r="2744" spans="12:12">
      <c r="L2744" s="1248" t="s">
        <v>12615</v>
      </c>
    </row>
    <row r="2745" spans="12:12">
      <c r="L2745" s="1248" t="s">
        <v>12617</v>
      </c>
    </row>
    <row r="2746" spans="12:12">
      <c r="L2746" s="1248"/>
    </row>
    <row r="2747" spans="12:12">
      <c r="L2747" s="1248"/>
    </row>
    <row r="2748" spans="12:12">
      <c r="L2748" s="1248"/>
    </row>
    <row r="2749" spans="12:12">
      <c r="L2749" s="1248" t="s">
        <v>12605</v>
      </c>
    </row>
    <row r="2750" spans="12:12">
      <c r="L2750" s="1248" t="s">
        <v>12615</v>
      </c>
    </row>
    <row r="2751" spans="12:12">
      <c r="L2751" s="1248" t="s">
        <v>12615</v>
      </c>
    </row>
    <row r="2752" spans="12:12">
      <c r="L2752" s="1248" t="s">
        <v>12607</v>
      </c>
    </row>
    <row r="2753" spans="12:12">
      <c r="L2753" s="1248" t="s">
        <v>12620</v>
      </c>
    </row>
    <row r="2754" spans="12:12">
      <c r="L2754" s="1248" t="s">
        <v>12615</v>
      </c>
    </row>
    <row r="2755" spans="12:12">
      <c r="L2755" s="1248" t="s">
        <v>12615</v>
      </c>
    </row>
    <row r="2756" spans="12:12">
      <c r="L2756" s="1248"/>
    </row>
    <row r="2757" spans="12:12">
      <c r="L2757" s="1248"/>
    </row>
    <row r="2758" spans="12:12">
      <c r="L2758" s="1248" t="s">
        <v>12615</v>
      </c>
    </row>
    <row r="2759" spans="12:12">
      <c r="L2759" s="1248" t="s">
        <v>12621</v>
      </c>
    </row>
    <row r="2760" spans="12:12">
      <c r="L2760" s="1248"/>
    </row>
    <row r="2761" spans="12:12">
      <c r="L2761" s="1248" t="s">
        <v>12597</v>
      </c>
    </row>
    <row r="2762" spans="12:12">
      <c r="L2762" s="1248" t="s">
        <v>12608</v>
      </c>
    </row>
    <row r="2763" spans="12:12">
      <c r="L2763" s="1248" t="s">
        <v>12606</v>
      </c>
    </row>
    <row r="2764" spans="12:12">
      <c r="L2764" s="1248" t="s">
        <v>12622</v>
      </c>
    </row>
    <row r="2765" spans="12:12">
      <c r="L2765" s="1248" t="s">
        <v>12615</v>
      </c>
    </row>
    <row r="2766" spans="12:12">
      <c r="L2766" s="1248" t="s">
        <v>12606</v>
      </c>
    </row>
    <row r="2767" spans="12:12">
      <c r="L2767" s="1248" t="s">
        <v>12606</v>
      </c>
    </row>
    <row r="2768" spans="12:12">
      <c r="L2768" s="1248"/>
    </row>
    <row r="2769" spans="12:12">
      <c r="L2769" s="1248" t="s">
        <v>12604</v>
      </c>
    </row>
    <row r="2770" spans="12:12">
      <c r="L2770" s="1248"/>
    </row>
    <row r="2771" spans="12:12">
      <c r="L2771" s="1248"/>
    </row>
    <row r="2772" spans="12:12">
      <c r="L2772" s="1248" t="s">
        <v>12606</v>
      </c>
    </row>
    <row r="2773" spans="12:12">
      <c r="L2773" s="1248"/>
    </row>
    <row r="2774" spans="12:12">
      <c r="L2774" s="1248" t="s">
        <v>12602</v>
      </c>
    </row>
    <row r="2775" spans="12:12">
      <c r="L2775" s="1248"/>
    </row>
    <row r="2776" spans="12:12">
      <c r="L2776" s="1248"/>
    </row>
    <row r="2777" spans="12:12">
      <c r="L2777" s="1248"/>
    </row>
    <row r="2778" spans="12:12">
      <c r="L2778" s="1248" t="s">
        <v>12602</v>
      </c>
    </row>
    <row r="2779" spans="12:12">
      <c r="L2779" s="1248" t="s">
        <v>12606</v>
      </c>
    </row>
    <row r="2780" spans="12:12">
      <c r="L2780" s="1248" t="s">
        <v>12621</v>
      </c>
    </row>
    <row r="2781" spans="12:12">
      <c r="L2781" s="1248"/>
    </row>
    <row r="2782" spans="12:12">
      <c r="L2782" s="1248"/>
    </row>
    <row r="2783" spans="12:12">
      <c r="L2783" s="1248"/>
    </row>
    <row r="2784" spans="12:12">
      <c r="L2784" s="1248" t="s">
        <v>12617</v>
      </c>
    </row>
    <row r="2785" spans="12:12">
      <c r="L2785" s="1248" t="s">
        <v>12615</v>
      </c>
    </row>
    <row r="2786" spans="12:12">
      <c r="L2786" s="1248"/>
    </row>
    <row r="2787" spans="12:12">
      <c r="L2787" s="1248" t="s">
        <v>12606</v>
      </c>
    </row>
    <row r="2788" spans="12:12">
      <c r="L2788" s="1248" t="s">
        <v>12605</v>
      </c>
    </row>
    <row r="2789" spans="12:12">
      <c r="L2789" s="1248" t="s">
        <v>12597</v>
      </c>
    </row>
    <row r="2790" spans="12:12">
      <c r="L2790" s="1248" t="s">
        <v>12606</v>
      </c>
    </row>
    <row r="2791" spans="12:12">
      <c r="L2791" s="1248"/>
    </row>
    <row r="2792" spans="12:12">
      <c r="L2792" s="1248"/>
    </row>
    <row r="2793" spans="12:12">
      <c r="L2793" s="1248" t="s">
        <v>12606</v>
      </c>
    </row>
    <row r="2794" spans="12:12">
      <c r="L2794" s="1248"/>
    </row>
    <row r="2795" spans="12:12">
      <c r="L2795" s="1248" t="s">
        <v>12615</v>
      </c>
    </row>
    <row r="2796" spans="12:12">
      <c r="L2796" s="1248" t="s">
        <v>12605</v>
      </c>
    </row>
    <row r="2797" spans="12:12">
      <c r="L2797" s="1248" t="s">
        <v>12614</v>
      </c>
    </row>
    <row r="2798" spans="12:12">
      <c r="L2798" s="1248" t="s">
        <v>12615</v>
      </c>
    </row>
    <row r="2799" spans="12:12">
      <c r="L2799" s="1248" t="s">
        <v>12597</v>
      </c>
    </row>
    <row r="2800" spans="12:12">
      <c r="L2800" s="1248"/>
    </row>
    <row r="2801" spans="12:12">
      <c r="L2801" s="1248" t="s">
        <v>12606</v>
      </c>
    </row>
    <row r="2802" spans="12:12">
      <c r="L2802" s="1248" t="s">
        <v>12602</v>
      </c>
    </row>
    <row r="2803" spans="12:12">
      <c r="L2803" s="1248" t="s">
        <v>12605</v>
      </c>
    </row>
    <row r="2804" spans="12:12">
      <c r="L2804" s="1248" t="s">
        <v>12608</v>
      </c>
    </row>
    <row r="2805" spans="12:12">
      <c r="L2805" s="1248"/>
    </row>
    <row r="2806" spans="12:12">
      <c r="L2806" s="1248" t="s">
        <v>12605</v>
      </c>
    </row>
    <row r="2807" spans="12:12">
      <c r="L2807" s="1248"/>
    </row>
    <row r="2808" spans="12:12">
      <c r="L2808" s="1248" t="s">
        <v>12606</v>
      </c>
    </row>
    <row r="2809" spans="12:12">
      <c r="L2809" s="1248" t="s">
        <v>12621</v>
      </c>
    </row>
    <row r="2810" spans="12:12">
      <c r="L2810" s="1248" t="s">
        <v>12605</v>
      </c>
    </row>
    <row r="2811" spans="12:12">
      <c r="L2811" s="1248" t="s">
        <v>12615</v>
      </c>
    </row>
    <row r="2812" spans="12:12">
      <c r="L2812" s="1248" t="s">
        <v>12597</v>
      </c>
    </row>
    <row r="2813" spans="12:12">
      <c r="L2813" s="1248" t="s">
        <v>12623</v>
      </c>
    </row>
    <row r="2814" spans="12:12">
      <c r="L2814" s="1248" t="s">
        <v>12606</v>
      </c>
    </row>
    <row r="2815" spans="12:12">
      <c r="L2815" s="1248" t="s">
        <v>12606</v>
      </c>
    </row>
    <row r="2816" spans="12:12">
      <c r="L2816" s="1248" t="s">
        <v>12605</v>
      </c>
    </row>
    <row r="2817" spans="12:12">
      <c r="L2817" s="1248" t="s">
        <v>12619</v>
      </c>
    </row>
    <row r="2818" spans="12:12">
      <c r="L2818" s="1248" t="s">
        <v>12606</v>
      </c>
    </row>
    <row r="2819" spans="12:12">
      <c r="L2819" s="1248" t="s">
        <v>12606</v>
      </c>
    </row>
    <row r="2820" spans="12:12">
      <c r="L2820" s="1248" t="s">
        <v>12606</v>
      </c>
    </row>
    <row r="2821" spans="12:12">
      <c r="L2821" s="1248" t="s">
        <v>12618</v>
      </c>
    </row>
    <row r="2822" spans="12:12">
      <c r="L2822" s="1248" t="s">
        <v>12608</v>
      </c>
    </row>
    <row r="2823" spans="12:12">
      <c r="L2823" s="1248"/>
    </row>
    <row r="2824" spans="12:12">
      <c r="L2824" s="1248" t="s">
        <v>12608</v>
      </c>
    </row>
    <row r="2825" spans="12:12">
      <c r="L2825" s="1248"/>
    </row>
    <row r="2826" spans="12:12">
      <c r="L2826" s="1248"/>
    </row>
    <row r="2827" spans="12:12">
      <c r="L2827" s="1248" t="s">
        <v>12608</v>
      </c>
    </row>
    <row r="2828" spans="12:12">
      <c r="L2828" s="1248"/>
    </row>
    <row r="2829" spans="12:12">
      <c r="L2829" s="1248"/>
    </row>
    <row r="2830" spans="12:12">
      <c r="L2830" s="1248"/>
    </row>
    <row r="2831" spans="12:12">
      <c r="L2831" s="1248" t="s">
        <v>12617</v>
      </c>
    </row>
    <row r="2832" spans="12:12">
      <c r="L2832" s="1248"/>
    </row>
    <row r="2833" spans="12:12">
      <c r="L2833" s="1248"/>
    </row>
    <row r="2834" spans="12:12">
      <c r="L2834" s="1248"/>
    </row>
    <row r="2835" spans="12:12">
      <c r="L2835" s="1248"/>
    </row>
    <row r="2836" spans="12:12">
      <c r="L2836" s="1248"/>
    </row>
    <row r="2837" spans="12:12">
      <c r="L2837" s="1248"/>
    </row>
    <row r="2838" spans="12:12">
      <c r="L2838" s="1248"/>
    </row>
    <row r="2839" spans="12:12">
      <c r="L2839" s="1248"/>
    </row>
    <row r="2840" spans="12:12">
      <c r="L2840" s="1248"/>
    </row>
    <row r="2841" spans="12:12">
      <c r="L2841" s="1248"/>
    </row>
    <row r="2842" spans="12:12">
      <c r="L2842" s="1248"/>
    </row>
    <row r="2843" spans="12:12">
      <c r="L2843" s="1248"/>
    </row>
    <row r="2844" spans="12:12">
      <c r="L2844" s="1248"/>
    </row>
    <row r="2845" spans="12:12">
      <c r="L2845" s="1248"/>
    </row>
    <row r="2846" spans="12:12">
      <c r="L2846" s="1248"/>
    </row>
    <row r="2847" spans="12:12">
      <c r="L2847" s="1248"/>
    </row>
    <row r="2848" spans="12:12">
      <c r="L2848" s="1248"/>
    </row>
    <row r="2849" spans="12:12">
      <c r="L2849" s="1248"/>
    </row>
    <row r="2850" spans="12:12">
      <c r="L2850" s="1248"/>
    </row>
    <row r="2851" spans="12:12">
      <c r="L2851" s="1248"/>
    </row>
    <row r="2852" spans="12:12">
      <c r="L2852" s="1248"/>
    </row>
    <row r="2853" spans="12:12">
      <c r="L2853" s="1248"/>
    </row>
    <row r="2854" spans="12:12">
      <c r="L2854" s="1248"/>
    </row>
    <row r="2855" spans="12:12">
      <c r="L2855" s="1248"/>
    </row>
    <row r="2856" spans="12:12">
      <c r="L2856" s="1248"/>
    </row>
    <row r="2857" spans="12:12">
      <c r="L2857" s="1248"/>
    </row>
    <row r="2858" spans="12:12">
      <c r="L2858" s="1248"/>
    </row>
    <row r="2859" spans="12:12">
      <c r="L2859" s="1248"/>
    </row>
    <row r="2860" spans="12:12">
      <c r="L2860" s="1248"/>
    </row>
    <row r="2861" spans="12:12">
      <c r="L2861" s="1248"/>
    </row>
    <row r="2862" spans="12:12">
      <c r="L2862" s="1248"/>
    </row>
    <row r="2863" spans="12:12">
      <c r="L2863" s="1248"/>
    </row>
    <row r="2864" spans="12:12">
      <c r="L2864" s="1248"/>
    </row>
    <row r="2865" spans="12:12">
      <c r="L2865" s="1248"/>
    </row>
    <row r="2866" spans="12:12">
      <c r="L2866" s="1248"/>
    </row>
    <row r="2867" spans="12:12">
      <c r="L2867" s="1248"/>
    </row>
    <row r="2868" spans="12:12">
      <c r="L2868" s="1248"/>
    </row>
    <row r="2869" spans="12:12">
      <c r="L2869" s="1248"/>
    </row>
    <row r="2870" spans="12:12">
      <c r="L2870" s="1248"/>
    </row>
    <row r="2871" spans="12:12">
      <c r="L2871" s="1248"/>
    </row>
    <row r="2872" spans="12:12">
      <c r="L2872" s="1248"/>
    </row>
    <row r="2873" spans="12:12">
      <c r="L2873" s="1248"/>
    </row>
    <row r="2874" spans="12:12">
      <c r="L2874" s="1248"/>
    </row>
    <row r="2875" spans="12:12">
      <c r="L2875" s="1248"/>
    </row>
    <row r="2876" spans="12:12">
      <c r="L2876" s="1248"/>
    </row>
    <row r="2877" spans="12:12">
      <c r="L2877" s="1248"/>
    </row>
    <row r="2878" spans="12:12">
      <c r="L2878" s="1248"/>
    </row>
    <row r="2879" spans="12:12">
      <c r="L2879" s="1248"/>
    </row>
    <row r="2880" spans="12:12">
      <c r="L2880" s="1248"/>
    </row>
    <row r="2881" spans="12:12">
      <c r="L2881" s="1248"/>
    </row>
    <row r="2882" spans="12:12">
      <c r="L2882" s="1248"/>
    </row>
    <row r="2883" spans="12:12">
      <c r="L2883" s="1248"/>
    </row>
    <row r="2884" spans="12:12">
      <c r="L2884" s="1248"/>
    </row>
    <row r="2885" spans="12:12">
      <c r="L2885" s="1248"/>
    </row>
    <row r="2886" spans="12:12">
      <c r="L2886" s="1248"/>
    </row>
    <row r="2887" spans="12:12">
      <c r="L2887" s="1248"/>
    </row>
    <row r="2888" spans="12:12">
      <c r="L2888" s="1248"/>
    </row>
    <row r="2889" spans="12:12">
      <c r="L2889" s="1248"/>
    </row>
    <row r="2890" spans="12:12">
      <c r="L2890" s="1248"/>
    </row>
    <row r="2891" spans="12:12">
      <c r="L2891" s="1248"/>
    </row>
    <row r="2892" spans="12:12">
      <c r="L2892" s="1248"/>
    </row>
    <row r="2893" spans="12:12">
      <c r="L2893" s="1248"/>
    </row>
    <row r="2894" spans="12:12">
      <c r="L2894" s="1248"/>
    </row>
    <row r="2895" spans="12:12">
      <c r="L2895" s="1248"/>
    </row>
    <row r="2896" spans="12:12">
      <c r="L2896" s="1248"/>
    </row>
    <row r="2897" spans="12:12">
      <c r="L2897" s="1248"/>
    </row>
    <row r="2898" spans="12:12">
      <c r="L2898" s="1248"/>
    </row>
    <row r="2899" spans="12:12">
      <c r="L2899" s="1248"/>
    </row>
    <row r="2900" spans="12:12">
      <c r="L2900" s="1248"/>
    </row>
    <row r="2901" spans="12:12">
      <c r="L2901" s="1248"/>
    </row>
    <row r="2902" spans="12:12">
      <c r="L2902" s="1248"/>
    </row>
    <row r="2903" spans="12:12">
      <c r="L2903" s="1248"/>
    </row>
    <row r="2904" spans="12:12">
      <c r="L2904" s="1248"/>
    </row>
    <row r="2905" spans="12:12">
      <c r="L2905" s="1248"/>
    </row>
    <row r="2906" spans="12:12">
      <c r="L2906" s="1248"/>
    </row>
    <row r="2907" spans="12:12">
      <c r="L2907" s="1248"/>
    </row>
    <row r="2908" spans="12:12">
      <c r="L2908" s="1248"/>
    </row>
    <row r="2909" spans="12:12">
      <c r="L2909" s="1248"/>
    </row>
    <row r="2910" spans="12:12">
      <c r="L2910" s="1248"/>
    </row>
    <row r="2911" spans="12:12">
      <c r="L2911" s="1248"/>
    </row>
    <row r="2912" spans="12:12">
      <c r="L2912" s="1248"/>
    </row>
    <row r="2913" spans="12:12">
      <c r="L2913" s="1248"/>
    </row>
    <row r="2914" spans="12:12">
      <c r="L2914" s="1248"/>
    </row>
    <row r="2915" spans="12:12">
      <c r="L2915" s="1248"/>
    </row>
    <row r="2916" spans="12:12">
      <c r="L2916" s="1248"/>
    </row>
    <row r="2917" spans="12:12">
      <c r="L2917" s="1248"/>
    </row>
    <row r="2918" spans="12:12">
      <c r="L2918" s="1248"/>
    </row>
    <row r="2919" spans="12:12">
      <c r="L2919" s="1248"/>
    </row>
    <row r="2920" spans="12:12">
      <c r="L2920" s="1248"/>
    </row>
    <row r="2921" spans="12:12">
      <c r="L2921" s="1248"/>
    </row>
    <row r="2922" spans="12:12">
      <c r="L2922" s="1248"/>
    </row>
    <row r="2923" spans="12:12">
      <c r="L2923" s="1248"/>
    </row>
    <row r="2924" spans="12:12">
      <c r="L2924" s="1248"/>
    </row>
    <row r="2925" spans="12:12">
      <c r="L2925" s="1248"/>
    </row>
    <row r="2926" spans="12:12">
      <c r="L2926" s="1248"/>
    </row>
    <row r="2927" spans="12:12">
      <c r="L2927" s="1248"/>
    </row>
    <row r="2928" spans="12:12">
      <c r="L2928" s="1248"/>
    </row>
    <row r="2929" spans="12:12">
      <c r="L2929" s="1248"/>
    </row>
    <row r="2930" spans="12:12">
      <c r="L2930" s="1248"/>
    </row>
    <row r="2931" spans="12:12">
      <c r="L2931" s="1248"/>
    </row>
    <row r="2932" spans="12:12">
      <c r="L2932" s="1248"/>
    </row>
    <row r="2933" spans="12:12">
      <c r="L2933" s="1248"/>
    </row>
    <row r="2934" spans="12:12">
      <c r="L2934" s="1248"/>
    </row>
    <row r="2935" spans="12:12">
      <c r="L2935" s="1248"/>
    </row>
    <row r="2936" spans="12:12">
      <c r="L2936" s="1248"/>
    </row>
    <row r="2937" spans="12:12">
      <c r="L2937" s="1248"/>
    </row>
    <row r="2938" spans="12:12">
      <c r="L2938" s="1248"/>
    </row>
    <row r="2939" spans="12:12">
      <c r="L2939" s="1248"/>
    </row>
    <row r="2940" spans="12:12">
      <c r="L2940" s="1248"/>
    </row>
    <row r="2941" spans="12:12">
      <c r="L2941" s="1248"/>
    </row>
    <row r="2942" spans="12:12">
      <c r="L2942" s="1248"/>
    </row>
    <row r="2943" spans="12:12">
      <c r="L2943" s="1248"/>
    </row>
    <row r="2944" spans="12:12">
      <c r="L2944" s="1248"/>
    </row>
    <row r="2945" spans="12:12">
      <c r="L2945" s="1248"/>
    </row>
    <row r="2946" spans="12:12">
      <c r="L2946" s="1248"/>
    </row>
    <row r="2947" spans="12:12">
      <c r="L2947" s="1248"/>
    </row>
    <row r="2948" spans="12:12">
      <c r="L2948" s="1248"/>
    </row>
    <row r="2949" spans="12:12">
      <c r="L2949" s="1248"/>
    </row>
    <row r="2950" spans="12:12">
      <c r="L2950" s="1248"/>
    </row>
    <row r="2951" spans="12:12">
      <c r="L2951" s="1248"/>
    </row>
    <row r="2952" spans="12:12">
      <c r="L2952" s="1248"/>
    </row>
    <row r="2953" spans="12:12">
      <c r="L2953" s="1248"/>
    </row>
    <row r="2954" spans="12:12">
      <c r="L2954" s="1248"/>
    </row>
    <row r="2955" spans="12:12">
      <c r="L2955" s="1248"/>
    </row>
    <row r="2956" spans="12:12">
      <c r="L2956" s="1248"/>
    </row>
    <row r="2957" spans="12:12">
      <c r="L2957" s="1248"/>
    </row>
    <row r="2958" spans="12:12">
      <c r="L2958" s="1248"/>
    </row>
    <row r="2959" spans="12:12">
      <c r="L2959" s="1248"/>
    </row>
    <row r="2960" spans="12:12">
      <c r="L2960" s="1248"/>
    </row>
    <row r="2961" spans="12:12">
      <c r="L2961" s="1248"/>
    </row>
    <row r="2962" spans="12:12">
      <c r="L2962" s="1248"/>
    </row>
    <row r="2963" spans="12:12">
      <c r="L2963" s="1248"/>
    </row>
    <row r="2964" spans="12:12">
      <c r="L2964" s="1248"/>
    </row>
    <row r="2965" spans="12:12">
      <c r="L2965" s="1248"/>
    </row>
    <row r="2966" spans="12:12">
      <c r="L2966" s="1248"/>
    </row>
    <row r="2967" spans="12:12">
      <c r="L2967" s="1248"/>
    </row>
    <row r="2968" spans="12:12">
      <c r="L2968" s="1248"/>
    </row>
    <row r="2969" spans="12:12">
      <c r="L2969" s="1248"/>
    </row>
    <row r="2970" spans="12:12">
      <c r="L2970" s="1248"/>
    </row>
    <row r="2971" spans="12:12">
      <c r="L2971" s="1248"/>
    </row>
    <row r="2972" spans="12:12">
      <c r="L2972" s="1248"/>
    </row>
    <row r="2973" spans="12:12">
      <c r="L2973" s="1248"/>
    </row>
    <row r="2974" spans="12:12">
      <c r="L2974" s="1248"/>
    </row>
    <row r="2975" spans="12:12">
      <c r="L2975" s="1248"/>
    </row>
    <row r="2976" spans="12:12">
      <c r="L2976" s="1248"/>
    </row>
    <row r="2977" spans="12:12">
      <c r="L2977" s="1248"/>
    </row>
    <row r="2978" spans="12:12">
      <c r="L2978" s="1248"/>
    </row>
    <row r="2979" spans="12:12">
      <c r="L2979" s="1248"/>
    </row>
    <row r="2980" spans="12:12">
      <c r="L2980" s="1248"/>
    </row>
    <row r="2981" spans="12:12">
      <c r="L2981" s="1248"/>
    </row>
    <row r="2982" spans="12:12">
      <c r="L2982" s="1248"/>
    </row>
    <row r="2983" spans="12:12">
      <c r="L2983" s="1248"/>
    </row>
    <row r="2984" spans="12:12">
      <c r="L2984" s="1248"/>
    </row>
    <row r="2985" spans="12:12">
      <c r="L2985" s="1248"/>
    </row>
    <row r="2986" spans="12:12">
      <c r="L2986" s="1248"/>
    </row>
    <row r="2987" spans="12:12">
      <c r="L2987" s="1248"/>
    </row>
    <row r="2988" spans="12:12">
      <c r="L2988" s="1248"/>
    </row>
    <row r="2989" spans="12:12">
      <c r="L2989" s="1248"/>
    </row>
    <row r="2990" spans="12:12">
      <c r="L2990" s="1248"/>
    </row>
    <row r="2991" spans="12:12">
      <c r="L2991" s="1248"/>
    </row>
    <row r="2992" spans="12:12">
      <c r="L2992" s="1248"/>
    </row>
    <row r="2993" spans="12:12">
      <c r="L2993" s="1248"/>
    </row>
    <row r="2994" spans="12:12">
      <c r="L2994" s="1248"/>
    </row>
    <row r="2995" spans="12:12">
      <c r="L2995" s="1248"/>
    </row>
    <row r="2996" spans="12:12">
      <c r="L2996" s="1248"/>
    </row>
    <row r="2997" spans="12:12">
      <c r="L2997" s="1248"/>
    </row>
    <row r="2998" spans="12:12">
      <c r="L2998" s="1248"/>
    </row>
    <row r="2999" spans="12:12">
      <c r="L2999" s="1248"/>
    </row>
    <row r="3000" spans="12:12">
      <c r="L3000" s="1248"/>
    </row>
    <row r="3001" spans="12:12">
      <c r="L3001" s="1248"/>
    </row>
    <row r="3002" spans="12:12">
      <c r="L3002" s="1248"/>
    </row>
    <row r="3003" spans="12:12">
      <c r="L3003" s="1248"/>
    </row>
    <row r="3004" spans="12:12">
      <c r="L3004" s="1248"/>
    </row>
    <row r="3005" spans="12:12">
      <c r="L3005" s="1248"/>
    </row>
    <row r="3006" spans="12:12">
      <c r="L3006" s="1248"/>
    </row>
    <row r="3007" spans="12:12">
      <c r="L3007" s="1248"/>
    </row>
    <row r="3008" spans="12:12">
      <c r="L3008" s="1248"/>
    </row>
    <row r="3009" spans="12:12">
      <c r="L3009" s="1248"/>
    </row>
    <row r="3010" spans="12:12">
      <c r="L3010" s="1248"/>
    </row>
    <row r="3011" spans="12:12">
      <c r="L3011" s="1248"/>
    </row>
    <row r="3012" spans="12:12">
      <c r="L3012" s="1248"/>
    </row>
    <row r="3013" spans="12:12">
      <c r="L3013" s="1248"/>
    </row>
    <row r="3014" spans="12:12">
      <c r="L3014" s="1248"/>
    </row>
    <row r="3015" spans="12:12">
      <c r="L3015" s="1248"/>
    </row>
    <row r="3016" spans="12:12">
      <c r="L3016" s="1248"/>
    </row>
    <row r="3017" spans="12:12">
      <c r="L3017" s="1248"/>
    </row>
    <row r="3018" spans="12:12">
      <c r="L3018" s="1248"/>
    </row>
    <row r="3019" spans="12:12">
      <c r="L3019" s="1248"/>
    </row>
    <row r="3020" spans="12:12">
      <c r="L3020" s="1248"/>
    </row>
    <row r="3021" spans="12:12">
      <c r="L3021" s="1248"/>
    </row>
    <row r="3022" spans="12:12">
      <c r="L3022" s="1248"/>
    </row>
    <row r="3023" spans="12:12">
      <c r="L3023" s="1248"/>
    </row>
    <row r="3024" spans="12:12">
      <c r="L3024" s="1248"/>
    </row>
    <row r="3025" spans="12:12">
      <c r="L3025" s="1248"/>
    </row>
    <row r="3026" spans="12:12">
      <c r="L3026" s="1248"/>
    </row>
    <row r="3027" spans="12:12">
      <c r="L3027" s="1248"/>
    </row>
    <row r="3028" spans="12:12">
      <c r="L3028" s="1248"/>
    </row>
    <row r="3029" spans="12:12">
      <c r="L3029" s="1248"/>
    </row>
    <row r="3030" spans="12:12">
      <c r="L3030" s="1248"/>
    </row>
    <row r="3031" spans="12:12">
      <c r="L3031" s="1248"/>
    </row>
    <row r="3032" spans="12:12">
      <c r="L3032" s="1248"/>
    </row>
    <row r="3033" spans="12:12">
      <c r="L3033" s="1248"/>
    </row>
    <row r="3034" spans="12:12">
      <c r="L3034" s="1248"/>
    </row>
    <row r="3035" spans="12:12">
      <c r="L3035" s="1248"/>
    </row>
    <row r="3036" spans="12:12">
      <c r="L3036" s="1248"/>
    </row>
    <row r="3037" spans="12:12">
      <c r="L3037" s="1248"/>
    </row>
    <row r="3038" spans="12:12">
      <c r="L3038" s="1248"/>
    </row>
    <row r="3039" spans="12:12">
      <c r="L3039" s="1248"/>
    </row>
    <row r="3040" spans="12:12">
      <c r="L3040" s="1248"/>
    </row>
    <row r="3041" spans="12:12">
      <c r="L3041" s="1248"/>
    </row>
    <row r="3042" spans="12:12">
      <c r="L3042" s="1248"/>
    </row>
    <row r="3043" spans="12:12">
      <c r="L3043" s="1248"/>
    </row>
    <row r="3044" spans="12:12">
      <c r="L3044" s="1248"/>
    </row>
    <row r="3045" spans="12:12">
      <c r="L3045" s="1248"/>
    </row>
    <row r="3046" spans="12:12">
      <c r="L3046" s="1248"/>
    </row>
    <row r="3047" spans="12:12">
      <c r="L3047" s="1248"/>
    </row>
    <row r="3048" spans="12:12">
      <c r="L3048" s="1248"/>
    </row>
    <row r="3049" spans="12:12">
      <c r="L3049" s="1248"/>
    </row>
    <row r="3050" spans="12:12">
      <c r="L3050" s="1248"/>
    </row>
    <row r="3051" spans="12:12">
      <c r="L3051" s="1248"/>
    </row>
    <row r="3052" spans="12:12">
      <c r="L3052" s="1248"/>
    </row>
    <row r="3053" spans="12:12">
      <c r="L3053" s="1248"/>
    </row>
    <row r="3054" spans="12:12">
      <c r="L3054" s="1248"/>
    </row>
    <row r="3055" spans="12:12">
      <c r="L3055" s="1248"/>
    </row>
    <row r="3056" spans="12:12">
      <c r="L3056" s="1248"/>
    </row>
    <row r="3057" spans="12:12">
      <c r="L3057" s="1248"/>
    </row>
    <row r="3058" spans="12:12">
      <c r="L3058" s="1248"/>
    </row>
    <row r="3059" spans="12:12">
      <c r="L3059" s="1248"/>
    </row>
    <row r="3060" spans="12:12">
      <c r="L3060" s="1248"/>
    </row>
    <row r="3061" spans="12:12">
      <c r="L3061" s="1248"/>
    </row>
    <row r="3062" spans="12:12">
      <c r="L3062" s="1248"/>
    </row>
    <row r="3063" spans="12:12">
      <c r="L3063" s="1248"/>
    </row>
    <row r="3064" spans="12:12">
      <c r="L3064" s="1248"/>
    </row>
    <row r="3065" spans="12:12">
      <c r="L3065" s="1248"/>
    </row>
    <row r="3066" spans="12:12">
      <c r="L3066" s="1248"/>
    </row>
    <row r="3067" spans="12:12">
      <c r="L3067" s="1248"/>
    </row>
    <row r="3068" spans="12:12">
      <c r="L3068" s="1248"/>
    </row>
    <row r="3069" spans="12:12">
      <c r="L3069" s="1248"/>
    </row>
    <row r="3070" spans="12:12">
      <c r="L3070" s="1248"/>
    </row>
    <row r="3071" spans="12:12">
      <c r="L3071" s="1248"/>
    </row>
    <row r="3072" spans="12:12">
      <c r="L3072" s="1248"/>
    </row>
    <row r="3073" spans="12:12">
      <c r="L3073" s="1248"/>
    </row>
    <row r="3074" spans="12:12">
      <c r="L3074" s="1248"/>
    </row>
    <row r="3075" spans="12:12">
      <c r="L3075" s="1248"/>
    </row>
    <row r="3076" spans="12:12">
      <c r="L3076" s="1248"/>
    </row>
    <row r="3077" spans="12:12">
      <c r="L3077" s="1248"/>
    </row>
    <row r="3078" spans="12:12">
      <c r="L3078" s="1248"/>
    </row>
    <row r="3079" spans="12:12">
      <c r="L3079" s="1248"/>
    </row>
    <row r="3080" spans="12:12">
      <c r="L3080" s="1248"/>
    </row>
    <row r="3081" spans="12:12">
      <c r="L3081" s="1248"/>
    </row>
    <row r="3082" spans="12:12">
      <c r="L3082" s="1248"/>
    </row>
    <row r="3083" spans="12:12">
      <c r="L3083" s="1248"/>
    </row>
    <row r="3084" spans="12:12">
      <c r="L3084" s="1248"/>
    </row>
    <row r="3085" spans="12:12">
      <c r="L3085" s="1248"/>
    </row>
    <row r="3086" spans="12:12">
      <c r="L3086" s="1248"/>
    </row>
    <row r="3087" spans="12:12">
      <c r="L3087" s="1248"/>
    </row>
    <row r="3088" spans="12:12">
      <c r="L3088" s="1248"/>
    </row>
    <row r="3089" spans="12:12">
      <c r="L3089" s="1248"/>
    </row>
    <row r="3090" spans="12:12">
      <c r="L3090" s="1248"/>
    </row>
    <row r="3091" spans="12:12">
      <c r="L3091" s="1248"/>
    </row>
    <row r="3092" spans="12:12">
      <c r="L3092" s="1248"/>
    </row>
    <row r="3093" spans="12:12">
      <c r="L3093" s="1248"/>
    </row>
    <row r="3094" spans="12:12">
      <c r="L3094" s="1248"/>
    </row>
    <row r="3095" spans="12:12">
      <c r="L3095" s="1248"/>
    </row>
    <row r="3096" spans="12:12">
      <c r="L3096" s="1248"/>
    </row>
    <row r="3097" spans="12:12">
      <c r="L3097" s="1248"/>
    </row>
    <row r="3098" spans="12:12">
      <c r="L3098" s="1248"/>
    </row>
    <row r="3099" spans="12:12">
      <c r="L3099" s="1248"/>
    </row>
    <row r="3100" spans="12:12">
      <c r="L3100" s="1248"/>
    </row>
    <row r="3101" spans="12:12">
      <c r="L3101" s="1248"/>
    </row>
    <row r="3102" spans="12:12">
      <c r="L3102" s="1248"/>
    </row>
    <row r="3103" spans="12:12">
      <c r="L3103" s="1248"/>
    </row>
    <row r="3104" spans="12:12">
      <c r="L3104" s="1248"/>
    </row>
    <row r="3105" spans="12:12">
      <c r="L3105" s="1248"/>
    </row>
    <row r="3106" spans="12:12">
      <c r="L3106" s="1248"/>
    </row>
    <row r="3107" spans="12:12">
      <c r="L3107" s="1248"/>
    </row>
    <row r="3108" spans="12:12">
      <c r="L3108" s="1248"/>
    </row>
    <row r="3109" spans="12:12">
      <c r="L3109" s="1248"/>
    </row>
    <row r="3110" spans="12:12">
      <c r="L3110" s="1248"/>
    </row>
    <row r="3111" spans="12:12">
      <c r="L3111" s="1248"/>
    </row>
    <row r="3112" spans="12:12">
      <c r="L3112" s="1248"/>
    </row>
    <row r="3113" spans="12:12">
      <c r="L3113" s="1248"/>
    </row>
    <row r="3114" spans="12:12">
      <c r="L3114" s="1248"/>
    </row>
    <row r="3115" spans="12:12">
      <c r="L3115" s="1248"/>
    </row>
    <row r="3116" spans="12:12">
      <c r="L3116" s="1248"/>
    </row>
    <row r="3117" spans="12:12">
      <c r="L3117" s="1248"/>
    </row>
    <row r="3118" spans="12:12">
      <c r="L3118" s="1248"/>
    </row>
    <row r="3119" spans="12:12">
      <c r="L3119" s="1248"/>
    </row>
    <row r="3120" spans="12:12">
      <c r="L3120" s="1248"/>
    </row>
    <row r="3121" spans="12:12">
      <c r="L3121" s="1248"/>
    </row>
    <row r="3122" spans="12:12">
      <c r="L3122" s="1248"/>
    </row>
    <row r="3123" spans="12:12">
      <c r="L3123" s="1248"/>
    </row>
    <row r="3124" spans="12:12">
      <c r="L3124" s="1248"/>
    </row>
    <row r="3125" spans="12:12">
      <c r="L3125" s="1248"/>
    </row>
    <row r="3126" spans="12:12">
      <c r="L3126" s="1248"/>
    </row>
    <row r="3127" spans="12:12">
      <c r="L3127" s="1248"/>
    </row>
    <row r="3128" spans="12:12">
      <c r="L3128" s="1248"/>
    </row>
    <row r="3129" spans="12:12">
      <c r="L3129" s="1248"/>
    </row>
    <row r="3130" spans="12:12">
      <c r="L3130" s="1248"/>
    </row>
    <row r="3131" spans="12:12">
      <c r="L3131" s="1248"/>
    </row>
    <row r="3132" spans="12:12">
      <c r="L3132" s="1248"/>
    </row>
    <row r="3133" spans="12:12">
      <c r="L3133" s="1248"/>
    </row>
    <row r="3134" spans="12:12">
      <c r="L3134" s="1248"/>
    </row>
    <row r="3135" spans="12:12">
      <c r="L3135" s="1248"/>
    </row>
    <row r="3136" spans="12:12">
      <c r="L3136" s="1248"/>
    </row>
    <row r="3137" spans="12:12">
      <c r="L3137" s="1248"/>
    </row>
    <row r="3138" spans="12:12">
      <c r="L3138" s="1248"/>
    </row>
    <row r="3139" spans="12:12">
      <c r="L3139" s="1248"/>
    </row>
    <row r="3140" spans="12:12">
      <c r="L3140" s="1248"/>
    </row>
    <row r="3141" spans="12:12">
      <c r="L3141" s="1248"/>
    </row>
    <row r="3142" spans="12:12">
      <c r="L3142" s="1248"/>
    </row>
    <row r="3143" spans="12:12">
      <c r="L3143" s="1248"/>
    </row>
    <row r="3144" spans="12:12">
      <c r="L3144" s="1248"/>
    </row>
    <row r="3145" spans="12:12">
      <c r="L3145" s="1248"/>
    </row>
    <row r="3146" spans="12:12">
      <c r="L3146" s="1248"/>
    </row>
    <row r="3147" spans="12:12">
      <c r="L3147" s="1248"/>
    </row>
    <row r="3148" spans="12:12">
      <c r="L3148" s="1248"/>
    </row>
    <row r="3149" spans="12:12">
      <c r="L3149" s="1248"/>
    </row>
    <row r="3150" spans="12:12">
      <c r="L3150" s="1248"/>
    </row>
    <row r="3151" spans="12:12">
      <c r="L3151" s="1248"/>
    </row>
    <row r="3152" spans="12:12">
      <c r="L3152" s="1248"/>
    </row>
    <row r="3153" spans="12:12">
      <c r="L3153" s="1248"/>
    </row>
    <row r="3154" spans="12:12">
      <c r="L3154" s="1248"/>
    </row>
    <row r="3155" spans="12:12">
      <c r="L3155" s="1248"/>
    </row>
    <row r="3156" spans="12:12">
      <c r="L3156" s="1248"/>
    </row>
    <row r="3157" spans="12:12">
      <c r="L3157" s="1248"/>
    </row>
    <row r="3158" spans="12:12">
      <c r="L3158" s="1248"/>
    </row>
    <row r="3159" spans="12:12">
      <c r="L3159" s="1248"/>
    </row>
    <row r="3160" spans="12:12">
      <c r="L3160" s="1248"/>
    </row>
    <row r="3161" spans="12:12">
      <c r="L3161" s="1248"/>
    </row>
    <row r="3162" spans="12:12">
      <c r="L3162" s="1248"/>
    </row>
    <row r="3163" spans="12:12">
      <c r="L3163" s="1248"/>
    </row>
    <row r="3164" spans="12:12">
      <c r="L3164" s="1248"/>
    </row>
    <row r="3165" spans="12:12">
      <c r="L3165" s="1248"/>
    </row>
    <row r="3166" spans="12:12">
      <c r="L3166" s="1248"/>
    </row>
    <row r="3167" spans="12:12">
      <c r="L3167" s="1248"/>
    </row>
    <row r="3168" spans="12:12">
      <c r="L3168" s="1248"/>
    </row>
    <row r="3169" spans="12:12">
      <c r="L3169" s="1248"/>
    </row>
    <row r="3170" spans="12:12">
      <c r="L3170" s="1248"/>
    </row>
    <row r="3171" spans="12:12">
      <c r="L3171" s="1248"/>
    </row>
    <row r="3172" spans="12:12">
      <c r="L3172" s="1248"/>
    </row>
    <row r="3173" spans="12:12">
      <c r="L3173" s="1248"/>
    </row>
    <row r="3174" spans="12:12">
      <c r="L3174" s="1248"/>
    </row>
    <row r="3175" spans="12:12">
      <c r="L3175" s="1248"/>
    </row>
    <row r="3176" spans="12:12">
      <c r="L3176" s="1248"/>
    </row>
    <row r="3177" spans="12:12">
      <c r="L3177" s="1248"/>
    </row>
    <row r="3178" spans="12:12">
      <c r="L3178" s="1248"/>
    </row>
    <row r="3179" spans="12:12">
      <c r="L3179" s="1248"/>
    </row>
    <row r="3180" spans="12:12">
      <c r="L3180" s="1248"/>
    </row>
    <row r="3181" spans="12:12">
      <c r="L3181" s="1248"/>
    </row>
    <row r="3182" spans="12:12">
      <c r="L3182" s="1248"/>
    </row>
    <row r="3183" spans="12:12">
      <c r="L3183" s="1248"/>
    </row>
    <row r="3184" spans="12:12">
      <c r="L3184" s="1248"/>
    </row>
    <row r="3185" spans="12:12">
      <c r="L3185" s="1248"/>
    </row>
    <row r="3186" spans="12:12">
      <c r="L3186" s="1248"/>
    </row>
    <row r="3187" spans="12:12">
      <c r="L3187" s="1248"/>
    </row>
    <row r="3188" spans="12:12">
      <c r="L3188" s="1248"/>
    </row>
    <row r="3189" spans="12:12">
      <c r="L3189" s="1248"/>
    </row>
    <row r="3190" spans="12:12">
      <c r="L3190" s="1248"/>
    </row>
    <row r="3191" spans="12:12">
      <c r="L3191" s="1248"/>
    </row>
    <row r="3192" spans="12:12">
      <c r="L3192" s="1248"/>
    </row>
    <row r="3193" spans="12:12">
      <c r="L3193" s="1248"/>
    </row>
    <row r="3194" spans="12:12">
      <c r="L3194" s="1248"/>
    </row>
    <row r="3195" spans="12:12">
      <c r="L3195" s="1248"/>
    </row>
    <row r="3196" spans="12:12">
      <c r="L3196" s="1248"/>
    </row>
    <row r="3197" spans="12:12">
      <c r="L3197" s="1248"/>
    </row>
    <row r="3198" spans="12:12">
      <c r="L3198" s="1248"/>
    </row>
    <row r="3199" spans="12:12">
      <c r="L3199" s="1248"/>
    </row>
    <row r="3200" spans="12:12">
      <c r="L3200" s="1248"/>
    </row>
    <row r="3201" spans="12:12">
      <c r="L3201" s="1248"/>
    </row>
    <row r="3202" spans="12:12">
      <c r="L3202" s="1248"/>
    </row>
    <row r="3203" spans="12:12">
      <c r="L3203" s="1248"/>
    </row>
    <row r="3204" spans="12:12">
      <c r="L3204" s="1248"/>
    </row>
    <row r="3205" spans="12:12">
      <c r="L3205" s="1248"/>
    </row>
    <row r="3206" spans="12:12">
      <c r="L3206" s="1248"/>
    </row>
    <row r="3207" spans="12:12">
      <c r="L3207" s="1248"/>
    </row>
    <row r="3208" spans="12:12">
      <c r="L3208" s="1248"/>
    </row>
    <row r="3209" spans="12:12">
      <c r="L3209" s="1248"/>
    </row>
    <row r="3210" spans="12:12">
      <c r="L3210" s="1248"/>
    </row>
    <row r="3211" spans="12:12">
      <c r="L3211" s="1248"/>
    </row>
    <row r="3212" spans="12:12">
      <c r="L3212" s="1248"/>
    </row>
    <row r="3213" spans="12:12">
      <c r="L3213" s="1248"/>
    </row>
    <row r="3214" spans="12:12">
      <c r="L3214" s="1248"/>
    </row>
    <row r="3215" spans="12:12">
      <c r="L3215" s="1248"/>
    </row>
    <row r="3216" spans="12:12">
      <c r="L3216" s="1248"/>
    </row>
    <row r="3217" spans="12:12">
      <c r="L3217" s="1248"/>
    </row>
    <row r="3218" spans="12:12">
      <c r="L3218" s="1248"/>
    </row>
    <row r="3219" spans="12:12">
      <c r="L3219" s="1248"/>
    </row>
    <row r="3220" spans="12:12">
      <c r="L3220" s="1248"/>
    </row>
    <row r="3221" spans="12:12">
      <c r="L3221" s="1248"/>
    </row>
    <row r="3222" spans="12:12">
      <c r="L3222" s="1248"/>
    </row>
    <row r="3223" spans="12:12">
      <c r="L3223" s="1248"/>
    </row>
    <row r="3224" spans="12:12">
      <c r="L3224" s="1248"/>
    </row>
    <row r="3225" spans="12:12">
      <c r="L3225" s="1248"/>
    </row>
    <row r="3226" spans="12:12">
      <c r="L3226" s="1248"/>
    </row>
    <row r="3227" spans="12:12">
      <c r="L3227" s="1248"/>
    </row>
    <row r="3228" spans="12:12">
      <c r="L3228" s="1248"/>
    </row>
    <row r="3229" spans="12:12">
      <c r="L3229" s="1248"/>
    </row>
    <row r="3230" spans="12:12">
      <c r="L3230" s="1248"/>
    </row>
    <row r="3231" spans="12:12">
      <c r="L3231" s="1248"/>
    </row>
    <row r="3232" spans="12:12">
      <c r="L3232" s="1248"/>
    </row>
    <row r="3233" spans="12:12">
      <c r="L3233" s="1248"/>
    </row>
    <row r="3234" spans="12:12">
      <c r="L3234" s="1248"/>
    </row>
    <row r="3235" spans="12:12">
      <c r="L3235" s="1248"/>
    </row>
    <row r="3236" spans="12:12">
      <c r="L3236" s="1248"/>
    </row>
    <row r="3237" spans="12:12">
      <c r="L3237" s="1248"/>
    </row>
    <row r="3238" spans="12:12">
      <c r="L3238" s="1248"/>
    </row>
    <row r="3239" spans="12:12">
      <c r="L3239" s="1248"/>
    </row>
    <row r="3240" spans="12:12">
      <c r="L3240" s="1248"/>
    </row>
    <row r="3241" spans="12:12">
      <c r="L3241" s="1248"/>
    </row>
    <row r="3242" spans="12:12">
      <c r="L3242" s="1248"/>
    </row>
    <row r="3243" spans="12:12">
      <c r="L3243" s="1248"/>
    </row>
    <row r="3244" spans="12:12">
      <c r="L3244" s="1248"/>
    </row>
    <row r="3245" spans="12:12">
      <c r="L3245" s="1248"/>
    </row>
    <row r="3246" spans="12:12">
      <c r="L3246" s="1248"/>
    </row>
    <row r="3247" spans="12:12">
      <c r="L3247" s="1248"/>
    </row>
    <row r="3248" spans="12:12">
      <c r="L3248" s="1248"/>
    </row>
    <row r="3249" spans="12:12">
      <c r="L3249" s="1248"/>
    </row>
    <row r="3250" spans="12:12">
      <c r="L3250" s="1248"/>
    </row>
    <row r="3251" spans="12:12">
      <c r="L3251" s="1248"/>
    </row>
    <row r="3252" spans="12:12">
      <c r="L3252" s="1248"/>
    </row>
    <row r="3253" spans="12:12">
      <c r="L3253" s="1248"/>
    </row>
    <row r="3254" spans="12:12">
      <c r="L3254" s="1248"/>
    </row>
    <row r="3255" spans="12:12">
      <c r="L3255" s="1248"/>
    </row>
    <row r="3256" spans="12:12">
      <c r="L3256" s="1248"/>
    </row>
    <row r="3257" spans="12:12">
      <c r="L3257" s="1248"/>
    </row>
    <row r="3258" spans="12:12">
      <c r="L3258" s="1248"/>
    </row>
    <row r="3259" spans="12:12">
      <c r="L3259" s="1248"/>
    </row>
    <row r="3260" spans="12:12">
      <c r="L3260" s="1248"/>
    </row>
    <row r="3261" spans="12:12">
      <c r="L3261" s="1248"/>
    </row>
    <row r="3262" spans="12:12">
      <c r="L3262" s="1248"/>
    </row>
    <row r="3263" spans="12:12">
      <c r="L3263" s="1248"/>
    </row>
    <row r="3264" spans="12:12">
      <c r="L3264" s="1248"/>
    </row>
    <row r="3265" spans="12:12">
      <c r="L3265" s="1248"/>
    </row>
    <row r="3266" spans="12:12">
      <c r="L3266" s="1248"/>
    </row>
    <row r="3267" spans="12:12">
      <c r="L3267" s="1248"/>
    </row>
    <row r="3268" spans="12:12">
      <c r="L3268" s="1248"/>
    </row>
    <row r="3269" spans="12:12">
      <c r="L3269" s="1248"/>
    </row>
    <row r="3270" spans="12:12">
      <c r="L3270" s="1248"/>
    </row>
    <row r="3271" spans="12:12">
      <c r="L3271" s="1248"/>
    </row>
    <row r="3272" spans="12:12">
      <c r="L3272" s="1248"/>
    </row>
    <row r="3273" spans="12:12">
      <c r="L3273" s="1248"/>
    </row>
    <row r="3274" spans="12:12">
      <c r="L3274" s="1248"/>
    </row>
    <row r="3275" spans="12:12">
      <c r="L3275" s="1248"/>
    </row>
    <row r="3276" spans="12:12">
      <c r="L3276" s="1248"/>
    </row>
    <row r="3277" spans="12:12">
      <c r="L3277" s="1248"/>
    </row>
    <row r="3278" spans="12:12">
      <c r="L3278" s="1248"/>
    </row>
    <row r="3279" spans="12:12">
      <c r="L3279" s="1248"/>
    </row>
    <row r="3280" spans="12:12">
      <c r="L3280" s="1248"/>
    </row>
    <row r="3281" spans="12:12">
      <c r="L3281" s="1248"/>
    </row>
    <row r="3282" spans="12:12">
      <c r="L3282" s="1248"/>
    </row>
    <row r="3283" spans="12:12">
      <c r="L3283" s="1248"/>
    </row>
    <row r="3284" spans="12:12">
      <c r="L3284" s="1248"/>
    </row>
    <row r="3285" spans="12:12">
      <c r="L3285" s="1248"/>
    </row>
    <row r="3286" spans="12:12">
      <c r="L3286" s="1248"/>
    </row>
    <row r="3287" spans="12:12">
      <c r="L3287" s="1248"/>
    </row>
    <row r="3288" spans="12:12">
      <c r="L3288" s="1248"/>
    </row>
    <row r="3289" spans="12:12">
      <c r="L3289" s="1248"/>
    </row>
    <row r="3290" spans="12:12">
      <c r="L3290" s="1248"/>
    </row>
    <row r="3291" spans="12:12">
      <c r="L3291" s="1248"/>
    </row>
    <row r="3292" spans="12:12">
      <c r="L3292" s="1248"/>
    </row>
    <row r="3293" spans="12:12">
      <c r="L3293" s="1248"/>
    </row>
    <row r="3294" spans="12:12">
      <c r="L3294" s="1248"/>
    </row>
    <row r="3295" spans="12:12">
      <c r="L3295" s="1248"/>
    </row>
    <row r="3296" spans="12:12">
      <c r="L3296" s="1248"/>
    </row>
    <row r="3297" spans="12:12">
      <c r="L3297" s="1248"/>
    </row>
    <row r="3298" spans="12:12">
      <c r="L3298" s="1248"/>
    </row>
    <row r="3299" spans="12:12">
      <c r="L3299" s="1248"/>
    </row>
    <row r="3300" spans="12:12">
      <c r="L3300" s="1248"/>
    </row>
    <row r="3301" spans="12:12">
      <c r="L3301" s="1248"/>
    </row>
    <row r="3302" spans="12:12">
      <c r="L3302" s="1248"/>
    </row>
    <row r="3303" spans="12:12">
      <c r="L3303" s="1248"/>
    </row>
    <row r="3304" spans="12:12">
      <c r="L3304" s="1248"/>
    </row>
    <row r="3305" spans="12:12">
      <c r="L3305" s="1248"/>
    </row>
    <row r="3306" spans="12:12">
      <c r="L3306" s="1248"/>
    </row>
    <row r="3307" spans="12:12">
      <c r="L3307" s="1248"/>
    </row>
    <row r="3308" spans="12:12">
      <c r="L3308" s="1248"/>
    </row>
    <row r="3309" spans="12:12">
      <c r="L3309" s="1248"/>
    </row>
    <row r="3310" spans="12:12">
      <c r="L3310" s="1248"/>
    </row>
    <row r="3311" spans="12:12">
      <c r="L3311" s="1248"/>
    </row>
    <row r="3312" spans="12:12">
      <c r="L3312" s="1248"/>
    </row>
    <row r="3313" spans="12:12">
      <c r="L3313" s="1248"/>
    </row>
    <row r="3314" spans="12:12">
      <c r="L3314" s="1248"/>
    </row>
    <row r="3315" spans="12:12">
      <c r="L3315" s="1248"/>
    </row>
    <row r="3316" spans="12:12">
      <c r="L3316" s="1248"/>
    </row>
    <row r="3317" spans="12:12">
      <c r="L3317" s="1248"/>
    </row>
    <row r="3318" spans="12:12">
      <c r="L3318" s="1248"/>
    </row>
    <row r="3319" spans="12:12">
      <c r="L3319" s="1248"/>
    </row>
    <row r="3320" spans="12:12">
      <c r="L3320" s="1248"/>
    </row>
    <row r="3321" spans="12:12">
      <c r="L3321" s="1248"/>
    </row>
    <row r="3322" spans="12:12">
      <c r="L3322" s="1248"/>
    </row>
    <row r="3323" spans="12:12">
      <c r="L3323" s="1248"/>
    </row>
    <row r="3324" spans="12:12">
      <c r="L3324" s="1248"/>
    </row>
    <row r="3325" spans="12:12">
      <c r="L3325" s="1248"/>
    </row>
    <row r="3326" spans="12:12">
      <c r="L3326" s="1248"/>
    </row>
    <row r="3327" spans="12:12">
      <c r="L3327" s="1248"/>
    </row>
    <row r="3328" spans="12:12">
      <c r="L3328" s="1248"/>
    </row>
    <row r="3329" spans="12:12">
      <c r="L3329" s="1248"/>
    </row>
    <row r="3330" spans="12:12">
      <c r="L3330" s="1248"/>
    </row>
    <row r="3331" spans="12:12">
      <c r="L3331" s="1248"/>
    </row>
    <row r="3332" spans="12:12">
      <c r="L3332" s="1248"/>
    </row>
    <row r="3333" spans="12:12">
      <c r="L3333" s="1248"/>
    </row>
    <row r="3334" spans="12:12">
      <c r="L3334" s="1248"/>
    </row>
    <row r="3335" spans="12:12">
      <c r="L3335" s="1248"/>
    </row>
    <row r="3336" spans="12:12">
      <c r="L3336" s="1248"/>
    </row>
    <row r="3337" spans="12:12">
      <c r="L3337" s="1248"/>
    </row>
    <row r="3338" spans="12:12">
      <c r="L3338" s="1248"/>
    </row>
    <row r="3339" spans="12:12">
      <c r="L3339" s="1248"/>
    </row>
    <row r="3340" spans="12:12">
      <c r="L3340" s="1248"/>
    </row>
    <row r="3341" spans="12:12">
      <c r="L3341" s="1248"/>
    </row>
    <row r="3342" spans="12:12">
      <c r="L3342" s="1248"/>
    </row>
    <row r="3343" spans="12:12">
      <c r="L3343" s="1248"/>
    </row>
    <row r="3344" spans="12:12">
      <c r="L3344" s="1248"/>
    </row>
    <row r="3345" spans="12:12">
      <c r="L3345" s="1248"/>
    </row>
    <row r="3346" spans="12:12">
      <c r="L3346" s="1248"/>
    </row>
    <row r="3347" spans="12:12">
      <c r="L3347" s="1248"/>
    </row>
    <row r="3348" spans="12:12">
      <c r="L3348" s="1248"/>
    </row>
    <row r="3349" spans="12:12">
      <c r="L3349" s="1248"/>
    </row>
    <row r="3350" spans="12:12">
      <c r="L3350" s="1248"/>
    </row>
    <row r="3351" spans="12:12">
      <c r="L3351" s="1248"/>
    </row>
    <row r="3352" spans="12:12">
      <c r="L3352" s="1248"/>
    </row>
    <row r="3353" spans="12:12">
      <c r="L3353" s="1248"/>
    </row>
    <row r="3354" spans="12:12">
      <c r="L3354" s="1248"/>
    </row>
    <row r="3355" spans="12:12">
      <c r="L3355" s="1248"/>
    </row>
    <row r="3356" spans="12:12">
      <c r="L3356" s="1248"/>
    </row>
    <row r="3357" spans="12:12">
      <c r="L3357" s="1248"/>
    </row>
    <row r="3358" spans="12:12">
      <c r="L3358" s="1248"/>
    </row>
    <row r="3359" spans="12:12">
      <c r="L3359" s="1248"/>
    </row>
    <row r="3360" spans="12:12">
      <c r="L3360" s="1248"/>
    </row>
    <row r="3361" spans="12:12">
      <c r="L3361" s="1248"/>
    </row>
    <row r="3362" spans="12:12">
      <c r="L3362" s="1248"/>
    </row>
    <row r="3363" spans="12:12">
      <c r="L3363" s="1248"/>
    </row>
    <row r="3364" spans="12:12">
      <c r="L3364" s="1248"/>
    </row>
    <row r="3365" spans="12:12">
      <c r="L3365" s="1248"/>
    </row>
    <row r="3366" spans="12:12">
      <c r="L3366" s="1248"/>
    </row>
    <row r="3367" spans="12:12">
      <c r="L3367" s="1248"/>
    </row>
    <row r="3368" spans="12:12">
      <c r="L3368" s="1248"/>
    </row>
    <row r="3369" spans="12:12">
      <c r="L3369" s="1248"/>
    </row>
    <row r="3370" spans="12:12">
      <c r="L3370" s="1248"/>
    </row>
    <row r="3371" spans="12:12">
      <c r="L3371" s="1248"/>
    </row>
    <row r="3372" spans="12:12">
      <c r="L3372" s="1248"/>
    </row>
    <row r="3373" spans="12:12">
      <c r="L3373" s="1248"/>
    </row>
    <row r="3374" spans="12:12">
      <c r="L3374" s="1248"/>
    </row>
    <row r="3375" spans="12:12">
      <c r="L3375" s="1248"/>
    </row>
    <row r="3376" spans="12:12">
      <c r="L3376" s="1248"/>
    </row>
    <row r="3377" spans="12:12">
      <c r="L3377" s="1248"/>
    </row>
    <row r="3378" spans="12:12">
      <c r="L3378" s="1248"/>
    </row>
    <row r="3379" spans="12:12">
      <c r="L3379" s="1248"/>
    </row>
    <row r="3380" spans="12:12">
      <c r="L3380" s="1248"/>
    </row>
    <row r="3381" spans="12:12">
      <c r="L3381" s="1248"/>
    </row>
    <row r="3382" spans="12:12">
      <c r="L3382" s="1248"/>
    </row>
    <row r="3383" spans="12:12">
      <c r="L3383" s="1248"/>
    </row>
    <row r="3384" spans="12:12">
      <c r="L3384" s="1248"/>
    </row>
    <row r="3385" spans="12:12">
      <c r="L3385" s="1248"/>
    </row>
    <row r="3386" spans="12:12">
      <c r="L3386" s="1248"/>
    </row>
    <row r="3387" spans="12:12">
      <c r="L3387" s="1248"/>
    </row>
    <row r="3388" spans="12:12">
      <c r="L3388" s="1248"/>
    </row>
    <row r="3389" spans="12:12">
      <c r="L3389" s="1248"/>
    </row>
    <row r="3390" spans="12:12">
      <c r="L3390" s="1248"/>
    </row>
    <row r="3391" spans="12:12">
      <c r="L3391" s="1248"/>
    </row>
    <row r="3392" spans="12:12">
      <c r="L3392" s="1248"/>
    </row>
    <row r="3393" spans="12:12">
      <c r="L3393" s="1248"/>
    </row>
    <row r="3394" spans="12:12">
      <c r="L3394" s="1248"/>
    </row>
    <row r="3395" spans="12:12">
      <c r="L3395" s="1248"/>
    </row>
    <row r="3396" spans="12:12">
      <c r="L3396" s="1248"/>
    </row>
    <row r="3397" spans="12:12">
      <c r="L3397" s="1248"/>
    </row>
    <row r="3398" spans="12:12">
      <c r="L3398" s="1248"/>
    </row>
    <row r="3399" spans="12:12">
      <c r="L3399" s="1248"/>
    </row>
    <row r="3400" spans="12:12">
      <c r="L3400" s="1248"/>
    </row>
    <row r="3401" spans="12:12">
      <c r="L3401" s="1248"/>
    </row>
    <row r="3402" spans="12:12">
      <c r="L3402" s="1248"/>
    </row>
    <row r="3403" spans="12:12">
      <c r="L3403" s="1248"/>
    </row>
    <row r="3404" spans="12:12">
      <c r="L3404" s="1248"/>
    </row>
    <row r="3405" spans="12:12">
      <c r="L3405" s="1248"/>
    </row>
    <row r="3406" spans="12:12">
      <c r="L3406" s="1248"/>
    </row>
    <row r="3407" spans="12:12">
      <c r="L3407" s="1248"/>
    </row>
    <row r="3408" spans="12:12">
      <c r="L3408" s="1248"/>
    </row>
    <row r="3409" spans="12:12">
      <c r="L3409" s="1248"/>
    </row>
    <row r="3410" spans="12:12">
      <c r="L3410" s="1248"/>
    </row>
    <row r="3411" spans="12:12">
      <c r="L3411" s="1248"/>
    </row>
    <row r="3412" spans="12:12">
      <c r="L3412" s="1248"/>
    </row>
    <row r="3413" spans="12:12">
      <c r="L3413" s="1248"/>
    </row>
    <row r="3414" spans="12:12">
      <c r="L3414" s="1248"/>
    </row>
    <row r="3415" spans="12:12">
      <c r="L3415" s="1248"/>
    </row>
    <row r="3416" spans="12:12">
      <c r="L3416" s="1248"/>
    </row>
    <row r="3417" spans="12:12">
      <c r="L3417" s="1248"/>
    </row>
    <row r="3418" spans="12:12">
      <c r="L3418" s="1248"/>
    </row>
    <row r="3419" spans="12:12">
      <c r="L3419" s="1248"/>
    </row>
    <row r="3420" spans="12:12">
      <c r="L3420" s="1248"/>
    </row>
    <row r="3421" spans="12:12">
      <c r="L3421" s="1248"/>
    </row>
    <row r="3422" spans="12:12">
      <c r="L3422" s="1248"/>
    </row>
    <row r="3423" spans="12:12">
      <c r="L3423" s="1248"/>
    </row>
    <row r="3424" spans="12:12">
      <c r="L3424" s="1248"/>
    </row>
    <row r="3425" spans="12:12">
      <c r="L3425" s="1248"/>
    </row>
    <row r="3426" spans="12:12">
      <c r="L3426" s="1248"/>
    </row>
    <row r="3427" spans="12:12">
      <c r="L3427" s="1248"/>
    </row>
    <row r="3428" spans="12:12">
      <c r="L3428" s="1248"/>
    </row>
    <row r="3429" spans="12:12">
      <c r="L3429" s="1248"/>
    </row>
    <row r="3430" spans="12:12">
      <c r="L3430" s="1248"/>
    </row>
    <row r="3431" spans="12:12">
      <c r="L3431" s="1248"/>
    </row>
    <row r="3432" spans="12:12">
      <c r="L3432" s="1248"/>
    </row>
    <row r="3433" spans="12:12">
      <c r="L3433" s="1248"/>
    </row>
    <row r="3434" spans="12:12">
      <c r="L3434" s="1248"/>
    </row>
    <row r="3435" spans="12:12">
      <c r="L3435" s="1248"/>
    </row>
    <row r="3436" spans="12:12">
      <c r="L3436" s="1248"/>
    </row>
    <row r="3437" spans="12:12">
      <c r="L3437" s="1248"/>
    </row>
    <row r="3438" spans="12:12">
      <c r="L3438" s="1248"/>
    </row>
    <row r="3439" spans="12:12">
      <c r="L3439" s="1248"/>
    </row>
    <row r="3440" spans="12:12">
      <c r="L3440" s="1248"/>
    </row>
    <row r="3441" spans="12:12">
      <c r="L3441" s="1248"/>
    </row>
    <row r="3442" spans="12:12">
      <c r="L3442" s="1248"/>
    </row>
    <row r="3443" spans="12:12">
      <c r="L3443" s="1248"/>
    </row>
    <row r="3444" spans="12:12">
      <c r="L3444" s="1248"/>
    </row>
    <row r="3445" spans="12:12">
      <c r="L3445" s="1248"/>
    </row>
    <row r="3446" spans="12:12">
      <c r="L3446" s="1248"/>
    </row>
    <row r="3447" spans="12:12">
      <c r="L3447" s="1248"/>
    </row>
    <row r="3448" spans="12:12">
      <c r="L3448" s="1248"/>
    </row>
    <row r="3449" spans="12:12">
      <c r="L3449" s="1248"/>
    </row>
    <row r="3450" spans="12:12">
      <c r="L3450" s="1248"/>
    </row>
    <row r="3451" spans="12:12">
      <c r="L3451" s="1248"/>
    </row>
    <row r="3452" spans="12:12">
      <c r="L3452" s="1248"/>
    </row>
    <row r="3453" spans="12:12">
      <c r="L3453" s="1248"/>
    </row>
    <row r="3454" spans="12:12">
      <c r="L3454" s="1248"/>
    </row>
    <row r="3455" spans="12:12">
      <c r="L3455" s="1248"/>
    </row>
    <row r="3456" spans="12:12">
      <c r="L3456" s="1248"/>
    </row>
    <row r="3457" spans="12:12">
      <c r="L3457" s="1248"/>
    </row>
    <row r="3458" spans="12:12">
      <c r="L3458" s="1248"/>
    </row>
    <row r="3459" spans="12:12">
      <c r="L3459" s="1248"/>
    </row>
    <row r="3460" spans="12:12">
      <c r="L3460" s="1248"/>
    </row>
    <row r="3461" spans="12:12">
      <c r="L3461" s="1248"/>
    </row>
    <row r="3462" spans="12:12">
      <c r="L3462" s="1248"/>
    </row>
    <row r="3463" spans="12:12">
      <c r="L3463" s="1248"/>
    </row>
    <row r="3464" spans="12:12">
      <c r="L3464" s="1248"/>
    </row>
    <row r="3465" spans="12:12">
      <c r="L3465" s="1248"/>
    </row>
    <row r="3466" spans="12:12">
      <c r="L3466" s="1248"/>
    </row>
    <row r="3467" spans="12:12">
      <c r="L3467" s="1248"/>
    </row>
    <row r="3468" spans="12:12">
      <c r="L3468" s="1248"/>
    </row>
    <row r="3469" spans="12:12">
      <c r="L3469" s="1248"/>
    </row>
    <row r="3470" spans="12:12">
      <c r="L3470" s="1248"/>
    </row>
    <row r="3471" spans="12:12">
      <c r="L3471" s="1248"/>
    </row>
    <row r="3472" spans="12:12">
      <c r="L3472" s="1248"/>
    </row>
    <row r="3473" spans="12:12">
      <c r="L3473" s="1248"/>
    </row>
    <row r="3474" spans="12:12">
      <c r="L3474" s="1248"/>
    </row>
    <row r="3475" spans="12:12">
      <c r="L3475" s="1248"/>
    </row>
    <row r="3476" spans="12:12">
      <c r="L3476" s="1248"/>
    </row>
    <row r="3477" spans="12:12">
      <c r="L3477" s="1248"/>
    </row>
    <row r="3478" spans="12:12">
      <c r="L3478" s="1248"/>
    </row>
    <row r="3479" spans="12:12">
      <c r="L3479" s="1248"/>
    </row>
    <row r="3480" spans="12:12">
      <c r="L3480" s="1248"/>
    </row>
    <row r="3481" spans="12:12">
      <c r="L3481" s="1248"/>
    </row>
    <row r="3482" spans="12:12">
      <c r="L3482" s="1248"/>
    </row>
    <row r="3483" spans="12:12">
      <c r="L3483" s="1248"/>
    </row>
    <row r="3484" spans="12:12">
      <c r="L3484" s="1248"/>
    </row>
    <row r="3485" spans="12:12">
      <c r="L3485" s="1248"/>
    </row>
    <row r="3486" spans="12:12">
      <c r="L3486" s="1248"/>
    </row>
    <row r="3487" spans="12:12">
      <c r="L3487" s="1248"/>
    </row>
    <row r="3488" spans="12:12">
      <c r="L3488" s="1248"/>
    </row>
    <row r="3489" spans="12:12">
      <c r="L3489" s="1248"/>
    </row>
    <row r="3490" spans="12:12">
      <c r="L3490" s="1248"/>
    </row>
    <row r="3491" spans="12:12">
      <c r="L3491" s="1248"/>
    </row>
    <row r="3492" spans="12:12">
      <c r="L3492" s="1248"/>
    </row>
    <row r="3493" spans="12:12">
      <c r="L3493" s="1248"/>
    </row>
    <row r="3494" spans="12:12">
      <c r="L3494" s="1248"/>
    </row>
    <row r="3495" spans="12:12">
      <c r="L3495" s="1248"/>
    </row>
    <row r="3496" spans="12:12">
      <c r="L3496" s="1248"/>
    </row>
    <row r="3497" spans="12:12">
      <c r="L3497" s="1248"/>
    </row>
    <row r="3498" spans="12:12">
      <c r="L3498" s="1248"/>
    </row>
    <row r="3499" spans="12:12">
      <c r="L3499" s="1248"/>
    </row>
    <row r="3500" spans="12:12">
      <c r="L3500" s="1248"/>
    </row>
    <row r="3501" spans="12:12">
      <c r="L3501" s="1248"/>
    </row>
    <row r="3502" spans="12:12">
      <c r="L3502" s="1248"/>
    </row>
    <row r="3503" spans="12:12">
      <c r="L3503" s="1248"/>
    </row>
    <row r="3504" spans="12:12">
      <c r="L3504" s="1248"/>
    </row>
    <row r="3505" spans="12:12">
      <c r="L3505" s="1248"/>
    </row>
    <row r="3506" spans="12:12">
      <c r="L3506" s="1248"/>
    </row>
    <row r="3507" spans="12:12">
      <c r="L3507" s="1248"/>
    </row>
    <row r="3508" spans="12:12">
      <c r="L3508" s="1248"/>
    </row>
    <row r="3509" spans="12:12">
      <c r="L3509" s="1248"/>
    </row>
    <row r="3510" spans="12:12">
      <c r="L3510" s="1248"/>
    </row>
    <row r="3511" spans="12:12">
      <c r="L3511" s="1248"/>
    </row>
    <row r="3512" spans="12:12">
      <c r="L3512" s="1248"/>
    </row>
    <row r="3513" spans="12:12">
      <c r="L3513" s="1248"/>
    </row>
    <row r="3514" spans="12:12">
      <c r="L3514" s="1248"/>
    </row>
    <row r="3515" spans="12:12">
      <c r="L3515" s="1248"/>
    </row>
    <row r="3516" spans="12:12">
      <c r="L3516" s="1248"/>
    </row>
    <row r="3517" spans="12:12">
      <c r="L3517" s="1248"/>
    </row>
    <row r="3518" spans="12:12">
      <c r="L3518" s="1248"/>
    </row>
    <row r="3519" spans="12:12">
      <c r="L3519" s="1248"/>
    </row>
    <row r="3520" spans="12:12">
      <c r="L3520" s="1248"/>
    </row>
    <row r="3521" spans="12:12">
      <c r="L3521" s="1248"/>
    </row>
    <row r="3522" spans="12:12">
      <c r="L3522" s="1248"/>
    </row>
    <row r="3523" spans="12:12">
      <c r="L3523" s="1248"/>
    </row>
    <row r="3524" spans="12:12">
      <c r="L3524" s="1248"/>
    </row>
    <row r="3525" spans="12:12">
      <c r="L3525" s="1248"/>
    </row>
    <row r="3526" spans="12:12">
      <c r="L3526" s="1248"/>
    </row>
    <row r="3527" spans="12:12">
      <c r="L3527" s="1248"/>
    </row>
    <row r="3528" spans="12:12">
      <c r="L3528" s="1248"/>
    </row>
    <row r="3529" spans="12:12">
      <c r="L3529" s="1248"/>
    </row>
    <row r="3530" spans="12:12">
      <c r="L3530" s="1248"/>
    </row>
    <row r="3531" spans="12:12">
      <c r="L3531" s="1248"/>
    </row>
    <row r="3532" spans="12:12">
      <c r="L3532" s="1248"/>
    </row>
    <row r="3533" spans="12:12">
      <c r="L3533" s="1248"/>
    </row>
    <row r="3534" spans="12:12">
      <c r="L3534" s="1248"/>
    </row>
    <row r="3535" spans="12:12">
      <c r="L3535" s="1248"/>
    </row>
    <row r="3536" spans="12:12">
      <c r="L3536" s="1248"/>
    </row>
    <row r="3537" spans="12:12">
      <c r="L3537" s="1248"/>
    </row>
    <row r="3538" spans="12:12">
      <c r="L3538" s="1248"/>
    </row>
    <row r="3539" spans="12:12">
      <c r="L3539" s="1248"/>
    </row>
    <row r="3540" spans="12:12">
      <c r="L3540" s="1248"/>
    </row>
    <row r="3541" spans="12:12">
      <c r="L3541" s="1248"/>
    </row>
    <row r="3542" spans="12:12">
      <c r="L3542" s="1248"/>
    </row>
    <row r="3543" spans="12:12">
      <c r="L3543" s="1248"/>
    </row>
    <row r="3544" spans="12:12">
      <c r="L3544" s="1248"/>
    </row>
    <row r="3545" spans="12:12">
      <c r="L3545" s="1248"/>
    </row>
    <row r="3546" spans="12:12">
      <c r="L3546" s="1248"/>
    </row>
    <row r="3547" spans="12:12">
      <c r="L3547" s="1248"/>
    </row>
    <row r="3548" spans="12:12">
      <c r="L3548" s="1248"/>
    </row>
    <row r="3549" spans="12:12">
      <c r="L3549" s="1248"/>
    </row>
    <row r="3550" spans="12:12">
      <c r="L3550" s="1248"/>
    </row>
    <row r="3551" spans="12:12">
      <c r="L3551" s="1248"/>
    </row>
    <row r="3552" spans="12:12">
      <c r="L3552" s="1248"/>
    </row>
    <row r="3553" spans="12:12">
      <c r="L3553" s="1248"/>
    </row>
    <row r="3554" spans="12:12">
      <c r="L3554" s="1248"/>
    </row>
    <row r="3555" spans="12:12">
      <c r="L3555" s="1248"/>
    </row>
    <row r="3556" spans="12:12">
      <c r="L3556" s="1248"/>
    </row>
    <row r="3557" spans="12:12">
      <c r="L3557" s="1248"/>
    </row>
    <row r="3558" spans="12:12">
      <c r="L3558" s="1248"/>
    </row>
    <row r="3559" spans="12:12">
      <c r="L3559" s="1248"/>
    </row>
    <row r="3560" spans="12:12">
      <c r="L3560" s="1248"/>
    </row>
    <row r="3561" spans="12:12">
      <c r="L3561" s="1248"/>
    </row>
    <row r="3562" spans="12:12">
      <c r="L3562" s="1248"/>
    </row>
    <row r="3563" spans="12:12">
      <c r="L3563" s="1248"/>
    </row>
    <row r="3564" spans="12:12">
      <c r="L3564" s="1248"/>
    </row>
    <row r="3565" spans="12:12">
      <c r="L3565" s="1248"/>
    </row>
    <row r="3566" spans="12:12">
      <c r="L3566" s="1248"/>
    </row>
    <row r="3567" spans="12:12">
      <c r="L3567" s="1248"/>
    </row>
    <row r="3568" spans="12:12">
      <c r="L3568" s="1248"/>
    </row>
    <row r="3569" spans="12:12">
      <c r="L3569" s="1248"/>
    </row>
    <row r="3570" spans="12:12">
      <c r="L3570" s="1248"/>
    </row>
    <row r="3571" spans="12:12">
      <c r="L3571" s="1248"/>
    </row>
    <row r="3572" spans="12:12">
      <c r="L3572" s="1248"/>
    </row>
    <row r="3573" spans="12:12">
      <c r="L3573" s="1248"/>
    </row>
    <row r="3574" spans="12:12">
      <c r="L3574" s="1248"/>
    </row>
    <row r="3575" spans="12:12">
      <c r="L3575" s="1248"/>
    </row>
    <row r="3576" spans="12:12">
      <c r="L3576" s="1248"/>
    </row>
    <row r="3577" spans="12:12">
      <c r="L3577" s="1248"/>
    </row>
    <row r="3578" spans="12:12">
      <c r="L3578" s="1248"/>
    </row>
    <row r="3579" spans="12:12">
      <c r="L3579" s="1248"/>
    </row>
    <row r="3580" spans="12:12">
      <c r="L3580" s="1248"/>
    </row>
    <row r="3581" spans="12:12">
      <c r="L3581" s="1248"/>
    </row>
    <row r="3582" spans="12:12">
      <c r="L3582" s="1248"/>
    </row>
    <row r="3583" spans="12:12">
      <c r="L3583" s="1248"/>
    </row>
    <row r="3584" spans="12:12">
      <c r="L3584" s="1248"/>
    </row>
    <row r="3585" spans="12:12">
      <c r="L3585" s="1248"/>
    </row>
    <row r="3586" spans="12:12">
      <c r="L3586" s="1248"/>
    </row>
    <row r="3587" spans="12:12">
      <c r="L3587" s="1248"/>
    </row>
    <row r="3588" spans="12:12">
      <c r="L3588" s="1248"/>
    </row>
    <row r="3589" spans="12:12">
      <c r="L3589" s="1248"/>
    </row>
    <row r="3590" spans="12:12">
      <c r="L3590" s="1248"/>
    </row>
    <row r="3591" spans="12:12">
      <c r="L3591" s="1248"/>
    </row>
    <row r="3592" spans="12:12">
      <c r="L3592" s="1248"/>
    </row>
    <row r="3593" spans="12:12">
      <c r="L3593" s="1248"/>
    </row>
    <row r="3594" spans="12:12">
      <c r="L3594" s="1248"/>
    </row>
    <row r="3595" spans="12:12">
      <c r="L3595" s="1248"/>
    </row>
    <row r="3596" spans="12:12">
      <c r="L3596" s="1248"/>
    </row>
    <row r="3597" spans="12:12">
      <c r="L3597" s="1248"/>
    </row>
    <row r="3598" spans="12:12">
      <c r="L3598" s="1248"/>
    </row>
    <row r="3599" spans="12:12">
      <c r="L3599" s="1248"/>
    </row>
    <row r="3600" spans="12:12">
      <c r="L3600" s="1248"/>
    </row>
    <row r="3601" spans="12:12">
      <c r="L3601" s="1248"/>
    </row>
    <row r="3602" spans="12:12">
      <c r="L3602" s="1248"/>
    </row>
    <row r="3603" spans="12:12">
      <c r="L3603" s="1248"/>
    </row>
    <row r="3604" spans="12:12">
      <c r="L3604" s="1248"/>
    </row>
    <row r="3605" spans="12:12">
      <c r="L3605" s="1248"/>
    </row>
    <row r="3606" spans="12:12">
      <c r="L3606" s="1248"/>
    </row>
    <row r="3607" spans="12:12">
      <c r="L3607" s="1248"/>
    </row>
    <row r="3608" spans="12:12">
      <c r="L3608" s="1248"/>
    </row>
    <row r="3609" spans="12:12">
      <c r="L3609" s="1248"/>
    </row>
    <row r="3610" spans="12:12">
      <c r="L3610" s="1248"/>
    </row>
    <row r="3611" spans="12:12">
      <c r="L3611" s="1248"/>
    </row>
    <row r="3612" spans="12:12">
      <c r="L3612" s="1248"/>
    </row>
    <row r="3613" spans="12:12">
      <c r="L3613" s="1248"/>
    </row>
    <row r="3614" spans="12:12">
      <c r="L3614" s="1248"/>
    </row>
    <row r="3615" spans="12:12">
      <c r="L3615" s="1248"/>
    </row>
    <row r="3616" spans="12:12">
      <c r="L3616" s="1248"/>
    </row>
    <row r="3617" spans="12:12">
      <c r="L3617" s="1248"/>
    </row>
    <row r="3618" spans="12:12">
      <c r="L3618" s="1248"/>
    </row>
    <row r="3619" spans="12:12">
      <c r="L3619" s="1248"/>
    </row>
    <row r="3620" spans="12:12">
      <c r="L3620" s="1248"/>
    </row>
    <row r="3621" spans="12:12">
      <c r="L3621" s="1248"/>
    </row>
    <row r="3622" spans="12:12">
      <c r="L3622" s="1248"/>
    </row>
    <row r="3623" spans="12:12">
      <c r="L3623" s="1248"/>
    </row>
    <row r="3624" spans="12:12">
      <c r="L3624" s="1248"/>
    </row>
    <row r="3625" spans="12:12">
      <c r="L3625" s="1248"/>
    </row>
    <row r="3626" spans="12:12">
      <c r="L3626" s="1248"/>
    </row>
    <row r="3627" spans="12:12">
      <c r="L3627" s="1248"/>
    </row>
    <row r="3628" spans="12:12">
      <c r="L3628" s="1248"/>
    </row>
    <row r="3629" spans="12:12">
      <c r="L3629" s="1248"/>
    </row>
    <row r="3630" spans="12:12">
      <c r="L3630" s="1248"/>
    </row>
    <row r="3631" spans="12:12">
      <c r="L3631" s="1248"/>
    </row>
    <row r="3632" spans="12:12">
      <c r="L3632" s="1248"/>
    </row>
    <row r="3633" spans="12:12">
      <c r="L3633" s="1248"/>
    </row>
    <row r="3634" spans="12:12">
      <c r="L3634" s="1248"/>
    </row>
    <row r="3635" spans="12:12">
      <c r="L3635" s="1248"/>
    </row>
    <row r="3636" spans="12:12">
      <c r="L3636" s="1248"/>
    </row>
    <row r="3637" spans="12:12">
      <c r="L3637" s="1248"/>
    </row>
    <row r="3638" spans="12:12">
      <c r="L3638" s="1248"/>
    </row>
    <row r="3639" spans="12:12">
      <c r="L3639" s="1248"/>
    </row>
    <row r="3640" spans="12:12">
      <c r="L3640" s="1248"/>
    </row>
    <row r="3641" spans="12:12">
      <c r="L3641" s="1248"/>
    </row>
    <row r="3642" spans="12:12">
      <c r="L3642" s="1248"/>
    </row>
    <row r="3643" spans="12:12">
      <c r="L3643" s="1248"/>
    </row>
    <row r="3644" spans="12:12">
      <c r="L3644" s="1248"/>
    </row>
    <row r="3645" spans="12:12">
      <c r="L3645" s="1248"/>
    </row>
    <row r="3646" spans="12:12">
      <c r="L3646" s="1248"/>
    </row>
    <row r="3647" spans="12:12">
      <c r="L3647" s="1248"/>
    </row>
    <row r="3648" spans="12:12">
      <c r="L3648" s="1248"/>
    </row>
    <row r="3649" spans="12:12">
      <c r="L3649" s="1248"/>
    </row>
    <row r="3650" spans="12:12">
      <c r="L3650" s="1248"/>
    </row>
    <row r="3651" spans="12:12">
      <c r="L3651" s="1248"/>
    </row>
    <row r="3652" spans="12:12">
      <c r="L3652" s="1248"/>
    </row>
    <row r="3653" spans="12:12">
      <c r="L3653" s="1248"/>
    </row>
    <row r="3654" spans="12:12">
      <c r="L3654" s="1248"/>
    </row>
    <row r="3655" spans="12:12">
      <c r="L3655" s="1248"/>
    </row>
    <row r="3656" spans="12:12">
      <c r="L3656" s="1248"/>
    </row>
    <row r="3657" spans="12:12">
      <c r="L3657" s="1248"/>
    </row>
    <row r="3658" spans="12:12">
      <c r="L3658" s="1248"/>
    </row>
    <row r="3659" spans="12:12">
      <c r="L3659" s="1248"/>
    </row>
    <row r="3660" spans="12:12">
      <c r="L3660" s="1248"/>
    </row>
    <row r="3661" spans="12:12">
      <c r="L3661" s="1248"/>
    </row>
    <row r="3662" spans="12:12">
      <c r="L3662" s="1248"/>
    </row>
    <row r="3663" spans="12:12">
      <c r="L3663" s="1248"/>
    </row>
    <row r="3664" spans="12:12">
      <c r="L3664" s="1248"/>
    </row>
    <row r="3665" spans="12:12">
      <c r="L3665" s="1248"/>
    </row>
    <row r="3666" spans="12:12">
      <c r="L3666" s="1248"/>
    </row>
    <row r="3667" spans="12:12">
      <c r="L3667" s="1248"/>
    </row>
    <row r="3668" spans="12:12">
      <c r="L3668" s="1248"/>
    </row>
    <row r="3669" spans="12:12">
      <c r="L3669" s="1248"/>
    </row>
    <row r="3670" spans="12:12">
      <c r="L3670" s="1248"/>
    </row>
    <row r="3671" spans="12:12">
      <c r="L3671" s="1248"/>
    </row>
    <row r="3672" spans="12:12">
      <c r="L3672" s="1248"/>
    </row>
    <row r="3673" spans="12:12">
      <c r="L3673" s="1248"/>
    </row>
    <row r="3674" spans="12:12">
      <c r="L3674" s="1248"/>
    </row>
    <row r="3675" spans="12:12">
      <c r="L3675" s="1248"/>
    </row>
    <row r="3676" spans="12:12">
      <c r="L3676" s="1248"/>
    </row>
    <row r="3677" spans="12:12">
      <c r="L3677" s="1248"/>
    </row>
    <row r="3678" spans="12:12">
      <c r="L3678" s="1248"/>
    </row>
    <row r="3679" spans="12:12">
      <c r="L3679" s="1248"/>
    </row>
    <row r="3680" spans="12:12">
      <c r="L3680" s="1248"/>
    </row>
    <row r="3681" spans="12:12">
      <c r="L3681" s="1248"/>
    </row>
    <row r="3682" spans="12:12">
      <c r="L3682" s="1248"/>
    </row>
    <row r="3683" spans="12:12">
      <c r="L3683" s="1248"/>
    </row>
    <row r="3684" spans="12:12">
      <c r="L3684" s="1248"/>
    </row>
    <row r="3685" spans="12:12">
      <c r="L3685" s="1248"/>
    </row>
    <row r="3686" spans="12:12">
      <c r="L3686" s="1248"/>
    </row>
    <row r="3687" spans="12:12">
      <c r="L3687" s="1248"/>
    </row>
    <row r="3688" spans="12:12">
      <c r="L3688" s="1248"/>
    </row>
    <row r="3689" spans="12:12">
      <c r="L3689" s="1248"/>
    </row>
    <row r="3690" spans="12:12">
      <c r="L3690" s="1248"/>
    </row>
    <row r="3691" spans="12:12">
      <c r="L3691" s="1248"/>
    </row>
    <row r="3692" spans="12:12">
      <c r="L3692" s="1248"/>
    </row>
    <row r="3693" spans="12:12">
      <c r="L3693" s="1248"/>
    </row>
    <row r="3694" spans="12:12">
      <c r="L3694" s="1248"/>
    </row>
    <row r="3695" spans="12:12">
      <c r="L3695" s="1248"/>
    </row>
    <row r="3696" spans="12:12">
      <c r="L3696" s="1248"/>
    </row>
    <row r="3697" spans="12:12">
      <c r="L3697" s="1248"/>
    </row>
    <row r="3698" spans="12:12">
      <c r="L3698" s="1248"/>
    </row>
    <row r="3699" spans="12:12">
      <c r="L3699" s="1248"/>
    </row>
    <row r="3700" spans="12:12">
      <c r="L3700" s="1248"/>
    </row>
    <row r="3701" spans="12:12">
      <c r="L3701" s="1248"/>
    </row>
    <row r="3702" spans="12:12">
      <c r="L3702" s="1248"/>
    </row>
    <row r="3703" spans="12:12">
      <c r="L3703" s="1248"/>
    </row>
    <row r="3704" spans="12:12">
      <c r="L3704" s="1248"/>
    </row>
    <row r="3705" spans="12:12">
      <c r="L3705" s="1248"/>
    </row>
    <row r="3706" spans="12:12">
      <c r="L3706" s="1248"/>
    </row>
    <row r="3707" spans="12:12">
      <c r="L3707" s="1248"/>
    </row>
    <row r="3708" spans="12:12">
      <c r="L3708" s="1248"/>
    </row>
    <row r="3709" spans="12:12">
      <c r="L3709" s="1248"/>
    </row>
    <row r="3710" spans="12:12">
      <c r="L3710" s="1248"/>
    </row>
    <row r="3711" spans="12:12">
      <c r="L3711" s="1248"/>
    </row>
    <row r="3712" spans="12:12">
      <c r="L3712" s="1248"/>
    </row>
    <row r="3713" spans="12:12">
      <c r="L3713" s="1248"/>
    </row>
    <row r="3714" spans="12:12">
      <c r="L3714" s="1248"/>
    </row>
    <row r="3715" spans="12:12">
      <c r="L3715" s="1248"/>
    </row>
    <row r="3716" spans="12:12">
      <c r="L3716" s="1248"/>
    </row>
    <row r="3717" spans="12:12">
      <c r="L3717" s="1248"/>
    </row>
    <row r="3718" spans="12:12">
      <c r="L3718" s="1248"/>
    </row>
    <row r="3719" spans="12:12">
      <c r="L3719" s="1248"/>
    </row>
    <row r="3720" spans="12:12">
      <c r="L3720" s="1248"/>
    </row>
    <row r="3721" spans="12:12">
      <c r="L3721" s="1248"/>
    </row>
    <row r="3722" spans="12:12">
      <c r="L3722" s="1248"/>
    </row>
    <row r="3723" spans="12:12">
      <c r="L3723" s="1248"/>
    </row>
    <row r="3724" spans="12:12">
      <c r="L3724" s="1248"/>
    </row>
    <row r="3725" spans="12:12">
      <c r="L3725" s="1248"/>
    </row>
    <row r="3726" spans="12:12">
      <c r="L3726" s="1248"/>
    </row>
    <row r="3727" spans="12:12">
      <c r="L3727" s="1248"/>
    </row>
    <row r="3728" spans="12:12">
      <c r="L3728" s="1248"/>
    </row>
    <row r="3729" spans="12:12">
      <c r="L3729" s="1248"/>
    </row>
    <row r="3730" spans="12:12">
      <c r="L3730" s="1248"/>
    </row>
    <row r="3731" spans="12:12">
      <c r="L3731" s="1248"/>
    </row>
    <row r="3732" spans="12:12">
      <c r="L3732" s="1248"/>
    </row>
    <row r="3733" spans="12:12">
      <c r="L3733" s="1248"/>
    </row>
    <row r="3734" spans="12:12">
      <c r="L3734" s="1248"/>
    </row>
    <row r="3735" spans="12:12">
      <c r="L3735" s="1248"/>
    </row>
    <row r="3736" spans="12:12">
      <c r="L3736" s="1248"/>
    </row>
    <row r="3737" spans="12:12">
      <c r="L3737" s="1248"/>
    </row>
    <row r="3738" spans="12:12">
      <c r="L3738" s="1248"/>
    </row>
    <row r="3739" spans="12:12">
      <c r="L3739" s="1248"/>
    </row>
    <row r="3740" spans="12:12">
      <c r="L3740" s="1248"/>
    </row>
    <row r="3741" spans="12:12">
      <c r="L3741" s="1248"/>
    </row>
    <row r="3742" spans="12:12">
      <c r="L3742" s="1248"/>
    </row>
    <row r="3743" spans="12:12">
      <c r="L3743" s="1248"/>
    </row>
    <row r="3744" spans="12:12">
      <c r="L3744" s="1248"/>
    </row>
    <row r="3745" spans="12:12">
      <c r="L3745" s="1248"/>
    </row>
    <row r="3746" spans="12:12">
      <c r="L3746" s="1248"/>
    </row>
    <row r="3747" spans="12:12">
      <c r="L3747" s="1248"/>
    </row>
    <row r="3748" spans="12:12">
      <c r="L3748" s="1248"/>
    </row>
    <row r="3749" spans="12:12">
      <c r="L3749" s="1248"/>
    </row>
    <row r="3750" spans="12:12">
      <c r="L3750" s="1248"/>
    </row>
    <row r="3751" spans="12:12">
      <c r="L3751" s="1248"/>
    </row>
    <row r="3752" spans="12:12">
      <c r="L3752" s="1248"/>
    </row>
    <row r="3753" spans="12:12">
      <c r="L3753" s="1248"/>
    </row>
    <row r="3754" spans="12:12">
      <c r="L3754" s="1248"/>
    </row>
    <row r="3755" spans="12:12">
      <c r="L3755" s="1248"/>
    </row>
    <row r="3756" spans="12:12">
      <c r="L3756" s="1248"/>
    </row>
    <row r="3757" spans="12:12">
      <c r="L3757" s="1248"/>
    </row>
    <row r="3758" spans="12:12">
      <c r="L3758" s="1248"/>
    </row>
    <row r="3759" spans="12:12">
      <c r="L3759" s="1248"/>
    </row>
    <row r="3760" spans="12:12">
      <c r="L3760" s="1248"/>
    </row>
    <row r="3761" spans="12:12">
      <c r="L3761" s="1248"/>
    </row>
    <row r="3762" spans="12:12">
      <c r="L3762" s="1248"/>
    </row>
    <row r="3763" spans="12:12">
      <c r="L3763" s="1248"/>
    </row>
    <row r="3764" spans="12:12">
      <c r="L3764" s="1248"/>
    </row>
    <row r="3765" spans="12:12">
      <c r="L3765" s="1248"/>
    </row>
    <row r="3766" spans="12:12">
      <c r="L3766" s="1248"/>
    </row>
    <row r="3767" spans="12:12">
      <c r="L3767" s="1248"/>
    </row>
    <row r="3768" spans="12:12">
      <c r="L3768" s="1248"/>
    </row>
    <row r="3769" spans="12:12">
      <c r="L3769" s="1248"/>
    </row>
    <row r="3770" spans="12:12">
      <c r="L3770" s="1248"/>
    </row>
    <row r="3771" spans="12:12">
      <c r="L3771" s="1248"/>
    </row>
    <row r="3772" spans="12:12">
      <c r="L3772" s="1248"/>
    </row>
    <row r="3773" spans="12:12">
      <c r="L3773" s="1248"/>
    </row>
    <row r="3774" spans="12:12">
      <c r="L3774" s="1248"/>
    </row>
    <row r="3775" spans="12:12">
      <c r="L3775" s="1248"/>
    </row>
    <row r="3776" spans="12:12">
      <c r="L3776" s="1248"/>
    </row>
    <row r="3777" spans="12:12">
      <c r="L3777" s="1248"/>
    </row>
    <row r="3778" spans="12:12">
      <c r="L3778" s="1248"/>
    </row>
    <row r="3779" spans="12:12">
      <c r="L3779" s="1248"/>
    </row>
    <row r="3780" spans="12:12">
      <c r="L3780" s="1248"/>
    </row>
    <row r="3781" spans="12:12">
      <c r="L3781" s="1248"/>
    </row>
    <row r="3782" spans="12:12">
      <c r="L3782" s="1248"/>
    </row>
    <row r="3783" spans="12:12">
      <c r="L3783" s="1248"/>
    </row>
    <row r="3784" spans="12:12">
      <c r="L3784" s="1248"/>
    </row>
    <row r="3785" spans="12:12">
      <c r="L3785" s="1248"/>
    </row>
    <row r="3786" spans="12:12">
      <c r="L3786" s="1248"/>
    </row>
    <row r="3787" spans="12:12">
      <c r="L3787" s="1248"/>
    </row>
    <row r="3788" spans="12:12">
      <c r="L3788" s="1248"/>
    </row>
    <row r="3789" spans="12:12">
      <c r="L3789" s="1248"/>
    </row>
    <row r="3790" spans="12:12">
      <c r="L3790" s="1248"/>
    </row>
    <row r="3791" spans="12:12">
      <c r="L3791" s="1248"/>
    </row>
    <row r="3792" spans="12:12">
      <c r="L3792" s="1248"/>
    </row>
    <row r="3793" spans="12:12">
      <c r="L3793" s="1248"/>
    </row>
    <row r="3794" spans="12:12">
      <c r="L3794" s="1248"/>
    </row>
    <row r="3795" spans="12:12">
      <c r="L3795" s="1248"/>
    </row>
    <row r="3796" spans="12:12">
      <c r="L3796" s="1248"/>
    </row>
    <row r="3797" spans="12:12">
      <c r="L3797" s="1248"/>
    </row>
    <row r="3798" spans="12:12">
      <c r="L3798" s="1248"/>
    </row>
    <row r="3799" spans="12:12">
      <c r="L3799" s="1248"/>
    </row>
    <row r="3800" spans="12:12">
      <c r="L3800" s="1248"/>
    </row>
    <row r="3801" spans="12:12">
      <c r="L3801" s="1248"/>
    </row>
    <row r="3802" spans="12:12">
      <c r="L3802" s="1248"/>
    </row>
    <row r="3803" spans="12:12">
      <c r="L3803" s="1248"/>
    </row>
    <row r="3804" spans="12:12">
      <c r="L3804" s="1248"/>
    </row>
    <row r="3805" spans="12:12">
      <c r="L3805" s="1248"/>
    </row>
    <row r="3806" spans="12:12">
      <c r="L3806" s="1248"/>
    </row>
    <row r="3807" spans="12:12">
      <c r="L3807" s="1248"/>
    </row>
    <row r="3808" spans="12:12">
      <c r="L3808" s="1248"/>
    </row>
    <row r="3809" spans="12:12">
      <c r="L3809" s="1248"/>
    </row>
    <row r="3810" spans="12:12">
      <c r="L3810" s="1248"/>
    </row>
    <row r="3811" spans="12:12">
      <c r="L3811" s="1248"/>
    </row>
    <row r="3812" spans="12:12">
      <c r="L3812" s="1248"/>
    </row>
    <row r="3813" spans="12:12">
      <c r="L3813" s="1248"/>
    </row>
    <row r="3814" spans="12:12">
      <c r="L3814" s="1248"/>
    </row>
    <row r="3815" spans="12:12">
      <c r="L3815" s="1248"/>
    </row>
    <row r="3816" spans="12:12">
      <c r="L3816" s="1248"/>
    </row>
    <row r="3817" spans="12:12">
      <c r="L3817" s="1248"/>
    </row>
    <row r="3818" spans="12:12">
      <c r="L3818" s="1248"/>
    </row>
    <row r="3819" spans="12:12">
      <c r="L3819" s="1248"/>
    </row>
    <row r="3820" spans="12:12">
      <c r="L3820" s="1248"/>
    </row>
    <row r="3821" spans="12:12">
      <c r="L3821" s="1248"/>
    </row>
    <row r="3822" spans="12:12">
      <c r="L3822" s="1248"/>
    </row>
    <row r="3823" spans="12:12">
      <c r="L3823" s="1248"/>
    </row>
    <row r="3824" spans="12:12">
      <c r="L3824" s="1248"/>
    </row>
    <row r="3825" spans="12:12">
      <c r="L3825" s="1248"/>
    </row>
    <row r="3826" spans="12:12">
      <c r="L3826" s="1248"/>
    </row>
    <row r="3827" spans="12:12">
      <c r="L3827" s="1248"/>
    </row>
    <row r="3828" spans="12:12">
      <c r="L3828" s="1248"/>
    </row>
    <row r="3829" spans="12:12">
      <c r="L3829" s="1248"/>
    </row>
    <row r="3830" spans="12:12">
      <c r="L3830" s="1248"/>
    </row>
    <row r="3831" spans="12:12">
      <c r="L3831" s="1248"/>
    </row>
    <row r="3832" spans="12:12">
      <c r="L3832" s="1248"/>
    </row>
    <row r="3833" spans="12:12">
      <c r="L3833" s="1248"/>
    </row>
    <row r="3834" spans="12:12">
      <c r="L3834" s="1248"/>
    </row>
    <row r="3835" spans="12:12">
      <c r="L3835" s="1248"/>
    </row>
    <row r="3836" spans="12:12">
      <c r="L3836" s="1248"/>
    </row>
    <row r="3837" spans="12:12">
      <c r="L3837" s="1248"/>
    </row>
    <row r="3838" spans="12:12">
      <c r="L3838" s="1248"/>
    </row>
    <row r="3839" spans="12:12">
      <c r="L3839" s="1248"/>
    </row>
    <row r="3840" spans="12:12">
      <c r="L3840" s="1248"/>
    </row>
    <row r="3841" spans="12:12">
      <c r="L3841" s="1248"/>
    </row>
    <row r="3842" spans="12:12">
      <c r="L3842" s="1248"/>
    </row>
    <row r="3843" spans="12:12">
      <c r="L3843" s="1248"/>
    </row>
    <row r="3844" spans="12:12">
      <c r="L3844" s="1248"/>
    </row>
    <row r="3845" spans="12:12">
      <c r="L3845" s="1248"/>
    </row>
    <row r="3846" spans="12:12">
      <c r="L3846" s="1248"/>
    </row>
    <row r="3847" spans="12:12">
      <c r="L3847" s="1248"/>
    </row>
    <row r="3848" spans="12:12">
      <c r="L3848" s="1248"/>
    </row>
    <row r="3849" spans="12:12">
      <c r="L3849" s="1248"/>
    </row>
    <row r="3850" spans="12:12">
      <c r="L3850" s="1248"/>
    </row>
    <row r="3851" spans="12:12">
      <c r="L3851" s="1248"/>
    </row>
    <row r="3852" spans="12:12">
      <c r="L3852" s="1248"/>
    </row>
    <row r="3853" spans="12:12">
      <c r="L3853" s="1248"/>
    </row>
    <row r="3854" spans="12:12">
      <c r="L3854" s="1248"/>
    </row>
    <row r="3855" spans="12:12">
      <c r="L3855" s="1248"/>
    </row>
    <row r="3856" spans="12:12">
      <c r="L3856" s="1248"/>
    </row>
    <row r="3857" spans="12:12">
      <c r="L3857" s="1248"/>
    </row>
    <row r="3858" spans="12:12">
      <c r="L3858" s="1248"/>
    </row>
    <row r="3859" spans="12:12">
      <c r="L3859" s="1248"/>
    </row>
    <row r="3860" spans="12:12">
      <c r="L3860" s="1248"/>
    </row>
    <row r="3861" spans="12:12">
      <c r="L3861" s="1248"/>
    </row>
    <row r="3862" spans="12:12">
      <c r="L3862" s="1248"/>
    </row>
    <row r="3863" spans="12:12">
      <c r="L3863" s="1248"/>
    </row>
    <row r="3864" spans="12:12">
      <c r="L3864" s="1248"/>
    </row>
    <row r="3865" spans="12:12">
      <c r="L3865" s="1248"/>
    </row>
    <row r="3866" spans="12:12">
      <c r="L3866" s="1248"/>
    </row>
    <row r="3867" spans="12:12">
      <c r="L3867" s="1248"/>
    </row>
    <row r="3868" spans="12:12">
      <c r="L3868" s="1248"/>
    </row>
    <row r="3869" spans="12:12">
      <c r="L3869" s="1248"/>
    </row>
    <row r="3870" spans="12:12">
      <c r="L3870" s="1248"/>
    </row>
    <row r="3871" spans="12:12">
      <c r="L3871" s="1248"/>
    </row>
    <row r="3872" spans="12:12">
      <c r="L3872" s="1248"/>
    </row>
    <row r="3873" spans="12:12">
      <c r="L3873" s="1248"/>
    </row>
    <row r="3874" spans="12:12">
      <c r="L3874" s="1248"/>
    </row>
    <row r="3875" spans="12:12">
      <c r="L3875" s="1248"/>
    </row>
    <row r="3876" spans="12:12">
      <c r="L3876" s="1248"/>
    </row>
    <row r="3877" spans="12:12">
      <c r="L3877" s="1248"/>
    </row>
    <row r="3878" spans="12:12">
      <c r="L3878" s="1248"/>
    </row>
    <row r="3879" spans="12:12">
      <c r="L3879" s="1248"/>
    </row>
    <row r="3880" spans="12:12">
      <c r="L3880" s="1248"/>
    </row>
    <row r="3881" spans="12:12">
      <c r="L3881" s="1248"/>
    </row>
    <row r="3882" spans="12:12">
      <c r="L3882" s="1248"/>
    </row>
    <row r="3883" spans="12:12">
      <c r="L3883" s="1248"/>
    </row>
    <row r="3884" spans="12:12">
      <c r="L3884" s="1248"/>
    </row>
    <row r="3885" spans="12:12">
      <c r="L3885" s="1248"/>
    </row>
    <row r="3886" spans="12:12">
      <c r="L3886" s="1248"/>
    </row>
    <row r="3887" spans="12:12">
      <c r="L3887" s="1248"/>
    </row>
    <row r="3888" spans="12:12">
      <c r="L3888" s="1248"/>
    </row>
    <row r="3889" spans="12:12">
      <c r="L3889" s="1248"/>
    </row>
    <row r="3890" spans="12:12">
      <c r="L3890" s="1248"/>
    </row>
    <row r="3891" spans="12:12">
      <c r="L3891" s="1248"/>
    </row>
    <row r="3892" spans="12:12">
      <c r="L3892" s="1248"/>
    </row>
    <row r="3893" spans="12:12">
      <c r="L3893" s="1248"/>
    </row>
    <row r="3894" spans="12:12">
      <c r="L3894" s="1248"/>
    </row>
    <row r="3895" spans="12:12">
      <c r="L3895" s="1248"/>
    </row>
    <row r="3896" spans="12:12">
      <c r="L3896" s="1248"/>
    </row>
    <row r="3897" spans="12:12">
      <c r="L3897" s="1248"/>
    </row>
    <row r="3898" spans="12:12">
      <c r="L3898" s="1248"/>
    </row>
    <row r="3899" spans="12:12">
      <c r="L3899" s="1248"/>
    </row>
    <row r="3900" spans="12:12">
      <c r="L3900" s="1248"/>
    </row>
    <row r="3901" spans="12:12">
      <c r="L3901" s="1248"/>
    </row>
    <row r="3902" spans="12:12">
      <c r="L3902" s="1248"/>
    </row>
    <row r="3903" spans="12:12">
      <c r="L3903" s="1248"/>
    </row>
    <row r="3904" spans="12:12">
      <c r="L3904" s="1248"/>
    </row>
    <row r="3905" spans="12:12">
      <c r="L3905" s="1248"/>
    </row>
    <row r="3906" spans="12:12">
      <c r="L3906" s="1248"/>
    </row>
    <row r="3907" spans="12:12">
      <c r="L3907" s="1248"/>
    </row>
    <row r="3908" spans="12:12">
      <c r="L3908" s="1248"/>
    </row>
    <row r="3909" spans="12:12">
      <c r="L3909" s="1248"/>
    </row>
    <row r="3910" spans="12:12">
      <c r="L3910" s="1248"/>
    </row>
    <row r="3911" spans="12:12">
      <c r="L3911" s="1248"/>
    </row>
    <row r="3912" spans="12:12">
      <c r="L3912" s="1248"/>
    </row>
    <row r="3913" spans="12:12">
      <c r="L3913" s="1248"/>
    </row>
    <row r="3914" spans="12:12">
      <c r="L3914" s="1248"/>
    </row>
    <row r="3915" spans="12:12">
      <c r="L3915" s="1248"/>
    </row>
    <row r="3916" spans="12:12">
      <c r="L3916" s="1248"/>
    </row>
    <row r="3917" spans="12:12">
      <c r="L3917" s="1248"/>
    </row>
    <row r="3918" spans="12:12">
      <c r="L3918" s="1248"/>
    </row>
    <row r="3919" spans="12:12">
      <c r="L3919" s="1248"/>
    </row>
    <row r="3920" spans="12:12">
      <c r="L3920" s="1248"/>
    </row>
    <row r="3921" spans="12:12">
      <c r="L3921" s="1248"/>
    </row>
    <row r="3922" spans="12:12">
      <c r="L3922" s="1248"/>
    </row>
    <row r="3923" spans="12:12">
      <c r="L3923" s="1248"/>
    </row>
    <row r="3924" spans="12:12">
      <c r="L3924" s="1248"/>
    </row>
    <row r="3925" spans="12:12">
      <c r="L3925" s="1248"/>
    </row>
    <row r="3926" spans="12:12">
      <c r="L3926" s="1248"/>
    </row>
    <row r="3927" spans="12:12">
      <c r="L3927" s="1248"/>
    </row>
    <row r="3928" spans="12:12">
      <c r="L3928" s="1248"/>
    </row>
    <row r="3929" spans="12:12">
      <c r="L3929" s="1248"/>
    </row>
    <row r="3930" spans="12:12">
      <c r="L3930" s="1248"/>
    </row>
    <row r="3931" spans="12:12">
      <c r="L3931" s="1248"/>
    </row>
    <row r="3932" spans="12:12">
      <c r="L3932" s="1248"/>
    </row>
    <row r="3933" spans="12:12">
      <c r="L3933" s="1248"/>
    </row>
    <row r="3934" spans="12:12">
      <c r="L3934" s="1248"/>
    </row>
    <row r="3935" spans="12:12">
      <c r="L3935" s="1248"/>
    </row>
    <row r="3936" spans="12:12">
      <c r="L3936" s="1248"/>
    </row>
    <row r="3937" spans="12:12">
      <c r="L3937" s="1248"/>
    </row>
    <row r="3938" spans="12:12">
      <c r="L3938" s="1248"/>
    </row>
    <row r="3939" spans="12:12">
      <c r="L3939" s="1248"/>
    </row>
    <row r="3940" spans="12:12">
      <c r="L3940" s="1248"/>
    </row>
    <row r="3941" spans="12:12">
      <c r="L3941" s="1248"/>
    </row>
    <row r="3942" spans="12:12">
      <c r="L3942" s="1248"/>
    </row>
    <row r="3943" spans="12:12">
      <c r="L3943" s="1248"/>
    </row>
    <row r="3944" spans="12:12">
      <c r="L3944" s="1248"/>
    </row>
    <row r="3945" spans="12:12">
      <c r="L3945" s="1248"/>
    </row>
    <row r="3946" spans="12:12">
      <c r="L3946" s="1248"/>
    </row>
    <row r="3947" spans="12:12">
      <c r="L3947" s="1248"/>
    </row>
    <row r="3948" spans="12:12">
      <c r="L3948" s="1248"/>
    </row>
    <row r="3949" spans="12:12">
      <c r="L3949" s="1248"/>
    </row>
    <row r="3950" spans="12:12">
      <c r="L3950" s="1248"/>
    </row>
    <row r="3951" spans="12:12">
      <c r="L3951" s="1248"/>
    </row>
    <row r="3952" spans="12:12">
      <c r="L3952" s="1248"/>
    </row>
    <row r="3953" spans="12:12">
      <c r="L3953" s="1248"/>
    </row>
    <row r="3954" spans="12:12">
      <c r="L3954" s="1248"/>
    </row>
    <row r="3955" spans="12:12">
      <c r="L3955" s="1248"/>
    </row>
    <row r="3956" spans="12:12">
      <c r="L3956" s="1248"/>
    </row>
    <row r="3957" spans="12:12">
      <c r="L3957" s="1248"/>
    </row>
    <row r="3958" spans="12:12">
      <c r="L3958" s="1248"/>
    </row>
    <row r="3959" spans="12:12">
      <c r="L3959" s="1248"/>
    </row>
    <row r="3960" spans="12:12">
      <c r="L3960" s="1248"/>
    </row>
    <row r="3961" spans="12:12">
      <c r="L3961" s="1248"/>
    </row>
    <row r="3962" spans="12:12">
      <c r="L3962" s="1248"/>
    </row>
    <row r="3963" spans="12:12">
      <c r="L3963" s="1248"/>
    </row>
    <row r="3964" spans="12:12">
      <c r="L3964" s="1248"/>
    </row>
    <row r="3965" spans="12:12">
      <c r="L3965" s="1248"/>
    </row>
    <row r="3966" spans="12:12">
      <c r="L3966" s="1248"/>
    </row>
    <row r="3967" spans="12:12">
      <c r="L3967" s="1248"/>
    </row>
    <row r="3968" spans="12:12">
      <c r="L3968" s="1248"/>
    </row>
    <row r="3969" spans="12:12">
      <c r="L3969" s="1248"/>
    </row>
    <row r="3970" spans="12:12">
      <c r="L3970" s="1248"/>
    </row>
    <row r="3971" spans="12:12">
      <c r="L3971" s="1248"/>
    </row>
    <row r="3972" spans="12:12">
      <c r="L3972" s="1248"/>
    </row>
    <row r="3973" spans="12:12">
      <c r="L3973" s="1248"/>
    </row>
    <row r="3974" spans="12:12">
      <c r="L3974" s="1248"/>
    </row>
    <row r="3975" spans="12:12">
      <c r="L3975" s="1248"/>
    </row>
    <row r="3976" spans="12:12">
      <c r="L3976" s="1248"/>
    </row>
    <row r="3977" spans="12:12">
      <c r="L3977" s="1248"/>
    </row>
    <row r="3978" spans="12:12">
      <c r="L3978" s="1248"/>
    </row>
    <row r="3979" spans="12:12">
      <c r="L3979" s="1248"/>
    </row>
    <row r="3980" spans="12:12">
      <c r="L3980" s="1248"/>
    </row>
    <row r="3981" spans="12:12">
      <c r="L3981" s="1248"/>
    </row>
    <row r="3982" spans="12:12">
      <c r="L3982" s="1248"/>
    </row>
    <row r="3983" spans="12:12">
      <c r="L3983" s="1248"/>
    </row>
    <row r="3984" spans="12:12">
      <c r="L3984" s="1248"/>
    </row>
    <row r="3985" spans="12:12">
      <c r="L3985" s="1248"/>
    </row>
    <row r="3986" spans="12:12">
      <c r="L3986" s="1248"/>
    </row>
    <row r="3987" spans="12:12">
      <c r="L3987" s="1248"/>
    </row>
    <row r="3988" spans="12:12">
      <c r="L3988" s="1248"/>
    </row>
    <row r="3989" spans="12:12">
      <c r="L3989" s="1248"/>
    </row>
    <row r="3990" spans="12:12">
      <c r="L3990" s="1248"/>
    </row>
    <row r="3991" spans="12:12">
      <c r="L3991" s="1248"/>
    </row>
    <row r="3992" spans="12:12">
      <c r="L3992" s="1248"/>
    </row>
    <row r="3993" spans="12:12">
      <c r="L3993" s="1248"/>
    </row>
    <row r="3994" spans="12:12">
      <c r="L3994" s="1248"/>
    </row>
    <row r="3995" spans="12:12">
      <c r="L3995" s="1248"/>
    </row>
    <row r="3996" spans="12:12">
      <c r="L3996" s="1248"/>
    </row>
    <row r="3997" spans="12:12">
      <c r="L3997" s="1248"/>
    </row>
    <row r="3998" spans="12:12">
      <c r="L3998" s="1248"/>
    </row>
    <row r="3999" spans="12:12">
      <c r="L3999" s="1248"/>
    </row>
    <row r="4000" spans="12:12">
      <c r="L4000" s="1248"/>
    </row>
    <row r="4001" spans="12:12">
      <c r="L4001" s="1248"/>
    </row>
    <row r="4002" spans="12:12">
      <c r="L4002" s="1248"/>
    </row>
    <row r="4003" spans="12:12">
      <c r="L4003" s="1248"/>
    </row>
    <row r="4004" spans="12:12">
      <c r="L4004" s="1248"/>
    </row>
    <row r="4005" spans="12:12">
      <c r="L4005" s="1248"/>
    </row>
    <row r="4006" spans="12:12">
      <c r="L4006" s="1248"/>
    </row>
    <row r="4007" spans="12:12">
      <c r="L4007" s="1248"/>
    </row>
    <row r="4008" spans="12:12">
      <c r="L4008" s="1248"/>
    </row>
    <row r="4009" spans="12:12">
      <c r="L4009" s="1248"/>
    </row>
    <row r="4010" spans="12:12">
      <c r="L4010" s="1248"/>
    </row>
    <row r="4011" spans="12:12">
      <c r="L4011" s="1248"/>
    </row>
    <row r="4012" spans="12:12">
      <c r="L4012" s="1248"/>
    </row>
    <row r="4013" spans="12:12">
      <c r="L4013" s="1248"/>
    </row>
    <row r="4014" spans="12:12">
      <c r="L4014" s="1248"/>
    </row>
    <row r="4015" spans="12:12">
      <c r="L4015" s="1248"/>
    </row>
    <row r="4016" spans="12:12">
      <c r="L4016" s="1248"/>
    </row>
    <row r="4017" spans="12:12">
      <c r="L4017" s="1248"/>
    </row>
    <row r="4018" spans="12:12">
      <c r="L4018" s="1248"/>
    </row>
    <row r="4019" spans="12:12">
      <c r="L4019" s="1248"/>
    </row>
    <row r="4020" spans="12:12">
      <c r="L4020" s="1248"/>
    </row>
    <row r="4021" spans="12:12">
      <c r="L4021" s="1248"/>
    </row>
    <row r="4022" spans="12:12">
      <c r="L4022" s="1248"/>
    </row>
    <row r="4023" spans="12:12">
      <c r="L4023" s="1248"/>
    </row>
    <row r="4024" spans="12:12">
      <c r="L4024" s="1248"/>
    </row>
    <row r="4025" spans="12:12">
      <c r="L4025" s="1248"/>
    </row>
    <row r="4026" spans="12:12">
      <c r="L4026" s="1248"/>
    </row>
    <row r="4027" spans="12:12">
      <c r="L4027" s="1248"/>
    </row>
    <row r="4028" spans="12:12">
      <c r="L4028" s="1248"/>
    </row>
    <row r="4029" spans="12:12">
      <c r="L4029" s="1248"/>
    </row>
    <row r="4030" spans="12:12">
      <c r="L4030" s="1248"/>
    </row>
    <row r="4031" spans="12:12">
      <c r="L4031" s="1248"/>
    </row>
    <row r="4032" spans="12:12">
      <c r="L4032" s="1248"/>
    </row>
    <row r="4033" spans="12:12">
      <c r="L4033" s="1248"/>
    </row>
    <row r="4034" spans="12:12">
      <c r="L4034" s="1248"/>
    </row>
    <row r="4035" spans="12:12">
      <c r="L4035" s="1248"/>
    </row>
    <row r="4036" spans="12:12">
      <c r="L4036" s="1248"/>
    </row>
    <row r="4037" spans="12:12">
      <c r="L4037" s="1248"/>
    </row>
    <row r="4038" spans="12:12">
      <c r="L4038" s="1248"/>
    </row>
    <row r="4039" spans="12:12">
      <c r="L4039" s="1248"/>
    </row>
    <row r="4040" spans="12:12">
      <c r="L4040" s="1248"/>
    </row>
    <row r="4041" spans="12:12">
      <c r="L4041" s="1248"/>
    </row>
    <row r="4042" spans="12:12">
      <c r="L4042" s="1248"/>
    </row>
    <row r="4043" spans="12:12">
      <c r="L4043" s="1248"/>
    </row>
    <row r="4044" spans="12:12">
      <c r="L4044" s="1248"/>
    </row>
    <row r="4045" spans="12:12">
      <c r="L4045" s="1248"/>
    </row>
    <row r="4046" spans="12:12">
      <c r="L4046" s="1248"/>
    </row>
    <row r="4047" spans="12:12">
      <c r="L4047" s="1248"/>
    </row>
    <row r="4048" spans="12:12">
      <c r="L4048" s="1248"/>
    </row>
    <row r="4049" spans="12:12">
      <c r="L4049" s="1248"/>
    </row>
    <row r="4050" spans="12:12">
      <c r="L4050" s="1248"/>
    </row>
    <row r="4051" spans="12:12">
      <c r="L4051" s="1248"/>
    </row>
    <row r="4052" spans="12:12">
      <c r="L4052" s="1248"/>
    </row>
    <row r="4053" spans="12:12">
      <c r="L4053" s="1248"/>
    </row>
    <row r="4054" spans="12:12">
      <c r="L4054" s="1248"/>
    </row>
    <row r="4055" spans="12:12">
      <c r="L4055" s="1248"/>
    </row>
    <row r="4056" spans="12:12">
      <c r="L4056" s="1248"/>
    </row>
    <row r="4057" spans="12:12">
      <c r="L4057" s="1248"/>
    </row>
    <row r="4058" spans="12:12">
      <c r="L4058" s="1248"/>
    </row>
    <row r="4059" spans="12:12">
      <c r="L4059" s="1248"/>
    </row>
    <row r="4060" spans="12:12">
      <c r="L4060" s="1248"/>
    </row>
    <row r="4061" spans="12:12">
      <c r="L4061" s="1248"/>
    </row>
    <row r="4062" spans="12:12">
      <c r="L4062" s="1248"/>
    </row>
    <row r="4063" spans="12:12">
      <c r="L4063" s="1248"/>
    </row>
    <row r="4064" spans="12:12">
      <c r="L4064" s="1248"/>
    </row>
    <row r="4065" spans="12:12">
      <c r="L4065" s="1248"/>
    </row>
    <row r="4066" spans="12:12">
      <c r="L4066" s="1248"/>
    </row>
    <row r="4067" spans="12:12">
      <c r="L4067" s="1248"/>
    </row>
    <row r="4068" spans="12:12">
      <c r="L4068" s="1248"/>
    </row>
    <row r="4069" spans="12:12">
      <c r="L4069" s="1248"/>
    </row>
    <row r="4070" spans="12:12">
      <c r="L4070" s="1248"/>
    </row>
    <row r="4071" spans="12:12">
      <c r="L4071" s="1248"/>
    </row>
    <row r="4072" spans="12:12">
      <c r="L4072" s="1248"/>
    </row>
    <row r="4073" spans="12:12">
      <c r="L4073" s="1248"/>
    </row>
    <row r="4074" spans="12:12">
      <c r="L4074" s="1248"/>
    </row>
    <row r="4075" spans="12:12">
      <c r="L4075" s="1248"/>
    </row>
    <row r="4076" spans="12:12">
      <c r="L4076" s="1248"/>
    </row>
    <row r="4077" spans="12:12">
      <c r="L4077" s="1248"/>
    </row>
    <row r="4078" spans="12:12">
      <c r="L4078" s="1248"/>
    </row>
    <row r="4079" spans="12:12">
      <c r="L4079" s="1248"/>
    </row>
    <row r="4080" spans="12:12">
      <c r="L4080" s="1248"/>
    </row>
    <row r="4081" spans="12:12">
      <c r="L4081" s="1248"/>
    </row>
    <row r="4082" spans="12:12">
      <c r="L4082" s="1248"/>
    </row>
    <row r="4083" spans="12:12">
      <c r="L4083" s="1248"/>
    </row>
    <row r="4084" spans="12:12">
      <c r="L4084" s="1248"/>
    </row>
    <row r="4085" spans="12:12">
      <c r="L4085" s="1248"/>
    </row>
    <row r="4086" spans="12:12">
      <c r="L4086" s="1248"/>
    </row>
    <row r="4087" spans="12:12">
      <c r="L4087" s="1248"/>
    </row>
    <row r="4088" spans="12:12">
      <c r="L4088" s="1248"/>
    </row>
    <row r="4089" spans="12:12">
      <c r="L4089" s="1248"/>
    </row>
    <row r="4090" spans="12:12">
      <c r="L4090" s="1248"/>
    </row>
    <row r="4091" spans="12:12">
      <c r="L4091" s="1248"/>
    </row>
    <row r="4092" spans="12:12">
      <c r="L4092" s="1248"/>
    </row>
    <row r="4093" spans="12:12">
      <c r="L4093" s="1248"/>
    </row>
    <row r="4094" spans="12:12">
      <c r="L4094" s="1248"/>
    </row>
    <row r="4095" spans="12:12">
      <c r="L4095" s="1248"/>
    </row>
    <row r="4096" spans="12:12">
      <c r="L4096" s="1248"/>
    </row>
    <row r="4097" spans="12:12">
      <c r="L4097" s="1248"/>
    </row>
    <row r="4098" spans="12:12">
      <c r="L4098" s="1248"/>
    </row>
    <row r="4099" spans="12:12">
      <c r="L4099" s="1248"/>
    </row>
    <row r="4100" spans="12:12">
      <c r="L4100" s="1248"/>
    </row>
    <row r="4101" spans="12:12">
      <c r="L4101" s="1248"/>
    </row>
    <row r="4102" spans="12:12">
      <c r="L4102" s="1248"/>
    </row>
    <row r="4103" spans="12:12">
      <c r="L4103" s="1248"/>
    </row>
    <row r="4104" spans="12:12">
      <c r="L4104" s="1248"/>
    </row>
    <row r="4105" spans="12:12">
      <c r="L4105" s="1248"/>
    </row>
    <row r="4106" spans="12:12">
      <c r="L4106" s="1248"/>
    </row>
    <row r="4107" spans="12:12">
      <c r="L4107" s="1248"/>
    </row>
    <row r="4108" spans="12:12">
      <c r="L4108" s="1248"/>
    </row>
    <row r="4109" spans="12:12">
      <c r="L4109" s="1248"/>
    </row>
    <row r="4110" spans="12:12">
      <c r="L4110" s="1248"/>
    </row>
    <row r="4111" spans="12:12">
      <c r="L4111" s="1248"/>
    </row>
    <row r="4112" spans="12:12">
      <c r="L4112" s="1248"/>
    </row>
    <row r="4113" spans="12:12">
      <c r="L4113" s="1248"/>
    </row>
    <row r="4114" spans="12:12">
      <c r="L4114" s="1248"/>
    </row>
    <row r="4115" spans="12:12">
      <c r="L4115" s="1248"/>
    </row>
    <row r="4116" spans="12:12">
      <c r="L4116" s="1248"/>
    </row>
    <row r="4117" spans="12:12">
      <c r="L4117" s="1248"/>
    </row>
    <row r="4118" spans="12:12">
      <c r="L4118" s="1248"/>
    </row>
    <row r="4119" spans="12:12">
      <c r="L4119" s="1248"/>
    </row>
    <row r="4120" spans="12:12">
      <c r="L4120" s="1248"/>
    </row>
    <row r="4121" spans="12:12">
      <c r="L4121" s="1248"/>
    </row>
    <row r="4122" spans="12:12">
      <c r="L4122" s="1248"/>
    </row>
    <row r="4123" spans="12:12">
      <c r="L4123" s="1248"/>
    </row>
    <row r="4124" spans="12:12">
      <c r="L4124" s="1248"/>
    </row>
    <row r="4125" spans="12:12">
      <c r="L4125" s="1248"/>
    </row>
    <row r="4126" spans="12:12">
      <c r="L4126" s="1248"/>
    </row>
    <row r="4127" spans="12:12">
      <c r="L4127" s="1248"/>
    </row>
    <row r="4128" spans="12:12">
      <c r="L4128" s="1248"/>
    </row>
    <row r="4129" spans="12:12">
      <c r="L4129" s="1248"/>
    </row>
    <row r="4130" spans="12:12">
      <c r="L4130" s="1248"/>
    </row>
    <row r="4131" spans="12:12">
      <c r="L4131" s="1248"/>
    </row>
    <row r="4132" spans="12:12">
      <c r="L4132" s="1248"/>
    </row>
    <row r="4133" spans="12:12">
      <c r="L4133" s="1248"/>
    </row>
    <row r="4134" spans="12:12">
      <c r="L4134" s="1248"/>
    </row>
    <row r="4135" spans="12:12">
      <c r="L4135" s="1248"/>
    </row>
    <row r="4136" spans="12:12">
      <c r="L4136" s="1248"/>
    </row>
    <row r="4137" spans="12:12">
      <c r="L4137" s="1248"/>
    </row>
    <row r="4138" spans="12:12">
      <c r="L4138" s="1248"/>
    </row>
    <row r="4139" spans="12:12">
      <c r="L4139" s="1248"/>
    </row>
    <row r="4140" spans="12:12">
      <c r="L4140" s="1248"/>
    </row>
    <row r="4141" spans="12:12">
      <c r="L4141" s="1248"/>
    </row>
    <row r="4142" spans="12:12">
      <c r="L4142" s="1248"/>
    </row>
    <row r="4143" spans="12:12">
      <c r="L4143" s="1248"/>
    </row>
    <row r="4144" spans="12:12">
      <c r="L4144" s="1248"/>
    </row>
    <row r="4145" spans="12:12">
      <c r="L4145" s="1248"/>
    </row>
    <row r="4146" spans="12:12">
      <c r="L4146" s="1248"/>
    </row>
    <row r="4147" spans="12:12">
      <c r="L4147" s="1248"/>
    </row>
    <row r="4148" spans="12:12">
      <c r="L4148" s="1248"/>
    </row>
    <row r="4149" spans="12:12">
      <c r="L4149" s="1248"/>
    </row>
    <row r="4150" spans="12:12">
      <c r="L4150" s="1248"/>
    </row>
    <row r="4151" spans="12:12">
      <c r="L4151" s="1248"/>
    </row>
    <row r="4152" spans="12:12">
      <c r="L4152" s="1248"/>
    </row>
    <row r="4153" spans="12:12">
      <c r="L4153" s="1248"/>
    </row>
    <row r="4154" spans="12:12">
      <c r="L4154" s="1248"/>
    </row>
    <row r="4155" spans="12:12">
      <c r="L4155" s="1248"/>
    </row>
    <row r="4156" spans="12:12">
      <c r="L4156" s="1248"/>
    </row>
    <row r="4157" spans="12:12">
      <c r="L4157" s="1248"/>
    </row>
    <row r="4158" spans="12:12">
      <c r="L4158" s="1248"/>
    </row>
    <row r="4159" spans="12:12">
      <c r="L4159" s="1248"/>
    </row>
    <row r="4160" spans="12:12">
      <c r="L4160" s="1248"/>
    </row>
    <row r="4161" spans="12:12">
      <c r="L4161" s="1248"/>
    </row>
    <row r="4162" spans="12:12">
      <c r="L4162" s="1248"/>
    </row>
    <row r="4163" spans="12:12">
      <c r="L4163" s="1248"/>
    </row>
    <row r="4164" spans="12:12">
      <c r="L4164" s="1248"/>
    </row>
    <row r="4165" spans="12:12">
      <c r="L4165" s="1248"/>
    </row>
    <row r="4166" spans="12:12">
      <c r="L4166" s="1248"/>
    </row>
    <row r="4167" spans="12:12">
      <c r="L4167" s="1248"/>
    </row>
    <row r="4168" spans="12:12">
      <c r="L4168" s="1248"/>
    </row>
    <row r="4169" spans="12:12">
      <c r="L4169" s="1248"/>
    </row>
    <row r="4170" spans="12:12">
      <c r="L4170" s="1248"/>
    </row>
    <row r="4171" spans="12:12">
      <c r="L4171" s="1248"/>
    </row>
    <row r="4172" spans="12:12">
      <c r="L4172" s="1248"/>
    </row>
    <row r="4173" spans="12:12">
      <c r="L4173" s="1248"/>
    </row>
    <row r="4174" spans="12:12">
      <c r="L4174" s="1248"/>
    </row>
    <row r="4175" spans="12:12">
      <c r="L4175" s="1248"/>
    </row>
    <row r="4176" spans="12:12">
      <c r="L4176" s="1248"/>
    </row>
    <row r="4177" spans="12:12">
      <c r="L4177" s="1248"/>
    </row>
    <row r="4178" spans="12:12">
      <c r="L4178" s="1248"/>
    </row>
    <row r="4179" spans="12:12">
      <c r="L4179" s="1248"/>
    </row>
    <row r="4180" spans="12:12">
      <c r="L4180" s="1248"/>
    </row>
    <row r="4181" spans="12:12">
      <c r="L4181" s="1248"/>
    </row>
    <row r="4182" spans="12:12">
      <c r="L4182" s="1248"/>
    </row>
    <row r="4183" spans="12:12">
      <c r="L4183" s="1248"/>
    </row>
    <row r="4184" spans="12:12">
      <c r="L4184" s="1248"/>
    </row>
    <row r="4185" spans="12:12">
      <c r="L4185" s="1248"/>
    </row>
    <row r="4186" spans="12:12">
      <c r="L4186" s="1248"/>
    </row>
    <row r="4187" spans="12:12">
      <c r="L4187" s="1248"/>
    </row>
    <row r="4188" spans="12:12">
      <c r="L4188" s="1248"/>
    </row>
    <row r="4189" spans="12:12">
      <c r="L4189" s="1248"/>
    </row>
    <row r="4190" spans="12:12">
      <c r="L4190" s="1248"/>
    </row>
    <row r="4191" spans="12:12">
      <c r="L4191" s="1248"/>
    </row>
    <row r="4192" spans="12:12">
      <c r="L4192" s="1248"/>
    </row>
    <row r="4193" spans="12:12">
      <c r="L4193" s="1248"/>
    </row>
    <row r="4194" spans="12:12">
      <c r="L4194" s="1248"/>
    </row>
    <row r="4195" spans="12:12">
      <c r="L4195" s="1248"/>
    </row>
    <row r="4196" spans="12:12">
      <c r="L4196" s="1248"/>
    </row>
    <row r="4197" spans="12:12">
      <c r="L4197" s="1248"/>
    </row>
    <row r="4198" spans="12:12">
      <c r="L4198" s="1248"/>
    </row>
    <row r="4199" spans="12:12">
      <c r="L4199" s="1248"/>
    </row>
    <row r="4200" spans="12:12">
      <c r="L4200" s="1248"/>
    </row>
    <row r="4201" spans="12:12">
      <c r="L4201" s="1248"/>
    </row>
    <row r="4202" spans="12:12">
      <c r="L4202" s="1248"/>
    </row>
    <row r="4203" spans="12:12">
      <c r="L4203" s="1248"/>
    </row>
    <row r="4204" spans="12:12">
      <c r="L4204" s="1248"/>
    </row>
    <row r="4205" spans="12:12">
      <c r="L4205" s="1248"/>
    </row>
    <row r="4206" spans="12:12">
      <c r="L4206" s="1248"/>
    </row>
    <row r="4207" spans="12:12">
      <c r="L4207" s="1248"/>
    </row>
    <row r="4208" spans="12:12">
      <c r="L4208" s="1248"/>
    </row>
    <row r="4209" spans="12:12">
      <c r="L4209" s="1248"/>
    </row>
    <row r="4210" spans="12:12">
      <c r="L4210" s="1248"/>
    </row>
    <row r="4211" spans="12:12">
      <c r="L4211" s="1248"/>
    </row>
    <row r="4212" spans="12:12">
      <c r="L4212" s="1248"/>
    </row>
    <row r="4213" spans="12:12">
      <c r="L4213" s="1248"/>
    </row>
    <row r="4214" spans="12:12">
      <c r="L4214" s="1248"/>
    </row>
    <row r="4215" spans="12:12">
      <c r="L4215" s="1248"/>
    </row>
    <row r="4216" spans="12:12">
      <c r="L4216" s="1248"/>
    </row>
    <row r="4217" spans="12:12">
      <c r="L4217" s="1248"/>
    </row>
    <row r="4218" spans="12:12">
      <c r="L4218" s="1248"/>
    </row>
    <row r="4219" spans="12:12">
      <c r="L4219" s="1248"/>
    </row>
    <row r="4220" spans="12:12">
      <c r="L4220" s="1248"/>
    </row>
    <row r="4221" spans="12:12">
      <c r="L4221" s="1248"/>
    </row>
    <row r="4222" spans="12:12">
      <c r="L4222" s="1248"/>
    </row>
    <row r="4223" spans="12:12">
      <c r="L4223" s="1248"/>
    </row>
    <row r="4224" spans="12:12">
      <c r="L4224" s="1248"/>
    </row>
    <row r="4225" spans="12:12">
      <c r="L4225" s="1248"/>
    </row>
    <row r="4226" spans="12:12">
      <c r="L4226" s="1248"/>
    </row>
    <row r="4227" spans="12:12">
      <c r="L4227" s="1248"/>
    </row>
    <row r="4228" spans="12:12">
      <c r="L4228" s="1248"/>
    </row>
    <row r="4229" spans="12:12">
      <c r="L4229" s="1248"/>
    </row>
    <row r="4230" spans="12:12">
      <c r="L4230" s="1248"/>
    </row>
    <row r="4231" spans="12:12">
      <c r="L4231" s="1248"/>
    </row>
    <row r="4232" spans="12:12">
      <c r="L4232" s="1248"/>
    </row>
    <row r="4233" spans="12:12">
      <c r="L4233" s="1248"/>
    </row>
    <row r="4234" spans="12:12">
      <c r="L4234" s="1248"/>
    </row>
    <row r="4235" spans="12:12">
      <c r="L4235" s="1248"/>
    </row>
    <row r="4236" spans="12:12">
      <c r="L4236" s="1248"/>
    </row>
    <row r="4237" spans="12:12">
      <c r="L4237" s="1248"/>
    </row>
    <row r="4238" spans="12:12">
      <c r="L4238" s="1248"/>
    </row>
    <row r="4239" spans="12:12">
      <c r="L4239" s="1248"/>
    </row>
    <row r="4240" spans="12:12">
      <c r="L4240" s="1248"/>
    </row>
    <row r="4241" spans="12:12">
      <c r="L4241" s="1248"/>
    </row>
    <row r="4242" spans="12:12">
      <c r="L4242" s="1248"/>
    </row>
    <row r="4243" spans="12:12">
      <c r="L4243" s="1248"/>
    </row>
    <row r="4244" spans="12:12">
      <c r="L4244" s="1248"/>
    </row>
    <row r="4245" spans="12:12">
      <c r="L4245" s="1248"/>
    </row>
    <row r="4246" spans="12:12">
      <c r="L4246" s="1248"/>
    </row>
    <row r="4247" spans="12:12">
      <c r="L4247" s="1248"/>
    </row>
    <row r="4248" spans="12:12">
      <c r="L4248" s="1248"/>
    </row>
    <row r="4249" spans="12:12">
      <c r="L4249" s="1248"/>
    </row>
    <row r="4250" spans="12:12">
      <c r="L4250" s="1248"/>
    </row>
    <row r="4251" spans="12:12">
      <c r="L4251" s="1248"/>
    </row>
    <row r="4252" spans="12:12">
      <c r="L4252" s="1248"/>
    </row>
    <row r="4253" spans="12:12">
      <c r="L4253" s="1248"/>
    </row>
    <row r="4254" spans="12:12">
      <c r="L4254" s="1248"/>
    </row>
    <row r="4255" spans="12:12">
      <c r="L4255" s="1248"/>
    </row>
    <row r="4256" spans="12:12">
      <c r="L4256" s="1248"/>
    </row>
    <row r="4257" spans="12:12">
      <c r="L4257" s="1248"/>
    </row>
    <row r="4258" spans="12:12">
      <c r="L4258" s="1248"/>
    </row>
    <row r="4259" spans="12:12">
      <c r="L4259" s="1248"/>
    </row>
    <row r="4260" spans="12:12">
      <c r="L4260" s="1248"/>
    </row>
    <row r="4261" spans="12:12">
      <c r="L4261" s="1248"/>
    </row>
    <row r="4262" spans="12:12">
      <c r="L4262" s="1248"/>
    </row>
    <row r="4263" spans="12:12">
      <c r="L4263" s="1248"/>
    </row>
    <row r="4264" spans="12:12">
      <c r="L4264" s="1248"/>
    </row>
    <row r="4265" spans="12:12">
      <c r="L4265" s="1248"/>
    </row>
    <row r="4266" spans="12:12">
      <c r="L4266" s="1248"/>
    </row>
    <row r="4267" spans="12:12">
      <c r="L4267" s="1248"/>
    </row>
    <row r="4268" spans="12:12">
      <c r="L4268" s="1248"/>
    </row>
    <row r="4269" spans="12:12">
      <c r="L4269" s="1248"/>
    </row>
    <row r="4270" spans="12:12">
      <c r="L4270" s="1248"/>
    </row>
    <row r="4271" spans="12:12">
      <c r="L4271" s="1248"/>
    </row>
    <row r="4272" spans="12:12">
      <c r="L4272" s="1248"/>
    </row>
    <row r="4273" spans="12:12">
      <c r="L4273" s="1248"/>
    </row>
    <row r="4274" spans="12:12">
      <c r="L4274" s="1248"/>
    </row>
    <row r="4275" spans="12:12">
      <c r="L4275" s="1248"/>
    </row>
    <row r="4276" spans="12:12">
      <c r="L4276" s="1248"/>
    </row>
    <row r="4277" spans="12:12">
      <c r="L4277" s="1248"/>
    </row>
    <row r="4278" spans="12:12">
      <c r="L4278" s="1248"/>
    </row>
    <row r="4279" spans="12:12">
      <c r="L4279" s="1248"/>
    </row>
    <row r="4280" spans="12:12">
      <c r="L4280" s="1248"/>
    </row>
    <row r="4281" spans="12:12">
      <c r="L4281" s="1248"/>
    </row>
    <row r="4282" spans="12:12">
      <c r="L4282" s="1248"/>
    </row>
    <row r="4283" spans="12:12">
      <c r="L4283" s="1248"/>
    </row>
    <row r="4284" spans="12:12">
      <c r="L4284" s="1248"/>
    </row>
    <row r="4285" spans="12:12">
      <c r="L4285" s="1248"/>
    </row>
    <row r="4286" spans="12:12">
      <c r="L4286" s="1248"/>
    </row>
    <row r="4287" spans="12:12">
      <c r="L4287" s="1248"/>
    </row>
    <row r="4288" spans="12:12">
      <c r="L4288" s="1248"/>
    </row>
    <row r="4289" spans="12:12">
      <c r="L4289" s="1248"/>
    </row>
    <row r="4290" spans="12:12">
      <c r="L4290" s="1248"/>
    </row>
    <row r="4291" spans="12:12">
      <c r="L4291" s="1248"/>
    </row>
    <row r="4292" spans="12:12">
      <c r="L4292" s="1248"/>
    </row>
    <row r="4293" spans="12:12">
      <c r="L4293" s="1248"/>
    </row>
    <row r="4294" spans="12:12">
      <c r="L4294" s="1248"/>
    </row>
    <row r="4295" spans="12:12">
      <c r="L4295" s="1248"/>
    </row>
    <row r="4296" spans="12:12">
      <c r="L4296" s="1248"/>
    </row>
    <row r="4297" spans="12:12">
      <c r="L4297" s="1248"/>
    </row>
    <row r="4298" spans="12:12">
      <c r="L4298" s="1248"/>
    </row>
    <row r="4299" spans="12:12">
      <c r="L4299" s="1248"/>
    </row>
    <row r="4300" spans="12:12">
      <c r="L4300" s="1248"/>
    </row>
    <row r="4301" spans="12:12">
      <c r="L4301" s="1248"/>
    </row>
    <row r="4302" spans="12:12">
      <c r="L4302" s="1248"/>
    </row>
    <row r="4303" spans="12:12">
      <c r="L4303" s="1248"/>
    </row>
    <row r="4304" spans="12:12">
      <c r="L4304" s="1248"/>
    </row>
    <row r="4305" spans="12:12">
      <c r="L4305" s="1248"/>
    </row>
    <row r="4306" spans="12:12">
      <c r="L4306" s="1248"/>
    </row>
    <row r="4307" spans="12:12">
      <c r="L4307" s="1248"/>
    </row>
    <row r="4308" spans="12:12">
      <c r="L4308" s="1248"/>
    </row>
    <row r="4309" spans="12:12">
      <c r="L4309" s="1248"/>
    </row>
    <row r="4310" spans="12:12">
      <c r="L4310" s="1248"/>
    </row>
    <row r="4311" spans="12:12">
      <c r="L4311" s="1248"/>
    </row>
    <row r="4312" spans="12:12">
      <c r="L4312" s="1248"/>
    </row>
    <row r="4313" spans="12:12">
      <c r="L4313" s="1248"/>
    </row>
    <row r="4314" spans="12:12">
      <c r="L4314" s="1248"/>
    </row>
    <row r="4315" spans="12:12">
      <c r="L4315" s="1248"/>
    </row>
    <row r="4316" spans="12:12">
      <c r="L4316" s="1248"/>
    </row>
    <row r="4317" spans="12:12">
      <c r="L4317" s="1248"/>
    </row>
    <row r="4318" spans="12:12">
      <c r="L4318" s="1248"/>
    </row>
    <row r="4319" spans="12:12">
      <c r="L4319" s="1248"/>
    </row>
    <row r="4320" spans="12:12">
      <c r="L4320" s="1248"/>
    </row>
    <row r="4321" spans="12:12">
      <c r="L4321" s="1248"/>
    </row>
    <row r="4322" spans="12:12">
      <c r="L4322" s="1248"/>
    </row>
    <row r="4323" spans="12:12">
      <c r="L4323" s="1248"/>
    </row>
    <row r="4324" spans="12:12">
      <c r="L4324" s="1248"/>
    </row>
    <row r="4325" spans="12:12">
      <c r="L4325" s="1248"/>
    </row>
    <row r="4326" spans="12:12">
      <c r="L4326" s="1248"/>
    </row>
    <row r="4327" spans="12:12">
      <c r="L4327" s="1248"/>
    </row>
    <row r="4328" spans="12:12">
      <c r="L4328" s="1248"/>
    </row>
    <row r="4329" spans="12:12">
      <c r="L4329" s="1248"/>
    </row>
    <row r="4330" spans="12:12">
      <c r="L4330" s="1248"/>
    </row>
    <row r="4331" spans="12:12">
      <c r="L4331" s="1248"/>
    </row>
    <row r="4332" spans="12:12">
      <c r="L4332" s="1248"/>
    </row>
    <row r="4333" spans="12:12">
      <c r="L4333" s="1248"/>
    </row>
    <row r="4334" spans="12:12">
      <c r="L4334" s="1248"/>
    </row>
    <row r="4335" spans="12:12">
      <c r="L4335" s="1248"/>
    </row>
    <row r="4336" spans="12:12">
      <c r="L4336" s="1248"/>
    </row>
    <row r="4337" spans="12:12">
      <c r="L4337" s="1248"/>
    </row>
    <row r="4338" spans="12:12">
      <c r="L4338" s="1248"/>
    </row>
    <row r="4339" spans="12:12">
      <c r="L4339" s="1248"/>
    </row>
    <row r="4340" spans="12:12">
      <c r="L4340" s="1248"/>
    </row>
    <row r="4341" spans="12:12">
      <c r="L4341" s="1248"/>
    </row>
    <row r="4342" spans="12:12">
      <c r="L4342" s="1248"/>
    </row>
    <row r="4343" spans="12:12">
      <c r="L4343" s="1248"/>
    </row>
    <row r="4344" spans="12:12">
      <c r="L4344" s="1248"/>
    </row>
    <row r="4345" spans="12:12">
      <c r="L4345" s="1248"/>
    </row>
    <row r="4346" spans="12:12">
      <c r="L4346" s="1248"/>
    </row>
    <row r="4347" spans="12:12">
      <c r="L4347" s="1248"/>
    </row>
    <row r="4348" spans="12:12">
      <c r="L4348" s="1248"/>
    </row>
    <row r="4349" spans="12:12">
      <c r="L4349" s="1248"/>
    </row>
    <row r="4350" spans="12:12">
      <c r="L4350" s="1248"/>
    </row>
    <row r="4351" spans="12:12">
      <c r="L4351" s="1248"/>
    </row>
    <row r="4352" spans="12:12">
      <c r="L4352" s="1248"/>
    </row>
    <row r="4353" spans="12:12">
      <c r="L4353" s="1248"/>
    </row>
    <row r="4354" spans="12:12">
      <c r="L4354" s="1248"/>
    </row>
    <row r="4355" spans="12:12">
      <c r="L4355" s="1248"/>
    </row>
    <row r="4356" spans="12:12">
      <c r="L4356" s="1248"/>
    </row>
    <row r="4357" spans="12:12">
      <c r="L4357" s="1248"/>
    </row>
    <row r="4358" spans="12:12">
      <c r="L4358" s="1248"/>
    </row>
    <row r="4359" spans="12:12">
      <c r="L4359" s="1248"/>
    </row>
    <row r="4360" spans="12:12">
      <c r="L4360" s="1248"/>
    </row>
    <row r="4361" spans="12:12">
      <c r="L4361" s="1248"/>
    </row>
    <row r="4362" spans="12:12">
      <c r="L4362" s="1248"/>
    </row>
    <row r="4363" spans="12:12">
      <c r="L4363" s="1248"/>
    </row>
    <row r="4364" spans="12:12">
      <c r="L4364" s="1248"/>
    </row>
    <row r="4365" spans="12:12">
      <c r="L4365" s="1248"/>
    </row>
    <row r="4366" spans="12:12">
      <c r="L4366" s="1248"/>
    </row>
    <row r="4367" spans="12:12">
      <c r="L4367" s="1248"/>
    </row>
    <row r="4368" spans="12:12">
      <c r="L4368" s="1248"/>
    </row>
    <row r="4369" spans="12:12">
      <c r="L4369" s="1248"/>
    </row>
    <row r="4370" spans="12:12">
      <c r="L4370" s="1248"/>
    </row>
    <row r="4371" spans="12:12">
      <c r="L4371" s="1248"/>
    </row>
    <row r="4372" spans="12:12">
      <c r="L4372" s="1248"/>
    </row>
    <row r="4373" spans="12:12">
      <c r="L4373" s="1248"/>
    </row>
    <row r="4374" spans="12:12">
      <c r="L4374" s="1248"/>
    </row>
    <row r="4375" spans="12:12">
      <c r="L4375" s="1248"/>
    </row>
    <row r="4376" spans="12:12">
      <c r="L4376" s="1248"/>
    </row>
    <row r="4377" spans="12:12">
      <c r="L4377" s="1248"/>
    </row>
    <row r="4378" spans="12:12">
      <c r="L4378" s="1248"/>
    </row>
    <row r="4379" spans="12:12">
      <c r="L4379" s="1248"/>
    </row>
    <row r="4380" spans="12:12">
      <c r="L4380" s="1248"/>
    </row>
    <row r="4381" spans="12:12">
      <c r="L4381" s="1248"/>
    </row>
    <row r="4382" spans="12:12">
      <c r="L4382" s="1248"/>
    </row>
    <row r="4383" spans="12:12">
      <c r="L4383" s="1248"/>
    </row>
    <row r="4384" spans="12:12">
      <c r="L4384" s="1248"/>
    </row>
    <row r="4385" spans="12:12">
      <c r="L4385" s="1248"/>
    </row>
    <row r="4386" spans="12:12">
      <c r="L4386" s="1248"/>
    </row>
    <row r="4387" spans="12:12">
      <c r="L4387" s="1248"/>
    </row>
    <row r="4388" spans="12:12">
      <c r="L4388" s="1248"/>
    </row>
    <row r="4389" spans="12:12">
      <c r="L4389" s="1248"/>
    </row>
    <row r="4390" spans="12:12">
      <c r="L4390" s="1248"/>
    </row>
    <row r="4391" spans="12:12">
      <c r="L4391" s="1248"/>
    </row>
    <row r="4392" spans="12:12">
      <c r="L4392" s="1248"/>
    </row>
    <row r="4393" spans="12:12">
      <c r="L4393" s="1248"/>
    </row>
    <row r="4394" spans="12:12">
      <c r="L4394" s="1248"/>
    </row>
    <row r="4395" spans="12:12">
      <c r="L4395" s="1248"/>
    </row>
    <row r="4396" spans="12:12">
      <c r="L4396" s="1248"/>
    </row>
    <row r="4397" spans="12:12">
      <c r="L4397" s="1248"/>
    </row>
    <row r="4398" spans="12:12">
      <c r="L4398" s="1248"/>
    </row>
    <row r="4399" spans="12:12">
      <c r="L4399" s="1248"/>
    </row>
    <row r="4400" spans="12:12">
      <c r="L4400" s="1248"/>
    </row>
    <row r="4401" spans="12:12">
      <c r="L4401" s="1248"/>
    </row>
    <row r="4402" spans="12:12">
      <c r="L4402" s="1248"/>
    </row>
    <row r="4403" spans="12:12">
      <c r="L4403" s="1248"/>
    </row>
    <row r="4404" spans="12:12">
      <c r="L4404" s="1248"/>
    </row>
    <row r="4405" spans="12:12">
      <c r="L4405" s="1248"/>
    </row>
    <row r="4406" spans="12:12">
      <c r="L4406" s="1248"/>
    </row>
    <row r="4407" spans="12:12">
      <c r="L4407" s="1248"/>
    </row>
    <row r="4408" spans="12:12">
      <c r="L4408" s="1248"/>
    </row>
    <row r="4409" spans="12:12">
      <c r="L4409" s="1248"/>
    </row>
    <row r="4410" spans="12:12">
      <c r="L4410" s="1248"/>
    </row>
    <row r="4411" spans="12:12">
      <c r="L4411" s="1248"/>
    </row>
    <row r="4412" spans="12:12">
      <c r="L4412" s="1248"/>
    </row>
    <row r="4413" spans="12:12">
      <c r="L4413" s="1248"/>
    </row>
    <row r="4414" spans="12:12">
      <c r="L4414" s="1248"/>
    </row>
    <row r="4415" spans="12:12">
      <c r="L4415" s="1248"/>
    </row>
    <row r="4416" spans="12:12">
      <c r="L4416" s="1248"/>
    </row>
    <row r="4417" spans="12:12">
      <c r="L4417" s="1248"/>
    </row>
    <row r="4418" spans="12:12">
      <c r="L4418" s="1248"/>
    </row>
    <row r="4419" spans="12:12">
      <c r="L4419" s="1248"/>
    </row>
    <row r="4420" spans="12:12">
      <c r="L4420" s="1248"/>
    </row>
    <row r="4421" spans="12:12">
      <c r="L4421" s="1248"/>
    </row>
    <row r="4422" spans="12:12">
      <c r="L4422" s="1248"/>
    </row>
    <row r="4423" spans="12:12">
      <c r="L4423" s="1248"/>
    </row>
    <row r="4424" spans="12:12">
      <c r="L4424" s="1248"/>
    </row>
    <row r="4425" spans="12:12">
      <c r="L4425" s="1248"/>
    </row>
    <row r="4426" spans="12:12">
      <c r="L4426" s="1248"/>
    </row>
    <row r="4427" spans="12:12">
      <c r="L4427" s="1248"/>
    </row>
    <row r="4428" spans="12:12">
      <c r="L4428" s="1248"/>
    </row>
    <row r="4429" spans="12:12">
      <c r="L4429" s="1248"/>
    </row>
    <row r="4430" spans="12:12">
      <c r="L4430" s="1248"/>
    </row>
    <row r="4431" spans="12:12">
      <c r="L4431" s="1248"/>
    </row>
    <row r="4432" spans="12:12">
      <c r="L4432" s="1248"/>
    </row>
    <row r="4433" spans="12:12">
      <c r="L4433" s="1248"/>
    </row>
    <row r="4434" spans="12:12">
      <c r="L4434" s="1248"/>
    </row>
    <row r="4435" spans="12:12">
      <c r="L4435" s="1248"/>
    </row>
    <row r="4436" spans="12:12">
      <c r="L4436" s="1248"/>
    </row>
    <row r="4437" spans="12:12">
      <c r="L4437" s="1248"/>
    </row>
    <row r="4438" spans="12:12">
      <c r="L4438" s="1248"/>
    </row>
    <row r="4439" spans="12:12">
      <c r="L4439" s="1248"/>
    </row>
    <row r="4440" spans="12:12">
      <c r="L4440" s="1248"/>
    </row>
    <row r="4441" spans="12:12">
      <c r="L4441" s="1248"/>
    </row>
    <row r="4442" spans="12:12">
      <c r="L4442" s="1248"/>
    </row>
    <row r="4443" spans="12:12">
      <c r="L4443" s="1248"/>
    </row>
    <row r="4444" spans="12:12">
      <c r="L4444" s="1248"/>
    </row>
    <row r="4445" spans="12:12">
      <c r="L4445" s="1248"/>
    </row>
    <row r="4446" spans="12:12">
      <c r="L4446" s="1248"/>
    </row>
    <row r="4447" spans="12:12">
      <c r="L4447" s="1248"/>
    </row>
    <row r="4448" spans="12:12">
      <c r="L4448" s="1248"/>
    </row>
    <row r="4449" spans="12:12">
      <c r="L4449" s="1248"/>
    </row>
    <row r="4450" spans="12:12">
      <c r="L4450" s="1248"/>
    </row>
    <row r="4451" spans="12:12">
      <c r="L4451" s="1248"/>
    </row>
    <row r="4452" spans="12:12">
      <c r="L4452" s="1248"/>
    </row>
    <row r="4453" spans="12:12">
      <c r="L4453" s="1248"/>
    </row>
    <row r="4454" spans="12:12">
      <c r="L4454" s="1248"/>
    </row>
    <row r="4455" spans="12:12">
      <c r="L4455" s="1248"/>
    </row>
    <row r="4456" spans="12:12">
      <c r="L4456" s="1248"/>
    </row>
    <row r="4457" spans="12:12">
      <c r="L4457" s="1248"/>
    </row>
    <row r="4458" spans="12:12">
      <c r="L4458" s="1248"/>
    </row>
    <row r="4459" spans="12:12">
      <c r="L4459" s="1248"/>
    </row>
    <row r="4460" spans="12:12">
      <c r="L4460" s="1248"/>
    </row>
    <row r="4461" spans="12:12">
      <c r="L4461" s="1248"/>
    </row>
    <row r="4462" spans="12:12">
      <c r="L4462" s="1248"/>
    </row>
    <row r="4463" spans="12:12">
      <c r="L4463" s="1248"/>
    </row>
    <row r="4464" spans="12:12">
      <c r="L4464" s="1248"/>
    </row>
    <row r="4465" spans="12:12">
      <c r="L4465" s="1248"/>
    </row>
    <row r="4466" spans="12:12">
      <c r="L4466" s="1248"/>
    </row>
    <row r="4467" spans="12:12">
      <c r="L4467" s="1248"/>
    </row>
    <row r="4468" spans="12:12">
      <c r="L4468" s="1248"/>
    </row>
    <row r="4469" spans="12:12">
      <c r="L4469" s="1248"/>
    </row>
    <row r="4470" spans="12:12">
      <c r="L4470" s="1248"/>
    </row>
    <row r="4471" spans="12:12">
      <c r="L4471" s="1248"/>
    </row>
    <row r="4472" spans="12:12">
      <c r="L4472" s="1248"/>
    </row>
    <row r="4473" spans="12:12">
      <c r="L4473" s="1248"/>
    </row>
    <row r="4474" spans="12:12">
      <c r="L4474" s="1248"/>
    </row>
    <row r="4475" spans="12:12">
      <c r="L4475" s="1248"/>
    </row>
    <row r="4476" spans="12:12">
      <c r="L4476" s="1248"/>
    </row>
    <row r="4477" spans="12:12">
      <c r="L4477" s="1248"/>
    </row>
    <row r="4478" spans="12:12">
      <c r="L4478" s="1248"/>
    </row>
    <row r="4479" spans="12:12">
      <c r="L4479" s="1248"/>
    </row>
    <row r="4480" spans="12:12">
      <c r="L4480" s="1248"/>
    </row>
    <row r="4481" spans="12:12">
      <c r="L4481" s="1248"/>
    </row>
    <row r="4482" spans="12:12">
      <c r="L4482" s="1248"/>
    </row>
    <row r="4483" spans="12:12">
      <c r="L4483" s="1248"/>
    </row>
    <row r="4484" spans="12:12">
      <c r="L4484" s="1248"/>
    </row>
    <row r="4485" spans="12:12">
      <c r="L4485" s="1248"/>
    </row>
    <row r="4486" spans="12:12">
      <c r="L4486" s="1248"/>
    </row>
    <row r="4487" spans="12:12">
      <c r="L4487" s="1248"/>
    </row>
    <row r="4488" spans="12:12">
      <c r="L4488" s="1248"/>
    </row>
    <row r="4489" spans="12:12">
      <c r="L4489" s="1248"/>
    </row>
    <row r="4490" spans="12:12">
      <c r="L4490" s="1248"/>
    </row>
    <row r="4491" spans="12:12">
      <c r="L4491" s="1248"/>
    </row>
    <row r="4492" spans="12:12">
      <c r="L4492" s="1248"/>
    </row>
    <row r="4493" spans="12:12">
      <c r="L4493" s="1248"/>
    </row>
    <row r="4494" spans="12:12">
      <c r="L4494" s="1248"/>
    </row>
    <row r="4495" spans="12:12">
      <c r="L4495" s="1248"/>
    </row>
    <row r="4496" spans="12:12">
      <c r="L4496" s="1248"/>
    </row>
    <row r="4497" spans="12:12">
      <c r="L4497" s="1248"/>
    </row>
    <row r="4498" spans="12:12">
      <c r="L4498" s="1248"/>
    </row>
    <row r="4499" spans="12:12">
      <c r="L4499" s="1248"/>
    </row>
    <row r="4500" spans="12:12">
      <c r="L4500" s="1248"/>
    </row>
    <row r="4501" spans="12:12">
      <c r="L4501" s="1248"/>
    </row>
    <row r="4502" spans="12:12">
      <c r="L4502" s="1248"/>
    </row>
    <row r="4503" spans="12:12">
      <c r="L4503" s="1248"/>
    </row>
    <row r="4504" spans="12:12">
      <c r="L4504" s="1248"/>
    </row>
    <row r="4505" spans="12:12">
      <c r="L4505" s="1248"/>
    </row>
    <row r="4506" spans="12:12">
      <c r="L4506" s="1248"/>
    </row>
    <row r="4507" spans="12:12">
      <c r="L4507" s="1248"/>
    </row>
    <row r="4508" spans="12:12">
      <c r="L4508" s="1248"/>
    </row>
    <row r="4509" spans="12:12">
      <c r="L4509" s="1248"/>
    </row>
    <row r="4510" spans="12:12">
      <c r="L4510" s="1248"/>
    </row>
    <row r="4511" spans="12:12">
      <c r="L4511" s="1248"/>
    </row>
    <row r="4512" spans="12:12">
      <c r="L4512" s="1248"/>
    </row>
    <row r="4513" spans="12:12">
      <c r="L4513" s="1248"/>
    </row>
    <row r="4514" spans="12:12">
      <c r="L4514" s="1248"/>
    </row>
    <row r="4515" spans="12:12">
      <c r="L4515" s="1248"/>
    </row>
    <row r="4516" spans="12:12">
      <c r="L4516" s="1248"/>
    </row>
    <row r="4517" spans="12:12">
      <c r="L4517" s="1248"/>
    </row>
    <row r="4518" spans="12:12">
      <c r="L4518" s="1248"/>
    </row>
    <row r="4519" spans="12:12">
      <c r="L4519" s="1248"/>
    </row>
    <row r="4520" spans="12:12">
      <c r="L4520" s="1248"/>
    </row>
    <row r="4521" spans="12:12">
      <c r="L4521" s="1248"/>
    </row>
    <row r="4522" spans="12:12">
      <c r="L4522" s="1248"/>
    </row>
    <row r="4523" spans="12:12">
      <c r="L4523" s="1248"/>
    </row>
    <row r="4524" spans="12:12">
      <c r="L4524" s="1248"/>
    </row>
    <row r="4525" spans="12:12">
      <c r="L4525" s="1248"/>
    </row>
    <row r="4526" spans="12:12">
      <c r="L4526" s="1248"/>
    </row>
    <row r="4527" spans="12:12">
      <c r="L4527" s="1248"/>
    </row>
    <row r="4528" spans="12:12">
      <c r="L4528" s="1248"/>
    </row>
    <row r="4529" spans="12:12">
      <c r="L4529" s="1248"/>
    </row>
    <row r="4530" spans="12:12">
      <c r="L4530" s="1248"/>
    </row>
    <row r="4531" spans="12:12">
      <c r="L4531" s="1248"/>
    </row>
    <row r="4532" spans="12:12">
      <c r="L4532" s="1248"/>
    </row>
    <row r="4533" spans="12:12">
      <c r="L4533" s="1248"/>
    </row>
    <row r="4534" spans="12:12">
      <c r="L4534" s="1248"/>
    </row>
    <row r="4535" spans="12:12">
      <c r="L4535" s="1248"/>
    </row>
    <row r="4536" spans="12:12">
      <c r="L4536" s="1248"/>
    </row>
    <row r="4537" spans="12:12">
      <c r="L4537" s="1248"/>
    </row>
    <row r="4538" spans="12:12">
      <c r="L4538" s="1248"/>
    </row>
    <row r="4539" spans="12:12">
      <c r="L4539" s="1248"/>
    </row>
    <row r="4540" spans="12:12">
      <c r="L4540" s="1248"/>
    </row>
    <row r="4541" spans="12:12">
      <c r="L4541" s="1248"/>
    </row>
    <row r="4542" spans="12:12">
      <c r="L4542" s="1248"/>
    </row>
    <row r="4543" spans="12:12">
      <c r="L4543" s="1248"/>
    </row>
    <row r="4544" spans="12:12">
      <c r="L4544" s="1248"/>
    </row>
    <row r="4545" spans="12:12">
      <c r="L4545" s="1248"/>
    </row>
    <row r="4546" spans="12:12">
      <c r="L4546" s="1248"/>
    </row>
    <row r="4547" spans="12:12">
      <c r="L4547" s="1248"/>
    </row>
    <row r="4548" spans="12:12">
      <c r="L4548" s="1248"/>
    </row>
    <row r="4549" spans="12:12">
      <c r="L4549" s="1248"/>
    </row>
    <row r="4550" spans="12:12">
      <c r="L4550" s="1248"/>
    </row>
    <row r="4551" spans="12:12">
      <c r="L4551" s="1248"/>
    </row>
    <row r="4552" spans="12:12">
      <c r="L4552" s="1248"/>
    </row>
    <row r="4553" spans="12:12">
      <c r="L4553" s="1248"/>
    </row>
    <row r="4554" spans="12:12">
      <c r="L4554" s="1248"/>
    </row>
    <row r="4555" spans="12:12">
      <c r="L4555" s="1248"/>
    </row>
    <row r="4556" spans="12:12">
      <c r="L4556" s="1248"/>
    </row>
    <row r="4557" spans="12:12">
      <c r="L4557" s="1248"/>
    </row>
    <row r="4558" spans="12:12">
      <c r="L4558" s="1248"/>
    </row>
    <row r="4559" spans="12:12">
      <c r="L4559" s="1248"/>
    </row>
    <row r="4560" spans="12:12">
      <c r="L4560" s="1248"/>
    </row>
    <row r="4561" spans="12:12">
      <c r="L4561" s="1248"/>
    </row>
    <row r="4562" spans="12:12">
      <c r="L4562" s="1248"/>
    </row>
    <row r="4563" spans="12:12">
      <c r="L4563" s="1248"/>
    </row>
    <row r="4564" spans="12:12">
      <c r="L4564" s="1248"/>
    </row>
    <row r="4565" spans="12:12">
      <c r="L4565" s="1248"/>
    </row>
    <row r="4566" spans="12:12">
      <c r="L4566" s="1248"/>
    </row>
    <row r="4567" spans="12:12">
      <c r="L4567" s="1248"/>
    </row>
    <row r="4568" spans="12:12">
      <c r="L4568" s="1248"/>
    </row>
    <row r="4569" spans="12:12">
      <c r="L4569" s="1248"/>
    </row>
    <row r="4570" spans="12:12">
      <c r="L4570" s="1248"/>
    </row>
    <row r="4571" spans="12:12">
      <c r="L4571" s="1248"/>
    </row>
    <row r="4572" spans="12:12">
      <c r="L4572" s="1248"/>
    </row>
    <row r="4573" spans="12:12">
      <c r="L4573" s="1248"/>
    </row>
    <row r="4574" spans="12:12">
      <c r="L4574" s="1248"/>
    </row>
    <row r="4575" spans="12:12">
      <c r="L4575" s="1248"/>
    </row>
    <row r="4576" spans="12:12">
      <c r="L4576" s="1248"/>
    </row>
    <row r="4577" spans="12:12">
      <c r="L4577" s="1248"/>
    </row>
    <row r="4578" spans="12:12">
      <c r="L4578" s="1248"/>
    </row>
    <row r="4579" spans="12:12">
      <c r="L4579" s="1248"/>
    </row>
    <row r="4580" spans="12:12">
      <c r="L4580" s="1248"/>
    </row>
    <row r="4581" spans="12:12">
      <c r="L4581" s="1248"/>
    </row>
    <row r="4582" spans="12:12">
      <c r="L4582" s="1248"/>
    </row>
    <row r="4583" spans="12:12">
      <c r="L4583" s="1248"/>
    </row>
    <row r="4584" spans="12:12">
      <c r="L4584" s="1248"/>
    </row>
    <row r="4585" spans="12:12">
      <c r="L4585" s="1248"/>
    </row>
    <row r="4586" spans="12:12">
      <c r="L4586" s="1248"/>
    </row>
    <row r="4587" spans="12:12">
      <c r="L4587" s="1248"/>
    </row>
    <row r="4588" spans="12:12">
      <c r="L4588" s="1248"/>
    </row>
    <row r="4589" spans="12:12">
      <c r="L4589" s="1248"/>
    </row>
    <row r="4590" spans="12:12">
      <c r="L4590" s="1248"/>
    </row>
    <row r="4591" spans="12:12">
      <c r="L4591" s="1248"/>
    </row>
    <row r="4592" spans="12:12">
      <c r="L4592" s="1248"/>
    </row>
    <row r="4593" spans="12:12">
      <c r="L4593" s="1248"/>
    </row>
    <row r="4594" spans="12:12">
      <c r="L4594" s="1248"/>
    </row>
    <row r="4595" spans="12:12">
      <c r="L4595" s="1248"/>
    </row>
    <row r="4596" spans="12:12">
      <c r="L4596" s="1248"/>
    </row>
    <row r="4597" spans="12:12">
      <c r="L4597" s="1248"/>
    </row>
    <row r="4598" spans="12:12">
      <c r="L4598" s="1248"/>
    </row>
    <row r="4599" spans="12:12">
      <c r="L4599" s="1248"/>
    </row>
    <row r="4600" spans="12:12">
      <c r="L4600" s="1248"/>
    </row>
    <row r="4601" spans="12:12">
      <c r="L4601" s="1248"/>
    </row>
    <row r="4602" spans="12:12">
      <c r="L4602" s="1248"/>
    </row>
    <row r="4603" spans="12:12">
      <c r="L4603" s="1248"/>
    </row>
    <row r="4604" spans="12:12">
      <c r="L4604" s="1248"/>
    </row>
    <row r="4605" spans="12:12">
      <c r="L4605" s="1248"/>
    </row>
    <row r="4606" spans="12:12">
      <c r="L4606" s="1248"/>
    </row>
    <row r="4607" spans="12:12">
      <c r="L4607" s="1248"/>
    </row>
    <row r="4608" spans="12:12">
      <c r="L4608" s="1248"/>
    </row>
    <row r="4609" spans="12:12">
      <c r="L4609" s="1248"/>
    </row>
    <row r="4610" spans="12:12">
      <c r="L4610" s="1248"/>
    </row>
    <row r="4611" spans="12:12">
      <c r="L4611" s="1248"/>
    </row>
    <row r="4612" spans="12:12">
      <c r="L4612" s="1248"/>
    </row>
    <row r="4613" spans="12:12">
      <c r="L4613" s="1248"/>
    </row>
    <row r="4614" spans="12:12">
      <c r="L4614" s="1248"/>
    </row>
    <row r="4615" spans="12:12">
      <c r="L4615" s="1248"/>
    </row>
    <row r="4616" spans="12:12">
      <c r="L4616" s="1248"/>
    </row>
    <row r="4617" spans="12:12">
      <c r="L4617" s="1248"/>
    </row>
    <row r="4618" spans="12:12">
      <c r="L4618" s="1248"/>
    </row>
    <row r="4619" spans="12:12">
      <c r="L4619" s="1248"/>
    </row>
    <row r="4620" spans="12:12">
      <c r="L4620" s="1248"/>
    </row>
    <row r="4621" spans="12:12">
      <c r="L4621" s="1248"/>
    </row>
    <row r="4622" spans="12:12">
      <c r="L4622" s="1248"/>
    </row>
    <row r="4623" spans="12:12">
      <c r="L4623" s="1248"/>
    </row>
    <row r="4624" spans="12:12">
      <c r="L4624" s="1248"/>
    </row>
    <row r="4625" spans="12:12">
      <c r="L4625" s="1248"/>
    </row>
    <row r="4626" spans="12:12">
      <c r="L4626" s="1248"/>
    </row>
    <row r="4627" spans="12:12">
      <c r="L4627" s="1248"/>
    </row>
    <row r="4628" spans="12:12">
      <c r="L4628" s="1248"/>
    </row>
    <row r="4629" spans="12:12">
      <c r="L4629" s="1248"/>
    </row>
    <row r="4630" spans="12:12">
      <c r="L4630" s="1248"/>
    </row>
    <row r="4631" spans="12:12">
      <c r="L4631" s="1248"/>
    </row>
    <row r="4632" spans="12:12">
      <c r="L4632" s="1248"/>
    </row>
    <row r="4633" spans="12:12">
      <c r="L4633" s="1248"/>
    </row>
    <row r="4634" spans="12:12">
      <c r="L4634" s="1248"/>
    </row>
    <row r="4635" spans="12:12">
      <c r="L4635" s="1248"/>
    </row>
    <row r="4636" spans="12:12">
      <c r="L4636" s="1248"/>
    </row>
    <row r="4637" spans="12:12">
      <c r="L4637" s="1248"/>
    </row>
    <row r="4638" spans="12:12">
      <c r="L4638" s="1248"/>
    </row>
    <row r="4639" spans="12:12">
      <c r="L4639" s="1248"/>
    </row>
    <row r="4640" spans="12:12">
      <c r="L4640" s="1248"/>
    </row>
    <row r="4641" spans="12:12">
      <c r="L4641" s="1248"/>
    </row>
    <row r="4642" spans="12:12">
      <c r="L4642" s="1248"/>
    </row>
    <row r="4643" spans="12:12">
      <c r="L4643" s="1248"/>
    </row>
    <row r="4644" spans="12:12">
      <c r="L4644" s="1248"/>
    </row>
    <row r="4645" spans="12:12">
      <c r="L4645" s="1248"/>
    </row>
    <row r="4646" spans="12:12">
      <c r="L4646" s="1248"/>
    </row>
    <row r="4647" spans="12:12">
      <c r="L4647" s="1248"/>
    </row>
    <row r="4648" spans="12:12">
      <c r="L4648" s="1248"/>
    </row>
    <row r="4649" spans="12:12">
      <c r="L4649" s="1248"/>
    </row>
    <row r="4650" spans="12:12">
      <c r="L4650" s="1248"/>
    </row>
    <row r="4651" spans="12:12">
      <c r="L4651" s="1248"/>
    </row>
    <row r="4652" spans="12:12">
      <c r="L4652" s="1248"/>
    </row>
    <row r="4653" spans="12:12">
      <c r="L4653" s="1248"/>
    </row>
    <row r="4654" spans="12:12">
      <c r="L4654" s="1248"/>
    </row>
    <row r="4655" spans="12:12">
      <c r="L4655" s="1248"/>
    </row>
    <row r="4656" spans="12:12">
      <c r="L4656" s="1248"/>
    </row>
    <row r="4657" spans="12:12">
      <c r="L4657" s="1248"/>
    </row>
    <row r="4658" spans="12:12">
      <c r="L4658" s="1248"/>
    </row>
    <row r="4659" spans="12:12">
      <c r="L4659" s="1248"/>
    </row>
    <row r="4660" spans="12:12">
      <c r="L4660" s="1248"/>
    </row>
    <row r="4661" spans="12:12">
      <c r="L4661" s="1248"/>
    </row>
    <row r="4662" spans="12:12">
      <c r="L4662" s="1248"/>
    </row>
    <row r="4663" spans="12:12">
      <c r="L4663" s="1248"/>
    </row>
    <row r="4664" spans="12:12">
      <c r="L4664" s="1248"/>
    </row>
    <row r="4665" spans="12:12">
      <c r="L4665" s="1248"/>
    </row>
    <row r="4666" spans="12:12">
      <c r="L4666" s="1248"/>
    </row>
    <row r="4667" spans="12:12">
      <c r="L4667" s="1248"/>
    </row>
    <row r="4668" spans="12:12">
      <c r="L4668" s="1248"/>
    </row>
    <row r="4669" spans="12:12">
      <c r="L4669" s="1248"/>
    </row>
    <row r="4670" spans="12:12">
      <c r="L4670" s="1248"/>
    </row>
    <row r="4671" spans="12:12">
      <c r="L4671" s="1248"/>
    </row>
    <row r="4672" spans="12:12">
      <c r="L4672" s="1248"/>
    </row>
    <row r="4673" spans="12:12">
      <c r="L4673" s="1248"/>
    </row>
    <row r="4674" spans="12:12">
      <c r="L4674" s="1248"/>
    </row>
    <row r="4675" spans="12:12">
      <c r="L4675" s="1248"/>
    </row>
    <row r="4676" spans="12:12">
      <c r="L4676" s="1248"/>
    </row>
    <row r="4677" spans="12:12">
      <c r="L4677" s="1248"/>
    </row>
    <row r="4678" spans="12:12">
      <c r="L4678" s="1248"/>
    </row>
    <row r="4679" spans="12:12">
      <c r="L4679" s="1248"/>
    </row>
    <row r="4680" spans="12:12">
      <c r="L4680" s="1248"/>
    </row>
    <row r="4681" spans="12:12">
      <c r="L4681" s="1248"/>
    </row>
    <row r="4682" spans="12:12">
      <c r="L4682" s="1248"/>
    </row>
    <row r="4683" spans="12:12">
      <c r="L4683" s="1248"/>
    </row>
    <row r="4684" spans="12:12">
      <c r="L4684" s="1248"/>
    </row>
    <row r="4685" spans="12:12">
      <c r="L4685" s="1248"/>
    </row>
    <row r="4686" spans="12:12">
      <c r="L4686" s="1248"/>
    </row>
    <row r="4687" spans="12:12">
      <c r="L4687" s="1248"/>
    </row>
    <row r="4688" spans="12:12">
      <c r="L4688" s="1248"/>
    </row>
    <row r="4689" spans="12:12">
      <c r="L4689" s="1248"/>
    </row>
    <row r="4690" spans="12:12">
      <c r="L4690" s="1248"/>
    </row>
    <row r="4691" spans="12:12">
      <c r="L4691" s="1248"/>
    </row>
    <row r="4692" spans="12:12">
      <c r="L4692" s="1248"/>
    </row>
    <row r="4693" spans="12:12">
      <c r="L4693" s="1248"/>
    </row>
    <row r="4694" spans="12:12">
      <c r="L4694" s="1248"/>
    </row>
    <row r="4695" spans="12:12">
      <c r="L4695" s="1248"/>
    </row>
    <row r="4696" spans="12:12">
      <c r="L4696" s="1248"/>
    </row>
    <row r="4697" spans="12:12">
      <c r="L4697" s="1248"/>
    </row>
    <row r="4698" spans="12:12">
      <c r="L4698" s="1248"/>
    </row>
    <row r="4699" spans="12:12">
      <c r="L4699" s="1248"/>
    </row>
    <row r="4700" spans="12:12">
      <c r="L4700" s="1248"/>
    </row>
    <row r="4701" spans="12:12">
      <c r="L4701" s="1248"/>
    </row>
    <row r="4702" spans="12:12">
      <c r="L4702" s="1248"/>
    </row>
    <row r="4703" spans="12:12">
      <c r="L4703" s="1248"/>
    </row>
    <row r="4704" spans="12:12">
      <c r="L4704" s="1248"/>
    </row>
    <row r="4705" spans="12:12">
      <c r="L4705" s="1248"/>
    </row>
    <row r="4706" spans="12:12">
      <c r="L4706" s="1248"/>
    </row>
    <row r="4707" spans="12:12">
      <c r="L4707" s="1248"/>
    </row>
    <row r="4708" spans="12:12">
      <c r="L4708" s="1248"/>
    </row>
    <row r="4709" spans="12:12">
      <c r="L4709" s="1248"/>
    </row>
    <row r="4710" spans="12:12">
      <c r="L4710" s="1248"/>
    </row>
    <row r="4711" spans="12:12">
      <c r="L4711" s="1248"/>
    </row>
    <row r="4712" spans="12:12">
      <c r="L4712" s="1248"/>
    </row>
    <row r="4713" spans="12:12">
      <c r="L4713" s="1248"/>
    </row>
    <row r="4714" spans="12:12">
      <c r="L4714" s="1248"/>
    </row>
    <row r="4715" spans="12:12">
      <c r="L4715" s="1248"/>
    </row>
    <row r="4716" spans="12:12">
      <c r="L4716" s="1248"/>
    </row>
    <row r="4717" spans="12:12">
      <c r="L4717" s="1248"/>
    </row>
    <row r="4718" spans="12:12">
      <c r="L4718" s="1248"/>
    </row>
    <row r="4719" spans="12:12">
      <c r="L4719" s="1248"/>
    </row>
    <row r="4720" spans="12:12">
      <c r="L4720" s="1248"/>
    </row>
    <row r="4721" spans="12:12">
      <c r="L4721" s="1248"/>
    </row>
    <row r="4722" spans="12:12">
      <c r="L4722" s="1248"/>
    </row>
    <row r="4723" spans="12:12">
      <c r="L4723" s="1248"/>
    </row>
    <row r="4724" spans="12:12">
      <c r="L4724" s="1248"/>
    </row>
    <row r="4725" spans="12:12">
      <c r="L4725" s="1248"/>
    </row>
    <row r="4726" spans="12:12">
      <c r="L4726" s="1248"/>
    </row>
    <row r="4727" spans="12:12">
      <c r="L4727" s="1248"/>
    </row>
    <row r="4728" spans="12:12">
      <c r="L4728" s="1248"/>
    </row>
    <row r="4729" spans="12:12">
      <c r="L4729" s="1248"/>
    </row>
    <row r="4730" spans="12:12">
      <c r="L4730" s="1248"/>
    </row>
    <row r="4731" spans="12:12">
      <c r="L4731" s="1248"/>
    </row>
    <row r="4732" spans="12:12">
      <c r="L4732" s="1248"/>
    </row>
    <row r="4733" spans="12:12">
      <c r="L4733" s="1248"/>
    </row>
    <row r="4734" spans="12:12">
      <c r="L4734" s="1248"/>
    </row>
    <row r="4735" spans="12:12">
      <c r="L4735" s="1248"/>
    </row>
    <row r="4736" spans="12:12">
      <c r="L4736" s="1248"/>
    </row>
    <row r="4737" spans="12:12">
      <c r="L4737" s="1248"/>
    </row>
    <row r="4738" spans="12:12">
      <c r="L4738" s="1248"/>
    </row>
    <row r="4739" spans="12:12">
      <c r="L4739" s="1248"/>
    </row>
    <row r="4740" spans="12:12">
      <c r="L4740" s="1248"/>
    </row>
    <row r="4741" spans="12:12">
      <c r="L4741" s="1248"/>
    </row>
    <row r="4742" spans="12:12">
      <c r="L4742" s="1248"/>
    </row>
    <row r="4743" spans="12:12">
      <c r="L4743" s="1248"/>
    </row>
    <row r="4744" spans="12:12">
      <c r="L4744" s="1248"/>
    </row>
    <row r="4745" spans="12:12">
      <c r="L4745" s="1248"/>
    </row>
    <row r="4746" spans="12:12">
      <c r="L4746" s="1248"/>
    </row>
    <row r="4747" spans="12:12">
      <c r="L4747" s="1248"/>
    </row>
    <row r="4748" spans="12:12">
      <c r="L4748" s="1248"/>
    </row>
    <row r="4749" spans="12:12">
      <c r="L4749" s="1248"/>
    </row>
    <row r="4750" spans="12:12">
      <c r="L4750" s="1248"/>
    </row>
    <row r="4751" spans="12:12">
      <c r="L4751" s="1248"/>
    </row>
    <row r="4752" spans="12:12">
      <c r="L4752" s="1248"/>
    </row>
    <row r="4753" spans="12:12">
      <c r="L4753" s="1248"/>
    </row>
    <row r="4754" spans="12:12">
      <c r="L4754" s="1248"/>
    </row>
    <row r="4755" spans="12:12">
      <c r="L4755" s="1248"/>
    </row>
    <row r="4756" spans="12:12">
      <c r="L4756" s="1248"/>
    </row>
    <row r="4757" spans="12:12">
      <c r="L4757" s="1248"/>
    </row>
    <row r="4758" spans="12:12">
      <c r="L4758" s="1248"/>
    </row>
    <row r="4759" spans="12:12">
      <c r="L4759" s="1248"/>
    </row>
    <row r="4760" spans="12:12">
      <c r="L4760" s="1248"/>
    </row>
    <row r="4761" spans="12:12">
      <c r="L4761" s="1248"/>
    </row>
    <row r="4762" spans="12:12">
      <c r="L4762" s="1248"/>
    </row>
    <row r="4763" spans="12:12">
      <c r="L4763" s="1248"/>
    </row>
    <row r="4764" spans="12:12">
      <c r="L4764" s="1248"/>
    </row>
    <row r="4765" spans="12:12">
      <c r="L4765" s="1248"/>
    </row>
    <row r="4766" spans="12:12">
      <c r="L4766" s="1248"/>
    </row>
    <row r="4767" spans="12:12">
      <c r="L4767" s="1248"/>
    </row>
    <row r="4768" spans="12:12">
      <c r="L4768" s="1248"/>
    </row>
    <row r="4769" spans="12:12">
      <c r="L4769" s="1248"/>
    </row>
    <row r="4770" spans="12:12">
      <c r="L4770" s="1248"/>
    </row>
    <row r="4771" spans="12:12">
      <c r="L4771" s="1248"/>
    </row>
    <row r="4772" spans="12:12">
      <c r="L4772" s="1248"/>
    </row>
    <row r="4773" spans="12:12">
      <c r="L4773" s="1248"/>
    </row>
    <row r="4774" spans="12:12">
      <c r="L4774" s="1248"/>
    </row>
    <row r="4775" spans="12:12">
      <c r="L4775" s="1248"/>
    </row>
    <row r="4776" spans="12:12">
      <c r="L4776" s="1248"/>
    </row>
    <row r="4777" spans="12:12">
      <c r="L4777" s="1248"/>
    </row>
    <row r="4778" spans="12:12">
      <c r="L4778" s="1248"/>
    </row>
    <row r="4779" spans="12:12">
      <c r="L4779" s="1248"/>
    </row>
    <row r="4780" spans="12:12">
      <c r="L4780" s="1248"/>
    </row>
    <row r="4781" spans="12:12">
      <c r="L4781" s="1248"/>
    </row>
    <row r="4782" spans="12:12">
      <c r="L4782" s="1248"/>
    </row>
    <row r="4783" spans="12:12">
      <c r="L4783" s="1248"/>
    </row>
    <row r="4784" spans="12:12">
      <c r="L4784" s="1248"/>
    </row>
    <row r="4785" spans="12:12">
      <c r="L4785" s="1248"/>
    </row>
    <row r="4786" spans="12:12">
      <c r="L4786" s="1248"/>
    </row>
    <row r="4787" spans="12:12">
      <c r="L4787" s="1248"/>
    </row>
    <row r="4788" spans="12:12">
      <c r="L4788" s="1248"/>
    </row>
    <row r="4789" spans="12:12">
      <c r="L4789" s="1248"/>
    </row>
    <row r="4790" spans="12:12">
      <c r="L4790" s="1248"/>
    </row>
    <row r="4791" spans="12:12">
      <c r="L4791" s="1248"/>
    </row>
    <row r="4792" spans="12:12">
      <c r="L4792" s="1248"/>
    </row>
    <row r="4793" spans="12:12">
      <c r="L4793" s="1248"/>
    </row>
    <row r="4794" spans="12:12">
      <c r="L4794" s="1248"/>
    </row>
    <row r="4795" spans="12:12">
      <c r="L4795" s="1248"/>
    </row>
    <row r="4796" spans="12:12">
      <c r="L4796" s="1248"/>
    </row>
    <row r="4797" spans="12:12">
      <c r="L4797" s="1248"/>
    </row>
    <row r="4798" spans="12:12">
      <c r="L4798" s="1248"/>
    </row>
    <row r="4799" spans="12:12">
      <c r="L4799" s="1248"/>
    </row>
    <row r="4800" spans="12:12">
      <c r="L4800" s="1248"/>
    </row>
    <row r="4801" spans="12:12">
      <c r="L4801" s="1248"/>
    </row>
    <row r="4802" spans="12:12">
      <c r="L4802" s="1248"/>
    </row>
    <row r="4803" spans="12:12">
      <c r="L4803" s="1248"/>
    </row>
  </sheetData>
  <autoFilter ref="M2:N480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22</vt:i4>
      </vt:variant>
    </vt:vector>
  </HeadingPairs>
  <TitlesOfParts>
    <vt:vector size="40" baseType="lpstr">
      <vt:lpstr>#ofPAFs</vt:lpstr>
      <vt:lpstr>isf.COMPO</vt:lpstr>
      <vt:lpstr>GAPS</vt:lpstr>
      <vt:lpstr>LEGAL</vt:lpstr>
      <vt:lpstr>ISFs</vt:lpstr>
      <vt:lpstr>Sheet2</vt:lpstr>
      <vt:lpstr>LEGAL.DRAFT</vt:lpstr>
      <vt:lpstr>ISF.DRAFT</vt:lpstr>
      <vt:lpstr>remove</vt:lpstr>
      <vt:lpstr>Draft.RAP</vt:lpstr>
      <vt:lpstr>table4.1</vt:lpstr>
      <vt:lpstr>table4.3</vt:lpstr>
      <vt:lpstr>table4.4</vt:lpstr>
      <vt:lpstr>table4.5</vt:lpstr>
      <vt:lpstr>HH.names</vt:lpstr>
      <vt:lpstr>SurveyDATA</vt:lpstr>
      <vt:lpstr>VALUE</vt:lpstr>
      <vt:lpstr>Sheet1</vt:lpstr>
      <vt:lpstr>LEGAL.DRAFT!_Toc391057975</vt:lpstr>
      <vt:lpstr>ISF.DRAFT!_Toc391057976</vt:lpstr>
      <vt:lpstr>table4.4!_Toc391057984</vt:lpstr>
      <vt:lpstr>table4.3!_Toc391057988</vt:lpstr>
      <vt:lpstr>ISF.DRAFT!_Toc391057995</vt:lpstr>
      <vt:lpstr>LEGAL.DRAFT!_Toc427444208</vt:lpstr>
      <vt:lpstr>LEGAL.DRAFT!_Toc427444209</vt:lpstr>
      <vt:lpstr>LEGAL.DRAFT!_Toc427444210</vt:lpstr>
      <vt:lpstr>ISF.DRAFT!_Toc427444211</vt:lpstr>
      <vt:lpstr>LEGAL.DRAFT!_Toc427444212</vt:lpstr>
      <vt:lpstr>ISF.DRAFT!_Toc427444215</vt:lpstr>
      <vt:lpstr>ISF.DRAFT!_Toc427444216</vt:lpstr>
      <vt:lpstr>LEGAL.DRAFT!_Toc427444217</vt:lpstr>
      <vt:lpstr>ISF.DRAFT!_Toc427444218</vt:lpstr>
      <vt:lpstr>LEGAL.DRAFT!_Toc427444220</vt:lpstr>
      <vt:lpstr>LEGAL.DRAFT!_Toc427444221</vt:lpstr>
      <vt:lpstr>LEGAL.DRAFT!_Toc427444222</vt:lpstr>
      <vt:lpstr>VALUE!_Toc427444225</vt:lpstr>
      <vt:lpstr>ISF.DRAFT!_Toc427444227</vt:lpstr>
      <vt:lpstr>ISF.DRAFT!_Toc427444228</vt:lpstr>
      <vt:lpstr>ISF.DRAFT!_Toc427444229</vt:lpstr>
      <vt:lpstr>ISF.DRAFT!_Toc427444231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Rex Simbajon</dc:creator>
  <cp:lastModifiedBy>Robert</cp:lastModifiedBy>
  <dcterms:created xsi:type="dcterms:W3CDTF">2017-04-26T08:32:52Z</dcterms:created>
  <dcterms:modified xsi:type="dcterms:W3CDTF">2017-07-25T07:10:42Z</dcterms:modified>
</cp:coreProperties>
</file>